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tep 1" sheetId="1" r:id="rId1"/>
    <sheet name="step 1 refined" sheetId="2" r:id="rId2"/>
    <sheet name="step 2" sheetId="3" r:id="rId3"/>
    <sheet name="step 3" sheetId="4" r:id="rId4"/>
  </sheets>
  <calcPr calcId="124519" fullCalcOnLoad="1"/>
</workbook>
</file>

<file path=xl/sharedStrings.xml><?xml version="1.0" encoding="utf-8"?>
<sst xmlns="http://schemas.openxmlformats.org/spreadsheetml/2006/main" count="237823" uniqueCount="40277">
  <si>
    <t>Datetime</t>
  </si>
  <si>
    <t>Hash</t>
  </si>
  <si>
    <t>Parent</t>
  </si>
  <si>
    <t>Author</t>
  </si>
  <si>
    <t>Commit Msg</t>
  </si>
  <si>
    <t>Filepath</t>
  </si>
  <si>
    <t>Filename</t>
  </si>
  <si>
    <t>Removed Test Case</t>
  </si>
  <si>
    <t>03/18/2009 19:39:42</t>
  </si>
  <si>
    <t>03/26/2009 03:42:37</t>
  </si>
  <si>
    <t>03/27/2009 18:24:28</t>
  </si>
  <si>
    <t>03/27/2009 20:17:33</t>
  </si>
  <si>
    <t>04/02/2009 16:49:11</t>
  </si>
  <si>
    <t>04/02/2009 16:49:19</t>
  </si>
  <si>
    <t>04/03/2009 01:12:51</t>
  </si>
  <si>
    <t>04/06/2009 12:31:59</t>
  </si>
  <si>
    <t>04/06/2009 12:33:01</t>
  </si>
  <si>
    <t>04/06/2009 12:34:18</t>
  </si>
  <si>
    <t>04/06/2009 21:23:45</t>
  </si>
  <si>
    <t>04/06/2009 21:24:42</t>
  </si>
  <si>
    <t>04/06/2009 21:26:27</t>
  </si>
  <si>
    <t>04/08/2009 21:22:24</t>
  </si>
  <si>
    <t>04/08/2009 22:27:35</t>
  </si>
  <si>
    <t>04/09/2009 16:57:49</t>
  </si>
  <si>
    <t>04/09/2009 16:59:31</t>
  </si>
  <si>
    <t>04/09/2009 20:43:54</t>
  </si>
  <si>
    <t>04/09/2009 21:50:46</t>
  </si>
  <si>
    <t>04/10/2009 00:36:44</t>
  </si>
  <si>
    <t>04/13/2009 12:41:53</t>
  </si>
  <si>
    <t>04/13/2009 17:47:21</t>
  </si>
  <si>
    <t>04/13/2009 20:12:46</t>
  </si>
  <si>
    <t>04/14/2009 14:23:31</t>
  </si>
  <si>
    <t>04/14/2009 17:40:19</t>
  </si>
  <si>
    <t>04/17/2009 16:00:03</t>
  </si>
  <si>
    <t>04/17/2009 16:02:33</t>
  </si>
  <si>
    <t>04/19/2009 01:06:44</t>
  </si>
  <si>
    <t>04/20/2009 03:14:51</t>
  </si>
  <si>
    <t>04/20/2009 10:11:34</t>
  </si>
  <si>
    <t>04/20/2009 10:13:48</t>
  </si>
  <si>
    <t>04/24/2009 00:43:24</t>
  </si>
  <si>
    <t>04/24/2009 03:24:58</t>
  </si>
  <si>
    <t>04/28/2009 17:28:34</t>
  </si>
  <si>
    <t>04/30/2009 13:18:19</t>
  </si>
  <si>
    <t>04/30/2009 18:53:23</t>
  </si>
  <si>
    <t>04/30/2009 18:57:50</t>
  </si>
  <si>
    <t>04/30/2009 19:17:56</t>
  </si>
  <si>
    <t>04/30/2009 19:26:49</t>
  </si>
  <si>
    <t>05/01/2009 01:07:46</t>
  </si>
  <si>
    <t>05/11/2009 15:30:54</t>
  </si>
  <si>
    <t>05/12/2009 18:10:30</t>
  </si>
  <si>
    <t>05/14/2009 20:07:17</t>
  </si>
  <si>
    <t>06/08/2009 13:03:20</t>
  </si>
  <si>
    <t>06/09/2009 22:11:01</t>
  </si>
  <si>
    <t>06/11/2009 15:50:11</t>
  </si>
  <si>
    <t>06/11/2009 17:50:32</t>
  </si>
  <si>
    <t>06/12/2009 16:11:20</t>
  </si>
  <si>
    <t>06/15/2009 18:34:05</t>
  </si>
  <si>
    <t>06/18/2009 16:58:23</t>
  </si>
  <si>
    <t>06/19/2009 15:12:20</t>
  </si>
  <si>
    <t>06/19/2009 19:04:58</t>
  </si>
  <si>
    <t>06/22/2009 15:23:46</t>
  </si>
  <si>
    <t>06/23/2009 12:26:37</t>
  </si>
  <si>
    <t>07/08/2009 12:57:40</t>
  </si>
  <si>
    <t>07/16/2009 20:07:02</t>
  </si>
  <si>
    <t>07/17/2009 13:24:12</t>
  </si>
  <si>
    <t>07/21/2009 18:03:18</t>
  </si>
  <si>
    <t>08/17/2009 18:40:38</t>
  </si>
  <si>
    <t>08/25/2009 18:32:35</t>
  </si>
  <si>
    <t>08/25/2009 22:02:30</t>
  </si>
  <si>
    <t>09/09/2009 21:00:46</t>
  </si>
  <si>
    <t>09/16/2009 18:07:27</t>
  </si>
  <si>
    <t>09/19/2009 17:14:46</t>
  </si>
  <si>
    <t>11/03/2009 15:21:13</t>
  </si>
  <si>
    <t>11/03/2009 18:21:34</t>
  </si>
  <si>
    <t>11/10/2009 16:01:52</t>
  </si>
  <si>
    <t>12/08/2009 21:27:12</t>
  </si>
  <si>
    <t>12/17/2009 14:26:56</t>
  </si>
  <si>
    <t>12/17/2009 14:32:31</t>
  </si>
  <si>
    <t>01/06/2010 14:32:15</t>
  </si>
  <si>
    <t>01/08/2010 09:07:17</t>
  </si>
  <si>
    <t>01/08/2010 18:24:13</t>
  </si>
  <si>
    <t>01/11/2010 15:45:25</t>
  </si>
  <si>
    <t>01/14/2010 16:23:49</t>
  </si>
  <si>
    <t>01/27/2010 13:34:49</t>
  </si>
  <si>
    <t>03/08/2010 14:50:31</t>
  </si>
  <si>
    <t>03/11/2010 04:38:19</t>
  </si>
  <si>
    <t>03/29/2010 03:43:36</t>
  </si>
  <si>
    <t>03/29/2010 13:22:06</t>
  </si>
  <si>
    <t>03/30/2010 18:42:13</t>
  </si>
  <si>
    <t>03/30/2010 18:59:37</t>
  </si>
  <si>
    <t>03/31/2010 18:18:43</t>
  </si>
  <si>
    <t>03/31/2010 19:25:44</t>
  </si>
  <si>
    <t>04/04/2010 02:07:54</t>
  </si>
  <si>
    <t>04/06/2010 13:32:35</t>
  </si>
  <si>
    <t>04/09/2010 19:52:01</t>
  </si>
  <si>
    <t>04/10/2010 14:56:32</t>
  </si>
  <si>
    <t>04/13/2010 04:47:08</t>
  </si>
  <si>
    <t>04/15/2010 04:56:00</t>
  </si>
  <si>
    <t>05/13/2010 23:42:54</t>
  </si>
  <si>
    <t>05/14/2010 16:01:41</t>
  </si>
  <si>
    <t>06/15/2010 01:28:16</t>
  </si>
  <si>
    <t>06/15/2010 11:25:01</t>
  </si>
  <si>
    <t>06/16/2010 20:24:42</t>
  </si>
  <si>
    <t>06/23/2010 16:13:05</t>
  </si>
  <si>
    <t>06/29/2010 12:28:08</t>
  </si>
  <si>
    <t>07/08/2010 18:23:23</t>
  </si>
  <si>
    <t>07/09/2010 14:37:45</t>
  </si>
  <si>
    <t>07/15/2010 14:51:40</t>
  </si>
  <si>
    <t>07/16/2010 16:45:01</t>
  </si>
  <si>
    <t>07/21/2010 18:32:42</t>
  </si>
  <si>
    <t>07/27/2010 16:59:23</t>
  </si>
  <si>
    <t>08/06/2010 16:24:25</t>
  </si>
  <si>
    <t>08/08/2010 19:42:48</t>
  </si>
  <si>
    <t>08/10/2010 16:40:46</t>
  </si>
  <si>
    <t>08/19/2010 14:49:16</t>
  </si>
  <si>
    <t>08/20/2010 13:50:06</t>
  </si>
  <si>
    <t>08/24/2010 16:09:48</t>
  </si>
  <si>
    <t>09/08/2010 11:13:16</t>
  </si>
  <si>
    <t>09/10/2010 17:17:44</t>
  </si>
  <si>
    <t>09/10/2010 17:35:08</t>
  </si>
  <si>
    <t>09/27/2010 14:31:11</t>
  </si>
  <si>
    <t>09/28/2010 13:10:34</t>
  </si>
  <si>
    <t>09/28/2010 13:19:39</t>
  </si>
  <si>
    <t>09/29/2010 13:17:30</t>
  </si>
  <si>
    <t>09/29/2010 19:01:04</t>
  </si>
  <si>
    <t>10/06/2010 11:47:51</t>
  </si>
  <si>
    <t>10/12/2010 14:14:44</t>
  </si>
  <si>
    <t>10/14/2010 17:12:59</t>
  </si>
  <si>
    <t>10/15/2010 17:54:52</t>
  </si>
  <si>
    <t>10/18/2010 20:25:47</t>
  </si>
  <si>
    <t>10/19/2010 15:32:02</t>
  </si>
  <si>
    <t>10/20/2010 17:04:28</t>
  </si>
  <si>
    <t>10/22/2010 17:57:44</t>
  </si>
  <si>
    <t>10/22/2010 18:13:54</t>
  </si>
  <si>
    <t>11/02/2010 17:36:27</t>
  </si>
  <si>
    <t>11/03/2010 20:21:34</t>
  </si>
  <si>
    <t>11/04/2010 14:51:27</t>
  </si>
  <si>
    <t>11/04/2010 17:04:41</t>
  </si>
  <si>
    <t>11/05/2010 13:06:06</t>
  </si>
  <si>
    <t>11/05/2010 17:28:03</t>
  </si>
  <si>
    <t>11/11/2010 17:34:27</t>
  </si>
  <si>
    <t>11/12/2010 16:15:27</t>
  </si>
  <si>
    <t>11/15/2010 13:39:38</t>
  </si>
  <si>
    <t>11/15/2010 23:20:49</t>
  </si>
  <si>
    <t>11/24/2010 19:47:25</t>
  </si>
  <si>
    <t>11/29/2010 14:57:14</t>
  </si>
  <si>
    <t>12/02/2010 05:37:20</t>
  </si>
  <si>
    <t>12/06/2010 19:07:47</t>
  </si>
  <si>
    <t>12/06/2010 19:54:15</t>
  </si>
  <si>
    <t>12/06/2010 20:07:41</t>
  </si>
  <si>
    <t>12/06/2010 20:11:37</t>
  </si>
  <si>
    <t>12/07/2010 20:32:02</t>
  </si>
  <si>
    <t>12/08/2010 21:16:59</t>
  </si>
  <si>
    <t>12/10/2010 10:59:35</t>
  </si>
  <si>
    <t>12/13/2010 11:42:10</t>
  </si>
  <si>
    <t>12/13/2010 14:03:35</t>
  </si>
  <si>
    <t>12/13/2010 14:16:25</t>
  </si>
  <si>
    <t>12/13/2010 14:52:34</t>
  </si>
  <si>
    <t>12/14/2010 16:28:07</t>
  </si>
  <si>
    <t>12/15/2010 20:15:22</t>
  </si>
  <si>
    <t>12/20/2010 14:13:03</t>
  </si>
  <si>
    <t>12/28/2010 15:47:28</t>
  </si>
  <si>
    <t>01/07/2011 17:01:10</t>
  </si>
  <si>
    <t>01/07/2011 17:07:37</t>
  </si>
  <si>
    <t>01/07/2011 17:19:18</t>
  </si>
  <si>
    <t>01/10/2011 18:40:53</t>
  </si>
  <si>
    <t>01/10/2011 19:21:24</t>
  </si>
  <si>
    <t>01/11/2011 13:26:39</t>
  </si>
  <si>
    <t>01/14/2011 16:52:15</t>
  </si>
  <si>
    <t>01/18/2011 20:25:01</t>
  </si>
  <si>
    <t>01/21/2011 13:09:15</t>
  </si>
  <si>
    <t>01/25/2011 17:59:18</t>
  </si>
  <si>
    <t>01/27/2011 19:19:18</t>
  </si>
  <si>
    <t>01/31/2011 14:29:01</t>
  </si>
  <si>
    <t>01/31/2011 17:13:15</t>
  </si>
  <si>
    <t>01/31/2011 18:20:50</t>
  </si>
  <si>
    <t>01/31/2011 19:59:16</t>
  </si>
  <si>
    <t>02/01/2011 17:42:45</t>
  </si>
  <si>
    <t>02/01/2011 18:43:55</t>
  </si>
  <si>
    <t>02/02/2011 17:54:01</t>
  </si>
  <si>
    <t>02/02/2011 20:25:00</t>
  </si>
  <si>
    <t>02/03/2011 18:57:20</t>
  </si>
  <si>
    <t>02/04/2011 15:27:47</t>
  </si>
  <si>
    <t>02/04/2011 15:42:09</t>
  </si>
  <si>
    <t>02/07/2011 14:04:03</t>
  </si>
  <si>
    <t>02/08/2011 18:53:33</t>
  </si>
  <si>
    <t>02/10/2011 13:44:01</t>
  </si>
  <si>
    <t>02/14/2011 14:44:22</t>
  </si>
  <si>
    <t>02/14/2011 17:23:25</t>
  </si>
  <si>
    <t>02/15/2011 21:31:15</t>
  </si>
  <si>
    <t>02/16/2011 15:12:48</t>
  </si>
  <si>
    <t>02/16/2011 18:05:11</t>
  </si>
  <si>
    <t>02/28/2011 18:12:46</t>
  </si>
  <si>
    <t>03/01/2011 17:11:17</t>
  </si>
  <si>
    <t>03/02/2011 19:28:50</t>
  </si>
  <si>
    <t>03/03/2011 18:59:02</t>
  </si>
  <si>
    <t>03/04/2011 15:53:51</t>
  </si>
  <si>
    <t>03/04/2011 16:16:50</t>
  </si>
  <si>
    <t>03/07/2011 18:19:17</t>
  </si>
  <si>
    <t>03/08/2011 18:43:55</t>
  </si>
  <si>
    <t>03/09/2011 18:31:10</t>
  </si>
  <si>
    <t>03/14/2011 17:13:28</t>
  </si>
  <si>
    <t>03/17/2011 18:23:30</t>
  </si>
  <si>
    <t>03/17/2011 18:54:17</t>
  </si>
  <si>
    <t>03/17/2011 19:12:07</t>
  </si>
  <si>
    <t>03/25/2011 16:15:23</t>
  </si>
  <si>
    <t>03/28/2011 15:49:21</t>
  </si>
  <si>
    <t>03/28/2011 15:56:07</t>
  </si>
  <si>
    <t>03/28/2011 17:40:46</t>
  </si>
  <si>
    <t>03/28/2011 18:49:26</t>
  </si>
  <si>
    <t>04/04/2011 16:20:24</t>
  </si>
  <si>
    <t>04/04/2011 16:41:49</t>
  </si>
  <si>
    <t>04/04/2011 18:20:06</t>
  </si>
  <si>
    <t>04/15/2011 17:17:37</t>
  </si>
  <si>
    <t>04/20/2011 13:02:13</t>
  </si>
  <si>
    <t>04/21/2011 15:08:21</t>
  </si>
  <si>
    <t>04/22/2011 19:33:16</t>
  </si>
  <si>
    <t>04/27/2011 02:25:20</t>
  </si>
  <si>
    <t>04/28/2011 14:15:07</t>
  </si>
  <si>
    <t>05/04/2011 10:15:19</t>
  </si>
  <si>
    <t>05/04/2011 10:16:03</t>
  </si>
  <si>
    <t>05/06/2011 03:07:00</t>
  </si>
  <si>
    <t>05/06/2011 14:37:40</t>
  </si>
  <si>
    <t>05/09/2011 08:12:13</t>
  </si>
  <si>
    <t>05/09/2011 08:12:14</t>
  </si>
  <si>
    <t>05/09/2011 08:12:16</t>
  </si>
  <si>
    <t>05/09/2011 08:12:17</t>
  </si>
  <si>
    <t>05/09/2011 08:12:20</t>
  </si>
  <si>
    <t>05/09/2011 08:12:29</t>
  </si>
  <si>
    <t>05/09/2011 19:08:52</t>
  </si>
  <si>
    <t>05/11/2011 12:37:28</t>
  </si>
  <si>
    <t>05/12/2011 14:53:05</t>
  </si>
  <si>
    <t>05/12/2011 15:33:24</t>
  </si>
  <si>
    <t>05/17/2011 17:00:37</t>
  </si>
  <si>
    <t>05/18/2011 20:48:19</t>
  </si>
  <si>
    <t>05/27/2011 14:39:27</t>
  </si>
  <si>
    <t>06/02/2011 13:27:36</t>
  </si>
  <si>
    <t>06/02/2011 19:31:40</t>
  </si>
  <si>
    <t>06/06/2011 14:20:20</t>
  </si>
  <si>
    <t>06/06/2011 21:27:57</t>
  </si>
  <si>
    <t>06/10/2011 13:53:49</t>
  </si>
  <si>
    <t>06/14/2011 17:49:39</t>
  </si>
  <si>
    <t>06/14/2011 18:43:58</t>
  </si>
  <si>
    <t>06/17/2011 16:16:22</t>
  </si>
  <si>
    <t>06/17/2011 17:43:59</t>
  </si>
  <si>
    <t>06/20/2011 02:37:53</t>
  </si>
  <si>
    <t>06/23/2011 01:44:31</t>
  </si>
  <si>
    <t>06/24/2011 15:20:30</t>
  </si>
  <si>
    <t>06/28/2011 13:12:32</t>
  </si>
  <si>
    <t>06/29/2011 09:50:28</t>
  </si>
  <si>
    <t>07/01/2011 04:29:13</t>
  </si>
  <si>
    <t>07/14/2011 14:19:47</t>
  </si>
  <si>
    <t>07/15/2011 12:55:49</t>
  </si>
  <si>
    <t>07/19/2011 03:52:16</t>
  </si>
  <si>
    <t>07/20/2011 20:25:38</t>
  </si>
  <si>
    <t>07/28/2011 19:00:32</t>
  </si>
  <si>
    <t>08/02/2011 15:22:18</t>
  </si>
  <si>
    <t>08/12/2011 14:33:08</t>
  </si>
  <si>
    <t>08/12/2011 15:50:18</t>
  </si>
  <si>
    <t>08/15/2011 12:09:29</t>
  </si>
  <si>
    <t>08/22/2011 22:06:55</t>
  </si>
  <si>
    <t>08/23/2011 15:29:17</t>
  </si>
  <si>
    <t>08/31/2011 18:07:52</t>
  </si>
  <si>
    <t>09/15/2011 16:16:31</t>
  </si>
  <si>
    <t>09/22/2011 17:14:13</t>
  </si>
  <si>
    <t>09/23/2011 14:40:36</t>
  </si>
  <si>
    <t>09/27/2011 16:53:14</t>
  </si>
  <si>
    <t>10/03/2011 13:30:47</t>
  </si>
  <si>
    <t>10/03/2011 20:41:53</t>
  </si>
  <si>
    <t>10/05/2011 13:18:27</t>
  </si>
  <si>
    <t>10/06/2011 15:16:13</t>
  </si>
  <si>
    <t>10/06/2011 17:31:48</t>
  </si>
  <si>
    <t>10/06/2011 23:06:32</t>
  </si>
  <si>
    <t>10/07/2011 15:33:32</t>
  </si>
  <si>
    <t>10/09/2011 22:53:59</t>
  </si>
  <si>
    <t>10/10/2011 17:29:47</t>
  </si>
  <si>
    <t>10/11/2011 19:07:40</t>
  </si>
  <si>
    <t>10/17/2011 18:02:12</t>
  </si>
  <si>
    <t>10/17/2011 18:35:04</t>
  </si>
  <si>
    <t>10/19/2011 21:03:44</t>
  </si>
  <si>
    <t>10/19/2011 21:11:15</t>
  </si>
  <si>
    <t>10/19/2011 21:20:35</t>
  </si>
  <si>
    <t>10/24/2011 13:45:31</t>
  </si>
  <si>
    <t>10/24/2011 14:17:56</t>
  </si>
  <si>
    <t>10/25/2011 15:35:51</t>
  </si>
  <si>
    <t>10/25/2011 17:46:48</t>
  </si>
  <si>
    <t>10/25/2011 19:19:22</t>
  </si>
  <si>
    <t>10/26/2011 12:46:39</t>
  </si>
  <si>
    <t>10/31/2011 14:42:00</t>
  </si>
  <si>
    <t>10/31/2011 21:11:27</t>
  </si>
  <si>
    <t>11/02/2011 06:38:23</t>
  </si>
  <si>
    <t>11/02/2011 16:42:03</t>
  </si>
  <si>
    <t>11/07/2011 13:52:01</t>
  </si>
  <si>
    <t>11/11/2011 16:26:57</t>
  </si>
  <si>
    <t>11/15/2011 20:03:26</t>
  </si>
  <si>
    <t>11/15/2011 20:34:53</t>
  </si>
  <si>
    <t>11/29/2011 15:10:51</t>
  </si>
  <si>
    <t>11/29/2011 20:50:24</t>
  </si>
  <si>
    <t>12/02/2011 15:58:25</t>
  </si>
  <si>
    <t>12/08/2011 23:23:30</t>
  </si>
  <si>
    <t>12/14/2011 18:59:56</t>
  </si>
  <si>
    <t>12/15/2011 13:25:38</t>
  </si>
  <si>
    <t>12/15/2011 13:32:31</t>
  </si>
  <si>
    <t>12/15/2011 18:21:25</t>
  </si>
  <si>
    <t>12/16/2011 15:46:24</t>
  </si>
  <si>
    <t>12/16/2011 18:00:39</t>
  </si>
  <si>
    <t>12/22/2011 12:31:51</t>
  </si>
  <si>
    <t>01/03/2012 16:41:42</t>
  </si>
  <si>
    <t>01/05/2012 13:43:00</t>
  </si>
  <si>
    <t>01/06/2012 20:02:29</t>
  </si>
  <si>
    <t>01/08/2012 14:18:56</t>
  </si>
  <si>
    <t>01/09/2012 20:11:03</t>
  </si>
  <si>
    <t>01/10/2012 19:33:29</t>
  </si>
  <si>
    <t>01/13/2012 10:38:03</t>
  </si>
  <si>
    <t>01/18/2012 19:05:41</t>
  </si>
  <si>
    <t>01/18/2012 20:26:56</t>
  </si>
  <si>
    <t>01/19/2012 18:09:14</t>
  </si>
  <si>
    <t>01/25/2012 22:19:53</t>
  </si>
  <si>
    <t>01/30/2012 16:30:15</t>
  </si>
  <si>
    <t>01/31/2012 14:31:52</t>
  </si>
  <si>
    <t>01/31/2012 14:48:25</t>
  </si>
  <si>
    <t>01/31/2012 15:01:31</t>
  </si>
  <si>
    <t>01/31/2012 16:48:38</t>
  </si>
  <si>
    <t>02/03/2012 17:50:17</t>
  </si>
  <si>
    <t>02/06/2012 17:31:48</t>
  </si>
  <si>
    <t>02/13/2012 13:55:59</t>
  </si>
  <si>
    <t>02/15/2012 17:04:34</t>
  </si>
  <si>
    <t>02/16/2012 17:00:37</t>
  </si>
  <si>
    <t>02/21/2012 06:26:22</t>
  </si>
  <si>
    <t>03/02/2012 16:00:58</t>
  </si>
  <si>
    <t>03/05/2012 19:45:50</t>
  </si>
  <si>
    <t>03/06/2012 16:21:31</t>
  </si>
  <si>
    <t>03/08/2012 16:30:38</t>
  </si>
  <si>
    <t>03/12/2012 19:36:49</t>
  </si>
  <si>
    <t>03/19/2012 14:22:39</t>
  </si>
  <si>
    <t>03/20/2012 15:06:21</t>
  </si>
  <si>
    <t>03/27/2012 16:39:44</t>
  </si>
  <si>
    <t>03/27/2012 20:14:00</t>
  </si>
  <si>
    <t>03/28/2012 20:41:03</t>
  </si>
  <si>
    <t>04/04/2012 18:43:59</t>
  </si>
  <si>
    <t>04/05/2012 19:26:31</t>
  </si>
  <si>
    <t>04/12/2012 13:16:36</t>
  </si>
  <si>
    <t>04/13/2012 21:05:16</t>
  </si>
  <si>
    <t>04/19/2012 21:02:41</t>
  </si>
  <si>
    <t>04/20/2012 14:44:09</t>
  </si>
  <si>
    <t>04/23/2012 22:42:11</t>
  </si>
  <si>
    <t>04/26/2012 17:22:24</t>
  </si>
  <si>
    <t>04/27/2012 11:01:05</t>
  </si>
  <si>
    <t>05/03/2012 21:17:53</t>
  </si>
  <si>
    <t>05/04/2012 16:28:58</t>
  </si>
  <si>
    <t>05/04/2012 18:52:06</t>
  </si>
  <si>
    <t>05/07/2012 13:04:42</t>
  </si>
  <si>
    <t>05/08/2012 16:11:27</t>
  </si>
  <si>
    <t>05/10/2012 13:32:37</t>
  </si>
  <si>
    <t>05/21/2012 19:48:01</t>
  </si>
  <si>
    <t>05/21/2012 20:47:47</t>
  </si>
  <si>
    <t>06/01/2012 14:01:30</t>
  </si>
  <si>
    <t>06/01/2012 18:16:11</t>
  </si>
  <si>
    <t>06/01/2012 19:34:32</t>
  </si>
  <si>
    <t>06/04/2012 15:08:27</t>
  </si>
  <si>
    <t>06/05/2012 13:34:08</t>
  </si>
  <si>
    <t>06/05/2012 13:49:57</t>
  </si>
  <si>
    <t>06/05/2012 13:54:28</t>
  </si>
  <si>
    <t>06/06/2012 17:54:37</t>
  </si>
  <si>
    <t>06/14/2012 15:58:37</t>
  </si>
  <si>
    <t>06/20/2012 16:14:06</t>
  </si>
  <si>
    <t>06/20/2012 17:55:30</t>
  </si>
  <si>
    <t>06/29/2012 16:07:57</t>
  </si>
  <si>
    <t>07/02/2012 20:25:05</t>
  </si>
  <si>
    <t>07/03/2012 19:17:11</t>
  </si>
  <si>
    <t>08/08/2012 18:51:31</t>
  </si>
  <si>
    <t>08/14/2012 14:24:25</t>
  </si>
  <si>
    <t>08/14/2012 18:52:32</t>
  </si>
  <si>
    <t>08/17/2012 10:11:07</t>
  </si>
  <si>
    <t>09/13/2012 15:45:39</t>
  </si>
  <si>
    <t>09/18/2012 14:57:44</t>
  </si>
  <si>
    <t>09/21/2012 02:42:48</t>
  </si>
  <si>
    <t>09/23/2012 17:10:30</t>
  </si>
  <si>
    <t>09/25/2012 13:27:09</t>
  </si>
  <si>
    <t>10/01/2012 17:37:26</t>
  </si>
  <si>
    <t>10/01/2012 20:07:39</t>
  </si>
  <si>
    <t>10/02/2012 14:37:05</t>
  </si>
  <si>
    <t>10/02/2012 21:38:36</t>
  </si>
  <si>
    <t>10/03/2012 13:39:54</t>
  </si>
  <si>
    <t>10/03/2012 15:14:25</t>
  </si>
  <si>
    <t>10/04/2012 15:28:45</t>
  </si>
  <si>
    <t>10/05/2012 13:07:07</t>
  </si>
  <si>
    <t>10/10/2012 12:57:56</t>
  </si>
  <si>
    <t>10/10/2012 13:09:34</t>
  </si>
  <si>
    <t>10/10/2012 16:22:38</t>
  </si>
  <si>
    <t>10/10/2012 18:52:21</t>
  </si>
  <si>
    <t>10/15/2012 13:11:00</t>
  </si>
  <si>
    <t>10/17/2012 13:38:13</t>
  </si>
  <si>
    <t>10/18/2012 16:21:15</t>
  </si>
  <si>
    <t>10/19/2012 15:47:29</t>
  </si>
  <si>
    <t>10/22/2012 18:30:54</t>
  </si>
  <si>
    <t>10/23/2012 19:51:58</t>
  </si>
  <si>
    <t>10/26/2012 11:37:38</t>
  </si>
  <si>
    <t>11/01/2012 16:55:06</t>
  </si>
  <si>
    <t>11/01/2012 18:25:44</t>
  </si>
  <si>
    <t>11/07/2012 15:19:05</t>
  </si>
  <si>
    <t>11/26/2012 16:52:01</t>
  </si>
  <si>
    <t>11/29/2012 12:16:39</t>
  </si>
  <si>
    <t>11/29/2012 12:24:41</t>
  </si>
  <si>
    <t>11/29/2012 16:17:04</t>
  </si>
  <si>
    <t>12/03/2012 13:55:21</t>
  </si>
  <si>
    <t>12/10/2012 13:44:40</t>
  </si>
  <si>
    <t>12/12/2012 13:08:55</t>
  </si>
  <si>
    <t>12/14/2012 16:53:53</t>
  </si>
  <si>
    <t>12/21/2012 14:08:24</t>
  </si>
  <si>
    <t>01/03/2013 05:19:53</t>
  </si>
  <si>
    <t>01/03/2013 05:36:37</t>
  </si>
  <si>
    <t>01/09/2013 20:39:53</t>
  </si>
  <si>
    <t>01/11/2013 15:01:04</t>
  </si>
  <si>
    <t>01/24/2013 16:33:05</t>
  </si>
  <si>
    <t>01/30/2013 21:55:46</t>
  </si>
  <si>
    <t>02/04/2013 15:11:46</t>
  </si>
  <si>
    <t>02/04/2013 16:50:36</t>
  </si>
  <si>
    <t>02/07/2013 16:38:10</t>
  </si>
  <si>
    <t>02/13/2013 13:02:37</t>
  </si>
  <si>
    <t>02/13/2013 18:34:51</t>
  </si>
  <si>
    <t>02/14/2013 13:29:41</t>
  </si>
  <si>
    <t>02/14/2013 20:08:26</t>
  </si>
  <si>
    <t>02/21/2013 15:32:55</t>
  </si>
  <si>
    <t>02/28/2013 19:04:10</t>
  </si>
  <si>
    <t>03/04/2013 11:27:14</t>
  </si>
  <si>
    <t>03/05/2013 13:13:43</t>
  </si>
  <si>
    <t>03/07/2013 16:09:37</t>
  </si>
  <si>
    <t>03/07/2013 16:29:07</t>
  </si>
  <si>
    <t>03/08/2013 08:56:20</t>
  </si>
  <si>
    <t>03/08/2013 16:57:22</t>
  </si>
  <si>
    <t>03/12/2013 06:06:24</t>
  </si>
  <si>
    <t>03/12/2013 06:37:03</t>
  </si>
  <si>
    <t>03/13/2013 16:57:40</t>
  </si>
  <si>
    <t>03/20/2013 12:59:25</t>
  </si>
  <si>
    <t>03/20/2013 14:56:43</t>
  </si>
  <si>
    <t>03/25/2013 16:39:37</t>
  </si>
  <si>
    <t>03/26/2013 16:00:34</t>
  </si>
  <si>
    <t>03/29/2013 18:17:22</t>
  </si>
  <si>
    <t>04/01/2013 17:56:25</t>
  </si>
  <si>
    <t>04/02/2013 00:26:24</t>
  </si>
  <si>
    <t>04/08/2013 18:48:36</t>
  </si>
  <si>
    <t>04/19/2013 19:27:26</t>
  </si>
  <si>
    <t>05/01/2013 13:18:20</t>
  </si>
  <si>
    <t>05/17/2013 00:03:20</t>
  </si>
  <si>
    <t>05/20/2013 13:12:35</t>
  </si>
  <si>
    <t>05/20/2013 20:04:52</t>
  </si>
  <si>
    <t>05/21/2013 11:37:17</t>
  </si>
  <si>
    <t>05/22/2013 17:33:27</t>
  </si>
  <si>
    <t>05/29/2013 14:30:41</t>
  </si>
  <si>
    <t>05/29/2013 17:43:06</t>
  </si>
  <si>
    <t>05/29/2013 17:48:46</t>
  </si>
  <si>
    <t>06/05/2013 17:00:28</t>
  </si>
  <si>
    <t>06/11/2013 13:36:30</t>
  </si>
  <si>
    <t>06/25/2013 17:24:32</t>
  </si>
  <si>
    <t>07/01/2013 16:23:58</t>
  </si>
  <si>
    <t>07/24/2013 17:58:40</t>
  </si>
  <si>
    <t>08/04/2013 22:38:52</t>
  </si>
  <si>
    <t>08/06/2013 17:29:31</t>
  </si>
  <si>
    <t>08/19/2013 17:54:53</t>
  </si>
  <si>
    <t>08/19/2013 20:11:52</t>
  </si>
  <si>
    <t>08/21/2013 00:29:22</t>
  </si>
  <si>
    <t>08/23/2013 18:29:26</t>
  </si>
  <si>
    <t>08/27/2013 15:26:27</t>
  </si>
  <si>
    <t>08/28/2013 19:38:15</t>
  </si>
  <si>
    <t>09/03/2013 17:19:20</t>
  </si>
  <si>
    <t>09/06/2013 20:44:27</t>
  </si>
  <si>
    <t>09/09/2013 15:28:22</t>
  </si>
  <si>
    <t>09/09/2013 16:35:59</t>
  </si>
  <si>
    <t>09/10/2013 18:47:42</t>
  </si>
  <si>
    <t>09/11/2013 12:00:08</t>
  </si>
  <si>
    <t>09/12/2013 16:16:40</t>
  </si>
  <si>
    <t>09/12/2013 17:07:50</t>
  </si>
  <si>
    <t>09/13/2013 02:27:19</t>
  </si>
  <si>
    <t>09/16/2013 14:00:48</t>
  </si>
  <si>
    <t>09/16/2013 14:12:02</t>
  </si>
  <si>
    <t>09/17/2013 16:11:19</t>
  </si>
  <si>
    <t>09/17/2013 16:14:41</t>
  </si>
  <si>
    <t>09/17/2013 17:17:34</t>
  </si>
  <si>
    <t>09/17/2013 17:30:11</t>
  </si>
  <si>
    <t>09/17/2013 17:53:19</t>
  </si>
  <si>
    <t>09/17/2013 23:27:30</t>
  </si>
  <si>
    <t>09/17/2013 23:27:45</t>
  </si>
  <si>
    <t>09/18/2013 18:53:48</t>
  </si>
  <si>
    <t>09/18/2013 18:54:36</t>
  </si>
  <si>
    <t>09/20/2013 17:25:09</t>
  </si>
  <si>
    <t>09/21/2013 23:06:01</t>
  </si>
  <si>
    <t>09/25/2013 20:33:34</t>
  </si>
  <si>
    <t>09/27/2013 15:51:19</t>
  </si>
  <si>
    <t>09/30/2013 11:36:48</t>
  </si>
  <si>
    <t>09/30/2013 12:56:27</t>
  </si>
  <si>
    <t>09/30/2013 18:37:05</t>
  </si>
  <si>
    <t>10/02/2013 19:49:00</t>
  </si>
  <si>
    <t>10/03/2013 13:11:55</t>
  </si>
  <si>
    <t>10/03/2013 14:58:16</t>
  </si>
  <si>
    <t>10/06/2013 19:01:43</t>
  </si>
  <si>
    <t>10/11/2013 13:29:33</t>
  </si>
  <si>
    <t>10/14/2013 11:25:32</t>
  </si>
  <si>
    <t>10/22/2013 15:23:52</t>
  </si>
  <si>
    <t>10/23/2013 15:43:54</t>
  </si>
  <si>
    <t>10/25/2013 20:05:57</t>
  </si>
  <si>
    <t>10/28/2013 16:13:53</t>
  </si>
  <si>
    <t>10/31/2013 18:06:54</t>
  </si>
  <si>
    <t>11/06/2013 12:00:47</t>
  </si>
  <si>
    <t>11/08/2013 13:06:47</t>
  </si>
  <si>
    <t>11/08/2013 16:29:01</t>
  </si>
  <si>
    <t>11/08/2013 17:57:27</t>
  </si>
  <si>
    <t>11/12/2013 09:41:01</t>
  </si>
  <si>
    <t>11/14/2013 18:10:32</t>
  </si>
  <si>
    <t>11/15/2013 15:08:17</t>
  </si>
  <si>
    <t>11/19/2013 17:24:13</t>
  </si>
  <si>
    <t>11/20/2013 19:20:48</t>
  </si>
  <si>
    <t>01/06/2014 17:44:24</t>
  </si>
  <si>
    <t>01/13/2014 20:41:13</t>
  </si>
  <si>
    <t>01/16/2014 18:26:48</t>
  </si>
  <si>
    <t>01/16/2014 20:16:37</t>
  </si>
  <si>
    <t>01/23/2014 18:13:25</t>
  </si>
  <si>
    <t>01/24/2014 15:11:15</t>
  </si>
  <si>
    <t>02/05/2014 18:35:10</t>
  </si>
  <si>
    <t>02/05/2014 21:18:35</t>
  </si>
  <si>
    <t>02/05/2014 21:44:13</t>
  </si>
  <si>
    <t>02/06/2014 20:49:40</t>
  </si>
  <si>
    <t>02/11/2014 12:13:56</t>
  </si>
  <si>
    <t>02/12/2014 17:12:15</t>
  </si>
  <si>
    <t>02/14/2014 08:47:46</t>
  </si>
  <si>
    <t>02/14/2014 14:45:05</t>
  </si>
  <si>
    <t>02/21/2014 14:52:19</t>
  </si>
  <si>
    <t>02/22/2014 02:12:37</t>
  </si>
  <si>
    <t>02/22/2014 14:26:51</t>
  </si>
  <si>
    <t>02/22/2014 14:41:09</t>
  </si>
  <si>
    <t>02/24/2014 12:16:11</t>
  </si>
  <si>
    <t>02/24/2014 14:28:57</t>
  </si>
  <si>
    <t>02/28/2014 20:19:52</t>
  </si>
  <si>
    <t>03/04/2014 12:57:11</t>
  </si>
  <si>
    <t>03/05/2014 17:50:26</t>
  </si>
  <si>
    <t>03/07/2014 17:02:53</t>
  </si>
  <si>
    <t>03/07/2014 20:24:55</t>
  </si>
  <si>
    <t>03/11/2014 19:54:45</t>
  </si>
  <si>
    <t>03/18/2014 17:52:12</t>
  </si>
  <si>
    <t>03/21/2014 17:35:22</t>
  </si>
  <si>
    <t>03/21/2014 19:27:08</t>
  </si>
  <si>
    <t>03/25/2014 17:51:15</t>
  </si>
  <si>
    <t>04/03/2014 15:28:23</t>
  </si>
  <si>
    <t>04/11/2014 17:24:32</t>
  </si>
  <si>
    <t>04/14/2014 13:01:59</t>
  </si>
  <si>
    <t>04/21/2014 13:06:11</t>
  </si>
  <si>
    <t>04/22/2014 00:10:01</t>
  </si>
  <si>
    <t>04/23/2014 17:33:00</t>
  </si>
  <si>
    <t>04/30/2014 17:10:51</t>
  </si>
  <si>
    <t>05/05/2014 19:24:00</t>
  </si>
  <si>
    <t>05/07/2014 12:08:41</t>
  </si>
  <si>
    <t>05/07/2014 17:38:16</t>
  </si>
  <si>
    <t>05/10/2014 19:36:14</t>
  </si>
  <si>
    <t>05/10/2014 20:25:37</t>
  </si>
  <si>
    <t>05/12/2014 13:35:38</t>
  </si>
  <si>
    <t>05/13/2014 00:26:37</t>
  </si>
  <si>
    <t>05/13/2014 01:42:58</t>
  </si>
  <si>
    <t>05/13/2014 18:52:12</t>
  </si>
  <si>
    <t>05/13/2014 19:31:33</t>
  </si>
  <si>
    <t>05/17/2014 13:34:49</t>
  </si>
  <si>
    <t>05/19/2014 22:39:07</t>
  </si>
  <si>
    <t>05/23/2014 13:51:31</t>
  </si>
  <si>
    <t>05/23/2014 15:54:36</t>
  </si>
  <si>
    <t>05/23/2014 17:25:48</t>
  </si>
  <si>
    <t>05/23/2014 17:59:22</t>
  </si>
  <si>
    <t>05/27/2014 18:18:12</t>
  </si>
  <si>
    <t>05/27/2014 18:24:20</t>
  </si>
  <si>
    <t>05/28/2014 03:36:50</t>
  </si>
  <si>
    <t>05/28/2014 03:36:51</t>
  </si>
  <si>
    <t>05/28/2014 12:44:21</t>
  </si>
  <si>
    <t>06/02/2014 16:29:44</t>
  </si>
  <si>
    <t>06/03/2014 15:25:04</t>
  </si>
  <si>
    <t>06/03/2014 19:17:37</t>
  </si>
  <si>
    <t>06/05/2014 14:56:55</t>
  </si>
  <si>
    <t>06/06/2014 14:16:09</t>
  </si>
  <si>
    <t>06/09/2014 15:53:46</t>
  </si>
  <si>
    <t>06/09/2014 19:55:41</t>
  </si>
  <si>
    <t>06/13/2014 21:18:53</t>
  </si>
  <si>
    <t>06/12/2014 18:42:41</t>
  </si>
  <si>
    <t>06/17/2014 17:19:15</t>
  </si>
  <si>
    <t>06/18/2014 11:41:32</t>
  </si>
  <si>
    <t>06/19/2014 17:13:08</t>
  </si>
  <si>
    <t>06/23/2014 15:27:53</t>
  </si>
  <si>
    <t>06/24/2014 18:39:41</t>
  </si>
  <si>
    <t>06/27/2014 18:05:53</t>
  </si>
  <si>
    <t>06/27/2014 16:48:55</t>
  </si>
  <si>
    <t>07/01/2014 08:09:15</t>
  </si>
  <si>
    <t>07/03/2014 01:33:22</t>
  </si>
  <si>
    <t>07/07/2014 18:14:07</t>
  </si>
  <si>
    <t>07/10/2014 13:03:11</t>
  </si>
  <si>
    <t>07/10/2014 19:29:11</t>
  </si>
  <si>
    <t>07/14/2014 18:57:04</t>
  </si>
  <si>
    <t>07/14/2014 19:41:52</t>
  </si>
  <si>
    <t>07/16/2014 16:55:49</t>
  </si>
  <si>
    <t>07/22/2014 07:47:16</t>
  </si>
  <si>
    <t>07/21/2014 14:39:15</t>
  </si>
  <si>
    <t>07/21/2014 23:16:57</t>
  </si>
  <si>
    <t>07/24/2014 04:59:23</t>
  </si>
  <si>
    <t>07/24/2014 11:19:47</t>
  </si>
  <si>
    <t>07/24/2014 12:43:45</t>
  </si>
  <si>
    <t>07/29/2014 18:30:32</t>
  </si>
  <si>
    <t>08/04/2014 15:17:08</t>
  </si>
  <si>
    <t>08/06/2014 12:34:39</t>
  </si>
  <si>
    <t>08/06/2014 17:42:07</t>
  </si>
  <si>
    <t>08/07/2014 03:58:54</t>
  </si>
  <si>
    <t>08/07/2014 17:00:24</t>
  </si>
  <si>
    <t>08/07/2014 19:01:02</t>
  </si>
  <si>
    <t>08/12/2014 11:50:43</t>
  </si>
  <si>
    <t>08/14/2014 18:37:36</t>
  </si>
  <si>
    <t>08/14/2014 19:24:08</t>
  </si>
  <si>
    <t>08/21/2014 00:35:55</t>
  </si>
  <si>
    <t>08/21/2014 04:29:36</t>
  </si>
  <si>
    <t>08/21/2014 18:09:08</t>
  </si>
  <si>
    <t>08/21/2014 18:19:34</t>
  </si>
  <si>
    <t>08/21/2014 18:52:38</t>
  </si>
  <si>
    <t>08/22/2014 03:13:26</t>
  </si>
  <si>
    <t>08/22/2014 17:48:41</t>
  </si>
  <si>
    <t>08/25/2014 19:39:54</t>
  </si>
  <si>
    <t>08/25/2014 21:35:09</t>
  </si>
  <si>
    <t>08/28/2014 13:24:45</t>
  </si>
  <si>
    <t>08/28/2014 15:47:13</t>
  </si>
  <si>
    <t>09/03/2014 18:00:06</t>
  </si>
  <si>
    <t>09/04/2014 21:20:10</t>
  </si>
  <si>
    <t>09/05/2014 15:23:09</t>
  </si>
  <si>
    <t>09/05/2014 16:41:24</t>
  </si>
  <si>
    <t>09/05/2014 17:59:58</t>
  </si>
  <si>
    <t>09/09/2014 00:45:56</t>
  </si>
  <si>
    <t>09/09/2014 19:28:34</t>
  </si>
  <si>
    <t>09/12/2014 16:51:18</t>
  </si>
  <si>
    <t>09/12/2014 22:12:25</t>
  </si>
  <si>
    <t>09/17/2014 12:18:16</t>
  </si>
  <si>
    <t>09/17/2014 13:21:57</t>
  </si>
  <si>
    <t>09/18/2014 11:32:12</t>
  </si>
  <si>
    <t>09/19/2014 17:02:26</t>
  </si>
  <si>
    <t>09/22/2014 16:12:27</t>
  </si>
  <si>
    <t>09/22/2014 18:32:28</t>
  </si>
  <si>
    <t>09/22/2014 19:03:00</t>
  </si>
  <si>
    <t>09/22/2014 21:12:46</t>
  </si>
  <si>
    <t>09/23/2014 16:05:28</t>
  </si>
  <si>
    <t>09/23/2014 18:18:23</t>
  </si>
  <si>
    <t>09/24/2014 11:15:20</t>
  </si>
  <si>
    <t>09/24/2014 16:33:31</t>
  </si>
  <si>
    <t>09/25/2014 14:10:02</t>
  </si>
  <si>
    <t>09/25/2014 14:24:16</t>
  </si>
  <si>
    <t>09/29/2014 14:52:32</t>
  </si>
  <si>
    <t>09/30/2014 13:29:14</t>
  </si>
  <si>
    <t>10/01/2014 16:54:48</t>
  </si>
  <si>
    <t>10/02/2014 05:43:05</t>
  </si>
  <si>
    <t>10/03/2014 13:28:33</t>
  </si>
  <si>
    <t>10/07/2014 12:57:10</t>
  </si>
  <si>
    <t>10/07/2014 19:19:37</t>
  </si>
  <si>
    <t>10/07/2014 19:52:01</t>
  </si>
  <si>
    <t>10/08/2014 18:28:44</t>
  </si>
  <si>
    <t>10/14/2014 20:40:14</t>
  </si>
  <si>
    <t>10/20/2014 19:09:44</t>
  </si>
  <si>
    <t>10/21/2014 13:34:53</t>
  </si>
  <si>
    <t>10/22/2014 20:09:22</t>
  </si>
  <si>
    <t>10/23/2014 19:04:21</t>
  </si>
  <si>
    <t>10/27/2014 12:22:25</t>
  </si>
  <si>
    <t>10/28/2014 14:22:47</t>
  </si>
  <si>
    <t>10/30/2014 07:00:37</t>
  </si>
  <si>
    <t>10/30/2014 10:13:13</t>
  </si>
  <si>
    <t>11/04/2014 05:47:17</t>
  </si>
  <si>
    <t>11/04/2014 19:04:33</t>
  </si>
  <si>
    <t>11/05/2014 12:25:31</t>
  </si>
  <si>
    <t>11/06/2014 00:17:18</t>
  </si>
  <si>
    <t>11/17/2014 12:37:18</t>
  </si>
  <si>
    <t>11/20/2014 12:32:51</t>
  </si>
  <si>
    <t>11/20/2014 14:09:14</t>
  </si>
  <si>
    <t>11/24/2014 18:23:54</t>
  </si>
  <si>
    <t>11/24/2014 23:43:09</t>
  </si>
  <si>
    <t>11/25/2014 11:40:41</t>
  </si>
  <si>
    <t>12/03/2014 16:40:39</t>
  </si>
  <si>
    <t>12/03/2014 20:15:42</t>
  </si>
  <si>
    <t>12/04/2014 13:40:50</t>
  </si>
  <si>
    <t>12/05/2014 13:32:45</t>
  </si>
  <si>
    <t>12/05/2014 16:58:09</t>
  </si>
  <si>
    <t>12/08/2014 17:48:58</t>
  </si>
  <si>
    <t>12/10/2014 14:11:29</t>
  </si>
  <si>
    <t>12/11/2014 12:23:45</t>
  </si>
  <si>
    <t>12/12/2014 15:43:26</t>
  </si>
  <si>
    <t>12/15/2014 12:50:01</t>
  </si>
  <si>
    <t>12/15/2014 14:43:12</t>
  </si>
  <si>
    <t>12/16/2014 17:35:13</t>
  </si>
  <si>
    <t>12/17/2014 14:46:03</t>
  </si>
  <si>
    <t>12/18/2014 08:44:53</t>
  </si>
  <si>
    <t>01/06/2015 18:05:40</t>
  </si>
  <si>
    <t>01/08/2015 15:47:09</t>
  </si>
  <si>
    <t>01/09/2015 05:07:45</t>
  </si>
  <si>
    <t>01/13/2015 15:42:38</t>
  </si>
  <si>
    <t>01/13/2015 16:06:57</t>
  </si>
  <si>
    <t>01/25/2015 22:22:59</t>
  </si>
  <si>
    <t>01/26/2015 14:09:52</t>
  </si>
  <si>
    <t>01/26/2015 16:58:46</t>
  </si>
  <si>
    <t>01/29/2015 18:47:13</t>
  </si>
  <si>
    <t>02/02/2015 20:14:22</t>
  </si>
  <si>
    <t>02/03/2015 11:51:07</t>
  </si>
  <si>
    <t>02/04/2015 23:00:11</t>
  </si>
  <si>
    <t>02/05/2015 16:46:39</t>
  </si>
  <si>
    <t>02/06/2015 11:36:38</t>
  </si>
  <si>
    <t>02/11/2015 21:41:55</t>
  </si>
  <si>
    <t>02/13/2015 06:16:34</t>
  </si>
  <si>
    <t>02/23/2015 10:36:29</t>
  </si>
  <si>
    <t>02/25/2015 19:10:29</t>
  </si>
  <si>
    <t>02/26/2015 13:48:31</t>
  </si>
  <si>
    <t>02/26/2015 14:40:34</t>
  </si>
  <si>
    <t>02/26/2015 19:01:33</t>
  </si>
  <si>
    <t>03/02/2015 18:31:45</t>
  </si>
  <si>
    <t>03/03/2015 13:20:06</t>
  </si>
  <si>
    <t>03/09/2015 14:33:24</t>
  </si>
  <si>
    <t>03/12/2015 15:31:22</t>
  </si>
  <si>
    <t>03/13/2015 11:45:40</t>
  </si>
  <si>
    <t>03/18/2015 19:12:41</t>
  </si>
  <si>
    <t>03/19/2015 17:31:56</t>
  </si>
  <si>
    <t>03/22/2015 13:16:58</t>
  </si>
  <si>
    <t>03/23/2015 17:21:47</t>
  </si>
  <si>
    <t>03/25/2015 17:10:03</t>
  </si>
  <si>
    <t>03/25/2015 17:27:33</t>
  </si>
  <si>
    <t>03/26/2015 20:04:16</t>
  </si>
  <si>
    <t>03/27/2015 16:10:37</t>
  </si>
  <si>
    <t>03/30/2015 12:51:01</t>
  </si>
  <si>
    <t>03/30/2015 14:18:50</t>
  </si>
  <si>
    <t>04/09/2015 09:07:22</t>
  </si>
  <si>
    <t>04/13/2015 19:32:09</t>
  </si>
  <si>
    <t>04/15/2015 19:17:16</t>
  </si>
  <si>
    <t>04/20/2015 09:47:55</t>
  </si>
  <si>
    <t>04/23/2015 15:25:42</t>
  </si>
  <si>
    <t>04/24/2015 14:44:17</t>
  </si>
  <si>
    <t>04/24/2015 15:33:08</t>
  </si>
  <si>
    <t>04/27/2015 14:57:07</t>
  </si>
  <si>
    <t>04/28/2015 17:44:30</t>
  </si>
  <si>
    <t>04/28/2015 18:57:12</t>
  </si>
  <si>
    <t>04/29/2015 13:19:49</t>
  </si>
  <si>
    <t>04/30/2015 12:28:49</t>
  </si>
  <si>
    <t>04/30/2015 17:53:21</t>
  </si>
  <si>
    <t>05/01/2015 13:07:48</t>
  </si>
  <si>
    <t>05/01/2015 16:02:49</t>
  </si>
  <si>
    <t>05/01/2015 17:48:03</t>
  </si>
  <si>
    <t>05/04/2015 17:34:15</t>
  </si>
  <si>
    <t>05/04/2015 18:18:31</t>
  </si>
  <si>
    <t>05/06/2015 04:54:30</t>
  </si>
  <si>
    <t>05/06/2015 16:34:31</t>
  </si>
  <si>
    <t>05/07/2015 17:48:24</t>
  </si>
  <si>
    <t>05/08/2015 15:42:57</t>
  </si>
  <si>
    <t>05/11/2015 16:18:17</t>
  </si>
  <si>
    <t>05/13/2015 17:40:44</t>
  </si>
  <si>
    <t>05/13/2015 18:07:41</t>
  </si>
  <si>
    <t>05/14/2015 14:50:23</t>
  </si>
  <si>
    <t>05/14/2015 17:39:59</t>
  </si>
  <si>
    <t>05/14/2015 20:46:05</t>
  </si>
  <si>
    <t>05/15/2015 17:03:39</t>
  </si>
  <si>
    <t>05/18/2015 16:23:21</t>
  </si>
  <si>
    <t>05/19/2015 02:12:23</t>
  </si>
  <si>
    <t>05/19/2015 12:06:48</t>
  </si>
  <si>
    <t>05/19/2015 21:03:29</t>
  </si>
  <si>
    <t>05/20/2015 20:43:27</t>
  </si>
  <si>
    <t>05/21/2015 03:38:23</t>
  </si>
  <si>
    <t>05/26/2015 01:17:04</t>
  </si>
  <si>
    <t>05/26/2015 17:35:31</t>
  </si>
  <si>
    <t>05/28/2015 11:36:16</t>
  </si>
  <si>
    <t>05/28/2015 12:09:19</t>
  </si>
  <si>
    <t>06/01/2015 04:48:23</t>
  </si>
  <si>
    <t>06/01/2015 10:17:19</t>
  </si>
  <si>
    <t>06/03/2015 20:12:09</t>
  </si>
  <si>
    <t>06/03/2015 22:16:17</t>
  </si>
  <si>
    <t>06/03/2015 22:23:36</t>
  </si>
  <si>
    <t>06/03/2015 22:42:38</t>
  </si>
  <si>
    <t>06/04/2015 13:51:33</t>
  </si>
  <si>
    <t>06/04/2015 14:55:13</t>
  </si>
  <si>
    <t>06/05/2015 02:36:04</t>
  </si>
  <si>
    <t>06/05/2015 18:10:59</t>
  </si>
  <si>
    <t>06/06/2015 21:31:45</t>
  </si>
  <si>
    <t>06/08/2015 17:36:30</t>
  </si>
  <si>
    <t>06/08/2015 18:35:35</t>
  </si>
  <si>
    <t>06/08/2015 21:18:11</t>
  </si>
  <si>
    <t>06/09/2015 08:33:08</t>
  </si>
  <si>
    <t>06/09/2015 14:10:16</t>
  </si>
  <si>
    <t>06/09/2015 14:46:40</t>
  </si>
  <si>
    <t>06/10/2015 19:48:40</t>
  </si>
  <si>
    <t>06/12/2015 15:50:01</t>
  </si>
  <si>
    <t>06/12/2015 16:31:07</t>
  </si>
  <si>
    <t>06/14/2015 17:03:43</t>
  </si>
  <si>
    <t>06/15/2015 13:42:33</t>
  </si>
  <si>
    <t>06/17/2015 04:56:34</t>
  </si>
  <si>
    <t>06/17/2015 08:22:54</t>
  </si>
  <si>
    <t>06/17/2015 15:08:54</t>
  </si>
  <si>
    <t>06/17/2015 15:45:36</t>
  </si>
  <si>
    <t>06/17/2015 16:08:40</t>
  </si>
  <si>
    <t>06/17/2015 18:38:56</t>
  </si>
  <si>
    <t>06/18/2015 05:24:30</t>
  </si>
  <si>
    <t>06/18/2015 13:00:27</t>
  </si>
  <si>
    <t>06/18/2015 15:46:45</t>
  </si>
  <si>
    <t>06/19/2015 08:25:39</t>
  </si>
  <si>
    <t>06/19/2015 12:44:28</t>
  </si>
  <si>
    <t>06/19/2015 13:12:03</t>
  </si>
  <si>
    <t>06/19/2015 19:40:59</t>
  </si>
  <si>
    <t>06/22/2015 16:47:48</t>
  </si>
  <si>
    <t>06/23/2015 15:46:49</t>
  </si>
  <si>
    <t>06/23/2015 16:35:15</t>
  </si>
  <si>
    <t>06/24/2015 04:10:07</t>
  </si>
  <si>
    <t>06/24/2015 16:20:58</t>
  </si>
  <si>
    <t>06/24/2015 18:30:05</t>
  </si>
  <si>
    <t>06/24/2015 22:18:06</t>
  </si>
  <si>
    <t>06/25/2015 13:31:46</t>
  </si>
  <si>
    <t>06/25/2015 14:55:50</t>
  </si>
  <si>
    <t>06/25/2015 17:38:49</t>
  </si>
  <si>
    <t>06/26/2015 12:18:23</t>
  </si>
  <si>
    <t>06/26/2015 15:24:47</t>
  </si>
  <si>
    <t>06/29/2015 12:50:06</t>
  </si>
  <si>
    <t>06/29/2015 18:24:47</t>
  </si>
  <si>
    <t>07/01/2015 18:53:41</t>
  </si>
  <si>
    <t>07/06/2015 15:42:25</t>
  </si>
  <si>
    <t>07/07/2015 11:43:29</t>
  </si>
  <si>
    <t>07/07/2015 16:22:06</t>
  </si>
  <si>
    <t>07/08/2015 01:24:02</t>
  </si>
  <si>
    <t>07/08/2015 16:18:19</t>
  </si>
  <si>
    <t>07/09/2015 11:13:09</t>
  </si>
  <si>
    <t>07/09/2015 13:21:50</t>
  </si>
  <si>
    <t>07/09/2015 13:32:11</t>
  </si>
  <si>
    <t>07/10/2015 14:02:50</t>
  </si>
  <si>
    <t>07/10/2015 18:44:44</t>
  </si>
  <si>
    <t>07/13/2015 12:07:31</t>
  </si>
  <si>
    <t>07/13/2015 20:01:41</t>
  </si>
  <si>
    <t>07/14/2015 15:57:53</t>
  </si>
  <si>
    <t>07/14/2015 16:42:38</t>
  </si>
  <si>
    <t>07/15/2015 15:41:20</t>
  </si>
  <si>
    <t>07/16/2015 12:01:09</t>
  </si>
  <si>
    <t>07/17/2015 16:10:04</t>
  </si>
  <si>
    <t>07/17/2015 19:34:45</t>
  </si>
  <si>
    <t>07/20/2015 16:42:25</t>
  </si>
  <si>
    <t>07/20/2015 21:25:47</t>
  </si>
  <si>
    <t>07/21/2015 16:29:51</t>
  </si>
  <si>
    <t>07/21/2015 18:55:05</t>
  </si>
  <si>
    <t>07/22/2015 07:45:18</t>
  </si>
  <si>
    <t>07/22/2015 16:03:12</t>
  </si>
  <si>
    <t>07/23/2015 11:56:12</t>
  </si>
  <si>
    <t>07/23/2015 23:58:11</t>
  </si>
  <si>
    <t>07/27/2015 07:45:19</t>
  </si>
  <si>
    <t>07/27/2015 12:05:59</t>
  </si>
  <si>
    <t>07/27/2015 12:06:13</t>
  </si>
  <si>
    <t>07/27/2015 13:15:16</t>
  </si>
  <si>
    <t>07/28/2015 01:13:02</t>
  </si>
  <si>
    <t>07/29/2015 15:33:30</t>
  </si>
  <si>
    <t>07/29/2015 17:18:45</t>
  </si>
  <si>
    <t>07/29/2015 21:55:38</t>
  </si>
  <si>
    <t>07/30/2015 13:34:11</t>
  </si>
  <si>
    <t>08/05/2015 13:39:09</t>
  </si>
  <si>
    <t>08/05/2015 16:39:24</t>
  </si>
  <si>
    <t>08/06/2015 14:58:38</t>
  </si>
  <si>
    <t>08/06/2015 20:45:33</t>
  </si>
  <si>
    <t>08/10/2015 11:49:48</t>
  </si>
  <si>
    <t>08/11/2015 09:09:22</t>
  </si>
  <si>
    <t>08/11/2015 11:29:40</t>
  </si>
  <si>
    <t>08/11/2015 11:54:48</t>
  </si>
  <si>
    <t>08/11/2015 16:00:18</t>
  </si>
  <si>
    <t>08/11/2015 19:43:21</t>
  </si>
  <si>
    <t>08/12/2015 02:41:02</t>
  </si>
  <si>
    <t>08/13/2015 15:23:13</t>
  </si>
  <si>
    <t>08/13/2015 15:27:29</t>
  </si>
  <si>
    <t>08/14/2015 18:19:48</t>
  </si>
  <si>
    <t>08/17/2015 12:16:57</t>
  </si>
  <si>
    <t>08/17/2015 20:13:56</t>
  </si>
  <si>
    <t>08/19/2015 09:37:00</t>
  </si>
  <si>
    <t>08/19/2015 18:44:54</t>
  </si>
  <si>
    <t>08/26/2015 15:33:17</t>
  </si>
  <si>
    <t>08/27/2015 10:17:25</t>
  </si>
  <si>
    <t>09/01/2015 19:17:00</t>
  </si>
  <si>
    <t>09/02/2015 12:09:51</t>
  </si>
  <si>
    <t>09/03/2015 13:39:51</t>
  </si>
  <si>
    <t>09/08/2015 15:19:08</t>
  </si>
  <si>
    <t>09/08/2015 20:11:23</t>
  </si>
  <si>
    <t>09/15/2015 19:29:52</t>
  </si>
  <si>
    <t>09/16/2015 16:27:10</t>
  </si>
  <si>
    <t>09/16/2015 16:28:37</t>
  </si>
  <si>
    <t>09/21/2015 19:50:11</t>
  </si>
  <si>
    <t>09/22/2015 15:51:12</t>
  </si>
  <si>
    <t>09/24/2015 16:51:37</t>
  </si>
  <si>
    <t>09/24/2015 17:08:12</t>
  </si>
  <si>
    <t>09/25/2015 12:08:03</t>
  </si>
  <si>
    <t>09/25/2015 13:22:17</t>
  </si>
  <si>
    <t>09/25/2015 13:44:19</t>
  </si>
  <si>
    <t>09/25/2015 13:44:50</t>
  </si>
  <si>
    <t>09/28/2015 11:19:50</t>
  </si>
  <si>
    <t>09/28/2015 13:08:41</t>
  </si>
  <si>
    <t>09/29/2015 15:43:35</t>
  </si>
  <si>
    <t>09/30/2015 15:22:21</t>
  </si>
  <si>
    <t>10/01/2015 13:33:52</t>
  </si>
  <si>
    <t>10/01/2015 15:41:47</t>
  </si>
  <si>
    <t>10/05/2015 15:46:52</t>
  </si>
  <si>
    <t>10/07/2015 07:57:56</t>
  </si>
  <si>
    <t>10/08/2015 14:52:37</t>
  </si>
  <si>
    <t>10/08/2015 15:20:16</t>
  </si>
  <si>
    <t>10/09/2015 14:33:25</t>
  </si>
  <si>
    <t>10/12/2015 15:48:15</t>
  </si>
  <si>
    <t>10/16/2015 17:34:21</t>
  </si>
  <si>
    <t>10/19/2015 18:01:03</t>
  </si>
  <si>
    <t>10/28/2015 12:10:44</t>
  </si>
  <si>
    <t>10/30/2015 18:38:16</t>
  </si>
  <si>
    <t>11/09/2015 11:46:08</t>
  </si>
  <si>
    <t>11/10/2015 16:47:47</t>
  </si>
  <si>
    <t>11/10/2015 19:21:38</t>
  </si>
  <si>
    <t>11/11/2015 15:32:51</t>
  </si>
  <si>
    <t>11/11/2015 18:24:45</t>
  </si>
  <si>
    <t>11/16/2015 21:00:49</t>
  </si>
  <si>
    <t>11/16/2015 21:06:42</t>
  </si>
  <si>
    <t>11/17/2015 16:12:45</t>
  </si>
  <si>
    <t>11/18/2015 14:20:12</t>
  </si>
  <si>
    <t>11/19/2015 11:57:26</t>
  </si>
  <si>
    <t>11/19/2015 12:46:30</t>
  </si>
  <si>
    <t>11/27/2015 08:37:54</t>
  </si>
  <si>
    <t>12/02/2015 00:12:32</t>
  </si>
  <si>
    <t>12/02/2015 20:33:42</t>
  </si>
  <si>
    <t>12/03/2015 12:55:57</t>
  </si>
  <si>
    <t>12/03/2015 18:45:20</t>
  </si>
  <si>
    <t>12/04/2015 18:41:15</t>
  </si>
  <si>
    <t>12/08/2015 18:21:11</t>
  </si>
  <si>
    <t>12/08/2015 21:41:46</t>
  </si>
  <si>
    <t>12/09/2015 08:50:21</t>
  </si>
  <si>
    <t>12/14/2015 07:47:55</t>
  </si>
  <si>
    <t>12/14/2015 17:03:03</t>
  </si>
  <si>
    <t>12/14/2015 18:42:33</t>
  </si>
  <si>
    <t>12/14/2015 23:31:24</t>
  </si>
  <si>
    <t>12/18/2015 18:37:09</t>
  </si>
  <si>
    <t>12/21/2015 07:06:26</t>
  </si>
  <si>
    <t>01/07/2016 13:44:00</t>
  </si>
  <si>
    <t>01/07/2016 15:12:17</t>
  </si>
  <si>
    <t>01/11/2016 10:29:13</t>
  </si>
  <si>
    <t>01/11/2016 12:17:33</t>
  </si>
  <si>
    <t>01/11/2016 14:51:26</t>
  </si>
  <si>
    <t>01/13/2016 08:27:01</t>
  </si>
  <si>
    <t>01/13/2016 09:11:26</t>
  </si>
  <si>
    <t>01/13/2016 18:00:34</t>
  </si>
  <si>
    <t>01/13/2016 18:02:22</t>
  </si>
  <si>
    <t>01/13/2016 20:19:45</t>
  </si>
  <si>
    <t>01/14/2016 20:38:28</t>
  </si>
  <si>
    <t>01/21/2016 16:31:26</t>
  </si>
  <si>
    <t>01/22/2016 13:23:47</t>
  </si>
  <si>
    <t>01/22/2016 17:01:12</t>
  </si>
  <si>
    <t>01/23/2016 23:27:08</t>
  </si>
  <si>
    <t>01/25/2016 10:13:15</t>
  </si>
  <si>
    <t>01/27/2016 09:32:53</t>
  </si>
  <si>
    <t>01/27/2016 10:16:59</t>
  </si>
  <si>
    <t>01/27/2016 14:46:17</t>
  </si>
  <si>
    <t>01/27/2016 16:19:44</t>
  </si>
  <si>
    <t>01/28/2016 07:24:51</t>
  </si>
  <si>
    <t>01/28/2016 09:49:40</t>
  </si>
  <si>
    <t>01/29/2016 12:50:49</t>
  </si>
  <si>
    <t>01/29/2016 16:37:48</t>
  </si>
  <si>
    <t>01/29/2016 18:11:05</t>
  </si>
  <si>
    <t>01/29/2016 20:43:28</t>
  </si>
  <si>
    <t>02/01/2016 12:59:06</t>
  </si>
  <si>
    <t>02/01/2016 14:23:35</t>
  </si>
  <si>
    <t>02/01/2016 19:55:53</t>
  </si>
  <si>
    <t>02/01/2016 19:57:56</t>
  </si>
  <si>
    <t>02/02/2016 17:07:29</t>
  </si>
  <si>
    <t>02/02/2016 17:25:14</t>
  </si>
  <si>
    <t>02/05/2016 15:34:47</t>
  </si>
  <si>
    <t>02/05/2016 18:15:44</t>
  </si>
  <si>
    <t>02/05/2016 18:55:34</t>
  </si>
  <si>
    <t>02/05/2016 18:58:28</t>
  </si>
  <si>
    <t>02/08/2016 05:23:21</t>
  </si>
  <si>
    <t>02/08/2016 12:22:02</t>
  </si>
  <si>
    <t>02/08/2016 16:23:40</t>
  </si>
  <si>
    <t>02/09/2016 20:09:07</t>
  </si>
  <si>
    <t>02/10/2016 16:32:53</t>
  </si>
  <si>
    <t>02/11/2016 13:20:23</t>
  </si>
  <si>
    <t>02/11/2016 13:40:26</t>
  </si>
  <si>
    <t>02/16/2016 20:44:09</t>
  </si>
  <si>
    <t>02/17/2016 14:43:47</t>
  </si>
  <si>
    <t>02/17/2016 14:50:08</t>
  </si>
  <si>
    <t>02/17/2016 19:42:31</t>
  </si>
  <si>
    <t>02/18/2016 07:54:29</t>
  </si>
  <si>
    <t>02/18/2016 11:13:54</t>
  </si>
  <si>
    <t>02/18/2016 13:36:43</t>
  </si>
  <si>
    <t>02/18/2016 14:36:02</t>
  </si>
  <si>
    <t>02/18/2016 23:57:29</t>
  </si>
  <si>
    <t>02/19/2016 17:20:17</t>
  </si>
  <si>
    <t>02/22/2016 07:04:05</t>
  </si>
  <si>
    <t>02/22/2016 16:54:41</t>
  </si>
  <si>
    <t>02/23/2016 13:54:16</t>
  </si>
  <si>
    <t>02/23/2016 18:27:16</t>
  </si>
  <si>
    <t>02/24/2016 06:47:30</t>
  </si>
  <si>
    <t>02/24/2016 12:27:51</t>
  </si>
  <si>
    <t>02/25/2016 17:42:53</t>
  </si>
  <si>
    <t>02/25/2016 18:50:33</t>
  </si>
  <si>
    <t>02/26/2016 02:56:21</t>
  </si>
  <si>
    <t>02/26/2016 18:42:20</t>
  </si>
  <si>
    <t>03/01/2016 15:16:45</t>
  </si>
  <si>
    <t>03/02/2016 05:13:49</t>
  </si>
  <si>
    <t>03/02/2016 08:33:23</t>
  </si>
  <si>
    <t>03/02/2016 15:42:45</t>
  </si>
  <si>
    <t>03/03/2016 11:34:49</t>
  </si>
  <si>
    <t>03/04/2016 19:04:18</t>
  </si>
  <si>
    <t>03/04/2016 20:28:37</t>
  </si>
  <si>
    <t>03/07/2016 18:06:12</t>
  </si>
  <si>
    <t>03/08/2016 10:01:47</t>
  </si>
  <si>
    <t>03/08/2016 11:54:20</t>
  </si>
  <si>
    <t>03/08/2016 11:56:34</t>
  </si>
  <si>
    <t>03/08/2016 16:58:52</t>
  </si>
  <si>
    <t>03/09/2016 10:22:46</t>
  </si>
  <si>
    <t>03/09/2016 12:38:08</t>
  </si>
  <si>
    <t>03/09/2016 15:27:13</t>
  </si>
  <si>
    <t>03/09/2016 17:43:25</t>
  </si>
  <si>
    <t>03/10/2016 08:33:05</t>
  </si>
  <si>
    <t>03/11/2016 07:14:38</t>
  </si>
  <si>
    <t>03/11/2016 08:55:41</t>
  </si>
  <si>
    <t>03/11/2016 13:54:40</t>
  </si>
  <si>
    <t>03/11/2016 14:03:04</t>
  </si>
  <si>
    <t>03/11/2016 20:19:29</t>
  </si>
  <si>
    <t>03/14/2016 00:32:35</t>
  </si>
  <si>
    <t>03/14/2016 01:16:18</t>
  </si>
  <si>
    <t>03/14/2016 11:46:59</t>
  </si>
  <si>
    <t>03/14/2016 13:59:53</t>
  </si>
  <si>
    <t>03/15/2016 08:31:17</t>
  </si>
  <si>
    <t>03/15/2016 13:26:33</t>
  </si>
  <si>
    <t>03/15/2016 15:48:13</t>
  </si>
  <si>
    <t>03/16/2016 09:03:30</t>
  </si>
  <si>
    <t>03/16/2016 11:30:26</t>
  </si>
  <si>
    <t>03/16/2016 13:04:16</t>
  </si>
  <si>
    <t>03/16/2016 16:22:37</t>
  </si>
  <si>
    <t>03/16/2016 20:26:41</t>
  </si>
  <si>
    <t>03/17/2016 04:45:17</t>
  </si>
  <si>
    <t>03/17/2016 12:29:22</t>
  </si>
  <si>
    <t>03/17/2016 14:25:48</t>
  </si>
  <si>
    <t>03/18/2016 11:50:30</t>
  </si>
  <si>
    <t>03/18/2016 16:24:16</t>
  </si>
  <si>
    <t>03/18/2016 17:53:00</t>
  </si>
  <si>
    <t>03/21/2016 09:51:30</t>
  </si>
  <si>
    <t>03/22/2016 09:06:32</t>
  </si>
  <si>
    <t>03/22/2016 14:04:32</t>
  </si>
  <si>
    <t>03/22/2016 14:58:42</t>
  </si>
  <si>
    <t>03/22/2016 16:22:07</t>
  </si>
  <si>
    <t>03/22/2016 16:26:35</t>
  </si>
  <si>
    <t>03/22/2016 16:46:04</t>
  </si>
  <si>
    <t>03/22/2016 17:00:32</t>
  </si>
  <si>
    <t>03/22/2016 18:10:00</t>
  </si>
  <si>
    <t>03/23/2016 12:54:01</t>
  </si>
  <si>
    <t>03/23/2016 15:33:13</t>
  </si>
  <si>
    <t>03/24/2016 06:43:38</t>
  </si>
  <si>
    <t>03/24/2016 08:22:41</t>
  </si>
  <si>
    <t>03/24/2016 14:35:18</t>
  </si>
  <si>
    <t>03/24/2016 16:22:42</t>
  </si>
  <si>
    <t>03/24/2016 16:24:28</t>
  </si>
  <si>
    <t>03/24/2016 17:51:44</t>
  </si>
  <si>
    <t>03/24/2016 23:27:33</t>
  </si>
  <si>
    <t>03/25/2016 10:20:27</t>
  </si>
  <si>
    <t>03/25/2016 11:19:59</t>
  </si>
  <si>
    <t>03/25/2016 18:41:01</t>
  </si>
  <si>
    <t>03/28/2016 12:36:55</t>
  </si>
  <si>
    <t>03/29/2016 09:49:22</t>
  </si>
  <si>
    <t>03/29/2016 10:55:27</t>
  </si>
  <si>
    <t>03/29/2016 13:28:23</t>
  </si>
  <si>
    <t>03/29/2016 16:40:47</t>
  </si>
  <si>
    <t>03/29/2016 19:35:19</t>
  </si>
  <si>
    <t>03/29/2016 21:55:46</t>
  </si>
  <si>
    <t>03/30/2016 16:49:34</t>
  </si>
  <si>
    <t>03/30/2016 20:15:24</t>
  </si>
  <si>
    <t>03/31/2016 12:24:06</t>
  </si>
  <si>
    <t>03/31/2016 21:39:41</t>
  </si>
  <si>
    <t>04/01/2016 05:15:45</t>
  </si>
  <si>
    <t>04/01/2016 12:05:31</t>
  </si>
  <si>
    <t>04/01/2016 15:52:39</t>
  </si>
  <si>
    <t>04/04/2016 19:15:43</t>
  </si>
  <si>
    <t>04/05/2016 09:33:46</t>
  </si>
  <si>
    <t>04/05/2016 13:34:54</t>
  </si>
  <si>
    <t>04/06/2016 09:36:09</t>
  </si>
  <si>
    <t>04/06/2016 13:48:30</t>
  </si>
  <si>
    <t>04/06/2016 15:22:39</t>
  </si>
  <si>
    <t>04/06/2016 16:15:54</t>
  </si>
  <si>
    <t>04/06/2016 20:16:55</t>
  </si>
  <si>
    <t>04/07/2016 14:36:42</t>
  </si>
  <si>
    <t>04/08/2016 15:11:37</t>
  </si>
  <si>
    <t>04/08/2016 15:17:33</t>
  </si>
  <si>
    <t>04/10/2016 20:32:49</t>
  </si>
  <si>
    <t>04/10/2016 22:23:58</t>
  </si>
  <si>
    <t>04/12/2016 13:48:26</t>
  </si>
  <si>
    <t>04/13/2016 15:02:06</t>
  </si>
  <si>
    <t>04/13/2016 15:10:40</t>
  </si>
  <si>
    <t>04/14/2016 00:52:10</t>
  </si>
  <si>
    <t>04/14/2016 11:29:14</t>
  </si>
  <si>
    <t>04/14/2016 17:04:00</t>
  </si>
  <si>
    <t>04/14/2016 17:38:14</t>
  </si>
  <si>
    <t>04/14/2016 19:41:10</t>
  </si>
  <si>
    <t>04/15/2016 12:30:22</t>
  </si>
  <si>
    <t>04/20/2016 11:55:42</t>
  </si>
  <si>
    <t>04/20/2016 17:12:38</t>
  </si>
  <si>
    <t>04/21/2016 12:02:30</t>
  </si>
  <si>
    <t>04/21/2016 14:07:37</t>
  </si>
  <si>
    <t>04/21/2016 14:22:43</t>
  </si>
  <si>
    <t>04/21/2016 18:24:10</t>
  </si>
  <si>
    <t>04/22/2016 06:09:59</t>
  </si>
  <si>
    <t>04/22/2016 08:09:48</t>
  </si>
  <si>
    <t>04/22/2016 17:07:46</t>
  </si>
  <si>
    <t>04/25/2016 11:29:20</t>
  </si>
  <si>
    <t>04/26/2016 08:13:49</t>
  </si>
  <si>
    <t>04/26/2016 17:27:12</t>
  </si>
  <si>
    <t>04/27/2016 14:39:25</t>
  </si>
  <si>
    <t>04/27/2016 15:07:05</t>
  </si>
  <si>
    <t>04/28/2016 11:46:27</t>
  </si>
  <si>
    <t>04/28/2016 14:57:31</t>
  </si>
  <si>
    <t>04/28/2016 15:33:42</t>
  </si>
  <si>
    <t>04/28/2016 20:21:13</t>
  </si>
  <si>
    <t>05/01/2016 23:26:25</t>
  </si>
  <si>
    <t>05/02/2016 16:27:57</t>
  </si>
  <si>
    <t>05/02/2016 19:49:40</t>
  </si>
  <si>
    <t>05/03/2016 13:12:25</t>
  </si>
  <si>
    <t>05/03/2016 19:31:59</t>
  </si>
  <si>
    <t>05/03/2016 19:34:49</t>
  </si>
  <si>
    <t>05/03/2016 20:08:36</t>
  </si>
  <si>
    <t>05/03/2016 20:11:23</t>
  </si>
  <si>
    <t>05/04/2016 11:04:14</t>
  </si>
  <si>
    <t>05/04/2016 12:32:01</t>
  </si>
  <si>
    <t>05/04/2016 17:55:52</t>
  </si>
  <si>
    <t>05/05/2016 11:34:01</t>
  </si>
  <si>
    <t>05/09/2016 16:57:19</t>
  </si>
  <si>
    <t>05/09/2016 17:17:30</t>
  </si>
  <si>
    <t>05/09/2016 19:01:28</t>
  </si>
  <si>
    <t>05/09/2016 19:16:50</t>
  </si>
  <si>
    <t>05/10/2016 19:09:38</t>
  </si>
  <si>
    <t>05/11/2016 15:34:04</t>
  </si>
  <si>
    <t>05/12/2016 11:12:01</t>
  </si>
  <si>
    <t>05/12/2016 11:50:46</t>
  </si>
  <si>
    <t>05/12/2016 12:02:44</t>
  </si>
  <si>
    <t>05/13/2016 03:45:23</t>
  </si>
  <si>
    <t>05/13/2016 17:08:16</t>
  </si>
  <si>
    <t>05/13/2016 23:53:24</t>
  </si>
  <si>
    <t>05/16/2016 16:48:04</t>
  </si>
  <si>
    <t>05/17/2016 14:04:37</t>
  </si>
  <si>
    <t>05/17/2016 14:04:40</t>
  </si>
  <si>
    <t>05/19/2016 14:34:08</t>
  </si>
  <si>
    <t>05/19/2016 15:27:24</t>
  </si>
  <si>
    <t>05/20/2016 10:16:44</t>
  </si>
  <si>
    <t>05/24/2016 12:35:33</t>
  </si>
  <si>
    <t>05/24/2016 13:59:34</t>
  </si>
  <si>
    <t>05/24/2016 14:15:00</t>
  </si>
  <si>
    <t>05/24/2016 14:43:37</t>
  </si>
  <si>
    <t>05/25/2016 11:55:04</t>
  </si>
  <si>
    <t>05/25/2016 12:11:38</t>
  </si>
  <si>
    <t>05/25/2016 20:31:15</t>
  </si>
  <si>
    <t>05/27/2016 11:53:51</t>
  </si>
  <si>
    <t>05/27/2016 15:09:13</t>
  </si>
  <si>
    <t>05/28/2016 13:39:05</t>
  </si>
  <si>
    <t>06/01/2016 17:58:10</t>
  </si>
  <si>
    <t>06/01/2016 20:15:35</t>
  </si>
  <si>
    <t>06/02/2016 13:48:52</t>
  </si>
  <si>
    <t>06/03/2016 13:30:00</t>
  </si>
  <si>
    <t>06/03/2016 15:19:36</t>
  </si>
  <si>
    <t>06/03/2016 20:25:05</t>
  </si>
  <si>
    <t>06/04/2016 12:50:53</t>
  </si>
  <si>
    <t>06/06/2016 18:35:37</t>
  </si>
  <si>
    <t>06/08/2016 15:13:25</t>
  </si>
  <si>
    <t>06/08/2016 17:10:04</t>
  </si>
  <si>
    <t>06/10/2016 16:10:28</t>
  </si>
  <si>
    <t>06/10/2016 20:09:54</t>
  </si>
  <si>
    <t>06/13/2016 12:06:24</t>
  </si>
  <si>
    <t>06/13/2016 16:24:46</t>
  </si>
  <si>
    <t>06/13/2016 16:26:45</t>
  </si>
  <si>
    <t>06/13/2016 17:45:28</t>
  </si>
  <si>
    <t>06/14/2016 18:52:01</t>
  </si>
  <si>
    <t>06/15/2016 12:48:32</t>
  </si>
  <si>
    <t>06/15/2016 12:56:58</t>
  </si>
  <si>
    <t>06/15/2016 13:59:53</t>
  </si>
  <si>
    <t>06/17/2016 12:11:54</t>
  </si>
  <si>
    <t>06/17/2016 19:36:33</t>
  </si>
  <si>
    <t>06/17/2016 19:38:43</t>
  </si>
  <si>
    <t>06/17/2016 21:12:22</t>
  </si>
  <si>
    <t>06/17/2016 21:20:01</t>
  </si>
  <si>
    <t>06/17/2016 21:20:03</t>
  </si>
  <si>
    <t>06/17/2016 21:20:06</t>
  </si>
  <si>
    <t>06/17/2016 21:20:07</t>
  </si>
  <si>
    <t>06/20/2016 07:22:01</t>
  </si>
  <si>
    <t>06/20/2016 11:03:06</t>
  </si>
  <si>
    <t>06/20/2016 13:06:29</t>
  </si>
  <si>
    <t>06/20/2016 20:00:08</t>
  </si>
  <si>
    <t>06/20/2016 20:01:18</t>
  </si>
  <si>
    <t>06/20/2016 20:10:37</t>
  </si>
  <si>
    <t>06/21/2016 08:08:39</t>
  </si>
  <si>
    <t>06/21/2016 09:51:06</t>
  </si>
  <si>
    <t>06/21/2016 12:35:12</t>
  </si>
  <si>
    <t>06/21/2016 18:13:04</t>
  </si>
  <si>
    <t>06/22/2016 12:20:07</t>
  </si>
  <si>
    <t>06/22/2016 18:40:21</t>
  </si>
  <si>
    <t>06/23/2016 09:17:56</t>
  </si>
  <si>
    <t>06/23/2016 15:50:39</t>
  </si>
  <si>
    <t>06/23/2016 17:05:45</t>
  </si>
  <si>
    <t>06/24/2016 12:37:37</t>
  </si>
  <si>
    <t>06/24/2016 12:39:30</t>
  </si>
  <si>
    <t>06/24/2016 16:11:29</t>
  </si>
  <si>
    <t>06/24/2016 16:20:41</t>
  </si>
  <si>
    <t>06/27/2016 12:01:32</t>
  </si>
  <si>
    <t>06/27/2016 13:46:09</t>
  </si>
  <si>
    <t>06/27/2016 16:56:04</t>
  </si>
  <si>
    <t>06/27/2016 18:12:09</t>
  </si>
  <si>
    <t>06/28/2016 11:58:32</t>
  </si>
  <si>
    <t>06/28/2016 15:37:35</t>
  </si>
  <si>
    <t>06/28/2016 16:13:41</t>
  </si>
  <si>
    <t>07/01/2016 11:40:01</t>
  </si>
  <si>
    <t>07/01/2016 12:21:53</t>
  </si>
  <si>
    <t>07/01/2016 18:43:38</t>
  </si>
  <si>
    <t>07/01/2016 19:50:23</t>
  </si>
  <si>
    <t>07/06/2016 19:12:11</t>
  </si>
  <si>
    <t>07/07/2016 14:54:23</t>
  </si>
  <si>
    <t>07/07/2016 18:00:00</t>
  </si>
  <si>
    <t>07/08/2016 14:16:20</t>
  </si>
  <si>
    <t>07/08/2016 14:55:19</t>
  </si>
  <si>
    <t>07/08/2016 16:01:05</t>
  </si>
  <si>
    <t>07/08/2016 16:36:55</t>
  </si>
  <si>
    <t>07/08/2016 18:43:39</t>
  </si>
  <si>
    <t>07/11/2016 14:52:20</t>
  </si>
  <si>
    <t>07/15/2016 11:23:52</t>
  </si>
  <si>
    <t>07/18/2016 18:26:09</t>
  </si>
  <si>
    <t>07/19/2016 13:42:47</t>
  </si>
  <si>
    <t>07/20/2016 12:33:23</t>
  </si>
  <si>
    <t>07/20/2016 13:17:53</t>
  </si>
  <si>
    <t>07/21/2016 09:25:36</t>
  </si>
  <si>
    <t>07/25/2016 04:38:22</t>
  </si>
  <si>
    <t>07/27/2016 16:13:11</t>
  </si>
  <si>
    <t>07/28/2016 16:38:12</t>
  </si>
  <si>
    <t>07/29/2016 08:43:47</t>
  </si>
  <si>
    <t>08/01/2016 13:03:07</t>
  </si>
  <si>
    <t>08/01/2016 13:06:01</t>
  </si>
  <si>
    <t>08/01/2016 13:12:17</t>
  </si>
  <si>
    <t>08/01/2016 14:51:16</t>
  </si>
  <si>
    <t>08/02/2016 03:34:29</t>
  </si>
  <si>
    <t>08/02/2016 10:48:36</t>
  </si>
  <si>
    <t>08/02/2016 12:37:52</t>
  </si>
  <si>
    <t>08/02/2016 13:24:52</t>
  </si>
  <si>
    <t>08/02/2016 15:50:35</t>
  </si>
  <si>
    <t>08/02/2016 16:43:34</t>
  </si>
  <si>
    <t>08/02/2016 16:51:36</t>
  </si>
  <si>
    <t>08/03/2016 05:05:05</t>
  </si>
  <si>
    <t>08/03/2016 10:11:42</t>
  </si>
  <si>
    <t>08/03/2016 12:22:30</t>
  </si>
  <si>
    <t>08/03/2016 13:39:08</t>
  </si>
  <si>
    <t>08/03/2016 15:40:30</t>
  </si>
  <si>
    <t>08/03/2016 16:32:11</t>
  </si>
  <si>
    <t>08/05/2016 15:21:25</t>
  </si>
  <si>
    <t>08/08/2016 16:07:22</t>
  </si>
  <si>
    <t>08/09/2016 09:44:50</t>
  </si>
  <si>
    <t>08/09/2016 12:58:04</t>
  </si>
  <si>
    <t>08/10/2016 08:17:27</t>
  </si>
  <si>
    <t>08/10/2016 10:15:03</t>
  </si>
  <si>
    <t>08/10/2016 10:30:46</t>
  </si>
  <si>
    <t>08/10/2016 11:48:56</t>
  </si>
  <si>
    <t>08/10/2016 13:02:36</t>
  </si>
  <si>
    <t>08/10/2016 19:55:45</t>
  </si>
  <si>
    <t>08/10/2016 20:42:06</t>
  </si>
  <si>
    <t>08/11/2016 08:25:19</t>
  </si>
  <si>
    <t>08/11/2016 08:29:35</t>
  </si>
  <si>
    <t>08/11/2016 16:05:55</t>
  </si>
  <si>
    <t>08/11/2016 16:13:00</t>
  </si>
  <si>
    <t>08/12/2016 11:17:40</t>
  </si>
  <si>
    <t>08/12/2016 14:59:56</t>
  </si>
  <si>
    <t>08/12/2016 15:59:04</t>
  </si>
  <si>
    <t>08/15/2016 08:32:52</t>
  </si>
  <si>
    <t>08/15/2016 15:04:01</t>
  </si>
  <si>
    <t>08/16/2016 16:47:42</t>
  </si>
  <si>
    <t>08/17/2016 12:41:21</t>
  </si>
  <si>
    <t>08/17/2016 15:28:17</t>
  </si>
  <si>
    <t>08/17/2016 15:38:48</t>
  </si>
  <si>
    <t>08/17/2016 17:55:03</t>
  </si>
  <si>
    <t>08/18/2016 18:21:48</t>
  </si>
  <si>
    <t>08/19/2016 03:37:01</t>
  </si>
  <si>
    <t>08/19/2016 11:55:26</t>
  </si>
  <si>
    <t>08/19/2016 12:29:48</t>
  </si>
  <si>
    <t>08/19/2016 14:59:36</t>
  </si>
  <si>
    <t>08/19/2016 16:57:30</t>
  </si>
  <si>
    <t>08/22/2016 08:57:55</t>
  </si>
  <si>
    <t>08/22/2016 10:55:13</t>
  </si>
  <si>
    <t>08/22/2016 13:59:37</t>
  </si>
  <si>
    <t>08/22/2016 18:22:37</t>
  </si>
  <si>
    <t>08/23/2016 10:38:00</t>
  </si>
  <si>
    <t>08/23/2016 11:15:49</t>
  </si>
  <si>
    <t>08/23/2016 12:37:21</t>
  </si>
  <si>
    <t>08/23/2016 16:51:14</t>
  </si>
  <si>
    <t>08/23/2016 16:54:40</t>
  </si>
  <si>
    <t>08/24/2016 06:21:54</t>
  </si>
  <si>
    <t>08/24/2016 12:41:47</t>
  </si>
  <si>
    <t>08/24/2016 15:37:13</t>
  </si>
  <si>
    <t>08/24/2016 15:45:02</t>
  </si>
  <si>
    <t>08/24/2016 16:55:54</t>
  </si>
  <si>
    <t>08/24/2016 17:51:49</t>
  </si>
  <si>
    <t>08/25/2016 13:12:39</t>
  </si>
  <si>
    <t>08/25/2016 17:40:18</t>
  </si>
  <si>
    <t>08/25/2016 18:27:39</t>
  </si>
  <si>
    <t>08/26/2016 12:12:42</t>
  </si>
  <si>
    <t>08/26/2016 14:28:33</t>
  </si>
  <si>
    <t>08/26/2016 15:42:31</t>
  </si>
  <si>
    <t>08/29/2016 13:49:31</t>
  </si>
  <si>
    <t>08/29/2016 15:34:22</t>
  </si>
  <si>
    <t>08/30/2016 17:36:08</t>
  </si>
  <si>
    <t>08/31/2016 12:46:47</t>
  </si>
  <si>
    <t>09/02/2016 15:23:20</t>
  </si>
  <si>
    <t>09/07/2016 09:52:17</t>
  </si>
  <si>
    <t>09/07/2016 17:58:11</t>
  </si>
  <si>
    <t>09/12/2016 06:44:25</t>
  </si>
  <si>
    <t>09/12/2016 21:34:28</t>
  </si>
  <si>
    <t>09/13/2016 16:36:42</t>
  </si>
  <si>
    <t>09/13/2016 18:03:44</t>
  </si>
  <si>
    <t>09/14/2016 16:29:57</t>
  </si>
  <si>
    <t>09/14/2016 17:25:06</t>
  </si>
  <si>
    <t>09/19/2016 02:57:28</t>
  </si>
  <si>
    <t>09/20/2016 00:56:27</t>
  </si>
  <si>
    <t>09/23/2016 11:15:09</t>
  </si>
  <si>
    <t>09/26/2016 08:15:03</t>
  </si>
  <si>
    <t>09/26/2016 08:22:52</t>
  </si>
  <si>
    <t>09/27/2016 12:54:07</t>
  </si>
  <si>
    <t>09/28/2016 11:39:03</t>
  </si>
  <si>
    <t>09/28/2016 14:02:16</t>
  </si>
  <si>
    <t>10/03/2016 11:55:50</t>
  </si>
  <si>
    <t>10/04/2016 01:47:05</t>
  </si>
  <si>
    <t>10/04/2016 07:54:25</t>
  </si>
  <si>
    <t>10/04/2016 13:17:02</t>
  </si>
  <si>
    <t>10/05/2016 08:47:33</t>
  </si>
  <si>
    <t>10/06/2016 17:44:55</t>
  </si>
  <si>
    <t>10/06/2016 17:46:26</t>
  </si>
  <si>
    <t>10/06/2016 17:51:59</t>
  </si>
  <si>
    <t>10/07/2016 16:34:33</t>
  </si>
  <si>
    <t>10/10/2016 16:59:30</t>
  </si>
  <si>
    <t>10/10/2016 16:59:32</t>
  </si>
  <si>
    <t>10/12/2016 22:43:01</t>
  </si>
  <si>
    <t>10/13/2016 15:46:23</t>
  </si>
  <si>
    <t>10/17/2016 16:37:22</t>
  </si>
  <si>
    <t>10/19/2016 10:39:08</t>
  </si>
  <si>
    <t>10/20/2016 16:56:43</t>
  </si>
  <si>
    <t>10/21/2016 17:15:12</t>
  </si>
  <si>
    <t>10/24/2016 08:36:25</t>
  </si>
  <si>
    <t>10/24/2016 20:40:10</t>
  </si>
  <si>
    <t>10/25/2016 19:26:00</t>
  </si>
  <si>
    <t>10/27/2016 18:11:14</t>
  </si>
  <si>
    <t>10/28/2016 13:48:50</t>
  </si>
  <si>
    <t>10/28/2016 13:58:34</t>
  </si>
  <si>
    <t>10/28/2016 18:52:08</t>
  </si>
  <si>
    <t>11/03/2016 11:11:11</t>
  </si>
  <si>
    <t>11/03/2016 11:58:14</t>
  </si>
  <si>
    <t>11/07/2016 18:54:23</t>
  </si>
  <si>
    <t>11/08/2016 12:14:58</t>
  </si>
  <si>
    <t>11/08/2016 18:56:45</t>
  </si>
  <si>
    <t>11/09/2016 01:11:42</t>
  </si>
  <si>
    <t>11/09/2016 18:12:33</t>
  </si>
  <si>
    <t>11/10/2016 16:02:31</t>
  </si>
  <si>
    <t>11/10/2016 16:46:36</t>
  </si>
  <si>
    <t>11/11/2016 09:07:38</t>
  </si>
  <si>
    <t>11/16/2016 08:16:37</t>
  </si>
  <si>
    <t>11/16/2016 17:21:46</t>
  </si>
  <si>
    <t>11/16/2016 18:39:23</t>
  </si>
  <si>
    <t>11/17/2016 16:48:16</t>
  </si>
  <si>
    <t>11/20/2016 20:03:16</t>
  </si>
  <si>
    <t>11/21/2016 18:18:04</t>
  </si>
  <si>
    <t>11/23/2016 07:03:22</t>
  </si>
  <si>
    <t>11/30/2016 04:10:36</t>
  </si>
  <si>
    <t>11/30/2016 13:11:20</t>
  </si>
  <si>
    <t>12/01/2016 12:48:10</t>
  </si>
  <si>
    <t>12/01/2016 14:49:44</t>
  </si>
  <si>
    <t>12/02/2016 17:55:48</t>
  </si>
  <si>
    <t>12/02/2016 18:09:19</t>
  </si>
  <si>
    <t>12/05/2016 12:42:24</t>
  </si>
  <si>
    <t>12/06/2016 08:42:04</t>
  </si>
  <si>
    <t>12/06/2016 11:52:00</t>
  </si>
  <si>
    <t>12/06/2016 18:14:26</t>
  </si>
  <si>
    <t>12/07/2016 08:22:28</t>
  </si>
  <si>
    <t>12/07/2016 15:41:07</t>
  </si>
  <si>
    <t>12/08/2016 06:08:10</t>
  </si>
  <si>
    <t>12/08/2016 13:02:35</t>
  </si>
  <si>
    <t>12/12/2016 04:22:48</t>
  </si>
  <si>
    <t>12/12/2016 09:53:55</t>
  </si>
  <si>
    <t>12/12/2016 12:26:17</t>
  </si>
  <si>
    <t>12/12/2016 13:34:04</t>
  </si>
  <si>
    <t>12/13/2016 22:53:01</t>
  </si>
  <si>
    <t>12/15/2016 06:00:11</t>
  </si>
  <si>
    <t>12/15/2016 15:22:51</t>
  </si>
  <si>
    <t>12/16/2016 09:16:33</t>
  </si>
  <si>
    <t>12/16/2016 17:33:54</t>
  </si>
  <si>
    <t>12/16/2016 17:47:32</t>
  </si>
  <si>
    <t>12/19/2016 11:46:48</t>
  </si>
  <si>
    <t>12/19/2016 13:39:04</t>
  </si>
  <si>
    <t>12/20/2016 04:04:17</t>
  </si>
  <si>
    <t>12/29/2016 12:26:32</t>
  </si>
  <si>
    <t>01/04/2017 14:01:25</t>
  </si>
  <si>
    <t>01/05/2017 08:30:34</t>
  </si>
  <si>
    <t>01/05/2017 18:31:09</t>
  </si>
  <si>
    <t>01/05/2017 20:18:26</t>
  </si>
  <si>
    <t>01/06/2017 10:43:12</t>
  </si>
  <si>
    <t>01/06/2017 13:47:48</t>
  </si>
  <si>
    <t>01/06/2017 15:21:46</t>
  </si>
  <si>
    <t>01/09/2017 10:03:42</t>
  </si>
  <si>
    <t>01/09/2017 10:18:27</t>
  </si>
  <si>
    <t>01/10/2017 03:54:13</t>
  </si>
  <si>
    <t>01/10/2017 08:00:10</t>
  </si>
  <si>
    <t>01/10/2017 12:23:34</t>
  </si>
  <si>
    <t>01/11/2017 10:05:45</t>
  </si>
  <si>
    <t>01/11/2017 19:20:10</t>
  </si>
  <si>
    <t>01/12/2017 03:59:53</t>
  </si>
  <si>
    <t>01/12/2017 09:00:04</t>
  </si>
  <si>
    <t>01/12/2017 17:21:48</t>
  </si>
  <si>
    <t>01/12/2017 20:05:14</t>
  </si>
  <si>
    <t>01/16/2017 11:03:36</t>
  </si>
  <si>
    <t>01/18/2017 17:06:58</t>
  </si>
  <si>
    <t>01/19/2017 08:29:06</t>
  </si>
  <si>
    <t>01/19/2017 13:03:40</t>
  </si>
  <si>
    <t>01/19/2017 15:37:35</t>
  </si>
  <si>
    <t>01/19/2017 19:13:13</t>
  </si>
  <si>
    <t>01/19/2017 21:35:48</t>
  </si>
  <si>
    <t>01/20/2017 11:44:02</t>
  </si>
  <si>
    <t>01/23/2017 07:25:08</t>
  </si>
  <si>
    <t>01/23/2017 18:09:19</t>
  </si>
  <si>
    <t>01/23/2017 21:05:43</t>
  </si>
  <si>
    <t>01/24/2017 10:50:08</t>
  </si>
  <si>
    <t>01/25/2017 08:11:04</t>
  </si>
  <si>
    <t>01/25/2017 09:06:11</t>
  </si>
  <si>
    <t>01/25/2017 16:44:55</t>
  </si>
  <si>
    <t>01/25/2017 18:33:36</t>
  </si>
  <si>
    <t>01/26/2017 13:04:39</t>
  </si>
  <si>
    <t>01/26/2017 16:21:45</t>
  </si>
  <si>
    <t>01/26/2017 21:37:53</t>
  </si>
  <si>
    <t>01/27/2017 12:54:55</t>
  </si>
  <si>
    <t>01/27/2017 14:13:39</t>
  </si>
  <si>
    <t>01/27/2017 17:14:11</t>
  </si>
  <si>
    <t>01/30/2017 05:22:30</t>
  </si>
  <si>
    <t>01/30/2017 10:11:58</t>
  </si>
  <si>
    <t>01/30/2017 13:08:41</t>
  </si>
  <si>
    <t>01/30/2017 19:45:46</t>
  </si>
  <si>
    <t>01/31/2017 15:02:32</t>
  </si>
  <si>
    <t>02/01/2017 14:58:04</t>
  </si>
  <si>
    <t>02/02/2017 08:03:25</t>
  </si>
  <si>
    <t>02/03/2017 06:01:53</t>
  </si>
  <si>
    <t>02/03/2017 13:19:38</t>
  </si>
  <si>
    <t>02/03/2017 15:31:19</t>
  </si>
  <si>
    <t>02/03/2017 19:32:08</t>
  </si>
  <si>
    <t>02/06/2017 05:49:44</t>
  </si>
  <si>
    <t>02/06/2017 06:45:27</t>
  </si>
  <si>
    <t>02/06/2017 16:37:42</t>
  </si>
  <si>
    <t>02/06/2017 20:09:52</t>
  </si>
  <si>
    <t>02/07/2017 20:17:11</t>
  </si>
  <si>
    <t>02/08/2017 06:49:03</t>
  </si>
  <si>
    <t>02/08/2017 12:54:24</t>
  </si>
  <si>
    <t>02/08/2017 15:55:47</t>
  </si>
  <si>
    <t>02/08/2017 16:08:41</t>
  </si>
  <si>
    <t>02/09/2017 09:22:56</t>
  </si>
  <si>
    <t>02/09/2017 12:50:41</t>
  </si>
  <si>
    <t>02/09/2017 21:24:32</t>
  </si>
  <si>
    <t>02/10/2017 11:53:02</t>
  </si>
  <si>
    <t>02/10/2017 14:57:02</t>
  </si>
  <si>
    <t>02/13/2017 12:07:44</t>
  </si>
  <si>
    <t>02/13/2017 18:53:14</t>
  </si>
  <si>
    <t>02/13/2017 23:35:06</t>
  </si>
  <si>
    <t>02/14/2017 16:16:19</t>
  </si>
  <si>
    <t>02/15/2017 05:28:18</t>
  </si>
  <si>
    <t>02/15/2017 17:16:22</t>
  </si>
  <si>
    <t>02/15/2017 18:44:48</t>
  </si>
  <si>
    <t>02/15/2017 19:41:37</t>
  </si>
  <si>
    <t>02/16/2017 13:14:46</t>
  </si>
  <si>
    <t>02/16/2017 17:23:24</t>
  </si>
  <si>
    <t>02/16/2017 22:34:34</t>
  </si>
  <si>
    <t>02/17/2017 17:13:00</t>
  </si>
  <si>
    <t>02/17/2017 17:32:30</t>
  </si>
  <si>
    <t>02/17/2017 19:41:43</t>
  </si>
  <si>
    <t>02/18/2017 17:06:34</t>
  </si>
  <si>
    <t>02/21/2017 07:36:57</t>
  </si>
  <si>
    <t>02/21/2017 16:15:24</t>
  </si>
  <si>
    <t>02/21/2017 21:52:24</t>
  </si>
  <si>
    <t>02/22/2017 04:47:07</t>
  </si>
  <si>
    <t>02/22/2017 16:00:30</t>
  </si>
  <si>
    <t>02/23/2017 22:19:44</t>
  </si>
  <si>
    <t>02/24/2017 15:11:53</t>
  </si>
  <si>
    <t>02/28/2017 15:03:24</t>
  </si>
  <si>
    <t>03/01/2017 15:41:49</t>
  </si>
  <si>
    <t>03/02/2017 13:51:18</t>
  </si>
  <si>
    <t>03/07/2017 05:32:11</t>
  </si>
  <si>
    <t>03/07/2017 09:31:37</t>
  </si>
  <si>
    <t>03/07/2017 20:21:25</t>
  </si>
  <si>
    <t>03/08/2017 06:48:07</t>
  </si>
  <si>
    <t>03/08/2017 10:58:08</t>
  </si>
  <si>
    <t>03/08/2017 11:08:00</t>
  </si>
  <si>
    <t>03/08/2017 18:37:46</t>
  </si>
  <si>
    <t>03/08/2017 20:05:40</t>
  </si>
  <si>
    <t>03/09/2017 14:37:33</t>
  </si>
  <si>
    <t>03/09/2017 16:27:45</t>
  </si>
  <si>
    <t>03/09/2017 21:24:50</t>
  </si>
  <si>
    <t>03/10/2017 12:57:18</t>
  </si>
  <si>
    <t>03/10/2017 15:13:52</t>
  </si>
  <si>
    <t>03/13/2017 12:08:08</t>
  </si>
  <si>
    <t>03/13/2017 14:24:52</t>
  </si>
  <si>
    <t>03/14/2017 17:41:04</t>
  </si>
  <si>
    <t>03/14/2017 19:26:22</t>
  </si>
  <si>
    <t>03/14/2017 19:39:37</t>
  </si>
  <si>
    <t>03/15/2017 15:46:36</t>
  </si>
  <si>
    <t>03/15/2017 18:45:06</t>
  </si>
  <si>
    <t>03/16/2017 09:22:15</t>
  </si>
  <si>
    <t>03/16/2017 16:57:01</t>
  </si>
  <si>
    <t>03/20/2017 15:41:37</t>
  </si>
  <si>
    <t>03/20/2017 17:37:22</t>
  </si>
  <si>
    <t>03/20/2017 17:47:19</t>
  </si>
  <si>
    <t>03/20/2017 17:51:34</t>
  </si>
  <si>
    <t>03/21/2017 14:29:01</t>
  </si>
  <si>
    <t>03/21/2017 17:36:47</t>
  </si>
  <si>
    <t>03/22/2017 10:49:29</t>
  </si>
  <si>
    <t>03/22/2017 12:27:22</t>
  </si>
  <si>
    <t>03/22/2017 19:02:32</t>
  </si>
  <si>
    <t>03/22/2017 23:14:51</t>
  </si>
  <si>
    <t>03/23/2017 15:13:10</t>
  </si>
  <si>
    <t>03/23/2017 16:34:11</t>
  </si>
  <si>
    <t>03/23/2017 18:15:15</t>
  </si>
  <si>
    <t>03/23/2017 18:17:13</t>
  </si>
  <si>
    <t>03/23/2017 21:43:06</t>
  </si>
  <si>
    <t>03/24/2017 09:16:20</t>
  </si>
  <si>
    <t>03/24/2017 15:44:10</t>
  </si>
  <si>
    <t>03/27/2017 21:53:34</t>
  </si>
  <si>
    <t>03/28/2017 11:37:22</t>
  </si>
  <si>
    <t>03/28/2017 16:23:16</t>
  </si>
  <si>
    <t>03/28/2017 16:38:32</t>
  </si>
  <si>
    <t>03/28/2017 20:20:56</t>
  </si>
  <si>
    <t>03/29/2017 09:09:08</t>
  </si>
  <si>
    <t>03/29/2017 12:02:27</t>
  </si>
  <si>
    <t>03/29/2017 15:32:04</t>
  </si>
  <si>
    <t>03/29/2017 19:14:17</t>
  </si>
  <si>
    <t>03/30/2017 11:52:53</t>
  </si>
  <si>
    <t>03/30/2017 17:41:27</t>
  </si>
  <si>
    <t>03/31/2017 14:59:44</t>
  </si>
  <si>
    <t>03/31/2017 15:38:07</t>
  </si>
  <si>
    <t>03/31/2017 15:38:17</t>
  </si>
  <si>
    <t>03/31/2017 15:38:26</t>
  </si>
  <si>
    <t>03/31/2017 15:38:36</t>
  </si>
  <si>
    <t>03/31/2017 16:35:17</t>
  </si>
  <si>
    <t>03/31/2017 20:01:44</t>
  </si>
  <si>
    <t>04/01/2017 15:14:15</t>
  </si>
  <si>
    <t>04/03/2017 02:48:49</t>
  </si>
  <si>
    <t>04/03/2017 12:29:22</t>
  </si>
  <si>
    <t>04/03/2017 15:39:27</t>
  </si>
  <si>
    <t>04/03/2017 18:12:44</t>
  </si>
  <si>
    <t>04/03/2017 18:23:52</t>
  </si>
  <si>
    <t>04/03/2017 18:59:52</t>
  </si>
  <si>
    <t>04/03/2017 19:09:12</t>
  </si>
  <si>
    <t>04/03/2017 20:46:45</t>
  </si>
  <si>
    <t>04/03/2017 22:29:41</t>
  </si>
  <si>
    <t>04/03/2017 23:06:47</t>
  </si>
  <si>
    <t>04/04/2017 12:11:08</t>
  </si>
  <si>
    <t>04/04/2017 16:36:17</t>
  </si>
  <si>
    <t>04/04/2017 17:44:41</t>
  </si>
  <si>
    <t>04/04/2017 17:53:50</t>
  </si>
  <si>
    <t>04/05/2017 14:32:02</t>
  </si>
  <si>
    <t>04/06/2017 12:45:56</t>
  </si>
  <si>
    <t>04/06/2017 16:49:37</t>
  </si>
  <si>
    <t>04/06/2017 17:55:00</t>
  </si>
  <si>
    <t>04/06/2017 20:01:30</t>
  </si>
  <si>
    <t>04/06/2017 20:44:22</t>
  </si>
  <si>
    <t>04/06/2017 20:44:41</t>
  </si>
  <si>
    <t>04/07/2017 14:24:12</t>
  </si>
  <si>
    <t>04/07/2017 22:37:52</t>
  </si>
  <si>
    <t>04/10/2017 12:53:42</t>
  </si>
  <si>
    <t>04/10/2017 16:17:34</t>
  </si>
  <si>
    <t>04/10/2017 16:59:55</t>
  </si>
  <si>
    <t>04/10/2017 17:40:36</t>
  </si>
  <si>
    <t>04/10/2017 19:34:02</t>
  </si>
  <si>
    <t>04/10/2017 23:14:54</t>
  </si>
  <si>
    <t>04/11/2017 11:19:47</t>
  </si>
  <si>
    <t>04/11/2017 13:56:16</t>
  </si>
  <si>
    <t>04/11/2017 14:19:36</t>
  </si>
  <si>
    <t>04/11/2017 15:33:24</t>
  </si>
  <si>
    <t>04/11/2017 15:44:48</t>
  </si>
  <si>
    <t>04/11/2017 19:40:06</t>
  </si>
  <si>
    <t>04/11/2017 20:41:33</t>
  </si>
  <si>
    <t>04/12/2017 10:41:48</t>
  </si>
  <si>
    <t>04/12/2017 13:10:49</t>
  </si>
  <si>
    <t>04/12/2017 16:33:05</t>
  </si>
  <si>
    <t>04/12/2017 19:35:50</t>
  </si>
  <si>
    <t>04/12/2017 19:44:55</t>
  </si>
  <si>
    <t>04/12/2017 19:44:56</t>
  </si>
  <si>
    <t>04/12/2017 19:45:23</t>
  </si>
  <si>
    <t>04/12/2017 20:56:49</t>
  </si>
  <si>
    <t>04/14/2017 11:39:07</t>
  </si>
  <si>
    <t>04/14/2017 16:46:31</t>
  </si>
  <si>
    <t>04/16/2017 17:06:27</t>
  </si>
  <si>
    <t>04/18/2017 13:15:43</t>
  </si>
  <si>
    <t>04/18/2017 14:47:39</t>
  </si>
  <si>
    <t>04/18/2017 17:37:42</t>
  </si>
  <si>
    <t>04/18/2017 19:36:14</t>
  </si>
  <si>
    <t>04/19/2017 12:08:57</t>
  </si>
  <si>
    <t>04/19/2017 17:39:10</t>
  </si>
  <si>
    <t>04/19/2017 19:26:01</t>
  </si>
  <si>
    <t>04/20/2017 01:07:54</t>
  </si>
  <si>
    <t>04/20/2017 18:30:15</t>
  </si>
  <si>
    <t>04/21/2017 07:53:35</t>
  </si>
  <si>
    <t>04/21/2017 08:43:42</t>
  </si>
  <si>
    <t>04/21/2017 11:15:06</t>
  </si>
  <si>
    <t>04/24/2017 09:24:09</t>
  </si>
  <si>
    <t>04/24/2017 16:40:29</t>
  </si>
  <si>
    <t>04/24/2017 17:56:31</t>
  </si>
  <si>
    <t>04/24/2017 18:07:33</t>
  </si>
  <si>
    <t>04/24/2017 19:20:58</t>
  </si>
  <si>
    <t>04/24/2017 19:22:11</t>
  </si>
  <si>
    <t>04/25/2017 07:48:39</t>
  </si>
  <si>
    <t>04/25/2017 11:18:47</t>
  </si>
  <si>
    <t>04/25/2017 14:24:07</t>
  </si>
  <si>
    <t>04/25/2017 15:55:51</t>
  </si>
  <si>
    <t>04/25/2017 18:33:29</t>
  </si>
  <si>
    <t>04/25/2017 18:48:59</t>
  </si>
  <si>
    <t>04/25/2017 18:53:33</t>
  </si>
  <si>
    <t>04/26/2017 09:00:56</t>
  </si>
  <si>
    <t>04/26/2017 11:48:47</t>
  </si>
  <si>
    <t>04/26/2017 11:57:45</t>
  </si>
  <si>
    <t>04/26/2017 12:39:08</t>
  </si>
  <si>
    <t>04/26/2017 14:02:55</t>
  </si>
  <si>
    <t>04/26/2017 14:09:05</t>
  </si>
  <si>
    <t>04/26/2017 16:26:22</t>
  </si>
  <si>
    <t>04/26/2017 16:54:16</t>
  </si>
  <si>
    <t>04/26/2017 17:09:11</t>
  </si>
  <si>
    <t>04/26/2017 19:11:18</t>
  </si>
  <si>
    <t>04/27/2017 13:25:41</t>
  </si>
  <si>
    <t>04/27/2017 14:26:12</t>
  </si>
  <si>
    <t>04/27/2017 16:19:40</t>
  </si>
  <si>
    <t>04/28/2017 14:34:52</t>
  </si>
  <si>
    <t>04/28/2017 16:02:35</t>
  </si>
  <si>
    <t>04/28/2017 16:53:24</t>
  </si>
  <si>
    <t>04/29/2017 19:07:39</t>
  </si>
  <si>
    <t>04/30/2017 16:40:46</t>
  </si>
  <si>
    <t>05/01/2017 11:18:03</t>
  </si>
  <si>
    <t>05/02/2017 05:53:10</t>
  </si>
  <si>
    <t>05/02/2017 20:05:46</t>
  </si>
  <si>
    <t>05/03/2017 14:39:11</t>
  </si>
  <si>
    <t>05/03/2017 17:59:33</t>
  </si>
  <si>
    <t>05/03/2017 18:02:02</t>
  </si>
  <si>
    <t>05/04/2017 20:47:19</t>
  </si>
  <si>
    <t>05/05/2017 09:18:36</t>
  </si>
  <si>
    <t>05/05/2017 11:04:44</t>
  </si>
  <si>
    <t>05/05/2017 14:42:03</t>
  </si>
  <si>
    <t>05/05/2017 18:15:29</t>
  </si>
  <si>
    <t>05/08/2017 16:19:19</t>
  </si>
  <si>
    <t>05/08/2017 16:41:06</t>
  </si>
  <si>
    <t>05/08/2017 18:50:41</t>
  </si>
  <si>
    <t>05/10/2017 05:36:00</t>
  </si>
  <si>
    <t>05/11/2017 14:31:00</t>
  </si>
  <si>
    <t>05/11/2017 16:08:56</t>
  </si>
  <si>
    <t>05/11/2017 16:30:51</t>
  </si>
  <si>
    <t>05/11/2017 20:47:29</t>
  </si>
  <si>
    <t>05/15/2017 06:30:05</t>
  </si>
  <si>
    <t>05/15/2017 15:44:30</t>
  </si>
  <si>
    <t>05/16/2017 15:20:20</t>
  </si>
  <si>
    <t>05/16/2017 18:20:19</t>
  </si>
  <si>
    <t>05/18/2017 13:42:40</t>
  </si>
  <si>
    <t>05/22/2017 18:38:43</t>
  </si>
  <si>
    <t>05/23/2017 11:11:30</t>
  </si>
  <si>
    <t>05/24/2017 05:28:40</t>
  </si>
  <si>
    <t>05/24/2017 12:46:53</t>
  </si>
  <si>
    <t>05/24/2017 13:42:05</t>
  </si>
  <si>
    <t>05/25/2017 00:34:05</t>
  </si>
  <si>
    <t>05/25/2017 11:21:17</t>
  </si>
  <si>
    <t>05/25/2017 15:55:50</t>
  </si>
  <si>
    <t>05/25/2017 19:02:30</t>
  </si>
  <si>
    <t>05/26/2017 17:00:28</t>
  </si>
  <si>
    <t>05/31/2017 11:09:20</t>
  </si>
  <si>
    <t>05/31/2017 11:30:48</t>
  </si>
  <si>
    <t>06/01/2017 10:39:09</t>
  </si>
  <si>
    <t>06/01/2017 10:50:32</t>
  </si>
  <si>
    <t>06/01/2017 13:28:23</t>
  </si>
  <si>
    <t>06/01/2017 15:41:11</t>
  </si>
  <si>
    <t>06/01/2017 19:41:00</t>
  </si>
  <si>
    <t>06/02/2017 06:59:23</t>
  </si>
  <si>
    <t>06/02/2017 13:06:13</t>
  </si>
  <si>
    <t>06/06/2017 09:16:55</t>
  </si>
  <si>
    <t>06/06/2017 16:08:29</t>
  </si>
  <si>
    <t>06/06/2017 17:45:31</t>
  </si>
  <si>
    <t>06/08/2017 18:07:49</t>
  </si>
  <si>
    <t>06/12/2017 09:08:02</t>
  </si>
  <si>
    <t>06/12/2017 14:02:18</t>
  </si>
  <si>
    <t>06/13/2017 16:19:05</t>
  </si>
  <si>
    <t>06/16/2017 15:32:08</t>
  </si>
  <si>
    <t>06/19/2017 14:44:46</t>
  </si>
  <si>
    <t>06/19/2017 18:18:15</t>
  </si>
  <si>
    <t>06/20/2017 08:19:31</t>
  </si>
  <si>
    <t>06/21/2017 05:46:08</t>
  </si>
  <si>
    <t>06/21/2017 16:27:16</t>
  </si>
  <si>
    <t>06/23/2017 12:30:35</t>
  </si>
  <si>
    <t>06/23/2017 14:54:05</t>
  </si>
  <si>
    <t>06/26/2017 10:44:00</t>
  </si>
  <si>
    <t>06/26/2017 10:52:29</t>
  </si>
  <si>
    <t>06/26/2017 11:14:49</t>
  </si>
  <si>
    <t>06/26/2017 14:33:11</t>
  </si>
  <si>
    <t>06/27/2017 08:57:11</t>
  </si>
  <si>
    <t>06/27/2017 13:18:27</t>
  </si>
  <si>
    <t>06/27/2017 14:12:16</t>
  </si>
  <si>
    <t>06/28/2017 09:56:50</t>
  </si>
  <si>
    <t>06/29/2017 13:32:25</t>
  </si>
  <si>
    <t>06/29/2017 19:10:08</t>
  </si>
  <si>
    <t>07/03/2017 06:12:58</t>
  </si>
  <si>
    <t>07/05/2017 07:10:05</t>
  </si>
  <si>
    <t>07/07/2017 03:06:04</t>
  </si>
  <si>
    <t>07/08/2017 01:12:04</t>
  </si>
  <si>
    <t>07/10/2017 13:09:17</t>
  </si>
  <si>
    <t>07/12/2017 12:29:56</t>
  </si>
  <si>
    <t>07/12/2017 16:09:49</t>
  </si>
  <si>
    <t>07/13/2017 18:19:44</t>
  </si>
  <si>
    <t>07/13/2017 20:31:22</t>
  </si>
  <si>
    <t>07/14/2017 12:30:34</t>
  </si>
  <si>
    <t>07/14/2017 12:32:45</t>
  </si>
  <si>
    <t>07/17/2017 18:49:53</t>
  </si>
  <si>
    <t>07/18/2017 15:13:56</t>
  </si>
  <si>
    <t>07/18/2017 16:27:41</t>
  </si>
  <si>
    <t>07/20/2017 01:38:05</t>
  </si>
  <si>
    <t>07/20/2017 08:36:33</t>
  </si>
  <si>
    <t>07/21/2017 13:11:38</t>
  </si>
  <si>
    <t>07/24/2017 12:21:32</t>
  </si>
  <si>
    <t>07/24/2017 12:21:45</t>
  </si>
  <si>
    <t>07/24/2017 12:21:59</t>
  </si>
  <si>
    <t>07/24/2017 19:12:29</t>
  </si>
  <si>
    <t>07/25/2017 13:16:26</t>
  </si>
  <si>
    <t>07/28/2017 12:04:57</t>
  </si>
  <si>
    <t>07/28/2017 16:58:28</t>
  </si>
  <si>
    <t>08/02/2017 17:46:59</t>
  </si>
  <si>
    <t>08/03/2017 15:46:39</t>
  </si>
  <si>
    <t>08/03/2017 20:29:49</t>
  </si>
  <si>
    <t>08/04/2017 17:27:27</t>
  </si>
  <si>
    <t>08/08/2017 13:04:13</t>
  </si>
  <si>
    <t>08/09/2017 14:50:25</t>
  </si>
  <si>
    <t>08/10/2017 18:03:02</t>
  </si>
  <si>
    <t>08/11/2017 12:35:38</t>
  </si>
  <si>
    <t>08/11/2017 16:50:26</t>
  </si>
  <si>
    <t>08/16/2017 12:03:10</t>
  </si>
  <si>
    <t>08/16/2017 18:07:29</t>
  </si>
  <si>
    <t>08/16/2017 18:35:02</t>
  </si>
  <si>
    <t>08/21/2017 18:55:22</t>
  </si>
  <si>
    <t>08/21/2017 20:00:44</t>
  </si>
  <si>
    <t>08/23/2017 15:45:43</t>
  </si>
  <si>
    <t>08/24/2017 11:13:56</t>
  </si>
  <si>
    <t>08/25/2017 14:14:12</t>
  </si>
  <si>
    <t>08/30/2017 09:05:11</t>
  </si>
  <si>
    <t>08/30/2017 10:05:19</t>
  </si>
  <si>
    <t>09/01/2017 15:05:31</t>
  </si>
  <si>
    <t>09/05/2017 09:52:19</t>
  </si>
  <si>
    <t>09/05/2017 13:23:53</t>
  </si>
  <si>
    <t>09/05/2017 17:14:28</t>
  </si>
  <si>
    <t>09/08/2017 06:20:54</t>
  </si>
  <si>
    <t>09/08/2017 12:59:30</t>
  </si>
  <si>
    <t>09/11/2017 18:49:45</t>
  </si>
  <si>
    <t>09/13/2017 11:28:02</t>
  </si>
  <si>
    <t>09/14/2017 13:59:23</t>
  </si>
  <si>
    <t>09/14/2017 14:01:45</t>
  </si>
  <si>
    <t>09/15/2017 09:51:24</t>
  </si>
  <si>
    <t>09/15/2017 12:46:38</t>
  </si>
  <si>
    <t>09/16/2017 01:12:07</t>
  </si>
  <si>
    <t>09/19/2017 05:02:56</t>
  </si>
  <si>
    <t>09/20/2017 13:13:50</t>
  </si>
  <si>
    <t>09/22/2017 10:24:37</t>
  </si>
  <si>
    <t>09/25/2017 10:58:08</t>
  </si>
  <si>
    <t>09/27/2017 03:10:18</t>
  </si>
  <si>
    <t>09/27/2017 17:35:18</t>
  </si>
  <si>
    <t>10/02/2017 14:01:57</t>
  </si>
  <si>
    <t>10/03/2017 05:01:21</t>
  </si>
  <si>
    <t>10/04/2017 14:37:59</t>
  </si>
  <si>
    <t>10/07/2017 13:31:37</t>
  </si>
  <si>
    <t>10/11/2017 18:18:53</t>
  </si>
  <si>
    <t>10/12/2017 17:55:18</t>
  </si>
  <si>
    <t>10/13/2017 09:35:23</t>
  </si>
  <si>
    <t>10/16/2017 18:19:37</t>
  </si>
  <si>
    <t>10/16/2017 19:11:05</t>
  </si>
  <si>
    <t>10/19/2017 17:00:30</t>
  </si>
  <si>
    <t>10/20/2017 00:16:19</t>
  </si>
  <si>
    <t>10/20/2017 00:25:08</t>
  </si>
  <si>
    <t>10/20/2017 16:26:39</t>
  </si>
  <si>
    <t>10/23/2017 16:36:26</t>
  </si>
  <si>
    <t>10/23/2017 17:59:09</t>
  </si>
  <si>
    <t>10/24/2017 11:06:38</t>
  </si>
  <si>
    <t>10/26/2017 17:49:19</t>
  </si>
  <si>
    <t>10/27/2017 15:03:16</t>
  </si>
  <si>
    <t>10/27/2017 15:03:54</t>
  </si>
  <si>
    <t>10/30/2017 10:10:54</t>
  </si>
  <si>
    <t>10/30/2017 16:06:33</t>
  </si>
  <si>
    <t>10/31/2017 12:07:04</t>
  </si>
  <si>
    <t>11/08/2017 13:18:18</t>
  </si>
  <si>
    <t>11/09/2017 18:04:40</t>
  </si>
  <si>
    <t>11/09/2017 23:50:58</t>
  </si>
  <si>
    <t>11/10/2017 12:14:06</t>
  </si>
  <si>
    <t>11/10/2017 13:45:14</t>
  </si>
  <si>
    <t>11/13/2017 14:09:35</t>
  </si>
  <si>
    <t>11/15/2017 16:12:31</t>
  </si>
  <si>
    <t>11/16/2017 17:06:12</t>
  </si>
  <si>
    <t>11/16/2017 17:51:30</t>
  </si>
  <si>
    <t>11/18/2017 12:50:06</t>
  </si>
  <si>
    <t>11/20/2017 17:04:57</t>
  </si>
  <si>
    <t>11/21/2017 17:09:57</t>
  </si>
  <si>
    <t>11/22/2017 18:50:30</t>
  </si>
  <si>
    <t>11/27/2017 21:23:13</t>
  </si>
  <si>
    <t>11/28/2017 06:26:35</t>
  </si>
  <si>
    <t>11/29/2017 12:53:22</t>
  </si>
  <si>
    <t>11/29/2017 16:58:21</t>
  </si>
  <si>
    <t>12/01/2017 19:51:30</t>
  </si>
  <si>
    <t>12/04/2017 13:48:48</t>
  </si>
  <si>
    <t>12/04/2017 17:42:49</t>
  </si>
  <si>
    <t>12/04/2017 17:49:26</t>
  </si>
  <si>
    <t>12/04/2017 17:54:14</t>
  </si>
  <si>
    <t>12/04/2017 18:43:17</t>
  </si>
  <si>
    <t>12/04/2017 20:03:54</t>
  </si>
  <si>
    <t>12/05/2017 13:11:56</t>
  </si>
  <si>
    <t>12/05/2017 16:25:31</t>
  </si>
  <si>
    <t>12/06/2017 00:57:07</t>
  </si>
  <si>
    <t>12/06/2017 13:09:15</t>
  </si>
  <si>
    <t>12/06/2017 14:10:09</t>
  </si>
  <si>
    <t>12/07/2017 09:40:59</t>
  </si>
  <si>
    <t>12/08/2017 15:34:25</t>
  </si>
  <si>
    <t>12/08/2017 18:33:27</t>
  </si>
  <si>
    <t>12/10/2017 12:45:20</t>
  </si>
  <si>
    <t>12/11/2017 17:41:50</t>
  </si>
  <si>
    <t>12/11/2017 18:50:31</t>
  </si>
  <si>
    <t>12/11/2017 18:51:25</t>
  </si>
  <si>
    <t>12/11/2017 19:30:03</t>
  </si>
  <si>
    <t>12/11/2017 19:31:58</t>
  </si>
  <si>
    <t>12/12/2017 09:28:47</t>
  </si>
  <si>
    <t>12/12/2017 13:31:03</t>
  </si>
  <si>
    <t>12/12/2017 15:02:36</t>
  </si>
  <si>
    <t>12/12/2017 18:34:20</t>
  </si>
  <si>
    <t>12/13/2017 14:29:00</t>
  </si>
  <si>
    <t>12/13/2017 15:03:04</t>
  </si>
  <si>
    <t>12/14/2017 01:26:42</t>
  </si>
  <si>
    <t>12/14/2017 10:33:47</t>
  </si>
  <si>
    <t>12/14/2017 11:47:28</t>
  </si>
  <si>
    <t>12/15/2017 06:29:21</t>
  </si>
  <si>
    <t>12/16/2017 20:10:04</t>
  </si>
  <si>
    <t>12/17/2017 23:31:06</t>
  </si>
  <si>
    <t>12/18/2017 13:31:30</t>
  </si>
  <si>
    <t>12/18/2017 14:20:40</t>
  </si>
  <si>
    <t>12/18/2017 14:55:17</t>
  </si>
  <si>
    <t>12/18/2017 18:09:31</t>
  </si>
  <si>
    <t>12/19/2017 20:47:32</t>
  </si>
  <si>
    <t>12/20/2017 17:02:58</t>
  </si>
  <si>
    <t>12/20/2017 18:10:12</t>
  </si>
  <si>
    <t>12/20/2017 23:48:37</t>
  </si>
  <si>
    <t>12/21/2017 16:51:52</t>
  </si>
  <si>
    <t>12/22/2017 16:26:50</t>
  </si>
  <si>
    <t>12/22/2017 21:24:45</t>
  </si>
  <si>
    <t>01/02/2018 07:28:57</t>
  </si>
  <si>
    <t>01/02/2018 17:01:43</t>
  </si>
  <si>
    <t>01/03/2018 11:17:14</t>
  </si>
  <si>
    <t>01/03/2018 13:22:26</t>
  </si>
  <si>
    <t>01/04/2018 20:03:36</t>
  </si>
  <si>
    <t>01/05/2018 18:58:42</t>
  </si>
  <si>
    <t>01/08/2018 10:40:45</t>
  </si>
  <si>
    <t>01/08/2018 11:06:27</t>
  </si>
  <si>
    <t>01/08/2018 13:03:02</t>
  </si>
  <si>
    <t>01/08/2018 16:54:05</t>
  </si>
  <si>
    <t>01/08/2018 18:32:09</t>
  </si>
  <si>
    <t>01/09/2018 05:46:37</t>
  </si>
  <si>
    <t>01/11/2018 02:52:59</t>
  </si>
  <si>
    <t>01/11/2018 05:16:11</t>
  </si>
  <si>
    <t>01/11/2018 12:38:10</t>
  </si>
  <si>
    <t>01/12/2018 15:14:42</t>
  </si>
  <si>
    <t>01/12/2018 18:53:34</t>
  </si>
  <si>
    <t>01/15/2018 06:04:36</t>
  </si>
  <si>
    <t>01/15/2018 09:11:40</t>
  </si>
  <si>
    <t>01/16/2018 09:20:37</t>
  </si>
  <si>
    <t>01/16/2018 15:30:30</t>
  </si>
  <si>
    <t>01/17/2018 12:54:09</t>
  </si>
  <si>
    <t>01/17/2018 13:17:00</t>
  </si>
  <si>
    <t>01/17/2018 16:47:49</t>
  </si>
  <si>
    <t>01/17/2018 18:29:50</t>
  </si>
  <si>
    <t>01/17/2018 20:08:26</t>
  </si>
  <si>
    <t>01/18/2018 09:52:53</t>
  </si>
  <si>
    <t>01/18/2018 10:45:44</t>
  </si>
  <si>
    <t>01/18/2018 15:17:59</t>
  </si>
  <si>
    <t>01/18/2018 17:07:34</t>
  </si>
  <si>
    <t>01/20/2018 12:52:27</t>
  </si>
  <si>
    <t>01/22/2018 03:53:52</t>
  </si>
  <si>
    <t>01/22/2018 12:24:27</t>
  </si>
  <si>
    <t>01/22/2018 14:32:40</t>
  </si>
  <si>
    <t>01/22/2018 17:25:33</t>
  </si>
  <si>
    <t>01/22/2018 20:41:10</t>
  </si>
  <si>
    <t>01/23/2018 05:01:01</t>
  </si>
  <si>
    <t>01/23/2018 06:41:46</t>
  </si>
  <si>
    <t>01/23/2018 10:51:33</t>
  </si>
  <si>
    <t>01/23/2018 13:24:47</t>
  </si>
  <si>
    <t>01/23/2018 16:08:25</t>
  </si>
  <si>
    <t>01/23/2018 20:26:47</t>
  </si>
  <si>
    <t>01/23/2018 23:10:47</t>
  </si>
  <si>
    <t>01/24/2018 01:43:18</t>
  </si>
  <si>
    <t>01/24/2018 07:15:12</t>
  </si>
  <si>
    <t>01/24/2018 10:25:33</t>
  </si>
  <si>
    <t>01/24/2018 12:04:27</t>
  </si>
  <si>
    <t>01/24/2018 15:03:54</t>
  </si>
  <si>
    <t>01/24/2018 15:58:02</t>
  </si>
  <si>
    <t>01/24/2018 17:33:31</t>
  </si>
  <si>
    <t>01/24/2018 18:51:28</t>
  </si>
  <si>
    <t>01/24/2018 19:00:44</t>
  </si>
  <si>
    <t>01/25/2018 05:38:47</t>
  </si>
  <si>
    <t>01/25/2018 09:35:49</t>
  </si>
  <si>
    <t>01/26/2018 09:19:05</t>
  </si>
  <si>
    <t>01/29/2018 09:18:53</t>
  </si>
  <si>
    <t>01/29/2018 09:19:44</t>
  </si>
  <si>
    <t>01/29/2018 16:30:55</t>
  </si>
  <si>
    <t>01/29/2018 19:22:36</t>
  </si>
  <si>
    <t>01/29/2018 19:35:14</t>
  </si>
  <si>
    <t>01/30/2018 15:41:51</t>
  </si>
  <si>
    <t>02/01/2018 12:33:47</t>
  </si>
  <si>
    <t>02/01/2018 12:39:58</t>
  </si>
  <si>
    <t>02/01/2018 15:27:50</t>
  </si>
  <si>
    <t>02/01/2018 21:13:13</t>
  </si>
  <si>
    <t>02/03/2018 20:23:01</t>
  </si>
  <si>
    <t>02/04/2018 21:49:27</t>
  </si>
  <si>
    <t>02/05/2018 14:40:43</t>
  </si>
  <si>
    <t>02/06/2018 12:28:34</t>
  </si>
  <si>
    <t>02/07/2018 18:35:44</t>
  </si>
  <si>
    <t>02/08/2018 10:34:46</t>
  </si>
  <si>
    <t>02/08/2018 12:25:43</t>
  </si>
  <si>
    <t>02/08/2018 19:17:18</t>
  </si>
  <si>
    <t>02/09/2018 11:00:53</t>
  </si>
  <si>
    <t>02/12/2018 04:46:20</t>
  </si>
  <si>
    <t>02/12/2018 09:26:20</t>
  </si>
  <si>
    <t>02/12/2018 11:24:46</t>
  </si>
  <si>
    <t>02/12/2018 12:11:53</t>
  </si>
  <si>
    <t>02/12/2018 19:24:57</t>
  </si>
  <si>
    <t>02/13/2018 10:24:45</t>
  </si>
  <si>
    <t>02/13/2018 15:47:37</t>
  </si>
  <si>
    <t>02/14/2018 10:09:24</t>
  </si>
  <si>
    <t>02/14/2018 13:30:28</t>
  </si>
  <si>
    <t>02/15/2018 15:43:59</t>
  </si>
  <si>
    <t>02/15/2018 16:08:27</t>
  </si>
  <si>
    <t>02/16/2018 12:29:07</t>
  </si>
  <si>
    <t>02/16/2018 18:06:36</t>
  </si>
  <si>
    <t>02/19/2018 23:45:15</t>
  </si>
  <si>
    <t>02/20/2018 11:17:42</t>
  </si>
  <si>
    <t>02/21/2018 11:57:34</t>
  </si>
  <si>
    <t>02/21/2018 13:42:00</t>
  </si>
  <si>
    <t>02/21/2018 13:47:00</t>
  </si>
  <si>
    <t>02/21/2018 14:37:45</t>
  </si>
  <si>
    <t>02/22/2018 03:19:01</t>
  </si>
  <si>
    <t>02/22/2018 09:19:14</t>
  </si>
  <si>
    <t>02/22/2018 22:53:58</t>
  </si>
  <si>
    <t>02/23/2018 09:49:27</t>
  </si>
  <si>
    <t>02/23/2018 11:42:05</t>
  </si>
  <si>
    <t>02/23/2018 17:36:18</t>
  </si>
  <si>
    <t>02/23/2018 18:17:26</t>
  </si>
  <si>
    <t>02/26/2018 11:55:25</t>
  </si>
  <si>
    <t>02/26/2018 18:26:38</t>
  </si>
  <si>
    <t>02/27/2018 06:30:19</t>
  </si>
  <si>
    <t>02/27/2018 06:41:37</t>
  </si>
  <si>
    <t>02/27/2018 15:21:49</t>
  </si>
  <si>
    <t>02/27/2018 17:10:28</t>
  </si>
  <si>
    <t>02/28/2018 04:54:32</t>
  </si>
  <si>
    <t>02/28/2018 05:29:43</t>
  </si>
  <si>
    <t>02/28/2018 18:15:36</t>
  </si>
  <si>
    <t>03/01/2018 10:05:34</t>
  </si>
  <si>
    <t>03/02/2018 12:55:35</t>
  </si>
  <si>
    <t>03/02/2018 20:46:18</t>
  </si>
  <si>
    <t>03/04/2018 18:00:34</t>
  </si>
  <si>
    <t>03/05/2018 13:21:57</t>
  </si>
  <si>
    <t>03/06/2018 00:22:55</t>
  </si>
  <si>
    <t>03/06/2018 07:57:05</t>
  </si>
  <si>
    <t>03/06/2018 11:27:07</t>
  </si>
  <si>
    <t>03/06/2018 19:01:43</t>
  </si>
  <si>
    <t>03/07/2018 13:51:26</t>
  </si>
  <si>
    <t>03/07/2018 20:39:11</t>
  </si>
  <si>
    <t>03/08/2018 03:00:38</t>
  </si>
  <si>
    <t>03/08/2018 15:55:54</t>
  </si>
  <si>
    <t>03/08/2018 20:02:51</t>
  </si>
  <si>
    <t>03/09/2018 10:47:53</t>
  </si>
  <si>
    <t>03/09/2018 14:06:44</t>
  </si>
  <si>
    <t>03/09/2018 17:05:20</t>
  </si>
  <si>
    <t>03/10/2018 23:29:07</t>
  </si>
  <si>
    <t>03/10/2018 23:29:48</t>
  </si>
  <si>
    <t>03/12/2018 13:52:55</t>
  </si>
  <si>
    <t>03/12/2018 16:47:00</t>
  </si>
  <si>
    <t>03/13/2018 03:45:38</t>
  </si>
  <si>
    <t>03/13/2018 05:55:51</t>
  </si>
  <si>
    <t>03/13/2018 12:57:30</t>
  </si>
  <si>
    <t>03/13/2018 19:25:55</t>
  </si>
  <si>
    <t>03/14/2018 15:49:51</t>
  </si>
  <si>
    <t>03/14/2018 16:06:01</t>
  </si>
  <si>
    <t>03/14/2018 19:25:12</t>
  </si>
  <si>
    <t>03/15/2018 13:00:31</t>
  </si>
  <si>
    <t>03/15/2018 13:41:20</t>
  </si>
  <si>
    <t>03/15/2018 15:13:54</t>
  </si>
  <si>
    <t>03/15/2018 22:22:34</t>
  </si>
  <si>
    <t>03/16/2018 01:42:39</t>
  </si>
  <si>
    <t>03/16/2018 08:05:10</t>
  </si>
  <si>
    <t>03/19/2018 12:05:43</t>
  </si>
  <si>
    <t>03/19/2018 14:58:03</t>
  </si>
  <si>
    <t>03/19/2018 19:57:54</t>
  </si>
  <si>
    <t>03/19/2018 21:13:24</t>
  </si>
  <si>
    <t>03/20/2018 11:55:39</t>
  </si>
  <si>
    <t>03/20/2018 13:29:58</t>
  </si>
  <si>
    <t>03/20/2018 19:26:33</t>
  </si>
  <si>
    <t>03/21/2018 08:06:19</t>
  </si>
  <si>
    <t>03/21/2018 10:06:19</t>
  </si>
  <si>
    <t>03/21/2018 13:30:58</t>
  </si>
  <si>
    <t>03/21/2018 17:23:10</t>
  </si>
  <si>
    <t>03/21/2018 17:23:50</t>
  </si>
  <si>
    <t>03/21/2018 19:14:38</t>
  </si>
  <si>
    <t>03/21/2018 19:41:25</t>
  </si>
  <si>
    <t>03/21/2018 20:28:19</t>
  </si>
  <si>
    <t>03/21/2018 21:09:31</t>
  </si>
  <si>
    <t>03/21/2018 22:04:13</t>
  </si>
  <si>
    <t>03/21/2018 23:35:31</t>
  </si>
  <si>
    <t>03/22/2018 15:58:21</t>
  </si>
  <si>
    <t>03/23/2018 01:03:20</t>
  </si>
  <si>
    <t>03/23/2018 10:45:58</t>
  </si>
  <si>
    <t>03/23/2018 13:06:19</t>
  </si>
  <si>
    <t>03/23/2018 16:10:17</t>
  </si>
  <si>
    <t>03/23/2018 16:11:02</t>
  </si>
  <si>
    <t>03/23/2018 16:11:59</t>
  </si>
  <si>
    <t>03/23/2018 16:48:39</t>
  </si>
  <si>
    <t>03/26/2018 16:44:53</t>
  </si>
  <si>
    <t>03/26/2018 17:43:53</t>
  </si>
  <si>
    <t>03/26/2018 19:49:20</t>
  </si>
  <si>
    <t>03/26/2018 21:29:57</t>
  </si>
  <si>
    <t>03/27/2018 01:36:25</t>
  </si>
  <si>
    <t>03/27/2018 02:48:24</t>
  </si>
  <si>
    <t>03/27/2018 02:52:02</t>
  </si>
  <si>
    <t>03/27/2018 09:37:28</t>
  </si>
  <si>
    <t>03/27/2018 16:01:25</t>
  </si>
  <si>
    <t>03/27/2018 18:37:41</t>
  </si>
  <si>
    <t>03/27/2018 19:02:24</t>
  </si>
  <si>
    <t>03/27/2018 22:00:56</t>
  </si>
  <si>
    <t>03/28/2018 10:14:33</t>
  </si>
  <si>
    <t>03/28/2018 11:05:14</t>
  </si>
  <si>
    <t>03/28/2018 18:17:00</t>
  </si>
  <si>
    <t>03/29/2018 08:20:33</t>
  </si>
  <si>
    <t>03/29/2018 15:24:24</t>
  </si>
  <si>
    <t>03/29/2018 16:27:20</t>
  </si>
  <si>
    <t>03/29/2018 20:06:06</t>
  </si>
  <si>
    <t>03/30/2018 11:10:52</t>
  </si>
  <si>
    <t>03/30/2018 13:14:46</t>
  </si>
  <si>
    <t>03/30/2018 13:17:21</t>
  </si>
  <si>
    <t>03/30/2018 13:25:14</t>
  </si>
  <si>
    <t>03/30/2018 13:25:31</t>
  </si>
  <si>
    <t>03/30/2018 13:25:50</t>
  </si>
  <si>
    <t>03/30/2018 14:24:13</t>
  </si>
  <si>
    <t>03/30/2018 15:07:38</t>
  </si>
  <si>
    <t>03/30/2018 16:31:25</t>
  </si>
  <si>
    <t>03/30/2018 16:37:41</t>
  </si>
  <si>
    <t>03/30/2018 18:38:33</t>
  </si>
  <si>
    <t>03/30/2018 18:43:13</t>
  </si>
  <si>
    <t>04/02/2018 13:52:03</t>
  </si>
  <si>
    <t>04/03/2018 13:09:28</t>
  </si>
  <si>
    <t>04/03/2018 16:38:22</t>
  </si>
  <si>
    <t>04/05/2018 11:40:25</t>
  </si>
  <si>
    <t>04/05/2018 12:43:04</t>
  </si>
  <si>
    <t>04/05/2018 17:01:20</t>
  </si>
  <si>
    <t>04/05/2018 17:37:02</t>
  </si>
  <si>
    <t>04/06/2018 08:44:19</t>
  </si>
  <si>
    <t>04/09/2018 13:24:39</t>
  </si>
  <si>
    <t>04/09/2018 17:32:35</t>
  </si>
  <si>
    <t>04/10/2018 01:57:44</t>
  </si>
  <si>
    <t>04/10/2018 10:35:05</t>
  </si>
  <si>
    <t>04/10/2018 13:52:11</t>
  </si>
  <si>
    <t>04/10/2018 19:24:14</t>
  </si>
  <si>
    <t>04/11/2018 05:33:26</t>
  </si>
  <si>
    <t>04/11/2018 23:25:08</t>
  </si>
  <si>
    <t>04/12/2018 15:44:23</t>
  </si>
  <si>
    <t>04/12/2018 18:58:42</t>
  </si>
  <si>
    <t>04/12/2018 19:21:15</t>
  </si>
  <si>
    <t>04/13/2018 13:46:05</t>
  </si>
  <si>
    <t>04/13/2018 13:50:30</t>
  </si>
  <si>
    <t>04/13/2018 18:25:01</t>
  </si>
  <si>
    <t>04/16/2018 07:59:15</t>
  </si>
  <si>
    <t>04/16/2018 07:59:36</t>
  </si>
  <si>
    <t>04/16/2018 07:59:51</t>
  </si>
  <si>
    <t>04/16/2018 08:00:00</t>
  </si>
  <si>
    <t>04/16/2018 08:00:10</t>
  </si>
  <si>
    <t>04/16/2018 19:10:14</t>
  </si>
  <si>
    <t>04/18/2018 14:51:24</t>
  </si>
  <si>
    <t>04/18/2018 16:40:55</t>
  </si>
  <si>
    <t>04/19/2018 14:30:39</t>
  </si>
  <si>
    <t>04/19/2018 18:16:13</t>
  </si>
  <si>
    <t>04/20/2018 14:45:27</t>
  </si>
  <si>
    <t>04/20/2018 15:59:16</t>
  </si>
  <si>
    <t>04/25/2018 06:29:07</t>
  </si>
  <si>
    <t>04/25/2018 15:29:19</t>
  </si>
  <si>
    <t>04/26/2018 12:05:05</t>
  </si>
  <si>
    <t>04/30/2018 18:38:12</t>
  </si>
  <si>
    <t>05/02/2018 17:21:05</t>
  </si>
  <si>
    <t>05/03/2018 10:10:45</t>
  </si>
  <si>
    <t>05/04/2018 00:51:04</t>
  </si>
  <si>
    <t>05/10/2018 14:05:42</t>
  </si>
  <si>
    <t>05/10/2018 19:51:12</t>
  </si>
  <si>
    <t>05/11/2018 04:06:14</t>
  </si>
  <si>
    <t>05/11/2018 10:59:00</t>
  </si>
  <si>
    <t>05/11/2018 13:00:05</t>
  </si>
  <si>
    <t>05/11/2018 18:30:27</t>
  </si>
  <si>
    <t>05/14/2018 16:30:48</t>
  </si>
  <si>
    <t>05/14/2018 17:55:06</t>
  </si>
  <si>
    <t>05/15/2018 04:18:22</t>
  </si>
  <si>
    <t>05/15/2018 10:52:44</t>
  </si>
  <si>
    <t>05/15/2018 20:25:38</t>
  </si>
  <si>
    <t>05/15/2018 21:10:53</t>
  </si>
  <si>
    <t>05/16/2018 17:31:57</t>
  </si>
  <si>
    <t>05/17/2018 14:05:43</t>
  </si>
  <si>
    <t>05/18/2018 16:40:07</t>
  </si>
  <si>
    <t>05/18/2018 16:55:53</t>
  </si>
  <si>
    <t>05/18/2018 17:56:36</t>
  </si>
  <si>
    <t>05/18/2018 18:10:17</t>
  </si>
  <si>
    <t>05/18/2018 18:10:36</t>
  </si>
  <si>
    <t>05/22/2018 03:50:07</t>
  </si>
  <si>
    <t>05/22/2018 09:12:02</t>
  </si>
  <si>
    <t>05/23/2018 05:23:37</t>
  </si>
  <si>
    <t>05/23/2018 19:28:09</t>
  </si>
  <si>
    <t>05/23/2018 23:35:59</t>
  </si>
  <si>
    <t>05/24/2018 05:35:34</t>
  </si>
  <si>
    <t>05/24/2018 13:39:07</t>
  </si>
  <si>
    <t>05/27/2018 03:26:03</t>
  </si>
  <si>
    <t>05/27/2018 03:28:49</t>
  </si>
  <si>
    <t>05/29/2018 06:53:50</t>
  </si>
  <si>
    <t>05/29/2018 18:46:29</t>
  </si>
  <si>
    <t>05/30/2018 12:22:40</t>
  </si>
  <si>
    <t>05/31/2018 13:27:11</t>
  </si>
  <si>
    <t>06/01/2018 10:53:11</t>
  </si>
  <si>
    <t>06/01/2018 14:09:17</t>
  </si>
  <si>
    <t>06/06/2018 10:10:58</t>
  </si>
  <si>
    <t>06/06/2018 12:46:36</t>
  </si>
  <si>
    <t>06/06/2018 13:51:13</t>
  </si>
  <si>
    <t>06/06/2018 17:15:35</t>
  </si>
  <si>
    <t>06/06/2018 18:54:38</t>
  </si>
  <si>
    <t>06/06/2018 19:23:29</t>
  </si>
  <si>
    <t>06/07/2018 14:15:46</t>
  </si>
  <si>
    <t>06/07/2018 15:04:53</t>
  </si>
  <si>
    <t>06/13/2018 11:44:05</t>
  </si>
  <si>
    <t>06/13/2018 18:21:29</t>
  </si>
  <si>
    <t>06/15/2018 19:42:55</t>
  </si>
  <si>
    <t>06/19/2018 10:08:33</t>
  </si>
  <si>
    <t>06/19/2018 14:35:11</t>
  </si>
  <si>
    <t>06/19/2018 15:56:04</t>
  </si>
  <si>
    <t>06/20/2018 09:01:01</t>
  </si>
  <si>
    <t>06/21/2018 16:31:51</t>
  </si>
  <si>
    <t>06/21/2018 17:30:24</t>
  </si>
  <si>
    <t>06/21/2018 17:46:24</t>
  </si>
  <si>
    <t>06/22/2018 11:18:13</t>
  </si>
  <si>
    <t>06/26/2018 13:04:26</t>
  </si>
  <si>
    <t>06/26/2018 18:44:17</t>
  </si>
  <si>
    <t>06/27/2018 13:14:37</t>
  </si>
  <si>
    <t>06/28/2018 05:59:35</t>
  </si>
  <si>
    <t>06/29/2018 09:19:13</t>
  </si>
  <si>
    <t>06/29/2018 18:15:38</t>
  </si>
  <si>
    <t>07/02/2018 19:27:18</t>
  </si>
  <si>
    <t>07/03/2018 13:09:21</t>
  </si>
  <si>
    <t>07/03/2018 15:46:01</t>
  </si>
  <si>
    <t>07/07/2018 17:02:20</t>
  </si>
  <si>
    <t>07/11/2018 15:27:50</t>
  </si>
  <si>
    <t>07/11/2018 15:56:46</t>
  </si>
  <si>
    <t>07/11/2018 15:59:20</t>
  </si>
  <si>
    <t>07/11/2018 15:59:49</t>
  </si>
  <si>
    <t>07/11/2018 16:00:07</t>
  </si>
  <si>
    <t>07/11/2018 16:00:30</t>
  </si>
  <si>
    <t>07/11/2018 16:21:50</t>
  </si>
  <si>
    <t>07/11/2018 16:22:05</t>
  </si>
  <si>
    <t>07/11/2018 18:42:02</t>
  </si>
  <si>
    <t>07/11/2018 18:44:05</t>
  </si>
  <si>
    <t>07/13/2018 13:57:52</t>
  </si>
  <si>
    <t>07/16/2018 08:01:07</t>
  </si>
  <si>
    <t>07/17/2018 12:00:03</t>
  </si>
  <si>
    <t>07/18/2018 18:21:43</t>
  </si>
  <si>
    <t>07/19/2018 10:55:34</t>
  </si>
  <si>
    <t>07/20/2018 17:34:55</t>
  </si>
  <si>
    <t>07/23/2018 13:49:24</t>
  </si>
  <si>
    <t>07/23/2018 15:34:27</t>
  </si>
  <si>
    <t>07/24/2018 18:45:38</t>
  </si>
  <si>
    <t>07/25/2018 02:35:01</t>
  </si>
  <si>
    <t>07/26/2018 14:21:29</t>
  </si>
  <si>
    <t>07/27/2018 14:42:27</t>
  </si>
  <si>
    <t>07/29/2018 17:14:09</t>
  </si>
  <si>
    <t>08/01/2018 07:38:03</t>
  </si>
  <si>
    <t>08/03/2018 15:02:50</t>
  </si>
  <si>
    <t>08/10/2018 05:32:33</t>
  </si>
  <si>
    <t>08/10/2018 13:56:20</t>
  </si>
  <si>
    <t>08/13/2018 14:05:45</t>
  </si>
  <si>
    <t>08/13/2018 18:27:11</t>
  </si>
  <si>
    <t>08/14/2018 16:00:08</t>
  </si>
  <si>
    <t>08/15/2018 07:57:00</t>
  </si>
  <si>
    <t>08/16/2018 16:42:52</t>
  </si>
  <si>
    <t>08/16/2018 18:15:51</t>
  </si>
  <si>
    <t>08/17/2018 08:17:23</t>
  </si>
  <si>
    <t>08/20/2018 16:16:28</t>
  </si>
  <si>
    <t>08/20/2018 16:17:53</t>
  </si>
  <si>
    <t>08/21/2018 11:52:08</t>
  </si>
  <si>
    <t>08/23/2018 16:51:16</t>
  </si>
  <si>
    <t>08/24/2018 19:15:25</t>
  </si>
  <si>
    <t>08/27/2018 12:11:53</t>
  </si>
  <si>
    <t>08/27/2018 16:06:41</t>
  </si>
  <si>
    <t>08/28/2018 06:23:39</t>
  </si>
  <si>
    <t>08/28/2018 11:33:07</t>
  </si>
  <si>
    <t>08/30/2018 10:21:54</t>
  </si>
  <si>
    <t>09/05/2018 17:53:26</t>
  </si>
  <si>
    <t>09/06/2018 12:54:17</t>
  </si>
  <si>
    <t>09/10/2018 15:29:53</t>
  </si>
  <si>
    <t>09/10/2018 19:17:13</t>
  </si>
  <si>
    <t>09/10/2018 19:50:07</t>
  </si>
  <si>
    <t>09/10/2018 19:51:43</t>
  </si>
  <si>
    <t>09/11/2018 04:23:28</t>
  </si>
  <si>
    <t>09/11/2018 13:23:39</t>
  </si>
  <si>
    <t>09/12/2018 12:48:37</t>
  </si>
  <si>
    <t>09/14/2018 16:10:58</t>
  </si>
  <si>
    <t>09/14/2018 18:41:59</t>
  </si>
  <si>
    <t>09/17/2018 16:48:53</t>
  </si>
  <si>
    <t>09/19/2018 15:28:56</t>
  </si>
  <si>
    <t>09/20/2018 09:52:03</t>
  </si>
  <si>
    <t>09/21/2018 13:49:27</t>
  </si>
  <si>
    <t>09/21/2018 14:13:22</t>
  </si>
  <si>
    <t>09/21/2018 18:16:58</t>
  </si>
  <si>
    <t>09/25/2018 00:49:41</t>
  </si>
  <si>
    <t>09/28/2018 12:29:01</t>
  </si>
  <si>
    <t>09/28/2018 15:34:01</t>
  </si>
  <si>
    <t>09/28/2018 15:34:06</t>
  </si>
  <si>
    <t>09/28/2018 15:34:11</t>
  </si>
  <si>
    <t>09/28/2018 17:36:58</t>
  </si>
  <si>
    <t>10/01/2018 13:51:35</t>
  </si>
  <si>
    <t>10/02/2018 19:04:58</t>
  </si>
  <si>
    <t>10/04/2018 02:45:50</t>
  </si>
  <si>
    <t>10/07/2018 17:07:15</t>
  </si>
  <si>
    <t>10/08/2018 13:16:56</t>
  </si>
  <si>
    <t>10/12/2018 13:01:09</t>
  </si>
  <si>
    <t>10/12/2018 16:32:50</t>
  </si>
  <si>
    <t>10/12/2018 16:33:55</t>
  </si>
  <si>
    <t>10/13/2018 01:20:23</t>
  </si>
  <si>
    <t>10/15/2018 14:24:40</t>
  </si>
  <si>
    <t>10/15/2018 19:30:54</t>
  </si>
  <si>
    <t>10/18/2018 16:04:17</t>
  </si>
  <si>
    <t>10/18/2018 18:26:47</t>
  </si>
  <si>
    <t>10/19/2018 12:35:49</t>
  </si>
  <si>
    <t>10/19/2018 16:07:38</t>
  </si>
  <si>
    <t>10/19/2018 16:19:04</t>
  </si>
  <si>
    <t>10/22/2018 13:10:19</t>
  </si>
  <si>
    <t>10/22/2018 14:50:33</t>
  </si>
  <si>
    <t>10/23/2018 19:46:48</t>
  </si>
  <si>
    <t>10/25/2018 18:19:03</t>
  </si>
  <si>
    <t>10/26/2018 01:32:11</t>
  </si>
  <si>
    <t>10/26/2018 18:58:53</t>
  </si>
  <si>
    <t>10/30/2018 19:15:05</t>
  </si>
  <si>
    <t>10/30/2018 22:39:20</t>
  </si>
  <si>
    <t>10/31/2018 16:29:50</t>
  </si>
  <si>
    <t>11/01/2018 02:42:18</t>
  </si>
  <si>
    <t>11/01/2018 09:32:47</t>
  </si>
  <si>
    <t>11/01/2018 19:44:04</t>
  </si>
  <si>
    <t>11/02/2018 12:38:54</t>
  </si>
  <si>
    <t>11/02/2018 14:54:56</t>
  </si>
  <si>
    <t>11/02/2018 15:31:44</t>
  </si>
  <si>
    <t>11/02/2018 15:34:35</t>
  </si>
  <si>
    <t>11/02/2018 17:44:06</t>
  </si>
  <si>
    <t>11/07/2018 00:43:14</t>
  </si>
  <si>
    <t>11/07/2018 13:00:05</t>
  </si>
  <si>
    <t>11/07/2018 14:34:57</t>
  </si>
  <si>
    <t>11/09/2018 11:36:28</t>
  </si>
  <si>
    <t>11/11/2018 16:48:30</t>
  </si>
  <si>
    <t>11/12/2018 01:49:51</t>
  </si>
  <si>
    <t>11/12/2018 13:30:39</t>
  </si>
  <si>
    <t>11/12/2018 14:23:54</t>
  </si>
  <si>
    <t>11/12/2018 14:59:35</t>
  </si>
  <si>
    <t>11/12/2018 15:42:39</t>
  </si>
  <si>
    <t>11/13/2018 15:28:38</t>
  </si>
  <si>
    <t>11/14/2018 04:18:07</t>
  </si>
  <si>
    <t>11/14/2018 19:59:23</t>
  </si>
  <si>
    <t>11/15/2018 01:27:35</t>
  </si>
  <si>
    <t>11/15/2018 10:47:26</t>
  </si>
  <si>
    <t>11/16/2018 10:34:57</t>
  </si>
  <si>
    <t>11/19/2018 05:47:25</t>
  </si>
  <si>
    <t>11/19/2018 08:16:28</t>
  </si>
  <si>
    <t>11/20/2018 03:38:29</t>
  </si>
  <si>
    <t>11/20/2018 06:05:30</t>
  </si>
  <si>
    <t>11/20/2018 06:06:46</t>
  </si>
  <si>
    <t>11/20/2018 13:03:31</t>
  </si>
  <si>
    <t>11/20/2018 18:30:29</t>
  </si>
  <si>
    <t>11/26/2018 15:46:48</t>
  </si>
  <si>
    <t>11/28/2018 15:16:51</t>
  </si>
  <si>
    <t>11/28/2018 16:02:09</t>
  </si>
  <si>
    <t>11/28/2018 16:27:47</t>
  </si>
  <si>
    <t>11/28/2018 18:42:36</t>
  </si>
  <si>
    <t>11/29/2018 16:32:48</t>
  </si>
  <si>
    <t>11/29/2018 16:52:46</t>
  </si>
  <si>
    <t>11/29/2018 21:12:51</t>
  </si>
  <si>
    <t>11/30/2018 17:19:11</t>
  </si>
  <si>
    <t>12/03/2018 16:35:54</t>
  </si>
  <si>
    <t>12/04/2018 21:49:11</t>
  </si>
  <si>
    <t>12/05/2018 13:17:57</t>
  </si>
  <si>
    <t>12/05/2018 13:38:29</t>
  </si>
  <si>
    <t>12/05/2018 17:12:31</t>
  </si>
  <si>
    <t>12/05/2018 18:26:13</t>
  </si>
  <si>
    <t>12/05/2018 22:05:26</t>
  </si>
  <si>
    <t>12/07/2018 09:52:25</t>
  </si>
  <si>
    <t>12/07/2018 15:07:19</t>
  </si>
  <si>
    <t>12/07/2018 17:10:09</t>
  </si>
  <si>
    <t>12/07/2018 17:37:12</t>
  </si>
  <si>
    <t>12/07/2018 17:43:42</t>
  </si>
  <si>
    <t>12/11/2018 17:23:25</t>
  </si>
  <si>
    <t>12/12/2018 12:50:50</t>
  </si>
  <si>
    <t>12/12/2018 16:29:13</t>
  </si>
  <si>
    <t>12/12/2018 17:34:18</t>
  </si>
  <si>
    <t>12/12/2018 17:59:47</t>
  </si>
  <si>
    <t>12/13/2018 10:48:21</t>
  </si>
  <si>
    <t>12/13/2018 12:42:27</t>
  </si>
  <si>
    <t>12/13/2018 19:57:00</t>
  </si>
  <si>
    <t>12/14/2018 08:56:23</t>
  </si>
  <si>
    <t>12/14/2018 11:42:15</t>
  </si>
  <si>
    <t>12/14/2018 13:28:41</t>
  </si>
  <si>
    <t>12/14/2018 13:32:07</t>
  </si>
  <si>
    <t>12/17/2018 08:03:57</t>
  </si>
  <si>
    <t>12/17/2018 13:17:25</t>
  </si>
  <si>
    <t>12/18/2018 00:09:53</t>
  </si>
  <si>
    <t>12/18/2018 14:55:33</t>
  </si>
  <si>
    <t>12/19/2018 10:41:37</t>
  </si>
  <si>
    <t>12/20/2018 11:48:40</t>
  </si>
  <si>
    <t>12/20/2018 15:06:49</t>
  </si>
  <si>
    <t>12/20/2018 23:39:31</t>
  </si>
  <si>
    <t>12/21/2018 12:57:00</t>
  </si>
  <si>
    <t>12/21/2018 18:19:35</t>
  </si>
  <si>
    <t>12/26/2018 18:36:59</t>
  </si>
  <si>
    <t>12/26/2018 19:04:04</t>
  </si>
  <si>
    <t>12/28/2018 12:22:16</t>
  </si>
  <si>
    <t>12/31/2018 15:03:31</t>
  </si>
  <si>
    <t>12/31/2018 17:39:09</t>
  </si>
  <si>
    <t>01/02/2019 02:25:50</t>
  </si>
  <si>
    <t>01/02/2019 13:18:31</t>
  </si>
  <si>
    <t>01/04/2019 09:06:07</t>
  </si>
  <si>
    <t>01/04/2019 19:58:14</t>
  </si>
  <si>
    <t>01/07/2019 05:37:55</t>
  </si>
  <si>
    <t>01/07/2019 17:53:48</t>
  </si>
  <si>
    <t>01/07/2019 21:48:30</t>
  </si>
  <si>
    <t>01/08/2019 02:54:05</t>
  </si>
  <si>
    <t>01/08/2019 04:00:03</t>
  </si>
  <si>
    <t>01/08/2019 13:44:19</t>
  </si>
  <si>
    <t>01/08/2019 15:48:56</t>
  </si>
  <si>
    <t>01/10/2019 05:35:52</t>
  </si>
  <si>
    <t>01/10/2019 16:03:25</t>
  </si>
  <si>
    <t>01/10/2019 16:37:49</t>
  </si>
  <si>
    <t>01/10/2019 18:53:13</t>
  </si>
  <si>
    <t>01/10/2019 18:57:04</t>
  </si>
  <si>
    <t>01/14/2019 11:21:17</t>
  </si>
  <si>
    <t>01/14/2019 13:35:35</t>
  </si>
  <si>
    <t>01/14/2019 13:45:38</t>
  </si>
  <si>
    <t>01/14/2019 17:40:02</t>
  </si>
  <si>
    <t>01/15/2019 12:19:58</t>
  </si>
  <si>
    <t>01/15/2019 15:56:42</t>
  </si>
  <si>
    <t>01/15/2019 18:59:53</t>
  </si>
  <si>
    <t>01/16/2019 17:43:16</t>
  </si>
  <si>
    <t>01/16/2019 17:47:21</t>
  </si>
  <si>
    <t>01/17/2019 16:45:11</t>
  </si>
  <si>
    <t>01/18/2019 12:44:54</t>
  </si>
  <si>
    <t>01/18/2019 18:47:08</t>
  </si>
  <si>
    <t>01/21/2019 11:06:51</t>
  </si>
  <si>
    <t>01/21/2019 16:30:28</t>
  </si>
  <si>
    <t>01/22/2019 12:40:04</t>
  </si>
  <si>
    <t>01/22/2019 14:20:02</t>
  </si>
  <si>
    <t>01/22/2019 15:49:51</t>
  </si>
  <si>
    <t>01/22/2019 17:04:00</t>
  </si>
  <si>
    <t>01/23/2019 06:07:55</t>
  </si>
  <si>
    <t>01/23/2019 07:15:51</t>
  </si>
  <si>
    <t>01/23/2019 14:11:53</t>
  </si>
  <si>
    <t>01/23/2019 14:48:08</t>
  </si>
  <si>
    <t>01/24/2019 02:49:21</t>
  </si>
  <si>
    <t>01/24/2019 10:58:20</t>
  </si>
  <si>
    <t>01/24/2019 13:01:28</t>
  </si>
  <si>
    <t>01/25/2019 07:25:47</t>
  </si>
  <si>
    <t>01/25/2019 07:34:01</t>
  </si>
  <si>
    <t>01/25/2019 17:44:44</t>
  </si>
  <si>
    <t>01/26/2019 12:04:55</t>
  </si>
  <si>
    <t>01/26/2019 13:51:38</t>
  </si>
  <si>
    <t>01/27/2019 23:07:11</t>
  </si>
  <si>
    <t>01/28/2019 12:21:46</t>
  </si>
  <si>
    <t>01/28/2019 18:13:41</t>
  </si>
  <si>
    <t>01/28/2019 20:24:44</t>
  </si>
  <si>
    <t>01/28/2019 22:34:42</t>
  </si>
  <si>
    <t>01/28/2019 23:31:26</t>
  </si>
  <si>
    <t>01/29/2019 13:08:41</t>
  </si>
  <si>
    <t>01/29/2019 15:39:51</t>
  </si>
  <si>
    <t>01/30/2019 10:17:38</t>
  </si>
  <si>
    <t>01/30/2019 14:29:29</t>
  </si>
  <si>
    <t>01/30/2019 18:18:29</t>
  </si>
  <si>
    <t>01/30/2019 18:47:09</t>
  </si>
  <si>
    <t>01/31/2019 06:55:47</t>
  </si>
  <si>
    <t>02/01/2019 00:02:15</t>
  </si>
  <si>
    <t>02/01/2019 11:06:28</t>
  </si>
  <si>
    <t>02/01/2019 12:08:37</t>
  </si>
  <si>
    <t>02/01/2019 13:14:10</t>
  </si>
  <si>
    <t>02/01/2019 13:14:25</t>
  </si>
  <si>
    <t>02/01/2019 16:56:50</t>
  </si>
  <si>
    <t>02/02/2019 01:58:29</t>
  </si>
  <si>
    <t>02/04/2019 11:29:39</t>
  </si>
  <si>
    <t>02/04/2019 14:38:48</t>
  </si>
  <si>
    <t>02/04/2019 20:15:39</t>
  </si>
  <si>
    <t>02/04/2019 23:54:15</t>
  </si>
  <si>
    <t>02/05/2019 07:41:59</t>
  </si>
  <si>
    <t>02/05/2019 11:16:56</t>
  </si>
  <si>
    <t>02/05/2019 12:12:56</t>
  </si>
  <si>
    <t>02/05/2019 12:13:07</t>
  </si>
  <si>
    <t>02/05/2019 13:40:33</t>
  </si>
  <si>
    <t>02/05/2019 14:51:45</t>
  </si>
  <si>
    <t>02/05/2019 17:13:59</t>
  </si>
  <si>
    <t>02/06/2019 12:58:17</t>
  </si>
  <si>
    <t>02/06/2019 18:34:40</t>
  </si>
  <si>
    <t>02/06/2019 18:48:58</t>
  </si>
  <si>
    <t>02/07/2019 08:47:50</t>
  </si>
  <si>
    <t>02/07/2019 17:29:55</t>
  </si>
  <si>
    <t>02/08/2019 09:11:52</t>
  </si>
  <si>
    <t>02/08/2019 11:19:18</t>
  </si>
  <si>
    <t>02/08/2019 14:11:33</t>
  </si>
  <si>
    <t>02/08/2019 15:55:09</t>
  </si>
  <si>
    <t>02/08/2019 16:22:37</t>
  </si>
  <si>
    <t>02/08/2019 16:47:08</t>
  </si>
  <si>
    <t>02/08/2019 18:33:47</t>
  </si>
  <si>
    <t>02/08/2019 18:43:05</t>
  </si>
  <si>
    <t>02/11/2019 09:17:24</t>
  </si>
  <si>
    <t>02/11/2019 12:39:19</t>
  </si>
  <si>
    <t>02/11/2019 16:02:10</t>
  </si>
  <si>
    <t>02/12/2019 12:27:55</t>
  </si>
  <si>
    <t>02/13/2019 04:53:04</t>
  </si>
  <si>
    <t>02/13/2019 15:32:33</t>
  </si>
  <si>
    <t>02/13/2019 16:53:25</t>
  </si>
  <si>
    <t>02/13/2019 21:04:41</t>
  </si>
  <si>
    <t>02/13/2019 22:18:17</t>
  </si>
  <si>
    <t>02/15/2019 06:15:31</t>
  </si>
  <si>
    <t>02/15/2019 10:50:52</t>
  </si>
  <si>
    <t>02/15/2019 18:39:15</t>
  </si>
  <si>
    <t>02/15/2019 19:55:08</t>
  </si>
  <si>
    <t>02/19/2019 11:25:11</t>
  </si>
  <si>
    <t>02/19/2019 13:27:55</t>
  </si>
  <si>
    <t>02/21/2019 10:44:05</t>
  </si>
  <si>
    <t>02/22/2019 20:21:00</t>
  </si>
  <si>
    <t>02/25/2019 11:28:56</t>
  </si>
  <si>
    <t>02/25/2019 16:18:51</t>
  </si>
  <si>
    <t>02/25/2019 18:54:26</t>
  </si>
  <si>
    <t>02/27/2019 11:41:51</t>
  </si>
  <si>
    <t>02/27/2019 14:31:48</t>
  </si>
  <si>
    <t>02/27/2019 17:48:55</t>
  </si>
  <si>
    <t>02/27/2019 18:39:53</t>
  </si>
  <si>
    <t>02/28/2019 11:36:26</t>
  </si>
  <si>
    <t>02/28/2019 11:36:34</t>
  </si>
  <si>
    <t>02/28/2019 16:32:13</t>
  </si>
  <si>
    <t>03/01/2019 09:46:19</t>
  </si>
  <si>
    <t>03/01/2019 12:22:42</t>
  </si>
  <si>
    <t>03/03/2019 21:38:32</t>
  </si>
  <si>
    <t>03/04/2019 11:09:47</t>
  </si>
  <si>
    <t>03/04/2019 15:25:23</t>
  </si>
  <si>
    <t>03/04/2019 16:10:39</t>
  </si>
  <si>
    <t>03/04/2019 17:18:06</t>
  </si>
  <si>
    <t>03/05/2019 15:03:42</t>
  </si>
  <si>
    <t>03/05/2019 18:50:52</t>
  </si>
  <si>
    <t>03/05/2019 19:42:01</t>
  </si>
  <si>
    <t>03/06/2019 20:00:01</t>
  </si>
  <si>
    <t>03/07/2019 02:49:17</t>
  </si>
  <si>
    <t>03/07/2019 04:46:45</t>
  </si>
  <si>
    <t>03/07/2019 23:17:56</t>
  </si>
  <si>
    <t>03/08/2019 10:02:09</t>
  </si>
  <si>
    <t>03/08/2019 16:33:36</t>
  </si>
  <si>
    <t>03/11/2019 10:03:29</t>
  </si>
  <si>
    <t>03/11/2019 14:00:50</t>
  </si>
  <si>
    <t>03/12/2019 07:53:40</t>
  </si>
  <si>
    <t>03/12/2019 19:59:12</t>
  </si>
  <si>
    <t>03/13/2019 15:41:26</t>
  </si>
  <si>
    <t>03/13/2019 17:24:00</t>
  </si>
  <si>
    <t>03/13/2019 19:00:11</t>
  </si>
  <si>
    <t>03/14/2019 01:42:10</t>
  </si>
  <si>
    <t>03/14/2019 09:17:50</t>
  </si>
  <si>
    <t>03/14/2019 15:34:57</t>
  </si>
  <si>
    <t>03/14/2019 16:41:02</t>
  </si>
  <si>
    <t>03/14/2019 23:14:51</t>
  </si>
  <si>
    <t>03/15/2019 07:03:02</t>
  </si>
  <si>
    <t>03/15/2019 09:37:42</t>
  </si>
  <si>
    <t>03/15/2019 11:06:57</t>
  </si>
  <si>
    <t>03/15/2019 11:25:30</t>
  </si>
  <si>
    <t>03/15/2019 13:41:00</t>
  </si>
  <si>
    <t>03/15/2019 14:28:52</t>
  </si>
  <si>
    <t>03/15/2019 16:08:06</t>
  </si>
  <si>
    <t>03/15/2019 16:46:08</t>
  </si>
  <si>
    <t>03/15/2019 18:30:53</t>
  </si>
  <si>
    <t>03/15/2019 21:19:22</t>
  </si>
  <si>
    <t>03/17/2019 09:19:32</t>
  </si>
  <si>
    <t>03/18/2019 13:23:20</t>
  </si>
  <si>
    <t>03/18/2019 14:10:52</t>
  </si>
  <si>
    <t>03/18/2019 16:07:57</t>
  </si>
  <si>
    <t>03/18/2019 18:22:11</t>
  </si>
  <si>
    <t>03/19/2019 08:56:43</t>
  </si>
  <si>
    <t>03/19/2019 09:43:29</t>
  </si>
  <si>
    <t>03/19/2019 13:12:18</t>
  </si>
  <si>
    <t>03/19/2019 18:38:03</t>
  </si>
  <si>
    <t>03/20/2019 13:42:20</t>
  </si>
  <si>
    <t>03/20/2019 21:20:19</t>
  </si>
  <si>
    <t>03/21/2019 13:43:39</t>
  </si>
  <si>
    <t>03/22/2019 00:09:53</t>
  </si>
  <si>
    <t>03/22/2019 06:17:01</t>
  </si>
  <si>
    <t>03/22/2019 10:27:55</t>
  </si>
  <si>
    <t>03/22/2019 10:52:11</t>
  </si>
  <si>
    <t>03/22/2019 11:34:35</t>
  </si>
  <si>
    <t>03/22/2019 12:23:34</t>
  </si>
  <si>
    <t>03/22/2019 17:09:41</t>
  </si>
  <si>
    <t>03/24/2019 23:46:55</t>
  </si>
  <si>
    <t>03/25/2019 10:57:31</t>
  </si>
  <si>
    <t>03/25/2019 12:47:48</t>
  </si>
  <si>
    <t>03/26/2019 00:36:41</t>
  </si>
  <si>
    <t>03/26/2019 06:35:17</t>
  </si>
  <si>
    <t>03/26/2019 15:16:45</t>
  </si>
  <si>
    <t>03/27/2019 17:47:25</t>
  </si>
  <si>
    <t>03/28/2019 15:15:09</t>
  </si>
  <si>
    <t>03/28/2019 16:45:51</t>
  </si>
  <si>
    <t>03/28/2019 19:59:50</t>
  </si>
  <si>
    <t>03/29/2019 18:54:45</t>
  </si>
  <si>
    <t>03/31/2019 11:35:48</t>
  </si>
  <si>
    <t>03/31/2019 21:09:49</t>
  </si>
  <si>
    <t>04/01/2019 12:42:26</t>
  </si>
  <si>
    <t>04/01/2019 13:34:56</t>
  </si>
  <si>
    <t>04/01/2019 15:56:18</t>
  </si>
  <si>
    <t>04/01/2019 22:29:13</t>
  </si>
  <si>
    <t>04/02/2019 00:54:05</t>
  </si>
  <si>
    <t>04/02/2019 13:06:53</t>
  </si>
  <si>
    <t>04/02/2019 19:32:55</t>
  </si>
  <si>
    <t>04/03/2019 12:02:11</t>
  </si>
  <si>
    <t>04/03/2019 15:14:42</t>
  </si>
  <si>
    <t>04/04/2019 05:44:53</t>
  </si>
  <si>
    <t>04/04/2019 10:36:09</t>
  </si>
  <si>
    <t>04/04/2019 15:23:35</t>
  </si>
  <si>
    <t>04/04/2019 17:18:29</t>
  </si>
  <si>
    <t>04/05/2019 10:17:55</t>
  </si>
  <si>
    <t>04/08/2019 09:45:02</t>
  </si>
  <si>
    <t>04/08/2019 10:30:54</t>
  </si>
  <si>
    <t>04/09/2019 08:27:52</t>
  </si>
  <si>
    <t>04/09/2019 14:11:24</t>
  </si>
  <si>
    <t>04/10/2019 02:39:21</t>
  </si>
  <si>
    <t>04/10/2019 04:56:20</t>
  </si>
  <si>
    <t>04/10/2019 08:59:45</t>
  </si>
  <si>
    <t>04/10/2019 10:35:36</t>
  </si>
  <si>
    <t>04/10/2019 11:44:28</t>
  </si>
  <si>
    <t>04/11/2019 10:10:35</t>
  </si>
  <si>
    <t>04/12/2019 01:21:07</t>
  </si>
  <si>
    <t>04/12/2019 02:20:39</t>
  </si>
  <si>
    <t>04/12/2019 10:05:11</t>
  </si>
  <si>
    <t>04/12/2019 12:12:02</t>
  </si>
  <si>
    <t>04/12/2019 13:14:16</t>
  </si>
  <si>
    <t>04/12/2019 18:00:36</t>
  </si>
  <si>
    <t>04/12/2019 18:05:03</t>
  </si>
  <si>
    <t>04/15/2019 04:27:34</t>
  </si>
  <si>
    <t>04/15/2019 12:44:07</t>
  </si>
  <si>
    <t>04/15/2019 15:20:36</t>
  </si>
  <si>
    <t>04/15/2019 15:31:43</t>
  </si>
  <si>
    <t>04/15/2019 19:21:28</t>
  </si>
  <si>
    <t>04/15/2019 23:39:05</t>
  </si>
  <si>
    <t>04/16/2019 09:59:41</t>
  </si>
  <si>
    <t>04/16/2019 11:32:13</t>
  </si>
  <si>
    <t>04/16/2019 12:28:21</t>
  </si>
  <si>
    <t>04/16/2019 13:18:35</t>
  </si>
  <si>
    <t>04/16/2019 16:00:03</t>
  </si>
  <si>
    <t>04/16/2019 17:25:02</t>
  </si>
  <si>
    <t>04/16/2019 19:29:16</t>
  </si>
  <si>
    <t>04/16/2019 22:01:15</t>
  </si>
  <si>
    <t>04/17/2019 09:24:40</t>
  </si>
  <si>
    <t>04/17/2019 16:13:26</t>
  </si>
  <si>
    <t>04/18/2019 10:30:17</t>
  </si>
  <si>
    <t>04/18/2019 16:56:01</t>
  </si>
  <si>
    <t>04/19/2019 13:16:14</t>
  </si>
  <si>
    <t>04/19/2019 22:07:26</t>
  </si>
  <si>
    <t>04/19/2019 22:13:59</t>
  </si>
  <si>
    <t>04/19/2019 22:29:47</t>
  </si>
  <si>
    <t>04/22/2019 12:37:26</t>
  </si>
  <si>
    <t>04/22/2019 15:06:04</t>
  </si>
  <si>
    <t>04/22/2019 16:27:25</t>
  </si>
  <si>
    <t>04/22/2019 21:47:18</t>
  </si>
  <si>
    <t>04/23/2019 10:19:31</t>
  </si>
  <si>
    <t>04/23/2019 10:28:49</t>
  </si>
  <si>
    <t>04/23/2019 10:56:51</t>
  </si>
  <si>
    <t>04/23/2019 20:51:36</t>
  </si>
  <si>
    <t>04/24/2019 11:24:33</t>
  </si>
  <si>
    <t>04/24/2019 13:17:56</t>
  </si>
  <si>
    <t>04/24/2019 16:35:26</t>
  </si>
  <si>
    <t>04/24/2019 22:19:24</t>
  </si>
  <si>
    <t>04/25/2019 12:55:37</t>
  </si>
  <si>
    <t>04/25/2019 16:13:30</t>
  </si>
  <si>
    <t>04/26/2019 12:58:33</t>
  </si>
  <si>
    <t>04/26/2019 13:40:12</t>
  </si>
  <si>
    <t>04/26/2019 16:16:58</t>
  </si>
  <si>
    <t>04/28/2019 14:54:38</t>
  </si>
  <si>
    <t>04/29/2019 14:16:06</t>
  </si>
  <si>
    <t>04/30/2019 01:36:26</t>
  </si>
  <si>
    <t>04/30/2019 15:26:17</t>
  </si>
  <si>
    <t>04/30/2019 16:52:57</t>
  </si>
  <si>
    <t>05/01/2019 12:21:18</t>
  </si>
  <si>
    <t>05/01/2019 12:27:25</t>
  </si>
  <si>
    <t>05/01/2019 17:12:12</t>
  </si>
  <si>
    <t>05/02/2019 12:08:29</t>
  </si>
  <si>
    <t>05/02/2019 12:13:24</t>
  </si>
  <si>
    <t>05/02/2019 19:58:37</t>
  </si>
  <si>
    <t>05/02/2019 20:06:24</t>
  </si>
  <si>
    <t>05/02/2019 21:48:31</t>
  </si>
  <si>
    <t>05/03/2019 10:10:14</t>
  </si>
  <si>
    <t>05/03/2019 10:50:56</t>
  </si>
  <si>
    <t>05/03/2019 12:58:26</t>
  </si>
  <si>
    <t>05/03/2019 21:54:10</t>
  </si>
  <si>
    <t>05/06/2019 12:07:42</t>
  </si>
  <si>
    <t>05/06/2019 12:08:16</t>
  </si>
  <si>
    <t>05/06/2019 12:09:22</t>
  </si>
  <si>
    <t>05/06/2019 12:09:53</t>
  </si>
  <si>
    <t>05/06/2019 12:11:53</t>
  </si>
  <si>
    <t>05/06/2019 15:07:40</t>
  </si>
  <si>
    <t>05/07/2019 08:54:38</t>
  </si>
  <si>
    <t>05/07/2019 10:20:48</t>
  </si>
  <si>
    <t>05/07/2019 11:00:07</t>
  </si>
  <si>
    <t>05/07/2019 15:35:57</t>
  </si>
  <si>
    <t>05/08/2019 12:45:15</t>
  </si>
  <si>
    <t>05/08/2019 17:30:51</t>
  </si>
  <si>
    <t>05/08/2019 21:14:24</t>
  </si>
  <si>
    <t>05/08/2019 22:11:26</t>
  </si>
  <si>
    <t>05/09/2019 13:25:06</t>
  </si>
  <si>
    <t>05/09/2019 13:25:15</t>
  </si>
  <si>
    <t>05/09/2019 18:30:20</t>
  </si>
  <si>
    <t>05/09/2019 19:30:32</t>
  </si>
  <si>
    <t>05/10/2019 11:24:52</t>
  </si>
  <si>
    <t>05/13/2019 10:45:15</t>
  </si>
  <si>
    <t>05/13/2019 18:56:27</t>
  </si>
  <si>
    <t>05/13/2019 19:07:08</t>
  </si>
  <si>
    <t>05/15/2019 13:42:42</t>
  </si>
  <si>
    <t>05/15/2019 16:07:44</t>
  </si>
  <si>
    <t>05/16/2019 03:07:07</t>
  </si>
  <si>
    <t>05/16/2019 12:40:07</t>
  </si>
  <si>
    <t>05/17/2019 13:28:54</t>
  </si>
  <si>
    <t>05/17/2019 13:40:05</t>
  </si>
  <si>
    <t>05/17/2019 16:20:00</t>
  </si>
  <si>
    <t>05/20/2019 16:38:53</t>
  </si>
  <si>
    <t>05/21/2019 11:55:38</t>
  </si>
  <si>
    <t>05/21/2019 12:11:10</t>
  </si>
  <si>
    <t>05/21/2019 14:39:22</t>
  </si>
  <si>
    <t>05/21/2019 15:30:47</t>
  </si>
  <si>
    <t>05/21/2019 18:04:54</t>
  </si>
  <si>
    <t>05/22/2019 04:26:28</t>
  </si>
  <si>
    <t>05/22/2019 07:13:35</t>
  </si>
  <si>
    <t>05/22/2019 12:08:57</t>
  </si>
  <si>
    <t>05/22/2019 13:08:26</t>
  </si>
  <si>
    <t>05/22/2019 18:18:12</t>
  </si>
  <si>
    <t>05/24/2019 13:13:32</t>
  </si>
  <si>
    <t>05/24/2019 13:15:31</t>
  </si>
  <si>
    <t>05/24/2019 16:14:31</t>
  </si>
  <si>
    <t>05/28/2019 12:00:02</t>
  </si>
  <si>
    <t>05/28/2019 12:14:25</t>
  </si>
  <si>
    <t>05/29/2019 04:15:53</t>
  </si>
  <si>
    <t>05/29/2019 06:53:47</t>
  </si>
  <si>
    <t>05/29/2019 13:55:16</t>
  </si>
  <si>
    <t>05/29/2019 18:14:16</t>
  </si>
  <si>
    <t>05/29/2019 20:25:20</t>
  </si>
  <si>
    <t>05/30/2019 01:26:52</t>
  </si>
  <si>
    <t>05/30/2019 05:14:06</t>
  </si>
  <si>
    <t>05/30/2019 06:45:29</t>
  </si>
  <si>
    <t>05/30/2019 15:19:33</t>
  </si>
  <si>
    <t>05/30/2019 16:52:41</t>
  </si>
  <si>
    <t>05/31/2019 15:00:15</t>
  </si>
  <si>
    <t>05/31/2019 15:00:30</t>
  </si>
  <si>
    <t>05/31/2019 15:48:07</t>
  </si>
  <si>
    <t>05/31/2019 18:26:42</t>
  </si>
  <si>
    <t>06/04/2019 16:54:56</t>
  </si>
  <si>
    <t>06/05/2019 09:59:24</t>
  </si>
  <si>
    <t>06/06/2019 13:16:11</t>
  </si>
  <si>
    <t>06/06/2019 13:26:35</t>
  </si>
  <si>
    <t>06/07/2019 09:25:19</t>
  </si>
  <si>
    <t>06/10/2019 08:11:46</t>
  </si>
  <si>
    <t>06/10/2019 11:33:47</t>
  </si>
  <si>
    <t>06/10/2019 12:31:22</t>
  </si>
  <si>
    <t>06/11/2019 14:41:44</t>
  </si>
  <si>
    <t>06/12/2019 01:40:18</t>
  </si>
  <si>
    <t>06/12/2019 10:44:41</t>
  </si>
  <si>
    <t>06/12/2019 13:34:30</t>
  </si>
  <si>
    <t>06/17/2019 18:28:34</t>
  </si>
  <si>
    <t>06/18/2019 12:53:36</t>
  </si>
  <si>
    <t>06/18/2019 21:10:21</t>
  </si>
  <si>
    <t>06/19/2019 21:22:23</t>
  </si>
  <si>
    <t>06/20/2019 13:09:15</t>
  </si>
  <si>
    <t>06/20/2019 14:47:27</t>
  </si>
  <si>
    <t>06/21/2019 01:21:16</t>
  </si>
  <si>
    <t>06/21/2019 11:09:55</t>
  </si>
  <si>
    <t>06/24/2019 09:27:42</t>
  </si>
  <si>
    <t>06/24/2019 23:13:27</t>
  </si>
  <si>
    <t>06/25/2019 05:14:45</t>
  </si>
  <si>
    <t>06/28/2019 00:48:35</t>
  </si>
  <si>
    <t>06/28/2019 01:48:22</t>
  </si>
  <si>
    <t>06/30/2019 21:17:45</t>
  </si>
  <si>
    <t>07/05/2019 03:55:01</t>
  </si>
  <si>
    <t>07/07/2019 22:17:45</t>
  </si>
  <si>
    <t>07/08/2019 22:56:56</t>
  </si>
  <si>
    <t>07/09/2019 11:42:53</t>
  </si>
  <si>
    <t>07/09/2019 12:49:39</t>
  </si>
  <si>
    <t>07/09/2019 18:20:35</t>
  </si>
  <si>
    <t>07/11/2019 02:39:06</t>
  </si>
  <si>
    <t>07/12/2019 11:01:20</t>
  </si>
  <si>
    <t>07/15/2019 12:32:24</t>
  </si>
  <si>
    <t>07/17/2019 12:28:36</t>
  </si>
  <si>
    <t>07/18/2019 10:35:04</t>
  </si>
  <si>
    <t>07/18/2019 18:35:45</t>
  </si>
  <si>
    <t>07/19/2019 13:24:04</t>
  </si>
  <si>
    <t>07/22/2019 14:37:39</t>
  </si>
  <si>
    <t>07/22/2019 16:39:54</t>
  </si>
  <si>
    <t>07/23/2019 19:26:03</t>
  </si>
  <si>
    <t>07/26/2019 12:45:43</t>
  </si>
  <si>
    <t>07/31/2019 19:58:45</t>
  </si>
  <si>
    <t>07/31/2019 20:02:30</t>
  </si>
  <si>
    <t>08/02/2019 16:38:18</t>
  </si>
  <si>
    <t>08/06/2019 06:27:00</t>
  </si>
  <si>
    <t>08/07/2019 08:28:41</t>
  </si>
  <si>
    <t>08/07/2019 08:31:13</t>
  </si>
  <si>
    <t>08/12/2019 18:53:00</t>
  </si>
  <si>
    <t>08/14/2019 16:16:32</t>
  </si>
  <si>
    <t>08/15/2019 17:43:17</t>
  </si>
  <si>
    <t>08/16/2019 07:53:26</t>
  </si>
  <si>
    <t>08/19/2019 15:04:00</t>
  </si>
  <si>
    <t>08/20/2019 12:19:32</t>
  </si>
  <si>
    <t>08/21/2019 12:47:36</t>
  </si>
  <si>
    <t>08/28/2019 14:38:08</t>
  </si>
  <si>
    <t>08/28/2019 14:46:00</t>
  </si>
  <si>
    <t>08/28/2019 17:44:03</t>
  </si>
  <si>
    <t>08/29/2019 13:45:56</t>
  </si>
  <si>
    <t>09/02/2019 08:56:30</t>
  </si>
  <si>
    <t>09/06/2019 02:54:49</t>
  </si>
  <si>
    <t>09/06/2019 08:32:12</t>
  </si>
  <si>
    <t>09/06/2019 12:33:42</t>
  </si>
  <si>
    <t>09/09/2019 02:50:37</t>
  </si>
  <si>
    <t>09/12/2019 05:33:46</t>
  </si>
  <si>
    <t>09/16/2019 10:35:51</t>
  </si>
  <si>
    <t>09/16/2019 13:20:47</t>
  </si>
  <si>
    <t>09/16/2019 13:29:56</t>
  </si>
  <si>
    <t>09/17/2019 13:06:30</t>
  </si>
  <si>
    <t>09/17/2019 13:22:42</t>
  </si>
  <si>
    <t>09/17/2019 20:34:56</t>
  </si>
  <si>
    <t>09/18/2019 05:55:57</t>
  </si>
  <si>
    <t>09/18/2019 13:22:26</t>
  </si>
  <si>
    <t>09/18/2019 18:17:05</t>
  </si>
  <si>
    <t>09/23/2019 21:29:02</t>
  </si>
  <si>
    <t>09/24/2019 12:49:16</t>
  </si>
  <si>
    <t>09/25/2019 17:52:29</t>
  </si>
  <si>
    <t>09/25/2019 18:23:40</t>
  </si>
  <si>
    <t>09/26/2019 14:26:11</t>
  </si>
  <si>
    <t>09/26/2019 18:53:59</t>
  </si>
  <si>
    <t>09/28/2019 00:11:31</t>
  </si>
  <si>
    <t>10/01/2019 10:01:06</t>
  </si>
  <si>
    <t>10/01/2019 10:26:00</t>
  </si>
  <si>
    <t>10/01/2019 17:30:37</t>
  </si>
  <si>
    <t>10/02/2019 08:03:15</t>
  </si>
  <si>
    <t>10/03/2019 19:57:43</t>
  </si>
  <si>
    <t>10/07/2019 11:47:55</t>
  </si>
  <si>
    <t>10/09/2019 14:40:59</t>
  </si>
  <si>
    <t>10/09/2019 19:51:50</t>
  </si>
  <si>
    <t>10/10/2019 06:06:01</t>
  </si>
  <si>
    <t>10/11/2019 11:19:10</t>
  </si>
  <si>
    <t>10/11/2019 13:50:45</t>
  </si>
  <si>
    <t>10/14/2019 13:58:41</t>
  </si>
  <si>
    <t>10/15/2019 11:23:37</t>
  </si>
  <si>
    <t>10/15/2019 12:42:07</t>
  </si>
  <si>
    <t>10/16/2019 02:52:14</t>
  </si>
  <si>
    <t>10/16/2019 12:11:25</t>
  </si>
  <si>
    <t>10/16/2019 14:35:07</t>
  </si>
  <si>
    <t>10/16/2019 14:51:02</t>
  </si>
  <si>
    <t>10/17/2019 13:23:24</t>
  </si>
  <si>
    <t>10/17/2019 13:31:37</t>
  </si>
  <si>
    <t>10/17/2019 16:42:35</t>
  </si>
  <si>
    <t>10/17/2019 18:19:39</t>
  </si>
  <si>
    <t>10/29/2019 01:08:23</t>
  </si>
  <si>
    <t>10/29/2019 16:49:01</t>
  </si>
  <si>
    <t>10/29/2019 16:55:05</t>
  </si>
  <si>
    <t>10/31/2019 03:18:49</t>
  </si>
  <si>
    <t>10/31/2019 12:34:13</t>
  </si>
  <si>
    <t>10/31/2019 16:40:32</t>
  </si>
  <si>
    <t>11/04/2019 03:25:08</t>
  </si>
  <si>
    <t>11/04/2019 09:19:50</t>
  </si>
  <si>
    <t>11/04/2019 11:31:44</t>
  </si>
  <si>
    <t>11/05/2019 01:53:31</t>
  </si>
  <si>
    <t>11/05/2019 04:26:44</t>
  </si>
  <si>
    <t>11/05/2019 09:44:23</t>
  </si>
  <si>
    <t>11/06/2019 04:10:14</t>
  </si>
  <si>
    <t>11/06/2019 10:43:51</t>
  </si>
  <si>
    <t>11/06/2019 14:10:50</t>
  </si>
  <si>
    <t>11/06/2019 16:01:11</t>
  </si>
  <si>
    <t>11/06/2019 16:25:32</t>
  </si>
  <si>
    <t>11/06/2019 16:26:29</t>
  </si>
  <si>
    <t>11/06/2019 20:24:17</t>
  </si>
  <si>
    <t>11/06/2019 21:45:32</t>
  </si>
  <si>
    <t>11/07/2019 21:31:33</t>
  </si>
  <si>
    <t>11/08/2019 02:45:41</t>
  </si>
  <si>
    <t>11/08/2019 09:11:18</t>
  </si>
  <si>
    <t>11/08/2019 14:31:13</t>
  </si>
  <si>
    <t>11/08/2019 16:51:59</t>
  </si>
  <si>
    <t>11/08/2019 16:52:19</t>
  </si>
  <si>
    <t>11/08/2019 20:53:20</t>
  </si>
  <si>
    <t>11/10/2019 20:57:11</t>
  </si>
  <si>
    <t>11/11/2019 14:43:20</t>
  </si>
  <si>
    <t>11/13/2019 13:21:14</t>
  </si>
  <si>
    <t>11/14/2019 16:03:11</t>
  </si>
  <si>
    <t>11/14/2019 16:31:30</t>
  </si>
  <si>
    <t>11/14/2019 20:33:18</t>
  </si>
  <si>
    <t>11/15/2019 09:43:21</t>
  </si>
  <si>
    <t>11/15/2019 12:09:14</t>
  </si>
  <si>
    <t>11/15/2019 14:26:21</t>
  </si>
  <si>
    <t>11/19/2019 14:12:10</t>
  </si>
  <si>
    <t>11/19/2019 15:38:46</t>
  </si>
  <si>
    <t>11/19/2019 18:43:03</t>
  </si>
  <si>
    <t>11/19/2019 19:31:53</t>
  </si>
  <si>
    <t>11/20/2019 01:09:53</t>
  </si>
  <si>
    <t>11/20/2019 03:55:45</t>
  </si>
  <si>
    <t>11/20/2019 10:57:03</t>
  </si>
  <si>
    <t>11/20/2019 18:38:47</t>
  </si>
  <si>
    <t>11/21/2019 00:07:07</t>
  </si>
  <si>
    <t>11/21/2019 14:34:04</t>
  </si>
  <si>
    <t>11/22/2019 11:32:46</t>
  </si>
  <si>
    <t>11/25/2019 07:28:09</t>
  </si>
  <si>
    <t>11/25/2019 07:28:24</t>
  </si>
  <si>
    <t>11/25/2019 09:59:26</t>
  </si>
  <si>
    <t>11/26/2019 10:39:28</t>
  </si>
  <si>
    <t>11/26/2019 11:36:34</t>
  </si>
  <si>
    <t>11/26/2019 15:01:10</t>
  </si>
  <si>
    <t>11/26/2019 15:43:16</t>
  </si>
  <si>
    <t>11/27/2019 02:43:48</t>
  </si>
  <si>
    <t>11/27/2019 21:18:25</t>
  </si>
  <si>
    <t>11/30/2019 14:58:30</t>
  </si>
  <si>
    <t>12/02/2019 02:45:18</t>
  </si>
  <si>
    <t>12/02/2019 02:54:25</t>
  </si>
  <si>
    <t>12/02/2019 09:51:24</t>
  </si>
  <si>
    <t>12/02/2019 15:31:56</t>
  </si>
  <si>
    <t>12/03/2019 16:22:25</t>
  </si>
  <si>
    <t>12/03/2019 17:14:14</t>
  </si>
  <si>
    <t>12/03/2019 19:21:23</t>
  </si>
  <si>
    <t>12/04/2019 06:42:59</t>
  </si>
  <si>
    <t>12/04/2019 10:05:54</t>
  </si>
  <si>
    <t>12/04/2019 22:39:00</t>
  </si>
  <si>
    <t>12/05/2019 01:25:07</t>
  </si>
  <si>
    <t>12/05/2019 05:55:28</t>
  </si>
  <si>
    <t>12/05/2019 11:44:20</t>
  </si>
  <si>
    <t>12/06/2019 08:48:28</t>
  </si>
  <si>
    <t>12/06/2019 17:28:03</t>
  </si>
  <si>
    <t>12/09/2019 01:59:41</t>
  </si>
  <si>
    <t>12/09/2019 05:14:29</t>
  </si>
  <si>
    <t>12/09/2019 08:02:05</t>
  </si>
  <si>
    <t>12/09/2019 14:25:05</t>
  </si>
  <si>
    <t>12/10/2019 14:05:50</t>
  </si>
  <si>
    <t>12/10/2019 23:03:57</t>
  </si>
  <si>
    <t>12/11/2019 06:47:45</t>
  </si>
  <si>
    <t>12/11/2019 06:49:43</t>
  </si>
  <si>
    <t>12/11/2019 18:59:54</t>
  </si>
  <si>
    <t>12/12/2019 06:37:22</t>
  </si>
  <si>
    <t>12/12/2019 16:34:04</t>
  </si>
  <si>
    <t>12/13/2019 20:45:51</t>
  </si>
  <si>
    <t>12/15/2019 14:08:15</t>
  </si>
  <si>
    <t>12/16/2019 11:36:34</t>
  </si>
  <si>
    <t>12/16/2019 13:25:14</t>
  </si>
  <si>
    <t>12/16/2019 17:32:22</t>
  </si>
  <si>
    <t>12/17/2019 12:45:46</t>
  </si>
  <si>
    <t>12/17/2019 13:16:20</t>
  </si>
  <si>
    <t>12/17/2019 18:24:07</t>
  </si>
  <si>
    <t>12/17/2019 23:59:50</t>
  </si>
  <si>
    <t>12/18/2019 10:18:16</t>
  </si>
  <si>
    <t>12/18/2019 10:36:50</t>
  </si>
  <si>
    <t>12/18/2019 11:25:33</t>
  </si>
  <si>
    <t>12/18/2019 14:44:40</t>
  </si>
  <si>
    <t>12/19/2019 16:16:02</t>
  </si>
  <si>
    <t>12/24/2019 05:39:49</t>
  </si>
  <si>
    <t>12/25/2019 02:07:47</t>
  </si>
  <si>
    <t>01/02/2020 15:41:48</t>
  </si>
  <si>
    <t>01/02/2020 16:51:59</t>
  </si>
  <si>
    <t>01/03/2020 08:23:55</t>
  </si>
  <si>
    <t>01/05/2020 21:04:33</t>
  </si>
  <si>
    <t>01/07/2020 15:22:17</t>
  </si>
  <si>
    <t>01/08/2020 11:42:20</t>
  </si>
  <si>
    <t>01/09/2020 15:10:43</t>
  </si>
  <si>
    <t>01/09/2020 18:52:13</t>
  </si>
  <si>
    <t>01/10/2020 08:35:24</t>
  </si>
  <si>
    <t>01/10/2020 10:48:35</t>
  </si>
  <si>
    <t>01/10/2020 11:25:20</t>
  </si>
  <si>
    <t>01/10/2020 12:28:15</t>
  </si>
  <si>
    <t>01/10/2020 15:02:34</t>
  </si>
  <si>
    <t>01/10/2020 16:37:15</t>
  </si>
  <si>
    <t>01/10/2020 17:01:49</t>
  </si>
  <si>
    <t>01/10/2020 19:07:37</t>
  </si>
  <si>
    <t>01/10/2020 19:09:01</t>
  </si>
  <si>
    <t>01/10/2020 19:13:22</t>
  </si>
  <si>
    <t>01/13/2020 12:27:55</t>
  </si>
  <si>
    <t>01/13/2020 20:58:36</t>
  </si>
  <si>
    <t>01/14/2020 10:09:39</t>
  </si>
  <si>
    <t>01/14/2020 17:06:15</t>
  </si>
  <si>
    <t>01/15/2020 04:39:38</t>
  </si>
  <si>
    <t>01/15/2020 05:10:58</t>
  </si>
  <si>
    <t>01/15/2020 06:22:53</t>
  </si>
  <si>
    <t>01/15/2020 10:06:56</t>
  </si>
  <si>
    <t>01/15/2020 15:17:43</t>
  </si>
  <si>
    <t>01/16/2020 08:04:27</t>
  </si>
  <si>
    <t>01/17/2020 19:52:25</t>
  </si>
  <si>
    <t>01/18/2020 15:11:28</t>
  </si>
  <si>
    <t>01/20/2020 09:06:29</t>
  </si>
  <si>
    <t>01/20/2020 09:09:05</t>
  </si>
  <si>
    <t>01/20/2020 10:40:49</t>
  </si>
  <si>
    <t>01/20/2020 12:44:42</t>
  </si>
  <si>
    <t>01/20/2020 21:15:15</t>
  </si>
  <si>
    <t>01/21/2020 10:04:50</t>
  </si>
  <si>
    <t>01/21/2020 10:50:26</t>
  </si>
  <si>
    <t>01/21/2020 20:20:24</t>
  </si>
  <si>
    <t>01/22/2020 07:01:25</t>
  </si>
  <si>
    <t>01/22/2020 07:10:46</t>
  </si>
  <si>
    <t>01/22/2020 16:28:08</t>
  </si>
  <si>
    <t>01/23/2020 08:35:47</t>
  </si>
  <si>
    <t>01/23/2020 14:21:11</t>
  </si>
  <si>
    <t>01/23/2020 15:29:04</t>
  </si>
  <si>
    <t>01/23/2020 15:29:17</t>
  </si>
  <si>
    <t>01/23/2020 17:24:50</t>
  </si>
  <si>
    <t>01/23/2020 19:52:23</t>
  </si>
  <si>
    <t>01/23/2020 20:00:16</t>
  </si>
  <si>
    <t>01/24/2020 06:45:21</t>
  </si>
  <si>
    <t>01/24/2020 13:42:28</t>
  </si>
  <si>
    <t>01/24/2020 16:11:25</t>
  </si>
  <si>
    <t>01/24/2020 20:17:09</t>
  </si>
  <si>
    <t>01/27/2020 01:52:54</t>
  </si>
  <si>
    <t>01/27/2020 10:22:51</t>
  </si>
  <si>
    <t>01/27/2020 11:23:40</t>
  </si>
  <si>
    <t>01/27/2020 11:57:33</t>
  </si>
  <si>
    <t>01/27/2020 19:35:05</t>
  </si>
  <si>
    <t>01/28/2020 15:56:07</t>
  </si>
  <si>
    <t>01/28/2020 20:59:14</t>
  </si>
  <si>
    <t>01/29/2020 11:47:08</t>
  </si>
  <si>
    <t>01/29/2020 11:48:21</t>
  </si>
  <si>
    <t>01/30/2020 03:22:18</t>
  </si>
  <si>
    <t>01/30/2020 11:31:21</t>
  </si>
  <si>
    <t>01/30/2020 15:48:03</t>
  </si>
  <si>
    <t>01/30/2020 16:32:00</t>
  </si>
  <si>
    <t>01/31/2020 03:36:52</t>
  </si>
  <si>
    <t>01/31/2020 04:40:24</t>
  </si>
  <si>
    <t>01/31/2020 13:43:02</t>
  </si>
  <si>
    <t>01/31/2020 19:50:05</t>
  </si>
  <si>
    <t>01/31/2020 19:50:12</t>
  </si>
  <si>
    <t>02/03/2020 01:11:58</t>
  </si>
  <si>
    <t>02/03/2020 19:47:57</t>
  </si>
  <si>
    <t>02/04/2020 19:25:47</t>
  </si>
  <si>
    <t>02/04/2020 20:56:59</t>
  </si>
  <si>
    <t>02/05/2020 00:45:37</t>
  </si>
  <si>
    <t>02/05/2020 13:18:46</t>
  </si>
  <si>
    <t>02/05/2020 14:35:26</t>
  </si>
  <si>
    <t>02/05/2020 14:35:48</t>
  </si>
  <si>
    <t>02/05/2020 14:41:44</t>
  </si>
  <si>
    <t>02/05/2020 14:43:24</t>
  </si>
  <si>
    <t>02/06/2020 02:54:19</t>
  </si>
  <si>
    <t>02/06/2020 04:45:29</t>
  </si>
  <si>
    <t>02/06/2020 05:00:49</t>
  </si>
  <si>
    <t>02/06/2020 05:05:19</t>
  </si>
  <si>
    <t>02/06/2020 13:15:57</t>
  </si>
  <si>
    <t>02/06/2020 17:00:01</t>
  </si>
  <si>
    <t>02/06/2020 20:57:41</t>
  </si>
  <si>
    <t>02/06/2020 21:58:25</t>
  </si>
  <si>
    <t>02/06/2020 23:54:38</t>
  </si>
  <si>
    <t>02/07/2020 05:05:15</t>
  </si>
  <si>
    <t>02/07/2020 07:14:37</t>
  </si>
  <si>
    <t>02/07/2020 11:13:09</t>
  </si>
  <si>
    <t>02/07/2020 11:38:30</t>
  </si>
  <si>
    <t>02/07/2020 13:00:10</t>
  </si>
  <si>
    <t>02/07/2020 15:00:47</t>
  </si>
  <si>
    <t>02/07/2020 15:01:05</t>
  </si>
  <si>
    <t>02/07/2020 17:35:07</t>
  </si>
  <si>
    <t>02/10/2020 10:20:51</t>
  </si>
  <si>
    <t>02/10/2020 10:52:25</t>
  </si>
  <si>
    <t>02/10/2020 14:18:33</t>
  </si>
  <si>
    <t>02/10/2020 22:02:18</t>
  </si>
  <si>
    <t>02/11/2020 05:01:55</t>
  </si>
  <si>
    <t>02/11/2020 06:46:23</t>
  </si>
  <si>
    <t>02/11/2020 18:11:15</t>
  </si>
  <si>
    <t>02/12/2020 02:01:39</t>
  </si>
  <si>
    <t>02/12/2020 10:02:55</t>
  </si>
  <si>
    <t>02/12/2020 12:30:05</t>
  </si>
  <si>
    <t>02/12/2020 16:24:12</t>
  </si>
  <si>
    <t>02/13/2020 13:25:02</t>
  </si>
  <si>
    <t>02/13/2020 17:28:20</t>
  </si>
  <si>
    <t>02/13/2020 18:46:34</t>
  </si>
  <si>
    <t>02/14/2020 04:22:43</t>
  </si>
  <si>
    <t>02/14/2020 08:54:00</t>
  </si>
  <si>
    <t>02/14/2020 11:48:18</t>
  </si>
  <si>
    <t>02/14/2020 18:14:15</t>
  </si>
  <si>
    <t>02/14/2020 23:02:04</t>
  </si>
  <si>
    <t>02/17/2020 03:22:35</t>
  </si>
  <si>
    <t>02/18/2020 08:36:21</t>
  </si>
  <si>
    <t>02/18/2020 08:45:58</t>
  </si>
  <si>
    <t>02/18/2020 08:53:53</t>
  </si>
  <si>
    <t>02/18/2020 10:42:14</t>
  </si>
  <si>
    <t>02/18/2020 15:18:34</t>
  </si>
  <si>
    <t>02/18/2020 18:54:23</t>
  </si>
  <si>
    <t>02/18/2020 21:24:02</t>
  </si>
  <si>
    <t>02/19/2020 11:22:15</t>
  </si>
  <si>
    <t>02/19/2020 14:30:42</t>
  </si>
  <si>
    <t>02/19/2020 14:51:31</t>
  </si>
  <si>
    <t>02/20/2020 12:56:26</t>
  </si>
  <si>
    <t>02/20/2020 14:09:06</t>
  </si>
  <si>
    <t>02/20/2020 16:26:43</t>
  </si>
  <si>
    <t>02/20/2020 16:52:29</t>
  </si>
  <si>
    <t>02/21/2020 13:30:45</t>
  </si>
  <si>
    <t>02/21/2020 17:04:52</t>
  </si>
  <si>
    <t>02/24/2020 08:34:17</t>
  </si>
  <si>
    <t>02/25/2020 10:18:33</t>
  </si>
  <si>
    <t>02/25/2020 12:45:27</t>
  </si>
  <si>
    <t>02/25/2020 14:28:27</t>
  </si>
  <si>
    <t>02/25/2020 19:23:01</t>
  </si>
  <si>
    <t>02/25/2020 22:53:37</t>
  </si>
  <si>
    <t>02/26/2020 00:15:27</t>
  </si>
  <si>
    <t>02/26/2020 01:46:31</t>
  </si>
  <si>
    <t>02/26/2020 04:15:17</t>
  </si>
  <si>
    <t>02/26/2020 06:35:21</t>
  </si>
  <si>
    <t>02/26/2020 12:22:58</t>
  </si>
  <si>
    <t>02/26/2020 13:04:46</t>
  </si>
  <si>
    <t>02/26/2020 19:42:44</t>
  </si>
  <si>
    <t>02/26/2020 21:11:49</t>
  </si>
  <si>
    <t>02/28/2020 09:59:09</t>
  </si>
  <si>
    <t>02/28/2020 15:00:09</t>
  </si>
  <si>
    <t>02/29/2020 08:06:50</t>
  </si>
  <si>
    <t>03/02/2020 14:14:23</t>
  </si>
  <si>
    <t>03/02/2020 16:08:30</t>
  </si>
  <si>
    <t>03/02/2020 19:35:05</t>
  </si>
  <si>
    <t>03/03/2020 15:44:17</t>
  </si>
  <si>
    <t>03/03/2020 15:47:59</t>
  </si>
  <si>
    <t>03/04/2020 12:58:32</t>
  </si>
  <si>
    <t>03/05/2020 10:57:17</t>
  </si>
  <si>
    <t>03/05/2020 12:49:27</t>
  </si>
  <si>
    <t>03/05/2020 13:18:51</t>
  </si>
  <si>
    <t>03/06/2020 05:56:00</t>
  </si>
  <si>
    <t>03/06/2020 06:37:49</t>
  </si>
  <si>
    <t>03/06/2020 22:09:11</t>
  </si>
  <si>
    <t>03/09/2020 08:19:30</t>
  </si>
  <si>
    <t>03/09/2020 14:54:00</t>
  </si>
  <si>
    <t>03/10/2020 05:29:45</t>
  </si>
  <si>
    <t>03/11/2020 13:28:45</t>
  </si>
  <si>
    <t>03/11/2020 17:05:08</t>
  </si>
  <si>
    <t>03/12/2020 18:21:26</t>
  </si>
  <si>
    <t>03/12/2020 19:07:06</t>
  </si>
  <si>
    <t>03/13/2020 00:47:16</t>
  </si>
  <si>
    <t>03/13/2020 09:43:04</t>
  </si>
  <si>
    <t>03/13/2020 17:16:59</t>
  </si>
  <si>
    <t>03/13/2020 18:53:53</t>
  </si>
  <si>
    <t>03/16/2020 13:10:57</t>
  </si>
  <si>
    <t>03/16/2020 15:20:14</t>
  </si>
  <si>
    <t>03/16/2020 16:08:37</t>
  </si>
  <si>
    <t>03/16/2020 23:41:37</t>
  </si>
  <si>
    <t>03/17/2020 02:30:35</t>
  </si>
  <si>
    <t>03/17/2020 06:57:26</t>
  </si>
  <si>
    <t>03/17/2020 13:48:02</t>
  </si>
  <si>
    <t>03/17/2020 15:40:13</t>
  </si>
  <si>
    <t>03/17/2020 16:59:45</t>
  </si>
  <si>
    <t>03/17/2020 20:26:46</t>
  </si>
  <si>
    <t>03/18/2020 11:07:56</t>
  </si>
  <si>
    <t>03/18/2020 14:31:08</t>
  </si>
  <si>
    <t>03/18/2020 19:13:37</t>
  </si>
  <si>
    <t>03/18/2020 19:35:46</t>
  </si>
  <si>
    <t>03/19/2020 03:14:36</t>
  </si>
  <si>
    <t>03/19/2020 10:41:45</t>
  </si>
  <si>
    <t>03/19/2020 11:48:56</t>
  </si>
  <si>
    <t>03/19/2020 12:09:55</t>
  </si>
  <si>
    <t>03/19/2020 12:58:40</t>
  </si>
  <si>
    <t>03/19/2020 13:05:22</t>
  </si>
  <si>
    <t>03/19/2020 15:43:43</t>
  </si>
  <si>
    <t>03/19/2020 21:13:03</t>
  </si>
  <si>
    <t>03/20/2020 03:53:33</t>
  </si>
  <si>
    <t>03/20/2020 11:05:40</t>
  </si>
  <si>
    <t>03/20/2020 11:45:45</t>
  </si>
  <si>
    <t>03/20/2020 16:54:14</t>
  </si>
  <si>
    <t>03/20/2020 17:39:04</t>
  </si>
  <si>
    <t>03/22/2020 03:20:50</t>
  </si>
  <si>
    <t>03/23/2020 10:52:38</t>
  </si>
  <si>
    <t>03/23/2020 11:33:59</t>
  </si>
  <si>
    <t>03/23/2020 12:10:50</t>
  </si>
  <si>
    <t>03/23/2020 12:23:24</t>
  </si>
  <si>
    <t>03/23/2020 19:47:01</t>
  </si>
  <si>
    <t>03/23/2020 22:44:42</t>
  </si>
  <si>
    <t>03/24/2020 04:11:39</t>
  </si>
  <si>
    <t>03/24/2020 11:39:19</t>
  </si>
  <si>
    <t>03/24/2020 12:45:28</t>
  </si>
  <si>
    <t>03/25/2020 00:43:52</t>
  </si>
  <si>
    <t>03/25/2020 02:15:57</t>
  </si>
  <si>
    <t>03/25/2020 09:24:24</t>
  </si>
  <si>
    <t>03/25/2020 11:45:52</t>
  </si>
  <si>
    <t>03/25/2020 11:55:12</t>
  </si>
  <si>
    <t>03/25/2020 12:12:11</t>
  </si>
  <si>
    <t>03/25/2020 14:23:11</t>
  </si>
  <si>
    <t>03/25/2020 14:24:54</t>
  </si>
  <si>
    <t>03/25/2020 16:09:14</t>
  </si>
  <si>
    <t>03/26/2020 18:19:27</t>
  </si>
  <si>
    <t>03/26/2020 20:22:46</t>
  </si>
  <si>
    <t>03/26/2020 21:29:45</t>
  </si>
  <si>
    <t>03/26/2020 21:30:35</t>
  </si>
  <si>
    <t>03/26/2020 22:30:19</t>
  </si>
  <si>
    <t>03/27/2020 16:19:27</t>
  </si>
  <si>
    <t>03/30/2020 01:34:28</t>
  </si>
  <si>
    <t>03/30/2020 14:36:36</t>
  </si>
  <si>
    <t>03/30/2020 16:58:36</t>
  </si>
  <si>
    <t>03/30/2020 17:20:02</t>
  </si>
  <si>
    <t>03/31/2020 03:46:24</t>
  </si>
  <si>
    <t>03/31/2020 12:38:37</t>
  </si>
  <si>
    <t>03/31/2020 12:40:10</t>
  </si>
  <si>
    <t>03/31/2020 15:55:15</t>
  </si>
  <si>
    <t>03/31/2020 16:48:21</t>
  </si>
  <si>
    <t>03/31/2020 20:57:59</t>
  </si>
  <si>
    <t>04/01/2020 01:13:14</t>
  </si>
  <si>
    <t>04/01/2020 01:29:48</t>
  </si>
  <si>
    <t>04/01/2020 12:55:28</t>
  </si>
  <si>
    <t>04/01/2020 15:41:38</t>
  </si>
  <si>
    <t>04/01/2020 15:43:58</t>
  </si>
  <si>
    <t>04/01/2020 17:26:06</t>
  </si>
  <si>
    <t>04/01/2020 18:15:42</t>
  </si>
  <si>
    <t>04/01/2020 19:35:24</t>
  </si>
  <si>
    <t>04/02/2020 04:40:07</t>
  </si>
  <si>
    <t>04/02/2020 07:02:06</t>
  </si>
  <si>
    <t>04/02/2020 09:32:05</t>
  </si>
  <si>
    <t>04/02/2020 21:07:29</t>
  </si>
  <si>
    <t>04/02/2020 21:11:19</t>
  </si>
  <si>
    <t>04/02/2020 22:38:21</t>
  </si>
  <si>
    <t>04/02/2020 22:38:40</t>
  </si>
  <si>
    <t>04/02/2020 22:56:35</t>
  </si>
  <si>
    <t>04/02/2020 22:56:50</t>
  </si>
  <si>
    <t>04/02/2020 22:56:51</t>
  </si>
  <si>
    <t>04/03/2020 04:22:29</t>
  </si>
  <si>
    <t>04/03/2020 12:36:28</t>
  </si>
  <si>
    <t>04/03/2020 13:11:06</t>
  </si>
  <si>
    <t>04/06/2020 09:45:49</t>
  </si>
  <si>
    <t>04/06/2020 11:16:23</t>
  </si>
  <si>
    <t>04/06/2020 17:13:13</t>
  </si>
  <si>
    <t>04/06/2020 17:32:28</t>
  </si>
  <si>
    <t>04/06/2020 17:32:49</t>
  </si>
  <si>
    <t>04/06/2020 17:33:28</t>
  </si>
  <si>
    <t>04/06/2020 18:20:24</t>
  </si>
  <si>
    <t>04/07/2020 08:15:54</t>
  </si>
  <si>
    <t>04/07/2020 19:13:00</t>
  </si>
  <si>
    <t>04/08/2020 11:45:42</t>
  </si>
  <si>
    <t>04/08/2020 16:50:17</t>
  </si>
  <si>
    <t>04/08/2020 18:46:00</t>
  </si>
  <si>
    <t>04/09/2020 11:30:51</t>
  </si>
  <si>
    <t>04/09/2020 13:20:45</t>
  </si>
  <si>
    <t>04/09/2020 13:20:47</t>
  </si>
  <si>
    <t>04/09/2020 17:26:07</t>
  </si>
  <si>
    <t>04/10/2020 12:46:05</t>
  </si>
  <si>
    <t>04/10/2020 16:50:17</t>
  </si>
  <si>
    <t>04/10/2020 20:37:02</t>
  </si>
  <si>
    <t>04/11/2020 13:36:27</t>
  </si>
  <si>
    <t>04/14/2020 04:34:14</t>
  </si>
  <si>
    <t>04/14/2020 13:20:37</t>
  </si>
  <si>
    <t>04/14/2020 13:23:14</t>
  </si>
  <si>
    <t>04/14/2020 14:27:55</t>
  </si>
  <si>
    <t>04/14/2020 18:21:32</t>
  </si>
  <si>
    <t>04/15/2020 12:03:39</t>
  </si>
  <si>
    <t>04/16/2020 13:05:00</t>
  </si>
  <si>
    <t>04/16/2020 14:53:51</t>
  </si>
  <si>
    <t>04/17/2020 04:48:53</t>
  </si>
  <si>
    <t>04/17/2020 05:07:28</t>
  </si>
  <si>
    <t>04/17/2020 12:39:18</t>
  </si>
  <si>
    <t>04/20/2020 09:44:43</t>
  </si>
  <si>
    <t>04/20/2020 22:36:18</t>
  </si>
  <si>
    <t>04/21/2020 09:29:19</t>
  </si>
  <si>
    <t>04/21/2020 11:14:43</t>
  </si>
  <si>
    <t>04/21/2020 13:28:02</t>
  </si>
  <si>
    <t>04/21/2020 13:56:27</t>
  </si>
  <si>
    <t>04/21/2020 14:09:50</t>
  </si>
  <si>
    <t>04/21/2020 17:40:30</t>
  </si>
  <si>
    <t>04/21/2020 19:34:09</t>
  </si>
  <si>
    <t>04/21/2020 23:31:43</t>
  </si>
  <si>
    <t>04/22/2020 00:59:03</t>
  </si>
  <si>
    <t>04/22/2020 05:30:24</t>
  </si>
  <si>
    <t>04/22/2020 12:06:58</t>
  </si>
  <si>
    <t>04/22/2020 12:48:14</t>
  </si>
  <si>
    <t>04/22/2020 14:27:50</t>
  </si>
  <si>
    <t>04/22/2020 18:44:25</t>
  </si>
  <si>
    <t>04/22/2020 20:24:23</t>
  </si>
  <si>
    <t>04/23/2020 09:48:03</t>
  </si>
  <si>
    <t>04/23/2020 12:40:19</t>
  </si>
  <si>
    <t>04/23/2020 15:59:18</t>
  </si>
  <si>
    <t>04/23/2020 16:18:32</t>
  </si>
  <si>
    <t>04/24/2020 07:49:49</t>
  </si>
  <si>
    <t>04/24/2020 08:16:06</t>
  </si>
  <si>
    <t>04/24/2020 09:23:23</t>
  </si>
  <si>
    <t>04/24/2020 21:01:11</t>
  </si>
  <si>
    <t>04/26/2020 17:44:52</t>
  </si>
  <si>
    <t>04/26/2020 23:21:47</t>
  </si>
  <si>
    <t>04/27/2020 14:41:31</t>
  </si>
  <si>
    <t>04/27/2020 15:07:43</t>
  </si>
  <si>
    <t>04/28/2020 12:56:40</t>
  </si>
  <si>
    <t>04/28/2020 19:12:43</t>
  </si>
  <si>
    <t>04/28/2020 19:40:01</t>
  </si>
  <si>
    <t>04/29/2020 02:49:36</t>
  </si>
  <si>
    <t>04/29/2020 13:43:41</t>
  </si>
  <si>
    <t>04/29/2020 14:23:12</t>
  </si>
  <si>
    <t>04/29/2020 14:36:01</t>
  </si>
  <si>
    <t>04/30/2020 12:33:20</t>
  </si>
  <si>
    <t>04/30/2020 13:59:38</t>
  </si>
  <si>
    <t>04/30/2020 18:42:18</t>
  </si>
  <si>
    <t>05/01/2020 03:17:30</t>
  </si>
  <si>
    <t>05/01/2020 19:32:17</t>
  </si>
  <si>
    <t>05/01/2020 20:09:07</t>
  </si>
  <si>
    <t>05/04/2020 05:45:28</t>
  </si>
  <si>
    <t>05/05/2020 09:34:26</t>
  </si>
  <si>
    <t>05/05/2020 11:47:47</t>
  </si>
  <si>
    <t>05/05/2020 20:53:58</t>
  </si>
  <si>
    <t>05/06/2020 06:32:02</t>
  </si>
  <si>
    <t>05/06/2020 12:07:49</t>
  </si>
  <si>
    <t>05/06/2020 17:12:07</t>
  </si>
  <si>
    <t>05/06/2020 17:41:44</t>
  </si>
  <si>
    <t>05/07/2020 08:59:10</t>
  </si>
  <si>
    <t>05/07/2020 18:25:54</t>
  </si>
  <si>
    <t>05/07/2020 20:14:34</t>
  </si>
  <si>
    <t>05/07/2020 22:02:46</t>
  </si>
  <si>
    <t>05/08/2020 03:01:34</t>
  </si>
  <si>
    <t>05/08/2020 15:47:39</t>
  </si>
  <si>
    <t>05/08/2020 17:19:53</t>
  </si>
  <si>
    <t>05/08/2020 19:09:37</t>
  </si>
  <si>
    <t>05/11/2020 04:52:29</t>
  </si>
  <si>
    <t>05/11/2020 07:38:24</t>
  </si>
  <si>
    <t>05/11/2020 12:15:50</t>
  </si>
  <si>
    <t>05/11/2020 15:08:57</t>
  </si>
  <si>
    <t>05/11/2020 16:03:08</t>
  </si>
  <si>
    <t>05/12/2020 04:46:42</t>
  </si>
  <si>
    <t>05/12/2020 06:52:39</t>
  </si>
  <si>
    <t>05/12/2020 23:51:21</t>
  </si>
  <si>
    <t>05/13/2020 13:18:58</t>
  </si>
  <si>
    <t>05/14/2020 18:53:36</t>
  </si>
  <si>
    <t>05/15/2020 10:39:19</t>
  </si>
  <si>
    <t>05/15/2020 16:48:12</t>
  </si>
  <si>
    <t>05/15/2020 18:03:43</t>
  </si>
  <si>
    <t>05/17/2020 21:40:06</t>
  </si>
  <si>
    <t>05/19/2020 09:25:11</t>
  </si>
  <si>
    <t>05/19/2020 18:19:26</t>
  </si>
  <si>
    <t>05/20/2020 13:54:13</t>
  </si>
  <si>
    <t>05/20/2020 16:15:08</t>
  </si>
  <si>
    <t>05/20/2020 17:18:32</t>
  </si>
  <si>
    <t>05/20/2020 22:40:36</t>
  </si>
  <si>
    <t>05/21/2020 03:04:49</t>
  </si>
  <si>
    <t>05/21/2020 16:55:48</t>
  </si>
  <si>
    <t>05/21/2020 18:23:02</t>
  </si>
  <si>
    <t>05/21/2020 21:09:27</t>
  </si>
  <si>
    <t>05/22/2020 18:18:14</t>
  </si>
  <si>
    <t>05/25/2020 05:15:39</t>
  </si>
  <si>
    <t>05/25/2020 05:52:04</t>
  </si>
  <si>
    <t>05/25/2020 18:07:39</t>
  </si>
  <si>
    <t>05/25/2020 19:48:51</t>
  </si>
  <si>
    <t>05/25/2020 20:41:33</t>
  </si>
  <si>
    <t>05/26/2020 03:05:15</t>
  </si>
  <si>
    <t>05/26/2020 17:57:58</t>
  </si>
  <si>
    <t>05/26/2020 17:58:10</t>
  </si>
  <si>
    <t>05/26/2020 18:20:38</t>
  </si>
  <si>
    <t>05/26/2020 18:37:20</t>
  </si>
  <si>
    <t>05/26/2020 22:16:24</t>
  </si>
  <si>
    <t>05/27/2020 01:51:53</t>
  </si>
  <si>
    <t>05/27/2020 03:23:34</t>
  </si>
  <si>
    <t>05/27/2020 05:46:19</t>
  </si>
  <si>
    <t>05/27/2020 08:28:22</t>
  </si>
  <si>
    <t>05/27/2020 10:41:58</t>
  </si>
  <si>
    <t>05/27/2020 19:03:47</t>
  </si>
  <si>
    <t>05/28/2020 01:11:00</t>
  </si>
  <si>
    <t>05/28/2020 01:11:05</t>
  </si>
  <si>
    <t>05/28/2020 01:11:07</t>
  </si>
  <si>
    <t>05/28/2020 01:11:08</t>
  </si>
  <si>
    <t>05/28/2020 01:11:10</t>
  </si>
  <si>
    <t>05/28/2020 02:09:13</t>
  </si>
  <si>
    <t>05/28/2020 11:13:23</t>
  </si>
  <si>
    <t>05/28/2020 12:43:16</t>
  </si>
  <si>
    <t>05/28/2020 15:58:04</t>
  </si>
  <si>
    <t>05/28/2020 17:42:48</t>
  </si>
  <si>
    <t>05/29/2020 04:28:07</t>
  </si>
  <si>
    <t>05/29/2020 05:48:33</t>
  </si>
  <si>
    <t>05/29/2020 14:00:14</t>
  </si>
  <si>
    <t>05/29/2020 14:00:46</t>
  </si>
  <si>
    <t>05/29/2020 16:26:07</t>
  </si>
  <si>
    <t>05/29/2020 16:32:28</t>
  </si>
  <si>
    <t>05/29/2020 17:44:04</t>
  </si>
  <si>
    <t>05/29/2020 18:38:06</t>
  </si>
  <si>
    <t>05/29/2020 19:30:09</t>
  </si>
  <si>
    <t>06/02/2020 17:24:44</t>
  </si>
  <si>
    <t>06/03/2020 04:18:32</t>
  </si>
  <si>
    <t>06/04/2020 14:23:36</t>
  </si>
  <si>
    <t>06/05/2020 05:20:31</t>
  </si>
  <si>
    <t>06/05/2020 16:04:22</t>
  </si>
  <si>
    <t>06/08/2020 13:07:02</t>
  </si>
  <si>
    <t>06/08/2020 23:28:02</t>
  </si>
  <si>
    <t>06/09/2020 13:05:32</t>
  </si>
  <si>
    <t>06/09/2020 15:39:48</t>
  </si>
  <si>
    <t>06/09/2020 17:23:43</t>
  </si>
  <si>
    <t>06/10/2020 02:50:37</t>
  </si>
  <si>
    <t>06/12/2020 08:50:35</t>
  </si>
  <si>
    <t>06/15/2020 03:30:56</t>
  </si>
  <si>
    <t>06/15/2020 15:35:39</t>
  </si>
  <si>
    <t>06/15/2020 20:26:38</t>
  </si>
  <si>
    <t>06/16/2020 12:35:41</t>
  </si>
  <si>
    <t>06/16/2020 12:54:00</t>
  </si>
  <si>
    <t>06/16/2020 17:06:55</t>
  </si>
  <si>
    <t>06/16/2020 19:34:20</t>
  </si>
  <si>
    <t>06/17/2020 20:37:50</t>
  </si>
  <si>
    <t>06/18/2020 10:20:40</t>
  </si>
  <si>
    <t>06/18/2020 10:32:20</t>
  </si>
  <si>
    <t>06/18/2020 12:25:57</t>
  </si>
  <si>
    <t>06/19/2020 12:56:56</t>
  </si>
  <si>
    <t>06/19/2020 17:01:33</t>
  </si>
  <si>
    <t>06/19/2020 19:11:52</t>
  </si>
  <si>
    <t>06/22/2020 04:51:44</t>
  </si>
  <si>
    <t>06/22/2020 09:53:18</t>
  </si>
  <si>
    <t>06/22/2020 11:03:15</t>
  </si>
  <si>
    <t>06/22/2020 14:17:03</t>
  </si>
  <si>
    <t>06/22/2020 15:59:09</t>
  </si>
  <si>
    <t>06/22/2020 21:02:20</t>
  </si>
  <si>
    <t>06/23/2020 05:28:53</t>
  </si>
  <si>
    <t>06/23/2020 06:57:16</t>
  </si>
  <si>
    <t>06/23/2020 15:15:07</t>
  </si>
  <si>
    <t>06/23/2020 15:37:09</t>
  </si>
  <si>
    <t>06/24/2020 08:04:22</t>
  </si>
  <si>
    <t>06/24/2020 14:39:54</t>
  </si>
  <si>
    <t>06/24/2020 17:32:10</t>
  </si>
  <si>
    <t>06/24/2020 20:07:48</t>
  </si>
  <si>
    <t>06/25/2020 09:19:55</t>
  </si>
  <si>
    <t>06/26/2020 04:18:59</t>
  </si>
  <si>
    <t>06/26/2020 13:59:05</t>
  </si>
  <si>
    <t>06/26/2020 14:12:33</t>
  </si>
  <si>
    <t>06/26/2020 16:02:32</t>
  </si>
  <si>
    <t>06/30/2020 04:24:08</t>
  </si>
  <si>
    <t>06/30/2020 12:57:45</t>
  </si>
  <si>
    <t>06/30/2020 20:42:22</t>
  </si>
  <si>
    <t>06/30/2020 21:47:59</t>
  </si>
  <si>
    <t>06/30/2020 21:49:09</t>
  </si>
  <si>
    <t>07/01/2020 08:18:04</t>
  </si>
  <si>
    <t>07/01/2020 11:00:39</t>
  </si>
  <si>
    <t>07/01/2020 11:04:16</t>
  </si>
  <si>
    <t>07/02/2020 02:44:47</t>
  </si>
  <si>
    <t>07/02/2020 04:04:50</t>
  </si>
  <si>
    <t>07/02/2020 04:09:12</t>
  </si>
  <si>
    <t>07/02/2020 04:56:29</t>
  </si>
  <si>
    <t>07/02/2020 05:59:40</t>
  </si>
  <si>
    <t>07/03/2020 00:01:41</t>
  </si>
  <si>
    <t>07/03/2020 08:19:25</t>
  </si>
  <si>
    <t>07/06/2020 21:44:04</t>
  </si>
  <si>
    <t>07/07/2020 02:39:13</t>
  </si>
  <si>
    <t>07/07/2020 23:07:24</t>
  </si>
  <si>
    <t>07/09/2020 05:13:04</t>
  </si>
  <si>
    <t>07/09/2020 23:34:04</t>
  </si>
  <si>
    <t>07/10/2020 10:16:19</t>
  </si>
  <si>
    <t>07/10/2020 12:02:23</t>
  </si>
  <si>
    <t>07/13/2020 00:13:55</t>
  </si>
  <si>
    <t>07/14/2020 07:24:52</t>
  </si>
  <si>
    <t>07/14/2020 15:55:57</t>
  </si>
  <si>
    <t>07/14/2020 18:40:51</t>
  </si>
  <si>
    <t>07/14/2020 18:41:30</t>
  </si>
  <si>
    <t>07/14/2020 18:41:40</t>
  </si>
  <si>
    <t>07/14/2020 18:41:48</t>
  </si>
  <si>
    <t>07/14/2020 18:42:02</t>
  </si>
  <si>
    <t>07/14/2020 18:42:13</t>
  </si>
  <si>
    <t>07/15/2020 11:18:51</t>
  </si>
  <si>
    <t>07/16/2020 09:46:25</t>
  </si>
  <si>
    <t>07/16/2020 18:15:08</t>
  </si>
  <si>
    <t>07/17/2020 15:37:33</t>
  </si>
  <si>
    <t>07/20/2020 09:13:47</t>
  </si>
  <si>
    <t>07/21/2020 02:17:05</t>
  </si>
  <si>
    <t>07/23/2020 06:17:35</t>
  </si>
  <si>
    <t>07/23/2020 12:42:24</t>
  </si>
  <si>
    <t>07/24/2020 11:39:32</t>
  </si>
  <si>
    <t>07/24/2020 17:27:02</t>
  </si>
  <si>
    <t>07/24/2020 18:21:35</t>
  </si>
  <si>
    <t>07/24/2020 18:54:41</t>
  </si>
  <si>
    <t>07/24/2020 18:56:46</t>
  </si>
  <si>
    <t>07/24/2020 23:49:25</t>
  </si>
  <si>
    <t>07/26/2020 09:08:07</t>
  </si>
  <si>
    <t>07/27/2020 10:58:27</t>
  </si>
  <si>
    <t>07/27/2020 14:00:48</t>
  </si>
  <si>
    <t>07/27/2020 20:35:44</t>
  </si>
  <si>
    <t>07/28/2020 00:46:41</t>
  </si>
  <si>
    <t>07/28/2020 07:38:22</t>
  </si>
  <si>
    <t>07/28/2020 13:17:00</t>
  </si>
  <si>
    <t>07/28/2020 19:43:13</t>
  </si>
  <si>
    <t>07/29/2020 05:33:43</t>
  </si>
  <si>
    <t>07/29/2020 18:01:30</t>
  </si>
  <si>
    <t>07/30/2020 12:45:47</t>
  </si>
  <si>
    <t>07/30/2020 13:31:27</t>
  </si>
  <si>
    <t>07/30/2020 13:31:35</t>
  </si>
  <si>
    <t>07/30/2020 13:31:40</t>
  </si>
  <si>
    <t>07/31/2020 11:09:58</t>
  </si>
  <si>
    <t>07/31/2020 12:11:36</t>
  </si>
  <si>
    <t>07/31/2020 12:49:15</t>
  </si>
  <si>
    <t>07/31/2020 15:00:46</t>
  </si>
  <si>
    <t>07/31/2020 16:31:08</t>
  </si>
  <si>
    <t>07/31/2020 18:53:26</t>
  </si>
  <si>
    <t>08/03/2020 11:30:52</t>
  </si>
  <si>
    <t>08/04/2020 08:35:56</t>
  </si>
  <si>
    <t>08/04/2020 14:18:50</t>
  </si>
  <si>
    <t>08/04/2020 15:45:44</t>
  </si>
  <si>
    <t>08/05/2020 05:09:57</t>
  </si>
  <si>
    <t>08/05/2020 13:10:39</t>
  </si>
  <si>
    <t>08/10/2020 10:33:07</t>
  </si>
  <si>
    <t>08/10/2020 15:38:30</t>
  </si>
  <si>
    <t>08/12/2020 19:08:47</t>
  </si>
  <si>
    <t>08/13/2020 10:30:35</t>
  </si>
  <si>
    <t>08/16/2020 23:58:18</t>
  </si>
  <si>
    <t>08/18/2020 16:47:34</t>
  </si>
  <si>
    <t>08/18/2020 16:53:37</t>
  </si>
  <si>
    <t>08/20/2020 10:22:44</t>
  </si>
  <si>
    <t>08/24/2020 08:36:33</t>
  </si>
  <si>
    <t>08/24/2020 14:40:36</t>
  </si>
  <si>
    <t>08/26/2020 02:39:23</t>
  </si>
  <si>
    <t>08/26/2020 18:57:04</t>
  </si>
  <si>
    <t>08/27/2020 14:47:59</t>
  </si>
  <si>
    <t>08/28/2020 01:14:40</t>
  </si>
  <si>
    <t>08/28/2020 10:50:51</t>
  </si>
  <si>
    <t>09/02/2020 12:17:17</t>
  </si>
  <si>
    <t>09/03/2020 01:06:53</t>
  </si>
  <si>
    <t>09/08/2020 07:24:56</t>
  </si>
  <si>
    <t>09/08/2020 11:48:21</t>
  </si>
  <si>
    <t>09/08/2020 19:18:35</t>
  </si>
  <si>
    <t>09/09/2020 15:04:14</t>
  </si>
  <si>
    <t>09/09/2020 18:01:41</t>
  </si>
  <si>
    <t>09/10/2020 02:24:12</t>
  </si>
  <si>
    <t>09/10/2020 15:00:38</t>
  </si>
  <si>
    <t>09/10/2020 17:55:51</t>
  </si>
  <si>
    <t>09/11/2020 05:56:18</t>
  </si>
  <si>
    <t>09/11/2020 12:23:25</t>
  </si>
  <si>
    <t>09/11/2020 12:24:23</t>
  </si>
  <si>
    <t>09/11/2020 14:42:27</t>
  </si>
  <si>
    <t>09/14/2020 07:18:59</t>
  </si>
  <si>
    <t>09/14/2020 10:26:31</t>
  </si>
  <si>
    <t>09/14/2020 14:02:51</t>
  </si>
  <si>
    <t>09/15/2020 10:03:40</t>
  </si>
  <si>
    <t>09/16/2020 01:24:54</t>
  </si>
  <si>
    <t>09/16/2020 04:45:44</t>
  </si>
  <si>
    <t>09/16/2020 19:23:06</t>
  </si>
  <si>
    <t>09/17/2020 15:02:42</t>
  </si>
  <si>
    <t>09/18/2020 11:44:05</t>
  </si>
  <si>
    <t>09/21/2020 08:08:01</t>
  </si>
  <si>
    <t>09/22/2020 03:29:16</t>
  </si>
  <si>
    <t>09/22/2020 16:22:46</t>
  </si>
  <si>
    <t>09/22/2020 17:02:01</t>
  </si>
  <si>
    <t>09/23/2020 10:43:56</t>
  </si>
  <si>
    <t>09/23/2020 13:42:06</t>
  </si>
  <si>
    <t>09/23/2020 17:35:34</t>
  </si>
  <si>
    <t>09/23/2020 19:52:43</t>
  </si>
  <si>
    <t>09/24/2020 02:43:19</t>
  </si>
  <si>
    <t>09/24/2020 04:24:12</t>
  </si>
  <si>
    <t>09/24/2020 06:11:58</t>
  </si>
  <si>
    <t>09/24/2020 06:42:56</t>
  </si>
  <si>
    <t>09/24/2020 17:12:43</t>
  </si>
  <si>
    <t>09/24/2020 17:12:48</t>
  </si>
  <si>
    <t>09/24/2020 17:12:57</t>
  </si>
  <si>
    <t>09/25/2020 00:28:56</t>
  </si>
  <si>
    <t>09/25/2020 11:30:14</t>
  </si>
  <si>
    <t>09/28/2020 11:49:09</t>
  </si>
  <si>
    <t>09/28/2020 11:59:43</t>
  </si>
  <si>
    <t>09/28/2020 12:00:39</t>
  </si>
  <si>
    <t>09/28/2020 15:22:41</t>
  </si>
  <si>
    <t>09/28/2020 15:23:50</t>
  </si>
  <si>
    <t>09/28/2020 20:43:50</t>
  </si>
  <si>
    <t>09/29/2020 12:56:32</t>
  </si>
  <si>
    <t>09/29/2020 13:48:21</t>
  </si>
  <si>
    <t>09/29/2020 16:58:35</t>
  </si>
  <si>
    <t>09/30/2020 16:58:30</t>
  </si>
  <si>
    <t>09/30/2020 21:31:02</t>
  </si>
  <si>
    <t>10/01/2020 02:03:34</t>
  </si>
  <si>
    <t>10/01/2020 06:37:29</t>
  </si>
  <si>
    <t>10/01/2020 11:18:33</t>
  </si>
  <si>
    <t>10/01/2020 14:14:59</t>
  </si>
  <si>
    <t>10/05/2020 03:59:04</t>
  </si>
  <si>
    <t>10/06/2020 09:36:01</t>
  </si>
  <si>
    <t>10/06/2020 09:36:08</t>
  </si>
  <si>
    <t>10/06/2020 14:36:45</t>
  </si>
  <si>
    <t>10/06/2020 19:57:27</t>
  </si>
  <si>
    <t>10/07/2020 05:23:38</t>
  </si>
  <si>
    <t>10/07/2020 10:53:07</t>
  </si>
  <si>
    <t>10/07/2020 13:36:41</t>
  </si>
  <si>
    <t>10/07/2020 15:14:06</t>
  </si>
  <si>
    <t>10/07/2020 15:50:09</t>
  </si>
  <si>
    <t>10/07/2020 18:01:42</t>
  </si>
  <si>
    <t>10/08/2020 03:18:53</t>
  </si>
  <si>
    <t>10/08/2020 03:55:43</t>
  </si>
  <si>
    <t>10/08/2020 08:16:11</t>
  </si>
  <si>
    <t>10/08/2020 13:32:01</t>
  </si>
  <si>
    <t>10/08/2020 14:52:09</t>
  </si>
  <si>
    <t>10/08/2020 19:18:20</t>
  </si>
  <si>
    <t>10/09/2020 04:51:30</t>
  </si>
  <si>
    <t>10/10/2020 18:50:17</t>
  </si>
  <si>
    <t>10/12/2020 05:10:52</t>
  </si>
  <si>
    <t>10/12/2020 09:07:55</t>
  </si>
  <si>
    <t>10/12/2020 09:39:55</t>
  </si>
  <si>
    <t>10/12/2020 11:29:14</t>
  </si>
  <si>
    <t>10/12/2020 17:59:05</t>
  </si>
  <si>
    <t>10/12/2020 17:59:57</t>
  </si>
  <si>
    <t>10/12/2020 18:00:27</t>
  </si>
  <si>
    <t>10/12/2020 21:28:45</t>
  </si>
  <si>
    <t>10/12/2020 21:30:32</t>
  </si>
  <si>
    <t>10/13/2020 08:13:41</t>
  </si>
  <si>
    <t>10/13/2020 18:32:18</t>
  </si>
  <si>
    <t>10/14/2020 06:21:54</t>
  </si>
  <si>
    <t>10/14/2020 08:01:32</t>
  </si>
  <si>
    <t>10/14/2020 11:20:18</t>
  </si>
  <si>
    <t>10/14/2020 23:14:15</t>
  </si>
  <si>
    <t>10/15/2020 11:31:44</t>
  </si>
  <si>
    <t>10/15/2020 11:44:11</t>
  </si>
  <si>
    <t>10/15/2020 13:57:49</t>
  </si>
  <si>
    <t>10/15/2020 15:52:45</t>
  </si>
  <si>
    <t>10/16/2020 04:11:20</t>
  </si>
  <si>
    <t>10/16/2020 22:18:38</t>
  </si>
  <si>
    <t>10/18/2020 20:21:33</t>
  </si>
  <si>
    <t>10/19/2020 14:19:39</t>
  </si>
  <si>
    <t>10/19/2020 14:27:13</t>
  </si>
  <si>
    <t>10/19/2020 20:33:16</t>
  </si>
  <si>
    <t>10/20/2020 20:53:13</t>
  </si>
  <si>
    <t>10/20/2020 22:35:34</t>
  </si>
  <si>
    <t>10/21/2020 10:33:14</t>
  </si>
  <si>
    <t>10/22/2020 08:43:42</t>
  </si>
  <si>
    <t>10/23/2020 00:13:45</t>
  </si>
  <si>
    <t>10/23/2020 09:27:26</t>
  </si>
  <si>
    <t>10/23/2020 12:59:11</t>
  </si>
  <si>
    <t>10/26/2020 05:56:37</t>
  </si>
  <si>
    <t>10/26/2020 07:21:17</t>
  </si>
  <si>
    <t>10/26/2020 07:24:44</t>
  </si>
  <si>
    <t>10/26/2020 14:08:34</t>
  </si>
  <si>
    <t>10/27/2020 12:24:01</t>
  </si>
  <si>
    <t>10/28/2020 04:51:59</t>
  </si>
  <si>
    <t>10/28/2020 11:15:23</t>
  </si>
  <si>
    <t>10/28/2020 18:56:39</t>
  </si>
  <si>
    <t>10/29/2020 04:19:54</t>
  </si>
  <si>
    <t>10/29/2020 12:13:29</t>
  </si>
  <si>
    <t>10/29/2020 14:22:32</t>
  </si>
  <si>
    <t>10/29/2020 14:31:06</t>
  </si>
  <si>
    <t>10/30/2020 13:24:58</t>
  </si>
  <si>
    <t>10/31/2020 11:22:01</t>
  </si>
  <si>
    <t>11/01/2020 08:55:56</t>
  </si>
  <si>
    <t>11/02/2020 15:05:00</t>
  </si>
  <si>
    <t>11/03/2020 15:31:50</t>
  </si>
  <si>
    <t>11/03/2020 22:26:19</t>
  </si>
  <si>
    <t>11/04/2020 00:42:45</t>
  </si>
  <si>
    <t>11/04/2020 01:58:45</t>
  </si>
  <si>
    <t>11/04/2020 18:28:44</t>
  </si>
  <si>
    <t>11/04/2020 20:21:47</t>
  </si>
  <si>
    <t>11/04/2020 20:28:49</t>
  </si>
  <si>
    <t>11/04/2020 20:43:06</t>
  </si>
  <si>
    <t>11/05/2020 02:43:37</t>
  </si>
  <si>
    <t>11/05/2020 05:25:24</t>
  </si>
  <si>
    <t>11/05/2020 06:01:29</t>
  </si>
  <si>
    <t>11/05/2020 11:58:30</t>
  </si>
  <si>
    <t>11/05/2020 22:59:01</t>
  </si>
  <si>
    <t>11/05/2020 22:59:50</t>
  </si>
  <si>
    <t>11/06/2020 00:36:33</t>
  </si>
  <si>
    <t>11/06/2020 03:34:57</t>
  </si>
  <si>
    <t>11/06/2020 15:28:45</t>
  </si>
  <si>
    <t>11/09/2020 15:06:43</t>
  </si>
  <si>
    <t>11/10/2020 11:28:53</t>
  </si>
  <si>
    <t>11/11/2020 02:22:56</t>
  </si>
  <si>
    <t>11/11/2020 02:23:45</t>
  </si>
  <si>
    <t>11/11/2020 11:40:19</t>
  </si>
  <si>
    <t>11/11/2020 18:52:05</t>
  </si>
  <si>
    <t>11/11/2020 19:50:54</t>
  </si>
  <si>
    <t>11/12/2020 17:50:28</t>
  </si>
  <si>
    <t>11/12/2020 18:02:13</t>
  </si>
  <si>
    <t>11/13/2020 09:03:22</t>
  </si>
  <si>
    <t>11/13/2020 09:57:20</t>
  </si>
  <si>
    <t>11/13/2020 16:27:15</t>
  </si>
  <si>
    <t>11/13/2020 19:12:02</t>
  </si>
  <si>
    <t>11/13/2020 19:16:13</t>
  </si>
  <si>
    <t>11/13/2020 19:51:57</t>
  </si>
  <si>
    <t>11/16/2020 06:54:25</t>
  </si>
  <si>
    <t>11/16/2020 12:53:42</t>
  </si>
  <si>
    <t>11/17/2020 06:02:31</t>
  </si>
  <si>
    <t>11/18/2020 02:56:57</t>
  </si>
  <si>
    <t>11/18/2020 15:02:56</t>
  </si>
  <si>
    <t>11/18/2020 20:07:17</t>
  </si>
  <si>
    <t>11/18/2020 20:35:10</t>
  </si>
  <si>
    <t>11/19/2020 03:56:38</t>
  </si>
  <si>
    <t>11/19/2020 14:05:52</t>
  </si>
  <si>
    <t>11/19/2020 15:42:24</t>
  </si>
  <si>
    <t>11/19/2020 19:36:24</t>
  </si>
  <si>
    <t>11/20/2020 08:52:32</t>
  </si>
  <si>
    <t>11/20/2020 09:20:57</t>
  </si>
  <si>
    <t>11/23/2020 06:58:34</t>
  </si>
  <si>
    <t>11/24/2020 03:33:37</t>
  </si>
  <si>
    <t>11/24/2020 09:26:05</t>
  </si>
  <si>
    <t>11/24/2020 16:12:13</t>
  </si>
  <si>
    <t>11/26/2020 01:03:55</t>
  </si>
  <si>
    <t>11/26/2020 04:44:14</t>
  </si>
  <si>
    <t>11/26/2020 16:00:58</t>
  </si>
  <si>
    <t>11/27/2020 03:56:12</t>
  </si>
  <si>
    <t>11/27/2020 18:03:29</t>
  </si>
  <si>
    <t>11/30/2020 05:04:34</t>
  </si>
  <si>
    <t>11/30/2020 09:53:50</t>
  </si>
  <si>
    <t>11/30/2020 15:10:56</t>
  </si>
  <si>
    <t>11/30/2020 15:58:30</t>
  </si>
  <si>
    <t>12/01/2020 04:03:51</t>
  </si>
  <si>
    <t>12/01/2020 07:48:03</t>
  </si>
  <si>
    <t>12/01/2020 10:25:02</t>
  </si>
  <si>
    <t>12/01/2020 10:28:59</t>
  </si>
  <si>
    <t>12/01/2020 15:17:58</t>
  </si>
  <si>
    <t>12/01/2020 15:33:58</t>
  </si>
  <si>
    <t>12/02/2020 06:49:25</t>
  </si>
  <si>
    <t>12/02/2020 12:07:42</t>
  </si>
  <si>
    <t>12/02/2020 15:39:30</t>
  </si>
  <si>
    <t>12/02/2020 16:13:52</t>
  </si>
  <si>
    <t>12/02/2020 23:31:07</t>
  </si>
  <si>
    <t>12/03/2020 01:34:39</t>
  </si>
  <si>
    <t>12/03/2020 20:35:22</t>
  </si>
  <si>
    <t>12/04/2020 09:01:03</t>
  </si>
  <si>
    <t>12/04/2020 09:17:36</t>
  </si>
  <si>
    <t>12/04/2020 11:53:19</t>
  </si>
  <si>
    <t>12/07/2020 04:39:42</t>
  </si>
  <si>
    <t>12/07/2020 08:01:49</t>
  </si>
  <si>
    <t>12/07/2020 13:29:33</t>
  </si>
  <si>
    <t>12/08/2020 07:17:01</t>
  </si>
  <si>
    <t>12/08/2020 20:13:53</t>
  </si>
  <si>
    <t>12/09/2020 12:36:20</t>
  </si>
  <si>
    <t>12/10/2020 10:03:39</t>
  </si>
  <si>
    <t>12/10/2020 10:09:22</t>
  </si>
  <si>
    <t>12/10/2020 13:36:18</t>
  </si>
  <si>
    <t>12/10/2020 19:54:16</t>
  </si>
  <si>
    <t>12/10/2020 20:46:21</t>
  </si>
  <si>
    <t>12/10/2020 20:47:14</t>
  </si>
  <si>
    <t>12/11/2020 03:19:13</t>
  </si>
  <si>
    <t>12/11/2020 09:29:26</t>
  </si>
  <si>
    <t>12/11/2020 10:45:53</t>
  </si>
  <si>
    <t>12/11/2020 11:26:07</t>
  </si>
  <si>
    <t>12/11/2020 11:26:33</t>
  </si>
  <si>
    <t>12/11/2020 15:57:35</t>
  </si>
  <si>
    <t>12/13/2020 12:35:59</t>
  </si>
  <si>
    <t>12/13/2020 18:05:23</t>
  </si>
  <si>
    <t>12/14/2020 07:01:08</t>
  </si>
  <si>
    <t>12/14/2020 10:19:27</t>
  </si>
  <si>
    <t>12/14/2020 10:55:16</t>
  </si>
  <si>
    <t>12/14/2020 18:09:12</t>
  </si>
  <si>
    <t>12/14/2020 18:33:08</t>
  </si>
  <si>
    <t>12/14/2020 21:51:58</t>
  </si>
  <si>
    <t>12/14/2020 22:17:20</t>
  </si>
  <si>
    <t>12/15/2020 02:08:17</t>
  </si>
  <si>
    <t>12/15/2020 02:09:13</t>
  </si>
  <si>
    <t>12/15/2020 02:09:48</t>
  </si>
  <si>
    <t>12/15/2020 08:56:44</t>
  </si>
  <si>
    <t>12/15/2020 13:08:09</t>
  </si>
  <si>
    <t>12/15/2020 14:00:00</t>
  </si>
  <si>
    <t>12/15/2020 16:27:51</t>
  </si>
  <si>
    <t>12/15/2020 23:59:20</t>
  </si>
  <si>
    <t>12/16/2020 00:33:13</t>
  </si>
  <si>
    <t>12/16/2020 06:26:13</t>
  </si>
  <si>
    <t>12/17/2020 01:07:50</t>
  </si>
  <si>
    <t>12/17/2020 10:09:01</t>
  </si>
  <si>
    <t>12/17/2020 11:15:35</t>
  </si>
  <si>
    <t>12/17/2020 11:31:00</t>
  </si>
  <si>
    <t>12/17/2020 12:40:32</t>
  </si>
  <si>
    <t>12/17/2020 12:45:13</t>
  </si>
  <si>
    <t>12/18/2020 05:36:17</t>
  </si>
  <si>
    <t>12/18/2020 05:36:58</t>
  </si>
  <si>
    <t>12/21/2020 18:51:59</t>
  </si>
  <si>
    <t>12/23/2020 01:42:36</t>
  </si>
  <si>
    <t>12/23/2020 05:54:36</t>
  </si>
  <si>
    <t>12/23/2020 09:49:35</t>
  </si>
  <si>
    <t>12/23/2020 12:50:12</t>
  </si>
  <si>
    <t>12/23/2020 18:48:53</t>
  </si>
  <si>
    <t>12/28/2020 16:10:08</t>
  </si>
  <si>
    <t>01/06/2021 11:08:19</t>
  </si>
  <si>
    <t>01/06/2021 12:50:39</t>
  </si>
  <si>
    <t>01/06/2021 13:09:03</t>
  </si>
  <si>
    <t>01/06/2021 15:21:39</t>
  </si>
  <si>
    <t>01/06/2021 18:57:34</t>
  </si>
  <si>
    <t>01/06/2021 20:08:21</t>
  </si>
  <si>
    <t>01/07/2021 15:42:36</t>
  </si>
  <si>
    <t>01/08/2021 05:38:46</t>
  </si>
  <si>
    <t>01/08/2021 17:37:57</t>
  </si>
  <si>
    <t>01/09/2021 12:52:18</t>
  </si>
  <si>
    <t>01/11/2021 06:31:51</t>
  </si>
  <si>
    <t>01/11/2021 11:05:04</t>
  </si>
  <si>
    <t>01/11/2021 11:09:56</t>
  </si>
  <si>
    <t>01/11/2021 11:51:19</t>
  </si>
  <si>
    <t>01/11/2021 22:12:19</t>
  </si>
  <si>
    <t>01/12/2021 06:30:59</t>
  </si>
  <si>
    <t>01/12/2021 06:43:56</t>
  </si>
  <si>
    <t>01/12/2021 07:17:46</t>
  </si>
  <si>
    <t>01/12/2021 10:55:31</t>
  </si>
  <si>
    <t>01/12/2021 13:51:58</t>
  </si>
  <si>
    <t>01/13/2021 02:04:27</t>
  </si>
  <si>
    <t>01/13/2021 02:36:22</t>
  </si>
  <si>
    <t>01/13/2021 10:10:37</t>
  </si>
  <si>
    <t>01/13/2021 18:15:12</t>
  </si>
  <si>
    <t>01/14/2021 09:48:33</t>
  </si>
  <si>
    <t>01/14/2021 18:05:06</t>
  </si>
  <si>
    <t>01/19/2021 07:53:41</t>
  </si>
  <si>
    <t>01/19/2021 07:55:41</t>
  </si>
  <si>
    <t>01/19/2021 11:45:43</t>
  </si>
  <si>
    <t>01/20/2021 09:31:22</t>
  </si>
  <si>
    <t>01/20/2021 17:05:59</t>
  </si>
  <si>
    <t>01/21/2021 12:27:18</t>
  </si>
  <si>
    <t>01/21/2021 17:48:45</t>
  </si>
  <si>
    <t>01/22/2021 12:07:55</t>
  </si>
  <si>
    <t>01/22/2021 17:46:57</t>
  </si>
  <si>
    <t>01/25/2021 10:06:54</t>
  </si>
  <si>
    <t>01/25/2021 16:13:43</t>
  </si>
  <si>
    <t>01/25/2021 17:57:18</t>
  </si>
  <si>
    <t>01/25/2021 22:57:46</t>
  </si>
  <si>
    <t>01/26/2021 01:08:32</t>
  </si>
  <si>
    <t>01/27/2021 00:55:14</t>
  </si>
  <si>
    <t>01/27/2021 12:57:00</t>
  </si>
  <si>
    <t>01/27/2021 15:51:00</t>
  </si>
  <si>
    <t>01/27/2021 16:14:57</t>
  </si>
  <si>
    <t>01/27/2021 19:06:12</t>
  </si>
  <si>
    <t>01/28/2021 07:41:10</t>
  </si>
  <si>
    <t>01/28/2021 09:21:28</t>
  </si>
  <si>
    <t>01/28/2021 14:24:05</t>
  </si>
  <si>
    <t>01/29/2021 03:49:33</t>
  </si>
  <si>
    <t>01/29/2021 05:20:04</t>
  </si>
  <si>
    <t>01/29/2021 05:22:51</t>
  </si>
  <si>
    <t>01/29/2021 07:19:53</t>
  </si>
  <si>
    <t>02/01/2021 12:31:16</t>
  </si>
  <si>
    <t>02/01/2021 20:26:38</t>
  </si>
  <si>
    <t>02/02/2021 11:18:12</t>
  </si>
  <si>
    <t>02/03/2021 04:19:16</t>
  </si>
  <si>
    <t>02/03/2021 12:20:32</t>
  </si>
  <si>
    <t>02/03/2021 13:21:42</t>
  </si>
  <si>
    <t>02/03/2021 13:29:26</t>
  </si>
  <si>
    <t>02/03/2021 16:26:36</t>
  </si>
  <si>
    <t>02/04/2021 03:48:02</t>
  </si>
  <si>
    <t>02/04/2021 05:12:42</t>
  </si>
  <si>
    <t>02/04/2021 11:01:06</t>
  </si>
  <si>
    <t>02/04/2021 18:17:01</t>
  </si>
  <si>
    <t>02/04/2021 20:04:29</t>
  </si>
  <si>
    <t>02/04/2021 23:00:28</t>
  </si>
  <si>
    <t>02/05/2021 18:47:31</t>
  </si>
  <si>
    <t>02/07/2021 15:05:00</t>
  </si>
  <si>
    <t>02/08/2021 16:18:46</t>
  </si>
  <si>
    <t>02/08/2021 16:24:28</t>
  </si>
  <si>
    <t>02/09/2021 09:04:42</t>
  </si>
  <si>
    <t>02/09/2021 11:49:02</t>
  </si>
  <si>
    <t>02/09/2021 11:51:42</t>
  </si>
  <si>
    <t>02/09/2021 13:02:34</t>
  </si>
  <si>
    <t>02/10/2021 12:08:33</t>
  </si>
  <si>
    <t>02/10/2021 13:14:12</t>
  </si>
  <si>
    <t>02/10/2021 17:15:06</t>
  </si>
  <si>
    <t>02/11/2021 10:46:52</t>
  </si>
  <si>
    <t>02/11/2021 13:28:47</t>
  </si>
  <si>
    <t>02/11/2021 15:19:02</t>
  </si>
  <si>
    <t>02/12/2021 11:54:10</t>
  </si>
  <si>
    <t>02/12/2021 14:16:53</t>
  </si>
  <si>
    <t>02/12/2021 19:05:21</t>
  </si>
  <si>
    <t>02/15/2021 06:58:55</t>
  </si>
  <si>
    <t>02/15/2021 23:57:25</t>
  </si>
  <si>
    <t>02/16/2021 08:47:13</t>
  </si>
  <si>
    <t>02/16/2021 13:18:39</t>
  </si>
  <si>
    <t>02/17/2021 06:13:47</t>
  </si>
  <si>
    <t>02/17/2021 07:39:35</t>
  </si>
  <si>
    <t>02/17/2021 09:17:23</t>
  </si>
  <si>
    <t>02/17/2021 18:00:10</t>
  </si>
  <si>
    <t>02/17/2021 18:29:01</t>
  </si>
  <si>
    <t>02/17/2021 23:09:28</t>
  </si>
  <si>
    <t>02/18/2021 11:37:26</t>
  </si>
  <si>
    <t>02/18/2021 12:56:02</t>
  </si>
  <si>
    <t>02/18/2021 15:16:39</t>
  </si>
  <si>
    <t>02/18/2021 17:33:03</t>
  </si>
  <si>
    <t>02/18/2021 21:20:42</t>
  </si>
  <si>
    <t>02/19/2021 11:38:23</t>
  </si>
  <si>
    <t>02/19/2021 14:10:19</t>
  </si>
  <si>
    <t>02/19/2021 14:10:35</t>
  </si>
  <si>
    <t>02/19/2021 14:37:48</t>
  </si>
  <si>
    <t>02/19/2021 18:50:42</t>
  </si>
  <si>
    <t>02/20/2021 12:56:58</t>
  </si>
  <si>
    <t>02/21/2021 23:37:04</t>
  </si>
  <si>
    <t>02/22/2021 03:48:04</t>
  </si>
  <si>
    <t>02/22/2021 07:44:59</t>
  </si>
  <si>
    <t>02/22/2021 15:25:01</t>
  </si>
  <si>
    <t>02/22/2021 15:30:56</t>
  </si>
  <si>
    <t>02/22/2021 20:54:07</t>
  </si>
  <si>
    <t>02/23/2021 11:14:58</t>
  </si>
  <si>
    <t>02/23/2021 11:48:40</t>
  </si>
  <si>
    <t>02/23/2021 11:53:33</t>
  </si>
  <si>
    <t>02/23/2021 20:04:00</t>
  </si>
  <si>
    <t>02/23/2021 22:38:42</t>
  </si>
  <si>
    <t>02/24/2021 05:08:27</t>
  </si>
  <si>
    <t>02/24/2021 08:00:59</t>
  </si>
  <si>
    <t>02/24/2021 08:43:17</t>
  </si>
  <si>
    <t>02/24/2021 11:11:06</t>
  </si>
  <si>
    <t>02/24/2021 12:30:49</t>
  </si>
  <si>
    <t>02/24/2021 17:37:23</t>
  </si>
  <si>
    <t>02/24/2021 18:05:29</t>
  </si>
  <si>
    <t>02/24/2021 19:44:14</t>
  </si>
  <si>
    <t>02/25/2021 01:58:52</t>
  </si>
  <si>
    <t>02/25/2021 09:10:06</t>
  </si>
  <si>
    <t>02/25/2021 12:26:24</t>
  </si>
  <si>
    <t>02/25/2021 14:41:37</t>
  </si>
  <si>
    <t>02/25/2021 16:01:11</t>
  </si>
  <si>
    <t>02/25/2021 17:00:35</t>
  </si>
  <si>
    <t>02/25/2021 22:50:50</t>
  </si>
  <si>
    <t>02/26/2021 00:07:02</t>
  </si>
  <si>
    <t>02/26/2021 08:16:50</t>
  </si>
  <si>
    <t>02/26/2021 08:24:13</t>
  </si>
  <si>
    <t>02/26/2021 12:53:43</t>
  </si>
  <si>
    <t>02/26/2021 20:06:28</t>
  </si>
  <si>
    <t>02/28/2021 08:58:27</t>
  </si>
  <si>
    <t>03/01/2021 10:58:58</t>
  </si>
  <si>
    <t>03/01/2021 12:28:28</t>
  </si>
  <si>
    <t>03/01/2021 15:38:24</t>
  </si>
  <si>
    <t>03/01/2021 17:00:06</t>
  </si>
  <si>
    <t>03/02/2021 15:26:08</t>
  </si>
  <si>
    <t>03/02/2021 19:53:14</t>
  </si>
  <si>
    <t>03/03/2021 00:08:56</t>
  </si>
  <si>
    <t>03/03/2021 00:39:13</t>
  </si>
  <si>
    <t>03/03/2021 04:50:06</t>
  </si>
  <si>
    <t>03/03/2021 04:50:09</t>
  </si>
  <si>
    <t>03/03/2021 10:14:48</t>
  </si>
  <si>
    <t>03/03/2021 10:41:32</t>
  </si>
  <si>
    <t>03/03/2021 13:09:30</t>
  </si>
  <si>
    <t>03/04/2021 11:45:11</t>
  </si>
  <si>
    <t>03/04/2021 11:56:42</t>
  </si>
  <si>
    <t>03/04/2021 13:13:35</t>
  </si>
  <si>
    <t>03/04/2021 15:21:24</t>
  </si>
  <si>
    <t>03/04/2021 19:03:44</t>
  </si>
  <si>
    <t>03/04/2021 20:09:28</t>
  </si>
  <si>
    <t>03/04/2021 22:05:33</t>
  </si>
  <si>
    <t>03/05/2021 15:03:06</t>
  </si>
  <si>
    <t>03/07/2021 22:53:48</t>
  </si>
  <si>
    <t>03/08/2021 00:12:02</t>
  </si>
  <si>
    <t>03/08/2021 01:40:14</t>
  </si>
  <si>
    <t>03/08/2021 11:55:25</t>
  </si>
  <si>
    <t>03/08/2021 12:51:57</t>
  </si>
  <si>
    <t>03/08/2021 17:01:18</t>
  </si>
  <si>
    <t>03/09/2021 16:54:55</t>
  </si>
  <si>
    <t>03/09/2021 17:44:06</t>
  </si>
  <si>
    <t>03/09/2021 18:39:58</t>
  </si>
  <si>
    <t>03/10/2021 00:51:41</t>
  </si>
  <si>
    <t>03/10/2021 06:14:59</t>
  </si>
  <si>
    <t>03/10/2021 12:22:38</t>
  </si>
  <si>
    <t>03/11/2021 06:32:44</t>
  </si>
  <si>
    <t>03/11/2021 11:35:47</t>
  </si>
  <si>
    <t>03/11/2021 14:02:07</t>
  </si>
  <si>
    <t>03/11/2021 17:45:59</t>
  </si>
  <si>
    <t>03/12/2021 11:21:18</t>
  </si>
  <si>
    <t>03/12/2021 19:08:58</t>
  </si>
  <si>
    <t>03/15/2021 15:24:24</t>
  </si>
  <si>
    <t>03/15/2021 16:04:39</t>
  </si>
  <si>
    <t>03/15/2021 17:08:27</t>
  </si>
  <si>
    <t>03/15/2021 17:41:58</t>
  </si>
  <si>
    <t>03/15/2021 23:11:32</t>
  </si>
  <si>
    <t>03/16/2021 01:24:34</t>
  </si>
  <si>
    <t>03/16/2021 04:45:23</t>
  </si>
  <si>
    <t>03/16/2021 10:10:38</t>
  </si>
  <si>
    <t>03/16/2021 11:56:48</t>
  </si>
  <si>
    <t>03/16/2021 13:32:13</t>
  </si>
  <si>
    <t>03/16/2021 21:05:10</t>
  </si>
  <si>
    <t>03/17/2021 12:55:11</t>
  </si>
  <si>
    <t>03/17/2021 14:58:24</t>
  </si>
  <si>
    <t>03/18/2021 10:04:37</t>
  </si>
  <si>
    <t>03/18/2021 13:50:14</t>
  </si>
  <si>
    <t>03/18/2021 13:56:50</t>
  </si>
  <si>
    <t>03/18/2021 13:59:20</t>
  </si>
  <si>
    <t>03/18/2021 14:25:54</t>
  </si>
  <si>
    <t>03/18/2021 17:27:20</t>
  </si>
  <si>
    <t>03/19/2021 10:48:51</t>
  </si>
  <si>
    <t>03/19/2021 16:58:52</t>
  </si>
  <si>
    <t>03/21/2021 17:24:53</t>
  </si>
  <si>
    <t>03/21/2021 21:44:44</t>
  </si>
  <si>
    <t>03/22/2021 07:08:08</t>
  </si>
  <si>
    <t>03/22/2021 11:18:02</t>
  </si>
  <si>
    <t>03/22/2021 13:06:43</t>
  </si>
  <si>
    <t>03/22/2021 13:20:26</t>
  </si>
  <si>
    <t>03/22/2021 14:09:01</t>
  </si>
  <si>
    <t>03/22/2021 14:29:29</t>
  </si>
  <si>
    <t>03/22/2021 14:44:19</t>
  </si>
  <si>
    <t>03/22/2021 16:43:37</t>
  </si>
  <si>
    <t>03/22/2021 17:53:23</t>
  </si>
  <si>
    <t>03/22/2021 19:46:55</t>
  </si>
  <si>
    <t>03/23/2021 23:44:01</t>
  </si>
  <si>
    <t>03/24/2021 00:12:25</t>
  </si>
  <si>
    <t>03/24/2021 06:45:05</t>
  </si>
  <si>
    <t>03/24/2021 08:37:50</t>
  </si>
  <si>
    <t>03/24/2021 11:12:55</t>
  </si>
  <si>
    <t>03/24/2021 12:57:51</t>
  </si>
  <si>
    <t>03/24/2021 16:42:15</t>
  </si>
  <si>
    <t>03/25/2021 16:33:29</t>
  </si>
  <si>
    <t>03/25/2021 17:57:05</t>
  </si>
  <si>
    <t>03/26/2021 12:32:40</t>
  </si>
  <si>
    <t>03/29/2021 10:28:50</t>
  </si>
  <si>
    <t>03/29/2021 22:44:13</t>
  </si>
  <si>
    <t>03/29/2021 23:26:48</t>
  </si>
  <si>
    <t>03/30/2021 05:32:17</t>
  </si>
  <si>
    <t>03/30/2021 10:50:31</t>
  </si>
  <si>
    <t>03/30/2021 16:21:39</t>
  </si>
  <si>
    <t>03/30/2021 17:21:09</t>
  </si>
  <si>
    <t>03/30/2021 19:08:55</t>
  </si>
  <si>
    <t>03/31/2021 11:26:04</t>
  </si>
  <si>
    <t>03/31/2021 11:43:13</t>
  </si>
  <si>
    <t>03/31/2021 14:37:29</t>
  </si>
  <si>
    <t>03/31/2021 14:54:51</t>
  </si>
  <si>
    <t>03/31/2021 18:20:30</t>
  </si>
  <si>
    <t>04/01/2021 04:23:43</t>
  </si>
  <si>
    <t>04/01/2021 07:02:49</t>
  </si>
  <si>
    <t>04/01/2021 14:04:50</t>
  </si>
  <si>
    <t>04/01/2021 19:40:23</t>
  </si>
  <si>
    <t>04/02/2021 00:37:46</t>
  </si>
  <si>
    <t>04/02/2021 13:36:30</t>
  </si>
  <si>
    <t>04/02/2021 16:34:16</t>
  </si>
  <si>
    <t>04/02/2021 18:07:39</t>
  </si>
  <si>
    <t>04/05/2021 10:59:51</t>
  </si>
  <si>
    <t>04/05/2021 13:18:17</t>
  </si>
  <si>
    <t>04/05/2021 14:04:42</t>
  </si>
  <si>
    <t>04/05/2021 15:14:51</t>
  </si>
  <si>
    <t>04/05/2021 15:52:04</t>
  </si>
  <si>
    <t>04/05/2021 16:00:38</t>
  </si>
  <si>
    <t>04/05/2021 19:02:07</t>
  </si>
  <si>
    <t>04/06/2021 02:42:32</t>
  </si>
  <si>
    <t>04/07/2021 05:01:19</t>
  </si>
  <si>
    <t>04/07/2021 07:02:37</t>
  </si>
  <si>
    <t>04/07/2021 07:13:05</t>
  </si>
  <si>
    <t>04/07/2021 10:39:19</t>
  </si>
  <si>
    <t>04/08/2021 00:46:18</t>
  </si>
  <si>
    <t>04/08/2021 04:34:36</t>
  </si>
  <si>
    <t>04/08/2021 12:30:26</t>
  </si>
  <si>
    <t>04/08/2021 18:27:10</t>
  </si>
  <si>
    <t>04/08/2021 18:36:36</t>
  </si>
  <si>
    <t>04/09/2021 11:24:03</t>
  </si>
  <si>
    <t>04/09/2021 12:37:48</t>
  </si>
  <si>
    <t>04/09/2021 15:12:56</t>
  </si>
  <si>
    <t>04/12/2021 11:36:42</t>
  </si>
  <si>
    <t>04/12/2021 12:57:46</t>
  </si>
  <si>
    <t>04/12/2021 18:49:44</t>
  </si>
  <si>
    <t>04/13/2021 03:52:22</t>
  </si>
  <si>
    <t>04/13/2021 05:35:54</t>
  </si>
  <si>
    <t>04/13/2021 05:47:02</t>
  </si>
  <si>
    <t>04/13/2021 12:11:21</t>
  </si>
  <si>
    <t>04/13/2021 13:13:51</t>
  </si>
  <si>
    <t>04/13/2021 20:43:13</t>
  </si>
  <si>
    <t>04/14/2021 07:14:49</t>
  </si>
  <si>
    <t>04/14/2021 13:15:41</t>
  </si>
  <si>
    <t>04/14/2021 18:53:07</t>
  </si>
  <si>
    <t>04/15/2021 02:18:26</t>
  </si>
  <si>
    <t>04/15/2021 02:23:29</t>
  </si>
  <si>
    <t>04/16/2021 02:22:45</t>
  </si>
  <si>
    <t>04/16/2021 14:36:53</t>
  </si>
  <si>
    <t>04/19/2021 08:54:21</t>
  </si>
  <si>
    <t>04/19/2021 13:09:33</t>
  </si>
  <si>
    <t>04/20/2021 03:30:20</t>
  </si>
  <si>
    <t>04/20/2021 12:03:48</t>
  </si>
  <si>
    <t>04/20/2021 13:02:01</t>
  </si>
  <si>
    <t>04/20/2021 19:25:00</t>
  </si>
  <si>
    <t>04/21/2021 05:16:46</t>
  </si>
  <si>
    <t>04/21/2021 11:30:27</t>
  </si>
  <si>
    <t>04/21/2021 12:21:24</t>
  </si>
  <si>
    <t>04/21/2021 12:23:29</t>
  </si>
  <si>
    <t>04/21/2021 12:24:02</t>
  </si>
  <si>
    <t>04/21/2021 20:17:38</t>
  </si>
  <si>
    <t>04/22/2021 02:39:35</t>
  </si>
  <si>
    <t>04/22/2021 14:08:52</t>
  </si>
  <si>
    <t>04/22/2021 15:15:49</t>
  </si>
  <si>
    <t>04/22/2021 16:06:10</t>
  </si>
  <si>
    <t>04/22/2021 16:38:36</t>
  </si>
  <si>
    <t>04/22/2021 22:06:41</t>
  </si>
  <si>
    <t>04/23/2021 13:15:16</t>
  </si>
  <si>
    <t>04/27/2021 12:33:29</t>
  </si>
  <si>
    <t>04/27/2021 13:30:20</t>
  </si>
  <si>
    <t>04/28/2021 08:01:22</t>
  </si>
  <si>
    <t>04/28/2021 12:10:08</t>
  </si>
  <si>
    <t>04/28/2021 22:26:30</t>
  </si>
  <si>
    <t>04/29/2021 07:53:44</t>
  </si>
  <si>
    <t>04/29/2021 10:58:45</t>
  </si>
  <si>
    <t>04/29/2021 14:35:08</t>
  </si>
  <si>
    <t>04/29/2021 14:48:37</t>
  </si>
  <si>
    <t>04/29/2021 18:20:25</t>
  </si>
  <si>
    <t>04/29/2021 19:32:50</t>
  </si>
  <si>
    <t>04/29/2021 19:40:52</t>
  </si>
  <si>
    <t>04/30/2021 12:41:49</t>
  </si>
  <si>
    <t>04/30/2021 13:18:12</t>
  </si>
  <si>
    <t>04/30/2021 13:22:36</t>
  </si>
  <si>
    <t>05/02/2021 20:21:08</t>
  </si>
  <si>
    <t>05/03/2021 11:06:13</t>
  </si>
  <si>
    <t>05/03/2021 15:55:34</t>
  </si>
  <si>
    <t>05/04/2021 00:26:00</t>
  </si>
  <si>
    <t>05/04/2021 10:25:38</t>
  </si>
  <si>
    <t>05/04/2021 10:38:34</t>
  </si>
  <si>
    <t>05/04/2021 12:33:42</t>
  </si>
  <si>
    <t>05/04/2021 15:14:17</t>
  </si>
  <si>
    <t>05/04/2021 16:26:13</t>
  </si>
  <si>
    <t>05/04/2021 22:35:57</t>
  </si>
  <si>
    <t>05/05/2021 09:14:26</t>
  </si>
  <si>
    <t>05/05/2021 15:25:04</t>
  </si>
  <si>
    <t>05/06/2021 07:17:00</t>
  </si>
  <si>
    <t>05/06/2021 08:12:29</t>
  </si>
  <si>
    <t>05/06/2021 09:14:28</t>
  </si>
  <si>
    <t>05/06/2021 12:50:10</t>
  </si>
  <si>
    <t>05/06/2021 13:19:24</t>
  </si>
  <si>
    <t>05/06/2021 13:19:49</t>
  </si>
  <si>
    <t>05/06/2021 14:14:56</t>
  </si>
  <si>
    <t>05/06/2021 17:47:25</t>
  </si>
  <si>
    <t>05/06/2021 19:14:49</t>
  </si>
  <si>
    <t>05/06/2021 19:25:07</t>
  </si>
  <si>
    <t>05/07/2021 16:45:31</t>
  </si>
  <si>
    <t>05/10/2021 10:09:22</t>
  </si>
  <si>
    <t>05/10/2021 18:28:17</t>
  </si>
  <si>
    <t>05/10/2021 19:42:29</t>
  </si>
  <si>
    <t>05/11/2021 02:59:31</t>
  </si>
  <si>
    <t>05/11/2021 09:52:59</t>
  </si>
  <si>
    <t>05/12/2021 01:02:11</t>
  </si>
  <si>
    <t>05/12/2021 10:23:28</t>
  </si>
  <si>
    <t>05/12/2021 15:23:43</t>
  </si>
  <si>
    <t>05/12/2021 17:45:12</t>
  </si>
  <si>
    <t>05/13/2021 02:49:33</t>
  </si>
  <si>
    <t>05/13/2021 14:33:11</t>
  </si>
  <si>
    <t>05/17/2021 03:27:06</t>
  </si>
  <si>
    <t>05/17/2021 05:51:10</t>
  </si>
  <si>
    <t>05/17/2021 08:34:16</t>
  </si>
  <si>
    <t>05/17/2021 12:29:07</t>
  </si>
  <si>
    <t>05/18/2021 08:19:41</t>
  </si>
  <si>
    <t>05/18/2021 11:26:31</t>
  </si>
  <si>
    <t>05/18/2021 14:07:51</t>
  </si>
  <si>
    <t>05/18/2021 14:20:15</t>
  </si>
  <si>
    <t>05/19/2021 08:19:30</t>
  </si>
  <si>
    <t>05/19/2021 10:05:16</t>
  </si>
  <si>
    <t>05/19/2021 10:26:24</t>
  </si>
  <si>
    <t>05/20/2021 06:53:17</t>
  </si>
  <si>
    <t>05/20/2021 08:32:08</t>
  </si>
  <si>
    <t>05/20/2021 08:48:00</t>
  </si>
  <si>
    <t>05/20/2021 09:23:08</t>
  </si>
  <si>
    <t>05/21/2021 06:49:11</t>
  </si>
  <si>
    <t>05/21/2021 07:32:03</t>
  </si>
  <si>
    <t>05/21/2021 09:10:53</t>
  </si>
  <si>
    <t>05/21/2021 13:49:52</t>
  </si>
  <si>
    <t>05/24/2021 05:59:37</t>
  </si>
  <si>
    <t>05/24/2021 23:15:57</t>
  </si>
  <si>
    <t>05/25/2021 04:23:11</t>
  </si>
  <si>
    <t>05/25/2021 04:59:03</t>
  </si>
  <si>
    <t>05/25/2021 12:31:39</t>
  </si>
  <si>
    <t>05/25/2021 16:48:02</t>
  </si>
  <si>
    <t>05/26/2021 08:45:39</t>
  </si>
  <si>
    <t>05/26/2021 13:55:48</t>
  </si>
  <si>
    <t>05/26/2021 16:28:02</t>
  </si>
  <si>
    <t>05/27/2021 04:02:46</t>
  </si>
  <si>
    <t>05/27/2021 11:54:19</t>
  </si>
  <si>
    <t>05/27/2021 12:32:15</t>
  </si>
  <si>
    <t>05/27/2021 17:15:57</t>
  </si>
  <si>
    <t>05/27/2021 22:13:18</t>
  </si>
  <si>
    <t>05/31/2021 01:20:35</t>
  </si>
  <si>
    <t>05/31/2021 03:01:32</t>
  </si>
  <si>
    <t>06/01/2021 14:24:15</t>
  </si>
  <si>
    <t>06/01/2021 16:55:08</t>
  </si>
  <si>
    <t>06/01/2021 19:47:22</t>
  </si>
  <si>
    <t>06/01/2021 21:34:56</t>
  </si>
  <si>
    <t>06/02/2021 00:23:08</t>
  </si>
  <si>
    <t>06/02/2021 01:03:23</t>
  </si>
  <si>
    <t>06/02/2021 03:47:18</t>
  </si>
  <si>
    <t>06/02/2021 04:46:41</t>
  </si>
  <si>
    <t>06/02/2021 11:43:25</t>
  </si>
  <si>
    <t>06/02/2021 12:46:20</t>
  </si>
  <si>
    <t>06/03/2021 06:14:09</t>
  </si>
  <si>
    <t>06/03/2021 10:04:19</t>
  </si>
  <si>
    <t>06/03/2021 17:59:06</t>
  </si>
  <si>
    <t>06/03/2021 18:00:20</t>
  </si>
  <si>
    <t>06/04/2021 03:11:16</t>
  </si>
  <si>
    <t>06/09/2021 05:53:13</t>
  </si>
  <si>
    <t>06/09/2021 06:03:03</t>
  </si>
  <si>
    <t>06/09/2021 06:06:04</t>
  </si>
  <si>
    <t>06/09/2021 09:01:34</t>
  </si>
  <si>
    <t>06/09/2021 10:24:48</t>
  </si>
  <si>
    <t>06/09/2021 10:47:16</t>
  </si>
  <si>
    <t>06/09/2021 12:51:06</t>
  </si>
  <si>
    <t>06/09/2021 14:31:37</t>
  </si>
  <si>
    <t>06/10/2021 06:31:49</t>
  </si>
  <si>
    <t>06/10/2021 11:48:46</t>
  </si>
  <si>
    <t>06/11/2021 14:58:21</t>
  </si>
  <si>
    <t>06/11/2021 15:36:42</t>
  </si>
  <si>
    <t>06/14/2021 16:29:14</t>
  </si>
  <si>
    <t>06/15/2021 10:04:18</t>
  </si>
  <si>
    <t>06/15/2021 10:57:14</t>
  </si>
  <si>
    <t>06/15/2021 20:08:47</t>
  </si>
  <si>
    <t>06/15/2021 20:11:15</t>
  </si>
  <si>
    <t>06/15/2021 20:21:07</t>
  </si>
  <si>
    <t>06/16/2021 06:42:57</t>
  </si>
  <si>
    <t>06/16/2021 08:23:59</t>
  </si>
  <si>
    <t>06/16/2021 12:20:27</t>
  </si>
  <si>
    <t>06/16/2021 13:09:20</t>
  </si>
  <si>
    <t>06/16/2021 18:19:21</t>
  </si>
  <si>
    <t>06/18/2021 12:45:01</t>
  </si>
  <si>
    <t>06/18/2021 12:48:40</t>
  </si>
  <si>
    <t>06/21/2021 08:09:23</t>
  </si>
  <si>
    <t>06/21/2021 08:10:13</t>
  </si>
  <si>
    <t>06/21/2021 08:13:26</t>
  </si>
  <si>
    <t>06/21/2021 08:18:06</t>
  </si>
  <si>
    <t>06/21/2021 08:19:24</t>
  </si>
  <si>
    <t>06/21/2021 08:22:06</t>
  </si>
  <si>
    <t>06/21/2021 19:27:22</t>
  </si>
  <si>
    <t>06/22/2021 09:26:12</t>
  </si>
  <si>
    <t>06/22/2021 12:08:05</t>
  </si>
  <si>
    <t>06/22/2021 12:26:39</t>
  </si>
  <si>
    <t>06/22/2021 16:08:56</t>
  </si>
  <si>
    <t>06/22/2021 19:27:05</t>
  </si>
  <si>
    <t>06/23/2021 01:05:15</t>
  </si>
  <si>
    <t>06/23/2021 05:36:07</t>
  </si>
  <si>
    <t>06/23/2021 05:36:39</t>
  </si>
  <si>
    <t>06/23/2021 05:36:52</t>
  </si>
  <si>
    <t>06/23/2021 05:37:20</t>
  </si>
  <si>
    <t>06/23/2021 05:37:31</t>
  </si>
  <si>
    <t>06/23/2021 05:37:41</t>
  </si>
  <si>
    <t>06/23/2021 05:37:54</t>
  </si>
  <si>
    <t>06/23/2021 05:49:13</t>
  </si>
  <si>
    <t>06/23/2021 08:48:46</t>
  </si>
  <si>
    <t>06/23/2021 09:20:30</t>
  </si>
  <si>
    <t>06/23/2021 12:04:16</t>
  </si>
  <si>
    <t>06/23/2021 12:25:24</t>
  </si>
  <si>
    <t>06/23/2021 13:31:26</t>
  </si>
  <si>
    <t>06/23/2021 18:56:34</t>
  </si>
  <si>
    <t>06/23/2021 19:01:33</t>
  </si>
  <si>
    <t>06/23/2021 20:54:12</t>
  </si>
  <si>
    <t>06/24/2021 02:43:54</t>
  </si>
  <si>
    <t>06/24/2021 08:53:18</t>
  </si>
  <si>
    <t>06/24/2021 12:06:36</t>
  </si>
  <si>
    <t>06/24/2021 17:24:24</t>
  </si>
  <si>
    <t>06/25/2021 03:10:49</t>
  </si>
  <si>
    <t>06/25/2021 16:08:32</t>
  </si>
  <si>
    <t>06/28/2021 06:19:19</t>
  </si>
  <si>
    <t>06/28/2021 08:32:39</t>
  </si>
  <si>
    <t>06/28/2021 09:25:52</t>
  </si>
  <si>
    <t>06/28/2021 22:49:16</t>
  </si>
  <si>
    <t>06/29/2021 09:05:52</t>
  </si>
  <si>
    <t>06/29/2021 10:19:46</t>
  </si>
  <si>
    <t>06/29/2021 11:28:20</t>
  </si>
  <si>
    <t>06/29/2021 11:57:59</t>
  </si>
  <si>
    <t>06/29/2021 13:27:53</t>
  </si>
  <si>
    <t>06/29/2021 14:32:10</t>
  </si>
  <si>
    <t>06/29/2021 21:42:03</t>
  </si>
  <si>
    <t>06/30/2021 02:41:39</t>
  </si>
  <si>
    <t>06/30/2021 03:49:46</t>
  </si>
  <si>
    <t>06/30/2021 05:27:20</t>
  </si>
  <si>
    <t>06/30/2021 05:34:06</t>
  </si>
  <si>
    <t>06/30/2021 05:34:17</t>
  </si>
  <si>
    <t>06/30/2021 08:18:09</t>
  </si>
  <si>
    <t>06/30/2021 14:31:03</t>
  </si>
  <si>
    <t>06/30/2021 17:37:22</t>
  </si>
  <si>
    <t>06/30/2021 17:37:38</t>
  </si>
  <si>
    <t>06/30/2021 18:16:52</t>
  </si>
  <si>
    <t>07/01/2021 11:03:30</t>
  </si>
  <si>
    <t>07/01/2021 12:41:23</t>
  </si>
  <si>
    <t>07/01/2021 12:41:38</t>
  </si>
  <si>
    <t>07/01/2021 12:44:56</t>
  </si>
  <si>
    <t>07/01/2021 16:40:48</t>
  </si>
  <si>
    <t>07/02/2021 02:39:53</t>
  </si>
  <si>
    <t>07/02/2021 12:21:24</t>
  </si>
  <si>
    <t>07/05/2021 08:10:31</t>
  </si>
  <si>
    <t>07/08/2021 10:57:19</t>
  </si>
  <si>
    <t>07/13/2021 10:08:44</t>
  </si>
  <si>
    <t>07/13/2021 10:09:01</t>
  </si>
  <si>
    <t>07/13/2021 17:11:03</t>
  </si>
  <si>
    <t>07/13/2021 21:47:32</t>
  </si>
  <si>
    <t>07/14/2021 08:25:12</t>
  </si>
  <si>
    <t>07/14/2021 15:53:37</t>
  </si>
  <si>
    <t>07/15/2021 13:45:26</t>
  </si>
  <si>
    <t>07/15/2021 15:02:02</t>
  </si>
  <si>
    <t>07/15/2021 20:00:37</t>
  </si>
  <si>
    <t>07/16/2021 11:30:42</t>
  </si>
  <si>
    <t>07/16/2021 20:17:23</t>
  </si>
  <si>
    <t>07/20/2021 11:54:07</t>
  </si>
  <si>
    <t>07/20/2021 12:33:41</t>
  </si>
  <si>
    <t>07/21/2021 09:49:07</t>
  </si>
  <si>
    <t>07/21/2021 15:33:21</t>
  </si>
  <si>
    <t>07/22/2021 11:17:06</t>
  </si>
  <si>
    <t>07/22/2021 11:52:57</t>
  </si>
  <si>
    <t>07/23/2021 17:23:39</t>
  </si>
  <si>
    <t>07/26/2021 09:42:22</t>
  </si>
  <si>
    <t>07/26/2021 16:57:02</t>
  </si>
  <si>
    <t>07/27/2021 15:14:20</t>
  </si>
  <si>
    <t>07/28/2021 10:43:22</t>
  </si>
  <si>
    <t>07/28/2021 11:23:13</t>
  </si>
  <si>
    <t>07/29/2021 11:03:57</t>
  </si>
  <si>
    <t>07/30/2021 06:08:59</t>
  </si>
  <si>
    <t>08/04/2021 03:21:40</t>
  </si>
  <si>
    <t>08/06/2021 10:28:56</t>
  </si>
  <si>
    <t>08/06/2021 13:39:31</t>
  </si>
  <si>
    <t>08/09/2021 08:52:01</t>
  </si>
  <si>
    <t>08/09/2021 12:49:05</t>
  </si>
  <si>
    <t>08/11/2021 15:16:20</t>
  </si>
  <si>
    <t>08/12/2021 02:42:43</t>
  </si>
  <si>
    <t>08/12/2021 13:25:54</t>
  </si>
  <si>
    <t>08/12/2021 13:45:00</t>
  </si>
  <si>
    <t>08/12/2021 13:45:27</t>
  </si>
  <si>
    <t>08/13/2021 04:53:46</t>
  </si>
  <si>
    <t>08/13/2021 07:40:50</t>
  </si>
  <si>
    <t>08/13/2021 09:06:53</t>
  </si>
  <si>
    <t>08/13/2021 16:57:02</t>
  </si>
  <si>
    <t>08/14/2021 02:19:47</t>
  </si>
  <si>
    <t>08/16/2021 08:59:51</t>
  </si>
  <si>
    <t>08/16/2021 20:09:50</t>
  </si>
  <si>
    <t>08/16/2021 23:53:58</t>
  </si>
  <si>
    <t>08/18/2021 08:18:47</t>
  </si>
  <si>
    <t>08/18/2021 14:49:22</t>
  </si>
  <si>
    <t>08/18/2021 18:10:35</t>
  </si>
  <si>
    <t>08/19/2021 12:40:18</t>
  </si>
  <si>
    <t>08/20/2021 00:40:54</t>
  </si>
  <si>
    <t>08/23/2021 13:32:47</t>
  </si>
  <si>
    <t>08/24/2021 07:19:23</t>
  </si>
  <si>
    <t>08/24/2021 12:02:04</t>
  </si>
  <si>
    <t>08/24/2021 12:32:51</t>
  </si>
  <si>
    <t>08/24/2021 22:01:38</t>
  </si>
  <si>
    <t>08/25/2021 05:22:30</t>
  </si>
  <si>
    <t>08/25/2021 18:30:44</t>
  </si>
  <si>
    <t>08/26/2021 11:38:14</t>
  </si>
  <si>
    <t>08/26/2021 13:22:10</t>
  </si>
  <si>
    <t>08/27/2021 10:01:20</t>
  </si>
  <si>
    <t>08/27/2021 11:55:19</t>
  </si>
  <si>
    <t>08/27/2021 16:20:51</t>
  </si>
  <si>
    <t>08/30/2021 00:10:04</t>
  </si>
  <si>
    <t>08/30/2021 17:11:49</t>
  </si>
  <si>
    <t>08/31/2021 15:45:13</t>
  </si>
  <si>
    <t>08/31/2021 17:10:56</t>
  </si>
  <si>
    <t>09/01/2021 11:39:53</t>
  </si>
  <si>
    <t>09/02/2021 06:30:52</t>
  </si>
  <si>
    <t>09/02/2021 08:14:27</t>
  </si>
  <si>
    <t>09/02/2021 08:56:55</t>
  </si>
  <si>
    <t>09/02/2021 13:09:46</t>
  </si>
  <si>
    <t>09/02/2021 16:41:41</t>
  </si>
  <si>
    <t>09/02/2021 20:09:08</t>
  </si>
  <si>
    <t>09/03/2021 08:15:57</t>
  </si>
  <si>
    <t>09/03/2021 11:09:32</t>
  </si>
  <si>
    <t>09/03/2021 11:54:04</t>
  </si>
  <si>
    <t>09/03/2021 12:53:28</t>
  </si>
  <si>
    <t>09/03/2021 12:55:25</t>
  </si>
  <si>
    <t>09/03/2021 15:28:14</t>
  </si>
  <si>
    <t>09/06/2021 11:37:27</t>
  </si>
  <si>
    <t>09/07/2021 08:01:33</t>
  </si>
  <si>
    <t>09/07/2021 11:06:40</t>
  </si>
  <si>
    <t>09/07/2021 12:14:15</t>
  </si>
  <si>
    <t>09/08/2021 03:11:16</t>
  </si>
  <si>
    <t>09/08/2021 13:06:49</t>
  </si>
  <si>
    <t>09/08/2021 15:04:26</t>
  </si>
  <si>
    <t>09/09/2021 12:49:31</t>
  </si>
  <si>
    <t>09/09/2021 20:29:20</t>
  </si>
  <si>
    <t>09/10/2021 03:39:05</t>
  </si>
  <si>
    <t>09/10/2021 03:46:11</t>
  </si>
  <si>
    <t>09/10/2021 03:46:59</t>
  </si>
  <si>
    <t>09/10/2021 03:47:48</t>
  </si>
  <si>
    <t>09/10/2021 04:56:05</t>
  </si>
  <si>
    <t>09/10/2021 04:59:26</t>
  </si>
  <si>
    <t>09/10/2021 05:00:23</t>
  </si>
  <si>
    <t>09/10/2021 05:03:13</t>
  </si>
  <si>
    <t>09/10/2021 07:29:12</t>
  </si>
  <si>
    <t>09/10/2021 08:56:09</t>
  </si>
  <si>
    <t>09/10/2021 08:57:11</t>
  </si>
  <si>
    <t>09/10/2021 08:57:50</t>
  </si>
  <si>
    <t>09/10/2021 09:00:19</t>
  </si>
  <si>
    <t>09/10/2021 09:01:23</t>
  </si>
  <si>
    <t>09/10/2021 10:51:12</t>
  </si>
  <si>
    <t>09/14/2021 09:47:31</t>
  </si>
  <si>
    <t>09/14/2021 10:34:52</t>
  </si>
  <si>
    <t>09/14/2021 18:41:38</t>
  </si>
  <si>
    <t>09/14/2021 19:08:04</t>
  </si>
  <si>
    <t>09/14/2021 21:01:39</t>
  </si>
  <si>
    <t>09/15/2021 04:27:39</t>
  </si>
  <si>
    <t>09/15/2021 17:05:16</t>
  </si>
  <si>
    <t>09/15/2021 17:45:49</t>
  </si>
  <si>
    <t>09/15/2021 17:48:32</t>
  </si>
  <si>
    <t>09/15/2021 17:50:17</t>
  </si>
  <si>
    <t>09/15/2021 17:50:18</t>
  </si>
  <si>
    <t>09/15/2021 18:36:24</t>
  </si>
  <si>
    <t>09/15/2021 18:39:27</t>
  </si>
  <si>
    <t>09/15/2021 19:03:14</t>
  </si>
  <si>
    <t>09/16/2021 11:58:21</t>
  </si>
  <si>
    <t>09/16/2021 13:23:29</t>
  </si>
  <si>
    <t>09/16/2021 13:25:12</t>
  </si>
  <si>
    <t>09/16/2021 14:35:23</t>
  </si>
  <si>
    <t>09/16/2021 15:17:55</t>
  </si>
  <si>
    <t>09/16/2021 15:20:03</t>
  </si>
  <si>
    <t>09/16/2021 19:51:57</t>
  </si>
  <si>
    <t>09/17/2021 08:49:09</t>
  </si>
  <si>
    <t>09/17/2021 11:25:01</t>
  </si>
  <si>
    <t>09/17/2021 15:22:58</t>
  </si>
  <si>
    <t>09/20/2021 10:23:30</t>
  </si>
  <si>
    <t>09/20/2021 15:44:30</t>
  </si>
  <si>
    <t>09/21/2021 06:36:05</t>
  </si>
  <si>
    <t>09/21/2021 07:32:15</t>
  </si>
  <si>
    <t>09/21/2021 07:51:24</t>
  </si>
  <si>
    <t>09/21/2021 15:57:18</t>
  </si>
  <si>
    <t>09/22/2021 05:46:01</t>
  </si>
  <si>
    <t>09/22/2021 07:27:34</t>
  </si>
  <si>
    <t>09/22/2021 09:50:31</t>
  </si>
  <si>
    <t>09/22/2021 09:59:04</t>
  </si>
  <si>
    <t>09/23/2021 13:07:37</t>
  </si>
  <si>
    <t>09/23/2021 16:32:41</t>
  </si>
  <si>
    <t>09/24/2021 06:09:26</t>
  </si>
  <si>
    <t>09/24/2021 06:17:23</t>
  </si>
  <si>
    <t>09/24/2021 09:43:45</t>
  </si>
  <si>
    <t>09/24/2021 12:47:41</t>
  </si>
  <si>
    <t>09/28/2021 06:07:37</t>
  </si>
  <si>
    <t>09/28/2021 07:37:04</t>
  </si>
  <si>
    <t>09/29/2021 06:20:12</t>
  </si>
  <si>
    <t>09/29/2021 07:53:37</t>
  </si>
  <si>
    <t>09/29/2021 09:45:11</t>
  </si>
  <si>
    <t>09/30/2021 05:49:10</t>
  </si>
  <si>
    <t>10/01/2021 06:26:32</t>
  </si>
  <si>
    <t>10/01/2021 12:12:28</t>
  </si>
  <si>
    <t>10/01/2021 16:16:42</t>
  </si>
  <si>
    <t>10/01/2021 18:03:46</t>
  </si>
  <si>
    <t>10/04/2021 08:26:37</t>
  </si>
  <si>
    <t>10/04/2021 11:21:59</t>
  </si>
  <si>
    <t>10/05/2021 06:28:41</t>
  </si>
  <si>
    <t>10/05/2021 07:59:15</t>
  </si>
  <si>
    <t>10/05/2021 11:04:08</t>
  </si>
  <si>
    <t>10/05/2021 15:49:42</t>
  </si>
  <si>
    <t>10/06/2021 06:20:03</t>
  </si>
  <si>
    <t>10/06/2021 08:20:32</t>
  </si>
  <si>
    <t>10/06/2021 14:13:24</t>
  </si>
  <si>
    <t>10/06/2021 18:04:06</t>
  </si>
  <si>
    <t>10/07/2021 10:09:25</t>
  </si>
  <si>
    <t>10/07/2021 16:10:51</t>
  </si>
  <si>
    <t>10/09/2021 14:14:13</t>
  </si>
  <si>
    <t>10/09/2021 14:56:16</t>
  </si>
  <si>
    <t>10/09/2021 14:56:38</t>
  </si>
  <si>
    <t>10/09/2021 14:56:49</t>
  </si>
  <si>
    <t>10/11/2021 11:41:28</t>
  </si>
  <si>
    <t>10/11/2021 13:02:17</t>
  </si>
  <si>
    <t>10/11/2021 17:15:51</t>
  </si>
  <si>
    <t>10/11/2021 19:47:13</t>
  </si>
  <si>
    <t>10/12/2021 10:53:12</t>
  </si>
  <si>
    <t>10/12/2021 10:54:00</t>
  </si>
  <si>
    <t>10/12/2021 10:54:58</t>
  </si>
  <si>
    <t>10/12/2021 14:21:41</t>
  </si>
  <si>
    <t>10/12/2021 15:30:36</t>
  </si>
  <si>
    <t>10/12/2021 18:25:04</t>
  </si>
  <si>
    <t>10/13/2021 06:38:46</t>
  </si>
  <si>
    <t>10/13/2021 09:57:25</t>
  </si>
  <si>
    <t>10/13/2021 10:04:37</t>
  </si>
  <si>
    <t>10/13/2021 10:16:27</t>
  </si>
  <si>
    <t>10/13/2021 13:01:26</t>
  </si>
  <si>
    <t>10/13/2021 17:06:18</t>
  </si>
  <si>
    <t>10/14/2021 10:56:51</t>
  </si>
  <si>
    <t>10/14/2021 10:57:56</t>
  </si>
  <si>
    <t>10/14/2021 13:52:28</t>
  </si>
  <si>
    <t>10/15/2021 07:23:42</t>
  </si>
  <si>
    <t>10/15/2021 12:48:47</t>
  </si>
  <si>
    <t>10/15/2021 14:11:20</t>
  </si>
  <si>
    <t>10/15/2021 16:56:42</t>
  </si>
  <si>
    <t>10/15/2021 22:26:26</t>
  </si>
  <si>
    <t>10/17/2021 23:28:59</t>
  </si>
  <si>
    <t>10/18/2021 09:27:07</t>
  </si>
  <si>
    <t>10/18/2021 20:29:57</t>
  </si>
  <si>
    <t>10/20/2021 13:25:20</t>
  </si>
  <si>
    <t>10/20/2021 16:33:46</t>
  </si>
  <si>
    <t>10/21/2021 10:37:32</t>
  </si>
  <si>
    <t>10/25/2021 03:46:43</t>
  </si>
  <si>
    <t>10/25/2021 09:18:20</t>
  </si>
  <si>
    <t>10/25/2021 11:34:59</t>
  </si>
  <si>
    <t>10/26/2021 18:50:28</t>
  </si>
  <si>
    <t>10/27/2021 01:34:43</t>
  </si>
  <si>
    <t>10/29/2021 15:44:51</t>
  </si>
  <si>
    <t>11/01/2021 15:06:55</t>
  </si>
  <si>
    <t>11/02/2021 05:25:41</t>
  </si>
  <si>
    <t>11/02/2021 15:24:30</t>
  </si>
  <si>
    <t>11/03/2021 13:37:29</t>
  </si>
  <si>
    <t>11/03/2021 13:38:03</t>
  </si>
  <si>
    <t>11/03/2021 13:38:30</t>
  </si>
  <si>
    <t>11/04/2021 07:37:26</t>
  </si>
  <si>
    <t>11/04/2021 09:11:08</t>
  </si>
  <si>
    <t>11/05/2021 05:19:09</t>
  </si>
  <si>
    <t>11/08/2021 11:20:04</t>
  </si>
  <si>
    <t>11/08/2021 15:50:57</t>
  </si>
  <si>
    <t>11/08/2021 20:59:16</t>
  </si>
  <si>
    <t>11/09/2021 09:51:56</t>
  </si>
  <si>
    <t>11/10/2021 08:28:08</t>
  </si>
  <si>
    <t>11/10/2021 15:25:44</t>
  </si>
  <si>
    <t>11/11/2021 14:46:42</t>
  </si>
  <si>
    <t>11/12/2021 15:56:38</t>
  </si>
  <si>
    <t>11/15/2021 05:11:59</t>
  </si>
  <si>
    <t>11/15/2021 06:19:50</t>
  </si>
  <si>
    <t>11/15/2021 11:36:45</t>
  </si>
  <si>
    <t>11/16/2021 11:52:31</t>
  </si>
  <si>
    <t>11/17/2021 15:19:27</t>
  </si>
  <si>
    <t>11/17/2021 17:15:54</t>
  </si>
  <si>
    <t>11/17/2021 19:52:43</t>
  </si>
  <si>
    <t>11/18/2021 01:20:32</t>
  </si>
  <si>
    <t>11/18/2021 10:35:05</t>
  </si>
  <si>
    <t>11/19/2021 16:00:46</t>
  </si>
  <si>
    <t>11/19/2021 17:50:45</t>
  </si>
  <si>
    <t>11/22/2021 08:30:00</t>
  </si>
  <si>
    <t>11/23/2021 00:19:14</t>
  </si>
  <si>
    <t>11/24/2021 11:48:41</t>
  </si>
  <si>
    <t>11/24/2021 13:06:43</t>
  </si>
  <si>
    <t>11/24/2021 16:34:12</t>
  </si>
  <si>
    <t>11/25/2021 09:12:44</t>
  </si>
  <si>
    <t>11/26/2021 05:41:54</t>
  </si>
  <si>
    <t>11/26/2021 08:50:27</t>
  </si>
  <si>
    <t>11/29/2021 09:15:04</t>
  </si>
  <si>
    <t>11/29/2021 09:16:03</t>
  </si>
  <si>
    <t>11/29/2021 17:13:05</t>
  </si>
  <si>
    <t>11/30/2021 04:11:48</t>
  </si>
  <si>
    <t>11/30/2021 04:35:41</t>
  </si>
  <si>
    <t>11/30/2021 04:45:16</t>
  </si>
  <si>
    <t>11/30/2021 07:04:00</t>
  </si>
  <si>
    <t>11/30/2021 08:28:39</t>
  </si>
  <si>
    <t>12/01/2021 00:08:00</t>
  </si>
  <si>
    <t>12/01/2021 11:53:23</t>
  </si>
  <si>
    <t>12/01/2021 23:55:22</t>
  </si>
  <si>
    <t>12/02/2021 11:52:01</t>
  </si>
  <si>
    <t>12/02/2021 18:36:41</t>
  </si>
  <si>
    <t>12/02/2021 19:18:07</t>
  </si>
  <si>
    <t>12/03/2021 07:12:36</t>
  </si>
  <si>
    <t>12/03/2021 21:18:11</t>
  </si>
  <si>
    <t>12/06/2021 02:40:15</t>
  </si>
  <si>
    <t>12/06/2021 10:08:29</t>
  </si>
  <si>
    <t>12/06/2021 15:27:38</t>
  </si>
  <si>
    <t>12/06/2021 17:00:18</t>
  </si>
  <si>
    <t>12/06/2021 21:47:39</t>
  </si>
  <si>
    <t>12/08/2021 01:22:36</t>
  </si>
  <si>
    <t>12/08/2021 03:39:44</t>
  </si>
  <si>
    <t>12/08/2021 03:46:02</t>
  </si>
  <si>
    <t>12/08/2021 04:52:52</t>
  </si>
  <si>
    <t>12/09/2021 04:05:13</t>
  </si>
  <si>
    <t>12/09/2021 08:53:18</t>
  </si>
  <si>
    <t>12/09/2021 10:20:46</t>
  </si>
  <si>
    <t>12/09/2021 13:07:25</t>
  </si>
  <si>
    <t>12/10/2021 11:44:17</t>
  </si>
  <si>
    <t>12/10/2021 12:15:08</t>
  </si>
  <si>
    <t>12/13/2021 07:49:08</t>
  </si>
  <si>
    <t>12/13/2021 08:54:08</t>
  </si>
  <si>
    <t>12/13/2021 16:14:50</t>
  </si>
  <si>
    <t>12/13/2021 19:17:57</t>
  </si>
  <si>
    <t>12/14/2021 07:55:10</t>
  </si>
  <si>
    <t>12/14/2021 15:02:58</t>
  </si>
  <si>
    <t>12/14/2021 16:51:08</t>
  </si>
  <si>
    <t>12/14/2021 23:24:04</t>
  </si>
  <si>
    <t>12/15/2021 01:42:34</t>
  </si>
  <si>
    <t>12/15/2021 06:53:30</t>
  </si>
  <si>
    <t>12/15/2021 12:52:23</t>
  </si>
  <si>
    <t>12/15/2021 13:25:50</t>
  </si>
  <si>
    <t>12/16/2021 02:20:46</t>
  </si>
  <si>
    <t>12/16/2021 14:44:01</t>
  </si>
  <si>
    <t>12/16/2021 18:09:29</t>
  </si>
  <si>
    <t>12/16/2021 18:31:31</t>
  </si>
  <si>
    <t>12/20/2021 04:51:56</t>
  </si>
  <si>
    <t>12/20/2021 13:58:55</t>
  </si>
  <si>
    <t>12/20/2021 16:25:12</t>
  </si>
  <si>
    <t>12/20/2021 19:36:56</t>
  </si>
  <si>
    <t>12/22/2021 07:28:54</t>
  </si>
  <si>
    <t>12/22/2021 15:25:40</t>
  </si>
  <si>
    <t>12/23/2021 03:29:56</t>
  </si>
  <si>
    <t>12/23/2021 19:24:40</t>
  </si>
  <si>
    <t>12/24/2021 07:52:11</t>
  </si>
  <si>
    <t>12/27/2021 03:13:36</t>
  </si>
  <si>
    <t>12/28/2021 14:59:37</t>
  </si>
  <si>
    <t>12/29/2021 04:14:51</t>
  </si>
  <si>
    <t>12/29/2021 12:16:57</t>
  </si>
  <si>
    <t>01/04/2022 10:52:31</t>
  </si>
  <si>
    <t>01/04/2022 12:34:56</t>
  </si>
  <si>
    <t>01/04/2022 12:38:24</t>
  </si>
  <si>
    <t>01/04/2022 20:20:06</t>
  </si>
  <si>
    <t>01/05/2022 04:57:44</t>
  </si>
  <si>
    <t>01/05/2022 13:20:40</t>
  </si>
  <si>
    <t>01/05/2022 14:33:01</t>
  </si>
  <si>
    <t>01/05/2022 16:46:36</t>
  </si>
  <si>
    <t>01/05/2022 16:51:34</t>
  </si>
  <si>
    <t>01/05/2022 17:25:19</t>
  </si>
  <si>
    <t>01/05/2022 18:51:47</t>
  </si>
  <si>
    <t>01/06/2022 14:31:30</t>
  </si>
  <si>
    <t>01/06/2022 15:43:56</t>
  </si>
  <si>
    <t>01/06/2022 23:36:24</t>
  </si>
  <si>
    <t>01/07/2022 04:38:43</t>
  </si>
  <si>
    <t>01/07/2022 09:31:37</t>
  </si>
  <si>
    <t>01/07/2022 11:14:04</t>
  </si>
  <si>
    <t>01/07/2022 11:28:07</t>
  </si>
  <si>
    <t>01/08/2022 14:58:06</t>
  </si>
  <si>
    <t>01/10/2022 02:57:40</t>
  </si>
  <si>
    <t>01/10/2022 09:01:02</t>
  </si>
  <si>
    <t>01/10/2022 16:17:10</t>
  </si>
  <si>
    <t>01/10/2022 17:56:17</t>
  </si>
  <si>
    <t>01/11/2022 07:31:58</t>
  </si>
  <si>
    <t>01/13/2022 06:28:01</t>
  </si>
  <si>
    <t>01/13/2022 07:16:57</t>
  </si>
  <si>
    <t>01/13/2022 07:27:03</t>
  </si>
  <si>
    <t>01/13/2022 07:27:41</t>
  </si>
  <si>
    <t>01/13/2022 14:27:20</t>
  </si>
  <si>
    <t>01/14/2022 04:37:00</t>
  </si>
  <si>
    <t>01/14/2022 10:09:15</t>
  </si>
  <si>
    <t>01/14/2022 16:18:53</t>
  </si>
  <si>
    <t>01/14/2022 19:56:24</t>
  </si>
  <si>
    <t>01/14/2022 23:49:30</t>
  </si>
  <si>
    <t>01/17/2022 04:34:18</t>
  </si>
  <si>
    <t>01/17/2022 16:58:27</t>
  </si>
  <si>
    <t>01/18/2022 11:47:49</t>
  </si>
  <si>
    <t>01/18/2022 11:47:55</t>
  </si>
  <si>
    <t>01/18/2022 13:16:59</t>
  </si>
  <si>
    <t>01/18/2022 17:12:47</t>
  </si>
  <si>
    <t>01/18/2022 17:58:45</t>
  </si>
  <si>
    <t>01/19/2022 13:11:30</t>
  </si>
  <si>
    <t>01/19/2022 13:18:55</t>
  </si>
  <si>
    <t>01/19/2022 20:48:54</t>
  </si>
  <si>
    <t>01/20/2022 02:33:36</t>
  </si>
  <si>
    <t>01/20/2022 03:47:18</t>
  </si>
  <si>
    <t>01/20/2022 04:43:53</t>
  </si>
  <si>
    <t>01/20/2022 07:33:57</t>
  </si>
  <si>
    <t>01/20/2022 11:16:25</t>
  </si>
  <si>
    <t>01/20/2022 11:16:44</t>
  </si>
  <si>
    <t>01/20/2022 11:17:01</t>
  </si>
  <si>
    <t>01/20/2022 11:19:02</t>
  </si>
  <si>
    <t>01/20/2022 12:25:52</t>
  </si>
  <si>
    <t>01/20/2022 13:44:20</t>
  </si>
  <si>
    <t>01/20/2022 21:42:56</t>
  </si>
  <si>
    <t>01/20/2022 23:21:33</t>
  </si>
  <si>
    <t>01/20/2022 23:51:55</t>
  </si>
  <si>
    <t>01/20/2022 23:52:14</t>
  </si>
  <si>
    <t>01/21/2022 12:06:05</t>
  </si>
  <si>
    <t>01/21/2022 12:40:31</t>
  </si>
  <si>
    <t>01/21/2022 16:50:53</t>
  </si>
  <si>
    <t>01/21/2022 19:42:59</t>
  </si>
  <si>
    <t>01/21/2022 21:54:58</t>
  </si>
  <si>
    <t>01/22/2022 01:48:20</t>
  </si>
  <si>
    <t>01/24/2022 06:59:53</t>
  </si>
  <si>
    <t>01/24/2022 08:22:56</t>
  </si>
  <si>
    <t>01/24/2022 10:12:13</t>
  </si>
  <si>
    <t>01/24/2022 16:51:49</t>
  </si>
  <si>
    <t>01/24/2022 17:35:57</t>
  </si>
  <si>
    <t>01/24/2022 22:56:36</t>
  </si>
  <si>
    <t>01/25/2022 10:27:11</t>
  </si>
  <si>
    <t>01/25/2022 16:36:15</t>
  </si>
  <si>
    <t>01/25/2022 22:20:56</t>
  </si>
  <si>
    <t>01/26/2022 04:42:14</t>
  </si>
  <si>
    <t>01/26/2022 06:05:58</t>
  </si>
  <si>
    <t>01/26/2022 06:50:01</t>
  </si>
  <si>
    <t>01/26/2022 15:09:58</t>
  </si>
  <si>
    <t>01/26/2022 15:34:58</t>
  </si>
  <si>
    <t>01/26/2022 18:16:28</t>
  </si>
  <si>
    <t>01/26/2022 18:17:10</t>
  </si>
  <si>
    <t>01/26/2022 18:18:55</t>
  </si>
  <si>
    <t>01/26/2022 18:20:20</t>
  </si>
  <si>
    <t>01/26/2022 18:24:34</t>
  </si>
  <si>
    <t>01/26/2022 18:25:57</t>
  </si>
  <si>
    <t>01/27/2022 03:47:06</t>
  </si>
  <si>
    <t>01/27/2022 07:05:11</t>
  </si>
  <si>
    <t>01/27/2022 08:16:56</t>
  </si>
  <si>
    <t>01/27/2022 12:46:36</t>
  </si>
  <si>
    <t>01/27/2022 13:50:43</t>
  </si>
  <si>
    <t>01/27/2022 16:08:06</t>
  </si>
  <si>
    <t>01/27/2022 17:04:20</t>
  </si>
  <si>
    <t>01/28/2022 11:13:27</t>
  </si>
  <si>
    <t>01/28/2022 11:17:59</t>
  </si>
  <si>
    <t>01/28/2022 19:25:39</t>
  </si>
  <si>
    <t>01/31/2022 05:24:27</t>
  </si>
  <si>
    <t>01/31/2022 12:59:19</t>
  </si>
  <si>
    <t>01/31/2022 15:18:41</t>
  </si>
  <si>
    <t>01/31/2022 16:08:22</t>
  </si>
  <si>
    <t>01/31/2022 16:24:51</t>
  </si>
  <si>
    <t>01/31/2022 23:02:14</t>
  </si>
  <si>
    <t>02/01/2022 05:19:02</t>
  </si>
  <si>
    <t>02/01/2022 10:11:38</t>
  </si>
  <si>
    <t>02/01/2022 16:27:11</t>
  </si>
  <si>
    <t>02/01/2022 16:44:43</t>
  </si>
  <si>
    <t>02/01/2022 17:17:59</t>
  </si>
  <si>
    <t>02/02/2022 12:58:08</t>
  </si>
  <si>
    <t>02/02/2022 16:11:50</t>
  </si>
  <si>
    <t>02/02/2022 17:21:55</t>
  </si>
  <si>
    <t>02/02/2022 22:03:04</t>
  </si>
  <si>
    <t>02/03/2022 04:32:05</t>
  </si>
  <si>
    <t>02/03/2022 11:57:02</t>
  </si>
  <si>
    <t>02/03/2022 12:34:18</t>
  </si>
  <si>
    <t>02/03/2022 17:45:43</t>
  </si>
  <si>
    <t>02/03/2022 19:45:02</t>
  </si>
  <si>
    <t>02/04/2022 07:33:07</t>
  </si>
  <si>
    <t>02/04/2022 16:20:47</t>
  </si>
  <si>
    <t>02/04/2022 19:03:59</t>
  </si>
  <si>
    <t>02/07/2022 10:53:46</t>
  </si>
  <si>
    <t>02/07/2022 12:31:42</t>
  </si>
  <si>
    <t>02/07/2022 13:42:33</t>
  </si>
  <si>
    <t>02/07/2022 18:33:46</t>
  </si>
  <si>
    <t>02/07/2022 22:35:58</t>
  </si>
  <si>
    <t>02/08/2022 08:09:51</t>
  </si>
  <si>
    <t>02/08/2022 09:56:02</t>
  </si>
  <si>
    <t>02/08/2022 11:06:45</t>
  </si>
  <si>
    <t>02/08/2022 13:23:44</t>
  </si>
  <si>
    <t>02/08/2022 19:49:23</t>
  </si>
  <si>
    <t>02/08/2022 23:22:16</t>
  </si>
  <si>
    <t>02/09/2022 00:36:51</t>
  </si>
  <si>
    <t>02/09/2022 05:32:30</t>
  </si>
  <si>
    <t>02/09/2022 12:14:14</t>
  </si>
  <si>
    <t>02/09/2022 17:31:35</t>
  </si>
  <si>
    <t>02/09/2022 19:29:46</t>
  </si>
  <si>
    <t>02/09/2022 20:45:05</t>
  </si>
  <si>
    <t>02/10/2022 00:18:36</t>
  </si>
  <si>
    <t>02/10/2022 02:31:45</t>
  </si>
  <si>
    <t>02/10/2022 08:08:29</t>
  </si>
  <si>
    <t>02/10/2022 11:35:20</t>
  </si>
  <si>
    <t>02/10/2022 13:14:34</t>
  </si>
  <si>
    <t>02/10/2022 13:32:06</t>
  </si>
  <si>
    <t>02/10/2022 13:44:09</t>
  </si>
  <si>
    <t>02/10/2022 14:47:49</t>
  </si>
  <si>
    <t>02/10/2022 15:23:48</t>
  </si>
  <si>
    <t>02/10/2022 17:10:36</t>
  </si>
  <si>
    <t>02/10/2022 17:38:46</t>
  </si>
  <si>
    <t>02/10/2022 23:43:41</t>
  </si>
  <si>
    <t>02/11/2022 01:55:40</t>
  </si>
  <si>
    <t>02/11/2022 11:03:12</t>
  </si>
  <si>
    <t>02/11/2022 13:22:59</t>
  </si>
  <si>
    <t>02/11/2022 16:50:43</t>
  </si>
  <si>
    <t>02/11/2022 18:49:41</t>
  </si>
  <si>
    <t>02/14/2022 10:14:56</t>
  </si>
  <si>
    <t>02/14/2022 10:20:13</t>
  </si>
  <si>
    <t>02/14/2022 10:20:20</t>
  </si>
  <si>
    <t>02/14/2022 14:51:41</t>
  </si>
  <si>
    <t>02/14/2022 18:19:06</t>
  </si>
  <si>
    <t>02/14/2022 18:33:03</t>
  </si>
  <si>
    <t>02/14/2022 20:12:23</t>
  </si>
  <si>
    <t>02/15/2022 12:07:29</t>
  </si>
  <si>
    <t>02/15/2022 13:42:48</t>
  </si>
  <si>
    <t>02/15/2022 14:44:35</t>
  </si>
  <si>
    <t>02/15/2022 19:08:25</t>
  </si>
  <si>
    <t>02/15/2022 22:02:47</t>
  </si>
  <si>
    <t>02/16/2022 05:25:22</t>
  </si>
  <si>
    <t>02/16/2022 17:05:10</t>
  </si>
  <si>
    <t>02/16/2022 17:30:23</t>
  </si>
  <si>
    <t>02/16/2022 22:06:12</t>
  </si>
  <si>
    <t>02/17/2022 13:24:59</t>
  </si>
  <si>
    <t>02/17/2022 15:21:00</t>
  </si>
  <si>
    <t>02/17/2022 15:22:43</t>
  </si>
  <si>
    <t>02/17/2022 15:23:14</t>
  </si>
  <si>
    <t>02/17/2022 18:21:51</t>
  </si>
  <si>
    <t>02/18/2022 02:13:05</t>
  </si>
  <si>
    <t>02/18/2022 11:03:42</t>
  </si>
  <si>
    <t>02/18/2022 13:10:18</t>
  </si>
  <si>
    <t>02/18/2022 13:24:55</t>
  </si>
  <si>
    <t>02/18/2022 18:32:05</t>
  </si>
  <si>
    <t>02/22/2022 06:06:50</t>
  </si>
  <si>
    <t>02/22/2022 06:06:56</t>
  </si>
  <si>
    <t>02/22/2022 07:21:16</t>
  </si>
  <si>
    <t>02/22/2022 11:06:58</t>
  </si>
  <si>
    <t>02/22/2022 21:04:03</t>
  </si>
  <si>
    <t>02/23/2022 04:46:25</t>
  </si>
  <si>
    <t>02/23/2022 15:27:21</t>
  </si>
  <si>
    <t>02/23/2022 16:22:03</t>
  </si>
  <si>
    <t>02/23/2022 16:40:06</t>
  </si>
  <si>
    <t>02/24/2022 11:41:02</t>
  </si>
  <si>
    <t>02/24/2022 14:03:41</t>
  </si>
  <si>
    <t>02/24/2022 18:54:29</t>
  </si>
  <si>
    <t>02/24/2022 20:31:23</t>
  </si>
  <si>
    <t>02/24/2022 22:27:26</t>
  </si>
  <si>
    <t>02/25/2022 08:19:52</t>
  </si>
  <si>
    <t>02/25/2022 09:01:16</t>
  </si>
  <si>
    <t>02/25/2022 12:56:38</t>
  </si>
  <si>
    <t>02/26/2022 16:00:29</t>
  </si>
  <si>
    <t>02/28/2022 13:09:21</t>
  </si>
  <si>
    <t>02/28/2022 13:33:00</t>
  </si>
  <si>
    <t>02/28/2022 20:30:28</t>
  </si>
  <si>
    <t>03/01/2022 04:08:19</t>
  </si>
  <si>
    <t>03/02/2022 00:23:57</t>
  </si>
  <si>
    <t>03/02/2022 09:36:15</t>
  </si>
  <si>
    <t>03/02/2022 18:34:33</t>
  </si>
  <si>
    <t>03/02/2022 19:01:05</t>
  </si>
  <si>
    <t>03/02/2022 21:16:53</t>
  </si>
  <si>
    <t>03/03/2022 08:01:19</t>
  </si>
  <si>
    <t>03/03/2022 22:49:02</t>
  </si>
  <si>
    <t>03/04/2022 06:09:25</t>
  </si>
  <si>
    <t>03/04/2022 10:18:16</t>
  </si>
  <si>
    <t>03/04/2022 11:58:40</t>
  </si>
  <si>
    <t>03/04/2022 19:23:05</t>
  </si>
  <si>
    <t>03/05/2022 14:52:02</t>
  </si>
  <si>
    <t>03/07/2022 01:44:03</t>
  </si>
  <si>
    <t>03/07/2022 08:38:32</t>
  </si>
  <si>
    <t>03/07/2022 14:43:15</t>
  </si>
  <si>
    <t>03/07/2022 17:06:52</t>
  </si>
  <si>
    <t>03/07/2022 19:25:44</t>
  </si>
  <si>
    <t>03/08/2022 04:43:02</t>
  </si>
  <si>
    <t>03/08/2022 05:13:39</t>
  </si>
  <si>
    <t>03/08/2022 08:18:36</t>
  </si>
  <si>
    <t>03/08/2022 08:24:35</t>
  </si>
  <si>
    <t>03/08/2022 16:21:51</t>
  </si>
  <si>
    <t>03/09/2022 08:09:35</t>
  </si>
  <si>
    <t>03/09/2022 14:03:58</t>
  </si>
  <si>
    <t>03/09/2022 14:17:10</t>
  </si>
  <si>
    <t>03/09/2022 16:36:57</t>
  </si>
  <si>
    <t>03/09/2022 17:00:59</t>
  </si>
  <si>
    <t>03/09/2022 19:08:13</t>
  </si>
  <si>
    <t>03/09/2022 21:21:16</t>
  </si>
  <si>
    <t>03/09/2022 21:42:47</t>
  </si>
  <si>
    <t>03/10/2022 01:45:14</t>
  </si>
  <si>
    <t>03/10/2022 12:03:22</t>
  </si>
  <si>
    <t>03/10/2022 18:04:58</t>
  </si>
  <si>
    <t>03/13/2022 21:08:40</t>
  </si>
  <si>
    <t>03/14/2022 08:49:05</t>
  </si>
  <si>
    <t>03/14/2022 08:49:14</t>
  </si>
  <si>
    <t>03/14/2022 08:49:19</t>
  </si>
  <si>
    <t>03/14/2022 08:49:26</t>
  </si>
  <si>
    <t>03/14/2022 08:52:13</t>
  </si>
  <si>
    <t>03/14/2022 10:18:15</t>
  </si>
  <si>
    <t>03/14/2022 11:59:48</t>
  </si>
  <si>
    <t>03/14/2022 12:40:08</t>
  </si>
  <si>
    <t>03/14/2022 13:03:46</t>
  </si>
  <si>
    <t>03/15/2022 14:28:59</t>
  </si>
  <si>
    <t>03/15/2022 14:51:46</t>
  </si>
  <si>
    <t>03/15/2022 14:55:08</t>
  </si>
  <si>
    <t>03/15/2022 16:46:23</t>
  </si>
  <si>
    <t>03/16/2022 01:14:26</t>
  </si>
  <si>
    <t>03/16/2022 05:21:02</t>
  </si>
  <si>
    <t>03/16/2022 07:20:18</t>
  </si>
  <si>
    <t>03/16/2022 08:15:43</t>
  </si>
  <si>
    <t>03/16/2022 10:14:38</t>
  </si>
  <si>
    <t>03/16/2022 13:47:38</t>
  </si>
  <si>
    <t>03/16/2022 18:32:43</t>
  </si>
  <si>
    <t>03/17/2022 00:13:18</t>
  </si>
  <si>
    <t>03/17/2022 02:04:39</t>
  </si>
  <si>
    <t>03/17/2022 02:21:56</t>
  </si>
  <si>
    <t>03/17/2022 02:23:17</t>
  </si>
  <si>
    <t>03/17/2022 03:59:02</t>
  </si>
  <si>
    <t>03/17/2022 14:28:28</t>
  </si>
  <si>
    <t>03/17/2022 14:40:18</t>
  </si>
  <si>
    <t>03/17/2022 16:29:30</t>
  </si>
  <si>
    <t>03/18/2022 02:58:23</t>
  </si>
  <si>
    <t>03/18/2022 07:45:12</t>
  </si>
  <si>
    <t>03/18/2022 08:27:17</t>
  </si>
  <si>
    <t>03/18/2022 10:41:20</t>
  </si>
  <si>
    <t>03/18/2022 16:30:48</t>
  </si>
  <si>
    <t>03/18/2022 21:23:17</t>
  </si>
  <si>
    <t>03/21/2022 19:22:45</t>
  </si>
  <si>
    <t>03/21/2022 22:13:59</t>
  </si>
  <si>
    <t>03/22/2022 05:01:11</t>
  </si>
  <si>
    <t>03/22/2022 10:23:05</t>
  </si>
  <si>
    <t>03/22/2022 11:02:57</t>
  </si>
  <si>
    <t>03/22/2022 19:45:10</t>
  </si>
  <si>
    <t>03/22/2022 21:58:09</t>
  </si>
  <si>
    <t>03/22/2022 22:08:59</t>
  </si>
  <si>
    <t>03/23/2022 00:40:21</t>
  </si>
  <si>
    <t>03/23/2022 09:01:23</t>
  </si>
  <si>
    <t>03/24/2022 01:19:26</t>
  </si>
  <si>
    <t>03/24/2022 04:26:58</t>
  </si>
  <si>
    <t>03/24/2022 11:05:50</t>
  </si>
  <si>
    <t>03/25/2022 02:59:01</t>
  </si>
  <si>
    <t>03/25/2022 04:40:43</t>
  </si>
  <si>
    <t>03/27/2022 22:52:36</t>
  </si>
  <si>
    <t>03/28/2022 18:30:13</t>
  </si>
  <si>
    <t>03/29/2022 08:26:16</t>
  </si>
  <si>
    <t>03/29/2022 08:43:37</t>
  </si>
  <si>
    <t>03/29/2022 13:31:59</t>
  </si>
  <si>
    <t>03/29/2022 23:10:29</t>
  </si>
  <si>
    <t>03/30/2022 12:50:14</t>
  </si>
  <si>
    <t>03/30/2022 16:50:09</t>
  </si>
  <si>
    <t>03/30/2022 18:27:42</t>
  </si>
  <si>
    <t>03/30/2022 23:15:35</t>
  </si>
  <si>
    <t>03/31/2022 15:00:30</t>
  </si>
  <si>
    <t>04/01/2022 00:05:56</t>
  </si>
  <si>
    <t>04/01/2022 16:51:52</t>
  </si>
  <si>
    <t>04/04/2022 10:29:24</t>
  </si>
  <si>
    <t>04/04/2022 16:38:48</t>
  </si>
  <si>
    <t>04/05/2022 08:42:37</t>
  </si>
  <si>
    <t>04/05/2022 15:26:02</t>
  </si>
  <si>
    <t>04/05/2022 18:16:53</t>
  </si>
  <si>
    <t>04/05/2022 21:23:23</t>
  </si>
  <si>
    <t>04/06/2022 02:53:41</t>
  </si>
  <si>
    <t>04/06/2022 05:26:10</t>
  </si>
  <si>
    <t>04/06/2022 13:00:41</t>
  </si>
  <si>
    <t>04/06/2022 16:22:07</t>
  </si>
  <si>
    <t>04/06/2022 18:37:52</t>
  </si>
  <si>
    <t>04/07/2022 21:26:09</t>
  </si>
  <si>
    <t>04/08/2022 07:40:27</t>
  </si>
  <si>
    <t>04/08/2022 08:09:15</t>
  </si>
  <si>
    <t>04/08/2022 17:51:38</t>
  </si>
  <si>
    <t>04/08/2022 19:00:05</t>
  </si>
  <si>
    <t>04/10/2022 21:33:11</t>
  </si>
  <si>
    <t>04/11/2022 16:48:50</t>
  </si>
  <si>
    <t>04/11/2022 20:55:06</t>
  </si>
  <si>
    <t>04/12/2022 09:20:00</t>
  </si>
  <si>
    <t>04/13/2022 00:30:55</t>
  </si>
  <si>
    <t>04/13/2022 08:50:48</t>
  </si>
  <si>
    <t>04/13/2022 10:53:52</t>
  </si>
  <si>
    <t>04/14/2022 01:31:19</t>
  </si>
  <si>
    <t>04/18/2022 06:14:34</t>
  </si>
  <si>
    <t>04/19/2022 11:04:56</t>
  </si>
  <si>
    <t>04/19/2022 23:07:06</t>
  </si>
  <si>
    <t>04/20/2022 03:02:50</t>
  </si>
  <si>
    <t>04/20/2022 13:33:56</t>
  </si>
  <si>
    <t>04/21/2022 06:22:13</t>
  </si>
  <si>
    <t>04/21/2022 07:16:19</t>
  </si>
  <si>
    <t>04/22/2022 05:27:20</t>
  </si>
  <si>
    <t>04/22/2022 05:55:53</t>
  </si>
  <si>
    <t>04/22/2022 13:33:26</t>
  </si>
  <si>
    <t>04/25/2022 02:25:11</t>
  </si>
  <si>
    <t>04/25/2022 03:42:10</t>
  </si>
  <si>
    <t>04/25/2022 06:06:38</t>
  </si>
  <si>
    <t>04/26/2022 06:01:21</t>
  </si>
  <si>
    <t>04/26/2022 07:33:15</t>
  </si>
  <si>
    <t>04/26/2022 13:44:32</t>
  </si>
  <si>
    <t>04/26/2022 16:55:08</t>
  </si>
  <si>
    <t>04/26/2022 18:24:34</t>
  </si>
  <si>
    <t>04/27/2022 05:54:10</t>
  </si>
  <si>
    <t>04/27/2022 06:15:02</t>
  </si>
  <si>
    <t>04/27/2022 20:28:33</t>
  </si>
  <si>
    <t>04/28/2022 05:25:23</t>
  </si>
  <si>
    <t>04/28/2022 17:48:41</t>
  </si>
  <si>
    <t>04/28/2022 19:46:18</t>
  </si>
  <si>
    <t>05/04/2022 12:15:28</t>
  </si>
  <si>
    <t>05/04/2022 15:23:24</t>
  </si>
  <si>
    <t>05/04/2022 15:43:55</t>
  </si>
  <si>
    <t>05/05/2022 10:45:52</t>
  </si>
  <si>
    <t>05/06/2022 07:34:18</t>
  </si>
  <si>
    <t>05/06/2022 07:34:19</t>
  </si>
  <si>
    <t>05/06/2022 07:34:21</t>
  </si>
  <si>
    <t>05/06/2022 07:34:22</t>
  </si>
  <si>
    <t>05/06/2022 08:37:15</t>
  </si>
  <si>
    <t>05/06/2022 12:39:25</t>
  </si>
  <si>
    <t>05/06/2022 14:15:22</t>
  </si>
  <si>
    <t>05/10/2022 05:07:05</t>
  </si>
  <si>
    <t>05/10/2022 09:08:20</t>
  </si>
  <si>
    <t>05/10/2022 15:11:56</t>
  </si>
  <si>
    <t>05/11/2022 00:57:22</t>
  </si>
  <si>
    <t>05/11/2022 03:42:28</t>
  </si>
  <si>
    <t>05/11/2022 03:45:03</t>
  </si>
  <si>
    <t>05/11/2022 03:47:19</t>
  </si>
  <si>
    <t>05/11/2022 13:49:24</t>
  </si>
  <si>
    <t>05/11/2022 16:07:12</t>
  </si>
  <si>
    <t>05/11/2022 22:44:22</t>
  </si>
  <si>
    <t>05/12/2022 16:15:38</t>
  </si>
  <si>
    <t>05/12/2022 17:19:09</t>
  </si>
  <si>
    <t>05/13/2022 08:04:05</t>
  </si>
  <si>
    <t>05/13/2022 17:52:36</t>
  </si>
  <si>
    <t>05/13/2022 18:02:55</t>
  </si>
  <si>
    <t>05/16/2022 05:15:34</t>
  </si>
  <si>
    <t>05/16/2022 17:55:38</t>
  </si>
  <si>
    <t>05/18/2022 01:42:40</t>
  </si>
  <si>
    <t>05/18/2022 23:00:45</t>
  </si>
  <si>
    <t>05/19/2022 16:44:01</t>
  </si>
  <si>
    <t>05/20/2022 04:32:23</t>
  </si>
  <si>
    <t>05/20/2022 10:41:56</t>
  </si>
  <si>
    <t>05/20/2022 17:26:04</t>
  </si>
  <si>
    <t>05/25/2022 11:44:30</t>
  </si>
  <si>
    <t>05/25/2022 15:03:19</t>
  </si>
  <si>
    <t>05/25/2022 19:38:37</t>
  </si>
  <si>
    <t>05/26/2022 17:24:16</t>
  </si>
  <si>
    <t>05/26/2022 17:36:00</t>
  </si>
  <si>
    <t>05/26/2022 18:51:10</t>
  </si>
  <si>
    <t>05/27/2022 10:23:41</t>
  </si>
  <si>
    <t>05/27/2022 13:09:44</t>
  </si>
  <si>
    <t>05/30/2022 18:48:13</t>
  </si>
  <si>
    <t>05/30/2022 22:22:05</t>
  </si>
  <si>
    <t>05/31/2022 16:52:00</t>
  </si>
  <si>
    <t>06/01/2022 23:45:04</t>
  </si>
  <si>
    <t>06/02/2022 14:17:26</t>
  </si>
  <si>
    <t>06/02/2022 16:26:47</t>
  </si>
  <si>
    <t>06/03/2022 11:06:38</t>
  </si>
  <si>
    <t>06/03/2022 12:59:41</t>
  </si>
  <si>
    <t>06/03/2022 19:12:34</t>
  </si>
  <si>
    <t>06/04/2022 01:57:55</t>
  </si>
  <si>
    <t>06/08/2022 08:19:16</t>
  </si>
  <si>
    <t>06/08/2022 13:18:12</t>
  </si>
  <si>
    <t>06/08/2022 19:19:33</t>
  </si>
  <si>
    <t>06/09/2022 19:19:36</t>
  </si>
  <si>
    <t>06/10/2022 05:35:31</t>
  </si>
  <si>
    <t>06/10/2022 13:04:49</t>
  </si>
  <si>
    <t>06/13/2022 06:44:09</t>
  </si>
  <si>
    <t>06/13/2022 17:26:03</t>
  </si>
  <si>
    <t>06/24/2022 17:02:35</t>
  </si>
  <si>
    <t>07/01/2022 17:33:33</t>
  </si>
  <si>
    <t>07/01/2022 17:50:08</t>
  </si>
  <si>
    <t>07/05/2022 10:16:19</t>
  </si>
  <si>
    <t>07/05/2022 23:12:06</t>
  </si>
  <si>
    <t>07/07/2022 10:10:13</t>
  </si>
  <si>
    <t>07/11/2022 11:25:24</t>
  </si>
  <si>
    <t>07/11/2022 16:20:51</t>
  </si>
  <si>
    <t>07/13/2022 23:57:50</t>
  </si>
  <si>
    <t>07/14/2022 11:57:28</t>
  </si>
  <si>
    <t>07/14/2022 12:00:20</t>
  </si>
  <si>
    <t>07/14/2022 16:18:25</t>
  </si>
  <si>
    <t>07/15/2022 17:50:50</t>
  </si>
  <si>
    <t>07/17/2022 20:25:53</t>
  </si>
  <si>
    <t>07/19/2022 00:29:43</t>
  </si>
  <si>
    <t>07/20/2022 16:43:28</t>
  </si>
  <si>
    <t>07/21/2022 03:41:34</t>
  </si>
  <si>
    <t>07/21/2022 08:42:27</t>
  </si>
  <si>
    <t>07/25/2022 02:31:01</t>
  </si>
  <si>
    <t>07/27/2022 08:41:20</t>
  </si>
  <si>
    <t>08/02/2022 12:45:28</t>
  </si>
  <si>
    <t>08/02/2022 14:41:27</t>
  </si>
  <si>
    <t>08/02/2022 18:53:09</t>
  </si>
  <si>
    <t>08/03/2022 12:48:24</t>
  </si>
  <si>
    <t>08/03/2022 23:25:57</t>
  </si>
  <si>
    <t>08/04/2022 17:08:04</t>
  </si>
  <si>
    <t>08/09/2022 15:44:15</t>
  </si>
  <si>
    <t>08/10/2022 00:16:00</t>
  </si>
  <si>
    <t>08/10/2022 01:55:20</t>
  </si>
  <si>
    <t>08/10/2022 02:01:49</t>
  </si>
  <si>
    <t>08/11/2022 22:19:31</t>
  </si>
  <si>
    <t>08/15/2022 13:40:26</t>
  </si>
  <si>
    <t>08/15/2022 16:51:24</t>
  </si>
  <si>
    <t>08/16/2022 20:03:06</t>
  </si>
  <si>
    <t>08/18/2022 05:44:46</t>
  </si>
  <si>
    <t>08/19/2022 04:10:15</t>
  </si>
  <si>
    <t>08/22/2022 11:22:05</t>
  </si>
  <si>
    <t>08/22/2022 17:44:00</t>
  </si>
  <si>
    <t>08/23/2022 07:02:18</t>
  </si>
  <si>
    <t>08/23/2022 16:04:42</t>
  </si>
  <si>
    <t>08/23/2022 17:16:03</t>
  </si>
  <si>
    <t>08/25/2022 04:26:24</t>
  </si>
  <si>
    <t>08/25/2022 21:55:33</t>
  </si>
  <si>
    <t>08/25/2022 21:57:24</t>
  </si>
  <si>
    <t>08/26/2022 00:00:06</t>
  </si>
  <si>
    <t>08/26/2022 11:30:58</t>
  </si>
  <si>
    <t>08/26/2022 18:25:32</t>
  </si>
  <si>
    <t>08/29/2022 06:28:38</t>
  </si>
  <si>
    <t>08/29/2022 11:37:09</t>
  </si>
  <si>
    <t>08/29/2022 11:48:37</t>
  </si>
  <si>
    <t>08/29/2022 13:59:05</t>
  </si>
  <si>
    <t>08/31/2022 10:30:34</t>
  </si>
  <si>
    <t>09/05/2022 04:38:57</t>
  </si>
  <si>
    <t>09/07/2022 12:40:08</t>
  </si>
  <si>
    <t>09/08/2022 15:40:58</t>
  </si>
  <si>
    <t>09/12/2022 11:13:16</t>
  </si>
  <si>
    <t>09/14/2022 07:05:31</t>
  </si>
  <si>
    <t>09/14/2022 19:59:27</t>
  </si>
  <si>
    <t>09/15/2022 01:07:59</t>
  </si>
  <si>
    <t>09/15/2022 10:36:08</t>
  </si>
  <si>
    <t>09/21/2022 02:48:34</t>
  </si>
  <si>
    <t>09/21/2022 23:14:19</t>
  </si>
  <si>
    <t>09/22/2022 17:09:49</t>
  </si>
  <si>
    <t>09/23/2022 07:16:53</t>
  </si>
  <si>
    <t>09/26/2022 06:49:06</t>
  </si>
  <si>
    <t>09/26/2022 18:36:56</t>
  </si>
  <si>
    <t>09/28/2022 12:46:13</t>
  </si>
  <si>
    <t>10/04/2022 15:44:15</t>
  </si>
  <si>
    <t>10/04/2022 16:26:08</t>
  </si>
  <si>
    <t>10/12/2022 00:39:36</t>
  </si>
  <si>
    <t>10/13/2022 14:55:21</t>
  </si>
  <si>
    <t>10/13/2022 14:57:34</t>
  </si>
  <si>
    <t>10/13/2022 14:58:37</t>
  </si>
  <si>
    <t>10/13/2022 14:59:53</t>
  </si>
  <si>
    <t>10/14/2022 09:43:54</t>
  </si>
  <si>
    <t>10/14/2022 20:17:45</t>
  </si>
  <si>
    <t>10/17/2022 12:04:39</t>
  </si>
  <si>
    <t>10/17/2022 23:12:49</t>
  </si>
  <si>
    <t>10/17/2022 23:47:00</t>
  </si>
  <si>
    <t>10/18/2022 21:47:01</t>
  </si>
  <si>
    <t>10/26/2022 20:19:07</t>
  </si>
  <si>
    <t>10/26/2022 21:13:57</t>
  </si>
  <si>
    <t>10/28/2022 16:33:40</t>
  </si>
  <si>
    <t>10/31/2022 11:33:40</t>
  </si>
  <si>
    <t>10/31/2022 11:36:01</t>
  </si>
  <si>
    <t>10/31/2022 17:24:14</t>
  </si>
  <si>
    <t>11/02/2022 12:20:40</t>
  </si>
  <si>
    <t>11/03/2022 06:03:18</t>
  </si>
  <si>
    <t>11/07/2022 23:54:44</t>
  </si>
  <si>
    <t>11/09/2022 11:29:30</t>
  </si>
  <si>
    <t>11/13/2022 15:38:32</t>
  </si>
  <si>
    <t>11/14/2022 00:23:58</t>
  </si>
  <si>
    <t>11/17/2022 09:43:28</t>
  </si>
  <si>
    <t>11/17/2022 13:09:37</t>
  </si>
  <si>
    <t>11/21/2022 06:56:08</t>
  </si>
  <si>
    <t>11/21/2022 10:27:51</t>
  </si>
  <si>
    <t>11/25/2022 04:05:29</t>
  </si>
  <si>
    <t>11/27/2022 22:15:10</t>
  </si>
  <si>
    <t>11/28/2022 00:53:17</t>
  </si>
  <si>
    <t>11/30/2022 14:26:46</t>
  </si>
  <si>
    <t>12/01/2022 07:17:42</t>
  </si>
  <si>
    <t>12/02/2022 01:30:13</t>
  </si>
  <si>
    <t>12/04/2022 11:32:15</t>
  </si>
  <si>
    <t>12/05/2022 11:25:56</t>
  </si>
  <si>
    <t>12/06/2022 11:38:06</t>
  </si>
  <si>
    <t>12/13/2022 06:37:14</t>
  </si>
  <si>
    <t>12/14/2022 04:35:33</t>
  </si>
  <si>
    <t>12/15/2022 02:18:16</t>
  </si>
  <si>
    <t>12/17/2022 01:18:38</t>
  </si>
  <si>
    <t>12/19/2022 00:51:14</t>
  </si>
  <si>
    <t>12/19/2022 09:49:38</t>
  </si>
  <si>
    <t>12/19/2022 10:11:09</t>
  </si>
  <si>
    <t>12/26/2022 23:02:50</t>
  </si>
  <si>
    <t>12/27/2022 10:28:11</t>
  </si>
  <si>
    <t>12/27/2022 18:22:47</t>
  </si>
  <si>
    <t>12/28/2022 00:20:24</t>
  </si>
  <si>
    <t>initial-contribution@android.com</t>
  </si>
  <si>
    <t>fredq@google.com</t>
  </si>
  <si>
    <t>hackbod@google.com</t>
  </si>
  <si>
    <t>phillipd@google.com</t>
  </si>
  <si>
    <t>brettchabot@google.com</t>
  </si>
  <si>
    <t>elaurent@google.com</t>
  </si>
  <si>
    <t>brettchabot@android.com</t>
  </si>
  <si>
    <t>dmiyakawa@google.com</t>
  </si>
  <si>
    <t>egnor@google.com</t>
  </si>
  <si>
    <t>phanna@android.com</t>
  </si>
  <si>
    <t>fdimeglio@google.com</t>
  </si>
  <si>
    <t>vnori@google.com</t>
  </si>
  <si>
    <t>chihchung@google.com</t>
  </si>
  <si>
    <t>bringert@android.com</t>
  </si>
  <si>
    <t>wuchengli@google.com</t>
  </si>
  <si>
    <t>btmura@google.com</t>
  </si>
  <si>
    <t>btmura@android.com</t>
  </si>
  <si>
    <t>wink@google.com</t>
  </si>
  <si>
    <t>jham@android.com</t>
  </si>
  <si>
    <t>jbq@google.com</t>
  </si>
  <si>
    <t>romainguy@android.com</t>
  </si>
  <si>
    <t>enh@google.com</t>
  </si>
  <si>
    <t>adamp@google.com</t>
  </si>
  <si>
    <t>svetoslavganov@google.com</t>
  </si>
  <si>
    <t>husky@google.com</t>
  </si>
  <si>
    <t>steveblock@google.com</t>
  </si>
  <si>
    <t>nnk@google.com</t>
  </si>
  <si>
    <t>dougz@android.com</t>
  </si>
  <si>
    <t>alexst@google.com</t>
  </si>
  <si>
    <t>satok@google.com</t>
  </si>
  <si>
    <t>berrada@google.com</t>
  </si>
  <si>
    <t>srhines@google.com</t>
  </si>
  <si>
    <t>ogino.masanori@sharp.co.jp</t>
  </si>
  <si>
    <t>bayer@google.com</t>
  </si>
  <si>
    <t>narayan@google.com</t>
  </si>
  <si>
    <t>kenneth.andersson@sonyericsson.com</t>
  </si>
  <si>
    <t>asapperstein@google.com</t>
  </si>
  <si>
    <t>kroot@google.com</t>
  </si>
  <si>
    <t>jpd@google.com</t>
  </si>
  <si>
    <t>jreck@google.com</t>
  </si>
  <si>
    <t>jeffhao@google.com</t>
  </si>
  <si>
    <t>jeffbrown@google.com</t>
  </si>
  <si>
    <t>fadden@android.com</t>
  </si>
  <si>
    <t>ed@google.com</t>
  </si>
  <si>
    <t>kristianm@google.com</t>
  </si>
  <si>
    <t>mount@google.com</t>
  </si>
  <si>
    <t>npelly@google.com</t>
  </si>
  <si>
    <t>keunyoung@google.com</t>
  </si>
  <si>
    <t>marcone@google.com</t>
  </si>
  <si>
    <t>bhanu@mips.com</t>
  </si>
  <si>
    <t>mnaganov@google.com</t>
  </si>
  <si>
    <t>jdong@google.com</t>
  </si>
  <si>
    <t>etalvala@google.com</t>
  </si>
  <si>
    <t>debunne@google.com</t>
  </si>
  <si>
    <t>android-gerrit@google.com</t>
  </si>
  <si>
    <t>jsharkey@android.com</t>
  </si>
  <si>
    <t>jessewilson@google.com</t>
  </si>
  <si>
    <t>android-build@android.com</t>
  </si>
  <si>
    <t>benm@google.com</t>
  </si>
  <si>
    <t>insun@google.com</t>
  </si>
  <si>
    <t>romainguy@google.com</t>
  </si>
  <si>
    <t>boliu@google.com</t>
  </si>
  <si>
    <t>cmautner@google.com</t>
  </si>
  <si>
    <t>laurentt@google.com</t>
  </si>
  <si>
    <t>amomtaz@google.com</t>
  </si>
  <si>
    <t>sgurun@google.com</t>
  </si>
  <si>
    <t>joth@google.com</t>
  </si>
  <si>
    <t>kwakasa@google.com</t>
  </si>
  <si>
    <t>ccraik@google.com</t>
  </si>
  <si>
    <t>jaikumar@google.com</t>
  </si>
  <si>
    <t>noreply-gerritcodereview@google.com</t>
  </si>
  <si>
    <t>jtinker@google.com</t>
  </si>
  <si>
    <t>gcondra@google.com</t>
  </si>
  <si>
    <t>rgreenwalt@google.com</t>
  </si>
  <si>
    <t>michaelwr@google.com</t>
  </si>
  <si>
    <t>violets@google.com</t>
  </si>
  <si>
    <t>stuartscott@google.com</t>
  </si>
  <si>
    <t>richard.yt.chang@acer.com</t>
  </si>
  <si>
    <t>zhijunhe@google.com</t>
  </si>
  <si>
    <t>michaelbai@google.com</t>
  </si>
  <si>
    <t>guangzhu@google.com</t>
  </si>
  <si>
    <t>jsams@google.com</t>
  </si>
  <si>
    <t>olly@google.com</t>
  </si>
  <si>
    <t>android-build@google.com</t>
  </si>
  <si>
    <t>iam@google.com</t>
  </si>
  <si>
    <t>yorkelee@google.com</t>
  </si>
  <si>
    <t>mathewi@google.com</t>
  </si>
  <si>
    <t>destradaa@google.com</t>
  </si>
  <si>
    <t>torne@google.com</t>
  </si>
  <si>
    <t>tomo@google.com</t>
  </si>
  <si>
    <t>jspurlock@google.com</t>
  </si>
  <si>
    <t>jeanluc@google.com</t>
  </si>
  <si>
    <t>nicksauer@google.com</t>
  </si>
  <si>
    <t>unsuk@google.com</t>
  </si>
  <si>
    <t>cferris@google.com</t>
  </si>
  <si>
    <t>paulduffin@google.com</t>
  </si>
  <si>
    <t>jon@cunninglogic.com</t>
  </si>
  <si>
    <t>glaznev@google.com</t>
  </si>
  <si>
    <t>erowe@google.com</t>
  </si>
  <si>
    <t>youngsang@google.com</t>
  </si>
  <si>
    <t>ztenghui@google.com</t>
  </si>
  <si>
    <t>sungsoo@google.com</t>
  </si>
  <si>
    <t>yinchiayeh@google.com</t>
  </si>
  <si>
    <t>alanv@google.com</t>
  </si>
  <si>
    <t>lajos@google.com</t>
  </si>
  <si>
    <t>hjd@google.com</t>
  </si>
  <si>
    <t>adamlesinski@google.com</t>
  </si>
  <si>
    <t>chriselliott@google.com</t>
  </si>
  <si>
    <t>jrusnak@sensorplatforms.com</t>
  </si>
  <si>
    <t>acalabrese@google.com</t>
  </si>
  <si>
    <t>rubenbrunk@google.com</t>
  </si>
  <si>
    <t>piman@google.com</t>
  </si>
  <si>
    <t>hunga@google.com</t>
  </si>
  <si>
    <t>chz@google.com</t>
  </si>
  <si>
    <t>nfuller@google.com</t>
  </si>
  <si>
    <t>tsu@google.com</t>
  </si>
  <si>
    <t>wonsik@google.com</t>
  </si>
  <si>
    <t>aathalye@google.com</t>
  </si>
  <si>
    <t>etalavera@google.com</t>
  </si>
  <si>
    <t>timmurray@google.com</t>
  </si>
  <si>
    <t>yukawa@google.com</t>
  </si>
  <si>
    <t>cjluo@google.com</t>
  </si>
  <si>
    <t>jaeseo@google.com</t>
  </si>
  <si>
    <t>derektan@google.com</t>
  </si>
  <si>
    <t>epenner@google.com</t>
  </si>
  <si>
    <t>tgunn@google.com</t>
  </si>
  <si>
    <t>evanc@google.com</t>
  </si>
  <si>
    <t>pauljensen@google.com</t>
  </si>
  <si>
    <t>anilmuthineni@google.com</t>
  </si>
  <si>
    <t>rago@google.com</t>
  </si>
  <si>
    <t>xinhe@google.com</t>
  </si>
  <si>
    <t>ronghuawu@google.com</t>
  </si>
  <si>
    <t>jpoyry@google.com</t>
  </si>
  <si>
    <t>jmtrivi@google.com</t>
  </si>
  <si>
    <t>dcashman@google.com</t>
  </si>
  <si>
    <t>szatmz@google.com</t>
  </si>
  <si>
    <t>nprevot@google.com</t>
  </si>
  <si>
    <t>jparks@google.com</t>
  </si>
  <si>
    <t>edwang@google.com</t>
  </si>
  <si>
    <t>lorenzo@google.com</t>
  </si>
  <si>
    <t>alexgherghina@google.com</t>
  </si>
  <si>
    <t>junda@google.com</t>
  </si>
  <si>
    <t>kennyguy@google.com</t>
  </si>
  <si>
    <t>raph@google.com</t>
  </si>
  <si>
    <t>jamescook@google.com</t>
  </si>
  <si>
    <t>edheyl@google.com</t>
  </si>
  <si>
    <t>sds@tycho.nsa.gov</t>
  </si>
  <si>
    <t>miaowang@google.com</t>
  </si>
  <si>
    <t>zhao@google.com</t>
  </si>
  <si>
    <t>salewijnse@google.com</t>
  </si>
  <si>
    <t>watk@google.com</t>
  </si>
  <si>
    <t>klyubin@google.com</t>
  </si>
  <si>
    <t>cychen@google.com</t>
  </si>
  <si>
    <t>dxie@google.com</t>
  </si>
  <si>
    <t>sanketpadawe@google.com</t>
  </si>
  <si>
    <t>brianattwell@google.com</t>
  </si>
  <si>
    <t>keithcheung@google.com</t>
  </si>
  <si>
    <t>fkupolov@google.com</t>
  </si>
  <si>
    <t>dwkang@google.com</t>
  </si>
  <si>
    <t>omakoto@google.com</t>
  </si>
  <si>
    <t>bfranz@google.com</t>
  </si>
  <si>
    <t>skuhne@google.com</t>
  </si>
  <si>
    <t>pengxu@google.com</t>
  </si>
  <si>
    <t>carlosvaldivia@google.com</t>
  </si>
  <si>
    <t>clarabayarri@google.com</t>
  </si>
  <si>
    <t>flynn@google.com</t>
  </si>
  <si>
    <t>paulmiller@google.com</t>
  </si>
  <si>
    <t>rsesek@google.com</t>
  </si>
  <si>
    <t>rgl@google.com</t>
  </si>
  <si>
    <t>ek@google.com</t>
  </si>
  <si>
    <t>rpius@google.com</t>
  </si>
  <si>
    <t>simranjit@google.com</t>
  </si>
  <si>
    <t>bsears@google.com</t>
  </si>
  <si>
    <t>tochaupac@gmail.com</t>
  </si>
  <si>
    <t>ijpedowitz@google.com</t>
  </si>
  <si>
    <t>kraita@google.com</t>
  </si>
  <si>
    <t>aakella@google.com</t>
  </si>
  <si>
    <t>phaulos@google.com</t>
  </si>
  <si>
    <t>jimg@google.com</t>
  </si>
  <si>
    <t>tomtaylor@google.com</t>
  </si>
  <si>
    <t>misterikkit@google.com</t>
  </si>
  <si>
    <t>awlee@google.com</t>
  </si>
  <si>
    <t>rubinxu@google.com</t>
  </si>
  <si>
    <t>hzjian@google.com</t>
  </si>
  <si>
    <t>alexchau@google.com</t>
  </si>
  <si>
    <t>robertshih@google.com</t>
  </si>
  <si>
    <t>paullawrence@google.com</t>
  </si>
  <si>
    <t>hocutt@google.com</t>
  </si>
  <si>
    <t>chet@google.com</t>
  </si>
  <si>
    <t>aaronholden@google.com</t>
  </si>
  <si>
    <t>agathaman@google.com</t>
  </si>
  <si>
    <t>moltmann@google.com</t>
  </si>
  <si>
    <t>juliacr@google.com</t>
  </si>
  <si>
    <t>akerim@google.com</t>
  </si>
  <si>
    <t>wjia@google.com</t>
  </si>
  <si>
    <t>gruszczy@google.com</t>
  </si>
  <si>
    <t>tonymak@google.com</t>
  </si>
  <si>
    <t>sandrakwan@google.com</t>
  </si>
  <si>
    <t>vichang@google.com</t>
  </si>
  <si>
    <t>roozbeh@google.com</t>
  </si>
  <si>
    <t>kaznacheev@google.com</t>
  </si>
  <si>
    <t>ltrochtova@google.com</t>
  </si>
  <si>
    <t>cbrubaker@google.com</t>
  </si>
  <si>
    <t>jessehall@google.com</t>
  </si>
  <si>
    <t>ogunwale@google.com</t>
  </si>
  <si>
    <t>jmonk@google.com</t>
  </si>
  <si>
    <t>siyamed@google.com</t>
  </si>
  <si>
    <t>chulwoo@google.com</t>
  </si>
  <si>
    <t>felipeal@google.com</t>
  </si>
  <si>
    <t>shuzhenwang@google.com</t>
  </si>
  <si>
    <t>jaesung@google.com</t>
  </si>
  <si>
    <t>phweiss@google.com</t>
  </si>
  <si>
    <t>pirama@google.com</t>
  </si>
  <si>
    <t>gkaiser@google.com</t>
  </si>
  <si>
    <t>rickywai@google.com</t>
  </si>
  <si>
    <t>nona@google.com</t>
  </si>
  <si>
    <t>sharmneha@google.com</t>
  </si>
  <si>
    <t>kirillg@google.com</t>
  </si>
  <si>
    <t>djsollen@google.com</t>
  </si>
  <si>
    <t>lifu@google.com</t>
  </si>
  <si>
    <t>pweaver@google.com</t>
  </si>
  <si>
    <t>jeffv@google.com</t>
  </si>
  <si>
    <t>amitmahajan@google.com</t>
  </si>
  <si>
    <t>pbond@google.com</t>
  </si>
  <si>
    <t>hush@google.com</t>
  </si>
  <si>
    <t>snb@google.com</t>
  </si>
  <si>
    <t>billylau@google.com</t>
  </si>
  <si>
    <t>toddke@google.com</t>
  </si>
  <si>
    <t>vitalit@google.com</t>
  </si>
  <si>
    <t>rsorokin@google.com</t>
  </si>
  <si>
    <t>akulian@google.com</t>
  </si>
  <si>
    <t>mishragaurav@google.com</t>
  </si>
  <si>
    <t>agalusza@google.com</t>
  </si>
  <si>
    <t>olorin@google.com</t>
  </si>
  <si>
    <t>jiabin@google.com</t>
  </si>
  <si>
    <t>william.c.roberts@intel.com</t>
  </si>
  <si>
    <t>peletskyi@google.com</t>
  </si>
  <si>
    <t>mkarpinski@google.com</t>
  </si>
  <si>
    <t>feny@google.com</t>
  </si>
  <si>
    <t>yboyar@google.com</t>
  </si>
  <si>
    <t>vigneshv@google.com</t>
  </si>
  <si>
    <t>tobiast@google.com</t>
  </si>
  <si>
    <t>shubhamajmera@google.com</t>
  </si>
  <si>
    <t>jiaqzhao@google.com</t>
  </si>
  <si>
    <t>kandoiruchi@google.com</t>
  </si>
  <si>
    <t>utsavs@google.com</t>
  </si>
  <si>
    <t>hkuang@google.com</t>
  </si>
  <si>
    <t>tianliu@google.com</t>
  </si>
  <si>
    <t>cdonner@google.com</t>
  </si>
  <si>
    <t>dhnishi@google.com</t>
  </si>
  <si>
    <t>stg@google.com</t>
  </si>
  <si>
    <t>r.mamadgi@samsung.com</t>
  </si>
  <si>
    <t>racarr@google.com</t>
  </si>
  <si>
    <t>gsennton@google.com</t>
  </si>
  <si>
    <t>hdmoon@google.com</t>
  </si>
  <si>
    <t>wyattriley@google.com</t>
  </si>
  <si>
    <t>jinpark@google.com</t>
  </si>
  <si>
    <t>jdsouza@google.com</t>
  </si>
  <si>
    <t>stephenli@google.com</t>
  </si>
  <si>
    <t>dwillemsen@google.com</t>
  </si>
  <si>
    <t>qiurui@google.com</t>
  </si>
  <si>
    <t>rachad@google.com</t>
  </si>
  <si>
    <t>samlin@google.com</t>
  </si>
  <si>
    <t>pgrafov@google.com</t>
  </si>
  <si>
    <t>yudiliu@google.com</t>
  </si>
  <si>
    <t>jdesprez@google.com</t>
  </si>
  <si>
    <t>joshuaschwarz@google.com</t>
  </si>
  <si>
    <t>ewol@google.com</t>
  </si>
  <si>
    <t>swillden@google.com</t>
  </si>
  <si>
    <t>hallliu@google.com</t>
  </si>
  <si>
    <t>bohu@google.com</t>
  </si>
  <si>
    <t>xutan@google.com</t>
  </si>
  <si>
    <t>dementyev@google.com</t>
  </si>
  <si>
    <t>sstout@google.com</t>
  </si>
  <si>
    <t>bjoernj@google.com</t>
  </si>
  <si>
    <t>cwren@android.com</t>
  </si>
  <si>
    <t>anwenxu@google.com</t>
  </si>
  <si>
    <t>gpitsch@google.com</t>
  </si>
  <si>
    <t>samitolvanen@google.com</t>
  </si>
  <si>
    <t>kinaba@google.com</t>
  </si>
  <si>
    <t>mrathjen@google.com</t>
  </si>
  <si>
    <t>sunnygoyal@google.com</t>
  </si>
  <si>
    <t>bartfab@google.com</t>
  </si>
  <si>
    <t>vadimt@google.com</t>
  </si>
  <si>
    <t>mahaver@google.com</t>
  </si>
  <si>
    <t>takaoka@google.com</t>
  </si>
  <si>
    <t>yamasani@google.com</t>
  </si>
  <si>
    <t>edmanp@google.com</t>
  </si>
  <si>
    <t>smckay@google.com</t>
  </si>
  <si>
    <t>erosky@google.com</t>
  </si>
  <si>
    <t>twyen@google.com</t>
  </si>
  <si>
    <t>jmgao@google.com</t>
  </si>
  <si>
    <t>christyfranks@google.com</t>
  </si>
  <si>
    <t>suprabh@google.com</t>
  </si>
  <si>
    <t>smuckle@google.com</t>
  </si>
  <si>
    <t>toki@google.com</t>
  </si>
  <si>
    <t>conradchen@google.com</t>
  </si>
  <si>
    <t>winsonc@google.com</t>
  </si>
  <si>
    <t>etancohen@google.com</t>
  </si>
  <si>
    <t>justinklaassen@google.com</t>
  </si>
  <si>
    <t>yangni@google.com</t>
  </si>
  <si>
    <t>jungshik@google.com</t>
  </si>
  <si>
    <t>pavlis@google.com</t>
  </si>
  <si>
    <t>nicoya@google.com</t>
  </si>
  <si>
    <t>linben@google.com</t>
  </si>
  <si>
    <t>jackyu@google.com</t>
  </si>
  <si>
    <t>drosen@google.com</t>
  </si>
  <si>
    <t>aurimas@google.com</t>
  </si>
  <si>
    <t>pmclean@google.com</t>
  </si>
  <si>
    <t>agampe@google.com</t>
  </si>
  <si>
    <t>hyunyoungs@google.com</t>
  </si>
  <si>
    <t>badash@google.com</t>
  </si>
  <si>
    <t>calin@google.com</t>
  </si>
  <si>
    <t>ctzsm@google.com</t>
  </si>
  <si>
    <t>jpsugar@google.com</t>
  </si>
  <si>
    <t>allight@google.com</t>
  </si>
  <si>
    <t>nharold@google.com</t>
  </si>
  <si>
    <t>dupin@google.com</t>
  </si>
  <si>
    <t>sudheersai@google.com</t>
  </si>
  <si>
    <t>jwcai@google.com</t>
  </si>
  <si>
    <t>hirono@google.com</t>
  </si>
  <si>
    <t>fionaxu@google.com</t>
  </si>
  <si>
    <t>philippov@google.com</t>
  </si>
  <si>
    <t>danielcar@google.com</t>
  </si>
  <si>
    <t>sergeyv@google.com</t>
  </si>
  <si>
    <t>johanth@google.com</t>
  </si>
  <si>
    <t>rni@google.com</t>
  </si>
  <si>
    <t>agun@google.com</t>
  </si>
  <si>
    <t>bryanmawhinney@google.com</t>
  </si>
  <si>
    <t>ghackmann@google.com</t>
  </si>
  <si>
    <t>pyung.lee@lge.com</t>
  </si>
  <si>
    <t>tstrudel@google.com</t>
  </si>
  <si>
    <t>edwinwong@google.com</t>
  </si>
  <si>
    <t>zenga@google.com</t>
  </si>
  <si>
    <t>ntfschr@google.com</t>
  </si>
  <si>
    <t>stimo@google.com</t>
  </si>
  <si>
    <t>ccross@android.com</t>
  </si>
  <si>
    <t>epeev@google.com</t>
  </si>
  <si>
    <t>jaewan@google.com</t>
  </si>
  <si>
    <t>svv@google.com</t>
  </si>
  <si>
    <t>chaviw@google.com</t>
  </si>
  <si>
    <t>flooey@google.com</t>
  </si>
  <si>
    <t>essick@google.com</t>
  </si>
  <si>
    <t>eugenesusla@google.com</t>
  </si>
  <si>
    <t>kurtn@google.com</t>
  </si>
  <si>
    <t>benedictwong@google.com</t>
  </si>
  <si>
    <t>kwekua@google.com</t>
  </si>
  <si>
    <t>darryljohnson@google.com</t>
  </si>
  <si>
    <t>ngmatthew@google.com</t>
  </si>
  <si>
    <t>android-build-team-robot@google.com</t>
  </si>
  <si>
    <t>manojboopathi@google.com</t>
  </si>
  <si>
    <t>brufino@google.com</t>
  </si>
  <si>
    <t>cjyu@google.com</t>
  </si>
  <si>
    <t>jinyithu@google.com</t>
  </si>
  <si>
    <t>celisa@google.com</t>
  </si>
  <si>
    <t>mtobin@google.com</t>
  </si>
  <si>
    <t>dominic.lemire@broadcom.com</t>
  </si>
  <si>
    <t>hsz@google.com</t>
  </si>
  <si>
    <t>beverlyt@google.com</t>
  </si>
  <si>
    <t>nmusgrave@google.com</t>
  </si>
  <si>
    <t>pavelm@google.com</t>
  </si>
  <si>
    <t>pvisontay@google.com</t>
  </si>
  <si>
    <t>arangelov@google.com</t>
  </si>
  <si>
    <t>sgaurav@google.com</t>
  </si>
  <si>
    <t>eranm@google.com</t>
  </si>
  <si>
    <t>ascull@google.com</t>
  </si>
  <si>
    <t>artikz@google.com</t>
  </si>
  <si>
    <t>scroggo@google.com</t>
  </si>
  <si>
    <t>dake@google.com</t>
  </si>
  <si>
    <t>florinam@google.com</t>
  </si>
  <si>
    <t>jjaggi@google.com</t>
  </si>
  <si>
    <t>hwwang@google.com</t>
  </si>
  <si>
    <t>kchyn@google.com</t>
  </si>
  <si>
    <t>hadrosaur@google.com</t>
  </si>
  <si>
    <t>mpq@google.com</t>
  </si>
  <si>
    <t>jalt@google.com</t>
  </si>
  <si>
    <t>timvolodine@google.com</t>
  </si>
  <si>
    <t>avakulenko@google.com</t>
  </si>
  <si>
    <t>breadley@google.com</t>
  </si>
  <si>
    <t>erfanian@google.com</t>
  </si>
  <si>
    <t>rlongair@google.com</t>
  </si>
  <si>
    <t>jsharkey@google.com</t>
  </si>
  <si>
    <t>fengc@google.com</t>
  </si>
  <si>
    <t>alexeykuzmin@google.com</t>
  </si>
  <si>
    <t>tarandeep@google.com</t>
  </si>
  <si>
    <t>ctate@google.com</t>
  </si>
  <si>
    <t>mwachens@google.com</t>
  </si>
  <si>
    <t>xshu@google.com</t>
  </si>
  <si>
    <t>yuemingw@google.com</t>
  </si>
  <si>
    <t>bookatz@google.com</t>
  </si>
  <si>
    <t>krzysio@google.com</t>
  </si>
  <si>
    <t>ramperry@google.com</t>
  </si>
  <si>
    <t>vishwath@google.com</t>
  </si>
  <si>
    <t>akersten@google.com</t>
  </si>
  <si>
    <t>patb@google.com</t>
  </si>
  <si>
    <t>trong@google.com</t>
  </si>
  <si>
    <t>victorhsieh@google.com</t>
  </si>
  <si>
    <t>cinek@google.com</t>
  </si>
  <si>
    <t>pinchin@google.com</t>
  </si>
  <si>
    <t>svpawar@google.com</t>
  </si>
  <si>
    <t>lpf@google.com</t>
  </si>
  <si>
    <t>dimitry@google.com</t>
  </si>
  <si>
    <t>fdeng@google.com</t>
  </si>
  <si>
    <t>kodlee@google.com</t>
  </si>
  <si>
    <t>rossyeh@google.com</t>
  </si>
  <si>
    <t>dbrazdil@google.com</t>
  </si>
  <si>
    <t>anniemeng@google.com</t>
  </si>
  <si>
    <t>agarwalvishal@google.com</t>
  </si>
  <si>
    <t>mpgroover@google.com</t>
  </si>
  <si>
    <t>qasid@google.com</t>
  </si>
  <si>
    <t>jbires@google.com</t>
  </si>
  <si>
    <t>yvanhsueh@google.com</t>
  </si>
  <si>
    <t>nandana@google.com</t>
  </si>
  <si>
    <t>gurchetansingh@google.com</t>
  </si>
  <si>
    <t>mplass@google.com</t>
  </si>
  <si>
    <t>zhanghai@google.com</t>
  </si>
  <si>
    <t>valiiftime@google.com</t>
  </si>
  <si>
    <t>tccyp@google.com</t>
  </si>
  <si>
    <t>adamhe@google.com</t>
  </si>
  <si>
    <t>weijuncheng@xiaomi.com</t>
  </si>
  <si>
    <t>akirilov@google.com</t>
  </si>
  <si>
    <t>njawad@google.com</t>
  </si>
  <si>
    <t>rngy@google.com</t>
  </si>
  <si>
    <t>vermishkin@google.com</t>
  </si>
  <si>
    <t>cnorthrop@google.com</t>
  </si>
  <si>
    <t>haoyuchang@google.com</t>
  </si>
  <si>
    <t>alexkershaw@google.com</t>
  </si>
  <si>
    <t>chiangi@google.com</t>
  </si>
  <si>
    <t>lumark@google.com</t>
  </si>
  <si>
    <t>smoreland@google.com</t>
  </si>
  <si>
    <t>ashaikh@google.com</t>
  </si>
  <si>
    <t>rhedjao@google.com</t>
  </si>
  <si>
    <t>hongmingjin@google.com</t>
  </si>
  <si>
    <t>varunshah@google.com</t>
  </si>
  <si>
    <t>jiyong@google.com</t>
  </si>
  <si>
    <t>mspector@google.com</t>
  </si>
  <si>
    <t>jovanak@google.com</t>
  </si>
  <si>
    <t>sooniln@google.com</t>
  </si>
  <si>
    <t>dieterhsu@google.com</t>
  </si>
  <si>
    <t>popam@google.com</t>
  </si>
  <si>
    <t>timvp@google.com</t>
  </si>
  <si>
    <t>wvw@google.com</t>
  </si>
  <si>
    <t>evanseverson@google.com</t>
  </si>
  <si>
    <t>stani@google.com</t>
  </si>
  <si>
    <t>felkachang@google.com</t>
  </si>
  <si>
    <t>tobiasjs@google.com</t>
  </si>
  <si>
    <t>lelandmiller@google.com</t>
  </si>
  <si>
    <t>marissaw@google.com</t>
  </si>
  <si>
    <t>madym@google.com</t>
  </si>
  <si>
    <t>ashleyrose@google.com</t>
  </si>
  <si>
    <t>yaoyx@google.com</t>
  </si>
  <si>
    <t>stefanot@google.com</t>
  </si>
  <si>
    <t>solomondaniel@google.com</t>
  </si>
  <si>
    <t>sundongahn@google.com</t>
  </si>
  <si>
    <t>yabinc@google.com</t>
  </si>
  <si>
    <t>quxiangfang@google.com</t>
  </si>
  <si>
    <t>dargeren@google.com</t>
  </si>
  <si>
    <t>aarmaly@google.com</t>
  </si>
  <si>
    <t>yinxu@google.com</t>
  </si>
  <si>
    <t>sandness@google.com</t>
  </si>
  <si>
    <t>jellefresen@google.com</t>
  </si>
  <si>
    <t>nathch@google.com</t>
  </si>
  <si>
    <t>lalitm@google.com</t>
  </si>
  <si>
    <t>shuoq@google.com</t>
  </si>
  <si>
    <t>huangluke@google.com</t>
  </si>
  <si>
    <t>malkov@google.com</t>
  </si>
  <si>
    <t>qal@google.com</t>
  </si>
  <si>
    <t>leohsu@google.com</t>
  </si>
  <si>
    <t>arabawy@google.com</t>
  </si>
  <si>
    <t>wangroger@google.com</t>
  </si>
  <si>
    <t>ioffe@google.com</t>
  </si>
  <si>
    <t>dariofreni@google.com</t>
  </si>
  <si>
    <t>elsk@google.com</t>
  </si>
  <si>
    <t>refuhoo@google.com</t>
  </si>
  <si>
    <t>ckesting@google.com</t>
  </si>
  <si>
    <t>junyulai@google.com</t>
  </si>
  <si>
    <t>Keiichi.Akao@sony.com</t>
  </si>
  <si>
    <t>jackcwyu@google.com</t>
  </si>
  <si>
    <t>rtmitchell@google.com</t>
  </si>
  <si>
    <t>paulye@google.com</t>
  </si>
  <si>
    <t>bstack@google.com</t>
  </si>
  <si>
    <t>jchowdhary@google.com</t>
  </si>
  <si>
    <t>kwangsudo@google.com</t>
  </si>
  <si>
    <t>scottjonathan@google.com</t>
  </si>
  <si>
    <t>andrewlewis@google.com</t>
  </si>
  <si>
    <t>alanstokes@google.com</t>
  </si>
  <si>
    <t>paulcrowley@google.com</t>
  </si>
  <si>
    <t>howardsoc@google.com</t>
  </si>
  <si>
    <t>wilsonshih@google.com</t>
  </si>
  <si>
    <t>hansson@google.com</t>
  </si>
  <si>
    <t>chiuwinson@google.com</t>
  </si>
  <si>
    <t>yuhany@google.com</t>
  </si>
  <si>
    <t>medina@google.com</t>
  </si>
  <si>
    <t>paulhu@google.com</t>
  </si>
  <si>
    <t>taklee@google.com</t>
  </si>
  <si>
    <t>haydengomes@google.com</t>
  </si>
  <si>
    <t>ralu@google.com</t>
  </si>
  <si>
    <t>prb@google.com</t>
  </si>
  <si>
    <t>nlnu@google.com</t>
  </si>
  <si>
    <t>rprichard@google.com</t>
  </si>
  <si>
    <t>zzyiwei@google.com</t>
  </si>
  <si>
    <t>mincheli@google.com</t>
  </si>
  <si>
    <t>jackalguo@google.com</t>
  </si>
  <si>
    <t>shafik@google.com</t>
  </si>
  <si>
    <t>rkir@google.com</t>
  </si>
  <si>
    <t>mocy@google.com</t>
  </si>
  <si>
    <t>bradenr@google.com</t>
  </si>
  <si>
    <t>atrost@google.com</t>
  </si>
  <si>
    <t>mfritze@google.com</t>
  </si>
  <si>
    <t>mafitzpatrick@google.com</t>
  </si>
  <si>
    <t>dichenzhang@google.com</t>
  </si>
  <si>
    <t>ryanlwlin@google.com</t>
  </si>
  <si>
    <t>joannechung@google.com</t>
  </si>
  <si>
    <t>delphij@google.com</t>
  </si>
  <si>
    <t>arthurhung@google.com</t>
  </si>
  <si>
    <t>gokrishnan@google.com</t>
  </si>
  <si>
    <t>pyli@google.com</t>
  </si>
  <si>
    <t>cdombroski@google.com</t>
  </si>
  <si>
    <t>riddlehsu@google.com</t>
  </si>
  <si>
    <t>xiaotonj@google.com</t>
  </si>
  <si>
    <t>kozynski@google.com</t>
  </si>
  <si>
    <t>jackykao@google.com</t>
  </si>
  <si>
    <t>sashakuznetsov@google.com</t>
  </si>
  <si>
    <t>venkatarama.avadhani@ittiam.com</t>
  </si>
  <si>
    <t>vddang@google.com</t>
  </si>
  <si>
    <t>tymtsai@google.com</t>
  </si>
  <si>
    <t>shalamanov@google.com</t>
  </si>
  <si>
    <t>satayev@google.com</t>
  </si>
  <si>
    <t>alexbuy@google.com</t>
  </si>
  <si>
    <t>wangchun@google.com</t>
  </si>
  <si>
    <t>samiul@google.com</t>
  </si>
  <si>
    <t>karthikmr@google.com</t>
  </si>
  <si>
    <t>danielwbhuang@google.com</t>
  </si>
  <si>
    <t>lbill@google.com</t>
  </si>
  <si>
    <t>huiyu@google.com</t>
  </si>
  <si>
    <t>danielnorman@google.com</t>
  </si>
  <si>
    <t>changfeichen@google.com</t>
  </si>
  <si>
    <t>abkaur@google.com</t>
  </si>
  <si>
    <t>jjoz@google.com</t>
  </si>
  <si>
    <t>kholoudm@google.com</t>
  </si>
  <si>
    <t>wtlee@google.com</t>
  </si>
  <si>
    <t>jamescflin@google.com</t>
  </si>
  <si>
    <t>jiyounha@google.com</t>
  </si>
  <si>
    <t>alexmang@google.com</t>
  </si>
  <si>
    <t>dysu@google.com</t>
  </si>
  <si>
    <t>tantoshchuk@google.com</t>
  </si>
  <si>
    <t>acjohnston@google.com</t>
  </si>
  <si>
    <t>aquilescanta@google.com</t>
  </si>
  <si>
    <t>zezeozue@google.com</t>
  </si>
  <si>
    <t>jminjie@google.com</t>
  </si>
  <si>
    <t>adorokhine@google.com</t>
  </si>
  <si>
    <t>siyuanh@google.com</t>
  </si>
  <si>
    <t>sahanas@google.com</t>
  </si>
  <si>
    <t>brambonne@google.com</t>
  </si>
  <si>
    <t>Claudia_Lee@asus.com</t>
  </si>
  <si>
    <t>schfan@google.com</t>
  </si>
  <si>
    <t>markchien@google.com</t>
  </si>
  <si>
    <t>seanpont@google.com</t>
  </si>
  <si>
    <t>oscarazu@google.com</t>
  </si>
  <si>
    <t>klhyun@google.com</t>
  </si>
  <si>
    <t>ivanlozano@google.com</t>
  </si>
  <si>
    <t>steventhomas@google.com</t>
  </si>
  <si>
    <t>stange@google.com</t>
  </si>
  <si>
    <t>bmgordon@google.com</t>
  </si>
  <si>
    <t>peterliang@google.com</t>
  </si>
  <si>
    <t>bsanjay@motorola.com</t>
  </si>
  <si>
    <t>dbright@google.com</t>
  </si>
  <si>
    <t>kanant@google.com</t>
  </si>
  <si>
    <t>rahulsabnis@google.com</t>
  </si>
  <si>
    <t>srnvs@google.com</t>
  </si>
  <si>
    <t>kiyoungkim@google.com</t>
  </si>
  <si>
    <t>aravind.angadi@ittiam.com</t>
  </si>
  <si>
    <t>digman@google.com</t>
  </si>
  <si>
    <t>haishalom@google.com</t>
  </si>
  <si>
    <t>jianyliu@google.com</t>
  </si>
  <si>
    <t>ram.mohan@ittiam.com</t>
  </si>
  <si>
    <t>huangaaron@google.com</t>
  </si>
  <si>
    <t>pcc@google.com</t>
  </si>
  <si>
    <t>lus@google.com</t>
  </si>
  <si>
    <t>fengcao@google.com</t>
  </si>
  <si>
    <t>rtenneti@google.com</t>
  </si>
  <si>
    <t>arthuri@google.com</t>
  </si>
  <si>
    <t>sarahchin@google.com</t>
  </si>
  <si>
    <t>nchalko@google.com</t>
  </si>
  <si>
    <t>ejz@google.com</t>
  </si>
  <si>
    <t>mitchp@google.com</t>
  </si>
  <si>
    <t>mashnitskaya@google.com</t>
  </si>
  <si>
    <t>evitayan@google.com</t>
  </si>
  <si>
    <t>ahanwu@google.com</t>
  </si>
  <si>
    <t>maennich@google.com</t>
  </si>
  <si>
    <t>lucaslin@google.com</t>
  </si>
  <si>
    <t>tonyychuang@google.com</t>
  </si>
  <si>
    <t>ycchen@google.com</t>
  </si>
  <si>
    <t>dsandler@android.com</t>
  </si>
  <si>
    <t>lpeter@google.com</t>
  </si>
  <si>
    <t>dplotnikov@google.com</t>
  </si>
  <si>
    <t>jakew@google.com</t>
  </si>
  <si>
    <t>shubang@google.com</t>
  </si>
  <si>
    <t>mpietal@google.com</t>
  </si>
  <si>
    <t>sergii.piatakov@globallogic.com</t>
  </si>
  <si>
    <t>jeffreyhuang@google.com</t>
  </si>
  <si>
    <t>rakesh.kumar@ittiam.com</t>
  </si>
  <si>
    <t>rambowang@google.com</t>
  </si>
  <si>
    <t>dorindrimus@google.com</t>
  </si>
  <si>
    <t>jji@google.com</t>
  </si>
  <si>
    <t>reminv@google.com</t>
  </si>
  <si>
    <t>kevinwk_lee@askey.com</t>
  </si>
  <si>
    <t>jchalard@google.com</t>
  </si>
  <si>
    <t>bduddie@google.com</t>
  </si>
  <si>
    <t>tjoines@google.com</t>
  </si>
  <si>
    <t>jasonwshsu@google.com</t>
  </si>
  <si>
    <t>wangzfei@google.com</t>
  </si>
  <si>
    <t>bing.liang@unisoc.com</t>
  </si>
  <si>
    <t>pawin@google.com</t>
  </si>
  <si>
    <t>lesl@google.com</t>
  </si>
  <si>
    <t>charlesccchen@google.com</t>
  </si>
  <si>
    <t>karthikmb@google.com</t>
  </si>
  <si>
    <t>adelva@google.com</t>
  </si>
  <si>
    <t>chockenbury@gmail.com</t>
  </si>
  <si>
    <t>oth@google.com</t>
  </si>
  <si>
    <t>corinac@google.com</t>
  </si>
  <si>
    <t>shraddha.basantwani@ittiam.com</t>
  </si>
  <si>
    <t>chenghsiuchang@google.com</t>
  </si>
  <si>
    <t>louischang@google.com</t>
  </si>
  <si>
    <t>licha@google.com</t>
  </si>
  <si>
    <t>sasindran@google.com</t>
  </si>
  <si>
    <t>alexstetson@google.com</t>
  </si>
  <si>
    <t>gprocida@google.com</t>
  </si>
  <si>
    <t>calhuang@google.com</t>
  </si>
  <si>
    <t>kemiyagi@google.com</t>
  </si>
  <si>
    <t>marvinramin@google.com</t>
  </si>
  <si>
    <t>yabinh@google.com</t>
  </si>
  <si>
    <t>jeffdq@google.com</t>
  </si>
  <si>
    <t>tarundeep.singh@ittiam.com</t>
  </si>
  <si>
    <t>tingtingw@google.com</t>
  </si>
  <si>
    <t>sahok@google.com</t>
  </si>
  <si>
    <t>andreionea@google.com</t>
  </si>
  <si>
    <t>yvonnejiang@google.com</t>
  </si>
  <si>
    <t>harish.mahendrakar@ittiam.com</t>
  </si>
  <si>
    <t>taesu82.lee@samsung.com</t>
  </si>
  <si>
    <t>edward.savage-jones@sony.com</t>
  </si>
  <si>
    <t>sergeynv@google.com</t>
  </si>
  <si>
    <t>dubrovsky@google.com</t>
  </si>
  <si>
    <t>lsandrade@google.com</t>
  </si>
  <si>
    <t>hgchen@google.com</t>
  </si>
  <si>
    <t>hirokisato@google.com</t>
  </si>
  <si>
    <t>jeongik@google.com</t>
  </si>
  <si>
    <t>jimmycmchen@google.com</t>
  </si>
  <si>
    <t>yanzhuyan@google.com</t>
  </si>
  <si>
    <t>tytytyww@google.com</t>
  </si>
  <si>
    <t>baligh@google.com</t>
  </si>
  <si>
    <t>timhypeng@google.com</t>
  </si>
  <si>
    <t>chiujason@google.com</t>
  </si>
  <si>
    <t>kdresner@google.com</t>
  </si>
  <si>
    <t>balsini@google.com</t>
  </si>
  <si>
    <t>sallyyuen@google.com</t>
  </si>
  <si>
    <t>jtomljanovic@google.com</t>
  </si>
  <si>
    <t>singhtejinder@google.com</t>
  </si>
  <si>
    <t>gargmayank@google.com</t>
  </si>
  <si>
    <t>ntmyren@google.com</t>
  </si>
  <si>
    <t>zoeychen@google.com</t>
  </si>
  <si>
    <t>tetsui@google.com</t>
  </si>
  <si>
    <t>lucychang@google.com</t>
  </si>
  <si>
    <t>lzye@google.com</t>
  </si>
  <si>
    <t>yuwu@google.com</t>
  </si>
  <si>
    <t>azurewei@google.com</t>
  </si>
  <si>
    <t>adyabr@google.com</t>
  </si>
  <si>
    <t>amalova@google.com</t>
  </si>
  <si>
    <t>pinyaoting@google.com</t>
  </si>
  <si>
    <t>huiwang@google.com</t>
  </si>
  <si>
    <t>zholnin@google.com</t>
  </si>
  <si>
    <t>yochiang@google.com</t>
  </si>
  <si>
    <t>roywant@google.com</t>
  </si>
  <si>
    <t>rthakohov@google.com</t>
  </si>
  <si>
    <t>rickyiu@google.com</t>
  </si>
  <si>
    <t>jiashenwang@google.com</t>
  </si>
  <si>
    <t>jdanis@google.com</t>
  </si>
  <si>
    <t>guojing@google.com</t>
  </si>
  <si>
    <t>pbdr@google.com</t>
  </si>
  <si>
    <t>qiangjiang@google.com</t>
  </si>
  <si>
    <t>mett@google.com</t>
  </si>
  <si>
    <t>augale@google.com</t>
  </si>
  <si>
    <t>jacobhobbie@google.com</t>
  </si>
  <si>
    <t>eugenis@google.com</t>
  </si>
  <si>
    <t>mhagerott@google.com</t>
  </si>
  <si>
    <t>kyatoh@google.com</t>
  </si>
  <si>
    <t>volnov@google.com</t>
  </si>
  <si>
    <t>tigerhuang@google.com</t>
  </si>
  <si>
    <t>skvadrik@google.com</t>
  </si>
  <si>
    <t>chiachangwang@google.com</t>
  </si>
  <si>
    <t>ericjeong@google.com</t>
  </si>
  <si>
    <t>giridhar.tippabathuni@ittiam.com</t>
  </si>
  <si>
    <t>xunchang@google.com</t>
  </si>
  <si>
    <t>tesfaye@google.com</t>
  </si>
  <si>
    <t>curtislb@google.com</t>
  </si>
  <si>
    <t>kaishi@google.com</t>
  </si>
  <si>
    <t>mingguangxu@google.com</t>
  </si>
  <si>
    <t>maco@google.com</t>
  </si>
  <si>
    <t>chelfi@google.com</t>
  </si>
  <si>
    <t>songferngwang@google.com</t>
  </si>
  <si>
    <t>lcnathalie@google.com</t>
  </si>
  <si>
    <t>anhph@google.com</t>
  </si>
  <si>
    <t>jjoslin@google.com</t>
  </si>
  <si>
    <t>lx17020027@sharp.corp-partner.google.com</t>
  </si>
  <si>
    <t>ronish@google.com</t>
  </si>
  <si>
    <t>alexagr@google.com</t>
  </si>
  <si>
    <t>zemiao@google.com</t>
  </si>
  <si>
    <t>zzhen@google.com</t>
  </si>
  <si>
    <t>hknepshield@google.com</t>
  </si>
  <si>
    <t>georgekgchang@google.com</t>
  </si>
  <si>
    <t>jaysullivan@google.com</t>
  </si>
  <si>
    <t>kideckel@google.com</t>
  </si>
  <si>
    <t>robhor@google.com</t>
  </si>
  <si>
    <t>biswarupp@google.com</t>
  </si>
  <si>
    <t>richo@google.com</t>
  </si>
  <si>
    <t>connoro@google.com</t>
  </si>
  <si>
    <t>tomnatan@google.com</t>
  </si>
  <si>
    <t>inseob@google.com</t>
  </si>
  <si>
    <t>bint@google.com</t>
  </si>
  <si>
    <t>kritidang@google.com</t>
  </si>
  <si>
    <t>sunilravi@google.com</t>
  </si>
  <si>
    <t>vishnun@google.com</t>
  </si>
  <si>
    <t>vmarko@google.com</t>
  </si>
  <si>
    <t>saludlemus@google.com</t>
  </si>
  <si>
    <t>prabirmsp@google.com</t>
  </si>
  <si>
    <t>ngeoffray@google.com</t>
  </si>
  <si>
    <t>chrisweir@google.com</t>
  </si>
  <si>
    <t>sethmo@google.com</t>
  </si>
  <si>
    <t>yilunliu@google.com</t>
  </si>
  <si>
    <t>wengsu@google.com</t>
  </si>
  <si>
    <t>ilkos@google.com</t>
  </si>
  <si>
    <t>olilan@google.com</t>
  </si>
  <si>
    <t>paulthomson@google.com</t>
  </si>
  <si>
    <t>phobbs@google.com</t>
  </si>
  <si>
    <t>android-build-coastguard-worker@google.com</t>
  </si>
  <si>
    <t>tylertrephan@google.com</t>
  </si>
  <si>
    <t>cassiewang@google.com</t>
  </si>
  <si>
    <t>ayushsha@google.com</t>
  </si>
  <si>
    <t>ramindani@google.com</t>
  </si>
  <si>
    <t>armenk@google.com</t>
  </si>
  <si>
    <t>jahdiel@google.com</t>
  </si>
  <si>
    <t>irisykyang@google.com</t>
  </si>
  <si>
    <t>nickchameyev@google.com</t>
  </si>
  <si>
    <t>kaiqw@google.com</t>
  </si>
  <si>
    <t>eliselliott@google.com</t>
  </si>
  <si>
    <t>yurilin@google.com</t>
  </si>
  <si>
    <t>molech@google.com</t>
  </si>
  <si>
    <t>shivamagrawal@google.com</t>
  </si>
  <si>
    <t>naveenkumar.p@ittiam.com</t>
  </si>
  <si>
    <t>jakmcbane@google.com</t>
  </si>
  <si>
    <t>solanes@google.com</t>
  </si>
  <si>
    <t>chapin@google.com</t>
  </si>
  <si>
    <t>lakshmana@google.com</t>
  </si>
  <si>
    <t>jacknudelman@google.com</t>
  </si>
  <si>
    <t>jamesoleary@google.com</t>
  </si>
  <si>
    <t>hazems@google.com</t>
  </si>
  <si>
    <t>jaytwang@google.com</t>
  </si>
  <si>
    <t>terrycrhuang@google.com</t>
  </si>
  <si>
    <t>snild@sony.com</t>
  </si>
  <si>
    <t>yukl@google.com</t>
  </si>
  <si>
    <t>xyj@google.com</t>
  </si>
  <si>
    <t>hoax@google.com</t>
  </si>
  <si>
    <t>lesliewatkins@google.com</t>
  </si>
  <si>
    <t>adsule@google.com</t>
  </si>
  <si>
    <t>slotus@google.com</t>
  </si>
  <si>
    <t>mia.mansson@volvocars.com</t>
  </si>
  <si>
    <t>krocard@google.com</t>
  </si>
  <si>
    <t>sandeepjs@google.com</t>
  </si>
  <si>
    <t>jimsun@google.com</t>
  </si>
  <si>
    <t>prohr@google.com</t>
  </si>
  <si>
    <t>jonesriley@google.com</t>
  </si>
  <si>
    <t>havrikov@google.com</t>
  </si>
  <si>
    <t>xilei@google.com</t>
  </si>
  <si>
    <t>nicomazz@google.com</t>
  </si>
  <si>
    <t>dubeyshubham@google.com</t>
  </si>
  <si>
    <t>jgkim@google.com</t>
  </si>
  <si>
    <t>masonwang@google.com</t>
  </si>
  <si>
    <t>neharikajali@google.com</t>
  </si>
  <si>
    <t>dagarhimanshu@google.com</t>
  </si>
  <si>
    <t>tvannet@google.com</t>
  </si>
  <si>
    <t>sallyqi@google.com</t>
  </si>
  <si>
    <t>lifr@google.com</t>
  </si>
  <si>
    <t>dipankarb@google.com</t>
  </si>
  <si>
    <t>atsjenk@google.com</t>
  </si>
  <si>
    <t>topjohnwu@google.com</t>
  </si>
  <si>
    <t>tyk@google.com</t>
  </si>
  <si>
    <t>caen@google.com</t>
  </si>
  <si>
    <t>yixiaoluo@google.com</t>
  </si>
  <si>
    <t>sailendrabathi@google.com</t>
  </si>
  <si>
    <t>shannonchen@google.com</t>
  </si>
  <si>
    <t>wescande@google.com</t>
  </si>
  <si>
    <t>jingjiangli@google.com</t>
  </si>
  <si>
    <t>danieljkim@google.com</t>
  </si>
  <si>
    <t>lpy@google.com</t>
  </si>
  <si>
    <t>xiaotinghong@google.com</t>
  </si>
  <si>
    <t>jakub.tyszkowski@codecoup.pl</t>
  </si>
  <si>
    <t>ruiqiu@google.com</t>
  </si>
  <si>
    <t>xwxw@google.com</t>
  </si>
  <si>
    <t>rnlee@google.com</t>
  </si>
  <si>
    <t>fangqiu@google.com</t>
  </si>
  <si>
    <t>firewall@google.com</t>
  </si>
  <si>
    <t>ycheo@google.com</t>
  </si>
  <si>
    <t>android-build-cherrypicker-worker@google.com</t>
  </si>
  <si>
    <t>plhuang@google.com</t>
  </si>
  <si>
    <t>jimblackler@google.com</t>
  </si>
  <si>
    <t>patmanning@google.com</t>
  </si>
  <si>
    <t>hubers@google.com</t>
  </si>
  <si>
    <t>tjstuart@google.com</t>
  </si>
  <si>
    <t>sattiraju@google.com</t>
  </si>
  <si>
    <t>srazdan@google.com</t>
  </si>
  <si>
    <t>shombert@google.com</t>
  </si>
  <si>
    <t>lihongyu@google.com</t>
  </si>
  <si>
    <t>jiakaiz@google.com</t>
  </si>
  <si>
    <t>dasol@google.com</t>
  </si>
  <si>
    <t>evaschen@google.com</t>
  </si>
  <si>
    <t>gbiren@google.com</t>
  </si>
  <si>
    <t>eruffieux@google.com</t>
  </si>
  <si>
    <t>arunjohnson@google.com</t>
  </si>
  <si>
    <t>jdduke@google.com</t>
  </si>
  <si>
    <t>chienyuanhuang@google.com</t>
  </si>
  <si>
    <t>yanha@google.com</t>
  </si>
  <si>
    <t>ahujapalash@google.com</t>
  </si>
  <si>
    <t>yuanjiahsu@google.com</t>
  </si>
  <si>
    <t>corosenberger@google.com</t>
  </si>
  <si>
    <t>scottieb@google.com</t>
  </si>
  <si>
    <t>rmacgregor@google.com</t>
  </si>
  <si>
    <t>ankitavyas@google.com</t>
  </si>
  <si>
    <t>blindahl@google.com</t>
  </si>
  <si>
    <t>rlukasz@google.com</t>
  </si>
  <si>
    <t>salsavage@google.com</t>
  </si>
  <si>
    <t>ayanaadylova@google.com</t>
  </si>
  <si>
    <t>brycelee@google.com</t>
  </si>
  <si>
    <t>borgera@google.com</t>
  </si>
  <si>
    <t>sbowden@google.com</t>
  </si>
  <si>
    <t>manisha.jajoo@ittiam.com</t>
  </si>
  <si>
    <t>Shivaansh.Agrawal@ittiam.com</t>
  </si>
  <si>
    <t>saumyap@google.com</t>
  </si>
  <si>
    <t>chenhaosjtuacm@google.com</t>
  </si>
  <si>
    <t>vaniadesmonda@google.com</t>
  </si>
  <si>
    <t>shivaansh.agrawal@ittiam.com</t>
  </si>
  <si>
    <t>nishact@google.com</t>
  </si>
  <si>
    <t>gracemc@google.com</t>
  </si>
  <si>
    <t>muntsinger@google.com</t>
  </si>
  <si>
    <t>markpun@google.com</t>
  </si>
  <si>
    <t>amallampati@google.com</t>
  </si>
  <si>
    <t>ebiggers@google.com</t>
  </si>
  <si>
    <t>yifanchen@microsoft.com</t>
  </si>
  <si>
    <t>roosa@google.com</t>
  </si>
  <si>
    <t>alexsav@google.com</t>
  </si>
  <si>
    <t>hyosunkim@google.com</t>
  </si>
  <si>
    <t>zyy@google.com</t>
  </si>
  <si>
    <t>mingaleev@google.com</t>
  </si>
  <si>
    <t>ddiproietto@google.com</t>
  </si>
  <si>
    <t>shaoweishen@google.com</t>
  </si>
  <si>
    <t>sanjanasunil@google.com</t>
  </si>
  <si>
    <t>sandrom@google.com</t>
  </si>
  <si>
    <t>priyanksingh@google.com</t>
  </si>
  <si>
    <t>shanyu@google.com</t>
  </si>
  <si>
    <t>mcarli@google.com</t>
  </si>
  <si>
    <t>xiangw@google.com</t>
  </si>
  <si>
    <t>abhijoy@google.com</t>
  </si>
  <si>
    <t>ivanbuper@google.com</t>
  </si>
  <si>
    <t>karthikmahesh@google.com</t>
  </si>
  <si>
    <t>patilprashant@google.com</t>
  </si>
  <si>
    <t>jgaillard@google.com</t>
  </si>
  <si>
    <t>steventerrell@google.com</t>
  </si>
  <si>
    <t>bharath@fairphone.com</t>
  </si>
  <si>
    <t>suyog.pawar@ittiam.com</t>
  </si>
  <si>
    <t>huiwu@google.com</t>
  </si>
  <si>
    <t>haoranzhang@google.com</t>
  </si>
  <si>
    <t>tweek@google.com</t>
  </si>
  <si>
    <t>ejyzhang@google.com</t>
  </si>
  <si>
    <t>abhay.chaudhari@ittiam.com</t>
  </si>
  <si>
    <t>colefaust@google.com</t>
  </si>
  <si>
    <t>justinkchung@google.com</t>
  </si>
  <si>
    <t>srujan.vandrangi@ittiam.com</t>
  </si>
  <si>
    <t>angelala@google.com</t>
  </si>
  <si>
    <t>muhammad.raza@randstadcontractors.co.uk</t>
  </si>
  <si>
    <t>mast@google.com</t>
  </si>
  <si>
    <t>alisonchih@google.com</t>
  </si>
  <si>
    <t>tidd@google.com</t>
  </si>
  <si>
    <t>shaochuan@google.com</t>
  </si>
  <si>
    <t>auto import from //branches/cupcake_rel/...@140373</t>
  </si>
  <si>
    <t>Automated import from //branches/cupcake/...@142888,142888</t>
  </si>
  <si>
    <t>AI 143176: am: CL 142888 CTS annotation update
  update wrong TestLevel values
  update tests that were still using the old annotations
  minor fixes to eliminate eclipse warnings
  style fixes
  Original author: sus
  Merged from: //branches/cupcake/...
Automated import of CL 143176</t>
  </si>
  <si>
    <t>AI 143326: am: CL 143176 am: CL 142888 CTS annotation update
  update wrong TestLevel values
  update tests that were still using the old annotations
  minor fixes to eliminate eclipse warnings
  style fixes
  Original author: sus
  Merged from: //branches/cupcake/...
  Original author: android-build
  Merged from: //branches/donutburger/...
Automated import of CL 143326</t>
  </si>
  <si>
    <t>AI 144302: CTS: Improve device restart behaviour (ADB workaround)
  - Instead of polling the log and searching for a string that indicates that the boot is complete, query the dev.bootcomplete property.
  - Use the ddmlib to poll the device boot status instead of a system call to adb, because of a suspected race condition when using both simultaneously.
  - If the device fails to register after a restart, kill the adb server and the ddmlib adb connection again.
  - Minor cleanups in comments and method names.
Automated import of CL 144302</t>
  </si>
  <si>
    <t>AI 144303: am: CL 144302 CTS: Improve device restart behaviour (ADB workaround)
  - Instead of polling the log and searching for a string that indicates that the boot is complete, query the dev.bootcomplete property.
  - Use the ddmlib to poll the device boot status instead of a system call to adb, because of a suspected race condition when using both simultaneously.
  - If the device fails to register after a restart, kill the adb server and the ddmlib adb connection again.
  - Minor cleanups in comments and method names.
  Original author: phillipd
  Merged from: //branches/cupcake/...
Automated import of CL 144303</t>
  </si>
  <si>
    <t>AI 144404: am: CL 144303 am: CL 144302 CTS: Improve device restart behaviour (ADB workaround)
  - Instead of polling the log and searching for a string that indicates that the boot is complete, query the dev.bootcomplete property.
  - Use the ddmlib to poll the device boot status instead of a system call to adb, because of a suspected race condition when using both simultaneously.
  - If the device fails to register after a restart, kill the adb server and the ddmlib adb connection again.
  - Minor cleanups in comments and method names.
  Original author: phillipd
  Merged from: //branches/cupcake/...
  Original author: android-build
Automated import of CL 144404</t>
  </si>
  <si>
    <t>AI 144651: am: CL 144650 readability review for napier.
  Original author: napier
  Merged from: //branches/cupcake/...
Automated import of CL 144651</t>
  </si>
  <si>
    <t>AI 144650: readability review for napier.
Automated import of CL 144650</t>
  </si>
  <si>
    <t>AI 144654: am: CL 144651 am: CL 144650 readability review for napier.
  Original author: napier
  Merged from: //branches/cupcake/...
  Original author: android-build
Automated import of CL 144654</t>
  </si>
  <si>
    <t>AI 144754: CTS: Host console bug fixes
  - Fixes occasional problem with results being associated with the wrong test (off by one)
  - No longer adds multiple device info sections to the result when the device is restarted during a test run
  BUG=1741186
Automated import of CL 144754</t>
  </si>
  <si>
    <t>AI 144755: am: CL 144754 CTS: Host console bug fixes
  - Fixes occasional problem with results being associated with the wrong test (off by one)
  - No longer adds multiple device info sections to the result when the device is restarted during a test run
  Original author: sus
  Merged from: //branches/cupcake/...
Automated import of CL 144755</t>
  </si>
  <si>
    <t>AI 144757: am: CL 144755 am: CL 144754 CTS: Host console bug fixes
  - Fixes occasional problem with results being associated with the wrong test (off by one)
  - No longer adds multiple device info sections to the result when the device is restarted during a test run
  Original author: sus
  Merged from: //branches/cupcake/...
  Original author: android-build
Automated import of CL 144757</t>
  </si>
  <si>
    <t>AI 145248: CTS: add intent test cases for action CALL and DIAL, wrapped the lines which are longer than 100, revise annotations.
  BUG=1552866
Automated import of CL 145248</t>
  </si>
  <si>
    <t>AI 145254: CTS: add Android permissions test cases.
Automated import of CL 145254</t>
  </si>
  <si>
    <t>AI 145525: am: CL 145248 CTS: add intent test cases for action CALL and DIAL, wrapped the lines which are longer than 100, revise annotations.
  Original author: sus
  Merged from: //branches/cupcake/...
Automated import of CL 145525</t>
  </si>
  <si>
    <t>AI 145533: am: CL 145525 am: CL 145248 CTS: add intent test cases for action CALL and DIAL, wrapped the lines which are longer than 100, revise annotations.
  Original author: sus
  Merged from: //branches/cupcake/...
  Original author: android-build
Automated import of CL 145533</t>
  </si>
  <si>
    <t>AI 145601: am: CL 145254 CTS: add Android permissions test cases.
  Original author: sus
  Merged from: //branches/cupcake/...
Automated import of CL 145601</t>
  </si>
  <si>
    <t>AI 145638: am: CL 145601 am: CL 145254 CTS: add Android permissions test cases.
  Original author: sus
  Merged from: //branches/cupcake/...
  Original author: android-build
Automated import of CL 145638</t>
  </si>
  <si>
    <t>AI 145675: CTS: fixed the fail bug in android.net.cts.NetworkInfoTest
Automated import of CL 145675</t>
  </si>
  <si>
    <t>AI 145881: Adding on to CL 145383, unhiding some additional methods and constants
  that ought to be exposed. Hid and deprecated the single-arg public
  constructor for NetworkInfo, and modified a CTS test that was testing it.
  Ran the android.net test package to make sure it still works.
  BUG=1779439
Automated import of CL 145881</t>
  </si>
  <si>
    <t>AI 145956: am: CL 145675 CTS: fixed the fail bug in android.net.cts.NetworkInfoTest
  Original author: sus
  Merged from: //branches/cupcake/...
Automated import of CL 145956</t>
  </si>
  <si>
    <t>AI 145980: am: CL 145881 Adding on to CL 145383, unhiding some additional methods and constants
  that ought to be exposed. Hid and deprecated the single-arg public
  constructor for NetworkInfo, and modified a CTS test that was testing it.
  Ran the android.net test package to make sure it still works.
  Original author: ers
  Merged from: //branches/cupcake/...
Automated import of CL 145980</t>
  </si>
  <si>
    <t>AI 146171: am: CL 145956 am: CL 145675 CTS: fixed the fail bug in android.net.cts.NetworkInfoTest
  Original author: sus
  Merged from: //branches/cupcake/...
  Original author: android-build
Automated import of CL 146171</t>
  </si>
  <si>
    <t>AI 146222: Manual merge of 145980 from donutburger =&gt; master.
Automated import of CL 146222</t>
  </si>
  <si>
    <t>AI 146764: Added Reference App Testing Support to CTS host.
Automated import of CL 146764</t>
  </si>
  <si>
    <t>AI 146766: am: CL 146764 Added Reference App Testing Support to CTS host.
  Original author: napier
  Merged from: //branches/cupcake/...
Automated import of CL 146766</t>
  </si>
  <si>
    <t>AI 146835: am: CL 146766 am: CL 146764 Added Reference App Testing Support to CTS host.
  Original author: napier
  Merged from: //branches/cupcake/...
  Original author: android-build
Automated import of CL 146835</t>
  </si>
  <si>
    <t>AI 146876: CTS: add test cases for text.TextUtils.
Automated import of CL 146876</t>
  </si>
  <si>
    <t>AI 146877: am: CL 146876 CTS: add test cases for text.TextUtils.
  Original author: sus
  Merged from: //branches/cupcake/...
Automated import of CL 146877</t>
  </si>
  <si>
    <t>AI 146878: am: CL 146877 am: CL 146876 CTS: add test cases for text.TextUtils.
  Original author: sus
  Merged from: //branches/cupcake/...
  Original author: android-build
Automated import of CL 146878</t>
  </si>
  <si>
    <t>AI 147606: CTS: fix failed problem in android.graphics.Paint
Automated import of CL 147606</t>
  </si>
  <si>
    <t>AI 147652: CTS: fixed failed problem in android.app.cts.DatePickerDialogTest
Automated import of CL 147652</t>
  </si>
  <si>
    <t>AI 147957: CTS: Add configuration variable to set max size for a package to be run in batch mode
  Currently, the value defaults to Integer.MAX_VALUE, meaning that batch mode
  will be used for all packages. This can be changed in host_config.xml.
  Note that disabling batch mode for large packages will increase test
  runtime significantly. Disabling batch mode for large packages may improve
  stability of the CTS framework.
  BUG=1816793
Automated import of CL 147957</t>
  </si>
  <si>
    <t>decouple SyncAdapter from ContentProvider</t>
  </si>
  <si>
    <t>AI 148053: CTS: fixed failed testcases
Automated import of CL 148053</t>
  </si>
  <si>
    <t>AI 148056: CTS: refactor failed cases in package android.content.pm.
Automated import of CL 148056</t>
  </si>
  <si>
    <t>AI 148122: CTS: fix failed cases in AbsSeekBarTest, GridViewTest, ListViewTest and PopupWindowTest.
  Cloned from CL 148079 by 'g4 patch'.
  Original change by sus@sus_osx on 2009/04/30 02:34:15.
Automated import of CL 148122</t>
  </si>
  <si>
    <t>AI 148140: CTS: fixed failed cases in LocationManagerTest.
Automated import of CL 148140</t>
  </si>
  <si>
    <t>AI 148171: CTS: Fix failing test cases in Android test plan
Automated import of CL 148171</t>
  </si>
  <si>
    <t>AI 148689: CTS Exclude flaky test from android.graphics.cts
Automated import of CL 148689</t>
  </si>
  <si>
    <t>Remove tests for now hidden install API.</t>
  </si>
  <si>
    <t>AI 148879: Update SignatureTest with many fixes.
  - Update SignatureTest to build against SDK
  - Provides better error messages on failures
  - Fixes issue with final methods in final classes (http://b/1839589)
  - Fixes issue with strict checking on native modifier (http://b/1839558)
  - Fixes issue with removal of abstract modifier on a class (http://b/1839622)
  BUG=1839558,1839622,1839589
Automated import of CL 148879</t>
  </si>
  <si>
    <t>Integrate unsubmitted cupcake change 149421:
	CTS: add missed test cases for package android.widget</t>
  </si>
  <si>
    <t>Add test size annotations to cts permission tests.
This is necessary to run the tests in the continous system.
Also fixed type in testKeyguardReenabled method.</t>
  </si>
  <si>
    <t>Integrate unsubmitted cupcake change 147319:
	CTS: add new cases and clean up code in android.os package</t>
  </si>
  <si>
    <t>Integrate unsubmitted cupcake change 147342:
	CTS: clean up code in android.net package</t>
  </si>
  <si>
    <t>Integrate unsubmitted cupcake change 147343:
	CTS: clean up code in android.app package
    Fixes bug 1912974 ActivityManagerTest.testGetRunningServices.</t>
  </si>
  <si>
    <t>Integrate unsubmitted cupcake change 148419:
	CTS: cleanup code and add missing testcase in content package</t>
  </si>
  <si>
    <t>Cleanup CTS provider permission tests.
Remove tests for providers that are not part of the public API (Calendar, Sync, etc),
and add tests for the public providers not covered.
Change implementation of the tests to use the new AndroidTestCase helper methods.
Split noReadWritePermissionTest into ProviderPermissionTest and NoSdCardWritePermissionTest.</t>
  </si>
  <si>
    <t>Add cts permission test for receiving an SMS, and move secure settings permisson test.
The receive sms and secure settings test are specialized cases, which require the test to have
some permissions to perform. Thus this CL creates a new test apk to host these tests in.</t>
  </si>
  <si>
    <t>Integrate unsubmitted cupcake change 147350:
	CTS: clean up code in android.graphics package
    Completely overhauled Interpolator test, which did not actually test
    anything in the previous version.</t>
  </si>
  <si>
    <t>Remove embedded junit src from CTS host.
Instead, CTS will now include junit.jar build from external/junit.</t>
  </si>
  <si>
    <t>Integrate unsubmitted cupcake change 149409:
	CTS: added test case for android.location.LocationManager#removeTestProvider
    Remove or fix fragile tests (issue 1840782).</t>
  </si>
  <si>
    <t>Integrate unsubmitted cupcake change 149417:
	CTS: added missed test cases for package android.graphics.drawable</t>
  </si>
  <si>
    <t>Fix issue #1936929: android.os.cts.BundleTest:testDescribeContents is failing on donut
Also some other misc cleanup I found while there.</t>
  </si>
  <si>
    <t>Fix issue 1795088	Improve audio routing code
Initial commit for review.</t>
  </si>
  <si>
    <t>Cts content tests cleanup.
Remove tests for hidden APIs SyncResult, SyncContext and SyncStats.
Fix IntentTest.testFillIn, and rename the IntentTest constants.</t>
  </si>
  <si>
    <t>Refactor/copy existing telephony tests to add CTS tests for the new donut telephony API.
BUG 2048364</t>
  </si>
  <si>
    <t>CTS: Remove references to internal API from ZoomControlsTest.
BUG 1915035
Change-Id: Ia947f7c675e3672d9b20b565d5675f4fa6828506</t>
  </si>
  <si>
    <t>CTS: Add initial simple unit test for GestureStore.
BUG 2048364
Change-Id: Iee096d5ee8feec3e32e18efd1587281304374654</t>
  </si>
  <si>
    <t>Add CTS test for GestureLibrary.
Since GestureLibrary and GestureStore have similiar APIs, refactor
GestureStoreTest to extract common test methods in a shared class
reusable by GestureLibraryTest.</t>
  </si>
  <si>
    <t>CTS: fix some tests with internal references.
BUGS 2087453 1925351</t>
  </si>
  <si>
    <t>Add and modify tests related to PhoneNumberUtils#compare()
Internal issue number: 1892808</t>
  </si>
  <si>
    <t>Fix CTS dpi tests.
Change dpi display check to use current api level rather than donut.
Refactor source packages to android.dpi namespace for consistency.</t>
  </si>
  <si>
    <t>Fix FileAccessPermissionTest.java.
Adjust checks for listFiles() on protected dirs to only allow null or empty
list as valid values.
Also rename the class to correct typo.
Bug 2134266</t>
  </si>
  <si>
    <t>CTS CookieTest cleanup.
Add wait to handle asynchronous removeAllCookies call.
Change to use order-independent assertion of cookie contents.
Bug 2249746
Change-Id: I7df6caa835eb5b79ae3bf96601bf949aec4e39df</t>
  </si>
  <si>
    <t>Adjust CTS test PackageManagerTest#testOpPackageToPreferred for new no-op behavior.
Bug 2296457
Change-Id: Iaee26e61e1d679388634b3c1bb58c7a4963d1f4f</t>
  </si>
  <si>
    <t>Attempt to fix ContextWrapperTest.
Make test independent of the number of existing files present in private dir.
Remove unnecessary and destructive 'delete all files' logic.
Bug 2323047
Change-Id: I194e3179c5d44ced5a02a193d233a3e3c293fc85</t>
  </si>
  <si>
    <t>Remove duplicate and brittle ResourcesTests.
Bug 2135117
Change-Id: I45a73c9686039bea7218d6b6e61fedb094f37225</t>
  </si>
  <si>
    <t>EventLogTags is now gutted, remove its CTS test.
(Will add EventLogTest in a separate change.)</t>
  </si>
  <si>
    <t>Remove onTooManyRedirects test as the method is deprecated.</t>
  </si>
  <si>
    <t>Remove KeyEventTest testGetMatch2.
Test was dependent on a specific key layout map, and was of limited value.
Bug 1950790
Change-Id: I31b1208494772c68c53a78ebe7ec9675c1829182</t>
  </si>
  <si>
    <t>Second step to CTS account manager
- rework the tests strategy with Fred feedback. Now we test passing parameters and giving back results.
- some code refactoring for improving reusability
- add tests for addAccountExplicitly() and removeAccount()
- add test for getAccounts() and getAccountsByType()
- add test for getAuthenticatorTypes()
- take care of Fred second review (except the one with the callback parameter):
	- final for all constants
	- use of mX for member definition
	- improve "if" spacing
	- eliminate reference of the MockAuthenticator into the MockAuthenticatorService
- add test for addAccount() with a callback
- add test for removeAccount() with a callback
- fix non cleaned state for testGetAccountsAndGetAccountsByType()
- improve readability
- add test for setPassword() and getPassword() and clearPassword()
- add test for getUserData() and setUserData()
- add test for getAccountsByTypeAndFeatures()
- suppress non needed interface for constants and migrate them to the test itself
- fix typo
- rework test for getAccountsByTypeAndFeatures()
- fix typo
- add test for setAuthToken() and peekAuthToken() and invalidateAuthToken()
- add test for blockingGetAuthToken()
- improve addAccount() test with checking Options
- add more tests for both getAuthToken() signatures
- add test for confirmCredentials()
- add test for updateCredential()
- add test for editProperties()
- add test for addOnAccountsUpdatedListener()
- add test for removeOnAccountsUpdatedListener()
- code refactoring for suppressing redundencies
- fix missing parenthesis
- take care of Brett second review:
	- use of @Override when needed
	- do not catch exception so that the JUnit runner can deal with them (except for callback as we
	cannot change the API
	- add Javadoc for public methods
	- HAVE NOT changed package name to "com.android.cts.accounts" as Brett and I could not find why the
	tests where blocking
- suppress non needed dumpsys-packages.txt
- add super.setUp() and super.tearDown() calls
- suppressing trailing whitespaces
- take care of Fred second review:
	- renamed LATCH_TIMEOUT to LATCH_TIMEOUT_MS
	- renamed validateAccount() to validateAccountAndAuthTokenType()
	- do not rethrow exceptions when not needed (because taken care by the test framework)
	- confirmed that some retrieved accounts are correct
	- no need to confirm that the callback is called because of the latch itself
- suppress trailing whitespaces again
- fix bug #2342468 (android.accounts.cts.AccountManagerTest#testAddAndRemoveAccount fails if another account is present)
- refactor tests to take care about handlers
- add test for UpdateCredentials() with callback and handler
- take care of Fred third review
	- method renaming
	- code formatting
	- use of array instead of list
	- the comment was correct.
	- add one missing assert
	- suppressed duplicate comment
- fix label and change account authenticator icon for using the Android standard one
Change-Id: I84661fdc108943693947f807dd3f97837cac2a0f</t>
  </si>
  <si>
    <t>fix cts-tests broken by my CL 36706
removed a public API SqliteDatabase.setMaxCacheSqlSize.
this broke some cts tests. fixing them in this CL.</t>
  </si>
  <si>
    <t>Fix synchronization in camera test.</t>
  </si>
  <si>
    <t>- fix a test that is now broken after a change to filter the
  authtoken from the result of any call but getAuthToken
- made the tests distinguish between the different types of
  options
- test the authtoken result in a couple places where it wasn't
  tested before</t>
  </si>
  <si>
    <t>Fix failing and disabled SearchManager CTS tests
The tests were really messy, and used fixed timeouts and
Thread.sleep(). Rewrote them to use a Handler to postpone checks
until after the search dialog has had time to show / hide.
This fixes the failing testSetOnCancelListener test,
and reinstates the disabled testStopSearch test.
Fixes http://b/issue?id=2483047
Change-Id: If2b6d6645f6380fefffa4ac018dfb773d012a0b1</t>
  </si>
  <si>
    <t>Add cts test for zoom.
bug:2458926
Change-Id: I37d414ef4f1caadd3e4799dca1bcb022a31b7d8f</t>
  </si>
  <si>
    <t>Clean Up ViewStubTest
Remove some more null constructor checks to get rid of @ToBeFixed.
Get rid of testDispatchDraw which doesn't test anything. Get rid
of another @KnownFailure as it is now fixed.
Change-Id: Ic3b6465fee970c44078db0a32e9db0830c8f78d0</t>
  </si>
  <si>
    <t>Delete RatingBarTest OnMeasureSpec Test
Bug 2467320
The test checked that the rating bar was a certain width and height,
which caused problems on some LDPI devices. Just delete the test,
because the width and height is something that depends on what
images the device uses for ratings.
Change-Id: Ida3f9598f3438c3fadef212122712a7993bbba2e</t>
  </si>
  <si>
    <t>Delete Gallery testDispatchSetSelected
Bug 2558585
Delete testDispatchSetSelected since it is testing a no-op method.
Change-Id: I1fa72f5b027c36ba292f6397a6d29851ba269ad2</t>
  </si>
  <si>
    <t>Delete AutoCompleteTextViewTest testOnWindowFocusChanged
Bug 2558459
onWindowFocusedChanged does not invoke the validator so remove the
test. Another test case in this test covers performing validation
when the view loses focus.
Change-Id: Ia93f9122391c26f6e8deaab22cb5d4551b6572f5</t>
  </si>
  <si>
    <t>Fix PopupWindowTest testUpdateDimension...
Bug 2558723
The test was calling PopupWindow.update(4, 6, -1, -1) and expected
it not change the location because width and height are being set
to -1. Fix the test to make sure the location is actually changed
as described in the JavaDoc.
Change-Id: Ibcb5063ffc88d0425e6c26cabd3d9b76a0c40035</t>
  </si>
  <si>
    <t>Update the code due to API change.
bug:2553570
Change-Id: I139797c4233827fcc84103f9bf463ecd0263bc65</t>
  </si>
  <si>
    <t>Remove internal.R References from AlertDialogBuilderTest
Use methods on AlertDialog to get the buttons and the list view.
Unfortunately delete the tests that use internal R resources that
can't be replaced with any public calls like to get the resulting
dialog's title...
Change-Id: I98dfe298202802b162036a1ae6170efeff9e325f</t>
  </si>
  <si>
    <t>Adjust PackageManagerTest for the SET_PREFERRED_APPLICATIONS permission changes
and associated cleanup.
Break up test methods into finer grain tests.
Remove deprecated TestTarget annotations from modified methods.
Add checks to verify SecurityExceptions are thrown where appropriate.
Bug 2541351
Change-Id: Ifcfdce1b7e7ccd90e82b20bd9b67e318feeb6427</t>
  </si>
  <si>
    <t>Revert "Merge "New tests for the new MipmapDrawable class.""
This reverts commit c7490c80290f3b01754963a818af4d618001a9f8, reversing
changes made to 31820be43c3003b0ad32b5f7e83b1dcff87ffd0e.
To fix the build</t>
  </si>
  <si>
    <t>Add more CTS tests for Camera.autoFocus.
bug:2573802
Change-Id: Ia73309e3c326af157a0618d33713481293e58060</t>
  </si>
  <si>
    <t>The new test done not work on all devices yet.
Bug: 2597554
Change-Id: Ibc8c99a4de417a4f86df03727a3c22da6844554a</t>
  </si>
  <si>
    <t>Remove tests that cover private APIs.
Change-Id: I47bdf75405610c28335df40ed3144dca8f80c397</t>
  </si>
  <si>
    <t>Further Activity Lifecycle Testing Improvements
Bug 2639189 2663328 2189784
The prior change ran the lifecycle checking activity and if it
failed to match ran the activity again with a different expected
lifecycle. However, running the activity again could cause the
activity to follow the original lifecycle that failed. Thus,
follow the expected lifecycle as long as possible and then switch
to other possible lifecycles when running into lifecycle mismatches.
Also do not check the lifecycle for onStop or onDestroy methods,
because those are not guaranteed to be executed at all. Delete tests
that checked onStop and onDestroy being called, because they will
probably hang in the future.
Change-Id: I6f721d70861cd9b22523b8aa9b883e7336daab22</t>
  </si>
  <si>
    <t>Test all camera preview sizes.
Change-Id: I9852fdb55b9b9ce9236c1793461b58bcb73eabec</t>
  </si>
  <si>
    <t>Remove permission tests for *PreferredPackages methods.
These methods are now no-ops. Bug 2750299
Change-Id: Ic8fb034a92f94bee05e6f3e67d8c2aabbd29723c</t>
  </si>
  <si>
    <t>assert appropriate exception and fix spelling errors
in this change I9a33410617ab6a00147c3ab2010ed31251983329
setConenctionPoolSize() is changed to throw IllegalArgumentException
in one case (used to throw IllegalStateException).
this CL changes the test accordingly
Change-Id: I32c30f7d05e5bec7c6b2776ce9a80c8be61d856f</t>
  </si>
  <si>
    <t>Follow API changes.
Change-Id: I8944bf72642ad7de6a2f5b28dea3579b0d2b400a</t>
  </si>
  <si>
    <t>fix a couple of CTS database tests
removed one useless and intermitently failing unittest from SQLiteCursorTest
bandaid on CursorWrapperTest.
Change-Id: I10883e6f8dac80d35bbf3190da4cad037ab730fc</t>
  </si>
  <si>
    <t>fix cts tests after modifying the way SQLiteStatement works
2 changes caused this test to be modified:
1. SQliteProgram.getUniqueId() is deprecated and is NOT to be used any longer
2. previously, SQLiteStatement used to compile the sql statement when
the SQLiteStatement object was created. now, it is compiled only
when it is about to be executed.
Change-Id: I00a31602e3241d5e7b25cefc23c4e2a270fa7c9a</t>
  </si>
  <si>
    <t>Removing More PackageManager Permission Tests
Bug 2750299
There was another PackageManagerTest in addition to the previously
fixed PackageManagerRequiringPermissionsTest that was testing that
a SecurityException should be thrown. However, it is not expected
to throw that anymore.
Change-Id: I2e6c2556fdaf85f8f0b7adbbac531854e958d192</t>
  </si>
  <si>
    <t>Fix setRequestedOrientation Calls for Increased Stability
Bug 2639189
Tens of random failures in DialogTest and InstrumentationTest seemed
to occur. Commenting out the setRequestedOrientation calls in
ApplicationTest seemed to remove the problem. It seems if the orientation
is not restored properly, then Froyo will attempt to change the
orientation on subsequent activities causing the test activities to
restart and making the references to the prior activity null!
Create a method that check what the current orientation is in order to
switch to a new orientation and then restore the original orientation.
Change-Id: I3218cb2770e70168f4785eb49800bf85293b7ad4</t>
  </si>
  <si>
    <t>Fix WebViewTest#testAccessCertificate Assertion
Bug 2841873
setCertificate was being called twice once with a null and then with
a non-null certificate. The first call though set the
mHasCalledSetCertificate and then this caused the later not-null
assertion to fail. Get rid of those methods and just directly
use setCertificate and getCertificate to check that the certificate
is set properly.
Change-Id: I6710daa77e42a95f22b8ed9e7d8633fdb93e7f33</t>
  </si>
  <si>
    <t>fix cts tests after this 2 CLs in frameworks/base
fixing tests after
 I42b2376d714a1a4091c843e245a45b882bb7fee6
and Iba87258e1c8fa18c2cc46d1d2ab56ec3e38413f2
Change-Id: Id95ebcc02aa14294194d9a7bb3f70d457b9eb4fd</t>
  </si>
  <si>
    <t>manual cherry-pick of 45f8e6a523a096a3781f90d4fd5d54dcc0673a7e
Change-Id: I770948540f3aca9d930edea7a12119ff63fe9bdf</t>
  </si>
  <si>
    <t>Some PackageManager Feature Tests
Bug 2817090, 2817037, 2817010, 2817022, 2817050
Some sanity tests to check that the PackageManager is reporting
the correct features. It won't catch everything, and some of
the tests like for checking for the existence of WiFi or
Camera don't make a whole lot of sense... Finally, test that
features not defined by the SDK aren't using the android
namespace.
Moved feature tests for sensors and telephony into this class
to centralize all these feature tests. Thanks to George for
nearly all the code here.
Change-Id: I67e1e3ca8ccd8bfe46422f97abf571aecd28ad06</t>
  </si>
  <si>
    <t>Remove tests for removed methods.
Change-Id: Ic80d46b1ea771e882776f07d528440f38638fc59</t>
  </si>
  <si>
    <t>Remove a bogus test that's accessing libcore internals.
This test didn't test anything useful, and accesses stuff it shouldn't.
Bug: 2870945
Change-Id: I7ab6cbe054ff55c07145da99700b200ee03dab39</t>
  </si>
  <si>
    <t>CtsVerifier Test Result Infrastructure
Add a TestResult class that allows test activities to set their
finishing results as either pass or fail. Reflect the pass or
fail status in the TestListActivity's test list. This is done
via a ContentProvider that reads and writes to a database with
the TestListAdapter listening for changes.
Use the new API in the SUID Files test as an example. The other
activities should be able to be easily adjusted to use the API.
Just call TestResult.setPassedResult or .setFailedResult during
some time in the activity before you finish.
Change-Id: Ia6a1f75e2ac9d03cb22ed233bedf392e3fb28f0e</t>
  </si>
  <si>
    <t>More permission granting security tests.
Change-Id: I6a82af99d8e13cc5b03acb883ac797a8adf85f40</t>
  </si>
  <si>
    <t>allow TelephonyManager.getDeviceId to return an ESN instead of an MEID
Older CDMA networks use ESNs only, not MEIDs.
Change-Id: I12f7f4df730eafc08e8923d0248ddd82bb7bde18</t>
  </si>
  <si>
    <t>Added tests for audio effects.
AudioEffectTest.java: tests for base AudioEffect class.
BassBoostTest.java: tests for bass boost effect
EnvReverbTest.java: tests for environmental reverb
PresetReverbTest.java: tests for preset reverb
VirtualizerTest.java: tests for virtualizer
VisualizerTest.java: test for visualizer
There is no requirement on the quality of audio effects or the supported parameter ranges.
The tests just ensure that the platform exposes and responds to all methods in effect APIs.
Change-Id: Ibdd0bf937c30ce000184e0bdf2323655ebf1d839</t>
  </si>
  <si>
    <t>Read Log Permission Test Fixes
Bug 2964078
Fix a typo in the logcat command used in the test. There was an
extra colon in one of the arguments.
Add a test to check that log files under "/dev/log" are not world
readable. Also check they are owned by user root and group log.
Create a JNI library just for the permissions package. The JNI code
cannot be added to the CtsTestStubs JNI library, because the tests
cannot use CtsTestStubs since that acquires the permissions we
are trying to negative test. I also tried compiling just the single
Java source in CtsTestStubs (initially where I tried to put
FileUtils) and reusing the CtsTestStubs JNI library but the VM did
not like it. Thus, I take the easiest route of making a separate
JNI library just for the permisions package.
Change-Id: I6aafe9cfcdee1250f5d693cf83abb826faf63344</t>
  </si>
  <si>
    <t>Read Log Permission Test Fixes
Bug 2964078
Fix a typo in the logcat command used in the test. There was an
extra colon in one of the arguments.
Add a test to check that log files under "/dev/log" are not world
readable. Also check they are owned by user root and group log.
Create a JNI library just for the permissions package. The JNI code
cannot be added to the CtsTestStubs JNI library, because the tests
cannot use CtsTestStubs since that acquires the permissions we
are trying to negative test. I also tried compiling just the single
Java source in CtsTestStubs (initially where I tried to put
FileUtils) and reusing the CtsTestStubs JNI library but the VM did
not like it. Thus, I take the easiest route of making a separate
JNI library just for the permisions package.
Change-Id: Ie32932a03590c8b50fb063387db317078ab65ba1</t>
  </si>
  <si>
    <t>removing tests for setConnectionPoolSize() because API is removed
Change-Id: Iba014b050b99640b020d4b5d2a3fa6707c575ee5</t>
  </si>
  <si>
    <t>Support MEIDS Starting with 97, 98, and 99
Bug 3041176
97, 98, and 99 are valid reporting body identifiers now.
http://www.tiaonline.org/standards/resources/meid/
Change-Id: I59d563e8193d900d34cff1d80dd6330f7841ee9f</t>
  </si>
  <si>
    <t>Add tests for granting URIs with path-based permissions.
Change-Id: Ib83f2967a49ee08cd823448ce8ca6e27fd42f7bb</t>
  </si>
  <si>
    <t>Backport TelephonyManagerTest Enhancements
- Support MEIDS Starting with 97, 98, and 99 (Bug 3041176)
- Checking of ESNs
- Probe "hardware_id" for non-telephony devices
Change-Id: If0ef902bd5262348fb82e93230fec8683a4e2c09</t>
  </si>
  <si>
    <t>Test all combinations of camera preview sizes and picture sizes.
Also make sure supported sizes do not contain invalid values
like "WVGA,VGA,HVGA".
bug:2900957
Change-Id: I368789b07f7752a5e60c321f068cd532ed70be1b</t>
  </si>
  <si>
    <t>Remove NoActivityRelatedPermissionTest.testSetPersistent.
Bug 3068230
Change-Id: I524b811d121580f791ea6f4056b622936a2f59fe</t>
  </si>
  <si>
    <t>Remove DevicePowerPermissionTest#testUserActivity
Bug 3027539
Change-Id: I30812435ccc1dbcb9313fa2c870605978704cb1b</t>
  </si>
  <si>
    <t>Fix AccountManagerTest#testHasFeatureWithCallback
Bug 3097462
Mark testHasFeatureWithCallback as private, since its not a test.
CTS was picking it up as a test and trying to run it but failing
because that method takes a parameter.
Change-Id: Ie90ae033748ef90ff293bd73f962d3087a2975c6</t>
  </si>
  <si>
    <t>Remove WebViewTest#testPerformLongClick
Bug 3097462
This was throwing a ViewRoot$CalledFromWrongThreadException.
However, since this test wasn't actually testing anything,
I decided to just delete it.
Change-Id: Id6494f15b72a5f3e1ce233761fd4095ef19bcca0</t>
  </si>
  <si>
    <t>Fix Tests Dependent Upon ACTION_MULTIPLE Events
Bug 3097462
There is no support for injecting ACTION_MULTIPLE key events
in Gingerbread. Remove the tests that checked the onKeyMultiple
callback, since they cannot be triggered from tests with
instrumentation. Fix GridViewTest to use key down instead...it
did not support key up...
Change-Id: Ib5811d589c187dcef1c15cd181811e33ed14b303</t>
  </si>
  <si>
    <t>Delete ViewTest#testComputeScroll
Bug 3097462
I don't think this is useful test at all...
Change-Id: I6e5a4fccf142831d23ad5e460e831921147d68c3</t>
  </si>
  <si>
    <t>Delete CM#testAccessNetworkPreference Test
Bug 3106981
ConnectivityManager#setNetworkPreference used to be synchronous,
but now it merely sends a handler message. As a result, the
method won't throw any SecurityExceptions, because it will throw
it in the handler instead when trying to write to System.Secure
settings. The test tries to write invalid settings or the same
settings value to test that it won't throw a SecurityException.
Since the method won't throw the exceptions anymore and its
not clear how long to wait to confirm that the settings weren't
going to be changed, just delete these tests.
Change-Id: I9e754bb0e026656511512b17108c42c37d84b069</t>
  </si>
  <si>
    <t>World Phone Support in testTelephonyFeatures
Bug 2990592
Some phones support both GSM and CDMA but
TelephonyManager#getPhoneType can only report one at a given time.
Thus, don't assert that the other telephony features are not set.
Change-Id: I469dad4d34ebcc084899a863673bacf49c79bdac</t>
  </si>
  <si>
    <t>Add host tests support to cts-tradefed.
Change-Id: Ic54e067831e64bdf6efbb14476d07caa4bf35fc9</t>
  </si>
  <si>
    <t>Fix opcode tests for check_cast and filled_new_array_range.
Updated test to verify froyo vm behaviur of throwing exceptions at first
access.
Bug 3147582
Change-Id: Ic0ffc1b7e058ed8c5f8643b8ac39ce95f96ec124</t>
  </si>
  <si>
    <t>Fix opcode tests for invoke_*
Some tests for the invoke-interface instructions involved
executing Dalvik code that could not translated into Java
like implementing an interface but marking the interface
method implementations as protected. The tests complained
about not being able to find the classes for the raw
dalvik bytecode, but I couldn't make the tests find them
even after putting @uses annotations (which BuildDalvikSuite
scans to determine what will be on the classpath). Thus,
I just deleted them...
...otherwise, more of the same...
Bug 3147582
Change-Id: I99a480ce3f2608c56474428ff0db9f354f66d6bc</t>
  </si>
  <si>
    <t>Fix opcode tests for instance_of
Bug 3147582
Change-Id: I444a9955837c7fc3705fa613dd9373d598cda862</t>
  </si>
  <si>
    <t>Delete some opcode tests for invoke_*
These will be added back in a future release!
Bug 3147582
Change-Id: I98200ee239d0bd52cbb1b2a3a8a093c0b248aa40</t>
  </si>
  <si>
    <t>Remove Profile Annotations Experiment
Bug 3166146
Change-Id: I23e09d4c4d828c8094d7feefaa5e1ed1ce07715f</t>
  </si>
  <si>
    <t>Fix BroadcastReceiverTest#testAccessAbortBroadcast
Test fails due to IllegalStateException saying "Call while result is not
pending at..." because setPendingResult isn't called on the
receiver before calling abortBroadcast. This test is probably
not using the receiver in an appropriate way.
Change-Id: Ibb8b4afb309f66216d09de9e1bce8acffa69537c</t>
  </si>
  <si>
    <t>Delete PorterDuff_ModeTest
...hmm.
Change-Id: Iea2acac750fa6f597e61640c5fcf6c54c8e05939</t>
  </si>
  <si>
    <t>Remove SensorManagerTest BrokenTests
Bug 3188260
These tests required sensor events to be generated.
Change-Id: I1d1dcd97d0157cf55f6ab80a9d50887f57f1b0d6</t>
  </si>
  <si>
    <t>Updated for ActionBar API changes
Change-Id: I600801b518acce311baeadb74f4608ef18f3dcd1</t>
  </si>
  <si>
    <t>Refactor Dialog Tests
Bug 3184944
The dialog tests start an activity that had a list of buttons
where each button launched a different type of dialog and then
hit the down button a number of times and then the center button
to launch them. Replace this approach with an intent based
approach where the tests launch an intent specifying what dialog
to create. This should make the tests less fragile to UI changes.
Change-Id: I3d36e2f9e6c1b4a065ffda59289a85278e04c8cf</t>
  </si>
  <si>
    <t>Fix android.net.cts.ProxyTest
Bug 3188260
Remove the code that was trying to write to secure settings
and take off the BrokenTest annotation.
Change-Id: I0759db38225a9822b25c987e66a7590c555b5e9e</t>
  </si>
  <si>
    <t>Test that AssetFileDescriptor handles remaing byte count correctly
Bug: 3240844
Change-Id: Id9a83720436c6276d726d7f6d4f1396dc1735858</t>
  </si>
  <si>
    <t>Fix Settings_SecureTest#testSecureSettings
Bug 3188260
This test tries to modify secure settings, which it will never be able
to do. Change the tests to check that the right exceptions are being
thrown.
Change-Id: I758bc958979823fb280eec7c5fe53fddb8b5b7f1</t>
  </si>
  <si>
    <t>Removed Broken SurfaceTest
Bug 3188260
It doesn't look like it's doing anything useful.
Change-Id: Id7d9270fd1c3e3cb67d54c80336e8d7812a367d8</t>
  </si>
  <si>
    <t>Delete Broken/Suppressed DatabaseCursorTest Tests
Bug 3188260
These tests seem to stress test the device. It will probably fail on
lower end devices and create unnecessary inquiries.
Change-Id: I99309ecac9b90b8db6b329d386ccf84113f825ad</t>
  </si>
  <si>
    <t>Nuke Problematic ContextWrapperTest
Change-Id: I8cfef23594ff550ecfc903ddb1e7becb08af79ba</t>
  </si>
  <si>
    <t>Fix (Qwerty|MultiTap)KeyListenerTest Tests
Bug 3185073
Replace the fragile setup code that required the target TextView to be
focused with code that directly call onKeyDown instead.
Change-Id: I09396d752a9ac1462b85f2f9fb9349701687abcc</t>
  </si>
  <si>
    <t>3180287 android.accessibilityservice.cts.AccessibilityEndToEndTest#testTypeViewFocusedAccessibilityEvent fails
Change-Id: Ia7d9936b08e840faa2200adcee8ca0af23e38b03</t>
  </si>
  <si>
    <t>Allow CacheManager to be initially disabled.
The CTS test currently assumes that CacheManager is always enabled.
We would like to deprecate this class, and as a first step, we will
use the existing API to disable it on startup. This CL updates the
CTS tests to permit the cache to be initially disabled.
BUG=3270236
Change-Id: Id419ae4f25d057d21f65de397f7642ae99b15553</t>
  </si>
  <si>
    <t>Test WebView.addJavascriptInterface() with an oddly named property
Change-Id: I7d04eb452ba771726f87737553b30e8bdcab0c9a</t>
  </si>
  <si>
    <t>Delete DatePickerDialogTest
Bug 3188260
It only had @BrokenTests so it was not being run anyway.
Change-Id: I93645e7fb7ec6390ac5315624d08bc717a02be62</t>
  </si>
  <si>
    <t>Remove Broken LayoutTest Tests
Bug 3188260
The annotations said "unsure if asserted widths are correct"...
They probably are not due to varying screen sizes and orientations.
Change-Id: I64404ce7de3913bb43e7766a7d111843da2ee535</t>
  </si>
  <si>
    <t>Make ListeningPortsTest less flaky.
When a DNS lookup occurs, a new listening UDP socket will be
created to receive the DNS response.  This listening socket is
only temporary, and shouldn't count as a permanent open
socket.
Bug: 3276283
Change-Id: I45090c0e07d9b360cc26f4bce23833db8c399507</t>
  </si>
  <si>
    <t>Revert "New tests for the new MipmapDrawable class."
Bug 3285373
This reverts commit 4e19452bb42984178390f65028afe38e2cf55cf0.
The class is now hidden in HC. However, it's great to see that new tests
are being added!
Change-Id: Ibfd1b8a585a6b2c81a1eb261a432f91207f66484</t>
  </si>
  <si>
    <t>Fix AutoCompleteTextViewTest
The dropdown doesn't show up if there aren't enough items in the list.
The "inflatePopup" method was setting the text to blank and then trying
to show the dropdown. As soon as that happened, mIsShowing was set to
true, but the handler for the popup dismisses it because it doesn't have
enough leters. Fix the tests to support this new behavior.
Change-Id: Icab9eafa7a8945522da4345a2617b6062fd7131b</t>
  </si>
  <si>
    <t>Remove Broken NoActivityRelatedPermissionTest
Bug 1910487
Change-Id: I8dfa05222713e4d4f6a11aa42567510b06859a07</t>
  </si>
  <si>
    <t>Remove Private API Tests for PhoneNumberUtils
Issue 13363
compareLoosely and compareStrictly are private APIs that should not be
tested in CTS.
Change-Id: I41d5139f0dbe47c32e66014a0523260c4340de64</t>
  </si>
  <si>
    <t>Nuke WebChromeClientTest#testOnReceivedIcon
Remove this troublesome test that has been very flakey.
Change-Id: I66af4d3a9e9f96fd082f4c75784941446536ead8</t>
  </si>
  <si>
    <t>Nuke GridViewTest#testScroll
Bug 3097462
Remove flakey test and now broken test on GB. Could be a problem with
TouchUtils or the test.
Change-Id: Iecc09f4a997be24e08ea0b38c915073cf99a9d46</t>
  </si>
  <si>
    <t>Nuke TrafficStatsTest#testTrafficStatsWithHost...
Bug 3189208
Removing this test due to potential problems with GB. This will need to
be brought back and investigated.
Change-Id: Ifeafdf44464c652b063edfb51c5f7931624b6973</t>
  </si>
  <si>
    <t>Fix InsetDrawableTest#testGetOpacity
Bug 2397630
BitmapDrawableTest#testMutate changed the constant state which affected
InsetDrawableTest#testGetOpacity. However, the test wasn't doing much of
anything, so I've changed it a bit to call setAlpha and check
getOpacity a couple times. This test shouldn't have a problem with
constant state, because it calls setAlpha before checking anything.
Change-Id: I1cca5cb18107a647e40c13a7c88c905856436595</t>
  </si>
  <si>
    <t>CTS tradefed: ignore known failures.
This commit changes cts-tradefed, similiar to the existing CTS harness, to
ignore results from tests that are not listed in the CTS test package xml.
There are two main parts of this change:
 - refactor the code that parses the test package xml, to expose methods to
determine if test is defined in xml (ITestCaseRepo, ITestPackageDef)
 - Add a filter for CTS plan test results, that will discard test results
from unknown tests (ResultFilter, and changes to PlanTest to use ResultFilter)
Change-Id: Idf195682ebeab7fbb30562ac2d7aacbdd6679e13</t>
  </si>
  <si>
    <t>Webview needs to set instance of ChromeClient to use getProgress value.
assertLoadUrlSuccessfully is using view.getProgress() which returns
no meaningful value  without ChromeClient.
Change-Id: Id8e2cdf5002f774984560a068ea8055e485dd135</t>
  </si>
  <si>
    <t>CTS tradefed: Add ability to run or exclude packages.
CTS tradefed now supports running either a plan, or a list of individual test
packages. Also supported is ability to exclude given packages from the run.
Change-Id: I3516e78624774799a78dc7b8510aaf03502ac11f</t>
  </si>
  <si>
    <t>DO NOT MERGE - Nuke AbsListViewTest#testOnScroll..
Bug 3062700
This is broken like GridViewTest due to a bug in TouchUtils
and overscroll. It will have to be revisited later.
Change-Id: I06eb857f133c9678d5e0ef51e5f3d51229d61759</t>
  </si>
  <si>
    <t>Fix Bad Merge
My merging of Froyo changes reintroduced a test in
NoActivityRelatedPermissionTest that had already been
removed.
Change-Id: I103e615be7b32196a6eab0ad07016002fa25207c</t>
  </si>
  <si>
    <t>Fix (Arrow|Scrolling)MovementMethodTests
Bug 3308878
onKeyDown throws a NPE when the KeyEvent is null now and
sometimes doesn't throw a NPE like it used to...
Change-Id: Ida624a9a1984d5be1a8eb0bd3744b3e4c249bbc8</t>
  </si>
  <si>
    <t>Add --class and --method options to cts tradefed.
These options will allow a single test class or method to be executed.
Change-Id: I159877c98b7b3ba12ca6c4426a85b566eb10a1a3</t>
  </si>
  <si>
    <t>Delete Useless LayoutTests
Bug 3198659
Couple new tests were failing because getLineDirections in the test
class was returning null. It turns out there is no way via the public
API to construct a Directions object. Its been like this for a while,
so there were a ton of other tests checking to see that NPE occurred.
Destroy all the tests that do so...
Change-Id: I31f6c162e42085fb1742c1573099d8f9908e2dc1</t>
  </si>
  <si>
    <t>Fix Broken MessageQueueTests
Rewrite the addIdleHandler and removeIdleHandler tests to be more
clear.
Change-Id: I19547149d4cd85c535099ff5ca08703045ef73eb</t>
  </si>
  <si>
    <t>Fix ProgressBarTest
Bug 3188260
- Remove broken testAccessInterpolatorContext, because it was doing the
  same thing as the test above it.
- Change references to com.android.internal to android...
Change-Id: Id3698e7a17463f2c21c6f4afe7e87bbd00e4986a</t>
  </si>
  <si>
    <t>Delete AlarmManagerTest#testSetTimeZone
Bug 3188260
I don't think this can or will be fixed, so delete this test.
Change-Id: Ibaa5d7a215b5ef7ec9430d41b80d8215e3ec03b6</t>
  </si>
  <si>
    <t>Fix ServiceTest to Match New Permissions Behavior
"Change I5d61930a: Just a little 'ol activity manager permission..."
changed the ActivityManager, so that an application doesn't need to
have the permissions required by its own components to start them.
Change-Id: If35769e87d052a415ece36bd54586303ae9a9fff</t>
  </si>
  <si>
    <t>Delete InstrumentationTest callOnDestroy Test
Bug 3414097
"Applications are not supposed to in any way shape or form directly
call onDestroy()."
Change-Id: I8598ad54d7ff2ce0bbc026b8daf3abba58655b13</t>
  </si>
  <si>
    <t>Delete ViewGroupTest#testRecompute...
This test now requires a full activity for the attachInfo to be set. I'm
not exactly sure what this test was trying to do...
Change-Id: I4da2b4e8aecf1f29bb00465295a2f949ace90fbd</t>
  </si>
  <si>
    <t>Fix WindowTest Tests
Removed all the methods trying to test the options menu. There is code
that deliberately no-ops these methods if the app is targeted for HC.
Ideally, we should have another CTS stub with a lower target SDK version
and then test the options panel there.
Finally, fix an assertion that no longer held due to the System Bar
taking up part of the screen.
Change-Id: I2637e1494623e4c2dd7cda0f8d2d3d030dc1d356</t>
  </si>
  <si>
    <t>Delete Options Menu Test in DialogTest
Change-Id: Ieee3f1b7b73c476734af70ef3a7aa8f10182616c</t>
  </si>
  <si>
    <t>Fix Telephony Tests
Use feature checks rather than getPhoneType. Remove the assertion that
device id must be null for non-telephony devices, because that may be a
MEID for a device that although isn't voice capable may have a data
connection...
Change-Id: I8dd6f8ea34ae3c767fc0b0d5324a0a608f8ed8ad</t>
  </si>
  <si>
    <t>Update Screen Configuration Tests
Bug 2715720
Update ConfigurationTest to be flexible in regards to the new CDD
policies regarding screen sizes and resolutions by getting rid
of the static list of allowed resolutions and replacing it with
some looser checks.
Change-Id: If01457d7dd33bc58e32f1ef77552916006bb5cdf</t>
  </si>
  <si>
    <t>CTS : remove testCallVoicemail
Comment from btmura : Test is invalid, because the CDD doesn't say
what is required in terms of permissions by the applications that
respond to these intents. Also the Dialer isn't part of the core
systems application list defined under the CDD's 3.2.3.1. Finally,
it appears that Intent.ACTION_CALL_PRIVILEGED is a private API as
well.
Change-Id: I9dc661d8f35b0960e79061232014eee51e54410b</t>
  </si>
  <si>
    <t>Delete Broken AudioManagerTest#testMuteSolo
Bug 3188260
There is not a way using the public API to determine what streams can
be muted, so remove the broken test.
Change-Id: I5ed6c5eb65ca988fbc467d3586a434a2e3924846</t>
  </si>
  <si>
    <t>Adjust cts-tradefed to the latest tradefed API.
Bug 3403768
Change-Id: Ia6c41117b7ce1f9431c86a312e1d5ae5a6ffa18a</t>
  </si>
  <si>
    <t>Bypass testFormatMethods if device is not using en_US resource.
Change-Id: I915e80cbca27eef563a7242b71a164be9ed90401</t>
  </si>
  <si>
    <t>Make CtsTest resumable.
Change-Id: I5552ba3a5633a193a4cdc1b54918de985e548912</t>
  </si>
  <si>
    <t>Support sharding cts runs across multiple devices.
Change-Id: I958a3cafdd48c0d619c934620aeed85abc7c0608</t>
  </si>
  <si>
    <t>Fix Broken PaintTest#testBreakText1
Bug 3188260
Use getTextWidths to get the widths of the individual
characters of the strings rather than hard coding them.
Change-Id: I17c58f991fa2901e072c69fbcf0885bf85728872</t>
  </si>
  <si>
    <t>Remove Broken ListActivityTest
Bug 3188260
It looks like there were efforts to fix this one in bug 2334738.
Change-Id: I590f92a9ea43cad2b1e7c9eba40bdea62e24410d</t>
  </si>
  <si>
    <t>Fix PaintTest#testGetTextWidths Methods
Bug 3188260
Instead of testing hard-coded values check that the various
overloads return the same widths.
Change-Id: I60ed15eacb2c1a5bc39885b8ce1bb8288caab4a6</t>
  </si>
  <si>
    <t>Fix ContextTest and ContextWrapperTest Interaction
Bug 3188260
ContextWrapperTest#testAccessTheme passed when run on its own
but failed when executed in batch mode. ContextTest was
interfering by calling obtainedStyleAttributes which was
calling getTheme. getTheme sets the theme to the default
if there is no theme. You can only set the theme once in
the context, so future calls like those in testAccessTheme
no longer worked and broke the test.
These ContextWrapperTests are somewhat silly since the
implementation of ContextWrapper is to just call the
same methods in the context it wraps...so I moved the
test into ContextTest and made sure to set the theme
to the test theme at the beginning.
These ContextTests are also funny, because there are multiple
implementations of Context and this one just happens to work
with the Context given back by AndroidTestCase...
Change-Id: I710439ea09b8c048178faacb269157d4ba4341cb</t>
  </si>
  <si>
    <t>Fix EventLogTest Flakiness
Issue 14896
The test was getting the current time and collecting events since
that time. However, the times in the event logs are usually recorded
faster, so events could get dropped. As a result, there were sleep
calls that needed to be increased and adjusted for various devices.
Fix these tests to gather events by looking for an event with a
certain payload instead. This should be more reliable, since the
payload is the current time from the test. This doesn't test the
event times as much though.
Change-Id: I4f6c9ad3ced39f2aa03c8c01b01b27f59948f8d0</t>
  </si>
  <si>
    <t>update requirements for TelephonyManager.getDeviceId
We allow all-decimal MEIDs (for LTE devices).
Change-Id: Ib9ae3ca1aacb34b2f2279ded0e6fb38ce602c40a</t>
  </si>
  <si>
    <t>update requirements for TelephonyManager.getDeviceId
We allow all-decimal MEIDs (for LTE devices).
Change-Id: Iff6f6b80518b12923ec09d952f6a4d2794a70c58</t>
  </si>
  <si>
    <t>More renderscript tests.
Change-Id: I4f6336a6c86d9a2df675c6e16b0411c8f77682c4</t>
  </si>
  <si>
    <t>Removing Some Pixel Comparison Tests
Bug 4064073
These tests break when the underlying drawing libraries are
updated and don't have much to do with testing the
framework.
Change-Id: Ibfcad8c5fbc9184e635b84ea6d906b2826cad837</t>
  </si>
  <si>
    <t>DO NOT MERGE More renderscript tests.
Change-Id: Icb160dad547bfd6f5fbda23727b5d9ee0895d02d</t>
  </si>
  <si>
    <t>More improvements to renderscript CTS tests.
Now coverage is at 57%
Change-Id: Icf7be9a660a9572efd3722391ffea21886caab0a</t>
  </si>
  <si>
    <t>Fix More Paint#breakText Tests
Bug 3188260
Accidentally uncommented 2 broken tests earlier although they do pass.
Remove those tests and consolidate the testing of the different
breakText functions into a single test.
Change-Id: Iec1b3d9f40d63a647d752b7341b29d06fd3793e9</t>
  </si>
  <si>
    <t>Remove Broken TouchDelegateTest#testOn
Bug 3188260
Change-Id: Ibcc74111be172b7afe668bbb016f2fce9745e4dc</t>
  </si>
  <si>
    <t>Remove Broken MediaControllerTests
Bug 3188260
These don't seem like they will be reliable even if they are fixed.
Change-Id: Ib2c077a0a98afd7247df7641d33781c2c32d0be6</t>
  </si>
  <si>
    <t>Remove the cts for setCorrectionSpan
Change-Id: Ic72f16c6e97aaa24521b671c0bb731b6c1f8667c</t>
  </si>
  <si>
    <t>Remove Broken WebKit Tests
Bug 3188260
Change-Id: I0c57a1035b7286a69198173a971de67808b0e46f</t>
  </si>
  <si>
    <t>Remove Broken Widget Tests
Bug 3188260
Change-Id: Icbc5700430d1575d601efa0013eabcc7969da267</t>
  </si>
  <si>
    <t>Remove Some Broken Paint Tests
Bug 3188260
Change-Id: I7e6b4fc06f2f771b3a96f764518ee3b3cb624f50</t>
  </si>
  <si>
    <t>Fix Paint#measureText Tests
Bug 3188260
Instead of hardcoding values just check that the returned values
of the overloaded methods make some sense.
Change-Id: Ia8d97300d5b12a6528b445e0fbfc0b745665a2af</t>
  </si>
  <si>
    <t>Clean Up VideoViewTest
Remove testOnKeyDown since it fails in batch mode. Remove empty
tests that were cluttering up the file.
Change-Id: I11b1b2e518194d0732732c013acfadeae10a8f07</t>
  </si>
  <si>
    <t>Remove Test Annotation Related Tools
Removes some unused tools used to process the annotations
on test methods.
Change-Id: I2820d9c9b2a6b1474ba66243370cc061b3939559</t>
  </si>
  <si>
    <t>Remove GestureDetector_SimpleOnGestureListenerTest
GestureDetector_SimpleOnGestureListenerTest fails only when
run in batch mode after the GestureDetectorTest. This test
just does "GestureDetectorTestUtil.testGestureDetector(this,
mActivity);" with GestureDetectorStubActivity. However,
GestureDetectorTest already does this same test with the
same activity. Something about running it twice causes
a problem.
Change-Id: I1984beda26607eaa59a9df767e5f51cca90994ad</t>
  </si>
  <si>
    <t>Fix cts-tradefed sharding.
Change test apk handling to dynamically find the path of the apk to install.
Also move setting of collect tests timeout to TestPackageDef.
Bug 4298643
Change-Id: I42b81e6304dfd25768636c279cbb2f3f0f9e0cce</t>
  </si>
  <si>
    <t>Change other CTS sub-tests to not use fixed build location.
Change-Id: I1733e31e3eb1b03cdcd1f0c8e567517c6fb5661c</t>
  </si>
  <si>
    <t>Adding tests for looking up many elements.
Change-Id: I1dd1e1078afaea2a96a09dd52c7c4915c0b86f2f</t>
  </si>
  <si>
    <t>Revert "Updated CTS tests due to API change - touch exploration."
This reverts commit ddc877650719c47922df7b29bc9d2fad817057ee.
Change-Id: If937de686f838d961be8a520af8f8795b898eb77</t>
  </si>
  <si>
    <t>Add more CTS tests for TTS
Change-Id: I232c8d4747c9c73fc118a25d9d330ce62fb192da</t>
  </si>
  <si>
    <t>Removing CTS Verifier Tests
Nobody runs the tests. "make cts" doesn't build them either,
so these are just a build breakage waiting to happen.
Change-Id: If4aaf411944253bc97376c4f6415a8c75aef4055</t>
  </si>
  <si>
    <t>Clean up WebView.addJavascriptInterface() CTS test
Cleans up unused code regarding updating the page title and uses
wait/notify to avoid a busy wait. Also uses 'new Object' for the
injected object where possible.
This will simplify later refactoring to call all WebView methods on
the UI thread.
Bug: 4340864
Change-Id: Ie88765351dfc711b22a661a3677bd4c08e6b0ad4</t>
  </si>
  <si>
    <t>Remove WebView CTS test testClearView()
This test does not test anything specific to WebView.clearView() and the
methods it does test are tested elsewhere.
This will simplify later refactoring to call all WebView methods on
the UI thread.
Bug: 4340864
Change-Id: I71962be83bf742bf098db1fc2e8daa32c4c3570b</t>
  </si>
  <si>
    <t>Add camera metering areas API tests.
bug:3475893
Change-Id: I5b2a3e616716184d5165dbe4a2752ddb77f2110f</t>
  </si>
  <si>
    <t>Demo of Sending Arguments to a Test
Related to: https://review.source.android.com/#change,22431,patchset=1
Instead of writing an argument to a file, this
implementation sends arguments via the am command line and
then setting the arguments via a system property to
be used by a test.
Change-Id: I1424cff8d726e08dc78cbcbe7bfc8483b4c823c4</t>
  </si>
  <si>
    <t>Fix WebView test testSetWebViewClient() to call WebView methods on UI thread
Bug: 4340864
Change-Id: I6ba37b8eefb738da1eb463fe65e35bff0a5d6d5e</t>
  </si>
  <si>
    <t>Fix WebView test testSetWebChromeClient() to call WebView methods on UI thread
Bug: 4340864
Change-Id: I0323215d22e6e83038584ab4ef408710ee2f6697</t>
  </si>
  <si>
    <t>Fix WebView test testSetPictureListener() to call WebView methods on UI thread
Bug: 4340864
Change-Id: Icc58e90032c499fd01b9585f4b3cba81bcd57f86</t>
  </si>
  <si>
    <t>Fix WebView test testSetDownloadListener() to call WebView methods on UI thread
Bug: 4340864
Change-Id: Iada4674af174bc5045231d32890277df8ce0ec9e</t>
  </si>
  <si>
    <t>Fix WebView test testDocumentHasImages() to call WebView methods on UI thread
Bug: 4340864
Change-Id: I02952e124f7ace796b0f170595ca1b601c20beb3</t>
  </si>
  <si>
    <t>Fix WebView test testPageScroll() to call WebView methods on UI thread
Bug: 4340864
Change-Id: I02f5f9b7efc8b1ec10e4d5e2e8b69cd32e92eb52</t>
  </si>
  <si>
    <t>Remove this CTS test.
It is testing an API that is not in the SDK.  I want to change the API.
Begone, CTS test!
Change-Id: I807294b4f0b21be947a77c00836cbe2a90ae396f</t>
  </si>
  <si>
    <t>Fix WebView test testFindNext() to call WebView methods on UI thread
Bug: 4340864
Change-Id: I473a34f1eab097a0b85d16252bd0ae9d5d35ee43</t>
  </si>
  <si>
    <t>Revert "Demo of Sending Arguments to a Test"
This reverts commit a5d6c08226b2ffc09af39c38c7c0e2ddba27a399.
Seems to prevent tests from being run!
Change-Id: I8d5c227c3fd157ebe080554f146cd7a45e49f24c</t>
  </si>
  <si>
    <t>Test for DownloadManager Compliance
Adds a test to enforce CDD section 7.6.1 that says the
DownloadManager must be able to download individual
files of 55MB.
Modify the CtsTestServer to generate files of any size
in response to the download queries. The test downloads
a file of 55MB and checks that the file size is correct
both in the database and by the parcel file descriptor
returned from DownloadManager.
Change-Id: I82f17bfe5937fdd63a80fc71540537463509c241</t>
  </si>
  <si>
    <t>AccessibilityEvent marshaling CTS test failing.
1. The CTS test for marshaling accessibility events
   was broken since I have added some new APIs on
   the event. Updated the test.
bug:4367707
Change-Id: I11afe7a20839c432d806cb2bf9f42518a8897648</t>
  </si>
  <si>
    <t>Fix issue #4490446: 5 failures in android.content.res.cts.ConfigTest
Plus add tests for the new swNNdp, wNNNdp, and hNNNdp resource configs.
Change-Id: Ie121bf520caf91c6915f91de01830c6d59a39a6f</t>
  </si>
  <si>
    <t>Make FieldPackerTest include all entry points.
Change-Id: Ifa986c2d45c03178475c10a3da72d8a220b288ba</t>
  </si>
  <si>
    <t>Add more CTS tests.
These tests cover streaming mp3 over http, streaming the same file
again, streaming with a redirect, streaming with unknown content
length, streaming ogg vorbis, streaming ogg vorbis with redirect,
and streaming ogg vorbis with unknown content length.
Change-Id: I40b0dd5f7d1b44c2e27ab46bff5e0850d65e4776</t>
  </si>
  <si>
    <t>Revert "Check "Unknown Sources" is Enabled by Default"
This reverts commit 594e9852cc4d34e966f2389c8be67aebb69fdc53.</t>
  </si>
  <si>
    <t>Fix CTS tests after renaming View attribuet from horizontalDirection to layoutDirection
Change-Id: I2a9554f237fe18dc01b304bb9c202e770c791c72</t>
  </si>
  <si>
    <t>Remove testUnknownSourcesByDefaultTest
This was expected to be removed by merging in the changes
from Froyo. However, since the change originated in GB,
the cherry-picking into Froyo and removing it in Froyo
ended up as a no-op when merging the removal back into GB.
Thus, remove this again!
Change-Id: I95ff719a1ce6b276e00d33e3286bd49c2255759d</t>
  </si>
  <si>
    <t>Update CTS tests following API change for Gravity.getAbsoluteGravity() and Gravity.apply()
- also remove calls to removed function Callback2.isLayoutRtl()
Change-Id: I15a923afa096441d82f746b9542a2755daf883e1</t>
  </si>
  <si>
    <t>Fix CTS broken test
- the mock was not taking care of the direction passed in the constructor
Change-Id: I840b3018a0c30fe21292d345a3d360d82aec3727</t>
  </si>
  <si>
    <t>Allocation 2d copy tests.
Change-Id: Icb26c3afc0463a3a86ea1357ced1f69ba299748c</t>
  </si>
  <si>
    <t>CTS Verifier Sub Tests Implementation
Refactor the Bluetooth test to use the same test results storage
as the main test list. This will make it easy for future tests
to have subtests like the Bluetooth test one does. Also it will
be possible to send a report that has the results for the sub
tests since all the data is in one place.
Create subtests by adding a meta data with the tag "test_parent"
to specify the class that this test belongs to.
Change-Id: Id7ec5da311751bb8c1af7915137dacc89286a23c</t>
  </si>
  <si>
    <t>CameraTests: Only throw exceptions in main thread.
junit does not catch the exceptions in created threads.
One test failure will stop all tests.
bug:4575981
Change-Id: I0f2b5e1ed442aeb683cbc7ab891387a390d1d4fc</t>
  </si>
  <si>
    <t>It is neccessary to keep a reference to ParcelFileDescriptor
When obtainDescriptor() returns back to test methods,
ParcelFileDescriptor object is not reachable from them.
So it might be destroyed by gc if a memory was low.
ParcelFileDescriptor would close a real file descriptor
when it was finalized. In that case, bitmap related tests will fail.
(Because FileDescriptor$descriptor is gone! i.e. "-1")
To avoid this fail, the test methods keep the reference to
ParcelFileDescriptor object in them.
Change-Id: I3980179b0545086e522fd327e265211c1f6d1d53</t>
  </si>
  <si>
    <t>Bug fix for b/4491376 CTS failure in CtsAccessibilityServiceTestCases. Changed to holo.notitle theme and test code.
Change-Id: Ibeace90f0b266b9d452444a2c4ccef89958b375a</t>
  </si>
  <si>
    <t>CTS Verifier XML Reports
Bug 4878013
1. Add a version name and code to the CTS Verifier. Show the
   version name on the welcome screen.
2. Share a XML report instead of a plain text report. See
   TestResultsReport for the format.
Change-Id: I10d21b7ea4d468472fc15866d7259e456d6741a6</t>
  </si>
  <si>
    <t>Remove superfluous WebView_HitTestResultTest.java
This test file calls WebView methods on the wrong thread and the tests
it provides are a subset of those provided by
WebViewTest.testLoadDataWithBaseURL() and
WebViewTest.testGetHitTestResult().
Change-Id: I35720631a017d6f06d130c8565d9c8e0a3c9eb4c</t>
  </si>
  <si>
    <t>Remove CTS tests for completeAudioAvailable
Change-Id: I23d66d2daf52518ecc90bef067681681839ce6e2</t>
  </si>
  <si>
    <t>Fix for testPlayVideo timeout (thanks to Jason Bayer for CountDownLatch).
Change-Id: I5ac61daf583f7a087c4b28b04c6167a1a7b98ea4</t>
  </si>
  <si>
    <t>Revert "Requires USB Features in HC MR1"
Bug 5035596
This reverts commit 08c3c23cb652e8c23de1b2cc8f9c0a41276ed640.
Change-Id: Iffbbf579d56984cdaefe0a7e734fabc4f331d78c</t>
  </si>
  <si>
    <t>Added and updated test cases in CTS.
Added and updated test cases in CTS for improving the code coverage
for android.graphics package.
Change-Id: Id701213b77055ae737c4a92cf81c4eb8ac75f6fc</t>
  </si>
  <si>
    <t>Adding tests for most of the layout widgets.
Additionally, built individual manual lookup tool
for OEMs when a certain test does not pass. Also,
the generator can now be run from the command line
to generate the master versions of our tests.
Script to automate this is coming soon.
Change-Id: Iadbd8d53ccf0f8a6d0beb74daf729f60c385aeae</t>
  </si>
  <si>
    <t>Improve SignatureTest and ParcelTest
SignatureTest was in one giant method call, so break it out so coverage
can be more easily seen.
Also add a few more test cases for SignatureTest.
Improve ParcelTest to actually use valid Signatures.
Change-Id: Ic589485a83606200d591db7f416122838d08b8da</t>
  </si>
  <si>
    <t>Export CTS Verifier reports to the SD card.
Also add additional build info to the report.
Change-Id: If4e6185194dbf331784f55cd0ba113c96968c368</t>
  </si>
  <si>
    <t>MediaPlayer test cleanup + new streaming test placeholder.
Removes unneeded annotations and clears compiler warnings. Since there are
already many MediaPlayer API tests in MediaPlayerTest, additional API tests
that we add (like the null stream location added in this CL) should be here.
New tests related to streaming should go in MediaPlayerStreamingTest.
Change-Id: I239930c058fabf65fb7c4e34af0c142255f59f32</t>
  </si>
  <si>
    <t>Remove WebDriver
 Bug: 5155997
Change-Id: I4369e5caa0a7497a057ab038dddabcc2df62b7bb</t>
  </si>
  <si>
    <t>Additional refactoring of MediaPlayer tests.
Rename MediaPlayerTestHelpers to MediaPlayerTestBase, a base class that can
be extended to easily create new MediaPlayer tests.  MediaPlayerTest now
consists of tests of local files, and MediaPlayerStreamingTest consists of
tests of streams (such as the local HTTP streams that were previously in
MediaPlayerTest).
Change-Id: I9aac07e8fdbc79bcd763e0a5e0c16254c42b39b0</t>
  </si>
  <si>
    <t>Add HTTP/RTSP streaming tests to CtsVerifier.
RTSP tests are temporarily disabled while network issues are worked out.
Also, this refactors the class hierarchy (in particular, for test Activities) to remove
some duplicated code, and introduces the concept of a Test ID appended to the class name
instead of merely using the class name, allowing us to use the same class for multiple
tests.
Change-Id: I0a9feedaa92c23f1bf366ca16ccae672ad7e783f</t>
  </si>
  <si>
    <t>ArrayTestListAdapter Class
I wanted to do what StreamingVideoActivity was doing with
TestListAdapter where it customized what rows were being
returned by overriding getRows.
So I moved code in TestListAdapter that scanned the
AndroidManifest to its own class called ManifestTestListAdapter.
I then extracted ArrayTestListAdapter from StreamingVideoActivity,
so you can call add(TestListItem) to build up a list of tests.
Change-Id: If3d2bacc52e19f326467a36ab55aa52c49f765cc</t>
  </si>
  <si>
    <t>Test for Invalid Ringer Modes
Bug 4499450
Check that setting an invalid ringer mode doesn't do anything.
Change-Id: I24fe167a8f266dbcbb239dd2c6221cd89783515c</t>
  </si>
  <si>
    <t>Allow Tests to Require Some Features
Bug 5104638
Add the ability to specify what features are required for a test.
If the device doesn't have all of the required features then the
test will not appear in the menu. Specify the required features
by specifying a meta-data entry in the Android manifest.
This does create a possibility where a device doesn't report the
right features and doesn't see a test that it should. However,
they should review the features in the feature summary activity
I hope...
...also remove some unused resources!
Change-Id: I8233510c586f3b2547ac40cd0502b9c6b7d03484</t>
  </si>
  <si>
    <t>Include Audio Quality Details in XML Report
Bug 5352891
This will add a &lt;details&gt;Log from test...&lt;/details&gt; for tests that
pass an optional string when setting the test result or from
overriding the getTestResult method.
This is implemented by adding another column to the test results
database. I modified the backup agent to backup this column as well.
I removed a line in the backup agent that marked the test to fail
due to a mismatched backup key. I kept getting the key
"../databases/results.db" and I think that is from some older
backup that I have... I confirmed backup still works fine though.
Change-Id: Iffec1853d8e1dcbcf9feda821716d071860be069</t>
  </si>
  <si>
    <t>Replace Copy Function with Report Viewer
It was difficult to check report changes while developing, so
I have replaced the "Copy" button with a "View" button that
displays the report in an EditText to make things easier.
Change-Id: I5bdfe3f951895bf5b1ead925a92728725f97c21d</t>
  </si>
  <si>
    <t>Improve test coverage for WebView.get/setCertificate()
Note that this depends on https://android-git.corp.google.com/g/138147 and
https://android-git.corp.google.com/g/#/c/138309.
Also fix the comment for testClearSslPreferences(), which incorrectly claims
that WebViewClient.onReceivedSslError() is not public, and remove
SslErrorHandlerTest.java, which does nothing.
Bug: 5287216
Change-Id: I1d6d7b1d2645392bc190a980483233528343a9da</t>
  </si>
  <si>
    <t>Support tracking not executed cts tests.
Also fix issue in InstrumentationApkTest where it attempts to communicate with
device after its already deemed not available.
Bug 5376439
Change-Id: I1619586629d27e80be7586ece37908dc0e50be1c</t>
  </si>
  <si>
    <t>Fix bug #5051860 android.widget.cts.TextViewTest#testGetFadingEdgeStrength fails on IRK18
- fix the CTS tests
Change-Id: I4055e1c994f68d7bde7f2946d65bf235ccd9eb5a</t>
  </si>
  <si>
    <t>Changed vm-tests-tf to expect failure when int/float double/long mix.
There are still roughly 70 test cases failing. Some are caused by the
verifier not checking this new condition in certain cases (array
indexes, arguments to if statements). Some are caused by other issues
that need more investigation.
See Bug: 5399299
Change-Id: I6fecad07d0131b4128874094b892ee7c8a959e18</t>
  </si>
  <si>
    <t>Various fixes to vm tests for new verifier.
Change-Id: I8f3232ae6dd3c62bbdb53ece8706a9ea281bf846
This changes the expected results of various tests cases to match the
new verifier:
- invalid version number test bumped up to never be valid
- add-long/2addr, add-double/2addr tests for mixing long/double changed
  from using const to define type which can be ambiguous
- if-eqz can't take float values for arguments, and a test for this
  failure already exists, so the extra tests were removed
- invoke-super/invoke-virtual superclass ToInt method should use
  float-to-int, not int-to-float</t>
  </si>
  <si>
    <t>Delete test for hidden API that is being removed.
Bug: 5332296
Change-Id: Id09c9092dbfc36a514207d1138a9731d8a7d529c</t>
  </si>
  <si>
    <t>Run plan with excluded tests.
Also add support for excluded class names, and stop running extra tesst when
--class and --method are specified.
Bug 5412014,5171576
Change-Id: I1f76b206d6b6487dfb3711433d2ab27fdd6f247e</t>
  </si>
  <si>
    <t>Remove a test case for mms intent-filter
This test case will make sure a existence of activities for the
implicit intent which has the type of "vnd.android.cursor.dir/mms".
In AOSP, the intent-filter such as above is declared by Mms
application. However it isn't included in core applications
defined by CDD. So CTS shouldn't have that test case for all devices.
Change-Id: Ib8a322cd7b62a561767cced69bea69958a877128</t>
  </si>
  <si>
    <t>Update CTS tests as part of ContentProvider cleanup.
Bug: 5332296
Remove references to removed hidden APIs.
Change-Id: I9ef14a3006afba91ae75ae072af52e387439d88f</t>
  </si>
  <si>
    <t>Delete Performance Tests
Bug 5432523
Change-Id: I1d79ff0e2ad2abf126ef62a2b9c12ae05b503163</t>
  </si>
  <si>
    <t>Additional tests for Reminders and hasAlarm
Verify that Events.hasAlarm properly tracks additions and deletions
in the Reminders table.
Added some additional tests on deletion of Reminders and Attendees.
Bug 5424486
Change-Id: Ife5aac69e6e3a5ce478ea3e10868e84fd7d468dc</t>
  </si>
  <si>
    <t>Serialization support for test plans.
Bug 5171576
Change-Id: I589129f40a1b1b8b7732d6583a87df320a2d8764</t>
  </si>
  <si>
    <t>Refactor CTS xml creation.
Break out creation of package and test elements into separate classes.
Bug 5171576
Change-Id: I57a26075294393169b0902339295c49597be781f</t>
  </si>
  <si>
    <t>testtype cleanup.
Rename TestCaseRepo to TestPackageRepo, and add a ITestPan.getName method
Bug 5171576
Change-Id: Ib4725f36179794fc0883c97a7830f7cc2c1a7e6b</t>
  </si>
  <si>
    <t>Test summary cleanup.
Add support for parsing plan name for test summaries.
Store cts build id in the buildinfo.
Bug 5171576
Change-Id: I315d0f551676a2ba2f471826635e3fd2a95bc83e</t>
  </si>
  <si>
    <t>Add 'add derivedplan' console command.
Also add display of plan name to 'list results'
Bug 5171576
Change-Id: I4092dbd4177e8fea99e307e1c205255bea9075e1</t>
  </si>
  <si>
    <t>Complete 'continue-session' support
Change the CTS xml generator to read in results from a previous XML file.
The XML generator has also been changed to store results in its own
data structure, rather than reusing CollectingTestListener.
Bug 5171576
Change-Id: Ie4d2aaca47bfb01a7203e9227d4506e2f9a2abd2</t>
  </si>
  <si>
    <t>Adding CTS tests for the new accessibility APIs in ICS.
1. Added tests for the new APIs introduced in ICS.
2. Fixed a failing CTS test.
NOTE: This change does *not* affect the system image, rather CTS.
Change-Id: I15eabeb1f60404707f99ac2048455463fce4c0c8</t>
  </si>
  <si>
    <t>Only install necessary prequisite apks.
Bug 5513483
Change-Id: Ic93592799108300d71677d7a317dd6e926502159</t>
  </si>
  <si>
    <t>Change --no-collect-device-info to --skip-device-info/-d.
Change-Id: Ie2406d972e634fa028538d4804f1747060926e1b</t>
  </si>
  <si>
    <t>Fix build: remove CtsSetupTest.
Change-Id: I319ff94876f8ef114c58c96740c56937fb6433c1</t>
  </si>
  <si>
    <t>Adapt AudioManager volume test to new behavior
The control of silent/vibrate mode by volume keys changed again...
Removed the test of silent/vibrate mode changes induced by volume key presses as
this is defined by the UI spec and not the CDD and is cause for constant mismatch
between CTS and framework behavior.
Change-Id: I62354483357b60848718ca7c73964e2e70f1c2a5</t>
  </si>
  <si>
    <t>Support merging device info metrics.
Add support to read in previous device metrics from XML, and add logic to
combine values. ie when running on multiple devices, we want the report to
show: serial1,serial2 etc
Also cleanup a few constants for consistency.
Bug 5171702
Change-Id: I53a1d82b78fde7795f72015c289baa28c7b8472e</t>
  </si>
  <si>
    <t>Renaming DelayedCheck to PollingCheck
This should not change functionality in any way.
Better name, also moving to package android.cts.util when I'm
already there doing renaming.
Want to modify it to check before the first wait as well, but will
wait for this check to be commited first so we can better track
any new test failures.
Change-Id: If6281dd59cb3b183e39c4b9c4f89364e69811751</t>
  </si>
  <si>
    <t>Move file, change loopback handling, docs.
Move the ListeningPortsTest from android.net.cts to android.security.cts,
to better indicate that this is a security related test.
Start triggering test failures when a process is bound to the loopback
interface. In those cases, it's always better to use a UNIX domain
socket instead of a locally bound IP socket. UNIX domain sockets
can be protected with unix filesystem permissions, or
getsockopt(SO_PEERCRED) can be used to indicate who is on the
other end of the socket.
Drastically fix the documentation to explain why this test is present.
Modify the IP addresses and port numbers to be more human readable.
Change-Id: Id83aadd1455279a1a2d3fb4fb1915af558355aca</t>
  </si>
  <si>
    <t>Delete Old Test Runner
Bug 5563917
Change-Id: I4ed2cde974eee53b90f231a26a2947222aff5415</t>
  </si>
  <si>
    <t>TextKeyListenerTest#testPressKey fails
The test was using KeyCharacterMap#BUILT_IN_KEYBOARD for checking the keyboard
type while the instrumentation uses KeyCharacterMap.VIRTUAL_KEYBOARD. Note that
KeyCharacterMap#BUILT_IN_KEYBOARD is deprecated. Also the test was not taking
into account for a FULL keyboard.
bug:5587476
Change-Id: I9b3b21cb89935e5e9359c67bcc7493f5a8559340</t>
  </si>
  <si>
    <t>Delete Old Theme Tests
Bug 5404694
These tests are being rewritten!
Change-Id: I43af7d02848f1c91d9a52a1639db9234be15714b</t>
  </si>
  <si>
    <t>Delete DX Tests
These haven't been executed in CTS for a long time and have fallen
into disrepair. These can be recovered later if there is a need.
Change-Id: I7d18e854a24bdcc93ca4025e211e0ac25ba0ac88</t>
  </si>
  <si>
    <t>Fix ViewTreeObserverTest in Landscape Orientation
Bug 5679517
The content view had a LinearLayout with horizontal orientation,
so the button ended up near the navigation bar which rejected
the simulated pointer event. Change the layout to use vertical
orientation.
The changes in ViewTreeObserverTest are just to remove warnings
and get rid of the testing annotations.
Change-Id: Ibd062336ef1285305fc8238a5a78190a3ec57656</t>
  </si>
  <si>
    <t>Update the accessibility tests due to changes that fixed memory leaks.
Change-Id: Ie5521ac38b2064453a2a91dd9856d6a4b383af44</t>
  </si>
  <si>
    <t>Revert "integrate media stress test : MediaPlay and MediaRecord only"
This reverts commit 525855d4835309da5e9c35a522f6302f29f8a0a4.</t>
  </si>
  <si>
    <t>Fix Flakiness in MediaScannerNotificationTest
Bug 5728172
Wait a little longer for the scanner to finish.
Change-Id: I0347bd2864d232fe30526bc3ff8e13cc80d583d4</t>
  </si>
  <si>
    <t>Change tests to use WaitForLoadUrl.
 Bug 5734102
 Generally improve webkit test flakiness by using WaitForLoadUrl
 to determine if a page has been loaded.
Change-Id: I5040688c2a0254a5159833da487ec7f150d7ba73</t>
  </si>
  <si>
    <t>Change tests to run WebView calls on the UI thread.
 Bug 5746216
Change-Id: I25992ac95f4a1acb13fe77bcb818c4c4823ad7ce</t>
  </si>
  <si>
    <t>Cleanup / fixes for CTS DebugTest.
First, remove a lot of the unused old annotations and empty test methods.
Then, rewrite test for Debug.threadCpuTimeNanos, which had lots of problems as detailed in the bug.
The new simple version:
-Fires off a new thread and waits for it to complete
-In that thread, do some work and verify that the cpu time has increased
Bug: 5387112
Change-Id: I9b67db7855133bafbcaa203c6e4c483ea770aad8</t>
  </si>
  <si>
    <t>Remove VM Tests
Bug 5563917
We have a separate copy for Tradefed already.
Change-Id: I37b7090aa271a8db78f1da20b61bbf730d6c16e1</t>
  </si>
  <si>
    <t>Flesh out NDEF cts tests.
Change-Id: I82137a87d280e3b7eb1010000d2fc88f48efc308</t>
  </si>
  <si>
    <t>Merge WaitForLoadUrl into WebViewOnUiThread.
 Bug 5788999
 Make it more difficult to make mistakes with
 WaitForLoadUrl.waitForLoadComplete by merging with
 WebViewOnUiThread. WebViewOnUiThread has helpers
 that do loading and waiting. The waitForLoadCompletion
 comes with a warning not to use it alone.
 Removing WaitForLoadUrl moves WebViewTest to use
 WebViewOnUiThread and many tests were simplified
 by putting UI thread calls into WebViewOnUiThread.
Change-Id: I064d9e4b704f3f9788a077ec46ed6a21fff0c403</t>
  </si>
  <si>
    <t>Remove PhoneNumberFormattingTextWatcherTest
Bug 3198578
The API behavior changed in HC, and the test hasn't been
updated to reflect the different behavior. The test
doesn't seem to work like it used to in ICS either so
removing it for now.
Change-Id: I5f6f780488ebc7519393fa4a347d48f77409626a</t>
  </si>
  <si>
    <t>Move Test XML Generation from buildCts.py
buildCts.py was the central script that generated all the
test package XMLs each time CTS was built. This had a
couple problems:
1. All the XML files for ~40 packages needed to be made
   every time CTS was made. Even if those packages were
   not touched at all.
2. Couldn't shard the XML generation process across the
   available cores on a machine. A pool was added to the
   python script, but it was set to a fixed number.
This change moves the test XML generation into a
smaller Java program called "cts-java-scanner" and
the doclet it relies upon to scan the Java files
into "cts-java-scanner-doclet.jar". The output of
the scanner like "cts-native-scanner" for native EXEs
is piped to the existing cts-xml-generator to
produce the test XMLs.
New CTS specific rules replace the standard
BUILD_PACKAGE and BUILD_HOST_JAVA_LIBRARY. They just
add extra rules for the package XML. The BUILD_CTS_PACKAGE
rule also adds a rule for copying the "package.apk"
to something more like "CtsFooTestCases.apk" to the
test case out directory. All the apks, exes, and xmls
are now thrown into a "cts-testcases" directory, before
they are copied to the final CTS distribution.
This change should prevent rebuilding the XMLs
unnecessarily and make rebuilding CTS quicker while
writing tests.
There are still the libcore tests that are always rebuilt,
but they can be adapted to fit into this model someday...
Change-Id: I52a916aa37fd679057e2709bb0ccec694c9fca01</t>
  </si>
  <si>
    <t>Delete RefAppTest
This test wasn't doing much besides scrolling in a ListView.
It required special building rules to build it.
Change-Id: Id2905f6d09a2dd1a949629ded68a0706c7bc8e14</t>
  </si>
  <si>
    <t>Fix CTS tests for setting AppCache path
See https://android-git.corp.google.com/g/155448 and
https://android-git.corp.google.com/g/155450.
Bug: 5745181
Change-Id: Ic7122f20b658691d24aee94b2b48a749c44db643</t>
  </si>
  <si>
    <t>Support Older XML Formats
Bug 5844154
Change-Id: I8f0daba15072aa0ef4169354eabfcbea85062148</t>
  </si>
  <si>
    <t>Test Update Ops for Stream Items
Bug 5810254
Change-Id: I03053729b53e745b3d48dd62ec69fec618ba89ad</t>
  </si>
  <si>
    <t>Remove WebViewTest.testAddJavascriptInterfaceOddName()
This doesn't test anything to do with the Java Bridge. It merely tests features
of the JavaScript engine, so should be removed.
Bug: 3279426
Change-Id: I3ff522ae39276aa31595c242d9799fa7856af09b</t>
  </si>
  <si>
    <t>Report Installed Apps and Properties
Bug 5875919
Add a list of installed packages and properties to the report.
There are a lot of packages and properties, so I restructured the
device information section to be four columns wide and split apart
the test summary into its own area. The device information is
no longer shown by default, since it is so long and wide. However,
there is now a link at the top that allows you to toggle it.
Refactor DeviceInfoResult to utilize common functions for
serializing and parsing. Make sure it all works by adding tests
for it in DeviceInfoResultTest. The tests weren't running,
because they were not part of UnitTests. Finally, fix the
existing CtsXmlResultReporterTest failures. The mock was not
being setup properly.
Change-Id: If8f909444785267806d1e52f5270146962255271</t>
  </si>
  <si>
    <t>Some Tests for ContactsContract_StreamItemPhotos
Bug 5810254
Exercise the 2 insertion examples on:
http://developer.android.com/reference/android/provider/ContactsContract.StreamItemPhotos.html
Change-Id: I790757741bf8309b02fa24eb5a6092cba4fe3d59</t>
  </si>
  <si>
    <t>Don't Report Installed Apps and Properties
Bug 5875919
Keep the refactoring that was done though and redistribute the data
across the columns.
Change-Id: Ibeda4337afb8e7e1660be1f1b5effab3d045c5c9</t>
  </si>
  <si>
    <t>Remove termination of replica island as it does not work consistently,
and delayed termination can fail the next test.
bug 5906938
Change-Id: I5eba8965fdf3fecb6c7ce26f645da1436b0abe64</t>
  </si>
  <si>
    <t>Fix SKT and KT Special Cases
Allow the special SKT and KT scenarios to permit the original
test cases, since those special cases don't apply everywhere
it seems...
Change-Id: Idf7ba9fab4338d2d3b52d629df074521d5cd1957</t>
  </si>
  <si>
    <t>Add test to verify that adding and removing a nomedia file is handled correctly.
Also refactor some of the other tests to make use of new utility classes
Change-Id: Ib8ea168a88fc8688ecf4bf9143947ea3ed290ef5</t>
  </si>
  <si>
    <t>Use ContentProviderClient Instead
Bug 5810254
Get rid of usages of the hidden IContentProvider API in
the provider test cases. Replace it with ContentProviderClient
public API instead.
Change-Id: I8329090ecf43a05b7edf453b61e36ac194e4bdb1</t>
  </si>
  <si>
    <t>Some android.database CTS Cleanup
- Remove another usage of IContentProvider.
- Get rid of private API dependency on com.google.android.collect...
Change-Id: I37e04686c2420e4cb495e6b95ae3907dda07fc70</t>
  </si>
  <si>
    <t>Fix typos
Signed-off-by: Chris Dearman &lt;chris@mips.com&gt;</t>
  </si>
  <si>
    <t>Remove Most of dx-tests
Strip out the dx-tests that no longer compile. The build doesn't
break, because the compilation occurs in a script. These tests
haven't been running as part of CTS and are not maintained at all.
Keep the cfassembler module since that is needed by the vm-tests
which are still maintained. Rename the dx-tests directory to
cfassembler, since that is all that is in it now.
Change-Id: I038054ad0703bdd00af3b7b1012ea9ad3eabd8a6</t>
  </si>
  <si>
    <t>Monkeying Around
Bug 5898005
Spot check the package, category, seed, and verbosity flags.
These tests are not very strict but make sure things appear to
be working as expected.
Change-Id: Ia5dd9662e8164d6151c37f6eeebd32d5f9dd97ec</t>
  </si>
  <si>
    <t>Revert "Add proper CTS tests for array initialization."
This reverts commit 2105f752309b8f2c558bfa06a446e4f3a5bb1262.</t>
  </si>
  <si>
    <t>Simplify Choreographer API.
Bug: 5721047
Change-Id: I495aaa0b8b6ce44efd943eab3e75eef7aa0a6f53</t>
  </si>
  <si>
    <t>Update MessageQueue barrier API tests.
Bug: 5721047
Change-Id: Ib69ff7386c0f34aa305907fff7aa62b36a892fda</t>
  </si>
  <si>
    <t>Implement tests regarding loading of network resources and data url images.
The following settings are tested:
blockNetworkImage
blockNetworkLoads
loadsImagesAutomatically
Bug:5853667
Change-Id: I8b8ace17f75e8ff1a25fc76c3ab98ece0ea2b8a6</t>
  </si>
  <si>
    <t>Added more test cases to DrmEvent classes, DrmInfoRequest, and DrmInfo
Change-Id: If302019e10b0d8ab0c4e322fbe56e32a4b9ab610</t>
  </si>
  <si>
    <t>Add tests for new Choreographer behavior.
Change-Id: Id17a1ebf6574f5b6db141d7a83d66578c1ef2baf</t>
  </si>
  <si>
    <t>Add tests for new Choreographer callback token feature.
Change-Id: I5630958b201d43fb8d6cadc3b08d7a80ada8e1a0</t>
  </si>
  <si>
    <t>Add CTS tests for new ClipData Intent feature.
Change-Id: I87f7b5c7f23fbfafeede81bc82bd4ee464842f5c</t>
  </si>
  <si>
    <t>Automated accessibility CTS tests and added more tests.
1. Added test runners for the two accessibility sets of tests
   to the cts-tradefed test types. While these runners are
   specific to the accessibility tests, the CTS maintainers
   are fine adding specific tests to the CTS tradefed library
   since there is already such a precedent and it is not common
   for someone to need adding custom runners.
2. Modified the build rule for a CTS package to take as an
   argument a runner class name. This enabled the package to
   specify which runner to invoke the tests in it.
3. Added tests for the accessibility API to maximize CTS test
   coverage. Currently not tested are interfaces and callbacks
   invoked by the system.
5. The accessibility tests can be used as an example for writing
   tests that require modification of the secure settings or
   generally require execution of shell commands from the host
   before and after running the tests.
bug:5946699
Change-Id: I3b68bff4fed846b374a88a2abe812801bd6f2c8f</t>
  </si>
  <si>
    <t>Rename MediaPlayerStreamingTest
When MPST brings down the media server, the Ringtone tests end up
failing when trying to load ringtone resources in the setUp method.
Renaming MPST to SMPT so that it occurs after the Ringtone tests,
so that the Ringtone tests don't fail and raise concern.
Change-Id: I2a93a698f441c510bd71206fc3bcc4089825f308</t>
  </si>
  <si>
    <t>Fix Broken PreferenceWithHeadersTest
Bug 6199618
- The XML was trying to inflate fragments from the examples project.
- Make the PrefsOneFragment static so it can be instantiated properly.
Change-Id: Iae966deb60cb385c349f4700628cea62cd370eb9</t>
  </si>
  <si>
    <t>Rename private methods in CameraTest to not start with 'test'.
The test runner currently considers several private methods in
CameraTest to be top-level tests, and then cannot run them because
they are private. Rename these methods to avoid this problem.
Bug: 6239119
Change-Id: I002f1f3028b85ee628c549c1df77e76a91098369</t>
  </si>
  <si>
    <t>Add tests for yield transaction that actually yield.
Bug: 6239243
Change-Id: I6e6e0a5bf5fcaba31971b13cc2e27925019ab990</t>
  </si>
  <si>
    <t>Update tests for new Choreographer implementation.
Change-Id: I71faf70430f44d7b94a01609cfffb1b1913a61f0</t>
  </si>
  <si>
    <t>PIILogTest: remove
Now that READ_LOGS is system|signature, third party apps (including
CTS) can't read log entries associated with another app. Remove
this test.
Change-Id: Iaec82e2996028ed98e391d8e88e47b4efdcb21e0</t>
  </si>
  <si>
    <t>Minor naming refactoring
Change-Id: Iefbbb33183c125fbcefe8414e69b08397ad21736</t>
  </si>
  <si>
    <t>Updated SpannableStringBuilderSpanTest
Added new tests to check the new SpanWatcher functionalities
added in SpannableStringBuilder.
All possible span replacement situations should now be tested
(over 20,000 tests are run).
The special SPAN_PARAGRAPH flag is not covered.
Change-Id: I3d1d1782f4c1c86f08f26a8a8f8683c1ba25df92</t>
  </si>
  <si>
    <t>Accessibility focus - CTS
Usefulness: Keep track of the current user location in the screen when
            traversing the it. Enabling structural and directional
            navigation over all elements on the screen. This enables
            blind users that know the application layout to efficiently
            locate desired elements as opposed to try touch exploring the
            region where the the element should be - very tedious.
Rationale: There are two ways to implement accessibility focus One is
           to let accessibility services keep track of it since they
           have access to the screen content, and another to let the view
           hierarchy keep track of it. While the first approach would
           require almost no work on our part it poses several challenges
           which make it a sub-optimal choice. Having the accessibility focus
           in the accessibility service would require that service to scrape
           the window content every time it changes to sync the view tree
           state and the accessibility focus location. Pretty much the service
           will have to keep an off screen model of the screen content. This
           could be quite challenging to get right and would incur performance
           cost for the multiple IPCs to repeatedly fetch the screen content.
           Further, keeping virtual accessibility focus (i.e. in the service)
           would require sync of the input and accessibility focus. This could
           be challenging to implement right as well. Also, having an unlimited
           number of accessibility services we cannot guarantee that they will
           have a proper implementation, if any, to allow users to perform structural
           navigation of the screen content. Assuming two accessibility
           services implement structural navigation via accessibility focus,
           there is not guarantee that they will behave similarly by default,
           i.e. provide some standard way to navigate the screen content.
           Also feedback from experienced accessibility researchers, specifically
           T.V Raman, provides evidence that having virtual accessibility focus
           creates many issues and it is very hard to get right.
           Therefore, keeping accessibility focus in the system will avoid
           keeping an off-screen model in accessibility services, it will always
           be in sync with the state of the view hierarchy and the input focus.
           Also this will allow having a default behavior for traversing the
           screen via this accessibility focus that is consistent in all
           accessibility services. We provide accessibility services with APIs to
           override this behavior but all of them will perform screen traversal
           in a consistent way by default.
Behavior:  If accessibility is enabled the accessibility focus is the leading one
           and the input follows it. Putting accessibility focus on a view moves
           the input focus there. Clearing the accessibility focus of a view, clears
           the input focus of this view. If accessibility focus is on a view that
           cannot take input focus, then no other view should have input focus.
           In accessibility mode we initially give accessibility focus to the topmost
           view and no view has input focus. This ensures consistent behavior accross
           all apps. Note that accessibility focus can move hierarchically in the
           view tree and having it at the root is better than putting it where the
           input focus would be - at the first input focusable which could be at
           an arbitrary depth in the view tree. By default not all views are reported
           for accessibility, only the important ones. A view may be explicitly labeled
           as important or not for accessibility, or the system determines which one
           is such - default. Important views for accessibility are all views that are
           not dumb layout managers used only to arrange their chidren. Since the same
           content arrangement can be obtained via different combintation of layout
           managers, such managers cannot be used to reliably determine the application
           structure. For example, a user should see a list as a list view with several
           list items and each list item as a text view and a button as opposed to seeing
           all the layout managers used to arrange the list item's content.
           By default only important for accessibility views are regared for accessibility
           purposes. View not regarded for accessibility neither fire accessibility events,
           nor are reported being on the screen. An accessibility service may request the
           system to regard all views. If the target SDK of an accessibility services is
           less than JellyBean, then all views are regarded for accessibility.
           Note that an accessibility service that requires all view to be ragarded for
           accessibility may put accessibility focus on any view. Hence, it may implement
           any navigational paradigm if desired. Especially considering the fact that
           the system is detecting some standard gestures and delegates their processing
           to an accessibility service. The default implementation of an accessibility
           services performs the defualt navigation.
bug:5932640
bug:5605641
Change-Id: I42f26b9ad4f8631bf7e56c3c632068b9c89f3b49</t>
  </si>
  <si>
    <t>Revert "Cts tests for webview file origin policy changes"
This reverts commit b75e6c7911492de9acb4120c62c0654064d10846
local build failed. I don't know if it is real/have time to investigate tonight so simply reverting. will do it tomorrow.</t>
  </si>
  <si>
    <t>Remove TimeUtilsTest#testWorld
Bug 6293324
- Remove known failure testWorld because it will not be fixed.
- Fix utils package to not use private APIs.
Change-Id: I1f51c506d4e710211b782fd078973193d04a1c4d</t>
  </si>
  <si>
    <t>Removing hierarchical accessibility focus directions.
1. The accessibility focus directions are not needed since an
   accessibility service just get the root, first child, next
   sibling, previous sibling and call execute the action to
   give it accessibility focus. Now the accessibility node
   info tree is properly ordered taking into account layout
   manager directions for both layout manager that we report
   and ones that we have determined as not important for
   accessibility. Also the position of a node info are ordered
   properly based on their coordinates after all transformations
   as opposed to child index.
bug:5932640
Change-Id: Ieeb69603c89ae57eaa7d7d6a4070838d7a6e5d2b</t>
  </si>
  <si>
    <t>Remove ImageViewTest#testOnSetAlpha
Bug 6293042
Change-Id: I97c41cf1f27838b0fbce3930caf1f7cc59d038a0</t>
  </si>
  <si>
    <t>FileSystemPermissionTest: Don't stop early
When scanning the filesystem looking for bad files /
directories, the current tests stop at the first bad one.
This suppresses other findings, and gives an inaccurate
state of the security of the device.
Collect all bad files and directories before we fail, and
print them all out as part of the failure message.
Change-Id: I8494694765034b5fd557cd2618b8ddad86a17a68</t>
  </si>
  <si>
    <t>Hide RTL related APIs - DO NOT MERGE
- fix bug #6441155 API review: @hide RTL layout APIs
Change-Id: Ia3ed48ecd49528f6aa03695b8a83ae24d99bbe7b</t>
  </si>
  <si>
    <t>Hide Paint textLocale APIs - DO NOT MERGE
- fix bug #6441521 Need to @hide Paint setTextLocale / getTextLocale - CJK support
Change-Id: I23d9d0d9da28434d6c866a9c2a75206d166608ec</t>
  </si>
  <si>
    <t>Fix path-permission tests.
Broken because of regex instead of prefix matching.  Also made test
clearer.
Bug: 6332123
Change-Id: Id5cf802b14940eac84620f6eb79399ef7fb93528</t>
  </si>
  <si>
    <t>Get rid of zergrush reflection test
The ZergRush vulnerability is no longer present in
this Android release. No need to test for it further.
This test is failing due to commit dc410cb3499683509770bb88cb771a91acd16bd2
in frameworks/base. The MOUNT_UNMOUNT_FILESYSTEMS permission is
signature|system, and is no longer available to third party apps.
Bug: 6448705
Change-Id: Ibf7a8439e5faef4e4c73bc3977c56a71dd93ff30</t>
  </si>
  <si>
    <t>Fix bug #6293659 android.view.cts.ViewGroupTest#testSetPadding fails - DO NOT MERGE
- remove RTL unit tests ...
Change-Id: I8c4559418b538c674e44d92fa1c94a5b4a49a0d0</t>
  </si>
  <si>
    <t>Track rename of Uri.normalize() to Uri.normalizeScheme().
Change-Id: I0b6c65e033bfb82503f30e5c9e55903278c4a788</t>
  </si>
  <si>
    <t>Fixing the accessibility CTS tests.
1. We are now requiring an accessibilitiy service to request
   a special premission in order to be considered by the
   system as an accessibility service. The delegating service
   did not require this permission, thus it was not enabled.
2. We decided that the input and accessibility focus will no
   longer try to sync - removed and update the relevant tests.
3. Manipulating accessibility focus now requires explore by
   touch mode - updated the tests drivers to poke the
   corresponding setting.
Change-Id: Ica617fa29208104086cc4155ac838cad086f6539</t>
  </si>
  <si>
    <t>Fixing the other half of the accessibility CTS tests.
1. Now we enable touch exploration in the test runner.
2. Fixed the mess with the field count when marshaling
   and added test to check the new fields.
3. The test services did not require the now mandatory
   permission.
Change-Id: Ic4b44345eb7b57957c4b3a5575390d7dab5bd527</t>
  </si>
  <si>
    <t>Clean up layout direction APIs for Drawable
- see bug #6427629
Change-Id: I91e3db30024c8deb55d128a9a913d7ebd0c6ea3a</t>
  </si>
  <si>
    <t>Remove flaky GestureDetectorTest
The history of failures indicate that this test fails in different
places sometimes making it to the double tap portion or sometimes
failing early in the single tap portion.
Bug 6301808
Change-Id: I6feea055e9905a5a17115678af5a2d1acfeeb73a</t>
  </si>
  <si>
    <t>Release MediaFrameworkTest wakelock in onPause
onStop might not be called, so make sure to do this in onPause.
Bug 6300860
Change-Id: If2146a2d7d01c30723d13bfdbc5f98c11767c68d</t>
  </si>
  <si>
    <t>Rewrite VelocityTracker tests.
These tests are intended to characterise what makes a good
velocity tracker algorithm while allowing for alternative
implementations.  Note that the requirements are still quite
stringent.
Bug: 6413587
Change-Id: Ic02755199dd0da17d7cba4a03466e9839b5ff6fa</t>
  </si>
  <si>
    <t>Improve OpenGL test reliability
These tests were launching activities, setting a view, and then sleeping
for 1 second. Send a couple extras via an intent to the test activity
so it creates the content view properly in one shot instead. This should
remove the need for sleeping and fix the occasional NPEs about view
being null.
Bug 6485813
Change-Id: I861cf74bdae3c0b46cba7d58c1218acf1d6297a5</t>
  </si>
  <si>
    <t>AccessibilityEndToEndTest#testTypeViewFocusedAccessibilityEvent fails.
1. This is due to a late change to use the new recents UI when
   performing the global accessibility action to open recent apps.
bug:6312008
Change-Id: Ifcc7a81f76a19ab0e0c6c31f3f7edda74408ab19</t>
  </si>
  <si>
    <t>Remove flakey ObjectAnimatorTest
(set|get)CurrentPlayTime rely upon the current system time, so this test
cannot be reliable.
Bug 6346629
Change-Id: Iba8d88a7d062e298fd3c8df8749e0942b1f1f6dd</t>
  </si>
  <si>
    <t>Merged skipped commits
Change-Id: I0ab45214aac0213c6de40a059b03efa0e3aec2d7</t>
  </si>
  <si>
    <t>fix flaky opengl test
- add CountDownLatch to make sure that chekc is done after action is done
- change error check to check if error or not rather than checking
  specific error code
- change  test_glAttachShaders_programobject_attach_fragshaderobject to be
  expecting NO_ERROR as the operations are valid
Change-Id: Ia4c54b03a1b3312728ed348891fb031550b29b05</t>
  </si>
  <si>
    <t>merge from ICS
- clean up unused views
- remove too high bit-rate clips
- skip tests if there is no camera
Change-Id: Iba91656d8d375a74286982735218943482a91acb</t>
  </si>
  <si>
    <t>Remove setMaximumTimeToLock Test
JB now ignores the Stay Awake option if the DPM sets the maximum time to
lock. This causes the screen to go dark during the tests and cause
problems.
Change-Id: Ifd16f6682645e402875f69ed37a0db38364f08ac</t>
  </si>
  <si>
    <t>Updated unit test for StaticLayout line breaking
Now correctly handles space consumption at the end of lines.
Also added tests for the maximum number of lines constraint.
Change-Id: I9b354bf3cc8789b9ccc489099e19e6e4019e4744</t>
  </si>
  <si>
    <t>Remove the accessibility focus search tests since these APIs are taken out.
1. In JellyBean we have added some APIs to search for next accessibility
   focus in various directions and set accessibility focus from hover.
   However, we have decided that there is not clean answer for how this
   should behave and the APIs were hidden. Now the accessibility service
   is responsible for that. The unused code is now taken out and some
   CTS tests are obsolete.
bug:6773816
Change-Id: I73e879522e15f11b2b7af94dc9a9c89914e49e59</t>
  </si>
  <si>
    <t>Remove the accessibility focus search tests since these APIs are taken out. DO NOT MERGE
1. In JellyBean we have added some APIs to search for next accessibility
   focus in various directions and set accessibility focus from hover.
   However, we have decided that there is not clean answer for how this
   should behave and the APIs were hidden. Now the accessibility service
   is responsible for that. The unused code is now taken out and some
   CTS tests are obsolete.
bug:6773816
Change-Id: I73e879522e15f11b2b7af94dc9a9c89914e49e59</t>
  </si>
  <si>
    <t>Add a randomized testcase for MediaPlayer.java API methods
Change-Id: I99cac3cbb30110a1393f196b70cd6a066c2f5cc5</t>
  </si>
  <si>
    <t>Revert "CTS for timestamp in ScanResult"
This accompanies:
https://googleplex-android-review.googlesource.com/217002
This reverts commit 98a6d451be2559e03ba221fb382764f85e3c2038
Change-Id: Ib37b72c59aad34fe9fd4461979c5f51af1218e37</t>
  </si>
  <si>
    <t>Remove spurious test case: CookieTest.testParse
This test is inappropriate for CTS as it is testing an
implementation detail that is subject to change rather
than the CookieManager API. Semi colons were specifically
forbidden from quote cookie values in RFC 6265.
Bug: 6991300
Change-Id: I6119108fc9c21a376cd6060ff93773443b03d172</t>
  </si>
  <si>
    <t>Revert "performace test initial work"
This reverts commit b6ea46e3f074720ddae5e018b80e616f72272ed0
Change-Id: I2becc16ff320bed2174582df0ca79dcc01067e4a</t>
  </si>
  <si>
    <t>Fix bug #7173351 API REVIEW: android.util.LocaleUtil
Change-Id: Iab501f3d61125a4f96e0e8d7ba1cf2029ac8c00a</t>
  </si>
  <si>
    <t>Adds a test case for MediaPlayer's deselectTrack().
o Adds a test case named testDeselectTrack().
o Refactors Monitor class and removes redundant SubtitleMonitor.
o Modifies log messages to be more readable.
Bug: 7200096
TESTED=runtest cts-media -c android.media.cts.MediaPlayerTest
TESTED=runtest cts-media -c android.media.cts.MediaPlayerFlakyNetworkTest
TESTED=runtest cts-media -c android.media.cts.StreamingMediaPlayerTest
(Some test cases fails, but those are not regression.)
Change-Id: I6a2847ce7b0188f54357e7ea34ce8f5390c5596e</t>
  </si>
  <si>
    <t>Fix bug #6427629 Clean up layout direction APIs
- rename getResolvedLayoutDirection() to getLayoutDirection()
Change-Id: Ifcba38f3aedd2ec1da751d70457296b94608506c</t>
  </si>
  <si>
    <t>add dram bandwidth measurement &amp; random read/write
- dram bandwidth measures time taken to memcpy between 4MB buffers
  : results devideb by screen resolutions to show screen copy per sec.
- random R/W performs 4KB access randomly for a file.
  : Each access is aligned to 4KB.
- also reduce the number of repetition in SequentialUpdate as mako
  does not complete in 30 mins
Change-Id: I7ca382f9a6e6f361278ed91447e6b8dee38a7a2f</t>
  </si>
  <si>
    <t>add more cases to AlmostFull case
- move disk fill into setUp stage and adjust free space to 1GB
 : &lt; 500MB kicks in cache erase multiple times, which can affect the reult.
- share disk filling across all tests: use the property that TestCase instances
  are created as a batch at the beginning -&gt; add reference counting to prevent
  filling again and again. The filled disk is cleared when reference count
  becomes 0.
- move random R/W and sequential update into common code to share
Change-Id: I31f37b40322c2bca94942c2cb7500799b19bed0d</t>
  </si>
  <si>
    <t>Delete a bad CTS test.
This test calls WakeLock.release() without previously
having acquired the WakeLock (because it does not have
permissions to do so).  The release() turns into a no-op
on the client side because the WakeLock is not held.
Consequently the system will not check permissions
(it doesn't have to) so no SecurityException is thrown.
That said, the system does check permissions on release()
but we can't test that through the API.
Bug: 6950370
Change-Id: I4a94b33b223e8010c285b756ae7d6bbbb4f308a1</t>
  </si>
  <si>
    <t>remove navigation bar related changes which break in some devices
Bug: 6949468
Change-Id: I71a148e9015dfd16cd8975a2f96efb03161c588b</t>
  </si>
  <si>
    <t>Fix incorrect tests
Bug #7262921
Bug #7198966
Bug #7203333
Change-Id: Iaf8d1ae0cb2440e479d1bb24145e223045624246</t>
  </si>
  <si>
    <t>comment out testResourceLeakageTest
- will not be fixed in JB MR1
Change-Id: I094bc1e11021d18e2ae43925f672e005d77137a2</t>
  </si>
  <si>
    <t>nuke webkit security tests
- Tests are broken and needs whole re-write
Bug: 6950518
Bug: 6950487
Change-Id: I6e3ae169e10f9e83095e685fc6daeb84c2dd64b0</t>
  </si>
  <si>
    <t>nuke AttachShaderTest#test_glAttachShaders_successfulcompile_attach_invalid_handle_frag
- having no crashing stack for wrong parameter is nice to have feature
Bug: 6979723
Change-Id: I5ef9ddd9b6309dc2e5e48fa2e40f327d2d085574</t>
  </si>
  <si>
    <t>Remove CacheManager related tests
CacheManager will not be implemented in webviewchromium and its
implementation has been removed from WebViewClassic. So removing
CacheManager related tests.
There is no way to test WebView.clearCache in isolation without
CacheManager implementation, so removing that test as well. Note that
clearCache is tested in the test for BlockNetworkLoads.
Change-Id: Ib503ab6b51310a4a9b8a8c6995a95a274e6be861</t>
  </si>
  <si>
    <t>nuke MediaPlayerFlakyNetworkTest
- the test is flaky and no one fixes it.
Bug: 6970592
Change-Id: I3cb5080a72be439b3d820a83ead36ad4165d9fa0</t>
  </si>
  <si>
    <t>nuke android.opengl.cts.AttachShaderTest#test_glAttachedShaders_attach_same_shader
- some device sometimes crash, and it cannot be reliably tested.
Bug: 6971276
Change-Id: I2181e6174b9bc88576087e2d2fe28c25402d7836</t>
  </si>
  <si>
    <t>nuke RTSP tests from StreamingMediaPlayerTest
- RTSP tests are more vulnerable to network condition, and are flaky.
- Those tests were in known failure list for all releases, so they were not
  in public release.
Bug: 6952519, 6952297, 6952295, 6952242
Change-Id: I4466bddd70ecd16380dcbf2a142209c4d199bfd7</t>
  </si>
  <si>
    <t>nuke some android.opengl.cts.AttachShaderTest and NativeAttachShaderTest
- test_glAttachedShaders_invalidshader nuked as test passes wrong parameter and expects error code, but some device crash.
- emptryfragshader_emptyfragshader and emptryvertexshader_emptyvertexshader nuked as only one vertex or frag shader can be attached
Bug: 7298859, 6971461, 6971501, 6971275
Change-Id: I92d78d39df05c1ee57f79c874f966a264f3db97b</t>
  </si>
  <si>
    <t>CTS tests to verify multi-user emulated storage.
Verifies that each user has its own isolated emulated storage, minus
shared storage for OBB files.  Also tests to verify that legacy
filesystem paths like "/sdcard" continue working.
Adds early support for multi-user CTS tests, should eventually be
moved into ITestDevice and RemoteAndroidTestRunner.
Bug: 7048947
Change-Id: I0573b9236b267ab798676926910ec4e1890fe7cb</t>
  </si>
  <si>
    <t>Revert "Add resize2D and copyFrom(Allocation) tests to CTS."
This reverts commit 8d13f3f8cbf991832117a68053905df1659d71e0
Change-Id: Ia946390e88fe53cc08bb5339ae7e2dd46096765f</t>
  </si>
  <si>
    <t>Revert "Test that rs_script_call_t works properly."
This reverts commit 72ebb23ef0dd074e1852bc4e9d4ff75c59787b1f.</t>
  </si>
  <si>
    <t>Improve external storage CTS tests.
Change read test to no longer depend on existing file, and verify
that written values can be read back.  Remove testing of paths not
covered by CDD.
Verify that EXTERNAL_STORAGE environment variable is defined
correctly.  Improve multi-user storage test to validate legacy paths.
Bug: 7369656
Change-Id: Ic3ffc24e81297c739d2b07273957b01be2d05445</t>
  </si>
  <si>
    <t>Revert "Add clipped kernel tests to CTS."
This reverts commit 1060c8d576edb86f9df1f3f3ec178a0a0100c1e6
Change-Id: I160a9561e52499bc53b645371729e8c9c1448bdf</t>
  </si>
  <si>
    <t>Remove usage of WebView.setCertificate
This method will be a no-op in the Chromium powered webview.  It looks
like it may have been exposed only as a convenience for testing.  This
change updates the tests to no longer use or rely on the method.
Bug: 5012961
Change-Id: I1a88464bd1acc46e72cfe82f6e3256a7482122cf</t>
  </si>
  <si>
    <t>CTS tests for android.view.Display
Create an overlay display on the device whose parameters
we control. Test the Display API against this overlay display.
Also remove Display test from tests/tests/view.
Bug 7067202 fixed.
Change-Id: I724e80b8a70aca46d8a7ab1c6dea050b3fe6a02b</t>
  </si>
  <si>
    <t>Remove tests for Fused Location
Remove tests for Fused Location in the coarse location CTS tests.
Change-Id: Ic0e76657e9e93fc7b700d83386c528b29e88dd53</t>
  </si>
  <si>
    <t>Revert "Add test for exposed javascript interfaces."
This reverts commit 54ea8079237becd99105093d1daf70f04d12bd24
Change-Id: I506706b501be36164a72cab3bff96b0be06af95b</t>
  </si>
  <si>
    <t>add more buffer sizes for dram test
- depending on L1/L2 cache size, each case will show different results.
- For current devices, 16MB (= total 32MB for src + dst) should be big
  enough to exceed L2 cache size.
- Sudden drop in performance, when starting from 4KB will tell that a cache
  size has passed.
Change-Id: I5fa47adb92bb3d62a4af39b6ba5dcc478fba340a</t>
  </si>
  <si>
    <t>change all file writes to random access with O_SYNC
- for giving the same result for all write tests
Change-Id: I630cfb8712bf0b130cb97f42b8c1708cfa0a1358</t>
  </si>
  <si>
    <t>Add more tests for restricted broadcasts.
Test that certain wifi broadcasts are properly protected by the system.
This detects the presence of a security bug which allows the modification
of wifi proxy settings.
This list was taken from frameworks/base commit
47918ae3b4e7ebb54711884e9ff9d0300591ab8b
Public Bug: http://code.google.com/p/android/issues/detail?id=40506
Bug: 7622253
Change-Id: I417e055174f4105c94abdd63de8262f2afd8ea64</t>
  </si>
  <si>
    <t>Add more tests for restricted broadcasts.
Test that certain wifi broadcasts are properly protected by the system.
This detects the presence of a security bug which allows the modification
of wifi proxy settings.
This list was taken from frameworks/base commit
47918ae3b4e7ebb54711884e9ff9d0300591ab8b
Public Bug: http://code.google.com/p/android/issues/detail?id=40506
Bug: 7622253
(cherry picked from commit 7993485b87a11657654a50e45be81cbeccd2f009)
Change-Id: I69478b20975c09f87914ba04d0a7009aa6ef6c88</t>
  </si>
  <si>
    <t>Remove useless code.
The function
  protected void sendSms(PendingIntent sentIntent, PendingIntent deliveryIntent,
           String currentNumber)
is never called, making this class essentially identical to
the class it extends (NoReceiveSmsPermissionTest).
It seems like the original author intended this method to be:
  protected void sendSms(String currentNumber, String text, PendingIntent sentIntent,
          PendingIntent deliveryIntent) {
(note the different arguments) which would then @Override the version from
NoReceiveSmsPermissionTest. However, if you refactor the code to make that
change, you essentially end up with identical definitions of sendSms.
Since refactoring would result in identical code, the best thing to do is
to delete this class.
This code was originally added in commit 7000873a066ca6f6e5c174b8f5fd944dd8c222b1
Change-Id: I90fb75acf88df7918f831e3e919516beac7c9fe6</t>
  </si>
  <si>
    <t>UiAutomator test APK and Tests for CTS
This CL will be moved to TF CTS harness
Change-Id: I07f0d5185fa758728f4be10deb62ad316f87899d</t>
  </si>
  <si>
    <t>CTS tests for UiAutomator at API 17
Change-Id: Ibe1ef7c97b69ceee504e7aaceeb34e345170d6b1</t>
  </si>
  <si>
    <t>Remove no-op cts test
Bug: 7683972
The API test that this method is testing has been a no-op and will be
deprecated/removed at some point of time. Removing the test.
Change-Id: I2948d1a2c2b867a7822a721e941af5e8ab08dd05</t>
  </si>
  <si>
    <t>Test that MediaCodec reconfiguration works
Change-Id: I64220938923737d3b62055790deacc9cb09783c4</t>
  </si>
  <si>
    <t>Refactor and improve coverage of HttpAuthHandlerTest.
Refactor the HttpAuthHandler and add a new test for the
useHttpAuthUsernamePassword API.
BUG:7034995
Change-Id: If5a00c4bda3785a399540ffd974febca2c2d1d30</t>
  </si>
  <si>
    <t>Remove WebSettingsTest.testAccessNavDump
This setting is now hidden and will not be supported.
BUG=7888794
Change-Id: I9c8bd99f0078005999e27765867311e914aec33e</t>
  </si>
  <si>
    <t>Remove WebSettingsTest.testAccessUserAgent
WebSettings.{get|set}UserAgent (the integer-based version) was
deprecated long time ago and is now hidden. It will not be supported
anymore.
BUG=6212306
Change-Id: Ib87c3df3c7f5e3d23e8e1aa1b94753c7b646b949</t>
  </si>
  <si>
    <t>Remove testSaveAndRestorePicture
This is deprecated and hidden, so support no longer needed in CTS
Bug: 7888947
Change-Id: I07efc6eabeaac2a65213a465f3a0a04967569d04</t>
  </si>
  <si>
    <t>Remove cts tests for deprecated APIs
Bug: 5012826
We are deprecating save/clear/has username password APIs. Remove
related tests.
Change-Id: Ifc60195c22057209407669af9fe5c865f5c0734d</t>
  </si>
  <si>
    <t>chage browser bench to device only test
- result captured using HTTP Post
- added a minimal HTTP POST hook to CtsServer
- PtsReport() in pts_report.js is the JS side API for posting the result
- fixed the issue of opening multiple tap by using EXTRA_APPLICATION_ID
- Client is supposed to post a result before watch-dog expires.
  Time-out is 10min for Octane.
- moved watch-dog timer code from openglperf to ctsutil lib to share it.
Change-Id: I94075c65b616ca4e1464607b57e7a776e88c2eab</t>
  </si>
  <si>
    <t>Add tests for InputMethodSubtype
bug: 7542467
Change-Id: Iea1b87e9b51746358b947f627b5c47a734525b3a</t>
  </si>
  <si>
    <t>Improve EncodeDecodeTest
Made Surface-based test reliable by blocking until onFrameAvailable
is called.  Added test on decoded frame count.  Ignore all
unsupported formats in the ByteBuffer output test, not just the ones
we recognize.
Misc cleanup.
Bug 8091782
Change-Id: I48ffd50dd52c344d11ea49eaa4e7326d098c87fc</t>
  </si>
  <si>
    <t>Refactor VideoRender
The VideoRender class inside VideoSurfaceView is generally useful
for code that wants to render a texture to a Surface.  Split it out
into its own class.
Change-Id: I38ddb213a3fb5bca1c790b5b788465b367c9837e</t>
  </si>
  <si>
    <t>let it pass when decoder changes color format in the middle
- it is the same as not supporting non-proprietary format
- moved CodecInfo into a separate file for future re-use
Change-Id: I973a1b98d57de53645a0cbacb7d235e1efa5c5ff</t>
  </si>
  <si>
    <t>Revert "Merge remote-tracking branch 'goog/master-chromium' into 'goog/master'" DO NOT MERGE
This reverts commit b1701d8ffc9226e7bec45691c7ff44ed088ebbd0, reversing
changes made to c0d57641568a73cfd7b613a9127557cbcceef5f0.
Change-Id: I71d79634428d420e095d72f5995dfcf40e3628f0</t>
  </si>
  <si>
    <t>Update cts test to accept origin with and without trailing /
Difference in the classic and chromium implementation mean
both have to be accepted.
Change-Id: Iaf13e51dbdf053b806ed1258f1e4564331ac0e68</t>
  </si>
  <si>
    <t>Revert "Add CTS tests for WebSQL database."
This reverts commit 1de065b9156d171f13e2998f7a0c7dcaf29fbdd0
Change-Id: I47f13b7a97f417ca9c3f560a643119347c55afab</t>
  </si>
  <si>
    <t>CTS tests for UiAutomator API Level 18
Change-Id: I33abeee0472fe1283d5bb6e82b107f0d60f5d102</t>
  </si>
  <si>
    <t>Remove testDatabaseEnabled
Bug:8231270
remove testDatabaseEnabled since there is no reasonable way to
implement it due to webkit limitations. Will add later if
we find a solution or webkit limitations are fixed.
Change-Id: I502b57285cc2ec36fe1b5fe08f0fc70c35b9c6ff</t>
  </si>
  <si>
    <t>Added video edit test
Generate video, edit it with GL, then decode it to verify that the
end result is what we expected.
Added Surface--&gt;Surface tests to EncodeDecodeTest.  Shared some
code between that and the new test.  Tweaked test values.
Bug 7991062
Change-Id: I669344ca0a56c5b6fcb83f8db85b3246dbe103fe</t>
  </si>
  <si>
    <t>Pass PTS through the MediaCodec tests
Use the existing APIs and/or the new EGL call to pass the
presentation time stamp through video encode/decode.
Bug 8191230
Change-Id: I4bf381934ff2e75d15f49b3be7696cc3ff5408bb</t>
  </si>
  <si>
    <t>Rename COLOR_FormatAndroidOpaque
Track rename of COLOR_FormatAndroidOpaque to COLOR_FormatSurface.
Bug 7991062
Change-Id: I51b64ade705f5340cf2b56a2ca1155d2c1cf4ceb</t>
  </si>
  <si>
    <t>Improve DateUtilsTest.
Add a regression test for an old (fixed) bug with "1 minutes ago", clean
up unnecessary toString calls, and try harder to only test one method per test.
Bug: 3275453
Change-Id: Ibd62353ac7b422137dfb8fddc73388460640a0da</t>
  </si>
  <si>
    <t>Add tests for InputMethodSubtype. DO NOT MERGE
bug: 7542467
Change-Id: I8b7bf8d335769889efe0bdeb9c1a2e03e75311ce</t>
  </si>
  <si>
    <t>Add CTS tests for android.text.format.DateFormat.format.
I'm bringing the implementation more in line with UTS #35 (and our
java.text.DateFormat implementation).
Change-Id: I2d19f009714e17edd9b3d791677db819547d5043</t>
  </si>
  <si>
    <t>Add tests for InputMethodSubtype. DO NOT MERGE
Cherrypick of Iea1b87e9b51746358b947f627b5c47a734525b3a
bug: 7542467
Change-Id: Ifbea57460d9a46711aa7084b0aaec0121e734e7b</t>
  </si>
  <si>
    <t>Add tests for InputMethodSubtype. DO NOT MERGE
Cherrypick of Iea1b87e9b51746358b947f627b5c47a734525b3a
bug: 7542467
Change-Id: Ic793d28da6b808c925ccb5d262df85717d18b490</t>
  </si>
  <si>
    <t>Revert "Add CTS tests for new Trigger Sensor APIs."
This reverts commit 3d440cae50b1e6fc1d30d2e6e2d232907c0fb2ab.</t>
  </si>
  <si>
    <t>Revert "require seccomp"
This reverts commit fa79c10e91454f2af57691fde2648e9c8daada3b.</t>
  </si>
  <si>
    <t>Revert "Allow writable files in /sys/fs/selinux"
This reverts commit c88c34c94b067aedcd8140159644e6d1043a14cb
There seems to be some confusion here, reverting until we get it straightened out.
Change-Id: Ibb31c46ef49a33b9af64a6cd882f6759e5de9ec9</t>
  </si>
  <si>
    <t>change jank calculation
- make it the same as other jank calculation (without skipping too high value for pause)
- change the performance index to sum of all janks
- change test name to reflect what it does
Change-Id: I1d5fe3da43e50373a26727f9b9d145cd8c6b0298</t>
  </si>
  <si>
    <t>TrafficStats are always supported, tag tests.
Bug: 8417220
Change-Id: I2a06d2e752606cec4bfe35266d9e37271c275d95</t>
  </si>
  <si>
    <t>change mechanism to report performance results
- For device side, use Instrumentation.sendStatus instead of exception
- Because of it, all tests need Instrumentation, and PtsAndroidTestCase is
  actually an ActivityInstrumentationTestCase with DummyActicity.
- In TF side, the result is passed as a test metrics.
- Host side tests uses static HashMap to store the result and retrieve it
  as the current stack does not have test metrics in host side.
- Key used is device_serial#class_name#method_name to make the storing unique to
  individual test case, and should be safe for concurrent runs
Change-Id: I254d72f2250d751f8e1e676e6dfe28837b4cd507</t>
  </si>
  <si>
    <t>Revert "Allow writable files in /sys/fs/selinux"
This reverts commit f01930f65b7a42246334649b09fa7b57f63e5c43
Change-Id: I6dd9b16dda8a6f3624e9a2821b9bc643ec8fe7ce</t>
  </si>
  <si>
    <t>Add CTS tests for MediaDrm API update
Clarify offline usage of sessions and keys and implement
implement CryptoSession to support additional crypto use
cases.
Change-Id: I4fa27d4ec3e62616cc6d8d0c424ba2e16b7127a1</t>
  </si>
  <si>
    <t>Add character devices to the insecure devices test.
Change-Id: Iff6fd33fcc9da408a5f30a1685fc9d0a01d11ffd</t>
  </si>
  <si>
    <t>Fix bug #8656546 API REVIEW: android.text.bidi / android.text
- clean BidiFormatter APIs
Change-Id: Idb7df931d73d6b51eb22940cd0fff445eba52f0f</t>
  </si>
  <si>
    <t>Adjust bit rate based on resolution
Use higher bit rates for higher-resolution video.
Bug 8329029
Change-Id: Idb0c2673b0a1feb4e6a82279e1200f2b8dd41597</t>
  </si>
  <si>
    <t>Change --screenshot-on-ui-failure to --screenshot-on-failure
Change-Id: I406b748ae4e5daeb889408f5a23bc23c4fcfc6bf</t>
  </si>
  <si>
    <t>FileSystemPermissionTest: Distinguish between block and char devices
The exception list only applies to character devices, not to
block devices. Let's not lump everything together.
Change-Id: Iaf45a8816ea7b0674a359df7caa2f423802abde9</t>
  </si>
  <si>
    <t>DO NOT MERGE remove pts
Change-Id: Iab2fdae3692e3d4a716093749b65a3b4a7c5c735</t>
  </si>
  <si>
    <t>DO NOT MERGE - remove dns test from MR2
bug:8658901
Change-Id: I979f38545d7bde91e3711d09ba4278e02183a05b</t>
  </si>
  <si>
    <t>AccessibilityServiceInfoTest#testAccessibilityServiceInfoForEnabledService failing.
1. Tests in the cts/test/test/accessibility service are using the new UiAutomation
   APIs which disables all currently active accessibility service and the fake service
   used for implementing the UiAutomation is not reported through the APIs anymore.
   Moving the test over to another package with enabled real accessibility services
   and also does not use the UiAutimation APIs.
2. While at it also added assertions for some of the newer properties.
bug:9086728
Change-Id: If04368379afeb277610316debc0dcbad0b9dfdd5</t>
  </si>
  <si>
    <t>FileSystemPermissionTest: handle non-standard mounts
Handle the case where /system is mounted in a non-standard
location.
Add tests to ensure that the root partition is mounted read-only.
Bug: 9085458
Change-Id: I41b836482952d723ebf2d0d2c08185a5db65bd34</t>
  </si>
  <si>
    <t>Remove use of view size from trackball tests
Trackball movements are not in terms of screen coordinates, so generating
trackball events based on view size synthesized a massive quantity of
unnecessary KeyEvents.
Change-Id: Ieb23ad5d45675f081f2e7d565cee0ff8b9e13262</t>
  </si>
  <si>
    <t>Add tests for new reuse formats (all) and density scaling
Change-Id: I69e76fd5bc885aaeaed3ee638fe153448412f25c</t>
  </si>
  <si>
    <t>refactor key listener CTS tests
This commit introduces KeyListenerTestCase, which contains various
common code used by KeyListener tests, Of special note is that
KeyListenerTestCase.setUp() does not exit until the associated
KeyListenerStubActivity has window focus. This should cleanly fix the
window focus timing issues that are causing this set of CTS tests to
randomly fail.
There has also been a variety of other miscellaneous cleanup and
refactoring performed in the KeyListener tests and elsewhere: Common
code pulled out of similar tests up into the KeyListenerTestCase,
PollingCheck objects checking for window focus, various stylistic
tweaks to unify the various naming conventions and such.
Change-Id: I46004bfac62e56a4e264fd9c484f5846c87354c3</t>
  </si>
  <si>
    <t>Calculating jank from the timestamps.
The reference benchmark was too heavy so instead the primitive benchmark
is being run with the smallest workload. A thread then queries the
timestamps from the device and calculates the jank.
Also switched the host side test away from UI automator as it was no
longer needed.
Change-Id: Ibe6e34b5815f67bd51ef303bba8ac265cd04af10</t>
  </si>
  <si>
    <t>Moving Jank test to UI Automator.
This allows us to reuse JankTestBase and will make it easier to create
future jank tests which require UI interactions.
Change-Id: I23250dcef6ce8faf183d275afd044a2e034dfefb</t>
  </si>
  <si>
    <t>The formatDateRange tests have moved.
They're now in libcore, where they're more extensive -- even testing actual
ranges -- and cover multiple locales, not just en_US.
Bug: 7289514
Change-Id: I5803ea5e7c5773881ce2f67ec66fc74c45e90b6f</t>
  </si>
  <si>
    <t>Use real screen width/height to calculate aspect ratio
Get the full screen size directly (including system bar) to
calculate aspect ratio. With this, the screen orientation doesn't
affect the aspect ratio value anymore. Test that the aspect ratio
is within the range.
Change-Id: I9c9bd4d03c1e4136e8f08aab42cfae204d9022bf</t>
  </si>
  <si>
    <t>Update cts tests to be compatible for both art and dalvik.
- Removes tests that check that certain integral types can't be put into
  other integral types, ie. an int value of 2 put into a boolean. Dalvik
  disallows this, but art allows this. However, the instruction type must
  still match the array or field type.
- Changed how some invoke tests are run to trigger a runtime exception
  expected in art, as well as a verification error expected in dalvik.
- Changed some invoke tests to allow NoSuchMethodError expected in dalvik
  and VerifyError expected in art, with art being closer to the RI.
- Fixed various bytecodes to have proper arguments because art has
  stricter checks.
Bug: 10135051
Change-Id: I48fbf24d5f07faf23bb404685998bd358846b76b</t>
  </si>
  <si>
    <t>Add CTS tests for capture audio output permission.
Bug: 10265163
Change-Id: Ie44a6b0050fc473b16a453bd75087382b9d04d09</t>
  </si>
  <si>
    <t>Removing older Jank tests.
Change-Id: I1003a1876ec77db364944379b92c7210533fdc40</t>
  </si>
  <si>
    <t>Remove tests for hidden ContentProvider APIs.
Bug: 10329944
Change-Id: I63be7f814e4f7c0fb47d26376f682289be04bad7</t>
  </si>
  <si>
    <t>Camera2: Refactor ImageReader CTS test code
Move some classes and functions to CameraTestUtils class to make the test better
organized.
Bug: 9802344
Change-Id: Ie7deb0ad0ad0f08ae516961e9a043df20115a2da</t>
  </si>
  <si>
    <t>Remove testNoLoadableModules()
The existing test is too coarse, and needs to be refined further.
Bug: 10415302
Change-Id: I4635d939dbff24950ae94189667da013f3fe7d75</t>
  </si>
  <si>
    <t>Improve MediaDrm cts tests
1. Move the build of the mock drm plugin into the cts tree and
require it to be included, eliminating the manual build step.
2. Fix a test failure due to previous API update
3. Update test to verify b/10528466 (don't expecte plugins to
support an empty mimeType in isContentTypeSupported).
bug: 10528466
Change-Id: Ice60ec09c487398b4f31d14b1951af7a0892fe8f</t>
  </si>
  <si>
    <t>Add tests for new AndroidKeyStore key types
Bug: 10600582
Change-Id: I501761b4c5d433c02408a4420b5e366e8639937f</t>
  </si>
  <si>
    <t>Remove duplicate test.
This test moved to live with the code in libcore
as part of e1a17472940f90d6712203f3523bb054bdbfd6e4.
Bug: 10209343
Change-Id: I1e2ef3434545971c51543cf819134e8750b065e3</t>
  </si>
  <si>
    <t>Test for keystore crashing due to malformed names
Bug: 10676015
Change-Id: I2bdb74c0761080f7545edc1ea63302090ff0afdb</t>
  </si>
  <si>
    <t>Test for keystore crashing due to malformed names
(cherry picked from commit cb35803b31a8c0fe5e767e7a57632757c751346c)
Bug: 10676015
Change-Id: I2bdb74c0761080f7545edc1ea63302090ff0afdb</t>
  </si>
  <si>
    <t>Override all location providers
All location providers which could be mocked are overridden.
BUG=9885724
Change-Id: I478317a2f336aa7190957e16d245b2d1015fc33b</t>
  </si>
  <si>
    <t>Camera2: Update tests to match latest API
- Listener rework
- Immutable metadata
Bug: 10549462
Change-Id: Iec72177e844a89285e00ebe2aabffd21c1a3c405</t>
  </si>
  <si>
    <t>Fix MediaDrm cts tests
Moving the build of the mock MediaDrm plugin back to
frameworks/av since it can't be installed by cts.
b/10668350
Change-Id: Ic3b3c23de8993577b56ae86a553dcada0b61c606</t>
  </si>
  <si>
    <t>fix build
Change-Id: Ifc2aefb3f277c0aab9601844c364d689e7edbd13</t>
  </si>
  <si>
    <t>Disable cross test in relaxed mode
bug 10667455
Due to allowing different rounding modes in relaxed
the mul &amp; add pattern can produce large ulp errors when the
adds cancel each other.  This is normal and should not
be tested.
Change-Id: I3d3fbbceb58954a5222fb5916d6a556dbad1d4b4</t>
  </si>
  <si>
    <t>Improve CTS tests for MediaCodec:
- Check codecs continue to function (correctly) after a flush.
  Nexus10 currently fails this test due to: b/10621959
Change-Id: Ia0819904e0098e33f6f6e854a075ab4f629be916</t>
  </si>
  <si>
    <t>Adding pollcheck to check if the dialog is showing
bug: 10205558
Change-Id: I6dc6aef4cfd7a9a008315ca9aa57c563cb941f8c</t>
  </si>
  <si>
    <t>Remove unenforced READ_EXTERNAL_STORAGE tests.
This permission is now always enforced in KLP, so these tests are no
longer valid.
Bug: 10668366
Change-Id: I809e70bf1cdcb7ae0244531a748d1342cf151856</t>
  </si>
  <si>
    <t>Better activity resolution tests; AFD exceptions.
When calling Intent.resolveActivity(), test the various modes
separately.  Instead of hard-coding ResolverActivity, require that
whatever is returned will be able to update preferred activities.
AFD.createOutputStream() now throws IOException to match the
createInputStream() behavior.  This is a checked exception instead
of a RuntimeException, so we're reducing the severity.
Bug: 10309677, 10667113
Change-Id: If47a5c71bc5ec5a5070aef5979e2fba948ed29bb</t>
  </si>
  <si>
    <t>Camera2: CTS test for CameraDevice class.
Bug: 9802344
Change-Id: I34df48f9b7b07307ae87d0406fbbf27b2874360b
Conflicts:
	tests/tests/hardware/src/android/hardware/camera2/cts/CameraDeviceTest.java</t>
  </si>
  <si>
    <t>Camera2: Refactor ImageReader CTS test code
Move some classes and functions to CameraTestUtils class to make the test better
organized.
Bug: 9802344
Change-Id: Ie7deb0ad0ad0f08ae516961e9a043df20115a2da
Conflicts:
	tests/tests/hardware/src/android/hardware/camera2/cts/CameraTestUtils.java
	tests/tests/hardware/src/android/hardware/camera2/cts/ImageReaderTest.java</t>
  </si>
  <si>
    <t>camera2: Update openCamera calls now that it is async
Bug: 10360518
Change-Id: If62991240d3dea70506e75f9971afe7c22f6351d</t>
  </si>
  <si>
    <t>camera2: Rename CameraProperties to CameraCharacteristics
Bug: 10360518
Change-Id: I725d0e5c2d1d40828bf40b809107fff693ca6d30</t>
  </si>
  <si>
    <t>Update CTS tests: acquireContentProviderClient now requires permission
Bug: 10921681
Change-Id: I021288ce07b71454ce68b5561530c58cdabff823</t>
  </si>
  <si>
    <t>Camera2: Use CameraManager to get camera properties
Use CameraManager#getCameraCharacteristics rather than
CameraDevice#getProperties.
Bug: 10360518
Change-Id: I9c66c614223f3c5b95284a7d60ab113cb2b4d6a3</t>
  </si>
  <si>
    <t>Update CTS tests: remove acquireContentProviderClient test.
This test is dependent upon whether or not the content provider defines
any path permissions - if it does the acquireContentProvider call will
not throw. Since acquiring the content provider alone is no the important
part of the test, remove it. Querying/updating the content provider is
handled by the other test cases here, and these are what matter.
Change-Id: I880d01fe25b69c705bfb81d0c76a225e5100a981
Signed-off-by: Mathew Inwood &lt;mathewi@google.com&gt;</t>
  </si>
  <si>
    <t>Suppress test differently
Some test runners handle @Suppress, some fumble it, causing failures
to be reported.  Work around this by removing the annotation and
instead renaming the method so it doesn't begin with "test".
Bug 10843066
Change-Id: Iaabb37e51970e5c82940650c143bbc4678c2caf8</t>
  </si>
  <si>
    <t>Test new READ/WRITE_EXTERNAL_STORAGE behavior.
In KLP, the platform now makes package-specific directories on
external storage available to apps without requiring they hold any
storage permissions.  This change uses three different packages to
verify behavior of apps with no permissions, with READ_EXTERNAL,
and with WRITE_EXTERNAL.  All three packages run a set of common
tests to verify that package-specific directories are always
writable.
Also verifies behavior of new APIs that provide access to secondary
external storage devices.  Specifically, apps only get write access
to their package-specific directories.  Apps holding WRITE_EXTERNAL
can only write outside their package-specific directories on primary
external storage.
Bug: 10577541
Change-Id: I467221c358fdc69f88d0df81d7ee50ad3c5ab5d5</t>
  </si>
  <si>
    <t>Only primary external storage is writable.
Verify that mount points not representing primary external storage
do not allow writing.  Apps are still allowed to write to package-
specific directories on secondary storage devices, as verified by
testAllPackageDirsWritable().
More tests to verify getStorageState() behavior.  Handle missing
secondary external storage devices with null checks.
Bug: 10577541
Change-Id: I8ffb024c83cd79156c764c667812b850a57781a3</t>
  </si>
  <si>
    <t>Verify VIEW on MediaStore content, Contacts.
Verify that ACTION_VIEW is supported for directories of MediaStore
content.  Add tests for VIEW, PICK, and GET_CONTENT of contacts.
Remove search actions that are provided by apps, not by the platform.
Bug: 11045510, 11054437
Change-Id: I0bbd8ce229bb8b189b7394bd771ca6d58bb420ae</t>
  </si>
  <si>
    <t>Camera2: Use device callbacks, and check for captureStarted callbacks
- Use BlockingStateListener
- CameraDeviceTest:
 - Wait on expected state transitions to verify state transitions
 - Add checks for shutter (CaptureStarted)
- Other tests use minimal waits to ensure correctness
Bug: 10360518
Change-Id: Ib177f4e633589b88e3df4a26aeae3d4b6a4f7a37</t>
  </si>
  <si>
    <t>- Refactor test code for bigger reusability.
- Fixes b/11118310 by using the norm to identify the validity of the sensor data.
- Adds regression tests for various timestamp issues.
Change-Id: I0baaa264144a4e630227407fa084d1fcd6322b63</t>
  </si>
  <si>
    <t>Remove test for UrlInterceptRegistry.
This is not a public API and will be removed soon.
Bug: 10427705
Change-Id: I750788aace225159fdd78c50b56051769d24b81d</t>
  </si>
  <si>
    <t>Refactor sensor tests to use composable test operations.
Operations introduced:
- Helpers: Composite, for loop.
- Base: Norm, StdDev, Jittering, Frequency, event ordering.
b/11159143
b/11161432
Change-Id: Ic2c70cc930e4f3d86bd5bf057edbed6a7067b134</t>
  </si>
  <si>
    <t>Assert that all external storage is isolated.
Any storage devices exposed through APIs need to be fully isolated
across user boundaries.
Bug: 11221486
Change-Id: I3e82d970f3a1b0c00c02e71f4eacbad81d452096</t>
  </si>
  <si>
    <t>Removing older Jank tests.
Change-Id: If45be1dbf1740dbaa589856f403e7acba544f397</t>
  </si>
  <si>
    <t>Write a CTS test to verify shouldOverrideUrlLoading
Bug: 11237523
Write a CTS test to verify shouldOverrideUrlLoading is called when
onCreateWindow is called.
Change-Id: Iac6cc2e29ad4d4e591f773702cfd5b136d6f652c</t>
  </si>
  <si>
    <t>Removing Bootup tests.
Change-Id: I34b47a901042b7beb43b6a2241b45db875620531</t>
  </si>
  <si>
    <t>Partially revert "CTS tests for LOCATION_MODE"
This partially reverts commit d6c95539981804e5ac691e6358ad078e48accb6e,
https://googleplex-android-review.googlesource.com/#/c/380591
- That CL ended up being a dead-end
Change-Id: If222806eebbe304fc614e17fa064c1580f5e3ee7</t>
  </si>
  <si>
    <t>Add test to prevent unknown CAs from being shipped.
Bug: 11483665
Change-Id: Iebf0fe21926bb3a1ef1f94e3fbea72325cbd85ee</t>
  </si>
  <si>
    <t>Refactoring CTS to remove PTS references.
PTS is now a part of CTS
bug: 11561456
Change-Id: I577296fe7735790e285aa4747dc7832bc8ae5b6d</t>
  </si>
  <si>
    <t>Add test to prevent unknown CAs from being shipped.
Bug: 11483665
Change-Id: Iebf0fe21926bb3a1ef1f94e3fbea72325cbd85ee
(cherry picked from commit 562ec52401a65facf4b5f1a7af06d66ac95c9022)</t>
  </si>
  <si>
    <t>Update WallpaperManager CTS test.
New rules for suggested dimensions.
Bug:11606952
Change-Id: I4cc76f185cb613d1b35f4a64aa548b78814042cd</t>
  </si>
  <si>
    <t>Tests to verify OBB mounting on external storage.
Bug: 11693888
Change-Id: Ia95979819615de7e5dd7a43f8d51fede39ee3595</t>
  </si>
  <si>
    <t>Removing old signature test, migrating to new one.
bug: 11436500
Change-Id: I84165979a7ddc358f28512ad298444ce4a190ea9</t>
  </si>
  <si>
    <t>DO NOT MERGE: Revert "Camera: fix wait for preview done timeout issue."
This reverts commit 8c3b74bbeca085b0029191278707a29c6bc5aef1.
Change-Id: I62f114367bbfbe79331bae9f4cb3d7fd398abc4f</t>
  </si>
  <si>
    <t>Uncomment some fixed WebView tests
Some long standing errors (pre Froyo?) appear fixed since the move to
chromium webview, so re-enable them.
Also remove a pointless empty 'internal' test and inherently racy
getFavicon test (now covered by onReceivedIconTest instead).
Change-Id: I5652d928afce72ffa728d27ad1eb646040af9f66</t>
  </si>
  <si>
    <t>Revert "Verify content url parameters are not stripped"
This reverts commit 496f375f4f39faf4861023b4a2868d289b424c44.
Change-Id: Id092169b23266e655df814989abeacb57d2befd9</t>
  </si>
  <si>
    <t>Adding print CTS tests for print job page ranges.
1. Refactored the CTS tests to extract the common functionality
   in a base print test class.
2. Refactored how a print service is mocked to allow mocking of
   the print service and the printer discovery sessions it creates.
   The print service and the printer discovery session are abstract
   classes with final and package private APIs. Also the print service
   is instantiated by the system. Hence, we cannot just create mocks
   via mockito for these classes. Instead the callback part of the
   service and session APIs are factored as mockable classes, i.e.
   ones with no final members and package private APIs. These mocks
   are created and set into the hosting print service and printer
   discovery session.
3. Added tests for the print job pages as a function of what pages
   were requested from the app and which it actually wrote.
4. Fixed a hardcoded path in DocletRunner for UiAutomator as the
   latter was moved. This was breaking UiAutomator based CTS tests.
Change-Id: I638087046219b292089f5010b85d1a4100631cc3</t>
  </si>
  <si>
    <t>Adding CTS test samples device- and host-side tests.
Change-Id: I925182e7565284e335ef7a5b64a80c7b60aa1d38</t>
  </si>
  <si>
    <t>Adding CTS test for printer discovery session lifycycle.
Change-Id: I191478e0807103a3fa55e18aaa6ceea2f95d08b1</t>
  </si>
  <si>
    <t>Simplify RSUtils.java.
There's no need for the forEach methods.  The methods filling
arrays with random values should not care what the "step &amp; skip"
is, as done previously, as entries that are skipped by our API
should just be ignored.  It's actually better to test with random
data in there, to make sure we don't somehow use the zero that
used to be there.
Change-Id: I7724b45f4a187699533a87a36c5a3d992092943a</t>
  </si>
  <si>
    <t>Remove a test for a debug function that has been removed.
Change-Id: I8baeaa420aeae8ff4364fc1131835159fd013abd</t>
  </si>
  <si>
    <t>Use real screen width/height to calculate aspect ratio
Cherry pick from:
https://android-review.googlesource.com/62983
Get the full screen size directly (including system bar) to
calculate aspect ratio. With this, the screen orientation doesn't
affect the aspect ratio value anymore. Test that the aspect ratio
is within the range.
Change-Id: I9c9bd4d03c1e4136e8f08aab42cfae204d9022bf</t>
  </si>
  <si>
    <t>Revert "Use real screen width/height to calculate aspect ratio"
This should have been cherrypicked to jb-mr1.1-dev, not jb-dev. 
This reverts commit b21190dc4748538078b1a0420320f83d10a0aaa7.
Change-Id: I03b3d59958575a8646c1078ccc3d953a73cce516</t>
  </si>
  <si>
    <t>Use real screen width/height to calculate aspect ratio
Cherry pick from: https://android-review.googlesource.com/62983
Get the full screen size directly (including system bar) to
calculate aspect ratio. With this, the screen orientation doesn't
affect the aspect ratio value anymore. Test that the aspect ratio
is within the range.
Change-Id: I9c9bd4d03c1e4136e8f08aab42cfae204d9022bf</t>
  </si>
  <si>
    <t>Revert "DO NOT MERGE Add test to check for duplicate random output"
Merged failed.
This reverts commit 4c77c14ba0a97c5fdee364cb063e6a1e124612aa.
Change-Id: I90a351d03dbaca3ec1a63aea6082a4d6ef91c381</t>
  </si>
  <si>
    <t>De-flake WebViewTest.testCapturePicture
The test had a baked-in assumption that waiting for a single
onNewPicture after the load guarantees that the picture returned
from capturePicture will contain the contents of the newly loaded
page. This is in general not true (we may receive onNewPicture
callback for an intermediate 'about:blank' page load, for example)
and caused the test to occasionally fail.
The solution is to rewrite the test to wait for the correct picture
instead.
Bug: 12971701
BUG: https://code.google.com/p/android/issues/detail?id=65418
Change-Id: Id891be760adfa9241f162ba3768a4f5baad2c326</t>
  </si>
  <si>
    <t>Native tests use --gtest_list_tests for test list.
Rewrite the nativescanner to parse the output of --gtest_list_tests.
Modify the rules for the xml test list generation to build the special
host test list executables and pipe the output to the native scanner.
Modify all of the native tests to create a host list executable.
Remove the known failures list for bionic tests.
Bug: 10914944
Change-Id: Ib4d7da0f260eeef08db6fd083cfeecf92459979b</t>
  </si>
  <si>
    <t>Added round trip Bundle tests for String[] and Object[][]
Issue: https://code.google.com/p/android/issues/detail?id=64583
Change-Id: Id31163d0770b1de650a77821d352cf9a1292d318</t>
  </si>
  <si>
    <t>Enhance the CTS tests.
These are the new auto-generated tests.  The generator will
be in another CL.
Change-Id: I7bc955e6a7b55b83d48b884c586e52797d89806f</t>
  </si>
  <si>
    <t>Native tests use a text file based test list.
Rewrite the nativescanner to parse the output of --gtest_list_tests.
Modify the rules for the xml test list generation to cat the text file
as the source of the test lists. The text file was generated by running
all three gtest tests with the --gtest_list_tests option and saving it
to a file.
Remove the known failures list for bionic tests.
Bug: 10914944
(partial cherry-pick of 2830d721b4173ac7a91e4fc8b9cc0cafaaf86460 from aosp master)
Change-Id: I0a35f191f050e007d2b657b0ad871f38a8f27a9b</t>
  </si>
  <si>
    <t>Improve the CTS test coverage.
Change-Id: I0ef9a771ad87b0c7f80e3b13d5675355947bab79</t>
  </si>
  <si>
    <t>BannedFilesTest: Add testNoRootCmdSocket
Test for known sockets that allow any users to execute
commands as root.
CVE-2014-1600
https://plus.google.com/+JustinCaseAndroid/posts/e1r6c9Z9jgg
CVE-2013-4777
https://plus.google.com/+JustinCaseAndroid/posts/5ofgPNrSu3J
Change-Id: Id82be4eb31c012611eabb0b5faefb93f5cc45f4e
Signed-off-by: Jon Sawyer &lt;jon@cunninglogic.com&gt;</t>
  </si>
  <si>
    <t>BannedFilesTest: Add testNoRootCmdSocket
Test for known sockets that allow any users to execute
commands as root.
CVE-2014-1600
https://plus.google.com/+JustinCaseAndroid/posts/e1r6c9Z9jgg
CVE-2013-4777
https://plus.google.com/+JustinCaseAndroid/posts/5ofgPNrSu3J
(cherry picked from commit 6efee00d6fb976bd616ea6c8fe91d4dadda12280)
Signed-off-by: Jon Sawyer &lt;jon@cunninglogic.com&gt;
Change-Id: I245cc517eed79ff1810776021f32d91f807629d6
Conflicts:
	tests/plans/CTS-flaky.xml</t>
  </si>
  <si>
    <t>Change expectations for high precision doubles.
bug: 13095597
Change-Id: If00645ef96dc6e30115748c64153c383f0c7febd</t>
  </si>
  <si>
    <t>Camera2: Add capture request test
Add black level lock control test first.
Change-Id: I53974327fcbe185bdc23cfec03528f5484ae3d47</t>
  </si>
  <si>
    <t>Remove work-around for a bug that's been fixed
- Bug: 11446702
Change-Id: I6b570066d40607adf05f90b369cbaffffac35e20</t>
  </si>
  <si>
    <t>Camera2: Refactor preview-based test case
- Rename the class to follow the convention: If a particular class X is being
tested, then the test class name should be XTest. This makes the test class
much less verbose.
- Extract the common code from all preview related tests, and form one base
class to avoid duplicate code.
Change-Id: Ia56432578d5cecfb277ee98e3b7c10606d6c99c8</t>
  </si>
  <si>
    <t>Extend CTS VP8 encoder and decoder tests.
Bug: 11990571
- Change basic test to encode video streams with a set of bitrates and
  verify that actual bitrate values are close to the target.
- Add encoding and decoding quality statistics to the tests.
- Add video quality test, which will encode and decode video stream at
  various bitrates, check PSNR, verifies that video streams with higher
  bitrates have higher PSNR and compare PSNR values of platform
  specific and reference SW video codecs.
- Add function to select platform specific VP8 codec.
- Add YUV420p-&gt;NV12 and NV12-&gt;YUV420p color space conversions.
- Add support for a few variants of NV12 color space to encoder input
  and decoder output.
- Tested on N4 and N5 devices. Code currently supports
  a few Qualcomm specific color space formats. This part may need
  to be extended later for other devices if any non standard
  color formats will be used.
- Some test results for N4 and N5 device:
a) PSNR values calculated for 9 seconds of football_qvga
   QVGA 30 fps video:
  300 kbps: SW codec PSNR: 33.1 dB. HW codec PSNR: 32.5 dB.
  500 kbps: SW codec PSNR: 35.2 dB. HW codec PSNR: 34.9 dB.
  700 kbps: SW codec PSNR: 36.6 dB. HW codec PSNR: 36.7 dB.
  900 kbps: SW codec PSNR: 37.8 dB. HW codec PSNR: 38.0 dB.
b) Force key frame requests to the HW codec are working well giving
   key frame interval value exactly as was requested. For SW
   codec generated key frames may appear 2 frames after the request
   was actually made.
c) Dynamic bitrate change is also working well for N5 device - the
   transition to new bitrate is fast and generated bitrate after the
   change request follows the target value close enough.
   For SW codec dynamic bitrate change is not working well
   (b/12908952) - actual bitrate value after the adjustment is
   too different from the expected one.
Change-Id: I4930f0afe69912624d311dc772ed6b088a35da4c</t>
  </si>
  <si>
    <t>Provide test coverage for all the rs_core_math functions.
Also improve the range of data used to test the functions.
This is a redo of messy CL 84321
Change-Id: I8996a9201dde85879817434eb1b845739a3226d8</t>
  </si>
  <si>
    <t>Move to android.support.test as CTS instrumentation runner.
Also do the following related cleanup
- Remove references to deprecated BrokenTest and KnownFailure
- Switch CTS tests to build against SDK and not private
android.test.runner where possible
Bug: 12924356
Change-Id: If6151b836456eec4838f8d7d6e11c9834c007fca</t>
  </si>
  <si>
    <t>Camera2: Refactor AndroidTestCase based tests
* Create new Camera2AndroidTestCase class, which can be used as the base class
for all AndroidTestCase based tests.
* Change some test classes to extend from this new base class to avoid code
duplication.
* Some other code refactor and code cleanup.
Change-Id: Ib3818d3eb6571a1fae3d5b8860944438c4e62b53</t>
  </si>
  <si>
    <t>camera2: renderscript-based image analysis microframework
Change-Id: If44173772e579ca43eb92efddb1fc4a9272b78a9</t>
  </si>
  <si>
    <t>improve EncodeVirtualDisplayWithCompositionTest to check rendered output
- use one more virtual display and TextureView
- check output from rendering (only single pixel)
bug: 13529193
Change-Id: I0ec2c2d44ca3a72d9fe7005b82c99a968955ad70</t>
  </si>
  <si>
    <t>Allow for long running operations.
Refactor sensor verifications to allow for running verifications on the
fly.  This changes how the sensor manager works, moves the test sensor
event listener to a separate class, and breaks up the verifications into
individual classes for more flexibility.
Change-Id: If712edb589206adce95347de2e0fe975fcaff188</t>
  </si>
  <si>
    <t>Add CTS VP8 asynchronous encoding tests.
Bug: 11990571
- Add media encoder class to support running the encoder
  either in a callee's thread or in a looper thread using
  buffer dequeue ready notification callbacks.
- Add a test to ensure the PSNR difference between the
  encoded and decoded output and reference yuv input
  does not change much for two different ways of the
  encoder call.
Change-Id: I67e9ade71dc3120e65c4d9cb96e5fd1dd43928b0</t>
  </si>
  <si>
    <t>Camera2: Add more Still capture tests
Below changes are included:
- testTakePicture
- testTouchForFocus
- testStillPreviewCombination
- Add zero thumbnail size test in testJpegExif
- testImageReaderYuvAndJpeg
- Extract some ImageReaderTest common function to CameraTestUtils class
Change-Id: Ib723f45178eed9e2e798a36b769d5d38a2c9515c</t>
  </si>
  <si>
    <t>Camera2: Add more image reader raw tests
Below tests are added:
- testImageReaderFromCameraRaw
- testImageReaderYuvAndRaw
Change-Id: I54eecf925c90b748126f77c4e72d4532d82b2743</t>
  </si>
  <si>
    <t>Camera2: Add noise reduction mode test
Also add fps verification for edge mode control test.
Change-Id: I3150f7f5cb8c0c29da9e1a72da9cb9cceadbc9f5</t>
  </si>
  <si>
    <t>Change MockTvInputSessionImpl to a non-static class in tv cts
TvInputSessionImpl has been changed to a non-static class.
So MockTvInputSessionImpl also needs to be changed to a non-static class.
Change-Id: I86f7818192aab254f6a6dbc262c49491425744b6</t>
  </si>
  <si>
    <t>Revert: Add native test for RS loop filter intrinsic
Change-Id: I3cefcc352b00b4bff9b36d61102b1f390b19618e</t>
  </si>
  <si>
    <t>DO NOT MERGE : Revert "DO NOT MERGE Fixing accessibility CTS tests."
Bug: 8487047
See comment #12 (fix not applicable to jb-mr1.1-dev)
This reverts commit f09eb74555a4c8d46fa908fa83099a26a28d80eb.
Change-Id: I34e9308be8c36361c3b06ba5b1eb7539244809d1</t>
  </si>
  <si>
    <t>Remove animated support from VectorDrawable CTS test
Change-Id: If3b3e3eec8737201d6ea4a9d0424b2fcc69742c8</t>
  </si>
  <si>
    <t>Camera2: Update cts for DNG tag change
Change-Id: I576084fbf0d8f628cb64518b4514e77cf52fb21c</t>
  </si>
  <si>
    <t>Add the include attribute to test plan Entry element.
Bug:14568468
Change-Id: I56a49a8fbd381b03fcf263d4b72c8039976ca9e2</t>
  </si>
  <si>
    <t>Fix: CTS:android.app.cts.ServiceTest fails on Master RElease
Also, clean up unused methods.
bug:14638137
Change-Id: If21d13abb459e5190ba7bf52b78e7a67aa1c2a37</t>
  </si>
  <si>
    <t>Add the include attribute to test plan Entry element.
Bug:14568468
Change-Id: I56a49a8fbd381b03fcf263d4b72c8039976ca9e2
(cherry picked from commit 26eab6438226eeb4af8377e0c9fd6f631f1b150c)</t>
  </si>
  <si>
    <t>Applying a framework change for TIS crash.
https://googleplex-android-review.git.corp.google.com/#/c/451831
Change-Id: I261c93ff58ebb710d0d6f82fdbca14cb6eb65e46</t>
  </si>
  <si>
    <t>Add tests for TIS crash.
- Add MockTvInputRemoteService.
- Add testCrashOnCreateSession and testCrashOnTune.
Change-Id: I479b6b9d14b20cf67f81dcd5927e312ed228d1c3</t>
  </si>
  <si>
    <t>Camera2: update ImageReader tests
1. Add repeating Raw/JPEG tests
2. Trim verbose test names
Change-Id: If3f001b96f7c5fa8f8ec1c3a28c881cbe7c2ff0d</t>
  </si>
  <si>
    <t>camera2: Change tests to use StreamConfigurationMap
Bug: 14628001
Change-Id: I2db490a0849680a133a901403477a147b004fb28</t>
  </si>
  <si>
    <t>Remove the pointless ResolveInfo_DisplayNameComparatorTest.
bug:13247366
Change-Id: Ic5f0dd0173f8a2fbf832893caa18fc4d57372508</t>
  </si>
  <si>
    <t>Fix build
Change-Id: I98f3a42bd6ae26ba8ac987282693f1d69b3a9ac8</t>
  </si>
  <si>
    <t>camera2: Refactor CameraMetadata.Key into 3 key classes
* Also add slightly more logging functionality to the error collector
Bug: 15091017
Change-Id: Ic56c54c0d184e209e20de374dc8a6d79527c209f</t>
  </si>
  <si>
    <t>Camera2: Mark the under-specified tags for FUTURE
Also clean up the tag ids.
Bug: 15168075
Change-Id: I57fb6fb37e512c224370c72d806a4b702360f29f</t>
  </si>
  <si>
    <t>DO NOT MERGE: Remove the VectorDrawable's CTS
Change-Id: If348bfd2f92db7c85c131e7530a355268deca178</t>
  </si>
  <si>
    <t>Remove callback test
Change-Id: I859dcabb57ab59558b000fb8be4caa07471942a6</t>
  </si>
  <si>
    <t>media.Vp8EncoderTest: comment out asynchronous testing
Bug: 15091403
Change-Id: Ibcae5aa99f40ce5efb0c006a11ed6fd4efddc829</t>
  </si>
  <si>
    <t>Fix failing accessibility CTS tests.
1. If the device is too aggressive in conserving power it is possible
   that by the time we start running some accessibility tests the
   screen had already timed out. Now we are setting special window flags
   for the accessibility test activities to turn the screen on and
   keep it on until this activity is on the screen.
2. On very slow devices the timeout for detecting when accessibility
   events are settled was not enough.
3. The accessibility text edit actions are not relevant to devices
   that have no input method feature. Hence, the test for edit actions
   is ignored on such devices.
4. The window traversal test was relying on a specific decor view
   but an OEM can change the decor causing the test to fail.
5. Removed some unused code.
bug:15027113
bug:15028454
bug:15003040
bug:15006113
bug:14901134
bug:14901768
Change-Id: Ibf10d8d5413fdf95c7105d3ea1cd1abd9ddaec1b</t>
  </si>
  <si>
    <t>Camera2: Replace int[] by MeteringRectangle
Bug: 14628001
Change-Id: I8ae4efa24d41043046a84b04e5209259a8a21063</t>
  </si>
  <si>
    <t>camera2: Update cts to use Range&lt;Integer&gt; for some keys
The following keys are affected:
* android.control.aeTargetFpsRange (Range&lt;Integer&gt;)
* android.control.aeAvailableTargetFpsRanges
* (Range&lt;Integer&gt;[])
* android.control.aeCompensationRange (Range&lt;Integer&gt;)
* android.lens.focusRange (Range&lt;Float&gt;)
Bug: 14628001
Change-Id: I141847dffc4b0d89cea37c19a54d6d5faf24a9bb</t>
  </si>
  <si>
    <t>camera2: Update cts tests with managed key classes.
Switches to using managed value classes for the following keys:
- android.sensor.info.sensitivityRange
- android.sensor.info.exposureTimeRange
- android.jpeg.gpsCoordinates
- android.jpeg.gpsTimestamp
- android.jpeg.gpsProcessingMethod
- android.statistics.lensShadingMap
- android.lens.info.shadingMapSize
Bug: 14628001
Change-Id: Ia0f541242f529ab9ba3111db799306b198f2b40b</t>
  </si>
  <si>
    <t>Connect WebView Async Cookie APIs
Change-Id: I9d5a8bcd62fcc0277ad5d65a1f0af59aad3bf44d
Bug: 14379829</t>
  </si>
  <si>
    <t>DO NOT MERGE: media.Vp8EncoderTest: comment out asynchronous testing
Bug: 15091403
Change-Id: Ibcae5aa99f40ce5efb0c006a11ed6fd4efddc829
(cherry picked from commit 015ab0eb5461df156de94f61b28b58b45babace5)</t>
  </si>
  <si>
    <t>Camera2: Add video snapshot CTS test
Record for some time, take a video snapshot and then record for
some time. After that check for the format and size of video
snapshot image and frame jittering.
Also refactor the code a bit to remove redundant preview suface
code.
Bug: 15391268
Change-Id: I3d98e3b73da078fd9fedc02f7f72fbc1bd15b438</t>
  </si>
  <si>
    <t>Update CTS for renamed/removed functions
b/15414091
Change-Id: Ic1732573ffad223c51310e8fa251a9e6af02d2f1</t>
  </si>
  <si>
    <t>Camera2: Hide input stream related key and enum
Bug: 14622091
Change-Id: Id8fc20b752da876f00a94d0262cd9468951bb36d</t>
  </si>
  <si>
    <t>Update the print CTS tests
Change-Id: Ie0c7ecc4d51013387ba043026c9bb724de431694</t>
  </si>
  <si>
    <t>Change device ID test to check Bluetooth
Bug:15470756
Change-Id: Id88167b19433f55b63f806ca45fa0c76325e5af0</t>
  </si>
  <si>
    <t>camera2: Update CameraDeviceTest to use CameraCaptureSession
Bug: 15474402
Change-Id: I4ae86166b5ce99a854c754c8ac6d6c23c683b14a</t>
  </si>
  <si>
    <t>Revert "Add CTS tests for tinting API"
This reverts commit 8386822c69457adddca52bc9b7146dde368fec9d.
Change-Id: Id235968c3f547b362acc41d9366bebb9de546886</t>
  </si>
  <si>
    <t>Removing Holo UI device side tests.
Change-Id: I39a610073b1e8442ac67e9a9ffcc46d54336d988
Bug: 15567774</t>
  </si>
  <si>
    <t>Revert "Skip DRM tests on watches since they don't have DRM."
This reverts commit f9b62aaa3c171a5f6b0b3f6cbf9273c31a011fe4.
No longer needed, for explanation see:
bug: 15110978
Change-Id: Ia6bffd39304d8078f9fb6071b1fe14cd56a483a0</t>
  </si>
  <si>
    <t>Deprecate the Cookie Sync Manager
The CookieSyncManager is largely useless as the WebView
automatically syncs cookies every 30s (whether you like it
or not). The one method which needs to be saved is sync,
there is no other way to force a sync without this.
We move sync to the CookieManager and rename it to flush
for greater consistency.
Bug: 11060034
Change-Id: I8f6e14a8cf0b4dc74e95403ddc0f26bebbe18b31</t>
  </si>
  <si>
    <t>Update PinnedPositions CTS tests
Update PinnedPositions CTS tests to follow the new PinnedPositions
APIs
Bug: 15593967
Change-Id: Ia5955626493374aecbb11a5694517befb8587ab9</t>
  </si>
  <si>
    <t>Update to refactor basic statistics helper functions to be accessible to host-side tests.
This is a precursor to host-side power tests which will use these helper functions.
There should be no code changes other then moving existing code out of one class and into another
that is more commonly accessible.
Added an additional dependency in ont file to account for change
Change-Id: I0feefcc181ad21a0f11965953754167514539f00</t>
  </si>
  <si>
    <t>Fixed bug where screenshots were taken at wrong time.
Change-Id: I29afac944ed9a01a2e7106651fa1c4155ff7cd1b</t>
  </si>
  <si>
    <t>Remove test for unsafe getTextColor method
BUG: 15782973
Change-Id: I7639a03ff4d99e929a88d20c0447823807d13bfc</t>
  </si>
  <si>
    <t>Refactor SSL tests out of WebViewTest
WebViewTest has become quite large. Refactor SSL tests out of WebViewTests
as a group to improve code readability.
Change-Id: Ic39c46b4ef467a97c0d58cb8d646ed544a9235fa</t>
  </si>
  <si>
    <t>Disable Third Party Cookie Test
The CTS test for the WebView third party cookie APIs landed
before the implmentation had been merged from master-chromium
into master.
Bug: 11678084
Change-Id: I0e4369c98e2f32258d35748544db97aa4467a3e8</t>
  </si>
  <si>
    <t>SELinuxTest: remove testRild
rild_prop doesn't exist as of https://android-review.googlesource.com/98363
This test is failing. Delete it.
Change-Id: I3a8dfb2ef1dfb5211facae14f890f0a8c323804a</t>
  </si>
  <si>
    <t>camera2: Update RecordingTest CTS test for LEGACY mode.
Bug: 15116722
- Disables strict framerate, recording time constraints when
  taking video snapshots in LEGACY mode.
- Allows resolutions &gt;= 1080p to be unsupported in LEGACY mode.
Change-Id: Idba2162979db93a0483480ea256cbab85c1bd182</t>
  </si>
  <si>
    <t>Add CTS test for OpenGL ES 3.1 and GL_ANDROID_extension_pack_es31a
Change-Id: Ie44284fbf0a2b718c661001e17b955d47cbd573c</t>
  </si>
  <si>
    <t>Update AudioTrackTest to handle multiple PCM formats
Updated testPlayStreamData.
Removed testPlayStreamFloat (now integrated into testPlayStreamData).
Added testPlayStreamByteBuffer.
Minor change to AudioTrack_ListenerTest.java to reflect additional
parameter in buffer creation method createSoundDataInByteArray.
Change-Id: Ic965c45e94cddd312433cb6a1e40e4718397fead</t>
  </si>
  <si>
    <t>cts - MediaCodec async callbacks
Bug: 11990118
Change-Id: I1108747cef38f94e36efa50651904467420cc011</t>
  </si>
  <si>
    <t>cts - MediaCodec async callbacks - DO NOT MERGE
Bug: 11990118
Change-Id: I1108747cef38f94e36efa50651904467420cc011</t>
  </si>
  <si>
    <t>Update AudioTrackTest to handle multiple PCM formats DO NOT MERGE
Updated testPlayStreamData.
Removed testPlayStreamFloat (now integrated into testPlayStreamData).
Added testPlayStreamByteBuffer.
Minor change to AudioTrack_ListenerTest.java to reflect additional
parameter in buffer creation method createSoundDataInByteArray.
Change-Id: Ic965c45e94cddd312433cb6a1e40e4718397fead
(cherry picked from commit 44bb161bd45d3d1a6c398e72078e4e73494e226a)</t>
  </si>
  <si>
    <t>More tests for the CTS TimeTest
Bug: 15765976
Change-Id: Ic06d8a8138b5dfada7c91d4984e71af4da1bfda3</t>
  </si>
  <si>
    <t>Added a way to write multiple tests and test them against an algorithm provided.
Also added testing of webviews by specifying a url to a local html file, as
well as testing NinePatches using XML, CanvasClient, and HTMl
Change-Id: Ie031c525615346dd08aad3c56bb64eca0d749ed9</t>
  </si>
  <si>
    <t>fix cts.
Change-Id: I4d37d7e38f026c9ddbe1373f9b2df2177037195e</t>
  </si>
  <si>
    <t>More tests for the CTS TimeTest
(cherry picked from commit c132d4188f17b2e408907e059ab58f5ae6c3f292)
Bug: 15765976
Change-Id: I9126e3fcbe13ee6d9c5b3ec20dae0141843974ed</t>
  </si>
  <si>
    <t>Revert "Adding app widget CTS tests."
The CTS build is broken because of this change.
This reverts commit d4b40bae92e42c89744d6e1453927c3a5b0e89fd.
Bug: 16483829
Change-Id: Ie86eb2a4720e8a5372354d6ea4600dadd1d47945</t>
  </si>
  <si>
    <t>camera2:  Update CTS for noise model.
Bug: 16369384
Change-Id: I7a540705176c7be68431a977e2b7218ffa1bddd0</t>
  </si>
  <si>
    <t>Camera2: API review updates
- Rename timestampCalibration -&gt; timestampSource
- Remove StreamConfigurationMap#NO_MIN_FRAME_DURATION constant
Bug: 16402755
Change-Id: If3bfc9f3a683846e3ab3872f5fa496fc30950aae</t>
  </si>
  <si>
    <t>Add CTS tests for CONTENT_FREQUENT_URI
Also add the ability to test that cursor rows are being returned
in the expected order
Bug: 16152873
Change-Id: I4c1fbd0436f51baf8140c95ca409a9590786b1ed</t>
  </si>
  <si>
    <t>Camera2 CTS: Remove use of hidden camera2 methods
- Switch to sessions instead of configureOutputs
- Don't wait on device states that are hidden
Change-Id: I581a0a41a8bdaa26a6becf3909be5cfdaf36227b</t>
  </si>
  <si>
    <t>Separate setTint and setTintMode
BUG: 16054922
Change-Id: I42da9dc5cf5b66972f1072f9ee04ae63e0ec8df6</t>
  </si>
  <si>
    <t>Add TvInputInfoTest
Add TvInputInfoTest and deprecate badly outdated TvInputManagerTest.
Bug: 16831503, Bug: 16409584
Change-Id: Id1fa670859a9824ca644e0b39e961e9e65694f85</t>
  </si>
  <si>
    <t>Fix CTS build
Change-Id: I9144b2978b21f706f02e32e5c899dd69dea92975</t>
  </si>
  <si>
    <t>Remove tests that no longer make sense
StaticLayout no longer directly implements functionality to identify
line break opportunities. This commit removes (incorrect) tests for old
functionality and fixes other tests for the new (correct) behavior.
This fixes b/16867493.
Change-Id: I5af288f5736ad95e62399bbcc8ca978a9430cc5a</t>
  </si>
  <si>
    <t>Camera2: Add dual camera streaming test
bug: 16851385
Change-Id: I0f9dd4ed86765da8c6d75ab4ed8d4802f015f586</t>
  </si>
  <si>
    <t>Switch from racy notify()/wait() to using a proper semaphore.
Bug: 17003763
Change-Id: I87f84a376ccf057f4073ec58bc0599e9615b95ac</t>
  </si>
  <si>
    <t>Switch from racy notify()/wait() to using a proper semaphore.
Bug: 17003763
Change-Id: I87f84a376ccf057f4073ec58bc0599e9615b95ac
(cherry picked from commit 3797c659c9535f61becd0f83e66cb01b2e45f265)</t>
  </si>
  <si>
    <t>Camera2: Update aberration correction key name
Bug: 17008587
Change-Id: I67c2cffed8fcc106008b0fde6f01cd81f4ce6db0</t>
  </si>
  <si>
    <t>Delete tests for setApplicationsHidden, which has been removed from the API
As requested in the API review.
Bug: 17005622
Change-Id: I832084c45b8719e06ec769cd9bdb3c99444bd7e9</t>
  </si>
  <si>
    <t>Update RS CTS tests for 64-bit.
bug 16846318
Change-Id: Ibd9f4473967839a41fcf6889be265c39e1b9fba1</t>
  </si>
  <si>
    <t>Don't require dmesg_restrict to always be 1
We are now enforcing dmesg access via SELinux, rather than using this
inflexible global flag.
See system/core commit 1a6184baf3e01bf7786fb14de4216bcb4e3b2f70
Bug: 10020939
Bug: 17185029
Change-Id: Ia952565dc2785c3d6fa9e720b2062d1f0b0fc254</t>
  </si>
  <si>
    <t>Remove RSG tests.
bug 16846318
Change-Id: Ib0d71a32fa71c081458fb3c328a859fac611175e</t>
  </si>
  <si>
    <t>Update a method signature due to API change
BUG: 17185263
Change-Id: I2bb2b9a27da20a9b954381f34b6c12cdfb227e2f</t>
  </si>
  <si>
    <t>Create a theme test in cts
1) Move android.host.holo to android.host.theme
2) Migrate other tests from android.holo to android.host.theme
3) Skip theme test for watch and tv
bug: 17160329
Change-Id: I17bddcbd3a97d5638ba77a6f6b7b0b492c63d4cb</t>
  </si>
  <si>
    <t>Update ApiLevel-18 reference images to CtsThemeHostTestCases and delete CtsHoloTestCases
bug: 17160329
Change-Id: I865fdad3639ed37d9f2c9e382d0f28dff023d293</t>
  </si>
  <si>
    <t>Revert "Fix accessibility CTS tests."
This reverts commit aca80ccfe5c0e2aaa0374282072261397835d841.
Change-Id: I6fe19bb3e2644313c2048ea6c3e11980525509df</t>
  </si>
  <si>
    <t>Update ApiLevel-19 reference images to CtsThemeHostTestCases
Update the reference images from ApiLevel 18 to 19 and also delete CtsHoloTestCases
Bug: 17160329
Change-Id: I009d7c0b2b3d491c70b1f235969e436874d24586</t>
  </si>
  <si>
    <t>camera2: Remove obsolete CameraCharacteristicsTest
This test has now been fully superceded by
ExtendedCameraCharacteristicsTest
Bug: 17282060
Change-Id: Ic421d0712c78129f0c72251119654856db86a7cf</t>
  </si>
  <si>
    <t>Create a theme test in cts and updated reference pictures
1) Move android.host.holo to android.host.theme
2) Migrate other tests from android.holo to android.host.theme
3) Skip theme test for watch and tv
4) Delete the CtsHoloTestCases
bug: 17160329
Change-Id: I17bddcbd3a97d5638ba77a6f6b7b0b492c63d4cb</t>
  </si>
  <si>
    <t>Camera2: Renames for final camera2 API changes
- Listener -&gt; Callback
- add/remove callbacks -&gt; register/unregister
Bug: 17389922
Change-Id: Icc8b7c5c9f2d714458fd4cf3229443d320ed40f2</t>
  </si>
  <si>
    <t>TV: Apply API renamings
Bug: 17389538
Change-Id: Idaa1e5f0477901798f22569fa454de9b9296885e</t>
  </si>
  <si>
    <t>Remove setCdmaSubscription API.
Bug: 17255752
Change-Id: Ibcc2abe001343c8e3c1bf5d633f82fcc91eebe9f</t>
  </si>
  <si>
    <t>Update the preferred network type APIs.
Bug: 17255752
Change-Id: I96d12b78415ba789870bb1c61a2ff44563143cd9</t>
  </si>
  <si>
    <t>Follow up API signature change
This is a follow up CL for Ibfbd5cc1cdebb8851c73477cff55c9b2,
which removes old API signatures that are marked as @removed.
This is just a clean-up CL. No behavior change is intended.
BUG: 17320996
Change-Id: Ibb5448649e06b99894106d78959d28e3b9084fe5</t>
  </si>
  <si>
    <t>WebGL CTS Tests: Update to latest tests.
The previous version used the 1.0.1 'snapshot', whereas the new
version uses the latest tests filtered against version 1.0.1.
Known failures have also been updated given the additional tests.
Bug: 14639928
Change-Id: Icd52f5f66bdfc69eb284096e8bb9a04ff1915c6f</t>
  </si>
  <si>
    <t>Remove testing of instruction counting which is no longer supported.
We should mark Debug.InstructionCount as deprecated later.
Bug: 17318639
Change-Id: Iaa9a63ccb2c3ebd65ca1782cf2d3f2b68ae1faf1</t>
  </si>
  <si>
    <t>Renaming Telecomm to Telecom.
- Changing package from android.telecomm to android.telecom
- Changing package from com.android.telecomm to
com.android.server.telecomm.
- Renaming TelecommManager to TelecomManager.
Bug: 17364651
Change-Id: I6e4db4e5d94ab399aff9d1c20cb023734beb1a55</t>
  </si>
  <si>
    <t>Add 64bit support to tests and runners in CTS
Change-Id: I9a676e19d3ef88f76d8cd862b6fb78917a227159</t>
  </si>
  <si>
    <t>Remove SqliteJournalLeakTest
This tested for a 2 year old vulnerability which is fixed in
all recent Android releases. No need to test for it further.
Bug: 17499477
Change-Id: Ic13698798fd4bbfdf0fefe4f61ca996b858bc1ef</t>
  </si>
  <si>
    <t>Sensor batch test fixes.
b/17547183
- Merge several batching tests into a single test class
- Misc fixes in step detector/counter tests
- Use default verifications for batching tests
Change-Id: If26855bd9c4828a0cf96f475f380e4908bb60c70</t>
  </si>
  <si>
    <t>Add 64bit support to CTS Tradefed
Change-Id: I836fb8c1608f8d632243f4897b7bf720db573762</t>
  </si>
  <si>
    <t>Add support in sensor tests to assume sensor under load.
b/17570759
- Add a test environment that carries information regarding the test execution
- The test environment inside CTS always assumes sensor under load
Change-Id: Idab31a71cfd9de76fab15334dbf19a5eb04bec7b</t>
  </si>
  <si>
    <t>Fixup failing tests in android.widget.
Broken on account of the changed behavior of AndroidJUnitRunner.java
no longer calling Looper.prepare.
See ag/547306
bug:17609234
Change-Id: If69e93b09b39975d9e441aec196a7197e128e90e</t>
  </si>
  <si>
    <t>Fix cts app package tests
bug:17609234
Change-Id: Idbab0963aac05deb13b3357e77165e02de6c57c0</t>
  </si>
  <si>
    <t>Make window introspection tests more robust.
The window introspection CTS tests were hardcoding the assumption
that there is always a nav bar and a status bar which is not always
true. For example, a wearable may not have space for both. This
change makes the tests more rebust by removing tests that rely on
existence of nav and status bars while making other window tests
agnosinc for the existence of these windows.
bug:17499420
Change-Id: Ieabb33ad106f805d49e87169d594f6a0b211864e</t>
  </si>
  <si>
    <t>Remove Telecom CTS tests
android.telecom.* APIs have been marked @hide, so remove their CTS
tests.
Bug: 17569532
Change-Id: Ibd7240ed3442b1d3c9257eb2c65673f9a577f54a</t>
  </si>
  <si>
    <t>NoReadLogsPermissionTest: don't depend on directory read access
In L, the /dev/log directory isn't world-readable. Expand out the
full list of files, and test each file individually to make sure
it has the appropriate permissions.
Allow for the non-existance of any file. With the migration to the
userspace logger, we expect these entries to go away over time.
Bug: 17594208
Change-Id: Id275e1aeb8e14ebd77ec53bc5a54bfb6cc7853fc</t>
  </si>
  <si>
    <t>Update CTS ConnectivityManager permissions tests to work with L release.
Removed getNetworkPreference() and setNetworkPreference() tests as
these functions are now fully deprecated and do nothing, including
performing no permissions checks.
Adjusted the arguments used to test startUsingNetworkFeature() to
make them more realistic as this function now performs some basic
argument checking before testing permissions.
Removed stopUsingNetworkFeature() test as this function can't
encounter permissions failures anymore.  It will only fail to find
a record of a matching startUsingNetworkFeature() call and return -1.
bug:17187446
bug:17187549
Change-Id: I14c310890c6905a9464d61113c2bfd789f290937</t>
  </si>
  <si>
    <t>Remove CtsTestStubs
bug: 17211776
Change-Id: I771736d44df271079d175984cbe7a981fb5ea76b</t>
  </si>
  <si>
    <t>Deleting the cts tests for Sim restricted APIs from lmp-dev
Bug: 17639966
Change-Id: I36297d488af1bacd8666de84fc0e9ff61b95e58e</t>
  </si>
  <si>
    <t>Removing AudioEffectTest: ConstructorFromUuid()
This test failed in devices that offloaded any of their effects, and
used hidden apis. Removed from test file and noted in knownfailures.txt
bug: 17605875
Change-Id: Idb464c56c4f32719d8800d63fef6ba97f11668f2</t>
  </si>
  <si>
    <t>Add integration to Gyroscope tests.
b/17629928
Remove testWaving from step counter/detector tests.
b/17670758
Change-Id: I6c82b3e8b3182e29e90764890b28ab397e09728f</t>
  </si>
  <si>
    <t>Remove loop filter test.
This was never a public API intended only to support VP9
Since this is not happening for L, remove test.
bug 17720646
Change-Id: I8964dc90c74203bb6293903c1b094d58e6c0f24a</t>
  </si>
  <si>
    <t>Update Signature tests
bug: 17327088
Change-Id: I11a49492ffcb44945d4ca0de6c370e7707a1423b</t>
  </si>
  <si>
    <t>Create environment for running CTS test for Device Owner
At the moment, all DeviceOwner tests are implemented as GTS tests.
However, many of them can be run as CTS tests (i.e. they don't
require special permissions). I've moved across those tests on this change.
Also, I've renamed Profile Owner tests to Managed Profile to avoid confusion.
Bug: 17312478
Change-Id: I426e5b752a36403ec84f5b914558dfbcd407a08a</t>
  </si>
  <si>
    <t>Fix CST test failure on non-telephony device and a couple of exceptions
The fixes include:
(1) CTS should not test telephony specific APIs on devices without telephony
    module
(2) fix java.lang.NullPointerException in android.telephony.PhoneStateListener
(3) fix java.lang.SecurityException: ConnectivityService: Neither user 10092 nor
    current process has android.permission.ACCESS_NETWORK_STATE
(4) fix java.lang.SecurityException: WifiService: Neither user 10092 nor current
    process has android.permission.ACCESS_WIFI_STATE
(5) fix java.lang.SecurityException: WifiService: Neither user 10087 nor current
    process has android.permission.CHANGE_WIFI_STATE
Bug:17508788, 17756243, 17446939
Change-Id: I51b45e613f9c21259d0d5f2349f3f0b8f2e0fa14</t>
  </si>
  <si>
    <t>Move Common files from CtsTestStubs to ctsdeviceutil
bug: 17211776
Change-Id: I8dfe89d4d4f7dfcd173c264ccd32edc525674190</t>
  </si>
  <si>
    <t>cts: fix testSwAVCDecode360pForFlexibleYuv.
Bug: 17144778
Change-Id: Ibf52b4979739a1d3569b4ab5c5ad9c68005acd89</t>
  </si>
  <si>
    <t>Fix DeqpTestRunnerTest tests.
* Update tests to expect package installation and uninstallation.
* Fix various whitespace errors in test expectations.
Change-Id: I2d70ba205b2d3c9f2e7d03d747d1f2a0448f99de</t>
  </si>
  <si>
    <t>Remove loop filter test.
Change-Id: I59c6f1c0492ca254fbc658db67a5dbb9a2804769</t>
  </si>
  <si>
    <t>Security tests for cross user intents.
This splits the sender and receiver apps to allow us to test both
directions: from managed to parent and from parent to managed.
Bug: 17983737
Change-Id: I2af55d96a262f71b157bfa3c076846695f726aa8</t>
  </si>
  <si>
    <t>Move timestamp synchronization test cases to sensor test platform.
b/17643223
- Improves the logging of timestamp synchronization verifications
- Refactor batching tests to use sensor test platform
Change-Id: Ic6924d5c794ddcf646f618f446cbda11b938d184</t>
  </si>
  <si>
    <t>Fix BuildTest.
The test was overly strict in its interpretation of Build.CPU_ABI{2}
and did not forsee the advent of 64 bit devices and devices with
emulated architectures.
bug: 18058506
Change-Id: I6e261cb8d4ba66179186bef7beb000f2803c791c</t>
  </si>
  <si>
    <t>skip audio effect tests when not applicable
Only Equalizer and Visualizer audio effects are mandated.
Skip the test when the platform does not support audio output
or when an effect is not reported as being implemented.
Bug: 18085894.
Bug: 15338282.
Change-Id: I2ca3af69737a5d1ae76e9505998c485ff57f9c96</t>
  </si>
  <si>
    <t>Fix NoExecutePermissionTest
Don't look for magic keywords such as [heap] or [stack],
as they aren't guaranteed to be present in /proc/self/maps.
Instead, determine the address of
1) a stack pointer
2) a heap pointer
3) an executable pointer
and check to see if they have the expected page permissions.
Bug: 16873288
Change-Id: I16f6066d1b5d26bc491e413de1d10e98aec9c81c</t>
  </si>
  <si>
    <t>DO NOT MERGE. 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Bug: 18004296
Change-Id: Iefe508df265f62efa92f8eb74fc65542d39e3e74</t>
  </si>
  <si>
    <t>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Bug: 18004296
Change-Id: Iefe508df265f62efa92f8eb74fc65542d39e3e74
Conflicts:
	tests/tests/security/Android.mk</t>
  </si>
  <si>
    <t>Remove CTS test for MaximumTimeToLock
It was removing the stay awake setting thus ruining other CTS tests.
Test has been moved to GTS to be possible to restore the setting
after test has run.
Bug: 18002490
Change-Id: I91746032df08ef0fdef05711114691da18796a0a</t>
  </si>
  <si>
    <t>ABI Related bug fixes
-Fix continue-session.
-Fix add derivedplan regressions
-Fix CTS Error messages for missing abi packages for x86/arm combinations
bug:17926849
bug:18115716
Change-Id: Ib95da363dd153f157f3ca898155940792591a3ef</t>
  </si>
  <si>
    <t>Cts tests for cross-profile copy paste.
BUG: 17998715
Change-Id: I7a752b44b4e15efa49de0912f58aa65f3cea1118</t>
  </si>
  <si>
    <t>Avoid calling inflate() multiple times in AnimationDrawableTest
Calling inflate() multiple times has undefined behavior. It has only
worked in this particular test because the specific fields being
tested were consistently overwritten while others were not. It is
extremely unlikely that any developer was relying on this behavior.
This fix is needed to implement theme support in AnimationDrawable
that is consistent with the other drawable classes without breaking
the CTS tests.
Also fixes exception type thrown from ScaleDrawable to be consistent
with other drawable wrapper classes.
BUG: 16045735
Change-Id: Ib36834000e7791585ade0d168bbf011b4d219751</t>
  </si>
  <si>
    <t>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Bug: 18004296
Change-Id: Iefe508df265f62efa92f8eb74fc65542d39e3e74</t>
  </si>
  <si>
    <t>Fix derived plan.
-Remove all ABI based test filtering from TestPackageDef and TestPlan.
-TestPackageDef and TestPlan represent exactly what exists in the corresponding XML files
-All ABI filtering happens in CtsTest.
-Minor cleanup
Change-Id: If9bc2ef31d70409f01bb098f4a1642be490bcb4c</t>
  </si>
  <si>
    <t>Fix various Wear media CTS failures.
- Rework MedaiPlayerTestBase to include common methods
- Fix MediaPlayerTest failures
- Fix StreamingMediaPlayerTest failures.
- Fix crashes in NativeDecoderTest.
Bug: 18256010
Change-Id: I6f7eb854537c807be40df44d34b7d55b1379a804</t>
  </si>
  <si>
    <t>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Bug: 18004296
Cherry-pick of commit: d8f368c35d1dcdba572de21888bfdac2ac7d408c, which is a
cherry-pick of commit: 1e4bf6161c7e771c48540cd77d8e7ada69af8c95
Change-Id: I7c1d25493c311256b09598cf3874753331d81dd7</t>
  </si>
  <si>
    <t>Split SELinux neverallow rules test.
The current neverallow rules test component of the security host tests is
responsible for validating all of the security assertions present as part of
the neverallow rules present, but it offers an all-or-nothing result. Given
the number and scope of those rules, finer granularity is desired.  This CL
dynamically produces a java source file at build-time which has split each
neverallow rule into its own test.
Bug: 18005561
Change-Id: Ib3b454766419532de69f1726bd03215d35d6d495</t>
  </si>
  <si>
    <t>new SMS and MMS API
BUG: 18005911
Change-Id: I06769e84efc2ebcd5b647bfb4580cd1911412bc1</t>
  </si>
  <si>
    <t>media: update MediaCodecList handling to API 21
- check for codec capabilities using MediaCodecList.findEn/Decoder
- add android.cts.util.MediaUtils
Bug: 18514657
Change-Id: I2333765ee17bb8059ea466585bebb63378f47464</t>
  </si>
  <si>
    <t>Select common codecs for MediaCodecTest.testException
Changed audio codec (decoder) from AMR-WB to MP3
as should be available on more Android devices.
Allow testing to proceed even if some codecs are not available.
Bug: 18349242
Change-Id: Ia2fe17f555f69e94a652069e20aa9848fdd0ec7e</t>
  </si>
  <si>
    <t>media: run media tests based on device type and support
  - list required codec types by device type
  - test playback based on format-specific decoder support
Bug: 18465895
Change-Id: I6eb387cea004e92e772d8bfc3921078ec3ba5727</t>
  </si>
  <si>
    <t>media: fix 4k hevc test stream
Bug: 18355427
Change-Id: I5c5b38e6680bdd648273a3b4a2327f9c9a0a5b91</t>
  </si>
  <si>
    <t>DO NOT MERGE: media: fix 4k hevc test stream
Bug: 18355427
Change-Id: I5c5b38e6680bdd648273a3b4a2327f9c9a0a5b91
(cherry picked from commit 993e0e230f7d28a0889c83d17386ec21f9cf9c50)</t>
  </si>
  <si>
    <t>media: don't test video decoders &amp; encoders on watch devices
This patch includes additional fixes for CTS tests that are still
run on watch devices.
Bug: 18664566
Change-Id: Ia69b76a781a1eff8e109e07f4176b1860b6454e7</t>
  </si>
  <si>
    <t>Fix a failing CTS test.
This tests to make sure marshalling works fine. The new fields that it
catches cannot be tested without calling private APIs, so just updating
the test.
bug:18671574
Change-Id: Icd0e8356c320fa725c1f811dec170e350c112c72</t>
  </si>
  <si>
    <t>Remove ineffective sock_diag cts test.
SELinux now prevents access to netlink sockets for untrusted_app.
This effectively renders the previously existing sockDiagTest
useless.  Remove it.
Change-Id: Ie99709070dfc0d7b062a4c5b27638cd027585a16</t>
  </si>
  <si>
    <t>Camera2: various RecordingTest update
1. The duration from MediaPlayer might be longer due to audio track.
   Change it to only check for video track duration
2. Split basic recording test into two. One test resolutions from
   high to low. The other test video frame rate from low to high.
3. Mark two known failing test
4. Also clean up some duplicated code in RobustnessTest.
Bug: 18705837
Bug: 18689511
Change-Id: I855129cf2d2939c783082dccedee56ef88252a16</t>
  </si>
  <si>
    <t>Remove useless AnimationDrawable test, fix test for default one-shot
The testInflateMissingAttributes() test was broken and didn't actually
testing any functionality that wasn't already covered by other tests.
Change-Id: Ia3e92cf0f6799f2f3c06ca85e11b7b7bda72b618</t>
  </si>
  <si>
    <t>Refactor sensor test platform listeners.
b/17838681
The refactoring is required in preparation to add support to save sensor events upon failure.
Change-Id: I5540451d70426fbbbe19a10b2a727b2e010c3838</t>
  </si>
  <si>
    <t>Relax /dev/diag test
Rather than asserting that /dev/diag isn't present, only assert that
it's not readable / writable. It may be used by other parts of
Android.
Bug: 18776555
Change-Id: I63f3193ab9ae8bcad259e9ee607239a805ec9bd4</t>
  </si>
  <si>
    <t>DO NOT MERGE Remove useless AnimationDrawable test, fix test for default one-shot
The testInflateMissingAttributes() test was broken and wasn't really
testing any functionality that wasn't already covered by other tests.
BUG: 18784598
Change-Id: Ia3e92cf0f6799f2f3c06ca85e11b7b7bda72b618
(cherry picked from commit 72cdd8ea759d0681042361faad31ed6a5ac3fbe7)</t>
  </si>
  <si>
    <t>Test TCP and ICMPv6 on VPNs in addition to UDP.
Bug: 15605143
Change-Id: Ifd7a646990619057e714a789902df2c157a768c0</t>
  </si>
  <si>
    <t>Add static AudioTrack to listener tests
Also check number of marker and periodic notifications
as well as timing of those notifications.
Change-Id: I7232f831b5a76e6e5ddb90d3b02ad3c075543aab</t>
  </si>
  <si>
    <t>Save all sensor events when a verification fails.
b/17838681
It also prepares the sensor test platform for logging and maintaining a hierarchy of elements.
Most of the changes are only required to propagate the hierarchy information down to all the
elements of the sensor test platform.
Change-Id: I08f750cfb426502240db584b5a1209481856c13c</t>
  </si>
  <si>
    <t>Revert "Cts tests for Settings intents"
This reverts commit 122af17e0c46dc39bc9d468b6e2c10794c5968fd.
Change-Id: I2b1121601dc77ae0101b5585b3b7bf446163a101</t>
  </si>
  <si>
    <t>CTS Verifier: Remove old camera analyzer code
Hasn't ever been in real use, and completely superceded by
Camera ITS in any case. Remove it to cut down on clutter and
checkbuild time.
Change-Id: I85bb4c37e002e2b85679f668695f7f292f900a47</t>
  </si>
  <si>
    <t>update cts test for renaming to setPreferredNetworkTypeToGlobal.
Bug: b/18983535
Change-Id: I5f1ed8554de9ebfd7193d1c4e4b811b3beafad70</t>
  </si>
  <si>
    <t>Remove special runner in print tests
* use UiAutomation#executeShellCommand to replace calls in
  special test runner
* remove print test type &amp; special harness since the test is now
  a regular instrumentation test
Bug: 19125024
Change-Id: I99ae800ab147fec9a49d1ca15662272f39b21235</t>
  </si>
  <si>
    <t>Add a common util for running shell command with shell identity
Requires API Level 21 or newer
Bug: 19125024
Change-Id: I68c81294e36e4c55edd02924f391075c47b416c4</t>
  </si>
  <si>
    <t>Move SELinuxDomainTests to hostsidetests.
Bug: 19047585
Change-Id: I25b2f9b4fd52863580f2e051dc92b5f7e3d49dbf</t>
  </si>
  <si>
    <t>media: separate arbitrary VideoEncoderTests
Also remove masking exceptions when creating the Encoders() array
Bug: 19013118
Change-Id: Idea4c166e6cdc0b55f8ac0047648034a2b5278ba</t>
  </si>
  <si>
    <t>camera2: Add RAW/JPEG comparison test.
- Compare patches from rendered RAW images with corresponding
  JPEG images generated by the camera pipeline for the same
  frame.
- Add RAW rendering utilities to CTS for working with RAW16
  buffers.
Bug: 18374258
Change-Id: I1660e666f8856d3017a86074a14e7f6438bf8658</t>
  </si>
  <si>
    <t>Tests for LauncherApps
CTS Tests for LauncherApps service.
Bug: 17561728
Change-Id: I007c9457781fb750981a506d60e4028a73fa9ba1</t>
  </si>
  <si>
    <t>media: added data check to ImageReaderDecoderTest
check YUV data on known swirl pattern for both ImageReader and
MediaCodec.getOutputImage interfaces.
Bug: 19179288
Change-Id: I86a00d19fb4ee09605616787979b1d79ae54a212</t>
  </si>
  <si>
    <t>Change SELinux neverallow tests to be sepolicy-analyze based.
Change I47c16ccb910ac730c092cb3ab977c59cb8197ce0 added support to
sepolicy-analyze for checking the SELinux policy binary for neverallow rule
violations.  This offers an improvement over the current tests, since this now
checks the entire policy rather than just the components which are extracted
from the AOSP policy.  Remove the old tests and replace them with the new.
Cherry-pick from commit: 1e4bf6161c7e771c48540cd77d8e7ada69af8c95
Bug: 19191637
Change-Id: I594a9df75ad52a07b101d71d11d9517dbf9d79be</t>
  </si>
  <si>
    <t>Split SELinux neverallow rules test.
The current neverallow rules test component of the security host tests is
responsible for validating all of the security assertions present as part of
the neverallow rules present, but it offers an all-or-nothing result. Given
the number and scope of those rules, finer granularity is desired.  This CL
dynamically produces a java source file at build-time which has split each
neverallow rule into its own test.
Bug: 18005561
Bug: 18617876
Cherry-pick of commit: b34ae0b2998aa3ac14034b2a8e48b6d4e94f7605
with commit: a44c966e626ba1ed4476c5e45fdade51fffcf74a squashed in.
Bug: 19191637</t>
  </si>
  <si>
    <t>Update the settings provider tests.
Some settings provider tests were testing internal implementation,
rather public APIs and had to be removed. Some other tests were
assuming presence of certain settings which is no longer true and
needed an pdate. Other tests were plain wrong.
Change-Id: Ic5f9c4982dd103a7e5183e6277935178e6b799eb</t>
  </si>
  <si>
    <t>Differentiate device feature checking across Device Policy tests
Maintaining a boolean array for features presence. mHasFeature gets
set up by subclasses based on the feature array.
Bug: 19278471
Change-Id: Ifbed41b9a8b0c9a32a7b71b09ca36a77521618ea</t>
  </si>
  <si>
    <t>Remove already present users when starting managed profile tests.
Change-Id: I3b542fb900682ed110d13042e4e47967834d4ab5</t>
  </si>
  <si>
    <t>FileSystemPermissionTest: Eliminate tests which access /proc/1/mounts
/proc/1/mounts is unreadable to CTS due to SELinux restrictions.
Drop the failing tests which attempt to access that file.
Change-Id: I73bfa701fd32e6f36097b89225982b7cbb132ad0</t>
  </si>
  <si>
    <t>Revert "Extend tests for Ctrl-Z undo in TextView"
This reverts commit 695b60c38c85d3bd6e8cc09e2bc22fad78f77e6d.
The code being tested was reverted.
Bug: 19505388
Bug: 19332904</t>
  </si>
  <si>
    <t>Revert "Add test for Ctrl-Z undo in editable TextViews"
This reverts commit c3fdc549adfae02c6749f1339cd7c45607799f77.
The code being tested was reverted.
Bug: 19505388
Bug: 19332904</t>
  </si>
  <si>
    <t>FileSystemPermissionTest: use statvfs and add test
Switch to using statvfs() for mount tests. At the time these
tests were written, that function wasn't available.
Add an additional test to validate that /data is mounted
nosuid and nodev.
Change-Id: Ib0449e200b193bb108b2aacba0d30a56131df29b</t>
  </si>
  <si>
    <t>support package scope prepare/teardown
* introduced concept of module test config as AndroidTest.xml;
  for now target preparers can be defined in it to complete tasks
  before and after (CTS) package scope test execution
* modified CtsTest to invoke the preparers around package scope
  test execution
* modified related makefiles to "install" the module test config
  into CTS repository/testcases
* default common test config that included the commonly useful
  preparers
* modified accessibility tests to adopt module test config
Bug: 19442125
Change-Id: I1c694997c96c37150399395de2fbc464264c2aba</t>
  </si>
  <si>
    <t>Fix build: Revert "[RenderScript] Add CTS tests for Allocation.copy1DRangeTo &amp;"
This reverts commit 0a5f066a6e8d9f3047710f467f8c0feb7a7e22e9.</t>
  </si>
  <si>
    <t>Delete obsolete security tests
These security bugs have been fixed for a really long time,
and the tests are broken and useless. Delete them.
Bug: 19658591
Change-Id: I1b0bb19c7ac28b0f274b1c6adafda4d0437e140c</t>
  </si>
  <si>
    <t>SELinuxHostTest:  Add a test for the AOSP seapp_contexts entries.
Add a test that requires the device seapp_contexts to be identical
to the general AOSP seapp_contexts entries.  Other entries may be
added after the AOSP entries.  Retain the separate checkseapp validation
test to ensure that all of the entries are valid and that none of the
later entries conflict with the AOSP entries.
Change-Id: I431c1ab22fc53749f623937154b9ec43469d9645
Signed-off-by: Stephen Smalley &lt;sds@tycho.nsa.gov&gt;</t>
  </si>
  <si>
    <t>SELinuxHostTest: Add tests for other AOSP *_contexts entries.
As in I431c1ab22fc53749f623937154b9ec43469d9645, add tests that
require the other device *_contexts files to be identical to the
general AOSP *_contexts entries.  Other entries may be added after
the AOSP entries.  Retain the separate validation tests to ensure that
all of the entries are valid and that none of the later entries conflict
with the AOSP entries.
Change-Id: Ia54aa263f2245c7090f4b9d9703130c19f11bd28
Signed-off-by: Stephen Smalley &lt;sds@tycho.nsa.gov&gt;</t>
  </si>
  <si>
    <t>Tests for undo of text entered via IME
* Composition edits are ignored
* Canceling an edit as also ignored
Also tweaked the test for setText() to exercise the UndoManager
forget-undo behavior more fully.
Bug: 19332904
Change-Id: I730378c84526f3b9da9bd514863f5af9943ca883</t>
  </si>
  <si>
    <t>Remove KeystoreExploitTest
SELinux denies the ability to examine /proc entries, so this
test is effectively useless now.
Bug: 19699013
Change-Id: I7ffe2e37da2e70ababf7a090b6342a6d37487db9</t>
  </si>
  <si>
    <t>Shorten the names of the generate files (&amp; related changes).
Also place generated files in their own directory.  Changed the naming
of two manually created files to be consistent with the other ones in
the directory (namely that "Test" is a suffix, not a prefix).
Change-Id: I268ddd590627e7f07b73d9b9961accf9d5d60354</t>
  </si>
  <si>
    <t>Camera2: add ImageWriter CTS test
Only cover the basic image reader/writer operations for YUV and opaque
formats. Also refactor the code a little bit for better code reuse.
Change-Id: I51ca82fd20a62b5abcb101f5a91818561a9e35ae</t>
  </si>
  <si>
    <t>Check marker and periodic event timing in AudioRecordTest
Change-Id: If7db8320897dcc76397cb9759f719d5104b565f1</t>
  </si>
  <si>
    <t>[RenderScript] Add CTS tests for RS C++ Allocation APIs
 - Add copy2D and copy3D tests
 - Add copy1DPadded, copy2DPadded, copy3DPadded to test autoPadding
   for vec3 elements.
Change-Id: Ice1c124b344ad8673e25c51c8816a440d4e1d4b2</t>
  </si>
  <si>
    <t>Revert "[RenderScript] Add CTS tests for RS C++ Allocation APIs"
Will resubmit when the API CL got merged.
This reverts commit bfe1405befe2138259d2fdcbd93a6011620b7a89.
Change-Id: I891190fb5ffd39004f4823bae66494f5ca34e830</t>
  </si>
  <si>
    <t>Fix CTS tests for drawables
Bug: 19962473
Bug: 19863229
Bug: 19964961
Change-Id: I77d81fdda630475a0e45dfc658e0e3ff3395e605</t>
  </si>
  <si>
    <t>DO NOT MERGE ANYWHERE.
Revert "DO NOT MERGE ANYWHERE."
This reverts commit b7c798f9b84c7c100aa37e6aa77e7f31460c7bd7, reversing
changes made to 4e8ecc32db5d3a17ccec099681425c34b630d23b.</t>
  </si>
  <si>
    <t>[RenderScript] Add CTS tests for RS C++ Allocation APIs
 - Add copy2D and copy3D tests
 - Add copy1DPadded, copy2DPadded, copy3DPadded to test autoPadding
   for vec3 elements.
Change-Id: I1915e2522826ff027b30f8ffdea2e899de02f1a9</t>
  </si>
  <si>
    <t>Add cts test for testing launcher version.
Move the nfc resource tests to gts.
Bug:19793663
Change-Id: I8cab27208f702fddb2516f9046f847501b101b08</t>
  </si>
  <si>
    <t>Add 8 bit and float format checking to AudioRecordTest
Change-Id: If2ba3c47ea3149edcd5d3a8cb55ff13fb56b42ac</t>
  </si>
  <si>
    <t>Tests for media classes accepting MediaDataSources.
Bug: 19429378
Change-Id: Ie734b51819785047c6596fd4d20eaf43c5d60a4b</t>
  </si>
  <si>
    <t>Update low ram device test for new memory requirements
bug:20222250
Change-Id: Id71847b222b2ec913c148bd88ccf308212fdf1e2</t>
  </si>
  <si>
    <t>Fix keystore CTS tests broken by removal of DSA.
Bug: 17409664
Bug: 19863798
Change-Id: I2318ffbe9ed369ddbbedb95623e7c7aa6c5b5d0a</t>
  </si>
  <si>
    <t>camera2: add more tests for reprocessing
Add a test for recreating reprocessing sessions and a test for
cross session capture exceptions. Also increase the number of
reprocess captures for non-basic tests and refactor the test
code to be shared by different test cases.
Bug: 20263212
Change-Id: I2b533a5f6fc6715fa596575768ad2e309e36f07c</t>
  </si>
  <si>
    <t>Camera2: add invalid image access test in ImageReader/Wrtier
Bug: 20494395
Change-Id: Iefeb2c569a192e9840c5c37dfa9c0155d26e058d</t>
  </si>
  <si>
    <t>check decode cap before runing mediastress playerTest
Change-Id: I521e09be487acded7e18e955552a60f8d2f29a7e
Signed-off-by: ywan171 &lt;yi.a.wang@intel.com&gt;</t>
  </si>
  <si>
    <t>Remove common scanners and xml generator.
New system will not use these
Change-Id: I0f9e7a7a9039d75dd64702134c8ef25e14219839</t>
  </si>
  <si>
    <t>Camera2: add static metadata check for maxCaptureStall
Also cleanup the cts code a little bit: Auto-unboxing without a null check is
dangerous, the test could crash by the NPE without telling much details of the
actual failure.
Bug: 20670252
Change-Id: Idaeea2fb16df0c472bf458cc5e701314500d4309</t>
  </si>
  <si>
    <t>Add channel index AudioRecord tests
Change-Id: I40bbc01374d6d1c9cd1ed05ac2a9583d1cbb9d27</t>
  </si>
  <si>
    <t>FileSystemPermissionTest: Fix typo in function name
Change-Id: I6438efefd47dcd51912921b921d8efcef01d7c05</t>
  </si>
  <si>
    <t>Update low ram device test for new memory requirements
bug:20222250
Change-Id: Id71847b222b2ec913c148bd88ccf308212fdf1e2
(cherry picked from commit 4b7f7c01129b624947d9f9a84e9e851a2761fed7)</t>
  </si>
  <si>
    <t>Self-signed cert parameters are now optional.
This is a follow-up to 67d21aef98bbafd0def2cacc6254e644e911c8dd in
frameworks/base which made specifying self-signed cert parameters
optional when generating key pairs in AndroidKeyStore.
This CL adjusts the CTS to match.
Bug: 18088752
Bug: 20636391
Change-Id: I1bcdebe5305c9a9d1903a52fde6f59a40b08eb43</t>
  </si>
  <si>
    <t>check decode cap before runing mediastress playerTest
Change-Id: I521e09be487acded7e18e955552a60f8d2f29a7e
Signed-off-by: ywan171 &lt;yi.a.wang@intel.com&gt;
(cherry picked from commit f5fc7f7dedbe5085ba9621bae0868141e5dcaa1f)</t>
  </si>
  <si>
    <t>Select common codecs for MediaCodecTest.testException
Changed audio codec (decoder) from AMR-WB to MP3
as should be available on more Android devices.
Allow testing to proceed even if some codecs are not available.
Bug: 18349242
Change-Id: Ia2fe17f555f69e94a652069e20aa9848fdd0ec7e
(cherry picked from commit 8143153cef876e2b14eb6d170cab85d6973349f1)</t>
  </si>
  <si>
    <t>Fix AudioRecord_BufferSizeTest
1) RecordingState changes are performed synchronously, no need to poll.
2) getRecordingState() returns AudioRecord.RECORDSTATE_STOPPED after creation.
3) Clean up by releasing AudioRecords if there is an exception.
Change-Id: I6e98e5100a9d413ddfee04d91d7582b505bd37d1</t>
  </si>
  <si>
    <t>videoperf: video codecs performance measurements on common video sizes.
Bug: 20507129
Change-Id: Ia717cae7452a36a390e03014315a480c45ce45d8</t>
  </si>
  <si>
    <t>Add a CTS suite for removed methods
Contains tests for FloatMath.
Bug: https://code.google.com/p/android/issues/detail?id=36199
Change-Id: Ie42e2b0a262e02036c5878806e2ff812d28dd8aa</t>
  </si>
  <si>
    <t>Camera2: add reprocessing performance tests
Also add minor update for ImageWriter test, and fix some other minor performance
test issues.
Bug: 20670252
Bug: 20083887
Change-Id: Id3a6e8980026b426cbcd63bbe4e9c366c5e02ab2</t>
  </si>
  <si>
    <t>videoperf: add coverage to VideoCapabilities.getAchievableFrameRatesFor.
also add test config to enable/disable different test components and handle the case of
multiple codecs for one type.
Bug: 20507129
Change-Id: Ie0d026c3937f93ef789ad11d7d9c99ccab39e5a9</t>
  </si>
  <si>
    <t>Remove CTS tests which require MODIFY_PHONE_STATE permission.
Bug: 20884684
Change-Id: I8ffd2fee1b3d12bd9ceadb5dc52b03c9cf32e8ec</t>
  </si>
  <si>
    <t>camera2: add reprocess burst tests
Add a reprocess only burst test and a regular-reprocess-mixed burst
test. Add a method to CameraErrorCollector to validate image width,
height, format, and timestamp.
Bug: 20466214
Change-Id: I73261b02ab4e21a1ea462e0e79ac289fb33ca7b2</t>
  </si>
  <si>
    <t>Revert "Self-signed cert parameters are now optional."
This reverts commit 20815e69e7d5c7f62b190b7ef337a1dd6ec3df83.
This is to track frameworks/base commit 3f8d4d840894468f2be8a5b56ff266cef2d71c50.
Bug: 21039983
Change-Id: Ib7ce9b0f4af1bc9f3886c10d83fa1e965674d64b</t>
  </si>
  <si>
    <t>Camera2: Update tests for API name changes
Rename reprocessible to reprocessable.
Bug: 21044522
Change-Id: Ib13f4051200dbba35ab94ec6735eedd89611fad6</t>
  </si>
  <si>
    <t>media: update setPlaybackRate to setPlaybackParams
Bug: 21045118
Change-Id: Ic96a88ae51c228d9d2399f7601a6296123d3b6ce</t>
  </si>
  <si>
    <t>Remove Authorization and ProviderStatus CTS
Bug: 21090207
Change-Id: I05af463347c7624fae2f3edf0f5780243cc1f5b9</t>
  </si>
  <si>
    <t>MediaDrm API Updates per api council review
bug: 21044671
Change-Id: I2bfbd0f29be0b2309cb1c1421252c998e2fc4829</t>
  </si>
  <si>
    <t>Move sine wave and chirp sound data creation to AudioHelper
Bug: 21134712
Change-Id: I0c1a48fdc355f2de07c275198af7d5ddf3720a47</t>
  </si>
  <si>
    <t>Remove WebGL conformance tests from CTS
These are failing too frequently to maintain.
BUG: 20937460
Change-Id: I6aaee8cad3b73beb6f8abbfea09eb8844dcb71ac</t>
  </si>
  <si>
    <t>Add CTS tests for Email.ENTERPRISE_CONTENT_LOOKUP_URI
To run:
1. Follow https://sites.google.com/a/google.com/android-cts/cts
2. make cts
3. out/host/linux-x86/cts/android-cts/tools/cts-tradefed run singleCommand
cts --class com.android.cts.devicepolicy.ManagedProfileTest
Bug: 19550641
Change-Id: I27293b1de7a47285d5057df0f4bd112a57ddac5a</t>
  </si>
  <si>
    <t>Update cts to not require multi-user when managed_users are declared
Tests that need to create a managed profile do not need to check
multi-user support.
Also remove the cts test which checks that multi-user support is
a prerequisite for managed_users.
BUG: 21119929
Change-Id: Ie58cf9adc675318d810dcb48beeb5b4842b557c4</t>
  </si>
  <si>
    <t>TIF: Add missing test cases for TvInputService
Bug: 20702419
Change-Id: I55bc2cad72b0c6fc12c5d5f2efd43b684bcafc5f</t>
  </si>
  <si>
    <t>TIF: Add tests for TvInputCallback.onInputAdded/Removed()
Bug: 20702419
Change-Id: I2beb423d0310289da4e45303bc780e17ed05b43e</t>
  </si>
  <si>
    <t>Camera: Tonemap CTS update for HAL3.3
Also add AE/AWB lock available key test.
Bug: 20888941
Change-Id: I5392931c0bbab6a2463081f2f6b4f68044b9e49c</t>
  </si>
  <si>
    <t>Add more CTS codes for MediaBrowserTest
- Check onConnectionFailed() in ConnectionCallback is called
  when the connection is failed.
- Test MediaBrowser.subscribe() and SubscriptionCallback.
Change-Id: I4724607294a9c56212df80498fb64e5abe821645</t>
  </si>
  <si>
    <t>Add CTS for enterprise SIP lookup
It's mostly the same thing as the phone lookup, but the internal behavior is
slightly different.  Make sure the returned photo URIs are actually valid
and readable.
Bug 20687987
Change-Id: Ief6742b30a9b44e7752305f5ca6f8453f2cf7b97</t>
  </si>
  <si>
    <t>[RenderScript] Typo fix for Resize test.
bug : 21488490
Change-Id: I16ca3dad747ee69286fbae5c5ab42bd581d64af6</t>
  </si>
  <si>
    <t>Update LockTaskTest with new API call and behaviour changes
A new API ActivityManager.getLockTaskModeState was introduced and is
added to the tests. Additionally, the behaviour of lock task mode
changed slightly in that whitelisted apps can now launch new tasks,
whereas non-whitelisted apps still cannot be launched in new tasks.
Bug: 19516141
Bug: 20514015
Change-Id: Id4896faa80c8af05f8c59e85b9f05e02eb761252</t>
  </si>
  <si>
    <t>Adding three CTS tests for the time tracking api
Bug: 21374371
Change-Id: Ia414723ec8d0829195ec5ce190e7e14f03522584</t>
  </si>
  <si>
    <t>Tests for Compatibility Common Code
Host-side libraries are tested using Tradefed.
Device-side libraries are tested by bundling them, along with their tests,
into an app which is installed and instrumented.
Change-Id: I74494171f580b0dbd7c0c87e285d341a84c940f3</t>
  </si>
  <si>
    <t>Cherrypick the following CLs from LMP MR1
Cherrypick CLs from lmp-mr1 and fixed a typo in method name in
android.hardware.cts.SensorTest.
List of the CLs:
  Move timestamp synchronization test cases to sensor test platform.
  b/17643223
  - Improves the logging of timestamp synchronization verifications
  - Refactor batching tests to use sensor test platform
  Original-Change-Id: Ic6924d5c794ddcf646f618f446cbda11b938d184
  Refactor Sensor test platform Operations.
  b/17838681
  The refactoring is required in preparation to add support to save sensor events upon failure.
  Original-Change-Id: I13ed41e3fa5393c61ccee766f0fdb9f4fd6aadd5
  Fix handling of Sensor test platform exceptions.
  b/18705736
  Original-Change-Id: I82f4a4f18b52ff3ea263b3ff9f063e1c5459eca5
  Refactor sensor test platform listeners.
  b/17838681
  The refactoring is required in preparation to add support to save sensor events upon failure.
  Original-Change-Id: I5540451d70426fbbbe19a10b2a727b2e010c3838
  Refactor SensorStats.
  b/17838681
  The refactoring is required in preparation to add support to save sensor events upon failure.
  Original-Change-Id: I4661647b13296912fe89f5b20e01dad12553f72d
  Save all sensor events when a verification fails.
  b/17838681
  It also prepares the sensor test platform for logging and maintaining a hierarchy of elements.
  Most of the changes are only required to propagate the hierarchy information down to all the
  elements of the sensor test platform.
  Original-Change-Id: I08f750cfb426502240db584b5a1209481856c13c
Change-Id: Ia68a7d9952b7ac7bfd100cdf70dace494b17e7b3</t>
  </si>
  <si>
    <t>Fixed a type in method name
android.hardware.cts.SensorTest.testBatchAndFlushWithMutipleSensors
==&gt;
android.hardware.cts.SensorTest.testBatchAndFlushWithMultipleSensors
Change-Id: I335db2ddef34264a774cfb66423e9f7c15c76f0d</t>
  </si>
  <si>
    <t>Fixed a type in method name
android.hardware.cts.SensorTest.testBatchAndFlushWithMutipleSensors
==&gt;
android.hardware.cts.SensorTest.testBatchAndFlushWithMultipleSensors
Change-Id: I335db2ddef34264a774cfb66423e9f7c15c76f0d
(cherry picked from commit 0c8aadfc3a80e2df2a4b7f1c32e52ee5d4cb3441)</t>
  </si>
  <si>
    <t>Camera2: Add a reprocess JPEG EXIF test
Add a test to verify the JPEG EXIF data in reprocess outputs.
Moved some test code from StillCaptureTest to CameraTestUtils so it
can be shared by StillCaptureTest and ReprocessCaptureTest.
Added a function to get the right reprocess output image reader and
image reader listener based on whether the test case shares the same
image reader for regular output and reprocess output.
Bug: 21285757
Change-Id: I8d5a2f85023dc52924c31a389892d2932d0907f9</t>
  </si>
  <si>
    <t>Setup the animation callback for AnimatedVectorDrawable.
b/21341096
Change-Id: I30b7ce6717322aa73c96124d21590982a947833a</t>
  </si>
  <si>
    <t>Add more CTS for MediaController
Tests for volume controls and sending a command is implemented.
Bug: 21448958
Change-Id: Ie9b9aa946a3af51c4185eca3a7944073610ef268</t>
  </si>
  <si>
    <t>Add Atrace test for trace content
bug:21559370
Change-Id: Ie1d7dfa58c88da3b1c8d5663f9852f12590539b0</t>
  </si>
  <si>
    <t>SystemHealth: Tests defining token caching behavior.
This will define the behavior for both customToken=false and custom=true
authenticators.
An upside of this change is that a lot of assumed token behavior vis a
vis android:customToken=true authenticators that was never tested now is
tested.
Bug: 21530782
Change-Id: I4a1aa52a9ecf5cd129c557e8e26839be11019d84</t>
  </si>
  <si>
    <t>Define test case out dir and tag certain modules.
Change-Id: I6cb22c493fd912e361a6fbb39f2f43897183d416</t>
  </si>
  <si>
    <t>Add CTS tests for outgoing calls
Refactor MockConnectionService and MockIncallService setup into
base telecom cts test class.
Add tests for TelecomManager.EXTRA_START_CALL_WITH_SPEAKERPHONE
Add skeleton tests for other outgoing call CTS tests.
Bug: 20264837
Bug: 20303674
Change-Id: I9cb57ae46ab1e0565ac1972eb72c1ff01ea64fb1</t>
  </si>
  <si>
    <t>Refactor some code in Telecom CTS tests
Add ability to add incoming calls in tests
Add some null checks and cleanup code to decrease flakiness
Bug: 20303674
Change-Id: I598250d13f31d2c0516fd27e446ec973ba7f07fd</t>
  </si>
  <si>
    <t>Update lockTaskTest with changed behaviour
Updating the CTS tests to reflect the alignment in behaviour between
the two different ways of starting a lock task mode.
Bug: 21608206
Change-Id: I6664691eceda9b646fe2e5f787d34ab2930bb941</t>
  </si>
  <si>
    <t>Fix CTS: ViewGroupTests failing
An update in the behavior had to be mirrored in tests.
Bug: 21639426
Change-Id: I2916edbadb60e4d7d0b0b0b9ee2a322476eb1b81</t>
  </si>
  <si>
    <t>Update CTS tests for moved notifyCarrierNetworkChange() API
Bug: 21630803
Bug: 21572049
Bug: 21721768
Change-Id: Ie952651d2f15c370de713ed8abb6d9f6f07dd2b4</t>
  </si>
  <si>
    <t>Add tests for setExtras().
Bug: 21667690
Change-Id: Iedf6920adfd890be10055eacef4ad04fdf0384d4</t>
  </si>
  <si>
    <t>Add READ_PHONE_STATE permission CTS tests
READ_PHONE_STATE permission tests need to be in a separate
package that doesn't have the READ_PHONE_STATE permission in its
manifest.
Also rename existing DefaultDialer tests to make them
less verbose.
Bug: 20303674
Change-Id: I84ff215db48384805d0a14920a3fbec008afc73b</t>
  </si>
  <si>
    <t>Flesh out InCallService CTS tests and add incoming call tests
* Add tests for answering/rejecting incoming calls
* Refactor ExtendedInCallServiceTest to support incoming calls
* Remove check that ConnectionServices were unbinded, it was unnecessary
Bug: 20303674
Change-Id: I427564357663f996bb8abdbd70dca3431c566dc0</t>
  </si>
  <si>
    <t>Remove tests for removed APIs.
Change-Id: Ic70c0d68d0a937c8dfdfa9c37f9c988535dc5d18</t>
  </si>
  <si>
    <t>Deprecate WebView scrollbar overlay settings
BUG:21642246
BUG:21815096
Change-Id: I5780b05778813f923cdb35b51f81b7754a615a03</t>
  </si>
  <si>
    <t>Remove android.security.cts.SeccompBpfTest.
This is obsolete now that the kernel-level unittests run as part of
android.os.cts (c.f. I607195da52df24c39366b34cb1f5caddf6217b8b).
Bug: 21396275
Change-Id: Iaa18f92709418c73bbd61edeae83bd9f7845f1bb</t>
  </si>
  <si>
    <t>Cover all methods on NetworkStats and Bucket API
In addition to that, reduced timeout to speed up tests. Introduced
variable tolerance to time interval start and end timestamp, in order
to accommodate for uid data usage collector's native bucket size.
Bug: 19572685
Change-Id: Id091ce614e267f0d5e7a94a62dec4bcca508d81c</t>
  </si>
  <si>
    <t>Remove not relevant browser tests - APIs are gone
bug:21857991
Change-Id: Iab7dd9955d97ee62b132014fc65b08100b687232</t>
  </si>
  <si>
    <t>Refactor Drawable.getDither() to isDither()
Bug: 21342040
Change-Id: I8105d518604f2276c815af710246eba5ffc155f7</t>
  </si>
  <si>
    <t>Expand AndroidKeyStore KeyPairGenerator tests.
Bug: 18088752
Change-Id: I059c82ad1138b337e524cca231b757b53630d063</t>
  </si>
  <si>
    <t>Remove CTS tests for removed TextView apis
We removed indent methods from the public API. This patch removes the
corresponding CTS tests.
Bug: 20641996
Change-Id: I895d6ae417b61fddaaa0cc08ca530d1a833414ad</t>
  </si>
  <si>
    <t>Add CTS tests for setUninstallBlocked
Bug: 21511878
Change-Id: Id1a52fc9e7cf5a40fcbf9befa97baa21155d7596</t>
  </si>
  <si>
    <t>Remove ConnectionServiceCallbacks from Telecom CTS tests
* Refactor MockConnectionService and remove the now no longer
needed ConnectionServiceCallbacks class. Instead tests can replace
the instance of the ConnectionService inside MockConnectionService
with their own implementation to allow more flexibility for future
tests that require more customization of the ConnectionService.
MockConnectionService now serves as a mere wrapper.
* Remove TelecomSimpleTest by combining its functionality with
BaseTelecomTestWithMockServices
Bug: 20303674
Change-Id: I9fb03431782d216b75643c22fa1868b39d24a226</t>
  </si>
  <si>
    <t>Rename AndroidKeyPairGeneratorTest for simplicity.
All tests in this CTS module are about Android Keystore. Thus, there's
no need for the "Android" prefix in this class's name.
Bug: 18088752
Change-Id: I7c8752db42737381ee8abbf0d964c6aea97b22cb</t>
  </si>
  <si>
    <t>Remove cell / wifi manipulation from ApacheHttpClientTest
The testcase was manipulating the Wifi / Cell networks,
presumably in an effort to make data pass over each type of
network.
The test was sending / receiving data using the loopback
interface so it doesn't make much sense.
testExecute_withMobile would fail if the device did not
have a SIM / mobile data connection *and* if the wifi
network was up when the test ran; it would fail waiting
for the mobile data network to enter the CONNECTED state.
If the wifi connection was down at the start it would
assume the mobile data connection was up already and
proceed with the test (which passed, because it
didn't actually use the network).
This change chops out parts of this test to leave just
HttpClient-related code.
Bug: 21874093
Change-Id: I8248b840f58f939661eff2345f70a9e786e593f3</t>
  </si>
  <si>
    <t>Remove tests for generating keys requiring user auth.
These tests require that the secure lock screen is set up and that at
least one fingerprint is enrolled. However, CTS does not require that
at the moment.
Bug: 21949423
Change-Id: I9118ffac7a46293f518de9890e1fe5e1c426193a</t>
  </si>
  <si>
    <t>Camera2: Test mandatory reprocess configs
Add a test to verify reprocessable sessions can be created with
mandatory reprocess configs and used to submit reprocess
capture requests.
Bug: 20945169
Change-Id: I82362df1126de3c2c0f03b7d20ebdf80f69b43c3</t>
  </si>
  <si>
    <t>Implements plans via Tradefed config files.
Also moves result reporting into common/util so CTS verifier can use
Change-Id: Ib3a42cf17c06da6650195d49403b7b89cce2cb02</t>
  </si>
  <si>
    <t>Remove CTS tests for removed APIs
Change-Id: I107fac999c8b7eddc6f1a4cf8d6933a695d46cdb</t>
  </si>
  <si>
    <t>Remove isDither()
Bug: 22013358
Change-Id: Ib47141d5ce8359461370e96ea9a0a776b9bfa63a</t>
  </si>
  <si>
    <t>Validate deviceowner KeyManagementTest install
Bug: 19569292
Change-Id: I2cfd155026a2b9a5c50f9024d7b2f1d85054238c</t>
  </si>
  <si>
    <t>multinetwork native API CTS test
Bug: 19537384
Bug: 21833352
Change-Id: I03df80beca241fe3c952aae65de0cd081751de07</t>
  </si>
  <si>
    <t>Adding more fields to verify in CallDetails test.
BUG: 20303674
Change-Id: I950d93220b1e5924e34e83187030ebb29b394a59</t>
  </si>
  <si>
    <t>[CTS update lastAuthenticatedTime]
Update behavior of lastAuthenticatedTime.
Bug: 21959561
Change-Id: I3c078e7310b359645a2b23d2327646a7d7a993db</t>
  </si>
  <si>
    <t>Revert "Adding more fields to verify in CallDetails test."
This reverts commit 948eda6f30123df653c313b24677543c994ab490.
Change-Id: If7cdea9dd6d260f7768d088b67d0587364c487a4</t>
  </si>
  <si>
    <t>Adding more fields to verify in CallDetails test.
BUG: 20303674
Change-Id: Ie33b9865b7124dd006b55942de2f33712d774a91</t>
  </si>
  <si>
    <t>Upload missing patch set for DatePickerDialog CTS tests
Bug: 19445148
Change-Id: I187ab8fc41fe1c5d8a4cf6df1aec786d5a7e0316</t>
  </si>
  <si>
    <t>Rewrite TextView onSaveInstanceState CTS tests
The previous tests directly access the SaveState parcel, and make
assumptions about its internal layout, which is not valid. This patch
replaces those tests with new ones that actually save and restore
instance state to a real TextView, using stable public interfaces.
The save state also contains state related to undo, but coverage for
that was already added.
Bug: 21209641
Change-Id: I9e9a3b37afb8356021e7b7232ee36823a0ce63d5</t>
  </si>
  <si>
    <t>TIF: remove READ_EPG and WRITE_EPG permission related code from CTS
Note that we have functional test cases for TvProvider in TvContractTest and
the test cases for newly added permission will be added with a separate change.
Bug: 22075166
Change-Id: I4e456330122e3935ba0a88aa0a7f461968e0e828</t>
  </si>
  <si>
    <t>CTS-test Android Keystore HMAC implementation.
Bug: 21936191
Change-Id: Idb0829af2902b5f32619d04623877508623eb21d</t>
  </si>
  <si>
    <t>Check for microphone feature in video camera recording tests.
Make sure that test device has a microphone before setting audio source in camera recording tests.
Change-Id: I09fc999da8476a854bba6e04ba53ec1f6fe3ac07
Signed-off-by: Tochau Hoang &lt;tochau.hoang@panasonic.aero&gt;</t>
  </si>
  <si>
    <t>Revert non-activity KeyChain CTS tests
Change-Id: I922c5e01e215648dd0d2d265a20bc4a95a81e176</t>
  </si>
  <si>
    <t>Replace more obvious private API usages in view CTS tests
Removes some unnecessary overrides, imports, and method calls. Also
removes the entirety of OnComputeInternalInsersListener tests from
ViewTreeObserver since that class is framework-private.
Inverts some assertions for dispatch tests since a real ViewGroup
dispatches to children. The previous tests were basically no-op since
setParent() was just setting a class variable and not setting up a
real view hierarchy.
Moves scrollbar tests to use XML rather than code since we deprecated,
removed, and no-op'ed the behavior of initializeScrollbars().
Bug: 13281485
Change-Id: Ie48b807be5f0d15645acfb86dd5db4469125cbff</t>
  </si>
  <si>
    <t>Build app and accessibility CTS suites against public APIs
Remove CTS tests for private methods and classes in app package. Updates
Android.mk files to build against public APIs.
Bug: 13281485
Change-Id: I15e6b4c6d1ddbf9d8f59ac3070d666033ab0d6ec</t>
  </si>
  <si>
    <t>Moving to common compatibility utils.
bug:21762834
Change-Id: Ie0bf75bb1621308118633f41e063df40b529478d</t>
  </si>
  <si>
    <t>Revert "Moving to common compatibility utils."
This reverts commit b054026b4d0347f958de7c4b3eaa6a52ff3d20cd.
Master is red, fixing the build by reverting all CL's merged from
b/21762834 today.
Bug: 21762834
Change-Id: Ibe31d8b615e55387ebbbd953f793f491ee30a2e8</t>
  </si>
  <si>
    <t>Revert "Revert "Moving to common compatibility utils.""
This reverts commit 992b459293c4dcae2a12cdf5923e3e26a476bd1a.
This change includes the fix which caused the build breakage which
caused the revert this is reverting.
bug: 21762834
Change-Id: I1df495ba219208b07a7d7c8ac99d2890052caf69</t>
  </si>
  <si>
    <t>Remove target from ReportLog and handle serializing/parsing with XML.
bug:21762834
Change-Id: Ia686cfb4df0d315f965c1f8e46d790cd2841da19</t>
  </si>
  <si>
    <t>Clean up failing CTS tests after refactor
Removes Gallery.getContextMenuInfo() test, which relied on private
classes.
Bug: 22347797
Change-Id: I7f01a99289a5c84b8db39e66f1ea062ee4e4497f</t>
  </si>
  <si>
    <t>Work around deqp log file creation issues.
Work around log file creation spuriously failing by creating and making sure
the log file exists in the host-side test runner.
Bug: 22328970
Change-Id: I92d167ae169da617acd515b666c5336e8c43acd5</t>
  </si>
  <si>
    <t>CTS tests for Android Keystore-backed Cipher.
This adds algorithm-agnostic tests for Android Keystore-backed Cipher
implementations.
This also aligns pre-existing Android Keystore Signature and Mac tests
with new patterns introduced in this CL:
* Separate tests for encrypt-decrypt and sign-verify within Android
  Keystore provider and between Android Keystore and highest-priority
  Provider.
* Authorization enforcement tests for all algorithms, not just
  pseudo-randomly picked ones.
Bug: 21936191
Change-Id: I608fe3aa985e8fae5f0991476f2a92efea23bd28</t>
  </si>
  <si>
    <t>media: add more resource manager tests to cover secure codec cases.
Bug: 21171205
Change-Id: Icde17f33449742100fd393a635861a991b046a44</t>
  </si>
  <si>
    <t>Adding test cases to group results and shrink the report size.
bug:21762834
Change-Id: I7829dcbfe172f6682da7f60058667b1bc7bb693c</t>
  </si>
  <si>
    <t>TIF: remove test for READ_EPG which is deprecated in M
Bug: 22075166
Change-Id: I811f23c19be6c69b3675e77ed0618fd5518dfa07</t>
  </si>
  <si>
    <t>Revert "media: deliver test report to host."
Failed to build on master.
This reverts commit 66f5dec2becfa4dd81ccefc30d5422654dc8a33b.
Change-Id: I423a1c66a21623582b2e8eab57ca7bfc4d53697a</t>
  </si>
  <si>
    <t>Revert "media: deliver test report to host."
Failed to build on master.
This reverts commit 66f5dec2becfa4dd81ccefc30d5422654dc8a33b.
Change-Id: I423a1c66a21623582b2e8eab57ca7bfc4d53697a
(cherry picked from commit 7c0cc59cbe56d1ea48f346cf20c56cfe45705422)</t>
  </si>
  <si>
    <t>Revert "Check for microphone feature in video camera recording tests."
This reverts commit 4621783a3e991184481bc8f2f853c4888fa78bdb.
Change-Id: I1be7e035da4f6bb4a9122e2860755da705849788</t>
  </si>
  <si>
    <t>CTS-test that HMAC key can be authorized for one digest only.
Bug: 22337277
Change-Id: Id367db40ed1c81024b1ddc73a66b361975d0a1e2</t>
  </si>
  <si>
    <t>More CTS tests for ECDSA and RSA signatures.
This makes Android Keystore Signature tests run for keys of all
typical sizes, instead of just one RSA and one EC key.
Known-Answer Tests still use only one RSA and one EC key for now.
Bug: 21936191
Bug: 22492259
Change-Id: I857e82e20aa5ef35ea9b2bdd7b745a7403e0812c</t>
  </si>
  <si>
    <t>More CTS tests for Cipher with different key sizes.
This expands Android Keystore Cipher tests to run against keys of all
typical sizes instead of just 2048 bit RSA and 128 bit AES.
Bug: 21936191
Change-Id: I601eb5ebfdb47f39faaa88d673e486879ce4c0a5</t>
  </si>
  <si>
    <t>Remove EventOrderingVerificationTest_testSameTimestamp
Bug: 22524131
Change-Id: I755289be5c28fc2df2b458e57a923637756aff9b</t>
  </si>
  <si>
    <t>Revert "IME interferes with print UI tests"
This reverts commit 18f21297e63d345973e46dd806d633ada6edda12.
Change-Id: Ia1801c0c21cfe9ce7a54c267b153e389bab1b903</t>
  </si>
  <si>
    <t>Split out storage tests, get them running again.
While working on storage tests, it turns out that several tests
were silently not being run.  (!!)  At some point the instrumentation
framework started ignoring methods that dind't start with the "test"
prefix, which resulted in silent success; ouch.
To fix this, split the one-off behaviors into separate test files,
and run them in their new location with "test" prefixes.
Split external storage tests into their own separate host test suite,
and clean up various invocation methods to call through to unified
Utils versions.  Start adding skeleton test for adoptable storage.
Bug: 22633097
Change-Id: I5b8ffade970ff0086c95ddd5cd28fc069826a21a</t>
  </si>
  <si>
    <t>Add test filtering to compatibility.
bug:21762834
Change-Id: Ie04f7a5b9f3c352df842d7d3e2ab41303bb142b0</t>
  </si>
  <si>
    <t>Add UiAutomation test for runtime permissions
Bug: 22192363
Change-Id: Idf2a9ef766cb4ce811253ba8d4aedb7cd2748377</t>
  </si>
  <si>
    <t>Tests to verify behavior of adoptable disks.
When a device claims to support adoptable disks, let's actually
adopt one to verify expected developer behavior.  For example,
verify that both app and private data move together, and that
primary shared storage behaves predictibly when moved between
volumes.
Verify that we can stage both initial and inherited installs
directly on an adopted volume.
Bug: 22633097
Change-Id: I612f794ead35d04b8d03b868fd0fd826e27804f1</t>
  </si>
  <si>
    <t>Simplify CTS testing for policies that apply to DO and PO
Currently, code for policies that apply to device and profile owner
situations has to be duplicated or added to a shared library. This
change introduces one app that can act as device and profile owner and
holds all common test classes. Added the runtime permission tests to
this app as a first example.
Bug: 22192363
Change-Id: I6a7a8bf9f64a44f5aed4d8f70c3868a603b98757</t>
  </si>
  <si>
    <t>Modify CTS tests for AlarmClock to include testing for
CompleteVoiceRequest and AbortVoiceRequest hanlding by whatever
Clock app is included (DeskClock in stock Android case).
There are 3 CTS tests: one for each of the intents: SET_ALARM, DISMISS_ALARM, SNOOZE_ALARM
Design details
==============
1. The various activities/services involved are:
     1.1. CTS_Test starts TestStartActivity
     1.2. That starts VoiceInteractionMain
     1.3. That starts MainInteractionService (the voice_interaction_service)
     1.4. That starts MainInteractionSession
     1.5. which fires an intent, based on the given test case type, to handle one of the intents: SET_ALARM, DISMISS_ALARM, SNOOZE_ALARM
2. Each of the 3 tests is a separate CTS test - so for each of the
tests, the above chain is started and is terminated at tne end of the
test.
3, DISMISS_ALARM test first sets an alarm to be dismissed. So, it really
is a set of 2 tests: first one is to set the alarm and next one is to
dismiss it.
Change-Id: I61e2d14d28c65eb8c37ec5cb2a414d3e5c15c9b3</t>
  </si>
  <si>
    <t>Move ApplicationRestrictionsTest to DeviceAndProfileOwner
Because application restrictions apply to device and profile owner
situations, the test is moved to the DeviceAndProfileOwner package and
is now run in both situations.
Bug: 22709411
Change-Id: Ib72249241142d7d440f0283371a00b9440fc5d4a</t>
  </si>
  <si>
    <t>Move ScreenCaptureDisabledTest to DeviceAndProfileOwner
Also extended the existing tests to actually trigger a screenshot and
verify that it is blocked.
Bug: 22709411
Bug: 17482450
Change-Id: Ic8cfa915f0e93215db5f76c12e55dff19921ca07</t>
  </si>
  <si>
    <t>Move PersistentIntentResolvingTest to DeviceAndProfileOwner
Bug: 22709411
Change-Id: I1185abfc7e554d163bf88565e8b838981f5a0481</t>
  </si>
  <si>
    <t>Revert "Work around deqp log file creation issues."
This reverts commit b107f79e3b190540cee21986d458226d3e2f338c.
Bug: 22630974
Bug: 22328970
Change-Id: Ic2399ec77d000c42ada20a0dc778b911af80dd38</t>
  </si>
  <si>
    <t>New tests for (un)registerNetworkCallback with PendingIntent.
Fixed up flakiness if WiFi was disabled before executing
the test.
Bug: 21833352
Change-Id: Ief7e12c4a7151722ec926ac38ced9f8903cdb607</t>
  </si>
  <si>
    <t>CTS: TelephonyProviderTest failing
Bug 21207615
The test doesn't run in the context of being the default SMS app. As
a result, the TelephonyProvider code is never actually executed. The
insert call returns a "fake" result and the test interprets that as
failure. The test is commented out for now, until we figure out a way
to run the test as the default SMS app.
Change-Id: I50e2b006f1ff8950247b7fc3cf41d6356414e21b</t>
  </si>
  <si>
    <t>media: compute measured fps from frame time diff
Bug: 22504214
Change-Id: I59228e9c73d72d77765827d1e58b1cdb6a77fbe1</t>
  </si>
  <si>
    <t>Permissions: Fix Auth CTS tests to reflect changes.
Added a new CtsUnaffiliatedAccountAuthenticators support package signed
with different keys to allow us to test expected failures when trying to
use AccountManager methods that require signature matching.
Also replaced the permissions/src/.../AccountManagerTest with similar
tests in AccountManagerUnaffiliatedAuthenticatorTests that will do the
right thing.
There aren't any tests that check whether an unaffiliated client with
the GET_ACCOUNTS permission can get accounts. But that isn't a
regression.  accounts/src/.../AccountManagerTests tests that matching
signatures get the correct data. While the unaffiliated tests make sure
that those that don't have the relevant permissions don't get data.
Also added some infrastructure (TestAuthenticator implementation) for future use.
Bug: 22330923
Change-Id: Ide02af19c41191079138c22071e0055027498c7b</t>
  </si>
  <si>
    <t>Fix CTS to deal with wifi-only devices.
Since this is a telephony test, it expects different behavior on
wifi-only devices. We were mistakenly identifying LTE tablets as
wifi-only because "telephony" was not present (meaning SMS+voice).
The test also is updated to handle the case where telephony services are
running on a wifi-only device.
Bug: 22793452
Change-Id: I6e190be180a98a191f5afe27b84004494ae3b7ca</t>
  </si>
  <si>
    <t>Manual cherry-pick of "Remove not relevant browser tests"
Cherry-pick of 4bd0ad8697cb789d227561b861c1176908de122d from internal/M
The bookmarks API is deprecated.
BUG:21857991
Change-Id: If77dcc2627e03457126174dff97a770698508120</t>
  </si>
  <si>
    <t>media: test audio codecs in testGetMaxSupportedInstances
Bug: 22975494
Change-Id: I1a68bf4657dcaef4d7b4e0ab14200027edc9800a</t>
  </si>
  <si>
    <t>Use test app in separate package from assistant.
Send screenshot with data and added test for disabled context.
Change-Id: I262b85b80aff5cbe0d7d64eb2fcf5e7d393dec39</t>
  </si>
  <si>
    <t>Update CTS for unsupported legacy ConnectivityManager APIs
http://ag/736511 made the deprecated ConnectivityManager routing
APIs {start,stop}UsingNetworkFeature and requestRouteToHost throw
exceptions for apps whose target SDK version is 23 or above. Move
the tests for these APIs to a new APK that targets SDK version 22
and update the current test APK to ensure that they throw an
exception.
Bug: 22977863
Bug: 23003441
Bug: 23003635
Change-Id: Icf58e928fdc0018d977ce8aa315866659d32debb</t>
  </si>
  <si>
    <t>Revert "Bug: 23003511 CTS: AudioManagerTest#testSoundEffects failing"
This reverts commit c1c1a48e5544e2524c7477021fa6cb40ceb01939.
Change-Id: I6640803541f38874975b40bbe17831da112fbacf</t>
  </si>
  <si>
    <t>Update permissions tests for legacy ConnectivityManager APIs.
http://ag/742872 fixed the main ConnectivityManager CTS tests,
but missed these.
Bug: 23040704
Change-Id: I67f6292d97c09d9ff90d62dcd0e6fb703ebcc0fb</t>
  </si>
  <si>
    <t>Delete signature-tools
It appears to be unused and would involve some maintenance to
keep it working in the future.
Bug: 23078018
Change-Id: Ib60fee57dd53128f8207a3e4d0c01819def191ea</t>
  </si>
  <si>
    <t>Move compatibility build info into build attributes.
bug:22830394
bug:21762834
Change-Id: I0df8b3eb8d35ac2c7c1cfbf664ef342040df0738</t>
  </si>
  <si>
    <t>Fix GeolocationTest
Accessing mock location is now controlled via app ops. Moved common code to
LocationUtils in deviceutil module.
Bug: 21871002
Change-Id: If75c8ece29f50f7042dd9de646cd0de5953aa441</t>
  </si>
  <si>
    <t>Camera2: Update all CTS tests for depth-only devices
It is possible for a device to only support depth outputs; such
devices need to skip most tests that use YUV or JPEG outputs, or the
tests need to be updated to select DEPTH16 sizes instead of YUV.
A few tests are updated to verify other properties of depth-only
devices.
Bug: 20537722
Change-Id: I7b0237e9247107cd4387014bf77ea7c43f2c7491</t>
  </si>
  <si>
    <t>Split NIST AES CAVP test into smaller tests.
Android Keystore CTS test AESCipherNistCavpKatTest imports and then
deletes about 4200 keys. As a result, it runs for more than five
minutes on some devices, thus making the CTS test harness abort the
test.
This CL splits this test into 24 tests, one for each file in the NIST
AES CAVP test vectors ZIP archive. This should make each individual
test run in way less than five minutes.
Bug: 23131318
Change-Id: Ida29c9feabd42b16a4ff28ff048c574929e89963</t>
  </si>
  <si>
    <t>Revert "Move compatibility build info into build attributes."
This reverts commit cdd549d382c1b8a27cfaf0daf048b493713ffe2e.
Change-Id: I7cc0433ba3c003ae34a4d181aa7dbe96a45165e2</t>
  </si>
  <si>
    <t>Revert "Revert "Move compatibility build info into build attributes.""
This reverts commit 1c28c69c33fd2e8b84b22b240ca96c1df105e2fd.
Change-Id: Id807f5fdcf2542f25d710326c3fef936ed3b65b7</t>
  </si>
  <si>
    <t>Fix AppIdleHostTest
- Add CtsDeviceAppUsageTestApp to test case list
- Due to complexity of conditions required to actually
  be inactive, test that an app IS active after launching
  it. This is more important anyways, as there would be
  a negative impact if apps were wrongly put into idle
  mode.
Bug:23016850
Change-Id: I8cd7fae7da477fe33f96cc75353ca63ad8680488</t>
  </si>
  <si>
    <t>Add test that device owner cannot be set when account present
Bug: 20412568
Change-Id: I52fc6f81f7534bf5538e95e1415fa09a7e7a9f5c</t>
  </si>
  <si>
    <t>Support multiple variants of ftrace format
bug:23241102
Also updates expected list of trace strings
Change-Id: Ibafa7be87e42ce418a5e1c128aa2e5804eada7d5</t>
  </si>
  <si>
    <t>Move delegated cert installer to DeviceAndProfileOwner tests
Bug: 22709411
Change-Id: I99406dafb5490b261c74ced64aa5c68bfdc9d1c0</t>
  </si>
  <si>
    <t>Dynamic cts phase 2, device/host side
Change-Id: I3fcea82a41788877692465e67d8b9923cd8bf4b1</t>
  </si>
  <si>
    <t>Theme tests for Material
Bug: 21488226
Change-Id: Ie22b8618a2824029641dd18a7f362b09fe68f800</t>
  </si>
  <si>
    <t>Traverse and compare view hierarchy with assist structure.
Wait until the layout of the third party app has finished being drawn
before starting the VoiceInteractionSession.
View traversal compares positions, scroll positions, widths, heights,
text, IDs, and hierarchy structure between the Assist Structure and
the view rendered to match that or the test third party app.
Bug: 21668302
Change-Id: I0167bdf6afb242ed8a7440ab021e16fc20b608c2</t>
  </si>
  <si>
    <t>Camera: make sure preview won't slow down video
Bug: 23688776
Change-Id: Id9ed76adc2f69141f18b9fc0bf12fe7a471e78d0</t>
  </si>
  <si>
    <t>Compatibility build rule rather than library
bug:21762834
Change-Id: I81a07d545cd7d34ede9127cacdeab975d6585c4e</t>
  </si>
  <si>
    <t>CTS: Create test for DISALLOW_INSTALL_UNKNOWN_SOURCES
Added a new CTS app - PackageInstaller to test installing apk in a non
device owner package under policy restrictions
Note:
UserRestrictionActivity is copied from ManagedProfileTest
Bug: 18928535
Change-Id: I4fced5b345c4594009203681501ad84079dd3c61</t>
  </si>
  <si>
    <t>Few stability fixes in Telecom CTS tests.
Fixing some failures when running all the telecom tests back to back
in a suite:
1. Ensure that the connection/incall services created by test are
unbound before exiting a test to ensure that each test cleans up the
telecom state.
2. In ConnectionService tests, we need to wait for the new calls
corresponding to the new connections created. Since the calls created
via |addExistingConnection| API in ConnectionService take a little while
to bubble upto inCallService, we might end up missing to cleanup this
new call as a part of test teardown and this might interfere with
subsequent tests.
3. Destroy the MockConnection object on reject/abort. This was resulting
in the ExtendedInCallService#testRejectIncomingCall leaving behind a
stale connection object.
4. Since the remote phone accounts are registered/enabled via ADB commands
(since they need system permission), we need to add a small wait to ensure
that the account has been successfully registered and available in
PhoneAccountRegistrar.
5. Use |creatTestNumber| method instead of |getTestNumber|  to create a
new unique phone number for each incoming call in the test.
6. Some other minor cleanup of unused code.
BUG: 23604254
Change-Id: Iff123f122f9cb43ec89f6c18cdb76e4b33dd4a94</t>
  </si>
  <si>
    <t>Remove duplicate requestRouteToHost permission test.
This test was missed in http://ag/745545 , which added it to the
legacy ConnectivityManagerPermission test in
android/net/cts/legacy/api22/permission but did not remove it
from the current ConnectivityManagerPermission test in
android/permission/cts.
This CL only removes the duplicate copy. This test is still,
as intended, present in android/net/cts/legacy/api22/permission,
where it was added in http://ag/745545 .
Bug: 23040704
Change-Id: I63ce2bf83eb8a01d0619fdde32e03548a4ea6a72</t>
  </si>
  <si>
    <t>Migrate file system tests to CTSv2
bug:21762834
Change-Id: I361864f427fe37799b8e577157f50613af010c20</t>
  </si>
  <si>
    <t>DO NOT MERGE ANYWHERE:revert and resubmit to lmp-* branches
Revert "DO NOT MERGE ANYWHERE: Test whether mediaserver leaks info across invalid binder calls"
This reverts commit ab984239ce7d6cf247930e44b0c7feac08a44c6d.
Bug: 23756261
Change-Id: Ice15d9d5473d70a65541765612c1a1c9fee77737</t>
  </si>
  <si>
    <t>DO NOT MERGE ANYWHERE:revert and resubmit on lmp-dev
Revert "DO NOT MERGE ANYWHERE: Test whether mediaserver leaks info across invalid binder calls"
This reverts commits ab984239ce7d6cf247930e44b0c7feac08a44c6d and
ad122338202f50e4feccfed353ecfa258bf739ef
Bug: 23756261
Change-Id: I8c2de5b11a5789e90722385f8d6809aaafcff38b</t>
  </si>
  <si>
    <t>Improve fairness of Sensor Timestamp Jitter Test
Changes:
  1. The threshold is calculated based on the "asked" sensor rate to
     avoid failures that caused by actual sensor rate being bumpped up.
  2. Estimation of the true center is no longer necessary. The range of
     timestamp interval is tested against 2x of the allowed single-sided
     variance.
  3. The top and bottom 2.5% of timestamp interval samples are excluded
     from evaluation. This conform to previously used 95 percentile
     rule, yet is slightly different in terms of implementation.
Related bug:
  *  b/23430923
  *  b/23948014
Change-Id: I1f444514c2df63129d9e0ce404afe3ae7ae46eb0</t>
  </si>
  <si>
    <t>Improve fairness of Sensor Timestamp Jitter Test
Changes:
  1. The threshold is calculated based on the "asked" sensor rate to
     avoid failures that caused by actual sensor rate being bumpped up.
  2. Estimation of the true center is no longer necessary. The range of
     timestamp interval is tested against 2x of the allowed single-sided
     variance.
  3. The top and bottom 2.5% of timestamp interval samples are excluded
     from evaluation. This conform to previously used 95 percentile
     rule, yet is slightly different in terms of implementation.
Related bug:
  *  b/23430923
  *  b/23948014
Cherry-picked from commit d1ade0d6ffd35a923bed0ef31ed90a16296f8ac3 in mnc-dev.
Change-Id: I1f444514c2df63129d9e0ce404afe3ae7ae46eb0</t>
  </si>
  <si>
    <t>Fixes for ReportLog, XmlResultHandler and ResultReporter
Add ReportLog parsing tests, handle missing test reports in XmlResultHandler,
improve logging and result reporting.
bug:21762834
Change-Id: I374560ffbc62729ca24346ce74d65a82d7cfecad</t>
  </si>
  <si>
    <t>Updating report for APFE.
bug:21762834
Change-Id: I3486eb11aa58f6c0cb411af26e304306f783f1ad</t>
  </si>
  <si>
    <t>Replacing JNI stagefright test with API level stagefright test
Also adding a missing test for cve_2015_3286
Change-Id: Ieb0b5227567d4ec0857639ce980a106effbbbbac</t>
  </si>
  <si>
    <t>Remove duplicate test in WiredHeadsetTest
android.telecom.cts.WiredHeadsetTest#
testStartCallWithSpeakerphoneNotProvided_SpeakerphoneOffByDefault
is an unintentional dupe of
android.telecom.cts.OutgoingCallTest#
testStartCallWithSpeakerphoneNotProvided_SpeakerphoneOffByDefault
Bug: 24067587
Change-Id: I2a98f28e1c9a0c8c8ce6d0491ed7597ecb316752</t>
  </si>
  <si>
    <t>Revert "Updating report for APFE."
This reverts commit 30c9cb82e7f598da54beecb9f587e1a21338fef2.
Change-Id: Ib34ad0c8b38ab472b43be8a0ce06de5a19ca11dd</t>
  </si>
  <si>
    <t>Updating report for APFE.
bug:21762834
Change-Id: I17323eea1b97d66ab2e2dbb0fdbbd2911ece770c</t>
  </si>
  <si>
    <t>Migrate Jank, OpenGl, and UI tests to CTSv2
bug:21762834
Change-Id: I67dc7f6e3ab5a2225b3ee0d30331a7033d38769a</t>
  </si>
  <si>
    <t>Revert "CTS test for libmedia OOB write anywhere"
This reverts commit e8cd8fadc7604a46cf0a62d55bdda265fc32a337.
Change-Id: Ic1a2169c73a890fc69061502b6961a3fc9297258</t>
  </si>
  <si>
    <t>Migrate App Usage host tests to CTSv2.
bug:21762834
Change-Id: I1d7d6dd6fc260b493082cd9bc73992256620e018</t>
  </si>
  <si>
    <t>Migrate UIAutomator test to CTSv2.
bug:21762834
Change-Id: Ief607c5a5b05fe58eb490d07df4ead9263190e52</t>
  </si>
  <si>
    <t>Separating phone and telecom specific protected broadcasts.
Bug: 23192492
Change-Id: Iae793f1a5489bf751ea6f39b8a5b86a5a3072d63</t>
  </si>
  <si>
    <t>Separating phone and telecom specific protected broadcasts. 
Bug: 23192492
Change-Id: Ie79ae9a175a2450786602383b844465fe19c915e</t>
  </si>
  <si>
    <t>Revert "Add hostside jar test runner."
This reverts commit 666fd82bed2f774757b4b706d2b4878d2a425a08.
Change-Id: I14b8888d76d090a219de4f987b132d535b05b110</t>
  </si>
  <si>
    <t>[devicepolicy] More complete test of CaCert API
Main improvement: checking whether a CA certificate is not only listed
by the system but also whether it's *trusted* by standard security
APIs like TrustManager.
Bug:17469404
Change-Id: If5be7451f6823f22c57db1b2b7b373784bf77d99</t>
  </si>
  <si>
    <t>Add tests for keyframes and multi-property animator resources
Also, add enhanced testing for seeking (setCurrent[PlayTime|Fraction])
behavior.
Issue #17939329 Expose multi-property and multi-keyframe capabilities in animation resources
Change-Id: I76a7e01edabbad990f898d1d9303653ea784c65c</t>
  </si>
  <si>
    <t>Change CTS Preconditions Checks/Tasks to Preparers
alter changes from ag/769093 to support general preconditions preparers,
rather than preconditions checks and tasks. Additionally, modify
existing checks and tasks to be preparers.
bug:23939594
Change-Id: Ib830758381ce3df7b814ccb5b74a9a0921b3408c</t>
  </si>
  <si>
    <t>Move WiFi Precondition from device to host side
This enables the option to synchronously connect to a Wifi network if
not already connected.
bug:23939594
Change-Id: I2c808fc95acba324ee72564d08983a2b6e00db95</t>
  </si>
  <si>
    <t>DeviceInfoActivity for CTSv2
Renamed DeviceInfoActivity to DeviceInfo. DeviceInfo extends
InstrumentationTestCase and will run automatically by ctsv2.
Bug: 23488971
Change-Id: Ie991bbf9eac85b4af132b845779d330101b7000a</t>
  </si>
  <si>
    <t>Use general PropertyCheck class for preconditions
Check the device's build type and locale with PropertyCheck, that checks
any property accessible from the ITestDevice.getProperty()
method. Notable changes in functionality include the option to print a
warning instead of throwing an exception if the device's locale isn't as
expected, and the removal of a default expected locale, which must now be
declared in the PropertyCheck's options.
bug: 23939594
Change-Id: Ic22ad55ea5d965b88cfe6f4d86b9706023eb5d47</t>
  </si>
  <si>
    <t>Squashed mnc-dev changes:
This contains all of the changes from b54aa51 to
791e51a on mnc-dev, except the changes
to tests/tests/security.
Bug: 24846656
Change-Id: I01f53a1a238ac49f86928e0e22796dc73e0e34af</t>
  </si>
  <si>
    <t>CTS tests for changing LayerDrawable density
Also updates VectorDrawable tests to use refactored methods.
Change-Id: If41745e1d28a3efd0ec4bb7fbf8585176a4809ad</t>
  </si>
  <si>
    <t>Improve scheduling, support sub-module sharding and module prerequisites.
Bug: 21762834
Change-Id: If2c5500f03a4708f751a25046ba20a6bbe6f7bf8</t>
  </si>
  <si>
    <t>Adjust CTS print tests to new cloud print warning behavior.
- Confirm cloud print warning alert dialog in the existsing tests
- Test the behavior when the cloud print dialog is canceled.
- Print services are now enabled by default, hence no need to enable the
  services for each testcase. But we have to un-approve the services
  after each test to re-enable the cloud print warning dialog.
Change-Id: I0f05039799f23317464f6ca4f1374f8981649b32
Bug: 24135353</t>
  </si>
  <si>
    <t>Fix handling of repeated executions.
Bug:21762834
Change-Id: I2fc198b63ef7c30a5d6c601e506b36a7f1d4b3b3</t>
  </si>
  <si>
    <t>Add CTS tests for suggested print attributes
It is possible for a app to suggest print attributes. E.g. a word
processor might suggest the same paper size as already selected in the
app. If an attribute is not suggested or the suggestion could not be met
by the printer the default value for this attribute should be chosen.
Change-Id: I11f8417945344af28497ab772778377315f9a218</t>
  </si>
  <si>
    <t>Revert "DO NOT MERGE CTS host-side preconditions for MNC"
This reverts commit d8972ff406ad5af7c281ba88c184690aaf6e43c6.
Change-Id: I92059b99f55bf01b2b7df671936072afb27efd3a</t>
  </si>
  <si>
    <t>Revert "DO NOT MERGE CTS device-side preconditions for MNC"
This reverts commit 3d6f8bb9e82146a31a2457e63d1160e64460bea0.
Change-Id: I4b75b01e3b64bb86c479f49a6e1aa541307969f4</t>
  </si>
  <si>
    <t>Validate platform defined permissions are not altered
Change-Id: I45737720e5460927d8cd1ff96b1ffcc44c799a13</t>
  </si>
  <si>
    <t>Re-enable Signature entropy consumption CTS test.
Android Keystore Signature CTS test which checks that the Signature
implementation uses the SecureRandom with which it was initialized was
disabled in Android M because the Android M libcore's Signature
implementation contained a bug due to which the SecureRandom wasn't
available. This bug is now fixed and this change thus re-enables the
CTS test.
Bug: 22485587
Change-Id: I5c1f37f3b890623b618cbcee39882f59fd0f8e33</t>
  </si>
  <si>
    <t>Notifications have 1 topic.
Change-Id: I3353d12212cdde5ed9775562fbab31c54668fd86</t>
  </si>
  <si>
    <t>Use Mockito for PopupMenu CTS tests
Replaces manually-created listener with Mockito mock.
Change-Id: Idc8062256ba6d29b94036eff89ea1a5cc310a37e</t>
  </si>
  <si>
    <t>Migrate PopupWindowTest to Mockito
Change-Id: Ibe58cc4210c48f1735d66ef54fcfaeb028fec35a</t>
  </si>
  <si>
    <t>Remove unused and wrong code from CTS
Bug 25740005
Change-Id: I8440abecc4fe7c380fcff488a269dd967c6f76ef</t>
  </si>
  <si>
    <t>Add new keyguard disable features tests for primary profile to CTS
Verifier
bug:21512534
Change-Id: I480785b3b5b0a08f94544e829a3959a50d45d5b4</t>
  </si>
  <si>
    <t>TIF: Allow notifyVideoUnavailable in HardwareSessionTest
Bug: 25848429
Change-Id: I3f9f9d51ec457720e1376a77a669db0d7dbe23d6</t>
  </si>
  <si>
    <t>Revert "MediaMetadataRetrieverTest: add new test to handle overflowed padding."
This reverts commit 13c1585464a6ba445180e4d0d7d20aaaa418fcee.
The new test was moved to security/.
Change-Id: Icbdb7ce0c7bf1e784db5de41baf8703fb904ce90</t>
  </si>
  <si>
    <t>Revert "Add test for Fragment Transition."
This reverts commit 209cd9857903dfd589e1870e37d16917983476eb.
Change-Id: Icb55f2953e1990b9c7f65deff6b26af7bf57816b</t>
  </si>
  <si>
    <t>DO NOT MERGE: Revert "Camera: cross check camera2 features"
This change should only be present in L-MR1 and forward.
This reverts commit 24ddab5fe18b5577c6c5e54b575bdc0e93591ea8.
Bug: 25651300</t>
  </si>
  <si>
    <t>Fix build.
Change-Id: I62128b36cf0883de37fe761e38e4312ef50c6ebc</t>
  </si>
  <si>
    <t>Fix Build
Followup to 6490c5eb73f40afae5859996c3e0e24dfc6dee65
Change-Id: Icf37eebf68145a26e3e4097fb037702a8e49f89e</t>
  </si>
  <si>
    <t>Add test for toggling view visibility affecting layout
Toggling the visibility between GONE and VISIBILITY may affect
other children in that parent layout.
Issue #25980198 requestLayout() sometimes doesn't result in measure/layout for view
Change-Id: I826dbfe8018c19d50a033380c6748345bfdcd21d</t>
  </si>
  <si>
    <t>Isolate Local(Server|)SocketTest CTS tests
Tests are failing with "Address in use". It does not repeat when the
test is run locally.
It is unclear why this has started happening: all tests should be
closing their respective sockets. This change will either prevent
conflicts between tests or help debug if they continue to fail.
Bug: 26140463
Change-Id: I72172b70e00936a6cca9d35c7977fe191621b0cc</t>
  </si>
  <si>
    <t>Move long string test from TextView to StaticLayoutTest
We need to test measurement of very long strings to exercise a
potential stack overflow (bug 13506939). As of M, changes to the text
stack meant that we were not actually exercising the method in
question. In addition, the test required a huge amount of memory,
which was causing problems on low-RAM devices. This patch moves the
test from TextViewTest to StaticLayoutTest (which is a more direct
invocation), and also changes the text string so that it can be
measured more quickly and with less memory than before.
Bug: 25806062
Change-Id: I450b35c18a0b99a8fdfd37218518d8d2e01c3c90</t>
  </si>
  <si>
    <t>Verify ownership change after package install.
When performing "gift" tests, shift the writing to occur before the
target packages are installed.  This follows the typically pattern
of how OBB files are often written before the actual app is installed.
Then continue with the rest of the tests to verify that gift files
can be read by the newly installed apps.  This verifies that the
FUSE daemon correctly reevaluates the directory and file ownership
after an install occurs.
Also extend gift testing to all package-specific external storage
directories.
Bug: 25399427
Change-Id: Idced83c4b52a89d1cf0d5182e43ef2828aa28f26</t>
  </si>
  <si>
    <t>media: fix a test stream filename.
Change-Id: If65fb2ca39a6b63fd0d21849e246f348acd50387</t>
  </si>
  <si>
    <t>Use removeKeyPair teardown after KeyManagementTest
Bug: 22541933
Change-Id: I5acaec80359842b33649c3ab85133d4105df3bf3</t>
  </si>
  <si>
    <t>CTS tests for SeekBar tick marks
Also cleans up usages of deprecated Resources.getDrawable().
Bug: 26399774
Change-Id: Idc6dc46a383ddfb322dc923c75e9599867bb48fe</t>
  </si>
  <si>
    <t>add specialization for television and watch in UiModeManagerTest
- TV ans watch stays in the UI mode even if isUiModeLocked()
  returns false
- also separated night mode tests into separate method.
bug: 26413230
Change-Id: I50d6611efa9617dc9b436a563299fe82567cb311</t>
  </si>
  <si>
    <t>Remove dynamic config dependent sample tests
bug: 26469660
Change-Id: I638ca122d77a2e92e8432a3be5614fb0e3730edd</t>
  </si>
  <si>
    <t>CTS for ENTERPRISE_CONTENT_FILTER_URIs
Add cts for these APIs
Callable.ENTERPRISE_CONTENT_FILTER_URI
Email.ENTERPRISE_CONTENT_FILTER_URI
Contacts.ENTERPRISE_CONTENT_FILTER_URI
Phone.ENTERPRISE_CONTENT_FILTER_URI
Also clean up the code to reduce code duplication.
BUG=25982358
Change-Id: I0261e4e502cb66e9708aad57cabc623976647c4f</t>
  </si>
  <si>
    <t>Remove all of dynamic config from sample
bug:26469660
Change-Id: I3db190c80d2bc3f1a3cb0844d87d25b7285c2f47</t>
  </si>
  <si>
    <t>Update CTS tests for account management policies
1. From N, the device / profile owner will be allowed to call the
account management APIs even if the policy is set.
2. Move the test for DISALLOW_MODIFY_ACCOUNTS from xts to cts, as it is
no longer Google specific.
Bug: 22030831
Change-Id: I1e3dc87e0f97cfb20c64591a1c3af7eaebc3bf4c</t>
  </si>
  <si>
    <t>Remove no-op test in AbsSeekBarTest
Change-Id: I3783f1f9f4b61319bf273de6bb0ec7196961b0f1</t>
  </si>
  <si>
    <t>Revert "AccountManager: CTS tests for finishSession API."
This reverts commit e6572c08c3bf2061cd81a333bb78f189e2db4a6b.
Change-Id: Ic99339fcbc03ca7dd6069646f00ef70f759b2028</t>
  </si>
  <si>
    <t>Revert "AccountManager: CTS tests for startUpdateCredentials API."
This reverts commit 6f8eea9229412914ecd90f8840da2d8eb06634cc.
Change-Id: Ibb7deaaaf4a2173406a87b54cfb881ac7c8fbe1c</t>
  </si>
  <si>
    <t>Revert "AccountManager: CTS tests for startAddAccount API."
This reverts commit 7a014d1c467413d780bc678bb5ac7822932ab27f.
Change-Id: I9b2e61acbcc58ad673de03dfd2850a9d09146a31</t>
  </si>
  <si>
    <t>DO NOT MERGE - add more binder tests for AudioFlinger and AudioPolicyService.
Bug: 23905951
Bug: 23912202
Bug: 23953967
Change-Id: I39a830c6d605b7a4453db2b1e561c64f9d3089a6
(cherry picked from commit 491d78f8bd93cd9c625cfb45628879aad1af1326)</t>
  </si>
  <si>
    <t>CTS for setCrossProfileContactsSearchDisabled and getCrossProfileContactsSearchDisabled
1. Added the netgative expected result when trying to access managed contacts
   when policy disallows
2. Fixed b/26613449
3. Added ContactsTestSet to reuse some test cases among tests
note:
DevicePolicyManagerTest currently all fails as setUp and tearDown can't set BlankPassword
BUG=25981902
Change-Id: Iedca6b1237158bda96c320ff365da600eeb99857</t>
  </si>
  <si>
    <t>media: add HEVC encoder tests
Bug: 22879917
Change-Id: If4c41aa0bb8c59c51600167ffc77c25e2aa5be81</t>
  </si>
  <si>
    <t>Fix lint warnings and import order in View and ViewGroup tests
Change-Id: Ic87d01021cbd009f637091fc352370e6d814e261</t>
  </si>
  <si>
    <t>Revert "Add CTS tests for Resources#getResolvedLocale()"
This reverts commit e441e81d2c6966dccb518eba744633edda531b1f, since
we are taking out per-Resources locale negotiation and moving it to
ResourcesManager.
Bug: 25800576
Bug: 26404653
Change-Id: Id355378881b712ddd1ec271fddb6af54fb5cc3c1</t>
  </si>
  <si>
    <t>Test enterprise_content_filter_uri is working in managed profile.
Bug=26486875
Change-Id: I0b1a0975f3eb3bc4549cac95797756043b855c7e</t>
  </si>
  <si>
    <t>Fix typo in cts test case name
Change-Id: Ib88ea32ffa3adba86828a5f17c8af479a4812766</t>
  </si>
  <si>
    <t>Fix typo in test case method name
Change-Id: I605a32329e0bab1d15636634575252d7d225ebb0</t>
  </si>
  <si>
    <t>Add more CTS tests for cross-app drag and drop
Separate tests for each of the four flags controlling
the permission grants (read, write, prefix, persistable).
Test that global drag and drop is not happening unless it is
explicitly enabled.
Test View.cancelDragAndDrop.
Bug: 25375629
Change-Id: I3beb8f678a026545d8996efb147d3b9415be189e</t>
  </si>
  <si>
    <t>CTS for DPM.resetPassword() (part 1: DO/PO case)
DO/PO should still be able to change/clear the password even if one is
already set.
Also renamed "MixedProfileOwnerTest" to "MixedManagedProfileOwnerTest"
and added "MixedProfileOwnerTest" for the pure-PO case.
TODO Add a test for the DA case too.
Bug 25645900
Bug 25506830
Bug 26827204
Change-Id: Id562b45cfb71796091215d3d4a9d026387232f72</t>
  </si>
  <si>
    <t>Add tests for force-ephemeral-users policy.
BUG: 24883058
Change-Id: I970df317e33bb9c56ae9719d88047818bd084c41</t>
  </si>
  <si>
    <t>Add tests for cleartext blocking
Change-Id: Ic81b310e6cc632175253afffd94d886737e5efd9</t>
  </si>
  <si>
    <t>TIF: Add CTS for TvRecordingClient and TIS.RecordingSession
Bug: 23786643
Change-Id: Ia3c05f1a15a93623060af83d328642964544bddf</t>
  </si>
  <si>
    <t>Remove android.graphics.cts.VulkanReservedTest
This test reserved the libvulkan.so name in previous releases until we
implemented it in the platform and had compatibility tests. We now
have the implementation, and tests are written and will be merged
soon.
Bug: 26878050
Change-Id: I03508b372a3bfd3dc0ed8ac2d8d09c06e5d7d65d</t>
  </si>
  <si>
    <t>CTS for user restriction layering
- Make sure DO/PO can set all the restrictions they should be able to
set (but skip ones that'd affect test behavior), but not the other
ones.
- Make sure they're properly layered.
- Make sure user-0 PO can set DO restrictions too, but they won't leak
to other users.
TODO Test layering with system user restrictions, which is currently
not testable because CTS can't set user restrictions.  Will add an
option to pm create-user to set default secondary user restrictions
(SMS/CALL) to test it.
Bug 25506830
Bug 23902097
Also fix bug 26858840
Change-Id: Ia4e6dcab9c53101da0186e5a7cccd60306e02e1b</t>
  </si>
  <si>
    <t>Renamed Activity class multi-window APIs
As requested by API council.
Bug: 26507736
Change-Id: I8a8aa117c437f6351dc9dcb514654ac733443be1</t>
  </si>
  <si>
    <t>Add tests for app restrictions managing app APIs
Bug: 22541936
Change-Id: Id16e1608fce983c7f66efa9ddc9afef8dbb19524</t>
  </si>
  <si>
    <t>Revert "Add CTS Tests for QS Tiles"
This reverts commit 952879d26caf5afe9bc56d87608fc4f88d253347.
Change-Id: I5d8f177ef51996f0d9948549a888ecf9cfc1cdd5</t>
  </si>
  <si>
    <t>Fix a method naming issue in LocaleSpanTest.
This is a follow up CL for the previous CL [1], which contained a method
name that confuses the test runner.
Basically what this CL does is just renaming
  LocaleSpanTest#testGetLocaleObjectMain(Locale)
to
  LocaleSpanTest#checkGetLocaleObject(Locale)
to make	it clear what methods are actual test rules and what methods are
not.
  [1]: I60e8e55e1c4340fbfa4a5eecae53515dda604b92
       92369b1c98e64b047e4ca3411b98a8f013e8015a
Bug: 26915785
Change-Id: Iddb215c597142af90f39f5ec1eea262ab48588ce</t>
  </si>
  <si>
    <t>Fix a method naming issue in SuggestionSpanTest.
This is a follow up CL for the previous	CL [1], which contained a method
name that confuses the test runner.
Basically what this CL does is just renaming
  SuggestionSpanTest#testGetLocaleObjectMain(Locale)
to
  SuggestionSpanTest#checkGetLocaleObject(Locale)
to make it clear what methods are actual test rules and what methods are
not.
  [1]: Iea410d4af63d24668f34ff3f7fb83d45fff9d8f0
       c664efa53d3eb15673a0b1dc28b461854b338b5c
Bug: 26918124
Change-Id: Ic89440401740caeb248e123ea3809c081ac0de26</t>
  </si>
  <si>
    <t>Revert "CTS test for libmedia OOB write anywhere"
This reverts commit 79a70a6f1eec5e5a5f4c0b19d6606c494fead035.
This commit is testing a non-public shared library.  Remove it.
Bug: 26511576</t>
  </si>
  <si>
    <t>Hack: Eliminate lib-loading errors.
Temporarily downgrade security cts sdk-version to take advantage of
platform grey-list while we sort out the proper use of these libraries.
Remove Stagefright_foundation test, as it was testing library on-device.
Move libraries to static where possible. Set LOCAL_CXX_STL to
libc++_static to prevent further libc++.so loading errors.
Bug: 26511576
Change-Id: I16393771d4765d33156a81fa9405475de6b37668</t>
  </si>
  <si>
    <t>Hostside DA CTS for DA targeting API level 23
When the DA is targeting MNC or below,
- resetPassowrd() will not throw, but just ignore the call.
- DA can still be activated without permission=BIND_DEVICE_ADMIN
Bug 25506830
Bug 24168653
Bug 25645900
Change-Id: I81070d6129f33fe99e74c652aaee798a177d0327</t>
  </si>
  <si>
    <t>Added test for TextView/EditText behavior for freezesText
Added tests to verify the behavior of freezesText attribute during
onSaveInstanceState and onRestoreInstanceState for TextView an
EditText. It verifies:
- Always save the text for EditText
- Always save the selection if there are any.
- Do not save the text for TextView if freezesText is false.
- During onRestoreInstanceState if selection is out of the text
  boundaries, do not restore the selection.
Bug: 22076905
Change-Id: I50de729301a441125873797138506a8377b9f4c6</t>
  </si>
  <si>
    <t>Clean up the DA host side test.
Bug 27045567
Change-Id: I89a30b494bb351e1d1a1874bc3eb6371ba93a555</t>
  </si>
  <si>
    <t>Fix EDI tests
Change-Id: Ibae81182f9df478cedcd81518f0e8831e498ac2a</t>
  </si>
  <si>
    <t>CTS photo_uri can actually be read for local and remote work directory
BUG=26581725
Change-Id: I826af74a5ae4de5f6da635ab9191050670bb5513</t>
  </si>
  <si>
    <t>Don't remove the admin while removing the DO
That now fails. clearDeviceOwnerApp takes care of
removing the admin
Change-Id: Ida0ec6a9760977f4aae6d464390f5b2bdf591ded</t>
  </si>
  <si>
    <t>TIF: Delete the tests for removed methods and apply renaming
Bug: 26969670
Change-Id: I9697001e772d2af0efd8989f96bfe37b42a6256a</t>
  </si>
  <si>
    <t>Revert "Add genre test for TvProvider"
This reverts commit f15cf53fd0180c60b538e56a47f30ef12db91ca6.
Change-Id: I534f8e8f7793d6d97e5e518d7a4613b3d7296e92</t>
  </si>
  <si>
    <t>Use ActivityOptions.setLaunchStackId in DragAndDropTest
Using this hidden method through reflection allows running this
test on devices without FEATURE_FREEFORM_WINDOW_MANAGEMENT
Change-Id: Ibdabc55383b3dd3b1b755eeb4412225c09893cd3</t>
  </si>
  <si>
    <t>Move all resetPassword() tests to hostside test
- tests/tests/admin no longer runs as device-owner.
This fixes CTS v1, and also running those tests as DO wasn't a good
idea anyway.
- All the password related tests have been moved to the
DeviceAdmin hostside test.
- Now we really should run all the DeviceAdmin hostside tests
as a pure, non-device-owner DA, but turned out that's very painful
because that means each device side test can only call resetPassword()
once, then on the host side it needs to call DO to clear the password.
So I gave up and moved all the password quality related tests to
a single test, and run it as device-owner.  Other tests are still
run as a pure non-DO da.
Bug 27045567
Change-Id: I5f54827b28e00f23c7b913ffb06c326cca161337</t>
  </si>
  <si>
    <t>TIF: Apply API renaming
Change-Id: I34096e199808f91b27dbdf80c99b74b6c61aae5f</t>
  </si>
  <si>
    <t>Tests for clearing child fragment manager after it is destroyed.
Bug 26945643
Change-Id: I301ff8cf8b8288bc85851df58902c2523093024b</t>
  </si>
  <si>
    <t>Add CTS for managed call through ACTION_CALL
BUG:27224064
Change-Id: Ib7cb8e2415a3ac38747862ff2dc66b565510cbd0</t>
  </si>
  <si>
    <t>Added test for the scenario where the app already has the requested permission.
BUG: 26742218
Change-Id: I08d308b37bc0cd6758c592c7adaf388431114a82</t>
  </si>
  <si>
    <t>Remove Notification Topics.
Bug: 23220370
Change-Id: If1f2f7bc3947e57e7a79a58e20e6825f37c45240</t>
  </si>
  <si>
    <t>cts: camera: Expand testFocusDistance test case
Add below tests for CALIBRATED devices with both
repeating and burst requests.
1. lens/focus distance does not change if focus_distance
setting doesn't change.
2. lens/focus distance changes in the same direction of
the setting change, and doesn't overshoot the request.
3. focus distance eventually reaches the requested value.
Bug: 19549130
Change-Id: Idf4201fa5c558443bd5d4cf4519444d32c4084c6</t>
  </si>
  <si>
    <t>Remove SELinuxTest#testNoBooleans.
Access to booleans dir was dropped with removal of domain_deprecated
from untrusted app. Reading the booleans dir results in the following
denial:
denied { read } for name="booleans" dev="selinuxfs" ino=21
scontext=u:r:untrusted_app:s0:c512,c768 tcontext=u:object_r:selinuxfs:s0
tclass=dir permissive=0
Other SELinuxHostTests still work since appdomain has permissions to
read and write selinuxfs files directly.
This test is redundant anyway and is already covered by the
SELinuxHostTests.  Remove it.
Bug: 27150731
Change-Id: Ia143b5ddd96a0e3fe216437615ac9b2c731f0196</t>
  </si>
  <si>
    <t>Remove SELinuxTest#testNoBooleans.
Access to booleans dir was dropped with removal of domain_deprecated
from untrusted app. Reading the booleans dir results in the following
denial:
denied { read } for name="booleans" dev="selinuxfs" ino=21
scontext=u:r:untrusted_app:s0:c512,c768 tcontext=u:object_r:selinuxfs:s0
tclass=dir permissive=0
Other SELinuxHostTests still work since appdomain has permissions to
read and write selinuxfs files directly.
This test is redundant anyway and is already covered by the
SELinuxHostTests.  Remove it.
(cherry-pick of commit: 50a0db7e76e2380940e5ec1cf7fafd9592a062f5)
Bug: 27150731
Change-Id: I2757e251240b919eeb776aa18635861c2658df0b</t>
  </si>
  <si>
    <t>Add CTS for closed captions
Bug: 26971555
Change-Id: I0eb75445884c4ebd9c41ce5e8f194299f912243e</t>
  </si>
  <si>
    <t>Refactored how data is shared between test apps.
When running the device-site tests, it's necessary to share state
between a second app and the main test app. Currently that's achieved
through a shared preference file that is accessed by both apps (since
they use a shared id), but this approach will not work on power save
mode tests (because the test app will be in foreground and the
background restrictions won't be applied in the second app).
This change refactors the data sharing mechanism by:
- Using an ordered broadcast that is sent from the test app to the
  secondary app.
- Checking for the network status in the secondary app.
- Moving the test logic to the client-side tests.
BUG:  27127112
Change-Id: I44987701b908b329fdf40e3a7a97e9f30cfadecb</t>
  </si>
  <si>
    <t>Remove tests for DPM.createAndInitializeUser and createUser
as the APIs are removed in N.
Bug: 26974903
Change-Id: I3dcb079ec3385cb7b1011d930a70ac71cc204b67</t>
  </si>
  <si>
    <t>Un-suppress testPermission{AppUpdate,Prompts}() from
from MixedProfileOwnerTest.
I suppressed those tests on MixedProfileOwnerTest when I
added this class because at that point I thought it was something
to do with how we ran the CTS or something.
It turned out they're actually failing on MixedProfileOwnerTest
too, so it must be really a regression (eithr in the test or in the
actual code).
Bug 27291916
Change-Id: I9b74c85171a91cbc178250479f686783dbc3feab</t>
  </si>
  <si>
    <t>Stricter preload density CTS tests for 9-patches and bitmaps
Adds golden images, some additional assertions. Uses the switch
thumb as the density test, since that's what was giving us
problems.
Bug: 27038114
Change-Id: I2c3c28310b3b60fc5afb6bdecd4f8cc732ba2e5c</t>
  </si>
  <si>
    <t>Audio record notification: test audio format
Test that the active recording format is found in the
 active recording configurations, and that the device
 format is valid (what it is exactly is device-specific).
Bug 22876530
Change-Id: I3c691fbb2f66197ccf20e30d36124f60d947ecba</t>
  </si>
  <si>
    <t>Test that creating ephemeral users fails on systems without
split system user.
BUG: 27143201
Change-Id: Ia77f7480e9cf444a4599449c9b22d052e5b22b4e</t>
  </si>
  <si>
    <t>Move abioverride tests to host side.
The abiOverride tests, which test whether an abi can be overwritten to
be 32 bit, requires no --abi flag to be set during installation. To
make testing possible, these tests are moved to host side, and installed
without the flag.
Bug: 27230945
Change-Id: Iaff7f2a0addc215aa3d9605b9ce94345ea3807eb</t>
  </si>
  <si>
    <t>[RenderScript] Remove the defective LinkTest
Bug: 27358969
Change-Id: Ibd66bbdf3e64724124f2624ebd03461cbf4cf244</t>
  </si>
  <si>
    <t>Added tests for TextView fading edges.
Added tests that checks the fading edges of a TextView using the
following parameters:
- LTR/RTL text
- short/long text
- horizontalFadingEnabled: [true, false]
- gravity
- textAlignment
Bug: 10918591
Change-Id: I401abfbea681c7b8e38f93c6881c710c7ae12dd4</t>
  </si>
  <si>
    <t>Revert "CTS test for libmedia OOB write anywhere"
This reverts commit 79a70a6f1eec5e5a5f4c0b19d6606c494fead035.
Change-Id: I9713391f44717618c77c384d1af89e8b4174a44b</t>
  </si>
  <si>
    <t>Add functions to round-to-nearest float16 and compute float16 ULP
http://b/23536224
This patch
- adds a function that takes a double value and returns the double
  representations of the Float16 values immediately higher and lower
  than the input.
- adds a function that takes a Float16 value represented as a double and
  computes its Float16 ULP.
- adds test for the same.
- refactors Float16 utility functions out of Float16ArithmeticTest to
  Float16Utils.java
Change-Id: I16178cd4496363da363057c5e007be0c3954b2bb</t>
  </si>
  <si>
    <t>Camera: remove StaticMetadataCollectionTest
Migrated to new DeviceInfoStore APIs.
Bug: 25983832
Change-Id: Ie9d32d536e0a667eb86a51b6c3b2c4a2521f8644</t>
  </si>
  <si>
    <t>Fix timeout when running device policy CTS
Run all CTS using common libraries rather than calling am instrumentation
directly, to prevent timeouts. Timeout is set to two minutes by default
for regular adb commands, while there is no timeout if calling through
libraries. Managed profile tests something take over 2m as they have to
create and remove a user
Bug: 27358435
Change-Id: I42b0304f20f996684574c1e329b5ef8d179aed15</t>
  </si>
  <si>
    <t>sensors: Move some FIFO length tests.
Tests of the minimium reserved FIFO length belong under the
SensorParameterRangeTest, instead of SensorBatchingFifoTest,
because they are testing static parameters of the system,
instead of dynamically exercising the batching code itself.
We move these tests appropriately to maintain this distinction.
Change-Id: I556f1901bc07784afb5dadd0fe273ee5e24f3199</t>
  </si>
  <si>
    <t>Migrate CppTools to CTSv2
bug:21762834
Change-Id: I4f930b3e21ffd1399c416a38dd728d91cee5d29e</t>
  </si>
  <si>
    <t>Don't assume that the primary user is user 0
This way tests can also run on devices with split user enabled
Bug: 25906481
Change-Id: Ica0c99eccf90c032bc65728720b93f03313706ad</t>
  </si>
  <si>
    <t>remove CarConnectionListenerTest and add CarTest
- CarConnectionListener is removed from android.car
- add CarTest to check service connection
bug: 27374331
Change-Id: If71285420f0b4920f13324f9fe26883b93e8fa1e</t>
  </si>
  <si>
    <t>Move the YUVImage class to a seperate file so android.media.cts.* could use it.
Bug:27505053
Change-Id: I6f4630fd95865ad8633788ab020825a9d7cf9ef3</t>
  </si>
  <si>
    <t>Cts test changes for AudioRecordingConfiguration API changes
Change-Id: I0d2afe23cbaee854a723c5796e9b03fe943ddd08</t>
  </si>
  <si>
    <t>Ensure draw pass occurs during ListView divider height test
Bug: 27522407
Change-Id: I02f62c06278bd91a6371b46dfd06aff8c7bf49c9</t>
  </si>
  <si>
    <t>Add tests for Evaluator classes in android.animation
Specifically, adding IntArrayEvaluator, FloatArrayEvaluator,
RectEvaluator, and PointFEvaluator.
Also, move existing evaluator tests into this single, new file
and remove the other individual Evaluator test classes.
Finally, fix existing evaluator tests, which were too simplistic and
didn't actually check the value of the result.
Issue #27539331 Add Evaluator CTS tests
Change-Id: Id4a2a262f58c9827a3c449bdf7fbbc6ddde0c853</t>
  </si>
  <si>
    <t>Fix QS CTS tests
Bug: 27527037
Change-Id: I58593c6277e732521bb4ef37e8592cea31e46fdf</t>
  </si>
  <si>
    <t>Port Backspace/ForwardDelete tests from coretests
Bug: 27553165
Change-Id: I01785560d92b7273c959a3a8464ae97a41c131f3</t>
  </si>
  <si>
    <t>CTS coverage for GradientDrawable
Bug: 27543512
Change-Id: Ibc85fdc8777873f2992e3cb19055d53dac6f33cb</t>
  </si>
  <si>
    <t>CTS coverage for various high-coverage drawable classes
Fixes flaky LayerDrawable preload density test that wasn't
accounting for intrinsic width relying on two separate scaling
methods.
Change-Id: I6f12bdbfbbcb7e87364e908e3ecd2460b32a3dd6</t>
  </si>
  <si>
    <t>Cherry-pick cleartext blocking CTS tests
The tests landed in master after the nyc-dev cut.
Bug:27293197
(cherry-picked from commits b617aceda80553cb25e7221e226d8a414f11c5c9,
dc77100fc7556da219fbd86c80a479be212bfdca)
Change-Id: Ifc96f8c13a3f42f27f129b9edaf7ac41515f95d5</t>
  </si>
  <si>
    <t>Updating trusted voice test for cts v2.
Change-Id: I933fea5da42abce0a0bc457da47f1db39cc6dce0</t>
  </si>
  <si>
    <t>Tidying up AlertDialog CTS tests
* Switch to Mockito for mocking listeners and querying calls.
* Much more targeted checks on how many times a listener has been
called in the specific scenario and with which parameter(s).
* Small cleanups in the code.
Change-Id: Ieb4e3bef2d49c19b2a029730d4e6a3aba405f04b</t>
  </si>
  <si>
    <t>Remove CTS tests for all non-porterduff xfermodes.
These xfermodes have been removed from the public API and are no longer
valid tests.
bug: 14650725
Change-Id: I91f76830252885863ff2ead27376a2c89f268720</t>
  </si>
  <si>
    <t>First pass for complete CTS coverage of ListPopupWindow
* Show actual content in ListPopupWindow in all tests.
* Compute ListPopupWindow content width (except for testing the
setWidth() API).
* Wrap all configuration in a single Builder inner class that allows
configuring individual facets of ListPopupWindow.
* Coverage for anchor view - get, set, horizontal / vertical offsets.
* Coverage for soft input mode.
* Coverage for modal / non-modal, including testing that an outside
click is deliverd to the underlying container for non-modal content.
Change-Id: I945d5a143f1a21d80567c25f4bd4b9dc75d104b3</t>
  </si>
  <si>
    <t>CTS coverage for various medium-coverage drawable classes
Still missing DrawableContainerState.computeConstantSize(),
which is literally impossible to test (without resorting to
reflection) since it's protected and DrawableContainerState
has no public constructor.
Change-Id: I9c0d328ac8e75b365f719a0f174b8ce57d4a8bbc</t>
  </si>
  <si>
    <t>Complete CTS coverage for AlertDialog and AlertDialog.Builder
Change-Id: I78fa74c301dfa3cafad280e60ea4fc6d4cf5f5f8</t>
  </si>
  <si>
    <t>Add CTS tests for android.transition classes
Tests for:
ChangeImageTransform
ChangeClipBounds
Explode
Fade
PathMotion
PatternPathMotion
Slide
Made some of android.transition CTS tests less flaky.
Change-Id: Ib8bb77f767f6d1d379770a6c34a720806670b828</t>
  </si>
  <si>
    <t>Move back some test cases in BackspaceTest/ForwardDeleteTest.
Implementation can choose the support of ZWJ and Emoji modifier, so move them
back to CoreTests.
Bug: 27553165
Change-Id: I65673b3e4a928e16d204548dbe0ec2f0bc8afe03</t>
  </si>
  <si>
    <t>Removed test cases that test moved methods
Bug: 27633183
Change-Id: I1dfbf253e65567cf5d6750e1ec24482db3aec407</t>
  </si>
  <si>
    <t>CTS test coverage for android.content.res classes
Change-Id: Iaaa33bbd5038ffb5b4952228df94a6ec5610c3f2</t>
  </si>
  <si>
    <t>Refactor AlertDialog.Builder tests that work with cursors
* Move Cursor-based tests into a separate class for better encapsulation.
* Move away from using local contacts DB. Two of the tests were destructive,
deleting all contacts for the current account before adding a test entry.
* Use a temporarily constructed database with a few entries, exercising
simple item set, single-choice and multi-choice item sets.
Change-Id: I057737f903c6ddf5ab3346a03901ae13184793bf</t>
  </si>
  <si>
    <t>First pass for PopupMenu CTS tests
* Testing inflated menu content via inflate() and
getMenuInflater().inflate().
* Testing popup menu dismissal via dismiss() and an
outside click.
* Testing menu item click via Menu.performIdentifierAction(),
including menu dismissing itself on item click.
Change-Id: I95e0ac026d883a8cf0cba46b1d53144df1d6fe3b</t>
  </si>
  <si>
    <t>CTS changes to match those made to a11y api.
Change-Id: I6729bbc93586c8379af0d2b34c8457065be49daf</t>
  </si>
  <si>
    <t>Remove wifi MAC addr access test
The Openjdk version of NetworkInterface.java obtains the wifi MAC
address using a netlink route socket, instead of the previous method
of finding it in /sys.
Since any app can create and use a netlink route socket to get this
information, specifically blocking it in NetworkInterface is not
useful. Delete test and find a better way to block access.
Bug: 27266415
Change-Id: Ifb4ec7cfd565d726390a535e247b20e556f834e6</t>
  </si>
  <si>
    <t>AudioManager tests for DND access change.
AudoManager calls that would trigger DND mode changes are not
allowed from apps without Notification Policy Access.
Change-Id: Ieace5efccc44351b0f9df93df874edac227d080a</t>
  </si>
  <si>
    <t>Adjusting CTS tests after unifying logging naming to security logging
Bug: 27532425
Change-Id: Ic5b9c23f4a6ab8b7444c60806feb64a87bd347d6</t>
  </si>
  <si>
    <t>CTS tests for newly added VectorDrawable's attributes
b/27533958
b/27126035
Change-Id: Iab97eb759969344eecfb889a33ee8ffdf5f4c85e</t>
  </si>
  <si>
    <t>Test to verify broadcasts sent on receiving SMS.
Bug: 10653355
Change-Id: I6ac43fd7ed4ded0cf6cc3421d9e6926d4c093944</t>
  </si>
  <si>
    <t>Fixed the failed test cases
Bug: 27621461
Change-Id: I9714d0bb69390a5ff9593297aed5e3e209acb1b2</t>
  </si>
  <si>
    <t>Fixed cts test HardwarePropertiesManagerTest.
Run HardwarePropertiesManagerTest as Device Owner.
Bug: 27367751
Change-Id: I323a2c7dff3ef3f9244f832961bbf7fbf7236783</t>
  </si>
  <si>
    <t>adjustStreamVolume can be called without DND policy access.
Bug: 27711587
Change-Id: Ib8eac232e09a7c7829107c11b7e3590aafa46067</t>
  </si>
  <si>
    <t>Follow framework refactoring.
Bug: 27531029
Change-Id: I5ca76afecef0819cceae29074ed41fe0f81f7120</t>
  </si>
  <si>
    <t>mediastress: Replace CamcorderProfile with MediaUtil in playback stress tests.
Bug: 24678431
Change-Id: I10c8a1ef408fda53291cf88d148bae8a9d74d2e3</t>
  </si>
  <si>
    <t>Improved Scoped Directory Access tests.
Although the Scoped Directory Access is implemented by DocumentsUI, it
uses a different UI and different semantics, so it makes sense to have
different test cases as well.
Splitting the tests makes development more productive because the tests
run faster and isolated from each other. Examples:
- DocumentsTests needs a file provider while ScopedDirectoryAccessTests
   doesn't.
- ScopedDirectoryAccessTests needs to clear the DocumentsUI cache, which
  could interfere with DocumentsTests tests.
This change not only splits them, but also makes some other improvements
in the Scoped Directory Access tests:
- Moved all logic (including removing a directory) to client side.
- Clear the DocumentsUI app before each test.
BUG: 27743842
Change-Id: I84011aab7319cf60af10de03e97dd31ee5ab53e1</t>
  </si>
  <si>
    <t>Fix WebChromeClientTest#testOnJsBeforeUnload
Chromium has removed the ability of webpages to specify strings for the
onbeforeunload dialog.  So don't verify the unload message. Just make sure the
WebChromeClient callback is fired.
Also changed the test name to testOnJsBeforeUnloadIsCalled.
BUG:27745434
Change-Id: If2d56375a2941c004bad3c713f747093fc09ca79</t>
  </si>
  <si>
    <t>Switch to use the IcuTestRunnerBuilder from external/icu
The IcuTestRunnerBuilder from here was copied into external/icu
and refactored to make it independent of this CTS runner so that
it could be used to run the tests using JUnit on the host. This
switches the CTS IcuTestRunner to use the classes from
external/icu and removes the ones that are no longer needed
here.
Also, adds the root of the CTS coverage tests into the list of
roots to be run.
Bug: 22023363
Change-Id: Ibfe0848fbf215e886615afbbe058b8dd0185a4da</t>
  </si>
  <si>
    <t>Remove periodic job test
We currently don't have the infrastructure
to simulate time. All CTS tests need to pass
for DP2 (by 3/23). So I'm removing this test
for the time being. Some host side testing
would be needed to test periodic jobs.
Bug: 26638968
Change-Id: Ie5be5f75606790f709dab247e449ce5c46c4bbfe</t>
  </si>
  <si>
    <t>Extend CTS test coverage on TabHost and TabWidget.
Change-Id: I12836b0487e3a9f03ebb091a955a7312be6621e0</t>
  </si>
  <si>
    <t>Remove MediaCryptoTest from Security CTS
MediaCryptoTest should have been removed earlier on, but
somehow it was either added back in or forgotten to be removed.
We will proceed to remove this as part of Security CTS cleanup
and SDK level upgrade.
Bug: 27763106
Change-Id: If0e97ea9dfe9fe73eeee1f3f7536348a1c5d0bb2</t>
  </si>
  <si>
    <t>Moved from parameterized tests to iterating tests.
Bug 27788726
It appears that there are problems using parameterized
tests in CTS. I've moved the tests to regular junit 3
tests.
Change-Id: Ie086b9b328a19f31895d047aff8a5a84aae8709b</t>
  </si>
  <si>
    <t>Add CTS tests for AVD call back control
fix:26979225
Change-Id: Ic7d792f5634e34f7b42d1dd74deac8abafe4daf5</t>
  </si>
  <si>
    <t>fix tests
world readable files can no longer be created. don't make them
and fail if we're able to read one.
Bug: 26518106
Change-Id: I753729c69d6ce9e0f64a7b85253b2efbf0400482</t>
  </si>
  <si>
    <t>Delete testMediaserverDomain test
Mediaserver was refactored, and this old test isn't relevant
anymore. Delete the test.
Bug: 27795382
Change-Id: I7c99e76c84471d1bc14c560ec0a930350c645711</t>
  </si>
  <si>
    <t>remove obsolete GL jank test
Bug: 27600015
Change-Id: Ie819c532b49eeb1447509e247d46974bbfbf426a</t>
  </si>
  <si>
    <t>Extending and cleaning up CTS coverage for ImageView
* Switch away (where possible) from custom classes that track
calls to specific methods to Mockito's mocking and spying.
* Tweak the test around drawable state change to trigger it
via selection instead of an explicit call to the changed callback.
* Add coverage for baseline, image alpha, tint mode and tint
colors - the last three groups doing pixel-level checks.
Change-Id: Ic9a7eb710e20105dd82fc248234657a2545da20a</t>
  </si>
  <si>
    <t>Use mockito in one of the ListView CTS tests
Change-Id: Ie260a0beab7ce55fd8d20e3a0697b69b7138e99c</t>
  </si>
  <si>
    <t>Keyboard Shortcuts: plumb deviceId through
Bug: 27673736
Change-Id: I04c2ae280134eae10cd067e6d01979c2366ecfc8</t>
  </si>
  <si>
    <t>Remove StagefrightFoundationTest from CtsSecurityTestCases module
The code is testing functions from the shared library. As part of
SDK level upgrade and CTS test cleanup, this test will therefore
be removed from the test suite.
Bug: 27762569
Change-Id: I7f116d7c714300e3502e1295f0909b7c6c2ed6d3</t>
  </si>
  <si>
    <t>Tweak PopupMenu tests
* Use a style that removes enter / exit transitions but still uses
the default styling (round corners and elevation). Also fix the
incorrect configuration of the popup menu with a custom style in
all relevant tests.
* Tweak one of the tests to use a smaller popup menu (just one item)
for more reliable emulation of tapping outside the popup bounds to
dismiss the menu.
Bug: 27827425
Change-Id: I3dffcb6ddd2ce730384f6f81a89eef220180a0d2</t>
  </si>
  <si>
    <t>DO NOT MERGE: Fix WebChromeClientTest#testOnJsBeforeUnload
Chromium has removed the ability of webpages to specify strings for the
onbeforeunload dialog.  So don't verify the unload message. Just make sure the
WebChromeClient callback is fired.
Also changed the test name to testOnJsBeforeUnloadIsCalled.
BUG:27745434
Change-Id: I64f12d7fe7e0ebd7c1be1783107f6cd7249f21bc</t>
  </si>
  <si>
    <t>Fix Car cts tests after AppContext refactor.
Bug: 27598924
Change-Id: Ib0d3c907ca930f862b1f7b7a5bfa64a4dfc7e4ab</t>
  </si>
  <si>
    <t>Add missing CTS for ExifInterface constructors
Also modified the previous code to increase CTS coverage for these APIs.
- setAttribute()
- saveAttributes()
- getAttributeInt()
- getAttributeDouble()
Bug: 27631370
Change-Id: I5daeae435c832b6e85d42d80d33faf366f1c53ce</t>
  </si>
  <si>
    <t>Switch recently updated CTS tests to use lambdas
Change-Id: I5fe6e1736ce1b6aef1a0a6b94ee7b6dfca26914b</t>
  </si>
  <si>
    <t>Add global enforcing test.
SELinux tests are primarily enforced via host-side tests to take
advantage of privileges available to the shell user that are not
available to cts.  Add a check that explicitly checks to make sure
SELinux policy is being enforced on the system, rather than relying on
results from various checkAccess() tests in SELinuxHostTest.
Bug: 27756382
Bug: 27763829
Change-Id: Ic7e94267ef1ad23491539e12d960014b0440872a</t>
  </si>
  <si>
    <t>Add global enforcing test.
SELinux tests are primarily enforced via host-side tests to take
advantage of privileges available to the shell user that are not
available to cts.  Add a check that explicitly checks to make sure
SELinux policy is being enforced on the system, rather than relying on
results from various checkAccess() tests in SELinuxHostTest.
(cherry-pick of internal commit: f4c87b375f2a449978ba0774098075f2aa069aa1)
Bug: 27756382
Bug: 27763829
Change-Id: I369e7ab78a41718c464a3fd70163ba398a040730</t>
  </si>
  <si>
    <t>Add CTS tests for accessiblity service control of magnification
Implements a new framework for easily starting accessibility
service tests and connecting to a static instance of the service.
Bug: 22718911
Change-Id: I337560bd8519150883634fca574962c5283c0c9b</t>
  </si>
  <si>
    <t>Revert "Fix-up on earlier CTS comment."
This reverts commit 8ef8b153002ad04917cf23834a482596314a50e3.
Change-Id: Icb1d2352cf493a2593d8ff727a699630ded07bdc</t>
  </si>
  <si>
    <t>CTS Test for SMS and text MMS backup/restore
Test adds 2 SMS messages and 1 text MMS messages, runs backup,
delete the messages from the provider, runs restore,
check if messages are in the provider.
Also renamed file with utils to general name. And moved there some
functions.
Bug: 26179764
Change-Id: Idb18037b97c86badb1df823945b0d326b38e1b7c</t>
  </si>
  <si>
    <t>Test that we can set and read txt records.
Bug: 27696905
Change-Id: I494665adeb8a859791bb5d08fe5b6ee73f20ac8d</t>
  </si>
  <si>
    <t>Revert "Test TextView setText/append methods set movement method"
This reverts commit faa56693529d6029723365a604b2da97276de5f7.
Change-Id: I89c31da20e85fce0049cedfd01d52c15c66954f5</t>
  </si>
  <si>
    <t>Refactor usages of Picture In Picture and Multi Window (2/4)
Bug: 27365860
Change-Id: Ic334ffc90a8610803975ab765e1016f2827a3c54</t>
  </si>
  <si>
    <t>remove CtsUiAutomatorTestCases
* This test is effectively a functional test on UI Automator framework
* The UI Automator framework being tested is an obsolete version using
  shell based
* Supported version of UI Automator has already been unbundled from
  framework
* Underlying framework dependency already covered by uiautomation suite
* This change also removes related build, test type support
Bug: 27614481
Change-Id: Ifda6c75b1fb5909f8dfd994e472ac4f1af8933c5</t>
  </si>
  <si>
    <t>Avoid relying on logcat output for ThemeHostTest results
Now relies on instrumentation timeout and output.
Also moves generated image compression into GenerateImagesActivity,
disables window animations so we finish a bit faster, and updates
560dpi reference images for API 23, which previously were incorrectly
labeled xxhdpi images.
Bug: 27919393
Change-Id: I033f2dd7d2c3f2b26c126aca506c8ffe1cc6dd85</t>
  </si>
  <si>
    <t>Fix MODE_WORLD_READABLE related tests.
Remove MediaStore test for private files, which are no longer
supported.  Update BrowserTest to expose files for testing purposes,
and bypass StrictMode checks to actually execute test.
Bug: 26925324
Change-Id: I88d53a7b5475f7e4c2fcd60890b1aa85adac141f</t>
  </si>
  <si>
    <t>Add unit tests  for PrintAttributes
There is one weird case we have to support because the API has been
permitting that in the past: margins can use negative values. We pass
on the margins to the print document adapter and hope it deals with
them.
Change-Id: Icad055a67f541ca1628a1b5079794a8781ac61a0</t>
  </si>
  <si>
    <t>No more waivers for added root CAs.
Root CAs can only be added through the official process:
1. First, get the CA accepted through the Mozilla  CA Inclusion
   Process,
2. Once it is accepted, file a ticket at
   https://code.google.com/p/android to include the CA as trusted CA
   in Android.
Bug: 22666069
Change-Id: Ief7fdd1b37c8e24fd265e1d7472e9bb1727e7f53</t>
  </si>
  <si>
    <t>Test Metrics Host Side Implementation.
Bug: 27925818
Change-Id: I378b3731fed1a7aa7fcfc5587f7afb529acc569a</t>
  </si>
  <si>
    <t>AudioRecordingConfigurationTest: update callback name
Update AudioRecordingCallback.onRecordConfigChanged() to
  onRecordingConfigChanged() after API council review
Bug 27952000
Change-Id: Ia443b49acaf0c76cf96f5795a43506b09d89b445</t>
  </si>
  <si>
    <t>Change test to match new behavior: soft keyboard behavior is reset to auto
once the AccessibilityService that last requested the keyboard be hidden is
disabled.
Bug: 27886621
Change-Id: I342998c5768ee9a3e8ec29ea9f259278ccd4075d</t>
  </si>
  <si>
    <t>Minimize destruction of UiAutomation in A11y CTS.
Also simplifying the test for soft keyboard control.
Bug: 27365874
Change-Id: Id7d9ec606c46f969287866582a57fdd5d35ad362</t>
  </si>
  <si>
    <t>ICU4J/Libcore: Generalize the IcuTestRunner so it can be used with libcore
Bug: 22023363
Change-Id: Icf4d0f42f07fa719aaa6036f93b7aa7efec214c9</t>
  </si>
  <si>
    <t>Remove non-API-based security tests.
Bug: 27848613
Change-Id: I77225b9b433d13fcddd06484e4484cd38d3eb5c3</t>
  </si>
  <si>
    <t>[CTS] Rename private test methods in Build test
bug: 28034942
Change-Id: I36f24a8eb311e6bbffc18ff9dd1fa6a94d2f4316</t>
  </si>
  <si>
    <t>Updated test cases to match the API update
Bug: 27948390
Change-Id: Ieccd28b5e5f5115460abfc93414111e1b2b2ede9</t>
  </si>
  <si>
    <t>Remove test_listAudioPatches
Remove deprecated test:
android.security.cts.AudioFlingerBinderTest#test_listAudioPatches
Bug: 27999907
Change-Id: Ib173c57bd8fb29612cbe7819f1b98175b8b15c7a</t>
  </si>
  <si>
    <t>First pass for CTS coverage of DatePicker.
* Add consistent structure - activity with two date pickers, one
with (old) spinner mode and one with (new) calendar mode.
* Run all relevant tests on both pickers.
* Add Mockito-based date changed listener tracking where needed.
Change-Id: Iaa4547f4e08557743071fba1387add00d7bf4df7</t>
  </si>
  <si>
    <t>Remove some tests from SELinuxTest in CtsSecurityTestCases module.
Test cases that rely on selinux_check_access(),
security_check_context(), and log_callback() are removed.
Bug: 27763829
Change-Id: I329e9c42cc0cb18db183e65fe11f7f06049be885</t>
  </si>
  <si>
    <t>Enhance CoreTestRunner to run Libcore tests
Adds support for specifying a list of listener classes to create
and add to the runner using the "core-listener" key.
Adds support for finding all tests in the APK if they were not
specified.
Change-Id: I2081ee859375b4a92eadf059e87016d435ea5f0b</t>
  </si>
  <si>
    <t>First CTS pass for AutoCompleteTextView
* Switch to lambdas everywhere
* Switch to Mockito-powered listeners everywhere
* For testing the protected replace() method, use Mockito as well
Change-Id: I9ae92022a2245e42dfd7da6645818779df3dd1bc</t>
  </si>
  <si>
    <t>Second CTS pass for AutoCompleteTextView
* Covering all constructors
* Set / get completion hint
* Drop down metrics (width, height, offsets)
* Drop down background
* Dismiss listener
* Tweaking the logic that shows / dismisses the drop-down
Change-Id: I8bcbef808cce9b48c97790c3d4354cfad2c9bd5d</t>
  </si>
  <si>
    <t>TIF: Add test case for TvView.TvInputCallback#onDisconnected
Bug: 21422107
Change-Id: Ida0711e14fa43f6633d247a10e3ec5add317b9cf</t>
  </si>
  <si>
    <t>First pass for Spinner CTS tests
* Use activity with two spinners, one in dialog and one in dropdown mode
* Convert all relevant existing tests to run on these two new spinners
* Add constructor coverage for various permutations
Change-Id: I618f6a2f287722835b54b8f93d14828306f40dfa</t>
  </si>
  <si>
    <t>Third (last) CTS pass for AutoCompleteTextView
* Add coverage for setText(String, boolean)
* Add coverage for performCompletion()
* Add coverage for set/getAdapter on a displayed ACTV
* Switch away from runTestOnUiThread everywhere
Change-Id: I1a09ceefe96f7a3a03a7a35c9085cc25f8d33e58</t>
  </si>
  <si>
    <t>First pass for NumberPicker CTS coverage.
* Move the test class from android.view.cts to android.widget.cts
to be consistent with NumberPicker package.
* Add activity for running the tests in a "visual" environment.
* Beef up existing tests for min/max + displayed values various
permutations.
Bug: 28114368
Change-Id: Ifc9a2e9f6985d8caf3c8264d07e3e9c9bee3224f</t>
  </si>
  <si>
    <t>Verify that Linkify accepts _, $, and empty path
Add tests to verify that Linkify matches:
- underscore in domain name
- dollar sign in path and query
- empty path with query parameters. i.e. a.com?q=v
Bug: 27436084
Bug: 27501264
Change-Id: Ia8111e4f30b96c900d8b4884e3f470fb0791b024</t>
  </si>
  <si>
    <t>Create ExternalCallTest CTS class.
Moved the existing external call pull test to the new CTS class.
Added another call pull CTS test to test attempting to pull a non-pullable
external call.
Bug: 28179159
Change-Id: Ia064454e9b6012dc5508ac425a19e65aed0cbead</t>
  </si>
  <si>
    <t>Second pass for CTS tests for NumberPicker
* Get / set value
* Get / set wrap selector wheel
* Testing value change and scroll listeners with emulated vertical
drag gestures
Change-Id: I59a4b98008600749e0b6a023ecb12daa7bbf8bdb</t>
  </si>
  <si>
    <t>Third pass for CTS tests for NumberPicker
* Testing display value logic (displayed values array and formatter)
* Constructors with newy exposed public styles
Bug: 28189574
Change-Id: I42bcfa32d21fe8dcd4ca39682f34542c4d34500a</t>
  </si>
  <si>
    <t>Split and refactor CustomPrintOptionsTest to hopefully make it more stable.
Change-Id: I972b58919696cf2d59bc9a35bf1e531aa0894c3d</t>
  </si>
  <si>
    <t>Fix failing accessibility CTS test
bug:28094454
Change-Id: I723452816b71eac88127996e916a7d252b25e326</t>
  </si>
  <si>
    <t>Removing CTS tests related to multi-endpoint APIs.
Bug: 28196918
Change-Id: I0c1d815289d0a358c477b5f73e79a7bfc8f06082</t>
  </si>
  <si>
    <t>CTS: View's temporary detach state.
With my previous CL [1], temporary detach mechanism are now fully
accessible to application developers with public APIs.  Hence we
should have CTS tests regarding temporary detach mechanism.
 [1]: If8f780f8b71754f7533a65097304113ae1f5cf12
      24df931e9e8c708fc605cd8e76a3ffd9ce5f6c77
Bug: 18920212
Bug: 28006954
Change-Id: I612fcdde6043878ece60acdb64aebcbbfad17961</t>
  </si>
  <si>
    <t>Rewrite X509TrustManagerExtensionsTest
X509TrustManagerExtensionsTest used internal implementation details to
test X509TrustManagerExtensions#isUserAddedCertificate, these
implementation details are no longer the same and so this test failed to
catch the API being broken and then incorrectly flagged the fixed API as
broken.
To ensure that isUserAddedCertificate is properly covered the tests for
the API are split into two places: X509TrustManagerExtensionsTest covers
tests for the default case where there are no added CAs and
CaCertManagementTest to test the behavior when CAs have been added.
Bug:28262103
Change-Id: I14f3211c277fdc9c8bfc3d4ac932be375961fa28</t>
  </si>
  <si>
    <t>testAllCharacterDevicesAreSecure: move to host side
Move testAllCharacterDevicesAreSecure() to a host side test.
Currently, this CTS test is unable to enumerate devices on /dev
becuase SE Linux policy is blocking it. Rather then open this
access to untrusted_app domain, move the test host side where
shell domain shall be granted access.
bug: 28306036
Change-Id: Ie75366f0efe88a0d265d62b6cdc8014827e2e069</t>
  </si>
  <si>
    <t>Beefing up CTS tests for CheckBox and RadioButton.
All constructors, set/get text and various ways to interact
with these widgets via API calls or emulated taps.
Change-Id: I44da005b1878e1b399c5c7126cfa14c1cd6c586f</t>
  </si>
  <si>
    <t>Beefing up CTS tests for ImageButton
Covering construstors, as well as default / runtime image
sources.
Change-Id: I6702684f501a8e774f8d7f93d6b118d9b154af3d</t>
  </si>
  <si>
    <t>Temporarily de-parameterize uirendering tests
bug:27747627
Change-Id: I41ad7f15434a4b96d3f8665d49ffab9c6e4a8f9e</t>
  </si>
  <si>
    <t>Fixed testAudioRestriction for managed profile owner.
Disabled testAudioRestriction for managed profile, because
DISALLOW_UNMUTE_MICROPHONE can only be set by device owners
and profile owners on the primary user. Added/enabled
tests for DISALLOW_ADJUST_VOLUME. Also added permission
to run AudioManager.setMicrophoneMute().
BUG:27743508
Change-Id: Ieb5aeb07fc352bd1de7b67c61a46b0198ba38237</t>
  </si>
  <si>
    <t>Moving failing testRemoteBugreportWithSingleUser test to CtsVerifier
Due to notification dismissal failures that mechanism has been removed
and the test has been replaced with a relevant test in CtsVerifier.
Bug: 27727880
Change-Id: I6712630e6019895d7064321bb39ea582ffba1720</t>
  </si>
  <si>
    <t>First (cleanup) pass for CTS tests on CheckedTextView
Convert as many tests as possible (those that don't test protected
methods) to run on the widgets in the activity.
Switch to lambdas everywhere
Cover constructors that get attr and style references
Clean up unused methods in MockCheckedTextView
Mark as @SmallTest
Change-Id: I18687ba57807c064ca80eab48bede325e940eed7</t>
  </si>
  <si>
    <t>Fix CTS testOrganizationInfo()
Bug: 28293489
Change-Id: I9afbb9ececc60f3401fa9380073efd373792eff2</t>
  </si>
  <si>
    <t>Revert "old-cts: Add support for testng runners and libcoreoj tests"
This reverts commit f995e9586cd0aa878e1e9a0bbb89971b69db0d65.
This topic has been reverted because it causes build flakiness and
bogus verification failures on most active changes.
Change-Id: I51298060e36b834f4b8b0a26186bdf82f2dee4a5</t>
  </si>
  <si>
    <t>Ensure that ListView uses #dispatch{Start,Finish}TemporaryDetach()
ListView may initiate temporary detach state when (re)layouting its
children.  This CL makes sure that the default implementation of
ListView uses View#dispatch{Start,Finish}TemporaryDetach() rather than
directly calling View#on{Start,Finish}TemporaryDetach().
Bug: 18920212
Bug: 27905921
Bug: 28006954
Change-Id: I716a0db8bb2dd5da3528215dd8899b23326082d8</t>
  </si>
  <si>
    <t>DND related audio service tests.
- Apps without dnd access cannot call adjuststeamvolume if that will
  change the ringer mode
- DND muted streams cannot be unmuted when DND total silence is enabled.
Fixes: 28406721
Bug: 27624414
Bug: 25395278
Change-Id: I049951e6b043b7410c238db37bae2e391eb10ad9</t>
  </si>
  <si>
    <t>CTS changes to match changing a11y gestures.
Bug: 28378216
Change-Id: I116679c1ac25354b0c41f2fdbfafeeda59e4e017</t>
  </si>
  <si>
    <t>CTS Test Metrics: Remove Details from result xml.
- Remove metrics details from result xml.
- Make summary optional for report logs.
- Fix result parsers.
- Fix unit tests.
Bug:28012209
Bug:27925818
Change-Id: I106fead0b4cde13cb8ce5a20b72eb654a0b8a7c6</t>
  </si>
  <si>
    <t>CoreTestRunner inclusion and exlusion filtering
bug:28407071
Change-Id: If4afce5fedf687bf9db02a820afbe96eacad19fa</t>
  </si>
  <si>
    <t>testAllBlockDevicesAreSecure: move to host side test
The testAllBlockDevicesAreSecure test is broken. Having
testAllBlockDevicesAreSecure as a device side test would require
granting permissions to the untrusted_app domain, which was
undesirable.
Move this test to host side and add permissions for shell to getattr
on block devices.
bug: 28306036
Change-Id: I36566e0b28b5c8ca69dc99a49e4cf9518b8323e2
Signed-off-by: William Roberts &lt;william.c.roberts@intel.com&gt;</t>
  </si>
  <si>
    <t>Remove CtsInputMethodTestCases until it becomes ready.
This test is not ready.  We must remove this until we are confident that
this test is working as expected.
Bug: 7542467
Bug: 28075399
Change-Id: I25367527894b25d02dba76c74376cfd84b0421eb</t>
  </si>
  <si>
    <t>Rename testFileContents to assertFileContents.
The test runner attempts to run testFileContents as a test
which results in a warning message surfaced as a CTS failure.
bug: 28503384
Change-Id: Ia691cc950536250a55897fb350db5b2d41a8d8ba</t>
  </si>
  <si>
    <t>DO NOT MERGE
StageFrightTest: add CTS test for sw mpeg2 security fix.
Bug: 26070014
Change-Id: Iec3ecdf71e394130d2b32a0694c60fdd50c07cfa</t>
  </si>
  <si>
    <t>Add runtime permissions CTS tests
In order to confirm the fix of b/28347872 we needed a CTS
test suite to make sure nothing is borken by the fix.
bug:28440521
Change-Id: I8e2bcd51287a38fec5794b007bcf64bbe8a807c3</t>
  </si>
  <si>
    <t>Cleanup pass for RelativeLayout CTS tests
* Convert everything to use lambdas on Instrumentation object
* Add asserts on getGravity after calls to change gravity
Change-Id: I4ca8f92e499375a23a951b1e7868a9f338a1ce5d</t>
  </si>
  <si>
    <t>Revert "This test case tries to decode a corrupt image file using BitmapFactory.decodeStream which causes Process crash on an unpatched device, thus failing the test."
This reverts commit fa6888bc1d53d2f041be010b0fbba089a9966226.
Change-Id: I914608e203869504ca487eb79dfc331e3d4b59cc</t>
  </si>
  <si>
    <t>Revert "This test verifies recursive decoding of malformed ICO file which should not lead to skia buffer overflow"
This reverts commit be5bc373a6117cfcc2efd691d7ed08f4e10290d2.
Change-Id: Icded8b337fa02d7fbd0061c0957a4f734a960562</t>
  </si>
  <si>
    <t>Remove device admins using dpm remove-active-admin
Make tests less flakey by using remove-active-admin
dpm command rather than relying on broadcast to admin
to clean up after tests.
Tidy up logging so its clearer what are failures
and what aren't.
Also start users when creating them.
Bug: 28027468
Bug: 28578782
Change-Id: I4729478976e84444e92216df8b723660354af775</t>
  </si>
  <si>
    <t>A11y CTS fixes for Fugu.
Moving magnification center in test away from the center of the
screen, which is the default. When it exactly matches the default,
setCenter returns false, which is not what the test expects.
Moving global actions into their own InstrumentationTestCase. A
couple of these tests were causing flakiness on following tests when,
for example, the HOME intent got fired while the next test was
setting up the activity. Rather than try to deal with the timing
issues, moving the tests into a class that won't try to set up
activities at all.
Skipping test for window divider for Android TV, which doesn't
implement split-screen window mode.
Skipping gesture dispatch tests for devices without touch screens.
Also added some waits for idle to the soft keyboard test. I believe
it was counting windows before its activity was ready and getting
confused.
Bug: 28450244
Change-Id: Ie09e5808350eae85670c7e2a0764732c579b5dfb</t>
  </si>
  <si>
    <t>Disble a CTS test not needed in N
The change that was tested by the test was moved
to master and the test should be disabled in N.
bug:28599506
Change-Id: Iec90b448c17438e8ee847bc706cbca62505009fd</t>
  </si>
  <si>
    <t>Use ActivityOptions.setLaunchStackId directly in DragAndDropTest
This hidden method now has @TestApi annotation.
Bug: 28506739
Change-Id: I2dc352a282f3249d7ad078c78c601150ddc8d9cc</t>
  </si>
  <si>
    <t>Fix missing patches in LoudnessEnhancerTest
The lollipop-mr1-cts-dev branch and internal m/nyc branches
  have diverged for LoudnessEnhancerTest. This patch
  restores missing updates:
- only run tests on devices with audio output (no need for
  a LoudnessEnhancer effect if the device has no audio output)
- restore the tests related to enabling the effect
- use the audio file "sine1khzm40db" which is 5s long
- fix test log tag
- replace useless sleep loop with a sleep of the same duration
Bug 28476380
Change-Id: Ie653f4e790d64a67adc81aa6013e873665440495</t>
  </si>
  <si>
    <t>Fix missing patches in LoudnessEnhancerTest
The lollipop-mr1-cts-dev branch has diverged from another dev branch,
  restore the missing updates.
In particular, make the measurements once the play position has
  started to advance.
Bug 28476380
Change-Id: Ic520e032c24e7a7ad03634a255d54bbde79c2c52</t>
  </si>
  <si>
    <t>Add tests for unused scrap views
This CL adds tests for layout cycles of unused scrap
views.
Bug: 28672259
Change-Id: I2ddc2bdd3e3e814b0b7acda25e046c6654e66b5e</t>
  </si>
  <si>
    <t>Remove BrowserBenchTest
Bug: 28655634
This is a performance test with a hardcoded timeout (1 hour). Webview
team does not have a use case for this test or resulting report.
Change-Id: I6f296772dc4a0b0a1026e9cac177fe987925c109</t>
  </si>
  <si>
    <t>Delete all ShortcutManager CTS
We've punted the API.
Bug 28704708
Change-Id: I18a567e67f99985bb77f0db5f561667fac790da3</t>
  </si>
  <si>
    <t>cts/media: Add cts test for VP9 Encoder
Change-Id: Ibead71fa19582a1e7568f862bcfed7594681cab2</t>
  </si>
  <si>
    <t>CompilationTest + corresponding app to (integration) test dex2oat compilation.
- This is a hostside test, i.e. it runs in a Java process on the host
  but instruments behavior of the (Android) client via adb commands.
- The test contains hard coded profile data which I collected by running
  the app manually on a Nexus 6P running Android N build 2834242.
- The test checks all four combinations of the "ref" and "cur" profiles
  being present / absent.
Tested:
  cts-tradefed run cts -m CtsCompilationTestCases
Bug: 27217443
Change-Id: Icfaf5db2ec102451109e2060dc2af2290716ed45</t>
  </si>
  <si>
    <t>Add tests for java.nio.channels.FileChannel lock methods
lock()
lock(long, long, boolean)
tryLock()
tryLock(long, long, boolean)
Bug: 27186422
(cherry-picked from commit 2eff57cc1164d20f8a748f8e752ebac021476167)
Change-Id: Ia2d67993d61116e83e636e9305e40932e79d2584</t>
  </si>
  <si>
    <t>Add tests for java.nio.channels.FileChannel lock methods
lock()
lock(long, long, boolean)
tryLock()
tryLock(long, long, boolean)
Bug: 27186422
Change-Id: Ia2d67993d61116e83e636e9305e40932e79d2584</t>
  </si>
  <si>
    <t>Add tests for java.nio.channels.FileChannel lock methods
lock()
lock(long, long, boolean)
tryLock()
tryLock(long, long, boolean)
Bug: 27186422
Change-Id: Ia2d67993d61116e83e636e9305e40932e79d2584
(cherry picked from commit d2273c475c9b659c8545de4ae5742bf18309d3d8)</t>
  </si>
  <si>
    <t>Added tests for idle apps and doze mode.
BUG: 28473659
BUG: 28521946
Change-Id: I4bc9166bf2050136fa86e374aac59f80afd76f1c</t>
  </si>
  <si>
    <t>Remove AudioPermissionTest
bug: 28770681
Change-Id: I314b4e8369ce7b5ba06fa3d498a4941304ec67d4</t>
  </si>
  <si>
    <t>Remove TextureView tests.
Removing the TextureView tests because GLView tests cover similar
aspects of the decoders, it also removes the dependency on the
screen.
b/28377691
Change-Id: Ia287e1cc9bb549755bc9bace2457c199c4a7d273</t>
  </si>
  <si>
    <t>DO NOT MERGE Rename PointerIcon and Pointer Capture APIs
This is a response to API council feedback.
Bug: 26830970
Change-Id: I89ddb114c4884840cef2e5f363e5f6990270a2c3</t>
  </si>
  <si>
    <t>DO NOT MERGE Remove Pointer Capture API.
Bug: 26830970
Change-Id: I936013f17867211f5360189ca8bb3439d41550fb</t>
  </si>
  <si>
    <t>Remove empty tests from KeyguardManagerTest
Change-Id: I54e706818918c78a8679c4862ef6963593bbae07</t>
  </si>
  <si>
    <t>CTS coverage: connectivity change, photo, + video
Confirming that connectivity change broadcasts can be received
when explicitly registering for them in N, and via the manifest
pre-N.
Confirming that new_photo and new_video broadcasts are not received.
Bug: 28122277
Change-Id: Icfc27364a41ee8f4a55920e295ba658a367bb7d2</t>
  </si>
  <si>
    <t>ActivityManagerTest ensure screen is on
bug: 28656428
Change-Id: Ie5ed187aed53038b2cfee63e9f3713fe35bb7c4f</t>
  </si>
  <si>
    <t>Tweaking FrameLayout CTS tests
* Switch to Mockito where relevant
* Switch to Instrumentation.runOnMainSync where relevant
* Add coverage for FrameLayout.getMeasureAllChildren
Change-Id: Ia1cac8962e1b7d668d24faf880db5cd6d917b024</t>
  </si>
  <si>
    <t>Skip (let it pass) rather than fail CompilationTest on 'user' builds.
CTS tests must pass on 'user' builds, but CompilationTest relies on
'adb root'. There is currently no way to test this without root.
I considered moving the test out of CTS, however there are currently
no usages of the ITestDevice tradefed API in tests outside of CTS.
Therefore, for now I'm just making the test exit early on unrooted
device.
Acquiring root is still a little dodgy, but at least we're now
reverting to the pre-test state afterwards. We're now also
unlinking the temporary apk file in tearDown().
Tested on both user and userdebug builds:
  make cts &amp;&amp; cts-tradefed run cts -m CtsCompilationTestCases
Bug: 27464570
Change-Id: Id4604d4427c7cf1cab31d27b91a5fe49173cad1b</t>
  </si>
  <si>
    <t>Clean up RatingBar CTS tests
* Use Mockito for rating listener
* All tests should run on currently displayed widget
* Add test for 4-arg constructor
Change-Id: I136103218d03f784b2a1ac7de7cd8b2bff7c36ca</t>
  </si>
  <si>
    <t>Clean up MultiAutoCompleteTextView CTS tests
* Use Mockito where relevant
* Test 3-args and 4-args constructors with relevant android.R values
* General cleanup
Change-Id: If24314dbbc164a97e6f901fb352254c8e7f97d89</t>
  </si>
  <si>
    <t>Revert "sustained perf: Adds a CTS test for Sustained Performance Mode"
This reverts commit 24e4936458d92528733f6692df9233e74e254e0c.
Change-Id: If64d14ba178548e56977d3c94177178ec7f395a7</t>
  </si>
  <si>
    <t>Suppress DeviceAndProfileOwnerTest.testPermissionPrompts()
Bug 28909500
Change-Id: Ib50ee2053a3617d1ff8158173c408864cfbf4c9b</t>
  </si>
  <si>
    <t>Revert "This test is to test the security vulnerability in qhwc::MDPCompLowRes::allocLayerPipes (Qualcomm) and"
This reverts commit e4166ed3aaa45932a0883e54abaf7cc9a76def9b
because the test case requires root permissions to run.
Signed-off-by: Utsav Singh &lt;utsavs@google.com&gt;</t>
  </si>
  <si>
    <t>DO NOT MERGE
This CTS will failed in pixel-C, refer to b/28986484.
So revert it. Only work for nyc, never merge into L, M
Revert "DO NOT MERGE This test is to test the security vulnerability in qhwc::MDPCompLowRes::allocLayerPipes (Qualcomm) and that remote rode execution vulnerabilities in Display Driver is fixed Bug #24163261"
This reverts commit ba7117b929c79f9ea9a10139f47f6191462ede4f.
Change-Id: I7e348fb2df74c62da2307357cdd702653a1f4d3c</t>
  </si>
  <si>
    <t>Disable CreateAndManageUserTest as it has issues on user build
Bug 29072728
Change-Id: If0bcacf45c2199968056d0ef0a3e50b95f35aa93</t>
  </si>
  <si>
    <t>Revert "Verify that installation of a large apk succeeds"
This reverts commit e7114fdc88400aad8480d376a6d95bc1924cd1fc.
Bug: 28808317
Change-Id: Ifbdcd2266ccdc6b20a65a6b4bcf7c860e58f82b7</t>
  </si>
  <si>
    <t>Integration test for bg-dexopt compilation
Since this test relies on adb root, it exits early (passes
without doing anything) when running on a 'user' build.
Tested:
On user, and userdebug with/without dalvik.vm.usejitprofiles:
  cts-tradefed run cts -m CtsCompilationTestCases
Bug: 27217443
Change-Id: I5991fd15ad74de95103c7bf8d8fadd835abc1fe9</t>
  </si>
  <si>
    <t>Disable CreateAndManageUser hostside tests
Remove Host side tests whose implementation where removed in ag/1097074
Bug 29072728
Change-Id: If26e3529aa254fef9a85d5836302dba6a347bc45</t>
  </si>
  <si>
    <t>Delete DragAndDropTest
This test has been replaced by a much more reliable host side test.
See CrossAppDragAndDropTests under cts/hostsidetests/services/windowmanager.
Bug: 28508640
Change-Id: Ib1c12d6c04458670055b298dd2092e1428c72048</t>
  </si>
  <si>
    <t>Rename PointerIcon and Pointer Capture APIs
This is a response to API council feedback.
Bug: 26830970
Change-Id: I16661a7cfbd5f2b30a71f3de553898287b0ffedd</t>
  </si>
  <si>
    <t>Revert "EncryptionTest: Run only for API level &gt;= 23"
This reverts commit ca80941a5f81ec8e035e94a379b486042ac00336.
Change-Id: I34b6b57c94b00912da150eb081b96dc8fc004bc5</t>
  </si>
  <si>
    <t>media: A add one more AVC test stream to test the color aspects.
Also refactor the code to combine both the tests of vendor and Google.
Bug:28961357
Change-Id: I32ccd391f74dbea9f7b152e0b6c22e2f4b883b8b</t>
  </si>
  <si>
    <t>Remove Pointer Capture API.
Bug: 26830970
Change-Id: I4246c52e6b426705859f4ae32d9f60c00dc29823</t>
  </si>
  <si>
    <t>media: fix NativeDecoderTest.testMuxer issues
- disable MPEG2 mux test as MediaMuxer does not support MPEG2
- fix HEVC test stream as MediaMuxer does not support streams with
  B-frames
- add comments to warn about lack of B-frame support
Bug: 29208170
Change-Id: I61c2a1171e35991310c3fafe7be60c34ac72ce56</t>
  </si>
  <si>
    <t>Add full tests for PdfRenderer.page#render with transformation.
Change-Id: Ib66da941bda3353d59172e9018e31d40fa7cfafd</t>
  </si>
  <si>
    <t>Revert "Add test for setting play time *after* start()'ed"
This reverts commit 44c8e95cf7ee3c4ea8c4b6b60bf14ce27bad75df.
Change-Id: I33a3c9dbe59da5c7e498c83610a5a66923922cb3</t>
  </si>
  <si>
    <t>Cleanup pass for ArrayAdapter CTS tests
Convert to use lambdas and Mockito where possible. Also use &lt;&gt;
where type inference is done for us.
Change-Id: I159341e64bcfd0275bd3b7b46f8e0ba0e8e5399f</t>
  </si>
  <si>
    <t>Clean up pass for ExpandableListView CTS tests
* Switch to lambdas and Mockito where relevant
* Run tests in ExpandableListViewTest on a widget that is displayed
on the screen
* Complete coverage (one missing constructor and two missing indicator
bounds APIs)
* General cleanup in classes that support various scenarios for
ExpandableListView testing
Change-Id: I9eb05a3ae45213894a10d6e386f02cfaf6316737</t>
  </si>
  <si>
    <t>Complete CTS for AdapterView
* Switch to lambdas and Mockito where relevant
* Add coverage for selection flows
Change-Id: I1317bfbc572e62e1ee0c9e26e438427ff339f08f</t>
  </si>
  <si>
    <t>Filter before sharding in ModuleRepo
Filtering before tests are sharded and converted to their own modules
requires us to pull all filtering logic out of IModuleDef, and apply it
directly to the IRemoteTest object before it is split and its options
are copied. This allows filtering to work properly in DeqpTestRunner
during sharded runs.
bug:29248833
Change-Id: I74355394efa447a6e6dcefc1d43bcefda7c5f206</t>
  </si>
  <si>
    <t>Remove VrSensorsTest as it is now obsolete.
Bug: 29253671
Change-Id: I9466db23861511e32f59ea1601e4c2fe9084be1a</t>
  </si>
  <si>
    <t>Complete CTS coverage for TimePicker
* Coverage for constructors that get attr / style references.
* Switch all relevant tests to run on a TimePicker that is part of
activity UI. Use Instrumentation to post UI updates.
* Switch to mockito where relevant.
Change-Id: I009cb1ff590da0aab2219c57bc89963b288a3709</t>
  </si>
  <si>
    <t>First pass for completing TextView CTS tests
* Clean up the activity layout, moving everything into a single
ScrollView instead of a weird nested LinearLayouts that declared
their height as match_parent and were never visible.
* Switch long-click test to use Mockito.
* Add coverage for attribute / style constructors.
* Add coverage for compound drawables relative API.
* Add coverage for compound paddings and total paddings.
Change-Id: Ibd76eec316824e0fd69c466698fe59a14d6a9a2e</t>
  </si>
  <si>
    <t>Second pass for completing TextView CTS tests
* Coverage for min/max height/width/lines/ems
* Convert to use Mockito for more precise tracking of listener /
factory callbacks
Change-Id: I62f4c19896c8253924475a61cf3d90f7ed7e6bd9</t>
  </si>
  <si>
    <t>CTS: Rename IC#inputContent to IC#commitContent.
Bug: 29450024
Change-Id: I5b844ad3ffa3410922cb5ded1465c0a26b992c86</t>
  </si>
  <si>
    <t>media: move getDecoderNames and getEncoderNames to MediaUtils
- use format instead of just mime to get codecs
- also fix color-aspects to use proper device log
- mark skipped encoder- and color-aspects tests
Bug: 28752802
Change-Id: I3f2b272447ffcd5677e317ef1aa98390915e44b1</t>
  </si>
  <si>
    <t>Ensure TrustedVoiceHostTest unlocks the device
bug: 29461260
Change-Id: Id88fbf7f63716772d8d71745d8e5980131acbcab</t>
  </si>
  <si>
    <t>media: update performance tests to be quasi-parameterized
Bug: 28752802
Change-Id: I4ad8ca460154682ad24559cc3d9210a67c676677</t>
  </si>
  <si>
    <t>media: update 640x360 hevc test files to 720x480 file
replace 360 files with one of proper bitrate.
remove unused files
use 480p file for basic testing as CDD requires level 3
support
Bug: 28752802
Change-Id: Id6a4014fe7823a24bcf62cb2c003591c35fefa5e</t>
  </si>
  <si>
    <t>media: update 1920x1080 hevc test file
replace 30fps file with 60fps file.
Bug: 28752802
Change-Id: I8eb5e45c63f0c98acd7c81909d7da6dd996c5ea2</t>
  </si>
  <si>
    <t>media: update 320x240 vp8 test file with 320x180 file
replace file with one of correct size and bitrate.
Bug: 28752802
Change-Id: I377aca62f7e0d5976bcbec44aa0d66a60f4fb7ad</t>
  </si>
  <si>
    <t>media: update 320x240 vp9 test file with 320x180 file
replace file with one of proper size an bitrate.
Bug: 28752802
Change-Id: Ib167cccbdd14947514ac42209b5100cd26ede5f8</t>
  </si>
  <si>
    <t>media: update 1920x1080 vp9 test file
replace 30fps file with 60fps one of proper bitrate
Bug: 28752802
Change-Id: Id99bc58fa01d8f3d5a75bb221bdec9dbdd732ba0</t>
  </si>
  <si>
    <t>Third pass for completing TextView CTS tests.
* Continue switching to lambdas where relevant
* Add timeout-aware method to PollingCheck
* Coverage for highlight color APIs
* Coverage for cursor visibility APIs
* Coverage for font feature settings APIs
* Workaround for proper coverage report of marquee APIs
* Coverage for show soft input APIs
Change-Id: I270944d95b760098f9d12f0c71d21b6c783ad024</t>
  </si>
  <si>
    <t>Polishing CTS tests for SeekBar
* Add coverage for style-based constructor
* Convert listener to mockito for more precise tracking
Change-Id: I7d971a3cb171b062c1bb4376f62cc7fa8d2fa23e</t>
  </si>
  <si>
    <t>Include CaCert hostside test in profile owner runs
Bug: 29384715
Change-Id: I3b684849898c8be3a70ff64a45e587cb25d06654</t>
  </si>
  <si>
    <t>Add test for Path#isConvex
fixes: 29520156
Also cleans up empty tests, and switches file to junit4
Change-Id: Iccb8ecd14b9fc064e8f2acacfc533a3b81f3fb0d</t>
  </si>
  <si>
    <t>Add test for Matrix#isAffine
fixes: 29518874
Also update to JUnit4.
Change-Id: I5f02f0864b572b2a13cce9f986f7b3bbda1cce2f</t>
  </si>
  <si>
    <t>Remove BrowserBenchTest
This is a performance test with a hardcoded timeout (1 hour). Webview
team does not have a use case for this test or resulting report.
Bug: 28655634, 28748719
Change-Id: I005a568287a921838ea53894cccbcf319fce1840</t>
  </si>
  <si>
    <t>Proper CTS coverage for ZoomButton's continued "clicking"
Bug: 29529304
Change-Id: I83ebad904f4165ecdb354be189cc541f6a368b0c</t>
  </si>
  <si>
    <t>Complete CTS coverage of GridView APIs
Also tweak a few existing tests to use lambdas and Mockito.
Bug: 29522540
Change-Id: Icf31fb8ade1955b2fe7243d4cd6c769788e45e37</t>
  </si>
  <si>
    <t>Completing CTS coverage of AbsSeekBar
* Switch everything to instrumentation and mockito (apart
from the inner class that exposes otherwise-protected methods)
* Work around CTS coverage limitation by calling relevant
API on the base AbsSeekBar class
* Switch tint testing to more precise tracking with Mockito
* Add coverage for split track APIs
Bug: 29533153
Change-Id: Ibbcf9be03d8367b3b1a230ed6a348b3168e817d2</t>
  </si>
  <si>
    <t>Update the intent string for the deletion helper intent.
Bug: 28675265
Change-Id: I4ae7476b73258c07bee9c3e1cbc60be6b97a3199</t>
  </si>
  <si>
    <t>CTS test for restoring ListView position in restoreInstanceState
Bug: 4948239
Change-Id: I0892ecd9661645b3780060d731ea221ac220912b</t>
  </si>
  <si>
    <t>Add tests for text related classes
Change-Id: I77df714cdfcb861a2e41f2ff89a4d18a05967ca9</t>
  </si>
  <si>
    <t>Test network is not blocked after always-on package is removed
It's a feature in first release in NYC.
Now test the feature by CTS in MR1.
1. test turning off always-on when vpn is uninstalled
2. test network lockdown after vpn app is force-stopped
3. test non-existing package and non-vpn app
small fix:
1. remove unused latch in testAlwaysOnVpn
2. close socket after sending icmp message
Bug: 29086237
Change-Id: I12eae11d5fbbd33c5159d8b2dd0fa34142ff5646</t>
  </si>
  <si>
    <t>Use Mockito to simplify CTS tests
Change-Id: Ib83f008dd3bb20d942aa72a7f14109906f28d0d8</t>
  </si>
  <si>
    <t>CTS: Replace deviceSerial with startTime as MetricsStore key.
Bug:2953947
Change-Id: I94bdf95c8f363962d6f5b437a862efab1433f408</t>
  </si>
  <si>
    <t>CTS coverage for Camera, NinePatch, PointF, Point, RectF
Bug: 29633330
Change-Id: I1e50afca2265c6cd5f4548a4a030ab57e23fc2ad</t>
  </si>
  <si>
    <t>CTS tests for SavedState classes
Bug: 29574629
Change-Id: Id3a8177736d812795a9511757cdece22148db201</t>
  </si>
  <si>
    <t>Add test for deprecated Scene constructor.
Bug 29570784
Change-Id: I81aa1592105976cd6f93d961c85883b4ba5032d4</t>
  </si>
  <si>
    <t>Convert AbsListView to Mockito
For more precise tracking of various scenarios that involve
listener callbacks
Change-Id: Ic9cd37e68d51a87c10f3d7e31b18c2ac0c7a5497</t>
  </si>
  <si>
    <t>Cleanup pass over CTS tests
* Switch to Mockito and lambdas across multiple test classes
* Bring TableLayoutTest layout params test in line with the
recent fix in TableLayout widget
Change-Id: I9412ee33ff03b79edf8b6c3a6d3b8e3d3f6b3c58</t>
  </si>
  <si>
    <t>Fix failing CTS test
This test started failing because it assumes that when interpolating
two colors, the animated color value should always in between the two
colors. See bug comment #3 for an example showing this is an incorrect
assumption.
BUG: 29642231
Change-Id: I571101146133deae6275090896bdd6ba4f24de75</t>
  </si>
  <si>
    <t>Revert "Add test for AnimatorListenerAdapter"
This reverts commit 18781f81bd0eed56e97abb7c49bed1caf1278720.
Change-Id: I3f148034251157bfd97c938b0f28023fca12ae79</t>
  </si>
  <si>
    <t>Complete CTS coverage for Chronometer
Change-Id: Id251ed3f16a06e4583c9851352fa91f520f6ef74</t>
  </si>
  <si>
    <t>First pass for completing CTS coverage of RemoteViews
Bug: 29805243
Change-Id: I81f79fa5d8bed3494df4731af0b4465d0b0a5e83</t>
  </si>
  <si>
    <t>Second pass for completing CTS coverage of RemoteViews
Refactor a few helper methods out of TextViewTest so that they
can be reused in RemoteViewsTest
Bug: 29805243
Change-Id: Iec4cc03d947ff57f8802a56721ab8a871003b2e3</t>
  </si>
  <si>
    <t>Add tests for app side print interface.
Change-Id: I0f14c6b21d150ad189e8f9a0d6701042edfd47f3</t>
  </si>
  <si>
    <t>Use mockito in FragmentReceiveResultTest
This makes the tests more simple and will make CTS coverage count
Bug: 29936932
Change-Id: I382b957a618a89dd46ea1eb93da9f3179efdaef5</t>
  </si>
  <si>
    <t>Add CTS tests for PdfDocument.
Change-Id: I199739cb15ea5da707b21f14274a205b748dd3ad</t>
  </si>
  <si>
    <t>Add tests for PrintedPdfDocument.
Change-Id: I7a2e7b5aec1a84a0ab41aa29f90b5aa5973d3e93</t>
  </si>
  <si>
    <t>Use mockito for android.text CTS tests
Bug: 29918997
Change-Id: I877294295a29e26836a64dabc354fbbe693f9524</t>
  </si>
  <si>
    <t>Adjust test to verify print document info after confirm.
Change-Id: I5cefd011fcbc3d2df85b9df84f94d11d9b43c692</t>
  </si>
  <si>
    <t>Add unit tests for legal print attributes.
Change-Id: If38354d8a74131674a2524d8c58ccacd059b452e</t>
  </si>
  <si>
    <t>Test PrinterDiscoverySession state/tracking checks
Also factor out more commonly used tools.
Change-Id: Iec4c36376a77f355c367750b6370f3becd045c80</t>
  </si>
  <si>
    <t>Final pass for completing CTS coverage for RemoteViews
* Convert all tests to use JUnit4 and ActivityTestRule.
* Convert all tests to operate on "remote" UI that is
added to our main activity.
* Switch from using Activity to using Context.
* Switch to using ExpectedException rule where relevant.
Bug: 29805243
Change-Id: I1a2b6a2295c6074fa11942e89c56250b7456330d</t>
  </si>
  <si>
    <t>Add Test for PrintService.getActivePrintJobs
Change-Id: Ied102796bb2858cef8d1fc8200c80f031569130b</t>
  </si>
  <si>
    <t>Reverting the fix for 112 in ECC as it doesnt apply for CTS R6.
Given expectedReturnCode is added in CTS 6.0_r5, isCDMA112 is not
needed anymore. isCDMA112 was added in CTS 5.1_r5 which was need
before expectedReturnCode.
Reverting CL 72490
b/19405227
Signed-off-by: Raj Mamadgi &lt;r.mamadgi@samsung.com&gt;</t>
  </si>
  <si>
    <t>First pass for completing AbsListView CTS tests
* Switch to JUnit4, ActivityTestRule and lambdas everywhere
* Remove useless methods
* Switch away from deprecated TouchUtils
* Mark tests with MediumTest / LargeTest
Bug: 29812971
Change-Id: I5e4731a30300069a84d8db93693ba5c506b2c55f</t>
  </si>
  <si>
    <t>Clean up print tests.
Change-Id: I9fa05a2845695f6c3f106822e9bedb9c3dff5424</t>
  </si>
  <si>
    <t>Car api review: CarAppContextManager renaming to CarAppFocusManager.
Changes include:
 - rename to CarAppFocusManager
Bug: 28886557
Change-Id: Iec1b1e1a87be0a2bfef603981805196c5220f6ae
(cherry picked from commit 1ef0aa2eac694d9d203ac077d065320a6113371b)</t>
  </si>
  <si>
    <t>FileSystemPermisionTest: Drop unused method
Since moving testAllCharacterDevicesAreSecure and
testAllBlockDevicesAreSecure, the private method
getAllInsecureDevicesInDirAndSubdir is no longer required.
Change-Id: Iff56d8a13f5b2863832b66c27e08d74ce9318869
Signed-off-by: William Roberts &lt;william.c.roberts@intel.com&gt;</t>
  </si>
  <si>
    <t>Convert android.widget tests to JUnit4
* Use new annotations for running the CTS tests with JUnit4
* Extract tests that should throw exceptions into their own methods
* Clean up incorrect assumptions on how ExpectedException
behaves (it exits the test after the expected exception is thrown,
and doesn't continue in that method)
Bug: 30196727
Change-Id: Ibc8d2669ee736a2aef85bcf0c38313e2515540f5</t>
  </si>
  <si>
    <t>Reorganize AM/WM host side tests.
Move AM and WM tests in to the same package for
easier sharing of utility code.
Change-Id: I17e2c6ab20497469943b28960f6bfc5e2de541ef</t>
  </si>
  <si>
    <t>CTS - add new api to send a key while holding another
* replaces the specific implementation for SHIFT+key in
  TimePickerTest with a new function in KeyEventUtil
* the new KeyEventUtil function can be used with any
  modifier key
* stops using instrumentation to send keys in TimePickerTest
  CTS
Bug: 30152462
Change-Id: I83c5d097bb0909c269eb0ff5147400bfd42b9923</t>
  </si>
  <si>
    <t>Remove TextViewTest.calculateTextWidth function
This CL uses removes TextViewTest.calculateTextWidth function and uses
Paint.measureText instead.
Bug: 30204354
Change-Id: I958216144a2aaedda38fe615f36aeda4c4fa7140</t>
  </si>
  <si>
    <t>Fifth pass for completing AbsListView CTS tests
* Move all scrolling tests to their own activity + test class
* Make them work on ListView with fixed height and rows with
fixed height
* Migrate existing two tests (canScroll and smoothScrollToPosition)
to use scroll state changes to detect the end of the scroll
(depends on the changes in the FW code)
* Add more tests for smoothScrollToPosition that traverse the
list down and up one row at a time
* Add tests for scrollListBy
* Add tests for all smoothScrollToPosition variants
* Test scenario that "stops" an ongoing smoothScrollToPosition in the
middle by an emulated tap
* Test scenarios that "stop" an ongoing smoothScrollToPosition in
the middle by an emulated fling
Bug: 30114090
Bug: 29812971
Change-Id: I87be88060320cd52f820659a6e3e9e9f0075cacc</t>
  </si>
  <si>
    <t>CTS - KeyEventUtil refactor
* renamed KeyEventUtil to CtsKeyEventUtil
* static-alized CtsKeyEventUtil (all methods take instrumentation
  as the first argument)
* replaced all occurances of 'new Runnable' with lambdas (in all
  touched files)
* removed BaseKeyListenerTest#sendAltDelete and used
  CtsKeyEventUtil#sendKeyWhileHoldingModifier instead
* added private constructors and made final both utils which only
  contain static methods
Bug: 30152462
Change-Id: I09e449b46d11bc53846cfe94cbb7d09bf22e2d3e</t>
  </si>
  <si>
    <t>More ShortcutManager CTS
Bug 29612099
Change-Id: Icb58e32920dbf3b13e1b28713f4cf47d01d4655c</t>
  </si>
  <si>
    <t>Pass #3 for converting widget CTS tests to JUnit4
* Use new annotations for running the CTS tests with JUnit4
* Extract tests that should throw exceptions into their own methods
* Switch to @UiThreadTest where possible
Bug: 30196727
Change-Id: I2a4b7126424aafbf2455a4bcb571f3f69bcedbfd</t>
  </si>
  <si>
    <t>Pass #2 for converting widget CTS tests to JUnit4
* Use new annotations for running the CTS tests with JUnit4
* Extract tests that should throw exceptions into their own methods
* Switch to @UiThreadTest where possible
* Convert EditTextTest to run tests on screen content where possible
* Use Mockito for testing text watchers on dialer filter
Bug: 30196727
Change-Id: I3c22cda4c09f28e8b1bb23d7e1749e622c33a5cf</t>
  </si>
  <si>
    <t>Pass #4 for converting widget CTS tests to JUnit4
* Use new annotations for running the CTS tests with JUnit4
* Extract tests that should throw exceptions into their own methods
* Switch to @UiThreadTest where possible
* Convert to run tests on screen where possible
* Move custom widget classes to be defined in their tests
Bug: 30196727
Change-Id: I48ffdb112fb936e4ed900fe36ffd9b75285ce416</t>
  </si>
  <si>
    <t>Pass #5 for converting widget CTS tests to JUnit4
* Use new annotations for running the CTS tests with JUnit4
* Extract tests that should throw exceptions into their own methods
* Switch to @UiThreadTest where possible
* Convert to run tests on screen where possible
Bug: 30196727
Change-Id: Id5f4c0a8956fccce639f7bfc662bedc64ef815c0</t>
  </si>
  <si>
    <t>Pass #6 for converting widget CTS tests to JUnit4
* Use new annotations for running the CTS tests with JUnit4
* Extract tests that should throw exceptions into their own methods
* Switch to @UiThreadTest where possible
* Convert to run tests on screen where possible
Bug: 30196727
Change-Id: Ief5849d78bda4790eac1df10e5ed712a5506e7a9</t>
  </si>
  <si>
    <t>Pass #7 for converting widget CTS tests to JUnit4
* Use new annotations for running the CTS tests with JUnit4
* Extract tests that should throw exceptions into their own methods
* Switch to @UiThreadTest where possible
* Convert to run tests on screen where possible
* Move custom widget classes to be defined in their tests
Bug: 30196727
Change-Id: I4ff1e85d758a7e030df619aa4ca941498c5e2fe0</t>
  </si>
  <si>
    <t>Remove WebView startup StrictMode CTS test and add NullWebView check
The WebView startup StrictMode test fails for Wear, and passes
incorrectly when run as part of a series of tests anyway so there is no
reason to keep it as is (if implemented correctly, or just run on its
own, it will fail for a non-wear device).
Also add NullWebView check to a WebView ServiceWorker test to early-out
if WebView is not available on the device.
Bug: 30119659
Change-Id: I2a60d02175c5085704285e570a93fe4dc00b57db</t>
  </si>
  <si>
    <t>Pass #9 for converting widget CTS tests to JUnit4
* Use new annotations for running the CTS tests with JUnit4
* Extract tests that should throw exceptions into their own methods
* Switch to @UiThreadTest where possible
* Convert to run tests on screen where possible
* Unify usage of android.R and android.widget.cts.R
* Cover additional cases of exception throwing in TabHost
Bug: 30196727
Bug: 30589663
Change-Id: I327663d7e327e9bd85b168d2e7bbf53b6a6284fd</t>
  </si>
  <si>
    <t>Populate not executed numbers in summary tag
Bug:30041679
Change-Id: I38ab1d1a16c46714a4223d316d26681f5b1dc43e</t>
  </si>
  <si>
    <t>Pass #10 for converting widget CTS tests to JUnit4
* Use the latest fixes to JUnit4 @UiThreadTest
* Convert the first batch of cursor adapter CTS tests to the new world
* Convert a couple of @Before methods to use @UiThreadTest
Bug: 30196727
Change-Id: Ie7dee0be5b6a11d5e449fa39877040bf8672064f</t>
  </si>
  <si>
    <t>Pass #8 for converting widget CTS tests to JUnit4
* Use new annotations for running the CTS tests with JUnit4
* Extract tests that should throw exceptions into their own methods
* Switch to @UiThreadTest where possible
* Convert to run tests on screen where possible
* Unify usage of android.R and android.widget.cts.R
Bug: 30196727
Change-Id: I3cf31e50557a9bb0e43b1913d4390ee00aa0479f</t>
  </si>
  <si>
    <t>Pass #11 for converting widget CTS tests to JUnit4
* Use new annotations for running the CTS tests with JUnit4
* Extract tests that should throw exceptions into their own methods
* Switch to @UiThreadTest where possible
* Convert to run tests on screen where possible
Bug: 30196727
Change-Id: I7abcdcb4ffeb2a8491130a9f31493e3eba7bcb7a</t>
  </si>
  <si>
    <t>Custom verification mode to address common async scenarios
Change-Id: Ibd2dc086ce1c39e3886aebafe0b141ae379f5984</t>
  </si>
  <si>
    <t>CTS - introduce tests for spinner TimePicker keyboard entry
TimePicker spinner mode tests for both 24h and AM/PM views.
Bug: 26187903
Change-Id: Iffc5974f2ab9af58dea16f088a0f44426bd77204</t>
  </si>
  <si>
    <t>Pass #12 for converting widget CTS tests to JUnit4
* Cleanup pass over earlier iterations for consistent style
* Switch to @UiThreadTest where possible in @Before setups
* Convert to run tests on screen where possible
* Remove unused code and layout
Bug: 30196727
Change-Id: I2364c23931467d1aedca7a8acc550528f1dc1125</t>
  </si>
  <si>
    <t>Pass #13 for converting widget CTS tests to JUnit4
* Use new annotations for running the CTS tests with JUnit4
* Extract tests that should throw exceptions into their own methods
* Switch to @UiThreadTest where possible
* Convert to run tests on screen where possible
Bug: 30196727
Change-Id: I4da5e8a1341a0effbd04ad2bfe4b08c72de04c42</t>
  </si>
  <si>
    <t>Pass #14 for converting widget CTS tests to JUnit4
* Use new annotations for running the CTS tests with JUnit4
* Extract tests that should throw exceptions into their own methods
* Switch to @UiThreadTest where possible
* Convert to run tests on screen where possible
Bug: 30196727
Change-Id: I709b1001d35909c2525a437dc20b8869afe029dc</t>
  </si>
  <si>
    <t>Revert "CTS: check cpu currents are initialized in the device tree."
This reverts commit cee310c8de5f376e34627551f74e0f39709df5bc.
BatteryStats no longer depends on the kernel computation of the CPU
power. This test can hence be removed.
Bug: 30596283
Change-Id: Ie183fc55a9f4a168f485158f44267dae66d1f7ca
Signed-off-by: Ruchi Kandoi &lt;kandoiruchi@google.com&gt;</t>
  </si>
  <si>
    <t>Pass #15 (last!) for converting widget CTS tests to JUnit4
* Use new annotations for running the CTS tests with JUnit4
* Extract tests that should throw exceptions into their own methods
* Switch to @UiThreadTest where possible
* Convert to run tests on screen where possible
Bug: 30196727
Change-Id: I6196323f58935c67516486ef92aa52cde7dc9842</t>
  </si>
  <si>
    <t>Pass #2 for bringing android.view CTS tests into the new world
* Use Java 8 features (lambdas, method references, diamonds)
* Use JUnit4 (@RunWith, @Before, @Test)
* Use the latest test harness (@ActivityTestRule, size annotations)
* Use Mockito for tracking invocation of listeners / helper objects
Bug: 30695817
Change-Id: I2b55c3814ac4bb1607eca7675bf7af75f56f57f1</t>
  </si>
  <si>
    <t>Pass #16 (last-last!) for converting widget CTS tests to JUnit4
* Use new annotations for running the CTS tests with JUnit4
* Switch to @UiThreadTest where possible
* Convert to run tests on screen where possible
Bug: 30196727
Change-Id: I8a7223279b500a04df81d40b8aadf9a58188b270</t>
  </si>
  <si>
    <t>Pass #1 for bringing android.view CTS tests into the new world
* Use Java 8 features (lambdas, method references, diamonds)
* Use JUnit4 (@RunWith, @Before, @Test)
* Use the latest test harness (@ActivityTestRule, size annotations)
Bug: 30695817
Change-Id: Ic502fef5b86b71d95ff0420803196d825d4f09bb</t>
  </si>
  <si>
    <t>Pass #5 for bringing android.view CTS tests into the new world
* Use Java 8 features (lambdas, method references, diamonds)
* Use JUnit4 (@RunWith, @Before, @Test)
* Use the latest test harness (@ActivityTestRule, size annotations)
* Use Mockito for tracking callbacks
Also removed duplicated tests in ViewTreeObserverTest
Bug: 30695817
Change-Id: Ib0b952a833a795546b822d1521c4cb53dd43c709</t>
  </si>
  <si>
    <t>Pass #3 for bringing android.view CTS tests into the new world
* Use Java 8 features (lambdas, method references, diamonds)
* Use JUnit4 (@RunWith, @Before, @Test)
* Use the latest test harness (@ActivityTestRule, size annotations)
* Use Mockito for tracking callbacks
Bug: 30695817
Change-Id: Iba1ebdbc1812bf57a3aaf396139b896ea309dfea</t>
  </si>
  <si>
    <t>Pass #7 for bringing android.view CTS tests into the new world
* Use Java 8 features (lambdas, method references, diamonds)
* Use JUnit4 (@RunWith, @Before, @Test)
* Use the latest test harness (@ActivityTestRule, size annotations)
* Switch to @UiThreadTest where possible
Bug: 30695817
Change-Id: I48566b89e5dec0ec555e596ea673470f5244c5c8</t>
  </si>
  <si>
    <t>Pass #6 for bringing android.view CTS tests into the new world
* Use Java 8 features (lambdas, method references, diamonds)
* Use JUnit4 (@RunWith, @Before, @Test)
* Use the latest test harness (@ActivityTestRule, size annotations)
* Use Mockito for tracking callbacks
Bug: 30695817
Change-Id: I5570a18759452c12d942e52d3a30958ddc274463</t>
  </si>
  <si>
    <t>Revert "DO NOT MERGE: CTS test case for CVE-2015-1530"
This reverts commit 9dfbc395958780704bd8f65e7bd8cdc635033d04.
Change-Id: I798362a125ba6a87e07de9a9a277717d59d5f5cc</t>
  </si>
  <si>
    <t>Pass #8 for bringing android.view CTS tests into the new world
* Use Java 8 features (lambdas, method references, diamonds)
* Use JUnit4 (@RunWith, @Before, @Test)
* Use the latest test harness (@ActivityTestRule, size annotations)
* Use Mockito for tracking callbacks
Bug: 30695817
Change-Id: I8daa6c852e2a59033a0d0ab76c2a1c8ec7c44c99</t>
  </si>
  <si>
    <t>Add CTS test cases for MediaRouter
This CL adds CTS test cases for:
 - MediaRouter.UserRouteInfo
 - MediaRouter.GetRouteAt()
Bug: 21448861
Change-Id: I86de37c067f424e11e1de443253158bd798c65d3</t>
  </si>
  <si>
    <t>Fix false alarm zero GPS measurement CTS failure
Android was updated to allow GnssMeasurementEvent's with
zero valid measurements (and just a clock.)
This CTS Verifier update now allows this.
Improved flakiness of GnssMeasurementRegistration status
check.
Also improved some test timeouts (restoring per test times),
output text, and variable names.
Bug: 30391885
Change-Id: I82661f06070faacadf069e1857be160405b6f55a</t>
  </si>
  <si>
    <t>Pass #4 for bringing android.view CTS tests into the new world
* Use Java 8 features (lambdas, method references, diamonds)
* Use JUnit4 (@RunWith, @Before, @Test)
* Use the latest test harness (@ActivityTestRule, size annotations)
* Use Mockito for tracking callbacks
Bug: 30695817
Bug: 30764621
Change-Id: I24404ff09ba54f6287510b83bb121c7019a89777</t>
  </si>
  <si>
    <t>Pass #9 for bringing android.view CTS tests into the new world
* Use Java 8 features (lambdas, method references, diamonds)
* Use JUnit4 (@RunWith, @Before, @Test)
* Use the latest test harness (@ActivityTestRule, size annotations)
* Use Mockito for tracking callbacks
Bug: 30695817
Change-Id: I002d7d49d6acf76c513d0e285aa5a1ef6581d0f7</t>
  </si>
  <si>
    <t>Pass #10 for bringing android.view CTS tests into the new world
* Use Java 8 features (lambdas, method references, diamonds)
* Use JUnit4 (@RunWith, @Before, @Test)
* Use the latest test harness (@ActivityTestRule, size annotations)
* Use Mockito for tracking callbacks
Also refactors tests that use GL views to configure the GL renderer
and additional things properly during activity's onCreate() without
the need to set them statically on the activity class. The old
approach doesn't work with JUnit4 and @ActivityTestRule any more.
Bug: 30695817
Change-Id: I332dd686c94dbf3c68eb8b94cc216c42d048c1f6</t>
  </si>
  <si>
    <t>Bring animation CTS tests into the new world
* Use Java 8 features (lambdas, method references, diamonds)
* Use JUnit4 (@RunWith, @Before, @Test)
* Use the latest test harness (@ActivityTestRule, size annotations)
* Use Mockito for tracking callbacks
* Switch from CountDownLatch to within() where possible
* Consistent comparison of floats with epsilon error margins
* Clean up the manifest file a bit
Bug: 30805420
Change-Id: I2abed0e29fc6d4ff86133ae03c81bf4d99463470</t>
  </si>
  <si>
    <t>Pass #11 for bringing android.view CTS tests into the new world
* Use Java 8 features (lambdas, method references, diamonds)
* Use JUnit4 (@RunWith, @Before, @Test)
* Use the latest test harness (@ActivityTestRule, size annotations)
* Use Mockito for tracking callbacks
Bug: 30695817
Change-Id: Icfac89a7132a4d6ec52b6b382687a70652e80b7e</t>
  </si>
  <si>
    <t>Pass #13 (last!) for bringing android.view CTS tests into the new world
* Use Java 8 features (lambdas, method references, diamonds)
* Use JUnit4 (@RunWith, @Before, @Test)
* Use the latest test harness (@ActivityTestRule, size annotations)
* Use Mockito for tracking callbacks
Bug: 30695817
Change-Id: I0bab5697004221438044cd1e67ded830eefa1165</t>
  </si>
  <si>
    <t>Pass #12 for bringing android.view CTS tests into the new world
* Use Java 8 features (lambdas, method references, diamonds)
* Use JUnit4 (@RunWith, @Before, @Test)
* Use the latest test harness (@ActivityTestRule, size annotations)
* Use Mockito for tracking callbacks
Bug: 30695817
Change-Id: Ic56178386eb0955d24ed341f2a7a64663af4cdf1</t>
  </si>
  <si>
    <t>CTS - for fixed ClickableSpans always triggerring on touch up
* break up the touch emulation code into small reusable
  pieces
* fix the downTime (use one value) in all CtsTouchUtils
  to reduce device flakiness
* slight refactor of the emulateTapOnScreen to use
  UiAutomation for injecting move events (without
  this the function would have triggered DOWN,
  SWIPE and FLING instead on onSingleTapConfirmed()
  on the GestureDetector)
* introduce new emulation util for dragging between a
  list of points (refactored and reused the current
  logic which drags from a starting point with an offset)
* rename emulateLongClick to emulateLongPress
* introduces and uses an emulateLongPress with offsets
* introduces tests which verify the onClick() behavior on
  ClickableSpans
* due to introducing GestureDetector all tests need to
  create a new instance of TextView on the UI Thread
* modified/fixed and re-testes all tests which instantiate
  a TextView
* a lot of variable renames to sanitize this util (make it
  readable)
Bug: 23692690
Change-Id: I246883941806cb1f85d2af9d5bc892a84c7a0cee</t>
  </si>
  <si>
    <t>Delete invalid test
AnimatorSetTest.testSetSynchronized() depends on invalid assumptions
that elapsed time and animation start/end events should be synchronized.
Issue #30807009 Failed test in android.animation.cts
Change-Id: I56f7a62c5efe48f9c5288aef074757708df77f06</t>
  </si>
  <si>
    <t>Fixing issues with CTS tests
* Switch all ViewGroupTest methods to run on the UI thread
as they create and manipulate containers and views.
* Switch all lock objects to be final.
* Replace usage of notify / wait. One is replaced with a simpler
CountDownLatch - which is also consistent across other places.
The other is replaced with a mocked listener and a simple sleep
to verify that an infinite animation doesn't call listener end
event within a predetermined interval of time.
* Use a simpler way to compare actual and expected drawable states.
Bug: 30891915
Bug: 30897973
Change-Id: I478be1f408b773c2bc3c99fb99add7bb440aff11</t>
  </si>
  <si>
    <t>Tests Scoped Access Directory 'do not ask again' is cleared when package
is removed.
BUG: 30900628
Change-Id: If48a1e3e519665e7b066eca628d1280f7292d63c</t>
  </si>
  <si>
    <t>Tests Scoped Access Directory 'do not ask again' is cleared when package
is removed.
BUG: 30900628
Change-Id: If48a1e3e519665e7b066eca628d1280f7292d63c
(cherry picked from commit b23b2283696a9be0c6add4231ba1c928ec36f999)</t>
  </si>
  <si>
    <t>Bring transition CTS tests into the new world
* Use Java 8 features (lambdas, method references, diamonds)
* Use JUnit4 (@RunWith, @Before, @Test)
* Use the latest test harness (@ActivityTestRule, size annotations)
* Use Mockito for tracking callbacks
* Consistent comparison of floats with epsilon error margins
Bug: 30912678
Change-Id: I61ad373f9cbd8578866a74c8f697423403a6c5d4</t>
  </si>
  <si>
    <t>Moderize + speed up print CTS tests.
Change-Id: I5c09e7a9948fb37f09d2240f905f67ec9b69837d</t>
  </si>
  <si>
    <t>Switch from CountDownLatch to Mockito
Bug: 30912678
Change-Id: Ic1b74735fdb7aeafe8d86431c518a0e657ecc892</t>
  </si>
  <si>
    <t>ExifInterface: Modify test cases for ExifInterfaceTest
Add test cases to CTS for JPEG, ARW, CR2, RAF, NEF, NRW, ORF, RW2, PEF,
and SRW file formats. Also remove code and file for checking
AssetInputStream
Bug: 30934658
Change-Id: I41c1180900b22e2e282d68bc6028083e068e80f0</t>
  </si>
  <si>
    <t>Bring util CTS tests into the new world
* Use Java 8 features (lambdas, method references, diamonds)
* Use JUnit4 (@RunWith, @Before, @Test)
* Use the latest test harness (@ActivityTestRule, size annotations)
* Use Mockito for tracking callbacks
* Consistent comparison of floats with epsilon error margins
Bug: 30912478
Change-Id: Id530394df9cf0a8b542252c36d2fc28688852bb1</t>
  </si>
  <si>
    <t>Update shortcut CTS
Bug 29612099
Change-Id: I4d7029f2faa780c4bafcd4d0de69998675e19149</t>
  </si>
  <si>
    <t>Bring text CTS tests into the new world - pass #1
* Use Java 8 features (lambdas, method references, diamonds)
* Use JUnit4 (@RunWith, @Before, @Test)
* Use the latest test harness (@ActivityTestRule, size annotations)
Bug: 30912379
Change-Id: Ice46fd9843a72e2e065540b9f25731835b5fa4fb</t>
  </si>
  <si>
    <t>Bring text CTS tests into the new world - pass #3
* Use Java 8 features (lambdas, method references, diamonds)
* Use JUnit4 (@RunWith, @Before, @Test)
* Use the latest test harness (@ActivityTestRule, size annotations)
* Use Mockito
Bug: 30912379
Change-Id: I2816fc0f4c94f8ab612c9a18ac77e572ab8bd83b</t>
  </si>
  <si>
    <t>Bring text CTS tests into the new world - pass #2
* Use Java 8 features (lambdas, method references, diamonds)
* Use JUnit4 (@RunWith, @Before, @Test)
* Use the latest test harness (@ActivityTestRule, size annotations)
* Use Mockito
Bug: 30912379
Change-Id: I074c6b158c55a75dd0e38a725662a3368a60ca59</t>
  </si>
  <si>
    <t>Bring text CTS tests into the new world - pass #4
* Use Java 8 features (lambdas, method references, diamonds)
* Use JUnit4 (@RunWith, @Before, @Test)
* Use the latest test harness (@ActivityTestRule, size annotations)
* Consistent comparison of floats with epsilon error margins
Bug: 30912379
Change-Id: Ia3aa31c11a3b6849b3e57fb4f7c40b7629030b04</t>
  </si>
  <si>
    <t>Bring text CTS tests into the new world - pass #6
* Use Java 8 features (lambdas, method references, diamonds)
* Use JUnit4 (@RunWith, @Before, @Test)
* Use the latest test harness (@ActivityTestRule, size annotations)
* Consistent comparison of floats with epsilon error margins
Bug: 30912379
Change-Id: Id5b762b1f0a5c53e2f3bf2d96b7f8ac6f565f8bc</t>
  </si>
  <si>
    <t>Make CTS tests parameterized for AVD
- Added 1 parameterized test to verify that AVD is animating on
  different layer types by taking screenshots and comparing them
- Converted 2 other AVD tests to parameterized tests as the
  parameter here (i.e. view's layer type) is relavant to the tests
- Converted anonymous inner classes to lambda
- Converted all the AVD cts tests to use JUnit4
Change-Id: I1bf086c934adeeeff671f05cf2735b4921f4b3c2</t>
  </si>
  <si>
    <t>Convert the last text.cts test to use the new setup
Bug: 31013350
Bug: 30912379
Change-Id: I19e854caf639bc7e470dadf9d7f532bf5f1c8cd4</t>
  </si>
  <si>
    <t>Pass #1 for converting graphics CTS tests to the new world
* Use Java 8 features (lambdas, method references, diamonds)
* Use JUnit4 (@RunWith, @Before, @Test)
* Use the latest test harness (@ActivityTestRule, size annotations)
Bug: 30912825
Change-Id: I793f547f14b7dda3ee6fc6edc58a124cdafdd157</t>
  </si>
  <si>
    <t>Pass #2 for converting graphics CTS tests to the new world
* Use Java 8 features (lambdas, method references, diamonds)
* Use JUnit4 (@RunWith, @Before, @Test)
* Use the latest test harness (@ActivityTestRule, size annotations)
Bug: 30912825
Change-Id: I518cbd76ffb77c7987dbf8fc1e788542a8883382</t>
  </si>
  <si>
    <t>Pass #3 for converting graphics CTS tests to the new world
* Use Java 8 features (lambdas, method references, diamonds)
* Use JUnit4 (@RunWith, @Before, @Test)
* Use the latest test harness (@ActivityTestRule, size annotations)
* Use Mockito to mock listeners
Bug: 30912825
Change-Id: Ibf347af58b9626a3d3cee2062b5c7543b0c6e920</t>
  </si>
  <si>
    <t>Backporting shortcut manager CTS to mr1
Bug 29612099
Change-Id: I620c7190b17c4ff9abd9f20f06ac0ab3d9cb7c3a</t>
  </si>
  <si>
    <t>CTS - TextView constructor on/off UiThread
Specifically test for TestView construction on and
respectively off the UiThread.
Bug: 30929474
Change-Id: I5f9b037bdf61db80219789eedf4fe05a327ae499</t>
  </si>
  <si>
    <t>Pass #4 for converting graphics CTS tests to the new world
* Use Java 8 features (lambdas, method references, diamonds)
* Use JUnit4 (@RunWith, @Before, @Test)
* Use the latest test harness (@ActivityTestRule, size annotations)
* Use Mockito to mock listeners
Bug: 30912825
Change-Id: I92297f56fdcc43835e718e284e00bec702a5927a</t>
  </si>
  <si>
    <t>Pass #6 for converting graphics CTS tests to the new world
* Use Java 8 features (lambdas, method references, diamonds)
* Use JUnit4 (@RunWith, @Before, @Test)
* Use the latest test harness (@ActivityTestRule, size annotations)
* Use Mockito to mock listeners
Bug: 30912825
Change-Id: I1d4a3ab8cf3b9a24bcb5cc30f3f2221c02df2b50</t>
  </si>
  <si>
    <t>Pass #7 for converting graphics CTS tests to the new world
* Use Java 8 features (lambdas, method references, diamonds)
* Use JUnit4 (@RunWith, @Before, @Test)
* Use the latest test harness (@ActivityTestRule, size annotations)
* Use Mockito to mock listeners
Bug: 30912825
Change-Id: I637d6d85504d9b4686376bbeb7946c4f18b40036</t>
  </si>
  <si>
    <t>Pass #8 for converting graphics CTS tests to the new world
* Use Java 8 features (lambdas, method references, diamonds)
* Use JUnit4 (@RunWith, @Before, @Test)
* Use the latest test harness (@ActivityTestRule, size annotations)
Bug: 30912825
Change-Id: I9036818dc59287a44d8df00d4e0878c9fb6fe547</t>
  </si>
  <si>
    <t>Backport shortcut manager CTS to DR
Bug 29612099
Bug 31033599
Change-Id: I74be3588387ff0ae952cb912d946ce6d62936f0f</t>
  </si>
  <si>
    <t>Pass #5 for converting graphics CTS tests to the new world
* Use Java 8 features (lambdas, method references, diamonds)
* Use JUnit4 (@RunWith, @Before, @Test)
* Use the latest test harness (@ActivityTestRule, size annotations)
* Use Mockito to mock listeners
Bug: 30912825
Change-Id: Ic4b0d57c722744cbdc8ac9a6b50c78eb88827956</t>
  </si>
  <si>
    <t>Pass #10 for converting graphics CTS tests to the new world
* Use Java 8 features (lambdas, method references, diamonds)
* Use JUnit4 (@RunWith, @Before, @Test)
* Use the latest test harness (@ActivityTestRule, size annotations)
Bug: 30912825
Change-Id: Ieb66530a9115fa1225c743e00d79d7b16ec15e66</t>
  </si>
  <si>
    <t>Pass #9 for converting graphics CTS tests to the new world
* Use Java 8 features (lambdas, method references, diamonds)
* Use JUnit4 (@RunWith, @Before, @Test)
* Use the latest test harness (@ActivityTestRule, size annotations)
Bug: 30912825
Change-Id: I10f3474682fe28dec1ee4e56983846edcd3c7219</t>
  </si>
  <si>
    <t>Pass #11 for converting graphics CTS tests to the new world
* Use Java 8 features (lambdas, method references, diamonds)
* Use JUnit4 (@RunWith, @Before, @Test)
* Use the latest test harness (@ActivityTestRule, size annotations)
Bug: 30912825
Change-Id: Ie8c464b3630ad86b62633a962962bf86bb0b70d8</t>
  </si>
  <si>
    <t>Pass #12 for converting graphics CTS tests to the new world
* Use Java 8 features (lambdas, method references, diamonds)
* Use JUnit4 (@RunWith, @Before, @Test)
* Use the latest test harness (@ActivityTestRule, size annotations)
Bug: 30912825
Change-Id: I7db48936b17b1896459c1a9962583e9b0d08e7be</t>
  </si>
  <si>
    <t>Pass #13 for converting graphics CTS tests to the new world
* Use Java 8 features (lambdas, method references, diamonds)
* Use JUnit4 (@RunWith, @Before, @Test)
* Use the latest test harness (@ActivityTestRule, size annotations)
Bug: 30912825
Change-Id: I682b521309e15f528edc3f6a0c0449e693be51d8</t>
  </si>
  <si>
    <t>Pass #14 for converting graphics CTS tests to the new world
* Use Java 8 features (lambdas, method references, diamonds)
* Use JUnit4 (@RunWith, @Before, @Test)
* Use the latest test harness (@ActivityTestRule, size annotations)
Bug: 30912825
Change-Id: Ie5cae295012ab51f5eea0d7366874d4f3380fecb</t>
  </si>
  <si>
    <t>Implement correct not executed test counts
bug:30960276
bug:30646814
bug:30018867
bug:30041679
Change-Id: I8ef7c6c6f99386d97ca7da74c19929ff6fd35e64</t>
  </si>
  <si>
    <t>Convert graphics2 / TextureView CTS to the new world
Convert to JUnit4
Change-Id: I55f809277767ca8e917f324c96bfcee10af20075</t>
  </si>
  <si>
    <t>Detect when an invalid intent is referenced
bug: 29399817
Change-Id: Ic3b06dc84b0807222dd9871b2377514d9e962e70</t>
  </si>
  <si>
    <t>CoreTestRunner: Remove support for skipping execution of tests
Following on from previous changes in this bug which remove the
need for Runner implementations to explicitly support a
'skip test execution' mode this removes explicit support for it
from the TestNgRunner and related classes.
Bug: 30801147
Test: run cts modules CtsLibcoreTestCases CtsLibcoreOjTestCases
Change-Id: I16538c39714331358d1f57a8eb036440f7c9e089</t>
  </si>
  <si>
    <t>Add CTS tests for srcRect
Change-Id: I44d51245d6a2b177a0460c3a431d08271e3c7c46</t>
  </si>
  <si>
    <t>Replace renamed methods in MediaSession/MediaController CTS tests
This CL changes MediaSession/MediaController test cases due to the
renaming of media APIs which are related to shuffle mode.
Change-Id: Ibc18ae52fde30a70a4b90d201f657a5485984e0a</t>
  </si>
  <si>
    <t>First pass for completing CTS coverage of MotionEvent
* Unifiying separate smaller methods to test the current and
historical data on motion events into a collection of utility
methods that test all data aspects with a variety of APIs
(specific getters as well as axis-based generic getters)
* Adding coverage for current and historical data APIs for
events with multiple pointers
This CL adds coverage for 30 methods that were not previously
covered in CTS
Bug: 31441257
Change-Id: Ic628e034a819cb31c552ead41482a364476891b0</t>
  </si>
  <si>
    <t>Add creation of subplans from console
Also change name of "plans" from ag/1327442 to be "subplans"
bug:28271797
Change-Id: I4b9aebb508665a2b2be439cb3b70a45b0fc6b3d8</t>
  </si>
  <si>
    <t>Second pass for completing CTS coverage of MotionEvent
* Coverage for various obtain() methods
* Coverage for static actionToString, axisToString and axisFromString
* Coverage for getActionButton
Bug: 31441257
Change-Id: Ib0b565aec2591b557d43c895cd49f2ccc3872e22</t>
  </si>
  <si>
    <t>Use tradefed AbiUtils
Bug: 31234712
Change-Id: I8803accae69a9fe8609acfe58f0a191b5c56b7c6</t>
  </si>
  <si>
    <t>Revert "Manually merge commit 'd3d4725f08ac2f27368cda123e87751231c9bd14' into nyc-dev"
This reverts commit 1192f209d52a9efd25d56a72a4805b61df9f3b24.
Change-Id: If8862e289eb6693650713ff819c8b05f65cdeda5</t>
  </si>
  <si>
    <t>Revert "DO NOT MERGE security: Test mediaserver crash against an invalid MIDI file"
This reverts commit 08f6f87be64b34933c41e51cee5dfb0db2fc39af.
Bug: 31513597
Change-Id: Iaf1ff48341ac0dc88c863a57d7cedc86f11294c0</t>
  </si>
  <si>
    <t>DO NOT MERGE ANYWHERE Actually fix cts in nyc-dev-plus-aosp
I did this manually first, but came up with a much better way that
produced a slightly better result (verified the diffs against the next
branch). Sequence of commands:
 # Checkout the last good commit (right before the first bad merge)
 git checkout 59ae2061d0c24e8c8c81f0106c94046644221f41^
 # Reset the HEAD pointer to the last bad merge, but not the worktree
 git reset 3c197891b50d9ac5e5016f55551b6dff82f62f33
 # Update the index
 git add -A
 # Apply all the changes that mattered between the above to commits
 git cherry-pick -n 29cb19b774b6e0cb73851feb6877da5e42bba78e
 git cherry-pick -n 0e9d107fcfbd3421b7988a4252a9965896019aba
 git cherry-pick -n f19496887beb974c3bc9df9a57f6214a696417b1
 git cherry-pick -n 939e2b253b798386ce53954626fd8044ecb18db6
 git cherry-pick -n 02f07b5d5994b8345ebc86546e5f66524ac04dac
 # Commit the changes
 git commit
 # Rebase the diffs on top of the latest nyc-dev-plus-aosp, since some
 # changes have been manually applied, there will be a few merge
 # conflicts
 git rebase goog/nyc-dev-plus-aosp
All the SHA-1s above were discovered using a combination of this command
to find the changes actually submitted into nyc-dev-plus-aosp itself:
  git log --oneline --first-parent goog/nyc-dev-plus-aosp
and then to find the original commits (that weren't marked as DO NOT
MERGE ANYWHERE):
  git log --oneline --no-merges --stat 59ae206..goog/nyc-dev-plus-aosp
Change-Id: Iec12619678cb8d011d2c6df26a34ce26e042b854</t>
  </si>
  <si>
    <t>Adding log / workaround for flaky testScreenCaptureDisabled test
1. We did add log previously, but we dump the log before
   starting the activity. Break down the test into multi steps so that
   we can now dump the log right after the activity is started.
   And We also dump activity now.
2. The package will be restarted when its instrumentation is ran, that
   means the activity launched will be killed when the test to verify
   capiblity of taking screenshot. Removed ScreenCaptureDisabledActivity
   and reuse SimpleActivity in CtsSimpleApp package instead.
3. Also, try to give another shot after 5 second if the screen
   capture still working. This can check whether the flakiness is
   caused by insufficient delay.
Bug: 31509470
Change-Id: I08f9c6a764bd7fc022f866b0b405864242575e6e</t>
  </si>
  <si>
    <t>Fourth pass for completing CTS coverage of MotionEvent
* Coverage for MotionEvent.PointerCoords
* Coverage for MotionEvent.PointerProperties
Test: adb shell am instrument -e class 'android.view.cts.MotionEvent*Test' -w 'android.view.cts/android.support.test.runner.AndroidJUnitRunner'
Bug: 31441257
Change-Id: I804bcf464bc8002493c6ee46fb2f62e0854609de</t>
  </si>
  <si>
    <t>Add more CTS coverage for KeyEvent APIs
Test: adb shell am instrument -e class 'android.view.cts.KeyEventTest'  -w 'android.view.cts/android.support.test.runner.AndroidJUnitRunner'
Change-Id: I3fc714b015da9bce9d61b6ecaf5a8091562ea0c1</t>
  </si>
  <si>
    <t>Fix DO/PO Wifi CTS
- Flip the feature check
- PO can't access the MAC address.  Removed the test.
Bug 31767129
Change-Id: I9ab72e491df22849f8755899217d207e326f011f</t>
  </si>
  <si>
    <t>Adding log / workaround for flaky testScreenCaptureDisabled test
***
This is picked from master branch and fixed the flakiness of the CTS
test.
***
1. We did add log previously, but we dump the log before
   starting the activity. Break down the test into multi steps so that
   we can now dump the log right after the activity is started.
   And We also dump activity now.
2. The package will be restarted when its instrumentation is ran, that
   means the activity launched will be killed when the test to verify
   capiblity of taking screenshot. Removed ScreenCaptureDisabledActivity
   and reuse SimpleActivity in CtsSimpleApp package instead.
3. Also, try to give another shot after 5 second if the screen
   capture still working. This can check whether the flakiness is
   caused by insufficient delay.
Bug: 31509470
Change-Id: I08f9c6a764bd7fc022f866b0b405864242575e6e
(cherry picked from commit c598218f80e43220a271bd7045b930b49463cdc7)</t>
  </si>
  <si>
    <t>Revert "Add CTS tests for WebViewDatabase API"
This reverts commit 28df8eb84cc7779570cdaa39997bf65914472912.
Change-Id: I4546e88dabc98e2d6c46dbe706dbaee07d93bcf3</t>
  </si>
  <si>
    <t>Add CTS tests for DPM.resetPassword()
This change expands the existing host-side CTS tests for
DevicePolicyManager.resetPassword(). In specific, test cases are added
to verify that the password
1) cannot be changed or removed when FBE is locked
2) can be changed but not removed by a managed Profile Owner.
Bug: 28902173
Test: cts-tradefed run cts --module DevicePolicyManager --test com.android.cts.devicepolicy.MixedDeviceOwnerTest#testResetPassword
Test: cts-tradefed run cts --module DevicePolicyManager --test com.android.cts.devicepolicy.MixedDeviceOwnerTest#testResetPasswordFbe
Test: cts-tradefed run cts --module DevicePolicyManager --test com.android.cts.devicepolicy.MixedProfileOwnerTest#testResetPassword
Test: cts-tradefed run cts --module DevicePolicyManager --test com.android.cts.devicepolicy.MixedProfileOwnerTest#testResetPasswordFbe
Test: cts-tradefed run cts --module DevicePolicyManager --test com.android.cts.devicepolicy.MixedManagedProfileOwnerTest#testResetPassword
Test: cts-tradefed run cts --module DevicePolicyManager --test com.android.cts.devicepolicy.MixedManagedProfileOwnerTest#testResetPasswordFbe
Change-Id: Iaad6d867de5d438055cca52b40f117ad34b55783</t>
  </si>
  <si>
    <t>remove CTSv1 tradefed harness
Bug: 31788743
Test: $ make ... cts dist
      # verify number of modules, API coverage report
      $ cts-tradefed run collect-tests-only \
        --product-type bullhead --skip-preconditions \
	--skip-device-info --skip-connectivity-check \
        --primary-abi-only
      # verify that test lists are identical before/after
      $ make ... checkbuild
Change-Id: Ia5bb36af210f886c8efdc7956b30aed6f74f45d9</t>
  </si>
  <si>
    <t>Switch DateUtilsTest to be consistent with other tests
Other tests that are affected by the DateFormat.is24Hour
setting set the property explicitly rather than accepting
both possible answers.
This test effectively reverts commit
e412076713b49e9a353231247982ae3f753773e5
Bug: 31762542
Bug: 31331290
Test: CTS: run cts -m CtsTextTestCases -t android.text.format.cts.DateUtilsTest
      with and without "Use 24-hour format" set
Change-Id: I690926088b551b738b67097a13748bc07096d41e</t>
  </si>
  <si>
    <t>remove CTSv1 tradefed harness
Bug: 31788743
Test: $ make ... cts dist
      # verify number of modules, API coverage report
Change-Id: Ia5bb36af210f886c8efdc7956b30aed6f74f45d9
(cherry picked from commit 1418a40f30d0316108794a8acd8da82a8b4b3b03)</t>
  </si>
  <si>
    <t>Update CTS for isProvisoningAllowed change
Bug: 31895999
Test: This is a CTS CL
Change-Id: I55a39fbb96df401b88d4510c500161232ba82f57</t>
  </si>
  <si>
    <t>api council changes
bug: 31913591
Test: cts
Change-Id: I10764252ffab53a59d3fa8e0cc03fde08bd4f944</t>
  </si>
  <si>
    <t>Change CarAppFocusManager to be asynchronous
bug: 31867090
Test: manual run
Change-Id: I1b80a017bcacf6977c38a01425ac5879e597bb0b</t>
  </si>
  <si>
    <t>update CarInfoManager test
bug: 31930987
Test: cts
Change-Id: I741f8a9260ed27a0418f988a471a578e1c7452c0</t>
  </si>
  <si>
    <t>Fragment transition tests
The fragment transition tests in app/cts should be in the
fragment/cts package instead. They are now documented better
and make use of Mockito and junit4.
New tests for postponed fragment transitions.
Test: cts-tradefed run singleCommand cts -d --skip-preconditions --skip-connectivity-check -m CtsFragmentTestCases
Change-Id: Id72daf16a62658227ee21a1aaf18a9b7657b6ba1</t>
  </si>
  <si>
    <t>Remove fps checks from DecoderTest#testVrHighPerformance tests.
They're flaky and better suited as a dedicated VR benchmarking test
instead of a CTS test. Instead, simply verify the reported capabilities.
(originally contributed by scherkus@google.com)
Bug: 30898804
Change-Id: If9e85895b05f98835fc54b5c63f076c34b43d378</t>
  </si>
  <si>
    <t>Fix false alarm zero GPS measurement CTS failure
Android was updated to allow GnssMeasurementEvent's with
zero valid measurements (and just a clock.)
This CTS Verifier update now allows this.
Improved flakiness of GnssMeasurementRegistration status
check.
Also improved some test timeouts (restoring per test times),
output text, and variable names.
Bug: 30391885
Change-Id: I28e2995559ef745866d3137abc913621544215b5</t>
  </si>
  <si>
    <t>Remove fps checks from DecoderTest#testVrHighPerformance tests.
They're flaky and better suited as a dedicated VR benchmarking test
instead of a CTS test. Instead, simply verify the reported capabilities.
(originally contributed by scherkus@google.com)
Bug: 30898804
Change-Id: Ib1016575adfe366b5e951a44d0e928ae9ef3d3c2</t>
  </si>
  <si>
    <t>Revert "fix testFling bug"
Not reviewed by owning team - see comments in original commit.
This reverts commit f80b4ff00b65b00b7aa7b39d8020c2e2f28639b7.
Change-Id: I49471a3d4b2c227a60fcfdd9f4079ec55f5ad910</t>
  </si>
  <si>
    <t>CTS test for SecurityLog.SecurityEvent
Test is not too thorough since we cannot assume anything about those
events. A more comprehensive test will be done as a part of AfW test
harness.
The test is a bit time consuming: it reboots the device and waits for 70
seconds to get logs. (this interval is an implementation detail, but
there is no better way currently.)
Fixes:30495467
Test: cts-tradefed run cts -m CtsDevicePolicyManagerTestCases -t
com.android.cts.devicepolicy.DeviceOwnerTest#testSecurityLoggingWithSingleUser
Change-Id: I535c2f1e6deb72187bc785eb3092dc8341c84888</t>
  </si>
  <si>
    <t>A11y CTS: Check keyboard presence explicitly
We were inferring the presence or absence of an IME based
on the number of windows visible, but that method makes
assumptions about how IMEs behave that aren't always true.
Instead check for the presence of an IME window explicitly.
Also explicity forcing the IME to be shown and adding a 5s
timeout for the IME to show up and disappear.
In addition, we were requiring the IME to reappear when the
a11y feature is disabled or the service controlling it
turned off. It's not obvious that this is the correct
behavior in all cases, so I'm removing the tests that
require it.
Now passes on the phone in portrait and landscape as well as
on my Nemo watch.
Bug: 31986566
Change-Id: Ic2f99df78f3807436881633a4eaf6c1658b3cc07</t>
  </si>
  <si>
    <t>Tests for ellipsized &amp; non-ellipsized TextView height
Asserts that ellipsized and non-ellipsized versions of TextView has the
same height.
Bug: 28988744
Bug: 18864800
Change-Id: I6aa0ac098c03a76c6a524d05e26b74272a069c9b</t>
  </si>
  <si>
    <t>Remove redundant code from managed profile owner test
MixedManagedProfileOwnerTest does not need to override
testDelegatedCertInstaller, since tearDown() and setUp() methods already
serve the purpose of resetting the test environment.
Change-Id: I937ac8fdeb38e4383510d8e1f2d5fa65cf5be31c
Fixes: 31924544
Test: cts-tradefed run cts --module DevicePolicyManager --test com.android.cts.devicepolicy.MixedManagedProfileOwnerTest#testDelegatedCertInstaller</t>
  </si>
  <si>
    <t>Add Gnss Status test
BUG: 31535558
Change-Id: Iff1fa29bf2539c6c3b1c94212050905379566018</t>
  </si>
  <si>
    <t>Revert "Add test cases for android.util.Half"
This reverts commit 2eb66d66b0f2a6bfc71c217e12bcb6f002ecf336.
Change-Id: I1ee4cfa9e41c5aab02a7750f8fe1e128a6a511b4</t>
  </si>
  <si>
    <t>CTS tests for SurfaceHolder#lockHardwareCanvas
Bug: 26988043
Test: this
Change-Id: I19b1a45fdf885d3e240deb1aab5c8c404176be78</t>
  </si>
  <si>
    <t>Api updates for channel.
Test: these are tests.
Change-Id: I1ea1fb85d6dc8a0a0207aeb66b9fc592334ba6db</t>
  </si>
  <si>
    <t>Move test case to StagefrightTest
so it is tested with MediaExtractor as well.
Bug: 19779574
Bug: 31156921
Change-Id: I08fbd8e28d23bafea816ea853382a11325c10b7e</t>
  </si>
  <si>
    <t>Revert "CTS: check cpu currents are initialized in the device tree."
This reverts commit cee310c8de5f376e34627551f74e0f39709df5bc.
BatteryStats no longer depends on the kernel computation of the CPU
power. This test can hence be removed.
Test: No
Bug: 30596283
Change-Id: Ie183fc55a9f4a168f485158f44267dae66d1f7ca
Signed-off-by: Ruchi Kandoi &lt;kandoiruchi@google.com&gt;</t>
  </si>
  <si>
    <t>Include device side stacktrace in the hostside stacktrace
Key changes:
1. BaseDevicePolicyTest.runDeviceTests* now throw AssertionError
instead of return false for fail tests.
2. Device side stack trace is put in the detail error message in the
AssertionError
3. Move the failed reason from host side to device side. If the reason
is not meaningful, simply drop it.
Test: Try to write a fail test and I can observe the device side
stacktrace is embeded in the host side stacktrace
In theory, I should run every test to make sure it doesn't break anything.
But it will takes my the whole day to run all the CTS... I will monitor
the status of CTS after merging it.
Fix: 32468481
Change-Id: I7827a0568dc5675e02f0d6a27e51f8129081ca83</t>
  </si>
  <si>
    <t>Added more app links test to catch the regrssion
Fix: 32547783
Test: cts-tradefed run cts --module DevicePolicyManager --test com.android.cts.devicepolicy.ManagedProfileTest#testAppLinks_enabledStatus
Change-Id: I5f8f780535092857eeeb5bcb6c76f8cad9400886</t>
  </si>
  <si>
    <t>Add more tests for half floats
Test: cts-tradefed run singleCommand cts-dev --module CtsUtilTestCases --test android.util.cts.HalfTest
Change-Id: I5909df9ad3cbf2543f3dc6f533acddbc23a1e158</t>
  </si>
  <si>
    <t>Start WebView Startup tests from hostside so each runs in own process.
When running a module of device-side tests in CTS all the tests will be
run in the same process. For WebView startup tests we explicitly want to
run each test in a different process so that WebView hasn't been loaded
into the current process before the test runs.
Move existing CookieManager startup test to hostside-tests.
A test for avoiding StrictMode violations on WebView startup will be
added in a follow-up when a new version of WebView has been dropped
into Android (right now that test won't pass / is flaky).
Bug: 30157678
Test: run the tests on Master (note that the StrictMode test is flaky
with WebView version 55.0.2883.18 because of crbug.com/647291).
Test: run the tests with an older version of WebView installed (e.g. 51)
to ensure the StrictMode test fails when WebView startup causes
StrictMode violations.
Test: run these tests on a Wear device to ensure they don't fail.
Change-Id: I77fe9a28c25e373acdfb296be27efdb2fe8c2de7</t>
  </si>
  <si>
    <t>Revert "DO NOT MERGE: Add CTS For bug - 13225149"
This reverts commit e3eee99b576e4418ccfcd172b9a989fc79d683f4.
Bug: 30307255
Change-Id: Idfc0434ec8d82a658b6adcb97f6ac2e027baee04</t>
  </si>
  <si>
    <t>Allow to skip the CTS build architecture check
In some cases, we may not care about the CTS targeted arch
because apk are architecture agnostic
Test: new unit tests, build cts, wts, run wts, cts
Bug: 32489692
Change-Id: I5426a226587aafcec05c11a228c6459a28c789a3</t>
  </si>
  <si>
    <t>Revert "Disable some CTS tests for watches."
This reverts commit c49577f658a04fdf9f441b4b5cba145a9c716533.
Change-Id: Ia4c0c17eaede0a526169d2027933f75b4578565d</t>
  </si>
  <si>
    <t>Check SearchManager presence and state for disable of SearchManager tests
BUG: 30075369
Change-Id: I9d3d27321472e174825962c80f34b742b073f2b0</t>
  </si>
  <si>
    <t>Remove IBuildReceiver and IAbiReceiver logic from JarHostTest
These interfaces are now implemented in the HostTest superclass in
tradefed, so remove this logic from JarHostTest.
Test: build CTS, run unit tests
Bug: 32671788
Change-Id: I1f2cc78c2b9e4cc8a33c5103ae4ba2982d3c17a2</t>
  </si>
  <si>
    <t>Validate static final values in the API.
Test: cts-tradefed run cts-dev -m CtsSignatureTestCases -t android.signature.cts.SignatureTest#testSignature
Test: tests/run_unit_tests.sh
Change-Id: I36712eeea32f49e718591c5a86355a50d0ec3a33</t>
  </si>
  <si>
    <t>Remove broken and unnecessary KeyChain test.
Previously, testGetPrivateKeyOnMainThreadFails verified that an
exception was thrown if KeyChain.getPrivateKey() was called from the
main thread. This user error was diagnosed by the KeyChain code, but now
something lower in the stack asserts and kills the process when this is
done so the test is no longer necessary.
Test: Fixes broken test.
Change-Id: Ifb058651581a6c2b29efeb4793dc574e91f53bbc</t>
  </si>
  <si>
    <t>Fix Telecom WiredHeadsetTest
Semantics of in-call long-press and short-press were switched recently,
but the CTS tests were not changed alongside them. This brings the CTS
tests in line with the new expected behavior.
Change-Id: I65fa57e56f568ecff210fd582e07b86e05dcde77
Test: Ran affected tests
Fix: 32911654</t>
  </si>
  <si>
    <t>Fix CTS tests for MediaStore#getDocumentUri.
Need to make sure Documents folder exists before writing to the file.
Test: Tests pass when Documents folder doesn't exist.
Change-Id: Ied4c8131aea2a6da06ebee325dd6324412ba1709</t>
  </si>
  <si>
    <t>Remove DisplayTest#testGetCurrentSizeRange
Now configuration and display info is computed for each individual
display instead of only for the default display. This means that
same rules are now applied for display size range computation for
all displays; virtual displays no longer have fixed size range
equal to size they were initialized with.
We also can't predict what should the values look like, as different
system UIs can induce different sizes.
Bug: 32910901
Test: android.display.cts.DisplayTest
Change-Id: I26e62defbf8f357090b402c332bc911cb01b8afa</t>
  </si>
  <si>
    <t>Identify overlay display based on type in CTS
Bug: 32910901
Test: android.display.cts.DisplayTest
Change-Id: I6aec349de9354154feed4dd097a69700ace277a6</t>
  </si>
  <si>
    <t>CTS to verify enabling/disabling package component of DO/PO is disallowed
Fix: 32738326
Test: cts-tradefed run cts --module DevicePolicyManager --test com.android.cts.devicepolicy.MixedDeviceOwnerTest#testCannotEnableOrDisableDeviceOwnerOrProfileOwner
Change-Id: Ib60adf6d231e2f2904abbda5e45a8c2a0a366b15</t>
  </si>
  <si>
    <t>CTS sharding refactoring
- ModuleRepo is not shared anymore.
- New sharding balancing algorithm.
- CompatibilityTest is now resumable to reschedule shards
when precondition fails.
Test: unit tests, ./cts-tradefed run ctsibility:include-filter
CtsGestureTestCases --compatibility:include-filter
CtsAnimationTestCases --log-level verbose --shards 2
--product-type bullhead
Bug: 30449039
Change-Id: Ife68aef3b76c04a60d88b0f13a4182b04444f981</t>
  </si>
  <si>
    <t>Add test for eglCreatePixemapSurface
Bug: 11257511
Test: CtsGraphicsTestCases
Change-Id: I8e3dbf7f7f5d409ba0538127df8b51c66a9531d8</t>
  </si>
  <si>
    <t>CTS test for PopupWindow transitions with no anchor view
Bug: 33035511
Test: PopupWindowTest#textEnterExitTransitionAtLocation
Change-Id: Icccc0d229915a7f7ed035116ff7facfdef617aaa</t>
  </si>
  <si>
    <t>Revert "Host-side test for DISALLOW_BLUETOOTH user restriction."
This reverts commit 2d3020b24fbc9db60e3fc94a075a9dce0ff9d4d6.
Change-Id: Id0ed64e10bd25f5de7abcc4f284102b3c48e1b84</t>
  </si>
  <si>
    <t>CTS for continued gestures
Also refactoring the original tests to make them easier to
read.
Test: Adding tests. I even ran them!
Bug: 29477207
Change-Id: I5c9f4f0aadbaaef0720089ef4da91c065dc99ea0</t>
  </si>
  <si>
    <t>Temporary disable account visibility CTS tests.
Bug: https://b.corp.google.com/issues/33046496
Test: unit tests.
Change-Id: Idc71633ba3f907c7c7935177f5c6ba35660a5e8f</t>
  </si>
  <si>
    <t>Dropping CTS v1 targets
Test: make cts checkbuild
Test: cts-tradefed run singleCommand cts -m CtsIcuTestCases - 4590 pass
Test: cts-tradefed run singleCommand cts -m CtsLibcoreTestCases
Test: cts-tradefed run singleCommand cts -m CtsLibcoreOjTestCases - 586 pass
Bug:33072085
Change-Id: I647900a26d59446ae0b2fd71e62eba511008918b</t>
  </si>
  <si>
    <t>Dropping CTS v1 targets
Test: make cts checkbuild
Test: cts-tradefed run singleCommand cts -m CtsIcuTestCases - 4590 pass
Test: cts-tradefed run singleCommand cts -m CtsLibcoreTestCases
Test: cts-tradefed run singleCommand cts -m CtsLibcoreOjTestCases - 586 pass
(cherry picked from commit 2fbc4fb2fec3bd955d6933feb5d4d63e357bc55b)
Bug:33072085
Merged-In: I647900a26d59446ae0b2fd71e62eba511008918b
Change-Id: I9ee5b0d41cd3f4bda6c6710426738fe4fb67962f</t>
  </si>
  <si>
    <t>Tests for showing alarms/timers, and setting a timer.
Test: run cts -m CtsContentTestCases
Bug: 31228110
Change-Id: I6780a5c757955dfd0bc615a02809fb028e9c2ff2</t>
  </si>
  <si>
    <t>Use device APIs to determine max resolution for MediaPreparer
Bug:31443110
Test: cts-tradefed run cts -m CtsMediaStressTestCases
Change-Id: I41866886cd03ce817c1635688d0acb153d864435</t>
  </si>
  <si>
    <t>For local sharding stop all shards if precondition fails
In case of local sharding, if a shard fails its
preconditions we stop all of them. We rely on the infra to
stop all the shards in case of non local sharding.
Test: build, unit tests, local tests
Bug: 30449039
Change-Id: Ia063c572f84dbcd87ebb72cd2eff5ca2a723d7a5</t>
  </si>
  <si>
    <t>Add forward lock DRM test
This creates a .fl file from a generated .dm message, then checks
that the .fl can be played with MediaPlayer, examined with
MediaMetadataRetriever, but not opened with MediaExtractor.
Moved and generalized convertDmToFl function from MediaServerCrashTest
into MediaUtils so it can be used by both tests.
Change-Id: I76b1d20293e354a00ea249b450bbbaac380a03d7</t>
  </si>
  <si>
    <t>Improve CTS logging/ help console
- Update verbosity to reduce default console printing.
- Update CTS help
Test: build, unit tests, manual
Bug: 28269862
Change-Id: Ia925fde7ef1ed7f531da9d9d8efeb4be2e78995f</t>
  </si>
  <si>
    <t>Change CTS Verifier reporting to CTSv2 format.
Bug: 32723464
Test: CTS Verifier should make a report in the CTSv2 format. CTS results
should stay consistent.
Make and run compatibility-common-util-tests. The unit tests should pass.
Change-Id: If3cc9dbc83f7eda356d7dbe36dd28615f492bcfe</t>
  </si>
  <si>
    <t>Clean expectation for CTS unit test
Ensure test file is created or throw an exception to
notify it.
Test: build, run unit tests
Bug: 33499456
Change-Id: I5b4298e63218c91b4558b7a06301f4ab6d49253b</t>
  </si>
  <si>
    <t>Remove Rasterizer and its subclasses from CTS.
Test: compile
Bug: 14650725
Change-Id: I1a8a3bf5fdc8f9167b3fe90838e21085d5a39a6a</t>
  </si>
  <si>
    <t>NEW-CTS: test for SecurityLog.SecurityEvent
Test is not too thorough since we cannot assume anything about those
events.
The test is a bit time consuming: it reboots the device and waits for 70
seconds to get logs. (this interval is an implementation detail, but
there is no better way currently.)
Fixes:28015901
Test: cts-tradefed run cts -m CtsDevicePolicyManagerTestCases -t
com.android.cts.devicepolicy.DeviceOwnerTest#testSecurityLoggingWithSingleUser
(cherry picked from commit bb6f8c5bb585c4df1f036e3855636e2bfda34245)
Change-Id: I7e9715a566c830dd5e8193fa204293d56c85c056</t>
  </si>
  <si>
    <t>Don't require WiFi in CtsHostsideNetworkTests
WiFi is not a CDD requirement so these tests should not fail when the
device under test does not have WiFi. The behavior is changed so that if
there is WiFi then both metered and unmetered tests will run. If there
is no WiFi and the current connection is metered then only metered tests
will run. If there is no WiFi and the current connection is not metered
then only unmetered tests will run.
Test: Successfully ran CTS test on both emulator and shamu.
BUG: 31648368
Change-Id: Ic643d2490e0a7e69b57a44599f1a4c57c67da873</t>
  </si>
  <si>
    <t>Add CTS tests for the MediaBrowser search API
Bug: 28210241
Test: passed cts test (MediaBrowserServiceTest and MediaBrowserTest)
Change-Id: I21c1ec47eb5a9fc6fd2cb83d8eee777fffed3a2d</t>
  </si>
  <si>
    <t>Test we can only bind to affiliated users.
With DO + Managed profile: test that we can only bind if both have
set the same affiliation ids.
BUG:32764274
Test: cts-tradefed run cts --module CtsDevicePolicyManagerTestCases
--test com.android.cts.devicepolicy.DeviceOwnerPlusManagedProfileTest
Change-Id: Ie76a0e542f4693e258e4fd9276142eb13f6f24c4</t>
  </si>
  <si>
    <t>Fix PixelCopyTests, add rotation tests
Bug: 33421965
Bug: 33306464
Test: N/A
Change-Id: I12b8cfe251cb17ba40d825e01d6d25b980ad5ee5</t>
  </si>
  <si>
    <t>AutoSize TextView (part 5) - consolidate existing tests [CTS]
After carefully verifying the tests, on a new sync some started
to fail :(. This CL fortifies the tests against flakiness:
* instead of verifying that setTextSize() has been called exactly
  once, verify that it has been called at least once. This is a
  valid legal change (verified logging), the integration tests
  go through a lot of internals, onMeasure can be called multiple
  times.
* replaced setting static values which are supposed to trigger a
  new size with as-dynamic-as-possible values (based on the
  existent values)
Bug: 33574040
Bug: 32221168
Test: cts-tradefed run cts-dev -m CtsWidgetTestCases -t \
      android.widget.cts.TextViewTest
Change-Id: I374f9c1bdcb2a638bc185225847bb56f87db44c2</t>
  </si>
  <si>
    <t>Convert to junit4
it's the new hotness!
Bug: 25119046
Test: cts-tradefed run commandAndExit cts-dev -m CtsAppSecurityHostTestCases -t android.appsecurity.cts.EphemeralTest
Change-Id: I7b1c85cd15f18ba1f85359e7a6ae482eb811076a</t>
  </si>
  <si>
    <t>Add Bitmap.sameAs tests
Bug: 33702897
Test: all tests in BitmapTest passing
Change-Id: I07c4c937763f94cf293c17967b015837c282dab4</t>
  </si>
  <si>
    <t>Fix EventLog test and check WTF
  Make long string tests less fragile.
  Check that expected operations don't generate WTF logs.
  Check that oversize events are trucated at the end.
Bug: 33446064
Test: run cts -m CtsUtilTestCases -t android.util.cts.EventLogTest
Change-Id: Icac93d80d5d4bf95dd32cc98720f9836052d89e0</t>
  </si>
  <si>
    <t>Revert "Add telephony cellular data connectivity precondition Bug: 32567871 Test: cts-tradefed run cts -m CtsUsageStatsTestCases"
This reverts commit 1c8a56a335d186d554634f26ef3135ab4fe6f838.
Change-Id: Ic4b5e3b230396d1bdee55d1f343c9f869215791d</t>
  </si>
  <si>
    <t>Use generalized system checker in CTS
System checker has been generalized in TF.
Test: manual, unit tests
Change-Id: I2c5e7aac5f7c62edd106d5cae63690fafdee33cc</t>
  </si>
  <si>
    <t>Revert "Don't allow permission change to runtime - tests"
This reverts commit ee8e5c25e7239ee42ac9f817d5a40dbf5ed9cc8b.
Change-Id: I21a515419b43ee707a72bf7a1eef40f2813d85e9</t>
  </si>
  <si>
    <t>Remove Canvas.clipRegion from CTS.
Test: compile
Bug: 14650725
Change-Id: I9b04f8244e28f61e6c31f1c473e5e794fa215ca4</t>
  </si>
  <si>
    <t>Test that DO can bind to managed profile before it's enabled.
Also do some cleanup by using the same test class for managed
profile and device owner bind service.
BUG:32433112
BUG:33605748
Test: cts-tradefed run cts --module CtsDevicePolicyManagerTestCases
--test com.android.cts.devicepolicy.DeviceOwnerPlusManagedProfileTest
Change-Id: I2575019556b63f3995a418bf52734879215edc4a</t>
  </si>
  <si>
    <t>Add scale VectorDrawable test for handling different scales.
Refactor the common code into DrawableTestUtils.
Use PixelCopy to get the screen shot here.
TODO: Move other tests into this new path when this is proved to be stable.
Test: Run this new one and touched CTS tests
b/32780212
Change-Id: Ie6692e6740d28e2beed9176dcf85aa6f7090fc50</t>
  </si>
  <si>
    <t>DO NOT MERGE: Removing test for audio source unprocessed
Avoid failing on devices missing some configuration files.
Bug: 33924284
Test: this is the test
Change-Id: I9f523e9d4f47ef86631c996af1fc214dc327849a</t>
  </si>
  <si>
    <t>Cannot have badge only channels.
Test: this
Change-Id: I20b3964e3d82d9021e4f081e881edb8636e5311d</t>
  </si>
  <si>
    <t>Update CTS for new createNotificationChannel API
Also fix for new behavior in setBypassDnd and setLockscreenVisibility
Test: runtest --path
cts/tests/app/src/android/app/cts/NotificationManagerTest.java
Change-Id: I0722134a073f03678f06ed6e0f6fea73d416fa13</t>
  </si>
  <si>
    <t>Remove EncryptionTest#testConfig
Testing for kernel configuration is unreliable across architectures,
and conflicts with the goal of tightening access to /proc.
Bug: 34076934
Test: android.security.cts.EncryptionTest passes
Change-Id: Ibc6bd4ef6d0041724d793c1b666052467ff03098</t>
  </si>
  <si>
    <t>Reintroduce wifi mac address cts tests for PO.
BUG:34158452
Test: cts-tradefed run cts --module CtsDevicePolicyManagerTestCases --test
com.android.cts.devicepolicy.ManagedProfileTest#testWifiMacAddress
cts-tradefed run cts --module CtsDevicePolicyManagerTestCases --test
com.android.cts.devicepolicy.ProfileOwnerTest
Change-Id: Idb0d1767d8020c039c114e3f7d920f37fd656f2b</t>
  </si>
  <si>
    <t>Cts for isProvisioningAllowed with user restrictions.
Test the behavior of isProvisioningAllowed depending on
disallow add/remove managed profile user restriction.
Test: cts-tradefed run cts --module CtsDevicePolicyManagerTestCases --test
com.android.cts.devicepolicy.DeviceOwnerPlusManagedProfileTest#testIsProvisioningAllowed
BUG:32629873
Change-Id: I93a16cc5553c74ec1de041bee973a4532fab695c</t>
  </si>
  <si>
    <t>Test BluetoothOppLauncherActivity is disabled when BT is disallowed.
Test: cts-tradefed run cts -m CtsDevicePolicyManagerTestCases --test com.android.cts.devicepolicy.DeviceOwnerTest#testBluetoothRestriction
Bug: 32895060
Change-Id: I6f0552026dda8c9180b8c8ddfaf3e8c82d2e1a58</t>
  </si>
  <si>
    <t>Replace custom mock class with mockito spy
And break the long test function down into separate tests so we can
find failing ones easier.
Test: runtest -x tests/admin/src/android/admin/cts/DeviceAdminReceiverTest.java
Change-Id: I26048873cdc01edae2e0a7daaed5d2805169e090</t>
  </si>
  <si>
    <t>Add ephemeral query test
Any app can specify they want to resolve ephemeral activities. Test that
this query flag is not honoured and we don't leak ephemeral activites.
Bug: 33458220
Test: cts-tradefed run commandAndExit cts-dev -m CtsAppSecurityHostTestCases -t android.appsecurity.cts.EphemeralTest
Change-Id: I643e8703e6a1cdd74e519671654016c6df3aa334</t>
  </si>
  <si>
    <t>AutoSize TextView (part 6) - introduce autoSizeMaxTextSize [CTS]
autoSizeMaxTextSize attribute for TextView has been introduced
(instead of using getTextSize() as max size). Reflect this in
the test layout.
Also discovered flakiness in the existing tests and after
investigating it turns out that mokito does not play well
with multiple threads. This led to changing the tests from
verifying that setTextSize has been called to verifing the
text size has changed.
Bug: 33449596
Bug: 32221168
Test: cts-tradefed run cts-dev -m CtsWidgetTestCases -t \
      android.widget.cts.TextViewTest
Change-Id: Idb5224ccfc64b3d5e89cdfda6ee5834d3d96b584</t>
  </si>
  <si>
    <t>Skip SHOW_MODE_HIDDEN test if IME has no window
This is a follow up CL to the previous CL [1], which aimed to
stabilize test cases for SoftKeyboardController that is added in N.
What we	overlooked in the previous CL was that
InputMethodManager#showSoftInput() is still just a request to the IME,
and basically IMEs have been allowed to not show any window even if it
is called with InputMethodManager.SHOW_FORCED flag.  A good example is
AOSP LatinIME when hardware keyboard is attached.  Given that the
goal of testHideSoftKeyboard_shouldHideKeyboardOnRequest is just to
make sure that SHOW_MODE_HIDDEN hides the existing IME window,
we should not require the pre-installed default IME to show at least
one IME window upon InputMethodManager#showSoftInput(), which is
considered to be a separate topic.  Hence we decided to skip the test
if the default IME does not show any window, hopefully for valid
reasons.
In future we should use a mock IME as a part of CTS to test Android
Framework behaviors so that we can make sure that SHOW_MODE_HIDDEN is
working as intended even on devices where we currently have to skip
the test.
 [1]: Ic2f99df78f3807436881633a4eaf6c1658b3cc07
      bf1605d391ba80e4a942e779b604fd0177724e83
Bug: 33437715
Bug: 34219540
Test: cts-tradefed run cts -m CtsAccessibilityServiceTestCases -t android.accessibilityservice.cts.AccessibilitySoftKeyboardModesTest
Change-Id: I17a6def85e4cd5ea8216626da974c7d68dbf3742</t>
  </si>
  <si>
    <t>Ensure no NPE when no modules to run
Make sure we handle properly a case where no module
should be run.
Test: unit tests, manual
Bug: 34235492
Change-Id: Ib623410137e76961da25f8a15113c479ebae282c</t>
  </si>
  <si>
    <t>Cts test for wipeData with disallow remove profile restriction.
BUG:31952368
Test: cts-tradefed run cts --module CtsDevicePolicyManagerTestCases --test com.android.cts.devicepolicy.ManagedProfileTest#testWipeData
cts-tradefed run cts --module CtsDevicePolicyManagerTestCases --test
com.android.cts.devicepolicy.DeviceOwnerPlusManagedProfileTest#testWipeData
Change-Id: I4de3c5addec3d0ab2f4f567a325739b12e59282e</t>
  </si>
  <si>
    <t>Temporarily disable particularly slow tests
Bug: 26504707
Test: cts-tradefed run cts --skip-device-info --skip-preconditions --skip-system-status-check com.android.compatibility.common.tradefed.targetprep.NetworkConnectivityChecker -a armeabi-v7a -m CtsProviderTestCases -t android.provider.cts.ContactsContract_AllUriTest
Change-Id: Id6ed15461ef11f3a92642f43523b59fa488175f5</t>
  </si>
  <si>
    <t>Skip SHOW_MODE_HIDDEN test if IME has no window
This is a follow up CL to the previous CL [1], which aimed to
stabilize test cases for SoftKeyboardController that is added in N.
What we	overlooked in the previous CL was that
InputMethodManager#showSoftInput() is still just a request to the IME,
and basically IMEs have been allowed to not show any window even if it
is called with InputMethodManager.SHOW_FORCED flag.  A good example is
AOSP LatinIME when hardware keyboard is attached.  Given that the
goal of testHideSoftKeyboard_shouldHideKeyboardOnRequest is just to
make sure that SHOW_MODE_HIDDEN hides the existing IME window,
we should not require the pre-installed default IME to show at least
one IME window upon InputMethodManager#showSoftInput(), which is
considered to be a separate topic.  Hence we decided to skip the test
if the default IME does not show any window, hopefully for valid
reasons.
In future we should use a mock IME as a part of CTS to test Android
Framework behaviors so that we can make sure that SHOW_MODE_HIDDEN is
working as intended even on devices where we currently have to skip
the test.
 [1]: Ic2f99df78f3807436881633a4eaf6c1658b3cc07
      bf1605d391ba80e4a942e779b604fd0177724e83
Bug: 33437715
Bug: 34219540
Test: cts-tradefed run cts -m CtsAccessibilityServiceTestCases -t android.accessibilityservice.cts.AccessibilitySoftKeyboardModesTest
(cherry picked from commit 9e010b3f5e169bf42e1f084d404550fe33e961b1)</t>
  </si>
  <si>
    <t>Device wide features are available if all users are affiliated
Test: cts-tradefed run cts -a armeabi-v7a --module CtsDevicePolicyManagerTestCases --test com.android.cts.devicepolicy.DeviceOwnerTest
Test: cts-tradefed run cts --module DevicePolicyManager --test com.android.cts.devicepolicy.DeviceOwnerPlusManagedProfileTest
Bug: 32326223
Change-Id: Icb932cdaa77c64d9cb67be1eeda2c8f879e44838</t>
  </si>
  <si>
    <t>Revert "Compatibility tests for the updates to SSAID tracked in same bug."
This reverts commit 48eb162532cb33875f1a8d761a22e704790714f2.
Change-Id: I4217394565fdc54bbeaf9b58e0c7f26fa63838ac</t>
  </si>
  <si>
    <t>Add cts for DISALLOW_FACTORY_RESET.
BUG:31952368
Test: cts-tradefed run cts --module CtsDevicePolicyManagerTestCases
--test
com.android.cts.devicepolicy.DeviceOwnerTest#testDisallowFactoryReset
cts-tradefed run cts --module CtsDevicePolicyManagerTestCases --test
com.android.cts.devicepolicy.DeviceAdminHostSideTestApi23
cts-tradefed run cts --module CtsDevicePolicyManagerTestCases --test
com.android.cts.devicepolicy.DeviceAdminHostSideTestApi24
Change-Id: I876210f38899032846de6c7ba702f9a2b9785b00</t>
  </si>
  <si>
    <t>Rename View.setTooltip/getTooltip to setTooltipText/getTooltipText
Bug: 34454987
Test: android.view.cts.TooltipTest, android.view.cts.MenuInflaterTest
Change-Id: I0016c69cecf3b2e24441b619ad1af9eaab4b079c</t>
  </si>
  <si>
    <t>CP MediaStress and MediaPreparer dynamic config changes to nougat
bug:33573055
bug:31443110
bug:32420751
Test: run cts -m CtsMediaStressTestCases
Change-Id: I96ce1be09f75b7ab75a9317fbf8f3a8f5e53bf0a</t>
  </si>
  <si>
    <t>Revert "Introduce set/get FontVariationSettings test cases."
This reverts commit 2e6f9b1133ed9930957fa285d008e4d6927ced51.
Bug: 34378805
Change-Id: Ic18744e214cd5444dca7ae935df4286d6d4b64c7</t>
  </si>
  <si>
    <t>Updating CTS are per API changes
Test: Updated existing test
Change-Id: I28a33339222000e88e08640a568c7d3a99e30cd7</t>
  </si>
  <si>
    <t>CTS for LauncherApps lock-down
Bug: 34340531
Test: cts-tradefed run cts --skip-device-info --skip-preconditions --skip-system-status-check com.android.compatibility.common.tradefed.targetprep.NetworkConnectivityChecker -a armeabi-v7a -m CtsShortcutHostTestCases -t 'android.content.pm.cts.shortcuthost.ShortcutManagerMultiuserTest#testManagedUser'
Test: cts-tradefed run cts --skip-device-info --skip-preconditions --skip-system-status-check com.android.compatibility.common.tradefed.targetprep.NetworkConnectivityChecker -a armeabi-v7a -m CtsDevicePolicyManagerTestCases -t 'com.android.cts.devicepolicy.LauncherAppsProfileTest'
Change-Id: Iba92997d63eeb0b81e6d7299a2bd15c2c5753fd6</t>
  </si>
  <si>
    <t>Revert "Create InvocationHistory that tracks results across session retries"
This reverts commit 43bc783fbd3790b99e5a60b67b44204aecaa35e8.
This caused build failures due to dex overflows in CTS libs.
Bug: 34596615
Change-Id: Icdd2f3250d11d808a6c357ccd953a7cf7e825c3c</t>
  </si>
  <si>
    <t>CTS tests updated for the UX spec without sections.
No sections, and the updated clusters semantics.
Bug: 32151632
Test: Running these tests.
Change-Id: I1ce897a35ad97d2c0c4eb7f1846d64233a877a98</t>
  </si>
  <si>
    <t>Revert "CTS for LauncherApps lock-down"
This reverts commit d61f52ec3dc8955173c897aebde485e26ba490f4.
Change-Id: Ib963676c7919c751c36a858109969c35f35bde17</t>
  </si>
  <si>
    <t>CTS: ACTION_PROVISIONING_SUCCESSFUL
Added test to verify that ACTION_PROVISIONING_SUCCESSFUL intent is fired
after managed provisioning has successfully finished. Currently added
test only to test with managed profile flow.
Test: cts-tradefed run cts-dev -m CtsDevicePolicyManagerTestCases -t
com.android.cts.devicepolicy.ManagedProfileProvisioningTest
Bug: 33138551
Change-Id: I16115b1ff688eee3a8e76b436dff936338d53809</t>
  </si>
  <si>
    <t>CTS tests for popup window position after scrolling
Bug: 34096043
Test: PopupWindowTest#testPositionAfterParentScroll()
Change-Id: Ib765c25a88511a8a8f836f07154c55dbe6a5b608</t>
  </si>
  <si>
    <t>Test for color mode configurations
Bug: 32984164
Test: CtsContentTestCases
Change-Id: I047723bd5e963e86c78584407082336cef47b068</t>
  </si>
  <si>
    <t>CTS test for pointer capture API
Test: cts-tradefed ... --test android.view.cts.PointerCaptureTest
Bug: 30897034
Change-Id: I4dc6ad974400bdc7fd3334514084e792d8df4f56</t>
  </si>
  <si>
    <t>Fix auto time test case for profile owners.
Test: cts-tradefed run cts -m CtsAdminTestCases
Bug: 34715088
Change-Id: Id42f18ad9a39df54ce42d911f1f0b7216ee0d79e</t>
  </si>
  <si>
    <t>Remove duplcated Input Method CTS tests
Since those tests have been moved to CtsInputMethodTestCases by
I86881c0145, the original code can be safely removed.
Bug: 34648531
Test: Manually "run cts --module CtsViewTestCases" and verify that all
      (but already failed/flaky) tests are passed.
Change-Id: Ibafa0f19797c0e7c86e472a7f20db8ef8ced0ab0</t>
  </si>
  <si>
    <t>WifiManagerTest: |disableOthers| flag change
Change the CTS test to reflect the change in behaviour of the
|disableOthers| flag in WifiManager.enableNetwork(). This will now just
be used as an indication to trigger connection to the specified network
instead of disabling all other configured networks.
Bug: 34765254
Test: Compiles
Change-Id: I97a5a84bb861e289d966552cea7f36d7dd4fd090</t>
  </si>
  <si>
    <t>CTS tests for notificationchannel audio attributes
Test: this
Change-Id: I055a0f3d297fbbc44669951b8cfb229e2b60b401</t>
  </si>
  <si>
    <t>Fix a typo in test name
Bug: NA
Test: NA
Change-Id: Ic4382bd0b68c6291635bec3f18316cccaba04539</t>
  </si>
  <si>
    <t>Test that profile owners on user can communicate with device owners
Bug: 34429083
Test: cts-tradefed run cts -a armeabi-v7a --module DevicePolicyManager --test com.android.cts.devicepolicy.DeviceOwnerPlusProfileOwnerTest
Change-Id: Ia356d45ef901e3bd1deddcb27606a2a8cedcf0e6</t>
  </si>
  <si>
    <t>CTS tests for DPMS delegation refactor and block uninstall.
Implement hostside test function
DeviceAndProfileOwnerTest#testDelegation along with a client side
DelegateApp. This covers basic delegation properties and the
DELEGATION_CERT_INSTALL, DELEGATION_APP_RESTRICTIONS, and
DELEGATION_BLOCK_UNINSTALL scopes.
Bug: 33099995, 33105718
Test: cts-tradefed run cts-dev --module CtsDevicePolicyManagerTestCases --test com.android.cts.devicepolicy.MixedDeviceOwnerTest#testDelegation
Change-Id: I4fc7a4587e87a4784a1e122859e7353dd8a2d69a</t>
  </si>
  <si>
    <t>CTS for dumpsys netstats
Test: cts-tradefed run cts --skip-device-info --skip-preconditions --skip-system-status-check com.android.compatibility.common.tradefed.targetprep.NetworkConnectivityChecker -a armeabi-v7a -l INFO -m CtsIncidentHostTestCases -t 'com.android.server.cts.NetstatsIncidentTest#testSanityCheck'
Change-Id: I35f77ebf6aa5bfc837b15e0502b47dc43e39d972</t>
  </si>
  <si>
    <t>Move empty module handling to ModuleDef
Also address spacing concerns in go/aog/317008
bug:34202787
Change-Id: I5293ef4fcd3dc11993fecc656d97ccbbe877cd59</t>
  </si>
  <si>
    <t>All cts uses notification channels and new Builder constructor
Test: ran cts for all *Test.java files in CL
Change-Id: I62f6eae53b539a1cfc79a05a2aa4070bf30fbfc0</t>
  </si>
  <si>
    <t>Add test coverage for sorting functionality.
Bug: 30927484
Test: Added new CTS coverage under ContentResolverTest.
Change-Id: I2c30b5db741acf7bd8b3bada5e285059ef320046</t>
  </si>
  <si>
    <t>Revert "Test an order of ActivityCallbacks and corresponding Activity's methods"
This reverts commit aae10c62b8d172a7c49e77474c6a88ef48680616.
Bug: 34415265
Bug: 34914977
Change-Id: Ib1d7d4f055859d7b84ec371d9e940f782715f65f
Test: chrome launches</t>
  </si>
  <si>
    <t>Test lock task mode for affiliated secondary user
Bug: 34614754
Test: cts-tradefed run cts-dev --module DevicePolicyManager --test com.android.cts.devicepolicy.DeviceOwnerTest#testLockTask_affiliatedSecondaryUser
Test: cts-tradefed run cts-dev --module DevicePolicyManager --test com.android.cts.devicepolicy.DeviceOwnerTest#testLockTask_unaffiliatedUser
Test:  cts-tradefed run cts-dev --module DevicePolicyManager --test com.android.cts.devicepolicy.DeviceOwnerTest#testLockTask_deviceOwnerUser
Change-Id: I0838df1a19e0bd87bceb48c51006037ea2e35a62</t>
  </si>
  <si>
    <t>Updated/added tests for separate cluster and default focus
Revamped cluster tests to test behavior and more edge-cases.
Broke out default-focus tests with edge-cases.
Tests to make sure cluster-focus and default-focus interact
properly.
Tests now work when run as a suite (before all the cluster
focus tests failed in suite due to touch-mode).
Bug: 34394367
Test: this
Change-Id: If24c2ae85868cc9cf4003b3c34a6544b5982e957</t>
  </si>
  <si>
    <t>Batterystats validation tests - Foreground Service
Verify foreground service time tracking in batterystats dumpsys
Also fix batterystats dumpsys format verification tests that
were outdated
Change-Id: I74a61c6f2be1b6b84e5fd3f1a7596e142c870616
Fixes: 34983922
Bug: 34233085
Test: cts-tradefed run cts-dev -m CtsIncidentHostTestCases</t>
  </si>
  <si>
    <t>Add tests for getLockTaskPackages
Bug: 34614754
Test: cts-tradefed run cts-dev --module DevicePolicyManager --test com.android.cts.devicepolicy.DeviceOwnerTest#testLockTask_affiliatedSecondaryUser
Test: cts-tradefed run cts-dev --module DevicePolicyManager --test com.android.cts.devicepolicy.DeviceOwnerTest#testLockTask_unaffiliatedUser
Test:  cts-tradefed run cts-dev --module DevicePolicyManager --test com.android.cts.devicepolicy.DeviceOwnerTest#testLockTask_deviceOwnerUser
Change-Id: If8807f258a067acb0ba9a0a02a407242f3501fe0</t>
  </si>
  <si>
    <t>Allow MixedManagedProfileTest to run on a server
Removed @RequiresDevice from this test by explicitly overriding it
without the annotation.
Other DeviceAndProfileOwnerTest-s keep the same behaviour as before if
the overrides with the same annotations are removed, so cleaned them up
too.
Bug: 34048346
Test: make cts -j14 &amp;&amp; cts-tradefed run cts-virtual-device --module CtsDevicePolicyManagerTestCases --test 'com.android.cts.devicepolicy.MixedManagedProfileOwnerTest#testAlwaysOnVpn' &lt;/dev/null 2&gt;&amp;1 # builds &amp; runs at all
Test: cts-tradefed run cts-virtual-device --module CtsDevicePolicyManagerTestCases &lt;/dev/null 2&gt;&amp;1 # Expected: MixedManagedProfileOwnerTest runs vpn, MixedProfileOwnerTest does not run vpn
Test: cts-tradefed run cts --module CtsDevicePolicyManagerTestCases &lt;/dev/null 2&gt;&amp;1  # Expected: MixedManagedProfileOwnerTest and MixedProfileOwnerTest both run vpn
Change-Id: Idb81a1d7a57595cf22b42a25e90c72a60c6977f0</t>
  </si>
  <si>
    <t>Move new instrumentation tests to the right place.
Test: this is it.
Change-Id: Iedb709555a29d7042ba88513b7057d7c572dd629</t>
  </si>
  <si>
    <t>Changed workflow so service is set before activity is launched.
BUG: 34819567
BUG: 33269702
BUG: 31001899
Test: CtsAutoFillServiceTestCases passes
Change-Id: I7cab261dcf371db2560a0ac7a897c28087008e44</t>
  </si>
  <si>
    <t>AutoSize TextView (part 8) - APIs for predefined sizes [CTS]
Tests for the new APIs.
Bug: 32221168
Test: run cts-dev -m CtsWidgetTestCases -t \
      android.widget.cts.TextViewTest
Change-Id: Ibf90fa0738daa4a44c6cdeb09fddfdc9d59c6e9e</t>
  </si>
  <si>
    <t>Add new assist test for session.setUiEnabled(false)
Test: this is it.
Bug: 30999386
Change-Id: I092d0f4e2a99e20421e48440f1d93f9eee426bdc</t>
  </si>
  <si>
    <t>Moving some package installer tests out of hostsidetests
Test: Verified using runtest
Change-Id: Ica04951efb09c924f04e92be3b09a43d185b88e1</t>
  </si>
  <si>
    <t>AutoSize TextView (part 9) - sanitize APIs naming [CTS]
Inline the tests with the cosmetic API changes.
Bug: 34923754
Bug: 32221168
Test: run cts-dev -m CtsWidgetTestCases -t \
      android.widget.cts.TextViewTest
Change-Id: Ifeba0a2b94237816ce4be5b0dc4eb1bce9eec784</t>
  </si>
  <si>
    <t>Fix MetadataReporter tests
Test: unit tests
Change-Id: Ifeef98b722cfc3d90e4127dbf927d8b22288ad93</t>
  </si>
  <si>
    <t>Tests for i18n of subclasses of NumberKeyListener
Test: cts-tradefed run cts-dev --module CtsTextTestCases --test android.text.method.cts.*KeyListenerTest
Bug: https://code.google.com/p/android/issues/detail?id=2626
Bug: https://code.google.com/p/android/issues/detail?id=82993
Bug: 8319249
Bug: 33276673
Bug: 33643035
Bug: 34394455
Change-Id: Iab7e77667679aecc95863eb22a835d3fcb1d6e64</t>
  </si>
  <si>
    <t>Remove ClonedSecureRandomTest
This test was kind of flaky because it depended on a lot of variables
working. SELinux has now blocked pid_max which makes this test fail 100%
of the time.
It is obsoleted by BoringSSL. This problem only affected OpenSSL because
it buffered random data which could be a problem when forking.
Test: cts-tradefed run cts -m CtsSecurityTestCases -a arm64-v8a
Bug: 34077876
Change-Id: I9ea90a8f1e1620d184fd0315ea119abb601c9658</t>
  </si>
  <si>
    <t>Remove Vroot test
It's not compatible with seccomp
Bug: 34722840
Test: cts test NativeCodeTest now passes
Change-Id: I96772b593f7d4d4fec3ad467524524bd1eac3fdd</t>
  </si>
  <si>
    <t>CTS for LauncherApps lock-down (take 2)
Bug: 34340531
Test: cts-tradefed run cts --skip-device-info --skip-preconditions --skip-system-status-check com.android.compatibility.common.tradefed.targetprep.NetworkConnectivityChecker -a armeabi-v7a -m CtsShortcutHostTestCases -t 'android.content.pm.cts.shortcuthost.ShortcutManagerMultiuserTest#testManagedUser'
Test: cts-tradefed run cts --skip-device-info --skip-preconditions --skip-system-status-check com.android.compatibility.common.tradefed.targetprep.NetworkConnectivityChecker -a armeabi-v7a -m CtsDevicePolicyManagerTestCases -t 'com.android.cts.devicepolicy.LauncherAppsProfileTest'
Change-Id: Ic5959ff4d1e6be495a2556cfb3f040014a465b63</t>
  </si>
  <si>
    <t>Update CTS tests to cover new Account Discovery API.
Bug: 33046496
Test: cts tests.
Change-Id: I3d4e076f62dd142efe1f10043da5a70c9ff23a09</t>
  </si>
  <si>
    <t>Revert "Fixed AutoFillServiceTestCase workflow."
This reverts commit 408ffa36528328dbf9017eb156844e0b4a19e3ac.
Change-Id: I948bf173fcc0985a15a44eb2236bf93cd937682d</t>
  </si>
  <si>
    <t>CTS test for setVoicemailRingtoneUri and setVisualVoicemailEnabled
Both API needs default dialer privilege so is tested inside
VisualVoicemailServiceTest.
Fixed testGetCarrrierConfig(). Bundles are not easily comparable so
verified no crash instead.
Bug: 34626472
Fixes: 34626472
Test: CtsTelephonyTestCases TelephonyManagerTest
    testVoicemailRingtoneSettings and testVoicemailVibrationSettings
Change-Id: Iea93b9ec6dba2083dba6f70902688e8749de89fa</t>
  </si>
  <si>
    <t>TextView/LinkMovementMethod - touch up revert [CTS]
Inline the existing CTS tests with the reverted
behavior attached in the same topic.
Bug: 23692690
Test: run cts-dev -m CtsTextTestCases -t \
      android.text.method.cts.LinkMovementMethodTest
Change-Id: I84b1fb005e5b517a29bba5c13a5d778c7352df4a</t>
  </si>
  <si>
    <t>security: delete obsolete debuggerd test.
Bug: http://b/34721521
Test: none
Change-Id: I62d28ea3097322fc8065815953876e555a2ba477</t>
  </si>
  <si>
    <t>security: delete another obsolete test.
Bug: http://b/35398418
Change-Id: I7285cb008a7f6ffecad937ecbcaacb3b610044a0</t>
  </si>
  <si>
    <t>Reduce failures and flakiness of DemoMode tests
Bug: 33659098
Test: run cts-dev -m CtsRetailDemoHostTestCases (it's still flaky;
experimentally all tests pass about 80% of the time)
Change-Id: I8b165a2a10c122be3b8d24cc3ca81eed61151a93</t>
  </si>
  <si>
    <t>Revert "CTS Test for changes submitted in this topic."
This reverts commit 8f3ebd16d55231bc0fe119c40e76bb0378c72d6a.
Reason for revert: Remove partial support for wrapped key import
Change-Id: I218cc5461cc469dcb1c46270c7af9ea98dc15904</t>
  </si>
  <si>
    <t>TIF: add test cases for PreviewPrograms
Currently, Programs class is being used for storing both linear
tv program and preview program. This change adds PreviewPrograms
class for clear separation.
Test: build and cts-tradefed run cts -m CtsTvTestCases
Bug: 34853064
Change-Id: I3cadc01c8b540c3e7b0763ddf639a3932493e07d</t>
  </si>
  <si>
    <t>Disable account discovery tests during refactoring.
Change-Id: I14e251ff036d15257e5613ed4d789f2c5ce91bda
Test: cts-tradefed run cts -m CtsAccountManagerTestCases</t>
  </si>
  <si>
    <t>Move the camera TextureViewTest to view package, delete graphics2
Test: cts-tradefed run singleCommand cts-dev --module CtsViewTestCases --test android.view.cts.TextureViewCameraTest
Also added logging for debugging purposes, as this seems to be a flaky
test, though I was unable to reproduce a failure locally.
Change-Id: If760dc1981f00292f2c0172872142f6ce1177a08</t>
  </si>
  <si>
    <t>Updating devicepolicy tests for dpm.setSecureSetting
Since the setting install_non_market_apps is deprecated, device owner
packages targeting O or above should not be able to change it via
dpm#setSecureSetting. Also updated the manifest to use "testOnly=true"
to make the clean up of admin packages easier
Test: cts-tradefed run singleCommand cts-dev -m CtsAdminTestCases --test
android.admin.cts.DevicePolicyManagerTest
Bug: 33947615
Change-Id: I8e9d436d396ba2d2cb4a36daa51b911d9bbfe6d6</t>
  </si>
  <si>
    <t>Fixing cts for install_non_market_apps
The setting is deprecated and should remain 1 to avoid breaking third
party apps that are querying for it.
Test: cts-tradefed run singleCommand cts-dev -m CtsProviderTestCases
--test android.provider.cts.Settings_SecureTest
Bug: 35386779
Change-Id: I970bc35518bd61b579b78060ea84719f31c72a6c</t>
  </si>
  <si>
    <t>KernelSettingsTest: remove check for /proc/config.gz
The kernel config file interface in /proc is now required by Android.
Bug: 35126415
Test: KernelSettingsTest passes with and without /proc/config.gz
Change-Id: Ib71eb4480699321ba1ebb6efaec34ab489a3de04</t>
  </si>
  <si>
    <t>Move resetPasswordTest to pre-O DPC package
DPM.resetPassword is being deprecated in O and only DPC who targets SDK level
below O can still call it. As a result, move the CTS test to its own DPC package
Also try to clear device lockscreen password in tearDown() in case test fails.
Bug: 35417075
Test: cts-tradefed run cts-dev -m CtsDevicePolicyManagerTestCases -t com.android.cts.devicepolicy.MixedProfileOwnerTestApi25
Test: cts-tradefed run cts-dev -m CtsDevicePolicyManagerTestCases -t com.android.cts.devicepolicy.MixedDeviceOwnerTestApi25
Test: cts-tradefed run cts-dev -m CtsDevicePolicyManagerTestCases -t com.android.cts.devicepolicy.MixedManagedProfileOwnerTestApi25
Change-Id: I482f84587dc567410dd6df5e61fe94ec29dadaf5</t>
  </si>
  <si>
    <t>Move the textureview tests to view package, delete textureview package
Test: cts-tradefed run singleCommand cts-dev --module CtsViewTestCases --test android.view.cts.TextureViewStressTest
Test: cts-tradefed run singleCommand cts-dev --module CtsViewTestCases --test android.view.cts.TextureViewSnapshotTest
Change-Id: I69d3bda295b6e9a0b8bcdf5f100f658deee975d2</t>
  </si>
  <si>
    <t>Revert "Test NoCopySpans are not copied in SpannableStringInternal"
This reverts commit bde13c23346d7c5e1f464cae949c844ddf404dc5.
Bug: 34712634
Fixes: 35363881
Change-Id: I228f5b5b39c70f84939a986d181c3f8381bc3b06</t>
  </si>
  <si>
    <t>IRunTime is implemented in base class now
Re-evaluate the runtime hint of CtsThemeHostTestCases.
Test: unit tests
Bug: 30449039
Change-Id: Ifd2d474609f626cf77473fc93829ec10a8ea158b</t>
  </si>
  <si>
    <t>Add tests for autoFillMode behavior
Bug: 34077687
Test: Ran ViewAttributesTest and LoginActivityTest
Change-Id: I61729fe9f9244a8f70e4cf0040df4c6ba687c856</t>
  </si>
  <si>
    <t>Revert "Test TextView changes width after setText in LinearLayout"
This reverts commit 672de87741b35d488adeabd3a4b9f8440dbc8bee.
Reverts fix for bug 27995311.
Test: cts-tradefed run cts --test android.widget.cts.TextViewTest -m
CtsWidgetTestCases --skip-device-info --skip-preconditions
--skip-connectivity-check
Fixes: 34843459
Change-Id: Ic5013b01846d92c3aad8035c4d6e5c4f03f1a9e0</t>
  </si>
  <si>
    <t>Tests for "tap to revert smart selection".
See: If73259ddb67379d5a5deaa01b840b5185cedf4c8
Test: cts-tradefed run cts-dev -m CtsWidgetTestCases -t
android.widget.cts.TextViewTest#testSmartSelection_resetSelection
Bug: 34777048
Change-Id: I7456eb4773d40366a3f4aa7bf051a1c7ddda6e9d</t>
  </si>
  <si>
    <t>Add CTS tests for InCallService which can see self-managed calls.
Added new telecom3 cts package which includes an InCallService which
defines the meta-data indicating that it wants to see self-managed calls.
Added unbind latch to CtsConnectionService used to wait on unbinding of
the CTS CS.  This is to help improve reliability of unbind checking.
Moved a whole bunch of methods to TestUtils so they could be used in the
other telecom cts packages (used "refactor" in AS, hence the large number
of changes due to new class location).
Test: This is a test.
Bug: 34159263
Change-Id: I1a055acc097ec78d39913d246f396488f6f2f162</t>
  </si>
  <si>
    <t>Add tests for autoFillHint
Test: Ran the modified test
Bug: 35364993
Change-Id: Ie02594b533eda56b133285c433ab4b522d185b31</t>
  </si>
  <si>
    <t>Adjust Array{Map,Set} tests for disallowed iteration past end
This tracks a deliberate behavior change to the Iterator
implementation shared between Array{Map,Set}.
Before that change, those Iterators allowed iteration
past the end, at which point they exhibited a range of
unusual behavior.
Test: make cts &amp;&amp; cts-tradefed run cts -m CtsUtilTestCases
Test: Searched Android code base to ensure that no references
      to MapCollections exist outside Array{Map,Set}.
Bug: 19853326
Change-Id: Ifcc5c316fd5b44d49a04b8bbf504214058581a9e</t>
  </si>
  <si>
    <t>Tests for Support non-system Font Providers
Bug: 35025705
Test: run cts -m CtsGraphicsTestCases -t android.graphics.fonts.cts
Change-Id: I397ed6e7e000d4d4b9082a0392cbb56d23a394e6</t>
  </si>
  <si>
    <t>Deprecate settingsActivity field in TvInputService
Test: remove tests
Bug: 27325064
Change-Id: I25dd85602d52ba7ae03ed93a68eed75584fb7a1c</t>
  </si>
  <si>
    <t>Add CTS tests for AsynchronousFileChannel locks.
The service has been modified to lock either a sync or an async
channel depending on an extra passed down to it.
The actual code to perform the locking is ugly because there's no
common parent interface we can cast to that exposes the lock methods.
Test: CtsLibcoreFileIOTestCases
Bug: 29030889
Change-Id: I35669ce48024decd342112c982702a45d8705652</t>
  </si>
  <si>
    <t>Removing obsolete PiP test.
- We no longer require resizeableActivity to enter picture-in-picture
  so this test is obsolete.
Bug: 35704894
Test: None, that's the point
Change-Id: I8f3b1b21a4ffb4dcbe4f5a0d3597f5d4e6ca3296</t>
  </si>
  <si>
    <t>[AWARE] Update network creation tests open/encrypted API
Updated/add CTS tests to validate createNetworkSpecifierXxx
API for open and passphrase modules. As these are (still)
single-ended CTS tests - they validate failure.
Bug: 26564544
Test: CTS passing
Change-Id: I07b76bee5a9b73780d341ac8511a2738ded751ca</t>
  </si>
  <si>
    <t>Test Bitmap.get/setPixel[s] with color spaces
Bug: 32984164
Test: cts-tradefed run singleCommand cts-dev --module CtsGraphicsTestCases --test android.graphics.cts.BitmapColorSpaceTest
Change-Id: I092b2fa363f649c8916ed4dfb9f85217ad969032</t>
  </si>
  <si>
    <t>Remove CtsRetailModeHostTestCases
Bug: 33659098
Test: run cts-dev -m CtsRetailModeHostTestCases (with output 'No
modules found matching CtsRetailModeHostTestCases')
Change-Id: Ia41c7c9396c9266d39c716ff19379ac70ce820b7</t>
  </si>
  <si>
    <t>Refactor code incompatible with Mockito 2.7.13
Bug: 32912773
Test: make checkbuild
Change-Id: I1787b45ee543e9e0104bc0e1baa9f3016d4ea339</t>
  </si>
  <si>
    <t>Moar tests for virtual containers:
- Test asyncNewChild().
- Assert class name.
- Simplify sanitization on custom view.
Bug: 36056207
Test: VirtualContainerActivityTest passes
Change-Id: I9e034b93deb9e46cbf95dc1708b30a66b1a2c1c8</t>
  </si>
  <si>
    <t>Replaced auto-fill by autofill to keep it consistent with API style.
Bug: 35956626
Test: CtsAutoFillServiceTestCases pass
Change-Id: I9ec6fa24c89b826a57bbc6cac6a583a465e85897</t>
  </si>
  <si>
    <t>Explicit calling destroy() in RS CTS tests
Bug: 28053584
This is mostly done for all Allocations And Scripts, except that
I also destroy script groups in the ScriptGroup tests, since a
ScriptGroup (V2) object may have child Allocation objects.
The generated tests in the "generated" subdirectory have been to
addressed separate CLs.
The refocus test would be addressed separately.
Test: CTS on x86_64 emulator and Angler
Change-Id: Ie84b6da20cbf6ae912e0568f63bb64108b5f4448</t>
  </si>
  <si>
    <t>DO NOT MERGE, Revert "resolve merge conflicts of 4bebe6db69 to nyc-dev"
This reverts commit 3fbcb77d76f6d8aa6335f821845791ce4c049e35.
This test is not necessary in nyc-dev or later.
Change-Id: I98224dcc5aae100f1f9717ba632da203bbffa8b2
Bug: 35429755</t>
  </si>
  <si>
    <t>Tests for PreferenceManager.getSharedPreferences
Makes sure that the result is null when PreferenceDataStore is assigned
and not null if not.
Test: run cts-dev -m CtsPreference2TestCases -t
android.preference2.cts.PreferenceDataStoreTest
Bug: b/34322039
Change-Id: I1273625ee862c34f9faf6c3f5acce2826b680d76</t>
  </si>
  <si>
    <t>Switch to new autofillHint API
Test: Ran CTS autofill tests
Bug: 35364993
Change-Id: I75bfd5fa6d8e40347b17a9ec1a92f0025e714263</t>
  </si>
  <si>
    <t>Revert "add more setBitmap tests for its new behavior"
https://buganizer.corp.google.com/issues/36218535
This reverts commit 1b6437cd718e963c1038be43008d76ff678ac14d.
Change-Id: I685c4f17ace5eab8ffcbadcd950cd8246e747527</t>
  </si>
  <si>
    <t>AutofillValueTest can now focus non-text
Still RadioGroup, DatePicker and TimePicker do not trigger focus.
Test: Ran modified test
Bug: 36123241
Change-Id: I762f66ad9bede12edd4105ce7453419776b92102</t>
  </si>
  <si>
    <t>Fix style and resource leakage
Test: cts-tradefed run singleCommand cts --skip-device-info \
      --skip-preconditions --skip-connectivity-check \
      --abi arm64-v8a --module CtsSecurityHostTestCases \
      -t android.security.cts.SELinuxHostTest#testAospFileContexts
Test: cts-tradefed run singleCommand cts --skip-device-info \
      --skip-preconditions --skip-connectivity-check \
      --abi arm64-v8a --module CtsSecurityHostTestCases \
      -t android.security.cts.SELinuxHostTest#testValidFileContexts
Bug: 36002414
Change-Id: I43f498f0aeec64933c3379d64dac52eb740b1096</t>
  </si>
  <si>
    <t>Split toolbar margin test into a separate unit
Otherwise the initial margins specified in the XML
interfere with the display of title  / subtitle on
low-resolution devices.
Test: run ToolbarTest and ToolbarWithMarginsTest
Bug: 35892230
Change-Id: I3b5ead5018d5e76cad6a28de184011a0e5e764d9</t>
  </si>
  <si>
    <t>Split toolbar margin test into a separate unit
Otherwise the initial margins specified in the XML
interfere with the display of title  / subtitle on
low-resolution devices.
(Manual backport of ag/1990793)
Test: run ToolbarTest and ToolbarWithMarginsTest
Bug: 35892230
Change-Id: I042afd8b749d3faee676e5c19f01f978166b20f6</t>
  </si>
  <si>
    <t>Update tests to reflect new behavior
- No res id name methods
- Channels can be renamed
Test: this
Change-Id: Iff076ca1e42a965fc359520c75b972823635451d</t>
  </si>
  <si>
    <t>Add tests for color filter mutate methods
Bug: 36025103
Test: cts-tradefed run singleCommand cts-dev --module CtsGraphicsTestCases
Also adds test for ColorMatrix#equals
Change-Id: Ib5a8c2eb6819fe1c1d5537a3e3da980fd978c024</t>
  </si>
  <si>
    <t>New CTS test for new JobScheduler "storage not low" feature.
Also fix/tweak some other tests.
Test: this is it.
Change-Id: I6783e5e9cd242a93ddfff5b81ed97a39aaa6517e</t>
  </si>
  <si>
    <t>Spun PreFilledLoginActivity from LoginActivity.
Password on LoginActivity was pre-filled, which is unreal and made it harder
to test some scnearios like starting launching auto-fill when password is
focused:
Test: LoginActivityTest pass
Test: PreFilledLoginActivityTest pass
Bug: 36067706
Change-Id: Iec98d7d76f23654318995ebe7592b389899247f6</t>
  </si>
  <si>
    <t>Remove failing UsesLibrary.testUsesLibrary test.
A fix for how duplicate classes were checked went in here:
https://android-review.googlesource.com/#/c/349268/
It exposed an issue with this CTS test. Now that the check works
properly, it's rejecting the test apk, which was declared to have
a shared library, but is compiled with no shared libraries when
installed. It doesn't seem like the runtime knows enough about this
library to pass it through to dex2oat.
There may be similar issues with the other tests in this file. A new
test should be developed to better check uses-library, but I'm removing
the failing test in the meantime.
Bug: 36285180
Test: cts-tradefed run singleCommand cts -d --module
CtsAppSecurityHostTestCases -t
android.appsecurity.cts.UsesLibraryHostTest
Change-Id: I4091e6da796f93df076c26f73f41a679c3dccd57</t>
  </si>
  <si>
    <t>Remove failing UsesLibrary.testUsesLibrary test.
A fix for how duplicate classes were checked went in here:
https://android-review.googlesource.com/#/c/349268/
It exposed an issue with this CTS test. Now that the check works
properly, it's rejecting the test apk, which was declared to have
a shared library, but is compiled with no shared libraries when
installed. It doesn't seem like the runtime knows enough about this
library to pass it through to dex2oat.
There may be similar issues with the other tests in this file. A new
test should be developed to better check uses-library, but I'm removing
the failing test in the meantime.
Bug: 36285180
Test: cts-tradefed run singleCommand cts -d --module
CtsAppSecurityHostTestCases -t
android.appsecurity.cts.UsesLibraryHostTest
Merged-In: I4091e6da796f93df076c26f73f41a679c3dccd57
Change-Id: I677f5262aad18b884b2c2471bba0c14ed4c337d8</t>
  </si>
  <si>
    <t>Stop trying to be clever with test ordering.
To avoid the overhead of creating/destroying users for every
individual test, I tried being clever with test name/placement, but
the test harness used in production uses some custom ordering
strategy.  So give up and just smash all tests into a single method.
Test: cts-tradefed run commandAndExit cts-dev -m CtsAppSecurityHostTestCases -t android.appsecurity.cts.StorageHostTest
Bug: 36455171
Change-Id: I7818690f409b1c78061c1b6d3e3b94b63d750614</t>
  </si>
  <si>
    <t>Exercise cross process auto-paging.
Test: Update CTS tests, pass!
Change-Id: Icd84f8bed95fa4e0dcb359f459c8f071a9d96d21</t>
  </si>
  <si>
    <t>Changed manual autofill tests to directly fill with one dataset.
* Renamed testManualAutofill() to testManualAutofillOneDataset()
* Added testManualAutofillTwoDatasetsPickFirst()
* Added testManualAutofillTwoDatasetsPickSecond()
Bug: 35708229
Test: LoginActivityTest pass
Test: VirtualContainerActivityTest pass
Change-Id: Ief9534c4ca0a1fc6f4ccd6aa762015bdfbb06fd5</t>
  </si>
  <si>
    <t>Tests for AuthenticationRequiredException.
Test: cts-tradefed run commandAndExit cts-dev -m CtsOsTestCases -t
android.os.cts.CrossProcessExceptionTest
Change-Id: I894a9f3d40d33e90b1452fcd938c4e3bc7079bb5</t>
  </si>
  <si>
    <t>Revert "NdkMediaCodec: CTS for surface APIs"
This reverts commit afca158ab14b6f01854c11bcec42e58306765926.
Change-Id: I1fdf4999f67dd50f48e37dcedb9bb231dd90b25b</t>
  </si>
  <si>
    <t>Check kernel version, group/tombstone behaviors.
Kernels older than 3.18 don't have solid quota support, so we don't
require it to be enabled on those devices; but for all newer kernels
we really want it enabled because of how much it speeds things up
and decreases flash wear.
Follow refactoring from "atomic" to "group".  Verify that
group/tombstone behaviors can't be used on external storage
locations.
Verify group/tombstone behaviors with explicit test.
Test: cts-tradefed run commandAndExit cts-dev -m CtsAppSecurityHostTestCases -t android.appsecurity.cts.StorageHostTest
Bug: 35812899, 35684969, 36482620
Change-Id: I5ae97d5ded0b52cdf24a65360c42a89000e04b2d</t>
  </si>
  <si>
    <t>Fix LoaderTest flakiness.
Bug 36482448
These were fixed in support library and are now being moved
to CTS. With these changes, I am unable to reproduce the
LoadertTest CTS failures.
Test: ran fragment CTS tests
Change-Id: I63743b416caef04bceed6a18f41447756d12f847</t>
  </si>
  <si>
    <t>Deprecated getDeviceId and added getMeid and getImei
Added two new public APIs getMeid and getImei. Deprecated the exisintg
getDeviceId API because it can't return a constant id when phone type
changes.
Test: CTS and manual
bug: 34233620, 10831289
Change-Id: Ife6549f0bb50bdd70df71e7ec406e5aacee19e65</t>
  </si>
  <si>
    <t>New test to ensure a new process starts out idle.
Test: it is this.
Change-Id: If05ec0c3d81749e43a8006ef2784234839d185b8</t>
  </si>
  <si>
    <t>Removing tests for indexOfValueByValue
The method indexOfValueByValue was removed from the api. Hence, tests
needed to be removed as well.
Test: Running 'cts-tradefed run singleCommand cts-dev CtsUtilTestCases'
should not run the removed tests.
Bug: 35765468
Change-Id: I15a40c69e7f319e409343e6864ae25896431fa48</t>
  </si>
  <si>
    <t>Remove testSdcarddDomain
This implementation detail has changed, making this test no
longer accurate. When running with sdcardfs, sdcardd mounts
sdcardfs and then terminates, with all future interaction
handled by sdcardfs.
Bug: 35919392
Change-Id: Ibbb7185148d9a8d0803fd6d63afd5013619e5135
Test: Test is no longer present</t>
  </si>
  <si>
    <t>Deprecated getDeviceId and added getMeid and getImei
Added two new public APIs getMeid and getImei. Deprecated the exisintg
getDeviceId API because it can't return a constant id when phone type
changes.
Test: CTS and manual
bug: 34233620, 10831289
Merged-In: Ife6549f0bb50bdd70df71e7ec406e5aacee19e65
Change-Id: Ife6549f0bb50bdd70df71e7ec406e5aacee19e65</t>
  </si>
  <si>
    <t>Added AspectRatioTests CTS tests.
For testing android:maxAspectRatio API.
Test: cts/.../run-test CtsAppTestCases android.app.cts.AspectRatioTests
Bug: 33205955
Bug: 35810513
Change-Id: I6c29cbf173dc70ef03e25d935eb6e9922db27ffc</t>
  </si>
  <si>
    <t>Update CTS to follow FontConfig API changes.
Bug: 36660849
Test: android.text.cts.FontManagerTest passed
Change-Id: Ifcf5400f7e53e0fa935239fe116a22b19b389b71</t>
  </si>
  <si>
    <t>[CTS] Remove backup hostside tests
Those tests have been moved to GTS instead.
Bug: 34760953
Test: this is just removing tests
Change-Id: I28c16b7700cf44476a62e16140cb0002d79bd5c9</t>
  </si>
  <si>
    <t>Update TimePickerDialogTest to JUnit4.
Test: run cts-dev --module CtsAppTestCases --test android.app.cts.TimePickerDialogTest
Change-Id: Ia59ab3110a85fd7eda80b1721687715dc68e5ac6</t>
  </si>
  <si>
    <t>AudioAttributes: update getVolumeControlStream() after API change
AudioAttributes.getVolumeControlStream() is not static anymore.
Test: cts-tradefed run cts -m CtsMediaTestCases -t android.media.cts.AudioAttributesTest
Change-Id: Ieb4d9d03470715ab3ffc429f36f4e285a1f339dc</t>
  </si>
  <si>
    <t>Revert "Make public getFragments() and getLayoutInflater() methods"
This reverts commit 1bf0fc643dadd23d47b9ad667b36d8c0d443c1a8.
The change is being reverted because it broke git_master build.
Change-Id: I902e33114e53ea78f2c556e760131d99ad734b5b</t>
  </si>
  <si>
    <t>Delete more tests for @hide apis.
DO NOT MERGE
Test: make cts
Change-Id: Ibfd975b0a10d4543bdc0108f016a7364e64347e1</t>
  </si>
  <si>
    <t>Update CTS to follow FontConfig API changes.
Bug: 36660849
Test: android.text.cts.FontManagerTest passed
Change-Id: Ifcf5400f7e53e0fa935239fe116a22b19b389b71
(cherry picked from commit 25ea2597fb9cba7d63d22bb322e58b136785bd6c)</t>
  </si>
  <si>
    <t>Introduce FontVariationAxis test cases.
Also remove FontManagerTest since it is no longer public API.
Test: android.graphics.cts.FontVariationAxisTest passes.
Change-Id: I6cb903789acb5ba9f74f4405adb0337c601e4c6b</t>
  </si>
  <si>
    <t>Update ContentPaneFocusTest with new hotkey
ActionBar access now uses cluster-navigation hotkeys, so
this test needed to be updated. Additionally, we don't allow
leaving the actionbar once entered (unless on a not-touch-screen).
Bug: 35486442
Test: #testAccessActionBar
Change-Id: I40e181f5b1873d609518c96feca8597276500ca9</t>
  </si>
  <si>
    <t>Revert "Tests for I069f9779"
This reverts commit d85e14c4798e12ec1144dd9aa615552d5517092e.
Bug 36186790
Test: cts-tradefed run cts-dev --skip-device-info --skip-preconditions --skip-system-status-check com.android.compatibility.common.tradefed.targetprep.NetworkConnectivityChecker -a armeabi-v7a -l INFO -m CtsShortcutHostTestCases
Test: cts-tradefed run cts-dev --skip-device-info --skip-preconditions --skip-system-status-check com.android.compatibility.common.tradefed.targetprep.NetworkConnectivityChecker -a armeabi-v7a -l INFO -m CtsShortcutManagerTestCases
Change-Id: If264d3003ffca44b9dc6b9c298549cefe5e78b12</t>
  </si>
  <si>
    <t>Remove CTS test for a11y service state API
Bug: 35764675
Test: Ran a11y CTS
Change-Id: Ie61369d5d17bc3ace65d21a6d4877abe6a7297bd</t>
  </si>
  <si>
    <t>Removing Native MIDI CTS tests from master repo until post-branch O mr1
Test: manual
Bug: 36369178
Change-Id: I40c4dc78640eaffe3af62a0613c6443f1d78f28a</t>
  </si>
  <si>
    <t>Revert "CTS: Add a JVMTI redefineClasses test"
This reverts commit 21027c19ffb64b08f06b06055db508de5c00ac4b.</t>
  </si>
  <si>
    <t>Revert "CTS: Add a JVMTI allocation tracking test"
This reverts commit ded3ae49da669bdbaf0e99b4ef38f650409ef575.</t>
  </si>
  <si>
    <t>Revert "CTS: Add a JVMTI tagging test"
This reverts commit 04a01c8dfd2a968001b6872dc4c63444227048d6.</t>
  </si>
  <si>
    <t>Revert "CTS: Add skeleton for JVMTI tests"
This reverts commit a9b479dcc27369e3e73ca3157979ee4a705e96e0.</t>
  </si>
  <si>
    <t>CTS test service hiding
Bug: 35871716
Test: cts-tradefed run commandAndExit cts-dev -m CtsAppSecurityHostTestCases -t android.appsecurity.cts.EphemeralTest
Change-Id: Ieeee439a82d9e393729431766a4869ee3bbb16ec</t>
  </si>
  <si>
    <t>Improve bg check CTS tests.
Move them out into their own suite, robustify, and add a test
for starting a service as part of an activity launch.
Test: this.
Change-Id: I9246c1bacdd43b9bd1da9f576db549427e0674b6</t>
  </si>
  <si>
    <t>Removing Native MIDI CTS tests from master repo until later branch
Test: manual
Bug: 36369178
Change-Id: I40c4dc78640eaffe3af62a0613c6443f1d78f28a</t>
  </si>
  <si>
    <t>Change MaskableIconDrawableTest to AdaptiveIconDrawableTest
Also moved useful tests from the unit test to the cts test.
Test: $ runtest --path=cts/tests/tests/graphics/src/android/graphics/drawable/cts/AdaptiveIconMaskTest.java
android.graphics.drawable.cts.AdaptiveIconMaskTest:....
Time: 0.076
OK (4 tests)
Test: $ runtest --path=cts/tests/tests/graphics/src/android/graphics/drawable/cts/AdaptiveIconDrawableTest.java
adb  shell am instrument -e class 'android.graphics.drawable.AdaptiveIconDrawableTest' -w 'android.graphics.cts/android.support.test.runner.AndroidJUnitRunner'
android.graphics.drawable.AdaptiveIconDrawableTest:..
Time: 1.43
OK (2 tests)
Change-Id: I7ac8856901d0b9b8225afdc3e08e7b5c354302bc</t>
  </si>
  <si>
    <t>Improved testFillResponse() to handle authenticationIds.
Test: LoginActivityTest.testFillResponseAuthJustOneField
Test: LoginActivityTest.testFillResponseAuthJustBothFields
Bug: 35707731
Bug: 36855717
Change-Id: Ie193ed375c9aaef7112ee464a939395a798b7a35</t>
  </si>
  <si>
    <t>Update CTS to support more conservative approach to isClipEmpty().
Test: bit CtsGraphicsTestCases:.CanvasTest
Bug: 36677738
Change-Id: I5c67802da1782bb80a6c543e40340bb31ed0ae20</t>
  </si>
  <si>
    <t>Temporarily disable testExposedSystemActivites
The fixes for this test are blocking on prebuilts coming in from google3
and activity-alias visibleToInstantApps support. To keep tests green
disable this for now.
Bug: 36788934
Test: android.appsecurity.cts.EphemeralTest#testExposedSystemActivities
is no longer a part of EphemeralTest
Change-Id: I93c0982ed510baa8858629a51c0d1d6c07a590d6</t>
  </si>
  <si>
    <t>Work around issue #36647111: [Ryu] CTS : BatteryConstraintTest failure
Turn off the test for now since it seems to be flaky.
Test: this is an anti-test
Change-Id: Iba88ff03208c7df3b5691cd6e231031216683522</t>
  </si>
  <si>
    <t>This CTS generates false positives on newer branches
This is a reverts commit ba7117b929c79f9ea9a10139f47f6191462ede4f.
Bug: 33304218
Test: testDisplayDriver_cve_2015_6634 doesnt fail. cause it doesnt
exist.
Change-Id: I7e348fb2df74c62da2307357cdd702653a1f4d3c</t>
  </si>
  <si>
    <t>Tighter timing around allocating disk space.
Instead of going through broadcast queue (which can get backed up
even with FLAG_RECEIVER_FOREGROUND set), switch over to using
ContentProvider.call() to get immediate allocations.
Test: cts-tradefed run commandAndExit cts-dev -m CtsAppSecurityHostTestCases -t android.appsecurity.cts.StorageHostTest
Bug: 36731175
Change-Id: I89d7bde823922dc1d5ba2928b1e9fb8dbcd1f159</t>
  </si>
  <si>
    <t>Remove CTS tests for formdata
Webview Form data functionality is disabled in Android O and later.
Test: deleting test
Bug: 36869838
Change-Id: I07ee2972ef865756be902be2df9730919157e21c</t>
  </si>
  <si>
    <t>Revert "CTS tests for refreshing opacity and statefulness on tint change"
This reverts commit bba14f67c803d7d61c845599509c70d64d42264a.
Reason to revert:
The setup wizard started throwing android.view.InflateException due to
I89f6d804fb025f426aefdee67559778cf03015bb. Temporarily reverting that
change until we figure out what is going on.
Change-Id: Ib2e906318779e10bc868970b9ab8bfd65ac9f6a1
Test: Manually verified that the setup wizard no longer crashes.
Bug: 33124798
Bug: 36870685</t>
  </si>
  <si>
    <t>Revert "CTS: JVMTI AOSP compatibility shim"
This reverts commit ff7b425ec2cdd4fc7cf633c767af4b0824bb9ba4.
Bug: 32072923
Test: m cts
Change-Id: I5312732b8cc55527811287f84324d7a1f4002392</t>
  </si>
  <si>
    <t>Clean up tmp file usage in CtsThemeHostTest
Bug: 35656462
Test: CtsThemeHostTestCases
Change-Id: I4fbb9d16178f9c9bc3bd6e201caa6a1e064d5a4a</t>
  </si>
  <si>
    <t>Remove dumpsys negative CTS.
It's already covered elsewhere.
Test: cts-tradefed run cts-dev --skip-device-info --skip-preconditions --skip-system-status-check com.android.compatibility.common.tradefed.targetprep.NetworkConnectivityChecker -a armeabi-v7a -l INFO -m CtsShortcutManagerTestCases -t android.content.pm.cts.shortcutmanager.ShortcutManagerNegativeTest
Bug: 36895088
Change-Id: I195f156575044943971f9a15e4351e42db467db8</t>
  </si>
  <si>
    <t>Adding CTS Verifier test for uninstalling device admins
Replacing the uiautomater test as it relies on the UX of the
settings app, which may vary on different phones.
Test: make -j32 cts-verifier
Cts verifier -&gt; Device Admin Uninstall Test
Bug: 34520349
Change-Id: Ia7982c7325d01f6119c95a83d99306c62181513b</t>
  </si>
  <si>
    <t>Adding CTS Verifier test for uninstalling device admins
Replacing the uiautomater test as it relies on the UX of the
settings app, which may vary on different phones.
Test: make -j32 cts-verifier
Cts verifier -&gt; Device Admin Uninstall Test
Bug: 34520349
Change-Id: Ia7982c7325d01f6119c95a83d99306c62181513b
Merged-In: Ia7982c7325d01f6119c95a83d99306c62181513b</t>
  </si>
  <si>
    <t>Save FragmentManagerNonConfig during onSaveInstanceState()
Bug 36815706
onSaveInstanceState() is called prior to onStop(), but
onRetainNonConfigInstance() is called after. When a
retained instance fragment is added during onStop(),
the state of the two configurations won't match. This
CL moves the non-configuration save to happen immediately
after the save instance state.
Support Lib Change: Ib41cbe02d060d3411e32d1494525e119d0c23dd7
Test: ran fragment cts tests
Change-Id: I30e598abf7faceac3294aef1ee0ee3b07d3aa7c6</t>
  </si>
  <si>
    <t>Fix flaky LoaderTest tests.
Some LoaderTest tests were flaky. This CL removes the need
to change the orientation of a device to run the loader tests,
reducing dependency on other systems.
Test: ran fragment tests
Change-Id: Ia36871961cdbdbacf383d4e0c548e404baecd652</t>
  </si>
  <si>
    <t>Disable SelfManagedConnectionServiceTest#testEmergencyCallOngoing.
Disable the SelfManagedConnectionServiceTest#testEmergencyCallOngoing
CTS test; it is relying on setting the RIL ECC List, which apparently
can't be done through a shell command any more.
This test is ultimately not required for completeness of the API, so I'm
going to disable it for now until the next release when we can add a
test API To support setting test emergency numbers during CTS runs.
Test: CTS
Bug: 36999709
Change-Id: I9d073c6c846a244f430376b293ef5ebe17703ba7</t>
  </si>
  <si>
    <t>Move retry logic into its own class
The only change in retry behavior is addition of a retry-type (custom)
that allows for additional filtering by include-filter or subplan. TODOs
include:
- distinguishing command-line excludes from known-failures
- distinguishing command-line includes from plan includes
Enabling these distinguishments will allow us to completely delete
unsupported filters (such as --exclude-filter on retry).
bug: 36162565
bug: 36136217
bug: 36337428
Test: run cts-dev -r 0
Change-Id: I49ba463417bbfa8b1ef69466c54bbb8b83b2fa8d</t>
  </si>
  <si>
    <t>Removed testSaveSnackBarGoesAway()
Bug: 37083017
Test: CtsAutoFillServiceTestCases pass
Change-Id: I153c8034843c1fd743532ef55868764bf1ee65c2</t>
  </si>
  <si>
    <t>Update CTS tests to reflect changes in i18n input types
The code was updated, but CTS tests were missed.
Also clarifying existing tests and adding tests for UK English.
Test: updated CTS tests pass
Bug: https://code.google.com/p/android/issues/detail?id=2626
Bug: https://code.google.com/p/android/issues/detail?id=82993
Bug: 8319249
Bug: 33276673
Bug: 34394455
Bug: 37079150
Bug: 37081357
Change-Id: I363def308c1da537aedd8ea17aa4f1a7a812423f</t>
  </si>
  <si>
    <t>Disable SelfManagedConnectionServiceTest#testEmergencyCallOngoing.
Disable the SelfManagedConnectionServiceTest#testEmergencyCallOngoing
CTS test; it is relying on setting the RIL ECC List, which apparently
can't be done through a shell command any more.
This test is ultimately not required for completeness of the API, so I'm
going to disable it for now until the next release when we can add a
test API To support setting test emergency numbers during CTS runs.
Test: CTS
Bug: 36999709
Merged-In: I9d073c6c846a244f430376b293ef5ebe17703ba7
Change-Id: I9d073c6c846a244f430376b293ef5ebe17703ba7
(cherry picked from commit cc15b7211b2894cd5014e621cb69a9ec616333f1)</t>
  </si>
  <si>
    <t>Fix flaky ChangeBoundsTest and improve it.
Bug 35516516
Bug 37156683
Test: ran transition tests
Change-Id: I534cc4d7534cff1206ea8c2b222e0c0852fc0e9c</t>
  </si>
  <si>
    <t>Delete testAllCharacterDevicesAreSecure()
Delete the test testAllCharacterDevicesAreSecure(). Many of these tests
are already duplicated by SELinux neverallow rules, which are a cleaner
way to perform these kinds of tests and don't involve opening up stat()
permissions on various character device files. In addition, the normal
version of this test (not the host side version) doesn't work because
/dev isn't readable.
This test is a maintenance burden, doesn't meet our partner's needs, and
is a recurring source of waiver requests.
Bug: 36891574
Test: CTS compiles.
Change-Id: Ice9b9c32a87add3a0f16647a46af1be31ad5f044</t>
  </si>
  <si>
    <t>Moved TransformationMethod contract tests into own test
TransformationMethodTest check that the contract between
TextView and method works (that the interface methods get
called).
At least the focusChanged one was being done in the Password
test, but it didn't actually test anything specific to the
Password method.
Also, focusChanged test doesn't rely on arrow keys to change
focus anymore since that behavior has changed (arrows don't
send focus out of textfields anymore).
Bug: 36972955
Test: TransformationMethodTest and PasswordTransformationMethodTest
Change-Id: Ie9157381675449f262bf041ae557f94065d3a471</t>
  </si>
  <si>
    <t>Remove RenderProcessCrashTest#testCrash
This reverts part of 0bf04408.
Test: ran testOnRenderProcessGoneDefault, testOnRenderProcessGone
BUG:36869571
Change-Id: I85e7eca66e4f352519d02650eece3755aed2dd52</t>
  </si>
  <si>
    <t>Revert "Move retry logic into its own class"
This reverts commit 177cc6ed7aaadf0418001bf1aeff0395605be751.
Change-Id: I07486d94d6124ab16266fcb9ea072a3a7935fec4</t>
  </si>
  <si>
    <t>Move retry logic into its own class
- CP'ed from ag/2055672 (master)
- Adds retry-type custom which enables includes on retry
bug: 36162565
bug: 36136217
bug: 36337428
Test: run collect-tests-only -d -r 0
Change-Id: I443ff35a9e3526f8442d0c18862668a059dfcfa1
merged-in: I49ba463417bbfa8b1ef69466c54bbb8b83b2fa8d</t>
  </si>
  <si>
    <t>Move API for disabling an autofill service to the manager
Test: the disable self CTS tests pass
bug:37170723
Change-Id: Ic6340c0bd377793db6db2ab401a2f8fc6fc05ba0</t>
  </si>
  <si>
    <t>StreamingMediaPlayerTest: completely hide testBuffering.
Test: compiles
Bug: 37240016
Bug: 36280094
Change-Id: Ibd616594b7216d284d23f25078fd3df282814d87</t>
  </si>
  <si>
    <t>Add new tests for new JobScheduler queue feature.
Test: this is a test.
Change-Id: I11ff0b9a8b939b86f9833442f986a0ff243410ea</t>
  </si>
  <si>
    <t>Remove test coverage of auto-paging.
Auto-paging is being removed in favor of a client side support lib Adapter.
Bug: 30927484
Test: Run CTS tests.
Change-Id: I65fcf6d5d717b2c6193ec0044a05efa141d00a46</t>
  </si>
  <si>
    <t>Add CTS tests for preserving spans while uppercasing
Test: Manual
Test: Added and updated CTS tests pass
Bug: 7198872
Bug: 19047649
Bug: 19713814
Bug: 34853618
Bug: https://code.google.com/p/android/issues/detail?id=67509
Change-Id: If34ec509e42c8e8ec830f50c1d57b858e43abaa5</t>
  </si>
  <si>
    <t>Fix CTS compilation tests
mDevice.enableAdbRoot is not actually enabling the root anymore. We have
to manually "su root" all the commands for the test to pass.
Test: cts-tradefed run cts -m CtsCompilationTestCases
Bug: 36651422
Change-Id: Id9cf3cb78c987401e565bac390298349ab240c63</t>
  </si>
  <si>
    <t>Tests for #37220301: Allow broadcasts with permissions to not be restricted
Test for this new allowed behavior added, some other tests
related to bg check also added and the basic broadcast to manifest
receiver test improved.  (The way it was testing ordering was
pointless and actually hid what we really would prefer to test.)
Test: these are tests, and I ran them.
Change-Id: Icab4abd58bdb2f17907bb91388a0edd99ba2336e</t>
  </si>
  <si>
    <t>Fix CTS compilation tests
mDevice.enableAdbRoot is not actually enabling the root anymore. We have
to manually "su root" all the commands for the test to pass.
Test: cts-tradefed run cts -m CtsCompilationTestCases
Bug: 36651422
(cherry picked from commit a4b3ec33209fe43af6396645b191239a91b5ae08)
Merged-In: Id9cf3cb78c987401e565bac390298349ab240c63
Change-Id: Id9cf3cb78c987401e565bac390298349ab240c63</t>
  </si>
  <si>
    <t>Rename the recently added test method
Test: adb shell am instrument -e class 'android.view.cts.MenuItemTest' -w 'android.view.cts/android.support.test.runner.AndroidJUnitRunner'
Change-Id: Icbc5aa54db8128270a251f832090840c4a69e036</t>
  </si>
  <si>
    <t>Revert "CTS for scrollbar dimensions"
This reverts commit a6305a4f47ca65e8762dd44e957157e347be912a.
Bug: 35432058
Test: android.view.cts.ViewTest passes
Change-Id: Ia6bd571f644c96b45f6c7b0c30845d2c6134412e</t>
  </si>
  <si>
    <t>Revert "add CTS tests for concurrent audio capture"
This reverts commit 3ce7a835b584123918e580e4129ce88fc5a5d1dd.
Bug:36891272
Test: run CTS AudioRecordTest
Change-Id: I050a56ac818f8d562da5b02eea10cb3aaeca656e</t>
  </si>
  <si>
    <t>Remove test coverage of auto-paging.
Auto-paging is being removed in favor of a client side support lib Adapter.
Bug: 30927484
Test: Run CTS tests.
Change-Id: I65fcf6d5d717b2c6193ec0044a05efa141d00a46
(cherry picked from commit fc25beca4c74953ff1c6e8be18f5c0a9a20ceebc)</t>
  </si>
  <si>
    <t>Revert "Add CTS tests for the MediaBrowser search API"
This reverts commit bad1de54cbd83f249854fd246fe8d7757399e3ca.
Bug: 36844917
Test: Passed MediaBrowserTest and MediaBrowserServiceTest
Change-Id: I070eaa5c1218f6631facbf5803bc58835934c755</t>
  </si>
  <si>
    <t>Revert "Add tests for queue managments of MediaController"
This reverts commit 1a7f9a4ce2d35e26241f3c68b3103debed88b71f.
Bug: 36844917
Test: Pass MediaControllerTest
Change-Id: I73b1e2d5e465d4bb1213088a4095300a6b18ed1c</t>
  </si>
  <si>
    <t>Revert "Add CTS tests for shuffle/repeat commands in MediaSession"
This reverts commit 108dd2881b350c59f5c3e7b30ecbb22b29cc4bb8.
Bug: 36844917
Test: Pass MediaSessionTest and MediaControllerTest
Change-Id: Ia3fc47fdc951ab8758a8002934645fb86dac2730</t>
  </si>
  <si>
    <t>Remove unnecessary sepolicy attributes
Test: make cts
Bug: 34980020
Change-Id: Iaf2b8ac5bfb7753782fc56ab078cdd14d61b57b8</t>
  </si>
  <si>
    <t>Remove unnecessary sepolicy attributes
Test: make cts
Bug: 34980020
(cherry picked from commit 9a05c717ca6ae16344cbe0471cb2e6dff0c7282f)
Change-Id: I501b08dc56e827cb348aa1045e32e0221d9c0b64</t>
  </si>
  <si>
    <t>Remove autofillMode attribute
Bug: 36171235
Test: CtsAutoFillServiceTestCases
Change-Id: I4ec72e08fd4d091c6d43d87b14729580ca9931c4</t>
  </si>
  <si>
    <t>CTS: Update TextClassificationManagerTests
Test: bit CtsViewTestCases:android.view.textclassifier.cts.TextClassificationManagerTest
Bug: 37296604
Change-Id: I1c3781caa635fa6260c01fb4a58e957fbc851708</t>
  </si>
  <si>
    <t>Remove ColorFilter/Shader mutate tests
Bug: 36025103
Bug: 37327129
Test: boots, CtsGraphicsTestCases passes
Change-Id: If689af005fcb757205eb4358c6fdee9b7d34c778</t>
  </si>
  <si>
    <t>Adding CTS for AppWidgetHost.getAppWidgetIds()
Bug: 37435178
Test: runtest --path cts/tests/tests/appwidget/src/android/appwidget/cts/AppWidgetTest.java
Change-Id: Iaa6a7db4e06b5129469eafd2a8e652ab65ad2707</t>
  </si>
  <si>
    <t>Removed obsolete test for dynamic spinner values.
Bug: 37330022
Test: CtsAutoFillServiceTestCases pass
Change-Id: I349255c4a3474d831509f3fd1f46fc6529b94234</t>
  </si>
  <si>
    <t>Add test related to task overlays and PiP.
- Ensure that finishing the last non-task overlay activity also removes
  the entire task
- Ensure that finishing the task overlay activity does not cause the next
  activity to be resumed
Bug: 36507456
Test: android.server.cts.ActivityManagerPinnedStackTests
Test: #testFinishPipActivityWithTaskOverlay
Test: #testNoResumeAfterTaskOverlayFinishes
Change-Id: I875aa92252d4eee735c8b4350be757d343d35d1e</t>
  </si>
  <si>
    <t>Fix FragmentTransaction.show() to show the fragment.
Bug 37413327
When there was an animation and the fragment transaction wasn't
optimized, the fragment visiiblity wasn't being set during show().
This modifies the show() test to check non-optimized transactions
also.
Test: ran fragment tests
Framework Change: Idc2c74ae2fc4759a755a5988ce6ca1b39ef8d554
Change-Id: I0fd4029a02d6c9f082011bf56f0d3c8245803f68</t>
  </si>
  <si>
    <t>Revert "Add pages count test for WebView printing"
Will merge this test to MR1.
This reverts commit 76ef62330b22abc31f9dd9cdaa14ee657328515b.
Bug: 37432731
Change-Id: I4baf9933f376f4a22d437a353d1e713d3f474adb</t>
  </si>
  <si>
    <t>Add tests for two accessibility state listeners
Make sure accessibility and touch exploration state
change listeners get called back when relevant changes
happen.
Bug: 37124673
Test: This adds a test. It even passes!
Change-Id: I6629b09b5dc12c93abaad81487eeaee5290ee113</t>
  </si>
  <si>
    <t>DO NOT MERGE: Remove testAddTwoToastsViaAddingWindowApisWhenUidFocusedQuickly.
The described behavior doesn't match on what nougat-mr1-dev framework does,
The other test case, the WhenUid"Un"Focused, can be still kept to ensure
unwanted apps not to occupy the foreground by multiple toasts.
Bug: 37088966
Test: None (this CL is just removing a test.)
Change-Id: I3ad362d5a7542b45214248ee7a32bb5874faa6bd</t>
  </si>
  <si>
    <t>Add CTS test for InsetDrawable.
b/36024318
Test: $ runtest --path=cts/tests/tests/graphics/src/android/graphics/drawable/cts/InsetDrawableTest.javaruntest
android.graphics.drawable.cts.InsetDrawableTest:..........................
Time: 0.142
OK (27 tests)
Change-Id: I61797722867de678a168a7fac2126bd68fe49fc8</t>
  </si>
  <si>
    <t>(CTS) Remove language detection test.
Test: bit CtsViewTestCases:android.view.textclassifier.cts.TextClassificationManagerTest
Bug: 37562190
Change-Id: Idb5d2d9abe157e7318b63a56df5844bbe8088a96</t>
  </si>
  <si>
    <t>Revert "BuildTest: split out test expected to fail on prerelease builds"
The commit was based on a misunderstanding of the semantics of
the @RestrictedBuildTest annotation.
This reverts commit b2d6cf2d3ac5e9a152b9deca8ae4e9b33e65c27b.
Test: nothing, ran BuildTest at subsequent CL
Bug: 35922665
Bug: 37484198
Change-Id: I9a41c7ae5255be2ec116f6af97959be8cecac11b</t>
  </si>
  <si>
    <t>Add tests for a11y listeners with handlers
Bug: 37542371
Test: Adding tests. Even ran them. And they passed!
Change-Id: Iae9b0de6c1c60241497e125507296e0920f63940</t>
  </si>
  <si>
    <t>Revert "BuildTest: split out test expected to fail on prerelease builds"
The commit was based on a misunderstanding of the semantics of
the @RestrictedBuildTest annotation.
Test: nothing, ran BuildTest at subsequent CL
Bug: 35922665
Bug: 37484198
This reverts commit b2d6cf2d3ac5e9a152b9deca8ae4e9b33e65c27b.
Merged-In: I9a41c7ae5255be2ec116f6af97959be8cecac11b
Change-Id: I4ff433f54275ead836205fea8e1288e6c255b247</t>
  </si>
  <si>
    <t>Remove test related to removed APIs.
Test: N/A
Bug: 37514611
Bug: 37463988
Bug: 37281200
Change-Id: I106476790263e5f158a8b630d42d344aec5dab1c</t>
  </si>
  <si>
    <t>Camera: Remove testOpaqueImageWriterReaderOperation
It ends up creating a pair of ImageReader/Writer with usage flags of
0, which is not allowed per the gralloc usage spec.
Test: Compiles
Bug: 36794161
Change-Id: Ic2de5fea20e83e22650d4966364f2d6ee2f7dfca</t>
  </si>
  <si>
    <t>Revert "BuildTest: split out test expected to fail on prerelease builds"
The commit was based on a misunderstanding of the semantics of
the @RestrictedBuildTest annotation.
This reverts commit b2d6cf2d3ac5e9a152b9deca8ae4e9b33e65c27b.
Test: nothing, ran BuildTest at subsequent CL
Bug: 35922665
Bug: 37484198
Change-Id: I9a41c7ae5255be2ec116f6af97959be8cecac11b
(cherry picked from commit c21996a3198d8f0cc40759a828ff5ecb343bf281)</t>
  </si>
  <si>
    <t>Fix testDisallowAutofill_allowed CTS test.
Added a small delay to let settings save before checking its value.
Bug: 37659751
Test: cts-tradefed run cts -m CtsDevicePolicyManagerTestCases -t com.android.cts.devicepolicy.MixedManagedProfileOwnerTest#testDisallowAutofill_allowed
Change-Id: I960a4e4c42233402b3dea2d9889bae9998d7587c</t>
  </si>
  <si>
    <t>Add tests for a11y listeners with handlers
Bug: 37542371
Test: Adding tests. Even ran them. And they passed!
Change-Id: Iae9b0de6c1c60241497e125507296e0920f63940
(cherry picked from commit 49a5c9fcc5aee50f0ecc54ebb1eefe0c450d7d6e)</t>
  </si>
  <si>
    <t>Fix non-run-test jvmti cts tests
We failed to remove some BindAgentJNI calls and did not update the
manifests correctly.
Bug: 37579245
Test: cts-tradefed run cts-dev \
    --compatibility:include-filter CtsJvmtiRedefineClassesHostTestCases \
    --compatibility:include-filter CtsJvmtiTaggingHostTestCases \
    --compatibility:include-filter CtsJvmtiTrackingHostTestCases
Change-Id: If358a9e3f940f2275a9de5311059fe3e54db262b</t>
  </si>
  <si>
    <t>Remove IpSecManagerTest
IpSecManager and its associated classes are removed from OC.
They are planned for a future release.
Bug: 37681043
Test: make cts
Change-Id: I2ff911d5c62dbbf9be699330742d041706d9cbc2</t>
  </si>
  <si>
    <t>Refactor and merge PNG dumping in VD CTS test
b/37421916
Test: bit
CtsGraphicsTestCases:android.graphics.drawable.cts.VectorDrawableTest &amp;&amp;
bit
CtsGraphicsTestCases:android.graphics.drawable.cts.AnimatedVectorDrawableTest
&amp;&amp; bit
CtsGraphicsTestCases:android.graphics.drawable.cts.VectorDrawableScaleTest
Change-Id: I3f1dc3bb998a1c03a3a4a125821958d07f7ddea1</t>
  </si>
  <si>
    <t>Remove IpSecManagerTest
IpSecManager and its associated classes are removed from OC.
They are planned for a future release.
Bug: 37681043
Test: make cts
Change-Id: I2ff911d5c62dbbf9be699330742d041706d9cbc2
Merged-In: I2ff911d5c62dbbf9be699330742d041706d9cbc2
(cherry picked from commit 3a51173a3a762b576dd3c0d29c883e8763a9f95b)</t>
  </si>
  <si>
    <t>Update CTS for bindDeviceAdminService change
Test: cts-tradefed run cts-dev --module DevicePolicyManager  --test com.android.cts.devicepolicy.DeviceOwnerPlusProfileOwnerTest
Fix: 37624960
Change-Id: Iab1f6e825f648808798ebbcade80a570c7e3043e</t>
  </si>
  <si>
    <t>Get rid of custom negaitve save button label - CTS
Test: CTS tests pass including the two new tests
bug:37649790
Change-Id: I6f38264981182f7874856367a7d9a6febf9c5bea</t>
  </si>
  <si>
    <t>Follow FontRequest moving in frameworks/base
Bug: 37326126
Test: am instrument -w -e class android.provider.FontsContractTest
      com.android.frameworks.coretests/\
      android.support.test.runner.AndroidJUnitRunner
Test: am instrument -w -e class android.provider.cts.FontProviderTest
      android.provider.cts/android.support.test.runner.AndroidJUnitRunner
Test: am instrument -w -e class android.provider.cts.FontRequestTest
      android.provider.cts/android.support.test.runner.AndroidJUnitRunner
Change-Id: Ic02bb2dae2461c13cf8729cf60dbb2e713a13a71</t>
  </si>
  <si>
    <t>Cts to verify assist service can't capture screen when the policy is set
Test: cts-tradefed run cts-dev --module DevicePolicyManager --test com.android.cts.devicepolicy.MixedManagedProfileOwnerTest#testScreenCaptureDisabled_assist_allowedPrimaryUser
Test: cts-tradefed run cts-dev --module DevicePolicyManager --test com.android.cts.devicepolicy.MixedDeviceOwnerTest#testScreenCaptureDisabled_assist
Test: cts-tradefed run cts-dev --module DevicePolicyManager --test com.android.cts.devicepolicy.MixedManagedProfileOwnerTest#testScreenCaptureDisabled_assist
Test: cts-tradefed run cts-dev --module DevicePolicyManager --test com.android.cts.devicepolicy.MixedProfileOwnerTest#testScreenCaptureDisabled_assist
Fix: 22840172
Change-Id: I596e3773cd3045e8431d2ce6621cec53c125567c</t>
  </si>
  <si>
    <t>WallpaperManager cts tests
Bug: 36856508
Test: runtest --path cts/tests/app/src/android/app/cts/WallpaperManagerTest.java
Change-Id: I0deebef23e2d828d3b52b623c1481794194a18bf</t>
  </si>
  <si>
    <t>Fix CTS test according to API change.
String -&gt; InetAddress in network events.
Bug: 37625453
Test: cts-tradefed run cts -m CtsDevicePolicyManagerTestCases -t com.android.cts.devicepolicy.DeviceOwnerTest#testNetworkLoggingWithSingleUser
Change-Id: Ib606de531305e0163e8037ed18fbcbe93662d4aa</t>
  </si>
  <si>
    <t>Address API council feedback.
Bug 37636027
Change FragmentTransaction#setAllowOptimization() to
FragmentTransaction#setReorderingAllowed().
Framework Change: I24c35aad95ffa14d2e2fa092ae71d3d459e6d648
Test: ran fragment cts tests
Change-Id: I729dc05bde1f6eba6ff8d38eb15f65de777c14bb</t>
  </si>
  <si>
    <t>Update tests as per the renamed ActivityMonitor.onStartActivity api.
Bug: 37672383
Test: cts-tradefed run singleCommand cts-dev --module CtsAppTestCases -t \
      android.app.cts.Instrumentation_ActivityMonitorTest
Change-Id: Ifed9e20408b298e2012b03449baa73c30ff23c00</t>
  </si>
  <si>
    <t>Add CTS tests for Canvas#clipOutRect
Bug: 37720768
Test: bit CtsGraphicsTestCases:CanvasTest
Change-Id: I2b63005dc809f93ad3809ea17774c7081e643182</t>
  </si>
  <si>
    <t>Temporarily remove failing test
Bug: 37633952
Bug: 37723275
Test: none
Change-Id: Iec50c9937c9d328a9b41e0e3f9997b6b0ee9547c</t>
  </si>
  <si>
    <t>Fix non-run-test jvmti cts tests
We failed to remove some BindAgentJNI calls and did not update the
manifests correctly.
Bug: 37579245
Test: cts-tradefed run cts-dev \
    --compatibility:include-filter CtsJvmtiRedefineClassesHostTestCases \
    --compatibility:include-filter CtsJvmtiTaggingHostTestCases \
    --compatibility:include-filter CtsJvmtiTrackingHostTestCases
Change-Id: If358a9e3f940f2275a9de5311059fe3e54db262b
(cherry picked from commit b0ac26f2aca2b8b41cb06262db6599be15f16060)
Merged-In: I1e6bb37ede7f4cf0d390cc7e8ac3d7b1863a3797</t>
  </si>
  <si>
    <t>Follow framework API change
Bug: 37637473
Bug: 37636731
Bug: 37638276
Test: run fragment tests
Change-Id: I35138090571ce134e81cee830bc30919e35ba211</t>
  </si>
  <si>
    <t>Added PartitionedActivityTest.testAutofill4PartitionsMixManualAndAuto
Test: yes, this is a test change...
Bug: 37675138
Change-Id: Idd501e9494bd4e04e8543f3cfd16e1718cac6164</t>
  </si>
  <si>
    <t>Relax the wait time to avoid flakiness
Also simplified the test names to make them easier
to read
BUG: 37552464
Test: this CL
Change-Id: Icf22c07a4484fa37e6ceaedcbccacc72d88992a5</t>
  </si>
  <si>
    <t>Fix most private API usage in CtsGraphicsTestCases
Bug: 37779858
Test: bit CtsGraphicsTestCases:*
ColorSpace#Renderer was @hidden, so test are moving to APCT.
Change-Id: I9784f533895ddf1a38da79dbe62ec29135e41a50</t>
  </si>
  <si>
    <t>A11y CTS changes to match API council requests
Bug: 37749679
Bug: 37747749
Bug: 37737948
Bug: 37718183
Bug: 37720667
Bug: 37724600
Bug: 37708057
Test: Affected tests still pass.
Change-Id: I8a56fd0f4ac8475b2f5330c24578dde826fb1d37</t>
  </si>
  <si>
    <t>TextClassificationManagerTest: update cts test.
See I2d926e89058babf06bcff390bee3a45e965984e8
Test: bit CtsViewTestCases:android.view.textclassifier.cts.TextClassificationManagerTest
bit CtsWidgetTestCases:android.widget.cts.TextViewTest
Bug: 37769880
Change-Id: Ibc02d1deb3af1dcd3992339a04b9e43ad35e5972</t>
  </si>
  <si>
    <t>Update AImageReaderCts
Remove test cases that enforce GPU's support for explicit AImage
format. In OC timeline, we can't guarantee all vendors will support
all of those use cases.
Bug: 35114769
Bug: 37097572
Test: cts-tradefed run cts -s FA6C50303983 -m CtsMediaTestCases -t
android.media.cts.NativeImageReaderTest
Change-Id: I55543789011147e7d77eebe348d1599a560ec7a5</t>
  </si>
  <si>
    <t>Fixed testFillResponseAuthJustOneField()
Bug: 37424539
Test: testFillResponseAuthJustOneField()
Change-Id: Idd6779a9bfbb21ae03357a9b9ac5115e97c1ff7e</t>
  </si>
  <si>
    <t>DO NOT MERGE: Change GridViewTest to JUnit4 style
To avoid race issue in ActivityInstrumentationTestCase2, the CL
partially backport an internal change which converts GridViewTest into
JUnit4 style.
Bug: 37690910
Change-Id: Id3f8053c405c8f74836883165cd4e4bd5d212047</t>
  </si>
  <si>
    <t>avoid using private APIs for PhoneNumberUtils cts
Bug: 13250611
Test: run cts -m CtsTelephonyTestCases -t
android.telephony.cts.PhoneNumberUtilsTest
Change-Id: I9a05ab9e69104ba1fd28f02e1f4f90b89bd08db5</t>
  </si>
  <si>
    <t>Enforce TryFailThrowable error_prone rule
Enforce the rule against CTS tests to ensure the tests are
actually checking something and not always passing because
they catch the fail().
Test:  make cts javac-check -j76 TARGET_PRODUCT=aosp_arm64
WITH_DEXPREOPT=false RUN_ERROR_PRONE=true
Bug: 37854485
Bug: 37947046
Change-Id: I8840b9c72bec7ccbec3a1d3f05d7d3002d74c386</t>
  </si>
  <si>
    <t>Test left, top, and autofillHints of ViewNode
Add three tests:
- Test ViewNode.getAutofillHint similar to View.getAutofillHint
- Test ViewNode.getLeft and ViewNode.getTop for regular autofill
- Test ViewNode.getLeft and ViewNode.getTop for forced autofill
Bug: 36060132, 37444334
Test: CtsAutoFillServiceTestCases
Change-Id: I7b3c31b9b49426f4541f3f5dbcae3bf6d7b59565</t>
  </si>
  <si>
    <t>Remove stride/offset from verify/compare logic
Bug: 37421916
Test: bit CtsUiRenderingTestCases:*
No clients of the logic need sub-region compare, and if they need to
in the future, they can crop the data before verification.
Change-Id: Ibd19e13a0eed875aa502ccc7354bfe7734d31107</t>
  </si>
  <si>
    <t>Add CTS tests for TextUtils.concat() with paragraph spans
The tests check that concat() doesn't crash and its result is
reasonable. Also add tests that check that null parameters are
treated as "null" when there are more than one parameters.
Test: cts-tradefed run cts-dev --module CtsTextTestCases --test android.text.cts.TextUtilsTest
Bug: 28271770
Change-Id: I50dc7df0093573f01ecc666728b57f6999492a35</t>
  </si>
  <si>
    <t>Break tests into individual cases
Change-Id: Ic4432c9d14d770b8f7921333e3ba15f90e2cee43
Fixes: 37948570
Test: cts-tradefed run commandAndExit cts-dev -m CtsAppSecurityHostTestCases -t android.appsecurity.cts.EphemeralTest</t>
  </si>
  <si>
    <t>Fix test for a11y fingerprint with no sensor
After the API change where getFingerprintGestureController never
returns null, we can't very well have a CTS test that demands
it return null. Removing that test and adjusting the initial
state test to match the availability of hardware.
Bug: 38004367
Test: Test passes on both Sailfish and Ryu
Change-Id: Ib90fd2021f57f6d98ba1b400bae6401c0285e065</t>
  </si>
  <si>
    <t>[CTS] Add a test for key/value backup and restore.
This test is intended to replace BackupTest in CTS Verifier (removed in
this change).
The test installs the app that generates random values and saves them in
different shared preferences and files. It uses BackupAgentHelper to do
key/value backup of those values. The tests verifies that the values are
restored after the app is uninstalled and reinstalled.
Test: make cts -j40 &amp;&amp; cts-tradefed run cts -m CtsBackupHostTestCases
Bug: 32797101
Change-Id: I75c0ebcd3bef3dae36a21ae704596af678c14ca9</t>
  </si>
  <si>
    <t>Revert "Remove stride/offset from verify/compare logic"
Fixes: 38041690
This reverts commit a15b313a5f1c068ce909cf05e44b6982dcde0b41.
Change-Id: Iebb02a6cf4a1012baad21d9e2e7315e7e0b9b5ce</t>
  </si>
  <si>
    <t>Revert "Make AHardwareBuffer test cases run through JNI."
This reverts commit b46dc4767cdaa44992c2083c915d28cb1a94cc96.
Change-Id: I86d93e6c943e45be4800313e5520947254146115</t>
  </si>
  <si>
    <t>Add more activity lifecycle scenario tests
And remove unnecessary activity rule.
Test: CtsAutoFillServiceTestCases
Bug: 38042845, 38070352, 38026166
Change-Id: Ie6e35e55a6ee3e12b5d87b1084d67f030fcdb5c4</t>
  </si>
  <si>
    <t>KernelSettingsTest: delete SELinux enforcing test
This is a duplicate of a host-side test, so can safely be deleted.
This file cannot be read anymore as of system/sepolicy commit
14e2e9261fec015ab6fa66f2bc67439f13c45b8d
Bug: 27756382
Test: CTS compiles.
Change-Id: I5bcfe2c0f3a72e2d76fb9122747cf3192387d69d</t>
  </si>
  <si>
    <t>Adds more tests for 26 preferences APIs.
The goal is to increase the test coverage.
Also increases deadline for multi-window tests since they seem to be flaky
and I need to see if multi-window got slower or the root cause is somewhere
else since I'm not able to reproduce these issues on cloud or localy.
Bug: b/37732781
Test: run cts-dev -m CtsPreference2TestCases -t
android.preference2.cts.PreferenceRecycleTest
cts-tradefed run cts-dev -m CtsPreference2TestCases -t
android.preference2.cts.PreferenceDataStoreTest
Change-Id: I41f08d46c6b0248b2933cc22451492c5d5b007b0</t>
  </si>
  <si>
    <t>VolumeShaperTest: Update for corner cases
Add tests on startup or after pause.
Add tests on closing.
Add multiple shaper tests.
Add tests to get volume when not started.
Use assertThrows.
Test: this is it.
Bug: 37536598
Change-Id: Ib48a6bdb78c654b18bc959865994be276d40ae82</t>
  </si>
  <si>
    <t>Remove tests for voicemail ringtone settings
With the change in O notification channels setting ringtone through
telephony no longer works. These APIs is to be deprecated.
Change-Id: If43402d1657385b6b50d7e427200a9656cdf9c1f
Fixes: 38237253
Test: CtsTelephonyTestCases VisualVoicemailServiceTest</t>
  </si>
  <si>
    <t>Test display metrics after enter/exit PiP
Bug: 37722714
Test: android.server.cts.ActivityManagerPinnedStackTests
Test: #testDisplayMetricsPinUnpin
Change-Id: If61035a3ab58a2b90a8b2a0bd243f040e7d17134</t>
  </si>
  <si>
    <t>CTS Test more video resolutions in DecodeAccuracyTest.
There are 396 tests in total that take 15-25 minutes to run.
Replacing the original test cases with about 3MB of
new test streams. The test will be run based on the
capability of codecs.
Test: test results will be shared in comments.
Bug: 38181390
Change-Id: Ia06142aaf6f55fc7bd02c72b069e7d02265fadf3</t>
  </si>
  <si>
    <t>[CTS] Remove call log backup tests (moved to GTS)
Test: make cts -j40 still works
Bug: 37301304
Bug: 29085027
Change-Id: I7443a3b828609d461949fa513c54e544efd38813</t>
  </si>
  <si>
    <t>Ease constraints for compress/extractAlpha methods on HW bitmaps
Some device are not always precise.
bug:38242157
Change-Id: I48944d3a374e251577dd998ae5144974d40f722b</t>
  </si>
  <si>
    <t>Fix issue #38244875: Bring back testChargingConstraintFails
It was flaky because we need to wait for the job scheduler
to get in to the charging/discharging state, since that happens
async from battery updates.
Also improve the tests to check more conditions, not wait an
absurd amount of time to see if the job runs (we can instead
mostly rely on the new get-job-state command), and have a few
check to see if their job is stopped when its constraints are
no longer satisfied.
Test: bit -t CtsJobSchedulerTestCases:*
Change-Id: Iecee36b9e6b3892d1b5d56807a6d6d1b0b848a76</t>
  </si>
  <si>
    <t>host side MediaBitstreamsTest
Bug: 30268664
Test: run cts everything -m CtsMediaBitstreamsTestCases
Change-Id: Iae347d44a27bcc2290dd93f1db6638011b884ef9</t>
  </si>
  <si>
    <t>Add test for files in no_backup folder.
Ensures that files put into the getNoBackupFilesDir() is not restored
after doing backup/restore, while files outside the folder are.
Test: make cts -j40 &amp;&amp; cts-tradefed run cts -m CtsBackupHostTestCases -t
android.cts.backup.NoBackupFolderHostSideTest
Bug: 20088872
Change-Id: Ib7ee6907562051ce4aecae76cefb145315fd6b47</t>
  </si>
  <si>
    <t>cts: fix potential crash due to race between close() and callbacks
MediaCodec callbacks, when set without a handler specified, will
run on the internal looper, which will be on a different thread
from where the test calls close(). If the callback arrives shortly
before close() is called, the callback could be accessing the codec
after it's released.
Synchronize the callback and close() with a lock.
bug: 38213014
Change-Id: Ifa85459203574d257ba27cce471b5b23f0c1c4da</t>
  </si>
  <si>
    <t>CTS test for app manifest include/exclude rules.
Checks that data produced by the test app is restored according to the
rules in its manifest. Checks filesDir, databaseDir, rootDir,
externalDir and sharedPreferences.
Test: make cts -j40 &amp;&amp; cts-tradefed run cts -m CtsBackupHostTestCases -t
android.cts.backup.FullbackupRulesHostSideTest
Bug: 20817292
Change-Id: Ie3183a2d64e283b4b1f7b854329622fad54a3eb0</t>
  </si>
  <si>
    <t>DO NOT MERGE [CTS] Add a test for key/value backup and restore.
This test is intended to replace BackupTest in CTS Verifier (removed in
this change).
The test installs the app that generates random values and saves them in
different shared preferences and files. It uses BackupAgentHelper to do
key/value backup of those values. The tests verifies that the values are
restored after the app is uninstalled and reinstalled.
Test: make cts -j40 &amp;&amp; cts-tradefed run cts -m CtsBackupHostTestCases
Bug: 32797101
Bug: 38492377
Change-Id: I580907c4ceb2cafb6d2372fbc05f6d8a9ac70e29</t>
  </si>
  <si>
    <t>DO NOT MERGE ANYWHERE Add test for files in no_backup folder.
Ensures that files put into the getNoBackupFilesDir() is not restored
after doing backup/restore, while files outside the folder are.
Test: make cts -j40 &amp;&amp; cts-tradefed run cts -m CtsBackupHostTestCases
Bug: 20088872
Bug: 38492377
Change-Id: Ib7ee6907562051ce4aecae76cefb145315fd6b47</t>
  </si>
  <si>
    <t>Remove deprecated CarUiProviderTest.
Bug: 32019250, 62058921
Test: Trivial file deletion.
Change-Id: Icef02886790a43b8e24a849641e3ba28acd8fc2c</t>
  </si>
  <si>
    <t>DO NOT MERGE [CTS] Add a test for key/value backup and restore.
This test is intended to replace BackupTest in CTS Verifier (removed in
this change).
The test installs the app that generates random values and saves them in
different shared preferences and files. It uses BackupAgentHelper to do
key/value backup of those values. The tests verifies that the values are
restored after the app is uninstalled and reinstalled.
Test: make cts -j40 &amp;&amp; cts-tradefed run cts -m CtsBackupHostTestCases
Bug: 32797101
Bug: 38492377
Change-Id: I580907c4ceb2cafb6d2372fbc05f6d8a9ac70e29
(cherry picked from commit 8b6f771a4c31902ab644396a161e269b69a747fb)</t>
  </si>
  <si>
    <t>SELinuxHostTest: Replace assertFileEquals with assertFileStartsWith
commit: 0f0aea19c540f109280bed5157dea3c6b545ac3f introduced
assertFileEquals() to check that the platform sepolicy matched AOSP's
platform policy exactly.  Partners are allowed to make a range of extensions
to their platform policies, though, including adding new system services,
properties, and seapp_contexts rules.  Remove assertFileEquals() and replace
with assertFileStartsWith() to ensure that AOSP policy is maintained without
prohibiting customization.
Bug: 62066399
Test: SELinuxHostTests pass.
Change-Id: Ic5c1ad9930615e5c93487f66984e1e63919cbf71</t>
  </si>
  <si>
    <t>Make storage and StrictMode tests more robust.
Many of the AppSecurity tests verify cross-user interactions by
creating and starting temporary users on multi-user devices.  Since
user creation adds significant overhead, this change creates a
secondary and tertiary user only once for the entire module, which
individual tests can then efficiently reuse.
Quietly skip testFullDisk() when we're unable to free up more than
90% of disk space, since that's a prerequisite for that test.
Rewrite StrictModeTest to use explicit listener for observing
violations, since reading back raw logcat data recently became
very flaky.
Test: cts-tradefed run commandAndExit cts-dev -m CtsOsTestCases -t android.os.cts.StrictModeTest
Test: cts-tradefed run commandAndExit cts-dev -m CtsAppSecurityHostTestCases
Test: cts-tradefed run commandAndExit cts-dev -m CtsAppSecurityHostTestCases -t android.appsecurity.cts.StorageHostTest
Test: cts-tradefed run commandAndExit cts-dev -m CtsAppSecurityHostTestCases -t android.appsecurity.cts.ExternalStorageHostTest
Bug: 38234598, 37486230, 37915178, 62018992
Change-Id: I97182aaa8c82cdc0a1169d5b4adac053c84a1b11</t>
  </si>
  <si>
    <t>Test all Unicode 10 emoji
Check that all Unicode 10 emoji are covered by the fonts on the
device.
Test: cts-tradefed run cts-dev --module CtsTextTestCases --test android.text.cts.FontCoverageTest
Bug: 27532550
Bug: 38177061
Change-Id: I954eb85e7689d5b043f6c95f33bdc3c067001484</t>
  </si>
  <si>
    <t>Ensuring a settings activity for unknown sources
Added a test to make sure that an activity to handle the action
MANAGE_UNKNOWN_APP_SOURCES exists. Also removed ui automater parts of
the test as they were moved to GTS to make sure the UI elements are
guaranteed to exist.
Test: cts-tradefed run cts-dev -m CtsExternalSourcesTestCases
Bug: 62100940
Change-Id: I7a1f6bcd298761434562d7252ea97d4753ffa96e</t>
  </si>
  <si>
    <t>DO NOT MERGE ANYWHERE Add test for files in no_backup folder.
Ensures that files put into the getNoBackupFilesDir() is not restored
after doing backup/restore, while files outside the folder are.
Test: make cts -j40 &amp;&amp; cts-tradefed run cts -m CtsBackupHostTestCases
Bug: 20088872
Bug: 38492377
Change-Id: Ib7ee6907562051ce4aecae76cefb145315fd6b47
(cherry picked from commit 980af34e09a033e19a6034743bc60c6e601f6b97)</t>
  </si>
  <si>
    <t>Verify attestation certificate chain.
A couple elements of the attestation certificate chain were unverified;
we didn't match the subjects with issuers, and didn't check that the
root certificate was properly self-signed.
Test: runtest --path cts/tests/tests/keystore/src/android/keystore/cts/KeyAttestationTest.java
Change-Id: Ie4303b75d37b1aeedb6842f66c4e36b23d90253b</t>
  </si>
  <si>
    <t>Revert "Add new test type to StagefrightTest"
This reverts commit 6724527ab528c8abbd0a4dd9fb560005fc200ee9.
Bug 36816007 isn't actually fixed yet, so we shouldn't have a test for it yet.
Bug: 36215950
Bug: 36816007
Bug: 36895511
Bug: 38431599
Change-Id: Iab2c0c2f33a97b2a32b431a0eb0b0eaa95217307</t>
  </si>
  <si>
    <t>Revert "Add CTS test for underlines not affecting width"
This reverts commit 6c11e6dd7b660544650fb8fbccb924b75b227a74.
Bug: 62234081
Change-Id: Ib5404a7fcee0d18015dfa7dd8cfe1a0d145cc94d</t>
  </si>
  <si>
    <t>Add timeout to racy caption test
Bug: 62264418
Test: This test was failing on me. Now it passes.
Change-Id: Id6b9d03c30a7aab7e258dfc8a7852ef4a560c2f9</t>
  </si>
  <si>
    <t>Revert "Reland "Add pages count test for WebView printing""
Revert this until M59 in master.
Bug: 38004073
This reverts commit 02c12dde10d73f9a17a0e7fd957094ecb0f4678e.
Change-Id: Ia583b7968c6be57213b2830086a69f7ab686f334</t>
  </si>
  <si>
    <t>CTS test for 'fullBackupOnly' manifest attribute
Uses 3 different versions of the same app that differ only by
'fullBackupOnly' value and the presence/absence of the backup agent.
Tests the following scenarios:
1. App that doesn't have fullBackupOnly (same as fullBackupOnly=false by
default) and has a backup agent will get key/value backup.
We check that key/value data was restored after reinstall and dolly data was not.
2. App that doesn't have fullBackupOnly (same as fullBackupOnly=false by
default) and has no backup agent will get Dolly backup.
We check that key/value data was not restored after reinstall and dolly data was.
3. App that has fullBackupOnly=true  and has a backup agent will only
get Dolly backup.
We check that key/value data was not restored after reinstall and dolly data was.
The flow of the tests is the following:
1. Install the app
2. Generate files in data folder of the app, including a file in
no_backup folder. The file in no_backup folder is used for key/value backup by
the backup agent of the app.
3. Run 'bmgr backupnow'. Depending on the manifest of the app we expect
either Dolly or Key/value backup to be performed.
4. Uninstall and reinstall the app.
5. Check that the correct files were restored depending on the manifest:
 - Files in the app's data folder for Dolly backup
 - Only file in no_backup folder for key/value.
Test: cts-tradefed run cts-dev -m CtsBackupHostTestCases -t android.cts.backup.FullBackupOnlyHostSideTest
Bug: 38108587
Change-Id: If29577a5209fc77cebebe23dc879c51ab4be5e65</t>
  </si>
  <si>
    <t>DO NOT MERGE Remove testStagefright_cve_2015_3826
This test should have been removed from L, but was only removed from L-MR1
Bug: 38391487
Bug: 27368229
Test: build
Change-Id: I31bbaac5244df211a60e3c9465772846a4dc57d7</t>
  </si>
  <si>
    <t>Add timeout to racy caption test
Bug: 62264418
Test: This test was failing on me. Now it passes.
Change-Id: Id6b9d03c30a7aab7e258dfc8a7852ef4a560c2f9
(cherry picked from commit 846ec2dd22d429832f10a4b82709cccf61b83ebb)</t>
  </si>
  <si>
    <t>Fix text tests to not use non-public APIs
This CL modifies various tests or moves them to frameworks core tests.
Bug: 37780152
Test: cts-tradefed run cts-dev --module CtsTextTestCases
Change-Id: I3bb6df901b5c181a15235d8a627a5ead57ab0b05</t>
  </si>
  <si>
    <t>KernelSettingsTest: delete SELinux enforcing test
This is a duplicate of a host-side test, so can safely be deleted.
This file cannot be read anymore as of system/sepolicy commit
14e2e9261fec015ab6fa66f2bc67439f13c45b8d
Bug: 27756382
Bug: 62386947
Test: CTS compiles.
(cherry picked from commit 4938b4d5ef8f2246784e919113331420ae541208)
Change-Id: Idbae18b4d89ac89d1311f1310b3d4a5772e51f9d</t>
  </si>
  <si>
    <t>Improved Autofill CTS and fixed (?!?!?) it's flakiness:
- Improved tests to make sure the exact number of datasets is shown.
- Disable service before each test (and after each class).
- Removed redundant try/catch blocks.
- Removed unnecessary eventually() calls.
- Ignore onFillRequests() after test finished.
- Properly throw RetryableException in some places.
- Automatically retry on StaleObjectException.
Test: CtsAutoFillServiceTestCases passed 2x without errors in 2 devices
Bug: 37566627
Change-Id: I9e7be702c8592cdee0d2182a01a2cf26dc04b4d4
Fixes: 37640760</t>
  </si>
  <si>
    <t>CTS CalendarViewTest - rewrite min/max test
Inlines with the framework material implementation
where we do not throw an error anymore when min or
max date are before, respectively after the selected
date, but instead clamp selected date to the new
min/max if it is outside the interval.
Obs: the holo implementation still keeps throwing the
     error since API 21
Bug: 62485314
Bug: 62436528
Test: cts-tradefed run cts-dev -m CtsWidgetTestCases -t
      android.widget.cts.CalendarViewTest#testMinMaxRangeClampingMaterial
Test: cts-tradefed run cts-dev -m CtsWidgetTestCases -t
      android.widget.cts.CalendarViewTest#testMinMaxRangeRestrictionsHolo
Change-Id: I6fe38e026108470f53498cd63c298259e565639d</t>
  </si>
  <si>
    <t>Remove cts tests for validating uid times per cpu freq in dump.
Bug: 62492900
Test: cts-tradefed run singleCommand cts-dev -m ctsIncidentHostTestCases -t \
      com.android.server.cts.BatteryStatsValidationTest
Change-Id: I448ef830794d36ac251e431e5417293584d18201</t>
  </si>
  <si>
    <t>Removing some noise from CTS tests
Currently if one test fails in CtsAdminPackageInstallerTestCases, all following tests
fail. Updating the test so that the state is properly reset at the start.
Test: adb shell am instrument -w android.packageinstaller.admin.cts/android.support.test.runner.AndroidJUnitRunner
Bug: 62542859
Change-Id: I2dc3e3fc8f36b4a611ac93315310151df876845e</t>
  </si>
  <si>
    <t>Fixed autofill CTS permission issues.
- Removed unneeded call to 'wm dismiss-keyguard'.
- Removed redundant LoginActivity.testUserRestriction() (whose logic is
  already tested on CtsDevicePolicyManagerTestCases.
Fixes: 62377598
Test: CtsAutoFillServiceTestCases pass after calling adb unroot
Change-Id: Idcdf29fe9645f4d6cafe2a019d27f245e0dcd919</t>
  </si>
  <si>
    <t>Parameterize MediaBitstreamsTest
Bug: 30268664
Test: cts-tradefed run everything \
  -m CtsMediaBitstreamsTestCases \
  -t MediaBitstreamsTest#testBitstreamsConformance[path/to/bitstream]
Change-Id: I44a8bf4c6cba93e5d68aa52791f321f402334cc9</t>
  </si>
  <si>
    <t>Only test available intents
because instant applications can't get enough permissions to inspect
the device, they are reliant on system defined pickers/choosers.
ensure the various chooser/pickers have been properly exported to
instant applications; but, only if they're available on the device
for full applications.
Change-Id: Ic9568d5e1f0508d3d49bebade7ea73da25e1fb44
Fixes: 62233495
Test: cts-tradefed run commandAndExit cts-dev -m CtsAppSecurityHostTestCases -t android.appsecurity.cts.EphemeralTest</t>
  </si>
  <si>
    <t>Add CTS test for FullBackupDataOutput.getQuota
Test: cts-tradefed run cts -m CtsBackupTestCases
Change-Id: I9ed78432b42de9d0aaa1e6f764920e15630d5e86</t>
  </si>
  <si>
    <t>Check that full backup calls expected methods on BackupAgent
This improves our API CTS coverage by about 15%
Also pulled some utility methods out of FullBackupQuotaTest
into BaseBackupCtsTest so that they could be shared by new test.
Test: cts-tradefed run cts -m CtsBackupTestCases
Change-Id: Iad50ca06901f7d10fd1efba8a59bdc85b77a331a</t>
  </si>
  <si>
    <t>Autofill CTS improvements:
- Refactored some AutofillServiceTestCase features into Helper.
- Fixed onFillRequest() so if a RetryableException is thrown it's properly
  retried.
- Removed redudant method calls
Bug: 62836529
Bug: 37566627
Test: existing CtsAutoFillServiceTestCases pass
Change-Id: Ia57ca4d32e09e841c9de91edfa469471e7d918d1</t>
  </si>
  <si>
    <t>Change shell command
Use noman to toggle notification listener access
Bug: 62815965
Test: this
cts-tradefed run cts-dev --module DevicePolicyManager --test com.android.cts.devicepolicy.ManagedProfileTest#testCrossProfileNotificationListeners_EmptyWhitelist
cts-tradefed run cts-dev --module DevicePolicyManager --test com.android.cts.devicepolicy.ManagedProfileTest#testCrossProfileNotificationListeners_InWhitelist
cts-tradefed run cts-dev --module DevicePolicyManager --test com.android.cts.devicepolicy.ManagedProfileTest#testCrossProfileNotificationListeners_NullWhitelist
Change-Id: I70c40e9e9fecfa782fa8e175d27e4c29d129d78a</t>
  </si>
  <si>
    <t>Rewrites CTS test for key/value backup
Previous implementation used logcat as means of communication between
the test app on the device and the host side of the test. Due to the
nature of logcat that proved to be unreliable and flaky.
New implementation uses device-side test routines to save, read and
verify shared preferences and files. The host side is used to drive the
test flow, install and uninstall the test app, run backup and restore commands.
Test: cts-tradefed run cts -m CtsBackupHostTestCases -t android.cts.backup.KeyValueBackupRestoreHostSideTest
Bug: 38331563
Change-Id: I0d3082c7b0088965f9d018aeb35eae6244f80018</t>
  </si>
  <si>
    <t>Progress towards FBE and adoptable storage.
Adoptable storage is a feature present on many Android devices with
physical SD card slots or stable USB OTG ports.  We want to give
developers a way to validate and debug their apps on all device
styles, regardless of what that device physically supports, so we
added a new "virtual disk" feature that presents itself as a
physical SD card for testing purposes.
This is also valuable for devices that only have a single USB OTG
port, since it required an awkward CTS testing setup with adb-over-
network.  Using this virtual disk feature we can validate the
behavior over a normal adb connection.
Also extend the test to run over mulitple users, when supported.
Since we can race ahead of PackageManager scanning and loading of
newly mounted volumes, use a new dump feature to explicitly watch
for the volume to finish being loaded/unloaded.
Test: cts-tradefed run commandAndExit cts-dev --abi armeabi-v7a -m CtsAppSecurityHostTestCases -t android.appsecurity.cts.AdoptableHostTest
Bug: 37436961, 29923055, 25861755, 30230655
Change-Id: Ie5be88429b7e182abeffed80b0d60612dd72c3a9</t>
  </si>
  <si>
    <t>Add CTS tradefed target preparer for backup tests.
BackupPreparer is used to enable backup and select LocalTransport
on the testdevice before all the tests and return the device
to the original state after all tests are finished.
This is better than the current way of implementing it in the
base test class, which is enabling/disabling backup before/after
each test, which can trigger the device init operation
that can disrupt the execution of the next test since it's run
async and there is no guarantee on when it's going to be executed.
Bug: 62253989
Test: make cts -j32 &amp;&amp; cts-tradefed run cts-dev -m
CtsBackupHostTestCases
Change-Id: Iaeb9c62dc77ffce4d96bf992692c7ec9e9caffb3</t>
  </si>
  <si>
    <t>VrCpuTest - On Vr high performance devices, remove need for exclusive core
Bug: b/34973979
VrDisplayTest -Increase max display length to be 6.3 inches for bezel'less devices
Bug: b/62619244
Change-Id: Id30cf850f8ae840a9bd4cefd46138fd484cd6ad5</t>
  </si>
  <si>
    <t>Use BackupPreparer to prepare device for backup tests
Test: cts-tradefed run cts -m CtsBackupTestCases
Change-Id: I6fda672e26ae8400d8b934af2af30e528a6e2db8</t>
  </si>
  <si>
    <t>MediaSession: Split test cases for getting active sessions
Splits test cases against primary users, additional users,
restricted profiles and managed profiles.
Test: cts-tradefed run cts -m CtsMediaHostTestCases
Bug: 63112661
Change-Id: If823590a2d0803c8d75a08232052f30ef0cc8013</t>
  </si>
  <si>
    <t>Removed CTS test of private API
Moved to a unit test since API isn't acessible anymore
Change-Id: I70b657a69a5eeb56a791861fb5a09ecfdfd7ef57
Fixes: 63096109
Test: runtest -x tests/app/src/android/app/cts/WallpaperColorsTest.java</t>
  </si>
  <si>
    <t>Make backup CTS tests more resilient for failing logcat --clear
Test: cts-tradefed run cts -m CtsBackupTestCases
Change-Id: I3202367fff7436da23b50ab09ab00b671fd635fe</t>
  </si>
  <si>
    <t>Parameterize SignatureTest with expected api files
Replaces a hard coded api file name with a list of api file names
provided as a comma separated instrumentation-arg in the AndroidTest.xml
file. This will allow the same code to be used to test multiple
different API definitions simply by changing the AndroidTest.xml.
Cleaned up some warnings and poorly structured code (e.g. empty while
loops).
Tested using:
    m -j32 CtsApiSignatureTestCases &amp;&amp; \
        cts-tradefed run cts -a arm64-v8a -m CtsApiSignatureTestCases
Bug: 35192974
Bug: 30188076
Test: see above
Change-Id: Ie756b094db2ee232f58bce6fa85f306c9d4df7d6</t>
  </si>
  <si>
    <t>Refactor signature compliance checking code
Refactor the signature compliance checking code to make it easier to
reuse different parts by providing a clear separation of concerns and
removing duplicated code.
The IntentTest and SignatureTest both share some code for processing an
API description file into JDiffClassDescription objects. That code is
extracted into the ApiDocumentParser class. The only main difference
between the two usages is that SignatureTest checks the
JDiffClassDescription against the accessible runtime Class object
whereas IntentTest extracts values of some fields.
That code difference is abstracted away behind the
ApiDocumentParser.Listener interface whose completedClass(...) method is
invoked with a JDiffClassDescription, fully populated with information
about its members.
JClassDiffDescription fulfilled two separate roles:
1) Providing a representation of the API
2) Checking runtime compliance with the API description.
The latter itself consisted of two parts, finding the runtime element
(e.g. class, method, etc.) using reflection and then comparing the
runtime element against its description. These were extracted out into
ReflectionHelper and ApiComplianceChecker classes respectively.
Various formatting and structural issues in the code were cleaned up.
Tested using:
    m -j32 CtsApiSignatureTestCases &amp;&amp; \
        cts-tradefed run cts -a arm64-v8a -m CtsApiSignatureTestCases
And:
    m -j32 CtsIntentSignatureTestCases &amp;&amp; \
        cts-tradefed run cts -a arm64-v8a -m CtsIntentSignatureTestCases
And:
    m -j32 signature-hostside signature-tests &amp;&amp; \
        cts/tests/signature/tests/signature/run_unit_tests.sh
Bug: 35192974
Bug: 30188076
Test: see above
Change-Id: Id9ca8c93372d6e89f59eed55db5a96c2f3e17b32</t>
  </si>
  <si>
    <t>Adding rate independency test for sensor direct report
Adding tests to verify rate independency,
  * between different sensors in one single channel.
  * between sensors in different channel.
  * between direct report and traditional poll report.
A few tests are added to known-failure list before various criteria
are finalized.
Test: test device passed SensorDirectReportTest
Bug: 38420898
Change-Id: If9b30025dfb8d6ff2798efe0b65288e3cb39c006</t>
  </si>
  <si>
    <t>Fix testProcSelfPagemapNotAccessible() on new kernels
New kernels take a different approach to mitigating Rowhammer-style
attacks.  Processes without CAP_SYS_ADMIN can once again read from
/proc/self/pagemap, but all entries will have the PFN bits zeroed out.
Since /proc/self/pagemap can stay accessible if it's sanitized, rename
the test to testProcSelfPagemapSane().
Test: bit CtsPermissionTestCases:.FileSystemPermissionTest\#testProcSelfPagemapSane
      (on sailfish [3.18] and hikey [4.9])
Bug: 62235647
Change-Id: Ie53e331415590881a5101487b29e5dc62c016495
Signed-off-by: Greg Hackmann &lt;ghackmann@google.com&gt;</t>
  </si>
  <si>
    <t>Refactor BitmapDrawable preload density tests.
This refactor removes the need for golden images by moving the test into
CtsUiRendering so that we can use the existing pixel comparison utilities.
Test: CtsGraphicsTests CtsUiRenderingTests
Change-Id: I47924a6a3761ccd6bb37843a12ebd47db45498fb</t>
  </si>
  <si>
    <t>More TextClassificationManagerTest
Test: bit CtsViewTestCases:android.view.textclassifier.cts.TextClassificationManagerTest
Bug: 34780395
Change-Id: Iace6d6817f0311dd166f9815efc388fca432aa89</t>
  </si>
  <si>
    <t>DO NOT MERGE
Remove ClonedSecureRandomTest
This test was kind of flaky because it depended on a lot of variables
working. SELinux has now blocked pid_max which makes this test fail 100%
of the time.
It is obsoleted by BoringSSL. This problem only affected OpenSSL because
it buffered random data which could be a problem when forking.
Test: cts-tradefed run cts -m CtsSecurityTestCases -a arm64-v8a
Bug: 34077876
Change-Id: I9ea90a8f1e1620d184fd0315ea119abb601c9658</t>
  </si>
  <si>
    <t>Cleaning up uses of @hide apis
Bug: 62069804
Bug: 62066671
Test: View_FocusHandlingTest and FocusFinderTest still pass
Change-Id: I530442cfee16a5e8db3c828cd55fd92aa62fd451</t>
  </si>
  <si>
    <t>Support odd (that is, non-even) densities in GradientDrawable#testPreloadDensity
Bug: 35385573
Test: cts-tradefed run singleCommand cts-dev --module CtsGraphicsTestCases --test android.graphics.drawable.cts.GradientDrawableTest
Also adds a hard-coded tvdpi test, which runs regardless of device DPI.
Change-Id: I73a3c80ef8060a52b72b9a45f0998e0b166a9688
Merged-In: I1c89d77c7d6ff17e8c1979f736a2a1527eea1f76</t>
  </si>
  <si>
    <t>Support odd (that is, non-even) densities in several drawable tests
Bug: 35385573
Test: cts-tradefed run singleCommand cts-dev --module CtsGraphicsTestCases
Change-Id: I935320fbb3a3d9fc27ac63b82ea98fdc53b47098
Merged-In: Ia54804687657418875fbfcd08fcc74fcacac2ce9</t>
  </si>
  <si>
    <t>Uses Pattern instead of String for new Autofill Save API.
Test: CtsAutoFillServiceTestCases pass
Bug: 62534917
Change-Id: I61c27c3224ed88d8bf8cb9cfefe4b5fb9de9ec67</t>
  </si>
  <si>
    <t>Changed CustomDescriptionTest to handle 'fail one, fail all' mode.
Test: removed CustomDescriptionTest.badCharSequenceTransformation()
Test: added CustomDescriptionTest.failOneFailAll()
Test: added CustomDescriptionTest.failSecondFailAll()
Bug: 62534917
Change-Id: I5488abc3705196f8a6e4847a0637e98c33cc1288</t>
  </si>
  <si>
    <t>DO NOT MERGE - Moar Autofill CTS improvements:
- Created a MultipleExceptionsCatcher used to throw multiple exceptions.
- Ignore fillRequests() when the service is not enabled.
- Created a custom ActivityTestRule that cleans up autofill state before
  starting the activity.
- Moved some helpers from AutoFillServiceTestCase to Helper.
Test: CtsAutoFillServiceTestCases pass
Test: AutoFinishSessionTest doesn't fail anymore when started after a previous failed test
Bug: 37566627
Fixes: 62717612
Change-Id: Ia6016267b07dfeaf1fc5e349dfa7f12e31f1f27b
(cherry picked from commit b8b8363684c8a2d5ad02c7e36bd6bba6e6dc2f00)</t>
  </si>
  <si>
    <t>Fix testProcSelfPagemapNotAccessible() on new kernels
New kernels take a different approach to mitigating Rowhammer-style
attacks.  Processes without CAP_SYS_ADMIN can once again read from
/proc/self/pagemap, but all entries will have the PFN bits zeroed out.
Since /proc/self/pagemap can stay accessible if it's sanitized, rename
the test to testProcSelfPagemapSane().
Test: bit CtsPermissionTestCases:.FileSystemPermissionTest\#testProcSelfPagemapSane
      (on sailfish [3.18] and hikey [4.9])
Bug: 62235647
Change-Id: Ie53e331415590881a5101487b29e5dc62c016495
Signed-off-by: Greg Hackmann &lt;ghackmann@google.com&gt;
(cherry picked from commit ffd8d565cc3b8a32e72bede4d6f677e2024ee817)</t>
  </si>
  <si>
    <t>Remove unused CoreTestRunner and related classes
Tested by making from clean and then running:
   cts-tradefed run cts -m CtsLibcoreTestCases
Bug: 28689581
Test: see above
Change-Id: I9e93aef000998fd939cae7c12a6b6294b9b970a0</t>
  </si>
  <si>
    <t>DO NOT MERGE [CTS] Remove call log backup tests (moved to GTS)
Test: make cts -j40 still works
Bug: 63707329
Bug: 37301304
Bug: 29085027
Change-Id: I004238bda127530e5a0c762ccef16341ca4e5e12</t>
  </si>
  <si>
    <t>DO NOT MERGE [CTS] Remove call log backup tests (moved to GTS)
Test: make cts -j40 still works
Bug: 63707329
Bug: 37301304
Bug: 29085027
Change-Id: If2221b7457e16d1363d7393ca811cc6d9b4fc608</t>
  </si>
  <si>
    <t>DO NOT MERGE [CTS] Remove call log backup tests (moved to GTS)
Test: make cts -j40 still works
Bug: 63707329
Bug: 37301304
Bug: 29085027
Change-Id: I57902d1f942b09d7792d4fb1d746dcbd2538a2f6</t>
  </si>
  <si>
    <t>Tests for lookaside configuration
Test: android.database.sqlite.cts.SQLiteDatabaseTest
Test: android.database.sqlite.cts.SQLiteOpenHelperTest
Bug: 63998707
Change-Id: I94614dc3b4c5ff27110e8abaa3f7c7ed87550d33</t>
  </si>
  <si>
    <t>Fix testClearKeyPlaybackCenc hanging on N and N-MR1 device.
This test is intended for N-MR2 and above. Add a check
to skip this test for device running earlier versions.
Test: CTS test on NYC, NYC-MR1, NYC-MR2 and O-MR1
  ANDROID_BUILD_TOP= ./android-cts/tools/cts-tradefed run cts -m
CtsMediaTestCases
  --test
android.media.cts.NativeClearKeySystemTest#testClearKeyPlaybackCenc
Test: Verify compareVersion() with these parameters
  compareVersion("7.1.2", "8.0");
  compareVersion("7.1.2", "7.0");
  compareVersion("7.1.2", "7.1.1");
  compareVersion("7.1.2", "7.1.0");
  compareVersion("7.1.2", "7.1.2.3");
  compareVersion("7.1.2", "8.1.");
  compareVersion("7.1.2", "8.1.0");
  compareVersion("7.1.2", "7.1.2");
  compareVersion("7.1.2", "7.1.2.");
  compareVersion("7.1.2", "OMR1");
bug: 63859551
bug: 63907994
Change-Id: I8581a77bde64c26fb9302df427efa4bea3da4e37</t>
  </si>
  <si>
    <t>DO NOT MERGE - Moar Autofill CTS improvements:
- Created a MultipleExceptionsCatcher used to throw multiple exceptions.
- Ignore fillRequests() when the service is not enabled.
- Created a custom ActivityTestRule that cleans up autofill state before
  starting the activity.
- Moved some helpers from AutoFillServiceTestCase to Helper.
Test: CtsAutoFillServiceTestCases pass
Test: AutoFinishSessionTest doesn't fail anymore when started after a previous failed test
Bug: 37566627
Fixes: 62717612
Change-Id: Ia6016267b07dfeaf1fc5e349dfa7f12e31f1f27b
Merged-In: Ia6016267b07dfeaf1fc5e349dfa7f12e31f1f27b
(cherry picked from commit b8b8363684c8a2d5ad02c7e36bd6bba6e6dc2f00)</t>
  </si>
  <si>
    <t>Revert "Add CTS tests for retrying ellipsization"
This reverts commit c3f441e2dc3cbef33935bd5a595f1b32fe728129.
Bug: 64156587
Bug: 31537595
Change-Id: I90b16eaf6b9cf63a47bead79dc16179ecf665119</t>
  </si>
  <si>
    <t>Revert "Add CTS tests for retrying ellipsization"
This reverts commit 50d71fab486cda44b5961798edce7af89a6d7054.
Bug: 64312574
Change-Id: Idc1fb9d33f8e64dfd93aa7027599f27ff8823fce</t>
  </si>
  <si>
    <t>Introduce gtest_wrapper and convert debugtest
Test: CtsDebugTest still passes
Change-Id: Iaa0939a6fa1d2f67b7d1983849732d54d82626ee</t>
  </si>
  <si>
    <t>Adding rate independency test for sensor direct report
Adding tests to verify rate independency,
  * between different sensors in one single channel.
  * between sensors in different channel.
  * between direct report and traditional poll report.
A few tests are added to known-failure list before various criteria
are finalized.
Test: test device passed SensorDirectReportTest
Bug: 38420898
Change-Id: If9b30025dfb8d6ff2798efe0b65288e3cb39c006
Merged-In: If9b30025dfb8d6ff2798efe0b65288e3cb39c006</t>
  </si>
  <si>
    <t>Clean ThemeHostTest to use log utility
Instead of using FileLogSaver use the new built-in
addTestLog.
Also clean up the tests, to not install/uninstall the apk
before since it is handled by the target_preparer and avoid
a re-install.
Test:  ./cts-tradefed run cts-dev -m CtsThemeHostTestCases
still pass, and make it fail once to see the PNG in logs/
Bug: 62219251
Change-Id: I7092953f02d3c3f5643077c7ffc1a007bb813f3a</t>
  </si>
  <si>
    <t>Revert Session.transfer tests
This reverts:
8745fd152602f640bd4152cc42e6e4041097042f
3b5d2ed11e0d135275c15c96edcc04e8a65ec522
Bug: 64467704
Test: none, 100% revert
Change-Id: Iadda74926db5fa6d4f38ab6bff4d5f8c07426a9f</t>
  </si>
  <si>
    <t>CTS test for ASharedMemory_dupFromJava
Bug: 64394076
Test: this
Change-Id: I7b4507b770bac034b2b1325cc176cf741f936704</t>
  </si>
  <si>
    <t>Renamed SimpleRegexValidatorTest to RegexValidatorTest.
Test: cts-tradefed run commandAndExit cts-dev -m CtsAutoFillServiceTestCases
Bug: 64263294
Change-Id: I6300ffab0250d3eaaed67f6547dbdaedd2b39055</t>
  </si>
  <si>
    <t>Revert "Progress towards FBE and adoptable storage."
This reverts commit bc001dab575c60fb233b47abbe659d91c77a9b21.
Bug: 64226472</t>
  </si>
  <si>
    <t>Allow clearing instant app meta-data - CTS
The package manager has an API to clear the data of an app
which does not work for uninstalled instant apps for which
we store some meta-data (icon, title, cookie). This change
allows clearing the data of an uninstalled instant app.
Test: Instant cookie CTS tests use this API
bug:64517837
Change-Id: I35f501fab167203f9b4ffffb8f3ce818c1b79d3e</t>
  </si>
  <si>
    <t>Fix wear CTS fail in testBroadcastNotReceivedForDifferentLauncher.
The session commit broadcast is sent to the "always" default launcher,
and if not available sent to the highest priority launcher.
Decreasing launcher priority will make it so that the test launcher
is never chosen as the "best" launcher.
Bug: 62272189
Change-Id: I31bb33147d334e3981f6c3b83de1ff7bc0298b43</t>
  </si>
  <si>
    <t>Revert "Autofill: tests Save UI is dismissed when new activity launches."
This reverts commit 55a2d559864da3f12fcce40522e6844a5fe0d7df.
Bug: 64693551
Test: it's a reversal, silly!
Change-Id: Iddafd5e430298f81171c0516a304ea69a9c91894</t>
  </si>
  <si>
    <t>Revert "CtsMediaBitstreamsTestCases: bitstreams package via annotation"
This reverts commit 6ca2a7dded89d14f7f937d3c2ed01960b2f0ba66.
Bug: 64342361
Change-Id: I3db25eb76327dae3cc0cb6cdb22f8d7d2af98703</t>
  </si>
  <si>
    <t>WebView: rename API in tests, remove obsolete tests
No change in logic.
This changes CTS tests to use the new names for the following API:
 * initSafeBrowsing -&gt; startSafeBrowsing
Test names have been renamed accordingly.
This also removes an obsolete test, because stopSafeBrowsing has been
removed.
Bug: 64331900
Test: run cts -m CtsWebkitTestCases -t android.webkit.cts.WebViewTest
Change-Id: If4e4a307bd7974ac47bdd88bb9fd878ae3419ae6</t>
  </si>
  <si>
    <t>Revert "Added autofill tests for dismissing UI on cancel()."
This reverts commit 2c133721cfc4d1e0327d9aa7865473771ecf83c3.
Test: I don't always revert a CL, but when I do, I don't write tests.
Bug: 64756889
Change-Id: Id2b7087031b82aa5528ba1c0b612859412ad20a8</t>
  </si>
  <si>
    <t>New autofill tests for when a CustomDescription has a link.
Test: a whole lot of shinning new of them...
Bug: 64309238
Change-Id: Id3445d8c0182156eb9ffdf44e0feae4cdcccf814</t>
  </si>
  <si>
    <t>Allow the new retry.xml to be splitted
Retry.xml use new sharding too.
Prepare it to become the official retry mechanism when
CompatibilityTest is deprecated.
Test: unit tests
./cts-tradefed run retry --retry 63 --shard-count 2
./cts-tradefed run retry --retry 63 --shard-count 2 --retry-type
NOT_EXECUTED
Bug: 65013728
Bug: 36337428
Change-Id: I89bef352aae3f00af7bde36207e5b44ff19ab85f</t>
  </si>
  <si>
    <t>Fix broken ephemeral users tests
Ephemeral users were previously disallowed on non-system user split
devices. We have recently enabled them on all devices, which broke the
existing CTS tests. Fix those tests to take into account the recent
changes. This now runs ephemeral user tests all devices.
Bug: 64381943
Test: cts-tradefed run singleCommand cts -m DevicePolicyManager --test
com.android.cts.devicepolicy.EphemeralUserTest --abi arm64-v8a
Test: cts-tradefed run singleCommand cts -m DevicePolicyManager --test
com.android.cts.devicepolicy.DeviceOwnerTest --abi arm64-v8a
Change-Id: If08281d848828325c077c9b438f44cb3f3c39364</t>
  </si>
  <si>
    <t>Test: printers appear while in all printers activity
Test: cts-tradefed run cts-dev -m Print
Bug: 64911776
Change-Id: Ibeee2152c7a0cc0e1ffdd3afaeb4b9b3bcb24bd9</t>
  </si>
  <si>
    <t>Assert configstore and omx HALs use seccomp filter
Bug: 64536899
Bug: 36453956
Test: cts-tradefed run cts -m CtsSecurityHostTestCases -t
    android.security.cts.ProcessMustUseSeccompTest
    android.security.cts.ProcessMustUseSeccompTest#testConfigStoreHalHasSeccompFilter
    pass
    android.security.cts.ProcessMustUseSeccompTest#testMediaextractorHasSeccompFilter
    pass
    android.security.cts.ProcessMustUseSeccompTest#testOmxHalHasSeccompFilter
    pass
Change-Id: Ia427ebf80d1b737f61480dd3b10235dcb5c8573a</t>
  </si>
  <si>
    <t>Assert configstore and omx HALs use seccomp filter
Bug: 64536899
Bug: 36453956
Test: cts-tradefed run cts -m CtsSecurityHostTestCases -t
    android.security.cts.ProcessMustUseSeccompTest
    android.security.cts.ProcessMustUseSeccompTest#testConfigStoreHalHasSeccompFilter
    pass
    android.security.cts.ProcessMustUseSeccompTest#testMediaextractorHasSeccompFilter
    pass
    android.security.cts.ProcessMustUseSeccompTest#testOmxHalHasSeccompFilter
    pass
Change-Id: Ia427ebf80d1b737f61480dd3b10235dcb5c8573a
(cherry picked from commit 23ee5b98d1bca99c0add6e1f3694a877a3ab5e6c)</t>
  </si>
  <si>
    <t>Fix wear CTS fail in testBroadcastNotReceivedForDifferentLauncher.
The session commit broadcast is sent to the "always" default launcher,
and if not available sent to the highest priority launcher.
Decreasing launcher priority will make it so that the test launcher
is never chosen as the "best" launcher.
Bug: 62272189
Change-Id: I31bb33147d334e3981f6c3b83de1ff7bc0298b43
(cherry picked from commit aff6ce05fc8bfd89a61d1428575ff7099c07751a)</t>
  </si>
  <si>
    <t>Add new resetPasswordWithToken test
1. Test resetPasswordWithToken() before user unlock on FBE devices.
2. Test resetPasswordWithToken() updates stored password metrics info
   in DevicePolicyManager.
3. Test isActivePasswordSufficient() throws exception before user unlock.
Test:  cts-tradefed run cts-dev -m CtsDevicePolicyManagerTestCases -t com.android.cts.devicepolicy.ManagedProfileTest#testResetPasswordWithTokenBeforeUnlock
Test: cts-tradefed run cts-dev -m CtsDevicePolicyManagerTestCases -t com.android.cts.devicepolicy.MixedManagedProfileOwnerTest#testResetPasswordWithToken
Bug: 64923343
Bug: 64928518
Change-Id: I05c96f4b32048109e2d43f6a5b922556f6cd6f1b</t>
  </si>
  <si>
    <t>Add test to check isActivePasswordSufficient() initial value
isActivePasswordSufficient() should return true when device/profile
is freshly provisioned.
Test: cts-tradefed run cts-dev -m CtsDevicePolicyManagerTestCases -t com.android.cts.devicepolicy.MixedManagedProfileOwnerTest#testPasswordSufficientInitially
Bug: 63887564
Change-Id: Iedc5ba16f6aa490595b5b1384d645020fb318cc0</t>
  </si>
  <si>
    <t>Convert Activity and WindowManager Tests to Device Side
Next CL will move the tests to the correct folder
Bug: 64807080
Test: cts-tradefed run commandAndExit cts-dev --module CtsWindowManagerDeviceTestCases
Test: cts-tradefed run commandAndExit cts-dev --module CtsServicesDeviceTestCases
Change-Id: Idab862b76a9a8fa913abff6a44a01bdd59167f70</t>
  </si>
  <si>
    <t>Revert "Testing that invalid authorities are cleared on boot"
AndroidJUnit4 was not support in lmp.
Need to revert to get a single CL for security cherry-picks
Bug:35028827
This reverts commit 0f05863bde96b03b8052c40b2622395c73370bdd.
Change-Id: If1410aea7afa6149cecd3404df9e9149b0bab725</t>
  </si>
  <si>
    <t>Add CTS test for password reset token when device lock is cleared
This is to prevent regression when password reset token on work profile
with unified work challenge gets invalidated if the device lock is cleared
and re-added.
Bug: 65579699
Test: cts-tradefed run commandAndExit cts-dev -m CtsDevicePolicyManagerTestCases -t com.android.cts.devicepolicy.ManagedProfileTest#testResetPasswordTokenUsableAfterClearingLock
Change-Id: Ia6ec0d7f09cf1e61c6fc2cac154c09e3e734ce3c</t>
  </si>
  <si>
    <t>Revert "DO NOT MERGE StagefrightTest: add test for bug 23270724"
This reverts commit abf3663133dee4bb42e4077565633f10b9ee8b53.
Change-Id: Ic91b06208075234f78268e9bb1aa1f3b4861709c</t>
  </si>
  <si>
    <t>Revert "DO NOT MERGE StagefrightTest: add test for bug 23270724"
This reverts commit c40a811394286cc35d1989e1b13a9cfa0d4f5c0e.
Change-Id: Ie577636aee427ff043e371764776f191b6835076</t>
  </si>
  <si>
    <t>DO NOT MERGE - Moar Autofill CTS improvements:
- Created a MultipleExceptionsCatcher used to throw multiple exceptions.
- Ignore fillRequests() when the service is not enabled.
- Created a custom ActivityTestRule that cleans up autofill state before
  starting the activity.
- Moved some helpers from AutoFillServiceTestCase to Helper.
Test: CtsAutoFillServiceTestCases pass
Test: AutoFinishSessionTest doesn't fail anymore when started after a previous failed test
Bug: 37566627
Fixes: 62717612
Change-Id: Ia6016267b07dfeaf1fc5e349dfa7f12e31f1f27b
Merged-In: Ia6016267b07dfeaf1fc5e349dfa7f12e31f1f27b
(cherry picked from commit b8b8363684c8a2d5ad02c7e36bd6bba6e6dc2f00)
(cherry picked from commit e1bb4a5231464edef74c8c0ca114f250c037b3e5)</t>
  </si>
  <si>
    <t>camera2: Check for all valid TLDs during tag verification
Currently the characteristic tag name verification looks for
"android" and "com" prefixes. This somewhat restrictive and
needs to be extended to include all valid TLDs.
Bug: 63817523
Change-Id: I0e78c2db46a84db85d21371a4a4276d2df2889e4</t>
  </si>
  <si>
    <t>Enforce TryFailThrowable error_prone rule
Enforce the rule against CTS tests to ensure the tests are
actually checking something and not always passing because
they catch the fail().
Test:  make cts javac-check -j76 TARGET_PRODUCT=aosp_arm64
WITH_DEXPREOPT=false RUN_ERROR_PRONE=true
Bug: 37854485
Bug: 37947046
Change-Id: I8840b9c72bec7ccbec3a1d3f05d7d3002d74c386
Merged-In: I8840b9c72bec7ccbec3a1d3f05d7d3002d74c386</t>
  </si>
  <si>
    <t>Revert EditText maxLines CTS test
We have added a maxLines=0 test to EditTextTest to check the height of
the EditText. It fails on smaller devices with a 1off error. The test
is not ready yet, will add the test back on master when it is ready.
Test: None
Bug: 65850652
Change-Id: I3e119aa121641abbbafd4a8a980bd35b6e4ad8db</t>
  </si>
  <si>
    <t>[WebView hostside tests] print device test failure message on failure.
WebView has several host-side tests which just delegate to device-side
tests. Whenever the test fails on the device the failure message is not
propagated to the host, so to debug such a failure you need to look at
the logcat of the device.
This CL passes the device-test failure to the host-side for proper
failure logging.
Bug: 66172613
Test: hacked one of the device-tests to fail - prints device stack trace
on failure.
Change-Id: I31be845224160aa43278365501f30e139e0a8a9b</t>
  </si>
  <si>
    <t>Fix CtsMediaHostTestCases
Bug: 65566927
Test: Run CtsMediaHostTestCases
Change-Id: I2efaa7efdbbb276d6fbd94f844e7348563b0e48b</t>
  </si>
  <si>
    <t>Remove dependence on @hide API in DragDropTest
The calls to hidden API:
    - ClipData.getIcon()
    - DragEvent.getDragAndDropPermissions()
    - DragEvent::obtain()
are replaced with storing the fields of interest directly in the
LogEntry class. The permissions check is removed because
DragAndDropPermissions are not being set explicitly anyways.
Bug: 62067188
Test: bit CtsViewTestCases:android.view.cts.DragDropTest
Change-Id: I55e3b91d4b3d0e3ce0eca86829a706d4d9bb5c37</t>
  </si>
  <si>
    <t>[DO NOT MERGE] Revert "Added security patch date check for specific permission."
This reverts commit 3eb27c20965e488b41066a575ec66f316c502256.</t>
  </si>
  <si>
    <t>Delete Crypto provider compatibility test.
The Crypto provider is being removed, so the compatibility test is no
longer required.
Bug: 35707247
Test: cts -m CtsSecurityTestCases
Change-Id: I49d51e1a8524c402a6cd7f690dfc680f2d14472e</t>
  </si>
  <si>
    <t>Delete obsolete openssl security tests
These tests were originally intended to detect CVE-2014-0224 and
CVE-2014-0160 and have served their purpose well. However, 3 years after
those bugs were relevant, all new Android devices have these patches,
and these tests are no longer adding value and are causing other
problems (eg bug 64317209)
Delete these stale tests.
Bug: 64317209
Test: CTS compiles.
Change-Id: I55c8598fdf19ab380852b7dc36a190ed168ce708</t>
  </si>
  <si>
    <t>Revert "test if b/65484460 is fixed."
Bug: 67498260
Bug: 65484460
This reverts commit 1249be8a6157fb3140afd9879eecd80624541bc8.
Change-Id: I6ff2b3028713791dd4d5269264b1f3123d50eb7e</t>
  </si>
  <si>
    <t>Make the UsageStatsTest more robust
Use more modern UI automation techniques to ensure less flakiness.
Bug: 66488711
Test: bit CtsUsageStatsTestCases:.UsageStatsTest
Change-Id: I9e6e59fd9ea7500725dbbedacb7792f9c98ae8b8</t>
  </si>
  <si>
    <t>media bitstreams test: remove yuv444 from standard set
Bug: 67635657
Test: cts-tradefed run cts -m CtsMediaBitstreamsTestCases
Change-Id: Id4e4a9974d13a7620bc8e4b9d6f116f51472dd8e</t>
  </si>
  <si>
    <t>Ensure LockTask whitelist works with two tasks.
Add CTS test in DeviceOwnerTest that verifies the LockTask behavior when
there are more than one package in the whitelist. Removing one package
from the whitelist should finish the corresponding locked task, but
other locked tasks should remain unaffected, and LockTask mode should
still be active.
Also clean up the code a little bit.
Bug: 66130096
Test: cts-tradefed run cts-dev -m DevicePolicyManager -t com.android.cts.devicepolicy.DeviceOwnerTest#testLockTask_deviceOwnerUser
Test: cts-tradefed run cts-dev -m DevicePolicyManager -t com.android.cts.devicepolicy.DeviceOwnerTest#testLockTaskAfterReboot_deviceOwnerUser
Test: cts-tradefed run cts-dev -m DevicePolicyManager -t com.android.cts.devicepolicy.DeviceOwnerTest#testLockTask_unaffiliatedUser
Test: cts-tradefed run cts-dev -m DevicePolicyManager -t com.android.cts.devicepolicy.DeviceOwnerTest#testLockTask_affiliatedSecondaryUser
Change-Id: Ia417764b6817190c42430a23cef259c3368764ee</t>
  </si>
  <si>
    <t>Move abi support from cts to tf (suite)
For cts-suite move the abi resolution to TF.
Test: unit tests
Bug: 65303193
Change-Id: I3c765106aa2ca0fb29738254f2cff038a027cb47</t>
  </si>
  <si>
    <t>Magnification Gestures CTS test
Test: ensure affected CTS tests pass
Change-Id: I2ad9ef57098d1e9343d571e0d59504851ac691eb</t>
  </si>
  <si>
    <t>Update autofill tests to allow null presentation.
Test: yes!
Bug: 36547794
Change-Id: Iecc0465201b6a75367f5dd972f7fdede7a2c2d00</t>
  </si>
  <si>
    <t>Step 2 of FillEventHistory tests refactoring: move to its own clases.
Such refactoring will make it easier to add new tests for the upcoming changes.
Test: cts-tradefed run commandAndExit cts-dev -m CtsAutoFillServiceTestCases -t android.autofillservice.cts#FillEventHistoryTest
Bug: 65130630
Change-Id: Ia18302893ea181860ed87c8358b4e6a599bdcd60</t>
  </si>
  <si>
    <t>Added Autofill tests for CONTEXT_COMMITTED event.
Test: cts-tradefed run commandAndExit cts-dev -m CtsAutoFillServiceTestCases -t android.autofillservice.cts#FillEventHistoryTest
Bug: 65130630
Change-Id: I99f625bcfe94d448d2b1c8d0036fe850024af4f4</t>
  </si>
  <si>
    <t>Test strictmode cross-binder stack traces
Ensures that a thread violation that occurs across binder includes the
far side of the stack and the "via Binder" annotation.
Bug: 62458734
Test: cts-tradefed run cts-dev --module CtsOsTestCases --test
android.os.cts.StrictModeTest
Change-Id: Ifc273d12c37986d71c15e341a392a166536472d5</t>
  </si>
  <si>
    <t>Move metadata filtering out of CTS
ITestSuite will apply the metadata filter.
Test: unit tests
./cts-tradefed run cts-suite --module-metadata-include-filter
component=framework
Bug: 65303193
Change-Id: I932f6a1335846036bcde5fc6637d72701fb97814</t>
  </si>
  <si>
    <t>Add UDP encap socket test to CTS tests
Tests basic functionality of UDP encap sockets:
&gt; Creates SPIs
&gt; Creates &amp; applies transforms
&gt; Creates UDP encap socket
&gt; Ensures UDP encap socket port is non-zero
&gt; Validates that ESP, IKE packets can be sent correctly
Test: Ran on aosp_angler-eng
Bug: 67662580
Change-Id: Ia7eca384cd779e663d53cbede97ec70da33d28ec</t>
  </si>
  <si>
    <t>Add CTS tests for cleartext traffic default change
Cleartext traffic permitted now defaults to False for apps targetting P,
this test splits the previous cleartext test into pre-P and P+ targetSDK
versions.
Tests which depended on cleartext traffic have been opted in to
cleartext traffic.
Test: This is the test
Bug: 63931636
Change-Id: I5c4aa39e4055380a54bfe09f668894240be713f8</t>
  </si>
  <si>
    <t>Updating FingerprintIncidentTest to pass on all devices.
Bug: 65750812
Test: $ cts-tradefed run cts-dev --module CtsIncidentHostTestCases --test com.android.server.cts.FingerprintIncidentTest
Change-Id: Ifc4f4945775aea4b67309a475dbc3996a33ffc1e</t>
  </si>
  <si>
    <t>Add more EMBMS streaming CTS tests
testClose, testDuplicateSession, testErrorDelivery, and
testRequestUpdateStreamingServices. Initialization has been moved to the
setup method.
Bug: 68049452
Test: run cts-dev
Change-Id: If2bb952fa2483223239b640ce94f71d8a2f8201e</t>
  </si>
  <si>
    <t>Finish the EMBMS streaming CTS tests
Add tests for StreamingService.java and refactor existing test class to
inherit from a common base class for streaming.
Bug: 68049452
Test: cts
Change-Id: I89cac47441e54f25100f60cd28b72358cc69a5f2</t>
  </si>
  <si>
    <t>Convert some tests to use the BaseHostJunit4
instead of team specific utilities, rely on the common
base class.
Test: run cts-dev -m CtsAppSecurity
Bug: 67607927
Change-Id: I87027374abddc1f8e0af9abe7e68089d7a72566d</t>
  </si>
  <si>
    <t>Prevent touch delegate from blocking parent events
Make sure that TouchDelegate does not interfere with
handling of parent's events, such as onClick().
Check that ACTION_CANCEL is received by the TouchDelegate.
Test: bit CtsViewTestCases:.TouchDelegateTest
Bug: 65392236
Change-Id: I45a239f66d1dc6466d5c6a47b269d457c6e980b9</t>
  </si>
  <si>
    <t>Remove deprecated host base class
Replaced by generalized BaseHostJUnit4Test in TF.
Test: build cts, dts, pts, vts
Bug: 67607927
Change-Id: I8f3e48f1aaac4b151fa339d634937e02b8f5d968</t>
  </si>
  <si>
    <t>Remove cts vr tests to accommodate CDD changes
VrCPUTest - On Vr high performance devices, remove need for exclusive
core
VrDisplayTest - On Vr high performance device, remove the need to test
diagnonal display size
Test: None
Bug: 62536935
Bug: 62536183
Fixes: 62536935
Fixes: 62536183
Change-Id: I68955b278da072e3bb8bd87714eee962946efd21</t>
  </si>
  <si>
    <t>Modified test to assert switch to new non-guest user and back
Modified the test to assert no errors when both going to new user and
going back to the original user. The user switch to any running users
now checks for the log string for "Continue user switch" instead of
"Boot completed" which continues to check for switching to a new user.
Continue switch user would be the final message to indicate that the
user has successfully switched and onUserChanged callbacks are fired
(for switching to existing user). Also check the logs even after the
exit string is found since user change callbacks could crash. Finally
added a test for new non-guest users.
Test: atest CreateUsersNoAppCrashesTest
Bug: 68929438
Change-Id: I82b735a3eb11b11df0e1022f717381d688418c36</t>
  </si>
  <si>
    <t>Make testCreateAndManageEphemeralUser use proper SDK constant
- Removed testCreateAndManageEphemeralUserFails as it's not used anywhere
Bug: 64381943
Test: cts-tradefed run singleCommand cts -m DevicePolicyManager --test com.android.cts.devicepolicy.DeviceOwnerTest#testCreateAndManageEphemeralUser --abi arm64-v8a
Change-Id: I756051f7d4c4baa74ca1d1b742b5a76979e0a74a</t>
  </si>
  <si>
    <t>Revert "Test initial focus behavior"
This reverts commit 3ddbd06f88653089694dca05c673227b6f5b9204.
Reason for revert: Pushback from bundled apps
Bug: 68841055
Bug: 34520588
Change-Id: I4d4acfcf1c4714b2e8244228dbbe52dea52a6f53</t>
  </si>
  <si>
    <t>Revert "Test initial focus behavior"
This reverts commit 3ddbd06f88653089694dca05c673227b6f5b9204.
Reason for revert: Pushback from bundled apps
Bug: 68841055
Bug: 34520588
Change-Id: I4d4acfcf1c4714b2e8244228dbbe52dea52a6f53
(cherry picked from commit 3ae8059ea47c78869bc8aa1d0a8a4a7b726bf019)</t>
  </si>
  <si>
    <t>Remove testDisplayDimensions for CDD change
The CDD removes the requirement for certain display dimensions. This
test has been removed in nougat-cts, and this will remove it from
oreo-cts.
Test: None
Bug: 62536935
Bug: 62536183
Change-Id: I4d847b92bf00c686fa2bd944cb1f0c64d56466b8</t>
  </si>
  <si>
    <t>Test more transforms and more socket types.
Added CTS test to check the transform (for IPv4 &amp; IPv6) with
various authentication &amp; encryptions types
Bug: 34812052
Test: Ran CTS on angler using aosp/run_cts.sh
Change-Id: I51b4d13847ed0f8ad8d5f19132fdb35b1bd2950c</t>
  </si>
  <si>
    <t>Testing doze jobs controller changes
Added tests for the following jobscheduler changes:
 - A new api flag to indicate that a job is important and should be
 granted leniency from doze restrictions
 - Background tasks will be delayed when the device comes out of doze to
 make sure foreground and important tasks can use system resources.
Test: cts-tradefed run singleCommand cts-dev -m JobScheduler -t \
android.jobscheduler.cts.DeviceIdleJobsTest
Bug: 64291952
Bug: 64071030
Change-Id: Ie9f2b1d62038b982664e60955b0bb890784bcb05</t>
  </si>
  <si>
    <t>Adding more tests for Notification proto dump.
Bug: 65750824
Test: $ cts-tradefed run cts-dev --module CtsIncidentHostTestCases --test com.android.server.cts.NotificationIncidentTest
Change-Id: I96772439f480412369115b81122d56327dba298f</t>
  </si>
  <si>
    <t>Added tests for Autofill Sanitizer working as a Validator.
Test: cts-tradefed run commandAndExit cts-dev -m CtsAutoFillServiceTestCases
Bug: 69465320
Change-Id: Ie730919207af4ba74e943d4b386ce062dbbff53a</t>
  </si>
  <si>
    <t>Revert "Test proper focusability of zero-sized Views."
This reverts commit 2976943ffe98aa57891ae482ab299bb43cb172dd.
Reason for revert: TextView interracts poorly
Change-Id: I4115f54597aa84cb9133a6ea2076e617af0eee57</t>
  </si>
  <si>
    <t>Added LoginActivityTest.testDatasetAuthFilteringUsingAutofillValue
Test: atest CtsAutoFillServiceTestCases:LoginActivityTest#testDatasetAuthFilteringUsingAutofillValue
Bug: 69458842
Change-Id: Id15bb011a36251bc565f81585974358af941418d</t>
  </si>
  <si>
    <t>Changed ValidatorTest to contain just integration tests...
...and moved unit tests to ValidatorsTest
Test: atest CtsAutoFillServiceTestCases:ValidatorTest
Test: atest CtsAutoFillServiceTestCases:ValidatorsTest
Bug: 37566627
Change-Id: I2c9407220bd5d6503508bc33151ee83a0c61e1b6</t>
  </si>
  <si>
    <t>Fix ActivityManagerProcessStateTest.
- Remove the test app from idle whitelists at the beginning of each test
  to avoid tests getting affected from earlier failures.
- Right now when we start a service/receiver, we expect the immediate
  next state to be uncached after waiting for active state but if
  AMS.updateOomAdjLocked() gets triggered for some reason before the
  service/receiver is started, then there could be some transient
  states (cached, CEM). This change will help ignoring these states.
Fixes: 69365569
Test: cts-tradefed run singleCommand cts-dev -m CtsAppTestCases -t \
      android.app.cts.ActivityManagerProcessStateTest
Change-Id: I4d5b442e73ff496770ddb96be93ad3911609a60c</t>
  </si>
  <si>
    <t>Remove logcat -c
Different CTS/GTS tests are failing on logcat assertions. The pattern
used on them is:
String s = mLogcatInspector.clearAndMark();
// Do stuff that logs string "foo"
mLogcatInspector.assertLogcatContainsInOrder(s, "foo")
This was because clear was unreliable. But the suspicion is that clear
is more unreliable than we thought, it may be clearing logcat *after*
we logged the unique string, thus making the assertion fail and
sometimes the assertion of the unique string that is inside
clearAndMark() fail. We don't need to clear logcat, we just need to
assert that "foo" was logged after the mark. This CL removes the
'clear' part and only leave the mark. Hopefully this will fix the
GTS/CTS failures, if not it's still a beneficial change.
Bug: 68762178
Test: gts-tradefed run commandAndExit gts-dev -m GtsBackupTestCases
Test: gts-tradefed run commandAndExit gts-dev -m GtsBackupHostTestCases
Test: cts-tradefed run commandAndExit cts-dev -m CtsBackupTestCases
Change-Id: Ieed9c197fe953755bf43d8e36229a2adecba6cdd</t>
  </si>
  <si>
    <t>cts test for screen state on and off atoms
Test: cts test
Change-Id: I080be4dfa4ca36866ee4f9e43953a3e054beed09</t>
  </si>
  <si>
    <t>Add tests for get/setPropertyString and ByteArray.
Test: CTS
  ANDROID_BUILD_TOP= ./android-cts/tools/cts-tradefed run cts -m
  CtsMediaTestCases --test android.media.cts.ClearKeySystemTest#testGetProperties
  ANDROID_BUILD_TOP= ./android-cts/tools/cts-tradefed run cts -m
  CtsMediaTestCases --test android.media.cts.ClearKeySystemTest#testSetProperties
bug: 68009146
Change-Id: Ib51c6a27eaecda22df11be3a543788e74a7109af</t>
  </si>
  <si>
    <t>Refactored FieldsDetectionTest into FieldsClassificationTest.
Test: atest CtsAutoFillServiceTestCases:FieldsClassificationTest
Bug: 68045531
Change-Id: I0efa515dd7188424499dc8f30bb31658f6684133</t>
  </si>
  <si>
    <t>Revert "Don't generate irrelevant a11y events - CTS"
This reverts commit 50e2160d0b8f6f6f53c2d621aa7bf4cd5bb14f78.
Change-Id: I6d741fe9e787d687e666ae8bb4edaafd2982ac6d</t>
  </si>
  <si>
    <t>DO NOT MERGE: Move test case to StagefrightTest
so it is tested with MediaExtractor as well.
Bug: 19779574
Bug: 31156921
Change-Id: I08fbd8e28d23bafea816ea853382a11325c10b7e
(cherry picked from commit a201f0d3cafe2922ea57d9a6c770af485360756c)</t>
  </si>
  <si>
    <t>DO NOT MERGE: Move test case to StagefrightTest
so it is tested with MediaExtractor as well.
Bug: 19779574
Bug: 31156921
Change-Id: I08fbd8e28d23bafea816ea853382a11325c10b7e
(cherry picked from commit e21bdfeb8b6eecc012c306972b0d5139ae8a29de)</t>
  </si>
  <si>
    <t>API for apps to tag sockets with their own UID.
This enables app A to create a socket, pass it to app B, and have
app B accept blame for the traffic performed on that socket.
Also adds helpful public APIs for tagging raw FileDescriptor sockets
instead of making developers go through shady SocketImpl wrappers.
Test: cts-tradefed run commandAndExit cts-dev -m CtsAppSecurityHostTestCases -t android.appsecurity.cts.AppSecurityTests#testAppFailAccessPrivateData
Bug: 63932076
Change-Id: I964701bc04629697b085b91fe02e1d75b985d910</t>
  </si>
  <si>
    <t>Added more tests for Autofill Field Classification.
Test: atest CtsAutoFillServiceTestCases:FieldsClassificationTest
Test: atest CtsAutoFillServiceTestCases:FieldsClassificationScorerTest
Test: atest CtsAutoFillServiceTestCases:UserDataTest
Change-Id: Ic6d33ca292c8ecf11019a4ec5546bf0dc4d4fcfc</t>
  </si>
  <si>
    <t>Deprecate testInputMethodSubtypesOfSystemImes()
This CL removes the following test case:
 InputMethodInfoTest#testInputMethodSubtypesOfSystemImes()
What this test is doing are basically:
 * Get the entire set of supported languages in that device.
   (Hereafter call it language set X)
 * For each pre-installed IME, get the list of InputMethodSubtype with
   InputMethodManager#getEnabledInputMethodSubtypeList(imi, true)
   (Hereafter call it InputMethodSubtype set Y)
 * For any combination of X and Y, the test passes if and only if
   there is at least one matching pair of x's language and y's language.
However, the above requirement may not be contributing to the
compatibility story much, because such an existence of InputMethodSubtype
basically guarantees almost nothing for both users and developers.
Therefore this CL removes that test case to avoid confusions.
Fixes: 69934718
Test: cts-tradefed run singleCommand cts -m CtsInputMethodTestCases
Change-Id: Idd5632111a839f7e7c3145d974e2b364f1a19d21</t>
  </si>
  <si>
    <t>Add CTS tests for call state changes in PhoneStateListener.
Verifies that PhoneStateListener#onCallStateChanged is triggered with
the correct state and a populated phone number for both incoming and
outgoing calls.
Test: bit CtsTelecomTestCases:*
Change-Id: I1a14550d4e158519ec272e467bef60656b25520d
Fixes: 67748129</t>
  </si>
  <si>
    <t>Remove ColoredNavigationBarTest, which isn't ready
This CL removes ColoredNavigationBarTest, which is not ready but was
accidentally included in my previous CL [1].
 [1]: Ied91a77e9efb3453e80f41e16f476e9874f39db2
      5a0e4063e55cc96a605e0e57a3e437fab09a75cc
Bug: 69845539
Test: atest CtsInputMethodTestCases
Change-Id: Ic2c6a638e42f3afeb115283e1fb7afedd907acb3</t>
  </si>
  <si>
    <t>Even moar tests for Autofill Field Classification.
Test: atest CtsAutoFillServiceTestCases:FieldsClassificationTest
Test: atest CtsAutoFillServiceTestCases:EditDistanceScorerTest
Test: atest CtsAutoFillServiceTestCases:UserDataTest
Change-Id: I598457d08cb9e4f7e49572dc7be34b5132ba7e3b</t>
  </si>
  <si>
    <t>Add/fix incident tests for dumpsys section listed in bug.
1. Write cts tests to verify procstats --proto dump is reasonable.
2. Modify netstats test so it can pass, the factor of packet is still
too big for the assertions.
Installs a simple test app, runs it and looks for it in procstats dus
for it in procstats dump
Bug: 70047283
Test: run cts-dev -m CtsIncidentHostTestCases
Change-Id: I955b1e0898f8e2f4aed9af71cc55ae4c87b55756</t>
  </si>
  <si>
    <t>WorkSourceTest: Remove tests for stripName.
Removed in 9ab2c99465247e8ed32e.
Test: WorkSourceTest
Change-Id: I43bb460518b1a24d63c5394c7e534e88fac563c3</t>
  </si>
  <si>
    <t>Delete test for obsolete/unused 'back button panic press'
Bug: 62069912
Change-Id: I1c774b30ddacb425b4ca01b9422117c19c0d9541</t>
  </si>
  <si>
    <t>Always finish dangling activities on setup / cleanup of base autofill testcase.
Also, uses a dynamic if on pending intents to make sure they're not reused.
Test: atest CtsAutoFillServiceTestCases
Fixes: 70392697
Change-Id: Idc2c841d1ed75c4af657e6a044f9eede8c0513fe</t>
  </si>
  <si>
    <t>Update CTS tests for Slice.Builder#addInt
Test: atest cts/tests/tests/slice
Bug: 68378584
Change-Id: I7529974828d80bc6ba8c6319393d94e14c9e21e0</t>
  </si>
  <si>
    <t>CTS for hover tooltips for disabled views.
Still no long click tooltips on a disabled view, as it would be
not a very intuitive UX, and also very hard to implement.
Bug: 70258417
Test: android.view.cts.TooltipTest
Change-Id: Ic28ca95ed205ffa2388cdabeb1ef1e28b8d51a72</t>
  </si>
  <si>
    <t>Revert "CTS/STS test for Android Security b/62214264"
This reverts commit 5d4b01c20e4163fbbe2f62c6225d0b9bd0fdcf13.
Bug:70524340
Bug:62214264
Change-Id: I74ad509fd8ea791a99170aff5b93b673b993bd68</t>
  </si>
  <si>
    <t>Remove all hostside elevated permissions tests that were
introduced in nyc-mr1 or mr2.
Test: successful build.
Bug:67456333
Change-Id: Id916ea90464deee5c2edb520d77553a6c4105532</t>
  </si>
  <si>
    <t>Remove all hostside elevated permissions tests that were
introduced in nyc-mr1 or mr2.
Test: successful build.
Bug:67456333
Merged-In: Id916ea90464deee5c2edb520d77553a6c4105532
Change-Id: Id916ea90464deee5c2edb520d77553a6c4105532</t>
  </si>
  <si>
    <t>Revert "Add CTS to verify IMS.onStartInput() is called once."
This reverts commit c0bd71ea57614aafaf9eb287e5e4c3f308221fec [1].
Reason for revert:
In Bug 69845539, we successfully migrated this test from host-side to
device-side [2] hence we no longer need this test in
InputMethodServiceLifecycleTest.
Also this test is a bit flaky (Bug 70538611).
 [1]: I5fd7d8a535d66b7599bb03d7192668d00e10d81c
 [2]: I90c306ec3ce15662717d3b17b833db6c2072c2ca
      e3d0c68f1bdc72f4d9ebfc08840344a1bc1bbe6f
Bug: 35599628
Change-Id: Iacc677864b111e56d0308cc85bd2a0353978aeeb
Fixes: 70538611
Test: atest CtsInputMethodServiceHostTestCases</t>
  </si>
  <si>
    <t>Revert "Add CTS SearchView tests to verify IME visibility."
This reverts commit 9e989fde100d51f51c4435844b7dd37db1f5465b [1].
Reason for revert:
In Bug 69845539, we successfully migrated the following tests from
host-side to device-side [2].
 * InputMethodServiceLifecycleTest#testSearchView_giveFocusShowIme()
 * InputMethodServiceLifecycleTest#testSearchView_setQueryHideIme()
Hence we can safely revert the original CL that added above tests.
  [1]: Iac24b4cb12e0e90471e4c6726296ac836c2f84c7
  [2]: I23523861161751153d58fee4de93fe26e074366f
       2b221fe33e3c20b034f33ac23b1062cb37172f82
Bug: 36404632
Test: atest CtsInputMethodServiceHostTestCases
Change-Id: Id1dbc348efaa2ad5d8d7bd1570eff973af89d1fd</t>
  </si>
  <si>
    <t>Test quotas using first SDK level, not kernel.
We're planning to require quota support based on the API level that
a device initally ships with, since it's kinda funky to test based
on filesystem and kernel version.
Test: cts-tradefed run commandAndExit cts-dev -m CtsAppSecurityHostTestCases -t android.appsecurity.cts.StorageHostTest
Test: cts-tradefed run commandAndExit cts-dev -m CtsOsTestCases -t android.os.cts.BuildTest
Bug: 69270887
Change-Id: I8b7d1eb3a914b9cecaf841c945457a788cf6a719</t>
  </si>
  <si>
    <t>Start accepting Executors instead of Handlers.
After discussion in API council, our new best-practices are to have
developers provide an Executor to dispatch callbacks/listeners on,
instead of the previous guidance of using a Handler.
Define Context.getMainExecutor() to easily obtain an Executor
associated with the main thread of application.  This allows new
APIs to require a @NonNull Executor.  Also define a new
@CallbackExecutor auto-doc annotation that explains background and
points developers at new Context method above.
Test: cts-tradefed run commandAndExit cts-dev -m CtsContentTestCases -t android.content.cts.ContextTest#testMainLooper
Test: cts-tradefed run commandAndExit cts-dev -m CtsContentTestCases -t android.content.cts.ContextTest#testMainExecutor
Bug: 70348426
Change-Id: I536892bcd80fcfba1bb1ddf67648c08a26d7ddd2</t>
  </si>
  <si>
    <t>Switch to modern ArgumentMatchers
Test: atest android.admin.cts.DeviceAdminReceiverTest android.hardware.camera2.cts.CameraDeviceTest android.hardware.camera2.cts.SurfaceViewPreviewTest android.view.cts.PointerCaptureTest android.view.cts.HoverTest
Change-Id: I75da790fec2a81b205bc74e41ce9ddf59cbd1008</t>
  </si>
  <si>
    <t>Simplify DisplaySizeTest
Test: atest CtsActivityManagerDeviceTestCases:DisplaySizeTest
Bug: 70190274
Change-Id: I22563337ca70806401893a1d18be672f980206f2</t>
  </si>
  <si>
    <t>Add CTS tests for call state changes in PhoneStateListener.
Verifies that PhoneStateListener#onCallStateChanged is triggered with
the correct state and a populated phone number for both incoming and
outgoing calls.
Test: bit CtsTelecomTestCases:*
Merged-In: I1a14550d4e158519ec272e467bef60656b25520d
Change-Id: I1a14550d4e158519ec272e467bef60656b25520d
Fixes: 67748129</t>
  </si>
  <si>
    <t>Run LockScreenInfoTest for affiliated profile owner
- Refactored BaseAdminReceiver into a standalone class
- Added BaseAffiliatedProfileOwnerTest for test that can run on both
  device owner or affiliated profile owner
Bug: 68925683
Test: DeviceOwnerTest passed
Change-Id: Ia9be3c92430fac82d18962e1f6b817dc93d89b81</t>
  </si>
  <si>
    <t>Speed up InputMethodServiceLifecycleTest
This CL simplifies InputMethodServiceLifecycleTest without actually
changing what InputMethodServiceLifecycleTest is currently testing.
The method in question is
  InputMethodServiceDeviceTest#testIme1IsNotCurrentIme(),
which is essentially just doing polling check for
  adb shell settings get secure default_input_method
in the device side, which does not make much sense because the same
check can be done in the host side as well.
With this CL, the same assertion is re-implemented in the host side in
favor of faster execution time (25s -&gt; 15s on taimen-userdebug) as
well as simplicity.
Bug: 70730589
Test: atest CtsInputMethodServiceHostTestCases
Change-Id: I29b4a4d68fc94ceb19268fc0a875dbafc81ed206</t>
  </si>
  <si>
    <t>Make end-to-end IME tests more deterministic
In the previous implementation, when an end-to-end test in
CtsInputMethodTestCases is started it was possible that previously
running Activity can interact with MockIme until a TestActivity is
launched.
This CL introduces StateInitializeActivity so that each end-to-end
test cases in CtsInputMethodTestCases starts with showing a certain
behavior-defined Activity.  This should make CtsInputMethodTestCases
more deterministic and help us debug flaky failures.
Bug: 70730589
Test: CtsInputMethodTestCases
Change-Id: I9018d524cc4732418a6d77dc884fc416ab88f60a</t>
  </si>
  <si>
    <t>Revert "Try to deflake CtsInputMethodServiceHostTestCases"
This reverts commit 99d9d9718502356286e0b1847d2e06da0347c4b4 [1]
Reason for revert:
Somehow this is now all tests in CtsInputMethodServiceHostTestCases are
100% failing on continuous CTS.  We need to revert this first until we
figure out what is going on.
 [1]: I306d66a65ebabefeec02dd247f26f87709731a27
Bug: 70730589
Change-Id: Idd59402e0327f4ec18c68ffe87c2c70702e93baf
Test: atest CtsInputMethodServiceHostTestCases</t>
  </si>
  <si>
    <t>AdaptivePlaybackTest: use toString() instead of constructing string
Bug: 65554375
Change-Id: Id326d82318c566825f3015a702262056e96bbd65</t>
  </si>
  <si>
    <t>Revert "CTS test for Android Security b/65122447"
This reverts commit d882117b13daebc46df014dcc1a6c8f2224c75f0.
Change-Id: Iecf5014f92d5462dd5651ca1d899926bc4f6b5b3
Bug: 65122447</t>
  </si>
  <si>
    <t>Temporarily disable BluetoothLeScanTest#testOpportunisticScan
Temporarily disable BluetoothLeScanTest#testOpportunisticScan because it
is interfered by the GmsCore; it fails when it obtains results from
GmsCore explicit scan.
Bug: 69373800
Test: adb shell am instrument -e class
'android.bluetooth.cts.BluetoothLeScanTest' -w
'android.bluetooth.cts/android.support.test.runner.AndroidJUnitRunner'
Change-Id: I48068c2238102fefadd8907df956696e8c853703</t>
  </si>
  <si>
    <t>Simplify a few a11y CTS tests
Moving A11yViewTreeReportingTest and
AccessibilityWindowReportingTest to junit4.
Using lamdas to reduce boilerplate.
Moving getStatusBarHeight to a util class. Future tests
will need it.
Adding utility class for launching an activity and making
sure it's really ready to be inspected by a11y.
Adding utility class for AccessibilityEventFilter, since
we were creating very similar ones all over the place.
I deleted one test whose code was duplicates elsewhere, but
that's the only functional change.
Test: Ran A11y service CTS
Change-Id: Id2b0fd07db178ddc63a487429b06e4d33ad22d8d</t>
  </si>
  <si>
    <t>Moar Autofill CTS refactorings:
- Created common package to make it easier to migrate stuff to common CTS.
- Moved Settings-related code SettingsHelper.
- Created rules to automatically set and restore Settings preferences.
- Refactored existing code to use the new stuff.
Test: atest CtsAutoFillServiceTestCases
Bug: 37566627
Change-Id: I3a3730f1a32cc8a79e0de35715a039532466e0bc</t>
  </si>
  <si>
    <t>Deprecate testInputMethodSubtypesOfSystemImes()
This CL removes the following test case:
 InputMethodInfoTest#testInputMethodSubtypesOfSystemImes()
What this test is doing are basically:
 * Get the entire set of supported languages in that device.
   (Hereafter call it language set X)
 * For each pre-installed IME, get the list of InputMethodSubtype with
   InputMethodManager#getEnabledInputMethodSubtypeList(imi, true)
   (Hereafter call it InputMethodSubtype set Y)
 * For any combination of X and Y, the test passes if and only if
   there is at least one matching pair of x's language and y's language.
However, the above requirement may not be contributing to the
compatibility story much, because such an existence of InputMethodSubtype
basically guarantees almost nothing for both users and developers.
Therefore this CL removes that test case to avoid confusions.
Fixes: 69872509
Fixes: 70280713
Test: cts-tradefed run singleCommand cts -m CtsViewTestCases
Change-Id: Idd5632111a839f7e7c3145d974e2b364f1a19d21
Merged-In: Idd5632111a839f7e7c3145d974e2b364f1a19d21
(cherry picked from commit d84fb8030c0cd185ca4462fcfb2d61ec61b4f50a)</t>
  </si>
  <si>
    <t>UsbTest - changed the way dialog is triggered
Change-Id: I9967e6e1dc4d21f5b649c75590ef8ab98c62a70a
Fixes: 70879640
Fixes: 70928145
Test: this</t>
  </si>
  <si>
    <t>Reboot device before starting security logging tests, to ensure logd has the device owner
property enabled.
Consolidate security logging test cases into a single case, to minimize number of reboots
required.
Bug: 70972063
Test: cts-tradefed run singleCommand cts -m DevicePolicyManager --test com.android.cts.devicepolicy.DeviceOwnerTest#testSecurityLoggingWithSingleUser
Change-Id: I99cac20f65151cffc26100ce5bc64d7118f04cf6</t>
  </si>
  <si>
    <t>Refactor PermissionPolicyTest
Move automotive-specific features into separate raw file for esasier
maintanance. automotive_android_manifest.xml is a copy of
packages/services/Car/service/AndroidManifest.xml
Test: run cts -m CtsPermission2TestCases -t
android.permission2.cts.PermissionPolicyTest#testPlatformPermissionPolicyUnaltered
Bug: 70360793
Change-Id: I9468a17788cd99d9f9d2c9d7444e112120d19abc</t>
  </si>
  <si>
    <t>Add AppOpsManager CTS tests for noteOp(), noteOpNoThrow, checkOp(), checkOpNoThrow(), checkPackage().
Bug: 63907873
Test: make CtsPermissionTestCases -j32 &amp;&amp; cts-tradefed run singleCommand cts-dev -m CtsPermissionTestCases --test android.permission.cts.AppOpsTest
Change-Id: Ib50a3e43a92a44e4bd857ee3a4c98c056b23f886</t>
  </si>
  <si>
    <t>Revert "StagefrightTest: add test for bug 23270724"
This reverts commit 4e38daf30b1495d5cfe236b7e4f5a87c200cbbb1.
Change-Id: I1bc6f375d393bc42746a949f3f0861fd1b4adabc
Bug: 23270724
(cherry picked from commit 4d79511e2fb367f17410cea03feabda41c14a1f5)</t>
  </si>
  <si>
    <t>Refactored Field Classifications score logic so it can be moved to ExtServices.
Bug: 70939974
Test: atest CtsAutoFillServiceTestCases:FieldsClassificationTest \
            CtsAutoFillServiceTestCases:UserDataTest
Change-Id: I573b82282b600a2ba2d20cd4a52e2ca5c591ca84</t>
  </si>
  <si>
    <t>Add tests for device owner transfer.
Test: cts-tradefed run cts-dev --module DevicePolicyManager --test com.android.cts.devicepolicy.MixedDeviceOwnerTransferTest
Change-Id: Ifa04e16ea6c3b0847a2b1ac0ccb225c2d7d1018e</t>
  </si>
  <si>
    <t>FBE devices now fully support adoptable storage.
We've finished all the underlying work to support adoptable storage
on FBE devices, so remove the code that was disabling it by default.
Introduce feature flag to make it easier to detect devices that
support adoptable storage.  Test to verify that fstab and feature
flag are consistent.
Enable a virtual disk to give us the best shot at being able to pass
the various tests. This helps verify devices that may not currently
have an SD card inserted.
Also, provide an interim patch for 68202822 by passing a fully
qualified test class name; someone *cough* did some refactoring
without actually running the tests.
Test: cts-tradefed run commandAndExit cts-dev -m CtsAppSecurityHostTestCases -t android.appsecurity.cts.AdoptableHostTest
Bug: 29923055, 25861755, 33252673, 37289651, 68202822
Change-Id: I90398f4587008a9615656a509feec06f6bbd587e</t>
  </si>
  <si>
    <t>Moved EditDistanceScorerTest.java to frameworks/base
Test: echo "I don't always remove a test class, but when I do, I don't run it"
Bug: 70291841
Change-Id: I03930bd49ce231d672962b1297ff99b8381c953d</t>
  </si>
  <si>
    <t>Move seccomp CTS test to its own hostside test
Problem was caused because we fork CTS with unknown side effects.
By moving to a host side test that installs its own APK, we are
safe to fork the process without side effects.
Bug: 65179874
Test: Run cts-tradefed run cts -m CtsSeccompHostTestCases - 4 tests pass
      Change various testBlocked to testAllowed and make sure tests fail
      Make sure to change at least one in Arm, and one in swaponoff
Change-Id: I9f01d63e6f7d0f6c72745bf46c1d64cddf7f9e22</t>
  </si>
  <si>
    <t>Revert "Run LockScreenInfoTest for affiliated profile owner"
- This API no longer accept affiliated profile owner as part of http://ag/3416725
Bug: 68925683
Test: DeviceOwnerTest still passes
Change-Id: I2e4905d15470735dd264551aaf1a1c7bba02c220</t>
  </si>
  <si>
    <t>Move SyncAccountAccess*CertTests to device tests.
Test: cts-tradefed run cts-dev -m CtsSyncAccountAccessOtherCertTests
      cts-tradefed run cts-dev -m CtsSyncAccountAccessSameCertTests
Change-Id: Ib446a6ebd4b2ea62d0943d1dd286159b654d59a3</t>
  </si>
  <si>
    <t>Move AccessSameCertTests into main content cases
Test: cts-tradefed run cts-dev -m CtsContentTestCases --test=android.content.cts.AccountAccessSameCertTest
Change-Id: Ic270e48fec6d4e6752f4b82e0007d41f51663ecb</t>
  </si>
  <si>
    <t>Refactoring: Extract certificate generation code
Extract certificate generation code to the security helper package, to be used in
the CtsVerifier.
Test: That it builds.
Bug: 63388672
Change-Id: Iabcf33d134e84387330acbc07c2426df5221a149</t>
  </si>
  <si>
    <t>Keep only the minimal specialization of CTS specific
- Only keep what is really CTS specific in the suite
implementation.
- Move to TF the supporting class.
Test: unit tests, run cts-suite -m CtsGesture
Bug: 65303193
Change-Id: I6ca065a7589977ff13d399aa08cf33d831556a2d</t>
  </si>
  <si>
    <t>Tests for PROFILE/DEVICE_OWNER_CHANGED broadcast and onTransferCompleted callback.
Test: cts-tradefed run cts-dev --module DevicePolicyManager --test
com.android.cts.devicepolicy.MixedProfileOwnerHostSideTransferTest#testTransferOwnerChangedBroadcast
Test: cts-tradefed run cts-dev --module DevicePolicyManager --test
com.android.cts.devicepolicy.MixedProfileOwnerHostSideTransferTest#testTransferCompleteCallback
Test: cts-tradefed run cts-dev --module DevicePolicyManager --test
com.android.cts.devicepolicy.MixedDeviceOwnerHostSideTransferTest#testTransferOwnerChangedBroadcast
Test: cts-tradefed run cts-dev --module DevicePolicyManager --test
com.android.cts.devicepolicy.MixedDeviceOwnerHostSideTransferTest#testTransferCompleteCallback
Change-Id: Ic50d79d75a8ee35476766ff62ab685e531bc3295</t>
  </si>
  <si>
    <t>Rename PremeasuredText to MeasuredText.
Bug: 67504091
Test: bit CtsWidgetTestCases:android.widget.cts.TextViewTest
Test: bit CtsTextTestCases:*
Change-Id: I65430428375b90e6af504b6729b61775c4a36f16</t>
  </si>
  <si>
    <t>Fix handling zero camera case in CameraGpuCts
Currently, we are handling zero camera case using the Java Camera2
API. However, for certain devices don't support camera HAL3, the NDK API
we are actually using still return 0 cameras while the Java API have
some extra code to emulate HAL1 devices for camera2. Such discrepancy
causes devices don't support HAL3 fail this CTS.
This fix removes the check using Java API. Instead, it addes a new JNI
call nIsCameraReady, so that NDK API is used during initial camera
check.
Bug: 68262302
Bug: 70652002
Bug: 71469480
Change-Id: Ie1e9b7a238a120262ef87878ee449a5ec3fef9f4</t>
  </si>
  <si>
    <t>Test initial focus behavior
The new behavior works like this:
- Nothing gets focus initially by default in touch-mode.
- A focus-navigation key will send focus to the default focusable.
- Via focusedByDefault attributes, you can control what is
  considered the default focusable.
- You can initially focus a View via the &lt;requestFocus/&gt; tag.
Introducing new focusables also no-longer take initial focus when
attached.
Bug: 32089059
Test: View_InitialFocusTest
Change-Id: I34e3e0cd78b5a5898fd6e373e4ac333f060775b4</t>
  </si>
  <si>
    <t>Move startUserInBackground to standalone API
Bug: 71694116
Test: CTS passed
Change-Id: I6eaae1c1e47b671bb21f18a1a4c4541bc8773082</t>
  </si>
  <si>
    <t>Make signature tests work with system-current.txt changes
This is a big change but breaking it down into smaller pieces would
have taken longer and there just is not time to do that work. The goal
with this is to fix the tests so that they can be used to test some
other changes that are a priority.
Fundamentally the tests broke because they depended heavily on the
API definition files being a close match for the actual implementation
of the API. When the API definition files were changed the tests broke.
See b/71887619 for more details.
The InterfaceChecker was added to address the main issue that the API
definition changes caused. It collates information about all the
interface definitions it finds so that it can compute the transitive
set of methods defined by an interface and the interfaces it extends in
the API definition and compare it with the equivalent set computed from
the runtime classes.
A base-api-files option was added to allow the apache and system test
modules to provide additional definitions for interfaces referenced
from their main API definition file but not defined there.
The above changes fixed a lot of the issues but they also highlighted
some other test failures which needed fixing. In particular there was
an interaction between the above fix and the annotation check that was
recently added.
The CtsSystemCurrentApiSignatureTestCases was doing two separate but
related tests. One to check that the API signatures defined in the
system-current.txt were visible at runtime and the other to check that
the only runtime classes/members that were annotated with @SystemApi
were those defined in the system-current.txt.
The problem is that those tests would not both work at the same time.
In order for the signature test to work it needed access to some
interface definitions in the current.txt - which were merged into the
definitions from system-current.txt. However, that broke the annotation
test because it assumed that all members in its class definitions were
expected to have @SystemApi on but the ones merged from current.txt
obviously did not.
One approach would have been to maintain information about where the
API definitions came from and use that to handle the two different
cases but that would have added a lot of complexity to the
ApiComplianceChecker that was only needed for one test. That complexity
would make maintenance more difficult and also would have impacted
plans for additional tests.
Instead the SignatureTest and ApiComplianceChecker classes were each
split into three parts, one for testing the API signatures, one for
testing the annotations and a base class where the common code lives.
* SignatureTest was split into AbstractApiTest and AnnotationTest
* ApiComplianceChecker was split into AbstractApiChecker and
  AnnotationChecker - with corresponding changes to its test.
A new CtsSystemApiAnnotationTestCases module was added that will run
the AnnotationTest.
Previously each CTS module had only included a single JUnit test class
and just ran all the tests it could find. The addition of
AnnotationTest, required that every module had to explicitly specify
the test to run, hence the addition of the class option to the
AndroidTest.xml files.
Another significant change was to change ApiDocumentParser to produce
a Stream&lt;JDiffClassDescription&gt; objects rather than use its own
Listener mechanism. That avoided the replication of Stream like
capabilities around the Listener class.
Other miscellaneous changes:
* The android-test-base-27-api had an incorrect package name in its
  manifest.
* The BootClassPathClassesProvider cached a Stream but it was
  unnecessary because they can only be used once.
* Tightened up accessiblity and added final where appropriate.
Unit tests ran using:
m -j20 tradefed hosttestlib signature-hostside signature-tests &amp;&amp;
   cts/tests/signature/tests/run_unit_tests.sh
CTS tests run using:
cts/tests/signature/runSignatureTests.sh
The new CtsSystemApiAnnotationTestCases test fails. That is a known
issue with the API definition file which is being corrected in a
separate change.
Test: See above.
Bug: 71887619
Bug: 71420101
Bug: 18027885
Change-Id: I5e1d85e13759f486e263919d43be3fdf9a42f8f0</t>
  </si>
  <si>
    <t>Remove untrusted credential reset.
The test sets the credential to "1234" so it can be cleared with a
trusted credential reset.
Bug: 71527305
Test: cts-tradefed run cts-dev -m CtsDevicePolicyManagerTestCases -t com.android.cts.devicepolicy.DeviceAdminHostSideTestApi24
Change-Id: Iab113283151663ecd1bb5d78beedab0a37a3a5bc</t>
  </si>
  <si>
    <t>Fix unreliable implementation of WebViewDataDirTest.
WebViewDataDirTest ran fine when run in isolation, but not as part of
the entire CtsWebkitTestCases module. This is because while
WebViewDataDirTest makes an effort never to initialise WebView in the
main test process, to avoid interfering with its two service process's
data directories, the rest of the WebView tests don't do this, and run
in the same main test process.
Rewrite tests so that instead of assuming that the main test process
never uses WebView, it simply uses the main test process as the process
which is "intended" to use the main data directory. This also simplifies
a few of the tests as they no longer need to run as much code remotely.
Bug: 72039316
Test: run cts CtsWebkitTestCases
Change-Id: Ida056a84ab59c8c6de590d618f0745e446f66577</t>
  </si>
  <si>
    <t>Add test case for new MeasuredText consturctors and API.
Bug: 67504091
Test: bit CtsTextTestCases:*
Test: bit CtsWidgetTestCases:android.widget.cts.TextViewTest
Change-Id: I039abe57110b751a5956e517790b2284927e6634</t>
  </si>
  <si>
    <t>Remove obsolete "dram" test.
Bug: http://b/26907755
Test: builds
Change-Id: Iba0947a545bc469273630966696f256bf5e3bcc7</t>
  </si>
  <si>
    <t>Remove obsolete "dram" test.
Bug: http://b/26907755
Test: builds
Merged-In: Iba0947a545bc469273630966696f256bf5e3bcc7
Change-Id: Iba0947a545bc469273630966696f256bf5e3bcc7</t>
  </si>
  <si>
    <t>Update selinux targetSdk app domain tests
Untrusted_apps now fall into three selinux domains based on
targetSdkVersion with the following characterstics:
targetSdkVersion &gt;= 28
seapp_contexts selector levelFrom=all (per-user and per-app categories)
Domain: u:r:untrusted_app:s0:c[0-9]+,c[0-9]+,c[0-9],c[0-9]
Data context: u:object_r:app_data_file:s0:c[0-9]+,c[0-9]+,c[0-9],c[0-9]
targetSdkVersion &gt; 25 &amp;&amp; targetSdkVersion &lt;= 27
seapp_contexts selector levelFrom=user (per-user categories)
Domain: u:r:untrusted_app_27:s0:c[0-9]+,c[0-9]+
Data context: u:object_r:app_data_file:s0:c[0-9]+,c[0-9]+
targetSdkVersion &lt;=25
seapp_contexts selector levelFrom=user (per-user categories)
Domain: u:r:untrusted_app_25:s0:c[0-9]+,c[0-9]+
Data context: u:object_r:app_data_file:s0:c[0-9]+,c[0-9]+
Test that the domain data contexts match expected values. Refactor
tests to put common code into shared directory.
Bug: 63897054
Test: cts-tradefed run cts -m CtsSelinuxTargetSdkCurrentTestCases
Test: cts-tradefed run cts -m CtsSelinuxTargetSdk27TestCases
Test: cts-tradefed run cts -m CtsSelinuxTargetSdk25TestCases
Test: Boot sailfish, run apps, verify no new selinux denials.
Change-Id: I010cd6e0fb8ff6a9a8eceb8e866aa572b98c21d7</t>
  </si>
  <si>
    <t>Prevent flakes in CreateUsersNoAppCrashesTest
Tests are now retried if an app crash dialog was shown. The test will
only fail if the app is still crashing on a second attempt.
Also switched tests to JUnit4
Test: self
Bug: 71573557
Change-Id: I105dada67d0c8b56c80233578ef7f5f64801112d</t>
  </si>
  <si>
    <t>CTS for allowing PO to call AccountManager.removeAccount
Bug: 67582022
Test: MixedDeviceOwnerTest#testAccountManagement_deviceAndProfileOwnerAlwaysAllowed passed
Test: MixedProfileOwnerTest#testAccountManagement_deviceAndProfileOwnerAlwaysAllowed passed
Change-Id: Ic689577af5bb176748689ee40a0dfdd0affa6e7f</t>
  </si>
  <si>
    <t>Add tests for mamagement API for making backups mandatory.
BUG: 64012357
Test: cts-tradefed run cts -m CtsDevicePolicyManagerTestCases --test
com.android.cts.devicepolicy.DeviceOwnerTest#testGetAndSetMandatoryBackupTransport
Test: cts-tradefed run cts -m CtsBackupHostTestCase --test
android.cts.backup.BackupDeviceOwnerHostSideTest
Change-Id: I16c882bb712ff1b3afc6157696b2945f3f01eaf7</t>
  </si>
  <si>
    <t>Add a CTS test checking that ops get logged by AppOpsManager.
Also add a CTS/GTS utility class for working with app ops.
Bug: 63907873
Test: atest CtsPermissionTestCases:AppOpsTest
Change-Id: Ib30646fc40132dd3a2f707bf6e8123f6f452766b</t>
  </si>
  <si>
    <t>EBS CTS: Background service restrictin
- This also includes a framework for the test-app communcation using proto
buffer.
Bug: 72041913
Test: atest CtsBatterySavingTestCases
Change-Id: Ib691a29c1a687e9f89fc603a98a4a630abbcb417</t>
  </si>
  <si>
    <t>PoC: CTS Report and Release API Report
Bug: 71688723
Test: make -j16 cts-test-coverage
Change-Id: Ibb42dd226ac2ad55d7e4ae7d522151f386b5b013</t>
  </si>
  <si>
    <t>Revert "CTS tests for tooltip a11y support"
This reverts commit 7e8443e1d9d38ac375adeffae964e04348aa6045.
Reason for revert: Cannot access views by resource-id via uiautomator
Bug: 72271943
Change-Id: I0ee50eaa27cc3a6c7bd418547e7573c8b758136e</t>
  </si>
  <si>
    <t>Update ImageDecoderTest for onPartialImage
Bug: 63909536
Test: This
Change-Id: I8d1672180d8325ae1caf44f0bbf41036b94e6253</t>
  </si>
  <si>
    <t>Moar changes meant to improve Autofill CTS flakiness:
- Removed dangling sessions assertions, as session is an implementation detail.
- Moved Helper.preTestCleanup() logic to a @Before method.
- Refactored waitUntilConnected() / waitUntilDisconnected().
- Removed unnecessary calls to waintUntilConnected().
- Fixed RetryableException constructor that takes a cause exception.
- Improved LoginActivityTest.testAutofillCallbacks().
Bug: 72160704
Fixes: 72057412
Test: atest CtsAutoFillServiceTestCases
Change-Id: Iad641662a4718f8c6c57ca80bf6068cb01902ad7</t>
  </si>
  <si>
    <t>autofill cts: fix flaky testSplitWindow
Wait current activity being recreated in splitted window
before start new activity.
Test: atest CtsAutoFillServiceTestCases:MultiWindowLoginActivityTest
Bug: 72326000
Change-Id: I6dca11300292ff98ffb79de78512e2800f11f9d2</t>
  </si>
  <si>
    <t>Update ImageDecoderTest for public API review
Bug: 63909536
Bug: 63908092
Test: This
Change-Id: Iaeb7c27bafb351932f0fabe59461ef50b1e2424a</t>
  </si>
  <si>
    <t>Test for BulletSpan
Test: BulletSpanTest
Change-Id: I6be8610bef176f5074f1748ab5b64ce885573e8f
But: 72217003</t>
  </si>
  <si>
    <t>CTS for user management APIs
- boolean stopUser(ComponentName admin, UserHandle userHandle)
- boolean exitUser(ComponentName admin)
- List&lt;UserHandle&gt; getUsers(ComponentName admin)
- boolean isEphemeralUser(ComponentName admin)
- boolean isAffiliatedUser()
- LEAVE_ALL_SYSTEM_APPS_ENABLED
- onUserStarted, onUserStopped and onUserSwitched
Bug: 67581357
Test: com.android.cts.devicepolicy.DeviceOwnerTest passed
Change-Id: Id4936a6b4ca871b6ab2c652f53de7333e3049a78</t>
  </si>
  <si>
    <t>CTS for setLightNavigationBarDivider
Test: android.systemui.cts
Change-Id: If08e3cf6b1096227f3115a5a79524673c76f5621
Fixes: 68776845</t>
  </si>
  <si>
    <t>Revert "DO NOT MERGE StagefrightTest: add test for bug 23270724"
This reverts commit b2de82b797cf311e65d1fa11cd0aadbca220b70a.
Bug: 64315203
Change-Id: Ibf00ceebeaa9ddb8fcc6432ba102b81e11c1a33f</t>
  </si>
  <si>
    <t>Remove all Android Security tests that require root from CTS.
Test: successful build
Bug: 67456333
Change-Id: I096d71ebb42ea34a3f0b3e7fbd33a2f59aeed717</t>
  </si>
  <si>
    <t>Revert "Add CTS tests for retrying ellipsization"
This reverts commit 55102bcf5f2fdb41df5ec04e4a902fd9f161c5e6.
Test: bit FrameworksCoreTests:android.text.StaticLayoutTest
Test: bit FrameworksCoreTests:android.text.DynamicLayoutTest
Test: bit FrameworksCoreTests:android.text.TextUtilsTest
Test: bit CtsTextTestCases:*
Test: atest FilesActivityUiTest
Bug: 71599479
Bug: 31537595
Bug: 64156587
Change-Id: I66446b9412c40b0f4eee421a1490ca60e9df1f68</t>
  </si>
  <si>
    <t>Removing Incident.*Test.
Bug: 67899176
Bug: 70632504
Test: N/A
Change-Id: Ib0ebfce395e136cf22014f28f8bd9fef9b1eaff7</t>
  </si>
  <si>
    <t>Make AssetInputStreamTest actually test read with offset
Previously, the read at offset method would just test that the contents
of the same buffer from the previous read at offset were identical to
the expected bytes. This could be true if the first read filled in data
ahead of its intended length.
Test: atest CtsContentTestCases:AssetManager_AssetInputStreamTest
Change-Id: I67ff53791dbf55fcd7fb74062c127f8bf5b12ec0</t>
  </si>
  <si>
    <t>[CTS] Remove BackupManagerTest
This test made use of a now deprecated requestRestore() API.
It wasn't testing much anyway, and testing on dataChanged()
behaviour is covered in different tests.
Test: make -j40 cts
Bug: 62650350
Change-Id: I5aaf187e5ee4372ea153efefeb11441360aa4a31</t>
  </si>
  <si>
    <t>Added tests for QuoteSpan
Test: QuoteSpanTest
Bug: 72410257
Change-Id: I2d77dd51531148f809fc8392a55dd15fc2c6bcf7</t>
  </si>
  <si>
    <t>Remove all Android Security tests that require root from CTS.
Test: successful build
Bug: 67456333
Change-Id: I096d71ebb42ea34a3f0b3e7fbd33a2f59aeed717
Merged-In: I096d71ebb42ea34a3f0b3e7fbd33a2f59aeed717</t>
  </si>
  <si>
    <t>Factor out common methods from AccountAccess*Tests
... and put them into the account access lib
Test: atest android.content.cts.AccountAccessSameCertTest
      atest com.android.cts.content.CtsSyncAccountAccessOtherCertTestCases
Change-Id: I381971f17fc2ad831280edd47a4fc56cf0ad73e5</t>
  </si>
  <si>
    <t>Test for throttling allow-while-idle alarms in EBS
Testing that allow_while_idle alarms are not blocked, but rate limited
at a maximum of one every ALLOW_WHILE_IDLE_LONG_TIME
Test: atest android.alarmmanager.cts.BatterySaverTests
Bug: 72124522
Change-Id: I5b86d56b1e24631cd82a3bfb93598d401716d70a</t>
  </si>
  <si>
    <t>CTS: Add set-agent-app tests
Add coverage for set-agent-app + start.
Refactor the test to have four separate test methods. Use lambdas
for code reuse.
Bug: 69929492
Test: m
Test: m cts
Test: cts-tradefed run commandAndExit cts-dev -m CtsJvmtiAttachingHostTestCases
Change-Id: I65e869debd45e6073f9ab21cb9de9c9deb828a2e</t>
  </si>
  <si>
    <t>Deleted CTS test for deprecated CAR_AUDIO_USAGE
BUG: 72046976
Test: lunch gcar_emu-x86 &amp;&amp; m -j // Verify in Car Settings
Change-Id: Ia2fe3c31016bd3416b7d3fa816ef8d1fba60eef7</t>
  </si>
  <si>
    <t>[AWARE] Remove "Respond to ANY" API - dummy tests deprecated
Aware API which permitted a Responder (Publisher) to accept data
path requests from ANY peer (as opposed to a specific peer with a
Peer ID or MAC address) is deprecated in the API update.
The CTS tests in any case cannot test the full exchange (which
requires 2 devices and is tested using CtsVerifier). They tested
the creation of a valid Network Specifier and a network request
which then times-out. However, the network request did not specify
a peer - a now deprecated API.
Update the tests:
- For OOB data-path specify a dummy MAC address
- Remove the in-band data-path tests since there is no public API
  to create a dummy PeerHandle.
Bug: 72175022
Test: CTS passes
Change-Id: I97b74d80d0f9dfdc43c4c743a18c960c05ab6a53</t>
  </si>
  <si>
    <t>Expand CTS for clearApplicationData
- Added test for failure case for active admin and device provisioning package
Bug: 65280228
Test: cts-tradefed run singleCommand cts -m DevicePolicyManager --test com.android.cts.devicepolicy.MixedDeviceOwnerTest#testClearApplicationData_testPkg
Test: cts-tradefed run singleCommand cts -m DevicePolicyManager --test com.android.cts.devicepolicy.MixedDeviceOwnerTest#testClearApplicationData_deviceProvisioning
Test: cts-tradefed run singleCommand cts -m DevicePolicyManager --test com.android.cts.devicepolicy.MixedDeviceOwnerTest#testClearApplicationData_activeAdmin
Change-Id: I814ddaf64028ae189f872c2a74b3a34107decc48</t>
  </si>
  <si>
    <t>Add CTS tests for freeze period in SystemUpdatePolicy
Test: cts-tradefed run commandAndExit cts-dev -m CtsDevicePolicyManagerTestCases -t com.android.cts.devicepolicy.DeviceOwnerTest#testSystemUpdatePolicy
Bug: 64813061
Change-Id: Ice39241f66fd1b422b339d53432162136e2b174f</t>
  </si>
  <si>
    <t>Add SliceManager tests
Test: atest cts/tests/tests/slice
Bug: 68378571
Change-Id: I3dee3ba8d76182f1f4c8b9e86dd50b53df500b10</t>
  </si>
  <si>
    <t>Add test for onTransferAffiliatedProfileOwnershipComplete callback for
DPC migration.
Test: cts-tradefed run cts-dev --module DevicePolicyManager --test
com.android.cts.devicepolicy.MixedDeviceOwnerHostSideTransferTest#testTransferAffiliatedProfileOwnershipCompleteCallback
Test: cts-tradefed run cts-dev --module DevicePolicyManager --test
com.android.cts.devicepolicy.MixedDeviceOwnerHostSideTransferTest#testTransferAffiliatedProfileOwnershipCompleteCallbackInComp
Change-Id: I978bb086d8bcbd9f12e09e4b71cb320e2c1d91e9</t>
  </si>
  <si>
    <t>Add tests for getTransferOwnershipBundle() API call for DPC migration.
Test: cts-tradefed run cts-dev --module DevicePolicyManager --test com.android.cts.devicepolicy.MixedDeviceOwnerHostSideTransferTest#testIsTransferBundlePersisted
Test: cts-tradefed run cts-dev --module DevicePolicyManager --test
com.android.cts.devicepolicy.MixedDeviceOwnerHostSideTransferTest#testGetTransferOwnershipBundleOnlyCalledFromAdmin
Test: cts-tradefed run cts-dev --module DevicePolicyManager --test
com.android.cts.devicepolicy.MixedDeviceOwnerHostSideTransferTest#testNullTransferBundlePersisted
Test: cts-tradefed run cts-dev --module DevicePolicyManager --test
com.android.cts.devicepolicy.MixedDeviceOwnerHostSideTransferTest#testIsBundleNullNoTransfer
Test: cts-tradefed run cts-dev --module DevicePolicyManager --test
com.android.cts.devicepolicy.MixedProfileOwnerHostSideTransferTest#testIsTransferBundlePersisted
Test: cts-tradefed run cts-dev --module DevicePolicyManager --test
com.android.cts.devicepolicy.MixedProfileOwnerHostSideTransferTest#testGetTransferOwnershipBundleOnlyCalledFromAdmin
Test: cts-tradefed run cts-dev --module DevicePolicyManager --test
com.android.cts.devicepolicy.MixedProfileOwnerHostSideTransferTest#testNullTransferBundlePersisted
Test: cts-tradefed run cts-dev --module DevicePolicyManager --test
com.android.cts.devicepolicy.MixedProfileOwnerHostSideTransferTest#testIsBundleNullNoTransfer
Change-Id: I4aeb1eac703ee1db5c69c1d14ac8059a0bfeccb4</t>
  </si>
  <si>
    <t>New autofill test for DateTransformation and DateValueSanitizer.
Test: atest CtsAutoFillServiceTestCases:DateValueSanitizerTest \
            CtsAutoFillServiceTestCases:DateTransformationTest \
            CtsAutoFillServiceTestCases:CustomDescriptionDateTest
Bug: 72450441
Change-Id: I86eb26cfa6560f78099bbb9518b757d02036e94b</t>
  </si>
  <si>
    <t>Enable extra error_prone rule against JUnit4 usage in JUnit3
Add rule against CTS harness to prevent using JUnit4
concepts inside JUnit3 (which would not work very well).
And fix one occurence of it.
Test: build
./cts-tradefed run cts-dev -m CtsDeviceIdleHostTestCases
Bug: 72663865
Change-Id: I4d38e6f17e9393b7af3463800dac546c8cf79e74</t>
  </si>
  <si>
    <t>Added more tests for Save on virtual views.
Test: atest VirtualContainerActivityTest
Bug: 63602573
Change-Id: I83c4744e3976b75a20d72cf2d151cf2d47106611</t>
  </si>
  <si>
    <t>Fix Context.enforce[CallingOrSelf]Permission tests, and add more permission tests.
Test: atest CtsContentTestCases:ContextWrapperTest
Change-Id: Iee763cdcba85b9a3400c85c15357cc225268b7e6
Bug: 72485440</t>
  </si>
  <si>
    <t>Tests for HW Bitmaps in Picture
Bug: 34881007
Test: bit CtsGraphicsTestCases:*
Test: bit CtsUiRenderingTestCases:.testclasses.HardwareBitmapTests
Change-Id: Iabd475a05ab64fb905ef58e316c688f1e29c97a8</t>
  </si>
  <si>
    <t>Update FragmentManagerNonConfigTest for P+ apps
Starting with P onSaveInstanceState() will be called after onStop(),
which means that an activity transaction can be safely performed in
onStop().
This CL ensures previous behavior for pre-P apps and verifies that
a fragment can be retained when added in onStop() for P+ apps.
Bug: 68763258
Test: FragmentManagerConfigTest
Test: FragmentManagerNonConfigTest
Change-Id: Id290e6cec45701dc00cba5040d3160456bc5216d</t>
  </si>
  <si>
    <t>Camera2: Clean up logical camera related test
- Pick 2 physical streams with same supported size, and
use same capture session when comparing frame rate.
- Relax the capture rate threshold until HAL is fixed.
- Validate that timestamps for logical and physical cameras
monotonically increase.
- Check that between logical and physical cameras, timestamps
don't go out of order.
- Add test for raw physical streams if logical raw is not supported.
- Add test to verify physical result only exists if physical stream
is requested
Test: Camera CTS
Bug: 64691172
Change-Id: I880d80675340ca3d36020c0c2b751e6df825b3ce</t>
  </si>
  <si>
    <t>Update Fingerprint Dialog CTS to remove FingerprintManager dependencies
Test: manual cts test
Bug: 72529467
Change-Id: I1a9dbaa3d429eba14ed94d7fdfa098a71db4442e</t>
  </si>
  <si>
    <t>Dialog test cases for ESC key
Tests ESC key presses in dialog window. Behaviour should be
identical to back key presses.
These are the tests for http://ag/3540722
Bug: 71907807
Test: atest cts.DialogTest
Change-Id: Ied531c9d79d75a881402f8236653e58b147bd19e</t>
  </si>
  <si>
    <t>Match CTS test names with target API name
This is a follow up CL to a previous CL [1] that introduced CTS tests
for InputMethodService#setBackDisposition().
This CL does nothing except for renaming CTS tests introduced in that
CL, to make it clear that those tests are for
InputMethodService#setBackDisposition().
 [1]: If2ad64cb1f2bb6a72214b96f95d5453ac535ddc1
      47d2b45913716d58a3578053c354674cb50ae03e
Bug: 38513361
Test: atest CtsInputMethodTestCases
Change-Id: I9480e12cfce0c5c21f4bfbc6cc393ffa8ca4a0fd</t>
  </si>
  <si>
    <t>Revert "CTS test for Android Security b/38115076"
This reverts commit 9272b86c66eb3e6bce0efb056ae13fec18094ce9.
Bug: 38115076
Change-Id: Ibf02e3f7c6200e9fc33199f6d43668355a7d09fe</t>
  </si>
  <si>
    <t>Rename ClearKeySystemTest to MediaDrmClearkeyTest
The new name more accurately reflects what this test
does. Changing it before adding more tests.
Test:cts MediaDrmClearkeyTest
Change-Id: I798222e6910d745cf054081b4fb5b5fe7c6dde2e
related-to-bug:64001680</t>
  </si>
  <si>
    <t>Adding tests for privacy filtering for several proto dumps.
Bug: 72814439
Test: atest CtsIncidentHostTestCases
Change-Id: Ia2233028c0bb0e64e20b6600c1063a80bbd06da4</t>
  </si>
  <si>
    <t>Extract AnimatedVectorDrawableTest.MyCallback
Test: (This is a test refactor)
Move MyCallback into its own file for sharing with
AnimatedImageDrawableTest. It is already used by
AnimatedVectorDrawableParameterizedTest; rename its uses.
Change-Id: Ie05831603de74b029fd34b6dcf1e03c6f9c35ad9</t>
  </si>
  <si>
    <t>Add Cts for ConnectionService focus API
Bug: 69651192
Test: atest CtsTelecomTestCases:ConnectionServiceTest
Change-Id: Iff82f87b4c61abd3f53150f35e879cfc439b85ed</t>
  </si>
  <si>
    <t>Refactor AlertDialogTest and DialogTest
Convert AlertDialogTest and DialogTest to use the JUnit4 framework.
Test: atest cts.AlertDialogTest cts.DialogTest
Bug: 69369484
Change-Id: Ie6707eb1fea348125f62a94a05d3932d65d14727</t>
  </si>
  <si>
    <t>Fix MixedDeviceOwnerHostSideTransferTest#testTransferAffiliatedProfileOwnershipInComp failure.
In COMP transfer we need to wait between the DO and PO transfers for the DO transfer broadcasts to be handled.
I also switched the order of transfers - first we transfer PO and then DO, because that is the point of the TransferAffiliated callback.
Bug: 72831456
Test: cts-tradefed run cts-dev --module DevicePolicyManager --test
com.android.cts.devicepolicy.MixedDeviceOwnerHostSideTransferTest#testTransferAffiliatedProfileOwnershipCompleteCallbackInComp
Change-Id: I90d01291a335cbce1982035b0e0934a7c8e59c15</t>
  </si>
  <si>
    <t>Logging for linkify selections
Bug: 67629726
Test: Manually validated, ran CTS tests, and framework tests
Change-Id: I3d7ae1d567bfc86ea9205d17de8cdc212a3d99c7</t>
  </si>
  <si>
    <t>Check audit logging of keystore events.
Bug: 70886042
Test: Test: cts-tradefed run cts -m CtsDevicePolicyManagerTestCases -t
 com.android.cts.devicepolicy.DeviceOwnerTest#testSecurityLoggingWithSingleUser
Change-Id: Idb16705ceee1a8edcc93e128b1ed0e886edfa950</t>
  </si>
  <si>
    <t>Check audit logging of KeyChain events.
Bug: 70886042
Test: Test: cts-tradefed run cts -m CtsDevicePolicyManagerTestCases -t
 com.android.cts.devicepolicy.DeviceOwnerTest#testSecurityLoggingWithSingleUser
Change-Id: I71b5427df964b091ef19d1e4df882fc21143d5f5</t>
  </si>
  <si>
    <t>Camera2: Update MOTION_TRACKING capability tests
The MOTION_TRACKING API is being simplified for the P release, so
adjust tests accordingly.
Test: Revised Camera CTS passes
Bug: 63629224
Change-Id: Icc782c68cdabe814987633cfb14edaed3b9c43fb</t>
  </si>
  <si>
    <t>Add more tests for PrecomputedText
This CL contains following changes:
- Update test case for API changes in frameworks/base
- Precomputed need to be re-created if the parameter of the StaticLayout
  is different from the ones when PrecomputedText is created.
Bug: 72783843
Bug: 67504091
Test: bit FrameworkCoreTests:android.text.
Test: atest CtsWidgetTestCases:EditTextTest \
    CtsWidgetTestCases:TextViewFadingEdgeTest \
    FrameworksCoreTests:TextViewFallbackLineSpacingTest \
    FrameworksCoreTests:TextViewTest FrameworksCoreTests:TypefaceTest \
    CtsGraphicsTestCases:TypefaceTest CtsWidgetTestCases:TextViewTest \
    CtsTextTestCases
Change-Id: Idf41e714926c98ab935b6aecda2b66277376bcd4</t>
  </si>
  <si>
    <t>CTS: Parametarize Key Management tests
Previously, the key generation tests only tested one supported algorithm
and a limited combination of Device Identifiers in the attestation
record.
Modify the test to test both RSA and EC key generation, together with:
* Key Attestation only.
* Device ID Attestation: All combinations of basic device information,
device serial number, device IMEI and device MEID (where the two are
distinct).
This ensures the key management test passes only if the underlying
Keymaster implementation supports all required forms of key and device
ID attestation.
Bug: 71493452
Test: cts-tradefed run commandAndExit cts-dev -a armeabi-v7a -m CtsDevicePolicyManagerTestCases -t com.android.cts.devicepolicy.DeviceOwnerTest#testKeyManagement
Change-Id: Ib01153d3dce9dfaa3baa23d071908c9f3323f62f</t>
  </si>
  <si>
    <t>Revert "Add more tests for PrecomputedText"
The original change will be reverted
This reverts commit 83fdac5acda66ca69dcef777a4f43e744473ad7d.
Change-Id: I3586a7c6b5d25f9f18b4b65954de2ba47191ba0a</t>
  </si>
  <si>
    <t>Temporarily disable WebView Tracing API CTS tests for landing
Temporarily disable existing TracingController CTS tests
in order to land the updated APIs (ag/3478990) and the
corresponding android webview glue and chromium patches.
The tests will be updated and re-enabled once the chromium
side rolls into android master and the test will actually
be able to run the new api end-to-end.
BUG: 63750258
Test: cts-tradefed run cts -m CtsWebkitTestCases --test android.webkit.cts.TracingControllerTest
Change-Id: I78f4ee09c5caf226c7275f5937407a3584450289</t>
  </si>
  <si>
    <t>Refactored Autofill Field Classification tests.
Bug: 70407264
Test: atest CtsAutoFillServiceTestCases:UserDataTest \
            CtsAutoFillServiceTestCases:FieldsClassificationTest
Change-Id: I5ed1337cf899746233530235a5450ec241384567</t>
  </si>
  <si>
    <t>Pre-P apps cannot change dnd policy test
Bug: 70662324
Test: runtest --path cts/tests/app/src/android/app/cts/NotificationManagerTest.java
Change-Id: Id8f34d6274b3ac4c796d3e2d4c61e2c2b97885d0</t>
  </si>
  <si>
    <t>Remove testHideSoftKeyboard_shouldHideKeyboardOnRequest test
As discussed on the associated bug, this test is unable to get to
VR keyboard on Daydream devices and it makes an invalid assumption
that a soft keyboard has an associated View in WindowManager.
Also this test was responsible for a bunch of other issues in the
past. So we decieded to remove this test completely and create a new
one for Android P.
Bug: 64480919
Change-Id: If729bc7966ac9f883e17e71e18b08a786d79c09d</t>
  </si>
  <si>
    <t>Remove testHideSoftKeyboard_shouldHideKeyboardOnRequest test
As discussed on the associated bug, this test is unable to get to
VR keyboard on Daydream devices and it makes an invalid assumption
that a soft keyboard has an associated View in WindowManager.
Also this test was responsible for a bunch of other issues in the
past. So we decieded to remove this test completely and create a new
one for Android P.
Bug: 64480919
Merged-In: If729bc7966ac9f883e17e71e18b08a786d79c09d
Change-Id: I254dbf6265657d5545f7de01ad835949a731265a</t>
  </si>
  <si>
    <t>Alter CTS tests for new EMBMS APIs
Change CTS tests so that they pass with the changes suggested by API
council.
Test: CTS
Change-Id: I331c66840d8b7fc1cc2d957c7ab31c63640dfff0</t>
  </si>
  <si>
    <t>Rework #testInputMethodManager()
With this CL, InputMethodManagerTest#testInputMethodManager() is split
into two test cases #testIsActive() and #testIsAcceptingText() with
the following changes:
 * InputMethodManagerTest stops relying on @Rule, which is no longer
   recommended in JUnit 5.
 * Those tests no longer require PackageManager.FEATURE_INPUT_METHODS
   to run, because APIs we are testing here should continue working
   even if the device does not support installable IMEs.
 * InputMethodManager#isAcceptingText() has more test coverage.
 * InputMethodManager#isActive(View) has more test coverage.
Fix: 72922405
Test: atest CtsInputMethodTestCases
Change-Id: Icde60bfb95127f84aff10fd28cc086281e75837f</t>
  </si>
  <si>
    <t>Add more tests for PrecomputedText (2nd)
This is 2nd attempt of Idf41e714926c98ab935b6aecda2b66277376bcd4
This CL contains following changes:
- Update test case for API changes in frameworks/base
- Precomputed need to be re-created if the parameter of the StaticLayout
  is different from the ones when PrecomputedText is created.
Bug: 72783843
Bug: 67504091
Test: bit FrameworkCoreTests:android.text.
Test: atest CtsWidgetTestCases:EditTextTest \
    CtsWidgetTestCases:TextViewFadingEdgeTest \
    FrameworksCoreTests:TextViewFallbackLineSpacingTest \
    FrameworksCoreTests:TextViewTest FrameworksCoreTests:TypefaceTest \
    CtsGraphicsTestCases:TypefaceTest CtsWidgetTestCases:TextViewTest \
    CtsTextTestCases
Change-Id: Id8c78a79a42c89735ad7dd272caf9601afbf093f</t>
  </si>
  <si>
    <t>Add Cts for ConnectionService focus API
Bug: 69651192
Test: atest CtsTelecomTestCases:ConnectionServiceTest
Merged-In: Iff82f87b4c61abd3f53150f35e879cfc439b85ed
Change-Id: Iff82f87b4c61abd3f53150f35e879cfc439b85ed</t>
  </si>
  <si>
    <t>Revert "Add TransformationInfo CTS tests."
This reverts commit dd4aaaf3e39d73f1d1b532132e246de4e756ab48.
Reason for revert: we're cutting the feature from P
Change-Id: Ib2f2566c8af430fa8a9c6b17bf1dee6cfcbc1875
Bug: 73727182</t>
  </si>
  <si>
    <t>Revert "Add the assisted dialing setting activity cts test."
This reverts commit 56f2cbfaf29f8ca2f9a8b93ca493485bd3385151.
Reason for revert: we're cutting the feature from P
Change-Id: I3bbf6a737ab8e3a316c738e3ceae4cd85249f78e
Bug: 73727182</t>
  </si>
  <si>
    <t>Revert "CTS test for Android security b/32706020"
This reverts commit d6a6157f73cccd815307efbaa946711f90872885.
Reason for revert: Broken build in nyc-mr2+, missing dependency?
Change-Id: I705420a5b8ce9ba621569152727925f87bf959b5</t>
  </si>
  <si>
    <t>Use ComponentName in DeprecatedTargetSdkTest
Bug: 73349193
Test: No new test starts failing.
  atest CtsActivityManagerDeviceTestCases:DeprecatedTargetSdkTest
Change-Id: I99fe154dd604fe5830bae48105f6fc460242cc9e</t>
  </si>
  <si>
    <t>Add AppOpsManager CTS test for startWatchingMode() and stopWatchingMode().
Test: atest CtsPermissionTestCases:AppOpsTest
Change-Id: Ib95ffe0903567e0cfbfcdad2f914e98c48565a8e
Bug: 72694454</t>
  </si>
  <si>
    <t>Use ComponentName in PrereleaseSdkTest
Bug: 73349193
Test: atest CtsActivityManagerDeviceTestCases:PrereleaseSdkTest
Change-Id: I0d6851053923c52e7858bc78dee540b2d3aa08b4</t>
  </si>
  <si>
    <t>Add more test cases for PackageManager.checkPermission() and checkSignatures().
Also remove a test that doesn't actually test anything and whose TODO bug was marked as obsolete.
Bug: 72485440
Test: atest CtsContentTestCases:PackageManagerTest#testCheckPermissionGranted CtsContentTestCases:PackageManagerTest#testCheckPermissionNotGranted CtsContentTestCases:PackageManagerTest#testCheckPermissionSystem
Change-Id: I9595b2daffce9891718a58dc8c81ff27a690194a</t>
  </si>
  <si>
    <t>Update tests for rename to setConserveMemory
Bug: 73788928
Test: This
Change-Id: Ic4198306aae7f11a935aeeb970c8e05fbe440e7f</t>
  </si>
  <si>
    <t>Revert "DO NOT MERGE - Set minimum density when running testTapLink_changeOrientationThenTapBack"
This reverts commit bd5f45cec7086fb3e4e0a246e7a4bfaa64ca90ca.
Change-Id: Ic382b9837a9642f3aaf9b1ed6f5812b7f02f6498</t>
  </si>
  <si>
    <t>Spun dataset filtering and authentication tests out of LoginActivityTest
That class is too bloated, and it's easier to run these tests in isolation.
Test: atest \
  CtsAutoFillServiceTestCases:LoginActivityTest \
  CtsAutoFillServiceTestCases:DatasetFilteringTest \
  CtsAutoFillServiceTestCases:AuthenticationTest
Bug: 37566627
Bug: 73796497
Change-Id: I8727d2f25f6cc8f03baeaa92883eddf442184302</t>
  </si>
  <si>
    <t>Use JUnit Rules for battery saving / sync CTS
Test: atest CtsBatterySavingTestCases
Test: atest CtsSyncManagerTestsCases
Change-Id: I99f1bf0112cfff30c8ad3d18b4c4dd9d19fbc3f0</t>
  </si>
  <si>
    <t>Renames, see ag/3642615 for details.
Bug: 72474563
Test: manual
Change-Id: I3a23ed92e085271801a37b13e03ed2f32b65366f</t>
  </si>
  <si>
    <t>Use ComponentName in PrereleaseSdkTest
The fake-framework, introduced by If14e639858, is used to mimic an older
pre-release SDK for the purpose of testing what happends when an application
is linked against a pre-release SDK is installed on release device.
Bug: 73349193
Test: atest CtsActivityManagerDeviceTestCases:PrereleaseSdkTest
Change-Id: Ibda2c33e30743b08eabdb4678922f4f5aefab84a</t>
  </si>
  <si>
    <t>Introduces ScreenDensitySession
ScreenDensitySession ensures setting screen density and restoring it.
Bug: 73349193
Test: atest CtsActivityManagerDeviceTestCases:DisplaySizeTest
Change-Id: Ia6f471a7019c0543dc4ed3403fb0c709c838dc1b</t>
  </si>
  <si>
    <t>Removed tests that rely on tapping recents.
These tests were currently ignored as the recents behavior is not well defined,
which was causing failures on some OEM devices. Besides, the scenarios they were
testing were kind of redundant, as they were also exercised by tests that either
tapped HOME or explicitly launched an activity.
Test: atest CtsAutoFillServiceTestCases # although there are unrelated failures
Fixes: 72044685
Change-Id: Idd109555e49c481a7f25149766d1208ccd3e8305</t>
  </si>
  <si>
    <t>Add explicit method to clear clipboard.
Verify behavior of new clear method, as well as clipboard Uri
permission granting success/failure cases.  Also add tests for
listener interface.
Move some AppSecurity cross-package interactions to use
ContentProvider.call() (instead of broadcasts), which gives a much
faster synchronous cross-process interface, letting us remove a bunch
of sleep() calls, and throw real exceptions to log.
Test: cts-tradefed run commandAndExit cts-dev -m CtsContentTestCases -t android.content.cts.ClipboardManagerTest
Test: cts-tradefed run commandAndExit cts-dev -m CtsAppSecurityHostTestCases -t android.appsecurity.cts.AppSecurityTests
Bug: 71711122, 73797203
Exempt-From-Owner-Approval: simple annotation changes
Change-Id: I6cd3a0344820f375d181e00c7e9bb4af8121a2d4</t>
  </si>
  <si>
    <t>Check qtaguid support before private stats test
The AccessPrivateDataTest and CreatePrivateDataTest is directly testing
the proc file of xt_qtaguid module. These two test will no longer valid
after we block the access from untrusted app to qtaguid proc file. So
remove the AccessPrivateDataTest and added a new qtaguid test to make
sure apps with SDK 28 or above cannot access qtaguid proc file.
Bug: 30950746
Bug: 68774956
Test: run cts -m CtsAppSecurityHostTestCases \
	-t android.appsecurity.cts.AppSecurityTests
Change-Id: I957ba31fea392982e7d15eda2afd9580299192f2</t>
  </si>
  <si>
    <t>Revert "MediaSession2: Copy tests from frameworks/av to CTS"
This reverts commit 4241d4a3ca12764c063cd0c712a4f79e6b34853c.
Reason for revert: Temporarily reverting this CL to merge ag/3668226 first.
Change-Id: Iaa1768b888ceec9cf09a2afc2f6e58329ab333be</t>
  </si>
  <si>
    <t>autofill cts: add tap outside test
Use "adb shell input touchevent" to tap outside autofill window,
test if the window closed and hidden event was fired.
Added LoginActivityTest#testAutofillTapOutside
Bug: 73796497
Test: atest CtsAutoFillServiceTestCases
Change-Id: I4c6bcdb9dfb08207e6f159ff84e80842b24dd466</t>
  </si>
  <si>
    <t>[AWARE] Update CTS for (new) Aware Location Mode behavior
Aware is now disabled whenever Location Mode is off. Update CTS
to check for Location Mode and fail if not available with relevant
notification.
Bug: 70218191
Test: CTS tests fail with Location Mode off
Test: CTS tests pass (with known failure for MAC randomization) with Location Mode on
Change-Id: I0739012a2a5fce56e76c1607e7b700c12fa8e083</t>
  </si>
  <si>
    <t>Add tests for VibrationEffect
Unit-tests added to cts
Test: run "cts-tradefed run commandAndExit cts-dev -m CtsOsTestCases -t android.os.cts.VibrationEffectTest"
Bug: 73124917
Change-Id: I87a627654c46ec2aae43972254c631d521766b3e</t>
  </si>
  <si>
    <t>Revert "CTS: InputConnection#reportLanguageHint()"
This reverts commit 319e7288f8b02a91f0ab7bfaf57b62c8d0d38e54 [1].
Reason for revert:
The protocol is not yet ready to be exposed and we are still unsure
what is the best approach.
 [1]: I0a0502210ba52f1f2373d8e1981dca7511253cd7
Fix: 74087970
Bug: 7031513
Bug: 72522601
Test: atest CtsInputMethodTestCases
Change-Id: Idb2e918215adf0f02623eca0f76b491c76d118fd</t>
  </si>
  <si>
    <t>Test setting loop count from XML
Bug: 73529437
Test: This
Also update to the new API (loop -&gt; repeat)
Change-Id: I60fbee6d3610070413e8c46f363ec3c19c2e7c52</t>
  </si>
  <si>
    <t>Test alarms, system and media streams muted by dnd
- edited test to reflect that changing stream volume no longer exits dnd
Test: runtest --path cts/tests/tests/media/src/android/media/cts/AudioManagerTest.java
Test: runtest --path cts/tests/app/src/android/app/cts/NotificationManagerTest.java
Bug: 73362490
Change-Id: I0d2518fee7ce90b5ac4a43259e20e9a6cc16c992</t>
  </si>
  <si>
    <t>Updated CTS for IMS API rename
Bug: 73954137
Test: atest InputMethodServiceLifecycleTest
Change-Id: I1d7691646e7d8f4caf29dc7be4e7149eb325aaeb</t>
  </si>
  <si>
    <t>Test for hidden api enforcement killswitch
Currently, simply verifies that we can access VMRuntime.THE_ONE, which
doesn't prove anything as there is no blacklisting enabled yet.
Refactor JNI parts of hidden API test into cts-signature-common to it can
be used in this test.
Bug: 64382372
Test: $ cts/tests/signature/runSignatureTests.sh
Change-Id: I8c566136dea2a6b5d41d81981d0f1ef88a0a1a5f</t>
  </si>
  <si>
    <t>Test for hidden api enforcement killswitch
Currently, simply verifies that we can access VMRuntime.THE_ONE, which
doesn't prove anything as there is no blacklisting enabled yet.
Refactor JNI parts of hidden API test into cts-signature-common to it can
be used in this test.
(cherry picked from commit d635f8936bb3baad00c4bf5658e3bc7f420a3421 in
master)
Bug: 64382372
Test: $ cts/tests/signature/runSignatureTests.sh
Change-Id: I8c566136dea2a6b5d41d81981d0f1ef88a0a1a5f</t>
  </si>
  <si>
    <t>Remove some tests since some APIs are going away
Test: atest cts/tests/tests/slice
Bug: 73124257
Change-Id: Ibf8ae958a51a91c8e5b7c673b009518aebe7932e</t>
  </si>
  <si>
    <t>CTS tests for new suppressed visual effects
Test: this
Bug: 74075050
Change-Id: I65f271db460d07f7dd4db4727bdba298e4e82baa</t>
  </si>
  <si>
    <t>Remove unnecessary AbstractLifecycleLogActivity.getTag()
The all implementations of the method just return its simple class name, so
that getting it at AbstractLifecycleLogActivity should work and is less
error prone.
This CL removes unused TrampolineActivity as well.
Bug: 74043419
Test: None
Change-Id: Ie45e1d3fc7b5be63cce9ddace988aa544190f4ff</t>
  </si>
  <si>
    <t>Verify that jobs in active uids get to run despite standby bucketing
Bug: 74017233
Test: atest CtsJobSchedulerTestCases:DeviceIdleJobsTest
Change-Id: If0fe901fd30e3c907ae23f3b8f5b09b7ee35b127</t>
  </si>
  <si>
    <t>Modify cts testnames for DPM.setMeteredDataDisabledPackages
Bug: 73803958
Test: cts-tradefed run singleCommand cts-dev -m CtsDevicePolicyManagerTestCases -t com.android.cts.devicepolicy.MixedDeviceOwnerTest#testSetMeteredDataDisabledPackages
Test: cts-tradefed run singleCommand cts-dev -m CtsDevicePolicyManagerTestCases -t com.android.cts.devicepolicy.MixedProfileOwnerTest#testSetMeteredDataDisabledPackages
Change-Id: I51ed86ff2a371137130b1471fd6aab4b45882cf9</t>
  </si>
  <si>
    <t>Fixed compat mode tests so all tests pass when running in a suite.
- Make nextId an instance variable so it's reset on each test.
- Called setVisibleForUser() on accessibility node.
- Don't set initial text as empty string on input fields.
- Make sure Save UI is not triggered on callback test.
- Removed redundant StateChanger used to whitelist the package.
Test: atest CtsAutoFillServiceTestCases:VirtualContainerActivityCompatModeTest CtsAutoFillServiceTestCases:VirtualContainerActivityTest
Bug: 72811561
Change-Id: Ic8bbd608959b2683ad92d05cae322cbed1fe7d84</t>
  </si>
  <si>
    <t>Remove an obsolete test
This security check doesn't apply anymore, neither do any of the
setLauncher calls.
Test: atest cts/tests/tests/slice
Bug: 73123411
Change-Id: If93eb3535ac549280b8a6bffa0279d9c02097a54</t>
  </si>
  <si>
    <t>Add test to ensure there's only one app setting brightness curves.
If we have more than one app setting the brightness curve, whoever sets
it last wins, which is really undesirable since it might seem completely
random to the user. In addition, all the training being done to derive
the curve that isn't chosen is then just wasted work.
Also, move the tests to be full-fledged JUnit4 tests.
Bug: 74332874
Test: atest BrightnessTest
Change-Id: I98c84c2b13711e7227da0c3364b45b5b285905fa</t>
  </si>
  <si>
    <t>MediaSession2: Import missing test from MediaComponents test (1/2)
This imports following CL from the frameworks/av
0e9c2d441 MediaSession2: Fix random NPE in MediaBrowser2Test
The change wasn't included in the following initial commit by mistake
c1134132dd Initial MediaSession2 CTS commit
Bug: 72533540, Bug: 74177171
Test: Run MediaComponents test 10 times
Change-Id: I1cd58d180dd53a9eb9fc8dcbf491b1bd68756fac</t>
  </si>
  <si>
    <t>MediaSession2: Remove callback proxy interfaces
This is refactoring CL for better test readability.
Previsouly MediaSession2TestBase#createController() takes
TestControllerCallbackInterface, and it wasn't natural to understand
why such interface is needed instead of ControllerCallback. For better
readability, removed similar callback proxy interfaces. Here's the list.
  - TestControllerCallbackInterface
  - TestBrowserCallbackInterface
  - SessionCallbackProxy
Bug: 74424357
Test: Run session2 tests in CtsMediaTestCases
Change-Id: I5eb62f219940003749fbe2bc6443c6b56f8fa210</t>
  </si>
  <si>
    <t>CTS: Move TestSuiteFilter into JDWP tests
The only consumer can no longer use compatibility-device-util, as
that library uses classes from the framework.
Bug: 74458857
Test: mmma cts
Test: atest CtsJdwpTestCases
Change-Id: Ieb85b3d89af9eba1317628def99c31bc7e4e7285</t>
  </si>
  <si>
    <t>CTS: Move TestSuiteFilter into JDWP tests
The only consumer can no longer use compatibility-device-util, as
that library uses classes from the framework.
Bug: 74458857
Test: mmma cts
Test: atest CtsJdwpTestCases
Merged-In: Ieb85b3d89af9eba1317628def99c31bc7e4e7285
Change-Id: Ieb85b3d89af9eba1317628def99c31bc7e4e7285</t>
  </si>
  <si>
    <t>MediaSession2: Replace PlaybackState2
This CL removes PlaybackState2 and replaces it with other APIs.
Bug: 74370608, Bug: 73971431
Test: Passed CTS
Change-Id: If65afba0cf130f665cf1431faf4cc772afdfa79b</t>
  </si>
  <si>
    <t>MediaSession2: Remove ensureChangeInSession()
Session tells the creation and destruction of it to the system service
through the synchronous calls, so system server should recognize
changes in a session immediately.
Bug: 74572418
Test: Run MediaSessionManager_MediaSession2Test
Change-Id: I61fb6c0ecbd43aa711815b01800e5bab303f896d</t>
  </si>
  <si>
    <t>Remove NoWifiStatePermissionTest.testSaveConfiguration
The api this is testing is now no-op.
Bug: 74585302
Test: compile
Run test on device with command:
adb shell am instrument -w \
    -e class android.permission.cts.NoWifiStatePermissionTest \
    android.permission.cts/android.support.test.runner.AndroidJUnitRunner
Change-Id: I53e2df0e966cf5f572887185f2cc2c7a89fde270</t>
  </si>
  <si>
    <t>MediaSession2: Refactor incoming binder calls to the MediaSession2Stub
This CL refactors methods in MediaSession2Stub that handles incoming
binder calls from the controller by adding methods to do followings
in one place.
  1. Check if the session hasn't closed.
  2. Check if the controller is allowed for the command
  3. Call SessionCallback#onCommandRequest() for APIs that would be
     sent directly to the MediaPlayerBase or MediaPlaylistAgent if
     allowed.
This CL also adds missing command code for setRating().
Bug: 74581821
Test: Run CTS tests with MediaComponents/runcts.sh
Change-Id: Ie31c0b4083499f957c0bc7a8e5fce93acec68a7f</t>
  </si>
  <si>
    <t>Revert "Merge commit '169fcb0193b2e92c8a8044647393f6f4d07ed144' into am-6752d344-de2b-444c-b5eb-e9fb8dae5d03"
This reverts commit ee9d468a586e174d7d90bbec40f184528c9c1d00.
Reason for revert: build break nyc-mr2+
Change-Id: I41aed39c3fc2b3b83517ad79ebda941903501354
Bug: 29422022</t>
  </si>
  <si>
    <t>[RESTRICT AUTOMERGE] Revert "CTS test for Android Security b/29422022"
This reverts commit 7e3fa63b0c414ac5a76bc34f93135704fc8e2def.
Reason for revert: Breaks build on nyc-mr2+
Change-Id: Ia219b303d90f8f54365da59e9a384b15d9404cc5
Merged-In: I41aed39c3fc2b3b83517ad79ebda941903501354
Bug: 29422022</t>
  </si>
  <si>
    <t>[RTT] Modify CTS tests to use associated AP information
Update the test to use the associated AP as the test AP:
- Make sure associated
- Find associated AP
- Disable Wi-Fi
- Run test
- Enable Wi-Fi
Bug: 74518964
Test: CtsNetTestCases:WifiRttTest pass
Change-Id: I0ee4eb56f32b4b3d119b86442d8e5912a6694fc8</t>
  </si>
  <si>
    <t>Fix a11y tooltip cts test
I got too cute and tried to make a single button both an
a11y pane (for the pane title tests) and a tooltip. That
results in the button promoting its content_change events
to window_state_change events, so they weren't showing up
in the wait for content changes.
Making one button a pane and a second one have a tooltip
eliminates the issue.
Also updating the focus test to keep it working.
Bug: 74599738
Test: atest AccessibilityEndToEndTest#testTooltipTextActionsReportedToAccessibility
Change-Id: I0636e478f6fca653a4cf5e7fd6ad4514c3d320d1</t>
  </si>
  <si>
    <t>[RTT] Remove testAvailabilityStatusChange because of lack of triggering API
The availability status change test performs the following:
- Disable RTT
- Verifies broadcast informing of RTT status change arrives (and then
  validates disabled)
- Enable RTT
- Verifies broadcast informing of RTT status change arrives (and then
  validates enabled)
However: there is no API available to CTS (to apps) to disable RTT in
a robust way:
- No APM control API
- Disabling Wi-Fi is possible but that only disables RTT if scans are
  also disabled and there is no API for that and the rest of the tests
  requires scans to be on (higher priority tests).
Bug: 74518964
Test: atest CtsNetTestCases:WifiRttTest
Change-Id: Ieaeca065661cebae1921933fad56f82dd6f30c2f</t>
  </si>
  <si>
    <t>Change CTS tests to include the support-transfer-ownership metadata in
the device admin xml file.
Bug: 73750678
Test: cts-tradefed run cts-dev --module CtsDevicePolicyManagerTestCases --test com.android.cts.devicepolicy.MixedDeviceOwnerHostSideTransferTest#testTransferOwnership
Test: cts-tradefed run cts-dev --module CtsDevicePolicyManagerTestCases --test com.android.cts.devicepolicy.MixedProfileOwnerHostSideTransferTest#testTransferOwnership
Test: cts-tradefed run cts-dev --module CtsDevicePolicyManagerTestCases --test com.android.cts.devicepolicy.MixedDeviceOwnerHostSideTransferTest#testTransferOwnershipNoMetadata
Test: cts-tradefed run cts-dev --module CtsDevicePolicyManagerTestCases --test com.android.cts.devicepolicy.MixedProfileOwnerHostSideTransferTest#testTransferOwnershipNoMetadata
Change-Id: I1970b47d1d6fab5f7448e2b9ef8bf7f0d6bf85d4</t>
  </si>
  <si>
    <t>MediaSession2: Implement PlaylistParams replacements
This includes following changes
  - Remove PlaylistParams
  - Implement PlaylistParams replacements. Here's the list.
    - get/setShuffleMode()
    - get/setRepeatMode()
    - Note: Playlist metadata APIs are already submitted (b/74174649)
Bug: 74116823, Bug: 74118768
Test: Run CTS with MediaComponents/runcts.sh
Change-Id: I961477dab67932ca0ef9b366b8136dba27aa2e55</t>
  </si>
  <si>
    <t>Add tests for IPsec SPI expiration timer changes
This change adds tests to ensure that SPI expiration timers are set to a
high value, greater than 1 hour (3600s).
Bug: 72316671
Test: Ran this, and MultiNetworkSysCtlTest.
Change-Id: Ib4776322bd5df772a3700b6e7ed1b5e7ed6b4637</t>
  </si>
  <si>
    <t>MediaSession2_PermissionTest: Remove Mockito usages
Since an object mocked by mockito cannot be shared across threads,
this CL stops using mockito.
Bug: 74942833
Test: Passed CTS
Change-Id: I609c8f90c0ddf4aa9707ff2f98a566f71b7fef88</t>
  </si>
  <si>
    <t>Revert "Introduce new CTS test cases for Spannable interface of PrecomputedText"
This reverts commit 04d14540a4766c1b96eb26c98d7a0d99bad24e47.
Bug: 75652829
Change-Id: I8e3971f70ec8fdec02319a302e8b925ff5b13c07</t>
  </si>
  <si>
    <t>Revert "Introduce new CTS test cases for Spannable interface of PrecomputedText"
This reverts commit 04d14540a4766c1b96eb26c98d7a0d99bad24e47.
Bug: 75652829
Change-Id: I8e3971f70ec8fdec02319a302e8b925ff5b13c07
(cherry picked from commit bdf29769f0c7750eda72926adfc33cbae3ae3273)</t>
  </si>
  <si>
    <t>New Autofill tests: don't show Save UI when initial value didn't change.
Test: a lot of them
Bug: 75333153
Change-Id: Ib2dc920af92e7ae2dca5596b2ba9103c5ca92801</t>
  </si>
  <si>
    <t>Amend CTS tests for the download callback change
Test the split DownloadStateCallback as two classes instead of one, and
remove the filtering tests since they're no longer needed.
Bug: 74409377
Test: cts
Change-Id: I971a65b0571cdb17f2e1e710f8f108de6826b342</t>
  </si>
  <si>
    <t>Update OverrideApnTest to use new ApnSetting API.
Test: run cts --module CtsDevicePolicyManagerTestCases --test com.android.cts.devicepolicy.DeviceOwnerTest#testOverrideApn
Bug: 74939924
Change-Id: Ibf09f9419d2c07624836c8701d81c869851146eb</t>
  </si>
  <si>
    <t>Add tests for IPsec SPI expiration timer changes
This change adds tests to ensure that SPI expiration timers are set to a
high value, greater than 1 hour (3600s).
Bug: 72316671
Test: Ran this, and MultiNetworkSysCtlTest.
Merged-In: Ib4776322bd5df772a3700b6e7ed1b5e7ed6b4637
Change-Id: Ib4776322bd5df772a3700b6e7ed1b5e7ed6b4637
(cherry picked from commit 45bc61034edee35d4ea5ab1753e15411d4c9d15c)</t>
  </si>
  <si>
    <t>CTS tests for getting brightness configs.
CTS tests for APIs to get the current
and default brightness configurations.
Bug: 74105596
Test: atest BrightnessTest
Change-Id: Ic597adf51cbe3364f347fc460f445cdb8ca5998f</t>
  </si>
  <si>
    <t>Return a boolean from the forced backup transport setter.
Bug: 73813043
Bug: 64012357
Test: cts-tradefed run cts -m CtsDevicePolicyManagerTestCases --test com.android.cts.devicepolicy.DeviceOwnerTest#testGetAndSetMandatoryBackupTransport
Test: cts-tradefed run cts -m CtsBackupHostTestCase --test android.cts.backup.BackupDeviceOwnerHostSideTest
Change-Id: Ibe0013021288d2b6462aa24bff8b468ea0ad3afa</t>
  </si>
  <si>
    <t>Follow some API changes
Remove some tests that aren't needed and follow some other changes
to APIs.
Test: atest cts/tests/tests/slice
Change-Id: Icfcc300bb6c361a20609e9afc28b53d71e0734fe
Fixes: 73124159
Bug: 73123366
Fixes: 73123451
Fixes: 73123651
Fixes: 73124123</t>
  </si>
  <si>
    <t>Remove BatteryStats Wifi transfer CTS tests
Removes testWifiDownload and testWifiUpload CTS tests since they
don't work on all devices, due to getWifiLinkLayerStats not being
usable on all devices.
Test: the test is removed
Bug: 65050817
Bug: 73738234
Bug: 70634369
Bug: 69987906
Change-Id: I237c0db3a4183f8d7107e78a4c3bb822273cd1a8</t>
  </si>
  <si>
    <t>Remove BatteryStats Wifi transfer CTS tests
Removes testWifiDownload and testWifiUpload CTS tests since they
don't work on all devices, due to getWifiLinkLayerStats not being
usable on all devices.
Test: the test is removed
Bug: 65050817
Bug: 73738234
Bug: 70634369
Bug: 69987906
Merged-In: I237c0db3a4183f8d7107e78a4c3bb822273cd1a8
Change-Id: I237c0db3a4183f8d7107e78a4c3bb822273cd1a8</t>
  </si>
  <si>
    <t>Remove BatteryStats Wifi transfer CTS tests
Removes testWifiDownload and testWifiUpload CTS tests since they
don't work on all devices, due to getWifiLinkLayerStats not being
usable on all devices.
Test: the test is removed
Bug: 65050817
Bug: 73738234
Bug: 70634369
Bug: 69987906
Merged-In: I237c0db3a4183f8d7107e78a4c3bb822273cd1a8
Change-Id: I237c0db3a4183f8d7107e78a4c3bb822273cd1a8</t>
  </si>
  <si>
    <t>CTS: check that GPU_COLOR_OUTPUT buffers are renderable.
Adds a test that verifies that each color format that can be successfully
allocated by gralloc with the usage flag GPU_COLOR_OUTPUT can be bound
as a renderbuffer to OpenGL and read back with glReadPixels.
Test: built and ran the test on Pixel XL, passes.
Bug: 74131503
Bug: 66900669
Change-Id: Id5ea6c70107288dac7fe10acd80688724eba0a21</t>
  </si>
  <si>
    <t>Rename the test rsAllocationCopyTest to be RsAllocationCopyTest
Bug: 73189754
Test: mm
Test: RenderScript CTS pass
Change-Id: I7ebaa70baea167fe9169a09ae842b0be78fec080</t>
  </si>
  <si>
    <t>Remove BaseInputConnectionTest#testSendKeyEvent()
In most of cases BaseInputConnectionTest#testSendKeyEvent() makes no
sense because what it tries to do is sending KeyEvent.KEYCODE_Q with
Instrumentation API then verifying that the focused EditText has the
value "q".
This is questionable because:
 * it's actually not testing BaseInputConnection#testSendKeyEvent()
   unless the current key-character map is NUMERIC, which is not a
   popular configuration
 * it does not use Mock IME and the default IME is allowed to consume
   KeyEvent.KEYCODE_Q to do whatever
This test should be removed for now.  A proper test for
BaseInputConnection#testSendKeyEvent() should be added later by using
Mock IME.
Bug: 70730589
Test: atest CtsInputMethodTestCases
Change-Id: Iadc16a0ea523736aaa516df318fa4e2b4a16f93d</t>
  </si>
  <si>
    <t>Let BaseInputConnectionTest not depend on Activity
With this CL, BaseInputConnectionTest no longer depends on Activity,
which might have contributed to some flaky test failures in these
tests.
Note that this CL also drops CTS tests for dummy InputConnection,
which should be re-added in a subsequent CL on top of Mock IME and
EndToEndImeTestBase.
Bug: 70730589
Test: atest CtsInputMethodTestCases:android.view.inputmethod.cts.BaseInputConnectionTest
Change-Id: I7d6be8a89dcabce53325bc7fcb5149a5ab4ce887</t>
  </si>
  <si>
    <t>Fix calls to renamed CarPackageManager APIs.
Bug: 73064345
Test: cts
Change-Id: I66a0dec132006db109ffcfce07d347efba728d24</t>
  </si>
  <si>
    <t>Add tests where only auth or crypt are enabled
This patch adds tests for cases where only auth or crypt are enabled.
These cases are supported, and this patch adds test coverage.
Bug: 75049573
Test: this, run on walleye
Change-Id: I656d9c4a86c13ce4928d6bd68a9e0d48cf805191</t>
  </si>
  <si>
    <t>MediaController2: Match APIs with MediaPlayerBase
Bug: 74370608
Test: Build
Change-Id: I432fce566d972c0424c7a1391f378279a1a4e05a</t>
  </si>
  <si>
    <t>Increase the CTS coverage of Context tests.
Before this change:
- Few CTS test cases for Context.
- Many CTS test cases for ContextWrapper.
This change takes the union of these test cases, and applies it to both Context and ContextWrapper (the latter just delegates to the Context).
Test: atest CtsContentTestCases:ContextTest
Test: atest CtsContentTestCases:ContextWrapperTest
Change-Id: Ibd93f1c3c38da6c8c18792e7b42e16a69930fead</t>
  </si>
  <si>
    <t>Add tests where only auth or crypt are enabled
This patch adds tests for cases where only auth or crypt are enabled.
These cases are supported, and this patch adds test coverage.
Bug: 75049573
Test: this, run on walleye
Merged-In: I656d9c4a86c13ce4928d6bd68a9e0d48cf805191
Change-Id: I656d9c4a86c13ce4928d6bd68a9e0d48cf805191
(cherry picked from commit 69517633288bac80d31f53720b2837b261926485)</t>
  </si>
  <si>
    <t>Rename the test rsAllocationCopyTest to be RsAllocationCopyTest
Bug: 73189754
Test: mm
Test: RenderScript CTS pass
Merged-In: I7ebaa70baea167fe9169a09ae842b0be78fec080
Change-Id: I7ebaa70baea167fe9169a09ae842b0be78fec080
(cherry picked from commit 0c7b1fecac46ca9b2e23cb8e39bf9fee188a6102)</t>
  </si>
  <si>
    <t>Make AudioRecordTest#testRecordNoDataForIdleUids more robust
Test: atest android.media.cts.AudioRecordTest
Bug: 73405145
Change-Id: If59638c3502b248c7080acc9c07830d27178a6e5</t>
  </si>
  <si>
    <t>Amend CTS tests for the download callback change
Test the split DownloadStateCallback as two classes instead of one, and
remove the filtering tests since they're no longer needed.
Bug: 74409377
Test: cts
Change-Id: I971a65b0571cdb17f2e1e710f8f108de6826b342
Merged-In: I971a65b0571cdb17f2e1e710f8f108de6826b342</t>
  </si>
  <si>
    <t>Renamed KeyFallbackEvents to UnhandledKeyEvents
Bug: 72562800
Test: ViewTest#testUnhandledKeys
Change-Id: Ib7806e56c69dd3225808539bc26e8bb1c7b8b15b</t>
  </si>
  <si>
    <t>Refactor FingerprintDialogBoundKeysTest to use BiometricDialog
Since we're renaming FingerprintDialog to BiometricDialog the
associated CTS Verifier test also needs updating. This CL updates the
test and references within it to reflect this.
Bug: 74831038
Test: Verifier test works and registers fingerprints correctly.
Change-Id: I3332a4ed705016987a84077399e081756c28da25</t>
  </si>
  <si>
    <t>Remove unneeded context
Bug: 76001644
Test: compile
Change-Id: I1a1e3dd3ec7e07920408ea5aac846c38e6afee55</t>
  </si>
  <si>
    <t>CtsMediaTestCases: Fix crashes due to the hidden API uses
This CL includes following changes to fix crashes due to the hidden API
uses.
  - Commented out MediaControllerTest#testPlaybackInfo()
  - Changed MediaRouterTest#testCallback()
  - Changed MediaSessionTest#testCreateSession()
  - Changed MediaSessionTest#testPlaybackToLocalAndRemote()
Bug: 76390111
Test: Run following tests in CtsMediaTestCases
      - MediaControllerTest
      - MediaRouterTest
      - MediaSessionTest
Change-Id: I387b50d0fbbc935965614d5a10af7e5a7051d16c</t>
  </si>
  <si>
    <t>MediaController2: Add fastForward() / rewind()
Following CLs are included
  - Add MediaController2#fastForward() / rewind()
  - Add MediaSession2.SessionCallback#onFastForward() / rewind()
Bug: 74724709
Test: Build
Change-Id: I39bbc5189d60fb7769cbe2d39b5cfe27f6d16c5d</t>
  </si>
  <si>
    <t>MediaPlayerBase: Add PlayerEventCallback#onSeekCompleted()
PlayerEventCallback#onSeekCompleted() will be called when the
MediaPlayerBase#seekTo() is completed. Following callbacks are also
added to listen the event.
  - SessionCallback#onSeekCompleted()
  - ControllerCallback#onSeekCompleted()
Bug: 74370608
Test: Build
Change-Id: I2ccfb07fea53a122d8e9d4d9d9510fc78881a6d9</t>
  </si>
  <si>
    <t>Remove deprecated android.graphics.Canvas APIs
Bug: 73777445
Test: compile
Change-Id: I0fe23d5d382a821f325a135918988f9d6e506e33</t>
  </si>
  <si>
    <t>Account for new getColorStateList nullability
Per ag/3548162, getColorStateList will no longer return null and so
ResourcesTest#testGetColorStateListNull is no longer valid as written.
This change modifies the test to expect a NotFoundException instead.
Change-Id: Ica0c3b9dae769165c3322575a8ff7084df6d2ffe
Fixes: 73741612
Test: atest ResourcesTest</t>
  </si>
  <si>
    <t>Add GCM to algorithms tested in CTS
This change adds all combinations of GCM algorithms, ensuring proper
support, config flags, and data accounting. Algorithm for calculating
size of packets has also been made more generic to allow for calculation
based on different encryption algorithms.
Bug: 73261868
Test: This
Change-Id: Ib77ac237fee75415223f0291cecc0b60ce76b77f</t>
  </si>
  <si>
    <t>DO NOT MERGE: Delete IMSLifecycleTest#testOnStartInputCalledOnce
The test had been flaky due to inherent design. These tests
were re-written &amp; migrated from host side to device side in P.
Hence we can safely remove them from O.
Bug: 74340797
Test: cts-tradefed run singleCommand cts-dev -m CtsInputMethodServiceHostTestCases
Change-Id: I17e015ad20cbfe3d8fc59f5205cca9756a7b9f36</t>
  </si>
  <si>
    <t>Remove deprecated DRIVING_STATUS car sensor test.
Adding a test for SENSOR_TYPE_CAR_SPEED and SENSOR_TYPE_GEAR to be
supported sensors.
Bug: 72159711
Test: m -j cts
Change-Id: Ic0532bb1af4473943dad0588f93d15d8b67517b5</t>
  </si>
  <si>
    <t>Update tests for rename of ImageDecoder.setResize
Bug: 76448408
Bug: 73537624
Test: This
Also remove references to getSampledSize.
Add a test for setSampleSize. Add a DNG image to RECORDS, and test it
with setSampleSize. It doesn't support sampling internally, so we add an
extra step to scale it (issue 73537624). Ensure that it gets scaled as
expected.
Change-Id: Ib40d65c68a6c709b6456f2145ad8a5557a941494</t>
  </si>
  <si>
    <t>CTS updates for Iea744f1fa5964b4399290c31863ebeffa99af8d3
Bug: 74461129
Test: bit CtsViewTestCases:android.view.textclassifier.cts.TextClassificationManagerTest
Change-Id: Ia96a2a710f1be27d34c10cab6f836f26e348af8f</t>
  </si>
  <si>
    <t>Revert "Add proc_type and sysfs_type tests to CTS."
This reverts commit bdf7a2099c7a2e63881ae362414f2ee1aa6a0e2a.
Reason for revert: reverting the topic of go/aog/643573
Change-Id: I2de74da58fdb9433660e0cd94585a0ad167b0d52</t>
  </si>
  <si>
    <t>Remove CTS tests for password blacklist API
API is being removed from P, hence remove CTS tests.
Bug: 73750934
Test: compiles
Change-Id: I42703bf04ca2880f4033fb05a85468c6a8ece834</t>
  </si>
  <si>
    <t>Move SetSystemSettingTest to DeviceAndProfileOwnerTest.
As system setting is per user, we should allow PO to call it. Thus
we should move SetSystemSettingTest from DeviecOwnerTest to
DeviceAndProfileOwnerTest where the test would be executed under both
PO and DO.
Bug: 77204777
Test: run cts --module CtsDevicePolicyManagerTestCases --test com.android.cts.devicepolicy.MixedDeviceOwnerTest#testSetSystemSetting
run cts --module CtsDevicePolicyManagerTestCases --test com.android.cts.devicepolicy.MixedProfileOwnerTest#testSetSystemSetting
Change-Id: I8a0566eb495ddfde6576462f9eabb89e4fd8fa98</t>
  </si>
  <si>
    <t>Add a scaled TextureView#getBitmap test
Bug: 73392905
Test: this
Change-Id: I2d4ef440f943a50b9367976ba1444f4350071bfd</t>
  </si>
  <si>
    <t>CTS test updates for I933ada8b37ef9893331a265e3b4fc08e043f1029
Bug: 74461129
Test: bit CtsTextTestCases:android.text.util.cts.LinkifyTest
Test: bit CtsViewTestCases:android.view.textclassifier.cts.TextClassificationManagerTest
Test: bit CtsViewTestCases:android.view.textclassifier.cts.TextClassifierValueObjectsTest
Test: bit CtsWidgetTestCases:android.widget.cts.TextViewTest
Change-Id: I02e552600b7ca9c936644d358d86a02a60087657</t>
  </si>
  <si>
    <t>Delete CTS for optimize startInput
Delete optimize startInput() tests for P. Refer to bug
for details.
Change-Id: I21ccde28b59f4dffd7a64578cc064bd94a707e55
Fixes: 76078731
Bug: 37617707
Test: atest FocusHandlingTest</t>
  </si>
  <si>
    <t>Add generic socket interfaces and functions
This patch adds functionality to unify java and native sockets. This is
part one of two of a change to allow functionality for testing full
coverage of all APIs.
Bug: 76152303
Test: Ran tests on Walleye
Change-Id: I9bd57d6267f82d8c1ac293a0147dc2c115dd4181</t>
  </si>
  <si>
    <t>Prevent CTS from hanging if no UDP packet was received
Previously, CTS tests could block forever on attempting to read a packet
from a UDP socket.
This patch modifies the receive methods of the NativeUdpSocket wrapper,
allowing it to gracefully fail if UDP packets are not received.
This patch also updates the IKE over UDP encap socket test to use the
NativeUdpSocket wrapper, preventing the tests from hanging in the same
fashion.
Bug: 70938121
Test: Ran updated tests on walleye + marlin
Change-Id: I390e4585e85647eb8555e706d44b76f95dec931f</t>
  </si>
  <si>
    <t>Add GCM to algorithms tested in CTS
This change adds all combinations of GCM algorithms, ensuring proper
support, config flags, and data accounting. Algorithm for calculating
size of packets has also been made more generic to allow for calculation
based on different encryption algorithms.
Bug: 73261868
Test: This
Merged-In: Ib77ac237fee75415223f0291cecc0b60ce76b77f
Change-Id: Ib77ac237fee75415223f0291cecc0b60ce76b77f
(cherry picked from commit f64579bceb6287f09503d940619d096aa8c1ac0d)</t>
  </si>
  <si>
    <t>Add generic socket interfaces and functions
This patch adds functionality to unify java and native sockets. This is
part one of two of a change to allow functionality for testing full
coverage of all APIs.
Bug: 76152303
Test: Ran tests on Walleye
Merged-In: I9bd57d6267f82d8c1ac293a0147dc2c115dd4181
Change-Id: I9bd57d6267f82d8c1ac293a0147dc2c115dd4181
(cherry picked from commit d524e0785c7bbe5c7987f8ae01fdc5d57e13545d)</t>
  </si>
  <si>
    <t>Prevent CTS from hanging if no UDP packet was received
Previously, CTS tests could block forever on attempting to read a packet
from a UDP socket.
This patch modifies the receive methods of the NativeUdpSocket wrapper,
allowing it to gracefully fail if UDP packets are not received.
This patch also updates the IKE over UDP encap socket test to use the
NativeUdpSocket wrapper, preventing the tests from hanging in the same
fashion.
Bug: 70938121
Test: Ran updated tests on walleye + marlin
Merged-In: I390e4585e85647eb8555e706d44b76f95dec931f
Change-Id: I390e4585e85647eb8555e706d44b76f95dec931f
(cherry picked from commit e2fcb9d64ba10f07a69a6b96a7f7e1465856172a)</t>
  </si>
  <si>
    <t>Test EditText#setShowSoftInputOnFocus() with Mock IME
TextViewTest#testAccessShowSoftInputOnFocus() is currently testing the
behaviors of both the system and the currently selected IME, which is
known to be a source of non-determinism and test flakiness.  We should
use Mock IME to test only the system behavior.
Fortunately most of IME APIs that have been tested in
TextViewTest#testAccessShowSoftInputOnFocus() are already covered in
CtsInputMethodTestCases.
The only API we needed to port to CtsInputMethodTestCases is
EditText#setShowSoftInputOnFocus(), which is now coverted in
FocusHandlingTest with MockIME.
Fixes: 37570215
Test: make -j CtsWidgetTestCases
Test: atest CtsInputMethodTestCases
Change-Id: I3f56d8d0efbd3d61b5a97f39abc479c8ab568a1e</t>
  </si>
  <si>
    <t>Update SystemUpdatePolicy API in CTS test
Update CTS tests to reflect the latest SystemUpdatePolicy API tweaks.
Test: cts-tradefed run cts-dev -m CtsDevicePolicyManagerTestCases -t com.android.cts.devicepolicy.DeviceOwnerTest#testSystemUpdatePolicy
Bug: 74976911
Change-Id: I402ed69da1310126067008d82199a2fcf20a8c0e</t>
  </si>
  <si>
    <t>Tests for SubscriptionManager APIs.
Ensure that new SubscriptionManager APIs behave as documented.  Test
based on device claiming FEATURE_TELEPHONY, and require that we have
a valid getDefaultDataSubscriptionId() to run our tests against.
Test: atest android.telephony.cts.SubscriptionManagerTest
Bug: 77327990, 71816837
Change-Id: I9f325bb0dda84c294f4e77419711d02c3311d643</t>
  </si>
  <si>
    <t>Change CTS tests to be compatible with new API
Change CTS tests to match new signatures, add some new tests to make
sure the file hierarchy thing works
Bug: 76449215
Test: CTS
Change-Id: If880f77f9fb842208a0875ab0d10a9e24bef1b08</t>
  </si>
  <si>
    <t>Update PrecomputedTextTest to reflect latest API changes
- getText is now hidden, so removed from CTS
- getWidth/getBounds are now public. Added test cases for them
Bug: 76448719
Test: atest CtsWidgetTestCases:EditTextTest
    CtsWidgetTestCases:TextViewFadingEdgeTest
    FrameworksCoreTests:TextViewFallbackLineSpacingTest
    FrameworksCoreTests:TextViewTest FrameworksCoreTests:TypefaceTest
    CtsGraphicsTestCases:TypefaceTest CtsWidgetTestCases:TextViewTest
    CtsTextTestCases FrameworksCoreTests:android.text
    CtsWidgetTestCases:TextViewPrecomputedTextTest
Change-Id: Idcd1abc09801c3a569337319fcf262bcec0a11a3</t>
  </si>
  <si>
    <t>Work on issue #74404949: Screen state usage API
Add tests for new keyguard events.
Bug: 74404949
Test: atest CtsUsageStatsTestCases:UsageStatsTest\#testInteractiveEvents
Change-Id: I05e4ce28884b5dfae4a17b0c74d8c3b48a7bfbec</t>
  </si>
  <si>
    <t>Eliminate CTS tests using reflection
Moving the checking to unit tests.
Bug: 77266422
Test: atest CtsAccessibilityTestCases
Change-Id: I855b605169e64d82045591698a8f6d230a1b80ad</t>
  </si>
  <si>
    <t>Add more blocked syscalls to CTS
Syscall info now has single origin in gen_blacklist.py.
New blocked syscalls are taken from SECCOMP_BLACKLIST_APP.TXT, though
not all of them are taken to be conservative.
Test: atest CtsSeccompHostTestCases
Bug: 72438326
Change-Id: Iabb328d613721a9d8d2b4919b712c3ac693df874</t>
  </si>
  <si>
    <t>remove CtsAadbTestCases module
This module contains stress tests of adb:
1) not directly enforcing CDD requirements
2) already implicitly covered by execution of CTS
   harness itself
Bug: 73781508
Test: builds, CTS harness unit tests
Change-Id: Ia311f725e8c4dab3e92a078b003280c24dfd515a</t>
  </si>
  <si>
    <t>Refactor BiometricDialog to BiometricPrompt
This CL renames BiometricDialog to BiometricPrompt per API-council
feedback.
Bug: 77494933
Test: m -j70
Change-Id: I0b7d7c763981a0ba7fef52fc3b8b7a4fa2e5c2c5</t>
  </si>
  <si>
    <t>Updating BatteryStatsDumpsysTest to verify PI format.
Bug: 73009426
Test: atest CtsDumpsysHostTestCases:BatteryStatsDumpsysTest
Change-Id: I040cddc68348feca5eaa7fd347eb7525aa728a4c</t>
  </si>
  <si>
    <t>Migrated CTS test for Person
Bug: 75980526
Test: see added tests
Change-Id: I1cb56f23674bb5ce115fc839791cd7cd8178e4bd</t>
  </si>
  <si>
    <t>Revert "Add cts to test unwanted capabilities api"
This reverts commit 248542c4723aa41d7bd0943ebaed9ffc29db2fa7.
Bug: 77601789
Test: atest android.net.cts.NetworkRequestTest
Change-Id: Ib3db82e889ed4ca050a837b1169a9da8e17bb424</t>
  </si>
  <si>
    <t>Test system properties in full report tests instead of standalone.
Bug: 77291057
Test: atest CtsIncidentHostTestCases:com.android.server.cts.IncidentdTest
Change-Id: I40553aff7f22cb6252b3804b99ac15cbe2d89a06</t>
  </si>
  <si>
    <t>Fix broken EuiccManager CTS tests
Fix broken EuiccManager CTS tests caused by hard restrictions on usage of hidden APIs.
Bug: 77649254
Test: Test on phone.
Change-Id: I2a66d936f1b328eacb880212aa64146cfdd216f4</t>
  </si>
  <si>
    <t>No-op refactor of NetworkUsageStatsTest.
1. Give getTotalAndAssertNotEmpty the ability to assert that
   traffic must have a given tag and state, and use it in more
   tests to reduce code duplication.
2. Add tagToString and stateToString methods to make failure
   messages clearer.
3. Add a getNetworkStatsForTagState convenience method.
4. Add static imports for the NetworkStats.Bucket.* constants
   we use to reduce clutter and line wrapping.
5. Use runShellCommand to simplify the AppOps code as well.
Bug: 72977484
Test: atest android.app.usage.cts.NetworkUsageStatsTest
Change-Id: I46f6da77361632c178c940e7789dbbb56aa3aad1</t>
  </si>
  <si>
    <t>AudioRecordTest: allow "silent" audio input
testRecordNoDataForIdleUids now exits early if AudioRecord
does not provide non-zero input at start. This happens on
GCE emulators where audio input is always fed with zero samples.
Bug: 73405145
Bug: 77642023
Test: cts-tradefed run cts -m CtsMediaTestCases \
    -t android.media.cts.AudioRecordTest#testRecordNoDataForIdleUids
Change-Id: I81ad294e97c6c66d1baceb374665e5d0a836810e</t>
  </si>
  <si>
    <t>Validate NOT_CONGESTED and invalid plans.
Verify that NOT_CONGESTED flows through to capabilities, and verify
that overrides can only be performed when valid plans are defined.
Bug: 77851691, 77506882, 77662747
Test: atest com.android.server.NetworkPolicyManagerServiceTest
Test: atest android.telephony.cts.SubscriptionManagerTest
Change-Id: I40006a7d82017b2189e36be076d50a139fe096cd</t>
  </si>
  <si>
    <t>Move --jar function out of JarHostTest
In order to support more generically running java host side
tests, support jar directly in Tradefed.
Test: tf and cts unit tests
Bug: 37646468
Change-Id: If0a7543f3f67731082ecd7dad11c77c057c56503</t>
  </si>
  <si>
    <t>Remove tests for the mandatory backups' API.
It was decided to hide the API.
Bug: 77801801
Bug: 73750212
Bug: 64012357
Test: cts-tradefed run cts -m CtsDevicePolicyManagerTestCases --test
com.android.cts.devicepolicy.DeviceOwnerTes
cts-tradefed run cts -m CtsBackupHostTestCase
Change-Id: I2c264c98458f778bb06381dd5971a0120abe3515</t>
  </si>
  <si>
    <t>Clean up APIs before declaring API 28.
As part of finalizing an SDK, we need to ensure that no new APIs are
marked @Deprecated, since they're typically cleanup that someone
forgot to finish.
Someone forgot to replace Slice.getTimestamp() with Slice.getLong().
Bug: 77588754
Test: builds, boots
Change-Id: I80e76f7f5e98559c099d5c8ea8a1eafcf6b8520f
Exempt-From-Owner-Approval: SDK finalization</t>
  </si>
  <si>
    <t>Update test case name for new Stagefright test
Change-Id: I4dfe392c943987222ee4cada1225b9f66608a1fb</t>
  </si>
  <si>
    <t>Revert "Add cts for TelephonyManger"
TelephonyManager app doesn't have the carrier privilege, so the test case
testRequestNetworkScan will be failed. The requestNetworkScan API is 
covered in CarrierApiTest app. Revert this CL in order to resolve the 
failure.
Bug: 77976208
This reverts commit 892a77796ccf07bd0ff814f6075a1adb0aac4775.
Change-Id: I8045dd6bcca085daced33101880793c1cd2b7ac3</t>
  </si>
  <si>
    <t>Revert "Update test case name for new Stagefright test"
This reverts commit 03d333eecc43e5d38b00a90f890c3e3e29bf07de.
Change-Id: I53e5f12e037d96bd1e2ebf68481efcbd82902cca</t>
  </si>
  <si>
    <t>Rename testStagefright_b72165027 to meet naming standards
Should be testStagefright_bug_72165027
Bug: 77973384
Test: compilation
Change-Id: If68a8ba41a93a589e498219af9ea13e48288a451
Merged-In: I3a0a1520ab278dcaba84669ac65f0e689f4a2667</t>
  </si>
  <si>
    <t>Rename testStagefright_b72165027 to meet naming standards
Should be testStagefright_bug_72165027
Bug: 77973384
Test: compilation
Change-Id: I3a0a1520ab278dcaba84669ac65f0e689f4a2667</t>
  </si>
  <si>
    <t>Remove low ram carveout for encryption
The low ram carveout was removed from CDD in 7.0.
Bug: 73913271
Test: m cts
Change-Id: I6c2fd498d2cd99660ee491a23660edbdb0137ecf</t>
  </si>
  <si>
    <t>DO NOT MERGE: Remove test that depends on tz data
Commenting out a test that will pass with &lt;= 2018c
time zone data but fail on &gt;= 2018d time zone data.
The has been removed for historic CTS releases because
there should be adequate coverage from the other tests
and it would be more complicated to provide a test
that works on a range of devices. We can expect OEMs
to release system images for some old releases with
&gt;= 2018d data.
Bug: 76362687
Bug: 77905300
Test: build only
Change-Id: Idc277ade6aeb4707fb02c3db46a2d12dc653cb40
(cherry picked from commit e9539f02874b9d6f3f55e4d7db5a79960bf363f9)</t>
  </si>
  <si>
    <t>DO NOT MERGE: Remove test that depends on tz data
Commenting out a test that will pass with &lt;= 2018c
time zone data but fail on &gt;= 2018d time zone data.
The has been removed for historic CTS releases because
there should be adequate coverage from the other tests
and it would be more complicated to provide a test
that works on a range of devices. We can expect OEMs
to release system images for some old releases with
&gt;= 2018d data.
[Manual resolution on cherry-pick due to &lt;= nougat-mr1
TimeTest using Junit3]
Bug: 76362687
Bug: 77905300
Test: build only
Change-Id: Idc277ade6aeb4707fb02c3db46a2d12dc653cb40
(cherry picked from commit e9539f02874b9d6f3f55e4d7db5a79960bf363f9)
(cherry picked from commit cd23f1b34f8b460167ba8cf20fea39fd57c287f2)</t>
  </si>
  <si>
    <t>DO NOT MERGE [CTS] Add a test for key/value backup and restore.
This test is intended to replace BackupTest in CTS Verifier (removed in
this change).
The test installs the app that generates random values and saves them in
different shared preferences and files. It uses BackupAgentHelper to do
key/value backup of those values. The tests verifies that the values are
restored after the app is uninstalled and reinstalled.
Test: make cts -j40 &amp;&amp; cts-tradefed run cts -m CtsBackupHostTestCases
b/34127370
Change-Id: Ic2c5ca6244b2c66ec4596dd553284d3d62b9ce3d
Signed-off-by: Raj Mamadgi &lt;r.mamadgi@samsung.com&gt;</t>
  </si>
  <si>
    <t>Removes multi window tests from Preferences2 CTS tests
These tests are unstable and because it is very hard to reliably enter
and leave multi window mode in a test environment, it will be very hard
to make them stable. The behaviour they were asserting has been manually
verified.
Also cleans up and simplifies TestUtils.
Bug: 77702043
Test: CtsPreference2TestCases
Change-Id: Ifdded0c33912b0a8d45fcbcc7bd85ef56be13a99</t>
  </si>
  <si>
    <t>Removed VirtualContainerActivityTest#testAppCannotFakePackageName
This test case was using reflection to emulate an app forging a different
package name, but on P the use of non-public APIs is blocked at the ART level,
so this test is useless, as the field was never changed:
04-18 21:33:01.639  5965  5965 E VirtualContainerView: java.lang.IllegalArgumentException: error getting field mAssist from objectandroid.app.assist.AssistStructure$ViewNodeBuilder@3722a94
04-18 21:33:01.639  5965  5965 E VirtualContainerView: 	at android.autofillservice.cts.Helper.getField(Helper.java:855)
Bug: 78235438
Test: removed is
Change-Id: Iabbbad3c165fca7dd8c807cad58778b7f20d26bd</t>
  </si>
  <si>
    <t>It's incoherent to test (doze + visible foreground app)
Change-Id: I15275ecdce7adac38da88c3201b36a3d2274e3f5
Fixes: 74072213
Test: atest android.jobscheduler.cts.DeviceIdleJobsTest</t>
  </si>
  <si>
    <t>WebView: move onPageCommitVisible CTS test
No change to logic, just moves a test case.
This moves testOnPageCommitVisibleCalled from WebViewTest to
WebViewClientTest (since this is a WebViewClient callback). No change to
the test case itself, except that it uses the WebViewClientTest timeout
value now (which is shorter than the WebviewTest timeout).
Bug: 78299173
Test: run cts -m CtsWebkitTestCases -t android.webkit.cts.WebViewClientTest#testOnPageCommitVisibleCalled
Change-Id: I80e2254400d5f8b2dc9c9ff4d8ef7726332c54ff</t>
  </si>
  <si>
    <t>Fixed autofill's UiBot.assertNoDatasets()
Also fixed RetryRule so it doesn't retry on StaleObjectException, as this
exception is most likely thrown due to an error in the test case logic.
Test: atest CtsAutoFillServiceTestCases
Fixes: 73064230
Change-Id: I0882d36bd058a3b6fa9b2b0911d486e8b91acd4c</t>
  </si>
  <si>
    <t>WebView: split testOnSafeBrowsingHit into two tests
No change to production logic.
This splits testOnSafeBrowsingHit into
testOnSafeBrowsingHit{BackToSafety,Proceed}. There's no change to the
assertions.
This also adds a clarifying comment explaining why
getSafeBrowsingEnabled can return false, as requested on
http://ag/3923312.
Fixes: 78297333
Test: run cts -m CtsWebkitTestCases -t android.webkit.cts.WebViewClientTest
Change-Id: Id165003688657d45b4c370f47ad3b39d3d1d1727</t>
  </si>
  <si>
    <t>Increase the test coverage of Context.{enforce,check}CallingOrSelfPermission.
Test: atest CtsContentTestCases:ContextTest
Bug: 72485440
Change-Id: Ia7081eb2ac5fe193717c2a11e9ba16ccca1fe6cb</t>
  </si>
  <si>
    <t>Improved assertions on FatActivityTest.
Bug: 77889694
Test: atest FatActivityTest
Change-Id: I3ed46b659f58354bc70efd08afbc253f5a9fcfb5</t>
  </si>
  <si>
    <t>CtsPermissionTestCases should only use test APIs
- Moved tests for system APIs to GTS version of this test
- Removed DevicePowerPermissionTest as it was testing a @removed API
- Make leftover APIs @TestAPI
Change-Id: Ib3427ba29c879879df7ad7d1b6d48b2a996a7c3c
Fixes: 77604428
Test: atest CtsPermissionTestCases com.google.android.permission.gts.TelephonyManagerPermissionTest</t>
  </si>
  <si>
    <t>Remove this test since `adb shell stop` won't work on user build.
adb shell stop requires root, which are forbidden on production user
builds.
Bug: 78476101
Test: N/A
Change-Id: I9e8ded9bed883f6b5836ddcc397e24b0897d9611</t>
  </si>
  <si>
    <t>Not limiting OBSERVE_APP_USAGE to one app
Removing a cts test since we decided to limit the API surface to reduce
possibility of abuse
Test: N/A
Bug: 78890515
Change-Id: I6ee1f95d759eeccb75da9dc113ae04b4564de7fb
Merged-In: Ib3427ba29c879879df7ad7d1b6d48b2a996a7c3c</t>
  </si>
  <si>
    <t>Remove PackageManagerTest.testCheckPermissionSystem.
The test is making the assumption that the system is automatically
granted all permissions, which doesn't seem to be the case. It only
passes on phone builds because the checked permission is granted
to the system via a manifest; in Wear builds the system doesn't get
this permission, so the test fails. I tried defining a dummy
permission in frameworks/base/core/res/AndroidManifest, but not
granting it to anything - the test fails even on phone builds
if it checks this permission.
Bug: 73487100
Test: - (test being removed)
Change-Id: I3c244b91a271894f989c0f2bfef3a227ea070858</t>
  </si>
  <si>
    <t>media: prepare for Codec 2.0
- do not assume a single platform codec per mime
- allow Codec 2.0 name prefixes
Bug: 64121714
Change-Id: I3edab0a7747b7f0fccc33793a28a1291db4f2b33</t>
  </si>
  <si>
    <t>Update cts tests for new MediaDrm methods
Add a clearkey version check to make sure that tests
that use the new APIs aren't run when using an older
version of the clearkey plugin. Some minor improvements to
the tests are also included.
bug:77228589
Change-Id: I5900cb8ec170495e58599b9f835738f732e105eb
test:run cts-dev --module CtsMediaTestCases -t android.media.cts.MediaDrmClearkeyTest
     tested with clearkey 1.1 service and 1.0/default</t>
  </si>
  <si>
    <t>Remove requirement for optional system activity intents
We're regularizing the situation by making these intents formally
optional, i.e. documenting that callers of startActivity() must be
prepared for a no-such-activity result.
Bug: 68300743
Bug: 62201251
Bug: 69587018
Fixes: 77282739
Test: atest CtsContentTestCases:.AvailableIntentsTest
Change-Id: I1d07020ca85cd4d8d75190d1a69691f8133c885c</t>
  </si>
  <si>
    <t>Run key management test in profile owner
Move KeyManagementTest to DeviceAndProfileOwner app so it runs under
both device owner and profile owner tests.
Test: cts-tradefed run cts-dev -m CtsDevicePolicyManagerTestCases -t com.android.cts.devicepolicy.MixedDeviceOwnerTest#testKeyManagement
Test: cts-tradefed run cts-dev -m CtsDevicePolicyManagerTestCases -t com.android.cts.devicepolicy.MixedProfileOwnerTest#testKeyManagement
Test: cts-tradefed run cts-dev -m CtsDevicePolicyManagerTestCases -t com.android.cts.devicepolicy.MixedManagedProfileOwnerTest#testKeyManagement
Bug: 72658852
Bug: 71421376
Change-Id: I5569d3929c9409046daf8d905c2bb8f6fa106638</t>
  </si>
  <si>
    <t>Remove TextToSpeechTest
These tests assume there is a default text-to-speech synthesizer but
AOSP no longer has one after the removal of Pico.
The TTS API should still be covered by the tests in
TextToSpeechServiceTest, which uses a stub service.
Bug: http://b/79205065
Change-Id: I5f8a7259406c4a15164ffe77f43340ddf20c957a</t>
  </si>
  <si>
    <t>Disabled tests that don't need to run on cts-instant:
- Unit tests.
- Tests for service-specific APIs (that do not affect the app being autofilled).
- Additional tests of some conditions (just the 1st test is enough).
Also re-added tests that were disabled because the PendingIntent was not
triggered on instant mode.
Test: m -j CtsAutoFillServiceTestCases &amp;&amp; \ cts-tradefed
      run commandAndExit cts-instant-dev -m CtsAutoFillServiceTestCases
Fixes: 79422318
Bug: 79487366
Change-Id: If6fd3c90ab9f75a450259dd81bbb7a1d583687e2</t>
  </si>
  <si>
    <t>BasicVulkanGpuTest: Fix several bugs
These tests were designed to test importing AHBs with several
formats, with and without immutable samplers. But the two paths that
really matter are with and without external format. Sampling
external-format images requires a YCbCr-conversion sampler, which in
turn requires the sampler be immutable. This change makes the tests
cover external and explicit format cases; immutable conversion
samplers are used for external formats, and not for explicit formats.
Also fixed a few other bugs noticed while doing the above:
* Enable all of the extensions we're using.
* Don't demand DEVICE_LOCAL memory for imported AHBs. Probably never a
  problem in practice, but there's no reason to require it.
* Don't leak the VkSamplerYcbcrConversionKHR object.
* Use the same pipeline cache for the lifetime of a renderer, instead
  of creating and destroying for each render/readback cycle -- it
  doesn't help much when only used to create one pipeline.
* Use vkResetDescriptorPool instead of vkFreeDescriptorSets, since we
  don't use the VK_DESCRIPTOR_POOL_CREATE_FREE_DESCRIPTOR_SET_BIT when
  creating the descriptor pool.
Bug: 77632845
Test: atest CtsGraphicsTestCases:BasicVulkanGpuTest
Test: atest CtsGraphicsTestCases:MediaVulkanGpuTest
Test: atest CtsGraphicsTestCases:CameraVulkanGpuTest
Change-Id: I76c5a09b376365f8fe99fff400bc6dd7f2259611</t>
  </si>
  <si>
    <t>Prepare CtsUsbTests for instant apps
The only thing the test does is to compare the serial number. This is
not possible in instant app mode as the instant app cannot get the
permission.
Hence add a test that ensures that the call fails.
Further fix the host side test to correctly collect errors from the
device side sub-test.
Fixes: 79376967
Test: cts-tradefed run cts-dev CtsUsbTests
      cts-tradefed run cts-instant CtsUsbTests
Change-Id: I62ad8c71d9abcafffbf254f1f93cacc5db4f3dae</t>
  </si>
  <si>
    <t>Add CtsPrintTestCases to instant app suite
- we cannot resolve resources from the print spooler. Hence we need to
  hard code the PrintSpooler strings.
- The PrintActivity cannot resolve the AdvancedPrintOptions activity of
  the instant service. Hence all tests related to that needs to be
  disabled
Fixes: 79484768
Test: cts-tradefed run commandAndExit cts-instant-dev -m CtsPrintTestCases
      cts-tradefed run commandAndExit cts-dev -m CtsPrintTestCases
Change-Id: If69afac7df22e4765e1b1f4aa641962c0bf349d6</t>
  </si>
  <si>
    <t>Remove android.os.cts.NoExecutePermissionTest#testExecuteCode test
This test does not work as expected in natively bridged environments
where the code is loaded but is never executed directly. In this case
not having executable flag is actually improves security since it
removes unnecessary potential source of ROP gadgets.
Bug: http://b/72862209
Test: cts-tradefed run commandAndExit cts -m CtsOsTestCases -t android.os.cts.NoExecutePermissionTest
Change-Id: I4ede8320387dc619f1df002b042edadc5b6d55b6</t>
  </si>
  <si>
    <t>Instant CTS: port app widget CTS tests
Test: cts-tradefed run cts -m CtsAppWidgetTestCases
      cts-tradefed run cts-instant -m CtsAppWidgetTestCases
bug:79484750
bug:79664232
bug:79663326
Change-Id: I898dde9ee79360e41b158ae049640b9717bf75d6</t>
  </si>
  <si>
    <t>[DO NOT MERGE] [Harness Separation] Delete harness from platform/cts and undo ag/4057682
* Harness code will be added to new repo platform/test/suite_harness.
Delete the code from platform/cts
* Fixed run_unit_tests.sh to refer to the new repo path
* Undo the trick to Android.mk (ag/4057682)
Bug: 78461075
Bug: 79201478
Bug: 79695450
Test: make cts -j32 WITH_DEXPREOPT_BOOT_IMG_AND_SYSTEM_SERVER_ONLY=true
TARGET_PRODUCT=aosp_arm64
Test: cts-tradefed run cts --compatibility:include-filter
CtsGestureTestCases
Test: cts/run_unit_tests.sh
Test: make gts -j32 WITH_DEXPREOPT_BOOT_IMG_AND_SYSTEM_SERVER_ONLY=true
TARGET_PRODUCT=aosp_arm64o
Change-Id: Iedde70e1180f149d9a461e91b4c8e0164dbb573a</t>
  </si>
  <si>
    <t>[Harness Separation] Delete harness from platform/cts and undo ag/4057682 on master
* Harness code will be added to new repo platform/test/suite_harness.
Delete the code from platform/cts
* Fixed run_unit_tests.sh to refer to the new repo path
* Undo the trick to Android.mk (ag/4057682)
Bug: 78461075
Bug: 79201478
Bug: 79695450
Test: make cts -j32 WITH_DEXPREOPT_BOOT_IMG_AND_SYSTEM_SERVER_ONLY=true
TARGET_PRODUCT=aosp_arm64
Test: cts-tradefed run cts --compatibility:include-filter
CtsGestureTestCases
Test: cts/run_unit_tests.sh
Test: make gts -j32 WITH_DEXPREOPT_BOOT_IMG_AND_SYSTEM_SERVER_ONLY=true
TARGET_PRODUCT=aosp_arm64
Change-Id: Ie34545501e94a9ecd97b084745f8a00096ce13e5</t>
  </si>
  <si>
    <t>Revert "[RTT] Modify CTS tests to use associated AP information"
This reverts commit 64d80bab46b807a3e7c13dda506bd11834e44f05.
The revert restores the older method of test AP selction: hard
code the name of the test AP. Subsequent CLs will update to
preferred test AP selection method.
Bug: 74518964
Test: atest WifiRttTest (with rest of CL stack)
Change-Id: Iab71978607aeaf37babdb1afdaeca5c114ccdbf7</t>
  </si>
  <si>
    <t>media bitstreams: move 400, 422, and 444 streams full set
Bug: 73249706
Test: run cts everything -m CtsMediaBitstreamsTestCases
Change-Id: I9f6a33985409b721d9ad710e97aa79429d97246a</t>
  </si>
  <si>
    <t>Add full test coverage for android.app.Person
Adds test coverage for #describeContents and #toBuilder.
Test: runtest -x tests/app/src/android/app/cts/PersonTest.java
Change-Id: Ic852c4645e0542df2a4a7a56995b6d509f93ac81
Fixes: 79692542</t>
  </si>
  <si>
    <t>Don't assume fingerprint sensors support gestures
I've updated a config to specify if a device supports
fingerprint gestures. If it doesn't the gestures
will report unavailable. Changing the CTS test so that
behavior won't trigger a failure.
Bug: 79929868
Test: atest AccessibilityFingerprintGestureTest
Change-Id: Ia543019f64acf65f9b5dd33f6a8dea344cb6d7b9</t>
  </si>
  <si>
    <t>Add rel no in csv files
Bug: 71688723
Test: m release-parser
Change-Id: Ic85e3b805b0cf1de58aa2fdb2c5cd51de09f3db1</t>
  </si>
  <si>
    <t>Revert "DO NOT MERGE Added autofill test to check apps cannot bypass package name on AssistStructure"
This reverts commit 628980712d5fa82520dd98692f559f8a6d8b46e1.
Reason for revert: resolving failure.
Change-Id: I139b4c2bcec90253644324024ab89b7fbc67be12</t>
  </si>
  <si>
    <t>Revert "DO NOT MERGE Added autofill test to check apps cannot bypass package name on AssistStructure"
This reverts commit c23c0c20b926e4f4c6f41697a3655b487ad48c5e.
Reason for revert: resolving failure.
Change-Id: I5eaa16390df253d114a0ca49afefc7296e834f72</t>
  </si>
  <si>
    <t>Remove android.os.cts.NoExecutePermissionTest#testExecuteCode test
This test does not work as expected in natively bridged environments
where the code is loaded but is never executed directly. In this case
not having executable flag is actually improves security since it
removes unnecessary potential source of ROP gadgets.
Bug: http://b/72862209
Test: cts-tradefed run commandAndExit cts -m CtsOsTestCases -t android.os.cts.NoExecutePermissionTest
Change-Id: I4ede8320387dc619f1df002b042edadc5b6d55b6
(cherry picked from commit bda4fa92a84de697a2595a281223243c40f7eee2)</t>
  </si>
  <si>
    <t>Remove tests for forced ephemeral users.
Hidden APIs shouldn't be tested by cts.
Bug: 79924580
Test: cts-tradefed run cts -m CtsDevicePolicyManagerTestCases -t
com.android.cts.devicepolicy.DeviceOwnerTest
Change-Id: I2d77677ebe88b82ac572e055c555ace332b618d2</t>
  </si>
  <si>
    <t>Test VMDebug.allowHiddenApiReflectionFrom
This patch adds tests of VMDebug.allowHiddenApiReflectionFrom() which
allows to exempt a single class from reflection/JNI hidden API checks
when an app is debuggable.
We test that it works by adding a new killswitch test where the
mechanism is exempting DexMemberChecker.
We test that the mechanism cannot be misused by non-debuggable apps by
extending the hidden API blacklist test to attempt to call the method
but expecting for it to fail.
Bug: 64382372
Test: (cd cts/tests/signature ; ./runSignatureTests.sh)
Change-Id: I1dd8496ecb67e992b6281591b3a9d12df4d6bd56</t>
  </si>
  <si>
    <t>cts-media: add tests for getFrame(s)AtIndex
Add tests to cover MediaMetadataRetriever.getFrameAtIndex and
MediaMetadataRetriever.getFramesAtIndex, and BitmapParams.
bug: 79475543
Test: CTS MediaMetadataRetrieverTest
Change-Id: I1488ede75a15ac695f84b26ae389012d24676df9</t>
  </si>
  <si>
    <t>Consolidates module config and summary output
Bug: 71688723
Test: m release-parser
Change-Id: I608aafd233b40285d3eadfc64366820c2e2b1def</t>
  </si>
  <si>
    <t>[DO NOT MERGE] Do not require hardware-bound RSA key support on M devices
This requirement is only enforced since Nougat.
Fixes: 18929775
Test: cts-tradefed run cts -m CtsKeystoreTestCases
Change-Id: Ib449ea367445b3a55b1ab11ef96761c1d2bd127b</t>
  </si>
  <si>
    <t>Added instant mode test in SampleHostJUnit4DeviceTest
Example of using AppModeInstant and AppModeFull.
Test: cts-instant-tradefed run cts-instant -m CtsSampleHostTestCases
Test: cts-tradefed run cts -m CtsSampleHostTestCases
Bug: 79663326
Change-Id: I921bf55797a9542127334927e07819ca2ba0e0dc</t>
  </si>
  <si>
    <t>Removing testCompare
As requested bug Google removing the test.
Bug:70868931
Change-Id: I4b1d68f551698367e98c6b1abb965bbee8121b9b
Signed-off-by: Raj Mamadgi &lt;r.mamadgi@samsung.com&gt;</t>
  </si>
  <si>
    <t>[DO NOT MERGE] Fix BackupRestoreHostSideTest on M
There's a race condition between backup finishing and uninstalling the
test app, causing our restore asserts to fail, so we should wait for the
backup to finish before proceeding with the test.
Bug: 80100637
Test: cts-tradefed run cts -t android.backup.cts.backup.BackupRestoreHostSideTest#testKeyValueBackupAndRestore
Change-Id: Ib7c3556c32ad4856419210ec31ada0ab577186c5</t>
  </si>
  <si>
    <t>Refactored how activities are automatically close after a test case.
Rather then explicitly "guessing" which activities to close in a @After method,
integrate AbstractAutoFillActivity and AutofillActivityTestRule with
AutofillTestWatcher, so activities that are not launched by
AutofillActivityTestRule are automatically finished at the end of the test.
Bug: 37566627
Test: atest CtsAutoFillServiceTestCases
Change-Id: Idf57bd810669316ec798906c9432e643c7268a6b</t>
  </si>
  <si>
    <t>Camera: Enhance testFocalLengths test
- Move testFocalLengths to StillCaptureTest
- Validate JPEG capture for each supported focal length
Test: Run test on vendor device
Bug: 78123091
Change-Id: Ide32a13bcab7f8cc5a21efe518366cad830d8f9f</t>
  </si>
  <si>
    <t>[DO NOT MERGE] Remove backup/restore CTS tests on M
These tests cannot be backported to run on M devices since it relies on
functionality that is in N+.
Bug: 80100637
Change-Id: Ifcd866645746137fa8d3727a751e229f86a98647</t>
  </si>
  <si>
    <t>Convert ExternalSourcesTest to kotlin.
- Android.mk based build does not support kotlin
- Android.bp based build does not support builing apks
Hence the whole app is now a shared lib an the Android.mk is just
turning the lib into an apk.
Test: atest CtsExternalSourcesTestCases
Change-Id: I507e7c07bc18ff43de4936d3d91a366283643555</t>
  </si>
  <si>
    <t>Verify behavior of setSynchronousMode
Test now verifies that enableWriteAheadLogging is not affected by
app's journal mode setting,
but app can control synchronous mode.
Test: self
Bug: 86953240
Change-Id: Ibc3317149cc6719dbddfe36525a9c792472b49b8</t>
  </si>
  <si>
    <t>Trigger lockNow() via a broadcast
At the moment when we need to lock the work profile, we execute a dummy test
case which calls lockNow(). This leads to problems because lockNow() will
result in all work apps including the test process being killed, which is
interpreted by tradefed as a test failure "Process crashed". To fix this
issue, we switch to sending a broadcast to  invoke lockNow().
Bug: 93278874
Test: atest com.android.cts.devicepolicy.ManagedProfileTest#testResetPasswordWithTokenBeforeUnlock
Test: atest com.android.cts.devicepolicy.ManagedProfileTest#testResetPasswordTokenUsableAfterClearingLock
Test: atest com.android.cts.devicepolicy.ManagedProfileTest#testLockNowWithKeyEviction
Change-Id: Ib380fde4cb6376cacfd589a254398e1688868e54</t>
  </si>
  <si>
    <t>Major refactoring on base Autofill classes and rules.
The Autofill CTS suite contains 2 types of tests:
- Unit tests that tests simple logic in isolation
- Integration tests that exercises the whole workflow.
Prior to this change, the integration tests extended AutoFillServiceTestCase,
which provided a lot of common plumbing, many of them provided through a chain
of rules. But then most subclasses provided their own ActivityTestRule and
@Before methods, which caused such rule to be executed prior to the
AutoFillServiceTestCase rules chain, and hence invalidating the
"defense mechanisms" provided by that chain.
This CL fixes this issue by splitting the base class into 2:
- AutoActivityLaunch
- ManualActivityLaunch
And added hooks on AutoActivityLaunch to let the subclasses set the
ActivityTestRule without breaking the chain.
Bug: 37566627
Fixes: 70734123 # hopefully :-)
Change-Id: Iacce7233b46eded83ca45f2c81f1d40a4cf0956b</t>
  </si>
  <si>
    <t>[Instant CTS] CtsUiHostTestCases
Bug: 79687946
Test: cts-instant-tradefed run cts-instant-dev -m
Change-Id: I870bf9f765addb1f79b998474c863ee901cb9b57</t>
  </si>
  <si>
    <t>CTS: Ensure battery saver will prevent jobs
Change-Id: I56e8c68c35ea51596e232a16b7e602e5946dd1df
Fixes: 72041913
Test: atest /android/pi-dev/cts/tests/JobScheduler/src/android/jobscheduler/cts/JobThrottlingTest.java</t>
  </si>
  <si>
    <t>Remove BatteryStats testWifiScan
This test was to ensure BatteryStats correctly recorded background wifi
scanning, since that is an important battery statistic due to its affect
on battery life. In P, background wifi scanning is throttled anyway, so
poor behaviour, in this regard, is no longer possible. Thus, the test is
no longer important. Since it fails due to the throttling, it may as
well be removed.
Test: removed
Bug: 79773672
Change-Id: Ic4a5f26152962338283602766a2cf2e84c1a4833</t>
  </si>
  <si>
    <t>Fixes crashes on Watch device.
Clearkey support is not required on Watch devices.
On tests that do not play content: if the device is a watch,
and there is no clearkey plugin, skip the test.
On tests that play content: if the device is a watch,
skip the test because the device may not have the codec.
Also, Clearkey tests should use CLEARKEY_SCHEME_UUID
for clarity even though the clearkey service supports
both UUIDs.
bug: 77228589
Test: Cts tests on device with clearkey support removed
Test: Cts tests on device that includes legacy clearkey plugin
Test: Cts tests on device with full clearkey support
Test: Cts test
  ANDROID_BUILD_TOP= ./android-cts/toolsefed run cts-dev
  --module CtsMediaTestCases -t android.media.cts.MediaDrmClearkeyTest
Test: Native CTS test
  ANDROID_BUILD_TOP= ./android-cts/toolsefed run cts-dev
  --module CtsMediaTestCases
  -t android.media.cts.NativeMediaDrmClearkeyTest
Change-Id: Icaba5630dff34a09547ccda5fd2fdc65117d1eff</t>
  </si>
  <si>
    <t>Verify SV consistency in GNSS Status &amp; Measurement
SVs in GNSSStatus which are marked as used should have
corresponding measurement report in GNSSMeasurement
Bug: 63211462
Test: atest GnssMeasurementValuesTest
Change-Id: Ica72958b4e9105636e3803522a61f2dca3a6aaaf</t>
  </si>
  <si>
    <t>Revert "CTS Test for Android Security b/74612220 b/68399439"
This reverts commit df1174de50d2af15fadf7970673d2cc489e604e2.
Reason for revert: Still hits on pi-dev
Bug: 74612220
Bug: 68399439
Bug: 109841192
Change-Id: Iea212335be03bb584e9eb95e8899fb232f48d826</t>
  </si>
  <si>
    <t>Migrate tests to instant mode
Bug: 79782915
Test: cts-tradefed run commandAndExit cts-instant-dev -m CtsAppSecurityHostTestCases
Change-Id: I2826f71018e16ac57cbd5515dd3afc7233fd80b6</t>
  </si>
  <si>
    <t>Refactor IME host tests to wait on async ops.
Slower devices take longer to complete several IME operations. This CL
introduces waiting on installing, enabling and setting IMEs.
Fix: 80376173
Test: atest CtsInputMethodServiceHostTestCases
Test: Manually tested as follows
  1. adb shell su 0 setenforce permissive
  2. make -j cts
  3. cts-tradefed run cts-instant-dev -m CtsInputMethodServiceHostTestCases
Change-Id: Ifce8170e761b2774eb2924b1ec3ad6b4185c1e31</t>
  </si>
  <si>
    <t>Disable CTS UDP6 listening ports test
Fixes: 110264058
Test: cts-tradefed run cts -m CtsSecurityTestCases -t
       android.security.cts.ListeningPortsTest
Change-Id: I8d350cb156b02b8598ee6640aebd2e1a8f1e1dfc</t>
  </si>
  <si>
    <t>DO NOT MERGE - remove testStagefright_bug_34360591
This test fails but won't be fixed. Remove it.
Bug: 80095190
Bug: 34360591
Change-Id: Ia91a81baab604234a7910dc60babf41388691ca7</t>
  </si>
  <si>
    <t>Remove useless test method.
WebBackForwardListTest#testClone is an empty test method - remove it,
since there's nothing to meaningfully test in clone(). Since K,
WebBackForwardList has been an immutable value object, for which cloning
is both trivial and unnecessary - and there's no meaningful way to test
it as a result, though it remains cloneable to avoid introducing an API
change.
Bug: 74593032
Test: cts -m CtsWebkitTestCases -t android.webkit.cts.WebBackForwardListTest
Change-Id: I3848468b3a8b456aff7ca0f4cef0c7daca0a4bd8</t>
  </si>
  <si>
    <t>Add CTS tests for DPC ownership transfer in COMP mode cases.
DeviceAndProfileOwnerHostSideTransferTest already has the set of common
tests for PO/DO/COMP. This change creates a subclass which provisions
the device into COMP mode in its setUp() method. That way all of the
superclass tests will be run in this mode.
Bug: 77895147
Test: atest CtsDevicePolicyManagerTestCases:DevicePlusProfileOwnerHostSideTransferTest
Change-Id: I25e44c3da1bafe073b6627edd022e461c2baabc6</t>
  </si>
  <si>
    <t>Remove failing text traveral tests
They are blocking P, and they are testing something that should be
deprecated.
Bug: 110266107
Test: Built and ran tests in file.
Change-Id: I10bbe230e585726969d2a3578dfbdf7da72a796d</t>
  </si>
  <si>
    <t>DO NOT MERGE: Remove requirement for optional system activity intents
We're regularizing the situation by making these intents formally
optional, i.e. documenting that callers of startActivity() must be
prepared for a no-such-activity result.
Bug: 68300743
Bug: 62201251
Bug: 69587018
Bug: 109897333
Fixes: 77282739
Test: atest CtsContentTestCases:.AvailableIntentsTest
Change-Id: I1d07020ca85cd4d8d75190d1a69691f8133c885c</t>
  </si>
  <si>
    <t>Refactor to use BackupUtils and use correct restore command
Used bmgr restore &lt;token&gt; &lt;package&gt; instead of the now-gone bmgr restore
&lt;package&gt;. Also refactored some stuff in BackupUtils and made it more usable
to our CTS tests.
Test: atest CtsBackupHostTestCases
Test: atest CtsBackupTestCases
Bug: 110125344
Bug: 110689092
Change-Id: I548a7a796a25343637196d8c0ad54c83d5422ee0</t>
  </si>
  <si>
    <t>Disable testVolumeDndAffectedStream
Test is no longer relevant
Test: builds
Change-Id: I927444f5e8e679526a4d4dd631d8fcef5047bc3f
Fixes: 73355088</t>
  </si>
  <si>
    <t>Remove failing text traveral tests
They are blocking P, and they are testing something that should be
deprecated.
Bug: 110266107
Test: Built and ran tests in file.
Change-Id: I10bbe230e585726969d2a3578dfbdf7da72a796d
(cherry picked from commit 20523ea303f48fd18811c13bd0e6c422fffc86db)</t>
  </si>
  <si>
    <t>Give StrictMode more bits to work with.
We're almost out of bits, and we don't really need to smash both
thread and VM policy into the same 32-bit value, so use the lower
16-bits for each policy type and the upper 16-bits for penalty.
ActivityManager is only consulting the penalty bits, so we can
remove getViolationBit() and switch CTS over to doing instanceof
checks.
Bug: 110413274
Test: atest cts/tests/tests/os/src/android/os/cts/StrictModeTest.java
Change-Id: Ibf173daf5611cc600caea1f6c54e455b087e2801</t>
  </si>
  <si>
    <t>Remove com.android.cts.devicepolicy.DeviceOwnerTest#testCreateAndManageUser_DontSkipSetupWizard
- Refactored com.android.cts.devicepolicy.DeviceOwnerTest#testCreateAndManageUser_SkipSetupWizard to use cross user verification and greatly simplified CreateAndManagedUserTest
Bug: 110354076
Test: cts-tradefed run singleCommand cts -m CtsDevicePolicyManagerTestCases --test com.android.cts.devicepolicy.DeviceOwnerTest#testCreateAndManageUser_SkipSetupWizard
Change-Id: If7625d5910f32ac0d30455a6a211654c5561a77f</t>
  </si>
  <si>
    <t>add more tests to instant mode
Bug: 79782915
Test: cts-tradefed run commandAndExit cts-instant-dev -m CtsAppSecurityHostTestCases
Change-Id: I836a25231343842fe54db273a61c4699d01bcd80</t>
  </si>
  <si>
    <t>Get android.os tests running against real APIs.
Combination of moving to existing public API, tagging things as
@TestApi, and bringing utility methods into tests.
Bug: 13282254
Test: atest cts/tests/tests/os/
Change-Id: I1636722c1ad174f9a444b6f7a7a029c4df220d00</t>
  </si>
  <si>
    <t>DO NOT MERGE: Refactor IME host tests to wait on async ops.
Slower devices take longer to complete several IME operations. This CL
introduces waiting on installing, enabling and setting IMEs.
Bug: 111067706
Bug: 80376173
Test: atest CtsInputMethodServiceHostTestCases
Test: Manually tested as follows
  1. adb shell su 0 setenforce permissive
  2. make -j cts
  3. cts-tradefed run cts-instant-dev -m CtsInputMethodServiceHostTestCases
Change-Id: Ifce8170e761b2774eb2924b1ec3ad6b4185c1e31
(cherry picked from commit 9d4ba6c0df6c9227c24a519cb594429e4dadae4e)</t>
  </si>
  <si>
    <t>Moving RemoteViewsWidgetTest to CtsAppWidgetTestCases
Bug: 79172487
Test: atest CtsAppWidgetTestCases
Change-Id: I2b1c5634c725a98afbe91b41abc017239b511c8a</t>
  </si>
  <si>
    <t>Transferring device tests to host side tests.
This will test that a vendor SPL is present on P+ initial API devices.
This doesn't work on device side tests since untrusted apps don't have
access to this property, whereas shell does.
Bug: 110800742
Test: This is the test
Change-Id: I844e42efcace317fca53dfe09830fa93556125e2
Merged-In: I844e42efcace317fca53dfe09830fa93556125e2</t>
  </si>
  <si>
    <t>Revert "Add CTS Tests for UrlSpanFactory"
This reverts commit 34c5f99bcc0d439446460293e90a810a39f88385.
Reason for revert: b/111218263
Bug: 28536972
Bug: 32613009
Bug: 29150779
Change-Id: I929007560ec7c3e8778ae467dc03636943f3a98b</t>
  </si>
  <si>
    <t>Revert "Updating test to include vendor security patch level"
This reverts commit ee7a193ea70c64c72c69796365f1c7dff52621ee.
Reason for revert: This belongs in VTS instead.
Bug: 110800742
Change-Id: I1b27e2456149995dc1f21f434002b43b1b0e6c30
Merged-In: I1b27e2456149995dc1f21f434002b43b1b0e6c30</t>
  </si>
  <si>
    <t>DO NOT MERGE Rename testStagefright_b72165027 to meet naming standards
Should be testStagefright_bug_72165027
Bug: 77973384
Test: compilation
Change-Id: If68a8ba41a93a589e498219af9ea13e48288a451
Merged-In: I3a0a1520ab278dcaba84669ac65f0e689f4a2667
(cherry picked from commit 523f9d7e37868185b20fb27d4870c30a7db4aa2a)</t>
  </si>
  <si>
    <t>DO NOT MERGE Rename testStagefright_b72165027 to meet naming standards
Should be testStagefright_bug_72165027
Bug: 77973384
Test: compilation
Change-Id: I3a0a1520ab278dcaba84669ac65f0e689f4a2667
(cherry picked from commit da3e5236d3c2aed4e7c3cb63c8d196faaaf1128a)</t>
  </si>
  <si>
    <t>Remove testSecurityPatchDate as it is in GTS now.
Bug: 33388930
Change-Id: I578f163ba989561fad47d6d91d44ffb35493ebdc
Merged-In: I2192ad1d4091fc375a7393a1bc3d3ca08b4e01f1
Merged-In: Ic676921884c89791df331430653a7fd83f2655ad</t>
  </si>
  <si>
    <t>Remove testSecurityPatchDate as it is in GTS now.
Bug: 33388930
Change-Id: I2192ad1d4091fc375a7393a1bc3d3ca08b4e01f1
Merged-In: Ic676921884c89791df331430653a7fd83f2655ad</t>
  </si>
  <si>
    <t>Remove testSecurityPatchDate as it is in GTS now.
Bug: 33388930
Change-Id: Ic676921884c89791df331430653a7fd83f2655ad
Merged-In: Ic676921884c89791df331430653a7fd83f2655ad</t>
  </si>
  <si>
    <t>Remove testSecurityPatchDate as it is in GTS now.
Bug: 33388930
Change-Id: Ic676921884c89791df331430653a7fd83f2655ad</t>
  </si>
  <si>
    <t>Remove testWarpedDng
Bug: 78878033
Bug: 79474588
Bug: 78120086
Test: This is just removing a test
The prior fix to only run this test on devices with 2 gigs of memory was
not enough to fix it. This image requires an extraordinary amount of
memory, which we cannot rely on being available.
The test was originally introduced as part of b/78120086, but that
already has a CTS test, so this one is superfluous.
Change-Id: Ide58f96e2b0047c0a787ed0bab65b8458c6f1a98</t>
  </si>
  <si>
    <t>All CTS/CDD currently-supported ABIs have NX.
Bug: N/A
Test: ran tests
Change-Id: I120b7084e80fb2a4b921d0e4c008ea762947bd65</t>
  </si>
  <si>
    <t>Remove testSecurityPatchDate as it is in GTS now.
Bug: 33388930
Change-Id: I578f163ba989561fad47d6d91d44ffb35493ebdc
Merged-In: I2192ad1d4091fc375a7393a1bc3d3ca08b4e01f1
Merged-In: Ic676921884c89791df331430653a7fd83f2655ad
(cherry picked from commit 7fd2a1b4bcc8b3485c5ed88b8824620a1cec584d)</t>
  </si>
  <si>
    <t>Revert SQLiteQueryBuilder for now.
We've encountered subtle bugs in how apps are using this public
API, so revert it back to exactly what shipped in the last
release, and move functionality to new SQLiteStatementBuilder
class, since we already have several customers using it.
Test: atest cts/tests/tests/provider/src/android/provider/cts/MediaStore*
Test: atest cts/tests/tests/database/src/android/database/sqlite/cts/SQLiteQueryBuilderTest.java
Bug: 111486645</t>
  </si>
  <si>
    <t>Revert SQLiteQueryBuilder for now.
We've encountered subtle bugs in how apps are using this public
API, so revert it back to exactly what shipped in the last
release, and move functionality to new SQLiteStatementBuilder
class, since we already have several customers using it.
Test: atest cts/tests/tests/provider/src/android/provider/cts/MediaStore*
Test: atest cts/tests/tests/database/src/android/database/sqlite/cts/SQLiteQueryBuilderTest.java
Bug: 111486645
(cherry picked from commit 3ef21b4e7eee7554bfb72725649534d2948312e1)
Change-Id: Ibf5c28d46d46fdb2eee880ff10356ce7358e4197</t>
  </si>
  <si>
    <t>Extend Uri tests
The internal UriCodec class is being removed from libcore/ and the
associated CTS tests are being removed. This change adds equivalent
URI decoding tests to the UriTest CTS test class.
Test: make droid &amp;&amp; make cts
Test: run cts-dev -m CtsNetTestCases -t android.net.cts.UriTest
Bug: 111055375
Change-Id: Ided15d5abf8478064d193034e84c4dbe0689c6f0</t>
  </si>
  <si>
    <t>Camera: migrate CameraTest and CameraGLTest to JUnit4
Test: walleye continue to pass updated tests
Bug: 30738661
Change-Id: If90de65230d361e02a572e6f65fd990f45beca87</t>
  </si>
  <si>
    <t>Adding tests for new a11y soft keyboard mode
Also refactoring the file to use junit4 and cleaning
up a bit.
Bug: 31012180
Test: atest AccessibilitySoftKeyboardModesTest
Change-Id: I70a3ae06616778ee1b6e7908ee9e56a93170d17d</t>
  </si>
  <si>
    <t>Remove "Charging sounds" and "Screen locking sounds" in CTS test.
Remove "Charging sounds" and "Screen locking sounds" in CTS test for verifying backup/restore function.
Because these two settings are not part of the public API.
Bug: 111649510
Test: cts-tradefed run cts -m CtsBackupHostTestCases -t android.cts.backup.OtherSoundsSettingsHostSideTest
Change-Id: I0a7d14611be2b75cc85f0c49a23ed218df14c2de</t>
  </si>
  <si>
    <t>Tests for new update() and delete() methods.
Verify both normal and strict behaviors, and move over to latest
best-practices for test definitions.  Fix all deprecated code
warnings.
Bug: 111085900
Test: atest packages/providers/DownloadProvider/tests/
Test: atest cts/tests/app/src/android/app/cts/DownloadManagerTest.java
Test: atest cts/tests/tests/database/src/android/database/sqlite/cts/SQLiteQueryBuilderTest.java
Change-Id: I46f231880d9d21212a5b9eb2a9904887e00ae2fe</t>
  </si>
  <si>
    <t>Revert "Transferring device tests to host side tests."
This reverts commit 53f3fd0d319ebabeac1bacce00a0827423f52ee5.
Reason for revert: This should be in VTS
Test: This is the test
Change-Id: I42082a30cc9320122fc3b27d7452fbfbc587a20c</t>
  </si>
  <si>
    <t>Adds native code dependency analysis
- And refactor parsers
Bug: 71688723
Test: m release-parser compatibility-common-util-tests -j8
Change-Id: I79bc0d4ef237f881e4d696bd09fe2161a6a1d0cc</t>
  </si>
  <si>
    <t>Fix typo in test name
Test: Test: cts-tradefed run cts -m CtsAppSecurityHostTestCases -t
android.appsecurity.cts.InstantCookieHostTest
Change-Id: I3d225db23c8e45d4dd7a907178ba418b5c493f09</t>
  </si>
  <si>
    <t>Revert "Updating test to include vendor security patch level"
This reverts commit 7312d60c48cf4f952bd0f7d419aa109da9d78177.
Reason for revert: Test exists in VTS now
Test: This is the test
Change-Id: I86a9bf909cc57c29a8720489b7087b9f50da510a</t>
  </si>
  <si>
    <t>Migrate InstantCookieHostTest to Junit4
Test: run cts-dev -m CtsAppSecurityHostTestCases \
-t android.appsecurity.cts.InstantCookieHostTest
Change-Id: I0592ca379723044165e6c38f44c64465a44c4606</t>
  </si>
  <si>
    <t>Fixed tests that were broken due to a bad merge.
Fixes: 112436631
Test: atest WebViewActivityTest
Change-Id: Ia310a5cc387b3005b81e35bf9dd50d7f7fa48c6d</t>
  </si>
  <si>
    <t>Fixed CtsAutoFillServiceTestCases.OptionalSaveActivityTest.
This test was changed on O-MR1 to handle the scenarios where the user filled
values present in a dataset, but it had a few bugs (in the test itself, not the
feature :-)
Test: atest OptionalSaveActivityTest
Bug: 63068654
Fixes: 112195709
Change-Id: I5488615b0703a43afa611d4d051d176f93750cd7</t>
  </si>
  <si>
    <t>Remove private API usage in CtsViewTestCases.
Bug: 37778825
Test: `make -j CtsViewTestCases` &amp;&amp; I also ran `atest CtsViewTestCases`
Change-Id: I2936b2125bb50db698a57df8fbb8399c1e14c605</t>
  </si>
  <si>
    <t>Internal thumbnails aren't a thing.
MediaProvider implementation is pretty clear that internal thumbnails
aren't supported, so this was a bad test; it probably meant to test
external thumbnails.
Bug: 111268862
Test: atest cts/tests/tests/provider/src/android/provider/cts/MediaStore*
Change-Id: I7408f6a620c37b2d7785092c5fa8ebf9cbe25ac3</t>
  </si>
  <si>
    <t>Attempt to fix transition test flakes
Bug: 112160173
Bug: 111850127
Bug: 111850008
Bug: 110431175
Bug: 110209155
Bug: 72114015
Bug: 112267402
Bug: 110432449
Bug: 110209135
Bug: 112161074
Bug: 110531985
Bug: 110208786
Bug: 112046223
Bug: 111409918
Made various changes to transition tests in hopes to reduce
flakiness.
Added some checks to ActivityTransitionTest to help pinpoint
flakiness.
Will have to watch the tests on dashboards to see if flakes are
fixed.
Test: ran tests locally on device
Change-Id: I0beb73197dc29ec4a0c9d011aa803b49aa551bc9</t>
  </si>
  <si>
    <t>Revert "Add RGBA 10:10:10:2 format for surfaces"
We shouldn't use GL extensions to to query for wide-gamut support.
Bug: 80496655
Test: CtsHardwareTestCases
This reverts commit 7bcffe06b2e08fed42858c807d961e622e74992e.
Change-Id: I1c6ef9a0d1579a07949d937bfb012c2b6961994b</t>
  </si>
  <si>
    <t>Remove tests for injecting assistant key codes to reduce CTS flakiness.
The tests for injecting KEYCODE_ASSIST and KEYCODE_VOICE_ASSIST cause
inherent flakiness in the rest of the tests, because they cause the
assistant window to be launched, asynchronously, which ends up covering
other windows and causing them to lose focus (sometimes needed for
verification). The utility of ensuring that the key codes are not
received by the apps seems less important than the rest of the tests
being able to run deterministically.
Test: These are the tests
Bug: 112654616
Change-Id: I1176f2216468ed749986701f89a9c1515aa85f2c</t>
  </si>
  <si>
    <t>Simplify ZoomButtonTest
ZoomButton is deprecated. Simplify the logic that tracks callback
invocation on long-press to only track when the first callback
happens.
Test: adb shell am instrument -e class 'android.widget.cts.ZoomButtonTest'  -w 'android.widget.cts/android.support.test.runner.AndroidJUnitRunner'
Bug: 70278378
Change-Id: I48be229f03f33c5fe810d93be67090b08ad25fda</t>
  </si>
  <si>
    <t>Change boilerplate code from gts to cts
- Remove checks for api-versions
- Change copyright
- Unify test suites
- Add instant-cts annotations
- change package names
Test: atest CtsNoPermissionTestCases
            CtsNoPermissionTestCases25
	    CtsPackageInstallTestCases
	    CtsPackageUninstallTestCases
	    CtsPackageInstallerTapjackingTestCases
Change-Id: I83ff0426bb088d2133a8a3fd99b9860634476f36</t>
  </si>
  <si>
    <t>New tests for Autofill Save UI API that switch visibility of views.
Test: atest \
      OnClickActionTest VisibilitySetterActionTest CustomDescriptionUnitTest
Bug: 112709898
Change-Id: I5d624804136b6dddd19189e7274920fa15716f5c</t>
  </si>
  <si>
    <t>Fix some flaking transition tests.
Bug: 112896291
Bug: 112896154
ChangeBounds was flaking because values were being tested off the UI
thread. SlideEdgeTest had a similar problem to ExplodeTest in that
it was using Thread.sleep() to test the transition. This moves that
to use the more reliable test of watching the translations via
an OnPreDrawListener that ExplodeTest uses now.
Test: ran ChangeBoundsTest and SlideEdgeTest
Change-Id: I3ca9206885ec03f74046dedbb5cba8f328e688f0</t>
  </si>
  <si>
    <t>cts wifibroadcasts - ensure wifi starts
Make the test more robust by using ping to test that the
wifi is up, but without requring internet.
Also turn the screen on so that rssi polls are performed,
and add a wifi feature check.
Bug: 111698366
Test: atest cts/hostsidetests/wifibroadcasts
Test: Without fix for b/111698366, make sure above test fails
Change-Id: If9dd0d497ddeccd9d52d1e08ee01bfe70e0797b0</t>
  </si>
  <si>
    <t>CTS: Remove VmTests CTSv2 attempt
Duplicated and unsupported tests.
Bug: 110155920
Test: m cts
Change-Id: I220fe9cf3612119fbfc6bf9c8eddc293f26e1055</t>
  </si>
  <si>
    <t>Delete Usb tapjacking test
PRIVATE_FLAG_HIDE_NON_SYSTEM_OVERLAY_WINDOWS doesn't allow windows
to be overlayed on top of the UsbDebuggingActivity so this test is
no longer necesssary.
Test: n/a
Change-Id: I17be76fa885e2c7f00f2ba715f146cfbd68b2c08
Fixes: 113251351</t>
  </si>
  <si>
    <t>Test client state on new multi-screens autofill API
Test: atest MultiScreenLoginTest
Bug: 112051762
Bug: 113281366
Change-Id: I344fe0d724510d7b79187babfb6a5154a649a6f9</t>
  </si>
  <si>
    <t>Migrate EphemeralTest to Junit4
Get rid of some util code in favor of methods in
BaseAppSecurityTest.
Also check if the device has unsupported features only once per test
vs thrice.
Test: run cts-dev -m CtsAppSecurityHostTestCases \
-t android.appsecurity.cts.EphemeralTest
Change-Id: Ieaab59e42120b3b71b90a14828909d442ef22569</t>
  </si>
  <si>
    <t>More CTS tests for security APIs in PackageManager.
Added tests for:
- getPackageInfo()
- getPermissionInfo()
- getPermissionGroupInfo()
- getPackageUid()
- getPackagesHoldingPermissions()
- checkSignatures(uid1, uid2)
Test: atest CtsContentTestCases:PackageManagerTest
Change-Id: I44cd3aa77dc0e35c2f750a8633f79a2753ab95ed</t>
  </si>
  <si>
    <t>CTS: Remove op strings size comparing test
Remove test of testAllOpsHaveOpString in CtsPermissionTestCases
Test: Pass CTS:
run cts -m CtsPermissionTestCases -t android.permission.cts.AppOpsTest
Merged-In: Ie3058bcff729b9c0cbe1a3995b2c0f007615d2b2
Bug: 112119292</t>
  </si>
  <si>
    <t>Add CTS tests for Instant App access from full app as secondary user.
This changes adds CTS tests to verify that full apps are made visible
to Instant Apps when they are started by Instant apps, under a
secondary user, to address b/111370050 . These tests are base on the
original tests for primary user in EphemeralTest.
Bug: 111370050
Bug: 111436542
Test: atest android.appsecurity.cts.InstantAppUserTest fails without ag/4882975
Test: atest android.appsecurity.cts.InstantAppUserTest passes with ag/4882975
Change-Id: I9f36233807aa3fb9669f360b03dd46ab8f7c7c9a</t>
  </si>
  <si>
    <t>DO NOT MERGE: CTS for setLightNavigationBarDivider
CPing change that was directly submitted to master, and not yet in O MR1 CTS.
Exclude testNavigationBarDivider from LightBarTests since it is missing an API.
Test: android.systemui.cts
Bug: 68954516
Change-Id: If08e3cf6b1096227f3115a5a79524673c76f5621
Fixes: 68776845</t>
  </si>
  <si>
    <t>Stop checking usage related contacts provider behavior
The relevant APIs should still exist and "work", but we skip checking
their effects on usage stats.
Bug: 112190021
Test: Run the modified tests with tradefed on:
cts-tradefed run cts-dev --skip-device-info --skip-preconditions --skip-system-status-check com.android.compatibility.common.tradefed.targetprep.NetworkConnectivityChecker -a armeabi-v7a -l INFO -m CtsProviderTestCases
(with unrelated tests in the module removed.)
- oreo-cts-dev (on oc-release marlin)
- oreo-mr1-cts-dev (on oc-mr1-release marlin)
- pie-cts-dev (on pi-release walleye)
Change-Id: I1f4dcac959bee2be1a345bc63434ab7a535b3eca
Merged-in: I10e66441a9766947c7c14ae25022deadac5a9c7c</t>
  </si>
  <si>
    <t>Stop checking usage related contacts provider behavior
The relevant APIs should still exist and "work", but we skip checking
their effects on usage stats.
Bug: 112190021
Test: Run the modified tests with tradefed on:
cts-tradefed run cts-dev --skip-device-info --skip-preconditions --skip-system-status-check com.android.compatibility.common.tradefed.targetprep.NetworkConnectivityChecker -a armeabi-v7a -l INFO -m CtsProviderTestCases
(with unrelated tests in the module removed.)
- marshmallow-cts-dev (on shamu MRA59G)
- nougat-cts-dev (on angler NRD91R)
- nougat-mr1-cts-dev (on bullhead NMF27E)
Merged-in: I1f4dcac959bee2be1a345bc63434ab7a535b3eca
Merged-in: I10e66441a9766947c7c14ae25022deadac5a9c7c
Change-Id: I92bc80a8d69d2b26cb1023b14f00518de9f87b3b</t>
  </si>
  <si>
    <t>Added tests for multi-screen login on WebView
And refactored some stuff along the way....
Test: atest WebViewMultiScreenLoginActivityTest \
            MultiScreenLoginActivityTest \
            OnClickActionTest
Bug: 113593220
Change-Id: I85ed50f7a62b2c4597f1dd5827ff8216c932fed4</t>
  </si>
  <si>
    <t>Added moar tests for custom description and DELAY_SAVE integration.
Test: atest MultiScreenLoginTest WebViewMultiScreenLoginActivityTest
Bug: 113593220
Change-Id: I1efa940a930a58c7cf1afaf1e5638bbd57a8168f</t>
  </si>
  <si>
    <t>Update WallpaperManager CTS test.
Update rules for suggested dimensions.
Bug: 113651690
Bug: 74517029
Test: runtest -x tests/app/src/android/app/cts/WallpaperManagerTest.java
Change-Id: Ie05216d9529164b6a54d50da0782f41a9818b185</t>
  </si>
  <si>
    <t>Revert "Added moar tests for custom description and DELAY_SAVE integration."
This reverts commit 7f257c997fb6414c5fd38e39c81fa9463245aa4d.
Reason for revert: broke CTS tests
Change-Id: Iaf5f71950b5c80c576d5bd77b6a14031d2ed898c</t>
  </si>
  <si>
    <t>Remove mms test in cts-verifier.
in the ELS test, we are using hidden API to test mms.
However recent change in the platform prevent us to do so.
Remove the mms test since we already have phone call and sms.
b/112388877
Test: make cts-verifier -j 32
Change-Id: Ica13fd394461d251f5418b494467666739bb814a</t>
  </si>
  <si>
    <t>Test notifs from suspended apps will resurface
Bug: 113100262
Test: atest cts/tests/app/src/android/app/cts/NotificationManagerTest.java
Test: runtest -x cts/tests/tests/notificationlegacy/src/android/app/notification/legacy/cts/LegacyNotificationManagerTest.java
Change-Id: Ic215e9e36c2bf1c8bbcc77f7d5bf92850f40f584</t>
  </si>
  <si>
    <t>Fix the cts test for sepolicy update
The xt_qtaguid files will be completely blocked by sepolicy and no
longer avalaible to any unprivileged processes at all. No need to test
legacy api seperately now.
Bug: 114475331
     79938294
Test: FileSystemPermissionTest.java
Change-Id: I04c8fa1096124f1decc041fbd730459a11ecb8f1</t>
  </si>
  <si>
    <t>RingtoneManager shouldn't be using custom columns.
Add to greylist to keep their usage working.
Bug: 115845621
Test: cts-tradefed run commandAndExit cts-dev -m CtsMediaTestCases -t android.media.cts.RingtoneManagerTest
Change-Id: I358545f658ad2fbccfe94cc65c78bf42c92a3ab2</t>
  </si>
  <si>
    <t>Update test case to expect shadow layer parameters
Bug: 112327179
Test: atest android.graphics.cts.PaintTest
Change-Id: I33787077ef9f06ee2efe82493579db46147f3f3d</t>
  </si>
  <si>
    <t>CTS for wipeData without notification
Bug: 114711242
Test: cts-tradefed run singleCommand cts -m CtsDevicePolicyManagerTestCases --test com.android.cts.devicepolicy.ManagedProfileTest#testWipeDataWithoutReason
Change-Id: Ia19dc2f394d1fb95a8d2d3d13e773a3ac7f1cc1d</t>
  </si>
  <si>
    <t>Tests for autofill UI showing after changing a field.
Bug: 116008042
Test: atest android.autofillservice.cts.LoginActivityTest#testUiShowOnChangeAfterAutofill android.autofillservice.cts.LoginActivityTest#testUiShowOnChangeAfterAutofillOnePresentation
Change-Id: I2c96af318e5335f6c1b63899e05003b305b69126</t>
  </si>
  <si>
    <t>Add Myanmar rendering tests
Test: atest cts/tests/tests/text/src/android/text/cts/MyanmarTest.java
      Test have been executed in the existence and absence of the Zawgyi
      font.
Bug: 113075320
Change-Id: I2bd86af3f6651c3bb40686bf8acd329dea47f736</t>
  </si>
  <si>
    <t>Migrate A11y tests to junit4 and fix wakeup
Moving all tests to the more modern test method.
Also logging the windows when a test fails, which
should help us attribute failures if we can get the
logcat.
Also also adding a step to make sure the device is awake
before running tests. I had trouble with that locally.
Bug: 114543540
Bug: 115709345
Test: atest CtsAccessibilityServiceTestCases
Change-Id: I878f2cd5fd45a824db65a7b9078694444691e33f</t>
  </si>
  <si>
    <t>remove android.security.cts.SELinuxHostTest#testSdcarddDomain test
Description:SecurityHostTestCases.android.security.cts.SELinuxHostTest#testSdcarddDomain
this failed on 7.0/7.1. The test has been removed from other CTS branches.
Xiaomi can help submit a bug against 7.0/7.1 branches and copy the fix from other branches
to fix the failure in future release;
Bug: 110970983
Change-Id: If0f0b565b2a5b08cc74b319dd146a198d01ef6da
Signed-off-by: weijuncheng &lt;weijuncheng@xiaomi.com&gt;</t>
  </si>
  <si>
    <t>Move tests requiring /proc/sys/net access to hostside
This access is going away for apps. Move these tests to hostside
tests to be executed by the shell domain.
Test: atest cts/hostsidetests/net/src/com/android/cts/net/ProcNetTest.java
Test: atest android.net.cts.ConnectivityManagerTest
Test: atest android.net.cts.IpSecSysctlTest
Test: atest android.net.cts.MultinetworkSysctlTest
Bug: 116053204
Change-Id: Id7e867184dd344a2d877515956e76019d627788b</t>
  </si>
  <si>
    <t>RESTRICT AUTOMERGE: Revert "RESTRICT AUTOMERGE: CTS test to confirm permission revoked when being removed."
This reverts commit 4dce4146751513f24b4cb93668be05217075a1a0.
Reason for revert: triggers other issue.
Bug: 114365189
Change-Id: I1e4e25fb48405c6c2b875dae38199046bf2fd259</t>
  </si>
  <si>
    <t>RESTRICT AUTOMERGE: Revert "RESTRICT AUTOMERGE: CTS test to confirm permission revoked when being removed."
This reverts commit 123e1413fed13c69421dae351fdd115dcd61b2bb.
Reason for revert: triggers other issue.
Bug: 114365189
Change-Id: I02a4a32cf3195d15935962b2b2339702ff6c155d</t>
  </si>
  <si>
    <t>Revert "RESTRICT AUTOMERGE: CTS test to confirm permission revoked when being removed."
This reverts commit 01b53c305fcd43352d1c592a75cda7ee5df78648.
Reason for revert: triggers other issue.
Bug: 114365189
Change-Id: I1c6454385c45952f34775a45ce70094809614aac</t>
  </si>
  <si>
    <t>DO NOT MERGE: Remove tests for injecting assistant key codes to reduce CTS flakiness.
The tests for injecting KEYCODE_ASSIST and KEYCODE_VOICE_ASSIST cause
inherent flakiness in the rest of the tests, because they cause the
assistant window to be launched, asynchronously, which ends up covering
other windows and causing them to lose focus (sometimes needed for
verification). The utility of ensuring that the key codes are not
received by the apps seems less important than the rest of the tests
being able to run deterministically.
Test: These are the tests
Bug: 112654616
Change-Id: I1176f2216468ed749986701f89a9c1515aa85f2c
cherry pick to pie-cts-dev
Bug: 111417080</t>
  </si>
  <si>
    <t>Revert "Add test case testRawContactsChangeNotification"
This reverts commit e69d57706c20b217820bcb45fc860986468721cd.
Reason for revert: API Council pushback
Bug: 113696451
Bug: 116798156
Change-Id: Ia0b5ba774ab1e2e2f46f83f057406c3e850d6e27</t>
  </si>
  <si>
    <t>Added Cts test case to CanvaTest to verify Canvas#drawDRRect
Added test case to verify the edges of the rounded rectangles
are the target color, where the color inside the bounds of the
specified inner rect are not colored.
Moved graphic Canvas tests into UiRenderingTestCases. Kept all
exception based tests
Bug: 117181396
Test: this
Change-Id: I676442e0747682ea326df48293da24127026c4f7</t>
  </si>
  <si>
    <t>Add logs to BiometricTest
Test: make -j56 CtsVerifier
Change-Id: I7715cc11bb462c03d3bcb9ee1a57006eff6c26da</t>
  </si>
  <si>
    <t>CTS hostside UserRestrictionsTest for blocking unknown sources globally.
Test: m -j64 cts &amp;&amp; cts-tradefed run cts -m CtsDevicePolicyManagerTestCases -t com.android.cts.devicepolicy.UserRestrictionsTest
Bug: 111335021
Change-Id: I1b009a7be2030f9654858b2e2038ba637113434b</t>
  </si>
  <si>
    <t>DO NOT MERGE Revert "CTS test for Android Security b/36592202"
Bug: 36592202
Bug: 72456874
Test: Builds successfully
Change-Id: I4fbd3283a0abdedb7344b76100964f2130524832</t>
  </si>
  <si>
    <t>Revert "CTS test for Android Security b/63522067"
This reverts commit 15894f5be206541a5ad380aef49d6a4ce0c3232f.
Reason for revert: Test needs crash parser
Bug: 72314764
Bug: 63522067
Bug: 116174409
Change-Id: Ib4e80663c9db1a39a274c9d74e39533826625899</t>
  </si>
  <si>
    <t>Revert "Rootless GPU Debug for GLES Tests"
This reverts commit 735b21ece52304bd162bb1a0cc732093289677b4.
Bug: 110883880
Test: Chrome no longer crashes
Change-Id: I5ba04454451d33f1078383921a0e8ca601552a9a</t>
  </si>
  <si>
    <t>Revert "Rootless GPU Debug for GLES Tests"
This reverts commit 735b21ece52304bd162bb1a0cc732093289677b4.
Bug: 110883880
Test: Chrome no longer crashes
Change-Id: I5ba04454451d33f1078383921a0e8ca601552a9a
(cherry picked from commit 190c5a3c785aedd1fc5607ff322c06f298b9866a)</t>
  </si>
  <si>
    <t>Remove Obsolete Keystore test.
This test was originally added when KeyStore uses encrypted key blobs
(which were encrypted by KeyStore itself). This used to be used pre-L;
however, now that keymaster is mandatory, this is no longer neeed.
Bug: 76033450
Test: Removed test.
Change-Id: I558e1abe04d5a2ae9e3933eeedac109800794192</t>
  </si>
  <si>
    <t>Fixed StaticLayoutTest.getLineWidth inaccurate test case
Bug: 65207701
Test: atest StaticLayoutTest
Change-Id: Ifcae953f6b856635a69392e4ed7a18f2430385bb</t>
  </si>
  <si>
    <t>Add test cases for textLocale for TextView and TextAppearance
Bug: 112390716
Test: atest TextViewTest TextAppearanceSpanTest
Change-Id: Ifc371c91225245719333e9547327d8647a2acde1</t>
  </si>
  <si>
    <t>Add CTS tests to verify DO/PO cannot get dev IDs without permission
Access to device identifiers was recently moved from a runtime to a
privileged permission, but to ensure users still consent to granting
identifier access to device and profile owners these apps must still
request the READ_PHONE_STATE permission. These tests verify that a
device / profile owner can only access device identifiers with this
permission
Bug: 117611604
Test: cts-tradefed run cts -m CtsDevicePolicyManagerTestCases -t \
com.android.cts.devicepolicy.DeviceOwnerTest#testDeviceOwnerCanGetDeviceIdentifiers
Test: cts-tradefed run cts -m CtsDevicePolicyManagerTestCases -t \
com.android.cts.devicepolicy.DeviceOwnerTest#testDeviceOwnerCannotGetDeviceIdentifiersWithoutPermission
Test: cts-tradefed run cts -m CtsDevicePolicyManagerTestCases -t \
com.android.cts.devicepolicy.ManagedProfileTest#testProfileOwnerCanGetDeviceIdentifiers
Test: cts-tradefed run cts -m CtsDevicePolicyManagerTestCases -t \
com.android.cts.devicepolicy.ManagedProfileTest#testProfileOwnerCannotGetDeviceIdentifiersWithoutPermission
Change-Id: Idc63cb83a9f7f23fcf66680726899fec16a8937b</t>
  </si>
  <si>
    <t>Revert "CTS test for Android Security b/36592202"
Bug: 36592202
Bug: 72456874
Test: Builds successfully
Change-Id: I4fbd3283a0abdedb7344b76100964f2130524832
(cherry picked from commit 72f161c5b17442e227e4d2aec895aca863681fb5)</t>
  </si>
  <si>
    <t>Remove DA tests from CameraPolicyTest since the functionality
was removed in http://ag/4779801.
Test: atest CtsDevicePolicyManagerTestCases:ManagedProfileTest#testCameraPolicy
Fixes: 117896177
Change-Id: Ib624432ac2a465e1f8a31be85a1e3a646784112e</t>
  </si>
  <si>
    <t>Revert "CTS test for Android Security b/36592202"
This reverts commit be51a47b6d07e0d8d6aef75e6a627e9d923e8d61.
Bug: 36592202
Bug: 72456874
Bug: 116174409
Test: Builds successfully
Change-Id: Ida4198590a259cd0aacd60ee326b1a72088ff53b
Merged-In: I4fbd3283a0abdedb7344b76100964f2130524832
(cherry picked from commit 13721b181cb9e4c7010b0c63eb26a7c185af1389)</t>
  </si>
  <si>
    <t>Revert "CTS test for Android Security b/36592202"
This reverts commit be51a47b6d07e0d8d6aef75e6a627e9d923e8d61.
Bug: 36592202
Bug: 72456874
Bug: 116174409
Test: Builds successfully
Change-Id: Ida4198590a259cd0aacd60ee326b1a72088ff53b
Merged-In: Ida4198590a259cd0aacd60ee326b1a72088ff53b</t>
  </si>
  <si>
    <t>Revert "[RESTRICT AUTOMERGE]Added Media Codec Test methods"
This reverts commit 11077da717378cc9904285cbd28ec68738bb3eb3.
Reason for revert: Change missing necessary includes
Change-Id: I25b40f344eeb0fa73ddf50f0669ce2f5377e402c</t>
  </si>
  <si>
    <t>Remove testIsNotified
Clipboard listeners no longer work in the background and are effectively
soft-deprecated for this use case, as such remove the test.
Change-Id: Icacb08bab9245932134ca2cffd801899f713b4d0
Fixes:117896917
Test: Self</t>
  </si>
  <si>
    <t>Update CarrierApi tests to verify device ID access
The original design for device identifier access only allowed apps with
carrier privilegs to access subscriber identifiers (IMSI and SIM serial
number), however this was too restrictive and can impact a number of
carriers. For Q apps with carrier privileges will be allowed access to
the device identifiers, but this may be changed in a future release.
This change updates the CTS tests to verify that apps with carrier
privileges do not receive a SecurityException when querying for device
identifiers.
Change-Id: I10af00edb0fd69b681fc365b4615ff8527287af1
Fixes: 117844226
Test: atest CarrierApiTest</t>
  </si>
  <si>
    <t>Add cts test for UsageSessionObservers
Test: atest cts/hostsidetests/devicepolicy/src/com/android/cts/devicepolicy/ProfileOwnerTest.java#testAppUsageObserver
Test: atest android.app.usage.cts.UsageStatsTest#testObserveUsagePermission
Bug: 111465038
Change-Id: I9aa4f57fb0d69e31fd79fd9f3ca11d93a46e363a</t>
  </si>
  <si>
    <t>Modify testGetContent and testEject
1. Base on the new design, when the provider and app are both existed,
   the will be combined as one item.
2. Enlarge the touch area of action icon (Ex: eject icon).
Test: atest DocumentsTest
Change-Id: I6498f7a3e72cb9ac2f0a4d5bef265b34a7c34b24
Fix: 118364942</t>
  </si>
  <si>
    <t>Make the ListeningPortsTest a host side test
Since third party apps can no longer access files under /proc/net the
listening ports test can no longer directly query these files. This
change moves the test to a host side test where the host pulls the
/proc/net files from the device, then passes their contents as a
parameter to the device side test which can then use the existing
logic to check for listening ports and determine if they can be
reached from the localhost.
Change-Id: I11894376eb737bcc4d4aaeba68f39ddf4a9bf58a
Fixes: 114772424
Test: atest ListeningPortsTest</t>
  </si>
  <si>
    <t>audio: Update tests for AudioPresentation
 -- Start using AudioPresentation.Builder class;
 -- No need to convert the list of locales to string
    for comparison.
Bug: 63901775
Test: android.media.cts.AudioPresentationTest
      android.media.cts.AudioTrackTest#testSetPresentationDefaultTrack
Change-Id: Id94f9301d26978d98fd7da91519f65b40a9d2f15</t>
  </si>
  <si>
    <t>Revert "selinux: test no execve() on app data files"
This reverts commit 879ed91e4a338cae998c5d59f31ce87ab8325ec4.
Reason for revert: CtsSimpleperfTestCases CTS test case failures.
See b/118704604 for details.
Bug: 112357170
Bug: 118704604
Change-Id: I10d6e8f1c382062eb3a784d3fb1e94a8a0663ade</t>
  </si>
  <si>
    <t>Adding CTS to verify shared element transitions in AppWidgets
Bug: 113071278
Test: atest CtsAppWidgetTestCases
Change-Id: I6a669878f57d7a2f5ded645b9598bde0b643cb5e</t>
  </si>
  <si>
    <t>Add cts tests to verify per display AppTransition.
Include below tests for per display AppTransition:
- testAppTransitionForActivityOnDifferentDisplay
- testNoTransitionWhenMovingActivityToDisplay
Add Tracking per display AppTransition methods for test:
WindowManagerState:
- getDisplay(displayId).getLastAppTransition
- getDisplay(displayId).getAppTransitionState
- getDefaultDisplayLastAppTransition
- getDefaultDisplayAppTransitionState
ActivityAndWindowManagerState:
- waitForAppTransitionIdleOnDisplay(displayId)
Bug: 111362605
Test: atest ActivityManagerMultiDisplayTests
Change-Id: I3cde4019f06a1f3e7ba005e70e27b25d5e1febe4</t>
  </si>
  <si>
    <t>Revert "Test for new listing volumes API."
This reverts commit 19a9801d51b081e7a335b323b156554e58d195d7.
Reason for revert: reverting the whole topic docs build was broken https://android-build.googleplex.com/builds/submitted/5104251/sdk_phone_armv7-sdk/latest/view/logs/build_error.log
Change-Id: I16856a6a414ddb8327d1feb387f37291ad857559</t>
  </si>
  <si>
    <t>NdkBinderTest: for string array
Bug: 111445392
Test: atest android.binder.cts
Change-Id: I8ed5c3d5d6c7bcf4ea98d275491e05a388f161c3</t>
  </si>
  <si>
    <t>Re-enable sms content provider restriction CTS test
The underlying root cause is fixed in ag/5350062
To be merged after ag/5350062 is in.
Test: atest android.provider.cts.SmsBackupRestoreTest
Change-Id: I574e510d2aeaa1c0d0f7fbcbd0ef213e58a7e866</t>
  </si>
  <si>
    <t>Revert "CTS test for Android Security b/37710346"
Bug: 72379138
Bug: 37710346
Bug: 116174409
Test: Test no longer run in CTS
This reverts commit d77dbb4225b318fb4da6ed8b85f93442db0478a0.
Change-Id: I002953f64cacaf248a8006ddc1b68534905f4393</t>
  </si>
  <si>
    <t>Revert "CTS test for Android Security b/63522067"
Bug: 63522067
Bug: 72314764
Bug: 116174409
Test: Test no longer runs in CTS
This reverts commit 15894f5be206541a5ad380aef49d6a4ce0c3232f.</t>
  </si>
  <si>
    <t>Revert "CTS test for Android Security b/28835995"
Bug: 28835995
Bug: 72047557
Bug: 116174409
Test: Test no longer runs in CTS
This reverts commit 775b70ec0bac2504d0a76c479b05b6a3fc301ecb.</t>
  </si>
  <si>
    <t>Deprecate scoped directory access.
Update CTS tests to use OPEN_DOCUMENT_TREE to obtain directory Uri
permission instead.
Bug: 111892460
Test: atest \
  cts/tests/providerui/src/android/providerui/cts/MediaStoreUiTest.java \
  cts/tests/tests/os/src/android/os/storage/cts/StorageManagerTest.java \
  cts/hostsidetests/appsecurity/test-apps/DocumentClient/src/com/android/cts/documentclient/ScopedDirectoryAccessClientTest.java
Change-Id: I1949bf8594db1623d083d1990c00e9028afa4b78</t>
  </si>
  <si>
    <t>Add tests for a11y recommended ui timeout api.
Bug: 111210981
Test: atest AccessibilityManagerTest
Test: atest AccessibilityServiceInfoTest
Change-Id: Ib69ec14ac8c29733a5494682bf0a5534390ade93</t>
  </si>
  <si>
    <t>Revert "CTS test to confirm permission revoked when being removed."
This reverts commit 043095a435fe1802be787d1b757cd270f97ca0aa.
Reason for revert: the original changes fails a few code path
Test: atest -m CtsPermissionTestCases
Change-Id: Id6090b5ecf1c50ca84ad3c4daf050b9a787141e2</t>
  </si>
  <si>
    <t>Fixed style and minor updates to isAppForeground CTS test.
Bug: 115384617
Test: atest cts/tests/tests/security/src/android/security/cts/ActivityManagerTest.java#testIsAppInForegroundNormal
Test: atest cts/tests/tests/security/src/android/security/cts/ActivityManagerTest.java#testIsAppInForegroundMalicious
Change-Id: If9dc543f3253b1a1c7f73109cee4a66307becafb</t>
  </si>
  <si>
    <t>Allow adopting a subset of shell permissions - CTS
Test: added: android.app.uiautomation.cts.UiAutomationTest#testAdoptSomeShellPermissions
      passed: atest android.app.uiautomation.cts.UiAutomationTest
bug:80415658
Change-Id: I9684b92d29e83353fe59ed30540bd7cf4521ef1c</t>
  </si>
  <si>
    <t>Move UnofficialApisUsageTestCases from CTS to GTS
The test is not for app compatibility.
Bug: 119376080
Test: no need
Change-Id: Iab7041a07eab9c948b3391545599792fd2f07467</t>
  </si>
  <si>
    <t>Move UnofficialApisUsageTestCases from CTS to GTS
The test is not for app compatibility.
Bug: 119376080
Test: no need
Merged-In: Iab7041a07eab9c948b3391545599792fd2f07467
Change-Id: Iab7041a07eab9c948b3391545599792fd2f07467</t>
  </si>
  <si>
    <t>[RESTRICT AUTOMERGE] Adding SPL annotations to tests
Bug: 78022427
Test: build
Change-Id: I0f96f0b69f9f8cc8dc632ecd9b8844b8d532b1d9</t>
  </si>
  <si>
    <t>Tests switch back to the initial user upon test execution.
The test should not change the state of the device, unless
required by the test. If the test is being executed in user 10,
it should finish in user 10, and not remove user 10.
Few changes:
1. No need to switch to primary in order to run the tests.
2. Do not remove any of the existing users.
3. Switch back to the user the test started in.
4. Decrease the adb polling interval to prevent adb ring buffer overflow.
Change-Id: Ic49db0dac1050070d801b9a8a86195a33fc53ddb
Fixes: 119203809
Test: cts-tradefed run cts-dev -a arm64-v8a -m CtsMultiUserHostTestCases</t>
  </si>
  <si>
    <t>MediaPlayer2Test: replace isPlaying with getState
Test: cts
Bug: 112549021
Change-Id: I6e2da95831056086e84d1e6fe48efa58f1cb5d61</t>
  </si>
  <si>
    <t>Deprecate location provider status callbacks.
Remove references to test provider statuses from tests.
Bug: 118885128
Test: manually
Change-Id: I2c3d0c32c39114fad22890449c3fb2c4e8acaf5f</t>
  </si>
  <si>
    <t>WifiManagerTest: Remove tests for deprecated API's
Remove/Modify tests that are invoking the deprecated API's. Use the
shell automator to toggle wifi state.
CTS tests for the replacement API surface (i.e NetworkRequest &amp;
NetworkSuggestion) will be added later.
Bug: 115504728
Test: `atest android.net.wifi.cts.WifiManagerTest`
Change-Id: I04b3e1572ddfd31b28639185e5cf54dd70a1ae42</t>
  </si>
  <si>
    <t>Synthesize hover events for TouchDelegate#onTouchExplorationHoverEvent
Test: atest CtsAccessibilityServiceTestCases:AccessibilityEndToEndTest
Fix: 119088702
Bug: 119088702
Bug: 35702820
Change-Id: I11dce599355b2062a24a3546f434dd567e2f9e59</t>
  </si>
  <si>
    <t>Move seccomp CTS test to its own hostside test
Problem was caused because we fork CTS with unknown side effects.
By moving to a host side test that installs its own APK, we are
safe to fork the process without side effects.
Bug: 65179874
Test: Run cts-tradefed run cts -m CtsSeccompHostTestCases - 4 tests pass
      Change various testBlocked to testAllowed and make sure tests fail
      Make sure to change at least one in Arm, and one in swaponoff
(cherry picked from commit b6978a01e06e3dc4ca287c425124742ab9591f4f)
Merged-In: I9f01d63e6f7d0f6c72745bf46c1d64cddf7f9e22
Change-Id: I9f01d63e6f7d0f6c72745bf46c1d64cddf7f9e22</t>
  </si>
  <si>
    <t>Remove unused media2 widgets
Bug: 119591238
Test: build
Change-Id: If7817756ce4e90b06de97c7952e62cdd81912076</t>
  </si>
  <si>
    <t>Split out AccessSerialNumberTest from PermissionsHostTest
Test: atest CtsAppSecurityHostTestCases:android.appsecurity.cts.AccessSerialNumberTest (currently known broken)
      atest CtsAppSecurityHostTestCases:android.appsecurity.cts.PermissionsHostTest
Change-Id: I92654bc687063d1e3048ef123f56d207ce6402f4</t>
  </si>
  <si>
    <t>Platform permission do not have groups anymore
Test: atest BackgroundPermissionsTest
Change-Id: I0536f7ca99403af5ccdb6056dd42a87b641c8586</t>
  </si>
  <si>
    <t>Camera: Test and verify 'MandatoryStreamCombination'
Check whether the available 'MandatoryStreamCombination's work
as expected.
Additionally remove some unused code.
Bug: 111593096
Test: Camera CTS
Change-Id: Iad89bb9f907ece2eeca893ec3204dd1063fe5862</t>
  </si>
  <si>
    <t>Remove unused MediaBrowser2 and relevant classes
Bug: 119591238
Test: build
Change-Id: I6d83711a231ed6aa6b6561807633a21753a76a6b</t>
  </si>
  <si>
    <t>Update WallpaperManager CTS test.
Update test to correctly reflect the expected behavior of the suggestDesiredDimensions() API.
Previously the test was imposing that, even when the passed along dimensions are smaller
than the screen size, results in a desired wallpaper size at least as big as the display.
However depending on the device implementation it could be any positive value.
Bug: 113651690
Bug: 74517029
Test: runtest -x tests/app/src/android/app/cts/WallpaperManagerTest.java
Change-Id: Ie05216d9529164b6a54d50da0782f41a9818b185
Merged-In: Ie05216d9529164b6a54d50da0782f41a9818b185</t>
  </si>
  <si>
    <t>[Magnifier-59] Improve and cleanup tests
The CL:
- improves #testShow_withDecoupledWindowPosition
- groups together tests testing for things
- removes some code duplication and generally cleans up tests
Bug: 72211470
Test: atest CtsWidgetTestCases:android.widget.cts.MagnifierTest
Change-Id: Ibc543618401ba5c88ce2df8c74ee41146a87fcb3</t>
  </si>
  <si>
    <t>[Magnifier-66] Update tests for default parameters
Bug: 72211470
Test: atest CtsWidgetTestCases:android.widget.cts.MagnifierTest
Change-Id: I2a07cf8994feadc96623947f9e0693370341ad8d</t>
  </si>
  <si>
    <t>DO NOT MERGE: Remove ClonedSecureRandomTest
This test was kind of flaky because it depended on a lot of variables
working. SELinux has now blocked pid_max which makes this test fail 100%
of the time
Test: cts-tradefed run cts -m CtsSecurityTestCases -a arm64-v8a
Bug: 113242597
cherry-picked from https://android-review.googlesource.com/c/platform/cts/+/336923</t>
  </si>
  <si>
    <t>Remove unused Media 2.0 APIs
Bug: 119591238
Test: build
Change-Id: Ifd66f7007902f441fb73b3e4fc88cba30f5ca659</t>
  </si>
  <si>
    <t>Change CTS tests to fit API changes
Bug: 117145859
Test: CTS
Change-Id: Ifadc592553adc754fd963dd5bce3419e0e869c7a</t>
  </si>
  <si>
    <t>Prepare for new storage permissions model.
In the Q release we're splitting the existing "Storage" permission
into two new permissions, which means CTS that are indirectly relying
on this permission need to migrate elsewhere.
Bug: 119713234
Test: atest android.appsecurity.cts.PermissionsHostTest
Change-Id: I32fb75462689fe5bfea3e81a3dd67a0ed7af0983</t>
  </si>
  <si>
    <t>Test for package specific UserData in field classification
Bug: 118617202
Test: atest android.autofillservice.cts.FieldsClassificationTest#testHit_usePackageUserData
Test: atest CtsAutoFillServiceTestCases
Change-Id: I3659f4512408b3a203c630b5a1df6e73dc1a81b5</t>
  </si>
  <si>
    <t>Update test to track tzdatacheck change
tzdatacheck is now using the tz_version file to
understand the format version and rules version of tz
data on the device.
Bug: 119851164
Test: run cts -m CtsHostTzDataTests
Change-Id: I9e99293a88780f89acf6d448ed7ff77b3ec0be55</t>
  </si>
  <si>
    <t>MediaPlayer2Test: rename Media2DataSource to DataSourceCallback
Test: cts
Bug: 112549021
Change-Id: I39a01a6307d8ee8b48103793a8e33a6c9c3a17fe</t>
  </si>
  <si>
    <t>[RESTRICT AUTOMERGE] Revert "CTS test for Android Security b/28835995"
This reverts commit 775b70ec0bac2504d0a76c479b05b6a3fc301ecb.
Bug: 72047557
Bug: 116174409
Test: Builds successfully
Change-Id: Ib915cf293c2c98db9fedecd3b9c9cbdf5e79f200</t>
  </si>
  <si>
    <t>Revert "Only run Car tests if feature automotive is present."
This reverts commit 78edddc2f41df327df4d1a6dc158ebf114fcc5eb.
Reason for revert: &lt;INSERT REASONING HERE&gt;
Change-Id: Iec42a3bb15d3a6a7723536fc60152eb49522f345</t>
  </si>
  <si>
    <t>Make Atrace tests waaaaay better
No random sleeps hoping activity launch happened
No regex searching, uses a proper trace parser library
More tests of more specific things
Test: this
Change-Id: I62c9393ba68560aaa99633a2fde22e85a8f41918</t>
  </si>
  <si>
    <t>Mechanical refactor towards AndroidJUnit4.
No functional changes; simply drop-in replacements.
Bug: 120429729
Test: atest cts/tests/tests/provider/src/android/provider/cts/MediaStore*
Change-Id: Ia0c5044299ecd520a6069029f59ae0a22a6e7039</t>
  </si>
  <si>
    <t>Changed how ContentCapture service is set.
Test: atest CtsContentCaptureServiceTestCases CtsPermission2TestCases
Bug: 119638528
Change-Id: I0755f06b31c1c92d7148edb91852275290a6212a</t>
  </si>
  <si>
    <t>[RESTRICT AUTOMERGE] Revert "CTS test for Android Security b/37710346"
This reverts commit d77dbb4225b318fb4da6ed8b85f93442db0478a0.
Bug: 72379138
Bug: 116174409
Change-Id: I57ce41b2ec151807ce2cf43f0bd22859a0c7d17d</t>
  </si>
  <si>
    <t>Revert "CTS test for Android Security b/24157524"
This reverts commit 51c7a20209bfba1d13b487ccb54e2f3dfbd1a332.
Bug: 72510186
Bug: 116174409
Change-Id: Id04e9922f45998c78548cf064a04a5a826de88ea</t>
  </si>
  <si>
    <t>AudioTrack offload: shorter test for presentation end
Move the SafeWaitObject class to dedicated file so it
  can be used in other tests.
Use object (safe)notify to end the test as soon as presentation
  end callback was delivered.
Bug: 86837964
Test: cts-tradefed run cts -m CtsMediaTestCases -t android.media.cts.AudioTrackOffloadTest#testAudioTrackOffload
Change-Id: I4a6252152f10cf105292228f02bffadabf45d9d0</t>
  </si>
  <si>
    <t>Get CtsProviderTestCases targeting modern SDK.
Grant tests the "write_settings" appop they needs to run, and test
against well-known key.
Move away from FileCopyHelper, which uses deprecated
MODE_WORLD_READABLE mode.  Define TestSRSProvider to get a valid
provider to notify against.
Bug: 120429729, 120577010
Test: atest CtsProviderTestCases
Change-Id: Ibb52e47a7e97e5321110434cd96ddc2b343e7683</t>
  </si>
  <si>
    <t>CTS for new default media apps in Q.
The Q release will grant additional capabilities to apps which the
user has selected as having the "Gallery" or "Music" roles, so test
the expected access for each mode.
Fix remaining bugs around enforcement of this permission model.
Bug: 119713234
Test: atest android.appsecurity.cts.ExternalStorageHostTest
Test: atest cts/tests/tests/provider/src/android/provider/cts/MediaStore*
Change-Id: I8b59e4fe85fc309dbeef6733b64989422ee1adb7</t>
  </si>
  <si>
    <t>Update ANGLE Developer Options
Update ANGLE developer options to allow selecting the OpenGL driver
(default, ANGLE, native) for each app as well as forcing ANGLE for all
apps.
Bug: 118384925
Test: Execute the CtsAngleDeveloperOptionHostTest tests and verify there
are no failures.
Change-Id: Iefd3bad54ec3ca4b4398fb67f994706a16cc4375</t>
  </si>
  <si>
    <t>Revert "test if b/65484460 is fixed."
This reverts commit 3ea670d5490549dff3ad869639f582add2a852fa.
Bug: 114103143
Bug: 116174409
Test: Test no longer runs in CTS
Change-Id: I8b30da5bd17184d1a58726e61a5368f325792c67</t>
  </si>
  <si>
    <t>Revert "Add test for bug 64710074"
This reverts commit 8bc9729c7ae8971aa544bf9801d06a90853c0d93.
Bug: 72440646
Bug: 116174409
Change-Id: I394aea9d65d6e8243e41a6cd0c84fa0d6e503f42
Merged-In: I0f96f0b69f9f8cc8dc632ecd9b8844b8d532b1d9</t>
  </si>
  <si>
    <t>Revert "Add test for bug 64710074"
This reverts commit 8bc9729c7ae8971aa544bf9801d06a90853c0d93.
Bug: 72440646
Bug: 116174409
Change-Id: I394aea9d65d6e8243e41a6cd0c84fa0d6e503f42</t>
  </si>
  <si>
    <t>Added tests for ContentCapture view-level events.
Bug: 119638528
Test: atest CtsContentCaptureServiceTestCases
Change-Id: Id63f942415820952e422dd82143b5da9fff9e33e</t>
  </si>
  <si>
    <t>Initial Cts integration tests for cross profile calendar.
Test: atest ManagedProfileTest#testCrossProfileCalendar
Bug: 118454886
Change-Id: Ie04105f0c19d5ecf291148b95263b4c6970f2b0c</t>
  </si>
  <si>
    <t>Revert "Add test for bug 64710074"
This reverts commit 8bc9729c7ae8971aa544bf9801d06a90853c0d93.
Bug: 64710074
Bug: 72440646
Bug: 116174409
Test: Test no longer runs in CTS
Change-Id: I0e2d68b117bfe85b6c8bd090356256a927245786
Merged-In: I0f96f0b69f9f8cc8dc632ecd9b8844b8d532b1d9</t>
  </si>
  <si>
    <t>Revert "DO NOT MERGE test if b/65484460 is fixed."
This reverts commit 08434c07d24ad5f27d9d49476b1c2f97a2d1a62f.
Bug: 65484460
Bug: 114103143
Bug: 116174409
Reason for revert: Test needs to be reworked
Change-Id: I20a53886b8a5722d320faf9140f7b6d2d8c07e7f</t>
  </si>
  <si>
    <t>Revert "DO NOT MERGE test if b/65484460 is fixed."
This reverts commit 1c5495adbfee486fd9b2d3c848f7d606bb696e0f.
Bug: 65484460
Bug: 114103143
Bug: 116174409
Reason for revert: Test needs to be reworked
Change-Id: I9b9e6279752706b4bc7355f921cd8935c2ee29d7</t>
  </si>
  <si>
    <t>Add ANGLE Rules File Hostside Tests
Add ANGLE CTS hostside tests to ensure that ANGLE can successfully
process rules files that determine if ANGLE should be loaded or not.
Bug: 80239516
Test: Verify new and existing ANGLE CTS hostside tests pass.
Change-Id: Ib7424692251ed8cf7b0dda1498248ac3a1624f61</t>
  </si>
  <si>
    <t>Revert "test if b/65484460 is fixed."
This reverts commit 3ea670d5490549dff3ad869639f582add2a852fa.
Bug: 65484460
Bug: 114103143
Bug: 116174409
Test: Test no longer runs in CTS
Reason for revert: Test needs to be reworked
Merged-In: I8b30da5bd17184d1a58726e61a5368f325792c67
Change-Id: I4cb4be2a7833efad621248a432c54d5adf77e3a7</t>
  </si>
  <si>
    <t>CTS for id and conversationId in ConversationActions
Test: atest ConversationActionsTest.java
BUG: 120809869
Change-Id: I9f82755a036e8732d7fe43fb406db2a81347a7dd</t>
  </si>
  <si>
    <t>Track movement of base time zone files into APEX
The "base" copy of time zone files is now in the
runtime module APEX. The files in /system are being
removed.
Test: CTS: run cts -m CtsHostTzDataTests
Test: PTS (cp'd to internal master): run pts -m PtsTimeZoneTestCases
Bug: 120913643
Bug: 113373927
Bug: 119293618
Bug: 116191025
Change-Id: I3cd0ee819d8a69fce182804c8ad57e86f2d9b74a</t>
  </si>
  <si>
    <t>MediaMuxer test: Add standard compliant metadata track test.
Rename the old test to be non compliant and add a compliant metadata
track video for test.
Bug:  117950811
Test: CTS test.
Change-Id: I49ba5f800e558d53c4435d54d0ac48a7db126b6c</t>
  </si>
  <si>
    <t>Test behavior when declaring duplicate permissions
Also make sure that
- during reboot the system does not crash and
- the permission properties stay the same after reboot
Test: atest CtsAppSecurityHostTestCases:android.appsecurity.cts.AppSecurityTests
Bug: 120833531
Change-Id: I11821641cb50f0e51bb7979a7d92cf8366420359</t>
  </si>
  <si>
    <t>A few improvements on CtsContentCaptureServiceTestCases.
- Uses SafeCleaner for checking exceptions thrown by service.
- Added a @Rule to dumpsys the service on error
- Refactored the code to check for the service existance into a common @Rule
Bug: 119638528
Test: atest CtsContentCaptureServiceTestCases
Change-Id: Id233a7c83c54adc74f8f1ef75abd038fe45529c6</t>
  </si>
  <si>
    <t>Added test for Content Capture sessions.
Bug: 119638528
Test: atest CtsContentCaptureServiceTestCases
Change-Id: I5ee578d197be40a67238919982206a460b854150</t>
  </si>
  <si>
    <t>Add CTS tests for new DND APIs
Test: these
Bug: 111474881
Change-Id: I9498baf5049c195f7062593492963de266bc5e42</t>
  </si>
  <si>
    <t>Remove unusued code; MediaPlayerBase and MP.set|getBufferingParams
Test: build
Bug: 112766913
Change-Id: I13b3ef4d2b7c20c4d9ac37f205a03783eeb18a73</t>
  </si>
  <si>
    <t>Add thermal throttling CTS test for job scheduler
This is to test background job will be throttled under sever thermal
status or above.
Bug: 117177672
Test: atest cts/tests/JobScheduler/
Test: atest cts/tests/tests/os/src/android/os/cts/PowerManager_ThermalTest.java
Change-Id: I53707b0dab2dea742ba59c71ee37ddf813029cc3</t>
  </si>
  <si>
    <t>Updated tests for new Permission Grant Dialog
Test: atest android.appsecurity.cts.PermissionsHostTest
Change-Id: I9342c898c8ad160b92d77b937b81a36ff01ea5e8</t>
  </si>
  <si>
    <t>App overlay tests
Test: these
Bug: 111236845
Change-Id: I8fcebb79cc68deea467b38dc4f9cd60528a71b50</t>
  </si>
  <si>
    <t>CTS tests for DevicePolicyManagerService metrics (Part 2).
This CL tests whether the desired DevicePolicyManagerService metrics are being logged. The testing consists of 3 steps:
1) Clean the metric dump to have the logs in a clean state
2) Call the relevant DPM method from the device-side
3) On the host-side verify the expected metric is present in the log dump
Where possible, existing DPM device-side tests are reused. New
device-side tests are added if the existing DPM tests call too many
other DPM methods (which would otherwise affect the reliability of the
tests) or if DPM tests do not exist.
Test: atest com.android.cts.devicepolicy.ManagedProfileTest
Test: atest AdbProvisioningTests
Test: atest com.android.cts.devicepolicy.DeviceOwnerTest
Test: atest MixedManagedProfileOwnerTest
Test: atest MixedDeviceOwnerTest
Test: atest MixedProfileOwnerTest
Test: atest MixedProfileOwnerHostSideTransferTest
Test: atest MixedDeviceOwnerHostSideTransferTest
Test: atest DevicePlusProfileOwnerHostSideTransferTest
Bug: 119911940
Change-Id: I05304c6231b371aa0dd46bd540e560cba49fe401</t>
  </si>
  <si>
    <t>Fix and enable android.view.cts.TextureViewTest tests
Test: Ran and passed all TextureViewTest tests
Bug: 119504473
Change-Id: I21091f2641df24945a9f55b92a51e7093db20fe1</t>
  </si>
  <si>
    <t>Revert "To make sure SAF to have the same experience"
This reverts commit 4dabd7f52b987bf9626bedf6b20fea559428359a.
Reason for revert: The test is better in GTS rather than CTS.
Change-Id: I8123d4a4f7cd20d41a8f9a117c49b89a6ca039ef</t>
  </si>
  <si>
    <t>Remove isUnicodeRendersCorrectly method
Now we have ZawDecode font which breaks the assumption of the
MyanmarTest since ZawDecode renders Unicode sequence and Zawgyi sequence
to the same output.
We decided to move these test to CDD instead of finding the ZawDecode
font from the system.img
Bug: 113075320
Test: atest android.text.cts.MyanmarTest
Change-Id: I53fefae17eca8943dda72a7b38057f7da961e239</t>
  </si>
  <si>
    <t>Refactored CtsContentCaptureServiceTestCases to rely on connection events.
Test: atest CtsContentCaptureServiceTestCases:android.contentcaptureservice.cts.BlankActivityTest#testOnConnectionEvents
Test: atest CtsContentCaptureServiceTestCases
Bug: 119638528
Change-Id: I039d9ea1b18486dc086f07b6f0df62149d11c954</t>
  </si>
  <si>
    <t>[CTS][WIFI] Remove test for a deprecated API
WifiManager#addNetwork(.) is deprecated - need to remove all
tests which exercise it. The deprecation logic is already
tested in WifiManagerTest#testDeprecatedApis().
Bug: 121284726
Test: atest WifiEnterpriseConfigTest
Change-Id: I599fea92b3a0c9e223948d3f1fc841031bb12770</t>
  </si>
  <si>
    <t>Add basic functionality tests for IPsec tunnel mode
This change adds test for creation and address additions of IPsec tunnel
mode.
Bug: 72458318
Test: Ran on aosp_taimen-eng
Change-Id: If9d7e5ef35d37242d452eb7386cd5f5b80f6351f</t>
  </si>
  <si>
    <t>Revert "Fix android.view.inputmethod.cts.OnScreenPositionTest"
This reverts commit 1e8ededcf95b26d9f8d1c20a9eab0369e571a2b2 [1].
Reason for revert:
This workaround is no longer necessary thanks to a recent change in
the Framework side [2], which lets Instrumentation#startActivitySync()
also take Activity entering animation into account.
 [1]: I516769289aa3c442201bde736530e649fff8e9b9
 [2]: Ifd7bfd41b39518518f4013fad80c3acd1e8b2354
      feb2e1e0b46926f79904fc0fde505552276f168b
Bug: 120424805
Test: atest CtsInputMethodTestCases
Change-Id: Ie769a4dbf0ec75214e44a301a72836feb24336f1</t>
  </si>
  <si>
    <t>Split shell tests into ShellCommandDeviceTest
This is a follow up CL to my recent CL [1], which introduced
shell-related test cases to InputMethodServiceDeviceTest.
Apparently those tests are unrelated to InputMethodService lifecycle.
Better to be placed in a separate file.
This is a mechanical refacotring.  There should be no behavior changes
in actual test cases.
 [1]: If87189563ccaacd4f9c666bab4f9ad08a9343084
      b8d240fa3f96b7b4ea35dd271beda789044d63ab
Bug: 34886274
Bug: 120784635
Bug: 121989657
Test: make -j CtsInputMethod1 \
              CtsInputMethod2 \
              CtsInputMethodServiceDeviceTests \
              CtsInputMethodServiceEventProvider \
              CtsInputMethodServiceHostTestCases \
              EditTextApp \
          &amp;&amp; atest CtsInputMethodServiceHostTestCases
Change-Id: I9f02aed6bc9abbd5a17cacb6e7fc01f6e7a45b82</t>
  </si>
  <si>
    <t>Run ShellCommandFromAppTest also for instant apps
Now that CtsInputMethodServiceDeviceTests.apk is no longer
automatically installed because of AndroidTest.xml [1],
ShellCommandFromAppTest can specify whether
CtsInputMethodServiceDeviceTests.apk needs to be installed as an
instant app or not, which allows us to also make sure that instant
apps cannot directly invoke IInputMethodManager#shellCommand().
This CL also updates AndroidManifest.xml for
CtsInputMethodServiceDeviceTests.apk so that it can be installed as an
instant app.
 [1]: I4220ea78a8d40369df32a84e50b04314888fe1ab
Bug: 34886274
Bug: 120784635
Bug: 121989657
Test: make -j CtsInputMethod1 \
              CtsInputMethod2 \
              CtsInputMethodServiceDeviceTests \
              CtsInputMethodServiceEventProvider \
              CtsInputMethodServiceHostTestCases \
              EditTextApp \
          &amp;&amp; atest CtsInputMethodServiceHostTestCases
Change-Id: Ica21f92170d6a19b24f4f54c8be6d6fe3f667eed</t>
  </si>
  <si>
    <t>Camera: Rework and add legacy performance test to static library
Reduce the dependencies of the legacy performance test case
as much as possible and add it to the static performance
library.
Bug: 79682338
Test: Manual using CtsVerifier application,
Camera CTS
Change-Id: I30c03ba2e1f1aa6a8e51d823304a33106bc21d9f</t>
  </si>
  <si>
    <t>MediaStore should reflect state on disk.
It's an index of data scanned from disk, and it's been misleading to
let people mutate that data directly in MediaStore, since those
edits aren't durable in any way.  We never updated the metadata in
the underlying files, so any changes would be lost when moving
between devices.
This change moves to always re-scan files after they've been edited,
to ensure we pick up metadata changes.  It also ignores direct edit
attempts from apps.
Bug: 120711487
Test: atest android.media.cts.MediaScannerTest
Test: atest cts/tests/tests/provider/src/android/provider/cts/MediaStore*
Change-Id: Ie2a3c67d12cbf2fb7022611ab30f7e074c28401a</t>
  </si>
  <si>
    <t>[wv-cts] Standardise on WebkitUtils methods for controlling UI thread.
* Move WebkitUtils so it can be used by WebViewOnUiThread.
* Port new support library WebkitUtils methods to CTS.
* Convert a number of cases where we were executing on the UI thread
  in an ad-hoc manner to use WebkitUtils.
Bug: 120902907
Test: cts-tradefed run cts -m CtsWebkitTestCases
Change-Id: Ie12a87fff97639093b9c7ac39db8bf7c340f52b7</t>
  </si>
  <si>
    <t>Event moar tests for ContentCapture sessions...
Bug: 121033016
Test: atest CtsContentCaptureServiceTestCases
Change-Id: I1c1ac774aa6bb0261f14412fd1f865087b1b919d</t>
  </si>
  <si>
    <t>Update CTS for new inset dispatch mechanism
Also adds some missing CTS for Insets
Test: self
Bug: 120675834
Bug: 118118435
Change-Id: I46929e163505884751d4372abc6641f72541ad2b</t>
  </si>
  <si>
    <t>Added CTS test to verify isAppForeground is removed.
Added a CTS test to verify that isAppForeground() is removed
from the ActivityManager aidl.
Removed redundant CTS security test for isAppForeground.
Bug: 119327603
Test: atest cts.tests.app.src.android.app.cts.ActivityManagerTest#testIsAppForegroundRemoved
Change-Id: Iabde04299953da0600c5e246fcfe1be782b97c1d</t>
  </si>
  <si>
    <t>Update LocationManager CTS
Remove CTS tests for deprecated APIs.
Test: manually
Change-Id: If2ecda2350882cafce6bf849eb13c6e752fb1e3e</t>
  </si>
  <si>
    <t>[wv-cts] Convert PollingChecks to invocations with Futures.
Bug: 120902907
Test: existing CTS tests still run.
Change-Id: I08b4418c84f056e1a1f4e3f1854374d4107010d9</t>
  </si>
  <si>
    <t>DO NOT MERGE: Remove test that depends on tz data
Commenting out a test that will pass with &lt;= 2018c
time zone data but fail on &gt;= 2018d time zone data.
The has been removed for historic CTS releases because
there should be adequate coverage from the other tests
and it would be more complicated to provide a test
that works on a range of devices. We can expect OEMs
to release system images for some old releases with
&gt;= 2018d data.
Bug: 76362687
Bug: 121365628
Bug: 78868503
Test: build only
Change-Id: Idc277ade6aeb4707fb02c3db46a2d12dc653cb40
(cherry picked from commit e9539f02874b9d6f3f55e4d7db5a79960bf363f9)
(cherry picked from commit c5fc884ec268862fff828d8c276736a39eab3d27)</t>
  </si>
  <si>
    <t>Revert "Added Media Codec Test methods"
This reverts commit df46da7632423fb3a8d99c568b0a4c33c48878c1.
Reason for revert: Does not behave correctly in P and above
Change-Id: I86514191c0ccd1fe3e9cf99eb7947015081e63de</t>
  </si>
  <si>
    <t>Revert "RESTRICT AUTOMERGE: Added Media Codec Test methods"
This reverts commit 43ed8521c33206da31f884bb003c298708a1e1ac.
Reason for revert: Does not behave correctly in P and above
Bug: 72322539
Change-Id: Iab3237ae20c0cd076c5655608b256282bd8b02d6</t>
  </si>
  <si>
    <t>Fix tests for null cursor drawable
The CL removes tests expecting that the cursor drawable setter for a
TextView would take a NonNull argument. Also, a few other tests checking
exceptions are thrown when negative resource ids are passed are removed,
as negative resource ids are valid.
Test: atest CtsWidgetTestCases:android.widget.cts.TextViewTest
Bug: 122550166
Change-Id: I91e328aae8e8c72fef687c1e32d358bc1c7c6b37</t>
  </si>
  <si>
    <t>Historical app ops - CTS
This change is the main check in for the historical app op feature.
The idea is to store a historical data about past app op rejections,
accesses, and durations per op for any UID state indefinitely.
Keeping all operations on record is not practical as app ops are
very frequently performed. To address this we are storing aggregated
data as snapshots where we store for every UID and its packages
how many times each op was accessed, rejected, lasted as an aggregate.
To allow history scaling indefinitely we are taking a logarithmic
approach with only the most recent state stored in memory and all
preceding state stored on disk. State on disk is stored in separate
files where each preceding file, i.e. for an older period, would
cover X times longer period with X number of snapshots covering
X times longer period. Initially X is ten but can be tweaked. For
example, the first file could contain data for ten days with daily
snapshots, while the file for older period would have data
for a hundred days with snapshots every ten days, etc.
The implementation is optimized for fast history update and no impact
on system runtime performance and minimizing memory footprint. We
are lazily persisting state to disk on a dedicated thread as this is
slow. We are also reading the relevant historical files on a query
as this is very rare as opposed to state updates.
The base snapshot interval, i.e. snapshot time span, in the initial
iteration and the logarithmic step are configurable. These can be
changed dynamically and the history would be rewriten to take this
into account.
Test: atest CtsAppOpsTestCases
bug:111061782
Change-Id: I347866762f084bf2526a6d5420b678168e7baea5</t>
  </si>
  <si>
    <t>Disable animations in CTS theme test for ProgressBar
Required update to use latest test SDK, which required updating to use
Android Test Support Library instead of legacy platform test package.
Bug: 121330993
Test: atest android.theme.cts.ThemeHostTest#testThemes
Change-Id: Ibfb064a1c6a200a983e1e02df67f4bf82f11946c</t>
  </si>
  <si>
    <t>Revert "Make LocationAccessCheckTest more reliable"
This reverts commit fb25cfbeb005247feafc443a9340be4dda37115d.
Reason for revert: This seems to confuse the tooling b/122686104
Fixes: 122686104
Change-Id: If3a935de6f80ac84617f974dc30ee28083b6ae6c</t>
  </si>
  <si>
    <t>Change the default app in DefaultSmsAppHelper
Previously, DefaultSmsAppHelper only set the appops permission for
writing SMS. This change adds the ability to set the default SMS app
setting as well.
Test: Added passing CTS tests that exercise this functionality
Bug: 122363839
Change-Id: Ibf0504ce82ade323cc90ea2a6d8a09ba96709aa5</t>
  </si>
  <si>
    <t>Use UiAutomator instead of raw accesibility
Also wait for views to appear with a timeout as sometimes the UI might
load slowly.
Test: CtsAppSecurityHostTestCases:android.appsecurity.cts.PermissionsHostTest
      (on taimen and on taimen with the display set to super-magnified)
      There are still some failures left, but they are storage related
      (Bug 122666705)
Fixes: 122273743
Change-Id: I22d00a44e89226d0aced5e5b133eb3168348a653</t>
  </si>
  <si>
    <t>Update CTS tests for urlSpanFactory
Test: atest android.text.util.cts.LinkifyTest
Test: atest android.text.util.LinkifyTest
Bug: 28536972
Bug: 32613009
Bug: 29150779
Bug: 112303511
Change-Id: I2ea8459484f9992248bf5e8394eaef118976b1d5</t>
  </si>
  <si>
    <t>ASurfaceControl: test presenting buffers
Test presenting buffers and creating/deleting ASurfaceControls.
Test: atest CtsViewTestCases:android.view.cts.ASurfaceControlTest
Bug: 80477568
Change-Id: I8b1fa1a82cffc45e0b5cf09382f60a66eafed20e</t>
  </si>
  <si>
    <t>Test for setContentCaptureEnabled
Bug: 121047183
Test: atest CtsContentCaptureServiceTestCases
Test: atest android.contentcapture.cts.ChildlessActivityTest#testDisabledByApp
Change-Id: Ie235b9ada2101b2549d7c10eb58dd24d6b0c04c2</t>
  </si>
  <si>
    <t>Update CTS to use bubble naming; adds BubbleMetadata tests
Bug: 111236845
Test: these are the tests
Change-Id: I8d2db6d066a844825b036102d17b0985cfdfca36</t>
  </si>
  <si>
    <t>Remove CTS tests for no-op (and deprecated) APIs
Bug: 122316674
Test: CTS
Change-Id: I47306722bdcf28cf2ebee7dfdf0e3bb56d478322</t>
  </si>
  <si>
    <t>Refactor CTS tests to match API refactor
Test: atest IntFlagMappingTest
Bug: 122518089
Change-Id: I96b9f9c8f44af1986e5f7a579beb761797b5e5ae</t>
  </si>
  <si>
    <t>Update CtsCarTestCases.
Whether an activity is allowed depends on whether:
- AndroidManifest declares it to be Distraction Optimized; or
- it is whitelisted in R.string.activityWhitelist
Change-Id: Iccba433442834ac76e18d9921ee57d5b970d2d9b
Fixes: 121463026
Bug: 120125891
Test: m CtsCarTestCases -j &amp;&amp; cts-tradefed run cts-dev -a arm64-v8a -m CtsCarTestCases</t>
  </si>
  <si>
    <t>Update CtsCarTestCases.
Whether an activity is allowed depends on whether:
- AndroidManifest declares it to be Distraction Optimized; or
- it is whitelisted in R.string.activityWhitelist
Change-Id: Iccba433442834ac76e18d9921ee57d5b970d2d9b
Merged-In: Iccba433442834ac76e18d9921ee57d5b970d2d9b
Fixes: 121463026
Bug: 120125891
Test: m CtsCarTestCases -j &amp;&amp; cts-tradefed run cts-dev -a arm64-v8a -m CtsCarTestCases</t>
  </si>
  <si>
    <t>DO NOT MERGE Run tests on current user.
See 3340697f09ff29023f00d680fa2e51cc0879d529 for the equivalent change in master.
bug: 120913988
Test: cts-tradefed run cts-dev -a arm64-v8a -m CtsAppSecurityHostTestCases
on prod pi and device booted into primary user
on secondary user:
$ cts-tradefed run cts-dev -a arm64-v8a -m CtsAppSecurityHostTestCases
-t android.appsecurity.cts.AppSecurityTests
$ cts-tradefed run cts-dev -a arm64-v8a -m CtsAppSecurityHostTestCases
-t android.appsecurity.cts.SplitTests
$ cts-tradefed run cts-dev -a arm64-v8a -m CtsAppSecurityHostTestCases
-t android.appsecurity.cts.PackageVisibilityTest
$ cts-tradefed run cts-dev -a arm64-v8a -m CtsAppSecurityHostTestCases
-t android.appsecurity.cts.MajorVersionTest
$ cts-tradefed run cts-dev -a arm64-v8a -m CtsAppSecurityHostTestCases
-t android.appsecurity.cts.OverlayHostTest
$ cts-tradefed run cts-dev -a arm64-v8a -m CtsAppSecurityHostTestCases
-t android.appsecurity.cts.UsesLibraryHostTest
$ cts-tradefed run cts-dev -a arm64-v8a -m CtsAppSecurityHostTestCases
-t android.appsecurity.cts.ApplicationVisibilityTest
$ cts-tradefed run cts-dev -a arm64-v8a -m CtsAppSecurityHostTestCases
-t android.appsecurity.cts.IsolatedSplitsTests
$ cts-tradefed run cts-dev -a arm64-v8a -m CtsAppSecurityHostTestCases
-t android.appsecurity.cts.ClassloaderSplitsTest
$ cts-tradefed run cts-dev -a arm64-v8a -m CtsAppSecurityHostTestCases
-t android.appsecurity.cts.PackageResolutionHostTest
Change-Id: I4b315b63dda9e8a5063e9ab4aa2142dec066993d</t>
  </si>
  <si>
    <t>Added new test for batched ContentCaptureSession.notifyViewsDisappeared.
Test: atest ChildlessActivityTest#testRemoveChildrenFromDifferentSessions
Test: atest CtsContentCaptureServiceTestCases # to make sure they still pass
Bug: 121050915
Change-Id: I6f7e239db3c6c18f19119261f0f822308aa668bb</t>
  </si>
  <si>
    <t>Remove inaccurate location CTS test
This test hasn't made sense since P, but has continued to pass on most
devices, so has never come to our attention as being broken. Starting
from P, location has only had on/off values, not the older 4 state
values.
Test: CTS
Change-Id: Ic664137c4258722ca2282d0d0005240c36ea3b86</t>
  </si>
  <si>
    <t>Get rid of screenlock requirement
Since a screen lock is not required for installing keys and CA
certificates into KeyChain anymore, remove this requirement from the
tests.
Test: atest CtsDevicePolicyManagerTestCases:com.android.cts.devicepolicy.MixedDeviceOwnerTest#testDelegatedCertInstaller
Test: atest CtsDevicePolicyManagerTestCases:com.android.cts.devicepolicy.MixedProfileOwnerTest#testKeyManagement
Test: atest CtsDevicePolicyManagerTestCases:com.android.cts.devicepolicy.MixedProfileOwnerTest#testDelegation
Test: atest CtsDevicePolicyManagerTestCases:com.android.cts.devicepolicy.MixedProfileOwnerTest#testDelegationCertSelection
Test: atest CtsDevicePolicyManagerTestCases:com.android.cts.devicepolicy.MixedProfileOwnerTest#testInstallKeyPairLogged
Test: atest CtsDevicePolicyManagerTestCases:com.android.cts.devicepolicy.MixedProfileOwnerTest#testGenerateKeyPairLogged
Test: atest CtsDevicePolicyManagerTestCases:com.android.cts.devicepolicy.MixedProfileOwnerTest#testSetKeyPairCertificateLogged
Test: atest CtsDevicePolicyManagerTestCases:com.android.cts.devicepolicy.MixedManagedProfileOwnerTest#testKeyManagement
Bug: 120901345
Change-Id: I63ab67a081946c623635d2f0e1ff938c3aa47e61</t>
  </si>
  <si>
    <t>More work towards secondary storage devices.
Bring along remaining MediaStore tests to be parameterized and run
multiple times for all attached shared storage devices.  Update tests
to point at current storage volume being tested.
Fix several internal bugs in MediaProvider where it wasn't aware of
secondary volume names.
Bug: 117932814, 121280233
Test: atest MediaProviderTests
Test: atest cts/tests/tests/media/src/android/media/cts/MediaScanner*
Test: atest cts/tests/tests/provider/src/android/provider/cts/MediaStore*
Change-Id: I049aba160321e8aea78d6495a4e979c93b272c60</t>
  </si>
  <si>
    <t>Revert "Add CTS to check for both PackageManager.FEATURE_FINGERPRINT features"
This reverts commit 3b4167f594d9829299a6690e2e1d0920520e5d6f.
Reason for revert: b/115639644 comment #27 and #29
Change-Id: I9ba1e36cbd1a14bd2114b8e455da659e3dc135c1</t>
  </si>
  <si>
    <t>Sanity check raw paths against requested volume.
When callers are inserting or updating raw "_data" paths, we need to
sanity check them to make sure they're not "crossing the streams"
between storage devices.  For example, it would be really broken to
insert a file on the SD card into the "internal" storage volume.
This also enforces that callers don't "cross the streams" between
multiple storage volumes on devices that support them, since
otherwise they'd end up with very confusing behavior, such as
the same underlying file being inserted into multiple databases.
Also, the "internal" storage volume should really only be used for
common media (such as ringtones), and it shouldn't be allowed to
point into private app data directories, since MODE_WORLD_READABLE
has been deprecated for many years now.
Bug: 117932814
Test: atest MediaProviderTests
Test: atest cts/tests/tests/media/src/android/media/cts/MediaScanner*
Test: atest cts/tests/tests/provider/src/android/provider/cts/MediaStore*
Change-Id: Ic79f6ad318443beaed539352c7026646f7ce1ca4</t>
  </si>
  <si>
    <t>Added CTS tests for App Usage Limit APIs.
Bug: 117409586
Test: atest android.app.usage.cts.UsageStatsTest#testObserveUsagePermissionForRegisterObserver
Test: atest android.app.usage.cts.UsageStatsTest#testObserveUsagePermissionForUnregisterObserver
Change-Id: Ic575fbed991f30f26c4313295b9e43cceded1df3</t>
  </si>
  <si>
    <t>Rename TextViewIsHorizontallyScrollingTest to TextViewIsHorizontallyScrollableTest
Bug: 123222813
Test: atest TextViewIsHorizontallyScrollableTest
Change-Id: Iea97fcb18405ddd774542ad871e0ddbb0e1f7c8b</t>
  </si>
  <si>
    <t>Update Cts tests for cross profile calendar whitelist API change.
Test: atest ManagedProfileTest#testCrossProfileCalendar
Bug: 121179845
Change-Id: I555c6d5cd63c404ea5d18dc198303487c87b9d2c</t>
  </si>
  <si>
    <t>Revert "Create cts test for enabling/disabling backup on work profile."
This reverts commit 7a94e257c39f67f7c61d23e6ea50078bdc0e20ae.
Reason for revert: b/123237328
Change-Id: Ic1fdfe5e8e384d284318fa8df271aa1f64e33b17</t>
  </si>
  <si>
    <t>Migrate to single sanely-sized thumbnails.
Instead of generating only a handful of thumbnail "kinds", none of
which scale with display density, shift to generating only a single
thumbnail whose dimensions are limited to half the smallest screen
width of the device.
This change also shifts to storing thumbnails on the relevant volume
where the source data actually came from.  This solves the problem
of having to GC thumbnails for a storage device that we haven't seen
in a long time.
Bug: 119887587
Test: atest cts/tests/tests/provider/src/android/provider/cts/MediaStore*
Change-Id: I450154804a5b00e2d3fc29b008d57383fd4bb67a</t>
  </si>
  <si>
    <t>Revert "Create cts test for enabling/disabling backup on work profile."
This reverts commit 7a94e257c39f67f7c61d23e6ea50078bdc0e20ae.
Reason for revert: b/123237328
Change-Id: Ic1fdfe5e8e384d284318fa8df271aa1f64e33b17
(cherry picked from commit 8ed62f56415387ca4671068ffd2d08dfbc27d43e)</t>
  </si>
  <si>
    <t>Add CTS tests to cover part ID reuse
Test: Manually verified CTS test
Change-Id: I5d447d7f1ae9e4ee52359a560d85bfbc79e52c53</t>
  </si>
  <si>
    <t>Update CTS for TextClassifierEventTest
Test: atest TextClassifierEventTest.java
BUG: 120803809
Change-Id: I750bbee255cf022f37af054ee4a58b1442affbdb</t>
  </si>
  <si>
    <t>[CTS] Add managed profile full backup/restore test
Creates two variations of a full backup/restore test in a managed
profile, one going through system restore and the other going through
restore at install.
Bug: 122305663
Test: atest CtsBackupHostTestCases
Change-Id: I2cf611d59cd1d1da2336eb8b1b06411244927f98</t>
  </si>
  <si>
    <t>Break up test into two test methods.
ApiEvolutionTest contained a single test method that checks similar
things for two different classes (one dummy, one real).
This CL breaks the test up into two separate test methods. This
prepares for a follow-up CL that adds additional tests, and
ensures that the other test still runs if the first one fails.
Test: atest CtsLibcoreApiEvolutionTestCases
Bug: 28099367
Bug: 71597787
Change-Id: I344acd1514bd898640214fb381379da8ddc9e50a</t>
  </si>
  <si>
    <t>Flatten loop into multiple test methods.
testCovariantReturnTypeMethods_javaNioBuffer() was looping
over a list of Class&lt;? extends Buffer&gt;, testing the presence
of the same methods for each. If the test failed for one class,
the other classes would not have been tested.
This CL splits up the test into separate methods so that
 (a) a test still runs if the previous ones fail
 (b) the class that fails is now also clear from the
     stacktrace, not only from the failure message.
Test: atest CtsLibcoreApiEvolutionTestCases
Bug: 71597787
Change-Id: I071ee5f03df1dcb9a1bf9ec95771ea4393f14fe4</t>
  </si>
  <si>
    <t>Remove tests for newly hidden ColorSpace APIs
Bug 116516917
Change-Id: I01cf0f66bd79597d840f7bd641fc94f68e144577</t>
  </si>
  <si>
    <t>Get CtsProviderTestCases building against API.
To help confirm that we're actually testing developer-visible
behaviors, we need to build against public APIs, since there have
been plenty of examples in this suite of "testing" hidden API
behaviors, which are then misleading to developers.
Bug: 120429729
Test: atest cts/tests/tests/provider/
Change-Id: I0d1337625c52cabd4172d1a0affc4ab2b43ab62a</t>
  </si>
  <si>
    <t>Add Cursor.{set,get}NotificationUris.
Bug: 120879205
Test: manual
Test: atest cts/tests/tests/database/src/android/database/cts/AbstractCursorTest.java
Change-Id: Id240c53c48a7f5d2c23ad5fdcba3dc9d5f572be8</t>
  </si>
  <si>
    <t>Removing bg permission -&gt; appop becomes foreground
When removing the bg permission from a granted fg/bg permission, the fg
perm's app-op should become MODE_FOREGROUND. This adds a test for that
scenario.
This also factors out some common operations into a PermissionUtils
class.
Test: atest CtsPermissionTestCases
Change-Id: Ia6dda86d44ddc8ae1cf1a4e118849d96245c8d91</t>
  </si>
  <si>
    <t>CTS test for int enum and flag processing behavior
Bug: 117616612
Test: atest PlatformInspectableProcessorTest
Change-Id: I786d1f36b65de2b211364091794a75e784c36cee</t>
  </si>
  <si>
    <t>Added CTS tests for disabling ContentCapture feature by service.
Bug: 123286662
Test: atest ChildlessActivityTest#testSetContentCaptureFeatureEnabled_disabledByApi \
        ChildlessActivityTest#testSetContentCaptureFeatureEnabled_disabledThenReEnabledByApi
Test: atest CtsContentCaptureServiceTestCases
Change-Id: Ia76e4f0aa0cca0651023404807d559ea0f46ebc6</t>
  </si>
  <si>
    <t>Fix failing MediaSessionManagerTest.testGetSession2Tokens
Bug: 123500313
Test: Passes MediaSessionManagerTest
Change-Id: I407c98f0fd421102119f4b7c37142a9931d84791</t>
  </si>
  <si>
    <t>Add CheckLibraryNames
When the APIs are released, we need to update the make file for testing
new released APIs. To avoid doing this, I added the check-library-names
argument. When this argument is true, APIs test will be done if an API
library is available as the &lt;uses-library&gt; tag.
Bug: 123040759
Test: copy frameworks/base/test-base/api/current.txt into
prebuilts/sdk/28/public/api/android.test.base.txt and manually add some
APIs there.
run cts -m CtsSharedLibsApiSignatureTestCases
Change-Id: I6fa063e8c4d3450668dd73858ebfdda978f79f7c</t>
  </si>
  <si>
    <t>DO NOT MERGE AppSecurity run on current user.
AppSecurityPreparer - Do not try to remove user if it is the current user. This avoids an unhelpful error message when deleting the current user fails.
BaseAppSecurityTest - Do not switch to primary user. Also, remove check for split system user which is never used by a test.
DirectBootHostTest - Run tests as current user. Running on multiple users never happens since prepareSingleUser always returns a single user.
InstantAppUserTest - Switch back to the user that was used before the test began.
PackageResolutionHostTest - call super.setup since overriding the method means that BaseAppSecurityTest@setupUp is not called.
PermissionsHostTest - Run tests as current user.
Utils - Don't bother stopping the current user. This removes an unhelpful warning message.
bug: 117880211
Test:  $ cts-tradefed run cts-dev -a arm64-v8a -m CtsAppSecurityHostTestCases
On a prod PI phone and device in a secondary user.
Change-Id: Ibc010d74567830ed4ca4a2a153965deae62d60e4</t>
  </si>
  <si>
    <t>AppSecurity run on current user.
AppSecurityPreparer - Do not try to remove user if it is the current user. This avoids an unhelpful error message when deleting the user naturally fails.
BaseAppSecurityTest - Remove check for split system user which is never used by a test.
DirectBootHostTest - Run tests as current user. Running on multiple users never happens since prepareSingleUser always returns a single user.
InstantAppUserTest - Switch back to the user that was used before the test began.
PermissionsHostTest - Run tests as current user.
Utils - Don't bother stopping the current user. This removes an unhelpful warning message.
See aosp/883702 for the pi version of these changes.
bug: 117880211
Test:  $ cts-tradefed run cts-dev -a arm64-v8a -m CtsAppSecurityHostTestCases
Verified using taimen. No regressions.
Change-Id: Ibc010d74567830ed4ca4a2a153965deae62d60e4</t>
  </si>
  <si>
    <t>[Magnifier-75] Remove tests for MAX_IN_VIEW
Bug: 72211470
Test: atest CtsWidgetTestCases:android.widget.cts.MagnifierTest
Change-Id: I950c9f7a8133e314b950f84f4f1e4be3fe4e2b6d</t>
  </si>
  <si>
    <t>testProfileWifiCleanup: Remove test
Regular apps targeting SDK 29 cannot add or edit saved networks on the
device. They should use the new suggestions API for it. So, this test is
kind of obsolete, remove it.
Bug: 122743990
Test: atest com.android.cts.devicepolicy.ManagedProfileTest
Change-Id: I855f24779647a34ec4d846eb1b311104789273a8</t>
  </si>
  <si>
    <t>New ContentCapture tests.
Bug: 123540602
Test: atest CtsContentCaptureServiceTestCases:LoginActivityTest#testAddChildren_rightAway,testAddChildren_afterAnimation
Test: atest CtsContentCaptureServiceTestCases # sanity check
Change-Id: I385268d10637ac52f6f766e25c6f882110b29802</t>
  </si>
  <si>
    <t>simpleperf: prepare for testing profileable apps.
1. Move CtsSimpleperfDebugApp to CtsSimpleperfDebuggableApp,
   add an activity running a busy thread. So we can test
   profiling app process.
2. Copy CtsSimpleperfDebuggableApp to CtsSimpleperfProfileableApp,
   which will be changed to a profileable app in later CLs.
Bug: 118835348
Test: run CtsSimpleperfTestCases.
Change-Id: I0f36980650387c7eb46c30c04e9e6a1c0fa94961</t>
  </si>
  <si>
    <t>Revert "change cts test application for cas@1.1"
This reverts commit b5dee0037413996fb644b70a4c4d422080ad6efc.
Reason for revert: &lt;INSERT REASONING HERE&gt;
Change-Id: I1dc95c57093b87d4d76238e9f16fe7a0dd241ffb</t>
  </si>
  <si>
    <t>Cut the dependency
The CtsCurrentApiSignatureTestCases test is failed because of
compatibility-device-util dependency. To cut the dependency, the
cts-api-signature-multilib-test library is created.
Test: copy frameworks/base/test-base/api/current.txt into
prebuilts/sdk/28/public/api/android.test.base.txt and manually add some
APIs there.
run cts -m CtsSharedLibsApiSignatureTestCases
Test: cts-tradefed run cts -m CtsCurrentApiSignatureTestCases &amp;&amp;
check the unexpected_class log
Bug: 123040759
Change-Id: I729e02f054bedc704efb5b06ec23756ac3bfc6bd</t>
  </si>
  <si>
    <t>Revert "Remove MediaController2 usages in MediaSessionServiceImpl"
This reverts commit 41e4aaa0e03af984989376f25fe9cd36c2fac5b3.
Reason for revert: Now the circular dependency problem is resolved, this change is now obsolete.
Bug: 123336670
Change-Id: I5adda24c7540e5408897830de6b62606d2ff85ce</t>
  </si>
  <si>
    <t>Removed some ignored tests.
Bug: 122595322
Test: m update-api
Test: atest CtsContentCaptureServiceTestCases
Change-Id: I6b7c73efc74af1d5de6cd57777457fe376ec49cd</t>
  </si>
  <si>
    <t>Update TypedArrayTest to test source layout resource ids.
Test: atest CtsContentTestCases:android.content.res.cts.TypedArrayTest
Change-Id: Iaf7fe85cae7c8bf01849fc92197fa57914d31bd2</t>
  </si>
  <si>
    <t>Revert "[RESTRICT AUTOMERGE] Add crashutils to cts, and integrate into Stagefright"
This reverts commit 3d32635e90e7f3faf5916351555e1d9de59fb078.
Reason for revert: Crash Parser redesign
Bug: 113170203
Change-Id: I6fbe5c08364da102056fbbf0115ec3bc7bd4b155</t>
  </si>
  <si>
    <t>Revert "[RESTRICT AUTOMERGE] Add crashutils to cts, and integrate into Stagefright"
This reverts commit 8cfc3b6dc2e1bd4ae45bdfe56d410305bc4bd27b.
Reason for revert: Crash Parser redesign
Bug: 113170203
Change-Id: I173ff632a4b6c80303f67602db727699c1a57103</t>
  </si>
  <si>
    <t>Revert "[RESTRICT AUTOMERGE] Add crashutils to cts, and integrate into Stagefright"
This reverts commit 6ed86fb21b871da99052bd1fcb8ff68f383160e9.
Reason for revert: Crash Parser redesign
Bug: 113170203
Change-Id: I86eb13f2831e8a23ac394ab661928a86c24cab19
Merged-In: I6fbe5c08364da102056fbbf0115ec3bc7bd4b155</t>
  </si>
  <si>
    <t>Revert "Add CTS to check for both PackageManager.FEATURE_FINGERPRINT features"
This reverts commit 3b4167f594d9829299a6690e2e1d0920520e5d6f.
Reason for revert: fingerprint is back to android.hardware.fingerprint
Change-Id: Ibb8cb1f5050b3b0fcb13cc55b8d64497e216b86a</t>
  </si>
  <si>
    <t>DO NOT MERGE - Revert "Changed Autofill tests to check for UPDATE instead of SAVE when necessary."
This reverts commit b08897ae8ed7d6c910b550f0c011f5da41d6743e.
Fixes: 122848656
Test: atest CtsAutoFillServiceTestCases
Change-Id: I66710a12bc1b9c3826522eec7925880b08b8ff2d</t>
  </si>
  <si>
    <t>Moved common Autofill helpers to com.android.compatibility.common.util
Test: atest CtsAutoFillServiceTestCases AppStandbyTests BatterySaverLocationTest
Test: m compatibility-device-util-tests
Fixes: 120665995
Change-Id: I27b308a8bee9133f6cd44ce82e86d8708c5e8eae</t>
  </si>
  <si>
    <t>Update MediaStore_DownloadsTest to use ProviderTestUtils.scanFile().
Bug: 123642484
Test: atest cts/tests/tests/provider/src/android/provider/cts/MediaStore_DownloadsTest.java
Change-Id: I5396683d08de7872bbb83cb70494b8bc20b05610</t>
  </si>
  <si>
    <t>Fixed CtsContentCaptureServiceTestCases after major refactoring.
Bug: 123307965
Test: atest CtsContentCaptureServiceTestCases
Change-Id: I037e6e3d20bd2d2506cf26ef7c75c1d7d6c65030</t>
  </si>
  <si>
    <t>WebView: rename test file
No change to logic, this only renames a file for consistency with the
rest of the test suite.
Fixes: 123922300
Test: atest CtsWebkitTestCases:WebViewTransportTest
Change-Id: I5d70a321b9895a0414fc84d338c116a5259d97cc</t>
  </si>
  <si>
    <t>Fix flaky TransitionManagerTest
Moved to using ViewTreeObserver over using postOnAnimation() to
get the position of a transitioning view.
Bug: 123931348
Test: Ran TransitionManagerTest on cuttlefish
Change-Id: Iae38713aafe6082553940b9fd9a8f8b7aa5e9924</t>
  </si>
  <si>
    <t>Migrate tests to instant mode
Bug: 79782915
Test: cts-tradefed run commandAndExit cts-instant-dev -m CtsAppSecurityHostTestCases
Merged-In: I2826f71018e16ac57cbd5515dd3afc7233fd80b6
Change-Id: I2826f71018e16ac57cbd5515dd3afc7233fd80b6</t>
  </si>
  <si>
    <t>add more tests to instant mode
Bug: 79782915
Test: cts-tradefed run commandAndExit cts-instant-dev -m CtsAppSecurityHostTestCases
Merged-In: I836a25231343842fe54db273a61c4699d01bcd80
Change-Id: I836a25231343842fe54db273a61c4699d01bcd80</t>
  </si>
  <si>
    <t>Uses SafeCleaner to restore the content capture service.
Test: atest CtsContentCaptureServiceTestCases
Bug: 123539404
Change-Id: Ied00f4915880954324026073a23f934a8677a2f6</t>
  </si>
  <si>
    <t>Remove usage info
Test: checkbuild
Change-Id: I4d8ae720b18e3a49815011f89ae03ddcec83b824
Build: 123699931</t>
  </si>
  <si>
    <t>Camera: Add test for HEIC format
This includes:
- Basic HEIC capture and EXIF test
- Mandatory stream combination test
- NDK test for the new image format
Test: Newly added test case pass
Bug: 120613575
Change-Id: I7fc612c55d3c1e71aede343edd021f7261ee6d0e</t>
  </si>
  <si>
    <t>Refactor: Extract the StubService inner class from AccessibilityGestureDetectorTest so it can be cleanly used by other tests.
Test: cts-tradefed run singleCommand cts -d --module CtsAccessibilityServiceTestCases --test android.accessibilityservice.cts.AccessibilityGestureDetectorTest
Change-Id: Ic799e98f6fd80864f09678c33bf8462ef3d55cd5</t>
  </si>
  <si>
    <t>[RESTRICT AUTOMERGE] Remove CTS tests which call hidden APIs
Bug: 122129105
Test: run cts --module CtsSimRestrictedApisTestCases
Change-Id: I86cde4a23ff934cdad8426e3ed9483b7f71c9acb</t>
  </si>
  <si>
    <t>Remove CTS tests which call hidden APIs
Bug: 122129105
Test: run cts --module CtsSimRestrictedApisTestCases
Change-Id: I86cde4a23ff934cdad8426e3ed9483b7f71c9acb</t>
  </si>
  <si>
    <t>Fix Flakiness In QuietModeHostsideTest
If all 3 device side test cases are run in 1 host side test case, the
device side test cases can interfere with each other.  Run them all in
separate host side test cases instead.
Change-Id: Ie1ddb5f8f8519c01172f0dffb674216dda1d79fb
Fixes: 124041901
Test: atest com.android.cts.devicepolicy.QuietModeHostsideTest
--generate-baseline=100</t>
  </si>
  <si>
    <t>Start paving the way for XMP metadata.
The Extensible Metadata Platform (XMP) standard is widely used to
annotate useful information about audio, video, and image files, so
this change starts indexing certain widely-useful fields.
For example, the "document ID" concept is designed to uniquely
identify media items regardless of renaming or trivial metadata
edits over time.  And "original document ID" gives a clean way of
identifying a chain of derivative works.
Finally, the "format" attribute can be used to specify a richer MIME
type that may not be recognizable from a file extension alone.
While we're making changes here, remove several APIs that we've
realized aren't needed for Q, such as "trashing."
Bug: 120791890
Test: atest MediaProviderTests
Test: atest cts/tests/tests/provider/src/android/provider/cts/MediaStore*
Change-Id: Ib992d9bb7c74de0c78ba0ca5f5a197069572aebb</t>
  </si>
  <si>
    <t>Remove tests for removed API in Animation
The methods add/removeAnimationListener have been withdrawn before they
were released, so the tests can be removed as well.
Bug: 117519981
Test: atest AnimationTest
Change-Id: I2daf1e328116388ac25533c38cc3dc951089957c</t>
  </si>
  <si>
    <t>WebView: break up some large tests in WebSettingsTest
No change to test coverage, but small changes to logic.
This breaks up a couple rather large tests in WebSettingsTest,
separating out their relevant sub-cases, specifically this breaks apart
testAccessCacheMode and testLoadsImagesAutomatically. This rewrites
testAccessCacheMode to avoid PollingCheck in favor of BlockingQueue.
Fixes: 123999181
Test: atest CtsWebkitTestCases:android.webkit.cts.WebSettingsTest
Change-Id: I45994eeaaba7994aef5fcf1162b523041b37180a</t>
  </si>
  <si>
    <t>Add more testing attribute debugging.
Test: atest CtsViewTestCases:android.view.cts.ViewAttributeTest
      atest CtsWidgetTestCases:android.widget.cts.WidgetAttributeTest
Change-Id: I2e57fac9099d9a7674569bf70cdccea4fdbb28c3</t>
  </si>
  <si>
    <t>[wv-cts] Break out WebView zoom tests
Test: atest 'CtsWebkitTestCases:android.webkit.cts.WebViewZoomTest'
Change-Id: I5ffeded28159a27cd748f5e4532c9e4c616ec259
Fixes: 124109768</t>
  </si>
  <si>
    <t>WebView: break up testLoadDataWithBaseUrl
No change to test coverage.
This breaks up testLoadDataWithBaseUrl into several test cases. This
makes it easier to reason about side-effects between tests, and gives
better feedback in case of test failures.
This also refactors this @UiThreadTest logic to be off the UI thread.
Bug: 124009607
Test: atest CtsWebkitTestCases:android.webkit.cts.WebViewTest
Change-Id: Ic5d6db13fb3387f7073b16989ab50d53fa2d9e07</t>
  </si>
  <si>
    <t>Delete CtsUiDeviceTestCases
This test target only had 2 tests:
- ScrollingTest -&gt; perf tests that scrolls a scrollview for 3 minutes
                   but then does not report the results anywhere.
- WatchPercentageScreenDimenTest -&gt; better fits with theme tests.
Bug: 124017067
Test: None
Change-Id: I7c99a460f1f093e4257a43933d5b4765e0b33746</t>
  </si>
  <si>
    <t>Fix ValueAnimator tests
Removed some questionable legacy code also
Fixes: 110208600
Fixes: 111608759
Test: atest ValueAnimatorTest
Change-Id: I75255f1033e83750e616730ea54f35abf69131a7</t>
  </si>
  <si>
    <t>RESTRICT AUTOMERGE: Revert "Wait a bit until mobile network is connected"
This reverts commit 7202446109bebdc6228a009637cb4866489c1c0e.
Reason for revert: Postponed to a later release. The cl introduces invalid #null test failure, which requires additional fixes. Pls re-submit the same CL.
Change-Id: I9bf0581801dd704959886197755681080854557f</t>
  </si>
  <si>
    <t>Remove workaround for Retention.SOURCE annotations
The jack toolchain would discard Retention.SOURCE annotation classes
from the runtime making it impossible for the signature tests to access
them using reflection. A whitelist of classes to ignore was added to
workaround that issue. After switching to javac toolchain that is no
longer an issue and so the workaround can be removed.
Removed a duplicate method from SignatureMultiLibsTest and simplified
a stream invocation.
Bug: 63383787
Test: atest
Change-Id: I5d21d295a18b89192c6c32e788d19e3188e63fa3</t>
  </si>
  <si>
    <t>Allow update() to move files on disk.
There are a set of columns available through insert() and query()
which influence placement of files on disk, so it makes sense to
expand update() to allow movement of underlying files, as long as
the changes respect any rules that would have been applied to a
brand new insert().
When a caller updates any placement columns, blend them together
with any current values, and generate the path that would have
been used for an insert.
Bug: 123967243
Test: atest cts/tests/tests/provider/src/android/provider/cts/MediaStore*
Change-Id: Id2c9b51d466c2746e56392202278cb7d0c1075a7</t>
  </si>
  <si>
    <t>Revert "Revert "Delete CtsUiDeviceTestCases""
Reland ag/6304365 with a fix making sure it is not used by other
testcase.
Bug: 124017067
Change-Id: I8982444087f6a0af82ac6aa4ef840090b4ee0ddc</t>
  </si>
  <si>
    <t>Uses DeviceConfig helpers on ContentCapture tests.
Test: atest CtsContentCaptureServiceTestCases
Bug: 124006095
Change-Id: Id2dc7978bf193b8033d7613cc6ccc090689bff1d</t>
  </si>
  <si>
    <t>[Multi-user] CTS test for restoreAtInstall of installExistingPackage
Bug: 122305663
Test: cts-tradefed run cts -m CtsBackupHostTestCases -t android.cts.backup.ProfileKeyValueBackupRestoreHostSideTest
Change-Id: I0a483ba109940abbf57a302b738ba8ffa47940a9</t>
  </si>
  <si>
    <t>Updates for ColorSpace fixes
Bug: 117601185
Bug: 77276533
Bug: 123374456
Bug: 123377741
Bug: 124052364
Test: This
Update tests to enforce the following new behaviors:
- F16 is less restrictive w.r.t. its ColorSpace:
  - it can be any ColorSpace, except for those which have EXTENDED
    variants, in which case it will be the EXTENDED version
  - decoding and creation default to EXTENDED_SRGB, which is now
    properly reported
- ALPHA_8's ColorSpace is always null
- RGB_565 can be any ColorSpace (except:)
- ARGB_8888 and RGB_565 are always the non-EXTENDED variant, if there is
  a choice
Use ColorUtils where appropriate, for better debugging and to provide a
tolerance.
Update bc EXTENDED_SRGB now has TransferParameters:
- In some tests, EXTENDED_SRGB was used as an example of a
ColorSpace.Rgb without TransferParameters. Switch those to a custom
non-Named object which doesn't have them.
- Update testSetColorSpaceReducedRange. It didn't fail because it was
reducing the range, but because EXTENDED_SRGB didn't have
TransferParameters. Now that it does, use a case that actually does
reduce the range.
- Also add a test for setColorSpace with a color space that truly
doesn't have TransferParameters.
- Remove EXTENDED_SRGB from testTargetColorSpaceNonRGB. Rename the test
to be more general, and use another ColorSpace that doesn't have
transfer parameters.
Remove prophoto-rgba16f.png asset. This asset's name is misleading,
because it has an SRGB profile, rather than PRO_PHOTO_RGB. Replace it
with blue-16bit-srgb.png and blue-16bit-prophoto.png, where appropriate.
More thorough test for reconfigure. 565/8888 -&gt; F16 keeps the same
ColorSpace, as does going back. Only change relates to EXTENDED.
Replace Rgba16fTests#testMirroredTransferFunctions with two tests that
are clearer about what they're doing and use a true prophoto profile:
- BitmapColorSpaceTests#testProPhoto
- WideColorGamutTests#testProPhoto
Add a test for parcelling F16 Bitmaps with various ColorSpaces.
Add tests on a linearSrgb asset. It should decode to
LINEAR_EXTENDED_SRGB with F16, and LINEAR_SRGB otherwise.
ImageDecoder#testAssetSource tests this asset
(grayscale-linearSrgb.png), which verifies that we've fixed the bug
where grayscale assets report in
ImageDecoder.ImageInfo#getColorSpace a null ColorSpace. (The asset comes
from the PNGSuite, where it was named g10n0g16.png.)
Fix up tests for setColorSpace
- test that getColorSpace now returns the new value
  - this accounts for the fact that EXTENDED -&gt; non-EXTENDED
- test for truly reducing the range
  - also check that getColorSpace is unchanged
- test that it's okay to ask for non-EXTENDED on F16
Change-Id: I90adb511c8fdefe016028da4fd53b079d8367bf6</t>
  </si>
  <si>
    <t>CTS: When the default SMS app is uninstalled, the binding should be removed
Bug: 123774494
Test: atest -v AppBindingHostTest
Change-Id: Ie1905bd7c33e3250a995a029ef6fc18a65327a77</t>
  </si>
  <si>
    <t>Add workaround for coverage on group call APIs
Add calls to super.method() so that the coverage tool picks up on our
coverage of the callback methods
Change-Id: Id45d919df57e1c277c0fb46ef1a44dbe28e6423e
Fixes: 122619617
Test: cts</t>
  </si>
  <si>
    <t>CTS for background restrictions job throttling
Added tests to cover behaviour of background restrictions on jobs
Test: atest CtsJobSchedulerTestCases:JobThrottlingTest
Bug: 123775223
Change-Id: I0a1bb01cf80d8980114233b1ae953c7fe894324c</t>
  </si>
  <si>
    <t>Revert "[A-0-2] Android Automotive required Bluetooth profiles CTS test"
This reverts commit b733e464763564bf471eb2443199361b2b464460.
Reason for revert: This seems to have broken the build on internal master.
Change-Id: I5017175c9d4d0571bdaa194677776d8fde345413</t>
  </si>
  <si>
    <t>Test backup + restore of permissions
- foreground/background permissions
- permission groups
- pre-M apps
- user-set/user-fixed/review-required flag
- delayed permission restore
Test: atest CtsBackupTestCases:android.backup.cts.PermissionTest
Change-Id: Ic925625ecc1679e9041650ad060e40cf11b38744</t>
  </si>
  <si>
    <t>Require READ_MEDIA_AUDIO to see indexed metadata.
We don't have a great way to filter parsed metadata by owner, so
callers need to hold READ_MEDIA_AUDIO.
Also allow callers holding READ_MEDIA_AUDIO to see files with
FileColumns.MEDIA_TYPE_PLAYLIST.
Bug: 117626525, 120419005
Test: atest cts/tests/tests/provider/src/android/provider/cts/MediaStore*
Change-Id: Iffc1638d4f70e500cade8e23dff82a88c484c5f7</t>
  </si>
  <si>
    <t>Updated CtsContentCaptureServiceTestCases with latest API changes.
Test: atest CtsContentCaptureServiceTestCases
Bug: 124266664
Change-Id: I80a84596bd1cfff8f98d0867983affe2b55c2e89</t>
  </si>
  <si>
    <t>Updated CtsContentCaptureServiceTestCases to use disableContentCaptureServices().
Bug: 123286662
Test: atest CtsContentCaptureServiceTestCases
Change-Id: I608272ca1198a2ca64acdf95315c91a567b8697b</t>
  </si>
  <si>
    <t>Device admins can now handle pre-M apps
Hence the tests have to be adjusted
Bug: 124128308
Test: atest CtsDevicePolicyManagerTestCases:com.android.cts.devicepolicy.MixedManagedProfileOwnerTest#testPermissionGrant,testPermissionPolicy,testPermissionMixedPolicies,testPermissionAppUpdate,testPermissionGrantPreMApp CtsDevicePolicyManagerTestCases:com.android.cts.devicepolicy.MixedManagedProfileOwnerTestApi25#testPermissionGrantPreMApp
Change-Id: I036ba3014faa74725a807e6de5196cf0fbe76960</t>
  </si>
  <si>
    <t>SQLiteDatabaseTest: Remove test for compatibility WAL config.
We no longer have a configurable flag for turning on compatibility
WAL by default.
Test: make
Bug: 123352172
Change-Id: Icc2e22624cc10355441f07ef3588303a25c439be</t>
  </si>
  <si>
    <t>Emergency API review
Remove 'current' in Emergency APIs
Test: Treehugger
Bug: 122368381
Bug: 123241078
Change-Id: I00ea5b4592d06f81486126cb85584554d1e097b0</t>
  </si>
  <si>
    <t>CTS: Split tests in HiddenApiTest and BaseKillswitchTest
Split the tests by access mode and member type, to have shorter specific
tests.
Bug: 123986482
Test: atest --test-mapping cts/tests/signature
Change-Id: Ia5d7e538a225a65b535e6ea50f72dcab8d9d7248</t>
  </si>
  <si>
    <t>Remove testGetServiceState
testGetServiceState is no longer needed -- functionality is tested by
TelephonyManagerTest#testServiceStateSanitization
Fixes: 124899889
Test: CTS
Change-Id: Id2d64fd1eaf6440c472f84e4171644c1fc7b4bd3</t>
  </si>
  <si>
    <t>Use BaseHostJUnit4Test in CtsShortcutHostTestCases
Bug: 124312040
Test: atest CtsShortcutHostTestCases
Change-Id: I8a47f774e57f4b721a7c5aa4e8f4b7d9576da923</t>
  </si>
  <si>
    <t>Temporarily disable test.
We already know about the underlying issue, but the real fix is still
being designed and discussed.  To keep CTS folks happy, temporarily
disable it with a "STOPSHIP" comment.
Bug: 122742575, 115619667
Test: atest com.android.cts.devicepolicy.ManagedProfileTest#testCrossProfileContent
Change-Id: I385ea261f846bc066470e86da893ed21a1dfcee8</t>
  </si>
  <si>
    <t>Use BaseHostJUnit4Test.runDeviceTests
Fixes: 124312040
Test: atest CtsShortcutHostTestCases
Change-Id: Ia056581a62c7259a8b5adc65d95512d0fdb2a3a5</t>
  </si>
  <si>
    <t>WebView: Replace custom waitForFuture with the one in WebkitUtils
We have the same utility method waitForFuture() in WebkitUtils,
replacing the custom one in WebChromeClient with that.
AOSP master has no WebkitUtils, so only landing the change on master
branch.
Bug: None
Test: atest CtsWebkitTestCases:WebChromeClientTest#testOnJsBeforeUnloadIsCalled
Change-Id: Ia103b1963e3718c73bcceeb669f46786cc39ede7</t>
  </si>
  <si>
    <t>Remove TelephonyProvider permissions tests
This simplifies these tests, and removes the need to worry whether the
test package is set to be the default SMS application. Now the test
package is remains the default throughout testing.
These will be brought back and addressed in b/126446003.
Bug: 122852169
Test: atest CtsTelephonyProviderTestCases
Change-Id: I24658e655e657befa36fa3f67b09af5499521ead</t>
  </si>
  <si>
    <t>Remove CtsAlarmClockTestCases module
These tests are inherently too flakey and slow to run in CTS since
they require waiting for 1+ minute(s) for an alarm to fire. Instead
use AvailableIntentTest to ensure that AlarmClock intents are
handled.
Bug: 126634496
Test: AvailableIntentsTest
Merged-In: I149335a45520a95f8e6a5241b309cf6dcfe743e2
Change-Id: I149335a45520a95f8e6a5241b309cf6dcfe743e2</t>
  </si>
  <si>
    <t>Remove CtsAlarmClockTestCases module
These tests are inherently too flakey and slow to run in CTS since
they require waiting for 1+ minute(s) for an alarm to fire. Instead
use AvailableIntentTest to ensure that AlarmClock intents are
handled.
Bug: 126634496
Test: AvailableIntentsTest
Change-Id: I149335a45520a95f8e6a5241b309cf6dcfe743e2</t>
  </si>
  <si>
    <t>Add tests to cover RoleManager APIs.
Bug: 125404675
Test: atest RoleManagerTest
Change-Id: I62e76a1b543980240db7eb0acb831fdd4581f1ac</t>
  </si>
  <si>
    <t>Adapt SplitPermissionTest to location bg perm
The behavior of the location background permission has changed. Hence
the tests need to change with it.
Now the permissions inherit normally. Location permissions will only be
removed during upgrade
Test: atest CtsPermissionTestCases:SplitPermissionTest
Change-Id: Ibe6c44227b44ee54ffc6f175b6c201a95c254574</t>
  </si>
  <si>
    <t>Remove tests for deprecated APIs
Remove references to GpsStatus.* from CTS tests.
Test: manually
Change-Id: I9adabb6836a9d211ac92c90c44ee058a4ac0df0e</t>
  </si>
  <si>
    <t>Update test cases of DocumentsTest
- Rename test cases of testGetContent and
testGetContentWithQueryContent.
- Add new test case to verify the result after pick the file.
  testGetContent_returnsResultToCallingActivity
Test: atest DocumentsTest
Change-Id: I540d245018b2d3e810ce2fba9f26b04b1d6ed14e
Fix: 119510766</t>
  </si>
  <si>
    <t>Move randomized mac test to cover PO in addition to DO.
Bug: 123944329
Test: atest DeviceOwnerTest#testWifi
Test: atest MixedDeviceOwnerTest#testRandomizedWifiMacAddress
Test: atest MixedProfileOwnerTest#testRandomizedWifiMacAddress
Test: atest MixedManagedProfileOwnerTest#testRandomizedWifiMacAddress
Change-Id: I8f6cdcefcb1d9225d3496b6007a65dc6742d2468</t>
  </si>
  <si>
    <t>Remove test for bubble metadata needing a title since we no longer have a title
Test: this is a test that I'm fixing, atest NotificationTest
Fixes: 127305830
Change-Id: Ief280547d4f622faef5351dab7a92e63dc580149</t>
  </si>
  <si>
    <t>Updated CtsContentCaptureServiceTestCases to use new LocusId APIs.
Test: atest CtsContentCaptureServiceTestCases
Bug: 126945732
Change-Id: I101ab91a3ce3052adca488e0ab6d15545db87d8b</t>
  </si>
  <si>
    <t>Revert "Adding CTS test for android.location.Location"
This reverts commit 4d3fa970a0d5b6eae5f382afc9ef46012c72502c.
Reason for revert: b/127312065
Change-Id: I0b7ec24868ff13995e630d9f5f925c84bb1bac4c</t>
  </si>
  <si>
    <t>Delete tests that are moving to xts
Test: make
Bug: 127146476
Change-Id: I4c04109397d093de863032fb61158b5928f9d64d</t>
  </si>
  <si>
    <t>CTS: startUser uses new -w flag
ag/6594563 introduced a new -w flag to "am start-user", to wait until
the user has started and unlocked before continuing. CTS tests can now
use this, starting with the the ones that are known to need to wait.
Bug: 126263999
Bug: 122305663
Bug: 123038606
Test: cts-dev -m CtsShortcutHostTestCases -t android.content.pm.cts.shortcuthost.ShortcutManagerMultiuserTest#testManagedUser
Test: atest CtsBackupHostTestCases
Change-Id: I0236671a077d0d6f36ddd55fc345da2dbef6740f</t>
  </si>
  <si>
    <t>Camera: Test native support for camera access change callbacks
Additionaly reduce dependencies and simplify the test code in
"testCamera2AccessCallback".
Bug: 121379978
Test: Camera CTS
Change-Id: I6f2f3c18dc03d95ce94d5e5156d89803fa55cb3b</t>
  </si>
  <si>
    <t>Fixed value of CONTENT_CAPTURE_ENABLED
Test: atest CtsContentCaptureServiceTestCases
Bug: 119264902
Change-Id: I4aa1c18a89136d9b35519314157474f0decb1a13</t>
  </si>
  <si>
    <t>Minor changes and more cts tests for DnsResolver
Test: built, flashed, booted
      atest DnsResolverTest
Change-Id: I39f24b9751ab507bf7fc6bcd90376fafc60221b8</t>
  </si>
  <si>
    <t>Private DNS: Accommodate API changes
Change test for the Private DNS Device Policy Manager API to match the
API change due to API review.
Bug: 124301971
Test: atest com.android.cts.devicepolicy.DeviceOwnerTest#testPrivateDnsPolicy
Change-Id: Id86aa3b51f07a2a88744a308018f636532f6d782</t>
  </si>
  <si>
    <t>Reset app before and after PermissionControllerTest
Test: atest PermissionControllerTest
Change-Id: I276cba0c206bbde400410036d93db91d6ddd0e65</t>
  </si>
  <si>
    <t>Test renaming as legacy app.
Bug: 127317760
Test: atest android.appsecurity.cts.ExternalStorageHostTest#testExternalStorageRename
Exempt-From-Owner-Approval: trivial tests
Change-Id: Ic8dda89279d60eb100575096c33455f254eef36c</t>
  </si>
  <si>
    <t>Use a boolean Consumer instead of RoleManagerCallback.
And use RemoteCallback for it under the hood. This removes one AIDL
interface and allows using lambda, while aligning with what
PermissionControllerService does.
Bug: 127691087
Test: manual
Change-Id: I8125420edec77e5a869f9e78dc9d88245780ef0a</t>
  </si>
  <si>
    <t>[webview] rename unresponsive renderer APIs
Followup from API council review. Rename Renderer to RenderProcess for
consistency with existing APIs. Make WebViewRenderProcess constructor
public.
Because the rename requires a correspoding WebView change, we must
disable CTS tests temporarily.
Bug: 124767616
Bug: 123629980
Test: atest 'CtsWebkitTestCases'
Change-Id: I998c1d7f147f2afdd6ab1ec297799b99f2f866ba</t>
  </si>
  <si>
    <t>CTS tests for InspectionCompanions as nested classes
Bug: 126913705
Test: atest StaticInspectionCompanionProviderTest
Change-Id: Ie89e261f0e33314239286989d5229a956fc651ef</t>
  </si>
  <si>
    <t>Rename tests for PopupWindow new API
This CL renames tests and methods inside this tests for PopupWindow new
API which API council suggests
Bug: b/126354063
Test: All PopupWindow tests passed
Change-Id: Icd3c8cc1a25c81a10d2afb6d7a0b6a49eb44552e</t>
  </si>
  <si>
    <t>Removed Passpoint tests from WifiManagerTest
Passpoint APIs require NETWORK_SETTINGS permission, which the
CTS verifier cannot acquire.
Bug: 127824266
Test: atest WifiManagerTest
Change-Id: I1c69ae748318c0c5431326be77f8b1a942a1f2db</t>
  </si>
  <si>
    <t>Adding more connectivity constraint tests.
Most importantly, adding a test to confirm that jobs are stopped when
Data Saver is turned on.
Bug: 120632404
Test: atest CtsJobSchedulerTestCases
Change-Id: I37323d0e03ff069354e41d53cb43ce89b55f5a8f</t>
  </si>
  <si>
    <t>CTS tests for IntFunction flag and enum mappings
Bug: 124448834
Test: atest android.view.inspector.cts android.processor.view.inspector.cts
Change-Id: Id87c837476c9ef036b662ae1362140b86bb6523a</t>
  </si>
  <si>
    <t>Refactor redundant MidiEchoTestService from CTS &amp; CTSVerifier
Bug: 127840548
Test: build, run
Change-Id: If8913d3ef0a5391901894de03d4d8f43df3728b2</t>
  </si>
  <si>
    <t>Remove testDisallowSetUserIcon_allowed() from CTS.
UserManager.getUserIcon() should be protected by privileged permission
MANAGE_USERS which can't be granted by CTS so that it's unable to
validate the result of DevicePolicyManager.setUserIcon().
Remove testDisallowSetUserIcon_allowed() from CTS auto test.
(Will add a manual test for setUsericon().)
Bug: 127771754
Test: Manually. There should be no testDisallowSetUserIcon_allowed in
MixedDeviceOwnerTest.
Change-Id: I4b35ef7d0ebe881a3af8fdd680c9d0ec038cd68e</t>
  </si>
  <si>
    <t>Add CTS tests for new delegated API metrics
Test: atest com.android.cts.devicepolicy.MixedDeviceOwnerTest#testDelegationPackageInstallation
Test: atest com.android.cts.devicepolicy.MixedDeviceOwnerTest#testDelegation
Test: atest com.android.cts.devicepolicy.MixedManagedProfileOwnerTest#testDelegationCertSelection
Bug: 122639711
Change-Id: I520dbd050e674465996416335e21fedbe06842f3</t>
  </si>
  <si>
    <t>New autofill test:
Test: atest CtsAutoFillServiceTestCases:android.autofillservice.cts.LoginActivityTest#testAutoFillNoDatasets_multipleFields_alwaysNull
Bug: 128551128
Change-Id: I84be26505fef4d12b4b6ea0d880c012ae65558d9</t>
  </si>
  <si>
    <t>Wifi: Rename class name WifiManager_WifiLockTest
This commit renames both the class name and the file name from
WifiManager_WifiLockTest into WifiLockTest since WifiManager is implied
from the package and directory hierarchy.
Bug: 34905427
Test: atest android.net.wifi.cts
Change-Id: Iaade2ba98cb1608384c2527eddb29bb6d020bf78</t>
  </si>
  <si>
    <t>Revert "Verify that Paint#isFilterBitmap defaults to true"
This reverts commit fd0a6da7e815d071e66317fc5994320afeef6998.
Reason for revert: cts failure, b/128641982
Change-Id: I60e23393885929b34e3621f808f433ba7a118125</t>
  </si>
  <si>
    <t>Improve logging in CtsStagedInstallHostTestCases
Should make it easier to debug failures.
* Add a hook to print out staged sessions before test run and after it
  failed;
* Cleanup staged sessions between tests.
* Add logging to LocalIntentSender.
Test: atest CtsStagedInstallHostTestCases
Bug: 123740983
Change-Id: I44d61a511f1a676a63c1880ef5236b882308559f</t>
  </si>
  <si>
    <t>Change get/setAppDetailsActivityEnabled to get/setSyntheticAppDetailsActivityEnabled
Bug: 127713970
Test: atest com.android.cts.devicepolicy.LimitAppIconHidingTest
Change-Id: I455f139f51e07044297c5a29f08f21377fb83539</t>
  </si>
  <si>
    <t>CTS tests for getStagedSessions()
Fix: 123716835
Bug: 123740983
Test: atest --test-mapping cts/hostsidetests/stagedinstall
Change-Id: I758bcf4c9bf33c9fe19cd2cf7ae56211c02406c3</t>
  </si>
  <si>
    <t>Revert "Change get/setAppDetailsActivityEnabled to get/setSyntheticAppDetailsActivityEnabled"
This reverts commit 06440c2a84e6510b91d0b57d9affb8de5693318f.
Reason for revert: &lt;INSERT REASONING HERE&gt;
Change-Id: I89190cc77e6027e793f83a6dc9a0cb5ebfb7227a</t>
  </si>
  <si>
    <t>Revert "Revert "Change get/setAppDetailsActivityEnabled to get/setSyntheticAppDetailsActivityEnabled""
This reverts commit 0104be8e3b27720f2bbed7c9153e73cb4c26b278.
Reason for revert: The revert CL broke master as it's already fixed.
Original change CL comment:
Change get/setAppDetailsActivityEnabled to get/setSyntheticAppDetailsActivityEnabled
Bug: 127713970
Test: atest com.android.cts.devicepolicy.LimitAppIconHidingTest
Change-Id: I4d3df12009ab1c42f5f979dd084a3559b6d45b6d</t>
  </si>
  <si>
    <t>Remove carrierapi2 CTS module
The carrierapi2 module was originally added as a CTS module when
only subscriber identifiers were going to be accessible to carrier
privileged apps; this module verified the behavior when a carrier
privileged app targeting pre-Q requested a device identifier. Since
carrier privileged apps now have access to all device identifiers
and the behavior is consistent regardless of target SDK this module
is being removed.
Fixes: 127318246
Test: m cts -j
Change-Id: Ia55b6dd2afc16a7f06814ccfe282097e88013bd0</t>
  </si>
  <si>
    <t>Revert "Add test case for invalid font loading"
This reverts commit f06f5486579e9214594ca76cd78fdea30ce5c287.
Reason for revert:
This breaks CTS. Looks like even in old devices, we tells errors to
developers. Just suppression is not a right solution here.
Change-Id: I7891b96ba64868a78570475bd1483393ab770d69</t>
  </si>
  <si>
    <t>Test MediaCodec output switch between [Surface,Texture]View
Expected behavior:
Video output should alternate between top &amp; middle third of device every
5 seconds.
Bug: 77587053
Test: this
Change-Id: Ic28f77122e1ce62c1fe75f0afd10e96ffbccc594</t>
  </si>
  <si>
    <t>Renamed NetworkRegistrationState to NetworkRegistrationInfo
API review changes. The class covers more information other than
registration state.
Test: Build
Bug: 127657991
Change-Id: Ieddf7d129d2edbdd3d44c05957f908105d829bd8</t>
  </si>
  <si>
    <t>Camera: Test low latency suggested streams
Check whether all recommended low latency stream
configurations are able complete capture requests
within a given end-to-end threshold.
Bug: 128450197
Test: Camera CTS
Change-Id: Ie4ab523e379ca0e4ec75f3cc4f1b377450bbcedc</t>
  </si>
  <si>
    <t>Improve test for the changing of DnsResolver
1. Done for some code-style nits.
2. Update tests because AnswerCallback of DnsResolver is changed.
Bug: 124882626
Test: built, flashed, booted
      atest DnsResolverTest
Change-Id: Ie862c7ea5077f56fd9a4d96baf3f466b65db93d8</t>
  </si>
  <si>
    <t>Emergency API review
Remove 'current' in Emergency APIs
Test: Treehugger
Bug: 122368381
Bug: 123241078
Merged-In: I00ea5b4592d06f81486126cb85584554d1e097b0
Change-Id: I00ea5b4592d06f81486126cb85584554d1e097b0</t>
  </si>
  <si>
    <t>Checks for battery-less devices drop leanback hacks
The "leanback" feature was used to override Android reporting of
battery presence, since a fake "battery is present" indication was
provided for battery-less systems until recently.  The leanback
feature was used to detect Android TV devices that do not have
batteries managed by the Android system.  Remove those checks and
rely on a proper "battery present" intent extra from BatteryManager
instead.
Bug: 34507420
Test: ConnectivityScreenOffTestActivity, BatteryIncidentTest,
      BatteryStatsValidationTest
Change-Id: I35fb68150c3eb2cf27126d170814064b7d05002f</t>
  </si>
  <si>
    <t>Test dual storage permission model
Test: atest CtsPermissionTestCases:android.permission.cts.DualStoragePermissionModelTest
Bug: 126785920
Change-Id: I330f16f80fcdcfa0a9a6f3d8e09d614b8314dec5</t>
  </si>
  <si>
    <t>Remove SubscriptionManager#setMetered API.
Bug: 123661746
Test: sanity
Change-Id: I57c8bf6dc93aaa68a48046e484ee0128e988e65d</t>
  </si>
  <si>
    <t>Remove ServiceState.copyFrom() testing.
CTS for ServiceState includes a nested subclass for ServiceState.
However, ServiceState implements Parcelable and all 'Parcelables' are
required to be final, per the Android API Guidelines
(go/android-api-guidelines).
Bug: 74207290
Test: atest CtsTelephonyTestCases:ServiceStateTest
Change-Id: Ifd6653b906b95c6d76999d584b95b8d5820413fc</t>
  </si>
  <si>
    <t>Add test for AudioManager.ACTION_SPEAKERPHONE_STATE_CHANGED
Fix MyBlockingIntentReceiver utility class to check which intent
  is received.
Add test to verify calling AudioManager.speakerphoneOn() does
  trigger the firing of the ACTION_SPEAKERPHONE_STATE_CHANGED
  intent.
Bug: 74541410
Test: atest android.media.cts.AudioManagerTest#testSpeakerphoneIntent
Change-Id: I269b8d9651908120f9d3d948cda6f7e14a85feca</t>
  </si>
  <si>
    <t>New tests for Augmented Autofill when the standard service used FillResponse.disableAutofill()
Test: atest CtsAutoFillServiceTestCases:android.autofillservice.cts.augmented.DisableAutofillTest
Bug: 123099744
Change-Id: I9af2c591cb43179bad8e0125ca285f4d36868eda</t>
  </si>
  <si>
    <t>Cleanup CTS test ServiceStateTest.
ServiceStateTest has a single test method that tests a variety of
unrelated functions. This should be broken into several smaller
functions, each testing its own instance of ServiceState.
Bug: 74207290
Test: CtsTelephonyTestCases:ServiceStateTest
Change-Id: Ic6bf7b78a4fea722754e32f8092d11f835e9b73c</t>
  </si>
  <si>
    <t>Address feedback on MediaTimestamp, SubtitleData and TimeMetadata
Test: MediaTimestampTest, SubtitleDataTest, TimeMetadataTest
Bug: 128547839, Bug: 128460405
Change-Id: Ie1511dfe5dfbad69ece6121cb5690ba27cba8480</t>
  </si>
  <si>
    <t>Remove unused @InspectableNodeName tests
Bug: 128997046
Test: atest CtsViewInspectorAnnotationProcessorTestCases
Change-Id: I9574924e9a479a25773c3b3488ad673209c6d4e5</t>
  </si>
  <si>
    <t>Exclude PrivappPermissionsTest from CTS instant
and some other small cleanups.
Fixes: 128923331
Test: atest --instant CtsPermission2TestCases:android.permission2.cts.PrivappPermissionsTest
      atest CtsPermission2TestCases:android.permission2.cts.PrivappPermissionsTest
Change-Id: Idda291f515a1f0bd6f2d4021534faa263f90b169</t>
  </si>
  <si>
    <t>Use ProxyFileDescriptorCallback instead of DataSourceCallback
Test: MediaPlayer2Test
Bug: 128461264, Bug: 126701061
Change-Id: I8121660baebe9264478091d9bc1d4f337cfba6f9</t>
  </si>
  <si>
    <t>Add cts test cases for NetworkCallback.onBlockedStatusChanged
Bug: 118862340
Test: atest HostsideNetworkCallbackTests
Change-Id: Ic19b3b648a94adf4449393beb9b30ad7a7dc2283</t>
  </si>
  <si>
    <t>Respond to API feedback on DIRECTORY columns.
Internal feedback asked for more documentation, and feedback from
external teams (at least Photos and Camera) was the ability to store
files at arbitrary directory depths.
We now offer a single PATH column, which gives callers more precise
control over file placement.  The old DIRECTORY columns remain
intact for now, and are temporarily accepted to support apps
developing against the preview SDKs.
Bug: 127657692, 123967243
Test: atest MediaProviderTests
Test: atest cts/tests/tests/provider/src/android/provider/cts/MediaStore*
Exempt-From-Owner-Approval: trivial tests
Change-Id: I0dbbbab39f9e3ba24f7bfd946f31859f95f3175e</t>
  </si>
  <si>
    <t>DO NOT MERGE: Remove test for none public APIs
Bug: 129015281
Test: make cts
Change-Id: I1d80648b6df2a3a8ca142c000d6e2283004e1711</t>
  </si>
  <si>
    <t>Ignore LauncherAppsTest CTS tests properly.
Updated the tests to be ignored individually instead of on a class
level.
Also updated the registerAppUsageLimitObserver API usage since the
previous API was deprecated and removed.
Bug: 129135382
Test: ignored - android.content.pm.cts.LauncherAppsTest
Change-Id: Id0c5efeda7ecd887b82da4a7589d31acc6260560</t>
  </si>
  <si>
    <t>Disables the Content Capture kill switch before each test.
Test: atest CtsContentCaptureServiceTestCases
Fixes: 129134745
Change-Id: I4c727c1e071f5ac3a0827248800744fd1229dc0d</t>
  </si>
  <si>
    <t>aw: Fix WebViewZoomTest for Instant Mode
This CL fixes two parts in WebViewZoomTest
- Call WebView.requestFocus() explicitly to make sure the Activity
  has focus.
- Migrate the test to only use https URLs by passing
  SslMode.TRUST_ANY_CLIENT, and let WebView ignore the fake credential.
Bug: 128934644
Test: run cts -m CtsWebkitTestCases -t android.webkit.cts.WebViewZoomTest
Test: run cts -m CtsWebkitTestCases -t android.webkit.cts.WebViewZoomTest --enable-parameterized-modules --module-parameter INSTANT_APP
Change-Id: I33a51c92badd279e9c9bda52b5521e868d3d42d7</t>
  </si>
  <si>
    <t>remove submitPduTest as the constructor is not public
Bug: 127574259
Test: CTS
Change-Id: Ia64c578a3e77ab33f175aec2a02615d598238d94</t>
  </si>
  <si>
    <t>Using library module for MidiEchoServer.
Bug: 129263975
Test: build, run.
Change-Id: I899a5d714a1b4dabebb14612281f58437afb1203</t>
  </si>
  <si>
    <t>move short code definitions to SmsManager Test API
Bug: 127560420
Test: cts
Change-Id: I8fd51b97a8d35f42767c9867f43f7271f8191fc4</t>
  </si>
  <si>
    <t>remove test for gsmSmsManager which is deprecated
gsm.Smsmanager is replaced by android.telephony.SmsManager
that supports both GSM and CDMA.
Bug: 127589214
Test: cts
Change-Id: I220f4a4330777ab52199376406135e928cd22c87</t>
  </si>
  <si>
    <t>Add more tests around android.text.format.Time
Add regression tests for Time near 32-bit saturation point.
These tests also ensure that java.util.TimeZone /
java.util.Calendar behavior matches Time around these points.
Bug: 118835133
Test: See associated libcore commit
Change-Id: I916698c6bb063e700a147faa764f80085bd882e3</t>
  </si>
  <si>
    <t>CTS test for explicit broadcast.
The test, as it's written now, would fail if the broadcast was not
explicitly directed at the installer package name.
Bug: 124897340
Test: atest CtsStagedInstallHostTestCases
Change-Id: I3f08547de56b3f9a5d1394136e7a4d4490b378bd</t>
  </si>
  <si>
    <t>CtsGpuToolsHostTestCases: Switch to time and tag for logcat
Since HWUI can now be using Vulkan, our negative tests that
ensure release apps can't find layers will cause the app to
close. When that happens, we can't find the process id of
the running test, causing our tests to abort.
Instead, we can isolate the logs based on time (when the app
was launched) and interesting tags (like app and layer name).
Bug: 128926533
Bug: 110883880
Test: atest CtsGpuToolsHostTestCases
Change-Id: I1efdfdd1ececb61af4a549ddfd6f1dcb04f8b4d2</t>
  </si>
  <si>
    <t>Revert "Added a test that always fail to make sure we're running the suite."
This reverts commit 16ba1dd7a9a5a38cb217b35a7a2c4ac55273dddd.
Test: atest CtsContentCaptureServiceTestCases:CanaryTest
Fixes: 129476944
Bug: 128571561</t>
  </si>
  <si>
    <t>Refactor CTS tests to make updates easier
This is the first part of going after the flaky tests by doing some
initial code cleanup to make additional changes cleaner/easier.
This bulk is doing a static import of CtsAngleCommon and then collecting
the calls to get/set Global.Settings values.
Bug: 128422841
Test: atest CtsAngleIntegrationHostTestCases
Change-Id: Ie73c54a4f114d2d614de78ad355583dd3275f664</t>
  </si>
  <si>
    <t>Remove SubscriptionManager#setMetered API.
Bug: 123661746
Test: sanity
Change-Id: I57c8bf6dc93aaa68a48046e484ee0128e988e65d
Merged-In: I57c8bf6dc93aaa68a48046e484ee0128e988e65d</t>
  </si>
  <si>
    <t>Remove call identification APIs.
Removing the CallIdentification API surface.
Test: Build, run tests.
Bug: 129531123
Change-Id: I630d27808f6de141f5bc88cf1e2417d1b8d2713d</t>
  </si>
  <si>
    <t>Apps using storage must have runtime permission.
A major goal of the Q release is to promote user transparency around
permission usage, and to also give user controls over those
permissions.  To further this goal, all apps requesting the
internal WRITE_MEDIA_STORAGE permission must also request (and be
granted) the "Storage" runtime permission in order to gain the
associated access.
If the user revokes the "Storage" runtime permission, then the app
must lose all access granted to it via WRITE_MEDIA_STORAGE.
Bug: 129144016
Test: atest android.permission.cts.ProviderPermissionTest#testWriteMediaStorage
Exempt-From-Owner-Approval: fixing existing tests
Change-Id: I1d013c7a401a372dcff6a48bb0bf0e22243702d0</t>
  </si>
  <si>
    <t>Add test when child session fails commit
Bug: 124290174
Test: atest CtsAtomicInstallTestCases:AtomicInstallTest#testChildFailurePropagated
Change-Id: I9be6ca8804876ad7b2b5379ac3f0f4d52eb50492</t>
  </si>
  <si>
    <t>Remove test/APIs related to dual permission model
Test: atest android.appsecurity.cts.PermissionsHostTest
            android.permission.cts.SplitPermissionTes
	    android.permission.cts.PermissionFlagsTest
	    android.permission2.cts.PermissionPolicyTest#testPlatformPermissionPolicyUnaltered
Change-Id: Ica6b51158d08fd2f56b6307d9a2c93a2a96c5f89</t>
  </si>
  <si>
    <t>Add test for don't ask again when requesting roles.
Bug: 128713569
Test: atest RoleManagerTest
Change-Id: I2e97e5f9b0f5771745755ccfd8a7024db0e05878</t>
  </si>
  <si>
    <t>Fix API council review feeback
Change getSupportedOffHostSecureElements to @hide so remove from CTS
test
Bug: 128831640
Test: build pass
Change-Id: I033eb7c552f65efc694fad05771f9ea7075b78be</t>
  </si>
  <si>
    <t>Revert "Add test for FEATURE_NFC_OFF_HOST_CARD_EMULATION_UICC/ESE"
This reverts commit 056907a75762e2beaaf0c2bb57b95f55a3d01b0e.
Reason for revert: getSupportedOffHostSecureElements change to @hide
Change-Id: I8314b8d6d35da95dc4ed757a2c9aa6fe361c6493
Merged-In: I033eb7c552f65efc694fad05771f9ea7075b78be</t>
  </si>
  <si>
    <t>Camera: Relax logical camera stream combination requirement
- Update CTS to handle relaxed requirement for both public API and NDK.
- Added stream combination support query in Camera ITS.
Test: Camera CTS and ITS
Bug: 119325664
Change-Id: Ibcf418baccfcd9672d83f36eaf81671f3d514334</t>
  </si>
  <si>
    <t>RRO Policy CTS Tests
Added CTS tests to test that overlays installed on /data cannot overlay
resources with policies system/vendor/product and can only overlay
public and signature resources.
Bug: 116512274
Test: atest CtsAppSecurityHostTestCases:OverlayHostTest
Change-Id: Id54ff41c7877aad800be01577cff319106ce5dd0</t>
  </si>
  <si>
    <t>Disable third party in call service tests
Bug: 129778256
Change-Id: Ifca0b291c0dd54d5b79908fb827771ac1e980551
Test: CTS</t>
  </si>
  <si>
    <t>Remove Game Rotation Vector Batch Size Test
The Game Rotation Vector's (GRV) batch size requirement is being
removed (ag/6902964). This change removes the corresponding test.
Bug: 123996403
Test: Builds
Change-Id: I7a4edfcac62499e733eb8acea26d3f5c99432368</t>
  </si>
  <si>
    <t>Remove DELEGATION_PACKAGE_INSTALLATION
Bug: 112982695
Test: atest MixedDeviceOwnerTest.testDelegation
Change-Id: If75585f0d287d8d7ac6e6573b04625a126ee3ea1</t>
  </si>
  <si>
    <t>Add CTS test for TM#iccTransmitApduLogicalChannel.
Test valid series of APDU commands to a UICC with
TelephonyManager#iccTransmitApduLogicalChannel.
Bug: 122974140
Test: atest CtsCarrierApiTestCases:CarrierApiTest
Change-Id: Ic960f07c6e1d6ed6b86fb4953e9d5417ac422e8e</t>
  </si>
  <si>
    <t>Remove ProtoInputStream Cts tests
Test: atest CtsProtoTestCases
Bug: 115635242
Change-Id: Ie5ccea4a6b0c4a34fe66e9e7875cf93865f5975d</t>
  </si>
  <si>
    <t>cts: Retstrict EXIF location to apps having FINE location permissions.
Add tests to make sure that apps with BACKGROUND, COARSE and MEDIA location
permissions don't get location information in exif data on capturing
images / recording videos through intents.
Bug: 129953514
Test: runtest -x MediaStoreUiTest.java
Change-Id: Iee57253625b1901ee122969590449828cff50b69
Signed-off-by: Jayant Chowdhary &lt;jchowdhary@google.com&gt;</t>
  </si>
  <si>
    <t>Update tests for updated storage design.
Confirms that older apps aren't placed in sandbox, newer apps are
placed in sandbox by default, and that they can opt-out using the
new manifest flag.
Bug: 129487770
Test: atest android.appsecurity.cts.ExternalStorageHostTest
Exempt-From-Owner-Approval: trivial tests
Change-Id: Ib78f6891a342ce76488bdeb48d0893b83615210a</t>
  </si>
  <si>
    <t>Restricted permission mechanism - CTS
This change adds a mechanism for restricting permissions (only runtime
for now), so that an app cannot hold the permission if it is not white
listed. The whitelisting can happen at install or at any later point.
There are three whitelists: system: OS managed with default grants
and role holders being on it; upgrade: only OS puts on this list
apps when upgrading from a pre to post restriction permission database
version and OS and installer on record can remove; installer: only
the installer on record can add and remove (and the system of course).
Added a permission policy service that sits on top of permissions
and app ops and is responsible to sync between permissions and app
ops when there is an interdependecy in any direction.
Added versioning to the runtime permissions database to allow operations
that need to be done once on upgrade such as adding all permissions held
by apps pre upgrade to the upgrade whitelist if the new permisison version
inctroduces a new restricted permission. The upgrade logic is in the
permission controller and we will eventually put the default grants there.
NOTE: This change is reacting to a VP feedback for how we would handle
SMS/CallLog restriction as we pivoted from role based approach to roles
for things the user would understand plus whitelist for everything else.
This would also help us roll out softly the storage permisison as there
is too much churm coming from developer feedback.
Exempt-From-Owner-Approval: Update tests due to removed API
Test: atest CtsAppSecurityHostTestCases:android.appsecurity.cts.PermissionsHostTest
Test: atest CtsPermissionTestCases
Test: atest CtsPermission2TestCases
Test: atest RoleManagerTestCases
Test: atest CtsTelephonuTestCases
bug:124769181
Change-Id: Ia41b96f7be8a70bd593110a28fcceaa1d08ae2f1</t>
  </si>
  <si>
    <t>Add CTS test for TM#iccTransmitApduLogicalChannel.
Test valid series of APDU commands to a UICC with
TelephonyManager#iccTransmitApduLogicalChannel.
Bug: 122974140
Test: atest CtsCarrierApiTestCases:CarrierApiTest
Merged-In: Ic960f07c6e1d6ed6b86fb4953e9d5417ac422e8e
Change-Id: Ic960f07c6e1d6ed6b86fb4953e9d5417ac422e8e
(cherry picked from commit 446c280de2b061d9d561bd8e078ebe57e4743fcb)</t>
  </si>
  <si>
    <t>remove test for gsmSmsManager which is deprecated
gsm.Smsmanager is replaced by android.telephony.SmsManager
that supports both GSM and CDMA.
Bug: 127589214
Test: cts
Change-Id: I220f4a4330777ab52199376406135e928cd22c87
(cherry picked from commit e17aa4c7c0ce302d86af83a8254e7fe037c794a6)
Merged-in: I220f4a4330777ab52199376406135e928cd22c87</t>
  </si>
  <si>
    <t>Add and update CTS test cases for CarInfoManager
Add and update CTS test cases for CarInfoManager
Bug: 124914164
Test: atest CtsCarTestCases:CarInfoManagerTest
Change-Id: I06073e513004c34947362366dcd0522dbdd71161</t>
  </si>
  <si>
    <t>DnsResolver cts changes to match API council requests
Bug: 129261432
Test: atest DnsResolverTest
Change-Id: I803f10218a01614ba7fb26597971853e602273c6</t>
  </si>
  <si>
    <t>Reboot device after requesting bug report to clean state.
Test: atest CtsDevicePolicyManagerTestCases:com.android.cts.devicepolicy.DeviceOwnerTest -- --abi x86
Fixes: 127272869
Change-Id: Ifaf71d3f4fe6ff87416237ac7641d5751d5aedaf</t>
  </si>
  <si>
    <t>Disable third party in call service tests
Bug: 129778256
Merged-In: Ifca0b291c0dd54d5b79908fb827771ac1e980551
Change-Id: Ifca0b291c0dd54d5b79908fb827771ac1e980551
Test: CTS
(cherry picked from commit 8167a8f78993e20ef90ef64bd3728192ffa86a3b)</t>
  </si>
  <si>
    <t>Split VOLUME_EXTERNAL and VOLUME_PRIMARY.
To let developers focus on specific concrete storage devices in Q,
we need a volume name that can be used to point at the primary
external storage device.  We had been using VOLUME_EXTERNAL for that,
but we've heard that certain apps are making deep assumptions that
media item IDs are globally unique across all volumes.
Thus these changes merge all volumes back into a single underlying
database, and VOLUME_EXTERNAL works with all of the currently
attached volumes.  The new VOLUME_PRIMARY name can be used to focus
on the primary storage device when desired.
When developers try inserting items directly into VOLUME_EXTERNAL,
we gracefully assume they meant VOLUME_PRIMARY.
Bug: 128451765
Test: atest --test-mapping packages/providers/MediaProvider
Change-Id: If2281708bc3965f83c6d5f383fbf6aecce54a67e</t>
  </si>
  <si>
    <t>Changes for renamed API
Test: this
Bug: 130224929
Change-Id: I082b98a844c739dba96a7575fb5037447852d9f3</t>
  </si>
  <si>
    <t>Remove use of deprecated test frameworks in telephony CTS.
Several tests in the CtsTelephonyTestCases package use deprecated test
frameworks, specifically AndroidTestCase and InstrumentationTestCase.
These will be replaced with the AndroidJUnit4 test runner and JUnit test
frameworks. Deprecated frameworks:
https://developer.android.com/reference/android/test/AndroidTestCase
https://developer.android.com/reference/android/test/InstrumentationTestCase
https://developer.android.com/reference/android/test/ServiceTestCase
Bug: 130185502
Test: atest CtsTelephonyTestCases
Change-Id: I443d106792074f8b69b2d424570a3bf23a65ca8e</t>
  </si>
  <si>
    <t>DnsResolver cts changes to match API council requests
Bug: 129261432
Test: atest DnsResolverTest
Merged-In: I42df921cc3bb01ea25a671d5a1af678a6d3f5872
(cherry picked from commit 2ca7a999cf588fd79c8ac092896abc610df14948)
Change-Id: Ibcb92ac23cf413322234bba9100293ab794cf50e</t>
  </si>
  <si>
    <t>MediaSession2: Introduce connection hints
This CL also introduces MediaController2.Builder class.
Bug: 130019578
Test: atest CtsMediaTestCases:android.media.cts.MediaSession2Test;
      atest CtsMediaTestCases:android.media.cts.MediaController2Test;
      atest CtsMediaTestCases:android.media.cts.MediaSession2ServiceTest;
Change-Id: I3b2763737063916d53999ffe512373822c4d5e43</t>
  </si>
  <si>
    <t>[CTS] Remove dataChanged for profile k/v scheduled job test
When a new package is installed, the backup service already calls
dataChanged() on the package, so we don't need to manually invoke it in
our test.
Bug: 129476019
Test: atest android.cts.backup.ProfileScheduledJobHostSideTest
Change-Id: I742e6b51a4af3a7c36ee230d10fd089369403444</t>
  </si>
  <si>
    <t>Remove use of deprecated test frameworks in telephony CTS.
Several tests in the CtsTelephonyTestCases package use deprecated test
frameworks, specifically AndroidTestCase and InstrumentationTestCase.
These will be replaced with the AndroidJUnit4 test runner and JUnit test
frameworks. Deprecated frameworks:
https://developer.android.com/reference/android/test/AndroidTestCase
https://developer.android.com/reference/android/test/InstrumentationTestCase
https://developer.android.com/reference/android/test/ServiceTestCase
Bug: 130185502
Test: atest CtsTelephonyTestCases
Merged-In: I443d106792074f8b69b2d424570a3bf23a65ca8e
Change-Id: I443d106792074f8b69b2d424570a3bf23a65ca8e</t>
  </si>
  <si>
    <t>Remove MediaPlayer2-related CTS tests
Test: m -j32 cts
Bug: 130420617
Change-Id: I43362244caf78b12597466b0ed14f5cea49c9763</t>
  </si>
  <si>
    <t>Added test to check clipboard access.
Bug: 119440304
Test: atest CtsContentCaptureServiceTestCases:android.contentcaptureservice.cts.ClipboardAccessTest
Test: atest CtsContentCaptureServiceTestCases # sanity check (minus flakiness)
Change-Id: Icd0ed17ac31da0beda2cd3a44ff74dde3c131554</t>
  </si>
  <si>
    <t>DO NOT MERGE - Removed content capture tests for standard views.
Bug: 129982633
Test: atest CtsContentCaptureServiceTestCases
Change-Id: Ie3100d997bb1f839e71a192fb42427fb04a6ffde</t>
  </si>
  <si>
    <t>Revert "Add test for FEATURE_NFC_OFF_HOST_CARD_EMULATION_UICC/ESE"
This reverts commit 056907a75762e2beaaf0c2bb57b95f55a3d01b0e.
Reason for revert: getSupportedOffHostSecureElements change to @hide
Test: build pass
Bug: 128831640
Change-Id: I8314b8d6d35da95dc4ed757a2c9aa6fe361c6493
Merged-In: I033eb7c552f65efc694fad05771f9ea7075b78be</t>
  </si>
  <si>
    <t>Revert "Remove use of deprecated test frameworks in telephony CTS."
This reverts commit 3d6972a62fed55f200720738703df55d33248933.
Reason for revert: Broke the build. Reverting to fix aosp build
Change-Id: Iea5011887a96fe7608ce1fe86c9d64d9f55f48a5</t>
  </si>
  <si>
    <t>Add missing testcases covering single active staged session invariant
* Assert that getActiveStagedSession works for the multi-apk case.
* Assert all 4 scenarios failing commit if there is an active session:
  * non-multi-apk active session, non-multi-apk committed session;
  * non-multi-apk active session, multi-apk committed session;
  * multi-apk active session, non-multi-apk committed session;
  * multi-apk active session, multi-apk committed session;
Test: atest CtsStagedInstallHostTestCases
Bug: 123740983
Change-Id: I1a88d5a6bb4633eb673901ec5c8337a95bbb4a4a</t>
  </si>
  <si>
    <t>Update CTS for TextClassifierEvent
Bug: 129344540
Test: atest cts/tests/tests/view/src/android/view/textclassifier/cts/
Change-Id: I3156f58b1983142672d9f8e0ffb85101717b97f0</t>
  </si>
  <si>
    <t>Remove MediaItem2 test
Bug: 130579223
Test: build
Change-Id: I4b1e8f458bc0b99d0b16646637ac6da09e9c35b5</t>
  </si>
  <si>
    <t>Rename Session2Command methods
Bug: 130580655
Test: atest CtsMediaTestCases:android.media.cts.Session2CommandTest
Change-Id: Ie3d13202481e9f828071ed80cbea0cc02ec97042</t>
  </si>
  <si>
    <t>Add RSE support for update() and delete().
We already had RSE support in place for opening a file for write
access, but this change adds support for update() and delete() too,
along with tests to verify for all common collections.
Bug: 129014648
Test: atest android.appsecurity.cts.ExternalStorageHostTest
Exempt-From-Owner-Approval: trivial test change
Change-Id: Iffda1da02578e15888b916898f0f066e979d8d09</t>
  </si>
  <si>
    <t>Revert "Revert "Remove use of deprecated test frameworks in telephony CTS.""
This reverts commit 47aa4a86dbdb3d16e848dbdd0e0f8cb0a8d9d8e5.
Reason for revert: fix for break to downstream branches included.
Bug: 130185502
Test: atest CtsTelephonyTestCases
Change-Id: Ic3d6e51b336d0774ba90b2a32046f894c46fb968
Merged-In: I443d106792074f8b69b2d424570a3bf23a65ca8e</t>
  </si>
  <si>
    <t>New tests for augmented autofill on wrapped contexts.
Test: atest AugmentedNotImportantForAutofillWrappedActivityContextTest \
      AugmentedNotImportantForAutofillWrappedApplicationContextTest
Bug: 130585342
Change-Id: Icb51279c5c0a51c8a0e24aac97712040291d20f8</t>
  </si>
  <si>
    <t>Remove BufferingParams from TestApi.
This class was missed when hiding MediaPlayer2.
Test: make update-api &amp; cts
Bug: 130420617
Change-Id: I15e78d84772ff515fb4c1ea0f22d66956e95f2ec</t>
  </si>
  <si>
    <t>Revert "Revert "Revert "Remove use of deprecated test frameworks in telephony CTS."""
This reverts commit 0fa57ec46cf3ccd979297a10c6ae236f34d30542.
Reason for revert: cts-cleanup topic is causing build failures
Change-Id: I18b8218f33909a5aca0158eca400aae30155943d</t>
  </si>
  <si>
    <t>Remove use of deprecated test frameworks in telephony CTS.
Several tests in the CtsTelephonyTestCases package use deprecated test
frameworks, specifically AndroidTestCase and InstrumentationTestCase.
These will be replaced with the AndroidJUnit4 test runner and JUnit test
frameworks. Deprecated frameworks:
https://developer.android.com/reference/android/test/AndroidTestCase
https://developer.android.com/reference/android/test/InstrumentationTestCase
https://developer.android.com/reference/android/test/ServiceTestCase
Bug: 130185502
Test: atest CtsTelephonyTestCases
Change-Id: I25df7d6fa1e36b707baf9e81108c6e997f743ede
Merged-In: I6e9295edf67dc3ae17220adaef98045f8907693b</t>
  </si>
  <si>
    <t>Added CTS tests for BlendMode API changes to widget package
Added CTS tests to verify additional BlendMode behavior
across various Android framework Views
Bug: 126726419
Test: this
Change-Id: Id735cf11d236dadc93d644ee3ab36a71e346633e</t>
  </si>
  <si>
    <t>Make storage a restricted permission - CTS
This change makes storage a soft restricted permission. When the
permission is whitelisted for an app then hodlding it allows the
app to access the full SD card as on a P device. If howerver, the
permisison is not whitelisted for an app then holding it allows
accessing the visual/aural collections in media store while the
app would run in its own isolated storage sandbox.
This change also connects the opt in/out application attribute
to how external storage is mounted remocing temporary code. The
attribute was renamed to convey that opting in legacy mode is
not somethung that is desirable or would be available in the long
run.
While at this fix the restricted permission tests to not run
in instant mode as these permissions are not allow for instant
apps.
bug:130327036
bug:130320187
atest CtsPermission2TestCases
atest CtsPermissionTestCases
atest CtsAppOpsTestCases
atest atest CtsAppSecurityHostTestCases:android.appsecurity.cts.ExternalStorageHostTest
atest CtsAppSecurityHostTestCases:android.appsecurity.cts.PermissionsHostTest
Change-Id: I1c00419839b73dfb2a983a397d60b3f7b4f314bd</t>
  </si>
  <si>
    <t>CTS for the CL that moves locale from LanguageDetectionEvent to TCEvent
Test: atest cts/tests/tests/view/src/android/view/textclassifier/cts/
BUG: 129344540
Change-Id: I33d66ccaf0f04f02d325576cdea973bcc1c7c147</t>
  </si>
  <si>
    <t>Added CTS tests for BlendMode API changes to widget package
Added CTS tests to verify additional BlendMode behavior
across various Android framework Views
Bug: 126726419
Test: this
Change-Id: Id735cf11d236dadc93d644ee3ab36a71e346633e
Merged-In: Id735cf11d236dadc93d644ee3ab36a71e346633e</t>
  </si>
  <si>
    <t>Start bringing back legacy storage tests.
When APKs ask for the legacy storage world, we need the old tests to
verify they get the access they've been granted.  (For example, an
app only granted READ_EXTERNAL_STORAGE, etc.)
Bug: 130619210, 130566083
Test: atest android.appsecurity.cts.ExternalStorageHostTest
Exempt-From-Owner-Approval: trivial test changes
Change-Id: I7bf75a87663f566d737dd12bd0085085a769a5b0</t>
  </si>
  <si>
    <t>CtsSecurityTestCases: delete obsolete test cases
These test cases are nasty chunks of code which were designed to detect
bugs which have been long fixed. The maintenance burden of the test code
is greater than the benefit it provides. Delete the code.
Bug: 123605817
Test: this
Change-Id: Ic472f4165e36676b7d0bbf7880d0fdd7e4b05a11</t>
  </si>
  <si>
    <t>Revert "Test mkv whose mp3 audio frame is incomplete"
This reverts commit 170925a275e9babb7a9572f686d01c72359ccd1f.
Reason for revert: copyright ambiguities
Bug: 123590715
Change-Id: I8b6013c25a64ba92a116722031abd42d5177bbc0</t>
  </si>
  <si>
    <t>New tests for content capture whitelist.
Test: atest FrameworksCoreTests:android.content.ContentCaptureOptionsTest
Bug: 130573023
Change-Id: Ib3fd04fea974981048e1197fe4f0e90fce354346</t>
  </si>
  <si>
    <t>Delete dummy CTS test cases
Fixes: 129909356
Fixes: 130526034
Test: atest CtsWindowManagerSdk{25,28}TestCases
Change-Id: I1dcaccc0c2fb3ef413c733dea9c3df834451fad8</t>
  </si>
  <si>
    <t>New tests for content capture whitelist.
Test: atest FrameworksCoreTests:android.content.ContentCaptureOptionsTest
Bug: 130573023
Merged-In: Ib3fd04fea974981048e1197fe4f0e90fce354346
Change-Id: Ib3fd04fea974981048e1197fe4f0e90fce354346</t>
  </si>
  <si>
    <t>Remove redundant and incorrect utility code from MagnificationGestureHandlerTest.
Bug: 128917646
Test: cts-tradefed run singleCommand cts -d --module CtsAccessibilityServiceTestCases --test android.accessibilityservice.cts.MagnificationGestureHandlerTest
Change-Id: Icd2a3a126fe9e737530ea813001cc947ae4e52f6</t>
  </si>
  <si>
    <t>Add some more SurfaceControl CTS
Test reparenting off-screen, and setting layers.
Bug: 123720507
Test: atest SurfaceControlTest
Change-Id: I9829c2bc227a2f851f644985f82b3a56728661a6</t>
  </si>
  <si>
    <t>KernelSettingsTest: remove xattr test
Remove the code which asserts xattrs are compiled into the kernel. This
test, introduced in commit 4267ab6c3ea0562ba938304144fac3bbd2e731b0, was
intended to ensure that OTAs from Android 4.2.* to 4.4.* would be
successful, and is largely obsolete at this point. xattr support in the
kernel is implicit in the device running SELinux.
This test does not work on instant apps. Rather than carrying around the
burden of an effectively useless test, just delete it.
Effectively a revert of 4267ab6c3ea0562ba938304144fac3bbd2e731b0.
Bug: 13445875
Bug: 123605817
Test: this code
Change-Id: Id33860e43c2b32df8b6677d3e112381afe6e89a5</t>
  </si>
  <si>
    <t>DO NOT MERGE: Remove test for none public APIs
Bug: 130192231
Test: build
Change-Id: I330ae3b1781dd4e8a6b53b5100134f67823bad21</t>
  </si>
  <si>
    <t>Test for multiple activity starts in onCreate.
Make sure if we start two activities in onCreate the second one
succeeds.
Bug: 130645908
Test: atest BackgroundActivityLaunchTest RootWindowContainerTests \
WmTests:ActivityStarterTests \
CtsWindowManagerDeviceTestCases:ActivityStarterTests
Change-Id: I171a84e82b63b707b9436b488bb46e98414e673e</t>
  </si>
  <si>
    <t>Delete Exynos vulnerability tests.
These tests, added in 2012, have been fixed for years now. There is no
further value in testing for this vulnerability.
Effectively a revert of commit 6537494848b04482ed3127072310b01017fe62e6.
Test: compiles
Bug: 123605817
Change-Id: If83fbae63525adc6c487414ca1f54fb5d6851eaa</t>
  </si>
  <si>
    <t>Update comments for the switch to 64-bit data
Update comments in test for libcore.util.ZoneInfo's switch to using
64-bit data.
Test: See associated libcore change
Bug: 73719425
Change-Id: Ie1112798f323b819843cae4c50e118805afd9d36</t>
  </si>
  <si>
    <t>Update behavior of some DownloadManager APIs.
-- Update behavior of DownloadManager.setDestinationUri(),
   DownloadManager.setDestinationInExternalPublicDir() and
   DownloadManager.addCompletedDownload() based on the latest
   storage re-design. Essentially, going forward these APIs
   will only allow downloading files into package owned dirs
   or the top-level Download dir.
-- Allow some system components to specify
   MediaColumns.OWNER_PACKAGE_NAME when inserting items into
   MediaProvider.
-- Don't copy DownloadManager.COLUMN_TITLE to MediaProvider.
   DownloadProvider and MediaProvider have different constraints
   around "title" and there isn't really a need to keep these
   in sync.
-- Sanity check file download paths hinted by apps.
-- Remove sandbox related logic in DownloadProvider.
Bug: 120879208
Bug: 128630262
Bug: 130797842
Test: manual
Test: atest DownloadProviderTests
Test: atest cts/tests/app/src/android/app/cts/DownloadManagerTest.java
Test: atest cts/tests/app/DownloadManagerLegacyTest/src/android/app/cts/DownloadManagerLegacyTest.java
Test: atest cts/tests/app/DownloadManagerApi28Test/src/android/app/cts/DownloadManagerApi28Test.java
Test: atest cts/tests/tests/provider/src/android/provider/cts/MediaStore*
Change-Id: I4334d3345206c2dbcba12309ddb4266e333529cd</t>
  </si>
  <si>
    <t>Delete SSLConscryptPlainTextExposureTest
This test, added as part of b/73251618 and b/77875799, is intended to
test for the presence of CVE-2017-13309. However, at almost 900 lines,
this test is very complex, and the original authors are no longer in
Android. A smaller, simpler form of this test is already available at
https://android.googlesource.com/platform/external/conscrypt/+/e56958e7dea05c1784317f139e2216e2e707d391%5E%21/#F1
Since SSLConscryptPlainTextExposureTest is essentially a duplicate of an
existing test, delete it.
In particular, this test is broken when run as an instant apps, as
instant apps are not allowed to listen on a TCP port and accept incoming
connections. The downsides of maintaining this test outweigh the
upsides that this test provides.
Effectively a revert of commit 212020d5ec9cf26e4043463a9a92fc895c8c0cdc.
Bug: 73251618
Bug: 77875799
Bug: 123605817
Test: this
Change-Id: Ic2669d988e143e108baf219bd4275c950ff4b1d0</t>
  </si>
  <si>
    <t>Use WidgetTestUtils.runOnMainAndDrawSync to remove flakiness (part 6)
Bug: 128648841
Test: atest the relevant classes
Change-Id: Ib19769ed2ba138ed17ce54e28e445704edcce290</t>
  </si>
  <si>
    <t>Exempt known non-vulnerable hardware from mitigations
Start list off with SM8150 which is known to be vulnerable to
variant 2 (mitigated by CONFIG_HARDEN_BRANCH_PREDICTOR), but not
variant 3 (mitigated by CONFIG_UNMAP_KERNEL_AT_EL0).
For non-exempted arm64 hardware with kernel &gt;= 4.4, default to
requiring both CONFIG_HARDEN_BRANCH_PREDICTOR and
CONFIG_UNMAP_KERNEL_AT_EL0.
Test: atest KernelConfigTest
Bug: 124058847
Change-Id: I0df8596445db14b24f0ee7cf8256ebf54de372e3</t>
  </si>
  <si>
    <t>Revert "Revert "Delete dummy CTS test cases""
This reverts commit c910b565203b9bb4ad2efe98650c4ec3e5eee093.
Reason for revert: All references to CtsActivityManagerDeviceTestCases had been removed (b/130526034)
Change-Id: Ie5a9fbadce211765284fb19dac12c36f04e7865a
Bug: 130526034</t>
  </si>
  <si>
    <t>Restrict background activity start by task
Bug: 128772406
Test: atest android.server.wm.BackgroundActivityLaunchTest
Change-Id: I0d9ed75e55c3a7e642d258f2f845642fa5c0f3ab</t>
  </si>
  <si>
    <t>Fix RoleManager issues with Telecom CTS tests.
Change to ensure using test SDK.
Ensure MANAGE_HOLDERS_FLAG_DONT_KILL_APP is passed when setting
roles.
Disable some CallRedirectionTests which don't really do anything
anyways.
Disable testSetDefaultDialerNoDialIntent_notSupported test since
it cannot be tested with actual role manager right now.
In general, we're still using the Telecom command line to change
the default dialer, but now we're overriding what the role
manager would have set instead.
Test: Run CTS Tests; note most of them pass.
Bug: 131065482
Change-Id: Ie9b5fa4d5aaeaf8d6c3cc56e1f59b8ed41fec80f</t>
  </si>
  <si>
    <t>Move property testing out of jni code and refactor
Test: atest tests/tests/security/src/android/security/cts/EncryptionTest.java
Bug: 130302614
Change-Id: I2a68f422b4494e72e1ebbf0be714b2919b9f470d</t>
  </si>
  <si>
    <t>Test permission inheritence with shared UIDs
Permission inheritence should work for apps regardless wether they used
shared UIDs or not.
Fixes: 130707789
Test: atest CtsPermissionTestCases:android.permission.cts.SplitPermissionTest
            CtsPermissionTestCases:android.permission.cts.SharedUidPermissionsTest
Change-Id: I7dd8f35b491ac1523245bb684525bd7dd77a26de</t>
  </si>
  <si>
    <t>Use JUnit4 in AlertDialog_BuilderTest
Refactor AlertDialog_BuilderTest
The test testSetOnKeyListener still fails. To reproduce the failure, run
the entire test: "atest AlertDialog_BuilderTest".
The failure is not observed if the test is run in isolation:
"atest AlertDialog_BuilderTest#testSetOnKeyListener".
Test: atest AlertDialog_BuilderTest
Bug: 129277457
Change-Id: I954c4c211be6cea589f2dc852e381f4b0a0989f6</t>
  </si>
  <si>
    <t>Fix voice interaction test flakes and add tests
Test: atest CtsVoiceInteractionTestCases
bug:131411751
bug:129705716
bug:129148368
Change-Id: Id31d908e00250627c5fdad792a8a81e9ae106901</t>
  </si>
  <si>
    <t>Tests for validating CCM.isEnabled() after changing permissions after
session starts.
Bug: 124127364
Test: atest MixedManagedProfileOwnerTest#testDisallowContentCapture_allowed \
	MixedDeviceOwnerTest#testDisallowContentCapture_allowed \
        MixedProfileOwnerTest#testDisallowContentCapture_allowed
Test: atest CtsContentCaptureServiceTestCases
Change-Id: Id96c4ceab47636d1b4bdbbf47c007f8e11e92bb3</t>
  </si>
  <si>
    <t>Rename UsePermissionTestP0 to UserPermissionTest29
This is a part of the effort to clean up Build.VERSION_CODES.P0, which
was not formally released and should not be used.
Bug: 131601118
Test: atest PermissionsHostTest
Change-Id: I62cfd7dd06d8b9f811af6dcc97da7bbfef752c1e</t>
  </si>
  <si>
    <t>Fix RoleManager issues with Telecom CTS tests.
Change to ensure using test SDK.
Ensure MANAGE_HOLDERS_FLAG_DONT_KILL_APP is passed when setting
roles.
Disable some CallRedirectionTests which don't really do anything
anyways.
Disable testSetDefaultDialerNoDialIntent_notSupported test since
it cannot be tested with actual role manager right now.
In general, we're still using the Telecom command line to change
the default dialer, but now we're overriding what the role
manager would have set instead.
Test: Run CTS Tests; note most of them pass.
Bug: 131065482
Change-Id: Ie9b5fa4d5aaeaf8d6c3cc56e1f59b8ed41fec80f
(cherry picked from commit c8f9b8d963bfe2ba14260f32b957b981fdfa35bd)</t>
  </si>
  <si>
    <t>CtsSecurityTestCases: delete SELinuxTest
Delete the tests in SELinuxTest.java. They are duplicates of other
tests.
SELinuxTest#testCTSIsUntrustedApp - is duplicate of
https://android.googlesource.com/platform/cts/+/7b8db78fdcd1125dd8d448e7eb990521300d3bc4/tests/tests/selinux/selinuxTargetSdkCurrent/src/android/security/SELinuxTargetSdkTest.java#45
SELinuxTest#testCTSAppDataContext - is duplicate of
https://android.googlesource.com/platform/cts/+/7b8db78fdcd1125dd8d448e7eb990521300d3bc4/tests/tests/selinux/selinuxTargetSdkCurrent/src/android/security/SELinuxTargetSdkTest.java#60
SELinuxTest#testFileContexts - CTS asserts that file_contexts contains
all the AOSP elements, which makes this test largely redundant. See
https://android.googlesource.com/platform/cts/+/7b8db78fdcd1125dd8d448e7eb990521300d3bc4/hostsidetests/security/src/android/cts/security/SELinuxHostTest.java#616
Test: this
Bug: 123605817
Change-Id: I037b7420aee7c482ed8f5318a6911a3049b18aca</t>
  </si>
  <si>
    <t>Remove a couple of tests which are not valid anymore.
Bug: 131693243
Test: atest cts/tests/app/src/android/app/cts/DownloadManagerTest.java
Change-Id: I295423feed39978b02925b32b1ea26460a91381e</t>
  </si>
  <si>
    <t>CTS for bubbles policy: require remote input
Bug: 130894746
Test: this is the test
Change-Id: I7cc9d321395414f1881a1456198cb9d862f915ab</t>
  </si>
  <si>
    <t>Camera: Add BurstJpegCapture test case
Test new test case for burst capture of JPEG images.
Compared to Yuv burst capture test, this test uses STILL_CAPTURE intent,
and potentially has enableZsl set to TRUE, making sure ZSL burst capture
work as intended.
Bug: 120604717
Test: Newly added test passes
Change-Id: If5cd8add90e6b7003457d0f419135e73864b2076</t>
  </si>
  <si>
    <t>Converted CtsVoiceInteractionTestCases to JUnit 4.
Test: atest CtsVoiceInteractionTestCases
Bug: 30839080
Bug: 130882170
Merged-In: Ia8058a74918ae4266f553790b1dac2dcbba6dfac
Change-Id: Ia8058a74918ae4266f553790b1dac2dcbba6dfac</t>
  </si>
  <si>
    <t>Converted CtsVoiceInteractionTestCases to JUnit 4.
Test: atest CtsVoiceInteractionTestCases
Bug: 30839080
Bug: 130882170
Change-Id: Ia8058a74918ae4266f553790b1dac2dcbba6dfac</t>
  </si>
  <si>
    <t>cts: Remove testVideoCaptureWithInadequetePermissions from MediaStoreUiTest.
Remove the test since its very fragile to test this using UiAutomator. A
CTS Verifier test will be added instead.
Bug: 131233737
Test: runtest -x MediaStoreUiTest.java
Change-Id: Ifed7a7cc49d78a496fb7e91fc83bae531a3a151e
Signed-off-by: Jayant Chowdhary &lt;jchowdhary@google.com&gt;</t>
  </si>
  <si>
    <t>Fix virtual display and test activity leaked after ActivityViewTest
Every time when we launch or relaunch an ActivityViewTestActivity, it
will also create a ActivityView at onCreate. Without specific release
called, it could be stay there for a while.
Those leaked virtual displays and activitys may effect focus display or
focus window, which cause other tests fail.
Bug: 131810576
Test: run atest CtsWindowManagerDeviceTestCases:ActivityViewTest + any
multidisplay tests. Checking on log to ensure there will no leaked
virtual display existing after ActivityViewTest.
Change-Id: If94877cd5b7637819654af1fe34634114283f4d1</t>
  </si>
  <si>
    <t>Add CTS test for View::onTouchEventListener
We currently don't have coverage for the API onTouchEventListener. Add
the CTS test here, and ensure that MotionEvents received by the listener
actually match in basic parameters like action, sources, and times.
Bug: 131769336
Test: atest cts.ViewTest
Change-Id: I3c70a89bac9fb6bd8f4b6a2a4b358429ef1ab546</t>
  </si>
  <si>
    <t>Converted CtsVoiceInteractionTestCases to JUnit 4.
Test: atest CtsVoiceInteractionTestCases
Bug: 30839080
Bug: 130882170
Merged-In: Ia8058a74918ae4266f553790b1dac2dcbba6dfac
Change-Id: Ia8058a74918ae4266f553790b1dac2dcbba6dfac
(cherry picked from commit 4d204b97da91d50bcdd468f7f25d9fb942f7d6f2)</t>
  </si>
  <si>
    <t>Make PermissionPolicyTest modern
I.e.
- soong-ify build
- Use junit-test
- Use modern libraries
Test: atest CtsPermission2TestCases:android.permission2.cts.PermissionPolicyTest
Bug: 131188279
Change-Id: Ia8e3aa3f096fde9e1825ebdd3ada674b79b54b2e</t>
  </si>
  <si>
    <t>Make PermissionPolicyTest modern
I.e.
- soong-ify build
- Use junit-test
- Use modern libraries
Test: atest CtsPermission2TestCases:android.permission2.cts.PermissionPolicyTest
Bug: 131188279
Change-Id: Ia8e3aa3f096fde9e1825ebdd3ada674b79b54b2e
Merged-In: Ia8e3aa3f096fde9e1825ebdd3ada674b79b54b2e</t>
  </si>
  <si>
    <t>Make PermissionPolicyTest modern
I.e.
- soong-ify build
- Use junit-test
- Use modern libraries
Test: atest CtsPermission2TestCases:android.permission2.cts.PermissionPolicyTest
Bug: 131188279
Change-Id: Ia8e3aa3f096fde9e1825ebdd3ada674b79b54b2e
(cherry picked from commit f30f7a00b247b670890603b7a9a30d2b25d8aa52)</t>
  </si>
  <si>
    <t>CtsSecurityTestCases: delete obsolete test cases
These test cases are nasty chunks of code which were designed to detect
bugs which have been long fixed. The maintenance burden of the test code
is greater than the benefit it provides. Delete the code.
Bug: 123605817
Test: this
(cherry picked from commit 0fb0b99b57af2a86884c464f207e12608d31e01e)
Change-Id: I7ed36e871a6389cf9b682fe30429c9f7fdabc936
Merged-In: Ic472f4165e36676b7d0bbf7880d0fdd7e4b05a11</t>
  </si>
  <si>
    <t>KernelSettingsTest: remove xattr test
Remove the code which asserts xattrs are compiled into the kernel. This
test, introduced in commit 4267ab6c3ea0562ba938304144fac3bbd2e731b0, was
intended to ensure that OTAs from Android 4.2.* to 4.4.* would be
successful, and is largely obsolete at this point. xattr support in the
kernel is implicit in the device running SELinux.
This test does not work on instant apps. Rather than carrying around the
burden of an effectively useless test, just delete it.
Effectively a revert of 4267ab6c3ea0562ba938304144fac3bbd2e731b0.
Bug: 13445875
Bug: 123605817
Test: this code
(cherry picked from commit 4f4c1b15dcdb79087d766893c10c1326489d3f48)
Change-Id: I28bbdc1a3d206d10e549b2be12f3b072bc00e6da
Merged-In: Id33860e43c2b32df8b6677d3e112381afe6e89a5</t>
  </si>
  <si>
    <t>Delete Exynos vulnerability tests.
These tests, added in 2012, have been fixed for years now. There is no
further value in testing for this vulnerability.
Effectively a revert of commit 6537494848b04482ed3127072310b01017fe62e6.
Test: compiles
Bug: 123605817
(cherry picked from commit 890fd9833ecb23084fef78d7b73ad6c9122f3c35)
Change-Id: I4070703ebfbdb0a50f15992704538a3cc8240f4e
Merged-In: If83fbae63525adc6c487414ca1f54fb5d6851eaa</t>
  </si>
  <si>
    <t>Delete SSLConscryptPlainTextExposureTest
This test, added as part of b/73251618 and b/77875799, is intended to
test for the presence of CVE-2017-13309. However, at almost 900 lines,
this test is very complex, and the original authors are no longer in
Android. A smaller, simpler form of this test is already available at
https://android.googlesource.com/platform/external/conscrypt/+/e56958e7dea05c1784317f139e2216e2e707d391%5E%21/#F1
Since SSLConscryptPlainTextExposureTest is essentially a duplicate of an
existing test, delete it.
In particular, this test is broken when run as an instant apps, as
instant apps are not allowed to listen on a TCP port and accept incoming
connections. The downsides of maintaining this test outweigh the
upsides that this test provides.
Effectively a revert of commit 212020d5ec9cf26e4043463a9a92fc895c8c0cdc.
Bug: 73251618
Bug: 77875799
Bug: 123605817
Test: this
(cherry picked from commit 3f3d2b75e610457e628d93597bded0be222b6969)
Change-Id: I469a4c2601af553e3ce57a21a52084ef68cb05d5
Merged-In: Ic2669d988e143e108baf219bd4275c950ff4b1d0</t>
  </si>
  <si>
    <t>CtsSecurityTestCases: delete SELinuxTest
Delete the tests in SELinuxTest.java. They are duplicates of other
tests.
SELinuxTest#testCTSIsUntrustedApp - is duplicate of
https://android.googlesource.com/platform/cts/+/7b8db78fdcd1125dd8d448e7eb990521300d3bc4/tests/tests/selinux/selinuxTargetSdkCurrent/src/android/security/SELinuxTargetSdkTest.java#45
SELinuxTest#testCTSAppDataContext - is duplicate of
https://android.googlesource.com/platform/cts/+/7b8db78fdcd1125dd8d448e7eb990521300d3bc4/tests/tests/selinux/selinuxTargetSdkCurrent/src/android/security/SELinuxTargetSdkTest.java#60
SELinuxTest#testFileContexts - CTS asserts that file_contexts contains
all the AOSP elements, which makes this test largely redundant. See
https://android.googlesource.com/platform/cts/+/7b8db78fdcd1125dd8d448e7eb990521300d3bc4/hostsidetests/security/src/android/cts/security/SELinuxHostTest.java#616
Test: this
Bug: 123605817
(cherry picked from commit 683a0ddebdf9b13cf21144c185cab6796e1d664c)
Change-Id: I872d3b53c78fa75efd8e1e88f4b4d84fb99dda6f
Merged-In: I037b7420aee7c482ed8f5318a6911a3049b18aca</t>
  </si>
  <si>
    <t>Add cts test for GetApplicationEnabledSetting
Fixes: 111972400
Test: atest CtsContentTestCases:PackageManagerTest
Change-Id: I28f39304c6dd3b5438e8c327189b1cc81bb9fa8b</t>
  </si>
  <si>
    <t>Improve parse errors found in XML API files
Parse errors that are detected by various tests while parsing an XML
representation of an API specification (whether from a file or an
entry in a zip file) did not specify the file that was being processed
which made it very difficult to debug errors. That was not possible
because the parser did not have access to the file location as it only
received an InputStream. Passing the file through to the place where
parsing was performed required quite a lot of refactoring because it
needed to handle both standard files and also entries in a zip file.
Initially a java.nio.file.Path was used as that provides an abstraction
that can sit on top of a local file system as well as a ZipFile.
Unfortunately, that did not work as Android does not support a
ZipFileSystem. Rather than throw all those changes away a VirtualPath
abstraction was added.
Visibility of the libraries used by the signature tests was restricted
to the cts/tests/signature directory and subpackages.
The ApiDocumentParser wraps the IOException and XmlPullParserException
to avoid the callers having to do that.
Part of the work to switch cts/tests/signature from .mk to .bp.
Bug: 122332514
Test: atest -p cts/tests/signature
Change-Id: I09b37392691dfea83292150b7a1995acbcc03b59</t>
  </si>
  <si>
    <t>Restricted permission whitelisted by default - CTS
To ensure existing installers would work without a change the
default state of installing a package is now that all restricted
permissions are whitelisted. If the installer specifies another
whitelist at install time, it determines the install state. In
addition to this we now enable the restricted permission checks
as a prebuilt installer is no longer required.
Test: atest CtsPermission2TestCases
Test: atest CtsPermissionTestCases
Test: atest CtsAppSecurityTestCases:android.appsecurity.cts.PermissionsHostTest
bug:132160728
Change-Id: I1ce1472ed4a85f9fd7f0135783c14623af1a93fd</t>
  </si>
  <si>
    <t>Remove tests that expect TouchExplorer to use touch events to deliver double tap and double tap and hold.
Test: cts-tradefed run singleCommand cts -d --module CtsAccessibilityServiceTestCases --test android.accessibilityservice.cts.TouchExplorerTest
Change-Id: I1809b40b4f1e9be4875b9a8246cd9eefeaf66195</t>
  </si>
  <si>
    <t>Fix CtsOsTestCases for instant apps
There were 2 failures I could not verify locally:
EnvironmentTest#testSaneInodes: failed on local emulator, no idea why
StrictModeTest#testNonSdkApiUsage: covered by b/129769566
Bug: 129072333
Test: atest CtsOsTestCases --instant
Change-Id: Ib6de30c979f2f5d82507a9407c367d0270d20e3c</t>
  </si>
  <si>
    <t>Renamed UserDataRemovalRequest to DataRemovalRequest.
Test: atest CtsContentCaptureServiceTestCases
Bug: 130726495
Change-Id: Idfddf53754704fd7b9e2c631ff5f32c7ad940172</t>
  </si>
  <si>
    <t>Enhance and Fix Call redirection CTS
Test: atest CallRedirectionServiceTest
Bug: 130181536
Bug: 130325769
Change-Id: Ie538258dd3c28b9e0bb0aebc283195ac791f4fde</t>
  </si>
  <si>
    <t>Update behavior of setDestinationInExternalPublicDir().
Allow apps to use DownloadManager for downloading files into
known public dirs other than "Download" but don't include
them as part of Downloads collection.
Bug: 132136431
Test: manual
Test: atest DownloadProviderTests
Test: atest cts/tests/app/src/android/app/cts/DownloadManagerTest.java
Test: atest cts/tests/app/DownloadManagerLegacyTest/src/android/app/cts/DownloadManagerLegacyTest.java
Test: atest cts/tests/app/DownloadManagerApi28Test/src/android/app/cts/DownloadManagerApi28Test.java
Change-Id: I9d7f8c3cb9ec096384d99f5d29f222f41f6ee772</t>
  </si>
  <si>
    <t>Remove YearOfHardware from GNSS CTS
Bug: 131435847
Test: run cts tests on device
Change-Id: I42ba90e809b835137ce26bbd77d6b24c2c037895</t>
  </si>
  <si>
    <t>Add utilities to generate packets
This change adds utility methods to generate packets incrementally. It
supports UDP, ESP, IPv4, IPv6 packet generation.
For ESP, it exclusively does AES-CBC, HMAC-SHA256.
Bug: 72950854
Test: This
Change-Id: Icffeed2ebb2005d79faf04f48fd5126d1d6fb175</t>
  </si>
  <si>
    <t>Add IPsec Tunnel mode data tests
This change adds single-direction tests for the IPsec Tunnel Mode API.
In the outbound direction, TUNs are used to capture outgoing packets,
and values are inspected. In the inbound direction, packets are built
manually, using the PacketUtils framework. Additional testing for
end-to-end integration tests will follow in aosp/941021 using packet
reflection via the TUN.
Bug: 72950854
Test: This; passing
Change-Id: Ic4181fc857fa880db5553314efa914f870dbe87c</t>
  </si>
  <si>
    <t>Fix PermissionsHostTest UI flake
Was caused by cloud emulator's tiny 832x576 horizontal screen pushing
the bottom dialog button partially outside its window
Bug: 128423549
Test: emulator -skin 832x576
  &amp;&amp; atest android.appsecurity.cts.PermissionsHostTest#testDenialWithPrejudice23
Change-Id: I0ef20aa9756889ef1eede0883dd5e0d1c024b575</t>
  </si>
  <si>
    <t>Add utilities to generate packets
This change adds utility methods to generate packets incrementally. It
supports UDP, ESP, IPv4, IPv6 packet generation.
For ESP, it exclusively does AES-CBC, HMAC-SHA256.
Bug: 72950854
Test: This
Change-Id: Icffeed2ebb2005d79faf04f48fd5126d1d6fb175
Merged-In: Icffeed2ebb2005d79faf04f48fd5126d1d6fb175
(cherry picked from commit 0e4743d56553d698ac45ae548f31019ea6e91541)</t>
  </si>
  <si>
    <t>Add IPsec Tunnel mode data tests
This change adds single-direction tests for the IPsec Tunnel Mode API.
In the outbound direction, TUNs are used to capture outgoing packets,
and values are inspected. In the inbound direction, packets are built
manually, using the PacketUtils framework. Additional testing for
end-to-end integration tests will follow in aosp/941021 using packet
reflection via the TUN.
Bug: 72950854
Test: This; passing
Change-Id: Ic4181fc857fa880db5553314efa914f870dbe87c
Merged-In: Ic4181fc857fa880db5553314efa914f870dbe87c
(cherry picked from commit d708a4c217f13c9028427d98031394f0933482bf)</t>
  </si>
  <si>
    <t>Add verification of self-managed call logging.
Adding verification to the self-managed connection service CTS tests to
ensure that when call logging is requested that the calls do log to the
call log as expected.
Also added a test case to ensure that non-logged calls are indeed not
logged to the call log.
Test: Ran CTS tests
Bug: 132433198
Change-Id: Icc5e07f351703d5f752b50957339a398876c1fab</t>
  </si>
  <si>
    <t>DO NOT MERGE Avoid test failed for tablet device
When in landscape mode, the navigation bar of the tablet
(smallestScreenWidthDp &gt;= 600) is at the bottom of the screen
instead of the right.
This patch will avoid this issue by crop-out the nav bar in both width
and height to meet both the phone and the tablet.
Bug: 132275210
Test: run cts -m CtsPreference2TestCases -t
android.preference2.cts.PreferenceActivityFlowLandscapeTest#
startWithFragmentAndRecreateLandscapeTest
Change-Id: I10ddf527036863b7a1398daf742464a1f850e08d</t>
  </si>
  <si>
    <t>Revert "testEncryption for device without secure lock screen"
This reverts commit fc1f50c0e7e256306ec0429e4152690f37d72d07 which
broke the build.
Bug: 121294299
Bug: 132647594
Test: Treehugger
Change-Id: I8e27cc37994ed614fb67087866b636dc61b53cb8</t>
  </si>
  <si>
    <t>Revert "testEncryption for device without secure lock screen"
This reverts commit fc1f50c0e7e256306ec0429e4152690f37d72d07 which
broke the build.
Bug: 121294299
Bug: 132647594
Test: Treehugger
Merged-In: I8e27cc37994ed614fb67087866b636dc61b53cb8
Change-Id: I8e27cc37994ed614fb67087866b636dc61b53cb8</t>
  </si>
  <si>
    <t>Speeds up some Preference tests and fixes issues with gesture nav
When scrolling to look for items off screen, we need to be careful to
not hit an area that the system looks for for gesture nav - so to be
safe we just make sure to scroll away from the edges.
Bug: b/132220395
Test: atest CtsPreferenceTestCases
Change-Id: I32a4f4209753c800ca40cd873aa6ba968abcd477</t>
  </si>
  <si>
    <t>Improvements on CtsVoiceInteractionTestCases:
- Moved common logic to superclass.
- Set the service using SettingsStateChangerRule instead of RunCommandTargetPreparer.
- Added more logging statements.
- Refactored common code on helper functions.
Test: atest CtsVoiceInteractionTestCases
Bug: 131411751
Bug: 130882170
Change-Id: Iba77394775a99dd25b97040305adb9b34cc1a391
(cherry picked from commit d7381bf44fe86acb235a8831a041c7d4f7007acb)</t>
  </si>
  <si>
    <t>Enable instant app mode for CtsNetTestCases
1. Indicating CtsNetTestCases support instant app mode but
   ignore some tests that cannot run in instant app mode.
2. Move some tests which need to test on API 23 into
   CtsNetApi23TestCases module due to instant app package
   must target at least API 26.
Bug: 123366918
Test: atest CtsNetTestCases --instant
Test: atest CtsNetApi23TestCases
Test: atest FrameworksNetTests
Change-Id: I4e828cbc48143e36c1be38b91c3c698122d4be5a</t>
  </si>
  <si>
    <t>Camera: Clean up dead code in Robustness module
There are big chunks of unused/dead code within
Robustness module after the mandatory stream
combinations and logical camera relaxation changes.
The code can be removed at this point.
Bug: 132787251
Test: atest
cts/tests/camera/src/android/hardware/camera2/cts/RobustnessTest.java
Change-Id: I7e6a0d96c29998244beb6c5afc977e1f3d5df378</t>
  </si>
  <si>
    <t>Use MSSIMComparer in VectorDrawableScaleTest
Bug: 130208336
Bug: 132133330
Test: This
Move VectorDrawableScaleTest to CtsUiRenderingTestCases so that it can
use the MSSIMComparer. At certain screen densities/sizes, the old
comparison model failed, even though to my eyes the failing result
looked the same as the golden image. Increasing the tolerance of the old
model seemed like it would result in passing images that should fail, so
switch to one that is more akin to perception. The MSSIM calculated
based on density/size from the report is 0.8792351428891768, so use a
threshold just below that. Other uses of the MSSIMComparer use
thresholds of around .9 or higher, so this seems reasonable.
Remove DBG_SCREENSHOT, since the BitmapDumper will now handle that.
In MSSIMComparer, support Bitmaps that are not a multiple of the
WINDOW_SIZE (10), since this test uses a size of 64.
In GoldenImageVerifier, support sizes other than
ActivityTestBase.TEST_WIDTH (90). Otherwise the 64 x 64 Bitmap in this
test throws ArrayIndexOutOfBoundsExceptions.
Move/copy asset files into UiRendering.
Change-Id: I9a5b4a451b5d1cc084c6d8616123dcdc48d02a99</t>
  </si>
  <si>
    <t>Uses SettingsUtils.syncSet() on DisableContextText.
That methods uses an observer to wait until the settings is changed, although we still need to sleep
afterwards (until we can figure out a clever way to wait until the change is propagated).
Fixes: 132937151
Fixes: 130570449
Test: atest CtsAssistTestCases:android.assist.cts.DisableContextTest # a few times
Change-Id: Idc34919e8713937cea3357ccd857ff5ede5e5f65</t>
  </si>
  <si>
    <t>Improvements on CtsVoiceInteractionTestCases:
- Moved common logic to superclass.
- Set the service using SettingsStateChangerRule instead of RunCommandTargetPreparer.
- Added more logging statements.
- Refactored common code on helper functions.
Test: atest CtsVoiceInteractionTestCases
Bug: 131411751
Bug: 130882170
Merged-In: Iba77394775a99dd25b97040305adb9b34cc1a391
Change-Id: Iba77394775a99dd25b97040305adb9b34cc1a391</t>
  </si>
  <si>
    <t>Remove CTS  multiuser testCantAddMoreThanOneGuestUser
Bug: 132443512
Test: atest CtsMultiUserHostTestCases
Change-Id: I2b8aa70d34a7f1bfec7ce9d7af3b61d76bb21794</t>
  </si>
  <si>
    <t>RESTRICT AUTOMERGE: Remove low ram carveout for encryption
The low ram carveout was removed from CDD in 7.0.
Cherry-picking this from aosp/664504 into nyc-dev (automerger was
skipped).
Bug: 73913271
Test: m cts
Change-Id: I27dfa09b240b2df2f9476222c95de184529505db
Merged-In: I6c2fd498d2cd99660ee491a23660edbdb0137ecf</t>
  </si>
  <si>
    <t>Enable instant app mode for CtsNetTestCases
1. Indicating CtsNetTestCases support instant app mode but
   ignore some tests that cannot run in instant app mode.
2. Move some tests which need to test on API 23 into
   CtsNetApi23TestCases module due to instant app package
   must target at least API 26.
Bug: 123366918
Test: atest CtsNetTestCases --instant
Test: atest CtsNetApi23TestCases
Test: atest FrameworksNetTests
Change-Id: I4e828cbc48143e36c1be38b91c3c698122d4be5a
Merged-In: I1d78349d14763c133e1eab020d26865f46ff19a3
Merged-In: I931369875c86a396a898682009337cef1b918ba4
Merged-In: Ia8a45d6d751be94f9f707f879ea6ce4e6a45fae1</t>
  </si>
  <si>
    <t>Test: Apps can go isolated -&gt; non-isolated storage
But not the other way round.
Test: atest RestrictedPermissionsTest
Fixes: 131747080
Change-Id: I5747777dd88a43a2bf5c92ab43f9107bac3fc744</t>
  </si>
  <si>
    <t>Deal with slow PermissionPolicyService
Sometimes the app-ops can take a small time to be set. Let the test deal
with that.
Test: atest RestrictedPermissionsTest
Fixes: 131747080
Change-Id: I8cf12fd2b20fe40a3cdd0b0b4a4ae2eebe2807bb</t>
  </si>
  <si>
    <t>Remove testDirectBootAwareAppIsEncryptionAware().
Fixes: 132908356
Test: atest ApplicationInfoTest
Change-Id: I9731553d7df2ba97a2106399cf9847c5dff6ef6b</t>
  </si>
  <si>
    <t>Customized TestRule for accessibility tests
Dump ui tree and capture screen when test case is fail.
Bug: 114238915
Test: atest -v CtsUiAutomationTestCases \
               CtsAccessibilityServiceTestCases \
               CtsAccessibilityTestCases
Test: check pulled screenshots and logs listed in `Log Files` section
Change-Id: Ieeeb02034ac2e238ebd9e4d442312b4decea0e86</t>
  </si>
  <si>
    <t>Remove testInstallUpdate_failWrongVersion
Remove InstallUpdateTest#testInstallUpdate_failWrongVersion since we
can't reliably test that we'll get the exact error specified in this
test on all OEM devices, since the file provided in the test won't match
the OEM signature, which could cause other errors to occur first.
Fixes: 132827080
Test: atest com.android.cts.devicepolicy.DeviceOwnerTest#testInstallUpdate
Change-Id: I03fdb1b68ef7d3a51e97390d4b306fbe5ab85493</t>
  </si>
  <si>
    <t>Finished port of CtsVoiceInteractionService to instant mode.
Test: atest CtsVoiceInteractionTestCases:LocalVoiceInteractionTest --instant
Test: atest CtsVoiceInteractionTestCases # sanity check
Fixes: 123604980
Change-Id: Ie4a0aef4c2577edf3562c8456f5d0ea3f0054da1</t>
  </si>
  <si>
    <t>Add reflected-packet based data tests
This commit adds tests that reflect outgoing packets, flipping the outer
src/dst headers to avoid the need to tear down and rebuild the outer
TUN.
This allows us to at least test that our implementation can interoperate
with itself.
Bug: 72950854
Test: this, passing
Change-Id: Ia969f78f4c1a0c0a017f5aad425a68852ff4433a</t>
  </si>
  <si>
    <t>Cleanup IPsec CTS tests
This commit addresses comments from aosp/963067 and aosp/959617.
No behavioral/functional changes were made, only renames and minor style
nits addressed.
Bug: 72950854
Test: Ran on devices, working
Change-Id: I1702b91e245412f0142e9e47b7fb373b9b4e8126</t>
  </si>
  <si>
    <t>Render to the surface from StagefrightTest
Render frames from StagefrightTest. Since dummy surface is not consuming
any frame, using dummy surface results in running out of buffers from
BufferQueue.
Bug: 133171106
Change-Id: Iefbfae6862cfad976d498d903e53547e89688f5b</t>
  </si>
  <si>
    <t>Initial refactor of CtsAssistTestCases to use RemoteCallbacks instead of broadcast receivers.
CtsAssistTestCases uses a lot of broadcast receivers to do IPC between test, app, and service.
These broadcasts work fine on standard apps, but they're hard to implement on instant apps. Hence,
we need to refactor the tests to use RemoteCallback instead.
This CL starts the refactor, although it's not complete yet.
Test: atest CtsAssistTestCases
Bug: 131756109
Bug: 133431034
Bug: 133379285
Change-Id: I06272d183093145e16b47b1ada8596c3f3c842d0</t>
  </si>
  <si>
    <t>Initial refactor of CtsAssistTestCases to use RemoteCallbacks instead of broadcast receivers.
CtsAssistTestCases uses a lot of broadcast receivers to do IPC between test, app, and service.
These broadcasts work fine on standard apps, but they're hard to implement on instant apps. Hence,
we need to refactor the tests to use RemoteCallback instead.
This CL starts the refactor, although it's not complete yet.
Test: atest CtsAssistTestCases
Bug: 131756109
Bug: 133431034
Bug: 133379285
Merged-In: I06272d183093145e16b47b1ada8596c3f3c842d0
Change-Id: I06272d183093145e16b47b1ada8596c3f3c842d0</t>
  </si>
  <si>
    <t>NotificationManagerTest: Mark some tests as failing
Bug: 133502627
Test: TH
Change-Id: I82893a82f96342df4ba20da999bcd4bfc401add0</t>
  </si>
  <si>
    <t>Initial refactor of CtsAssistTestCases to use RemoteCallbacks instead of broadcast receivers.
CtsAssistTestCases uses a lot of broadcast receivers to do IPC between test, app, and service.
These broadcasts work fine on standard apps, but they're hard to implement on instant apps. Hence,
we need to refactor the tests to use RemoteCallback instead.
This CL starts the refactor, although it's not complete yet.
Test: atest CtsAssistTestCases
Bug: 131756109
Bug: 133431034
Bug: 133379285
Merged-In: I06272d183093145e16b47b1ada8596c3f3c842d0
Change-Id: I06272d183093145e16b47b1ada8596c3f3c842d0
(cherry picked from commit 2d86fe82d15f1872f333ba61a2c81acb6c1b663a)</t>
  </si>
  <si>
    <t>Initial refactor of CtsAssistTestCases to use RemoteCallbacks instead of broadcast receivers.
CtsAssistTestCases uses a lot of broadcast receivers to do IPC between test, app, and service.
These broadcasts work fine on standard apps, but they're hard to implement on instant apps. Hence,
we need to refactor the tests to use RemoteCallback instead.
This CL starts the refactor, although it's not complete yet.
Test: atest CtsAssistTestCases
Bug: 131756109
Bug: 133431034
Bug: 133379285
Merged-In: I06272d183093145e16b47b1ada8596c3f3c842d0
Change-Id: I06272d183093145e16b47b1ada8596c3f3c842d0
(cherry picked from commit 2d86fe82d15f1872f333ba61a2c81acb6c1b663a)
(cherry picked from commit a99c2cff6bfcb7c417e68a9432edf11ff365adf4)</t>
  </si>
  <si>
    <t>Fix keepalive CTS fail for devices with kernel older than 4.8
If kernel &lt; 4.8 then it doesn't support get socket option
TCP_REPAIR_WINDOW, thus TCP keepalive cannot be supported.
However, it might still support NAT-T keepalive. Test TCP
keepalive only if it is supported by kernel.
Bug: 133652079
Test: atest android.net.cts.ConnectivityManagerTest#testMajorMinorVersionCompare \
    android.net.cts.ConnectivityManagerTest#testSocketKeepaliveLimit \
    android.net.cts.ConnectivityManagerTest#testSocketKeepaliveUnprivileged \
    android.net.cts.ConnectivityManagerTest#testKeepaliveUnsupported \
    android.net.cts.ConnectivityManagerTest#testCreateTcpKeepalive
Change-Id: I3f8456deea2b4ded762a413c8e27b58ce54ce0aa</t>
  </si>
  <si>
    <t>Fix ConnectivityManagerApi23Test failures and remove duplication.
1. All ConnectivityManagerApi23Test were failed due to
   WifiManager#setWifiEnabled doesn't allow to use since
   Android Q. So we need to use shell command to enable/disable
   Wi-Fi instead.
2. Some methods are duplicated between
   ConnectivityManagerApi23Test and ConnectivityManagerTest, but
   they are not identical. So put these methods into
   ConnectivityUtils to clean up duplications and prevent fork
   happened again.
Bug: 133334943
Bug: 133209319
Test: Run the below tests on Crosshatch, Sailfish, Bonito.
      atest CtsNetApi23TestCases
      atest CtsNetTestCases
Change-Id: Ic37111cb12a46f5c36c2be887250c5d762216f6e</t>
  </si>
  <si>
    <t>Fix getMediaUri() bug on secondary devices.
We need to return visible paths for MediaProvider to work with,
instead of internal paths.
Bug: 133730441
Test: atest android.providerui.cts.MediaStoreUiTest
Change-Id: Idd115cf29f4e04d11bd04f57847dd40844f5f50f</t>
  </si>
  <si>
    <t>MediaStoreUiTest.java: fix missing permissions from calling app.
testImageCaptureWithInadequeteLocationPermissions needs to grant the
package itself adequete location permissions before testing for better
strictness.
Bug: 133853633
Test: runtest -x MediaStoreUiTest.java with GCA / Camera2.
Change-Id: I09875e15b2b80c67ea0d90d1a371ae10efc300b8
Signed-off-by: Jayant Chowdhary &lt;jchowdhary@google.com&gt;</t>
  </si>
  <si>
    <t>Fix ConnectivityManagerApi23Test failures and remove duplication.
1. All ConnectivityManagerApi23Test were failed due to
   WifiManager#setWifiEnabled doesn't allow to use since
   Android Q. So we need to use shell command to enable/disable
   Wi-Fi instead.
2. Some methods are duplicated between
   ConnectivityManagerApi23Test and ConnectivityManagerTest, but
   they are not identical. So put these methods into
   ConnectivityUtils to clean up duplications and prevent fork
   happened again.
Bug: 133334943
Bug: 133209319
Test: Run the below tests on Crosshatch, Sailfish, Bonito.
      atest CtsNetApi23TestCases
      atest CtsNetTestCases
Change-Id: Ic37111cb12a46f5c36c2be887250c5d762216f6e
Merged-In: I075b7408d2a1e1145c7a9031075e07fa1db37fed
Merged-In: I0c02357eff07b98c1745de35d08ae6b8349de7fb
Merged-In: I04d1e1d096bcd4a9626cf9f00396fca7f9892a82</t>
  </si>
  <si>
    <t>Fix keepalive CTS fail for devices with kernel older than 4.8
If kernel &lt; 4.8 then it doesn't support get socket option
TCP_REPAIR_WINDOW, thus TCP keepalive cannot be supported.
However, it might still support NAT-T keepalive. Test TCP
keepalive only if it is supported by kernel.
Bug: 133652079
Test: atest android.net.cts.ConnectivityManagerTest#testMajorMinorVersionCompare \
    android.net.cts.ConnectivityManagerTest#testSocketKeepaliveLimit \
    android.net.cts.ConnectivityManagerTest#testSocketKeepaliveUnprivileged \
    android.net.cts.ConnectivityManagerTest#testKeepaliveUnsupported \
    android.net.cts.ConnectivityManagerTest#testCreateTcpKeepalive
Change-Id: I0a3ff07c482bb7c8cb05663678c10afcc0500861
Merged-In: I3f8456deea2b4ded762a413c8e27b58ce54ce0aa
(cherry picked from commit 57d91e6276b50bf0dd78f3643c4a979f584fcf38)</t>
  </si>
  <si>
    <t>Remove tests that require background activity starts.
These tests relied on starting an activity from the background, which
is blocked in Q.
Bug: 132596844
Test: atest android.appsecurity.cts.AppSecurityTests#testPermissionDiffCert
Change-Id: I1c52f554a3ea5556158a549910624f7f3653c325</t>
  </si>
  <si>
    <t>Cleanup background activity starts for release.
This removes the parts of the feature that were only needed in beta
releases:
- Global setting to disable.
Not to be submitted until after beta 5 is cut.
Bug: 131747138
Test: atest BackgroundActivityLaunchTest
Test: atest RootWindowContainerTests
Test: atest WmTests:ActivityStarterTests
Test: atest CtsWindowManagerDeviceTestCases:ActivityStarterTests
Test: atest CtsAppTestCases:.ServiceTest
Change-Id: Id8bc706308ec646e5be7e7e46445cb098312fadc</t>
  </si>
  <si>
    <t>Remove android-support-test dependent packages
They are all unused now in favor of their androidx.test counterparts.
Test: m cts; TH
Bug: 133505246
Change-Id: I7a861bb4be948592abfc544a113bae1a2e21ad00</t>
  </si>
  <si>
    <t>Revert "Add CTS test for power usage page."
Bug: 79528124
Test: This revert will be paired with a readding of the change
This reverts commit 7c11b07729cf6c50c3ed9d403049723cfbb9c0b9.
Reason for revert: Because of the merged-in line, this change was skipped when auto-merging downstream. The fix is to revert this change and then re-add it without the merged-in line to avoid it being skipped again.
Change-Id: Ifcb55bd57fc99834dfaa7ff045f3fc8090de70f2
Merged-In: Id9b5a74f2a1de7ffccff2b34756f19519ee17cad</t>
  </si>
  <si>
    <t>Cleanup IPsec CTS tests
This commit addresses comments from aosp/963067 and aosp/959617.
No behavioral/functional changes were made, only renames and minor style
nits addressed.
Bug: 72950854
Test: Ran on devices, working
Merged-In: I1702b91e245412f0142e9e47b7fb373b9b4e8126
Change-Id: I1702b91e245412f0142e9e47b7fb373b9b4e8126
(cherry picked from commit 68237a11f9532ca6c59d579adb374fe40b0b3bee)</t>
  </si>
  <si>
    <t>Add reflected-packet based data tests
This commit adds tests that reflect outgoing packets, flipping the outer
src/dst headers to avoid the need to tear down and rebuild the outer
TUN.
This allows us to at least test that our implementation can interoperate
with itself.
Bug: 72950854
Test: this, passing
Merged-In: Ia969f78f4c1a0c0a017f5aad425a68852ff4433a
Change-Id: Ia969f78f4c1a0c0a017f5aad425a68852ff4433a
(cherry picked from commit 144937f3df37ee0b1d5484f10e8c86a8a70a9cb5)</t>
  </si>
  <si>
    <t>Updates downgrade failure test to not need reboot
With the change to enable package verification, we now do a bit more
sanity testing in PackageInstallerSession and fail staged APK sessions
early when a downgrade happens. This change updates the test to match
this expected behavior.
Test: atest CtsStagedInstallHostTestCase
Bug: 123753157
Change-Id: Ib84ce0e74eb5801a46c0a5f35ce4abb11dce485b</t>
  </si>
  <si>
    <t>Can't grant !whitelisted storage perms to &lt;29 apps
Also: Factor out PermissionUtils into a lib and use in
CtsPermissionTestCases and CtsPermission2TestCases.
Bug: 131188778
Test: atest CtsPermission2TestCases:android.permission2.cts.RestrictedPermissionsTest
Change-Id: If5d701a3954ddc9dd4ae387d7c392eff5fa046c6</t>
  </si>
  <si>
    <t>Close notification shade before running role tests
UiDump revealed flake cause to be causes by notification shade for whatever reason
Fixes: 132788469
Test: atest RoleManagerTest with notification shade open, ensure fails without CL and passes with
Change-Id: I5070905a6a693b7caa1e54cfac2522d3e444cfd1</t>
  </si>
  <si>
    <t>Change test to verify that new apexes can't be installed on any build
Before test was running only on user builds, but with ag/7441274 merged
installation of new apexes is unconditionally disabled.
Test: atest CtsStagedInstallHostTestCases
Bug: 132429173
Change-Id: I08fdbd54b080f4545aa524b669d88744dc0512eb</t>
  </si>
  <si>
    <t>Improve and extend Uri granting tests.
Dozens of tests have flowed into AccessPermissionWithDiffSigTest over
the years, so this change starts by splitting out the Uri permission
grant specific tests into separate classes to make them clearer.  We
also expand the robustness of all the tests by exercising the same
set of GRANTABLE and NOT_GRANTABLE Uris.
Add new test coverage in UriGrantsResultTest to cover Uri permission
grants that are issued through Activity.setResult().
Bug: 115619667
Test: atest android.appsecurity.cts.AppSecurityTests#testPermissionDiffCert
Change-Id: I6e92a5607715f69fa38862f8458e6a851de3beb2</t>
  </si>
  <si>
    <t>[DO NOT MERGE] Handle config override via settings correctly - CTS
Add a test to make sure historical app op config that
differs from the default cannot put the device in a
boot loop.
Test: atest android.appsecurity.cts.AppOpsTests
Bug: 134093967
Change-Id: I010b2325fb2f52db944176c4fcaf11e25cd49560</t>
  </si>
  <si>
    <t>Make CtsSharedLibsApiSignatureTestCases work as instant app
Change code to read zip file as resource, remove target_preparer
entries from AndroidTest.xml that copied the file down, switched from
not_instant_app to instant_app and set targetSandboxVersion="2".
Also, removed unused method from AbstractApiTest.java
Bug: 131312181
Test: atest CtsSharedLibsApiSignatureTestCases
      atest --instant CtsSharedLibsApiSignatureTestCases
Change-Id: I1913bd098949f65acd4fccf449cc33f969aa3298</t>
  </si>
  <si>
    <t>Make hiddenapi blacklist tests work as instant apps
Switched the tests to store the hiddenapi-flags.csv as a java resource
rather than separate file. Renamed from hiddenapi_flags.csv to
hiddenapi-flags.csv to match the name of the
INTERNAL_PLATFORM_HIDDENAPI_FLAGS file which avoids having to copy it
during the build.
Marked the tests as being suitable for instant app, and set the
androidSandboxVersion="2" in the manifest.
Performance of these tests is important so I tested two separate
approaches.
The first approach just read the hiddenapi-flags.csv resource as an
InputStream which almost doubled the elapsed time of the test compared
with previous implementation.
The second extracted the resource into a separate file and then opened
that as a ByteBuffer as the previous implementation did which resulted
in broadly similar performance as the previous implementation (bug
123986482).
Bug: 131312181
Test: atest -p cts/tests/signature
      atest --instant -p cts/tests/signature
Change-Id: I4ac60fd64eca3e0f82c2c891086ba7a7b5537ecf</t>
  </si>
  <si>
    <t>Attempted downgrade now fails pre-reboot.
This is similar to Ib84ce0e74eb5801a46c0a5f35ce4abb11dce485b:
"""
With the change to enable package verification, we now do a bit more
sanity testing in PackageInstallerSession and fail staged APK sessions
early when a downgrade happens. This change updates the test to match
this expected behavior.
"""
This change modifies a test that only runs on -user build.
Test: atest CtsStagedInstallHostTestCase (on a -user build)
Fixes: 134703145
Change-Id: Ic3fb15f77fb824c61fb51424386f65903b3d99a7</t>
  </si>
  <si>
    <t>Use MSSIMComparer in VectorDrawableScaleTest
Bug: 130208336
Bug: 132133330
Test: This
Move VectorDrawableScaleTest to CtsUiRenderingTestCases so that it can
use the MSSIMComparer. At certain screen densities/sizes, the old
comparison model failed, even though to my eyes the failing result
looked the same as the golden image. Increasing the tolerance of the old
model seemed like it would result in passing images that should fail, so
switch to one that is more akin to perception. The MSSIM calculated
based on density/size from the report is 0.8792351428891768, so use a
threshold just below that. Other uses of the MSSIMComparer use
thresholds of around .9 or higher, so this seems reasonable.
Remove DBG_SCREENSHOT, since the BitmapDumper will now handle that.
In MSSIMComparer, support Bitmaps that are not a multiple of the
WINDOW_SIZE (10), since this test uses a size of 64.
In GoldenImageVerifier, support sizes other than
ActivityTestBase.TEST_WIDTH (90). Otherwise the 64 x 64 Bitmap in this
test throws ArrayIndexOutOfBoundsExceptions.
Move/copy asset files into UiRendering.
Change-Id: I9a5b4a451b5d1cc084c6d8616123dcdc48d02a99
Merged-In: I9a5b4a451b5d1cc084c6d8616123dcdc48d02a99</t>
  </si>
  <si>
    <t>Make Role test ui search more robust wrt scrolling
Doesn't fully fix the bug, but we'll need this piece
Bug: 134177205
Test: emulator -skin 832x576 &amp;; atest RoleManagerTest#requestRoleAndDenyThenHasDontAskAgain
Change-Id: Ia2db61b34429c9c916117d702beb0706e4ac42a7</t>
  </si>
  <si>
    <t>Whitelist all restricted permissions on sideload - CTS
Test: atest android.permission2.cts.RestrictedPermissionsTest#onSideLoadAllRestrictedPermissionsWhitelisted
Bug:134500512
Change-Id: Ia689d98d790aa955dd84101b0164a87dce8537bb</t>
  </si>
  <si>
    <t>Reenable previously flaky/broken tests
Fail fast for tests that leave notifications in a bad state;
differentiate id usage.
I believe the problem that caused the failures in the first place
were fixed in qt.
Test: this, run 10 times
Fixes: 133501804
Fixes: 133502627
Change-Id: Ib0e9fd893d943d0f1503be0c480999769fa67288</t>
  </si>
  <si>
    <t>Test appop for hard restricted perms for pre-M
Test that app-ops state is set correctly for hard restricted permissions
for apps pre-M
Test: atest RestrictedPermissionsTest
Bug: 134500512
Change-Id: Id330164c900c1be5aa8d4f5443ad6e99de8e0fec</t>
  </si>
  <si>
    <t>Fix CtsAssistTestCases for instant apps
Replaces instant to instant broadcasts with RemoteCallbacks.
Also refactors quite a bit of the tests and removes some broken
functionality/assumptions, mostly related to mis-use of latches
and awaits.
There are unforunately places where Thread.sleep is only solution,
since existing callbacks/events aren't sufficient.
Bug: 131386884
Bug: 131756109
Bug: 133379285
Test: atest CtsAssistTestCases
Test: atest CtsAssistTestCases --instant
Co-authored-by: Felipe Leme &lt;felipeal@google.com&gt;
Exempt-From-Owner-Approval: removal of owner
Change-Id: I5db7cb3ceacbb2a35103f5685223b46c0c8c5a0e
Merged-In: I5db7cb3ceacbb2a35103f5685223b46c0c8c5a0e</t>
  </si>
  <si>
    <t>Fix CtsAssistTestCases for instant apps
Replaces instant to instant broadcasts with RemoteCallbacks.
Also refactors quite a bit of the tests and removes some broken
functionality/assumptions, mostly related to mis-use of latches
and awaits.
There are unfortunately places where Thread.sleep is only solution,
since existing callbacks/events aren't sufficient.
Bug: 131386884
Bug: 131756109
Bug: 133379285
Test: atest CtsAssistTestCases
Test: atest CtsAssistTestCases --instant
Co-authored-by: Felipe Leme &lt;felipeal@google.com&gt;
Exempt-From-Owner-Approval: removal of owner
Change-Id: I5db7cb3ceacbb2a35103f5685223b46c0c8c5a0e
Merged-In: I5db7cb3ceacbb2a35103f5685223b46c0c8c5a0e</t>
  </si>
  <si>
    <t>Add CTS for creating keepalive offloads on cellular
Bug: 134352656
Test: atest android.net.cts.ConnectivityManagerTest (--instant)
Change-Id: Ia7b1111abe687efad032a8c9205990c97a769fcd</t>
  </si>
  <si>
    <t>Add CTS for creating keepalive offloads on cellular
Bug: 134352656
Test: atest android.net.cts.ConnectivityManagerTest (--instant)
Merged-In: Ia7b1111abe687efad032a8c9205990c97a769fcd
Change-Id: Ib6b01356d785c5b7684520eef9f9d1fe48187582
(cherry picked from commit 8550488c7cf0c0ab2af06189aca5ad50c39e5276)</t>
  </si>
  <si>
    <t>Fix flaky CTS tests in ListPopupWindowTest
Bug: 128648841
Test: Ran atest android.widget.cts.ListPopupWindowTest 100 times
Change-Id: Ic1bde95ddc874bc653b3c3da962371a9beb8d755</t>
  </si>
  <si>
    <t>Fix CtsAssistTestCases for instant apps
Replaces instant to instant broadcasts with RemoteCallbacks.
Also refactors quite a bit of the tests and removes some broken
functionality/assumptions, mostly related to mis-use of latches
and awaits.
There are unforunately places where Thread.sleep is only solution,
since existing callbacks/events aren't sufficient.
Bug: 131386884
Bug: 131756109
Bug: 133379285
Test: atest CtsAssistTestCases
Test: atest CtsAssistTestCases --instant
Co-authored-by: Felipe Leme &lt;felipeal@google.com&gt;
Exempt-From-Owner-Approval: removal of owner
Change-Id: I5db7cb3ceacbb2a35103f5685223b46c0c8c5a0e
Merged-In: I5db7cb3ceacbb2a35103f5685223b46c0c8c5a0e
(cherry picked from commit 614097a9f7fe72525baf04c7b35c1d0a0a7ada9f)</t>
  </si>
  <si>
    <t>Do not allow adding custom Parcelable in Bundles
This CL prevents the API users from passing any Bundles with
custom Parcelable to following APIs:
 - MediaSession2.Builder#setExtras()
 - MediaController2.Builder#setConnectionHints()
 - MediaSession constructor
Bug: 135572812
Test: Passed followings tests
  atest CtsMediaTestCases:android.media.cts.MediaSessionTest;
  atest CtsMediaTestCases:android.media.cts.MediaControllerTest;
  atest CtsMediaTestCases:android.media.cts.MediaBrowserTest;
  atest CtsMediaTestCases:android.media.cts.MediaSessionManagerTest;
  atest CtsMediaTestCases:android.media.cts.MediaSession2Test;
  atest CtsMediaTestCases:android.media.cts.MediaController2Test;
  atest CtsMediaTestCases:android.media.cts.MediaSession2ServiceTest;
Change-Id: I45bd75fb2f553767ccd8b6bf77b22ee944ad6f91</t>
  </si>
  <si>
    <t>Camera: Respect device not supporting logical+physical stream combinations
logical+physical stream combination is not mandatory. Only run the test
if camera device explicitly claims support for a particular combination.
Test: testCameraDeviceLogicalPhysicalStreaming
Bug: 135688720
Change-Id: Id22cab45026bcfdb9e6d708371474611981d9be1</t>
  </si>
  <si>
    <t>Fix regression tests for SSLCertificateSocketFactoryTest hostname verification.
No longer relies on a server with a known bad TLS certificate, instead
connects to a known good server but installs a HostnameVerifier which
rejects all hostnames in order to test that verification is taking place
where expected.
Bug: 2807618
Bug: 134532880
Test: atest CtsNetTestCases
Test: atest CtsNetTestCases --instant
Change-Id: I7608047a75555296153459a45747ee83ec87db4b</t>
  </si>
  <si>
    <t>make nonexisting file in public.libraries.txt to fail
test_dlopenPublicLibrariesInRuntimeNamespace is generalized to
test_dlopenPublicLibraries which ensures that public libraries
1) hard-coded in CTS (NDK libraries and runtime libraries)
2) listed in /vendor/etc/public.libraries.txt
3) listed in /system/etc/public.libraries-&lt;company&gt;.txt
4) listed in /product/etc/public.libraries-&lt;company&gt;.txt
can be dlopened without error.
Bug: 133065146
Test: run android.jni.cts.JniStaticTest
Change-Id: I9b3c0497f02cfa2c5ba50e89d37ac6f2db9c14bd</t>
  </si>
  <si>
    <t>MmsProvider TestCases
Below listed all the testcases of MmsProvider class.
Bug: 124791757
Test: run atest CtsTelephonyProviderTestCases:MmsTest &amp; atest CtsTelephonyProviderTestCases:MmsPartTest
Change-Id: If1846ec0bd6e3ac6a0dcf6a599f9eee33b41bb50</t>
  </si>
  <si>
    <t>Revert "make nonexisting file in public.libraries.txt to fail"
This reverts commit aa64520329ab16ed7a223bc79ebff367401cb234.
Bug: http://b/136224173
Reason for revert: breaks presubmit test
Change-Id: I59f05867c5e530e5db4e089bad09195ed20b3c07</t>
  </si>
  <si>
    <t>Add CTS test, testTwoFingersSwipe, in TouchExplorerTest
Bug: 134124639
Test: cts-tradefed run singleCommand cts -d --module CtsAccessibilityServiceTestCases
Change-Id: I077751ead56d748379b81480b70dc66c9edb563b</t>
  </si>
  <si>
    <t>Fix test rule to dump accessibility data in timely manner
In order to dump accessibility data before service disabled and activity
closed, dumper rule must be placed in a inner rule.
- Move activity test rule to outer rule
- Wrapping stub a11y service en/disabling into a test rule
- Fix dumper that need flag to dump window/service info and nodetree
- The dumper now extends TestWatcher to gain more extension points
Bug: 114238915
Test: atest CtsAccessibilityTestCases CtsAccessibilityServiceTestCases
Change-Id: I1f3313fc4a823b34bc02c7898085dbca064050fe</t>
  </si>
  <si>
    <t>Revert "Revert "make nonexisting file in public.libraries.txt to fail""
This reverts commit e46f6dbede5c2b328d3edbc53fecb8f880e45eee.
Bug: 133065146
Test: run android.jni.cts.JniStaticTest on the new devices</t>
  </si>
  <si>
    <t>Increase timeout for multiuser IME tests
AMS.killApplication can kill the process during test run. The workaround
is to increase the timeout for NoOp tests.
Change-Id: Ibfc8ab3c697d523db7e166696cae9a274a4fb507
Fix: 136987482
Test: atest MultiUserTest</t>
  </si>
  <si>
    <t>Break-up ManageProfileTest.
Currently the shard that is running this test
dominates our presubmit run time. Splitting
it will allow for more equal sharing between
shards.
Test: atest
Bug: 136246406
Change-Id: I67c6318f0c4f4510ea79074d2cd2ae9affa1beac</t>
  </si>
  <si>
    <t>CtsGpuToolsHostTestsCases: Install packages before executing tests
This CL installs supporting packages by hand rather than relying
on the framework to do it, working around issues seen in partner
testing.  To do this:
* Import BaseHostJUnit4Test for installPackage
* Change test class to extend BaseHostJUnit4Test
* Remove overrides for device getters/setters
* Replace direct mDevice access with base getDevice
* Install required packages before testing
Bug: 130528132
Test: atest CtsGpuToolsHostTestCases
Change-Id: Ifbcb5985bc8e7bdd435b454547c34fb78ef00a79</t>
  </si>
  <si>
    <t>Fix #testComplexColorDrawableAttributeInflation()
It was using InstrumentationRegistry to get the test context, which was
breaking the test in instant app mode. This refactors it to use
AndroidTestCase#getContext(). It also fixes the spelling of the test.
Bug: 137139477
Test: atest android.content.res.cts.ResourcesTest
Change-Id: Ief25b83ab90a190f01371aa1269f483e110e49ee</t>
  </si>
  <si>
    <t>Add test for new APIs of RegionInScreen
Bug: 132146558
Test: a11y CTS &amp; unit tests
Change-Id: Ib2891df24626ddfc2bc80c934188c81a37d4c7fe</t>
  </si>
  <si>
    <t>Migrate AtomicInstallTest to cts.install.lib
Add API to cts.install.lib that supports AtomicInstallTest needs.
Migrate AtomicInstallTest to cts.install.lib
Reuse test apps from cts.install.lib.
Test: atest CtsAtomicInstallTestCases
Bug: 134653708
Fixes: 135182520
Change-Id: Ia256403a8aa24f6fd121a4d82a193ad430be7af7</t>
  </si>
  <si>
    <t>Move disabling battery saver to the base class
This way all battery tests will clean up after
themselves.
Bug: 135759873
Test: CtsBatterySavingTestCases
Change-Id: I3be01aa2df5e07b3c3fa31dbf32b05371ec3ebc6
Signed-off-by: Roman Kiryanov &lt;rkir@google.com&gt;</t>
  </si>
  <si>
    <t>Disable testVoiceMailNumber for now.
The test fails on CDMA due to a bug in the code. Will re-enable
the test once the bug is fixed.
Test: none. Just disabling a test.
Bug: 137515951
Change-Id: I51749d730de5aff335a69ba6a9d4fe8ac3bb1695</t>
  </si>
  <si>
    <t>Migrate StagedInstallTest to cts.install.lib
Migrate CtsStagedInstallHostTestCases to cts.install.lib.
Also migrate ApexShimValidationTest.
Reuse test apks from cts.install.lib.
Test: atest CtsStagedInstallHostTestSases
Bug: 134653708
Fixes: 135182067
Change-Id: I18de81165a9761fe18687e22a171bbd55447aa5a</t>
  </si>
  <si>
    <t>Move disabling battery saver to the base class
This way all battery tests will clean up after
themselves.
Bug: 135759873
Test: CtsBatterySavingTestCases
Change-Id: I3be01aa2df5e07b3c3fa31dbf32b05371ec3ebc6
Signed-off-by: Roman Kiryanov &lt;rkir@google.com&gt;
(cherry picked from commit c027c3457e58ae1f954613c6f1918ab87139c5b0)</t>
  </si>
  <si>
    <t>Ported CtsAssistTestCases to JUnit 4 and Truth.
Test: atest CtsAssistTestCases
Bug: 30839080
Bug: 137878080
Change-Id: Idfd3a52aacac610d77c6cf9556594aa6d930805b</t>
  </si>
  <si>
    <t>move locktask from DeviceOwner to DeviceAndProfileOwner
Bug: 133249781
Test: atest "com.android.cts.devicepolicy.MixedProfileOwnerTest#testLockTask"
Test: atest "com.android.cts.devicepolicy.MixedProfileOwnerTest#testLockTaskAfterReboot"
Test: atest "com.android.cts.devicepolicy.MixedProfileOwnerTest#testLockTaskAfterReboot_tryOpeningSettings"
Test: atest "com.android.cts.devicepolicy.MixedDeviceOwnerTest#testLockTask_unaffiliatedUser"
Test: atest "com.android.cts.devicepolicy.MixedDeviceOwnerTest#testLockTask_affiliatedSecondaryUser"
Change-Id: If0a9aa992712c50410a926eb22fcc90dd2ea81c3</t>
  </si>
  <si>
    <t>move locktask from DeviceOwner to DeviceAndProfileOwner
Change-Id: Ifb445002531600bd87b0fe60a90d549e1c7069ef
Merged-In: If0a9aa992712c50410a926eb22fcc90dd2ea81c3
Bug: 133249781
Test: atest "com.android.cts.devicepolicy.MixedProfileOwnerTest#testLockTask"
Test: atest "com.android.cts.devicepolicy.MixedProfileOwnerTest#testLockTaskAfterReboot"
Test: atest "com.android.cts.devicepolicy.MixedProfileOwnerTest#testLockTaskAfterReboot_tryOpeningSettings"
Test: atest "com.android.cts.devicepolicy.MixedDeviceOwnerTest#testLockTask_unaffiliatedUser"
Test: atest "com.android.cts.devicepolicy.MixedDeviceOwnerTest#testLockTask_affiliatedSecondaryUser"</t>
  </si>
  <si>
    <t>Revert "cts: testFlashTurnOff should allow FLASH_STATE_PARTIAL while turning flash off."
This reverts commit 508413980737c4ce8ea08e4e40059449aac67b19.
Bug: 137901595
Test: runtest -x CaptureRequestTest.java on multiple devices
Change-Id: Ibe4cb699841469d4ad86c7b41ff518da014ecbd7
Signed-off-by: Jayant Chowdhary &lt;jchowdhary@google.com&gt;</t>
  </si>
  <si>
    <t>add LockTask CTS test for dialers
Bug: 133249781
Test: atest "com.android.cts.devicepolicy.MixedProfileOwnerTest#testLockTask_defaultDialer"
Test: atest "com.android.cts.devicepolicy.MixedProfileOwnerTest#testLockTask_emergencyDialer"
Test: atest "com.android.cts.devicepolicy.MixedProfileOwnerTest#testLockTask_exitIfNoLongerWhitelisted"
Change-Id: I636b7bb5924f1c1b8f4fef6c98b1bdc528f7da60</t>
  </si>
  <si>
    <t>Revert "cts: testFlashTurnOff should allow FLASH_STATE_PARTIAL while turning flash off."
This reverts commit 508413980737c4ce8ea08e4e40059449aac67b19.
Bug: 137901595
Test: runtest -x CaptureRequestTest.java on multiple devices
Change-Id: Ibe4cb699841469d4ad86c7b41ff518da014ecbd7
Signed-off-by: Jayant Chowdhary &lt;jchowdhary@google.com&gt;
(cherry picked from commit 2f6b09906c06f2d3f8419e23e616429834bea2a2)</t>
  </si>
  <si>
    <t>Revert "[RESTRICT AUTOMERGE] CTS test for Android Security b/68320413"
This reverts commit dc5509b3ab6fc59ffe470dff4ea8be22c61ba6f0.
Reason for revert: Contains copywrite from Ittiam
Bug: 68320413
Change-Id: I6059593304d0ed7e88439d1f5940679206566629</t>
  </si>
  <si>
    <t>Fix shared uid permission test to match actual behavior.
Previously the test was passing APK path instead of package name to
PermissionManagerService so that it got the exception it expected. But
actually the behavior is the opposite if we fix that bug, and it's made
working this way deliberately in
BasePermission.enforceDeclaredUsedAndRuntimeOrDevelopment().
Exempt-From-Owner-Approval: The only owner is OOO.
Test: atest SharedUidPermissionsTest
Change-Id: I4391930efc4c409dee9cef8849f73132cf1673d7</t>
  </si>
  <si>
    <t>Revert "Disable failing tests in presubmit."
This reverts commit a35f8169ababb9f61ba44527e19f9d19917a4559.
Reason for revert: The test has been fixed by ag/9146866
Fixes: 138772432
Test: presubmit
Change-Id: Ief2c814338bbd96b49c8514a8322a6741d11a335</t>
  </si>
  <si>
    <t>Read hiddenapi-flags.csv file in chunks to avoid memory issues.
This test is failing for 3GB devices due to loading the whole file into
memory. This change reverts some runtime optimizations (parsing the file
in parallel ag/899574). From a local experiment the runtime regression
is 40%-66% and the runtime is now ~1m for each test case.
Based on  https://partner-android-review.googlesource.com/c/platform/cts/+/1419756.
Bug:138451655
Test: atest -p cts/tests/signature
Change-Id: I158e29ab077b4f2b2a50f11ecbe7dbf54d7bda43</t>
  </si>
  <si>
    <t>Read hiddenapi-flags.csv file in chunks to avoid memory issues.
This test is failing for 3GB devices due to loading the whole file into
memory. This change reverts some runtime optimizations (parsing the file
in parallel ag/899574). From a local experiment the runtime regression
is 40%-66% and the runtime is now ~1m for each test case.
Based on  https://partner-android-review.googlesource.com/c/platform/cts/+/1419756.
Bug:138451655
Test: atest -p cts/tests/signature
Change-Id: I158e29ab077b4f2b2a50f11ecbe7dbf54d7bda43
Merged-In: I158e29ab077b4f2b2a50f11ecbe7dbf54d7bda43</t>
  </si>
  <si>
    <t>Fix shared uid permission test to match actual behavior.
Previously the test was passing APK path instead of package name to
PermissionManagerService so that it got the exception it expected. But
actually the behavior is the opposite if we fix that bug, and it's made
working this way deliberately in
BasePermission.enforceDeclaredUsedAndRuntimeOrDevelopment().
Exempt-From-Owner-Approval: The only owner is OOO.
Bug: 139047227
Test: atest SharedUidPermissionsTest
Change-Id: I4391930efc4c409dee9cef8849f73132cf1673d7
(cherry picked from commit 5a41cd43634c8964ac962cd60a5d01ba0d2f3d83)</t>
  </si>
  <si>
    <t>Remove tests asserting the titles of the Panels
We shouldn't be asserting the title of the panels.
This conveniently fixes the waiver requests.
Bug: 139353752
Fixes: 139182607
Test: atest SettingsPanelTest
Change-Id: If35e4c1ef56b90905a3fdef20fdc93eca05b1874</t>
  </si>
  <si>
    <t>Added CTS tests for new onSharedPreferenceChanged behavior.
Bug: 119147584
Bug: 138293946
Test: atest android.content.cts.SharedPreferencesTest
Change-Id: I286a75925d2b858b4ff69b7f162204bd68b45237</t>
  </si>
  <si>
    <t>Remove polling of isActivePasswordSufficient()
Framework implementation for isActivePasswordSufficient has been
fixed to become synchronous again, so remove the polling hack
when checking for the result of isActivePasswordSufficient()
Bug: 37090873
Test: atest DeviceAdminHostSideTestApi24#testResetPassword_nycRestrictions
Test: atest DeviceAdminHostSideTestApi24#testRunDeviceOwnerPasswordTest
Test: atest MixedDeviceOwnerTest#testPasswordQualityWithoutSecureLockScreen
Test: atest MixedDeviceOwnerTest#testResetPasswordWithToken
Test: atest MixedDeviceOwnerTest#testPasswordSufficientInitially
Change-Id: Ia4509ae556488a826116049e61740b729582149d</t>
  </si>
  <si>
    <t>Migrate MediaScannerConnection to using call().
As part of getting MediaProvider to compile against supported APIs,
we're moving to the call() method instead of IMediaScannerService.
Bug: 137890034
Test: atest --test-mapping packages/providers/MediaProvider
Test: atest cts/tests/tests/media/src/android/media/cts/MediaScanner*
Change-Id: I1e0d49b686fa3ebc4981cea762fbe7f0f18b4945</t>
  </si>
  <si>
    <t>Pull service dumps to help debug test failures.
+ Convert tests to use Junit4
+ Add annotations to specify required conditions for the test to run.
Bug: 137859686
Test: atest hostsidetests/net/src/com/android/cts/net/HostsideRestrictBackgroundNetworkTests.java
Test: atest hostsidetests/net/src/com/android/cts/net/HostsideNetworkCallbackTests.java
Change-Id: I93317c201a0ea06732e29154ab7e140735381f59</t>
  </si>
  <si>
    <t>add LockTask CTS test for dialers
Bug: 133249781
Test: atest "com.android.cts.devicepolicy.MixedProfileOwnerTest#testLockTask_defaultDialer"
Test: atest "com.android.cts.devicepolicy.MixedProfileOwnerTest#testLockTask_emergencyDialer"
Test: atest "com.android.cts.devicepolicy.MixedProfileOwnerTest#testLockTask_exitIfNoLongerWhitelisted"
Change-Id: I636b7bb5924f1c1b8f4fef6c98b1bdc528f7da60
(cherry picked from commit 3906e04b846df21f05214922ba058ad889df4d77)</t>
  </si>
  <si>
    <t>Revert "Revert "[RESTRICT AUTOMERGE] Revert "CTS test for Android Security b/37710346"""
Bug: 72379138
Test: sts-tradefed
This reverts commit e405144243856ba6310682b960e19232144da05f.</t>
  </si>
  <si>
    <t>Revert "Revert "[RESTRICT AUTOMERGE] Revert "CTS test for Android Security b/37710346"""
This reverts commit 6c4d758fa27ef7c46d0ad37a0a118a84782100b2.
Bug: 72379138
Test: sts-tradefed</t>
  </si>
  <si>
    <t>Revert "Move default MimeMap implementation to frameworks."
This reverts commit 4811ae9c9d63dd5ecae1a00938bd22d00ef84d41.
Reason for revert: Caused slower app startup (I don't know why).
Change-Id: I468c763c8da7467f244dd03c99e87232d3524aed</t>
  </si>
  <si>
    <t>Change testing method name
Change original "testLargeAlbumArt" to "testGetEmbeddedPicutre" which is
more descriptive to what public method is being tested.
Bug: 139881607
Test: itself
Change-Id: Ic08b40cb17758200447caa29eadc3ef314490d96</t>
  </si>
  <si>
    <t>Rename AccessibilityGestureInfo
Rename AccessibilityGesutreInfo to AccessibilityGestureEvent
Bug: 139127300
Test: AccessibilityGestureDetectorTest
Change-Id: I2ba23c41760786e853fe7656316e086f8bc285ad</t>
  </si>
  <si>
    <t>Ported CtsVoiceSettingsTestCases to AndroidJUnit4 and Truth.
Bug: 140063828
Test: atest CtsVoiceSettingsTestCases
Change-Id: Ic3ea418a5d91120f28f2d1d29a3b96c579554f3e</t>
  </si>
  <si>
    <t>Remove flaky test from deprecated cross profile calendar feature.
Test: atest com.android.cts.devicepolicy.ManagedProfileCrossProfileTest#testCrossProfileCalendar
Fixes: 137670909
Change-Id: I4e0201901ff03c4b4a7ca3c371c6a4a8bb85d1c3</t>
  </si>
  <si>
    <t>Prepare for Android 10 Test Suite R2.</t>
  </si>
  <si>
    <t>Fix drag surface would be stuck (2/2)
Add test cases to test when perform drag-drop, the drag surface might
be stuck because transferTouchFocus is failed.
- Let DragDrop extends WindowManagerTestBase to prevent test fail
  because previous test failed or device is not in launcher.
- Add test for if the window can't receive touch like activity is closing,
  we should not allow the drag-drop.
- Add test for if there is no touch state, transferTouchFocus should fail
  and not allow the drag-drop.
Bug: 137819199
Test: atest DragDropTest
Change-Id: I5e749363ff1c07001627c8850a11256fd22ccda5</t>
  </si>
  <si>
    <t>CTS for synthetic activity check change
Check synthetic activity is injected, only when app has
a default enabled launcher activity.
Here are the 3 main tests:
- When an app has default enabled launcher activity, and that
activity is disabled afterwards, then system should return synthetic
activity.
- When an app has no default enabled launcher activity, then system
should not return synthetic activity.
- When an app has no permission, system should not return synthetic
activity.
Bug: 140477182
Test: atest LimitAppIconHidingTest
Test: atest LauncherAppsProfileTest
Test: atest DeviceOwnerTest#testNoHiddenActivityFoundTest
Change-Id: I86c38f6e8021d3107d27ece89e24e6519766e62f</t>
  </si>
  <si>
    <t>VideoCodecTest:Add test cases for AVC and HEVC
CtsMediaTestCases for AVC and HEVC with CBR and VBR mode were added and
tested.
Bug: 64134161
Test: This test is testing things as intended.
Change-Id: I47a441c395cd1100e91763cd0b9cc1d755375784</t>
  </si>
  <si>
    <t>Add ephemeral user tests into CtsMultiUserHostTestCases module
This change introduce two new tests to verify ephemeral user is removed
when switched away to another user and device reboot.
Bug: 138443627
Test: make CtsMultiUserHostTestCases; atest CtsMultiUserHostTestCases
Change-Id: I382bfbacd13c6ddaef436fe5f652c327e887e396</t>
  </si>
  <si>
    <t>MediaMuxerTest:different start time offsets for tracks
Added CTS cases to test if writer/muxer works good if tracks have
different start time offsets.
Bug: 132460676
Test: This itself is a test.
      atest android..media.cts.MediaMuxerTest
Change-Id: I549502c44694b27562cad4f58dc5a3a817740fc0</t>
  </si>
  <si>
    <t>Revert "Sanity check that permissions are indeed granted"
This reverts commit 44515b8236e5e1b8aae7d8f8ad1c2941bb389216.
Reason for revert: Unnecessary after root causing the issue.
Change-Id: Ibfbddebf3514020051a6bfb96a618d6a6992c7af</t>
  </si>
  <si>
    <t>DO NOT MERGE: Update BatteryStatsValidationTest skip checks
For sdk_gcar_x86 target to pass battery must not exist.
Skip check code taken from master.
Bug: 139538975
Test: atest com.android.server.cts
Change-Id: Iae7c1eca8ce366fe11e0cb8b0617f7f6c8f0b646</t>
  </si>
  <si>
    <t>CTS for synthetic activity check change
Check synthetic activity is injected, only when app has
a default enabled launcher activity.
Here are the 3 main tests:
- When an app has default enabled launcher activity, and that
activity is disabled afterwards, then system should return synthetic
activity.
- When an app has no default enabled launcher activity, then system
should not return synthetic activity.
- When an app has no permission, system should not return synthetic
activity.
Bug: 140477182
Test: atest LimitAppIconHidingTest
Test: atest LauncherAppsProfileTest
Test: atest DeviceOwnerTest#testNoHiddenActivityFoundTest
Change-Id: I86c38f6e8021d3107d27ece89e24e6519766e62f
Merged-In: I86c38f6e8021d3107d27ece89e24e6519766e62f
(cherry picked from commit 1c3ba04157725f0f9fd1189a271d0a0213f18ee5)</t>
  </si>
  <si>
    <t>Use junit-params
Remove most of the inner test looping in BitmapFactory in
favor of @Parameters. This ensures constant forward progress
to the test runner to avoid false-positive timeouts
Bug: 140938024
Test: This
Change-Id: I188f2e87c4a5f5b46fe068bd3465c9ec7d819a8e</t>
  </si>
  <si>
    <t>Clean up TouchExplorerTest.
1) Add expected result to test names.
2) Stop checking for TYPE_VIEW_FOCUSED because it doesn't relate to any of the tests.
Bug: 136131815
Test: atest CtsAccessibilityTestCases CtsAccessibilityServiceTestCases
Change-Id: I0913516a88a5cd79d2540cc8d045538ad2789c92</t>
  </si>
  <si>
    <t>Refactored CtsVoiceSettingsTestCases to use SettingsStateChangerRule.
Bug: 140063828
Test: atest CtsVoiceSettingsTestCases
Test: disable Google app and then run cts -m CtsVoiceSettingsTestCases
Change-Id: I22b3acb84b845004688c969a97f120d10547f8b9</t>
  </si>
  <si>
    <t>Make Camera cts tests parameterized to support system camera testing.
- Change camera2 cts test bases from AndroidTest -&gt; Parameterized test
  We run the camera cts tests once with system camera permissions (we
  adopt shell identity) and once without them. For these two runs, the
  camera ids used are mutually exclusive, therefore we don't expect to
  increase testing time.
- PerformanceTest.java and CameraTest.java still remain to be converted
  due to CtsVerifier's dependency on them, as a result
  Camera2AndroidBasicTestCase.java is a duplicated version of
  Camera2AndroidTestCase.java, just that it is an AndroidTestCase and not
  parameterized.
Bug: 138135360
Test: Mark camera id 0 as system; run CTS
Change-Id: If1305bfe59fbf3228c60544d0593596b673f50ca
Signed-off-by: Jayant Chowdhary &lt;jchowdhary@google.com&gt;</t>
  </si>
  <si>
    <t>Integrate crash parser into TestMedia and TestMediaCodec
Bug: 140568097
Run tests on Android/aosp_marlin/marlin:NMR1/NDE27K/3122367:userdebug/test-keys or equivalent.
Expect failures to be caught by crash parser.
Test: run cts -m CtsSecurityBulletinHostTestCases -t  android.security.cts.TestMediaCodec
Test: run cts -m CtsSecurityBulletinHostTestCases -t  android.security.cts.TestMedia
Change-Id: Ibe2aab97d9735283991aa8c7c4276e8da41051b8
Merged-In: Ibe2aab97d9735283991aa8c7c4276e8da41051b8</t>
  </si>
  <si>
    <t>[RESTRICT AUTOMERGE]: Integrate crash parser into TestMedia and TestMediaCodec
Bug: 140568097
Run tests on Android/aosp_marlin/marlin:NMR1/NDE27K/3122367:userdebug/test-keys or equivalent.
Expect failures to be caught by crash parser.
Test: run cts -m CtsSecurityBulletinHostTestCases -t  android.security.cts.TestMediaCodec
Test: run cts -m CtsSecurityBulletinHostTestCases -t  android.security.cts.TestMedia
Change-Id: Ibe2aab97d9735283991aa8c7c4276e8da41051b8</t>
  </si>
  <si>
    <t>Test for notifySessionResumed() and notifySessionPaused().
Bug: 139811826
Bug: 141568144
Test: atest CtsAutoFillServiceTestCases
Test: atest android.contentcaptureservice.cts.CustomViewActivityTest#testSessionLifecycleEvents
Change-Id: Ib4d75bc04f305f2e6e83a184d4dc78bcbf03cd29</t>
  </si>
  <si>
    <t>Remove embedded &amp; document launch always restrictions from a bubble
* No longer need the embedded flag as of ag/9341444
* Instead of requiring the app to specify documentLaunchMode=always we'll
  apply the relevant intent flags to force that behaviour; this CL
  updates bubble related tests to no longer specify documentLaunchMode or
  embedded
* Adds CTS to ensure that an activity in a bubble has the appropriate
  flags on the intent
Test: atest NotificationManagerTest
Test: manual - check that CTSVerifierApp still produces bubbles &amp; runs
      through the steps correctly
Bug: 138325285
Change-Id: I87ac01139e19e05b6c8caaee166c7ea954ee2592</t>
  </si>
  <si>
    <t>Revert "Add CTS of Outgoing Call Emergency Numbers for PhoneStateListener"
This reverts commit e25f8e3565b5c35044a2eea265fedc8fc294b9e5.
Reason for revert: &lt;Break the errorprone build&gt;
Change-Id: I74b9db0e373b5584473dbad7c586af31856c51b5</t>
  </si>
  <si>
    <t>Mitigate time outs from ImageDecoderTest
Bug: 133449129
Test: This
Use junit-params to split up long-running tests so they are less likely
to time out. testReuse was the most egregious offender - in a loop, it
tested several resources with several ImageDecoder.Sources each. Split
it up both by resource and type of Source. For most of the tests which
have not been flaky recently, split them up just by resource, for
consistency and just in case. Use only one Source for testMutable and
testLargeSampleSize (similar to
I32d1c709dcadd4093cc7ceb3fe171a6c810d7fb0), which by itself sped up
these two tests by about 75-80% on my blueline-userdebug.
Add getResources(), replacing the member variable mRes. Do the same for
mContentResolver.
Change-Id: I0f6311a8bcf879fd92a6f02cbd9a9d8d852420d9</t>
  </si>
  <si>
    <t>MimeMapTest: Drop 'defaultMap' terminology.
The terminology "default" was unclear because it referred to the default
of the currently tested platform implementation but could have been
misunderstood to mean stock Android's, which is also referred to in the
same test class.
This CL renames the field defaultMimeMap -&gt; mimeMap, and drops the prefix
"defaultMap_" from test methods names (replacing it with "bug" or tweaking
the rest of the method name, where appropriate). The prefix had historically
been added when these test methods were still part of libcore's MimeMapTest,
to distinguish them from tests that tested things other than the
platform's default map.
Bug: 141842930
Test: atest CtsMimeMapTestCases
Change-Id: I79476937410f36ee4813e47dd5295da6559616ed</t>
  </si>
  <si>
    <t>Reenable existing emergency call tests
Since it is now possible to place test emergency calls
in Telecom for CTS, reenable emergency call tests that
required its usage.
Bug: 138741228
Test: atest CtsTelecomTestCases
Change-Id: I527e3d6938c50433955683fc5303033d10d936d2</t>
  </si>
  <si>
    <t>Reduce the usage of pressHomeButton
Home key will trigger stopAppSwitches that may delay the next
activity launch. So except we are testing the behavior related
to home key, it is more efficiency to launch home by intent.
Speedup example:
  BackgroundActivityLaunchTest 203s -&gt; 78s
  ActivityLifecycleTopResumedStateTests 362s -&gt; 173s
Total elapsed time of
CtsWindowManagerDeviceTestCases presubmit: 1h30m -&gt; 1h7m
Also remove legacy PendingIntent hack because the real calling
uid will be checked since 84d9ebd.
Bug: 112837428
Test: atest CtsWindowManagerDeviceTestCases
Change-Id: I4881c4dee92c3cf54e8ba8277a032653dc84e23c</t>
  </si>
  <si>
    <t>Added cts test for Calls.FEATURE_VOLTE in call log.
Test: CTS test
Bug: 141264508
Change-Id: I76d262be0654b5c8c8dd35205bec852ecf73904b</t>
  </si>
  <si>
    <t>[DO NOT MERGE] Trigger lockNow() via a broadcast
At the moment when we need to lock the work profile, we execute a dummy test
case which calls lockNow(). This leads to problems because lockNow() will
result in all work apps including the test process being killed, which is
interpreted by tradefed as a test failure "Process crashed". To fix this
issue, we switch to sending a broadcast to  invoke lockNow().
Bug: 93278874
Bug: 142081203
Test: atest com.android.cts.devicepolicy.ManagedProfileTest#testResetPasswordWithTokenBeforeUnlock
Test: atest com.android.cts.devicepolicy.ManagedProfileTest#testResetPasswordTokenUsableAfterClearingLock
Test: atest com.android.cts.devicepolicy.ManagedProfileTest#testLockNowWithKeyEviction
Change-Id: Ib380fde4cb6376cacfd589a254398e1688868e54
Merged-In: Ib380fde4cb6376cacfd589a254398e1688868e54</t>
  </si>
  <si>
    <t>Update location CTS tests
-Add new classes to capture results from LocationListener,
PendingIntent, and GetCurrentLocation APIs
-Add new tests for a variety of untested LM methods
-Simplify GNSS tests which don't test much except that there isn't a
crash when invoked.
-Add tests around edge cases with null arguments.
-Add tests for new getCurrentLocation API
-Rewrite tests for requestLocationUpdates APIs to cover a larger segment
of use cases
-Add tests for minTime and minDistance paramters in location request
APIs
-Add more tests for getProvider* APIs
-Make CTS test less flaky by properly setting up and tearing down test
providers.
-Added more tests for Criteria APIs.
Test: LocationManagerTest
Change-Id: I9227d0bb3c5af17bc060b7eaf6bd95b362618f4d</t>
  </si>
  <si>
    <t>fix null context issue for CTS
TestCarrierService is created by empty constructor which has no context
attached. fix is to create test service by starting testService by
ServiceTestCase
Bug: 141935384
Test: cts
Change-Id: Iae630005d87cfa6526f93a6d63fefe14ce07f13e</t>
  </si>
  <si>
    <t>Add test for parsing Exif data from PNG
Bug: 138376314
Test: Run cts ExifInterfaceTest
Change-Id: I9a4121ec55e3bb71a893cea8a77092282ae3ed15</t>
  </si>
  <si>
    <t>Refactor LocationManager2Test
-Rename to make clear what test this is
-Move to standard CTS test location
-Create common library for use in location CTS tests
-Remove out of date tests
-Rewrite existing tests + add new tests
Test: atest LocationManagerCoarseTest
Change-Id: Ib254b781b4e194ac6d9680ef5bd207194a37c857</t>
  </si>
  <si>
    <t>Use PermissionUtils to grant permissions.
In order to set app ops and handle tri-state permissions correctly.
Test: atest PermissionTest
Change-Id: I3c9f8ff1ab30a7d2a7e9c046cb62b855d0a58d50</t>
  </si>
  <si>
    <t>Test the new WEBP_ Bitmap.CompressFormats
Bug: 135133301
Test: this
Expand existing tests to include the new formats.
Verify that WEBP at qualities below 100 match WEBP_LOSSY, and 100
matches WEBP_LOSSLESS.
Verify that WEBP_LOSSY at higher qualities results in a larger file, but
still looks mostly similar. (Move YuvImageTest.compareBitmaps to
BitmapUtils so we can reuse it here.)
Verify that WEBP_LOSSLESS looks exactly the same at different qualities
and as WEBP + 100 quality.
Change-Id: Iadbd8cf3b69a150b9e38ad556392346e1bb27084</t>
  </si>
  <si>
    <t>Revert "Add CTS to verify CellInfoNr method"
This reverts commit c76f6af0f8fbba617bffb9a653c815fe09e6c072.
Reason for revert: Instead of adding the test here, we'll add the test libcore api evolution test.
Change-Id: Id2391c70a1dfab9e68beaaa9e7ecedf9809e46a8</t>
  </si>
  <si>
    <t>CTS test for BooleanState CustomTile
Adds tests to check that the state assigned to the custom tile
corresponds to the metadata (State for TestTileService and BooleanState
for BooleanTestTileService).
The checks are done by dumping QSTileHost dependency, so changes to it
could break these tests.
Test: atest TileServiceTest BooleanTileServiceTest
Bug: 138579147
Change-Id: Ic31b53bb084e1eedf54c09a61e3198b5d96b5221
Exempt-From-Owner-Approval: juliacr getting owners for this.</t>
  </si>
  <si>
    <t>DO NOT MERGE Remove MediaPlayer2-related CTS tests
Test: m -j32 cts
Bug: 142495541
Change-Id: Ibaada9da63fb669247eba2bd6839d953865a6205</t>
  </si>
  <si>
    <t>Deprecates PipActivityTest
What's tested in PipActivityTest
- Enter PiP mode from fullscreen
- Verify PiP callbacks including onMultiWindowModeChanged and
onPictureInPictureModeChanged
- Leave PiP mode to fullscreen
All above have decent coverage in PinnedStackTests
- Multiple tests enter PiP mode under different conditions
- PiP callbacks are validated via
assertValidPictureInPictureCallbackOrder
- Leave PiP mode to fullscreen is validated in
waitForExitPipToFullscreen
Bug: 140749949
Test: N/A
Change-Id: I9e5b68d155c620b5170c8cc9011abbd3737482b3
Test
Change-Id: I31600e98507ee02f8ce1e9429d9840581320ac75</t>
  </si>
  <si>
    <t>Move calendar provider CTS to own CTS module
Change-Id: I0fd092aca4cbd31c1af0874e0c685fedab799ecc
Fix: 142809055
Test: atest CtsCalendarProviderTestCases</t>
  </si>
  <si>
    <t>Revert "RESTRICT AUTOMERGE"
This reverts commit 40e93f5ebd523b7523661cd55e4f991357026d45.
Reason for revert: reverting main change
Change-Id: I3311e8f35ee6e745a0b968086f66e388dffeb2a9
Test: atest CtsTextTestCases:android.text.cts.StaticLayoutTest
Test: manual verification using Maps app
Bug: 142134328</t>
  </si>
  <si>
    <t>Share compareBitmaps even more
Test: this
Follow on to Iadbd8cf3b69a150b9e38ad556392346e1bb27084, which moved
YuvImageTest's compareBitmaps into BitmapUtils for sharing. Rename
compareBitmaps to compareBitmapsMse, to distinguish it from the other
versions of compareBitmaps. Also add extra parameter specifying whether
the Bitmaps are premultiplied, and update the implementation to match
the version in BitmapFactoryTest. Make BitmapFactoryTest use
BitmapUtils.
Make BitmapRegionDecoderTest *also* use BitmapUtils. Its version had a
slight difference; it reused two static arrays for comparing pixels, so
it didn't need to reallocate each time it called compareBitmaps. (It
only reused them if the width and height matched TILE_SIZE, which was
not always the case.) I'm not convinced this memory savings in a test is
worth the duplicate code.
Add a version of the test method that asserts, simplifying the call
sites.
In ImageDecoderTest#testRespectOrientation, check the return value of
compareBitmaps. The images do not match exactly, so use
compareBitmapsMse.
Change-Id: I035d43a84bc0cc7752007a7be77ece790a52c883</t>
  </si>
  <si>
    <t>Rename HID tests from XxxTestCase to XxxTest.
To reduce redundancy in code.
Bug: None
Test: atest CtsHardwareTestCases
Change-Id: I8e41b2192f8c426bcbf258d308b256aa5007bcc0</t>
  </si>
  <si>
    <t>fix null context issue for CTS
TestCarrierService is created by empty constructor which has no context
attached. fix is to create test service by starting testService by
ServiceTestCase
Bug: 141935384
Test: cts
Change-Id: Iae630005d87cfa6526f93a6d63fefe14ce07f13e
Merged-in: Iae630005d87cfa6526f93a6d63fefe14ce07f13e</t>
  </si>
  <si>
    <t>Move NoLocationPermissionTest to new directory
Refactor and update NoLocationPermissionTest
-Removed 2 obsolete and incorrect test cases for getProvider.
-Added test cases for most other tests to test all providers, not just gps and network.
Bug: 142342493
Test: atest NoLocationPermissionTest
Change-Id: I007e0b20a1885e777fb9c6fcaa8fe446ae547ec2</t>
  </si>
  <si>
    <t>Add test for adding EXIF to PNG files
Bug: 138376314
Test: Run atest ExifInterfaceTest
Change-Id: Ic9b7f7f7d9f1eeb4cc3e657069ae0a0c9c6df5ca</t>
  </si>
  <si>
    <t>Revert "Check Cellular support before CarrierServiceTest."
This reverts commit edc8492c8ebd7e134a5d968a36cf44e9ee764498.
Reason for revert: @BeforeClass annotated methods do not run for ServiceTestCase test classes. This means that the sHasCellular flag is always false for this method, disabling the two test methods for all test runs.
Change-Id: I3598b5d6e3e5cdac1e851ec85896b8dc5aa63927</t>
  </si>
  <si>
    <t>Revert "Check Cellular support before CarrierServiceTest."
This reverts commit edc8492c8ebd7e134a5d968a36cf44e9ee764498.
Reason for revert: @BeforeClass annotated methods do not run for ServiceTestCase test classes. This means that the sHasCellular flag is always false for this method, disabling the two test methods for all test runs.
Change-Id: I3598b5d6e3e5cdac1e851ec85896b8dc5aa63927
Merged-In: I3598b5d6e3e5cdac1e851ec85896b8dc5aa63927
(cherry picked from commit f2f21285baae1f7967d96eace38ced7dc5c14f36)</t>
  </si>
  <si>
    <t>Add a test for window change at embedded display
Accessibility framework could receive the new window lists
if any window changes at embedded display after A11y service off and on.
Bug: 143113272
Test: atest AccessibilityEmbeddedDisplayTest
Change-Id: Ifa0605616a15d3ce7c7a685611fc2c6da7ee87ad</t>
  </si>
  <si>
    <t>Force icons into adaptive shape instead of restricting them
Test: atest NotificationTest
Bug: 138943209
Change-Id: Id640ad8bd13f81d204e88739c79dec3cc68ea0ef</t>
  </si>
  <si>
    <t>Reorganize CtsLocationTestCases into fine and gnss
Test: atest CtsLocationGnssTestCases, atest CtsLocationFineTestCases,
atest CtsLocationCoarseTestCases
Change-Id: I6afd96ab14ba5bc77cad10830880c9abba131696</t>
  </si>
  <si>
    <t>Convert tests to JUnit4 tests
Bug: 141606867
Test: None
Change-Id: I7e97965c923359384d9fccf49bc8083347d37bef</t>
  </si>
  <si>
    <t>Skip test if there's no accelerator and remove TFLite CPU test.
Bug: 141353636
Bug: 137150012
Test: CtsNNAPIBenchmarkTestCases
Change-Id: Ia4c543cbb7e4eeeba3febef6af1bcdb9f233ec4f</t>
  </si>
  <si>
    <t>Skip test if there's no accelerator and remove TFLite CPU test.
Bug: 141353636
Bug: 137150012
Test: CtsNNAPIBenchmarkTestCases
Change-Id: Ia4c543cbb7e4eeeba3febef6af1bcdb9f233ec4f
Merged-In: Ia4c543cbb7e4eeeba3febef6af1bcdb9f233ec4f
(cherry picked from commit fef7584fa028047d5aa222adb3f3c7d3e1916c57)</t>
  </si>
  <si>
    <t>Adds test case for keep the save UI while is showing
The new fill request should not trigger hide the save UI while is showing.
Bug: 139876545
Test: atest CtsAutoFillServiceTestCases:SimpleSaveActivityTest
Change-Id: Ic4f7bd631449d3866ad5583a617db0777568a88a</t>
  </si>
  <si>
    <t>No Display step for the HDR Capabilities test.
This test steps checks if Display.isHdr() and Display.getHdrCapabilities()
return correct results when no display is connected.
Screenshot: https://screenshot.googleplex.com/TSN8dZcGb06
(screenshot taken after all tests are run)
Video: https://drive.google.com/open?id=14-kYP-ioUcNzzG-wyq0eGex06EsKG2h1
Bug: 142391087
Test: Build and manually tested
Change-Id: I710a7703cd2d1e3867544d5e006a4e58b07a0a46</t>
  </si>
  <si>
    <t>Add ExternalResource rules to existing tests
Bug: 141606867
Test: None
Change-Id: I62502d90b0b634b3639b0f71ca18e0feb083d15a</t>
  </si>
  <si>
    <t>fix null context issue for CTS
TestCarrierService is created by empty constructor which has no context
attached. fix is to create test service by starting testService by
ServiceTestCase
Bug: 141935384
Test: cts
Change-Id: Iae630005d87cfa6526f93a6d63fefe14ce07f13e
Merged-In: Iae630005d87cfa6526f93a6d63fefe14ce07f13e
(cherry picked from commit b59450ee69b8d6225c8b62947502e4da14f9faab)</t>
  </si>
  <si>
    <t>Remove testAddingSync from ApiComplianceCheckerTest.
API txt files do not track synchronized keyword since http://aosp/859429.
Bug: 124445655
Test: atest signature-host-tests
Change-Id: I058609b0c401ca18b2d2043d5009b97e53608fa5</t>
  </si>
  <si>
    <t>Increase deadzone to avoid swiping open recents
There were many broken / flakey presubmit tests due to gesture
navigation being enabled. Here we increase the size of the
deadzone to avoid opening the recents page
Test: PermissionsHostTest
      RoleManagerTest
Fixes: 143187688
Exempt-From-Owner-Approval: cherry-pick
Change-Id: Ia65df3675cc8b8a1badc182c9a1ffa5a2b54aa47</t>
  </si>
  <si>
    <t>Add CTS tests for new outgoing call screening service binding rule.
Test: CTS
Bug: 135929421
Change-Id: Ia619056c9770483c70612ecfd2aed2adaceac98a</t>
  </si>
  <si>
    <t>Fix typo in test name.
Test: presubmit
Change-Id: Ic3e98cd98ba834eaa15774474792089f4581d2b1</t>
  </si>
  <si>
    <t>Tests for multiple splits installation/removal.
Had to add make files since Android.bp does not support splits yet
(b/140795853).
Test: atest PackageManagerShellCommandTest
Change-Id: I46a27a6ef0c56d55b176376647fe90a4d892cf3f</t>
  </si>
  <si>
    <t>Revert "Revert "Reorganize CtsLocationTestCases into fine and gnss""
This reverts commit 3e59c4f14b8a2f6a30546b12d70ad1594e995162.
Reason for revert: Fixed failure.
Change-Id: If662a9c30969257ccf7947bd5c070180b32590f6</t>
  </si>
  <si>
    <t>Overhaul some location CTS tests
Move manual tests into gnss directory so CTS verifier only depends on
gnss. This allows us to use modern dependencies in the other directories
without breaking CTS verifier.
Delete some tests that are illegally testing SystemApi. Filed bugs to
move these to GTS.
Assorted test cleanup and adding some new tests.
Bug: 143985450
Test: atest CtsLocationFineTestCases CtsLocationCoarseTestCases
CtsLocationNoneTestCases
Change-Id: I1f5168bc5277af9a0aaf25a096c36c17105e8a98</t>
  </si>
  <si>
    <t>Abandon sessions before and after each test (1/n)
So staged-install won't fail due to leftover sessions created by the
last test (which might fail half-way and leave an unclean state).
Bug: 143952207
Test: atest CtsRollbackManagerHostTestCases
Change-Id: I84712ce9d5b8b1ce76ea29c906d21ac4e6e3bfe2</t>
  </si>
  <si>
    <t>Migrate host side AE CTS tests to JUnit4.
This will allow the use of @BeforeClass &amp; @AfterClass
Bug: 137357853
Test: atest CtsDevicePolicyManagerTestCases
Change-Id: I295e156b445fead0e2de9df48f808597bcffa941</t>
  </si>
  <si>
    <t>Revert "Tests for multiple splits installation/removal."
Reason for revert: b/144167554
Change-Id: I2b9856336e5eae3c0ac7115919627fe0279742e1</t>
  </si>
  <si>
    <t>Revert "DO NOT MERGE Add more CTS tests for the security fix"
This reverts commit a90feddf8960947e26694eaaa5e40abb296b52cf.</t>
  </si>
  <si>
    <t>Revert "DO NOT MERGE Add CTS for sort field checks"
This reverts commit 51c14c70c39a2ca39bf9214a27c1dbeae559bf6c.</t>
  </si>
  <si>
    <t>Revert "DO NOT MERGE Add CTS test for the security fix backport"
This reverts commit 69798a0bbe8c28a9fb9286560f000fa7fe522e42.</t>
  </si>
  <si>
    <t>Add new CTS for background call audio
Add new CTS that tests behavior of the API compat logic -- make sure
that if a call goes into audio processing, then gets disconnected from
there, an app targeting an older SDK will never see anything about the
call.
Bug: 143049799
Test: CTS
Change-Id: Ie8ecf270b26b880dfa257e738ee460ba4e1a67eb</t>
  </si>
  <si>
    <t>Tests for multiple splits installation/removal.
Using existing APIs.
Test: atest PackageManagerShellCommandTest
Change-Id: I7c3aa95b1c020b8535ca3c43013c8409801182e4</t>
  </si>
  <si>
    <t>Add tests for incoming calls during Emergency calling cases
Adds new test cases for expected behavior of incoming
calls during emergency scenarios.
Also fixes miscellaneous failures.
Bug: 138741228
Test: atest CtsTelecomTestCases
Change-Id: I5a88256e5dd65845c07fb1d1f75eec9f4e74ebc5</t>
  </si>
  <si>
    <t>Remove openAppDetailsAndSetDefaultAppThenIsDefaultApp test.
The default app details page is already covered by other tests, so
this test is more like testing Settings, but Settings already has its
own unit test verifying the default app details page is launched from
app details page. Meanwhile, this test is causing a lot of test
flakiness because of UI hierarchy instability in app details setting
page, probably because it is loading part of its data async which is
nondeterministic, so the best solution here is to simply remove this
test.
Test: presubmit
Change-Id: I4282436b12efa6cf31796185c8b59c77c6b8e0e9</t>
  </si>
  <si>
    <t>Update existing tests for new permissions Ui
This change is for apps targeting Q- behavior. Allow always
button is removed in place of a link to AppPermission
Test: PermissionsHostTest
Bug: 144389816
Change-Id: Icb1a44b69adc17326f8359babc3e95a22d1e828c</t>
  </si>
  <si>
    <t>Renable MixedProfileOwnerTest#testLockTask_defaultDialer.
Bug: 138721077
Test: atest --generate-new-metrics 10 'CtsDevicePolicyManagerTestCases:com.android.cts.devicepolicy.MixedProfileOwnerTest#testLockTask_defaultDialer' -- --abi x86
Change-Id: I880d6a92f7e893a4a4e10f948901f50a024b2db6</t>
  </si>
  <si>
    <t>Add tests for staging multiple session with non-overlapping packages
Bug: 141843321
Test: atest StagedInstallTest#testAllowNonOverlappingMultipleStagedInstall_BothSinglePackage_Apk
Test: atest StagedInstallTest#testFailOverlappingMultipleStagedInstall_BothSinglePackage_Apk
Test: atest StagedInstallTest#testFailOverlappingMultipleStagedInstall_BothSinglePackage_Apex
Test: atest StagedInstallTest#testAllowNonOverlappingMultipleStagedInstall_MultiPackageSinglePackage
Test: atest StagedInstallTest#testFailOverlappingMultipleStagedInstall_BothMultiPackage
Test: atest StagedInstallTest#testMultipleStagedInstall_ApkOnly
Test: atest RollbackManagerHostTest#testApkOnlyMultipleStagedRollback
Test: atest RollbackManagerHostTest#testApkOnlyMultipleStagedPartialRollback
Change-Id: Id2ce942bba52f728f4a254f7439dad905b25a000</t>
  </si>
  <si>
    <t>Introduce 2 new test for PermissionsHostTest
For apps target Q or earlier
CUJ1: User prompted to go to settings, does nothing
CUJ2: User propmted to go to settings, downgrades from foreground to
denied
Test: PermissionsHostTest
Bug: 144389816
Change-Id: I71b6c2b49b4a02e5a18e0f1730fa232a70e72102</t>
  </si>
  <si>
    <t>Remove location dependencies from CtsVerifier, delete manual location tests
Test: make and install CtsVerifier, atest CtsLocationGnssTests
Change-Id: I2da747d5cb1e5e6a515d697d361fca49f0903dd3</t>
  </si>
  <si>
    <t>Remove obsolete key rotation test
Bug: 136002636
Test: atest StagedInstallTest
Change-Id: Ic8d79b02611849e39655c7dea9c6beff3619451a</t>
  </si>
  <si>
    <t>Change ToastTest to use a foreground toast
We were posting a toast while in the background to verify that toasts
were not clickable. This breaks with the background custom toast block
that we are also doing in R. So, instead we now post a foreground toast
by means of starting an activity that will post the toast (instead of
doing so with a broadcast receiver).
Bug: 128611929
Test: atest CtsWindowManagerDeviceTestCases:ToastTest
      1. Passes with ag/9699132
      2. Passes without ag/9699132
Change-Id: Ie76c956687b26f7980a5a07661783fd018e7a647</t>
  </si>
  <si>
    <t>Adopt shell perm instead of granting permission in Settings_NameValueTableTest
The test needs an app-op to execute the test. Before the test had to
wait until the op was really set. It is much more reliable to insetad to
adopt the shell perm identity as it already has the app-op set and there
is no need to wait.
Fixes: 141793699
Test: atest Settings_NameValueTableTest
Change-Id: I70c67ab3bfd00bd694737b030580858da16bba1c</t>
  </si>
  <si>
    <t>Run EglConfigTest in a Single Activity
Creating a new Activity to run each iteration for EglConfigTest is
not compatible with both normal Android and Android Auto. Instead,
a single Activty will be used with the logic running on a background
thread and the rendering occurring on the UI thread. This means that
only the GLSurfaceView is created/destroyed each iteration rather than
the full Activity.
Bug: 144129937
Test: atest android.opengl.cts.EglConfigTest#testEglConfigs
Change-Id: I2797378ecc610045136abb103fe988f52fd7a7d5</t>
  </si>
  <si>
    <t>Modify test cae for adding more error codes.
Modify test case for setPreferredOpportunisticDataSubscription and updateAvailableNetworks
Test: run atest.
1.atest TelephonyManagerTest#testPreferredOpportunisticDataSubscription
[1/1] android.telephony.cts.TelephonyManagerTest#testPreferredOpportunisticDataSubscription: PASSED (1.662s)
2.atest TelephonyManagerTest#testUpdateAvailableNetworks
[1/1] android.telephony.cts.TelephonyManagerTest#testUpdateAvailableNetworks: PASSED (534ms)
Bug: 130595455
Change-Id: I388c090f6399fa27922738b6520792290b70ae8b</t>
  </si>
  <si>
    <t>Add test where trusted old key can continue to update package
When a key is rotated by a new key, the new key may continue trusting
the old key. In such case, the old key should be able to update the
package.
Bug: 136002636
Test: atest StagedInstallTest#testTrustedOldKeyIsAccepted
Test: atest CtsStagedInstallHostTestCases
Test: atest CtsRollbackManagerHostTestCases
Change-Id: I134ad44d5928a408f81e4d82a776f9a3497b8140</t>
  </si>
  <si>
    <t>Overhaul location CTS tests
-remove deprecated dependencies
-move gnss specific dependencies to gnss folder
-move common classes into common folder
-fix LocationManagerFineTest behavior on pre-R devices
Test: atest CtsLocationFineTestCases CtsLocationGnssTestCases
Change-Id: Ief2259e63406db14154838baaeb84b416a425e6e</t>
  </si>
  <si>
    <t>Migrate AtomicInstallTest to cts.install.lib
Add API to cts.install.lib that supports AtomicInstallTest needs.
Migrate AtomicInstallTest to cts.install.lib
Reuse test apps from cts.install.lib.
Test: atest CtsAtomicInstallTestCases
Bug: 134653708
Fixes: 135182520
Change-Id: I44168e0ae24147ee3ad06f0763068bb7cf144fe1
Merged-In: Ia256403a8aa24f6fd121a4d82a193ad430be7af7</t>
  </si>
  <si>
    <t>Migrate StagedInstallTest to cts.install.lib
Migrate CtsStagedInstallHostTestCases to cts.install.lib.
Also migrate ApexShimValidationTest.
Reuse test apks from cts.install.lib.
Test: atest CtsStagedInstallHostTestSases
Bug: 134653708
Fixes: 135182067
Change-Id: I22e5f1ab1da29c0d1dcee5fe488bff0bec548840
Merged-In: I18de81165a9761fe18687e22a171bbd55447aa5a</t>
  </si>
  <si>
    <t>Fix flakey test case in ActivityManagerApi29Test
Before start ActivityManagerApi29Test, the device screen needs to be
turned on. Move turnScreenOn() methods into a separate file
CtsAppTestUtils.java.
Also, a little refactor in CommandReceiver.java to start foreground
service by component name instead of .class to allow across package
service start.
Bug: 140644406
Test: atest CtsAppTestCases:ActivityManagerApi29Test
atest CtsAppTestCases:ActivityManagerProcessStateTest
Change-Id: I5debddfd9112fd3a8e2534da731aa71ef4274c34</t>
  </si>
  <si>
    <t>Revert "No Display step for the HDR Capabilities test."
This reverts commit 72a2f058675973c14e637927aaabe63e4ae57bb3.
Reason for revert: For Android 10, we will be certifying proper hotplug capabilities in the Smoke Test instead of CTS.
Test: mma
Bug: 144991392
Change-Id: I17a2a48c56f87191ed4c84980a1b461640a878c5</t>
  </si>
  <si>
    <t>Revert "Empty test for display HDR capabilites."
This reverts commit feaf57d452c6b0694e2ae78bbe15054c3540f738.
Reason for revert: For Android 10, we will be certifying proper hotplug capabilities in the Smoke Test instead of CTS.
Test: mma
Bug: 144991392
Change-Id: Icca45d7a8564fcf0be031cc3f517eda8f7482192</t>
  </si>
  <si>
    <t>Fix testRawQueryNXDomain in DnsResolverTest
This test can not pass in T-Mobile Network becauseT-Mobile
has configured their network to return a "search page" when
the user looks up a name that doesn't exist.
Enable private DNS before doing nxDomain test.
Bug: 144521720
Test: atest MultinetworkApiTest
Change-Id: Ib4ef0843ebad0a897150d2bc30386b51126deeb4</t>
  </si>
  <si>
    <t>Rename PO Device IDs access -&gt; Org Owned device
Repurpose the "Profile Owner was granted access to device identifiers"
to "Profile Owner of an Organization-owned device".
No functional changes: This change just renames the method and
permission name in tests to match framework changes.
Bug: 138709470
Test: atest com.android.cts.devicepolicy.MixedManagedProfileOwnerTest#testDeviceIdAttestationForProfileOwner
Test: atest CtsDevicePolicyManagerTestCases:com.android.cts.devicepolicy.OrgOwnedProfileOwnerTest
Test: atest com.android.cts.devicepolicy.MixedManagedProfileOwnerTest#testDelegatedCertInstallerDeviceIdAttestation
Change-Id: Ifec0fe8d1b5faaab5ed6a740c6590edf7cc2d9ab</t>
  </si>
  <si>
    <t>Deprecate DPM.resetPassword()
Remove positive CTS tests of DPM.resetPassword. Add tests to verify
deprecation behaviour of DPM.resetPassword
Bug: 137939224
Test: atest MixedManagedProfileOwnerTestApi25#testResetPasswordDeprecated
Test: atest MixedProfileOwnerTestApi25#testResetPasswordDeprecated
Test: atest MixedDeviceOwnerTestApi25#testResetPasswordDeprecated
Test: atest MixedManagedProfileOwnerTest#testResetPasswordDeprecated
Test: atest MixedProfileOwnerTest#testResetPasswordDeprecated
Test: atest MixedDeviceOwnerTest#testResetPasswordDeprecated
Test: atest DeviceAdminHostSideTestApi23
Test: atest DeviceAdminHostSideTestApi24
Test: atest DeviceAdminHostSideTestApi29
Change-Id: Ic74f731c46ef5b6fd7df706713f167156675a8c8</t>
  </si>
  <si>
    <t>DecoderTest: add testLowLatencyVp9
Also fix calculation of average latency
Test: this test
Bug: 134970151
Change-Id: I326dbed92746418c3ac4e712ab33bd7a0fa848f8</t>
  </si>
  <si>
    <t>Add Car-Mode InCallService CTS tests.
Created two CarModeTestApp sub-apps within the Telecom CTS test. These
share the android.telecom.cts UID; this is important as we need to adopt
shell permission to get access to the CONTROL_INCALL_EXPERIENCE permission
which is required to bind.
These tests verify switching behavior mode when apps enter and exit car
mode at various priority levels.
Test: Created new comprehensive CTS tests.
Bug: 144345414
Change-Id: I458789cf5a9224314fd9a6bb658406c4fdb140c6</t>
  </si>
  <si>
    <t>Abandon sessions before and after each test (1/n)
So staged-install won't fail due to leftover sessions created by the
last test (which might fail half-way and leave an unclean state).
Bug: 143952207
Test: atest CtsRollbackManagerHostTestCases
Change-Id: I84712ce9d5b8b1ce76ea29c906d21ac4e6e3bfe2
Merged-In: I84712ce9d5b8b1ce76ea29c906d21ac4e6e3bfe2</t>
  </si>
  <si>
    <t>Fix testRawQueryNXDomain in DnsResolverTest
This test can not pass in T-Mobile Network becauseT-Mobile
has configured their network to return a "search page" when
the user looks up a name that doesn't exist.
Enable private DNS before doing nxDomain test.
Bug: 144521720
Test: atest MultinetworkApiTest
(cherry picked from commit 5bffff7bf21bb197ac31b21b1db84337618ca107)
Change-Id: Iaa0e65813c4fb426d16f1a4a6e430d6501d68767</t>
  </si>
  <si>
    <t>Test lock screen owner information control by profile owner
Test that the profile owner on an organization-owned device can set and
get the owner information shown on the lock screen.
This is done by moving the LockScreenInfoTest to the
DeviceAndProfileOwner test app, and moving the host-side tests to the
MixedDeviceOwnerTest and OrgOwnedProfileOwnerTest.
Also test that the lockscreen owner info set is removed when the profile
is removed.
Bug: 138709470
Test: atest CtsDevicePolicyManagerTestCases:com.android.cts.devicepolicy.MixedDeviceOwnerTest#testLockScreenInfo
Test: atest CtsDevicePolicyManagerTestCases:com.android.cts.devicepolicy.OrgOwnedProfileOwnerTest
Change-Id: Ida91a89026fe6b041dab7b1eeeab809c1a48eb4f</t>
  </si>
  <si>
    <t>Update accessibility shortcut CTS tests
Bug: 136293963
Test: atest AccessibilityShortcutTest
Change-Id: I9c08e55c27e24a7060abaae1064d96720c696579</t>
  </si>
  <si>
    <t>Using TestWatcher to initial and finalize the test.
Bug: 143249163
Test: atest android.view.textclassifier.cts.TextClassifierServiceTest
Change-Id: I190a043751f1afff8bca636a3c4eddd43e1d2dd6</t>
  </si>
  <si>
    <t>Logging for CTS Verifier Test for HDR Capabilities
Added logging for the test. Log messages appear on the screen
and in the produced report file.
Screenshot 1: https://screenshot.googleplex.com/G7tgQWJWj3m
Screenshot 2: https://screenshot.googleplex.com/yOEM73wQytp
(exported report containing logs).
Bug: 142391087
Test: Manual
Change-Id: I2cb85c7eb0184bfd23042c177e6807e8455ca924</t>
  </si>
  <si>
    <t>Update joystick CTS tests
We made a few changes to joystick tests internally. Update the aosp
version to reduce the difference.
1) Add "source" field
2) Rename "TestCase" -&gt; "Test"
3) Update OWNERS
4) Update manifest
Bug: none
Test: atest MicrosoftXboxOneSTest
Change-Id: I05b5e02eec5d397e17ae942e0a003531ba6ddc66</t>
  </si>
  <si>
    <t>Add tests for ACTION_MANAGE_APP_OVERLAY_PERMISSION intent
Verifying that if an activity that satifies such intent is present then
the caller has to have INTERNAL_SYSTEM_WINDOW to start it.
Test: atest TestManageOverlayPermissionIntents
      (with other topic CL in Settings)
Test: atest TestManageOverlayPermissionIntents
      (without other topic CL in Settings - the activity can be absent)
Bug: 135920175
Change-Id: I17cd1f7ecc5cf35d042603e7cf62a5e250de7d40</t>
  </si>
  <si>
    <t>Revert submission
Reason for revert: Potential culprit for b/145602966 - Verifying through Forrest before revert submission
Test: n/a
Change-Id: I5938fe60283bcf9e785c011125c9ddba66a71d68</t>
  </si>
  <si>
    <t>Don't use ActivityManagerTestBase
Test: atest NotificationManagerTest
Bug: 145602966
Change-Id: I4785cf9b66fd480c7c7df65e0f4f7b205689ac73</t>
  </si>
  <si>
    <t>Device Identifiers Access: Test Profile Owner
Test that a profile owner on a personally-owned device can no longer
access device identifiers.
However, a profile owner on an organization-owned device should still be
able to access all identifiers.
Bug: 145336515
Test: atest FrameworksServicesTests:DevicePolicyManagerTest
Test: atest CtsDevicePolicyManagerTestCases:com.android.cts.devicepolicy.OrgOwnedProfileOwnerTest#testProfileOwnerCannotGetDeviceIdentifiersWithoutPermission
Test: atest CtsDevicePolicyManagerTestCases:com.android.cts.devicepolicy.OrgOwnedProfileOwnerTest#testProfileOwnerCanGetDeviceIdentifiers
Test: atest ManagedProfileTest#testProfileOwnerOnPersonalDeviceCannotGetDeviceIdentifiers
Test: atest DeviceOwnerTest#testDeviceOwnerCanGetDeviceIdentifiers
Change-Id: I856b34cb25b4ad06e0dc0f0d5d33bcb32866867d</t>
  </si>
  <si>
    <t>Revert "Don't use ActivityManagerTestBase"
This reverts commit 799a5677300adb8ad53240d8f25004e8395dceed.
Reason for revert: the test doesn't actually pass
Change-Id: I2b871f3eaa774ea3d788bcf119db93533acbf5da</t>
  </si>
  <si>
    <t>Improve code that decides whether Ethernet should be supported.
Currently, ConnectivityManagerTest checks whether the device
supports Ethernet by checking whether the OEM has configured it
in the networkAttributes array, or whether the Ethernet service
is running. It does this because devices that support USB host
mode enable Ethernet even if the OEM does not add Ethernet to
the networkAttributes array.
Unfortunately this does not work in instant mode because instant
apps cannot query the Ethernet service due to selinux policies.
In addition to querying whether the service is running (which
will continue to work in non-instant mode), also assume that
Ethernet is supported if the FEATURE_ETHERNET or FEATURE_USB_HOST
PackageManager flags are present.
This fixes various ConnectivityManagerTest testcases on devices
that support USB host mode but where the OEM has not added
Ethernet to the networkAttributes array.
Bug: 137630789
Bug: 143850345
Bug: 145482540
Test: atest android.net.cts.ConnectivityManagerTest#testIsNetworkSupported
Test: atest --instant android.net.cts.ConnectivityManagerTest#testIsNetworkSupported
Change-Id: Ie8a701f607967576a45c6b3c4f25c9c003aa3165</t>
  </si>
  <si>
    <t>Improve code that decides whether Ethernet should be supported.
Currently, ConnectivityManagerTest checks whether the device
supports Ethernet by checking whether the OEM has configured it
in the networkAttributes array, or whether the Ethernet service
is running. It does this because devices that support USB host
mode enable Ethernet even if the OEM does not add Ethernet to
the networkAttributes array.
Unfortunately this does not work in instant mode because instant
apps cannot query the Ethernet service due to selinux policies.
In addition to querying whether the service is running (which
will continue to work in non-instant mode), also assume that
Ethernet is supported if the FEATURE_ETHERNET or FEATURE_USB_HOST
PackageManager flags are present.
This fixes various ConnectivityManagerTest testcases on devices
that support USB host mode but where the OEM has not added
Ethernet to the networkAttributes array.
Bug: 137630789
Bug: 143850345
Bug: 145482540
Test: atest android.net.cts.ConnectivityManagerTest#testIsNetworkSupported
Test: atest --instant android.net.cts.ConnectivityManagerTest#testIsNetworkSupported
Change-Id: Ie8a701f607967576a45c6b3c4f25c9c003aa3165
Merged-In: Ie8a701f607967576a45c6b3c4f25c9c003aa3165
(cherry picked from commit fcae258101cea3273e90524bc31eb102f2879fde)</t>
  </si>
  <si>
    <t>getWifiMacAddress: Test access from org-owned profile owner
Test that a profile owner on an organization-owned device can call
DevicePolicyManager.getWifiMacAddress.
As this used to be device owner-only functionality, the wifi test has
been moved to the deviceandprofileowner package, and the negative test
for a profile owner on a personal device has been added to this class.
The tests are now solely called from the deviceandprofileowner host side
test.
Bug: 138709470
Bug: 145308393
Bug: 145336515
Test: atest CtsDevicePolicyManagerTestCases:com.android.cts.devicepolicy.MixedDeviceOwnerTest#testWifi
Test: atest CtsDevicePolicyManagerTestCases:com.android.cts.devicepolicy.MixedManagedProfileOwnerTest#testWifiMacAddress
Test: atest CtsDevicePolicyManagerTestCases:com.android.cts.devicepolicy.OrgOwnedProfileOwnerTest#testWifi
Change-Id: I526e65e22d35ba52cf4f6986f9ff9b5ad005b0db</t>
  </si>
  <si>
    <t>Make sure test bubble activity goes background
This also removed the overkill and unnecessary
dependency of ActivityManagerTestBase.
Test: atest NotificationManagerTest
Bug: 145602966
Change-Id: I327977b0a5b0011d5924ae0a3743e14e0d911f3c</t>
  </si>
  <si>
    <t>Mitigate time outs from ImageDecoderTest
Bug: 133449129
Bug: 143329072
Test: This
Cherry-picked from master to improve memory use on some devices.
Use junit-params to split up long-running tests so they are less likely
to time out. testReuse was the most egregious offender - in a loop, it
tested several resources with several ImageDecoder.Sources each. Split
it up both by resource and type of Source. For most of the tests which
have not been flaky recently, split them up just by resource, for
consistency and just in case. Use only one Source for testMutable and
testLargeSampleSize (similar to
I32d1c709dcadd4093cc7ceb3fe171a6c810d7fb0), which by itself sped up
these two tests by about 75-80% on my blueline-userdebug.
Add getResources(), replacing the member variable mRes. Do the same for
mContentResolver.
Change-Id: I0f6311a8bcf879fd92a6f02cbd9a9d8d852420d9</t>
  </si>
  <si>
    <t>Generalize opus channel/rate test
now covers G711 codec.
Bug: 144772513
Bug: 143346761
Test: atest android.media.cts.DecoderTest#testDecodeOpusChannelsAndRates
Test: atest android.media.cts.DecoderTest#testDecodeG711ChannelsAndRates
Change-Id: I5df1cad4394572dfe492c71f50fac3725ded8f6b</t>
  </si>
  <si>
    <t>Modify test cae for adding more error codes.
Modify test case for setPreferredOpportunisticDataSubscription and updateAvailableNetworks
Test: run atest.
1.atest TelephonyManagerTest#testPreferredOpportunisticDataSubscription
[1/1] android.telephony.cts.TelephonyManagerTest#testPreferredOpportunisticDataSubscription: PASSED (1.662s)
2.atest TelephonyManagerTest#testUpdateAvailableNetworks
[1/1] android.telephony.cts.TelephonyManagerTest#testUpdateAvailableNetworks: PASSED (534ms)
Bug: 130595455
Merged-In: I388c090f6399fa27922738b6520792290b70ae8b
Change-Id: I388c090f6399fa27922738b6520792290b70ae8b</t>
  </si>
  <si>
    <t>Remove flakiness of testTargetDeviceAdminServiceBound.
Instead of checking if the service has started on the
app side, we now check it on the server side with an
adb shell command.
Test: atest com.android.cts.devicepolicy.DevicePlusProfileOwnerHostSideTransferTest#testTargetDeviceAdminServiceBound
Bug: 143126346
Bug: 142843403
Change-Id: I90665a680f688d505e3594d40671ebaf09cc1f79</t>
  </si>
  <si>
    <t>Harden the compatibility tests for extensions
No extension versions yet -- implementations must return 0.
This test will change as new versions are released.
Bug: 143937446
Test: treehugger
Change-Id: Ia07f306098cd02ec3aec253bddeb2def9da297ae</t>
  </si>
  <si>
    <t>Remove testMkvWithoutCueSeek test
The test file has key frames at 0, 1.92 and 5.96 seconds, and the test
does 3 seeks to 3000 ms, with flags SEEK_CLOSEST, SEEK_PREVIOUS_SYNC and
SEEK_NEXT_SYNC.
The SEEK_PREVIOUS_SYNC test expects a position greater than or equal to
5960 ms, which is wrong because the previous sync would be 1920 ms.
In addition, the SEEK_PREVIOUS_SYNC test is exactly the same as the
SEEK_NEXT_SYNC test, which doesn't make sense.
Bug: 143618626
Bug: 143347340
Bug: 141833958
Bug: 142298430
Test: build
Change-Id: If9161682824a8e6611167acb9dfdc405cc69d39b</t>
  </si>
  <si>
    <t>Verify that empty crop Rects throw an Exception
Bug: 135133301
Test: This
In addition, merge animated and non-animated versions of the crop tests.
Change-Id: Idf64474f28c0bf3f77616a31d843d84fbfd570ab</t>
  </si>
  <si>
    <t>WebView: disable flaky tests
No change to logic.
This disables several tests which have been flaking due to a Network
Service change. Our tests don't seem to support @Ignore (probably
because they're not on JUnit4 yet), so this renames so the test runner
won't run them.
Bug: 143381499
Test: atest CtsWebkitTestCases:WebViewClientTest
Change-Id: I5c61cb028cbae2adbc35508a7a7ae6fc252192c6</t>
  </si>
  <si>
    <t>Refactored CtsVoiceSettingsTestCases to use SettingsStateChangerRule.
Bug: 140063828
Test: atest CtsVoiceSettingsTestCases
Test: disable Google app and then run cts -m CtsVoiceSettingsTestCases
Change-Id: I22b3acb84b845004688c969a97f120d10547f8b9
(cherry picked from commit d92c062c01e3edd3661b831c51620ddbd33bf4ef)</t>
  </si>
  <si>
    <t>[DO NOT MERGE] Remove flakiness of testTargetDeviceAdminServiceBound.
Instead of checking if the service has started on the
app side, we now check it on the server side with an
adb shell command.
Test: atest com.android.cts.devicepolicy.DevicePlusProfileOwnerHostSideTransferTest#testTargetDeviceAdminServiceBound
Bug: 143126346
Bug: 142843403
Change-Id: I90665a680f688d505e3594d40671ebaf09cc1f79
(cherry picked from commit f6afa8b2808f1642fb6a053057d797e3f93211aa)</t>
  </si>
  <si>
    <t>Convert Camera Performance Test to JUnit4
Test: Run test locally
Test: Build CtsVerifier and test locally
Bug: 145607733
Change-Id: I81e568304f162bf0584931238c98078909ca4015</t>
  </si>
  <si>
    <t>Fix CTS tests for inclusion in MTS
- Ignore the testRevokePermission test in CarrierConfigManagerTest due to
an appops issue
- Remove an obsolete SMS financial app test
- Add proper packages for telephony's permission policy test
Bug: 145232009
Bug: 146007053
Fixes: 142755182
Test: atest CtsTelephonyTestCases
Change-Id: If23f0929119554e641ceda3080c22bd2041c894b</t>
  </si>
  <si>
    <t>Restore CTS test for pre-q TelephonyPermssion
Though the TelephonyPermission needs a system permission, but this permission is needed by the
the caller which is either system or telephony, not the users of a bunch of APIs in this test.
The new system permission in the refactored TelephonyPermission class shouldn't affect the
 previous testing result of returning null on a bunch of APIs. Therefore, it shouldn't need a
 ShellItentityUtil to adopt system permission to run call these APIs.
Bug: 145688189
Test: This CL revert a previous change of a CTS test. As long as the corresponding test
 passes Treehugger, it should be good to go.
Change-Id: Ib5282d672e2b81e6d430e8ccbd4928cdc6c76809</t>
  </si>
  <si>
    <t>Integrate crash parser into TestMedia and TestMediaCodec
Bug: 140568097
Run tests on Android/aosp_marlin/marlin:NMR1/NDE27K/3122367:userdebug/test-keys or equivalent.
Expect failures to be caught by crash parser.
Test: run cts -m CtsSecurityBulletinHostTestCases -t  android.security.cts.TestMediaCodec
Test: run cts -m CtsSecurityBulletinHostTestCases -t  android.security.cts.TestMedia
Change-Id: Ibe2aab97d9735283991aa8c7c4276e8da41051b8</t>
  </si>
  <si>
    <t>Revert submission
Reason for revert: Causes regressions tracked in:
b/145900622
b/145864909
b/145948923
Change-Id: Ie3ca9b31b2a32389e83cb41d9e77988bb7c2c7ed</t>
  </si>
  <si>
    <t>Revert "[RESTRICT AUTOMERGE] CTS test for Android Security b/120644655"
This reverts commit 0019895272bf9405e7f99f696fe7bedb1b7c07cb.
Bug: 120644655
Bug: 128930802
Test: none
Reason for revert: doesn't compile on lunch 2
Change-Id: Ie1033bdcd3c6242fe7a8d0ed75dfe8bbff990926</t>
  </si>
  <si>
    <t>Shuffling to prepare for MediaProvider APEX.
An upcoming change will move MediaStore to be within the recently
created MediaProvider APEX.  This means that MediaStore will need to
be fully built against @SystemApi, and so this CL adjusts APIs to
support a clean transition:
-- Listing of "recent" storage volumes and scan paths for "internal"
storage is now handled by StorageManager directly, so that partners
retain control over what is deemed recent.
-- StorageVolume now returns the MediaStore volume name and the
filesystem directory where its contents are presented to apps.
-- Conversion of legacy thumbnail "kind" values to dimensions now
happens directly inside MediaStore.
-- PendingParams and PendingSession are completely removed.
-- Contributed media APIs are completely removed.
-- Media for demo users is now surfaced as a unique StorageVolume.
-- Migrate most MediaStore APIs to accept ContentResolver, which
supports easy usage of ContentResolver.wrap().
Bug: 144247087, 137890034
Test: atest --test-mapping packages/providers/MediaProvider
Change-Id: Ic034f30bbc59507289df58f0b86ed60ff36a9a4b</t>
  </si>
  <si>
    <t>Revert "CTS test for Android Security b/120644655"
This reverts commit 9ea8759fff3286615970ae895e29e4faa22a60f4.
Bug: 120644655
Bug: 128930802
Test: none
Reason for revert: doesn't compile on lunch 2
Change-Id: Ie1033bdcd3c6242fe7a8d0ed75dfe8bbff990926
Merged-In: Ie1033bdcd3c6242fe7a8d0ed75dfe8bbff990926</t>
  </si>
  <si>
    <t>Proper check for wallpaper support on CtsContentTestCases.
That class extends TestCase, which fails when using assumeTrue()
Test: atest CtsContentTestCases:android.content.cts.ContextTest#testAccessWallpaper CtsContentTestCases:android.content.cts.ContextTest#testGetWallpaperDesiredMinimumHeightAndWidth
Bug: 145299714
Change-Id: I50f65ff54c882ccf6c06eef5a81e649cbadc72df</t>
  </si>
  <si>
    <t>Remove testing for default user restrictions in DO
Do not test for default user restrictions in Device Owner mode as there
are none.
Note these tests will need further work once the restriction on adding a
managed profile is permanently set on Device Owners.
Bug: 138709492
Test: atest CtsDevicePolicyManagerTestCases:com.android.cts.devicepolicy.DeviceOwnerPlusProfileOwnerTest
Test: atest CtsDevicePolicyManagerTestCases:com.android.cts.devicepolicy.UserRestrictionsTest
Test: atest CtsDevicePolicyManagerTestCases:com.android.cts.devicepolicy.DeviceAndProfileOwnerHostSideTransferTest
Change-Id: Ieec2ef30305e247d464a8f976f0fbe9b09ec67a1</t>
  </si>
  <si>
    <t>Set set-force-adoptable to run AdoptableHostTest correctly
AdoptableHostTest requires PROP_ADOPTABLE system property to be set for
all the tests to run. All the tests in AdoptableHostTest need to run in
the same boot time except for the testFeatureConsistency test. It
checks if the value of PROP_ADOPTABLE at boot time is consistent with
the current value. Therefore, it needs reboot.
Separated the tests that need to run in the same boot sequence and the
one that needs reboot by creating a new test class.
Bug: 144683017
Test: atest AdoptableHostTest
Test: atest AdoptableFeatureConsistentTest
Test: atest --test-mapping packages/providers/MediaProvider | grep "AdoptableHostTest"
Test: atest --test-mapping packages/providers/MediaProvider | grep "AdoptableFeatureConsistentTest"
Change-Id: I21f15ec19ab5fc10246876575d8f9635adcaf3ee</t>
  </si>
  <si>
    <t>DO NOT MERGE - Proper check for wallpaper support on CtsContentTestCases.
That class extends TestCase, which fails when using assumeTrue()
Test: atest CtsContentTestCases:android.content.cts.ContextTest#testAccessWallpaper CtsContentTestCases:android.content.cts.ContextTest#testGetWallpaperDesiredMinimumHeightAndWidth
Bug: 145299714
Change-Id: I50f65ff54c882ccf6c06eef5a81e649cbadc72df
(cherry picked from commit da41599d04f49e2d429e125bd4d2da7efbfafd12)</t>
  </si>
  <si>
    <t>Proper check for wallpaper support on CtsContentTestCases.
That class extends TestCase, which fails when using assumeTrue()
Test: atest CtsContentTestCases:android.content.cts.ContextTest#testAccessWallpaper CtsContentTestCases:android.content.cts.ContextTest#testGetWallpaperDesiredMinimumHeightAndWidth
Fixes: 145299714
Change-Id: I50f65ff54c882ccf6c06eef5a81e649cbadc72df
(cherry picked from commit da41599d04f49e2d429e125bd4d2da7efbfafd12)
(cherry picked from commit e671378ae9c4da32973d94a3df4b2e388e2718ab)</t>
  </si>
  <si>
    <t>Move MediaStore.java inside APEX boundary.
Recent work has paved the way to get MediaStore.java building against
"core_platform", and this change is actually shifting MediaStore.java
inside the MediaProvider APEX boundary.
This involves defining a new "updatable-mediaprovider" library JAR
and ensuring that it's spliced into classpaths where needed to keep
everything building and working.
Note that the MediaProvider APK itself is still bundled, so we're
manually including the MediaStore.java when building that APK so that
we can continue referencing @hide symbols, but there's a STOPSHIP
comment to remove that once we get the APK building against
"system_current".
Bug: 144247087
Test: atest --test-mapping packages/providers/MediaProvider
Change-Id: I409d7dc0783aa2d17b5798558961750d133b03f6</t>
  </si>
  <si>
    <t>Remove ProfileOwnerTest#testWifi
Test has been moved to DeviceAndProfileOwnerTest by ag/9853376.
Test: atest com.android.cts.devicepolicy.ProfileOwnerTest
Bug: 146368919
Change-Id: If4fe686ee265359075fff281b834463c05cd214e</t>
  </si>
  <si>
    <t>Add CTS for switchToInputmethod API
Verify if the current IME is switched by this API.
Bug: 145710994
Test: atest AccessibilitySoftKeyboardTest
Change-Id: I7dc517d576022990fc842929dd2970a1ed9a223b</t>
  </si>
  <si>
    <t>Remove CTS tests for hidden apis
Bug: 146662742
Test: atest  android.car.cts.CarUxRestrictionsManagerTest
Change-Id: If503550f306dfb0d7d9d99a141f06542824fff6e</t>
  </si>
  <si>
    <t>Add basic test cases for userspace reboot
Test: atest CtsUserspaceRebootHostSideTestCases
Bug: 135984674
Change-Id: Ic933d556cda4dafc6ff59461bdd682ae82095003</t>
  </si>
  <si>
    <t>Revert submission 9996524-restrict_legacy_appop
Reason for revert: Potential culprit for Bug 147134548 - verifying through Forrest before revert submission
Reverted Changes:
I63a26fd59: Verify scoped storage policy for R
I86dfaec89: Prevent apps that target &gt;= R from opting out of s...
Change-Id: I86fe7418c7e03f4540bdfae7b6649046bc781226</t>
  </si>
  <si>
    <t>cts: Remove testImageCapture from MediaStoreUiTest
Remove the test since the way it capture image and confirm result is
fragile. These checks logic would be moved to CTS verifier instead.
Bug: 143191192, 143260675
Test: cts-tradefed run cts -m CtsProviderTestCases
Change-Id: I4dcded8188285d9f4a267a27b577beab5f7d3fd8</t>
  </si>
  <si>
    <t>CTS bubble policy: remove non-communication bubbles when app is foreground
We're no longer allowing any notification to be a bubble if the app is
foreground; it must always fulfill the communication policy.
- removed foreground tests
- added test to ensure that it's not a bubble just because app is
  foreground
- added additional test to ensure that if the bubble fulfills messaging
  communication policy (person, inline reply), it doesn't get to bubble
  if it also has a foreground service but not category call
Test: atest NotificationManagerTest
Bug: 138116133
Bug: 144352570
Change-Id: I967587c40595049a3808967178b978f9ad5a8c99</t>
  </si>
  <si>
    <t>[RCS] Add CTS tests for IMS RCS Registration
Add new cts tests for the implementation of the IMS RCS registration commands.
Bug: 139260826
Test: atest ImsServiceTest
Change-Id: I1fdab990a36444fd298c8c46960051df01ea4dee</t>
  </si>
  <si>
    <t>Added test for new Dataset APIs related to inline suggestions.
Bug: 146453536
Test: atest android.autofillservice.cts.DatasetTest
Change-Id: Iaf99e08aa9a5fec776a1b73926a7cc913406c118</t>
  </si>
  <si>
    <t>Disable animations in CTS theme ProgressBar &amp; update ReferenceImageTest.java to androidx
cherry-pick from previous fix to problem of CTS theme ProgressBar not rendering in time causing test failure.
In addition, updated ReferenceImagesTest.java (to androidx so that LOCAL_SDK_VERSION of test_current can be ran.
Bug: 143049967
Change-Id: Iebd5ee02948e7c6f103a7faf575aca3a90b47b4a
Fix: 121330993
Test: atest android.theme.cts.ThemeHostTest#testThemes
Merged-In: Ibfb064a1c6a200a983e1e02df67f4bf82f11946c</t>
  </si>
  <si>
    <t>Add tests for AImageDecoder
Bug: 135133301
Bug: 139124386
Test: This
Add AImageDecoderTest.java and its native counterpart for testing the
APIs of AImageDecoder.
Add Utils.java for sharing code between different tests.
Move BitmapFactoryTest#obtainPath into Utils.java
ImageDecoderTest:
- make various methods and classes package-private so they can be used
  by AImageDecoderTest.
- Add Record.isGray and (Asset)Record.hasAlpha and a grayscale Record to
  exercise AImageDecoder features.
- Move getAsResourceUri into Utils.
Change-Id: Ib84462ea5fa8a7779eaa44494775e182e52ecaca</t>
  </si>
  <si>
    <t>CTS tests for createRequestInteractAcrossProfilesIntent.
BUG: 140728653
BUG: 136249261
Test: atest CrossProfileAppsPermissionHostSideTest
Change-Id: I1656c5eb50731c5c6542cadf7061ee4b2f1ccde4</t>
  </si>
  <si>
    <t>Revert "Test AndroidBitmap_getDataSpace"
Revert submission 9940762-_getDataSpace
Reason for revert: Breaks build: http://screen/kBMYHusKiOV.png
Reverted Changes:
Ie05a45da3: Implement AndroidBitmap_getDataSpace
I7a5fcb726: Test AndroidBitmap_getDataSpace
Ia46dfb39d: Add AndroidBitmap_getDataSpace
Change-Id: Ie8eeb6e2d0942dbd0e56ff15adff90a70ffd2edc</t>
  </si>
  <si>
    <t>CTS tests for additional listeners on NotificationAssistantService
Checks methods onNotificationVisibilityChanged, onPanelHidden,
onPanelRevealed exist.
Test: this
Bug: 147149509
Change-Id: I0e88627a0593720f2a6662f5c97a690b4fd519d4</t>
  </si>
  <si>
    <t>Add tests for job scheduling limits.
Make sure apps are able to successfully schedule jobs when they should
and that FAILURE is returned when apps hit limits.
Bug: 144363383
Test: atest CtsJobSchedulerTestCases
Change-Id: I38a1e70405208bfccbcd003a0c88f2359fa291e7</t>
  </si>
  <si>
    <t>[RESTRICT AUTOMERGE] Updated AdbUtils.java and memutils file
Added functions in AdbUtils.java which enable testing for both hangs and crashes
Updated memutils file to support different configurations
Bug: 147497306
Test: none
Change-Id: I554ac7674317cf203206411b69e6e4ef31883e75</t>
  </si>
  <si>
    <t>Updated AdbUtils.java and memutils file
Added functions in AdbUtils.java which enable testing for both hangs and crashes
Updated memutils file to support different configurations
Bug: 147497306
Test: none
Change-Id: I554ac7674317cf203206411b69e6e4ef31883e75</t>
  </si>
  <si>
    <t>Updated AdbUtils.java and memutils file
Added functions in AdbUtils.java which enable testing for both hangs and crashes
Updated memutils file to support different configurations
Bug: 147497306
Test: none
Change-Id: I554ac7674317cf203206411b69e6e4ef31883e75
Merged-In: I554ac7674317cf203206411b69e6e4ef31883e75</t>
  </si>
  <si>
    <t>Remove WifiManager CTS test using TxPacketCountListener
TxPacketCountListener is @hide and only used for
CTS. Remove the test using this altogether.
Bug: 144036594
Test: atest android.net.wifi.cts.WifiManagerTest
Change-Id: Iac42c7dca4ca5cbbae6c464530319975e8d1571e</t>
  </si>
  <si>
    <t>Test COMP mode is disabled
Test that a device can no longer enter into COMP mode by having a device
owner and a profile owner.
Tests associated with this mode have either been removed or converted to
negative tests to verify this mode cannot be set.
Test: atest CtsDevicePolicyManagerTestCases:com.android.cts.devicepolicy
Bug: 145271440
Change-Id: I1532cf1c7c3dd21cc491c870c8b7f4c926776417</t>
  </si>
  <si>
    <t>Bubble CTS: BubbleMetadata#setShortcutId
* Tests the builder &amp; parcel methods
* Tests throwing / not throwing depending on what data is filled in
* Tests overwriting icon / intent after shortcut is set and vice versa
* Tests that FLAG_BUBBLE only gets applied if the shortcut exists, tests
  for manifest (dont allow) &amp; dynamic (allow) defined shortcuts.
* Tests that FLAG_BUBBLE is removed if the shortcut is removed
  while the bubble is active.
Test: atest NotificationTest NotificationManagerTest
Bug: 138116133
Bug: 144352570
Change-Id: I5651b5d4d74fc3602d11e17d2a13e35676532ae0</t>
  </si>
  <si>
    <t>Update testExtServicesPresent
Test: atest RequiredComponentsTest
BUG: 147663325
Change-Id: I8a9919287a5737ffe9c02e9b67dd5a7cd7e87d8c</t>
  </si>
  <si>
    <t>Change car CTS to use only test APIs and disable offending tests
- All tests should be updated to use only public or test APIs
- Use of hidden / system API will generate build error
- Disable problematic tests which uses hidden or system API. Those tests should
  be fixed with separate CLs.
  CarBluetoothTest disabled.
  CarTrustedDeviceTest removed as the test is not relevant for CTS.
Bug: 146596417
Test: atest CtsCarTestCases
Change-Id: I0bf44d8b799514ba4c1d85b57aabe3b67b096cd9</t>
  </si>
  <si>
    <t>Update tests for rename to setUnpremultipliedRequired
Bug: 135133301
Test: This
Change-Id: I48e49ee08ab1954eddf62ecae87942aeb128c10d</t>
  </si>
  <si>
    <t>Fix WifiSetHttpProxyTest#testSetHttpProxy test
WifiSetHttpProxyTest adds new wifi configuration and then
retrieves that configuration from WifiManager and verifies it.
Local variable "conf" used for new wifi config was reused for retrieved
wifi config, causing test results to be misleading.
Also refactored WifiConfigCreator#addHttpProxyNetworkVerifyAndRemove
to increase its readability.
Bug: 133486263
Test: arcts-tradefed run arcts
Change-Id: I39662e6edf9400015ef0062fd980a6156fc0c0d3</t>
  </si>
  <si>
    <t>Update profile owner of org-owned device global restrictions
Added CTS tests to test the recently added user restrictions
in the list of user restrictions that are applied globally
when set on the parent profile DPM instance by the profile
owner of an organization-owned device.
Added a CTS test to ensure that the user restrictions set on
the parent profile DPM are enforced.
Bug: 147339402
Test: atest com.android.cts.devicepolicy.OrgOwnedProfileOwnerTest#testDevicePolicyManagerParentSupport
      atest com.android.cts.devicepolicy.OrgOwnedProfileOwnerTest#testUserRestrictionsSetOnParentAreEnforced
Change-Id: Iaf41855214f3ffc4f58fdd89ad3687d58374910e</t>
  </si>
  <si>
    <t>Don't rely on root in CtsUserspaceRebootHostSideTestCases
Instead use adb shell sm commands to check whenever fs checkpointing is
supported/start fs checkpointing.
Test: atest CtsUserspaceRebootHostSideTestCases
Bug: 135984674
Change-Id: I9f08058a0a9398b8ccf7645ebee8ce41b4f89988</t>
  </si>
  <si>
    <t>Don't rely on root in CtsUserspaceRebootHostSideTestCases
Instead use adb shell sm commands to check whenever fs checkpointing is
supported/start fs checkpointing.
Test: atest CtsUserspaceRebootHostSideTestCases
Bug: 135984674
Change-Id: I9f08058a0a9398b8ccf7645ebee8ce41b4f89988
Merged-In: I9f08058a0a9398b8ccf7645ebee8ce41b4f89988
(cherry picked from commit b77f5b557613614000dc3256f38f6d5a1d6ed5e7)</t>
  </si>
  <si>
    <t>Disable testDecodeResourceSampled
Bug: 147749998
Test: This
It's failing CTS. Unblock CTS while I investigate.
Change-Id: I9e42f15ef9db2770a9e4173be9e731e321e91759</t>
  </si>
  <si>
    <t>AudioRecordTest: add test for privileged capture sources
Extend testVoiceCallAudioSourcePermissions to check all
audio sources requiring a privileged permission.
Bug: 135717621
Test: AudioRecordTest#testRestrictedAudioSourcePermissions
Change-Id: Iad40b793cdfdef3c428c79ad5261d55558354807</t>
  </si>
  <si>
    <t>Move CStoDS into a separate class
Bug: 135133301
Bug: 139124386
Test: This
This will allow sharing with tests for AImageDecoder.
Change-Id: Ia69c7d129598f6d92e77c9ba0892238cf7e5d3c6</t>
  </si>
  <si>
    <t>Tests for multi-file streaming installation.
Test: atest PackageManagerShellCommandTest
Bug: b/136132412
Change-Id: Iac6e3e01c2c47131a28d74952ced120d97510568</t>
  </si>
  <si>
    <t>Adjust tests for new insets dispatch behavior
Bug: 118118435
Test: self
Change-Id: I77182c9b243fa6caa6495b640cc635b5205b0ca5</t>
  </si>
  <si>
    <t>Add Toast tests
In preparation for moving text toasts to system UI, using new callback
API introduced in topic CL so we can keep the tests for text toasts.
I decided to keep old tests that used getView().getParent() for custom
toasts and renamed them accordingly to not lose coverage.
In addition to all of this, also copied tests in current form (not using
callback API) to a test suite targeting SDK 29, since these will not be
affected by the move to system UI and won't have the callback API
available.
Small bug fix in one of the tests that finished leaving a toast in the
queue, causing the next test to fail sometimes because of a time-out.
Fix was to just wait for the toast to be hidden before finishing the
test.
Note for reviewers to ease review:
Base..1: Just a copy of cts/ToastTest.java to cts29/ToastTest.java
1..&lt;latest&gt;: Rest of the changes
So, feel free to review 1..&lt;latest&gt; to see only the changes from the copied
file instead of as a whole new file.
Bug: 128611929
Bug: 144754526
Test: atest android.widget.cts.ToastTest android.widget.cts29.ToastTest
Change-Id: I94a714eccd9ad7c595ddaa2196629f444494a10d</t>
  </si>
  <si>
    <t>Add tests for CrossProfileApps#startActivity with intent.
Test: atest com.android.cts.devicepolicy.CrossProfileAppsHostSideTest
Bug: 136249261
Change-Id: I445f983c5e455fe112315d907257dcfa8336fc14</t>
  </si>
  <si>
    <t>Add CTS for BlobStoreManager APIs.
This change verifies the following APIs:
- BlobStoreManager.{create,open,delete}Sesison()
- BlobStoreManager.Session.{openWrite,openRead,close,abandon}()
- BlobStoreManager.Session.allow*Access()
- BlobStoreManager.Session.commit()
- BlobStoreManager.openBlob()
- BlobStoreManager.{acquire,release}Lease()
More tests will be added in follow-up cls.
Bug: 143559646
Test: atest cts/tests/BlobStore/src/com/android/cts/blob/BlobStoreManagerTest.java
Change-Id: I056f201ef3bd8edaf69148637243f2065bf6c567</t>
  </si>
  <si>
    <t>Revert "selinux: test that bind() fails on netlink route sockets"
This reverts commit 2fb3ed9386d70f0616da751eadae2823b02d4121.
Reason for revert: Droidcop-triggered revert due to breakage https://android-build.googleplex.com/builds/quarterdeck?testMethod=testNoNetlinkRouteBind&amp;testClass=android.security.SELinuxTargetSdkTest&amp;atpConfigName=cts%2Fcts_presubmit_pilot_4-cloud-tf&amp;testModule=CtsSelinuxTargetSdkCurrentTestCases&amp;fkbb=6150168&amp;lkbb=6150294&amp;lkgb=6150165&amp;testResults=true&amp;badBuildCount=6&amp;branch=aosp-master&amp;target=aosp_cf_x86_phone-userdebug, bug b/148049462
Change-Id: I95b3f0dc21e35fa15219ad5370701a7ca43cdeed</t>
  </si>
  <si>
    <t>Remove CheckpointHostTest
This test was only introduced to ensure all devices were patched against
b/138952436, which was necessary because the patches were introduced
after q had shipped. There is no need to retain this test in R,
especially since looking for log lines is a very flaky kind of test.
Bug: 143231532
Bug: 145161092
Test: CTS compiles
Change-Id: I849d995eda962e5c93b324430cd91580d4c79a2f</t>
  </si>
  <si>
    <t>cts: Remove testImageCapture from MediaStoreUiTest
Remove the test since the way it capture image and confirm result is
fragile. These checks logic would be moved to CTS verifier instead.
Bug: 143191192, 143260675
Test: cts-tradefed run cts -m CtsProviderTestCases
Merged-In: I4dcded8188285d9f4a267a27b577beab5f7d3fd8
Change-Id: I4dcded8188285d9f4a267a27b577beab5f7d3fd8</t>
  </si>
  <si>
    <t>Add CTS test for bindServiceAsUser to restrict to calling package
BUG: 136249261
Test: atest ContextCrossProfileHostTest
Change-Id: I0b9c3778f649fa00a6ef8e2996070fbc4e8511b3</t>
  </si>
  <si>
    <t>Fix Q legacy storage test
On Q devices, any app can request legacy storage access. On R devices,
only &lt;=Q apps can request legacy.
We now change the test app testing legacy storage behavior to
explicitly target Q so that Enviroment#isExternalStorageLegacy returns
true for that app.
Test: atest android.appsecurity.cts.ExternalStorageHostTest#testMediaSandboxedFull
Bug: 147612781
Change-Id: I4d5859a6f9a3de58227192f5eb193114f6a8af8c</t>
  </si>
  <si>
    <t>Fix JobScheduler connectivity tests.
The connectivity test is using deprecated code (deprecated in
https://android-review.googlesource.com/c/platform/frameworks/base/+/849389/).
The CL only marked those APIs as deprecated though. They didn't change
the behavior, so I don't know why the CTS test was failing. Updating
it to the recommended code fixes the failures there.
Bug: 138253466
Test: atest CtsJobSchedulerTestCases:ConnectivityConstraintTest
Test: atest CtsJobSchedulerTestCases:JobThrottlingTest
Change-Id: If6d670c75e68befe67a1e46cfbccff23bcba2e8d</t>
  </si>
  <si>
    <t>Update toast tests for system UI move
Changing assertions mostly about absence of a view now.
Bug: 128611929
Bug: 144754526
Test: atest android.widget.cts.ToastTest
Change-Id: I586cdec1cabb54ea04237e97bd0f00ccaa131105</t>
  </si>
  <si>
    <t>CTS tests for corp-owned profile owner calling  OTA APIs
Restructure existing system update related APIs for device owners
to also run by corp-owned profile owners.
Test: atest com.android.cts.devicepolicy.OrgOwnedProfileOwnerTest#testSystemUpdatePolicy
Test: atest com.android.cts.devicepolicy.OrgOwnedProfileOwnerTest#testInstallUpdate
Test: atest com.android.cts.devicepolicy.MixedDeviceOwnerTest#testSystemUpdatePolicy
Test: atest com.android.cts.devicepolicy.MixedDeviceOwnerTest#testInstallUpdate
Test: atest com.android.cts.devicepolicy.MixedDeviceOwnerTest#testInstallUpdateLogged
Bug: 147414327
Change-Id: I808285ab5435b95f3e1b3272b9bbabbafbf11d30</t>
  </si>
  <si>
    <t>Move crossProduct into Utils
Test: This
For cleaner sharing with other tests.
Change-Id: I09f2994daf29687457edeff56fdd731d2aa0722c</t>
  </si>
  <si>
    <t>Verify that ColorSpace is unchanged by encode
Bug: 147877556
Test: this
We no longer force F16 to be encoded to P3. Verify that we retain the
original ColorSpace when encoding.
Change-Id: I72b5f28903a67445bc205cdad8848384ad675b31</t>
  </si>
  <si>
    <t>Add CTS tests for new UCE APIs
Bug: 111305845
Test: atest CtsTelephonyTestCases:ImsServiceTest
Test: atest CtsTelephonyTestCases:ImsMmTelManagerTest
Test: atest CtsTelephonyTestCases:RcsUceAdapterTest
Change-Id: I302b4cc4ac860e33384b942180c795c72f5eb4bb</t>
  </si>
  <si>
    <t>Delete RCS related tests for now.
The tests were anyway disabled, and the corresponding source code
has been deleted as well now.
Test: basic sanity
Bug: 140908357
Change-Id: I1b61d14083b60819ea5256d52f91260f40218778</t>
  </si>
  <si>
    <t>Add tests to verify blobstore data persistence.
Bug: 143559646
Test: atest CtsBlobStoreHostTestCases
Change-Id: I771663e0ffe52c68a3469651be38b0f5e43fc84d</t>
  </si>
  <si>
    <t>Add 'test' prefix to device-side methods
This is required to be executed with the CTS infrastructure that we use.
Fixes: 146902684
Test: atest CtsDevicePolicyManagerTestCases:com.android.cts.devicepolicy.MixedDeviceOwnerTest#testLockTask_defaultDialer
Change-Id: Ibc6a4428b074b9a7d533827eb2e9954d89f6df8a</t>
  </si>
  <si>
    <t>Update CTS test
The CellBroadcastIntents API is being modified to be less lenient,
so this CL updates the CTS test.
Bug: 144108192
Test: atest CellBroadcastIntentsTest
Change-Id: I045d0faa0bef6265158a555c8a64bf5347fe48a0</t>
  </si>
  <si>
    <t>Revert "CTS test for Android Security b/137879783"
This reverts commit 1f63f1e069eb54e261ed351aac6d6837b7ebfd36.
Reason for revert: Android can't open this file without additional work.
Bug: 137879783
Bug: 147236855
Test: sts-tradefed run sts-engbuild-no-spl-lock -m CtsSecurityTestCases -t android.security.cts.StagefrightTest#testStagefright_cve_2019_10488 # test doesn't run
Change-Id: I6f35851e0365f46da07bce0751a7c339547e70c2</t>
  </si>
  <si>
    <t>Add tests to verify that blobs in different users are isolated.
Bug: 143559646
Test: atest cts/tests/BlobStore/src/com/android/cts/blob/BlobStoreManagerTest.java
Change-Id: Id96685598d9bbaeb8f27b48c7a4dd27adaf8edf8</t>
  </si>
  <si>
    <t>Revert "Add CTS tests for AppSearch.getDocuments APIs."
Revert submission 10081469-060-get-impl
Reason for revert: Breaks build due to collision with ag/10111175
Reverted Changes:
I013ac2f01: Implement getDocuments() support in AppSearchImpl....
Ia518a91fe: Add CTS tests for AppSearch.getDocuments APIs.
Change-Id: I98a5d3c81a5f0612e68b349392798e86c6e392d7</t>
  </si>
  <si>
    <t>Extend ModifyInstallerPackageTest.
We now test the new getInstallSourceInfo() as well as the deprecated
getInstallerPackageName(). Add assertions that setting the installer
package name doesn't alter the initiating package name. Minor
refactoring.
Test: atest AppSecurityTests#testPermissionDiffCert
Bug: 137951074
Bug: 134746019
Change-Id: Ifabb96d94b9d187cdc1da9c6f3006f456ffabfdd</t>
  </si>
  <si>
    <t>Add CTS tests for new UCE APIs
Bug: 111305845
Test: atest CtsTelephonyTestCases:ImsServiceTest
Test: atest CtsTelephonyTestCases:ImsMmTelManagerTest
Test: atest CtsTelephonyTestCases:RcsUceAdapterTest
Merged-In: I302b4cc4ac860e33384b942180c795c72f5eb4bb
Change-Id: I302b4cc4ac860e33384b942180c795c72f5eb4bb</t>
  </si>
  <si>
    <t>CTS test for FGS background start restriction.
Background started foreground service shall not have
while-in-use permissions including location, camera and
microphone.
Bug: 136219221
Test: atest android.app.cts.ActivityManagerProcessStateTest
atest android.app.cts.ActivityManagerApi29Test.java
atest android.app.cts.ActivityManagerFgsBgStartTest
Change-Id: I6da48f2cb8b01a1624d210b4f3af2f80c4d93dca</t>
  </si>
  <si>
    <t>Bluetooth: Add CTS tests for LE L2CAP CoC server
* Add LeL2capSocketTest to test frequent server open and closes
* Consolidate some utility methods into TestUtils
Test: CtsBluetoothTestCases
Bug: 144148429
Change-Id: Idd5242ab36c084f38c6b10a6f803cab13b9ce7d6</t>
  </si>
  <si>
    <t>Revert "CTS test for Android Security b/113527481"
Bug: 147236855
Test: sts-tradefed
This reverts commit 64c28a70bdec38beabbe078458a67997aeba4ed1.</t>
  </si>
  <si>
    <t>Revert "Update toast tests for system UI move"
Revert submission 10169253-custom-toast-2
Reason for revert: b/148438364
Reverted Changes:
I8355c5c62: Disable feature-flag before CTS targeted at SDK 29...
Id0021cdc6: Move text toast creation to system UI
I586cdec1c: Update toast tests for system UI move
I8516e6569: Add ToastUI component to ARC
Id415df7d9: Configure ToastUI in SystemUIGoogle for DI
Id0021cdc6: Move text toast creation to system UI
Change-Id: I3425c6298a9f89bb866d8b888e2523c2ef404eef
(cherry picked from commit b87aa702b8aa05b2fb868182dad7d78a73cf8f96)</t>
  </si>
  <si>
    <t>Added cts test for Calls.FEATURE_VOLTE in call log.
Test: CTS test
Bug: 141264508
Change-Id: I76d262be0654b5c8c8dd35205bec852ecf73904b
Merged-In: I76d262be0654b5c8c8dd35205bec852ecf73904b</t>
  </si>
  <si>
    <t>Fix QuietModeHostsideTest after caching of unified work challenge
Add a unified work challenge to an existing test and verify that
profile can still be turned on automatically without explicit
confirming of credential.
Fix an existing test that checks profile does not automatically turn on
if QUIET_MODE_DISABLE_ONLY_IF_CREDENTIAL_NOT_REQUIRED flag is passed,
by setting a work challenge so caching of unified work challenge does
not kick in.
Bug: 72178550
Test: atest com.android.cts.devicepolicy.QuietModeHostsideTest
Change-Id: I565b38cc6f055cb4227e5876210ac4944dce1eb4</t>
  </si>
  <si>
    <t>Remove MediaRouterManagerTest
MediaRouterManager is a @hide API, so this should not be tested in CTS.
It is tested under frameworks/base/tests/MediaRouter.
Bug: 148582813
Test: atest android.media.cts.MediaRoute2InfoTest
      atest android.media.cts.MediaRouter2Test
      atest android.media.cts.RouteDiscoveryPreferenceTest
      atest android.media.cts.RoutingSessionInfoTest
Change-Id: Ie040c284f10f4a79179035ae7f5edc605744b19c</t>
  </si>
  <si>
    <t>Adjust CTS for setDecorFitsSystemWindows
Test: self
Bug: 143556682
Bug: 118118435
Change-Id: I51b2c6566fae81f2d4610cf01168377057bd12ea</t>
  </si>
  <si>
    <t>Fix #testSetAndCheckSubscriptionEnabled failure.
Bug: 147577228
Test: cts
Change-Id: I7ec4c53c50374f6f671fa844a6d2f88b16ec1c20</t>
  </si>
  <si>
    <t>media: add audio use cases to MediaCodecBlockModelTest
Bug: 148410627
Test: atest CtsMediaTestCases:MediaCodecBlockModelTest
Change-Id: I6000e83d8bdeac1f167dcf43161d30186fc15c22</t>
  </si>
  <si>
    <t>Make MediaRoute2Info#getOriginalId() as @TestApi
This is for clearer CTS tests.
Bug: 148582813
Test: atest android.media.cts.MediaRoute2InfoTest
      atest android.media.cts.MediaRouter2Test
      atest android.media.cts.RouteDiscoveryPreferenceTest
      atest android.media.cts.RoutingSessionInfoTest
Change-Id: I6de3980b530cb98110148db7b779fe1863f68289</t>
  </si>
  <si>
    <t>Remove testPrimaryNoAccess testing no access to external storage directory.
Before R, app without storage permission didn't have access to external
storage directory, in R, apps can contribute to media and will have
access permissions to its files in external storage directory. This test
is no more applicable for R.
Test: N.A.
Change-Id: I82a9d200c21f3268871d8d00d1db1cf48e998bbc</t>
  </si>
  <si>
    <t>Update callers to use Outline#setPath
Bug: 148544953
Test: make
The method has been renamed from setConvexPath, since it no longer
requires the Path to be Convex. Update the callsites.
Change-Id: Ibd9bc79d270526fe92bc884f33b5fafd0abea556</t>
  </si>
  <si>
    <t>Update Biometric CTS Tests
Tests for
1) When device credential is not enrolled, API surface behaves as expected
2) When device credential is enrolled, API surface behaves as expected
3) STRONG biometric tests that
   - On devices without STRONG biometrics, are appropriate and passable
   - On devices with STRONG biometrics, enrolls an authenticator and
     can perform cryptographic operations upon authenticating
   - Ensure that the UI implementation displays text that's received from
     the public APIs
4) Credential unlocks time-bound keys
Bug: 143568217
Test: make -j56 CtsVerifier, install, run tests
Change-Id: I94bb6ab1f7d65afbd066bf2717f49500830b77b9</t>
  </si>
  <si>
    <t>Remove BiometricPromptBoundKeysTest
This has been moved to the "Strong Biometrics" section of "Biometric Tests"
Bug: 143568217
Test: make -j56 CtsVerifier, go through Biometric Tests
Change-Id: Ia4310bafc1eab513405ab276479d759b0c363af0</t>
  </si>
  <si>
    <t>Resolve previous suggestions in MediaRouter2Test
Test: atest android.media.cts.MediaRouter2Test
Change-Id: Id2ac8332861d65b66f1356bcb77edf37181ba39a</t>
  </si>
  <si>
    <t>media: test rotation for more codecs
Test: atest CtsMediaTestCases:EncodeVirtualDisplayWithCompositionTest
Bug: 23709311
Change-Id: I45a6ae5f9c460c40f8207407048fae21566bf003</t>
  </si>
  <si>
    <t>Tests for conversations - notifs and DND
Test: these
Bug: 137397357
Change-Id: I658772a8f0986bcb7e58b36b4ba13a56d7d0bb46</t>
  </si>
  <si>
    <t>Fix #testSetAndCheckSubscriptionEnabled failure.
Bug: 147577228
Test: cts
Change-Id: I7ec4c53c50374f6f671fa844a6d2f88b16ec1c20
Merged-In: I7ec4c53c50374f6f671fa844a6d2f88b16ec1c20</t>
  </si>
  <si>
    <t>media: parameterize rotation test
Refactor EncodeVirtualDisplayWithCompositionTest and parameterize
rotation test, separated out as VideoDecoderRotationTest.
Bug: 23709311
Test: atest CtsMediaTestCases:VideoDecoderRotationTest
Test: atest CtsMediaTestCases:EncodeVirtualDisplayWithCompositionTest
Change-Id: Ibcc59c706cfcb05e0658deed25d131d910d2f39d</t>
  </si>
  <si>
    <t>Update BiometricPromptTest and BiometricManagerTest
Bug: 143568217
Test: atest BiometricPromptTest
Test: atest BiometricManagerTest
Change-Id: If214ef77be81a9f826065acd5366f38a0f5b13a4</t>
  </si>
  <si>
    <t>Revert "DO NOT MERGE Verify Parcel object list does not get double freed after a setDataSize"
This reverts commit 6287fd1e561993b4fe8e74b0b232a86ae1899c00.
Reason for revert: b/148087431
Bug: 148087431
Change-Id: Ibcf751937dcda7ba8770b2c90c7ef446e044bdee</t>
  </si>
  <si>
    <t>Revert "DO NOT MERGE Verify that remote exceptions will not cause object leaks"
This reverts commit 8cf68d6acf969eaaefade44a719a2f938f1fc5b4.
Reason for revert: b/148087431
Bug: 148087431
Change-Id: Iad01610157f507ffdc648e2b237b1fe7617ba775</t>
  </si>
  <si>
    <t>Revert "DO NOT MERGE Verify Parcel object list does not get double freed after a setDataSize"
This reverts commit 04d920d475744600250cc8d5f899251c3235eb8c.
Reason for revert: b/148087431
Bug: 148087431
Change-Id: I56c449f8d62ae872a72a7d9bc2ff62584bb3689e</t>
  </si>
  <si>
    <t>Revert "DO NOT MERGE Verify that remote exceptions will not cause object leaks"
This reverts commit edce354f47821b287d5a56f3019487b326bf7544.
Reason for revert: b/148087431
Bug: 148087431
Change-Id: I384301ca3ac04228b9293257db4cf455d5a6fb7a</t>
  </si>
  <si>
    <t>Modify test cases for takeScreenshot() API
1. Remove old test cases for testing the API,
takeScreenshot(), due to the return type of the
method, takeScreenshot(), at the AccessibilityService
class, isn't the Bitmap.
2. Add new test cases to test all payloads of
ScreenshotResult are correct.
Bug: 10931661 and 148169867 and 148171895
Test: atest AccessibilityTakeScreenshotTest
Change-Id: Ic1fc5a9fe46ccb0c72557b8d1e2d1b3192bf8dff</t>
  </si>
  <si>
    <t>Enable WebView multiprocess tests for all runs.
Multiprocess is now enabled for all devices and the new APIs for
WebViewRenderProcess are implemented - enable all the relevant tests
unconditionally.
Bug: 138870530
Test: atest WebViewClientTest WebViewRenderProcessTest \
  WebViewRenderProcessClientTest
Change-Id: I2847e3cb478df81ea9d7540c7270217f847cf41b</t>
  </si>
  <si>
    <t>Remove tests checking other app's cache directory access.
Before R apps with WRITE_EXTERNAL_STORAGE permission had read/write
access to other app's cache directory. This behaviour has changed in
R and apps will not have access to other app's cache directories.
Removed tests from testExternalStorageWrite that assume legacy
behaviour.
Test: atest ExternalStorageHostTest#testExternalStorageWrite
Bug: 147091021
Bug: 148918640
Change-Id: Ic733da54b5dccdf8c9051844905bea13bc536b1e</t>
  </si>
  <si>
    <t>Remove tests checking other app's cache directory access.
Before R apps with REQUEST_INSTALL_PACKAGES permission had read/write
access to other app's cache directory. This behaviour has changed in
R and apps will not have access to other app's cache directories.
Removed tests from testMultiViewConsistencyTest that assume legacy
behaviour.
Test: atest ExternalStorageHostTest#testMultiViewMoveConsistency
Bug: 147083279
Bug: 148918640
Change-Id: I54d4d0fa78b0a1fac4d2166c2e0941a07796b475</t>
  </si>
  <si>
    <t>Remove testNoOpClassifier, and just run all the tests against NO_OP TC
So that we test every APIs against NO_OP TC
BUG: 149012454
Test: atest TextClassificationManagerTest
Change-Id: Ie1e5cfc95e123251127b57ef77cda8ba6e1f9ad0</t>
  </si>
  <si>
    <t>cts: Add tests for concurrent camera streaming apis.
Bug: 77960042
Test: atest ConcurrentCameraTest.java on cuttlefish
Change-Id: I5f7969a25e3f2a3d2b62ae71d94c5f38d09fae29
Signed-off-by: Jayant Chowdhary &lt;jchowdhary@google.com&gt;</t>
  </si>
  <si>
    <t>MediaRouter2: Add missing CTS tests
This CL adds missing CTS tests for MediaRouter2 related classes
except for:
 - MediaRouter2.RouteCallback
 - MediaRoute2ProviderService
Bug: 148990505
Test: atest android.media.cts.MediaRoute2InfoTest
      atest android.media.cts.MediaRouter2Test
      atest android.media.cts.RouteDiscoveryPreferenceTest
      atest android.media.cts.RoutingSessionInfoTest
Change-Id: I4e0090f36c6193d20a748a43b8a855482b7b46eb</t>
  </si>
  <si>
    <t>Remove Duplicate Permission Tests
-Remove negative permissions tests for:
 onImsCallDisconnectCauseChanged
 onCallDisconnectCauseChanged
 onPreciseDataConnectionStateChanged
-Tests are migrated to Permissions tests as part of
 Ica56ebb81a3f3ea9b5c238a0e7d3a2d9c30e27f2
Bug: 148646258
Test: make (remove-only)
Change-Id: I40c74966beaf6aaaf4af5b220716cca825c3488d</t>
  </si>
  <si>
    <t>Set the current/max volume of system routes
Also, this CL makes SystemMediaRoute2Provider publish new route infos
when the volumes are changed.
MediaRouter2 can get the volume changes from
RouteCallback#onRoutesChanged().
Bug: 149005682
Test: atest mediaroutertest and CTS
Change-Id: I12ed397431e95ccb600e4b2eae84669996754920</t>
  </si>
  <si>
    <t>Test legacy appop stickiness on upgrades
Apps with legacy storage access should lose it when upgrading to target
R.
BUG: 148944140
Test: atest RestrictedPermissionsTest
Test: atest RestrictedStoragePermissionSharedUidTest
Change-Id: I3dc1450d56bcd69ad756a49506de8bb89f818a1e</t>
  </si>
  <si>
    <t>Revert "Tests for not granting location permissions automatically"
This reverts commit 3dd28fa0c5fb11bc671256f673f785240e68801d.
Test: atest CtsDevicePolicyManagerTestCases:com.android.cts.devicepolicy.MixedManagedProfileOwnerTest#testPermissionGrant
Bug: 147650798
Bug: 148631522
Change-Id: Icba8b902077bff30801ff790c1b8dc493baf0767</t>
  </si>
  <si>
    <t>Test BOOT_COMPLETED broadcast is sent after userspace reboot
Since I was there, refactored the test logic a little bit:
* Split UserspaceRebootTest apk into two: BasicTestApp and
  BootCompletedTestApp. This makes it easier to add yet-another test app
  to verify that USER_UNLOCKED broadcast is also sent.
* Extracted some common functionality into helper methods.
Follow-up CL: tests to ensure that USER_UNLOCKED broadcast is sent.
Bug: 149020865
Test: atest CtsUserspaceRebootHostSideTestCases
Change-Id: Ib751c0a7c55a020406aec122531658e821efda3e</t>
  </si>
  <si>
    <t>Fix failures in OrgOwnedProfileOwnerTest
* These tests failures were caused by wipeData running as
  a normal test case. They were resulting in a test failure
  because the test process was being killed.
* To fix this issue, a broadcast is used instead to trigger
  the call wipeData.
Bug: 147633626
Test: atest com.android.cts.devicepolicy.OrgOwnedProfileOwnerTest
Change-Id: I414fa912b77b0d086f04404052749da4237bb0f1</t>
  </si>
  <si>
    <t>Move RCS UCE tests to @Ignore for now
UCE APIs are moving back to @hide for Android R. Remove the
tests for now.
Test: atest CtsTelephonyTestCases
Bug: 149051280
Change-Id: I859f97ee723b037c0c49f8aab6a9534f6f676b28</t>
  </si>
  <si>
    <t>DO NOT MERGE Revert "Strict SQLiteQueryBuilder needs to be stricter."
This reverts commit d4d523686429f0bbe2484d8d24652f671c53f310.
Reason for revert: b/148087431
Bug: 148087431
Change-Id: I469133e058d9f6a272d7340740ba1c369ba60030</t>
  </si>
  <si>
    <t>Revert "DO NOT MERGE fixes a security vulnerability in slice provider"
This reverts commit 991fabbc0e03d888f43cda232fa3ec6cb9ec587b.
Reason for revert: b/148087431
Bug: 148087431
Change-Id: I6bb8f7b12f8c422d1c58dca4412598422ab2fd79</t>
  </si>
  <si>
    <t>Revert "CTS test for Android Security b/135207252"
This reverts commit 08bcc80af350c1e2c88cb77510f857dc7cfd4424.
Reason for revert: test crashes
Bug: 13520725
Bug: 148540357
Change-Id: I0174d488c0a0feef8ea7cd268a2ab643c8898442</t>
  </si>
  <si>
    <t>Change testExternalStorageNone to target 29 SDK
testExternalStorageNone tests legacy behavior of an app targeting 29
SDK without any storage permissions. Test targeting R, requesting legacy
behavior will have MANAGE_EXTERNAL_STORAGE permission which will also
grant write access to /sdcard/ for test app. Marked this test as
target_sdk=29 app to only check for legacy behaviour for 29 SDK.
Removed !canRead() &amp; !list() checks on /storage/emulated/0/ path since
we support reading these directories for any apps.
Test: atest ExternalStorageHostTest#testExternalStorageNone29
Bug: 147091021
Bug: 148918640
Change-Id: If5f8482bd7b7f437d20179f7c6d111465732cc3d</t>
  </si>
  <si>
    <t>Change testExternalStorageRead to target 29 SDK
testExternalStorageRead tests legacy behavior of an app targeting 29
SDK with READ_EXTERNAL_STORAGE. Test targeting R, requesting legacy
behavior will have MANAGE_EXTERNAL_STORAGE permission which will also
grant write access to /sdcard/ for test app. Marked this test as
target_sdk=29 app to only check for legacy behaviour for 29 SDK.
Removed canRead() &amp; list() checks on /storage/emulated/0/Android path
since we don't support reading these directories in R.
Test: atest ExternalStorageHostTest#testExternalStorageRead29
Bug: 147091021
Bug: 148918640
Change-Id: Iddb498a58f7d8fb8227ae55e56e65e31caec0a81</t>
  </si>
  <si>
    <t>Revert "RESTRICT AUTOMERGE Strict SQLiteQueryBuilder needs to be stricter."
This reverts commit 6be026441473468658fe33367e1cfea99432be4b.
Reason for revert: b/148087431
Bug: 148087431
Change-Id: If2e30f4123f5add54265158bf7eb9c733041fac4</t>
  </si>
  <si>
    <t>Revert "Add GnssAntennaInfo tests"
Revert submission 10111057-pco_pcv
Reason for revert: Build breakage
Reverted Changes:
I70e4014dd:Add GnssAntennaInfo framework APIs
I072958ecb:Add GnssAntennaInfo tests
Ia63a1f502:Add GnssAntennaInfo to HAL
Change-Id: I2a866067658e37218c6406d9eec6c7b1bd6af772</t>
  </si>
  <si>
    <t>Add tests for AppCompat gated changes.
Adds tests for cases where either REQUIRE_SCOPED_STORAGE or
ENABLE_SCOPED_STORAGE_CHANGE is disabled.
Moves all storage-related permission tests into
RestrictedStoragePermissionTest.java.
Change-Id: Icf3cefe11d6ad44ab06fc637278b64127f754c2a
Fix: 147034231
Bug: 144914977
Bug: 131432978
Test: atest RestrictedPermissionsTest
Test: atest RestrictedStoragePermissionTest</t>
  </si>
  <si>
    <t>Rename lockdown admin configured networks API
* Renamed 'isLockdownAdminConfiguredNetworks'
  to 'hasLockdownAdminConfiguredNetworks'
* Renamed 'setLockdownAdminConfiguredNetworks'
  to 'setConfiguredNetworksLockdownState'
Bug: 148853269
Test: atest com.android.server.devicepolicy.DevicePolicyManagerTest
      atest com.android.cts.devicepolicy.MixedDeviceOwnerTest#testAdminConfiguredNetworks
      atest com.android.cts.devicepolicy.OrgOwnedProfileOwnerTest#testAdminConfiguredNetworks
Change-Id: I9bfc7592fbfd1d801920028b5e9cabafd6ded3dc</t>
  </si>
  <si>
    <t>Revert "CTS test for Android Security b/135207252"
This reverts commit 08bcc80af350c1e2c88cb77510f857dc7cfd4424.
Reason for revert: test crashes
Bug: 13520725
Bug: 148540357
Change-Id: I0174d488c0a0feef8ea7cd268a2ab643c8898442
Merged-In: I0174d488c0a0feef8ea7cd268a2ab643c8898442</t>
  </si>
  <si>
    <t>Fix #testSetAndCheckSubscriptionEnabled failure.
Bug: 147577228
Test: cts
Change-Id: I7ec4c53c50374f6f671fa844a6d2f88b16ec1c20
Merged-In: I7ec4c53c50374f6f671fa844a6d2f88b16ec1c20
(cherry picked from commit d022bfca065383d14540af8d26e255c7a62ff1b2)</t>
  </si>
  <si>
    <t>Remove testMkvWithoutCueSeek test
The test file has key frames at 0, 1.92 and 5.96 seconds, and the test
does 3 seeks to 3000 ms, with flags SEEK_CLOSEST, SEEK_PREVIOUS_SYNC and
SEEK_NEXT_SYNC.
The SEEK_PREVIOUS_SYNC test expects a position greater than or equal to
5960 ms, which is wrong because the previous sync would be 1920 ms.
In addition, the SEEK_PREVIOUS_SYNC test is exactly the same as the
SEEK_NEXT_SYNC test, which doesn't make sense.
test does.
Bug: 143618626
Bug: 143347340
Bug: 141833958
Bug: 142298430
Test: build
Change-Id: If9161682824a8e6611167acb9dfdc405cc69d39b
Merged-In: If9161682824a8e6611167acb9dfdc405cc69d39b</t>
  </si>
  <si>
    <t>Signature and property tests.
Moved to a separate file to not pollute multi-mode tests.
Test: atest PackageManagerShellCommandTest PackageManagerShellCommandIncrementalTest
Bug: b/136132412 b/133435829
Change-Id: Idcf12b2d5d71e13c0232c2f55c756ed9a3557502</t>
  </si>
  <si>
    <t>Add CTS tests to verify notification related events obfuscation.
Also refactor other visibility test to be consistent with the module.
Bug: 144724524
Test: atest android.app.usage.cts.UsageStatsTest
Change-Id: I1da398da9cd336da7a5fcf1c74ac655ddb56529b</t>
  </si>
  <si>
    <t>Really try to leave appthatrequestpermission
Also make the one-time permission timing more robust
Test: atest OneTimePermissionTest
Bug: 143896762
Change-Id: Ic7a6c0adb5ad393293fa7713d969bb63186ade53</t>
  </si>
  <si>
    <t>Updated sony Dualshock4 bluetooth gamepad tests.
Refactored Dualshock4 pro bluetooth (model CUH-ZCT2U) tests into more
descriptive files. Also added tests for Dualshock4 non-pro bluetooth
(model CUH-ZCT1U) gamepad.
Cherry picked from pa/1549630.
Bug: 136263708
Test: atest CtsHarwareTestCases
Test: Run Dualshock4 bluetooth CTS
	&gt; atest cts/tests/tests/hardware/src/android/hardware/input/cts/tests/SonyDualshock4BluetoothTest.java
	&gt; atest cts/tests/tests/hardware/src/android/hardware/input/cts/tests/SonyDualshock4ProBluetoothTest.java
Change-Id: I22c694e8b52be6c12c5d735f0cb466fe6dd6e2b5</t>
  </si>
  <si>
    <t>Fix testStartTetheringWithStateChangeBroadcast flaky
Before this change the test assume one active state event is followed by
zero or one availabe event:
AVAIALBE(wlan1) -&gt; ACTIAVE(wlan1) -&gt; AVAILALE(wlan1)
But actually Multiple tetherable wifi interfaces may be avaialbe during
the test:
AVAILABLE(wlan1) -&gt; AVALIABLE(wlanX) -&gt; .... -&gt; ACTIVE(wlan1) -&gt;
AVAIALBE(wlan1)
Additional, replacing ConnectivityManager usage to TetheringManager.
Bug: 148095484
Test: atest CtsTetheringTest
Change-Id: Id5db970c02f63f61802a18b599bf6905db619b42</t>
  </si>
  <si>
    <t>Modify testExternalStorageGifts to test only for obb directories
Before R apps with REQUEST_INSTALL_PACKAGES permission had read/write
access to other app's cache directory. Also, apps with
READ_EXTERNAL_STORAGE had read permission for other app's obb directory.
This behaviour has changed in R and apps will not have access to other
app's cache directories, only apps with REQUEST_INSTALL_PACKAGES
permission will have access to other app's obb directory.
Modified testExternalStorageGifts to test that app without
REQUEST_INSTALL_PACKAGE permission doesn't have read/write access to
obb directories belonging to other app. Renamed testExternalStorageGifts
to testCantAccessOtherObbDirs.
testExternalStorageObbGifts tests that apps with REQUEST_INSTALL_PACKAGES
permission has RW access to obb directories belonging to other app.
Renamed testExternalStorageObbGifts to testCanAccessOtherObbDirs.
Test: atest ExternalStorageHostTest#testCantAccessOtherObbDirs
Test: atest ExternalStorageHostTest#testCanAccessOtherObbDirs
Bug: 147083279
Bug: 148918640
Change-Id: Ie7bd358f8a2b1bd20bff19ddc1c136b4a8faf42e</t>
  </si>
  <si>
    <t>Cleanup UsageStats CTS tests for consistency.
Bug: n/a
Test: atest android.app.usage.cts.UsageStatsTest
Change-Id: Id5fc8c60bf68ac386457f920d1e9bbf078280d9e</t>
  </si>
  <si>
    <t>Add CTS tests for QuickAccessWalletClient
Bug: b/149575358
Test: atest CtsQuickAccessWalletTestCases
Change-Id: I06e45c56d53cbc942d6d4c38ffe56e0093755a9b</t>
  </si>
  <si>
    <t>Remove user id based audio captured API.
Removed recently added user id based routing for audio playback capture.
The original goal of the user id based routing was for the routing to be
controlled by audio policy and to controll where audio from a user
could play. The audio playback capture was added to match similar API
provided for audio playback capture based on application's uid.
Currently, there is no appropiate use case for capturing based on user
id. While this could prove useful in the future the appropiate use case
research must be completed.
Bug: 149419551
Test: atest
com.google.android.gts.audio.AudioHostTest#testUserIdDeviceAffinity
Change-Id: I26d8b0ef9ba1be26c3896c6b4a061346724a2d14</t>
  </si>
  <si>
    <t>MediaRouter2: Clean up APIs
Rename APIS related to RoutingController.
Specifically,
- requestCreateController is changed to transferTo, which is the only
way to "transfer" that may or may not create a controller.
- ControllerCallback is split into TransferCallback and
(new) ControllerCallback.
- onControllerCreated and onControllerReleased is merged into
onTransferred(old, new)
CTS is changed according to API changes as well.
Bug: 149185558
Test: atest android.media.cts.MediaRoute2InfoTest
  &amp;&amp; atest android.media.cts.MediaRouter2Test
  &amp;&amp; atest android.media.cts.RouteDiscoveryPreferenceTest
  &amp;&amp; atest android.media.cts.RoutingSessionInfoTest
  &amp;&amp; atest android.media.cts.MediaRoute2ProviderServiceTest
  &amp;&amp; atest mediaroutertest
Change-Id: I4f5813f28ba7febdfdcaf81b9988a6ec9e9cde9f</t>
  </si>
  <si>
    <t>Modified CTS KeyguardDisabledFeaturesTest
* Modified CTS tests to test setting the restriction
  KEYGUARD_DISABLE_SECURE_NOTIFICATIONS.
* Tested the KEYGUARD_DISABLE_SECURE_NOTIFICATIONS
  restriction to ensure it can be set on the parent
  profile when called by the profile owner of an
  organization-owned managed profile.
Bug: 149007069
Test: Manual testing with TestDPC
      atest com.android.cts.devicepolicy.OrgOwnedProfileOwnerTest#testSetKeyguardDisabledFeatures
      atest com.android.cts.devicepolicy.MixedDeviceOwnerTest#testSetKeyguardDisabledFeatures
      atest com.android.cts.devicepolicy.MixedManagedProfileOwnerTest#testSetKeyguardDisabledFeatures
      atest com.android.cts.devicepolicy.MixedDeviceOwnerTest#testSetKeyguardDisabledFeaturesLogged
Change-Id: I4c2e42d31e19efd78204a665fb1d64d0b43e275f</t>
  </si>
  <si>
    <t>Test enforcing the cross-profile intent check
DocumentsUI currently hard-codes the IntentForwarderActivity class name.
It uses this to determine whether to show a 'switch to personal profile'
button. Essentially, it wants to know if the intent it received is a
cross-profile intent, so it asks package manager which intents can
resolve it and checks whether one of them is IntentForwarderActivity.
This is not CTS-enforced, so this CL ensures that it is. OEMs can remove
or rename IntentForwarderActivity as long as they update this API and
keep the corresponding CTS test passing.
Bug: 149568382
Bug: 136249261
Test: atest CtsDevicePolicyManagerTestCases:com.android.cts.devicepolicy.ManagedProfileCrossProfileTest#testCrossProfileIntentFilters
Change-Id: I16e1bafcbb3950392645b08e3c3758b63ab34eb6</t>
  </si>
  <si>
    <t>Revert "Assert no execute-only segments for targetSdkVersion&lt;Q"
This reverts commit 9712816484bf3d3d0a1fb04e92d7b71fe3a13b99.
Bug: 147300048
Reason for revert: Execute-only memory is no longer supported in the build system, so these CTS tests no longer serve a purpose.
Change-Id: I4e513e12261862e87a435caa593d0470552b9895</t>
  </si>
  <si>
    <t>CTS tests for "Dynamic MIME Handlers" feature
Tests verify that preferred activities are cleared
properly due to MIME groups modifications
Bug: 134736944
Bug: 134736173
Bug: 136635677
Test: atest CtsDynamicMimeHostTestCases
Change-Id: I0b8479fe9cea6f44c3fe45b1854521fdf010049b</t>
  </si>
  <si>
    <t>Fix flakiness in AnimatedImageDrawableTest
Bug: 129400990
Bug: 120280954
Bug: 72737527
Test: This
AnimatedImageDrawable only animates while the screen is on and it is on
screen. The screen may turn off while running CTS, resulting in the test
failing due to the animation not progressing. Fix this with the
following:
- Use the new AnimatedImageActivity for tests that require animating the
AID. It forces the screen to stay on while it's running. (In addition,
only use an Activity/ActivityRule for tests that require animation. This
speeds up the other tests by not forcing them to use the Activity.)
- Ensure that the Activity has focus before running tests that require
animation.
- Use WidgetTestUtils to ensure that the first draw occurred after
calling start(). This way the test starts timing at the same time as the
AID.
In addition, split up testRepeatCounts with junit-params so each test
runs independently.
Switch to getResourceAsUri in Utils, instead of having a duplicate
method.
Lastly, switch from class variables for Resources and ContentResolver to
methods so they are lazily referenced, as we've done in other tests.
Change-Id: I3f3fa8fea08350d9af2a3ae68a76e86c765d8c4c</t>
  </si>
  <si>
    <t>Add tests for setFrameRate() compatibility param
- Added new cts tests to verify behavior of the compatibility param.
- Added new cts tests to verify invalid params are handled correctly.
- Reorganized the code for the existing tests to reduce code duplication
when testing the same behavior across each of the api surfaces.
Bug: 137287430
Test: cts-tradefed run commandAndExit cts-dev --module CtsGraphicsTestCases --test android.graphics.cts.SetFrameRateTest
Change-Id: Ibb7be1a03ba7c1de6a842b4d84ac0b6f96700ac5</t>
  </si>
  <si>
    <t>Fixes to GnssAntennaInfo API
Bug: 148284818
Test: End to end test: run "atest GnssAntennaInfoRegistrationTest" on cuttlefish and watch "adb logcat | grep -i GnssAntennaInfo". Other tests:  atest GnssAntennaInfoTest, atest GnssAntennaInfoProviderTest, atest GnssManagerServiceTest, atest VtsHalGnssV2_1TargetTest, atest LocationManagerFineTest.
Change-Id: I92a0a6715287830b931212a8685dcd92f0ce0d05</t>
  </si>
  <si>
    <t>CTS test for DPM.setManagedProfileMaximumTimeOff
Test: atest OrgOwnedProfileOwnerTest#testWorkProfileMaximumTimeOff
Bug: 143517719
Change-Id: Ief3ae3eb65e80bebfc66cac95a4a440feb36367c</t>
  </si>
  <si>
    <t>Remove CTS tests for removed API
Bug: 144955780
Test: presubmits
Change-Id: I764432066148116537d10423798e3a6e9fa96e7a
Exempt-From-Owner-Approval: approvers are all in london and this is a pure revert</t>
  </si>
  <si>
    <t>Enforce prox and hinge sensor expose wakeup version
The proximity and hinge angle sensors must expose a wakeup version
of the sensor as the default sensor type.
Bug: 148809866
Test: cts-tradefed run cts --module CtsSensorTestCases --test
android.hardware.cts.SensorTest
Change-Id: I14edf7abf835507627962aadcc7bfba45179af6b</t>
  </si>
  <si>
    <t>Add security logging CTS tests for org-owned profile
Bug: 148437300
Test: atest com.android.cts.devicepolicy.MixedDeviceOwnerTest#testSecurityLoggingWithSingleUser
Test: atest com.android.cts.devicepolicy.MixedDeviceOwnerTest#testSecurityLoggingWithTwoUsers
Test: atest com.android.cts.devicepolicy.MixedDeviceOwnerTest#testSecurityLoggingEnabledLogged
Test: atest com.android.cts.devicepolicy.OrgOwnedProfileOwnerTest#testSecurityLogging
Change-Id: I91be42606c766b2e3eb0a0ad15d534b6664280bc</t>
  </si>
  <si>
    <t>MediaMetadataRetrieverTest: Copy media file into phone storage instead
of recording
So that test will be independent from codecs.
Bug: 149535873
Test: MediaMetadataRetrieverTest
Change-Id: Ia00c5bf29581d7cdeb62da3d5425c7f925e4deb1</t>
  </si>
  <si>
    <t>Additional login activity tests for inline.
Bug: 146453105
Test: atest InlineLoginActivityTest
Change-Id: Ib03056e18bd39b0e42b408d61489796d04fea41d</t>
  </si>
  <si>
    <t>WifiEnterpriseConfig: Add CTS tests for new APIs
Removed setUp() method since this test does not
need Wifi to be enabled.
Bug: 149604454
Test: atest android.net.wifi.cts.WifiEnterpriseConfigTest
Change-Id: Id23a3fbd3ae7f967be68105829bae01be97fbd1e</t>
  </si>
  <si>
    <t>fix incremental installation test
1) Removed property test because CTS tests does not have permission to
reset properties or permission to read IncFs_Enabled via jni.
2) Use system property to check if incfs is available.
3) Updated the test files.
BUG: 133435829
Test: atest PackageManagerShellCommandIncrementalTest
Change-Id: Ic2a1d2ce7565eb7fa4bd4327d021551ba26dd110</t>
  </si>
  <si>
    <t>Start converting CtsPrintTestCases to test helper framework
Add a new ICtsPrintHelper interface and hook it up to CtsPrintTestCases
with a TestHelperRule @Rule.  One function (clickPrintButton -&gt;
submitPrintJob) is converted as an initial implementation.  The
remaining parts will follow in separate CLs.
Bug: 132747867
Test: atest CtsPrintTestCases
Change-Id: I506eb71d7a27a47bcbc29d62841985e22c3ae853</t>
  </si>
  <si>
    <t>Remove the public APIs for allow rich content.
1. Marked @hide for "Drawable loadAnimatedImage(Context)" and "String loadHtmlDescription(PackageManager)".
2. Move common function into util.
Bug: 149516547
Bug: 142532186
Test: maunal test &amp; atest AccessibilityServiceInfoTest -c
Change-Id: I06e8d69b6f78eb1af4f024e239e0837b95285bbc</t>
  </si>
  <si>
    <t>Start converting CtsPrintTestCases to test helper framework
Add a new ICtsPrintHelper interface and hook it up to CtsPrintTestCases
with a TestHelperRule @Rule.  One function (clickPrintButton -&gt;
submitPrintJob) is converted as an initial implementation.  The
remaining parts will follow in separate CLs.
Bug: 132747867
Test: atest CtsPrintTestCases
Change-Id: I506eb71d7a27a47bcbc29d62841985e22c3ae853
Merged-In: I506eb71d7a27a47bcbc29d62841985e22c3ae853
(cherry picked from commit 3b703a016df30ba7b69f97f573da845a12f91957)</t>
  </si>
  <si>
    <t>Revert "Add tests for AppCompat gated changes."
This is a partial revert for Icf3cefe11d6ad44ab06fc637278b64127f754c2a
Reason for revert: &lt;These AppCompat flags are a no-op, replaced by new Compat
flags in ag/10363515. Will add separate tests for new flags b/149977252&gt;
Bug: 132649864
Test: atest RestrictedPermissionsTest
Test: atest RestrictedStoragePermissionSharedUidTest
Test: atest RestrictedStoragePermissionTest
Change-Id: I230e54d193d39a80ff21a3abedac292e2a6d82bf</t>
  </si>
  <si>
    <t>Delete RCS related tests for now.
The tests were anyway disabled, and the corresponding source code
has been deleted as well now.
Test: basic sanity
Bug: 140908357
Merged-in: I1b61d14083b60819ea5256d52f91260f40218778
Change-Id: I1b61d14083b60819ea5256d52f91260f40218778
(cherry picked from commit 54caf9c435735cb654b74119cb44fe706e9bf515)</t>
  </si>
  <si>
    <t>DO NOT MERGE: Remove AppSearch from Android R.
Test: presubmit
Bug: 150249538
Change-Id: Ice24cf6fc7470cf79722bff49260cc32dfcaa91c</t>
  </si>
  <si>
    <t>Remove CtsVendorJniTestCases
The test was not included in the CTS package because it required manual
copying of apks to the vendor partition. Removing the obsolete test.
Bug: 113303472
Test: m
Change-Id: Iba3af43246f26a398cbfcd8a5408987444e142eb</t>
  </si>
  <si>
    <t>Remove the public APIs for allow rich content.
1. Marked @hide for "Drawable loadAnimatedImage(Context)" and "String loadHtmlDescription(PackageManager)".
2. Move common function into util.
Bug: 149516547
Bug: 142532186
Test: maunal test &amp; atest AccessibilityServiceInfoTest -c
Change-Id: I06e8d69b6f78eb1af4f024e239e0837b95285bbc
Merged-In: I06e8d69b6f78eb1af4f024e239e0837b95285bbc
(cherry picked from commit 4c367c7abf65bf844bce8ecb65275636e35887f8)</t>
  </si>
  <si>
    <t>Fix failure on NoActivityRelatedPermissionTest
When secondary display is supported, tasks for home and seconday home
are returned.
Need add logic to handlding multiple home tasks.
Bug: b/148833955
Change-Id: I7927f8c403d2e03130f2734d5be4ac4f73d0b3c0</t>
  </si>
  <si>
    <t>Revert "Add tests for AppCompat gated changes."
This is a partial revert for Icf3cefe11d6ad44ab06fc637278b64127f754c2a
Reason for revert: &lt;These AppCompat flags are a no-op, replaced by new Compat
flags in ag/10363515. Will add separate tests for new flags b/149977252&gt;
Bug: 132649864
Test: atest RestrictedPermissionsTest
Test: atest RestrictedStoragePermissionSharedUidTest
Test: atest RestrictedStoragePermissionTest
Merged-In: I230e54d193d39a80ff21a3abedac292e2a6d82bf
Change-Id: I230e54d193d39a80ff21a3abedac292e2a6d82bf
(cherry picked from commit 2a735485806d9a21180e8df0a7a561b4487f2700)</t>
  </si>
  <si>
    <t>Add more inline authenticaiton tests.
Bug: 149891961
Test: atest android.autofillservice.cts.AuthenticationTest
Test: atest android.autofillservice.cts.inline.InlineAuthenticationTest
Change-Id: I58a94bd487dbd2a528d96ec23e355cc42daf533a</t>
  </si>
  <si>
    <t>Hide setPolicyDataEnabled
Removing setPolicyDataEnabled from cts because
we set it to hide.
Bug: 148165897
Bug: 146654731
Test: make \ flash
Change-Id: Ibb06d22c2a3fbfab0e1b3ac2ef5240906a5393b5</t>
  </si>
  <si>
    <t>Using CTS test to fully test CarAppFocusManager public methods.
In this CL I'm also fixing one typo in FocusChangedListener name.
Context:
testMultipleChangeListenersPerManager can rely on any abandonAppFocus.
Setting this method to invoke abandonAppFocus() will help fully exercising
CarAppFocusManager.
Fixes: 150164614
Test: atest CtsCarTestCases:android.car.cts.CarAppFocusManagerTest
Change-Id: I28810becc30f6e14d7b2d83ce1c276fb98323e33</t>
  </si>
  <si>
    <t>Verify throw an SercurityException in setter
In R, all properties require a system permission to change value.
In this case, use setter on any property should throw an
SercuirtyException.
Bug: 148960132
Test: 1. apply google VHAL into device
      2. atest CtsCarTestCases:CarPropertyManagerTest
Change-Id: I6196d8f0a0e7b99cbbd84397c2b1946e15f994dc</t>
  </si>
  <si>
    <t>Remove CtsVendorJniTestCases
The test was not included in the CTS package because it required manual
copying of apks to the vendor partition. Removing the obsolete test.
Bug: 113303472
Test: m
Merged-In: Iba3af43246f26a398cbfcd8a5408987444e142eb
(cherry picked from commit 74c2210ef071f2d4158e5e5acccb51102fb392c4)
Change-Id: Iba3af43246f26a398cbfcd8a5408987444e142eb</t>
  </si>
  <si>
    <t>Use the renamed APIs
Bug: 149024971
Test: m cts
Change-Id: I36744499025b0a29492b91791130113212be0469</t>
  </si>
  <si>
    <t>fix incremental installation test
1) Removed property test because CTS tests does not have permission to
reset properties or permission to read IncFs_Enabled via jni.
2) Use system property to check if incfs is available.
3) Updated the test files.
BUG: 150476123
Test: atest PackageManagerShellCommandIncrementalTest
Change-Id: Ic2a1d2ce7565eb7fa4bd4327d021551ba26dd110
(cherry picked from commit 71a57b7c6c8abec55c2b287d690dc93f68db5c7f)</t>
  </si>
  <si>
    <t>WifiManagerTest: Add CTS test for connect API
Bug: 150236894
Test: atest android.net.wifi.cts.WifiManagerTest
Change-Id: I327c48d770036a901b22e8fe1d06b371cab68ebb</t>
  </si>
  <si>
    <t>Modernize PermissionsHostTest.
This change converts PermissionsHostTest into a device side test, so
that we can get coverage data from it.
Since one of the tests was already written in Kotlin, and this
conversion isn't likely to preserve git history, this change converts
the other tests into Kotlin as well to improve code health.
Changes to the original tests include:
- Tests that were in different test apps are moved into different
classes
- Tests that were shared between different test apps are moved into
separate new classes.
- Two base classes are created for all the new test classes above.
- Build files are simplified and all test apps now share one file
group for code.
- Code is converted into Kotlin and then rewrote to use Kotlin idioms,
while keeping the same effects.
- StartForFutureActivity is used for starting an activity and get its
result data in test app, which is one-shot and finishes itself upon
receiving result so that it won't interfere with other (e.g. Settings)
activities started during test.
- UiAutomator is used in place of raw accessibility if possible.
- Fixed some obvious bugs likely due to typo.
Due to a significant amount of interdependency among these tests and
possible build target name collision, it's not very easy to split this
change into several smaller ones without introducing more chaos into
the current situation.
Bug: 150150742
Bug: 147904761
Test: atest CtsPermission3TestCases
Change-Id: If0eb35e1d35f19e7db0bb05f5ea64f5022a1a36d</t>
  </si>
  <si>
    <t>Move to using a host side test for APN changes
Add a host side test to test the APN lockdown compat changes. The
host side test partially copies over the old CTS test but also adds
logic to test different behaviors when the compat change is disabled vs
enabled.
Bug: 144631034
Test: atest TelephonyProviderHostTest
Change-Id: If3114e38871b31d9a1120f67c1cbf74efe206429</t>
  </si>
  <si>
    <t>Fix ConnectivityConstraint tests, take 3.
Satisfied deadlines override all other constraints so the connectivity
tests can't set a deadline of 0. Instead, they were trying to emulate a
charging broadcast with the expectation that JobScheduler would evaluate
all jobs when the device started charging. This may not always be the
case, so instead, we use the adb jobscheduler run command to actually
ask JobScheduler to run the job. If the connectivity constraint isn't
satisfied, then the job won't run.
Also ensure that the device has a saved wifi network, without which,
tests will fail when trying to connect to wifi.
Bug: 138253466
Test: atest CtsJobSchedulerTestCases
Change-Id: I12f714532b03bfa1b42c75a05f54f5260174c19e</t>
  </si>
  <si>
    <t>WifiNetworkSpecifierTest: More tests using different specifiers
Bug: 150236894
Test: atest android.net.wifi.cts.WifiNetworkSpecifierTest
Change-Id: Ifb5e93beb94972a4091fd5d6b3d6ab5b9b856e23</t>
  </si>
  <si>
    <t>WifiNetworkSpecifierTest: Test for simulating user reject flow
Bug: 150236894
Test: atest android.net.wifi.cts.WifiNetworkSpecifierTest
Change-Id: Ia7e877507aae1ff37b5326aea72468c01fd88c6c</t>
  </si>
  <si>
    <t>Add CTS test for BluetoothAdapter#setName by combining it with the existing test for BluetoothAdapter#getName
Bug: 150726166
Test: atest BasicAdapterTest
Change-Id: I07d276985efdb78d9b436dbb3f1f2c9ff53d43a9</t>
  </si>
  <si>
    <t>Use flags to indicate reason for Uri changes.
As part of MediaProvider becoming a Mainline module, some partners
need to understand more details about what triggered a Uri change
notification.  This helps listening apps avoid making expensive and
race-condition-prone calls back into MediaProvider; typically when
they're only interested in insert and delete operations.  This change
uses the existing "flags" argument to communicate the reason.
This change adds overloads to ContentObserver for listening apps to
receive these flags.  In addition, we add overloads that deliver a
clustered set of multiple Uris together in a single Binder transaction
to improve overall efficiency.  (This matches well with the existing
CR.notifyChange() API that we added earlier this year, since they
both work with Iterable&lt;Uri&gt;.)
Tests to verify that we only collapse Uris together when all other
method arguments are identical.
Bug: 147778404, 144464323
Test: atest CtsDatabaseTestCases
Test: atest CtsContentTestCases:android.content.cts.ContentResolverTest
Test: atest FrameworksServicesTests:com.android.server.content.ObserverNodeTest
Test: atest --test-mapping packages/providers/MediaProvider
Change-Id: Icbb327f86fbe771dd19ad8271a79de1cb78c1868</t>
  </si>
  <si>
    <t>CtsVerifier(wifi): Add failure test cases for suggestion/specifier
2 new tests:
a) Add new connection failure test case for suggestions. This test also
verifies the new connection status listener added in R.
b) Add a new connection failure test case for network requests.
Both of these new test cases selects a PSK network from scan results
and uses a random password to simulate connection failure.
Also, account for a change in behavior in suggestions for R. Removing
suggestions will now trigger a disconnect.
Bug: 140871464
Bug: 150236894
Test: Manually ran all CtsVerifier tests.
Change-Id: Ic4b387e8e2e9603131f413bb800032e2535a4ddd</t>
  </si>
  <si>
    <t>Run idle maintenance at the end of tests.
Bug: 150836191
Test: atest --test-mapping apex/blobstore
Change-Id: If039b8f809ae0d3cb4b718f142bb106318922c45</t>
  </si>
  <si>
    <t>Remove MediaRoute2Info.getDeviceType
The hidden method getType() should be used instead.
Bug: 150925607
Test: run cts test
Change-Id: I053b87be9d2ccb550e65d7925fc6bd1583903f4f</t>
  </si>
  <si>
    <t>Clean up wipeData() usage in CTS
Device-side test should not be calling wipeData() directly as it
will kill the test process, leading the test infrastructure to
believe that the test has crashed. Fix those direction invocations
by either moving them to other test classes where cleanup is already
implemented, or converting invocation to an asynchronous broadcast.
Bug: 148556107
Test: OrgOwnedProfileOwnerTest#testDelegatedCertInstallerDeviceIdAttestation
Test: MixedManagedProfileOwnerTest#testDelegatedCertInstallerDeviceIdAttestation
Test: OrgOwnedProfileOwnerTest#testDeviceIdAttestationForProfileOwner
Test: MixedManagedProfileOwnerTest#testDeviceIdAttestationForProfileOwner
Test: DeviceOwnerPlusProfileOwnerTest#testWipeData_secondaryUser
Test: DeviceOwnerPlusProfileOwnerTest#testWipeData_secondaryUserLogged
Change-Id: I62b79b3b4b62df25b2709d12df57adffb5e3a48f</t>
  </si>
  <si>
    <t>Revert "WebView: disable flaky tests"
This reverts commit ba449f4bdd03eab5052a937712c19a8f40af3c03.
Reason for revert: the underlying bug is fixed in Chromium
Fixes: 143381499
Test: atest CtsWebkitTestCases:WebViewClientTest
Change-Id: Ia0a6cf749dcc52b4cc4b3e21fba0e53f3d813200</t>
  </si>
  <si>
    <t>Rename AutoTime and AutoTimeZone APIs
* Rename setAutoTime and getAutoTime to
  setAutoTimeEnabled and getAutoTimeEnabled.
* Rename setAutoTimeZone and getAutoTimeZone
  to setAutoTimeZoneEnabled and
  getAutoTimeZoneEnabled.
Bug: 150958098
Test: atest com.android.cts.devicepolicy.OrgOwnedProfileOwnerTest#testSetTime
      atest com.android.cts.devicepolicy.OrgOwnedProfileOwnerTest#testSetTimeZone
      atest com.android.cts.devicepolicy.MixedDeviceOwnerTest#testSetAutoTimeEnabled
      atest com.android.cts.devicepolicy.MixedDeviceOwnerTest#testSetAutoTimeZoneEnabled
      atest com.android.cts.devicepolicy.MixedDeviceOwnerTest#testSetTime
      atest com.android.cts.devicepolicy.MixedDeviceOwnerTest#testSetTimeZone
      atest com.android.cts.devicepolicy.ManagedProfileTest#testParentProfileApiDisabled
Change-Id: I3163bc4fe7220ca84095225ddfc486a754e5cda0</t>
  </si>
  <si>
    <t>Address API feedback.
- Rename deleteSession() to abandonSession().
- Update javadoc for releaseLease() and Session.close().
Bug: 150220575
Test: atest --test-mapping apex/blobstore
Change-Id: I8e4a2a4f0f2e25e8fa087716032e835bc80f1ffc</t>
  </si>
  <si>
    <t>Remove obsolete key rotation test
Bug: 136002636
Test: atest StagedInstallTest
Change-Id: Ic8d79b02611849e39655c7dea9c6beff3619451a
Merged-In: Ic8d79b02611849e39655c7dea9c6beff3619451a</t>
  </si>
  <si>
    <t>Rename get/setProtectedPackages methods
Based on API council feedback that current method names are ambiguous,
renaming them with
setUserControlDisabledPackages/getUserControlDisabledPackages.
Bug: 150865604
Test: atest DevicePolicyManagerTest
atest com.android.cts.devicepolicy.DeviceOwnerTest#testSetUserControlDisabledPackages
Change-Id: I46633138af3f4c802a73b54f1acc1e711ed2133e</t>
  </si>
  <si>
    <t>Revert "add a new CTS to check expected system telephony apks"
This reverts commit a31bc6a24287b2a89a1e9ab6afe375fffe1c5786.
Reason for revert: b/148482594
Bug: 148482594
Change-Id: I065f2eda03d192104b47653fe9d1cf7a6794d942</t>
  </si>
  <si>
    <t>Modified test for updated Dataset APIs.
Bug: 148380267
Test: atest android.autofillservice.cts.DatasetTest
Change-Id: I87732e917925db7db05e3d6d2898bf4663d2b30b</t>
  </si>
  <si>
    <t>Camera: Extend offline processing testing
Verify that offline processing behaves as expected
when remote clients try to open the same camera
device.
Bug: 149346795
Test: Camera CTS
Change-Id: I2e6d5315b0ef463ca905c7b71df590b9bbcffe24</t>
  </si>
  <si>
    <t>Add CTS case for compat framework gate of restrict SAF
Test: atest DocumentsTest
Bug: 144816835
Change-Id: I7cf6629246a07a428d92b935f5103749d24b61ab</t>
  </si>
  <si>
    <t>Add test where trusted old key can continue to update package
When a key is rotated by a new key, the new key may continue trusting
the old key. In such case, the old key should be able to update the
package.
Bug: 136002636
Test: atest StagedInstallTest#testTrustedOldKeyIsAccepted
Test: atest CtsStagedInstallHostTestCases
Test: atest CtsRollbackManagerHostTestCases
Change-Id: I134ad44d5928a408f81e4d82a776f9a3497b8140
Merged-In: I134ad44d5928a408f81e4d82a776f9a3497b8140</t>
  </si>
  <si>
    <t>Undo isDataCapable as Public API
Test: make
Bug: 146206136
Change-Id: Ie8caab9843332579f92072775cef46f8b5533527</t>
  </si>
  <si>
    <t>Add Biometric, Biometric|Credential Cipher tests
Bug: 148425329
Test: CtsVerifier
Change-Id: I2057a0efca37ff742f9ca2765398cc5a38b87f0f</t>
  </si>
  <si>
    <t>Update NotificationManagerTest to work with FLAG_BUBBLE in BubbleExtractor
Since the flag happens after ranking now we need to add some extra
wait time to the bubbles tests &amp; check the listener instead of polling
active notifs.
Creates a specific bubble check method so that not all of the notification
checks have the extra wait time.
Fixes some things in the tests
- One of them performed checkNotificationExists but didn't actually do
  anything with the value
- The failure messages didn't always make sense so cleaned that up a lil
Test: this is the test
Bug: 149736441
Change-Id: Ic33ace405916420c8437ea58f467c397d9cee2f9</t>
  </si>
  <si>
    <t>Update NotificationManagerTest to work with FLAG_BUBBLE in BubbleExtractor
Since the flag happens after ranking now we need to add some extra
wait time to the bubbles tests &amp; check the listener instead of polling
active notifs.
Creates a specific bubble check method so that not all of the notification
checks have the extra wait time.
Fixes some things in the tests
- One of them performed checkNotificationExists but didn't actually do
  anything with the value
- The failure messages didn't always make sense so cleaned that up a lil
Test: this is the test
Bug: 149736441
Change-Id: Ic33ace405916420c8437ea58f467c397d9cee2f9
Merged-In: Ic33ace405916420c8437ea58f467c397d9cee2f9</t>
  </si>
  <si>
    <t>WifiMigrationTest: Remove all usage of WifiMigration.loadFromStore
In preparation of moving away from this API surface to a different
mechanism.
Bug: 149418926
Test: atest android.net.wifi.cts
Change-Id: I5805d9dc27a248b633d514356f603f63af799429</t>
  </si>
  <si>
    <t>Hide several CTS due to hidden API
Test: atest
Bug: 151241308
Change-Id: I2b6dc5db384384cc0c358661b5fee1872efb0260</t>
  </si>
  <si>
    <t>Revert "Initialize linkerconfig tests"
This reverts commit c09f046a08ac7e71f927aab69a6c33443ae8358f.
Reason for revert: Remove this test from CTS for now as CDD is not added for R release.
Change-Id: Ica396e545358d1f9c8c6288ba295b155dbafc3dd</t>
  </si>
  <si>
    <t>Rename lookForLog to lookForLogFromHdmiCecAudioManager
Rename method in test 11.2.15-8 for clarity.
Bug: 147274676
Test: None
Change-Id: I4c1c257abcee1bcb82eb2987c4e73468fe0b8854</t>
  </si>
  <si>
    <t>Reduce flakiness and add minimum coarseness test
Reduce test flakiness by correctly calculating max coarseness distance,
and add test to prevent the minimum coarses from being too low.
Bug: 151476219
Test: presubmits
Change-Id: Idf304bd9579ce829c2371a6c1243041b147ebbab</t>
  </si>
  <si>
    <t>Updates CTS to use non-deprecated methods; updated tests for constructors
Bug: 149911930
Test: atest NotificationTest NotificationManagerTet
Change-Id: I9acf2d3894ec0d49c18174f674ea3b4788d40f47</t>
  </si>
  <si>
    <t>Add new Sharesheet CTS tests
Not every Sharesheet API is testable in an automated way.
Main constraints: UiAutomator can only tests what's visible and,
because of possible partner variations, we can't assume a scrolling
direction or point of origin. Can only test what appears after
launch without any user interaction. Minimum reasonable assumptions
were made in order to practically build the automated tests.
These tests do not give 100% coverage to API and API behaviors. To
reach full coverage CTS Verifier tests will need to be added.
atest run times on a Pixel 4 device are appx 2.8s and 2s respectively.
Bug: 148800975
Test: cts-tradefed run singleCommand cts -m CtsSharesheetTestCase
Test: atest CtsSharesheetTestCases
Change-Id: I3ed8401f9644a5c26278abea8a65fc3415651b7b</t>
  </si>
  <si>
    <t>Camera: Verify offline image timestamps
Verify that each offline processed buffer includes
a timestamp matching with an offline result.
Bug: 149346795
Test: Camera CTS
Change-Id: I537db3c37cf147cafb281940b72eb471f2f69eb3</t>
  </si>
  <si>
    <t>[CTS] Remove conditinal Passpoint support
Remove conditional Passpoint support from CertificateTest
and replace it with Wi-Fi support. Passpoint is a mandatory
Wi-Fi feature.
Bug: 151769703
Test: atest CertificateTest
Change-Id: I2f3bffcc5269159a7e773c305e3c01a66e6ffb13</t>
  </si>
  <si>
    <t>Remove unneeded test cases
Test: atest CtsUserspaceRebootHostSideTestCases
Bug: 149020865
Change-Id: I466d83e04a05fdd7ecdfc0bee7d6bf7e90bf3c47</t>
  </si>
  <si>
    <t>Revert "WebView: disable flaky tests"
This reverts commit ba449f4bdd03eab5052a937712c19a8f40af3c03.
Reason for revert: the underlying bug is fixed in Chromium
Fixes: 143381499
Test: atest CtsWebkitTestCases:WebViewClientTest
Change-Id: Ia0a6cf749dcc52b4cc4b3e21fba0e53f3d813200
(cherry picked from commit 01d03c50305edda1446d747463d972011467f1c9)</t>
  </si>
  <si>
    <t>Camera: Update test for migration of BOKEH_MODE
Test: Camera CTS
Bug: 151759402
Change-Id: Iddab7917190ec04ab8b5db44de8ee0148ea60ebe</t>
  </si>
  <si>
    <t>Not force showing soft input window before the view get focused.
Bug: 151702075
Bug: 150312131
Test: atest CtsAutoFillServiceTestCases:android.autofillservice\
.cts.inline
Change-Id: I96991008f53d6a42253d113bcdc0a772910e2a35</t>
  </si>
  <si>
    <t>Fix testResolveInCallIntent.
This text existing in a separate cts test module for some reason;
so I'm moving it to the main Telecom module because having a full module
for a single test is just silly.
I also modified the test itself to better enforce what its trying to;
that is that there is an InCallService on the device which can potentially
show an InCall UI.
Test: Run CtsTelecomTestcts-tradefed run cts-dev -m CtsTelecomTestCases -t android.telecom.cts.BasicInCallServiceTest#testResolveInCallIntent
Fixes: 151112367
Change-Id: I4066b129b79b477340e486210e87b764a95fdbca</t>
  </si>
  <si>
    <t>DO NOT MERGE Revert "Quick fix for BatterySaverLocationTest"
This reverts commit b92708f85749d870b27ae8a96aac4110f557da80.
Reason for revert: this patch should only have been applied to master, not rvc-dev.
Bug: 151435715
BUg: 151907229
Change-Id: I025f4d58d9fd15fdf3df134d16efc97f88b83176</t>
  </si>
  <si>
    <t>Updated ScanningSettingsTest to ignore automotive, as automotive does
not support scanning.
Bug: 149783831
Test: atest CtsLocationTestCases:ScanningSettingsTest
Change-Id: I3e7e102b677e4037c0a72e0450b98046a650d98d</t>
  </si>
  <si>
    <t>Change CTS test for createRequestInteractAcrossProfilesIntent
Changed the test to reflect the new behaviour, it should now throw
a security exception if the app can not request the intent.
Bug: 151157516
Test: atest CrossProfileAppsPermissionHostSideTest
Change-Id: Ia85f6cba48d2cccb7ed2e614b9fa5d95b4260a7c</t>
  </si>
  <si>
    <t>RESTRICT AUTOMERGE: Camera: Remove tests for ROTATE_AND_CROP
Feature did not get fully completed for Android 11.
Test: Adjusted camera CTS continues to pass
Bug: 150036107
Change-Id: I6f048b3b874ce6c475aee32c555b4f2a5ca472e5</t>
  </si>
  <si>
    <t>Remove unneeded test cases
Test: atest CtsUserspaceRebootHostSideTestCases
Bug: 149020865
Change-Id: I466d83e04a05fdd7ecdfc0bee7d6bf7e90bf3c47
Merged-In: I466d83e04a05fdd7ecdfc0bee7d6bf7e90bf3c47
(cherry picked from commit f912225e90b6a2b605c0ee284575859fb800fb4e)</t>
  </si>
  <si>
    <t>Modify test cases for takeScreenshot() API
Changing the callback type of API
Bug: 150865445
Test: atest AccessibilityTakeScreenshotTest
Change-Id: I695548cd778fba90c27d82036326b259749a30d4</t>
  </si>
  <si>
    <t>Add CTS test for BluetoothAdapter#setName by combining it with the existing test for BluetoothAdapter#getName
Bug: 150726166
Test: atest BasicAdapterTest
Merged-In: I07d276985efdb78d9b436dbb3f1f2c9ff53d43a9
Change-Id: I07d276985efdb78d9b436dbb3f1f2c9ff53d43a9</t>
  </si>
  <si>
    <t>Change dynamic MIME tests according to API changes
PackageManager#clearMimeGroup was removed. This CL modifies test to use
PackageManager#setMimeGroup instead, removes test cases that are no
longer relevant and reflects that get/set methods on undefined MIME
groups should throw.
Bug: 151101912
Test: atest CtsDynamicMimeHostTestCases
Change-Id: I0af773523c84ac5aeccfcba3851da5fb36607b0e</t>
  </si>
  <si>
    <t>CtsPrintTestCases: Move printer selection to helpers
Bug: 132748008
Test: atest CtsPrintTestCases
Change-Id: I29cc6bce5960e89279c946a073adedb54bb3ea9e</t>
  </si>
  <si>
    <t>Revert "[RESTRICT AUTOMERGE]: CTS test for Android Security b/33139050"
Bug: 151764674
Bug: 33139050
Bug: 72461495
Test: sts-tradefed
This reverts commit 84f784655b48aff5416af94020b224e680d8805f.
Change-Id: Ie00da129f00d698312aab5a79818be9bac013a92</t>
  </si>
  <si>
    <t>Revert "[RESTRICT AUTOMERGE] CTS test for Android Security b/34897036"
Bug: 151764674
Bug: 34897036
Bug: 72459887
Test: sts-tradefed
This reverts commit 7fa2fcb73c6f3432c5dae247fe329d71846ab43a.
Change-Id: Ibcdaa562a027692a3e90b0ec5a0cdfc50b35453a</t>
  </si>
  <si>
    <t>Increase the timeout of waiting for commit completion.
+ slight refactoring of the device-side test classes.
Bug: 151960323
Test: atest --test-mapping apex/blobstore
Change-Id: Id04999825889811f3af8020461cbe4602c5eac0c</t>
  </si>
  <si>
    <t>Add tests for staging multiple session with non-overlapping packages
Bug: 141843321
Test: atest StagedInstallTest#testAllowNonOverlappingMultipleStagedInstall_BothSinglePackage_Apk
Test: atest StagedInstallTest#testFailOverlappingMultipleStagedInstall_BothSinglePackage_Apk
Test: atest StagedInstallTest#testFailOverlappingMultipleStagedInstall_BothSinglePackage_Apex
Test: atest StagedInstallTest#testAllowNonOverlappingMultipleStagedInstall_MultiPackageSinglePackage
Test: atest StagedInstallTest#testFailOverlappingMultipleStagedInstall_BothMultiPackage
Test: atest StagedInstallTest#testMultipleStagedInstall_ApkOnly
Test: atest RollbackManagerHostTest#testApkOnlyMultipleStagedRollback
Test: atest RollbackManagerHostTest#testApkOnlyMultipleStagedPartialRollback
Change-Id: Id2ce942bba52f728f4a254f7439dad905b25a000
Merged-In: Id2ce942bba52f728f4a254f7439dad905b25a000</t>
  </si>
  <si>
    <t>MediaCodec: Enforce cdd codec list requirements
Bug: 147573846
Test: atest android.mediav2.cts.CodecEncoderTest
Test: atest android.mediav2.cts.CodecDecoderTest
Change-Id: I2f807575bedb3b2614aca1c93df98cd69e9d8fa3</t>
  </si>
  <si>
    <t>MediaCodec CTS: Cleanup
Bug: 147573846
Test: atest android.mediav2.cts.CodecEncoderTest \
android.mediav2.cts.CodecDecoderTest
Change-Id: I2aae81c09f24846c124a1a395612bb1fe0bd1a45</t>
  </si>
  <si>
    <t>Changed/added CTS tests for canRequestInteractAcrossProfiles
Bug: 149742043
Test: atest CrossProfileAppsPermissionHostSideTest
Change-Id: I81b1ade711a37d1d824cf848e306313e37a18529</t>
  </si>
  <si>
    <t>Fix CTS tests for inclusion in MTS
- Ignore the testRevokePermission test in CarrierConfigManagerTest due to
an appops issue
- Remove an obsolete SMS financial app test
- Add proper packages for telephony's permission policy test
Bug: 145232009
Bug: 146007053
Fixes: 142755182
Test: atest CtsTelephonyTestCases
Change-Id: If23f0929119554e641ceda3080c22bd2041c894b
Merged-In: If23f0929119554e641ceda3080c22bd2041c894b</t>
  </si>
  <si>
    <t>Test IpConfiguration field count and parceling round trip
Add test for IpConfiguration and also address review
comments from aosp/1171795.
Bug: 139268426
Test: CtsNetTestCasesLatestSdk:android.net.cts.IpConfigurationTest
Change-Id: Ib30a98e11bdcd9d473b713f7e4c317172b14f000</t>
  </si>
  <si>
    <t>Adding test cases for takeScreenshot()
Adding the test cases for taking screenshot of virtual display.
Bug: 145893483
Test: atest AccessibilityTakeScreenshotTest
Change-Id: I2fe7a99af57418c4994471ce57df7eb91f692b2e</t>
  </si>
  <si>
    <t>CTS: Bubbles Policy: remove phone calls
Test: atest NotificationManagerTest / this is the test
Bug: 138116133
Change-Id: I74adbfc7fb78e47f6ca414ea87cc1b0e3db20184</t>
  </si>
  <si>
    <t>Test for: V4 uses V2 digest if V3 is not available.
Test: atest PackageManagerShellCommandIncrementalTest
Bug: b/151240006
Change-Id: Iefea3928692dfa1656471754a1507c346157050e</t>
  </si>
  <si>
    <t>Rewrite NetworkInfo CTS tests to Kotlin
Bug: 152356365
Test: atest CtsNetTestCasesLatestSdk:android.net.cts.NetworkInfoTest
      on both Q and R devices
Change-Id: I44ffdc4b4a9ba8fcc1fda895b9d7f8f551fd6bb3</t>
  </si>
  <si>
    <t>Test IpConfiguration field count and parceling round trip
Add test for IpConfiguration and also address review
comments from aosp/1171795.
Bug: 139268426
Test: CtsNetTestCasesLatestSdk:android.net.cts.IpConfigurationTest
Change-Id: Ib30a98e11bdcd9d473b713f7e4c317172b14f000
Merged-In: Ib30a98e11bdcd9d473b713f7e4c317172b14f000
(cherry picked from commit 8e208eb353263bddca4d93a7a67a5f978316b0cc)</t>
  </si>
  <si>
    <t>Rewrite NetworkInfo CTS tests to Kotlin
Bug: 152356365
Test: atest CtsNetTestCasesLatestSdk:android.net.cts.NetworkInfoTest
      on both Q and R devices
Change-Id: I44ffdc4b4a9ba8fcc1fda895b9d7f8f551fd6bb3
Merged-In: I44ffdc4b4a9ba8fcc1fda895b9d7f8f551fd6bb3
(cherry picked from aosp/1256248)</t>
  </si>
  <si>
    <t>Remove Duplicate Permission Tests
-Remove negative permissions tests for:
 onImsCallDisconnectCauseChanged
 onCallDisconnectCauseChanged
 onPreciseDataConnectionStateChanged
-Tests are migrated to Permissions tests as part of
 Ica56ebb81a3f3ea9b5c238a0e7d3a2d9c30e27f2
Bug: 148646258
Test: make (remove-only)
Merged-In: I40c74966beaf6aaaf4af5b220716cca825c3488d
Change-Id: I40c74966beaf6aaaf4af5b220716cca825c3488d
(cherry picked from commit ab20fd90d03d5a788dc2b3d1f2a8612a80f90cf7)
Change-Id: I05e3c1729434b6d8cfbf7a68911ed10036176731</t>
  </si>
  <si>
    <t>Remove unnecessary DownloadManagerLegacyTest
With I277120b2e2236a1c6fafa3d8447d5f7393daf9df, DownloadManager
behavior is dependent on legacy appops instead of target SDK and
DownloadManagerLegacyTest is effectively duplicating tests in
DownloadManagerApi28Test.
Additionally, DownloadManagerLegacyTest was not tareting current sdk
meaning it wasn't actually testing legacy behavior as a Q app.
Since we already have DownloadManagerTest targeting current sdk and
verifying behavior of an R app (without legacy appop). We now remove
the unnecessary DownloadManagerLegacyTest.
Test: atest DownloadManagerApi28Test
Bug: 152267937
Change-Id: I4d260aeb43b65e3ddc889e255b695aa946995820</t>
  </si>
  <si>
    <t>Add Toast.Callback tests
Even though we were already testing them for text toasts, adding
explicit test for text toast and custom toast cases.
Test: atest android.widget.cts.ToastTest
Bug: 152407874
Change-Id: I59036cd12c39c0b2626fa15523d0ebe6146ead13</t>
  </si>
  <si>
    <t>Updated ScanningSettingsTest to ignore automotive, as automotive does
not support scanning.
Bug: 149783831
Test: atest CtsLocationFineTestCases:ScanningSettingsTest
Change-Id: I3e7e102b677e4037c0a72e0450b98046a650d98d</t>
  </si>
  <si>
    <t>Fix TapjackingTest#testTapsDroppedWhenObscured
Fixes: 151085342
Test: This test
Change-Id: Iff1b6e55b6a1eaf5b4533a28e650a730b5a5d156</t>
  </si>
  <si>
    <t>Hide several CTS due to hidden API
Test: atest
Bug: 151241308
Change-Id: I2b6dc5db384384cc0c358661b5fee1872efb0260
Merged-In: I2b6dc5db384384cc0c358661b5fee1872efb0260
(cherry picked from commit 742d846d447c0cbe14b7ec23ef9a6b4a1937c2db</t>
  </si>
  <si>
    <t>Remove DO/PO identifier access checks that revoke READ_PHONE_STATE
When the new device identifier access requirements went into Android 10
device / profile owner apps were only allowed access to identifiers if
they had been granted the READ_PHONE_STATE permission. Now that this
permission is a normal permission these tests are no longer necessary.
Fixes: 152246534
Test: atest DeviceOwnerTest#testDeviceOwnerCanGetDeviceIdentifiers
Test: atest DeviceOwnerTest#testDeviceOwnerCannotGetDeviceIdentifiersWithoutPermission
Test: atest ManagedProfileTest#testProfileOwnerOnPersonalDeviceCannotGetDeviceIdentifiers
Test: atest CtsDevicePolicyManagerTestCases:com.android.cts.devicepolicy.OrgOwnedProfileOwnerTest#testProfileOwnerCannotGetDeviceIdentifiersWithoutPermission
Test: atest CtsDevicePolicyManagerTestCases:com.android.cts.devicepolicy.OrgOwnedProfileOwnerTest#testProfileOwnerCanGetDeviceIdentifiers
Change-Id: I92a3fcef89c5c4592e9151cca8dc60621419a3d3</t>
  </si>
  <si>
    <t>[cts content tests] use v4 flag instead of prebuilt APKs
Cleaning up prebuilt APKs/idsig files.
Will move v2/v3 tests to cts/appsecurity. Will merge
PackageManagerShellCommand*Test in a follow-up CL.
BUG: 149354175
Test: atest PackageManagerShellCommandIncrementalTest
Test: atest PackageManagerShellCommandTest
Change-Id: I0363c9c1d89a6ee540d0bc6fe6e4918ad4fcde5e</t>
  </si>
  <si>
    <t>MediaCodec: Enforce cdd codec list requirements
Bug: 147573846
Test: atest android.mediav2.cts.CodecEncoderTest
Test: atest android.mediav2.cts.CodecDecoderTest
Change-Id: I2f807575bedb3b2614aca1c93df98cd69e9d8fa3
Merged-In: I2f807575bedb3b2614aca1c93df98cd69e9d8fa3</t>
  </si>
  <si>
    <t>MediaCodec CTS: Cleanup
Bug: 147573846
Test: atest android.mediav2.cts.CodecEncoderTest \
android.mediav2.cts.CodecDecoderTest
Change-Id: I2aae81c09f24846c124a1a395612bb1fe0bd1a45
Merged-In: I2aae81c09f24846c124a1a395612bb1fe0bd1a45</t>
  </si>
  <si>
    <t>Add a CTS test for memory tagging.
Test that memory tagging is disabled in regular apps, and that the
compatibility flag works.
Bug: 135772972
Change-Id: I043544f9c02a68bfebde924661a0c6a67a43b177</t>
  </si>
  <si>
    <t>WifiManagerTest: Disable factory reset test
Bug: 152637504
Test: atest WifiManagerTest
Change-Id: Ieccd8c13c9758656afa35639aae281670e7c14ca</t>
  </si>
  <si>
    <t>Make ExtractedTextRequestTest reusable for other tests
This is a preparation to improve CTS coverage of InputConnection.
When testing InputConnection#getExtractedText(), it would be
convenient if we can share the method to create a test instance of
ExtractedTextRequest then verify it.
This CL rewrites ExtractedTextTest to do so. Following methods will
be used from other files in subsequent CLs.
 * createForTest()
 * assertTestInstance()
Bug: 36897707
Bug: 129012881
Test: ExtractedTextRequestTest
Change-Id: I40983bc0df126ff681fd5ca8915a7ff4d92b8e6b</t>
  </si>
  <si>
    <t>Refactoring and improving suspend related tests
This refactoring is targeted to make the module more reliable
and maintainable in the longer run. This should also eventually enable
adding these some of these tests to presubmit. No new tests are added but
some of them have been moved to different classes for better logical
separation:
 - UI related tests are moved to DialogTests
 - Tests verifying interaction of two different suspending apps, one of
 which is an admin, are moved to DualSuspendTests
Much of the communication between the instrumentation and the helper app
using broadcasts is now changed to use a bound service and any
in-process communication is changed to use static data structures.
The general expectation is that this will be more reliable and faster,
reducing any potential flakiness on slower form factors.
This is also helpful in enabling all possible tests in a secondary
user, as there is a lot of broadcast congestion immediately post
user-switch.
UI related tests are still not enabled on secondary user, as
they are still flaky or unreliable. To keep this change manageable,
they will be addressed in a follow-up.
Test: atest CtsSuspendAppsTestCases
Bug: 150741315
Bug: 140579306
Change-Id: I479c30aec39539c6b31e0fd567c23293c43abf3f</t>
  </si>
  <si>
    <t>Revert "sonivox: fix hang caused by bad meta-event (cts)"
This reverts commit 7144f3ff11b13432954752f4cd471f418f0e793f.
Bug: 69804002
Bug: 68953854
Bug: 68664359
Bug: 151764674
Test: cts-tradefed run cts --class android.security.cts.StagefrightTest --method testStagefright_bug_68953854
Change-Id: I5be99cfe1a9effc24b9c17db6e8763fb70c876ce</t>
  </si>
  <si>
    <t>WifiBackupRestoreTest: Add test for restoring new formats
This test ensures that all OEM devices can restore AOSP backup
formats.
Bug: 150236894
Test: atest android.net.wifi.cts.WifiBackupRestoreTest
Change-Id: Ic0458e9b0f53465256adfed343b2b3406f48d5ca</t>
  </si>
  <si>
    <t>Refactor structure to reduce duplicate code
The difference between a popup suggestion and an inline suggestion is
mainly in terms of display, the rest should behave the same. Therefore,
there should be a lot of code or logical similarity in the test.
Modify the test library so that these tests can be shared to reduce
deplicate code.
Bug: 151588704
Test: atest CtsAutoFillServiceTestCases
Change-Id: I6a0fdb695a9db72e935a1da208de059f12b8ec70</t>
  </si>
  <si>
    <t>RESTRICT AUTOMERGE
Revert submission 10446362-type-presentation-p
Reason for revert: Breaks apps using Presentation in combination with private virtual displays
Reverted Changes:
I2aaab1903:RESTRICT AUTOMERGE Block TYPE_PRESENTATION windows...
Ib5a24f8be:RESTRICT AUTOMERGE Add test for Presentation
Bug: 141745510
Change-Id: Iabb838c6a280e3cb4f41e4972921ec09a5aba287</t>
  </si>
  <si>
    <t>RESTRICT AUTOMERGE
Revert submission 10383599-type-presentation-q
Reason for revert: Breaks apps using Presentation in combination with private virtual displays
Reverted Changes:
I2aaab1903:RESTRICT AUTOMERGE Block TYPE_PRESENTATION windows...
Ib5a24f8be:RESTRICT AUTOMERGE Add test for Presentation
Bug: 141745510
Change-Id: Iccc9125e2c866de6b06586d67e02cf20535c356a</t>
  </si>
  <si>
    <t>Undo isDataCapable as Public API
Test: make
Bug: 146206136
Change-Id: Ie8caab9843332579f92072775cef46f8b5533527
Merged-In: Ie8caab9843332579f92072775cef46f8b5533527</t>
  </si>
  <si>
    <t>Revert "Dark Theme doesnt forget car changes"
This reverts commit 339dfb440f4a686b34ec2167669292de0738dd43.
Reason for revert: BUG: 151187299
Change-Id: I1399d6ca22bf505cad10232c6129ae6a3ebab520
Merged-In: I2bfd68ffaa3f15c422c8b494ff5b2df2de1d31c6</t>
  </si>
  <si>
    <t>CtsPrintTestCases: Remove UiDevice from BasePrintTest
This moves nearly all of the uses of UiDevice from BasePrintTest into
ICtsPrintHelper methods.  The only remaining reference is in
getUiDevice(), which needs to stay until all the subclasses have been
refactored.
Bug: 132748008
Test: atest CtsPrintTestCases
Change-Id: I7442e4f9ca00db619d49289dc7384284578d452b</t>
  </si>
  <si>
    <t>Cts - test custom equals method for bundles in the inline APIs
Test: atest InlineSuggestionsRequest
Bug: 152811052
Change-Id: Ia8d660cfac144cd3dc11b2f93fbd7504a37e6dc2</t>
  </si>
  <si>
    <t>Fix CTS WifiManagerTest#testTrafficStateCallback
During the split out of CtsNetTestCases,
usesCleartextTraffic was lost from AndroidManifest.xml.
This causes HTTP requests to fail. Since we catch &amp;
swallow exceptions in WifiManagerTest#sendTraffic(),
this error was not surfaced.
Changes:
1. Added usesCleartextTraffic back to allow HTTP requests.
2. Cleaned up TestTrafficStateCallback to use
   CountDownLatch instead of wait/notify.
3. TestTrafficStateCallback was made more lenient. It now
   accepts DATA_ACTIVITY_IN &amp; DATA_ACTIVITY_OUT over
   multiple updates, instead of just a DATA_ACTIVITY_INOUT
   in a single update.
4. sendTraffic() now throws an exception if an error occurred
   during a HTTP request instead of failing silently.
Bug: 152633766
Test: atest android.net.wifi.cts.WifiManagerTest#testTrafficStateCallback --iterations 10
Change-Id: Idb8e38f2abb281f21d75360320c37fd618c3ea76</t>
  </si>
  <si>
    <t>Convert StagefrightTest to a JUnit4 runner.
Bug: 142477193
Bug: 142286159
Test: cts-tradefed run cts -m CtsSecurityTestCases -t android.security.cts.StagefrightTest
Change-Id: I33586a2ed2196758816fbd7b0b1a8938c3b9e787</t>
  </si>
  <si>
    <t>[RESTRICT AUTOMERGE]: Convert StagefrightTest to a JUnit4 runner.
Bug: 142477193
Bug: 142286159
Test: cts-tradefed run cts -m CtsSecurityTestCases -t android.security.cts.StagefrightTest
Change-Id: I33586a2ed2196758816fbd7b0b1a8938c3b9e787
Merged-In: I33586a2ed2196758816fbd7b0b1a8938c3b9e787</t>
  </si>
  <si>
    <t>[RESTRICT AUTOMERGE]: Convert StagefrightTest to a JUnit4 runner.
Bug: 142477193
Bug: 142286159
Test: cts-tradefed run cts -m CtsSecurityTestCases -t android.security.cts.StagefrightTest
Change-Id: I33586a2ed2196758816fbd7b0b1a8938c3b9e787</t>
  </si>
  <si>
    <t>Revert "Revert "Revert "Dark Theme doesnt forget car changes"" - DO NOT MERGE"
This reverts commit 5bd5ac6f7e4179bbd548f0372f743b3f74f1692c.
Reason for revert: BUG: 153016166
Change-Id: I27fad1db7b6f4db69b42dfcc3565869f62cf0266</t>
  </si>
  <si>
    <t>Removing obsolete tests
Bug: 153021761
Test: Removing tests
Change-Id: I5854adf416800402cb936f09e2adb56916cbad1d</t>
  </si>
  <si>
    <t>Test no window tokens are leaked by toasts
Also renamed ToastTest in WM to ToastWindowTest to avoid clash with
other tests.
Test: atest ToastWindowTest
Bug: 152973950
Change-Id: Ib7a33fbd6024fc190fa9fcd5cb465d92a24bb512</t>
  </si>
  <si>
    <t>Add NotificationListenerService for ManagedProfileWipeTest
 Get notifications from NotificationListenerService and not from parsing UI.
 This allows tests to pass for devices/form factors that do not display standard notifications.
Test: run cts -m CtsDevicePolicyManagerTestCases -t com.android.cts.devicepolicy.ManagedProfileWipeTest
Bug: 149827369
Change-Id: Ie9a84b424f7ad4dba84eadc632e56de7cbd4dbfe</t>
  </si>
  <si>
    <t>RESTRICT AUTOMERGE
Revert submission 10383599-type-presentation-q
Reason for revert: Breaks apps using Presentation in combination with private virtual displays
Reverted Changes:
I2aaab1903:RESTRICT AUTOMERGE Block TYPE_PRESENTATION windows...
Ib5a24f8be:RESTRICT AUTOMERGE Add test for Presentation
Bug: 141745510
Bug: 152342138
Merged-In: Iccc9125e2c866de6b06586d67e02cf20535c356a
Change-Id: Iccc9125e2c866de6b06586d67e02cf20535c356a
(cherry picked from commit 668291193b0cf7726c9cb163d3331b6102337314)</t>
  </si>
  <si>
    <t>Revert "Sonivox: add CTS test."
This reverts commit cb8b10820baecb4f73c9054434f158bc76ee47b8.
Test: none
Bug: 26366256
Bug: 72509001
Change-Id: I51a4f5ee5776e07ba2e2ee0ca9b2ff6c0c2e292b</t>
  </si>
  <si>
    <t>Revert "CTS Tests for sonivox bugs b/68664359 and b/110435401"
This reverts commit 1426647e0bed7ea3bfa8b7c2a188ab2f1ce10268.
Test: none
Bug: 68664359
Bug: 110435401
Bug: 79774719
Change-Id: I39880b589184d5cbf7a70c323cf2141368489a94</t>
  </si>
  <si>
    <t>[RESTRICT AUTOMERGE]: Revert "Sonivox: add CTS test."
This reverts commit cb8b10820baecb4f73c9054434f158bc76ee47b8.
Test: none
Bug: 26366256
Bug: 72509001
Change-Id: I51a4f5ee5776e07ba2e2ee0ca9b2ff6c0c2e292b</t>
  </si>
  <si>
    <t>[RESTRICT AUTOMERGE]: Revert "CTS Tests for sonivox bugs b/68664359 and b/110435401"
This reverts commit 1426647e0bed7ea3bfa8b7c2a188ab2f1ce10268.
Test: none
Bug: 68664359
Bug: 110435401
Bug: 79774719
Change-Id: I39880b589184d5cbf7a70c323cf2141368489a94</t>
  </si>
  <si>
    <t>Revert "sonivox: fix hang caused by bad meta-event (cts)"
This reverts commit 7144f3ff11b13432954752f4cd471f418f0e793f.
Bug: 69804002
Bug: 68953854
Bug: 68664359
Bug: 151764674
Test: cts-tradefed run cts --class android.security.cts.StagefrightTest --method testStagefright_bug_68953854
Change-Id: I5be99cfe1a9effc24b9c17db6e8763fb70c876ce
Merged-In: I5be99cfe1a9effc24b9c17db6e8763fb70c876ce</t>
  </si>
  <si>
    <t>Revert "Sonivox: add CTS test."
This reverts commit cb8b10820baecb4f73c9054434f158bc76ee47b8.
Test: none
Bug: 26366256
Bug: 72509001
Change-Id: I51a4f5ee5776e07ba2e2ee0ca9b2ff6c0c2e292b
Merged-In: I51a4f5ee5776e07ba2e2ee0ca9b2ff6c0c2e292b</t>
  </si>
  <si>
    <t>Revert "CTS Tests for sonivox bugs b/68664359 and b/110435401"
This reverts commit 1426647e0bed7ea3bfa8b7c2a188ab2f1ce10268.
Test: none
Bug: 68664359
Bug: 110435401
Bug: 79774719
Change-Id: I39880b589184d5cbf7a70c323cf2141368489a94
Merged-In: I39880b589184d5cbf7a70c323cf2141368489a94</t>
  </si>
  <si>
    <t>Update CTS tests for screen capture disabled
Background
* Historically, when the screen capture disabled
  policy was set on the personal profile, screen
  capture was disabled for the whole device
  (per-device).
* This should be changed to only be disabled in
  the personal profile (per-profile).
Changes
* Remove the check that checks whether the existing
  screen can be captured or not. Instead, start a
  simple test activity and verify whether the screen
  of that activity can be captured or not.
Bug: 148453838
Test: atest com.android.cts.devicepolicy.MixedDeviceOwnerTest#testScreenCaptureDisabled
      atest com.android.cts.devicepolicy.MixedProfileOwnerTest#testScreenCaptureDisabled
      atest com.android.cts.devicepolicy.MixedManagedProfileOwnerTest#testScreenCaptureDisabled
      atest com.android.cts.devicepolicy.MixedDeviceOwnerTest#testScreenCaptureDisabled_assist
      atest com.android.cts.devicepolicy.MixedProfileOwnerTest#testScreenCaptureDisabled_assist
      atest com.android.cts.devicepolicy.OrgOwnedProfileOwnerTest#testScreenCaptureDisabled
Change-Id: Iec0778a2c96bede8acea01cd8a613d1ffa4db047</t>
  </si>
  <si>
    <t>Move RCS Intent check to GTS testing
Bug: 153117038
Test: atest CtsTelephonyTestCases GtsTelephonyTestCases
Change-Id: I342bf448c848ceae52486f33c5f071b2ca955ab7</t>
  </si>
  <si>
    <t>Add a CTS test for memory tagging.
Test that memory tagging is disabled in regular apps, and that the
compatibility flag works.
Bug: 135772972
Exempt-From-Owner-Approval: cherry-pick from internal
Change-Id: I043544f9c02a68bfebde924661a0c6a67a43b177
Merged-In: I043544f9c02a68bfebde924661a0c6a67a43b177</t>
  </si>
  <si>
    <t>Updates tests to a11y button
A new test case for the legacy service which is requesting a11y button,
and also create a new test rule for common utilities of accessibility
button and shortcut.
Bug: 150587818
Test: atest AccessibilityButtonSdk29Test
Test: atest AccessibilityShortcutTest
Change-Id: Ic2fadc375f3912260da76d0e93105c81a2375d06</t>
  </si>
  <si>
    <t>Add CTS tests for direct channel UID idle
Bug: 74395023
Test: Run test, verify pass
Change-Id: I9595662c5808fa66384d43359306db30fde79d56</t>
  </si>
  <si>
    <t>Remove failing runtime permission grant
Test: atest
CtsAppSecurityHostTestCase: AccessSerialNumberTest#testSerialAccessPolicy
Fix: 153275072
Change-Id: I3ae553fe5a3a8df341b005ecf4b16ba1035b85e6</t>
  </si>
  <si>
    <t>Add test for a default audio TvInfoTrack
Bug: 152617345
Test: atest TvTrackInfoTest
Change-Id: Ie56ca5531a2c77787d3d0d33229fc38047740564</t>
  </si>
  <si>
    <t>Add test for default video TvTrackInfo
Bug: 152617168
Test: atest TvTrackInfoTest
Change-Id: I4611911a8e08bb718e3f25ce8c609c04589d8bf8</t>
  </si>
  <si>
    <t>Add test for default subtitle TvTrackInfo
Bug: 152617516
Test: atest TvTrackInfoTest
Change-Id: I4c380a14612079f7383eac6ebf1d19cf7ce26a4d</t>
  </si>
  <si>
    <t>Add CTS coverage for getManagedProfileMaximumTimeOff.
Bug: 152616169
Test: atest
OrgOwnedProfileOwnerTest#testSetManagedProfileMaximumTimeOffLogged
Change-Id: Iec9c348c46befdfebfe81fbcdf7badb014865e9d</t>
  </si>
  <si>
    <t>[Incremental] CTS test for app updates using adb incremental install
Contains 2 tests:
1. 'zero' version update test where an existing app is replaced with another app with the same package name and version.
1. version update test where an existing app is replaced with another app with the same package name and higher version.
Test: atest CtsIncrementalInstallHostTestCases
Bug: 147373090
Change-Id: I68a628f8d90c628addde7222f84025ea9d3c262e</t>
  </si>
  <si>
    <t>CtsPrintTestCases: Move pressBack calls into helpers
Some test cases contain various calls to UiDevice.pressBack() that are
used for closing UI that has been opened by a test.  Separate these out
into helper functions that correspond to the intended purposes.  They
all still call pressBack(), but now can be swapped to match the specific
UI they're meant to close.
The only pattern that doesn't correspond 1:1 is that some places were
calling pressBack() twice to close the main UI.  The first call was
sometimes captured by a device that had gone to sleep during printing.
These now call UiDevice.wakeUp() in the default helper implementation,
which wasn't available when the test was originally written.  All of the
classes that included this pattern passed 10 iterations with atest, so
it doesn't appear to introduce new flakiness.
Bug: 132748008
Test: atest CtsPrintTestCases
Change-Id: I94406db748ba53115c0be0fce329c296127969f6</t>
  </si>
  <si>
    <t>Skip Pointer Tagging tests if kernel has no support.
The compat tests work via. statsd sending an
AppCompatibilityChangeReported message. This doesn't happen if
isChangeEnabled() isn't queried in the zygote.
Recently, isChangeEnabled for the compat feature was moved behind "does
the kernel support this feature" (see b/153114333). This broke the
tests, as compat never gets a message from statsd w.r.t the status of
the feature.
Fix the problem by skipping the test when the kernel doesn't support the
feature.
Exempt-From-Owner-Approval: Cherry-pick from master &amp; fix CTS breakage.
Bug: 153501722
Test: atest CtsTaggingHostTestCases -a on a 4.14 flame and 4.9 coral.
Change-Id: I4e675d5ef7e4f99e74750b5ac99d0602acbb862c
Merged-In: I4e675d5ef7e4f99e74750b5ac99d0602acbb862c</t>
  </si>
  <si>
    <t>[cts/incremental] correctly skip test if assumption fails
Test: atest PackageManagerShellCommandIncrementalTest
BUG: 153622491
Change-Id: Iedb45fef9617bd74ff728ea5346080c7a97144ba</t>
  </si>
  <si>
    <t>CTS Bubble Settings
* Channel default for bubbles is false
* App default for bubbles is false
* Update all the notification creation around bubbles to
  have shortcut to fulfill conversation policy
* Shell commands for NoMan to specify app and channel
  settings so that it may be tested
* Updated existing tests to use shell commands to verify
  correct bubble flag behaviour for policy
* Added tests to ensure correct bubble flag behaviour for
  the new user settings
TODO
- fix for 'app all &amp; channel off'
Bug: 138116133
Test: atest NotificationManagerTest
Change-Id: I4cba4efe69487df01931fb6574a786dcaa2b6264</t>
  </si>
  <si>
    <t>[cts/permission] test install-time permission dependency
This test ensures the behavior of install-time permission dependency:
If app A depends on an install-time permission defined in B,
1) If A is first installed and B is not installed, A does not have the
permission.
2) If B is then installed, A automatically gets the permission.
3) If B is then uninstalled, A still has the permission.
Test: atest android.permission.cts.RemovePermissionTest#installtimePermissionDependencyTest
BUG: 153384657
Change-Id: Id6461dbb629488cb90a6f0068f209643716ccff1</t>
  </si>
  <si>
    <t>Revert "[RESTRICT AUTOMERGE]: STS test for Android Security CVE-2018-9471"
This reverts commit 1545e4f908662a78e31601eed17afc5c8c009ee0.
Bug: 153751318
Bug: 113527124
Test: sts-tradefed
Change-Id: I4bedfbdacdfc2037159ac5331610f9ecd47682a9</t>
  </si>
  <si>
    <t>Add CTS for building IKE and Child SaProposal
Bug: 148689509
Test: atest CtsIkeTestCases
Change-Id: Ic50d70f35216a065ff398c38262f2de0b370c5ef</t>
  </si>
  <si>
    <t>Fix WallpaperManager cts flaky
Tests for high resolution wallpaper might fail due to systemui crashes,
so we don't depend on pid of systemui, we check the dimensions of
cropped wallpaper instead.
Bug: 141756892
Test: atest android.app.cts.WallpaperManagerTest
--rerun-until-failure 10
Change-Id: Ia51d22a92a93afc50eca7b8b26f967959e1da6a0</t>
  </si>
  <si>
    <t>Update ExoPlayer version
Also add a few tests and make a few renames.
Bug: 153662231
Test: atest CtsMediaParserTestCases
Change-Id: I0e9a2f29c7f9f1cef066b0f9426cd8126fc26641</t>
  </si>
  <si>
    <t>Revert "Add CTS tests for direct channel UID idle"
Bug: 74395023
Test: Revert
This reverts commit 9a7d62adc73ed23b499065704e7c5f2a8525089f.
Change-Id: Ia3e556b0af92ccce6aa8304f65fcc8c79ba46e64</t>
  </si>
  <si>
    <t>Revert "Modify CTS to assert fail on flush for background apps"
This reverts commit 0e014dd1250fceb6f4bcadbbf13f7117be8859c3.
Bug: 74395023
Test: Revert
Change-Id: If648a2e56aee65e671532495fa7b32bbcdf99935</t>
  </si>
  <si>
    <t>Test that car mode prevents idle.
Car mode may be activated without the user plugging the device into the
car. In this scenario, the user is "interacting" with the device via the
car and so JobScheduler should treat the device as in active use and not
activate JS idle jobs.
Bug: 147846851
Test: atest CtsJobSchedulerTestCases
Change-Id: Idac73f277f8e3e4995116817036cdf37637d1397</t>
  </si>
  <si>
    <t>Remove failing runtime permission grant
Test: atest
CtsAppSecurityHostTestCase: AccessSerialNumberTest#testSerialAccessPolicy
Fix: 153275072
Change-Id: I3ae553fe5a3a8df341b005ecf4b16ba1035b85e6
Merged-In: I3ae553fe5a3a8df341b005ecf4b16ba1035b85e6</t>
  </si>
  <si>
    <t>Add CTS for building IKE and Child SaProposal
Bug: 148689509
Test: atest CtsIkeTestCases
Change-Id: Ic50d70f35216a065ff398c38262f2de0b370c5ef
Merged-In: Ic50d70f35216a065ff398c38262f2de0b370c5ef
(cherry picked from commit 7f95e39c2534b370a28e4d6cf08ebb8b74950fcb)</t>
  </si>
  <si>
    <t>WifiManagerTest: Re-enable testFactoryReset
The full factory reset test will cause the device to lose its saved
networks after the test app is uninstalled. There isn't a way to fix the
change of ownership for saved networks after the reset. So, add a
negative test instead.
Bug: 152637504
Test: atest WifiManagerTest#testFactoryReset
Change-Id: If5fa76cbfdc17d10da3340b7b65221fd8a0f5632</t>
  </si>
  <si>
    <t>Refactor CTS tests around geofencing
Test: atest CtsLocationFineTestCases
Change-Id: I58c6f8d0847e751622f170f42d31ea3413490ee7</t>
  </si>
  <si>
    <t>Move DhcpInfoTest to FrameworksNetCommonTests
Move to frameworks/base/tests/net/common so that it can
be run in cts test and presubmit test.
Bug: 154299158
Test: atest CtsNetTestCasesLatestSdk:android.net.DhcpInfoTest
Change-Id: I8d70565fe3388fd8351002f2ed87c43343879e57</t>
  </si>
  <si>
    <t>Revert "Add CTS coverage for new BiometricPrompt getters"
This reverts commit 9e2b08c2eefe8451af1f3c4760e524f0dbaf2074.
Reason for revert: This breaks the cts-kernel-presubmit-aosp_kernel-common-android-4.19
See sponge/target?id=b8514476-ed9d-4d0e-8ac8-53c48fd3efaa&amp;target=x86+CtsHardwareTestCases&amp;searchFor&amp;show=FAILED&amp;sortBy=STATUS&amp;view=TREE
The build to reproduce this is ab/6401995
Change-Id: I7e5f27fd8bf28fd48e991961e1a1fb0b8da355c8
Bug: 154297628</t>
  </si>
  <si>
    <t>Move DhcpInfoTest to FrameworksNetCommonTests
Move to frameworks/base/tests/net/common so that it can
be run in cts test and presubmit test.
Bug: 154299158
Test: atest CtsNetTestCasesLatestSdk:android.net.DhcpInfoTest
Change-Id: I1052c2b46ce427102429c3c7d8cf25f3e79f2789
Merged-In: I8d70565fe3388fd8351002f2ed87c43343879e57</t>
  </si>
  <si>
    <t>Test enable tethering permission and stopAllTethering
1. Test whether start tethering is gated by suitable permission.
2. Test stopAllTethering
Bug: 153613718
Test: atest CtsTetheringTest
Change-Id: I38702886ea355e1aec8eb8ac404fdd46a44582e3</t>
  </si>
  <si>
    <t>Revert "[RESTRICT AUTOMERGE] CTS test for Android Security b/112662184"
Test: sts-tradefed
Bug: 153751318
Bug: 112662184
Change-Id: Id92e743f12494a7b04ad49eb8b2f36cafe077b68
This reverts commit 61fc8dc549a2da8858ae7b6d97703bba56dfbdf0.
Change-Id: I74b5b585a3146dbd758470dd5b5ba03031fbd194</t>
  </si>
  <si>
    <t>Pull service dumps to help debug test failures.
+ Convert tests to use Junit4
+ Add annotations to specify required conditions for the test to run.
Bug: 137859686
Test: atest hostsidetests/net/src/com/android/cts/net/HostsideRestrictBackgroundNetworkTests.java
Test: atest hostsidetests/net/src/com/android/cts/net/HostsideNetworkCallbackTests.java
Change-Id: I93317c201a0ea06732e29154ab7e140735381f59
Merged-In: I93317c201a0ea06732e29154ab7e140735381f59</t>
  </si>
  <si>
    <t>Revert "Revert "Add CTS tests for direct channel UID idle""
This reverts commit 91918926e8ab6411266e070e225e9f0fe5ab0b70.
Bug: 74395023
Test: Run test
Reason for revert: ag/11035966
Change-Id: I0805d415fefe3ceb026e8f529469f715767e3c60</t>
  </si>
  <si>
    <t>Add Tuner initiated system audio mode test with&lt;Feature Abort&gt;
Test to check that device doesn't broadcast a &lt;Set System Audio Mode&gt;
message if the TV responds with a &lt;Feature Abort&gt; message to directly
addressed &lt;Set System Audio Mode&gt; within the required maximum response
time of 1 second. The &lt;Set System Audio Mode&gt; message should be
initiated from logical address 3.
Bug: 147274676
Test: atest HdmiCecSystemAudioModeTest#cect_11_2_15_19_SystemAudioModeWithFeatureAbortWithinTime
Change-Id: I0e6d0e3ac3ca219621cdc09e275ff5f64db57efa</t>
  </si>
  <si>
    <t>Revert "Add CTS test for BluetoothAdapter#setName by combining it with the existing test for BluetoothAdapter#getName"
This reverts commit 7a1edbf498714ccd9d551e172ee7bf9a87a6e454.
Reason for revert: Regression test
Bug: 153569352
Change-Id: Ied2a75a9c46246845efafd6464c496b78c0e0009</t>
  </si>
  <si>
    <t>Revert "Add CTS test for BluetoothAdapter#setName by combining it with the existing test for BluetoothAdapter#getName"
This reverts commit 7a1edbf498714ccd9d551e172ee7bf9a87a6e454.
Reason for revert: Regression test
Bug: 153569352
Test: atest BasicAdapterTest
Change-Id: Ied2a75a9c46246845efafd6464c496b78c0e0009</t>
  </si>
  <si>
    <t>Add test for TS with DTS audio
Bug: 147308781
Test: atest CtsMediaParserTestCases
Change-Id: I81362e0662fcfc58f5f58e288d6eb236599bf8b8</t>
  </si>
  <si>
    <t>[RESTRICT AUTOMERGE]: Revert "[RESTRICT AUTOMERGE]: Add missing @Test annotations for JUnit4 tests."
This reverts commit ae621cb53ea14e430ec4a768e6bf9b4363931ccc.
Bug: 153694007
Reason for revert: Mistakenly added test
Change-Id: If14bd64be26a3bb3cf632ac5c025fcca9fc53377</t>
  </si>
  <si>
    <t>Revert "Pull service dumps to help debug test failures."
This reverts commit 04e6fd7033732ca5fdf7039f038def121013dccb.
Reason for revert: Might cause build break on errorprone branch
Change-Id: Iddece3edf4b1e96fafb8b36282f58410a2476025</t>
  </si>
  <si>
    <t>Fix typos in method names
The typos will trigger lint errors in presubmit for test plans that
refer to method names with typo.
Bug: 152741869
Test: $ m cts
Change-Id: Ib31dd13f47c825b6cb5c4056931f0d63406ba93a</t>
  </si>
  <si>
    <t>Verify that blobstore quota limits are enforced.
Bug: 153488316
Bug: 150619869
Test: atest --test-mapping apex/blobstore
Change-Id: I1a31cfdbd62d3f695f64e5468f2755f46045c49e</t>
  </si>
  <si>
    <t>Fix testResolveInCallIntent.
This text existing in a separate cts test module for some reason;
so I'm moving it to the main Telecom module because having a full module
for a single test is just silly.
I also modified the test itself to better enforce what its trying to;
that is that there is an InCallService on the device which can potentially
show an InCall UI.
Test: Run CtsTelecomTestcts-tradefed run cts-dev -m CtsTelecomTestCases -t android.telecom.cts.BasicInCallServiceTest#testResolveInCallIntent
Bug: 151112367
Fixes: 153376628
Merged-In: Ieacf002c0d3c76a046a0ad5281708df6efa694e1
Change-Id: I4066b129b79b477340e486210e87b764a95fdbca</t>
  </si>
  <si>
    <t>Revert "CTS test for Android Security b/112662184"
Test: sts-tradefed
Bug: 153751318
Change-Id: Id92e743f12494a7b04ad49eb8b2f36cafe077b68
This reverts commit 4b3bdf8df2bf22930bedcfb7a11c00f3a5ffc8d5.
Change-Id: If4b23d5a0cef620b1eac7ba641867168b709ab18</t>
  </si>
  <si>
    <t>Reland "Pull service dumps to help debug test failures."
+ Convert tests to use Junit4
+ Add annotations to specify required conditions for the test to run.
This reverts commit ac34967dba05fa78db298c5e500c387c3d2517e2.
Bug: 137859686
Change-Id: I7bb2a7e4b2dca3696761e7c030f3380b9226b676
Merged-In: I93317c201a0ea06732e29154ab7e140735381f59</t>
  </si>
  <si>
    <t>Move Telephony tests out of location CTS
Tests in the CtsNoLocationPermissionTests package were primarily testing
Telephony APIs. Move these tests to one of the telephony test packages
so that the ownership is more clearly defined.
Fixes: 154758184
Test: atest android.telephony2.cts.NoLocationPermissionTest
Change-Id: I4a957b664f95612fbea484ad9d0bd8ac163d6f94</t>
  </si>
  <si>
    <t>Fix userspace reboot CTS tests
Unfortunately, it's not possible to use the same test app for both
listening for BOOT_COMPLETED broadcast and running instrumentation
tests. This is due to the fact, that calling `am instrument` for an app
will force stop that app, and BOOT_COMPLETED is not delivered to the
stopped apps.
Instead, the test flow is now split between two test apps:
* BasicTestApp listens for the broadcast and provides a ContentProvider
  which returns a single boolean: whenever BOOT_COMPLETED broadcast was
  received.
* BootCompletedTestApp periodically queries that ContentProvider until
  timeout is reached.
Test: atest CtsUserspaceRebootHostSideTestCases
Bug: 149020865
Change-Id: I03b9bfccb6683cba2a16f9016cf67924299537ef</t>
  </si>
  <si>
    <t>Test enable tethering permission and stopAllTethering
1. Test whether start tethering is gated by suitable permission.
2. Test stopAllTethering
Bug: 153613718
Test: atest CtsTetheringTest
Merged-In: I38702886ea355e1aec8eb8ac404fdd46a44582e3
Change-Id: I38702886ea355e1aec8eb8ac404fdd46a44582e3</t>
  </si>
  <si>
    <t>Fix userspace reboot CTS tests
Unfortunately, it's not possible to use the same test app for both
listening for BOOT_COMPLETED broadcast and running instrumentation
tests. This is due to the fact, that calling `am instrument` for an app
will force stop that app, and BOOT_COMPLETED is not delivered to the
stopped apps.
Instead, the test flow is now split between two test apps:
* BasicTestApp listens for the broadcast and provides a ContentProvider
  which returns a single boolean: whenever BOOT_COMPLETED broadcast was
  received.
* BootCompletedTestApp periodically queries that ContentProvider until
  timeout is reached.
Test: atest CtsUserspaceRebootHostSideTestCases
Bug: 149020865
Change-Id: I03b9bfccb6683cba2a16f9016cf67924299537ef
Merged-In: I03b9bfccb6683cba2a16f9016cf67924299537ef
(cherry picked from commit 7299e11c49ffb7f44924705c1a84291eade5f940)</t>
  </si>
  <si>
    <t>Snooze API tests for notification listeners and assistants.
Bug: 150629389
Test: atest android.app.notification.legacy29.cts.NotificationAssistantServiceTest\#testOnNotificationSnoozedUntilContext
Test: atest android.app.notification.legacy29.cts.NotificationAssistantServiceTest\#testUnsnoozeFromNAS
Change-Id: Ie949821fcf1192efe8b6b3e95c9daca71347b11e</t>
  </si>
  <si>
    <t>Fix cts fail for testAutofillCustomHighligth_multipleFields_hasHighligth
The bounds of drawable may be changed during verification due to the
bounds reference to static variable. It would be better to cache the
bounds of drawable and verify it.
Bug: 154457870
Test: atest LoginWithCustomHighlightActivityTest
Change-Id: Ie73157d2570ea83e7153e5e95822798dc20f1a31</t>
  </si>
  <si>
    <t>Test legacy tether/untether API and onError callback
Test legacy tether/untether API behavior. tether() rely on downstream
setup ready for tethering. Currently the only user is bluetooth
tethering. For other tetherings, there is no guaranteed that calling
tether() can always switch given interface to tethered. Tethering
may callback with onError depend on the interface status. Caller
should use startTethering/stopTethering API instead of these
legacy APIs.
This change also change the precondition verification of startTethering.
If tethering interface got error last time, such interface would not
be reported as tetherable.
Bug: 150632712
Test: atest CtsTetheringTest
Change-Id: Ifb3a0618208ffd0ff224c60f377036bc22ba0565</t>
  </si>
  <si>
    <t>Test legacy tether/untether API and onError callback
Test legacy tether/untether API behavior. tether() rely on downstream
setup ready for tethering. Currently the only user is bluetooth
tethering. For other tetherings, there is no guaranteed that calling
tether() can always switch given interface to tethered. Tethering
may callback with onError depend on the interface status. Caller
should use startTethering/stopTethering API instead of these
legacy APIs.
This change also change the precondition verification of startTethering.
If tethering interface got error last time, such interface would not
be reported as tetherable.
Bug: 150632712
Test: atest CtsTetheringTest
Change-Id: Ifb3a0618208ffd0ff224c60f377036bc22ba0565
Merged-In: Ifb3a0618208ffd0ff224c60f377036bc22ba0565</t>
  </si>
  <si>
    <t>Test building IkeSessionParams with EAP
Bug: 148689509
Test: atest CtsIkeTestCases
Change-Id: Iea7f4d14502f4b204c7a0d7357e1aaec99954e1f</t>
  </si>
  <si>
    <t>Refactor PermissionControllerTest
- No behavior change
- Move methods around
- Move out tests that are not for PermissionController methods
- Rename methods so that it is clear what each test is testing
- Small other cleanups
Test: atest PermissionControllerTest RuntimePermissionPresentationInfoTest
Bug: 155019930
Change-Id: I367cb24e1b5f774c99dd252fdfdd9abed42ef543</t>
  </si>
  <si>
    <t>Test building IkeSessionParams with EAP
Bug: 148689509
Test: atest CtsIkeTestCases
Change-Id: Iea7f4d14502f4b204c7a0d7357e1aaec99954e1f
Merged-In: Iea7f4d14502f4b204c7a0d7357e1aaec99954e1f
(cherry picked from commit 4982ad71a6ecb774451c7b9b0da77778b9df3c06)</t>
  </si>
  <si>
    <t>Address timing issues in ConnectivityConstraintTest
The test failed to account for a gap between WiFi being connected
and Mobile being connected.
Also, in my experiments reconnecting to WiFi sometimes took longer
than 30 seconds, so I increased the timeout to 60 seconds.
Bug: 138253466
Test: repeatedly run "atest android.jobscheduler.cts.ConnectivityConstraintTest"
Change-Id: Iaf22bff7d0818693b0a09944dc19d760e1c46c4c</t>
  </si>
  <si>
    <t>Update BootStatsHostTest for changed statsd dump
- Also reduce unnecessary sleep duration
Bug: 154755276
Test: atest CtsBootStatsTestCases
Change-Id: I1f28bc880c7522bd49c53bf8d7f9e0e1fbfb7b3a</t>
  </si>
  <si>
    <t>Revert "[RESTRICT AUTOMERGE] CTS test for Android Security b/34749571"
This reverts commit 9c2d138656168373746f4deeba0e51d92464bfc4.
Bug: 34749571
Bug: 72459536
Test: build compiles again
Change-Id: Ia5205f03f6ef35f6cabfe9bfab2443e9e2cda99b</t>
  </si>
  <si>
    <t>Adds back cts test for BluetoothAdapter#setName with fixes
Bug: 155234019
Test: atest BasicAdapterTest
Change-Id: I8a5a3b519de00b0f3db90e586da5150c924d3fab</t>
  </si>
  <si>
    <t>Use POWER_MENU_LOCKED_SHOW_CONTENT in wallet
Use POWER_MENU_LOCKED_SHOW_CONTENT to control lock screen behavior for
the Quick Access Wallet.
Do not provide Intents that will fail to start an Activity.
Bug: 155232731
Bug: 155186709
Test: atest CtsQuickAccessWalletTestCases
Change-Id: I30e2805bbb62dc1efde43cfa4519dce0148bdd63</t>
  </si>
  <si>
    <t>Fix typos in method names
The typos will trigger lint errors in presubmit for test plans that
refer to method names with typo.
Bug: 152741869
Test: $ m cts
Change-Id: Ib31dd13f47c825b6cb5c4056931f0d63406ba93a
Merged-In: Ib31dd13f47c825b6cb5c4056931f0d63406ba93a
(cherry picked from commit 423f3deece28096078a2555c0c6945a1b9d5799d)</t>
  </si>
  <si>
    <t>Adds back cts test for BluetoothAdapter#setName with fixes
Bug: 155234019
Test: atest BasicAdapterTest
Merged-In: I8a5a3b519de00b0f3db90e586da5150c924d3fab
Change-Id: I8a5a3b519de00b0f3db90e586da5150c924d3fab</t>
  </si>
  <si>
    <t>Revert "Revert "Revert "Sonivox: add CTS test."""
Test: sts-tradefed
Bug: 153751318
Bug: 26366256
Bug: 72509001
This reverts commit 2e16d22295703c58b78aac83328f867de8630631.
Change-Id: I9fc7e0b80488619cca662127463687bb2e5e48c5</t>
  </si>
  <si>
    <t>Revert "Revert "[RESTRICT AUTOMERGE]: Revert "Sonivox: add CTS test."""
Test: sts-tradefed
Bug: 153751318
Bug: 26366256
Bug: 72509001
This reverts commit 287d416bfaddcf63b21655bb14599af1574fdac9.
Change-Id: I2ff38544757831c8289a22639a371b6b431e1e2f</t>
  </si>
  <si>
    <t>Revert "[RESTRICT AUTOMERGE] CTS test for Android Security b/120789744"
Test: sts-tradefed
Bug: 153751318
Bug: 120789744
Bug: 126802825
This reverts commit 0d4ca50ff1540c7ace328b2213cb1f62b8d055d9.
Change-Id: I9ed3f339bcbc63ad841cb913ef045b6f226b69ce</t>
  </si>
  <si>
    <t>Revert "Tests for non-config instance map"
Revert submission 11077952-non-config-map
Reason for revert: API council would like to go straight to Jetpack
Reverted Changes:
Ib2484d433:Add Activity non-config instance map-like API
Ibc3daf82f:Tests for non-config instance map
Bug: 155401916
Exempt-From-Owner-Approval: revert
Change-Id: I5cac1d070b38e9e02170fbc1f4d14b783b23b19c</t>
  </si>
  <si>
    <t>Move automotive requirement to RequiredFeatureRule
- also drop RequiresDevice for test that should run in any env
Bug: 155431661
Test: atest CtsCarTestCases
Change-Id: I5e905c00f8da3e6bf9e35e1fb16acc496f847bab</t>
  </si>
  <si>
    <t>MuxerTest: Restrict stts tolerance to video tracks
changed equals to return at first instance of deviation instead
of comparing till the end
Bug: 153794127
Test: atest android.mediav2.cts.MuxerTest
Change-Id: I5aef209a9d2a672d5bcb4107a9391faaa641bc7f</t>
  </si>
  <si>
    <t>Tuner CTS: FrontendStatus
Bug: 155342902
Test: atest android.media.tv.tuner.cts.TunerTest
Change-Id: I82bba2e9bdaab02d6421a220d4c0cd9ac4e032fe</t>
  </si>
  <si>
    <t>Moved CarUserManager API tests from CTS to AndroidCarApiTest.
Test: atest CtsCarTestCases
Bug: 155323398
Bug: 154769656
Change-Id: I252e1e4b1c2171e4d08ef674734314fcc57f2615</t>
  </si>
  <si>
    <t>Adds CTS test for AccessibilityEvent constructors
Bug: 154163840
Bug: 154163460
Test: atest AccessibilityEventTest
Change-Id: I65a3e1aa48377a126600d34b337cfb6090561aec</t>
  </si>
  <si>
    <t>Controls CTS - Add coverage for remaining API
Support all builder methods, test request add control broadcast.
Bug: 152394902
Test: atest CtsControlsDeviceTestCases
Test: cts-tradefed run singleCommand cts -m CtsControlsDeviceTestCases
Change-Id: I991d145788e73ce6668bd81a43e51573dae84ac3</t>
  </si>
  <si>
    <t>Revert "CTS test for api to control data by thermal service"
Revert "Support api to control data by thermal service"
Revert "Support api to control data by thermal service"
Revert submission 11171206-setDataEnabled
Bug: 155765311
Reason for revert: wembley gets into boot loop on reboot due to this code
Reverted Changes:
I3cdab9b04:Support api to control data by thermal service
I716cf6c45:CTS test for api to control data by thermal servic...
Ic5634e6f7:Support api to control data by thermal service
I763c422ba:Support api to control data by thermal service
Change-Id: I22d06a933b87f50650aa92cdcdebc73b4f49f019</t>
  </si>
  <si>
    <t>Suppress race in PrintDocumentAdapterContractTest
When a print operation is started, the print preview activity will load.
This activity in turn loads:
- the historical printers == printers that have been used before
- all printers that can be found by the print services (== printer
  drivers)
- The save-to-pdf printer (always instantly loaded)
The UI wait until the historical printers are loaded, but does not wait
for the print services. This has to be this way as the print services
can take a long time to load.
The initially selected printer is usually the best historical printer.
If there is no historical printer safe-to-pdf is chosen unless the print
services already have reported printers. I.e. if there is no historical
printer the initially selected printer is unreliable.
This causes problems for the PrintDocumentAdapterContractTest as it
requires certain printers to be selected at a certain time. Hence
instead of relying on a certain raciness between the print services
and the print preview starting, create a forth printer and set it as
historical printer.
As a side effect the "answerPrintServicesWarning" will already be
answered while making the forth printer the default printer.
Test: Ran atest PrintDocumentAdapterContractTest on emulator
      Before: quite flaky
      After: very stable
Fixes: 155590895
Change-Id: I78ecbb6ec96859c861f4ad692f887122984d085a</t>
  </si>
  <si>
    <t>Restrict creation of secondary users CTS tests
Background
* Secondary users should be disabled
  when the device is an organization-owned
  managed profile device.
* This is because supporting secondary
  users would complicate the semantics of
  user restrictions.
Changes
* Add CTS test to ensure secondary user
  cannot be added.
* Modify CTS tests that previously created
  secondary users.
* Remove CTS tests that applied the
  DISALLOW_ADD_USER restriction.
Manual Testing Steps
* Provision an organization-owned managed
  profile device.
* Check Settings &gt; System &gt; Multiple users
  and verify that a user cannot be added.
* Check WP TestDPC 'Set user restrictions
  on parent' and verify 'Disallow add user'
  is not present.
Bug: 155281701
Test: Manual testing
      atest com.android.cts.devicepolicy.OrgOwnedProfileOwnerTest#testCannotAddSecondaryUser
      atest com.android.cts.devicepolicy.OrgOwnedProfileOwnerTest#testUserRestrictionsSetOnParentAreNotPersisted
      atest com.android.cts.devicepolicy.OrgOwnedProfileOwnerTest#testDevicePolicyManagerParentSupport
Change-Id: Ib17f0b87c989f84bdacd9cffa5b10d81dae6e033</t>
  </si>
  <si>
    <t>Skip dataset setting if the feature is disabled
With the current implementation test runner tries to configure
`max_visible_datasets` settings even if a DUT does not have an
`autofill` feature. As result the command fails, the whole test
class is skipped and module marked as incomplete.
It is proposed adding the datasets configuration in the custom
`getMainTestRule` method. In this case it will be called per test
via base `Rule` only after feature validation.
Test: run the tests on DUT with and without autofill feature:
    $ run cts-dev -m CtsAutoFillServiceTestCases \
                  -t android.autofillservice.cts.DatasetFilteringTest
Bug: 148687014
Change-Id: I568e080ad01ad6d5626df12ddbd6d3194922d19c
Signed-off-by: Sergii Piatakov &lt;sergii.piatakov@globallogic.com&gt;</t>
  </si>
  <si>
    <t>Remove BatteryStatsValidationTest#testGpsUpdates
Bug: 153844216
Test: m cts
Change-Id: Ibd321fdcbc5fb49de0abda2e10dbb6a18f7a1b60</t>
  </si>
  <si>
    <t>Remove NetStatsIncidentTest#testSanityCheck
Test: atest com.android.server.cts.PackageIncidentTest
Test: atest com.android.server.cts.IncidentdTest
Bug: 145953251
Change-Id: Ia79b2a4c0c67ae9da4a0bad94f563921aac9a5b2</t>
  </si>
  <si>
    <t>[Verifier] Add Display.getSupportedModes() test for TV Panels
This adds a CTS Verifier test for checking the correctness
of Display.getSupportedModes() for TV panels.
Screenshot: https://screenshot.googleplex.com/By2pGBWzGrw
Bug: 155382786
Test: manually by running the app on device
Change-Id: Iad96f4ce63d370142ea37a5204e5809649b3d306</t>
  </si>
  <si>
    <t>Update targetSdk R test apps for PkgSigVerify to use SDK version 30
Android 11 requires that apps targeting R must be signed with at least
the V2 signature scheme. Since the SDK version was not finalized at the
time test apps were created to verify this behavior that targeted SDK
version 'R'. Now that the SDK version is finalized this commit updates
these apps to set the targetSdkVersion to 30 using the build system
where possible.
Fixes: 155946651
Test: atest PkgInstallSignatureVerificationTest
Change-Id: I1a66cc0d3af043137a9a7406e0553e30f0c16201</t>
  </si>
  <si>
    <t>Add more role manager tests.
Bug: 152055112
Test: atest RoleManagerTest
Change-Id: I5befa62f2b2ccaac9c109e95edae11a746cd26ee</t>
  </si>
  <si>
    <t>Refine NetworkCallbackTest
In R, to avoid data overages due to apps not detecting a
meteredness change, when a wifi network changes from unmetered
to metered the network will go down and will be replaced with a
new network. It will make NetworkCallbackTest fail because the
original design is getting the active network in setUp(). So once
the wifi reconnects, the network which is got in setUp() will be
meaningless and make the test fail due to network mismatches.
The new changes are:
1. Moving some initial pre-configurations into setUp().
2. Override the onCapabilitiesChanged() to check if network has
   changed to metered or not.
3. Add unregisterNetworkCallback() into iMyService.aidl so that
   NetworkCallbackTest can call it to unregister the network
   callback.
4. Enlarge the timeout of connecting network and receiving
   callback to prevent network cannot reconnect in time or
   callback cannot be received in a short time.
Bug: 153485744
Test: atest CtsHostsideNetworkTests:com.android.cts.net.HostsideNetworkCallbackTests
Change-Id: I1aa0e107cf6797b06dee4a15896c63321d822156</t>
  </si>
  <si>
    <t>Refine NetworkCallbackTest
In R, to avoid data overages due to apps not detecting a
meteredness change, when a wifi network changes from unmetered
to metered the network will go down and will be replaced with a
new network. It will make NetworkCallbackTest fail because the
original design is getting the active network in setUp(). So once
the wifi reconnects, the network which is got in setUp() will be
meaningless and make the test fail due to network mismatches.
The new changes are:
1. Moving some initial pre-configurations into setUp().
2. Override the onCapabilitiesChanged() to check if network has
   changed to metered or not.
3. Add unregisterNetworkCallback() into iMyService.aidl so that
   NetworkCallbackTest can call it to unregister the network
   callback.
4. Enlarge the timeout of connecting network and receiving
   callback to prevent network cannot reconnect in time or
   callback cannot be received in a short time.
Bug: 153485744
Test: atest CtsHostsideNetworkTests:com.android.cts.net.HostsideNetworkCallbackTests
Change-Id: I1aa0e107cf6797b06dee4a15896c63321d822156
Merged-In: I1aa0e107cf6797b06dee4a15896c63321d822156</t>
  </si>
  <si>
    <t>Fix bubble CTS flakiness
The issue here seems that the bubble channel preference
isn't correct / as expected.
The channel is deleted / recreated between test runs,
however, there is some code to handle undeleting
a channel that maintains its previous settings so
depending on the order of the tests the channel
setting might not be correct, causing test failures.
I think the fix is to always set the bubble channel
setting in each test where it matters.
Same with the app preference.
Test: treehugger
Fixes: 155426396
Fixes: 155394967
Fixes: 154195245
Fixes: 156109892
Fixes: 155254874
Change-Id: I5497c10eb552c5a5e616a5aee0232f2e82a5cca5</t>
  </si>
  <si>
    <t>Create utility methods to enable and disable the bluetooth adapter for
cts tests.
Bug: 148916727
Test: atest BasicAdapterTest, atest BluetoothLeScanTest,
atest HearingAidProfileTest, atest LeL2capSocketTest
Change-Id: I11b69c4521f1eeea0c239915afad83d3742d3ea8</t>
  </si>
  <si>
    <t>Create utility methods to enable and disable the bluetooth adapter for
cts tests.
Bug: 148916727
Test: atest BasicAdapterTest, atest BluetoothLeScanTest,
atest HearingAidProfileTest, atest LeL2capSocketTest
Merged-In: I11b69c4521f1eeea0c239915afad83d3742d3ea8
Change-Id: I11b69c4521f1eeea0c239915afad83d3742d3ea8</t>
  </si>
  <si>
    <t>Reintroduce resume app-switches and remove timing on test
Fix for test in ag/11408325 actually made things worse. The test
had a timing dependency on the old behavior. That is
BackgroundActivity was being launched 2s after ForegroundActivity was
being created, which was around the time pressHomeButton() was being
called. Since this all happened assynchronously, resumeAppSwitches()
after home being visible was too late and BackgroundActivity was being
blocked by stop-app-switches.
In this CL I re-introduce the old behavior of triggering
resumeAppSwitches() right after pressHomeButton() to avoid tests that
are likely dependent on this to break, but I also leave the behavior
introduced in ag/11408325, which is to resumeAppSwitches() after waiting
for home visible in case the first two requests have raced. We should
remove the old behavior once we make sure all the tests are determinisc
and don't depend on timing.
Changed the test to not rely on 2s anymore and actually trigger the
background launch via a broadcast at the correct time.
Bug: 134733754
Test: atest BackgroundActivityLaunchTest
Change-Id: I67e27e136f4d0e1da804f66f9338fdc640e41f8f</t>
  </si>
  <si>
    <t>Verify the package name of shim packages
Bug: 152609043
Test: atest ApexShimValidationTest
Change-Id: Iffa9105b771ab4971d3781ea5fbd354c3b6c8c65</t>
  </si>
  <si>
    <t>Clean up test method signatures
Bug: 154120292
Test: atest CtsMediaParserTestCases
Change-Id: I88bc3792689cf38e5d4347fcfb32dbe25d4aa2a0</t>
  </si>
  <si>
    <t>Factor out utilities to enable/disable BT adapter
... and use them in AppOpsLoggingTest
Test: atest AppOpsLoggingTest
      m -j CtsBluetoothTestCases
Fixes: 154667614
Change-Id: I6c44cf174288b8ac86805e9192ee0ed3d2f67312</t>
  </si>
  <si>
    <t>Revert "Added check for misprovisioned Pixel 2 device."
This reverts commit e01d86fa4168c479c9636438b8f00dad7746d033.
This is no longer needed since Pixel 2 devices are no longer supported
on master.
Bug: 156316516
Test: atest com.android.cts.devicepolicy.MixedDeviceOwnerTest#testKeyManagement
Change-Id: If6cd567e721ffbd38efca47828c5934190bac731</t>
  </si>
  <si>
    <t>Revert "Set set-force-adoptable to run AdoptableHostTest correctly"
This reverts commit 60ff6571a54ada05cd62d9884cf43fda61e75ef0.
A CTS test should not enforce adoptable storage on a device that does
not have a physical SD card. This was previously enforced for quick
testing only to be reverted before the beta release.
Bug: 156226427
Test: atest AdoptableHostTest
Change-Id: Ied0e8f8d0a5ba468a149bca80f15af9c30043e18</t>
  </si>
  <si>
    <t>Set volume to different levels in &lt;Report Audio Status&gt; test
Set the volume to 0%, 50%, 100% and mute the volume and check for the
&lt;Report Audio Status&gt; in the Test 11.2.15-9.
Bug: 147274676
Test: atest
HdmiCecSystemAudioModeTest#cect_11_2_15_9_ReportAudioStatus_0_unmuted
atest
HdmiCecSystemAudioModeTest#cect_11_2_15_9_ReportAudioStatus_50_unmuted
atest
HdmiCecSystemAudioModeTest#cect_11_2_15_9_ReportAudioStatus_100_unmuted
atest HdmiCecSystemAudioModeTest#cect_11_2_15_9_ReportAudioStatusMuted
Change-Id: Ib6421f1d0e8ac23dad798b9ac3453567bf0a8fee</t>
  </si>
  <si>
    <t>CTS: Refactoring CL
Move code common between CodecDecoderTest, CodecDecoderSurfaceTest
to a common class.
Move code common between CodecEncoderTest, EncoderProfileLevelTest
to a common class.
Bug: 143971086
Test: atest android.mediav2.cts.CodecDecoderTest
Test: atest android.mediav2.cts.CodecDecoderSurfaceTest
Test: atest android.mediav2.cts.CodecEncoderTest
Test: atest android.mediav2.cts.EncoderProfileLevelTest
Change-Id: I90661764990587515e964051d0ad2986664fdaca</t>
  </si>
  <si>
    <t>Add test cases to cover all public/system APIs in NetworkRegistrationInfo
Bug: 156544677
Test: atest android.telephony.cts.NetworkRegistrationInfoTest
Change-Id: I3ecb47dfe2c16345bd36e5924f7fb9e8f320f9bc</t>
  </si>
  <si>
    <t>Fix flaky test for DnsResolverTest
It's possible that private DNS setting is not in the state we expected
when we tried to enable strict mode during tests. The problem here is
that there are 2 setting Uris(mode and specifier) relating to strict
mode, each of them might trigger private DNS setting changing evnet in
ConnectivityService.
Previously, we tried to enable strict mode with first set private DNS
mode and then private DNS specifier. This may result in 2 consecutive
private DNS changes events with very short intervals, which caused
conflicts between DnsResolver / NetworkMonitor and lead to flaky tests.
So
1. Change the order (mode and specifier) for enabling strict mode.
2. Change private DNS mode only when needed.
     (If original mode is "hostname", then we only need to set
     specifier)
Bug: 153624005
Bug: 153624702
Test: atest DnsResolverTest --rerun-until-failure 100
Change-Id: Iaed6285677f74a5ee6cc6684534ddc0758b25974</t>
  </si>
  <si>
    <t>Factor out utilities to enable/disable BT adapter
Test: m -j CtsBluetoothTestCases
Bug: 154667614
Change-Id: I6c44cf174288b8ac86805e9192ee0ed3d2f67312</t>
  </si>
  <si>
    <t>Fix flaky test for DnsResolverTest
It's possible that private DNS setting is not in the state we expected
when we tried to enable strict mode during tests. The problem here is
that there are 2 setting Uris(mode and specifier) relating to strict
mode, each of them might trigger private DNS setting changing evnet in
ConnectivityService.
Previously, we tried to enable strict mode with first set private DNS
mode and then private DNS specifier. This may result in 2 consecutive
private DNS changes events with very short intervals, which caused
conflicts between DnsResolver / NetworkMonitor and lead to flaky tests.
So
1. Change the order (mode and specifier) for enabling strict mode.
2. Change private DNS mode only when needed.
     (If original mode is "hostname", then we only need to set
     specifier)
Bug: 153624005
Bug: 153624702
Test: atest DnsResolverTest --rerun-until-failure 100
Merged-In: Iaed6285677f74a5ee6cc6684534ddc0758b25974
Change-Id: I566bdfa98dc070247b52fe29ca1f31cbd1bb8cc2
(cherry picked from commit 877af1ee3ed2c3a9e9256e216709908d2beb3bfb)</t>
  </si>
  <si>
    <t>Revert "Skip testEcAttestation and testRsaAttestation if device has no lock screen"
This reverts commit 3e23cab8bf6744a97b301581756b02903acce4b4.
Reason for revert:
Check is done on having the Device Admin feature, although the intention is to check for secure lock screen. Secure screen requires Device Policy Client, but the reverse is not necessarily true or at least enforced, having DPC does not mandate a secure lock screen (although in practice they are probably found together).
TVs and Auto are required to support key attestation even without secure lock screen (https://source.android.com/compatibility/10/android-10-cdd#2_3_5_security_model).
As a sidenote there are already tests like testRsaAttestation_DeviceLocked and testEcAttestation_DeviceLocked that will enforce TEE presence and henceforth key attestation.
Test: atest KeyAttestationTest
Bug: 157027500
Change-Id: Ie25b1334adad37620067748769a23cc10bcd9cc0</t>
  </si>
  <si>
    <t>Improve robustness of thumbnail color checks.
Comparing only a single pixel in the middle of the thumbnail was
pretty funky and unreliable.  This change improves the logic to
use gaussian blurring to average the entire bitmap, and then uses
HSV for color comparisons, which is more robust than RGB to
changes introduced by lossy compression algorithms.
Bug: 156984450
Test: atest CtsProviderTestCases:android.provider.cts.media.MediaStore_Video_ThumbnailsTest
Test: atest CtsProviderTestCases:android.provider.cts.media.MediaStore_Images_ThumbnailsTest
Change-Id: I41f0bf870096ae36bbc931badedb50b195d0d291</t>
  </si>
  <si>
    <t>Combine AnrMonitor and ActivityManagerAppExitInfoTest.Monitor
...as AmMonitor, since they provide the same functionality.
Fixed the testAppNotResponding failure due to crash from other app
Bug: 156881577
Test: atest CtsAppTestCases:ActivityManagerTest#testAppNotResponding
Test: atest CtsAppExitTestCases:ActivityManagerAppExitInfoTest#testAnr
Change-Id: Ia9b5cdc28325f89ddd2b92adc320fd21a4340205</t>
  </si>
  <si>
    <t>Add CTS for background location access in Telephony
Add tests to ensure that apps without ACCESS_BACKGROUND_LOCATION can't
access Telephony's location-sensitive APIs when the app is in the
background.
Also move the location-related tests into a new test class
Fixes: 155772710
Test: atest TelephonyLocationTests
Change-Id: I68190c4712b04ac26741ad282a3503daa822ef98</t>
  </si>
  <si>
    <t>Exit test if device does not support IPsec tunnel
Bug: 155926216
Test: CtsIkeTestCases
Change-Id: I4e426b8f3509e56e7e2e7532e216533ad8bfbc2f</t>
  </si>
  <si>
    <t>[RESTRICT AUTOMERGE] CTS in infeasible for bugs 62133227, 24346430 and 35430570.
Reason: These bugs have an OOB read of less than 16 bytes, which cannot be detected with the updated scheme of 16 byte alignment.
Bug: 62133227
Bug: 24346430
Bug: 35430570
Test: sts-tradefed
Change-Id: Ia776548f3cb1b25456bf85f8962a2a996be859b6</t>
  </si>
  <si>
    <t>Deflaky test for DnsResolverTest
It's possible that private DNS setting is not in the state we expected
when we tried to enable strict mode during tests. The problem here is
that there are 2 setting Uris(mode and specifier) relating to strict
mode, each of them might trigger private DNS setting changing evnet in
ConnectivityService.
Previously, we tried to enable strict mode with first set private DNS
mode and then private DNS specifier. This may result in 2 consecutive
private DNS changes events with very short intervals, which caused
conflicts between DnsResolver / NetworkMonitor and lead to flaky tests.
So
0. Use opportunistic as default mode if no default mode existed.
1. Change the order (mode and specifier) for enabling strict mode.
2. Change private DNS mode only when needed.
     (If original mode is "hostname", then we only need to set
     specifier)
Bug: 153624005
Bug: 151122313
Bug: 150952393
Test: atest DnsResolverTest --rerun-until-failure 100
Test: forrest (git_master, cts/networking/gce-all)
Test: forrest (git_rvc-dev, atest CtsNetTestCases)
Test: forrest (git_rvc-dev, mts/dnsresolver/device-all)
Change-Id: I224a6493c87cebaf0bf954c2644e2945ccd50db1</t>
  </si>
  <si>
    <t>Remove TelephonyHostTest#testWithChangeDisabled
Remove this test that no longer works on R. It's no longer needed
because the compat change is no longer overrideable in R.
Fixes: 156048307
Test: atest TelephonyHostTest
Change-Id: I20e72839389833c745670c291d1895559674b62a</t>
  </si>
  <si>
    <t>Cleanup of IkeSessionPskTest
- Add java doc in IkeSessionTestBase about the necessity to use
  different addresses and Networks in each test
- Use ArrayTrackRecord in Test Session Callback to retrieve the
  latest result.
- Verify that IpSecTransform pair is created and deleted
Bug: 148689509
Test: atest CtsIkeTestCases
Change-Id: Ib747c8cdfe1827e8df2aa7544e28e98a177d3d1c</t>
  </si>
  <si>
    <t>[RESTRICT AUTOMERGE] CTS in infeasible for bugs 62133227, 24346430 and 35430570.
Reason: These bugs have an OOB read of less than 16 bytes, which cannot be detected with the updated scheme of 16 byte alignment.
Bug: 35430570
Bug: 24346430
Bug: 62133227
Test: sts-tradefed
Change-Id: Ia776548f3cb1b25456bf85f8962a2a996be859b6
Merged-In: Ia776548f3cb1b25456bf85f8962a2a996be859b6</t>
  </si>
  <si>
    <t>Verify sharedUid behavior when one app of multiple denies capability
If multiple apps are installed as part of a sharedUid all signed with a
rotated key, and one of the apps denies access to the sharedUid to a
previous signing key in the lineage then an app signed with that key
should not be allowed to install and join the sharedUid. Similarly if
all of the apps grant access to the sharedUid for a previous key and an app
is signed with that key and part of the sharedUid, then if one of the
apps is updated with a lineage that denies access to the sharedUid for
that previous key then the update of the app with this lineage should be
blocked.
Fixes: 152046935
Test: atest PkgInstallSignatureVerificationTest
Change-Id: I6dda2aba3e42cd59a9a55b7232faaf099bf237bd</t>
  </si>
  <si>
    <t>Fix and deflake ConnectivityManagerTest
 - Migrate the test to JUnit4, as JUnit3 cannot use assumeTrue
 - Skip IPv4 keepalive tests on networks that do not have native IPv4.
 - Refactor usage of adoptShellPermissionIdentity to use try / finally
   or runAsShellPermissionIdentity: test failures could lead to
   permission failures in other tests due to mismatched adopt/drop.
 - Fix ensureWifiConnected to support the "wifi enabled but not fully
   connected" case.
Bug: 150949391
Test: atest CtsNetTestCasesLatestSdk:ConnectivityManagerTest \
      --rerun-until-failure 50
Change-Id: I7459753b1068e1760a95337760db58d1df213fad</t>
  </si>
  <si>
    <t>Revert "Skip testEcAttestation and testRsaAttestation if device has no lock screen"
This reverts commit 3e23cab8bf6744a97b301581756b02903acce4b4.
Reason for revert:
TV and Auto are required to support key attestation even without secure lock screen (https://source.android.com/compatibility/10/android-10-cdd#2_3_5_security_model).
Test: atest KeyAttestationTest
Bug: 157027500
Merged-In: Ie25b1334adad37620067748769a23cc10bcd9cc0
Change-Id: Ie40a7783c57f821ed2da6f62bee56eeeabb1b592</t>
  </si>
  <si>
    <t>Revert "[RESTRICT AUTOMERGE] Updated CTS for Android Security b/71375536"
Bug: 157267059
Test: sts-tradefed
This reverts commit 90f000a04b84399725fd9d5c0a55d5b5e97a6068.
Change-Id: I4b031dd0169205dda6d403a120edc68936893c36</t>
  </si>
  <si>
    <t>Fix and deflake ConnectivityManagerTest
 - Migrate the test to JUnit4, as JUnit3 cannot use assumeTrue
 - Skip IPv4 keepalive tests on networks that do not have native IPv4.
 - Refactor usage of adoptShellPermissionIdentity to use try / finally
   or runAsShellPermissionIdentity: test failures could lead to
   permission failures in other tests due to mismatched adopt/drop.
 - Fix ensureWifiConnected to support the "wifi enabled but not fully
   connected" case.
Bug: 150949391
Test: atest CtsNetTestCasesLatestSdk:ConnectivityManagerTest \
      --rerun-until-failure 50
Original-Change: https://android-review.googlesource.com/1310419
Merged-In: I7459753b1068e1760a95337760db58d1df213fad
Change-Id: I7459753b1068e1760a95337760db58d1df213fad</t>
  </si>
  <si>
    <t>Revert "[RESTRICT AUTOMERGE] CTS test for Android Security b/36389123"
This reverts commit 64a5be6660f1b9b8c1f368275f950906fff099ca.
Test: sts-tradefed
Bug: 36389123
Bug: 72379466
Bug: 157267059
Bug: 157385164
Reason for revert: b/157385164
Change-Id: I3f22f03a9e1db8b5e70ab5bb1044b5144401b857</t>
  </si>
  <si>
    <t>Deflaky test for DnsResolverTest
It's possible that private DNS setting is not in the state we expected
when we tried to enable strict mode during tests. The problem here is
that there are 2 setting Uris(mode and specifier) relating to strict
mode, each of them might trigger private DNS setting changing evnet in
ConnectivityService.
Previously, we tried to enable strict mode with first set private DNS
mode and then private DNS specifier. This may result in 2 consecutive
private DNS changes events with very short intervals, which caused
conflicts between DnsResolver / NetworkMonitor and lead to flaky tests.
So
0. Use opportunistic as default mode if no default mode existed.
1. Change the order (mode and specifier) for enabling strict mode.
2. Change private DNS mode only when needed.
     (If original mode is "hostname", then we only need to set
     specifier)
Bug: 153624005
Bug: 151122313
Bug: 150952393
Test: atest DnsResolverTest --rerun-until-failure 100
Test: forrest (git_master, cts/networking/gce-all)
Test: forrest (git_rvc-dev, atest CtsNetTestCases)
Test: forrest (git_rvc-dev, mts/dnsresolver/device-all)
Merged-In: I224a6493c87cebaf0bf954c2644e2945ccd50db1
Change-Id: Ib61ad7bd510341366ebbbb72aa451e5809ee3e9d
(cherry picked from commit 7561b1499c1b8da0334b32c0452d49113d9e4806)</t>
  </si>
  <si>
    <t>Exit test if device does not support IPsec tunnel
Bug: 155926216
Test: CtsIkeTestCases
Change-Id: I4e426b8f3509e56e7e2e7532e216533ad8bfbc2f
Merged-In: I4e426b8f3509e56e7e2e7532e216533ad8bfbc2f
(cherry picked from commit eb70555351725a608afac0fb9f94a327e9236729)</t>
  </si>
  <si>
    <t>Cleanup of IkeSessionPskTest
- Add java doc in IkeSessionTestBase about the necessity to use
  different addresses and Networks in each test
- Use ArrayTrackRecord in Test Session Callback to retrieve the
  latest result.
- Verify that IpSecTransform pair is created and deleted
Bug: 148689509
Test: atest CtsIkeTestCases
Change-Id: Ib747c8cdfe1827e8df2aa7544e28e98a177d3d1c
Merged-In: Ib747c8cdfe1827e8df2aa7544e28e98a177d3d1c
(cherry picked from commit f729d7a112e83e04c008b0bbeed333238482d3e9)</t>
  </si>
  <si>
    <t>Tuner CTS: TimeFilter
And filter -&gt; 95% coverage
Fix: 156685805
Test: atest android.media.tv.tuner.cts.TunerTest
Change-Id: I41edcbfd4c2f34696da6d5688dff5051a61e2cbb</t>
  </si>
  <si>
    <t>Tuner CTS: Tuner, DemuxCapabilities, Lnb, etc.
Bug: 157428792
Test: android.media.tv.tuner.cts.TunerTest
Change-Id: Ie7bde07eb799014ebe9aad1731546a0d8e065496</t>
  </si>
  <si>
    <t>Update CtsPreferenceTestCases to prevent test app will fail when navigation bar is in bottom of screen in landscape mode
android.preference.cts.PreferenceActivityLegacyFlowTest#legacyActivityRecreateTest failed
Due to in landscape mode, if navigation bar show in bottom of the screen,
original code will take wrong region to let test case failed.
The patch use the condition that judge navigation bar if it is veritical,
and remove condition that check landscape mode.
Test: run cts -m CtsPreferenceTestCases
Bug: 157513020
Change-Id: I49df26086198d822f15e485a9560ec015ef1f67f</t>
  </si>
  <si>
    <t>Add logs to NetworkCallbackTest to diagnose issues
Bug: 157391946
Test: NetworkCallbackTests
Change-Id: I552a1ad05f97a2a9f83f5f7de77d2e7b64084ddc</t>
  </si>
  <si>
    <t>[cts] test extractNativeLibs for Incremental installs
Also adds test that check for installation failure if the extract
flag is set to false but a native lib are misaligned in the apk.
BUG: 157173358
Test: atest android.extractnativelibs.cts.CtsExtractNativeLibsHostTest
Change-Id: Ib8dd8b2c98d2ee5dabe9357a3302a6e1bd2c41f4</t>
  </si>
  <si>
    <t>Per-profile user restrictions in org-owned managed profile CTS tests
Background
* Some user restrictions should be per-profile
  instead of per-device to allow for more
  granularity.
* For this reason, the profile owner of an
  organization-owned managed profile should
  apply user restrictions the same way as the
  profile owner on the personal user
  (instead of the device owner).
Changes
* Add per-profile and per-device user
  restriction tests to OrgOwnedProfileOwnerTest
* Update and enhance other user restriction tests
  in OrgOwnedProfileOwnerTest
Bug: 148453838
Test: atest com.android.cts.devicepolicy.OrgOwnedProfileOwnerTest#testDevicePolicyManagerParentSupport
      atest com.android.cts.devicepolicy.OrgOwnedProfileOwnerTest#testUserRestrictionSetOnParentLogged
      atest com.android.cts.devicepolicy.OrgOwnedProfileOwnerTest#testUserRestrictionsSetOnParentAreNotPersisted
      atest com.android.cts.devicepolicy.OrgOwnedProfileOwnerTest#testPerProfileUserRestrictionOnParent
      atest com.android.cts.devicepolicy.OrgOwnedProfileOwnerTest#testPerDeviceUserRestrictionOnParent
      atest com.android.cts.devicepolicy.OrgOwnedProfileOwnerTest#testCameraDisabledOnParentIsEnforced
      atest com.android.cts.devicepolicy.OrgOwnedProfileOwnerTest#testCameraDisabledOnParentLogged
Change-Id: If7664dd0ebc884c5088b435f2660b5c6900c915b</t>
  </si>
  <si>
    <t>Add logs to NetworkCallbackTest to diagnose issues
Bug: 157391946
Test: NetworkCallbackTests
Merged-In: I552a1ad05f97a2a9f83f5f7de77d2e7b64084ddc
Change-Id: Ic08df1908828f1487253a2b5dfb14e46442942b8
(cherry picked from commit 446a3ef6c2f9671dd7509906dbb647e1304ade78, aosp/1318216)</t>
  </si>
  <si>
    <t>Updated ScanningSettingsTest to ignore automotive, as automotive does
not support scanning.
Bug: 154938776
Test: atest CtsLocationFineTestCases:ScanningSettingsTest
Change-Id: I3e7e102b677e4037c0a72e0450b98046a650d98d
(cherry picked from commit e3818cb317ad9e166129e81766ad018cb84ad9df)</t>
  </si>
  <si>
    <t>Fix sensor support assertion for (game) rotation vector
CTS test was incorrectly checking for presence of ROTATION_VECTOR when
hifi_sensors is enabled, which is already implied given the requirements
on accel, gyro, and mag. Instead, the CDD mandates GAME_ROTATION_VECTOR,
which is otherwise a SR.
Bug: 124314823
Test: atest SensorSupportTest
Change-Id: Ibf10ed651e96ca2e755dabbc0c3ef72047131d8d</t>
  </si>
  <si>
    <t>Add sensor support checks for composite sensors
Per the CDD, gravity, linear accel, and rotation vector are all
mandatory if the underlying physical sensors are present. If the sensor
HAL does not provide these sensor types, then the Android framework
should expose them, so this is not expected to have partner impact.
Fixes: 124314823
Test: atest SensorSupportTest
Change-Id: I33069be4917116566f9b386cb68002a3f98b933b</t>
  </si>
  <si>
    <t>Revert "[RESTRICT AUTOMERGE] CTS test for Android Security b/24346430"
Bug: 72510124
Bug: 24346430
Bug: 157267059
Bug: 157593549
Test: sts-tradefed
This reverts commit 9cdd277a6cd25748516593a9184d2ea1100695f0.
Change-Id: I124f40532c69878baf024a2120347e9c0ea82135</t>
  </si>
  <si>
    <t>Revert "[RESTRICT AUTOMERGE] CTS test for Android Security b/62133227"
Bug: 62133227
Bug: 72443087
Bug: 157267059
Test: sts-tradefed
This reverts commit 62b9a5240830a91939e1c9fa1d7bb92c36ab6fe8.
Change-Id: I4e4a1e56e878ad969a843b8551d6d8172d716c9d</t>
  </si>
  <si>
    <t>Revert "[RESTRICT AUTOMERGE] CTS test for Android Security b/112005441"
Test: sts-tradefed
Bug: 157267059
Bug: 112005441
Bug: 137950491
This reverts commit 6c39ecf25fb3b679aa7ee7877f738c34d6606b45.
Change-Id: Ie37d52cf9e332ddf2b139604cdfd4d24ff31557e</t>
  </si>
  <si>
    <t>Revert "[RESTRICT AUTOMERGE] CTS test for Android Security b/127702368"
Test: sts-tradefed
Bug: 157267059
Bug: 127702368
Bug: 135207514
This reverts commit b571c49e8af8e7e85cda872473cda556031d01e1.
Change-Id: I480658e368f59017613d82e219d3caff49a93ac9</t>
  </si>
  <si>
    <t>Revert "[RESTRICT AUTOMERGE] CTS test for Android Security b/37239013"
Bug: 157595121
Bug: 157267059
Bug: 37239013
Bug: 72456628
Test: sts-tradefed
This reverts commit 60bd05232f4169796f7964a0184ca0ce7deb6b82.
Change-Id: I711d6ad536e917eec6393b408b60c51684d8342e</t>
  </si>
  <si>
    <t>Revert "[RESTRICT AUTOMERGE] CTS test for Android Security b/109891727"
Test: sts-tradefed
Bug: 109891727
Bug: 137951065
Bug: 157267059
This reverts commit 29f3a8e2fbc1b806f1b95155e839dcd07a176b68.
Change-Id: Idb2b8f8404d4e1836cfac8262860b09091d0deb7</t>
  </si>
  <si>
    <t>Add CTS test for IntentForwarderActivity starting share sheet in other tab
Fixes: 157572151
Test: atest ManagedProfileTest#testChooserActivityLaunchedFromPersonalProfileWithSelectedWorkTab
Test: atest ManagedProfileTest#testChooserActivityLaunchedFromWorkProfileWithSelectedPersonalTab
Change-Id: I684dd01ce4f1cad30b5b4d71fee89b2cc43c0eec</t>
  </si>
  <si>
    <t>Extract IPsec and test network utility methods
This patch moves some test setup functions to util classes in
preparation for IKEv2 VPN tests which will use those same utilities.
Bug: 148582947
Test: atest IpSecManagerTunnelTest; passing
Change-Id: I9aeafa45ab515ce72a72c3de6f70fb26e32e7fd4</t>
  </si>
  <si>
    <t>Remove randomized Wifi MAC address test from CTS
MAC address randomization is only a GMS requirement for devices
launching with Q. So it shouldn't be tested in CTS.
Test: atest
com.android.cts.devicepolicy.MixedDeviceOwnerTest#testSetMeteredDataDisabledPackages
Bug: 136997801
Change-Id: Id38c988cf9abe3d639f016c172655783989f43b9</t>
  </si>
  <si>
    <t>Remove tests in BatteryStatsValidationTest
Test: m -j
Bug: 153520666
Change-Id: Ib76415e6a669e1857c287d5748a531106ec40dfb</t>
  </si>
  <si>
    <t>Add IPv6 testing for IKEv2 VPN tests
This change adds tests for IPv6 IKEv2 VPN profiles.
Bug: 148582947
Test: IPv6 tests passing
Change-Id: Ic0f71df739bd9162653b5f2878e7ddc446ddde0e</t>
  </si>
  <si>
    <t>Re-add testExternalStorageGifts as no gifts
Before R, apps with WRITE_EXTERNAL_STORAGE permission could write to
package specific directories of other packages, apps with
READ_EXTERNAL_STORAGE could read files in package specific directories
of other apps. This behavior has changed in R, apps can no longer
read/write package specific directories of other packages.
Re-added testExternalStorageGifts as no gifts to verify no app can leave
gifts in other package directories. Apps can only create gift files in
their package specific directories.
Test: ExternalStorageHostTest#testExternalStorageNoGifts
Bug: 148918640
Change-Id: I1aeb9472d9f1d63191e5f91b54e6fdb94d8b5c80</t>
  </si>
  <si>
    <t>Extract IPsec and test network utility methods
This patch moves some test setup functions to util classes in
preparation for IKEv2 VPN tests which will use those same utilities.
Bug: 148582947
Test: atest IpSecManagerTunnelTest; passing
Change-Id: I9aeafa45ab515ce72a72c3de6f70fb26e32e7fd4
Merged-In: I9aeafa45ab515ce72a72c3de6f70fb26e32e7fd4
(cherry picked from commit 30432fa7640603c1e746b7d8c83e2e6052d8f967)</t>
  </si>
  <si>
    <t>Add IPv6 testing for IKEv2 VPN tests
This change adds tests for IPv6 IKEv2 VPN profiles.
Bug: 148582947
Test: IPv6 tests passing
Change-Id: Ic0f71df739bd9162653b5f2878e7ddc446ddde0e
Merged-In: Ic0f71df739bd9162653b5f2878e7ddc446ddde0e
(cherry picked from commit e19a04da9d2ff0993af8884888bb4a327c546098)</t>
  </si>
  <si>
    <t>[cts] skip Incremental native lib tests on unsupported devices
BUG: 157689281
BUG: 147496159
Test: atest CtsExtractNativeLibsHostTestCases
Test: tested on Pixel 3 and passed
Change-Id: Ifdedd76574e83f5e01193333cf9fdcb14de7d7de</t>
  </si>
  <si>
    <t>Allow ManagedUsers on low_ram devices
Also fix repohooks requirements for uploading.
Test: atest FeatureTest passes on low_ram device w/managed user
Bug: 153016458
Change-Id: I6cc783d1afadc65ca712876ad80458e95b82fe68</t>
  </si>
  <si>
    <t>Test Legacy Storage on public volumes
Add a new test class to CtsScopedStoragePublicVolumeHostTest
The new test inherits from the existing LegacyStorageTest and runs all
of the test cases there but on a public volume.
In addition, refactor some of the utilities to make that possible.
Test: atest CtsScopedStoragePublicVolumeHostTest
Bug: 148841336
Change-Id: If01085024becb4d0a534f79834d2339e07991a9c</t>
  </si>
  <si>
    <t>CtsVerifier(wifi): Allow user to specify ssid + passphrase
Bug: 157260061
Test: Manual verification of tests
Change-Id: I0ab977348b64eeae66d79ab695ec3dd288d4fb6b
Merged-In: I0ab977348b64eeae66d79ab695ec3dd288d4fb6b</t>
  </si>
  <si>
    <t>Add cts test to verify content descriptions in spans in setText() remain the same after parceling.
Bug: 155833272
Test: atest AccessibilityNodeInfoTest
Change-Id: I1dd4acb0bd2729aff89b73b0e63f9d4f106131df</t>
  </si>
  <si>
    <t>Allow managed profiles without lockscreen
 Remove CTS test that checks for lockscreen feature if managed profiles
  are enabled.
 This reflects a CDD change for 3.9.2 Managed Profile Support [C-1-10]
Test: atest com.android.cts.devicepolicy.ManagedProfileTest
Bug: 149827369
Bug: 152830725
Change-Id: I1cff0f0d93b69bf19bb730dcbaa56e39c5488d32</t>
  </si>
  <si>
    <t>Ensure tests work with restrited bucket toggling.
Bug: 158099599
Test: atest CtsUsageStatsTestCases:UsageStatsTest
Test: atest FrameworksServicesTests:AppIdleHistoryTests
Test: atest FrameworksServicesTests:AppStandbyControllerTests
Change-Id: If46e5eda85ac8b0a691d50c27563bc64d60d7e23</t>
  </si>
  <si>
    <t>Secondary mounted public volumes are write-accessible for legacy apps
Legacy apps with WRITE_EXTERNAL_STORAGE permission can read/write to
secondary volumes(except for /data/obb dirs), this is a change
introduced in R (previously, the legacy apps had the same access for
primary and secondary volumes alike).
This change fixes testSecondaryMountPointsNotWritable and
testSecondaryWalkingUpTreeReadOnly which were failing on a disk with
public SD Card.
Bug: 157469965
Test: * Test device should have secondary mounted volumes.
      * atest ExternalStorageHostTest#testExternalStorageWrite
Change-Id: I22dc795ada364d967260fd5275dd44b4bc572dbf</t>
  </si>
  <si>
    <t>Remove the report view icon
Bug:157195530
Test: manual test on Emulator
Change-Id: Ieb436c2d7dfcffa77bad9572635f3cfd63f2164a</t>
  </si>
  <si>
    <t>Fix tests that failed on devices without IPsec tunnel feature
Three tests failed when they try to set up IKE Session with a
tunnel mode Child SA and the device does not have ipsec tunnel
feature. This commit changed these tests to set up IKE Session
with a transport mode SA because 1) the logic these tests are
verifying is unrelated to the Child SA type and 2) using
transport mode make sure these tests run on all the devices.
Bug: 158268209
Test: CtsIkeTestCases, verified on taimen
Change-Id: I9a8c7f631f0e6e02492816e3fbf0d751017dc2b3</t>
  </si>
  <si>
    <t>Resume-on-Reboot: make locking screen more robust
The test would try to send the SLEEP key, but that sometimes fails.
Additionally call the GLOBAL_ACTION_LOCK_SCREEN on accessibility service
to try to make sure the screen stays locked.
Additionally try to monitor the lock screen state and check that it is
visible after the lock screen is summoned.
Bug: 152359655
Test: atest ResumeOnRebootHostTest#resumeOnReboot_SingleUser_Success
Change-Id: I2887d7a15a62a5a3b8b86a7aadf158d1d0a11337</t>
  </si>
  <si>
    <t>Skip dataset setting if the feature is disabled
With the current implementation test runner tries to configure
`max_visible_datasets` settings even if a DUT does not have an
`autofill` feature. As result the command fails, the whole test
class is skipped and module marked as incomplete.
It is proposed adding the datasets configuration in the custom
`getMainTestRule` method. In this case it will be called per test
via base `Rule` only after feature validation.
Test: run the tests on DUT with and without autofill feature:
    $ run cts-dev -m CtsAutoFillServiceTestCases \
                  -t android.autofillservice.cts.DatasetFilteringTest
Bug: 148687014
Fixes: 158580105
Change-Id: I568e080ad01ad6d5626df12ddbd6d3194922d19c
Signed-off-by: Sergii Piatakov &lt;sergii.piatakov@globallogic.com&gt;
(cherry picked from commit 7de87b4c8132b93f282268188e927875db360f6a)</t>
  </si>
  <si>
    <t>Fix tests that failed on devices without IPsec tunnel feature
Three tests failed when they try to set up IKE Session with a
tunnel mode Child SA and the device does not have ipsec tunnel
feature. This commit changed these tests to set up IKE Session
with a transport mode SA because 1) the logic these tests are
verifying is unrelated to the Child SA type and 2) using
transport mode make sure these tests run on all the devices.
Bug: 158268209
Test: CtsIkeTestCases, verified on taimen
Change-Id: I9a8c7f631f0e6e02492816e3fbf0d751017dc2b3
Merged-In: I9a8c7f631f0e6e02492816e3fbf0d751017dc2b3
(cherry picked from commit 0224324097f36106dfb7eccad3325024403e0381)</t>
  </si>
  <si>
    <t>This is a cherry-pick from qt-dev branch.
Remove the report view icon
Bug:157195530
Test: manual test on Emulator
Change-Id: Ieb436c2d7dfcffa77bad9572635f3cfd63f2164a</t>
  </si>
  <si>
    <t>Verify canRead() is false for /storage/emulated
BUG: 156904093
Test: atest ScopedStorageHostTest#testAccess_directoryTest
Change-Id: Ib5e910ce92bdfe2666e5c7d350748cc7e8eeea7c</t>
  </si>
  <si>
    <t>setupNewPublicVolume shouldn't run as PublicVolumeTest
If we run setupNewPublicVolume as a test in PublicVolumeTest, we will
call setup() method before running setupNewPublicVolume. setup() method
expects that public volume is already setup, and fails if it is not.
Hence we shouldn't run setupNewPublicVolume device test in the same
class.
Moved setupNewPublicVolume to a new helper class. As
setupNewPublicVolume itself is a setup method, we don't need any setup
methods in this class.
Bug: 158964245
Test: atest CtsPublicVolumeHostTest
Change-Id: I52c33b70cc72dda93a1413cf31aacd4f4af8dc0a</t>
  </si>
  <si>
    <t>Separate ModifyInstallerPackageTest cross package installer takeover test
The INSTALL_PACKAGES permission is now required to change the
installer package for an app, but this isn't normally grantable.
But it is available when running an instrumentation test by
adopting shell permissions.
To allow this specific test to work, it was separated out into the
2 component packages, where the host will instrument both in
alternating fashion to allow A to verify data and attempt takeover,
and B to set its own installer in isolation.
A more ideal solution would be if A could instrument B, removing the
need to split the test cases into steps, but that doesn't seem
possible.
The original test class and its remaining cases were also migrated
to adopt the INSTALL_PACKAGES permission.
Bug: 158158242
Test: atest android.appsecurity.cts.AppSecurityTests
Change-Id: Iae070fa225e011f053b9cf61ee4c451e09171e9e</t>
  </si>
  <si>
    <t>Adding test cases for receiving A11y events when the
visibility of a view changes
Adding the test cases for receiving the A11y event when a view becomes
invisible and not receiving the A11y event when the ancestors of a
view changes their visibility.
Bug: 130273130
Test: atest AccessibilityViewTreeReportingTest
Change-Id: Icdc895f595c56e2ac12fa6b3afd7261b9c6aab2c</t>
  </si>
  <si>
    <t>Update CtsPreferenceTestCases to prevent test app will fail when navigation bar is in bottom of screen in landscape mode
android.preference.cts.PreferenceActivityLegacyFlowTest#legacyActivityRecreateTest failed
Due to in landscape mode, if navigation bar show in bottom of the screen,
original code will take wrong region to let test case failed.
The patch use the condition that judge navigation bar if it is veritical,
and remove condition that check landscape mode.
Cherry pick of aosp/1311754
Test: run cts -m CtsPreferenceTestCases
Bug: 157513020
Bug: 158581497
Change-Id: I49df26086198d822f15e485a9560ec015ef1f67f</t>
  </si>
  <si>
    <t>Skip the testGetAudioPresentations if the device does not support AC4
Support for AC4 is not mandated by CDD. Allow the test to pass if 
the device lacks it.
Bug: 158169446
Test: cts-tradefed run cts -m CtsMediaTestCases -t android.media.cts.MediaExtractorTest#testGetAudioPresentations
Signed-off-by: Raj Mamadgi &lt;r.mamadgi@samsung.com&gt;
Change-Id: If0fb6a62b760f091690de56f93f8c91f593d8266</t>
  </si>
  <si>
    <t>Add CTS for background location access in Telephony
Add tests to ensure that apps without ACCESS_BACKGROUND_LOCATION can't
access Telephony's location-sensitive APIs when the app is in the
background.
Also move the location-related tests into a new test class
Fixes: 155772710
Test: atest TelephonyLocationTests
Change-Id: I68190c4712b04ac26741ad282a3503daa822ef98
Merged-In: I68190c4712b04ac26741ad282a3503daa822ef98</t>
  </si>
  <si>
    <t>Fix syntax error introduced by aosp/1332957
Bug: 158169446
Test: cts-tradefed run cts -m CtsMediaTestCases -t android.media.cts.MediaExtractorTest#testGetAudioPresentations
Change-Id: I3eb7fb3995bcec6737e1738b38355664938e8dd7</t>
  </si>
  <si>
    <t>Add tests for revoking install permissions when definer is uninstalled.
Bug: 155648771
Test: atest RemovePermissionTest
Change-Id: I66decb0833c3a17c39ea9918b3444f0be1b6bdad</t>
  </si>
  <si>
    <t>Split location redaction test
It was testing 3 different things:
- XMP locations being redacted
- ISO locations being redacted
- Ownership removal prevents access to original bytes
Split this into 3 tests, so that it's easier to add more ISO
location tests.
Bug: 134155286
Test: atest MediaStore_Video_MediaTest
Change-Id: I7b8e6a8045df26071e5f8f90868e99b7a9a25c8f</t>
  </si>
  <si>
    <t>Separate ModifyInstallerPackageTest cross package installer takeover test
The INSTALL_PACKAGES permission is now required to change the
installer package for an app, but this isn't normally grantable.
But it is available when running an instrumentation test by
adopting shell permissions.
To allow this specific test to work, it was separated out into the
2 component packages, where the host will instrument both in
alternating fashion to allow A to verify data and attempt takeover,
and B to set its own installer in isolation.
A more ideal solution would be if A could instrument B, removing the
need to split the test cases into steps, but that doesn't seem
possible.
The original test class and its remaining cases were also migrated
to adopt the INSTALL_PACKAGES permission.
Bug: 158158242
Test: atest android.appsecurity.cts.AppSecurityTests
Merged-In: Iae070fa225e011f053b9cf61ee4c451e09171e9e
Change-Id: Iae070fa225e011f053b9cf61ee4c451e09171e9e</t>
  </si>
  <si>
    <t>Remove NativeEncoderTest
NativeEncoderTest has few issues
- assumes avc, vp8 and hevc encoder are present and doesn't handle
  cases where any of these isn't present
- bitrates chosen are too low for resolutions being tested
Tests in NativeEncoderTest are covered as part of the following tests
- CodecEncoderTest and SurfaceEncoderTest tests the native encoder
- VideoCodecTest does all the bitrate, sync frame rate tests
Bug: 152460572
Test: atest CtsMediaTestCases
Change-Id: If616c68671f33bccb009e0d107c2c3bd563552ee</t>
  </si>
  <si>
    <t>Delay deleting the blob after the last lease is released.
Bug: 159485704
Test: atest --test-mapping apex/blobstore
Change-Id: I23efebf74a6da703d0970e953754fdd26a54fd11</t>
  </si>
  <si>
    <t>Camera: Fix insensitive language in comments and names
Test: Builds
Bug: 159480149
Change-Id: I72c3cf63b074abc007d9f2030f81060c543a0295</t>
  </si>
  <si>
    <t>Add tests for unsupported MIME type usage
Apps sometimes use unsupported MIME type or empty/null MIME type. When
legacy apps use unsupported MIME type, even though we don't encourage
use of unsupported MIME type, we can't throw error to retain legacy
behavior. So, we try to guess the MIME type from file extension or from
the default MIME type of the given uri. Added tests to verify the same.
Bug: 157127219
Test: atest CtsScopedStorageHostTest#testInsertWithUnsupportedMimeType
Change-Id: I5dc51c6006fd8ec927b5af5630e22616c8c2c3e9</t>
  </si>
  <si>
    <t>RESTRICT AUTOMERGE update testGetMaxSupportedInstances logic
Thresholds tuned for normal- and low-RAM devices.
Memory exhaustion is considered in the testing and scoring.
Represents a slightly different algorithm than before:
-- limits the "test until failure" proceeds based on memory and declared value
-- hardware instances should match the declared value
-- sw instances get more flexibility based on memory exhaustion.
Bug: 159148909
Bug: 143668757
Bug: 156967969
Bug: 156200974
Bug: 152066313
Test: cts -m CtsMediaTestCases \
Test: -t android.media.cts.MediaCodecCapabilitiesTest#testGetMaxSupportedInstances
Change-Id: I4a72a9c7e0083403a565131d6724eb98434d121b</t>
  </si>
  <si>
    <t>Fix ConnDiags Test for invoke-after-validate and unregister CBs.
This change fixes several things in ConnectivityDiagnosticsManagerTest:
- testOnConnectivityReportAvailable creates the Test Network after
registering the ConnectivityDiagnosticsCallback. This ensures that the
callback is invoked only after the network is validated (not for the
on-register behavior).
- The TestNetworkInterface created while setting up the Test Network is
held onto for the duration of each test. This ensures that the interface
is not garbage collected during the test. While the interface is not
needed for the test, this change makes it clear when the interface is
cleaned up.
- All registered ConnectivityDiagnosticsCallbacks are unregistered at
the end of each test. This ensures that all accompanying NetworkRequests
are cleaned up. If NetworkRequests are leaked, unrelated test failures
can occur (the platform limits the number of NetworkRequests per UID).
Bug: 156294356
Bug: 148032944
Test: atest android.net.cts.ConnectivityDiagnosticsManagerTest
Change-Id: I1836536fe60a65ba33170cd80e8f4996f1965d19</t>
  </si>
  <si>
    <t>Remove dumpsys incidentd tests
Bug: 156883305
Bug: 157872536
Test: m cts
Change-Id: I9c59525b05548c027f61c7da591e01212c78a442</t>
  </si>
  <si>
    <t>[DO NOT MERGE]Bring back tests for double tap and double tap and hold that trigger touch events.
Bug: 159168795
Test: atest TouchExplorerTest
Change-Id: I31c237555e38aaf0ebf359f44f8a445cf819ec1f</t>
  </si>
  <si>
    <t>update testGetMaxSupportedInstances logic
Thresholds tuned for normal- and low-RAM devices.
Memory exhaustion is considered in the testing and scoring.
Represents a slightly different algorithm than before:
-- limits the "test until failure" proceeds based on memory and declared value
-- hardware instances should match the declared value
-- sw instances get more flexibility based on memory exhaustion.
Bug: 159148909
Bug: 143668757
Bug: 156967969
Bug: 156200974
Bug: 159268651
Bug: 152066313
Test: cts -m CtsMediaTestCases \
Test: -t android.media.cts.MediaCodecCapabilitiesTest#testGetMaxSupportedInstances
Change-Id: I4a72a9c7e0083403a565131d6724eb98434d121b</t>
  </si>
  <si>
    <t>cts: make the softap info check is optional
SoftApInfo (Frequency and bandwidth) are get from driver.
It might not support in some devices.
1. Make the callback optional
2. But if the callback is called then verify that
the correct channel is observed
Bug: 157717015
Test: atest android.net.wifi.cts.WifiManagerTest#
testStartTetheredHotspotWithChannelConfigAndSoftApStateAndInfoCallback
Change-Id: I86f020d8bfce20ac8775efa3dc1208a43daa3ef0
Change-Id: I6bc993721a7db55a57dc173b84dbf283e33dfaab</t>
  </si>
  <si>
    <t>Verify IMS to get display and WM
Bug: 157027563
Test: atest StrictModeTest#testIncorrectContextUse_GetSystemService
Test: atest StrictModeTest#testIncorrectContextUse_GetDisplay
Test: atest StrictModeTest#testIncorrectContextUse_GetViewConfiguration
Change-Id: I688b46a924c3ba0f0cdc989289827779e0dc065c</t>
  </si>
  <si>
    <t>Revert "Make sure that the LockTaskUtilityActivityIfWhitelisted was started."
This reverts commit 216ed1555b5f60ad048f503f985722fbf448a7f8.
Reason for revert: the added testLockTaskIsActive check does not
work as intended since starting a new instrumentation test case
kills the test package, which also kills the lock task activity
which belongs to the same package.
Bug: 146006729
Test: builds
Change-Id: I14aff75cdcda9657c80863aec0814527331007cd</t>
  </si>
  <si>
    <t>Revert "Make sure that the LockTaskUtilityActivityIfWhitelisted was started."
Original change: https://android-review.googlesource.com/c/platform/cts/+/1347425
This reverts commit 216ed1555b5f60ad048f503f985722fbf448a7f8.
Reason for revert: the added testLockTaskIsActive check does not
work as intended since starting a new instrumentation test case
kills the test package, which also kills the lock task activity
which belongs to the same package.
Bug: 159605606
Bug: 146006729
Test: builds
Merged-In: I2c346f0153f214b698f0780683198918cd14c3ee
Change-Id: I2c346f0153f214b698f0780683198918cd14c3ee
(cherry picked from commit bc65384dc006a38aaeeaf1c276dce2aa9eaea5fb)</t>
  </si>
  <si>
    <t>Update GeomagneticFieldTest for 2020 WMM values
Updated GeomagneticFieldTest using values calculated from the
2020-2025 World Magnetic Model. Decrease the deltas for each field we
test against now that the starting date is correct and results are
more accurate. Test each reference location individually instead of
within a loop so that there is an explicit point of failure. This will
prevent you from having to search through the data points array to
find the item that failed. Specify the test month using
Calendar.JANUARY, Calendar.FEBRUARY, etc to prevent errors like using
"1" for January instead of "0".
Test: CTS test passes
Merged-In: I957dfe35aacc3e397611d8ab0b9ad19a1130a3dd
Change-Id: Id372a3e5d0b928783f9c9dd92871fb52fc395e45</t>
  </si>
  <si>
    <t>Revert "Verify IMS to get display and WM"
Revert submission 11823238-ims_ui_context
Reason for revert:
Broke the following tests:
android.os.cts.StrictModeTest#testIncorrectContextUse_GetDisplay
android.os.cts.StrictModeTest#testIncorrectContextUse_GetSystemService
android.os.cts.StrictModeTest#testIncorrectContextUse_GetViewConfiguration
But was submitted with a bypass.
Reverted Changes:
I688b46a92:Verify IMS to get display and WM
I172ceb2e1:Enable IMS and its config context to obtain UI com...
Bug: 157027563
Bug: 159795597
Change-Id: Iedbce852dc00127851b79dda7d0518a944027e18</t>
  </si>
  <si>
    <t>Fix ConnDiags Test for invoke-after-validate and unregister CBs.
This change fixes several things in ConnectivityDiagnosticsManagerTest:
- testOnConnectivityReportAvailable creates the Test Network after
registering the ConnectivityDiagnosticsCallback. This ensures that the
callback is invoked only after the network is validated (not for the
on-register behavior).
- The TestNetworkInterface created while setting up the Test Network is
held onto for the duration of each test. This ensures that the interface
is not garbage collected during the test. While the interface is not
needed for the test, this change makes it clear when the interface is
cleaned up.
- All registered ConnectivityDiagnosticsCallbacks are unregistered at
the end of each test. This ensures that all accompanying NetworkRequests
are cleaned up. If NetworkRequests are leaked, unrelated test failures
can occur (the platform limits the number of NetworkRequests per UID).
Bug: 156294356
Bug: 148032944
Test: atest android.net.cts.ConnectivityDiagnosticsManagerTest
Change-Id: I1836536fe60a65ba33170cd80e8f4996f1965d19
Merged-In: I1836536fe60a65ba33170cd80e8f4996f1965d19</t>
  </si>
  <si>
    <t>Update GeomagneticFieldTest for 2020 WMM values
Updated GeomagneticFieldTest using values calculated from the
2020-2025 World Magnetic Model. Decrease the deltas for each field we
test against now that the starting date is correct and results are
more accurate. Test each reference location individually instead of
within a loop so that there is an explicit point of failure. This will
prevent you from having to search through the data points array to
find the item that failed. Specify the test month using
Calendar.JANUARY, Calendar.FEBRUARY, etc to prevent errors like using
"1" for January instead of "0".
Signed-off-by: Cory Hockenbury &lt;chockenbury@gmail.com&gt;
Change-Id: I957dfe35aacc3e397611d8ab0b9ad19a1130a3dd</t>
  </si>
  <si>
    <t>Rename and move CtsLibnativehelperTestCases
Tests are now MtsLibnativehelperTestCases and the sources located
under libnativehelper/tests_mts.
Bug: 151443957
Test: atest MtsLibnativehelperTestCases
Change-Id: I123f0abd21dc6db0effd5908bb4ca648529de17e</t>
  </si>
  <si>
    <t>Revert "[RESTRICT AUTOMERGE] CTS test for Android Security b/64550583"
Bug: 159227521
Bug: 64550583
Bug: 72323167
Test: Ran the new testcase and observed test fail on android-8.0.0_r11
      and pass on android-8.1.0_r39
This reverts commit 0c0796b4d56440b1f30f1b895de1d4c4539d7295.
Change-Id: I9182cf944dd7d65bbfb20391ca901d167d7959fe</t>
  </si>
  <si>
    <t>Revert "[RESTRICT AUTOMERGE] CTS test for Android Security b/64550583"
Bug: 159227521
Bug: 64550583
Bug: 72323167
Test: Ran the new testcase and observed test fail on android-8.0.0_r11
      and pass on android-8.1.0_r39
This reverts commit b9fefc7c629c48798fc76346ad45005384986c2c.
Merged-In: I9182cf944dd7d65bbfb20391ca901d167d7959fe
Change-Id: I887fe872b7d73f929e4906778556b884c267f6dd</t>
  </si>
  <si>
    <t>[DO NOT MERGE] TouchExplorerTest: remove test for long clicking using accessibility actions.
This got overlooked during the initial revert.
Bug: 159941636
Test: atest TouchExplorerTest
Change-Id: Id32ba72cd2c871f50fcfd361f9704ce1147d8b29
Change-Id: Id68974f5603a020936d04e907472f890a8041e4e</t>
  </si>
  <si>
    <t>Revert "Add test for permission checks for setattr."
Revert "Add permission checks for setattr"
Revert submission 11543644-setattr-perm-check
Reason for revert: This breaks some functionality that makes unexpected calls to setattr - b/159714862
Reverted Changes:
Idc32ca1de:Add test for permission checks for setattr.
I0db5346bf:Add permission checks for setattr
Bug: 159714862
Test: atest DocumentsUIGoogleTests:com.android.documentsui.FileCopyUiTest#testCopyDocuments_FromSdCard
Test: repro steps from b/159714862
Change-Id: I3cff7c2c24bac950aade436ec5a23a467941525b</t>
  </si>
  <si>
    <t>Correct parsing of application/profileable tag + cts.
Bug: 160244186
Test: atest PackageManagerShellCommandIncrementalTest
Change-Id: Id1dcb368f88adb7a39220274e9b4dbee13d93acb</t>
  </si>
  <si>
    <t>Remove duplicate methods (1/n)
Remove those that have been provided by InstallUtils.
Bug: 159769571
Test: atest StagedInstallTest
Change-Id: Ic5bf6f63d39f87d3e92a15b478c9b02c89b0b753</t>
  </si>
  <si>
    <t>Rewrite stageSingleApk(String, String) (2/n)
By writing the resource stream to a tmp file, we can reuse
stageSingleApk(TestApp). The file name which has no '.apex'
suffix will be passed to Session#openWrite.
Bug: 159769571
Test: atest StagedInstallTest#testInstallStagedApexWithoutApexSuffix
Change-Id: I372c99f8ad217e2b5d740799b789ec2f4a11758c</t>
  </si>
  <si>
    <t>Add InstallUtils#waitForSession (3/n)
And update its callers accordingly.
Bug: 159769571
Test: atest StagedInstallTest ApexShimValidationTest
Change-Id: I9eff2b550394860fb65a2976a2fff81e756cf30c</t>
  </si>
  <si>
    <t>Revert "Revert "Verify IMS to get display and WM""
Bug: 157027563
Bug: 159795597
Test: atest StrictModeTest#testIncorrectContextUse_GetSystemService
Test: atest StrictModeTest#testIncorrectContextUse_GetDisplay
Test: atest StrictModeTest#testIncorrectContextUse_GetViewConfiguration
Change-Id: I4ee8b97e6f5e50016092d49319cdf8ef736d0904</t>
  </si>
  <si>
    <t>[CTS] callback result should be NO_OPPORTUNISTIC_SUB_AVAILABLE on R.
1. Empty available network will disable a profile, so in b/158020761 case, getActiveOpportunisticSubId() will be
INVALID_SUBSCRIPTION_ID.
2. The callback should be UPDATE_AVAILABLE_NETWORKS_NO_OPPORTUNISTIC_SUB_AVAILABLE on R.
Bug: 158020761
Test: Build pass
atest TelephonyManagerTest#testUpdateAvailableNetworks
[1/1] android.telephony.cts.TelephonyManagerTest#testUpdateAvailableNetworks: PASSED (630ms)
atest CarrierApiTest#testUpdateAvailableNetworksWithCarrierPrivilege
[1/1] android.carrierapi.cts.CarrierApiTest#testUpdateAvailableNetworksWithCarrierPrivilege: PASSED (27ms)
Change-Id: I71fbafdfb8f70a7cb9e460a757e7c11ae87810ea</t>
  </si>
  <si>
    <t>Secondary mounted public volumes are write-accessible for legacy apps
Legacy apps with WRITE_EXTERNAL_STORAGE permission can read/write to
secondary volumes(except for /data/obb dirs), this is a change
introduced in R (previously, the legacy apps had the same access for
primary and secondary volumes alike).
This change fixes testSecondaryMountPointsNotWritable and
testSecondaryWalkingUpTreeReadOnly which were failing on a disk with
public SD Card.
Bug: 157469965
Test: * Test device should have secondary mounted volumes.
      * atest ExternalStorageHostTest#testExternalStorageWrite
Change-Id: I22dc795ada364d967260fd5275dd44b4bc572dbf
(cherry picked from commit 5fdff1d80882cc4c8b3e7fcd4882d9c81c222882)</t>
  </si>
  <si>
    <t>HDMICEC: Add LogHelper class to get device logs
Some tests depend on device logs for validation and have individual
implementations to get them, moving the utility to a common class.
Test: atest CtsHdmiCecHostTestCases
Bug: 147274676
Change-Id: I469df756e084f71a8a9ac9d7295b87cddd504dfe</t>
  </si>
  <si>
    <t>Verify canRead() is false for /storage/emulated
BUG: 156904093
Test: atest ScopedStorageHostTest#testAccess_directoryTest
Change-Id: Ib5e910ce92bdfe2666e5c7d350748cc7e8eeea7c
Merged-In: Ib5e910ce92bdfe2666e5c7d350748cc7e8eeea7c
(cherry picked from commit 620ec9543fcc2e07953f099a4f63581c9c00816c)</t>
  </si>
  <si>
    <t>setupNewPublicVolume shouldn't run as PublicVolumeTest
If we run setupNewPublicVolume as a test in PublicVolumeTest, we will
call setup() method before running setupNewPublicVolume. setup() method
expects that public volume is already setup, and fails if it is not.
Hence we shouldn't run setupNewPublicVolume device test in the same
class.
Moved setupNewPublicVolume to a new helper class. As
setupNewPublicVolume itself is a setup method, we don't need any setup
methods in this class.
Bug: 158964245
Test: atest CtsPublicVolumeHostTest
Change-Id: I52c33b70cc72dda93a1413cf31aacd4f4af8dc0a
Merged-In: I52c33b70cc72dda93a1413cf31aacd4f4af8dc0a
(cherry picked from commit 0e89756ca48bde9538f6609658289d832667bc27)</t>
  </si>
  <si>
    <t>Add tests for unsupported MIME type usage
Apps sometimes use unsupported MIME type or empty/null MIME type. When
legacy apps use unsupported MIME type, even though we don't encourage
use of unsupported MIME type, we can't throw error to retain legacy
behavior. So, we try to guess the MIME type from file extension or from
the default MIME type of the given uri. Added tests to verify the same.
Bug: 157127219
Test: atest CtsScopedStorageHostTest#testInsertWithUnsupportedMimeType
Change-Id: I5dc51c6006fd8ec927b5af5630e22616c8c2c3e9
Merged-In: I5dc51c6006fd8ec927b5af5630e22616c8c2c3e9
(cherry picked from commit b8c2f87127a50a517be88f0bf5bffc22b5854fa7)</t>
  </si>
  <si>
    <t>Split location redaction test
It was testing 3 different things:
- XMP locations being redacted
- ISO locations being redacted
- Ownership removal prevents access to original bytes
Split this into 3 tests, so that it's easier to add more ISO
location tests.
Bug: 134155286
Test: atest MediaStore_Video_MediaTest
Change-Id: I7b8e6a8045df26071e5f8f90868e99b7a9a25c8f
Merged-In: I7b8e6a8045df26071e5f8f90868e99b7a9a25c8f
(cherry picked from commit b461df77cf8ba58562198967fac308bac77f6644)</t>
  </si>
  <si>
    <t>Fix downgrade test on user build rom
Downgrade flow should not be allowed on user build rom, updates to cover
such logic in both staged and non-staged tests.
Fix: 159640239
Test: atest DowngradeTest, pass on user build rom
Change-Id: I1d02a0c2943b3697a3461df5b67fe28aeb0c2f42</t>
  </si>
  <si>
    <t>Revert "Support to abandon test sessions on device without root"
This reverts commit 1b03792c75747be9bfba72b75674a1e10816c0ef.
Reason for revert: Breaks master
Change-Id: I85e9bf25f0f3aad08cf6ac729b51e7b22568d5bd</t>
  </si>
  <si>
    <t>Remove SessionUpdateBroadcastReceiver (4/n)
We clear the broadcast queue before tests start which means we care
about only the broadcasts received during the test. So we can register
a receiver dynamically in test instead of doing it statically in the
manifest.
Bug: 159769571
Test: atest StagedInstallTest
Change-Id: I9a85070fad25fde57da49fa7835405d80a607bcc</t>
  </si>
  <si>
    <t>[CTS] callback result should be NO_OPPORTUNISTIC_SUB_AVAILABLE on R.
1. Empty available network will disable a profile, so in b/158020761 case, getActiveOpportunisticSubId() will be
INVALID_SUBSCRIPTION_ID.
2. The callback should be UPDATE_AVAILABLE_NETWORKS_NO_OPPORTUNISTIC_SUB_AVAILABLE on R.
Bug: 158020761
Test: Build pass
atest TelephonyManagerTest#testUpdateAvailableNetworks
[1/1] android.telephony.cts.TelephonyManagerTest#testUpdateAvailableNetworks: PASSED (630ms)
atest CarrierApiTest#testUpdateAvailableNetworksWithCarrierPrivilege
[1/1] android.carrierapi.cts.CarrierApiTest#testUpdateAvailableNetworksWithCarrierPrivilege: PASSED (27ms)
Merged-In: I71fbafdfb8f70a7cb9e460a757e7c11ae87810ea
Change-Id: I71fbafdfb8f70a7cb9e460a757e7c11ae87810ea</t>
  </si>
  <si>
    <t>Ignore non-matching callbacks to fix flakiness
This is a host-side tests that receives its network callbacks
through a custom AIDL that proxies them to this host-side
process. As this runs of the real callbacks from a real network,
this test receives unrelated callbacks – in particular calls to
onCapabilitiesUpdated to warn the process of updates of the
signal strength.
This skips these callbacks across the board by only matching
the expected callback. This will fix flakiness in the test.
Also, as a drive-by fix, this also checks the network in
the onBlockedStatusChanged callback. If the network object
is not the expected one, the test should not pass.
Bug: 160270536
Test: NetworkCallbackTests
Change-Id: I67c685ebfb2c5e2ee6f7615196eedea8292ca3ff</t>
  </si>
  <si>
    <t>Use custom Intent action for PreferredActivitiesTest
Use namespaced Intent action to remove dependency on pre-installed apps.
Remove swipe up gesture and code related to it, as now resolve dialogs
for these tests contain at most three activities.
Bug: 153694179
Test: atest CtsDynamicMimeHostTestCases
Change-Id: I0ddd888997e8b4dad3ecb8658d7e202043835ef6</t>
  </si>
  <si>
    <t>Ignore non-matching callbacks to fix flakiness
This is a host-side tests that receives its network callbacks
through a custom AIDL that proxies them to this host-side
process. As this runs of the real callbacks from a real network,
this test receives unrelated callbacks – in particular calls to
onCapabilitiesUpdated to warn the process of updates of the
signal strength.
This skips these callbacks across the board by only matching
the expected callback. This will fix flakiness in the test.
Also, as a drive-by fix, this also checks the network in
the onBlockedStatusChanged callback. If the network object
is not the expected one, the test should not pass.
Bug: 160270536
Test: NetworkCallbackTests
Original-Change: https://android-review.googlesource.com/1318219
Merged-In: I67c685ebfb2c5e2ee6f7615196eedea8292ca3ff
Change-Id: I67c685ebfb2c5e2ee6f7615196eedea8292ca3ff</t>
  </si>
  <si>
    <t>Toggle MANAGE_EXTERNAL_STORAGE from the host
Add hostside tests for Environment.java as tests for
isExternalStorageManager() requires toggling the MANAGE_EXTERNAL_STORAGE
appop. This is done as StorageManagerService kills the app when the
appop is denied. See ag/12048548 for more context.
Bug: 160884278
Test: atest android.os.cts.EnvironmentTest
Test: atest android.os.cts.EnvironmentHostTests --iterations 10
Change-Id: Ia9d9a2861d208d26b802413739e8e48f85562c98</t>
  </si>
  <si>
    <t>Remove ManagedProfileTest#testCrossProfileCalendar
Bug: 159179124
Test: compiled
Change-Id: I82cfd556af7e752207d6ace5b3e1ba62d9b65cf0</t>
  </si>
  <si>
    <t>Toggle MANAGE_EXTERNAL_STORAGE from the host
Add hostside tests for Environment.java as tests for
isExternalStorageManager() requires toggling the MANAGE_EXTERNAL_STORAGE
appop. This is done as StorageManagerService kills the app when the
appop is denied. See ag/12048548 for more context.
Bug: 160884278
Test: atest android.os.cts.EnvironmentTest
Test: atest android.os.cts.EnvironmentHostTests --iterations 10
Change-Id: Ia9d9a2861d208d26b802413739e8e48f85562c98
Merged-In: Ia9d9a2861d208d26b802413739e8e48f85562c98
(cherry picked from commit 582c26bb3ce789edb9951b2e5d1483994abfd135)</t>
  </si>
  <si>
    <t>Revert "Test for composer and other tags in mp4"
This reverts commit f7898a64351119ade7f24692264dcca05491028a.
Reason for revert: corresponding code change not yet included in module
Bug: 160449796
Change-Id: Ia0df01c37c8118ffc023f487e27a51fe741ad869</t>
  </si>
  <si>
    <t>[RESTRICT AUTOMERGE] Revert "CTS test for Android Security b/111603051"
Bug:Bug: 111603051
Bug: 114102795
Test: Ran the new testcase on android-8.0.0_r11 with/without patch
This reverts commit 66da812f2be4e005fe7830e3de8269ebee171e20.
Change-Id: I467169b1bf94e45b3c1a27a530ec6d5227a059a9</t>
  </si>
  <si>
    <t>[RESTRICT AUTOMERGE] Revert "CTS test for Android Security b/79662501"
Bug: 79662501
Bug: 113527084
Test: Ran the new testcase on android-8.1.0_r45 with/without patch
This reverts commit f8ff00185d10e6f5b3db38e05c9d176357f331c4.
Change-Id: Ibd60d1dd398708c15e7f6256c3ee134424477025</t>
  </si>
  <si>
    <t>[RESTRICT AUTOMERGE] Revert "CTS test for Android Security b/36554207"
Bug: 36554207
Bug: 72388983
Test: Ran the new testcase on android-8.0.0_r11 with/without patch
This reverts commit bb3fd25163473353a1eb888fdfd2cc5ee4846a22.
Change-Id: Iab72e8b2cedfee143ef3477d2b5da2bf1435f1a7</t>
  </si>
  <si>
    <t>[RESTRICT AUTOMERGE] Revert "CTS test for Android Security b/36554209"
Bug: 36554209
Bug: 72389095
Test: Ran the new testcase on android-8.0.0_r30 with/without patch
This reverts commit 3115615266e3fa2003cc569d5b5a6dffa812e766.
Change-Id: Ieb1b54bd0f2c92acfa3285b28ff98e3b33f1e893</t>
  </si>
  <si>
    <t>[RESTRICT AUTOMERGE] Revert "CTS test for Android Security b/62800140"
Bug: 62800140
Bug: 72441515
Test: Ran the new testcase on android-8.0.0_r11 with/without patch
This reverts commit f8e42e8c5169807130db21718740a55090a8acac.
Change-Id: Ife59bc923a695bec2fe6da82ee76a31c71b48c45</t>
  </si>
  <si>
    <t>[RESTRICT AUTOMERGE] Revert "CTS test for Android Security b/112005441"
Bug: 112005441
Bug: 137950491
Test: Ran the new testcase on android-10.0.0_r1 with/without patch
This reverts commit ec748b9b3ed71d6ed20ec7e7cc3f6e9006d7a321.
Change-Id: I04a60409de8b770446e65f34a65d4c12cb3209a0</t>
  </si>
  <si>
    <t>Bring back tests for double tap and double tap and hold that trigger touch events.
This CL includes all subsequent fixes that were caused by the original change.
Bug: 159168795
Test: atest TouchExplorerTest
Change-Id: I505e698bab9106cdf2dca81c2807c097efec6883
Change-Id: Icedfd719a5262c9b55360c126e035017f2e2ceda</t>
  </si>
  <si>
    <t>Split TextClassifier cts tests to separate files.
Bug: 157979844
Test: atest CtsTextClassifierTestCases
Change-Id: Iaf4d8674509c47ef86138c0c41c0cb8e8c10c74f</t>
  </si>
  <si>
    <t>Fixing test cases failed at low ram device
The activity could not be launched at non-default display if this
device is a low ram device. So adding the checking condition of
supporting multi-display at these test cases skips these tests
that need to launch activity on second display at a low ram device.
Bug: 159300053
Test: atest AccessibilityWindowReportingTest
Test: atest AccessibilityWindowQueryTest
Test: atest AccessibilityEmbeddedDisplayTest
Change-Id: I0addf819b1fe052b7699871ef8bbd68673a44505</t>
  </si>
  <si>
    <t>Rename setDataEnabledWithReason
1. Rename setDataEnabledWithReason to
setDataEnabledForReasn
2. Allow isDataConnectionAllowed to be accessed by
same apps as isDataEnabledForReason
3. Make these apis public
Bug: 156332911
Bug: 159073095
Test: cts and build
Change-Id: Ice9279c20e11afa7758cc4e4bf0e9351b4e8129d</t>
  </si>
  <si>
    <t>Use custom Intent action for PreferredActivitiesTest
Use namespaced Intent action to remove dependency on pre-installed apps.
Remove swipe up gesture and code related to it, as now resolve dialogs
for these tests contain at most three activities.
Bug: 153694179
Test: atest CtsDynamicMimeHostTestCases
Change-Id: I0ddd888997e8b4dad3ecb8658d7e202043835ef6
(cherry picked from commit 64a21e976e04fd84b27081327add715559832e38)</t>
  </si>
  <si>
    <t>Move IMS strict mode verification to CtsInputMethodTestCases
fixes: 159593676
Test: atest InputMethodServiceStrictModeTest
Change-Id: Ia1b33285cc679e92b04f2d0edaaf135065dd7856</t>
  </si>
  <si>
    <t>Remove ManagedProfileTest#testCrossProfileCalendar
This fixes merge conflicts in the stage-aosp-rvc-ts-dev branch.
Bug: 161735928
Test: compiled
Change-Id: I82cfd556af7e752207d6ace5b3e1ba62d9b65cf0</t>
  </si>
  <si>
    <t>WebView: rename non-inclusive terms in CTS
This renames "whitelist" to "allowlist" for all non-API references in
CTS. This includes renaming the CTS tests.
This only leaves 2 API references to "whitelist," which I may follow-up
to wrap with a helper method to trim this down to 1 reference.
Bug: 160928306
Test: atest CtsHostsideWebViewTests:WebViewTest
Change-Id: I4c288c19708f0715d361515b44bfab96c61c68f8</t>
  </si>
  <si>
    <t>Revert "Add tests for Razer Junglecat game controller."
This reverts commit bf799a6f4ec65a1ba747c45e2291f0a721fb8335.
Reason for revert: Breaking tests. See failure links in b/140958486.
Exempt-From-Owner-Approval: Android kernel cop reverting breaking tests.
Bug: 140958486
Change-Id: If52dfe1f151d60e0bf3cdc78946131ff507afb01</t>
  </si>
  <si>
    <t>Merge stage-aosp-rvc-ts-dev into rvc-dev
Bug: 148878042
Exempt-From-Owner-Approval: All changes are already in master
Change-Id: I37b338f2cc04c30e49a6a29e89beb529f2e30824</t>
  </si>
  <si>
    <t>Merge stage-aosp-rvc-ts-dev into rvc-dev
Bug: 148878042
Exempt-From-Owner-Approval: All changes are already in master
Merged-In: Ie1f3e27e0c973e6410fcecfcee049d736481f0e6
Change-Id: I37b338f2cc04c30e49a6a29e89beb529f2e30824</t>
  </si>
  <si>
    <t>Merge stage-aosp-rvc-ts-dev into rvc-dev
Bug: 148878042
Exempt-From-Owner-Approval: All changes are already in master
Merged-In: Ie1f3e27e0c973e6410fcecfcee049d736481f0e6
Change-Id: Id10b995f5615e3cdf55b3db807cfed9fef9e5cf2</t>
  </si>
  <si>
    <t>Merge stage-aosp-rvc-ts-dev into rvc-dev
Bug: 148878042
Exempt-From-Owner-Approval: All changes are already in master
Merged-In: Ie1f3e27e0c973e6410fcecfcee049d736481f0e6
Merged-In: Id10b995f5615e3cdf55b3db807cfed9fef9e5cf2
Change-Id: I37b338f2cc04c30e49a6a29e89beb529f2e30824</t>
  </si>
  <si>
    <t>Remove CTS test CarTrustedDeviceTest
Cherry pick ag/11427839 to Android10-tests-dev
Test: atest CtsCarTestCases
Bug: 162049651
Change-Id: I182a2c7841c3545f15b33e86cdfc7570d50e3017</t>
  </si>
  <si>
    <t>Add function for adding EXIF to WebP files
Code copied from aosp/1148409 and aosp/1236647 with some minor
changes.
Original commit message:
Added code and test for WebP files
1) with EXIF data
2) without EXIF data but with other extra data
Added code and test for saving EXIF to WebP files without EXIF data
1) and have lossy encoding
2) and have lossless encoding
Also refactored test method names for better readability.
Bug: 138786288
Test: atest CtsMediaTestCases:android.media.cts.ExifInterfaceTest
Change-Id: I72940df8e9b2a63599b6c6c17c54a8927ed2e08e</t>
  </si>
  <si>
    <t>Update language to comply with Android’s inclusive language guidance
See https://source.android.com/setup/contribute/respectful-code for reference
 #inclusivefixit
Bug: 161896447
Test: cd cts/tests/tests/media; mma
Change-Id: I7c2b8af8ea4dd4eb640ef71b0bde40f69dbfe305</t>
  </si>
  <si>
    <t>Update language to comply with Android’s inclusive language guidance
See https://source.android.com/setup/contribute/respectful-code for reference
BUG=161896447
Change-Id: I40b63335af9654f24da897cb3830074ff106550b</t>
  </si>
  <si>
    <t>Add test to verify incorrect context violation on GestureDetector
Test: atest StrictModeTest#testIncorrectContextUse_GetGestureDetector
Test: atest
InputMethodServiceStrictModeTest#testIncorrectContextUse_GetGestureDetector
Bug: 157165393
Change-Id: Idb52dedc4ebce4a5a25999ba8555e44cf6a1207a</t>
  </si>
  <si>
    <t>Update language to comply with Android’s inclusive language guidance
See https://source.android.com/setup/contribute/respectful-code for reference
 #inclusivefixit
Bug: 161896447
Test: cd cts/tests/tests/media; mma
Change-Id: I7c2b8af8ea4dd4eb640ef71b0bde40f69dbfe305
Merged-In: I7c2b8af8ea4dd4eb640ef71b0bde40f69dbfe305</t>
  </si>
  <si>
    <t>Ensure tests work with restricted bucket toggling.
Bug: 158099599
Bug: 162306550
Test: atest CtsUsageStatsTestCases:UsageStatsTest
Test: atest FrameworksServicesTests:AppIdleHistoryTests
Test: atest FrameworksServicesTests:AppStandbyControllerTests
Change-Id: If46e5eda85ac8b0a691d50c27563bc64d60d7e23
(cherry picked from commit aebd69814cf2cd71ed8a85d8bd1ba270d4588d7c)</t>
  </si>
  <si>
    <t>Add ephemeral user tests into CtsMultiUserHostTestCases module
This change introduce two new tests to verify ephemeral user is removed
when switched away to another user and device reboot.
This cl is a merge-conflict-resolved version of
aosp/1122265
aosp/1360906
ag/10975341
aosp/1127378
Bug: 160976186
Bug: 138443627
Test: make CtsMultiUserHostTestCases; atest CtsMultiUserHostTestCases
Change-Id: I587cc31e84a8a1b0df3b53ae96a8d3616e03c9d1</t>
  </si>
  <si>
    <t>Fix the way how test waits for user to get locked
It is not sufficient that the user is not running, since
the encryption key can still be in the memory and so it
won't ask for credentials when starting the user again.
Bug: 159154453
Test: atest QuietModeHostsideTest#testQuietMode_noCredentialRequest
Change-Id: Ia7c1238d84757790938c1c6131ba37dc1fd4db2a</t>
  </si>
  <si>
    <t>Update language to comply with Android's inclusive language guidance
See https://source.android.com/setup/contribute/respectful-code for reference
Test: Presubmit
Bug: 161896447
Change-Id: I86bc017f595e715264013cb7b49542fc1ebca907</t>
  </si>
  <si>
    <t>Compensate skipped merge of stage-aosp-rvc-ts-dev into rvc-dev in
rvc-qpr-dev-plus-aosp.
Bug: 148878042
Bug: 162365287
Fixed: 162365287
Exempt-From-Owner-Approval: All changes are already in master
Change-Id: I1097ed3c0a87f838fc6dab86d3c0b7a2cdca28f5</t>
  </si>
  <si>
    <t>[RESTRICT AUTOMERGE] Remove unnecessary tests
Bug: 159198369
Change-Id: I08dcc1214a18283f853b8c84da8d3c87e4603f74</t>
  </si>
  <si>
    <t>Add ephemeral user tests into CtsMultiUserHostTestCases module
This change introduce two new tests to verify ephemeral user is removed
when switched away to another user and device reboot.
This cl is a merge-conflict-resolved version of
aosp/1122265
aosp/1360906
ag/10975341
aosp/1127378
Bug: 160976186
Bug: 138443627
Test: make CtsMultiUserHostTestCases; atest CtsMultiUserHostTestCases
Change-Id: I587cc31e84a8a1b0df3b53ae96a8d3616e03c9d1
Merged-In: I587cc31e84a8a1b0df3b53ae96a8d3616e03c9d1</t>
  </si>
  <si>
    <t>Create a install utility class to be used by the host
This will help reduce duplicate logics used from the host side of the
test across cts, gts and internal tests.
In initial CL, only moved isApexUpdateSupported logic. More logics will
be moved into this utility in follow up cls.
Bug: 160296318
Test: atest StagedInstallTest
Test: atest RollbackManagerHostTest
Change-Id: Ie206c74507af9d9c5baa8e0fe2b1441bbcf530f3</t>
  </si>
  <si>
    <t>Update language to comply with Android's inclusive language guidance
See https://source.android.com/setup/contribute/respectful-code for reference
Test: Presubmit
Bug: 161896447
Change-Id: I86bc017f595e715264013cb7b49542fc1ebca907
Merged-In: I86bc017f595e715264013cb7b49542fc1ebca907</t>
  </si>
  <si>
    <t>Update language to comply with Android's inclusive language guidance
See https://source.android.com/setup/contribute/respectful-code for reference
Test: Presubmit
Bug: 161896447
Merged-In: I86bc017f595e715264013cb7b49542fc1ebca907
Change-Id: I86bc017f595e715264013cb7b49542fc1ebca907
(cherry picked from commit cf1cb01100c635f57ee99db26010a0eccc64cc54)</t>
  </si>
  <si>
    <t>ANGLE: Use more inclusive terms
Test: CtsAngleIntegrationHostTestCases
BUG: b/162288333
Change-Id: I536c09a82fb491624d60e8c9db00ea92cd329cb6</t>
  </si>
  <si>
    <t>Update language to comply with Android's inclusive language guidance
See https://source.android.com/setup/contribute/respectful-code for reference
Test: Presubmit
Bug: 161896447
Merged-In: I86bc017f595e715264013cb7b49542fc1ebca907
Change-Id: I86bc017f595e715264013cb7b49542fc1ebca907
(cherry picked from commit cf1cb01100c635f57ee99db26010a0eccc64cc54)
(cherry picked from commit e4d5eec90d677b78202fdce4e8ec5d46d1af6f82)</t>
  </si>
  <si>
    <t>Update HDMI CEC CTS tests
This syncs all changes made to these tests in AOSP and internal branches to the current
branch.
This inculdes:
 - New tests
 - Test fixes (fixing failing tests)
 - Refactors to tests
Bug: 149530408
Test: atest CtsHdmiCecHostSideTests
Change-Id: I197b2e579c6dfb30e7484b17979a4d21e973257e</t>
  </si>
  <si>
    <t>Move fs-checkpoint checking logic into InstallUtilsHost
Bug: 160296318
Test: atest StagedInstallTest
Test: atest RollbackManagerHostTest
Change-Id: Ie8be624c03f2d9b7c7a4fbeda58d0493de8bac0d</t>
  </si>
  <si>
    <t>Move uninstall shim apex logic to InstallUtilsHost
Bug: 160296318
Test: atest StagedInstallTest
Test: atest RollbackManagerHostTest
Change-Id: Id877ccaa5ca0030056a9bd0915a3419c0b18d6a8</t>
  </si>
  <si>
    <t>Extract session abandonment checking logic to InstallUtils
Extraction will allow logic to be reused in other CTS tests
Bug: 162294757
Test: atest StagedInstallTest
Change-Id: Ib5859d174ac2141107587397e04f5e40cb8b3cb2</t>
  </si>
  <si>
    <t>Revert "Add 2 cts tests for FocusFinder"
Revert submission 11830696-b/158492287-stage-aosp-rvc-ts-dev
Reason for revert: We reverted the framework change on
stage-aosp-rvc-ts-dev and merged it to rvc-qpr-dev. We should do the same
to the related cts tests too.
Reverted Changes:
Ie3d75abb1:Add 2 cts tests for FocusFinder
Fixes: 162229346
Change-Id: I207da9b74a2d92ac8be4b813a330744cfbbd99e4</t>
  </si>
  <si>
    <t>Refactor PermissionsTest
- Correct names in test
- Restructure tests to use
  ARRANGE/ACT/ASSERT format
- Add common methods into a
  PermissionUtils class
- Add stand-alone permission
  broadcast receiver
Bug: 148264893
Test: atest com.android.cts.devicepolicy.MixedDeviceOwnerTest#testPermissionGrant
      atest com.android.cts.devicepolicy.MixedDeviceOwnerTest#testPermissionPolicy
      atest com.android.cts.devicepolicy.MixedDeviceOwnerTest#testPermissionMixedPolicies
      atest com.android.cts.devicepolicy.MixedDeviceOwnerTest#testAutoGrantMultiplePermissionsInGroup
      atest com.android.cts.devicepolicy.MixedDeviceOwnerTest#testPermissionGrantOfDisallowedPermissionWhileOtherPermIsGranted
      atest com.android.cts.devicepolicy.MixedDeviceOwnerTest#testPermissionGrantPreMApp
      atest com.android.cts.devicepolicy.MixedDeviceOwnerTestApi25#testPermissionGrantPreMApp
      atest com.android.cts.devicepolicy.MixedDeviceOwnerTest#testPermissionGrant_developmentPermission
      atest com.android.cts.devicepolicy.MixedDeviceOwnerTest#testPermissionAppUpdate
      atest com.android.cts.devicepolicy.MixedDeviceOwnerTest#testPermissionPrompts
      atest com.android.cts.devicepolicy.MixedDeviceOwnerTest#testLocationPermissionGrantNotifies
Change-Id: I420dc470085fe38b6902549e68add1889437092b</t>
  </si>
  <si>
    <t>[CTS] Validate granting URI permissions to NotificationListenerServices
Bug: 162233630
Test: android.app.cts.NotificationManagerTest
Change-Id: Ie8d1f0a00291839c0385d13fec6d52a8addc458f</t>
  </si>
  <si>
    <t>DecoderTest: Compare SDK and NDK outputs
Compute checksum over decoded output in both SDK and NDK side
and check for equality.
Bug: 162811108
Test: atest android.mediav2.cts.CodecDecoderTest
Test: atest android.mediav2.cts.CodecDecoderSurfaceTest
Change-Id: I4c806b2aba938a18cff461f203b1edc04f2aef3b</t>
  </si>
  <si>
    <t>Fix possible flaky behavior in CodecDecoderSurfaceTests
Before accessing surface object from surface holder ensure surface
is created and is valid
Bug: 163857093
Test: atest android.mediav2.cts.CodecDecoderSurfaceTest
Change-Id: I049e621b18a59648eb4b29ced16ceb615850d3b1</t>
  </si>
  <si>
    <t>Update EncoderProfileLevelTest
Mux the output file of a codec to possible container formats and
verify extracted formats against the input.
Refactored MuxerTest.
Bug: 163427784
Test: atest EncoderProfileLevelTest
Change-Id: I62fcb70920e7066d4e4dfa75ba2b29a003d8d131</t>
  </si>
  <si>
    <t>Add CTS tests for battery estimate APIs
This adds tests to make sure the values are updated and properly
returned when the battery discharge APIs are called.
Bug: 139413884
Test: atest android.os.cts.PowerManagerTest
Test: atest android.permission.cts.PowerManagerServicePermissionTest
Change-Id: I9159612a61c8294e3907fe5b9390556f1b42c47b</t>
  </si>
  <si>
    <t>Update tests to modify DeviceConfig flags.
Also make sure we dismiss the keyguard when turning the screen on so
that launching an activity results in the TOP state (for tests that
start an activity).
Bug: 124466289
Test: atest CtsJobSchedulerTestCases
Test: atest FrameworksMockingServicesTests:JobSchedulerServiceTest
Test: atest FrameworksServicesTests:MaxJobCountsTest
Test: atest SettingsProviderTest:SettingsBackupTest
Change-Id: I0ef9a27aea6167700f636632c4066fa84ac04981</t>
  </si>
  <si>
    <t>Separate unit and integration tests from AutofillValueTest
1. Move integration tests to CheckoutActivityTest.
2. Make AutofillValueTest be a unit test.
Bug: 159304958
Test: atest android.autofillservice.cts.CheckoutActivityTest
Test: atest android.autofillservice.cts.AutofillValueTest
Change-Id: I48848dc1236161f481010dd78c3b9cbf5dd1faed</t>
  </si>
  <si>
    <t>[CTS] Validate granting URI permissions to NotificationListenerServices
Bug: 162233630
Test: android.app.cts.NotificationManagerTest
Change-Id: Ie8d1f0a00291839c0385d13fec6d52a8addc458f
(cherry picked from commit a8014f80e8fc3b62aaf51b7a84e78741c572ebc1)</t>
  </si>
  <si>
    <t>CEC CTS: Modify cect_11_2_15_9_ReportAudioStatus_0()
Update the test to accept both 0 and 0 (muted) when volume
is set to 0.
Bug: 161405676
Test: atest
HdmiCecSystemAudioModeTest#cect_11_2_15_9_ReportAudioStatus_0
Change-Id: Ib52a621b641ebc684d7208be2c15a4b9dc6a11f5</t>
  </si>
  <si>
    <t>Test InputMethodService#getDisplay before initialization
Also
1. consolidate the test logic of verifyGetDisplay to
InputMethodServiceTest#verifyGetDisplay because we actually
throw Exception instead of strict mode violation.
2. remove StrictMode#testIncorrectContextUse_GetDisplay because
we actually test the behaviors in ContextAccessTest
Bug: 161964893
Test: atest InputMethodServiceTest#testGetDisplay
Change-Id: I03e326109f5703f890e6936cbf55fbdcbf4efbbf</t>
  </si>
  <si>
    <t>SELinuxHostTest: remove binder_in_vendor_violators
This attribute no longer exists, so we no longer need to test it.
Bug: 131617943
Test: N/A
Change-Id: Id42a1459f10de54ce73cb542a9c3c0886a757b8d</t>
  </si>
  <si>
    <t>Remove ContactsMetadataProvider CTS test.
Test: removing a unused test.
Bug: 146447263
Change-Id: Id9d93664ade3ddc27a830e85501a1b0ef1dfdb61</t>
  </si>
  <si>
    <t>fix coordinate calculation of TouchExplorerTest
Currently, getRightSideOfScreenRegion is using display size to calculate
coordinate of right half of the target Activity.
This makes this test fail when the application is not full screen.
Fix it to use window coordinate.
Bug: 163435521
Test: TouchExplorerTest.testGestureDetectionPassthrough_initiatesTouchExploratio
Change-Id: I971eb3fc82c3dba63d62bbf21c04f5ba70fc4f39</t>
  </si>
  <si>
    <t>cts: Allow sepcific error code when testing customized bssid
The customized bssid need new HAL support.
Separate customized config test case to two test cases.
1. Test customized config with bssid, but allow the specific error code
2. Test customized config without bssid.
Bug: 165881537
Test: atest -c android.net.wifi.cts.WifiManagerTest#testStartLocalOnlyHotspotWithConfigBssid
Test: atest -c android.net.wifi.cts.WifiManagerTest#testStartLocalOnlyHotspotWithNullBssidConfigatest
Change-Id: Ie01b1964b704dcc3b4ca2679e52955dc519424f7</t>
  </si>
  <si>
    <t>Add CTS tests for LocationRequest
-Add new CTS test for LocationRequest
-Update existing tests
-Move some tests from the "fine" tests to the "none" tests as they don't
require fine permissions.
Bug: 166692379
Test: atest CtsLocationNoneTests
Change-Id: I26ddcbb385f8c8f8862a77c7d9e2e6f0728b7636</t>
  </si>
  <si>
    <t>Ensure certain tests get skipped on debuggable builds
User builds can be debuggable. These tests pass only on non-debuggable
devices.
Bug: 166682689
Test: flash forced debuggable user build, atest DowngradeTest
Change-Id: I509ba4466e9b46f751b73f88775956e6f68a7cea</t>
  </si>
  <si>
    <t>Rename signature tests
Use more inclusive terms (go/hiddenapi-lists-renaming) for api signature
tests.
Bug: 163325267
Test: atest -p cts/tests/signature/TEST_MAPPING
Change-Id: I0047dc368c339b4b7b0d75a500a397ba02828276</t>
  </si>
  <si>
    <t>Rename signature tests
Use more inclusive terms (go/hiddenapi-lists-renaming) for api signature
tests.
Bug: 163325267
Test: atest -p cts/tests/signature/TEST_MAPPING
Merged-In: I0047dc368c339b4b7b0d75a500a397ba02828276
Change-Id: I0047dc368c339b4b7b0d75a500a397ba02828276</t>
  </si>
  <si>
    <t>Some OEMs to not differentiate between subs for global settings
When listening for MOBILE_DATA setting change indication, register
for base and per-sub  MOBILE_DATA URI variant to cover some OEMs
that do not append a sub id to the setting.
Bug: 167425616
Test: atest --rerun-until-failure 10 CtsTelephonyTestCases:TelephonyManagerTest#testResetSettings
Change-Id: I986e932e3ca0feb1526958bc14428635c5242e47</t>
  </si>
  <si>
    <t>Some OEMs to not differentiate between subs for global settings
When listening for MOBILE_DATA setting change indication, register
for base and per-sub  MOBILE_DATA URI variant to cover some OEMs
that do not append a sub id to the setting.
Bug: 167425616
Test: atest --rerun-until-failure 10 CtsTelephonyTestCases:TelephonyManagerTest#testResetSettings
Change-Id: I986e932e3ca0feb1526958bc14428635c5242e47
Merged-In: I986e932e3ca0feb1526958bc14428635c5242e47
(cherry picked from commit 0dd816b6d16d9e7058064ca9825e248fcf8de08d)</t>
  </si>
  <si>
    <t>Some OEMs to not differentiate between subs for global settings
When listening for MOBILE_DATA setting change indication, register
for base and per-sub  MOBILE_DATA URI variant to cover some OEMs
that do not append a sub id to the setting.
Bug: 167425616
Test: atest --rerun-until-failure 10 CtsTelephonyTestCases:TelephonyManagerTest#testResetSettings
Change-Id: I986e932e3ca0feb1526958bc14428635c5242e47
Merged-In: I986e932e3ca0feb1526958bc14428635c5242e47
(cherry picked from commit 0dd816b6d16d9e7058064ca9825e248fcf8de08d)
(cherry picked from commit 4128f2a4fdba49f9e7d7f8a7ec8d752f27a853ca)</t>
  </si>
  <si>
    <t>Add display mode switching test
Add a test which iterates throught all reported display
modes and tries to switch to each one of them.
Bug: 159113268
Bug: 158316271
Test: atest CtsDisplayTestCases
Change-Id: I08751f71d2b2ad3b59c88dce17839bc6b16580a7</t>
  </si>
  <si>
    <t>[CTS] [Tagged Pointers] Align internal and external branches.
Looks like a cherry pick got slightly misaligned.
Bug: N/A
Test: atest CtsTaggingHostTestCases
Change-Id: I165a6c19f07ffd6f70930465e17c6a3ab61be0fa
Merged-In: I165a6c19f07ffd6f70930465e17c6a3ab61be0fa</t>
  </si>
  <si>
    <t>[Tagged Pointers] [CTS] Change system check to be on-device.
Turns out that it's an incorrect assumption that kernels &gt;= 4.14 have
the correct tagged pointers kernel patches. There are 4.19-q kernels
(i.e. devices that ship with 4.19 but on Q) that don't feature the right
patches. We also probably don't want Q kernels to have the patches, as
this would break HWASan.
This patch reworks the "does this device have valid kernel support" from
"check the kernel and assume &gt;= 4.14 is good" to "deploy an app on
device that actually validates it".
Bug: 167728972
Bug: 167354376
Test: atest -a CtsTaggingHostTestCases # on devices with full support
(4.14 flame) and without (aosp cuttlefish x86)
Change-Id: If68ede8d191d1ad81053d0b479203964eb8bfb00</t>
  </si>
  <si>
    <t>Adds CTS test case for UiAutomation flag, FLAG_DONT_USE_ACCESSIBILITY
Bug: 93087044
Test: atest UiAutomationTest
Change-Id: I769e3f47b3de759a73bcd1394f7dc94262385c87</t>
  </si>
  <si>
    <t>Some OEMs to not differentiate between subs for global settings
When listening for MOBILE_DATA setting change indication, register
for base and per-sub  MOBILE_DATA URI variant to cover some OEMs
that do not append a sub id to the setting.
Bug: 167425616
Test: atest --rerun-until-failure 10 CtsTelephonyTestCases:TelephonyManagerTest#testResetSettings
Change-Id: I986e932e3ca0feb1526958bc14428635c5242e47
Merged-In: I986e932e3ca0feb1526958bc14428635c5242e47</t>
  </si>
  <si>
    <t>Adding CTS coverage for the keyguard secondary lockscreen feature.
Bug: 155120891
Bug: 155121047
Bug: 155121206
Bug: 155120732
Test: atest -c 'CtsDevicePolicyManagerTestCases:com.android.cts.devicepolicy.MixedProfileOwnerTest#testSecondaryLockscreen'
Change-Id: Iccbc7390c5653258b70b094bacb65e3ad68f1c33</t>
  </si>
  <si>
    <t>Revert "Tests for installer-provided checksums."
Revert submission 12538860-installer-digests
Reason for revert: Droidcop: Potential culprit for b/168445565
Reverted Changes:
I112ba8594:Tests for installer-provided checksums.
I69a787bde:Digest API: allow installer to provide digests for...
Bug: 168445565
Change-Id: I8e76cc1c536214a156724c20bbd3bf76aaad1791</t>
  </si>
  <si>
    <t>Add function for adding EXIF to WebP files
Code copied from aosp/1148409 and aosp/1236647 with some minor
changes.
Original commit message:
Added code and test for WebP files
1) with EXIF data
2) without EXIF data but with other extra data
Added code and test for saving EXIF to WebP files without EXIF data
1) and have lossy encoding
2) and have lossless encoding
Also refactored test method names for better readability.
Bug: 138786288
Test: atest CtsMediaTestCases:android.media.cts.ExifInterfaceTest
Change-Id: I72940df8e9b2a63599b6c6c17c54a8927ed2e08e
Merged-In: I72940df8e9b2a63599b6c6c17c54a8927ed2e08e</t>
  </si>
  <si>
    <t>Restructuring Autofill cts - dropdowntests/saveuitests/servicebehaviortests
Restructuring the cts to some set of tests which are easy to select
ones to run. See go/restruct-autofill-cts for detail.
In order to review easily, the CLs will be submitted based on folder.
Bug: 159304958
Test: atest android.autofillservice.cts.dropdown
Test: atest android.autofillservice.cts.saveui
Test: atest android.autofillservice.cts.servicebehavior
Change-Id: Ic201e089b871c86d22ccfd5baca04a64deaf581a</t>
  </si>
  <si>
    <t>Do not set incorrect SMSC address
SMSC address in a SIM card could be updated unexpectedly after
testSetSmscAddress("fake smsc").
Bug: 168666997
Test: atest SmsManagerTest
Signed-off-by: Taesu Lee &lt;taesu82.lee@samsung.com&gt;
Change-Id: I754ded005751de50d103200de5401ad143d21a30</t>
  </si>
  <si>
    <t>Make debug key testing consistent with device logic.
Previously, the test made the assumption that userdebug builds accept
the debug keys and user builds do not. But the device side logic
actually uses the ro.debuggable property to determine this, and with
android debug ramdisk some user builds do have ro.debuggable=1. The
tests are occasionally run on such devices.
Update the test to be consistent so it won't fail in these cases.
Bug: 168556437
Test: atest CtsSignedConfigHostTestCases
Change-Id: Idf11ec9c2588710f930d2857ff48f96e7cb9ccdc</t>
  </si>
  <si>
    <t>Do not set incorrect SMSC address
SMSC address in a SIM card could be updated unexpectedly after
testSetSmscAddress("fake smsc").
Bug: 168666997
Test: atest SmsManagerTest
Signed-off-by: Taesu Lee &lt;taesu82.lee@samsung.com&gt;
Merged-in: I754ded005751de50d103200de5401ad143d21a30
Change-Id: I754ded005751de50d103200de5401ad143d21a30
(cherry picked from commit 9e0978104b4068eaae059f743271a60d98ec8531)</t>
  </si>
  <si>
    <t>Refactored CtsCarHostTestCases.
Changes:
- Converted ShellHelper into a superclass (CarHostJUnit4TestCase)
- Replaced JUnit assertions by Truth's
- Moved logic that increases max number of users to superclass
- Changed UiModeHostTest so it just create 1 extra user
- Moved UiMode-specic methods to UiModeHostTest
- Moved required feature check to a @Rule on superclass
- Automatically remove uses on superclass
- Removed redundant CLog staments (that were already logged by ITestDevice)
- Added it to PREUPLOAD.cfg
- Fixed checkstyle violations
- Other minor changes
Bug: 165880885
Bug: 167454361
Bug: 168128662
Test: atest CtsCarHostTestCases
Change-Id: I4c2d271449511c756a706705baea4afa8ca6dc3c</t>
  </si>
  <si>
    <t>Add tests which run with a work profile, with a secondary user, and on a
secondary user.
Test: atest CrossProfileAppsTest
Bug: 167945074
Change-Id: Ie32d9d7c999483ba93d0b4d17b1c8ba55de24527</t>
  </si>
  <si>
    <t>Add DevicePolicySecondaryUserTest.
Test: atest DevicePolicySecondaryUserTest
Bug: 167945074
Change-Id: Ifc02880a3670ae5ae538384531c840f558416b01</t>
  </si>
  <si>
    <t>Add test for getting datetime-related tag info
Bug: 159569444
Test: atest CtsMediaTestCases:android.media.cts.ExifInterfaceTest\
      #testGetSetDateTime
Change-Id: I9a442accf45d80323e47506bc1a891c2ea4b6462</t>
  </si>
  <si>
    <t>Check correct camera if it is external
In the presence of non-regular Camera2 devices (monochrome
or logicalMultiCamera), the number of devices available to
Camera1 clients is different from the number of devices
available to Camera2 clients. This difference causes
CameraUtils.isExternal() to sometimes check the wrong camera.
Bug: 168509179
Test: android.hardware.cts.CameraTest#testLockUnlock
    android.hardware.cts.CameraTest#testRecordingHint
    android.hardware.cts.CameraTest#testParameters
Change-Id: I419215f135eb03992860146ec88eca9650a26bf7</t>
  </si>
  <si>
    <t>CTS updates resulting from merging AppSearchImpl &amp; removing FakeIcing.
Bug: 162450968
Test: AppSearchManagerTest
Change-Id: I6fca4ef4d1014f79f6663e7454d4a08b9dcac4d7</t>
  </si>
  <si>
    <t>Skip tests in MediaExtractorTest
Skip tests in MediaExtractorTest that are covered by
ExtractorTest and ExtractorUnitTest in CtsMediaV2TestCases.
Bug: 169127229
Test: atest android.media.cts.MediaExtractorTest
Change-Id: I2c6f85982d227dc89a05b887d043849f6a448e84</t>
  </si>
  <si>
    <t>CtsMultiUserHostTestCases improvements:
- Removed unused imports.
- Replaced JUnit assertions by Truth.
- Added checkstyle hook.
- Replaced getDevice() by mDevice.
- Removed splitUserSystem support.
- Removed redundant logs to commands and outputs (they're already
  loged by ITestDevice)
- Created SupportMultiUsersRule
- Spun SetUsersRestrictionsTest from CreateUsersPermissionTest so the
  latter can use SupportMultiUsersRule.
- Changed how test cases are automatically removed.
- Removed dead code.
- Used String pattern formatting on CLog calls.
Test: atest CtsMultiUserHostTestCases # on flame_car and aosp_coral
Bug: 168919650
Bug: 165406498
Bug: 137101239
Change-Id: Ieeeef55f8fbf3d04a137a2d1047af85b53ea215f</t>
  </si>
  <si>
    <t>Ensure PackageInstallerSessions are abandoned
Bug: 169221219
Test: atest android.content.pm.cts.InstallSessionParamsUnitTest
Test: atest android.content.pm.cts.InstallSessionTransferTest
Test: atest android.content.pm.cts.PackageManagerShellCommandTest
Change-Id: I9bd47a9a3d4591704d2332340e367576ec9e6c6f</t>
  </si>
  <si>
    <t>Revert "ImageReaderDecoderTest: Stopped using resources in apk"
This reverts commit 068976f51a44a198dfb3ed67400d4f3fdd9a133a.
Reason for revert: droidcop build breakage
Bug: 169061947
Change-Id: I5cfafac5d39d1745b213b2f5cea6b0663d52fce1</t>
  </si>
  <si>
    <t>Refactor IncorrectContext test to context based
fixes: 166538303
Test: atest StrictModeTest
Change-Id: I5d0e00382f7181f7966bf1ced4efa0a2606b847f</t>
  </si>
  <si>
    <t>Remove unused Android Q sandbox references
Bug: 145653577
Test: presubmit
Change-Id: I5cdc2435876de59125d56266152bba3aacec4d3d</t>
  </si>
  <si>
    <t>Make TV mic indicator tests intrumentation
Turning the hostside tests for TV Mic Indicator feature into
intrumentation tests.
Bug: 168067865
Test: atest CtsSystemUiTestCases:MicIndicatorTest
Change-Id: I1aa9d6c28b09ead018752dd1be1ee5a33b592d96</t>
  </si>
  <si>
    <t>More Keyboard visibility tests after unlocked
Add more tests in KeyboardVisibilityControlTest to verify
CL1[1] when same window focused with SOFT_INPUT_STATE_* flag
without valid editor after unlocked will end up to hide soft-keyboard:
- testImeState_Unspecified_EditorDialogLostFocusAfterUnlocked
- testImeState_Visible_EditorDialogLostFocusAfterUnlocked
- testImeState_AlwaysVisible_EditorDialogLostFocusAfterUnlocked
- testImeState_Hidden_EditorDialogLostFocusAfterUnlocked
- testImeState_AlwaysHidden_EditorDialogLostFocusAfterUnlocked
[1]: I2b1193f541933380fc97d83aee2da1e9d5f0faa9
Bug: 161506356
Test: atest KeyboardVisibilityControlTest
Change-Id: If1b914ffb305ac1c342033ede20d9f519e28f9ba</t>
  </si>
  <si>
    <t>Remove LocaleListTest#testRepeatedArguments
Bug: 152410253
Bug: 168854184
Test: N/A
Change-Id: I3287c94dd61ad82f5de84896c011b3942e1d2fa9</t>
  </si>
  <si>
    <t>Unregister receivers if no use
Register receivers in setUp() and unregister them in tearDown() so that
the receivers will not receive intents from VisualVoicemailServiceTest
anymore.
Bug: 169380531
Test: atest CtsTelephonyTestCases
Signed-off-by: Taesu Lee &lt;taesu82.lee@samsung.com&gt;
Change-Id: Ifd24cce389f8fbcd33ed75f3d0cd84d6dbb15ec1</t>
  </si>
  <si>
    <t>CTS updates for RichContentReceiver (now OnReceiveContentCallback)
Bug: 163718378
Bug: 165632620
Bug: 152068298
Test: Unit tests
  atest CtsWidgetTestCases:TextViewOnReceiveContentCallbackTest
  atest CtsViewTestCases:ViewTest
Change-Id: If031c15dfb2cfb0d3b67ffe3b2a53866bffbd73f</t>
  </si>
  <si>
    <t>Partially fixed CtsScopedStorageHostTest to support secondary users.
This CL only fix the hostside part so it pass the current user to pm
commands. The tests are still failing for secondary users (and on
automotive) because the device-side classes must be refactored to use
a ContentProvider to access the secondary user data.
Plus some minor improvements:
 - Moved common code to supeclass.
 - Used Truth instead of JUnit assertions.
 - Added checkstyle hook.
 - Removed redundant attributes initialization.
Test: atest CtsScopedStorageHostTest # on phones
Bug: 169101565
Bug: 163891184
Change-Id: I296342671b8b701c6e1059303f48d86e3029486c</t>
  </si>
  <si>
    <t>Uses RequiredFeatureRule to skip tests that don't support backup.
To test it, run, remove the feature from
/vendor/etc/permissions/car_core_hardware.xml and restart the system.
Test: atest CtsBackupHostTestCases # with and without the feature
Bug: 166339795
Bug: 169341308
Change-Id: If6c04ae138880ad33274260b1d7dcf5c7fc5bc48</t>
  </si>
  <si>
    <t>Uses RequiredFeatureRule to skip tests that don't support backup.
To test it, run, remove the feature from
/vendor/etc/permissions/car_core_hardware.xml and restart the system.
Test: atest CtsBackupHostTestCases # with and without the feature
Bug: 166339795
Bug: 169341308
Change-Id: If6c04ae138880ad33274260b1d7dcf5c7fc5bc48
(cherry picked from commit 8423e8642efe7c93051c91e5ac26ef6956c7f464)</t>
  </si>
  <si>
    <t>Remove LocaleListTest#testRepeatedArguments
Bug: 152410253
Bug: 168854184
Test: N/A
Change-Id: I3287c94dd61ad82f5de84896c011b3942e1d2fa9
Merged-In: I8aef447f0c584b0a710d7f139710d40723621544</t>
  </si>
  <si>
    <t>Improved PreCreateUsersHostTest to make sure the user is properly converted.
Test: atest CtsCarHostTestCases:android.car.cts.PreCreateUsersHostTest
Bug: 168128662
Bug: 160252062
Bug: 167698977
Bug: 169588446
Change-Id: I2f40570e582189eff9e58e987f72ca1746c69358</t>
  </si>
  <si>
    <t>Ensure PackageInstallerSessions are abandoned
Bug: 169221219
Test: atest android.content.pm.cts.InstallSessionParamsUnitTest
Test: atest android.content.pm.cts.InstallSessionTransferTest
Test: atest android.content.pm.cts.PackageManagerShellCommandTest
Merged-In: I9bd47a9a3d4591704d2332340e367576ec9e6c6f
Change-Id: I9bd47a9a3d4591704d2332340e367576ec9e6c6f
(cherry picked from commit 927ad37e0ac7d0a863d14f5beba3eb9a5b1d4db0)</t>
  </si>
  <si>
    <t>Uses RequiredFeatureRule to skip tests that don't support backup.
To test it, run, remove the feature from
/vendor/etc/permissions/car_core_hardware.xml and restart the system.
Test: atest CtsBackupHostTestCases # with and without the feature
Bug: 166339795
Bug: 169341308
Change-Id: If6c04ae138880ad33274260b1d7dcf5c7fc5bc48
Merged-In: If6c04ae138880ad33274260b1d7dcf5c7fc5bc48
(cherry picked from commit 8423e8642efe7c93051c91e5ac26ef6956c7f464)</t>
  </si>
  <si>
    <t>RingtoneManager shouldn't be using custom columns.
Add to greylist to keep their usage working.
Bug: 115845621
Bug: 122813739
Test: cts-tradefed run commandAndExit cts-dev -m CtsMediaTestCases -t android.media.cts.RingtoneManagerTest
Change-Id: I358545f658ad2fbccfe94cc65c78bf42c92a3ab2
Merged-In: I358545f658ad2fbccfe94cc65c78bf42c92a3ab2</t>
  </si>
  <si>
    <t>Re-enabled CtsCarHostTestCases for user builds.
Also fixed the createGuest() method, which was passing the ADMIN flag.
Test: adb unroot &amp;&amp; atest CtsCarHostTestCases
Fixes: 67698977
Change-Id: I7366671dc5ace32906ef7c8cc9ec5083d71249a9</t>
  </si>
  <si>
    <t>[DO NOT MERGE][BACKPORT]Add CTS for background location access in Telephony
Add tests to ensure that apps without ACCESS_BACKGROUND_LOCATION can't
access Telephony's location-sensitive APIs when the app is in the
background.
Also move the location-related tests into a new test class
Bug: 158484422
Fixes: 155772710
Test: atest TelephonyLocationTests
Merged-In: I68190c4712b04ac26741ad282a3503daa822ef98
Change-Id: I68190c4712b04ac26741ad282a3503daa822ef98
(cherry picked from commit f44117f90b64bc06c76eb6dcc00250ebd8ac0fc2)</t>
  </si>
  <si>
    <t>Skip tests in MediaMuxerTest
Skip tests in MediaMuxerTest that are covered by MuxerTest and
MuxerUnitTest in CtsMediaV2TestCases.
Bug: 169127229
Test: atest android.media.cts.MediaMuxerTest
Change-Id: Idc674d1793f4b6a6229a09a160e66a4d9ae4851c</t>
  </si>
  <si>
    <t>Add core scoped storage host test.
Splitting this set of core test casess in a separate test rule in order to include it as
smoke test for MediaProvider (which has a time limit).
Bug: 161990628
Test: atest CtsScopedStorageCoreHostTest
Change-Id: I0bf0be68ab78079968d04d17a3aa7c4b3ecd04f3</t>
  </si>
  <si>
    <t>Add cts tests for VibrationAttributes.getAudioUsage
This removed the deprecated getAudioAttributes() in favor of a new
method getAudioUsage(), that maps vibration usage back to audio usage.
Bug: 163119475
Test: atest VibrationAttributesTest
Change-Id: I289773179145897617a5724b111ca91680c7d0ef</t>
  </si>
  <si>
    <t>Add AbandonAllPackageSessionsRule
Migrates to a TestRule that automatically abandons all the created
sessions for the instrumentation context, to ensure sessions don't
leak over to subsequent tests and potentially hit the session limit.
Bug: 169221219
Test: atest android.content.pm.cts
Change-Id: I136d028aceb1a8b1e18b5a00c151b03680b6a1c5</t>
  </si>
  <si>
    <t>[CTS] [Tagged Pointers] Fix `user` builds.
User builds aren't allowed to **disable** compat features (they're still
allowed to enable them). When we see a user build, we need to special
case the test as disabling the compat feature is a nop.
Remove some of the nop feature-disabled tests as well, where the
manifest or sdk level isn't enough to trigger tagged pointers anyway.
Bug: 169452143
Test: atest CtsTaggingHostTestCases on {flame-user, flame-userdebug,
blueline-userdebug, aosp_cf_x86_phone-user}
Change-Id: Icde4cebfa51161b803046697b2009b518b61e432</t>
  </si>
  <si>
    <t>Add test for getting datetime-related tag info
Bug: 159569444
Test: atest CtsMediaTestCases:android.media.cts.ExifInterfaceTest\
      #testGetSetDateTime
Change-Id: I9a442accf45d80323e47506bc1a891c2ea4b6462
Merged-In: I9a442accf45d80323e47506bc1a891c2ea4b6462</t>
  </si>
  <si>
    <t>Create a install utility class to be used by the host
This will help reduce duplicate logics used from the host side of the
test across cts, gts and internal tests.
In initial CL, only moved isApexUpdateSupported logic. More logics will
be moved into this utility in follow up cls.
Bug: 160296318
Test: atest StagedInstallTest
Test: atest RollbackManagerHostTest
Change-Id: Ie206c74507af9d9c5baa8e0fe2b1441bbcf530f3
Merged-In: Ie206c74507af9d9c5baa8e0fe2b1441bbcf530f3
(cherry picked from commit 8df3d47f9a4a8bca764c2fbe00cb6163c611e931)</t>
  </si>
  <si>
    <t>Create a install utility class to be used by the host
This will help reduce duplicate logics used from the host side of the
test across cts, gts and internal tests.
In initial CL, only moved isApexUpdateSupported logic. More logics will
be moved into this utility in follow up cls.
Bug: 160296318
Test: atest StagedInstallTest
Test: atest RollbackManagerHostTest
Change-Id: Ie206c74507af9d9c5baa8e0fe2b1441bbcf530f3
Merged-In: Ie206c74507af9d9c5baa8e0fe2b1441bbcf530f3</t>
  </si>
  <si>
    <t>MediaMetadataRetrieverTest: Stopped using resources in apk
Bug: 157639175
Test: atest android.media.cts.MediaMetadataRetrieverTest
Change-Id: I89c6f35599a5af2ca3379d2bfef2144787216796</t>
  </si>
  <si>
    <t>Rewrite battery saver location tests and add bypass tests
The location service now takes all responsibility for responding to
battery saver mode changes. Rewrite the CTS tests into location
directory, which also let's us get rid of the
getTestProviderLocationRequests() API which no longer has a reason for
existing. Also add CTS tests for the setLocationSettingsIgnored()
SystemApi which previously only existed in GTS.
Bug: 170054615
Test: manual + presubmits
Change-Id: Id47303dccfd82b26f1ad4d49af392148032767f7</t>
  </si>
  <si>
    <t>Create a install utility class to be used by the host
This will help reduce duplicate logics used from the host side of the
test across cts, gts and internal tests.
In initial CL, only moved isApexUpdateSupported logic. More logics will
be moved into this utility in follow up cls.
Bug: 160296318
Test: atest StagedInstallTest
Test: atest RollbackManagerHostTest
Change-Id: Ie206c74507af9d9c5baa8e0fe2b1441bbcf530f3
Merged-In: Ie206c74507af9d9c5baa8e0fe2b1441bbcf530f3
(cherry picked from commit 8df3d47f9a4a8bca764c2fbe00cb6163c611e931)
(cherry picked from commit 4a59553535e39f49f5c1bb40e6cc343217042e16)</t>
  </si>
  <si>
    <t>Fixes CTS MagnificationGestureHandlerTest
Renaming the test to FullScreenMagnificationGestureHandlerTest.
This fix corrects the pre-condition of magnification capabilities
and magnification mode by reseting magnification settings
when setUp() and recovering the settings when tearDown().
Bug: 162814440
Test: atest android.accessibilityservice.cts.FullScreenMagnificationGestureHandlerTest
Change-Id: I4b20f8585116e420ff01a2cce1a486200d8aa09c</t>
  </si>
  <si>
    <t>Test that presentation not dismiss after display resize
Also append window type for DisplayTest and WindowTest
Test: atest PresentationTest DisplayTest
Bug: 167462327
Change-Id: I61a9eddd752f8da633dd8ed47c404cc10a3b455b</t>
  </si>
  <si>
    <t>Move fs-checkpoint checking logic into InstallUtilsHost
Bug: 160296318
Test: atest StagedInstallTest
Test: atest RollbackManagerHostTest
Change-Id: Ie8be624c03f2d9b7c7a4fbeda58d0493de8bac0d
Merged-In: Ie8be624c03f2d9b7c7a4fbeda58d0493de8bac0d
(cherry picked from commit 13866a821de6427a8842d82786b71b4bcd75eea7)</t>
  </si>
  <si>
    <t>Prioritize connectivity test jobs.
Add the "-s" flag to the jobscheduler run command to ensure the test
jobs are sorted and run before other ready jobs.
Bug: 163807930
Test: atest --rerun-until-failure 50 android.jobscheduler.cts.ConnectivityConstraintTest
Change-Id: I6804d2b46881de46674c3db6de22bd70d847c75a</t>
  </si>
  <si>
    <t>Add tests for revoking install permissions when definer is uninstalled.
Bug: 155648771
Test: atest RemovePermissionTest
Change-Id: I66decb0833c3a17c39ea9918b3444f0be1b6bdad
Merged-In: I66decb0833c3a17c39ea9918b3444f0be1b6bdad</t>
  </si>
  <si>
    <t>DO NOT MERGE Add tests for revoking install permissions when definer is uninstalled.
Bug: 155648771
Test: atest RemovePermissionTest
Change-Id: I66decb0833c3a17c39ea9918b3444f0be1b6bdad</t>
  </si>
  <si>
    <t>Resolve API review for MediaMetadata#getBitmapDimensionLimit
Following changes are included:
 - Added @IntRange for getBitmapDimensionLimit()
 - Used Integer.MAX_VALUE for 'no scaling was applied'
   - Accordingly, made the @IntRange start from 1 (previously zero).
Bug: 168215839
Test: Ran MediaMetadataTest
Change-Id: I54eb0e2e2814c41b2e58156ace6092dd4f56360c</t>
  </si>
  <si>
    <t>Revert "Add and improve CTS tests to increase Telecom Conference public API"
This reverts commit 24224c0e36b7e6f202dfb477d875a768cc5605c8.
Reason for revert: Probable culprit of b/170609195
Change-Id: I3f3f137ed9c7662335ffc802d6be712e82af0dd2</t>
  </si>
  <si>
    <t>Verify state of device before running tests.
We see some failures that would be explained by previous test runs leaving
the device in a bad state. Add some asserts to catch this case and fail
early.
Bug: 170428909
Bug: 169987505
Test: cd cd cts/tests/signature/; atest
Change-Id: I9f09de789b1a6290d96a8e51cea67306287c660b</t>
  </si>
  <si>
    <t>Move uninstall shim apex logic to InstallUtilsHost
Bug: 160296318
Test: atest StagedInstallTest
Test: atest RollbackManagerHostTest
Change-Id: Id877ccaa5ca0030056a9bd0915a3419c0b18d6a8
Merged-In: Id877ccaa5ca0030056a9bd0915a3419c0b18d6a8
(cherry picked from commit 6e23bc5d0f20f4ff5fcd29234efd7f704ed6a168)</t>
  </si>
  <si>
    <t>Extract session abandonment checking logic to InstallUtils
Extraction will allow logic to be reused in other CTS tests
Bug: 162294757
Test: atest StagedInstallTest
Change-Id: Ib5859d174ac2141107587397e04f5e40cb8b3cb2
Merged-In: Ib5859d174ac2141107587397e04f5e40cb8b3cb2
(cherry picked from commit 0d73217be674017e156c3b426684d40cf13c1fce)</t>
  </si>
  <si>
    <t>[RESTRICT AUTOMERGE] Revert "CTS test for Android Security b/63522430"
This reverts commit 7d2c4454dd24309f7a8049c27ab852113600027e.
Test: sts-tradefed
Bug: 68653237
Merged-In: I22f22bf8314d2e79909a6127e9cfbc980cb100a1
Change-Id: I8e8f37e47b4d6f1995563908add2e196803bb126</t>
  </si>
  <si>
    <t>[RESTRICT AUTOMERGE] Revert "CTS test for Android Security b/36104177"
This reverts commit 48184f73d7f303b25544061c2964fa64aef62f30.
Test: sts-tradefed
Bug: 72333921
Merged-In: I7a9dd6792a7344fb4447bc6b2df7ee78348dbbe4
Change-Id: Ief210bfef84f7c44b6df592a257010757ee84c2a</t>
  </si>
  <si>
    <t>[RESTRICT AUTOMERGE] Revert "CTS test for Android Security b/68159767"
This reverts commit ad5cf1b8f4353548043a2777856460c2602978b0.
Test: sts-tradefed
Bug: 72396811
Merged-In: I3f13b811063b21d9086a9fc5a02fd9c0b3e985e4
Change-Id: I1e4c092df2df48964119e8d1cbf1004f06349b68</t>
  </si>
  <si>
    <t>Check windowing mode instead of divider window to verify split screen
AccessibilityWindowQueryTest#testWindowDockAndUndock_dividerWindowAppearsAndDisappears
checks the existence of a divider window to know if it's in split
screen or not. However, the divider is an implementation detail of
system ui, and some system UI doesn't have it.
This CL replaces a check of divider window presence with activity's
windowing mode to verify it.
This change also renames the corresponding test because now that the
test is not related to divider window.
Bug: 170064014
Bug: 170320826
Test: AccessibilityWindowQueryTest#testToggleSplitScreen on eve and crosshatch
Change-Id: Iffed2a449cb4e21a488e8b45565bb0945dce2754</t>
  </si>
  <si>
    <t>[RESTRICT AUTOMERGE] Check windowing mode instead of divider window to verify split screen
AccessibilityWindowQueryTest#testWindowDockAndUndock_dividerWindowAppearsAndDisappears
checks the existence of a divider window to know if it's in split
screen or not. However, the divider is an implementation detail of
system ui, and some system UI doesn't have it.
This CL replaces a check of divider window presence with activity's
windowing mode to verify it.
This change also renames the corresponding test because now that the
test is not related to divider window.
Bug: 170064014
Bug: 170320826
Test: AccessibilityWindowQueryTest#testToggleSplitScreen on eve and crosshatch
Change-Id: Iffed2a449cb4e21a488e8b45565bb0945dce2754
Merged-In: Iffed2a449cb4e21a488e8b45565bb0945dce2754</t>
  </si>
  <si>
    <t>Check windowing mode instead of divider window to verify split screen
AccessibilityWindowQueryTest#testWindowDockAndUndock_dividerWindowAppearsAndDisappears
checks the existence of a divider window to know if it's in split
screen or not. However, the divider is an implementation detail of
system ui, and some system UI doesn't have it.
This CL replaces a check of divider window presence with activity's
windowing mode to verify it.
This change also renames the corresponding test because now that the
test is not related to divider window.
Bug: 170064014
Test: AccessibilityWindowQueryTest#testToggleSplitScreen on eve and crosshatch
Change-Id: Iffed2a449cb4e21a488e8b45565bb0945dce2754</t>
  </si>
  <si>
    <t>Revert "Add CTS for HomeVisibilityListener"
Revert submission 12775890-home-vis-listener
Reason for revert: broke build, b/170776449
Reverted Changes:
I8e6de3267:Add CTS for HomeVisibilityListener
I33d943603:Follow rename of HomeVisibilityObserver
I5d99f2bad:Expose the HomeVisibilityListener API
Change-Id: Ib13147a7493f596467bf8c35ad1c3f2243fc6d55</t>
  </si>
  <si>
    <t>ExifInterfaceTest: Stopped using resources in apk
Bug: 157639175
Test: atest android.media.cts.ExifInterfaceTest
Change-Id: I59ed350b82dd9d62ef219e9b6cbb10acda218595</t>
  </si>
  <si>
    <t>Verify state of device before running tests.
We see some failures that would be explained by previous test runs leaving
the device in a bad state. Add some asserts to catch this case and fail
early.
This is a cherry-pick from internal master.
Bug: 170428909
Bug: 169987505
Test: cd cts/tests/signature/; atest
Merged-In: I9f09de789b1a6290d96a8e51cea67306287c660b
Change-Id: I9f09de789b1a6290d96a8e51cea67306287c660b</t>
  </si>
  <si>
    <t>Skip tests in NativeDecoderTest
Skip tests in NativeDecoderTest that are covered by ExtractorTest,
CodecDecoderTest and CodecDecoderSurfaceTest in CtsMediaV2TestCases.
Bug: 169127229
Test: atest android.media.cts.NativeDecoderTest
Change-Id: Ifb8712e79b9b0523cc70aebfbf8eb6d48c0e6b41</t>
  </si>
  <si>
    <t>Update TextShaper API changes in framework
Bug: 170255480
Test: atest TextShaperRunTest GlyphStyleTest TextShaperTest
Change-Id: I567c1529a479e28a595fea0059b34d946647dd93</t>
  </si>
  <si>
    <t>Fix DeviceConfig resetting.
DeviceConfig.resetToDefaults is designed to only be used by RescueParty
to reset flags and ban values after a disaster (e.g. bootloop). It's not
designed to be used to clear up local changes and causes CTS tests to
break/be flaky.
Switching to reading existing values, changing them, and reverting
to the pre-existing values to avoid further test breakages.
Bug: 165943447
Test: atest CtsAlarmManagerTestCases
Test: atest CtsBatterySavingTestCases
Test: atest CtsHostsideNetworkTests
Test: atest CtsJobSchedulerTestCases
Test: atest CtsPermissionTestCases:LocationAccessCheckTest
Change-Id: I237d2cd2b862a826f7e871b7a7c31840a3470d0a</t>
  </si>
  <si>
    <t>Check correct camera if it is external
In the presence of non-regular Camera2 devices (monochrome
or logicalMultiCamera), the number of devices available to
Camera1 clients is different from the number of devices
available to Camera2 clients. This difference causes
CameraUtils.isExternal() to sometimes check the wrong camera.
Bug: 168509179
Test: android.hardware.cts.CameraTest#testLockUnlock
    android.hardware.cts.CameraTest#testRecordingHint
    android.hardware.cts.CameraTest#testParameters
Change-Id: I419215f135eb03992860146ec88eca9650a26bf7
Merged-In: I419215f135eb03992860146ec88eca9650a26bf7</t>
  </si>
  <si>
    <t>Remove ManagedProfileTest#testCrossProfileCalendar
Bug: 161735928
Test: compiled
Merged-In: I82cfd556af7e752207d6ace5b3e1ba62d9b65cf0
Change-Id: I82cfd556af7e752207d6ace5b3e1ba62d9b65cf0</t>
  </si>
  <si>
    <t>Migrate Tethering util functions to CtsTetheringUtils
Bug: 166057846
Bug: 170265597
Test: atest MtsTetheringTest
      atest CtsTetheringTest
Change-Id: I59d529cb50b4b6cdafc6be78ad61a55ee1be0404</t>
  </si>
  <si>
    <t>Migrate Tethering util functions to CtsTetheringUtils
Bug: 166057846
Bug: 170265597
Test: atest MtsTetheringTest
      atest CtsTetheringTest
Exempt-From-Owner-Approval:
   - this is clean CP from aosp/1460711 which is already approve by owner.
   - owner(Lorenzo) is on the vacation and we need this CL for FRC respin(b/171013290)
Original change: https://android-review.googlesource.com/c/platform/cts/+/1460711
Change-Id: I0f2b116b39eab6fc9f9b201709a7e4146a5c0c5f
Merged-In: I59d529cb50b4b6cdafc6be78ad61a55ee1be0404
(cherry picked from commit b220c5b694ddac3c64f9ba88290a35363413919b)</t>
  </si>
  <si>
    <t>Classify normal test cases and compat test cases
Because all the test case has been mixed, it has been annoying to add
new method for the test. So extract test cases about compatibility
check.
Test: m CtsNdkBinderTest
Bug: 146611855
Change-Id: Ifaae72c18e36f549a56b262bc952024c7b00b866</t>
  </si>
  <si>
    <t>Remove obsolete code.
The idle_duration and wallclock_threshold values no longer do anything.
Removing the code that tries to set them. The test itself should still
pass because we don't let an app become idle right after it's been
launched.
Bug: 124466289
Test: atest AppIdleHostTest
Change-Id: Ia952bf3581edcb8f684422a9e8f6ba8a70955d6c</t>
  </si>
  <si>
    <t>Revert "Test that presentation not dismiss after display resize"
Revert submission 12501006-presentation_window_context
Reason for revert: Bug: 171027173 and Bug: 171064994
Reverted Changes:
Ib5c4a33ee:Migrate Presentation to WindowContext
I61a9eddd7:Test that presentation not dismiss after display r...
Change-Id: Ic6fe60cc3c876b4c49374c8ff269741bc342336f
(cherry picked from commit 0d3c1faecbbb4a89b8184ba0d17a17eb6b2057d9)</t>
  </si>
  <si>
    <t>Use new helper test library in statsd atom tests
Test: m CtsStatsdAtomHostTestCases
Bug: 163546661
Change-Id: Ie27b2bff152fc12111af197689fc109d07acf818</t>
  </si>
  <si>
    <t>Updates tests to use EXTRA_USER_INITIATED
Bug: 170705231
Test: atest CtsAppSecurityHostTestCases:EphemeralTest
Change-Id: I0233f2f1b02302c47cd617af0ac83fa876576a15</t>
  </si>
  <si>
    <t>Fix non-inclusive terms in CTS device policy tests
Bug: 170188829
Test: atest ManagedProfileCrossProfileTest
Test: atest MixedDeviceOwnerTest
Test: atest MixedManagedProfileOwnerTest
Test: manually with CtsVerifier
Merged-In: I87c6573f6011f29e1c3e0549e9db79597fffcf05
Change-Id: I87c6573f6011f29e1c3e0549e9db79597fffcf05</t>
  </si>
  <si>
    <t>Fix non-inclusive terms in CTS device policy tests
Bug: 170188829
Test: atest ManagedProfileCrossProfileTest
Test: atest MixedDeviceOwnerTest
Test: atest MixedManagedProfileOwnerTest
Test: manually with CtsVerifier
Change-Id: I87c6573f6011f29e1c3e0549e9db79597fffcf05</t>
  </si>
  <si>
    <t>wifi: add cts for new WPA3 Enterprise APIs
Two APIs are introduced to create WPA3 Enterprise standard
mode and 192-bit mode configurations.
Bug: 170311014
Test: atest android.net.wifi.cts.WifiNetworkSpecifierTest \
            android.net.wifi.cts.WifiNetworkSuggestionTest
Change-Id: I94c423184c5d2f5dd02cffc70f46ff4ea468cc5a</t>
  </si>
  <si>
    <t>Remove device dependency for HDMI CEC CTS test
Remove dependency on playback device and allow the test to run for any
HDMI-CEC device type.
BasseHdmiCecCtsTest will default to the devices current logical address
for the configuration of HdmiCecClientWrapper.
Bug: 166227067
Test: atest HdmiCecSystemInformationTest
Change-Id: I486d7a7799ddf310b96490a0adaf28e463e84248</t>
  </si>
  <si>
    <t>Refactor pre-created user app permission test
Use proto to check each user's package permissions
Bug: 167454361
Test: m cts &amp;&amp; atest PackageIncidentTest
m CtsCarHostTestCases &amp;&amp; cts-tradefed run cts-dev -m CtsCarHostTestCases -t android.car.cts.PreCreateUsersHostTest
Change-Id: Ibd2a3a4ce4cca7978ddb0ef9358b811e5029083d</t>
  </si>
  <si>
    <t>Tweak some variable names
Bug: 170188829
Test: atest MixedDeviceOwnerTest
Change-Id: I72b376fe6b11e7d10f7ef7aefb0c6211110b7a1d</t>
  </si>
  <si>
    <t>Add tests verifying CEC Power Status transitions
Tests HF4-6-20 and HF4-6-21 verifying the required broadcasts in CEC
2.0.
Ignored until feature is properly implemented.
Bug: 166227834
Test: atest HdmiCecPowerStatusTest
Change-Id: Ibfb938ce6f44065271818c23eef7d1186ca6ab94</t>
  </si>
  <si>
    <t>Add device polling tests for standby cases
Verify that polls are ACKed even when the DUT is in standby.
Bug: 169121071
Test: atest HdmiCecPollingTest
Change-Id: I47acd8a2a33117a7d3bf44bf4850f599afe923d6</t>
  </si>
  <si>
    <t>Update CTS tests for the updated onReceiveContent() API
Bug: 170191676
Bug: 152068298
Test: atest CtsViewTestCases:ViewTest
Test: atest CtsViewTestCases:ViewOnReceiveContentTest
Test: atest CtsWidgetTestCases:TextViewOnReceiveContentCallbackTest
Test: atest FrameworksCoreTests:TextViewOnReceiveContentCallbackTest
Test: atest FrameworksCoreTests:AutofillValueTest
Change-Id: I7b3b3732e7d6f45be231db95d61f9329d386e0e1</t>
  </si>
  <si>
    <t>Removed the test
Will add behavioral tests to ensure every OEM supports
IWLAN AP-assisted mode in S.
Fix: 171269762
Test: CtsTelephonyTestCases
Change-Id: I6be42e0bbd541f105c4b6c300b18c4d190b7bb1e</t>
  </si>
  <si>
    <t>Add CTS for text toast trusted touch exemption + refactors
* Add CTS for text toast exemption introduced in ag/12920315.
* Refactored tests to use TouchHelper introduced in parent.
* Removed sentinel touch logic since upon code inspection the touches
  sent are synchronous. Other tests seem to rely on this too. Verified
  tests fail if the touch is not blocked.
Test: atest WindowUntrustedTouchTest
Bug: 158002302
Change-Id: I1afecff9399ad915a0b13aa2df3c6d54638f17f1</t>
  </si>
  <si>
    <t>Refactor WindowUntrustedTouchTest to use a service
Use a service to communicate between test and helper app instead of a
broadcast receiver, this is better because we are not subjected to
queues, the lifecycle of the service is the same as the test, allowing
for initialization and termination, and we can have test state in the
app, which is needed for future CL where I have to hide a previously
posted toast.
Test: atest android.server.wm.WindowUntrustedTouchTest
Bug: 158002302
Change-Id: Ia15e3426c6960198b8b52066c45a753f4d547121</t>
  </si>
  <si>
    <t>Rename TextViewOnReceiveContentCallbackTest to TextViewOnReceiveContentTest
Bug: 170191676
Bug: 152068298
Test: atest CtsWidgetTestCases:TextViewOnReceiveContentTest
Change-Id: I156c23afb54211ac20510c31575ebb393e505959</t>
  </si>
  <si>
    <t>Remove posted text toast in WindowUntrustedTouchTest
After refactoring the helper app around a service, we can now post the
toast via the service and then remove it when the service is being
destroyed. No need to wait for toasts to be removed anymore.
Also:
* Wait for no toasts before showing toasts.
* Wait for toast windows to show their surface.
* Renamed a few things for clarity
Test: atest android.server.wm.WindowUntrustedTouchTest
Bug: 158002302
Change-Id: Id2e2715233968194e08a6ef804435e631803ffc8</t>
  </si>
  <si>
    <t>Removed the test
Will add behavioral tests to ensure every OEM supports
IWLAN AP-assisted mode in S.
Fix: 171269762
Test: CtsTelephonyTestCases
Change-Id: I6be42e0bbd541f105c4b6c300b18c4d190b7bb1e
(cherry picked from commit 40bc18f8dcaa8c5d15a4283fbebd2832253b1ba4)</t>
  </si>
  <si>
    <t>Revert "[CTS] Add test for AwareResources API."
Revert submission 12903772-awareResources
Reason for revert: b/171991392
Reverted Changes:
I74949effc:[CTS] Add test for AwareResources API.
I8ed29471b:[AWARE] Add API to get available aware resources
Ie207af078:[AWARE] API to get available aware resources
Change-Id: Ifa7c6f02707bd44ebb6209b5e2bb8617cbd581f9</t>
  </si>
  <si>
    <t>Update tests to use DisplayNumber instead of IconIndex
Test: atest TelephonyManagerTest
Bug: 171770692
Change-Id: I56d7ca76974a51859a77eb757ceed9f007a3d6b5</t>
  </si>
  <si>
    <t>Move Telephony tests out of location CTS
Tests in the CtsNoLocationPermissionTests package were primarily testing
Telephony APIs. Move these tests to one of the telephony test packages
so that the ownership is more clearly defined.
Fixes: 154758184
Test: atest android.telephony2.cts.NoLocationPermissionTest
Change-Id: I4a957b664f95612fbea484ad9d0bd8ac163d6f94
Merged-In: I4a957b664f95612fbea484ad9d0bd8ac163d6f94
Exempt-From-Owner-Approval: submitted in goog/master</t>
  </si>
  <si>
    <t>Rename setDataEnabledWithReason
1. Rename setDataEnabledWithReason to
setDataEnabledForReasn
2. Allow isDataConnectionAllowed to be accessed by
same apps as isDataEnabledForReason
3. Make these apis public
Bug: 156332911
Bug: 159073095
Test: cts and build
Change-Id: Ice9279c20e11afa7758cc4e4bf0e9351b4e8129d
Merged-In: Ice9279c20e11afa7758cc4e4bf0e9351b4e8129d</t>
  </si>
  <si>
    <t>Add a test to verify IME will invisible after forcestop package
Bug: 171009669
Test: atest KeyboardVisibilityControlTest#\
         testImeInvisibleWhenForceStopPkgProcess_Full
Test: atest --instant KeyboardVisibilityControlTest#\
         testImeInvisibleWhenForceStopPkgProcess_Instant
Change-Id: I2bc7052427f8b259fe5519fd8b90b0abb59575ab</t>
  </si>
  <si>
    <t>Delete deprecated deleteByType test, will add it back after deleteByQuery is ready in platform.
Bug: 162450968
Test: AppSearchManagerTest
Change-Id: Ic1dae1f5bf3b151e46143de5b48c69f4e6392ea3</t>
  </si>
  <si>
    <t>Fix typo in MediaParser test name
Change-Id: Iba25790fb945e28bfe281a73ff07be15c0536448</t>
  </si>
  <si>
    <t>Merge history of CTS to packages/modules/Connectivity
BUG: 167962976
Test: TH
Merged-In: I19b6b09febeb62867cd3d26246b2b3b46b9422c6
Change-Id: I19b6b09febeb62867cd3d26246b2b3b46b9422c6</t>
  </si>
  <si>
    <t>Merge history of CTS to packages/modules/Connectivity
BUG: 167962976
Test: TH
Exempt-From-Owner-Approval: merging history
Merged-In: I1c395dc229aa83c0f3932ee9117efad4eb95cd32
Change-Id: I108894451496ac85aea4b963e5cd5aa4770ac40c</t>
  </si>
  <si>
    <t>Migrate Tethering util functions to CtsTetheringUtils
Bug: 166057846
Bug: 170265597
Test: atest MtsTetheringTest
      atest CtsTetheringTest
Change-Id: I59d529cb50b4b6cdafc6be78ad61a55ee1be0404
Merged-In: I59d529cb50b4b6cdafc6be78ad61a55ee1be0404
(cherry picked from commit f3d71794ed927fe38a874a33c2aa3ddc1d505a0d)</t>
  </si>
  <si>
    <t>Merge history of CTS to packages/modules/Connectivity
BUG: 167962976
Test: TH
Merged-In: I19b6b09febeb62867cd3d26246b2b3b46b9422c6
Change-Id: I89d4791fddb419342e9bd026d96fa37c4273c62e</t>
  </si>
  <si>
    <t>Add maxTargetSDK to MediaController#controlsSameSession
Bug: 172313468
Test: cts media
Change-Id: I10df1c5f7b56b6252899358b0c0be7205940f3a3</t>
  </si>
  <si>
    <t>Revert "Implement PacProcessor tests."
This reverts commit 2cdb98fc16e2f854300adaa7a3b776a41ed40b77.
Reason for revert: b/172352584 (createInstance() is not implemented by WebView for some reason)
Bug: 172352584
Test: N/A
Change-Id: I140ea57872ded1f205bd91fc12593e6984e14046</t>
  </si>
  <si>
    <t>Merge history of CTS to packages/modules/Connectivity
BUG: 167962976
Test: TH
Exempt-From-Owner-Approval: Cleanup
Merged-In: I19b6b09febeb62867cd3d26246b2b3b46b9422c6
Change-Id: If8c54ca1e51eb6b587c70e8d218f9b90c7ad4c8e</t>
  </si>
  <si>
    <t>Remove MediaOutputPanel test for SettingsPanels
-Revert ag/10642015
Bug: 155822415
Test: atest SettingsPanelTest
Change-Id: Ica518af86fe22b95a326f33404ef69d6bfc7f0ff</t>
  </si>
  <si>
    <t>Merge history of CTS to packages/modules/Connectivity
BUG: 167962976
Test: TH
Merged-In: I89d4791fddb419342e9bd026d96fa37c4273c62e
Change-Id: Iacc33d5eb7b70b4f2984ff073c3f7003951af6e6
Exempt-From-Owner-Approval: Cleanup CL</t>
  </si>
  <si>
    <t>Merge history of CTS to packages/modules/Connectivity
BUG: 167962976
Test: TH
Merged-In: Iacc33d5eb7b70b4f2984ff073c3f7003951af6e6
Change-Id: I81a9f86acf87c36441e20a1f028ed120b201bf16
Exempt-From-Owner-Approval: Cleanup CL</t>
  </si>
  <si>
    <t>Updates tests for untrusted app MAC address restrictions
Apps targeting API level &lt; 30 are no longer able to access the MAC
address of the network interface. Instead, they will always see
02:00:00:00:00:00 as the interface's MAC address. Non-system apps
targeting API level &gt;= 30 will continue to see null as the interface's
MAC address.
Additionally, no untrusted app, regardless of API level, is allowed to:
- bind on NETLINK_ROUTE sockets
- send RTM_GETLINK messages
Bug: 70188668
Test: atest CtsSelinuxTargetSdk27TestCases
Test: atest CtsSelinuxTargetSdk28TestCases
Test: atest CtsSelinuxTargetSdk29TestCases
Test: atest CtsSelinuxTargetSdkCurrentTestCases
Change-Id: I5392f833984d600b5d194834957e986b9e8c4ee0</t>
  </si>
  <si>
    <t>Revert "Preset the test environment for WifiSliceTest"
This reverts commit 4e7afeea74381004a5241947c918e49235459813.
Reason for revert: The added permission "WRITE_SECURE_SETTINGS" causes
Settings_SecureTest failure
Bug: 172522610
Change-Id: I16c1f54fd08eb8298538e62b8969f04eb2035310</t>
  </si>
  <si>
    <t>Revert "Preset the test environment for WifiSliceTest"
This reverts commit 62a42b9122cd623e94be84e850e76b64f4898a42.
Reason for revert: The added permission "WRITE_SECURE_SETTINGS" causes
Settings_SecureTest failure
Bug: 172522610
Change-Id: I790f47fecfbf09bde2bafce6c30b353398ad5448</t>
  </si>
  <si>
    <t>Revert "Preset the test environment for WifiSliceTest"
This reverts commit d20def7a68989bf98cae53df1c7f38801a5527e7.
Reason for revert: The added permission "WRITE_SECURE_SETTINGS" causes
Settings_SecureTest failure
Bug: 172522610
Change-Id: I795b6706aacaf68980b86d0a9fdaf21a18f826cc
Merged-In: I16c1f54fd08eb8298538e62b8969f04eb2035310</t>
  </si>
  <si>
    <t>Increase CTS coverage of MediaBrowser class
This CL increases the test line coverage of following methods of
MediaBrowser:
- getExtras
- getRoot
- getServiceComponent
- getSessionToken
- getItem
Bug: 172634219
Test: Passes CTS
Change-Id: Ie7c7c6ffd2364b6fff39fadec1c7a1676451d955</t>
  </si>
  <si>
    <t>Update IdleConstraintTest and BatterySaverTest CTS tests to consider automotive projection instead of car mode.
Bug: 134997071
Bug: 172283966
Test: These are tests :)
Change-Id: I8efc863cac811aa6476a4d7216b3298e2fff3b98</t>
  </si>
  <si>
    <t>Rename FileObserverLegacyPathTest class name
To conform the file name.
Bug: none
Test: build
Signed-off-by: Alessio Balsini &lt;balsini@google.com&gt;
Change-Id: I7e7d9544d34480167e95f642c82f700bd1a9fa37</t>
  </si>
  <si>
    <t>Enable testExtractor when media datasource return error
This test is not covered in v2 cts.
Bug: 169127229
Test: atest android.media.cts.MediaExtractorTest
Change-Id: I9219af951b43bc4dbc0bfab2eebb97ff1974e520</t>
  </si>
  <si>
    <t>Remove MediaOutputPanel test for SettingsPanels
-Revert ag/10642015
Bug: 155822415
Test: atest SettingsPanelTest
Change-Id: Ica518af86fe22b95a326f33404ef69d6bfc7f0ff
(cherry picked from commit 1e7db08346f5634967f8328fd48a265c6d7b001b)</t>
  </si>
  <si>
    <t>TextViewTest updates for changing forceBoldText to fontWeightAdjustment
Bug: b/170966021, b/110991537
Test: Manual with bold text toggle,
atest CtsWidgetTestCases:TextViewTest, CtsTextTestCases
Change-Id: I673cdfda20f6c32d641bf09e9972bddc80e550af</t>
  </si>
  <si>
    <t>Remove MediaOutputPanel test for SettingsPanels
Bug: 155822415
Test: atest SettingsPanelTest
Merged-In: Ica518af86fe22b95a326f33404ef69d6bfc7f0ff
Change-Id: Ica518af86fe22b95a326f33404ef69d6bfc7f0ff</t>
  </si>
  <si>
    <t>Migrate tests/tests/ipsec to packages/modules/IPsec
BUG: 171427558
Test: TH
Change-Id: Id5cfafdd491701c96f3d1c59f274f0ea56324278</t>
  </si>
  <si>
    <t>Revoke/Grant permission for current user
ScopedStorageHostTest &amp; ScopedStorageCoreHostTest revokes/grants storage
permissions for device test. Previously, in the revokePermission() &amp;
grantPermission() method we always revoked or granted permission for
USER_SYSTEM. But while running as secondary_user we should revoke/grant
permission for secondary_user.
Changed revokePermission() and grantPermission() to revoke and grant
permission for current user.
Also changed testAccess_Directory to use TradefedContentProvider to
create/delete directory instead of shell command.
Test: atest ScopedStorageHostTest on secondary user
Test: atest ScopedStorageCoreHostTest on secondary user
Bug: 172977876
Change-Id: I3469c75c5f0a17e511424457d0ac699bb519de56</t>
  </si>
  <si>
    <t>Add CTS tests for APN type conversions
Add tests for the methods that convert between string APN types and int
APN types.
Bug: 173133122
Test: atest ApnSettingTest
Change-Id: Iea70123d768a2e5a6d4bc2e75a0d63260974c03d</t>
  </si>
  <si>
    <t>Migrate tests/tests/ipsec to packages/modules/IPsec
BUG: 171427558
Test: TH
Merged-In: Id5cfafdd491701c96f3d1c59f274f0ea56324278
Change-Id: I2d4de93fd9be8058fb6ea20b6f69d9dbb4fdedf7</t>
  </si>
  <si>
    <t>Test package can only post limited number of toasts quickly.
Test: atest android.widget.cts.ToastTest
Bug: 171959286
Change-Id: Ic082db40fcb6d8b0e7bddaa140a7d602884d40f5</t>
  </si>
  <si>
    <t>Revert "Updates tests for untrusted app MAC address restrictions"
Revert submission 1450615-mac-address-restrictions
Reason for revert: DroidMonitor: Potential culprit for Bug 173243616 - verifying through Forrest before revert submission. This is part of the standard investigation process, and does not mean your CL will be reverted
Reverted Changes:
I08c709b2b:Enforce RTM_GETLINK restrictions on all 3p apps
I95d124ae8:Soft-enables new MAC address restrictions.
I5392f8339:Updates tests for untrusted app MAC address restri...
I9d214c5d0:Return anonymized MAC for apps targeting SDK &lt; 30
Change-Id: I4ffd6608c2cb3621508a82e731eab1c1f361faf4</t>
  </si>
  <si>
    <t>Partially fixed CtsScopedStorageHostTest to support secondary users.
This CL only fix the hostside part so it pass the current user to pm
commands. The tests are still failing for secondary users (and on
automotive) because the device-side classes must be refactored to use
a ContentProvider to access the secondary user data.
Plus some minor improvements:
 - Moved common code to supeclass.
 - Used Truth instead of JUnit assertions.
 - Added checkstyle hook.
 - Removed redundant attributes initialization.
Test: atest CtsScopedStorageHostTest # on phones
Bug: 169101565
Bug: 163891184
(Cherry picked from commit I296342671b8b701c6e1059303f48d86e3029486c)
Change-Id: I296342671b8b701c6e1059303f48d86e3029486c</t>
  </si>
  <si>
    <t>Initial BiometricServiceTest
1) Moves re-usable components up one level (e.g. SensorStates)
2) Adds BiometricServiceTest and related test activities, etc
Fixes: 171357779
Test: atest CtsBiometricsTestCases on face and fingerprint devices
Change-Id: Iac637805927d85a192dd3593c4ecea52f69617ec</t>
  </si>
  <si>
    <t>Revert "Revert "Updates tests for untrusted app MAC address rest..."
The original change was reverted due to InterfaceParamsTest failing.
This test has now been fixed in r.android.com/1498525.
The original change message is below.
Apps targeting API level &lt; 30 are no longer able to access the MAC
address of the network interface. Instead, they will always see
02:00:00:00:00:00 as the interface's MAC address. Non-system apps
targeting API level &gt;= 30 will continue to see null as the interface's
MAC address.
Additionally, no untrusted app, regardless of API level, is allowed to:
- bind on NETLINK_ROUTE sockets
- send RTM_GETLINK messages
Bug: 70188668
Test: atest CtsSelinuxTargetSdk27TestCases
Test: atest CtsSelinuxTargetSdk28TestCases
Test: atest CtsSelinuxTargetSdk29TestCases
Test: atest CtsSelinuxTargetSdkCurrentTestCases
Change-Id: I0e8280c74fd2a796cf743c21c97fe248e27fb3a8</t>
  </si>
  <si>
    <t>Add StorageEscalation tests
Bug: 171430330
Test: Atest StorageEscalationTest
Change-Id: If1d0f3ed837b2ae1b97eba6837cf3902b3e1fffa</t>
  </si>
  <si>
    <t>[Telephony] PhoneStateListener redesign - cts test in PhoneStateListenerTest part4
 - Add CTS test of
 1. onOutgoingEmergencySms
 2. onActiveDataSubscriptionIdChanged
 3. onBarringInfoChanged
 4. onRegistrationFailed
 5. onPhysicalChannelConfigChanged
Bug: 167684594
Test: atest CtsTelephonyTestCases:PhoneStateListenerTest
Change-Id: I210f371ed934e5bc9dbff2006d333a268354e7b9</t>
  </si>
  <si>
    <t>CipherTest: Skip tests on devices without lockscreen
These tests need lockscreen to pass. It has been skipping ATV but
it should include other devices without lockscreen, such as ARC.
Test: atest android.keystore.cts.CipherTest
Bug: 172870598
Change-Id: Ifc24a34ebea7251e10ccbce2c4fe240ab736d25d</t>
  </si>
  <si>
    <t>Fix strict java packages test
Support multi-dex bootclasspath jars and amend the allowlist to
acommodate for the duplicates that slipped through.
As the duplicates may have already been handled by others, handle the
allowlist as a guide instead of assuming duplicates exactly match it.
Bug: 173476756
Bug: 173475613
Test: atest CtsStrictJavaPackagesTestCases
Change-Id: I66d95467e9035fa6610398a85a9b9b4dedbdbfb5</t>
  </si>
  <si>
    <t>Remove added window after test case finished.
testShowInputMethodDialogWindow_resultIsApplicationType added an empty
window on top and not removed it after assertion fail. The cl tries
to remove the window at final to prevent affecting the subsequent test
cases.
Bug: b/172075076
Test: AccessibilityWindowQueryTest,TouchExplorerTest
Change-Id: I9ec5d2371d28d6784f8d1e26172a7b8dc5d3937b</t>
  </si>
  <si>
    <t>Test Context#isUiContext(Context)
Also rename ContextAccessTest to ContextGetDisplayTest, and
move some helper methods to new introduced test class ContextTestBase
to reuse these methods.
Test: atest ContextIsUiContextTest ContextGetDisplayTest
Bug: 170275820
Change-Id: I21d0e8fc0f82e2a314f68e20ef7350ef3b6bf311</t>
  </si>
  <si>
    <t>Update tests to use DisplayNumber instead of IconIndex
Test: atest TelephonyManagerTest
Bug: 171770692
Change-Id: I56d7ca76974a51859a77eb757ceed9f007a3d6b5
Merged-In: I56d7ca76974a51859a77eb757ceed9f007a3d6b5</t>
  </si>
  <si>
    <t>Fix strict java packages test
Support multi-dex bootclasspath jars and amend the allowlist to
acommodate for the duplicates that slipped through.
As the duplicates may have already been handled by others, handle the
allowlist as a guide instead of assuming duplicates exactly match it.
Bug: 173476756
Bug: 173475613
Test: atest CtsStrictJavaPackagesTestCases
Change-Id: I66d95467e9035fa6610398a85a9b9b4dedbdbfb5
(cherry picked from commit 602944c30c6f55595e07a26568a4086aa1a603cd)</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</si>
  <si>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If1dcd4aab301f67829064567fc1dad0c97e733c7</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</si>
  <si>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I4ad025a693ead055b7562e932a20ae90a69d1e09</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</si>
  <si>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I2e9fdad223a9465efb82f4bd2fb2edbeafd90544</t>
  </si>
  <si>
    <t>Revert "[Telephony] PhoneStateListener redesign - cts test in Ph..."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I590ce5ae9a022609f23992f0997f7ada1e46392d</t>
  </si>
  <si>
    <t>Revert "[Telephony] PhoneStateListener redesign - cts test"
Revert "[Telephony] PhoneStateListener redesign"
Revert submission 12947610-PhoneStateListener_Redesign
Reason for revert: Multiple test failures: b/173726360, b/173724464, b/173722831
Reverted Changes:
Id69d2b2e7:[Telephony] PhoneStateListener redesign - remove L...
I210f371ed:[Telephony] PhoneStateListener redesign - cts test...
I97e93707f:[Telephony] PhoneStateListener redesign - cts test...
Ibdbaa7d65:[Telephony] PhoneStateListener redesign - cts test...
I5ed16d700:[Telephony] PhoneStateListener redesign - cts test...
I40cc4c234:[Telephony] PhoneStateListener redesign for new ev...
Idd69f5e48:[Telephony] PhoneStateListener redesign
I827471472:[Telephony] PhoneStateListener redesign - cts test...
Change-Id: Ifbc6329d24c3de82931583d7ce07e532645dc95b</t>
  </si>
  <si>
    <t>Make current tests per-sensor
1) This ensures correct behaviors of all sensors individually
2) This allows us to test multi-biometric stuff separately
Bug: 173453845
Test: atest CtsBiometricsTestCases
Change-Id: I6dba60bcb288faa4b05158a254287acbd354ba27</t>
  </si>
  <si>
    <t>Fix the way how test waits for user to get locked
It is not sufficient that the user is not running, since
the encryption key can still be in the memory and so it
won't ask for credentials when starting the user again.
Bug: 159154453
Bug: 171847176
Test: atest QuietModeHostsideTest#testQuietMode_noCredentialRequest
Change-Id: Ia7c1238d84757790938c1c6131ba37dc1fd4db2a</t>
  </si>
  <si>
    <t>Fix the way how test waits for user to get locked
It is not sufficient that the user is not running, since
the encryption key can still be in the memory and so it
won't ask for credentials when starting the user again.
Bug: 159154453
Bug: 171847176
Test: atest QuietModeHostsideTest#testQuietMode_noCredentialRequest
Change-Id: Ia7c1238d84757790938c1c6131ba37dc1fd4db2a
Merged-In: Ia7c1238d84757790938c1c6131ba37dc1fd4db2a</t>
  </si>
  <si>
    <t>Add test for getThumbnailBitmap
Cases tested:
1) Doesn't have thumbnail
2) Has thumbnail but needs to be retrieved from file
3) Thumbnail is compressed
4) Thumbnail is uncompressed
Bug: 172547490
Test: atest CtsMediaTestCases:android.media.cts.ExifInterfaceTest
Change-Id: I1ec974b052daf67c181303b024247c7479123bc7</t>
  </si>
  <si>
    <t>Move CtsSdkExtensions into SdkExtension repository
These tests should live with the module they are testing.
Bug: 174123164
Test: presubmit (verify CtsSdkExtensions is running)
Merged-In: I93a7982ee1aa8c8a850d2b565a2f944c0afa4172
Change-Id: I93a7982ee1aa8c8a850d2b565a2f944c0afa4172</t>
  </si>
  <si>
    <t>Move CtsSdkExtensions into SdkExtension repository
These tests should live with the module they are testing.
Bug: 174123164
Test: presubmit (verify CtsSdkExtensions is running)
Change-Id: I93a7982ee1aa8c8a850d2b565a2f944c0afa4172
(cherry picked from commit 58ab0d7a7b08a3f67e864b17502bef9a6a012d4d)</t>
  </si>
  <si>
    <t>Test for NPE in PackageProperty class
Reported by zezeozue@; if no package defines an application
&lt;property&gt; tag, getProperty() was throwing an NPE within the
package manager service.
NOTE: There's now a CTS test to ensure this works. However, it's
not sufficient. As soon as there's a single system application
that defines an application &lt;property&gt; tag, the test will
no longer catch the condition. We need to re-write the CTS
test as a Package Manager Service unit test and verity the
behaviour outside of the running service.
Bug: 169258655
Test: atest CtsContentTestCases:PackageManagerGetPropertyTest#testPackageRemoval
Change-Id: Ic29aa916727d489c2e687a011d36a1747cec687e</t>
  </si>
  <si>
    <t>Fixes CTS to apply the new trust voice recognizer rule.
We changed the check rule to allow preload voice recognition service
can blame app. Change the test to apply this new rule.
Fix: 174244195
Bug: 170795434
Bug: 174281869
Test: atest CtsVoiceRecognitionTestCases
Change-Id: Ia673900238d46432abf7714604077c8aa96af82a</t>
  </si>
  <si>
    <t>[Telephony] PhoneStateListener redesign - cts test in PhoneStateListenerTest
 - Add CTS test of
 01. onServiceStateChanged
 02. onSignalStrengthsChanged
 03. onMessageWaitingIndicatorChanged
 04. onPreciseCallStateChanged
 05. onCallDisconnectCauseChanged
 06. onImsCallDisconnectCauseChanged
 07. onSrvccStateChanged
 08. onRadioPowerStateChanged
 09. onVoiceActivationStateChanged
 10. onPreciseDataConnectionStateChanged
 11. onDisplayInfoChanged
 12. onCallForwardingIndicatorChanged
 13. onCallStateChanged
 14. onDataConnectionStateChanged
 15. onDataActivity
 16. onCellInfoChanged
 17. onUserMobileDataStateChanged
 18. onCellLocationChanged
 19. onOutgoingEmergencySms
 20. onActiveDataSubscriptionIdChanged
 21. onBarringInfoChanged
 22. onRegistrationFailed
 23. onPhysicalChannelConfigChanged
  - Add CTS test of register/unregisterPhoneStateListener
Bug: 167684594
Test: atest TelephonyManagerTest#testRegisterPhoneStateListener
atest -c PhoneStateListenerTest
Change-Id: I55c3b9881093384154665841fec0bd429abc445e</t>
  </si>
  <si>
    <t>Test that password quality does not apply to parent
Test that the admin cannot apply password quality requirements to the
parent profile:
* That setPasswordQuality cannot be called on the parent profile DPM
  instance.
* That if setPasswordQuality is called on the regular DPM instance,
  the quality is ignored for the primary profile.
Convert tests relying on password quality to using password complexity
for testing cross-profile effect of password restrictions.
Bug: 165573442
Test: atest com.android.cts.devicepolicy.MixedManagedProfileOwnerTest#testResetPasswordWithToken com.android.cts.devicepolicy.MixedManagedProfileOwnerTest#testGetPasswordExpiration FrameworksServicesTests:DevicePolicyManagerTest com.android.cts.devicepolicy.ManagedProfileTest
Change-Id: I86638ae86d90787ecd5fd8814c77a7f10c132d06</t>
  </si>
  <si>
    <t>Remove dead isolated storage code from StorageManagerService
Isolated storage was added in Q (and enabled by default) and has been
replaced by FUSE in R
Additionally, we can remove the ExternalStorageMountPolicy concept
which is only required if isolated storage is false
Cleanup in preparation to introduce DeviceConfig changes for
transcoding
Bug: 169327180
Test: Builds
Change-Id: Id99011414e335dce211d81f11090168f68ed2912</t>
  </si>
  <si>
    <t>Move/rename OnReceiveContentListener.Payload to android.view.ContentInfo
Bug: 174125311
Test: atest CtsViewTestCases:ViewOnReceiveContentTest
Test: atest CtsWidgetTestCases:TextViewOnReceiveContentTest
Change-Id: I23fb2c574423965c9639454f6d1be7e13c4e5546</t>
  </si>
  <si>
    <t>Move permission-less tests to device side
The only tests remaining on host side are tests that need the tradefed
contentprovider, need a runtime permission or --no-isolated-storage
instrumentation flag.
BUG: 159593019
Test: atest ScopedStorageDeviceOnlyTest
Change-Id: I611c4753aa8e272ed81614126a524d55d613b4d6</t>
  </si>
  <si>
    <t>Revert unnecessary permission granting added to CustomizationTest
This permission is actually obscuring a bug since the failure was
correctly identifying a problem in WPMS.
Original CL adding the permission was
I79c0084465ab0052e11cab8ee7c521335a159d23.
The permission change that caused the test to start failing without the
permission was I103c45ea61814e476eea197d357ef0ce75edefdc
Fixes: 144048540
Fixes: 172682826
Bug: 153995973
Test: atest com.android.cts.devicepolicy.MixedManagedProfileOwnerTest#testSetWallpaper_disallowed
Change-Id: I280062f56521dcd5eda5ab62cfca9c9104c9a854</t>
  </si>
  <si>
    <t>Convert TvInputServiceTest to junit 4
Change-Id: Iba732ecf5fdc00879dfdebb33d562db719cb8105
Test: atest TvInputServiceTest</t>
  </si>
  <si>
    <t>Cleanup TvInputServiceTest
Remove static bundle.
Rename Test_TV_TRACK
Test: atest TvInputServiceTest
Change-Id: Ibd3dffe5a57cb4496d3c8079bdcd2661e1984c20
Bug: 174076887</t>
  </si>
  <si>
    <t>Revert "Revert "Revert "Updates tests for untrusted app MAC addr..."
Revert submission 1498525-revert-1499099-revert-1450615-mac-address-restrictions-MNRMVNXRJM-OSETMCLBXY
Reason for revert: b/173384499#comment21
Reverted Changes:
I320d3bcf8:Revert^2 "Enforce RTM_GETLINK restrictions on all ...
I51c83733c:Revert^2 "Return anonymized MAC for apps targeting...
I0e8280c74:Revert "Revert "Updates tests for untrusted app MA...
Ia9f61819f:Revert^2 "Soft-enables new MAC address restriction...
Change-Id: Ifae13017845ebc864143a698adda0b496769bfb4</t>
  </si>
  <si>
    <t>Use Truth for bundles in TvInputServiceTest
Bug: 174076887
Test: atest android.media.tv.cts.TvInputServiceTest
Change-Id: I60fca3903705f85d9dcf8afcf00ccfea04375372</t>
  </si>
  <si>
    <t>Partially fixed CtsScopedStorageHostTest to support secondary users.
This CL only fix the hostside part so it pass the current user to pm
commands. The tests are still failing for secondary users (and on
automotive) because the device-side classes must be refactored to use
a ContentProvider to access the secondary user data.
Plus some minor improvements:
 - Moved common code to supeclass.
 - Used Truth instead of JUnit assertions.
 - Added checkstyle hook.
 - Removed redundant attributes initialization.
Test: atest CtsScopedStorageHostTest # on phones
Bug: 169101565
Bug: 163891184
Change-Id: I296342671b8b701c6e1059303f48d86e3029486c
Merged-In: I296342671b8b701c6e1059303f48d86e3029486c
(cherry picked from commit a8343bab5fc0a62d6577eb8ea9ac6fd914c116e6)</t>
  </si>
  <si>
    <t>Revoke/Grant permission for current user
ScopedStorageHostTest &amp; ScopedStorageCoreHostTest revokes/grants storage
permissions for device test. Previously, in the revokePermission() &amp;
grantPermission() method we always revoked or granted permission for
USER_SYSTEM. But while running as secondary_user we should revoke/grant
permission for secondary_user.
Changed revokePermission() and grantPermission() to revoke and grant
permission for current user.
Also changed testAccess_Directory to use TradefedContentProvider to
create/delete directory instead of shell command.
Test: atest ScopedStorageHostTest on secondary user
Test: atest ScopedStorageCoreHostTest on secondary user
Bug: 172977876
Change-Id: I3469c75c5f0a17e511424457d0ac699bb519de56
Merged-In: I3469c75c5f0a17e511424457d0ac699bb519de56
(cherry picked from commit 5e5fc947a5dca78dd7f8e93cbca684f2b7c03d78)</t>
  </si>
  <si>
    <t>Refactor the tune method to return the session.
Bug: 174076887
Test: atest android.media.tv.cts.TvInputServiceTest
Change-Id: I6ea2ab0548e732392a1106548dd169340d19d1da</t>
  </si>
  <si>
    <t>Add StorageEscalation tests
Bug: 171430330
Test: Atest StorageEscalationTest
Merged-In: If1d0f3ed837b2ae1b97eba6837cf3902b3e1fffa
Change-Id: If1d0f3ed837b2ae1b97eba6837cf3902b3e1fffa</t>
  </si>
  <si>
    <t>Move permission-less tests to device side
The only tests remaining on host side are tests that need the tradefed
contentprovider, need a runtime permission or --no-isolated-storage
instrumentation flag.
BUG: 159593019
Test: atest ScopedStorageDeviceOnlyTest
Change-Id: I611c4753aa8e272ed81614126a524d55d613b4d6
Merged-In: I611c4753aa8e272ed81614126a524d55d613b4d6
(cherry picked from commit 0138863190bbcf9572442132b155155dce02a367)</t>
  </si>
  <si>
    <t>Test setFrameRate with seamless switches
Bug: 161776961
Test: atest SetFrameRateTest
Change-Id: I75cda1d886cc2e75eced50046a5648be3cf96a9b</t>
  </si>
  <si>
    <t>Add expectation for voice command key tests.
PhoneWindwoManager doesn't send volume keys to apps window on TV platform.
Add expectation for key tests not to be TV platform.
Bug: 173083878
Test: atest UsbVoiceCommandTest
Change-Id: I9fb211762f913cbba6ec207f20434a12d30ea962</t>
  </si>
  <si>
    <t>Add cts for CarrierMessagingServiceWrapper.
Bug: 172087216
Test: build, manual &amp; cts
Change-Id: I5245f52ba1216738a02842faeca837ad40997ef5</t>
  </si>
  <si>
    <t>Revert "Cherrypick from: https://android-review.googlesource.com..."
Revert "Rebase to master@ 6976336"
Revert "Rebase to master@ 6976336 and copy the change in ag/12999372"
Revert "Cherrypick from: https://android-review.googlesource.com..."
Revert "Rebase to master@ 6976336"
Revert "Cherrypicked from https://android-review.git.corp.google..."
Revert "Cherrypicked from https://android-review.googlesource.co..."
Revert "Rebase to master@ 6976336"
Revert "Rebase to master@ 6976336"
Revert "Cherrypicked from https://android-review.googlesource.co..."
Revert "Rebase to master@ 6976336"
Revert submission 13068802-rebase_tf_173451928
Reason for revert: It leads to test flakiness and the coverage tests are not executed at all: https://b.corp.google.com/issues/173451928#comment47
Reverted Changes:
I249714c9e:Cherrypick from aosp/1478357.
I572e5c2ad:Cherrypick from https://android-review.googlesourc...
I56119259a:Cherrypicked from https://android-review.git.corp....
Id204d5385:Update build api library.
I9693182b7:Cherrypicked from https://android-review.googlesou...
I270764875:Cherrypicked from https://android-review.googlesou...
Iccd4e0e52:Cherrypick from: https://googleplex-android-review...
I69ef44a39:Cherrypick from: https://android-review.googlesour...
Ia9303dd1f:Cherrypick from: https://android-review.googlesour...
I569229605:Rebase to master@ 6976336
I58902ca81:Rebase to master@ 6976336 and copy the change in a...
I32e150372:Rebase to master@ 6976336
I3460d928c:Rebase to master@ 6976336
I63e2bedb6:Rebase to master@ 6976336
I82c2f9159:Rebase to master@ 6976336
Change-Id: Ic276b04dc617e144c14df24c221e2685ace355a0
Merged-In: I69ef44a3927f1fdc3763b933328592dfa73d8bf4</t>
  </si>
  <si>
    <t>CTS test for EditorInfo#getInitialSurroundingText API
Add EditorInfo#getInitialSurroundingText() to support retrieving
surrounding text arround cursor with one API, similar to
InputConnection#getSurroundingText().
Migreate EditorInfo#InitialSurroundingText class to use SurroundingText.
Create a copy of the surrounding text when creating EditorInfo instance.
Bug: 167947745
Bug: 122691437
Test: atest FrameworksCoreTests:EditorInfoTest
Test: atest CtsInputMethodTestCases:EditorInfoTest
Change-Id: Ia03b863514d05bd404ee83d5a2e6c0c3783ff6aa</t>
  </si>
  <si>
    <t>WebView: clean up WebViewSslTest
This is a follow-up CL to remove @FlakyTest and swap out usage of
assertFailedHandshakeOrConnectionError() with loadUrlUntilError().
Fixes: 172332767
Test: atest --rerun-until-failure=100 CtsWebkitTestCases:WebViewSslTest
Change-Id: I9b231dec8b116a161322ee5642a209c8a3ae5d1d</t>
  </si>
  <si>
    <t>WebView: reset call counts between page loads
This adds the resetCallCounts() method to WebViewClient subclasses in
WebViewSslTest and invokes this between page loads. This avoids leaking
state between loads and lets us more clearly assert where we expect
callbacks to occur.
Fixes: 173826784
Test: atest --rerun-until-failure=40 CtsWebkitTestCases:WebViewSslTest
Change-Id: I192fa381681afd70be2a936dd1b03be577c1e167</t>
  </si>
  <si>
    <t>Move instant app test back to host/device combination
Fixes: 174579224
Test: atest ScopedStorageInstantAppHostTest --instant
Change-Id: I1d3f5054afb2f8e3939b6ff936215060dfa77f33</t>
  </si>
  <si>
    <t>Track API changes
Bug: 169331021
Test: this
Change-Id: I1d8b9311e8db3cfed331b8c546cee6e00e24d754</t>
  </si>
  <si>
    <t>Add BG-FGS-launch restriction test cases for temp AllowList types and retail demo mode.
1. Add test case testTempAllowListType to test temp allowlist.
2. Add test case testFgsStartRetailDemoMode.
3. Rename the test testFgsStartTempAllowList to testFgsStartAllowList,
it test DeviceIdleController allowlist.
Bug: 171305836
Test: atest cts/tests/app/src/android/app/cts/ActivityManagerFgsBgStartTest.java#testTempAllowListType
Test: atest cts/tests/app/src/android/app/cts/ActivityManagerFgsBgStartTest.java#testFgsStartRetailDemoMode
Test: atest cts/tests/app/src/android/app/cts/ActivityManagerFgsBgStartTest.java#testFgsStartAllowList
Change-Id: I56457428caa47ea2faa32cdafed737ebd4897d16</t>
  </si>
  <si>
    <t>Move instant app test back to host/device combination
Fixes: 174579224
Test: atest ScopedStorageInstantAppHostTest --instant
Change-Id: I1d3f5054afb2f8e3939b6ff936215060dfa77f33
(cherry picked from commit 4629a0d02216300cccf54bbd117714b8816aeab7)</t>
  </si>
  <si>
    <t>Updates CTS tests for MAC address restrictions.
Apps targeting API level &lt; 30 are no longer able to access the MAC
address of the network interface. Instead, they will always see
02:00:00:00:00:00 as the interface's MAC address. Non-system apps
targeting API level &gt;= 30 will continue to see null as the interface's
MAC address.
Additionally, no untrusted app, regardless of API level, is allowed to
bind on NETLINK_ROUTE sockets.
This is the third attempt at landing these changes, after:
- Fixing InterfaceParamsTest (r.android.com/1498525)
- Creating an allowlist to exempt apps temporarily
(r.android.com/1516639)
- Deferring hard SELinux restrictions (hence apps still being able to
directly send RTM_GETLINK messages).
Bug: 70188668
Test: atest CtsSelinuxTargetSdk27TestCases
Test: atest CtsSelinuxTargetSdk28TestCases
Test: atest CtsSelinuxTargetSdk29TestCases
Test: atest CtsSelinuxTargetSdkCurrentTestCases
Change-Id: Idb9d940e4cc865932466ea154053ed21a397d131</t>
  </si>
  <si>
    <t>transcoding: Add more test cases for CTS test.
Bug: 168990206
Test: atest -t CtsMediaTranscodingTestCases:MediaTranscodeManagerTest
Change-Id: Ia269a325206d1fdec08632824f3a98fa4904ad0e</t>
  </si>
  <si>
    <t>Implement CTS test for blocking custom toasts from the background.
Test: atest android.widget.cts.ToastTest
Bug: 170571276
Change-Id: I117f355bf796b80e7d085efd24f39ec877b944e5</t>
  </si>
  <si>
    <t>Split GfxInfo from BatteryStatsDumpsysTest
GfxInfo test is not related to BatteryStatsDumpsysTest
and should get its own file.
Test: atest BatteryStatsDumpsysTest
Test: atest GfxInfoDumpsysTest
Bug: 172619985
Change-Id: I69275bab623013a4c5b77e80f2be60fec44aa881</t>
  </si>
  <si>
    <t>FGS start by default checks temp allow list now.
DeviceConfig mFlagFgsStartTempAllowListEnabled is removed.
Bug: 171305836
Test: atest cts/tests/app/src/android/app/cts/ActivityManagerFgsBgStartTest.java
Change-Id: I362efdee62121927e6a8f604e8a1ad8e762be684</t>
  </si>
  <si>
    <t>Migrate cts/hostsidetests/statsd to packages/modules/StatsD
Bug: 167962588
Test: m -j60 dist (crosshatch-userdebug)
Test: TH
Change-Id: If9619cb6ab2ae9c83cbfd0fcc1a6a19b9967c136</t>
  </si>
  <si>
    <t>Revert "Reland "Implement PacProcessor tests."""
This reverts commit 1d23325c7c40ba1953c0e9a144760cc71bc5466c.
Reason for revert: b/175301082
Change-Id: Ia6df31f258c6710d8d379837eeb97a5c635e5182</t>
  </si>
  <si>
    <t>Camera: remove session.close API usage
Session.close should be discouraged and favor create a new session
or close camera device directly.
Test: PeformanceTest on Pixel devices
Bug: 175104220
Change-Id: If956f2bb9d039f2d1d81eaacba0ae86860b316a3</t>
  </si>
  <si>
    <t>Merge history of cts/hostsidetests/statsd
BUG: 167962588
Test: TH
Merged-In: I172e85e2246089839d2f29cb589999d636c01136
Change-Id: I339548456ae51a61fca9b4ff353e429514628f3f
Exempt-From-Owner-Approval:Cleanup CL</t>
  </si>
  <si>
    <t>Remove BIND_SLICE permission and execute sts test
This permission is no longer present in platform.
Replace Test with SecurityTest Annotation in SliceProviderTest
Test: Manual
Bug: 174447213
Change-Id: Ieb9238890c545fa5c26991c060be23637f94d70f</t>
  </si>
  <si>
    <t>remove duplicate test
SliceProviderTest.kt already contains all test cases in
SliceProviderTest.java, so removing the later to avoid code duplication.
Bug: 174447213
Test: manual
Change-Id: I860b0a237e33d37d1f78cd8c7dc51b3370515011</t>
  </si>
  <si>
    <t>Password Quality: Change to SecurityException
Change CTS tests to expect a SecurityException when setPasswordQuality
is called on the Parent Profile DevicePolicyManager instance.
Also address comments from previous code review.
Bug: 165573442
Test: atest com.android.cts.devicepolicy.ManagedProfileTest#testDevicePolicyManagerParentSupport
Change-Id: I808ae9e09ea03cd4f039471b9ac320090c752115</t>
  </si>
  <si>
    <t>Fix CTS test for new key grant getters.
These tests were poorly placed - the package was a PO, so these calls
didn't cause SecurityException.
Fixes: 174605891
Fixes: 175311185
Fixes: 175311384
Test: test CtsDevicePolicyTestCases
Change-Id: I129f5dc49b2460434c74b7f46ce21c3de2db3752</t>
  </si>
  <si>
    <t>Remove DeviceAdminWorkProfileTest
This is apparently causing instrumentation failures in other modules.
This is not currently needed, so can be removed for now. The cause of
the failing instrumentation needs to be more fully investigated.
Test: Removed test...
Fixes: 175351209
Change-Id: I4d83b0f7e14c906cf7d913438e5e2f524fe5081d</t>
  </si>
  <si>
    <t>Merge history of cts/hostsidetests/statsd
BUG: 167962588
Test: TH
Merged-In: I18cb97920d88c7af3701f5f85a78d26b87996685
Change-Id: I0a20d8311761aee024585b8196829ed3c613d315
Exempt-From-Owner-Approval: Code cleanup</t>
  </si>
  <si>
    <t>Merge history of cts/hostsidetests/statsd
BUG: 167962588
Test: TH
Merged-In: If9619cb6ab2ae9c83cbfd0fcc1a6a19b9967c136
Change-Id: I587aefd8ab26a052b428e0aceeb4195776f2535e
Exempt-From-Owner-Approval: Code cleanup</t>
  </si>
  <si>
    <t>Merge history of cts/hostsidetests/statsd
BUG: 167962588
Test: TH
Merged-In: I587aefd8ab26a052b428e0aceeb4195776f2535e
Change-Id: Id94c466e3fd46c0bcca8e47aa73a204695946c4a
Exempt-From-Owner-Approval: cleanup CL</t>
  </si>
  <si>
    <t>Add CTS for Intent.ACTION_CLOSE_SYSTEM_DIALOGS
Since feature is still disabled, we enable the feature on the tests to
verify behavior. Here we're testing the behavior for regular apps
pre/post SDK level S, for shell (which has the permission) and for
tests instrumented by the shell.
I also created a shared build module between the test and the app to
share the service interface used to communicate between the two. This
module can be reused for future similar situations.
Bug: 159105552
Test: atest CtsAppTestCases:android.app.cts.CloseSystemDialogsTest
Change-Id: I811ea9351ec417d3891c6fc4a4dcbec8724c8043</t>
  </si>
  <si>
    <t>Add test for MediaExtractor entry point collection
Note: This patch also disables a broken
MediaSessionManagerHostTest.
The test is a hostside test, and checks against statsd output.
- Makes an on-device app extract a sample media file using
  Java (SDK MediaExtractor), C++ (NDK, on the JNI thread) and
  C++ (NDK, on a std::thread).
- Then checks that the generated statsd atom reports the correct
  entry point.
Bug: 171012388
Bug: 170386720
Test: atest CtsMediaHostTestCases
BYPASS_INCLUSIVE_LANGUAGE_REASON=Pre-existing language issues.
Change-Id: I92f95c208874b367bd1effcd1381b4d1a08a1457</t>
  </si>
  <si>
    <t>Revert "Updates CTS tests for MAC address restrictions."
Revert submission 1518603-soft-restrict-mac
Reason for revert: Missing type check
Reverted Changes:
I0488932de:Soft-enable MAC address restrictions with allowlis...
Idb9d940e4:Updates CTS tests for MAC address restrictions.
I9461f287e:Return anonymized MAC for apps targeting SDK &lt; 30
Change-Id: If55cd2a857f5d73ea2e0c0d566ee6e2360b8dba8</t>
  </si>
  <si>
    <t>Revert "Updates CTS tests for MAC address restrictions."
Revert submission 1518603-soft-restrict-mac
Reason for revert: Missing type check
Reverted Changes:
I0488932de:Soft-enable MAC address restrictions with allowlis...
Idb9d940e4:Updates CTS tests for MAC address restrictions.
I9461f287e:Return anonymized MAC for apps targeting SDK &lt; 30
Change-Id: If55cd2a857f5d73ea2e0c0d566ee6e2360b8dba8
(cherry picked from commit 75e5ec51077cb16adbc3d99eebfb3148e5ea5a89)</t>
  </si>
  <si>
    <t>Updates CTS tests for MAC address restrictions.
Apps targeting API level &lt; 30 are no longer able to access the MAC
address of the network interface. Instead, they will always see
02:00:00:00:00:00 as the interface's MAC address. Non-system apps
targeting API level &gt;= 30 will continue to see null as the interface's
MAC address.
Additionally, no untrusted app, regardless of API level, is allowed to
bind on NETLINK_ROUTE sockets.
This is the fourth attempt at landing these changes, after:
- Fixing InterfaceParamsTest (r.android.com/1498525)
- Creating an allowlist to exempt apps temporarily
(r.android.com/1528409)
- Deferring hard SELinux restrictions (hence apps still being able to
directly send RTM_GETLINK messages).
Bug: 170188668
Test: atest CtsSelinuxTargetSdk27TestCases
Test: atest CtsSelinuxTargetSdk28TestCases
Test: atest CtsSelinuxTargetSdk29TestCases
Test: atest CtsSelinuxTargetSdkCurrentTestCases
Change-Id: Id13670747b77831b19622a35185f4cd348436f30</t>
  </si>
  <si>
    <t>transcoding: Fix a bug in CTS test.
Also change some test name to prepare adding 4K transcoding test.
Bug: 168990206
Test: atest -t CtsMediaTranscodingTestCases:MediaTranscodeManagerTest
Change-Id: I891d74b73dca7a5b9266ab8b733a1d1a656f62fc</t>
  </si>
  <si>
    <t>transcoding: Disable testHevcTranscoding1080PVideo1FrameWithAudio
Transcoding video with one frame and audio is failing.
Disable the test until the bug is fixed.
Test: none as disable test.
Bug: 175641397
Change-Id: I7e6db7df7fa5b3e9c7b6465a36c21083b980b326</t>
  </si>
  <si>
    <t>Remove MediaOutputPanel test for SettingsPanels
Bug: 155822415
Test: atest SettingsPanelTest
Merged-In: Ica518af86fe22b95a326f33404ef69d6bfc7f0ff
Change-Id: Ica518af86fe22b95a326f33404ef69d6bfc7f0ff
(cherry picked from commit 45ea237dd937067be1233d14c2527bd893a4cfea)</t>
  </si>
  <si>
    <t>RCS Provisioning APIs for Single Registration
Bug: 154864150
Test: atest FrameworksTelephonyTests:com.telephony.ims.RcsConfigTest
Test: atest TeleServiceTests:com.android.phone.RcsProvisioningMonitorTest
Test: atest CtsTelephonyTestCases:android.telephony.ims.cts.ImsServiceTest
Change-Id: I92d498950f066a8070d43e571e9f5c7c155c3f21</t>
  </si>
  <si>
    <t>HDMICEC: Move 10.2.3-1 logical address to common
Bug: 173183889
Test: atest HdmiCecLogicalAddressTest#cect_RebootLogicalAddress
Change-Id: I4ddaff2b5807cb897eeea7931d2782be1cc00311</t>
  </si>
  <si>
    <t>HDMICEC: Move vendor commands tests to common
Bug: 173183889
Test: atest HdmiCecVendorCommandsTest
Change-Id: I4eab7148e7799d450f67d8170ba9dd79849e6566</t>
  </si>
  <si>
    <t>HDMICEC: Move physical address test to common
This will be a common test applicable to all CEC devices.
Bug: 173183889
Test: atest cect_10_1_2_1_RebootPhysicalAddress
Change-Id: Ief23ea6c10b2ebf2f0143c5d2dcf822589d888d3</t>
  </si>
  <si>
    <t>Add test for MediaExtractor entry point collection
Note: This patch also disables a broken
MediaSessionManagerHostTest.
The test is a hostside test, and checks against statsd output.
- Makes an on-device app extract a sample media file using
  Java (SDK MediaExtractor), C++ (NDK, on the JNI thread) and
  C++ (NDK, on a std::thread).
- Then checks that the generated statsd atom reports the correct
  entry point.
Bug: 171012388
Bug: 170386720
Test: atest CtsMediaHostTestCases
BYPASS_INCLUSIVE_LANGUAGE_REASON=Pre-existing language issues.
Change-Id: I92f95c208874b367bd1effcd1381b4d1a08a1457
Merged-In: I92f95c208874b367bd1effcd1381b4d1a08a1457</t>
  </si>
  <si>
    <t>Rename "Foreground Job" &amp; "HPJ" to "Expedited job".
Bug: 171305774
Test: atest CtsJobSchedulerTestCases
Test: atest FrameworksMockingServicesTests:JobSchedulerServiceTest
Test: atest FrameworksMockingServicesTests:QuotaControllerTest
Change-Id: Ie329cc6bcd22ee7749f26b601d55e47aae6b5cfb</t>
  </si>
  <si>
    <t>transcoding: Disable the PSNR calculation in CTS test.
PSNR calculation generated wrong value now due to yuv dump from decoder
is wrong and this is only happen for video with audio.
Disable it for now until it is fixed.
This CL also include:
1. Add some test ultity for dumping the transocde video and
decoder yuv to external storage to help debugging.
2. Change the test contents to be all 1080P landscape instead of mixing
with portrait content to get rid of the rotation variation.
Bug: 175644377
Test: atest  CtsMediaTranscodingTestCases:MediaTranscodeManagerTest
Change-Id: I3b8f736912f3d7ed7b7f1bbeed971011b03351dd</t>
  </si>
  <si>
    <t>Port AppSearch CTS tests to the CTS tree.
Tests are moved from coretests and ported to the AppSearch test
utils/shims.
These tests are ported semi-manually for now, but work is ongoing to
improve the export script so the required changes are made
automatically.
GlobalSearchSessionCtsTest is not yet supported.
Bug: 170997047
Bug: 162450968
Bug: 175661706
Test: CtsAppSearchTestCases
Change-Id: I5ed00b7aea6f75479ff1c8198ac3a851db4227a1</t>
  </si>
  <si>
    <t>HDMICEC: Move System Standby tests to common
Bug: 173183889
Test: atest HdmiCecSystemStandbyTest
Change-Id: Ic2e4de294895232dd868f82da3490582458b5734</t>
  </si>
  <si>
    <t>Faster tests: move tests, install once, stop waiting
* Move more tests from host side (ScopedStorageTest) to device only. To
do this, got rid of the tradefed contentprovider,
which was used only to do file operations in favor of a legacy helper
app.
* Got rid of 2 second waiting after granting permissions.
* Made test apps installed at test set up time for the host tests under
CtsScopedStorageHostTest. This is done via target preparer. Moved test
app installations for CtsScopedStorageDeviceOnlyTest also to target
preparer. Since this grants all runtime permissions, renamed the test
app package names to be more explicit in the permissions they hold.
This makes main host + core host + device tests together twice as fast
as before.
BUG: 159593019
Test: atest CtsScopedStorageDeviceOnlyTest
Test: atest CtsScopedStorageHostTest
Test: atest CtsScopedStorageCoreHostTest
Change-Id: I80c99ce0fe6053d59184990918406588feab4b2f</t>
  </si>
  <si>
    <t>Modify the test cases
Resets the focus indicator to the default value when the test case
is finished because the changed focus indicator would not be reset
when the service is disable.
Bug: 175732114
Test: atest AccessibilityFocusAndInputFocusSyncTest
Change-Id: I91cf0d42d2493e845802cdf0ba81f46ac2d8a5e7</t>
  </si>
  <si>
    <t>Faster tests: move tests, install once, stop waiting
* Move more tests from host side (ScopedStorageTest) to device only. To
do this, got rid of the tradefed contentprovider,
which was used only to do file operations in favor of a legacy helper
app.
* Got rid of 2 second waiting after granting permissions.
* Made test apps installed at test set up time for the host tests under
CtsScopedStorageHostTest. This is done via target preparer. Moved test
app installations for CtsScopedStorageDeviceOnlyTest also to target
preparer. Since this grants all runtime permissions, renamed the test
app package names to be more explicit in the permissions they hold.
This makes main host + core host + device tests together twice as fast
as before.
BUG: 159593019
Test: atest CtsScopedStorageDeviceOnlyTest
Test: atest CtsScopedStorageHostTest
Test: atest CtsScopedStorageCoreHostTest
Change-Id: I80c99ce0fe6053d59184990918406588feab4b2f
Merged-In: I80c99ce0fe6053d59184990918406588feab4b2f
(cherry picked from commit 6ef52f01f25ae198973721b31b1513b525f4e356)</t>
  </si>
  <si>
    <t>RCS Provisioning APIs for Single Registration
Bug: 154864150
Test: atest FrameworksTelephonyTests:com.telephony.ims.RcsConfigTest
Test: atest TeleServiceTests:com.android.phone.RcsProvisioningMonitorTest
Test: atest CtsTelephonyTestCases:android.telephony.ims.cts.ImsServiceTest
Merged-In: I92d498950f066a8070d43e571e9f5c7c155c3f21
Change-Id: I92d498950f066a8070d43e571e9f5c7c155c3f21</t>
  </si>
  <si>
    <t>Refactor WindowUntrustedTouchTest to reuse code
Turns out module cts-wm-overlay-base is a dependency of the tests. I
wanted to do this in this CL but I ended up doing in ag/13164095 and
didn't realize (since that was a prior step to this one). Anyway, this
means we can reuse everything from cts-wm-overlay-base instead of
creating our own SAWs, activities, etc inside the test.
Also, created a new AIDL interface for the bound service that provides
interaction between test and test app. This removes duplicate code,
removes boilerplate code to pack/unpack messages, has a nice type-safe
API to use and benefit from the synchronicity as well. Also was able to
reuse service methods inside the test for the test app itself.
Created a new shared module between the test and the base test app to
contain the AIDL which can be reused for other shared stuff between test
and test app.
This was done not only because I think it's a good clean up but in
preparation to add a test for b/173317413 in which I'd have to recreate
an activity inside the test.
Bug: 173317413
Bug: 158002302
Test: atest android.server.wm.WindowUntrustedTouchTest
Change-Id: Ibdd972a4e683feb1b4a50caed672f36eda47d1e2</t>
  </si>
  <si>
    <t>[RESTRICT AUTOMERGE] Remove unnecessary tests
BUG: 156260178
BUG: 175532471
BUG: 175667905
Test: atest CtsAppTestCases
Test: atest CtsProviderTestCases
Change-Id: I61fbf914028879d750650850253e615354ad34ac</t>
  </si>
  <si>
    <t>HDMICEC: Move Audio Manager helper methods to a common file.
Bug: 173183889
Test: atest HdmiCecSystemAudioModeTest
Change-Id: I54bf5e0e291735967388f88a12c13de22cb5bddd</t>
  </si>
  <si>
    <t>HDMICEC: Move System Audio Control tests to common
Bug: 173183889
Test: atest HdmiCecSystemAudioControlTest
Change-Id: I81086e2aee7436a3072b6e022c11b11290961b24</t>
  </si>
  <si>
    <t>Revert "Added audio playback configuration CTS test"
Revert submission 13138779-device_id_push_work
Reason for revert: Breaking device tests, see b/176043355
Reverted Changes:
I859d33a4a:Added update device info playback configuration
Icbd1d430b:Added audio playback configuration CTS test
I4a8409d95:Added device info playback config for Open SL ES
I365bafc95:Added update device info playback configuration
I802269fea:Added device info playback config for native playe...
Change-Id: Iee7275801802e2ee8d2331d5e083e55598644f40</t>
  </si>
  <si>
    <t>HDMICEC: Invalid messages test refactor
Move common invalid message tests from audio package to common package.
Bug: 173183889
Test: atest android.hdmicec.cts.common.HdmiCecInvalidMessagesTest
Change-Id: I5bb1695f88d8186279aac12a8a6351807a359746</t>
  </si>
  <si>
    <t>Refactor HideApplicationOverlaysTest
Put the test activitiy into a seperate proccess. This is done to
prevent the reuse of existing Session object in the com.server.wm.cts
process. Session objects cache the permission state at creation time,
this is fine for "real" usage, but since this test is adopting the shell
permissions it changes the permission state without restarting the
process. This isn't possilbe during normal use. To work around this, we
ensure that the test activity is always run with a fresh pid, to
guarantee that Session is created with the permissions the test wants.
For example if another test was run first that didn't have
INTERNAL_SYSTEM_WINDOW then the Session would "remember" this, and
testInternalSystemApplicationOverlaysNotHidden would fail because the
permission state of Session isn't refreshed when the shell permission is
adopted.
Note: Adopting shell permission works per uid, which is why we keep
our helper activity in the main test uid, but in a separate process.
Bug: 175816428
Test: atest CtsWindowManagerDeviceTestCases:HideApplicationOverlaysTest
Change-Id: Ib6fb81ae5745361d87b3624aa40c3999efff5e80</t>
  </si>
  <si>
    <t>Add tests for pre-install overrides
Test: atest CtsAppCompatHostTestCases
Bug: 158696818
Change-Id: I60e8f0c9b5eac251ac345eeda46b5ac39e7f6d9c</t>
  </si>
  <si>
    <t>Modify CTS tests to work with extended PermissionState puller
Test: atest PermissionState
Bug: 154373877
Change-Id: Iad915b78b5531979db652662b6f278d09bf72cb9</t>
  </si>
  <si>
    <t>CtsNdkBinderTestCases: test Java oneway exception
We were losing coverage here.
Bug: 160191455
Test: atest CtsNdkBinderTestCases
Change-Id: Ia67d0563a29f8f6f8563968f23774435a1266180</t>
  </si>
  <si>
    <t>Changed ApnThrottleStatus to ThrottleStatus
* Changed verbiage to be more generic at request of the API council
Bug: 175092152
Test: make &amp; flash
Change-Id: I6569265ff7749eb79c8dae30ebb17ad353f4f8fe</t>
  </si>
  <si>
    <t>Support cross-process logging.
Bug: 170458200
Test: atest EventLibTest
Change-Id: I6d792e26c628a099d5cbbb79cb51de34ca00496e</t>
  </si>
  <si>
    <t>Warm up GNSS engine before LowPower request
Bug: 176905948
Test: on device
Change-Id: I0b0c27e94f83c534db57624a23f64ac7c5df2029</t>
  </si>
  <si>
    <t>Add CTS tests
For deprecated status behavior, for antenna info changes, etc.
Bug: 153129152
Test: atest LocationManagerFineTest
Change-Id: Id9f9c6a9b053638adb93dc832ac08e69f45f288a</t>
  </si>
  <si>
    <t>Remove AUTOFILL_TYPE_RICH_CONTENT and related code
Bug: 168837034
Test: atest CtsWidgetTestCases:TextViewOnReceiveContentTest
Change-Id: I8c7811455746526d487106dfad0440da6412ca45</t>
  </si>
  <si>
    <t>[RESTRICT AUTOMERGE] Adding CTS coverage for the keyguard secondary lockscreen feature.
This will continue to pass if the necessary API patch to properly test the API is not included, by expecting the resulting SecurityException. Any other exceptions will rightfully fail.
Bug: 155120891
Bug: 155121047
Bug: 155121206
Bug: 155120732
Test: atest -c 'CtsDevicePolicyManagerTestCases:com.android.cts.devicepolicy.MixedProfileOwnerTest#testSecondaryLockscreen'
Change-Id: I36333bb3a0ea2931ae7dbcbb508596031d87d410
Merged-In: Iccbc7390c5653258b70b094bacb65e3ad68f1c33</t>
  </si>
  <si>
    <t>Fix Deregistration event race condition happening in some cases
In some cases, the deregistration event from the framework was
not being detected, causing a test to fail and move the
SipTransportController into a bad state where reevaluateDelegates
never completed, causing subsequent test failures as well.
Bug: 177006926
Test: atest CtsTelephonyTestCases:SipDelegateManagerTest
Change-Id: I2a4de9700e783facd4ba075e8c74ffb860b0307b</t>
  </si>
  <si>
    <t>Fix DynamicSystemClientTest permission denials
* Remove calls to featureFlagEnabled() as they are causing avc denials,
  plus the feature flag is already deprecated.
Bug: 176795908
Test: atest \
  cts/tests/tests/os/src/android/os/image/cts/DynamicSystemClientTest.java
Change-Id: I627397c3e166a1751e06d6e27d24ea601f32f296</t>
  </si>
  <si>
    <t>CTS: Switch SplitScreenTests to MultiWindowTests
This moves the CTS tests away from the legacy split-screen multi-window
model and only focuses them on policy testing like activity API life
cycle callbacks and visibility.
Also, removed tests that are presentation centric.
Test: atest CtsWindowManagerDeviceTestCases:MultiWindowTests
Bug: 169271943
Change-Id: I96a37c615cf7e7c1342776d389a77be2f2e8bfba</t>
  </si>
  <si>
    <t>Test added for one-sided RTT Ranging with a Non-80211mc AP (CTS)
Bug: 163335690
Bug: 163355222
Test: All original tests pass with additional one-sided RTT Test.
Change-Id: Ib05a4cab510a4c02433b56a5246a74000ca2b0d5</t>
  </si>
  <si>
    <t>Use new TestApi to enable/disable toast rate limiting.
Test: atest android.widget.cts.ToastTest
Bug: 175720818
Change-Id: Idab550255f4f293aa1ec145116b257fcaca7180b</t>
  </si>
  <si>
    <t>Move password-related test to older API level
Move the PasswordMinimumRestrictionsTest to a test
that targets API level 25.
This is a temporary change until a new test is created that
targets API level 30 (R) and at least one other test can be added
to it.
Bug: 176436445
Test: atest com.android.cts.devicepolicy.MixedManagedProfileOwnerTestApi25#testPasswordMinimumRestrictions
Change-Id: Ie9de5016229860281386372dbc917269daba4f5a</t>
  </si>
  <si>
    <t>Add CTS test cases for adb backup
As per b/171032338 we are changing how apps can enable adb backup: off by default and on only for debuggable apps. Add CTS test cases to enforce this
behavior across Android implementations.
Bug: 171032338
Test: atest CtsBackupHosTestCases:BackupEligibilityHostSideTest
Change-Id: I91f6b7b5cc27ac5e7f68722028eec33ef73a2fe9</t>
  </si>
  <si>
    <t>Remove setEffectStrength from VibrationEffect.Prebaked
VibrationEffect are now all immutable, and the strength should be set in
the constructor instead.
Test: atest android.os.cts.VibrationEffectTest
Bug: 131311651
Change-Id: Ie1b0096a2e5c8356adfb7908b9b2002212e0a5c3</t>
  </si>
  <si>
    <t>Move RCS provisioning changed callback logic to RcsProvisioningMonitor
As there may be separated services to provide MMTEl and RCS features,
RCS provioning callback should not depend on MMTEL feature.
Bug: 177018241
Test: atest TeleServiceTests:com.android.phone.RcsProvisioningMonitorTest
Test: atest CtsTelephonyTestCases:android.telephony.ims.cts.ImsServiceTest
Change-Id: I24a104243851117e85c47006aa2eef66ef249a6d</t>
  </si>
  <si>
    <t>HDMICEC: Move power status tests to common
Bug: 173183889
Bug: 174455957
Test: atest HdmiCecPowerStatusTest
Change-Id: I44754fdd6ca2fae1786819e090aada8522d4dec2</t>
  </si>
  <si>
    <t>HDMICEC: Move power status tests to common
Bug: 173183889, 174455957
Test: atest HdmiCecPowerStatusTest
Change-Id: I44754fdd6ca2fae1786819e090aada8522d4dec2
Merged-In: I44754fdd6ca2fae1786819e090aada8522d4dec2</t>
  </si>
  <si>
    <t>Add CTS test for SYSTEM_APPLICATION_OVERLAY
Bug: 159616727
Bug: 171177581
Test: atest CtsWindowManagerDeviceTestCases:HideOverlayWindowsTest
Change-Id: I189d3e6c2116d6972cfd51872c9f46dc8a16a832</t>
  </si>
  <si>
    <t>Wifi CTS: move NsdManagerTest to Net CTS
NsdManagerTest is not owned by Wifi, so it doesn't
belong in Wifi CTS.
Bug: 176902925
Test: atest CtsWifiTestCases
Change-Id: I074ee7a5a5570a0e3775cd436ee363c73f6e30d1</t>
  </si>
  <si>
    <t>Revert "[sts] security test for invalid font size scales"
This reverts commit 4082124096862b4d0fdd891f9aab2e9ee8e949b7.
Reason for revert: per discussion with Manjae, these tests share the same coverage of existing cts tests such as ag/13170098. We will just add @SecurityTest annotation in that test and make sure that is included in the STS modules.
Change-Id: Ica47b05b28a04a8fa111cd2a3d5dad07b7d81644</t>
  </si>
  <si>
    <t>Adds a feature split for the SplitTests
- Renames feature split to feature_warm split, and also renames the
  Theme_Feature to Theme_Warm basing on its color style.
- Adds a feature split named feature_rose and creates a custom theme
  `Theme_Rose` which inherites from the `Theme_Base` and inside
  the base split. Test that the context of two feature splits could
  read and apply the themes each other correctly.
Bug: 173762276
Test: atest android.appsecurity.cts.SplitTests
Change-Id: I422f960796afbffba09bf74a044f01422938a916</t>
  </si>
  <si>
    <t>Revert "WifiLocationTest: Add test for Wifi TransportInfo"
Revert "WifiInfo: Embed location sensitive TransportInfo"
Revert submission 13274595
Reason for revert: DroidMonitor: Potential culprit for Bug 177390648 - verifying through Forrest before revert submission. This is part of the standard investigation process, and does not mean your CL will be reverted.
Reverted Changes:
Ibcf0c6711:WifiInfo: Embed location sensitive TransportInfo
Ic68546e2a:WifiService: Use WifiInfo for masking
Ie522d8c75:NetworkCapabilities: Embed location senstive Trans...
Iaf0fef999:WifiLocationTest: Add test for Wifi TransportInfo
I017de6d4c:ClientModeImpl: Fill info elements for connected b...
I384c9321e:WifiInfo: Add info elements for connected bssid
Change-Id: Ib3bef2a09eb2dbb5f46c785a2647c8b94018a6ef</t>
  </si>
  <si>
    <t>Test DPC on BYOD cannot read hardware identifiers
Test that a Device Policy Controller of a work profile on a personal
device cannot read hardware identifiers (serial number, IMEI, MAC
address, etc).
Bug: 168627890
Test: com.android.cts.devicepolicy.ManagedProfileTest#testProfileOwnerOnPersonalDeviceCannotGetDeviceIdentifiers
Change-Id: I23f87c3dd41d71b45dc82f58c8448bd1bf2fa49a</t>
  </si>
  <si>
    <t>Move RCS provisioning changed callback logic to RcsProvisioningMonitor
As there may be separated services to provide MMTEl and RCS features,
RCS provioning callback should not depend on MMTEL feature.
Bug: 177018241
Test: atest TeleServiceTests:com.android.phone.RcsProvisioningMonitorTest
Test: atest CtsTelephonyTestCases:android.telephony.ims.cts.ImsServiceTest
Merged-In: I24a104243851117e85c47006aa2eef66ef249a6d
Change-Id: I24a104243851117e85c47006aa2eef66ef249a6d</t>
  </si>
  <si>
    <t>Add a CTS for the TextSelection rewrite logic.
Bug: 173512834
Test: atest TextClassifierServiceSwapTest
Change-Id: If75efdcc036b36fddd1dab80954f55212fd9503b</t>
  </si>
  <si>
    <t>Do now throw exception when activation code is empty
Bug: 169276772
Test: atest android.telephony.euicc.cts.DownloadableSubscriptionTest
Change-Id: Ie74565c93cf5750cab8b699d6748c2b0713e89ef</t>
  </si>
  <si>
    <t>Remove manual APK install/uninstall
The required APK is already installed as part of AndroidTest.xml.
The manual uninstall interferes with other tests relying on the APK.
Bug: 177889023
Test: atest HdmiControlManagerHostTest
HdmiCecRemoteControlPassThroughTest
Change-Id: I5bc7d4344211541a3c291ee85ee4d6033de9fb0e</t>
  </si>
  <si>
    <t>Fix CloseSystemDialogsTest
Debuggable builds (i.e. userdebug or eng) always allow overriding compat
changes for any app, whereas regular builds only allow opting in to changes,
only for debuggable apps. Therefore, add an extra app with target SDK of
30 for the CloseSystemDialogsTest, and opt-in to the newer changes in
the methods where it is applicable.
To prevent these issues in future, the test sets the global setting
force_non_debuggable_final_build_for_compat to 1 at test time. That will
enforce the user build policy on userdebug builds.
Test: atest android.app.cts.CloseSystemDialogsTest
Bug: 177236384
Change-Id: I69268a9722b4faba791415ad440820ecbb672644</t>
  </si>
  <si>
    <t>Keystore CTS: Remove Entropy consumed test.
Test: N/A
Change-Id: I255f48fa54ca83b3ce5e358cb4a87beee83302f6</t>
  </si>
  <si>
    <t>Add CTS test for same token exemption
Add CTS test for same token exemption introduced in ag/13351557 and
refactor a bit of the code.
Bug: 166617888
Bug: 158002302
Test: atest WindowUntrustedTouchTest
Change-Id: Ia6ab65e3b7a37294329d6a3e71a5c2d474f576ba</t>
  </si>
  <si>
    <t>Sync AppSearch from framework.
Contains changes:
* 91ce28: Properly check permissions for globalQuery.
* 5663cb: Add cts tests for projection wildcard.
* 0c3732: Add cts test for RELEVANCE_SCORE.
* 79beac: Implement the usage reporting API.
* 7d3c33:  Add Version number to AppSearchSchema
Bug: 169883602
Bug: 175039682
Bug: 174698212
Bug: 177278213
Bug: 177266929
Test: Presubmit
Change-Id: I3e1f8c89c2769fdf56ffcc75a5fc706df310e28f</t>
  </si>
  <si>
    <t>transcoding: Remove test for SlowMotion in ApplicationMediaCapabilities.
SlowMotion will not be exposed in Android S. So remove all the test
for now.
Bug: 178001803
Test: atest  CtsMediaTranscodingTestCases:ApplicationMediaCapabilitiesTest
Change-Id: I19adfe7ef0814b6ca442e1eda52dc2ce6be0b456</t>
  </si>
  <si>
    <t>Update CTS for moving role into module.
- Added CTS test for new module library system APIs.
- Fixed reference to role protos.
- Added new framework-annotations-lib classes to BCP duplicate
allowlist, until the issue is resolved for the whole library.
Bug: 158736025
Test: atest CtsRoleTestCases
Test: m -j CtsAppSecurityHostTestCases
Change-Id: I3bc724602afe301fca8ae30136d3335221da5bcc</t>
  </si>
  <si>
    <t>Improving CtsDevicePolicyManagerTestCases by using assumeTrue().
Also removed some split user checks and tests.
To be continued...
Test: atest CtsDevicePolicyManagerTestCases:DeviceOwnerTest
Test: atest CtsDevicePolicyManagerTestCases:HeadlessSystemUserDeviceOwnerTest
Bug: 177547285
Bug: 177965931
Bug: 137101239
Change-Id: Ia664e02ad930eec5bf7fcc21354d7852d5846cef</t>
  </si>
  <si>
    <t>More CtsDevicePolicyManagerTestCases assumeHasFeature() improvements:
* Encapsulated more features (FBE, SecureLockScreen, print, NFC, TV, etc).
* Add assumeHasFeature() on other assumeHasXXX() methods.
* Replaced mRunTearDown by isTestEnabled().
* Replaced mHasFeature by isTestEnaabled on @After methods.
* Improved the feature check on @Before methods.
* Used assumeCanCreateAdditionalUsers() in more places.
* Fixed assumeHasFeature() so it uses mHasFeature (which has more
  checks than just having FEATURE_ADMIN).
Bug: 177547285
Bug: 177965931
Bug: 178230958
Test: atest CtsDevicePolicyManagerTestCases # on automotive
Change-Id: I1659d60f19773b420080062d167a646270dc8125</t>
  </si>
  <si>
    <t>Revert "[cts] tests for settings readable fields"
Revert submission 13355582-settings_readable
Reason for revert: b/178340718
Reverted Changes:
Id1f133d52:[cts] tests for settings readable fields
I8a2733580:[SettingsProvider] @Readable annotation to restric...
Change-Id: I9770bab89d39c52424fb5ad8f99524a27de13e8f</t>
  </si>
  <si>
    <t>Created custom rule and annotations to skip tests that don't have features.
Fixes: 178230958
Bug: 177965931
Test: atest CtsDevicePolicyManagerTestCases # on automotive
Change-Id: Ifb1273a750ed5c98cb5a55621ff7ce7ef862bebd</t>
  </si>
  <si>
    <t>Revert "[cts] tests for settings readable fields"
Revert submission 13355582-settings_readable
Reason for revert: b/178340718
Reverted Changes:
Id1f133d52:[cts] tests for settings readable fields
I8a2733580:[SettingsProvider] @Readable annotation to restric...
Change-Id: I9770bab89d39c52424fb5ad8f99524a27de13e8f
(cherry picked from commit 1ca518c1ec75b8307126991ae2d253911b2be10c)</t>
  </si>
  <si>
    <t>Tests for: signature verification for checksums.
Bug: 160605420
Test: atest ChecksumsTest
Change-Id: Ibced73238a34e82eccecf826098c12f4219df51e</t>
  </si>
  <si>
    <t>Verify input device vendor/product ID and input sources for device added/changed.
When creating virtual input device for test, verify the input device
added and changed notification event for input device vendor/product ID and
input sources to match the test case.
Bug: 175316710
Test: atest android.hardware.input.cts
Change-Id: I50d5cc53624bbeab34246b6397cc246016df34e3</t>
  </si>
  <si>
    <t>Created custom rule and annotations to skip tests that don't have features.
Fixes: 178230958
Bug: 177965931
Test: atest CtsDevicePolicyManagerTestCases # on automotive
Merged-In: Ifb1273a750ed5c98cb5a55621ff7ce7ef862bebd
Change-Id: Ifb1273a750ed5c98cb5a55621ff7ce7ef862bebd
(cherry picked from commit 97bbf7b6d74aff307295c8c123d9d2ba680855aa)</t>
  </si>
  <si>
    <t>The CTS for the capabilities request with presence mechanism
The implementation of the CTS for the capabilities request with presene mechanism
Bug: 174656329
Test: atest -c CtsTelephonyTestCases:android.telephony.ims.cts.RcsUceAdapterTest
Change-Id: I3bfee6b6b3b5cf6d984803dacba0353810e1fbbc</t>
  </si>
  <si>
    <t>Fix VibratorTest cts tests after VibrationThread introduced
Vibrations are now started asynchrously by the Vibrator service, and the
CTS tests need to be updated to the new behavior for the APIs
isVibrating and state changed listener.
Fix: 178029288
Test: android.os.cts.VibratorTest
Change-Id: I8e6b5f4885abd7c88e28bd920d929bac1540f555</t>
  </si>
  <si>
    <t>Comment out testGrantForegroundRuntimePermission22
JUnit 3 tests don't support @Ignore.
Test: test is ignored.
Bug: 177967885
Change-Id: Id22d480c35e02a989731f2075d99d101e3adcd8e</t>
  </si>
  <si>
    <t>Do now throw exception when activation code is empty
Bug: 169276772
Test: atest android.telephony.euicc.cts.DownloadableSubscriptionTest
Change-Id: Ie74565c93cf5750cab8b699d6748c2b0713e89ef
Merged-In: Ie74565c93cf5750cab8b699d6748c2b0713e89ef</t>
  </si>
  <si>
    <t>Add Nene APIs to create and remove users.
Test: atest NeneTest
Bug: 167945074
Change-Id: Ie6c5507c30b446248afa30fbff56f31d9e956590</t>
  </si>
  <si>
    <t>Add support for RunWith Parameterized in ScopedStorageDeviceTest
Add support for @RunWith(@Parameterized.class) in
ScopedStorageDeviceTest. This will run tests in primary volume and also
on public volume.
Removed ScopedStoragePublicVolumeDeviceTest as it is no more needed.
Added ScopedStorageDeviceTestSetup class to help with all the common
setup methods for device tests.
Bug: 159593019
Test: atest ScopedStorageDeviceTest
Change-Id: Iaececf34bd722ed98bb5812441fd3fc752cd6edd</t>
  </si>
  <si>
    <t>New test for UserManager.isHeadlessSystemUserMode().
Test: atest android.multiuser.cts.UserManagerTest#testIsHeadlessSystemUserMode
Test: atest CtsMultiUserTestCases # for extra verification
Bug: 173541467
Change-Id: I006f5f40ec7775d6e9ffe675ce96f5f0122b3a92</t>
  </si>
  <si>
    <t>Testing the new complex unit-based setters for RemoteViews.
Bug: 178591376
Test: atest android.widget.cts.RemoteViewsTest
Change-Id: I2eea23be2823e1ebdd8c1b5d37836cdfecbd0e9d</t>
  </si>
  <si>
    <t>Add support for RunWith Parameterized in ScopedStorageDeviceTest
Add support for @RunWith(@Parameterized.class) in
ScopedStorageDeviceTest. This will run tests in primary volume and also
on public volume.
Removed ScopedStoragePublicVolumeDeviceTest as it is no more needed.
Added ScopedStorageDeviceTestSetup class to help with all the common
setup methods for device tests.
Bug: 159593019
Test: atest ScopedStorageDeviceTest
Change-Id: Iaececf34bd722ed98bb5812441fd3fc752cd6edd
Merged-In: Iaececf34bd722ed98bb5812441fd3fc752cd6edd
(cherry picked from commit b11ebfe78026accc1c92608cd2d3a28adb164654)</t>
  </si>
  <si>
    <t>Add test to verify that ClassifyText is not called when cancelling the selection
Bug: 169042542
Test: atest
/ssd/master/cts/tests/tests/textclassifier/src/android/view/textclassifier/cts/TextViewIntegrationTest.java
--rerun-until-failure
Change-Id: Ie627b0298008a1abdd4edb6f78673e092114f8c6</t>
  </si>
  <si>
    <t>Comment out testGrantForegroundRuntimePermission22
JUnit 3 tests don't support @Ignore.
Test: test is ignored.
Bug: 177967885
Change-Id: Id22d480c35e02a989731f2075d99d101e3adcd8e
(cherry picked from commit fa59f3619cb53ca6dc028257425bf9fd732b80c5)</t>
  </si>
  <si>
    <t>Minor tweaks to biometric CTS
1) Actually retrieve new state when retrying in for loop
2) Try to wait for idle in cleanup() before asserting.
3) Add sensor state dump when asserting in cleanup()
Fixes: 178989705
Test: atest CtsBiometricsTestCases --iterations 10
Change-Id: I80325c7d361e13ba299a3be66ff9f01340f986f4</t>
  </si>
  <si>
    <t>Fix tests for gesture id 43.
Bug: 178849493
Test: atest AccessibilityGestureDetectorTest
Change-Id: I5255a868357d3c84dc3da5391b7688365394513a</t>
  </si>
  <si>
    <t>Add Nene APIs to create and remove users.
Test: atest NeneTest
Bug: 167945074
Change-Id: Ie6c5507c30b446248afa30fbff56f31d9e956590
(cherry picked from commit e61862fbf2ee482f7c6bf12c796e242f7292a544)</t>
  </si>
  <si>
    <t>Refactor query interface.
This removes the responsibility of each individual event type to define
all query options. Previously for example every event logged about an
Activity lifecycle would need to repeat the querying logic to query an
Activity. With this change they just return an ActivityQueryHelper and
then we can modify those options and have it apply to everything.
Test: atest EventLibTest
Bug: 170458200
Change-Id: I6b081d236996e0e15e61cc31b41c2ffa81eb40b8</t>
  </si>
  <si>
    <t>Camera: Set activity orientation to 'locked'
A camera test activity can be restarted if the
screen orientation doesn't match with the previously
running activity. Depending on timing, test cases that
rely on preview surfaces might query the respective
views from the old and soon to be destroyed activity.
Avoid this by switching the screen orientation to
'locked' which should avoid unnecessary UI rotations.
Additionally refactor the Camera2 extension test cases
to query the preview surface texture as part of the
test sequence.
Bug: 178862892
Test: Camera CTS
Change-Id: I9a613b08b3a739c75bb53ab338e779febecffef2</t>
  </si>
  <si>
    <t>Fix test with API changes
Bug: 177877098
Test: atest WifiManagerTest CtsVerifier
Change-Id: I6ac0bb1a3676392c4dbc755d6f137782240f74eb</t>
  </si>
  <si>
    <t>Add tests for HapticGenerator in Ringtone
Test if HapticGenerator can/cannot be enabled according to the
HapticGenerator is available on the device or not.
Bug: 179080948
Test: atest RingtoneTest
Change-Id: Ibe6fef634385331a0195ebd45010271e0993278c</t>
  </si>
  <si>
    <t>Fixes various CTS failures related to default launcher
This CL changes various CTS cases to use RoleManager for setting and
getting the current default launcher.
Bug: 159814579
Bug: 168424506
Bug: 176498610
Bug: 176706886
Bug: 166655637
Test: atest ShortcutManagerTest1 to ShortcutManagerTest11
      atest CtsShortcutHostTestCases CtsShortcutManagerTestCases
      atest com.android.cts.devicepolicy.MixedManagedProfileOwnerTest
      atest android.content.pm.cts.PackageManagerTest
      atest android.content.pm.cts.LauncherAppsTest
Change-Id: If5f8eb3017a3e3a4dfff5f6ff8cb4d4647432280</t>
  </si>
  <si>
    <t>Refactor query interface.
This removes the responsibility of each individual event type to define
all query options. Previously for example every event logged about an
Activity lifecycle would need to repeat the querying logic to query an
Activity. With this change they just return an ActivityQueryHelper and
then we can modify those options and have it apply to everything.
Test: atest EventLibTest
Bug: 170458200
Change-Id: I6b081d236996e0e15e61cc31b41c2ffa81eb40b8
(cherry picked from commit 9c45f4205f7275431f35df51dbf72fee53c5c43f)</t>
  </si>
  <si>
    <t>Remove HdmiControlManagerHostTest
These tests have been moved to instrumentation tests.
Bug: 174345748
Test: atest HdmiControlManagerTest
Change-Id: Ic59cee53810dcd8e03b67db31a74e8088f15af56</t>
  </si>
  <si>
    <t>Tests for: changing IntentSender to become a listener.
Bug: 160605420
Test: atest PackageManagerShellCommandTest PackageManagerShellCommandIncrementalTest IncrementalServiceTest PackageManagerServiceTest ChecksumsTest
Change-Id: Ie7cc2fca66f161cf411ed6355f7a0d4ec84c7b7a</t>
  </si>
  <si>
    <t>CTS: remove VulkanSurfaceSupportTest
The api implementation is wrong, and it no longer needs a cts.
Bug: 77853189
Test: build
Change-Id: I6d78e9fa34c35f6c43b5400a281dd997a8275fda</t>
  </si>
  <si>
    <t>Rename InputConnecton#setImeTemporarilyConsumesInput
Rename InputConnecton#setImeTemporarilyConsumesInput as InputConnecton#setImeConsumesInput
Bug: 175362887
Bug: 179143513
Test: atest CtsWidgetTestCases:TextViewTest
Change-Id: I359c026a184fd6c37d53c25744b531fef6c1976b</t>
  </si>
  <si>
    <t>Fix DynamicLayoutTest#testEllipsis with display text change.
DynamicLayout now uses the transformed text instead of the base text.
testEllipsis, which was exercising the singleline case but is now (with
the fix) testing the multiline case, is expanded to cover all potential
cases. This is to make sure no gaps are introduced in CTS coverage.
Bug: 178650596
Test: atest DynamicLayoutTest
Change-Id: Icfae7eb5d6289df41028f3fa7387572b9559082e</t>
  </si>
  <si>
    <t>Fixes various CTS failures related to default launcher
This CL changes various CTS cases to use RoleManager for setting and
getting the current default launcher.
Bug: 159814579
Bug: 168424506
Bug: 176498610
Bug: 176706886
Bug: 166655637
Test: atest ShortcutManagerTest1 to ShortcutManagerTest11
      atest CtsShortcutHostTestCases CtsShortcutManagerTestCases
      atest com.android.cts.devicepolicy.MixedManagedProfileOwnerTest
      atest android.content.pm.cts.PackageManagerTest
      atest android.content.pm.cts.LauncherAppsTest
Change-Id: If5f8eb3017a3e3a4dfff5f6ff8cb4d4647432280
Merged-In: If5f8eb3017a3e3a4dfff5f6ff8cb4d4647432280</t>
  </si>
  <si>
    <t>Removing TrustedVoice tests since trustlet_voiceunlock was removed from GMSCore a few months ago.
Change-Id: I70c351c088cef44af34bad57acbae18b16d598fe
Bug: 179442452
Change-Id: I70c351c088cef44af34bad57acbae18b16d598fe</t>
  </si>
  <si>
    <t>[RESTRICT AUTOMERGE] Remove unnecessary tests
BUG: 156260178
BUG: 175532471
BUG: 175667905
BUG: 179476904
Test: atest CtsAppTestCases
Test: atest CtsProviderTestCases
Change-Id: I61fbf914028879d750650850253e615354ad34ac
Merged-In: I02c8a47364f9a2e6cabb65d47a394efcdf1f8812</t>
  </si>
  <si>
    <t>Changed ApnThrottleStatus to ThrottleStatus
* Changed verbiage to be more generic at request of the API council
Bug: 175092152
Test: make &amp; flash
Merged-In: I6569265ff7749eb79c8dae30ebb17ad353f4f8fe
Change-Id: I6569265ff7749eb79c8dae30ebb17ad353f4f8fe</t>
  </si>
  <si>
    <t>Remove feature flag for file path support for media URI grants
Bug: 173648980
Test: atest ExternalStorageHostTest#testMediaEscalation_RequestWriteFilePathSupport
Change-Id: I57df000b68d69d9cfc98c5699f50881aa141bbe4</t>
  </si>
  <si>
    <t>Test memtagMode manifest attribute.
Bug: 135772972
Test: atest CtsTaggingHostTestCases on fvp-userdebug w/ MTE
Change-Id: I6ef73c8dc11e896116863f63d622745d1547e8a7</t>
  </si>
  <si>
    <t>Allow RESTRICTED bucket to be on by default.
Bug: 155670438
Test: atest AppStandbyControllerTests
Test: atest CtsJobSchedulerTestCases
Test: atest CtsUsageStatsTestCases:UsageStatsTest
Change-Id: Id1104fe0e25bf94ecae513b12e17da753150e14a</t>
  </si>
  <si>
    <t>Add .start() and .stop() user APIs.
Test: atest NeneTest
Change-Id: I8e004c75cfed77d640644947cc7d5348c36083cd</t>
  </si>
  <si>
    <t>CTS tests for network logging delegate
Changes
* Test the profile owner on a managed profile
  is able to set the network logging delegate
* Test network logging is only collected on the
  work profile.
Bug: 170460270
Test: atest com.android.cts.devicepolicy.OrgOwnedProfileOwnerTest#testNetworkLogging
      atest com.android.cts.devicepolicy.OrgOwnedProfileOwnerTest#testNetworkLoggingDelegate
      atest com.android.cts.devicepolicy.MixedManagedProfileOwnerTest#testNetworkLogging
      atest com.android.cts.devicepolicy.MixedManagedProfileOwnerTest#testNetworkLoggingDelegate
      atest com.android.cts.devicepolicy.MixedManagedProfileOwnerTest#testDelegate
      atest com.android.cts.devicepolicy.MixedDeviceOwnerTest#testDelegate
      atest com.android.cts.devicepolicy.MixedProfileOwnerTest#testDelegate
Change-Id: I3315585f126be01f24aa5a0a09f6e49a9b8d104a</t>
  </si>
  <si>
    <t>Rename API for Call Companion InCallService API review
Test: cts
Bug: 179116441
Change-Id: I23a6746f71a4cf3ea4162e25cdce5b491e2e9670</t>
  </si>
  <si>
    <t>Make sure constraints are not met for test.
Put the device in an expected state for the expiredDeadline test instead
of just expecting the state.
Bug: 178747792
Test: atest CtsJobSchedulerTestCases
Change-Id: I79a4a5abb62d1a81ae38cda76decce3b04ebdb51</t>
  </si>
  <si>
    <t>Update the /dev/hw_random CTS test.
We take the kernel defaults for /dev/hw_random now, and we no longer
allow system_server access to it.
Bug: http://b/179086242
Test: treehugger
Change-Id: I6a519d88f35e2dcad9501e77ebb654e19137ac55</t>
  </si>
  <si>
    <t>Revert "Add test to ensure enforceCrossUserPermission of getPackagesForUid"
This reverts commit 03104aae3963e395ab9681f2b540b7168fa52849.
Reason for revert: Test not reverted when behavior change was
Fixes: 179791281
Change-Id: Ia5da17234f63d63ea8031efa3370fe8009a79a58</t>
  </si>
  <si>
    <t>Assert knownSigner permission revoked when app no longer trusts cert
Android 12 introduced a new knownSigner permission protection flag
that allows an app to declare trusted signing certificates; if an
app requesting this permission is signed by one of the trusted
signing certs the permission will be granted to the app. However
if the declaring app is updated and the set of trusted certificates
is changed, or if the app no longer uses the knownSigner flag, then
the permission should be revoked from any requesting app that no
longer meets the signing identity requirements.
Bug: 172970984
Bug: 179727740
Test: atest PkgInstallSignatureVerificationTest
Change-Id: I7b7626c045458ededad0bde81aa51b5933457fd7</t>
  </si>
  <si>
    <t>Temporary fix for SimPhonebook continuous test failures
The ATP cts/release/special-sim test is failing because the SIMs used
for the devices don't appear to support SDN. Also the PIN2 for FDN is
wrong. Temporarily ignoring some of the tests and updating others to
make only validate the FDN and SDN behavior when they are supported.
Bug: 170114185
Bug: 179710618
Test: atest CtsSimPhonebookProviderTestCases
Change-Id: Ib84fe752657a2f8c54cafcc38cc6b2fd80f13b4f</t>
  </si>
  <si>
    <t>Add .switchTo() API for users.
The switchTo test Uses ShellCommand and runWithShellPermissionIdentity
because we currently don't have the needed APIs in nene. These will be
replaced when the new APIs are added.
This also includes a fix to EventLib because it was getting
UnserializableExceptions.
Bug: 180307892
Test: atest NeneTest
Test: atest EventLibTest
Change-Id: I5989caf28a5b2645d1f84fe3a7df5808fb35ac89</t>
  </si>
  <si>
    <t>Test for FontManager#updateFontFamily().
Bug: 179103383
Test: atest CtsGraphicsTestCases:FontFamilyUpdateRequestTest
Test: atest CtsGraphicsTestCases:FontFileUpdateRequestTest
Test: atest CtsGraphicsTestCases:FontManagerTest
Change-Id: Ib2f7465698f464432c4de79396942e899daf05bc</t>
  </si>
  <si>
    <t>Updating SimPhonebook CTS tests for UCS-2 support
Test: atest CtsSimPhonebookProviderNoSimTestCases CtsSimPhonebookProviderTestCases
Bug: 154363919
Change-Id: I8ae4955649f4a2f9e7030cda34c8c124ffd24719</t>
  </si>
  <si>
    <t>Update updateFontFile signature in tests.
Bug: 179103383
Test: atest CtsGraphicsTestCases:FontManagerTest
Change-Id: I81dc4294d10c01ab4b741ac7800757a607360c51</t>
  </si>
  <si>
    <t>CTS tests for network logging delegate
Changes
* Test the profile owner on a managed profile
  is able to set the network logging delegate
* Test network logging is only collected on the
  work profile.
Bug: 170460270
Test: atest com.android.cts.devicepolicy.OrgOwnedProfileOwnerTest#testNetworkLogging
      atest com.android.cts.devicepolicy.OrgOwnedProfileOwnerTest#testNetworkLoggingDelegate
      atest com.android.cts.devicepolicy.MixedManagedProfileOwnerTest#testNetworkLogging
      atest com.android.cts.devicepolicy.MixedManagedProfileOwnerTest#testNetworkLoggingDelegate
      atest com.android.cts.devicepolicy.MixedManagedProfileOwnerTest#testDelegate
      atest com.android.cts.devicepolicy.MixedDeviceOwnerTest#testDelegate
      atest com.android.cts.devicepolicy.MixedProfileOwnerTest#testDelegate
Change-Id: I3315585f126be01f24aa5a0a09f6e49a9b8d104a
Merged-In: I3315585f126be01f24aa5a0a09f6e49a9b8d104a</t>
  </si>
  <si>
    <t>Add .packages() to Nene.
The API is similar to .users() - Every method relating to packages must
specify the user it applies to. I also experimented with an alternative
api which looks like `testApis.forUser(user).packages()....` but it
becomes a lot more complex, as we need to maintain a set of APIs which
apply to all users and one which applies to individual users.
Bug: 180293870
Test: atest NeneTest
Change-Id: I61515f8bd0299fdd2459f97f5018b77cd97fb651</t>
  </si>
  <si>
    <t>Generalize Speech Recognition CTS tests to work with on-device
recognizers.
Bug: 177915986
Test: atest CtsVoiceRecognitionTestCases
Change-Id: Ic7d99edee9490a90d4f2455f5f7c085bfcabcfab</t>
  </si>
  <si>
    <t>Delete incidentd related alarm proto tests
These tests are for proto dumps that are no longer used or have plans
for active development.
Test: atest CtsIncidentHostTestCases
Fixes: 178823023
Change-Id: I66d74f2fa988f7c2c8f97b714ee761c374f1d620</t>
  </si>
  <si>
    <t>Revert "Add CTS tests for TextToSpeech connection related functi..."
Revert submission 13547465-ttsproxy
Reason for revert: Setup wizard crashes due to "Service not registered: android.speech.tts.TextToSpeech$SystemConnection"
Reverted Changes:
Id4059e460:Add CTS tests for TextToSpeech connection related ...
Ie17800bae:Add a system TextToSpeech implementation that init...
Bug: 180519958
Change-Id: I2f927b3a01a716d7e0cdde1a157c758ee9da4938
Test: Locally reverted this change and no longer see the exception in SUW we saw before.</t>
  </si>
  <si>
    <t>CTS - MAC randomization API feedback
Modify the existing CTS test to call the revised APIs.
Bug: 179116304
Test: atest WifiManagerTest#testSuggestionBuilderNonPersistentRandomization
Change-Id: I661f898c97d8c331b15cbbeca84bfd6b0f92d428</t>
  </si>
  <si>
    <t>Update tests to require .fsv_sig for .dm on supported devices
Bug: 180414192
Test: run on a device that supports fs-verity, with feature flag enabled
      and disabled
Test: run on a device that does not support fs-verity
Change-Id: Ia35ab103f5b3af928b4530d135fad4e01535080e</t>
  </si>
  <si>
    <t>Remove unnecessary permission check.
There's no reason for getPowerSaveModeTrigger to require the POWER_SAVER
permission. The API is only marked as a SystemApi because it was designed
for a specific use case and 3rd party apps don't need to know the
information, but there's no problem if they get the value. All the value
tells you is whether the device will turn on battery saver automatically
based on the percentage level or if it'll turn on automatically based on
a different dynamic signal.
Bug: 174241855
Test: atest android.os.cts.PowerManagerTest
Test: atest android.permission.cts.PowerManagerServicePermissionTest
Test: atest CtsPermission2TestCases
Test: atest SettingsProviderTest
Change-Id: I3336a87f4210f871d01d2e64d309828a63c09bc8</t>
  </si>
  <si>
    <t>transcoding: Grant android.permission.WRITE_MEDIA_STORAGE to transcoding
test.
Also disable the foreward PID/UID test given we only allow MediaProvider
to access the
Bug: 179496636
Test: atest  CtsMediaTranscodingTestCases:MediaTranscodeManagerTest
Change-Id: Icfe6f039284e74867b7bddb30d310508a48c5b9f</t>
  </si>
  <si>
    <t>Extract common utils for testing stretch EdgeEffect.
Many classes will need to test the stretch EdgeEffect in
a similar way, so this CL extracts the common test behavior
into a utility.
Bug: 178807038
Test: Ran ScrollViewTest and HorizontalScrollViewTest
Change-Id: I11f086d5aa0eff389cfd0c3e2e8fafcbec978712</t>
  </si>
  <si>
    <t>Add tests to validate MTE on non-MTE HW, and fix release -user builds.
This patch does a couple of things:
 1. Adds tests to validate the behaviour of the MTE compat feature
 on non-MTE HW, which should be a no-op. Devices that
 don't have MTE support should get TBI if MTE was requested (it's easy
 to make a mistake and make it fall back to 'none').
 2. Collapse the permutations of -userdebug, -eng, -user (preview), and
 -user (release) builds. We now force the tests to run under the most
 restrictive mode, which is the -user (release) option. This is not only
 the most feasible option (you can become more restrictive, but not more
 permissive), but it's also the option that our users will most likely
 be using, as these flags are for app developers using shipped devices.
 3. Some minor cleanup and reformatting here and there.
Bug: 180647159
Test: atest com.android.cts.tagging;
Test: ... on:
Test: - Pixel 3 -user build, no kernel TBI support.
Test: - Pixel 4 -user build, full pointer tagging feature support.
Test: - MTE QEMU simulator -userdebug.
Test: - x86_64 cuttlefish -userdebug, no aarch64 TBI support.
Change-Id: I7131ee49b162e4de5f03d89fba8fe4f7b25b7ff5</t>
  </si>
  <si>
    <t>Split DevicePolicySafetyCheckerIntegrationTester in 3 tests.
That test had too many logic and was actually testing 3 different
APIs:
- Whether (all) the operations are safe / unsafe
- The exception reason
- The isOperationSafe() API
This CL split those checks in 3 different tests, which makes it
easier to maintain them.
NOTE: the ProfileOwnerTests are failing due to permissions, but
that's unrelated to this change - they're failing without it as
well.
Test: atest CtsDevicePolicyManagerTestCases:DeviceOwnerTest#testDevicePolicySafetyCheckerIntegration_allOperations,testDevicePolicySafetyCheckerIntegration_isSafeOperation,testDevicePolicySafetyCheckerIntegration_unsafeStateException \
Test: atest CtsDevicePolicyManagerTestCases:ProfileOwnerTest#testDevicePolicySafetyCheckerIntegration_allOperations,testDevicePolicySafetyCheckerIntegration_isSafeOperation,testDevicePolicySafetyCheckerIntegration_unsafeStateException
Bug: 172376923
Bug: 180655054
Change-Id: Ife936cea89c6e21a56454766ecb4b29b652bd584</t>
  </si>
  <si>
    <t>Test memtagMode manifest attribute.
Bug: 135772972
Test: atest CtsTaggingHostTestCases on fvp-userdebug w/ MTE
Change-Id: I6ef73c8dc11e896116863f63d622745d1547e8a7
Merged-In: I6ef73c8dc11e896116863f63d622745d1547e8a7</t>
  </si>
  <si>
    <t>Add tests to validate MTE on non-MTE HW, and fix release -user builds.
This patch does a couple of things:
 1. Adds tests to validate the behaviour of the MTE compat feature
 on non-MTE HW, which should be a no-op. Devices that
 don't have MTE support should get TBI if MTE was requested (it's easy
 to make a mistake and make it fall back to 'none').
 2. Collapse the permutations of -userdebug, -eng, -user (preview), and
 -user (release) builds. We now force the tests to run under the most
 restrictive mode, which is the -user (release) option. This is not only
 the most feasible option (you can become more restrictive, but not more
 permissive), but it's also the option that our users will most likely
 be using, as these flags are for app developers using shipped devices.
 3. Some minor cleanup and reformatting here and there.
Bug: 180647159
Test: atest com.android.cts.tagging;
Test: ... on:
Test: - Pixel 3 -user build, no kernel TBI support.
Test: - Pixel 4 -user build, full pointer tagging feature support.
Test: - MTE QEMU simulator -userdebug.
Test: - x86_64 cuttlefish -userdebug, no aarch64 TBI support.
Change-Id: I7131ee49b162e4de5f03d89fba8fe4f7b25b7ff5
Merged-In: I7131ee49b162e4de5f03d89fba8fe4f7b25b7ff5</t>
  </si>
  <si>
    <t>Remove the BatteryStatsDump test
Bug: 173141593
Test: TH
Change-Id: I6ba09796c4b9a80580c714b4bd3bd3e6b15b7d4a</t>
  </si>
  <si>
    <t>Refactored how CreateAndManagerUserTest waits for broadcasts.
Previously, when a test cases was waiting for broadcasts, it was
waiting for just 1, which is not always enough - for example, when
a user is switched to, the system issues 2 broadcasts (for user
started and switched). Furthermore, the broadcast handling was
inconsistent - some tests were expecting them, others weren't.
This CL addresses these issues by moving most of the logic into a
UserActionCallback, which also cleans up the main test code.
For example, testCreateAndManageUser_SwitchUser() was 20 lines long,
but it's been reduced to just 2:
public void testCreateAndManageUser_SwitchUser() throws Exception {
    UserHandle userHandle = createAndManageUser();
    switchUser(userHandle);
}
These changes will make it easier to fix these tests when running
on headless system user mode.
Test: atest com.android.cts.devicepolicy.DeviceOwnerTest#testCreateAndManageUser_LowStorage,testCreateAndManageUser_MaxUsers,testCreateAndManageUser_GetSecondaryUsers,testCreateAndManageUser_SwitchUser,testCreateAndManageUser_CannotStopCurrentUser,testCreateAndManageUser_StartInBackground,testCreateAndManageUser_StartInBackground_MaxRunningUsers,testCreateAndManageUser_StopUser,testCreateAndManageUser_StopEphemeralUser_DisallowRemoveUser,testCreateAndManageUser_LogoutUser,testCreateAndManageUser_Affiliated,testCreateAndManageUser_Ephemeral,testCreateAndManageUser_LeaveAllSystemApps,testCreateAndManageUser_SkipSetupWizard,testCreateAndManageUser_AddRestrictionSet,testCreateAndManageUser_RemoveRestrictionSet,testUserAddedOrRemovedBroadcasts # on phone
Bug: 180515783
Change-Id: I35f1c3dc968f1e3178605d8237304c60c9e93584</t>
  </si>
  <si>
    <t>Fix flakiness in CarModeInCallServiceTest.
Temporarily disable testStartCallInCarModeAndAutomotiveProjection and
call setUp and tearDown in super class.
Bug: 169603138
Test: TelecomCtsTests
Change-Id: Id9cbc0060e8eec69a1775b7f1426dcb390e42d62</t>
  </si>
  <si>
    <t>cts(wifi): Add helper class for shared utils
Extract some duplicated helper method to a new helper class to reduce
code duplication.
Bug: 177591382
Test: atest android.net.wifi.cts (on sta + sta enabled device)
Change-Id: I981159ec6a8d5fbb30ea4d2472e2536486220425</t>
  </si>
  <si>
    <t>Test force relayout in different soft input modes
ViewRootImpl should only force layout the legacy app (&lt; R) which uses
SOFT_INPUT_ADJUST_RESIZE.
Fix: 180411042
Test: atest ForceRelayoutTest ForceRelayoutSdk29Test
Change-Id: I68d0dcee707c39ffc508f585de55c38bacb92ed4</t>
  </si>
  <si>
    <t>Move LargeTest annotation to specific vibrator CTS methods
Start using vibration callbacks instead of PollingCheck to assert on
device start/stop vibrating, to make most of the tests finish faster.
Only a few tests that assert on the vibration duration are now marked as
@LargeTest, and should be skipped once vibrator CTS tests are added to
presubmit (they still should run in postsubmit).
Also add tests to cover vibrate predefined and composed effects, as well
as a test to vibrate a single vibrator only on devices with multiple
vibrators.
Bug: 171557742
Test: VibratorTest &amp; VibratorManagerTest
Change-Id: Iaa649c7ee83ef8ecc6d78b6da087bb87ddf85510</t>
  </si>
  <si>
    <t>Refactor how Shell Commands are used in Nene.
We no longer expose ShellCommandUtils methods directly, all calls must
go through ShellCommand.
Also adds a executeAndParse method to parse adb output.
Test: atest Nene
Change-Id: I26a92b95fcfb32881350dbfd2637f4c887500eb2</t>
  </si>
  <si>
    <t>All DeviceState calls now go through Nene.
Test: atest NeneTest
Test: atest CtsDevicePolicyTestCases
Change-Id: I438247b37a8a96e8df722340876592b60dcd06ba</t>
  </si>
  <si>
    <t>wifi: rename SAE Public Key support API
Bug: 160642415
Test: atest android.net.wifi.cts.WifiManagerTest
Change-Id: Ia7473578c3fd805abe77b7e1bf7aeebf72e47633</t>
  </si>
  <si>
    <t>Revert "Adding new CTS test for the API display#getDeviceProductInfo"
Revert submission 13552775-expose DisplayInfo.deviceProductInfo
Reason for revert: broken test android.compat.sjp.cts.StrictJavaPackagesTest#testBootClassPathAndSystemServerClasspath_nonDuplicateClasses
    on git_sc-dev on cf_x86_64_phone-userdebug at 7162420
Bug: 181021245
Reverted Changes:
Id6767127f:Adding aidl file to share deviceProductInfo consta...
I6959d2829:Adding public API to expose DisplayInfo.deviceProd...
I720dbfe84:Adding new CTS test for the API display#getDeviceP...
I6c726e12c:Changes in tvsystem/ DeviceProductInfo to mirror c...
Change-Id: I0fdbca2d934cd76002831ab2f3133eb2a18b7acc</t>
  </si>
  <si>
    <t>Rename to addProviderRequestListener (CTS)
Bug: 180733549
Test: on device
Change-Id: Ib02a7caa886737aacea7e0b32798acf2a68a5cf7</t>
  </si>
  <si>
    <t>Update UWB tests due to API changes
Updates the UWB tests due to changes in the AngleOfArrivalMeasurement
and AngleMeasurement objects.
Bug: 180395817
Test: atest UwbManagerTests CtsUwbTestCases
Change-Id: Ifb992449448541a552d7d544824f18f36bdc3e35</t>
  </si>
  <si>
    <t>Renamed some methods to clarify what's done on CreateAndManageUserTest.
Test: atest com.android.cts.devicepolicy.DeviceOwnerTest#testCreateAndManageUser_LowStorage,testCreateAndManageUser_MaxUsers,testCreateAndManageUser_GetSecondaryUsers,testCreateAndManageUser_SwitchUser,testCreateAndManageUser_CannotStopCurrentUser,testCreateAndManageUser_StartInBackground,testCreateAndManageUser_StartInBackground_MaxRunningUsers,testCreateAndManageUser_StopUser,testCreateAndManageUser_StopEphemeralUser_DisallowRemoveUser,testCreateAndManageUser_LogoutUser,testCreateAndManageUser_Affiliated,testCreateAndManageUser_Ephemeral,testCreateAndManageUser_LeaveAllSystemApps,testCreateAndManageUser_SkipSetupWizard,testCreateAndManageUser_AddRestrictionSet,testCreateAndManageUser_RemoveRestrictionSet,testUserAddedOrRemovedBroadcasts # on automotive and phone
Bug: 180515783
Change-Id: Id52b8831bfc139860b7eb18e6daa24f3710efb08</t>
  </si>
  <si>
    <t>Fix SelfManagedConnectionTest.
There were flaky fails in SelfManageConnectionTest.  I think the root
cause is that testChangeCarModeApp was not cleaning up it's call, which
meant that the teardown is where this would happen.
I've added the correct cleanup and also added a wait after cleanup for
the connections to ensure that there is no active call before tearing down.
I also used the same car mode fixes from b/179264757 here as well since
it seemed reasonable to harden the tests against any failures and
prevent cascading.
Test: Run CTS tests and verify they no longer fail.
Fixes: 169603138
Change-Id: I1b4b61ba0683da33d6d0818dc9b155082dec8f2f</t>
  </si>
  <si>
    <t>Convert StartProfilesTest to use newest infrastructure.
Bug: 180700120
Test: atest NeneTest
Test: atest CtsDevicePolicyTestCases
Change-Id: Ib8a4cd8e85898cbbd2680db454bc51ffefae250f</t>
  </si>
  <si>
    <t>Make Users tests use TestApis rather than Users directly.
This makes them more consistent with other tests in Nene.
Test: atest NeneTest
Change-Id: I16dcb9ccb05fe31dff07884afc4002f7632e9e4b</t>
  </si>
  <si>
    <t>Add backwards compatible support for UserTypes to Nene.
This will be followe with adding the ability to create profiles, which
can then be used in Harrier.
Test: atest NeneTest
Bug: 180307892
Change-Id: I139c2cb25874ac036f0a944822564e6ccfa43401</t>
  </si>
  <si>
    <t>Make DeviceState rely entirely on Nene.
Also exposes Nene UserReference through DeviceState, which makes some
tests easier.
This will mean all postsubmit (and soon presubmit) tests run on top of
Nene so we can shake out any lingering flakiness.
Test: atest NeneTest
Test: atest CtsDevicePolicyTestCases
Change-Id: Ib165f7e098207b2f6beb72d6e5b228ac9b8883df</t>
  </si>
  <si>
    <t>Fix SelfManagedConnectionTest.
There were flaky fails in SelfManageConnectionTest.  I think the root
cause is that testChangeCarModeApp was not cleaning up it's call, which
meant that the teardown is where this would happen.
I've added the correct cleanup and also added a wait after cleanup for
the connections to ensure that there is no active call before tearing down.
I also used the same car mode fixes from b/179264757 here as well since
it seemed reasonable to harden the tests against any failures and
prevent cascading.
Test: Run CTS tests and verify they no longer fail.
Fixes: 169603138
Change-Id: I1b4b61ba0683da33d6d0818dc9b155082dec8f2f
(cherry picked from commit 3f29a3c391b7addf26bf4be28674b85f04ddca7a)</t>
  </si>
  <si>
    <t>CTS: Remove redundant test for ".ota" extension
This test was redundant with the
containsAllStockAndroidMappings_mimeToExt() test which is
already testing this, since this mapping is in
frameworks/base/mime/java-res/android.mime.types
We remove this to remove potential confusion for the reader, and
also so if the ".ota" mapping is changed in the android.mime.types
file in the future, this test suite will remain consistent
without modification.
Bug: 136096979
Test: TreeHugger
Change-Id: I754dce421bd172bc271607537d0625bb5f435629</t>
  </si>
  <si>
    <t>Remove the BatteryStatsDump test
Bug: 173141593
Test: TH
Change-Id: I6ba09796c4b9a80580c714b4bd3bd3e6b15b7d4a
Merged-In: I6ba09796c4b9a80580c714b4bd3bd3e6b15b7d4a
(cherry picked from commit 83d6781e60e445f82d7d46f2fe5177466bfa9889)</t>
  </si>
  <si>
    <t>DO NOT MERGE Remove test cases related to SampleRate
In Android R, there is no CDD for sampleRate. In this case, remove
all test cases which are related to the sampleRate.
Bug: 170673231
Test: atest CtsCarTestCases:CarPropertyManagerTest
Change-Id: If1b7bdb2ae5ed43df0e7bb5792a1b74dd33abfc3</t>
  </si>
  <si>
    <t>Revert "Add test for new exposed getNrState API"
This reverts commit e25704d8305e8f7a556987f20a2bb869adb86e49.
Reason for revert: &lt;API is reverted&gt;
Change-Id: I0c71bdfe5387432cde25f7ed897c1d78da45017e</t>
  </si>
  <si>
    <t>Add tests to verify that expedited job has correct uid state.
More specifically, verify that process hosting the expedited job
gets the right proc_state, capabilities, and oom_score_adj.
Bug: 177641226
Test: atest tests/JobScheduler/src/android/jobscheduler/cts/ExpeditedJobTest.java
Change-Id: If1531e6ecfb902192c0d3a242e168de9f580f980</t>
  </si>
  <si>
    <t>Hiding back AudioAttributes#usageToString(int)
Bug: 181015046
Test: atest CtsMediaTestCases:android.media.cts.AudioAttributesTest
Test: atest com.android.mediaframeworktest.unit.AudioAttributesUnitTest
Test: atest com.android.car.custominput.sample.unittest.CustomInputEventListenerTest
Change-Id: Ifd9b2ff4fcd19509bf6cf573553d660c6d6c02b8</t>
  </si>
  <si>
    <t>Rename API for Call Companion InCallService API review
Test: cts
Bug: 179116441
Change-Id: I23a6746f71a4cf3ea4162e25cdce5b491e2e9670
Merged-In: I23a6746f71a4cf3ea4162e25cdce5b491e2e9670
(cherry picked from commit 3290c2a651bf9f2178c115b104474e2decd939cf)</t>
  </si>
  <si>
    <t>Rename API for Call Companion InCallService API review
Test: cts
Bug: 179116441
Change-Id: I23a6746f71a4cf3ea4162e25cdce5b491e2e9670
Merged-In: I23a6746f71a4cf3ea4162e25cdce5b491e2e9670</t>
  </si>
  <si>
    <t>Fixed CreateAndManageUsers tests for headless system user mode.
These tests were failing for 3 main reasons:
- They were executed in the current user, which causes test cases
  that switches to a new user to crash (as on headless system user
  mode the current user is stopped on switch).
- Tests that used the SecondaryUserAdminReceiver were failing because
  on headless system user mode, the DO PO was automatically set on
  new users, even when a different PO was added to
  'createAndManageUser()'.
- Some tests were assuming there was just 1 existing user, while
  there are 2 (system user and current user).
Besides fixing these 2 issues, this CL also improves logging
(which is useful in case of failures).
Test: atest HeadlessSystemUserDeviceOwnerTest com.android.cts.devicepolicy.DeviceOwnerTest#testCreateAndManageUser_LowStorage,testCreateAndManageUser_MaxUsers,testCreateAndManageUser_GetSecondaryUsers,testCreateAndManageUser_SwitchUser,testCreateAndManageUser_CannotStopCurrentUser,testCreateAndManageUser_StartInBackground,testCreateAndManageUser_StartInBackground_MaxRunningUsers,testCreateAndManageUser_StopUser,testCreateAndManageUser_StopEphemeralUser_DisallowRemoveUser,testCreateAndManageUser_LogoutUser,testCreateAndManageUser_Affiliated,testCreateAndManageUser_Ephemeral,testCreateAndManageUser_LeaveAllSystemApps,testCreateAndManageUser_SkipSetupWizard,testCreateAndManageUser_AddRestrictionSet,testCreateAndManageUser_RemoveRestrictionSet,testUserAddedOrRemovedBroadcasts # on automotive and phone
Fixes: 180515783
Change-Id: Ia6bddecd13fcdfc9604f40391ab7b2a5e98c146b</t>
  </si>
  <si>
    <t>Reflect CarPowerPolicy change
- CarPowerPolicy's public fields are made private.
- This CL follow the change.
Bug: 181258433
Test: atest CtsCarServiceTest
Change-Id: I8326cd43d9ae807280ca23ee931fbcd9da2cc7a7</t>
  </si>
  <si>
    <t>Improve the qaulity for the RCS provisioning test cases
Sometimes the tests may be impacted by existing system data, like
the RCS config in database or cache; or the time sequence, like
execution time, delay of message, etc. The change is to eliminate
those potential issues.
Bug: 180535293
Bug: 180535562
Bug: 180536063
Test: atest CtsTelephonyTestCases:android.telephony.ims.cts.ImsServiceTest
Change-Id: I61f18c10794725ea3bc6242fc7a5d6488f56d518</t>
  </si>
  <si>
    <t>Add CTS tests for android:dataExtractionRules
Verify that:
* include / exclude rules are parsed correctly
* include / exclude rules are applied only to the relevant operation
  (i.e. backup or transfer)
* android:dataExtractionRules has priority over
  android:fullBackupContent
Bug: 180522596
Test: atest FullBackupRulesHostSideTest
Change-Id: I2b249314ed5c0847c279aba4197edd9abeaa4ab8</t>
  </si>
  <si>
    <t>Create display context in TestTaskOrganizer
If there is a configuration change after the context is created,
the configuration of the created context may be outdated.
That causes the test to use portrait bounds to set split screen
while device is landscape. The case is:
Test A:
1. Mock IME is toggled and triggers keyboard hidden change.
   The configuration of DisplayAdjustments of Application
   Resources updated to portrait bounds.
Test B (runs after Test A):
2. Create display context from application context. The configuration
   of DisplayAdjustments applies as override configuration to the
   Resources of new context.
3. Rotate device to landscape.
4. Display context still returns portrait bounds.
This change creates display context after step 3, so it can get
the new rotated configuration.
Also:
 - Make sure WindowInsetsAnimationImeTests reset mock IME.
 - Remove unnecessary wait of PinnedStackTests (reduce 20s+).
 - Remove duplicated setup (existed in parent) of WindowManagerTestBase.
 - Reuse MockImeHelper for WindowInsetsControllerTests.
Bug: 180952016
Test: atest WindowInsetsAnimationImeTests#testZeroInsetsImeAnimates \
            WindowInsetsPolicyTest#testForcedConsumedTopInsets
Change-Id: I3927882b1ff4b8dd65c88796090447913a2522ce</t>
  </si>
  <si>
    <t>[Media ML] Let MCS manage MediaSession2
This CL adds
- MediaCommunicationManager#notifySession2Created
- MediaCommunicationManager#getSession2Tokens
, which replaces the same methods in MediaSessionManager
to let MediacommunicationService manage MediaSession2.
MediaSessionService gets notified of created MediaSession2 instances
by adding a callback to MCM.
Bug: 180417011
Test: atest MediaSessionManagerTest MediaCommunicationManagerTest
Change-Id: Ib59c0e62ca9c6814213a73c31dc286d796eae14e</t>
  </si>
  <si>
    <t>cts(wifi): Use new STA + STA use case API's
Bug: 181272970
Test: atest android.net.wifi.cts
Change-Id: I1e3a49517bf2dd5033065d9f3cc1eeefdc62dfdd</t>
  </si>
  <si>
    <t>AudioCommunicationDeviceTest: address API review comments
Address API council comments and rename AudioManager.setDeviceForCommunication()
to AudioManager.setCommunicationDevice()
Bug: 179709789
Test: atest AudioCommunicationDeviceTest
Change-Id: I446475ee7dd12cc4068caba3695762e86dba393c</t>
  </si>
  <si>
    <t>Remove the SimsPowerRule in SimPhonebookProvider tests
There were only 2 tests that required the SIM to be off. One of them was
low value and so was removed and so it made sense to inline the stuff
in the rule in the one remaining test.
Test: atest CtsSimPhonebookProviderTestCases \
CtsSimPhonebookProviderNoSimTestCases
Change-Id: Ifff8345c965c15ac8c84a2b13c682a93294991d0</t>
  </si>
  <si>
    <t>Revert "Add cts for InputMethodService configChanges"
Revert submission 13417792-b/167948419
Reason for revert: Causes bugs like b/181195100
Reverted Changes:
Iff88b768c:Avoid IME restart for configChanges
Ib7ce13340:Add cts for InputMethodService configChanges
Bug: 167948419
Fix: 181195100
Change-Id: I737b1af4773008045b293e49f24e7e7e17e6d7d1</t>
  </si>
  <si>
    <t>Improve the qaulity for the RCS provisioning test cases
Sometimes the tests may be impacted by existing system data, like
the RCS config in database or cache; or the time sequence, like
execution time, delay of message, etc. The change is to eliminate
those potential issues.
Bug: 180535293
Bug: 180535562
Bug: 180536063
Test: atest CtsTelephonyTestCases:android.telephony.ims.cts.ImsServiceTest
Merged-In: I61f18c10794725ea3bc6242fc7a5d6488f56d518
Change-Id: I61f18c10794725ea3bc6242fc7a5d6488f56d518</t>
  </si>
  <si>
    <t>Revert "Adding tests for AudioManager CarVolumeCallbacks"
This reverts commit 9f49a7164a4f4ba8bc6c01bb7875425941f01e7a.
Reason for revert: Breaking presubmit tests
Change-Id: I7f5a952353709c17a47279939b46d8291f39bca4</t>
  </si>
  <si>
    <t>Add CTS tests for APN type conversions
Add tests for the methods that convert between string APN types and int
APN types.
Bug: 173133122
Test: atest ApnSettingTest
Change-Id: Iea70123d768a2e5a6d4bc2e75a0d63260974c03d
Merged-In: Iea70123d768a2e5a6d4bc2e75a0d63260974c03d</t>
  </si>
  <si>
    <t>Fix flakiness in CarModeInCallServiceTest.
Temporarily disable testStartCallInCarModeAndAutomotiveProjection and
call setUp and tearDown in super class.
Bug: 169603138
Test: TelecomCtsTests
Change-Id: Id9cbc0060e8eec69a1775b7f1426dcb390e42d62
Merged-In: Id9cbc0060e8eec69a1775b7f1426dcb390e42d62</t>
  </si>
  <si>
    <t>[PhoneStateListener] Revert the test to R version and add new test
Bug: 167684594
Test: make and atest TelephonyCallbackTest
Change-Id: I9fd195882f8131914263f57678ff5ea4ca7db5c2</t>
  </si>
  <si>
    <t>mediav2 CTS: Refactor Codec Decoder Extn Test
The test accepts multiple input files (multiple container formats but
underlying elementary stream is same), decodes them and compares the
output against each other. The validation is now extended by adding
rmserror and CRC validation wherever applicable.
Bug: 180571072
Test: atest android.mediav2.cts.CodecDecoderValidationTest
Change-Id: I9edc2d64b3472009d4bcd86fb9b16d2f7e6f74d3</t>
  </si>
  <si>
    <t>Add cts tests for managed profile provisioning
More tests will be added later, this is just to start
identifying some of the required Nene APIs
Test: atest android.devicepolicy.cts.DevicePolicyManagerTest
Bug: 175380793
Change-Id: I4dca91c5ffa1c9803043dd260bbca02c65386e2f</t>
  </si>
  <si>
    <t>Add cts tests for managed device provisioning
More tests will be added later, this is just to start
identifying some of the required Nene APIs
Test: atest android.devicepolicy.cts.DevicePolicyManagerTest
Bug: 175380793
Change-Id: I9b325fd7ba55ddcfc583acd1ea38c18ccb643d3b</t>
  </si>
  <si>
    <t>Add DeviceAdminApp.
This is a dependency which replaces the boilerplate to be set as
DeviceAdmin.
This also modifies EventLib so it correctly gets the needed permissions
before binding cross user, and CtsDevicePolicyTestCases to use
DeviceAdminApp.
Test: atest EventLibTest
Test: atest DeviceAdminAppTest
Test: CtsDevicePolicyTestCases
Bug: 177657337
Change-Id: Ifc616a19190b88aee2899cf40c33e998f7edbdde</t>
  </si>
  <si>
    <t>Remove startUser_userIsStopping_noBroadcastIsReceived test.
This is intrinsically flaky because it depends on running the startUser
before the user has finished stopping. Sometimes the stopping happens
too fast so it just flakes.
Test: atest CtsDevicePolicyTestCases
Bug: 181207615
Change-Id: Ieec602174b4f981480b49fbdce54894f7b108354</t>
  </si>
  <si>
    <t>CTS use AppUriAuthenticationPolicy and UrisToAliases equals
Bug: 177979648
Test: atest android.devicepolicy.cts.CredentialManagementAppTest
      atest android.devicepolicy.cts.AppUriAuthenticationPolicyTest
      atest android.security.CredentialManagementAppTest
Change-Id: Iea92d7493ec5ec1e23e0310ba63d017dd5ea17aa</t>
  </si>
  <si>
    <t>STS remove test for CVE-2017-13279
Causes lots of flakiness on low-memory devices.
This CVE would be classified as moderate under the latest severity
matrix.
Bug: 74612220
Test: none
Change-Id: Ie7465c704fedb8d0226036eadfc41aa9a6089c0d</t>
  </si>
  <si>
    <t>STS remove test for CVE-2017-13279
Causes lots of flakiness on low-memory devices.
This CVE would be classified as moderate under the latest severity
matrix.
Bug: 74612220
Test: none
Change-Id: Ie7465c704fedb8d0226036eadfc41aa9a6089c0d
Merged-In: Ie7465c704fedb8d0226036eadfc41aa9a6089c0d</t>
  </si>
  <si>
    <t>Fixed testDPSafetyChecker_onOperationSafetyStateChanged on PO.
The device admin receiver on ProfileOwnerTest was not propagated the
intent to the test app (only DeviceOwnerTest was doing so).
Also refactored TestAppCallbacksReceiver to use the new
UserManager.isForegroundUser() method to avoid granting
INTERACT_ACCROSS_USERS to the PO test app.
Test: atest com.android.cts.devicepolicy.ProfileOwnerTest#testDevicePolicySafetyCheckerIntegration_onOperationSafetyStateChanged # on phone and automotive
Fixes: 181627946
Change-Id: Id55acdd00eb4fe34b0458e6a8e7c4dc711f47f5a</t>
  </si>
  <si>
    <t>Skip RoR cts test if the device don't have lock screen
The resume on reboot feature needs device to support lock screen.
So we should skip the cts tests on unsupported devices, e.g. TV.
Bug: 181819400
Test: Cts tests still succeed on phones
Change-Id: Ia89117d90a7cadf8350838ba1075b6ba04c95d0e</t>
  </si>
  <si>
    <t>Update rotation cts test version check to S
Bug: 181776578
Test: verified with atest CtsRotationResolverServiceDeviceTestCases
Change-Id: I5380cd5d23a023dd918cf360e5b5342e562ac457</t>
  </si>
  <si>
    <t>Check if an InputEvent is source from an expected InputEvent.
The input source check verifies if actual source is equal or a subset of the expected source.
With Linux kernel 4.18 or later the input hid driver could register multiple evdev devices
when the HID descriptor has HID usages for different applications. Android frameworks will
create multiple KeyboardInputMappers for each of the evdev device, and each
KeyboardInputMapper will generate key events with source of the evdev device it belongs to.
As long as the source of these key events is a subset of expected source, we consider it as
a valid source.
Fixed the CTS test failure on some hardwares creating more than one
evdev interfaces for different HID application usages
Bug: 177228679
Test: atest inputflinger_test atest GoogleAtvReferenceRemoteControlTest#testAllKeys
Change-Id: I39e19d6a30b453fd4d12c54e46bdf56c4f643e00</t>
  </si>
  <si>
    <t>Test for: detect missing page reads.
Ignored for now, as we have missing page reads :(
Bug: 181876064
Test: atest PackageManagerShellCommandIncrementalTest
Change-Id: Ifbb54cae0de3591374cdb9a8393d4e38dfb2d86f</t>
  </si>
  <si>
    <t>Keystore 2.0: Remove testBuilder_Encrypted_Success
Deprecated flag under test no longer has an effect.
Test: N/A
Change-Id: I87adfc64a05ae36640ad98558c827d4c1b9ad540</t>
  </si>
  <si>
    <t>ConnectedNetworkScorerTest: Ignore local only or restricted connections
Also, created helper methods for suggestion/specifier connection when
the caller already holds the shell identity (the current helper methods
explicitly drop shell identity at the end of the method which results in
the caller losing shell identity after invoking the method.)
Bug: 181363436
Test: atest android.net.wifi.cts (On device with STA + STA &amp; without it)
Change-Id: I792a8bbf59026637107440b70a7b705e5dd8c4df</t>
  </si>
  <si>
    <t>Better error message for missing page reads.
&gt;missing reads count 15, timestamp delta 10ms
Bug: 181876064
Test: atest PackageManagerShellCommandIncrementalTest
Change-Id: Ic53b3f9cc4c2f53786d3e8519873c1e7d3fa4df9</t>
  </si>
  <si>
    <t>[PhoneStateListener] Revert the test to R version and add new test
Bug: 167684594
Test: make and atest TelephonyCallbackTest
Change-Id: I9fd195882f8131914263f57678ff5ea4ca7db5c2
Merged-In: I9fd195882f8131914263f57678ff5ea4ca7db5c2</t>
  </si>
  <si>
    <t>Delete incidentd related alarm proto tests
These tests are for proto dumps that are no longer used or have plans
for active development.
Test: atest CtsIncidentHostTestCases
Bug: 179058756
Change-Id: I66d74f2fa988f7c2c8f97b714ee761c374f1d620
Merged-In: I66d74f2fa988f7c2c8f97b714ee761c374f1d620</t>
  </si>
  <si>
    <t>Revert "Add test case that loading font files in another package"
This reverts commit c9239353f9b933687cdfcfafc7b61d45cf94593e.
Reason for revert: test failure on instant apps
Bug: 182175479
Change-Id: Ia930291b8faaa540ade0b6fbc3d21a76c071d7a3</t>
  </si>
  <si>
    <t>Updated unittests for refactored classes.
Bug: 176208267
Bug: 177371091
Test: atest CtsTranslationTestCases
Change-Id: I21b34713b3dd4aacabb56e83ee1e68797b9cba09</t>
  </si>
  <si>
    <t>Update UWB tests due to API changes
Updates the UWB tests due to changes in the AngleOfArrivalMeasurement
and AngleMeasurement objects.
Bug: 180395817
Test: atest UwbManagerTests CtsUwbTestCases
Change-Id: Ifb992449448541a552d7d544824f18f36bdc3e35
Merged-In: Ifb992449448541a552d7d544824f18f36bdc3e35</t>
  </si>
  <si>
    <t>Use updated API for VCN Network policy listeners.
This CL updates CTS testing for VcnManager to test the updated API for
VcnNetworkPolicyChangeListener (renamed from VcnNetworkPolicyListener),
per API Council guidance.
Bug: 181562364
Test: atest CtsVcnTestCases
Change-Id: Iad2f48d6b4dcf129724e73922ed681f3136db7b5</t>
  </si>
  <si>
    <t>Fix BiometricManagerTest for new credential string logic
Updates the CTS test for BiometricManager to no longer require
getButtonLabel and getPromptMessage to return the same string as for an
allowed authenticator sub-type and to require that getPromptMessage
return a distinct string for biometric|credential. This better captures
the new behavior of getPromptMessage to return strings that are specific
to biometric|credential.
Test: atest BiometricManagerTest
Bug: 180732913
Change-Id: I4cd0ba57b613880cf2062dba6f5a7947dfae1eb1</t>
  </si>
  <si>
    <t>Use multi-window mode for MultiWindowLoginActivityTest
Use TestTaskOrganizer for replacing old split screen in
MultiWindowLoginActivityTest
Bug: 176118826
Test: MultiWindowLoginActivityTest
Change-Id: Iad34a92b20297684231a3d1bc7039e837e115a2d</t>
  </si>
  <si>
    <t>Add basic tests for below UiTranslationManager APIs.
1. startTranslation
2. finishTranslation
3. pauseTranslation
4. resumeTranslation
Bug: 179047265
Test: atest CtsTranslationTestCases
BYPASS_INCLUSIVE_LANGUAGE_REASON: existing APIs
Change-Id: Ia6b4fbed6cc4df68a88633fcd0628d659d82d2d2</t>
  </si>
  <si>
    <t>Revert "CTS tests for Ripple drawable material next"
This reverts commit d472e426a7e093dae9172360c4e2ed0a5540fd5a.
Reason for revert: hiding API
Change-Id: Iec62cff453571a625161cb110537a348dd54f5e3</t>
  </si>
  <si>
    <t>Add test cases for passing the model data to the trusted process
Bug: 176938619
Test: atest CtsVoiceInteractionTestCases
Change-Id: I22dc91ce422c0e45d3540cc59679f7d33ac1985a</t>
  </si>
  <si>
    <t>Use updated API for VCN Network policy listeners.
This CL updates CTS testing for VcnManager to test the updated API for
VcnNetworkPolicyChangeListener (renamed from VcnNetworkPolicyListener),
per API Council guidance.
Bug: 181562364
Test: atest CtsVcnTestCases
Change-Id: Iad2f48d6b4dcf129724e73922ed681f3136db7b5
Merged-In: Iad2f48d6b4dcf129724e73922ed681f3136db7b5
(cherry picked from commit 83e8e03d3b181d87d807341e94be32afe52cb300)</t>
  </si>
  <si>
    <t>Rename SliceInfo to NetworkSliceInfo.
Test: build
Bug: 178498823
Change-Id: Idb565df4d03afe077cf1ddea6638501c8987075d</t>
  </si>
  <si>
    <t>Use updated VcnStatusCallback API.
This CL updates CTS testing for VcnManager to use
VcnStatusCallback#onStatusChanged following feedback from the API
Council.
Bug: 182345902
Test: atest CtsVcnTestCases
Change-Id: I2e20ccf041af519e1e44a563fadc3ca6c148df05</t>
  </si>
  <si>
    <t>Update PowerExemptionTest.
Add a test for #getSystemService(Class).
Bug: 180503057
Test: atest PowerExemptionManager
Change-Id: I60688c1dc86193e02abbfb2b66d00c8587c35d05</t>
  </si>
  <si>
    <t>Revert "Add cts for InputMethodService configChanges"
Revert submission 13727407-167948419
Reason for revert:
Possible root cause of Bug 182604598.
Reverted Changes:
Ib94fddadb:Avoid IME restart for configChanges
Ieca327b2e:Add cts for InputMethodService configChanges
Bug: 167948419
Bug: 182604598
Test: presubmit
Change-Id: I4818492b465fcbcb09f68825ccad8055521f3fe5</t>
  </si>
  <si>
    <t>Fix ScanningSettingsTest for S changes
Bug: 182794835
Bug: 182793507
Test: on device
Change-Id: Ie390227b5fe72ab0ea39da04db9a31ee071c6383</t>
  </si>
  <si>
    <t>Add CTS test for onLinkCapacityEstimateChanged
Add CTS test for the new LinkCapacityEstimateChangedListener of
PhoneStateListener.
Remove CTS test for getCarrierBandwidth().
Bug: 176814680
Test: atest -c TelephonyCallbackTest
Change-Id: I1998c7e4906cf426204ce0260b9e2bfa92fe8725</t>
  </si>
  <si>
    <t>Initial fixes for SuspendPackageTest for headless system user mode:
- Skip it if device supports managed users.
- Temporarily disable the UI dialog check as it's not supported on
  automotive builds yet.
- Replaced some JUnit assertions by Truth.
- Added more logging statements.
Test: atest CtsDevicePolicyManagerTestCases:com.android.cts.devicepolicy.MixedDeviceOwnerTest#testSuspendPackage,testSuspendPackageWithPackageManager # on phone and automotive
Bug: 182387060
Change-Id: Id7e6fd503225a00214daea708bf49b3222a8bcf7</t>
  </si>
  <si>
    <t>CTS for extention API: Create an object to include more session
information when starting external scorer
Bug:  178766233
Test: atest android.net.wifi.cts
Signed-off-by: Mingguang Xu &lt;mingguangxu@google.com&gt;
Change-Id: Ibbbe6241fc85b9ccc53aa43995d0148dd53a294b</t>
  </si>
  <si>
    <t>System MR2: Add tests for transferTo
Bug: 181122201
Test: Test passed
Change-Id: I337f0c53a50883a926dd50284b7883c03c2889ed</t>
  </si>
  <si>
    <t>Adding more tests for exact alarm permission
API setExact also requires the permission now. Also changes to fix some
tests and reduce flakiness.
Test: atest CtsAlarmManagerTestCases
Bug: 182835530
Fixes: 181563183
Change-Id: Idef84a18444fc65fe605a5fe3ad008fb88833d9b</t>
  </si>
  <si>
    <t>Revert "Add CTS test for onLinkCapacityEstimateChanged"
Revert "[Telephony] Notify onLinkCapacityEstimateChanged"
Revert "Remove the system API of getCarrierBandwidth()"
Revert submission 13662828-LceApi
Reason for revert: b/182869926, breaks errorprone
Reverted Changes:
I1998c7e49:Add CTS test for onLinkCapacityEstimateChanged
Id69fa8b7a:Integrate New LCE Api
I0cc020ba3:Remove the system API of getCarrierBandwidth()
Id613dc152:Add the LCE system API
If7cede0f4:[Telephony] Notify onLinkCapacityEstimateChanged
Change-Id: I9383bee816015b64f3eab60065d3bbd333f46dd1</t>
  </si>
  <si>
    <t>System MR2: Add remaining tests
This CL adds remaining tests for System MediaRouter2,
including tests on RoutingController's methods.
Bug: 181122201
Test: Test passed
Change-Id: Ib1ef0052a1285f4459336d5e67726bab44e5302f</t>
  </si>
  <si>
    <t>Add CTS test for onLinkCapacityEstimateChanged
Add CTS test for the new LinkCapacityEstimateChangedListener of
PhoneStateListener.
Remove CTS test for getCarrierBandwidth().
Bug: 176814680
Test: atest -c TelephonyCallbackTest
Change-Id: I34e27d407e4e1ff50fe10154c62f005f5df7b946</t>
  </si>
  <si>
    <t>Test more codecs in tunnel mode
Some devices only support non-AVC codecs in tunnel mode. This means
they were never tested.
This commit adds support for HEVC and VP9 tunnel mode testing.
Bug: 182245182
Test: atest android.media.cts.DecoderTest
Change-Id: I5fb357bb73287757db2fd5111c4e0d617172c006</t>
  </si>
  <si>
    <t>Add VoPS support info for NR
Bug: 167991878
Test: atest CtsTelephonyTestCases:VopsSupportInfoTest
Change-Id: I61906d0f1692db70d3df5c19101ba615a56c2b6e</t>
  </si>
  <si>
    <t>Fix UserRestrictionsTest for AAOS
Fixes: 174157239
Test: atest com.android.cts.devicepolicy.UserRestrictionsTest
Change-Id: I23dea6d6d6e293ad6791f98e0327c0d213b8c16b</t>
  </si>
  <si>
    <t>Update CTS test for renamed carrier select APIs
Updated the API name.
Bug: 181892269
Test: atest WifiManagerTest#testStartAndStopRestrictAutoJoinToSubscriptionId
Change-Id: I13d9ec3b0c1f5748389c711426315aac8d17a03a</t>
  </si>
  <si>
    <t>Changing DEVICE_NR_CAPABILITY type and renaming getMaxActiveInternetData
DEVICE_NR_CAPABILITY_*: Using int array instead of bitmask
Rename getMaxActiveInternetData and remove SystemAPI
Rename getMaxActivePacketSwitchedVoiceCalls
Bug: 180419672
Test: atest CtsTelephonyTestCases:android.telephony.cts.TelephonyManagerTest#testGetPhoneCapabilityAndVerify
atest CellularNetworkValidatorTest
atest PhoneCapabilityTest
atest PhoneSwitcherTest
atest TelephonyRegistryTest
Change-Id: I54f8d2d733e9e501ca643cbf5d98e18e2d1afaa7</t>
  </si>
  <si>
    <t>Remove SplitPermissionTest#inheritGrantedPermissionStateStorage
Change-Id: I1b1e30904313c21cdb7ecc869638b2f42a61c4bd
Fixes: 182231510
Test: atest SplitPermissionTest</t>
  </si>
  <si>
    <t>Add CTS test for onLinkCapacityEstimateChanged
Add CTS test for the new LinkCapacityEstimateChangedListener of
PhoneStateListener.
Remove CTS test for getCarrierBandwidth().
Bug: 176814680
Test: atest -c TelephonyCallbackTest
Merged-In: I34e27d407e4e1ff50fe10154c62f005f5df7b946
Change-Id: I34e27d407e4e1ff50fe10154c62f005f5df7b946</t>
  </si>
  <si>
    <t>Remove SplitPermissionTest#inheritGrantedPermissionStateStorage
Change-Id: I1b1e30904313c21cdb7ecc869638b2f42a61c4bd
Bug: 182231510
Test: atest SplitPermissionTest</t>
  </si>
  <si>
    <t>Fix Content Capture Whitelist CTS Test Failures
Separate packages were not allowed when temporary service is set in a user build.
Updated to use in-package different-process service. Since SystemServiceRegistery caches after first success, reduced test scope to specifically enabling whitelist.
Test: atest WhitelistTest
Bug: 181971946
Change-Id: I2d9d01e0360e33df4a4bd24696475e8caf75a539</t>
  </si>
  <si>
    <t>Revert "Adding CTS tests for the recycling correction"
This reverts commit f434814f57377be51c27b67485ffc92706250095.
Bug: 183104573
Test: Install from Play Store with the screen off on wembley, and the device doesn't crash when the screen turns back on.
Change-Id: Ie49a3a8f7bac88df49aadfbadc15b08408ac52d9</t>
  </si>
  <si>
    <t>Prefer changing wifi meteredness.
Have the connectivity tests prefer changing wifi meteredness state to
just toggling wifi on and off since meteredness is the main component of
running a job, not the transport type.
Bug: 172235912
Test: atest CtsJobSchedulerTestCases
Change-Id: Iabab1512933313e89b2c889a77736a75d2bd505f</t>
  </si>
  <si>
    <t>Cts tests for translation with callbacks.
Bug: 178651352
Test: atest CtsTranslationTestCases
Change-Id: I0265a499d572c275e631f97e70593752b98d4793</t>
  </si>
  <si>
    <t>Cts tests for TranslationContext/Config and new related APIs
Bug: 178651514
Test: atest CtsTranslationTestCases
Change-Id: I46e42e1a559008028e51d6f59c97f1e5f9701593</t>
  </si>
  <si>
    <t>Add CTS test case to verify DATA_NETWORK_TYPE in ServiceStateTable
Cover cases for both querying and observing.
Bug: 182601774
Test: atest android.telephonyprovider.cts.ServiceStateTest
Change-Id: I87cada817539902d320901fb6b422e92384fdc2b</t>
  </si>
  <si>
    <t>Remove CEC 2.0 checks from CEC 1.4 test
Fixes: 183369969
Test: atest HdmiCecStartupTest
Change-Id: I7ec9bdff4114dc63897ed5aa1c5525b6d0ef01e1</t>
  </si>
  <si>
    <t>Remove silent provisioning tests.
These tests are replaced with device tests that
rely on the framework provisioning APIs.
Test: N/A
Bug: 177502490
Change-Id: Ib6b3d6e1bd163a52b9ebc922f7441ee4ce1cc57e</t>
  </si>
  <si>
    <t>Shortcut integration with AppSearch (CTS for number of shortcuts)
Modified CTS tests in comply with the removal of limitaion on number of
shortcuts.
Bug: 151359749
Test: atest CtsShortcutManagerTestCases
Change-Id: Ief09d3877a57699114532adcd87daf2db7ad863f</t>
  </si>
  <si>
    <t>Add tests for exposed stop reasons.
Bug: 171305774
Test: atest frameworks/base/services/tests/servicestests/src/com/android/server/job
Test: atest frameworks/base/services/tests/mockingservicestests/src/com/android/server/job
Test: atest CtsJobSchedulerTestCases
Change-Id: I0f23bf6e9cdad8a92bf92ee91fee8efb6fc84d93</t>
  </si>
  <si>
    <t>Block properly for package installation.
Test: atest NeneTest
Bug: 180293870
Change-Id: I943e2db789cd4cf6736df141afee276bacbd4c4e</t>
  </si>
  <si>
    <t>Remove CTS tests related to resampling.
These tests are not needed anymore because we remove the resampler from
the SensorEventConnection class (ag/13953425). See discussion at b/179649922.
Test: atest CtsSensorRatePermissionTestCases
Bug: 136069189
Bug: 183098367
Change-Id: I5dae0e54ce790b704437c2d8cccd8825d0023028</t>
  </si>
  <si>
    <t>Remove CTS tests related to resampling.
These tests are not needed anymore because we remove the resampler from
the SensorEventConnection class. See discussion at b/179649922.
Test: atest CtsSensorRatePermissionTestCases
Bug: 136069189
Bug: 183098367
Change-Id: I5dae0e54ce790b704437c2d8cccd8825d0023028
Merged-In: I5dae0e54ce790b704437c2d8cccd8825d0023028</t>
  </si>
  <si>
    <t>Rename slicing to network preference
Test: atest DevicePolicyManagerTest
Bug: 178655595
Change-Id: I1124fd8df2cc788a56865dda13f39a3d7db87b43</t>
  </si>
  <si>
    <t>Updating security tests to reflect CDD changes.
Tests that assert requirements from section 9
don't need to be run for devices that don't declare
the FEATURE_SECURITY_MODEL_COMPATIBLE system feature.
Tests were migrated to use Junit 4 where needed so
assumption failures could be reported as skipped tests
instead of passing tests.
Addressed code style issues.
Test: atest CtsSecurityTestCases:FileIntegrityManagerTest \
 CtsSecurityTestCases:EncryptionTest \
 CtsSecurityTestCases:VerifiedBootTest \
 CtsSecurityHostTestCases:KernelConfigTest \
 CtsSecurityHostTestCases:MetadataEncryptionTest \
 CtsSecurityHostTestCases:PerfEventParanoidTest \
 CtsSecurityHostTestCases:SELinuxHostTest \
 CtsAppSecurityHostTestCases:DirectBootHostTest \
 CtsNativeEncryptionTestCases CtsNativeVerifiedBootTestCases
Bug: 173540259
Change-Id: Ic64b1383da4a5bb64e2d753c397e6e7c9d3671bc</t>
  </si>
  <si>
    <t>cts - wifi verbose logging changed feedback
Update code to use modified API. Also added a check to make sure this
new API is only tested on android module version S and above.
Bug: 183395433
Test: atest WifiManagerTest#testVerboseLoggingEnabled
Change-Id: Ie542d7bcb50502256bab5adc04640412e0e74672</t>
  </si>
  <si>
    <t>Media CTS: update log session ID API calls
Bug: 183095725
Test: atest AudioRecordTest#testSetLogSessionId
Test: atest AudioTrackTest#testSetLogSessionId
Test: atest MediaExtractorDeviceSideTest#testLogSessionId
Exempt-From-Owner-Approval: blocking API complete, and +2 received from
the original test authors.
Change-Id: I9b47dc588a2dc94af84981186cafa7c2fa956273</t>
  </si>
  <si>
    <t>Update framework from jetpack.
Changes included:
* 4d36ab: Rename AppSearchSession in test message to avoid export bug.
* 0b2126: Update AppSearch to be in sync google3 update ag/13878956.
* e79e74: Add getRankingSignal method to SearchResult.
* 2c2383: Add a getNamespaces() API.
* 712009: Add getStorageInfo API.
* 81e601: Add resut grouping flags and limits.
* f23105: Support usage reporting by the system in AppSearchImpl.
* 05b7d3: Change schema version from per AppSearchSchema to overall.
* effe02: Support schema migration to another type.
* a0db44: Some minor fix for GetSchemaResponse
* 66a1c3: Support AppSearchResult to convert a failure result to another type.
Bug: 177266929
Bug: 182620003
Bug: 183031844
Bug: 180429302
Bug: 182909475
Bug: 179160886
Bug: 183042276
Bug: 181179404
Test: Presubmit
Change-Id: Ica7e8491c912dba05308c1b68b7a076fc51ed44c</t>
  </si>
  <si>
    <t>Enable WiFi before running test
Even though WiFi is supposed to be enabled for CTS tests, we
still see some flakiness where it's not enabled. As a precaution
try to enable WiFi before test is run,
Also remove attempt to disable WiFi from an existing test.
Bug: 170627349
Test: DeviceOwnerTest#testWifiNetworkConfigurationWithoutFineLocationPermission
Change-Id: I8831cf1d92a179a1abd9fee2b2f6f2b76d809607</t>
  </si>
  <si>
    <t>Revert "MediaAppender+MediaMuxer:AppendFunction, new APIs"
This reverts commit bfb199d5bec35cdee8dc05efccbcc3739ab15672.
Reason for revert:  Broken test: com.android.server.wm.flicker.monitor.ScreenRecorderTest#videoCanBeSaved
Change-Id: I3b2ee104d134ecb0e8c497e25811be90592dbf8b</t>
  </si>
  <si>
    <t>Update the CTS because of the RCS UCE API changed in RcsCapabilityExchangeImplBase
Bug: 180616706
Test: atest RcsUceAdapterTest ImsServiceTest
Change-Id: Idafc11dd858510a946b777e97f532535ffcfc7b8</t>
  </si>
  <si>
    <t>New test annotation: @RequiresProfileOwnerSupport
Tests that should only run on devices that support profile owner were
traditionally looking for FEATURE_MANAGE_USERS, but on headless
system mode devices a profile owner is created in the current user
when the device owner is set on system user, even if the device
doesn't support the feature.
This CL introduces a new annotation that accounts for both cases.
Test: atest CtsDevicePolicyManagerTestCases:ProfileOwnerTest # on automotive and phone
Bug: 183020176
Change-Id: I43f798b362746e0c1659faf51e557075515477b6</t>
  </si>
  <si>
    <t>Disable other networks when we explicitly want metered wifi.
The device will default to an unmetered cellular connection over a
metered wifi connection, so make sure there are no other networks when
we want to use a metered wifi connection.
Bug: 183639563
Test: atest CtsJobSchedulerTestCases:ConnectivityConstraintTest
Change-Id: I50172a6e82763cf7e6b3399f17971bd96baf6d66</t>
  </si>
  <si>
    <t>Revert "[RESTRICT AUTOMERGE] CTS test for Android Security b/72323107"
Test is Infeasible
This reverts commit 9ff04eba393a0ccb76e59f730e1827c40a141d5e.
Bug: 72323107
Bug: 182189037
Test: sts-tradefed
Change-Id: I8ffc7a43461e61866433412cd744b3cbd493597c</t>
  </si>
  <si>
    <t>Remove test requesting empty role.
We already have testing for requesting an invalid role name, whereas
RoleManager.createRoleRequestIntent() has been throwing IAE for empty
role name so this could never have reached RequestRoleFragment or
contributed any coverage. The local crash has been surfaced recently so
remove this invalid test.
Bug: 183503956
Test: presubmit
Change-Id: I0d1acd1e3118fafdf33e9766dbcee907ccc538c4</t>
  </si>
  <si>
    <t>Rename getOnReceiveContentMimeTypes (drop "On")
Bug: 179143943
Test: Presubmit
Change-Id: I07c5ec3f2e77607905848d9143cf80981edb2c86</t>
  </si>
  <si>
    <t>Revert "Add PermissionIndicatorAppOpUsageTest"
This reverts commit 5dd49e680a905b6fb0acd556f892c47f08f3c34e.
Reason for revert: b/183811257 - Adding the camera permission to this test package breaks other existing tests.
Fixes: 183812177
Fixes: 183811257
Change-Id: I9912678be32759de6ef747b411be20fc36d4f127</t>
  </si>
  <si>
    <t>fix DocumentsClientTest fail in CtsAppSecurityHost
The one of our device fixs the storage name strings for DocumentUi
to "Internal Storage" instead of device name.
This patch allows the strings both "Internal Storage" and device's
name even if the device's name is not empty.
Bug: 182522797
Test: pass
      android.appsecurity.cts.DocumentsTest#
        testOpenDocumentTreeWithScopedStorage
Change-Id: I621c27e7bff0b6edfd44391966807fb182933f97</t>
  </si>
  <si>
    <t>Update PostScript CTS
The file name requirement will be removed.
Instead, adding requirement that the PostScript can identify
the font file in the system.
Bug: 184003133
Test: atest android.graphics.fonts.SystemFontsUniqueNameTest
Change-Id: Ib1a75c6d0e0a448518aee7809bb17c05679e5ef6</t>
  </si>
  <si>
    <t>Fix strict java packages test
Support multi-dex bootclasspath jars and amend the allowlist to
acommodate for the duplicates that slipped through.
As the duplicates may have already been handled by others, handle the
allowlist as a guide instead of assuming duplicates exactly match it.
Bug: 183473640
Test: presubmit
Change-Id: I66d95467e9035fa6610398a85a9b9b4dedbdbfb5
Merged-In: I66d95467e9035fa6610398a85a9b9b4dedbdbfb5
(cherry picked from commit 602944c30c6f55595e07a26568a4086aa1a603cd)</t>
  </si>
  <si>
    <t>Remove mTestSetGeometry since it's crashing
The newly added mTestSetGeometry parameter causes a crash in the tests
since the JNI functions are not set up. Removing the parameter since the
new APIs will be updated soon and new tests will be added instead.
Test: ASurfaceControlTest
Fixes: 183948047
Change-Id: I9214f008e6c2ad69196e7c61940116983dc842b2</t>
  </si>
  <si>
    <t>Remove SensorConfigurationTest, as it's already in regular CTS
Regular CTS already uses testApis and dumpsys to check the
configuration.
Bug: 152240892
Test: install and run CtsVerifier
Change-Id: Ib87fc573512d4a5569b3daa6222af7a039306fd8</t>
  </si>
  <si>
    <t>Make CTS fail with ChooserTargetService results
ChooserTargetService has been deprecated since API level 30.
We've promised developers that the system Sharesheet will no
longer query them for results. Changing CTS to match this
promise.
Fixes: 182488251
Bug: 172830977
Test: atest CtsSharesheetTestCases
Change-Id: I272bdebc3a4c1eda2d269885dce14db296424396</t>
  </si>
  <si>
    <t>Move credential tests to regular CTS
Credential tests do not need to live in CtsVerifier anymore,
since the new biometric CTS infrastructure can do automated testing.
Bug: 152240892
Test: atest CtsBiometricsTestCases
Test: Check that it's removed from CtsVerifier
Change-Id: I12bb9f115c2873f5f80ce95bd26139b14fd3d5ef</t>
  </si>
  <si>
    <t>Fix EnterpriseNetworkPreference cts test in MixedManagedProfileOwnerTest
Test: atest MixedManagedProfileOwnerTest#testSetGetEnterpriseNetworkPreferenceStatus
Bug: 183823370
Change-Id: Ic08bb8c0fb6e8ed92a4e7470f67be064b811e6d0</t>
  </si>
  <si>
    <t>Atoms tests for location time zone detection
This adds two tests:
1) One that confirms the LocationTimeZoneProviderStateChanged is being
pushed properly.
2) One that confirms the TimeZoneDetectorState is being pulled properly.
Test: atest hostsidetests/time/host/src/android/time/cts/host/LocationTimeZoneManagerHostTest.java
Test: atest hostsidetests/time/host/src/android/time/cts/host/LocationTimeZoneManagerStatsTest.java
Test: atest hostsidetests/time/host/src/android/time/cts/host/TimeZoneDetectorStatsTest.java
Bug: 172934905
Change-Id: I76aa5fe5e4a5344fe06f241c43b1bf16aefa35f8</t>
  </si>
  <si>
    <t>Split biometric tests into subclasses.
In some cases, tests will fit into more than one category. Just
pick the closest fit.
Bug: 152240892
Test: atest CtsBiometricsTestCases
Change-Id: If7923d4916f83467ca58441f87ee21510793a51d</t>
  </si>
  <si>
    <t>Delete testUidForegroundDuration
Bug: 183447310
Test: TH
Change-Id: I6b3d455c753ff7500beee19839c076a1ad965f49</t>
  </si>
  <si>
    <t>mediapc: abstract out version checking
This is repeated information in every test.
Also add AndroidTest.xml so atest finds this.
Bug: 184201129
Change-Id: I6892bcc869f016b65b860c4979ca96430df6fde1</t>
  </si>
  <si>
    <t>HDMICEC: Move duplicated methods to a common file
Move getSystemLocale(), extractLanguage(), setSystemLocale(),
isLanguageEditable() methods to a common file BaseHdmiCecCtsTest.java
Bug: 173468440
Test: None.
Change-Id: I85a1b128898f5068184ea26a6395757e5ce7dd20</t>
  </si>
  <si>
    <t>Add CTS tests to verify redaction via redacted URI on shared app
Tests to verify that a package can successfully use a redacted uri,
when one is shared with it. These tests also verify that the redacted
uri redacts the EXIF metadata for the receiver app.
Test: atest CtsScopedStorageDeviceOnlyTest:ScopedStorageDeviceTest
Bug: 179914046
Bug: 176547697
Change-Id: Ied424cfaca4c4aacbfbc4b18319172fb17e614be</t>
  </si>
  <si>
    <t>API Coverage - Fix UCE methods not covered
Bug: 182924117
Test: atest ImsServiceTest RcsUceAdapterTest RcsContactUceCapabilityTest
Change-Id: I87e27714276d280c20e97dc61f1f03deb3dd868f</t>
  </si>
  <si>
    <t>Revert "Shortcut integration with AppSearch (CTS Test)"
Revert submission 13554951-shortcut-appsearch
Reason for revert: affecting multiuser and perf test
Reverted Changes:
I7ae7ec50a:Shortcut integration with AppSearch (Part 5)
I726e3777c:Shortcut integration with AppSearch (CTS Test)
Bug: 183982287, 183949746
Test: atest ShortcutManagerClientApiTest
Change-Id: If5d7e66672d67812ea433cf37bc10ba73e78b5a4</t>
  </si>
  <si>
    <t>Move content verification to regular CTS
Bug: 152240892
Test: atest CtsBiometricsTestCases
Test: make -j CtsVerifier
Change-Id: I11cd4739813da82a5a7f89d207c87dbefe15d4d3</t>
  </si>
  <si>
    <t>Fix and clean up JS tests.
1. Actually add INTERNET permission for the connectivity. Most of the
   connectivity tests shouldn't have been passing but without this
   permission.
2. Try to make sure tests are passing for the correct reasons and not
   just because the deadline has passed.
3. Don't automatically close the test job activity. Doing so can cause
   some tests to be flaky. A test can explicitly close the activity if
   it wants the activity closed.
4. Wait for the test app to finish scheduling a job before proceeding
   with the rest of the test.
5. Let tests specify network type when using the test app.
Bug: 141645789
Test: atest CtsJobSchedulerTestCases
Change-Id: Ib342917258fb2dc82be6120f2e4550ea9ddf2078</t>
  </si>
  <si>
    <t>Move AuthentictionResult tests to regular CTS
Bug: 152240892
Test: atest CtsBiometricsTestCases
Change-Id: I10fabcf451c5a0cefcdb93895ede01c41b4df72c</t>
  </si>
  <si>
    <t>Hookup renounced permissions - CTS
Propagate renounced permissions from context params
to the context attribution source. Throw if one
tries to request at runtime a renounced permission.
Also make the AttributionSource take null for the
setters to ease usage, otherwise folks should always
check for null before calling a builder method.
bug: 158792096
Test: atest CtsPermission5TestCases
Change-Id: I86f92211285c9c6035975dcb6280afa470cd9a49</t>
  </si>
  <si>
    <t>Some ASurfaceControlTest cleanup
1. Remove the animationFactory passed to verifyTest. This isn't needed
for this set of tests and just slows down the tests significantly.
Instead, this set of tests will just test that a single frame showed the
correct content.
2. Use DEFAULT_LAYOUT_WIDTH and DEFAULT_LAYOUT_HEIGHT as the buffer size
sent to SurfaceControlTestCase. This controls the size of the
SurfaceView. Previously, the buffer size was larger and then getting
scaled down, which was causing confusion in the tests. This simplies the
tests since now the expected size is much clearer
Test: ASurfaceControlTest
Fixes: 184074163
Change-Id: I8063f5bbb2474618162c0eed82800bf2efbf3e3c</t>
  </si>
  <si>
    <t>Updating AppWidgetProviderInfo API
Bug: 184537397
Test: Presubmit
Change-Id: I09fbf16688aa14107502f8bc143478fa6efc9a55</t>
  </si>
  <si>
    <t>Make sure bg connectivity jobs don't start when data saver is on.
Make sure we don't start background jobs that require connectivity when
data saver is on and the network is metered.
Bug: 171305774
Test: atest frameworks/base/services/tests/servicestests/src/com/android/server/job
Test: atest frameworks/base/services/tests/mockingservicestests/src/com/android/server/job
Test: atest CtsHostsideNetworkTests:HostsideRestrictBackgroundNetworkTests
Test: atest CtsJobSchedulerTestCases
Change-Id: I6a32208f57fa8b1e25357ef4e1963f3c6a3c8e09</t>
  </si>
  <si>
    <t>Remove redundant credential tests
Bug: 152240892
Test: make -j CtsVerifier
Change-Id: Ibc3cabb9695dec9c8310495294e086af0dea08cd</t>
  </si>
  <si>
    <t>Move invalid input test to regular CTS
Bug: 152240892
Test: atest CtsBiometricsTestCases
Test: make -j CtsVerifier
Change-Id: Ifb2d2d41b3b29cd74919171537ff4c0517e09989</t>
  </si>
  <si>
    <t>Move "rejectThenAuthenticate" test to regular CTS
Bug: 152240892
Test: atest CtsBiometricsTestCases
Change-Id: I4d2fa47b120c782ce01ece4cb6d7037c60107e7a</t>
  </si>
  <si>
    <t>Fix BiometricManagerTest for credential-only devices
For devices that support PIN/pattern/password authentication but not
biometrics, it is appropriate for BiometricManager#getPromptMessage()
to return the same string for credential-only and biometric|credential
auth. Therefore, this commit removes the requirement that these strings
be different from BiometricManagerTest.
Test: atest BiometricManagerTest
Fixes: 182958348
Change-Id: Ibebee80829c04c133c28d5efe31324b835c7a775</t>
  </si>
  <si>
    <t>HDMICEC: Move duplicated methods to a common file
Move getSystemLocale(), extractLanguage(), setSystemLocale(),
isLanguageEditable() methods to a common file BaseHdmiCecCtsTest.java
Bug: 173468440
Test: None.
Change-Id: I85a1b128898f5068184ea26a6395757e5ce7dd20
Merged-In: I85a1b128898f5068184ea26a6395757e5ce7dd20</t>
  </si>
  <si>
    <t>Track command line change / switch to DeviceConfig
Switch test infrastructure to use DeviceConfig instead of dedicated
location_time_zone_manager shell commands where there is overlap.
Test: atest hostsidetests/time/host/src/android/time/cts/host/LocationTimeZoneManagerHostTest.java
Test: atest hostsidetests/time/host/src/android/time/cts/host/LocationTimeZoneManagerStatsTest.java
Test: atest hostsidetests/time/host/src/android/time/cts/host/TimeZoneDetectorStatsTest.java
Bug: 178169250
Change-Id: I4459e50df636c5dd42b83d579503403553514fd8</t>
  </si>
  <si>
    <t>Rename Enterprise Network Preference to Preferential network service
Rename the logging constant for the "Enterprise Network Preference" to
"Preferential Network Service".
Bug: 183663019
Test: atest FrameworksServicesTests:DevicePolicyManagerTest android.admin.cts.DevicePolicyManagerTest#testSetGetPreferentialNetworkServiceEnabled  com.android.cts.devicepolicy.MixedManagedProfileOwnerTest#testSetGetPreferentialNetworkServiceStatus com.android.cts.devicepolicy.MixedManagedProfileOwnerTest#testSetPreferentialNetworkServiceStatusLogged
Change-Id: I83a6b1944695062e398c52e8809aba78ff9edc29</t>
  </si>
  <si>
    <t>Add additional CTS tests for TextToSpeech connection
Added following tests:
* Multiple TTS clients - tests that the engine is unbound properly
* System service fails to bind to engine - tests that the client is
notified
Bug: 180473039
Test: atest CtsSpeechTestCases
Change-Id: I629d796d8b83bc08863f677feec957f43e950204</t>
  </si>
  <si>
    <t>Update CTS tests removing setViewId
Fix: 182824754
Test: atest CtsWidgetTestCases:RemoteViewsTest
Test: atest CtsWidgetTestCases:RemoteViewsRecyclingTest
Change-Id: I440dc35ac21903615571eb8c9e234bd40f3f2b2d</t>
  </si>
  <si>
    <t>Adding more tests and improving CtsAlarmManagerTestCases
SCHEDULE_EXACT_ALARM now prevents the standby-bucket from going below
WORKING_SET - added tests and adjusted existing tests for the same.
Testing that the exact_alarm_deny_list demotes the default state of the
permission to denied.
Adding tests for the new API setPrioritized.
Waiting for device_config changes to propagate before proceeding
and other minor tweaks to improve reliability of the tests.
Also, fixing broken instant-apps tests.
Test: atest CtsAlarmManagerTestCases
Bug: 181152252
Bug: 181894091
Fixes: 184544294
Fixes: 184385136
Bug: 182843915
Bug: 183296675
Bug: 183661625
Bug: 159889102
Change-Id: I8ce8af3aa12a85a6d1f4a9f41012a352bde28b9d</t>
  </si>
  <si>
    <t>Revert "Updates CTS tests for MAC address restrictions."
Revert submission 1528409-mac-softrestrict
Reason for revert: App compatibility
Reverted Changes:
I74a50b990:Return anonymized MAC for apps targeting SDK &lt; 30
I8738f7912:Reland: Soft-enable MAC address restrictions with ...
Id13670747:Updates CTS tests for MAC address restrictions.
Change-Id: Iaee3661766e027b8a124e937fc9c79a1e13b29dd</t>
  </si>
  <si>
    <t>Make tests better about cleaning up
Small changes to ensure devices are left in a state close to the one
they started in.
The main change is to reset device_config flags to safe defaults, which
should be good enough for CTS.
Bug: 178169250
Test: atest CtsLocationTimeZoneManagerHostTest
Change-Id: I39e8455c5ad87220c0fa45d544bc13efd51afb7d</t>
  </si>
  <si>
    <t>Allow OEMs to customize storage root name to "Internal storage".
Bug: 184889237
Test: atest DocumentsTest
Change-Id: I0c5817cc40635fe5acb1210bf674cfda379cb476</t>
  </si>
  <si>
    <t>Update UsageStatsTest because of API renaming
Renamed test and usage of the API because API is renamed.
Bug: 183656434
Test: This is the test
Change-Id: I07c6ed07ed6673d7c938d4a3ec5671fa2d351d72</t>
  </si>
  <si>
    <t>Move some tests into CTS
Some directory changes and move some tests from coretests and make them
CTS-friendly (i.e. using only system/public APIs).
This also removes tests from TimeManagerTest which should now be covered
by ExternalTimeSuggestionTest.
Bug: 184947690
Test: atest CtsTimeTestCases
Change-Id: I620c6fd9e82a943267870e70366266f29ee6cf6b</t>
  </si>
  <si>
    <t>Modify tests to use closeSession instead of closeDialog
Bug: 184858064
Test: atest CtsTelephonyTestCases:SipDelegateManagerTest
Change-Id: I3654d24b02feb4c2a19fb101d5baeea32aa9791f</t>
  </si>
  <si>
    <t>Update coex cts tests to reflect API council changes
Update CoexUnsafeChannelTest and WifiManagerTest to reflect API council
changes to the coex APIS:
- Replaced CoexUnsafeChannel#isPowerCapAvailable with sentinel value
- Removed WifiManager#getCoexUnsafeChannels/Restrictions and rely on
  CoexCallback#onCoexUnsafeChannelsChanged for current values.
Bug: 184018103
Test: atest CoexUnsafeChannelTest WifiManagerTest
Change-Id: I84fc60d6cd10e8ebe6d4974feaabde64d92543be</t>
  </si>
  <si>
    <t>Rename CombinedVibrationEffectTest to CombinedVibrationTest
Rename tests according to new API classes and method names.
Fix: 184123900
Test: CombinedVibrationTest
Change-Id: I1aa19e4f8f63ce290f4b3094adc0e31e45cdefda</t>
  </si>
  <si>
    <t>Rename createContentUriAsUser to createContentUriForUser
Bug: 183395239
Test: atest ContentProviderTest
Change-Id: I5e5018941537a1195f3dd41315937d45a824508c</t>
  </si>
  <si>
    <t>[cts] remove tests for ACTION_PACKAGE_FULLY_LOADED
No longer a public API.
BUG: 171920377
Test: atest PackageManagerShellCommandIncrementalTest
Change-Id: I1630ecd6c1f8b8b51d0a72e499ceec8183eaaa96</t>
  </si>
  <si>
    <t>Adding CTS tests for attribute setters
Bug: 184931139
Test: atest CtsWidgetTestCases:RemoteViewsTest
Change-Id: If7313184feadd49599acf2ec4ca0b076247ff4ae</t>
  </si>
  <si>
    <t>Added package-remove test to AppSearch host test
Bug: 145759910
Test: atest --rebuild-module-info CtsAppSearchHostTestCases
Change-Id: Iaae64c4ec4eacb8faad90b358640492098e0fde1</t>
  </si>
  <si>
    <t>Re-land ACCESS_MTP mount mode storage access test
Test app with certificate: platform and ACCESS_MTP permission behaves as
intended locally, but is not able to pass presubmit.
adoptShellPermissionIdentity(ACCESS_MTP) is unable to give the caller
test app ACCESS_MTP granted.
Since the presubmit test failure is not repro-able locally, add a basic
test for mount modes.
Bug: 183377919
Test: atest CtsScopedStorageHostTest
Test: atest CtsScopedStorageDeviceOnlyTest
Change-Id: I5def928f2354e3b3b2f5f3582ee8716f0e19be3f</t>
  </si>
  <si>
    <t>Add more test for MediaStore.getMediaUri()
MediaStore.getMediaUri() also support MediaDocumentsProvider Uris
(instead of just ExternalStorageProvider Uri). Add test coverage for the
same.
Bug: 132644625
Test: atest MediaStoreUiTest
Change-Id: I63e87eaffd476187c337013fe400672065c50b09</t>
  </si>
  <si>
    <t>Update and add CTS tests which test rate-limiting toasts.
We now don't rate-limit toasts when the package is in the foreground.
Bug: 185107358
Test: atest android.widget.cts.ToastTest
Change-Id: I9a4d587770c82920c9d310dfb6fcd2a54801280c</t>
  </si>
  <si>
    <t>Modernize CtsCarrierApiTestCases code.
The style of these classes is quite mixed due to when they were added.
Bring everything to a uniform style with modern test practices:
- Common base class with uniform preconditions and failure messages
- Stop extending AndroidTestCase, use @RunWith(AndroidJUnit4)
- Explicit @Test annotations on test methods
- Switch from Junit assertions to Truth assertions
- Format all code
Also fix a minor BroadcastReceiver leak.
Test: atest CtsCarrierApiTestCases
Bug: 178419755
Change-Id: I0f8cf8ece19933d8b34ab88cb62c7f5bdc0911bb</t>
  </si>
  <si>
    <t>Revert "Change PlaybackState#isActiveState to isActive"
Revert submission 14124578-playbackstate_isactive
Reason for revert: b/185343312
Reverted Changes:
I4757038d6:Change PlaybackState#isActiveState to isActive
If7753e8e9:Change PlaybackState#isActiveState to isActive
Change-Id: I568a1de7e452e420affb07aba9c07738f66b5a7e</t>
  </si>
  <si>
    <t>Update ControllerAlwaysOnStateCallback to ControllerAlwaysOnListener
Bug: 182979907
Test: atest NfcNciInstrumentationTests
Test: atest android.permission.cts.NfcPermissionTest
Change-Id: I9722b652cf432d51162a8b04cb723811a52aa0ca</t>
  </si>
  <si>
    <t>Use fake content URI in InlineAugmentedContentTest
To reduce flakes and simplify the test, use a fake content URI instead
of creating an actual file in media store.
Bug: 183968668
Test: atest CtsAutoFillServiceTestCases:InlineAugmentedContentTest
Change-Id: I694527e2463c67bc447acab7a29d6c8e1ead83b2</t>
  </si>
  <si>
    <t>Revert "Added package-remove test to AppSearch host test"
Revert submission 14095007-appsearch-package-remove
Reason for revert: b/185306078 - creates appSearch directory before user is unlocked
Reverted Changes:
Iaae64c4ec:Added package-remove test to AppSearch host test
I81a1f5cae:Register PackageChangedReceiver to AppSearchManage...
Change-Id: Ia6849fcf5fdd52d07aedd6347591009a49298593</t>
  </si>
  <si>
    <t>wifi: Rename country change API
API Review: CountryCodeChangeListener:
CountryCodeChangeListener - should be CountryCodeChangedListener.
Also update the corresponding method (should be onCountryCodeChanged).
Bug: 185121604
Test: atest -c WifiNl80211ManagerTest
Change-Id: I851e53788ad7edfd3530be7ac7fad0918a98bf4c</t>
  </si>
  <si>
    <t>Add getPostScriptName API
Bug: 184003133
Bug: 185508395
Test: atest FontManagerTest#fontManager_PostScriptName
Change-Id: I4ad9062d6b7a83ac462730fcc1e24786bd8acd48</t>
  </si>
  <si>
    <t>Remove test method from NearbyDevicesPermissionTest
This test method has been obsoleted by PermissionTest30WithBluetooth.
Bug: 183962420
Test: NearbyDevicesPermissionTest
Change-Id: I8a35cbd1cc1e86fc7517c42120ef30017ec89e09</t>
  </si>
  <si>
    <t>Refactor AbstractApiChecker into ApiPresenceChecker.
The class is now concrete, and by itself will check that all APIs given
are present at runtime. A follow up CL will use that functionality as
is and delete the AnnotationChecker subclass.
Unnecessary abstract methods are removed or given default
implementations to enable this.
Test: atest ApiComplianceCheckerTest AnnotationCheckerTest
Change-Id: Ibb04b1da1db26dcca7cdce0a47441897f1072e42</t>
  </si>
  <si>
    <t>revert cts test in comply with device flag
Bug: 185828535
Test: atest CtsShortcutManagerTestCases
Change-Id: I3174d648fdfe89604d4aa059c8c19492ac8022da</t>
  </si>
  <si>
    <t>Add FLAG_MUTABLE to PendingIntent for RemoteViews CTS
Also rename to match final method name
Bug: 185559057
Test: atest
Change-Id: I027fe92bf443d855b0adbb01fd6deb8fad38467e</t>
  </si>
  <si>
    <t>Fix secondary user UninstallExistingPackageTest
The test testUninstallExistingPackage_failsIfInstalledInOnlyOneUser
tests that packages that are only installed in a single user cannot be
completely uninstalled with the uninstallExistingPackage API.
If the test was executed with `--user-type secondary_user`, tradefed
created a new user to run the test in, and the target_preparer installed
a test APK in all users (primary and the created secondary user).
Thus when uninstallExistingPackage is called, the package can be
uninstalled. The test did not expect this case.
With this change, the test apk is only installed for the user the test
is running for in setUp, and uninstallExistingPackage is also called on
that user instead of always the primary user.
Bug: 180755384
Test: atest CtsPackageManagerMultiUserHostTestCases
Test: atest --user-type secondary_user CtsPackageManagerMultiUserHostTestCases
Change-Id: Ie1963cbb8d3c4a1c0ed012482c578d3043766b99</t>
  </si>
  <si>
    <t>CtsMediaV2TestCases: Add support to select codec/s to be tested
Pass an optional argument codec-prefix &lt;codec name prefix&gt; to
pick one or more codecs that start with a given prefix.
Also renamed codec-sel argument to mime-sel as it was used to
select codecs by mime
Updated README.md to show how to test for a given set of components
Bug: 183622283
Test: atest CtsMediaV2TestCases -- --module-arg \
 CtsMediaV2TestCases:instrumentation-arg:codec-prefix:=c2.android
Change-Id: I05a0e8aed71ec6ac7463e07e962007d8e6aa95a9</t>
  </si>
  <si>
    <t>media: add tests for AudioRecord shared audio history
Add AudioRecordSharedAudioTest class to test @SystemApi APIs
added to allow sharing audio history between AudioRecord instances.
Also move MediaSyncEvent related tests from AudioRecordTest class to
a new specific class MediaSyncEventTest.
Bug: 183705547
Test: atest AudioRecordSharedAudioTest
Test: atest MediaSyncEventTest
Change-Id: I0db9b2566ba627f49082bd986d14eaccbe041c4e</t>
  </si>
  <si>
    <t>Update framework from jetpack.
Included changes:
* b7122be: Update Builders to comply with API council requirements.
* 60b34cd: Changes to AppSearchSchema builders to comply with API requirements.
* c6f7eee: Support property paths in GenericDocument.
* cbee331: Update documentation to distinguish between AppSearchSession and GlobalSearchSession
* cbdd3b9: Rename ReportUsage#usageTimeMillis to #usageTimestampMillis.
* cc09d3a: Implement value indices in GenericDocument.
* e7faa03: Rename isIndexNestedProperties to shouldIndexNestedProperties.
* aaa6e81: Support @CurrentTimeMillisLong in export.
* 388c2b4: Rename GenericDocument's "uri" to "id" everywhere.
Bug: 184576792
Bug: 184576806
Bug: 184174844
Bug: 180481315
Bug: 179797058
Bug: 175146044
Bug: 184175636
Bug: 185492298
Test: Presubmit
Change-Id: I94118a36e27b8a7c95852a7efc1f893fc46b2ad9</t>
  </si>
  <si>
    <t>Use classpath testing utility in SJPT.
Bug: 184745544
Test: atest CtsStrictJavaPackagesTestCases
Change-Id: I0294436c507b89cadf67a9ad408796c201ae6e41</t>
  </si>
  <si>
    <t>Remove FG state checks from UCE APIs
Bug: 182198113
Test: atest CtsTelephonyTestCases:RcsUceAdapterTest
Change-Id: If8de79b3d7b662129193a59bd8bfbda31c1bb35f</t>
  </si>
  <si>
    <t>Use classpath testing utility in SJPT.
Bug: 184745544
Test: atest CtsStrictJavaPackagesTestCases
Change-Id: I0294436c507b89cadf67a9ad408796c201ae6e41
Merged-In: I0294436c507b89cadf67a9ad408796c201ae6e41</t>
  </si>
  <si>
    <t>Modify tests to test SipDelegateConfiguration
Bug: 181764849
Test: atest CtsTelephonyTestCases
Change-Id: Icc89fea5cecbc4be6bc3fd11064ab1d7d0e5609a</t>
  </si>
  <si>
    <t>Clean up Session2Record in MCS
This CL cleans up how MediaCommunicationService
manages Session2Record instances.
It removes unnecessary codes and refactor locks.
It also adds/clean up tests for MCM.SessionCallback.
Bug: 183289655
Bug: 182907935
Test: atest MediaCommunicationManagerTest 10 times
Change-Id: Iff4643c7dc207ea14c752bdfb815598dc34f2368</t>
  </si>
  <si>
    <t>Cleaned up ASurfaceControlTest
1. For tests that just needed to verify a single frame, switch to using
screenshot instead of MediaProjection
2. Backpressure tests needed to verify multiple frames so move to their
own test class and continue to use MediaProjection
3. Move ASurfaceControl JNI functions into their own file so they can be
used from multiple test classes
Test: ASurfaceControlTest
Test: ASurfaceControlBackPressureTest
Bug: 185390632
Change-Id: I1c1274cfd45a0e3dc03f3468b18bd7cd38a31aee</t>
  </si>
  <si>
    <t>UwbManagerTest: Add permission enforcement related tests
1. Tests for the permission enforcement for the various APIs.
2. Test for verification of bad params handling for openRangingSession
API.
3.  Remove the manifest permissions since we need to anyway use the shell
identity to get the privileged permissions needed for invoking all
platform system APIs.
Note: Some of the positive tests are failing currently because of errors
from the vendor implementation. Will be filing bugs against the vendors
for these failures.
Bug: 183904955
Test: atest UwbManagerTest
Change-Id: I5a57e02cf99140170acbd72265d8ad783e7d508e</t>
  </si>
  <si>
    <t>Add failure test case for MediaStore#getOriginalMediaFormatFileDescriptor
Test: CtsMediaProviderTranscodeTests
Bug: 185818398
Change-Id: I1b341c13438bbb7270c2e4d8451e16b6d3f9193a</t>
  </si>
  <si>
    <t>Remove obsolete DupFileTest
Not needed anymore
Test: presubmit
Bug: 181994359
Change-Id: I37e1dcbc198b384bce75558b611aad48007858a2</t>
  </si>
  <si>
    <t>Added package-remove test to AppSearch host test
Bug: 145759910
Test: atest --rebuild-module-info CtsAppSearchHostTestCases
Change-Id: Ifa6e10523e5d877a00d4a8258b05427a116f20b7</t>
  </si>
  <si>
    <t>Fix missing nearby streaming test errors
The test method names were inconsistent.
Bug: 185136703
Test: atest MixedManagedProfileOwnerTest#testGetNearbyNotificationStreamingPolicy_getsNearbyStreamingDisabledAsDefault,testSetNearbyNotificationStreamingPolicy_changesPolicy,testGetNearbyAppStreamingPolicy_getsNearbyStreamingDisabledAsDefault,testSetNearbyAppStreamingPolicy_changesPolicy
Change-Id: I986df20b84eef133b60aa7552deef01132499831</t>
  </si>
  <si>
    <t>Fixed testSetLocationEnabled() for automotive.
The call to setLocationEnabled() should be ignored.
Test: atest com.android.cts.devicepolicy.DeviceOwnerTest#testSetLocationEnabled # on automotive and phone
Bug: 185523465
Fixes: 186263875
Change-Id: I8a9d3347080d56c8f064038b66b5b1826e377f64</t>
  </si>
  <si>
    <t>Add EnsureHasPermission and EnsureDoesNotHavePermission.
Test: atest HarrierTest
Test: atest CtsDevicePolicyTestCases
Bug: 182149292
Change-Id: I96c55ed4f1ee044b50b25d1cbcb26c53b86d4f57</t>
  </si>
  <si>
    <t>Add code generation for RemoteDPC.
This removes a load of boilerplate.
Test: atest RemoteDPCTest
Bug: 177663307
Change-Id: I9d0b87a32997ca08beb3fceffebee5e814daa576</t>
  </si>
  <si>
    <t>Fix password  tests in MixedDeviceOwnerTest for AAOS
- Add missing DpmWrapper methods
- Refactor to make sure tests in MixedDeviceOwnerTest will run with DpmWrapper
Bug: 184196284
Test: tested both on phone and AAOS:
atest \
com.android.cts.devicepolicy.MixedDeviceOwnerTest#testPasswordRequirementsApi \
com.android.cts.devicepolicy.MixedDeviceOwnerTest#testPasswordMethodsLogged
Change-Id: I2aa6e181ab04a43b1c92c6765e8e6c0813b57212</t>
  </si>
  <si>
    <t>Update tests for carrier privilege
Test: atest TelephonyManagerTest
Bug: 171982472
Change-Id: I72393074b0a7ec912af85a1b6bb3a559493bf5ab</t>
  </si>
  <si>
    <t>Split redact uri test into separate class.
This is to more easily suppress them on R in follow-up change.
Bug: 182960918
Test: atest CtsScopedStorageDeviceOnlyTest
Change-Id: I5c2b4a183113840a81e63bade511b60dfe76fef5</t>
  </si>
  <si>
    <t>Remove storage app data isolation checking in CTS
As these flags are enabled by default now.
Also, make sure non-emulated volume has .nomedia file as they
won't have app storage data isolation mounted.
Bug: 148049767
Test: atest AppDataIsolationTests
Test: atest ExternalStroageTests
Change-Id: Ic2f3d1be2aabd9cc5cc00a0ae135a1c719d05b95</t>
  </si>
  <si>
    <t>Delete dumpsys incidentd tests
Bug: 186713425
Bug: 186713063
Bug: 186487815
Test: TH
Change-Id: I60b85fd5be8f05bbc6e476f73e85fce3d31a8bbc</t>
  </si>
  <si>
    <t>Ensure android.widget.cts.RemoteViewsTest start in day mode
To ensure we know which layout is expanded.
Fix: 185732207
Test: atest android.widget.cts.RemoteViewsTest
Change-Id: I8445d1fe826bd4639fc5704a29d15289094344f1</t>
  </si>
  <si>
    <t>Remove FG state checks from UCE APIs
Bug: 182198113
Test: atest CtsTelephonyTestCases:RcsUceAdapterTest
Merged-In: If8de79b3d7b662129193a59bd8bfbda31c1bb35f
Change-Id: If8de79b3d7b662129193a59bd8bfbda31c1bb35f</t>
  </si>
  <si>
    <t>Move IMS strict mode verification to CtsInputMethodTestCases
fixes: 159593676
Bug: 171351834
Test: atest InputMethodServiceStrictModeTest
Change-Id: Ia1b33285cc679e92b04f2d0edaaf135065dd7856
Merged-In: Ia1b33285cc679e92b04f2d0edaaf135065dd7856</t>
  </si>
  <si>
    <t>Validate stateful SIP message validation
- Verify SIP sessions can only be started for associated
feature tags.
- When registration is in restricted state, verify we do not
allow new SIP sessions to be started.
- When closing a SIP delegate, ensure we can not start new
SIP sessions on that delegate.
- Verify timeouts work correctly when closing a delegate or
changing registration state.
Bug: 173828358
Test: atest CtsTelephonyTestCases:SipDelegateManagerTest
Change-Id: I5b662d68fee737881ab6e576656ed2399f385c45</t>
  </si>
  <si>
    <t>Remove ActivityViewTest#testInputMethod()
This CL logically reverts our previous CLs[1][2], which added
ActivityViewTest#testInputMethod() to make sure that basic
functionality of IME is still supported on ActivityView.
As we are going to remove ActivityView, there is no need to keep this
requirement in CTS.
 [1]: I5ac975273c8d596a30c4c2685bd9bf648c9a4314
      a78358891cbcf5ad7860ed58c3d4509b12c3b770
 [2]: Ia031a24bc31cbd0774a50562afa7d07933feebb7
      44f3b998033d8725a537d2a098b854386a27b5eb
Bug: 115693908
Bug: 179161778
Test: atest CtsWindowManagerDeviceTestCases:ActivityViewTest
Change-Id: I35f527c38102566296f12cc429cfe26d6330b8de</t>
  </si>
  <si>
    <t>Rename symbols to log session id
Test: atest CtsMediaHostTestCases
Bug: 167036690
Change-Id: I412efa653e49cba3e7af56280b57d5fe668c1274</t>
  </si>
  <si>
    <t>Add CTS tests for clearing compat overrides on release builds
Those CTS tests verify that a package with the required permission can
successfully clear overrides on release builds as long as those compat
changes are marked as @Overridable.
Bug: 183183372
Test: atest CtsAppCompatHostTestCases
Change-Id: I0e9eba8b5b35aae910b9a6fa853a2c7f4946e1f4</t>
  </si>
  <si>
    <t>Compare system and vendor's version for neverallow
If vendor is older and system is newer, neverallow test shouldn't be
enforced.
Bug: 186596569
Test: atest CtsSecurityHostTestCases:android.security.cts.SELinuxNeverallowRulesTest
Test: see mVendorSepolicyVersion and mSystemSepolicyVersion assigned
correctly
Change-Id: I4f27627160b530002ccaa592107e43e8c42dd297</t>
  </si>
  <si>
    <t>Make sure expedited-job syncs can run in Doze.
Bug: 178852366
Test: atest ContentResolverTest (all)
Test: atest CtsJobSchedulerTestCases:JobInfoTest
Test: atest CtsSyncManagerTest
Test: atest SyncOperationTest
Test: atest SyncManagerTest
Test: atest SyncRequestTest
Change-Id: I5740f08e2949ef843c2f6aab9c30502bcba7b9a2</t>
  </si>
  <si>
    <t>Remove edge effect type from API
Bug: 186758538
Remove edge effect type from the API, so tests must be altered.
Since only stretch edge effect type is supported, some tests
had to be modified to test for stretch instead of edge glow.
Test: ran affected tests
Change-Id: I54ec19ecf4f879de9b527b2146ba8e29f5902aa1</t>
  </si>
  <si>
    <t>CTS for UiTranslationStateCallback resume state
Bug: 185274258
Test: manual
Test: atest android.translation.cts.UiTranslationManagerTest
Change-Id: I894d0d34c76451e7a7c72eca55f5615fdf46befc</t>
  </si>
  <si>
    <t>Enable Power Policy Silent Mode Test
1. Use shell command to put the target into forced silent mode
2. Use dumpsys shell commands to retrieve the Cpms (Car Power Management
   Service) state information
3. Parse the Cpms and check the power policy state and behavior
4. Changed val attribute in PowerComponent to value
5. Removed SilentModeInfo.TestDataSets utility class
6. Made the assertion msgs nouns according to the guideline
7. Made CpmsFrameworkLayerStateInfo immutable
8. Optimized the CpmsFrameworkLayerStateInfo parser
9. Added more debugging message into the PowerPolicyDef class
10. Made the change in the parsers to accommondate the latest change in
the dumpsys
11. Parameterized the PowerPolicyTestFilter class based on Eric's
review feedback
12. Fixed some common coding style issues with IDE
13. Improved the CpmsFrameworkLayerStateInfo parser stability based on
Keunyoung's feedback.
Bug: 178720718
Test: atest CtsCarHostTestCases:PowerPolicyHostTest
Change-Id: I040681b1ca49a65d5825fea8895dc852b642c0a9</t>
  </si>
  <si>
    <t>Revert "Restore file truncation where expected."
Revert submission 14173486-rwt
Reason for revert: b/186862362 - breaks ContentResolverWrapTest
Reverted Changes:
I41bc298af:Restore file truncation where expected.
Iacec49164:Restore file truncation where expected.
Bug: 186862362
Change-Id: If1d78436cd28d1df3604b949a560d4cc30f5739b</t>
  </si>
  <si>
    <t>Clearing the hdr types settings before the test
The persisted settings never allowed the condition to be true in
waitUntil method and caused the test to throw TimeoutException
Test: Tested manually using cuttlefish device
Bug: 186611410
Change-Id: Ifc2ae8bffbca72d1fb3635c5e4e1b6a0c74c49e7</t>
  </si>
  <si>
    <t>Rename OnProjectionStateChangeListener -&gt; OnProjectionStateChangedListener
Bug: 175130323
Test: Presubmits
Change-Id: I605df644d7c6f4d4bea785ee7208c320238cf88b</t>
  </si>
  <si>
    <t>Changed WifiConfigLockdownTest to use DpmWrapper.
Also improved logging and replaced JUnit assertions by Truth.
Fixes: 185268523
Test: atest com.android.cts.devicepolicy.DeviceOwnerTest#testWifiConfigLockdown # on automotive and phone
Change-Id: Iad0d7e3f4c43469d9751c1cf38abd85276d75905</t>
  </si>
  <si>
    <t>Revert "fix wifiSlice_grantedPermissionToDefaultAssistant failure"
This reverts commit c1ae0e8fbf008d72fb5fb96288f1ffe06c4fd99d.
Fixes: 186668828
Reason for revert: The change breaks the test cases
-android.provider.cts.Settings_SecureTest#testGetPutString
-android.provider.cts.Settings_SecureTest#testGetPutInt
-android.provider.cts.Settings_SecureTest#testGetPutFloat
-android.provider.cts.Settings_SecureTest#testGetPutLong
-android.provider.cts.Settings_SecureTest#testGetUriFor
Change-Id: I0cd8323e616914ffd7640be1d7e451c861da73aa</t>
  </si>
  <si>
    <t>Change MTS CTS tests to desired config
Adds min SDK to manifests and ensure S tests are not run on R.
This still fails when running on R, since we have tests that need to target current sdk.
Will follow-up with R fix.
Bug: 182960918
Test: atest
Change-Id: Ib35c52c1ae53e42fead5cac60fe3885948a2d943</t>
  </si>
  <si>
    <t>AttachedSurfaceControlSyncTest: Track API changes
Various renamings in frameworks/base
Bug: 185365821
Test: Existing tests pass
Change-Id: I2a5b705920fefb7422c68bdbaacb2301a3b133cb</t>
  </si>
  <si>
    <t>mediav2 CTS: Add test vectors to validate cdd requirements of sec 5.1.3
sec 5.1.3 of android cdd presents the list of requirements for audio
decoders. This CL adds test vectors to validate some of the requirements
presented there
Bug: 181588712
Test: atest android.mediav2.cts.CodecDecoderTest
Test: atest android.mediav2.cts.CodecDecoderValidationTest
Change-Id: I6571a46d877da1c38717d2c3149cb1ef7289f0ee</t>
  </si>
  <si>
    <t>Update tests for the AppWidget dimensions.
Fix: 187326256
Fix: 187385550
Test: atest AppWidgetDimensionsTest
Change-Id: Ie23807c80b22d41f872bad4cf69a256edc6bbe17</t>
  </si>
  <si>
    <t>Update DevicePolicyManagerTest to better handle permissions.
Test: atest DevicePolicyManagerTest
Bug: 182149292
Change-Id: Ia597b90be3d14cba3707b128b68efb5c76ea0128</t>
  </si>
  <si>
    <t>Revert "Verify behavior when FGS uses existing notification"
Revert submission 14414063-fgs-defer-fixes
Reason for revert: b/187373264
Reverted Changes:
I081a3cc88:Don't defer FGS notification if it's already shown...
I083583550:Verify behavior when FGS uses existing notificatio...
Bug: 187373264
Change-Id: Ic8dd1e149115a1375a5a7814b65450fb75f5917e</t>
  </si>
  <si>
    <t>Revert "Verify behavior when FGS uses existing notification"
Revert submission 14414063-fgs-defer-fixes
Reason for revert: b/187373264
Reverted Changes:
I081a3cc88:Don't defer FGS notification if it's already shown...
I083583550:Verify behavior when FGS uses existing notificatio...
Bug: 187373264
Change-Id: Ic8dd1e149115a1375a5a7814b65450fb75f5917e
(cherry picked from commit 4cfcf23543adcf3f4d6a792e393d0ce5b100da80)</t>
  </si>
  <si>
    <t>Fix CTS test for createContextPackageAsUser
This CTS tests assumes packages installed for the current foregound user
are available for other users too. The fix is to:
run the test for only one specific package which is installed for
every user; com.android.shell
Test: createContextPackageAsUser
bug: 183420369
Signed-off-by: wznqmp &lt;sajjad.mosharraf@gm.com&gt;
Change-Id: I807afdbbe2145ce533e2773ce2104aaececd30a2</t>
  </si>
  <si>
    <t>Fix testSecurityLoggingWithSingleUser on git_sc-release/bonito-user
Fixes: 187056648
Test: atest \
com.android.cts.devicepolicy.MixedDeviceOwnerTest#testSecurityLoggingWithSingleUser
Change-Id: I17c8c27f485a24401c6bb59f1cfd9d646432b282</t>
  </si>
  <si>
    <t>Revert "Ensure we check the installed state when getting UID/GID"
Revert submission 14348452-b186180067_master
Reason for revert: b/187309425
Reverted Changes:
I48d085560:Ensure we check the installed state when getting U...
I7ff9a6e8d:Add the checking of the package installed state
Change-Id: I8084d55ad39d2b428b922357fa6aa6e5fcc37e0d</t>
  </si>
  <si>
    <t>Removing and updating tests that depend on ActivityView
This CL is part of the effort to delete ActivityView.
Test: atest CtsAccessibilityServiceTestCases:AccessibilityWindowQueryTest
Test: atest CtsAccessibilityServiceTestCases:AccessibilityWindowReportingTest
Test: atest CtsAccessibilityServiceTestCases
Bug: 179161778
Change-Id: I16172b48f2a3cf7c4c10fb737a21b8d0efe142ec</t>
  </si>
  <si>
    <t>Update DeviceState for GTS fixes.
Test: atest NeneTest
Test: atest HarrierTest
Bug: 186495104
Change-Id: I290c4fa8b53aea93eff14d96b36d502cafb8616e</t>
  </si>
  <si>
    <t>WiFi: Expose country code APIs to Android R Sdk
1. Removed test to check UnsupportedOperationException for
Country code APIs called in Android R Sdk.
2. Added WifiBuildCompat.isPlatformOrWifiModuleAtLeastS() check
in country code API test.
Bug: 181358771
Test: atest android.net.wifi.cts.WifiManagerTest
Change-Id: I59a6711349d9a5cf2387215ecb4d23ce8231b493</t>
  </si>
  <si>
    <t>Deleting ActivityViewTest (CTS test)
Test: atest CtsWindowManagerDeviceTestCases
Bug: 179161778
Change-Id: Ic3da2c3ef817b8aec52c50b62ddaa04ce7a88455</t>
  </si>
  <si>
    <t>Handle user stopping in AppSearch.
When a user stops, we can close its AppSearchImpl instance to release
resources. We'll also remove it from our cache of unlocked users so
future API calls won't execute on a locked user.
Bug: 179407490
Test: atest --rebuild-module-info CtsAppSearchHostTestCases
Change-Id: Id0f0042e953b29ee607e875b1760d3dee1e63ecd</t>
  </si>
  <si>
    <t>Changed bluetooth test to wait for broadcast instead of polling
Also changed auto close for BlockingBroadcastReceiver to fail if
broadcast was not received.
Test: atest com.android.cts.devicepolicy.ManagedProfileTest#testBluetooth
Fixes: 187147620
Change-Id: I52b1f08cc882b89a58a0e9b7a1d95afa49209e09</t>
  </si>
  <si>
    <t>Remove tests for String16::remove.
This function, ironically, has been removed.
(Even more amusing, it was never "remove" anyway --- it literally did
the opposite, and removed everything *except* the range you passed to
it, and should probably have been called "keep"!)
Test: treehugger
Change-Id: I2ac1c5bbb4c39a9b4f548a66eb1655f548afad3f
Merged-In: I2ac1c5bbb4c39a9b4f548a66eb1655f548afad3f</t>
  </si>
  <si>
    <t>Clean up SurfaceControlTest
Switch to using screenshot validation and avoid using
VirtualDisplays.
Test: atest SurfaceControlTest --rerun-until-failure
Fixes: 185072499
Change-Id: I0bb86d84d72bde3872ecf5c003272bcae6dddcbb</t>
  </si>
  <si>
    <t>Remove tests for String16::remove.
This function, ironically, has been removed.
(Even more amusing, it was never "remove" anyway --- it literally did
the opposite, and removed everything *except* the range you passed to
it, and should probably have been called "keep"!)
Test: treehugger
Bug: http://b/156999009
Change-Id: I2ac1c5bbb4c39a9b4f548a66eb1655f548afad3f</t>
  </si>
  <si>
    <t>Remove test requesting empty role.
We already have testing for requesting an invalid role name, whereas
RoleManager.createRoleRequestIntent() has been throwing IAE for empty
role name so this could never have reached RequestRoleFragment or
contributed any coverage. The local crash has been surfaced recently so
remove this invalid test.
Bug: 183503956
Bug: 187930918
Test: presubmit
Change-Id: I0d1acd1e3118fafdf33e9766dbcee907ccc538c4</t>
  </si>
  <si>
    <t>Refine flaky CtsContentCaptureServiceTestCases:WhitelistTest.
The WhitelistTest uses file to write the verify result and it checks
file existing status as a signal for activity lifecycle events. But
the file existing doesn't mean the file writing is done, the test
fails if the file writing doesn't finish yet.
Use BlockingBroadcastReceiver to wait the lifecycle events and get
result from it to improve the flaky status.
Bug: 186223470
Test: atest CtsContentCaptureServiceTestCases:AppKilledTest
Test: atest CtsContentCaptureServiceTestCases:WhitelistTest --iterations
100
BYPASS_INCLUSIVE_LANGUAGE_REASON=legency testcase name
Change-Id: I01c674d4183679a749d6a6e6c521ebe6af5703a0</t>
  </si>
  <si>
    <t>Test combinations of fs-verity and inc-fs.
Bug: 181242243
Test: atest ApkVerityInstallTest
Change-Id: I41bda6a89349390afb45f7c57c327b107f9faa8b</t>
  </si>
  <si>
    <t>Update tests for new RTM_GETLINK restrictions
Restrictions on calling RTM_GETLINK are extended from only apps with API
level &gt;= 30 to all apps.
To be merged when automerge to sc-dev ends.
Bug: 170188668
Test: atest bionic-unit-tests-static
Test: atest NetworkInterfaceTest
Test: Connect to Wi-Fi network
Test: atest CtsSelinuxTargetSdk27TestCases
Test: atest CtsSelinuxTargetSdk28TestCases
Test: atest CtsSelinuxTargetSdk29TestCases
Test: atest CtsSelinuxTargetSdkCurrentTestCases
Change-Id: I5bd3f2e7e26315b9554c6bba67d7186fafaf02e7</t>
  </si>
  <si>
    <t>Use DevicePolicyManager.setDeviceOwner on S+.
This allows us to enter the state of running on a secondary user on a
device with a device owner - except that currently
forceUpdateUserSetupComplete doesn't allow calling from secondary users.
Test: atest HarrierTest
Test: atest NeneTest
Bug: 177663307
Change-Id: Ib69f55906ff31c326510c9c15214fbec367a54f1</t>
  </si>
  <si>
    <t>Add tests for CrossProfileApps#canInteractAcrossProfiles
Add and fix existing tests to enforce that canInteractAcrossProfiles
returns true when the permission/appop is granted in all profiles not
just the calling profile.
Test: atest CrossProfileAppsPermissionHostSideTest
Bug: 182396357
Bug: 183188804
Change-Id: Icebc70833c5e5ee68da05ebfa30d070cf0fe5002</t>
  </si>
  <si>
    <t>Set fullscreen mode when dismissing split screen
MultiWindowTests#testNoUserLeaveHintOnMultiWindowModeChanged expects
a multi-window mode change at last, but if the display windowing mode is
freeform it won't happen as the task remains in unspecific windowing
mode, which makes it restored to a freeform window.
Also change the name of dismissSplitScreen() method to be imperative.
Bug: 187447863
Test: atest MultiWindowTests#testNoUserLeaveHintOnMultiWindowModeChanged
on cf_pc.
Change-Id: I972b3bcd495ff90061ef843da391de6343aa1709</t>
  </si>
  <si>
    <t>Update CTS tests for new profile version.
Test: atest CtsDexMetadataHostTestCases
Bug: 188459746
Bug: 148067697
Change-Id: I9b8b1ef34c35eda14bc66860b48f9eac28d5587e</t>
  </si>
  <si>
    <t>Update CTS tests for setProtectedPackages() DPM API
Add another CTS test that tests the API when there are multiple users on
the device and verify that the protected package does not get stopped.
Bug: 178500150
Test: Ran the CTS tests that were added
Change-Id: Ic32b7a0eac3069e38d7bc11d4379a3be41bab1a1</t>
  </si>
  <si>
    <t>Removed unnecessary code from pre-creates cts tests
Bug: 181907341
Test: atest CtsCarHostTestCases:android.car.cts.PreCreateUsersHostTest
Change-Id: Ia0291231462f777849ff3a5b03311808f02d0ad2</t>
  </si>
  <si>
    <t>Changed tests to stop using removed apis.
Bug: 186475868
Test: atest CtsTranslationTestCases
Change-Id: I6393614186b270dec06c1d0ac6f4ff5978ed1554</t>
  </si>
  <si>
    <t>Migrate first lock task test.
This CL also includes the ability to mark a dpc as the primary one for a
state, which is used within the tests.
Migrated: com.android.cts.devicepolicy.DeviceAndProfileOwnerTest#testLockTask com.android.cts.deviceandprofileowner.LockTaskTest#testSetLockTaskPackages
Migrated: com.android.cts.devicepolicy.MixedDeviceOwnerTest#testLockTask com.android.cts.deviceandprofileowner.LockTaskTest#testSetLockTaskPackages
Migrated: com.android.cts.devicepolicy.DeviceAndProfileOwnerTestApi25#testLockTask com.android.cts.deviceandprofileowner.LockTaskTest#testSetLockTaskPackages
Migrated: com.android.cts.devicepolicy.MixedDeviceOwnerTestApi25#testLockTask com.android.cts.deviceandprofileowner.LockTaskTest#testSetLockTaskPackages
Test: atest android.devicepolicy.cts.LockTaskTest
Bug: 175377361
Change-Id: I722b1e5c8836eb863128b495a34bc0da407020a9</t>
  </si>
  <si>
    <t>Add the test case of retrieving uce contact capabilities from cache
Bug: 187620915
Test: atest RcsUceAdapterTest
Change-Id: Ie2042c93d95bfa0d666ac43025f0daa01a383ac8</t>
  </si>
  <si>
    <t>[DO NOT MERGE] Remove Client Suggestions tests
Bug: 188618287
Test: atest CtsAutoFillServiceTestCases
Change-Id: I8d36c98798f2cbf121cdda03684845913889c4b1</t>
  </si>
  <si>
    <t>Rename addPackageOverrides to putPackageOverrides in CTS.
Bug: 187738991
Test: atest CtsAppCompatHostTestCases
Change-Id: If47bc7a3b06c3864a0d02dae1a3cead35761f0fe</t>
  </si>
  <si>
    <t>Rename addPackageOverrides to putPackageOverrides in CTS.
Bug: 187738991
Test: atest CtsAppCompatHostTestCases
Marged-In: If47bc7a3b06c3864a0d02dae1a3cead35761f0fe
Change-Id: If47bc7a3b06c3864a0d02dae1a3cead35761f0fe</t>
  </si>
  <si>
    <t>Migrate com.android.cts.devicepolicy.MixedDeviceOwnerTest#testIsLockTaskPermitted_includesPolicyExemptApps
Migrated: com.android.cts.devicepolicy.MixedDeviceOwnerTest#testIsLockTaskPermitted_includesPolicyExemptApps
Migrated: com.android.cts.devicepolicy.DeviceAndProfileOwnerTest#testLockTask com.android.cts.deviceandprofileowner.LockTaskTest#testIsLockTaskPermittedIncludesPolicyExemptApps
Migrated: com.android.cts.devicepolicy.MixedDeviceOwnerTest#testLockTask com.android.cts.deviceandprofileowner.LockTaskTest#testIsLockTaskPermittedIncludesPolicyExemptApps
Migrated: com.android.cts.devicepolicy.DeviceAndProfileOwnerTestApi25#testLockTask com.android.cts.deviceandprofileowner.LockTaskTest#testIsLockTaskPermittedIncludesPolicyExemptApps
Migrated: com.android.cts.devicepolicy.MixedDeviceOwnerTestApi25#testLockTask com.android.cts.deviceandprofileowner.LockTaskTest#testIsLockTaskPermittedIncludesPolicyExemptApps
Test: atest android.devicepolicy.cts.LockTaskTest
Bug: 175377361
Change-Id: Ibd3fb7c1bbe0323dd961b4386879fdb013038ac6</t>
  </si>
  <si>
    <t>Migrate testLockTask_policyExemptApps
Migrated: com.android.cts.devicepolicy.MixedDeviceOwnerTest#testLockTask_policyExemptApps
Migrated: com.android.cts.devicepolicy.DeviceAndProfileOwnerTest#testLockTask com.android.cts.deviceandprofileowner.LockTaskTest#testLockTask_policyExemptApps
Migrated: com.android.cts.devicepolicy.MixedDeviceOwnerTest#testLockTask com.android.cts.deviceandprofileowner.LockTaskTest#testLockTask_policyExemptApps
Migrated: com.android.cts.devicepolicy.DeviceAndProfileOwnerTestApi25#testLockTask com.android.cts.deviceandprofileowner.LockTaskTest#testLockTask_policyExemptApps
Migrated: com.android.cts.devicepolicy.MixedDeviceOwnerTestApi25#testLockTask com.android.cts.deviceandprofileowner.LockTaskTest#testLockTask_policyExemptApps
Test: atest android.devicepolicy.cts.LockTaskTest
Bug: 175377361
Change-Id: I86ac4ce4d880cfff62c81ea5e37715506897eb81</t>
  </si>
  <si>
    <t>Add tests to verify ViewTranslationCallback
The test will verify the customized ViewTranslationCallback is called
instead of the TextView default callback. And verify it we clear the
ViewTranslationCallback, the customized callback will not be called.
Bug: 177960696
Test: atest CtsTranslationTestCases
Change-Id: I1a4171991d6c44b2247ebce39178a7f656f17555</t>
  </si>
  <si>
    <t>Add the test case of retrieving uce contact capabilities from cache
Bug: 187620915
Test: atest RcsUceAdapterTest
Merged-In: Ie2042c93d95bfa0d666ac43025f0daa01a383ac8
Change-Id: Ie2042c93d95bfa0d666ac43025f0daa01a383ac8</t>
  </si>
  <si>
    <t>Migrate testSetLockTaskFeatures.
Test: atest android.devicepolicy.cts.LockTaskTest
Bug: 175377361
Change-Id: I52a5511584907edf3581bd351241f95e3f78e35a</t>
  </si>
  <si>
    <t>Temporarily disabled KeyManagementTest for automotive.
The keys generated by DO (which runs on user 0, in background) don't
match keys checked by PO (which is the current forefround user).
Test: atest com.android.cts.devicepolicy.MixedDeviceOwnerTest#testKeyManagement,testGenerateKeyPairLogged,testDelegatedCertInstallerDirectly,testSetKeyGrant,testSetKeyPairCertificateLogged # on automotive and phone
Bug: 184197972
Change-Id: I42c0fec0e6dfa5498c1354ae03b62eb4a6bb4d18</t>
  </si>
  <si>
    <t>Fix delegated security logging tests.
com.google.android.apps.work.oobconfig is generating some keys
which interfered with events verification. This CL makes the test
ignore events for other uids.
+ some refactoring:
* deduplicate delegated tests for COPE and DO since they are essentially
  the same
* moved security logging related functionality from DelegateUtils to the
  test itself - it isn't needed anywhere else.
Bug: 185004808
Test: atest MixedDeviceOwnerTest#testSecurityLoggingDelegate
Test: atest OrgOwnedProfileOwnerTest#testSecurityLoggingDelegate
Change-Id: I5d924c168e6ac154312f0b36caee074942e22131</t>
  </si>
  <si>
    <t>Fix CTS App by removing uiAutomation but adopting ShellUtil
Test: atest
Bug: 184551959
Change-Id: I1411232209daa768a99ad1a2b3698ed866fe47d9</t>
  </si>
  <si>
    <t>Rename BAL test for clarity
To reflect what it's actually doing.
Test: atest android.server.wm.BackgroundActivityLaunchTest#testActivityBlockedWhenLaunchedAfterHomePress
Bug: 188984101
Change-Id: I2732b9add018b6a246785574deb2893fce87aa7e</t>
  </si>
  <si>
    <t>Add test case to check "BIND_HOTWORD_DETECTION_SERVICE" permission before binding HotwordDetectionService
Bug: 187914415
Test: atest CtsVoiceInteractionTestCases
Test: atest CtsVoiceInteractionTestCases --instant
Change-Id: I8147b6608f42bb71b79f32a441aeffa273314171</t>
  </si>
  <si>
    <t>Fix for: flaky test.
Bug: 188056028
Fixes: 188056028
Test: atest PackageManagerShellCommandIncrementalTest
Change-Id: Id1dcb368f88adb7a39220274e9b4dbee13d93acb
Merged-In: Id1dcb368f88adb7a39220274e9b4dbee13d93acb</t>
  </si>
  <si>
    <t>Change tests to stop using removed add apis.
Bug: 186475868
Test: atest CtsTranslationTestCases
Change-Id: I9e565576806e5f05e3178bb7da939838bf7b4e16</t>
  </si>
  <si>
    <t>mediav2 CTS: refactor codec encoder test
1. Move reusable code to CodecEncoderTestBase class
2. Cleared MediaCodec.BufferInfo lists across iterations. This reduces
   the memory consumptions during test runs.
3. Restrict EncoderProfileLevelTest in sync mode only.
Bug: 181898853
Test: atest android.mediav2.CodecEncoderTest
Test: atest android.mediav2.EncoderProfileLevelTest
Test: atest android.mediav2.EncoderColorAspectsTest
Change-Id: I41dc185d571f6b1b7f853d31596dff1ced8dbb32</t>
  </si>
  <si>
    <t>Remove references to SipDelegateImsConfiguration in CTS
Bug: 186118835
Test: atest CtsTelephonyTestCases
Change-Id: I6d65ab35dd6782bfddf94eecea4ad63e014bf6ac</t>
  </si>
  <si>
    <t>Update silent mode test
- Rebooting with forcedsilent writes 1 to
/sys/power/pm_silentmode_hw_state. So, to switch back to normal, another
rebooting is needed.
- Booting twice for silent mode test is too much. Instead, we could save
testing time by entering/leaving silent mode with shell command.
Bug: 188577967
Test: atest PowerPolicyHostTest
Change-Id: I815a6eac9490de047c0d51f333cf104ef507d888</t>
  </si>
  <si>
    <t>[DO NOT MERGE] Remove Client Suggestions tests
Bug: 188618287
Test: atest CtsAutoFillServiceTestCases
Change-Id: I8d36c98798f2cbf121cdda03684845913889c4b1
(cherry picked from commit eaed0cdeee06f358e16ef7365ccc9616da08dc19)</t>
  </si>
  <si>
    <t>Create incremental own resources crash tests
When an app that is incrementally installed accesses its own
resources, if any pages of the APK needed to retrieve the
resources are missing, the app must crash.
This change creates tests that ensures incremental hardening for an app
protections are disabled when accessing its own resources.
Bug: 188459427
Bug: 187220960
Test: atest ResourcesHardeningTest
Change-Id: I0f804bad029dcd6a9fc611c08faef67f15376948</t>
  </si>
  <si>
    <t>Test: ephemeral user with account can reboot
Adds a test to verify that the following situation
can be performed safely (e.g. no bootloop):
an ephemeral user is created and switched-to, an
account is added to it, and then the device is rebooted.
Test: atest android.host.multiuser.EphemeralTest
Bug: 181291095
Change-Id: I0aeeed42b6d685fc26f92bade52d75885464bfc1</t>
  </si>
  <si>
    <t>Improved logging and assertions on ScreenCaptureDisabledTest.
Test: atest com.android.cts.devicepolicy.MixedDeviceOwnerTest#testScreenCaptureDisabled
Bug: 189493732
Bug: 30839080
Change-Id: I5d3deabed78f6e3373d0c9610f52a943079312c4</t>
  </si>
  <si>
    <t>[cts/SettingsProvider] test maxTargetSdk in @Readable
Using test apps with maxTargetSdk=Q,R,S
to test readability of a settings key with maxTargetSdk=R
Test: atest android.appsecurity.cts.ReadableSettingsFieldsTest
BUG: 187314081
Change-Id: Id3c82fdad98b740dedcc09d2180f757ee2894b95</t>
  </si>
  <si>
    <t>Add test case for SoftwareHotwordDetector
Bug: 183239093
Test: atest CtsVoiceInteractionTestCases
Test: atest CtsVoiceInteractionTestCases --instant
Change-Id: I4f2b9c31b11ec8ce34c545fb8ec67aa62c7fd724</t>
  </si>
  <si>
    <t>Revert "Ensure getting UID/GID checks the installed state"
Revert submission 14700843-b186180067_main
Reason for revert: Break WM presubmit (b/189728752)
Reverted Changes:
I3d7c35dc2:Add the checking of the package installed state
I035eeca76:Ensure getting UID/GID checks the installed state
Iaac8e56f3:Use userId to query the package uid instead of 0.
I0c452d880:Add MATCH_ANY_USER flag when get valid package uid...
Change-Id: I8ce90bf4dd11a9d20a5286b1a43721cac7f8b8db</t>
  </si>
  <si>
    <t>Add ability to reference activities in test apps.
Test: atest TestAppTest
Bug: 188894962
Change-Id: I8f18b43b6ac08e7315797721db6d362082626049</t>
  </si>
  <si>
    <t>[cts/SettingsProvider] revert readable tests for mobile_data
BUG: 189872797
Test: atest android.appsecurity.cts.ReadableSettingsFieldsTest
Change-Id: I37a18ca3e9fbe096aa6b674ce0d12fbd1c375b07</t>
  </si>
  <si>
    <t>MotionEvents' offsets should only be applied to pointer sources
Offsets should not be applied to non-pointer sources like touchpad. We
update the CTS test to reflect the change in behavior.
Bug: 179274888
Test: atest MotionEventTest
Change-Id: Ib29f7418534fdb77cf6bb40aaccdec8412ef951a</t>
  </si>
  <si>
    <t>Remove testNfcSetControllerAlwaysOnPermission
There are more than one features requires NFCC always on.
Allow more than one app holds this permisson.
Bug: 189811833
Test: atest android.permission.cts.NfcPermissionTest
Change-Id: Ie21d8d1af5e2235db3e9aa6349d14b158b402ad8</t>
  </si>
  <si>
    <t>Remove testNfcSetControllerAlwaysOnPermission
There are more than one features requires NFCC always on.
Allow more than one app holds this permisson.
Bug: 189811833
Test: atest android.permission.cts.NfcPermissionTest
Merged-In: Ie21d8d1af5e2235db3e9aa6349d14b158b402ad8
Change-Id: Ie21d8d1af5e2235db3e9aa6349d14b158b402ad8</t>
  </si>
  <si>
    <t>Add more tests for verifying cross-user blob access.
Bug: 175844032
Test: atest --test-mapping apex/blobstore
Change-Id: I846e11e1a1784527ce7d825cb5a7e5e239ed78fa</t>
  </si>
  <si>
    <t>Update CTS tests for new profile version.
(cherry picked from commit 65697def09a14e381daa541a9660cd13032893d8)
Test: atest CtsDexMetadataHostTestCases
Bug: 188459746
Bug: 148067697
Merged-In: I9b8b1ef34c35eda14bc66860b48f9eac28d5587e
Change-Id: Ie9c44711a48ce6675befc1e0c54e9d453104e241</t>
  </si>
  <si>
    <t>CEC: Add support for multiple logical addresses
Bug: 187694920
Test: atest CtsHdmiCecHostTestCases
Change-Id: I6f162fd1bbb0e921da0eaa8f5dc61308b210d93a</t>
  </si>
  <si>
    <t>Migrate testLockTask
Migrated: com.android.cts.devicepolicy.DeviceAndProfileOwnerTest#testLockTask com.android.cts.deviceandprofileowner.LockTaskTest#testStartLockTask
Migrated: com.android.cts.devicepolicy.MixedDeviceOwnerTest#testLockTask com.android.cts.deviceandprofileowner.LockTaskTest#testStartLockTask
Migrated: com.android.cts.devicepolicy.DeviceAndProfileOwnerTestApi25#testLockTask com.android.cts.deviceandprofileowner.LockTaskTest#testStartLockTask
Migrated: com.android.cts.devicepolicy.MixedDeviceOwnerTestApi25#testLockTask com.android.cts.deviceandprofileowner.LockTaskTest#testStartLockTask
Test: atest android.devicepolicy.cts.LockTaskTest
Bug: 175377361
Change-Id: I5a6175bb7b8f8ec0d1eadc7f487e6c266d8fe5cc</t>
  </si>
  <si>
    <t>Add CTS test for READ/WRITE VOICEMAIL permission autogrant.
Adding CTS test to verify that the READ_VOICEMAIL and WRITE_VOICEMAIL
permission is granted to the holder of the ROLE_DIALER role.
Test: Added CTS test.
Test: atest CtsTelecomTestCases:android.telecom.cts.ThirdPartyInCallServiceTest
Test: atest CtsPermission2TestCases
Bug: 149731110
Change-Id: I44f58c587f83255f6466b566bce2c5489eeca624</t>
  </si>
  <si>
    <t>resolve merge conflicts of 93f847a5ace37a7470ad539199b72402594ceea3 to master
Change-Id: I5ffc64f44334e0a01445f508073646f2a200b5d8</t>
  </si>
  <si>
    <t>Update ART profile version number for S.
Test: atest CtsDexMetadataHostTestCases
Bug: 148067697
Change-Id: Ia1f8c35a52d25a261c336c08d2d2a3a0d5920527</t>
  </si>
  <si>
    <t>Fixed PreCreateUsersHostTest so it removes dangling users.
Test: adb unroot &amp;&amp; \
  adb shell pm create-user --guest CtsCarHostTestCases_leftover &amp;&amp; \
  atest android.car.cts.PreCreateUsersHostTest#testAppPermissionsPreCreatedGuestPackages
Fixes: 182592007
Change-Id: I01d2b1463f294bf123c101f61ae4d7841ef7be57
(cherry picked from commit 470c2e757a27096ae0ccbc0bc98f0871974b1663)</t>
  </si>
  <si>
    <t>Fixed PreCreateUsersHostTest so it removes dangling users.
Test: adb unroot &amp;&amp; \
  adb shell pm create-user --guest CtsCarHostTestCases_leftover &amp;&amp; \
  atest android.car.cts.PreCreateUsersHostTest#testAppPermissionsPreCreatedGuestPackages
Fixes: 182592007
Change-Id: I01d2b1463f294bf123c101f61ae4d7841ef7be57
Merged-In: I01d2b1463f294bf123c101f61ae4d7841ef7be57</t>
  </si>
  <si>
    <t>Update ART profile version number for S.
(cherry picked from commit 6b73c6af729626ec4bb8faeb728f50c8081701ec)
Test: atest CtsDexMetadataHostTestCases
Bug: 148067697
Merged-In: Ia1f8c35a52d25a261c336c08d2d2a3a0d5920527
Change-Id: If975a98cb44bd4d8fd4033036ae5db283bbcb08d</t>
  </si>
  <si>
    <t>Migrate tests that lock task stops activity finishing.
These tests will be migrated in a coming CL to move the blocking into
Nene in such a way that it works both for local Activities and remote
ones.
Migrated: com.android.cts.devicepolicy.DeviceAndProfileOwnerTest#testLockTask com.android.cts.deviceandprofileowner.LockTaskTest#testCannotFinish
Migrated: com.android.cts.devicepolicy.MixedDeviceOwnerTest#testLockTask com.android.cts.deviceandprofileowner.LockTaskTest#testCannotFinish
Migrated: com.android.cts.devicepolicy.DeviceAndProfileOwnerTestApi25#testLockTask com.android.cts.deviceandprofileowner.LockTaskTest#testCannotFinish
Migrated: com.android.cts.devicepolicy.MixedDeviceOwnerTestApi25#testLockTask com.android.cts.deviceandprofileowner.LockTaskTest#testCannotFinish
Test: atest android.devicepolicy.cts.LockTaskTest
Bug: 175377361
Change-Id: I074c7d2c89e72337ad6b7cdf5f5769a6b2880813</t>
  </si>
  <si>
    <t>Migrate testUpdateAllowlist
Migrated: com.android.cts.devicepolicy.DeviceAndProfileOwnerTest#testLockTask com.android.cts.deviceandprofileowner.LockTaskTest#testUpdateAllowlist
Migrated: com.android.cts.devicepolicy.MixedDeviceOwnerTest#testLockTask com.android.cts.deviceandprofileowner.LockTaskTest#testUpdateAllowlist
Migrated: com.android.cts.devicepolicy.DeviceAndProfileOwnerTestApi25#testLockTask com.android.cts.deviceandprofileowner.LockTaskTest#testUpdateAllowlist
Migrated: com.android.cts.devicepolicy.MixedDeviceOwnerTestApi25#testLockTask com.android.cts.deviceandprofileowner.LockTaskTest#testUpdateAllowlist
Test: atest android.devicepolicy.cts.LockTaskTest
Bug: 175377361
Change-Id: I7fd2c93317c497417de232567daa5328078ad5e3</t>
  </si>
  <si>
    <t>Migrate testUpdateAllowlist_twoTasks
Currently this test looks pretty ugly - but the readability of these
tests will be addressed once they are all migrated.
Migrated: com.android.cts.devicepolicy.DeviceAndProfileOwnerTest#testLockTask com.android.cts.deviceandprofileowner.LockTaskTest#testUpdateAllowlist_twoTasks
Migrated: com.android.cts.devicepolicy.MixedDeviceOwnerTest#testLockTask com.android.cts.deviceandprofileowner.LockTaskTest#testUpdateAllowlist_twoTasks
Migrated: com.android.cts.devicepolicy.DeviceAndProfileOwnerTestApi25#testLockTask com.android.cts.deviceandprofileowner.LockTaskTest#testUpdateAllowlist_twoTasks
Migrated: com.android.cts.devicepolicy.MixedDeviceOwnerTestApi25#testLockTask com.android.cts.deviceandprofileowner.LockTaskTest#testUpdateAllowlist_twoTasks
Test: atest android.devicepolicy.cts.LockTaskTest
Bug: 175377361
Change-Id: Ie6207dc2ae2666742b7ac2115b8f187cce3256d4</t>
  </si>
  <si>
    <t>Add test for OnMediaKeyEventSessionChangedListener
A test for OnMediaKeyEventDispatchedListener is added as well
Bug: 155118248
Bug: 155118161
Bug: 155118249
Test: atest android.media.cts.MediaSessionManagerTest
Change-Id: I7302cbe251492bac52a53a82227f7182d7f3437d</t>
  </si>
  <si>
    <t>CEC: Add support for multiple logical addresses
Bug: 190151256
Test: atest CtsHdmiCecHostTestCases
Change-Id: I6f162fd1bbb0e921da0eaa8f5dc61308b210d93a
Merged-In: I6f162fd1bbb0e921da0eaa8f5dc61308b210d93a</t>
  </si>
  <si>
    <t>Integrate cts/app into cts host side test
1. made changes to match the enhancement in cts/app
2. integrated into PowerPolicyHostTest
3. used PollingCheck instead of Thread.sleep per Keunyoung's suggestion
4. added the wait mechanism to make sure the shell command execution
order is preserved
Bug: 183744994
Test: atest CtsCarHostTestCases:PowerPolicyHostTest
Change-Id: Ifc174c6bff51b160b764647cccd1508c0ef7db59</t>
  </si>
  <si>
    <t>Revert "Update CTS for PANS atom"
This reverts commit e161bbff7b5a27f96b78805eb9ca1e9e9802105d.
Reason for revert: testOemManagedBytesTransfer is infeasible for S because ag/14420907 (correctly) marks networks created with wifi network suggestions as restricted. The CTS test can't bindProcessToNetwork for restricted networks, and so the test fails.
I've created b/188938167 to track the progress of creating a workaround/alternative for T.
Ideally, we'll be able to get an api added to wifi network suggestions to allow for unrestricted oem managed networks for the sake of testing. If that's not possible, we'll have to fall back to making it a GTS test.
Bug: 188938167
Test: atest BytesTransferredTest
Change-Id: I68b97c7aab8c9a40a7f4862e4aba73e0476add72</t>
  </si>
  <si>
    <t>Move definition of cross-process Activity methods into Nene.
In a follow up CL, this will be used so Nene can provide unified APIs
across local and remote Activities.
Test: atest TestAppTest
Bug: 188894962
Change-Id: I3264104cfc8e05faf2dfe71618b8d58e3407ed4c</t>
  </si>
  <si>
    <t>Split deletePending test into multiple testcases.
When running on R, File Manager operations skip database operations. For
this reason, testDeletePendingAndTrashed was flaky, because it assumes
the db is updated after a file manager deletes a file.
Test: atest CtsScopedStorageDeviceOnlyTest
Bug: 187904310
Change-Id: I5ce7625cf64bfc1547783d0b5e523d6840784ac8</t>
  </si>
  <si>
    <t>App links work profile tests
Verifies cross profile app links behavior when started as both the
personal and work user. And using general allow_parent_profile_app_linking
and specific cross profile intent filters.
MODULE_NOT_SECONDARY_USER_REASON = Device admin/owner requires being
    run in system user
Bug: 180897272
Test: CtsDomainVerificationDeviceMultiUserTestCases
Change-Id: I3166df1c07b03f976f08f8ea4a2cd970df9e5d6d</t>
  </si>
  <si>
    <t>Fixing exact alarms tests
The tests require denying the app-op OP_SCHEDULE_EXACT_ALARM, which
usually ends up killing the app.
Telling the service to not kill the app on permission revocation for the
duration of the test
Also added a test for the broadcast when the permission gets granted as
a result of deny list change.
Test: atest CtsAlarmManagerTestCases:ExactAlarmsTest
Bug: 179541791
Bug: 187206399
Change-Id: I480e8cd97a00b5a10711df594074b1470f99f4f7</t>
  </si>
  <si>
    <t>Parallelize and speed up long-running tests
Update all the LargeNumberOfKeysSupported tests:
- Use one thread per logical cpu to import keys and delete keys. This
  speeds up import a bit, and delete a lot. This also stresses keystore
  more, giving us a more intense test.
- Put in hard limits for the maximum number of keys (determined
  experimentally on a Pixel 3axl). This way, on very fast systems (e.g.
  cuttlefish), the test can run more quickly.
- Reduce copy-n-paste by refactoring common code into helper functions.
- Use actual runtime for duration/timing, not the wall-clock. Use of
  wall-clock time for measuring durations is bug-prone.
Test: Ran all affected tests
Fixes: 190751284
Bug: 189957827
Change-Id: Ia9a89f5169139be095ea7c79c1ce8363fde8056b</t>
  </si>
  <si>
    <t>Parallelize and speed up long-running tests
Update all the LargeNumberOfKeysSupported tests:
- Use one thread per logical cpu to import keys and delete keys. This
  speeds up import a bit, and delete a lot. This also stresses keystore
  more, giving us a more intense test.
- Put in hard limits for the maximum number of keys (determined
  experimentally on a Pixel 3axl). This way, on very fast systems (e.g.
  cuttlefish), the test can run more quickly.
- Reduce copy-n-paste by refactoring common code into helper functions.
- Use actual runtime for duration/timing, not the wall-clock. Use of
  wall-clock time for measuring durations is bug-prone.
Test: Ran all affected tests
Bug: 190751284
Bug: 189957827
Change-Id: Ia9a89f5169139be095ea7c79c1ce8363fde8056b
Merged-In: Ia9a89f5169139be095ea7c79c1ce8363fde8056b</t>
  </si>
  <si>
    <t>Remove interfaceAddress test for ephemeral target
The ephemeral test case does not have access to the device's network
interfaces. Remove a test that requires this access.
Bug: 191072598
Test: atest CtsSelinuxEphemeralTestCases
Change-Id: I3a21113db615bf80970c7edab7253499a82dce96</t>
  </si>
  <si>
    <t>Fixed testDelegation() for automotive.
This is a relatively large change, as testDelegation() tests multiple
features at once and this change fix all (but one) of these tests:
- Refactored the device-side tests so they extend a base class.
- Changed the base class to use the DpmWrapper.
- Added UserManager to DpmWrapper.
- Used a ParcelablePrivateKey so it can be passed through IPC.
- Added missing mock methods on DpmWrapper.
- Adeed missing types on DpmWrapper.
- Provided an IpcBroadcastReceiver to be used on apps that need to use
  DpmWrapper but don't provide their own DeviceAdminReceiver.
- Improved logging.
The only issue left is testDelegateReceivesScopeChangedBroadcast(),
which was disabled as the headless system user cannot launch
activities, so ACTION_APPLICATION_DELEGATION_SCOPES_CHANGED cannot be
supported on delegated apps.
Fixes: 189265747
Bug: 190627898
Test: atest com.android.cts.devicepolicy.MixedDeviceOwnerTest#testDelegation # on automotive and phone
Change-Id: Id92d9cdc85451877337117efaa259f62cf8f9e37</t>
  </si>
  <si>
    <t>Add more tests for CarAudioManager.CarVolumeCallback
Bug: 189874017
Test: atest android.car.cts.CarAudioManagerTest
Change-Id: I24d1618ff1c3331bfacdd5df36494579a2b5ddb4</t>
  </si>
  <si>
    <t>Add CTS coverage for DataSpecificRegistrationInfo#getVopsSupportInfo
Bug: 189162208
Test: atest CtsTelephonyTestCases:ServiceStateTest
Change-Id: I4c9230b22f5cd8586cfc6fce1a0efb7985c9cb7f</t>
  </si>
  <si>
    <t>Add CTS coverage for DataSpecificRegistrationInfo#getVopsSupportInfo
Bug: 189162208
Test: atest CtsTelephonyTestCases:ServiceStateTest
Change-Id: I7a171285790d4844c00bc4a62fdf09b84e8ac51a</t>
  </si>
  <si>
    <t>Verify isUiContext in InputMethodServiceTest
After migrating InputMethodService to WindowProviderService, the API
isUiContext is implemented by its base context vs hardcoded to true.
Therefore, the test testIsUiContextOnInputMethodService, which only
verify the InputMethodService ctr, will fail
because we don't attach the base context and it's not possible to
obtain the real InputMethodService instance in test.
Switch to verify isUiContext on InputMethodServiceTest.
Test: atest ContextIsUiContextTest
Test: atest InputMethodServiceTest
Bug: 159767464
Change-Id: I4adc955329eab7a00519d22cc859e98a3e402892</t>
  </si>
  <si>
    <t>wrap Activity or TestAppActivity in a container for Nene APIs.
Test: atest TestAppTest
Bug: 188894962
Change-Id: I8b85840d00bbc4217d65460301cb2b8db90d5364</t>
  </si>
  <si>
    <t>Temporarily removed @TemporaryIgnoreOnHeadlessSystemUserMode.
Test: m CtsDevicePolicyManagerTestCases
Bug: 189246976
Change-Id: I92dc048029e47eb05c93c080a40f6ad1f33d44da</t>
  </si>
  <si>
    <t>testFgsSticky case also check on FGS proc state and while-in-use
capability.
Also improve the case testFgsLocationStartFromBG in
ActivityManagerFgsBgStartTest.java to test FGS while-in-use capability.
This is to verify that sticky FGS, after restart, can retain its
while-in-use permissions.
Bug: 182832497
Test: atest CtsAppTestCases:android.app.cts.ActivityManagerProcessStateTest#testFgsSticky
Change-Id: I0c01c8df7b6867f137bcd8053d7671a1fcd376cf</t>
  </si>
  <si>
    <t>Remove digesting test from CTS. It was moved to GTS.
Bug: 189452608
Fixes: 189452608
Test: atest PackageManagerShellCommandIncrementalTest
Change-Id: Ib97c5b0b7d31eb9b99b44141212ba86edd2cc933</t>
  </si>
  <si>
    <t>Make registerReceiver and unregisterReceiver work.
Test: atest TestAppTest
Bug: 188894962
Change-Id: Id4e4c4df447330020648d962d74d470ba5ca3a30</t>
  </si>
  <si>
    <t>Migrate testStartActivity_withinTask
Migrated: com.android.cts.devicepolicy.DeviceAndProfileOwnerTest#testLockTask com.android.cts.deviceandprofileowner.LockTaskTest#testLockTask_policyExemptApps
Migrated: com.android.cts.devicepolicy.MixedDeviceOwnerTest#testLockTask com.android.cts.deviceandprofileowner.LockTaskTest#testLockTask_policyExemptApps
Migrated: com.android.cts.devicepolicy.DeviceAndProfileOwnerTestApi25#testLockTask com.android.cts.deviceandprofileowner.LockTaskTest#testLockTask_policyExemptApps
Migrated: com.android.cts.devicepolicy.MixedDeviceOwnerTestApi25#testLockTask com.android.cts.deviceandprofileowner.LockTaskTest#testLockTask_policyExemptApps
Test: atest android.devicepolicy.cts.LockTaskTest
Bug: 175377361
Change-Id: I103e3baac9898c8df73d6f887ebe02be1169791a</t>
  </si>
  <si>
    <t>Migrate testStartActivity_withinTask_blockInTask
Migrated: com.android.cts.devicepolicy.DeviceAndProfileOwnerTest#testLockTask com.android.cts.deviceandprofileowner.LockTaskTest#testStartActivity_withinTask_blockInTask
Migrated: com.android.cts.devicepolicy.MixedDeviceOwnerTest#testLockTask com.android.cts.deviceandprofileowner.LockTaskTest#testStartActivity_withinTask_blockInTask
Migrated: com.android.cts.devicepolicy.DeviceAndProfileOwnerTestApi25#testLockTask com.android.cts.deviceandprofileowner.LockTaskTest#testStartActivity_withinTask_blockInTask
Migrated: com.android.cts.devicepolicy.MixedDeviceOwnerTestApi25#testLockTask com.android.cts.deviceandprofileowner.LockTaskTest#testStartActivity_withinTask_blockInTask
Bug: 175377361
Test: atest android.devicepolicy.cts.LockTaskTest
Change-Id: I41104140ed21d9ad88608c3be0939924659c9dcd</t>
  </si>
  <si>
    <t>Migrate testStartActivity_newTask_blockInTask
Migrated: com.android.cts.devicepolicy.DeviceAndProfileOwnerTest#testLockTask com.android.cts.deviceandprofileowner.LockTaskTest#testStartActivity_newTask_blockInTask
Migrated: com.android.cts.devicepolicy.MixedDeviceOwnerTest#testLockTask com.android.cts.deviceandprofileowner.LockTaskTest#testStartActivity_newTask_blockInTask
Migrated: com.android.cts.devicepolicy.DeviceAndProfileOwnerTestApi25#testLockTask com.android.cts.deviceandprofileowner.LockTaskTest#testStartActivity_newTask_blockInTask
Migrated: com.android.cts.devicepolicy.MixedDeviceOwnerTestApi25#testLockTask com.android.cts.deviceandprofileowner.LockTaskTest#testStartActivity_newTask_blockInTask
Bug: 175377361
Test: atest android.devicepolicy.cts.LockTaskTest
Change-Id: I667a301324ccc28dd26beb27f90897860a86603e</t>
  </si>
  <si>
    <t>Migrate #testStartActivity_outsideTaskAllowed
Migrated: com.android.cts.devicepolicy.DeviceAndProfileOwnerTest#testLockTask com.android.cts.deviceandprofileowner.LockTaskTest#testStartActivity_outsideTaskAllowed
Migrated: com.android.cts.devicepolicy.MixedDeviceOwnerTest#testLockTask com.android.cts.deviceandprofileowner.LockTaskTest#testStartActivity_outsideTaskAllowed
Migrated: com.android.cts.devicepolicy.DeviceAndProfileOwnerTestApi25#testLockTask com.android.cts.deviceandprofileowner.LockTaskTest#testStartActivity_outsideTaskAllowed
Migrated: com.android.cts.devicepolicy.MixedDeviceOwnerTestApi25#testLockTask com.android.cts.deviceandprofileowner.LockTaskTest#testStartActivity_outsideTaskAllowed
Test: atest android.devicepolicy.cts.LockTaskTest
Bug: 175377361
Change-Id: Idf64b807224033c46b0148a87d04566f82fe5a6a</t>
  </si>
  <si>
    <t>Migrate testStartActivity_outsideTaskNotAllowed
Migrated: com.android.cts.devicepolicy.DeviceAndProfileOwnerTest#testLockTask com.android.cts.deviceandprofileowner.LockTaskTest#testStartActivity_outsideTaskNotAllowed
Migrated: com.android.cts.devicepolicy.MixedDeviceOwnerTest#testLockTask com.android.cts.deviceandprofileowner.LockTaskTest#testStartActivity_outsideTaskNotAllowed
Migrated: com.android.cts.devicepolicy.DeviceAndProfileOwnerTestApi25#testLockTask com.android.cts.deviceandprofileowner.LockTaskTest#testStartActivity_outsideTaskNotAllowed
Migrated: com.android.cts.devicepolicy.MixedDeviceOwnerTestApi25#testLockTask com.android.cts.deviceandprofileowner.LockTaskTest#testStartActivity_outsideTaskNotAllowed
Test: atest android.devicepolicy.cts.LockTaskTest
Bug: 175377361
Change-Id: Ic43bbfbf89fd6fe9e58c0e17d60cd69e430ccacb</t>
  </si>
  <si>
    <t>Migrate testActivityOptions_allowed
Migrated: com.android.cts.devicepolicy.DeviceAndProfileOwnerTest#testLockTask com.android.cts.deviceandprofileowner.LockTaskTest#testActivityOptions_allowed
Migrated: com.android.cts.devicepolicy.MixedDeviceOwnerTest#testLockTask com.android.cts.deviceandprofileowner.LockTaskTest#testActivityOptions_allowed
Migrated: com.android.cts.devicepolicy.DeviceAndProfileOwnerTestApi25#testLockTask com.android.cts.deviceandprofileowner.LockTaskTest#testActivityOptions_allowed
Migrated: com.android.cts.devicepolicy.MixedDeviceOwnerTestApi25#testLockTask com.android.cts.deviceandprofileowner.LockTaskTest#testActivityOptions_allowed
Test: atest android.devicepolicy.cts.LockTaskTest
Bug: 175377361
Change-Id: Ibe31ba51c776b8cbb7744936c541b60bb73e3676</t>
  </si>
  <si>
    <t>Migrate testActivityOptions_notAllowed
Migrated: com.android.cts.devicepolicy.DeviceAndProfileOwnerTest#testLockTask com.android.cts.deviceandprofileowner.LockTaskTest#testActivityOptions_notAllowed
Migrated: com.android.cts.devicepolicy.MixedDeviceOwnerTest#testLockTask com.android.cts.deviceandprofileowner.LockTaskTest#testActivityOptions_notAllowed
Migrated: com.android.cts.devicepolicy.DeviceAndProfileOwnerTestApi25#testLockTask com.android.cts.deviceandprofileowner.LockTaskTest#testActivityOptions_notAllowed
Migrated: com.android.cts.devicepolicy.MixedDeviceOwnerTestApi25#testLockTask com.android.cts.deviceandprofileowner.LockTaskTest#testActivityOptions_notAllowed
Test: atest android.devicepolicy.cts.LockTaskTest
Bug: 175377361
Change-Id: Id5879e13c939e587c3a43008b907268f3cb1d829</t>
  </si>
  <si>
    <t>Add test for getLastTimeAnyComponentUsed() to cover service binding case
Added two test for the case of service bound to an external packaged and
the job service bound by system process. Also merged existing user level
and global level API test cases.
Bug: 189980303
Test: atest CtsUsageStatsTestCases:UsageStatsTest
Change-Id: I15207a76e728826c85f9b9212d302cd2c681ae11</t>
  </si>
  <si>
    <t>Increase CTS coverage of video peek
This commit modifies existing validity checks for video peek in order
to exercise the new peek related MediaCodec APIs.
Bug: 183612316
Bug: 183239609
Test: atest android.media.cts.DecoderTest#testTunneledVideoPeekDefaultVp9
      atest android.media.cts.DecoderTest#testTunneledVideoPeekDefaultHevc
      atest android.media.cts.DecoderTest#testTunneledVideoPeekDefaultAvc
      atest android.media.cts.DecoderTest#testTunneledVideoPeekOffVp9
      atest android.media.cts.DecoderTest#testTunneledVideoPeekOffHevc
      atest android.media.cts.DecoderTest#testTunneledVideoPeekOffAvc
Change-Id: Ibecdf495b7ca40ef43854e841a1b62698dd16842</t>
  </si>
  <si>
    <t>Camera: Adjust test for performance class 11 and 12
- Adjust Performance class 12 CTS/ITS tests
- Add Performance Class 11 CTS/ITS tests
Test: Run CTS and ITS test on Pixel 4
Bug: 190745041
Change-Id: I1c66ec304879cc88ae04937546ee29bf2e7685c4</t>
  </si>
  <si>
    <t>Use Queryable in TestApp.
Test: atest TestAppTest
Bug: 175377361
Change-Id: Ic78497ff33d11f36a20e8d98fc5d2a03b8b9f9e2</t>
  </si>
  <si>
    <t>Remove CTS tests that test hidden APIs.
Bug: 146218515
Test: Build; presubmit of affected tests
Change-Id: I1828f7d757c471f96662179b08dc02ff2f94220b</t>
  </si>
  <si>
    <t>Fix SettingsHandlerTest
Bug: 191500850
Test: atest
Change-Id: If2f30b50bc2b866fa767e4615d7d1b17c68a7539</t>
  </si>
  <si>
    <t>Pass ActivityInfo into all Activity events.
Test: atest EventLibTest
Test: atest BedsteadQueryableTest
Bug: 175377361
Change-Id: I247ad030554cd3adcc25ea8a4c83484444f6a5d0</t>
  </si>
  <si>
    <t>Add Set queries.
Test: atest BedsteadQueryableTest
Bug: 175377361
Change-Id: Ie1633fb74742d16a270650d4205e6ed46c8969ef</t>
  </si>
  <si>
    <t>Fix failing tests due to Testapp API changes.
Test: atest EventLibTest
Test: atest TestAppTest
Test: atest NeneTest
Bug: 175377361
Change-Id: Ide36196c5daf38029e5f35820f8ce1da52eaddf8</t>
  </si>
  <si>
    <t>Migrate testManifestArgument_allowed
Migrated: com.android.cts.devicepolicy.DeviceAndProfileOwnerTest#testLockTask com.android.cts.deviceandprofileowner.LockTaskTest#testManifestArgument_allowed
Migrated: com.android.cts.devicepolicy.MixedDeviceOwnerTest#testLockTask com.android.cts.deviceandprofileowner.LockTaskTest#testManifestArgument_allowed
Migrated: com.android.cts.devicepolicy.DeviceAndProfileOwnerTestApi25#testLockTask com.android.cts.deviceandprofileowner.LockTaskTest#testManifestArgument_allowed
Migrated: com.android.cts.devicepolicy.MixedDeviceOwnerTestApi25#testLockTask com.android.cts.deviceandprofileowner.LockTaskTest#testManifestArgument_allowed
Bug: 175377361
Test: atest android.devicepolicy.cts.LockTaskTest
Change-Id: I9a2b4a5ec62bf7744427697dee93f04589aee883</t>
  </si>
  <si>
    <t>Migrate testManifestArgument_notAllowed
Migrated: com.android.cts.devicepolicy.DeviceAndProfileOwnerTest#testLockTask com.android.cts.deviceandprofileowner.LockTaskTest#testManifestArgument_notAllowed
Migrated: com.android.cts.devicepolicy.MixedDeviceOwnerTest#testLockTask com.android.cts.deviceandprofileowner.LockTaskTest#testManifestArgument_notAllowed
Migrated: com.android.cts.devicepolicy.DeviceAndProfileOwnerTestApi25#testLockTask com.android.cts.deviceandprofileowner.LockTaskTest#testManifestArgument_notAllowed
Migrated: com.android.cts.devicepolicy.MixedDeviceOwnerTestApi25#testLockTask com.android.cts.deviceandprofileowner.LockTaskTest#testManifestArgument_notAllowed
Bug: 175377361
Test: atest android.devicepolicy.cts.LockTaskTest
Change-Id: Id9df65e8c910c33401b3d3178c926bb8db0e16b4</t>
  </si>
  <si>
    <t>Migrate testManifestArgument_cannotFinish
Migrated: com.android.cts.devicepolicy.DeviceAndProfileOwnerTest#testLockTask com.android.cts.deviceandprofileowner.LockTaskTest#testManifestArgument_cannotFinish
Migrated: com.android.cts.devicepolicy.MixedDeviceOwnerTest#testLockTask com.android.cts.deviceandprofileowner.LockTaskTest#testManifestArgument_cannotFinish
Migrated: com.android.cts.devicepolicy.DeviceAndProfileOwnerTestApi25#testLockTask com.android.cts.deviceandprofileowner.LockTaskTest#testManifestArgument_cannotFinish
Migrated: com.android.cts.devicepolicy.MixedDeviceOwnerTestApi25#testLockTask com.android.cts.deviceandprofileowner.LockTaskTest#testManifestArgument_cannotFinish
Bug: 175377361
Test: atest android.devicepolicy.cts.LockTaskTest
Change-Id: I20c77cd7fa3f585c1b4dd283144cd788fd1845ec</t>
  </si>
  <si>
    <t>Migrate testManifestArgument_updateAllowlist
Migrated: com.android.cts.devicepolicy.DeviceAndProfileOwnerTest#testLockTask com.android.cts.deviceandprofileowner.LockTaskTest#testManifestArgument_updateAllowList
Migrated: com.android.cts.devicepolicy.MixedDeviceOwnerTest#testLockTask com.android.cts.deviceandprofileowner.LockTaskTest#testManifestArgument_updateAllowList
Migrated: com.android.cts.devicepolicy.DeviceAndProfileOwnerTestApi25#testLockTask com.android.cts.deviceandprofileowner.LockTaskTest#testManifestArgument_updateAllowList
Migrated: com.android.cts.devicepolicy.MixedDeviceOwnerTestApi25#testLockTask com.android.cts.deviceandprofileowner.LockTaskTest#testManifestArgument_updateAllowList
Bug: 175377361
Test: atest android.devicepolicy.cts.LockTaskTest
Change-Id: I461ab58d837ad7723ee897aef8fefb73264c61dc</t>
  </si>
  <si>
    <t>Remove the "See more" button test case in Internet panel
- There is no more "see more" button in the Internet panel for the new
provider model design.
Bug: 189912933
Bug: 191055897
Test: manual test
atest android.provider.cts.SettingsPanelTest
Change-Id: I185b3b1d7f6553c3b1b92bf42a6da988f4109802</t>
  </si>
  <si>
    <t>Revert "Increase CTS coverage of video peek"
This reverts commit bd81f2228d771aac9808212899a600effc59ffc6.
Reason for revert: Breaks build
Bug: 191861426
Change-Id: Idc3152f0f03d9458a7422c12be13ce007306c623</t>
  </si>
  <si>
    <t>Increase CTS coverage of video peek
This commit modifies existing validity checks for video peek in order
to exercise the new peek related MediaCodec APIs.
Note: This was originally Ibecdf495b7ca40ef43854e841a1b62698dd16842,
but it got reverted due to a build issue.
Bug: 183612316
Bug: 183239609
Test: atest android.media.cts.DecoderTest#testTunneledVideoPeekDefaultVp9
      atest android.media.cts.DecoderTest#testTunneledVideoPeekDefaultHevc
      atest android.media.cts.DecoderTest#testTunneledVideoPeekDefaultAvc
      atest android.media.cts.DecoderTest#testTunneledVideoPeekOffVp9
      atest android.media.cts.DecoderTest#testTunneledVideoPeekOffHevc
      atest android.media.cts.DecoderTest#testTunneledVideoPeekOffAvc
Change-Id: I73b7d468f503d67afabdf04245c2ab27079cb2be</t>
  </si>
  <si>
    <t>Fix CtsAngleDeveloperOptionHostTest due to ANGLE updates
CtsAngleDeveloperOptionHostTest has several tests for features that the
ANGLE APK no longer supports:
1.) Settings GUI
2.) JSON rules file
CtsAngleDeveloperOptionHostTest is being updated to no longer test these
features so it can be enabled for P21 devices.
Bug: 187342779
Bug: 184757175
Test: CtsAngleDeveloperOptionHostTest
Change-Id: Ia8be8636d37e7543a821643476d475059d70f446</t>
  </si>
  <si>
    <t>mediapc CTS: MediaPerformance class tests updates
Bug: 179084926
Test: atest android.mediapc.cts
Change-Id: I8a0b7f255e76491d2ca9926b79e62618fb3b3f02</t>
  </si>
  <si>
    <t>Track command line change to device_config service
Bug: 185786624
Test: atest hostsidetests/appsecurity/src/android/appsecurity/cts/ResumeOnRebootHostTest.java
Test: atest tests/tests/time/src/android/app/time/cts/TimeManagerTest.java
Change-Id: I54f58c3dc03b0a8fd5a07d1f12387bf0200bc846</t>
  </si>
  <si>
    <t>Update getLastTimeAnyComponentUsed tests with permission enforcement
Since the global level getLastTimeAnyComponentUsed API checks
permissions at runtime, the tests are updated to run with shell
permissions. And also add a test to verify that the INTERACT_ACROSS_USER
permission is enforced.
Bug: 191382775
Test: This is the test
Change-Id: Ia6884de769c055be582daf63550ab52562812b9d</t>
  </si>
  <si>
    <t>[cts] remove reboot in incremental partial loading progress test
After ag/14293407 the app will get uninstalled when it's installed over
adb and the adb connection gets interrupted before the app is fully
loaded. Therefore, the old test that checks app loading progress after
reboot will no longer work because the app is installed over adb. We
will need to move this test to a gts test that uses a non-adb data
loader.
BUG: 190793258
Test: atest com.android.tests.loadingprogress.host.IncrementalLoadingProgressTest
Change-Id: I32982a38e717e3b68203a6c85cf1e44741c69822</t>
  </si>
  <si>
    <t>CtsVideoTestCases: Refactor Performance tests
Create base classes that can be reused in concurrent tests
that are being developed.
Also fix a typo in bitrate used for 480p (use 2mbps instead
of 200kbps)
Change the buffer size from fileLength*2 to fileLength
Bug: 179084588
Test: atest android.video.cts.CodecEncoderPerformanceTest
Test: atest android.video.cts.CodecDecoderPerformanceTest
Change-Id: I64bec4683f07accbbe589914f95776ba53f189c2</t>
  </si>
  <si>
    <t>Create a new user once before all the tests are run.
Bug: 190663736
Bug: 190664705
Bug: 190666890
Bug: 190664071
Test: atest ./hostsidetests/blobstore/src/com/android/cts/host/blob/BlobStoreMultiUserTest.java
Change-Id: I303964bd229c7c36d6c955acf308eaa131f4862f</t>
  </si>
  <si>
    <t>Test location disavowal and renouncement attribution chain cases.
This adds tests for the amended Bluetooth logic to check if a caller
has disavowed or renounced location.
Bug: 191751843
Test: atest NearbyDevicesPermissionTest
Test: atest NearbyDevicesRenouncePermissionTest
Change-Id: I466397f7d5f5cf63b62c9dcfa51b3439b3c234fe</t>
  </si>
  <si>
    <t>Test HotwordDetectionService#onStopDetection
Fix: 183239093
Test: atest HotwordDetectionServiceBasicTest
Change-Id: I024c62fc5b969059d3c891a760a7e5aaadfa4fe2</t>
  </si>
  <si>
    <t>Rename NetCaps listener util.
This CL renames a utility in VcnManagerTest used to wait for specific
NetworkCapabilities changes on a Network. It also removes an overloaded
version of the previous method and specifies the timeout for all method
calls.
Bug: 189125789
Test: atest CtsVcnTestCases
Change-Id: Id5fb9656f780f0c0445535b8526e8c7395d957e9</t>
  </si>
  <si>
    <t>Fix issues with test app sdk version
Platform compat cannot override the change if the target sdk of the app
is already greater than or equal to the EnabledSince threshold. In such
cases, we skip the call as the change should already be enabled for
testing.
Added a helper app with sdk 30 for testing pre-S behavior.
Test: atest CtsAlarmManagerTestCases:ExactAlarmsTest
Fixes: 191580607
Change-Id: I20d4368ff5d4e2518d3008a5f78b3cc5527f058a</t>
  </si>
  <si>
    <t>Revert "Ensure that apps don't provide negative estimated byte u..."
Revert submission 15068553-js_lockdown
Reason for revert: 192016730
Reverted Changes:
I66485040d:Reject invalid input.
Ic35ee95bf:Ensure that apps don't provide negative estimated ...
Change-Id: Ib9925d1a7ba9c9f8870b2aa91ae60c8255a861ad</t>
  </si>
  <si>
    <t>Extract common code for time shell commands
There is a mix of instrumentation and host tests that cover time and
time zone system server code. This commit extracts the common shell
command details into shared code to reduce duplication and make it
easier to write new tests in future commits.
Bug: 188780558
Test: atest with affected tests
Change-Id: I7aa3c3b33916f9827cbbfa4f8fc32dc2728ae35e</t>
  </si>
  <si>
    <t>Improve RemoteDPC and EventLib stability.
This disables the capability of maintaining logs beyond the app
lifespan, and removes .get() and .next(). None of these features are
required by current tests and they contribute to instability. They can
be restored in a more stable way later.
Test: atest EventLibTest
Test: atest RemoteDPCTest
Test: atest CtsDevicePolicyTestCases
Fixes: 192055515
Fixes: 192052511
Fixes: 192051740
Change-Id: Ifa341925161f306c93f46290f1411e58d2ff4694</t>
  </si>
  <si>
    <t>Add MetricsRecorder and metrics tests.
The API is not as strong as I'd like - but it can be refactored later.
Also missing tests for MetricsRecorder, and support for non-enterprise
metrics.
Test: atest CtsDevicePolicyTestCases
Test: atest BedsteadQueryableTest
Bug: 190048457
Change-Id: I491db150f2a17a1a594ca7a80f27892125b14502</t>
  </si>
  <si>
    <t>Move BootTest out of CTS
Relocate this BootTest to the internal test.
Fix: 188635265
Test: build
Change-Id: I1a645c76b3fc8061c31559adc3fe591115d4446e</t>
  </si>
  <si>
    <t>Remove GlVboPerfTest
This test no longer seems to be useful.
Bug: b/71845445
Change-Id: I3e3e380acb348c523efead34272e3cbee69e970b</t>
  </si>
  <si>
    <t>mediav2 CTS: refactor codec encoder test
1. Move reusable code to CodecEncoderTestBase class
2. Cleared MediaCodec.BufferInfo lists across iterations. This reduces
   the memory consumptions during test runs.
3. Restrict EncoderProfileLevelTest in sync mode only.
Bug: 181898853
Test: atest android.mediav2.CodecEncoderTest
Test: atest android.mediav2.EncoderProfileLevelTest
Test: atest android.mediav2.EncoderColorAspectsTest
Change-Id: I41dc185d571f6b1b7f853d31596dff1ced8dbb32
Merged-In: I41dc185d571f6b1b7f853d31596dff1ced8dbb32
(cherry picked from commit 3c0aed7e969db154bca39582803623e6a0937427)</t>
  </si>
  <si>
    <t>testResetPasswordWithTokenLogged test failure
* If ResetPasswordWithTokenTest is executed in the
  managed profile first, password reset token is disabled
  for the primary user and will cause MixedDeviceOwnerTest
  and MixedProfileOwnerTest to fail.
* Therefore, we will allow for failures in MixedDeviceOwnerTest
  and MixedProfileOwnerTest, but we won't allow for failures
  in MixedManagedProfileOwnerTest.
Bug: 189598472
Test: atest com.android.cts.devicepolicy.MixedDeviceOwnerTest#testResetPasswordWithToken
      atest com.android.cts.devicepolicy.MixedProfileOwnerTest#testResetPasswordWithToken
      atest com.android.cts.devicepolicy.MixedManagedProfileOwnerTest#testResetPasswordWithToken
Change-Id: I2d591db0892015517ae0216b7ac467887814269d</t>
  </si>
  <si>
    <t>Update rollback tests for new behaviour that abandons other staged sessions.
This updates RollbackManagerHostTest to account for the amended behaviour
where all other (non-rollback) staged sessions are failed when a rollback
is staged.
Bug: 163734200
Test: atest RollbackManagerHostTest
Change-Id: If26965aba507dfb6754a7afb2f4be9ed0b25b079</t>
  </si>
  <si>
    <t>Avoid calling verifyTest multiple times in ASurfaceControlTest
Every call to verifyTest will re-create a new SurfaceView, create a new
SurfaceControl, and then tear it down. This can be very slow and create
issues with running the test. Use MultiRectChecker to verify multiple
colors in a single SurfaceControl, rather than calling verifyTest over
and over. This seems to remove some of the flakiness from these tests
Bug: 191613127
Test: ASurfaceControlTest --rerun-until-failure
Change-Id: I03c26478c12baea15a0bbe90d8d7a9b2a0154e83</t>
  </si>
  <si>
    <t>Correct one test method name in HotwordRejectedResultTest
Bug: 184396760
Test: atest CtsVoiceInteractionTestCases
Test: atest CtsVoiceInteractionTestCases --instant
Change-Id: I20933c085c31bae6adcb81640d690f762fbef1d7</t>
  </si>
  <si>
    <t>CtsVideoTestCases: Refactor Performance tests
Create base classes that can be reused in concurrent tests
that are being developed.
Also fix a typo in bitrate used for 480p (use 2mbps instead
of 200kbps)
Change the buffer size from fileLength*2 to fileLength
Bug: 179084588
Test: atest android.video.cts.CodecEncoderPerformanceTest
Test: atest android.video.cts.CodecDecoderPerformanceTest
Change-Id: I64bec4683f07accbbe589914f95776ba53f189c2
Merged-In: I64bec4683f07accbbe589914f95776ba53f189c2
(cherry picked from commit a794b7d78fa4e8398cf04db7e02a46cc97e8526d)</t>
  </si>
  <si>
    <t>Revert "Update tests to check RTM_GETNEIGH{TBL} restrictions"
Revert submission 1748045-getneigh-enable-restrictions
Reason for revert: Breaks android.net.netlink.NetlinkSocketTest#testBasicWorkingGetNeighborsQuery with permissions error.
Bug: 192406650
Reverted Changes:
Iea29a1b36:Ignore SELinux denials for all untrusted_app domai...
I14b755020:Update tests to check RTM_GETNEIGH{TBL} restrictio...
I32ebb407b:untrusted_app_30: add new targetSdk domain
I8598662b7:libsepol: trigger new RTM_GETNEIGH{TBL} behavior
Change-Id: I63243731bd1002b4a70f90c5699c968a8a589e77</t>
  </si>
  <si>
    <t>Update testProfileSnapshotAfterInstall test.
Replace the temporary workaround with a proper test after
the SDK version has been finalized.
We add a new .dm file with a profile version 15 for the
test app and use it if the SDK version is at least 31. This
profile was collected after starting the BaseActivity of
the test app (`adb shell am start [...].BaseActivity`) and
sending it the SIGUSR1 signal to dump the profile.
Test: atest CtsDexMetadataHostTestCases
Bug: 148067697
Change-Id: I407ae2e4ba9e1711e5da237088e1fd2f85356bb7</t>
  </si>
  <si>
    <t>Migrate testLockTask_defaultDialer
Test: atest CtsDevicePolicyTestCases
Bug: 175377361
Change-Id: I8b59798c6e9a3c0b1c998adf20607747063860f4</t>
  </si>
  <si>
    <t>Migrate testLockTaskCanLaunchEmergencyDialer
Test: atest android.devicepolicy.cts.LockTaskTest
Bug: 175377361
Change-Id: I64d026ee8e6950f89cd9e03e8a10e8cbff18583d</t>
  </si>
  <si>
    <t>Remove testLockTaskIsExitedIfNotAllowed
Already covered by setLockTaskPackages_removingCurrentlyLockedTask_taskFinishes
Test: N/A
Bug: 175377361
Change-Id: I926481ebb91df932d8db24590398ace62f1fa4e4</t>
  </si>
  <si>
    <t>Revert "Add tests for the api Context#checkUriPermission"
Revert submission 15065651-pm_package_visibility_check_uri_permission
Reason for revert: [Regression] Cross-profile sharing is broken
Reverted Changes:
Iea2f2d8a8:Enforce package visibility to the api checkUriPerm...
I0a4ed9350:Add tests for the api Context#checkUriPermission
Bug: 192357488
Change-Id: I1f3a32d6fee7bccdf05f4edcfb535dabe4436a21</t>
  </si>
  <si>
    <t>media: update franken-device detection and move to MediaUtils.
Bug: 187050618
Change-Id: I350e6f76e4b39eccb3f5282b0e620cf0f02134bf</t>
  </si>
  <si>
    <t>Revert "Add tests for the api Context#checkUriPermission"
Revert submission 15065651-pm_package_visibility_check_uri_permission
Reason for revert: [Regression] Cross-profile sharing is broken
Reverted Changes:
Iea2f2d8a8:Enforce package visibility to the api checkUriPerm...
I0a4ed9350:Add tests for the api Context#checkUriPermission
Bug: 192357488
Change-Id: I1f3a32d6fee7bccdf05f4edcfb535dabe4436a21
(cherry picked from commit 877920ebde5a98978fd86f88161af4d9f88b21e9)</t>
  </si>
  <si>
    <t>RESTRICT AUTOMERGE: Remove testLockTaskAfterReboot and remove testLockTaskAfterReboot_tryOpeningSettings
testLockTaskAfterReboot isn't actually testing anything because it has a
fallback to relaunch the activity in case instrumentation kills it - and
all other functionality is already covered in device-side tests. This
will be restored with b/192468113
testLockTaskAfterReboot_tryOpeningSettings is already covered by other
tests.
Test: N/A
Bug: 175377361
Change-Id: Ifaab633f2494e2e1d390ea4469b5ae18d3ca1f76</t>
  </si>
  <si>
    <t>mediapc CTS: MediaPerformance class tests updates
Bug: 179084926
Test: atest android.mediapc.cts
Change-Id: I8a0b7f255e76491d2ca9926b79e62618fb3b3f02
Merged-In: I8a0b7f255e76491d2ca9926b79e62618fb3b3f02
(cherry picked from commit 92236ff8b2cb5085333a6847e97fde12c2ed32d1)</t>
  </si>
  <si>
    <t>Add dedicated end-to-end tests for IC#commitText()
This is part of effort to achieve 100% test coverage of
InputConnection APIs.
Although InputConnection#commitText() is already indirectly verified
by various tests in CtsInputMethodTestCases, it'd still make sense for
us to test this vital API in the same way we test APIs in
InputConnection, including a special case where the API is called
after onUnbindInput().
This CL also renames
  InputConnectionBlockingMethodTest
to
  InputConnectionEndToEndTest
to make it clear that it now tests non-blocking APIs defined in
InputConnection.
Bug: 129012881
Test: atest -c CtsInputMethodTestCases:InputConnectionEndToEndTest
Change-Id: I8aae18b6b4161ce13495d930a764500c69eb3f9d</t>
  </si>
  <si>
    <t>Fix StrictModeTest in instant mode
[1] introduces the logic to verify if wallpaper is supported in
isWallpaperManagerAccessible() to pass StrictModeTest on auto
device, but make NPE throw because WallpaperManager is not
obtainable when test is running in instant mode.
This CL fixes the issue by checking the nullity of WallpaperManager.
Also remove the logic to check Android version and instant mode
because we may need to maintain the logic if we restrict the
access of Wallpapermanager furthur in the future.
fixes: 192635128
Test: atest StrictModeTest --instant on user build device
[1]: 07fe97c637a7eef428aaf4a2e0783662821eea78
Change-Id: Ib4117745b69d74fcff03ac9379b7c2ace2b7a63b</t>
  </si>
  <si>
    <t>Add more tests to LocationTimeZoneManagerHostTest
Add tests for more configurations.
Test: atest android.time.cts.host.LocationTimeZoneManagerHostTest
Bug: 188780558
Change-Id: I6130ad6c40ef987772aab23c45a77f77ea14a231</t>
  </si>
  <si>
    <t>Update password quality test.
The change in functionality that is covered by the
existing test was reverted. Thic CL updates the test
to expect old behavior: when using unified challenge
password quality set on the profile should be respected
by parent user.
Bug: 193040995
Test: atest ManagedProfileTest#testDevicePolicyManagerParentSupport
Change-Id: Ib60e1b4b88b79fb02ba7de023eead6c442e8b485</t>
  </si>
  <si>
    <t>Backports to fix CTS tests on non-debug devices
Backports: http://ag/15090523, http://ag/15243454, http://ag/14748431
This is mainly to address bug 193146231 reported against T, which looks
like it will be an issue for S CTS tests too.
TL;DR - a shell command used by tests cannot be used on non-debug (i.e.
user) builds.
There have been various improvements made on master that are being
backported here at the same time.
The shell_util code copied from master has been adjusted slightly to
account for command-line differences in "cmd device_config". On S,
get_sync_disabled_for_tests doesn't exist, and
is_sync_disabled_for_tests must be used instead.
----------
Original comment for http://ag/15090523:
Extract common code for time shell commands
There is a mix of instrumentation and host tests that cover time and
time zone system server code. This commit extracts the common shell
command details into shared code to reduce duplication and make it
easier to write new tests in future commits.
Bug: 188780558
----------
Original comment for http://ag/15243454:
Stop using cmd device_config reset
Stop using "adb cmd device_config reset" after tests to reset
device_config state because it is not suitable for use during tests, as
it requires root. Instead, tests now take a snapshot of device_config
key/values and return them to what they were when the test ends.
Bug: 193146231
----------
Flag CTS time tests as debuggable
Debugging tests is useful. The absence wasted time because only some
breakpoints triggered.
Bug: 188532369
----
Confirmed (silent) command failure with old CTS code on a -user build.
Also, CtsLocationTimeZoneManagerHostTest leaves device_config flags set
on -user devices without this change.
Test: [user build] atest CtsLocationTimeZoneManagerHostTest
Test: [user build] atest CtsTimeTestCases
Bug: 193146231
Bug: 193398340
Merged-In: I0b17e893ca1428f504b97a04e6a094af3d55ca44
Change-Id: I552bb73e9fd39455ed01769bdb15356156138055</t>
  </si>
  <si>
    <t>Created VehiclePropertyVerifier to help verify Vehicle Properties.
Test: atest CarPropertyManagerTest
Bug: 192514521
Bug: 191819597
Bug: 193411095
Change-Id: I804c2505c4cdc7cd7fa73af6ebec106cc93422b1</t>
  </si>
  <si>
    <t>Checks recieving AccessibilityEvent instead of waiting for idle
Checks recieving AccessibilityEvent instead of waiting until idle to
prevent waiting not work.
Bug: 192306387
Test: atest android.view.accessibility.cts.AccessibilityEventTest
Change-Id: I674a509ce2201ccd73374b839854068d4a7a97ac</t>
  </si>
  <si>
    <t>[Provider Model] Test the internet dialog from Settings
Bug: 187779230
Test: atest SettingsPanelTest
Change-Id: I8fa282f7cffd0cad6b67c40e7fff75369641519f</t>
  </si>
  <si>
    <t>Update thermal throttling tests.
1. Make sure all non-EJ background jobs are throttled when the status is SEVERE
2. Make sure all background jobs are throttled when the status is CRITICAL
2. Make sure foreground jobs are not throttled when the status is below CRITICAL
Bug: 193269111
Test: atest frameworks/base/services/tests/mockingservicestests/src/com/android/server/job
Test: atest frameworks/base/services/tests/servicestests/src/com/android/server/job
Test: atest CtsJobSchedulerTestCases
Change-Id: I6afe241c64904585232b8adfa9355e454dc6d89a</t>
  </si>
  <si>
    <t>Initial port of ApplicationRestrictionsTest to new infra.
Also, added CtsDevicePolicyTestCases to repohook
Test: atest CtsDevicePolicyTestCases:android.devicepolicy.cts.ApplicationRestrictionsTest
Bug: 193563511
Bug: 189268544
Bug: 192395248
Change-Id: I8853de0c10f595282bd11b48cb71b7247c5713e1</t>
  </si>
  <si>
    <t>Update CTS sample tests: remove Junit3 style
* Give an example of metric logging via annotation
Test: presubmit
Bug: 193813114
Change-Id: I8453cad96b8c6a8d78e43171f5bde6863aa20b0d</t>
  </si>
  <si>
    <t>Fix WindowLeaked warnings in logcat from ImeInsetsVisibilityTest
This is similar to the fix I recently made for FocusHandlingTest [1].
If you manually create a window by using WindowManager#addView(), then
you are responsible for destroying it with WindowManager#removeView()
before finishing the application.
This CL enforces it by using try-with-resources statement.
Other than that, there should be no semantic change in
ImeInsetsVisibilityTest.
 [1]: I11c193bc78627cc46d3409d1ae85aec1eef92c2b
      34a248dca96835f1de3518e0eb1beeaa6d441103
Fix: 193826172
Test: Manually verified as follows
 1. adb logcat -c
 2. atest -c CtsInputMethodTestCases
 3. adb logcat -s WindowManager:E
    Make sure that there is no WindowLeaked warning
Change-Id: I78beea01f616c5241551ee0bf67c0eec9a0310aa</t>
  </si>
  <si>
    <t>Fix testSuspendPackage for AAOS
- Un-skips the tests for AAOS
- Used `com.android.car.setting` and AAOS specific resource id
Fixes: 181168146
Fixes: 182387060
Bug: 192395248
Test: atest CtsDevicePolicyManagerTestCases:\
com.android.cts.devicepolicy.MixedProfileOwnerTest#testSuspendPackage,\
testSuspendPackageWithPackageManager
Change-Id: I0ba7aaddc7986bf0470cd3afcddd44e8408e24b6</t>
  </si>
  <si>
    <t>Remove test case for stoppd user.
If the user is stopped, there's no way we can create a session in it
without using INTERACT_ACROSS_USERS. AppSearch doesn't support
cross-user requests anymore, so this will get a different
SecurityException back than what we're expecting.
Bug: 193903221
Test:  atest -m -c --rebuild-module-info
CtsAppSearchHostTestCases
Test: presubmit
Change-Id: I884127003b5327b5b7f957f0f89ef88166da653d</t>
  </si>
  <si>
    <t>MediaExtractorTest: verify valid and invalid log session ids
Test: atest CtsMediaHostTestCases:android.media.cts.MediaExtractorHostSideTest
Bug: 194138071
Change-Id: I47ec8d9931794177a48030becdbcdb95fafc6634</t>
  </si>
  <si>
    <t>Changing DEVICE_NR_CAPABILITY type and renaming getMaxActiveInternetData
DEVICE_NR_CAPABILITY_*: Using int array instead of bitmask
Rename getMaxActiveInternetData and remove SystemAPI
Rename getMaxActivePacketSwitchedVoiceCalls
Bug: 180419672
Test: atest CtsTelephonyTestCases:android.telephony.cts.TelephonyManagerTest#testGetPhoneCapabilityAndVerify
atest CellularNetworkValidatorTest
atest PhoneCapabilityTest
atest PhoneSwitcherTest
atest TelephonyRegistryTest
Change-Id: I54f8d2d733e9e501ca643cbf5d98e18e2d1afaa7
Merged-In: I54f8d2d733e9e501ca643cbf5d98e18e2d1afaa7</t>
  </si>
  <si>
    <t>MBSTest: Use MediaBrowser in the thread that created it
Bug: 166529686
Test: atest MediaBrowserServiceTest --rerun-until-failure
Change-Id: Ibd2602c2ca5dde36b0fa404b83241526ecde7c92</t>
  </si>
  <si>
    <t>Remove test case for stoppd user.
If the user is stopped, there's no way we can create a session in it
without using INTERACT_ACROSS_USERS. AppSearch doesn't support
cross-user requests anymore, so this will get a different
SecurityException back than what we're expecting.
Bug: 193903221
Test:  atest -m -c --rebuild-module-info
CtsAppSearchHostTestCases
Test: presubmit
Change-Id: I884127003b5327b5b7f957f0f89ef88166da653d
(cherry picked from commit 641e7af30ebe486915a2bfe2c2f5016712e92833)</t>
  </si>
  <si>
    <t>Move assumeStrongbox to TestUtils.
Test: N/A
Change-Id: I0ba33094aedc61edf0be8533f16cca237451b6e5</t>
  </si>
  <si>
    <t>Fix SelfManagedConnectionTest.
There were flaky fails in SelfManageConnectionTest.  I think the root
cause is that testChangeCarModeApp was not cleaning up it's call, which
meant that the teardown is where this would happen.
I've added the correct cleanup and also added a wait after cleanup for
the connections to ensure that there is no active call before tearing down.
I also used the same car mode fixes from b/179264757 here as well since
it seemed reasonable to harden the tests against any failures and
prevent cascading.
Test: Run CTS tests and verify they no longer fail.
Fixes: 169603138
Change-Id: I1b4b61ba0683da33d6d0818dc9b155082dec8f2f
Merged-In: I1b4b61ba0683da33d6d0818dc9b155082dec8f2f</t>
  </si>
  <si>
    <t>Reduce flakiness in CtsAlarmManagerTestCases
The exact alarm permission state changes frequently, so disabling the
receiver in the test app, which causes the test app to move to
uid-active.
The receiver is enabled only for tests that specifically need it.
Also moving tweaking activity manager settings to module level setup and
teardown, so any latency while propagating them is mitigated.
Test: atest CtsAlarmManagerTestCases
Bug: 194270565
Change-Id: I8f0d44f30bac2bd7aeefb117b115fd51d03e1e13</t>
  </si>
  <si>
    <t>Created VehiclePropertyVerifier to help verify Vehicle Properties.
Test: atest CarPropertyManagerTest
Bug: 192514521
Bug: 191819597
Bug: 193411095
Change-Id: I804c2505c4cdc7cd7fa73af6ebec106cc93422b1
(cherry picked from commit e23eecc315c59ed901c4fffa4196cc318f516a05)</t>
  </si>
  <si>
    <t>Remove isSeparateProfileChallengeAllowed API related tests.
Removing these tests and project, as part of removing the
isSeparateProfileChallengeAllowed API(which these tests are testing).
Bug: 189502721
Test: NA
Change-Id: I4315a144fbce3791ad530b095a652f9928c21be0</t>
  </si>
  <si>
    <t>Move connection and conference set up to every test instead of the setUp
method to avoid cascading failure caused by setup  failure.
Sometimes connection and conference set up can fail, but it's done in
setUp so the tearDown method can't handle the failure properly, which
cause cascading failure in other test after this single failure.
Bug: b/194428306
Test: CTS tests
Change-Id: I7aff146d298da1f7f2086435280fa791998f11ab</t>
  </si>
  <si>
    <t>Fix MediaParserHostSideTest.testLogSessionId
Also remove use of new LogSessionId, which is probably going away.
Bug: 194687282
Test: atest MediaParserHostTestCases
Test: atest MediaParserTestCases
Change-Id: I98c974b31bcbea9b1c12ebfce33230bcd71640dc</t>
  </si>
  <si>
    <t>Migrate ManagedProfileRingtoneTest.
Test: atest NeneTest
Test: atest CtsDevicePolicyTestCases
Bug: 194670131
Change-Id: I5434d7f46fcffb18f02f9639ae6ea2b8a128db9f</t>
  </si>
  <si>
    <t>Optimize RestoreSessionHostSideTest
Bug: 194367965
Test: atest RestoreSessionHostSideTest
Remove one of the test apps used by the test to bring the execution time
under 30s. The test currently runs backup / restore of 3 packages.
Removing one of them won't reduce coverage.
Change-Id: If3710a3296930a59af9c5605a1460284f9ffe654</t>
  </si>
  <si>
    <t>Remove CTS test on bad enterprise config
There is an overlay that allows the wifi module to accept bad enterprise
configs. Therefore remove a CTS test that enforces adding a bad
enterprise must fail.
Bug: 195442487
Test: None
Change-Id: I06b4717e58c0e956a288e59b34aab5b098cdd740</t>
  </si>
  <si>
    <t>Revert "Add test to crop TextureView and verify if outer edge ha..."
Revert submission 15339442-1texelcrop
Reason for revert: Bisection identified these CLs as the likely cause of Droidfood blocking bugs b/195620803 and b/195637414
Bug: 195637414
Bug: 195620803
Reverted Changes:
If1f448a94:Added crop rect to LayerDrawable to not crop Textu...
Iefde6bdf7:Add test to crop TextureView and verify if outer e...
Icf0ee20e8:Adds out parameters for crop rectangle and transfo...
Change-Id: Ib3a570d1e138841a4b62a1a09c00130ff8a091f7
(cherry picked from commit d377b2acf14b1a5dec90f4b8890a2c76dff3b41e)</t>
  </si>
  <si>
    <t>Revert "Add test to crop TextureView and verify if outer edge ha..."
Revert submission 15339442-1texelcrop
Reason for revert: Bisection identified these CLs as the likely cause of Droidfood blocking bugs b/195620803 and b/195637414
Bug: 195637414
Bug: 195620803
Reverted Changes:
If1f448a94:Added crop rect to LayerDrawable to not crop Textu...
Iefde6bdf7:Add test to crop TextureView and verify if outer e...
Icf0ee20e8:Adds out parameters for crop rectangle and transfo...
Change-Id: Ib3a570d1e138841a4b62a1a09c00130ff8a091f7</t>
  </si>
  <si>
    <t>Resolve API review on getting media key session
Bug: 195657150
Test: Passed MediaSessionManager(Host)Test
Change-Id: I62d0d634ad4aedd17233748e0d4a6b5c1ead1883</t>
  </si>
  <si>
    <t>Remove CTS test on bad enterprise config
There is an overlay that allows the wifi module to accept bad enterprise
configs. Therefore remove a CTS test that enforces adding a bad
enterprise must fail.
Bug: 195442487
Test: None
Change-Id: I06b4717e58c0e956a288e59b34aab5b098cdd740
Merged-In: I06b4717e58c0e956a288e59b34aab5b098cdd740
(cherry picked from commit 7c5d2bc90886f36f7941698d2a4c766af1f07792)</t>
  </si>
  <si>
    <t>Remove CTS test enforcing secure enterprise configs
Only test that secure enterprise networks can be added and updated.
Bug: 195442487
Test: atest WifiManagerTest#testSecureEnterpriseConfigurationsAccepted
Change-Id: I3c9052902004830d810b900ee16a2b44e41dbe6a</t>
  </si>
  <si>
    <t>Rename android.media.MediaTranscodeManager -&gt; MediaTranscodingManager
renamed to avoid conflict with existing copy in the R framework.jar.
The framework.jar copy was removed during S development
Bug: 195608856
Test: build
Test: cts-tradefed run cts -m CtsMediaTranscodingTestCases
Change-Id: Ie47b8bbf33602fd6836b0b15dcdab62de6d2bbfa</t>
  </si>
  <si>
    <t>Remove CTS test enforcing secure enterprise configs
Only test that secure enterprise networks can be added and updated.
Bug: 195442487
Test: atest WifiManagerTest#testSecureEnterpriseConfigurationsAccepted
Change-Id: I3c9052902004830d810b900ee16a2b44e41dbe6a
Merged-In: I3c9052902004830d810b900ee16a2b44e41dbe6a
(cherry picked from commit 17738536724f3cbe14f5f8816f12d8f4e493cdd6)</t>
  </si>
  <si>
    <t>Revert "Add CTS for rollback data policy"
This reverts commit 785f64789bf862a64d0ccab46a79e809e7ea5515.
Reason for revert: regression on b/196517638
Change-Id: I4b11291ab9767eae703ff56b039e74febc1ea522</t>
  </si>
  <si>
    <t>Fix signature test issue caused by https://r.android.com/1613103
Change https://r.android.com/1613103 changed the name of the
instrumentation arg that the SignatureTest uses to retrieve the files
that define the expected API but did not change the corresponding
entries in all the AndroidTest.xml files that used that class, except
for CtsSystemApiSignatureTestCases's AndroidTest.xml file. That meant
that those tests that were affected ended up checking nothing.
This change switches back to using the previous name and reverts the
change to CtsSystemApiSignatureTestCases's AndroidTest.xml to use the
previous change.
This also adds some error checking to prevent this sort of bug from
arising again.
Bug: 196345428
Test: atest -p cts/tests/signature
      atest CtsHiddenApiBlocklistDebugClassTestCases
Change-Id: Ib9d1fcb62655534998aeb64e1c31f277e4ef9ed0</t>
  </si>
  <si>
    <t>[Provider Model] Test the internet dialog from Settings
Bug: 187779230
Test: atest SettingsPanelTest
Change-Id: I8fa282f7cffd0cad6b67c40e7fff75369641519f
(cherry picked from commit c6ec277571d10682027a37194f6f7c4f41f8929b)
Merged-In: I8fa282f7cffd0cad6b67c40e7fff75369641519f</t>
  </si>
  <si>
    <t>Rename android.media.MediaTranscodeManager -&gt; MediaTranscodingManager
renamed to avoid conflict with existing copy in the R framework.jar.
The framework.jar copy was removed during S development
Bug: 195608856
Test: build
Test: cts-tradefed run cts -m CtsMediaTranscodingTestCases
Merged-In: Ie47b8bbf33602fd6836b0b15dcdab62de6d2bbfa
Change-Id: Ie47b8bbf33602fd6836b0b15dcdab62de6d2bbfa</t>
  </si>
  <si>
    <t>Fix signature test issue caused by https://r.android.com/1613103
Change https://r.android.com/1613103 changed the name of the
instrumentation arg that the SignatureTest uses to retrieve the files
that define the expected API but did not change the corresponding
entries in all the AndroidTest.xml files that used that class, except
for CtsSystemApiSignatureTestCases's AndroidTest.xml file. That meant
that those tests that were affected ended up checking nothing.
This change switches back to using the previous name and reverts the
change to CtsSystemApiSignatureTestCases's AndroidTest.xml to use the
previous change.
This also adds some error checking to prevent this sort of bug from
arising again.
Bug: 196345428
Test: atest -p cts/tests/signature
      atest CtsHiddenApiBlocklistDebugClassTestCases
Merged-In: Ib9d1fcb62655534998aeb64e1c31f277e4ef9ed0
Change-Id: Ib9d1fcb62655534998aeb64e1c31f277e4ef9ed0
(cherry picked from commit b0db4cae905b93d9cf0169700483eda4f8314a70)</t>
  </si>
  <si>
    <t>Allow multiple different flag sets for @EnterprisePolicy - and
automatically generate states rather than manually listing.
This also tidies ApplicationRestrictionsTest because it's configuration
was previously incorrect.
Bug: 196780453
Test: atest CtsDevicePolicyTestCases
Change-Id: I04a8e6f0548406bf73582d444507ef319782b974</t>
  </si>
  <si>
    <t>Rename android.media.MediaTranscodeManager -&gt; MediaTranscodingManager
renamed to avoid conflict with existing copy in the R framework.jar.
The framework.jar copy was removed during S development
Bug: 195608856
Test: build
Test: cts-tradefed run cts -m CtsMediaTranscodingTestCases
Change-Id: Ie47b8bbf33602fd6836b0b15dcdab62de6d2bbfa
(cherry picked from commit e2dd9d95b57bc0406db3f3f80792cc9f9b2adfd6)</t>
  </si>
  <si>
    <t>Avoid intermediate rotation change from WindowTest
The ActivityTestRule only calls finish automatically when
the test finishes. If the activity it started changes the
display rotation, the next test may meet an intermediate
state that rotation is changing and even cause failure
because unexpected relaunch or configuration change.
Test: atest WindowTest
Bug: 189893767
Change-Id: I7206f3ef27c4582382a56c6f4bc3e30f24097b0d</t>
  </si>
  <si>
    <t>Test migration for short and long support messages
Migrated com.android.cts.devicepolicy.DeviceAndProfileOwnerTest#testSupportMessage
Fixes: 195927170
Test: atest android.devicepolicy.cts.SupportMessageTest
Change-Id: Ia302d570e54bfd063882e17b8e312ad272f13d49</t>
  </si>
  <si>
    <t>Replace getMaxWindowMetrics with getCurrent
Use windowContext to get correct window metrics and remove workaround
code done to fix b/190745506.
Bug: 192572357
Test: atest MultiWindowLoginActivityTest ActivityLifecycleLegacySplitScreenTests
Change-Id: Iecfb241a58f272f207dfecfa7339ccf70299e815</t>
  </si>
  <si>
    <t>Preserve certain "Nearby devices" implicit grants.
We're willing to preserve an implicit "Nearby devices" permission
grant if this app was already able to interact with nearby devices
via background location access.
If the app doesn't have background location access, then the implicit
"Nearby devices" grant will be revoked as normal.  If the "Nearby
devices" permission had already been revoked through some other
means, it will remain revoked.
Bug: 196988990, 195931693
Test: atest NearbyDevicesPermissionTest
Change-Id: Icb8f45bf7146f47af267aee21361102ae921ed67</t>
  </si>
  <si>
    <t>Clean up MediaPlayerTest code
This CL does not introduce any functional changes. It simplifies some
expressions, removes some redundancies and takes advantage of modern
Java features like lambdas.
Bug: 194655325
Test: atest MediaPlayerTest
Change-Id: If2e3620cbda975779eb2974d4192d8ccc1ca37fa</t>
  </si>
  <si>
    <t>Verify starting Activity in created embedded Task
Bug: 192442647
Test: atest
TaskFragmentOrganizerPolicyTest#testStartActivityFromAnotherProcessInEmbeddedTask
Change-Id: I3f6f04a53a12948f1a96e51ceb5f62d3548b07c0</t>
  </si>
  <si>
    <t>Use resource device id instead of InputManager one
In the previous CL ag/15474054 we used the wrong device id. The one we
are supposed to use should come from the resource file, not from the
inputmanager.
Fix that in this CL.
In addition, add a few small fixes:
1) Move the InputEventTest to CtsInputTestCases. This will help it run
in presubmit automatically.
2) Make the tests in android/view/cts/input actually use that package
name. This makes it more convenient to run. These tests should also move
to CtsInputTestCases at some point.
3) Update Kotlin code to use non-prefixed instance variable names
Fixes: 197129201
Fixes: 197129788
Test: atest CtsInputTestCases android.view.cts.input
Note: the above command for testing does not work. The test hangs after
3rd test, after passing InputDeviceKeyLayoutTest. For those tests, I had
to run them individually in order to get them to work.
Change-Id: I27ca61416e8eca5750d0c3ea636c127fe3f0668e</t>
  </si>
  <si>
    <t>Test app compat overrides added/removed following package update
We're adding a 1 sec wait time after install/uninstall to be on the safe
side even though the test passes without it.
Fix: 194177015
Test: atest com.android.cts.appcompat.AppCompatOverridesServiceTest
Change-Id: Ib771c7eed6d1f1dd969a8c98ad1eaa254952063e</t>
  </si>
  <si>
    <t>Add new tuner CTS for long frequency.
Bug: 197024355
Test: atest android.media.tv.tuner.cts
Change-Id: I19c8c65640d7a7dff40be342a6dbb3ece1b82c5b</t>
  </si>
  <si>
    <t>Add CTS for EvChargingConnectorType API
Add EvChargingConnectorType to address the mismatching issue in
EvConnectorType. This is the CTS for new API
Bug: 184326066
Test: atest EvChargingConnectorTypeTest
Change-Id: I2ce01e6c8b84a736af6aee287e95c10eb3b44487</t>
  </si>
  <si>
    <t>Move drm tests to its own package.
As part of bug b/171226061 to separate DRM test
classes to enable better tracking of test failures
through the OWNERs files.
The drm tests now reside in android.mediadrm.cts package.
The following tests are moved:
  DrmInitDataTest, MediaDrmClearkeyTest, MediaDrmMetricsTest,
  MediaDrmMockTest, MediaPlayerDrmTest and NativeMediaDrmClearkeyTest
Drm tests that are moved from MediaCodecBlockModelTest, MediaCodecTest
and MediaExtractorTest into new android.mediadrm.cts classes are:
MediaDrmCodecBlockModelTest, MediaDrmCodecTest and MediaDrmExtractorTest
MediaCodecBlockModelHelper class is created to share common methods that
are used by MediaCodecBlockModelTest and MediaDrmCodecBlockModelTest
classes.
Test: atest CtsMediaDrmTestCases
Test: atest CtsMediaTestCases
Bug: 190625926
Change-Id: I694170dd7dc6bddd3e06b5dec733ba3652679c45</t>
  </si>
  <si>
    <t>Fix flaky cts VibratorManagerTest
Split tests that resets listeners into separate ones to keep the
listener state independent on each test case.
Fix: 195594276
Test: VibratorManagerTest &amp; VibratorTest
Change-Id: If5099d3137ca858a5d55886e396ceec60e8fd262</t>
  </si>
  <si>
    <t>Refactor LocationTest
Bug: 187142700
Test: atest LocationTest
Change-Id: Ieeef09016a486190126ed56c3b9bdb78cb939387</t>
  </si>
  <si>
    <t>Update check for isFullVolumeDevice
Use the @TestApi AudioManager#isFullVolumeDevice instead
of parsing `dumpsys audio`.
Bug: 197708075
Test: atest MixedDeviceOwnerTest#testAudioRestriction
Change-Id: I42152959b6bab5571bfb6027b02039ae5728f25c</t>
  </si>
  <si>
    <t>Revert "Add test cases for background startForeground() improvement."
Revert submission 15081873-cherrypick-security_backport_183147114-an8dvy98fv
Reason for revert: https://b.corp.google.com/issues/197066403#comment15
After the app calls Service.startForeground() to put the app into foreground service mode, the service has mAllowWhileInUsePermissionInFgs set, if it is true, the app/service can access location/camera/micophone.
Some apps may call Service.startForeground() again (for any reason, could be a app's unintentional redundant call, could be that app want to update the notification of the foreground service), but at this moment the app has went into background mode, although the foreground service is still running. The second or later Service.startForeground() call may set mAllowWhileInUsePermissionInFgs to false and the app may lose location/camera/micophone access. This is incorrect because the foreground service is still running and we expect location/camera/micophone access to continue.
The Samsung Voice Recorder app has run into this situation.
Reverted Changes:
I0aca484e5:BG-FGS-start while-in-use permission restriction i...
I4988dbba1:Add test cases for background startForeground() im...
Change-Id: I03de845bb78b2d217d66fa53aa4d65aac3143150
Merged-In: I98a163e0a4304eebee6226e887f2509f79e8ba65
Bug: 183147114
Bug: 197066403</t>
  </si>
  <si>
    <t>Add test for uncovered APIs and improve protential flaky
1. Add tests for uncovered APIs
- onDestroyTextClassificationSession
- onDisconnected
- onSuggestConversationActions
- TextClassification.Request.Builder.setReferenceTime
2. Fix protential flaky test multipleActiveSessions
The default mRequestLatch is 1 but test calls classifyText() twice,
it is possible the 2nd request doesn't arrive but the test already
tris to verify the received 2 requests. Add a method in TCService to
allow to reset the mRequestLatch for testing.
Bug: 192992982
Test: atest CtsTextClassifierTestCases
Test: atest TextClassifierServiceSwapTest#multipleActiveSessions \
--iterations 50
Change-Id: Ib1da8246cf0d74c014c08f18f2dd08d417c56b73</t>
  </si>
  <si>
    <t>Remove AudioTrackSurroundTest.testIEC61937_Errors.
The test checks if the AudioTrack creation fails when the channel mask
is not MONO. This is not true since Android S. In that case, remove the
test here.
Test: atest AudioTrackSurroundTest
Bug: 197850830
Change-Id: I3a435051cdb081ec0cc31e21be03307080348d90</t>
  </si>
  <si>
    <t>Remove AudioTrackSurroundTest.testIEC61937_Errors.
The test checks if the AudioTrack creation fails when the channel mask
is not MONO. This is not true since Android S. In that case, remove the
test here.
Test: atest AudioTrackSurroundTest
Bug: 197850830
Change-Id: I3a435051cdb081ec0cc31e21be03307080348d90
Merged-In: I3a435051cdb081ec0cc31e21be03307080348d90
(cherry picked from commit 3d2df9c448bea6fd762f047d9e86a5e32d2ee1c6)</t>
  </si>
  <si>
    <t>CtsNdkBinderTestCases: don't freeze interface
We only need the compat interface frozen.
Bug: 188022639
Test: CtsNdkBinderTestCases
Change-Id: I8d0371e28892f307376d4f12374734152772954c</t>
  </si>
  <si>
    <t>Re-enable cross-user test case.
Bug: 194332010
Test: atest -m -c --rebuild-module-info CtsAppSearchTestCases
FrameworksCoreTests:android.app.appsearch
FrameworksServicesTests:com.android.server.appsearch
CtsAppSearchHostTestCases
Change-Id: I5f61ae4168248408b33c9c2bfd66db7916f2f479</t>
  </si>
  <si>
    <t>Migrate KeyManagementTest installAndRemoveValidRsaKeyPair
* Use new CTs testing infra
* go/migrating-enterprise-tests
* go/bedstead
Bug: 197859595
Test: atest android.devicepolicy.cts.KeyManagementTest
Change-Id: I2b3d549a59d8ad2cf1c16267d43b2a218988428d</t>
  </si>
  <si>
    <t>Fix signature test issue caused by https://r.android.com/1613103
Change https://r.android.com/1613103 changed the name of the
instrumentation arg that the SignatureTest uses to retrieve the files
that define the expected API but did not change the corresponding
entries in all the AndroidTest.xml files that used that class, except
for CtsSystemApiSignatureTestCases's AndroidTest.xml file. That meant
that those tests that were affected ended up checking nothing.
This change switches back to using the previous name and reverts the
change to CtsSystemApiSignatureTestCases's AndroidTest.xml to use the
previous change.
This also adds some error checking to prevent this sort of bug from
arising again.
Bug: 196345428
Test: atest -p cts/tests/signature
      atest CtsHiddenApiBlocklistDebugClassTestCases
Merged-In: Ib9d1fcb62655534998aeb64e1c31f277e4ef9ed0
Change-Id: Ib9d1fcb62655534998aeb64e1c31f277e4ef9ed0
(cherry picked from commit b0db4cae905b93d9cf0169700483eda4f8314a70)
(cherry picked from commit 90d8751403dec1cddf043aa36679f8f7722cca90)</t>
  </si>
  <si>
    <t>Add photo picker tests
Test: atest PhotoPickerTest
Bug: 186089715
Change-Id: I8d5426c47d0d23fcf85155f9aa725d62c0dbf3c6</t>
  </si>
  <si>
    <t>Migrate KeyManagementTest remaining tests
This CL doesn't include the tests that:
* Call DPM.generateKeyPair (b/198408853)
* Call KeyChain.getPrivateKey with TestApp context (b/198407955)
* Use new CTS testing infra
* go/migrating-enterprise-tests
* go/bedstead
Bug: 197859595
Test: atest android.devicepolicy.cts.KeyManagementTest
Change-Id: I6f5ee17391b05b261cd288522431038c86b7b3c1</t>
  </si>
  <si>
    <t>Migrate ResetPasswordTokenTest.resetPasswordWithToken
Background
* Use new CTS testing infra
* go/migrating-enterprise-tests
* go/bedstead
Changes
* Migrate tests for DPM.resetPasswordWithToken,
  DPM.setResetPasswordToken and DPM.isActivePasswordSufficient
* Add logic to skip the test if password token is disabled
  for the primary user. This is an expected failure - see
  code comments for details.
Bug: 197760890
Test: atest android.devicepolicy.cts.ResetPasswordWithTokenTest
      atest com.android.cts.devicepolicy.MixedDeviceOwnerTest#testResetPasswordWithToken
      atest com.android.cts.devicepolicy.MixedProfileOwnerTest#testResetPasswordWithToken
      atest com.android.cts.devicepolicy.MixedManagedProfileOwnerTest#testResetPasswordWithToken
Change-Id: I89bed0aa9c30dda445a9257e131f1cb269df465a</t>
  </si>
  <si>
    <t>Migrate DevicePolicyManager#setDefaultSmsApplication CTS tests
Migrated com.android.cts.devicepolicy.DeviceOwnerTest#testDefaultSmsApplication
Fixes: 197906642
Test: atest DefaultSmsApplicationTest
Change-Id: Ib124ca8613002682ac3e93385d76df143ff1e5a0</t>
  </si>
  <si>
    <t>CTS hostside test wait 10 secs before watchdog kills app
The current test failed because watchdog waits 10 secs before killling
a resource overusing process but the test was waiting for 6 secs.
Fixed by allowing test to wait for final watchdog notification and then
wait at most 15 secs.
Test: atest CarWatchdogHostTest
Bug: 197652165
Change-Id: I7b29be3a825b7f30ff46e9ce9e3d774f45acbe31</t>
  </si>
  <si>
    <t>Add metric log verification CTS test for UserControlDisabledPackages DPM API
Now that Bedstead provides support for verifying that a metric gets
logged, migrate the CTS test that tests this behavior.
Bug: 191385514
Test: atest android.devicepolicy.cts.UserControlDisabledPackagesTest
Change-Id: Icb786108e4b9637589f70313acd673a002ecb5aa</t>
  </si>
  <si>
    <t>Migrate data sharing into profile test.
The test checks how Android handles user requests to apen a
file or a document across profile and ensures that
DISALLOW_SHARE_INTO_MANAGED_PROFILE restriction is respected.
Bug: 197767033
Test: atest android.devicepolicy.cts.CrossProfileSharingTest
Change-Id: I04eeeb6b504f80e0f4fc927624601e9ae51aa090</t>
  </si>
  <si>
    <t>Migrate the rest of ResetPasswordTokenTest
Background
* Use new CTS testing infra
* go/migrating-enterprise-tests
* go/bedstead
Changes
* Migrate tests for DPM.setPasswordQuality
* Migrate all the different restrictions for
  PASSWORD_QUALITY_COMPLEX e.g. minLength, minLetters
* Migrate tests for DPM.setRequiredPasswordComplexity
* Remove old class ResetPasswordTokenTest
Bug: 197760890
Test: atest android.devicepolicy.cts.ResetPasswordWithTokenTest
      atest com.android.cts.devicepolicy.MixedDeviceOwnerTest#testResetPasswordWithToken
      atest com.android.cts.devicepolicy.MixedProfileOwnerTest#testResetPasswordWithToken
      atest com.android.cts.devicepolicy.MixedManagedProfileOwnerTest#testResetPasswordWithToken
Change-Id: I82743e01e994aa938f4388a19ba0d0e056b0ad20</t>
  </si>
  <si>
    <t>Migrate createAndManageUser and introduce global settings
Background
* Use new CTS testing infra
* go/migrating-enterprise-tests
* go/bedstead
Changes
* Add GlobalSetting in Nene
* Migrate first two createAndManageUser
  test cases
Bug: 197760611
Test: atest NeneTest
      atest android.devicepolicy.cts.CreateAndManageUserTest
Change-Id: I3f262637acace1cfd26fcdef3f06ea6e9bc7a9b9</t>
  </si>
  <si>
    <t>Rename SliceInfo to NetworkSliceInfo.
Test: build
Bug: 178498823
Change-Id: Idb565df4d03afe077cf1ddea6638501c8987075d
Merged-In: Idb565df4d03afe077cf1ddea6638501c8987075d</t>
  </si>
  <si>
    <t>Remove CTS tests in DeviceOwnerTest now that secondary users can start activities in Bedstead
setUserControlDisabledPackages_launchActivity_verifyPackageNotStopped
CTS test in UserControlDisabledPackagesTest was annotated with Ignore
because secondary users could not start activities. Now that Bedstead
provides support for this, migration for these CTS tests should be
complete now.
Bug: 191385514
Test: atest android.devicepolicy.cts.UserControlDisabledPackagesTest
Change-Id: Icaa23fc728797b7bd08fc8c046de5eebc335b241</t>
  </si>
  <si>
    <t>Fix CtsAngleDeveloperOptionHostTest due to ANGLE updates
CtsAngleDeveloperOptionHostTest has several tests for features that the
ANGLE APK no longer supports:
1.) Settings GUI
2.) JSON rules file
CtsAngleDeveloperOptionHostTest is being updated to no longer test these
features so it can be enabled for P21 devices.
Bug: 187342779
Bug: 184757175
Bug: 198390495
Test: CtsAngleDeveloperOptionHostTest
Change-Id: Ia8be8636d37e7543a821643476d475059d70f446
(cherry picked from commit f22c02928c1dbd70085f31d59da32d1f928a6469)
Merged-In: Ia8be8636d37e7543a821643476d475059d70f446</t>
  </si>
  <si>
    <t>Test migration for setScreenCaptureDisabled
Migrated com.android.cts.devicepolicy.DeviceAndProfileOwnerTest#testScreenCaptureDisabled
Bug: 197766622
Test: atest android.devicepolicy.cts.ScreenCaptureDisabledTest
Change-Id: If75f4d70ea331fbc6d33be9b3990b91a12197353</t>
  </si>
  <si>
    <t>Migrate EnrollmentSpecificIdTest to new infra
ALso fixes a bug of not truncating serial number as intended.
Bug: 197760250
Bug: 196524718
Test: atest android.devicepolicy.cts.EnrollmentSpecificIdTest
Change-Id: I3082c0abc6d64fad501040bb6c8127c75fc0c581</t>
  </si>
  <si>
    <t>Move assumeStrongbox to TestUtils.
Test: N/A
Change-Id: I0ba33094aedc61edf0be8533f16cca237451b6e5
Merged-In: I0ba33094aedc61edf0be8533f16cca237451b6e5</t>
  </si>
  <si>
    <t>Migrate account management tests
Migrated com.android.cts.devicepolicy.DeviceAndProfileOwnerTest#testAccountManagement_deviceAndProfileOwnerAlwaysAllowed
Migrated com.android.cts.devicepolicy.DeviceAndProfileOwnerTest#testAccountManagement_userRestrictionAddAccount
Migrated com.android.cts.devicepolicy.DeviceAndProfileOwnerTest#testAccountManagement_userRestrictionRemoveAccount
Migrated com.android.cts.devicepolicy.DeviceAndProfileOwnerTest#testAccountManagement_disabledAddAccount
Migrated com.android.cts.devicepolicy.DeviceAndProfileOwnerTest#testAccountManagement_disabledRemoveAccount
Test: atest AccountManagementTest
Fixes: 197909954
Change-Id: I7d7a19a407843af3e59f4ce28aefebe6a5cc8a2f</t>
  </si>
  <si>
    <t>Verify Activity lifecycle in TaskFragment
Test: atest TaskFragmentLifecycleTest
bug: 192442647
Change-Id: Iaafe2eb62d1456c23da074f99e95aeb7d8ebe4bb</t>
  </si>
  <si>
    <t>Remove UserControlDisabledPackages CTS tests that throw a
SecurityException
setUserControlDisabledPackages_notAllowedToSetProtectedPackages_throwsException() and
getUserControlDisabledPackages_notAllowedToRetrieveProtectedPackages_throwsException() CTS tests that use the Bedstead test infra in
UserControlDisabledPackagesTest already test the behavior of
throwing a SecurityException when setting/retrieving the protected
packages are not permitted
Bug: 191385514
Test: atest android.devicepolicy.cts.UserControlDisabledPackagesTest
Change-Id: I7a57f9064546a2518ac15c87f75f1c0b325bf78a</t>
  </si>
  <si>
    <t>CTS hostside test wait 10 secs before watchdog kills app
The current test failed because watchdog waits 10 secs before killling
a resource overusing process but the test was waiting for 6 secs.
Fixed by allowing test to wait for final watchdog notification and then
wait at most 15 secs.
Test: atest CarWatchdogHostTest
Bug: 197652165
Change-Id: I7b29be3a825b7f30ff46e9ce9e3d774f45acbe31
Merged-In: I7b29be3a825b7f30ff46e9ce9e3d774f45acbe31
(cherry picked from commit a2b0a5c96fc226f23a932f50b8a308d381ed3f7c)</t>
  </si>
  <si>
    <t>Migrate testDisallowSharingIntoProfileFromPersonal
Bug: 198766258
Test: atest android.devicepolicy.cts.CrossProfileSharingTest
Change-Id: I6ac2e278cb3dd54ecea13e5d1c781486f2c4f1ae</t>
  </si>
  <si>
    <t>Re-set profile owner and wait for success
The shell command "dpm set-profile-owner" might not success or the
operation is still in progress. In this case, sleep a bit and then
retry.
Bug: 197915650
Test: atest CtsAdminTestCases:android.admin.cts.DevicePolicyManagerTest
Change-Id: Id5aee739db503918fad25626f6d4b3d71335e108</t>
  </si>
  <si>
    <t>Migrate KeyManagementTest installAndRemoveValidRsaKeyPair
* Use new CTs testing infra
* go/migrating-enterprise-tests
* go/bedstead
Bug: 197859595
Test: atest android.devicepolicy.cts.KeyManagementTest
Change-Id: I2b3d549a59d8ad2cf1c16267d43b2a218988428d
Merged-In: I2b3d549a59d8ad2cf1c16267d43b2a218988428d
(cherry picked from commit 20a0807dd0664d383a7250d8448b9bb03718cac3)</t>
  </si>
  <si>
    <t>Migrate DevicePolicyManager#setDefaultSmsApplication CTS tests
Migrated com.android.cts.devicepolicy.DeviceOwnerTest#testDefaultSmsApplication
Fixes: 197906642
Test: atest DefaultSmsApplicationTest
Change-Id: Ib124ca8613002682ac3e93385d76df143ff1e5a0
Merged-In: Ib124ca8613002682ac3e93385d76df143ff1e5a0
(cherry picked from commit 6c7a7c6f6199628b1d95b8789fb234bf4b1b319d)</t>
  </si>
  <si>
    <t>Migrate ResetPasswordTokenTest.resetPasswordWithToken
Background
* Use new CTS testing infra
* go/migrating-enterprise-tests
* go/bedstead
Changes
* Migrate tests for DPM.resetPasswordWithToken,
  DPM.setResetPasswordToken and DPM.isActivePasswordSufficient
* Add logic to skip the test if password token is disabled
  for the primary user. This is an expected failure - see
  code comments for details.
Bug: 197760890
Test: atest android.devicepolicy.cts.ResetPasswordWithTokenTest
      atest com.android.cts.devicepolicy.MixedDeviceOwnerTest#testResetPasswordWithToken
      atest com.android.cts.devicepolicy.MixedProfileOwnerTest#testResetPasswordWithToken
      atest com.android.cts.devicepolicy.MixedManagedProfileOwnerTest#testResetPasswordWithToken
Change-Id: I89bed0aa9c30dda445a9257e131f1cb269df465a
Merged-In: I89bed0aa9c30dda445a9257e131f1cb269df465a
(cherry picked from commit 132bc0d31ab56ca63a9fba2049885396bcb3e25e)</t>
  </si>
  <si>
    <t>Add metric log verification CTS test for UserControlDisabledPackages DPM API
Now that Bedstead provides support for verifying that a metric gets
logged, migrate the CTS test that tests this behavior.
Bug: 191385514
Test: atest android.devicepolicy.cts.UserControlDisabledPackagesTest
Change-Id: Icb786108e4b9637589f70313acd673a002ecb5aa
Merged-In: Icb786108e4b9637589f70313acd673a002ecb5aa
(cherry picked from commit 34b6954075b3d1f4486f031ad82bbb9972638903)</t>
  </si>
  <si>
    <t>Remove UserControlDisabledPackages CTS tests that throw a
SecurityException
setUserControlDisabledPackages_notAllowedToSetProtectedPackages_throwsException() and
getUserControlDisabledPackages_notAllowedToRetrieveProtectedPackages_throwsException() CTS tests that use the Bedstead test infra in
UserControlDisabledPackagesTest already test the behavior of
throwing a SecurityException when setting/retrieving the protected
packages are not permitted
Bug: 191385514
Test: atest android.devicepolicy.cts.UserControlDisabledPackagesTest
Change-Id: I7a57f9064546a2518ac15c87f75f1c0b325bf78a
Merged-In: I7a57f9064546a2518ac15c87f75f1c0b325bf78a
(cherry picked from commit 5bdafc5dd23e9793aaed1a56d1806eb0205408a3)</t>
  </si>
  <si>
    <t>Migrate data sharing into profile test.
The test checks how Android handles user requests to apen a
file or a document across profile and ensures that
DISALLOW_SHARE_INTO_MANAGED_PROFILE restriction is respected.
Bug: 197767033
Test: atest android.devicepolicy.cts.CrossProfileSharingTest
Change-Id: I04eeeb6b504f80e0f4fc927624601e9ae51aa090
Merged-In: I04eeeb6b504f80e0f4fc927624601e9ae51aa090
(cherry picked from commit 333d93e6992584bc81f43c4ce1dcb338244abdff)</t>
  </si>
  <si>
    <t>Migrate createAndManageUser and introduce global settings
Background
* Use new CTS testing infra
* go/migrating-enterprise-tests
* go/bedstead
Changes
* Add GlobalSetting in Nene
* Migrate first two createAndManageUser
  test cases
Bug: 197760611
Test: atest NeneTest
      atest android.devicepolicy.cts.CreateAndManageUserTest
Change-Id: I3f262637acace1cfd26fcdef3f06ea6e9bc7a9b9
Merged-In: I3f262637acace1cfd26fcdef3f06ea6e9bc7a9b9
(cherry picked from commit a63c7ddc934b566430c6054099aae0abaf8f47fb)</t>
  </si>
  <si>
    <t>Test migration for setScreenCaptureDisabled
Migrated com.android.cts.devicepolicy.DeviceAndProfileOwnerTest#testScreenCaptureDisabled
Bug: 197766622
Test: atest android.devicepolicy.cts.ScreenCaptureDisabledTest
Change-Id: If75f4d70ea331fbc6d33be9b3990b91a12197353
Merged-In: If75f4d70ea331fbc6d33be9b3990b91a12197353
(cherry picked from commit d7e31245820ee86f49afa885098d7ab422201a1f)</t>
  </si>
  <si>
    <t>Migrate EnrollmentSpecificIdTest to new infra
ALso fixes a bug of not truncating serial number as intended.
Bug: 197760250
Bug: 196524718
Test: atest android.devicepolicy.cts.EnrollmentSpecificIdTest
Change-Id: I3082c0abc6d64fad501040bb6c8127c75fc0c581
Merged-In: I3082c0abc6d64fad501040bb6c8127c75fc0c581</t>
  </si>
  <si>
    <t>Migrate KeyManagementTest remaining tests
This CL doesn't include the tests that:
* Call DPM.generateKeyPair (b/198408853)
* Call KeyChain.getPrivateKey with TestApp context (b/198407955)
* Use new CTS testing infra
* go/migrating-enterprise-tests
* go/bedstead
Bug: 197859595
Test: atest android.devicepolicy.cts.KeyManagementTest
Change-Id: I6f5ee17391b05b261cd288522431038c86b7b3c1
Merged-In: I6f5ee17391b05b261cd288522431038c86b7b3c1
(cherry picked from commit 39e706334363df13acaac22185b92a45950d59d7)</t>
  </si>
  <si>
    <t>Migrate the rest of ResetPasswordTokenTest
Background
* Use new CTS testing infra
* go/migrating-enterprise-tests
* go/bedstead
Changes
* Migrate tests for DPM.setPasswordQuality
* Migrate all the different restrictions for
  PASSWORD_QUALITY_COMPLEX e.g. minLength, minLetters
* Migrate tests for DPM.setRequiredPasswordComplexity
* Remove old class ResetPasswordTokenTest
Bug: 197760890
Test: atest android.devicepolicy.cts.ResetPasswordWithTokenTest
      atest com.android.cts.devicepolicy.MixedDeviceOwnerTest#testResetPasswordWithToken
      atest com.android.cts.devicepolicy.MixedProfileOwnerTest#testResetPasswordWithToken
      atest com.android.cts.devicepolicy.MixedManagedProfileOwnerTest#testResetPasswordWithToken
Change-Id: I82743e01e994aa938f4388a19ba0d0e056b0ad20
Merged-In: I82743e01e994aa938f4388a19ba0d0e056b0ad20
(cherry picked from commit bb0aa86013029d702e36ca359368fc22d0902a35)</t>
  </si>
  <si>
    <t>Remove CTS tests in DeviceOwnerTest now that secondary users can start activities in Bedstead
setUserControlDisabledPackages_launchActivity_verifyPackageNotStopped
CTS test in UserControlDisabledPackagesTest was annotated with Ignore
because secondary users could not start activities. Now that Bedstead
provides support for this, migration for these CTS tests should be
complete now.
Bug: 191385514
Test: atest android.devicepolicy.cts.UserControlDisabledPackagesTest
Change-Id: Icaa23fc728797b7bd08fc8c046de5eebc335b241
Merged-In: Icaa23fc728797b7bd08fc8c046de5eebc335b241
(cherry picked from commit f3e93d9f4eedff735ad6b8c576c33bf858528d10)</t>
  </si>
  <si>
    <t>Migrate account management tests
Migrated com.android.cts.devicepolicy.DeviceAndProfileOwnerTest#testAccountManagement_deviceAndProfileOwnerAlwaysAllowed
Migrated com.android.cts.devicepolicy.DeviceAndProfileOwnerTest#testAccountManagement_userRestrictionAddAccount
Migrated com.android.cts.devicepolicy.DeviceAndProfileOwnerTest#testAccountManagement_userRestrictionRemoveAccount
Migrated com.android.cts.devicepolicy.DeviceAndProfileOwnerTest#testAccountManagement_disabledAddAccount
Migrated com.android.cts.devicepolicy.DeviceAndProfileOwnerTest#testAccountManagement_disabledRemoveAccount
Test: atest AccountManagementTest
Fixes: 197909954
Change-Id: I7d7a19a407843af3e59f4ce28aefebe6a5cc8a2f
Merged-In: I7d7a19a407843af3e59f4ce28aefebe6a5cc8a2f
(cherry picked from commit a3570f7505395d5be9f9b4177396ff4118614026)</t>
  </si>
  <si>
    <t>Migrate testDisallowSharingIntoProfileFromPersonal
Bug: 198766258
Test: atest android.devicepolicy.cts.CrossProfileSharingTest
Change-Id: I6ac2e278cb3dd54ecea13e5d1c781486f2c4f1ae
Merged-In: I6ac2e278cb3dd54ecea13e5d1c781486f2c4f1ae
(cherry picked from commit e99f8553bce8be74bd22516725ebb72c379e6c65)</t>
  </si>
  <si>
    <t>Re-set profile owner and wait for success
The shell command "dpm set-profile-owner" might not success or the
operation is still in progress. In this case, sleep a bit and then
retry.
Bug: 197915650
Test: atest CtsAdminTestCases:android.admin.cts.DevicePolicyManagerTest
Change-Id: Ic0d78cca4caa9f9ee526a246160f71ab1dcc8c4d
Merged-In: Id5aee739db503918fad25626f6d4b3d71335e108</t>
  </si>
  <si>
    <t>Remove userspace reboot CTS tests
Bug: 199411347
Test: presubmit
Change-Id: I407c163a43de441dfb47d37ab56e9f0b985f8453</t>
  </si>
  <si>
    <t>Delete empty test class
Bug: 194655325
Change-Id: Ifefbee7faa37c7b6f4c888b8cf803eadc5623528
Test: N/A.</t>
  </si>
  <si>
    <t>Remove userspace reboot CTS tests
Bug: 199411347
Test: presubmit
Change-Id: I407c163a43de441dfb47d37ab56e9f0b985f8453
Merged-In: I407c163a43de441dfb47d37ab56e9f0b985f8453</t>
  </si>
  <si>
    <t>Remove userspace reboot CTS tests
Bug: 199411347
Test: presubmit
Change-Id: I407c163a43de441dfb47d37ab56e9f0b985f8453
Merged-In: I407c163a43de441dfb47d37ab56e9f0b985f8453
(cherry picked from commit d72f1a1a6f977a7e05fc96e24b4ecc6029e735f2)</t>
  </si>
  <si>
    <t>Remove ineligible CTS test that doens't have CDD
I didn't apply the changes to cts-known-failures.xml because I examined
the file, it doesn't seem this one belong to the failure cases. So out
of precaution, I decided to just remove the test. We can easily revive
later, if it's needed.
Test: not needed because it's removing test.
Change-Id: Ied79f203c46cd3297c1df3fd265643465a76ce19
Bug: 199965154</t>
  </si>
  <si>
    <t>Verify lifecycle for embedded Task in TaskFragment
Test: atest TaskFragmentLifecycleTest
bug: 192442647
Change-Id: I113f96a34c33407e00ed924bfbd62e8ff962e9f7</t>
  </si>
  <si>
    <t>Update CTS test to test behavior only on the created user
Previously, the CTS test would test the behavior on both the primary
user and the created user.
The UserControlDisabledPackages CTS tests that use the Bedstead test
infra follow this approach too (i.e. test the behavior on a per state
basis where the state can be the primary user, secondary user, etc.).
Bug: 194720130
Test: Ran the CTS tests
Change-Id: Ieeaf7a375b90eca6424e8eaaa12afdb180004fb9</t>
  </si>
  <si>
    <t>[RESTRICT AUTOMERGE] Updated CTS test for Android Security b/74122779
Bug: 74122779
Bug: 111211643
Test: Ran the new testcase on android-9.0.0_r1 to test with/without patch
Change-Id: I9611d6a0bc173ea07fc86f915aa0fc4d2530bbdb</t>
  </si>
  <si>
    <t>[RESTRICT AUTOMERGE] Updated CTS test for Android Security b/74122779
Bug: 74122779
Bug: 111211643
Test: Ran the new testcase on android-10.0.0_r1 to test with/without patch
Change-Id: I9611d6a0bc173ea07fc86f915aa0fc4d2530bbdb</t>
  </si>
  <si>
    <t>Remove AnimationFrameStats CTS tests
AnimationFrames are no-longer used, so the test isn't valid
anymore
Bug: 183993924
Test: atest UiAutomationTest
Change-Id: Ia8220d1cfae7b3dbef8a3d42773880ca95c38404</t>
  </si>
  <si>
    <t>Updated CTS test for Android Security b/74122779
Bug: 74122779
Bug: 111211643
Test: Ran the new testcase on android-11.0.0_r1 to test with/without patch
Change-Id: I9611d6a0bc173ea07fc86f915aa0fc4d2530bbdb</t>
  </si>
  <si>
    <t>[RESTRICT AUTOMERGE] Updated the CTS test for Android Security b/112891564
Bug: 112891564
Bug: 117433881
Test: sts-tradefed run sts-engbuild-no-spl-lock -m CtsSecurityBulletinHostTestCases -t android.security.cts.TestMedia#testPocCVE_2018_9537
Change-Id: Ibd19c44325ecbcd6db791ceea1e9567e6f0c29bf</t>
  </si>
  <si>
    <t>Updated the CTS test for Android Security b/112891564
Bug: 112891564
Bug: 117433881
Test: sts-tradefed run sts-engbuild-no-spl-lock -m CtsSecurityBulletinHostTestCases -t android.security.cts.TestMedia#testPocCVE_2018_9537
Change-Id: I2639ddc7267151f1866b5cfa3bcccfb5bf32cfdb</t>
  </si>
  <si>
    <t>Migrate CustomDeviceOwnerTest#testCannotSetDeviceOwnerWhenAccountPresent
Migrated com.android.cts.devicepolicy.CustomDeviceOwnerTest#testCannotSetDeviceOwnerWhenAccountPresent
Fixes: 199157598
Test: atest android.devicepolicy.cts.DeviceOwnerPrerequisitesTest
Change-Id: I919cfd2cf40d40d6151f460e18e1a4329f36c6cd</t>
  </si>
  <si>
    <t>Remove AnimationFrameStats CTS tests
AnimationFrames are no-longer used, so the test isn't valid
anymore
Bug: 183993924
Test: atest UiAutomationTest
Change-Id: Ia8220d1cfae7b3dbef8a3d42773880ca95c38404
Merged-In: Ia8220d1cfae7b3dbef8a3d42773880ca95c38404</t>
  </si>
  <si>
    <t>Updated CTS test for Android Security b/182584940
Bug: 182584940
Bug: 188664282
Test: Ran the new testcase on android-10.0.0_r39 to test with/without patch
Change-Id: I5e1e36a1cae6998f53277c03294b9f8e0aea6af1</t>
  </si>
  <si>
    <t>[RESTRICT AUTOMERGE] Updated CTS test for Android Security b/182584940
Bug: 182584940
Bug: 188664282
Test: Ran the new testcase on android-9.0.0_r42 to test with/without patch
Change-Id: I5e1e36a1cae6998f53277c03294b9f8e0aea6af1</t>
  </si>
  <si>
    <t>Fix CtsAngleDeveloperOptionHostTest due to ANGLE updates
CtsAngleDeveloperOptionHostTest has several tests for features that the
ANGLE APK no longer supports:
1.) Settings GUI
2.) JSON rules file
CtsAngleDeveloperOptionHostTest is being updated to no longer test these
features.
Bug: 187342779
Bug: 184757175
Bug: 198390495
Test: CtsAngleDeveloperOptionHostTest
Change-Id: Ia8be8636d37e7543a821643476d475059d70f446
(cherry picked from commit f22c02928c1dbd70085f31d59da32d1f928a6469)
Merged-In: Ia8be8636d37e7543a821643476d475059d70f446</t>
  </si>
  <si>
    <t>Migrate CustomDeviceOwnerTest#testCannotSetDeviceOwnerWhenAccountPresent
Migrated com.android.cts.devicepolicy.CustomDeviceOwnerTest#testCannotSetDeviceOwnerWhenAccountPresent
Fixes: 199157598
Test: atest android.devicepolicy.cts.DeviceOwnerPrerequisitesTest
Change-Id: I919cfd2cf40d40d6151f460e18e1a4329f36c6cd
Merged-In: I919cfd2cf40d40d6151f460e18e1a4329f36c6cd</t>
  </si>
  <si>
    <t>Move shared library code from EDI
The code that extracts all the shared libraries available on device is
also required by the StrictJavaPackages test, so move it to the
compat-classpaths-testing host side library.
Test: atest CtsEdiHostTestCases
Bug: 199532111
Change-Id: I7d4eb99a0dc88844df73b89d43890783eb8f8b2d</t>
  </si>
  <si>
    <t>Update CTS test to test behavior only on the created user
Previously, the CTS test would test the behavior on both the primary
user and the created user.
The UserControlDisabledPackages CTS tests that use the Bedstead test
infra follow this approach too (i.e. test the behavior on a per state
basis where the state can be the primary user, secondary user, etc.).
Bug: 192395248
Bug: 194720130
Test: Ran the CTS tests
Change-Id: Ieeaf7a375b90eca6424e8eaaa12afdb180004fb9
(cherry picked from commit 99d1255bd10b24fa7bf3628d3f80540eab963f93)</t>
  </si>
  <si>
    <t>DisplayTest: expect up to 4 switches in testSwitchToModeId
testSwitchToModeId asserts that only one mode switch is
happening when using preferredDisplayModeId.
Altho this describes the ideal state, this assumption is
not correct right now. There can be 2 mode switches before
we reach the target mode, when we change both resolution
and refresh rate and 2 more switches after that if the
activity is recreated as a result of the mode change.
Fixes: 199379674
Test: atest android.display.cts.DisplayTest
Change-Id: Ib79a3dcf3882b6d70c82a4ccf30bae0d1e678f70</t>
  </si>
  <si>
    <t>RESTRICT AUTOMERGE: Do not use @Ignore on JUnit3 code
We needed to disable a number of CTS tests on Android S. We used the
@Ignore annotation that is supported in JUnit4 and forward but the
impacted module is still under JUnit3. This breaks builds further down
the automerger path.
This patch removes the tests instead.
Bug: 200647825
Test: atest android.media.cts.DecoderTest
Change-Id: I6fc7dec92cf3593afbcfd659d49da640fec470cb</t>
  </si>
  <si>
    <t>Remove redundant test
Everything that is tested here, is tested in common/HdmiCecStartupTest as well.
Bug: 149519706
Test: none
Change-Id: I69994763bb1b336abf67eb2192577c2ee3ee8e85</t>
  </si>
  <si>
    <t>Add should use default unfold transition attribute to wallpaper
Adds new attribute to wallpaper XML declaration to indicate
whether a wallpaper should receive default zooming transition
updates when folding or unfolding. This attribute allows to
opt-out from the default behaviour during this transition and
implement custom behaviour.
Bug: 196933493
Test: atest android.app.cts.WallpaperInfoTest
Change-Id: I12404a358851fe12d2820b6f736cc3ca4664f25e</t>
  </si>
  <si>
    <t>Move update3aregion, validate3aRegion and some StaticMetadata utils to CtsCameraUtils lib.
Bug: 199300149
Test: atest CaptureRequestTest.java#testDigitalZoom
Change-Id: Ie3c96828b53ef359461eb5845bdedc936eeac209
Signed-off-by: Jayant Chowdhary &lt;jchowdhary@google.com&gt;</t>
  </si>
  <si>
    <t>Updates tests to use PackageManager#canPackageQuery
Bug: 199879339
Test: atest AppEnumerationTests
Change-Id: I90ecb3ffd9410580109e78a902676ac3e4dbf34a</t>
  </si>
  <si>
    <t>Add testMimeTypeFilter in PhotoPickerTest
Add the new test case testMimeTypeFilter to instead of the
testSelectVideos test case.
Test: atest PhotoPickerTest
Bug: 200512970
Bug: 200512313
Change-Id: I8438bf39f305035791dbb3e8ca4af1499c38f665</t>
  </si>
  <si>
    <t>Move TileServiceTest to its own module
Test: atest CtsAppTestCases CtsTileServiceTestCases
Fixes: 200023466
Change-Id: Ib9a7f3bc70e4b99f236df26e295f2539930b279d</t>
  </si>
  <si>
    <t>Move utility code to a new package
Allow the old Util.java methods to be reused outside of the scope of CTS
tests.
The few remaining, test-only methods have been moved to TestUtil.java
Test: CtsIdentityTestCases
Change-Id: I33c804f8f654cd307dd5b6028e763aef9e68e9b8</t>
  </si>
  <si>
    <t>Revert "Add CTS tests for AccessibilityManager.isAudioDescriptio..."
Revert submission 15617076-AudioDescriptionPublicAPI
Reason for revert: Raise Memorytest failures: b/200728759, b/200746876.
Reverted Changes:
Ic11e0bc4f:Add CTS tests for AccessibilityManager.isAudioDesc...
I8f3908513:Update AudioDescription read/write from Settings.S...
Iecf006bc8:Create Public API in AccessibilityManager to expos...
Change-Id: Id41298b10fd54c11ce4f3594b6dcfd4e9e39e497</t>
  </si>
  <si>
    <t>Tests for AccessibilityServicesStateChangeListener
Bug: 185275778
Test: atest android.widget.cts29.ToastTest,
android.widget.cts.ToastTest AccessibilityShortcutTest
AccessibilityManagerTest
Change-Id: I9ff3e961c012cda2f7c9bff1505c217648d88975</t>
  </si>
  <si>
    <t>Rename shouldUseDefaultUnfoldTransition attribute and update docs
Renames the shouldUseDefaultUnfoldTransition attribute
name to use more generic
shouldUseDefaultDeviceStateChangeTransition name as
the transition could be used on different form factors
depending on the OEMs.
Test: manual
Fixes: 200730817
Fixes: 200698833
Change-Id: Icf6e48b289c440827dd2eea42c23bfbe408d2593</t>
  </si>
  <si>
    <t>Add test for cross profile PhotoPicker usecase
Also, refactor code for more organization:
* Move common @before to a base class
* Move common utility functions to separate util classes (to avoid
clutter)
* Make utility functions static
Bug: 200512456
Test: atest PhotoPickerTest
Test: atest PhotoPickerCrossProfileTest
Change-Id: Id60190450931500b76dd7688a1d4125b27eedfed</t>
  </si>
  <si>
    <t>Move update3aregion, validate3aRegion and some StaticMetadata utils to CtsCameraUtils lib.
Bug: 199300149
Test: atest CaptureRequestTest.java#testDigitalZoom
Merged-In: Ie3c96828b53ef359461eb5845bdedc936eeac209
Change-Id: Ie3c96828b53ef359461eb5845bdedc936eeac209
Signed-off-by: Jayant Chowdhary &lt;jchowdhary@google.com&gt;
(cherry picked from commit aabd92ec8ad799a8d095e438d3db45b5282abbef)</t>
  </si>
  <si>
    <t>Update CTS test with logic to remove other owned overrides
Bug: 201058202
Test: atest com.android.cts.appcompat.AppCompatOverridesServiceTest
Change-Id: If9824b639e2d6e8e1b4af31aad8b561c8cf4d0ef</t>
  </si>
  <si>
    <t>Make TestApis static.
Currently we create a TestApis in every test class but we don't actually
make use of the state so it's wasteful and makes our APIs more complex.
This is a big change but it should have no functional change.
Test: atest NeneTest
Test: atest TestAppTest
Test: atest HarrierTest
Test: atest RemoteDpcTest
Test: atest CtsDevicePolicyTestCases
Fixes: 200779840
Change-Id: I8f839d411e1bcd1b18fdd61c650a65fc37fc47fd</t>
  </si>
  <si>
    <t>Fix Bedstead infra tests for Auto
This actually makes a number of changes at once as I had to keep fixing
things to get these to pass:
* Simplify setDeviceOwner to always refer to user 0 (it does in practice
anyway)
* Update a bunch of tests of the infra to use the infra themselves (it
wasn't ready when they were written) - this takes advantage of the infra
managing the users
* Sort annotations in a deterministic (but mostly arbitrary) way - this
avoids situations where we e.g. manage a profile owner and later try to
set a device owner which breaks
* Add support for stopBgUsersOnSwitch
* Add support for an "initial" user
* Deal with complexities around setting a po at the same time as a do
(cleaning up - removing existing pos first, additional permissions,
etc.)
* Hard-code the system user in some tests which previously assumed it
* Mark a bunch of tests which create work profiles so they'll be skipped
Test: atest EventLibTest
Test: atest HarrierTest
Test: atest NeneTest
Test: atest TestAppTest
Test: atest RemoteDpcTest
Bug: 193814739
Change-Id: I164ec7c6d4671c2a9d57da5e250f4d0cb7d7837e</t>
  </si>
  <si>
    <t>Add tests for lazy bundle
Tests around:
* Writing and retrieving nested parcelables
* Deserialization independence
* Lazy value reserialization
* Deep copy
Also, migrated to JUnit 4, so added some @Test annotations.
Test: atest -d android.os.cts.ParcelTest android.os.cts.BundleTest android.os.BundleTest android.os.ParcelTest
Bug: 195622897
Change-Id: Id255eedac354dafcee7a237fae4c4f494de45a22</t>
  </si>
  <si>
    <t>Move shared library code from EDI
The code that extracts all the shared libraries available on device is
also required by the StrictJavaPackages test, so move it to the
compat-classpaths-testing host side library.
Test: atest CtsEdiHostTestCases
Bug: 199532111
Change-Id: I7d4eb99a0dc88844df73b89d43890783eb8f8b2d
Merged-In: I7d4eb99a0dc88844df73b89d43890783eb8f8b2d</t>
  </si>
  <si>
    <t>Rename shouldUseDefaultDeviceStateChangeTransition attribute
Renames the shouldUseDefaultDeviceStateChangeTransition attribute name to
shouldUseDefaultDisplayStateChangeTransition to make it less generic.
Test: manual
Fixes: 200698833
Change-Id: I48b52b08b86007a17b2ea2d92d152e85f4b8a517</t>
  </si>
  <si>
    <t>Move shared library code from EDI
The code that extracts all the shared libraries available on device is
also required by the StrictJavaPackages test, so move it to the
compat-classpaths-testing host side library.
Test: atest CtsEdiHostTestCases
Bug: 199532111
Change-Id: I7d4eb99a0dc88844df73b89d43890783eb8f8b2d
Merged-In: I7d4eb99a0dc88844df73b89d43890783eb8f8b2d
(cherry picked from commit 519db55088c7ef993a9e86e1d906637f7bcdc7b9)</t>
  </si>
  <si>
    <t>Add test for contacts local account
In Android T to reduce fragmentation the CDD is being updated to
require that the local account follow AOSP convention of using null
for the name and type.
Bug: 197121288
Bug: 188347648
Test: atest CtsContactsProviderTestCases
Change-Id: I2b87c396f2eec8000664b26a32e281dd19303ad9</t>
  </si>
  <si>
    <t>Rename test file for consistency
SystemPalette is now SystemPaletteTest, for consistent naming with other
tests.
Test: atest SystemPaletteTest
Bug: 184190711
Change-Id: I712e26221d134defa7df472066e352500ab9d7a2</t>
  </si>
  <si>
    <t>Fix CtsAngleDeveloperOptionHostTest due to ANGLE updates
CtsAngleDeveloperOptionHostTest has several tests for features that the
ANGLE APK no longer supports:
1.) Settings GUI
2.) JSON rules file
CtsAngleDeveloperOptionHostTest is being updated to no longer test these
features so it can be enabled for P21 devices.
Bug: 187342779
Bug: 184757175
Test: CtsAngleDeveloperOptionHostTest
Change-Id: Ia8be8636d37e7543a821643476d475059d70f446
(cherry picked from commit f22c02928c1dbd70085f31d59da32d1f928a6469)</t>
  </si>
  <si>
    <t>CEC: Helper functions for Standby
Functions that help to send DUT to standby, validate standby state and
wake up the DUT.
Bug: 172202220
Test: atest HdmiCecSystemStandbyTest
Change-Id: Ica32758075208fd115f23da46f8db3e030541868</t>
  </si>
  <si>
    <t>Remove removeUnsafeExtras() test
Plus test around putAll(), similar to deepCopy().
Test: atest -d android.os.cts.ParcelTest android.os.cts.BundleTest android.os.BundleTest android.os.ParcelTest
Test: atest -d android.content.cts.IntentTest
Bug: 195622897
Change-Id: I40fb3e5e9f35b9d52970144341ce6f49ed3933d9</t>
  </si>
  <si>
    <t>Revert "Skip test for specific flag combination if APEX modules are updated"
This reverts commit 7ae83970f045f404e66387ebe46be56f42ece9cf.
Reason for revert: ag/15972579 fixed the root cause for test failure.
Bug: 200519752
Change-Id: I9c10b2bd0bb1bd0f75e75286c4d1aa768cf3305e</t>
  </si>
  <si>
    <t>Migrate CameraPolicyTest to bedstead infra
Migrate com.android.cts.devicepolicy.ManagedProfileTest#testCameraPolicy
and associated device tests into new bedstead infrastructure.
go/bedstead
go/migrating-enterprise-tests
Bug: 199487650
Test: atest android.devicepolicy.cts.CameraPolicyTest
Change-Id: I4ea1e72ab41be665336c7ebd05d5be2af083280c</t>
  </si>
  <si>
    <t>Decouple Launcher from InputConnectionEndToEndTest
As seen in Bug 188603944 and Bug 193630289,
  InputConnectionEndToEndTest#*AfterUnbindInput
have failed multiple times mainly because how the system would behave
upon
  adb shell input keyevent KEYCODE_HOME
can drastically vary depending on the form-factor and device
performance.  To make these tests more deterministic, it's time to
stop relying on
  adb shell input keyevent KEYCODE_HOME
in InputConnectionEndToEndTest.
To do so this CL introduces MockTestActivityUtil to consolidate
parameters and methods to interact with
  android.view.inputmethod.ctstestapp.MainActivity,
which is hosted in CtsInputMethodStandaloneTestApp.apk.
Note that changes in
  KeyboardVisibilityControlTest
and
  PackageVisibilityTest
are mechanical refactoring.
Bug: 200908730
Bug: 201793968
Bug: 202120036
Test: atest CtsInputMethodTestCases
Test: atest CtsInputMethodTestCases --instant
Change-Id: Ibddb38583c8b3bc2392b6641d7ff48d14bc066ed</t>
  </si>
  <si>
    <t>Rename getSurfaceTransformHint API
Bug: 196167822
Test: atest AttachedSurfaceControlTest
Change-Id: Id659aad145b39f8d471e647e6b0d636468150817</t>
  </si>
  <si>
    <t>Test that FileManager/SystemGallery can update Android/media directories
Added tests to verify file manager apps and system gallery can
1) Trash files in Android/media directory of other apps
1) Update files to/from Android/media directory of other apps
Bug: 199922992
Test: atest
android.scopedstorage.cts.host.ScopedStorageHostTest#testFileManagerCanTrashOtherAndroidMediaFiles
Test: atest
android.scopedstorage.cts.host.ScopedStorageHostTest#testFileManagerCanUpdateOtherAndroidMediaFiles
Test: atest
android.scopedstorage.cts.device.ScopedStorageDeviceTest#testSystemGalleryCanTrashOtherAndroidMediaFiles
Test: atest
android.scopedstorage.cts.device.ScopedStorageDeviceTest#testSystemGalleryCanUpdateOtherAndroidMediaFiles
Test: atest
android.scopedstorage.cts.host.LegacyStorageHostTest#testCanTrashOtherAndroidMediaFiles_hasRW
Change-Id: I0d50894bae6eec5c9e89b155cec6bbaa5b174d5e</t>
  </si>
  <si>
    <t>Revert "CEC: Test OTP on wakeup after quiescent boot"
This reverts commit a5b1318612630ac196503a94d9c5148e4d6fcf3a.
Reason for revert: Accidental cherry-pick of unreviewed CL
Change-Id: I2c64269082098946043a8ab5673f2f3631b7db24</t>
  </si>
  <si>
    <t>Decouple Launcher from InputConnectionEndToEndTest (2nd try)
This is the revised version of my CL [1], which was reverted due to an
unexpected test failure [2].
As seen in Bug 188603944 and Bug 193630289,
  InputConnectionEndToEndTest#*AfterUnbindInput
have failed multiple times mainly because how the system would behave
upon
  adb shell input keyevent KEYCODE_HOME
can drastically vary depending on the form-factor and device
performance.  To make these tests more deterministic, it's time to
stop relying on
  adb shell input keyevent KEYCODE_HOME
in InputConnectionEndToEndTest.
To do so this CL introduces MockTestActivityUtil to consolidate
parameters and methods to interact with
  android.view.inputmethod.ctstestapp.MainActivity,
which is hosted in CtsInputMethodStandaloneTestApp.apk.
Note that this change also adds
  --activity-clear-task
when launching the test Activity.  While we have a way to stop the
test Activity package [3], specifying that flag should make tests more
predictable and less flaky.
 [1]: Ibddb38583c8b3bc2392b6641d7ff48d14bc066ed
      c7336ca353c69877803ccd6620578117ce32796d
 [2]: I5265095f8f261edbd3970769cfeff1e464e37c4b
      3eb6d7db6d319496ca1ec0efa5e1dbd7271a1841
 [3]: I3516e804f3e1ad6f640dd55e84a3f4bd3edc8e02
      877cc1de582a3a1673fd762c263bffdcb28b5e0a
Bug: 200908730
Bug: 201793968
Bug: 202120036
Test: atest CtsInputMethodTestCases
Test: atest CtsInputMethodTestCases --instant
Change-Id: I0d4234752f266be2931497a9167c6051831e3dda</t>
  </si>
  <si>
    <t>Decouple Launcher from InputConnectionEndToEndTest (2nd try)
This is the revised version of my CL [1], which was reverted due to an
unexpected test failure [2].
As seen in Bug 188603944 and Bug 193630289,
  InputConnectionEndToEndTest#*AfterUnbindInput
have failed multiple times mainly because how the system would behave
upon
  adb shell input keyevent KEYCODE_HOME
can drastically vary depending on the form-factor and device
performance.  To make these tests more deterministic, it's time to
stop relying on
  adb shell input keyevent KEYCODE_HOME
in InputConnectionEndToEndTest.
To do so this CL introduces MockTestActivityUtil to consolidate
parameters and methods to interact with
  android.view.inputmethod.ctstestapp.MainActivity,
which is hosted in CtsInputMethodStandaloneTestApp.apk.
Note that this change also adds
  --activity-clear-task
when launching the test Activity.  While we have a way to stop the
test Activity package [3], specifying that flag should make tests more
predictable and less flaky.
 [1]: Ibddb38583c8b3bc2392b6641d7ff48d14bc066ed
      c7336ca353c69877803ccd6620578117ce32796d
 [2]: I5265095f8f261edbd3970769cfeff1e464e37c4b
      3eb6d7db6d319496ca1ec0efa5e1dbd7271a1841
 [3]: I3516e804f3e1ad6f640dd55e84a3f4bd3edc8e02
      877cc1de582a3a1673fd762c263bffdcb28b5e0a
Bug: 200908730
Bug: 201793968
Bug: 202120036
Test: atest CtsInputMethodTestCases
Test: atest CtsInputMethodTestCases --instant
Merged-In: I0d4234752f266be2931497a9167c6051831e3dda
Change-Id: I0d4234752f266be2931497a9167c6051831e3dda
(cherry picked from commit 9861f27c678073473f986370be6ab6f2b63285f8)</t>
  </si>
  <si>
    <t>Rename shouldUseDefaultDisplayStateChangeTransition attribute
Renames the shouldUseDefaultDeviceStateChangeTransition attribute name to
shouldUseDefaultUnfoldTransition to make it less generic.
Test: manual
Fixes: 200730817
Change-Id: I49bd58313e0d7a73818ec9f164cfdff122bea948</t>
  </si>
  <si>
    <t>Add CTS tests to test new function NotificationManager#matchesCallFilter.
This change extends the existing test and adds additional test cases to test when zen mode is off, when calls are coming from starred contacts or contacts, and repeat callers.
Bug: 192592755
Test: atest NotificationManagerTest
Change-Id: Iefe814f338794d2083d611796e4d45f21317d389</t>
  </si>
  <si>
    <t>Decouple Launcher from InputConnectionEndToEndTest (2nd try)
This is the revised version of my CL [1], which was reverted due to an
unexpected test failure [2].
As seen in Bug 188603944 and Bug 193630289,
  InputConnectionEndToEndTest#*AfterUnbindInput
have failed multiple times mainly because how the system would behave
upon
  adb shell input keyevent KEYCODE_HOME
can drastically vary depending on the form-factor and device
performance.  To make these tests more deterministic, it's time to
stop relying on
  adb shell input keyevent KEYCODE_HOME
in InputConnectionEndToEndTest.
To do so this CL introduces MockTestActivityUtil to consolidate
parameters and methods to interact with
  android.view.inputmethod.ctstestapp.MainActivity,
which is hosted in CtsInputMethodStandaloneTestApp.apk.
Note that this change also adds
  --activity-clear-task
when launching the test Activity.  While we have a way to stop the
test Activity package [3], specifying that flag should make tests more
predictable and less flaky.
 [1]: Ibddb38583c8b3bc2392b6641d7ff48d14bc066ed
      c7336ca353c69877803ccd6620578117ce32796d
 [2]: I5265095f8f261edbd3970769cfeff1e464e37c4b
      3eb6d7db6d319496ca1ec0efa5e1dbd7271a1841
 [3]: I3516e804f3e1ad6f640dd55e84a3f4bd3edc8e02
      877cc1de582a3a1673fd762c263bffdcb28b5e0a
Bug: 200908730
Bug: 201793968
Bug: 202120036
Test: atest CtsInputMethodTestCases
Test: atest CtsInputMethodTestCases --instant
Merged-In: I0d4234752f266be2931497a9167c6051831e3dda
Change-Id: I0d4234752f266be2931497a9167c6051831e3dda
(cherry picked from commit 081dcfb14f6f627874b3ffddd54078ffc579f7cd)</t>
  </si>
  <si>
    <t>Add photo picker tests
Test: atest PhotoPickerTest
Bug: 186089715
Change-Id: I8d5426c47d0d23fcf85155f9aa725d62c0dbf3c6
Merged-In: I8d5426c47d0d23fcf85155f9aa725d62c0dbf3c6
(cherry picked from commit 58456bfeea410d2dcc44e9bdf96e0645b54d35fc)</t>
  </si>
  <si>
    <t>Add testMimeTypeFilter in PhotoPickerTest
Add the new test case testMimeTypeFilter to instead of the
testSelectVideos test case.
Test: atest PhotoPickerTest
Bug: 200512970
Bug: 200512313
Change-Id: I8438bf39f305035791dbb3e8ca4af1499c38f665
Merged-In: I8438bf39f305035791dbb3e8ca4af1499c38f665
(cherry picked from commit a0e22c26d0c63153ee7bde4d675657d480f842ae)</t>
  </si>
  <si>
    <t>Add test for cross profile PhotoPicker usecase
Also, refactor code for more organization:
* Move common @before to a base class
* Move common utility functions to separate util classes (to avoid
clutter)
* Make utility functions static
Bug: 200512456
Test: atest PhotoPickerTest
Test: atest PhotoPickerCrossProfileTest
Change-Id: Id60190450931500b76dd7688a1d4125b27eedfed
Merged-In: Id60190450931500b76dd7688a1d4125b27eedfed
(cherry picked from commit 3a9a1258915313d31abaec431d6ded972ec7a048)</t>
  </si>
  <si>
    <t>Test that FileManager/SystemGallery can update Android/media directories
Added tests to verify file manager apps and system gallery can
1) Trash files in Android/media directory of other apps
1) Update files to/from Android/media directory of other apps
Bug: 199922992
Test: atest
android.scopedstorage.cts.host.ScopedStorageHostTest#testFileManagerCanTrashOtherAndroidMediaFiles
Test: atest
android.scopedstorage.cts.host.ScopedStorageHostTest#testFileManagerCanUpdateOtherAndroidMediaFiles
Test: atest
android.scopedstorage.cts.device.ScopedStorageDeviceTest#testSystemGalleryCanTrashOtherAndroidMediaFiles
Test: atest
android.scopedstorage.cts.device.ScopedStorageDeviceTest#testSystemGalleryCanUpdateOtherAndroidMediaFiles
Test: atest
android.scopedstorage.cts.host.LegacyStorageHostTest#testCanTrashOtherAndroidMediaFiles_hasRW
Change-Id: I0d50894bae6eec5c9e89b155cec6bbaa5b174d5e
Merged-In: I0d50894bae6eec5c9e89b155cec6bbaa5b174d5e</t>
  </si>
  <si>
    <t>Split large RSA keygen test up
Instead of testing all key sizes in one test, split up the test so we
instead test each key size and provider separately. This gives us better
granularity for the tests.
Fixes: 201844061
Test: CtsKeystorePerformanceTestCases
Change-Id: I1fc64c75b49f350a3ff963d58b2030cc1ccb2d03</t>
  </si>
  <si>
    <t>Fix issues with ASurfaceControlTest
A few issues were fixed to create a more stable test
1. Wait for onEnterAnimationComplete before starting the test. This
ensures the app is no longer animating, which could cause failures when
alpha is set.
2. Updated tests to use MultiRectChecker instead of PixelChecker so it
can be more precise when checking which pixels match
3. Offset the pixels to check by 1 pixel around the border since some
chips change the texture at the edges
4. Move the entire window over so it's not at the edge of the display.
This can cause issues sometimes since the edges of the display are
sometimes rendered differently
5. Added logs when a pixel value is off to help find issues
6. Remove SurfaceTransaction_checkOnComplete that was called in
SV.destroy. There was no guarantee that the onComplete would have
executed by the time the SV was destroyed since the test was not waiting
on this result before shutting down. Replace with setOnCompleteCallback
that has a callback passed so the test can wait on the result.
Change-Id: I77b3eb9beda80992c9b6e74da0e17dea1d9eaa72
Test: ASurfaceControlTest
Test: SurfaceControlTest
Fixes: 199533865</t>
  </si>
  <si>
    <t>DO NOT MERGE: Revert "Re-enable cross-user test case."
Revert submission 15463074-enable-cross-user
Reason for revert: ShortManager has bumped their integration from sc-v2-dev to master, so there is no request for AppSearch to support multi-user in sc-v2-dev. Will revert this change and re-enable multi-user back in Android T.
Reverted Changes:
I93c083d83:Enable cross-user requests.
I5f61ae416:Re-enable cross-user test case.
Change-Id: Ib4876413961681a117e94077845d7adc53403f3b</t>
  </si>
  <si>
    <t>Fix issues with ASurfaceControlTest
A few issues were fixed to create a more stable test
1. Wait for onEnterAnimationComplete before starting the test. This
ensures the app is no longer animating, which could cause failures when
alpha is set.
2. Updated tests to use MultiRectChecker instead of PixelChecker so it
can be more precise when checking which pixels match
3. Offset the pixels to check by 1 pixel around the border since some
chips change the texture at the edges
4. Move the entire window over so it's not at the edge of the display.
This can cause issues sometimes since the edges of the display are
sometimes rendered differently
5. Added logs when a pixel value is off to help find issues
6. Remove SurfaceTransaction_checkOnComplete that was called in
SV.destroy. There was no guarantee that the onComplete would have
executed by the time the SV was destroyed since the test was not waiting
on this result before shutting down. Replace with setOnCompleteCallback
that has a callback passed so the test can wait on the result.
Change-Id: I77b3eb9beda80992c9b6e74da0e17dea1d9eaa72
Test: ASurfaceControlTest
Test: SurfaceControlTest
Fixes: 199533865
(cherry picked from commit 48d3d5701c0a1cb56016e85295afb88480b7880e)</t>
  </si>
  <si>
    <t>Fix the symlink test in AbiTest.
The old hack was fooled by dangling symlinks which, although ugly and
ideally not present, aren't worth forcing everyone to clean up.
Bug: http://b/202226059
Test: treehugger
Change-Id: Iecd79b975820e1a8ea5ff5381667a1cb025ff714</t>
  </si>
  <si>
    <t>Camera: Update the device state to camera orientation map name
Bug: 202832229
Test: Camera CTS
Change-Id: If0ff82d7a321776404b5ea686adf7b5c4448f365</t>
  </si>
  <si>
    <t>DO NOT MERGE: Revert "Re-enable cross-user test case."
Revert submission 15463074-enable-cross-user
Reason for revert: ShortManager has bumped their integration from sc-v2-dev to master, so there is no request for AppSearch to support multi-user in sc-v2-dev. Will revert this change and re-enable multi-user back in Android T.
Reverted Changes:
I93c083d83:Enable cross-user requests.
I5f61ae416:Re-enable cross-user test case.
Change-Id: Ib4876413961681a117e94077845d7adc53403f3b
Merged-In: Ib4876413961681a117e94077845d7adc53403f3b</t>
  </si>
  <si>
    <t>[CEC Configuration] Use cec config shell access
Test: build
Bug: 175381065
Change-Id: Icf46db2c95ca0e607eeab7bf6725ca87149166ad</t>
  </si>
  <si>
    <t>Add tests for rate limiting LTZP events
See associated changes in frameworks/base/
This commit also deletes some unused constants in DeviceConfigKeys.java
Bug: 197624972
Bug: 200710190
Test: atest hostsidetests/time/host/src/android/time/cts/host/LocationTimeZoneManagerHostTest.java
Change-Id: Id9638be6251db90c6261ab8be030ed61fdbd25ac</t>
  </si>
  <si>
    <t>Refactor packages access to remove ADB + caching.
This causes a bunch of flakiness because permission checks are now
faster, which is fixed on a case-by-cases basis.
This CL kept growing as I fixed these issues. Now it:
- fixes validation error when installing apps (disabling the unknown
sources check).
- replaces PollingCheck with Poll.
- Adds support for AppOp into Nene
Test: atest NeneTest
Test: atest CtsDevicePolicyTestCases
Test: atest GtsDevicePolicyTestCases
Fixes: 199174169
Bug: 197208798
Change-Id: Ia9bbd721c62de175a92eb291fee12906ba5882a1</t>
  </si>
  <si>
    <t>Re-enable tests disabled for Automotive.
The leaves some failing:
Summary
-------
x86 CtsDevicePolicyTestCases[run-on-work-profile]: Passed: 0, Failed: 0, Ignored: 15, Assumption Failed: 119,
x86 CtsDevicePolicyTestCases[run-on-secondary-user]: Passed: 200, Failed: 4, Ignored: 22, Assumption Failed: 11,
x86 CtsDevicePolicyTestCases: Passed: 26, Failed: 12, Ignored: 37, Assumption Failed: 305,
16 tests failed
---------------
android.devicepolicy.cts.KeyManagementTest#installKeyPair_nullPrivateKey_throwException[IncludeRunOnAffiliatedProfileOwnerSecondaryUser]
android.devicepolicy.cts.LockTaskTest#startLockTask_includedInLockTaskPackages_policyShouldNotApply_taskIsNotLocked[IncludeRunOnNonAffiliatedDeviceOwnerSecondaryUser]
android.devicepolicy.cts.ScreenCaptureDisabledTest#setScreenCaptureDisabled_true_screenCaptureFails[IncludeRunOnUnaffiliatedProfileOwnerSecondaryUser]
android.devicepolicy.cts.ScreenCaptureDisabledTest#setScreenCaptureDisabled_true_screenCaptureFails[IncludeRunOnAffiliatedProfileOwnerSecondaryUser]
android.devicepolicy.cts.CredentialManagementAppTest#hasKeyPair_aliasIsNotInAuthenticationPolicy_throwsException
android.devicepolicy.cts.CredentialManagementAppTest#setKeyPairCertificate_isCredentialManagementApp_success
android.devicepolicy.cts.CredentialManagementAppTest#generateKeyPair_isCredentialManagementApp_success
android.devicepolicy.cts.CredentialManagementAppTest#unregisterAsCredentialManagementApp_returnTrue
android.devicepolicy.cts.CredentialManagementAppTest#isCredentialManagementApp_isCredentialManagementApp_returnTrue
android.devicepolicy.cts.CredentialManagementAppTest#installKeyPair_isUserSelectableFlagSet_throwsException
android.devicepolicy.cts.CredentialManagementAppTest#getCredentialManagementAppPolicy_isCredentialManagementApp_returnPolicy
android.devicepolicy.cts.CredentialManagementAppTest#installKeyPair_isCredentialManagementApp_success
android.devicepolicy.cts.CredentialManagementAppTest#installKeyPair_aliasIsNotInAuthenticationPolicy_throwsException
android.devicepolicy.cts.CredentialManagementAppTest#hasKeyPair_isCredentialManagementApp_success
android.devicepolicy.cts.CredentialManagementAppTest#removeKeyPair_isCredentialManagementApp_success
android.devicepolicy.cts.CredentialManagementAppTest#choosePrivateKeyAlias_isCredentialManagementApp_aliasSelected
Which I will look into in a follow up CL.
This fixes DefaultSmsApplicationTest:
x86 CtsDevicePolicyTestCases[run-on-work-profile]
-------------------------------------------------
android.devicepolicy.cts (1 Test)
[1/1] android.devicepolicy.cts.DefaultSmsApplicationTest#setDefaultSmsApplication_invalidAdmin_throwsException[IncludeRunOnProfileOwnerProfileWithNoDeviceOwner]: ASSUMPTION_FAILED (5ms)
x86 CtsDevicePolicyTestCases[run-on-secondary-user]
---------------------------------------------------
android.devicepolicy.cts (3 Tests)
[1/3] android.devicepolicy.cts.DefaultSmsApplicationTest#setDefaultSmsApplication_unchanged[IncludeRunOnNonAffiliatedDeviceOwnerSecondaryUser]: PASSED (6.378s)
[2/3] android.devicepolicy.cts.DefaultSmsApplicationTest#setDefaultSmsApplication_invalidAdmin_throwsException[IncludeRunOnAffiliatedProfileOwnerSecondaryUser]: PASSED (4.850s)
[3/3] android.devicepolicy.cts.DefaultSmsApplicationTest#setDefaultSmsApplication_unchanged[IncludeRunOnAffiliatedDeviceOwnerSecondaryUser]: PASSED (5.025s)
x86 CtsDevicePolicyTestCases
----------------------------
android.devicepolicy.cts (5 Tests)
[1/5] android.devicepolicy.cts.DefaultSmsApplicationTest#setDefaultSmsApplication_invalidAdmin_throwsException[IncludeRunOnProfileOwnerPrimaryUser]: ASSUMPTION_FAILED (3ms)
[2/5] android.devicepolicy.cts.DefaultSmsApplicationTest#setDefaultSmsApplication_smsPackageDoesNotExist_unchanged[IncludeRunOnDeviceOwnerUser]: ASSUMPTION_FAILED (2ms)
[3/5] android.devicepolicy.cts.DefaultSmsApplicationTest#setDefaultSmsApplication_works[IncludeRunOnDeviceOwnerUser]: ASSUMPTION_FAILED (3ms)
[4/5] android.devicepolicy.cts.DefaultSmsApplicationTest#setDefaultSmsApplication_notSmsCapable_unchanged[IncludeRunOnDeviceOwnerUser]: ASSUMPTION_FAILED (153ms)
[5/5] android.devicepolicy.cts.DefaultSmsApplicationTest#setDefaultSmsApplication_nullAdmin_throwsException[IncludeRunOnDeviceOwnerUser]: ASSUMPTION_FAILED (1ms)
Test: atest NeneTest
Test: atest RemoteDpcTest
Test: atest CtsDevicePolicyTestCases
Bug: 193814739
Fixes: 200206754
Change-Id: Icf1c2fae2ebd7d05b8849ab8ad145d91858abfaf</t>
  </si>
  <si>
    <t>Remove tests that require SIM to support FDN or SDN
Most of these tests are already ignored because running them requires
use of a SIM that supports all the EFs which is onerous because these
EFs are less common than ADN. Also validating this aspect of the API is
lower-value since these EFs don't typically contain user-data and are
much more limited in their capabilities.
Bug: 201385523
Test: atest CtsSimPhonebookProviderTestCases
Change-Id: I9aed930bf066c22b018c3289ef915cba74afedbb</t>
  </si>
  <si>
    <t>Update CTS to use the New Window Extensions Interface
1. Update the tests to use the new Window Extensions Interface
2. Remove compat wrappers that abstract away whether sidecar
   or extensions are used and separate the sidecar tests from
   the extension tests. This change is helpful because the API
   surface in extensions has changed significantly making a
   compat wrapper more difficult to manage moving forward,
   especially considering that sidecar is deprecated whereas
   extensions will be actively developed
3. Only use public APIs in the tests so that they can be copied
   into Jetpack as well
Note: all of the original tests in ExtensionTest are now in
SidecarTest mostly as is, and ExtensionLayoutTest has similar tests
however based on the new Extensions interface.
Bug: b/199312407 b/158876142 b/155343832 b/185151233
Test: atest CtsWindowManagerJetpackTestCases:SidecarTest
Test: atest CtsWindowManagerJetpackTestCases:ExtensionWindowLayoutComponentTest
Change-Id: I75f7090ed865a38dce1da2c3882f757758500d68</t>
  </si>
  <si>
    <t>Fix the symlink test in AbiTest.
The old hack was fooled by dangling symlinks which, although ugly and
ideally not present, aren't worth forcing everyone to clean up.
(Cherry-pick of e4aacccf55be1f03c5f65fd6f79f59729cbc948a.)
Bug: http://b/202226059
Test: treehugger
Change-Id: Iecd79b975820e1a8ea5ff5381667a1cb025ff714</t>
  </si>
  <si>
    <t>Fix the symlink test in AbiTest.
The old hack was fooled by dangling symlinks which, although ugly and
ideally not present, aren't worth forcing everyone to clean up.
Bug: http://b/202226059
Test: treehugger
Change-Id: Iecd79b975820e1a8ea5ff5381667a1cb025ff714
(cherry picked from commit e4aacccf55be1f03c5f65fd6f79f59729cbc948a)</t>
  </si>
  <si>
    <t>transcoding: Set 480p as default source video
Added a 480p (720x480) video and set it as the default
source video, which is used by all the resolution
independent tests. This was done to ensure these
tests do not skip/fail on platforms that do not
support higher resolution under the assumption
that transcoding 480p HEVC source must be
supported.
Bug: 197267191
Test: atest CtsMediaTranscodingTestCases:
android.media.mediatranscoding.cts.MediaTranscodingManagerTest
Change-Id: I212f58ddada790bdae18bfefe6e55bd86772473a</t>
  </si>
  <si>
    <t>Allow querying collections without query objects.
Add methods to ListQuery and Set Query to allow for querying without needing to
convert an object into its respective query type.
Bug: 198294382
Test: atest com.android.queryable.queries.ListQueryHelperTest
Test: atest com.android.queryable.queries.SetQueryHelperTest
Change-Id: I58a5792b70c66a7f0164e8975fd3b107f58f0abf</t>
  </si>
  <si>
    <t>Clean up MediaPlayerTest code
This CL does not introduce any functional changes. It simplifies some
expressions, removes some redundancies and takes advantage of modern
Java features like lambdas.
Bug: 191504968
Bug: 194655325
Test: atest MediaPlayerTest
Change-Id: If2e3620cbda975779eb2974d4192d8ccc1ca37fa
(cherry picked from commit b7ba487215c7fd96fae16253a2f8beb76d7aa46b)
Merged-In: If2e3620cbda975779eb2974d4192d8ccc1ca37fa</t>
  </si>
  <si>
    <t>Move drm tests to its own package.
As part of bug b/171226061 to separate DRM test
classes to enable better tracking of test failures
through the OWNERs files.
The drm tests now reside in android.mediadrm.cts package.
The following tests are moved:
  DrmInitDataTest, MediaDrmClearkeyTest, MediaDrmMetricsTest,
  MediaDrmMockTest, MediaPlayerDrmTest and NativeMediaDrmClearkeyTest
Drm tests that are moved from MediaCodecBlockModelTest, MediaCodecTest
and MediaExtractorTest into new android.mediadrm.cts classes are:
MediaDrmCodecBlockModelTest, MediaDrmCodecTest and MediaDrmExtractorTest
MediaCodecBlockModelHelper class is created to share common methods that
are used by MediaCodecBlockModelTest and MediaDrmCodecBlockModelTest
classes.
Test: atest CtsMediaDrmTestCases
Test: atest CtsMediaTestCases
Bug: 191504968
Bug: 190625926
Change-Id: I694170dd7dc6bddd3e06b5dec733ba3652679c45
(cherry picked from commit aafedb0bd34b07854d8a84e9a3d35478cbf920f9)
Merged-In: I694170dd7dc6bddd3e06b5dec733ba3652679c45</t>
  </si>
  <si>
    <t>Revert "Add cts test to verify 2 AssetFileDescriptors work indep..."
Revert submission 15961171-168310122
Reason for revert: breaks presubmit tests
Reverted Changes:
I6c9f9d1de:Have AssetFileDescriptor.AutoCloseInputStream use ...
I061bf9ab4:Add cts test to verify 2 AssetFileDescriptors work...
Change-Id: I19715aff7880d11240b96ec02f8d032f15c81277</t>
  </si>
  <si>
    <t>Resolve API review on getting media key session
Bug: 191504968
Bug: 195657150
Test: Passed MediaSessionManager(Host)Test
Change-Id: I62d0d634ad4aedd17233748e0d4a6b5c1ead1883
(cherry picked from commit 5f675e32e1799da8aba8748c5fa940a72c5593a5)
Merged-In: I62d0d634ad4aedd17233748e0d4a6b5c1ead1883</t>
  </si>
  <si>
    <t>Remove redundant test
Everything that is tested here, is tested in common/HdmiCecStartupTest as well.
Bug: 149519706
Test: none
Change-Id: I69994763bb1b336abf67eb2192577c2ee3ee8e85
(cherry picked from commit e7e9836fe6538337de4030fd65924158da6e6e62)</t>
  </si>
  <si>
    <t>Revert "CTS for PendingIntent BroadcastOptions BAL improvement"
Revert submission 15879527-component_options
Reason for revert: DroidMonitor: Potential culprit for Bug 203407624 - verifying through Forrest before revert submission. This is part of the standard investigation process, and does not mean your CL will be reverted
Reverted Changes:
I256115361:CTS for PendingIntent BroadcastOptions BAL improve...
Ic47b9fcd3:Merge BroadcastOptions and ActivityOptions Pending...
Change-Id: Ic267de772e14fa7798f90c0d19a4189f0ca27fb4</t>
  </si>
  <si>
    <t>Decouple Launcher from InputConnectionEndToEndTest (2nd try)
This is the revised version of my CL [1], which was reverted due to an
unexpected test failure [2].
As seen in Bug 188603944 and Bug 193630289,
  InputConnectionEndToEndTest#*AfterUnbindInput
have failed multiple times mainly because how the system would behave
upon
  adb shell input keyevent KEYCODE_HOME
can drastically vary depending on the form-factor and device
performance.  To make these tests more deterministic, it's time to
stop relying on
  adb shell input keyevent KEYCODE_HOME
in InputConnectionEndToEndTest.
To do so this CL introduces MockTestActivityUtil to consolidate
parameters and methods to interact with
  android.view.inputmethod.ctstestapp.MainActivity,
which is hosted in CtsInputMethodStandaloneTestApp.apk.
Note that this change also adds
  --activity-clear-task
when launching the test Activity.  While we have a way to stop the
test Activity package [3], specifying that flag should make tests more
predictable and less flaky.
 [1]: Ibddb38583c8b3bc2392b6641d7ff48d14bc066ed
      c7336ca353c69877803ccd6620578117ce32796d
 [2]: I5265095f8f261edbd3970769cfeff1e464e37c4b
      3eb6d7db6d319496ca1ec0efa5e1dbd7271a1841
 [3]: I3516e804f3e1ad6f640dd55e84a3f4bd3edc8e02
      877cc1de582a3a1673fd762c263bffdcb28b5e0a
Bug: 200908730
Bug: 201793968
Bug: 202120036
Fix: 202241617
Test: atest CtsInputMethodTestCases
Test: atest CtsInputMethodTestCases --instant
Merged-In: I0d4234752f266be2931497a9167c6051831e3dda
Change-Id: I0d4234752f266be2931497a9167c6051831e3dda
(cherry picked from commit 081dcfb14f6f627874b3ffddd54078ffc579f7cd)
(cherry picked from commit 2b8e820050dca6f1b97be6d01a7964140a6ab5d4)</t>
  </si>
  <si>
    <t>Remove ADB from user resolving on S+.
Test: atest CtsDevicePolicyTestCases
Test: atest GtsDevicePolicyTestCases
Test: atest NeneTest
Bug: 181993922
Change-Id: I0708c33c0df88704b0aa04bb90912de4fb000f32</t>
  </si>
  <si>
    <t>Activity Embedding Tests (1/n)
1. Create test infrastructure
2. Create simple test that launches two activities into split
Bug: b/202748345
Test: atest CtsWindowManagerJetpackTestCases:ActivityEmbeddingLaunchTests
Change-Id: I35225ea32d39242ba180856a19411d4ee1310f60</t>
  </si>
  <si>
    <t>Remove use of "su" from Nene.
Test: atest NeneTest
Test: atest CtsDevicePolicyTestCases
Fixes: 203085670
Change-Id: I0868644d3597a9fdd0b0e223bf3b34905cc9b6a8</t>
  </si>
  <si>
    <t>Add test for Preview on long press
Added test for preview on long press for multi select
Modified existing single select tests to use longClick.
Bug: 197084072
Test: atest
android.photopicker.cts.PhotoPickerTest#testMultiSelect_longPress
Test: atest android.photopicker.cts.PhotoPickerTest#testSingleSelect
Test: atest
android.photopicker.cts.PhotoPickerTest#testDoesNotRespectExtraAllowMultiple
Test: atest CtsPhotoPickerTest
Change-Id: I0e2a0a5e7d492aa636726bb6a592efe0e855f5a6</t>
  </si>
  <si>
    <t>Add support for AccountManager to TestApp.
Test: atest TestAppTest
Bug: 197491427
Change-Id: Ib7a4d99effc8edadd71fb2d9a52eb60fb159ef1a</t>
  </si>
  <si>
    <t>Migrate PermissionGrantTest.
Migrated com.android.cts.devicepolicy.MixedDeviceOwnerTest#testLocationPermissionGrantNotifies
Migrated com.android.cts.devicepolicy.MixedDeviceOwnerTest#testPermissionGrant
Migrated com.android.cts.devicepolicy.MixedManagedProfileOwnerTest#testPermissionGrant
Migrated com.android.cts.devicepolicy.MixedProfileOwnerTest#testPermissionGrant
Migrated com.android.cts.devicepolicy.MixedDeviceOwnerTest#testPermissionGrant_developmentPermission
Migrated com.android.cts.devicepolicy.MixedManagedProfileOwnerTest#testPermissionGrant_developmentPermission
Migrated com.android.cts.devicepolicy.MixedProfileOwnerTest#testPermissionGrant_developmentPermission
Migrated com.android.cts.devicepolicy.MixedDeviceOwnerTest#testGrantOfSensorsRelatedPermissions
Migrated com.android.cts.devicepolicy.MixedManagedProfileOwnerTest#testGrantOfSensorsRelatedPermissions
Migrated com.android.cts.devicepolicy.MixedProfileOwnerTest#testGrantOfSensorsRelatedPermissions
Migrated com.android.cts.devicepolicy.MixedDeviceOwnerTest#testDenyOfSensorsRelatedPermissions
Migrated com.android.cts.devicepolicy.MixedManagedProfileOwnerTest#testDenyOfSensorsRelatedPermissions
Migrated com.android.cts.devicepolicy.MixedProfileOwnerTest#testDenyOfSensorsRelatedPermissions
Migrated com.android.cts.devicepolicy.MixedDeviceOwnerTest#testStateOfSensorsRelatedPermissionsCannotBeRead
Migrated com.android.cts.devicepolicy.MixedManagedProfileOwnerTest#testStateOfSensorsRelatedPermissionsCannotBeRead
Migrated com.android.cts.devicepolicy.MixedProfileOwnerTest#testStateOfSensorsRelatedPermissionsCannotBeRead
Test: atest android.devicepolicy.cts.PermissionGrantTest
Bug: 197906636
Bug: 197867832
Bug: 195469779
Change-Id: I9917b49b93b794a6a1d6f843af63148a3527dfa9</t>
  </si>
  <si>
    <t>Add ActivityEmbeddingLaunchTests#testPrimaryActivityLaunchToSideClearTop
Tests launching activities to the side from the primary
activity where the secondary stack is cleared after
each launch.
Bug: b/202748345
Test: atest
CtsWindowManagerJetpackTestCases: ActivityEmbeddingLaunchTests#testPrimaryActivityLaunchToSideClearTop
Change-Id: Iddc6fbe8fa82af6c235b88501bd0856b10f39151</t>
  </si>
  <si>
    <t>CEC: Helper functions for Standby
Functions that help to send DUT to standby, validate standby state and
wake up the DUT.
Bug: 172202220
Test: atest HdmiCecSystemStandbyTest
Change-Id: Ica32758075208fd115f23da46f8db3e030541868
(cherry picked from commit b9e11a22fb8b49cade008a1514563da6b55cc529)
Merged-In: Ica32758075208fd115f23da46f8db3e030541868</t>
  </si>
  <si>
    <t>Revert "Test permissions for matchesCallFilter in NotificationMa..."
Revert submission 16077951-yl-mcfperm
Reason for revert: Droidfood Blocking Bug: b/204523343
Reverted Changes:
I8e7c8b699:Enforce that callers to matchesCallFilter have eit...
I8a05ffa89:Test permissions for matchesCallFilter in Notifica...
Change-Id: Ie93693688cbbbd4bcd55ec188596686a0159d55d</t>
  </si>
  <si>
    <t>Remove isRunningANGLE()
ANGLE doesn't need to be treated special anymore, so remove
isRunningANGLE().
Test: OpenGlEsVersionTest
Change-Id: Id72e111dbe040ce4d90443e47c28fce815f84aa0</t>
  </si>
  <si>
    <t>RESTRICT AUTOMERGE Remove hostsidetests/userspacereboot tests
Unclean cherry-pick of I407c163a43de441dfb47d37ab56e9f0b985f8453
Bug: 191231722
Bug: 199411347
Test: presubmit
Change-Id: Iaab9bc0b59427c42b88403114a845bd9dec06e2b</t>
  </si>
  <si>
    <t>Test job priority API.
Bug: 142272435
Test: atest frameworks/base/services/tests/servicestests/src/com/android/server/job
Test: atest frameworks/base/services/tests/mockingservicestests/src/com/android/server/job
Test: atest CtsJobSchedulerTestCases
Change-Id: I86b94a62a193c855da8d1da6b2d3165c08f5e07d</t>
  </si>
  <si>
    <t>Generate full Activity class instead of hardcoding.
Test: atest TestAppTest
Test: atest NeneTest
Test: atest CtsDevicePolicyTestCases
Bug: 198407955
Change-Id: I4076bd9703556e10812bdc9fad158d0b93249263</t>
  </si>
  <si>
    <t>Rename TestAppInstanceReference to TestAppInstance.
This is consistent with the removal of
UserReference/PackageReference/etc.
Test: atest CtsDevicePolicyTestCases
Bug: 198407955
Change-Id: I4d3581054b00aeacb29f6e5ea1e4eedd2baee074</t>
  </si>
  <si>
    <t>Add .context() to TestAppInstance
Test: atest TestAppTest
Bug: 198407955
Fixes: 204190785
Change-Id: Ibef7ac3ab7d6a6d2862026866f6e33978ae3708d</t>
  </si>
  <si>
    <t>Add TestAppInstance.keyChain()
Test: atest TestAppTest
Bug: 198407955
Change-Id: I5dbe73da22eb5a178ffc145a8efb3302c8c646e6</t>
  </si>
  <si>
    <t>Migrate more KeyManagementTests.
Migrated: testGrantsDoNotPersistBetweenInstallations
Migrated: testGetKeyPairGrants_NonExistent
Migrated: testGetKeyPairGrants_NotGranted
Migrated: testGetKeyPairGrants_GrantedAtInstall
Migrated: testGetKeyPairGrants_GrantedExplicitly
Migrated: testGetKeyPairGrants_Revoked
Migrated: testIsWifiGrant_default
Migrated: testIsWifiGrant_allowed
Migrated: testIsWifiGrant_denied
Migrated: testRevokeKeyPairFromApp_keyNotUsable
Test: atest android.devicepolicy.cts.KeyManagementTest
Bug: 197859595
Change-Id: Ia3656418cb9ab821725fdfd7b51356871d730dc6</t>
  </si>
  <si>
    <t>Fix CaCertManagementTest.
Migrated: DeviceAndProfileOwnerTest#testInstallCaCertLogged
Migrated: DeviceAndProfileOwnerTest#testCaCertManagement
Migrate: MixedProfileOwnerTest#testCaCertManagement
Migrate: MixedProfileOwnerTest#testInstallCaCertLogged
Migrate: MixedDeviceOwnerTest#testCaCertManagement
Migrate: MixedDeviceOwnerTest#testInstallCaCertLogged
Migrate: MixedManagedProfileOwnerTest#testCaCertManagement
Migrate: MixedManagedProfileOwnerTest#testInstallCaCertLogged
Test: atest android.devicepolicy.cts.CaCertManagementTest
Fixes: 197907379
Fixes: 198641824
Change-Id: I792394a513f2a2bf5764817a9b4821b4ae1efaac</t>
  </si>
  <si>
    <t>Revert "Add test checking view recycling is always tested"
Revert submission 16149646-betterRecycling
Reason for revert: Droidfood Blocking Bug: 205503898
Reverted Changes:
Ib01c511e4:Always check if the view can be recycled.
If11dcd323:Add test checking view recycling is always tested
Change-Id: I733a222dd06afa6853193348764151c27f70b067</t>
  </si>
  <si>
    <t>Revert "Add test checking view recycling is always tested"
Revert submission 16149646-betterRecycling
Reason for revert: Droidfood Blocking Bug: 205503898
Reverted Changes:
Ib01c511e4:Always check if the view can be recycled.
If11dcd323:Add test checking view recycling is always tested
Change-Id: I733a222dd06afa6853193348764151c27f70b067
(cherry picked from commit 97f1e988c0958ac3fa878d980da3a1d62fdb2772)</t>
  </si>
  <si>
    <t>Update CTS CarWatchdogHostTest to verify recurring I/O overuse kill.
- Watchdog service performs I/O overuse kill/disable only on recurring
disk I/O overuse and after the display is turned off. Update the CTS
test to verify the app kill after these conditions are met.
- Update CarWatchdogHostTest to capture and verify the metrics uploaded
on exceeding disk I/O thresholds and on killing/disaling app on recurring
disk I/O overuse.
- Update device side app to delete files as soon as the write completes.
This helps to reclaim the storage space quickly. Otherwise, testing
recurring overuse might fill-up disk storage on low storage capacity
devices.
Test: run cts -m CtsCarHostTestCases -t \
android.car.cts.CarWatchdogHostTest
Fix: 204207264
Bug: 184310189
Fix: 197650622
Change-Id: If997498c7560eb6224c6b49db3263347bcaa40ac</t>
  </si>
  <si>
    <t>Migrate more ApplicationRestrictions tests.
This marks the tests as suitable for delegation but does not implement
those states. That'll come in the next CL.
Migrated: com.android.cts.devicepolicy.DeviceAndProfileOwnerTest#testApplicationRestrictions
Migrated: com.android.cts.devicepolicy.MixedDeviceOwnerTest#testApplicationRestrictions
Bug: 193792462
Test: atest android.devicepolicy.cts.ApplicationRestrictionsTest
Change-Id: I9bb038fbcd5cd0a5ab99f0e7f756a01647280a49</t>
  </si>
  <si>
    <t>Migrate testManagedProvisioningPreInstalled
Test: atest android.devicepolicy.cts.ManagedProvisioningTest
Bug: 205178429
Change-Id: I1bab8583fb571bab244c153ef38c912bd805e96a</t>
  </si>
  <si>
    <t>Remove ProcessTest
It's under cts/tests, but it doesn't have AndroidTest.xml and not tagged as CTS.
Bug: 205880049
Test: treehugger
Change-Id: Id58670b3274314a14ba903678077cf222eddfc78</t>
  </si>
  <si>
    <t>Refine SharedFilter cases
Bind to SharedFilterTestService while tuner tests. This change will make
the test much faster and it enables to verify the server side status.
Remove the SharedFilter reopen case because while the close, frameworks
cleans the FilterClient handle. It will cause problem if reuse it.
Bug: 205624778
Bug: 205763272
Test: atest android.media.tv.tuner.cts
Change-Id: I05ae045efd944d25d2d9ab631f54639430598e9c</t>
  </si>
  <si>
    <t>Migrate references to TouchInteractionController#Listener to Callback per API review.
Bug: 205738584
Test: atest TouchInteractionControllerTest
Change-Id: I33c5670c77d5487f0aa4c4df136a0132d0785005</t>
  </si>
  <si>
    <t>Migrated DelegationTest to Bedstead.
Migrated
com.android.cts.devicepolicy.DeviceAndProfileOwnerTest#testDelegation in
part, by migrating the DelegationTest device-side test class and adding
some missing coverage.
Removed DelegationTest and the corresponding test app.
Also includes some minor Bedstead tweaks that scottjonathan@ will follow
up on, and which are covered by TODOs.
Test: atest "android.devicepolicy.cts.DelegationScopesTest"
Fixes: 197907392
Change-Id: Ib8c029a3b2f1e1b8af649b8784c4ab11ec26c49a</t>
  </si>
  <si>
    <t>Migrated DelegationTest to Bedstead.
Migrated
com.android.cts.devicepolicy.DeviceAndProfileOwnerTest#testDelegation in
part, by migrating the DelegationTest device-side test class and adding
some missing coverage.
Removed DelegationTest and the corresponding test app.
Also includes some minor Bedstead tweaks that scottjonathan@ will follow
up on, and which are covered by TODOs.
Test: atest "android.devicepolicy.cts.DelegationScopesTest"
Fixes: 197907392
Change-Id: Ib8c029a3b2f1e1b8af649b8784c4ab11ec26c49a
(cherry picked from commit 662f7f4f2bb0af0eb2bcea218c496779489875dd)</t>
  </si>
  <si>
    <t>Fix failing cts tests
Bug: 206125252
Test: make, cts
Change-Id: Icb76242b0710bf4f47fba67c1d70fc3601f334a3</t>
  </si>
  <si>
    <t>uwb(cts): CTS tests for new RangingSession APIs
These are unit tests since we don't yet have an implementation of these
new functionalities.
Bug: 200678461
Test: atest CtsUwbTestCases
Change-Id: I8d33329d767eff6924029cbb7addf68d08233ce9</t>
  </si>
  <si>
    <t>Update CTS to verify system signal threshold reporting
The obsoleted "always report signal strength" featuer has
been replaced by the new interface
SignalStrengthUpdateRequest#setSystemThresholdReportingRequestedWhileIdle
which is protected by the same permission
LISTEN_ALWAYS_REPORTED_SIGNAL_STRENGTH (b/177924721).
The CTS case needs to update to verify that system privileged
app (e.g. Bluetooth) with such permission can set to report
system signal thresholds while device is idle.
Bug: 205602896
Test: atest TelephonyManagerTest
Change-Id: I66b28b9be8c24ec2dfe86639200698ad0b752478</t>
  </si>
  <si>
    <t>Add classes to Dynamic STS
* SecurityTestCase
* StagefrightTest
Bug: 196257818
Test: Verify tests get skipped as expected under Incremental
Test: Verify no Business Logic or Dynamic STS exceptions
Test: run sts-dynamic-incremental -m CtsSecurityTestCases -t android.security.cts.StagefrightTest
Test: run sts-dynamic-incremental-user -m CtsSecurityTestCases -t android.security.cts.StagefrightTest
Test: run sts-dynamic-full -m CtsSecurityTestCases -t android.security.cts.StagefrightTest
Test: run sts-dynamic-full-user -m CtsSecurityTestCases -t android.security.cts.StagefrightTest
Test: run sts-dynamic-incremental -m CtsSecurityBulletinHostTestCases
Test: run sts-dynamic-incremental-user -m CtsSecurityBulletinHostTestCases
Test: run sts-dynamic-full -m CtsSecurityBulletinHostTestCases
Test: run sts-dynamic-full-user -m CtsSecurityBulletinHostTestCases
Change-Id: I08f37dde327c56b820b113662f0170dfe460e5b7</t>
  </si>
  <si>
    <t>Iterate on hue precision in SystemPaletteTest
- measure hue delta against median hue of palette instead of previous
hue in palette - ex. if the hue was supposed to be 250, and
when converted to sRGB for display, it was quantized to 257, and then
the next color was 243, the hue tolerance needs to be 14, not 7.
- avoid measuring hue of tones at extremes of color space
As the space terminates, at white at tone 100 and black at tone 0,
quantization  becomes more severe - ex. there are only ~12 unique
colors/hues at tone 99, and only one at tone 0.
- document quantization when converting to sRGB for display + tolerances
Bug: 205929854
Test: `atest SystemPaletteTest` run across all the wallpapers in the
solid color section to get hue coverage of new hue distance constant.
Change-Id: I69541f8da4643d71913d1a6545cd385905e378d7
Change-Id: I8458cb038fd0c34627b2db4d54f485cdb5ae2c61</t>
  </si>
  <si>
    <t>Create a new user once before all the multi tests are run.
This change could improve appsearch multi-user test's speed and meet
test quality requirement(30s).
Test: AppSearchMultiUserTest
Bug: 202207815
Bug: 202207603
Bug: 187451041
Change-Id: I073f9cdc08168a8020fd6ef577a454a46d9cb763</t>
  </si>
  <si>
    <t>Migrate more ApplicationRestrictions tests.
This marks the tests as suitable for delegation but does not implement
those states. That'll come in the next CL.
Migrated: com.android.cts.devicepolicy.DeviceAndProfileOwnerTest#testApplicationRestrictions
Migrated: com.android.cts.devicepolicy.MixedDeviceOwnerTest#testApplicationRestrictions
Bug: 193792462
Test: atest android.devicepolicy.cts.ApplicationRestrictionsTest
Change-Id: I9bb038fbcd5cd0a5ab99f0e7f756a01647280a49
Merged-In: I9bb038fbcd5cd0a5ab99f0e7f756a01647280a49</t>
  </si>
  <si>
    <t>WV CTS: Port packageName tests from DeviceSideStartupTest
Create a new CTS test class WebViewStartupTest that is equivalent to
WebViewDeviceSideStartupTest and move testGetCurrentWebViewPackage
tests to the new class. Other tests will be moved in subsequent CLs.
The new WebViewStartupTest uses the framework written by torne to run
each test case in a freshly created process.
Also modify the framework to:
- The interface for TestRunnables to throw throwable.
- Run tests on a thread other than the main thread by default which
  make testing model clearer and similar to android test runner.
- Introduce UiThreadTestRunnable for tests that want to run on the UI
  thread.
Bug: 72376996
Test: atest CtsWebkitTestCases:WebViewStartupTest
Change-Id: I38e8558c8f7ef595079dbf4ea6fc284297386de4</t>
  </si>
  <si>
    <t>Revert "Add test for isDeviceOwnerApp"
Revert submission 15660377-ayushsha_185896465
Reason for revert: DroidMonitor-triggered revert due to breakage bug http://b/207143396
BUG: 207143396
Reverted Changes:
I774ec2a09:Add test for isDeviceOwnerApp
Ibd611bfe2:Require QUERY_ALL_PACKAGES getDeviceOwnerComponent...
Change-Id: I2ec0741c5d3371270f4111c311633aaafffa6121</t>
  </si>
  <si>
    <t>Skip multipackage collection tests if there isn't another package to
check
Test: atest locally
Fix: 206992991
Change-Id: Iff803a81e1d6922556e7511a990333fec13d0382</t>
  </si>
  <si>
    <t>SIM state change test
The default sim state would be SIM Absent. SIM Present would be set by
the test case and then check if the state is changed to Present.
Bug: 203241555
Test: atest MockModemServiceTest -c
Change-Id: I345110c16469f4efa027254c50e6d492c3cf7ee9</t>
  </si>
  <si>
    <t>Rework AccessibilityEventTest to use UIAutomation instead of sleeping.
Bug: 199101293
Test: atest AccessibilityEventTest
Change-Id: Id3fda53f4dd17ad9029a6d8d487ad9a166f34513</t>
  </si>
  <si>
    <t>Fix a mismerge in ag/16281119 (b1a39ce)
Bug: 207625857
Fixed: 207625857
Change-Id: I1564d326ad2e691af0c304eacb052426f4d78327</t>
  </si>
  <si>
    <t>WV CTS: Move testGetWebViewLooper* from DeviceSideStartupTest
Moving more tests from WebView{HostSide,DeviceSide}StartupTest class to
the new WebViewStartupTest class that uses service process framework to
launch tests in a new process.
Bug: 72376996
Test: atest CtsWebkitTestCases:WebViewStartupTest
Change-Id: I1de67fd0f855974474726db83733a782e4d10937</t>
  </si>
  <si>
    <t>CtsSystemApiAnnotationTestCases: Allow expected failures to be ignored
Adds support to allow a set of expected failures to be provided via the
DynamicConfig mechanism and use that in the test to filter out expected
failures.
This change includes the following:
* Adding support for DynamicConfig to the module, AndroidTest.xml,
  Android.mk changes and added DynamicConfig.xml file. The file will
  be automatically picked up by when building the test suite.
* Added ExpectedFailuresFilter and test. The test required a little
  refactoring of the existing test.
* Integrated ExpectedFailuresFilter into the AnnotationTest.java,
  populating it with information retrieved from the DynamicConfig.xml
  file.
* Improving consistency of FailureType. Added EXTRA_CONSTRUCTOR, use
  EXTRA_INTERFACE to match how MISSING_INTERFACE is used.
Usually, the above would be done as separate changes to simplify
review but having a single change makes it easier for it to be
cherry picked by partners.
Bug: 206650495
Test: atest --host signature-host-tests
Change-Id: I8657c38d386e08f8d4b969a2e30ab10b2fa879bd</t>
  </si>
  <si>
    <t>CtsScopedStorageDeviceOnlyTest: Ensure public volume is visible
If the device does not support the adoptable feature and has a
physical sdcard, the public volume will not be visible and fuse
mounts will not be triggered. This causes test setup to fail since
the expected mount under /storage is not present.
Fixed by executing "sm set-force-adoptable true" when a physical
sdcard is used.
Also renaming @BeforeClass annotated method setup() in
RedactUriDeviceTest to setupApps(), similar to the other subclasses.
This enables invokation of the setup() method in super class
ScopedStorageBaseDeviceTest.
Bug: 207721546
Test: run cts-on-gsi -m CtsScopedStorageDeviceOnlyTest
Change-Id: I99cfe7d4dba0aae2e0f39bc7e881b21fd45ac150</t>
  </si>
  <si>
    <t>Cts test for small gaps PTS
If there exist PTS Gaps in AudioTrack playback, the framePosition returned
by AudioTrack#getTimestamp must not advance for any silent frames rendered
to fill the gap.
Renaming the old testTunneledAudioPTSGapsPCM to
testTunneledAudioTimestampProgressWithUnderrunPcm.
Bug: 201278240
Test: atest android.media.cts.DecoderTest#testTunneledAudioPTSGapsHevc
Test: atest android.media.cts.DecoderTest#testTunneledAudioPTSGapsVp9
Test: atest android.media.cts.DecoderTest#testTunneledAudioPTSGapsAvc
Test: atest android.media.cts.DecoderTest#testTunneledAudioTimestampProgressWithUnderrunHevc
Test: atest android.media.cts.DecoderTest#testTunneledAudioTimestampProgressWithUnderrunVp9
Test: atest android.media.cts.DecoderTest#testTunneledAudioTimestampProgressWithUnderrunAvc
Change-Id: Ie6233d28ce4f480ab3c6757b728e238bc7f5697e</t>
  </si>
  <si>
    <t>Fix remaining issues with CtsDevicePolicyTestCases on S_V2.
Test: atest CtsDevicePolicyTestCases
Test: atest TestAppTest
Bug: 207695680
Bug: 207804008
Bug: 207811628
Bug: 205919949
Bug: 197909954
Bug: 193792462
Bug: 204961642
Change-Id: Ic1cd440154d40ffc9ee14a5ecec412bc8cecf9db</t>
  </si>
  <si>
    <t>Fix remaining issues with CtsDevicePolicyTestCases on S_V2.
Test: atest CtsDevicePolicyTestCases
Test: atest TestAppTest
Fixes: 207695680
Fixes: 207804008
Fixes: 207811628
Fixes: 205919949
Fixes: 197909954
Fixes: 193792462
Fixes: 204961642
Change-Id: Ic1cd440154d40ffc9ee14a5ecec412bc8cecf9db
Merged-In: Ic1cd440154d40ffc9ee14a5ecec412bc8cecf9db</t>
  </si>
  <si>
    <t>Fix CTS for nearby streaming policy default
Test: atest
CtsDevicePolicyManagerTestCases: com.android.cts.devicepolicy.MixedDeviceOwnerTest#testGetNearbyNotificationStreamingPolicy_defaultToSameManagedAccountOnly
Fixes: 207346034
Change-Id: I8e5481650baf746fd11922c84057923f8285d12a</t>
  </si>
  <si>
    <t>CtsSystemApiAnnotationTestCases: Allow expected failures to be ignored
Adds support to allow a set of expected failures to be provided via the
DynamicConfig mechanism and use that in the test to filter out expected
failures.
This change includes the following:
* Adding support for DynamicConfig to the module, AndroidTest.xml,
  Android.mk changes and added DynamicConfig.xml file. The file will
  be automatically picked up by when building the test suite.
* Added ExpectedFailuresFilter and test. The test required a little
  refactoring of the existing test.
* Integrated ExpectedFailuresFilter into the AnnotationTest.java,
  populating it with information retrieved from the DynamicConfig.xml
  file.
* Improving consistency of FailureType. Added EXTRA_CONSTRUCTOR, use
  EXTRA_INTERFACE to match how MISSING_INTERFACE is used.
Usually, the above would be done as separate changes to simplify
review but having a single change makes it easier for it to be
cherry picked by partners.
Bug: 206650495
Test: atest --host signature-host-tests
Change-Id: I8657c38d386e08f8d4b969a2e30ab10b2fa879bd
Merged-In: I8657c38d386e08f8d4b969a2e30ab10b2fa879bd</t>
  </si>
  <si>
    <t>Remove VibrationAttributes tests for touch feedback heuristic
The logic has been moved to VibratorManagerService, and is no longer
applied by this client parcelable.
Bug: 185351540
Test: VibrationAttributesTest
Change-Id: If3d3aeddea7be2dff02e08731991b14f3aabc64a</t>
  </si>
  <si>
    <t>Revert "Create EventlibService."
This reverts commit 93c0427f66b8918067e8f45f0ad62dcd21da52d0.
Reason for revert: Looks like this breaks all the bedstead post-submit tests.
https://android-build.googleplex.com/builds/tests/view?invocationId=I97100009998707966&amp;redirect=https%3A%2F%2Fsponge2.corp.google.com%2Ffbabc879-fe3e-41d2-83ac-3db8080f71f7&amp;testResultId=TR36027809017128826
https://android-build.googleplex.com/builds/tests/view?invocationId=I51000009998703654&amp;redirect=https%3A%2F%2Fsponge2.corp.google.com%2F249fdb04-0daa-41c3-99e1-e4df829f1321&amp;testResultId=TR02227809018471680
https://android-build.googleplex.com/builds/tests/view?invocationId=I37600009998164552&amp;redirect=https%3A%2F%2Fsponge2.corp.google.com%2Faa2820d5-3fb3-47d7-af5a-af807aeabede&amp;testResultId=TR44527809031048467
https://android-build.googleplex.com/builds/7952162/branches/git_master/targets/cf_x86_64_phone-userdebug/cls?end=7952146
Change-Id: Ia6f643229e91c5fa2f3a5462d71efbea8fe7fb35</t>
  </si>
  <si>
    <t>Remove CTS test testNotifyChange_VerifyUserId
The new onChange(boolean, Collection&lt;Uri&gt; uris, int flags, UserHandle user) will only be called if
1) the observer is in system_server.
Or
2) ADD_CONTENT_OBSERVER_FLAGS is not set.
So the current testNotifyChange_VerifyUserId won't work. And actually no
new tests are needed since the code path is covered by existing
tests.
Bug: 203606981
Bug: 206812516
Test: atest
CtsContentTestCases: android.content.cts.ContentResolverTest#testNotifyChange_VerifyUserId
Change-Id: I21fcc0f7f024834c757c461244c6119c8b6df2b8</t>
  </si>
  <si>
    <t>Revert of temporary changes
Revert of hot fix. It need to be taken along with
aosp/1733692 changes. New fix has proposed in the
mention CL.
Bug: 190220708
Test: run cts -m CtsRoleTestCases
Change-Id: I84bd9f87a9976150c2ebed5b42d426b3ebe93365</t>
  </si>
  <si>
    <t>Add CTS tests for new UWB getChipId, getDefaultChipId, and openRanging APIs with chipId argument.
Bug: 205618645
Bug: 205614701
Bug: 205605632
Test: atest CtsUwbTestCases
Change-Id: I165771651a79bb96f76adc6c582da83918465016</t>
  </si>
  <si>
    <t>Removing TrustedVoice tests since trustlet_voiceunlock was removed from GMSCore a few months ago.
Bug: 179442452
Fixes: 204902104
Change-Id: I70c351c088cef44af34bad57acbae18b16d598fe
Merged-In: I70c351c088cef44af34bad57acbae18b16d598fe
(cherry picked from commit e591a3a7fab090e387741a7a6a898d79a784adf0)</t>
  </si>
  <si>
    <t>Remove split-screen test
Split-screen behavior is changed from sc-v2, it doesn't
allow single Activity enter mutli-window mode anymore.
We remove it to avoid the cts failure
Bug: 207056257
Test: presbumit test pass
Change-Id: I835e77fd2e98a2a759c733d4b3e5522ba9293cf3</t>
  </si>
  <si>
    <t>Revert "Add test for contacts local account"
This reverts commit 88a268b3acbe34a3bfe13a61d73e01fa984b6f52.
Reverting because partners are concerned about backwards compatibility.
Test: atest CtsContactsProviderTestCases
Bug: 188347648
Change-Id: Ida3eb1d7848207ea15ff2f9d16710fa1f13df96b</t>
  </si>
  <si>
    <t>Split MediaRandomTest to player and recoder tests
MediaRandomTest is now split to two separate MediaPlayerRandomTest
and MediaRecorderRandomTest so that they can be moved to separate
test cases in subsequent CLs.
Also we now use the Watchdog() from the common libraries instead of
redefining one here.
Bug: 191504968
Test: atest CtsMediaTestCases:MediaRecorderRandomTest
Test: atest CtsMediaTestCases:MediaPlayerRandomTest
Change-Id: I9b6cd4281a09d1eee7f470554369b945a9729e15</t>
  </si>
  <si>
    <t>Add test cases for Visible Activity Callback function
Bug: 203822425
Bug: 203822446
Test: atest CtsVoiceInteractionTestCases
Test: atest CtsVoiceInteractionTestCases --instant
Change-Id: Id8c3c70723387bbe3875f45c4e478b7c8203356c</t>
  </si>
  <si>
    <t>Revert of temporary changes
Revert of hot fix. It need to be taken along with
aosp/1733692 changes. New fix has proposed in the
mention CL.
Bug: 190220708
Test: run cts -m CtsRoleTestCases
Merged-In: I84bd9f87a9976150c2ebed5b42d426b3ebe93365
Change-Id: I84bd9f87a9976150c2ebed5b42d426b3ebe93365</t>
  </si>
  <si>
    <t>Fix a CTS-V crash issue that happens when running CameraITS test
Static variables that help check if the test are from main view could be reset to a wrong value in some cases. This change removes related static variables and move the check logic from the parent class to child classes.
Bug: 204840586
Test: CameratITS test
Change-Id: I67aa2794f2dd1aea86a467a324ad45e588c6708a</t>
  </si>
  <si>
    <t>CtsSystemApiAnnotationTestCases: Allow expected failures to be ignored
Adds support to allow a set of expected failures to be provided via the
DynamicConfig mechanism and use that in the test to filter out expected
failures.
This change includes the following:
* Adding support for DynamicConfig to the module, AndroidTest.xml,
  Android.mk changes and added DynamicConfig.xml file. The file will
  be automatically picked up by when building the test suite.
* Added ExpectedFailuresFilter and test. The test required a little
  refactoring of the existing test.
* Integrated ExpectedFailuresFilter into the AnnotationTest.java,
  populating it with information retrieved from the DynamicConfig.xml
  file.
* Improving consistency of FailureType. Added EXTRA_CONSTRUCTOR, use
  EXTRA_INTERFACE to match how MISSING_INTERFACE is used.
Usually, the above would be done as separate changes to simplify
review but having a single change makes it easier for it to be
cherry picked by partners.
Bug: 206650495
Test: atest --host signature-host-tests
Merged-In: I8657c38d386e08f8d4b969a2e30ab10b2fa879bd
Change-Id: I8657c38d386e08f8d4b969a2e30ab10b2fa879bd
(cherry picked from commit 0eab8ff9344917a4cd584ae8f608a56b844cd896)</t>
  </si>
  <si>
    <t>Add CTS test for StyleSpan auto-bold support
Test: atest StyleSpanTest
Bug: 175177807
Change-Id: I7ba6e0d2676b460cf8930097b57878c9c30ebaec</t>
  </si>
  <si>
    <t>Add tests for newly exposed DevicePolicyManager SystemAPIs
Add tests for setUserProvisioningState and checkProvisioningPreCondition
Bug: 208634589
Bug: 188410712
Test: atest android.devicepolicy.cts.DevicePolicyManagerTest
Change-Id: I0c7ba84002412b3e62adebb1fbd3c3fd0d1fd548</t>
  </si>
  <si>
    <t>CTS: Move out common function from MediaCodecTest
Move out common functions from MediaCodecTest to Utils. These functions are
used across MediaCodecTest and MediaExtractorTest.
Bug: 191504968
Test: atest CtsMediaTestCases:MediaCodecTest
Test: atest CtsMediaTestCases:MediaExtractorTest
Test: atest CtsMediaTestCases
Change-Id: I04b73836a112820a03c84689629df170af3bb368</t>
  </si>
  <si>
    <t>CtsScopedStorageDeviceOnlyTest: Ensure public volume is visible
If the device does not support the adoptable feature and has a
physical sdcard, the public volume will not be visible and fuse
mounts will not be triggered. This causes test setup to fail since
the expected mount under /storage is not present.
Fixed by executing "sm set-force-adoptable true" when a physical
sdcard is used.
Also renaming @BeforeClass annotated method setup() in
RedactUriDeviceTest to setupApps(), similar to the other subclasses.
This enables invokation of the setup() method in super class
ScopedStorageBaseDeviceTest.
Bug: 207721546
Test: run cts-on-gsi -m CtsScopedStorageDeviceOnlyTest
Change-Id: I99cfe7d4dba0aae2e0f39bc7e881b21fd45ac150
Merged-In: I99cfe7d4dba0aae2e0f39bc7e881b21fd45ac150
(cherry picked from commit 783cfdd5be6db23b8099e7a03378621373b81ec8)</t>
  </si>
  <si>
    <t>Add support for null AccountManagerCallback, Activity, Handler, and
DevicePolicyManager.
Test: atest android.devicepolicy.cts.AccountManagementTest
Bug: 197909954
Change-Id: I51196ac5c1c4308cb24ddbda343057aefa44a683</t>
  </si>
  <si>
    <t>Fix the AccessibilityManagerTest
1) Do not read Settings.Secure from cts
2) Update name of the AudioDescriptionRequestChangeListener as AccessibilityManager.
Test: atest AccessibilityManagerTest
Bug: 160823970
Change-Id: I2813b94f3249fc3679945230e06e346058e1ab4e</t>
  </si>
  <si>
    <t>Only initialize sSharedLibJars on S+ devices.
The helper app that reports available shared libraries is only
available on S+.
Also, run IntelliJ's formatter on the code.
Bug: 208955379
Test: atest
Change-Id: I748dcbe963a9804c4698ab58503b8a55e17a165c</t>
  </si>
  <si>
    <t>Fix CTS test for createContextPackageAsUser
This CTS tests assumes packages installed for the current foregound user
are available for other users too. The fix is to:
run the test for only one specific package which is installed for
every user; com.android.shell
Test: createContextPackageAsUser
bug: 183420369
Signed-off-by: wznqmp &lt;sajjad.mosharraf@gm.com&gt;
Change-Id: I807afdbbe2145ce533e2773ce2104aaececd30a2
(cherry picked from commit a58a382bfa81b2a305fca935448bca96aac9b72a)</t>
  </si>
  <si>
    <t>CtsScopedStorageDeviceOnlyTest: Ensure public volume is visible
If the device does not support the adoptable feature and has a
physical sdcard, the public volume will not be visible and fuse
mounts will not be triggered. This causes test setup to fail since
the expected mount under /storage is not present.
Fixed by executing "sm set-force-adoptable true" when a physical
sdcard is used.
Also renaming @BeforeClass annotated method setup() in
RedactUriDeviceTest to setupApps(), similar to the other subclasses.
This enables invokation of the setup() method in super class
ScopedStorageBaseDeviceTest.
Bug: 207721546
Test: run cts-on-gsi -m CtsScopedStorageDeviceOnlyTest
Change-Id: I99cfe7d4dba0aae2e0f39bc7e881b21fd45ac150
(cherry picked from commit 783cfdd5be6db23b8099e7a03378621373b81ec8)</t>
  </si>
  <si>
    <t>transcoding: Set 480p as default source video
Added a 480p (720x480) video and set it as the default
source video, which is used by all the resolution
independent tests. This was done to ensure these
tests do not skip/fail on platforms that do not
support higher resolution under the assumption
that transcoding 480p HEVC source must be
supported.
Bug: 197267191
Test: atest CtsMediaTranscodingTestCases:
android.media.mediatranscoding.cts.MediaTranscodingManagerTest
Change-Id: I212f58ddada790bdae18bfefe6e55bd86772473a
Merged-In: I212f58ddada790bdae18bfefe6e55bd86772473a</t>
  </si>
  <si>
    <t>CTS tests for SurfaceControl additions
Test: this
Bug: 200697201
Change-Id: Ie8eb04d5d6fc5c29477f58f3461b6441bbc565ff</t>
  </si>
  <si>
    <t>Add support for general parameterisation for strings and ints.
TestParameterInjector was considered but dismissed for multiple reasons
- doc incoming with details.
Test: atest HarrierTest
Test: atest CtsDevicePolicyTestCases
Fixes: 188893663
Change-Id: I573f6c45dda7ec8c03e8b2e5df39c9603d9b2988</t>
  </si>
  <si>
    <t>CtsSystemApiAnnotationTestCases: Allow expected failures to be ignored
Adds support to allow a set of expected failures to be provided via the
DynamicConfig mechanism and use that in the test to filter out expected
failures.
This change includes the following:
* Adding support for DynamicConfig to the module, AndroidTest.xml,
  Android.mk changes and added DynamicConfig.xml file. The file will
  be automatically picked up by when building the test suite.
* Added ExpectedFailuresFilter and test. The test required a little
  refactoring of the existing test.
* Integrated ExpectedFailuresFilter into the AnnotationTest.java,
  populating it with information retrieved from the DynamicConfig.xml
  file.
* Improving consistency of FailureType. Added EXTRA_CONSTRUCTOR, use
  EXTRA_INTERFACE to match how MISSING_INTERFACE is used.
Usually, the above would be done as separate changes to simplify
review but having a single change makes it easier for it to be
cherry picked by partners.
(cherry picked from 0c4d2d082b22dfc0ed6087de6bae9c08f43d057b)
Bug: 206650495
Test: atest --host signature-host-tests
Change-Id: I8657c38d386e08f8d4b969a2e30ab10b2fa879bd</t>
  </si>
  <si>
    <t>Migrate more LockNow tests.
Test: atest CtsDevicePolicyTestCases
Test: atest GtsDevicePolicyTestCases
Bug: 204572377
Change-Id: I80057cf885a7cc195003d7573a032187826a653f</t>
  </si>
  <si>
    <t>CEC: Add cect_hf4_6_1_otp_viewOnBeforeUcp_20 test
Verify that the DUT initially tries sending either
{@code &lt;Image View On&gt;} or {@code &lt;Text View On&gt;} to wake up the
TV when the DUT wants to become the active source, before sending
any {@code &lt;User Control Pressed&gt;} with power-related operands.
Bug: 186093551
Test: atest HdmiCecPowerStatusTest#cect_hf4_6_1_otp_viewOnBeforeUcp_20
Change-Id: I1205f5628258bccba70bda753cee8f213047f413</t>
  </si>
  <si>
    <t>Fix CTS test for default app streaming policy
Test: atest
CtsDevicePolicyManagerTestCases:
com.android.cts.devicepolicy.MixedDeviceOwnerTest#testGetNearbyAppStreamingPolicy_defaultToSameManagedAccountOnly
Fixes: 207346034
Change-Id: Ia0da42321210abff9248ee57eee99d5c9dbe03b5</t>
  </si>
  <si>
    <t>Fix a CTS-V crash issue that happens when running CameraITS test
Static variables that help check if the test are from main view could be reset to a wrong value in some cases. This change removes related static variables and move the check logic from the parent class to child classes.
Copy from https://android-review.googlesource.com/c/platform/cts/+/1908157
Bug: 204840586
Test: CameratITS test
Change-Id: I7fe70cfd04a5d292680cc0e1a039612ad9a4f907</t>
  </si>
  <si>
    <t>[MEP]CTS testcases for sim access APIs with portid
Adding testcases for sim access API's with portIndex
Test: atest TelephonyManagerTest#testIccOpenLogicalChannelBySlotAndPort
Test: atest TelephonyManagerTest#testIccCloseLogicalChannelBySlotAndPort
Test: atest TelephonyManagerTest#testIccTransmitApduLogicalChannelBySlotAndPort
Test: atest TelephonyManagerTest#testIccTransmitApduBasicChannelBySlotAndPort
Bug:208739934
Change-Id: Ibb6f7033dafd7745c59bb4e9e511952dc52577a5</t>
  </si>
  <si>
    <t>Add keymint assumptions for attest key tests
Keys with an "attest" purpose are only valid with keymint, but we were
previously only checking a keystore feature flag. Now check both the
keystore feature as well as for keymint.
Test: AttestKeyTest
Change-Id: I9497d45ac5804356fcb12d08a521472d899c7dc1</t>
  </si>
  <si>
    <t>Delete PackageIncidentTest
Bug: 209994870
Test: TH
Change-Id: I535b374f33d5286613066c3503c060ac7088b7b3</t>
  </si>
  <si>
    <t>[CTS] add test for removeNetworkSuggestions
Bug: 202054574
Test: cts WifiNetworkSuggestionTest
Change-Id: I2041c065de4edb0b4d777260b36fa70e1e695e89</t>
  </si>
  <si>
    <t>Fix CTS test for createContextPackageAsUser
This CTS tests assumes packages installed for the current foregound user
are available for other users too. The fix is to:
run the test for only one specific package which is installed for
every user; com.android.shell
Test: createContextPackageAsUser
bug: 183420369
Signed-off-by: wznqmp &lt;sajjad.mosharraf@gm.com&gt;
Change-Id: I807afdbbe2145ce533e2773ce2104aaececd30a2
(cherry picked from commit a58a382bfa81b2a305fca935448bca96aac9b72a)
(cherry picked from commit 418686a7ed2571c73e4cddda6d2ada18448fbaea)</t>
  </si>
  <si>
    <t>Migrate tests of deprecated ResetPassword method.
Test: atest CtsDevicePolicyTestCases
Test: atest GtsDevicePolicyTestCases
Bug: 204572377
Change-Id: Ic8799248ccc07afcf8922ed44764d191ec5e85c7</t>
  </si>
  <si>
    <t>Add intervalMs to GnssMeasurementRequest
Bug: 206670536
Test: atest GnssMeasurementRequestTest
Change-Id: I4a1029f583b727963a28358c50d7693662c8b1f0</t>
  </si>
  <si>
    <t>Remove isRunningANGLE()
ANGLE doesn't need to be treated special anymore, so remove
isRunningANGLE().
Test: OpenGlEsVersionTest
Bug: b/210542189
Change-Id: Id72e111dbe040ce4d90443e47c28fce815f84aa0
Merged-In: Id72e111dbe040ce4d90443e47c28fce815f84aa0
(cherry picked from commit Id72e111dbe040ce4d90443e47c28fce815f84aa0)</t>
  </si>
  <si>
    <t>SIM state change test
The default sim state would be SIM Absent. SIM Present would be set by
the test case and then check if the state is changed to Present.
Bug: 203241555
Test: atest MockModemServiceTest -c
Change-Id: I345110c16469f4efa027254c50e6d492c3cf7ee9
Merged-In: I345110c16469f4efa027254c50e6d492c3cf7ee9</t>
  </si>
  <si>
    <t>Improve test coverage of IMM#invalidateInput()
This CL adds several test scenarios for
  InputMethodManager#invalidateInput(View)
regarding when it uses native implementation and when it falls back to
  InputMethodManager#restartInput(View).
Some newly added cases work as regression test for Bug 208941904,
which should never happen again with the corresponding fix [1].
 [1]: I109e0c26d8249fc2e01323e3e1cb36395fa7cc97
Bug: 203086369
Bug: 208941904
Bug: 209008342
Test: atest CtsInputMethodTestCases:InputMethodStartInputLifecycleTest
Change-Id: Ifb80015ab0f0c32c917a80c4e5f60e836648e7b4</t>
  </si>
  <si>
    <t>Revert "Fix test failure when system speech recognizer isn't configured."
This reverts commit 15de4e73f16cd93cde6890fd05046ad445405f7f.
Reason for revert: Test moved to CtsSecurityTestCases
Bug: 202312327
Test: presubmit
Change-Id: I5ee2e8ca21ff19059f733b5655c5e5a4081bf7bb</t>
  </si>
  <si>
    <t>Revert "Test that system role doesn't override user revoked permission."
This reverts commit 2613cd0bf3ad9cebd8bdfb1bd7adb664410ea150.
Reason for revert: Test moved to CtsSecurityTestCases
Bug: 202312327
Test: presubmit
Change-Id: I991fb2383e3067f7355e6b5232643bfc6195f890</t>
  </si>
  <si>
    <t>Add CTS tests for UserManager#getProfileParent.
This adds CTS tests for the getProfileParent method in UserManager, as
requested by the Mainline team.
The Bedstead tools suite is added to the CTS multiuser tests to
facilitate the writing of such tests.
Bug: 206863962
Test: atest UserManagerTest
Change-Id: Ia7e2b97d7436b7ef3a91ace7156221991a28c6a5</t>
  </si>
  <si>
    <t>Update telephony CTS per the new feature flags
Bug: 210154414
Test: atest CtsTelephonyTestCases
Test: atest CtsTelecomTestCases
Change-Id: I3a974bcd678fb441aecbdd889bf309eeb40fb2b5</t>
  </si>
  <si>
    <t>Acquire a lease on the blob before rebooting the device.
Earlier, we were rebooting the device immediately after
committing the blob. Technically, there are no guarantees
whether or not the blob will be available for the app
after the reboot unless there was a lease on the blob.
Bug: 208517558
Test: atest --test-mapping apex/blobstore
Change-Id: I770fad95e1866f58b4b42b22243f263edf65c217</t>
  </si>
  <si>
    <t>wifi: Add cts for ActiveCountryCodeChangedCallback
Test callback works correctly and register/unregister function works
correctly.
Bug: 197290792
Test: atest -c android.net.wifi.cts.WifiManagerTest
Change-Id: Ie6123dfb1fe8e92426e2a8a92492d29cc0a0ae18</t>
  </si>
  <si>
    <t>Adds CTS for reseting the magnifiers after the service is disconnected
Bug: 203532041
Test: AccessibilityServiceConnectionTest
Change-Id: Ia304f4d42f79ab46c7d0a34ffa3d121457b84e74</t>
  </si>
  <si>
    <t>wv cts: Use sync AIDL interface in TestProcessService
Replace the Messenger implementation of the TestProcessService with a
sync custom AIDL interface. The Messenger model is async (oneway) which
caused flakiness when executing the terminating process call. The sync
AIDL interface, on the other hand, is more robust because the client
will block until the service is terminated. It also simplifies the
implementation by getting rid of the generic message handling.
Also add some meta tests for the framework itself to make sure it works
as expected and to hopefully isolate failures.
Bug: 211493322
Test: atest CtsWebkitTestCases:WebViewStartupTest --rerun-until-failure 250
Change-Id: I8da96edd840289ea1dd4aad180c82e127bf2f4eb</t>
  </si>
  <si>
    <t>Revert "Add tests for AdvertisingSet and AdvertisingSetCallback"
This reverts commit 17e848e89df07027c6a718bb33f24d06d2d15366.
Reason for revert: CTS-on-GSI failure
Change-Id: I7113f9d700f86b0e851ad3126b3ea3e4bef8a9e6</t>
  </si>
  <si>
    <t>CTS tests added using new pubic version of ResponderConfig.
Bug: 191784797
Test: Added two new tests and all tests pass.
Change-Id: Ied3beaa994cb5b6eb8d09fcb9c864b74dce6ca96</t>
  </si>
  <si>
    <t>Update cts to depend on new ExoPlayer version
Bug: 201541781
Test: atest CtsMediaParserTestCases
Test: atest CtsMediaParserHostTestCases
Change-Id: I231cf35122121dd3d27ab1fa108e3d95d137852c</t>
  </si>
  <si>
    <t>Add CTS for Filter Time Delay Hint
Test: atest android.media.tv.tuner.cts.TunerTest#testFilterTimeDelay
Bug: 183057734
Change-Id: I3275bd856efdbf22e234116018c75ced3b6510aa</t>
  </si>
  <si>
    <t>Removing tests pertaining to Accessibility recycling.
Test: Removes obsolete tests
Change-Id: I0f95939b62469292a7361ce3269d9bc03aea4c12</t>
  </si>
  <si>
    <t>Adapt tests to preventable IME startup
Bug: 37617707
Bug: 199887357
Test: First enable the configuration option, then
Test: atest KeyboardVisibilityControlTest
Test: atest InputMethodServiceTest
Change-Id: Ic341b066b4d2b2c516546b1778774e4e780d847b</t>
  </si>
  <si>
    <t>RESTRICT AUTOMERGE [cts] remove maxTargeSdk related Readable tests in S
There was no field using @Readable with maxTargeSdk in S branch. The
current tests only pass in master because of the newly added annotations
there.
BUG: 211711793
Test: atest android.appsecurity.cts.ReadableSettingsFieldsTest
Change-Id: Ifbcdea469c74b2dfcf9ef1c6cb0b45810c7b4f5d</t>
  </si>
  <si>
    <t>AudioPlaybackCaptureTest: Split testCaptureMatchingAllowedUsage
Split testCaptureMatchingAllowedUsage into
testCaptureMatchingAllowedUsageUnknown
testCaptureMatchingAllowedUsageGame
testCaptureMatchingAllowedUsageMedia
The max duration is ~25s.
Test: atest AudioPlaybackCaptureTest#testCaptureMatchingAllowedUsageMedia
Test: atest AudioPlaybackCaptureTest#testCaptureMatchingAllowedUsageUnknown
Test: atest AudioPlaybackCaptureTest#testCaptureMatchingAllowedUsageGame
Bug: 212194234
Change-Id: Ic166264bf619bd8742084b34c13c12b74a4ec4be</t>
  </si>
  <si>
    <t>AudioTrackTest: Split testPlayStaticData
Avoid exceeding a test duration of 30s, split testPlayStaticData into
testPlayStaticByteArray()
testPlayStaticShortArray()
testPlayStaticFloatArray()
Now each test is about 15s.
Test: atest AudioTrackTest
Test: atest AudioTrackTest#testPlayStaticByteArray
Test: atest AudioTrackTest#testPlayStaticShortArray
Test: atest AudioTrackTest#testPlayStaticFloatArray
Bug: 212168787
Change-Id: Iaa147326de172ec78ef700538cbeca1c99c9b33a</t>
  </si>
  <si>
    <t>AudioTrackTest: Split testPlayStreamData
Avoid exceeding a test duration of 30s, split testPlayStreamData into
testPlayStreamByteArray()
testPlayStreamShortArray()
testPlayStreamFloatArray()
Tweak some timing to result in 20s tests.
Test: atest AudioTrackTest#testPlayStreamByteArray
Test: atest AudioTrackTest#testPlayStreamShortArray
Test: atest AudioTrackTest#testPlayStreamFloatArray
Bug: 212171824
Change-Id: Iaece8f7f378d8da57018d2939d49d9a30d1c69c2</t>
  </si>
  <si>
    <t>VolumeShaperTest: Split testPlayerCornerCase
Split testPlayerCornerCase into testCornerCaseAudioTrack,
testCornerCaseMediaPlayerNonOffloaded, testCornerCaseMediaPlayerOffloaded.
Reduces test time to 27s each.
Test: atest VolumeShaperTest#testCornerCaseAudioTrack
Test: atest VolumeShaperTest#testCornerCaseMediaPlayerNonOffloaded
Test: atest VolumeShaperTest#testCornerCaseMediaPlayerOffloaded
Bug: 212612099
Change-Id: Ia42e7f37d1b9b5bbfc96c85a117531323c56d0ec</t>
  </si>
  <si>
    <t>CEC: Move setPowerControlMode to BaseHdmiCecCtsTest
The method was duplicated in multiple tests, move it to
BaseHdmiCecCtsTest and ensure it is used consistently in all tests.
Bug: 210798429
Test: atest CtsHdmiCecHostTestCases
Change-Id: I96f4f4f0a46370a5d581f4e34be7b5879faff2df</t>
  </si>
  <si>
    <t>Remove skipped tests and make minor style fixes
They already exist in the CTS v2 test suite, and
some formatting errors inside of some of them cause
some inconvenience when adding more tests and
running the formatter.
Bug: 201541781
Test: Check `atest MediaMuxerTest` works the same with and without this change.
Change-Id: I2c6ffda2f4955907427d921ba6d9844c455c82c5</t>
  </si>
  <si>
    <t>Cts test for small gaps PTS
If there exist PTS Gaps in AudioTrack playback, the framePosition returned
by AudioTrack#getTimestamp must not advance for any silent frames rendered
to fill the gap.
Renaming the old testTunneledAudioPTSGapsPCM to
testTunneledAudioTimestampProgressWithUnderrunPcm.
Bug: 191504968
Bug: 201278240
Test: atest android.media.cts.DecoderTest#testTunneledAudioPTSGapsHevc
Test: atest android.media.cts.DecoderTest#testTunneledAudioPTSGapsVp9
Test: atest android.media.cts.DecoderTest#testTunneledAudioPTSGapsAvc
Test: atest android.media.cts.DecoderTest#testTunneledAudioTimestampProgressWithUnderrunHevc
Test: atest android.media.cts.DecoderTest#testTunneledAudioTimestampProgressWithUnderrunVp9
Test: atest android.media.cts.DecoderTest#testTunneledAudioTimestampProgressWithUnderrunAvc
Change-Id: Ie6233d28ce4f480ab3c6757b728e238bc7f5697e
(cherry picked from commit c9168ca1af170451667da872bc6f041831841728)
Merged-In: Ie6233d28ce4f480ab3c6757b728e238bc7f5697e</t>
  </si>
  <si>
    <t>VolumeShaperTest: Split testPlayerDuck
Split into testDuckAudioTrack,
testDuckMediaPlayerNonOffloaded, testDuckMediaPlayerOffloaded.
Each test is approximately 15s.
Test: atest VolumeShaperTest#testDuckAudioTrack
Test: atest VolumeShaperTest#testDuckMediaPlayerNonOffloaded
Test: atest VolumeShaperTest#testDuckMediaPlayerOffloaded
Bug: 212193135
Change-Id: I80fc361cf1f754f96efadabec8e3ca3af6c1a19c</t>
  </si>
  <si>
    <t>VolumeShaperTest: Split testPlayerStepRamp
Split testPlayerStepRamp into testStepRampAudioTrack,
testStepRampMediaPlayerNonOffloaded, and testStepRampMediaPlayerOffloaded.
The component tests have a runtime ~20s.
Test: atest VolumeShaperTest#testStepRampAudioTrack
Test: atest VolumeShaperTest#testStepRampMediaPlayerNonOffloaded
Test: atest VolumeShaperTest#testStepRampMediaPlayerOffloaded
Bug: 212194022
Change-Id: I3cd890c983e2dcfd12c80b8adff511644f093803</t>
  </si>
  <si>
    <t>VolumeShaperTest: Split testPlayerTwoShapers
Split testPlayerTwoShapers into
testTwoShapersAudioTrack
testTwoShapersMediaPlayerNonOffloaded
testTwoShapersMediaPlayerOffloaded
Afterwards each test runs in ~12s.
Test: atest VolumeShaperTest#testTwoShapersAudioTrack
Test: atest VolumeShaperTest#testTwoShapersMediaPlayerNonOffloaded
Test: atest VolumeShaperTest#testTwoShapersMediaPlayerOffloaded
Bug: 212193133
Change-Id: Ia2b6e28d473108467f34b8cbac61eada8833398f</t>
  </si>
  <si>
    <t>Fixes some tests that call deprecated password complexity APIs.
Such APIs are ignored on automotive builds, hence the tests were
failing.
Test: atest MixedDeviceOwnerTest#testSecurityLoggingWithSingleUser \
            MixedDeviceOwnerTestApi25#testPasswordRequirementsApi \
            MixedProfileOwnerTest#testPasswordRequirementsApi \
            MixedProfileOwnerTest#testPasswordMethodsLogged \
            # on automotive and phone
Bug: 204252236
Change-Id: If0ee954b3deb27b68fa128aa4ab22a0c9b3baf27</t>
  </si>
  <si>
    <t>Rework AccessibilityEventTest to use UIAutomation instead of sleeping.
Bug: 199101293
Test: atest AccessibilityEventTest
Change-Id: I82c7fdbcdbca90ee9cdf8d625627fd68dc358a79</t>
  </si>
  <si>
    <t>Clean up CTS tests for the Communal Manager READ_COMMUNAL_STATE APIs.
These APIs are not yet used, and are obsolete now because We will no
longer be shipping SLS in T.
Test: atest FrameworksMockingServicesTests:CommunalManagerServiceTest
Bug: 206054365
Change-Id: Ia112417a375b348618d35d36c4978c46475c0090</t>
  </si>
  <si>
    <t>[cts] package setting reboot test for firstInstallTime
BUG: 209512581
Test: atest CtsPackageSettingHostTestCases
Change-Id: I1b6f9e7986399bbf351a59d18c9576539c94d88e</t>
  </si>
  <si>
    <t>Revert "RESTRICT AUTOMERGE Edit tests to assert either old or new behavior"
This reverts commit 8e6ee12a8056759fe28719fb0c335fe7320481d2.
Reason for revert: Breaking build
Bug: 213552449
Change-Id: Ie02f82b3d7789849bdccee4721f9cd71000c16d4</t>
  </si>
  <si>
    <t>Move muxer tests from NativeDecoderTest.java to CtsMediaMuxerTestCases
NativeDecoderTest.java in CtsMediaTestCases had some muxer tests and
these are now moved to CtsMediaMuxerTestCases
Bug: 191504968
Test: atest CtsMediaMuxerTestCases
Test: atest CtsMediaTestCases:NativeDecoderTest
Change-Id: Ie2f41995c8ed8709ed485f32e0691b25052d3222</t>
  </si>
  <si>
    <t>VolumeShaperTest: Split testPlayerRamp
12 paramterized subtests are created as
testRampAudioTrack[0 ... 3]
testRampMediaPlayerNonOffloaded[0 ... 3]
testRampMediaPlayerOffloaded[0 ... 3]
each about 16s long.
Test: atest VolumeShaperTest
Bug: 212194024
Change-Id: I0ed188946d7862922e73a1f433413b42bc61e6a6</t>
  </si>
  <si>
    <t>VolumeShaperTest: Split testPlayeCubicMonotonic
12 paramterized subtests are created as
testCubicMonotonicAudioTrack[0 ... 3]
testCubicMonotonicMediaPlayerNonOffloaded[0 ... 3]
testCubicMonotonicMediaPlayerOffloaded[0 ... 3]
each about 14s long.
Test: atest VolumeShaperTest
Bug: 212719987
Change-Id: I8c2ffd9566f6e2736e74fa3ea353d9463192ceb5</t>
  </si>
  <si>
    <t>Clean the sample wifi aware
- remove old examples
- update names and configs
Test: presubmit
Bug: 211047610
Change-Id: I0f9fed31a5ddc5723d697b70b8e792fb410f26fc</t>
  </si>
  <si>
    <t>Revert "Add test case for fallback line spacing"
Revert submission 16486662-fallback_line_spacing
Reason for revert: Investigate test failures on master
BugID: b/213826416
BugID: b/213829920
Reverted Changes:
I06cd7ab71:Add font extent calculation
I6214d52cd:Implement fallback line spacing for BoringLayout
Ia5825c474:Add test case for fallback line spacing
Change-Id: Iba522f1d1b02d41e032b8a1b8f251ae12a4e42ea</t>
  </si>
  <si>
    <t>Revert "Add test case for fallback line spacing"
Revert submission 16486662-fallback_line_spacing
Reason for revert: Investigate test failures on master
BugID: b/213826416
BugID: b/213829920
Reverted Changes:
I06cd7ab71:Add font extent calculation
I6214d52cd:Implement fallback line spacing for BoringLayout
Ia5825c474:Add test case for fallback line spacing
Change-Id: Iba522f1d1b02d41e032b8a1b8f251ae12a4e42ea
(cherry picked from commit ed92b5d220fe0c2f4fcd34734e073c3fe9b48be8)
Merged-In:Iba522f1d1b02d41e032b8a1b8f251ae12a4e42ea</t>
  </si>
  <si>
    <t>CTS: Move out decoder tests to a separate test case
Moved decoder tests from CtsMediaTestCases to a new CtsMediaDecoderTestCases.
Bug: 191504968
Test: atest CtsMediaDecoderTestCases
Test: atest CtsMediaTestCases
Change-Id: I8b02abec1bf16c763b5c482b51da0cff44fbf5a0</t>
  </si>
  <si>
    <t>Theme variants CTS
More restrictive tests that instead of checking if hues are similar,
loop through all possible theme styles, set them, and assert that the
generated colors are exactly the ones on the theme spec.
Test: atest SystemPaletteTest
Bug: 195969565
Change-Id: Ibd1361651bac525a662c335a1d638b6e886ce5c1</t>
  </si>
  <si>
    <t>Revert "CTS for Stylus Handwriting lifecycle"
Revert submission 16281467-stylus-handwriting-lifecycle
Reason for revert: b/213976598
Reverted Changes:
I7b066c284:Scribe in IMF: startStylusHandwriting &amp; lifecycle ...
I7d672b150:CTS for Stylus Handwriting lifecycle
Change-Id: Ice3d6319c326448d09974d263400a2f083f087ec</t>
  </si>
  <si>
    <t>Remove invalid test
Apps cannot create blocked notification groups
Bug: 209966086
Test: this
Change-Id: Ie19b2cfb4559d363632349b7779c827e0a2954cc</t>
  </si>
  <si>
    <t>Add CTS tests for Geocoder
Refactor existing tests and add tests for the new async APIs.
Bug: 213083886
Test: atest GeocoderTest
Change-Id: I935730219b44ce8dbaacb7dae74787c0cddeaf86</t>
  </si>
  <si>
    <t>ImsService Subscription Notifications
test the new APIs that have been added in the ImsService.
test older devices that are not upgrading to using the new API.
Bug: 197991451
Test: atest CtsTelephonyTestCases:ImsServiceTest
Change-Id: I0b7685e2bd170ebab7a7b6d997f18a5e90709314</t>
  </si>
  <si>
    <t>TIAF CTS: rename IApp -&gt; InteractiveApp
based on advice from API Council
API-related changes are skipped for now.
Bug: 213576905
Bug: 213577852
Test: atest android.media.tv.interactive.cts.TvInteractiveAppViewTest
Change-Id: I84405b1c5ea84c895c89ed2b8da96732501dda62</t>
  </si>
  <si>
    <t>[DO NOT MERGE] Rework AccessibilityEventTest to use UIAutomation instead of sleeping.
Bug: 199101293
Test: atest AccessibilityEventTest
Change-Id: Id3fda53f4dd17ad9029a6d8d487ad9a166f34513
(cherry picked from commit ba05217fc12909c72174fa440a18ce70eeaef992)</t>
  </si>
  <si>
    <t>Add a test to verify the impact of notification-seen impact.
Bug: 206518483
Test: atest tests/tests/app.usage/src/android/app/usage/cts/UsageStatsTest.java
Change-Id: Ic4c91b10d5211b773de9bab6c3099b9bcfbbf370</t>
  </si>
  <si>
    <t>Renamed removeUserOrSetEphemeral by removeUserWhenPossible
Bug: 199446770
Test: atest CtsMultiUserHostTestCases
Change-Id: I607655f4eb43d96fb3c51308dec9d378a7b5f7c9</t>
  </si>
  <si>
    <t>Update WindowUntrustedTouchTest
.. to work with touch opaque activites.
Test: atest CtsWindowManagerDeviceTestCases:WindowUntrustedTouchTest
Bug: 194480991
Bug: 213305140
Change-Id: I889014b4dd271c105a157b00395ed492b3da3fe6</t>
  </si>
  <si>
    <t>SpatializerTest: more tests for SystemApi
Add tests for the SystemApi methods in Spatializer:
getCompatibleAudioDevices()
addCompatibleAudioDevice(android.media.AudioDeviceAttributes)
removeCompatibleAudioDevice(android.media.AudioDeviceAttributes)
addOnHeadTrackingModeChangedListener(...)
removeOnHeadTrackingModeChangedListener(...)
setDesiredHeadTrackingMode(int)
getDesiredHeadTrackingMode()
getHeadTrackingMode()
getSupportedHeadTrackingModes()
getOutput()
clearOnSpatializerOutputChangedListener()
setOnSpatializerOutputChangedListener(...)
recenterHeadTracker()
setGlobalTransform(float[])
clearOnHeadToSoundstagePoseUpdatedListener()
setOnHeadToSoundstagePoseUpdatedListener(...)
getEffectParameter(int, byte[])
setEffectParameter(int, byte[])
Fixed implementation of listeners for proper use of
LinkedBlockingQueue to check on callbacks.
Bug: 203822479
Test: atest SpatializerTest
Change-Id: Id3199c7d0423af87c1bf82259cf7b430e42aed91</t>
  </si>
  <si>
    <t>DecoderImageReaderTest: Simplify accessing input files
Simplify input access by passing file path to setDataSource.
Bug: 212603321
Test: atest CtsMediaDecoderTestCases:ImageReaderDecoderTest
Change-Id: I455fbbaac07dc2ce7b046ce48122e169b3af2307</t>
  </si>
  <si>
    <t>Migrate DecoderImageReader tests to JUnit4
Bug: 212603321
Test: atest CtsMediaDecoderTestCases:ImageReaderDecoderTest
Change-Id: Ieffcaeeab1dd73c4722b3435efa368dc27756775</t>
  </si>
  <si>
    <t>Parameterize ImageReaderDecoderTest
Tests in ImageReaderDecoderTest are now Parameterized
Bug: 212603321
Test: atest CtsMediaDecoderTestCases:ImageReaderDecoderTest
Change-Id: I99f45884f86ec7cc245873c1223a70e090d82786</t>
  </si>
  <si>
    <t>MBSTest: Use MediaBrowser in the thread that created it
Bug: 215230968
Bug: 166529686
Test: atest MediaBrowserServiceTest --rerun-until-failure
Merged-In: Ibd2602c2ca5dde36b0fa404b83241526ecde7c92
Change-Id: Ibd2602c2ca5dde36b0fa404b83241526ecde7c92
(cherry picked from commit 9d6afd8a9d308b33f531a8930896f0a7bb56d32c)</t>
  </si>
  <si>
    <t>Delete empty test class
Bug: 215230968
Bug: 194655325
Merged-In: Ifefbee7faa37c7b6f4c888b8cf803eadc5623528
Change-Id: Ifefbee7faa37c7b6f4c888b8cf803eadc5623528
Test: N/A.
(cherry picked from commit 1d080b644c5937e431e97b9087a7315a5a922c31)</t>
  </si>
  <si>
    <t>Remove skipped tests and make minor style fixes
They already exist in the CTS v2 test suite, and
some formatting errors inside of some of them cause
some inconvenience when adding more tests and
running the formatter.
Bug: 215230968
Bug: 201541781
Test: Check `atest MediaMuxerTest` works the same with and without this change.
Merged-In: I2c6ffda2f4955907427d921ba6d9844c455c82c5
Change-Id: I2c6ffda2f4955907427d921ba6d9844c455c82c5
(cherry picked from commit a73789cc495c978e489ae83b0c34238cdbb1311c)</t>
  </si>
  <si>
    <t>Revert "CTS for Java Choreographer frame timeline API."
Revert submission 16569180-javachoreo
Reason for revert: Droidfood blocking bug: 215299245
Reverted Changes:
I822782874:Implement Java Choreographer multi frame timeline....
I80eb378e6:Use FrameData for Choreographer upgrade.
I561845761:CTS for Java Choreographer frame timeline API.
Change-Id: Ied09fc028a325c5ea2527f5896f26ec301eb5cac
(cherry picked from commit 662d794726a4d5eca57437c040d24fe029bf3524)
Merged-In:Ied09fc028a325c5ea2527f5896f26ec301eb5cac</t>
  </si>
  <si>
    <t>Revert "Update WindowUntrustedTouchTest"
Revert submission 16532816-activity-touch-opaque-on
Reason for revert: This commit caused build break, please refer to b/215427711
Reverted Changes:
I7b709ebfd:ENABLE_TOUCH_OPAQUE_ACTIVITIES to default enabled
I889014b4d:Update WindowUntrustedTouchTest
Change-Id: I5c65fa593555c51cedd43cbf6f3320700b213ef4</t>
  </si>
  <si>
    <t>Update WindowUntrustedTouchTest
.. to work with touch opaque activites.
Test: atest CtsWindowManagerDeviceTestCases:WindowUntrustedTouchTest
Bug: 194480991
Bug: 213305140
Bug: 215427711
Change-Id: I341cd0304d2df7f26e2e954cad570ef66dc95f88</t>
  </si>
  <si>
    <t>Changes tests in line with configurable constants related to cache
Bug: 214343564, 211162633
Test: atest installd_cache_test, atest StorageManagerBaseTest, atest
StorageManagerTest#testComputeStorageCacheBytes, atest StorageHostTest#testCache
Change-Id: Iec6a4a23e650306cf1e49f92c1350513f32263e2</t>
  </si>
  <si>
    <t>Addition of CTS test related to Media Content Provider Redirection
New host-side CTS test related to Media Content Provider Redirection has been added as a part of this CL. This newly added CTS test ensures the cross user media access along with adding media files in shared storage using MediaStore API. Clone user profile is meant to exist only alongside a real system user. It does not exist for a headless system user, or a secondary user. So, MODULE_NOT_SECONDARY_USER_REASON=app cloning not supported on secondary user
Bug: 205817813
Test: atest CtsAppCloningHostTest
Change-Id: I0a6bbd80f1af798eb2232ad7702ac59585b22779</t>
  </si>
  <si>
    <t>Remove invalid test
Apps cannot create blocked notification groups
Bug: 209966086
Test: this
Change-Id: Ie19b2cfb4559d363632349b7779c827e0a2954cc
Merged-In: Ie19b2cfb4559d363632349b7779c827e0a2954cc</t>
  </si>
  <si>
    <t>Added more CTS test for Slogf
Bug: 194752964
Test: atest CtsCarBuiltinApiTestCases:android.car.cts.builtin.util.SlogfTest
Change-Id: I9eed7603db5020f82267470e2856f275d0d8fa76</t>
  </si>
  <si>
    <t>CTS: bindServiceAsUser with INTERACT if same app
ag/16561796 relaxed the requirements for bindServiceAsUser.
We now additionally allow:
* caller has INTERACT_ACROSS_USERS and is the same app as the service
(regardless of whether it is in the same profile group)
So the CTS test is updated accordingly.
Bug: 209989958
Fixes: 215392365
Test: atest ContextCrossProfileHostTest
Change-Id: I6a63ea1ec853fe375bb92adb5c068a07b6ffe6de</t>
  </si>
  <si>
    <t>Revert "uwb(cts): Add tests for coverage missing APIs"
This reverts commit 4b44c94295770b4898e61b320aaaf092ecdd3ab2.
Reason for revert: Breaking testCallbacks_OnlyWhenOpened test
BUG: 215630519
Change-Id: Ic800233a91e5ca91f434c596fb8f212aa40197d0</t>
  </si>
  <si>
    <t>Rename selfRevokePermissions to revokeOwnPermissionsOnKill
Bug: 215555831
Bug: 210575642
Bug: 210387494
Test: atest android.permission.cts.RevokeOwnPermissionTest
Change-Id: I7641618c56cf40795e976c98e9143cdb02c153a9</t>
  </si>
  <si>
    <t>Update CTS tests for instant self-revocation on app kill
Test: atest android.permission.cts.RevokeOwnPermissionTest
Bug: 210387494
Change-Id: Ib24c1606045591d13e82543f97bcf15a4b108555</t>
  </si>
  <si>
    <t>Create more ImageWriter cts tests and fix some image format issues.
- involve more tests to test default values.
- fix some image format using due to some virtual device unsupportness.
Bug: 215717202
Test: this
Change-Id: I1181e2a0a2317252984c70e2b2931fae4c5beb55</t>
  </si>
  <si>
    <t>TIAF CTS: cleanup APIs of setup session use case
Sequence diagram of the use case:
https://screenshot.googleplex.com/4qAsMgdCD6itwWj.png
Bug: 208651889
Test: make CtsTvTestCases
Change-Id: I9f9136a9aa154e29104dd0fa40ed61c18ca77b21</t>
  </si>
  <si>
    <t>Added all CTS for EventLogHelper
Bug: 202769950
Test: atest CtsCarBuiltinApiTestCases:android.car.cts.builtin.util.EventLogHelperTest
Change-Id: I50f05187903d63281ba166dcf91a3c85e5610032</t>
  </si>
  <si>
    <t>CtsMedia: Remove skipped extractor tests
These already exist in the CTS v2 test suite and were currently being
skipped with SKIP_ prefix or with @Ignore
Removed ringer.mp3 from assets folder as it was only
used in the skipped tests which are now removed in this CL.
Bug: 215779159
Test: Check 'atest CtsMediaTestCases:NativeDecoderTest' and
 'atest CtsMediaExtractorTestCases' work the same  with and
 without this change
Change-Id: Ibcf1d29da0e5f5d84fc9f02418b03eba36594579</t>
  </si>
  <si>
    <t>WebView: Remove the testForceDark_rendersDark
Remove the test for deprecated API setForceDark(), otherwise it
will be failed once WebView that deprecates the API drop to
Android T.
We have the same or similar test in androix and chromium.
Test: CTS
Bug: 214742132
Change-Id: I85d636ad006c5e33291f70b726a61b6d8977d0fc</t>
  </si>
  <si>
    <t>TIAF CTS: test cases of setup session use case
Bug: 208651889
Test: atest android.media.tv.interactive.cts.TvInteractiveAppServiceTe
Change-Id: Ic2cfeb717d6bbc414e26e1437455cf9f024a7d2f</t>
  </si>
  <si>
    <t>Run BytesTransferredTest only for combined subType disabled.
From aosp/1937445, the feature switch is removed. Hence, there
is no need to test enabled case.
Bug: 215653742
Test: android.cts.statsdatom.net.BytesTransferredTest
Change-Id: I5c439f1dcb6338ff1f5d7939fcb295ac94f164b4</t>
  </si>
  <si>
    <t>Add test for ACTION_OPEN_DOCUMENT intent which calls into
MediaDocumentsProvider
Tests in this CL verifies the write ability of URIs with
MediaDocumentsProvider authority. Added a test for negative case where
a URI without grants tries to invoke openDocument(). Had to update
the id i the URI for the same as URI grants can be only revoked by the
authority in this case.
Test: atest MediaStoreUiTest
Bug: 16467657
Change-Id: I2033141f6334276decde55e368cd7de70066ce03</t>
  </si>
  <si>
    <t>Introduce CTS for Vibrator frequency APIs
Add tests to ensure that devices with frequency control will return
non-empty frequency profiles with valid values for output acceleration
and supported frequencies.
Also introduce coverage tests to the new resonant frequency and Q-factor
APIs.
Bug: 211750173
Test: VibratorTest
Change-Id: Id65d5723473201b4b92aec812cbbd45c77a84631</t>
  </si>
  <si>
    <t>Split NotificationManagerTest
Extract bubbles related tests from NotificationManagerTest to its own
test class: NotificationManagerBubbleTest.
Extracted common logic between notification tests and bubbles tests to a
abstract parent class: BaseNotificationManagerTest.
Only moving tests around in this CL. No logic changes.
Bug: 181173177
Test: atest NotificationManagerTest NotificationManagerBubbleTest
Change-Id: I04094a88c8c10c4e89373200e4a8a484bcb23f06</t>
  </si>
  <si>
    <t>Remove @hide WifiSsid methods from CTS tests
WifiSsid methods that have been moved from public -&gt; @hide should be
removed from the CTS tests.
Bug: 213467530
Test: atest ScanResultTest WifiManagerTest WifiSsidTest
Change-Id: I4beb481573fc77bc9f708e74067f684f4b64d683</t>
  </si>
  <si>
    <t>uwb(cts): Add separate cb for uci resp &amp; notifications
Bug: 210933436
Test: atest CtsUwbTestCases
Change-Id: If613ee2675b50be46dbc827d56f82cc2d5de3582</t>
  </si>
  <si>
    <t>Add CTS tests for WaveformBuilder
Add tests for VibrationEffect created with the WaveformBuilder APIs and
also introduce Vibrator/VibratorManager tests for playing effects with
frequency changes.
Bug: 211750173
Test: VibrationEffectTest
Change-Id: I6b82bb27aba68bcc080389061190d9a1228b7bdb</t>
  </si>
  <si>
    <t>Delete PackageIncidentTest
Bug: 209994870
Bug: 215462556
Test: TH
Change-Id: I535b374f33d5286613066c3503c060ac7088b7b3
Merged-In: I535b374f33d5286613066c3503c060ac7088b7b3</t>
  </si>
  <si>
    <t>Remove dead code (11/n)
No need to wait for sessions to become READY or FAILED
anymore as the intent is sent after verification completes.
Bug: 210359798
Test: atest CtsAppEnumerationTestCases \
            CtsRollbackManagerHostTestCases \
	    CtsStagedInstallHostTestCases
Change-Id: I7ebf0ea6b65006a57cae83337077669a0fb8b8f2</t>
  </si>
  <si>
    <t>ImsService Subscription Notifications
test the new APIs that have been added in the ImsService.
test older devices that are not upgrading to using the new API.
Bug: 197991451
Test: atest CtsTelephonyTestCases:ImsServiceTest
Change-Id: I0b7685e2bd170ebab7a7b6d997f18a5e90709314
Merged-In: I0b7685e2bd170ebab7a7b6d997f18a5e90709314</t>
  </si>
  <si>
    <t>Revert "Camera: Collect MPC test results in CTS and ITS"
This reverts commit 92a6dcbe81c496a5f16854f8ab2d949155fbddb4.
Reason for revert: Broken build downstream
Bug: 216398918
Change-Id: Ie0187c3759fee88b879cc02a9696040ab7e88069
Merged-In: I4b634769aa6744e9fe7efc0cb20f8d0c2a39e926</t>
  </si>
  <si>
    <t>Remove outdated ringtone tests and parameterize remaining ones.
Test: atest CtsDevicePolicyTestCases
Fixes: 206732342
Change-Id: I520a16c620b53e2df750c5ac07fcbec8f6ecd14d</t>
  </si>
  <si>
    <t>Rename CTS getSsidsAllowlist
Update CTS to use the renamed API surface.
Bug: 216294720
Test: atest WifiManagerTest#testGetAndSetSsidsAllowlist
Change-Id: I7c4dbbf95d3700378c6b5781fa27211acbc45b20</t>
  </si>
  <si>
    <t>CTS tests for getChipIds-&gt;getChipInfos change
Test: atest CtsUwbTestCases
Bug: 215395362
Change-Id: Id76b238119faaaef96343ee5e19a00ec6bb2b08a</t>
  </si>
  <si>
    <t>VolumeShaperTest: Split testPlayerDuck
Split into testDuckAudioTrack,
testDuckMediaPlayerNonOffloaded, testDuckMediaPlayerOffloaded.
Each test is approximately 15s.
Test: atest VolumeShaperTest#testDuckAudioTrack
Test: atest VolumeShaperTest#testDuckMediaPlayerNonOffloaded
Test: atest VolumeShaperTest#testDuckMediaPlayerOffloaded
Bug: 212193135
Merged-In: I80fc361cf1f754f96efadabec8e3ca3af6c1a19c
Change-Id: I80fc361cf1f754f96efadabec8e3ca3af6c1a19c</t>
  </si>
  <si>
    <t>VolumeShaperTest: Split testPlayerStepRamp
Split testPlayerStepRamp into testStepRampAudioTrack,
testStepRampMediaPlayerNonOffloaded, and testStepRampMediaPlayerOffloaded.
The component tests have a runtime ~20s.
Test: atest VolumeShaperTest#testStepRampAudioTrack
Test: atest VolumeShaperTest#testStepRampMediaPlayerNonOffloaded
Test: atest VolumeShaperTest#testStepRampMediaPlayerOffloaded
Bug: 212194022
Merged-In: I3cd890c983e2dcfd12c80b8adff511644f093803
Change-Id: I3cd890c983e2dcfd12c80b8adff511644f093803</t>
  </si>
  <si>
    <t>VolumeShaperTest: Split testPlayerTwoShapers
Split testPlayerTwoShapers into
testTwoShapersAudioTrack
testTwoShapersMediaPlayerNonOffloaded
testTwoShapersMediaPlayerOffloaded
Afterwards each test runs in ~12s.
Test: atest VolumeShaperTest#testTwoShapersAudioTrack
Test: atest VolumeShaperTest#testTwoShapersMediaPlayerNonOffloaded
Test: atest VolumeShaperTest#testTwoShapersMediaPlayerOffloaded
Bug: 212193133
Merged-In: Ia2b6e28d473108467f34b8cbac61eada8833398f
Change-Id: Ia2b6e28d473108467f34b8cbac61eada8833398f</t>
  </si>
  <si>
    <t>VolumeShaperTest: Split testPlayerCornerCase
Split testPlayerCornerCase into testCornerCaseAudioTrack,
testCornerCaseMediaPlayerNonOffloaded, testCornerCaseMediaPlayerOffloaded.
Reduces test time to 27s each.
Test: atest VolumeShaperTest#testCornerCaseAudioTrack
Test: atest VolumeShaperTest#testCornerCaseMediaPlayerNonOffloaded
Test: atest VolumeShaperTest#testCornerCaseMediaPlayerOffloaded
Bug: 212612099
Merged-In: Ia42e7f37d1b9b5bbfc96c85a117531323c56d0ec
Change-Id: Ia42e7f37d1b9b5bbfc96c85a117531323c56d0ec</t>
  </si>
  <si>
    <t>VolumeShaperTest: Split testPlayerRamp
12 paramterized subtests are created as
testRampAudioTrack[0 ... 3]
testRampMediaPlayerNonOffloaded[0 ... 3]
testRampMediaPlayerOffloaded[0 ... 3]
each about 16s long.
Test: atest VolumeShaperTest
Bug: 212194024
Merged-In: I0ed188946d7862922e73a1f433413b42bc61e6a6
Change-Id: I0ed188946d7862922e73a1f433413b42bc61e6a6</t>
  </si>
  <si>
    <t>VolumeShaperTest: Split testPlayeCubicMonotonic
12 paramterized subtests are created as
testCubicMonotonicAudioTrack[0 ... 3]
testCubicMonotonicMediaPlayerNonOffloaded[0 ... 3]
testCubicMonotonicMediaPlayerOffloaded[0 ... 3]
each about 14s long.
Test: atest VolumeShaperTest
Bug: 212719987
Merged-In: I8c2ffd9566f6e2736e74fa3ea353d9463192ceb5
Change-Id: I8c2ffd9566f6e2736e74fa3ea353d9463192ceb5</t>
  </si>
  <si>
    <t>Add CTS tests for broadcast response stats APIs.
Bug: 206518114
Test: atest tests/tests/app.usage/src/android/app/usage/cts/UsageStatsTest.java
Change-Id: If3b3b1cb8ba5362a65471afe379ba9a40779a8dd</t>
  </si>
  <si>
    <t>Add CTS test for preview video controls
Bug: 201505595
Test: atest
android.photopicker.cts.PhotoPickerTest#testMultiSelect_PreviewVideoPlayPause
Test: atest
android.photopicker.cts.PhotoPickerTest#testMultiSelect_PreviewVideoControlsVisibility
Change-Id: Ib0964867a7c9ac175880f6c5effeae894768603d</t>
  </si>
  <si>
    <t>Migrate Nearby policy to bedstead infra
Migrate NearbyAppStreamingPolicy and NearbyNotificationStreamingPolicy
to bedstead infrastructure.
Bug: 184175078
Test: atest android.devicepolicy.cts.NearbyAppStreamingPolicyTest and atest android.devicepolicy.cts.NearbyNotificationStreamingPolicyTest
Change-Id: I212df90b1edcad52d75d7723929282fbeddc3339</t>
  </si>
  <si>
    <t>Add classes to Dynamic STS
* SecurityTestCase
* StagefrightTest
Bug: 196257818
Test: Verify tests get skipped as expected under Incremental
Test: Verify no Business Logic or Dynamic STS exceptions
Test: run sts-dynamic-incremental -m CtsSecurityTestCases -t android.security.cts.StagefrightTest
Test: run sts-dynamic-incremental-user -m CtsSecurityTestCases -t android.security.cts.StagefrightTest
Test: run sts-dynamic-full -m CtsSecurityTestCases -t android.security.cts.StagefrightTest
Test: run sts-dynamic-full-user -m CtsSecurityTestCases -t android.security.cts.StagefrightTest
Test: run sts-dynamic-incremental -m CtsSecurityBulletinHostTestCases
Test: run sts-dynamic-incremental-user -m CtsSecurityBulletinHostTestCases
Test: run sts-dynamic-full -m CtsSecurityBulletinHostTestCases
Test: run sts-dynamic-full-user -m CtsSecurityBulletinHostTestCases
Change-Id: I08f37dde327c56b820b113662f0170dfe460e5b7
Merged-In: I08f37dde327c56b820b113662f0170dfe460e5b7</t>
  </si>
  <si>
    <t>ImageReaderDecoderTest: Restructured to handle 10 bit decode tests
This CL doesn't yet enable 10 bit decode tests, but instead restructures
the code to enable that and has some fixes necessary.
10 bit decode tests will be added in subsequent CL
- Updated exception handling code such that decoders that do not
  support 10 bit decode are skipped with an assumption failure.
  Earlier the test was catching Throwables and throwing a
  RuntimeException. Such an approach will prevent assumeTrue()
  calls to work as intended.
  Hence try {} catch {} block during decode() is simplified.
- Fixed computing bytesPerPixel and in copying P010 output
- Fixed a typo when reading P010 data in getRawData()
- Updated expected colors for P010
- Added clips for testing av1 decoders for bit depth 8
Bug: 210275761
Test: atest CtsMediaDecoderTestCases:ImageReaderDecoderTest
Change-Id: I42e48410f4f8a6018ede29da4d6a341f15578188</t>
  </si>
  <si>
    <t>Add classes to Dynamic STS
* SecurityTestCase
* StagefrightTest
Bug: 196257818
Bug: 216654603
Test: Verify tests get skipped as expected under Incremental
Test: Verify no Business Logic or Dynamic STS exceptions
Test: run sts-dynamic-incremental -m CtsSecurityTestCases -t android.security.cts.StagefrightTest
Test: run sts-dynamic-incremental-user -m CtsSecurityTestCases -t android.security.cts.StagefrightTest
Test: run sts-dynamic-full -m CtsSecurityTestCases -t android.security.cts.StagefrightTest
Test: run sts-dynamic-full-user -m CtsSecurityTestCases -t android.security.cts.StagefrightTest
Test: run sts-dynamic-incremental -m CtsSecurityBulletinHostTestCases
Test: run sts-dynamic-incremental-user -m CtsSecurityBulletinHostTestCases
Test: run sts-dynamic-full -m CtsSecurityBulletinHostTestCases
Test: run sts-dynamic-full-user -m CtsSecurityBulletinHostTestCases
Change-Id: I08f37dde327c56b820b113662f0170dfe460e5b7
Merged-In: I08f37dde327c56b820b113662f0170dfe460e5b7
(cherry picked from commit ea1e08eb05911dd8df6f0e4b528f870b5a9667ac)</t>
  </si>
  <si>
    <t>BT: Update HAP profile test with new APIs
Bug: 150670922
Test: run cts test
Change-Id: I75d43148977caa9ae2c8f8bf1d0ee2a800347b8a</t>
  </si>
  <si>
    <t>Update TextViewIntegrationTest to accommodate new toolbar architecture.
The toolbar may now be rendered by a different app than the host app.
See ag/16658303 and related CLs.
The test now uses UiDevice, and not Espresso, to find the toolbar.
Note that finding the toolbar item is sufficient to replicate this test.
This test passes for both local or system toolbars.
Other core tests relating to the toolbar will also be modified in
upcoming CLs.
Bug: 190031097
Test: atest tests/tests/textclassifier/src/android/view/textclassifier/cts/TextViewIntegrationTest.java
Change-Id: I91befb0dbf8936e0a12f0fd2f01ddebb81137066</t>
  </si>
  <si>
    <t>[CTS] Add test for AwareResource broadcast
Bug: 197468821
Test: cts SingleDeviceTest
Change-Id: I92dbe9de4bb4175e2bc714c930fc8b29e0c19eba</t>
  </si>
  <si>
    <t>Add @Ignore for FaultyTvInputService related tests
To avoid the crash and unblock other tests
Bug: 216866512
Test: CtsTvTestCases
Change-Id: I1eb8deda82cf766904b00b81de825bbd950ad4c8</t>
  </si>
  <si>
    <t>Add test for ACTION_OPEN_DOCUMENT intent which calls into
MediaDocumentsProvider
Tests in this CL verifies the write ability of URIs with
MediaDocumentsProvider authority. Added a test for negative case where
a URI without grants tries to invoke openDocument(). Had to update
the id i the URI for the same as URI grants can be only revoked by the
authority in this case.
Test: atest MediaStoreUiTest
Bug: 174172234
Change-Id: I2033141f6334276decde55e368cd7de70066ce03</t>
  </si>
  <si>
    <t>Refactor UID migration test to Kotlin
Refactoring Java to Kotlin in preparation for future tests. A lot of
functionality in Kotlin's stdlib could be used in those scenarios.
Test: atest SharedUserMigrationTest
Change-Id: I5f2e430f5fc794fc5ac09578288ac3f823a7f9f7</t>
  </si>
  <si>
    <t>Add CTS Tests to cover all NewUserRequest.Builder properties.
Bug: 217110600
Test: atest NewUserRequestTest
Change-Id: I3bb13dda0c3793d316bd3335a3fd1beb857a93fa</t>
  </si>
  <si>
    <t>Set two apps to contribute I/O for one shared userId in CTS hostside.
Update CarWatchdog hostside CTS test for the shared userId packages
such that two apps with the same UID contribute simultaneously to
the UID's disk I/O overuse. CarService must kill and disable both
the apps and upload the merged I/O overuse metrics for the UID.
Test: atest CarWatchdogHostTest
Bug: 202293030
Change-Id: I6618b58be1f705d753210e7105a0b92a12fe3131</t>
  </si>
  <si>
    <t>Change callback names
Bug: 210689770
Test: cts SingleDeviceTest
Change-Id: I9a0cc81a1a9954a4ce5aa9f020947dd513aba6c7</t>
  </si>
  <si>
    <t>Move NetworkUsageStatsTest to networking CTS tests.
NetworkUsageStatsTest is the CTS test for the NetworkStatsManager
public APIs. NetworkStatsManager is being mainlined in T, so move
this test to networking CTS tests, where it will be run in
presubmit on every supported Android version, and can access
hidden networking APIs.
Bug: 204830222
Test: atest CtsNetTestCases:NetworkStatsManagerTest
Change-Id: Ie0fd267aa8bf94594fcc939a8493bef8ab14d3fe</t>
  </si>
  <si>
    <t>Make CTS more robust to power state changes
In CTS, many tests cause power state changes in the DUT. Before this
change, the test was checking for the desired power state either
immediately, or after a fixed time-out. We were seeing test failures
caused by the desired power state changes not being achieved yet, and
the fixed time-out was adding an unnecessary delay. The current change
- Periodically checks if the desired power state has been changed
- removes some of the fixed time-outs that are no longer necessary.
Additionally, this change
- works around an issue where the CEC adapter can't send messages to a
  device that had just become available
- in the TV power toggle tests, makes sure that the device doesn't go to
  sleep when it is no longer the active source, so that we can test the
  TV power toggle when the device is awake but not active source.
Test: atest
Bug: 216641005
Bug: 203641180
Change-Id: Iabef261db1a167b6fd0cf54077c548561750e247</t>
  </si>
  <si>
    <t>Remove CTS tests checking that &lt;Set Menu Language&gt; is ignored
isLanguageEditable should use CEC Settings cmdline api.
Test: atest HdmiCecSystemInformationTest
Bug: 190810909
Change-Id: I3015c3ef11858a0da171b8a73cbd8474f7cf66aa</t>
  </si>
  <si>
    <t>Update Cts for OnBackDispatcherTest
Remove the test related to View.getOnBackDispatcher
Update to use ActicityScenarioRule
cts for: ag/I01528a22ea4a6583a56ade4eab69136d727855d0
Test: atest FrameworksCoreTests:BackNavigationTest
Bug: 131727607
Change-Id: I2247667d47a9af7c8723b5a142aae03ab6bd44d3</t>
  </si>
  <si>
    <t>TIAF CTS: add test cases for BroadcastInfo subclasses
Bug: 216872580
Test: atest android.media.tv.interactive.cts.TvInteractiveAppServiceTest#testTsRequest
Test: atest android.media.tv.interactive.cts.TvInteractiveAppServiceTest#testTsResponse
Change-Id: Ia11937556ff1258e3dd62cbd69257deec87e93a2</t>
  </si>
  <si>
    <t>Added more CTS test for UserManagerHelper
Bug: 204193196
Test: atest CtsCarBuiltinApiTestCases:android.car.cts.builtin.os.UserManagerHelperTest
Change-Id: I56d76a2ed64b583b60d2d0f46baa7922df341c66</t>
  </si>
  <si>
    <t>Migrate all CrossProfileAppsHostSideTests.
Test: atest CtsDevicePolicyTestCases
Test: atest NeneTest
Test: atest EventLibTest
Fixes: 203758521
Fixes: 216590338
Change-Id: I1d7dd4713c2d247d3bbda8f35ff5c3e23e213fc3</t>
  </si>
  <si>
    <t>Revert "Temporarily turn off certain tests when fuse-bpf is enabled"
This reverts commit 36ebe8a2852779afe05aad0b498d6e92faff9ca5.
Reason for revert: Failing behavior fixed
Bug: 215212818
Test: atest android.appsecurity.cts.ExternalStorageHostTest same
Change-Id: I247c19e93d5b06a23badeed14f0aea1398c961b7</t>
  </si>
  <si>
    <t>Fixes ActivityDumpTest after changes on Activity for "legacy" cases.
Bug: 149254050
Test: atest CtsAppTestCases:android.app.cts.ActivityDumpTest
Change-Id: I2f0565c6a463374647cee0a0d4561e1a42855907</t>
  </si>
  <si>
    <t>BT: Update HAP profile test with new APIs
Bug: 150670922
Test: run cts test
Change-Id: I75d43148977caa9ae2c8f8bf1d0ee2a800347b8a
Merged-In: I75d43148977caa9ae2c8f8bf1d0ee2a800347b8a
(cherry picked from commit 3588aa80da491ff2ab097421e43f9802e97b139e)</t>
  </si>
  <si>
    <t>CTS test for isCredentialSharedWithParent
Add test for UserManager#isCredentialSharedWithParent
Bug: 214355283
Test: atest android.multiuser.cts.UserManagerTest
Change-Id: I38c49119efe8b777e8240c6f8d87c7cb4ec6ff76</t>
  </si>
  <si>
    <t>Migrate CrossProfileAppsPermissionHostSideTest
Test: atest CrossProfileAppsTest
Bug: 216590338
Change-Id: I2768fcdb388da4322d1ec6d0f442f40a72fda708</t>
  </si>
  <si>
    <t>Add tests for Preview Mute button
Bug: 201505775
Test: atest
android.photopicker.cts.PhotoPickerTest#testMultiSelect_PreviewVideoMuteButton
Test: atest
android.photopicker.cts.PhotoPickerTest#testMultiSelect_PreviewVideoControlsVisibility
Change-Id: Ib3f241bcb8e7618d2c22e87ff1770c71673e1271</t>
  </si>
  <si>
    <t>Update self-revocation CTS tests for per-permission revocation
Test: atest android.permission.cts.RevokeOwnPermissionTest
Bug: 210387494
Change-Id: I8490d3bab0933ac5d137e524c7aa799a3c12d1f1</t>
  </si>
  <si>
    <t>Add more VDM tests to increase coverage
Add tests for the getters in VirtualDeviceParams, and activityListener
related APIs.
Fixes: 204606917
Test: atest CtsVirtualDevicesTestCases
Change-Id: I9548d42a7e81c3921b26f79a4ba7725aa13d81bf</t>
  </si>
  <si>
    <t>Add @UserTest and @CrossUserTest to parameterize.
Test: atest CtsDevicePolicyTestCases
Bug: 216590338
Change-Id: I4aa01dc38495065e6adb9e84848e3bef23905182</t>
  </si>
  <si>
    <t>Added CTS tests for CarServiceHelperService
Bug: 210874444
Test: atest CtsCarTestCases
Change-Id: I56742d6d5a24b3ab8a50917b62886df8cbf2b556</t>
  </si>
  <si>
    <t>Test Passpoint subscription expiration APIs
Add tests to verify the correct behavior of
PasspointConfiguration#getSubscriptionExpirationTimeMillis and
PasspointConfiguration#setSubscriptionExpirationTimeMillis()
Bug: 217818996
Test: atest WifiHotspot2Test
Change-Id: I7939bf95b9663cfccfc65970a0c5d77be8f15c59</t>
  </si>
  <si>
    <t>Add CTS tests for GameSession start activity APIs
Also fix an issue where the test GameService doesn't
have the MANAGE_GAME_ACTIVITY permission, causing
game session creation to fail. This requires making
the GameService part of the same app as the test
cases so that it can leverage adopting shell
permissions.
Bug: 217911379
Bug: 206128693
Test: atest CtsGameServiceTestCases
Change-Id: I974ebf33eecee4b7aa8ffb5d36427b22199c797b</t>
  </si>
  <si>
    <t>Revert "speech: Allow long speech sessions"
Revert submission 16691164-os-long-form
Reason for revert: Breaking OnDeviceRecognitionServiceTest
BUG:218303318
Reverted Changes:
I348fbcd70:speech: Allow long speech sessions
I62adfa7ac:speech: Allow long speech sessions
Change-Id: I96ba4d4cd8d7fa3ec0394bb823e3854ef5d078e5</t>
  </si>
  <si>
    <t>Revert "Add cts tests for new cross device calling api"
Revert submission 16308056-cross-api
Reason for revert: Don't want to launch this in T now
Reverted Changes:
I731226c0b:Add cts tests for new cross device calling api
I1a3aa6c1a:Add API for cross device calling.
I40f78925b:Implement new TelecomManager API for cross device ...
Change-Id: I812e3374d4fc98b8c45ab2dbba7c5a964669fab6</t>
  </si>
  <si>
    <t>Add carrier privileges cases in CarrierServiceTest
With CarrierPrivilegesUtil introduced in CTS common lib,
CarrierServiceTest can cover the cases with carrier privileges.
Bug: 215436158
Test: atest android.telephony.cts.CarrierServiceTest
Change-Id: I4d7c2d9af326985ebfe16d54fff24b722d5c71a1</t>
  </si>
  <si>
    <t>Make CTS more robust to power state changes
In CTS, many tests cause power state changes in the DUT. Before this
change, the test was checking for the desired power state either
immediately, or after a fixed time-out. We were seeing test failures
caused by the desired power state changes not being achieved yet, and
the fixed time-out was adding an unnecessary delay. The current change
- Periodically checks if the desired power state has been changed
- removes some of the fixed time-outs that are no longer necessary.
Additionally, this change
- works around an issue where the CEC adapter can't send messages to a
  device that had just become available
- in the TV power toggle tests, makes sure that the device doesn't go to
  sleep when it is no longer the active source, so that we can test the
  TV power toggle when the device is awake but not active source.
Test: atest
Bug: 216641005
Bug: 203641180
Change-Id: Iabef261db1a167b6fd0cf54077c548561750e247
Merged-In: Iabef261db1a167b6fd0cf54077c548561750e247
(cherry picked from commit e1f077fb34dff46593bbe33d348d6d89481a87a8)</t>
  </si>
  <si>
    <t>Add coverage for bluetooth API
Bug: 217352944
Test: atest 'CtsBluetoothTestCases:android.bluetooth.cts.BluetoothAdapterTest'
Test: atest CtsBluetoothTestCases
Tag: #refactor
Change-Id: I23acad1ca7e3833bff0d98ebc7057ac14756be45</t>
  </si>
  <si>
    <t>Move DynamicConfig handling into AbstractApiTest
This change dedups a lot of the DynamicConfig handling code, moving the
logic into the AbstractApiTest and cleaning up the unnecessary build
modules and classes.
Bug: 209607558
Test: cts/tests/signature/runSignatureTests.sh
Change-Id: I86381edf76b79803592b6703091a80d6aae92510</t>
  </si>
  <si>
    <t>Updated test cases name (test_isadbWifi)
* test_isadbWifiSupported =&gt; test_isadbNetworkSupported
* test_isadbWifiQrSupported =&gt; test_isadbNeworkQrSupported
Bug: b/217971269
Change-Id: I4ac9ea789d06c46fbc1bf37b3560bb746c356986</t>
  </si>
  <si>
    <t>BT: Remove HAP CTS tests that use non system APIs
Bug: 218403147
Fixes: 218403147
Tag: cts
Test: make and cts test
Change-Id: Iea712c4efcf08c28fd4cb91789b311f919abc42b</t>
  </si>
  <si>
    <t>Delete PackageIncidentTest
Bug: 209994870
Test: TH
Change-Id: I535b374f33d5286613066c3503c060ac7088b7b3
Merged-In: I535b374f33d5286613066c3503c060ac7088b7b3</t>
  </si>
  <si>
    <t>Rework AccessibilityEventTest to use UIAutomation instead of sleeping.
Bug: 199101293
Test: atest AccessibilityEventTest
Change-Id: I82c7fdbcdbca90ee9cdf8d625627fd68dc358a79
(cherry picked from commit 0640be0d2aeeedec6c53f4b4b6432982d8f3bf36)
Merged-In: Id3fda53f4dd17ad9029a6d8d487ad9a166f34513</t>
  </si>
  <si>
    <t>Add missing tests for filtering routes
To test package orders, host side tests are added.
AllowedPackages is tested as well.
Adding tests, some bugs are found and fixed.
Test: atest MediaRouter2HostTest android.media.cts.MediaRouter2Test
MediaRouter2ManagerTest
Bug: 193631822
Change-Id: Ib09956aaeb44978fdbe32a2359a6616783a1fce7</t>
  </si>
  <si>
    <t>Move DeviceOwner tests into CTS.
Test: atest CtsDevicePolicyTestCases
Bug: 204572377
Change-Id: Icd4c360a960b56eaeef6a91743d35420532713d3</t>
  </si>
  <si>
    <t>Revert "Merge "Add test cases for background startForeground() i..."
Revert submission 16823812-am-d28c94b9fe6445eba259ecb421887d7e
Reason for revert: It cause down stream automerge problem into sv-dev. 
Reverted Changes:
I0f8fb6de7:Merge "BG-FGS-start while-in-use permission restri...
I6305f8e37:Merge "Add test cases for background startForegrou...
Change-Id: I7f9fc6e09191f66297b7e9949f68a7298b44e76e</t>
  </si>
  <si>
    <t>Cts tests for renaming ProximityUpdateCallback
Bug: 218494749
Test: atest CtsAttentionServiceDeviceTestCases
Change-Id: Ia5a2b9525781bf753bdec5feaaee8474a2003db5</t>
  </si>
  <si>
    <t>Update UI on UIThread in AccessibilityEventTest
This changes AccessibilityEventTest to update UI content on UI Thread.
Changing the content on non-UI thread will causes
ViewRootImpl.CalledFromWrongThreadException (currently warning though).
This also changes usages of Thread.sleep to SystemClock.sleep so that we
can eliminate repetitive try-catch in tests.
Bug: 217097407
Bug: 199101293
Test: android.view.accessibility.cts.AccessibilityEventTest
Test: Observe logcat -s ViewRootImpl, no warnings.
Change-Id: I3b84822e1c4e6974a156b991ddea6495cfda7b4b</t>
  </si>
  <si>
    <t>Add more test coverage for GameManager
Bug: b/199920928
Test: atest CtsGameManagerTestCases
Test: atest CtsGameManagerTestCases --user-type secondary_user
Change-Id: I239a24c914d8c8abf6a834a532a9d88f712b91cc</t>
  </si>
  <si>
    <t>Switch all RoR CTS tests to server based
In android S, we updated CDD to deprecate the HAL based RoR. And
in android T, Pixels remove the RoR HAL. So it's time to switch
all RoR tests to server based in T faced test suites.
Bug: 216485436
Test: atest CtsAppSecurityHostTestCases:android.appsecurity.cts.ResumeOnRebootHostTest
Change-Id: I60f6d7efe5398578bfcf6864fdbec4f4a4ec8c9d</t>
  </si>
  <si>
    <t>Remove &lt;Set Menu Language&gt; CTS
This test is no longer relevant: the user needs to interact with the pop-up UI, before the language will change. This cannot be simulated in CTS and needs to be verified manually.
The tests that check that a &lt;Set Menu Language&gt; with an invalid language or an unexpected source are ignored, can remain. Even with the UI, these should never result in a language change.
Test: atest
Fixes: 218500277
Change-Id: Ia85382d87b710cef4317bf5c64a804c66fbd6c08</t>
  </si>
  <si>
    <t>Add more CTS coverage for remote video preview APIs
Add extensive tests for the following:
* onMediaPlay getting called only after player ready event call back is
  sent.
* Swiping adjacent videos should not prepare/destroy media player.
* Swiping between an image and a video should free up player resources
  if image is being previewed.
More tests to verify onPause and mute/unmute APIs will follow
Bug: 215187981
Test: atest RemoteVideoPreviewTest
Change-Id: I4386085612f7fc0229c4b62c2406e8d2a43148ff</t>
  </si>
  <si>
    <t>media CTS: Parameterize AdaptivePlaybackTest
Currently all tests were run for all available components, but were
segregated according to mime.
This is now modified to segregate as per component name as well
for easier debugging.
Also added ability to filter codecs basing on prefix.
Bug: 216847408
Test: atest CtsMediaDecoderTestCases:AdaptivePlaybackTest
Test: atest CtsMediaDecoderTestCases:AdaptivePlaybackTest -- --module-arg \
 CtsMediaDecoderTestCases:instrumentation-arg:codec-prefix:=c2.android.hevc
Change-Id: I930d98f56347db376eec222576ad45daf6ed32a7</t>
  </si>
  <si>
    <t>CtsMediaEncoderTestCases: parameterize EncoderTest
1. Parameterized EncoderTest
2. Added provision to filter/select codecs based on codec-prefix
Bug: 216832785
Test: atest CtsMediaEncoderTestCases:EncoderTest
Test: atest CtsMediaEncoderTestCases:EncoderTest -- \
 --module-arg CtsMediaEncoderTestCases:instrumentation-arg:\
 codec-prefix:=c2.android.aac.encoder
Change-Id: Ie5271568d1313397a30f2f1cb587c8920d8002f6</t>
  </si>
  <si>
    <t>media CTS: Parameterize EncodeDecodeTest
Bug: 216834101
Test: atest CtsMediaCodecTestCases:EncodeDecodeTest
Change-Id: Ibe9e57db3bda4fd24caab3527c06932520300b5e</t>
  </si>
  <si>
    <t>CtsMediaEncoderTestCases: Parameterize VideoEncoderTest
- Parameterized VideoEncoderTest
- Added ability to filter specific codecs based on codec-prefix
- Modified some of the resolutions and bitrate combinations tested by
   vp8 encoders and made them identical to avc encoder
Bug: 216821057
Test: atest CtsMediaEncoderTestCases:VideoEncoderTest
Test: atest CtsMediaEncoderTestCases:VideoEncoderTest -- \
 --module-arg CtsMediaEncoderTestCases:instrumentation-arg:\
 codec-prefix:=c2.android.vp9.encoder
Change-Id: Ia7f937c6b27ed6d63bb826bea4b03a2c0bbb47db</t>
  </si>
  <si>
    <t>Modify the Smartspace UI templates API tests.
Fixes: 217554855
Test: atest CtsSmartspaceServiceTestCases
Change-Id: Ide15f4ea73e127b0c8138d47a5f21e15de032a1a</t>
  </si>
  <si>
    <t>Add remaining tests for window insets
This covers two remaining branches for
onTransientSystemBarVisibilityFromRevealGestureChanged:
one where the system bars aren't shown with a
swipe and one where the the system bar visibility
changed because the system bars were hidden.
Test: atest CtsGameServiceTestCases
Bug: 217911720
Bug: 206128693
Change-Id: Ie71458fcf65d69fdc9fb2c440e72f2b1e20b8b8f</t>
  </si>
  <si>
    <t>Test that Low Power Standby disables wakelocks when active
Bug: 190822356
Test: atest LowPowerStandbyTest
Change-Id: I4d012f3e72007fe0ec21eb048caf2c17353f8f06</t>
  </si>
  <si>
    <t>CtsMediaDecoderTestCases: Remove skipped tests in NativeDecoderTest
These already exist in the CTS v2 test suite and were currently being
skipped with @Ignore
Bug: 215779159
Test: Check 'atest CtsMediaDecoderTestCases:NativeDecoderTest' works
 the same with and without this change
Change-Id: I78084e3d8a4b2ba0b7f8e6bf380e8e3e359200af</t>
  </si>
  <si>
    <t>hap: Adjust tests to match the API
Adjusts tests to match the @SystemApi annotated API.
Bug: 150670922
Bug: 218403147
Fixes: 218403147
Tag: #feature
Test: atest CtsBluetoothTestCases:android.bluetooth.cts.BluetoothHapClientTest
Sponsor: jpawlowski@
Change-Id: Icbaa5a16a877d9f9255023891687bc0a858b1a69</t>
  </si>
  <si>
    <t>MediaMuxerTest: Ignore testDolbyVisionVideoOnlyP8
Extractor fails with an exception in testDolbyVisionVideoOnlyP8.
Ignoring this test till that is fixed.
Bug: 216824291
Bug: 218563362
Test: atest CtsMediaMuxerTestCases:MediaMuxerTest
Change-Id: I5447b5ceb5ead4b9162d11bd69dd596b3e490373</t>
  </si>
  <si>
    <t>Camera: Add cts test for mandatory stream combinations with PREVIEW_STABILIZATION
Bug: 170230992
Test: atest RobustnessTest.java#testMandatoryPreviewStabilizationOutputCombinations
Change-Id: I929833012a478d97d9ac30a7656f1ca689f1edff
Signed-off-by: Jayant Chowdhary &lt;jchowdhary@google.com&gt;</t>
  </si>
  <si>
    <t>Add coverage for bluetooth API
Bug: 217352944
Test: atest 'CtsBluetoothTestCases:android.bluetooth.cts.BluetoothAdapterTest'
Test: atest CtsBluetoothTestCases
Tag: #refactor
Merged-In: I23acad1ca7e3833bff0d98ebc7057ac14756be45
Change-Id: I23acad1ca7e3833bff0d98ebc7057ac14756be45</t>
  </si>
  <si>
    <t>CTS test for car telemetry notification when script finishes
Bug: 184294877
Bug: 218596986
Test: atest CtsCarTestCases
Change-Id: I52ceaef2171eaf7f31a2f322a07099d0d1061c7e</t>
  </si>
  <si>
    <t>Migrate Bluetooth tests to new infra.
Fixes: 216590592
Test: atest android.devicepolicy.cts.BluetoothTest
Change-Id: If6d6b3a04593054c09bb7a88b8a2153465099ec4</t>
  </si>
  <si>
    <t>Migrate GeneralDeleageTest.
Test: atest android.devicepolicy.cts.DelegationScopesTest
Bug: 213348113
Change-Id: Ie83fa236e9b3090cfb169d40e2d654ea3caddc17</t>
  </si>
  <si>
    <t>Migrate CertInstallDelegateTest.
Test: atest android.devicepolicy.cts
Bug: 213348113
Change-Id: If6b3a68d35cf269b17d614418c65d98fd0159bf0</t>
  </si>
  <si>
    <t>Add a new test case on setting unmodifiable game state.
Bug: 218333771
Test: atest GameManagerTest
Change-Id: If6810a36848c42c60b9daa4c59adc35ef140c5df</t>
  </si>
  <si>
    <t>media CTS: Parameterize VideoCodecTest
This change migrates test runner from JUnit3 to JUnit4.
The tests are parameterized and first component that support a given
mime is used in the test to be consistent with current code.
Bug: 219525345
Test: atest android.media.codec.cts.VideoCodecTest
Change-Id: Ibfd33bd57cab89f234fc752df19c678645aa9f02</t>
  </si>
  <si>
    <t>Rename to VsyncCallback, Presentation Time.
Bug: 217370454
Test: atest ChoreographerTest
Change-Id: Ib770081c4e07dfa3107503fc55ac64866b1e275e</t>
  </si>
  <si>
    <t>SpatializerTest: more tests for SystemApi
Add tests for the SystemApi methods in Spatializer:
getCompatibleAudioDevices()
addCompatibleAudioDevice(android.media.AudioDeviceAttributes)
removeCompatibleAudioDevice(android.media.AudioDeviceAttributes)
addOnHeadTrackingModeChangedListener(...)
removeOnHeadTrackingModeChangedListener(...)
setDesiredHeadTrackingMode(int)
getDesiredHeadTrackingMode()
getHeadTrackingMode()
getSupportedHeadTrackingModes()
getOutput()
clearOnSpatializerOutputChangedListener()
setOnSpatializerOutputChangedListener(...)
recenterHeadTracker()
setGlobalTransform(float[])
clearOnHeadToSoundstagePoseUpdatedListener()
setOnHeadToSoundstagePoseUpdatedListener(...)
getEffectParameter(int, byte[])
setEffectParameter(int, byte[])
Fixed implementation of listeners for proper use of
LinkedBlockingQueue to check on callbacks.
Bug: 203822479
Test: atest SpatializerTest
Merged-In: Id3199c7d0423af87c1bf82259cf7b430e42aed91
Change-Id: Id3199c7d0423af87c1bf82259cf7b430e42aed91</t>
  </si>
  <si>
    <t>A fix to a previous issue: Update the test to use androidx testing libraries.
Also, updated the OWNERS file and added a README file as a guidance to create CTS tests.
Fix: 211678773
Test: Step 1: make the updated CTS (e.g. `make cts -j32 WITH_DEXPREOPT=false TARGET_PRODUCT=aosp_arm64` for `arm64` version.);
      Step 2: run the updated CTS (should be `cts-tradefed run cts --compatibility:include-filter CtsSampleDeviceTestCases`), all the original CTS tests should still pass after this fix.
Change-Id: Id293defbb270ee12327847ec9f76f44446a9fcb0</t>
  </si>
  <si>
    <t>Add an API to bulk query broadcast response stats for all pkgs.
Bug: 217567456
Test: atest tests/tests/app.usage/src/android/app/usage/cts/UsageStatsTest.java
Change-Id: I196303fde26ab3aae0eff5fe3b1b4a59f578520b</t>
  </si>
  <si>
    <t>media CTS: Parameterize VideoDecoderPerfTest
1. Parameterized VideoDecoderPerfTest
2. Added provision to select codecs
Bug: 219617710
Test: atest android.media.decoder.cts.VideoDecoderPerfTest
Test: atest android.media.decoder.cts.VideoDecoderPerfTest -- \
--module-arg CtsMediaDecoderTestCases:instrumentation-arg:\
codec-prefix:=c2.android.avc.
Change-Id: I3ef29d9bbd1d21f99860913906295cfde61a4660</t>
  </si>
  <si>
    <t>Add more tests for MagnificationConfig
Add a test to test the default mode and the default center
of MagnificationConfig
We also change thee target mode if the platform doesn't support
window magnification.
Bug: 192615802
Test: AccessibilityMagnificationTest
Change-Id: I022aa22b889afd67d1429b9971a1e3f5f5d947a9</t>
  </si>
  <si>
    <t>Rewrite OnScreenPositionTest#testImeIsNotBehindNavBar()
This CL rewrites
  OnScreenPositionTest#testImeIsNotBehindNavBar(),
which we added in Android P development cycle [1].
The main motivation of that test was to prevent issues where IMEs were
placed as if there was no nav bar [2], but how the test was
implemented was based on some assumptions about IME-observable insets.
Now that we have a way to test user-perceivable IME visibility [3],
the test is expected to be more robust and compatible if we rewrite it
with InputMethodVisibilityVerifier.
 [1]: I0005aee0259f25c96fb94054535dd945a56e8cfb
      6ff19b02ae5aa75f595a0ebd073b641d6edebf89
 [2]: Bug 11237795, Bug 26984057, Bug 31313118, Bug 33095565,
      Bug 33308065
 [3]: If999aa51fd2e5fd20e9e2d72a7e1dbeb75e3456d
      d7cb355421143641af4cdda38574337cfae3d24c
Bug: 38298890
Fix: 209695046
Test: atest CtsInputMethodTestCases:OnScreenPositionTest
Change-Id: I83e592855c616784be3b62dd9821cf8dd4566916</t>
  </si>
  <si>
    <t>Revert "Temporarily turn off certain tests when fuse-bpf is enabled"
Test: atest -c --rerun-until-failure 100 \
  android.os.storage.cts.StorageManagerTest#testCallback
Bug: 215354735
This reverts commit 1c7ff6fbdb63529f7ed162fe0894468a9f6126bb.
Change-Id: Ib559d32dedeb10ec0d3282116e006229cea6174e</t>
  </si>
  <si>
    <t>Update framework from Jetpack.
Changes included:
* db12ce6: Add Visibility migrator to handle version bump from 1 to 2.
* 8e973b2: Address API feedback for set Permission and Role Visibility.
Bug: 181908338
Bug: 202194495
Test: VisibilitytStoreMigrationHelperFromV1Test
Test: AppSearchSessionCtsTest
Test: SetSchemaResquestCtsTest
Change-Id: I1ab2ddebbf0323b250b713a75c1fc084802929da</t>
  </si>
  <si>
    <t>media CTS: Parameterize EncodeVirtualDisplayTest
Migrate EncodeVirtualDisplayTest from junit3 to junit4 and
parameterize it for codecs
Bug: 219998174
Test: atest CtsMediaCodecTestCases:EncodeVirtualDisplayTest
Change-Id: If556cb3df957b9f8d241a9055c88f3ff0ca66d2d</t>
  </si>
  <si>
    <t>Update the Smartspace UI template APIs tests.
Fixes: 218860086
Test: atest CtsSmartspaceServiceTestCases
Change-Id: I451b3af6eafbe591114bd2763a787b8e23e55580</t>
  </si>
  <si>
    <t>CtsSharedLibsApiSignatureTestCases: read shared library list once
Previously, this would retrieve the list of shared libraries for each
file that it was checking. It was noticed after adding extra logging
while debugging the previous change. This change uses the @BeforeClass
to obtain the list once.
Bug: 220116234
Test: atest CtsSharedLibsApiSignatureTestCases
      - adb logcat -d | grep SignatureMultiLibsTest
      - before this change the libraries were found multiple
        times per test.
      - after this change the libraries were found once.
Change-Id: I8f8751319f63b6488187001f88cd8e43a303f18b</t>
  </si>
  <si>
    <t>Remove invalid test
Fixes: 219968696
Bug: 209966086
Test: this
Change-Id: I43fb3b9fc60f1a526648c59ed5b706709cfee737</t>
  </si>
  <si>
    <t>Remove invalid test
Bug: 209966086
Test: this
Change-Id: I2faaaa3ce9c3a55dbdcbc71e108b20e0cc5c431e</t>
  </si>
  <si>
    <t>Remove invalid test
Bug: 209966086
Test: this
Change-Id: I303b8a129bd2e73383ac1c0653033731dac7ef55</t>
  </si>
  <si>
    <t>STS add test to Dynamics Part 2
Bug: 219090760
Bug: 218715631
Test: compiles
Change-Id: Ic9978310f367074a089cd9590497bf1cf0b0e73d</t>
  </si>
  <si>
    <t>STS test for setting malicious stream as wallpaper
1. Create InputStream from PNG file
2. Reset to default wallpaper after test finishing
Bug: 204087139
Test: sts-tradefed run sts-engbuild-no-spl-lock -m CtsSecurityTestCases
-t android.security.cts.WallpaperManagerTest
Change-Id: I9b36c9c15a782c0ac54ca2953e6e79ca1bb1492f</t>
  </si>
  <si>
    <t>Add CTS test for default personal to work profile behavior
By default, ACTION_PICK_IMAGES is only allowlisted to access personal
content from work profile, but not vice-a-versa.
Bug: 216475844
Test: atest testPersonalApp_canAccessWorkProfile_default
Change-Id: I735266546ab7ae0d57eb89d8757f9e8cdfaef1c6</t>
  </si>
  <si>
    <t>STS add test to Dynamics Part 2
Bug: 219090760
Bug: 218715631
Test: compiles
Change-Id: Ic9978310f367074a089cd9590497bf1cf0b0e73d
Merged-In: Ic9978310f367074a089cd9590497bf1cf0b0e73d</t>
  </si>
  <si>
    <t>Revert "Add a test ActivityOptionsTest#testActivityOptionsBundle_fromBundle."
This reverts commit 5d78e0e3922a457efdb7765338cd02744452a907.
Reason for revert: API council decided not to expose it.
Bug: 202145402
Test: atest ActivityOptionsTest
Change-Id: I6ae31a7a3583735d4f596a90b8410f10a65450ba</t>
  </si>
  <si>
    <t>Add TestApp support to DeviceState
Test: atest DeviceStateTest
Test: atest TestAppProviderTest
Bug: 219726182
Change-Id: Id2df2b6561634472e7e4f9f4f8c0d05807bacb37
(cherry picked from commit 3e9d5f8aecb82a32f526869ed6b2b44150a2bc80)
Merged-In:Id2df2b6561634472e7e4f9f4f8c0d05807bacb37</t>
  </si>
  <si>
    <t>Fix Bluetooth tests.
Test: atest android.devicepolicy.cts.BluetoothTest
Fixes: 219772900
Change-Id: Ifcd6bda8708f474a667dd975d9495c03ad8e3831
(cherry picked from commit 1514304c3a40cb31363a064396f2d8afa67039b6)
Merged-In:Ifcd6bda8708f474a667dd975d9495c03ad8e3831</t>
  </si>
  <si>
    <t>Update CTS test based on the API changes
- Remove the test for BluetoothLeAudioCodecConfig.getMaxCodecType since the function no longer exist
- Rename function getCodecsLocalCapabilities() to getCodecLocalCapabilities()
- Rename function getCodecsSelectableCapabilities() to getCodecSelectableCapabilities()
- Add cts test for getCodecStatus() and setCodecConfigPreference()
Tag: #refactor
Bug: 219875113
Test: atest android.bluetooth.cts.BluetoothLeAudioCodecStatusTest
Change-Id: Iaa8aec17af71ac15dc336b78d27f00418edb3f71</t>
  </si>
  <si>
    <t>statsd logging for GameManager.setGameState
Bug: 207662418
Test: atest CtsStatsdAtomHostTestCases:GameManagerStatsTests
Change-Id: Ic1fba464fe7aba8326c9cea647026dfc98a5cea3
Merged-In: Ic1fba464fe7aba8326c9cea647026dfc98a5cea3</t>
  </si>
  <si>
    <t>Rename SupplementalProcess to SdkSandbox
Bug: 220320098
Test: presubmit
Test: atest PackageManagerShellCommandTest
Test: atest SdkSandboxPermissionTest
Change-Id: I092c72e27be76efcb788cc3af5918f07906e01cb</t>
  </si>
  <si>
    <t>Removing 'override' from nav bar mode APIs.
Bug: 217668440
Test: StatusBarManagerTest.java, StatusBarManagerServiceTest.java
Change-Id: Id8fabd2a0889fef3400f10e0ea60b80632d128ce</t>
  </si>
  <si>
    <t>[RESTRICT AUTOMERGE] STS add tests to Dynamic
Bug: 219090760
Bug: 218715631
Test: compiles
Change-Id: I43c522d2202dc73bf2b2e8d1b754c573b2fb3707</t>
  </si>
  <si>
    <t>STS add tests to Dynamic
Bug: 219090760
Bug: 218715631
Test: compiles
Change-Id: I43c522d2202dc73bf2b2e8d1b754c573b2fb3707</t>
  </si>
  <si>
    <t>uwb(cts): Ensure that ranging session is closed before exiting test
The ranging session test should ensure that the ongoing session is fully
closed before exiting to ensure that other tests in the suite are not
flaky. Use a separate latch for the ranging reports callback to avoid
races between report callbacks &amp; stop/close callbacks (both of them can
occur around the same time when the session is ongoing).
Bug: 196225233
Test: atest UwbManagerTest
Change-Id: I6977a27d7b3cd1b38996f1c19343cbef10df740f</t>
  </si>
  <si>
    <t>uwb(cts): Address API review comments (2/2)
Also, remove unnecessary javadocs from IUwbAdapter2.aidl file.
Bug: 214029149
Test: atest CtsUwbTestCases
Change-Id: I5197399c9788cbc927f7fdca9093c2531435bf8d</t>
  </si>
  <si>
    <t>auto target test breakage fix for PhoneAccountRegistrarTest
background:
Android prod informed me that the automotive test target was
experiencing severe test brekage on all the tests in
PhoneAccountRegistrar.  However, the phone target experienced
no such breakage.
issue:
After analyzing the bug reports it appears in the tearDown method,
mTelecomManager becomes null and when  the call is made to
cleanupPhoneAccounts(), a NPE error occurs.
fix:
- placing NPE checks around all mTelecomManager method calls
- calling cleanupPhoneAccounts() as the first step in tearDown
bug: 219139997
bug: 219140607
bug: 219140274
Test: updated 3 CTS tests
Change-Id: Ia937ce4558d75c8dcaf7b42242da6677ed894e81
(cherry picked from commit 128ba168592561dfeb3e2890c04d5d3214cd01a4)</t>
  </si>
  <si>
    <t>Disables / re-enables some DPM tests for headless system user mode.
Test: atest com.android.cts.devicepolicy.MixedDeviceOwnerTest#testKeyManagement,testGenerateKeyPairLogged,testDelegatedCertInstallerDirectly,testSetKeyGrant,testSetKeyPairCertificateLogged,testDelegationCertSelection,testDelegation \
 com.android.cts.devicepolicy.MixedProfileOwnerTest#testKeyManagement,testGenerateKeyPairLogged,testDelegatedCertInstallerDirectly,testSetKeyGrant,testSetKeyPairCertificateLogged
Bug: 218408549
Bug: 220241349
Fixes: 213388897
Fixes: 213348113
Change-Id: I58623f5c1a1d60af7743f5a815a491ebbad9b9fe</t>
  </si>
  <si>
    <t>Revert "API coverage for BluetoothServiceManager"
This reverts commit c72b442cf7f9a6090d861fa2e40dfa06eaec46cf.
Reason for revert: &lt;breaks CTS test on BT apex, lets reland later &gt;
Change-Id: I2f61fa5e69697cc892eb7e37622127e66217db4e</t>
  </si>
  <si>
    <t>Add support for null AccountManagerCallback, Activity, Handler, and
DevicePolicyManager.
Test: atest android.devicepolicy.cts.AccountManagementTest
Bug: 197909954
Change-Id: I51196ac5c1c4308cb24ddbda343057aefa44a683
Merged-In: I51196ac5c1c4308cb24ddbda343057aefa44a683
(cherry picked from commit 9a30fca9f8f4c6da04af1c5a8895a18749acb094)</t>
  </si>
  <si>
    <t>Move testBackupServiceActive to CTS.
Test: atest android.devicepolicy.cts.BackupTest
Bug: 204572377
Change-Id: I2c081d30603afbd9ea4c6b6fd9271e511ec5d490
Merged-In: I2c081d30603afbd9ea4c6b6fd9271e511ec5d490</t>
  </si>
  <si>
    <t>Test name changes in DefaultDisplayModeTest
Bug: 214909721
Test: atest DefaultDisplayModeTest
Change-Id: I2392451798da51440ab1bead5a345502b705fbad</t>
  </si>
  <si>
    <t>Changed removeUserWhenPossible call from shell command to UserManager
Bug: 199446770
Test: atest CtsMultiUserHostTestCases:android.host.multiuser.EphemeralTest
Change-Id: I89217bd9b0b7028850e399b037b1113fcffddafc</t>
  </si>
  <si>
    <t>Added test for management of voice interaction sessions.
Added test for the assist utils helper APIs that monitor the voice
interaction sessions, hide the session, and also determine if the
session is running.
Bug: 221357308
Test: atest android.car.cts.builtin.util.AssistUtilsHelperTest
Change-Id: I5dd7b6d4769d3eef155b74bab3c5e321efc2a2c4</t>
  </si>
  <si>
    <t>mediav2 CTS: Update CodecDecoderValidationTest
1. Corrected finite precision effects errors in reference RMS error
   values.
2. Validate sampling-rate, channel count, width, height key-values in
   output format after decoding
3. Add test vectors for vorbis
4. Add high resolution, high bd test vectors for flac
Bug: 204408989
Test: atest android.mediav2.cts.CodecDecoderValidationTest
Test: atest android.mediav2.cts.CodecDecoderTest
Change-Id: If308c7876019097d7f44213986a9ed7a8be4fbd4</t>
  </si>
  <si>
    <t>Revert "Add CTS coverage for new external audio route API."
Revert submission 16308028-external-audio
Reason for revert: Don't want to launch this in T now
Reverted Changes:
I6634c752a:Add CTS coverage for new external audio route API....
Ibd1c2880e:Add API for external call audio route.
I3e262a913:Implement new external audio route.
Change-Id: I431e593a0de70657300106f3394eafdb5d9a7014</t>
  </si>
  <si>
    <t>Cleanup Extended frame -&gt; Vsync callback.
Non-api cleanups.
Bug: none
Test: atest ChoreographerNativeTest
Test: atest SurfaceControlTest
Change-Id: I5080c488716745e7afb715b42f2548b2e92831d3</t>
  </si>
  <si>
    <t>Change selected check button id
Bug: 207089636
Test: presubmit
Change-Id: If1de77479f6ec73e429235084c44bf6184fcd246</t>
  </si>
  <si>
    <t>media CTS: Parameterize DecodeEditEncodeTest
Bug: 216849187
Test: atest CtsMediaCodecTestCases:DecodeEditEncodeTest
Change-Id: I173285ae6a9bef94b3e05816bc7dddaac0a32c40</t>
  </si>
  <si>
    <t>Add ToastTest to disallow bg toasts w/o notif perm
Showing Toasts when the app is in the background requires
the POST_NOTIFICATIONS permission, so this change adds a
toast test for disallowing background toasts when an app
attempts to show a toast without the shell identity (without
POST_NOTIFICATION permission)
This change also restructures ToastTest so that it it runs most of
its Toast.show() methods with the shell permission
(which has the POST_NOTIFICATION permission) instead of blanket
requesting the POST_NOTIFICATION permission in the app's manifest.
Test: atest ToastTest
Fixes: 219932279
Change-Id: I03c6f388d9cbcb5766d95a0b39f702c739154401</t>
  </si>
  <si>
    <t>Revert "Adding tests for multiple provider support in AbstractMa..."
Revert submission 17008428-cherrypick-multi-provider-cloudsearch-2yrjp5zxz1
Reason for revert: Broke TextToSpeech service
Reverted Changes:
If1d0ac733:Adding tests for multiple provider support in Abst...
I1da7f54bc:Adding multiple provider support in AbstractMaster...
Change-Id: I22cfed8847e4df885185fd5bb90cf691205e4dfb</t>
  </si>
  <si>
    <t>Revert "Adding tests for multiple provider support in AbstractMa..."
Revert submission 17008428-cherrypick-multi-provider-cloudsearch-2yrjp5zxz1
Reason for revert: Broke TextToSpeech service
Reverted Changes:
If1d0ac733:Adding tests for multiple provider support in Abst...
I1da7f54bc:Adding multiple provider support in AbstractMaster...
Change-Id: I22cfed8847e4df885185fd5bb90cf691205e4dfb
(cherry picked from commit c4e5c8930716902464f25f929177ce27b9840651)
Merged-In: I22cfed8847e4df885185fd5bb90cf691205e4dfb</t>
  </si>
  <si>
    <t>Verify playback after player ready in RemotePreviewTest
Test: m CtsPhotoPickerTest
Bug: 219861183
Bug: 219792715
Change-Id: Ib8efefee0d3057aaf1b36ec35b5ec6b733a57339</t>
  </si>
  <si>
    <t>hap: Adjust test to match the hidden preset info builder
Bug: 150670922
Bug: 218682004
Bug: 220029662
Fixes: 218682004
Fixes: 220029662
Tag: #feature
Test: atest CtsBluetoothTestCases:android.bluetooth.cts.BluetoothHapPresetInfoTest
Sponsor: jpawlowski@
Change-Id: I93f19d83385ddb330e96f92ebf0998d935095e03</t>
  </si>
  <si>
    <t>Create a CTS test for os/IpcDataCache
Bug: 219609105
Repurpose the old PropertyInvalidatedCacheTest CTS for the new
os/IpcDataCache class.
Test: * atest CtsOsTestCases:IpcDataCacheTest
Change-Id: Ibff6d32e8615c8e340e1e0f837bc6b2ed2cb021b</t>
  </si>
  <si>
    <t>Remove the test ActivityManagerHelperTest#testGetInstance().
- The method ActivityManagerHelper#GetInstance() was removed.
Bug: 201301077
Test: atest ActivityManagerHelperTest
Change-Id: Ie6a661b5a9ec09d67a0eac0fe0d116f8bb408a02</t>
  </si>
  <si>
    <t>Update GameServiceTest to verify screenshot saved
Bug: 219992742
Test: atest GameServiceTest
Change-Id: I52ff145ff61da3c100f948453dafc2ed07cadb80</t>
  </si>
  <si>
    <t>media CTS: Parameterize DecoderConformanceTest
The tests are parameterized for codecs.
Also added ability to filter codecs basing on prefix.
Bug: 222888492
Test: atest android.media.decoder.cts.DecoderConformanceTest
Test: atest android.media.decoder.cts.DecoderConformanceTest -- \
--module-arg \
CtsMediaDecoderTestCases:instrumentation-arg:codec-prefix:=c2.android.
Change-Id: I6775144a65dabd79ea224069b86208ab0acc34f0</t>
  </si>
  <si>
    <t>Verify visibility for activities in untrusted embedding mode
Activities embedded in untrusted mode must be made invisible when
there is another activity on top in the same task that belongs to
a different UID.
Bug: 197364677
Test: TaskFragmentTrustedModeTest
Change-Id: Ic969e5892353586ca3649d9302ace69cfccc32a8</t>
  </si>
  <si>
    <t>Speed up BackgroundDexOptimizationTest.
This change removes the need to reboot and wait for post boot
optimization to complete in test cases for idle optimization, which
gives the test more chance to finish within the time limit.
Also, this change migrates BackgroundDexOptimizationTest to using
BaseHostJUnit4Test.
Bug: 220924072
Test: CtsCompilationTestCases:BackgroundDexOptimizationTest (now takes
  ~11mins ab/I81800010023201694)
Change-Id: I85b14eb1d460da7f365b0c11e8e800d3d5fce751
Merged-In: I85b14eb1d460da7f365b0c11e8e800d3d5fce751
(cherry picked from commit 4ba16902be7cdad6c6615d01725cb407fae8b824)</t>
  </si>
  <si>
    <t>Rename getAutojoinGlobal to queryAutojoinGlobal
Bug: 223179625
Test: atest WifiManagerTest
Change-Id: Iffc1035a547567090c64f4df34384b4f26d1ab18</t>
  </si>
  <si>
    <t>Use PhotoPicker APIs
Bug: 205291616
Test: atest CtsPhotoPickerTest
Change-Id: Idbe29d247706ec858272561277d349e4e7d94544</t>
  </si>
  <si>
    <t>Remove subscriptionsChange_notifiesObserver SimPhonebook test
This test has been a frequent source of failures and isn't a validating
a very important behavior of the APIs. Hence, removing it to reduce
maintenance burden.
Bug: 222637041
Test: atest CtsSimPhonebookProviderTestCases
Change-Id: I82b7ffd92b543e081d7559e50b0bd4a024c916e6</t>
  </si>
  <si>
    <t>Add missing TC cts tests for API coverage
Bug: 220809692
Test: atest CtsTextClassifierTestCases
Change-Id: I8e2740aa9f854b39c66928c5e802ea712c59c45f</t>
  </si>
  <si>
    <t>Verify exception for picker URI queries with invalid projection
Test: atest CloudPhotoPickerTest
Bug: 191362529
Change-Id: I45e495e5ebc356e5d0471bb8a363b851573e46ee</t>
  </si>
  <si>
    <t>Use PhotoPicker APIs
Bug: 205291616
Test: atest CtsPhotoPickerTest
Change-Id: Idbe29d247706ec858272561277d349e4e7d94544
Merged-In: Idbe29d247706ec858272561277d349e4e7d94544</t>
  </si>
  <si>
    <t>Remove confusing setUserProvisioningState test
Fixes: 218788709
Test: N/A
Change-Id: I285d9e5902398da922b8d9da8252c064200579c1</t>
  </si>
  <si>
    <t>media CTS: Parameterize DecodeAccuracyTest on codecs
Parameterized DecodeAccuracyTest based on codecs, but continue to
test only first codec that supports the given file.
If required, this can later be extended to test all codecs on the
device.
Also added ability to filter codecs basing on prefix.
Bug: 222891415
Test: atest CtsMediaDecoderTestCases:DecodeAccuracyTest
Test: atest CtsMediaDecoderTestCases:DecodeAccuracyTest -- \
--module-arg CtsMediaDecoderTestCases:instrumentation-arg:\
codec-prefix:=c2.android.avc.
Change-Id: Ie9d721d94febf908b5dc60c159ee66e8e5a201b3</t>
  </si>
  <si>
    <t>Remove the test that required privileged permission
Tag: #refactor
Bug: 223443154
Test: atest android.bluetooth.cts.BluetoothLeAudioTest
Change-Id: I96b1b3058ec0265848acafcf5553f4ff388de6f4</t>
  </si>
  <si>
    <t>Delete SipManagerTest.
SipService has been deleted and all operation in SipManager became
unavailable. Delete SipManagerTest to avoid cts tests failures.
Bug: 218651062
Test: CtsTelephonyTestCases
Change-Id: I2f547a4f30833dc196a8626da4ca3d37c7cb3c66</t>
  </si>
  <si>
    <t>Remove testLimitedAxesImuConfiguration in SensorTest.
PackageManager feature should be declared even for a virtual limited
axes accelerometer/gyroscope. As a result, this test is no longer
needed.
Bug: 219620276
Test: atest android.hardware.cts.SensorTest
Change-Id: If802cdb965b1b0c8f4284ad48b95cca81d2e468d</t>
  </si>
  <si>
    <t>Update CTS cases to fit the new CarrierPrivilegesCallback interface
Bug: 216549778
Test: atest TelephonyRegistryManagerTest CarrierServiceTest
Change-Id: I00283333fe3adc154015f9eea6195cfca036f330</t>
  </si>
  <si>
    <t>Rename getMaxNumScanSsids to getMaxSsidsPerScan in
WifiNl80211ManagerTest.
Bug: 223451099
Test: atest WifiNl80211ManagerTest
Change-Id: I8d49fd71bb814807e7a80c269163b10ce542d6ce</t>
  </si>
  <si>
    <t>Remove unnecessary tests of activity embedding in separate task
Also enable one test that verifies embedded task is forbidden.
Bug: 211571939
Test: atest TaskFragmentOrganizerPolicyTest
Test: atest SplitActivityLifecycleTest
Test: atest TaskFragmentOrganizerTest
Change-Id: Iaedae3992aa7b72c2eb76924f7e5ffd0b260b2cb</t>
  </si>
  <si>
    <t>Refactored LogcatHelper and tests that uses it.
Also fixed wrong assertion on testWriteCarUserManagerLogoutUserReq
Bug: 223670638
Bug: 223642864
Test: atest CtsCarBuiltinApiTestCases:SlogfTest CtsCarBuiltinApiTestCases:TimeUtilsTest CtsCarBuiltinApiTestCases:TimingsTraceLogTest EventLogHelperTest
Change-Id: I09b03d7957fee2776d64c8e531067ca83108f8b8</t>
  </si>
  <si>
    <t>Fixes SlogfTest#testIsLoggableFalse
Fixes: 223670638
Test: atest android.car.cts.builtin.util.SlogfTest#testIsLoggableFalse
Change-Id: Ie730e827294fbc05033f32339c5eb5369b36e59c</t>
  </si>
  <si>
    <t>Update the test cases text wrapping.
Use the LineBreakConfig.Builder to crete the LineBreakConfig instance.
Bug: 216638444
Test: atest TextViewTest; atest PrecomputedTextTest
Merged-In: If9441a01db4ff28ad7c9cac0c5d8a23d7a1f3a9d
Change-Id: If9441a01db4ff28ad7c9cac0c5d8a23d7a1f3a9d</t>
  </si>
  <si>
    <t>API Review] Removed unnecessary SystemApi annotations
Bug: 223345163
Test: build
Tag: #feature
Change-Id: Ie5e321cc91375620b41dbef7a3a06781570135de</t>
  </si>
  <si>
    <t>TIAF CTS: rename TvInteractiveAppInfo
Rename to TvInteractiveAppServiceInfo
Bug: 217494823
Bug: 218518120
Test: atest android.media.tv.interactive.cts.TvInteractiveAppServiceTest
Change-Id: Iba15dc2d765575372b306ec2da44019442afac68</t>
  </si>
  <si>
    <t>Re-enable tests
Bug: 218794887
Test: atest CtsPhotoPickerTests
Change-Id: I13a843348414b7f7015b8ea84b4a4415f103fcaa
(cherry picked from commit f6be81af155b1bb4f6f151e388c31ba8ab66d23a)</t>
  </si>
  <si>
    <t>Migrate BlockUninstall Delegate Tests.
Bug: 213348113
Test: atest android.devicepolicy.cts.BlockUninstallTest
Change-Id: Ia4c9307d171eaf2b9a3890cb45cde3fdfb91b7da</t>
  </si>
  <si>
    <t>Migrate PermissionGrantDelegateTest.
Test: atest android.devicepolicy.cts.PermissionGrantTest
Bug: 213348113
Change-Id: Icf59c5b74ddd6a4a2b21d3f68249c8bc189e357c</t>
  </si>
  <si>
    <t>Migrate Package Access Delegate Test.
Test: atest android.devicepolicy.cts.PackagesTest
Bug: 213348113
Change-Id: Ie0ac840ec02ec0fa1aaaa2448c6f94636675e780</t>
  </si>
  <si>
    <t>Migrate Enable System App Delegate Test.
Test: atest android.devicepolicy.cts.SystemAppTest
Bug: 213348113
Change-Id: Ibfd0227039a5164ba41599afaf77318b9cde7b37</t>
  </si>
  <si>
    <t>Migrate Network Logging Delegate Test.
This is the final delegate test using the old generic delegation infra.
There are still some specific delegate tests for e.g. certs - but they
don't need to be migrated yet.
Test: atest android.devicepolicy.cts.NetworkLoggingTest
Bug: 213348113
Change-Id: I6e4d8488974009b2f2e0a4f0b6be134c38f17675</t>
  </si>
  <si>
    <t>mediav2 CTS: encoder validation tests
Added audio encoder validation tests for all mandatory codec
requirements of android cdd. The encoded output is validated for
timestamps, duration, channel count, samplerate.
Video encoders are also partially validated by encoding few resolutions.
These resolutions are not meant to cover cdd profile requirements. These
are taken from CodecEncoderTest class. This is done to reduce regression
duration of CodecEncoderTest.
Bug: 186688670
Test: atest android.mediav2.cts.EncoderValidationTest
Test: atest android.mediav2.cts.CodecEncoderTest
Change-Id: I57a52062a69df13662e09991d4196c8ab20de62b</t>
  </si>
  <si>
    <t>Modify WindowUntrustedTouchTest for opacity cap
In topic CL.
Test: atest -d android.server.wm.WindowUntrustedTouchTest
Bug: 218777508
Change-Id: I072bdc628034abce81bc74cc4fb747b38cf5dc1f</t>
  </si>
  <si>
    <t>Fix ErrorProne Warnings.
Fixes: 221489375
Test: atest CtsDevicePolicyTestCases
Change-Id: Ia600b3b833460bfa1759c9fc49d5cf61a9f6fec8</t>
  </si>
  <si>
    <t>Migrate multi user PM shell tests to Bedstead
Bedstead offers a more structured framework for testing multiple
users and handles creation automatically.
This avoids timeout issues with handling users in infra.
Bug: 223847614
Test: atest PackageManagerShellCommandMultiUserTest
Change-Id: I69af2aa13b0108b7ebfba3abccc3a7af0726a682</t>
  </si>
  <si>
    <t>Revert "MediaMuxerTest: Ignore testDolbyVisionVideoOnlyP8"
This reverts commit b44c75d3d0080ce44d8793e8e38f0a38b3e9d216.
The aosp/2012437 for the extractor should fix the issues with the test.
refer to:
Bug: 216824291
Change-Id: Ib9bf83dfc606553d9488eb2f33faea5aa3af79a5</t>
  </si>
  <si>
    <t>Move test to STS test directory
Bug: 182917454
Test: compiles
Change-Id: I73350f2b3c796d9d1750375632e12110cc12885c
Merged-In: I73350f2b3c796d9d1750375632e12110cc12885c</t>
  </si>
  <si>
    <t>Move test to STS test directory
Bug: 182917454
Test: compiles
Change-Id: I73350f2b3c796d9d1750375632e12110cc12885c</t>
  </si>
  <si>
    <t>Revert "Update CTS for the READ_CLIPBOARD_IN_BACKGROUND permission"
Revert submission 17145144-cc-clipboard-permission
Reason for revert: Breaks UnbundledChooserActivityTest#copyTextToClipboard
Reverted Changes:
I6f3fbe3fe:Update CTS for the READ_CLIPBOARD_IN_BACKGROUND pe...
Icba3763e6:Add READ_CLIPBOARD_IN_BACKGROUND to the SYSTEM_TEX...
I68abf8c20:Update READ_CLIPBOARD_IN_BACKGROUND to be grantabl...
Bug: 224845036
Change-Id: I00ea08731c8115dc6d11da4776f484a27deb27fa</t>
  </si>
  <si>
    <t>Update Framework from Jetpack.
Changes included:
* 56502e3: Deprecate the AppSearch API methods that return ListenableFuture but don't have the Async suffix.
* 7b0fe0c: Suppress deprecation warnings from new Android T SDK.
* bffea48: Upload fixing bad syntax in doc comment to upstream.
* 869759e: Fix getSchemaTypesVisibleToPackages could return null.
* 8faa108: Add @SetSchemaRequest.AppSearchSupportedPermission to permission getters.
Bug: 217275386
Bug: 221859505
Bug: 222756860
Bug: 217588796
Test: Presubmit
Change-Id: Ia04f92b8cf5fc2da7bec2a7d2a8513e80e01e9a2</t>
  </si>
  <si>
    <t>Cleanup AdbRootDependentCompilationTest.
The test had a lot of hacks to do operations as root to workaround the
problem that `mDevice.enableAdbRoot()` is not allowed in CTS. This
change removes those hacks. Instead, it adds our own implementation of
`enableAdbRoot()`. We can now take advantage of the helper functions in
`ITestDevice` to simplify the test.
Also:
- Rewrite some private helper functions to make them more extensible for
  future use.
- Migrate the test to BaseHostJUnit4Test.
Bug: 175039995
Test: atest CtsCompilationTestCases:AdbRootDependentCompilationTest
Test: 1. cts-tradefed
  2. run cts -m CtsCompilationTestCases -t android.compilation.cts.AdbRootDependentCompilationTest
Change-Id: I7048ad18152350330e15daa6538476185497e216</t>
  </si>
  <si>
    <t>Remove automotive feature tests for enable/disable Network
The new expectation is that all apps holding MANAGE_ETHERNET_NETWORKS
can call these APIs, not just Automotive devices. These tests have also
been broken because they did not properly inherit the
MANAGE_ETHERNET_NETWORKS permission.
Test: builds
Change-Id: I7d0c0953ff599c766bcf1c7790095e2f513aff33</t>
  </si>
  <si>
    <t>Replace renamed API setAdvertisingDataTypeWithData
Bug: 218875964
Tag: #feature
Test: atest CtsBluetoothTestCases:android.bluetooth.cts.ScanFilterTest
Change-Id: I5b85b8b01f1afdf5f6a94bf37ce0ef0c693e33e8</t>
  </si>
  <si>
    <t>API Review: factoryReset-&gt;clearBluetooth
&gt; Consider renaming the factoryReset method to “clearBluetooth”.
Bug: 222725037
Test: TH
Tag; #refactor
Change-Id: I8f178ab860b3ae75438b87a377a16e0cc14f6b92</t>
  </si>
  <si>
    <t>BluetoothLeAudioCodecStatus: Adjust tests to new API
Bug: 219875113
Test: atest android.bluetooth.cts.BluetoothLeAudioCodecStatusTest
Change-Id: I6c3da2f8003125be05a376d3024117b4dd1c9ff5</t>
  </si>
  <si>
    <t>Rename revokeOwnPermissionsOnKill to revokeSelfPermissionsOnKill
Bug: 215555831
Test: atest android.permission.cts.RevokeSelfPermissionTest
Change-Id: I9a32415ad2e478e95d33c5c44ade5e549507b951</t>
  </si>
  <si>
    <t>[Settings CTS] The internet panel doesn't exist in the Settings package. Remove it from Settings CTS
Bug: 216845357
Test: atest SettingsPanelTest
Change-Id: I5b8c102ba98d960e9cc1b0e617fd20215b4a76a1</t>
  </si>
  <si>
    <t>[Settings CTS] The internet panel doesn't exist in the Settings package. Remove it from Settings CTS
Bug: 223528093
Test: atest SettingsPanelTest
Change-Id: I5b8c102ba98d960e9cc1b0e617fd20215b4a76a1</t>
  </si>
  <si>
    <t>[Settings CTS] The internet panel doesn't exist in the Settings package. Remove it from Settings CTS
Bug: 223528093
Test: atest SettingsPanelTest
Change-Id: I5b8c102ba98d960e9cc1b0e617fd20215b4a76a1
Merged-In: I5b8c102ba98d960e9cc1b0e617fd20215b4a76a1</t>
  </si>
  <si>
    <t>BluetoothLeAudioCodecStatus: Adjust tests to new API
Bug: 219875113
Test: atest android.bluetooth.cts.BluetoothLeAudioCodecStatusTest
Merged-In: I6c3da2f8003125be05a376d3024117b4dd1c9ff5
Change-Id: I6c3da2f8003125be05a376d3024117b4dd1c9ff5</t>
  </si>
  <si>
    <t>Fix API in EthernetManagerPermissionTest
Test: builds
Change-Id: Ia9ea4c39b28623f2cbba74501e5e4c6e58c33df4</t>
  </si>
  <si>
    <t>Improve stability of GameService CTS tests
Fix flakiness in
takeScreenshot_expectedScreenshotSaved by
waiting until screenshots are available
on disk before running assertions. Also
show the overlay by default to avoid any
need to interact with the system bars
in order to show the overlay. This
makes the tests simpler and removes the need
to synchronize as many different steps.
Bug: 223981361
Test: atest CtsGameServiceTestCases
Change-Id: I3fb04cd4b7e24f463ce6dfef7672538db44491eb</t>
  </si>
  <si>
    <t>Stop AppSearch CTS tests from using its hidden APIs.
Without this change we would not be able to change/remove those APIs in
future mainline updates.
The one removed testcase was testing a hidden builder API which
is only used in Jetpack on older devices and is not used in framework.
The testcase is moved to a unit test in our mts suite.
Bug: 186717514
Test: AppSearchCtsTests
Change-Id: I068b047be1e5fed4f706060066c436a27f19a1f7</t>
  </si>
  <si>
    <t>TIAF API review: multiple components
Address feedback from API council
Bug: 219501014
Test: atest android.media.tv.interactive.cts.TvInteractiveAppServiceTest
Change-Id: Id2a9da2fae6f425cf29b8133ada2b73bda3f9f7d</t>
  </si>
  <si>
    <t>Revert "Verify hierarchy change for cross-UID ActivityEmbedding"
Revert submission 17157035-cross-process-ae-hierarchy
Reason for revert: broken test b/225331448
Reverted Changes:
Ie102621bd:Verify hierarchy change for cross-UID ActivityEmbe...
I0c3c1d837:Verify hierarchy change for cross-UID ActivityEmbe...
Change-Id: I6da68fddcfc5848867db4222d5500dcc0f5c1a93</t>
  </si>
  <si>
    <t>Hide new route discovery preferences in T
Bug: 193631822
Test: atest CtsMediaMiscTestCases
Change-Id: I762dbaf10881f07281dbf8b9b1705106ece01d2c</t>
  </si>
  <si>
    <t>TIAF API review: remove prepare()
It's no longer necessary and can be confusing
Bug: 219501014
Test: mmm
Change-Id: I76c2123ed00ef9e226da20282bfffbbc6b39bc0c</t>
  </si>
  <si>
    <t>Create a CTS test for IpcDataCache API
Bug: 223912015
Create a CTS test for IpcDataCache.disableForCurrentProcess(String).
This API was missed in the initial CTS test.
Additionally, the CTS test has been cleaned up a bit.  Every test that
creates a test cache, creates the cache with a unique name and api.
This means there is no interaction between tests.  Also, the tests for
disableForcurrentProcess() now clean up the state (using a test-only
API) so the tests could be re-run in the same process.
Test:
 * atest CtsOsTestCases:IpcDataCacheTest
Change-Id: I2b8022995198aa07204568a3c08cd8d15b6d1162</t>
  </si>
  <si>
    <t>CtsMediaEncoderTestCases: Add video encoder capabilities tests
VideoEncoderTest.java also had some tests to verify encoder
capabilities as per CDD. These tests are now split out to
a separate test case and extended for all codecs listed in
the CDD.
Also VideoEncoder's support tests used wrong dimensions for
SD Low quality tests. New tests use the resolutions as
mentioned in CDD.
Bug: 224717826
Test: atest CtsMediaEncoderTestCases:VideoEncoderCapabilitiesTest
Change-Id: Ifa3207fe49123e843a7c1637fd6dc99389e90ddd</t>
  </si>
  <si>
    <t>[DO NOT MERGE] Remove Client Suggestions tests
Bug: 224871426
Test: atest CtsAutoFillServiceTestCases
Change-Id: I8d36c98798f2cbf121cdda03684845913889c4b1</t>
  </si>
  <si>
    <t>Revert^2 "Verify hierarchy change for cross-UID ActivityEmbedding"
Reland ag/17189649
Bug: 197364677
Change-Id: Ifaf9231b155c3ae931a9601bc8ec8f545e9252de</t>
  </si>
  <si>
    <t>Fix API in EthernetManagerPermissionTest
Test: builds
Merged-In: Ia9ea4c39b28623f2cbba74501e5e4c6e58c33df4
Change-Id: Ia9ea4c39b28623f2cbba74501e5e4c6e58c33df4</t>
  </si>
  <si>
    <t>Ensure handwriting session can only be started from inside app bounds
Handwriting should only be started if there is an ongoing stylus gesture
targeted at the focused app. If there is no ongoing stylus gesture on
the focused app, the startStylusHandwriting request will fail.
Update the StylusHandwritingTests for these new requirements.
Bug: 226081811
Test: atest StylusHandwritingTest
Test: manual with HandwritingIme test app
Change-Id: I9cc202a932cc7b79b4c0b0703ba9a3a92465b588</t>
  </si>
  <si>
    <t>Add CTS tests for Absolute Volume Control
Currently only tests the case where the DUT is a playback device and the
System Audio device is a TV, because the CEC client responds &lt;Feature
Abort&gt; to &lt;Set Audio Volume Level&gt; if it is started as an audio system.
Bug: 199144624
Test: tools/cts-tradefed run cts -m CtsHdmiCecHostTestCases -t android.hdmicec.cts.playback.HdmiCecAvcToTvTest
Change-Id: I9aec9682db7f331380facacf954fbbd62c8d8695</t>
  </si>
  <si>
    <t>Add carrier privileges cases in CarrierServiceTest
With CarrierPrivilegesUtil introduced in CTS common lib,
CarrierServiceTest can cover the cases with carrier privileges.
Bug: 215436158
Test: atest android.telephony.cts.CarrierServiceTest
Change-Id: I4d7c2d9af326985ebfe16d54fff24b722d5c71a1
Merged-In: I4d7c2d9af326985ebfe16d54fff24b722d5c71a1
(cherry picked from commit dae05bad9c1b5764f8e3a7ce0b6b2df04a2bfb6f)</t>
  </si>
  <si>
    <t>[MEP]CTS testcases for sim access APIs with portid
Adding testcases for sim access API's with portIndex
Test: atest TelephonyManagerTest#testIccOpenLogicalChannelBySlotAndPort
Test: atest TelephonyManagerTest#testIccCloseLogicalChannelBySlotAndPort
Test: atest TelephonyManagerTest#testIccTransmitApduLogicalChannelBySlotAndPort
Test: atest TelephonyManagerTest#testIccTransmitApduBasicChannelBySlotAndPort
Bug:208739934
Change-Id: Ibb6f7033dafd7745c59bb4e9e511952dc52577a5
Merged-In: Ibb6f7033dafd7745c59bb4e9e511952dc52577a5</t>
  </si>
  <si>
    <t>Update CTS cases to fit the new CarrierPrivilegesCallback interface
Bug: 216549778
Test: atest TelephonyRegistryManagerTest CarrierServiceTest
Change-Id: I00283333fe3adc154015f9eea6195cfca036f330
Merged-In: I00283333fe3adc154015f9eea6195cfca036f330
(cherry picked from commit 87963bd9590b142e4f90bb0e3199f066e2d96308)</t>
  </si>
  <si>
    <t>Refactor DPM tests to use beadstead policy
Bug: 218714382
Test: cts
Ignore-AOSP-First: latest tests are in internal branch
Change-Id: I62df2cc119ac41c229ab74f086dde9a3d2c87534</t>
  </si>
  <si>
    <t>Refactor DefaultDisplayModeTest
Inline the DefaultModeListener to make the tests more readable
Bug: 214909721
Test: atest DefaultModeListener
Change-Id: I6f1175a10d145bd605c521812b7d5494a1d19fc8</t>
  </si>
  <si>
    <t>Clean up EthernetManagerPermissionTest
updateConfiguration can be called by anyone holding the
MANAGE_ETHERNET_NETWORKS permission, but the update request is only
allowed to pass in new NetworkCapabities on automotive devices.
Test: atest EthernetManagerPermissionTest
Change-Id: Iac060fda83079bc1cc8ad14db6eb7f8fc1191c7c</t>
  </si>
  <si>
    <t>Modify WindowUntrustedTouchTest for opacity cap
In topic CL.
Test: atest -d android.server.wm.WindowUntrustedTouchTest
Bug: 218777508
Merged-In: I072bdc628034abce81bc74cc4fb747b38cf5dc1f
Change-Id: I072bdc628034abce81bc74cc4fb747b38cf5dc1f</t>
  </si>
  <si>
    <t>[API Coverage] BluetoothHidDeviceAppQosSettings
Bug: 222569391
Test: atest BluetoothHidDeviceAppQosSettingsTest
Change-Id: I525dc1625e9dbb282d5ac0b94f062c1f5c7f561d</t>
  </si>
  <si>
    <t>Reduce the flaky of Wifi RTT test in open air
Make Wifi scan doesn't affect the RTT result.
1. Migration test to use JUnit4
2. Move the scan to global setupClass
3. Disable the Wifi auto join
4. Back to use the highest RSSI AP to compare the result.
Bug: 222648312
Test: cts WifiRttTest
Change-Id: I9e69ea850c4422195e6390f6d03a8e25e9fcd375</t>
  </si>
  <si>
    <t>mediav2 CTS: Extend CodecEncoderSurfaceTest for 10-bit clips
Bug: 210275761
Test: atest android.mediav2.cts.CodecEncoderSurfaceTest
Change-Id: I658ec523a35e9e22fb0ec50faf8a1209f22cf506</t>
  </si>
  <si>
    <t>Test USE_EXACT_ALARM change disabled on older apps
USE_EXACT_ALARM is only enabled for apps targeting T (SDK 33) or above.
Testing that apps targeting lower do not get this permission.
Test: atest CtsAlarmManagerTestCases:ExactAlarmsTest
Bug: 218533173
Change-Id: I31f3246f93941d666cd512b360089ebdad08e969</t>
  </si>
  <si>
    <t>Improve the performance of App Cloning CTS tests
Improved the performance of App Cloning CTS tests by 15 to 20 seconds on
an average by restructuring the setup and tearDown methods along with
bunch of other improvements mentioned in
go/ac-tests-performance-improvement document. This CL incorporates the
code changes related to the performance improvement mentioned in the doc.
Bug: 218154538
Bug: 217440402
Bug: 217637261
Bug: 218254899
Bug: 217354495
Bug: 220868413
Test: atest com.android.cts.appcloning.AppCloningHostTest
Change-Id: Id6f93253ccfb14a0f07af7f6afef97f477ef5232
(cherry picked from commit 701ed5a2f44c658c5a08592b35f8d005896977d6)</t>
  </si>
  <si>
    <t>Update CTS lost mode location tests
* Remove test case for no location providers because
  there will always be location providers since the logic
  has been updated to use the fused, network and gps providers.
* Fix tests case for no location
Bug: 223148704
Test: atest android.devicepolicy.cts.LostModeLocationTest
Change-Id: I50e5b19473a0bab104435bcb1998c4a576c120de</t>
  </si>
  <si>
    <t>Make testUpdateMccMncConfiguration more stable.
testUpdateMccMncConfiguration was relying on the output of
adb shell am get-config
in order to determine whether the MNC/MCC changes were applied correctly.
In addition to the test being unrealistic due to the fact that it was just
reading internal state from a shell command, it was also susceptible to
format changes in the "am get-config" command.
Refactoring the test to use the actual configuration API instead of a
shell command.
Test: Run CTS test to verify it passes.
Fixes: 227132285
Change-Id: Ia860e47c70f2cabccfc4fc2406cb5438d002bca2</t>
  </si>
  <si>
    <t>Add more CTS tests for VirtualAudioDevice APIs
Because more methods for capture and injection are added, add more CTS
tests to increase the coverage.
Bug: 218528439
Test: atest CtsVirtualDevicesTestCases
Change-Id: I4d82c088348eaf1ef6fbb90debb68dc0a737f34f</t>
  </si>
  <si>
    <t>Revert "[API Coverage] BluetoothLeAdvertiser"
This reverts commit f2c57f544dc83591e95d2938c59af93a3a837807.
Reason for revert: CTS Tests are failing b/226921616
Change-Id: I611d0ea3c76dcb3ceac95c4dee4e537fd91894f5</t>
  </si>
  <si>
    <t>Splitting Resolution/Denisty and Memory into two tests
Test: atest
Change-Id: I05a5df107df9278536bb3768eae14fb71fc09014</t>
  </si>
  <si>
    <t>Delete test for getUseTargetActivityForQuickAccess
Since we don't have the XML attr anymore, we don't need the getter
method.
Since we don't need the getter method, we don't need a test for it
either!
This also means we can clean up QuickAccessWalletClientTest, and remove
a bunch of duplicate services and their respective configurations
Test: atest QuickAccessWalletServiceTest
Bug: 218860062
Change-Id: I6a0ae22e870f98e27dd10e8ed1c8e2ccefd18196
Merged-In: I6a0ae22e870f98e27dd10e8ed1c8e2ccefd18196</t>
  </si>
  <si>
    <t>Flaky test fix.
Bug: 225616474
Fixes: 225616474
Test: atest PackageManagerShellCommandMultiUserTest --iterations
Change-Id: I8b2d5ec5444d7a4812871d1ce2c75ee61d1ccdbf</t>
  </si>
  <si>
    <t>Add NLS Check test for Safety Center disabled
Test: atest NotificationListenerCheckTest
Bug: 216365468
Change-Id: Icdcfa69b8b254df7ab5a2b3b7ccd2bcf3cd63105</t>
  </si>
  <si>
    <t>Reduce runtime for LocaleManager cts
Moves block for setting custom system locales in BeforeClass to run only
once for all tests.
Bug: 225192026
Test: atest CtsLocaleManagerTestCases
Change-Id: I0a8d82f908e1d7b5a9be7055250a78d92c338846</t>
  </si>
  <si>
    <t>Use foreground service instead of low priority activity for
MediaCodecResourceTest
On some devices, lowmemorykiller kills the low priority activity.
Instead, use a foreground service which won't be killed. Also use
broadcasts to communicate that the activity has started and the PID and
UID. This is why the original CL failed in b/224862997 and required a
revert.
Bug: 217746837
Fixes: 217747647
Test: atest MediaCodecResourceTest
Change-Id: I0b09ae9b5122a8b341cc748ea6c656724774ef4a</t>
  </si>
  <si>
    <t>Remove test for automotive feature
In order to properly test that NetworkCapabilities can only be update
when FEATURE_AUTOMOTIVE is present, we would have to somehow adopt the
MANAGE_ETHERNET_NETWORKS permission which the shell does not have.
We could change the implementation to test for FEATURE_AUTOMOTIVE before
testing the permission, but that is quite brittle. Instead, this test
should just be removed.
Test: atest EthernetManagerPermissionTest
Bug: 227626922
Change-Id: Ib7a5e6187fb1a9d71570f83a87ad022a0ba4d986</t>
  </si>
  <si>
    <t>Complete testDefaultUserInitialization CTS
Completed testDefaultUserInitialization CTS test case to cover
following ActivityManagerHelper APIs
  1. startUserInForeground
  2. startUserInBackground
  3. unlockUser
Bug: 217971717
Test: atest CtsCarBuiltinApiHostTestCases:ActivityManagerHelperHostTest
Change-Id: Iec5ff092f6c3d1163674ea82374d887365ea67f9</t>
  </si>
  <si>
    <t>BluetoothLeAudioTest: Add missing test
Bug: 222569594
Test: atest  CtsBluetoothTestCases:android.bluetooth.cts.BluetoothLeAudioTest
Change-Id: Iee7ed8f4ef7fdffe124e35589b843a15f413d26d</t>
  </si>
  <si>
    <t>BluetoothLeAudioTest: Add missing test
Bug: 222569594
Test: atest  CtsBluetoothTestCases:android.bluetooth.cts.BluetoothLeAudioTest
Merged-in: Iee7ed8f4ef7fdffe124e35589b843a15f413d26d
Change-Id: Iee7ed8f4ef7fdffe124e35589b843a15f413d26d</t>
  </si>
  <si>
    <t>Migrate Bluetooth CTS tests to new sysprop APIs
Bug: 217448211
Test: atest CtsBluetoothTestCases
Change-Id: I49ce7911f1cf3616a2b8b1a0b344cef4130b218c</t>
  </si>
  <si>
    <t>Split SensorTest testSensorOperations by sensor type.
Split test cases to make it easier/clearer when adding CddTest
requirement id annotations.
Bug: 219620276
Test: atest android.hardware.cts.SensorTest on Seahawk
Change-Id: Iac7092a68aec6603e0af2b36c8ad6a9f58509616</t>
  </si>
  <si>
    <t>Relax WindowUntrustedTouchTest on released CTS
Due to aosp/2006912, the released behavior changed. This means we can't
enforce the change here in released CTS, so relax the test to allow
versions with and without aforementioned change. Each branch still
enforces behavior of that branch.
Test: atest -d android.server.wm.WindowUntrustedTouchTest
Bug: 218777508
Merged-In: I072bdc628034abce81bc74cc4fb747b38cf5dc1f
Change-Id: I072bdc628034abce81bc74cc4fb747b38cf5dc1f</t>
  </si>
  <si>
    <t>Remove netpermission from cts and move to module
These two tests are used to verify PermissionMonitor relevant
permissions. Thus, they should put into module.
Bug: 228253498
Test: build and run test.
Change-Id: Icffbad5cfe6053a799dab007a93f76225858c2bb</t>
  </si>
  <si>
    <t>VideoEncoderTest: Parameterize by dimensions
Tests in VideoEncoderTest are now parameterized by dimensions and this
helps in reducing the runtime for each individual test.
Bug: 220339758
Bug: 220948587
Test: atest CtsMediaEncoderTestCases:VideoEncoderTest
Change-Id: Idd9531d3088df364577bbe2661d89db7574f0e37</t>
  </si>
  <si>
    <t>Tests for SCHEDULE_EXACT_ALARM denied by default
Updating existing tests to reflect the change in default state of the
permission.
Added few tests for pre-T behavior with SCHEDULE_EXACT_ALARM.
Refactored test app code to reuse across different APKs.
Test: atest CtsAlarmManagerTestCases
Bug: 226439802
Change-Id: Ie08324076e561f8f52269ae57620ca9190723bcf</t>
  </si>
  <si>
    <t>Refactor and extend cts.tagging tests.
* Add tests for exported/isolated/appzygote services with memtagMode and
compat feature overrides.
* Rewrite service tests to check the current tagging mode directly
  instead of crashing the process.
* Make all helper apps a data dependency of the test case.
Bug: 208910418
Test: CtsTaggingHostTestCases
Change-Id: Ice864e04c65b6c2a21e63b96a892989cd43708e2</t>
  </si>
  <si>
    <t>Remove netpermission from cts and move to module
These two tests are used to verify PermissionMonitor relevant
permissions. Thus, they should put into module.
Bug: 228253498
Test: build and run test.
Merged-In: Icffbad5cfe6053a799dab007a93f76225858c2bb
Change-Id: Icffbad5cfe6053a799dab007a93f76225858c2bb</t>
  </si>
  <si>
    <t>Add test coverage for Photo Picker launched via GET_CONTENT
Add support for RunWith Parameterized in PhotoPickerTest. This will test
PhotoPicker launched via PICK_IMAGES and GET_CONTENT both.
Extract tests that are specifically for PICK_IMAGES intent into another
tests.
Bug: 224722174
Test: CtsPhotoPickerTest
Change-Id: Ifc78ddf6e48bd01b5036c010744abe0976f7c2a1</t>
  </si>
  <si>
    <t>Temporarily remove TimeZoneDetectorStatsTest
Temporarily remove TimeZoneDetectorStatsTest since it is 50% flaky and
causing hundreds of presubmit failures a week.
Favoring removal over suppression, because it's not obvious how to
suppress the test. This test will need to be added back once the cause
of the flakiness is determined.
Bug: 228457046
Test: Treehugger
Change-Id: Ib8ec197ccab115f6a96ec32d66a4930a3a2eb5fd</t>
  </si>
  <si>
    <t>Remove NotificationListenerCheckTest CTS test
Bug: 228608819
Bug: 216365468
Test: atest CtsPermissionTestCases
Change-Id: Ib41ff5931aa3c925b4b146a8166d31ad665dadfa</t>
  </si>
  <si>
    <t>BT: Rename test and add builder test for BluetoothLeBroadcastChannel
Bug: 222749349
Test: make, atest
Change-Id: Ibbe426141e948272f8e4c66d8e739eeb351594b6</t>
  </si>
  <si>
    <t>Fix PopupMenuTest#testHoverSelectsMenuItem failure
The `Instrumentation.sendPointerSync` used
INJECT_INPUT_EVENT_MODE_WAIT_FOR_RESULT that would not wait for the
input event to finish being handled by the application.
This CL Replaced it by `CtsMouseUtil` so we can guarantee the
application could handle the event before it return.
Bug: 228201593
Test: atest PopupMenuTest
Change-Id: I5d14b92d774a17992aec8f026847f26b21b00556</t>
  </si>
  <si>
    <t>Revert "[CTSVerifier] Adding Screenshot Metadata"
Revert "[CTS V] Adding Handler for Screenshots Metadata"
Revert submission 2056613-screenshots_metadata
Reason for revert: b/228880436
Reverted Changes:
I1fd7650bb:[CTS V] Adding Handler for Screenshots Metadata
I21ee20d12:[CTSVerifier] Adding Screenshot Metadata
Change-Id: Ie7ee00a2ad7f3208d8888dfc45dd48df3d7b5d21</t>
  </si>
  <si>
    <t>Disable highly flakey test blocking 2206 runs every week.
BUG: 228342764
Change-Id: I978d41f399005bb1fe958d743f5a6de8b5c2f834
Merged-In: I978d41f399005bb1fe958d743f5a6de8b5c2f834
(cherry picked from commit 11872bfe48fc2946b9e126cf646020ceea4790e2)</t>
  </si>
  <si>
    <t>signature tests: Improve error handling in tests
Previously, the NoFailures and ExpectFailure classes would throw an
AssertionError in their notifyFailure() method. The calling code would
catch that exception and call notifyFailure() again with a
CAUGHT_EXCEPTION error which would cause the notifyFailure() to fail
again by which the time the original exception was lost.
This change simply collates all the failures into a list and then does
the checking at the end. It also adds tests for failure conditions to
ensure that the original exception is not lost.
Bug: 228322252
Test: atest --host signature-host-tests
Change-Id: I63ac436d1bc3e375a59c0279f9629e34bceb9e98</t>
  </si>
  <si>
    <t>Fix DreamOverlayTest.
This changelist updates how DreamOverlayTest interacts with DreamManager to set the active dream.
Bug: 214401991
Test: atest DreamOverlayTest
Change-Id: Icfe10bd9a5bf9dd1c0b8e7bdfc683b95b7b86ac6</t>
  </si>
  <si>
    <t>Add PolicyDoesNotApplyTest to nearby streaming policy test
Bug: 217224856
Test: atest android.devicepolicy.cts.NearbyAppStreamingPolicyTest &amp;&amp; atest android.devicepolicy.cts.NearbyNotificationStreamingPolicyTest
Change-Id: I49ef73004b95e16728a0192a398058f446a397ea</t>
  </si>
  <si>
    <t>Migrate Bluetooth CTS tests to new sysprop APIs
Bug: 217448211
Test: atest CtsBluetoothTestCases
Merged-In: I49ce7911f1cf3616a2b8b1a0b344cef4130b218c
Change-Id: I49ce7911f1cf3616a2b8b1a0b344cef4130b218c</t>
  </si>
  <si>
    <t>Updating tests for exact alarms
For apps targeting T, SCHEDULE_EXACT_ALARM will be denied by default.
Changing instrumentation to use USE_EXACT_ALARM, which cannot be
revoked.
Refactored some code in helper apps.
Test: atest CtsAlarmManagerTestCases
Bug: 226439802
BYPASS_INCLUSIVE_LANGUAGE_REASON=existing method names
Change-Id: I26cd0045010fb7e28d8dd715648f055910779403</t>
  </si>
  <si>
    <t>Fix DisplayTest on large screen device
This tests fail on large screen device because the device may choose
to ignore orientation request.
This CL port IgnoreOrientationRequestSession from
ActivityManagerTestBase to make it usable outside of WM CTS module.
Test: atest DisplayTest ConfigurationScreenLayoutTest
fixes: 225277159
Change-Id: I1b5b49694e3ecebe52102e312e377b08abd8f872</t>
  </si>
  <si>
    <t>Wait for the correct callbacks in ToolbarActionBarTest
Currently, the test injects a key event and then uses 'waitForIdleSync'
to pass. However, that's not the right callback to wait for.
Instead, use the correct callbacks:
1. After injecting key events, ensure activity receives the events
2. Instead of checking state immediately, use a PollingCheck. This way,
   changes are given the chance to propagate.
3. Stop using deprecated test classes
4. Switch to Kotlin
Bug: 229623669
Test: atest ToolbarActionBarTest
Change-Id: I60285d1350ecd5fac5cc2aab86467230a826c367</t>
  </si>
  <si>
    <t>Fix the flaky TaskInfoHelperTest.
- Home was launched in ActivityManagerTestBase#setUp, wait for Home is
  visible, not to mix the event of TaskView Activity with TestActivity.
- Rename some method as the camel case.
Bug: 229754192
Test: atest TaskInfoHelperTest --iterations
Change-Id: I2ad68ac40759b18774f9d0b502570dc59e5cf593</t>
  </si>
  <si>
    <t>CTS for trampoline block on default browser
1. Pull browser activity into common component.
2. Create new Api32 frozen test app, test that this allows trampolines
3. Test that Api current is blocked from trampolines
Test: atest -d android.app.cts.NotificationManagerTest
Change-Id: Id2c32bc3467a0a75843d3885d79ae769472cb6b1</t>
  </si>
  <si>
    <t>RESTRICT AUTOMERGE Fix a CTS-V crash issue that happens when running CameraITS test
Static variables that help check if the test are from main view could be reset to a wrong value in some cases. This change removes related static variables and move the check logic from the parent class to child classes.
Copy from https://android-review.googlesource.com/c/platform/cts/+/1908157
Bug: 224457999
Test: CameratITS test
Change-Id: I7fe70cfd04a5d292680cc0e1a039612ad9a4f907
(cherry picked from commit 52e1582c3ca0016f1f94b74b33b0a79e2b271723)</t>
  </si>
  <si>
    <t>Parameterize Vibrator CTS test.
Consolidate tests of the Vibrator interface into a single
Parameterized test, and run it on all the vibrators of the device.
Remove pure duplication from VibratorManagerTest, but it should
still have CombinedVibration-based tests.
While there, convert the tests to use truth assertThat, so that
test failures include more details about the failed condition.
And switch to ActivityScenarioRule rather than the deprecated
ActivityTestRule: this change saves ~5s per test due to a
stop-&gt;destroy delay (perhaps a flaw in ATR).
Test: atest
Bug: 228969274
Change-Id: I5fd8e2106e3bfb0648bee528514ea05c286df531</t>
  </si>
  <si>
    <t>signature tests: Allow parsing of API resources statically
Previously, the parseApiResourcesAsStream() functionality could only be
used from an instance method, not a static method. That was because the
getZipEntryFiles() method (which is used to flatten a zip resource) had
to be overridden by SignatureMultiLibsTest to select only those API
files that correspond to a shared library installed on the device.
In preparation for follow up changes that will parse those files
statically (or at least outside a specific instance) this makes the
following changes:
* While parseApiResourcesAsStream() is still static it delegates most
  of the work to the static retrieveApiResourcesAsStream() method.
* The readResource method takes an extra ClassLoader parameter instead
  of using the instance's class' ClassLoader.
* Variuos methods are made static/private as needed/possible.
* SignatureMultiLibsTest removes its override of getZipEntryFiles()
  and instead calls retrieveApiResourcesAsStream() and applies its
  checkLibrary filter to the stream before parsing.
Bug: 228322252
Test: cts/tests/signature/runSignatureTests.sh
      atest --host signature-host-tests
Change-Id: I7e41447ae66a804cf6882a43f8c408c8c40a361e</t>
  </si>
  <si>
    <t>signature tests: Memoize access to info derived from instrumentation args
This change memoizes access to information derived from instrumentation
arguments as static Supplier objects.
Instrumentation args are provided to the whole process not just an
individual class so it is safe to memoize information derived from
those arguments at the class level. Memoizing all access means that
the test does not need to enforce a specific initialization order.
This will be important in follow up changes which will use the memoized
information outside the normal flow of execution within a test.
Bug: 228322252
Test: cts/tests/signature/runSignatureTests.sh
      atest --host signature-host-tests
Change-Id: Ia5c55b87d0fe219fbf6e0e0f583d557ec4ed49ab</t>
  </si>
  <si>
    <t>signature tests: Split SignatureTest.testSignature
Previously the testSignature method would perform three different
tests:
1. Verifying that classes which were listed as inaccessible are
   inaccessible.
2. Verifying compatibility between the runtime and the current API.
3. Verifying compatibility between the runtime and previous APIs.
Errors from the latter 2 are indistinguishable which makes debugging
issues with them much trickier. This change splits the single method
into separate test methods to make failures easier to debug.
Bug: 228322252
Test: cts/tests/signature/runSignatureTests.sh
      atest --host signature-host-tests
Change-Id: I20a180569556ecf8e252cde7eecdfb2b17927bf4</t>
  </si>
  <si>
    <t>Fix the RuntimeException failure
Used assertThrows to avoid to add a new shell command for the test.
Bug: 217972422
Test: atest CtsCarBuiltinApiTestCases:SystemPropertiesHelperTest
Change-Id: I9fe60b61369fe4daa5ce5a59b7d9927c3f7a2c85</t>
  </si>
  <si>
    <t>mediav2 CTS: Update muxer unit tests
Unit tests for media muxer constructor are updated according to
the requirements of MediaMuxer() and AMediaMuxer_new()
1. Write only fd is accepted by all writers. But for webm writer if the
   fd is write only, then the clip is not playable because of failed
   mmap64(). Testing webm exclusively for write only fd is not viable as
   part of cts hence the test is removed completely.
2. Created pipe fd and passed write end of pipe to muxer to validate
   that muxer creation rejects a non-seekable file descriptor.
3. Enabled earlier disabled MediaMuxer Constructor unit tests.
Bug: 146417874
Test: atest android.mediav2.cts.MuxerUnitTest
Change-Id: Ia1b2978345ba2d09ef71e9596031b956dd5e7ad9</t>
  </si>
  <si>
    <t>Fix failing DPM API tests
Fixed failing tests for shouldAllowBypassingDevicePolicyManagementRoleQualification and moved them to a different class
Fixes: 228596883
Test: atest android.devicepolicy.cts.DevicePolicyManagementRoleHolderTest
Test: atest android.devicepolicy.cts.DevicePolicyManagerTest
Change-Id: Ic50d0eef6ff8058923cc0fc47fc6d985e18f145a</t>
  </si>
  <si>
    <t>BT: Fix BluetoothLeBroadcastAssistantTest
* Implement correct test method and expectations
* Assert on correct exception types
Test: atest CtsBluetoothTestCases
Bug: 229790402
Fixes: 229790402
Change-Id: I12d4465c97a5df92bd6834d4d58164fd5911e0bc</t>
  </si>
  <si>
    <t>Revert "Add test coverage for Photo Picker launched via GET_CONTENT"
This reverts commit 065fc21c378291a3fd4e5576db0a125bb833dfa4.
Reason for revert: b/230425536
Change-Id: Ibf6bba586d977a83e755241f750f44c8ed2f751e</t>
  </si>
  <si>
    <t>Add some missing current API files for shared libraries
Although the android.test.* and org.apache.http.legacy shared libraries
have their own specialized signature tests treating all shared
libraries consistently allows for the tests to be parameterized.
Bug: 228322252
Test: atest CtsSharedLibsApiSignatureTestCases
      - check the logs to make sure the open files are not leaked.
Change-Id: Iadaf477a3a944ab0eaf8fe68685cb7c963110859</t>
  </si>
  <si>
    <t>Fixes testUserCreatedOnStartUpForHeadlessSystemUser
It was failing due to a race condition as the current user is
marked as ephemeral when removed.
Test: atest CtsCarHostTestCases:android.car.cts.CarServiceHelperServiceTest#testUserCreatedOnStartUpForHeadlessSystemUser
Bug: 229813385
Change-Id: If96f9313bb77720a20bd47ec1f05e9f4e9ee49f1</t>
  </si>
  <si>
    <t>Rename EncoderInitializationLatencyTest
Renamed EncoderInitializationLatencyTest as
CodecInitializationLatencyTest as this test will be extended to
test decoder initialization latency in subsequent CLs.
Bug: 216172824
Test: CtsMediaPerformanceClassTestCases:CodecInitializationLatencyTest
Change-Id: If9f486e989d147a832f831a1ecdc6d4bccf34c43</t>
  </si>
  <si>
    <t>Changing Requirement#checkPerformanceClass to ignore if
given devicePerfClass is not handled by a required meausrement
Test: atest MediaPerformanceClassCommonTests
Bug: 228566023
Change-Id: I4e3775710d221a831bb5daef61ea400643d28e16</t>
  </si>
  <si>
    <t>mediapc: add decoder initialization latency tests
Bug: 216172824
Bug: 222006626
Test: atest CtsMediaPerformanceClassTestCases
Change-Id: I719aea05d34df19ce10c345cdac2567909115683</t>
  </si>
  <si>
    <t>Add ResourceStore to cache extracted zip files
Previously, parsing the contents of a zip resource would always cause
it to be copied to the local store first, evn if it had previously been
copied. That was not an issue because each file was only parsed once by
a single test method. In order to allow for different entries in the
zip resource to be parsed by separate tests this change caused the
local file to be cached so it can be reused avoiding unnecessary
copies.
This makes sure to close the files after the test has run but clean up
of the local files is left to CTS.
Bug: 228322252
Test: atest CtsSharedLibsApiSignatureTestCases
      - check the logs to make sure the open files are not leaked.
Change-Id: Ia701eab46c2932e122a086f3b3b38c326e731049</t>
  </si>
  <si>
    <t>BT: Fix BluetoothLeBroadcastAssistantTest
* Implement correct test method and expectations
* Assert on correct exception types
Test: atest CtsBluetoothTestCases
Bug: 229790402
Fixes: 229790402
Change-Id: I12d4465c97a5df92bd6834d4d58164fd5911e0bc
Merged-In: I12d4465c97a5df92bd6834d4d58164fd5911e0bc
(cherry picked from commit e98c2545ce2db68e37228f6c9a6b8f03790982c5)</t>
  </si>
  <si>
    <t>Cleaning up test to use TestDevice APIs
TestDevice APIs take care of setting up the ContentProviderHandler or
executing the same calls when the handler is not set up as well. This
should likely improve the flakiness of the test.
Bug: 217354495
Test: atest CtsAppCloningHostTest:com.android.cts.appcloning.AppCloningHostTest#testCreateCloneUserFile
Change-Id: I778d7e6825b5366d3c2774ed96a54f7bab613fb8</t>
  </si>
  <si>
    <t>Parameterize the SignatureMultiLibsTest tests
Creates a test for each shared library that the test can test. If a
device does not support a specific library then the library specific
test will fail with an assumption failed result.
Bug: 228322252
Test: atest CtsSharedLibsApiSignatureTestCases
      - removed javax.obex from the set of available shared libraries
        and verified that the tests reported ASSUMPTION_FAILED
Change-Id: I5522091d1413638f1efc36b7137b07bd6f39968d</t>
  </si>
  <si>
    <t>Fix the flaky ActivityManagerHelperTest.
- Wait for Home is visible before starting the tests.
- Test onForegroundActivitiesChanged, not onProcessDied, because the
  process can be killed in a very long time later, even if the task
  was removed.
Bug: 229345069
Bug: 229664076
Test: atest ActivityManagerHelperTest --iterations
Change-Id: I468f3af47afebdc68aed6ae3979314b686e4fef6</t>
  </si>
  <si>
    <t>Revert "Add CTS tests to enforce PUSH_BLANK_BUFFERS_ON_STOP"
This reverts commit 03fa14e458a9bb85c1d3e23103b761691cde86af.
Codec2 IGBP#dequeueBuffer is non-blocking and happens on the codec
process. IGBP#dequeueBuffer on framework side could fail if there is no
ready buffer. Polling and waiting from framework side is not suitable by
design. Resolve this issue afterwards and re-land the CTS.
Bug: 230835807
Bug: 210587592
Change-Id: I7f73d5a3c615265b9775c035cd1dca627ab239af</t>
  </si>
  <si>
    <t>Remove unused test api
Test: this
Bug: 231344755
Change-Id: I75c8702c3c28a9412362f04815a23c2c79461635</t>
  </si>
  <si>
    <t>Fix CtsLocationGnssTestCases for automotive by revoking location permissions.
Similar to
https://android-review.googlesource.com/c/platform/cts/+/1955338/
Test: run cts -m CtsLocationGnssTestCases
Bug: 227811787
Bug: 230921567
Change-Id: I795eabbe5bd1d6a3be2e99bbb6829cd1d79ad996
Merged-In: I795eabbe5bd1d6a3be2e99bbb6829cd1d79ad996</t>
  </si>
  <si>
    <t>Update virtual device tests after synchronizing pointer API
After synchronizing virtual input device creation and the API to change
the pointer display override, we can update the tests to remove the
sleep and rely on getCursorPosition API.
Bug: 216792538
Test: atest VirtualMouseTest VirtualTouchscreenTest VirtualKeyboardTest
Change-Id: I3dfceda221892d01c921a342af5dbcea7214fd38</t>
  </si>
  <si>
    <t>signature tests: Memoize access to info derived from instrumentation args
This change memoizes access to information derived from instrumentation
arguments as static Supplier objects.
Instrumentation args are provided to the whole process not just an
individual class so it is safe to memoize information derived from
those arguments at the class level. Memoizing all access means that
the test does not need to enforce a specific initialization order.
This will be important in follow up changes which will use the memoized
information outside the normal flow of execution within a test.
Bug: 228322252
Test: cts/tests/signature/runSignatureTests.sh
      atest --host signature-host-tests
Merged-In: Ia5c55b87d0fe219fbf6e0e0f583d557ec4ed49ab
Change-Id: Ia5c55b87d0fe219fbf6e0e0f583d557ec4ed49ab
(cherry picked from commit 20bd6fe0d4ca377bc8d01c7ad4bf220642cfa337)</t>
  </si>
  <si>
    <t>signature tests: Split SignatureTest.testSignature
Previously the testSignature method would perform three different
tests:
1. Verifying that classes which were listed as inaccessible are
   inaccessible.
2. Verifying compatibility between the runtime and the current API.
3. Verifying compatibility between the runtime and previous APIs.
Errors from the latter 2 are indistinguishable which makes debugging
issues with them much trickier. This change splits the single method
into separate test methods to make failures easier to debug.
Bug: 228322252
Test: cts/tests/signature/runSignatureTests.sh
      atest --host signature-host-tests
Merged-In: I20a180569556ecf8e252cde7eecdfb2b17927bf4
Change-Id: I20a180569556ecf8e252cde7eecdfb2b17927bf4
(cherry picked from commit ec57a60319c773cd46e43bccafa410ce01855222)</t>
  </si>
  <si>
    <t>Add some missing current API files for shared libraries
Although the android.test.* and org.apache.http.legacy shared libraries
have their own specialized signature tests treating all shared
libraries consistently allows for the tests to be parameterized.
Bug: 228322252
Test: atest CtsSharedLibsApiSignatureTestCases
      - check the logs to make sure the open files are not leaked.
Merged-In: Iadaf477a3a944ab0eaf8fe68685cb7c963110859
Change-Id: Iadaf477a3a944ab0eaf8fe68685cb7c963110859
(cherry picked from commit 0993a325f6510a0142d7aa726a96f58875304eeb)</t>
  </si>
  <si>
    <t>Parameterize the SignatureMultiLibsTest tests
Creates a test for each shared library that the test can test. If a
device does not support a specific library then the library specific
test will fail with an assumption failed result.
Bug: 228322252
Test: atest CtsSharedLibsApiSignatureTestCases
      - removed javax.obex from the set of available shared libraries
        and verified that the tests reported ASSUMPTION_FAILED
Merged-In: I5522091d1413638f1efc36b7137b07bd6f39968d
Change-Id: I5522091d1413638f1efc36b7137b07bd6f39968d
(cherry picked from commit 7962c461bd83209d3d8ad6752d189d22ecb424fc)</t>
  </si>
  <si>
    <t>Add ResourceStore to cache extracted zip files
Previously, parsing the contents of a zip resource would always cause
it to be copied to the local store first, evn if it had previously been
copied. That was not an issue because each file was only parsed once by
a single test method. In order to allow for different entries in the
zip resource to be parsed by separate tests this change caused the
local file to be cached so it can be reused avoiding unnecessary
copies.
This makes sure to close the files after the test has run but clean up
of the local files is left to CTS.
Bug: 228322252
Test: atest CtsSharedLibsApiSignatureTestCases
      - check the logs to make sure the open files are not leaked.
Merged-In: Ia701eab46c2932e122a086f3b3b38c326e731049
Change-Id: Ia701eab46c2932e122a086f3b3b38c326e731049
(cherry picked from commit c3cccae390148dc42b03e76914b79d5a2eabe384)</t>
  </si>
  <si>
    <t>Remove wallpaper dimming CTS tests as they are going to be GTS tests.
Bug: 231582174
Test: atest WallpaperManagerTest
Change-Id: I386e81ce90fee5c523e8fd8bcfeb6c2242a4f410</t>
  </si>
  <si>
    <t>Merge "Changing Requirement#checkPerformanceClass to ignore if given devicePerfClass is not handled by a required meausrement" am: c8048b1933 am: 0a79c3ec4f
Bug: 228566023
Original change: https://android-review.googlesource.com/c/platform/cts/+/2076101
Change-Id: I977514205865ccae8c2cc41b93ed8951e1fe9dce
Signed-off-by: Automerger Merge Worker &lt;android-build-automerger-merge-worker@system.gserviceaccount.com&gt;
(cherry picked from commit cc5b9ff46c66484026c3c2a4e272625612c21099)</t>
  </si>
  <si>
    <t>Move BroadcastResponseStats related tests to separate class.
We want to make sure we are testing the new broadcast response
stats related APIs without holding the PACKAGE_USAGE_STATS
permisison.
Bug: 225039700
Test: atest tests/tests/app.usage/src/android/app/usage/cts/UsageStatsTest.java
Change-Id: Ic5612cff155a746939002f28c190bfade3b45031</t>
  </si>
  <si>
    <t>Keeping exact alarm tests current
The change SCHEDULE_EXACT_ALARM_DENIED_BY_DEFAULT is now disabled by
default. Updating the tests to reflect that state.
Test: atest CtsAlarmManagerTestCases:ExactAlarmsTest
Bug: 231661074
Bug: 226439802
Change-Id: If197e2f12583907ec93f0da2d9449f1e27a08c26</t>
  </si>
  <si>
    <t>Add test coverage for bundle extras
Bug: 231432017
Test: atest DevicePolicyManagerTest
Change-Id: I5305af06b3093e9d4e82660c9d42e9722e8f76da
Merged-In: I5305af06b3093e9d4e82660c9d42e9722e8f76da</t>
  </si>
  <si>
    <t>Fix SurfaceControlTest cts which uses BT2020 dataspace.
- BT2020 issue is tracked here b/230400473 and we prefer not to use this
  dataspace for now.
- Use Display_p3 for the case.
Bug: 231537917
Test: SurfaceControlTest
Change-Id: I8e35d66ef851dcb5d3b3d5e7e7940f8c544607c9</t>
  </si>
  <si>
    <t>mediapc: evaluator changes for init latency tests
Bug: 228104072
Test: atest CtsMediaPerformanceClassTestCases
Change-Id: I6449e3a6b59c466be6184f440ce3352df9e24d7c</t>
  </si>
  <si>
    <t>Updated CTS test for Android Security b/194695497
Bug: 194695497
Bug: 206513471
Test: Ran the new testcase on android-12.0.0_r1 with/without patch
Change-Id: I0c761f90717188c623a4fbc492e0d1a130c18853</t>
  </si>
  <si>
    <t>Updated CTS test for Android Security b/194695497
Bug: 194695497
Bug: 206513471
Test: Ran the new testcase on android-11.0.0_r1 with/without patch
Change-Id: I0c761f90717188c623a4fbc492e0d1a130c18853
Merged-In: I0c761f90717188c623a4fbc492e0d1a130c18853</t>
  </si>
  <si>
    <t>Updated CTS test for Android Security b/194695497
Bug: 194695497
Bug: 206513471
Test: Ran the new testcase on android-10.0.0_r45 with/without patch
Change-Id: I0c761f90717188c623a4fbc492e0d1a130c18853
Merged-In: I0c761f90717188c623a4fbc492e0d1a130c18853</t>
  </si>
  <si>
    <t>Merge "Rename EncoderInitializationLatencyTest" am: 97dd873064 am: 001f61bfe8
Original change: https://android-review.googlesource.com/c/platform/cts/+/2076979
Bug: 216172824
Change-Id: Ifb15b738d74ca253f1e102f874c037aa40108671
Merged-In: If3d62a1261c141d19b643b65c5d24469003bc4db
Merged-In: I30d76f74bf598a177649fb0afe2cc6ec73e8f256
Merged-In: Ifb15b738d74ca253f1e102f874c037aa40108671
Merged-In: I387fded9d908c2d9096939f47e2d0a14d0515de2
Signed-off-by: Automerger Merge Worker &lt;android-build-automerger-merge-worker@system.gserviceaccount.com&gt;
(cherry picked from commit 31f1d861f8f365b356a18927c964eed420e4036b)</t>
  </si>
  <si>
    <t>Merge "mediapc: add decoder initialization latency tests" am: eb410f3740 am: aad7a5c489
Original change: https://android-review.googlesource.com/c/platform/cts/+/2022162
Change-Id: I1f60432bc79a9982778ad862758f879d4e18cead
Merged-In: I1f60432bc79a9982778ad862758f879d4e18cead
Merged-In: I8ef46dd2d7d941a6674de1e83e4385ef6dec23e7
Merged-In: Ie836bd93480c63e72ca894d1134130aef3f20154
Merged-In: I4a53467cfa88bd897e680612489bf0246c06cfb0
Signed-off-by: Automerger Merge Worker &lt;android-build-automerger-merge-worker@system.gserviceaccount.com&gt;
(cherry picked from commit e46616dd7315c2749de3c5b4f5654d9c3c5a81d9)</t>
  </si>
  <si>
    <t>Fix more flaky telephony CTS tests on CF
Test: atest CtsTelephonyTestCases
Bug: 230492240
Change-Id: I77c80016ade45a68d3a0c00183531e426911a64b</t>
  </si>
  <si>
    <t>Improve CamcorderProfileTest handling back camera
CamcorderProfile test assumed that devices always have a back facing
camera. The CDD only says 'should have'. Modify test to behave
correctly when devices don't have this camera.
Also, changed CamcorderProfileTest to use JUnit4
Bug: 227267522
Test: cts CtsMediaMiscTestCases / android.media.misc.cts.CamcorderProfileTest
Change-Id: Idcf42c6f0baf6f94ae0043bd9519ab6b5bfb774f</t>
  </si>
  <si>
    <t>Update telephony CTS per the new feature flags
Bug: 210154414
Test: atest CtsTelephonyTestCases
Test: atest CtsTelecomTestCases
Change-Id: I3a974bcd678fb441aecbdd889bf309eeb40fb2b5
Merged-In: I3a974bcd678fb441aecbdd889bf309eeb40fb2b5</t>
  </si>
  <si>
    <t>Move slow set/unset PO and DO tests out of CTS and into Nene Tests.
Fixes: 230218709
Test: atest android.devicepolicy.cts.DevicePolicyManagerTest
Test: atest com.android.bedstead.nene.devicepolicy.DeviceOwnerTest
Test: atest com.android.bedstead.nene.devicepolicy.ProfileOwnerTest
Change-Id: I42c17ae133bf7cd1608e678bab681cdfd60cb27d
Merged-In: I42c17ae133bf7cd1608e678bab681cdfd60cb27d</t>
  </si>
  <si>
    <t>Revert "Revert "Revert "Add cts test to verify 2 AssetFileDescri..."
Revert "Revert "Revert "Have AssetFileDescriptor.AutoCloseInputS..."
Revert submission 16087948-revert-16067235-revert-15961171-168310122-WKLKVKBBZJ-AAKZNKPXHH
Reason for revert: depends on cl that is being reverted also
Reverted Changes:
I470a777e0:Revert "Revert "Have AssetFileDescriptor.AutoClose...
Id3611826b:Revert "Revert "Add cts test to verify 2 AssetFile...
Fixes: 204612606
Test: manual
Change-Id: Iaff0703b9ed9b3457afbfe1161df40ec8e5d0423</t>
  </si>
  <si>
    <t>Test DPO protection vs task manager stop
Fixes: 228111137
Test: atest com.android.cts.devicepolicy.DeviceOwnerTest
Change-Id: I40f68512bfda2d0d0f91e11877576be5321ee3cd</t>
  </si>
  <si>
    <t>Revert "Update WindowUntrustedTouchTest"
This reverts commit 9f48672fe8aefafc2bb544a5db923a95cfee61cd.
Reason for revert: ActivityRecordInputSink now allows some touches to pass through
Bug: 231701903
Test: atest CtsWindowManagerDeviceTestCases:WindowUntrustedTouchTest
Change-Id: I7de60dd98af11dff870bcb936a60076b90dec873
Merged-In: I7de60dd98af11dff870bcb936a60076b90dec873</t>
  </si>
  <si>
    <t>Improve CamcorderProfileTest handling back camera
CamcorderProfile test assumed that devices always have a back facing
camera. The CDD only says 'should have'. Modify test to behave
correctly when devices don't have this camera.
Also, changed CamcorderProfileTest to use JUnit4
Bug: 228931039
Test: cts CtsMediaMiscTestCases / android.media.misc.cts.CamcorderProfileTest
Change-Id: Idcf42c6f0baf6f94ae0043bd9519ab6b5bfb774f
(cherry picked from commit 97ec47e95030062c59a41cfc94c3876bb3b80892)
Merged-In: Idcf42c6f0baf6f94ae0043bd9519ab6b5bfb774f</t>
  </si>
  <si>
    <t>Disable testImeAutofillDefaultSupportedLocalesIsEmpty_changeDisabled
The test tests on the test tool class, we cannot find the
reason before the deadline, so we disable this test first
and create another bug to find the root cause.
Bug: 232331214
Test: atest InlineSuggestionsRequestHostTest
Change-Id: I9c7710f62f6415039c45ff65d17a412fe5bdfb12</t>
  </si>
  <si>
    <t>Fix CtsLocationGnssTestCases for automotive by revoking location permissions.
Similar to
https://android-review.googlesource.com/c/platform/cts/+/1955338/
Test: run cts -m CtsLocationGnssTestCases
Bug: 227811787
Change-Id: I795eabbe5bd1d6a3be2e99bbb6829cd1d79ad996
Merged-In: I795eabbe5bd1d6a3be2e99bbb6829cd1d79ad996</t>
  </si>
  <si>
    <t>Revert "update to handle ACTION_RCS_SINGLE_REGISTRATION_CAPABILITY_UPDATE intent"
This reverts commit 2173edfae397abeef859bb1d01a84dcdcd3a41f3.
Reason for revert: DroidMonitor: Potential culprit for Bug 233156379 - verifying through ABTD before revert submission. This is part of the standard investigation process, and does not mean your CL will be reverted.
Change-Id: Ic2e6fa4e85d853f314ec531dac0daa4e9e7593ad</t>
  </si>
  <si>
    <t>Fix ConfigurationScreenLayoutTest
The test failure is because this test assumes that ...
1. the value from DisplayMetrics is used for
   computing screen layout.
2. screen layout won't change from one orientation to another
Then, if we change the inset which affect screenHeight/Width of
Activity, it breaks the test.
This CL fixes the failure by fixing the assumption above.
fixes: 232476228
Test: atest ConfigurationScreenLayoutTest --start-avd
Change-Id: I230d3a4951f4d8d0612fef95e702755fb9a36e46</t>
  </si>
  <si>
    <t>FSVerity tests for Checksums API.
Test: atest ChecksumsTest
Test: follow instructions in readme.txt on how to run
testFixedFSVerityDefault* tests, then atest ChecksumsTest
Bug: 233217301
Change-Id: I809719f5c3365d52c69b70910a745886ae882322</t>
  </si>
  <si>
    <t>mediapc: add concurrent secure decoder tests
Bug: 216172824
Test: atest CtsMediaPerformanceClassTestCases
Change-Id: I2d1545ec43d0bcb0b811124fbc85c998f14fa068</t>
  </si>
  <si>
    <t>Merge "mediapc: evaluator changes for init latency tests" am: f80d068c2d am: c9c0eed2b8 am: ea901cf966 am: 89a5a5b7eb am: 6f144dad22
Original change: https://android-review.googlesource.com/c/platform/cts/+/2092523
Change-Id: I166ce269acb71d89d797bf194bcef0625ab4eb74
Merged-In: I166ce269acb71d89d797bf194bcef0625ab4eb74
Merged-In: Ie0984fc600d8297293636379e267157c6c90b20f
Merged-In: I49db6b9b3f874d676048c536efe593e9d91d7280
Merged-In: I6d42b1d83666bbd35a9ae09b775e3b6cc055392c
Signed-off-by: Automerger Merge Worker &lt;android-build-automerger-merge-worker@system.gserviceaccount.com&gt;
(cherry picked from commit 3130b15d4e77fbe49826517e4e07d4d29bb6455b)</t>
  </si>
  <si>
    <t>Verify selectable TextViews can be translated.
Bug: 202966891
Test: atest CtsTranslationTestCases
Change-Id: I17385814f27d75990e40342863059a3c6d6b227e</t>
  </si>
  <si>
    <t>mediapc: add concurrent secure decoder tests
Bug: 216172824
Test: atest CtsMediaPerformanceClassTestCases
Change-Id: I2d1545ec43d0bcb0b811124fbc85c998f14fa068
(cherry picked from commit ed46c4eb87007c4e75fc6836cec64e990212b577)
Merged-In: I2d1545ec43d0bcb0b811124fbc85c998f14fa068</t>
  </si>
  <si>
    <t>Use CarrierPrivilegesCallback to track carrier
privileges changes.
CarrierPrivilegeTracker and testHasCarrierPrivilegesViaCarrierConfigs()
depend on CARRIER_CONFIG_CHANGED broadcast to trigger processing events.
The test seems to be getting the broadcast first sometimes, then immediately
calling into CPT, which appears not to have processed the same event yet,
so its PrivilegedPackageInfo doesn't include the test.
Instead of broadcast, it is better to wait for CarrierPrivilegesCallback
before asserting the test has privileges.
Bug: 232486464
Test: atest android.telephony.cts.TelephonyManagerTest#testHasCarrierPrivilegesViaCarrierConfigs
atest CtsTelephonyTestCases:android.telephony.cts.TelephonyManagerTest#testGetCarrierInfoForImsiEncryption
Change-Id: Ie6b001ea1530e85191f952199be4444b462dce29
Change-Id: Id0f1ef456f5fed665406c8197b16be46c45c4660</t>
  </si>
  <si>
    <t>InputMethodInfoTest: simplify check for FBE
The usual way to check whether a device has FBE enabled is to check
whether the system property ro.crypto.type has the value "file".  Make
InputMethodInfoTest use this way, instead of the more unusual way of
checking whether running 'sm get-fbe-mode' prints "native".
(The only reason that 'sm get-fbe-mode' exists is to allow determining
whether a device is using emulated FBE.  That's basically never useful,
and support for emulated FBE is planned to be removed anyway.)
Test: atest android.view.inputmethod.cts.InputMethodInfoTest # on Cuttlefish
      Also checked that the relevant test case wasn't skipped.
Change-Id: Icdbcdf8a298964bc9cdc12486317e0c080c5f25d</t>
  </si>
  <si>
    <t>Migrate BluetoothLeAudio GTS tests to CTS
Bug: 227548535
Test: atest BluetoothLeAudioTest
Change-Id: Ia0ad35bf8c267b90885671ced16ef2bc24bba85a</t>
  </si>
  <si>
    <t>Modify tests for SaveUi and FillDialogUi changed
The background of SaveUi and FillDialogUi become non-touchable. that
cause UiAutomator cannot search the component of the background
activity. Also cannot directly focus on the view of the activity.
So makes new structure to listen activity started on background and
new way to cancel the dialog.
Bug: 222619949
Test: atest CtsAutoFillServiceTestCases
Change-Id: Ib25b682fdbb575dc7e88dea3c398ec0d1693dfca</t>
  </si>
  <si>
    <t>Allow the default mode for video peek to be undefined
Forcing the default mode for video peek to be defined to on has broken
use cases for Broadcom devices. See topic for related CLs that allow
for legacy undefined modes when video peek has not been specified by the
app.
See go/video-peek-legacy-mode for more details.
Bug: 220266078
Test: atest android.media.decoder.cts.DecoderTest#testTunneledVideoPeekOnVp9
Change-Id: I3612524f0bf5a9ac46e2b55342f5e6dacefa5094</t>
  </si>
  <si>
    <t>mediapc: Combine concurrent tests that had mutually exclusive params
Concurrent tests for testing 1080p resolution were split into different
tests for regular codecs and secure codecs. These tests had arguments
that were mutually exclusive. These tests are now combined into a
single test. Having separate tests doesn't really help in any case.
Combining them reduces unnecessary assumption failures that are in
the report.
Bug: 228104072
Test: atest CtsMediaPerformanceClassTestCases:MultiDecoderPairPerfTest \
 CtsMediaPerformanceClassTestCases:MultiDecoderPerfTest
Change-Id: I0511619d968d97b97f23daf5898a18823a7f008e</t>
  </si>
  <si>
    <t>Change the Bound Change detection timing
The test uses to test the activity embedding feature from A12L.
Open primary and secondary activity and close either one of them. The rest activity expand to full screen. The test check rest activity
bound recover and split info all removed.
In some case, the rest activity cannot receive the onConfigurationChange, so mBoundsChangeLatch does't count down.
Move to View's configuration change and count down mBoundsChangeLatch.
Bug: 233164936
Test: ./cts-tradefed run commandAndExit cts -m CtsWindowManagerJetpackTestCases -t android.server.wm.jetpack.ActivityEmbeddingFinishTests
Change-Id: I1d43239f00192cb78289278e42dd45bc47048703</t>
  </si>
  <si>
    <t>DirectBootHostTest: remove emulated FBE test
Due to the widespread adoption of native FBE, emulated FBE has outlived
its usefulness and is being removed.  Therefore, remove
testDirectBootEmulated() and simplify the remaining code.
Bug: 232458753
Change-Id: I2087aaba087590da5fbfa35ac7a6a5e04db234d6</t>
  </si>
  <si>
    <t>Change the Bound Change detection timing
The test uses to test the activity embedding feature from A12L.
Open primary and secondary activity and close either one of them. The rest activity expand to full screen. The test check rest activity
bound recover and split info all removed.
In some case, the rest activity cannot receive the onConfigurationChange, so mBoundsChangeLatch does't count down.
Move to View's configuration change and count down mBoundsChangeLatch.
Bug: 233164936
Test: ./cts-tradefed run commandAndExit cts -m CtsWindowManagerJetpackTestCases -t android.server.wm.jetpack.ActivityEmbeddingFinishTests
Change-Id: I1d43239f00192cb78289278e42dd45bc47048703
Merged-In: I1d43239f00192cb78289278e42dd45bc47048703</t>
  </si>
  <si>
    <t>Test for: ContentProvider#openPipeHelper
Bug: 234636490
Fixes: 234636490
Test: atest ContentProviderTest
Change-Id: Ia661c51106e1c72709ae657499d565f088444ce1</t>
  </si>
  <si>
    <t>Consolidate some conflicting Bluetooth CTS tests that emerged after
migrating all Bluetooth GTS tests to CTS
Bug: 234690607
Bug: 234690739
Test: atest BluetoothAdapterTest BluetoothDeviceTest SystemBluetoothTest
Change-Id: Ia6d0552399e3245d39d925977b56aaadb52e3b3e</t>
  </si>
  <si>
    <t>mediapc: Combine concurrent tests that had mutually exclusive params
Concurrent tests for testing 1080p resolution were split into different
tests for regular codecs and secure codecs. These tests had arguments
that were mutually exclusive. These tests are now combined into a
single test. Having separate tests doesn't really help in any case.
Combining them reduces unnecessary assumption failures that are in
the report.
Bug: 228104072
Test: atest CtsMediaPerformanceClassTestCases:MultiDecoderPairPerfTest \
 CtsMediaPerformanceClassTestCases:MultiDecoderPerfTest
Change-Id: I0511619d968d97b97f23daf5898a18823a7f008e
(cherry picked from commit ba91da5cfc514a65eb4aeaf7b7e9219af5fb6d31)
Merged-In: I0511619d968d97b97f23daf5898a18823a7f008e</t>
  </si>
  <si>
    <t>mediapc: update secure decoder support tests
- Made the test more drm scheme agnostic.
- Some minor cleanup
Bug: 221374328
Bug: 228104072
Test: atest android.mediapc.cts.PerformanceClassTest
Change-Id: Ia0b7ea2627c4c25364428b3026bc32612c0b02e9</t>
  </si>
  <si>
    <t>mediapc: update secure decoder support tests
- Made the test more drm scheme agnostic.
- Some minor cleanup
Bug: 221374328
Bug: 228104072
Test: atest android.mediapc.cts.PerformanceClassTest
Change-Id: Ia0b7ea2627c4c25364428b3026bc32612c0b02e9
(cherry picked from commit 638f10f4bd2c764cf1fc7d9f5a39368b22eda899)
Merged-In: Ia0b7ea2627c4c25364428b3026bc32612c0b02e9</t>
  </si>
  <si>
    <t>Fix avsync calculations in audio underrun test
The vsync calculations were a bit wrong because units of measure were
messed up. Add units of measure to variable and method names and fix the
computation.
Bug: 234327211
Test: atest android.media.decoder.cts.DecoderTest#testTunneledAudioUnderrunAvc
Change-Id: Idf58c8c85195eef1467708e5180a120df0ee1f05</t>
  </si>
  <si>
    <t>[RESTRICT AUTOMERGE] Revert "CTS: Add regression test for getInputMethodWindowVisibleHeight"
This reverts commit 41095a79333dc8bc163b8ade2289fc913396b9a1.
Reason for revert: Test doesn't work with AOSP launcher.
Change-Id: Ia98d9087890bc0b3a11e65e5b301dff0010a1a0f
Fixes: 235320414</t>
  </si>
  <si>
    <t>Changes test behavior to not have to support blank property names
This removes a test that relied on GenericDocument allowing blank
property names names throws an error. This is because Icing Lib
does not allow blank property names, and we are updating
AppSearch to have the same behavior.
Test: GenericDocumentCtsTest.java
Bug: 232949857
Bug: 234888678
Change-Id: I93bfadc5c8ff348805cda551c7ef75ca9a47902a</t>
  </si>
  <si>
    <t>Revert "To read the Group UUID, the Caller must also have the US..."
Revert submission 17956544-group_uuid
Reason for revert: Bug: 235395006
Reverted Changes:
Iaa5493679:To read the Group UUID, the Caller must also have ...
Ic635126db:To read the Group UUID, the Caller must also have ...
Ia134265c2:To read the Group UUID, the Caller must also have ...
Change-Id: I4c7dec5d1648eeb06c3d2668a9b50f2d0ee45a70</t>
  </si>
  <si>
    <t>TelephonyCallbackTest only check PhysicalChannelConfig if supported
Test: atest TelephonyCallbackTest on multiple IRadio versions
Bug: 232332135
Change-Id: I016c28597121a4448cebce2a87a02fc86176304e</t>
  </si>
  <si>
    <t>Revent mandatory ID attestation test
This test belongs in VSR-T and GTS, not CDD.
Reverts the following changes:
https://r.android.com/2018616
https://r.android.com/1993870
Bug: 203089832
Test: atest android.keystore.cts.KeyAttestationTest
Change-Id: I923660ef01e860f44566a6ee27db2ccdb9984c2a</t>
  </si>
  <si>
    <t>Update the prebuilts for the released platform SDK
Old versions were built before the finalization and won't
install anymore
Some of the APKs don't have any instructions for rebuilting,
disabling those with a separate bug to re-enable
Bug: 233398506
Test: presubmits
Change-Id: I046653f061816b66da183b1353ebf8c39b603014</t>
  </si>
  <si>
    <t>Remove TZUvA feature related tests.
The feature was superseded by tzdata mainline module(s).
Bug: 148144561
Test: see system/timezone
Change-Id: I5f67e34e9beb608d3cf3c4c072b268805865f6dd
Merged-In: I5f67e34e9beb608d3cf3c4c072b268805865f6dd</t>
  </si>
  <si>
    <t>Increase testStopAllTasksForUser test case stability
1. Used ActivityManager.getRunningTasks to check if there are running
   tasks for a package instead of ActivityManager.getRunningAppProcesses
2. Still Ignore the test as it is not able to run 100-iteration
   reliably.
Bug: 232432706
Test: atest
CtsCarBuiltinApiTestCases: ActivityManagerHelperTest#testStopAllTasksForUser
Change-Id: I19f21a9ed2b0d3f2ac49d87ebb5d2faf05d07f04</t>
  </si>
  <si>
    <t>mediapc: evaluator changes for filesystem tests
Bug: 228104072
Test: atest android.filesystem.cts
Change-Id: I00d29f1510e4318d8fd8e785da7e7c1ecff80f80</t>
  </si>
  <si>
    <t>Enforce DualSense support for keys and motions on all kernel versions
The joystick 'DualSense' can actually work with hid-generic, at least for the keys
and motions. Now that we support kernel driver dependent kls, we can enable this
test for all devices, not just the ones with the newer kernels.
For devices with the older kernels, the layout should fall back to the
non-hid-playstation one, and the correct keys should still be generated
as far as apps are concerned.
Bug: 228005926
Bug: 236864651
Test: atest CtsHardwareTestCases
Change-Id: I185b9b2a3b9a37be8800bf499383671651de6f45
Merged-In: I185b9b2a3b9a37be8800bf499383671651de6f45</t>
  </si>
  <si>
    <t>Enforce DualSense support for keys and motions on all kernel versions
The joystick 'DualSense' can actually work with hid-generic, at least for the keys
and motions. Now that we support kernel driver dependent kls, we can enable this
test for all devices, not just the ones with the newer kernels.
For devices with the older kernels, the layout should fall back to the
non-hid-playstation one, and the correct keys should still be generated
as far as apps are concerned.
Bug: 228005926
Bug: 236864651
Test: atest CtsHardwareTestCases
Change-Id: I185b9b2a3b9a37be8800bf499383671651de6f45
Merged-In: I185b9b2a3b9a37be8800bf499383671651de6f45
(cherry picked from commit 657dd88033404262b433e23f6f5557097dedad7c)</t>
  </si>
  <si>
    <t>Relax enforcements for MediaPlayerTest#testConcurrentPlayAudio
testConcurrentPlayAudio can be flaky, especially on some older, slower
devices (e.g. ADT-3) since the requested tolerance is not met by all
streams at all times.
Continue enforcing that concurrent playing is possible, but since
the CDD doesn't specify a number, don't enforce the tolerance limit
and just report this information.
Bug: 235478172
Test: atest android.media.player.cts.MediaPlayerTest#testConcurrentPlayAudio --iterations 10
Change-Id: I7453ffb27b5e3713f1a3f6977bedd0fed4c617db
(cherry picked from commit 6e024ac055dbc55e13b81613c1630045f7281f41)
Merged-In: I7453ffb27b5e3713f1a3f6977bedd0fed4c617db</t>
  </si>
  <si>
    <t>Updated CTS test for Android Security b/143559931
Bug: 143559931
Bug: 202759784
Test: Ran the new testcase on android-10.0.0_r41 to test with/without patch
Change-Id: I7e261dbb566531e23cb46dc24f9986021219433b</t>
  </si>
  <si>
    <t>Enforce DualSense support for keys and motions on all kernel versions
The joystick 'DualSense' can actually work with hid-generic, at least for the keys
and motions. Now that we support kernel driver dependent kls, we can enable this
test for all devices, not just the ones with the newer kernels.
For devices with the older kernels, the layout should fall back to the
non-hid-playstation one, and the correct keys should still be generated
as far as apps are concerned.
Bug: 228005926
Bug: 236864651
Test: atest CtsHardwareTestCases
Change-Id: I185b9b2a3b9a37be8800bf499383671651de6f45
Merged-In: I185b9b2a3b9a37be8800bf499383671651de6f45
(cherry picked from commit 657dd88033404262b433e23f6f5557097dedad7c)
(cherry picked from commit bff6935dee406d2b2f3faf3a9b00db9de77aa991)</t>
  </si>
  <si>
    <t>Revert "Update atrace host test to check stderr/stdout separately"
Revert submission 2120422-atrace_warn
Reason for revert: The atrace CLI tool will not be immediately deprecated, only the HAL.
Actually perfetto uses the atrace CLI tool and the warning message is reported as an error in captured traces.
Reverted Changes:
I9f054e6b0:Add a warning to the atrace binary for deprecating...
If91740d65:Update atrace host test to check stderr/stdout sep...
Bug: 204935495
Change-Id: If3d48f07391260e800497ee27b5943e59e455979</t>
  </si>
  <si>
    <t>DO NOT MERGE: Revert "Add appops testcase for location disabled"
This reverts commit 5e8b943e6fd6e79e43780694738dd738006b6d00.
Bug: 231496105
Change-Id: Iaa40f3f5148b55c679ecd9e1fd53f839e60ac1ff</t>
  </si>
  <si>
    <t>CTS: remove VulkanSurfaceSupportTest
The api implementation is wrong, and it no longer needs a cts.
Bug: 238955273
Test: build
Change-Id: I6d78e9fa34c35f6c43b5400a281dd997a8275fda
(cherry picked from commit 52523ea6f997e2e17c103f5a58a04c32903c5444)</t>
  </si>
  <si>
    <t>DecoderConformanceTest: Remove dependency on MediaTestBase
DecoderConformanceTest doesn't really need surface and hence
doesn't need to extend MediaTestBase class.
Bug: 219990726
Test: atest android.media.decoder.cts.DecoderConformanceTest
Change-Id: I31de6983050b76a47e0fd68619861caf9d343335</t>
  </si>
  <si>
    <t>CtsMedia: Split HDR tests from DecoderTest.java
Bug: 218001885
Test: atest CtsMediaDecoderTestCases:DecoderTest
Test: atest CtsMediaDecoderTestCases:HDRDecoderTest
Change-Id: I975e0a94222a7956a404d1ea1d91e7a843de118e</t>
  </si>
  <si>
    <t>Updates to NativeDecoder and MediaPlayerFlakyNetwork tests
Makes the following changes based on review comments in
aosp/1894044
- Added @Override to setUp in MediaPlayerFlakyTest
- Removed unused getSampleSizes() functions in NativeDecoderTest
Bug: 217829991
Test: atest CtsMediaDecoderTestCases:NativeDecoderTest
Test: atest CtsMediaPlayerTestCases:MediaPlayerFlakyNetworkTest
Change-Id: I25c156678d0d7c17c7b81503a56e49890dbbf5d6</t>
  </si>
  <si>
    <t>Camera: Migrate camera MPC test to PerformanceClassEvaluator
Refactor camera MPC tests in CTS and ITS to use the media performance
class utility classes.
Test: atest ExtendedCameraCharacteristicsTest
Test: Camera ITS
Bug: 234022194
Bug: 235392683
Change-Id: I2a47d22f8650c5183ca8bda817527a7494dc3da0
Merged-In: I2a47d22f8650c5183ca8bda817527a7494dc3da0</t>
  </si>
  <si>
    <t>Migrate BluetoothLeAudio GTS tests to CTS
Bug: 227548535
Test: atest BluetoothLeAudioTest
Change-Id: Ifa38880c318c6cf6f7a7d7a987f0174080f1cd8d
Merged-In: Ia0ad35bf8c267b90885671ced16ef2bc24bba85a</t>
  </si>
  <si>
    <t>Remove redundant setupLibraries call
libc++.so is needed to run py2 launcher, which isn't the case for py3
launcher.
libsepolwrap.so is now embedded to the test binaries.
Bug: 238568150
Test: atest android.security.cts.SELinuxHostTest
Change-Id: I552e5d7b5faa4eacea358d1c49bee2d9523a46b2</t>
  </si>
  <si>
    <t>Rename and re-order tunnel mode tests
Rename the tests to better align with what the test is doing, also
update the comments and re-order them so all tunnel mode tests have the
same layout.
Also, no need for SDK version suppression, since the tests were
introduced in the release that the suppression is for.
Also, reference which APIs the tests add coverage for.
Bug: 220266381
Test: build all tests
Change-Id: I672d60d7b7b97165b045774e3e00e1128c9a9c5f</t>
  </si>
  <si>
    <t>[Output switcher] Delete strongly recommended test as suggested
Bug: 220392055
Test: N/A
Change-Id: I8a35d5882061135562f02a786d55d6b5dc8d9bf9</t>
  </si>
  <si>
    <t>[DO NOT MERGE] Revert "Update telephony CTS per the new feature flags"
This reverts commit 1958d7668e22b4302b38c88d6041ac3b917759dd.
Reason for revert: b/239793016
Test: atest TelephonyManagerTest
Bug: 239793016
Change-Id: I0f1b877712342112265604179e88fec127069ccd</t>
  </si>
  <si>
    <t>Remove redundant setupLibraries call
libc++.so is needed to run py2 launcher, which isn't the case for py3
launcher.
libsepolwrap.so is now embedded to the test binaries.
Bug: 238568150
Test: atest android.security.cts.SELinuxHostTest
Change-Id: I552e5d7b5faa4eacea358d1c49bee2d9523a46b2
(cherry picked from commit b7f7de15486afec8992ce2e5d6de58fd2a84ab57)
Merged-In: I552e5d7b5faa4eacea358d1c49bee2d9523a46b2</t>
  </si>
  <si>
    <t>Revert "CtsMedia: Update DecodeEditEncodeTest for 10-bit testing"
This reverts commit c158a4d258d9fd929ad7523f58780b1712d17695.
Reason for revert: b/240356771
Change-Id: Ic6fecd94ce83e9ae81bc0d40ae27749f2feca0ab</t>
  </si>
  <si>
    <t>HDRDecoderTest: Parameterize the tests
Test in HDRDecoderTest  are parameterized to make it easier to
parameterize based on codecs later
Bug: 218001885
Test: atest CtsMediaDecoderTestCases:HDRDecoderTest
Change-Id: I4e5dc98b844b73c3fa7e71061d15e14c373f249a</t>
  </si>
  <si>
    <t>mediav2 CTS: Rework hdr info tests and add decoder dynamic info tests
- Create helper classes that handle/validate HDR info for encoding
  and decoding. With this all HDR info queueing and validating code
  is now moved to these two helper classes.
- Adds tests to validate for HDR dynamic info handling in decoders
- Uses same hdr info in both encoder and decoder tests
Bug: 206153517
Bug: 232199421
Test: atest CtsMediaV2TestCases:DecoderHDRInfoTest \
 CtsMediaV2TestCases:EncoderHDRInfoTest
Change-Id: I40af4c5c2f8d4006d64a8f220e5088a072dcb40b</t>
  </si>
  <si>
    <t>media CTS: Fix ignored tests in ExtractDecodeEditEncodeMuxTest
testExtractDecodeEditEncodeMuxAudio, testExtractDecodeEditEncodeMuxAudioVideo
tests were getting skipped because mOutputVideoMimeType is not
initialized which lead to an error while finding encoder for null mime.
Test is now updated to set video media type in all cases and codec
creation is attempted only when required.
Bug: 196790629
Test: atest android.media.codec.cts.ExtractDecodeEditEncodeMuxTest
Change-Id: Iba2c3294b6cc043c035f0de8a3c9764b8667c578</t>
  </si>
  <si>
    <t>Revert "Add java SeamendcHostTest in cts"
Revert submission 2111065-seamendc
Reason for revert: Just to confirm if it fixes b/240731742
Reverted Changes:
I3ce2845f2:Move parts of sdk_sandbox from private to apex pol...
I0c10106e2:Add java SeamendcHostTest in cts
Test: revert CL
Change-Id: I20a67e5557573c309af75bc649f293b2ffd6e241</t>
  </si>
  <si>
    <t>Updated tests to use ApiVersion.VERSION_CODES.
Test: atest android.car.cts.ApiVersionTest android.car.cts.CarApiVersionTest android.car.cts.PlatformApiVersionTest
Bug: 240471760
(cherry picked from commit bd19c9d1766ad69c1990a2b66c7923aa3f49fdac)
Merged-In: I1a4184a96314eae0503eb1f4d59e40e254d8f2d2
Change-Id: I1a4184a96314eae0503eb1f4d59e40e254d8f2d2</t>
  </si>
  <si>
    <t>Add keymint assumptions for attest key tests
Keys with an "attest" purpose are only valid with keymint, but we were
previously only checking a keystore feature flag. Now check both the
keystore feature as well as for keymint.
Test: AttestKeyTest
Bug: 241324025
Bug: 238705451
Change-Id: I9497d45ac5804356fcb12d08a521472d899c7dc1
(cherry picked from commit 8107a505b9872245ca145c76eff85151d5a44862)</t>
  </si>
  <si>
    <t>Removed "Api" from "ApiVersion" APIs.
Test: atest android.car.cts.ApiVersionTest android.car.cts.CarVersionTest android.car.cts.PlatformVersionTest android.car.AnnotationTest com.android.car.content.pm.CarPackageManagerUnitTest com.android.car.pm.CarPackageManagerServiceUnitTest android.car.apitest.CarPackageManagerTest com.android.car.pm.CarVersionParserTest
Bug: 240471760
(cherry picked from commit c4fd7c3261feabd658f7e170f95ca1c8adf8aa87)
Merged-In: Ia715c24343be09fb633612a96fc8fad50ba9d615
Change-Id: Ia715c24343be09fb633612a96fc8fad50ba9d615</t>
  </si>
  <si>
    <t>Revert "Workaround the stale notification window issue"
This reverts commit 2763e7b84ebc97e6b663de9120a0e16f39a4cf4a.
Reason for revert: Test removed from MTS, workaround not needed
Change-Id: I2496aa5f174bcfb75b299fda75e314b8e8c6fc5c</t>
  </si>
  <si>
    <t>Updated CTS test for Android Security b/223578534
Bug: 223578534
Bug: 231973925
Test: Ran the new testcase on android-10.0.0_r45 with/without patch
Change-Id: Ibb18dc645417c45ab8613987ca3a6fa7d646424a
Merged-In: Ibb18dc645417c45ab8613987ca3a6fa7d646424a</t>
  </si>
  <si>
    <t>Updated CTS test for Android Security b/223578534
Bug: 223578534
Bug: 231973925
Test: Ran the new testcase on android-11.0.0_r46 with/without patch
Change-Id: Ibb18dc645417c45ab8613987ca3a6fa7d646424a</t>
  </si>
  <si>
    <t>Revert "Workaround the stale notification window issue"
This reverts commit 2763e7b84ebc97e6b663de9120a0e16f39a4cf4a.
Reason for revert: Test removed from MTS, workaround not needed
Bug: 240653526
Test: atest tests/tests/textclassifier/src/android/view/textclassifier/cts/TextViewIntegrationTest.java
Change-Id: I2496aa5f174bcfb75b299fda75e314b8e8c6fc5c</t>
  </si>
  <si>
    <t>Revert "Revert "Verify that proximity key is added to the hotwor..."
Revert "Revert "Refactor ProximityUpdateCallbackInternal to inte..."
Revert submission 19600381-revert-17936037-hotword_proximity-ZZIDPDULZP
Test: atest CtsVoiceInteractionTestCases
Reason for revert: Including the fix for broken tests
Reverted Changes:
Ibfc659015:Revert "Refactor ProximityUpdateCallbackInternal t...
I1a03c21d5:Revert "Verify that proximity key is added to the ...
I6b79d9400:Revert "Add proximity state to the HotwordDetected...
Change-Id: Ia07224745dbaff8823d67c7b072d44ce87ad7d06
Merged-In: Ia07224745dbaff8823d67c7b072d44ce87ad7d06</t>
  </si>
  <si>
    <t>Change some DataSpaceTest case due to vendor driver issue.
 - use YV12 instead which is GPU textureable.
Bug: 240914027
Test: this
Change-Id: Ia8078f1ea4d9ca69f3121a20ed8960033fec5dc0
(cherry picked from commit 5db2d08bfb3a8df7d565322bf0bc70a5d3d27f31)</t>
  </si>
  <si>
    <t>Add version annotation to CarPerfMgrTest.
Test: android.car.cts.CarPerformanceManagerTest
Bug: 241845406
Change-Id: I2482c4abd6febcd63458146036680bcac4b19092</t>
  </si>
  <si>
    <t>Disable testOnlyAllowedlistedChangesAreOverridable
We need to disable the test because after the introduction of
a new changeId.
Test: Manual
Fixes: 242570254
Change-Id: I993074e3407280e7ff04ea56c97d05b8b4778eb8
Merged-In: I2af438d26d1db226780624e4bd7640ddb2df1ea7</t>
  </si>
  <si>
    <t>RESTRICT AUTOMERGE Revert "Revert "Revert "Workaround the stale notification window issue"""
This reverts commit a6777a357c49ccfa99db7309a1b7aeb60bee89a7.
Reason for revert: This CL was reverted because of a build breakage as an import was missing. Fixed the change
Change-Id: Ic04f83bffadd11460fa3963f0c678255c1551844</t>
  </si>
  <si>
    <t>Camera: Wait for draw done before restarting preview
This makes sure no draw complete signal is bleeded into
next iteration of test.
As a result, we don't need to manually reset drawDone before
each of the test iteration.
Test: vendor test, Camera CTS on Pixels
Bug: 240887956
Bug: 241819509
Change-Id: Iaa9a18f03279cdf54efc4b384fca448777f3572a</t>
  </si>
  <si>
    <t>Cover user removed lifecycle listener in CTS.
Bug: 235524989
Test: atest CarServiceHelperServiceUpdatableTest
Change-Id: If2f230616409f314a7f613304d83f6985edffa88
Merged-In: If2f230616409f314a7f613304d83f6985edffa88
(cherry picked from commit 99f1a8975c8e05a4fd0f08de42d6664faac34920)</t>
  </si>
  <si>
    <t>[DO NOT MERGE] Disable testOnlyAllowedlistedChangesAreOverridable
We need to disable the test after the introduction of
a new changeId.
Test: Manual
Fixes: 242570254, 243322087
Change-Id: I993074e3407280e7ff04ea56c97d05b8b4778eb8
Merged-In: I2af438d26d1db226780624e4bd7640ddb2df1ea7</t>
  </si>
  <si>
    <t>uwb(cts): Rework tests using SessionHandle
Remove |SessionHandleTest| from CTS since SessionHandle is @hide.
Bug: 241298182
Bug: 243490785
Test: atest CtsUwbTestCases
Merged-In: I1557da9f69ce8bd37c6c8dfb4e9c5addb0cf2016
Change-Id: I1557da9f69ce8bd37c6c8dfb4e9c5addb0cf2016
(cherry picked from commit 924641be64ec2ebb66e7c7529408e7c0a6b80cc9)</t>
  </si>
  <si>
    <t>Fix OnScreenPositionTest#testImeIsNotBehindNavBar for other form factors
This CL rewrites
  OnScreenPositionTest#testImeIsNotBehindNavBar(),
which we added in Android P development cycle [1].
The main motivation of that test was to prevent issues where IMEs were
placed as if there was no nav bar [2], but how the test was
implemented was based on some assumptions about IME-observable insets.
Now that we have a way to test user-perceivable IME visibility [3],
the test is expected to be more robust and compatible if we rewrite it
with InputMethodVisibilityVerifier.
 [1]: I0005aee0259f25c96fb94054535dd945a56e8cfb
      6ff19b02ae5aa75f595a0ebd073b641d6edebf89
 [2]: Bug 11237795, Bug 26984057, Bug 31313118, Bug 33095565,
      Bug 33308065
 [3]: If999aa51fd2e5fd20e9e2d72a7e1dbeb75e3456d
      d7cb355421143641af4cdda38574337cfae3d24c
Bug: 38298890
Bug: 209695046
Fix: 227547330
Bug: 228639659
Test: atest CtsInputMethodTestCases:OnScreenPositionTest
(cherry picked from commit 550573a43a7db8c468fc21a5315198f597a49906)
Change-Id: I3d1e5fdbc9e5bbc134375ce3bd1a1b526e6f8f8e</t>
  </si>
  <si>
    <t>Remove precompiled policy test and expand secilc vs seamendc test
Testing seamendc using the precompiled policy on a device is too
unpredictable and it has resulted in several breakages (see b/242588354
for the latest example).
This CL removes the
SeamendcHostTest#testSeamendcAgainstPrecompiledPolicies test. Instead, I
expanded the SeamendcHostTest#testSeamendcAgainstSecilc test to
replicate as closely as possible the selinux.cpp logic when it decides
to compile the SELinux policy
https://cs.android.com/android/platform/superproject/+/master:system/core/init/selinux.cpp;l=48-53;drc=2d579af880afae96239c80765b11c7dbc2c1b264
Bug: 242588354
Bug: 238394904
Test: atest SeamendcHostTest
Change-Id: Id31e5d7a25574ac69deb5e0ed5b175a8be6fb528</t>
  </si>
  <si>
    <t>Remove one of two *AllChecksums tests.
The execution time depends on CtsContentTestCase.apk size and can be too long on low end devices.
testFixedAllChecksums provides the required coverage.
Bug: 241029979
Fixes: 241029979
Test: atest ChecksumsTest
Change-Id: I9994367d585929c318d1ed8820f0c40769f540eb</t>
  </si>
  <si>
    <t>Rename and re-order tunnel mode tests
Rename the tests to better align with what the test is doing, also
update the comments and re-order them so all tunnel mode tests have the
same layout.
Also, no need for SDK version suppression, since the tests were
introduced in the release that the suppression is for.
Also, reference which APIs the tests add coverage for.
Bug: 220266381
Test: build all tests
Merged-In: I672d60d7b7b97165b045774e3e00e1128c9a9c5f
Change-Id: I672d60d7b7b97165b045774e3e00e1128c9a9c5f</t>
  </si>
  <si>
    <t>Camera: Wait for draw done before restarting preview
This makes sure no draw complete signal is bleeded into
next iteration of test.
As a result, we don't need to manually reset drawDone before
each of the test iteration.
Test: vendor test, Camera CTS on Pixels
Bug: 240887956
Bug: 241819509
Change-Id: Iaa9a18f03279cdf54efc4b384fca448777f3572a
(cherry picked from commit 07b1a6131722546344a6c717aa51368787c6fb3f)</t>
  </si>
  <si>
    <t>CTS to ensure TaskFragmentOrganizer WindowContainerTransaction
Because TaskFragmentOrganizer is running on app process, we need to make
sure only some limited operation is allowed.
Bug: 243741794
Bug: 232476698
Test: CtsWindowManagerDeviceTestCases:TaskFragmentOrganizerPolicyTest
Change-Id: I86d37c062908a009bd16699375cdd276835c793f</t>
  </si>
  <si>
    <t>Revert "Add test for BluetoothAdapter.getProfileProxy"
Reverts due to belog bug
Bug: 243847810
Test: atest BluetoothInstrumentationTests
Tag: #feature
This reverts commit acbc97b98e8b40cdd60239283979966e2380a115.
Change-Id: I61f9a02210fdf342ebaacd3bdfc8cef9054becbd</t>
  </si>
  <si>
    <t>uwb(cts): Rework tests using SessionHandle
Remove |SessionHandleTest| &amp; |RangingSessionTest| from CTS since SessionHandle is @hide.
Bug: 241298182
Bug: 243490785
Bug: 243878233
Bug: 244133659
Test: atest CtsUwbTestCases
Merged-In: I1557da9f69ce8bd37c6c8dfb4e9c5addb0cf2016
Change-Id: I1557da9f69ce8bd37c6c8dfb4e9c5addb0cf2016
(cherry picked from commit 924641be64ec2ebb66e7c7529408e7c0a6b80cc9)</t>
  </si>
  <si>
    <t>Removed PlatformApiCheckerRule.
It's been replaced by ApiCheckerRule.
Test: atest android.car.cts.CarPerformanceManagerTest
Bug: 242315785
(cherry picked from commit ace09975d4386336e75160eb15ea76977991935a)
Merged-In: I256c3a177296f503e471bd11c2b47cf4af3f3166
Change-Id: I256c3a177296f503e471bd11c2b47cf4af3f3166</t>
  </si>
  <si>
    <t>uwb(cts): Rework tests using SessionHandle
Remove |SessionHandleTest| &amp; |RangingSessionTest| from CTS since SessionHandle is @hide.
Bug: 241298182
Bug: 243490785
Bug: 243878233
Bug: 244133659
Test: atest CtsUwbTestCases
Merged-In: I1557da9f69ce8bd37c6c8dfb4e9c5addb0cf2016
Change-Id: I1557da9f69ce8bd37c6c8dfb4e9c5addb0cf2016
(cherry picked from commit 924641be64ec2ebb66e7c7529408e7c0a6b80cc9)
(cherry picked from commit 1442dfde53b38baf9e07a443ffcee51cd0df5c63)</t>
  </si>
  <si>
    <t>Revert "Add test to enforce component name belongs to caller app"
This reverts commit af39c40ee5199c1eeb3dd94fcdb727d4ce2fcf45.
Reason for revert: b/241798893. Note: this fix is not the root cause of the breakage. It just exposes a previously unknown bug. See linked bug.
Change-Id: I26b811a2c6833b9da48c3b1a1c27ed888485d731
Merged-In: Ic48badd6dc8efd876f09158e9e8549395ccc141d</t>
  </si>
  <si>
    <t>Revert "Add seamendc tests for sdk_sandbox in apex sepolicy"
Revert submission 2201484-sdk_sandbox
Note: this is not a clean revert, I kept the changes in aosp/2199179
and the changes to system/sepolicy/Android.mk. Those changes are already
part of internal, I do not want to put those files out of sync again.
Test: atest SeamendHostTest
Reason for revert: b/244793900
Reverted Changes:
Ib14b14cbc:Add seamendc tests for sdk_sandbox in apex sepolic...
I27ee933da:Move allow rules of sdk_sandbox to apex policy
Change-Id: I90e163ba981563a99c38d00341fc2188733848db</t>
  </si>
  <si>
    <t>Skip CTS test for OnDevicePersonalizationManager.
This module is not currently available.
Bug: 241053331
Test: atest CtsOnDevicePersonalizationTestCases
Change-Id: Ic7c11177a89744ae22fcaaa56560088acf3199a6</t>
  </si>
  <si>
    <t>Moved CarServiceHelperServiceUpdatable dump test to Car API Test
It was moved as cmd command for testing is not available in user build.
Bug: 230356253
Test: atest CarServiceHelperServiceUpdatableTest
Change-Id: I8828e5fae7c4572bc3a61ad2edb8c921f66f4820
Merged-In: I8828e5fae7c4572bc3a61ad2edb8c921f66f4820
(cherry picked from commit c8fbeb8647a2fa7c8d7e7fe5fcada9d605ab3111)</t>
  </si>
  <si>
    <t>Keystore: KeyGeneration test for Device Owner
Removed hostside test and supporting application for testing key
generation and device id attestation through DevicePolicyManger.
Instead of hostside test and application single device side test is
added with Bedstead annotations, which provides same functionality with
improved speed and reliability.
Bug: 225139985
Test: atest CtsKeystoreTestCases:DeviceOwnerKeyManagementTest#testAllVariationsOfDeviceIdAttestation
Change-Id: I1f3b2cd615f8010d3e68cb413f17a9639e57af56</t>
  </si>
  <si>
    <t>Revert "Merge "Remove legacy WRITE_EXTERNAL_STORAGE permission check for Installers" into android13-tests-dev am: eaa2dbbffc"
This reverts commit 9c0666911e54e41013d17ae95bdea22e0c4c975f.
Reason for revert: The original broke tests, see b/246733550
Change-Id: I68b667218ae71d7609b7b5deb97095785536484a</t>
  </si>
  <si>
    <t>Update EditTextTest to use isBlinking method
use the isBlinking method to directly check whether the cursor is
blinking.
Bug: 228354442
Test: this is the test.
Change-Id: I10e01f96aeed8ea67cc3a91401c7658bbf0b34bd</t>
  </si>
  <si>
    <t>Improve mechanism to disable Transcoding tests
All TV, Wearables and Automotive devices do not support
transcoding yet. But, the tests are shown as passed
in the current approach.
Use the assumption approach so that the tests are
shown as ASSUMPTION_FAILURE for all unsupported devices.
Test: atest CtsMediaTranscodingTestCases
Change-Id: I38b9327a10cc59a2b8a3c942b6e9a64de9b03d55</t>
  </si>
  <si>
    <t>Remove LEGACY_MIFARE_READER
cleanup dead code
remove CVE_2019_2133
remove CVE_2019_2134
remove CVE_2019_2135
remove CVE-2021-0596
remove CVE-2022-20123
Bug: 246483838
Test: R/W MFC
Change-Id: Ib85042bb8c485f843839f62d3c53f63c63102e61</t>
  </si>
  <si>
    <t>Add test for WCT#finishActivity
Bug: 240519866
Test: atest CtsWindowManagerDeviceTestCases:TaskFragmentOrganizerTest
Change-Id: Ib3fb0e88f93e2ac138acceafe8e45999e48bc9df</t>
  </si>
  <si>
    <t>Migrate ExtractDecodeEditEncodeMuxTest from JUnit3 to JUnit4
Bug: 224351231
Test: atest android.media.codec.cts.ExtractDecodeEditEncodeMuxTest
Change-Id: Iafb33358983066598d7bfccd1eb41312910bbe8d</t>
  </si>
  <si>
    <t>Remove cloudsearch api cts
Bug: 246376638
Test: Manually tested
Change-Id: I0d7fe6759d1aaff53cc526d1f97588d044f62ebf</t>
  </si>
  <si>
    <t>Revert "Merge "Remove legacy WRITE_EXTERNAL_STORAGE permission check for Installers" into android13-tests-dev am: eaa2dbbffc"
This reverts commit 9c0666911e54e41013d17ae95bdea22e0c4c975f.
Reason for revert: The original broke tests, see b/246733550
Change-Id: I68b667218ae71d7609b7b5deb97095785536484a
(cherry picked from commit f6f3be5516a9cccb2d2a548cc2d74f969300cebc)</t>
  </si>
  <si>
    <t>Rollback "Add seamendc tests for sdk_sandbox in apex sepolicy"
Rolling back the changes from aosp/2206998.
Bug: 243923977#comment9
Test: atest SeamendcHostTest
Change-Id: I80f4c2165c2cdfa8e59bb39269683f09348b8d14</t>
  </si>
  <si>
    <t>DecoderTest: Move out tunneled decoder tests to a new file
Created TunneledDecoderTest.java to include all tunneling related tests
from DecoderTest.java
Bug: 243988099
Test: atest CtsMediaDecoderTestCases:DecoderTest
Test: atest CtsMediaDecoderTestCases:TunneledDecoderTest
Change-Id: I3c6fe288406908196a65457caec9ac76041d87df</t>
  </si>
  <si>
    <t>Revert "add unit test for max height of scrollview in save dialog"
This reverts commit 4b57f8d6f02f05585c414285308144f52286a239.
Reason for revert: per rossyeh@google.com's comments in https://buganizer.corp.google.com/issues/232835792
Change-Id: If2cd84e6fcb0dace2b9383aad07aaa3c6b596038</t>
  </si>
  <si>
    <t>Remove CTS tests for CloudSearch API
Bug: 250475989
Test: Manually tested
Change-Id: Iba112d34e77f8ff3fd911afc63520d617a4ade31</t>
  </si>
  <si>
    <t>Revert "DecoderTest: Move out tunneled decoder tests to a new file"
This reverts commit 73980fea0b7accb51cda5f5b72521ab9c9a02086.
Reason for revert: We plan on doing this at a specific point in time during the Android U release. If we do this now, it will cause automerge problems while we udpate the tests for Android T.
Change-Id: Ibc95f85d5255aa457c412cc4b82b0ae7f4edde94</t>
  </si>
  <si>
    <t>Wait for HeavyWeightSwitcherActivity to be shown
Because syncInputTransactions only takes effect if there is an
animation, if HeavyWeightSwitcherActivity is not drawn fast enough
to trigger the animation, it doesn't really wait for something.
Then the following maybeClick may still click on a temporal position
which isn't the actual position of the target button.
Fix: 239638704
Test: ActivityManagerProcessStateTest#testCantSaveStateLaunchAndSwitch
Change-Id: I7c48f4688a7e43e3d1c95292c318d9f9e7167bd4</t>
  </si>
  <si>
    <t>Migrate MediaMuxerTest to JUnit4
Bug: 194655325
Test: atest MediaMuxerTest
Change-Id: I0f1f15afbb3b5afb2a64fd731bd37fa30e4d3cd6
Merged-In: I0f1f15afbb3b5afb2a64fd731bd37fa30e4d3cd6
(cherry picked from commit a4ce2c4678aa97da2fd3010b5d2b328918dafc7c)</t>
  </si>
  <si>
    <t>Migrate MediaPlayerSurfaceTest to JUnit4
Bug: 194655325
Test: atest MediaPlayerSurfaceTest
Change-Id: I508d661ea698acfc84b70e0184a37429abdbad8b
Merged-In: I508d661ea698acfc84b70e0184a37429abdbad8b
(cherry picked from commit d4237a699370fdadd373ba1341bc0ba686ea35b4)</t>
  </si>
  <si>
    <t>Migrate CtsMediaRecorderTestCases to JUnit4
Extend test classes with MediaTestBase to remove deprecated dependency
to ActivityInstrumentationTestCase2.
Bug: 194655325
Test: atest CtsMediaRecorderTestCases
Change-Id: I9cc945a2d60af225bd5f528af590f2ac0c0fc278
Merged-In: I9cc945a2d60af225bd5f528af590f2ac0c0fc278
(cherry picked from commit e6678ada07d29da5da30d9e201983c98f2293581)</t>
  </si>
  <si>
    <t>Migrate MediaPlayerRandomTest to JUnit4
Bug: 194655325
Test: atest MediaRandomPlayerTest
Change-Id: I00f62d6a6d82140ba43f62dcb813f0767d076826
Merged-In: I00f62d6a6d82140ba43f62dcb813f0767d076826
(cherry picked from commit 5da080b3cf9e7301fa0fd5b6d69fa38e06a52dbf)</t>
  </si>
  <si>
    <t>Add test for `getCurrentOptimizationStatus`.
Bug: 253230007
Bug: 234337363
Test: atest CtsCompilationTestCases:CompilationTest
Change-Id: I8a3d1006bb1898ec0c424007dc5dd94ec3709885</t>
  </si>
  <si>
    <t>Wait for HeavyWeightSwitcherActivity to be shown
Because syncInputTransactions only takes effect if there is an
animation, if HeavyWeightSwitcherActivity is not drawn fast enough
to trigger the animation, it doesn't really wait for something.
Then the following maybeClick may still click on a temporal position
which isn't the actual position of the target button.
Fix: 239638704
Test: ActivityManagerProcessStateTest#testCantSaveStateLaunchAndSwitch
Change-Id: I7c48f4688a7e43e3d1c95292c318d9f9e7167bd4
(cherry picked from commit e7ed67acde7f98ef1de38977f3835c6bcf9704cb)
Merged-In: I7c48f4688a7e43e3d1c95292c318d9f9e7167bd4</t>
  </si>
  <si>
    <t>Check pids instead of package stopped status when checking if a package
was stopped.
Sometimes for other reasons the package can be started again (with a
different pid) which can cause these tests to become flaky.
Test: btest android.devicepolicy.cts.UserControlDisabledPackagesTest
Bug: 238230300
Change-Id: Icbb75f2d98a41991512cc626dda4f3d213345404</t>
  </si>
  <si>
    <t>Remove unused SELinux tests
testNoExemptionsForSocketsBetweenCoreAndVendorBan and
testNoExemptionsForVendorExecutingCore have been disabled by default in
the CTS configuration. Both tests now belong to GTS.
testNoExemptionsForBinderInVendorBan does not exist anymore.
Bug: 64127136
Test: cts-tradefed run cts --collect-tests-only --skip-connectivity-check \
        --skip-device-info --module=CtsSecurityHostTestCases
Change-Id: I66a125e1eb4601f87ff768b7f186d2953f8c0182</t>
  </si>
  <si>
    <t>Revert "Add test for report[Mobile|Wifi]RadioPowerState APIs"
This reverts commit ad15d78d2462c8f3423cf6a34c929ab013215998.
The available way to verify report[Mobile|Wifi]RadioPowerState is
to verify what is dumped in the dumpsys. These calls are intended to notify cellular/wifi network switch stats. If BatteryStats is no
longer actively support dumpsys, there is no way to verify the result
and is less useful to verify this.
Reason for revert: &lt;no longer actively support dumpsys&gt;
Fix: 253767052
Change-Id: I1f4e577796b41463f5560508d4863b8e57ad9c89</t>
  </si>
  <si>
    <t>Revert "To read the group UUID, the calling app either needs carrier privileges or the READ_PHONE_STATE permission and access to device identifiers."
This reverts commit 5c62515d8009006e7b9b2938634fb06cb59aded0.
Reason for revert: &lt;b/253570383&gt;
Change-Id: Ie11adb0990a96c060b025e0167f2839d804ccf65</t>
  </si>
  <si>
    <t>Split config loading test into two parts
One for CTS specific requirements, one for suite
checkers
Test: presubmit
Bug: 254497666
Change-Id: I20ea4cf45f6ac00f50b7a8093bff86f26f86e6bd</t>
  </si>
  <si>
    <t>Revert "Add tests for BluetoothProfile.close"
Revert submission 19938469-BluetoothProfile_close
Reason for revert: Creating a revert CL only for QPR1
Reverted Changes:
I51ad4e0ec:Make onServiceDisconnected be called
Ic5188c62e:Add tests for BluetoothProfile.close
Bug: 249213217
Change-Id: I083ca9eb695de67f4c8e875a2fc90197e32baa29
(cherry picked from commit 7db0bcf701425ba33ee5236c5c0f68c35f2b574e)
Merged-In: I083ca9eb695de67f4c8e875a2fc90197e32baa29</t>
  </si>
  <si>
    <t>Remove useless and broken CTS test
Bug: 255479130
Change-Id: Iaba4cd6bf90ba5df968f1a2218559851b5daba61
Test: atest GeocoderTest</t>
  </si>
  <si>
    <t>Remove useless and broken CTS test
Bug: 255479130
Test: atest GeocoderTest
(cherry picked from commit cb7a8edc9b545489b8e7ebeb895d857e2b1a267a)
Merged-In: Iaba4cd6bf90ba5df968f1a2218559851b5daba61
Change-Id: I8924d1c0b24e5bb554068d700fe56e2d2f82ef39</t>
  </si>
  <si>
    <t>Remove useless and broken CTS test
Bug: 255479130
Test: atest GeocoderTest
(cherry picked from commit cb7a8edc9b545489b8e7ebeb895d857e2b1a267a)
Merged-In: Iaba4cd6bf90ba5df968f1a2218559851b5daba61
Change-Id: I54269a7257e860bde1370bb39972370b7e7ff30a</t>
  </si>
  <si>
    <t>Switch all RoR CTS tests to server based
In android S, we updated CDD to deprecate the HAL based RoR. And
in android T, Pixels remove the RoR HAL. So it's time to switch
all RoR tests to server based in T faced test suites.
Bug: 216485436
Test: atest CtsAppSecurityHostTestCases:android.appsecurity.cts.ResumeOnRebootHostTest
Change-Id: I60f6d7efe5398578bfcf6864fdbec4f4a4ec8c9d
(cherry picked from commit ea932a560c115735da9fea197c7ef0dbf63bef3b)</t>
  </si>
  <si>
    <t>Revert "Add test for report[Mobile|Wifi]RadioPowerState APIs"
This reverts commit ad15d78d2462c8f3423cf6a34c929ab013215998.
The available way to verify report[Mobile|Wifi]RadioPowerState is
to verify what is dumped in the dumpsys. These calls are intended to notify cellular/wifi network switch stats. If BatteryStats is no
longer actively support dumpsys, there is no way to verify the result
and is less useful to verify this.
Reason for revert: &lt;no longer actively support dumpsys&gt;
Fix: 253767052
Bug: 256099514
Change-Id: I1f4e577796b41463f5560508d4863b8e57ad9c89
Merged-In: I1f4e577796b41463f5560508d4863b8e57ad9c89</t>
  </si>
  <si>
    <t>mediav2 CTS: Deprecate encoder flush tests
Going back to flushed state is only supported
for decoders and for encoders the behaviour is undefined.
Bug: 148651699
Test: atest android.mediav2.cts.CodecEncoderTest
Change-Id: I1c65a1ce6d1d60d15418e80a6ae628ce20a68369</t>
  </si>
  <si>
    <t>Parameterize VideoEncoderDecoderTest
Bug: 249908119
Test: atest android.video.cts.VideoEncoderDecoderTest
Change-Id: I57b680a7ff2e703ff18dfc0259359e12d576ac29</t>
  </si>
  <si>
    <t>Remove cts/tests/uwb and cts/hostsidetests/*/uwb
These projects are migrated to packages/modules/Uwb/tests/...
BUG: 244347268
Test: TH
Merged-In: If24e07780f545627497ad91ec07ed25b0c83a272
Change-Id: I9284703facb043ee9c427004fed30f1cc4896557</t>
  </si>
  <si>
    <t>Fix errorprone warnings that should be errors
This commit is part of a large scale change to fix errorprone
errors that have been downgraded to warnings in the android
source tree, so that they can be promoted to errors again.
The full list of changes include the following, but not all
will be present in any one individual commit:
BadAnnotationImplementation
BadShiftAmount
BanJNDI
BoxedPrimitiveEquality
ComparableType
ComplexBooleanConstant
CollectionToArraySafeParameter
ConditionalExpressionNumericPromotion
DangerousLiteralNull
DoubleBraceInitialization
DurationFrom
DurationTemporalUnit
EmptyTopLevelDeclaration
EqualsNull
EqualsReference
FormatString
FromTemporalAccessor
GetClassOnAnnotation
GetClassOnClass
HashtableContains
IdentityBinaryExpression
IdentityHashMapBoxing
InstantTemporalUnit
InvalidTimeZoneID
InvalidZoneId
IsInstanceIncompatibleType
JUnitParameterMethodNotFound
LockOnBoxedPrimitive
MathRoundIntLong
MislabeledAndroidString
MisusedDayOfYear
MissingSuperCall
MisusedWeekYear
ModifyingCollectionWithItself
NoCanIgnoreReturnValueOnClasses
NonRuntimeAnnotation
NullableOnContainingClass
NullTernary
OverridesJavaxInjectableMethod
ParcelableCreator
PeriodFrom
PreconditionsInvalidPlaceholder
ProtoBuilderReturnValueIgnored
ProtoFieldNullComparison
RandomModInteger
RectIntersectReturnValueIgnored
ReturnValueIgnored
SelfAssignment
SelfComparison
SelfEquals
SizeGreaterThanOrEqualsZero
StringBuilderInitWithChar
TreeToString
TryFailThrowable
UnnecessaryCheckNotNull
UnusedCollectionModifiedInPlace
XorPower
See https://errorprone.info/bugpatterns for more
information on the checks.
Bug: 253827323
Test: m RUN_ERROR_PRONE=true javac-check
Change-Id: Ib9d0fea381123dd488b86bdd677911002d47815b</t>
  </si>
  <si>
    <t>Delete CTS blocking Wear sideloading
Bug: 197362584
Bug: 229133213
Test: atest CtsPackageInstallTestCases
Change-Id: Ib31155d10b41012d8a1cb49ca955c8843a93ae6c
Merged-In: Ib31155d10b41012d8a1cb49ca955c8843a93ae6c</t>
  </si>
  <si>
    <t>mediapc: use dimensions and memory from Utils
testMinimumMemory() and testMinimumResolutionAndDensity() are now
simplified by using memory and dimensions populated in Utils class.
Bug: 242961416
Test: atest CtsMediaPerformanceClassTestCases:PerformanceClassTest
Change-Id: If916516afa2e54adfb2012be1dc365a9b9966c74</t>
  </si>
  <si>
    <t>mediapc: use dimensions and memory from Utils
testMinimumMemory() and testMinimumResolutionAndDensity() are now
simplified by using memory and dimensions populated in Utils class.
Bug: 242961416
Test: atest CtsMediaPerformanceClassTestCases:PerformanceClassTest
Change-Id: If916516afa2e54adfb2012be1dc365a9b9966c74
(cherry picked from commit 63b3bad30f521f072f7df019b0fda9be4453dd17)</t>
  </si>
  <si>
    <t>Revert "Check for target watch in StatusBarManagerTest"
This reverts commit 37e97d9d06c7f2c2c43ed2b4a69acc7bd4e9b5c2.
Reason for revert: the status bar is now enabled on Wear
Bug: 250685635
Test: atest android.app.cts.StatusBarManagerTest
Change-Id: I20ec61088d7301ccd3c0e99043a946de2121a210</t>
  </si>
  <si>
    <t>StreamingMediaPlayerTest: Remove workaround to limit bandwidth
Bug: 259703864
Test: atest CtsMediaPlayerTestCases:StreamingMediaPlayerTest
Change-Id: I829629d105f2740c41ebbe71aa7c7eaa8a261abd</t>
  </si>
  <si>
    <t>[DO NOT MERGE] Update bedstead in AOSP.
Test: btest CtsDevicePolicyTestCases
Bug: 217904700
Change-Id: I81b1734fe18af858967b638427af9b439e7b8239
Merged-In: I81b1734fe18af858967b638427af9b439e7b8239</t>
  </si>
  <si>
    <t>Move testIsSecureUserBuild to host-driven tests
The ro.secure and ro.debuggable properties are not accessible to regular
apps anymore. Validate their values using a host-driver test.
Bug: 260183784
Test: atest CtsOsHostTestCases:android.os.cts.BuildHostTests#testIsSecureUserBuild
Change-Id: If8fc0e6255fac2dc2d3cf0071b81a3bdb4e7933d</t>
  </si>
  <si>
    <t>mediav2 CTS: Add EncoderTestBase for validation of encoder components
All encoder tests are expected to now use EncoderConfigParams. To
migrate each test step by step, maintain both legacy
CodecEncoderTestBase and new EncoderTestBase
Bug: 260533828
Test: Build
Change-Id: I31982fe8023bcec4a5ab766995c033359202066b</t>
  </si>
  <si>
    <t>Migrate com.android.cts.devicepolicy.ManagedProfileCrossProfileTest#testCrossProfileIntentFilters
Test: btest android.devicepolicy.cts.CrossProfileIntentFiltersTest
Test: btest android.devicepolicy.cts.CrossProfileIntentFiltersTest -nbi -ssw
Change-Id: I0d0f59c66bc746db009e904343ab2918d8f6c4ea
Merged-In: I0d0f59c66bc746db009e904343ab2918d8f6c4ea</t>
  </si>
  <si>
    <t>mediav2 CTS: Release mediacodec resources at the end of every test
When the JUnit test fails, as the test ends abruptly the release() call
for mediacodec API isn't made. This causes issues on some devices where
some components are limited to single instance execution.
This CL introduces @After block which releases resources after test
execution.
Bug: 220100512
Test: atest android.mediav2.cts
Change-Id: I1e11d99d96f74a17047ce1bd1dbcaa780ea379b0</t>
  </si>
  <si>
    <t>API Review: support* methods should be supports*
To compliance with API review guideline, change support* methods name to
supports* with s at the end.
Bug: 261021330
Test: atest CtsBluetoothTestCases:android.bluetooth.cts.BluetoothHapClientTest
Tag: #feature
Change-Id: I5c3c6f320191168d0cdca7945d437a7c96e92bd8</t>
  </si>
  <si>
    <t>videocodec CTS: Update encoder tests to use config builder class
Bug: 260533828
Test: atest android.videocodec.cts
Change-Id: Ibf6fe619111375681ef6ff94deec8ab4c4bb0b03</t>
  </si>
  <si>
    <t>Test migration: 231911451,231911427 - Replace com.android.cts.devicepolicy.MixedProfileOwnerTest#testPermissionMixedPolicies,#testAutoGrantMultiplePermissionsInGroup
fixes: 231911451,231911427
Test: atest CtsDevicePolicyTestCases:PermissionGrantTest
Change-Id: I89a3abc1259814fb3ec107407d3558ebf45ab373</t>
  </si>
  <si>
    <t>Remove dalvik.vm.usejitprofiles system property.
Disabling profiles is no longer supported. Most of the profile support
has been active even when this property was false, and it won't be
supported in the ART Service.
(cherry-picked from commit 920e3ddc93b5a0b5feb95b23ff3c88569fab1104)
Test: atest -a CtsCompilationTestCases CtsDexMetadataHostTestCases
  with dalvik.vm.usejitprofiles undefined
Bug: 254434433
Change-Id: I24d0e3f29d2bb16f0f525317f5e2cba189304439
Merged-In: I24d0e3f29d2bb16f0f525317f5e2cba189304439</t>
  </si>
  <si>
    <t>Test migration: 231911451,231911427 - Replace com.android.cts.devicepolicy.MixedProfileOwnerTest#testPermissionMixedPolicies,#testAutoGrantMultiplePermissionsInGroup
fixes: 231911451
fixes: 231911427
Test: btest CtsDevicePolicyTestCases:PermissionGrantTest
Change-Id: I42cc763a42c72775f47042ee0f5247b1e0cd1d2c</t>
  </si>
  <si>
    <t>Restrict tests for setting DO only secure settings to R and below.
All the DO secure settings have been deprecated.
Fixes: 248604436
Test: btest android.devicepolicy.cts.SettingsTest
Change-Id: Ib6b64fd14168690f3ca2f206aa9241d78038a133</t>
  </si>
  <si>
    <t>Change to another active source before testing IgnoreBroadcastedFromSameSource.
If the DUT is already the active source, when pressing Home Key, it won't broadcast "Active Source" message.
We want to test if the device will send "Active Source" when pressing Home Key too, so we change the active source to another device first, to avoid the situations that DUT is already the active source.
Bug: 252963258
Test: Manually by MTK
Change-Id: I7cff2e5f93121d2581b31152d19932931c20e4c9</t>
  </si>
  <si>
    <t>mediav2 CTS: Update encoder tests to use EncoderTestBase class
This change also splits CodecEncoderValidationTest to seperate
AudioEncoderTest and VideoEncoderTest.
Bug: 262692980
Test: atest android.mediav2.cts
Change-Id: I439b334fc7bb9b92091397032ab0c3832aaa392e</t>
  </si>
  <si>
    <t>Fix ApplyOverrideConfigurationTest for freeform
If ApplyOverrideConfigurationActivity is launched in freeform windowing
mode, display rotation does not cause configuration changes.
This CL ensures to launch ApplyOverrideConfigurationActivity in
fullscreen mode.
Bug: 260299191
Test: atest CtsAndroidAppTestCases:android.app.cts.ApplyOverrideConfigurationTest
Merged-In: Iadce634c29feda2e834edbfe4cc87fe296ece60f
Change-Id: Ia14121302738af5eba7739b97000223493acadf2</t>
  </si>
  <si>
    <t>CtsMedia: Delete spurious file created by automerger
https://r.android.com/2308769 created AudioManagerTest.java in
tests/tests/media/src, but that file is now in
tests/tests/media/audio.
https://r.android.com/2216622 is the change in android12-tests-dev and
https://r.android.com/2290134 is the corresponding change in master
The required change is present in correct files already.
Bug: 263122446
Test: Builds
Change-Id: Ib7bc2a31e0003958ba6c2cded05baf26fa6df312</t>
  </si>
  <si>
    <t>Revert "Add strongbox keymint assumptions for PURPOSE_ATTEST_KEY tests"
This reverts commit 1f4eaa678d1a47532982da8b35b99aa53a81ef7a.
Reason for revert: This is incorrect. If 
FEATURE_KEYSTORE_APP_ATTEST_KEY is enabled, *all* implementations on the device must support the feature.
Change-Id: Iec4d8c2d9d52ccd2aa156e8c008e6d9f1b3549d2</t>
  </si>
  <si>
    <t>Fix DisplayTest for devices fixed-to-user-rotation enabled
This CL fixes DisplayTest so that it passes on devices
fixed-to-user-rotation enabled.
- Move DisableFixedToUserRotationRule to windowmanager/util so that
  CtsAppTestCases can use it.
- Adds a new rule SetRequestedOrientationRule, which facilitates
  DUT setup for tests relying on Activity#setRequestedOrientation.
Bug: 259874144
Test: atest CtsAppTestCases:android.app.cts.DisplayTest
Change-Id: I82dae621b23321803e4242b9257fbb0eda26aa74</t>
  </si>
  <si>
    <t>API test coverage for NfcB
BUG: 260726968
Test: atest CtsNfcTestCases
Change-Id: I619cf93a9816cff9833d9f3bca3e0ff6064cdfc4</t>
  </si>
  <si>
    <t>Revert "Add CTS tests for DualSense Edge gamepad"
Revert submission 2363669-dualsense-edge-support
Reason for revert: b/263648934
Reverted changes: /q/submissionid:2363669-dualsense-edge-support
Change-Id: Ib06d327ebe9a16d22da1bda8ffb93057504d6f94</t>
  </si>
  <si>
    <t>DO NOT MERGE: Remove useless and broken CTS test
Bug: 263707427
Bug: 255479130
Test: atest GeocoderTest
Change-Id: I54269a7257e860bde1370bb39972370b7e7ff30a
(cherry picked from commit 09ecd6a4f7e7b3fbcfb59a1b298766ad41987ac1)</t>
  </si>
  <si>
    <t>tests/tests/os/src/android/os/cts/BundleTest.java</t>
  </si>
  <si>
    <t>tests/tests/graphics/src/android/graphics/cts/InterpolatorTest.java</t>
  </si>
  <si>
    <t>tests/tests/widget/src/android/widget/cts/AutoCompleteTextViewTest.java</t>
  </si>
  <si>
    <t>tools/host/src/com/android/cts/TestDevice.java</t>
  </si>
  <si>
    <t>tests/SignatureTest/src/android/tests/sigtest/SignatureTest.java</t>
  </si>
  <si>
    <t>tools/host/src/com/android/cts/HostSideOnlyTest.java</t>
  </si>
  <si>
    <t>tools/host/src/com/android/cts/Test.java</t>
  </si>
  <si>
    <t>tools/host/src/com/android/cts/TestCase.java</t>
  </si>
  <si>
    <t>tools/host/src/com/android/cts/TestPackage.java</t>
  </si>
  <si>
    <t>tools/host/src/com/android/cts/TestSessionLog.java</t>
  </si>
  <si>
    <t>tools/host/src/com/android/cts/TestSuite.java</t>
  </si>
  <si>
    <t>tests/tests/content/src/android/content/cts/AvailableIntentsTest.java</t>
  </si>
  <si>
    <t>tests/tests/permission/src/android/permission/cts/NoLocationPermissionTest.java</t>
  </si>
  <si>
    <t>tests/tests/net/src/android/net/cts/NetworkInfoTest.java</t>
  </si>
  <si>
    <t>tests/tests/text/src/android/text/cts/TextUtilsTest.java</t>
  </si>
  <si>
    <t>tests/tests/graphics/src/android/graphics/cts/PaintTest.java</t>
  </si>
  <si>
    <t>tests/tests/app/src/android/app/cts/DatePickerDialogTest.java</t>
  </si>
  <si>
    <t>tests/tests/content/src/android/content/cts/ContentProviderTest.java</t>
  </si>
  <si>
    <t>tests/tests/net/src/android/net/cts/ProxyTest.java</t>
  </si>
  <si>
    <t>tests/tests/content/src/android/content/pm/cts/ActivityInfoTest.java</t>
  </si>
  <si>
    <t>tests/tests/content/src/android/content/pm/cts/ApplicationInfoTest.java</t>
  </si>
  <si>
    <t>tests/tests/content/src/android/content/pm/cts/ComponentInfoTest.java</t>
  </si>
  <si>
    <t>tests/tests/widget/src/android/widget/cts/ListViewTest.java</t>
  </si>
  <si>
    <t>tests/tests/location/src/android/location/cts/LocationManagerTest.java</t>
  </si>
  <si>
    <t>tests/tests/graphics/src/android/graphics/cts/BitmapFactoryTest.java</t>
  </si>
  <si>
    <t>tests/tests/graphics/src/android/graphics/cts/PathMeasureTest.java</t>
  </si>
  <si>
    <t>tests/tests/content/src/android/content/pm/cts/PackageManagerTest.java</t>
  </si>
  <si>
    <t>tests/tests/permission/src/android/permission/cts/PackageManagerRequiringPermissionsTest.java</t>
  </si>
  <si>
    <t>tests/tests/widget/src/android/widget/cts/AbsSeekBarTest.java</t>
  </si>
  <si>
    <t>tests/tests/widget/src/android/widget/cts/ChronometerTest.java</t>
  </si>
  <si>
    <t>tests/tests/permission/src/android/permission/cts/NoKeyPermissionTest.java</t>
  </si>
  <si>
    <t>tests/tests/os/src/android/os/cts/ParcelFileDescriptorTest.java</t>
  </si>
  <si>
    <t>tests/tests/os/src/android/os/cts/SystemClockTest.java</t>
  </si>
  <si>
    <t>tests/tests/net/src/android/net/cts/LocalSocketAddressTest.java</t>
  </si>
  <si>
    <t>tests/tests/net/src/android/net/cts/LocalSocketAddress_NamespaceTest.java</t>
  </si>
  <si>
    <t>tests/tests/net/src/android/net/cts/NetworkInfo_DetailedStateTest.java</t>
  </si>
  <si>
    <t>tests/tests/net/src/android/net/cts/NetworkInfo_StateTest.java</t>
  </si>
  <si>
    <t>tests/tests/app/src/android/app/cts/AliasActivityTest.java</t>
  </si>
  <si>
    <t>tests/tests/app/src/android/app/cts/PendingIntentTest.java</t>
  </si>
  <si>
    <t>tests/tests/app/src/android/app/cts/TimePickerDialogTest.java</t>
  </si>
  <si>
    <t>tests/tests/content/src/android/content/cts/IntentFilterTest.java</t>
  </si>
  <si>
    <t>tests/tests/permission/src/android/permission/cts/NoReadWritePermissionTest.java</t>
  </si>
  <si>
    <t>tests/tests/permission/src/android/permission/cts/ProviderPermissionTest.java</t>
  </si>
  <si>
    <t>tests/tests/graphics/src/android/graphics/cts/BitmapTest.java</t>
  </si>
  <si>
    <t>tests/tests/graphics/src/android/graphics/cts/CameraTest.java</t>
  </si>
  <si>
    <t>tests/tests/graphics/src/android/graphics/cts/CanvasTest.java</t>
  </si>
  <si>
    <t>tests/tests/graphics/src/android/graphics/cts/Interpolator_ResultTest.java</t>
  </si>
  <si>
    <t>tests/tests/graphics/src/android/graphics/cts/LayerRasterizerTest.java</t>
  </si>
  <si>
    <t>tests/tests/graphics/src/android/graphics/cts/MaskFilterTest.java</t>
  </si>
  <si>
    <t>tests/tests/graphics/src/android/graphics/cts/Matrix_ScaleToFitTest.java</t>
  </si>
  <si>
    <t>tests/tests/graphics/src/android/graphics/cts/PathDashPathEffect_StyleTest.java</t>
  </si>
  <si>
    <t>tests/tests/graphics/src/android/graphics/cts/PathEffectTest.java</t>
  </si>
  <si>
    <t>tests/tests/graphics/src/android/graphics/cts/PathTest.java</t>
  </si>
  <si>
    <t>tests/tests/graphics/src/android/graphics/cts/Path_DirectionTest.java</t>
  </si>
  <si>
    <t>tests/tests/graphics/src/android/graphics/cts/Path_FillTypeTest.java</t>
  </si>
  <si>
    <t>tests/tests/graphics/src/android/graphics/cts/PorterDuff_ModeTest.java</t>
  </si>
  <si>
    <t>tests/tests/graphics/src/android/graphics/cts/RegionIteratorTest.java</t>
  </si>
  <si>
    <t>tests/tests/graphics/src/android/graphics/cts/RegionTest.java</t>
  </si>
  <si>
    <t>tools/host/src/junit/framework/TestCase.java</t>
  </si>
  <si>
    <t>tools/host/src/junit/framework/TestFailure.java</t>
  </si>
  <si>
    <t>tools/host/src/junit/framework/TestResult.java</t>
  </si>
  <si>
    <t>tools/host/src/junit/framework/TestSuite.java</t>
  </si>
  <si>
    <t>tests/tests/graphics/src/android/graphics/drawable/cts/DrawableTest.java</t>
  </si>
  <si>
    <t>tests/tests/graphics/src/android/graphics/drawable/cts/GradientDrawableTest.java</t>
  </si>
  <si>
    <t>tests/tests/graphics/src/android/graphics/drawable/cts/ShapeDrawableTest.java</t>
  </si>
  <si>
    <t>tests/tests/graphics/src/android/graphics/drawable/cts/TransitionDrawableTest.java</t>
  </si>
  <si>
    <t>tests/tests/permission/src/android/permission/cts/NoAudioPermissionTest.java</t>
  </si>
  <si>
    <t>tests/tests/content/src/android/content/cts/IntentTest.java</t>
  </si>
  <si>
    <t>tests/tests/content/src/android/content/cts/SyncContextTest.java</t>
  </si>
  <si>
    <t>tests/tests/content/src/android/content/cts/SyncResultTest.java</t>
  </si>
  <si>
    <t>tests/tests/content/src/android/content/cts/SyncStatsTest.java</t>
  </si>
  <si>
    <t>tests/tests/telephony/src/android/telephony/gsm/cts/SmsManagerTest.java</t>
  </si>
  <si>
    <t>tests/tests/widget/src/android/widget/cts/ZoomControlsTest.java</t>
  </si>
  <si>
    <t>tests/tests/gesture/src/android/gesture/cts/GestureTest.java</t>
  </si>
  <si>
    <t>tests/tests/gesture/src/android/gesture/cts/GestureStoreTest.java</t>
  </si>
  <si>
    <t>tests/tests/widget/src/android/widget/cts/DatePickerTest.java</t>
  </si>
  <si>
    <t>tests/tests/widget/src/android/widget/cts/TimePickerTest.java</t>
  </si>
  <si>
    <t>tests/tests/telephony/src/android/telephony/cts/PhoneNumberUtilsTest.java</t>
  </si>
  <si>
    <t>tests/tests/dpi/src/com/android/cts/dpi/DefaultManifestAttributesDonutTest.java</t>
  </si>
  <si>
    <t>tests/tests/os/src/android/os/cts/FileAcessPermissionTest.java</t>
  </si>
  <si>
    <t>tests/tests/webkit/src/android/webkit/cts/CookieTest.java</t>
  </si>
  <si>
    <t>tests/tests/content/src/android/content/cts/ContextWrapperTest.java</t>
  </si>
  <si>
    <t>tests/tests/content/src/android/content/res/cts/ResourcesTest.java</t>
  </si>
  <si>
    <t>tests/tests/util/src/android/util/cts/EventLogTagsTest.java</t>
  </si>
  <si>
    <t>tests/tests/webkit/src/android/webkit/cts/WebViewClientTest.java</t>
  </si>
  <si>
    <t>tests/tests/view/src/android/view/cts/KeyEventTest.java</t>
  </si>
  <si>
    <t>tests/tests/accounts/src/android/accounts/cts/AccountManagerTest.java</t>
  </si>
  <si>
    <t>tests/tests/database/src/android/database/sqlite/cts/SQLiteProgramTest.java</t>
  </si>
  <si>
    <t>tests/tests/hardware/src/android/hardware/cts/CameraTest.java</t>
  </si>
  <si>
    <t>tests/tests/app/src/android/app/cts/SearchManagerTest.java</t>
  </si>
  <si>
    <t>tests/tests/view/src/android/view/cts/ViewStubTest.java</t>
  </si>
  <si>
    <t>tests/tests/widget/src/android/widget/cts/RatingBarTest.java</t>
  </si>
  <si>
    <t>tests/tests/widget/src/android/widget/cts/GalleryTest.java</t>
  </si>
  <si>
    <t>tests/tests/widget/src/android/widget/cts/PopupWindowTest.java</t>
  </si>
  <si>
    <t>tests/tests/app/src/android/app/cts/AlertDialog_BuilderTest.java</t>
  </si>
  <si>
    <t>tests/tests/graphics/src/android/graphics/drawable/cts/MipmapDrawableTest.java</t>
  </si>
  <si>
    <t>tests/tests/database/src/android/database/cts/AbstractCursorTest.java</t>
  </si>
  <si>
    <t>tests/tests/database/src/android/database/cts/DatabaseCursorTest.java</t>
  </si>
  <si>
    <t>tests/tests/app/src/android/app/cts/ActivityGroupTest.java</t>
  </si>
  <si>
    <t>tests/tests/app/src/android/app/cts/LifecycleTest.java</t>
  </si>
  <si>
    <t>tests/tests/database/src/android/database/sqlite/cts/SQLiteDatabaseTest.java</t>
  </si>
  <si>
    <t>tests/tests/app/src/android/app/cts/InstrumentationTest.java</t>
  </si>
  <si>
    <t>tests/tests/view/src/android/view/cts/WindowTest.java</t>
  </si>
  <si>
    <t>tests/tests/database/src/android/database/sqlite/cts/SQLiteCursorTest.java</t>
  </si>
  <si>
    <t>tests/tests/app/src/android/app/cts/ListActivityTest.java</t>
  </si>
  <si>
    <t>tests/tests/webkit/src/android/webkit/cts/WebViewTest.java</t>
  </si>
  <si>
    <t>tests/tests/hardware/src/android/hardware/cts/SensorManagerTest.java</t>
  </si>
  <si>
    <t>tests/tests/telephony/src/android/telephony/cts/TelephonyManagerTest.java</t>
  </si>
  <si>
    <t>tests/tests/util/src/android/util/cts/TimeUtilsTest.java</t>
  </si>
  <si>
    <t>apps/CtsVerifier/src/com/android/cts/verifier/TestListActivity.java</t>
  </si>
  <si>
    <t>apps/CtsVerifier/tests/src/com/android/cts/verifier/TestListActivityTest.java</t>
  </si>
  <si>
    <t>tests/appsecurity-tests/test-apps/UsePermissionDiffCert/src/com/android/cts/usespermissiondiffcertapp/AccessPermissionWithDiffSigTest.java</t>
  </si>
  <si>
    <t>tests/tests/media/src/android/media/cts/EqualizerTest.java</t>
  </si>
  <si>
    <t>tests/tests/permission/src/android/permission/cts/NoReadLogsPermissionTest.java</t>
  </si>
  <si>
    <t>tests/tests/permission/src/android/permission/cts/NoActivityRelatedPermissionTest.java</t>
  </si>
  <si>
    <t>tests/tests/permission/src/android/permission/cts/DevicePowerPermissionTest.java</t>
  </si>
  <si>
    <t>tests/tests/app/src/android/app/cts/DialogTest.java</t>
  </si>
  <si>
    <t>tests/tests/view/src/android/view/cts/ViewTest.java</t>
  </si>
  <si>
    <t>tests/tests/net/src/android/net/cts/ConnectivityManagerTest.java</t>
  </si>
  <si>
    <t>tests/tests/app/src/android/app/cts/SystemFeaturesTest.java</t>
  </si>
  <si>
    <t>tools/tradefed-host/src/com/android/cts/tradefed/testtype/TestCaseXmlParser.java</t>
  </si>
  <si>
    <t>tools/tradefed-host/tests/src/com/android/cts/tradefed/testtype/TestCaseXmlParserTest.java</t>
  </si>
  <si>
    <t>tools/vm-tests/src/dot/junit/opcodes/check_cast/TestStubs.java</t>
  </si>
  <si>
    <t>tools/vm-tests/src/dot/junit/opcodes/invoke_interface/Test_invoke_interface.java</t>
  </si>
  <si>
    <t>tools/vm-tests/src/dot/junit/opcodes/invoke_interface_range/Test_invoke_interface_range.java</t>
  </si>
  <si>
    <t>tools/vm-tests/src/dot/junit/opcodes/instance_of/TestStubs.java</t>
  </si>
  <si>
    <t>tools/vm-tests/src/dot/junit/opcodes/invoke_super/Test_invoke_super.java</t>
  </si>
  <si>
    <t>tools/vm-tests/src/dot/junit/opcodes/invoke_super_range/Test_invoke_super_range.java</t>
  </si>
  <si>
    <t>tools/vm-tests/src/dot/junit/opcodes/invoke_virtual/Test_invoke_virtual.java</t>
  </si>
  <si>
    <t>tools/vm-tests/src/dot/junit/opcodes/invoke_virtual_range/Test_invoke_virtual_range.java</t>
  </si>
  <si>
    <t>tests/tests/app/src/android/app/cts/ProfileFeaturesTest.java</t>
  </si>
  <si>
    <t>tests/tests/content/src/android/content/cts/BroadcastReceiverTest.java</t>
  </si>
  <si>
    <t>tests/tests/app/src/android/app/cts/AlertDialogTest.java</t>
  </si>
  <si>
    <t>tests/tests/content/src/android/content/res/cts/AssetFileDescriptor_AutoCloseInputStreamTest.java</t>
  </si>
  <si>
    <t>tests/tests/provider/src/android/provider/cts/Settings_SecureTest.java</t>
  </si>
  <si>
    <t>tests/tests/view/src/android/view/cts/SurfaceTest.java</t>
  </si>
  <si>
    <t>tests/tests/text/src/android/text/method/cts/MultiTapKeyListenerTest.java</t>
  </si>
  <si>
    <t>tests/tests/text/src/android/text/method/cts/QwertyKeyListenerTest.java</t>
  </si>
  <si>
    <t>tests/tests/accessibilityservice/src/android/accessibilityservice/cts/AccessibilityEndToEndTest.java</t>
  </si>
  <si>
    <t>tests/tests/webkit/src/android/webkit/cts/CacheManagerTest.java</t>
  </si>
  <si>
    <t>tests/tests/text/src/android/text/cts/LayoutTest.java</t>
  </si>
  <si>
    <t>tests/tests/net/src/android/net/cts/ListeningPortsTest.java</t>
  </si>
  <si>
    <t>tests/tests/webkit/src/android/webkit/cts/WebChromeClientTest.java</t>
  </si>
  <si>
    <t>tests/tests/widget/src/android/widget/cts/GridViewTest.java</t>
  </si>
  <si>
    <t>tests/tests/net/src/android/net/cts/TrafficStatsTest.java</t>
  </si>
  <si>
    <t>tests/tests/graphics/src/android/graphics/drawable/cts/InsetDrawableTest.java</t>
  </si>
  <si>
    <t>tools/tradefed-host/src/com/android/cts/tradefed/testtype/TestCaseRepo.java</t>
  </si>
  <si>
    <t>tests/tests/webkit/src/android/webkit/cts/WebHistoryItemTest.java</t>
  </si>
  <si>
    <t>tools/tradefed-host/src/com/android/cts/tradefed/testtype/PlanTest.java</t>
  </si>
  <si>
    <t>tools/tradefed-host/tests/src/com/android/cts/tradefed/testtype/PlanTestTest.java</t>
  </si>
  <si>
    <t>tests/tests/widget/src/android/widget/cts/AbsListViewTest.java</t>
  </si>
  <si>
    <t>tests/tests/text/src/android/text/method/cts/ArrowKeyMovementMethodTest.java</t>
  </si>
  <si>
    <t>tools/tradefed-host/src/com/android/cts/tradefed/testtype/TestPackageDef.java</t>
  </si>
  <si>
    <t>tools/tradefed-host/tests/src/com/android/cts/tradefed/testtype/CtsTestTest.java</t>
  </si>
  <si>
    <t>tests/tests/os/src/android/os/cts/MessageQueueTest.java</t>
  </si>
  <si>
    <t>tests/tests/widget/src/android/widget/cts/ProgressBarTest.java</t>
  </si>
  <si>
    <t>tests/tests/app/src/android/app/cts/AlarmManagerTest.java</t>
  </si>
  <si>
    <t>tests/tests/app/src/android/app/cts/ServiceTest.java</t>
  </si>
  <si>
    <t>tests/tests/view/src/android/view/cts/ViewGroupTest.java</t>
  </si>
  <si>
    <t>tests/tests/telephony/src/android/telephony/gsm/cts/SmsMessageTest.java</t>
  </si>
  <si>
    <t>tests/tests/dpi/src/android/dpi/cts/ConfigurationTest.java</t>
  </si>
  <si>
    <t>tests/tests/permission/src/android/permission/cts/NoCallPermissionTest.java</t>
  </si>
  <si>
    <t>tests/tests/media/src/android/media/cts/AudioManagerTest.java</t>
  </si>
  <si>
    <t>tools/tradefed-host/src/com/android/cts/tradefed/testtype/JarHostTest.java</t>
  </si>
  <si>
    <t>tests/tests/text/src/android/text/format/cts/DateUtilsTest.java</t>
  </si>
  <si>
    <t>tools/tradefed-host/src/com/android/cts/tradefed/testtype/CtsTest.java</t>
  </si>
  <si>
    <t>tools/tradefed-host/tests/src/com/android/cts/tradefed/targetprep/CtsSetupTest.java</t>
  </si>
  <si>
    <t>tests/tests/util/src/android/util/cts/EventLogTest.java</t>
  </si>
  <si>
    <t>tests/tests/renderscript/src/android/renderscript/cts/AllocationTest.java</t>
  </si>
  <si>
    <t>tests/tests/renderscript/src/android/renderscript/cts/ElementTest.java</t>
  </si>
  <si>
    <t>tests/tests/renderscript/src/android/renderscript/cts/ProgramStoreTest.java</t>
  </si>
  <si>
    <t>tests/tests/renderscript/src/android/renderscript/cts/TypeTest.java</t>
  </si>
  <si>
    <t>tests/tests/graphics/src/android/graphics/cts/RadialGradientTest.java</t>
  </si>
  <si>
    <t>tests/tests/renderscript/src/android/renderscript/cts/FontTest.java</t>
  </si>
  <si>
    <t>tests/tests/view/src/android/view/cts/TouchDelegateTest.java</t>
  </si>
  <si>
    <t>tests/tests/widget/src/android/widget/cts/MediaControllerTest.java</t>
  </si>
  <si>
    <t>tests/tests/view/src/android/view/inputmethod/cts/InputConnectionWrapperTest.java</t>
  </si>
  <si>
    <t>tests/tests/webkit/src/android/webkit/cts/WebIconDatabaseTest.java</t>
  </si>
  <si>
    <t>tests/tests/widget/src/android/widget/cts/TableLayoutTest.java</t>
  </si>
  <si>
    <t>tests/tests/widget/src/android/widget/cts/VideoViewTest.java</t>
  </si>
  <si>
    <t>tools/annotation-helper/src/spechelper/Test.java</t>
  </si>
  <si>
    <t>tools/test-progress-new/src/testprogress2/TestCoverageDoclet.java</t>
  </si>
  <si>
    <t>tools/test-progress-new/src/testprogress2/TestMethodInformation.java</t>
  </si>
  <si>
    <t>tools/test-progress-new/src/testprogress2/TestTargetNew.java</t>
  </si>
  <si>
    <t>tools/test-progress/src/TestCoverageDoclet.java</t>
  </si>
  <si>
    <t>tests/tests/view/src/android/view/cts/GestureDetector_SimpleOnGestureListenerTest.java</t>
  </si>
  <si>
    <t>tools/tradefed-host/src/com/android/cts/tradefed/testtype/InstrumentationAppTest.java</t>
  </si>
  <si>
    <t>tests/tests/webkit/src/android/webkit/cts/WebDriverTest.java</t>
  </si>
  <si>
    <t>tests/tests/speech/src/android/speech/tts/cts/TextToSpeechTest.java</t>
  </si>
  <si>
    <t>apps/CtsVerifier/tests/src/com/android/cts/verifier/CtsVerifierActivityTest.java</t>
  </si>
  <si>
    <t>apps/CtsVerifier/tests/src/com/android/cts/verifier/TestResultsProviderTest.java</t>
  </si>
  <si>
    <t>apps/CtsVerifier/tests/src/com/android/cts/verifier/features/FeatureSummaryActivityTest.java</t>
  </si>
  <si>
    <t>tests/tests/app/src/android/app/cts/DownloadManagerTest.java</t>
  </si>
  <si>
    <t>tests/tests/view/src/android/view/cts/AccessibilityEventTest.java</t>
  </si>
  <si>
    <t>tests/tests/content/src/android/content/res/cts/ConfigTest.java</t>
  </si>
  <si>
    <t>tests/tests/renderscript/src/android/renderscript/cts/FieldPackerTest.java</t>
  </si>
  <si>
    <t>tests/tests/media/src/android/media/cts/MediaPlayerTest.java</t>
  </si>
  <si>
    <t>tests/tests/graphics/src/android/graphics/drawable/cts/ClipDrawableTest.java</t>
  </si>
  <si>
    <t>tests/tests/graphics/src/android/graphics/drawable/cts/DrawableContainerTest.java</t>
  </si>
  <si>
    <t>tests/tests/graphics/src/android/graphics/drawable/cts/LayerDrawableTest.java</t>
  </si>
  <si>
    <t>tests/tests/graphics/src/android/graphics/drawable/cts/RotateDrawableTest.java</t>
  </si>
  <si>
    <t>tests/tests/graphics/src/android/graphics/drawable/cts/ScaleDrawableTest.java</t>
  </si>
  <si>
    <t>apps/CtsVerifier/src/com/android/cts/verifier/TestListAdapter.java</t>
  </si>
  <si>
    <t>tests/tests/graphics/src/android/graphics/cts/BitmapRegionDecoderTest.java</t>
  </si>
  <si>
    <t>apps/CtsVerifier/src/com/android/cts/verifier/TestResultsReport.java</t>
  </si>
  <si>
    <t>tests/tests/webkit/src/android/webkit/cts/WebView_HitTestResultTest.java</t>
  </si>
  <si>
    <t>tests/tests/speech/src/android/speech/tts/cts/TextToSpeechServiceTest.java</t>
  </si>
  <si>
    <t>tests/tests/graphics/src/android/graphics/cts/Shader_TileModeTest.java</t>
  </si>
  <si>
    <t>tests/tests/theme/src/android/theme/cts/ThemeTest.java</t>
  </si>
  <si>
    <t>tests/tests/content/src/android/content/pm/cts/SignatureTest.java</t>
  </si>
  <si>
    <t>tests/tests/media/src/android/media/cts/MediaPlayerStreamingTest.java</t>
  </si>
  <si>
    <t>tests/tests/webkit/src/android/webkit/cts/SslErrorHandlerTest.java</t>
  </si>
  <si>
    <t>tests/tests/widget/src/android/widget/cts/TextViewTest.java</t>
  </si>
  <si>
    <t>tools/vm-tests-tf/src/dot/junit/opcodes/add_double/Test_add_double.java</t>
  </si>
  <si>
    <t>tools/vm-tests-tf/src/dot/junit/opcodes/add_double_2addr/Test_add_double_2addr.java</t>
  </si>
  <si>
    <t>tools/vm-tests-tf/src/dot/junit/opcodes/add_float/Test_add_float.java</t>
  </si>
  <si>
    <t>tools/vm-tests-tf/src/dot/junit/opcodes/add_float_2addr/Test_add_float_2addr.java</t>
  </si>
  <si>
    <t>tools/vm-tests-tf/src/dot/junit/opcodes/add_int/Test_add_int.java</t>
  </si>
  <si>
    <t>tools/vm-tests-tf/src/dot/junit/opcodes/add_int_2addr/Test_add_int_2addr.java</t>
  </si>
  <si>
    <t>tools/vm-tests-tf/src/dot/junit/opcodes/add_int_lit16/Test_add_int_lit16.java</t>
  </si>
  <si>
    <t>tools/vm-tests-tf/src/dot/junit/opcodes/add_int_lit8/Test_add_int_lit8.java</t>
  </si>
  <si>
    <t>tools/vm-tests-tf/src/dot/junit/opcodes/add_long/Test_add_long.java</t>
  </si>
  <si>
    <t>tools/vm-tests-tf/src/dot/junit/opcodes/add_long_2addr/Test_add_long_2addr.java</t>
  </si>
  <si>
    <t>tools/vm-tests-tf/src/dot/junit/opcodes/aget/Test_aget.java</t>
  </si>
  <si>
    <t>tools/vm-tests-tf/src/dot/junit/opcodes/aget_boolean/Test_aget_boolean.java</t>
  </si>
  <si>
    <t>tools/vm-tests-tf/src/dot/junit/opcodes/aget_byte/Test_aget_byte.java</t>
  </si>
  <si>
    <t>tools/vm-tests-tf/src/dot/junit/opcodes/aget_char/Test_aget_char.java</t>
  </si>
  <si>
    <t>tools/vm-tests-tf/src/dot/junit/opcodes/aget_object/Test_aget_object.java</t>
  </si>
  <si>
    <t>tools/vm-tests-tf/src/dot/junit/opcodes/aget_short/Test_aget_short.java</t>
  </si>
  <si>
    <t>tools/vm-tests-tf/src/dot/junit/opcodes/aget_wide/Test_aget_wide.java</t>
  </si>
  <si>
    <t>tools/vm-tests-tf/src/dot/junit/opcodes/and_int/Test_and_int.java</t>
  </si>
  <si>
    <t>tools/vm-tests-tf/src/dot/junit/opcodes/and_int_2addr/Test_and_int_2addr.java</t>
  </si>
  <si>
    <t>tools/vm-tests-tf/src/dot/junit/opcodes/and_int_lit16/Test_and_int_lit16.java</t>
  </si>
  <si>
    <t>tools/vm-tests-tf/src/dot/junit/opcodes/and_int_lit8/Test_and_int_lit8.java</t>
  </si>
  <si>
    <t>tools/vm-tests-tf/src/dot/junit/opcodes/and_long/Test_and_long.java</t>
  </si>
  <si>
    <t>tools/vm-tests-tf/src/dot/junit/opcodes/and_long_2addr/Test_and_long_2addr.java</t>
  </si>
  <si>
    <t>tools/vm-tests-tf/src/dot/junit/opcodes/aput/Test_aput.java</t>
  </si>
  <si>
    <t>tools/vm-tests-tf/src/dot/junit/opcodes/aput_boolean/Test_aput_boolean.java</t>
  </si>
  <si>
    <t>tools/vm-tests-tf/src/dot/junit/opcodes/aput_byte/Test_aput_byte.java</t>
  </si>
  <si>
    <t>tools/vm-tests-tf/src/dot/junit/opcodes/aput_char/Test_aput_char.java</t>
  </si>
  <si>
    <t>tools/vm-tests-tf/src/dot/junit/opcodes/aput_object/Test_aput_object.java</t>
  </si>
  <si>
    <t>tools/vm-tests-tf/src/dot/junit/opcodes/aput_short/Test_aput_short.java</t>
  </si>
  <si>
    <t>tools/vm-tests-tf/src/dot/junit/opcodes/aput_wide/Test_aput_wide.java</t>
  </si>
  <si>
    <t>tools/vm-tests-tf/src/dot/junit/opcodes/cmp_long/Test_cmp_long.java</t>
  </si>
  <si>
    <t>tools/vm-tests-tf/src/dot/junit/opcodes/cmpg_double/Test_cmpg_double.java</t>
  </si>
  <si>
    <t>tools/vm-tests-tf/src/dot/junit/opcodes/cmpg_float/Test_cmpg_float.java</t>
  </si>
  <si>
    <t>tools/vm-tests-tf/src/dot/junit/opcodes/cmpl_double/Test_cmpl_double.java</t>
  </si>
  <si>
    <t>tools/vm-tests-tf/src/dot/junit/opcodes/cmpl_float/Test_cmpl_float.java</t>
  </si>
  <si>
    <t>tools/vm-tests-tf/src/dot/junit/opcodes/div_double/Test_div_double.java</t>
  </si>
  <si>
    <t>tools/vm-tests-tf/src/dot/junit/opcodes/div_double_2addr/Test_div_double_2addr.java</t>
  </si>
  <si>
    <t>tools/vm-tests-tf/src/dot/junit/opcodes/div_float/Test_div_float.java</t>
  </si>
  <si>
    <t>tools/vm-tests-tf/src/dot/junit/opcodes/div_float_2addr/Test_div_float_2addr.java</t>
  </si>
  <si>
    <t>tools/vm-tests-tf/src/dot/junit/opcodes/div_int/Test_div_int.java</t>
  </si>
  <si>
    <t>tools/vm-tests-tf/src/dot/junit/opcodes/div_int_2addr/Test_div_int_2addr.java</t>
  </si>
  <si>
    <t>tools/vm-tests-tf/src/dot/junit/opcodes/div_int_lit16/Test_div_int_lit16.java</t>
  </si>
  <si>
    <t>tools/vm-tests-tf/src/dot/junit/opcodes/div_int_lit8/Test_div_int_lit8.java</t>
  </si>
  <si>
    <t>tools/vm-tests-tf/src/dot/junit/opcodes/div_long/Test_div_long.java</t>
  </si>
  <si>
    <t>tools/vm-tests-tf/src/dot/junit/opcodes/div_long_2addr/Test_div_long_2addr.java</t>
  </si>
  <si>
    <t>tools/vm-tests-tf/src/dot/junit/opcodes/double_to_float/Test_double_to_float.java</t>
  </si>
  <si>
    <t>tools/vm-tests-tf/src/dot/junit/opcodes/double_to_int/Test_double_to_int.java</t>
  </si>
  <si>
    <t>tools/vm-tests-tf/src/dot/junit/opcodes/double_to_long/Test_double_to_long.java</t>
  </si>
  <si>
    <t>tools/vm-tests-tf/src/dot/junit/opcodes/float_to_double/Test_float_to_double.java</t>
  </si>
  <si>
    <t>tools/vm-tests-tf/src/dot/junit/opcodes/float_to_int/Test_float_to_int.java</t>
  </si>
  <si>
    <t>tools/vm-tests-tf/src/dot/junit/opcodes/float_to_long/Test_float_to_long.java</t>
  </si>
  <si>
    <t>tools/vm-tests-tf/src/dot/junit/opcodes/if_eq/Test_if_eq.java</t>
  </si>
  <si>
    <t>tools/vm-tests-tf/src/dot/junit/opcodes/if_eqz/Test_if_eqz.java</t>
  </si>
  <si>
    <t>tools/vm-tests-tf/src/dot/junit/opcodes/if_ge/Test_if_ge.java</t>
  </si>
  <si>
    <t>tools/vm-tests-tf/src/dot/junit/opcodes/if_gez/Test_if_gez.java</t>
  </si>
  <si>
    <t>tools/vm-tests-tf/src/dot/junit/opcodes/if_gt/Test_if_gt.java</t>
  </si>
  <si>
    <t>tools/vm-tests-tf/src/dot/junit/opcodes/if_gtz/Test_if_gtz.java</t>
  </si>
  <si>
    <t>tools/vm-tests-tf/src/dot/junit/opcodes/if_le/Test_if_le.java</t>
  </si>
  <si>
    <t>tools/vm-tests-tf/src/dot/junit/opcodes/if_lez/Test_if_lez.java</t>
  </si>
  <si>
    <t>tools/vm-tests-tf/src/dot/junit/opcodes/if_lt/Test_if_lt.java</t>
  </si>
  <si>
    <t>tools/vm-tests-tf/src/dot/junit/opcodes/if_ltz/Test_if_ltz.java</t>
  </si>
  <si>
    <t>tools/vm-tests-tf/src/dot/junit/opcodes/if_ne/Test_if_ne.java</t>
  </si>
  <si>
    <t>tools/vm-tests-tf/src/dot/junit/opcodes/if_nez/Test_if_nez.java</t>
  </si>
  <si>
    <t>tools/vm-tests-tf/src/dot/junit/opcodes/int_to_byte/Test_int_to_byte.java</t>
  </si>
  <si>
    <t>tools/vm-tests-tf/src/dot/junit/opcodes/int_to_char/Test_int_to_char.java</t>
  </si>
  <si>
    <t>tools/vm-tests-tf/src/dot/junit/opcodes/int_to_double/Test_int_to_double.java</t>
  </si>
  <si>
    <t>tools/vm-tests-tf/src/dot/junit/opcodes/int_to_float/Test_int_to_float.java</t>
  </si>
  <si>
    <t>tools/vm-tests-tf/src/dot/junit/opcodes/int_to_long/Test_int_to_long.java</t>
  </si>
  <si>
    <t>tools/vm-tests-tf/src/dot/junit/opcodes/int_to_short/Test_int_to_short.java</t>
  </si>
  <si>
    <t>tools/vm-tests-tf/src/dot/junit/opcodes/iput/Test_iput.java</t>
  </si>
  <si>
    <t>tools/vm-tests-tf/src/dot/junit/opcodes/long_to_double/Test_long_to_double.java</t>
  </si>
  <si>
    <t>tools/vm-tests-tf/src/dot/junit/opcodes/long_to_float/Test_long_to_float.java</t>
  </si>
  <si>
    <t>tools/vm-tests-tf/src/dot/junit/opcodes/long_to_int/Test_long_to_int.java</t>
  </si>
  <si>
    <t>tools/vm-tests-tf/src/dot/junit/opcodes/mul_double/Test_mul_double.java</t>
  </si>
  <si>
    <t>tools/vm-tests-tf/src/dot/junit/opcodes/mul_double_2addr/Test_mul_double_2addr.java</t>
  </si>
  <si>
    <t>tools/vm-tests-tf/src/dot/junit/opcodes/mul_float/Test_mul_float.java</t>
  </si>
  <si>
    <t>tools/vm-tests-tf/src/dot/junit/opcodes/mul_float_2addr/Test_mul_float_2addr.java</t>
  </si>
  <si>
    <t>tools/vm-tests-tf/src/dot/junit/opcodes/mul_int/Test_mul_int.java</t>
  </si>
  <si>
    <t>tools/vm-tests-tf/src/dot/junit/opcodes/mul_int_2addr/Test_mul_int_2addr.java</t>
  </si>
  <si>
    <t>tools/vm-tests-tf/src/dot/junit/opcodes/mul_int_lit16/Test_mul_int_lit16.java</t>
  </si>
  <si>
    <t>tools/vm-tests-tf/src/dot/junit/opcodes/mul_int_lit8/Test_mul_int_lit8.java</t>
  </si>
  <si>
    <t>tools/vm-tests-tf/src/dot/junit/opcodes/mul_long/Test_mul_long.java</t>
  </si>
  <si>
    <t>tools/vm-tests-tf/src/dot/junit/opcodes/mul_long_2addr/Test_mul_long_2addr.java</t>
  </si>
  <si>
    <t>tools/vm-tests-tf/src/dot/junit/opcodes/neg_double/Test_neg_double.java</t>
  </si>
  <si>
    <t>tools/vm-tests-tf/src/dot/junit/opcodes/neg_float/Test_neg_float.java</t>
  </si>
  <si>
    <t>tools/vm-tests-tf/src/dot/junit/opcodes/neg_int/Test_neg_int.java</t>
  </si>
  <si>
    <t>tools/vm-tests-tf/src/dot/junit/opcodes/neg_long/Test_neg_long.java</t>
  </si>
  <si>
    <t>tools/vm-tests-tf/src/dot/junit/opcodes/not_int/Test_not_int.java</t>
  </si>
  <si>
    <t>tools/vm-tests-tf/src/dot/junit/opcodes/not_long/Test_not_long.java</t>
  </si>
  <si>
    <t>tools/vm-tests-tf/src/dot/junit/opcodes/or_int/Test_or_int.java</t>
  </si>
  <si>
    <t>tools/vm-tests-tf/src/dot/junit/opcodes/or_int_2addr/Test_or_int_2addr.java</t>
  </si>
  <si>
    <t>tools/vm-tests-tf/src/dot/junit/opcodes/or_int_lit16/Test_or_int_lit16.java</t>
  </si>
  <si>
    <t>tools/vm-tests-tf/src/dot/junit/opcodes/or_int_lit8/Test_or_int_lit8.java</t>
  </si>
  <si>
    <t>tools/vm-tests-tf/src/dot/junit/opcodes/or_long/Test_or_long.java</t>
  </si>
  <si>
    <t>tools/vm-tests-tf/src/dot/junit/opcodes/or_long_2addr/Test_or_long_2addr.java</t>
  </si>
  <si>
    <t>tools/vm-tests-tf/src/dot/junit/opcodes/packed_switch/Test_packed_switch.java</t>
  </si>
  <si>
    <t>tools/vm-tests-tf/src/dot/junit/opcodes/rem_double/Test_rem_double.java</t>
  </si>
  <si>
    <t>tools/vm-tests-tf/src/dot/junit/opcodes/rem_double_2addr/Test_rem_double_2addr.java</t>
  </si>
  <si>
    <t>tools/vm-tests-tf/src/dot/junit/opcodes/rem_float/Test_rem_float.java</t>
  </si>
  <si>
    <t>tools/vm-tests-tf/src/dot/junit/opcodes/rem_float_2addr/Test_rem_float_2addr.java</t>
  </si>
  <si>
    <t>tools/vm-tests-tf/src/dot/junit/opcodes/rem_int/Test_rem_int.java</t>
  </si>
  <si>
    <t>tools/vm-tests-tf/src/dot/junit/opcodes/rem_int_2addr/Test_rem_int_2addr.java</t>
  </si>
  <si>
    <t>tools/vm-tests-tf/src/dot/junit/opcodes/rem_int_lit16/Test_rem_int_lit16.java</t>
  </si>
  <si>
    <t>tools/vm-tests-tf/src/dot/junit/opcodes/rem_int_lit8/Test_rem_int_lit8.java</t>
  </si>
  <si>
    <t>tools/vm-tests-tf/src/dot/junit/opcodes/rem_long/Test_rem_long.java</t>
  </si>
  <si>
    <t>tools/vm-tests-tf/src/dot/junit/opcodes/rem_long_2addr/Test_rem_long_2addr.java</t>
  </si>
  <si>
    <t>tools/vm-tests-tf/src/dot/junit/opcodes/rsub_int/Test_rsub_int.java</t>
  </si>
  <si>
    <t>tools/vm-tests-tf/src/dot/junit/opcodes/rsub_int_lit8/Test_rsub_int_lit8.java</t>
  </si>
  <si>
    <t>tools/vm-tests-tf/src/dot/junit/opcodes/shl_int/Test_shl_int.java</t>
  </si>
  <si>
    <t>tools/vm-tests-tf/src/dot/junit/opcodes/shl_int_2addr/Test_shl_int_2addr.java</t>
  </si>
  <si>
    <t>tools/vm-tests-tf/src/dot/junit/opcodes/shl_int_lit8/Test_shl_int_lit8.java</t>
  </si>
  <si>
    <t>tools/vm-tests-tf/src/dot/junit/opcodes/shl_long/Test_shl_long.java</t>
  </si>
  <si>
    <t>tools/vm-tests-tf/src/dot/junit/opcodes/shl_long_2addr/Test_shl_long_2addr.java</t>
  </si>
  <si>
    <t>tools/vm-tests-tf/src/dot/junit/opcodes/shr_int/Test_shr_int.java</t>
  </si>
  <si>
    <t>tools/vm-tests-tf/src/dot/junit/opcodes/shr_int_2addr/Test_shr_int_2addr.java</t>
  </si>
  <si>
    <t>tools/vm-tests-tf/src/dot/junit/opcodes/shr_int_lit8/Test_shr_int_lit8.java</t>
  </si>
  <si>
    <t>tools/vm-tests-tf/src/dot/junit/opcodes/shr_long/Test_shr_long.java</t>
  </si>
  <si>
    <t>tools/vm-tests-tf/src/dot/junit/opcodes/shr_long_2addr/Test_shr_long_2addr.java</t>
  </si>
  <si>
    <t>tools/vm-tests-tf/src/dot/junit/opcodes/sparse_switch/Test_sparse_switch.java</t>
  </si>
  <si>
    <t>tools/vm-tests-tf/src/dot/junit/opcodes/sput/Test_sput.java</t>
  </si>
  <si>
    <t>tools/vm-tests-tf/src/dot/junit/opcodes/sub_double/Test_sub_double.java</t>
  </si>
  <si>
    <t>tools/vm-tests-tf/src/dot/junit/opcodes/sub_double_2addr/Test_sub_double_2addr.java</t>
  </si>
  <si>
    <t>tools/vm-tests-tf/src/dot/junit/opcodes/sub_float/Test_sub_float.java</t>
  </si>
  <si>
    <t>tools/vm-tests-tf/src/dot/junit/opcodes/sub_float_2addr/Test_sub_float_2addr.java</t>
  </si>
  <si>
    <t>tools/vm-tests-tf/src/dot/junit/opcodes/sub_int/Test_sub_int.java</t>
  </si>
  <si>
    <t>tools/vm-tests-tf/src/dot/junit/opcodes/sub_int_2addr/Test_sub_int_2addr.java</t>
  </si>
  <si>
    <t>tools/vm-tests-tf/src/dot/junit/opcodes/sub_long/Test_sub_long.java</t>
  </si>
  <si>
    <t>tools/vm-tests-tf/src/dot/junit/opcodes/sub_long_2addr/Test_sub_long_2addr.java</t>
  </si>
  <si>
    <t>tools/vm-tests-tf/src/dot/junit/opcodes/ushr_int/Test_ushr_int.java</t>
  </si>
  <si>
    <t>tools/vm-tests-tf/src/dot/junit/opcodes/ushr_int_2addr/Test_ushr_int_2addr.java</t>
  </si>
  <si>
    <t>tools/vm-tests-tf/src/dot/junit/opcodes/ushr_int_lit8/Test_ushr_int_lit8.java</t>
  </si>
  <si>
    <t>tools/vm-tests-tf/src/dot/junit/opcodes/ushr_long/Test_ushr_long.java</t>
  </si>
  <si>
    <t>tools/vm-tests-tf/src/dot/junit/opcodes/ushr_long_2addr/Test_ushr_long_2addr.java</t>
  </si>
  <si>
    <t>tools/vm-tests-tf/src/dot/junit/opcodes/xor_int/Test_xor_int.java</t>
  </si>
  <si>
    <t>tools/vm-tests-tf/src/dot/junit/opcodes/xor_int_2addr/Test_xor_int_2addr.java</t>
  </si>
  <si>
    <t>tools/vm-tests-tf/src/dot/junit/opcodes/xor_int_lit16/Test_xor_int_lit16.java</t>
  </si>
  <si>
    <t>tools/vm-tests-tf/src/dot/junit/opcodes/xor_int_lit8/Test_xor_int_lit8.java</t>
  </si>
  <si>
    <t>tools/vm-tests-tf/src/dot/junit/opcodes/xor_long/Test_xor_long.java</t>
  </si>
  <si>
    <t>tools/vm-tests-tf/src/dot/junit/opcodes/xor_long_2addr/Test_xor_long_2addr.java</t>
  </si>
  <si>
    <t>tests/tests/performance/src/android/performance/cts/MultiAppStartupTest.java</t>
  </si>
  <si>
    <t>tests/tests/provider/src/android/provider/cts/CalendarTest.java</t>
  </si>
  <si>
    <t>tools/tradefed-host/src/com/android/cts/tradefed/testtype/PlanXmlParser.java</t>
  </si>
  <si>
    <t>tools/tradefed-host/tests/src/com/android/cts/tradefed/testtype/PlanXmlParserTest.java</t>
  </si>
  <si>
    <t>tools/tradefed-host/src/com/android/cts/tradefed/result/TestCase.java</t>
  </si>
  <si>
    <t>tools/tradefed-host/src/com/android/cts/tradefed/result/TestSuiteRoot.java</t>
  </si>
  <si>
    <t>tools/tradefed-host/src/com/android/cts/tradefed/result/TestSummaryXml.java</t>
  </si>
  <si>
    <t>tools/tradefed-host/src/com/android/cts/tradefed/result/TestResultRepo.java</t>
  </si>
  <si>
    <t>tools/tradefed-host/src/com/android/cts/tradefed/result/Test.java</t>
  </si>
  <si>
    <t>tools/tradefed-host/src/com/android/cts/tradefed/result/TestSuite.java</t>
  </si>
  <si>
    <t>tools/tradefed-host/src/com/android/cts/tradefed/result/TestResults.java</t>
  </si>
  <si>
    <t>tests/tests/graphics/src/android/graphics/drawable/cts/AnimationDrawableTest.java</t>
  </si>
  <si>
    <t>tests/tests/widget/src/android/widget/cts/HorizontalScrollViewTest.java</t>
  </si>
  <si>
    <t>tests/tests/widget/src/android/widget/cts/ScrollViewTest.java</t>
  </si>
  <si>
    <t>tools/host/src/com/android/cts/TestController.java</t>
  </si>
  <si>
    <t>tools/host/src/com/android/cts/TestHost.java</t>
  </si>
  <si>
    <t>tools/host/src/com/android/cts/TestNotFoundException.java</t>
  </si>
  <si>
    <t>tools/host/src/com/android/cts/TestPlan.java</t>
  </si>
  <si>
    <t>tools/host/src/com/android/cts/TestPlanNotFoundException.java</t>
  </si>
  <si>
    <t>tools/host/src/com/android/cts/TestSession.java</t>
  </si>
  <si>
    <t>tools/host/src/com/android/cts/TestSessionBuilder.java</t>
  </si>
  <si>
    <t>tools/host/src/com/android/cts/TestSessionLogBuilder.java</t>
  </si>
  <si>
    <t>tools/host/test/com/android/cts/CommandParserTest.java</t>
  </si>
  <si>
    <t>tools/host/test/com/android/cts/TestPlanBuilderTests.java</t>
  </si>
  <si>
    <t>tools/host/test/com/android/cts/TestSessionBuilderTests.java</t>
  </si>
  <si>
    <t>tools/host/test/com/android/cts/TestSessionLogBuilderTests.java</t>
  </si>
  <si>
    <t>tests/tests/text/src/android/text/method/cts/TextKeyListenerTest.java</t>
  </si>
  <si>
    <t>tests/tests/theme/src/android/theme/cts/TestListActivity.java</t>
  </si>
  <si>
    <t>tests/tests/theme/src/android/theme/cts/TesterViewGroup.java</t>
  </si>
  <si>
    <t>tools/dx-tests/src/dxc/junit/argsreturns/pargsreturn/Test_pargsreturn.java</t>
  </si>
  <si>
    <t>tools/dx-tests/src/dxc/junit/opcodes/aaload/Test_aaload.java</t>
  </si>
  <si>
    <t>tools/dx-tests/src/dxc/junit/opcodes/aastore/Test_aastore.java</t>
  </si>
  <si>
    <t>tools/dx-tests/src/dxc/junit/opcodes/aconst_null/Test_aconst_null.java</t>
  </si>
  <si>
    <t>tools/dx-tests/src/dxc/junit/opcodes/aload/Test_aload.java</t>
  </si>
  <si>
    <t>tools/dx-tests/src/dxc/junit/opcodes/aload_0/Test_aload_0.java</t>
  </si>
  <si>
    <t>tools/dx-tests/src/dxc/junit/opcodes/aload_1/Test_aload_1.java</t>
  </si>
  <si>
    <t>tools/dx-tests/src/dxc/junit/opcodes/aload_2/Test_aload_2.java</t>
  </si>
  <si>
    <t>tools/dx-tests/src/dxc/junit/opcodes/aload_3/Test_aload_3.java</t>
  </si>
  <si>
    <t>tools/dx-tests/src/dxc/junit/opcodes/anewarray/Test_anewarray.java</t>
  </si>
  <si>
    <t>tools/dx-tests/src/dxc/junit/opcodes/areturn/Test_areturn.java</t>
  </si>
  <si>
    <t>tools/dx-tests/src/dxc/junit/opcodes/arraylength/Test_arraylength.java</t>
  </si>
  <si>
    <t>tools/dx-tests/src/dxc/junit/opcodes/astore/Test_astore.java</t>
  </si>
  <si>
    <t>tools/dx-tests/src/dxc/junit/opcodes/astore_0/Test_astore_0.java</t>
  </si>
  <si>
    <t>tools/dx-tests/src/dxc/junit/opcodes/astore_1/Test_astore_1.java</t>
  </si>
  <si>
    <t>tools/dx-tests/src/dxc/junit/opcodes/astore_2/Test_astore_2.java</t>
  </si>
  <si>
    <t>tools/dx-tests/src/dxc/junit/opcodes/astore_3/Test_astore_3.java</t>
  </si>
  <si>
    <t>tools/dx-tests/src/dxc/junit/opcodes/athrow/Test_athrow.java</t>
  </si>
  <si>
    <t>tools/dx-tests/src/dxc/junit/opcodes/baload/Test_baload.java</t>
  </si>
  <si>
    <t>tools/dx-tests/src/dxc/junit/opcodes/bastore/Test_bastore.java</t>
  </si>
  <si>
    <t>tools/dx-tests/src/dxc/junit/opcodes/bipush/Test_bipush.java</t>
  </si>
  <si>
    <t>tools/dx-tests/src/dxc/junit/opcodes/caload/Test_caload.java</t>
  </si>
  <si>
    <t>tools/dx-tests/src/dxc/junit/opcodes/castore/Test_castore.java</t>
  </si>
  <si>
    <t>tools/dx-tests/src/dxc/junit/opcodes/checkcast/Test_checkcast.java</t>
  </si>
  <si>
    <t>tools/dx-tests/src/dxc/junit/opcodes/d2f/Test_d2f.java</t>
  </si>
  <si>
    <t>tools/dx-tests/src/dxc/junit/opcodes/d2i/Test_d2i.java</t>
  </si>
  <si>
    <t>tools/dx-tests/src/dxc/junit/opcodes/d2l/Test_d2l.java</t>
  </si>
  <si>
    <t>tools/dx-tests/src/dxc/junit/opcodes/dadd/Test_dadd.java</t>
  </si>
  <si>
    <t>tools/dx-tests/src/dxc/junit/opcodes/daload/Test_daload.java</t>
  </si>
  <si>
    <t>tools/dx-tests/src/dxc/junit/opcodes/dastore/Test_dastore.java</t>
  </si>
  <si>
    <t>tools/dx-tests/src/dxc/junit/opcodes/dcmpg/Test_dcmpg.java</t>
  </si>
  <si>
    <t>tools/dx-tests/src/dxc/junit/opcodes/dcmpl/Test_dcmpl.java</t>
  </si>
  <si>
    <t>tools/dx-tests/src/dxc/junit/opcodes/dconst_0/Test_dconst_0.java</t>
  </si>
  <si>
    <t>tools/dx-tests/src/dxc/junit/opcodes/dconst_1/Test_dconst_1.java</t>
  </si>
  <si>
    <t>tools/dx-tests/src/dxc/junit/opcodes/ddiv/Test_ddiv.java</t>
  </si>
  <si>
    <t>tools/dx-tests/src/dxc/junit/opcodes/dload/Test_dload.java</t>
  </si>
  <si>
    <t>tools/dx-tests/src/dxc/junit/opcodes/dload_0/Test_dload_0.java</t>
  </si>
  <si>
    <t>tools/dx-tests/src/dxc/junit/opcodes/dload_1/Test_dload_1.java</t>
  </si>
  <si>
    <t>tools/dx-tests/src/dxc/junit/opcodes/dload_2/Test_dload_2.java</t>
  </si>
  <si>
    <t>tools/dx-tests/src/dxc/junit/opcodes/dload_3/Test_dload_3.java</t>
  </si>
  <si>
    <t>tools/dx-tests/src/dxc/junit/opcodes/dmul/Test_dmul.java</t>
  </si>
  <si>
    <t>tools/dx-tests/src/dxc/junit/opcodes/dneg/Test_dneg.java</t>
  </si>
  <si>
    <t>tools/dx-tests/src/dxc/junit/opcodes/drem/Test_drem.java</t>
  </si>
  <si>
    <t>tools/dx-tests/src/dxc/junit/opcodes/dreturn/Test_dreturn.java</t>
  </si>
  <si>
    <t>tools/dx-tests/src/dxc/junit/opcodes/dstore/Test_dstore.java</t>
  </si>
  <si>
    <t>tools/dx-tests/src/dxc/junit/opcodes/dstore_0/Test_dstore_0.java</t>
  </si>
  <si>
    <t>tools/dx-tests/src/dxc/junit/opcodes/dstore_1/Test_dstore_1.java</t>
  </si>
  <si>
    <t>tools/dx-tests/src/dxc/junit/opcodes/dstore_2/Test_dstore_2.java</t>
  </si>
  <si>
    <t>tools/dx-tests/src/dxc/junit/opcodes/dstore_3/Test_dstore_3.java</t>
  </si>
  <si>
    <t>tools/dx-tests/src/dxc/junit/opcodes/dsub/Test_dsub.java</t>
  </si>
  <si>
    <t>tools/dx-tests/src/dxc/junit/opcodes/dup/Test_dup.java</t>
  </si>
  <si>
    <t>tools/dx-tests/src/dxc/junit/opcodes/dup2/Test_dup2.java</t>
  </si>
  <si>
    <t>tools/dx-tests/src/dxc/junit/opcodes/dup2_x1/Test_dup2_x1.java</t>
  </si>
  <si>
    <t>tools/dx-tests/src/dxc/junit/opcodes/dup2_x2/Test_dup2_x2.java</t>
  </si>
  <si>
    <t>tools/dx-tests/src/dxc/junit/opcodes/dup_x1/Test_dup_x1.java</t>
  </si>
  <si>
    <t>tools/dx-tests/src/dxc/junit/opcodes/dup_x2/Test_dup_x2.java</t>
  </si>
  <si>
    <t>tools/dx-tests/src/dxc/junit/opcodes/f2d/Test_f2d.java</t>
  </si>
  <si>
    <t>tools/dx-tests/src/dxc/junit/opcodes/f2i/Test_f2i.java</t>
  </si>
  <si>
    <t>tools/dx-tests/src/dxc/junit/opcodes/f2l/Test_f2l.java</t>
  </si>
  <si>
    <t>tools/dx-tests/src/dxc/junit/opcodes/fadd/Test_fadd.java</t>
  </si>
  <si>
    <t>tools/dx-tests/src/dxc/junit/opcodes/faload/Test_faload.java</t>
  </si>
  <si>
    <t>tools/dx-tests/src/dxc/junit/opcodes/fastore/Test_fastore.java</t>
  </si>
  <si>
    <t>tools/dx-tests/src/dxc/junit/opcodes/fcmpg/Test_fcmpg.java</t>
  </si>
  <si>
    <t>tools/dx-tests/src/dxc/junit/opcodes/fcmpl/Test_fcmpl.java</t>
  </si>
  <si>
    <t>tools/dx-tests/src/dxc/junit/opcodes/fconst_0/Test_fconst_0.java</t>
  </si>
  <si>
    <t>tools/dx-tests/src/dxc/junit/opcodes/fconst_1/Test_fconst_1.java</t>
  </si>
  <si>
    <t>tools/dx-tests/src/dxc/junit/opcodes/fconst_2/Test_fconst_2.java</t>
  </si>
  <si>
    <t>tools/dx-tests/src/dxc/junit/opcodes/fdiv/Test_fdiv.java</t>
  </si>
  <si>
    <t>tools/dx-tests/src/dxc/junit/opcodes/fload/Test_fload.java</t>
  </si>
  <si>
    <t>tools/dx-tests/src/dxc/junit/opcodes/fload_0/Test_fload_0.java</t>
  </si>
  <si>
    <t>tools/dx-tests/src/dxc/junit/opcodes/fload_1/Test_fload_1.java</t>
  </si>
  <si>
    <t>tools/dx-tests/src/dxc/junit/opcodes/fload_2/Test_fload_2.java</t>
  </si>
  <si>
    <t>tools/dx-tests/src/dxc/junit/opcodes/fload_3/Test_fload_3.java</t>
  </si>
  <si>
    <t>tools/dx-tests/src/dxc/junit/opcodes/fmul/Test_fmul.java</t>
  </si>
  <si>
    <t>tools/dx-tests/src/dxc/junit/opcodes/fneg/Test_fneg.java</t>
  </si>
  <si>
    <t>tools/dx-tests/src/dxc/junit/opcodes/frem/Test_frem.java</t>
  </si>
  <si>
    <t>tools/dx-tests/src/dxc/junit/opcodes/freturn/Test_freturn.java</t>
  </si>
  <si>
    <t>tools/dx-tests/src/dxc/junit/opcodes/fstore/Test_fstore.java</t>
  </si>
  <si>
    <t>tools/dx-tests/src/dxc/junit/opcodes/fstore_0/Test_fstore_0.java</t>
  </si>
  <si>
    <t>tools/dx-tests/src/dxc/junit/opcodes/fstore_1/Test_fstore_1.java</t>
  </si>
  <si>
    <t>tools/dx-tests/src/dxc/junit/opcodes/fstore_2/Test_fstore_2.java</t>
  </si>
  <si>
    <t>tools/dx-tests/src/dxc/junit/opcodes/fstore_3/Test_fstore_3.java</t>
  </si>
  <si>
    <t>tools/dx-tests/src/dxc/junit/opcodes/fsub/Test_fsub.java</t>
  </si>
  <si>
    <t>tools/dx-tests/src/dxc/junit/opcodes/getfield/Test_getfield.java</t>
  </si>
  <si>
    <t>tools/dx-tests/src/dxc/junit/opcodes/getstatic/Test_getstatic.java</t>
  </si>
  <si>
    <t>tools/dx-tests/src/dxc/junit/opcodes/goto_w/Test_goto_w.java</t>
  </si>
  <si>
    <t>tools/dx-tests/src/dxc/junit/opcodes/i2b/Test_i2b.java</t>
  </si>
  <si>
    <t>tools/dx-tests/src/dxc/junit/opcodes/i2c/Test_i2c.java</t>
  </si>
  <si>
    <t>tools/dx-tests/src/dxc/junit/opcodes/i2d/Test_i2d.java</t>
  </si>
  <si>
    <t>tools/dx-tests/src/dxc/junit/opcodes/i2f/Test_i2f.java</t>
  </si>
  <si>
    <t>tools/dx-tests/src/dxc/junit/opcodes/i2l/Test_i2l.java</t>
  </si>
  <si>
    <t>tools/dx-tests/src/dxc/junit/opcodes/i2s/Test_i2s.java</t>
  </si>
  <si>
    <t>tools/dx-tests/src/dxc/junit/opcodes/iadd/Test_iadd.java</t>
  </si>
  <si>
    <t>tools/dx-tests/src/dxc/junit/opcodes/iaload/Test_iaload.java</t>
  </si>
  <si>
    <t>tools/dx-tests/src/dxc/junit/opcodes/iand/Test_iand.java</t>
  </si>
  <si>
    <t>tools/dx-tests/src/dxc/junit/opcodes/iastore/Test_iastore.java</t>
  </si>
  <si>
    <t>tools/dx-tests/src/dxc/junit/opcodes/iconst_0/Test_iconst_0.java</t>
  </si>
  <si>
    <t>tools/dx-tests/src/dxc/junit/opcodes/iconst_1/Test_iconst_1.java</t>
  </si>
  <si>
    <t>tools/dx-tests/src/dxc/junit/opcodes/iconst_2/Test_iconst_2.java</t>
  </si>
  <si>
    <t>tools/dx-tests/src/dxc/junit/opcodes/iconst_3/Test_iconst_3.java</t>
  </si>
  <si>
    <t>tools/dx-tests/src/dxc/junit/opcodes/iconst_4/Test_iconst_4.java</t>
  </si>
  <si>
    <t>tools/dx-tests/src/dxc/junit/opcodes/iconst_5/Test_iconst_5.java</t>
  </si>
  <si>
    <t>tools/dx-tests/src/dxc/junit/opcodes/iconst_m1/Test_iconst_m1.java</t>
  </si>
  <si>
    <t>tools/dx-tests/src/dxc/junit/opcodes/idiv/Test_idiv.java</t>
  </si>
  <si>
    <t>tools/dx-tests/src/dxc/junit/opcodes/if_acmpeq/Test_if_acmpeq.java</t>
  </si>
  <si>
    <t>tools/dx-tests/src/dxc/junit/opcodes/if_acmpne/Test_if_acmpne.java</t>
  </si>
  <si>
    <t>tools/dx-tests/src/dxc/junit/opcodes/if_icmpeq/Test_if_icmpeq.java</t>
  </si>
  <si>
    <t>tools/dx-tests/src/dxc/junit/opcodes/if_icmpge/Test_if_icmpge.java</t>
  </si>
  <si>
    <t>tools/dx-tests/src/dxc/junit/opcodes/if_icmpgt/Test_if_icmpgt.java</t>
  </si>
  <si>
    <t>tools/dx-tests/src/dxc/junit/opcodes/if_icmple/Test_if_icmple.java</t>
  </si>
  <si>
    <t>tools/dx-tests/src/dxc/junit/opcodes/if_icmplt/Test_if_icmplt.java</t>
  </si>
  <si>
    <t>tools/dx-tests/src/dxc/junit/opcodes/if_icmpne/Test_if_icmpne.java</t>
  </si>
  <si>
    <t>tools/dx-tests/src/dxc/junit/opcodes/ifeq/Test_ifeq.java</t>
  </si>
  <si>
    <t>tools/dx-tests/src/dxc/junit/opcodes/ifge/Test_ifge.java</t>
  </si>
  <si>
    <t>tools/dx-tests/src/dxc/junit/opcodes/ifgt/Test_ifgt.java</t>
  </si>
  <si>
    <t>tools/dx-tests/src/dxc/junit/opcodes/ifle/Test_ifle.java</t>
  </si>
  <si>
    <t>tools/dx-tests/src/dxc/junit/opcodes/iflt/Test_iflt.java</t>
  </si>
  <si>
    <t>tools/dx-tests/src/dxc/junit/opcodes/ifne/Test_ifne.java</t>
  </si>
  <si>
    <t>tools/dx-tests/src/dxc/junit/opcodes/ifnonnull/Test_ifnonnull.java</t>
  </si>
  <si>
    <t>tools/dx-tests/src/dxc/junit/opcodes/ifnull/Test_ifnull.java</t>
  </si>
  <si>
    <t>tools/dx-tests/src/dxc/junit/opcodes/iinc/Test_iinc.java</t>
  </si>
  <si>
    <t>tools/dx-tests/src/dxc/junit/opcodes/iload/Test_iload.java</t>
  </si>
  <si>
    <t>tools/dx-tests/src/dxc/junit/opcodes/iload_0/Test_iload_0.java</t>
  </si>
  <si>
    <t>tools/dx-tests/src/dxc/junit/opcodes/iload_1/Test_iload_1.java</t>
  </si>
  <si>
    <t>tools/dx-tests/src/dxc/junit/opcodes/iload_2/Test_iload_2.java</t>
  </si>
  <si>
    <t>tools/dx-tests/src/dxc/junit/opcodes/iload_3/Test_iload_3.java</t>
  </si>
  <si>
    <t>tools/dx-tests/src/dxc/junit/opcodes/imul/Test_imul.java</t>
  </si>
  <si>
    <t>tools/dx-tests/src/dxc/junit/opcodes/ineg/Test_ineg.java</t>
  </si>
  <si>
    <t>tools/dx-tests/src/dxc/junit/opcodes/invokeinterface/Test_invokeinterface.java</t>
  </si>
  <si>
    <t>tools/dx-tests/src/dxc/junit/opcodes/invokespecial/Test_invokespecial.java</t>
  </si>
  <si>
    <t>tools/dx-tests/src/dxc/junit/opcodes/invokestatic/TestStubs.java</t>
  </si>
  <si>
    <t>tools/dx-tests/src/dxc/junit/opcodes/invokestatic/Test_invokestatic.java</t>
  </si>
  <si>
    <t>tools/dx-tests/src/dxc/junit/opcodes/invokestatic/jm/TestClass.java</t>
  </si>
  <si>
    <t>tools/dx-tests/src/dxc/junit/opcodes/invokestatic/jm/TestClassInitError.java</t>
  </si>
  <si>
    <t>tools/dx-tests/src/dxc/junit/opcodes/invokevirtual/Test_invokevirtual.java</t>
  </si>
  <si>
    <t>tools/dx-tests/src/dxc/junit/opcodes/ior/Test_ior.java</t>
  </si>
  <si>
    <t>tools/dx-tests/src/dxc/junit/opcodes/irem/Test_irem.java</t>
  </si>
  <si>
    <t>tools/dx-tests/src/dxc/junit/opcodes/ireturn/Test_ireturn.java</t>
  </si>
  <si>
    <t>tools/dx-tests/src/dxc/junit/opcodes/ishl/Test_ishl.java</t>
  </si>
  <si>
    <t>tools/dx-tests/src/dxc/junit/opcodes/ishr/Test_ishr.java</t>
  </si>
  <si>
    <t>tools/dx-tests/src/dxc/junit/opcodes/istore/Test_istore.java</t>
  </si>
  <si>
    <t>tools/dx-tests/src/dxc/junit/opcodes/istore_0/Test_istore_0.java</t>
  </si>
  <si>
    <t>tools/dx-tests/src/dxc/junit/opcodes/istore_1/Test_istore_1.java</t>
  </si>
  <si>
    <t>tools/dx-tests/src/dxc/junit/opcodes/istore_2/Test_istore_2.java</t>
  </si>
  <si>
    <t>tools/dx-tests/src/dxc/junit/opcodes/istore_3/Test_istore_3.java</t>
  </si>
  <si>
    <t>tools/dx-tests/src/dxc/junit/opcodes/isub/Test_isub.java</t>
  </si>
  <si>
    <t>tools/dx-tests/src/dxc/junit/opcodes/iushr/Test_iushr.java</t>
  </si>
  <si>
    <t>tools/dx-tests/src/dxc/junit/opcodes/ixor/Test_ixor.java</t>
  </si>
  <si>
    <t>tools/dx-tests/src/dxc/junit/opcodes/jsr/Test_jsr.java</t>
  </si>
  <si>
    <t>tools/dx-tests/src/dxc/junit/opcodes/jsr_w/Test_jsr_w.java</t>
  </si>
  <si>
    <t>tools/dx-tests/src/dxc/junit/opcodes/l2d/Test_l2d.java</t>
  </si>
  <si>
    <t>tools/dx-tests/src/dxc/junit/opcodes/l2f/Test_l2f.java</t>
  </si>
  <si>
    <t>tools/dx-tests/src/dxc/junit/opcodes/l2i/Test_l2i.java</t>
  </si>
  <si>
    <t>tools/dx-tests/src/dxc/junit/opcodes/ladd/Test_ladd.java</t>
  </si>
  <si>
    <t>tools/dx-tests/src/dxc/junit/opcodes/laload/Test_laload.java</t>
  </si>
  <si>
    <t>tools/dx-tests/src/dxc/junit/opcodes/land/Test_land.java</t>
  </si>
  <si>
    <t>tools/dx-tests/src/dxc/junit/opcodes/lastore/Test_lastore.java</t>
  </si>
  <si>
    <t>tools/dx-tests/src/dxc/junit/opcodes/lcmp/Test_lcmp.java</t>
  </si>
  <si>
    <t>tools/dx-tests/src/dxc/junit/opcodes/lconst_0/Test_lconst_0.java</t>
  </si>
  <si>
    <t>tools/dx-tests/src/dxc/junit/opcodes/lconst_1/Test_lconst_1.java</t>
  </si>
  <si>
    <t>tools/dx-tests/src/dxc/junit/opcodes/ldc/Test_ldc.java</t>
  </si>
  <si>
    <t>tools/dx-tests/src/dxc/junit/opcodes/ldc2_w/Test_ldc2_w.java</t>
  </si>
  <si>
    <t>tools/dx-tests/src/dxc/junit/opcodes/ldc_w/Test_ldc_w.java</t>
  </si>
  <si>
    <t>tools/dx-tests/src/dxc/junit/opcodes/ldiv/Test_ldiv.java</t>
  </si>
  <si>
    <t>tools/dx-tests/src/dxc/junit/opcodes/lload/Test_lload.java</t>
  </si>
  <si>
    <t>tools/dx-tests/src/dxc/junit/opcodes/lload_0/Test_lload_0.java</t>
  </si>
  <si>
    <t>tools/dx-tests/src/dxc/junit/opcodes/lload_1/Test_lload_1.java</t>
  </si>
  <si>
    <t>tools/dx-tests/src/dxc/junit/opcodes/lload_2/Test_lload_2.java</t>
  </si>
  <si>
    <t>tools/dx-tests/src/dxc/junit/opcodes/lload_3/Test_lload_3.java</t>
  </si>
  <si>
    <t>tools/dx-tests/src/dxc/junit/opcodes/lmul/Test_lmul.java</t>
  </si>
  <si>
    <t>tools/dx-tests/src/dxc/junit/opcodes/lneg/Test_lneg.java</t>
  </si>
  <si>
    <t>tools/dx-tests/src/dxc/junit/opcodes/lookupswitch/Test_lookupswitch.java</t>
  </si>
  <si>
    <t>tools/dx-tests/src/dxc/junit/opcodes/lor/Test_lor.java</t>
  </si>
  <si>
    <t>tools/dx-tests/src/dxc/junit/opcodes/lrem/Test_lrem.java</t>
  </si>
  <si>
    <t>tools/dx-tests/src/dxc/junit/opcodes/lreturn/Test_lreturn.java</t>
  </si>
  <si>
    <t>tools/dx-tests/src/dxc/junit/opcodes/lshl/Test_lshl.java</t>
  </si>
  <si>
    <t>tools/dx-tests/src/dxc/junit/opcodes/lshr/Test_lshr.java</t>
  </si>
  <si>
    <t>tools/dx-tests/src/dxc/junit/opcodes/lstore/Test_lstore.java</t>
  </si>
  <si>
    <t>tools/dx-tests/src/dxc/junit/opcodes/lstore_0/Test_lstore_0.java</t>
  </si>
  <si>
    <t>tools/dx-tests/src/dxc/junit/opcodes/lstore_1/Test_lstore_1.java</t>
  </si>
  <si>
    <t>tools/dx-tests/src/dxc/junit/opcodes/lstore_2/Test_lstore_2.java</t>
  </si>
  <si>
    <t>tools/dx-tests/src/dxc/junit/opcodes/lstore_3/Test_lstore_3.java</t>
  </si>
  <si>
    <t>tools/dx-tests/src/dxc/junit/opcodes/lsub/Test_lsub.java</t>
  </si>
  <si>
    <t>tools/dx-tests/src/dxc/junit/opcodes/lushr/Test_lushr.java</t>
  </si>
  <si>
    <t>tools/dx-tests/src/dxc/junit/opcodes/lxor/Test_lxor.java</t>
  </si>
  <si>
    <t>tools/dx-tests/src/dxc/junit/opcodes/monitorenter/Test_monitorenter.java</t>
  </si>
  <si>
    <t>tools/dx-tests/src/dxc/junit/opcodes/monitorexit/Test_monitorexit.java</t>
  </si>
  <si>
    <t>tools/dx-tests/src/dxc/junit/opcodes/multianewarray/Test_multianewarray.java</t>
  </si>
  <si>
    <t>tools/dx-tests/src/dxc/junit/opcodes/newarray/Test_newarray.java</t>
  </si>
  <si>
    <t>tools/dx-tests/src/dxc/junit/opcodes/nop/Test_nop.java</t>
  </si>
  <si>
    <t>tools/dx-tests/src/dxc/junit/opcodes/opc_goto/Test_opc_goto.java</t>
  </si>
  <si>
    <t>tools/dx-tests/src/dxc/junit/opcodes/opc_instanceof/Test_opc_instanceof.java</t>
  </si>
  <si>
    <t>tools/dx-tests/src/dxc/junit/opcodes/opc_new/Test_opc_new.java</t>
  </si>
  <si>
    <t>tools/dx-tests/src/dxc/junit/opcodes/opc_new/jm/TestStubs.java</t>
  </si>
  <si>
    <t>tools/dx-tests/src/dxc/junit/opcodes/opc_return/Test_opc_return.java</t>
  </si>
  <si>
    <t>tools/dx-tests/src/dxc/junit/opcodes/pop/Test_pop.java</t>
  </si>
  <si>
    <t>tools/dx-tests/src/dxc/junit/opcodes/pop2/Test_pop2.java</t>
  </si>
  <si>
    <t>tools/dx-tests/src/dxc/junit/opcodes/putfield/Test_putfield.java</t>
  </si>
  <si>
    <t>tools/dx-tests/src/dxc/junit/opcodes/putstatic/Test_putstatic.java</t>
  </si>
  <si>
    <t>tools/dx-tests/src/dxc/junit/opcodes/ret/Test_ret.java</t>
  </si>
  <si>
    <t>tools/dx-tests/src/dxc/junit/opcodes/saload/Test_saload.java</t>
  </si>
  <si>
    <t>tools/dx-tests/src/dxc/junit/opcodes/sastore/Test_sastore.java</t>
  </si>
  <si>
    <t>tools/dx-tests/src/dxc/junit/opcodes/sipush/Test_sipush.java</t>
  </si>
  <si>
    <t>tools/dx-tests/src/dxc/junit/opcodes/swap/Test_swap.java</t>
  </si>
  <si>
    <t>tools/dx-tests/src/dxc/junit/opcodes/tableswitch/Test_tableswitch.java</t>
  </si>
  <si>
    <t>tools/dx-tests/src/dxc/junit/opcodes/wide/Test_wide.java</t>
  </si>
  <si>
    <t>tools/dx-tests/src/dxc/junit/verify/t481_1/Test_t481_1.java</t>
  </si>
  <si>
    <t>tools/dx-tests/src/dxc/junit/verify/t481_2/Test_t481_2.java</t>
  </si>
  <si>
    <t>tools/dx-tests/src/dxc/junit/verify/t481_3/Test_t481_3.java</t>
  </si>
  <si>
    <t>tools/dx-tests/src/dxc/junit/verify/t481_4/Test_t481_4.java</t>
  </si>
  <si>
    <t>tools/dx-tests/src/dxc/junit/verify/t481_6/Test_t481_6.java</t>
  </si>
  <si>
    <t>tools/dx-tests/src/dxc/junit/verify/t482_10/Test_t482_10.java</t>
  </si>
  <si>
    <t>tools/dx-tests/src/dxc/junit/verify/t482_11/Test_t482_11.java</t>
  </si>
  <si>
    <t>tools/dx-tests/src/dxc/junit/verify/t482_14/Test_t482_14.java</t>
  </si>
  <si>
    <t>tools/dx-tests/src/dxc/junit/verify/t482_2/Test_t482_2.java</t>
  </si>
  <si>
    <t>tools/dx-tests/src/dxc/junit/verify/t482_20/Test_t482_20.java</t>
  </si>
  <si>
    <t>tools/dx-tests/src/dxc/junit/verify/t482_3/Test_t482_3.java</t>
  </si>
  <si>
    <t>tools/dx-tests/src/dxc/junit/verify/t482_4/Test_t482_4.java</t>
  </si>
  <si>
    <t>tools/dx-tests/src/dxc/junit/verify/t482_8/Test_t482_8.java</t>
  </si>
  <si>
    <t>tools/dx-tests/src/dxc/junit/verify/t482_9/Test_t482_9.java</t>
  </si>
  <si>
    <t>tests/tests/view/src/android/view/cts/ViewTreeObserverTest.java</t>
  </si>
  <si>
    <t>tests/tests/accessibilityservice/src/android/accessibilityservice/cts/AccessibilityWindowQueryActivityTest.java</t>
  </si>
  <si>
    <t>tests/tests/mediastress/src/android/mediastress/cts/CodecTest.java</t>
  </si>
  <si>
    <t>tests/tests/mediastress/src/android/mediastress/cts/MediaFrameworkTest.java</t>
  </si>
  <si>
    <t>tests/tests/mediastress/src/android/mediastress/cts/MediaPlayerStressTest.java</t>
  </si>
  <si>
    <t>tests/tests/mediastress/src/android/mediastress/cts/MediaRecorderStressTest.java</t>
  </si>
  <si>
    <t>tests/tests/media/src/android/media/cts/MediaScannerNotificationTest.java</t>
  </si>
  <si>
    <t>tests/tests/webkit/src/android/webkit/cts/CacheManager_CacheResultTest.java</t>
  </si>
  <si>
    <t>tests/tests/webkit/src/android/webkit/cts/CookieManagerTest.java</t>
  </si>
  <si>
    <t>tests/tests/webkit/src/android/webkit/cts/HttpAuthHandlerTest.java</t>
  </si>
  <si>
    <t>tests/tests/webkit/src/android/webkit/cts/WebSettingsTest.java</t>
  </si>
  <si>
    <t>tests/tests/os/src/android/os/cts/DebugTest.java</t>
  </si>
  <si>
    <t>tools/vm-tests/src/dot/junit/format/f1/Test_f1.java</t>
  </si>
  <si>
    <t>tools/vm-tests/src/dot/junit/opcodes/add_double/Test_add_double.java</t>
  </si>
  <si>
    <t>tools/vm-tests/src/dot/junit/opcodes/add_double_2addr/Test_add_double_2addr.java</t>
  </si>
  <si>
    <t>tools/vm-tests/src/dot/junit/opcodes/add_float/Test_add_float.java</t>
  </si>
  <si>
    <t>tools/vm-tests/src/dot/junit/opcodes/add_float_2addr/Test_add_float_2addr.java</t>
  </si>
  <si>
    <t>tools/vm-tests/src/dot/junit/opcodes/add_int/Test_add_int.java</t>
  </si>
  <si>
    <t>tools/vm-tests/src/dot/junit/opcodes/add_int_2addr/Test_add_int_2addr.java</t>
  </si>
  <si>
    <t>tools/vm-tests/src/dot/junit/opcodes/add_int_lit16/Test_add_int_lit16.java</t>
  </si>
  <si>
    <t>tools/vm-tests/src/dot/junit/opcodes/add_int_lit8/Test_add_int_lit8.java</t>
  </si>
  <si>
    <t>tools/vm-tests/src/dot/junit/opcodes/add_long/Test_add_long.java</t>
  </si>
  <si>
    <t>tools/vm-tests/src/dot/junit/opcodes/add_long_2addr/Test_add_long_2addr.java</t>
  </si>
  <si>
    <t>tools/vm-tests/src/dot/junit/opcodes/aget/Test_aget.java</t>
  </si>
  <si>
    <t>tools/vm-tests/src/dot/junit/opcodes/aget_boolean/Test_aget_boolean.java</t>
  </si>
  <si>
    <t>tools/vm-tests/src/dot/junit/opcodes/aget_byte/Test_aget_byte.java</t>
  </si>
  <si>
    <t>tools/vm-tests/src/dot/junit/opcodes/aget_char/Test_aget_char.java</t>
  </si>
  <si>
    <t>tools/vm-tests/src/dot/junit/opcodes/aget_object/Test_aget_object.java</t>
  </si>
  <si>
    <t>tools/vm-tests/src/dot/junit/opcodes/aget_short/Test_aget_short.java</t>
  </si>
  <si>
    <t>tools/vm-tests/src/dot/junit/opcodes/aget_wide/Test_aget_wide.java</t>
  </si>
  <si>
    <t>tools/vm-tests/src/dot/junit/opcodes/and_int/Test_and_int.java</t>
  </si>
  <si>
    <t>tools/vm-tests/src/dot/junit/opcodes/and_int_2addr/Test_and_int_2addr.java</t>
  </si>
  <si>
    <t>tools/vm-tests/src/dot/junit/opcodes/and_int_lit16/Test_and_int_lit16.java</t>
  </si>
  <si>
    <t>tools/vm-tests/src/dot/junit/opcodes/and_int_lit8/Test_and_int_lit8.java</t>
  </si>
  <si>
    <t>tools/vm-tests/src/dot/junit/opcodes/and_long/Test_and_long.java</t>
  </si>
  <si>
    <t>tools/vm-tests/src/dot/junit/opcodes/and_long_2addr/Test_and_long_2addr.java</t>
  </si>
  <si>
    <t>tools/vm-tests/src/dot/junit/opcodes/aput/Test_aput.java</t>
  </si>
  <si>
    <t>tools/vm-tests/src/dot/junit/opcodes/aput_boolean/Test_aput_boolean.java</t>
  </si>
  <si>
    <t>tools/vm-tests/src/dot/junit/opcodes/aput_byte/Test_aput_byte.java</t>
  </si>
  <si>
    <t>tools/vm-tests/src/dot/junit/opcodes/aput_char/Test_aput_char.java</t>
  </si>
  <si>
    <t>tools/vm-tests/src/dot/junit/opcodes/aput_object/Test_aput_object.java</t>
  </si>
  <si>
    <t>tools/vm-tests/src/dot/junit/opcodes/aput_short/Test_aput_short.java</t>
  </si>
  <si>
    <t>tools/vm-tests/src/dot/junit/opcodes/aput_wide/Test_aput_wide.java</t>
  </si>
  <si>
    <t>tools/vm-tests/src/dot/junit/opcodes/array_length/Test_array_length.java</t>
  </si>
  <si>
    <t>tools/vm-tests/src/dot/junit/opcodes/check_cast/Test_check_cast.java</t>
  </si>
  <si>
    <t>tools/vm-tests/src/dot/junit/opcodes/cmp_long/Test_cmp_long.java</t>
  </si>
  <si>
    <t>tools/vm-tests/src/dot/junit/opcodes/cmpg_double/Test_cmpg_double.java</t>
  </si>
  <si>
    <t>tools/vm-tests/src/dot/junit/opcodes/cmpg_float/Test_cmpg_float.java</t>
  </si>
  <si>
    <t>tools/vm-tests/src/dot/junit/opcodes/cmpl_double/Test_cmpl_double.java</t>
  </si>
  <si>
    <t>tools/vm-tests/src/dot/junit/opcodes/cmpl_float/Test_cmpl_float.java</t>
  </si>
  <si>
    <t>tools/vm-tests/src/dot/junit/opcodes/const_16/Test_const_16.java</t>
  </si>
  <si>
    <t>tools/vm-tests/src/dot/junit/opcodes/const_4/Test_const_4.java</t>
  </si>
  <si>
    <t>tools/vm-tests/src/dot/junit/opcodes/const_class/Test_const_class.java</t>
  </si>
  <si>
    <t>tools/vm-tests/src/dot/junit/opcodes/const_high16/Test_const_high16.java</t>
  </si>
  <si>
    <t>tools/vm-tests/src/dot/junit/opcodes/const_string/Test_const_string.java</t>
  </si>
  <si>
    <t>tools/vm-tests/src/dot/junit/opcodes/const_string_jumbo/Test_const_string_jumbo.java</t>
  </si>
  <si>
    <t>tools/vm-tests/src/dot/junit/opcodes/const_wide/Test_const_wide.java</t>
  </si>
  <si>
    <t>tools/vm-tests/src/dot/junit/opcodes/const_wide_16/Test_const_wide_16.java</t>
  </si>
  <si>
    <t>tools/vm-tests/src/dot/junit/opcodes/const_wide_32/Test_const_wide_32.java</t>
  </si>
  <si>
    <t>tools/vm-tests/src/dot/junit/opcodes/const_wide_high16/Test_const_wide_high16.java</t>
  </si>
  <si>
    <t>tools/vm-tests/src/dot/junit/opcodes/div_double/Test_div_double.java</t>
  </si>
  <si>
    <t>tools/vm-tests/src/dot/junit/opcodes/div_double_2addr/Test_div_double_2addr.java</t>
  </si>
  <si>
    <t>tools/vm-tests/src/dot/junit/opcodes/div_float/Test_div_float.java</t>
  </si>
  <si>
    <t>tools/vm-tests/src/dot/junit/opcodes/div_float_2addr/Test_div_float_2addr.java</t>
  </si>
  <si>
    <t>tools/vm-tests/src/dot/junit/opcodes/div_int/Test_div_int.java</t>
  </si>
  <si>
    <t>tools/vm-tests/src/dot/junit/opcodes/div_int_2addr/Test_div_int_2addr.java</t>
  </si>
  <si>
    <t>tools/vm-tests/src/dot/junit/opcodes/div_int_lit16/Test_div_int_lit16.java</t>
  </si>
  <si>
    <t>tools/vm-tests/src/dot/junit/opcodes/div_int_lit8/Test_div_int_lit8.java</t>
  </si>
  <si>
    <t>tools/vm-tests/src/dot/junit/opcodes/div_long/Test_div_long.java</t>
  </si>
  <si>
    <t>tools/vm-tests/src/dot/junit/opcodes/div_long_2addr/Test_div_long_2addr.java</t>
  </si>
  <si>
    <t>tools/vm-tests/src/dot/junit/opcodes/double_to_float/Test_double_to_float.java</t>
  </si>
  <si>
    <t>tools/vm-tests/src/dot/junit/opcodes/double_to_int/Test_double_to_int.java</t>
  </si>
  <si>
    <t>tools/vm-tests/src/dot/junit/opcodes/double_to_long/Test_double_to_long.java</t>
  </si>
  <si>
    <t>tools/vm-tests/src/dot/junit/opcodes/fill_array_data/Test_fill_array_data.java</t>
  </si>
  <si>
    <t>tools/vm-tests/src/dot/junit/opcodes/filled_new_array/Test_filled_new_array.java</t>
  </si>
  <si>
    <t>tools/vm-tests/src/dot/junit/opcodes/filled_new_array_range/Test_filled_new_array_range.java</t>
  </si>
  <si>
    <t>tools/vm-tests/src/dot/junit/opcodes/float_to_double/Test_float_to_double.java</t>
  </si>
  <si>
    <t>tools/vm-tests/src/dot/junit/opcodes/float_to_int/Test_float_to_int.java</t>
  </si>
  <si>
    <t>tools/vm-tests/src/dot/junit/opcodes/float_to_long/Test_float_to_long.java</t>
  </si>
  <si>
    <t>tools/vm-tests/src/dot/junit/opcodes/goto_16/Test_goto_16.java</t>
  </si>
  <si>
    <t>tools/vm-tests/src/dot/junit/opcodes/goto_32/Test_goto_32.java</t>
  </si>
  <si>
    <t>tools/vm-tests/src/dot/junit/opcodes/if_eq/Test_if_eq.java</t>
  </si>
  <si>
    <t>tools/vm-tests/src/dot/junit/opcodes/if_eqz/Test_if_eqz.java</t>
  </si>
  <si>
    <t>tools/vm-tests/src/dot/junit/opcodes/if_ge/Test_if_ge.java</t>
  </si>
  <si>
    <t>tools/vm-tests/src/dot/junit/opcodes/if_gez/Test_if_gez.java</t>
  </si>
  <si>
    <t>tools/vm-tests/src/dot/junit/opcodes/if_gt/Test_if_gt.java</t>
  </si>
  <si>
    <t>tools/vm-tests/src/dot/junit/opcodes/if_gtz/Test_if_gtz.java</t>
  </si>
  <si>
    <t>tools/vm-tests/src/dot/junit/opcodes/if_le/Test_if_le.java</t>
  </si>
  <si>
    <t>tools/vm-tests/src/dot/junit/opcodes/if_lez/Test_if_lez.java</t>
  </si>
  <si>
    <t>tools/vm-tests/src/dot/junit/opcodes/if_lt/Test_if_lt.java</t>
  </si>
  <si>
    <t>tools/vm-tests/src/dot/junit/opcodes/if_ltz/Test_if_ltz.java</t>
  </si>
  <si>
    <t>tools/vm-tests/src/dot/junit/opcodes/if_ne/Test_if_ne.java</t>
  </si>
  <si>
    <t>tools/vm-tests/src/dot/junit/opcodes/if_nez/Test_if_nez.java</t>
  </si>
  <si>
    <t>tools/vm-tests/src/dot/junit/opcodes/iget/Test_iget.java</t>
  </si>
  <si>
    <t>tools/vm-tests/src/dot/junit/opcodes/iget_boolean/Test_iget_boolean.java</t>
  </si>
  <si>
    <t>tools/vm-tests/src/dot/junit/opcodes/iget_byte/Test_iget_byte.java</t>
  </si>
  <si>
    <t>tools/vm-tests/src/dot/junit/opcodes/iget_char/Test_iget_char.java</t>
  </si>
  <si>
    <t>tools/vm-tests/src/dot/junit/opcodes/iget_object/Test_iget_object.java</t>
  </si>
  <si>
    <t>tools/vm-tests/src/dot/junit/opcodes/iget_short/Test_iget_short.java</t>
  </si>
  <si>
    <t>tools/vm-tests/src/dot/junit/opcodes/iget_wide/Test_iget_wide.java</t>
  </si>
  <si>
    <t>tools/vm-tests/src/dot/junit/opcodes/instance_of/Test_instance_of.java</t>
  </si>
  <si>
    <t>tools/vm-tests/src/dot/junit/opcodes/int_to_byte/Test_int_to_byte.java</t>
  </si>
  <si>
    <t>tools/vm-tests/src/dot/junit/opcodes/int_to_char/Test_int_to_char.java</t>
  </si>
  <si>
    <t>tools/vm-tests/src/dot/junit/opcodes/int_to_double/Test_int_to_double.java</t>
  </si>
  <si>
    <t>tools/vm-tests/src/dot/junit/opcodes/int_to_float/Test_int_to_float.java</t>
  </si>
  <si>
    <t>tools/vm-tests/src/dot/junit/opcodes/int_to_long/Test_int_to_long.java</t>
  </si>
  <si>
    <t>tools/vm-tests/src/dot/junit/opcodes/int_to_short/Test_int_to_short.java</t>
  </si>
  <si>
    <t>tools/vm-tests/src/dot/junit/opcodes/invoke_direct/Test_invoke_direct.java</t>
  </si>
  <si>
    <t>tools/vm-tests/src/dot/junit/opcodes/invoke_direct_range/Test_invoke_direct_range.java</t>
  </si>
  <si>
    <t>tools/vm-tests/src/dot/junit/opcodes/invoke_static/TestClass.java</t>
  </si>
  <si>
    <t>tools/vm-tests/src/dot/junit/opcodes/invoke_static/Test_invoke_static.java</t>
  </si>
  <si>
    <t>tools/vm-tests/src/dot/junit/opcodes/invoke_static_range/TestClass.java</t>
  </si>
  <si>
    <t>tools/vm-tests/src/dot/junit/opcodes/invoke_static_range/Test_invoke_static_range.java</t>
  </si>
  <si>
    <t>tools/vm-tests/src/dot/junit/opcodes/invoke_super/TestStubs.java</t>
  </si>
  <si>
    <t>tools/vm-tests/src/dot/junit/opcodes/invoke_super_range/TestStubs.java</t>
  </si>
  <si>
    <t>tools/vm-tests/src/dot/junit/opcodes/invoke_virtual/TestStubs.java</t>
  </si>
  <si>
    <t>tools/vm-tests/src/dot/junit/opcodes/invoke_virtual_range/TestStubs.java</t>
  </si>
  <si>
    <t>tools/vm-tests/src/dot/junit/opcodes/iput/Test_iput.java</t>
  </si>
  <si>
    <t>tools/vm-tests/src/dot/junit/opcodes/iput_boolean/Test_iput_boolean.java</t>
  </si>
  <si>
    <t>tools/vm-tests/src/dot/junit/opcodes/iput_byte/Test_iput_byte.java</t>
  </si>
  <si>
    <t>tools/vm-tests/src/dot/junit/opcodes/iput_char/Test_iput_char.java</t>
  </si>
  <si>
    <t>tools/vm-tests/src/dot/junit/opcodes/iput_object/Test_iput_object.java</t>
  </si>
  <si>
    <t>tools/vm-tests/src/dot/junit/opcodes/iput_short/Test_iput_short.java</t>
  </si>
  <si>
    <t>tools/vm-tests/src/dot/junit/opcodes/iput_wide/Test_iput_wide.java</t>
  </si>
  <si>
    <t>tools/vm-tests/src/dot/junit/opcodes/long_to_double/Test_long_to_double.java</t>
  </si>
  <si>
    <t>tools/vm-tests/src/dot/junit/opcodes/long_to_float/Test_long_to_float.java</t>
  </si>
  <si>
    <t>tools/vm-tests/src/dot/junit/opcodes/long_to_int/Test_long_to_int.java</t>
  </si>
  <si>
    <t>tools/vm-tests/src/dot/junit/opcodes/monitor_enter/Test_monitor_enter.java</t>
  </si>
  <si>
    <t>tools/vm-tests/src/dot/junit/opcodes/monitor_exit/Test_monitor_exit.java</t>
  </si>
  <si>
    <t>tools/vm-tests/src/dot/junit/opcodes/move/Test_move.java</t>
  </si>
  <si>
    <t>tools/vm-tests/src/dot/junit/opcodes/move_16/Test_move_16.java</t>
  </si>
  <si>
    <t>tools/vm-tests/src/dot/junit/opcodes/move_exception/Test_move_exception.java</t>
  </si>
  <si>
    <t>tools/vm-tests/src/dot/junit/opcodes/move_from16/Test_move_from16.java</t>
  </si>
  <si>
    <t>tools/vm-tests/src/dot/junit/opcodes/move_object/Test_move_object.java</t>
  </si>
  <si>
    <t>tools/vm-tests/src/dot/junit/opcodes/move_object_16/Test_move_object_16.java</t>
  </si>
  <si>
    <t>tools/vm-tests/src/dot/junit/opcodes/move_object_from16/Test_move_object_from16.java</t>
  </si>
  <si>
    <t>tools/vm-tests/src/dot/junit/opcodes/move_result/Test_move_result.java</t>
  </si>
  <si>
    <t>tools/vm-tests/src/dot/junit/opcodes/move_result_object/Test_move_result_object.java</t>
  </si>
  <si>
    <t>tools/vm-tests/src/dot/junit/opcodes/move_result_wide/Test_move_result_wide.java</t>
  </si>
  <si>
    <t>tools/vm-tests/src/dot/junit/opcodes/move_wide/Test_move_wide.java</t>
  </si>
  <si>
    <t>tools/vm-tests/src/dot/junit/opcodes/move_wide_16/Test_move_wide_16.java</t>
  </si>
  <si>
    <t>tools/vm-tests/src/dot/junit/opcodes/move_wide_from16/Test_move_wide_from16.java</t>
  </si>
  <si>
    <t>tools/vm-tests/src/dot/junit/opcodes/mul_double/Test_mul_double.java</t>
  </si>
  <si>
    <t>tools/vm-tests/src/dot/junit/opcodes/mul_double_2addr/Test_mul_double_2addr.java</t>
  </si>
  <si>
    <t>tools/vm-tests/src/dot/junit/opcodes/mul_float/Test_mul_float.java</t>
  </si>
  <si>
    <t>tools/vm-tests/src/dot/junit/opcodes/mul_float_2addr/Test_mul_float_2addr.java</t>
  </si>
  <si>
    <t>tools/vm-tests/src/dot/junit/opcodes/mul_int/Test_mul_int.java</t>
  </si>
  <si>
    <t>tools/vm-tests/src/dot/junit/opcodes/mul_int_2addr/Test_mul_int_2addr.java</t>
  </si>
  <si>
    <t>tools/vm-tests/src/dot/junit/opcodes/mul_int_lit16/Test_mul_int_lit16.java</t>
  </si>
  <si>
    <t>tools/vm-tests/src/dot/junit/opcodes/mul_int_lit8/Test_mul_int_lit8.java</t>
  </si>
  <si>
    <t>tools/vm-tests/src/dot/junit/opcodes/mul_long/Test_mul_long.java</t>
  </si>
  <si>
    <t>tools/vm-tests/src/dot/junit/opcodes/mul_long_2addr/Test_mul_long_2addr.java</t>
  </si>
  <si>
    <t>tools/vm-tests/src/dot/junit/opcodes/neg_double/Test_neg_double.java</t>
  </si>
  <si>
    <t>tools/vm-tests/src/dot/junit/opcodes/neg_float/Test_neg_float.java</t>
  </si>
  <si>
    <t>tools/vm-tests/src/dot/junit/opcodes/neg_int/Test_neg_int.java</t>
  </si>
  <si>
    <t>tools/vm-tests/src/dot/junit/opcodes/neg_long/Test_neg_long.java</t>
  </si>
  <si>
    <t>tools/vm-tests/src/dot/junit/opcodes/new_array/Test_new_array.java</t>
  </si>
  <si>
    <t>tools/vm-tests/src/dot/junit/opcodes/new_instance/Test_new_instance.java</t>
  </si>
  <si>
    <t>tools/vm-tests/src/dot/junit/opcodes/nop/Test_nop.java</t>
  </si>
  <si>
    <t>tools/vm-tests/src/dot/junit/opcodes/not_int/Test_not_int.java</t>
  </si>
  <si>
    <t>tools/vm-tests/src/dot/junit/opcodes/not_long/Test_not_long.java</t>
  </si>
  <si>
    <t>tools/vm-tests/src/dot/junit/opcodes/opc_const/Test_opc_const.java</t>
  </si>
  <si>
    <t>tools/vm-tests/src/dot/junit/opcodes/opc_goto/Test_opc_goto.java</t>
  </si>
  <si>
    <t>tools/vm-tests/src/dot/junit/opcodes/opc_return/Test_opc_return.java</t>
  </si>
  <si>
    <t>tools/vm-tests/src/dot/junit/opcodes/opc_throw/Test_opc_throw.java</t>
  </si>
  <si>
    <t>tools/vm-tests/src/dot/junit/opcodes/or_int/Test_or_int.java</t>
  </si>
  <si>
    <t>tools/vm-tests/src/dot/junit/opcodes/or_int_2addr/Test_or_int_2addr.java</t>
  </si>
  <si>
    <t>tools/vm-tests/src/dot/junit/opcodes/or_int_lit16/Test_or_int_lit16.java</t>
  </si>
  <si>
    <t>tools/vm-tests/src/dot/junit/opcodes/or_int_lit8/Test_or_int_lit8.java</t>
  </si>
  <si>
    <t>tools/vm-tests/src/dot/junit/opcodes/or_long/Test_or_long.java</t>
  </si>
  <si>
    <t>tools/vm-tests/src/dot/junit/opcodes/or_long_2addr/Test_or_long_2addr.java</t>
  </si>
  <si>
    <t>tools/vm-tests/src/dot/junit/opcodes/packed_switch/Test_packed_switch.java</t>
  </si>
  <si>
    <t>tools/vm-tests/src/dot/junit/opcodes/rem_double/Test_rem_double.java</t>
  </si>
  <si>
    <t>tools/vm-tests/src/dot/junit/opcodes/rem_double_2addr/Test_rem_double_2addr.java</t>
  </si>
  <si>
    <t>tools/vm-tests/src/dot/junit/opcodes/rem_float/Test_rem_float.java</t>
  </si>
  <si>
    <t>tools/vm-tests/src/dot/junit/opcodes/rem_float_2addr/Test_rem_float_2addr.java</t>
  </si>
  <si>
    <t>tools/vm-tests/src/dot/junit/opcodes/rem_int/Test_rem_int.java</t>
  </si>
  <si>
    <t>tools/vm-tests/src/dot/junit/opcodes/rem_int_2addr/Test_rem_int_2addr.java</t>
  </si>
  <si>
    <t>tools/vm-tests/src/dot/junit/opcodes/rem_int_lit16/Test_rem_int_lit16.java</t>
  </si>
  <si>
    <t>tools/vm-tests/src/dot/junit/opcodes/rem_int_lit8/Test_rem_int_lit8.java</t>
  </si>
  <si>
    <t>tools/vm-tests/src/dot/junit/opcodes/rem_long/Test_rem_long.java</t>
  </si>
  <si>
    <t>tools/vm-tests/src/dot/junit/opcodes/rem_long_2addr/Test_rem_long_2addr.java</t>
  </si>
  <si>
    <t>tools/vm-tests/src/dot/junit/opcodes/return_object/Test_return_object.java</t>
  </si>
  <si>
    <t>tools/vm-tests/src/dot/junit/opcodes/return_void/Test_return_void.java</t>
  </si>
  <si>
    <t>tools/vm-tests/src/dot/junit/opcodes/return_wide/Test_return_wide.java</t>
  </si>
  <si>
    <t>tools/vm-tests/src/dot/junit/opcodes/rsub_int/Test_rsub_int.java</t>
  </si>
  <si>
    <t>tools/vm-tests/src/dot/junit/opcodes/rsub_int_lit8/Test_rsub_int_lit8.java</t>
  </si>
  <si>
    <t>tools/vm-tests/src/dot/junit/opcodes/sget/Test_sget.java</t>
  </si>
  <si>
    <t>tools/vm-tests/src/dot/junit/opcodes/sget_boolean/Test_sget_boolean.java</t>
  </si>
  <si>
    <t>tools/vm-tests/src/dot/junit/opcodes/sget_byte/Test_sget_byte.java</t>
  </si>
  <si>
    <t>tools/vm-tests/src/dot/junit/opcodes/sget_char/Test_sget_char.java</t>
  </si>
  <si>
    <t>tools/vm-tests/src/dot/junit/opcodes/sget_object/Test_sget_object.java</t>
  </si>
  <si>
    <t>tools/vm-tests/src/dot/junit/opcodes/sget_short/Test_sget_short.java</t>
  </si>
  <si>
    <t>tools/vm-tests/src/dot/junit/opcodes/sget_wide/Test_sget_wide.java</t>
  </si>
  <si>
    <t>tools/vm-tests/src/dot/junit/opcodes/shl_int/Test_shl_int.java</t>
  </si>
  <si>
    <t>tools/vm-tests/src/dot/junit/opcodes/shl_int_2addr/Test_shl_int_2addr.java</t>
  </si>
  <si>
    <t>tools/vm-tests/src/dot/junit/opcodes/shl_int_lit8/Test_shl_int_lit8.java</t>
  </si>
  <si>
    <t>tools/vm-tests/src/dot/junit/opcodes/shl_long/Test_shl_long.java</t>
  </si>
  <si>
    <t>tools/vm-tests/src/dot/junit/opcodes/shl_long_2addr/Test_shl_long_2addr.java</t>
  </si>
  <si>
    <t>tools/vm-tests/src/dot/junit/opcodes/shr_int/Test_shr_int.java</t>
  </si>
  <si>
    <t>tools/vm-tests/src/dot/junit/opcodes/shr_int_2addr/Test_shr_int_2addr.java</t>
  </si>
  <si>
    <t>tools/vm-tests/src/dot/junit/opcodes/shr_int_lit8/Test_shr_int_lit8.java</t>
  </si>
  <si>
    <t>tools/vm-tests/src/dot/junit/opcodes/shr_long/Test_shr_long.java</t>
  </si>
  <si>
    <t>tools/vm-tests/src/dot/junit/opcodes/shr_long_2addr/Test_shr_long_2addr.java</t>
  </si>
  <si>
    <t>tools/vm-tests/src/dot/junit/opcodes/sparse_switch/Test_sparse_switch.java</t>
  </si>
  <si>
    <t>tools/vm-tests/src/dot/junit/opcodes/sput/Test_sput.java</t>
  </si>
  <si>
    <t>tools/vm-tests/src/dot/junit/opcodes/sput_boolean/Test_sput_boolean.java</t>
  </si>
  <si>
    <t>tools/vm-tests/src/dot/junit/opcodes/sput_byte/Test_sput_byte.java</t>
  </si>
  <si>
    <t>tools/vm-tests/src/dot/junit/opcodes/sput_char/Test_sput_char.java</t>
  </si>
  <si>
    <t>tools/vm-tests/src/dot/junit/opcodes/sput_object/Test_sput_object.java</t>
  </si>
  <si>
    <t>tools/vm-tests/src/dot/junit/opcodes/sput_short/Test_sput_short.java</t>
  </si>
  <si>
    <t>tools/vm-tests/src/dot/junit/opcodes/sput_wide/Test_sput_wide.java</t>
  </si>
  <si>
    <t>tools/vm-tests/src/dot/junit/opcodes/sub_double/Test_sub_double.java</t>
  </si>
  <si>
    <t>tools/vm-tests/src/dot/junit/opcodes/sub_double_2addr/Test_sub_double_2addr.java</t>
  </si>
  <si>
    <t>tools/vm-tests/src/dot/junit/opcodes/sub_float/Test_sub_float.java</t>
  </si>
  <si>
    <t>tools/vm-tests/src/dot/junit/opcodes/sub_float_2addr/Test_sub_float_2addr.java</t>
  </si>
  <si>
    <t>tools/vm-tests/src/dot/junit/opcodes/sub_int/Test_sub_int.java</t>
  </si>
  <si>
    <t>tools/vm-tests/src/dot/junit/opcodes/sub_int_2addr/Test_sub_int_2addr.java</t>
  </si>
  <si>
    <t>tools/vm-tests/src/dot/junit/opcodes/sub_long/Test_sub_long.java</t>
  </si>
  <si>
    <t>tools/vm-tests/src/dot/junit/opcodes/sub_long_2addr/Test_sub_long_2addr.java</t>
  </si>
  <si>
    <t>tools/vm-tests/src/dot/junit/opcodes/ushr_int/Test_ushr_int.java</t>
  </si>
  <si>
    <t>tools/vm-tests/src/dot/junit/opcodes/ushr_int_2addr/Test_ushr_int_2addr.java</t>
  </si>
  <si>
    <t>tools/vm-tests/src/dot/junit/opcodes/ushr_int_lit8/Test_ushr_int_lit8.java</t>
  </si>
  <si>
    <t>tools/vm-tests/src/dot/junit/opcodes/ushr_long/Test_ushr_long.java</t>
  </si>
  <si>
    <t>tools/vm-tests/src/dot/junit/opcodes/ushr_long_2addr/Test_ushr_long_2addr.java</t>
  </si>
  <si>
    <t>tools/vm-tests/src/dot/junit/opcodes/xor_int/Test_xor_int.java</t>
  </si>
  <si>
    <t>tools/vm-tests/src/dot/junit/opcodes/xor_int_2addr/Test_xor_int_2addr.java</t>
  </si>
  <si>
    <t>tools/vm-tests/src/dot/junit/opcodes/xor_int_lit16/Test_xor_int_lit16.java</t>
  </si>
  <si>
    <t>tools/vm-tests/src/dot/junit/opcodes/xor_int_lit8/Test_xor_int_lit8.java</t>
  </si>
  <si>
    <t>tools/vm-tests/src/dot/junit/opcodes/xor_long/Test_xor_long.java</t>
  </si>
  <si>
    <t>tools/vm-tests/src/dot/junit/opcodes/xor_long_2addr/Test_xor_long_2addr.java</t>
  </si>
  <si>
    <t>tools/vm-tests/src/dot/junit/verify/a1/Test_a1.java</t>
  </si>
  <si>
    <t>tools/vm-tests/src/dot/junit/verify/a3/Test_a3.java</t>
  </si>
  <si>
    <t>tools/vm-tests/src/dot/junit/verify/a5/Test_a5.java</t>
  </si>
  <si>
    <t>tools/vm-tests/src/dot/junit/verify/b17/Test_b17.java</t>
  </si>
  <si>
    <t>tools/vm-tests/src/dot/junit/verify/b2/Test_b2.java</t>
  </si>
  <si>
    <t>tools/vm-tests/src/dot/junit/verify/b3/Test_b3.java</t>
  </si>
  <si>
    <t>tests/tests/ndef/src/android/ndef/cts/BasicNdefTest.java</t>
  </si>
  <si>
    <t>tests/tests/telephony/src/android/telephony/cts/PhoneNumberFormattingTextWatcherTest.java</t>
  </si>
  <si>
    <t>tests/ApiDemosReferenceTest/src/android/apidemos/cts/ApiDemosTest.java</t>
  </si>
  <si>
    <t>tests/tests/provider/src/android/provider/cts/ContactsContract_StreamItemsTest.java</t>
  </si>
  <si>
    <t>tools/tradefed-host/tests/src/com/android/cts/tradefed/result/DeviceInfoResultTest.java</t>
  </si>
  <si>
    <t>tests/tests/provider/src/android/provider/cts/ContactsContract_PhotoTest.java</t>
  </si>
  <si>
    <t>tests/tests/openglperf/src/android/openglperf/cts/GlAppSwitchTest.java</t>
  </si>
  <si>
    <t>tests/tests/telephony/src/android/telephony/cts/SmsMessageTest.java</t>
  </si>
  <si>
    <t>tests/tests/provider/src/android/provider/cts/Contacts_SettingsTest.java</t>
  </si>
  <si>
    <t>tests/tests/database/src/android/database/cts/CursorWrapperTest.java</t>
  </si>
  <si>
    <t>tests/tests/view/src/android/view/cts/OrientationListenerTest.java</t>
  </si>
  <si>
    <t>hostsidetests/monkey/src/com/android/cts/monkey/MonkeyTest.java</t>
  </si>
  <si>
    <t>tests/tests/renderscript/src/android/renderscript/cts/ComputeTest.java</t>
  </si>
  <si>
    <t>tests/tests/view/src/android/view/cts/ChoreographerTest.java</t>
  </si>
  <si>
    <t>tests/tests/drm/src/android/drm/cts/DrmEventTest.java</t>
  </si>
  <si>
    <t>hostsidetests/appsecurity/test-apps/UsePermissionDiffCert/src/com/android/cts/usespermissiondiffcertapp/AccessPermissionWithDiffSigTest.java</t>
  </si>
  <si>
    <t>hostsidetests/accessibilityservice/src/android/accessibilityservice/cts/AccessibilityServiceTestsRunnerTest.java</t>
  </si>
  <si>
    <t>tests/tests/preference2/src/android/preference2/cts/PreferenceWithHeadersTest.java</t>
  </si>
  <si>
    <t>tests/tests/security/src/android/security/cts/PIILogTest.java</t>
  </si>
  <si>
    <t>tests/tests/text/src/android/text/cts/SpannableStringBuilderSpanTest.java</t>
  </si>
  <si>
    <t>tests/tests/util/src/android/util/cts/XmlTest.java</t>
  </si>
  <si>
    <t>tests/tests/accessibilityservice/src/android/accessibilityservice/cts/AccessibilityHierarchicalFocusTest.java</t>
  </si>
  <si>
    <t>tests/tests/widget/src/android/widget/cts/ImageViewTest.java</t>
  </si>
  <si>
    <t>tests/tests/permission/src/android/permission/cts/FileSystemPermissionTest.java</t>
  </si>
  <si>
    <t>tests/tests/view/src/android/view/cts/GravityTest.java</t>
  </si>
  <si>
    <t>tests/tests/view/src/android/view/cts/LocaleUtilTest.java</t>
  </si>
  <si>
    <t>tests/tests/widget/src/android/widget/cts/LayoutDirectionTest.java</t>
  </si>
  <si>
    <t>tests/tests/security/src/android/security/cts/VoldExploitTest.java</t>
  </si>
  <si>
    <t>tests/tests/view/src/android/view/cts/ViewGroup_MarginLayoutParamsTest.java</t>
  </si>
  <si>
    <t>tests/tests/net/src/android/net/cts/UriTest.java</t>
  </si>
  <si>
    <t>tests/tests/accessibilityservice/src/android/accessibilityservice/cts/AccessibilityFocusAndInputFocusSyncTest.java</t>
  </si>
  <si>
    <t>tests/tests/accessibility/src/android/view/accessibility/cts/AccessibilityNodeInfoTest.java</t>
  </si>
  <si>
    <t>tests/tests/view/src/android/view/cts/GestureDetectorTest.java</t>
  </si>
  <si>
    <t>tests/tests/view/src/android/view/cts/VelocityTrackerTest.java</t>
  </si>
  <si>
    <t>tests/tests/opengl/src/android/opengl/cts/AttachShaderTest.java</t>
  </si>
  <si>
    <t>tests/tests/opengl/src/android/opengl/cts/NativeAttachShaderTest.java</t>
  </si>
  <si>
    <t>tests/tests/opengl/src/android/opengl/cts/ProgramTest.java</t>
  </si>
  <si>
    <t>tests/tests/animation/src/android/animation/cts/ObjectAnimatorTest.java</t>
  </si>
  <si>
    <t>tests/tests/opengl/src/android/opengl/cts/RendererEightShaderTest.java</t>
  </si>
  <si>
    <t>tests/tests/opengl/src/android/opengl/cts/RendererFiveShaderTest.java</t>
  </si>
  <si>
    <t>tests/tests/opengl/src/android/opengl/cts/RendererFourShaderTest.java</t>
  </si>
  <si>
    <t>tests/tests/opengl/src/android/opengl/cts/RendererNineShaderTest.java</t>
  </si>
  <si>
    <t>tests/tests/opengl/src/android/opengl/cts/RendererOneProgramTest.java</t>
  </si>
  <si>
    <t>tests/tests/opengl/src/android/opengl/cts/RendererOneShaderTest.java</t>
  </si>
  <si>
    <t>tests/tests/opengl/src/android/opengl/cts/RendererSevenShaderTest.java</t>
  </si>
  <si>
    <t>tests/tests/opengl/src/android/opengl/cts/RendererSixShaderTest.java</t>
  </si>
  <si>
    <t>tests/tests/opengl/src/android/opengl/cts/RendererTenShaderTest.java</t>
  </si>
  <si>
    <t>tests/tests/opengl/src/android/opengl/cts/RendererThreeShaderTest.java</t>
  </si>
  <si>
    <t>tests/tests/opengl/src/android/opengl/cts/RendererTwoShaderTest.java</t>
  </si>
  <si>
    <t>tests/tests/mediastress/src/android/mediastress/cts/H264R720pAacShortPlayerTest.java</t>
  </si>
  <si>
    <t>tests/tests/admin/src/android/admin/cts/DevicePolicyManagerTest.java</t>
  </si>
  <si>
    <t>tests/tests/text/src/android/text/cts/StaticLayoutLineBreakingTest.java</t>
  </si>
  <si>
    <t>tests/tests/accessibilityservice/src/android/accessibilityservice/cts/AccessibilityDirectionalFocusTest.java</t>
  </si>
  <si>
    <t>tests/tests/media/src/android/media/cts/MediaRandomTest.java</t>
  </si>
  <si>
    <t>tests/tests/net/src/android/net/wifi/cts/ScanResultTest.java</t>
  </si>
  <si>
    <t>suite/pts/deviceTests/filesystemperf/src/com/android/pts/filesystemperf/FullUpdateTest.java</t>
  </si>
  <si>
    <t>suite/pts/deviceTests/filesystemperf/src/com/android/pts/filesystemperf/RWTest.java</t>
  </si>
  <si>
    <t>suite/pts/deviceTests/filesystemperf/src/com/android/pts/filesystemperf/TestTest.java</t>
  </si>
  <si>
    <t>suite/pts/deviceTests/ui/src/com/android/pts/ui/ScrollingTest.java</t>
  </si>
  <si>
    <t>tools/tradefed-host/src/com/android/cts/tradefed/result/TestPackageResult.java</t>
  </si>
  <si>
    <t>tests/tests/permission/src/android/permission/cts/NoWakeLockPermissionTest.java</t>
  </si>
  <si>
    <t>tests/tests/dpi/src/android/dpi/cts/ConfigurationScreenLayoutTest.java</t>
  </si>
  <si>
    <t>tests/tests/media/src/android/media/cts/AudioTrackTest.java</t>
  </si>
  <si>
    <t>tests/tests/webkitsecurity/src/android/webkitsecurity/cts/WebkitAbortCrashTest.java</t>
  </si>
  <si>
    <t>tests/tests/webkitsecurity/src/android/webkitsecurity/cts/WebkitAbsolutePositionForeignObjectChildCrashTest.java</t>
  </si>
  <si>
    <t>tests/tests/webkitsecurity/src/android/webkitsecurity/cts/WebkitAdoptNodeCrashTest.java</t>
  </si>
  <si>
    <t>tests/tests/webkitsecurity/src/android/webkitsecurity/cts/WebkitAfterDoesntCrashTest.java</t>
  </si>
  <si>
    <t>tests/tests/webkitsecurity/src/android/webkitsecurity/cts/WebkitAfterWithFirstLetterFloatCrashTest.java</t>
  </si>
  <si>
    <t>tests/tests/webkitsecurity/src/android/webkitsecurity/cts/WebkitAnchorLinkedAnonymousBlockCrashTest.java</t>
  </si>
  <si>
    <t>tests/tests/webkitsecurity/src/android/webkitsecurity/cts/WebkitAnimatedBackgroundImageCrashTest.java</t>
  </si>
  <si>
    <t>tests/tests/webkitsecurity/src/android/webkitsecurity/cts/WebkitAnimationOnInlineCrashTest.java</t>
  </si>
  <si>
    <t>tests/tests/webkitsecurity/src/android/webkitsecurity/cts/WebkitAnonymousBeforeChildParentCrashTest.java</t>
  </si>
  <si>
    <t>tests/tests/webkitsecurity/src/android/webkitsecurity/cts/WebkitAnonymousBlockCrashTest.java</t>
  </si>
  <si>
    <t>tests/tests/webkitsecurity/src/android/webkitsecurity/cts/WebkitAnonymousBlockMergeCrashTest.java</t>
  </si>
  <si>
    <t>tests/tests/webkitsecurity/src/android/webkitsecurity/cts/WebkitAnonymousRenderBlockInContinuationCausesCrashTest.java</t>
  </si>
  <si>
    <t>tests/tests/webkitsecurity/src/android/webkitsecurity/cts/WebkitAnonymousSplitBlockCrashTest.java</t>
  </si>
  <si>
    <t>tests/tests/webkitsecurity/src/android/webkitsecurity/cts/WebkitApplyStyleTextDecorationCrashTest.java</t>
  </si>
  <si>
    <t>tests/tests/webkitsecurity/src/android/webkitsecurity/cts/WebkitApplyblockelementVisiblepositionforindexCrashTest.java</t>
  </si>
  <si>
    <t>tests/tests/webkitsecurity/src/android/webkitsecurity/cts/WebkitArcCrashTest.java</t>
  </si>
  <si>
    <t>tests/tests/webkitsecurity/src/android/webkitsecurity/cts/WebkitAreaIslinkFocusNullPtrCrashTest.java</t>
  </si>
  <si>
    <t>tests/tests/webkitsecurity/src/android/webkitsecurity/cts/WebkitAriaActivedescendantCrashTest.java</t>
  </si>
  <si>
    <t>tests/tests/webkitsecurity/src/android/webkitsecurity/cts/WebkitAriaOptionsAndMenuitemsCrashTest.java</t>
  </si>
  <si>
    <t>tests/tests/webkitsecurity/src/android/webkitsecurity/cts/WebkitArrayBufferCrashTest.java</t>
  </si>
  <si>
    <t>tests/tests/webkitsecurity/src/android/webkitsecurity/cts/WebkitArrayBufferViewCrashTest.java</t>
  </si>
  <si>
    <t>tests/tests/webkitsecurity/src/android/webkitsecurity/cts/WebkitArrayBufferViewCrashWhenReassignedTest.java</t>
  </si>
  <si>
    <t>tests/tests/webkitsecurity/src/android/webkitsecurity/cts/WebkitAsteriskCounterUpdateAfterLayoutCrashTest.java</t>
  </si>
  <si>
    <t>tests/tests/webkitsecurity/src/android/webkitsecurity/cts/WebkitAvlCrashTest.java</t>
  </si>
  <si>
    <t>tests/tests/webkitsecurity/src/android/webkitsecurity/cts/WebkitBackcolorCrashTest.java</t>
  </si>
  <si>
    <t>tests/tests/webkitsecurity/src/android/webkitsecurity/cts/WebkitBackgroundFillZeroAreaCrashTest.java</t>
  </si>
  <si>
    <t>tests/tests/webkitsecurity/src/android/webkitsecurity/cts/WebkitBackgroundNorepeatCrashTest.java</t>
  </si>
  <si>
    <t>tests/tests/webkitsecurity/src/android/webkitsecurity/cts/WebkitBackwardTextiteratorFirstLetterCrashTest.java</t>
  </si>
  <si>
    <t>tests/tests/webkitsecurity/src/android/webkitsecurity/cts/WebkitBadHandshakeCrashTest.java</t>
  </si>
  <si>
    <t>tests/tests/webkitsecurity/src/android/webkitsecurity/cts/WebkitBadTransitionShorthandCrashTest.java</t>
  </si>
  <si>
    <t>tests/tests/webkitsecurity/src/android/webkitsecurity/cts/WebkitBasevalAnimvalCrashTest.java</t>
  </si>
  <si>
    <t>tests/tests/webkitsecurity/src/android/webkitsecurity/cts/WebkitBasevalAnimvalListCrashTest.java</t>
  </si>
  <si>
    <t>tests/tests/webkitsecurity/src/android/webkitsecurity/cts/WebkitBeforeBlockDoesntCrashTest.java</t>
  </si>
  <si>
    <t>tests/tests/webkitsecurity/src/android/webkitsecurity/cts/WebkitBeforeChildNonTableSectionAddTableCrashTest.java</t>
  </si>
  <si>
    <t>tests/tests/webkitsecurity/src/android/webkitsecurity/cts/WebkitBeforeContentWithListMarkerInAnonBlockCrashTest.java</t>
  </si>
  <si>
    <t>tests/tests/webkitsecurity/src/android/webkitsecurity/cts/WebkitBeforeDoesntCrashTest.java</t>
  </si>
  <si>
    <t>tests/tests/webkitsecurity/src/android/webkitsecurity/cts/WebkitBeforeTableDoesntCrashTest.java</t>
  </si>
  <si>
    <t>tests/tests/webkitsecurity/src/android/webkitsecurity/cts/WebkitBidiNeutralInMixedDirectionRunCrashTest.java</t>
  </si>
  <si>
    <t>tests/tests/webkitsecurity/src/android/webkitsecurity/cts/WebkitBindingsArrayApplyCrashTest.java</t>
  </si>
  <si>
    <t>tests/tests/webkitsecurity/src/android/webkitsecurity/cts/WebkitBlobBuilderCrashTest.java</t>
  </si>
  <si>
    <t>tests/tests/webkitsecurity/src/android/webkitsecurity/cts/WebkitBlockNotRemovedFromParentLineboxesCrashTest.java</t>
  </si>
  <si>
    <t>tests/tests/webkitsecurity/src/android/webkitsecurity/cts/WebkitBlockRemoveChildDeleteLineBoxCrashTest.java</t>
  </si>
  <si>
    <t>tests/tests/webkitsecurity/src/android/webkitsecurity/cts/WebkitBlockStyleProgressCrashTest.java</t>
  </si>
  <si>
    <t>tests/tests/webkitsecurity/src/android/webkitsecurity/cts/WebkitBlockquoteCrashTest.java</t>
  </si>
  <si>
    <t>tests/tests/webkitsecurity/src/android/webkitsecurity/cts/WebkitBodyCloneLinkDeclParentCrashTest.java</t>
  </si>
  <si>
    <t>tests/tests/webkitsecurity/src/android/webkitsecurity/cts/WebkitBodyRemovalCrashTest.java</t>
  </si>
  <si>
    <t>tests/tests/webkitsecurity/src/android/webkitsecurity/cts/WebkitBorderImageCrashTest.java</t>
  </si>
  <si>
    <t>tests/tests/webkitsecurity/src/android/webkitsecurity/cts/WebkitBorderImageNullImageCrashTest.java</t>
  </si>
  <si>
    <t>tests/tests/webkitsecurity/src/android/webkitsecurity/cts/WebkitCallApplyCrashTest.java</t>
  </si>
  <si>
    <t>tests/tests/webkitsecurity/src/android/webkitsecurity/cts/WebkitCanvasFontExUnitsCrashTest.java</t>
  </si>
  <si>
    <t>tests/tests/webkitsecurity/src/android/webkitsecurity/cts/WebkitCanvasGetimagedataLargeCrashTest.java</t>
  </si>
  <si>
    <t>tests/tests/webkitsecurity/src/android/webkitsecurity/cts/WebkitCanvasTodataurlCrashTest.java</t>
  </si>
  <si>
    <t>tests/tests/webkitsecurity/src/android/webkitsecurity/cts/WebkitCanvasTodataurlJpegCrashTest.java</t>
  </si>
  <si>
    <t>tests/tests/webkitsecurity/src/android/webkitsecurity/cts/WebkitCellInRowBeforeMisnestedTextCrashCssTest.java</t>
  </si>
  <si>
    <t>tests/tests/webkitsecurity/src/android/webkitsecurity/cts/WebkitChangeFormElementDocumentCrashTest.java</t>
  </si>
  <si>
    <t>tests/tests/webkitsecurity/src/android/webkitsecurity/cts/WebkitChangeVersionNoCrashOnPreflightFailureTest.java</t>
  </si>
  <si>
    <t>tests/tests/webkitsecurity/src/android/webkitsecurity/cts/WebkitChangeWidgetAndClickCrashTest.java</t>
  </si>
  <si>
    <t>tests/tests/webkitsecurity/src/android/webkitsecurity/cts/WebkitChangingAttrbutesCrashTest.java</t>
  </si>
  <si>
    <t>tests/tests/webkitsecurity/src/android/webkitsecurity/cts/WebkitCharacterDataMutationCrashTest.java</t>
  </si>
  <si>
    <t>tests/tests/webkitsecurity/src/android/webkitsecurity/cts/WebkitCheckboxSelectionCrashTest.java</t>
  </si>
  <si>
    <t>tests/tests/webkitsecurity/src/android/webkitsecurity/cts/WebkitChildNotRemovedFromParentLineboxesCrashTest.java</t>
  </si>
  <si>
    <t>tests/tests/webkitsecurity/src/android/webkitsecurity/cts/WebkitChromiumLinuxFallbackCrashTest.java</t>
  </si>
  <si>
    <t>tests/tests/webkitsecurity/src/android/webkitsecurity/cts/WebkitClearWatchInvalidIdCrashTest.java</t>
  </si>
  <si>
    <t>tests/tests/webkitsecurity/src/android/webkitsecurity/cts/WebkitClickSizeZeroNoCrashTest.java</t>
  </si>
  <si>
    <t>tests/tests/webkitsecurity/src/android/webkitsecurity/cts/WebkitCloneAnonymousBlockNonInlineChildCrashTest.java</t>
  </si>
  <si>
    <t>tests/tests/webkitsecurity/src/android/webkitsecurity/cts/WebkitCloneBeforeAfterContentCrashTest.java</t>
  </si>
  <si>
    <t>tests/tests/webkitsecurity/src/android/webkitsecurity/cts/WebkitCloneBlockChildrenInlineMismatchCrashTest.java</t>
  </si>
  <si>
    <t>tests/tests/webkitsecurity/src/android/webkitsecurity/cts/WebkitClonenodeAfterDeleteruleCrashTest.java</t>
  </si>
  <si>
    <t>tests/tests/webkitsecurity/src/android/webkitsecurity/cts/WebkitCloseInOnmessageCrashTest.java</t>
  </si>
  <si>
    <t>tests/tests/webkitsecurity/src/android/webkitsecurity/cts/WebkitColumnSpanParentContinuationCrashTest.java</t>
  </si>
  <si>
    <t>tests/tests/webkitsecurity/src/android/webkitsecurity/cts/WebkitCombiningCharacterSequenceFallbackCrashTest.java</t>
  </si>
  <si>
    <t>tests/tests/webkitsecurity/src/android/webkitsecurity/cts/WebkitConsoleLongEvalCrashTest.java</t>
  </si>
  <si>
    <t>tests/tests/webkitsecurity/src/android/webkitsecurity/cts/WebkitConstructorAsFunctionCrashTest.java</t>
  </si>
  <si>
    <t>tests/tests/webkitsecurity/src/android/webkitsecurity/cts/WebkitContainerTransformCrashTest.java</t>
  </si>
  <si>
    <t>tests/tests/webkitsecurity/src/android/webkitsecurity/cts/WebkitContentHeightZeroCrashTest.java</t>
  </si>
  <si>
    <t>tests/tests/webkitsecurity/src/android/webkitsecurity/cts/WebkitContextDestroyedCrashTest.java</t>
  </si>
  <si>
    <t>tests/tests/webkitsecurity/src/android/webkitsecurity/cts/WebkitContinuationcrashTest.java</t>
  </si>
  <si>
    <t>tests/tests/webkitsecurity/src/android/webkitsecurity/cts/WebkitCopyCrashTest.java</t>
  </si>
  <si>
    <t>tests/tests/webkitsecurity/src/android/webkitsecurity/cts/WebkitCopyCrashWithExtraneousAttributeTest.java</t>
  </si>
  <si>
    <t>tests/tests/webkitsecurity/src/android/webkitsecurity/cts/WebkitCopyStandaloneImageCrashTest.java</t>
  </si>
  <si>
    <t>tests/tests/webkitsecurity/src/android/webkitsecurity/cts/WebkitCopyWithoutCommonBlockCrashTest.java</t>
  </si>
  <si>
    <t>tests/tests/webkitsecurity/src/android/webkitsecurity/cts/WebkitCounterAfterStyleCrashTest.java</t>
  </si>
  <si>
    <t>tests/tests/webkitsecurity/src/android/webkitsecurity/cts/WebkitCounterBeforeSelectorCrashTest.java</t>
  </si>
  <si>
    <t>tests/tests/webkitsecurity/src/android/webkitsecurity/cts/WebkitCounterCrashFrameSrcTest.java</t>
  </si>
  <si>
    <t>tests/tests/webkitsecurity/src/android/webkitsecurity/cts/WebkitCounterCrashTest.java</t>
  </si>
  <si>
    <t>tests/tests/webkitsecurity/src/android/webkitsecurity/cts/WebkitCounterReparentTableChildrenCrashTest.java</t>
  </si>
  <si>
    <t>tests/tests/webkitsecurity/src/android/webkitsecurity/cts/WebkitCounterTraverseObjectCrashTest.java</t>
  </si>
  <si>
    <t>tests/tests/webkitsecurity/src/android/webkitsecurity/cts/WebkitCrashAccessingClipboarddataTypesTest.java</t>
  </si>
  <si>
    <t>tests/tests/webkitsecurity/src/android/webkitsecurity/cts/WebkitCrashAnonymousTableComputelogicalwidthTest.java</t>
  </si>
  <si>
    <t>tests/tests/webkitsecurity/src/android/webkitsecurity/cts/WebkitCrashAnonymousTableLayoutTest.java</t>
  </si>
  <si>
    <t>tests/tests/webkitsecurity/src/android/webkitsecurity/cts/WebkitCrashBeforeborderDirtySectionTest.java</t>
  </si>
  <si>
    <t>tests/tests/webkitsecurity/src/android/webkitsecurity/cts/WebkitCrashBreakingBlockquoteWithListTest.java</t>
  </si>
  <si>
    <t>tests/tests/webkitsecurity/src/android/webkitsecurity/cts/WebkitCrashButtonInputAutofocusTest.java</t>
  </si>
  <si>
    <t>tests/tests/webkitsecurity/src/android/webkitsecurity/cts/WebkitCrashButtonKeygenTest.java</t>
  </si>
  <si>
    <t>tests/tests/webkitsecurity/src/android/webkitsecurity/cts/WebkitCrashButtonRelayoutTest.java</t>
  </si>
  <si>
    <t>tests/tests/webkitsecurity/src/android/webkitsecurity/cts/WebkitCrashClosingPageWithMediaAsPluginFallbackTest.java</t>
  </si>
  <si>
    <t>tests/tests/webkitsecurity/src/android/webkitsecurity/cts/WebkitCrashCopyingBackforwardlistTest.java</t>
  </si>
  <si>
    <t>tests/tests/webkitsecurity/src/android/webkitsecurity/cts/WebkitCrashDeterminingAriaRoleWhenLabelPresentTest.java</t>
  </si>
  <si>
    <t>tests/tests/webkitsecurity/src/android/webkitsecurity/cts/WebkitCrashDisplayLocalDirectoryTest.java</t>
  </si>
  <si>
    <t>tests/tests/webkitsecurity/src/android/webkitsecurity/cts/WebkitCrashEmptySectionCalcborderTest.java</t>
  </si>
  <si>
    <t>tests/tests/webkitsecurity/src/android/webkitsecurity/cts/WebkitCrashEmptySectionFixedLayoutCalcarrayTest.java</t>
  </si>
  <si>
    <t>tests/tests/webkitsecurity/src/android/webkitsecurity/cts/WebkitCrashFilterChangeTest.java</t>
  </si>
  <si>
    <t>tests/tests/webkitsecurity/src/android/webkitsecurity/cts/WebkitCrashFlexboxNoLayoutChildTest.java</t>
  </si>
  <si>
    <t>tests/tests/webkitsecurity/src/android/webkitsecurity/cts/WebkitCrashFramesetCssContentPropertyTest.java</t>
  </si>
  <si>
    <t>tests/tests/webkitsecurity/src/android/webkitsecurity/cts/WebkitCrashGeneratedCounterTest.java</t>
  </si>
  <si>
    <t>tests/tests/webkitsecurity/src/android/webkitsecurity/cts/WebkitCrashGeneratedImageTest.java</t>
  </si>
  <si>
    <t>tests/tests/webkitsecurity/src/android/webkitsecurity/cts/WebkitCrashGeneratedQuoteTest.java</t>
  </si>
  <si>
    <t>tests/tests/webkitsecurity/src/android/webkitsecurity/cts/WebkitCrashGeneratedTextTest.java</t>
  </si>
  <si>
    <t>tests/tests/webkitsecurity/src/android/webkitsecurity/cts/WebkitCrashHtmlparserCreateheadTest.java</t>
  </si>
  <si>
    <t>tests/tests/webkitsecurity/src/android/webkitsecurity/cts/WebkitCrashHugeLayerTest.java</t>
  </si>
  <si>
    <t>tests/tests/webkitsecurity/src/android/webkitsecurity/cts/WebkitCrashHwSwSwitchTest.java</t>
  </si>
  <si>
    <t>tests/tests/webkitsecurity/src/android/webkitsecurity/cts/WebkitCrashInElementForTextMarkerTest.java</t>
  </si>
  <si>
    <t>tests/tests/webkitsecurity/src/android/webkitsecurity/cts/WebkitCrashIndentingListItemTest.java</t>
  </si>
  <si>
    <t>tests/tests/webkitsecurity/src/android/webkitsecurity/cts/WebkitCrashInlineContainerClientTest.java</t>
  </si>
  <si>
    <t>tests/tests/webkitsecurity/src/android/webkitsecurity/cts/WebkitCrashInvalidTextMarkerNodeTest.java</t>
  </si>
  <si>
    <t>tests/tests/webkitsecurity/src/android/webkitsecurity/cts/WebkitCrashLineBreakAfterOutdentTest.java</t>
  </si>
  <si>
    <t>tests/tests/webkitsecurity/src/android/webkitsecurity/cts/WebkitCrashMultipleFamilyFontfaceTest.java</t>
  </si>
  <si>
    <t>tests/tests/webkitsecurity/src/android/webkitsecurity/cts/WebkitCrashOnAbsolutePositioningTest.java</t>
  </si>
  <si>
    <t>tests/tests/webkitsecurity/src/android/webkitsecurity/cts/WebkitCrashOnClearSelectionTest.java</t>
  </si>
  <si>
    <t>tests/tests/webkitsecurity/src/android/webkitsecurity/cts/WebkitCrashOnCustomCursorWhenLoadingTest.java</t>
  </si>
  <si>
    <t>tests/tests/webkitsecurity/src/android/webkitsecurity/cts/WebkitCrashOnDegenerateGradientTest.java</t>
  </si>
  <si>
    <t>tests/tests/webkitsecurity/src/android/webkitsecurity/cts/WebkitCrashOnDragWithMutationEventsTest.java</t>
  </si>
  <si>
    <t>tests/tests/webkitsecurity/src/android/webkitsecurity/cts/WebkitCrashOnEnterInContenteditableListTest.java</t>
  </si>
  <si>
    <t>tests/tests/webkitsecurity/src/android/webkitsecurity/cts/WebkitCrashOnMutateDuringDropTest.java</t>
  </si>
  <si>
    <t>tests/tests/webkitsecurity/src/android/webkitsecurity/cts/WebkitCrashOnOnepxBorderTest.java</t>
  </si>
  <si>
    <t>tests/tests/webkitsecurity/src/android/webkitsecurity/cts/WebkitCrashOnRemoveTest.java</t>
  </si>
  <si>
    <t>tests/tests/webkitsecurity/src/android/webkitsecurity/cts/WebkitCrashOnTrTest.java</t>
  </si>
  <si>
    <t>tests/tests/webkitsecurity/src/android/webkitsecurity/cts/WebkitCrashOnZeroRadiusTest.java</t>
  </si>
  <si>
    <t>tests/tests/webkitsecurity/src/android/webkitsecurity/cts/WebkitCrashOneTest.java</t>
  </si>
  <si>
    <t>tests/tests/webkitsecurity/src/android/webkitsecurity/cts/WebkitCrashRemovedIframeTest.java</t>
  </si>
  <si>
    <t>tests/tests/webkitsecurity/src/android/webkitsecurity/cts/WebkitCrashReparentTiledLayerTest.java</t>
  </si>
  <si>
    <t>tests/tests/webkitsecurity/src/android/webkitsecurity/cts/WebkitCrashReplacedDisplayBlockTest.java</t>
  </si>
  <si>
    <t>tests/tests/webkitsecurity/src/android/webkitsecurity/cts/WebkitCrashReplacingLocationBeforeLoadTest.java</t>
  </si>
  <si>
    <t>tests/tests/webkitsecurity/src/android/webkitsecurity/cts/WebkitCrashRestoringPluginPageFromPageCacheTest.java</t>
  </si>
  <si>
    <t>tests/tests/webkitsecurity/src/android/webkitsecurity/cts/WebkitCrashSectionLogicalHeightChangedNeedscellrecalcTest.java</t>
  </si>
  <si>
    <t>tests/tests/webkitsecurity/src/android/webkitsecurity/cts/WebkitCrashSetFontTest.java</t>
  </si>
  <si>
    <t>tests/tests/webkitsecurity/src/android/webkitsecurity/cts/WebkitCrashSplitcolumnTest.java</t>
  </si>
  <si>
    <t>tests/tests/webkitsecurity/src/android/webkitsecurity/cts/WebkitCrashSplitcolumnThreeTest.java</t>
  </si>
  <si>
    <t>tests/tests/webkitsecurity/src/android/webkitsecurity/cts/WebkitCrashSplitcolumnTwoTest.java</t>
  </si>
  <si>
    <t>tests/tests/webkitsecurity/src/android/webkitsecurity/cts/WebkitCrashStyleFirstLetterTest.java</t>
  </si>
  <si>
    <t>tests/tests/webkitsecurity/src/android/webkitsecurity/cts/WebkitCrashSvgDocumentTest.java</t>
  </si>
  <si>
    <t>tests/tests/webkitsecurity/src/android/webkitsecurity/cts/WebkitCrashTableCellChangeHeightTest.java</t>
  </si>
  <si>
    <t>tests/tests/webkitsecurity/src/android/webkitsecurity/cts/WebkitCrashTextpathAttributesTest.java</t>
  </si>
  <si>
    <t>tests/tests/webkitsecurity/src/android/webkitsecurity/cts/WebkitCrashTwoTest.java</t>
  </si>
  <si>
    <t>tests/tests/webkitsecurity/src/android/webkitsecurity/cts/WebkitCrashWhenNavigatingAwayThenBackTest.java</t>
  </si>
  <si>
    <t>tests/tests/webkitsecurity/src/android/webkitsecurity/cts/WebkitCrashWhenReparentSiblingTest.java</t>
  </si>
  <si>
    <t>tests/tests/webkitsecurity/src/android/webkitsecurity/cts/WebkitCrashWhileLoadingTagWithPauseTest.java</t>
  </si>
  <si>
    <t>tests/tests/webkitsecurity/src/android/webkitsecurity/cts/WebkitCrashWithNoelementSelectboxTest.java</t>
  </si>
  <si>
    <t>tests/tests/webkitsecurity/src/android/webkitsecurity/cts/WebkitCrashingATagInMapTest.java</t>
  </si>
  <si>
    <t>tests/tests/webkitsecurity/src/android/webkitsecurity/cts/WebkitCreateBlobUrlCrashTest.java</t>
  </si>
  <si>
    <t>tests/tests/webkitsecurity/src/android/webkitsecurity/cts/WebkitCreateDocumentCrashOnAttachEventTest.java</t>
  </si>
  <si>
    <t>tests/tests/webkitsecurity/src/android/webkitsecurity/cts/WebkitCreatePatternDoesNotCrashTest.java</t>
  </si>
  <si>
    <t>tests/tests/webkitsecurity/src/android/webkitsecurity/cts/WebkitCrossOriginStylesheetCrashTest.java</t>
  </si>
  <si>
    <t>tests/tests/webkitsecurity/src/android/webkitsecurity/cts/WebkitCssContentAndWebkitMaskBoxImageCrashTest.java</t>
  </si>
  <si>
    <t>tests/tests/webkitsecurity/src/android/webkitsecurity/cts/WebkitCssFontfaceRuleCrashTest.java</t>
  </si>
  <si>
    <t>tests/tests/webkitsecurity/src/android/webkitsecurity/cts/WebkitCssInlineStyleDeclarationCrashTest.java</t>
  </si>
  <si>
    <t>tests/tests/webkitsecurity/src/android/webkitsecurity/cts/WebkitCssKeyframeStyleCrashTest.java</t>
  </si>
  <si>
    <t>tests/tests/webkitsecurity/src/android/webkitsecurity/cts/WebkitCsstargetCrashTest.java</t>
  </si>
  <si>
    <t>tests/tests/webkitsecurity/src/android/webkitsecurity/cts/WebkitCssthreeRadialGradientCrashTest.java</t>
  </si>
  <si>
    <t>tests/tests/webkitsecurity/src/android/webkitsecurity/cts/WebkitCustomFontDataCrashTest.java</t>
  </si>
  <si>
    <t>tests/tests/webkitsecurity/src/android/webkitsecurity/cts/WebkitCustomFontDataCrashtwoTest.java</t>
  </si>
  <si>
    <t>tests/tests/webkitsecurity/src/android/webkitsecurity/cts/WebkitDanglingFormElementCrashTest.java</t>
  </si>
  <si>
    <t>tests/tests/webkitsecurity/src/android/webkitsecurity/cts/WebkitDashboardRegionsAttrCrashTest.java</t>
  </si>
  <si>
    <t>tests/tests/webkitsecurity/src/android/webkitsecurity/cts/WebkitDataViewCrashTest.java</t>
  </si>
  <si>
    <t>tests/tests/webkitsecurity/src/android/webkitsecurity/cts/WebkitDebuggerActivationCrashTest.java</t>
  </si>
  <si>
    <t>tests/tests/webkitsecurity/src/android/webkitsecurity/cts/WebkitDebuggerActivationCrashtwoTest.java</t>
  </si>
  <si>
    <t>tests/tests/webkitsecurity/src/android/webkitsecurity/cts/WebkitDelayedStyleMutationEventCrashTest.java</t>
  </si>
  <si>
    <t>tests/tests/webkitsecurity/src/android/webkitsecurity/cts/WebkitDeleteInsignificantTextCrashTest.java</t>
  </si>
  <si>
    <t>tests/tests/webkitsecurity/src/android/webkitsecurity/cts/WebkitDestroyCellWithSelectionCrashTest.java</t>
  </si>
  <si>
    <t>tests/tests/webkitsecurity/src/android/webkitsecurity/cts/WebkitDestroyCounterCrashTest.java</t>
  </si>
  <si>
    <t>tests/tests/webkitsecurity/src/android/webkitsecurity/cts/WebkitDestroySelectedRadioButtonCrashTest.java</t>
  </si>
  <si>
    <t>tests/tests/webkitsecurity/src/android/webkitsecurity/cts/WebkitDetachedObjectNotificationCrashTest.java</t>
  </si>
  <si>
    <t>tests/tests/webkitsecurity/src/android/webkitsecurity/cts/WebkitDetachedOutermostSvgCrashTest.java</t>
  </si>
  <si>
    <t>tests/tests/webkitsecurity/src/android/webkitsecurity/cts/WebkitDetailsChildrenMergeCrashTest.java</t>
  </si>
  <si>
    <t>tests/tests/webkitsecurity/src/android/webkitsecurity/cts/WebkitDetailsElementRenderInlineCrashTest.java</t>
  </si>
  <si>
    <t>tests/tests/webkitsecurity/src/android/webkitsecurity/cts/WebkitDeviceOrientationCrashTest.java</t>
  </si>
  <si>
    <t>tests/tests/webkitsecurity/src/android/webkitsecurity/cts/WebkitDirtyInlineTextboxCrashTest.java</t>
  </si>
  <si>
    <t>tests/tests/webkitsecurity/src/android/webkitsecurity/cts/WebkitDispatcheventCrashTest.java</t>
  </si>
  <si>
    <t>tests/tests/webkitsecurity/src/android/webkitsecurity/cts/WebkitDisplayNoneInlineStyleChangeCrashTest.java</t>
  </si>
  <si>
    <t>tests/tests/webkitsecurity/src/android/webkitsecurity/cts/WebkitDivWithinAnchorsCausesCrashTest.java</t>
  </si>
  <si>
    <t>tests/tests/webkitsecurity/src/android/webkitsecurity/cts/WebkitDoctypeEventListenerCrashTest.java</t>
  </si>
  <si>
    <t>tests/tests/webkitsecurity/src/android/webkitsecurity/cts/WebkitDocumentDeactivationCallbackCrashTest.java</t>
  </si>
  <si>
    <t>tests/tests/webkitsecurity/src/android/webkitsecurity/cts/WebkitDomstringReplaceCrashTest.java</t>
  </si>
  <si>
    <t>tests/tests/webkitsecurity/src/android/webkitsecurity/cts/WebkitDomurlScriptExecutionContextCrashTest.java</t>
  </si>
  <si>
    <t>tests/tests/webkitsecurity/src/android/webkitsecurity/cts/WebkitDontCrashWithNullGifFramesTest.java</t>
  </si>
  <si>
    <t>tests/tests/webkitsecurity/src/android/webkitsecurity/cts/WebkitDoubleMergeAnonymousBlockCrashTest.java</t>
  </si>
  <si>
    <t>tests/tests/webkitsecurity/src/android/webkitsecurity/cts/WebkitDoubleclickCrashTest.java</t>
  </si>
  <si>
    <t>tests/tests/webkitsecurity/src/android/webkitsecurity/cts/WebkitDoubleclickWhitespaceCrashTest.java</t>
  </si>
  <si>
    <t>tests/tests/webkitsecurity/src/android/webkitsecurity/cts/WebkitDoubleclickWhitespaceImgCrashTest.java</t>
  </si>
  <si>
    <t>tests/tests/webkitsecurity/src/android/webkitsecurity/cts/WebkitDragAndDropDatatransferTypesNocrashTest.java</t>
  </si>
  <si>
    <t>tests/tests/webkitsecurity/src/android/webkitsecurity/cts/WebkitDragDropIframeRefreshCrashTest.java</t>
  </si>
  <si>
    <t>tests/tests/webkitsecurity/src/android/webkitsecurity/cts/WebkitDragFileCrashTest.java</t>
  </si>
  <si>
    <t>tests/tests/webkitsecurity/src/android/webkitsecurity/cts/WebkitDragOverIframeInvalidSourceCrashTest.java</t>
  </si>
  <si>
    <t>tests/tests/webkitsecurity/src/android/webkitsecurity/cts/WebkitDuplicateHtmlElementCrashTest.java</t>
  </si>
  <si>
    <t>tests/tests/webkitsecurity/src/android/webkitsecurity/cts/WebkitDuplicateParamCrashTest.java</t>
  </si>
  <si>
    <t>tests/tests/webkitsecurity/src/android/webkitsecurity/cts/WebkitDuplicateParamGcCrashTest.java</t>
  </si>
  <si>
    <t>tests/tests/webkitsecurity/src/android/webkitsecurity/cts/WebkitDynamicMarkerCrashTest.java</t>
  </si>
  <si>
    <t>tests/tests/webkitsecurity/src/android/webkitsecurity/cts/WebkitEditableNonEditableCrashTest.java</t>
  </si>
  <si>
    <t>tests/tests/webkitsecurity/src/android/webkitsecurity/cts/WebkitEditingCommandWhileExecutingTypingCommandCrashTest.java</t>
  </si>
  <si>
    <t>tests/tests/webkitsecurity/src/android/webkitsecurity/cts/WebkitEmbedBidiStyleInIsolateCrashTest.java</t>
  </si>
  <si>
    <t>tests/tests/webkitsecurity/src/android/webkitsecurity/cts/WebkitEmbedcrasherTest.java</t>
  </si>
  <si>
    <t>tests/tests/webkitsecurity/src/android/webkitsecurity/cts/WebkitEmptyAnonymousBlockRemoveCrashTest.java</t>
  </si>
  <si>
    <t>tests/tests/webkitsecurity/src/android/webkitsecurity/cts/WebkitEmptyBdiCrashTest.java</t>
  </si>
  <si>
    <t>tests/tests/webkitsecurity/src/android/webkitsecurity/cts/WebkitEmptyContentWithFloatCrashTest.java</t>
  </si>
  <si>
    <t>tests/tests/webkitsecurity/src/android/webkitsecurity/cts/WebkitEmptyFirstLineCrashTest.java</t>
  </si>
  <si>
    <t>tests/tests/webkitsecurity/src/android/webkitsecurity/cts/WebkitEmptyMsubsupCrashTest.java</t>
  </si>
  <si>
    <t>tests/tests/webkitsecurity/src/android/webkitsecurity/cts/WebkitEmptyRenderSurfaceCrasherTest.java</t>
  </si>
  <si>
    <t>tests/tests/webkitsecurity/src/android/webkitsecurity/cts/WebkitEmptyRowCrashTest.java</t>
  </si>
  <si>
    <t>tests/tests/webkitsecurity/src/android/webkitsecurity/cts/WebkitEmptySectionCrashTest.java</t>
  </si>
  <si>
    <t>tests/tests/webkitsecurity/src/android/webkitsecurity/cts/WebkitEmptyTransformPreservethreedCrashTest.java</t>
  </si>
  <si>
    <t>tests/tests/webkitsecurity/src/android/webkitsecurity/cts/WebkitEmptyWebkitMaskCrashTest.java</t>
  </si>
  <si>
    <t>tests/tests/webkitsecurity/src/android/webkitsecurity/cts/WebkitEmptyWorkerNocrashTest.java</t>
  </si>
  <si>
    <t>tests/tests/webkitsecurity/src/android/webkitsecurity/cts/WebkitEndOfBufferCrashTest.java</t>
  </si>
  <si>
    <t>tests/tests/webkitsecurity/src/android/webkitsecurity/cts/WebkitEvalCacheCrashTest.java</t>
  </si>
  <si>
    <t>tests/tests/webkitsecurity/src/android/webkitsecurity/cts/WebkitEventListenerMapRehashCrashTest.java</t>
  </si>
  <si>
    <t>tests/tests/webkitsecurity/src/android/webkitsecurity/cts/WebkitEventsourceReconnectDuringNavigateCrashTest.java</t>
  </si>
  <si>
    <t>tests/tests/webkitsecurity/src/android/webkitsecurity/cts/WebkitExceptionCodegenCrashTest.java</t>
  </si>
  <si>
    <t>tests/tests/webkitsecurity/src/android/webkitsecurity/cts/WebkitExceptionNoFrameInlineScriptCrashIframeTest.java</t>
  </si>
  <si>
    <t>tests/tests/webkitsecurity/src/android/webkitsecurity/cts/WebkitExceptionNoFrameInlineScriptCrashTest.java</t>
  </si>
  <si>
    <t>tests/tests/webkitsecurity/src/android/webkitsecurity/cts/WebkitExceptionNoFrameTimeoutCrashIframeTest.java</t>
  </si>
  <si>
    <t>tests/tests/webkitsecurity/src/android/webkitsecurity/cts/WebkitExceptionNoFrameTimeoutCrashTest.java</t>
  </si>
  <si>
    <t>tests/tests/webkitsecurity/src/android/webkitsecurity/cts/WebkitExistentEventsourceStatusErrorIframeCrashTest.java</t>
  </si>
  <si>
    <t>tests/tests/webkitsecurity/src/android/webkitsecurity/cts/WebkitExtendByLineAnonymousContentCrashTest.java</t>
  </si>
  <si>
    <t>tests/tests/webkitsecurity/src/android/webkitsecurity/cts/WebkitExtendOverFileInputByDragCrashTest.java</t>
  </si>
  <si>
    <t>tests/tests/webkitsecurity/src/android/webkitsecurity/cts/WebkitFencedWhitespaceSeparatorsCrashTest.java</t>
  </si>
  <si>
    <t>tests/tests/webkitsecurity/src/android/webkitsecurity/cts/WebkitFileReaderDirectoryCrashTest.java</t>
  </si>
  <si>
    <t>tests/tests/webkitsecurity/src/android/webkitsecurity/cts/WebkitFilesystemNoCallbackNullPtrCrashTest.java</t>
  </si>
  <si>
    <t>tests/tests/webkitsecurity/src/android/webkitsecurity/cts/WebkitFillLayerCrashTest.java</t>
  </si>
  <si>
    <t>tests/tests/webkitsecurity/src/android/webkitsecurity/cts/WebkitFilterEmptyElementCrashTest.java</t>
  </si>
  <si>
    <t>tests/tests/webkitsecurity/src/android/webkitsecurity/cts/WebkitFindLayoutCrashTest.java</t>
  </si>
  <si>
    <t>tests/tests/webkitsecurity/src/android/webkitsecurity/cts/WebkitFirstLetterAnonymousBlockCrashTest.java</t>
  </si>
  <si>
    <t>tests/tests/webkitsecurity/src/android/webkitsecurity/cts/WebkitFirstLetterBlockFormControlsCrashTest.java</t>
  </si>
  <si>
    <t>tests/tests/webkitsecurity/src/android/webkitsecurity/cts/WebkitFirstLetterInlineFlowSplitCrashTest.java</t>
  </si>
  <si>
    <t>tests/tests/webkitsecurity/src/android/webkitsecurity/cts/WebkitFirstLetterInlineFlowSplitTableCrashTest.java</t>
  </si>
  <si>
    <t>tests/tests/webkitsecurity/src/android/webkitsecurity/cts/WebkitFirstLetterRtlCrashTest.java</t>
  </si>
  <si>
    <t>tests/tests/webkitsecurity/src/android/webkitsecurity/cts/WebkitFirstLetterTextFragmentCrashTest.java</t>
  </si>
  <si>
    <t>tests/tests/webkitsecurity/src/android/webkitsecurity/cts/WebkitFirstLetterTextTransformCausesCrashTest.java</t>
  </si>
  <si>
    <t>tests/tests/webkitsecurity/src/android/webkitsecurity/cts/WebkitFirstletterTablecellCrashTest.java</t>
  </si>
  <si>
    <t>tests/tests/webkitsecurity/src/android/webkitsecurity/cts/WebkitFirstlineFixedCrashTest.java</t>
  </si>
  <si>
    <t>tests/tests/webkitsecurity/src/android/webkitsecurity/cts/WebkitFirstrectCrashTest.java</t>
  </si>
  <si>
    <t>tests/tests/webkitsecurity/src/android/webkitsecurity/cts/WebkitFiveseventwofivezerofiveeightCrashScenarioOneTest.java</t>
  </si>
  <si>
    <t>tests/tests/webkitsecurity/src/android/webkitsecurity/cts/WebkitFiveseventwofivezerofiveeightCrashScenarioThreeTest.java</t>
  </si>
  <si>
    <t>tests/tests/webkitsecurity/src/android/webkitsecurity/cts/WebkitFiveseventwofivezerofiveeightCrashScenarioTwoTest.java</t>
  </si>
  <si>
    <t>tests/tests/webkitsecurity/src/android/webkitsecurity/cts/WebkitFixRangeFromRootEditableCrashTest.java</t>
  </si>
  <si>
    <t>tests/tests/webkitsecurity/src/android/webkitsecurity/cts/WebkitFixedTableLayoutLargeColspanCrashTest.java</t>
  </si>
  <si>
    <t>tests/tests/webkitsecurity/src/android/webkitsecurity/cts/WebkitFlexboxInRegionCrashTest.java</t>
  </si>
  <si>
    <t>tests/tests/webkitsecurity/src/android/webkitsecurity/cts/WebkitFloatNotRemovedCrashTest.java</t>
  </si>
  <si>
    <t>tests/tests/webkitsecurity/src/android/webkitsecurity/cts/WebkitFloatNotRemovedFromNextSiblingCrashTest.java</t>
  </si>
  <si>
    <t>tests/tests/webkitsecurity/src/android/webkitsecurity/cts/WebkitFloatOriginatingLineDeletedCrashTest.java</t>
  </si>
  <si>
    <t>tests/tests/webkitsecurity/src/android/webkitsecurity/cts/WebkitFloatingBeforeContentWithListMarkerCrashTest.java</t>
  </si>
  <si>
    <t>tests/tests/webkitsecurity/src/android/webkitsecurity/cts/WebkitFloatsNotClearedCrashTest.java</t>
  </si>
  <si>
    <t>tests/tests/webkitsecurity/src/android/webkitsecurity/cts/WebkitFocusChangeCrashTest.java</t>
  </si>
  <si>
    <t>tests/tests/webkitsecurity/src/android/webkitsecurity/cts/WebkitFocusChangeCrashtwoTest.java</t>
  </si>
  <si>
    <t>tests/tests/webkitsecurity/src/android/webkitsecurity/cts/WebkitFocusControllerCrashChangeEventTest.java</t>
  </si>
  <si>
    <t>tests/tests/webkitsecurity/src/android/webkitsecurity/cts/WebkitFocusCrashTest.java</t>
  </si>
  <si>
    <t>tests/tests/webkitsecurity/src/android/webkitsecurity/cts/WebkitFontmetricBorderRadiusNullCrashTest.java</t>
  </si>
  <si>
    <t>tests/tests/webkitsecurity/src/android/webkitsecurity/cts/WebkitFontmetricWebkitBorderEndWidthNullCrashTest.java</t>
  </si>
  <si>
    <t>tests/tests/webkitsecurity/src/android/webkitsecurity/cts/WebkitFontsizeUnitRemsCrashTest.java</t>
  </si>
  <si>
    <t>tests/tests/webkitsecurity/src/android/webkitsecurity/cts/WebkitForeignContentCrashTest.java</t>
  </si>
  <si>
    <t>tests/tests/webkitsecurity/src/android/webkitsecurity/cts/WebkitFormAssociatedElementCrashTest.java</t>
  </si>
  <si>
    <t>tests/tests/webkitsecurity/src/android/webkitsecurity/cts/WebkitFormAssociatedElementCrashthreeTest.java</t>
  </si>
  <si>
    <t>tests/tests/webkitsecurity/src/android/webkitsecurity/cts/WebkitFormAssociatedElementCrashtwoTest.java</t>
  </si>
  <si>
    <t>tests/tests/webkitsecurity/src/android/webkitsecurity/cts/WebkitFormIframeTargetBeforeLoadCrashTest.java</t>
  </si>
  <si>
    <t>tests/tests/webkitsecurity/src/android/webkitsecurity/cts/WebkitFormIframeTargetBeforeLoadCrashtwoTest.java</t>
  </si>
  <si>
    <t>tests/tests/webkitsecurity/src/android/webkitsecurity/cts/WebkitFormInRowBeforeMisnestedTextCrashCssTest.java</t>
  </si>
  <si>
    <t>tests/tests/webkitsecurity/src/android/webkitsecurity/cts/WebkitFormInTableBeforeMisnestedTextCrashCssTest.java</t>
  </si>
  <si>
    <t>tests/tests/webkitsecurity/src/android/webkitsecurity/cts/WebkitFormInTbodyBeforeMisnestedTextCrashCssTest.java</t>
  </si>
  <si>
    <t>tests/tests/webkitsecurity/src/android/webkitsecurity/cts/WebkitFouronefourfivefivethreefivecrashTest.java</t>
  </si>
  <si>
    <t>tests/tests/webkitsecurity/src/android/webkitsecurity/cts/WebkitFrameContentwindowCrashTest.java</t>
  </si>
  <si>
    <t>tests/tests/webkitsecurity/src/android/webkitsecurity/cts/WebkitFrameCrashWithPageCacheTest.java</t>
  </si>
  <si>
    <t>tests/tests/webkitsecurity/src/android/webkitsecurity/cts/WebkitFrameUnloadAbortCrashTest.java</t>
  </si>
  <si>
    <t>tests/tests/webkitsecurity/src/android/webkitsecurity/cts/WebkitFrameUnloadCrashOneTest.java</t>
  </si>
  <si>
    <t>tests/tests/webkitsecurity/src/android/webkitsecurity/cts/WebkitFrameUnloadCrashTest.java</t>
  </si>
  <si>
    <t>tests/tests/webkitsecurity/src/android/webkitsecurity/cts/WebkitFrameUnloadCrashThreeTest.java</t>
  </si>
  <si>
    <t>tests/tests/webkitsecurity/src/android/webkitsecurity/cts/WebkitFrameUnloadCrashTwoTest.java</t>
  </si>
  <si>
    <t>tests/tests/webkitsecurity/src/android/webkitsecurity/cts/WebkitFramelessMediaElementCrashTest.java</t>
  </si>
  <si>
    <t>tests/tests/webkitsecurity/src/android/webkitsecurity/cts/WebkitGeneratedBeforeCounterDoesntCrashTest.java</t>
  </si>
  <si>
    <t>tests/tests/webkitsecurity/src/android/webkitsecurity/cts/WebkitGeneratedChildSplitFlowCrashTest.java</t>
  </si>
  <si>
    <t>tests/tests/webkitsecurity/src/android/webkitsecurity/cts/WebkitGeneratedContentCrashTest.java</t>
  </si>
  <si>
    <t>tests/tests/webkitsecurity/src/android/webkitsecurity/cts/WebkitGeneratedLayerScrollbarCrashTest.java</t>
  </si>
  <si>
    <t>tests/tests/webkitsecurity/src/android/webkitsecurity/cts/WebkitGetUrlWithIframeTargetNoCrashTest.java</t>
  </si>
  <si>
    <t>tests/tests/webkitsecurity/src/android/webkitsecurity/cts/WebkitGetmatchedcssrulesNullCrashTest.java</t>
  </si>
  <si>
    <t>tests/tests/webkitsecurity/src/android/webkitsecurity/cts/WebkitGiantStylesheetCrashTest.java</t>
  </si>
  <si>
    <t>tests/tests/webkitsecurity/src/android/webkitsecurity/cts/WebkitGlyphrefRendererCreateCrashTest.java</t>
  </si>
  <si>
    <t>tests/tests/webkitsecurity/src/android/webkitsecurity/cts/WebkitGradientOnPseudoelementCrashTest.java</t>
  </si>
  <si>
    <t>tests/tests/webkitsecurity/src/android/webkitsecurity/cts/WebkitHasfocusFramelessCrashTest.java</t>
  </si>
  <si>
    <t>tests/tests/webkitsecurity/src/android/webkitsecurity/cts/WebkitHiddenIframeScrollbarCrashTest.java</t>
  </si>
  <si>
    <t>tests/tests/webkitsecurity/src/android/webkitsecurity/cts/WebkitHiddenIframeScrollbarCrashtwoTest.java</t>
  </si>
  <si>
    <t>tests/tests/webkitsecurity/src/android/webkitsecurity/cts/WebkitHorizontalBoxFloatCrashTest.java</t>
  </si>
  <si>
    <t>tests/tests/webkitsecurity/src/android/webkitsecurity/cts/WebkitHoverStyleRecalcCrashTest.java</t>
  </si>
  <si>
    <t>tests/tests/webkitsecurity/src/android/webkitsecurity/cts/WebkitHoverTimerCrashTest.java</t>
  </si>
  <si>
    <t>tests/tests/webkitsecurity/src/android/webkitsecurity/cts/WebkitHugeColumnGapCrashTest.java</t>
  </si>
  <si>
    <t>tests/tests/webkitsecurity/src/android/webkitsecurity/cts/WebkitIdAttributeWithNamespaceCrashTest.java</t>
  </si>
  <si>
    <t>tests/tests/webkitsecurity/src/android/webkitsecurity/cts/WebkitIdentCrashesTopnodeIsTextTest.java</t>
  </si>
  <si>
    <t>tests/tests/webkitsecurity/src/android/webkitsecurity/cts/WebkitIframeContentwindowCrashTest.java</t>
  </si>
  <si>
    <t>tests/tests/webkitsecurity/src/android/webkitsecurity/cts/WebkitIframeFlatteningCrashTest.java</t>
  </si>
  <si>
    <t>tests/tests/webkitsecurity/src/android/webkitsecurity/cts/WebkitIframeFlatteningSelectionCrashTest.java</t>
  </si>
  <si>
    <t>tests/tests/webkitsecurity/src/android/webkitsecurity/cts/WebkitIframeInvalidSourceCrashTest.java</t>
  </si>
  <si>
    <t>tests/tests/webkitsecurity/src/android/webkitsecurity/cts/WebkitIframeOnloadCrashMacTest.java</t>
  </si>
  <si>
    <t>tests/tests/webkitsecurity/src/android/webkitsecurity/cts/WebkitIframeOnloadCrashUnixTest.java</t>
  </si>
  <si>
    <t>tests/tests/webkitsecurity/src/android/webkitsecurity/cts/WebkitIframeOnloadCrashWinTest.java</t>
  </si>
  <si>
    <t>tests/tests/webkitsecurity/src/android/webkitsecurity/cts/WebkitIframeOnloadRemoveSelfNoCrashChildTest.java</t>
  </si>
  <si>
    <t>tests/tests/webkitsecurity/src/android/webkitsecurity/cts/WebkitIframeOnloadRemoveSelfNoCrashTest.java</t>
  </si>
  <si>
    <t>tests/tests/webkitsecurity/src/android/webkitsecurity/cts/WebkitIframePluginLoadRemoveDocumentCrashTest.java</t>
  </si>
  <si>
    <t>tests/tests/webkitsecurity/src/android/webkitsecurity/cts/WebkitIgnoredResultNullComparisonCrashTest.java</t>
  </si>
  <si>
    <t>tests/tests/webkitsecurity/src/android/webkitsecurity/cts/WebkitIgnoredResultRefCrashTest.java</t>
  </si>
  <si>
    <t>tests/tests/webkitsecurity/src/android/webkitsecurity/cts/WebkitImageEmptyCrashTest.java</t>
  </si>
  <si>
    <t>tests/tests/webkitsecurity/src/android/webkitsecurity/cts/WebkitImageMapTitleCausesCrashTest.java</t>
  </si>
  <si>
    <t>tests/tests/webkitsecurity/src/android/webkitsecurity/cts/WebkitImageMapUpdateParentCrashTest.java</t>
  </si>
  <si>
    <t>tests/tests/webkitsecurity/src/android/webkitsecurity/cts/WebkitImagemapNorenderCrashTest.java</t>
  </si>
  <si>
    <t>tests/tests/webkitsecurity/src/android/webkitsecurity/cts/WebkitImbricatedFlowThreadsCrashTest.java</t>
  </si>
  <si>
    <t>tests/tests/webkitsecurity/src/android/webkitsecurity/cts/WebkitImplicitHeadInFragmentCrashTest.java</t>
  </si>
  <si>
    <t>tests/tests/webkitsecurity/src/android/webkitsecurity/cts/WebkitImportCrashTest.java</t>
  </si>
  <si>
    <t>tests/tests/webkitsecurity/src/android/webkitsecurity/cts/WebkitIndentNodeToSplitToCrashTest.java</t>
  </si>
  <si>
    <t>tests/tests/webkitsecurity/src/android/webkitsecurity/cts/WebkitIndexValidationCrashWithBufferSubDataTest.java</t>
  </si>
  <si>
    <t>tests/tests/webkitsecurity/src/android/webkitsecurity/cts/WebkitInitkeyboardeventCrashTest.java</t>
  </si>
  <si>
    <t>tests/tests/webkitsecurity/src/android/webkitsecurity/cts/WebkitInlineBodyCrashTest.java</t>
  </si>
  <si>
    <t>tests/tests/webkitsecurity/src/android/webkitsecurity/cts/WebkitInlineBodyWithScrollbarCrashTest.java</t>
  </si>
  <si>
    <t>tests/tests/webkitsecurity/src/android/webkitsecurity/cts/WebkitInlineBoxAdjustPositionCrashTest.java</t>
  </si>
  <si>
    <t>tests/tests/webkitsecurity/src/android/webkitsecurity/cts/WebkitInlineBoxAdjustPositionCrashtwoTest.java</t>
  </si>
  <si>
    <t>tests/tests/webkitsecurity/src/android/webkitsecurity/cts/WebkitInlineBoxWrapperCrashTest.java</t>
  </si>
  <si>
    <t>tests/tests/webkitsecurity/src/android/webkitsecurity/cts/WebkitInlineChildHeightWidthCalcCrashTest.java</t>
  </si>
  <si>
    <t>tests/tests/webkitsecurity/src/android/webkitsecurity/cts/WebkitInlineChildrenCrashTest.java</t>
  </si>
  <si>
    <t>tests/tests/webkitsecurity/src/android/webkitsecurity/cts/WebkitInlineCrashTest.java</t>
  </si>
  <si>
    <t>tests/tests/webkitsecurity/src/android/webkitsecurity/cts/WebkitInlineDestroyDirtyLinesCrashTest.java</t>
  </si>
  <si>
    <t>tests/tests/webkitsecurity/src/android/webkitsecurity/cts/WebkitInlineMarqueeCrashTest.java</t>
  </si>
  <si>
    <t>tests/tests/webkitsecurity/src/android/webkitsecurity/cts/WebkitInlineSplittingWithAfterFloatCrashTest.java</t>
  </si>
  <si>
    <t>tests/tests/webkitsecurity/src/android/webkitsecurity/cts/WebkitInlineToBlockCrashTest.java</t>
  </si>
  <si>
    <t>tests/tests/webkitsecurity/src/android/webkitsecurity/cts/WebkitInnerhtmlSelectionCrashTest.java</t>
  </si>
  <si>
    <t>tests/tests/webkitsecurity/src/android/webkitsecurity/cts/WebkitInputBoxTextFragmentCombineTextCrashTest.java</t>
  </si>
  <si>
    <t>tests/tests/webkitsecurity/src/android/webkitsecurity/cts/WebkitInputElementAttachCrashTest.java</t>
  </si>
  <si>
    <t>tests/tests/webkitsecurity/src/android/webkitsecurity/cts/WebkitInputElementPageCacheCrashTest.java</t>
  </si>
  <si>
    <t>tests/tests/webkitsecurity/src/android/webkitsecurity/cts/WebkitInputNumberCrashTest.java</t>
  </si>
  <si>
    <t>tests/tests/webkitsecurity/src/android/webkitsecurity/cts/WebkitInputNumberSpinbuttonCrashTest.java</t>
  </si>
  <si>
    <t>tests/tests/webkitsecurity/src/android/webkitsecurity/cts/WebkitInputSearchTableColumnCrashTest.java</t>
  </si>
  <si>
    <t>tests/tests/webkitsecurity/src/android/webkitsecurity/cts/WebkitInsertImagesInPreXCrashTest.java</t>
  </si>
  <si>
    <t>tests/tests/webkitsecurity/src/android/webkitsecurity/cts/WebkitInsertTextCrashTest.java</t>
  </si>
  <si>
    <t>tests/tests/webkitsecurity/src/android/webkitsecurity/cts/WebkitInsertTextIntoEmptyFramesetCrashTest.java</t>
  </si>
  <si>
    <t>tests/tests/webkitsecurity/src/android/webkitsecurity/cts/WebkitInsertadjacenthtmlDocumentfragmentCrashTest.java</t>
  </si>
  <si>
    <t>tests/tests/webkitsecurity/src/android/webkitsecurity/cts/WebkitInserthtmlMutationCrashTest.java</t>
  </si>
  <si>
    <t>tests/tests/webkitsecurity/src/android/webkitsecurity/cts/WebkitInsertionPointLineNumberOnPasswordCrashesTest.java</t>
  </si>
  <si>
    <t>tests/tests/webkitsecurity/src/android/webkitsecurity/cts/WebkitInsertnodeEmptyFragmentCrashTest.java</t>
  </si>
  <si>
    <t>tests/tests/webkitsecurity/src/android/webkitsecurity/cts/WebkitInteractiveValidationCrashByStyleOverrideTest.java</t>
  </si>
  <si>
    <t>tests/tests/webkitsecurity/src/android/webkitsecurity/cts/WebkitInteractiveValidationSelectCrashTest.java</t>
  </si>
  <si>
    <t>tests/tests/webkitsecurity/src/android/webkitsecurity/cts/WebkitInvalidCharsetOnScriptCrashesLoaderTest.java</t>
  </si>
  <si>
    <t>tests/tests/webkitsecurity/src/android/webkitsecurity/cts/WebkitInvalidCursorPropertyCrashTest.java</t>
  </si>
  <si>
    <t>tests/tests/webkitsecurity/src/android/webkitsecurity/cts/WebkitInvalidFontFamilyInFontFaceCrashTest.java</t>
  </si>
  <si>
    <t>tests/tests/webkitsecurity/src/android/webkitsecurity/cts/WebkitInvalidMediaUrlCrashTest.java</t>
  </si>
  <si>
    <t>tests/tests/webkitsecurity/src/android/webkitsecurity/cts/WebkitInvalidSetFontCrashTest.java</t>
  </si>
  <si>
    <t>tests/tests/webkitsecurity/src/android/webkitsecurity/cts/WebkitJavascriptUrlAsFramesrcCrashTest.java</t>
  </si>
  <si>
    <t>tests/tests/webkitsecurity/src/android/webkitsecurity/cts/WebkitJavascriptUrlCrashFunctionIframeTest.java</t>
  </si>
  <si>
    <t>tests/tests/webkitsecurity/src/android/webkitsecurity/cts/WebkitJavascriptUrlCrashFunctionTest.java</t>
  </si>
  <si>
    <t>tests/tests/webkitsecurity/src/android/webkitsecurity/cts/WebkitJavascriptUrlIframeCrashTest.java</t>
  </si>
  <si>
    <t>tests/tests/webkitsecurity/src/android/webkitsecurity/cts/WebkitJqueryAnimationCrashTest.java</t>
  </si>
  <si>
    <t>tests/tests/webkitsecurity/src/android/webkitsecurity/cts/WebkitKeyboardeventMousedownCrashTest.java</t>
  </si>
  <si>
    <t>tests/tests/webkitsecurity/src/android/webkitsecurity/cts/WebkitKeyeventIframeRemovedCrashTest.java</t>
  </si>
  <si>
    <t>tests/tests/webkitsecurity/src/android/webkitsecurity/cts/WebkitKeyframesCrashTest.java</t>
  </si>
  <si>
    <t>tests/tests/webkitsecurity/src/android/webkitsecurity/cts/WebkitKhmerCrashTest.java</t>
  </si>
  <si>
    <t>tests/tests/webkitsecurity/src/android/webkitsecurity/cts/WebkitLargeListOfRulesCrashTest.java</t>
  </si>
  <si>
    <t>tests/tests/webkitsecurity/src/android/webkitsecurity/cts/WebkitLargeRowspanCrashTest.java</t>
  </si>
  <si>
    <t>tests/tests/webkitsecurity/src/android/webkitsecurity/cts/WebkitLargeSizeImageCrashTest.java</t>
  </si>
  <si>
    <t>tests/tests/webkitsecurity/src/android/webkitsecurity/cts/WebkitLayerHitTestCrashTest.java</t>
  </si>
  <si>
    <t>tests/tests/webkitsecurity/src/android/webkitsecurity/cts/WebkitLayerzordercrashTest.java</t>
  </si>
  <si>
    <t>tests/tests/webkitsecurity/src/android/webkitsecurity/cts/WebkitLayouthorizontalboxCrashTest.java</t>
  </si>
  <si>
    <t>tests/tests/webkitsecurity/src/android/webkitsecurity/cts/WebkitLiStyleAlphaHugeValueCrashTest.java</t>
  </si>
  <si>
    <t>tests/tests/webkitsecurity/src/android/webkitsecurity/cts/WebkitLineClampCrashTest.java</t>
  </si>
  <si>
    <t>tests/tests/webkitsecurity/src/android/webkitsecurity/cts/WebkitListItemPseudoNocrashTest.java</t>
  </si>
  <si>
    <t>tests/tests/webkitsecurity/src/android/webkitsecurity/cts/WebkitListStyleNoneCrashTest.java</t>
  </si>
  <si>
    <t>tests/tests/webkitsecurity/src/android/webkitsecurity/cts/WebkitListWrappingImageCrashTest.java</t>
  </si>
  <si>
    <t>tests/tests/webkitsecurity/src/android/webkitsecurity/cts/WebkitLoadDeferResumeCrashTest.java</t>
  </si>
  <si>
    <t>tests/tests/webkitsecurity/src/android/webkitsecurity/cts/WebkitLocationNewWindowNoCrashTest.java</t>
  </si>
  <si>
    <t>tests/tests/webkitsecurity/src/android/webkitsecurity/cts/WebkitMainresourceNullMimetypeCrashTest.java</t>
  </si>
  <si>
    <t>tests/tests/webkitsecurity/src/android/webkitsecurity/cts/WebkitMarqueeAnonymousNodeCrashTest.java</t>
  </si>
  <si>
    <t>tests/tests/webkitsecurity/src/android/webkitsecurity/cts/WebkitMaskCrashFieldsetLegendTest.java</t>
  </si>
  <si>
    <t>tests/tests/webkitsecurity/src/android/webkitsecurity/cts/WebkitMaskCrashFigureTest.java</t>
  </si>
  <si>
    <t>tests/tests/webkitsecurity/src/android/webkitsecurity/cts/WebkitMaskCrashTableTest.java</t>
  </si>
  <si>
    <t>tests/tests/webkitsecurity/src/android/webkitsecurity/cts/WebkitMaskCrashTdTest.java</t>
  </si>
  <si>
    <t>tests/tests/webkitsecurity/src/android/webkitsecurity/cts/WebkitMaskCrashTdTwoTest.java</t>
  </si>
  <si>
    <t>tests/tests/webkitsecurity/src/android/webkitsecurity/cts/WebkitMaskMissingImageCrashTest.java</t>
  </si>
  <si>
    <t>tests/tests/webkitsecurity/src/android/webkitsecurity/cts/WebkitMathOptionsCrashTest.java</t>
  </si>
  <si>
    <t>tests/tests/webkitsecurity/src/android/webkitsecurity/cts/WebkitMatrixAsFunctionCrashTest.java</t>
  </si>
  <si>
    <t>tests/tests/webkitsecurity/src/android/webkitsecurity/cts/WebkitMediaControlsCloneCrashTest.java</t>
  </si>
  <si>
    <t>tests/tests/webkitsecurity/src/android/webkitsecurity/cts/WebkitMediaQueryEvaluatorCrashTest.java</t>
  </si>
  <si>
    <t>tests/tests/webkitsecurity/src/android/webkitsecurity/cts/WebkitMediaSvgCrashTest.java</t>
  </si>
  <si>
    <t>tests/tests/webkitsecurity/src/android/webkitsecurity/cts/WebkitMenulistPopupCrashTest.java</t>
  </si>
  <si>
    <t>tests/tests/webkitsecurity/src/android/webkitsecurity/cts/WebkitMergeAnonymousBlockRemoveChildCrashTest.java</t>
  </si>
  <si>
    <t>tests/tests/webkitsecurity/src/android/webkitsecurity/cts/WebkitMergeAnonymousBlockRemoveChildCrashtwoTest.java</t>
  </si>
  <si>
    <t>tests/tests/webkitsecurity/src/android/webkitsecurity/cts/WebkitMeterElementCrashTest.java</t>
  </si>
  <si>
    <t>tests/tests/webkitsecurity/src/android/webkitsecurity/cts/WebkitMeterElementWithChildCrashTest.java</t>
  </si>
  <si>
    <t>tests/tests/webkitsecurity/src/android/webkitsecurity/cts/WebkitModCrashTest.java</t>
  </si>
  <si>
    <t>tests/tests/webkitsecurity/src/android/webkitsecurity/cts/WebkitMouseMovedRemoveFrameCrashTest.java</t>
  </si>
  <si>
    <t>tests/tests/webkitsecurity/src/android/webkitsecurity/cts/WebkitMoveByWordVisuallyCrashTestFourTest.java</t>
  </si>
  <si>
    <t>tests/tests/webkitsecurity/src/android/webkitsecurity/cts/WebkitMoveByWordVisuallyCrashTestOneTest.java</t>
  </si>
  <si>
    <t>tests/tests/webkitsecurity/src/android/webkitsecurity/cts/WebkitMoveByWordVisuallyCrashTestTextareaTest.java</t>
  </si>
  <si>
    <t>tests/tests/webkitsecurity/src/android/webkitsecurity/cts/WebkitMoveByWordVisuallyCrashTestThreeTest.java</t>
  </si>
  <si>
    <t>tests/tests/webkitsecurity/src/android/webkitsecurity/cts/WebkitMoveByWordVisuallyCrashTestTwoTest.java</t>
  </si>
  <si>
    <t>tests/tests/webkitsecurity/src/android/webkitsecurity/cts/WebkitMsubAnonymousChildRenderCrashTest.java</t>
  </si>
  <si>
    <t>tests/tests/webkitsecurity/src/android/webkitsecurity/cts/WebkitMultilineAndObjectInsideIsolateCrashTest.java</t>
  </si>
  <si>
    <t>tests/tests/webkitsecurity/src/android/webkitsecurity/cts/WebkitMultipleCaptionsCrashfiveExpectedTest.java</t>
  </si>
  <si>
    <t>tests/tests/webkitsecurity/src/android/webkitsecurity/cts/WebkitMultipleCaptionsCrashfiveTest.java</t>
  </si>
  <si>
    <t>tests/tests/webkitsecurity/src/android/webkitsecurity/cts/WebkitMultipleCaptionsCrashfourExpectedTest.java</t>
  </si>
  <si>
    <t>tests/tests/webkitsecurity/src/android/webkitsecurity/cts/WebkitMultipleCaptionsCrashfourTest.java</t>
  </si>
  <si>
    <t>tests/tests/webkitsecurity/src/android/webkitsecurity/cts/WebkitMultipleCaptionsCrashthreeExpectedTest.java</t>
  </si>
  <si>
    <t>tests/tests/webkitsecurity/src/android/webkitsecurity/cts/WebkitMultipleCaptionsCrashthreeTest.java</t>
  </si>
  <si>
    <t>tests/tests/webkitsecurity/src/android/webkitsecurity/cts/WebkitMultipleCursorsCrashTest.java</t>
  </si>
  <si>
    <t>tests/tests/webkitsecurity/src/android/webkitsecurity/cts/WebkitMutationCallbackNonElementCrashTest.java</t>
  </si>
  <si>
    <t>tests/tests/webkitsecurity/src/android/webkitsecurity/cts/WebkitNamednodemapSetnameditemCrashTest.java</t>
  </si>
  <si>
    <t>tests/tests/webkitsecurity/src/android/webkitsecurity/cts/WebkitNavigationRedirectScheduleCrashTest.java</t>
  </si>
  <si>
    <t>tests/tests/webkitsecurity/src/android/webkitsecurity/cts/WebkitNavigatorCookieenabledNoCrashTest.java</t>
  </si>
  <si>
    <t>tests/tests/webkitsecurity/src/android/webkitsecurity/cts/WebkitNavigatorDetachedNoCrashTest.java</t>
  </si>
  <si>
    <t>tests/tests/webkitsecurity/src/android/webkitsecurity/cts/WebkitNavigatorPluginsCrashTest.java</t>
  </si>
  <si>
    <t>tests/tests/webkitsecurity/src/android/webkitsecurity/cts/WebkitNegativeRemainingLengthCrashTest.java</t>
  </si>
  <si>
    <t>tests/tests/webkitsecurity/src/android/webkitsecurity/cts/WebkitNestedBidiIsolateCrashTest.java</t>
  </si>
  <si>
    <t>tests/tests/webkitsecurity/src/android/webkitsecurity/cts/WebkitNestedEventRemoveNodeCrashTest.java</t>
  </si>
  <si>
    <t>tests/tests/webkitsecurity/src/android/webkitsecurity/cts/WebkitNestedFirstLetterWithFloatCrashTest.java</t>
  </si>
  <si>
    <t>tests/tests/webkitsecurity/src/android/webkitsecurity/cts/WebkitNestedFragmentParserCrashTest.java</t>
  </si>
  <si>
    <t>tests/tests/webkitsecurity/src/android/webkitsecurity/cts/WebkitNestedLayoutCrashTest.java</t>
  </si>
  <si>
    <t>tests/tests/webkitsecurity/src/android/webkitsecurity/cts/WebkitNestedTablesWithBeforeAfterContentCrashTest.java</t>
  </si>
  <si>
    <t>tests/tests/webkitsecurity/src/android/webkitsecurity/cts/WebkitNoOverhangingFloatCrashTest.java</t>
  </si>
  <si>
    <t>tests/tests/webkitsecurity/src/android/webkitsecurity/cts/WebkitNodeFilterDetachedIframeCrashTest.java</t>
  </si>
  <si>
    <t>tests/tests/webkitsecurity/src/android/webkitsecurity/cts/WebkitNodeIteratorDocumentMovedCrashTest.java</t>
  </si>
  <si>
    <t>tests/tests/webkitsecurity/src/android/webkitsecurity/cts/WebkitNodeIteratorReferenceNodeMovedCrashTest.java</t>
  </si>
  <si>
    <t>tests/tests/webkitsecurity/src/android/webkitsecurity/cts/WebkitNodeMoveToNewDocumentCrashMainTest.java</t>
  </si>
  <si>
    <t>tests/tests/webkitsecurity/src/android/webkitsecurity/cts/WebkitNonExistentEventsourceStatusErrorIframeCrashTest.java</t>
  </si>
  <si>
    <t>tests/tests/webkitsecurity/src/android/webkitsecurity/cts/WebkitNonNativeImageCrashTest.java</t>
  </si>
  <si>
    <t>tests/tests/webkitsecurity/src/android/webkitsecurity/cts/WebkitNonStyledElementIdCrashTest.java</t>
  </si>
  <si>
    <t>tests/tests/webkitsecurity/src/android/webkitsecurity/cts/WebkitNormalizeCrashTest.java</t>
  </si>
  <si>
    <t>tests/tests/webkitsecurity/src/android/webkitsecurity/cts/WebkitNotificationsDocumentCloseCrashTest.java</t>
  </si>
  <si>
    <t>tests/tests/webkitsecurity/src/android/webkitsecurity/cts/WebkitNotificationsWindowCloseCrashTest.java</t>
  </si>
  <si>
    <t>tests/tests/webkitsecurity/src/android/webkitsecurity/cts/WebkitNullChardataCrashTest.java</t>
  </si>
  <si>
    <t>tests/tests/webkitsecurity/src/android/webkitsecurity/cts/WebkitNullDocumentLocationAssignCrashTest.java</t>
  </si>
  <si>
    <t>tests/tests/webkitsecurity/src/android/webkitsecurity/cts/WebkitNullDocumentLocationHrefPutCrashTest.java</t>
  </si>
  <si>
    <t>tests/tests/webkitsecurity/src/android/webkitsecurity/cts/WebkitNullDocumentLocationPutCrashTest.java</t>
  </si>
  <si>
    <t>tests/tests/webkitsecurity/src/android/webkitsecurity/cts/WebkitNullDocumentLocationReplaceCrashTest.java</t>
  </si>
  <si>
    <t>tests/tests/webkitsecurity/src/android/webkitsecurity/cts/WebkitNullDocumentWindowOpenCrashTest.java</t>
  </si>
  <si>
    <t>tests/tests/webkitsecurity/src/android/webkitsecurity/cts/WebkitNullPageShowModalDialogCrashTest.java</t>
  </si>
  <si>
    <t>tests/tests/webkitsecurity/src/android/webkitsecurity/cts/WebkitNumberParsingCrashTest.java</t>
  </si>
  <si>
    <t>tests/tests/webkitsecurity/src/android/webkitsecurity/cts/WebkitNumberParsingCrashTwoTest.java</t>
  </si>
  <si>
    <t>tests/tests/webkitsecurity/src/android/webkitsecurity/cts/WebkitOneLetterTransformCrashTest.java</t>
  </si>
  <si>
    <t>tests/tests/webkitsecurity/src/android/webkitsecurity/cts/WebkitOnloadRemoveIframeCrashTest.java</t>
  </si>
  <si>
    <t>tests/tests/webkitsecurity/src/android/webkitsecurity/cts/WebkitOnloadRemoveIframeCrashTwoTest.java</t>
  </si>
  <si>
    <t>tests/tests/webkitsecurity/src/android/webkitsecurity/cts/WebkitOnloadframecrashTest.java</t>
  </si>
  <si>
    <t>tests/tests/webkitsecurity/src/android/webkitsecurity/cts/WebkitOnunloadFormSubmitCrashTest.java</t>
  </si>
  <si>
    <t>tests/tests/webkitsecurity/src/android/webkitsecurity/cts/WebkitOnunloadFormSubmitCrashTwoTest.java</t>
  </si>
  <si>
    <t>tests/tests/webkitsecurity/src/android/webkitsecurity/cts/WebkitOrphanedSelectionCrashBugthreetwoeighttwothreeFourTest.java</t>
  </si>
  <si>
    <t>tests/tests/webkitsecurity/src/android/webkitsecurity/cts/WebkitOrphanedSelectionCrashBugthreetwoeighttwothreeOneTest.java</t>
  </si>
  <si>
    <t>tests/tests/webkitsecurity/src/android/webkitsecurity/cts/WebkitOrphanedSelectionCrashBugthreetwoeighttwothreeThreeTest.java</t>
  </si>
  <si>
    <t>tests/tests/webkitsecurity/src/android/webkitsecurity/cts/WebkitOrphanedSelectionCrashBugthreetwoeighttwothreeTwoTest.java</t>
  </si>
  <si>
    <t>tests/tests/webkitsecurity/src/android/webkitsecurity/cts/WebkitOrphanedUnitsCrashTest.java</t>
  </si>
  <si>
    <t>tests/tests/webkitsecurity/src/android/webkitsecurity/cts/WebkitOverflowCustomScrollbarCrashTest.java</t>
  </si>
  <si>
    <t>tests/tests/webkitsecurity/src/android/webkitsecurity/cts/WebkitOverflowHeightFloatNotRemovedCrashTest.java</t>
  </si>
  <si>
    <t>tests/tests/webkitsecurity/src/android/webkitsecurity/cts/WebkitOverflowHeightFloatNotRemovedCrashthreeTest.java</t>
  </si>
  <si>
    <t>tests/tests/webkitsecurity/src/android/webkitsecurity/cts/WebkitOverflowHeightFloatNotRemovedCrashtwoTest.java</t>
  </si>
  <si>
    <t>tests/tests/webkitsecurity/src/android/webkitsecurity/cts/WebkitOverhangingFloatLegendCrashTest.java</t>
  </si>
  <si>
    <t>tests/tests/webkitsecurity/src/android/webkitsecurity/cts/WebkitOverhangingFloatsNotRemovedCrashTest.java</t>
  </si>
  <si>
    <t>tests/tests/webkitsecurity/src/android/webkitsecurity/cts/WebkitOverrideTransitionCrashTest.java</t>
  </si>
  <si>
    <t>tests/tests/webkitsecurity/src/android/webkitsecurity/cts/WebkitPageCacheCrashOnDataUrlsTest.java</t>
  </si>
  <si>
    <t>tests/tests/webkitsecurity/src/android/webkitsecurity/cts/WebkitPaginatedLayerCrashTest.java</t>
  </si>
  <si>
    <t>tests/tests/webkitsecurity/src/android/webkitsecurity/cts/WebkitParentBoxNotBoxCrashTest.java</t>
  </si>
  <si>
    <t>tests/tests/webkitsecurity/src/android/webkitsecurity/cts/WebkitParentViewLayoutCrashTest.java</t>
  </si>
  <si>
    <t>tests/tests/webkitsecurity/src/android/webkitsecurity/cts/WebkitParseColorIntOrPercentCrashTest.java</t>
  </si>
  <si>
    <t>tests/tests/webkitsecurity/src/android/webkitsecurity/cts/WebkitParseTimingFunctionCrashTest.java</t>
  </si>
  <si>
    <t>tests/tests/webkitsecurity/src/android/webkitsecurity/cts/WebkitPathGetpresentationattributeCrashTest.java</t>
  </si>
  <si>
    <t>tests/tests/webkitsecurity/src/android/webkitsecurity/cts/WebkitPauseCrashTest.java</t>
  </si>
  <si>
    <t>tests/tests/webkitsecurity/src/android/webkitsecurity/cts/WebkitPendingImagesCrashTest.java</t>
  </si>
  <si>
    <t>tests/tests/webkitsecurity/src/android/webkitsecurity/cts/WebkitPendingReflectionMaskCrashTest.java</t>
  </si>
  <si>
    <t>tests/tests/webkitsecurity/src/android/webkitsecurity/cts/WebkitPercentHeightDescendantNotRemovedCrashTest.java</t>
  </si>
  <si>
    <t>tests/tests/webkitsecurity/src/android/webkitsecurity/cts/WebkitPlaceholderCrashWithScrollbarCornerTest.java</t>
  </si>
  <si>
    <t>tests/tests/webkitsecurity/src/android/webkitsecurity/cts/WebkitPngExtraRowCrashTest.java</t>
  </si>
  <si>
    <t>tests/tests/webkitsecurity/src/android/webkitsecurity/cts/WebkitPolylinePointsCrashTest.java</t>
  </si>
  <si>
    <t>tests/tests/webkitsecurity/src/android/webkitsecurity/cts/WebkitPositionAbsoluteToFixedCrashTest.java</t>
  </si>
  <si>
    <t>tests/tests/webkitsecurity/src/android/webkitsecurity/cts/WebkitPositionedBackgroundHitTestCrashTest.java</t>
  </si>
  <si>
    <t>tests/tests/webkitsecurity/src/android/webkitsecurity/cts/WebkitPositionedChildNotRemovedCrashTest.java</t>
  </si>
  <si>
    <t>tests/tests/webkitsecurity/src/android/webkitsecurity/cts/WebkitPositionedCountCrashTest.java</t>
  </si>
  <si>
    <t>tests/tests/webkitsecurity/src/android/webkitsecurity/cts/WebkitPositionedDivWithFloatingAfterContentCrashFrameoneTest.java</t>
  </si>
  <si>
    <t>tests/tests/webkitsecurity/src/android/webkitsecurity/cts/WebkitPositionedDivWithFloatingAfterContentCrashFrametwoTest.java</t>
  </si>
  <si>
    <t>tests/tests/webkitsecurity/src/android/webkitsecurity/cts/WebkitPositionedDivWithFloatingAfterContentCrashTest.java</t>
  </si>
  <si>
    <t>tests/tests/webkitsecurity/src/android/webkitsecurity/cts/WebkitPositionedGeneratedContentUnderRunInCrashTest.java</t>
  </si>
  <si>
    <t>tests/tests/webkitsecurity/src/android/webkitsecurity/cts/WebkitPositionedInRelativePositionInlineCrashTest.java</t>
  </si>
  <si>
    <t>tests/tests/webkitsecurity/src/android/webkitsecurity/cts/WebkitPrintCloseCrashTest.java</t>
  </si>
  <si>
    <t>tests/tests/webkitsecurity/src/android/webkitsecurity/cts/WebkitProcessEndTagForInbodyCrashTest.java</t>
  </si>
  <si>
    <t>tests/tests/webkitsecurity/src/android/webkitsecurity/cts/WebkitProgressElementWithChildCrashTest.java</t>
  </si>
  <si>
    <t>tests/tests/webkitsecurity/src/android/webkitsecurity/cts/WebkitProgressElementWithStyleCrashTest.java</t>
  </si>
  <si>
    <t>tests/tests/webkitsecurity/src/android/webkitsecurity/cts/WebkitRangeDeleteContentsEventFireCrashTest.java</t>
  </si>
  <si>
    <t>tests/tests/webkitsecurity/src/android/webkitsecurity/cts/WebkitRangeExtractContentsEventFireCrashTest.java</t>
  </si>
  <si>
    <t>tests/tests/webkitsecurity/src/android/webkitsecurity/cts/WebkitRangeExtractContentsEventFireCrashtwoTest.java</t>
  </si>
  <si>
    <t>tests/tests/webkitsecurity/src/android/webkitsecurity/cts/WebkitRangeInsertnodeCrashTest.java</t>
  </si>
  <si>
    <t>tests/tests/webkitsecurity/src/android/webkitsecurity/cts/WebkitRangeSelectionAcrossDocumentsCrashTest.java</t>
  </si>
  <si>
    <t>tests/tests/webkitsecurity/src/android/webkitsecurity/cts/WebkitReEnterAndCrashTest.java</t>
  </si>
  <si>
    <t>tests/tests/webkitsecurity/src/android/webkitsecurity/cts/WebkitRecalcSectionFirstBodyCrashMainTest.java</t>
  </si>
  <si>
    <t>tests/tests/webkitsecurity/src/android/webkitsecurity/cts/WebkitRecalcSectionFirstBodyCrashTest.java</t>
  </si>
  <si>
    <t>tests/tests/webkitsecurity/src/android/webkitsecurity/cts/WebkitRecursiveBeforeUnloadCrashTest.java</t>
  </si>
  <si>
    <t>tests/tests/webkitsecurity/src/android/webkitsecurity/cts/WebkitRedirectWithNoLocationCrashTest.java</t>
  </si>
  <si>
    <t>tests/tests/webkitsecurity/src/android/webkitsecurity/cts/WebkitReflectedImgCrashTest.java</t>
  </si>
  <si>
    <t>tests/tests/webkitsecurity/src/android/webkitsecurity/cts/WebkitRegexpCharclassCrashTest.java</t>
  </si>
  <si>
    <t>tests/tests/webkitsecurity/src/android/webkitsecurity/cts/WebkitRegexpCompileCrashTest.java</t>
  </si>
  <si>
    <t>tests/tests/webkitsecurity/src/android/webkitsecurity/cts/WebkitRegexpExtendedCharactersCrashTest.java</t>
  </si>
  <si>
    <t>tests/tests/webkitsecurity/src/android/webkitsecurity/cts/WebkitRegionRangeForBoxCrashTest.java</t>
  </si>
  <si>
    <t>tests/tests/webkitsecurity/src/android/webkitsecurity/cts/WebkitRelativePositionReplacedInTableDisplayCrashTest.java</t>
  </si>
  <si>
    <t>tests/tests/webkitsecurity/src/android/webkitsecurity/cts/WebkitRelativePositionedRtlCrashTest.java</t>
  </si>
  <si>
    <t>tests/tests/webkitsecurity/src/android/webkitsecurity/cts/WebkitRelayoutNestedPositionedElementsCrashTest.java</t>
  </si>
  <si>
    <t>tests/tests/webkitsecurity/src/android/webkitsecurity/cts/WebkitReloadCrashIframeTest.java</t>
  </si>
  <si>
    <t>tests/tests/webkitsecurity/src/android/webkitsecurity/cts/WebkitReloadCrashTest.java</t>
  </si>
  <si>
    <t>tests/tests/webkitsecurity/src/android/webkitsecurity/cts/WebkitRemovalBeforeAttachCrashTest.java</t>
  </si>
  <si>
    <t>tests/tests/webkitsecurity/src/android/webkitsecurity/cts/WebkitRemovalOfMulticolSpanCrashTest.java</t>
  </si>
  <si>
    <t>tests/tests/webkitsecurity/src/android/webkitsecurity/cts/WebkitRemoveAllChildrenCrashTest.java</t>
  </si>
  <si>
    <t>tests/tests/webkitsecurity/src/android/webkitsecurity/cts/WebkitRemoveDivFromFlexibleBoxWithFloatingAfterContentCrashTest.java</t>
  </si>
  <si>
    <t>tests/tests/webkitsecurity/src/android/webkitsecurity/cts/WebkitRemoveElementFromWithinFocusHandlerCrashTest.java</t>
  </si>
  <si>
    <t>tests/tests/webkitsecurity/src/android/webkitsecurity/cts/WebkitRemoveFormatNonHtmlElementCrashTest.java</t>
  </si>
  <si>
    <t>tests/tests/webkitsecurity/src/android/webkitsecurity/cts/WebkitRemoveFrameWithScrollbarsCrashTest.java</t>
  </si>
  <si>
    <t>tests/tests/webkitsecurity/src/android/webkitsecurity/cts/WebkitRemoveIframeCrashTest.java</t>
  </si>
  <si>
    <t>tests/tests/webkitsecurity/src/android/webkitsecurity/cts/WebkitRemoveListmarkerFromAnonblockWithContinuationCrashTest.java</t>
  </si>
  <si>
    <t>tests/tests/webkitsecurity/src/android/webkitsecurity/cts/WebkitRemoveNamedAttributeCrashTest.java</t>
  </si>
  <si>
    <t>tests/tests/webkitsecurity/src/android/webkitsecurity/cts/WebkitRemoveReflectionCrashTest.java</t>
  </si>
  <si>
    <t>tests/tests/webkitsecurity/src/android/webkitsecurity/cts/WebkitRemoveRemoteContextInErrorCallbackCrashInnerTest.java</t>
  </si>
  <si>
    <t>tests/tests/webkitsecurity/src/android/webkitsecurity/cts/WebkitRemoveRemoteContextInErrorCallbackCrashTest.java</t>
  </si>
  <si>
    <t>tests/tests/webkitsecurity/src/android/webkitsecurity/cts/WebkitRemoveShadowHostCrashTest.java</t>
  </si>
  <si>
    <t>tests/tests/webkitsecurity/src/android/webkitsecurity/cts/WebkitRemoveTimeoutCrashTest.java</t>
  </si>
  <si>
    <t>tests/tests/webkitsecurity/src/android/webkitsecurity/cts/WebkitRemovedAnonymousBlockChildCausesCrashTest.java</t>
  </si>
  <si>
    <t>tests/tests/webkitsecurity/src/android/webkitsecurity/cts/WebkitRemovedContinuationElementCausesCrashTest.java</t>
  </si>
  <si>
    <t>tests/tests/webkitsecurity/src/android/webkitsecurity/cts/WebkitRemovedMediaRuleDeletedParentCrashTest.java</t>
  </si>
  <si>
    <t>tests/tests/webkitsecurity/src/android/webkitsecurity/cts/WebkitRemovedStylesheetRuleDeletedParentCrashTest.java</t>
  </si>
  <si>
    <t>tests/tests/webkitsecurity/src/android/webkitsecurity/cts/WebkitRemovingInsideRelpositionedInlineCrashTest.java</t>
  </si>
  <si>
    <t>tests/tests/webkitsecurity/src/android/webkitsecurity/cts/WebkitRemovingTextareaAfterEditCrashTest.java</t>
  </si>
  <si>
    <t>tests/tests/webkitsecurity/src/android/webkitsecurity/cts/WebkitRenderTextCrashTest.java</t>
  </si>
  <si>
    <t>tests/tests/webkitsecurity/src/android/webkitsecurity/cts/WebkitRenderTreeReorgCrashTest.java</t>
  </si>
  <si>
    <t>tests/tests/webkitsecurity/src/android/webkitsecurity/cts/WebkitRendererDestructionByInvalidateselectionCrashTest.java</t>
  </si>
  <si>
    <t>tests/tests/webkitsecurity/src/android/webkitsecurity/cts/WebkitRendererPositionedAssertCrashTest.java</t>
  </si>
  <si>
    <t>tests/tests/webkitsecurity/src/android/webkitsecurity/cts/WebkitRepaintDisplayNoneCrashTest.java</t>
  </si>
  <si>
    <t>tests/tests/webkitsecurity/src/android/webkitsecurity/cts/WebkitReparentTableChildrenWithCountersCrashTest.java</t>
  </si>
  <si>
    <t>tests/tests/webkitsecurity/src/android/webkitsecurity/cts/WebkitReplaceSelectionCrashTest.java</t>
  </si>
  <si>
    <t>tests/tests/webkitsecurity/src/android/webkitsecurity/cts/WebkitReplaceTextInNodePreservingMarkersCrashTest.java</t>
  </si>
  <si>
    <t>tests/tests/webkitsecurity/src/android/webkitsecurity/cts/WebkitReplacementFragmentRemoveUnrenderedNodeCrashTest.java</t>
  </si>
  <si>
    <t>tests/tests/webkitsecurity/src/android/webkitsecurity/cts/WebkitResizeLayerDeletionCrashTest.java</t>
  </si>
  <si>
    <t>tests/tests/webkitsecurity/src/android/webkitsecurity/cts/WebkitRootInlineboxSelectedChildrenCrashTest.java</t>
  </si>
  <si>
    <t>tests/tests/webkitsecurity/src/android/webkitsecurity/cts/WebkitRootObjectPrematureDeleteCrashTest.java</t>
  </si>
  <si>
    <t>tests/tests/webkitsecurity/src/android/webkitsecurity/cts/WebkitRowInTbodyBeforeMisnestedTextCrashCssTest.java</t>
  </si>
  <si>
    <t>tests/tests/webkitsecurity/src/android/webkitsecurity/cts/WebkitRtlFirstLetterTextIteratorCrashTest.java</t>
  </si>
  <si>
    <t>tests/tests/webkitsecurity/src/android/webkitsecurity/cts/WebkitRtlNthChildFirstLetterCrashTest.java</t>
  </si>
  <si>
    <t>tests/tests/webkitsecurity/src/android/webkitsecurity/cts/WebkitRtlSelectionCrashTest.java</t>
  </si>
  <si>
    <t>tests/tests/webkitsecurity/src/android/webkitsecurity/cts/WebkitRubyBaseMergeBlockChildrenCrashTest.java</t>
  </si>
  <si>
    <t>tests/tests/webkitsecurity/src/android/webkitsecurity/cts/WebkitRubyOverhangCrashTest.java</t>
  </si>
  <si>
    <t>tests/tests/webkitsecurity/src/android/webkitsecurity/cts/WebkitRunInCrashTest.java</t>
  </si>
  <si>
    <t>tests/tests/webkitsecurity/src/android/webkitsecurity/cts/WebkitRuninContinuationCrashTest.java</t>
  </si>
  <si>
    <t>tests/tests/webkitsecurity/src/android/webkitsecurity/cts/WebkitRuninReparentCrashTest.java</t>
  </si>
  <si>
    <t>tests/tests/webkitsecurity/src/android/webkitsecurity/cts/WebkitSandboxedPluginCrashTest.java</t>
  </si>
  <si>
    <t>tests/tests/webkitsecurity/src/android/webkitsecurity/cts/WebkitSavedStateAdoptnodeCrashTest.java</t>
  </si>
  <si>
    <t>tests/tests/webkitsecurity/src/android/webkitsecurity/cts/WebkitScriptElementWithoutFrameCrashTest.java</t>
  </si>
  <si>
    <t>tests/tests/webkitsecurity/src/android/webkitsecurity/cts/WebkitScrollableIframeRemoveCrashTest.java</t>
  </si>
  <si>
    <t>tests/tests/webkitsecurity/src/android/webkitsecurity/cts/WebkitScrollbarCrashOnRefreshTest.java</t>
  </si>
  <si>
    <t>tests/tests/webkitsecurity/src/android/webkitsecurity/cts/WebkitScrollbarGradientCrashTest.java</t>
  </si>
  <si>
    <t>tests/tests/webkitsecurity/src/android/webkitsecurity/cts/WebkitScrollbarPartCreatedWithNoParentCrashTest.java</t>
  </si>
  <si>
    <t>tests/tests/webkitsecurity/src/android/webkitsecurity/cts/WebkitSearchFieldCrashInDesignmodeTest.java</t>
  </si>
  <si>
    <t>tests/tests/webkitsecurity/src/android/webkitsecurity/cts/WebkitSearchPopupCrasherTest.java</t>
  </si>
  <si>
    <t>tests/tests/webkitsecurity/src/android/webkitsecurity/cts/WebkitSearchShadowHostCrashTest.java</t>
  </si>
  <si>
    <t>tests/tests/webkitsecurity/src/android/webkitsecurity/cts/WebkitSectionInTableBeforeMisnestedTextCrashCssTest.java</t>
  </si>
  <si>
    <t>tests/tests/webkitsecurity/src/android/webkitsecurity/cts/WebkitSelectCrashZerozerooneTest.java</t>
  </si>
  <si>
    <t>tests/tests/webkitsecurity/src/android/webkitsecurity/cts/WebkitSelectCrashZerozerotwoTest.java</t>
  </si>
  <si>
    <t>tests/tests/webkitsecurity/src/android/webkitsecurity/cts/WebkitSelectInRegionCrashTest.java</t>
  </si>
  <si>
    <t>tests/tests/webkitsecurity/src/android/webkitsecurity/cts/WebkitSelectOnchangeCrashTest.java</t>
  </si>
  <si>
    <t>tests/tests/webkitsecurity/src/android/webkitsecurity/cts/WebkitSelectOptionAccesskeyCrashTest.java</t>
  </si>
  <si>
    <t>tests/tests/webkitsecurity/src/android/webkitsecurity/cts/WebkitSelectStartRemoveRootCrashTest.java</t>
  </si>
  <si>
    <t>tests/tests/webkitsecurity/src/android/webkitsecurity/cts/WebkitSelectedTabCrashTest.java</t>
  </si>
  <si>
    <t>tests/tests/webkitsecurity/src/android/webkitsecurity/cts/WebkitSelectionGapClipOutTigerCrashTest.java</t>
  </si>
  <si>
    <t>tests/tests/webkitsecurity/src/android/webkitsecurity/cts/WebkitSelectionModifyCrashTest.java</t>
  </si>
  <si>
    <t>tests/tests/webkitsecurity/src/android/webkitsecurity/cts/WebkitSelectionPluginClearCrashTest.java</t>
  </si>
  <si>
    <t>tests/tests/webkitsecurity/src/android/webkitsecurity/cts/WebkitSetBoxStyleInRegionCrashTest.java</t>
  </si>
  <si>
    <t>tests/tests/webkitsecurity/src/android/webkitsecurity/cts/WebkitSetTypeToNullCrashTest.java</t>
  </si>
  <si>
    <t>tests/tests/webkitsecurity/src/android/webkitsecurity/cts/WebkitShorthandMismatchedListCrashTest.java</t>
  </si>
  <si>
    <t>tests/tests/webkitsecurity/src/android/webkitsecurity/cts/WebkitSliderCrashTest.java</t>
  </si>
  <si>
    <t>tests/tests/webkitsecurity/src/android/webkitsecurity/cts/WebkitSmallCapsCrashTest.java</t>
  </si>
  <si>
    <t>tests/tests/webkitsecurity/src/android/webkitsecurity/cts/WebkitSmilElementNotRemovedCrashTest.java</t>
  </si>
  <si>
    <t>tests/tests/webkitsecurity/src/android/webkitsecurity/cts/WebkitSortNoJitCodeCrashTest.java</t>
  </si>
  <si>
    <t>tests/tests/webkitsecurity/src/android/webkitsecurity/cts/WebkitSpellcheckApiCrashTest.java</t>
  </si>
  <si>
    <t>tests/tests/webkitsecurity/src/android/webkitsecurity/cts/WebkitSpellcheckInputSearchCrashTest.java</t>
  </si>
  <si>
    <t>tests/tests/webkitsecurity/src/android/webkitsecurity/cts/WebkitSplitFlowAnonymousWrapperCrashTest.java</t>
  </si>
  <si>
    <t>tests/tests/webkitsecurity/src/android/webkitsecurity/cts/WebkitSplitInlineWrongPostBlockCrashTest.java</t>
  </si>
  <si>
    <t>tests/tests/webkitsecurity/src/android/webkitsecurity/cts/WebkitStaleGridCrashTest.java</t>
  </si>
  <si>
    <t>tests/tests/webkitsecurity/src/android/webkitsecurity/cts/WebkitStaleStyleSelectorCrashOneTest.java</t>
  </si>
  <si>
    <t>tests/tests/webkitsecurity/src/android/webkitsecurity/cts/WebkitStaleStyleSelectorCrashTwoTest.java</t>
  </si>
  <si>
    <t>tests/tests/webkitsecurity/src/android/webkitsecurity/cts/WebkitStateApiOnDetachedFrameCrashTest.java</t>
  </si>
  <si>
    <t>tests/tests/webkitsecurity/src/android/webkitsecurity/cts/WebkitStatementListRegisterCrashTest.java</t>
  </si>
  <si>
    <t>tests/tests/webkitsecurity/src/android/webkitsecurity/cts/WebkitStopCrashTest.java</t>
  </si>
  <si>
    <t>tests/tests/webkitsecurity/src/android/webkitsecurity/cts/WebkitStringReplaceExceptionCrashTest.java</t>
  </si>
  <si>
    <t>tests/tests/webkitsecurity/src/android/webkitsecurity/cts/WebkitStyleAccessDuringImagechangedCrashTest.java</t>
  </si>
  <si>
    <t>tests/tests/webkitsecurity/src/android/webkitsecurity/cts/WebkitStyledCloneInlineStyleDeclParentCrashTest.java</t>
  </si>
  <si>
    <t>tests/tests/webkitsecurity/src/android/webkitsecurity/cts/WebkitStyledNotInDocumentCloneInlineStyleDeclParentCrashTest.java</t>
  </si>
  <si>
    <t>tests/tests/webkitsecurity/src/android/webkitsecurity/cts/WebkitStylesheetCandidateNodeCrashMainTest.java</t>
  </si>
  <si>
    <t>tests/tests/webkitsecurity/src/android/webkitsecurity/cts/WebkitSubframeLoadCrashMainTest.java</t>
  </si>
  <si>
    <t>tests/tests/webkitsecurity/src/android/webkitsecurity/cts/WebkitSubresourceLoadFailedCrashTest.java</t>
  </si>
  <si>
    <t>tests/tests/webkitsecurity/src/android/webkitsecurity/cts/WebkitSvgBackgroundCrashOnRefreshTest.java</t>
  </si>
  <si>
    <t>tests/tests/webkitsecurity/src/android/webkitsecurity/cts/WebkitSvgEllipseRenderCrashTest.java</t>
  </si>
  <si>
    <t>tests/tests/webkitsecurity/src/android/webkitsecurity/cts/WebkitSvgRtlTextCrashTest.java</t>
  </si>
  <si>
    <t>tests/tests/webkitsecurity/src/android/webkitsecurity/cts/WebkitSvglengthAnimationRetargetCrashTest.java</t>
  </si>
  <si>
    <t>tests/tests/webkitsecurity/src/android/webkitsecurity/cts/WebkitSvgpolygonelementBasevalListRemovalCrashTest.java</t>
  </si>
  <si>
    <t>tests/tests/webkitsecurity/src/android/webkitsecurity/cts/WebkitSvgstyledelementPendingresourceCrashTest.java</t>
  </si>
  <si>
    <t>tests/tests/webkitsecurity/src/android/webkitsecurity/cts/WebkitSwitchMultipleListItemsCrashTest.java</t>
  </si>
  <si>
    <t>tests/tests/webkitsecurity/src/android/webkitsecurity/cts/WebkitTabCrashWithImageMapTest.java</t>
  </si>
  <si>
    <t>tests/tests/webkitsecurity/src/android/webkitsecurity/cts/WebkitTableAnonymousBlockDestroyCrashTest.java</t>
  </si>
  <si>
    <t>tests/tests/webkitsecurity/src/android/webkitsecurity/cts/WebkitTableCaptionsChildVisibleCrashTest.java</t>
  </si>
  <si>
    <t>tests/tests/webkitsecurity/src/android/webkitsecurity/cts/WebkitTableColumnsBlocksCalcCrashTest.java</t>
  </si>
  <si>
    <t>tests/tests/webkitsecurity/src/android/webkitsecurity/cts/WebkitTableContinuationOutlinePaintCrashTest.java</t>
  </si>
  <si>
    <t>tests/tests/webkitsecurity/src/android/webkitsecurity/cts/WebkitTableModificationCrashTest.java</t>
  </si>
  <si>
    <t>tests/tests/webkitsecurity/src/android/webkitsecurity/cts/WebkitTableMultiColumnCrashTest.java</t>
  </si>
  <si>
    <t>tests/tests/webkitsecurity/src/android/webkitsecurity/cts/WebkitTableResidualStyleCrashTest.java</t>
  </si>
  <si>
    <t>tests/tests/webkitsecurity/src/android/webkitsecurity/cts/WebkitTableRowAfterNoCrashTest.java</t>
  </si>
  <si>
    <t>tests/tests/webkitsecurity/src/android/webkitsecurity/cts/WebkitTableRowCompositingRepaintCrashTest.java</t>
  </si>
  <si>
    <t>tests/tests/webkitsecurity/src/android/webkitsecurity/cts/WebkitTableSectionNodeAtPointCrashTest.java</t>
  </si>
  <si>
    <t>tests/tests/webkitsecurity/src/android/webkitsecurity/cts/WebkitTableWithEmptyTheadCausesCrashTest.java</t>
  </si>
  <si>
    <t>tests/tests/webkitsecurity/src/android/webkitsecurity/cts/WebkitTeardownCrashTest.java</t>
  </si>
  <si>
    <t>tests/tests/webkitsecurity/src/android/webkitsecurity/cts/WebkitTemporarySpanCrashTest.java</t>
  </si>
  <si>
    <t>tests/tests/webkitsecurity/src/android/webkitsecurity/cts/WebkitTextBeforeTableColCrashTest.java</t>
  </si>
  <si>
    <t>tests/tests/webkitsecurity/src/android/webkitsecurity/cts/WebkitTextContentCrashTest.java</t>
  </si>
  <si>
    <t>tests/tests/webkitsecurity/src/android/webkitsecurity/cts/WebkitTextContentCrashTwoTest.java</t>
  </si>
  <si>
    <t>tests/tests/webkitsecurity/src/android/webkitsecurity/cts/WebkitTextControlCrashOnSelectTest.java</t>
  </si>
  <si>
    <t>tests/tests/webkitsecurity/src/android/webkitsecurity/cts/WebkitTextControlSelectionCrashTest.java</t>
  </si>
  <si>
    <t>tests/tests/webkitsecurity/src/android/webkitsecurity/cts/WebkitTextFieldSetvalueCrashTest.java</t>
  </si>
  <si>
    <t>tests/tests/webkitsecurity/src/android/webkitsecurity/cts/WebkitTextNodeAppendDataRemoveCrashTest.java</t>
  </si>
  <si>
    <t>tests/tests/webkitsecurity/src/android/webkitsecurity/cts/WebkitTextSetValueCrashTest.java</t>
  </si>
  <si>
    <t>tests/tests/webkitsecurity/src/android/webkitsecurity/cts/WebkitTextStyleRecalcCrashTest.java</t>
  </si>
  <si>
    <t>tests/tests/webkitsecurity/src/android/webkitsecurity/cts/WebkitTextareaCheckvalidityCrashTest.java</t>
  </si>
  <si>
    <t>tests/tests/webkitsecurity/src/android/webkitsecurity/cts/WebkitTextareaNodeRemovedFromDocumentCrashTest.java</t>
  </si>
  <si>
    <t>tests/tests/webkitsecurity/src/android/webkitsecurity/cts/WebkitTextareaSubmitCrashTest.java</t>
  </si>
  <si>
    <t>tests/tests/webkitsecurity/src/android/webkitsecurity/cts/WebkitTextboxNotRemovedCrashTest.java</t>
  </si>
  <si>
    <t>tests/tests/webkitsecurity/src/android/webkitsecurity/cts/WebkitTextboxRoleOnContenteditableCrashTest.java</t>
  </si>
  <si>
    <t>tests/tests/webkitsecurity/src/android/webkitsecurity/cts/WebkitThumbsliderCrashTest.java</t>
  </si>
  <si>
    <t>tests/tests/webkitsecurity/src/android/webkitsecurity/cts/WebkitToggleReflectionCrashTest.java</t>
  </si>
  <si>
    <t>tests/tests/webkitsecurity/src/android/webkitsecurity/cts/WebkitTouchStaleNodeCrashTest.java</t>
  </si>
  <si>
    <t>tests/tests/webkitsecurity/src/android/webkitsecurity/cts/WebkitTrackTextTrackDestructorCrashTest.java</t>
  </si>
  <si>
    <t>tests/tests/webkitsecurity/src/android/webkitsecurity/cts/WebkitTransactionCallbackExceptionCrashTest.java</t>
  </si>
  <si>
    <t>tests/tests/webkitsecurity/src/android/webkitsecurity/cts/WebkitTransactionCrashOnAbortTest.java</t>
  </si>
  <si>
    <t>tests/tests/webkitsecurity/src/android/webkitsecurity/cts/WebkitTransformCrashTest.java</t>
  </si>
  <si>
    <t>tests/tests/webkitsecurity/src/android/webkitsecurity/cts/WebkitTransitionCacheDictionaryCrashTest.java</t>
  </si>
  <si>
    <t>tests/tests/webkitsecurity/src/android/webkitsecurity/cts/WebkitTransitionDurationClearedInTransitionendCrashTest.java</t>
  </si>
  <si>
    <t>tests/tests/webkitsecurity/src/android/webkitsecurity/cts/WebkitTreeScopeCrashTest.java</t>
  </si>
  <si>
    <t>tests/tests/webkitsecurity/src/android/webkitsecurity/cts/WebkitTrefCloneCrashTest.java</t>
  </si>
  <si>
    <t>tests/tests/webkitsecurity/src/android/webkitsecurity/cts/WebkitTryCatchCrashTest.java</t>
  </si>
  <si>
    <t>tests/tests/webkitsecurity/src/android/webkitsecurity/cts/WebkitTwodTest.java</t>
  </si>
  <si>
    <t>tests/tests/webkitsecurity/src/android/webkitsecurity/cts/WebkitTypeofCodegenCrashTest.java</t>
  </si>
  <si>
    <t>tests/tests/webkitsecurity/src/android/webkitsecurity/cts/WebkitUndefinedPropertyCrashTest.java</t>
  </si>
  <si>
    <t>tests/tests/webkitsecurity/src/android/webkitsecurity/cts/WebkitUndoCrashTest.java</t>
  </si>
  <si>
    <t>tests/tests/webkitsecurity/src/android/webkitsecurity/cts/WebkitUnexpectedConstantCrashTest.java</t>
  </si>
  <si>
    <t>tests/tests/webkitsecurity/src/android/webkitsecurity/cts/WebkitUniscribeItemBoundaryCrashTest.java</t>
  </si>
  <si>
    <t>tests/tests/webkitsecurity/src/android/webkitsecurity/cts/WebkitUnsupportedAttributeDoesNotCrashTest.java</t>
  </si>
  <si>
    <t>tests/tests/webkitsecurity/src/android/webkitsecurity/cts/WebkitUpdateAlwaysCreateLineBoxesFullLayoutCrashTest.java</t>
  </si>
  <si>
    <t>tests/tests/webkitsecurity/src/android/webkitsecurity/cts/WebkitUpdateFromElementDuringEditingCrashOneTest.java</t>
  </si>
  <si>
    <t>tests/tests/webkitsecurity/src/android/webkitsecurity/cts/WebkitUpdateFromElementDuringEditingCrashTwoTest.java</t>
  </si>
  <si>
    <t>tests/tests/webkitsecurity/src/android/webkitsecurity/cts/WebkitUpdateMidpointsForTrailingBoxesCrashTest.java</t>
  </si>
  <si>
    <t>tests/tests/webkitsecurity/src/android/webkitsecurity/cts/WebkitUpdateWidgetsCrashTest.java</t>
  </si>
  <si>
    <t>tests/tests/webkitsecurity/src/android/webkitsecurity/cts/WebkitUpdatingAttributeInTableCausesCrashTest.java</t>
  </si>
  <si>
    <t>tests/tests/webkitsecurity/src/android/webkitsecurity/cts/WebkitUpdatingAttributeInTableRowCrashTest.java</t>
  </si>
  <si>
    <t>tests/tests/webkitsecurity/src/android/webkitsecurity/cts/WebkitUseStyleRecalcScriptExecuteCrashTest.java</t>
  </si>
  <si>
    <t>tests/tests/webkitsecurity/src/android/webkitsecurity/cts/WebkitUserStylesheetCrashTest.java</t>
  </si>
  <si>
    <t>tests/tests/webkitsecurity/src/android/webkitsecurity/cts/WebkitValueListOutOfBoundsCrashTest.java</t>
  </si>
  <si>
    <t>tests/tests/webkitsecurity/src/android/webkitsecurity/cts/WebkitValueWithoutSelectionCrashTest.java</t>
  </si>
  <si>
    <t>tests/tests/webkitsecurity/src/android/webkitsecurity/cts/WebkitVarShadowsArgCrashTest.java</t>
  </si>
  <si>
    <t>tests/tests/webkitsecurity/src/android/webkitsecurity/cts/WebkitVarShadowsArgGcCrashTest.java</t>
  </si>
  <si>
    <t>tests/tests/webkitsecurity/src/android/webkitsecurity/cts/WebkitVideoDisplayNoneCrashTest.java</t>
  </si>
  <si>
    <t>tests/tests/webkitsecurity/src/android/webkitsecurity/cts/WebkitVideoElementOtherNamespaceCrashTest.java</t>
  </si>
  <si>
    <t>tests/tests/webkitsecurity/src/android/webkitsecurity/cts/WebkitVideoLayerCrashTest.java</t>
  </si>
  <si>
    <t>tests/tests/webkitsecurity/src/android/webkitsecurity/cts/WebkitVisiblePositionCrashForTextNodeTest.java</t>
  </si>
  <si>
    <t>tests/tests/webkitsecurity/src/android/webkitsecurity/cts/WebkitVkernElementCrashTest.java</t>
  </si>
  <si>
    <t>tests/tests/webkitsecurity/src/android/webkitsecurity/cts/WebkitWbrInMrootCrashTest.java</t>
  </si>
  <si>
    <t>tests/tests/webkitsecurity/src/android/webkitsecurity/cts/WebkitWbrInPreCrashTest.java</t>
  </si>
  <si>
    <t>tests/tests/webkitsecurity/src/android/webkitsecurity/cts/WebkitWindowCloseCrashTest.java</t>
  </si>
  <si>
    <t>tests/tests/webkitsecurity/src/android/webkitsecurity/cts/WebkitWindowClosedCrashTest.java</t>
  </si>
  <si>
    <t>tests/tests/webkitsecurity/src/android/webkitsecurity/cts/WebkitWindowCollectionLengthNoCrashTest.java</t>
  </si>
  <si>
    <t>tests/tests/webkitsecurity/src/android/webkitsecurity/cts/WebkitWindowCustomPrototypeCrashTest.java</t>
  </si>
  <si>
    <t>tests/tests/webkitsecurity/src/android/webkitsecurity/cts/WebkitWindowDomurlCrashTest.java</t>
  </si>
  <si>
    <t>tests/tests/webkitsecurity/src/android/webkitsecurity/cts/WebkitWindowEventOverrideNoCrashTest.java</t>
  </si>
  <si>
    <t>tests/tests/webkitsecurity/src/android/webkitsecurity/cts/WebkitWordBreakNextLineboxNotDirtyCrashMainTest.java</t>
  </si>
  <si>
    <t>tests/tests/webkitsecurity/src/android/webkitsecurity/cts/WebkitWordBreakNextLineboxNotDirtyCrashTest.java</t>
  </si>
  <si>
    <t>tests/tests/webkitsecurity/src/android/webkitsecurity/cts/WebkitWorkerCrashWithInvalidLocationTest.java</t>
  </si>
  <si>
    <t>tests/tests/webkitsecurity/src/android/webkitsecurity/cts/WebkitWorkerFinishCrashTest.java</t>
  </si>
  <si>
    <t>tests/tests/webkitsecurity/src/android/webkitsecurity/cts/WebkitXFrameOptionsDetachedDocumentCrashTest.java</t>
  </si>
  <si>
    <t>tests/tests/webkitsecurity/src/android/webkitsecurity/cts/WebkitXmlhttprequestPostCrashTest.java</t>
  </si>
  <si>
    <t>tests/tests/webkitsecurity/src/android/webkitsecurity/cts/WebkitXpathDetachedIframeResolverCrashTest.java</t>
  </si>
  <si>
    <t>tests/tests/webkitsecurity/src/android/webkitsecurity/cts/WebkitXpathResultEventlistenerCrashTest.java</t>
  </si>
  <si>
    <t>tests/tests/webkitsecurity/src/android/webkitsecurity/cts/WebkitXsltTransformToFragmentCrashTest.java</t>
  </si>
  <si>
    <t>tests/tests/webkitsecurity/src/android/webkitsecurity/cts/WebkitXssAuditorDoesntCrashOnPostSubmitTest.java</t>
  </si>
  <si>
    <t>tests/tests/webkitsecurity/src/android/webkitsecurity/cts/WebkitZeroColspanCrashTest.java</t>
  </si>
  <si>
    <t>tests/tests/media/src/android/media/cts/MediaPlayerFlakyNetworkTest.java</t>
  </si>
  <si>
    <t>tests/tests/media/src/android/media/cts/StreamingMediaPlayerTest.java</t>
  </si>
  <si>
    <t>hostsidetests/appsecurity/test-apps/WriteExternalStorageApp/src/com/android/cts/writeexternalstorageapp/WriteExternalStorageTest.java</t>
  </si>
  <si>
    <t>tests/tests/renderscript/src/android/renderscript/cts/ForEachBoundsTest.java</t>
  </si>
  <si>
    <t>hostsidetests/appsecurity/test-apps/MultiUserStorageApp/src/com/android/cts/multiuserstorageapp/MultiUserStorageTest.java</t>
  </si>
  <si>
    <t>tests/tests/renderscript/src/android/renderscript/cts/ImageProcessingTest.java</t>
  </si>
  <si>
    <t>tests/tests/view/src/android/view/cts/DisplayTest.java</t>
  </si>
  <si>
    <t>tests/tests/location2/src/android/location2/cts/LocationManagerTest.java</t>
  </si>
  <si>
    <t>suite/pts/deviceTests/dram/src/com/android/pts/dram/BandwidthTest.java</t>
  </si>
  <si>
    <t>tests/tests/permission2/src/android/permission2/cts/ProtectedBroadcastsTest.java</t>
  </si>
  <si>
    <t>tests/tests/permission2/src/android/permission2/cts/NoReceiveGsmSmsPermissionTest.java</t>
  </si>
  <si>
    <t>tests/uiautomator/src/com/android/cts/uiautomatortest/CtsUiAutomatorTest.java</t>
  </si>
  <si>
    <t>tests/tests/media/src/android/media/cts/DecoderTest.java</t>
  </si>
  <si>
    <t>suite/pts/hostTests/browser/browserlauncher/src/com/android/pts/browser/LaunchBrowserTest.java</t>
  </si>
  <si>
    <t>suite/pts/hostTests/browser/src/com/android/pts/browser/BrowserTest.java</t>
  </si>
  <si>
    <t>tests/tests/view/src/android/view/inputmethod/cts/InputMethodInfoTest.java</t>
  </si>
  <si>
    <t>tests/tests/media/src/android/media/cts/EncodeDecodeTest.java</t>
  </si>
  <si>
    <t>suite/pts/deviceTests/videoperf/src/com/android/pts/videoperf/VideoEncoderDecoderTest.java</t>
  </si>
  <si>
    <t>tests/tests/webkit/src/android/webkit/cts/GeolocationTest.java</t>
  </si>
  <si>
    <t>tests/uiautomator/test-apps/CtsUiAutomatorApp/src/com/android/cts/uiautomator/Test2DetailFragment.java</t>
  </si>
  <si>
    <t>tests/tests/media/src/android/media/cts/DecodeEditEncodeTest.java</t>
  </si>
  <si>
    <t>tests/tests/media/src/android/media/cts/MediaCodecTest.java</t>
  </si>
  <si>
    <t>tests/tests/text/src/android/text/format/cts/DateFormatTest.java</t>
  </si>
  <si>
    <t>tests/tests/hardware/src/android/hardware/cts/SensorTest.java</t>
  </si>
  <si>
    <t>tests/tests/os/src/android/os/cts/SeccompTest.java</t>
  </si>
  <si>
    <t>suite/pts/deviceTests/ui/src/com/android/pts/ui/FpsTest.java</t>
  </si>
  <si>
    <t>suite/pts/hostTests/bootup/src/com/android/pts/bootup/BootupTimeTest.java</t>
  </si>
  <si>
    <t>tests/tests/media/src/android/media/cts/MediaDrmMockTest.java</t>
  </si>
  <si>
    <t>tests/tests/text/src/android/text/bidi/cts/BidiFormatterTest.java</t>
  </si>
  <si>
    <t>suite/pts/deviceTests/browserbench/src/com/android/pts/browser/BrowserBenchTest.java</t>
  </si>
  <si>
    <t>suite/pts/deviceTests/filesystemperf/src/com/android/pts/filesystemperf/AlmostFullTest.java</t>
  </si>
  <si>
    <t>suite/pts/deviceTests/filesystemperf/src/com/android/pts/filesystemperf/RandomRWTest.java</t>
  </si>
  <si>
    <t>suite/pts/deviceTests/filesystemperf/src/com/android/pts/filesystemperf/SequentialRWTest.java</t>
  </si>
  <si>
    <t>suite/pts/deviceTests/simplecpu/src/com/android/pts/simplecpu/SimpleCpuTest.java</t>
  </si>
  <si>
    <t>suite/pts/hostTests/uihost/control/src/com/android/pts/taskswitching/control/TaskswitchingDeviceTest.java</t>
  </si>
  <si>
    <t>suite/pts/hostTests/uihost/src/com/android/pts/uihost/InstallTimeTest.java</t>
  </si>
  <si>
    <t>suite/pts/hostTests/uihost/src/com/android/pts/uihost/TaskSwitchingTest.java</t>
  </si>
  <si>
    <t>tests/tests/net/src/android/net/cts/DnsTest.java</t>
  </si>
  <si>
    <t>tests/tests/accessibilityservice/src/android/accessibilityservice/cts/AccessibilityServiceInfoTest.java</t>
  </si>
  <si>
    <t>tests/tests/text/src/android/text/method/cts/BaseKeyListenerTest.java</t>
  </si>
  <si>
    <t>tests/tests/text/src/android/text/method/cts/DateKeyListenerTest.java</t>
  </si>
  <si>
    <t>tests/tests/text/src/android/text/method/cts/DateTimeKeyListenerTest.java</t>
  </si>
  <si>
    <t>tests/tests/text/src/android/text/method/cts/DigitsKeyListenerTest.java</t>
  </si>
  <si>
    <t>tests/tests/text/src/android/text/method/cts/NumberKeyListenerTest.java</t>
  </si>
  <si>
    <t>tests/tests/text/src/android/text/method/cts/TimeKeyListenerTest.java</t>
  </si>
  <si>
    <t>suite/pts/hostTests/jank/src/com/android/pts/jank/PtsHostJankTest.java</t>
  </si>
  <si>
    <t>suite/pts/hostTests/jank/app/src/com/android/pts/jank/JankTest.java</t>
  </si>
  <si>
    <t>tests/tests/dpi/src/android/dpi/cts/AspectRatioTest.java</t>
  </si>
  <si>
    <t>tools/vm-tests-tf/src/dot/junit/opcodes/iput_boolean/Test_iput_boolean.java</t>
  </si>
  <si>
    <t>tools/vm-tests-tf/src/dot/junit/opcodes/iput_byte/Test_iput_byte.java</t>
  </si>
  <si>
    <t>tools/vm-tests-tf/src/dot/junit/opcodes/iput_char/Test_iput_char.java</t>
  </si>
  <si>
    <t>tools/vm-tests-tf/src/dot/junit/opcodes/iput_short/Test_iput_short.java</t>
  </si>
  <si>
    <t>tools/vm-tests-tf/src/dot/junit/opcodes/sput_boolean/Test_sput_boolean.java</t>
  </si>
  <si>
    <t>tools/vm-tests-tf/src/dot/junit/opcodes/sput_byte/Test_sput_byte.java</t>
  </si>
  <si>
    <t>tools/vm-tests-tf/src/dot/junit/opcodes/sput_char/Test_sput_char.java</t>
  </si>
  <si>
    <t>tools/vm-tests-tf/src/dot/junit/opcodes/sput_short/Test_sput_short.java</t>
  </si>
  <si>
    <t>tests/tests/permission/src/android/permission/cts/NoCapturePermissionTest.java</t>
  </si>
  <si>
    <t>tests/tests/hardware/src/android/hardware/camera2/cts/ImageReaderTest.java</t>
  </si>
  <si>
    <t>tests/tests/security/src/android/security/cts/KernelSettingsTest.java</t>
  </si>
  <si>
    <t>tests/tests/keystore/src/android/keystore/cts/AndroidKeyPairGeneratorTest.java</t>
  </si>
  <si>
    <t>tests/tests/keystore/src/android/keystore/cts/AndroidKeyStoreTest.java</t>
  </si>
  <si>
    <t>tests/tests/hardware/src/android/hardware/camera2/cts/CameraDeviceTest.java</t>
  </si>
  <si>
    <t>tests/tests/renderscript/src/android/renderscript/cts/CrossTest.java</t>
  </si>
  <si>
    <t>hostsidetests/appsecurity/test-apps/ExternalStorageApp/src/com/android/cts/externalstorageapp/ExternalStorageTest.java</t>
  </si>
  <si>
    <t>tests/tests/hardware/src/android/hardware/camera2/cts/CameraPropertiesTest.java</t>
  </si>
  <si>
    <t>tests/tests/hardware/src/android/hardware/camera2/cts/CameraManagerTest.java</t>
  </si>
  <si>
    <t>tests/tests/permission/src/android/permission/cts/ContactsProviderTest.java</t>
  </si>
  <si>
    <t>tests/tests/media/src/android/media/cts/PresentationSyncTest.java</t>
  </si>
  <si>
    <t>hostsidetests/appsecurity/test-apps/ExternalStorageApp/src/com/android/cts/externalstorageapp/CommonExternalStorageTest.java</t>
  </si>
  <si>
    <t>tests/tests/provider/src/android/provider/cts/MediaStoreIntentsTest.java</t>
  </si>
  <si>
    <t>tests/tests/hardware/src/android/hardware/cts/SensorAccelerometerTest.java</t>
  </si>
  <si>
    <t>tests/tests/hardware/src/android/hardware/cts/SensorGyroscopeTest.java</t>
  </si>
  <si>
    <t>tests/tests/hardware/src/android/hardware/cts/SensorMagneticFieldTest.java</t>
  </si>
  <si>
    <t>tests/tests/webkit/src/android/webkit/cts/UrlInterceptRegistryTest.java</t>
  </si>
  <si>
    <t>hostsidetests/location/src/com/android/cts/location/LocationModeTest.java</t>
  </si>
  <si>
    <t>tests/tests/security/src/android/security/cts/CertificateTest.java</t>
  </si>
  <si>
    <t>tests/tests/app/src/android/app/cts/WallpaperManagerTest.java</t>
  </si>
  <si>
    <t>tests/tests/os/src/android/os/storage/cts/StorageManagerTest.java</t>
  </si>
  <si>
    <t>tests/SignatureTest/src/android/tests/sigtest/SimpleSignatureTest.java</t>
  </si>
  <si>
    <t>tests/tests/print/src/android/print/cts/PrintDocumentAdapterContractTest.java</t>
  </si>
  <si>
    <t>tests/tests/example/src/android/example/cts/ExampleSecondaryTest.java</t>
  </si>
  <si>
    <t>tests/tests/example/src/android/example/cts/ExampleTest.java</t>
  </si>
  <si>
    <t>tests/tests/print/src/android/print/cts/BasePrintTest.java</t>
  </si>
  <si>
    <t>tests/tests/renderscript/src/android/renderscript/cts/PowTest.java</t>
  </si>
  <si>
    <t>tests/tests/renderscript/src/android/renderscript/cts/PowrTest.java</t>
  </si>
  <si>
    <t>tests/tests/util/src/android/util/cts/TypedValueTest.java</t>
  </si>
  <si>
    <t>tests/tests/security/src/android/security/cts/ClonedSecureRandomTest.java</t>
  </si>
  <si>
    <t>tools/cts-native-scanner/src/com/android/cts/nativescanner/TestScanner.java</t>
  </si>
  <si>
    <t>tools/cts-native-scanner/tests/src/com/android/cts/nativescanner/TestScannerTest.java</t>
  </si>
  <si>
    <t>tests/tests/renderscript/src/android/renderscript/cts/AcosPiTest.java</t>
  </si>
  <si>
    <t>tests/tests/renderscript/src/android/renderscript/cts/AcosTest.java</t>
  </si>
  <si>
    <t>tests/tests/renderscript/src/android/renderscript/cts/AcoshTest.java</t>
  </si>
  <si>
    <t>tests/tests/renderscript/src/android/renderscript/cts/AsinPiTest.java</t>
  </si>
  <si>
    <t>tests/tests/renderscript/src/android/renderscript/cts/AsinTest.java</t>
  </si>
  <si>
    <t>tests/tests/renderscript/src/android/renderscript/cts/AsinhTest.java</t>
  </si>
  <si>
    <t>tests/tests/renderscript/src/android/renderscript/cts/Atan2PiTest.java</t>
  </si>
  <si>
    <t>tests/tests/renderscript/src/android/renderscript/cts/Atan2Test.java</t>
  </si>
  <si>
    <t>tests/tests/renderscript/src/android/renderscript/cts/AtanPiTest.java</t>
  </si>
  <si>
    <t>tests/tests/renderscript/src/android/renderscript/cts/AtanTest.java</t>
  </si>
  <si>
    <t>tests/tests/renderscript/src/android/renderscript/cts/AtanhTest.java</t>
  </si>
  <si>
    <t>tests/tests/renderscript/src/android/renderscript/cts/CbrtTest.java</t>
  </si>
  <si>
    <t>tests/tests/renderscript/src/android/renderscript/cts/CeilTest.java</t>
  </si>
  <si>
    <t>tests/tests/renderscript/src/android/renderscript/cts/CopysignTest.java</t>
  </si>
  <si>
    <t>tests/tests/renderscript/src/android/renderscript/cts/CosTest.java</t>
  </si>
  <si>
    <t>tests/tests/renderscript/src/android/renderscript/cts/CoshTest.java</t>
  </si>
  <si>
    <t>tests/tests/renderscript/src/android/renderscript/cts/DegreesTest.java</t>
  </si>
  <si>
    <t>tests/tests/renderscript/src/android/renderscript/cts/Exp10Test.java</t>
  </si>
  <si>
    <t>tests/tests/renderscript/src/android/renderscript/cts/Exp2Test.java</t>
  </si>
  <si>
    <t>tests/tests/renderscript/src/android/renderscript/cts/ExpTest.java</t>
  </si>
  <si>
    <t>tests/tests/renderscript/src/android/renderscript/cts/Expm1Test.java</t>
  </si>
  <si>
    <t>tests/tests/renderscript/src/android/renderscript/cts/FabsTest.java</t>
  </si>
  <si>
    <t>tests/tests/renderscript/src/android/renderscript/cts/FdimTest.java</t>
  </si>
  <si>
    <t>tests/tests/renderscript/src/android/renderscript/cts/FloorTest.java</t>
  </si>
  <si>
    <t>tests/tests/renderscript/src/android/renderscript/cts/FmaTest.java</t>
  </si>
  <si>
    <t>tests/tests/renderscript/src/android/renderscript/cts/FmaxTest.java</t>
  </si>
  <si>
    <t>tests/tests/renderscript/src/android/renderscript/cts/FminTest.java</t>
  </si>
  <si>
    <t>tests/tests/renderscript/src/android/renderscript/cts/FmodTest.java</t>
  </si>
  <si>
    <t>tests/tests/renderscript/src/android/renderscript/cts/HypotTest.java</t>
  </si>
  <si>
    <t>tests/tests/renderscript/src/android/renderscript/cts/Log10Test.java</t>
  </si>
  <si>
    <t>tests/tests/renderscript/src/android/renderscript/cts/Log1PTest.java</t>
  </si>
  <si>
    <t>tests/tests/renderscript/src/android/renderscript/cts/Log2Test.java</t>
  </si>
  <si>
    <t>tests/tests/renderscript/src/android/renderscript/cts/LogTest.java</t>
  </si>
  <si>
    <t>tests/tests/renderscript/src/android/renderscript/cts/LogbTest.java</t>
  </si>
  <si>
    <t>tests/tests/renderscript/src/android/renderscript/cts/MadTest.java</t>
  </si>
  <si>
    <t>tests/tests/renderscript/src/android/renderscript/cts/NextafterTest.java</t>
  </si>
  <si>
    <t>tests/tests/renderscript/src/android/renderscript/cts/PownTest.java</t>
  </si>
  <si>
    <t>tests/tests/renderscript/src/android/renderscript/cts/RadiansTest.java</t>
  </si>
  <si>
    <t>tests/tests/renderscript/src/android/renderscript/cts/RemainderTest.java</t>
  </si>
  <si>
    <t>tests/tests/renderscript/src/android/renderscript/cts/RintTest.java</t>
  </si>
  <si>
    <t>tests/tests/renderscript/src/android/renderscript/cts/RootnTest.java</t>
  </si>
  <si>
    <t>tests/tests/renderscript/src/android/renderscript/cts/RoundTest.java</t>
  </si>
  <si>
    <t>tests/tests/renderscript/src/android/renderscript/cts/RsFracTest.java</t>
  </si>
  <si>
    <t>tests/tests/renderscript/src/android/renderscript/cts/RsqrtTest.java</t>
  </si>
  <si>
    <t>tests/tests/renderscript/src/android/renderscript/cts/SignTest.java</t>
  </si>
  <si>
    <t>tests/tests/renderscript/src/android/renderscript/cts/SinTest.java</t>
  </si>
  <si>
    <t>tests/tests/renderscript/src/android/renderscript/cts/SinhTest.java</t>
  </si>
  <si>
    <t>tests/tests/renderscript/src/android/renderscript/cts/SqrtTest.java</t>
  </si>
  <si>
    <t>tests/tests/renderscript/src/android/renderscript/cts/StepTest.java</t>
  </si>
  <si>
    <t>tests/tests/renderscript/src/android/renderscript/cts/TanTest.java</t>
  </si>
  <si>
    <t>tests/tests/renderscript/src/android/renderscript/cts/TanhTest.java</t>
  </si>
  <si>
    <t>tests/tests/renderscript/src/android/renderscript/cts/TruncTest.java</t>
  </si>
  <si>
    <t>tests/tests/renderscript/src/android/renderscript/cts/TestExp10.java</t>
  </si>
  <si>
    <t>tests/tests/renderscript/src/android/renderscript/cts/TestIlogb.java</t>
  </si>
  <si>
    <t>tests/tests/renderscript/src/android/renderscript/cts/TestLogb.java</t>
  </si>
  <si>
    <t>tests/tests/renderscript/src/android/renderscript/cts/TestPown.java</t>
  </si>
  <si>
    <t>tests/tests/security/src/android/security/cts/BannedFilesTest.java</t>
  </si>
  <si>
    <t>tests/tests/util/src/android/util/cts/JsonReaderTest.java</t>
  </si>
  <si>
    <t>tests/tests/hardware/src/android/hardware/camera2/cts/CameraCaptureResultTest.java</t>
  </si>
  <si>
    <t>tests/tests/hardware/src/android/hardware/camera2/cts/CaptureRequestTest.java</t>
  </si>
  <si>
    <t>tests/tests/hardware/src/android/hardware/camera2/cts/CameraSurfaceViewPreviewTest.java</t>
  </si>
  <si>
    <t>tests/tests/media/src/android/media/cts/Vp8EncoderTest.java</t>
  </si>
  <si>
    <t>tests/tests/renderscript/src/android/renderscript/cts/TestRootn.java</t>
  </si>
  <si>
    <t>tests/tests/graphics/src/android/graphics/drawable/cts/NinePatchDrawableTest.java</t>
  </si>
  <si>
    <t>tests/tests/hardware/src/android/hardware/camera2/cts/CaptureResultTest.java</t>
  </si>
  <si>
    <t>tests/tests/hardware/src/android/hardware/camera2/cts/AllocationTest.java</t>
  </si>
  <si>
    <t>tests/tests/media/src/android/media/cts/EncodeVirtualDisplayWithCompositionTest.java</t>
  </si>
  <si>
    <t>tests/tests/hardware/src/android/hardware/cts/helpers/SensorCtsHelperTest.java</t>
  </si>
  <si>
    <t>tests/tests/hardware/src/android/hardware/cts/helpers/SensorVerificationHelperTest.java</t>
  </si>
  <si>
    <t>tests/tests/hardware/src/android/hardware/cts/helpers/TestSensorManager.java</t>
  </si>
  <si>
    <t>tests/tests/hardware/src/android/hardware/camera2/cts/StillCaptureTest.java</t>
  </si>
  <si>
    <t>tests/tests/tv/src/android/tv/cts/TvInputManagerTest.java</t>
  </si>
  <si>
    <t>tests/tests/rscpp/src/android/cts/rscpp/RSInterPredTest.java</t>
  </si>
  <si>
    <t>tests/tests/accessibilityservice/src/android/accessibilityservice/cts/AccessibilityTextTraversalTest.java</t>
  </si>
  <si>
    <t>tests/tests/graphics/src/android/graphics/drawable/cts/VectorDrawableTest.java</t>
  </si>
  <si>
    <t>tests/tests/hardware/src/android/hardware/camera2/cts/CameraCharacteristicsTest.java</t>
  </si>
  <si>
    <t>tools/tradefed-host/src/com/android/cts/tradefed/testtype/TestPlan.java</t>
  </si>
  <si>
    <t>tests/tests/content/src/android/content/pm/cts/ResolveInfo_DisplayNameComparatorTest.java</t>
  </si>
  <si>
    <t>tests/tests/graphics/src/android/graphics/drawable/cts/ThemedDrawableTest.java</t>
  </si>
  <si>
    <t>tests/tests/media/src/android/media/cts/NativeDecoderTest.java</t>
  </si>
  <si>
    <t>tests/tests/accessibilityservice/src/android/accessibilityservice/cts/AccessibilityWindowQueryTest.java</t>
  </si>
  <si>
    <t>tests/tests/hardware/src/android/hardware/camera2/cts/RecordingTest.java</t>
  </si>
  <si>
    <t>tests/tests/graphics/src/android/graphics/drawable/cts/BitmapDrawableTest.java</t>
  </si>
  <si>
    <t>tests/tests/graphics/src/android/graphics/drawable/cts/ColorDrawableTest.java</t>
  </si>
  <si>
    <t>tests/tests/holo/src/android/holo/cts/HoloTest.java</t>
  </si>
  <si>
    <t>tests/tests/drm/src/android/drm/cts/DRMTest.java</t>
  </si>
  <si>
    <t>tests/tests/webkit/src/android/webkit/cts/CookieSyncManagerTest.java</t>
  </si>
  <si>
    <t>tests/tests/provider/src/android/provider/cts/ContactsContract_PinnedPositionsTest.java</t>
  </si>
  <si>
    <t>tests/tests/uirendering/src/android/uirendering/cts/CanvasCompareActivityTest.java</t>
  </si>
  <si>
    <t>tests/tests/security/src/android/security/cts/SELinuxTest.java</t>
  </si>
  <si>
    <t>tests/tests/graphics/src/android/opengl/cts/OpenGlEsVersionTest.java</t>
  </si>
  <si>
    <t>tests/tests/text/src/android/text/format/cts/TimeTest.java</t>
  </si>
  <si>
    <t>tests/tests/appwidget/src/android/appwidget/cts/AppWidgetTest.java</t>
  </si>
  <si>
    <t>tests/tests/provider/src/android/provider/cts/ContactsContract_StrequentsTest.java</t>
  </si>
  <si>
    <t>tests/tests/widget/src/android/widget/cts/CompoundButtonTest.java</t>
  </si>
  <si>
    <t>tests/tests/widget/src/android/widget/cts/FrameLayoutTest.java</t>
  </si>
  <si>
    <t>tests/tests/hardware/src/android/hardware/camera2/cts/MultiViewTest.java</t>
  </si>
  <si>
    <t>tests/tests/renderscript/src/android/renderscript/cts/SendToClientBlockingTest.java</t>
  </si>
  <si>
    <t>tests/tests/renderscript/src/android/renderscript/cts/ScriptCTest.java</t>
  </si>
  <si>
    <t>tests/tests/rsg/src/android/renderscriptgraphics/cts/BaseObjTest.java</t>
  </si>
  <si>
    <t>tests/tests/rsg/src/android/renderscriptgraphics/cts/ContextCreationTest.java</t>
  </si>
  <si>
    <t>tests/tests/rsg/src/android/renderscriptgraphics/cts/FileA3DTest.java</t>
  </si>
  <si>
    <t>tests/tests/rsg/src/android/renderscriptgraphics/cts/FontTest.java</t>
  </si>
  <si>
    <t>tests/tests/rsg/src/android/renderscriptgraphics/cts/MeshTest.java</t>
  </si>
  <si>
    <t>tests/tests/rsg/src/android/renderscriptgraphics/cts/ProgramFragmentFixedFunctionTest.java</t>
  </si>
  <si>
    <t>tests/tests/rsg/src/android/renderscriptgraphics/cts/ProgramFragmentTest.java</t>
  </si>
  <si>
    <t>tests/tests/rsg/src/android/renderscriptgraphics/cts/ProgramRasterTest.java</t>
  </si>
  <si>
    <t>tests/tests/rsg/src/android/renderscriptgraphics/cts/ProgramStoreTest.java</t>
  </si>
  <si>
    <t>tests/tests/rsg/src/android/renderscriptgraphics/cts/ProgramVertexFixedFunctionTest.java</t>
  </si>
  <si>
    <t>tests/tests/rsg/src/android/renderscriptgraphics/cts/ProgramVertexTest.java</t>
  </si>
  <si>
    <t>tests/tests/rsg/src/android/renderscriptgraphics/cts/RSSurfaceViewTest.java</t>
  </si>
  <si>
    <t>tests/tests/rsg/src/android/renderscriptgraphics/cts/SurfaceConfigTest.java</t>
  </si>
  <si>
    <t>hostsidetests/holo/src/android/holo/cts/HoloHostTest.java</t>
  </si>
  <si>
    <t>tests/tests/permission/src/android/permission/cts/Camera2PermissionTest.java</t>
  </si>
  <si>
    <t>tests/tests/tv/src/android/media/tv/cts/BundledTvInputServiceTest.java</t>
  </si>
  <si>
    <t>tests/tests/tv/src/android/media/tv/cts/TvInputServiceTest.java</t>
  </si>
  <si>
    <t>tests/tests/tv/src/android/media/tv/cts/TvViewTest.java</t>
  </si>
  <si>
    <t>tests/tests/telephony/src/android/telephony/cts/SimRestrictedApisTest.java</t>
  </si>
  <si>
    <t>tests/webgl/src/android/webgl/cts/WebGLTest.java</t>
  </si>
  <si>
    <t>tests/tests/os/src/android/os/cts/Debug_InstructionCountTest.java</t>
  </si>
  <si>
    <t>tests/tests/telecomm/src/android/telecomm/cts/TelecommManagerTest.java</t>
  </si>
  <si>
    <t>tools/tradefed-host/src/com/android/cts/tradefed/testtype/InstrumentationApkTest.java</t>
  </si>
  <si>
    <t>tools/tradefed-host/src/com/android/cts/tradefed/testtype/VMHostTest.java</t>
  </si>
  <si>
    <t>tests/tests/security/src/android/security/cts/SqliteJournalLeakTest.java</t>
  </si>
  <si>
    <t>tests/tests/hardware/src/android/hardware/cts/helpers/sensoroperations/TestSensorOperation.java</t>
  </si>
  <si>
    <t>tools/tradefed-host/src/com/android/cts/tradefed/testtype/TestPackageRepo.java</t>
  </si>
  <si>
    <t>tools/tradefed-host/src/com/android/cts/tradefed/testtype/TestPackageXmlParser.java</t>
  </si>
  <si>
    <t>tools/tradefed-host/tests/src/com/android/cts/tradefed/testtype/DeqpTestTest.java</t>
  </si>
  <si>
    <t>tests/tests/hardware/src/android/hardware/cts/helpers/TestSensorEventListener.java</t>
  </si>
  <si>
    <t>tests/tests/widget/src/android/widget/cts/SpinnerTest.java</t>
  </si>
  <si>
    <t>tests/tests/app/src/android/app/cts/LauncherActivityTest.java</t>
  </si>
  <si>
    <t>tests/tests/telecomm/src/android/telecom/cts/ConnectionTest.java</t>
  </si>
  <si>
    <t>tests/tests/telecomm/src/android/telecom/cts/TelecomManagerTest.java</t>
  </si>
  <si>
    <t>tests/tests/permission/src/android/permission/cts/ConnectivityManagerPermissionTest.java</t>
  </si>
  <si>
    <t>tests/tests/permission/src/android/permission/cts/NoNetworkStatePermissionTest.java</t>
  </si>
  <si>
    <t>tests/src/android/os/cts/TestThread.java</t>
  </si>
  <si>
    <t>tests/tests/media/src/android/media/cts/AudioEffectTest.java</t>
  </si>
  <si>
    <t>tests/tests/hardware/src/android/hardware/cts/helpers/sensorverification/SigNumVerificationTest.java</t>
  </si>
  <si>
    <t>tests/tests/rscpp/src/android/cts/rscpp/RSLoopFilterTest.java</t>
  </si>
  <si>
    <t>hostsidetests/devicepolicy/app/ProfileOwner/src/com/android/cts/profileowner/BaseProfileOwnerTest.java</t>
  </si>
  <si>
    <t>hostsidetests/devicepolicy/app/ProfileOwner/src/com/android/cts/profileowner/ProfileOwnerSetupTest.java</t>
  </si>
  <si>
    <t>hostsidetests/devicepolicy/src/com/android/cts/devicepolicy/ProfileOwnerTest.java</t>
  </si>
  <si>
    <t>tests/tests/telephony/src/android/telephony/cts/PhoneStateListenerTest.java</t>
  </si>
  <si>
    <t>tests/tests/telephony/src/android/telephony/cts/TestThread.java</t>
  </si>
  <si>
    <t>tests/tests/widget/src/android/widget/cts/TestThread.java</t>
  </si>
  <si>
    <t>tests/tests/media/src/android/media/cts/ImageReaderDecoderTest.java</t>
  </si>
  <si>
    <t>tools/tradefed-host/tests/src/com/android/cts/tradefed/testtype/DeqpTestRunnerTest.java</t>
  </si>
  <si>
    <t>hostsidetests/devicepolicy/app/ManagedProfile/src/com/android/cts/managedprofile/crossprofilecontent/CrossProfileContentTest.java</t>
  </si>
  <si>
    <t>tests/tests/hardware/src/android/hardware/cts/helpers/sensoroperations/TestSensorFlushOperation.java</t>
  </si>
  <si>
    <t>tests/tests/os/src/android/os/cts/BuildTest.java</t>
  </si>
  <si>
    <t>tests/tests/media/src/android/media/cts/VirtualizerTest.java</t>
  </si>
  <si>
    <t>tests/tests/os/src/android/os/cts/NoExecutePermissionTest.java</t>
  </si>
  <si>
    <t>hostsidetests/devicepolicy/app/IntentSender/src/com/android/cts/intent/sender/IntentSenderTest.java</t>
  </si>
  <si>
    <t>tests/tests/media/src/android/media/cts/ClearKeySystemTest.java</t>
  </si>
  <si>
    <t>hostsidetests/security/src/android/cts/security/SELinuxHostTest.java</t>
  </si>
  <si>
    <t>tests/tests/media/src/android/media/cts/EncodeVirtualDisplayTest.java</t>
  </si>
  <si>
    <t>tests/tests/media/src/android/media/cts/ExtractDecodeEditEncodeMuxTest.java</t>
  </si>
  <si>
    <t>tests/tests/media/src/android/media/cts/MediaCodecCapabilitiesTest.java</t>
  </si>
  <si>
    <t>tests/tests/media/src/android/media/cts/MediaRecorderTest.java</t>
  </si>
  <si>
    <t>tests/tests/mediastress/src/android/mediastress/cts/NativeMediaTest.java</t>
  </si>
  <si>
    <t>tests/tests/media/src/android/media/cts/MediaCodecListTest.java</t>
  </si>
  <si>
    <t>tests/tests/security/src/android/security/cts/NativeCodeTest.java</t>
  </si>
  <si>
    <t>tests/tests/hardware/src/android/hardware/camera2/cts/RobustnessTest.java</t>
  </si>
  <si>
    <t>hostsidetests/net/app/src/com/android/cts/net/hostside/VpnTest.java</t>
  </si>
  <si>
    <t>tests/tests/media/src/android/media/cts/AudioTrack_ListenerTest.java</t>
  </si>
  <si>
    <t>hostsidetests/devicepolicy/app/ManagedProfile/src/com/android/cts/managedprofile/SettingsIntentsTest.java</t>
  </si>
  <si>
    <t>hostsidetests/devicepolicy/src/com/android/cts/devicepolicy/ManagedProfileTest.java</t>
  </si>
  <si>
    <t>apps/CtsVerifier/src/com/android/cts/verifier/camera/analyzer/AutoLockTest.java</t>
  </si>
  <si>
    <t>apps/CtsVerifier/src/com/android/cts/verifier/camera/analyzer/ColorCheckerTest.java</t>
  </si>
  <si>
    <t>apps/CtsVerifier/src/com/android/cts/verifier/camera/analyzer/ExposureCompensationTest.java</t>
  </si>
  <si>
    <t>apps/CtsVerifier/src/com/android/cts/verifier/camera/analyzer/MeteringTest.java</t>
  </si>
  <si>
    <t>apps/CtsVerifier/src/com/android/cts/verifier/camera/analyzer/WhiteBalanceTest.java</t>
  </si>
  <si>
    <t>tests/tests/security/src/android/security/cts/SELinuxDomainTest.java</t>
  </si>
  <si>
    <t>tests/tests/media/src/android/media/cts/VideoEncoderTest.java</t>
  </si>
  <si>
    <t>tests/tests/provider/src/android/provider/cts/SettingsTest.java</t>
  </si>
  <si>
    <t>hostsidetests/devicepolicy/src/com/android/cts/devicepolicy/BaseDevicePolicyTest.java</t>
  </si>
  <si>
    <t>hostsidetests/devicepolicy/src/com/android/cts/devicepolicy/BaseLauncherAppsTest.java</t>
  </si>
  <si>
    <t>tests/tests/renderscript/src/android/renderscript/cts/AllocationCopyToTest.java</t>
  </si>
  <si>
    <t>tests/tests/security/src/android/security/cts/KeystoreExploitTest.java</t>
  </si>
  <si>
    <t>tests/tests/renderscript/src/android/renderscript/cts/TestGetSet.java</t>
  </si>
  <si>
    <t>tests/tests/renderscript/src/android/renderscript/cts/TestVLoad.java</t>
  </si>
  <si>
    <t>tests/tests/renderscript/src/android/renderscript/cts/GeneratedTestAbs.java</t>
  </si>
  <si>
    <t>tests/tests/renderscript/src/android/renderscript/cts/GeneratedTestAcos.java</t>
  </si>
  <si>
    <t>tests/tests/renderscript/src/android/renderscript/cts/GeneratedTestAcosh.java</t>
  </si>
  <si>
    <t>tests/tests/renderscript/src/android/renderscript/cts/GeneratedTestAcospi.java</t>
  </si>
  <si>
    <t>tests/tests/renderscript/src/android/renderscript/cts/GeneratedTestAsin.java</t>
  </si>
  <si>
    <t>tests/tests/renderscript/src/android/renderscript/cts/GeneratedTestAsinh.java</t>
  </si>
  <si>
    <t>tests/tests/renderscript/src/android/renderscript/cts/GeneratedTestAsinpi.java</t>
  </si>
  <si>
    <t>tests/tests/renderscript/src/android/renderscript/cts/GeneratedTestAtan.java</t>
  </si>
  <si>
    <t>tests/tests/renderscript/src/android/renderscript/cts/GeneratedTestAtan2.java</t>
  </si>
  <si>
    <t>tests/tests/renderscript/src/android/renderscript/cts/GeneratedTestAtan2pi.java</t>
  </si>
  <si>
    <t>tests/tests/renderscript/src/android/renderscript/cts/GeneratedTestAtanh.java</t>
  </si>
  <si>
    <t>tests/tests/renderscript/src/android/renderscript/cts/GeneratedTestAtanpi.java</t>
  </si>
  <si>
    <t>tests/tests/renderscript/src/android/renderscript/cts/GeneratedTestCbrt.java</t>
  </si>
  <si>
    <t>tests/tests/renderscript/src/android/renderscript/cts/GeneratedTestCeil.java</t>
  </si>
  <si>
    <t>tests/tests/renderscript/src/android/renderscript/cts/GeneratedTestClamp.java</t>
  </si>
  <si>
    <t>tests/tests/renderscript/src/android/renderscript/cts/GeneratedTestClz.java</t>
  </si>
  <si>
    <t>tests/tests/renderscript/src/android/renderscript/cts/GeneratedTestConvert.java</t>
  </si>
  <si>
    <t>tests/tests/renderscript/src/android/renderscript/cts/GeneratedTestCopysign.java</t>
  </si>
  <si>
    <t>tests/tests/renderscript/src/android/renderscript/cts/GeneratedTestCos.java</t>
  </si>
  <si>
    <t>tests/tests/renderscript/src/android/renderscript/cts/GeneratedTestCosh.java</t>
  </si>
  <si>
    <t>tests/tests/renderscript/src/android/renderscript/cts/GeneratedTestCospi.java</t>
  </si>
  <si>
    <t>tests/tests/renderscript/src/android/renderscript/cts/GeneratedTestCross.java</t>
  </si>
  <si>
    <t>tests/tests/renderscript/src/android/renderscript/cts/GeneratedTestDegrees.java</t>
  </si>
  <si>
    <t>tests/tests/renderscript/src/android/renderscript/cts/GeneratedTestDistance.java</t>
  </si>
  <si>
    <t>tests/tests/renderscript/src/android/renderscript/cts/GeneratedTestDot.java</t>
  </si>
  <si>
    <t>tests/tests/renderscript/src/android/renderscript/cts/GeneratedTestErf.java</t>
  </si>
  <si>
    <t>tests/tests/renderscript/src/android/renderscript/cts/GeneratedTestErfc.java</t>
  </si>
  <si>
    <t>tests/tests/renderscript/src/android/renderscript/cts/GeneratedTestExp.java</t>
  </si>
  <si>
    <t>tests/tests/renderscript/src/android/renderscript/cts/GeneratedTestExp10.java</t>
  </si>
  <si>
    <t>tests/tests/renderscript/src/android/renderscript/cts/GeneratedTestExp2.java</t>
  </si>
  <si>
    <t>tests/tests/renderscript/src/android/renderscript/cts/GeneratedTestExpm1.java</t>
  </si>
  <si>
    <t>tests/tests/renderscript/src/android/renderscript/cts/GeneratedTestFabs.java</t>
  </si>
  <si>
    <t>tests/tests/renderscript/src/android/renderscript/cts/GeneratedTestFastDistance.java</t>
  </si>
  <si>
    <t>tests/tests/renderscript/src/android/renderscript/cts/GeneratedTestFastLength.java</t>
  </si>
  <si>
    <t>tests/tests/renderscript/src/android/renderscript/cts/GeneratedTestFastNormalize.java</t>
  </si>
  <si>
    <t>tests/tests/renderscript/src/android/renderscript/cts/GeneratedTestFdim.java</t>
  </si>
  <si>
    <t>tests/tests/renderscript/src/android/renderscript/cts/GeneratedTestFloor.java</t>
  </si>
  <si>
    <t>tests/tests/renderscript/src/android/renderscript/cts/GeneratedTestFma.java</t>
  </si>
  <si>
    <t>tests/tests/renderscript/src/android/renderscript/cts/GeneratedTestFmax.java</t>
  </si>
  <si>
    <t>tests/tests/renderscript/src/android/renderscript/cts/GeneratedTestFmin.java</t>
  </si>
  <si>
    <t>tests/tests/renderscript/src/android/renderscript/cts/GeneratedTestFmod.java</t>
  </si>
  <si>
    <t>tests/tests/renderscript/src/android/renderscript/cts/GeneratedTestFract.java</t>
  </si>
  <si>
    <t>tests/tests/renderscript/src/android/renderscript/cts/GeneratedTestFrexp.java</t>
  </si>
  <si>
    <t>tests/tests/renderscript/src/android/renderscript/cts/GeneratedTestHalfRecip.java</t>
  </si>
  <si>
    <t>tests/tests/renderscript/src/android/renderscript/cts/GeneratedTestHalfRsqrt.java</t>
  </si>
  <si>
    <t>tests/tests/renderscript/src/android/renderscript/cts/GeneratedTestHalfSqrt.java</t>
  </si>
  <si>
    <t>tests/tests/renderscript/src/android/renderscript/cts/GeneratedTestHypot.java</t>
  </si>
  <si>
    <t>tests/tests/renderscript/src/android/renderscript/cts/GeneratedTestIlogb.java</t>
  </si>
  <si>
    <t>tests/tests/renderscript/src/android/renderscript/cts/GeneratedTestLdexp.java</t>
  </si>
  <si>
    <t>tests/tests/renderscript/src/android/renderscript/cts/GeneratedTestLength.java</t>
  </si>
  <si>
    <t>tests/tests/renderscript/src/android/renderscript/cts/GeneratedTestLgamma.java</t>
  </si>
  <si>
    <t>tests/tests/renderscript/src/android/renderscript/cts/GeneratedTestLog.java</t>
  </si>
  <si>
    <t>tests/tests/renderscript/src/android/renderscript/cts/GeneratedTestLog10.java</t>
  </si>
  <si>
    <t>tests/tests/renderscript/src/android/renderscript/cts/GeneratedTestLog1p.java</t>
  </si>
  <si>
    <t>tests/tests/renderscript/src/android/renderscript/cts/GeneratedTestLog2.java</t>
  </si>
  <si>
    <t>tests/tests/renderscript/src/android/renderscript/cts/GeneratedTestLogb.java</t>
  </si>
  <si>
    <t>tests/tests/renderscript/src/android/renderscript/cts/GeneratedTestMad.java</t>
  </si>
  <si>
    <t>tests/tests/renderscript/src/android/renderscript/cts/GeneratedTestMax.java</t>
  </si>
  <si>
    <t>tests/tests/renderscript/src/android/renderscript/cts/GeneratedTestMin.java</t>
  </si>
  <si>
    <t>tests/tests/renderscript/src/android/renderscript/cts/GeneratedTestMix.java</t>
  </si>
  <si>
    <t>tests/tests/renderscript/src/android/renderscript/cts/GeneratedTestModf.java</t>
  </si>
  <si>
    <t>tests/tests/renderscript/src/android/renderscript/cts/GeneratedTestNan.java</t>
  </si>
  <si>
    <t>tests/tests/renderscript/src/android/renderscript/cts/GeneratedTestNativeAcos.java</t>
  </si>
  <si>
    <t>tests/tests/renderscript/src/android/renderscript/cts/GeneratedTestNativeAcosh.java</t>
  </si>
  <si>
    <t>tests/tests/renderscript/src/android/renderscript/cts/GeneratedTestNativeAcospi.java</t>
  </si>
  <si>
    <t>tests/tests/renderscript/src/android/renderscript/cts/GeneratedTestNativeAsin.java</t>
  </si>
  <si>
    <t>tests/tests/renderscript/src/android/renderscript/cts/GeneratedTestNativeAsinh.java</t>
  </si>
  <si>
    <t>tests/tests/renderscript/src/android/renderscript/cts/GeneratedTestNativeAsinpi.java</t>
  </si>
  <si>
    <t>tests/tests/renderscript/src/android/renderscript/cts/GeneratedTestNativeAtan.java</t>
  </si>
  <si>
    <t>tests/tests/renderscript/src/android/renderscript/cts/GeneratedTestNativeAtan2.java</t>
  </si>
  <si>
    <t>tests/tests/renderscript/src/android/renderscript/cts/GeneratedTestNativeAtan2pi.java</t>
  </si>
  <si>
    <t>tests/tests/renderscript/src/android/renderscript/cts/GeneratedTestNativeAtanh.java</t>
  </si>
  <si>
    <t>tests/tests/renderscript/src/android/renderscript/cts/GeneratedTestNativeAtanpi.java</t>
  </si>
  <si>
    <t>tests/tests/renderscript/src/android/renderscript/cts/GeneratedTestNativeCbrt.java</t>
  </si>
  <si>
    <t>tests/tests/renderscript/src/android/renderscript/cts/GeneratedTestNativeCos.java</t>
  </si>
  <si>
    <t>tests/tests/renderscript/src/android/renderscript/cts/GeneratedTestNativeCosh.java</t>
  </si>
  <si>
    <t>tests/tests/renderscript/src/android/renderscript/cts/GeneratedTestNativeCospi.java</t>
  </si>
  <si>
    <t>tests/tests/renderscript/src/android/renderscript/cts/GeneratedTestNativeDistance.java</t>
  </si>
  <si>
    <t>tests/tests/renderscript/src/android/renderscript/cts/GeneratedTestNativeDivide.java</t>
  </si>
  <si>
    <t>tests/tests/renderscript/src/android/renderscript/cts/GeneratedTestNativeExp.java</t>
  </si>
  <si>
    <t>tests/tests/renderscript/src/android/renderscript/cts/GeneratedTestNativeExp10.java</t>
  </si>
  <si>
    <t>tests/tests/renderscript/src/android/renderscript/cts/GeneratedTestNativeExp2.java</t>
  </si>
  <si>
    <t>tests/tests/renderscript/src/android/renderscript/cts/GeneratedTestNativeExpm1.java</t>
  </si>
  <si>
    <t>tests/tests/renderscript/src/android/renderscript/cts/GeneratedTestNativeHypot.java</t>
  </si>
  <si>
    <t>tests/tests/renderscript/src/android/renderscript/cts/GeneratedTestNativeLength.java</t>
  </si>
  <si>
    <t>tests/tests/renderscript/src/android/renderscript/cts/GeneratedTestNativeLog.java</t>
  </si>
  <si>
    <t>tests/tests/renderscript/src/android/renderscript/cts/GeneratedTestNativeLog10.java</t>
  </si>
  <si>
    <t>tests/tests/renderscript/src/android/renderscript/cts/GeneratedTestNativeLog1p.java</t>
  </si>
  <si>
    <t>tests/tests/renderscript/src/android/renderscript/cts/GeneratedTestNativeLog2.java</t>
  </si>
  <si>
    <t>tests/tests/renderscript/src/android/renderscript/cts/GeneratedTestNativeNormalize.java</t>
  </si>
  <si>
    <t>tests/tests/renderscript/src/android/renderscript/cts/GeneratedTestNativePowr.java</t>
  </si>
  <si>
    <t>tests/tests/renderscript/src/android/renderscript/cts/GeneratedTestNativeRecip.java</t>
  </si>
  <si>
    <t>tests/tests/renderscript/src/android/renderscript/cts/GeneratedTestNativeRootn.java</t>
  </si>
  <si>
    <t>tests/tests/renderscript/src/android/renderscript/cts/GeneratedTestNativeRsqrt.java</t>
  </si>
  <si>
    <t>tests/tests/renderscript/src/android/renderscript/cts/GeneratedTestNativeSin.java</t>
  </si>
  <si>
    <t>tests/tests/renderscript/src/android/renderscript/cts/GeneratedTestNativeSincos.java</t>
  </si>
  <si>
    <t>tests/tests/renderscript/src/android/renderscript/cts/GeneratedTestNativeSinh.java</t>
  </si>
  <si>
    <t>tests/tests/renderscript/src/android/renderscript/cts/GeneratedTestNativeSinpi.java</t>
  </si>
  <si>
    <t>tests/tests/renderscript/src/android/renderscript/cts/GeneratedTestNativeSqrt.java</t>
  </si>
  <si>
    <t>tests/tests/renderscript/src/android/renderscript/cts/GeneratedTestNativeTan.java</t>
  </si>
  <si>
    <t>tests/tests/renderscript/src/android/renderscript/cts/GeneratedTestNativeTanh.java</t>
  </si>
  <si>
    <t>tests/tests/renderscript/src/android/renderscript/cts/GeneratedTestNativeTanpi.java</t>
  </si>
  <si>
    <t>tests/tests/renderscript/src/android/renderscript/cts/GeneratedTestNextafter.java</t>
  </si>
  <si>
    <t>tests/tests/renderscript/src/android/renderscript/cts/GeneratedTestNormalize.java</t>
  </si>
  <si>
    <t>tests/tests/renderscript/src/android/renderscript/cts/GeneratedTestPow.java</t>
  </si>
  <si>
    <t>tests/tests/renderscript/src/android/renderscript/cts/GeneratedTestPown.java</t>
  </si>
  <si>
    <t>tests/tests/renderscript/src/android/renderscript/cts/GeneratedTestPowr.java</t>
  </si>
  <si>
    <t>tests/tests/renderscript/src/android/renderscript/cts/GeneratedTestRadians.java</t>
  </si>
  <si>
    <t>tests/tests/renderscript/src/android/renderscript/cts/GeneratedTestRemainder.java</t>
  </si>
  <si>
    <t>tests/tests/renderscript/src/android/renderscript/cts/GeneratedTestRemquo.java</t>
  </si>
  <si>
    <t>tests/tests/renderscript/src/android/renderscript/cts/GeneratedTestRint.java</t>
  </si>
  <si>
    <t>tests/tests/renderscript/src/android/renderscript/cts/GeneratedTestRootn.java</t>
  </si>
  <si>
    <t>tests/tests/renderscript/src/android/renderscript/cts/GeneratedTestRound.java</t>
  </si>
  <si>
    <t>tests/tests/renderscript/src/android/renderscript/cts/GeneratedTestRsqrt.java</t>
  </si>
  <si>
    <t>tests/tests/renderscript/src/android/renderscript/cts/GeneratedTestSign.java</t>
  </si>
  <si>
    <t>tests/tests/renderscript/src/android/renderscript/cts/GeneratedTestSin.java</t>
  </si>
  <si>
    <t>tests/tests/renderscript/src/android/renderscript/cts/GeneratedTestSincos.java</t>
  </si>
  <si>
    <t>tests/tests/renderscript/src/android/renderscript/cts/GeneratedTestSinh.java</t>
  </si>
  <si>
    <t>tests/tests/renderscript/src/android/renderscript/cts/GeneratedTestSinpi.java</t>
  </si>
  <si>
    <t>tests/tests/renderscript/src/android/renderscript/cts/GeneratedTestSqrt.java</t>
  </si>
  <si>
    <t>tests/tests/renderscript/src/android/renderscript/cts/GeneratedTestStep.java</t>
  </si>
  <si>
    <t>tests/tests/renderscript/src/android/renderscript/cts/GeneratedTestTan.java</t>
  </si>
  <si>
    <t>tests/tests/renderscript/src/android/renderscript/cts/GeneratedTestTanh.java</t>
  </si>
  <si>
    <t>tests/tests/renderscript/src/android/renderscript/cts/GeneratedTestTanpi.java</t>
  </si>
  <si>
    <t>tests/tests/renderscript/src/android/renderscript/cts/GeneratedTestTgamma.java</t>
  </si>
  <si>
    <t>tests/tests/renderscript/src/android/renderscript/cts/GeneratedTestTrunc.java</t>
  </si>
  <si>
    <t>tests/tests/hardware/src/android/hardware/camera2/cts/DngCreatorTest.java</t>
  </si>
  <si>
    <t>tests/tests/rscpp/src/android/cts/rscpp/RSAllocationTest.java</t>
  </si>
  <si>
    <t>libs/commonutil/src/com/android/cts/util/StatisticsUtilsTest.java</t>
  </si>
  <si>
    <t>tests/tests/net/src/android/net/http/cts/HttpResponseCacheTest.java</t>
  </si>
  <si>
    <t>tests/tests/os/src/android/os/cts/HardwareNameTest.java</t>
  </si>
  <si>
    <t>tests/tests/renderscript/src/android/renderscript/cts/YuvTest.java</t>
  </si>
  <si>
    <t>tests/tests/security/src/android/security/cts/ARTBootASLRTest.java</t>
  </si>
  <si>
    <t>tests/tests/telephony/src/android/telephony/cts/SmsUsageMonitorShortCodeTest.java</t>
  </si>
  <si>
    <t>tests/tests/admin/src/android/admin/cts/NfcProvisioningSetupWizardConfigTest.java</t>
  </si>
  <si>
    <t>tests/tests/media/src/android/media/cts/AudioRecordTest.java</t>
  </si>
  <si>
    <t>tests/tests/media/src/android/media/cts/MediaMetadataRetrieverTest.java</t>
  </si>
  <si>
    <t>tests/tests/hardware/src/android/hardware/cts/LowRamDeviceTest.java</t>
  </si>
  <si>
    <t>tests/tests/hardware/src/android/hardware/camera2/cts/ReprocessCaptureTest.java</t>
  </si>
  <si>
    <t>tests/tests/mediastress/src/android/mediastress/cts/H263QcifLongPlayerTest.java</t>
  </si>
  <si>
    <t>tests/tests/mediastress/src/android/mediastress/cts/H263QcifShortPlayerTest.java</t>
  </si>
  <si>
    <t>tests/tests/mediastress/src/android/mediastress/cts/H264R1080pAacLongPlayerTest.java</t>
  </si>
  <si>
    <t>tests/tests/mediastress/src/android/mediastress/cts/H264R1080pAacRepeatedPlayerTest.java</t>
  </si>
  <si>
    <t>tests/tests/mediastress/src/android/mediastress/cts/H264R1080pAacShortPlayerTest.java</t>
  </si>
  <si>
    <t>tests/tests/mediastress/src/android/mediastress/cts/H264R480pAacLongPlayerTest.java</t>
  </si>
  <si>
    <t>tests/tests/mediastress/src/android/mediastress/cts/H264R480pAacShortPlayerTest.java</t>
  </si>
  <si>
    <t>tests/tests/mediastress/src/android/mediastress/cts/H264R480x360AacShortPlayerTest.java</t>
  </si>
  <si>
    <t>tests/tests/mediastress/src/android/mediastress/cts/H264R720pAacLongPlayerTest.java</t>
  </si>
  <si>
    <t>tests/tests/mediastress/src/android/mediastress/cts/HEVCR1080pAacLongPlayerTest.java</t>
  </si>
  <si>
    <t>tests/tests/mediastress/src/android/mediastress/cts/HEVCR1080pAacRepeatedPlayerTest.java</t>
  </si>
  <si>
    <t>tests/tests/mediastress/src/android/mediastress/cts/HEVCR1080pAacShortPlayerTest.java</t>
  </si>
  <si>
    <t>tests/tests/mediastress/src/android/mediastress/cts/HEVCR480pAacLongPlayerTest.java</t>
  </si>
  <si>
    <t>tests/tests/mediastress/src/android/mediastress/cts/HEVCR480pAacShortPlayerTest.java</t>
  </si>
  <si>
    <t>tests/tests/mediastress/src/android/mediastress/cts/HEVCR480x360AacShortPlayerTest.java</t>
  </si>
  <si>
    <t>tests/tests/mediastress/src/android/mediastress/cts/HEVCR720pAacLongPlayerTest.java</t>
  </si>
  <si>
    <t>tests/tests/mediastress/src/android/mediastress/cts/HEVCR720pAacShortPlayerTest.java</t>
  </si>
  <si>
    <t>tests/tests/mediastress/src/android/mediastress/cts/Vp8R480x360LongPlayerTest.java</t>
  </si>
  <si>
    <t>tests/tests/mediastress/src/android/mediastress/cts/Vp8R480x360ShortPlayerTest.java</t>
  </si>
  <si>
    <t>common/host-side/java-scanner/tests/src/com/android/compatibility/common/scanner/JavaScannerTest.java</t>
  </si>
  <si>
    <t>common/host-side/native-scanner/tests/src/com/android/compatibility/common/scanner/NativeScannerTest.java</t>
  </si>
  <si>
    <t>common/host-side/xml-plan-generator/src/com/android/compatibility/common/xmlgenerator/Test.java</t>
  </si>
  <si>
    <t>common/host-side/xml-plan-generator/src/com/android/compatibility/common/xmlgenerator/TestCase.java</t>
  </si>
  <si>
    <t>common/host-side/xml-plan-generator/src/com/android/compatibility/common/xmlgenerator/TestListParser.java</t>
  </si>
  <si>
    <t>common/host-side/xml-plan-generator/src/com/android/compatibility/common/xmlgenerator/TestSuite.java</t>
  </si>
  <si>
    <t>common/host-side/xml-plan-generator/tests/src/com/android/compatibility/common/xmlgenerator/XmlPlanGeneratorTest.java</t>
  </si>
  <si>
    <t>tests/tests/keystore/src/android/keystore/cts/KeyPairGeneratorSpecTest.java</t>
  </si>
  <si>
    <t>tests/tests/media/src/android/media/cts/AudioRecord_BufferSizeTest.java</t>
  </si>
  <si>
    <t>suite/cts/deviceTests/videoperf/src/com/android/cts/videoperf/VideoEncoderDecoderTest.java</t>
  </si>
  <si>
    <t>tests/tests/util/src/android/util/cts/FloatMathTest.java</t>
  </si>
  <si>
    <t>tests/tests/hardware/src/android/hardware/camera2/cts/PerformanceTest.java</t>
  </si>
  <si>
    <t>tests/tests/telephony/src/android/telephony/cts/SubscriptionManagerTest.java</t>
  </si>
  <si>
    <t>tests/tests/hardware/src/android/hardware/camera2/cts/ImageWriterTest.java</t>
  </si>
  <si>
    <t>tests/tests/media/src/android/media/cts/MediaSyncTest.java</t>
  </si>
  <si>
    <t>tests/tests/provider/src/android/provider/cts/ContactsContract_AuthorizationTest.java</t>
  </si>
  <si>
    <t>hostsidetests/devicepolicy/app/ManagedProfile/src/com/android/cts/managedprofile/ContactsTest.java</t>
  </si>
  <si>
    <t>tests/tests/tv/src/android/media/tv/cts/TvInputManagerTest.java</t>
  </si>
  <si>
    <t>tests/tests/media/src/android/media/cts/MediaBrowserTest.java</t>
  </si>
  <si>
    <t>tests/tests/rscpp/src/android/cts/rscpp/RSResizeTest.java</t>
  </si>
  <si>
    <t>hostsidetests/devicepolicy/app/DeviceOwner/src/com/android/cts/deviceowner/LockTaskTest.java</t>
  </si>
  <si>
    <t>tests/tests/app/src/android/app/cts/ActivityManagerTest.java</t>
  </si>
  <si>
    <t>common/device-side/device-info/tests/src/com/android/compatibility/common/deviceinfo/DeviceInfoTests.java</t>
  </si>
  <si>
    <t>common/host-side/tradefed/tests/src/com/android/compatibility/common/tradefed/build/CompatibilityBuildProviderTest.java</t>
  </si>
  <si>
    <t>tests/tests/graphics/src/android/graphics/drawable/cts/AnimatedVectorDrawableTest.java</t>
  </si>
  <si>
    <t>tests/tests/media/src/android/media/cts/MediaControllerTest.java</t>
  </si>
  <si>
    <t>hostsidetests/atrace/src/android/atrace/cts/AtraceHostTest.java</t>
  </si>
  <si>
    <t>hostsidetests/sample/src/android/sample/cts/SampleHostTest.java</t>
  </si>
  <si>
    <t>tests/sample/src/android/sample/cts/SampleDeviceResultTest.java</t>
  </si>
  <si>
    <t>tests/tests/telecom/src/android/telecom/cts/ExtendedInCallServiceTest.java</t>
  </si>
  <si>
    <t>tests/tests/telecom/src/android/telecom/cts/OutgoingCallTest.java</t>
  </si>
  <si>
    <t>tests/tests/telecom/src/android/telecom/cts/DefaultDialerOperationsTest.java</t>
  </si>
  <si>
    <t>tests/tests/telecom/src/android/telecom/cts/VideoCallTest.java</t>
  </si>
  <si>
    <t>tests/tests/security/src/android/security/cts/SeccompBpfTest.java</t>
  </si>
  <si>
    <t>tests/tests/app.usage/src/android/app/usage/cts/NetworkUsageStatsTest.java</t>
  </si>
  <si>
    <t>tests/tests/provider/src/android/provider/cts/BrowserTest.java</t>
  </si>
  <si>
    <t>hostsidetests/devicepolicy/app/DeviceOwner/src/com/android/cts/deviceowner/SilentPackageInstallerTest.java</t>
  </si>
  <si>
    <t>hostsidetests/devicepolicy/src/com/android/cts/devicepolicy/DeviceOwnerTest.java</t>
  </si>
  <si>
    <t>tests/tests/telecom/src/android/telecom/cts/NumberDialingTest.java</t>
  </si>
  <si>
    <t>tests/tests/telecom/src/android/telecom/cts/SimpleTelecomTest.java</t>
  </si>
  <si>
    <t>tests/tests/net/src/android/net/http/cts/ApacheHttpClientTest.java</t>
  </si>
  <si>
    <t>tests/tests/keystore/src/android/keystore/cts/KeyPairGeneratorTest.java</t>
  </si>
  <si>
    <t>common/host-side/tradefed/src/com/android/compatibility/common/tradefed/testtype/CompatibilityTest.java</t>
  </si>
  <si>
    <t>common/host-side/tradefed/src/com/android/compatibility/common/tradefed/testtype/TestPlan.java</t>
  </si>
  <si>
    <t>common/host-side/tradefed/tests/src/com/android/compatibility/common/tradefed/build/BuildHelperTest.java</t>
  </si>
  <si>
    <t>common/host-side/tradefed/src/com/android/compatibility/common/xml/XmlPlanHandler.java</t>
  </si>
  <si>
    <t>tests/tests/permission2/src/android/permission2/cts/ReadSocialStreamPermissionTest.java</t>
  </si>
  <si>
    <t>tests/tests/permission2/src/android/permission2/cts/WriteSocialStreamPermissionTest.java</t>
  </si>
  <si>
    <t>hostsidetests/devicepolicy/app/DeviceOwner/src/com/android/cts/deviceowner/KeyManagementTest.java</t>
  </si>
  <si>
    <t>tests/tests/net/src/android/net/cts/MultinetworkTest.java</t>
  </si>
  <si>
    <t>tests/tests/telecom/src/android/telecom/cts/CallDetailsTest.java</t>
  </si>
  <si>
    <t>tests/tests/widget/src/android/widget/cts/DatePickerDialogTest.java</t>
  </si>
  <si>
    <t>tests/tests/widget/src/android/widget/cts/TextView_SaveStateTest.java</t>
  </si>
  <si>
    <t>tests/tests/permission/src/android/permission/cts/TvPermissionTest.java</t>
  </si>
  <si>
    <t>tests/tests/keystore/src/android/keystore/cts/SignatureTest.java</t>
  </si>
  <si>
    <t>tests/tests/keystore/src/android/keystore/cts/KeyChainTest.java</t>
  </si>
  <si>
    <t>tests/tests/app/src/android/app/cts/NotificationTest.java</t>
  </si>
  <si>
    <t>tests/tests/app/src/android/app/cts/SearchDialogTest.java</t>
  </si>
  <si>
    <t>common/util/tests/src/com/android/compatibility/common/util/StatTest.java</t>
  </si>
  <si>
    <t>common/util/tests/src/com/android/compatibility/common/util/ReportLogTest.java</t>
  </si>
  <si>
    <t>tests/tests/keystore/src/android/keystore/cts/MacTest.java</t>
  </si>
  <si>
    <t>tests/tests/media/src/android/media/cts/ResourceManagerTest.java</t>
  </si>
  <si>
    <t>common/host-side/tradefed/tests/src/com/android/compatibility/common/tradefed/result/ModuleResultTest.java</t>
  </si>
  <si>
    <t>common/util/src/com/android/compatibility/common/util/Result.java</t>
  </si>
  <si>
    <t>tests/tests/media/src/android/media/cts/VideoDecoderPerfTest.java</t>
  </si>
  <si>
    <t>tests/tests/keystore/src/android/keystore/cts/KeyGeneratorTest.java</t>
  </si>
  <si>
    <t>tests/tests/keystore/src/android/keystore/cts/TestUtils.java</t>
  </si>
  <si>
    <t>tests/tests/keystore/src/android/keystore/cts/CipherTest.java</t>
  </si>
  <si>
    <t>tests/tests/hardware/src/android/hardware/cts/helpers/sensorverification/EventOrderingVerificationTest.java</t>
  </si>
  <si>
    <t>hostsidetests/appsecurity/test-apps/ReadExternalStorageApp/src/com/android/cts/readexternalstorageapp/ReadExternalStorageTest.java</t>
  </si>
  <si>
    <t>common/host-side/tradefed/tests/src/com/android/compatibility/common/tradefed/testtype/ModuleDefTest.java</t>
  </si>
  <si>
    <t>common/util/src/com/android/compatibility/common/util/TestFilter.java</t>
  </si>
  <si>
    <t>common/util/tests/src/com/android/compatibility/common/util/TestFilterTest.java</t>
  </si>
  <si>
    <t>hostsidetests/devicepolicy/app/ManagedProfile/src/com/android/cts/managedprofile/WipeDataTest.java</t>
  </si>
  <si>
    <t>hostsidetests/appsecurity/src/com/android/cts/appsecurity/AdoptionHostTest.java</t>
  </si>
  <si>
    <t>tests/tests/alarmclock/src/android/alarmclock/cts/AlarmClockIntentsTest.java</t>
  </si>
  <si>
    <t>tests/tests/alarmclock/src/android/alarmclock/cts/TestActivity.java</t>
  </si>
  <si>
    <t>hostsidetests/devicepolicy/app/DeviceOwner/src/com/android/cts/deviceowner/ScreenCaptureDisabledTest.java</t>
  </si>
  <si>
    <t>tests/tests/provider/src/android/provider/cts/TelephonyProviderTest.java</t>
  </si>
  <si>
    <t>tests/tests/permission/src/android/permission/cts/AccountManagerTest.java</t>
  </si>
  <si>
    <t>tests/tests/telephony/src/android/telephony/cts/CarrierConfigManagerTest.java</t>
  </si>
  <si>
    <t>tests/tests/assist/src/android/assist/cts/AssistStructureTest.java</t>
  </si>
  <si>
    <t>tests/tests/assist/src/android/assist/cts/DisableContextTest.java</t>
  </si>
  <si>
    <t>tools/signature-tools/test/signature/comparator/AnnotationCompareTest.java</t>
  </si>
  <si>
    <t>tools/signature-tools/test/signature/comparator/ClassCompareTest.java</t>
  </si>
  <si>
    <t>tools/signature-tools/test/signature/comparator/PackageCompareTest.java</t>
  </si>
  <si>
    <t>tools/signature-tools/test/signature/comparator/util/AbstractComparatorTest.java</t>
  </si>
  <si>
    <t>tools/signature-tools/test/signature/converter/ConvertAnnotationTest.java</t>
  </si>
  <si>
    <t>tools/signature-tools/test/signature/converter/ConvertClassTest.java</t>
  </si>
  <si>
    <t>tools/signature-tools/test/signature/converter/ConvertEnumTest.java</t>
  </si>
  <si>
    <t>tools/signature-tools/test/signature/converter/ConvertPackageTest.java</t>
  </si>
  <si>
    <t>tools/signature-tools/test/signature/converter/ConvertParameterizedTypeTest.java</t>
  </si>
  <si>
    <t>tools/signature-tools/test/signature/converter/ConvertVisibilityTest.java</t>
  </si>
  <si>
    <t>tools/signature-tools/test/signature/converter/ConvertWildcardTest.java</t>
  </si>
  <si>
    <t>tools/signature-tools/test/signature/converter/dex/DexExternalizerTest.java</t>
  </si>
  <si>
    <t>tools/signature-tools/test/signature/converter/dex/DexUtilTest.java</t>
  </si>
  <si>
    <t>tools/signature-tools/test/signature/converter/dex/GenericSignatureParserTest.java</t>
  </si>
  <si>
    <t>tools/signature-tools/test/signature/converter/util/AbstractConvertTest.java</t>
  </si>
  <si>
    <t>common/host-side/tradefed/tests/src/com/android/compatibility/common/tradefed/build/CompatibilityBuildInfoTest.java</t>
  </si>
  <si>
    <t>tests/tests/location/src/android/location/cts/BaseMockLocationTest.java</t>
  </si>
  <si>
    <t>tests/tests/keystore/src/android/keystore/cts/AESCipherNistCavpKatTest.java</t>
  </si>
  <si>
    <t>common/host-side/tradefed/tests/src/com/android/compatibility/common/tradefed/build/CompatibilityBuildHelperTest.java</t>
  </si>
  <si>
    <t>hostsidetests/usage/src/com/android/cts/app/usage/AppIdleHostTest.java</t>
  </si>
  <si>
    <t>hostsidetests/devicepolicy/app/DeviceAndProfileOwner/src/com/android/cts/deviceandprofileowner/AccountManagementTest.java</t>
  </si>
  <si>
    <t>hostsidetests/devicepolicy/src/com/android/cts/devicepolicy/CustomDeviceOwnerTest.java</t>
  </si>
  <si>
    <t>tests/sample/src/android/sample/cts/SampleDeviceTest.java</t>
  </si>
  <si>
    <t>hostsidetests/theme/src/android/theme/cts/ThemeHostTest.java</t>
  </si>
  <si>
    <t>tests/tests/assist/src/android/assist/cts/AssistTest.java</t>
  </si>
  <si>
    <t>tools/cts-tradefed/tests/src/com/android/compatibility/tradefed/CtsTradefedTest.java</t>
  </si>
  <si>
    <t>hostsidetests/devicepolicy/app/DeviceOwner/src/com/android/cts/deviceowner/PackageInstallTest.java</t>
  </si>
  <si>
    <t>tests/tests/telecom/src/android/telecom/cts/BaseRemoteTelecomTest.java</t>
  </si>
  <si>
    <t>tests/tests/telecom/src/android/telecom/cts/WiredHeadsetTest.java</t>
  </si>
  <si>
    <t>suite/cts/deviceTests/filesystemperf/src/com/android/cts/filesystemperf/TestTest.java</t>
  </si>
  <si>
    <t>tests/tests/security/src/android/security/cts/AudioPolicyBinderTest.java</t>
  </si>
  <si>
    <t>tests/tests/security/src/android/security/cts/MediaPlayerInfoLeakTest.java</t>
  </si>
  <si>
    <t>tests/tests/hardware/src/android/hardware/cts/helpers/sensorverification/JitterVerificationTest.java</t>
  </si>
  <si>
    <t>common/util/src/com/android/compatibility/common/util/TestResult.java</t>
  </si>
  <si>
    <t>common/util/tests/src/com/android/compatibility/common/util/XmlResultHandlerTest.java</t>
  </si>
  <si>
    <t>tests/tests/security/src/android/security/cts/StagefrightTest.java</t>
  </si>
  <si>
    <t>common/util/tests/src/com/android/compatibility/common/util/ResultHandlerTest.java</t>
  </si>
  <si>
    <t>suite/cts/hostTests/uihost/control/src/com/android/cts/taskswitching/control/TaskswitchingDeviceTest.java</t>
  </si>
  <si>
    <t>suite/cts/hostTests/uihost/src/com/android/cts/uihost/TaskSwitchingTest.java</t>
  </si>
  <si>
    <t>tests/tests/security/src/android/security/cts/MediaCryptoTest.java</t>
  </si>
  <si>
    <t>common/host-side/tradefed/src/com/android/compatibility/common/tradefed/testtype/JarHostTest.java</t>
  </si>
  <si>
    <t>hostsidetests/devicepolicy/app/DeviceOwner/src/com/android/cts/deviceowner/CaCertManagementTest.java</t>
  </si>
  <si>
    <t>tests/tests/animation/src/android/animation/cts/ValueAnimatorTest.java</t>
  </si>
  <si>
    <t>common/host-side/tradefed/tests/src/com/android/compatibility/common/tradefed/targetprep/SettingsCheckTest.java</t>
  </si>
  <si>
    <t>common/host-side/tradefed/tests/src/com/android/compatibility/common/tradefed/targetprep/SettingsTaskTest.java</t>
  </si>
  <si>
    <t>tests/tests/content/preconditions/src/android/content/preconditions/PreconditionsTest.java</t>
  </si>
  <si>
    <t>tests/tests/net/preconditions/src/android/net/preconditions/PreconditionsTest.java</t>
  </si>
  <si>
    <t>tests/tests/text/preconditions/src/android/text/preconditions/PreconditionsTest.java</t>
  </si>
  <si>
    <t>tests/tests/webkit/preconditions/src/android/webkit/preconditions/PreconditionsTest.java</t>
  </si>
  <si>
    <t>tests/tests/widget/preconditions/src/android/widget/preconditions/PreconditionsTest.java</t>
  </si>
  <si>
    <t>common/device-side/device-info/tests/src/com/android/compatibility/common/deviceinfo/DeviceInfoActivityTest.java</t>
  </si>
  <si>
    <t>common/device-side/device-info/tests/src/com/android/compatibility/common/deviceinfo/TestDeviceInfo.java</t>
  </si>
  <si>
    <t>common/host-side/tradefed/tests/src/com/android/compatibility/common/tradefed/targetprep/LocaleCheckTest.java</t>
  </si>
  <si>
    <t>common/host-side/tradefed/tests/src/com/android/compatibility/common/tradefed/targetprep/BuildCheckTest.java</t>
  </si>
  <si>
    <t>common/host-side/tradefed/tests/src/com/android/compatibility/common/tradefed/result/ResultReporterTest.java</t>
  </si>
  <si>
    <t>tools/tradefed-host/tests/src/com/android/cts/tradefed/targetprep/HostPreconditionPreparerTest.java</t>
  </si>
  <si>
    <t>tools/tradefed-host/preconditions/src/com/android/cts/preconditions/PreconditionsTest.java</t>
  </si>
  <si>
    <t>tests/tests/permission2/src/android/permission2/cts/PermissionPolicyTest.java</t>
  </si>
  <si>
    <t>tests/app/src/android/app/cts/NotificationTest.java</t>
  </si>
  <si>
    <t>tests/tests/widget/src/android/widget/cts/PopupMenuTest.java</t>
  </si>
  <si>
    <t>tests/admin/src/android/admin/cts/DeviceAdminInfoTest.java</t>
  </si>
  <si>
    <t>apps/CtsVerifier/src/com/android/cts/verifier/admin/TestDeviceAdminReceiver.java</t>
  </si>
  <si>
    <t>tests/tests/tv/src/android/media/tv/cts/HardwareSessionTest.java</t>
  </si>
  <si>
    <t>tests/app/src/android/app/cts/FragmentTransitionTest.java</t>
  </si>
  <si>
    <t>tests/app/src/android/app/cts/InstrumentationTest.java</t>
  </si>
  <si>
    <t>tests/tests/net/src/android/net/cts/LocalServerSocketTest.java</t>
  </si>
  <si>
    <t>tests/app/src/android/app/cts/UiModeManagerTest.java</t>
  </si>
  <si>
    <t>hostsidetests/devicepolicy/app/DeviceAndProfileOwner/src/com/android/cts/deviceandprofileowner/AccountUtilsTest.java</t>
  </si>
  <si>
    <t>hostsidetests/devicepolicy/src/com/android/cts/devicepolicy/DeviceAndProfileOwnerTest.java</t>
  </si>
  <si>
    <t>tests/tests/draganddrop/src/android/dnd/cts/DragAndDropTest.java</t>
  </si>
  <si>
    <t>hostsidetests/devicepolicy/src/com/android/cts/devicepolicy/MixedProfileOwnerTest.java</t>
  </si>
  <si>
    <t>hostsidetests/devicepolicy/src/com/android/cts/devicepolicy/EphemeralUserTest.java</t>
  </si>
  <si>
    <t>tests/tests/networksecurityconfig/src/android/security/net/config/cts/TestUtils.java</t>
  </si>
  <si>
    <t>tests/tests/graphics/src/android/graphics/cts/VulkanReservedTest.java</t>
  </si>
  <si>
    <t>hostsidetests/devicepolicy/app/DeviceAndProfileOwner/src/com/android/cts/deviceandprofileowner/ClearDeviceOwnerTest.java</t>
  </si>
  <si>
    <t>hostsidetests/devicepolicy/app/DeviceAndProfileOwner/src/com/android/cts/deviceandprofileowner/ClearProfileOwnerTest.java</t>
  </si>
  <si>
    <t>hostsidetests/devicepolicy/app/DeviceAndProfileOwner/src/com/android/cts/deviceandprofileowner/ApplicationRestrictionsTest.java</t>
  </si>
  <si>
    <t>hostsidetests/sysui/app/src/android/sysui/testtile/TestActiveTileService.java</t>
  </si>
  <si>
    <t>hostsidetests/sysui/app/src/android/sysui/testtile/TestTileService.java</t>
  </si>
  <si>
    <t>hostsidetests/sysui/src/android/host/systemui/ActiveTileServiceTest.java</t>
  </si>
  <si>
    <t>hostsidetests/sysui/src/android/host/systemui/BaseTileServiceTest.java</t>
  </si>
  <si>
    <t>hostsidetests/sysui/src/android/host/systemui/TileServiceTest.java</t>
  </si>
  <si>
    <t>tests/tests/text/src/android/text/style/cts/LocaleSpanTest.java</t>
  </si>
  <si>
    <t>tests/tests/text/src/android/text/style/cts/SuggestionSpanTest.java</t>
  </si>
  <si>
    <t>tests/tests/security/src/android/security/cts/StagefrightFoundationTest.java</t>
  </si>
  <si>
    <t>hostsidetests/devicepolicy/src/com/android/cts/devicepolicy/DeviceAdminHostSideTest.java</t>
  </si>
  <si>
    <t>hostsidetests/devicepolicy/app/DeviceAdmin/src/com.android.cts.deviceadmin/DeviceAdminTest.java</t>
  </si>
  <si>
    <t>hostsidetests/devicepolicy/src/com/android/cts/devicepolicy/BaseDeviceAdminHostSideTest.java</t>
  </si>
  <si>
    <t>hostsidetests/devicepolicy/app/DeviceOwner/src/com/android/cts/deviceowner/ClearDeviceOwnerTest.java</t>
  </si>
  <si>
    <t>hostsidetests/devicepolicy/app/PackageInstaller/src/com/android/cts/packageinstaller/ClearDeviceOwnerTest.java</t>
  </si>
  <si>
    <t>tests/tests/tv/src/android/media/tv/cts/TvContractTest.java</t>
  </si>
  <si>
    <t>hostsidetests/devicepolicy/app/DeviceAdmin/src/com.android.cts.deviceadmin/ClearDeviceOwnerTest.java</t>
  </si>
  <si>
    <t>hostsidetests/devicepolicy/app/DeviceAdmin/src/com.android.cts.deviceadmin/ClearPasswordTest.java</t>
  </si>
  <si>
    <t>tests/admin/src/android/admin/cts/DevicePolicyManagerTest.java</t>
  </si>
  <si>
    <t>tests/tests/app.usage/src/android/app/usage/cts/FragmentTest.java</t>
  </si>
  <si>
    <t>hostsidetests/devicepolicy/app/ManagedProfile/src/com/android/cts/managedprofile/PhoneAccountTest.java</t>
  </si>
  <si>
    <t>hostsidetests/appsecurity/test-apps/DocumentClient/src/com/android/cts/documentclient/DocumentsClientTest.java</t>
  </si>
  <si>
    <t>tests/camera/src/android/hardware/camera2/cts/CaptureRequestTest.java</t>
  </si>
  <si>
    <t>hostsidetests/net/app/src/com/android/cts/net/hostside/ConnectivityManagerTest.java</t>
  </si>
  <si>
    <t>tests/tests/media/src/android/media/cts/AudioRecordNotificationTest.java</t>
  </si>
  <si>
    <t>tests/abioverride/src/android/abioverride/cts/AbiOverrideTest.java</t>
  </si>
  <si>
    <t>tests/tests/renderscript/src/android/renderscript/cts/LinkTest.java</t>
  </si>
  <si>
    <t>tests/tests/renderscript/src/android/renderscript/cts/Float16ArithmeticTest.java</t>
  </si>
  <si>
    <t>tests/camera/src/android/hardware/camera2/cts/StaticMetadataCollectionTest.java</t>
  </si>
  <si>
    <t>tests/tests/hardware/src/android/hardware/cts/SensorBatchingFifoTest.java</t>
  </si>
  <si>
    <t>hostsidetests/cpptools/src/com/android/cts/cpptools/RunAsHostTest.java</t>
  </si>
  <si>
    <t>tests/tests/automotive/src/android/car/cts/CarConnectionListenerTest.java</t>
  </si>
  <si>
    <t>tests/video/src/android/video/cts/VideoEncoderDecoderTest.java</t>
  </si>
  <si>
    <t>tests/tests/animation/src/android/animation/cts/ArgbEvaluatorTest.java</t>
  </si>
  <si>
    <t>tests/tests/animation/src/android/animation/cts/FloatEvaluatorTest.java</t>
  </si>
  <si>
    <t>tests/tests/animation/src/android/animation/cts/IntEvaluatorTest.java</t>
  </si>
  <si>
    <t>hostsidetests/systemui/src/android/host/systemui/BaseTileServiceTest.java</t>
  </si>
  <si>
    <t>hostsidetests/trustedvoice/src/android/trustedvoice/cts/TrustedVoiceHostTest.java</t>
  </si>
  <si>
    <t>tests/app/src/android/app/cts/AlertDialog_BuilderTest.java</t>
  </si>
  <si>
    <t>tests/tests/graphics/src/android/graphics/cts/AvoidXfermodeTest.java</t>
  </si>
  <si>
    <t>tests/tests/graphics/src/android/graphics/cts/AvoidXfermode_ModeTest.java</t>
  </si>
  <si>
    <t>tests/tests/graphics/src/android/graphics/cts/PixelXorXfermodeTest.java</t>
  </si>
  <si>
    <t>tests/tests/widget/src/android/widget/cts/ListPopupWindowTest.java</t>
  </si>
  <si>
    <t>tests/tests/graphics/src/android/graphics/drawable/cts/DrawableContainerStateTest.java</t>
  </si>
  <si>
    <t>tests/tests/graphics/src/android/graphics/drawable/cts/Drawable_ConstantStateTest.java</t>
  </si>
  <si>
    <t>tests/app/src/android/app/cts/AlertDialogTest.java</t>
  </si>
  <si>
    <t>tests/tests/transition/src/android/transition/cts/ArcMotionTest.java</t>
  </si>
  <si>
    <t>tests/tests/transition/src/android/transition/cts/BaseTransitionTest.java</t>
  </si>
  <si>
    <t>tests/tests/text/src/android/text/method/cts/BackspaceTest.java</t>
  </si>
  <si>
    <t>tests/tests/text/src/android/text/method/cts/ForwardDeleteTest.java</t>
  </si>
  <si>
    <t>tests/tests/location/src/android/location/cts/GnssMeasurementTest.java</t>
  </si>
  <si>
    <t>tests/tests/content/src/android/content/res/cts/ColorStateListTest.java</t>
  </si>
  <si>
    <t>tests/tests/content/src/android/content/res/cts/TypedArrayTest.java</t>
  </si>
  <si>
    <t>tests/accessibilityservice/src/android/accessibilityservice/cts/GestureDescriptionTest.java</t>
  </si>
  <si>
    <t>tests/tests/security/src/android/security/cts/RestrictedInformationTest.java</t>
  </si>
  <si>
    <t>hostsidetests/devicepolicy/app/DeviceOwner/src/com/android/cts/deviceowner/DeviceLoggingTest.java</t>
  </si>
  <si>
    <t>tests/tests/telephony/src/android/telephony/cts/SmsManagerTest.java</t>
  </si>
  <si>
    <t>tests/tests/os/src/android/os/cts/HardwarePropertiesManagerTest.java</t>
  </si>
  <si>
    <t>tests/tests/content/src/android/content/cts/ContextTest.java</t>
  </si>
  <si>
    <t>hostsidetests/appsecurity/src/android/appsecurity/cts/DocumentsTest.java</t>
  </si>
  <si>
    <t>tests/tests/icu/src/android/icu/cts/junit/IcuFrameworkTest.java</t>
  </si>
  <si>
    <t>tests/tests/icu/src/android/icu/cts/junit/TestFmwkUtils.java</t>
  </si>
  <si>
    <t>tests/JobScheduler/src/android/jobscheduler/cts/TimingConstraintsTest.java</t>
  </si>
  <si>
    <t>tests/tests/widget/src/android/widget/cts/TabHostTest.java</t>
  </si>
  <si>
    <t>tests/tests/transition/src/android/transition/cts/SlideBadEdgeTest.java</t>
  </si>
  <si>
    <t>tests/tests/transition/src/android/transition/cts/SlideEdgeTest.java</t>
  </si>
  <si>
    <t>hostsidetests/appsecurity/test-apps/AppAccessData/src/com/android/cts/appaccessdata/AccessPrivateDataTest.java</t>
  </si>
  <si>
    <t>hostsidetests/security/src/android/security/cts/SELinuxHostTest.java</t>
  </si>
  <si>
    <t>hostsidetests/jank/src/android/jank/cts/CtsHostJankTest.java</t>
  </si>
  <si>
    <t>tests/tests/car/src/android/car/cts/CarAppContextManagerTest.java</t>
  </si>
  <si>
    <t>tests/tests/media/src/android/media/cts/ExifInterfaceTest.java</t>
  </si>
  <si>
    <t>tests/accessibilityservice/src/android/accessibilityservice/cts/AccessibilityGestureDispatchTest.java</t>
  </si>
  <si>
    <t>tests/tests/provider/src/android/provider/cts/BlockedNumberBackupRestoreTest.java</t>
  </si>
  <si>
    <t>tests/tests/net/src/android/net/wifi/cts/NsdManagerTest.java</t>
  </si>
  <si>
    <t>tests/uiautomator/app/src/com/android/uiautomator/app/Test1DetailFragment.java</t>
  </si>
  <si>
    <t>tests/uiautomator/app/src/com/android/uiautomator/app/Test2DetailFragment.java</t>
  </si>
  <si>
    <t>tests/uiautomator/app/src/com/android/uiautomator/app/Test3DetailFragment.java</t>
  </si>
  <si>
    <t>tests/uiautomator/app/src/com/android/uiautomator/app/Test4DetailFragment.java</t>
  </si>
  <si>
    <t>tests/uiautomator/app/src/com/android/uiautomator/app/Test5DetailFragment.java</t>
  </si>
  <si>
    <t>tests/uiautomator/app/src/com/android/uiautomator/app/Test6DetailFragment.java</t>
  </si>
  <si>
    <t>tests/uiautomator/app/src/com/android/uiautomator/app/TestGenericDetailFragment.java</t>
  </si>
  <si>
    <t>tests/uiautomator/app/src/com/android/uiautomator/app/TestItems.java</t>
  </si>
  <si>
    <t>tests/uiautomator/app/src/com/android/uiautomator/app/TestListFragment.java</t>
  </si>
  <si>
    <t>tests/uiautomator/src/com/android/uiautomator/cts/UiAutomatorTest.java</t>
  </si>
  <si>
    <t>tools/tradefed-host/src/com/android/cts/tradefed/testtype/UiAutomatorJarTest.java</t>
  </si>
  <si>
    <t>tests/tests/security/src/android/security/cts/BrowserTest.java</t>
  </si>
  <si>
    <t>tests/tests/print/src/android/print/cts/PrintAttributesTest.java</t>
  </si>
  <si>
    <t>tests/sample/src/android/sample/cts/SampleDeviceReportLogTest.java</t>
  </si>
  <si>
    <t>tests/tests/media/src/android/media/cts/AudioRecordingConfigurationTest.java</t>
  </si>
  <si>
    <t>tests/accessibilityservice/src/android/accessibilityservice/cts/AccessibilitySoftKeyboardModesTest.java</t>
  </si>
  <si>
    <t>tests/accessibility/src/android/view/accessibility/cts/CaptioningManagerTest.java</t>
  </si>
  <si>
    <t>tests/accessibilityservice/src/android/accessibilityservice/cts/AccessibilityEndToEndTest.java</t>
  </si>
  <si>
    <t>tests/accessibilityservice/src/android/accessibilityservice/cts/AccessibilityFocusAndInputFocusSyncTest.java</t>
  </si>
  <si>
    <t>tests/accessibilityservice/src/android/accessibilityservice/cts/AccessibilityTextTraversalTest.java</t>
  </si>
  <si>
    <t>tests/accessibilityservice/src/android/accessibilityservice/cts/AccessibilityViewTreeReportingTest.java</t>
  </si>
  <si>
    <t>tests/accessibilityservice/src/android/accessibilityservice/cts/AccessibilityWindowQueryTest.java</t>
  </si>
  <si>
    <t>tests/tests/uiautomation/src/android/app/uiautomation/cts/UiAutomationTest.java</t>
  </si>
  <si>
    <t>tests/tests/icu/src/android/icu/cts/IcuTestFilter.java</t>
  </si>
  <si>
    <t>tests/tests/icu/src/android/icu/cts/IcuTestList.java</t>
  </si>
  <si>
    <t>tests/tests/security/src/android/security/cts/AudioEffectBinderTest.java</t>
  </si>
  <si>
    <t>tests/tests/security/src/android/security/cts/AudioFlingerBinderTest.java</t>
  </si>
  <si>
    <t>tests/tests/security/src/android/security/cts/GraphicBufferInfoLeakTest.java</t>
  </si>
  <si>
    <t>tests/tests/security/src/android/security/cts/LoadEffectLibraryTest.java</t>
  </si>
  <si>
    <t>tests/tests/location/src/android/location/cts/GnssNavigationMessageEventCallbackTest.java</t>
  </si>
  <si>
    <t>tests/tests/location/src/android/location/cts/GnssNavigationMessageEventTest.java</t>
  </si>
  <si>
    <t>tests/libcore/runner/host-side/src/com/android/compatibility/testtype/DalvikTest.java</t>
  </si>
  <si>
    <t>tests/tests/view/src/android/view/cts/NumberPickerTest.java</t>
  </si>
  <si>
    <t>tests/tests/text/src/android/text/util/cts/LinkifyTest.java</t>
  </si>
  <si>
    <t>tests/tests/widget/src/android/widget/cts/NumberPickerTest.java</t>
  </si>
  <si>
    <t>tests/tests/print/src/android/print/cts/CustomPrintOptionsTest.java</t>
  </si>
  <si>
    <t>tests/accessibilityservice/src/android/accessibilityservice/cts/AccessibilityWindowReportingTest.java</t>
  </si>
  <si>
    <t>tests/tests/telecom/src/android/telecom/cts/ConferenceTest.java</t>
  </si>
  <si>
    <t>tests/tests/telecom/src/android/telecom/cts/ConnectionTest.java</t>
  </si>
  <si>
    <t>tests/tests/telecom/src/android/telecom/cts/ExternalCallTest.java</t>
  </si>
  <si>
    <t>tests/tests/telecom/src/android/telecom/cts/RemoteConferenceTest.java</t>
  </si>
  <si>
    <t>tests/tests/telecom/src/android/telecom/cts/RemoteConnectionTest.java</t>
  </si>
  <si>
    <t>tests/tests/net/src/android/net/http/cts/X509TrustManagerExtensionsTest.java</t>
  </si>
  <si>
    <t>tests/tests/widget/src/android/widget/cts/RadioButtonTest.java</t>
  </si>
  <si>
    <t>tests/tests/widget/src/android/widget/cts/ImageButtonTest.java</t>
  </si>
  <si>
    <t>tests/tests/uirendering/src/android/uirendering/cts/testclasses/ColorFilterAlphaTest.java</t>
  </si>
  <si>
    <t>tests/tests/uirendering/src/android/uirendering/cts/testclasses/XfermodeTest.java</t>
  </si>
  <si>
    <t>hostsidetests/devicepolicy/app/DeviceAndProfileOwner/src/com/android/cts/deviceandprofileowner/AudioRestrictionTest.java</t>
  </si>
  <si>
    <t>hostsidetests/devicepolicy/app/DeviceOwner/src/com/android/cts/deviceowner/RemoteBugreportTest.java</t>
  </si>
  <si>
    <t>tests/tests/widget/src/android/widget/cts/CheckedTextViewTest.java</t>
  </si>
  <si>
    <t>hostsidetests/devicepolicy/app/ManagedProfile/src/com/android/cts/managedprofile/OrganizationInfoTest.java</t>
  </si>
  <si>
    <t>tools/tradefed-host/src/com/android/cts/tradefed/testtype/TestNGDeviceTest.java</t>
  </si>
  <si>
    <t>tests/core/runner/src/com/android/cts/core/runner/TestList.java</t>
  </si>
  <si>
    <t>tests/inputmethod/src/android/inputmethod/cts/InputMethodServiceTest.java</t>
  </si>
  <si>
    <t>tests/tests/content/src/android/content/cts/ImageCaptureUriExtraToClipDataTest.java</t>
  </si>
  <si>
    <t>hostsidetests/appsecurity/src/android/appsecurity/cts/PermissionsHostTest.java</t>
  </si>
  <si>
    <t>hostsidetests/appsecurity/test-apps/UsePermissionApp/src/com/android/cts/usepermission/UsePermissionTest.java</t>
  </si>
  <si>
    <t>hostsidetests/appsecurity/test-apps/UsePermissionAppCompat/src/com/android/cts/usepermission/UsePermissionCompatTest.java</t>
  </si>
  <si>
    <t>tests/tests/widget/src/android/widget/cts/RelativeLayoutTest.java</t>
  </si>
  <si>
    <t>tests/tests/security/src/android/security/cts/AllocatePixelRefIntOverflowTest.java</t>
  </si>
  <si>
    <t>tests/tests/security/src/android/security/cts/SkiaICORecursiveDecodingTest.java</t>
  </si>
  <si>
    <t>tests/tests/media/src/android/media/cts/LoudnessEnhancerTest.java</t>
  </si>
  <si>
    <t>tests/browser/src/android/browser/cts/BrowserBenchTest.java</t>
  </si>
  <si>
    <t>tests/tests/shortcutmanager/src/android/content/pm/cts/ShortcutManagerDynamicCountTest.java</t>
  </si>
  <si>
    <t>tests/tests/shortcutmanager/src/android/content/pm/cts/ShortcutManagerNoThrottlingTest.java</t>
  </si>
  <si>
    <t>tests/tests/shortcutmanager/src/android/content/pm/cts/ShortcutManagerSpoofDetectionTest.java</t>
  </si>
  <si>
    <t>tests/tests/shortcutmanager/src/android/content/pm/cts/ShortcutManagerThrottlingTest.java</t>
  </si>
  <si>
    <t>hostsidetests/compilation/src/android/cts/compilation/CompilationTest.java</t>
  </si>
  <si>
    <t>tests/tests/libcorefileio/src/android/cts/FileChannelTryLockTest.java</t>
  </si>
  <si>
    <t>hostsidetests/net/app/src/com/android/cts/net/hostside/BatterySaverModeNonMeteredTest.java</t>
  </si>
  <si>
    <t>tests/tests/permission/src/android/permission/cts/AudioPermissionTest.java</t>
  </si>
  <si>
    <t>tests/tests/media/src/android/media/cts/DecodeAccuracyTest.java</t>
  </si>
  <si>
    <t>tests/app/src/android/app/cts/KeyguardManagerTest.java</t>
  </si>
  <si>
    <t>tests/app/src/android/app/cts/ActivityManagerTest.java</t>
  </si>
  <si>
    <t>tests/tests/widget/src/android/widget/cts/MultiAutoCompleteTextViewTest.java</t>
  </si>
  <si>
    <t>hostsidetests/sustainedperf/src/android/SustainedPerformance/cts/SustainedPerformanceHostTest.java</t>
  </si>
  <si>
    <t>tests/tests/security/src/android/security/cts/DisplayDriverTest.java</t>
  </si>
  <si>
    <t>hostsidetests/devicepolicy/app/DeviceOwner/src/com/android/cts/deviceowner/CreateAndManageUserTest.java</t>
  </si>
  <si>
    <t>hostsidetests/largeapk/src/android/largeapk/cts/LargeApkTest.java</t>
  </si>
  <si>
    <t>hostsidetests/compilation/src/android/cts/compilation/AdbRootDependentCompilationTest.java</t>
  </si>
  <si>
    <t>tests/tests/security/src/android/security/cts/EncryptionTest.java</t>
  </si>
  <si>
    <t>tests/tests/graphics/src/android/graphics/pdf/cts/PdfRenderTest.java</t>
  </si>
  <si>
    <t>tests/tests/widget/src/android/widget/cts/ArrayAdapterTest.java</t>
  </si>
  <si>
    <t>tests/tests/widget/src/android/widget/cts/ExpandableListViewTest.java</t>
  </si>
  <si>
    <t>tests/tests/widget/src/android/widget/cts/AdapterViewTest.java</t>
  </si>
  <si>
    <t>tests/vr/src/android/vr/cts/VrSensorsTest.java</t>
  </si>
  <si>
    <t>tests/tests/media/src/android/media/cts/EncoderTest.java</t>
  </si>
  <si>
    <t>tests/tests/widget/src/android/widget/cts/SeekBarTest.java</t>
  </si>
  <si>
    <t>tests/tests/graphics/src/android/graphics/cts/MatrixTest.java</t>
  </si>
  <si>
    <t>suite/cts/deviceTests/browserbench/src/com/android/cts/browser/BrowserBenchTest.java</t>
  </si>
  <si>
    <t>tests/tests/widget/src/android/widget/cts/ZoomButtonTest.java</t>
  </si>
  <si>
    <t>hostsidetests/devicepolicy/app/DeviceAndProfileOwner/src/com/android/cts/deviceandprofileowner/AlwaysOnVpnTest.java</t>
  </si>
  <si>
    <t>common/host-side/util/tests/src/com/android/compatibility/common/util/MetricsStoreTest.java</t>
  </si>
  <si>
    <t>tests/tests/graphics/src/android/graphics/cts/PointFTest.java</t>
  </si>
  <si>
    <t>tests/tests/graphics/src/android/graphics/cts/PointTest.java</t>
  </si>
  <si>
    <t>tests/tests/graphics/src/android/graphics/cts/RectFTest.java</t>
  </si>
  <si>
    <t>tests/tests/view/src/android/view/cts/AbsSavedStateTest.java</t>
  </si>
  <si>
    <t>tests/tests/transition/src/android/transition/cts/SceneTest.java</t>
  </si>
  <si>
    <t>tests/tests/widget/src/android/widget/cts/BaseAdapterTest.java</t>
  </si>
  <si>
    <t>tests/tests/widget/src/android/widget/cts/BaseExpandableListAdapterTest.java</t>
  </si>
  <si>
    <t>tests/tests/widget/src/android/widget/cts/CursorTreeAdapterTest.java</t>
  </si>
  <si>
    <t>tests/tests/widget/src/android/widget/cts/FilterTest.java</t>
  </si>
  <si>
    <t>tests/tests/widget/src/android/widget/cts/HeaderViewListAdapterTest.java</t>
  </si>
  <si>
    <t>tests/tests/widget/src/android/widget/cts/SlidingDrawerTest.java</t>
  </si>
  <si>
    <t>tests/tests/widget/src/android/widget/cts/TableRowTest.java</t>
  </si>
  <si>
    <t>tests/tests/animation/src/android/animation/cts/PropertyValuesHolderTest.java</t>
  </si>
  <si>
    <t>tests/tests/animation/src/android/animation/cts/AnimatorListenerAdapterTest.java</t>
  </si>
  <si>
    <t>tests/tests/widget/src/android/widget/cts/RemoteViewsTest.java</t>
  </si>
  <si>
    <t>tests/tests/print/src/android/print/cts/PrintJobTest.java</t>
  </si>
  <si>
    <t>tests/app/src/android/app/cts/FragmentReceiveResultTest.java</t>
  </si>
  <si>
    <t>tests/tests/graphics/src/android/graphics/pdf/cts/PdfRendererTest.java</t>
  </si>
  <si>
    <t>tests/tests/print/src/android/print/cts/ClassParametersTest.java</t>
  </si>
  <si>
    <t>tests/tests/text/src/android/text/cts/BoringLayoutTest.java</t>
  </si>
  <si>
    <t>tests/tests/text/src/android/text/cts/LoginFilterTest.java</t>
  </si>
  <si>
    <t>tests/tests/text/src/android/text/method/cts/LinkMovementMethodTest.java</t>
  </si>
  <si>
    <t>tests/tests/text/src/android/text/method/cts/MetaKeyKeyListenerTest.java</t>
  </si>
  <si>
    <t>tests/tests/text/src/android/text/method/cts/PasswordTransformationMethodTest.java</t>
  </si>
  <si>
    <t>tests/tests/widget/src/android/widget/cts/util/TestUtils.java</t>
  </si>
  <si>
    <t>tests/tests/print/src/android/print/cts/AppPrintInterfaceTest.java</t>
  </si>
  <si>
    <t>tests/tests/print/src/android/print/cts/PrintServicesTest.java</t>
  </si>
  <si>
    <t>tests/tests/print/src/android/print/cts/PageRangeAdjustmentTest.java</t>
  </si>
  <si>
    <t>tests/tests/print/src/android/print/cts/PrinterCapabilitiesTest.java</t>
  </si>
  <si>
    <t>tests/tests/print/src/android/print/cts/PrinterDiscoverySessionLifecycleTest.java</t>
  </si>
  <si>
    <t>tests/tests/print/src/android/print/cts/PrinterInfoTest.java</t>
  </si>
  <si>
    <t>tests/tests/widget/src/android/widget/cts/AbsListView_LayoutParamsTest.java</t>
  </si>
  <si>
    <t>tests/tests/widget/src/android/widget/cts/AbsSpinnerTest.java</t>
  </si>
  <si>
    <t>tests/tests/widget/src/android/widget/cts/AbsoluteLayoutTest.java</t>
  </si>
  <si>
    <t>tests/tests/widget/src/android/widget/cts/ActionMenuViewTest.java</t>
  </si>
  <si>
    <t>tests/tests/widget/src/android/widget/cts/AnalogClockTest.java</t>
  </si>
  <si>
    <t>tests/tests/widget/src/android/widget/cts/CalendarViewTest.java</t>
  </si>
  <si>
    <t>tests/tests/widget/src/android/widget/cts/CheckBoxTest.java</t>
  </si>
  <si>
    <t>hostsidetests/services/activitymanager/app/src/android/server/app/TestActivity.java</t>
  </si>
  <si>
    <t>tests/tests/widget/src/android/widget/cts/GridLayoutTest.java</t>
  </si>
  <si>
    <t>tests/tests/widget/src/android/widget/cts/DialerFilterTest.java</t>
  </si>
  <si>
    <t>tests/tests/widget/src/android/widget/cts/DigitalClockTest.java</t>
  </si>
  <si>
    <t>tests/tests/widget/src/android/widget/cts/EditTextTest.java</t>
  </si>
  <si>
    <t>tests/tests/widget/src/android/widget/cts/ExpandableListViewBasicTest.java</t>
  </si>
  <si>
    <t>tests/tests/widget/src/android/widget/cts/ExpandableListViewWithHeadersTest.java</t>
  </si>
  <si>
    <t>tests/tests/widget/src/android/widget/cts/LinearLayoutTest.java</t>
  </si>
  <si>
    <t>tests/tests/widget/src/android/widget/cts/MultiAutoCompleteTextView_CommaTokenizerTest.java</t>
  </si>
  <si>
    <t>tests/tests/widget/src/android/widget/cts/RadioGroupTest.java</t>
  </si>
  <si>
    <t>tests/tests/widget/src/android/widget/cts/RadioGroup_LayoutParamsTest.java</t>
  </si>
  <si>
    <t>tests/tests/widget/src/android/widget/cts/RelativeLayout_LayoutParamsTest.java</t>
  </si>
  <si>
    <t>tests/tests/widget/src/android/widget/cts/RemoteViewsActivityTest.java</t>
  </si>
  <si>
    <t>tests/tests/widget/src/android/widget/cts/ScrollerTest.java</t>
  </si>
  <si>
    <t>tests/tests/webkit/src/android/webkit/cts/WebViewStartupTest.java</t>
  </si>
  <si>
    <t>tests/tests/widget/src/android/widget/cts/SwitchTest.java</t>
  </si>
  <si>
    <t>tests/tests/widget/src/android/widget/cts/TabHost_TabSpecTest.java</t>
  </si>
  <si>
    <t>tests/tests/widget/src/android/widget/cts/CursorAdapterTest.java</t>
  </si>
  <si>
    <t>tests/tests/widget/src/android/widget/cts/ResourceCursorAdapterTest.java</t>
  </si>
  <si>
    <t>tests/tests/widget/src/android/widget/cts/ResourceCursorTreeAdapterTest.java</t>
  </si>
  <si>
    <t>tests/tests/widget/src/android/widget/cts/SearchViewTest.java</t>
  </si>
  <si>
    <t>tests/tests/widget/src/android/widget/cts/SearchView_CursorTest.java</t>
  </si>
  <si>
    <t>tests/tests/widget/src/android/widget/cts/SimpleAdapterTest.java</t>
  </si>
  <si>
    <t>tests/tests/widget/src/android/widget/cts/SimpleCursorAdapterTest.java</t>
  </si>
  <si>
    <t>tests/tests/widget/src/android/widget/cts/SimpleCursorTreeAdapterTest.java</t>
  </si>
  <si>
    <t>tests/tests/widget/src/android/widget/cts/SimpleExpandableListAdapterTest.java</t>
  </si>
  <si>
    <t>tests/tests/widget/src/android/widget/cts/TableLayout_LayoutParamsTest.java</t>
  </si>
  <si>
    <t>tests/tests/widget/src/android/widget/cts/TabWidgetTest.java</t>
  </si>
  <si>
    <t>tests/tests/widget/src/android/widget/cts/TextViewFadingEdgeTest.java</t>
  </si>
  <si>
    <t>tests/tests/widget/src/android/widget/cts/ToastTest.java</t>
  </si>
  <si>
    <t>tests/tests/widget/src/android/widget/cts/ToggleButtonTest.java</t>
  </si>
  <si>
    <t>tests/tests/widget/src/android/widget/cts/ToolbarTest.java</t>
  </si>
  <si>
    <t>tests/tests/widget/src/android/widget/cts/TwoLineListItemTest.java</t>
  </si>
  <si>
    <t>tests/tests/widget/src/android/widget/cts/ViewAnimatorTest.java</t>
  </si>
  <si>
    <t>tests/tests/widget/src/android/widget/cts/ViewFlipperTest.java</t>
  </si>
  <si>
    <t>tests/tests/widget/src/android/widget/cts/ViewSwitcherTest.java</t>
  </si>
  <si>
    <t>tests/tests/view/src/android/view/inputmethod/cts/BaseInputConnectionTest.java</t>
  </si>
  <si>
    <t>tests/tests/view/src/android/view/inputmethod/cts/EditorInfoTest.java</t>
  </si>
  <si>
    <t>tests/tests/view/src/android/view/inputmethod/cts/InputContentInfoTest.java</t>
  </si>
  <si>
    <t>tests/tests/view/src/android/view/inputmethod/cts/InputMethodManagerTest.java</t>
  </si>
  <si>
    <t>tests/tests/widget/src/android/widget/cts/TableRow_LayoutParamsTest.java</t>
  </si>
  <si>
    <t>tests/tests/widget/src/android/widget/cts/TextSwitcherTest.java</t>
  </si>
  <si>
    <t>tests/tests/view/src/android/view/animation/cts/AccelerateDecelerateInterpolatorTest.java</t>
  </si>
  <si>
    <t>tests/tests/view/src/android/view/animation/cts/AccelerateInterpolatorTest.java</t>
  </si>
  <si>
    <t>tests/tests/view/src/android/view/animation/cts/AnimationSetTest.java</t>
  </si>
  <si>
    <t>tests/tests/view/src/android/view/animation/cts/AnimationTest.java</t>
  </si>
  <si>
    <t>tests/tests/view/src/android/view/animation/cts/AnimationUtilsTest.java</t>
  </si>
  <si>
    <t>tests/tests/view/src/android/view/animation/cts/AnimatorInflaterTest.java</t>
  </si>
  <si>
    <t>tests/tests/view/src/android/view/animation/cts/CycleInterpolatorTest.java</t>
  </si>
  <si>
    <t>tests/tests/view/src/android/view/animation/cts/DecelerateInterpolatorTest.java</t>
  </si>
  <si>
    <t>tests/tests/view/src/android/view/animation/cts/GridLayoutAnimationControllerTest.java</t>
  </si>
  <si>
    <t>tests/tests/view/src/android/view/animation/cts/LayoutAnimationControllerTest.java</t>
  </si>
  <si>
    <t>tests/tests/view/src/android/view/animation/cts/LinearInterpolatorTest.java</t>
  </si>
  <si>
    <t>tests/tests/view/src/android/view/animation/cts/RotateAnimationTest.java</t>
  </si>
  <si>
    <t>tests/tests/view/src/android/view/animation/cts/ScaleAnimationTest.java</t>
  </si>
  <si>
    <t>tests/tests/view/src/android/view/animation/cts/TranslateAnimationTest.java</t>
  </si>
  <si>
    <t>tests/tests/view/src/android/view/cts/View_AnimationTest.java</t>
  </si>
  <si>
    <t>tests/tests/view/src/android/view/cts/ContextThemeWrapperTest.java</t>
  </si>
  <si>
    <t>tests/tests/view/src/android/view/cts/ActionModeTest.java</t>
  </si>
  <si>
    <t>tests/tests/view/src/android/view/cts/ViewGroupOverlayTest.java</t>
  </si>
  <si>
    <t>tests/tests/view/src/android/view/cts/ViewOutlineProviderTest.java</t>
  </si>
  <si>
    <t>tests/tests/view/src/android/view/cts/ViewOverlayTest.java</t>
  </si>
  <si>
    <t>tests/tests/view/src/android/view/cts/LayoutInflaterTest.java</t>
  </si>
  <si>
    <t>tests/tests/view/src/android/view/cts/MenuInflaterTest.java</t>
  </si>
  <si>
    <t>tests/tests/security/src/android/security/cts/AudioPolicyServiceTest.java</t>
  </si>
  <si>
    <t>tests/tests/view/src/android/view/cts/ContentPaneFocusTest.java</t>
  </si>
  <si>
    <t>tests/tests/view/src/android/view/cts/FocusFinderTest.java</t>
  </si>
  <si>
    <t>tests/tests/view/src/android/view/cts/FrameMetricsListenerTest.java</t>
  </si>
  <si>
    <t>tests/tests/media/src/android/media/cts/MediaRouterTest.java</t>
  </si>
  <si>
    <t>tests/tests/location/src/android/location/cts/TestGnssMeasurementListener.java</t>
  </si>
  <si>
    <t>tests/tests/view/src/android/view/cts/KeyCharacterMapTest.java</t>
  </si>
  <si>
    <t>tests/tests/view/src/android/view/cts/MotionEventTest.java</t>
  </si>
  <si>
    <t>tests/tests/view/src/android/view/cts/SearchEventTest.java</t>
  </si>
  <si>
    <t>tests/tests/view/src/android/view/cts/OrientationEventListenerTest.java</t>
  </si>
  <si>
    <t>tests/tests/view/src/android/view/cts/ScaleGestureDetectorTest.java</t>
  </si>
  <si>
    <t>tests/tests/view/src/android/view/cts/SoundEffectConstantsTest.java</t>
  </si>
  <si>
    <t>tests/tests/view/src/android/view/cts/ViewConfigurationTest.java</t>
  </si>
  <si>
    <t>tests/tests/view/src/android/view/cts/View_FocusHandlingTest.java</t>
  </si>
  <si>
    <t>tests/tests/view/src/android/view/cts/View_IdsTest.java</t>
  </si>
  <si>
    <t>tests/tests/view/src/android/view/cts/View_LayoutPositionTest.java</t>
  </si>
  <si>
    <t>tests/tests/view/src/android/view/cts/View_MeasureSpecTest.java</t>
  </si>
  <si>
    <t>tests/tests/view/src/android/view/cts/View_UsingViewsTest.java</t>
  </si>
  <si>
    <t>tests/tests/view/src/android/view/cts/ChoreographerNativeTest.java</t>
  </si>
  <si>
    <t>tests/tests/view/src/android/view/cts/DisplayRefreshRateTest.java</t>
  </si>
  <si>
    <t>tests/tests/view/src/android/view/cts/PixelCopyTests.java</t>
  </si>
  <si>
    <t>tests/tests/animation/src/android/animation/cts/AnimatorSetTest.java</t>
  </si>
  <si>
    <t>tests/tests/animation/src/android/animation/cts/AnimatorTest.java</t>
  </si>
  <si>
    <t>tests/tests/animation/src/android/animation/cts/CreationTest.java</t>
  </si>
  <si>
    <t>tests/tests/animation/src/android/animation/cts/EvaluatorTest.java</t>
  </si>
  <si>
    <t>tests/tests/animation/src/android/animation/cts/LayoutAnimationTest.java</t>
  </si>
  <si>
    <t>tests/tests/view/src/android/view/cts/SurfaceViewSyncTests.java</t>
  </si>
  <si>
    <t>tests/tests/view/src/android/view/cts/SurfaceViewTest.java</t>
  </si>
  <si>
    <t>tests/tests/view/src/android/view/cts/TextureViewTest.java</t>
  </si>
  <si>
    <t>tests/tests/view/src/android/view/cts/WindowManager_LayoutParamsTest.java</t>
  </si>
  <si>
    <t>hostsidetests/appsecurity/test-apps/DocumentClient/src/com/android/cts/documentclient/ScopedDirectoryAccessClientTest.java</t>
  </si>
  <si>
    <t>tests/tests/transition/src/android/transition/cts/CaptureValuesTest.java</t>
  </si>
  <si>
    <t>tests/tests/transition/src/android/transition/cts/ChangeBoundsTest.java</t>
  </si>
  <si>
    <t>tests/tests/transition/src/android/transition/cts/ChangeClipBoundsTest.java</t>
  </si>
  <si>
    <t>tests/tests/transition/src/android/transition/cts/ChangeImageTransformTest.java</t>
  </si>
  <si>
    <t>tests/tests/transition/src/android/transition/cts/ChangeScrollTest.java</t>
  </si>
  <si>
    <t>tests/tests/transition/src/android/transition/cts/ChangeTransformTest.java</t>
  </si>
  <si>
    <t>tests/tests/transition/src/android/transition/cts/ExplodeTest.java</t>
  </si>
  <si>
    <t>tests/tests/transition/src/android/transition/cts/FadeTest.java</t>
  </si>
  <si>
    <t>tests/tests/transition/src/android/transition/cts/TransitionInflaterTest.java</t>
  </si>
  <si>
    <t>tests/tests/transition/src/android/transition/cts/TransitionManagerTest.java</t>
  </si>
  <si>
    <t>tests/tests/transition/src/android/transition/cts/TransitionTest.java</t>
  </si>
  <si>
    <t>tests/tests/transition/src/android/transition/cts/VisibilityTest.java</t>
  </si>
  <si>
    <t>tests/tests/print/src/android/print/cts/InterfaceForAppsTest.java</t>
  </si>
  <si>
    <t>tests/tests/util/src/android/util/cts/LogPrinterTest.java</t>
  </si>
  <si>
    <t>tests/tests/util/src/android/util/cts/MonthDisplayHelperTest.java</t>
  </si>
  <si>
    <t>tests/tests/util/src/android/util/cts/PrintStreamPrinterTest.java</t>
  </si>
  <si>
    <t>tests/tests/util/src/android/util/cts/PrintWriterPrinterTest.java</t>
  </si>
  <si>
    <t>tests/tests/util/src/android/util/cts/RangeTest.java</t>
  </si>
  <si>
    <t>tests/tests/util/src/android/util/cts/RationalTest.java</t>
  </si>
  <si>
    <t>tests/tests/util/src/android/util/cts/SparseBooleanArrayTest.java</t>
  </si>
  <si>
    <t>tests/tests/util/src/android/util/cts/SparseIntArrayTest.java</t>
  </si>
  <si>
    <t>tests/tests/util/src/android/util/cts/StateSetTest.java</t>
  </si>
  <si>
    <t>tests/tests/util/src/android/util/cts/StrictJarFileTest.java</t>
  </si>
  <si>
    <t>tests/tests/shortcutmanager/src/android/content/pm/cts/shortcutmanager/ShortcutManagerThrottlingTest.java</t>
  </si>
  <si>
    <t>tests/tests/text/src/android/text/util/cts/Rfc822TokenizerTest.java</t>
  </si>
  <si>
    <t>tests/tests/text/src/android/text/method/cts/BaseMovementMethodTest.java</t>
  </si>
  <si>
    <t>tests/tests/text/src/android/text/method/cts/CharacterPickerDialogTest.java</t>
  </si>
  <si>
    <t>tests/tests/text/src/android/text/method/cts/ReplacementTransformationMethodTest.java</t>
  </si>
  <si>
    <t>tests/tests/text/src/android/text/method/cts/ScrollingMovementMethodTest.java</t>
  </si>
  <si>
    <t>tests/tests/text/src/android/text/method/cts/SingleLineTransformationMethodTest.java</t>
  </si>
  <si>
    <t>tests/tests/text/src/android/text/method/cts/TouchTest.java</t>
  </si>
  <si>
    <t>tests/tests/text/src/android/text/method/cts/WordIteratorTest.java</t>
  </si>
  <si>
    <t>tests/tests/text/src/android/text/style/cts/BulletSpanTest.java</t>
  </si>
  <si>
    <t>tests/tests/text/src/android/text/style/cts/TtsSpanTest.java</t>
  </si>
  <si>
    <t>tests/tests/text/src/android/text/style/cts/URLSpanTest.java</t>
  </si>
  <si>
    <t>tests/tests/text/src/android/text/cts/AnnotationTest.java</t>
  </si>
  <si>
    <t>tests/tests/text/src/android/text/cts/ClipboardManagerTest.java</t>
  </si>
  <si>
    <t>tests/tests/text/src/android/text/cts/DynamicLayoutTest.java</t>
  </si>
  <si>
    <t>tests/tests/text/src/android/text/cts/HtmlTest.java</t>
  </si>
  <si>
    <t>tests/tests/text/src/android/text/cts/MyanmarTest.java</t>
  </si>
  <si>
    <t>tests/tests/text/src/android/text/cts/SpannableStringBuilderTest.java</t>
  </si>
  <si>
    <t>tests/tests/text/src/android/text/cts/StaticLayoutTest.java</t>
  </si>
  <si>
    <t>tests/tests/text/src/android/text/cts/EmojiTest.java</t>
  </si>
  <si>
    <t>tests/tests/graphics/src/android/opengl/cts/CompressedTextureTest.java</t>
  </si>
  <si>
    <t>tests/tests/graphics/src/android/opengl/cts/EglConfigTest.java</t>
  </si>
  <si>
    <t>tests/tests/graphics/src/android/opengl/cts/EglContextTest.java</t>
  </si>
  <si>
    <t>tests/tests/graphics/src/android/opengl/cts/GLSurfaceViewTest.java</t>
  </si>
  <si>
    <t>tests/tests/graphics/src/android/graphics/drawable/shapes/cts/RectShapeTest.java</t>
  </si>
  <si>
    <t>tests/tests/graphics/src/android/graphics/pdf/cts/PdfDocumentTest.java</t>
  </si>
  <si>
    <t>tests/tests/graphics/src/android/graphics/pdf/cts/PdfRendererTransformTest.java</t>
  </si>
  <si>
    <t>tests/tests/graphics/src/android/graphics/drawable/cts/AnimatedStateListDrawableTest.java</t>
  </si>
  <si>
    <t>tests/tests/graphics/src/android/graphics/drawable/cts/LevelListDrawableTest.java</t>
  </si>
  <si>
    <t>tests/tests/graphics/src/android/graphics/drawable/cts/PaintDrawableTest.java</t>
  </si>
  <si>
    <t>tests/tests/graphics/src/android/graphics/drawable/cts/RippleDrawableTest.java</t>
  </si>
  <si>
    <t>tests/tests/graphics/src/android/graphics/drawable/cts/StateListDrawableTest.java</t>
  </si>
  <si>
    <t>tests/tests/graphics/src/android/graphics/cts/BitmapShaderTest.java</t>
  </si>
  <si>
    <t>tests/tests/graphics/src/android/graphics/drawable/cts/DrawableWrapperTest.java</t>
  </si>
  <si>
    <t>tests/tests/graphics/src/android/graphics/drawable/cts/IconTest.java</t>
  </si>
  <si>
    <t>tests/tests/graphics/src/android/graphics/cts/ColorMatrixColorFilterTest.java</t>
  </si>
  <si>
    <t>tests/tests/graphics/src/android/graphics/cts/ColorMatrixTest.java</t>
  </si>
  <si>
    <t>tests/tests/graphics/src/android/graphics/cts/ColorTest.java</t>
  </si>
  <si>
    <t>tests/tests/graphics/src/android/graphics/cts/BlurMaskFilterTest.java</t>
  </si>
  <si>
    <t>tests/tests/graphics/src/android/graphics/cts/DrawFilterTest.java</t>
  </si>
  <si>
    <t>tests/tests/graphics/src/android/graphics/cts/LightingColorFilterTest.java</t>
  </si>
  <si>
    <t>tests/tests/graphics/src/android/graphics/cts/MovieTest.java</t>
  </si>
  <si>
    <t>tests/tests/graphics/src/android/graphics/cts/NinePatchTest.java</t>
  </si>
  <si>
    <t>tests/tests/graphics/src/android/graphics/cts/PaintFlagsDrawFilterTest.java</t>
  </si>
  <si>
    <t>tests/tests/graphics/src/android/graphics/cts/PictureTest.java</t>
  </si>
  <si>
    <t>tests/tests/graphics/src/android/graphics/cts/PixelFormatTest.java</t>
  </si>
  <si>
    <t>tests/tests/graphics/src/android/graphics/cts/RectTest.java</t>
  </si>
  <si>
    <t>tests/tests/graphics/src/android/graphics/cts/SweepGradientTest.java</t>
  </si>
  <si>
    <t>tests/tests/graphics/src/android/graphics/cts/TypefaceTest.java</t>
  </si>
  <si>
    <t>tests/tests/graphics/src/android/graphics/cts/VulkanFeaturesTest.java</t>
  </si>
  <si>
    <t>tests/tests/graphics/src/android/graphics/cts/YuvImageTest.java</t>
  </si>
  <si>
    <t>tests/tests/graphics2/src/android/graphics2/cts/TextureViewTest.java</t>
  </si>
  <si>
    <t>tests/signature/src/android/signature/cts/SignatureTest.java</t>
  </si>
  <si>
    <t>tests/core/runner/src/com/android/cts/core/runner/support/TestNgRunnerBuilder.java</t>
  </si>
  <si>
    <t>tests/tests/view/src/android/view/cts/PixelCopyTest.java</t>
  </si>
  <si>
    <t>common/host-side/tradefed/tests/src/com/android/compatibility/common/tradefed/testtype/TestPlanTest.java</t>
  </si>
  <si>
    <t>common/util/tests/src/com/android/compatibility/common/util/AbiUtilsTest.java</t>
  </si>
  <si>
    <t>apps/CtsVerifier/src/com/android/cts/verifier/bluetooth/TestTaskQueue.java</t>
  </si>
  <si>
    <t>hostsidetests/security/src/android/cts/security/FileSystemPermissionTest.java</t>
  </si>
  <si>
    <t>tests/tests/libcorefileio/src/android/cts/FileChannelInterProcessLockTest.java</t>
  </si>
  <si>
    <t>tests/tests/net/src/android/net/cts/LocalSocketTest.java</t>
  </si>
  <si>
    <t>tests/tests/security/src/android/security/cts/MediaServerCrashTest.java</t>
  </si>
  <si>
    <t>hostsidetests/devicepolicy/app/DeviceAndProfileOwner/src/com/android/cts/deviceandprofileowner/ScreenCaptureDisabledTest.java</t>
  </si>
  <si>
    <t>hostsidetests/devicepolicy/src/com/android/cts/devicepolicy/MixedManagedProfileOwnerTest.java</t>
  </si>
  <si>
    <t>tools/tradefed-host/src/com/android/cts/tradefed/result/TestLog.java</t>
  </si>
  <si>
    <t>tools/tradefed-host/src/com/android/cts/tradefed/testtype/CtsInstrumentationApkTest.java</t>
  </si>
  <si>
    <t>tools/tradefed-host/src/com/android/cts/tradefed/testtype/GeeTest.java</t>
  </si>
  <si>
    <t>tools/tradefed-host/src/com/android/cts/tradefed/testtype/JUnitDeviceTest.java</t>
  </si>
  <si>
    <t>tools/tradefed-host/src/com/android/cts/tradefed/testtype/TestFilter.java</t>
  </si>
  <si>
    <t>tools/tradefed-host/src/com/android/cts/tradefed/testtype/WrappedGTest.java</t>
  </si>
  <si>
    <t>tools/tradefed-host/tests/src/com/android/cts/tradefed/device/DeviceInfoCollectorFuncTest.java</t>
  </si>
  <si>
    <t>tools/tradefed-host/tests/src/com/android/cts/tradefed/result/CtsXmlResultReporterTest.java</t>
  </si>
  <si>
    <t>tools/tradefed-host/tests/src/com/android/cts/tradefed/result/TestLogTest.java</t>
  </si>
  <si>
    <t>tools/tradefed-host/tests/src/com/android/cts/tradefed/result/TestPackageResultTest.java</t>
  </si>
  <si>
    <t>tools/tradefed-host/tests/src/com/android/cts/tradefed/result/TestResultsTest.java</t>
  </si>
  <si>
    <t>tools/tradefed-host/tests/src/com/android/cts/tradefed/result/TestSummaryXmlTest.java</t>
  </si>
  <si>
    <t>tools/tradefed-host/tests/src/com/android/cts/tradefed/result/TestTest.java</t>
  </si>
  <si>
    <t>tools/tradefed-host/tests/src/com/android/cts/tradefed/testtype/GeeTestTest.java</t>
  </si>
  <si>
    <t>tools/tradefed-host/tests/src/com/android/cts/tradefed/testtype/JarHostTestTest.java</t>
  </si>
  <si>
    <t>tools/tradefed-host/tests/src/com/android/cts/tradefed/testtype/TestFilterTest.java</t>
  </si>
  <si>
    <t>tools/tradefed-host/tests/src/com/android/cts/tradefed/testtype/TestPackageDefTest.java</t>
  </si>
  <si>
    <t>tools/tradefed-host/tests/src/com/android/cts/tradefed/testtype/TestPackageXmlParserTest.java</t>
  </si>
  <si>
    <t>tools/tradefed-host/tests/src/com/android/cts/tradefed/testtype/TestPlanTest.java</t>
  </si>
  <si>
    <t>tools/tradefed-host/tests/src/com/android/cts/tradefed/testtype/WrappedGTestResultParserTest.java</t>
  </si>
  <si>
    <t>hostsidetests/devicepolicy/app/DeviceOwner/src/com/android/cts/deviceowner/PreDeviceOwnerTest.java</t>
  </si>
  <si>
    <t>tests/tests/car/src/android/car/cts/CarAppFocusManagerTest.java</t>
  </si>
  <si>
    <t>tests/tests/car/src/android/car/cts/ExceptionsTest.java</t>
  </si>
  <si>
    <t>tests/tests/car/src/android/car/cts/CarInfoManagerTest.java</t>
  </si>
  <si>
    <t>tests/app/src/android/app/cts/FragmentReplaceTest.java</t>
  </si>
  <si>
    <t>hostsidetests/devicepolicy/app/DeviceOwner/src/com/android/cts/deviceowner/SecurityLoggingTest.java</t>
  </si>
  <si>
    <t>tests/tests/location/src/android/location/cts/TestGnssStatusCallback.java</t>
  </si>
  <si>
    <t>tests/tests/util/src/android/util/cts/HalfTest.java</t>
  </si>
  <si>
    <t>tests/app/src/android/app/cts/NotificationManagerTest.java</t>
  </si>
  <si>
    <t>tests/tests/security/src/android/security/cts/UsbDebuggingAuthWithoutUnlockTest.java</t>
  </si>
  <si>
    <t>common/host-side/tradefed/tests/src/com/android/compatibility/common/tradefed/testtype/CompatibilityTestTest.java</t>
  </si>
  <si>
    <t>tests/app/src/android/app/cts/SearchManagerTest.java</t>
  </si>
  <si>
    <t>tests/signature/tests/src/android/signature/cts/tests/JDiffClassDescriptionTest.java</t>
  </si>
  <si>
    <t>tests/tests/provider/src/android/provider/cts/MediaStoreUiTest.java</t>
  </si>
  <si>
    <t>tests/tests/display/src/android/display/cts/DisplayTest.java</t>
  </si>
  <si>
    <t>common/host-side/tradefed/tests/src/com/android/compatibility/common/tradefed/testtype/ModuleRepoTest.java</t>
  </si>
  <si>
    <t>hostsidetests/devicepolicy/app/DeviceOwner/src/com/android/cts/deviceowner/BluetoothRestrictionTest.java</t>
  </si>
  <si>
    <t>tools/cts-xml-generator/src/com/android/cts/xmlgenerator/Test.java</t>
  </si>
  <si>
    <t>tools/cts-xml-generator/src/com/android/cts/xmlgenerator/TestCase.java</t>
  </si>
  <si>
    <t>tools/cts-xml-generator/src/com/android/cts/xmlgenerator/TestListParser.java</t>
  </si>
  <si>
    <t>tools/cts-xml-generator/src/com/android/cts/xmlgenerator/TestSuite.java</t>
  </si>
  <si>
    <t>tests/tests/mediastress/preconditions/tests/src/android/mediastress/cts/preconditions/MediaPreparerTest.java</t>
  </si>
  <si>
    <t>common/host-side/tradefed/tests/src/com/android/compatibility/common/tradefed/command/CompatibilityConsoleTest.java</t>
  </si>
  <si>
    <t>tests/tests/graphics/src/android/graphics/cts/RasterizerTest.java</t>
  </si>
  <si>
    <t>tests/tests/text/src/android/text/style/cts/RasterizerSpanTest.java</t>
  </si>
  <si>
    <t>hostsidetests/net/app/src/com/android/cts/net/hostside/AppIdleMeteredTest.java</t>
  </si>
  <si>
    <t>hostsidetests/net/app/src/com/android/cts/net/hostside/AppIdleNonMeteredTest.java</t>
  </si>
  <si>
    <t>hostsidetests/net/app/src/com/android/cts/net/hostside/BatterySaverModeMeteredTest.java</t>
  </si>
  <si>
    <t>hostsidetests/net/app/src/com/android/cts/net/hostside/DozeModeMeteredTest.java</t>
  </si>
  <si>
    <t>hostsidetests/net/app/src/com/android/cts/net/hostside/DozeModeNonMeteredTest.java</t>
  </si>
  <si>
    <t>tests/tests/media/src/android/media/cts/MediaBrowserServiceTest.java</t>
  </si>
  <si>
    <t>hostsidetests/devicepolicy/app/CorpOwnedManagedProfile/src/com/android/cts/comp/DeviceOwnerBindDeviceAdminServiceTest.java</t>
  </si>
  <si>
    <t>hostsidetests/devicepolicy/app/CorpOwnedManagedProfile/src/com/android/cts/comp/ManagedProfileBindDeviceAdminServiceTest.java</t>
  </si>
  <si>
    <t>hostsidetests/appsecurity/test-apps/EphemeralTestApp/EphemeralApp1/src/com/android/cts/ephemeralapp1/ClientTest.java</t>
  </si>
  <si>
    <t>hostsidetests/appsecurity/test-apps/EphemeralTestApp/NormalApp/src/com/android/cts/normalapp/ClientTest.java</t>
  </si>
  <si>
    <t>tests/tests/app.usage/preconditions/app/src/android/app/usage/cts/preconditions/app/AppUsagePreparerAppTest.java</t>
  </si>
  <si>
    <t>hostsidetests/devicepolicy/app/CorpOwnedManagedProfile/src/com/android/cts/comp/BaseDeviceOwnerCompTest.java</t>
  </si>
  <si>
    <t>hostsidetests/devicepolicy/app/CorpOwnedManagedProfile/src/com/android/cts/comp/bindservice/BindDeviceAdminServiceFailsTestSuite.java</t>
  </si>
  <si>
    <t>hostsidetests/devicepolicy/app/CorpOwnedManagedProfile/src/com/android/cts/comp/bindservice/BindDeviceAdminServiceCorpOwnedManagedProfileTestSuite.java</t>
  </si>
  <si>
    <t>hostsidetests/devicepolicy/app/CorpOwnedManagedProfile/src/com/android/cts/comp/BaseManagedProfileCompTest.java</t>
  </si>
  <si>
    <t>tests/app/src/android/app/cts/NotificationChannelTest.java</t>
  </si>
  <si>
    <t>hostsidetests/devicepolicy/app/ProfileOwner/src/com/android/cts/profileowner/ClearProfileOwnerTest.java</t>
  </si>
  <si>
    <t>hostsidetests/devicepolicy/app/ProfileOwner/src/com/android/cts/profileowner/WifiTest.java</t>
  </si>
  <si>
    <t>hostsidetests/devicepolicy/app/CorpOwnedManagedProfile/src/com/android/cts/comp/DeviceOwnerCompTest.java</t>
  </si>
  <si>
    <t>hostsidetests/devicepolicy/src/com/android/cts/devicepolicy/DeviceOwnerPlusManagedProfileTest.java</t>
  </si>
  <si>
    <t>tests/admin/src/android/admin/cts/DeviceAdminReceiverTest.java</t>
  </si>
  <si>
    <t>hostsidetests/appsecurity/src/android/appsecurity/cts/EphemeralTest.java</t>
  </si>
  <si>
    <t>tests/tests/provider/src/android/provider/cts/ContactsContract_AllUriTest.java</t>
  </si>
  <si>
    <t>hostsidetests/devicepolicy/app/DeviceOwner/src/com/android/cts/deviceowner/AdminActionBookkeepingTest.java</t>
  </si>
  <si>
    <t>hostsidetests/devicepolicy/app/DeviceOwner/src/com/android/cts/deviceowner/NetworkLoggingTest.java</t>
  </si>
  <si>
    <t>hostsidetests/appsecurity/src/android/appsecurity/cts/SsaidTest.java</t>
  </si>
  <si>
    <t>hostsidetests/appsecurity/test-apps/SsaidTestApp/SsaidApp1/src/com/android/cts/ssaidapp1/ClientTest.java</t>
  </si>
  <si>
    <t>tests/tests/view/src/android/view/cts/TooltipTest.java</t>
  </si>
  <si>
    <t>tests/tests/appwidget/src/android/appwidget/cts/RequestPinAppWidgetTest.java</t>
  </si>
  <si>
    <t>hostsidetests/shortcuts/deviceside/multiuser/src/android/content/pm/cts/shortcut/multiuser/ShortcutManagerManagedUserTest.java</t>
  </si>
  <si>
    <t>common/util/tests/src/com/android/compatibility/common/util/InvocationHistoryTest.java</t>
  </si>
  <si>
    <t>hostsidetests/devicepolicy/app/ManagedProfile/src/com/android/cts/managedprofile/ProvisioningTest.java</t>
  </si>
  <si>
    <t>tests/tests/view/src/android/view/cts/HoverTest.java</t>
  </si>
  <si>
    <t>tests/tests/view/src/android/view/inputmethod/cts/CompletionInfoTest.java</t>
  </si>
  <si>
    <t>tests/tests/view/src/android/view/inputmethod/cts/ExtractedTextRequestTest.java</t>
  </si>
  <si>
    <t>tests/tests/view/src/android/view/inputmethod/cts/ExtractedTextTest.java</t>
  </si>
  <si>
    <t>tests/tests/view/src/android/view/inputmethod/cts/InputBindingTest.java</t>
  </si>
  <si>
    <t>tests/tests/view/src/android/view/inputmethod/cts/KeyboardTest.java</t>
  </si>
  <si>
    <t>tests/tests/net/src/android/net/wifi/cts/WifiManagerTest.java</t>
  </si>
  <si>
    <t>hostsidetests/dumpsys/src/android/dumpsys/cts/BatteryStatsDumpsysTesst.java</t>
  </si>
  <si>
    <t>hostsidetests/devicepolicy/app/AppRestrictionsManagingApp/src/com/android/cts/apprestrictions/managingapp/ApplicationRestrictionsManagerTest.java</t>
  </si>
  <si>
    <t>hostsidetests/incident/apps/netstatsapp/src/com/android/server/cts/netstats/NetstatsDeviceTest.java</t>
  </si>
  <si>
    <t>tests/app/src/android/app/cts/ServiceTest.java</t>
  </si>
  <si>
    <t>tests/tests/content/src/android/content/cts/ContentResolverTest.java</t>
  </si>
  <si>
    <t>tests/tests/app/src/android/app/cts/ActivityCallbacksTest.java</t>
  </si>
  <si>
    <t>hostsidetests/incident/src/com/android/server/cts/BatteryStatsValidationTest.java</t>
  </si>
  <si>
    <t>hostsidetests/devicepolicy/app/DeviceOwner/src/com/android/cts/deviceowner/AffiliationTest.java</t>
  </si>
  <si>
    <t>hostsidetests/devicepolicy/src/com/android/cts/devicepolicy/MixedDeviceOwnerTest.java</t>
  </si>
  <si>
    <t>tests/autofillservice/src/android/autofillservice/cts/LoginActivityTest.java</t>
  </si>
  <si>
    <t>tests/tests/assist/src/android/assist/cts/LifecycleTest.java</t>
  </si>
  <si>
    <t>hostsidetests/devicepolicy/app/PackageInstaller/src/com/android/cts/packageinstaller/BasePackageInstallTest.java</t>
  </si>
  <si>
    <t>common/host-side/tradefed/tests/src/com/android/compatibility/common/tradefed/result/MetadataReporterTest.java</t>
  </si>
  <si>
    <t>tests/tests/os/src/android/os/cts/SecurityFeaturesTest.java</t>
  </si>
  <si>
    <t>hostsidetests/retaildemo/src/android/host/retaildemo/DemoModeTest.java</t>
  </si>
  <si>
    <t>tests/tests/keystore/src/android/keystore/cts/KeyAttestationTest.java</t>
  </si>
  <si>
    <t>tests/admin/app/src/android/admin/app/DeactivationTest.java</t>
  </si>
  <si>
    <t>tests/tests/textureview/src/android/textureview/cts/TextureViewTest.java</t>
  </si>
  <si>
    <t>tests/tests/text/src/android/text/cts/SpannableStringTest.java</t>
  </si>
  <si>
    <t>tests/tests/text/src/android/text/cts/SpannedStringTest.java</t>
  </si>
  <si>
    <t>tests/autofillservice/src/android/autofillservice/cts/ViewAttributesTest.java</t>
  </si>
  <si>
    <t>tests/tests/telecom/src/android/telecom/cts/SelfManagedConnectionServiceTest.java</t>
  </si>
  <si>
    <t>tests/tests/util/src/android/util/cts/ArrayMapTest.java</t>
  </si>
  <si>
    <t>tests/tests/util/src/android/util/cts/ArraySetTest.java</t>
  </si>
  <si>
    <t>tests/tests/graphics/src/android/graphics/fonts/cts/FontRequestTest.java</t>
  </si>
  <si>
    <t>tests/tests/tv/src/android/media/tv/cts/TvInputInfoTest.java</t>
  </si>
  <si>
    <t>tests/app/src/android/app/cts/PipNotResizeableActivityTest.java</t>
  </si>
  <si>
    <t>tests/tests/net/src/android/net/wifi/aware/cts/SingleDeviceTest.java</t>
  </si>
  <si>
    <t>tests/tests/graphics/src/android/graphics/cts/BitmapColorSpaceTest.java</t>
  </si>
  <si>
    <t>hostsidetests/retaildemo/app/src/com/android/cts/retaildemo/DemoModeUiAutomationTest.java</t>
  </si>
  <si>
    <t>hostsidetests/retaildemo/app/src/com/android/cts/retaildemo/DemoUserTest.java</t>
  </si>
  <si>
    <t>hostsidetests/retaildemo/src/android/host/retaildemo/DemoModeUiAutomationHostTest.java</t>
  </si>
  <si>
    <t>tests/camera/src/android/hardware/camera2/cts/CameraDeviceTest.java</t>
  </si>
  <si>
    <t>tests/camera/src/android/hardware/camera2/cts/SurfaceViewPreviewTest.java</t>
  </si>
  <si>
    <t>tests/autofillservice/src/android/autofillservice/cts/VirtualContainerActivityTest.java</t>
  </si>
  <si>
    <t>tests/tests/preference2/src/android/preference2/cts/PreferenceDataStoreTest.java</t>
  </si>
  <si>
    <t>tests/autofillservice/src/android/autofillservice/cts/AutofillValueTest.java</t>
  </si>
  <si>
    <t>tests/JobScheduler/src/android/jobscheduler/cts/TriggerContentTest.java</t>
  </si>
  <si>
    <t>hostsidetests/appsecurity/src/android/appsecurity/cts/UsesLibraryHostTest.java</t>
  </si>
  <si>
    <t>hostsidetests/appsecurity/test-apps/UsesLibraryApp/src/com/android/cts/useslibrary/UsesLibraryTest.java</t>
  </si>
  <si>
    <t>hostsidetests/appsecurity/src/android/appsecurity/cts/StorageHostTest.java</t>
  </si>
  <si>
    <t>tests/tests/os/src/android/os/cts/RecoverableSecurityExceptionTest.java</t>
  </si>
  <si>
    <t>hostsidetests/appsecurity/test-apps/StorageApp/src/com/android/cts/storageapp/StorageTest.java</t>
  </si>
  <si>
    <t>tests/fragment/src/android/fragment/cts/LoaderTest.java</t>
  </si>
  <si>
    <t>tests/tests/util/src/android/util/cts/LongSparseArrayTest.java</t>
  </si>
  <si>
    <t>tests/tests/util/src/android/util/cts/SparseArrayTest.java</t>
  </si>
  <si>
    <t>tests/tests/text/src/android/text/cts/FontManagerTest.java</t>
  </si>
  <si>
    <t>hostsidetests/backup/app2/src/android/backup/cts/app2/WallpaperRestoreTest.java</t>
  </si>
  <si>
    <t>hostsidetests/backup/src/android/backup/cts/WallpaperRestoreHostSideTest.java</t>
  </si>
  <si>
    <t>tests/app/src/android/app/cts/TimePickerDialogTest.java</t>
  </si>
  <si>
    <t>tests/tests/media/src/android/media/cts/AudioAttributesTest.java</t>
  </si>
  <si>
    <t>tests/fragment/src/android/fragment/cts/FragmentTransactionTest.java</t>
  </si>
  <si>
    <t>tests/app/src/android/app/cts/AdjustmentTest.java</t>
  </si>
  <si>
    <t>tests/app/src/android/app/cts/SnoozeCriterionTest.java</t>
  </si>
  <si>
    <t>tests/tests/shortcutmanager/src/android/content/pm/cts/shortcutmanager/ShortcutManagerClientApiTest.java</t>
  </si>
  <si>
    <t>tests/tests/shortcutmanager/src/android/content/pm/cts/shortcutmanager/ShortcutManagerLauncherApiTest.java</t>
  </si>
  <si>
    <t>tests/accessibility/src/android/view/accessibility/cts/AccessibilityManagerTest.java</t>
  </si>
  <si>
    <t>tests/tests/nativemidi/java/android/nativemidi/cts/NativeMidiEchoTest.java</t>
  </si>
  <si>
    <t>hostsidetests/jvmti/redefining/app/src/android/jvmti/cts/JvmtiRedefineClassesTest.java</t>
  </si>
  <si>
    <t>hostsidetests/jvmti/allocation-tracking/app/src/android/jvmti/cts/JvmtiTrackingTest.java</t>
  </si>
  <si>
    <t>hostsidetests/jvmti/tagging/app/src/android/jvmti/cts/JvmtiTaggingTest.java</t>
  </si>
  <si>
    <t>hostsidetests/jvmti/base/host/src/android/jvmti/cts/JvmtiHostTest.java</t>
  </si>
  <si>
    <t>tests/tests/graphics/src/android/graphics/drawable/cts/MaskableIconDrawableTest.java</t>
  </si>
  <si>
    <t>tests/JobScheduler/src/android/jobscheduler/cts/BatteryConstraintTest.java</t>
  </si>
  <si>
    <t>hostsidetests/appsecurity/test-apps/StorageStatsApp/src/com/android/cts/storagestatsapp/StorageStatsTest.java</t>
  </si>
  <si>
    <t>tests/tests/shortcutmanager/src/android/content/pm/cts/shortcutmanager/ShortcutManagerNegativeTest.java</t>
  </si>
  <si>
    <t>tests/deviceadmin/uninstalltest/src/android/devicepolicy/cts/uiautomatertest/DeviceAdminUninstallTest.java</t>
  </si>
  <si>
    <t>tests/fragment/src/android/fragment/cts/FragmentManagerNonConfigTest.java</t>
  </si>
  <si>
    <t>common/host-side/tradefed/tests/src/com/android/compatibility/common/tradefed/result/SubPlanCreatorTest.java</t>
  </si>
  <si>
    <t>hostsidetests/webkit/src/com/android/cts/webkit/RenderProcessCrashTest.java</t>
  </si>
  <si>
    <t>common/host-side/tradefed/tests/src/com/android/compatibility/common/tradefed/result/SubPlanHelperTest.java</t>
  </si>
  <si>
    <t>common/host-side/tradefed/tests/src/com/android/compatibility/common/tradefed/util/RetryFilterHelperTest.java</t>
  </si>
  <si>
    <t>tests/JobScheduler/src/android/jobscheduler/cts/ClipDataJobTest.java</t>
  </si>
  <si>
    <t>tests/JobScheduler/src/android/jobscheduler/cts/StorageConstraintTest.java</t>
  </si>
  <si>
    <t>tests/tests/view/src/android/view/cts/MenuItemTest.java</t>
  </si>
  <si>
    <t>tests/tests/media/src/android/media/cts/AudioRecordConcurrencyTest.java</t>
  </si>
  <si>
    <t>tests/tests/media/src/android/media/cts/MediaSessionTest.java</t>
  </si>
  <si>
    <t>tests/tests/view/src/android/view/textclassifier/cts/TextClassificationManagerTest.java</t>
  </si>
  <si>
    <t>tests/tests/graphics/src/android/graphics/cts/ComposeShaderTest.java</t>
  </si>
  <si>
    <t>tests/tests/graphics/src/android/graphics/cts/LinearGradientTest.java</t>
  </si>
  <si>
    <t>tests/tests/graphics/src/android/graphics/cts/PorterDuffColorFilterTest.java</t>
  </si>
  <si>
    <t>tests/autofillservice/src/android/autofillservice/cts/CheckoutActivityTest.java</t>
  </si>
  <si>
    <t>hostsidetests/services/activityandwindowmanager/activitymanager/app/src/android/server/cts/TestActivity.java</t>
  </si>
  <si>
    <t>tests/fragment/src/android/fragment/cts/FragmentAnimatorTest.java</t>
  </si>
  <si>
    <t>tests/tests/toastlegacy/src/android/widget/toast/cts/legacy/ToastTest.java</t>
  </si>
  <si>
    <t>tests/tests/graphics/src/android/graphics/fonts/cts/FontResultTest.java</t>
  </si>
  <si>
    <t>tests/camera/src/android/hardware/camera2/cts/ImageWriterTest.java</t>
  </si>
  <si>
    <t>hostsidetests/devicepolicy/app/DeviceAndProfileOwner/src/com/android/cts/deviceandprofileowner/AutofillRestrictionsTest.java</t>
  </si>
  <si>
    <t>tests/tests/net/src/android/net/cts/IpSecManagerTest.java</t>
  </si>
  <si>
    <t>hostsidetests/devicepolicy/app/CorpOwnedManagedProfile/src/com/android/cts/comp/BindDeviceAdminServiceGoodSetupTest.java</t>
  </si>
  <si>
    <t>tests/app/src/android/app/cts/WallpaperManagerTest.java</t>
  </si>
  <si>
    <t>tests/fragment/src/android/fragment/cts/FragmentOptimizationTest.java</t>
  </si>
  <si>
    <t>tests/app/src/android/app/cts/Instrumentation_ActivityMonitorTest.java</t>
  </si>
  <si>
    <t>tests/autofillservice/src/android/autofillservice/cts/PartitionedActivityTest.java</t>
  </si>
  <si>
    <t>tests/tests/graphics/src/android/graphics/cts/ColorSpaceTest.java</t>
  </si>
  <si>
    <t>tests/tests/media/src/android/media/cts/NativeImageReaderTest.java</t>
  </si>
  <si>
    <t>tests/tests/media/src/android/media/cts/AdaptivePlaybackTest.java</t>
  </si>
  <si>
    <t>tests/accessibilityservice/src/android/accessibilityservice/cts/AccessibilityFingerprintGestureTest.java</t>
  </si>
  <si>
    <t>apps/CtsVerifier/src/com/android/cts/verifier/TestResultsBackupHelper.java</t>
  </si>
  <si>
    <t>tests/tests/nativehardware/src/android/hardware/cts/AHardwareBufferNativeTest.java</t>
  </si>
  <si>
    <t>tests/autofillservice/src/android/autofillservice/cts/SessionLifecycleTest.java</t>
  </si>
  <si>
    <t>tests/tests/preference2/src/android/preference2/cts/PreferenceRecycleTest.java</t>
  </si>
  <si>
    <t>tests/tests/media/src/android/media/cts/VolumeShaperTest.java</t>
  </si>
  <si>
    <t>tests/tests/telephony/src/android/telephony/cts/VisualVoicemailServiceTest.java</t>
  </si>
  <si>
    <t>tests/tests/calllog/src/android/calllog/cts/CallLogBackupTest.java</t>
  </si>
  <si>
    <t>tests/tests/calllog/src/android/calllog/cts/TestUtils.java</t>
  </si>
  <si>
    <t>tests/tests/media/src/android/media/cts/DecoderConformanceTest.java</t>
  </si>
  <si>
    <t>hostsidetests/backup/src/android/backup/cts/BackupRestoreHostSideTest.java</t>
  </si>
  <si>
    <t>hostsidetests/backup/src/android/cts/backup/NoBackupFolderHostSideTest.java</t>
  </si>
  <si>
    <t>tests/tests/car/src/android/car/cts/CarUiProviderTest.java</t>
  </si>
  <si>
    <t>hostsidetests/appsecurity/src/android/appsecurity/cts/BaseAppSecurityTest.java</t>
  </si>
  <si>
    <t>hostsidetests/appsecurity/src/android/appsecurity/cts/DirectBootHostTest.java</t>
  </si>
  <si>
    <t>hostsidetests/appsecurity/src/android/appsecurity/cts/ExternalStorageHostTest.java</t>
  </si>
  <si>
    <t>hostsidetests/appsecurity/src/android/appsecurity/cts/InstantAppUserTest.java</t>
  </si>
  <si>
    <t>tests/tests/os/src/android/os/cts/StrictModeTest.java</t>
  </si>
  <si>
    <t>tests/tests/text/src/android/text/cts/FontCoverageTest.java</t>
  </si>
  <si>
    <t>tests/tests/packageinstaller/externalsources/src/android/packageinstaller/externalsources/cts/ExternalSourcesTest.java</t>
  </si>
  <si>
    <t>tests/tests/text/src/android/text/style/cts/UnderlineSpanTest.java</t>
  </si>
  <si>
    <t>hostsidetests/backup/RestoreAnyVersion/src/RestoreAnyVersionTest.java</t>
  </si>
  <si>
    <t>tests/tests/text/src/android/text/cts/BidiFormatterTest.java</t>
  </si>
  <si>
    <t>tests/autofillservice/src/android/autofillservice/cts/RetryRuleTest.java</t>
  </si>
  <si>
    <t>tests/tests/packageinstaller/adminpackageinstaller/src/android/packageinstaller/admin/cts/SessionCommitBroadcastTest.java</t>
  </si>
  <si>
    <t>hostsidetests/media/bitstreams/src/android/media/cts/bitstreams/MediaBitstreamsTest.java</t>
  </si>
  <si>
    <t>tests/backup/src/android/backup/cts/BackupQuotaTest.java</t>
  </si>
  <si>
    <t>tests/backup/src/android/backup/cts/FullBackupQuotaTest.java</t>
  </si>
  <si>
    <t>hostsidetests/devicepolicy/app/ManagedProfile/src/com/android/cts/managedprofile/NotificationListenerTest.java</t>
  </si>
  <si>
    <t>hostsidetests/backup/src/android/cts/backup/BackupRestoreHostSideTest.java</t>
  </si>
  <si>
    <t>hostsidetests/appsecurity/src/android/appsecurity/cts/AdoptableHostTest.java</t>
  </si>
  <si>
    <t>hostsidetests/backup/src/android/cts/backup/BaseBackupHostSideTest.java</t>
  </si>
  <si>
    <t>tests/vr/src/android/vr/cts/VrCpuTest.java</t>
  </si>
  <si>
    <t>tests/backup/src/android/backup/cts/BaseBackupCtsTest.java</t>
  </si>
  <si>
    <t>hostsidetests/media/src/android/media/session/cts/MediaSessionManagerHostTest.java</t>
  </si>
  <si>
    <t>tests/app/src/android/app/cts/WallpaperColorsTest.java</t>
  </si>
  <si>
    <t>tests/backup/src/android/backup/cts/FullBackupLifecycleTest.java</t>
  </si>
  <si>
    <t>tests/backup/src/android/backup/cts/KeyValueLifecycleTest.java</t>
  </si>
  <si>
    <t>tests/signature/api-check/src/android/signature/cts/api/SignatureTest.java</t>
  </si>
  <si>
    <t>tests/sensor/src/android/hardware/cts/SensorDirectReportTest.java</t>
  </si>
  <si>
    <t>tests/autofillservice/src/android/autofillservice/cts/CharSequenceTransformationTest.java</t>
  </si>
  <si>
    <t>tests/autofillservice/src/android/autofillservice/cts/ImageTransformationTest.java</t>
  </si>
  <si>
    <t>tests/autofillservice/src/android/autofillservice/cts/SimpleRegexValidatorTest.java</t>
  </si>
  <si>
    <t>tests/autofillservice/src/android/autofillservice/cts/CustomDescriptionTest.java</t>
  </si>
  <si>
    <t>tests/core/runner/src/com/android/cts/core/internal/runner/TestLoader.java</t>
  </si>
  <si>
    <t>tests/core/runner/src/com/android/cts/core/runner/TestClassFinder.java</t>
  </si>
  <si>
    <t>tests/tests/database/src/android/database/sqlite/cts/SQLiteOpenHelperTest.java</t>
  </si>
  <si>
    <t>tests/tests/media/src/android/media/cts/NativeClearKeySystemTest.java</t>
  </si>
  <si>
    <t>tests/tests/debug/src/android/debug/cts/DebugTest.java</t>
  </si>
  <si>
    <t>tests/tests/content/src/android/content/pm/cts/InstallSessionParamsUnitTest.java</t>
  </si>
  <si>
    <t>tests/tests/content/src/android/content/pm/cts/InstallSessionTransferTest.java</t>
  </si>
  <si>
    <t>tests/tests/os/src/android/os/cts/SharedMemoryTest.java</t>
  </si>
  <si>
    <t>hostsidetests/appsecurity/src/android/appsecurity/cts/InstantCookieHostTest.java</t>
  </si>
  <si>
    <t>tests/autofillservice/src/android/autofillservice/cts/SimpleSaveActivityTest.java</t>
  </si>
  <si>
    <t>hostsidetests/media/bitstreams/src/android/media/cts/bitstreams/H264Yuv420_8bitBpBitstreamsFullTest.java</t>
  </si>
  <si>
    <t>hostsidetests/media/bitstreams/src/android/media/cts/bitstreams/H264Yuv420_8bitHpBitstreamsFullTest.java</t>
  </si>
  <si>
    <t>hostsidetests/media/bitstreams/src/android/media/cts/bitstreams/H264Yuv420_8bitMpBitstreamsFullTest.java</t>
  </si>
  <si>
    <t>hostsidetests/media/bitstreams/src/android/media/cts/bitstreams/HevcYuv400BitstreamsFullTest.java</t>
  </si>
  <si>
    <t>hostsidetests/media/bitstreams/src/android/media/cts/bitstreams/HevcYuv420BitstreamsFullTest.java</t>
  </si>
  <si>
    <t>hostsidetests/media/bitstreams/src/android/media/cts/bitstreams/HevcYuv422BitstreamsFullTest.java</t>
  </si>
  <si>
    <t>hostsidetests/media/bitstreams/src/android/media/cts/bitstreams/HevcYuv444BitstreamsFullTest.java</t>
  </si>
  <si>
    <t>hostsidetests/media/bitstreams/src/android/media/cts/bitstreams/Vp8BitstreamsFullTest.java</t>
  </si>
  <si>
    <t>hostsidetests/media/bitstreams/src/android/media/cts/bitstreams/Vp9Yuv420BitstreamsFullTest.java</t>
  </si>
  <si>
    <t>hostsidetests/media/bitstreams/src/android/media/cts/bitstreams/Vp9Yuv422BitstreamsFullTest.java</t>
  </si>
  <si>
    <t>hostsidetests/media/bitstreams/src/android/media/cts/bitstreams/Vp9Yuv444BitstreamsFullTest.java</t>
  </si>
  <si>
    <t>common/host-side/tradefed/tests/src/com/android/compatibility/common/tradefed/testtype/retry/RetryFactoryTestTest.java</t>
  </si>
  <si>
    <t>tests/tests/print/src/android/print/cts/PrinterCapabilitiesChangeTest.java</t>
  </si>
  <si>
    <t>hostsidetests/security/src/android/cts/security/ProcessMustUseSeccompTest.java</t>
  </si>
  <si>
    <t>hostsidetests/devicepolicy/app/DeviceAndProfileOwner/src/com/android/cts/deviceandprofileowner/ResetPasswordWithTokenTest.java</t>
  </si>
  <si>
    <t>hostsidetests/services/activityandwindowmanager/activitymanager/src/android/server/cts/DisplaySizeTest.java</t>
  </si>
  <si>
    <t>hostsidetests/content/src/android/content/cts/InvalidSyncAuthoritiesHostTest.java</t>
  </si>
  <si>
    <t>hostsidetests/content/test-apps/CtsSyncInvalidAccountAuthorityTestCases/src/android/content/sync/cts/InvalidSyncAuthoritiesDeviceTest.java</t>
  </si>
  <si>
    <t>hostsidetests/devicepolicy/app/ManagedProfile/src/com/android/cts/managedprofile/ResetPasswordWithTokenTest.java</t>
  </si>
  <si>
    <t>tests/camera/src/android/hardware/camera2/cts/ExtendedCameraCharacteristicsTest.java</t>
  </si>
  <si>
    <t>hostsidetests/webkit/src/com/android/cts/webkit/WebViewHostSideStartupTest.java</t>
  </si>
  <si>
    <t>hostsidetests/media/app/MediaSessionTest/src/android/media/session/cts/MediaSessionManagerTest.java</t>
  </si>
  <si>
    <t>tests/tests/view/src/android/view/cts/DragDropTest.java</t>
  </si>
  <si>
    <t>tests/tests/security/src/android/security/cts/CryptoProviderWorkaroundTest.java</t>
  </si>
  <si>
    <t>tests/tests/security/src/android/security/cts/OpenSSLEarlyCCSTest.java</t>
  </si>
  <si>
    <t>tests/tests/security/src/android/security/cts/OpenSSLHeartbleedTest.java</t>
  </si>
  <si>
    <t>tests/tests/app.usage/src/android/app/usage/cts/UsageStatsTest.java</t>
  </si>
  <si>
    <t>hostsidetests/media/bitstreams/src/android/media/cts/bitstreams/HevcYuv444BitstreamsTest.java</t>
  </si>
  <si>
    <t>hostsidetests/media/bitstreams/src/android/media/cts/bitstreams/Vp9Yuv444BitstreamsTest.java</t>
  </si>
  <si>
    <t>common/host-side/tradefed/tests/src/com/android/compatibility/common/tradefed/testtype/suite/CompatibilityTestSuiteTest.java</t>
  </si>
  <si>
    <t>tests/autofillservice/src/android/autofillservice/cts/DatasetTest.java</t>
  </si>
  <si>
    <t>tests/autofillservice/src/android/autofillservice/cts/FillEventHistoryTest.java</t>
  </si>
  <si>
    <t>common/host-side/tradefed/tests/src/com/android/compatibility/common/tradefed/testtype/suite/ModuleRepoSuiteTest.java</t>
  </si>
  <si>
    <t>tests/tests/networksecurityconfig/networksecurityconfig-cleartext/src/android/security/net/config/cts/CleartextPermittedTest.java</t>
  </si>
  <si>
    <t>hostsidetests/incident/src/com/android/server/cts/FingerprintIncidentTest.java</t>
  </si>
  <si>
    <t>tests/tests/telephony/src/android/telephony/embms/cts/MbmsStreamingSessionTest.java</t>
  </si>
  <si>
    <t>hostsidetests/appsecurity/src/android/appsecurity/cts/ClassloaderSplitsTest.java</t>
  </si>
  <si>
    <t>hostsidetests/appsecurity/src/android/appsecurity/cts/PackageVisibilityTest.java</t>
  </si>
  <si>
    <t>common/host-side/tradefed/tests/src/com/android/compatibility/common/tradefed/testtype/CompatibilityHostTestBaseTest.java</t>
  </si>
  <si>
    <t>tests/vr/src/android/vr/cts/VrDisplayTest.java</t>
  </si>
  <si>
    <t>hostsidetests/multiuser/src/android/host/multiuser/CreateUsersNoAppCrashesTest.java</t>
  </si>
  <si>
    <t>tests/JobScheduler/JobTestApp/src/android/jobscheduler/cts/jobtestapp/TestJobActivity.java</t>
  </si>
  <si>
    <t>tests/JobScheduler/src/android/jobscheduler/cts/TempWhitelistTest.java</t>
  </si>
  <si>
    <t>hostsidetests/incident/src/com/android/server/cts/NotificationTest.java</t>
  </si>
  <si>
    <t>tests/autofillservice/src/android/autofillservice/cts/ValidatorTest.java</t>
  </si>
  <si>
    <t>tests/app/src/android/app/cts/ActivityManagerProcessStateTest.java</t>
  </si>
  <si>
    <t>hostsidetests/incident/src/com/android/server/cts/StatsdValidationTest.java</t>
  </si>
  <si>
    <t>tests/autofillservice/src/android/autofillservice/cts/FieldsDetectionTest.java</t>
  </si>
  <si>
    <t>tests/autofillservice/src/android/autofillservice/cts/FillResponseTest.java</t>
  </si>
  <si>
    <t>tests/autofillservice/src/android/autofillservice/cts/FieldsClassificationTest.java</t>
  </si>
  <si>
    <t>tests/inputmethod/src/android/view/inputmethod/cts/InputMethodInfoTest.java</t>
  </si>
  <si>
    <t>tests/tests/telecom/src/android/telecom/cts/IncomingCallTest.java</t>
  </si>
  <si>
    <t>tests/inputmethod/src/android/view/inputmethod/cts/ColoredNavigationBarTest.java</t>
  </si>
  <si>
    <t>tests/autofillservice/src/android/autofillservice/cts/FieldsClassificationScorerTest.java</t>
  </si>
  <si>
    <t>tests/tests/os/src/android/os/cts/WorkSourceTest.java</t>
  </si>
  <si>
    <t>tests/tests/view/src/android/view/cts/PanicPressBackTest.java</t>
  </si>
  <si>
    <t>tests/autofillservice/src/android/autofillservice/cts/OptionalSaveActivityTest.java</t>
  </si>
  <si>
    <t>tests/autofillservice/src/android/autofillservice/cts/PreFilledLoginActivityTest.java</t>
  </si>
  <si>
    <t>tests/tests/slice/src/android/slice/cts/SliceTest.java</t>
  </si>
  <si>
    <t>hostsidetests/security/src/android/security/cts/EncryptionHostTest.java</t>
  </si>
  <si>
    <t>hostsidetests/inputmethodservice/deviceside/devicetest/src/android/inputmethodservice/cts/devicetest/InputMethodServiceDeviceTest.java</t>
  </si>
  <si>
    <t>hostsidetests/inputmethodservice/hostside/src/android/inputmethodservice/cts/hostside/InputMethodServiceLifecycleTest.java</t>
  </si>
  <si>
    <t>hostsidetests/inputmethodservice/deviceside/devicetest/src/android/inputmethodservice/cts/devicetest/TestHelper.java</t>
  </si>
  <si>
    <t>hostsidetests/devicepolicy/app/DeviceAndProfileOwner/src/com/android/cts/deviceandprofileowner/ClearApplicationDataTest.java</t>
  </si>
  <si>
    <t>tests/framework/base/activitymanager/src/android/server/am/DisplaySizeTest.java</t>
  </si>
  <si>
    <t>hostsidetests/devicepolicy/app/DeviceOwner/src/com/android/cts/deviceowner/BaseDeviceOwnerTest.java</t>
  </si>
  <si>
    <t>tests/inputmethod/src/android/view/inputmethod/cts/FocusHandlingTest.java</t>
  </si>
  <si>
    <t>tests/inputmethod/src/android/view/inputmethod/cts/SearchViewTest.java</t>
  </si>
  <si>
    <t>tests/tests/bluetooth/src/android/bluetooth/cts/BluetoothLeScanTest.java</t>
  </si>
  <si>
    <t>apps/CtsVerifier/src/com/android/cts/verifier/admin/tapjacking/UsbTest.java</t>
  </si>
  <si>
    <t>tests/tests/permission/src/android/permission/cts/AppOpsTest.java</t>
  </si>
  <si>
    <t>hostsidetests/devicepolicy/app/TransferOwnerIncomingApp/src/com/android/cts/transferowner/TransferProfileOwnerIncomingTest.java</t>
  </si>
  <si>
    <t>hostsidetests/devicepolicy/app/TransferOwnerOutgoingApp/src/com/android/cts/transferowner/TransferProfileOwnerOutgoingTest.java</t>
  </si>
  <si>
    <t>hostsidetests/devicepolicy/src/com/android/cts/devicepolicy/TransferProfileOwnerTest.java</t>
  </si>
  <si>
    <t>tests/autofillservice/src/android/autofillservice/cts/EditDistanceScorerTest.java</t>
  </si>
  <si>
    <t>tests/tests/security/src/android/security/cts/SeccompTest.java</t>
  </si>
  <si>
    <t>hostsidetests/content/src/android/content/cts/SyncAdapterAccountAccessHostTest.java</t>
  </si>
  <si>
    <t>tests/tests/content/CtsSyncAccountAccessSameCertTests/src/com/android/cts/content/CtsSyncAccountAccessSameCertTestCases.java</t>
  </si>
  <si>
    <t>hostsidetests/devicepolicy/app/TransferOwnerIncomingApp/src/com/android/cts/transferowner/TransferDeviceOwnerIncomingTest.java</t>
  </si>
  <si>
    <t>hostsidetests/devicepolicy/app/TransferOwnerOutgoingApp/src/com/android/cts/transferowner/DeviceAndProfileOwnerTransferOutgoingTest.java</t>
  </si>
  <si>
    <t>hostsidetests/devicepolicy/src/com/android/cts/devicepolicy/DeviceAndProfileOwnerTransferTest.java</t>
  </si>
  <si>
    <t>hostsidetests/devicepolicy/src/com/android/cts/devicepolicy/MixedDeviceOwnerTransferTest.java</t>
  </si>
  <si>
    <t>hostsidetests/devicepolicy/src/com/android/cts/devicepolicy/MixedProfileOwnerTransferTest.java</t>
  </si>
  <si>
    <t>tests/tests/text/src/android/text/cts/PremeasuredTextTest.java</t>
  </si>
  <si>
    <t>tests/tests/graphics/src/android/graphics/cts/CameraGpuTest.java</t>
  </si>
  <si>
    <t>tests/signature/tests/src/android/signature/cts/tests/ApiComplianceCheckerTest.java</t>
  </si>
  <si>
    <t>tests/tests/webkit/src/android/webkit/cts/WebViewDataDirTest.java</t>
  </si>
  <si>
    <t>tests/tests/text/src/android/text/cts/MeasuredTextTest.java</t>
  </si>
  <si>
    <t>tests/dram/src/android/dram/cts/BandwidthTest.java</t>
  </si>
  <si>
    <t>tests/tests/selinux/selinuxTargetSdk/src/android/selinuxtargetsdk/cts/SELinuxTargetSdkTest.java</t>
  </si>
  <si>
    <t>tests/tests/selinux/selinuxTargetSdk2/src/android/selinuxtargetsdk2/cts/SELinuxTargetSdk2Test.java</t>
  </si>
  <si>
    <t>hostsidetests/multiuser/src/android/host/multiuser/BaseMultiUserTest.java</t>
  </si>
  <si>
    <t>hostsidetests/devicepolicy/app/DeviceAndProfileOwner/src/com/android/cts/deviceandprofileowner/DpcAllowedAccountManagementTest.java</t>
  </si>
  <si>
    <t>hostsidetests/devicepolicy/app/DeviceOwner/src/com/android/cts/deviceowner/BackupServiceEnabledTest.java</t>
  </si>
  <si>
    <t>tests/tests/batterysaving/src/android/os/cts/batterysaving/BatterySaverTest.java</t>
  </si>
  <si>
    <t>tools/cts-api-coverage/src/com/android/cts/apicoverage/TestSuiteContentReport.java</t>
  </si>
  <si>
    <t>tests/tests/graphics/src/android/graphics/cts/ImageDecoderTest.java</t>
  </si>
  <si>
    <t>tests/autofillservice/src/android/autofillservice/cts/DisableAutofillTest.java</t>
  </si>
  <si>
    <t>tests/autofillservice/src/android/autofillservice/cts/MultiWindowLoginActivityTest.java</t>
  </si>
  <si>
    <t>tests/tests/systemui/src/android/systemui/cts/LightBarThemeTest.java</t>
  </si>
  <si>
    <t>tests/tests/incident/src/android/os/cts/IncidentSettingFormatTest.java</t>
  </si>
  <si>
    <t>tests/tests/content/src/android/content/res/cts/AssetManager_AssetInputStreamTest.java</t>
  </si>
  <si>
    <t>tests/app/src/android/app/backup/cts/BackupManagerTest.java</t>
  </si>
  <si>
    <t>tests/tests/text/src/android/text/style/cts/QuoteSpanTest.java</t>
  </si>
  <si>
    <t>tests/tests/content/src/android/content/cts/AccountAccessSameCertTest.java</t>
  </si>
  <si>
    <t>tests/AlarmManager/app/src/android/alarmmanager/alarmtestapp/cts/TestAlarmActivity.java</t>
  </si>
  <si>
    <t>tests/AlarmManager/src/android/alarmmanager/cts/BackgroundRestrictedAlarmsTest.java</t>
  </si>
  <si>
    <t>hostsidetests/jvmti/attaching/host/src/android/jvmti/cts/JvmtiAttachingHostTest.java</t>
  </si>
  <si>
    <t>tests/tests/car/src/android/car/cts/CarAudioManagerTest.java</t>
  </si>
  <si>
    <t>hostsidetests/devicepolicy/app/DeviceOwner/src/com/android/cts/deviceowner/SystemUpdatePolicyTest.java</t>
  </si>
  <si>
    <t>hostsidetests/devicepolicy/src/com/android/cts/devicepolicy/MixedProfileOwnerHostSideTransferTest.java</t>
  </si>
  <si>
    <t>hostsidetests/deviceidle/src/com/android/cts/deviceidle/DeviceIdleWhitelistTest.java</t>
  </si>
  <si>
    <t>tests/camera/src/android/hardware/camera2/cts/LogicalCameraDeviceTest.java</t>
  </si>
  <si>
    <t>apps/CtsVerifier/src/com/android/cts/verifier/security/FingerprintDialogBoundKeysTest.java</t>
  </si>
  <si>
    <t>tests/app/src/android/app/cts/DialogTest.java</t>
  </si>
  <si>
    <t>tests/inputmethod/src/android/view/inputmethod/cts/InputMethodServiceTest.java</t>
  </si>
  <si>
    <t>hostsidetests/incident/src/com/android/server/cts/MemInfoIncidentTest.java</t>
  </si>
  <si>
    <t>hostsidetests/devicepolicy/app/TransferOwnerIncomingApp/src/com/android/cts/transferowner/DeviceAndProfileOwnerTransferIncomingTest.java</t>
  </si>
  <si>
    <t>tests/tests/view/src/android/view/textclassifier/logging/cts/LoggerTest.java</t>
  </si>
  <si>
    <t>tests/tests/text/src/android/text/cts/PrecomputedTextTest.java</t>
  </si>
  <si>
    <t>tests/tests/webkit/src/android/webkit/cts/TracingControllerTest.java</t>
  </si>
  <si>
    <t>tests/autofillservice/src/android/autofillservice/cts/UserDataTest.java</t>
  </si>
  <si>
    <t>tests/tests/telephony/src/android/telephony/embms/cts/MbmsDownloadSessionTest.java</t>
  </si>
  <si>
    <t>tests/inputmethod/src/android/view/inputmethod/cts/InputMethodManagerTest.java</t>
  </si>
  <si>
    <t>tests/tests/telecom/src/android/telecom/cts/TransformationInfoTest.java</t>
  </si>
  <si>
    <t>tests/tests/security/src/android/security/cts/BufferQueueProducerTest.java</t>
  </si>
  <si>
    <t>tests/framework/base/activitymanager/src/android/server/am/DeprecatedTargetSdkTest.java</t>
  </si>
  <si>
    <t>tests/framework/base/activitymanager/src/android/server/am/PrereleaseSdkTest.java</t>
  </si>
  <si>
    <t>tests/tests/syncmanager/src/android/content/syncmanager/cts/CtsSyncManagerTest.java</t>
  </si>
  <si>
    <t>hostsidetests/incident/src/com/android/server/cts/AlarmManagerIncidentTest.java</t>
  </si>
  <si>
    <t>hostsidetests/appsecurity/test-apps/UsePermissionDiffCert/src/com/android/cts/usespermissiondiffcertapp/ModifyInstallerPackageTest.java</t>
  </si>
  <si>
    <t>tests/tests/content/src/android/content/cts/ClipboardManagerTest.java</t>
  </si>
  <si>
    <t>hostsidetests/appsecurity/test-apps/AppWithData/src/com/android/cts/appwithdata/CreatePrivateDataTest.java</t>
  </si>
  <si>
    <t>tests/tests/media/src/android/media/cts/MediaBrowser2Test.java</t>
  </si>
  <si>
    <t>tests/tests/media/src/android/media/cts/MediaController2Test.java</t>
  </si>
  <si>
    <t>tests/tests/media/src/android/media/cts/MediaMetadata2Test.java</t>
  </si>
  <si>
    <t>tests/tests/media/src/android/media/cts/MediaSession2Test.java</t>
  </si>
  <si>
    <t>tests/tests/media/src/android/media/cts/SessionToken2Test.java</t>
  </si>
  <si>
    <t>tests/tests/media/src/android/media/cts/TestMediaSessionService2Registry.java</t>
  </si>
  <si>
    <t>tests/tests/os/src/android/os/cts/VibrationEffectTest.java</t>
  </si>
  <si>
    <t>tests/inputmethod/src/android/view/inputmethod/cts/InputConnectionTest.java</t>
  </si>
  <si>
    <t>tests/tests/graphics/src/android/graphics/drawable/cts/AnimatedImageDrawableTest.java</t>
  </si>
  <si>
    <t>tests/signature/api-check/src/java/android/signature/cts/api/HiddenApiTest.java</t>
  </si>
  <si>
    <t>tests/tests/slice/src/android/slice/cts/SliceManagerTest.java</t>
  </si>
  <si>
    <t>tests/framework/base/activitymanager/app/src/android/server/am/TestActivityWithSameAffinity.java</t>
  </si>
  <si>
    <t>tests/framework/base/activitymanager/app_base/src/android/server/am/TestActivity.java</t>
  </si>
  <si>
    <t>tests/JobScheduler/src/android/jobscheduler/cts/DeviceIdleJobsTest.java</t>
  </si>
  <si>
    <t>hostsidetests/devicepolicy/app/DeviceAndProfileOwner/src/com/android/cts/deviceandprofileowner/MeteredDataRestrictionTest.java</t>
  </si>
  <si>
    <t>tests/autofillservice/src/android/autofillservice/cts/VirtualContainerActivityCompatModeTest.java</t>
  </si>
  <si>
    <t>tests/tests/display/src/android/display/cts/BrightnessTest.java</t>
  </si>
  <si>
    <t>tests/tests/media/src/android/media/cts/TestServiceRegistry.java</t>
  </si>
  <si>
    <t>common/util/src/com/android/compatibility/common/util/TestSuiteFilter.java</t>
  </si>
  <si>
    <t>tests/tests/media/src/android/media/cts/MediaSessionManager_MediaSession2Test.java</t>
  </si>
  <si>
    <t>tests/tests/permission/src/android/permission/cts/NoWifiStatePermissionTest.java</t>
  </si>
  <si>
    <t>tests/tests/media/src/android/media/cts/MediaSession2_PermissionTest.java</t>
  </si>
  <si>
    <t>tests/tests/security/src/android/security/cts/StagefrightCodecTest.java</t>
  </si>
  <si>
    <t>tests/tests/net/src/android/net/wifi/rtt/cts/TestBase.java</t>
  </si>
  <si>
    <t>tests/tests/net/src/android/net/wifi/rtt/cts/WifiRttTest.java</t>
  </si>
  <si>
    <t>hostsidetests/devicepolicy/app/TransferOwnerOutgoingApp/src/com/android/cts/transferowner/TransferDeviceOwnerOutgoingTest.java</t>
  </si>
  <si>
    <t>hostsidetests/devicepolicy/src/com/android/cts/devicepolicy/DeviceAndProfileOwnerHostSideTransferTest.java</t>
  </si>
  <si>
    <t>tests/tests/media/src/android/media/cts/TestUtils.java</t>
  </si>
  <si>
    <t>tests/tests/net/src/android/net/cts/MultinetworkSysctlTest.java</t>
  </si>
  <si>
    <t>tests/tests/telephony/src/android/telephony/embms/cts/MbmsDownloadStateCallbackTest.java</t>
  </si>
  <si>
    <t>hostsidetests/devicepolicy/app/DeviceOwner/src/com/android/cts/deviceowner/OverrideApnTest.java</t>
  </si>
  <si>
    <t>hostsidetests/backup/src/android/cts/backup/BackupDeviceOwnerHostSideTest.java</t>
  </si>
  <si>
    <t>tests/tests/slice/src/android/slice/cts/SliceBuilderTest.java</t>
  </si>
  <si>
    <t>tests/tests/renderscript/src/android/renderscript/cts/rsAllocationCopyTest.java</t>
  </si>
  <si>
    <t>tests/inputmethod/src/android/view/inputmethod/cts/BaseInputConnectionTest.java</t>
  </si>
  <si>
    <t>tests/tests/car/src/android/car/cts/CarPackageManagerTest.java</t>
  </si>
  <si>
    <t>tests/tests/car/src/android/car/cts/CarSensorManagerTest.java</t>
  </si>
  <si>
    <t>tests/tests/view/src/android/view/textclassifier/cts/LoggerTest.java</t>
  </si>
  <si>
    <t>hostsidetests/devicepolicy/app/DeviceAndProfileOwner/src/com/android/cts/deviceandprofileowner/PasswordBlacklistTest.java</t>
  </si>
  <si>
    <t>hostsidetests/devicepolicy/app/DeviceOwner/src/com/android/cts/deviceowner/SetSystemSettingTest.java</t>
  </si>
  <si>
    <t>tests/tests/view/src/android/view/textclassifier/cts/TextClassifierValueObjectsTest.java</t>
  </si>
  <si>
    <t>tests/tests/telephony/src/android/telephony/embms/cts/MbmsDownloadCallbackTest.java</t>
  </si>
  <si>
    <t>tests/tests/telephony/src/android/telephony/embms/cts/MbmsDownloadFlowTest.java</t>
  </si>
  <si>
    <t>tests/accessibility/src/android/view/accessibility/cts/AccessibilityEventTest.java</t>
  </si>
  <si>
    <t>tests/accessibility/src/android/view/accessibility/cts/AccessibilityRecordTest.java</t>
  </si>
  <si>
    <t>hostsidetests/seccomp/app/src/android/seccomp/cts/app/SeccompDeviceTest.java</t>
  </si>
  <si>
    <t>hostsidetests/seccomp/src/android/seccomp/cts/SeccompHostJUnit4DeviceTest.java</t>
  </si>
  <si>
    <t>hostsidetests/aadb/src/android/aadb/cts/TestDeviceFuncTest.java</t>
  </si>
  <si>
    <t>hostsidetests/aadb/src/android/aadb/cts/TestDeviceStressTest.java</t>
  </si>
  <si>
    <t>apps/CtsVerifier/src/com/android/cts/verifier/security/BiometricDialogBoundKeysTest.java</t>
  </si>
  <si>
    <t>hostsidetests/dumpsys/src/android/dumpsys/cts/BatteryStatsDumpsysTest.java</t>
  </si>
  <si>
    <t>tests/tests/net/src/android/net/cts/NetworkRequestTest.java</t>
  </si>
  <si>
    <t>hostsidetests/incident/src/com/android/server/cts/IncidentdTest.java</t>
  </si>
  <si>
    <t>tests/tests/telephony/src/android/telephony/euicc/cts/EuiccManagerTest.java</t>
  </si>
  <si>
    <t>common/host-side/tradefed/tests/src/com/android/compatibility/common/tradefed/testtype/JarHostTestTest.java</t>
  </si>
  <si>
    <t>hostsidetests/backup/DeviceOwnerApp/src/android/cts/backup/deviceownerapp/BackupDeviceOwnerTest.java</t>
  </si>
  <si>
    <t>hostsidetests/devicepolicy/app/DeviceOwner/src/com/android/cts/deviceowner/BackupServicePoliciesTest.java</t>
  </si>
  <si>
    <t>tests/tests/preference2/src/android/preference2/cts/PreferenceActivityFlowLandscapeTest.java</t>
  </si>
  <si>
    <t>tests/tests/preference2/src/android/preference2/cts/PreferenceActivityFlowPortraitTest.java</t>
  </si>
  <si>
    <t>tests/tests/preference2/src/android/preference2/cts/PreferenceActivityFlowTest.java</t>
  </si>
  <si>
    <t>tests/tests/preference2/src/android/preference2/cts/PreferenceActivityLegacyFlowTest.java</t>
  </si>
  <si>
    <t>tests/tests/preference2/src/android/preference2/cts/TestUtils.java</t>
  </si>
  <si>
    <t>tests/autofillservice/src/android/autofillservice/cts/FatActivityTest.java</t>
  </si>
  <si>
    <t>tests/tests/permission/src/android/permission/cts/ObserveAppUsagePermissionTest.java</t>
  </si>
  <si>
    <t>tests/tests/permission/src/android/permission/cts/SuspendAppsPermissionTest.java</t>
  </si>
  <si>
    <t>tests/tests/permission/src/android/permission/cts/TelephonyManagerPermissionTest.java</t>
  </si>
  <si>
    <t>hostsidetests/incident/src/com/android/server/cts/IncidentdIsolatedTest.java</t>
  </si>
  <si>
    <t>tests/tests/media/src/android/media/cts/MediaDrmClearkeyTest.java</t>
  </si>
  <si>
    <t>tests/tests/graphics/src/android/graphics/cts/BasicVulkanGpuTest.java</t>
  </si>
  <si>
    <t>hostsidetests/usb/SerialTestApp/src/com/android/cts/usb/serialtest/UsbSerialTest.java</t>
  </si>
  <si>
    <t>hostsidetests/usb/src/com/android/cts/usb/TestUsbTest.java</t>
  </si>
  <si>
    <t>tests/tests/print/printTestUtilLib/src/android/print/test/BasePrintTest.java</t>
  </si>
  <si>
    <t>tests/tests/appwidget/src/android/appwidget/cts/UpdateProviderInfoTest.java</t>
  </si>
  <si>
    <t>harness/common/host-side/manifest-generator/tests/src/com/android/compatibility/common/generator/ManifestGeneratorTest.java</t>
  </si>
  <si>
    <t>harness/common/host-side/tradefed/src/com/android/compatibility/common/tradefed/result/TestRunHandler.java</t>
  </si>
  <si>
    <t>harness/common/host-side/tradefed/src/com/android/compatibility/common/tradefed/testtype/CompatibilityTest.java</t>
  </si>
  <si>
    <t>harness/common/host-side/tradefed/src/com/android/compatibility/common/tradefed/testtype/JarHostTest.java</t>
  </si>
  <si>
    <t>harness/common/host-side/tradefed/src/com/android/compatibility/common/tradefed/testtype/retry/RetryFactoryTest.java</t>
  </si>
  <si>
    <t>harness/common/host-side/tradefed/tests/src/com/android/compatibility/common/tradefed/build/CompatibilityBuildHelperTest.java</t>
  </si>
  <si>
    <t>harness/common/host-side/tradefed/tests/src/com/android/compatibility/common/tradefed/build/CompatibilityBuildProviderTest.java</t>
  </si>
  <si>
    <t>harness/common/host-side/tradefed/tests/src/com/android/compatibility/common/tradefed/command/CompatibilityConsoleTest.java</t>
  </si>
  <si>
    <t>harness/common/host-side/tradefed/tests/src/com/android/compatibility/common/tradefed/config/ConfigurationFactoryTest.java</t>
  </si>
  <si>
    <t>harness/common/host-side/tradefed/tests/src/com/android/compatibility/common/tradefed/presubmit/CtsConfigLoadingTest.java</t>
  </si>
  <si>
    <t>harness/common/host-side/tradefed/tests/src/com/android/compatibility/common/tradefed/presubmit/IntegrationTest.java</t>
  </si>
  <si>
    <t>harness/common/host-side/tradefed/tests/src/com/android/compatibility/common/tradefed/result/ChecksumReporterTest.java</t>
  </si>
  <si>
    <t>harness/common/host-side/tradefed/tests/src/com/android/compatibility/common/tradefed/result/ConsoleReporterTest.java</t>
  </si>
  <si>
    <t>harness/common/host-side/tradefed/tests/src/com/android/compatibility/common/tradefed/result/MetadataReporterTest.java</t>
  </si>
  <si>
    <t>harness/common/host-side/tradefed/tests/src/com/android/compatibility/common/tradefed/result/ResultReporterBuildInfoTest.java</t>
  </si>
  <si>
    <t>harness/common/host-side/tradefed/tests/src/com/android/compatibility/common/tradefed/result/ResultReporterTest.java</t>
  </si>
  <si>
    <t>harness/common/host-side/tradefed/tests/src/com/android/compatibility/common/tradefed/result/SubPlanHelperTest.java</t>
  </si>
  <si>
    <t>harness/common/host-side/tradefed/tests/src/com/android/compatibility/common/tradefed/result/suite/CertificationChecksumHelperTest.java</t>
  </si>
  <si>
    <t>harness/common/host-side/tradefed/tests/src/com/android/compatibility/common/tradefed/targetprep/DynamicConfigPusherTest.java</t>
  </si>
  <si>
    <t>harness/common/host-side/tradefed/tests/src/com/android/compatibility/common/tradefed/targetprep/MediaPreparerTest.java</t>
  </si>
  <si>
    <t>harness/common/host-side/tradefed/tests/src/com/android/compatibility/common/tradefed/targetprep/PropertyCheckTest.java</t>
  </si>
  <si>
    <t>harness/common/host-side/tradefed/tests/src/com/android/compatibility/common/tradefed/targetprep/SettingsPreparerTest.java</t>
  </si>
  <si>
    <t>harness/common/host-side/tradefed/tests/src/com/android/compatibility/common/tradefed/testtype/CompatibilityTestTest.java</t>
  </si>
  <si>
    <t>harness/common/host-side/tradefed/tests/src/com/android/compatibility/common/tradefed/testtype/JarHostTestTest.java</t>
  </si>
  <si>
    <t>harness/common/host-side/tradefed/tests/src/com/android/compatibility/common/tradefed/testtype/ModuleDefTest.java</t>
  </si>
  <si>
    <t>harness/common/host-side/tradefed/tests/src/com/android/compatibility/common/tradefed/testtype/ModuleRepoTest.java</t>
  </si>
  <si>
    <t>harness/common/host-side/tradefed/tests/src/com/android/compatibility/common/tradefed/testtype/SubPlanTest.java</t>
  </si>
  <si>
    <t>harness/common/host-side/tradefed/tests/src/com/android/compatibility/common/tradefed/testtype/TestStub.java</t>
  </si>
  <si>
    <t>harness/common/host-side/tradefed/tests/src/com/android/compatibility/common/tradefed/testtype/TestStubShardable.java</t>
  </si>
  <si>
    <t>harness/common/host-side/tradefed/tests/src/com/android/compatibility/common/tradefed/testtype/retry/RetryFactoryTestTest.java</t>
  </si>
  <si>
    <t>harness/common/host-side/tradefed/tests/src/com/android/compatibility/common/tradefed/util/CollectorUtilTest.java</t>
  </si>
  <si>
    <t>harness/common/host-side/tradefed/tests/src/com/android/compatibility/common/tradefed/util/DynamicConfigFileReaderTest.java</t>
  </si>
  <si>
    <t>harness/common/host-side/tradefed/tests/src/com/android/compatibility/common/tradefed/util/OptionHelperTest.java</t>
  </si>
  <si>
    <t>harness/common/host-side/tradefed/tests/src/com/android/compatibility/common/tradefed/util/RetryFilterHelperTest.java</t>
  </si>
  <si>
    <t>harness/common/host-side/tradefed/tests/src/com/android/compatibility/common/tradefed/util/UniqueModuleCountUtilTest.java</t>
  </si>
  <si>
    <t>harness/common/host-side/util/src/com/android/compatibility/common/util/TestFilter.java</t>
  </si>
  <si>
    <t>harness/common/host-side/util/tests/src/com/android/compatibility/common/util/BusinessLogicHostExecutorTest.java</t>
  </si>
  <si>
    <t>harness/common/host-side/util/tests/src/com/android/compatibility/common/util/DynamicConfigHandlerTest.java</t>
  </si>
  <si>
    <t>harness/common/host-side/util/tests/src/com/android/compatibility/common/util/ModuleResultTest.java</t>
  </si>
  <si>
    <t>harness/common/host-side/util/tests/src/com/android/compatibility/common/util/TestFilterTest.java</t>
  </si>
  <si>
    <t>harness/common/util/src/com/android/compatibility/common/util/TestResult.java</t>
  </si>
  <si>
    <t>harness/common/util/src/com/android/compatibility/common/util/TestStatus.java</t>
  </si>
  <si>
    <t>harness/common/util/tests/src/com/android/compatibility/common/util/BusinessLogicTest.java</t>
  </si>
  <si>
    <t>harness/common/util/tests/src/com/android/compatibility/common/util/CaseResultTest.java</t>
  </si>
  <si>
    <t>harness/common/util/tests/src/com/android/compatibility/common/util/DynamicConfigTest.java</t>
  </si>
  <si>
    <t>harness/common/util/tests/src/com/android/compatibility/common/util/LightInvocationResultTest.java</t>
  </si>
  <si>
    <t>harness/common/util/tests/src/com/android/compatibility/common/util/MetricsXmlSerializerTest.java</t>
  </si>
  <si>
    <t>harness/common/util/tests/src/com/android/compatibility/common/util/MultipartFormTest.java</t>
  </si>
  <si>
    <t>harness/common/util/tests/src/com/android/compatibility/common/util/ReportLogTest.java</t>
  </si>
  <si>
    <t>harness/common/util/tests/src/com/android/compatibility/common/util/ResultHandlerTest.java</t>
  </si>
  <si>
    <t>harness/common/util/tests/src/com/android/compatibility/common/util/StatTest.java</t>
  </si>
  <si>
    <t>harness/common/util/tests/src/com/android/compatibility/common/util/TestResultTest.java</t>
  </si>
  <si>
    <t>harness/tools/cts-tradefed/tests/src/com/android/compatibility/tradefed/CtsTradefedTest.java</t>
  </si>
  <si>
    <t>hostsidetests/media/bitstreams/src/android/media/cts/bitstreams/HevcYuv400BitstreamsTest.java</t>
  </si>
  <si>
    <t>hostsidetests/media/bitstreams/src/android/media/cts/bitstreams/HevcYuv422BitstreamsTest.java</t>
  </si>
  <si>
    <t>hostsidetests/media/bitstreams/src/android/media/cts/bitstreams/Vp9Yuv422BitstreamsTest.java</t>
  </si>
  <si>
    <t>tests/app/src/android/app/cts/PersonTest.java</t>
  </si>
  <si>
    <t>tools/release-parser/src/com/android/cts/releaseparser/TestModuleConfigHandler.java</t>
  </si>
  <si>
    <t>tools/release-parser/src/com/android/cts/releaseparser/TestSuiteParser.java</t>
  </si>
  <si>
    <t>hostsidetests/devicepolicy/app/DeviceOwner/src/com/android/cts/deviceowner/ForceEphemeralUsersTest.java</t>
  </si>
  <si>
    <t>tests/signature/api-check/src/java/android/signature/cts/api/KillswitchTest.java</t>
  </si>
  <si>
    <t>hostsidetests/sample/src/android/sample/cts/SampleHostJUnit4DeviceTest.java</t>
  </si>
  <si>
    <t>hostsidetests/backup/src/android/backup/cts/backup/BackupRestoreHostSideTest.java</t>
  </si>
  <si>
    <t>tests/autofillservice/src/android/autofillservice/cts/PreSimpleSaveActivityTest.java</t>
  </si>
  <si>
    <t>tests/tests/packageinstaller/externalsources/src/android/packageinstaller/externalsources/cts/ExternalSourcesInstantAppsTest.java</t>
  </si>
  <si>
    <t>hostsidetests/devicepolicy/app/ManagedProfile/src/com/android/cts/managedprofile/LockNowTest.java</t>
  </si>
  <si>
    <t>tests/autofillservice/src/android/autofillservice/cts/AttachedContextActivityTest.java</t>
  </si>
  <si>
    <t>tests/autofillservice/src/android/autofillservice/cts/CustomDescriptionDateTest.java</t>
  </si>
  <si>
    <t>tests/autofillservice/src/android/autofillservice/cts/DatePickerCalendarActivityTest.java</t>
  </si>
  <si>
    <t>tests/autofillservice/src/android/autofillservice/cts/DatePickerSpinnerActivityTest.java</t>
  </si>
  <si>
    <t>tests/autofillservice/src/android/autofillservice/cts/DialogLauncherActivityTest.java</t>
  </si>
  <si>
    <t>tests/autofillservice/src/android/autofillservice/cts/InitializedCheckoutActivityTest.java</t>
  </si>
  <si>
    <t>tests/autofillservice/src/android/autofillservice/cts/LoginWithCustomHighlightActivityTest.java</t>
  </si>
  <si>
    <t>tests/autofillservice/src/android/autofillservice/cts/LoginWithStringsActivityTest.java</t>
  </si>
  <si>
    <t>tests/autofillservice/src/android/autofillservice/cts/MultipleFragmentLoginTest.java</t>
  </si>
  <si>
    <t>tests/autofillservice/src/android/autofillservice/cts/MutableAutofillIdTest.java</t>
  </si>
  <si>
    <t>tests/autofillservice/src/android/autofillservice/cts/SettingsIntentTest.java</t>
  </si>
  <si>
    <t>tests/autofillservice/src/android/autofillservice/cts/TimePickerClockActivityTest.java</t>
  </si>
  <si>
    <t>tests/autofillservice/src/android/autofillservice/cts/TimePickerSpinnerActivityTest.java</t>
  </si>
  <si>
    <t>tests/autofillservice/src/android/autofillservice/cts/WebViewActivityTest.java</t>
  </si>
  <si>
    <t>hostsidetests/ui/control/src/android/taskswitching/control/cts/TaskSwitchingDeviceTest.java</t>
  </si>
  <si>
    <t>hostsidetests/ui/src/android/ui/cts/TaskSwitchingTest.java</t>
  </si>
  <si>
    <t>tests/tests/media/src/android/media/cts/NativeMediaDrmClearkeyTest.java</t>
  </si>
  <si>
    <t>hostsidetests/appsecurity/src/android/appsecurity/cts/MajorVersionTest.java</t>
  </si>
  <si>
    <t>tests/tests/security/src/android/security/cts/ListeningPortsTest.java</t>
  </si>
  <si>
    <t>tests/tests/webkit/src/android/webkit/cts/WebBackForwardListTest.java</t>
  </si>
  <si>
    <t>hostsidetests/devicepolicy/src/com/android/cts/devicepolicy/MixedDeviceOwnerHostSideTransferTest.java</t>
  </si>
  <si>
    <t>hostsidetests/backup/SyncAdapterSettingsApp/src/android/cts/backup/syncadaptersettingsapp/SyncAdapterSettingsTest.java</t>
  </si>
  <si>
    <t>hostsidetests/appsecurity/src/android/appsecurity/cts/OverlayHostTest.java</t>
  </si>
  <si>
    <t>hostsidetests/appsecurity/test-apps/InstrumentationAppDiffCert/src/com/android/cts/instrumentationdiffcertapp/InstrumentationFailToRunTest.java</t>
  </si>
  <si>
    <t>tests/tests/os/src/android/os/cts/MessengerTest.java</t>
  </si>
  <si>
    <t>tests/tests/widget/src/android/widget/cts/RemoteViewsWidgetTest.java</t>
  </si>
  <si>
    <t>tests/tests/os/src/android/os/cts/SecurityPatchTest.java</t>
  </si>
  <si>
    <t>tests/tests/database/src/android/database/sqlite/cts/SQLiteQueryBuilderTest.java</t>
  </si>
  <si>
    <t>tests/camera/src/android/hardware/cts/CameraGLTest.java</t>
  </si>
  <si>
    <t>tests/camera/src/android/hardware/cts/CameraTest.java</t>
  </si>
  <si>
    <t>hostsidetests/backup/OtherSoundsSettingsApp/src/android/cts/backup/othersoundssettingsapp/OtherSoundsSettingsTest.java</t>
  </si>
  <si>
    <t>hostsidetests/backup/src/android/cts/backup/OtherSoundsSettingsHostSideTest.java</t>
  </si>
  <si>
    <t>hostsidetests/security/src/android/security/cts/SecurityPatchTest.java</t>
  </si>
  <si>
    <t>tools/release-parser/src/com/android/cts/releaseparser/TestSuiteTradfedParser.java</t>
  </si>
  <si>
    <t>tests/tests/provider/src/android/provider/cts/MediaStore_Images_ThumbnailsTest.java</t>
  </si>
  <si>
    <t>tests/tests/hardware/src/android/hardware/cts/HardwareBufferTest.java</t>
  </si>
  <si>
    <t>tests/tests/view/src/android/view/cts/KeyEventInterceptTest.java</t>
  </si>
  <si>
    <t>tests/tests/packageinstaller/tapjacking/src/com/google/android/packageinstaller/tapjacking/gts/TapjackingTest.java</t>
  </si>
  <si>
    <t>tests/autofillservice/src/android/autofillservice/cts/CustomDescriptionUnitTest.java</t>
  </si>
  <si>
    <t>hostsidetests/wifibroadcasts/src/android/wifibroadcasts/cts/WifiBroadcastsHostJUnit4Test.java</t>
  </si>
  <si>
    <t>tests/vm/src/android/vm/cts/opcodes/add_double/AddDoubleTest.java</t>
  </si>
  <si>
    <t>tests/vm/src/android/vm/cts/opcodes/add_double_2addr/AddDouble2AddrTest.java</t>
  </si>
  <si>
    <t>tests/vm/src/android/vm/cts/opcodes/add_float/AddFloatTest.java</t>
  </si>
  <si>
    <t>tests/vm/src/android/vm/cts/opcodes/add_float_2addr/AddFloat2AddrTest.java</t>
  </si>
  <si>
    <t>tests/vm/src/android/vm/cts/opcodes/add_int/AddIntTest.java</t>
  </si>
  <si>
    <t>tests/vm/src/android/vm/cts/opcodes/add_int_2addr/AddInt2AddrTest.java</t>
  </si>
  <si>
    <t>tests/vm/src/android/vm/cts/opcodes/add_int_lit16/AddIntLit16Test.java</t>
  </si>
  <si>
    <t>tests/vm/src/android/vm/cts/opcodes/add_long/AddLongTest.java</t>
  </si>
  <si>
    <t>tests/vm/src/android/vm/cts/opcodes/add_long_2addr/AddLong2AddrTest.java</t>
  </si>
  <si>
    <t>tests/autofillservice/src/android/autofillservice/cts/MultiScreenLoginTest.java</t>
  </si>
  <si>
    <t>tests/tests/provider/src/android/provider/cts/contacts/ContactsContract_DataUsageTest.java</t>
  </si>
  <si>
    <t>tests/tests/provider/src/android/provider/cts/ContactsContract_DataUsageTest.java</t>
  </si>
  <si>
    <t>tests/autofillservice/src/android/autofillservice/cts/OnClickActionTest.java</t>
  </si>
  <si>
    <t>tests/tests/location/src/android/location/cts/EmergencyCallMessageTest.java</t>
  </si>
  <si>
    <t>tests/app/app/src/android/app/stubs/MockNotificationListener.java</t>
  </si>
  <si>
    <t>tests/tests/notificationlegacy/src/android/app/notification/legacy/cts/MockNotificationListener.java</t>
  </si>
  <si>
    <t>tests/netlegacy22.permission/src/android/net/cts/legacy/api22/permission/QtaguidPermissionTest.java</t>
  </si>
  <si>
    <t>tests/tests/media/src/android/media/cts/RingtoneManagerTest.java</t>
  </si>
  <si>
    <t>hostsidetests/devicepolicy/app/ManagedProfile/src/com/android/cts/managedprofile/WipeDataWithReasonVerificationTest.java</t>
  </si>
  <si>
    <t>tests/autofillservice/src/android/autofillservice/cts/DatasetFilteringTest.java</t>
  </si>
  <si>
    <t>tests/accessibilityservice/src/android/accessibilityservice/cts/AccessibilityTextActionTest.java</t>
  </si>
  <si>
    <t>tests/tests/net/src/android/net/cts/IpSecSysctlTest.java</t>
  </si>
  <si>
    <t>tests/tests/net/src/android/net/cts/SysctlBaseTest.java</t>
  </si>
  <si>
    <t>tests/tests/permission/src/android/permission/cts/RemovePermissionTest.java</t>
  </si>
  <si>
    <t>tests/tests/provider/src/android/provider/cts/contacts/ContactsContract_RawContactsTest.java</t>
  </si>
  <si>
    <t>apps/CtsVerifier/src/com/android/cts/verifier/biometrics/BiometricTest.java</t>
  </si>
  <si>
    <t>hostsidetests/devicepolicy/app/DeviceAndProfileOwner/src/com/android/cts/deviceandprofileowner/userrestrictions/SecondaryProfileOwnerUserRestrictionsTest.java</t>
  </si>
  <si>
    <t>hostsidetests/gputools/src/android/gputools/cts/CtsRootlessGpuDebugHostTest.java</t>
  </si>
  <si>
    <t>tests/tests/text/src/android/text/style/cts/TextAppearanceSpanTest.java</t>
  </si>
  <si>
    <t>hostsidetests/devicepolicy/app/DeviceOwner/src/com/android/cts/deviceowner/DeviceIdentifiersTest.java</t>
  </si>
  <si>
    <t>hostsidetests/devicepolicy/app/ManagedProfile/src/com/android/cts/managedprofile/DeviceIdentifiersTest.java</t>
  </si>
  <si>
    <t>hostsidetests/devicepolicy/app/ManagedProfile/src/com/android/cts/managedprofile/CameraPolicyTest.java</t>
  </si>
  <si>
    <t>hostsidetests/securitybulletin/src/android/security/cts/TestMediaCodec.java</t>
  </si>
  <si>
    <t>hostsidetests/devicepolicy/app/IntentSender/src/com/android/cts/intent/sender/CopyPasteTest.java</t>
  </si>
  <si>
    <t>tests/tests/carrierapi/src/android/carrierapi/cts/CarrierApiTest.java</t>
  </si>
  <si>
    <t>tests/tests/carrierapi2/src/android/carrierapi2/cts/CarrierApiTest.java</t>
  </si>
  <si>
    <t>hostsidetests/devicepolicy/app/ProfileOwner/src/com/android/cts/profileowner/AppUsageObserverTest.java</t>
  </si>
  <si>
    <t>tests/tests/media/src/android/media/cts/AudioPresentationTest.java</t>
  </si>
  <si>
    <t>tests/tests/selinux/selinuxTargetSdk25/src/android/security/SELinuxTargetSdkTest.java</t>
  </si>
  <si>
    <t>tests/tests/selinux/selinuxTargetSdk28/src/android/security/SELinuxTargetSdkTest.java</t>
  </si>
  <si>
    <t>tests/tests/selinux/selinuxTargetSdkCurrent/src/android/security/SELinuxTargetSdkTest.java</t>
  </si>
  <si>
    <t>tests/tests/appwidget/src/android/appwidget/cts/CollectionAppWidgetTest.java</t>
  </si>
  <si>
    <t>hostsidetests/incident/src/com/android/server/cts/WindowManagerIncidentTest.java</t>
  </si>
  <si>
    <t>tests/tests/provider/src/android/provider/cts/MediaStoreTest.java</t>
  </si>
  <si>
    <t>tests/tests/binder_ndk/src/android/binder/cts/JavaClientTest.java</t>
  </si>
  <si>
    <t>hostsidetests/appsecurity/src/android/appsecurity/cts/ScopedDirectoryAccessTest.java</t>
  </si>
  <si>
    <t>tests/tests/security/src/android/security/cts/ActivityManagerTest.java</t>
  </si>
  <si>
    <t>hostsidetests/api/src/com/android/cts/api/UnofficialApisUsageTest.java</t>
  </si>
  <si>
    <t>tests/tests/media/src/android/media/cts/StreamingMediaPlayer2Test.java</t>
  </si>
  <si>
    <t>tests/tests/widget/src/android/widget/cts/VideoView2Test.java</t>
  </si>
  <si>
    <t>tests/tests/permission/src/android/permission/cts/BackgroundPermissionsTest.java</t>
  </si>
  <si>
    <t>tests/camera/src/android/hardware/camera2/cts/RobustnessTest.java</t>
  </si>
  <si>
    <t>tests/tests/widget/src/android/widget/cts/MagnifierTest.java</t>
  </si>
  <si>
    <t>tests/tests/telephony/src/android/telephony/embms/cts/MbmsGroupCallTest.java</t>
  </si>
  <si>
    <t>hostsidetests/tzdata/src/com/android/cts/tzdata/TzDataCheckTest.java</t>
  </si>
  <si>
    <t>tests/tests/media/src/android/media/cts/MediaPlayer2Test.java</t>
  </si>
  <si>
    <t>tests/tests/media/src/android/media/cts/TestMedia2DataSource.java</t>
  </si>
  <si>
    <t>tests/tests/car/src/android/car/cts/CarTest.java</t>
  </si>
  <si>
    <t>tests/tests/provider/src/android/provider/cts/MediaStore_Audio_AlbumsTest.java</t>
  </si>
  <si>
    <t>tests/tests/provider/src/android/provider/cts/MediaStore_Audio_ArtistsTest.java</t>
  </si>
  <si>
    <t>tests/tests/provider/src/android/provider/cts/MediaStore_Audio_Artists_AlbumsTest.java</t>
  </si>
  <si>
    <t>tests/tests/provider/src/android/provider/cts/MediaStore_Audio_MediaTest.java</t>
  </si>
  <si>
    <t>tests/contentcaptureservice/src/android/contentcaptureservice/cts/AbstractContentCaptureIntegrationTest.java</t>
  </si>
  <si>
    <t>tests/tests/provider/src/android/provider/cts/MediaStore_Video_ThumbnailsTest.java</t>
  </si>
  <si>
    <t>tests/tests/provider/src/android/provider/cts/Settings_SystemTest.java</t>
  </si>
  <si>
    <t>hostsidetests/angle/app/debugOption/src/com/android/angleIntegrationTest/debugOption/AngleDebugOptionActivityTest.java</t>
  </si>
  <si>
    <t>hostsidetests/angle/src/android/angle/cts/CtsAngleDebugOptionHostTest.java</t>
  </si>
  <si>
    <t>tests/contentcaptureservice/src/android/contentcaptureservice/cts/ActivityLifecycleTest.java</t>
  </si>
  <si>
    <t>hostsidetests/devicepolicy/app/ManagedProfile/src/com/android/cts/managedprofile/CrossProfileCalendarTest.java</t>
  </si>
  <si>
    <t>hostsidetests/angle/src/android/angle/cts/CtsAngleDeveloperOptionHostTest.java</t>
  </si>
  <si>
    <t>tests/tests/view/src/android/view/textclassifier/cts/ConversationActionsTest.java</t>
  </si>
  <si>
    <t>tests/tests/media/src/android/media/cts/MediaMuxerTest.java</t>
  </si>
  <si>
    <t>tests/contentcaptureservice/src/android/contentcaptureservice/cts/LoginActivityTest.java</t>
  </si>
  <si>
    <t>tests/JobScheduler/src/android/jobscheduler/cts/ConnectivityConstraintTest.java</t>
  </si>
  <si>
    <t>hostsidetests/appsecurity/test-apps/UsePermissionApp23/src/com/android/cts/usepermission/BasePermissionsTest.java</t>
  </si>
  <si>
    <t>tests/app/src/android/app/cts/NotificationChannelGroupTest.java</t>
  </si>
  <si>
    <t>tests/contentcaptureservice/src/android/contentcaptureservice/cts/BlankActivityTest.java</t>
  </si>
  <si>
    <t>tests/tests/net/src/android/net/wifi/cts/WifiEnterpriseConfigTest.java</t>
  </si>
  <si>
    <t>tests/inputmethod/src/android/view/inputmethod/cts/util/TestActivity.java</t>
  </si>
  <si>
    <t>hostsidetests/inputmethodservice/hostside/src/android/inputmethodservice/cts/hostside/ShellCommandFromAppTest.java</t>
  </si>
  <si>
    <t>tests/tests/provider/src/android/provider/cts/MediaStore_DownloadsTest.java</t>
  </si>
  <si>
    <t>tests/contentcaptureservice/src/android/contentcaptureservice/cts/ChildlessActivityTest.java</t>
  </si>
  <si>
    <t>hostsidetests/theme/app/src/android/theme/app/ReferenceImagesTest.java</t>
  </si>
  <si>
    <t>tests/tests/permission/src/android/permission/cts/LocationAccessCheckTest.java</t>
  </si>
  <si>
    <t>tests/tests/telephonyprovider/src/android/telephonyprovider/cts/MmsTest.java</t>
  </si>
  <si>
    <t>tests/tests/view/src/android/view/cts/SurfaceViewSyncTest.java</t>
  </si>
  <si>
    <t>tests/tests/permission2/src/android/permission2/cts/NoLocationPermissionTest.java</t>
  </si>
  <si>
    <t>tests/tests/view/src/android/view/inspector/cts/IntEnumMappingTest.java</t>
  </si>
  <si>
    <t>hostsidetests/devicepolicy/app/DeviceAndProfileOwner/src/com/android/cts/deviceandprofileowner/DelegatedCertInstallerTest.java</t>
  </si>
  <si>
    <t>tests/tests/provider/src/android/provider/cts/MediaStorePendingTest.java</t>
  </si>
  <si>
    <t>tests/tests/provider/src/android/provider/cts/MediaStore_FilesTest.java</t>
  </si>
  <si>
    <t>tests/tests/provider/src/android/provider/cts/MediaStore_Images_MediaTest.java</t>
  </si>
  <si>
    <t>tests/tests/hardware/src/android/hardware/fingerprint/cts/FingerprintFeatureCompatTest.java</t>
  </si>
  <si>
    <t>tests/tests/provider/src/android/provider/cts/MediaStore_Audio_PlaylistsTest.java</t>
  </si>
  <si>
    <t>tests/tests/provider/src/android/provider/cts/MediaStore_Audio_Playlists_MembersTest.java</t>
  </si>
  <si>
    <t>tests/tests/widget/src/android/widget/cts/TextViewIsHorizontallyScrollingTest.java</t>
  </si>
  <si>
    <t>hostsidetests/devicepolicy/app/ProfileOwner/src/com/android/cts/profileowner/BackupServicePoliciesTest.java</t>
  </si>
  <si>
    <t>tests/tests/view/src/android/view/textclassifier/cts/TextClassifierEventTest.java</t>
  </si>
  <si>
    <t>hostsidetests/backup/src/android/cts/backup/BaseMultiUserBackupHostSideTest.java</t>
  </si>
  <si>
    <t>hostsidetests/backup/src/android/cts/backup/ManagedProfileKeyValueBackupRestoreHostSideTest.java</t>
  </si>
  <si>
    <t>tests/tests/libcoreapievolution/src/android/apievolution/cts/ApiEvolutionTest.java</t>
  </si>
  <si>
    <t>tests/tests/provider/src/android/provider/cts/MediaStore_VideoTest.java</t>
  </si>
  <si>
    <t>tests/tests/provider/src/android/provider/cts/contacts/ContactsContract_StreamItemPhotosTest.java</t>
  </si>
  <si>
    <t>tests/tests/provider/src/android/provider/cts/contacts/ContactsContract_StreamItemsTest.java</t>
  </si>
  <si>
    <t>tests/tests/permission/src/android/permission/cts/SplitPermissionTest.java</t>
  </si>
  <si>
    <t>tests/tests/tools/processors/view_inspector/src/android/processor/view/inspector/cts/PlatformInspectableProcessorTest.java</t>
  </si>
  <si>
    <t>tests/tests/media/src/android/media/cts/MediaSessionManagerTest.java</t>
  </si>
  <si>
    <t>tests/signature/api-check/src/java/android/signature/cts/api/SignatureMultiLibsTest.java</t>
  </si>
  <si>
    <t>tests/tests/simpleperf/CtsSimpleperfDebugApp/com/android/simpleperf/EmptyTest.java</t>
  </si>
  <si>
    <t>tests/tests/media/src/android/media/cts/MediaCasTest.java</t>
  </si>
  <si>
    <t>tests/signature/api-check/src/java/android/signature/cts/api/AbstractApiTest.java</t>
  </si>
  <si>
    <t>common/util/tests/src/com/android/compatibility/common/util/CrashUtilsTest.java</t>
  </si>
  <si>
    <t>tests/autofillservice/src/android/autofillservice/cts/JUnitHelper.java</t>
  </si>
  <si>
    <t>tests/tests/webkit/src/android/webkit/cts/WebView_WebViewTransportTest.java</t>
  </si>
  <si>
    <t>tests/tests/permission/src/android/permission/cts/PermissionUsageTest.java</t>
  </si>
  <si>
    <t>tests/camera/src/android/hardware/camera2/cts/StillCaptureTest.java</t>
  </si>
  <si>
    <t>tests/accessibilityservice/src/android/accessibilityservice/cts/AccessibilityGestureDetectorTest.java</t>
  </si>
  <si>
    <t>tests/tests/telephony4/src/android/telephony4/cts/SimRestrictedApisTest.java</t>
  </si>
  <si>
    <t>hostsidetests/devicepolicy/src/com/android/cts/devicepolicy/QuietModeHostsideTest.java</t>
  </si>
  <si>
    <t>tests/tests/provider/src/android/provider/cts/MediaStoreTrashTest.java</t>
  </si>
  <si>
    <t>tests/tests/view/src/android/view/cts/ViewStyleTest.java</t>
  </si>
  <si>
    <t>tests/ui/src/android/ui/cts/ScrollingTest.java</t>
  </si>
  <si>
    <t>tests/signature/api-check/shared-libs-api/src/android/signature/cts/api/SignatureMultiLibsTest.java</t>
  </si>
  <si>
    <t>hostsidetests/backup/src/android/cts/backup/ProfileScheduledJobHostSideTest.java</t>
  </si>
  <si>
    <t>hostsidetests/appbinding/hostside/src/com/android/cts/appbinding/AppBindingHostTest.java</t>
  </si>
  <si>
    <t>tests/tests/telephony/current/src/android/telephony/embms/cts/MbmsGroupCallSessionTest.java</t>
  </si>
  <si>
    <t>tests/JobScheduler/src/android/jobscheduler/cts/JobThrottlingTest.java</t>
  </si>
  <si>
    <t>tests/tests/car/src/android/car/cts/CarBluetoothTest.java</t>
  </si>
  <si>
    <t>tests/backup/src/android/backup/cts/PermissionTest.java</t>
  </si>
  <si>
    <t>tests/contentcaptureservice/src/android/contentcaptureservice/cts/unit/ContentCaptureContextTest.java</t>
  </si>
  <si>
    <t>tests/contentcaptureservice/src/android/contentcaptureservice/cts/unit/UserDataRemovalRequestTest.java</t>
  </si>
  <si>
    <t>hostsidetests/devicepolicy/app/DeviceAndProfileOwner/src/com/android/cts/deviceandprofileowner/PermissionsTest.java</t>
  </si>
  <si>
    <t>tests/tests/telephony/current/src/android/telephony/cts/TelephonyManagerTest.java</t>
  </si>
  <si>
    <t>tests/signature/api-check/src/java/android/signature/cts/api/BaseKillswitchTest.java</t>
  </si>
  <si>
    <t>hostsidetests/shortcuts/hostside/src/android/content/pm/cts/shortcuthost/BaseShortcutManagerHostTest.java</t>
  </si>
  <si>
    <t>hostsidetests/shortcuts/hostside/src/android/content/pm/cts/shortcuthost/ShortcutManagerMultiuserTest.java</t>
  </si>
  <si>
    <t>hostsidetests/shortcuts/hostside/src/android/content/pm/cts/shortcuthost/ShortcutManagerUpgradeTest.java</t>
  </si>
  <si>
    <t>hostsidetests/devicepolicy/app/IntentSender/src/com/android/cts/intent/sender/ContentTest.java</t>
  </si>
  <si>
    <t>tests/tests/alarmclock/src/android/alarmclock/cts/DismissAlarmTest.java</t>
  </si>
  <si>
    <t>tests/tests/alarmclock/src/android/alarmclock/cts/DismissTimerTest.java</t>
  </si>
  <si>
    <t>tests/tests/alarmclock/src/android/alarmclock/cts/SetAlarmTest.java</t>
  </si>
  <si>
    <t>tests/tests/alarmclock/src/android/alarmclock/cts/SnoozeAlarmTest.java</t>
  </si>
  <si>
    <t>tests/tests/alarmclock/src/android/alarmclock/cts/TestStartActivity.java</t>
  </si>
  <si>
    <t>tests/tests/role/src/android/app/role/cts/RoleManagerTest.java</t>
  </si>
  <si>
    <t>tests/tests/location/src/android/location/cts/GpsSatelliteTest.java</t>
  </si>
  <si>
    <t>tests/tests/location/src/android/location/cts/GpsStatusTest.java</t>
  </si>
  <si>
    <t>tests/tests/location/src/android/location/cts/TestGpsStatusListener.java</t>
  </si>
  <si>
    <t>tests/tests/location/src/android/location/cts/TestLocationManager.java</t>
  </si>
  <si>
    <t>hostsidetests/devicepolicy/app/DeviceOwner/src/com/android/cts/deviceowner/WifiTest.java</t>
  </si>
  <si>
    <t>tests/tests/location/src/android/location/cts/LocationTest.java</t>
  </si>
  <si>
    <t>tests/tests/notificationlegacy/notificationlegacy29/src/android/app/notification/legacy29/cts/NotificationAssistantServiceTest.java</t>
  </si>
  <si>
    <t>tests/tests/notificationlegacy/notificationlegacy29/src/android/app/notification/legacy29/cts/TestNotificationAssistant.java</t>
  </si>
  <si>
    <t>tests/camera/src/android/hardware/multiprocess/camera/cts/CameraEvictionTest.java</t>
  </si>
  <si>
    <t>tests/tests/net/src/android/net/cts/DnsResolverTest.java</t>
  </si>
  <si>
    <t>hostsidetests/devicepolicy/app/DeviceOwner/src/com/android/cts/deviceowner/PrivateDnsPolicyTest.java</t>
  </si>
  <si>
    <t>tests/tests/permission/src/android/permission/cts/PermissionControllerTest.java</t>
  </si>
  <si>
    <t>tests/tests/webkit/src/android/webkit/cts/WebViewRendererClientTest.java</t>
  </si>
  <si>
    <t>tests/tests/webkit/src/android/webkit/cts/WebViewRendererTest.java</t>
  </si>
  <si>
    <t>tests/tests/view/src/android/view/inspector/cts/GeneratedInspectionCompanionProviderTest.java</t>
  </si>
  <si>
    <t>tests/tests/midi/src/android/midi/cts/MidiEchoTest.java</t>
  </si>
  <si>
    <t>hostsidetests/devicepolicy/app/DeviceAndProfileOwner/src/com/android/cts/deviceandprofileowner/CustomizationRestrictionsTest.java</t>
  </si>
  <si>
    <t>tests/tests/net/src/android/net/wifi/cts/WifiManager_WifiLockTest.java</t>
  </si>
  <si>
    <t>hostsidetests/stagedinstall/app/src/com/android/tests/stagedinstall/StagedInstallTest.java</t>
  </si>
  <si>
    <t>hostsidetests/devicepolicy/src/com/android/cts/devicepolicy/LimitAppIconHidingTest.java</t>
  </si>
  <si>
    <t>tests/tests/provider/src/android/provider/cts/FontsContractTest.java</t>
  </si>
  <si>
    <t>hostsidetests/incident/src/com/android/server/cts/BatteryIncidentTest.java</t>
  </si>
  <si>
    <t>tests/tests/telephony/current/src/android/telephony/cts/SubscriptionManagerTest.java</t>
  </si>
  <si>
    <t>tests/tests/telephony/current/src/android/telephony/cts/ServiceStateTest.java</t>
  </si>
  <si>
    <t>tests/tests/media/src/android/media/cts/MediaTimestampTest.java</t>
  </si>
  <si>
    <t>tests/tests/media/src/android/media/cts/SubtitleDataTest.java</t>
  </si>
  <si>
    <t>tests/tests/media/src/android/media/cts/TimedMetaDataTest.java</t>
  </si>
  <si>
    <t>tests/tests/permission2/src/android/permission2/cts/PrivappPermissionsTest.java</t>
  </si>
  <si>
    <t>tests/tests/media/src/android/media/cts/TestDataSourceCallback.java</t>
  </si>
  <si>
    <t>hostsidetests/net/app/src/com/android/cts/net/hostside/DataSaverModeTest.java</t>
  </si>
  <si>
    <t>tests/tests/content/src/android/content/pm/cts/LauncherAppsTest.java</t>
  </si>
  <si>
    <t>tests/tests/webkit/src/android/webkit/cts/WebViewZoomTest.java</t>
  </si>
  <si>
    <t>tests/tests/telephony/current/src/android/telephony/gsm/cts/SmsMessage_SubmitPduTest.java</t>
  </si>
  <si>
    <t>tests/tests/telephony/current/src/android/telephony/cts/SmsUsageMonitorShortCodeTest.java</t>
  </si>
  <si>
    <t>tests/tests/telephony/current/src/android/telephony/gsm/cts/SmsManagerTest.java</t>
  </si>
  <si>
    <t>tests/contentcaptureservice/src/android/contentcaptureservice/cts/CanaryTest.java</t>
  </si>
  <si>
    <t>tests/tests/telecom/src/android/telecom/cts/ThirdPartyCallScreeningServiceTest.java</t>
  </si>
  <si>
    <t>tests/tests/packageinstaller/atomicinstall/src/com/android/tests/atomicinstall/AtomicInstallTest.java</t>
  </si>
  <si>
    <t>tests/tests/permission/src/android/permission/cts/DualStoragePermissionModelTest.java</t>
  </si>
  <si>
    <t>tests/app/src/android/app/cts/SystemFeaturesTest.java</t>
  </si>
  <si>
    <t>tests/tests/telecom/src/android/telecom/cts/ThirdPartyInCallServiceTest.java</t>
  </si>
  <si>
    <t>tests/sensor/src/android/hardware/cts/SensorParameterRangeTest.java</t>
  </si>
  <si>
    <t>tests/tests/proto/src/android/util/proto/cts/ProtoInputStreamBoolTest.java</t>
  </si>
  <si>
    <t>tests/tests/proto/src/android/util/proto/cts/ProtoInputStreamBytesTest.java</t>
  </si>
  <si>
    <t>tests/tests/proto/src/android/util/proto/cts/ProtoInputStreamDoubleTest.java</t>
  </si>
  <si>
    <t>tests/tests/proto/src/android/util/proto/cts/ProtoInputStreamEnumTest.java</t>
  </si>
  <si>
    <t>tests/tests/proto/src/android/util/proto/cts/ProtoInputStreamFixed32Test.java</t>
  </si>
  <si>
    <t>tests/tests/proto/src/android/util/proto/cts/ProtoInputStreamFixed64Test.java</t>
  </si>
  <si>
    <t>tests/tests/proto/src/android/util/proto/cts/ProtoInputStreamFloatTest.java</t>
  </si>
  <si>
    <t>tests/tests/proto/src/android/util/proto/cts/ProtoInputStreamInt32Test.java</t>
  </si>
  <si>
    <t>tests/tests/proto/src/android/util/proto/cts/ProtoInputStreamInt64Test.java</t>
  </si>
  <si>
    <t>tests/tests/proto/src/android/util/proto/cts/ProtoInputStreamObjectTest.java</t>
  </si>
  <si>
    <t>tests/tests/proto/src/android/util/proto/cts/ProtoInputStreamSFixed32Test.java</t>
  </si>
  <si>
    <t>tests/tests/proto/src/android/util/proto/cts/ProtoInputStreamSFixed64Test.java</t>
  </si>
  <si>
    <t>tests/tests/proto/src/android/util/proto/cts/ProtoInputStreamSInt32Test.java</t>
  </si>
  <si>
    <t>tests/tests/proto/src/android/util/proto/cts/ProtoInputStreamSInt64Test.java</t>
  </si>
  <si>
    <t>tests/tests/proto/src/android/util/proto/cts/ProtoInputStreamStringTest.java</t>
  </si>
  <si>
    <t>tests/tests/proto/src/android/util/proto/cts/ProtoInputStreamUInt32Test.java</t>
  </si>
  <si>
    <t>tests/tests/proto/src/android/util/proto/cts/ProtoInputStreamUInt64Test.java</t>
  </si>
  <si>
    <t>tests/providerui/src/android/providerui/cts/MediaStoreUiTest.java</t>
  </si>
  <si>
    <t>tests/tests/telephony/current/src/android/telephony/cts/SmsManagerTest.java</t>
  </si>
  <si>
    <t>tests/tests/provider/src/android/provider/cts/MediaStore_Audio_GenresTest.java</t>
  </si>
  <si>
    <t>tests/tests/provider/src/android/provider/cts/MediaStore_Audio_Genres_MembersTest.java</t>
  </si>
  <si>
    <t>tests/tests/provider/src/android/provider/cts/MediaStore_Video_MediaTest.java</t>
  </si>
  <si>
    <t>tests/tests/telephony/current/src/android/telephony/cts/CarrierServiceTest.java</t>
  </si>
  <si>
    <t>tests/tests/media/src/android/media/cts/MediaSession2ServiceTest.java</t>
  </si>
  <si>
    <t>hostsidetests/backup/ProfileKeyValueApp/src/android.cts.backup.profilekeyvalueapp/ProfileKeyValueBackupRestoreTest.java</t>
  </si>
  <si>
    <t>tests/tests/media/src/android/media/cts/DataSourceDescTest.java</t>
  </si>
  <si>
    <t>tests/tests/media/src/android/media/cts/MediaPlayer2DrmTest.java</t>
  </si>
  <si>
    <t>tests/tests/media/src/android/media/cts/RoutingTest.java</t>
  </si>
  <si>
    <t>tests/contentcaptureservice/src/android/contentcaptureservice/cts/BlankWithTitleActivityTest.java</t>
  </si>
  <si>
    <t>hostsidetests/stagedinstall/src/com/android/tests/stagedinstall/host/StagedInstallTest.java</t>
  </si>
  <si>
    <t>tests/tests/media/src/android/media/cts/MediaItem2Test.java</t>
  </si>
  <si>
    <t>tests/tests/media/src/android/media/cts/Session2CommandTest.java</t>
  </si>
  <si>
    <t>hostsidetests/appsecurity/test-apps/MediaStorageApp/src/com/android/cts/mediastorageapp/MediaStorageTest.java</t>
  </si>
  <si>
    <t>tests/autofillservice/src/android/autofillservice/cts/augmented/AugmentedLoginNotImportantForAutofillActivityTest.java</t>
  </si>
  <si>
    <t>tests/tests/media/src/android/media/cts/ParamsTest.java</t>
  </si>
  <si>
    <t>tests/tests/permission2/src/android/permission2/cts/RestrictedPermissionsTest.java</t>
  </si>
  <si>
    <t>tests/contentcaptureservice/src/android/contentcaptureservice/cts/AppKilledTest.java</t>
  </si>
  <si>
    <t>tests/framework/base/windowmanager/dummyTests/dummySdk25/src/android/server/wm/DummySdk25Test.java</t>
  </si>
  <si>
    <t>tests/framework/base/windowmanager/dummyTests/dummySdk28/src/android/server/wm/DummySdk28Test.java</t>
  </si>
  <si>
    <t>tests/framework/base/windowmanager/dummyTests/src/android/server/am/DummyTest.java</t>
  </si>
  <si>
    <t>tests/accessibilityservice/src/android/accessibilityservice/cts/MagnificationGestureHandlerTest.java</t>
  </si>
  <si>
    <t>tests/framework/base/windowmanager/src/android/server/wm/SurfaceControlTest.java</t>
  </si>
  <si>
    <t>tests/framework/base/windowmanager/backgroundactivity/src/android/server/wm/BackgroundActivityLaunchTest.java</t>
  </si>
  <si>
    <t>tests/tests/security/src/android/security/cts/CharDeviceTest.java</t>
  </si>
  <si>
    <t>tests/app/src/android/app/cts/DownloadManagerTest.java</t>
  </si>
  <si>
    <t>tests/tests/security/src/android/security/cts/SSLConscryptPlainTextExposureTest.java</t>
  </si>
  <si>
    <t>hostsidetests/security/src/android/cts/security/KernelConfigTest.java</t>
  </si>
  <si>
    <t>tests/tests/permission/src/android/permission/cts/SharedUidPermissionsTest.java</t>
  </si>
  <si>
    <t>tests/tests/voiceinteraction/src/android/voiceinteraction/cts/DirectActionsTest.java</t>
  </si>
  <si>
    <t>hostsidetests/devicepolicy/app/DeviceAndProfileOwner/src/com/android/cts/deviceandprofileowner/ContentCaptureRestrictionsTest.java</t>
  </si>
  <si>
    <t>tests/camera/src/android/hardware/camera2/cts/BurstCaptureTest.java</t>
  </si>
  <si>
    <t>tests/tests/voiceinteraction/src/android/voiceinteraction/cts/LocalVoiceInteractionTest.java</t>
  </si>
  <si>
    <t>tests/tests/voiceinteraction/src/android/voiceinteraction/cts/VoiceInteractionTest.java</t>
  </si>
  <si>
    <t>tests/framework/base/windowmanager/src/android/server/wm/ActivityViewTest.java</t>
  </si>
  <si>
    <t>tests/accessibilityservice/src/android/accessibilityservice/cts/TouchExplorerTest.java</t>
  </si>
  <si>
    <t>tests/tests/os/src/android/os/cts/FileObserverTest.java</t>
  </si>
  <si>
    <t>tests/tests/telecom/src/android/telecom/cts/CallRedirectionServiceTest.java</t>
  </si>
  <si>
    <t>tests/tests/location/src/android/location/cts/GnssHardwareInfoTest.java</t>
  </si>
  <si>
    <t>tests/tests/net/src/android/net/cts/IpSecManagerTunnelTest.java</t>
  </si>
  <si>
    <t>tests/tests/preference/src/android/preference/cts/PreferenceActivityFlowTest.java</t>
  </si>
  <si>
    <t>tests/tests/preference/src/android/preference/cts/PreferenceActivityLegacyFlowTest.java</t>
  </si>
  <si>
    <t>tests/tests/graphics/src/android/graphics/drawable/cts/VectorDrawableScaleTest.java</t>
  </si>
  <si>
    <t>hostsidetests/multiuser/src/android/host/multiuser/CreateUsersPermissionTest.java</t>
  </si>
  <si>
    <t>hostsidetests/devicepolicy/app/DeviceOwner/src/com/android/cts/deviceowner/InstallUpdateTest.java</t>
  </si>
  <si>
    <t>tests/tests/assist/src/android/assist/cts/ExtraAssistDataTest.java</t>
  </si>
  <si>
    <t>tests/tests/assist/src/android/assist/cts/FlagSecureTest.java</t>
  </si>
  <si>
    <t>tests/tests/assist/src/android/assist/cts/LargeViewHierarchyTest.java</t>
  </si>
  <si>
    <t>tests/tests/assist/src/android/assist/cts/ScreenshotTest.java</t>
  </si>
  <si>
    <t>tests/tests/assist/src/android/assist/cts/TestStartActivity.java</t>
  </si>
  <si>
    <t>tests/tests/assist/src/android/assist/cts/TextViewTest.java</t>
  </si>
  <si>
    <t>tests/tests/assist/src/android/assist/cts/WebViewTest.java</t>
  </si>
  <si>
    <t>tests/tests/net/api23Test/src/android/net/cts/api23test/ConnectivityManagerApi23Test.java</t>
  </si>
  <si>
    <t>common/device-side/util/src/com/android/compatibility/common/util/TestNameUtils.java</t>
  </si>
  <si>
    <t>common/device-side/util/src/com/android/compatibility/common/util/TestThread.java</t>
  </si>
  <si>
    <t>common/device-side/util/src/com/android/compatibility/common/util/TestUtils.java</t>
  </si>
  <si>
    <t>common/device-side/util/tests/src/com/android/compatibility/common/util/ApiLevelUtilTest.java</t>
  </si>
  <si>
    <t>common/device-side/util/tests/src/com/android/compatibility/common/util/BusinessLogicDeviceExecutorTest.java</t>
  </si>
  <si>
    <t>common/device-side/util/tests/src/com/android/compatibility/common/util/BusinessLogicTestCaseTest.java</t>
  </si>
  <si>
    <t>common/device-side/util/tests/src/com/android/compatibility/common/util/DeviceReportTest.java</t>
  </si>
  <si>
    <t>common/device-side/util/tests/src/com/android/compatibility/common/util/RetryRuleTest.java</t>
  </si>
  <si>
    <t>common/device-side/util/tests/src/com/android/compatibility/common/util/SafeCleanerRuleTest.java</t>
  </si>
  <si>
    <t>common/device-side/util/tests/src/com/android/compatibility/common/util/StateChangerRuleTest.java</t>
  </si>
  <si>
    <t>common/device-side/util/tests/src/com/android/compatibility/common/util/StateKeeperRuleTest.java</t>
  </si>
  <si>
    <t>common/device-side/util/tests/src/com/android/compatibility/common/util/TimeoutTest.java</t>
  </si>
  <si>
    <t>tests/core/runner/src/com/android/cts/core/runner/support/TestNgRunner.java</t>
  </si>
  <si>
    <t>hostsidetests/appsecurity/src/android/appsecurity/cts/AppOpsTest.java</t>
  </si>
  <si>
    <t>tests/tests/assist/src/android/assist/cts/AssistantContentViewTest.java</t>
  </si>
  <si>
    <t>tests/tests/assist/src/android/assist/cts/FocusChangeTest.java</t>
  </si>
  <si>
    <t>tests/tests/assist/testapp/src/android/assist/testapp/TestApp.java</t>
  </si>
  <si>
    <t>tests/camera/src/android/hardware/camera2/cts/NativeCameraDeviceTest.java</t>
  </si>
  <si>
    <t>tests/tests/net/src/android/net/cts/SSLCertificateSocketFactoryTest.java</t>
  </si>
  <si>
    <t>tests/tests/jni/src/android/jni/cts/JniStaticTest.java</t>
  </si>
  <si>
    <t>tests/tests/telephonyprovider/src/android/telephonyprovider/cts/MmsPartTest.java</t>
  </si>
  <si>
    <t>tests/accessibility/src/android/view/accessibility/cts/AccessibilityServiceInfoTest.java</t>
  </si>
  <si>
    <t>tests/accessibilityservice/src/android/accessibilityservice/cts/AccessibilityButtonTest.java</t>
  </si>
  <si>
    <t>tests/accessibilityservice/src/android/accessibilityservice/cts/AccessibilityMagnificationTest.java</t>
  </si>
  <si>
    <t>tests/accessibilityservice/src/android/accessibilityservice/cts/AccessibilityOverlayTest.java</t>
  </si>
  <si>
    <t>hostsidetests/inputmethodservice/deviceside/devicetest/src/android/inputmethodservice/cts/devicetest/NoOpDeviceTest.java</t>
  </si>
  <si>
    <t>tests/accessibilityservice/src/android/accessibilityservice/cts/AccessibilityEmbeddedDisplayTest.java</t>
  </si>
  <si>
    <t>tests/tests/batterysaving/src/android/os/cts/batterysaving/BatterySaverBgServiceTest.java</t>
  </si>
  <si>
    <t>hostsidetests/stagedinstall/app/src/com/android/tests/stagedinstall/ApexShimValidationTest.java</t>
  </si>
  <si>
    <t>hostsidetests/devicepolicy/app/DeviceAndProfileOwner/src/com/android/cts/deviceandprofileowner/LockTaskHostDrivenTest.java</t>
  </si>
  <si>
    <t>tests/tests/provider/src/android/provider/cts/SettingsPanelTest.java</t>
  </si>
  <si>
    <t>tests/tests/content/src/android/content/cts/SharedPreferencesTest.java</t>
  </si>
  <si>
    <t>hostsidetests/devicepolicy/app/DeviceAdmin/src/com.android.cts.deviceadmin/DeviceAdminPasswordTest.java</t>
  </si>
  <si>
    <t>tests/tests/media/src/android/media/cts/MediaScannerConnectionTest.java</t>
  </si>
  <si>
    <t>hostsidetests/net/app/src/com/android/cts/net/hostside/MixedModesTest.java</t>
  </si>
  <si>
    <t>hostsidetests/net/app/src/com/android/cts/net/hostside/NetworkCallbackTest.java</t>
  </si>
  <si>
    <t>tests/tests/mimemap/src/android/content/type/cts/MimeMapTest.java</t>
  </si>
  <si>
    <t>tests/accessibility/src/android/view/accessibility/cts/AccessibilityGestureInfoTest.java</t>
  </si>
  <si>
    <t>tests/tests/voicesettings/src/android/voicesettings/cts/AirplaneModeTest.java</t>
  </si>
  <si>
    <t>tests/tests/voicesettings/src/android/voicesettings/cts/BatterySaverModeTest.java</t>
  </si>
  <si>
    <t>tests/tests/voicesettings/src/android/voicesettings/cts/ZenModeTest.java</t>
  </si>
  <si>
    <t>tests/framework/base/windowmanager/src/android/server/wm/DragDropTest.java</t>
  </si>
  <si>
    <t>tests/tests/media/src/android/media/cts/VpxEncoderTest.java</t>
  </si>
  <si>
    <t>tests/camera/src/android/hardware/camera2/cts/AllocationTest.java</t>
  </si>
  <si>
    <t>tests/camera/src/android/hardware/camera2/cts/CameraManagerTest.java</t>
  </si>
  <si>
    <t>tests/camera/src/android/hardware/camera2/cts/CaptureResultTest.java</t>
  </si>
  <si>
    <t>tests/camera/src/android/hardware/camera2/cts/DngCreatorTest.java</t>
  </si>
  <si>
    <t>tests/camera/src/android/hardware/camera2/cts/ImageReaderTest.java</t>
  </si>
  <si>
    <t>hostsidetests/securitybulletin/src/android/security/cts/TestMedia.java</t>
  </si>
  <si>
    <t>tests/contentcaptureservice/src/android/contentcaptureservice/cts/CustomViewActivityTest.java</t>
  </si>
  <si>
    <t>tests/tests/telephony/current/src/android/telephony/cts/PhoneStateListenerTest.java</t>
  </si>
  <si>
    <t>tests/tests/telecom/src/android/telecom/cts/TelecomManagerTest.java</t>
  </si>
  <si>
    <t>tests/tests/telecom/src/android/telecom/cts/TestUtils.java</t>
  </si>
  <si>
    <t>tests/tests/telephony/current/src/android/telephony/cts/CellInfoTest.java</t>
  </si>
  <si>
    <t>tests/tests/telephony/current/src/android/telephony/cts/TestUtils.java</t>
  </si>
  <si>
    <t>tests/app/src/android/app/cts/TileServiceTest.java</t>
  </si>
  <si>
    <t>tests/app/src/android/app/cts/PipActivityTest.java</t>
  </si>
  <si>
    <t>tests/tests/provider/src/android/provider/cts/calendar/CalendarTest.java</t>
  </si>
  <si>
    <t>tests/tests/hardware/src/android/hardware/input/cts/tests/AsusGamepadTestCase.java</t>
  </si>
  <si>
    <t>tests/tests/hardware/src/android/hardware/input/cts/tests/MicrosoftSculpttouchTestCase.java</t>
  </si>
  <si>
    <t>tests/tests/hardware/src/android/hardware/input/cts/tests/SonyDualshock4TestCase.java</t>
  </si>
  <si>
    <t>tests/tests/location/src/android/location/cts/GnssMeasurementsEventCallbackTest.java</t>
  </si>
  <si>
    <t>tests/tests/location/src/android/location/cts/GnssNavigationMessageCallbackTest.java</t>
  </si>
  <si>
    <t>tests/tests/location/src/android/location/cts/GnssStatusCallbackTest.java</t>
  </si>
  <si>
    <t>hostsidetests/hdmicec/src/android/hdmicec/cts/HdmiCecLogicalAddressTest.java</t>
  </si>
  <si>
    <t>hostsidetests/hdmicec/src/android/hdmicec/cts/HdmiCecOneTouchPlayTest.java</t>
  </si>
  <si>
    <t>hostsidetests/hdmicec/src/android/hdmicec/cts/HdmiCecPhysicalAddressTest.java</t>
  </si>
  <si>
    <t>hostsidetests/hdmicec/src/android/hdmicec/cts/HdmiCecRoutingControlTest.java</t>
  </si>
  <si>
    <t>hostsidetests/hdmicec/src/android/hdmicec/cts/HdmiCecSystemInformationTest.java</t>
  </si>
  <si>
    <t>tests/tests/neuralnetworks/benchmark/src/com/android/nn/benchmark/cts/NNAccuracyTest.java</t>
  </si>
  <si>
    <t>apps/CtsVerifier/src/com/android/cts/verifier/tv/display/TestStep.java</t>
  </si>
  <si>
    <t>hostsidetests/hdmicec/src/android/hdmicec/cts/HdmiCecPowerStatusTest.java</t>
  </si>
  <si>
    <t>tests/tests/content/src/android/content/pm/cts/PackageManagerShellCommandTest.java</t>
  </si>
  <si>
    <t>tests/location/location_fine/src/android/location/cts/fine/BaseMockLocationTest.java</t>
  </si>
  <si>
    <t>tests/location/location_fine/src/android/location/cts/fine/GnssHardwareInfoTest.java</t>
  </si>
  <si>
    <t>tests/location/location_fine/src/android/location/cts/fine/GnssMeasurementCorrectionsTest.java</t>
  </si>
  <si>
    <t>tests/location/location_fine/src/android/location/cts/fine/GnssReflectingPlaneTest.java</t>
  </si>
  <si>
    <t>tests/location/location_fine/src/android/location/cts/fine/GnssSingleSatCorrectionsTest.java</t>
  </si>
  <si>
    <t>tests/location/location_fine/src/android/location/cts/fine/LocationManagerTest.java</t>
  </si>
  <si>
    <t>tests/location/location_fine/src/android/location/cts/fine/LocationProviderTest.java</t>
  </si>
  <si>
    <t>tests/location/location_fine/src/android/location/cts/fine/LocationTest.java</t>
  </si>
  <si>
    <t>hostsidetests/rollback/src/com/android/cts/rollback/host/RollbackManagerHostTest.java</t>
  </si>
  <si>
    <t>tests/tests/telephonyprovider/src/android/telephonyprovider/cts/TelephonyProviderTest.java</t>
  </si>
  <si>
    <t>tests/tests/telecom/src/android/telecom/cts/BackgroundCallAudioTest.java</t>
  </si>
  <si>
    <t>tests/location/location_gnss/src/android/location/cts/gnss/EmergencyCallMessageTest.java</t>
  </si>
  <si>
    <t>tests/location/location_gnss/src/android/location/cts/gnss/EmergencyCallWifiTest.java</t>
  </si>
  <si>
    <t>tests/framework/base/windowmanager/src/android/server/wm/ToastTest.java</t>
  </si>
  <si>
    <t>tests/tests/provider/src/android/provider/cts/settings/Settings_NameValueTableTest.java</t>
  </si>
  <si>
    <t>tests/tests/opengl/src/android/opengl/cts/EglConfigTest.java</t>
  </si>
  <si>
    <t>tests/location/location_fine/src/android/location/cts/fine/AddressTest.java</t>
  </si>
  <si>
    <t>tests/location/location_fine/src/android/location/cts/fine/GnssClockTest.java</t>
  </si>
  <si>
    <t>tests/location/location_fine/src/android/location/cts/fine/LocationManagerFineTest.java</t>
  </si>
  <si>
    <t>apps/CtsVerifier/src/com/android/cts/verifier/tv/display/TestStepBase.java</t>
  </si>
  <si>
    <t>apps/CtsVerifier/src/com/android/cts/verifier/tv/display/TestSequence.java</t>
  </si>
  <si>
    <t>hostsidetests/devicepolicy/app/DeviceAdmin/src/com.android.cts.deviceadmin/BaseDeviceAdminTest.java</t>
  </si>
  <si>
    <t>hostsidetests/devicepolicy/app/DeviceAdmin/src/com.android.cts.deviceadmin/DeviceOwnerPasswordTest.java</t>
  </si>
  <si>
    <t>hostsidetests/devicepolicy/app/DeviceAndProfileOwner/src/com/android/cts/deviceandprofileowner/ResetPasswordTest.java</t>
  </si>
  <si>
    <t>tests/tests/view/src/android/view/textclassifier/cts/TextClassifierServiceSwapTest.java</t>
  </si>
  <si>
    <t>tests/tests/hardware/src/android/hardware/input/cts/tests/MicrosoftXboxonesTest.java</t>
  </si>
  <si>
    <t>tests/tests/systemintents/src/android/systemintents/cts/TestSystemIntents.java</t>
  </si>
  <si>
    <t>tests/framework/base/windowmanager/src/android/server/wm/DisplaySizeTest.java</t>
  </si>
  <si>
    <t>tests/tests/sdkext/src/android/os/ext/cts/SdkExtensionsTest.java</t>
  </si>
  <si>
    <t>tests/camera/src/android/hardware/camera2/cts/PerformanceTest.java</t>
  </si>
  <si>
    <t>tests/tests/telephony3/src/android/telephony3/cts/TelephonyManagerTest.java</t>
  </si>
  <si>
    <t>tests/tests/provider/src/android/provider/cts/media/MediaStoreTest.java</t>
  </si>
  <si>
    <t>hostsidetests/devicepolicy/app/CorpOwnedManagedProfile/src/com/android/cts/comp/provisioning/UserRestrictionTest.java</t>
  </si>
  <si>
    <t>hostsidetests/devicepolicy/src/com/android/cts/devicepolicy/DeviceOwnerPlusProfileOwnerTest.java</t>
  </si>
  <si>
    <t>tests/tests/provider/src/android/provider/cts/media/MediaStoreTrashedTest.java</t>
  </si>
  <si>
    <t>tests/tests/car/src/android/car/cts/CarUxRestrictionsManagerTest.java</t>
  </si>
  <si>
    <t>hostsidetests/userspacereboot/src/com/android/cts/userspacereboot/host/UserspaceRebootHostTest.java</t>
  </si>
  <si>
    <t>tests/tests/telephony/current/TestExternalImsServiceApp/src/android/telephony/cts/externalimsservice/TestExternalImsService.java</t>
  </si>
  <si>
    <t>hostsidetests/devicepolicy/app/CrossProfileTestApps/CrossProfileAppsTest/src/com/android/cts/crossprofileappstest/CrossProfileAppsCanInteractOrRequestToInteract.java</t>
  </si>
  <si>
    <t>tests/JobScheduler/src/android/jobscheduler/cts/ConstraintTest.java</t>
  </si>
  <si>
    <t>hostsidetests/devicepolicy/app/CorpOwnedManagedProfile/src/com/android/cts/comp/ManagementTest.java</t>
  </si>
  <si>
    <t>hostsidetests/devicepolicy/app/CorpOwnedManagedProfile/src/com/android/cts/comp/provisioning/ManagedProfileProvisioningTest.java</t>
  </si>
  <si>
    <t>hostsidetests/devicepolicy/src/com/android/cts/devicepolicy/DevicePlusProfileOwnerHostSideTransferTest.java</t>
  </si>
  <si>
    <t>tests/tests/os/src/android/os/cts/RequiredComponentsTest.java</t>
  </si>
  <si>
    <t>tests/tests/car/src/android/car/cts/CarTrustedDeviceTest.java</t>
  </si>
  <si>
    <t>tests/tests/graphics/src/android/graphics/cts/AImageDecoderTest.java</t>
  </si>
  <si>
    <t>hostsidetests/devicepolicy/app/DeviceOwner/src/com/android/cts/deviceowner/WifiSetHttpProxyTest.java</t>
  </si>
  <si>
    <t>hostsidetests/devicepolicy/app/DeviceAndProfileOwner/src/com/android/cts/deviceandprofileowner/UserRestrictionsParentTest.java</t>
  </si>
  <si>
    <t>hostsidetests/devicepolicy/app/CrossProfileTestApps/CrossProfileAppsTest/src/com/android/cts/crossprofileappstest/CrossProfileAppsStartActivityTest.java</t>
  </si>
  <si>
    <t>hostsidetests/devicepolicy/src/com/android/cts/devicepolicy/CrossProfileAppsHostSideTest.java</t>
  </si>
  <si>
    <t>tests/BlobStore/src/com/android/cts/blob/BlobStoreManagerTest.java</t>
  </si>
  <si>
    <t>hostsidetests/checkpoint/src/android/checkpoint/cts/CheckpointHostTest.java</t>
  </si>
  <si>
    <t>hostsidetests/content/src/android/content/cts/ContextCrossProfileHostTest.java</t>
  </si>
  <si>
    <t>hostsidetests/content/test-apps/ContextCrossProfileApps/ContextCrossProfileApp/src/com/android/cts/context/ContextCrossProfileDeviceTest.java</t>
  </si>
  <si>
    <t>tests/tests/telephony/current/src/android/telephony/ims/cts/ImsServiceTest.java</t>
  </si>
  <si>
    <t>tests/tests/rcs/src/android/telephony/ims/cts/Rcs1To1ThreadTest.java</t>
  </si>
  <si>
    <t>tests/tests/rcs/src/android/telephony/ims/cts/RcsEventTest.java</t>
  </si>
  <si>
    <t>tests/tests/rcs/src/android/telephony/ims/cts/RcsParticipantTest.java</t>
  </si>
  <si>
    <t>tests/tests/rcs/src/android/telephony/ims/cts/RcsProviderPermissionsTest.java</t>
  </si>
  <si>
    <t>tests/tests/telephony/current/src/android/telephony/cts/CellBroadcastIntentsTest.java</t>
  </si>
  <si>
    <t>hostsidetests/blobstore/src/com/android/cts/host/blob/DataCleanupTest.java</t>
  </si>
  <si>
    <t>tests/appsearch/src/com/android/cts/appsearch/AppSearchManagerTest.java</t>
  </si>
  <si>
    <t>hostsidetests/devicepolicy/app/LauncherTests/src/com/android/cts/launchertests/QuietModeTest.java</t>
  </si>
  <si>
    <t>tests/tests/media/src/android/media/cts/MediaRouterManagerTest.java</t>
  </si>
  <si>
    <t>tests/framework/base/windowmanager/src/android/server/wm/WindowTest.java</t>
  </si>
  <si>
    <t>tests/tests/media/src/android/media/cts/MediaCodecBlockModelTest.java</t>
  </si>
  <si>
    <t>tests/tests/media/src/android/media/cts/MediaRouter2Test.java</t>
  </si>
  <si>
    <t>tests/tests/graphics/src/android/graphics/cts/OutlineTest.java</t>
  </si>
  <si>
    <t>apps/CtsVerifier/src/com/android/cts/verifier/security/BiometricPromptBoundKeysTest.java</t>
  </si>
  <si>
    <t>tests/tests/hardware/src/android/hardware/biometrics/cts/BiometricPromptTest.java</t>
  </si>
  <si>
    <t>tests/tests/os/src/android/os/cts/ParcelTest.java</t>
  </si>
  <si>
    <t>tests/accessibilityservice/src/android/accessibilityservice/cts/AccessibilityTakeScreenshotTest.java</t>
  </si>
  <si>
    <t>tests/tests/webkit/src/android/webkit/cts/WebViewRenderProcessClientTest.java</t>
  </si>
  <si>
    <t>tests/tests/webkit/src/android/webkit/cts/WebViewRenderProcessTest.java</t>
  </si>
  <si>
    <t>hostsidetests/appsecurity/test-apps/ReadExternalStorageApp/src/com/android/cts/readexternalstorageapp/ReadMultiViewTest.java</t>
  </si>
  <si>
    <t>hostsidetests/appsecurity/test-apps/WriteExternalStorageApp/src/com/android/cts/writeexternalstorageapp/WriteMultiViewTest.java</t>
  </si>
  <si>
    <t>tests/tests/textclassifier/src/android/view/textclassifier/cts/TextClassificationManagerTest.java</t>
  </si>
  <si>
    <t>tests/tests/media/src/android/media/cts/RouteDiscoveryPreferenceTest.java</t>
  </si>
  <si>
    <t>hostsidetests/userspacereboot/app/src/com/android/cts/userspacereboot/UserspaceRebootTest.java</t>
  </si>
  <si>
    <t>hostsidetests/devicepolicy/app/DeviceAndProfileOwner/src/com/android/cts/deviceandprofileowner/RelinquishDeviceTest.java</t>
  </si>
  <si>
    <t>tests/tests/telephony/current/src/android/telephony/ims/cts/TestRcsFeature.java</t>
  </si>
  <si>
    <t>tests/tests/slice/src/android/slice/cts/SliceProviderTest.java</t>
  </si>
  <si>
    <t>tests/location/location_fine/src/android/location/cts/fine/GnssAntennaInfoRegistrationTest.java</t>
  </si>
  <si>
    <t>tests/location/location_fine/src/android/location/cts/fine/GnssAntennaInfoTest.java</t>
  </si>
  <si>
    <t>hostsidetests/devicepolicy/app/DeviceAndProfileOwner/src/com/android/cts/deviceandprofileowner/AdminConfiguredNetworksTest.java</t>
  </si>
  <si>
    <t>tests/tests/permission/src/android/permission/cts/OneTimePermissionTest.java</t>
  </si>
  <si>
    <t>tests/tests/hardware/src/android/hardware/input/cts/tests/SonyDualshock4Test.java</t>
  </si>
  <si>
    <t>tests/tests/tethering/src/android/tethering/cts/TetheringManagerTest.java</t>
  </si>
  <si>
    <t>hostsidetests/appsecurity/test-apps/ExternalStorageApp/src/com/android/cts/externalstorageapp/GiftTest.java</t>
  </si>
  <si>
    <t>hostsidetests/appsecurity/test-apps/ReadExternalStorageApp/src/com/android/cts/readexternalstorageapp/ReadGiftTest.java</t>
  </si>
  <si>
    <t>hostsidetests/appsecurity/test-apps/WriteExternalStorageApp/src/com/android/cts/writeexternalstorageapp/WriteGiftTest.java</t>
  </si>
  <si>
    <t>tests/quickaccesswallet/src/android/quickaccesswallet/cts/GetWalletCardsErrorTest.java</t>
  </si>
  <si>
    <t>tests/quickaccesswallet/src/android/quickaccesswallet/cts/GetWalletCardsRequestTest.java</t>
  </si>
  <si>
    <t>tests/quickaccesswallet/src/android/quickaccesswallet/cts/GetWalletCardsResponseTest.java</t>
  </si>
  <si>
    <t>tests/quickaccesswallet/src/android/quickaccesswallet/cts/PowerMenuTest.java</t>
  </si>
  <si>
    <t>tests/quickaccesswallet/src/android/quickaccesswallet/cts/SelectWalletCardRequestTest.java</t>
  </si>
  <si>
    <t>tests/quickaccesswallet/src/android/quickaccesswallet/cts/WalletCardTest.java</t>
  </si>
  <si>
    <t>tests/quickaccesswallet/src/android/quickaccesswallet/cts/WalletServiceEventTest.java</t>
  </si>
  <si>
    <t>tests/tests/media/src/android/media/cts/AudioPlaybackCaptureTest.java</t>
  </si>
  <si>
    <t>hostsidetests/devicepolicy/app/DeviceAndProfileOwner/src/com/android/cts/deviceandprofileowner/KeyguardDisabledFeaturesTest.java</t>
  </si>
  <si>
    <t>hostsidetests/devicepolicy/app/ManagedProfile/src/com/android/cts/managedprofile/ManagedProfileTest.java</t>
  </si>
  <si>
    <t>tests/tests/selinux/selinuxTargetSdk27/src/android/security/SELinuxTargetSdkTest.java</t>
  </si>
  <si>
    <t>hostsidetests/packagemanager/dynamicmime/test/src/android/dynamicmime/testapp/update/BaseUpdateTest.java</t>
  </si>
  <si>
    <t>tests/tests/graphics/src/android/graphics/cts/SetFrameRateTest.java</t>
  </si>
  <si>
    <t>hostsidetests/devicepolicy/src/com/android/cts/devicepolicy/BaseManagedProfileTest.java</t>
  </si>
  <si>
    <t>hostsidetests/devicepolicy/app/DeviceOwner/src/com/android/cts/deviceowner/RequestSetLocationProviderAllowedTest.java</t>
  </si>
  <si>
    <t>tests/sensor/src/android/hardware/cts/SensorTest.java</t>
  </si>
  <si>
    <t>hostsidetests/devicepolicy/src/com/android/cts/devicepolicy/OrgOwnedProfileOwnerTest.java</t>
  </si>
  <si>
    <t>tests/autofillservice/src/android/autofillservice/cts/inline/InlineLoginActivityTest.java</t>
  </si>
  <si>
    <t>tests/tests/content/src/android/content/pm/cts/PackageManagerShellCommandIncrementalTest.java</t>
  </si>
  <si>
    <t>tests/tests/permission2/src/android/permission2/cts/RestrictedStoragePermissionTest.java</t>
  </si>
  <si>
    <t>tests/tests/jni_vendor/src/android/jni/vendor/cts/VendorJniTest.java</t>
  </si>
  <si>
    <t>tests/autofillservice/src/android/autofillservice/cts/AuthenticationTest.java</t>
  </si>
  <si>
    <t>tests/tests/car/src/android/car/cts/CarPropertyManagerTest.java</t>
  </si>
  <si>
    <t>tests/tests/textclassifier/src/android/view/textclassifier/cts/TextClassificationSessionIdTest.java</t>
  </si>
  <si>
    <t>hostsidetests/appsecurity/test-apps/EscalateToRuntimePermissions/src/com/android/cts/escalatepermission/PermissionEscalationTest.java</t>
  </si>
  <si>
    <t>tests/JobScheduler/src/android/jobscheduler/cts/BaseJobSchedulerTest.java</t>
  </si>
  <si>
    <t>tests/tests/net/src/android/net/wifi/cts/WifiNetworkSpecifierTest.java</t>
  </si>
  <si>
    <t>tests/tests/bluetooth/src/android/bluetooth/cts/BasicAdapterTest.java</t>
  </si>
  <si>
    <t>apps/CtsVerifier/src/com/android/cts/verifier/wifi/TestUtils.java</t>
  </si>
  <si>
    <t>tests/tests/media/src/android/media/cts/MediaRoute2InfoTest.java</t>
  </si>
  <si>
    <t>hostsidetests/devicepolicy/app/DeviceAndProfileOwner/src/com/android/cts/deviceandprofileowner/DevicePolicyLoggingTest.java</t>
  </si>
  <si>
    <t>hostsidetests/devicepolicy/app/DeviceAndProfileOwner/src/com/android/cts/deviceandprofileowner/TimeManagementTest.java</t>
  </si>
  <si>
    <t>hostsidetests/devicepolicy/app/DeviceOwner/src/com/android/cts/deviceowner/ProtectedPackagesTest.java</t>
  </si>
  <si>
    <t>tests/tests/telephony/current/src/android/telephony/cts/TelephonyPermissionPolicyTest.java</t>
  </si>
  <si>
    <t>tests/camera/src/android/hardware/camera2/cts/OfflineSessionTest.java</t>
  </si>
  <si>
    <t>apps/CtsVerifier/src/com/android/cts/verifier/biometrics/AbstractUserAuthenticationCredentialTest.java</t>
  </si>
  <si>
    <t>apps/CtsVerifier/src/com/android/cts/verifier/biometrics/UserAuthenticationCredentialCipherTest.java</t>
  </si>
  <si>
    <t>tests/tests/net/src/android/net/wifi/cts/WifiMigrationTest.java</t>
  </si>
  <si>
    <t>hostsidetests/linkerconfig/src/android/linkerconfig/cts/LinkerConfigTest.java</t>
  </si>
  <si>
    <t>hostsidetests/hdmicec/src/android/hdmicec/cts/audio/HdmiCecSystemAudioModeTest.java</t>
  </si>
  <si>
    <t>tests/location/location_coarse/src/android/location/cts/coarse/LocationManagerCoarseTest.java</t>
  </si>
  <si>
    <t>tests/tests/sharesheet/src/android/sharesheet/cts/CtsSharesheetDeviceTest.java</t>
  </si>
  <si>
    <t>tests/autofillservice/src/android/autofillservice/cts/inline/InlineAugmentedLoginActivityTest.java</t>
  </si>
  <si>
    <t>tests/tests/telecom4/src/android/telecom4/cts/InCallServiceImplTest.java</t>
  </si>
  <si>
    <t>tests/tests/batterysaving/src/android/os/cts/batterysaving/BatterySaverLocationTest.java</t>
  </si>
  <si>
    <t>tests/tests/location/src/android/location/cts/ScanningSettingsTest.java</t>
  </si>
  <si>
    <t>hostsidetests/devicepolicy/app/CrossProfileTestApps/CrossProfileAppsTest/src/com/android/cts/crossprofileappstest/CrossProfileAppsPermissionToInteractTest.java</t>
  </si>
  <si>
    <t>hostsidetests/devicepolicy/src/com/android/cts/devicepolicy/CrossProfileAppsPermissionHostSideTest.java</t>
  </si>
  <si>
    <t>hostsidetests/packagemanager/dynamicmime/test/src/android/dynamicmime/testapp/SingleAppTest.java</t>
  </si>
  <si>
    <t>hostsidetests/packagemanager/dynamicmime/test/src/android/dynamicmime/testapp/commands/TestAppCommands.java</t>
  </si>
  <si>
    <t>hostsidetests/blobstore/test-apps/BlobStoreHostTestHelper/src/com/android/cts/device/blob/DataCleanupTest.java</t>
  </si>
  <si>
    <t>hostsidetests/blobstore/test-apps/BlobStoreHostTestHelper/src/com/android/cts/device/blob/DataPersistenceTest.java</t>
  </si>
  <si>
    <t>tests/media/src/android/mediav2/cts/CodecDecoderTest.java</t>
  </si>
  <si>
    <t>tests/tests/net/src/android/net/cts/IpConfigurationTest.java</t>
  </si>
  <si>
    <t>tests/app/DownloadManagerLegacyTest/src/android/app/cts/DownloadManagerLegacyTest.java</t>
  </si>
  <si>
    <t>tests/location/location_fine/src/android/location/cts/fine/ScanningSettingsTest.java</t>
  </si>
  <si>
    <t>tests/tests/packageinstaller/tapjacking/src/android/packageinstaller/tapjacking/cts/TapjackingTest.java</t>
  </si>
  <si>
    <t>hostsidetests/devicepolicy/app/DeviceAndProfileOwner/src/com/android/cts/deviceandprofileowner/DeviceIdentifiersTest.java</t>
  </si>
  <si>
    <t>hostsidetests/tagging/src/com/android/cts/tagging/TaggingDefaultTest.java</t>
  </si>
  <si>
    <t>tests/tests/wifi/src/android/net/wifi/cts/WifiManagerTest.java</t>
  </si>
  <si>
    <t>tests/inputmethod/src/android/view/inputmethod/cts/ExtractedTextRequestTest.java</t>
  </si>
  <si>
    <t>tests/suspendapps/tests/src/android/suspendapps/cts/SuspendPackagesTest.java</t>
  </si>
  <si>
    <t>tests/tests/wifi/src/android/net/wifi/cts/WifiBackupRestoreTest.java</t>
  </si>
  <si>
    <t>tests/autofillservice/src/android/autofillservice/cts/inline/InlineFillEventHistoryTest.java</t>
  </si>
  <si>
    <t>tests/framework/base/activitymanager/src/android/server/am/PresentationTest.java</t>
  </si>
  <si>
    <t>tests/framework/base/windowmanager/src/android/server/wm/PresentationTest.java</t>
  </si>
  <si>
    <t>tests/inputmethod/src/android/view/inputmethod/cts/InlineSuggestionsRequestTest.java</t>
  </si>
  <si>
    <t>tests/app/src/android/app/cts/ActivityManagerBaseTaskInfoTest.java</t>
  </si>
  <si>
    <t>tests/app/src/android/app/cts/ActivityManagerRecentTaskInfoTest.java</t>
  </si>
  <si>
    <t>tests/app/src/android/app/cts/ActivityManagerRunningTaskInfoTest.java</t>
  </si>
  <si>
    <t>hostsidetests/devicepolicy/src/com/android/cts/devicepolicy/ManagedProfileWipeTest.java</t>
  </si>
  <si>
    <t>tests/tests/telephony/current/src/android/telephony/ims/cts/RcsUceAdapterTest.java</t>
  </si>
  <si>
    <t>tests/accessibility/src/android/view/accessibility/cts/AccessibilityShortcutTest.java</t>
  </si>
  <si>
    <t>hostsidetests/appsecurity/test-apps/AccessSerialModern/src/android/os/cts/AccessSerialModernTest.java</t>
  </si>
  <si>
    <t>tests/tests/tv/src/android/media/tv/cts/TvTrackInfoTest.java</t>
  </si>
  <si>
    <t>hostsidetests/incrementalinstall/appvalidator/src/android/incrementalinstall/inrementaltestappvalidation/AppValidationTest.java</t>
  </si>
  <si>
    <t>hostsidetests/incrementalinstall/src/android/incrementalinstall/cts/IncrementalInstallTest.java</t>
  </si>
  <si>
    <t>tests/tests/security/src/android/security/cts/NanoAppBundleTest.java</t>
  </si>
  <si>
    <t>tests/tests/net/ipsec/src/android/net/ipsec/ike/cts/SaProposalTest.java</t>
  </si>
  <si>
    <t>tests/tests/mediaparser/src/android/media/mediaparser/cts/MediaParserTest.java</t>
  </si>
  <si>
    <t>tests/sensor/src/android/hardware/cts/helpers/TestSensorManager.java</t>
  </si>
  <si>
    <t>tests/JobScheduler/src/android/jobscheduler/cts/DeviceStatesTest.java</t>
  </si>
  <si>
    <t>tests/tests/net/src/android/net/cts/DhcpInfoTest.java</t>
  </si>
  <si>
    <t>tests/location/location_none/src/android/location/cts/none/NoLocationPermissionTest.java</t>
  </si>
  <si>
    <t>hostsidetests/userspacereboot/testapps/BootCompletedTestApp/src/com/android/cts/userspacereboot/bootcompleted/BootCompletedUserspaceRebootTest.java</t>
  </si>
  <si>
    <t>tests/tests/net/ipsec/src/android/net/ipsec/ike/cts/IkeSessionParamsTest.java</t>
  </si>
  <si>
    <t>hostsidetests/bootstats/src/android/bootstats/cts/BootStatsHostTest.java</t>
  </si>
  <si>
    <t>tests/quickaccesswallet/src/android/quickaccesswallet/cts/QuickAccessWalletClientTest.java</t>
  </si>
  <si>
    <t>tests/app/src/android/app/cts/ActivityNonConfigInstanceTest.java</t>
  </si>
  <si>
    <t>tests/media/src/android/mediav2/cts/MuxerTest.java</t>
  </si>
  <si>
    <t>tests/tests/tv/src/android/media/tv/tuner/cts/TunerTest.java</t>
  </si>
  <si>
    <t>tests/tests/car/src/android/car/cts/CarUserManagerTest.java</t>
  </si>
  <si>
    <t>tests/controls/src/android/controls/cts/CtsControlsServiceTest.java</t>
  </si>
  <si>
    <t>hostsidetests/incident/src/com/android/server/cts/NetstatsIncidentTest.java</t>
  </si>
  <si>
    <t>hostsidetests/appsecurity/src/android/appsecurity/cts/PkgInstallSignatureVerificationTest.java</t>
  </si>
  <si>
    <t>tests/tests/bluetooth/src/android/bluetooth/cts/HearingAidProfileTest.java</t>
  </si>
  <si>
    <t>hostsidetests/stagedinstall/src/com/android/tests/stagedinstall/host/ApexShimValidationTest.java</t>
  </si>
  <si>
    <t>tests/tests/bluetooth/src/android/bluetooth/cts/TestUtils.java</t>
  </si>
  <si>
    <t>hostsidetests/devicepolicy/app/DeviceAndProfileOwner/src/com/android/cts/deviceandprofileowner/KeyManagementTest.java</t>
  </si>
  <si>
    <t>hostsidetests/appsecurity/src/android/appsecurity/cts/AdoptableFeatureConsistentTest.java</t>
  </si>
  <si>
    <t>tests/media/src/android/mediav2/cts/CodecDecoderSurfaceTest.java</t>
  </si>
  <si>
    <t>tests/media/src/android/mediav2/cts/CodecEncoderTest.java</t>
  </si>
  <si>
    <t>tests/media/src/android/mediav2/cts/EncoderProfileLevelTest.java</t>
  </si>
  <si>
    <t>tests/tests/telephony/current/src/android/telephony/cts/NetworkRegistrationInfoTest.java</t>
  </si>
  <si>
    <t>tests/tests/net/src/android/net/cts/MultinetworkApiTest.java</t>
  </si>
  <si>
    <t>tests/tests/provider/src/android/provider/cts/media/MediaStore_Images_ThumbnailsTest.java</t>
  </si>
  <si>
    <t>tests/tests/provider/src/android/provider/cts/media/MediaStore_Video_ThumbnailsTest.java</t>
  </si>
  <si>
    <t>tests/app/AppExitTest/src/android/app/cts/ActivityManagerAppExitInfoTest.java</t>
  </si>
  <si>
    <t>tests/tests/net/ipsec/src/android/net/ipsec/ike/cts/IkeSessionPskTest.java</t>
  </si>
  <si>
    <t>hostsidetests/telephony/src/android/telephony/cts/TelephonyHostTest.java</t>
  </si>
  <si>
    <t>tests/tests/preference/src/android/preference/cts/TestUtils.java</t>
  </si>
  <si>
    <t>hostsidetests/packagemanager/extractnativelibs/src/android/extractnativelibs/cts/CtsExtractNativeLibsHostTest.java</t>
  </si>
  <si>
    <t>hostsidetests/devicepolicy/app/DeviceAndProfileOwner/src/com/android/cts/deviceandprofileowner/OrgOwnedProfileOwnerParentTest.java</t>
  </si>
  <si>
    <t>tests/sensor/src/android/hardware/cts/SensorSupportTest.java</t>
  </si>
  <si>
    <t>hostsidetests/devicepolicy/app/ManagedProfile/src/com/android/cts/managedprofile/CrossProfileSharingTest.java</t>
  </si>
  <si>
    <t>hostsidetests/devicepolicy/app/DeviceAndProfileOwner/src/com/android/cts/deviceandprofileowner/RandomizedWifiMacAddressTest.java</t>
  </si>
  <si>
    <t>tests/tests/net/src/android/net/cts/Ikev2VpnTest.java</t>
  </si>
  <si>
    <t>tests/tests/content/src/android/content/pm/cts/FeatureTest.java</t>
  </si>
  <si>
    <t>hostsidetests/scopedstorage/legacy/src/android/scopedstorage/cts/legacy/LegacyStorageTest.java</t>
  </si>
  <si>
    <t>tests/accessibility/src/android/view/accessibility/cts/AccessibilityNodeInfoTest.java</t>
  </si>
  <si>
    <t>hostsidetests/appsecurity/test-apps/EncryptionApp/src/com/android/cts/encryptionapp/EncryptionAppTest.java</t>
  </si>
  <si>
    <t>hostsidetests/scopedstorage/src/android/scopedstorage/cts/ScopedStorageTest.java</t>
  </si>
  <si>
    <t>hostsidetests/scopedstorage/legacy/src/android/scopedstorage/cts/legacy/PublicVolumeLegacyTest.java</t>
  </si>
  <si>
    <t>hostsidetests/scopedstorage/src/android/scopedstorage/cts/PublicVolumeTest.java</t>
  </si>
  <si>
    <t>tests/tests/media/src/android/media/cts/MediaExtractorTest.java</t>
  </si>
  <si>
    <t>tests/tests/provider/src/android/provider/cts/media/MediaStore_Video_MediaTest.java</t>
  </si>
  <si>
    <t>tests/tests/media/src/android/media/cts/NativeEncoderTest.java</t>
  </si>
  <si>
    <t>hostsidetests/scopedstorage/libs/ScopedStorageTestLib/src/android/scopedstorage/cts/lib/TestUtils.java</t>
  </si>
  <si>
    <t>tests/tests/net/src/android/net/cts/ConnectivityDiagnosticsManagerTest.java</t>
  </si>
  <si>
    <t>tests/tests/hardware/src/android/hardware/cts/GeomagneticFieldTest.java</t>
  </si>
  <si>
    <t>tests/tests/libnativehelper/src/android/libnativehelper/cts/JniHelpTest.java</t>
  </si>
  <si>
    <t>hostsidetests/scopedstorage/host/src/android/scopedstorage/cts/host/ScopedStorageHostTest.java</t>
  </si>
  <si>
    <t>hostsidetests/hdmicec/src/android/hdmicec/cts/audio/HdmiCecInvalidMessagesTest.java</t>
  </si>
  <si>
    <t>hostsidetests/hdmicec/src/android/hdmicec/cts/audio/HdmiCecRemoteControlPassThroughTest.java</t>
  </si>
  <si>
    <t>hostsidetests/hdmicec/src/android/hdmicec/cts/playback/HdmiCecRemoteControlPassThroughTest.java</t>
  </si>
  <si>
    <t>hostsidetests/install/app/src/android/cts/install/DowngradeTest.java</t>
  </si>
  <si>
    <t>hostsidetests/install/src/android/cts/install/host/DowngradeTest.java</t>
  </si>
  <si>
    <t>hostsidetests/install/src/android/cts/install/host/ShimApexRule.java</t>
  </si>
  <si>
    <t>hostsidetests/packagemanager/dynamicmime/test/src/android/dynamicmime/testapp/preferred/PreferredActivitiesTest.java</t>
  </si>
  <si>
    <t>tests/tests/os/src/android/os/cts/EnvironmentTest.java</t>
  </si>
  <si>
    <t>tests/tests/textclassifier/src/android/view/textclassifier/cts/ConversationActionsTest.java</t>
  </si>
  <si>
    <t>tests/tests/textclassifier/src/android/view/textclassifier/cts/TextClassifierValueObjectsTest.java</t>
  </si>
  <si>
    <t>tests/tests/permission/telephony/src/android/permission/cts/telephony/TelephonyManagerPermissionTest.java</t>
  </si>
  <si>
    <t>hostsidetests/devicepolicy/src/com/android/cts/devicepolicy/ManagedProfileCrossProfileTest.java</t>
  </si>
  <si>
    <t>tests/tests/hardware/src/android/hardware/input/cts/tests/RazerJunglecatBluetoothTest.java</t>
  </si>
  <si>
    <t>tests/inputmethod/src/android/view/inputmethod/cts/InputMethodServiceStrictModeTest.java</t>
  </si>
  <si>
    <t>hostsidetests/angle/src/android/angle/cts/CtsAngleRulesFileTest.java</t>
  </si>
  <si>
    <t>tests/tests/permission/src/android/permission/cts/PowerManagerServicePermissionTest.java</t>
  </si>
  <si>
    <t>tests/JobScheduler/src/android/jobscheduler/cts/JobSchedulingTest.java</t>
  </si>
  <si>
    <t>tests/tests/contactsprovider/src/android/provider/cts/contacts/ContactsMetadataProviderTest.java</t>
  </si>
  <si>
    <t>tests/signature/api-check/src/java/android/signature/cts/api/WhitelistKillswitchTest.java</t>
  </si>
  <si>
    <t>hostsidetests/tagging/src/com/android/cts/tagging/TaggingBaseTest.java</t>
  </si>
  <si>
    <t>hostsidetests/tagging/src/com/android/cts/tagging/TaggingEnabledTest.java</t>
  </si>
  <si>
    <t>hostsidetests/tagging/src/com/android/cts/tagging/TaggingDisabledTest.java</t>
  </si>
  <si>
    <t>hostsidetests/devicepolicy/app/DeviceAndProfileOwner/src/com/android/cts/deviceandprofileowner/SecondaryLockscreenTest.java</t>
  </si>
  <si>
    <t>tests/tests/content/src/android/content/pm/cts/ChecksumsTest.java</t>
  </si>
  <si>
    <t>hostsidetests/signedconfig/hostside/src/com/android/cts/signedconfig/SignedConfigHostTest.java</t>
  </si>
  <si>
    <t>hostsidetests/car/src/android/car/cts/OptionalFeatureHostTest.java</t>
  </si>
  <si>
    <t>hostsidetests/car/src/android/car/cts/UiModeHostTest.java</t>
  </si>
  <si>
    <t>tests/devicepolicy/src/android/devicepolicy/cts/CrossProfileAppsTest.java</t>
  </si>
  <si>
    <t>hostsidetests/systemui/src/android/host/systemui/TvMicrophoneCaptureIndicatorTest.java</t>
  </si>
  <si>
    <t>tests/inputmethod/src/android/view/inputmethod/cts/KeyboardVisibilityControlTest.java</t>
  </si>
  <si>
    <t>tests/tests/os/src/android/os/cts/LocaleListTest.java</t>
  </si>
  <si>
    <t>tests/tests/widget/src/android/widget/cts/TextViewRichContentReceiverTest.java</t>
  </si>
  <si>
    <t>hostsidetests/scopedstorage/host/src/android/scopedstorage/cts/host/LegacyStorageHostTest.java</t>
  </si>
  <si>
    <t>hostsidetests/scopedstorage/host/src/android/scopedstorage/cts/host/PublicVolumeHostTest.java</t>
  </si>
  <si>
    <t>hostsidetests/car/src/android/car/cts/PreCreateUsersHostTest.java</t>
  </si>
  <si>
    <t>tests/tests/os/src/android/os/cts/VibrationAttributesTest.java</t>
  </si>
  <si>
    <t>hostsidetests/tagging/src/com/android/cts/tagging/TaggingManifestDisabledTest.java</t>
  </si>
  <si>
    <t>hostsidetests/tagging/src/com/android/cts/tagging/TaggingManifestEnabledSdk29Test.java</t>
  </si>
  <si>
    <t>hostsidetests/tagging/src/com/android/cts/tagging/TaggingManifestEnabledSdk30Test.java</t>
  </si>
  <si>
    <t>hostsidetests/tagging/src/com/android/cts/tagging/TaggingSdk29Test.java</t>
  </si>
  <si>
    <t>hostsidetests/tagging/src/com/android/cts/tagging/TaggingSdk30Test.java</t>
  </si>
  <si>
    <t>tests/tests/media/src/android/media/cts/MediaMetadataTest.java</t>
  </si>
  <si>
    <t>tests/tests/telecom/src/android/telecom/cts/AdhocConferenceTest.java</t>
  </si>
  <si>
    <t>tests/tests/graphics/src/android/graphics/text/cts/GlyphStyleTest.java</t>
  </si>
  <si>
    <t>tests/tests/graphics/src/android/graphics/text/cts/TextShaperTest.java</t>
  </si>
  <si>
    <t>tests/tests/text/src/android/text/cts/StyledTextShaperTest.java</t>
  </si>
  <si>
    <t>tests/tests/binder_ndk/src/android/binder/cts/TestImpl.java</t>
  </si>
  <si>
    <t>hostsidetests/usage/src/android/app/usage/cts/AppIdleHostTest.java</t>
  </si>
  <si>
    <t>hostsidetests/statsdatom/src/android/cts/statsdatom/lib/TestLibrary.java</t>
  </si>
  <si>
    <t>hostsidetests/devicepolicy/app/DeviceAndProfileOwner/src/com/android/cts/deviceandprofileowner/AlwaysOnVpnMultiStageTest.java</t>
  </si>
  <si>
    <t>hostsidetests/devicepolicy/app/DeviceAndProfileOwner/src/com/android/cts/deviceandprofileowner/LockTaskTest.java</t>
  </si>
  <si>
    <t>hostsidetests/devicepolicy/app/DeviceAndProfileOwner/src/com/android/cts/deviceandprofileowner/SetSystemSettingTest.java</t>
  </si>
  <si>
    <t>hostsidetests/devicepolicy/app/ManagedProfile/src/com/android/cts/managedprofile/SanityTest.java</t>
  </si>
  <si>
    <t>hostsidetests/devicepolicy/app/ManagedProfile/src/com/android/cts/managedprofile/DummyConnectionService.java</t>
  </si>
  <si>
    <t>hostsidetests/devicepolicy/app/ManagedProfile/src/com/android/cts/managedprofile/DummyCrossProfileViewEventActivity.java</t>
  </si>
  <si>
    <t>hostsidetests/devicepolicy/app/DummyIme/src/com/android/cts/dummyime/DummyIme.java</t>
  </si>
  <si>
    <t>hostsidetests/devicepolicy/src/com/android/cts/devicepolicy/ManagedProfileTimeoutTest.java</t>
  </si>
  <si>
    <t>tests/tests/wifi/src/android/net/wifi/cts/WifiNetworkSuggestionTest.java</t>
  </si>
  <si>
    <t>hostsidetests/hdmicec/src/android/hdmicec/cts/playback/HdmiCecSystemInformationTest.java</t>
  </si>
  <si>
    <t>hostsidetests/hdmicec/src/android/hdmicec/cts/common/HdmiCecSystemInformationTest.java</t>
  </si>
  <si>
    <t>tests/tests/widget/src/android/widget/cts/TextViewOnReceiveContentCallbackTest.java</t>
  </si>
  <si>
    <t>tests/tests/telephony/current/src/android/telephony/cts/IwlanModeTest.java</t>
  </si>
  <si>
    <t>tests/framework/base/windowmanager/src/android/server/wm/WindowUntrustedTouchTest.java</t>
  </si>
  <si>
    <t>tests/framework/base/windowmanager/overlayappbase/src/android/server/wm/overlay/ActionReceiver.java</t>
  </si>
  <si>
    <t>tests/framework/base/windowmanager/overlayappbase/src/android/server/wm/overlay/TestCompanionService.java</t>
  </si>
  <si>
    <t>tests/tests/wifi/src/android/net/wifi/aware/cts/SingleDeviceTest.java</t>
  </si>
  <si>
    <t>hostsidetests/net/src/com/android/cts/net/ProcNetTest.java</t>
  </si>
  <si>
    <t>tests/tests/net/src/android/net/cts/AirplaneModeTest.java</t>
  </si>
  <si>
    <t>tests/tests/net/src/android/net/cts/CredentialsTest.java</t>
  </si>
  <si>
    <t>tests/tests/net/src/android/net/cts/InetAddressesTest.java</t>
  </si>
  <si>
    <t>tests/tests/net/src/android/net/cts/IpSecBaseTest.java</t>
  </si>
  <si>
    <t>tests/tests/net/src/android/net/cts/MacAddressTest.java</t>
  </si>
  <si>
    <t>tests/tests/net/src/android/net/cts/MailToTest.java</t>
  </si>
  <si>
    <t>tests/tests/net/src/android/net/cts/NetworkStatsBinderTest.java</t>
  </si>
  <si>
    <t>tests/tests/net/src/android/net/cts/NetworkWatchlistTest.java</t>
  </si>
  <si>
    <t>tests/tests/net/src/android/net/cts/ProxyInfoTest.java</t>
  </si>
  <si>
    <t>tests/tests/net/src/android/net/cts/RssiCurveTest.java</t>
  </si>
  <si>
    <t>tests/tests/net/src/android/net/cts/TheaterModeTest.java</t>
  </si>
  <si>
    <t>tests/tests/net/src/android/net/cts/Uri_BuilderTest.java</t>
  </si>
  <si>
    <t>tests/tests/net/src/android/net/cts/UrlQuerySanitizerTest.java</t>
  </si>
  <si>
    <t>tests/tests/net/src/android/net/cts/UrlQuerySanitizer_IllegalCharacterValueSanitizerTest.java</t>
  </si>
  <si>
    <t>tests/tests/net/src/android/net/cts/UrlQuerySanitizer_ParameterValuePairTest.java</t>
  </si>
  <si>
    <t>tests/tests/net/src/android/net/cts/VpnServiceTest.java</t>
  </si>
  <si>
    <t>tests/tests/net/src/android/net/ipv6/cts/PingTest.java</t>
  </si>
  <si>
    <t>tests/tests/net/src/android/net/rtp/cts/AudioCodecTest.java</t>
  </si>
  <si>
    <t>tests/tests/net/src/android/net/rtp/cts/AudioGroupTest.java</t>
  </si>
  <si>
    <t>tests/tests/net/src/android/net/rtp/cts/AudioStreamTest.java</t>
  </si>
  <si>
    <t>tests/tests/webkit/src/android/webkit/cts/PacProcessorTest.java</t>
  </si>
  <si>
    <t>tests/tests/selinux/selinuxTargetSdk29/src/android/security/SELinuxTargetSdkTest.java</t>
  </si>
  <si>
    <t>tests/tests/provider/src/android/provider/cts/WifiSliceTest.java</t>
  </si>
  <si>
    <t>tests/JobScheduler/src/android/jobscheduler/cts/IdleConstraintTest.java</t>
  </si>
  <si>
    <t>tests/tests/os/src/android/os/cts/FileObserverLegacyPathTest.java</t>
  </si>
  <si>
    <t>tests/tests/ipsec/src/android/eap/cts/EapSessionConfigTest.java</t>
  </si>
  <si>
    <t>tests/tests/ipsec/src/android/ipsec/ike/cts/ChildSessionParamsTest.java</t>
  </si>
  <si>
    <t>tests/tests/ipsec/src/android/ipsec/ike/cts/IkeIdentificationTest.java</t>
  </si>
  <si>
    <t>tests/tests/ipsec/src/android/ipsec/ike/cts/IkeSessionDigitalSignatureTest.java</t>
  </si>
  <si>
    <t>tests/tests/ipsec/src/android/ipsec/ike/cts/IkeSessionMschapV2Test.java</t>
  </si>
  <si>
    <t>tests/tests/ipsec/src/android/ipsec/ike/cts/IkeSessionParamsTest.java</t>
  </si>
  <si>
    <t>tests/tests/ipsec/src/android/ipsec/ike/cts/IkeSessionPskTest.java</t>
  </si>
  <si>
    <t>tests/tests/ipsec/src/android/ipsec/ike/cts/IkeSessionRekeyTest.java</t>
  </si>
  <si>
    <t>tests/tests/ipsec/src/android/ipsec/ike/cts/SaProposalTest.java</t>
  </si>
  <si>
    <t>tests/tests/ipsec/src/android/ipsec/ike/cts/TestNetworkUtils.java</t>
  </si>
  <si>
    <t>hostsidetests/scopedstorage/host/src/android/scopedstorage/cts/host/ScopedStorageCoreHostTest.java</t>
  </si>
  <si>
    <t>tests/tests/telephony/current/src/android/telephony/cts/ApnSettingTest.java</t>
  </si>
  <si>
    <t>tests/framework/base/biometrics/src/android/server/biometrics/fingerprint/FingerprintServiceTest.java</t>
  </si>
  <si>
    <t>hostsidetests/appcompat/strictjavapackages/src/android/compat/sjp/cts/StrictJavaPackagesTest.java</t>
  </si>
  <si>
    <t>tests/tests/content/src/android/content/cts/ContextAccessTest.java</t>
  </si>
  <si>
    <t>tests/framework/base/biometrics/src/android/server/biometrics/BiometricServiceTest.java</t>
  </si>
  <si>
    <t>tests/tests/sdkextensions/src/android/os/ext/cts/SdkExtensionsTest.java</t>
  </si>
  <si>
    <t>tests/tests/content/src/android/content/pm/cts/PackageManagerGetPropertyTest.java</t>
  </si>
  <si>
    <t>tests/tests/content/src/android/content/pm/cts/PackageManagerQueryPropertyTest.java</t>
  </si>
  <si>
    <t>tests/tests/voiceRecognition/src/android/voicerecognition/cts/RecognitionServiceMicIndicatorTest.java</t>
  </si>
  <si>
    <t>hostsidetests/devicepolicy/app/ManagedProfile/src/com/android/cts/managedprofile/DevicePolicyManagerParentSupportTest.java</t>
  </si>
  <si>
    <t>tests/tests/permission/src/android/permission/cts/NoSdCardWritePermissionTest.java</t>
  </si>
  <si>
    <t>tests/tests/widget/src/android/widget/cts/TextViewOnReceiveContentTest.java</t>
  </si>
  <si>
    <t>hostsidetests/scopedstorage/device/src/android/scopedstorage/cts/device/ScopedStorageDeviceTest.java</t>
  </si>
  <si>
    <t>hostsidetests/scopedstorage/device/src/android/scopedstorage/cts/device/ScopedStoragePublicVolumeDeviceTest.java</t>
  </si>
  <si>
    <t>hostsidetests/devicepolicy/app/CustomizationApp/src/com/android/cts/customizationapp/CustomizationTest.java</t>
  </si>
  <si>
    <t>tests/tests/hardware/src/android/hardware/input/cts/tests/UsbVoiceCommandTest.java</t>
  </si>
  <si>
    <t>tests/tests/telephony/current/src/android/telephony/cts/SmsMessageTest.java</t>
  </si>
  <si>
    <t>tools/manifest-generator/tests/src/com/android/compatibility/common/generator/ManifestGeneratorTest.java</t>
  </si>
  <si>
    <t>tests/inputmethod/src/android/view/inputmethod/cts/EditorInfoTest.java</t>
  </si>
  <si>
    <t>tests/tests/webkit/src/android/webkit/cts/WebViewSslTest.java</t>
  </si>
  <si>
    <t>tests/tests/graphics/src/android/graphics/cts/ParcelableColorSpaceTest.java</t>
  </si>
  <si>
    <t>tests/app/src/android/app/cts/ActivityManagerFgsBgStartTest.java</t>
  </si>
  <si>
    <t>tests/tests/mediatranscoding/src/android/media/mediatranscoding/cts/MediaTranscodeManagerTest.java</t>
  </si>
  <si>
    <t>hostsidetests/statsd/src/android/cts/statsd/subscriber/ShellSubscriberTest.java</t>
  </si>
  <si>
    <t>hostsidetests/statsd/src/android/cts/statsd/validation/DirectoryValidationTest.java</t>
  </si>
  <si>
    <t>tests/admin/src/android/admin/cts/DeviceAdminTempTest.java</t>
  </si>
  <si>
    <t>hostsidetests/media/src/android/media/cts/BaseMultiUserTest.java</t>
  </si>
  <si>
    <t>hostsidetests/hdmicec/src/android/hdmicec/cts/playback/HdmiCecLogicalAddressTest.java</t>
  </si>
  <si>
    <t>hostsidetests/hdmicec/src/android/hdmicec/cts/playback/HdmiCecVendorCommandsTest.java</t>
  </si>
  <si>
    <t>hostsidetests/hdmicec/src/android/hdmicec/cts/playback/HdmiCecPhysicalAddressTest.java</t>
  </si>
  <si>
    <t>tests/JobScheduler/src/android/jobscheduler/cts/JobInfoTest.java</t>
  </si>
  <si>
    <t>tests/JobScheduler/src/android/jobscheduler/cts/JobParametersTest.java</t>
  </si>
  <si>
    <t>tests/appsearch/src/com/android/cts/appsearch/AppSearchSessionTest.java</t>
  </si>
  <si>
    <t>hostsidetests/hdmicec/src/android/hdmicec/cts/playback/HdmiCecSystemStandbyTest.java</t>
  </si>
  <si>
    <t>tests/app/src/android/app/cts/ApplicationTest.java</t>
  </si>
  <si>
    <t>hostsidetests/hdmicec/src/android/hdmicec/cts/playback/HdmiCecSystemAudioControlTest.java</t>
  </si>
  <si>
    <t>tests/tests/media/src/android/media/cts/AudioPlaybackConfigurationTest.java</t>
  </si>
  <si>
    <t>tests/framework/base/windowmanager/src/android/server/wm/HideOverlayWindowsTest.java</t>
  </si>
  <si>
    <t>hostsidetests/appcompat/compatchanges/src/com/android/cts/appcompat/CompatChangesValidConfigTest.java</t>
  </si>
  <si>
    <t>hostsidetests/appsecurity/src/android/appsecurity/cts/StatsdAppSecurityAtomTest.java</t>
  </si>
  <si>
    <t>tests/tests/telephony/current/src/android/telephony/cts/ApnThrottleStatusTest.java</t>
  </si>
  <si>
    <t>common/device-side/eventlib/src/test/java/com/android/eventlib/EventLogsTest.java</t>
  </si>
  <si>
    <t>tests/location/location_privileged/src/android/location/cts/privileged/GnssLocationValuesTest.java</t>
  </si>
  <si>
    <t>tests/tests/telephony/current/src/android/telephony/ims/cts/SipDelegateManagerTest.java</t>
  </si>
  <si>
    <t>tests/tests/os/src/android/os/image/cts/DynamicSystemClientTest.java</t>
  </si>
  <si>
    <t>tests/framework/base/windowmanager/util/src/android/server/wm/TestTaskOrganizer.java</t>
  </si>
  <si>
    <t>tests/tests/wifi/src/android/net/wifi/rtt/cts/TestBase.java</t>
  </si>
  <si>
    <t>tests/tests/wifi/src/android/net/wifi/rtt/cts/WifiRttTest.java</t>
  </si>
  <si>
    <t>tests/tests/widget29/src/android/widget/cts29/ToastTest.java</t>
  </si>
  <si>
    <t>hostsidetests/devicepolicy/src/com/android/cts/devicepolicy/ManagedProfilePasswordTest.java</t>
  </si>
  <si>
    <t>hostsidetests/backup/AllowBackup/src/AllowBackupTest.java</t>
  </si>
  <si>
    <t>hostsidetests/backup/src/android/cts/backup/AllowBackupHostSideTest.java</t>
  </si>
  <si>
    <t>hostsidetests/hdmicec/src/android/hdmicec/cts/playback/HdmiCecPowerStatusTest.java</t>
  </si>
  <si>
    <t>tests/tests/wifi/src/android/net/wifi/cts/NsdManagerTest.java</t>
  </si>
  <si>
    <t>tests/tests/security/src/android/security/cts/FontScaleSettingsTest.java</t>
  </si>
  <si>
    <t>hostsidetests/appsecurity/test-apps/SplitApp/src/com/android/cts/splitapp/SplitAppTest.java</t>
  </si>
  <si>
    <t>hostsidetests/appsecurity/test-apps/SplitApp/src/com/android/cts/splitapp/TestThemeHelper.java</t>
  </si>
  <si>
    <t>tests/tests/wifi/src/android/net/wifi/cts/WifiLocationInfoTest.java</t>
  </si>
  <si>
    <t>tests/tests/textclassifier/src/android/view/textclassifier/cts/TextClassifierServiceSwapTest.java</t>
  </si>
  <si>
    <t>tests/tests/telephony/current/src/android/telephony/euicc/cts/DownloadableSubscriptionTest.java</t>
  </si>
  <si>
    <t>hostsidetests/hdmicec/src/android/hdmicec/cts/HdmiControlManagerHostTest.java</t>
  </si>
  <si>
    <t>tests/app/src/android/app/cts/CloseSystemDialogsTest.java</t>
  </si>
  <si>
    <t>tests/appsearch/src/com/android/cts/appsearch/external/AppSearchSchemaCtsTest.java</t>
  </si>
  <si>
    <t>tests/tests/mediatranscoding/src/android/media/mediatranscoding/cts/ApplicationMediaCapabilitiesTest.java</t>
  </si>
  <si>
    <t>hostsidetests/devicepolicy/src/com/android/cts/devicepolicy/BaseDeviceAdminServiceTest.java</t>
  </si>
  <si>
    <t>hostsidetests/devicepolicy/src/com/android/cts/devicepolicy/DeviceAdminServiceDeviceOwnerTest.java</t>
  </si>
  <si>
    <t>hostsidetests/devicepolicy/src/com/android/cts/devicepolicy/DeviceAdminServiceProfileOwnerTest.java</t>
  </si>
  <si>
    <t>hostsidetests/appsecurity/src/android/appsecurity/cts/ReadableSettingsFieldsTest.java</t>
  </si>
  <si>
    <t>hostsidetests/appsecurity/test-apps/ReadSettingsFieldsApp/src/com/android/cts/readsettingsfieldsapp/ReadSettingsFieldsTest.java</t>
  </si>
  <si>
    <t>hostsidetests/devicepolicy/src/com/android/cts/devicepolicy/CustomManagedProfileTest.java</t>
  </si>
  <si>
    <t>tests/tests/view/src/android/view/cts/input/InputDeviceKeyLayoutMapTest.java</t>
  </si>
  <si>
    <t>tests/tests/view/src/android/view/cts/input/InputDeviceMultiDeviceKeyEventTest.java</t>
  </si>
  <si>
    <t>tests/tests/telephony/current/src/android/telephony/ims/cts/RcsContactUceCapabilityTest.java</t>
  </si>
  <si>
    <t>tests/tests/os/src/android/os/cts/VibratorTest.java</t>
  </si>
  <si>
    <t>common/device-side/bedstead/nene/src/test/java/com/android/bedstead/nene/users/UserTest.java</t>
  </si>
  <si>
    <t>tests/tests/multiuser/src/android/multiuser/cts/SplitSystemUserTest.java</t>
  </si>
  <si>
    <t>tests/tests/textclassifier/src/android/view/textclassifier/cts/TextViewIntegrationTest.java</t>
  </si>
  <si>
    <t>common/device-side/eventlib/src/test/java/com/android/eventlib/events/CustomEventTest.java</t>
  </si>
  <si>
    <t>common/device-side/eventlib/src/test/java/com/android/eventlib/events/activities/ActivityCreatedEventTest.java</t>
  </si>
  <si>
    <t>tests/camera/src/android/hardware/camera2/cts/CameraExtensionSessionTest.java</t>
  </si>
  <si>
    <t>tests/tests/media/src/android/media/cts/RingtoneTest.java</t>
  </si>
  <si>
    <t>hostsidetests/devicepolicy/app/DeviceAndProfileOwner/src/com/android/cts/deviceandprofileowner/SuspendPackageTest.java</t>
  </si>
  <si>
    <t>hostsidetests/hdmicec/app/src/android/hdmicec/app/HdmiControlManagerTest.java</t>
  </si>
  <si>
    <t>tests/tests/graphics/src/android/graphics/cts/VulkanSurfaceSupportTest.java</t>
  </si>
  <si>
    <t>hostsidetests/tagging/sdk_30/src/android/cts/tagging/sdk30/TaggingTest.java</t>
  </si>
  <si>
    <t>common/device-side/bedstead/nene/src/test/java/com/android/bedstead/nene/users/UsersTest.java</t>
  </si>
  <si>
    <t>hostsidetests/devicepolicy/app/DelegateApp/src/com/android/cts/delegate/NetworkLoggingDelegateTest.java</t>
  </si>
  <si>
    <t>hostsidetests/devicepolicy/app/DeviceAndProfileOwner/src/com/android/cts/deviceandprofileowner/DelegationTest.java</t>
  </si>
  <si>
    <t>hostsidetests/security/src/android/security/cts/FileSystemPermissionTest.java</t>
  </si>
  <si>
    <t>hostsidetests/appsecurity/src/android/appsecurity/cts/ApplicationVisibilityTest.java</t>
  </si>
  <si>
    <t>hostsidetests/appsecurity/test-apps/ApplicationVisibilityCrossUserApp/src/com/android/cts/applicationvisibility/ApplicationVisibilityCrossUserTest.java</t>
  </si>
  <si>
    <t>tests/tests/simphonebookprovider/src/android/provider/cts/simphonebook/SimPhonebookContract_ElementaryFilesTest.java</t>
  </si>
  <si>
    <t>tests/tests/graphics/src/android/graphics/fonts/FontManagerTest.java</t>
  </si>
  <si>
    <t>tests/tests/simphonebookprovider/src/android/provider/cts/simphonebook/SimPhonebookContract_SimRecordsTest.java</t>
  </si>
  <si>
    <t>common/device-side/bedstead/nene/src/test/java/com/android/bedstead/nene/users/UserReferenceTest.java</t>
  </si>
  <si>
    <t>tests/tests/voiceRecognition/src/android/voicerecognition/cts/RecognitionServiceTest.java</t>
  </si>
  <si>
    <t>tests/tests/speech/src/android/speech/tts/cts/TextToSpeechConnectionTest.java</t>
  </si>
  <si>
    <t>hostsidetests/appsecurity/src/android/appsecurity/cts/ApkVerityInstallTest.java</t>
  </si>
  <si>
    <t>hostsidetests/incident/src/com/android/server/cts/BatteryStatsIncidentTest.java</t>
  </si>
  <si>
    <t>tests/tests/telecom/src/android/telecom/cts/CarModeInCallServiceTest.java</t>
  </si>
  <si>
    <t>tests/tests/wifi/src/android/net/wifi/cts/MultiStaConcurrencyRestrictedWifiNetworkSuggestionTest.java</t>
  </si>
  <si>
    <t>tests/tests/wifi/src/android/net/wifi/cts/MultiStaConcurrencyWifiNetworkSpecifierTest.java</t>
  </si>
  <si>
    <t>tests/tests/wifi/src/android/net/wifi/cts/WifiNetworkSpecifierTest.java</t>
  </si>
  <si>
    <t>tests/framework/base/windowmanager/src/android/server/wm/ForceRelayoutTest.java</t>
  </si>
  <si>
    <t>tests/framework/base/windowmanager/testsdk29/src/android/server/wm/ForceRelayoutSdk29Test.java</t>
  </si>
  <si>
    <t>tests/tests/os/src/android/os/cts/VibratorManagerTest.java</t>
  </si>
  <si>
    <t>common/device-side/bedstead/nene/src/test/java/com/android/bedstead/nene/utils/ShellCommandTest.java</t>
  </si>
  <si>
    <t>common/device-side/bedstead/nene/src/test/java/com/android/bedstead/nene/packages/PackageReferenceTest.java</t>
  </si>
  <si>
    <t>tests/uwb/src/android/uwb/cts/AngleMeasurementTest.java</t>
  </si>
  <si>
    <t>tests/uwb/src/android/uwb/cts/AngleOfArrivalMeasurementTest.java</t>
  </si>
  <si>
    <t>tests/devicepolicy/src/android/devicepolicy/cts/StartProfilesTest.java</t>
  </si>
  <si>
    <t>tests/JobScheduler/src/android/jobscheduler/cts/TestAppInterface.java</t>
  </si>
  <si>
    <t>tests/tests/car/src/android/car/cts/CarPowerManagerTest.java</t>
  </si>
  <si>
    <t>tests/tests/telephony/current/src/android/telephony/ims/cts/TestAcsClient.java</t>
  </si>
  <si>
    <t>hostsidetests/backup/src/android/cts/backup/FullbackupRulesHostSideTest.java</t>
  </si>
  <si>
    <t>tests/framework/base/windowmanager/app_base/src/android/server/wm/app/TestActivity.java</t>
  </si>
  <si>
    <t>tests/tests/media/src/android/media/cts/MediaCommunicationManagerTest.java</t>
  </si>
  <si>
    <t>tests/tests/media/src/android/media/cts/AudioCommunicationDeviceTest.java</t>
  </si>
  <si>
    <t>tests/tests/simphonebookprovider/nosim/src/android/provider/cts/simphonebook/SimPhonebookContract_ElementaryFilesNoSimTest.java</t>
  </si>
  <si>
    <t>tests/media/src/android/mediav2/cts/CodecDecoderExtTest.java</t>
  </si>
  <si>
    <t>tests/devicepolicy/src/android/devicepolicy/cts/DevicePolicyManagerTest.java</t>
  </si>
  <si>
    <t>common/device-side/bedstead/eventlib/src/test/java/com/android/eventlib/EventLogsTest.java</t>
  </si>
  <si>
    <t>tests/devicepolicy/src/android/devicepolicy/cts/AppUriAuthenticationPolicyTest.java</t>
  </si>
  <si>
    <t>tests/devicepolicy/src/android/devicepolicy/cts/CredentialManagementAppTest.java</t>
  </si>
  <si>
    <t>common/device-side/bedstead/dpmwrapper/src/main/java/com/android/bedstead/dpmwrapper/TestAppCallbacksReceiver.java</t>
  </si>
  <si>
    <t>hostsidetests/appsecurity/src/android/appsecurity/cts/ResumeOnRebootHostTest.java</t>
  </si>
  <si>
    <t>tests/rotationresolverservice/src/android/rotationresolverservice/cts/CtsRotationResolverServiceDeviceTest.java</t>
  </si>
  <si>
    <t>tests/tests/hardware/src/android/hardware/input/cts/tests/MicrosoftDesignerKeyboardTest.java</t>
  </si>
  <si>
    <t>tests/tests/wifi/src/android/net/wifi/cts/ConnectedNetworkScorerTest.java</t>
  </si>
  <si>
    <t>tests/tests/text/src/android/text/cts/FontResourceTest.java</t>
  </si>
  <si>
    <t>tests/translation/src/android/translation/cts/unittests/InternalTranslationRequestTest.java</t>
  </si>
  <si>
    <t>tests/translation/src/android/translation/cts/unittests/TranslationRequestTest.java</t>
  </si>
  <si>
    <t>tests/translation/src/android/translation/cts/unittests/TranslationResponseTest.java</t>
  </si>
  <si>
    <t>tests/tests/vcn/src/android/net/vcn/cts/VcnManagerTest.java</t>
  </si>
  <si>
    <t>tests/tests/hardware/src/android/hardware/biometrics/cts/BiometricManagerTest.java</t>
  </si>
  <si>
    <t>tests/translation/src/android/translation/cts/TranslationManagerTest.java</t>
  </si>
  <si>
    <t>tests/tests/voiceinteraction/src/android/voiceinteraction/cts/HotwordDetectionServiceTest.java</t>
  </si>
  <si>
    <t>tests/tests/voiceinteraction/src/android/voiceinteraction/cts/TestVoiceInteractionServiceActivity.java</t>
  </si>
  <si>
    <t>tests/tests/telephony/current/src/android/telephony/cts/SliceInfoTest.java</t>
  </si>
  <si>
    <t>tests/tests/batterysaving/src/android/os/cts/powerexemption/PowerExemptionTest.java</t>
  </si>
  <si>
    <t>tests/tests/media/src/android/media/cts/SystemMediaRouter2Test.java</t>
  </si>
  <si>
    <t>tests/AlarmManager/src/android/alarmmanager/cts/WhileIdleAlarmsTest.java</t>
  </si>
  <si>
    <t>tests/tests/telephony/current/src/android/telephony/cts/TelephonyCallbackTest.java</t>
  </si>
  <si>
    <t>tests/tests/telephony/current/src/android/telephony/cts/LteVopsSupportInfoTest.java</t>
  </si>
  <si>
    <t>hostsidetests/devicepolicy/src/com/android/cts/devicepolicy/BaseDeviceOwnerTest.java</t>
  </si>
  <si>
    <t>tests/contentcaptureservice/src/android/contentcaptureservice/cts/WhitelistTest.java</t>
  </si>
  <si>
    <t>tests/tests/widget/src/android/widget/cts/RemoteViewsRecyclingTest.java</t>
  </si>
  <si>
    <t>tests/tests/telephonyprovider/src/android/telephonyprovider/cts/ServiceStateTest.java</t>
  </si>
  <si>
    <t>hostsidetests/hdmicec/src/android/hdmicec/cts/common/HdmiCecStartupTest.java</t>
  </si>
  <si>
    <t>hostsidetests/devicepolicy/app/DeviceOwner/src/com/android/cts/deviceowner/DeviceOwnerProvisioningTest.java</t>
  </si>
  <si>
    <t>hostsidetests/devicepolicy/src/com/android/cts/devicepolicy/ManagedProfileProvisioningTest.java</t>
  </si>
  <si>
    <t>tests/tests/shortcutmanager/src/android/content/pm/cts/shortcutmanager/ShortcutManagerMaxCountTest.java</t>
  </si>
  <si>
    <t>tests/sensor/sensorratepermission/EventConnectionResampling/src/android/sensorratepermission/cts/resampling/ResamplingTest.java</t>
  </si>
  <si>
    <t>hostsidetests/devicepolicy/app/DeviceAndProfileOwner/src/com/android/cts/deviceandprofileowner/NetworkSlicingStatusTest.java</t>
  </si>
  <si>
    <t>hostsidetests/security/src/android/security/cts/KernelConfigTest.java</t>
  </si>
  <si>
    <t>hostsidetests/security/src/android/security/cts/MetadataEncryptionTest.java</t>
  </si>
  <si>
    <t>hostsidetests/media/app/MediaExtractorTest/src/android/media/cts/MediaExtractorDeviceSideTest.java</t>
  </si>
  <si>
    <t>hostsidetests/devicepolicy/app/ManagedProfile/src/com/android/cts/managedprofile/WifiTest.java</t>
  </si>
  <si>
    <t>tests/media/src/android/mediav2/cts/ExtractorUnitTest.java</t>
  </si>
  <si>
    <t>tests/tests/view/src/android/view/cts/ViewOnReceiveContentTest.java</t>
  </si>
  <si>
    <t>tests/tests/permission/src/android/permission/cts/PermissionIndicatorAppOpUsageTest.java</t>
  </si>
  <si>
    <t>tests/tests/graphics/src/android/graphics/fonts/SystemFontsCanonicalNameTest.java</t>
  </si>
  <si>
    <t>tests/tests/view/src/android/view/cts/ASurfaceControlTest.java</t>
  </si>
  <si>
    <t>apps/CtsVerifier/src/com/android/cts/verifier/biometrics/SensorConfigurationTest.java</t>
  </si>
  <si>
    <t>hostsidetests/time/host/src/android/time/cts/host/LocationTimeZoneManagerHostTest.java</t>
  </si>
  <si>
    <t>tests/mediapc/src/android/mediapc/cts/PerformanceClassTest.java</t>
  </si>
  <si>
    <t>hostsidetests/hdmicec/src/android/hdmicec/cts/common/HdmiCecInvalidMessagesTest.java</t>
  </si>
  <si>
    <t>apps/CtsVerifier/src/com/android/cts/verifier/biometrics/AbstractBaseTest.java</t>
  </si>
  <si>
    <t>hostsidetests/time/host/src/android/time/cts/host/BaseLocationTimeZoneManagerHostTest.java</t>
  </si>
  <si>
    <t>hostsidetests/time/host/src/android/time/cts/host/LocationTimeZoneManagerStatsTest.java</t>
  </si>
  <si>
    <t>hostsidetests/devicepolicy/app/DeviceAndProfileOwner/src/com/android/cts/deviceandprofileowner/EnterpriseNetworkPreferenceStatusTest.java</t>
  </si>
  <si>
    <t>tests/AlarmManager/src/android/alarmmanager/cts/ExactAlarmsTest.java</t>
  </si>
  <si>
    <t>tests/tests/time/src/android/time/cts/TimeManagerTest.java</t>
  </si>
  <si>
    <t>tests/tests/telephony/current/src/android/telephony/ims/cts/TestSipDelegate.java</t>
  </si>
  <si>
    <t>tests/tests/telephony/current/src/android/telephony/ims/cts/TestSipDelegateConnection.java</t>
  </si>
  <si>
    <t>tests/tests/wifi/src/android/net/wifi/cts/CoexUnsafeChannelTest.java</t>
  </si>
  <si>
    <t>tests/tests/os/src/android/os/cts/CombinedVibrationEffectTest.java</t>
  </si>
  <si>
    <t>tests/tests/view/src/android/view/cts/input/InputDeviceVibratorManagerTest.java</t>
  </si>
  <si>
    <t>hostsidetests/appsearch/test-apps/AppSearchHostTestHelper/src/android/appsearch/app/UserDataTest.java</t>
  </si>
  <si>
    <t>hostsidetests/scopedstorage/signature/src/android/scopedstorage/cts/signature/SignatureStorageTest.java</t>
  </si>
  <si>
    <t>tests/tests/carrierapi/src/android/carrierapi/cts/ApnDatabaseTest.java</t>
  </si>
  <si>
    <t>tests/tests/carrierapi/src/android/carrierapi/cts/NetworkScanApiTest.java</t>
  </si>
  <si>
    <t>tests/tests/media/src/android/media/cts/PlaybackStateTest.java</t>
  </si>
  <si>
    <t>tests/tests/permission/src/android/permission/cts/NfcPermissionTest.java</t>
  </si>
  <si>
    <t>tests/autofillservice/src/android/autofillservice/cts/inline/InlineAugmentedContentTest.java</t>
  </si>
  <si>
    <t>hostsidetests/appsearch/src/android/appsearch/cts/AppSearchMultiUserTestBase.java</t>
  </si>
  <si>
    <t>hostsidetests/appsearch/test-apps/AppSearchHostTestHelperA/src/android/appsearch/app/a/AppSearchDeviceTest.java</t>
  </si>
  <si>
    <t>hostsidetests/appsearch/test-apps/AppSearchHostTestHelperB/src/android/appsearch/app/b/AppSearchDeviceTest.java</t>
  </si>
  <si>
    <t>tests/tests/wifi/src/android/net/wifi/nl80211/cts/WifiNl80211ManagerTest.java</t>
  </si>
  <si>
    <t>tests/tests/graphics/src/android/graphics/fonts/SystemFontsUniqueNameTest.java</t>
  </si>
  <si>
    <t>tests/tests/permission/src/android/permission/cts/NearbyDevicesPermissionTest.java</t>
  </si>
  <si>
    <t>tests/signature/tests/src/android/signature/cts/tests/AbstractApiCheckerTest.java</t>
  </si>
  <si>
    <t>hostsidetests/packagemanager/multiuser/src/com/android/tests/packagemanager/multiuser/host/UninstallExistingPackageTest.java</t>
  </si>
  <si>
    <t>tests/media/src/android/mediav2/cts/CodecEncoderSurfaceTest.java</t>
  </si>
  <si>
    <t>tests/appsearch/src/com/android/cts/appsearch/external/SearchSpecCtsTest.java</t>
  </si>
  <si>
    <t>tests/uwb/src/android/uwb/cts/UwbManagerTest.java</t>
  </si>
  <si>
    <t>tests/MediaProviderTranscode/src/android/mediaprovidertranscode/cts/TranscodeTest.java</t>
  </si>
  <si>
    <t>tools/cts-tradefed/tests/src/com/android/compatibility/common/tradefed/presubmit/DupFileTest.java</t>
  </si>
  <si>
    <t>hostsidetests/devicepolicy/app/DeviceAndProfileOwner/src/com/android/cts/deviceandprofileowner/NearbyAppStreamingPolicyTest.java</t>
  </si>
  <si>
    <t>hostsidetests/devicepolicy/app/DeviceAndProfileOwner/src/com/android/cts/deviceandprofileowner/NearbyNotificationStreamingPolicyTest.java</t>
  </si>
  <si>
    <t>hostsidetests/devicepolicy/app/DeviceOwner/src/com/android/cts/deviceowner/SetLocationEnabledTest.java</t>
  </si>
  <si>
    <t>common/device-side/bedstead/remotedpc/src/library/test/java/com/android/bedstead/remotedpc/RemoteDpcTest.java</t>
  </si>
  <si>
    <t>hostsidetests/incident/src/com/android/server/cts/JobSchedulerIncidentTest.java</t>
  </si>
  <si>
    <t>hostsidetests/incident/src/com/android/server/cts/NotificationIncidentTest.java</t>
  </si>
  <si>
    <t>hostsidetests/media/src/android/media/cts/MediaExtractorHostSideTest.java</t>
  </si>
  <si>
    <t>hostsidetests/appcompat/compatchanges/app/src/com/android/cts/appcompat/compatchanges/CompatChangesTest.java</t>
  </si>
  <si>
    <t>hostsidetests/appcompat/compatchanges/src/com/android/cts/appcompat/CompatChangesOverrideOnReleaseBuildTest.java</t>
  </si>
  <si>
    <t>tests/translation/src/android/translation/cts/UiTranslationManagerTest.java</t>
  </si>
  <si>
    <t>hostsidetests/car/src/android/car/cts/PowerPolicyHostTest.java</t>
  </si>
  <si>
    <t>hostsidetests/devicepolicy/app/DeviceOwner/src/com/android/cts/deviceowner/WifiConfigLockdownTest.java</t>
  </si>
  <si>
    <t>hostsidetests/scopedstorage/device/src/android/scopedstorage/cts/device/BypassDatabaseOperationsTest.java</t>
  </si>
  <si>
    <t>tests/tests/view/src/android/view/cts/ViewRootSyncTest.java</t>
  </si>
  <si>
    <t>tests/media/src/android/mediav2/cts/CodecDecoderValidationTest.java</t>
  </si>
  <si>
    <t>tests/tests/appwidget/src/android/appwidget/cts/AppWidgetDimensionsTest.java</t>
  </si>
  <si>
    <t>common/device-side/bedstead/nene/src/test/java/com/android/bedstead/nene/permissions/PermissionsTest.java</t>
  </si>
  <si>
    <t>hostsidetests/appsearch/src/android/appsearch/cts/AppSearchPackageTestBase.java</t>
  </si>
  <si>
    <t>hostsidetests/devicepolicy/app/ManagedProfile/src/com/android/cts/managedprofile/BluetoothTest.java</t>
  </si>
  <si>
    <t>common/device-side/bedstead/nene/src/test/java/com/android/bedstead/nene/devicepolicy/DevicePolicyTest.java</t>
  </si>
  <si>
    <t>hostsidetests/dexmetadata/host/src/com/android/cts/dexmetadata/InstallDexMetadataHostTest.java</t>
  </si>
  <si>
    <t>tests/autofillservice/src/android/autofillservice/cts/client/ClientSuggestionsInlineTest.java</t>
  </si>
  <si>
    <t>hostsidetests/devicepolicy/app/DelegateApp/src/com/android/cts/delegate/WorkProfileSecurityLoggingDelegateTest.java</t>
  </si>
  <si>
    <t>tests/tests/telephony/current/permissions/src/android/telephony/cts/telephonypermission/TelephonyManagerReadPhoneStatePermissionTest.java</t>
  </si>
  <si>
    <t>tests/tests/voiceinteraction/src/android/voiceinteraction/cts/HotwordDetectionServiceBasicTest.java</t>
  </si>
  <si>
    <t>tests/tests/content/src/android/content/pm/cts/ResourcesHardeningTest.java</t>
  </si>
  <si>
    <t>hostsidetests/blobstore/src/com/android/cts/host/blob/BlobStoreMultiUserTest.java</t>
  </si>
  <si>
    <t>hostsidetests/hdmicec/src/android/hdmicec/cts/BaseHdmiCecCtsTest.java</t>
  </si>
  <si>
    <t>hostsidetests/car/src/android/car/cts/powerpolicy/TestResultTable.java</t>
  </si>
  <si>
    <t>hostsidetests/statsdatom/src/android/cts/statsdatom/net/BytesTransferredTest.java</t>
  </si>
  <si>
    <t>common/device-side/bedstead/testapp/src/main/library/java/com/android/bedstead/testapp/TestAppActivityReference.java</t>
  </si>
  <si>
    <t>tests/tests/selinux/selinuxEphemeral/src/android/security/SELinuxTargetSdkTest.java</t>
  </si>
  <si>
    <t>hostsidetests/devicepolicy/app/DelegateApp/src/com/android/cts/delegate/BlockUninstallDelegateTest.java</t>
  </si>
  <si>
    <t>hostsidetests/devicepolicy/app/DelegateApp/src/com/android/cts/delegate/CertInstallDelegateTest.java</t>
  </si>
  <si>
    <t>hostsidetests/devicepolicy/app/DelegateApp/src/com/android/cts/delegate/EnableSystemAppDelegateTest.java</t>
  </si>
  <si>
    <t>hostsidetests/devicepolicy/app/DelegateApp/src/com/android/cts/delegate/GeneralDelegateTest.java</t>
  </si>
  <si>
    <t>hostsidetests/devicepolicy/app/DelegateApp/src/com/android/cts/delegate/PackageAccessDelegateTest.java</t>
  </si>
  <si>
    <t>hostsidetests/devicepolicy/app/DelegateApp/src/com/android/cts/delegate/PermissionGrantDelegateTest.java</t>
  </si>
  <si>
    <t>tests/tests/content/src/android/content/wm/cts/ContextIsUiContextTest.java</t>
  </si>
  <si>
    <t>tests/devicepolicy/src/android/devicepolicy/cts/LockTaskTest.java</t>
  </si>
  <si>
    <t>common/device-side/bedstead/testapp/src/main/library/java/com/android/bedstead/testapp/TestAppBroadcastReceiverReference.java</t>
  </si>
  <si>
    <t>common/device-side/bedstead/testapp/src/main/library/java/com/android/bedstead/testapp/TestAppInstanceReference.java</t>
  </si>
  <si>
    <t>common/device-side/bedstead/testapp/src/main/library/java/com/android/bedstead/testapp/TestAppQueryBuilder.java</t>
  </si>
  <si>
    <t>tests/appsearch/src/com/android/cts/appsearch/external/app/GenericDocumentCtsTest.java</t>
  </si>
  <si>
    <t>tests/tests/settings/src/android/settings/cts/SettingsHandlerTest.java</t>
  </si>
  <si>
    <t>common/device-side/bedstead/eventlib/src/test/java/com/android/eventlib/events/activities/ActivityCreatedEventTest.java</t>
  </si>
  <si>
    <t>common/device-side/bedstead/eventlib/src/test/java/com/android/eventlib/events/activities/ActivityDestroyedEventTest.java</t>
  </si>
  <si>
    <t>common/device-side/bedstead/eventlib/src/test/java/com/android/eventlib/events/activities/ActivityPausedEventTest.java</t>
  </si>
  <si>
    <t>common/device-side/bedstead/eventlib/src/test/java/com/android/eventlib/events/activities/ActivityRestartedEventTest.java</t>
  </si>
  <si>
    <t>common/device-side/bedstead/eventlib/src/test/java/com/android/eventlib/events/activities/ActivityResumedEventTest.java</t>
  </si>
  <si>
    <t>common/device-side/bedstead/eventlib/src/test/java/com/android/eventlib/events/activities/ActivityStartedEventTest.java</t>
  </si>
  <si>
    <t>common/device-side/bedstead/eventlib/src/test/java/com/android/eventlib/events/activities/ActivityStoppedEventTest.java</t>
  </si>
  <si>
    <t>common/device-side/bedstead/queryable/src/test/java/com/android/queryable/info/ActivityInfoTest.java</t>
  </si>
  <si>
    <t>common/device-side/bedstead/queryable/src/test/java/com/android/queryable/queries/ActivityQueryHelperTest.java</t>
  </si>
  <si>
    <t>common/device-side/bedstead/testapp/src/main/library/java/com/android/bedstead/testapp/TestAppActivities.java</t>
  </si>
  <si>
    <t>tests/mediapc/src/android/mediapc/cts/AdaptivePlaybackFrameDropTest.java</t>
  </si>
  <si>
    <t>tests/mediapc/src/android/mediapc/cts/FrameDropTest.java</t>
  </si>
  <si>
    <t>tests/mediapc/src/android/mediapc/cts/MultiTranscoderPairPerfTest.java</t>
  </si>
  <si>
    <t>tests/tests/time/src/android/app/time/cts/TimeManagerTest.java</t>
  </si>
  <si>
    <t>hostsidetests/packagemanager/installedloadingprogess/hostside/src/com/android/tests/loadingprogress/host/IncrementalLoadingProgressTest.java</t>
  </si>
  <si>
    <t>tests/video/src/android/video/cts/CodecDecoderPerformanceTest.java</t>
  </si>
  <si>
    <t>tests/video/src/android/video/cts/CodecEncoderPerformanceTest.java</t>
  </si>
  <si>
    <t>tests/tests/permission/src/android/permission/cts/NearbyDevicesRenouncePermissionTest.java</t>
  </si>
  <si>
    <t>tests/JobScheduler/src/android/jobscheduler/cts/JobWorkItemTest.java</t>
  </si>
  <si>
    <t>common/device-side/bedstead/queryable/src/test/java/com/android/queryable/queries/SetQueryHelperTest.java</t>
  </si>
  <si>
    <t>hostsidetests/packagemanager/boottest/src/android/packagemanager/boot/cts/BootTest.java</t>
  </si>
  <si>
    <t>tests/tests/openglperf/src/android/openglperf/cts/GlVboPerfTest.java</t>
  </si>
  <si>
    <t>tests/tests/voiceinteraction/src/android/voiceinteraction/cts/HotwordRejectedResultTest.java</t>
  </si>
  <si>
    <t>tests/tests/selinux/selinuxTargetSdk30/src/android/security/SELinuxTargetSdkTest.java</t>
  </si>
  <si>
    <t>tests/tests/appenumeration/app/source/src/android/appenumeration/cts/query/TestActivity.java</t>
  </si>
  <si>
    <t>tests/inputmethod/src/android/view/inputmethod/cts/InputConnectionBlockingMethodTest.java</t>
  </si>
  <si>
    <t>hostsidetests/sample/src/android/sample/cts/SampleHostResultTest.java</t>
  </si>
  <si>
    <t>tests/inputmethod/src/android/view/inputmethod/cts/ImeInsetsVisibilityTest.java</t>
  </si>
  <si>
    <t>hostsidetests/devicepolicy/app/IntentSender/src/com/android/cts/intent/sender/SuspendPackageTest.java</t>
  </si>
  <si>
    <t>hostsidetests/appsearch/src/android/appsearch/cts/AppSearchMultiUserTest.java</t>
  </si>
  <si>
    <t>tests/tests/keystore/src/android/keystore/cts/AttestKeyTest.java</t>
  </si>
  <si>
    <t>hostsidetests/devicepolicy/app/SeparateProfileChallenge/src/com/android/cts/separateprofilechallenge/SeparateProfileChallengePermissionsTest.java</t>
  </si>
  <si>
    <t>hostsidetests/devicepolicy/src/com/android/cts/devicepolicy/SeparateProfileChallengeTest.java</t>
  </si>
  <si>
    <t>hostsidetests/mediaparser/src/android/media/mediaparser/cts/MediaParserHostSideTest.java</t>
  </si>
  <si>
    <t>hostsidetests/devicepolicy/app/ManagedProfile/src/com/android/cts/managedprofile/RingtoneSyncTest.java</t>
  </si>
  <si>
    <t>hostsidetests/devicepolicy/src/com/android/cts/devicepolicy/ManagedProfileRingtoneTest.java</t>
  </si>
  <si>
    <t>hostsidetests/backup/restoresessionapp3/src/android/cts/backup/restoresessionapp3/RestoreSessionAppTest.java</t>
  </si>
  <si>
    <t>tests/rollback/src/com/android/cts/rollback/RollbackManagerTest.java</t>
  </si>
  <si>
    <t>tests/devicepolicy/src/android/devicepolicy/cts/ApplicationRestrictionsTest.java</t>
  </si>
  <si>
    <t>tests/devicepolicy/src/android/devicepolicy/cts/RingtoneTest.java</t>
  </si>
  <si>
    <t>hostsidetests/devicepolicy/app/DeviceAndProfileOwner/src/com/android/cts/deviceandprofileowner/SupportMessageTest.java</t>
  </si>
  <si>
    <t>tests/framework/base/windowmanager/src/android/server/wm/TaskFragmentOrganizerTest.java</t>
  </si>
  <si>
    <t>tests/tests/view/src/android/view/cts/input/InputEventTest.java</t>
  </si>
  <si>
    <t>hostsidetests/appcompat/compatchanges/src/com/android/cts/appcompat/AppCompatOverridesServiceTest.java</t>
  </si>
  <si>
    <t>tests/tests/tv/src/android/media/tv/tuner/cts/TunerFrontendTest.java</t>
  </si>
  <si>
    <t>tests/tests/car/src/android/car/cts/VehicleGearTest.java</t>
  </si>
  <si>
    <t>tests/tests/car/src/android/car/cts/VehiclePropertyIdsTest.java</t>
  </si>
  <si>
    <t>tests/location/location_none/src/android/location/cts/none/LocationTest.java</t>
  </si>
  <si>
    <t>tests/tests/media/src/android/media/cts/AudioTrackSurroundTest.java</t>
  </si>
  <si>
    <t>tests/PhotoPicker/src/android/photopicker/cts/PhotoPickerTest.java</t>
  </si>
  <si>
    <t>hostsidetests/devicepolicy/app/DeviceOwner/src/com/android/cts/deviceowner/DefaultSmsApplicationTest.java</t>
  </si>
  <si>
    <t>hostsidetests/car/src/android/car/cts/CarWatchdogHostTest.java</t>
  </si>
  <si>
    <t>hostsidetests/devicepolicy/app/ManagedProfile/src/com/android/cts/managedprofile/DisallowSharingIntoProfileTest.java</t>
  </si>
  <si>
    <t>hostsidetests/devicepolicy/app/DeviceAndProfileOwner/src/com/android/cts/deviceandprofileowner/EnrollmentSpecificIdTest.java</t>
  </si>
  <si>
    <t>hostsidetests/devicepolicy/app/DeviceAndProfileOwner/src/com/android/cts/deviceandprofileowner/AllowedAccountManagementTest.java</t>
  </si>
  <si>
    <t>tests/devicepolicy/src/android/devicepolicy/cts/CrossProfileSharingTest.java</t>
  </si>
  <si>
    <t>hostsidetests/userspacereboot/testapps/BasicTestApp/src/com/android/cts/userspacereboot/basic/BasicUserspaceRebootTest.java</t>
  </si>
  <si>
    <t>tests/tests/media/src/android/media/cts/VideoEditorTest.java</t>
  </si>
  <si>
    <t>hostsidetests/devicepolicy/app/AccountManagement/src/com/android/cts/devicepolicy/accountmanagement/AccountUtilsTest.java</t>
  </si>
  <si>
    <t>hostsidetests/securitybulletin/test-apps/CVE-2021-0586/src/android/security/cts/CVE_2021_0586/DeviceTest.java</t>
  </si>
  <si>
    <t>hostsidetests/edi/app/src/android/edi/cts/app/ClasspathDeviceTest.java</t>
  </si>
  <si>
    <t>tests/tests/graphics/src/android/graphics/cts/MatchContentFrameRateTest.java</t>
  </si>
  <si>
    <t>hostsidetests/hdmicec/src/android/hdmicec/cts/playback/HdmiCecStartupTest.java</t>
  </si>
  <si>
    <t>tests/app/src/android/app/cts/WallpaperInfoTest.java</t>
  </si>
  <si>
    <t>tests/app/app/src/android/app/stubs/TestTileService.java</t>
  </si>
  <si>
    <t>tests/tests/identity/src/android/security/identity/cts/HkdfTest.java</t>
  </si>
  <si>
    <t>common/device-side/bedstead/nene/src/test/java/com/android/bedstead/nene/packages/PackagesTest.java</t>
  </si>
  <si>
    <t>common/device-side/bedstead/nene/src/test/java/com/android/bedstead/nene/devicepolicy/ProfileOwnerTest.java</t>
  </si>
  <si>
    <t>common/device-side/bedstead/remotedpc/src/test/java/com/android/bedstead/remotedpc/RemoteDpcTest.java</t>
  </si>
  <si>
    <t>tests/tests/contactsprovider/src/android/provider/cts/contacts/ContactsContract_RawContactsTest.java</t>
  </si>
  <si>
    <t>tests/tests/graphics/src/android/graphics/cts/SystemPalette.java</t>
  </si>
  <si>
    <t>hostsidetests/hdmicec/src/android/hdmicec/cts/common/HdmiCecSystemStandbyTest.java</t>
  </si>
  <si>
    <t>tests/inputmethod/src/android/view/inputmethod/cts/PackageVisibilityTest.java</t>
  </si>
  <si>
    <t>tests/tests/view/src/android/view/cts/AttachedSurfaceControlTest.java</t>
  </si>
  <si>
    <t>hostsidetests/hdmicec/src/android/hdmicec/cts/playback/HdmiCecOneTouchPlayTest.java</t>
  </si>
  <si>
    <t>tests/tests/keystore/src/android/keystore/cts/performance/RsaKeyGenPerformanceTest.java</t>
  </si>
  <si>
    <t>tests/tests/os/src/android/os/cts/AbiTest.java</t>
  </si>
  <si>
    <t>hostsidetests/hdmicec/src/android/hdmicec/cts/tv/HdmiCecTvStandbyTest.java</t>
  </si>
  <si>
    <t>common/device-side/bedstead/testapp/src/library/main/java/com/android/bedstead/testapp/TestApp.java</t>
  </si>
  <si>
    <t>common/device-side/bedstead/testapp/src/test/java/com/android/bedstead/testapp/TestAppTest.java</t>
  </si>
  <si>
    <t>tests/devicepolicy/src/android/devicepolicy/cts/DeviceOwnerPrerequisitesTest.java</t>
  </si>
  <si>
    <t>tests/devicepolicy/src/android/devicepolicy/cts/UserControlDisabledPackagesTest.java</t>
  </si>
  <si>
    <t>common/device-side/bedstead/nene/src/test/java/com/android/bedstead/nene/devicepolicy/DeviceOwnerTest.java</t>
  </si>
  <si>
    <t>tests/framework/base/windowmanager/jetpack/src/android/server/wm/jetpack/ExtensionTest.java</t>
  </si>
  <si>
    <t>tests/framework/base/windowmanager/jetpack/src/android/server/wm/jetpack/TestGetWindowLayoutInfoActivity.java</t>
  </si>
  <si>
    <t>tests/framework/base/windowmanager/jetpack/src/android/server/wm/jetpack/utils/wrapper/extensionwrapperimpl/TestExtensionCompat.java</t>
  </si>
  <si>
    <t>tests/framework/base/windowmanager/jetpack/src/android/server/wm/jetpack/utils/wrapper/extensionwrapperimpl/TestExtensionDeviceState.java</t>
  </si>
  <si>
    <t>tests/framework/base/windowmanager/jetpack/src/android/server/wm/jetpack/utils/wrapper/extensionwrapperimpl/TestExtensionDisplayFeature.java</t>
  </si>
  <si>
    <t>tests/framework/base/windowmanager/jetpack/src/android/server/wm/jetpack/utils/wrapper/extensionwrapperimpl/TestExtensionWindowLayoutInfo.java</t>
  </si>
  <si>
    <t>tests/framework/base/windowmanager/jetpack/src/android/server/wm/jetpack/utils/wrapper/sidecarwrapperimpl/TestSidecarCompat.java</t>
  </si>
  <si>
    <t>tests/framework/base/windowmanager/jetpack/src/android/server/wm/jetpack/utils/wrapper/sidecarwrapperimpl/TestSidecarDeviceState.java</t>
  </si>
  <si>
    <t>tests/framework/base/windowmanager/jetpack/src/android/server/wm/jetpack/utils/wrapper/sidecarwrapperimpl/TestSidecarDisplayFeature.java</t>
  </si>
  <si>
    <t>tests/framework/base/windowmanager/jetpack/src/android/server/wm/jetpack/utils/wrapper/sidecarwrapperimpl/TestSidecarWindowLayoutInfo.java</t>
  </si>
  <si>
    <t>tests/tests/mediatranscoding/src/android/media/mediatranscoding/cts/MediaTranscodingManagerTest.java</t>
  </si>
  <si>
    <t>common/device-side/bedstead/queryable/src/test/java/com/android/queryable/queries/ListQueryHelperTest.java</t>
  </si>
  <si>
    <t>tests/app/src/android/app/cts/ActivityOptionsTest.java</t>
  </si>
  <si>
    <t>tests/app/src/android/app/cts/BroadcastOptionsTest.java</t>
  </si>
  <si>
    <t>tests/framework/base/windowmanager/jetpack/src/android/server/wm/jetpack/utils/TestWindowLayoutInfoConsumer.java</t>
  </si>
  <si>
    <t>common/device-side/bedstead/nene/src/test/java/com/android/bedstead/nene/packages/PackageTest.java</t>
  </si>
  <si>
    <t>common/device-side/bedstead/testapp/src/library/main/java/com/android/bedstead/testapp/TestAppInstanceReference.java</t>
  </si>
  <si>
    <t>common/device-side/bedstead/testapp/src/test/java/com/android/bedstead/testapp/TestAppInstanceReferenceTest.java</t>
  </si>
  <si>
    <t>tests/framework/base/windowmanager/jetpack/src/android/server/wm/jetpack/utils/TestFirstValueConsumer.java</t>
  </si>
  <si>
    <t>tests/tests/opengl/src/android/opengl/cts/OpenGlEsVersionTest.java</t>
  </si>
  <si>
    <t>common/device-side/bedstead/testapp/src/library/main/java/com/android/bedstead/testapp/TestAppActivity.java</t>
  </si>
  <si>
    <t>common/device-side/bedstead/testapp/src/test/java/com/android/bedstead/testapp/TestAppActivitiesTest.java</t>
  </si>
  <si>
    <t>hostsidetests/devicepolicy/app/DeviceAndProfileOwner/src/com/android/cts/deviceandprofileowner/CaCertManagementTest.java</t>
  </si>
  <si>
    <t>tests/devicepolicy/src/android/devicepolicy/cts/CaCertManagementTest.java</t>
  </si>
  <si>
    <t>hostsidetests/devicepolicy/app/DelegateApp/src/com/android/cts/delegate/AppRestrictionsDelegateTest.java</t>
  </si>
  <si>
    <t>tests/ProcessTest/src/com/android/cts/process/ProcessTest.java</t>
  </si>
  <si>
    <t>tests/accessibilityservice/src/android/accessibilityservice/cts/TouchInteractionControllerTest.java</t>
  </si>
  <si>
    <t>tests/tests/telephony/current/src/android/telephony/cts/AvailableNetworkInfoTest.java</t>
  </si>
  <si>
    <t>tests/uwb/src/android/uwb/cts/RangingSessionTest.java</t>
  </si>
  <si>
    <t>tests/tests/graphics/src/android/graphics/cts/SystemPaletteTest.java</t>
  </si>
  <si>
    <t>hostsidetests/webkit/app/src/com/android/cts/webkit/WebViewDeviceSideStartupTest.java</t>
  </si>
  <si>
    <t>tests/tests/widget/src/android/widget/cts/RemoteViewsFixedCollectionAdapterTest.java</t>
  </si>
  <si>
    <t>tests/tests/telephony/current/src/android/telephony/cts/TestMockModemService.java</t>
  </si>
  <si>
    <t>tests/signature/tests/src/android/signature/cts/tests/AnnotationCheckerTest.java</t>
  </si>
  <si>
    <t>hostsidetests/scopedstorage/device/src/android/scopedstorage/cts/device/RedactUriDeviceTest.java</t>
  </si>
  <si>
    <t>tests/devicepolicy/src/android/devicepolicy/cts/DeprecatedPasswordAPIsTest.java</t>
  </si>
  <si>
    <t>common/device-side/bedstead/eventlib/src/test/java/com/android/eventlib/premade/EventLibAppComponentFactoryTest.java</t>
  </si>
  <si>
    <t>common/device-side/bedstead/eventlib/src/test/java/com/android/eventlib/premade/EventLibServiceTest.java</t>
  </si>
  <si>
    <t>common/device-side/bedstead/testapp/src/library/main/java/com/android/bedstead/testapp/TestAppEvents.java</t>
  </si>
  <si>
    <t>common/device-side/bedstead/testapp/src/test/java/com/android/bedstead/testapp/TestAppAppComponentFactoryTest.java</t>
  </si>
  <si>
    <t>tests/tests/text/src/android/text/style/cts/StyleSpanTest.java</t>
  </si>
  <si>
    <t>hostsidetests/incident/src/com/android/server/cts/PackageIncidentTest.java</t>
  </si>
  <si>
    <t>tests/location/location_none/src/android/location/cts/none/GnssMeasurementRequestTest.java</t>
  </si>
  <si>
    <t>tests/inputmethod/src/android/view/inputmethod/cts/InputMethodStartInputLifecycleTest.java</t>
  </si>
  <si>
    <t>tests/tests/multiuser/src/android/multiuser/cts/UserManagerTest.java</t>
  </si>
  <si>
    <t>tests/tests/telephony/current/src/android/telephony/cts/VisualVoicemailServiceTest.java</t>
  </si>
  <si>
    <t>tests/tests/webkit/src/android/webkit/cts/TestProcessClient.java</t>
  </si>
  <si>
    <t>tests/tests/webkit/src/android/webkit/cts/TestProcessService.java</t>
  </si>
  <si>
    <t>tests/tests/bluetooth/src/android/bluetooth/cts/AdvertisingSetTest.java</t>
  </si>
  <si>
    <t>tests/tests/media/audio/src/android/media/audio/cts/AudioPlaybackCaptureTest.java</t>
  </si>
  <si>
    <t>tests/tests/media/audio/src/android/media/audio/cts/AudioTrackTest.java</t>
  </si>
  <si>
    <t>tests/tests/media/audio/src/android/media/audio/cts/VolumeShaperTest.java</t>
  </si>
  <si>
    <t>hostsidetests/hdmicec/src/android/hdmicec/cts/playback/HdmiCecRoutingControlTest.java</t>
  </si>
  <si>
    <t>hostsidetests/hdmicec/src/android/hdmicec/cts/playback/HdmiCecTvPowerToggleTest.java</t>
  </si>
  <si>
    <t>tests/tests/media/muxer/src/android/media/muxer/cts/MediaMuxerTest.java</t>
  </si>
  <si>
    <t>hostsidetests/devicepolicy/app/DeviceAndProfileOwner/src/com/android/cts/deviceandprofileowner/SecurityLoggingTest.java</t>
  </si>
  <si>
    <t>tests/app/src/android/app/communal/cts/CommunalManagerTest.java</t>
  </si>
  <si>
    <t>hostsidetests/packagemanager/codepath/src/com/android/tests/codepath/host/CodePathTest.java</t>
  </si>
  <si>
    <t>hostsidetests/packagemanager/codepath/app/src/com/android/tests/codepath/app/CodePathDeviceTest.java</t>
  </si>
  <si>
    <t>tests/tests/provider/src/android/provider/cts/media/MediaStorePlacementTest.java</t>
  </si>
  <si>
    <t>hostsidetests/multidevice/src/android/sample/cts/SampleMultiDeviceTest.java</t>
  </si>
  <si>
    <t>tests/tests/text/src/android/text/cts/BoringLayoutFallbackLineSpacingTest.java</t>
  </si>
  <si>
    <t>tests/tests/text/src/android/text/cts/FallbackLineSpacingTest.java</t>
  </si>
  <si>
    <t>tests/inputmethod/src/android/view/inputmethod/cts/StylusHandwritingTest.java</t>
  </si>
  <si>
    <t>tests/location/location_fine/src/android/location/cts/fine/GeocoderTest.java</t>
  </si>
  <si>
    <t>tests/tests/telephony/current/src/android/telephony/ims/cts/TestImsService.java</t>
  </si>
  <si>
    <t>tests/tests/tv/src/android/media/tv/interactive/cts/TvIAppViewTest.java</t>
  </si>
  <si>
    <t>tests/tests/app.usage/src/android/app/usage/cts/TestJob.java</t>
  </si>
  <si>
    <t>hostsidetests/multiuser/src/android/host/multiuser/EphemeralTest.java</t>
  </si>
  <si>
    <t>tests/tests/media/src/android/media/cts/SpatializerTest.java</t>
  </si>
  <si>
    <t>tests/tests/media/decoder/src/android/media/decoder/cts/ImageReaderDecoderTest.java</t>
  </si>
  <si>
    <t>hostsidetests/appcloning/hostside/src/com/android/cts/appcloning/AppCloningHostTest.java</t>
  </si>
  <si>
    <t>tests/tests/car_builtin/src/android/car/cts/builtin/util/SlogfTest.java</t>
  </si>
  <si>
    <t>tests/tests/permission/src/android/permission/cts/SelfRevokeRuntimePermissionTest.java</t>
  </si>
  <si>
    <t>tests/tests/permission/src/android/permission/cts/RevokeOwnPermissionTest.java</t>
  </si>
  <si>
    <t>tests/tests/tv/src/android/media/tv/interactive/cts/TvInteractiveAppViewTest.java</t>
  </si>
  <si>
    <t>tests/tests/car_builtin/src/android/car/cts/builtin/util/EventLogHelperTest.java</t>
  </si>
  <si>
    <t>tests/tests/media/extractor/src/android/media/extractor/cts/MediaExtractorTest.java</t>
  </si>
  <si>
    <t>tests/tests/tv/src/android/media/tv/interactive/cts/TvInteractiveAppServiceTest.java</t>
  </si>
  <si>
    <t>tests/tests/wifi/src/android/net/wifi/cts/WifiSsidTest.java</t>
  </si>
  <si>
    <t>tests/tests/app.usage/TestApp1/src/android/app/usage/cts/test1/TestService.java</t>
  </si>
  <si>
    <t>tests/tests/bluetooth/src/android/bluetooth/cts/BluetoothHapClientTest.java</t>
  </si>
  <si>
    <t>tests/tests/uidmigration/src/android/uidmigration/cts/SharedUserMigrationTest.java</t>
  </si>
  <si>
    <t>tests/tests/multiuser/src/android/multiuser/cts/NewUserRequestTest.java</t>
  </si>
  <si>
    <t>hostsidetests/hdmicec/src/android/hdmicec/cts/playback/HdmiCecDeviceSelectForPlaybackTest.java</t>
  </si>
  <si>
    <t>tests/tests/view/src/android/view/cts/OnBackInvokedDispatcherTest.java</t>
  </si>
  <si>
    <t>tests/tests/car_builtin/src/android/car/cts/builtin/os/UserManagerHelperTest.java</t>
  </si>
  <si>
    <t>hostsidetests/devicepolicy/app/CrossProfileTestApps/CrossProfileAppsTest/src/com/android/cts/crossprofileappstest/CrossProfileAppsNonTargetUserTest.java</t>
  </si>
  <si>
    <t>hostsidetests/devicepolicy/app/CrossProfileTestApps/CrossProfileAppsTest/src/com/android/cts/crossprofileappstest/CrossProfileAppsTargetUserTest.java</t>
  </si>
  <si>
    <t>tests/app/src/android/app/cts/ActivityDumpTest.java</t>
  </si>
  <si>
    <t>tests/tests/virtualdevice/src/android/virtualdevice/cts/ActivityBlockingTest.java</t>
  </si>
  <si>
    <t>tests/tests/car/src/android/car/cts/CarServiceHelperServiceUpdatableTest.java</t>
  </si>
  <si>
    <t>tests/tests/wifi/src/android/net/wifi/cts/WifiHotspot2Test.java</t>
  </si>
  <si>
    <t>tests/tests/gameservice/CtsGameServiceTestApp/src/android/service/games/cts/app/TestGameSessionService.java</t>
  </si>
  <si>
    <t>tests/tests/voiceRecognition/src/android/voicerecognition/cts/AbstractRecognitionServiceTest.java</t>
  </si>
  <si>
    <t>tests/tests/telecom/src/android/telecom/cts/CallEndpointSessionTest.java</t>
  </si>
  <si>
    <t>tests/signature/api-check/with-dynamic-config/src/java/android/signature/cts/api/dynamic/DynamicConfigHiddenApiTest.java</t>
  </si>
  <si>
    <t>tests/signature/api-check/with-dynamic-config/src/java/android/signature/cts/api/dynamic/DynamicConfigSignatureTest.java</t>
  </si>
  <si>
    <t>hostsidetests/adbmanager/src/android/adbmanager/cts/AdbManagerHostDeviceTest.java</t>
  </si>
  <si>
    <t>hostsidetests/devicepolicy/app/DeviceOwner/src/com/android/cts/deviceowner/DeviceOwnerSetupTest.java</t>
  </si>
  <si>
    <t>tests/attentionservice/src/android/attentionservice/cts/CtsAttentionServiceDeviceTest.java</t>
  </si>
  <si>
    <t>tests/tests/gamemanager/src/android/gamemanager/cts/GameManagerTest.java</t>
  </si>
  <si>
    <t>tests/PhotoPicker/src/android/photopicker/cts/RemoteVideoPreviewTest.java</t>
  </si>
  <si>
    <t>tests/tests/media/decoder/src/android/media/decoder/cts/AdaptivePlaybackTest.java</t>
  </si>
  <si>
    <t>tests/tests/media/encoder/src/android/media/encoder/cts/EncoderTest.java</t>
  </si>
  <si>
    <t>tests/tests/media/codec/src/android/media/codec/cts/EncodeDecodeTest.java</t>
  </si>
  <si>
    <t>tests/tests/media/encoder/src/android/media/encoder/cts/VideoEncoderTest.java</t>
  </si>
  <si>
    <t>tests/smartspace/src/android/smartspace/cts/SmartspaceDefaultUiTemplateDataTest.java</t>
  </si>
  <si>
    <t>tests/smartspace/src/android/smartspace/cts/SmartspaceCarouselUiTemplateDataTest.java</t>
  </si>
  <si>
    <t>tests/smartspace/src/android/smartspace/cts/SmartspaceCombinedCardsUiTemplateDataTest.java</t>
  </si>
  <si>
    <t>tests/smartspace/src/android/smartspace/cts/SmartspaceIconTest.java</t>
  </si>
  <si>
    <t>tests/smartspace/src/android/smartspace/cts/SmartspaceHeadToHeadUiTemplateDataTest.java</t>
  </si>
  <si>
    <t>tests/smartspace/src/android/smartspace/cts/SmartspaceTextTest.java</t>
  </si>
  <si>
    <t>tests/smartspace/src/android/smartspace/cts/SmartspaceSubCardUiTemplateDataTest.java</t>
  </si>
  <si>
    <t>tests/smartspace/src/android/smartspace/cts/SmartspaceSubImageUiTemplateDataTest.java</t>
  </si>
  <si>
    <t>tests/smartspace/src/android/smartspace/cts/SmartspaceSubListUiTemplateDataTest.java</t>
  </si>
  <si>
    <t>tests/smartspace/src/android/smartspace/cts/SmartspaceTapActionTest.java</t>
  </si>
  <si>
    <t>tests/tests/gameservice/src/android/service/games/GameServiceTest.java</t>
  </si>
  <si>
    <t>tests/tests/os/src/android/os/cts/LowPowerStandbyTest.java</t>
  </si>
  <si>
    <t>tests/tests/media/decoder/src/android/media/decoder/cts/NativeDecoderTest.java</t>
  </si>
  <si>
    <t>tests/tests/car/src/android/car/cts/CarTelemetryManagerTest.java</t>
  </si>
  <si>
    <t>tests/tests/media/codec/src/android/media/codec/cts/VideoCodecTest.java</t>
  </si>
  <si>
    <t>tests/sample/src/android/sample/cts/SampleJUnit4DeviceTest.java</t>
  </si>
  <si>
    <t>tests/tests/media/decoder/src/android/media/decoder/cts/VideoDecoderPerfTest.java</t>
  </si>
  <si>
    <t>tests/inputmethod/src/android/view/inputmethod/cts/OnScreenPositionTest.java</t>
  </si>
  <si>
    <t>tests/appsearch/src/com/android/cts/appsearch/app/GlobalSearchSessionPlatformCtsTest.java</t>
  </si>
  <si>
    <t>tests/appsearch/src/com/android/cts/appsearch/external/app/SetSchemaRequestCtsTest.java</t>
  </si>
  <si>
    <t>tests/tests/media/codec/src/android/media/codec/cts/EncodeVirtualDisplayTest.java</t>
  </si>
  <si>
    <t>tests/smartspace/src/android/smartspace/cts/TextTest.java</t>
  </si>
  <si>
    <t>tests/tests/security/src/android/security/cts/VisualizerEffectTest.java</t>
  </si>
  <si>
    <t>tests/tests/security/src/android/security/cts/WallpaperManagerTest.java</t>
  </si>
  <si>
    <t>tests/PhotoPicker/src/android/photopicker/cts/PhotoPickerCrossProfileTest.java</t>
  </si>
  <si>
    <t>common/device-side/bedstead/testapp/src/test/java/com/android/bedstead/testapp/TestAppActivityReferenceTest.java</t>
  </si>
  <si>
    <t>tests/devicepolicy/src/android/devicepolicy/cts/BluetoothTest.java</t>
  </si>
  <si>
    <t>tests/tests/bluetooth/src/android/bluetooth/cts/BluetoothLeAudioCodecStatusTest.java</t>
  </si>
  <si>
    <t>tests/tests/bluetooth/src/android/bluetooth/cts/BluetoothLeAudioCodecTest.java</t>
  </si>
  <si>
    <t>tests/tests/permission/src/android/permission/cts/SupplementalProcessPermissionTest.java</t>
  </si>
  <si>
    <t>tests/app/src/android/app/cts/StatusBarManagerTest.java</t>
  </si>
  <si>
    <t>tests/tests/security/src/android/security/cts/STKFrameworkTest.java</t>
  </si>
  <si>
    <t>tests/tests/telecom/src/android/telecom/cts/PhoneAccountRegistrarTest.java</t>
  </si>
  <si>
    <t>tests/tests/bluetooth/src/android/bluetooth/cts/BluetoothServiceManagerTest.java</t>
  </si>
  <si>
    <t>tests/devicepolicy/src/android/devicepolicy/cts/NoAdminLeakingTest.java</t>
  </si>
  <si>
    <t>tests/tests/display/src/android/display/cts/DefaultDisplayModeTest.java</t>
  </si>
  <si>
    <t>tests/tests/car_builtin/src/android/car/cts/builtin/util/AssistUtilsHelperTest.java</t>
  </si>
  <si>
    <t>tests/tests/telecom/src/android/telecom/cts/CallTest.java</t>
  </si>
  <si>
    <t>tests/tests/media/codec/src/android/media/codec/cts/DecodeEditEncodeTest.java</t>
  </si>
  <si>
    <t>tests/cloudsearch/src/android/cloudsearch/cts/CloudSearchManagerTest.java</t>
  </si>
  <si>
    <t>tests/tests/bluetooth/src/android/bluetooth/cts/BluetoothHapPresetInfoTest.java</t>
  </si>
  <si>
    <t>tests/app/src/android/app/cts/PropertyInvalidatedCacheTests.java</t>
  </si>
  <si>
    <t>tests/tests/car_builtin/src/android/car/cts/builtin/app/ActivityManagerHelperTest.java</t>
  </si>
  <si>
    <t>tests/tests/media/decoder/src/android/media/decoder/cts/DecoderConformanceTest.java</t>
  </si>
  <si>
    <t>tests/framework/base/windowmanager/src/android/server/wm/SplitActivityLifecycleTest.java</t>
  </si>
  <si>
    <t>hostsidetests/compilation/src/android/compilation/cts/BackgroundDexOptimizationTest.java</t>
  </si>
  <si>
    <t>tests/PhotoPicker/src/android/photopicker/cts/PhotoPickerBaseTest.java</t>
  </si>
  <si>
    <t>tests/tests/simphonebookprovider/src/android/provider/cts/simphonebook/SimPhonebookContract_ContentNotificationsTest.java</t>
  </si>
  <si>
    <t>tests/tests/textclassifier/src/android/view/textclassifier/cts/SelectionEventTest.java</t>
  </si>
  <si>
    <t>tests/PhotoPicker/src/android/photopicker/cts/CloudPhotoPickerTest.java</t>
  </si>
  <si>
    <t>tests/tests/media/decoder/src/android/media/decoder/cts/DecodeAccuracyTest.java</t>
  </si>
  <si>
    <t>tests/tests/bluetooth/src/android/bluetooth/cts/BluetoothLeAudioTest.java</t>
  </si>
  <si>
    <t>tests/tests/telephony/current/src/android/telephony/cts/SipManagerTest.java</t>
  </si>
  <si>
    <t>tests/tests/telephony/current/src/android/telephony/cts/TelephonyRegistryManagerTest.java</t>
  </si>
  <si>
    <t>tests/framework/base/windowmanager/src/android/server/wm/TaskFragmentOrganizerPolicyTest.java</t>
  </si>
  <si>
    <t>tests/tests/bluetooth/src/android/bluetooth/cts/BluetoothAdapterTest.java</t>
  </si>
  <si>
    <t>tests/tests/tv/src/android/media/tv/interactive/cts/TvInteractiveAppManagerTest.java</t>
  </si>
  <si>
    <t>tests/devicepolicy/src/android/devicepolicy/cts/PermissionGrantTest.java</t>
  </si>
  <si>
    <t>tests/devicepolicy/src/android/devicepolicy/cts/NegativeCallAuthorizationTest.java</t>
  </si>
  <si>
    <t>tests/devicepolicy/src/android/devicepolicy/cts/ResetPasswordWithTokenTest.java</t>
  </si>
  <si>
    <t>hostsidetests/securitybulletin/test-apps/CVE-2021-0481/src/android/security/cts/CVE_2021_0481/DeviceTest.java</t>
  </si>
  <si>
    <t>tests/tests/content/src/android/content/cts/ClipboardReadAccessTest.java</t>
  </si>
  <si>
    <t>tests/appsearch/src/com/android/cts/appsearch/app/AppSearchSchemaMigrationCtsTest.java</t>
  </si>
  <si>
    <t>tests/appsearch/src/com/android/cts/appsearch/app/AppSearchSessionCtsTest.java</t>
  </si>
  <si>
    <t>tests/appsearch/src/com/android/cts/appsearch/app/GlobalSearchSessionCtsTest.java</t>
  </si>
  <si>
    <t>hostsidetests/compilation/src/android/compilation/cts/AdbRootDependentCompilationTest.java</t>
  </si>
  <si>
    <t>tests/tests/permission/src/android/permission/cts/EthernetManagerPermissionTest.java</t>
  </si>
  <si>
    <t>tests/tests/bluetooth/src/android/bluetooth/cts/ScanFilterTest.java</t>
  </si>
  <si>
    <t>tests/tests/gameservice/src/android/service/games/TestGameSessionService.java</t>
  </si>
  <si>
    <t>tests/appsearch/src/com/android/cts/appsearch/external/app/GetSchemaResponseCtsTest.java</t>
  </si>
  <si>
    <t>tests/framework/base/windowmanager/src/android/server/wm/TaskFragmentTrustedModeTest.java</t>
  </si>
  <si>
    <t>hostsidetests/media/app/MediaRouterTest/src/android/media/router/cts/MediaRouter2Test.java</t>
  </si>
  <si>
    <t>hostsidetests/media/src/android/media/router/cts/MediaRouter2HostTest.java</t>
  </si>
  <si>
    <t>tests/tests/media/misc/src/android/media/misc/cts/MediaRouter2Test.java</t>
  </si>
  <si>
    <t>tests/tests/media/misc/src/android/media/misc/cts/RouteDiscoveryPreferenceTest.java</t>
  </si>
  <si>
    <t>tests/tests/os/src/android/os/cts/IpcDataCacheTest.java</t>
  </si>
  <si>
    <t>tests/inputmethod/util/src/android/view/inputmethod/cts/util/TestUtils.java</t>
  </si>
  <si>
    <t>tests/tests/bluetooth/src/android/bluetooth/cts/BluetoothHidDeviceAppQosSettingsTest.java</t>
  </si>
  <si>
    <t>hostsidetests/appcloning/hostside/src/com/android/cts/appcloning/AppCloningBaseHostTest.java</t>
  </si>
  <si>
    <t>tests/devicepolicy/src/android/devicepolicy/cts/LostModeLocationTest.java</t>
  </si>
  <si>
    <t>tests/tests/virtualdevice/src/android/virtualdevice/cts/VirtualAudioTest.java</t>
  </si>
  <si>
    <t>tests/tests/bluetooth/src/android/bluetooth/cts/BluetoothLeAdvertiserTest.java</t>
  </si>
  <si>
    <t>tests/tests/permission/src/android/permission/cts/NotificationListenerCheckTest.java</t>
  </si>
  <si>
    <t>tests/framework/base/locale/src/android/localemanager/cts/LocaleManagerSystemLocaleTest.java</t>
  </si>
  <si>
    <t>tests/tests/media/codec/src/android/media/codec/cts/MediaCodecResourceTest.java</t>
  </si>
  <si>
    <t>hostsidetests/car_builtin/src/android/car/cts/builtin/ActivityManagerHelperHostTest.java</t>
  </si>
  <si>
    <t>tests/tests/netpermission/internetpermission/src/android/net/cts/network/permission/InternetPermissionTest.java</t>
  </si>
  <si>
    <t>tests/tests/netpermission/updatestatspermission/src/android/net/cts/network/permission/UpdateStatsPermissionTest.java</t>
  </si>
  <si>
    <t>hostsidetests/tagging/sdk_30_memtag/src/android/cts/tagging/sdk30memtag/TaggingTest.java</t>
  </si>
  <si>
    <t>hostsidetests/tagging/src/com/android/cts/tagging/TaggingSdk30MemtagTest.java</t>
  </si>
  <si>
    <t>hostsidetests/time/host/src/android/time/cts/host/TimeZoneDetectorStatsTest.java</t>
  </si>
  <si>
    <t>tests/tests/bluetooth/src/android/bluetooth/cts/BluetoothLeAudioContentMetadataTest.java</t>
  </si>
  <si>
    <t>apps/CtsVerifier/src/com/android/cts/verifier/TestResultsProvider.java</t>
  </si>
  <si>
    <t>tests/signature/tests/src/android/signature/cts/tests/ApiPresenceCheckerTest.java</t>
  </si>
  <si>
    <t>tests/tests/dreams/src/android/service/dreams/cts/DreamOverlayTest.java</t>
  </si>
  <si>
    <t>tests/devicepolicy/src/android/devicepolicy/cts/NearbyNotificationStreamingPolicyTest.java</t>
  </si>
  <si>
    <t>tests/AlarmManager/app30/src/android/alarmmanager/alarmtestapp/cts/sdk30/TestReceiver.java</t>
  </si>
  <si>
    <t>tests/app/src/android/app/cts/ToolbarActionBarTest.java</t>
  </si>
  <si>
    <t>tests/tests/car_builtin/src/android/car/cts/builtin/app/TaskInfoHelperTest.java</t>
  </si>
  <si>
    <t>tests/signature/api-check/src/java/android/signature/cts/api/SignatureTest.java</t>
  </si>
  <si>
    <t>tests/tests/car_builtin/src/android/car/cts/builtin/os/SystemPropertiesHelperTest.java</t>
  </si>
  <si>
    <t>tests/media/src/android/mediav2/cts/MuxerUnitTest.java</t>
  </si>
  <si>
    <t>tests/tests/bluetooth/src/android/bluetooth/cts/BluetoothLeBroadcastAssistantTest.java</t>
  </si>
  <si>
    <t>tests/PhotoPicker/src/android/photopicker/cts/PhotoPickerPickImagesIntentTest.java</t>
  </si>
  <si>
    <t>hostsidetests/car/src/android/car/cts/CarServiceHelperServiceTest.java</t>
  </si>
  <si>
    <t>tests/mediapc/src/android/mediapc/cts/EncoderInitializationLatencyTest.java</t>
  </si>
  <si>
    <t>tests/mediapc/common/tests/src/android/mediapc/cts/common/RequirementTest.java</t>
  </si>
  <si>
    <t>tests/mediapc/src/android/mediapc/cts/CodecInitializationLatencyTest.java</t>
  </si>
  <si>
    <t>tests/tests/media/decoder/src/android/media/decoder/cts/DecoderPushBlankBuffersOnStopTest.java</t>
  </si>
  <si>
    <t>tests/location/location_gnss/src/android/location/cts/gnss/GnssStatusTest.java</t>
  </si>
  <si>
    <t>tests/tests/hardware/src/android/hardware/input/cts/tests/VirtualMouseTest.java</t>
  </si>
  <si>
    <t>tests/tests/view/src/android/view/cts/SurfaceControlTest.java</t>
  </si>
  <si>
    <t>hostsidetests/securitybulletin/test-apps/CVE-2021-39626/src/android/security/cts/CVE_2021_39626/DeviceTest.java</t>
  </si>
  <si>
    <t>tests/tests/media/misc/src/android/media/misc/cts/CamcorderProfileTest.java</t>
  </si>
  <si>
    <t>hostsidetests/inputmethodservice/hostside/src/android/inputmethodservice/cts/hostside/InlineSuggestionsRequestHostTest.java</t>
  </si>
  <si>
    <t>tests/mediapc/src/android/mediapc/cts/MultiDecoderPairPerfTest.java</t>
  </si>
  <si>
    <t>tests/translation/src/android/translation/cts/unittests/TextViewTranslationTest.java</t>
  </si>
  <si>
    <t>tests/autofillservice/src/android/autofillservice/cts/saveui/SimpleSaveActivityTest.java</t>
  </si>
  <si>
    <t>tests/tests/media/decoder/src/android/media/decoder/cts/DecoderTest.java</t>
  </si>
  <si>
    <t>tests/mediapc/src/android/mediapc/cts/MultiDecoderPerfTest.java</t>
  </si>
  <si>
    <t>tests/framework/base/windowmanager/jetpack/src/android/server/wm/jetpack/utils/TestActivity.java</t>
  </si>
  <si>
    <t>tests/tests/bluetooth/src/android/bluetooth/cts/BluetoothDeviceTest.java</t>
  </si>
  <si>
    <t>tests/tests/bluetooth/src/android/bluetooth/cts/SystemBluetoothTest.java</t>
  </si>
  <si>
    <t>tests/filesystem/src/android/filesystem/cts/RandomRWTest.java</t>
  </si>
  <si>
    <t>tests/filesystem/src/android/filesystem/cts/SequentialRWTest.java</t>
  </si>
  <si>
    <t>tests/tests/hardware/src/android/hardware/input/cts/tests/SonyDualSenseBluetoothTest.java</t>
  </si>
  <si>
    <t>tests/tests/hardware/src/android/hardware/input/cts/tests/SonyDualSenseUsbTest.java</t>
  </si>
  <si>
    <t>tests/tests/media/player/src/android/media/player/cts/MediaPlayerTest.java</t>
  </si>
  <si>
    <t>hostsidetests/securitybulletin/test-apps/CVE-2021-0954/src/android/security/cts/CVE_2021_0954/DeviceTest.java</t>
  </si>
  <si>
    <t>tests/location/location_none/src/android/location/cts/none/LocationDisabledAppOpsTest.java</t>
  </si>
  <si>
    <t>tests/tests/systemui/src/android/systemui/cts/MediaOutputDialogTest.java</t>
  </si>
  <si>
    <t>tests/tests/media/decoder/src/android/media/decoder/cts/HDRDecoderTest.java</t>
  </si>
  <si>
    <t>tests/media/src/android/mediav2/cts/DecoderHDRInfoTest.java</t>
  </si>
  <si>
    <t>tests/media/src/android/mediav2/cts/EncoderHDRInfoTest.java</t>
  </si>
  <si>
    <t>tests/tests/media/codec/src/android/media/codec/cts/ExtractDecodeEditEncodeMuxTest.java</t>
  </si>
  <si>
    <t>hostsidetests/security/src/android/security/cts/SeamendcHostTest.java</t>
  </si>
  <si>
    <t>tests/tests/car/src/android/car/cts/CarApiVersionTest.java</t>
  </si>
  <si>
    <t>tests/tests/car/src/android/car/cts/PlatformApiVersionTest.java</t>
  </si>
  <si>
    <t>hostsidetests/securitybulletin/test-apps/CVE-2022-20223/src/android/security/cts/CVE_2022_20223/DeviceTest.java</t>
  </si>
  <si>
    <t>tests/tests/hardware/src/android/hardware/cts/DataSpaceTest.java</t>
  </si>
  <si>
    <t>tests/tests/car/src/android/car/cts/CarPerformanceManagerTest.java</t>
  </si>
  <si>
    <t>tests/uwb/src/android/uwb/cts/SessionHandleTest.java</t>
  </si>
  <si>
    <t>tests/tests/car/src/android/car/cts/TestApiRequirements.java</t>
  </si>
  <si>
    <t>tests/tests/media/misc/src/android/media/misc/cts/MediaSessionTest.java</t>
  </si>
  <si>
    <t>tests/ondevicepersonalization/src/android/ondevicepersonalization/cts/OnDevicePersonalizationServiceTest.java</t>
  </si>
  <si>
    <t>tests/tests/keystore/hostside/app/src/com/android/cts/keystore/deviceowner/BaseDeviceAdminTest.java</t>
  </si>
  <si>
    <t>tests/tests/keystore/hostside/src/android/keystore/cts/devicepolicy/BaseDevicePolicyTest.java</t>
  </si>
  <si>
    <t>tests/tests/keystore/hostside/src/android/keystore/cts/devicepolicy/DeviceAndProfileOwnerTest.java</t>
  </si>
  <si>
    <t>tests/tests/keystore/hostside/src/android/keystore/cts/devicepolicy/MixedDeviceOwnerTest.java</t>
  </si>
  <si>
    <t>tests/tests/keystore/hostside/app/src/com/android/cts/keystore/deviceowner/KeyManagementTest.java</t>
  </si>
  <si>
    <t>tests/cloudsearch/src/android/cloudsearch/cts/SearchRequestTest.java</t>
  </si>
  <si>
    <t>tests/cloudsearch/src/android/cloudsearch/cts/SearchResponseTest.java</t>
  </si>
  <si>
    <t>tests/cloudsearch/src/android/cloudsearch/cts/SearchResultTest.java</t>
  </si>
  <si>
    <t>tests/autofillservice/src/android/autofillservice/cts/saveui/AutofillSaveDialogHeightTest.java</t>
  </si>
  <si>
    <t>tests/tests/media/decoder/src/android/media/decoder/cts/TunneledDecoderTest.java</t>
  </si>
  <si>
    <t>tests/tests/media/player/src/android/media/player/cts/MediaPlayerSurfaceTest.java</t>
  </si>
  <si>
    <t>tests/tests/media/recorder/src/android/media/recorder/cts/MediaRecorderRandomTest.java</t>
  </si>
  <si>
    <t>tests/tests/media/player/src/android/media/player/cts/MediaPlayerRandomTest.java</t>
  </si>
  <si>
    <t>hostsidetests/compilation/src/android/compilation/cts/CompilationTest.java</t>
  </si>
  <si>
    <t>hostsidetests/incident/apps/batterystatsapp/src/com/android/server/cts/device/batterystats/BatteryStatsRadioPowerStateTest.java</t>
  </si>
  <si>
    <t>tools/cts-tradefed/tests/src/com/android/compatibility/common/tradefed/loading/CtsConfigLoadingTest.java</t>
  </si>
  <si>
    <t>tests/tests/bluetooth/src/android/bluetooth/cts/BluetoothA2dpSinkTest.java</t>
  </si>
  <si>
    <t>tests/tests/bluetooth/src/android/bluetooth/cts/BluetoothA2dpTest.java</t>
  </si>
  <si>
    <t>tests/tests/bluetooth/src/android/bluetooth/cts/BluetoothCsipSetCoordinatorTest.java</t>
  </si>
  <si>
    <t>tests/tests/bluetooth/src/android/bluetooth/cts/BluetoothHeadsetClientTest.java</t>
  </si>
  <si>
    <t>tests/tests/bluetooth/src/android/bluetooth/cts/BluetoothHeadsetTest.java</t>
  </si>
  <si>
    <t>tests/tests/bluetooth/src/android/bluetooth/cts/BluetoothHidDeviceTest.java</t>
  </si>
  <si>
    <t>tests/tests/bluetooth/src/android/bluetooth/cts/BluetoothHidHostTest.java</t>
  </si>
  <si>
    <t>tests/tests/bluetooth/src/android/bluetooth/cts/BluetoothLeBroadcastTest.java</t>
  </si>
  <si>
    <t>tests/tests/bluetooth/src/android/bluetooth/cts/BluetoothMapClientTest.java</t>
  </si>
  <si>
    <t>tests/tests/bluetooth/src/android/bluetooth/cts/BluetoothMapTest.java</t>
  </si>
  <si>
    <t>tests/tests/bluetooth/src/android/bluetooth/cts/BluetoothPanTest.java</t>
  </si>
  <si>
    <t>tests/tests/bluetooth/src/android/bluetooth/cts/BluetoothPbapClientTest.java</t>
  </si>
  <si>
    <t>tests/tests/bluetooth/src/android/bluetooth/cts/BluetoothPbapTest.java</t>
  </si>
  <si>
    <t>tests/tests/bluetooth/src/android/bluetooth/cts/BluetoothSapTest.java</t>
  </si>
  <si>
    <t>tests/tests/bluetooth/src/android/bluetooth/cts/BluetoothVolumeControlTest.java</t>
  </si>
  <si>
    <t>tests/uwb/src/android/uwb/cts/DistanceMeasurementTest.java</t>
  </si>
  <si>
    <t>tests/uwb/src/android/uwb/cts/RangingMeasurementTest.java</t>
  </si>
  <si>
    <t>tests/uwb/src/android/uwb/cts/RangingReportTest.java</t>
  </si>
  <si>
    <t>tests/uwb/src/android/uwb/cts/UwbAddressTest.java</t>
  </si>
  <si>
    <t>tests/uwb/src/android/uwb/cts/UwbFrameworkInitializerTest.java</t>
  </si>
  <si>
    <t>tests/tests/bluetooth/src/android/bluetooth/cts/BluetoothCodecsTest.java</t>
  </si>
  <si>
    <t>tests/tests/media/player/src/android/media/player/cts/StreamingMediaPlayerTest.java</t>
  </si>
  <si>
    <t>hostsidetests/devicepolicy/app/DeviceAndProfileOwner/src/com/android/cts/deviceandprofileowner/ApplicationHiddenParentTest.java</t>
  </si>
  <si>
    <t>hostsidetests/devicepolicy/app/DeviceAndProfileOwner/src/com/android/cts/deviceandprofileowner/ApplicationHiddenTest.java</t>
  </si>
  <si>
    <t>hostsidetests/devicepolicy/app/ManagedProfile/src/com/android/cts/managedprofile/ParentProfileTest.java</t>
  </si>
  <si>
    <t>hostsidetests/devicepolicy/app/PasswordComplexity/src/com.android.cts.passwordcomplexity/GetPasswordComplexityTest.java</t>
  </si>
  <si>
    <t>hostsidetests/devicepolicy/src/com/android/cts/devicepolicy/LauncherAppsProfileTest.java</t>
  </si>
  <si>
    <t>hostsidetests/devicepolicy/src/com/android/cts/devicepolicy/PasswordComplexityTest.java</t>
  </si>
  <si>
    <t>tests/devicepolicy/src/android/devicepolicy/cts/AdminPermissionControlParamsTests.java</t>
  </si>
  <si>
    <t>tests/devicepolicy/src/android/devicepolicy/cts/CreateAndManageUserTest.java</t>
  </si>
  <si>
    <t>tests/devicepolicy/src/android/devicepolicy/cts/DevicePolicyManagementRoleHolderTest.java</t>
  </si>
  <si>
    <t>tests/devicepolicy/src/android/devicepolicy/cts/DevicePolicyResourcesTests.java</t>
  </si>
  <si>
    <t>tests/devicepolicy/src/android/devicepolicy/cts/NearbyAppStreamingPolicyTest.java</t>
  </si>
  <si>
    <t>tests/devicepolicy/src/android/devicepolicy/cts/ScreenCaptureDisabledTest.java</t>
  </si>
  <si>
    <t>hostsidetests/devicepolicy/app/ManagedProfile/src/com/android/cts/managedprofile/CrossProfileIntentFilterTest.java</t>
  </si>
  <si>
    <t>hostsidetests/devicepolicy/app/ManagedProfile/src/com/android/cts/managedprofile/PrimaryUserTest.java</t>
  </si>
  <si>
    <t>tests/media/src/android/mediav2/cts/AdaptivePlaybackTest.java</t>
  </si>
  <si>
    <t>tests/media/src/android/mediav2/cts/DecoderColorAspectsTest.java</t>
  </si>
  <si>
    <t>tests/videocodec/src/android/videocodec/cts/VideoEncoderMultiResTest.java</t>
  </si>
  <si>
    <t>tests/videocodec/src/android/videocodec/cts/VideoEncoderPsnrTest.java</t>
  </si>
  <si>
    <t>tests/devicepolicy/src/android/devicepolicy/cts/SettingsTest.java</t>
  </si>
  <si>
    <t>tests/media/src/android/mediav2/cts/CodecEncoderValidationTest.java</t>
  </si>
  <si>
    <t>tests/media/src/android/mediav2/cts/EncodeDecodeAccuracyTest.java</t>
  </si>
  <si>
    <t>tests/media/src/android/mediav2/cts/EncoderColorAspectsTest.java</t>
  </si>
  <si>
    <t>tests/tests/app/src/android/app/cts/ApplyOverrideConfigurationTest.java</t>
  </si>
  <si>
    <t>tests/app/src/android/app/cts/DisplayTest.java</t>
  </si>
  <si>
    <t>tests/tests/nfc/src/android/nfc/tech/cts/MifareClassicTest.java</t>
  </si>
  <si>
    <t>tests/tests/hardware/src/android/hardware/input/cts/tests/SonyDualSenseEdgeBluetoothTest.java</t>
  </si>
  <si>
    <t>tests/tests/hardware/src/android/hardware/input/cts/tests/SonyDualSenseEdgeUsbTest.java</t>
  </si>
  <si>
    <t>tests/tests/location/src/android/location/cts/GeocoderTest.java</t>
  </si>
  <si>
    <t>BundleTest.java</t>
  </si>
  <si>
    <t>InterpolatorTest.java</t>
  </si>
  <si>
    <t>AutoCompleteTextViewTest.java</t>
  </si>
  <si>
    <t>TestDevice.java</t>
  </si>
  <si>
    <t>SignatureTest.java</t>
  </si>
  <si>
    <t>HostSideOnlyTest.java</t>
  </si>
  <si>
    <t>Test.java</t>
  </si>
  <si>
    <t>TestCase.java</t>
  </si>
  <si>
    <t>TestPackage.java</t>
  </si>
  <si>
    <t>TestSessionLog.java</t>
  </si>
  <si>
    <t>TestSuite.java</t>
  </si>
  <si>
    <t>AvailableIntentsTest.java</t>
  </si>
  <si>
    <t>NoLocationPermissionTest.java</t>
  </si>
  <si>
    <t>NetworkInfoTest.java</t>
  </si>
  <si>
    <t>TextUtilsTest.java</t>
  </si>
  <si>
    <t>PaintTest.java</t>
  </si>
  <si>
    <t>DatePickerDialogTest.java</t>
  </si>
  <si>
    <t>ContentProviderTest.java</t>
  </si>
  <si>
    <t>ProxyTest.java</t>
  </si>
  <si>
    <t>ActivityInfoTest.java</t>
  </si>
  <si>
    <t>ApplicationInfoTest.java</t>
  </si>
  <si>
    <t>ComponentInfoTest.java</t>
  </si>
  <si>
    <t>ListViewTest.java</t>
  </si>
  <si>
    <t>LocationManagerTest.java</t>
  </si>
  <si>
    <t>BitmapFactoryTest.java</t>
  </si>
  <si>
    <t>PathMeasureTest.java</t>
  </si>
  <si>
    <t>PackageManagerTest.java</t>
  </si>
  <si>
    <t>PackageManagerRequiringPermissionsTest.java</t>
  </si>
  <si>
    <t>AbsSeekBarTest.java</t>
  </si>
  <si>
    <t>ChronometerTest.java</t>
  </si>
  <si>
    <t>NoKeyPermissionTest.java</t>
  </si>
  <si>
    <t>ParcelFileDescriptorTest.java</t>
  </si>
  <si>
    <t>SystemClockTest.java</t>
  </si>
  <si>
    <t>LocalSocketAddressTest.java</t>
  </si>
  <si>
    <t>LocalSocketAddress_NamespaceTest.java</t>
  </si>
  <si>
    <t>NetworkInfo_DetailedStateTest.java</t>
  </si>
  <si>
    <t>NetworkInfo_StateTest.java</t>
  </si>
  <si>
    <t>AliasActivityTest.java</t>
  </si>
  <si>
    <t>PendingIntentTest.java</t>
  </si>
  <si>
    <t>TimePickerDialogTest.java</t>
  </si>
  <si>
    <t>IntentFilterTest.java</t>
  </si>
  <si>
    <t>NoReadWritePermissionTest.java</t>
  </si>
  <si>
    <t>ProviderPermissionTest.java</t>
  </si>
  <si>
    <t>BitmapTest.java</t>
  </si>
  <si>
    <t>CameraTest.java</t>
  </si>
  <si>
    <t>CanvasTest.java</t>
  </si>
  <si>
    <t>Interpolator_ResultTest.java</t>
  </si>
  <si>
    <t>LayerRasterizerTest.java</t>
  </si>
  <si>
    <t>MaskFilterTest.java</t>
  </si>
  <si>
    <t>Matrix_ScaleToFitTest.java</t>
  </si>
  <si>
    <t>PathDashPathEffect_StyleTest.java</t>
  </si>
  <si>
    <t>PathEffectTest.java</t>
  </si>
  <si>
    <t>PathTest.java</t>
  </si>
  <si>
    <t>Path_DirectionTest.java</t>
  </si>
  <si>
    <t>Path_FillTypeTest.java</t>
  </si>
  <si>
    <t>PorterDuff_ModeTest.java</t>
  </si>
  <si>
    <t>RegionIteratorTest.java</t>
  </si>
  <si>
    <t>RegionTest.java</t>
  </si>
  <si>
    <t>TestFailure.java</t>
  </si>
  <si>
    <t>TestResult.java</t>
  </si>
  <si>
    <t>DrawableTest.java</t>
  </si>
  <si>
    <t>GradientDrawableTest.java</t>
  </si>
  <si>
    <t>ShapeDrawableTest.java</t>
  </si>
  <si>
    <t>TransitionDrawableTest.java</t>
  </si>
  <si>
    <t>NoAudioPermissionTest.java</t>
  </si>
  <si>
    <t>IntentTest.java</t>
  </si>
  <si>
    <t>SyncContextTest.java</t>
  </si>
  <si>
    <t>SyncResultTest.java</t>
  </si>
  <si>
    <t>SyncStatsTest.java</t>
  </si>
  <si>
    <t>SmsManagerTest.java</t>
  </si>
  <si>
    <t>ZoomControlsTest.java</t>
  </si>
  <si>
    <t>GestureTest.java</t>
  </si>
  <si>
    <t>GestureStoreTest.java</t>
  </si>
  <si>
    <t>DatePickerTest.java</t>
  </si>
  <si>
    <t>TimePickerTest.java</t>
  </si>
  <si>
    <t>PhoneNumberUtilsTest.java</t>
  </si>
  <si>
    <t>DefaultManifestAttributesSdkTest.java</t>
  </si>
  <si>
    <t>FileAccessPermissionTest.java</t>
  </si>
  <si>
    <t>CookieTest.java</t>
  </si>
  <si>
    <t>ContextWrapperTest.java</t>
  </si>
  <si>
    <t>ResourcesTest.java</t>
  </si>
  <si>
    <t>EventLogTagsTest.java</t>
  </si>
  <si>
    <t>WebViewClientTest.java</t>
  </si>
  <si>
    <t>KeyEventTest.java</t>
  </si>
  <si>
    <t>AccountManagerTest.java</t>
  </si>
  <si>
    <t>SQLiteProgramTest.java</t>
  </si>
  <si>
    <t>SearchManagerTest.java</t>
  </si>
  <si>
    <t>ViewStubTest.java</t>
  </si>
  <si>
    <t>RatingBarTest.java</t>
  </si>
  <si>
    <t>GalleryTest.java</t>
  </si>
  <si>
    <t>PopupWindowTest.java</t>
  </si>
  <si>
    <t>AlertDialog_BuilderTest.java</t>
  </si>
  <si>
    <t>MipmapDrawableTest.java</t>
  </si>
  <si>
    <t>AbstractCursorTest.java</t>
  </si>
  <si>
    <t>DatabaseCursorTest.java</t>
  </si>
  <si>
    <t>ActivityGroupTest.java</t>
  </si>
  <si>
    <t>LifecycleTest.java</t>
  </si>
  <si>
    <t>SQLiteDatabaseTest.java</t>
  </si>
  <si>
    <t>InstrumentationTest.java</t>
  </si>
  <si>
    <t>WindowTest.java</t>
  </si>
  <si>
    <t>SQLiteCursorTest.java</t>
  </si>
  <si>
    <t>ListActivityTest.java</t>
  </si>
  <si>
    <t>WebViewTest.java</t>
  </si>
  <si>
    <t>SensorManagerTest.java</t>
  </si>
  <si>
    <t>TelephonyManagerTest.java</t>
  </si>
  <si>
    <t>TimeUtilsTest.java</t>
  </si>
  <si>
    <t>TestListActivity.java</t>
  </si>
  <si>
    <t>TestListActivityTest.java</t>
  </si>
  <si>
    <t>AccessPermissionWithDiffSigTest.java</t>
  </si>
  <si>
    <t>EqualizerTest.java</t>
  </si>
  <si>
    <t>NoReadLogsPermissionTest.java</t>
  </si>
  <si>
    <t>NoActivityRelatedPermissionTest.java</t>
  </si>
  <si>
    <t>DevicePowerPermissionTest.java</t>
  </si>
  <si>
    <t>DialogTest.java</t>
  </si>
  <si>
    <t>ViewTest.java</t>
  </si>
  <si>
    <t>ConnectivityManagerTest.java</t>
  </si>
  <si>
    <t>SystemFeaturesTest.java</t>
  </si>
  <si>
    <t>TestCaseXmlParser.java</t>
  </si>
  <si>
    <t>TestPackageXmlParserTest.java</t>
  </si>
  <si>
    <t>TestStubs.java</t>
  </si>
  <si>
    <t>Test_invoke_interface.java</t>
  </si>
  <si>
    <t>Test_invoke_interface_range.java</t>
  </si>
  <si>
    <t>Test_invoke_super.java</t>
  </si>
  <si>
    <t>Test_invoke_super_range.java</t>
  </si>
  <si>
    <t>Test_invoke_virtual.java</t>
  </si>
  <si>
    <t>Test_invoke_virtual_range.java</t>
  </si>
  <si>
    <t>ProfileFeaturesTest.java</t>
  </si>
  <si>
    <t>BroadcastReceiverTest.java</t>
  </si>
  <si>
    <t>AlertDialogTest.java</t>
  </si>
  <si>
    <t>AssetFileDescriptor_AutoCloseInputStreamTest.java</t>
  </si>
  <si>
    <t>Settings_SecureTest.java</t>
  </si>
  <si>
    <t>SurfaceTest.java</t>
  </si>
  <si>
    <t>MultiTapKeyListenerTest.java</t>
  </si>
  <si>
    <t>QwertyKeyListenerTest.java</t>
  </si>
  <si>
    <t>AccessibilityEndToEndTest.java</t>
  </si>
  <si>
    <t>CacheManagerTest.java</t>
  </si>
  <si>
    <t>LayoutTest.java</t>
  </si>
  <si>
    <t>ListeningPortsTest.java</t>
  </si>
  <si>
    <t>WebChromeClientTest.java</t>
  </si>
  <si>
    <t>GridViewTest.java</t>
  </si>
  <si>
    <t>TrafficStatsTest.java</t>
  </si>
  <si>
    <t>InsetDrawableTest.java</t>
  </si>
  <si>
    <t>TestCaseRepo.java</t>
  </si>
  <si>
    <t>WebHistoryItemTest.java</t>
  </si>
  <si>
    <t>CtsTest.java</t>
  </si>
  <si>
    <t>PlanTestTest.java</t>
  </si>
  <si>
    <t>AbsListViewTest.java</t>
  </si>
  <si>
    <t>ArrowKeyMovementMethodTest.java</t>
  </si>
  <si>
    <t>TestPackageDef.java</t>
  </si>
  <si>
    <t>CtsTestTest.java</t>
  </si>
  <si>
    <t>MessageQueueTest.java</t>
  </si>
  <si>
    <t>ProgressBarTest.java</t>
  </si>
  <si>
    <t>AlarmManagerTest.java</t>
  </si>
  <si>
    <t>ServiceTest.java</t>
  </si>
  <si>
    <t>ViewGroupTest.java</t>
  </si>
  <si>
    <t>SmsMessageTest.java</t>
  </si>
  <si>
    <t>ConfigurationTest.java</t>
  </si>
  <si>
    <t>NoCallPermissionTest.java</t>
  </si>
  <si>
    <t>AudioManagerTest.java</t>
  </si>
  <si>
    <t>JarHostTest.java</t>
  </si>
  <si>
    <t>DateUtilsTest.java</t>
  </si>
  <si>
    <t>CtsSetupTest.java</t>
  </si>
  <si>
    <t>EventLogTest.java</t>
  </si>
  <si>
    <t>AllocationTest.java</t>
  </si>
  <si>
    <t>ElementTest.java</t>
  </si>
  <si>
    <t>ProgramStoreTest.java</t>
  </si>
  <si>
    <t>TypeTest.java</t>
  </si>
  <si>
    <t>RadialGradientTest.java</t>
  </si>
  <si>
    <t>FontTest.java</t>
  </si>
  <si>
    <t>TouchDelegateTest.java</t>
  </si>
  <si>
    <t>MediaControllerTest.java</t>
  </si>
  <si>
    <t>InputConnectionWrapperTest.java</t>
  </si>
  <si>
    <t>WebIconDatabaseTest.java</t>
  </si>
  <si>
    <t>TableLayoutTest.java</t>
  </si>
  <si>
    <t>VideoViewTest.java</t>
  </si>
  <si>
    <t>TestCoverageDoclet.java</t>
  </si>
  <si>
    <t>TestMethodInformation.java</t>
  </si>
  <si>
    <t>TestTargetNew.java</t>
  </si>
  <si>
    <t>GestureDetector_SimpleOnGestureListenerTest.java</t>
  </si>
  <si>
    <t>InstrumentationAppTest.java</t>
  </si>
  <si>
    <t>WebDriverTest.java</t>
  </si>
  <si>
    <t>TextToSpeechTest.java</t>
  </si>
  <si>
    <t>CtsVerifierActivityTest.java</t>
  </si>
  <si>
    <t>TestResultsProviderTest.java</t>
  </si>
  <si>
    <t>FeatureSummaryActivityTest.java</t>
  </si>
  <si>
    <t>DownloadManagerTest.java</t>
  </si>
  <si>
    <t>AccessibilityEventTest.java</t>
  </si>
  <si>
    <t>ConfigTest.java</t>
  </si>
  <si>
    <t>FieldPackerTest.java</t>
  </si>
  <si>
    <t>MediaPlayerTest.java</t>
  </si>
  <si>
    <t>ClipDrawableTest.java</t>
  </si>
  <si>
    <t>DrawableContainerTest.java</t>
  </si>
  <si>
    <t>LayerDrawableTest.java</t>
  </si>
  <si>
    <t>RotateDrawableTest.java</t>
  </si>
  <si>
    <t>ScaleDrawableTest.java</t>
  </si>
  <si>
    <t>TestListAdapter.java</t>
  </si>
  <si>
    <t>BitmapRegionDecoderTest.java</t>
  </si>
  <si>
    <t>TestResultsReport.java</t>
  </si>
  <si>
    <t>WebView_HitTestResultTest.java</t>
  </si>
  <si>
    <t>TextToSpeechServiceTest.java</t>
  </si>
  <si>
    <t>Shader_TileModeTest.java</t>
  </si>
  <si>
    <t>ThemeTest.java</t>
  </si>
  <si>
    <t>MediaPlayerStreamingTest.java</t>
  </si>
  <si>
    <t>SslErrorHandlerTest.java</t>
  </si>
  <si>
    <t>TextViewTest.java</t>
  </si>
  <si>
    <t>Test_add_double.java</t>
  </si>
  <si>
    <t>Test_add_double_2addr.java</t>
  </si>
  <si>
    <t>Test_add_float.java</t>
  </si>
  <si>
    <t>Test_add_float_2addr.java</t>
  </si>
  <si>
    <t>Test_add_int.java</t>
  </si>
  <si>
    <t>Test_add_int_2addr.java</t>
  </si>
  <si>
    <t>Test_add_int_lit16.java</t>
  </si>
  <si>
    <t>Test_add_int_lit8.java</t>
  </si>
  <si>
    <t>Test_add_long.java</t>
  </si>
  <si>
    <t>Test_add_long_2addr.java</t>
  </si>
  <si>
    <t>Test_aget.java</t>
  </si>
  <si>
    <t>Test_aget_boolean.java</t>
  </si>
  <si>
    <t>Test_aget_byte.java</t>
  </si>
  <si>
    <t>Test_aget_char.java</t>
  </si>
  <si>
    <t>Test_aget_object.java</t>
  </si>
  <si>
    <t>Test_aget_short.java</t>
  </si>
  <si>
    <t>Test_aget_wide.java</t>
  </si>
  <si>
    <t>Test_and_int.java</t>
  </si>
  <si>
    <t>Test_and_int_2addr.java</t>
  </si>
  <si>
    <t>Test_and_int_lit16.java</t>
  </si>
  <si>
    <t>Test_and_int_lit8.java</t>
  </si>
  <si>
    <t>Test_and_long.java</t>
  </si>
  <si>
    <t>Test_and_long_2addr.java</t>
  </si>
  <si>
    <t>Test_aput.java</t>
  </si>
  <si>
    <t>Test_aput_boolean.java</t>
  </si>
  <si>
    <t>Test_aput_byte.java</t>
  </si>
  <si>
    <t>Test_aput_char.java</t>
  </si>
  <si>
    <t>Test_aput_object.java</t>
  </si>
  <si>
    <t>Test_aput_short.java</t>
  </si>
  <si>
    <t>Test_aput_wide.java</t>
  </si>
  <si>
    <t>Test_cmp_long.java</t>
  </si>
  <si>
    <t>Test_cmpg_double.java</t>
  </si>
  <si>
    <t>Test_cmpg_float.java</t>
  </si>
  <si>
    <t>Test_cmpl_double.java</t>
  </si>
  <si>
    <t>Test_cmpl_float.java</t>
  </si>
  <si>
    <t>Test_div_double.java</t>
  </si>
  <si>
    <t>Test_div_double_2addr.java</t>
  </si>
  <si>
    <t>Test_div_float.java</t>
  </si>
  <si>
    <t>Test_div_float_2addr.java</t>
  </si>
  <si>
    <t>Test_div_int.java</t>
  </si>
  <si>
    <t>Test_div_int_2addr.java</t>
  </si>
  <si>
    <t>Test_div_int_lit16.java</t>
  </si>
  <si>
    <t>Test_div_int_lit8.java</t>
  </si>
  <si>
    <t>Test_div_long.java</t>
  </si>
  <si>
    <t>Test_div_long_2addr.java</t>
  </si>
  <si>
    <t>Test_double_to_float.java</t>
  </si>
  <si>
    <t>Test_double_to_int.java</t>
  </si>
  <si>
    <t>Test_double_to_long.java</t>
  </si>
  <si>
    <t>Test_float_to_double.java</t>
  </si>
  <si>
    <t>Test_float_to_int.java</t>
  </si>
  <si>
    <t>Test_float_to_long.java</t>
  </si>
  <si>
    <t>Test_if_eq.java</t>
  </si>
  <si>
    <t>Test_if_eqz.java</t>
  </si>
  <si>
    <t>Test_if_ge.java</t>
  </si>
  <si>
    <t>Test_if_gez.java</t>
  </si>
  <si>
    <t>Test_if_gt.java</t>
  </si>
  <si>
    <t>Test_if_gtz.java</t>
  </si>
  <si>
    <t>Test_if_le.java</t>
  </si>
  <si>
    <t>Test_if_lez.java</t>
  </si>
  <si>
    <t>Test_if_lt.java</t>
  </si>
  <si>
    <t>Test_if_ltz.java</t>
  </si>
  <si>
    <t>Test_if_ne.java</t>
  </si>
  <si>
    <t>Test_if_nez.java</t>
  </si>
  <si>
    <t>Test_int_to_byte.java</t>
  </si>
  <si>
    <t>Test_int_to_char.java</t>
  </si>
  <si>
    <t>Test_int_to_double.java</t>
  </si>
  <si>
    <t>Test_int_to_float.java</t>
  </si>
  <si>
    <t>Test_int_to_long.java</t>
  </si>
  <si>
    <t>Test_int_to_short.java</t>
  </si>
  <si>
    <t>Test_iput.java</t>
  </si>
  <si>
    <t>Test_long_to_double.java</t>
  </si>
  <si>
    <t>Test_long_to_float.java</t>
  </si>
  <si>
    <t>Test_long_to_int.java</t>
  </si>
  <si>
    <t>Test_mul_double.java</t>
  </si>
  <si>
    <t>Test_mul_double_2addr.java</t>
  </si>
  <si>
    <t>Test_mul_float.java</t>
  </si>
  <si>
    <t>Test_mul_float_2addr.java</t>
  </si>
  <si>
    <t>Test_mul_int.java</t>
  </si>
  <si>
    <t>Test_mul_int_2addr.java</t>
  </si>
  <si>
    <t>Test_mul_int_lit16.java</t>
  </si>
  <si>
    <t>Test_mul_int_lit8.java</t>
  </si>
  <si>
    <t>Test_mul_long.java</t>
  </si>
  <si>
    <t>Test_mul_long_2addr.java</t>
  </si>
  <si>
    <t>Test_neg_double.java</t>
  </si>
  <si>
    <t>Test_neg_float.java</t>
  </si>
  <si>
    <t>Test_neg_int.java</t>
  </si>
  <si>
    <t>Test_neg_long.java</t>
  </si>
  <si>
    <t>Test_not_int.java</t>
  </si>
  <si>
    <t>Test_not_long.java</t>
  </si>
  <si>
    <t>Test_or_int.java</t>
  </si>
  <si>
    <t>Test_or_int_2addr.java</t>
  </si>
  <si>
    <t>Test_or_int_lit16.java</t>
  </si>
  <si>
    <t>Test_or_int_lit8.java</t>
  </si>
  <si>
    <t>Test_or_long.java</t>
  </si>
  <si>
    <t>Test_or_long_2addr.java</t>
  </si>
  <si>
    <t>Test_packed_switch.java</t>
  </si>
  <si>
    <t>Test_rem_double.java</t>
  </si>
  <si>
    <t>Test_rem_double_2addr.java</t>
  </si>
  <si>
    <t>Test_rem_float.java</t>
  </si>
  <si>
    <t>Test_rem_float_2addr.java</t>
  </si>
  <si>
    <t>Test_rem_int.java</t>
  </si>
  <si>
    <t>Test_rem_int_2addr.java</t>
  </si>
  <si>
    <t>Test_rem_int_lit16.java</t>
  </si>
  <si>
    <t>Test_rem_int_lit8.java</t>
  </si>
  <si>
    <t>Test_rem_long.java</t>
  </si>
  <si>
    <t>Test_rem_long_2addr.java</t>
  </si>
  <si>
    <t>Test_rsub_int.java</t>
  </si>
  <si>
    <t>Test_rsub_int_lit8.java</t>
  </si>
  <si>
    <t>Test_shl_int.java</t>
  </si>
  <si>
    <t>Test_shl_int_2addr.java</t>
  </si>
  <si>
    <t>Test_shl_int_lit8.java</t>
  </si>
  <si>
    <t>Test_shl_long.java</t>
  </si>
  <si>
    <t>Test_shl_long_2addr.java</t>
  </si>
  <si>
    <t>Test_shr_int.java</t>
  </si>
  <si>
    <t>Test_shr_int_2addr.java</t>
  </si>
  <si>
    <t>Test_shr_int_lit8.java</t>
  </si>
  <si>
    <t>Test_shr_long.java</t>
  </si>
  <si>
    <t>Test_shr_long_2addr.java</t>
  </si>
  <si>
    <t>Test_sparse_switch.java</t>
  </si>
  <si>
    <t>Test_sput.java</t>
  </si>
  <si>
    <t>Test_sub_double.java</t>
  </si>
  <si>
    <t>Test_sub_double_2addr.java</t>
  </si>
  <si>
    <t>Test_sub_float.java</t>
  </si>
  <si>
    <t>Test_sub_float_2addr.java</t>
  </si>
  <si>
    <t>Test_sub_int.java</t>
  </si>
  <si>
    <t>Test_sub_int_2addr.java</t>
  </si>
  <si>
    <t>Test_sub_long.java</t>
  </si>
  <si>
    <t>Test_sub_long_2addr.java</t>
  </si>
  <si>
    <t>Test_ushr_int.java</t>
  </si>
  <si>
    <t>Test_ushr_int_2addr.java</t>
  </si>
  <si>
    <t>Test_ushr_int_lit8.java</t>
  </si>
  <si>
    <t>Test_ushr_long.java</t>
  </si>
  <si>
    <t>Test_ushr_long_2addr.java</t>
  </si>
  <si>
    <t>Test_xor_int.java</t>
  </si>
  <si>
    <t>Test_xor_int_2addr.java</t>
  </si>
  <si>
    <t>Test_xor_int_lit16.java</t>
  </si>
  <si>
    <t>Test_xor_int_lit8.java</t>
  </si>
  <si>
    <t>Test_xor_long.java</t>
  </si>
  <si>
    <t>Test_xor_long_2addr.java</t>
  </si>
  <si>
    <t>MultiAppStartupTest.java</t>
  </si>
  <si>
    <t>CalendarTest.java</t>
  </si>
  <si>
    <t>TestPlan.java</t>
  </si>
  <si>
    <t>TestPlanTest.java</t>
  </si>
  <si>
    <t>TestSuiteRoot.java</t>
  </si>
  <si>
    <t>TestPackageRepo.java</t>
  </si>
  <si>
    <t>TestSummaryXml.java</t>
  </si>
  <si>
    <t>TestResultRepo.java</t>
  </si>
  <si>
    <t>TestResults.java</t>
  </si>
  <si>
    <t>AnimationDrawableTest.java</t>
  </si>
  <si>
    <t>HorizontalScrollViewTest.java</t>
  </si>
  <si>
    <t>ScrollViewTest.java</t>
  </si>
  <si>
    <t>TestController.java</t>
  </si>
  <si>
    <t>TestHost.java</t>
  </si>
  <si>
    <t>TestNotFoundException.java</t>
  </si>
  <si>
    <t>TestPlanNotFoundException.java</t>
  </si>
  <si>
    <t>TestSession.java</t>
  </si>
  <si>
    <t>TestSessionBuilder.java</t>
  </si>
  <si>
    <t>TestSessionLogBuilder.java</t>
  </si>
  <si>
    <t>CommandParserTest.java</t>
  </si>
  <si>
    <t>TestPlanBuilderTests.java</t>
  </si>
  <si>
    <t>TestSessionBuilderTests.java</t>
  </si>
  <si>
    <t>TestSessionLogBuilderTests.java</t>
  </si>
  <si>
    <t>TextKeyListenerTest.java</t>
  </si>
  <si>
    <t>TesterViewGroup.java</t>
  </si>
  <si>
    <t>Test_pargsreturn.java</t>
  </si>
  <si>
    <t>Test_aaload.java</t>
  </si>
  <si>
    <t>Test_aastore.java</t>
  </si>
  <si>
    <t>Test_aconst_null.java</t>
  </si>
  <si>
    <t>Test_aload.java</t>
  </si>
  <si>
    <t>Test_aload_0.java</t>
  </si>
  <si>
    <t>Test_aload_1.java</t>
  </si>
  <si>
    <t>Test_aload_2.java</t>
  </si>
  <si>
    <t>Test_aload_3.java</t>
  </si>
  <si>
    <t>Test_anewarray.java</t>
  </si>
  <si>
    <t>Test_areturn.java</t>
  </si>
  <si>
    <t>Test_arraylength.java</t>
  </si>
  <si>
    <t>Test_astore.java</t>
  </si>
  <si>
    <t>Test_astore_0.java</t>
  </si>
  <si>
    <t>Test_astore_1.java</t>
  </si>
  <si>
    <t>Test_astore_2.java</t>
  </si>
  <si>
    <t>Test_astore_3.java</t>
  </si>
  <si>
    <t>Test_athrow.java</t>
  </si>
  <si>
    <t>Test_baload.java</t>
  </si>
  <si>
    <t>Test_bastore.java</t>
  </si>
  <si>
    <t>Test_bipush.java</t>
  </si>
  <si>
    <t>Test_caload.java</t>
  </si>
  <si>
    <t>Test_castore.java</t>
  </si>
  <si>
    <t>Test_checkcast.java</t>
  </si>
  <si>
    <t>Test_d2f.java</t>
  </si>
  <si>
    <t>Test_d2i.java</t>
  </si>
  <si>
    <t>Test_d2l.java</t>
  </si>
  <si>
    <t>Test_dadd.java</t>
  </si>
  <si>
    <t>Test_daload.java</t>
  </si>
  <si>
    <t>Test_dastore.java</t>
  </si>
  <si>
    <t>Test_dcmpg.java</t>
  </si>
  <si>
    <t>Test_dcmpl.java</t>
  </si>
  <si>
    <t>Test_dconst_0.java</t>
  </si>
  <si>
    <t>Test_dconst_1.java</t>
  </si>
  <si>
    <t>Test_ddiv.java</t>
  </si>
  <si>
    <t>Test_dload.java</t>
  </si>
  <si>
    <t>Test_dload_0.java</t>
  </si>
  <si>
    <t>Test_dload_1.java</t>
  </si>
  <si>
    <t>Test_dload_2.java</t>
  </si>
  <si>
    <t>Test_dload_3.java</t>
  </si>
  <si>
    <t>Test_dmul.java</t>
  </si>
  <si>
    <t>Test_dneg.java</t>
  </si>
  <si>
    <t>Test_drem.java</t>
  </si>
  <si>
    <t>Test_dreturn.java</t>
  </si>
  <si>
    <t>Test_dstore.java</t>
  </si>
  <si>
    <t>Test_dstore_0.java</t>
  </si>
  <si>
    <t>Test_dstore_1.java</t>
  </si>
  <si>
    <t>Test_dstore_2.java</t>
  </si>
  <si>
    <t>Test_dstore_3.java</t>
  </si>
  <si>
    <t>Test_dsub.java</t>
  </si>
  <si>
    <t>Test_dup.java</t>
  </si>
  <si>
    <t>Test_dup2.java</t>
  </si>
  <si>
    <t>Test_dup2_x1.java</t>
  </si>
  <si>
    <t>Test_dup2_x2.java</t>
  </si>
  <si>
    <t>Test_dup_x1.java</t>
  </si>
  <si>
    <t>Test_dup_x2.java</t>
  </si>
  <si>
    <t>Test_f2d.java</t>
  </si>
  <si>
    <t>Test_f2i.java</t>
  </si>
  <si>
    <t>Test_f2l.java</t>
  </si>
  <si>
    <t>Test_fadd.java</t>
  </si>
  <si>
    <t>Test_faload.java</t>
  </si>
  <si>
    <t>Test_fastore.java</t>
  </si>
  <si>
    <t>Test_fcmpg.java</t>
  </si>
  <si>
    <t>Test_fcmpl.java</t>
  </si>
  <si>
    <t>Test_fconst_0.java</t>
  </si>
  <si>
    <t>Test_fconst_1.java</t>
  </si>
  <si>
    <t>Test_fconst_2.java</t>
  </si>
  <si>
    <t>Test_fdiv.java</t>
  </si>
  <si>
    <t>Test_fload.java</t>
  </si>
  <si>
    <t>Test_fload_0.java</t>
  </si>
  <si>
    <t>Test_fload_1.java</t>
  </si>
  <si>
    <t>Test_fload_2.java</t>
  </si>
  <si>
    <t>Test_fload_3.java</t>
  </si>
  <si>
    <t>Test_fmul.java</t>
  </si>
  <si>
    <t>Test_fneg.java</t>
  </si>
  <si>
    <t>Test_frem.java</t>
  </si>
  <si>
    <t>Test_freturn.java</t>
  </si>
  <si>
    <t>Test_fstore.java</t>
  </si>
  <si>
    <t>Test_fstore_0.java</t>
  </si>
  <si>
    <t>Test_fstore_1.java</t>
  </si>
  <si>
    <t>Test_fstore_2.java</t>
  </si>
  <si>
    <t>Test_fstore_3.java</t>
  </si>
  <si>
    <t>Test_fsub.java</t>
  </si>
  <si>
    <t>Test_getfield.java</t>
  </si>
  <si>
    <t>Test_getstatic.java</t>
  </si>
  <si>
    <t>Test_goto_w.java</t>
  </si>
  <si>
    <t>Test_i2b.java</t>
  </si>
  <si>
    <t>Test_i2c.java</t>
  </si>
  <si>
    <t>Test_i2d.java</t>
  </si>
  <si>
    <t>Test_i2f.java</t>
  </si>
  <si>
    <t>Test_i2l.java</t>
  </si>
  <si>
    <t>Test_i2s.java</t>
  </si>
  <si>
    <t>Test_iadd.java</t>
  </si>
  <si>
    <t>Test_iaload.java</t>
  </si>
  <si>
    <t>Test_iand.java</t>
  </si>
  <si>
    <t>Test_iastore.java</t>
  </si>
  <si>
    <t>Test_iconst_0.java</t>
  </si>
  <si>
    <t>Test_iconst_1.java</t>
  </si>
  <si>
    <t>Test_iconst_2.java</t>
  </si>
  <si>
    <t>Test_iconst_3.java</t>
  </si>
  <si>
    <t>Test_iconst_4.java</t>
  </si>
  <si>
    <t>Test_iconst_5.java</t>
  </si>
  <si>
    <t>Test_iconst_m1.java</t>
  </si>
  <si>
    <t>Test_idiv.java</t>
  </si>
  <si>
    <t>Test_if_acmpeq.java</t>
  </si>
  <si>
    <t>Test_if_acmpne.java</t>
  </si>
  <si>
    <t>Test_if_icmpeq.java</t>
  </si>
  <si>
    <t>Test_if_icmpge.java</t>
  </si>
  <si>
    <t>Test_if_icmpgt.java</t>
  </si>
  <si>
    <t>Test_if_icmple.java</t>
  </si>
  <si>
    <t>Test_if_icmplt.java</t>
  </si>
  <si>
    <t>Test_if_icmpne.java</t>
  </si>
  <si>
    <t>Test_ifeq.java</t>
  </si>
  <si>
    <t>Test_ifge.java</t>
  </si>
  <si>
    <t>Test_ifgt.java</t>
  </si>
  <si>
    <t>Test_ifle.java</t>
  </si>
  <si>
    <t>Test_iflt.java</t>
  </si>
  <si>
    <t>Test_ifne.java</t>
  </si>
  <si>
    <t>Test_ifnonnull.java</t>
  </si>
  <si>
    <t>Test_ifnull.java</t>
  </si>
  <si>
    <t>Test_iinc.java</t>
  </si>
  <si>
    <t>Test_iload.java</t>
  </si>
  <si>
    <t>Test_iload_0.java</t>
  </si>
  <si>
    <t>Test_iload_1.java</t>
  </si>
  <si>
    <t>Test_iload_2.java</t>
  </si>
  <si>
    <t>Test_iload_3.java</t>
  </si>
  <si>
    <t>Test_imul.java</t>
  </si>
  <si>
    <t>Test_ineg.java</t>
  </si>
  <si>
    <t>Test_invokeinterface.java</t>
  </si>
  <si>
    <t>Test_invokespecial.java</t>
  </si>
  <si>
    <t>Test_invokestatic.java</t>
  </si>
  <si>
    <t>TestClass.java</t>
  </si>
  <si>
    <t>TestClassInitError.java</t>
  </si>
  <si>
    <t>Test_invokevirtual.java</t>
  </si>
  <si>
    <t>Test_ior.java</t>
  </si>
  <si>
    <t>Test_irem.java</t>
  </si>
  <si>
    <t>Test_ireturn.java</t>
  </si>
  <si>
    <t>Test_ishl.java</t>
  </si>
  <si>
    <t>Test_ishr.java</t>
  </si>
  <si>
    <t>Test_istore.java</t>
  </si>
  <si>
    <t>Test_istore_0.java</t>
  </si>
  <si>
    <t>Test_istore_1.java</t>
  </si>
  <si>
    <t>Test_istore_2.java</t>
  </si>
  <si>
    <t>Test_istore_3.java</t>
  </si>
  <si>
    <t>Test_isub.java</t>
  </si>
  <si>
    <t>Test_iushr.java</t>
  </si>
  <si>
    <t>Test_ixor.java</t>
  </si>
  <si>
    <t>Test_jsr.java</t>
  </si>
  <si>
    <t>Test_jsr_w.java</t>
  </si>
  <si>
    <t>Test_l2d.java</t>
  </si>
  <si>
    <t>Test_l2f.java</t>
  </si>
  <si>
    <t>Test_l2i.java</t>
  </si>
  <si>
    <t>Test_ladd.java</t>
  </si>
  <si>
    <t>Test_laload.java</t>
  </si>
  <si>
    <t>Test_land.java</t>
  </si>
  <si>
    <t>Test_lastore.java</t>
  </si>
  <si>
    <t>Test_lcmp.java</t>
  </si>
  <si>
    <t>Test_lconst_0.java</t>
  </si>
  <si>
    <t>Test_lconst_1.java</t>
  </si>
  <si>
    <t>Test_ldc.java</t>
  </si>
  <si>
    <t>Test_ldc2_w.java</t>
  </si>
  <si>
    <t>Test_ldc_w.java</t>
  </si>
  <si>
    <t>Test_ldiv.java</t>
  </si>
  <si>
    <t>Test_lload.java</t>
  </si>
  <si>
    <t>Test_lload_0.java</t>
  </si>
  <si>
    <t>Test_lload_1.java</t>
  </si>
  <si>
    <t>Test_lload_2.java</t>
  </si>
  <si>
    <t>Test_lload_3.java</t>
  </si>
  <si>
    <t>Test_lmul.java</t>
  </si>
  <si>
    <t>Test_lneg.java</t>
  </si>
  <si>
    <t>Test_lookupswitch.java</t>
  </si>
  <si>
    <t>Test_lor.java</t>
  </si>
  <si>
    <t>Test_lrem.java</t>
  </si>
  <si>
    <t>Test_lreturn.java</t>
  </si>
  <si>
    <t>Test_lshl.java</t>
  </si>
  <si>
    <t>Test_lshr.java</t>
  </si>
  <si>
    <t>Test_lstore.java</t>
  </si>
  <si>
    <t>Test_lstore_0.java</t>
  </si>
  <si>
    <t>Test_lstore_1.java</t>
  </si>
  <si>
    <t>Test_lstore_2.java</t>
  </si>
  <si>
    <t>Test_lstore_3.java</t>
  </si>
  <si>
    <t>Test_lsub.java</t>
  </si>
  <si>
    <t>Test_lushr.java</t>
  </si>
  <si>
    <t>Test_lxor.java</t>
  </si>
  <si>
    <t>Test_monitorenter.java</t>
  </si>
  <si>
    <t>Test_monitorexit.java</t>
  </si>
  <si>
    <t>Test_multianewarray.java</t>
  </si>
  <si>
    <t>Test_newarray.java</t>
  </si>
  <si>
    <t>Test_nop.java</t>
  </si>
  <si>
    <t>Test_opc_goto.java</t>
  </si>
  <si>
    <t>Test_opc_instanceof.java</t>
  </si>
  <si>
    <t>Test_opc_new.java</t>
  </si>
  <si>
    <t>Test_opc_return.java</t>
  </si>
  <si>
    <t>Test_pop.java</t>
  </si>
  <si>
    <t>Test_pop2.java</t>
  </si>
  <si>
    <t>Test_putfield.java</t>
  </si>
  <si>
    <t>Test_putstatic.java</t>
  </si>
  <si>
    <t>Test_ret.java</t>
  </si>
  <si>
    <t>Test_saload.java</t>
  </si>
  <si>
    <t>Test_sastore.java</t>
  </si>
  <si>
    <t>Test_sipush.java</t>
  </si>
  <si>
    <t>Test_swap.java</t>
  </si>
  <si>
    <t>Test_tableswitch.java</t>
  </si>
  <si>
    <t>Test_wide.java</t>
  </si>
  <si>
    <t>Test_t481_1.java</t>
  </si>
  <si>
    <t>Test_t481_2.java</t>
  </si>
  <si>
    <t>Test_t481_3.java</t>
  </si>
  <si>
    <t>Test_t481_4.java</t>
  </si>
  <si>
    <t>Test_t481_6.java</t>
  </si>
  <si>
    <t>Test_t482_10.java</t>
  </si>
  <si>
    <t>Test_t482_11.java</t>
  </si>
  <si>
    <t>Test_t482_14.java</t>
  </si>
  <si>
    <t>Test_t482_2.java</t>
  </si>
  <si>
    <t>Test_t482_20.java</t>
  </si>
  <si>
    <t>Test_t482_3.java</t>
  </si>
  <si>
    <t>Test_t482_4.java</t>
  </si>
  <si>
    <t>Test_t482_8.java</t>
  </si>
  <si>
    <t>Test_t482_9.java</t>
  </si>
  <si>
    <t>ViewTreeObserverTest.java</t>
  </si>
  <si>
    <t>AccessibilityWindowQueryActivityTest.java</t>
  </si>
  <si>
    <t>CodecTest.java</t>
  </si>
  <si>
    <t>MediaFrameworkTest.java</t>
  </si>
  <si>
    <t>MediaPlayerStressTest.java</t>
  </si>
  <si>
    <t>MediaRecorderStressTest.java</t>
  </si>
  <si>
    <t>MediaScannerNotificationTest.java</t>
  </si>
  <si>
    <t>CacheManager_CacheResultTest.java</t>
  </si>
  <si>
    <t>CookieManagerTest.java</t>
  </si>
  <si>
    <t>HttpAuthHandlerTest.java</t>
  </si>
  <si>
    <t>WebSettingsTest.java</t>
  </si>
  <si>
    <t>DebugTest.java</t>
  </si>
  <si>
    <t>Test_f1.java</t>
  </si>
  <si>
    <t>Test_array_length.java</t>
  </si>
  <si>
    <t>Test_check_cast.java</t>
  </si>
  <si>
    <t>Test_const_16.java</t>
  </si>
  <si>
    <t>Test_const_4.java</t>
  </si>
  <si>
    <t>Test_const_class.java</t>
  </si>
  <si>
    <t>Test_const_high16.java</t>
  </si>
  <si>
    <t>Test_const_string.java</t>
  </si>
  <si>
    <t>Test_const_string_jumbo.java</t>
  </si>
  <si>
    <t>Test_const_wide.java</t>
  </si>
  <si>
    <t>Test_const_wide_16.java</t>
  </si>
  <si>
    <t>Test_const_wide_32.java</t>
  </si>
  <si>
    <t>Test_const_wide_high16.java</t>
  </si>
  <si>
    <t>Test_fill_array_data.java</t>
  </si>
  <si>
    <t>Test_filled_new_array.java</t>
  </si>
  <si>
    <t>Test_filled_new_array_range.java</t>
  </si>
  <si>
    <t>Test_goto_16.java</t>
  </si>
  <si>
    <t>Test_goto_32.java</t>
  </si>
  <si>
    <t>Test_iget.java</t>
  </si>
  <si>
    <t>Test_iget_boolean.java</t>
  </si>
  <si>
    <t>Test_iget_byte.java</t>
  </si>
  <si>
    <t>Test_iget_char.java</t>
  </si>
  <si>
    <t>Test_iget_object.java</t>
  </si>
  <si>
    <t>Test_iget_short.java</t>
  </si>
  <si>
    <t>Test_iget_wide.java</t>
  </si>
  <si>
    <t>Test_instance_of.java</t>
  </si>
  <si>
    <t>Test_invoke_direct.java</t>
  </si>
  <si>
    <t>Test_invoke_direct_range.java</t>
  </si>
  <si>
    <t>Test_invoke_static.java</t>
  </si>
  <si>
    <t>Test_invoke_static_range.java</t>
  </si>
  <si>
    <t>Test_iput_boolean.java</t>
  </si>
  <si>
    <t>Test_iput_byte.java</t>
  </si>
  <si>
    <t>Test_iput_char.java</t>
  </si>
  <si>
    <t>Test_iput_object.java</t>
  </si>
  <si>
    <t>Test_iput_short.java</t>
  </si>
  <si>
    <t>Test_iput_wide.java</t>
  </si>
  <si>
    <t>Test_monitor_enter.java</t>
  </si>
  <si>
    <t>Test_monitor_exit.java</t>
  </si>
  <si>
    <t>Test_move.java</t>
  </si>
  <si>
    <t>Test_move_16.java</t>
  </si>
  <si>
    <t>Test_move_exception.java</t>
  </si>
  <si>
    <t>Test_move_from16.java</t>
  </si>
  <si>
    <t>Test_move_object.java</t>
  </si>
  <si>
    <t>Test_move_object_16.java</t>
  </si>
  <si>
    <t>Test_move_object_from16.java</t>
  </si>
  <si>
    <t>Test_move_result.java</t>
  </si>
  <si>
    <t>Test_move_result_object.java</t>
  </si>
  <si>
    <t>Test_move_result_wide.java</t>
  </si>
  <si>
    <t>Test_move_wide.java</t>
  </si>
  <si>
    <t>Test_move_wide_16.java</t>
  </si>
  <si>
    <t>Test_move_wide_from16.java</t>
  </si>
  <si>
    <t>Test_new_array.java</t>
  </si>
  <si>
    <t>Test_new_instance.java</t>
  </si>
  <si>
    <t>Test_opc_const.java</t>
  </si>
  <si>
    <t>Test_opc_throw.java</t>
  </si>
  <si>
    <t>Test_return_object.java</t>
  </si>
  <si>
    <t>Test_return_void.java</t>
  </si>
  <si>
    <t>Test_return_wide.java</t>
  </si>
  <si>
    <t>Test_sget.java</t>
  </si>
  <si>
    <t>Test_sget_boolean.java</t>
  </si>
  <si>
    <t>Test_sget_byte.java</t>
  </si>
  <si>
    <t>Test_sget_char.java</t>
  </si>
  <si>
    <t>Test_sget_object.java</t>
  </si>
  <si>
    <t>Test_sget_short.java</t>
  </si>
  <si>
    <t>Test_sget_wide.java</t>
  </si>
  <si>
    <t>Test_sput_boolean.java</t>
  </si>
  <si>
    <t>Test_sput_byte.java</t>
  </si>
  <si>
    <t>Test_sput_char.java</t>
  </si>
  <si>
    <t>Test_sput_object.java</t>
  </si>
  <si>
    <t>Test_sput_short.java</t>
  </si>
  <si>
    <t>Test_sput_wide.java</t>
  </si>
  <si>
    <t>Test_a1.java</t>
  </si>
  <si>
    <t>Test_a3.java</t>
  </si>
  <si>
    <t>Test_a5.java</t>
  </si>
  <si>
    <t>Test_b17.java</t>
  </si>
  <si>
    <t>Test_b2.java</t>
  </si>
  <si>
    <t>Test_b3.java</t>
  </si>
  <si>
    <t>BasicNdefTest.java</t>
  </si>
  <si>
    <t>PhoneNumberFormattingTextWatcherTest.java</t>
  </si>
  <si>
    <t>ApiDemosTest.java</t>
  </si>
  <si>
    <t>ContactsContract_StreamItemsTest.java</t>
  </si>
  <si>
    <t>DeviceInfoResultTest.java</t>
  </si>
  <si>
    <t>ContactsContract_PhotoTest.java</t>
  </si>
  <si>
    <t>GlAppSwitchTest.java</t>
  </si>
  <si>
    <t>Contacts_SettingsTest.java</t>
  </si>
  <si>
    <t>CursorWrapperTest.java</t>
  </si>
  <si>
    <t>OrientationListenerTest.java</t>
  </si>
  <si>
    <t>MonkeyTest.java</t>
  </si>
  <si>
    <t>ComputeTest.java</t>
  </si>
  <si>
    <t>ChoreographerTest.java</t>
  </si>
  <si>
    <t>DrmEventTest.java</t>
  </si>
  <si>
    <t>AccessibilityServiceTestsRunnerTest.java</t>
  </si>
  <si>
    <t>StreamingMediaPlayerTest.java</t>
  </si>
  <si>
    <t>PreferenceWithHeadersTest.java</t>
  </si>
  <si>
    <t>PIILogTest.java</t>
  </si>
  <si>
    <t>SpannableStringBuilderSpanTest.java</t>
  </si>
  <si>
    <t>XmlTest.java</t>
  </si>
  <si>
    <t>AccessibilityHierarchicalFocusTest.java</t>
  </si>
  <si>
    <t>ImageViewTest.java</t>
  </si>
  <si>
    <t>FileSystemPermissionTest.java</t>
  </si>
  <si>
    <t>GravityTest.java</t>
  </si>
  <si>
    <t>LocaleUtilTest.java</t>
  </si>
  <si>
    <t>LayoutDirectionTest.java</t>
  </si>
  <si>
    <t>VoldExploitTest.java</t>
  </si>
  <si>
    <t>ViewGroup_MarginLayoutParamsTest.java</t>
  </si>
  <si>
    <t>UriTest.java</t>
  </si>
  <si>
    <t>AccessibilityFocusAndInputFocusSyncTest.java</t>
  </si>
  <si>
    <t>AccessibilityNodeInfoTest.java</t>
  </si>
  <si>
    <t>GestureDetectorTest.java</t>
  </si>
  <si>
    <t>VelocityTrackerTest.java</t>
  </si>
  <si>
    <t>AttachShaderTest.java</t>
  </si>
  <si>
    <t>NativeAttachShaderTest.java</t>
  </si>
  <si>
    <t>ProgramTest.java</t>
  </si>
  <si>
    <t>ObjectAnimatorTest.java</t>
  </si>
  <si>
    <t>RendererEightShaderTest.java</t>
  </si>
  <si>
    <t>RendererFiveShaderTest.java</t>
  </si>
  <si>
    <t>RendererFourShaderTest.java</t>
  </si>
  <si>
    <t>RendererNineShaderTest.java</t>
  </si>
  <si>
    <t>RendererOneProgramTest.java</t>
  </si>
  <si>
    <t>RendererOneShaderTest.java</t>
  </si>
  <si>
    <t>RendererSevenShaderTest.java</t>
  </si>
  <si>
    <t>RendererSixShaderTest.java</t>
  </si>
  <si>
    <t>RendererTenShaderTest.java</t>
  </si>
  <si>
    <t>RendererThreeShaderTest.java</t>
  </si>
  <si>
    <t>RendererTwoShaderTest.java</t>
  </si>
  <si>
    <t>H264R720pAacShortPlayerTest.java</t>
  </si>
  <si>
    <t>DevicePolicyManagerTest.java</t>
  </si>
  <si>
    <t>StaticLayoutLineBreakingTest.java</t>
  </si>
  <si>
    <t>AccessibilityDirectionalFocusTest.java</t>
  </si>
  <si>
    <t>MediaRandomTest.java</t>
  </si>
  <si>
    <t>ScanResultTest.java</t>
  </si>
  <si>
    <t>FullUpdateTest.java</t>
  </si>
  <si>
    <t>RWTest.java</t>
  </si>
  <si>
    <t>TestTest.java</t>
  </si>
  <si>
    <t>ScrollingTest.java</t>
  </si>
  <si>
    <t>TestPackageResult.java</t>
  </si>
  <si>
    <t>SequentialRWTest.java</t>
  </si>
  <si>
    <t>NoWakeLockPermissionTest.java</t>
  </si>
  <si>
    <t>ConfigurationScreenLayoutTest.java</t>
  </si>
  <si>
    <t>AudioTrackTest.java</t>
  </si>
  <si>
    <t>WebkitAbortCrashTest.java</t>
  </si>
  <si>
    <t>WebkitAbsolutePositionForeignObjectChildCrashTest.java</t>
  </si>
  <si>
    <t>WebkitAdoptNodeCrashTest.java</t>
  </si>
  <si>
    <t>WebkitAfterDoesntCrashTest.java</t>
  </si>
  <si>
    <t>WebkitAfterWithFirstLetterFloatCrashTest.java</t>
  </si>
  <si>
    <t>WebkitAnchorLinkedAnonymousBlockCrashTest.java</t>
  </si>
  <si>
    <t>WebkitAnimatedBackgroundImageCrashTest.java</t>
  </si>
  <si>
    <t>WebkitAnimationOnInlineCrashTest.java</t>
  </si>
  <si>
    <t>WebkitAnonymousBeforeChildParentCrashTest.java</t>
  </si>
  <si>
    <t>WebkitAnonymousBlockCrashTest.java</t>
  </si>
  <si>
    <t>WebkitAnonymousBlockMergeCrashTest.java</t>
  </si>
  <si>
    <t>WebkitAnonymousRenderBlockInContinuationCausesCrashTest.java</t>
  </si>
  <si>
    <t>WebkitAnonymousSplitBlockCrashTest.java</t>
  </si>
  <si>
    <t>WebkitApplyStyleTextDecorationCrashTest.java</t>
  </si>
  <si>
    <t>WebkitApplyblockelementVisiblepositionforindexCrashTest.java</t>
  </si>
  <si>
    <t>WebkitArcCrashTest.java</t>
  </si>
  <si>
    <t>WebkitAreaIslinkFocusNullPtrCrashTest.java</t>
  </si>
  <si>
    <t>WebkitAriaActivedescendantCrashTest.java</t>
  </si>
  <si>
    <t>WebkitAriaOptionsAndMenuitemsCrashTest.java</t>
  </si>
  <si>
    <t>WebkitArrayBufferCrashTest.java</t>
  </si>
  <si>
    <t>WebkitArrayBufferViewCrashTest.java</t>
  </si>
  <si>
    <t>WebkitArrayBufferViewCrashWhenReassignedTest.java</t>
  </si>
  <si>
    <t>WebkitAsteriskCounterUpdateAfterLayoutCrashTest.java</t>
  </si>
  <si>
    <t>WebkitAvlCrashTest.java</t>
  </si>
  <si>
    <t>WebkitBackcolorCrashTest.java</t>
  </si>
  <si>
    <t>WebkitBackgroundFillZeroAreaCrashTest.java</t>
  </si>
  <si>
    <t>WebkitBackgroundNorepeatCrashTest.java</t>
  </si>
  <si>
    <t>WebkitBackwardTextiteratorFirstLetterCrashTest.java</t>
  </si>
  <si>
    <t>WebkitBadHandshakeCrashTest.java</t>
  </si>
  <si>
    <t>WebkitBadTransitionShorthandCrashTest.java</t>
  </si>
  <si>
    <t>WebkitBasevalAnimvalCrashTest.java</t>
  </si>
  <si>
    <t>WebkitBasevalAnimvalListCrashTest.java</t>
  </si>
  <si>
    <t>WebkitBeforeBlockDoesntCrashTest.java</t>
  </si>
  <si>
    <t>WebkitBeforeChildNonTableSectionAddTableCrashTest.java</t>
  </si>
  <si>
    <t>WebkitBeforeContentWithListMarkerInAnonBlockCrashTest.java</t>
  </si>
  <si>
    <t>WebkitBeforeDoesntCrashTest.java</t>
  </si>
  <si>
    <t>WebkitBeforeTableDoesntCrashTest.java</t>
  </si>
  <si>
    <t>WebkitBidiNeutralInMixedDirectionRunCrashTest.java</t>
  </si>
  <si>
    <t>WebkitBindingsArrayApplyCrashTest.java</t>
  </si>
  <si>
    <t>WebkitBlobBuilderCrashTest.java</t>
  </si>
  <si>
    <t>WebkitBlockNotRemovedFromParentLineboxesCrashTest.java</t>
  </si>
  <si>
    <t>WebkitBlockRemoveChildDeleteLineBoxCrashTest.java</t>
  </si>
  <si>
    <t>WebkitBlockStyleProgressCrashTest.java</t>
  </si>
  <si>
    <t>WebkitBlockquoteCrashTest.java</t>
  </si>
  <si>
    <t>WebkitBodyCloneLinkDeclParentCrashTest.java</t>
  </si>
  <si>
    <t>WebkitBodyRemovalCrashTest.java</t>
  </si>
  <si>
    <t>WebkitBorderImageCrashTest.java</t>
  </si>
  <si>
    <t>WebkitBorderImageNullImageCrashTest.java</t>
  </si>
  <si>
    <t>WebkitCallApplyCrashTest.java</t>
  </si>
  <si>
    <t>WebkitCanvasFontExUnitsCrashTest.java</t>
  </si>
  <si>
    <t>WebkitCanvasGetimagedataLargeCrashTest.java</t>
  </si>
  <si>
    <t>WebkitCanvasTodataurlCrashTest.java</t>
  </si>
  <si>
    <t>WebkitCanvasTodataurlJpegCrashTest.java</t>
  </si>
  <si>
    <t>WebkitCellInRowBeforeMisnestedTextCrashCssTest.java</t>
  </si>
  <si>
    <t>WebkitChangeFormElementDocumentCrashTest.java</t>
  </si>
  <si>
    <t>WebkitChangeVersionNoCrashOnPreflightFailureTest.java</t>
  </si>
  <si>
    <t>WebkitChangeWidgetAndClickCrashTest.java</t>
  </si>
  <si>
    <t>WebkitChangingAttrbutesCrashTest.java</t>
  </si>
  <si>
    <t>WebkitCharacterDataMutationCrashTest.java</t>
  </si>
  <si>
    <t>WebkitCheckboxSelectionCrashTest.java</t>
  </si>
  <si>
    <t>WebkitChildNotRemovedFromParentLineboxesCrashTest.java</t>
  </si>
  <si>
    <t>WebkitChromiumLinuxFallbackCrashTest.java</t>
  </si>
  <si>
    <t>WebkitClearWatchInvalidIdCrashTest.java</t>
  </si>
  <si>
    <t>WebkitClickSizeZeroNoCrashTest.java</t>
  </si>
  <si>
    <t>WebkitCloneAnonymousBlockNonInlineChildCrashTest.java</t>
  </si>
  <si>
    <t>WebkitCloneBeforeAfterContentCrashTest.java</t>
  </si>
  <si>
    <t>WebkitCloneBlockChildrenInlineMismatchCrashTest.java</t>
  </si>
  <si>
    <t>WebkitClonenodeAfterDeleteruleCrashTest.java</t>
  </si>
  <si>
    <t>WebkitCloseInOnmessageCrashTest.java</t>
  </si>
  <si>
    <t>WebkitColumnSpanParentContinuationCrashTest.java</t>
  </si>
  <si>
    <t>WebkitCombiningCharacterSequenceFallbackCrashTest.java</t>
  </si>
  <si>
    <t>WebkitConsoleLongEvalCrashTest.java</t>
  </si>
  <si>
    <t>WebkitConstructorAsFunctionCrashTest.java</t>
  </si>
  <si>
    <t>WebkitContainerTransformCrashTest.java</t>
  </si>
  <si>
    <t>WebkitContentHeightZeroCrashTest.java</t>
  </si>
  <si>
    <t>WebkitContextDestroyedCrashTest.java</t>
  </si>
  <si>
    <t>WebkitContinuationcrashTest.java</t>
  </si>
  <si>
    <t>WebkitCopyCrashTest.java</t>
  </si>
  <si>
    <t>WebkitCopyCrashWithExtraneousAttributeTest.java</t>
  </si>
  <si>
    <t>WebkitCopyStandaloneImageCrashTest.java</t>
  </si>
  <si>
    <t>WebkitCopyWithoutCommonBlockCrashTest.java</t>
  </si>
  <si>
    <t>WebkitCounterAfterStyleCrashTest.java</t>
  </si>
  <si>
    <t>WebkitCounterBeforeSelectorCrashTest.java</t>
  </si>
  <si>
    <t>WebkitCounterCrashFrameSrcTest.java</t>
  </si>
  <si>
    <t>WebkitCounterCrashTest.java</t>
  </si>
  <si>
    <t>WebkitCounterReparentTableChildrenCrashTest.java</t>
  </si>
  <si>
    <t>WebkitCounterTraverseObjectCrashTest.java</t>
  </si>
  <si>
    <t>WebkitCrashAccessingClipboarddataTypesTest.java</t>
  </si>
  <si>
    <t>WebkitCrashAnonymousTableComputelogicalwidthTest.java</t>
  </si>
  <si>
    <t>WebkitCrashAnonymousTableLayoutTest.java</t>
  </si>
  <si>
    <t>WebkitCrashBeforeborderDirtySectionTest.java</t>
  </si>
  <si>
    <t>WebkitCrashBreakingBlockquoteWithListTest.java</t>
  </si>
  <si>
    <t>WebkitCrashButtonInputAutofocusTest.java</t>
  </si>
  <si>
    <t>WebkitCrashButtonKeygenTest.java</t>
  </si>
  <si>
    <t>WebkitCrashButtonRelayoutTest.java</t>
  </si>
  <si>
    <t>WebkitCrashClosingPageWithMediaAsPluginFallbackTest.java</t>
  </si>
  <si>
    <t>WebkitCrashCopyingBackforwardlistTest.java</t>
  </si>
  <si>
    <t>WebkitCrashDeterminingAriaRoleWhenLabelPresentTest.java</t>
  </si>
  <si>
    <t>WebkitCrashDisplayLocalDirectoryTest.java</t>
  </si>
  <si>
    <t>WebkitCrashEmptySectionCalcborderTest.java</t>
  </si>
  <si>
    <t>WebkitCrashEmptySectionFixedLayoutCalcarrayTest.java</t>
  </si>
  <si>
    <t>WebkitCrashFilterChangeTest.java</t>
  </si>
  <si>
    <t>WebkitCrashFlexboxNoLayoutChildTest.java</t>
  </si>
  <si>
    <t>WebkitCrashFramesetCssContentPropertyTest.java</t>
  </si>
  <si>
    <t>WebkitCrashGeneratedCounterTest.java</t>
  </si>
  <si>
    <t>WebkitCrashGeneratedImageTest.java</t>
  </si>
  <si>
    <t>WebkitCrashGeneratedQuoteTest.java</t>
  </si>
  <si>
    <t>WebkitCrashGeneratedTextTest.java</t>
  </si>
  <si>
    <t>WebkitCrashHtmlparserCreateheadTest.java</t>
  </si>
  <si>
    <t>WebkitCrashHugeLayerTest.java</t>
  </si>
  <si>
    <t>WebkitCrashHwSwSwitchTest.java</t>
  </si>
  <si>
    <t>WebkitCrashInElementForTextMarkerTest.java</t>
  </si>
  <si>
    <t>WebkitCrashIndentingListItemTest.java</t>
  </si>
  <si>
    <t>WebkitCrashInlineContainerClientTest.java</t>
  </si>
  <si>
    <t>WebkitCrashInvalidTextMarkerNodeTest.java</t>
  </si>
  <si>
    <t>WebkitCrashLineBreakAfterOutdentTest.java</t>
  </si>
  <si>
    <t>WebkitCrashMultipleFamilyFontfaceTest.java</t>
  </si>
  <si>
    <t>WebkitCrashOnAbsolutePositioningTest.java</t>
  </si>
  <si>
    <t>WebkitCrashOnClearSelectionTest.java</t>
  </si>
  <si>
    <t>WebkitCrashOnCustomCursorWhenLoadingTest.java</t>
  </si>
  <si>
    <t>WebkitCrashOnDegenerateGradientTest.java</t>
  </si>
  <si>
    <t>WebkitCrashOnDragWithMutationEventsTest.java</t>
  </si>
  <si>
    <t>WebkitCrashOnEnterInContenteditableListTest.java</t>
  </si>
  <si>
    <t>WebkitCrashOnMutateDuringDropTest.java</t>
  </si>
  <si>
    <t>WebkitCrashOnOnepxBorderTest.java</t>
  </si>
  <si>
    <t>WebkitCrashOnRemoveTest.java</t>
  </si>
  <si>
    <t>WebkitCrashOnTrTest.java</t>
  </si>
  <si>
    <t>WebkitCrashOnZeroRadiusTest.java</t>
  </si>
  <si>
    <t>WebkitCrashOneTest.java</t>
  </si>
  <si>
    <t>WebkitCrashRemovedIframeTest.java</t>
  </si>
  <si>
    <t>WebkitCrashReparentTiledLayerTest.java</t>
  </si>
  <si>
    <t>WebkitCrashReplacedDisplayBlockTest.java</t>
  </si>
  <si>
    <t>WebkitCrashReplacingLocationBeforeLoadTest.java</t>
  </si>
  <si>
    <t>WebkitCrashRestoringPluginPageFromPageCacheTest.java</t>
  </si>
  <si>
    <t>WebkitCrashSectionLogicalHeightChangedNeedscellrecalcTest.java</t>
  </si>
  <si>
    <t>WebkitCrashSetFontTest.java</t>
  </si>
  <si>
    <t>WebkitCrashSplitcolumnTest.java</t>
  </si>
  <si>
    <t>WebkitCrashSplitcolumnThreeTest.java</t>
  </si>
  <si>
    <t>WebkitCrashSplitcolumnTwoTest.java</t>
  </si>
  <si>
    <t>WebkitCrashStyleFirstLetterTest.java</t>
  </si>
  <si>
    <t>WebkitCrashSvgDocumentTest.java</t>
  </si>
  <si>
    <t>WebkitCrashTableCellChangeHeightTest.java</t>
  </si>
  <si>
    <t>WebkitCrashTextpathAttributesTest.java</t>
  </si>
  <si>
    <t>WebkitCrashTwoTest.java</t>
  </si>
  <si>
    <t>WebkitCrashWhenNavigatingAwayThenBackTest.java</t>
  </si>
  <si>
    <t>WebkitCrashWhenReparentSiblingTest.java</t>
  </si>
  <si>
    <t>WebkitCrashWhileLoadingTagWithPauseTest.java</t>
  </si>
  <si>
    <t>WebkitCrashWithNoelementSelectboxTest.java</t>
  </si>
  <si>
    <t>WebkitCrashingATagInMapTest.java</t>
  </si>
  <si>
    <t>WebkitCreateBlobUrlCrashTest.java</t>
  </si>
  <si>
    <t>WebkitCreateDocumentCrashOnAttachEventTest.java</t>
  </si>
  <si>
    <t>WebkitCreatePatternDoesNotCrashTest.java</t>
  </si>
  <si>
    <t>WebkitCrossOriginStylesheetCrashTest.java</t>
  </si>
  <si>
    <t>WebkitCssContentAndWebkitMaskBoxImageCrashTest.java</t>
  </si>
  <si>
    <t>WebkitCssFontfaceRuleCrashTest.java</t>
  </si>
  <si>
    <t>WebkitCssInlineStyleDeclarationCrashTest.java</t>
  </si>
  <si>
    <t>WebkitCssKeyframeStyleCrashTest.java</t>
  </si>
  <si>
    <t>WebkitCsstargetCrashTest.java</t>
  </si>
  <si>
    <t>WebkitCssthreeRadialGradientCrashTest.java</t>
  </si>
  <si>
    <t>WebkitCustomFontDataCrashTest.java</t>
  </si>
  <si>
    <t>WebkitCustomFontDataCrashtwoTest.java</t>
  </si>
  <si>
    <t>WebkitDanglingFormElementCrashTest.java</t>
  </si>
  <si>
    <t>WebkitDashboardRegionsAttrCrashTest.java</t>
  </si>
  <si>
    <t>WebkitDataViewCrashTest.java</t>
  </si>
  <si>
    <t>WebkitDebuggerActivationCrashTest.java</t>
  </si>
  <si>
    <t>WebkitDebuggerActivationCrashtwoTest.java</t>
  </si>
  <si>
    <t>WebkitDelayedStyleMutationEventCrashTest.java</t>
  </si>
  <si>
    <t>WebkitDeleteInsignificantTextCrashTest.java</t>
  </si>
  <si>
    <t>WebkitDestroyCellWithSelectionCrashTest.java</t>
  </si>
  <si>
    <t>WebkitDestroyCounterCrashTest.java</t>
  </si>
  <si>
    <t>WebkitDestroySelectedRadioButtonCrashTest.java</t>
  </si>
  <si>
    <t>WebkitDetachedObjectNotificationCrashTest.java</t>
  </si>
  <si>
    <t>WebkitDetachedOutermostSvgCrashTest.java</t>
  </si>
  <si>
    <t>WebkitDetailsChildrenMergeCrashTest.java</t>
  </si>
  <si>
    <t>WebkitDetailsElementRenderInlineCrashTest.java</t>
  </si>
  <si>
    <t>WebkitDeviceOrientationCrashTest.java</t>
  </si>
  <si>
    <t>WebkitDirtyInlineTextboxCrashTest.java</t>
  </si>
  <si>
    <t>WebkitDispatcheventCrashTest.java</t>
  </si>
  <si>
    <t>WebkitDisplayNoneInlineStyleChangeCrashTest.java</t>
  </si>
  <si>
    <t>WebkitDivWithinAnchorsCausesCrashTest.java</t>
  </si>
  <si>
    <t>WebkitDoctypeEventListenerCrashTest.java</t>
  </si>
  <si>
    <t>WebkitDocumentDeactivationCallbackCrashTest.java</t>
  </si>
  <si>
    <t>WebkitDomstringReplaceCrashTest.java</t>
  </si>
  <si>
    <t>WebkitDomurlScriptExecutionContextCrashTest.java</t>
  </si>
  <si>
    <t>WebkitDontCrashWithNullGifFramesTest.java</t>
  </si>
  <si>
    <t>WebkitDoubleMergeAnonymousBlockCrashTest.java</t>
  </si>
  <si>
    <t>WebkitDoubleclickCrashTest.java</t>
  </si>
  <si>
    <t>WebkitDoubleclickWhitespaceCrashTest.java</t>
  </si>
  <si>
    <t>WebkitDoubleclickWhitespaceImgCrashTest.java</t>
  </si>
  <si>
    <t>WebkitDragAndDropDatatransferTypesNocrashTest.java</t>
  </si>
  <si>
    <t>WebkitDragDropIframeRefreshCrashTest.java</t>
  </si>
  <si>
    <t>WebkitDragFileCrashTest.java</t>
  </si>
  <si>
    <t>WebkitDragOverIframeInvalidSourceCrashTest.java</t>
  </si>
  <si>
    <t>WebkitDuplicateHtmlElementCrashTest.java</t>
  </si>
  <si>
    <t>WebkitDuplicateParamCrashTest.java</t>
  </si>
  <si>
    <t>WebkitDuplicateParamGcCrashTest.java</t>
  </si>
  <si>
    <t>WebkitDynamicMarkerCrashTest.java</t>
  </si>
  <si>
    <t>WebkitEditableNonEditableCrashTest.java</t>
  </si>
  <si>
    <t>WebkitEditingCommandWhileExecutingTypingCommandCrashTest.java</t>
  </si>
  <si>
    <t>WebkitEmbedBidiStyleInIsolateCrashTest.java</t>
  </si>
  <si>
    <t>WebkitEmbedcrasherTest.java</t>
  </si>
  <si>
    <t>WebkitEmptyAnonymousBlockRemoveCrashTest.java</t>
  </si>
  <si>
    <t>WebkitEmptyBdiCrashTest.java</t>
  </si>
  <si>
    <t>WebkitEmptyContentWithFloatCrashTest.java</t>
  </si>
  <si>
    <t>WebkitEmptyFirstLineCrashTest.java</t>
  </si>
  <si>
    <t>WebkitEmptyMsubsupCrashTest.java</t>
  </si>
  <si>
    <t>WebkitEmptyRenderSurfaceCrasherTest.java</t>
  </si>
  <si>
    <t>WebkitEmptyRowCrashTest.java</t>
  </si>
  <si>
    <t>WebkitEmptySectionCrashTest.java</t>
  </si>
  <si>
    <t>WebkitEmptyTransformPreservethreedCrashTest.java</t>
  </si>
  <si>
    <t>WebkitEmptyWebkitMaskCrashTest.java</t>
  </si>
  <si>
    <t>WebkitEmptyWorkerNocrashTest.java</t>
  </si>
  <si>
    <t>WebkitEndOfBufferCrashTest.java</t>
  </si>
  <si>
    <t>WebkitEvalCacheCrashTest.java</t>
  </si>
  <si>
    <t>WebkitEventListenerMapRehashCrashTest.java</t>
  </si>
  <si>
    <t>WebkitEventsourceReconnectDuringNavigateCrashTest.java</t>
  </si>
  <si>
    <t>WebkitExceptionCodegenCrashTest.java</t>
  </si>
  <si>
    <t>WebkitExceptionNoFrameInlineScriptCrashIframeTest.java</t>
  </si>
  <si>
    <t>WebkitExceptionNoFrameInlineScriptCrashTest.java</t>
  </si>
  <si>
    <t>WebkitExceptionNoFrameTimeoutCrashIframeTest.java</t>
  </si>
  <si>
    <t>WebkitExceptionNoFrameTimeoutCrashTest.java</t>
  </si>
  <si>
    <t>WebkitExistentEventsourceStatusErrorIframeCrashTest.java</t>
  </si>
  <si>
    <t>WebkitExtendByLineAnonymousContentCrashTest.java</t>
  </si>
  <si>
    <t>WebkitExtendOverFileInputByDragCrashTest.java</t>
  </si>
  <si>
    <t>WebkitFencedWhitespaceSeparatorsCrashTest.java</t>
  </si>
  <si>
    <t>WebkitFileReaderDirectoryCrashTest.java</t>
  </si>
  <si>
    <t>WebkitFilesystemNoCallbackNullPtrCrashTest.java</t>
  </si>
  <si>
    <t>WebkitFillLayerCrashTest.java</t>
  </si>
  <si>
    <t>WebkitFilterEmptyElementCrashTest.java</t>
  </si>
  <si>
    <t>WebkitFindLayoutCrashTest.java</t>
  </si>
  <si>
    <t>WebkitFirstLetterAnonymousBlockCrashTest.java</t>
  </si>
  <si>
    <t>WebkitFirstLetterBlockFormControlsCrashTest.java</t>
  </si>
  <si>
    <t>WebkitFirstLetterInlineFlowSplitCrashTest.java</t>
  </si>
  <si>
    <t>WebkitFirstLetterInlineFlowSplitTableCrashTest.java</t>
  </si>
  <si>
    <t>WebkitFirstLetterRtlCrashTest.java</t>
  </si>
  <si>
    <t>WebkitFirstLetterTextFragmentCrashTest.java</t>
  </si>
  <si>
    <t>WebkitFirstLetterTextTransformCausesCrashTest.java</t>
  </si>
  <si>
    <t>WebkitFirstletterTablecellCrashTest.java</t>
  </si>
  <si>
    <t>WebkitFirstlineFixedCrashTest.java</t>
  </si>
  <si>
    <t>WebkitFirstrectCrashTest.java</t>
  </si>
  <si>
    <t>WebkitFiveseventwofivezerofiveeightCrashScenarioOneTest.java</t>
  </si>
  <si>
    <t>WebkitFiveseventwofivezerofiveeightCrashScenarioThreeTest.java</t>
  </si>
  <si>
    <t>WebkitFiveseventwofivezerofiveeightCrashScenarioTwoTest.java</t>
  </si>
  <si>
    <t>WebkitFixRangeFromRootEditableCrashTest.java</t>
  </si>
  <si>
    <t>WebkitFixedTableLayoutLargeColspanCrashTest.java</t>
  </si>
  <si>
    <t>WebkitFlexboxInRegionCrashTest.java</t>
  </si>
  <si>
    <t>WebkitFloatNotRemovedCrashTest.java</t>
  </si>
  <si>
    <t>WebkitFloatNotRemovedFromNextSiblingCrashTest.java</t>
  </si>
  <si>
    <t>WebkitFloatOriginatingLineDeletedCrashTest.java</t>
  </si>
  <si>
    <t>WebkitFloatingBeforeContentWithListMarkerCrashTest.java</t>
  </si>
  <si>
    <t>WebkitFloatsNotClearedCrashTest.java</t>
  </si>
  <si>
    <t>WebkitFocusChangeCrashTest.java</t>
  </si>
  <si>
    <t>WebkitFocusChangeCrashtwoTest.java</t>
  </si>
  <si>
    <t>WebkitFocusControllerCrashChangeEventTest.java</t>
  </si>
  <si>
    <t>WebkitFocusCrashTest.java</t>
  </si>
  <si>
    <t>WebkitFontmetricBorderRadiusNullCrashTest.java</t>
  </si>
  <si>
    <t>WebkitFontmetricWebkitBorderEndWidthNullCrashTest.java</t>
  </si>
  <si>
    <t>WebkitFontsizeUnitRemsCrashTest.java</t>
  </si>
  <si>
    <t>WebkitForeignContentCrashTest.java</t>
  </si>
  <si>
    <t>WebkitFormAssociatedElementCrashTest.java</t>
  </si>
  <si>
    <t>WebkitFormAssociatedElementCrashthreeTest.java</t>
  </si>
  <si>
    <t>WebkitFormAssociatedElementCrashtwoTest.java</t>
  </si>
  <si>
    <t>WebkitFormIframeTargetBeforeLoadCrashTest.java</t>
  </si>
  <si>
    <t>WebkitFormIframeTargetBeforeLoadCrashtwoTest.java</t>
  </si>
  <si>
    <t>WebkitFormInRowBeforeMisnestedTextCrashCssTest.java</t>
  </si>
  <si>
    <t>WebkitFormInTableBeforeMisnestedTextCrashCssTest.java</t>
  </si>
  <si>
    <t>WebkitFormInTbodyBeforeMisnestedTextCrashCssTest.java</t>
  </si>
  <si>
    <t>WebkitFouronefourfivefivethreefivecrashTest.java</t>
  </si>
  <si>
    <t>WebkitFrameContentwindowCrashTest.java</t>
  </si>
  <si>
    <t>WebkitFrameCrashWithPageCacheTest.java</t>
  </si>
  <si>
    <t>WebkitFrameUnloadAbortCrashTest.java</t>
  </si>
  <si>
    <t>WebkitFrameUnloadCrashOneTest.java</t>
  </si>
  <si>
    <t>WebkitFrameUnloadCrashTest.java</t>
  </si>
  <si>
    <t>WebkitFrameUnloadCrashThreeTest.java</t>
  </si>
  <si>
    <t>WebkitFrameUnloadCrashTwoTest.java</t>
  </si>
  <si>
    <t>WebkitFramelessMediaElementCrashTest.java</t>
  </si>
  <si>
    <t>WebkitGeneratedBeforeCounterDoesntCrashTest.java</t>
  </si>
  <si>
    <t>WebkitGeneratedChildSplitFlowCrashTest.java</t>
  </si>
  <si>
    <t>WebkitGeneratedContentCrashTest.java</t>
  </si>
  <si>
    <t>WebkitGeneratedLayerScrollbarCrashTest.java</t>
  </si>
  <si>
    <t>WebkitGetUrlWithIframeTargetNoCrashTest.java</t>
  </si>
  <si>
    <t>WebkitGetmatchedcssrulesNullCrashTest.java</t>
  </si>
  <si>
    <t>WebkitGiantStylesheetCrashTest.java</t>
  </si>
  <si>
    <t>WebkitGlyphrefRendererCreateCrashTest.java</t>
  </si>
  <si>
    <t>WebkitGradientOnPseudoelementCrashTest.java</t>
  </si>
  <si>
    <t>WebkitHasfocusFramelessCrashTest.java</t>
  </si>
  <si>
    <t>WebkitHiddenIframeScrollbarCrashTest.java</t>
  </si>
  <si>
    <t>WebkitHiddenIframeScrollbarCrashtwoTest.java</t>
  </si>
  <si>
    <t>WebkitHorizontalBoxFloatCrashTest.java</t>
  </si>
  <si>
    <t>WebkitHoverStyleRecalcCrashTest.java</t>
  </si>
  <si>
    <t>WebkitHoverTimerCrashTest.java</t>
  </si>
  <si>
    <t>WebkitHugeColumnGapCrashTest.java</t>
  </si>
  <si>
    <t>WebkitIdAttributeWithNamespaceCrashTest.java</t>
  </si>
  <si>
    <t>WebkitIdentCrashesTopnodeIsTextTest.java</t>
  </si>
  <si>
    <t>WebkitIframeContentwindowCrashTest.java</t>
  </si>
  <si>
    <t>WebkitIframeFlatteningCrashTest.java</t>
  </si>
  <si>
    <t>WebkitIframeFlatteningSelectionCrashTest.java</t>
  </si>
  <si>
    <t>WebkitIframeInvalidSourceCrashTest.java</t>
  </si>
  <si>
    <t>WebkitIframeOnloadCrashMacTest.java</t>
  </si>
  <si>
    <t>WebkitIframeOnloadCrashUnixTest.java</t>
  </si>
  <si>
    <t>WebkitIframeOnloadCrashWinTest.java</t>
  </si>
  <si>
    <t>WebkitIframeOnloadRemoveSelfNoCrashChildTest.java</t>
  </si>
  <si>
    <t>WebkitIframeOnloadRemoveSelfNoCrashTest.java</t>
  </si>
  <si>
    <t>WebkitIframePluginLoadRemoveDocumentCrashTest.java</t>
  </si>
  <si>
    <t>WebkitIgnoredResultNullComparisonCrashTest.java</t>
  </si>
  <si>
    <t>WebkitIgnoredResultRefCrashTest.java</t>
  </si>
  <si>
    <t>WebkitImageEmptyCrashTest.java</t>
  </si>
  <si>
    <t>WebkitImageMapTitleCausesCrashTest.java</t>
  </si>
  <si>
    <t>WebkitImageMapUpdateParentCrashTest.java</t>
  </si>
  <si>
    <t>WebkitImagemapNorenderCrashTest.java</t>
  </si>
  <si>
    <t>WebkitImbricatedFlowThreadsCrashTest.java</t>
  </si>
  <si>
    <t>WebkitImplicitHeadInFragmentCrashTest.java</t>
  </si>
  <si>
    <t>WebkitImportCrashTest.java</t>
  </si>
  <si>
    <t>WebkitIndentNodeToSplitToCrashTest.java</t>
  </si>
  <si>
    <t>WebkitIndexValidationCrashWithBufferSubDataTest.java</t>
  </si>
  <si>
    <t>WebkitInitkeyboardeventCrashTest.java</t>
  </si>
  <si>
    <t>WebkitInlineBodyCrashTest.java</t>
  </si>
  <si>
    <t>WebkitInlineBodyWithScrollbarCrashTest.java</t>
  </si>
  <si>
    <t>WebkitInlineBoxAdjustPositionCrashTest.java</t>
  </si>
  <si>
    <t>WebkitInlineBoxAdjustPositionCrashtwoTest.java</t>
  </si>
  <si>
    <t>WebkitInlineBoxWrapperCrashTest.java</t>
  </si>
  <si>
    <t>WebkitInlineChildHeightWidthCalcCrashTest.java</t>
  </si>
  <si>
    <t>WebkitInlineChildrenCrashTest.java</t>
  </si>
  <si>
    <t>WebkitInlineCrashTest.java</t>
  </si>
  <si>
    <t>WebkitInlineDestroyDirtyLinesCrashTest.java</t>
  </si>
  <si>
    <t>WebkitInlineMarqueeCrashTest.java</t>
  </si>
  <si>
    <t>WebkitInlineSplittingWithAfterFloatCrashTest.java</t>
  </si>
  <si>
    <t>WebkitInlineToBlockCrashTest.java</t>
  </si>
  <si>
    <t>WebkitInnerhtmlSelectionCrashTest.java</t>
  </si>
  <si>
    <t>WebkitInputBoxTextFragmentCombineTextCrashTest.java</t>
  </si>
  <si>
    <t>WebkitInputElementAttachCrashTest.java</t>
  </si>
  <si>
    <t>WebkitInputElementPageCacheCrashTest.java</t>
  </si>
  <si>
    <t>WebkitInputNumberCrashTest.java</t>
  </si>
  <si>
    <t>WebkitInputNumberSpinbuttonCrashTest.java</t>
  </si>
  <si>
    <t>WebkitInputSearchTableColumnCrashTest.java</t>
  </si>
  <si>
    <t>WebkitInsertImagesInPreXCrashTest.java</t>
  </si>
  <si>
    <t>WebkitInsertTextCrashTest.java</t>
  </si>
  <si>
    <t>WebkitInsertTextIntoEmptyFramesetCrashTest.java</t>
  </si>
  <si>
    <t>WebkitInsertadjacenthtmlDocumentfragmentCrashTest.java</t>
  </si>
  <si>
    <t>WebkitInserthtmlMutationCrashTest.java</t>
  </si>
  <si>
    <t>WebkitInsertionPointLineNumberOnPasswordCrashesTest.java</t>
  </si>
  <si>
    <t>WebkitInsertnodeEmptyFragmentCrashTest.java</t>
  </si>
  <si>
    <t>WebkitInteractiveValidationCrashByStyleOverrideTest.java</t>
  </si>
  <si>
    <t>WebkitInteractiveValidationSelectCrashTest.java</t>
  </si>
  <si>
    <t>WebkitInvalidCharsetOnScriptCrashesLoaderTest.java</t>
  </si>
  <si>
    <t>WebkitInvalidCursorPropertyCrashTest.java</t>
  </si>
  <si>
    <t>WebkitInvalidFontFamilyInFontFaceCrashTest.java</t>
  </si>
  <si>
    <t>WebkitInvalidMediaUrlCrashTest.java</t>
  </si>
  <si>
    <t>WebkitInvalidSetFontCrashTest.java</t>
  </si>
  <si>
    <t>WebkitJavascriptUrlAsFramesrcCrashTest.java</t>
  </si>
  <si>
    <t>WebkitJavascriptUrlCrashFunctionIframeTest.java</t>
  </si>
  <si>
    <t>WebkitJavascriptUrlCrashFunctionTest.java</t>
  </si>
  <si>
    <t>WebkitJavascriptUrlIframeCrashTest.java</t>
  </si>
  <si>
    <t>WebkitJqueryAnimationCrashTest.java</t>
  </si>
  <si>
    <t>WebkitKeyboardeventMousedownCrashTest.java</t>
  </si>
  <si>
    <t>WebkitKeyeventIframeRemovedCrashTest.java</t>
  </si>
  <si>
    <t>WebkitKeyframesCrashTest.java</t>
  </si>
  <si>
    <t>WebkitKhmerCrashTest.java</t>
  </si>
  <si>
    <t>WebkitLargeListOfRulesCrashTest.java</t>
  </si>
  <si>
    <t>WebkitLargeRowspanCrashTest.java</t>
  </si>
  <si>
    <t>WebkitLargeSizeImageCrashTest.java</t>
  </si>
  <si>
    <t>WebkitLayerHitTestCrashTest.java</t>
  </si>
  <si>
    <t>WebkitLayerzordercrashTest.java</t>
  </si>
  <si>
    <t>WebkitLayouthorizontalboxCrashTest.java</t>
  </si>
  <si>
    <t>WebkitLiStyleAlphaHugeValueCrashTest.java</t>
  </si>
  <si>
    <t>WebkitLineClampCrashTest.java</t>
  </si>
  <si>
    <t>WebkitListItemPseudoNocrashTest.java</t>
  </si>
  <si>
    <t>WebkitListStyleNoneCrashTest.java</t>
  </si>
  <si>
    <t>WebkitListWrappingImageCrashTest.java</t>
  </si>
  <si>
    <t>WebkitLoadDeferResumeCrashTest.java</t>
  </si>
  <si>
    <t>WebkitLocationNewWindowNoCrashTest.java</t>
  </si>
  <si>
    <t>WebkitMainresourceNullMimetypeCrashTest.java</t>
  </si>
  <si>
    <t>WebkitMarqueeAnonymousNodeCrashTest.java</t>
  </si>
  <si>
    <t>WebkitMaskCrashFieldsetLegendTest.java</t>
  </si>
  <si>
    <t>WebkitMaskCrashFigureTest.java</t>
  </si>
  <si>
    <t>WebkitMaskCrashTableTest.java</t>
  </si>
  <si>
    <t>WebkitMaskCrashTdTest.java</t>
  </si>
  <si>
    <t>WebkitMaskCrashTdTwoTest.java</t>
  </si>
  <si>
    <t>WebkitMaskMissingImageCrashTest.java</t>
  </si>
  <si>
    <t>WebkitMathOptionsCrashTest.java</t>
  </si>
  <si>
    <t>WebkitMatrixAsFunctionCrashTest.java</t>
  </si>
  <si>
    <t>WebkitMediaControlsCloneCrashTest.java</t>
  </si>
  <si>
    <t>WebkitMediaQueryEvaluatorCrashTest.java</t>
  </si>
  <si>
    <t>WebkitMediaSvgCrashTest.java</t>
  </si>
  <si>
    <t>WebkitMenulistPopupCrashTest.java</t>
  </si>
  <si>
    <t>WebkitMergeAnonymousBlockRemoveChildCrashTest.java</t>
  </si>
  <si>
    <t>WebkitMergeAnonymousBlockRemoveChildCrashtwoTest.java</t>
  </si>
  <si>
    <t>WebkitMeterElementCrashTest.java</t>
  </si>
  <si>
    <t>WebkitMeterElementWithChildCrashTest.java</t>
  </si>
  <si>
    <t>WebkitModCrashTest.java</t>
  </si>
  <si>
    <t>WebkitMouseMovedRemoveFrameCrashTest.java</t>
  </si>
  <si>
    <t>WebkitMoveByWordVisuallyCrashTestFourTest.java</t>
  </si>
  <si>
    <t>WebkitMoveByWordVisuallyCrashTestOneTest.java</t>
  </si>
  <si>
    <t>WebkitMoveByWordVisuallyCrashTestTextareaTest.java</t>
  </si>
  <si>
    <t>WebkitMoveByWordVisuallyCrashTestThreeTest.java</t>
  </si>
  <si>
    <t>WebkitMoveByWordVisuallyCrashTestTwoTest.java</t>
  </si>
  <si>
    <t>WebkitMsubAnonymousChildRenderCrashTest.java</t>
  </si>
  <si>
    <t>WebkitMultilineAndObjectInsideIsolateCrashTest.java</t>
  </si>
  <si>
    <t>WebkitMultipleCaptionsCrashfiveExpectedTest.java</t>
  </si>
  <si>
    <t>WebkitMultipleCaptionsCrashfiveTest.java</t>
  </si>
  <si>
    <t>WebkitMultipleCaptionsCrashfourExpectedTest.java</t>
  </si>
  <si>
    <t>WebkitMultipleCaptionsCrashfourTest.java</t>
  </si>
  <si>
    <t>WebkitMultipleCaptionsCrashthreeExpectedTest.java</t>
  </si>
  <si>
    <t>WebkitMultipleCaptionsCrashthreeTest.java</t>
  </si>
  <si>
    <t>WebkitMultipleCursorsCrashTest.java</t>
  </si>
  <si>
    <t>WebkitMutationCallbackNonElementCrashTest.java</t>
  </si>
  <si>
    <t>WebkitNamednodemapSetnameditemCrashTest.java</t>
  </si>
  <si>
    <t>WebkitNavigationRedirectScheduleCrashTest.java</t>
  </si>
  <si>
    <t>WebkitNavigatorCookieenabledNoCrashTest.java</t>
  </si>
  <si>
    <t>WebkitNavigatorDetachedNoCrashTest.java</t>
  </si>
  <si>
    <t>WebkitNavigatorPluginsCrashTest.java</t>
  </si>
  <si>
    <t>WebkitNegativeRemainingLengthCrashTest.java</t>
  </si>
  <si>
    <t>WebkitNestedBidiIsolateCrashTest.java</t>
  </si>
  <si>
    <t>WebkitNestedEventRemoveNodeCrashTest.java</t>
  </si>
  <si>
    <t>WebkitNestedFirstLetterWithFloatCrashTest.java</t>
  </si>
  <si>
    <t>WebkitNestedFragmentParserCrashTest.java</t>
  </si>
  <si>
    <t>WebkitNestedLayoutCrashTest.java</t>
  </si>
  <si>
    <t>WebkitNestedTablesWithBeforeAfterContentCrashTest.java</t>
  </si>
  <si>
    <t>WebkitNoOverhangingFloatCrashTest.java</t>
  </si>
  <si>
    <t>WebkitNodeFilterDetachedIframeCrashTest.java</t>
  </si>
  <si>
    <t>WebkitNodeIteratorDocumentMovedCrashTest.java</t>
  </si>
  <si>
    <t>WebkitNodeIteratorReferenceNodeMovedCrashTest.java</t>
  </si>
  <si>
    <t>WebkitNodeMoveToNewDocumentCrashMainTest.java</t>
  </si>
  <si>
    <t>WebkitNonExistentEventsourceStatusErrorIframeCrashTest.java</t>
  </si>
  <si>
    <t>WebkitNonNativeImageCrashTest.java</t>
  </si>
  <si>
    <t>WebkitNonStyledElementIdCrashTest.java</t>
  </si>
  <si>
    <t>WebkitNormalizeCrashTest.java</t>
  </si>
  <si>
    <t>WebkitNotificationsDocumentCloseCrashTest.java</t>
  </si>
  <si>
    <t>WebkitNotificationsWindowCloseCrashTest.java</t>
  </si>
  <si>
    <t>WebkitNullChardataCrashTest.java</t>
  </si>
  <si>
    <t>WebkitNullDocumentLocationAssignCrashTest.java</t>
  </si>
  <si>
    <t>WebkitNullDocumentLocationHrefPutCrashTest.java</t>
  </si>
  <si>
    <t>WebkitNullDocumentLocationPutCrashTest.java</t>
  </si>
  <si>
    <t>WebkitNullDocumentLocationReplaceCrashTest.java</t>
  </si>
  <si>
    <t>WebkitNullDocumentWindowOpenCrashTest.java</t>
  </si>
  <si>
    <t>WebkitNullPageShowModalDialogCrashTest.java</t>
  </si>
  <si>
    <t>WebkitNumberParsingCrashTest.java</t>
  </si>
  <si>
    <t>WebkitNumberParsingCrashTwoTest.java</t>
  </si>
  <si>
    <t>WebkitOneLetterTransformCrashTest.java</t>
  </si>
  <si>
    <t>WebkitOnloadRemoveIframeCrashTest.java</t>
  </si>
  <si>
    <t>WebkitOnloadRemoveIframeCrashTwoTest.java</t>
  </si>
  <si>
    <t>WebkitOnloadframecrashTest.java</t>
  </si>
  <si>
    <t>WebkitOnunloadFormSubmitCrashTest.java</t>
  </si>
  <si>
    <t>WebkitOnunloadFormSubmitCrashTwoTest.java</t>
  </si>
  <si>
    <t>WebkitOrphanedSelectionCrashBugthreetwoeighttwothreeFourTest.java</t>
  </si>
  <si>
    <t>WebkitOrphanedSelectionCrashBugthreetwoeighttwothreeOneTest.java</t>
  </si>
  <si>
    <t>WebkitOrphanedSelectionCrashBugthreetwoeighttwothreeThreeTest.java</t>
  </si>
  <si>
    <t>WebkitOrphanedSelectionCrashBugthreetwoeighttwothreeTwoTest.java</t>
  </si>
  <si>
    <t>WebkitOrphanedUnitsCrashTest.java</t>
  </si>
  <si>
    <t>WebkitOverflowCustomScrollbarCrashTest.java</t>
  </si>
  <si>
    <t>WebkitOverflowHeightFloatNotRemovedCrashTest.java</t>
  </si>
  <si>
    <t>WebkitOverflowHeightFloatNotRemovedCrashthreeTest.java</t>
  </si>
  <si>
    <t>WebkitOverflowHeightFloatNotRemovedCrashtwoTest.java</t>
  </si>
  <si>
    <t>WebkitOverhangingFloatLegendCrashTest.java</t>
  </si>
  <si>
    <t>WebkitOverhangingFloatsNotRemovedCrashTest.java</t>
  </si>
  <si>
    <t>WebkitOverrideTransitionCrashTest.java</t>
  </si>
  <si>
    <t>WebkitPageCacheCrashOnDataUrlsTest.java</t>
  </si>
  <si>
    <t>WebkitPaginatedLayerCrashTest.java</t>
  </si>
  <si>
    <t>WebkitParentBoxNotBoxCrashTest.java</t>
  </si>
  <si>
    <t>WebkitParentViewLayoutCrashTest.java</t>
  </si>
  <si>
    <t>WebkitParseColorIntOrPercentCrashTest.java</t>
  </si>
  <si>
    <t>WebkitParseTimingFunctionCrashTest.java</t>
  </si>
  <si>
    <t>WebkitPathGetpresentationattributeCrashTest.java</t>
  </si>
  <si>
    <t>WebkitPauseCrashTest.java</t>
  </si>
  <si>
    <t>WebkitPendingImagesCrashTest.java</t>
  </si>
  <si>
    <t>WebkitPendingReflectionMaskCrashTest.java</t>
  </si>
  <si>
    <t>WebkitPercentHeightDescendantNotRemovedCrashTest.java</t>
  </si>
  <si>
    <t>WebkitPlaceholderCrashWithScrollbarCornerTest.java</t>
  </si>
  <si>
    <t>WebkitPngExtraRowCrashTest.java</t>
  </si>
  <si>
    <t>WebkitPolylinePointsCrashTest.java</t>
  </si>
  <si>
    <t>WebkitPositionAbsoluteToFixedCrashTest.java</t>
  </si>
  <si>
    <t>WebkitPositionedBackgroundHitTestCrashTest.java</t>
  </si>
  <si>
    <t>WebkitPositionedChildNotRemovedCrashTest.java</t>
  </si>
  <si>
    <t>WebkitPositionedCountCrashTest.java</t>
  </si>
  <si>
    <t>WebkitPositionedDivWithFloatingAfterContentCrashFrameoneTest.java</t>
  </si>
  <si>
    <t>WebkitPositionedDivWithFloatingAfterContentCrashFrametwoTest.java</t>
  </si>
  <si>
    <t>WebkitPositionedDivWithFloatingAfterContentCrashTest.java</t>
  </si>
  <si>
    <t>WebkitPositionedGeneratedContentUnderRunInCrashTest.java</t>
  </si>
  <si>
    <t>WebkitPositionedInRelativePositionInlineCrashTest.java</t>
  </si>
  <si>
    <t>WebkitPrintCloseCrashTest.java</t>
  </si>
  <si>
    <t>WebkitProcessEndTagForInbodyCrashTest.java</t>
  </si>
  <si>
    <t>WebkitProgressElementWithChildCrashTest.java</t>
  </si>
  <si>
    <t>WebkitProgressElementWithStyleCrashTest.java</t>
  </si>
  <si>
    <t>WebkitRangeDeleteContentsEventFireCrashTest.java</t>
  </si>
  <si>
    <t>WebkitRangeExtractContentsEventFireCrashTest.java</t>
  </si>
  <si>
    <t>WebkitRangeExtractContentsEventFireCrashtwoTest.java</t>
  </si>
  <si>
    <t>WebkitRangeInsertnodeCrashTest.java</t>
  </si>
  <si>
    <t>WebkitRangeSelectionAcrossDocumentsCrashTest.java</t>
  </si>
  <si>
    <t>WebkitReEnterAndCrashTest.java</t>
  </si>
  <si>
    <t>WebkitRecalcSectionFirstBodyCrashMainTest.java</t>
  </si>
  <si>
    <t>WebkitRecalcSectionFirstBodyCrashTest.java</t>
  </si>
  <si>
    <t>WebkitRecursiveBeforeUnloadCrashTest.java</t>
  </si>
  <si>
    <t>WebkitRedirectWithNoLocationCrashTest.java</t>
  </si>
  <si>
    <t>WebkitReflectedImgCrashTest.java</t>
  </si>
  <si>
    <t>WebkitRegexpCharclassCrashTest.java</t>
  </si>
  <si>
    <t>WebkitRegexpCompileCrashTest.java</t>
  </si>
  <si>
    <t>WebkitRegexpExtendedCharactersCrashTest.java</t>
  </si>
  <si>
    <t>WebkitRegionRangeForBoxCrashTest.java</t>
  </si>
  <si>
    <t>WebkitRelativePositionReplacedInTableDisplayCrashTest.java</t>
  </si>
  <si>
    <t>WebkitRelativePositionedRtlCrashTest.java</t>
  </si>
  <si>
    <t>WebkitRelayoutNestedPositionedElementsCrashTest.java</t>
  </si>
  <si>
    <t>WebkitReloadCrashIframeTest.java</t>
  </si>
  <si>
    <t>WebkitReloadCrashTest.java</t>
  </si>
  <si>
    <t>WebkitRemovalBeforeAttachCrashTest.java</t>
  </si>
  <si>
    <t>WebkitRemovalOfMulticolSpanCrashTest.java</t>
  </si>
  <si>
    <t>WebkitRemoveAllChildrenCrashTest.java</t>
  </si>
  <si>
    <t>WebkitRemoveDivFromFlexibleBoxWithFloatingAfterContentCrashTest.java</t>
  </si>
  <si>
    <t>WebkitRemoveElementFromWithinFocusHandlerCrashTest.java</t>
  </si>
  <si>
    <t>WebkitRemoveFormatNonHtmlElementCrashTest.java</t>
  </si>
  <si>
    <t>WebkitRemoveFrameWithScrollbarsCrashTest.java</t>
  </si>
  <si>
    <t>WebkitRemoveIframeCrashTest.java</t>
  </si>
  <si>
    <t>WebkitRemoveListmarkerFromAnonblockWithContinuationCrashTest.java</t>
  </si>
  <si>
    <t>WebkitRemoveNamedAttributeCrashTest.java</t>
  </si>
  <si>
    <t>WebkitRemoveReflectionCrashTest.java</t>
  </si>
  <si>
    <t>WebkitRemoveRemoteContextInErrorCallbackCrashInnerTest.java</t>
  </si>
  <si>
    <t>WebkitRemoveRemoteContextInErrorCallbackCrashTest.java</t>
  </si>
  <si>
    <t>WebkitRemoveShadowHostCrashTest.java</t>
  </si>
  <si>
    <t>WebkitRemoveTimeoutCrashTest.java</t>
  </si>
  <si>
    <t>WebkitRemovedAnonymousBlockChildCausesCrashTest.java</t>
  </si>
  <si>
    <t>WebkitRemovedContinuationElementCausesCrashTest.java</t>
  </si>
  <si>
    <t>WebkitRemovedMediaRuleDeletedParentCrashTest.java</t>
  </si>
  <si>
    <t>WebkitRemovedStylesheetRuleDeletedParentCrashTest.java</t>
  </si>
  <si>
    <t>WebkitRemovingInsideRelpositionedInlineCrashTest.java</t>
  </si>
  <si>
    <t>WebkitRemovingTextareaAfterEditCrashTest.java</t>
  </si>
  <si>
    <t>WebkitRenderTextCrashTest.java</t>
  </si>
  <si>
    <t>WebkitRenderTreeReorgCrashTest.java</t>
  </si>
  <si>
    <t>WebkitRendererDestructionByInvalidateselectionCrashTest.java</t>
  </si>
  <si>
    <t>WebkitRendererPositionedAssertCrashTest.java</t>
  </si>
  <si>
    <t>WebkitRepaintDisplayNoneCrashTest.java</t>
  </si>
  <si>
    <t>WebkitReparentTableChildrenWithCountersCrashTest.java</t>
  </si>
  <si>
    <t>WebkitReplaceSelectionCrashTest.java</t>
  </si>
  <si>
    <t>WebkitReplaceTextInNodePreservingMarkersCrashTest.java</t>
  </si>
  <si>
    <t>WebkitReplacementFragmentRemoveUnrenderedNodeCrashTest.java</t>
  </si>
  <si>
    <t>WebkitResizeLayerDeletionCrashTest.java</t>
  </si>
  <si>
    <t>WebkitRootInlineboxSelectedChildrenCrashTest.java</t>
  </si>
  <si>
    <t>WebkitRootObjectPrematureDeleteCrashTest.java</t>
  </si>
  <si>
    <t>WebkitRowInTbodyBeforeMisnestedTextCrashCssTest.java</t>
  </si>
  <si>
    <t>WebkitRtlFirstLetterTextIteratorCrashTest.java</t>
  </si>
  <si>
    <t>WebkitRtlNthChildFirstLetterCrashTest.java</t>
  </si>
  <si>
    <t>WebkitRtlSelectionCrashTest.java</t>
  </si>
  <si>
    <t>WebkitRubyBaseMergeBlockChildrenCrashTest.java</t>
  </si>
  <si>
    <t>WebkitRubyOverhangCrashTest.java</t>
  </si>
  <si>
    <t>WebkitRunInCrashTest.java</t>
  </si>
  <si>
    <t>WebkitRuninContinuationCrashTest.java</t>
  </si>
  <si>
    <t>WebkitRuninReparentCrashTest.java</t>
  </si>
  <si>
    <t>WebkitSandboxedPluginCrashTest.java</t>
  </si>
  <si>
    <t>WebkitSavedStateAdoptnodeCrashTest.java</t>
  </si>
  <si>
    <t>WebkitScriptElementWithoutFrameCrashTest.java</t>
  </si>
  <si>
    <t>WebkitScrollableIframeRemoveCrashTest.java</t>
  </si>
  <si>
    <t>WebkitScrollbarCrashOnRefreshTest.java</t>
  </si>
  <si>
    <t>WebkitScrollbarGradientCrashTest.java</t>
  </si>
  <si>
    <t>WebkitScrollbarPartCreatedWithNoParentCrashTest.java</t>
  </si>
  <si>
    <t>WebkitSearchFieldCrashInDesignmodeTest.java</t>
  </si>
  <si>
    <t>WebkitSearchPopupCrasherTest.java</t>
  </si>
  <si>
    <t>WebkitSearchShadowHostCrashTest.java</t>
  </si>
  <si>
    <t>WebkitSectionInTableBeforeMisnestedTextCrashCssTest.java</t>
  </si>
  <si>
    <t>WebkitSelectCrashZerozerooneTest.java</t>
  </si>
  <si>
    <t>WebkitSelectCrashZerozerotwoTest.java</t>
  </si>
  <si>
    <t>WebkitSelectInRegionCrashTest.java</t>
  </si>
  <si>
    <t>WebkitSelectOnchangeCrashTest.java</t>
  </si>
  <si>
    <t>WebkitSelectOptionAccesskeyCrashTest.java</t>
  </si>
  <si>
    <t>WebkitSelectStartRemoveRootCrashTest.java</t>
  </si>
  <si>
    <t>WebkitSelectedTabCrashTest.java</t>
  </si>
  <si>
    <t>WebkitSelectionGapClipOutTigerCrashTest.java</t>
  </si>
  <si>
    <t>WebkitSelectionModifyCrashTest.java</t>
  </si>
  <si>
    <t>WebkitSelectionPluginClearCrashTest.java</t>
  </si>
  <si>
    <t>WebkitSetBoxStyleInRegionCrashTest.java</t>
  </si>
  <si>
    <t>WebkitSetTypeToNullCrashTest.java</t>
  </si>
  <si>
    <t>WebkitShorthandMismatchedListCrashTest.java</t>
  </si>
  <si>
    <t>WebkitSliderCrashTest.java</t>
  </si>
  <si>
    <t>WebkitSmallCapsCrashTest.java</t>
  </si>
  <si>
    <t>WebkitSmilElementNotRemovedCrashTest.java</t>
  </si>
  <si>
    <t>WebkitSortNoJitCodeCrashTest.java</t>
  </si>
  <si>
    <t>WebkitSpellcheckApiCrashTest.java</t>
  </si>
  <si>
    <t>WebkitSpellcheckInputSearchCrashTest.java</t>
  </si>
  <si>
    <t>WebkitSplitFlowAnonymousWrapperCrashTest.java</t>
  </si>
  <si>
    <t>WebkitSplitInlineWrongPostBlockCrashTest.java</t>
  </si>
  <si>
    <t>WebkitStaleGridCrashTest.java</t>
  </si>
  <si>
    <t>WebkitStaleStyleSelectorCrashOneTest.java</t>
  </si>
  <si>
    <t>WebkitStaleStyleSelectorCrashTwoTest.java</t>
  </si>
  <si>
    <t>WebkitStateApiOnDetachedFrameCrashTest.java</t>
  </si>
  <si>
    <t>WebkitStatementListRegisterCrashTest.java</t>
  </si>
  <si>
    <t>WebkitStopCrashTest.java</t>
  </si>
  <si>
    <t>WebkitStringReplaceExceptionCrashTest.java</t>
  </si>
  <si>
    <t>WebkitStyleAccessDuringImagechangedCrashTest.java</t>
  </si>
  <si>
    <t>WebkitStyledCloneInlineStyleDeclParentCrashTest.java</t>
  </si>
  <si>
    <t>WebkitStyledNotInDocumentCloneInlineStyleDeclParentCrashTest.java</t>
  </si>
  <si>
    <t>WebkitStylesheetCandidateNodeCrashMainTest.java</t>
  </si>
  <si>
    <t>WebkitSubframeLoadCrashMainTest.java</t>
  </si>
  <si>
    <t>WebkitSubresourceLoadFailedCrashTest.java</t>
  </si>
  <si>
    <t>WebkitSvgBackgroundCrashOnRefreshTest.java</t>
  </si>
  <si>
    <t>WebkitSvgEllipseRenderCrashTest.java</t>
  </si>
  <si>
    <t>WebkitSvgRtlTextCrashTest.java</t>
  </si>
  <si>
    <t>WebkitSvglengthAnimationRetargetCrashTest.java</t>
  </si>
  <si>
    <t>WebkitSvgpolygonelementBasevalListRemovalCrashTest.java</t>
  </si>
  <si>
    <t>WebkitSvgstyledelementPendingresourceCrashTest.java</t>
  </si>
  <si>
    <t>WebkitSwitchMultipleListItemsCrashTest.java</t>
  </si>
  <si>
    <t>WebkitTabCrashWithImageMapTest.java</t>
  </si>
  <si>
    <t>WebkitTableAnonymousBlockDestroyCrashTest.java</t>
  </si>
  <si>
    <t>WebkitTableCaptionsChildVisibleCrashTest.java</t>
  </si>
  <si>
    <t>WebkitTableColumnsBlocksCalcCrashTest.java</t>
  </si>
  <si>
    <t>WebkitTableContinuationOutlinePaintCrashTest.java</t>
  </si>
  <si>
    <t>WebkitTableModificationCrashTest.java</t>
  </si>
  <si>
    <t>WebkitTableMultiColumnCrashTest.java</t>
  </si>
  <si>
    <t>WebkitTableResidualStyleCrashTest.java</t>
  </si>
  <si>
    <t>WebkitTableRowAfterNoCrashTest.java</t>
  </si>
  <si>
    <t>WebkitTableRowCompositingRepaintCrashTest.java</t>
  </si>
  <si>
    <t>WebkitTableSectionNodeAtPointCrashTest.java</t>
  </si>
  <si>
    <t>WebkitTableWithEmptyTheadCausesCrashTest.java</t>
  </si>
  <si>
    <t>WebkitTeardownCrashTest.java</t>
  </si>
  <si>
    <t>WebkitTemporarySpanCrashTest.java</t>
  </si>
  <si>
    <t>WebkitTextBeforeTableColCrashTest.java</t>
  </si>
  <si>
    <t>WebkitTextContentCrashTest.java</t>
  </si>
  <si>
    <t>WebkitTextContentCrashTwoTest.java</t>
  </si>
  <si>
    <t>WebkitTextControlCrashOnSelectTest.java</t>
  </si>
  <si>
    <t>WebkitTextControlSelectionCrashTest.java</t>
  </si>
  <si>
    <t>WebkitTextFieldSetvalueCrashTest.java</t>
  </si>
  <si>
    <t>WebkitTextNodeAppendDataRemoveCrashTest.java</t>
  </si>
  <si>
    <t>WebkitTextSetValueCrashTest.java</t>
  </si>
  <si>
    <t>WebkitTextStyleRecalcCrashTest.java</t>
  </si>
  <si>
    <t>WebkitTextareaCheckvalidityCrashTest.java</t>
  </si>
  <si>
    <t>WebkitTextareaNodeRemovedFromDocumentCrashTest.java</t>
  </si>
  <si>
    <t>WebkitTextareaSubmitCrashTest.java</t>
  </si>
  <si>
    <t>WebkitTextboxNotRemovedCrashTest.java</t>
  </si>
  <si>
    <t>WebkitTextboxRoleOnContenteditableCrashTest.java</t>
  </si>
  <si>
    <t>WebkitThumbsliderCrashTest.java</t>
  </si>
  <si>
    <t>WebkitToggleReflectionCrashTest.java</t>
  </si>
  <si>
    <t>WebkitTouchStaleNodeCrashTest.java</t>
  </si>
  <si>
    <t>WebkitTrackTextTrackDestructorCrashTest.java</t>
  </si>
  <si>
    <t>WebkitTransactionCallbackExceptionCrashTest.java</t>
  </si>
  <si>
    <t>WebkitTransactionCrashOnAbortTest.java</t>
  </si>
  <si>
    <t>WebkitTransformCrashTest.java</t>
  </si>
  <si>
    <t>WebkitTransitionCacheDictionaryCrashTest.java</t>
  </si>
  <si>
    <t>WebkitTransitionDurationClearedInTransitionendCrashTest.java</t>
  </si>
  <si>
    <t>WebkitTreeScopeCrashTest.java</t>
  </si>
  <si>
    <t>WebkitTrefCloneCrashTest.java</t>
  </si>
  <si>
    <t>WebkitTryCatchCrashTest.java</t>
  </si>
  <si>
    <t>WebkitTwodTest.java</t>
  </si>
  <si>
    <t>WebkitTypeofCodegenCrashTest.java</t>
  </si>
  <si>
    <t>WebkitUndefinedPropertyCrashTest.java</t>
  </si>
  <si>
    <t>WebkitUndoCrashTest.java</t>
  </si>
  <si>
    <t>WebkitUnexpectedConstantCrashTest.java</t>
  </si>
  <si>
    <t>WebkitUniscribeItemBoundaryCrashTest.java</t>
  </si>
  <si>
    <t>WebkitUnsupportedAttributeDoesNotCrashTest.java</t>
  </si>
  <si>
    <t>WebkitUpdateAlwaysCreateLineBoxesFullLayoutCrashTest.java</t>
  </si>
  <si>
    <t>WebkitUpdateFromElementDuringEditingCrashOneTest.java</t>
  </si>
  <si>
    <t>WebkitUpdateFromElementDuringEditingCrashTwoTest.java</t>
  </si>
  <si>
    <t>WebkitUpdateMidpointsForTrailingBoxesCrashTest.java</t>
  </si>
  <si>
    <t>WebkitUpdateWidgetsCrashTest.java</t>
  </si>
  <si>
    <t>WebkitUpdatingAttributeInTableCausesCrashTest.java</t>
  </si>
  <si>
    <t>WebkitUpdatingAttributeInTableRowCrashTest.java</t>
  </si>
  <si>
    <t>WebkitUseStyleRecalcScriptExecuteCrashTest.java</t>
  </si>
  <si>
    <t>WebkitUserStylesheetCrashTest.java</t>
  </si>
  <si>
    <t>WebkitValueListOutOfBoundsCrashTest.java</t>
  </si>
  <si>
    <t>WebkitValueWithoutSelectionCrashTest.java</t>
  </si>
  <si>
    <t>WebkitVarShadowsArgCrashTest.java</t>
  </si>
  <si>
    <t>WebkitVarShadowsArgGcCrashTest.java</t>
  </si>
  <si>
    <t>WebkitVideoDisplayNoneCrashTest.java</t>
  </si>
  <si>
    <t>WebkitVideoElementOtherNamespaceCrashTest.java</t>
  </si>
  <si>
    <t>WebkitVideoLayerCrashTest.java</t>
  </si>
  <si>
    <t>WebkitVisiblePositionCrashForTextNodeTest.java</t>
  </si>
  <si>
    <t>WebkitVkernElementCrashTest.java</t>
  </si>
  <si>
    <t>WebkitWbrInMrootCrashTest.java</t>
  </si>
  <si>
    <t>WebkitWbrInPreCrashTest.java</t>
  </si>
  <si>
    <t>WebkitWindowCloseCrashTest.java</t>
  </si>
  <si>
    <t>WebkitWindowClosedCrashTest.java</t>
  </si>
  <si>
    <t>WebkitWindowCollectionLengthNoCrashTest.java</t>
  </si>
  <si>
    <t>WebkitWindowCustomPrototypeCrashTest.java</t>
  </si>
  <si>
    <t>WebkitWindowDomurlCrashTest.java</t>
  </si>
  <si>
    <t>WebkitWindowEventOverrideNoCrashTest.java</t>
  </si>
  <si>
    <t>WebkitWordBreakNextLineboxNotDirtyCrashMainTest.java</t>
  </si>
  <si>
    <t>WebkitWordBreakNextLineboxNotDirtyCrashTest.java</t>
  </si>
  <si>
    <t>WebkitWorkerCrashWithInvalidLocationTest.java</t>
  </si>
  <si>
    <t>WebkitWorkerFinishCrashTest.java</t>
  </si>
  <si>
    <t>WebkitXFrameOptionsDetachedDocumentCrashTest.java</t>
  </si>
  <si>
    <t>WebkitXmlhttprequestPostCrashTest.java</t>
  </si>
  <si>
    <t>WebkitXpathDetachedIframeResolverCrashTest.java</t>
  </si>
  <si>
    <t>WebkitXpathResultEventlistenerCrashTest.java</t>
  </si>
  <si>
    <t>WebkitXsltTransformToFragmentCrashTest.java</t>
  </si>
  <si>
    <t>WebkitXssAuditorDoesntCrashOnPostSubmitTest.java</t>
  </si>
  <si>
    <t>WebkitZeroColspanCrashTest.java</t>
  </si>
  <si>
    <t>MediaPlayerFlakyNetworkTest.java</t>
  </si>
  <si>
    <t>WriteExternalStorageTest.java</t>
  </si>
  <si>
    <t>ForEachBoundsTest.java</t>
  </si>
  <si>
    <t>MultiUserStorageTest.java</t>
  </si>
  <si>
    <t>ImageProcessingTest.java</t>
  </si>
  <si>
    <t>DisplayTest.java</t>
  </si>
  <si>
    <t>BandwidthTest.java</t>
  </si>
  <si>
    <t>ProtectedBroadcastsTest.java</t>
  </si>
  <si>
    <t>NoReceiveGsmSmsPermissionTest.java</t>
  </si>
  <si>
    <t>CtsUiAutomatorTest.java</t>
  </si>
  <si>
    <t>DecoderTest.java</t>
  </si>
  <si>
    <t>LaunchBrowserTest.java</t>
  </si>
  <si>
    <t>BrowserTest.java</t>
  </si>
  <si>
    <t>InputMethodInfoTest.java</t>
  </si>
  <si>
    <t>EncodeDecodeTest.java</t>
  </si>
  <si>
    <t>VideoEncoderDecoderTest.java</t>
  </si>
  <si>
    <t>GeolocationTest.java</t>
  </si>
  <si>
    <t>Test2DetailFragment.java</t>
  </si>
  <si>
    <t>DecodeEditEncodeTest.java</t>
  </si>
  <si>
    <t>MediaCodecTest.java</t>
  </si>
  <si>
    <t>DateFormatTest.java</t>
  </si>
  <si>
    <t>SensorTest.java</t>
  </si>
  <si>
    <t>SeccompTest.java</t>
  </si>
  <si>
    <t>FpsTest.java</t>
  </si>
  <si>
    <t>BootupTimeTest.java</t>
  </si>
  <si>
    <t>MediaDrmMockTest.java</t>
  </si>
  <si>
    <t>BidiFormatterTest.java</t>
  </si>
  <si>
    <t>BrowserBenchTest.java</t>
  </si>
  <si>
    <t>AlmostFullTest.java</t>
  </si>
  <si>
    <t>RandomRWTest.java</t>
  </si>
  <si>
    <t>SimpleCpuTest.java</t>
  </si>
  <si>
    <t>TaskswitchingDeviceTest.java</t>
  </si>
  <si>
    <t>InstallTimeTest.java</t>
  </si>
  <si>
    <t>TaskSwitchingTest.java</t>
  </si>
  <si>
    <t>DnsTest.java</t>
  </si>
  <si>
    <t>AccessibilityServiceInfoTest.java</t>
  </si>
  <si>
    <t>BaseKeyListenerTest.java</t>
  </si>
  <si>
    <t>DateKeyListenerTest.java</t>
  </si>
  <si>
    <t>DateTimeKeyListenerTest.java</t>
  </si>
  <si>
    <t>DigitsKeyListenerTest.java</t>
  </si>
  <si>
    <t>NumberKeyListenerTest.java</t>
  </si>
  <si>
    <t>TimeKeyListenerTest.java</t>
  </si>
  <si>
    <t>PtsHostJankTest.java</t>
  </si>
  <si>
    <t>JankTest.java</t>
  </si>
  <si>
    <t>AspectRatioTest.java</t>
  </si>
  <si>
    <t>NoCaptureVideoPermissionTest.java</t>
  </si>
  <si>
    <t>ImageReaderTest.java</t>
  </si>
  <si>
    <t>KernelSettingsTest.java</t>
  </si>
  <si>
    <t>AndroidKeyPairGeneratorTest.java</t>
  </si>
  <si>
    <t>AndroidKeyStoreTest.java</t>
  </si>
  <si>
    <t>CameraDeviceTest.java</t>
  </si>
  <si>
    <t>CrossTest.java</t>
  </si>
  <si>
    <t>ExternalStorageTest.java</t>
  </si>
  <si>
    <t>CameraCharacteristicsTest.java</t>
  </si>
  <si>
    <t>CameraManagerTest.java</t>
  </si>
  <si>
    <t>ContactsProviderTest.java</t>
  </si>
  <si>
    <t>PresentationSyncTest.java</t>
  </si>
  <si>
    <t>CommonExternalStorageTest.java</t>
  </si>
  <si>
    <t>MediaStoreIntentsTest.java</t>
  </si>
  <si>
    <t>SensorAccelerometerTest.java</t>
  </si>
  <si>
    <t>SensorGyroscopeTest.java</t>
  </si>
  <si>
    <t>SensorMagneticFieldTest.java</t>
  </si>
  <si>
    <t>UrlInterceptRegistryTest.java</t>
  </si>
  <si>
    <t>LocationModeTest.java</t>
  </si>
  <si>
    <t>CertificateTest.java</t>
  </si>
  <si>
    <t>CtsHostJankTest.java</t>
  </si>
  <si>
    <t>WallpaperManagerTest.java</t>
  </si>
  <si>
    <t>StorageManagerTest.java</t>
  </si>
  <si>
    <t>SimpleSignatureTest.java</t>
  </si>
  <si>
    <t>PrintDocumentAdapterContractTest.java</t>
  </si>
  <si>
    <t>ExampleSecondaryTest.java</t>
  </si>
  <si>
    <t>ExampleTest.java</t>
  </si>
  <si>
    <t>BasePrintTest.java</t>
  </si>
  <si>
    <t>PowTest.java</t>
  </si>
  <si>
    <t>PowrTest.java</t>
  </si>
  <si>
    <t>TypedValueTest.java</t>
  </si>
  <si>
    <t>ClonedSecureRandomTest.java</t>
  </si>
  <si>
    <t>TestScanner.java</t>
  </si>
  <si>
    <t>TestScannerTest.java</t>
  </si>
  <si>
    <t>AcosPiTest.java</t>
  </si>
  <si>
    <t>AcosTest.java</t>
  </si>
  <si>
    <t>AcoshTest.java</t>
  </si>
  <si>
    <t>AsinPiTest.java</t>
  </si>
  <si>
    <t>AsinTest.java</t>
  </si>
  <si>
    <t>AsinhTest.java</t>
  </si>
  <si>
    <t>Atan2PiTest.java</t>
  </si>
  <si>
    <t>Atan2Test.java</t>
  </si>
  <si>
    <t>AtanPiTest.java</t>
  </si>
  <si>
    <t>AtanTest.java</t>
  </si>
  <si>
    <t>AtanhTest.java</t>
  </si>
  <si>
    <t>CbrtTest.java</t>
  </si>
  <si>
    <t>CeilTest.java</t>
  </si>
  <si>
    <t>CopysignTest.java</t>
  </si>
  <si>
    <t>CosTest.java</t>
  </si>
  <si>
    <t>CoshTest.java</t>
  </si>
  <si>
    <t>DegreesTest.java</t>
  </si>
  <si>
    <t>Exp10Test.java</t>
  </si>
  <si>
    <t>Exp2Test.java</t>
  </si>
  <si>
    <t>ExpTest.java</t>
  </si>
  <si>
    <t>Expm1Test.java</t>
  </si>
  <si>
    <t>FabsTest.java</t>
  </si>
  <si>
    <t>FdimTest.java</t>
  </si>
  <si>
    <t>FloorTest.java</t>
  </si>
  <si>
    <t>FmaTest.java</t>
  </si>
  <si>
    <t>FmaxTest.java</t>
  </si>
  <si>
    <t>FminTest.java</t>
  </si>
  <si>
    <t>FmodTest.java</t>
  </si>
  <si>
    <t>HypotTest.java</t>
  </si>
  <si>
    <t>Log10Test.java</t>
  </si>
  <si>
    <t>Log1PTest.java</t>
  </si>
  <si>
    <t>Log2Test.java</t>
  </si>
  <si>
    <t>LogTest.java</t>
  </si>
  <si>
    <t>LogbTest.java</t>
  </si>
  <si>
    <t>MadTest.java</t>
  </si>
  <si>
    <t>NextafterTest.java</t>
  </si>
  <si>
    <t>PownTest.java</t>
  </si>
  <si>
    <t>RadiansTest.java</t>
  </si>
  <si>
    <t>RemainderTest.java</t>
  </si>
  <si>
    <t>RintTest.java</t>
  </si>
  <si>
    <t>RootnTest.java</t>
  </si>
  <si>
    <t>RoundTest.java</t>
  </si>
  <si>
    <t>RsFracTest.java</t>
  </si>
  <si>
    <t>RsqrtTest.java</t>
  </si>
  <si>
    <t>SignTest.java</t>
  </si>
  <si>
    <t>SinTest.java</t>
  </si>
  <si>
    <t>SinhTest.java</t>
  </si>
  <si>
    <t>SqrtTest.java</t>
  </si>
  <si>
    <t>StepTest.java</t>
  </si>
  <si>
    <t>TanTest.java</t>
  </si>
  <si>
    <t>TanhTest.java</t>
  </si>
  <si>
    <t>TruncTest.java</t>
  </si>
  <si>
    <t>TestExp10.java</t>
  </si>
  <si>
    <t>TestIlogb.java</t>
  </si>
  <si>
    <t>TestLogb.java</t>
  </si>
  <si>
    <t>TestPown.java</t>
  </si>
  <si>
    <t>BannedFilesTest.java</t>
  </si>
  <si>
    <t>JsonReaderTest.java</t>
  </si>
  <si>
    <t>CameraCaptureResultTest.java</t>
  </si>
  <si>
    <t>CaptureRequestTest.java</t>
  </si>
  <si>
    <t>CaptureResultTest.java</t>
  </si>
  <si>
    <t>SurfaceViewPreviewTest.java</t>
  </si>
  <si>
    <t>Vp8EncoderTest.java</t>
  </si>
  <si>
    <t>TestRootn.java</t>
  </si>
  <si>
    <t>NinePatchDrawableTest.java</t>
  </si>
  <si>
    <t>EncodeVirtualDisplayWithCompositionTest.java</t>
  </si>
  <si>
    <t>SensorCtsHelperTest.java</t>
  </si>
  <si>
    <t>SensorVerificationHelperTest.java</t>
  </si>
  <si>
    <t>TestSensorManager.java</t>
  </si>
  <si>
    <t>StillCaptureTest.java</t>
  </si>
  <si>
    <t>TvInputManagerTest.java</t>
  </si>
  <si>
    <t>RSInterPredTest.java</t>
  </si>
  <si>
    <t>AccessibilityTextTraversalTest.java</t>
  </si>
  <si>
    <t>VectorDrawableTest.java</t>
  </si>
  <si>
    <t>ResolveInfo_DisplayNameComparatorTest.java</t>
  </si>
  <si>
    <t>ThemedDrawableTest.java</t>
  </si>
  <si>
    <t>NativeDecoderTest.java</t>
  </si>
  <si>
    <t>AccessibilityWindowQueryTest.java</t>
  </si>
  <si>
    <t>RecordingTest.java</t>
  </si>
  <si>
    <t>BitmapDrawableTest.java</t>
  </si>
  <si>
    <t>ColorDrawableTest.java</t>
  </si>
  <si>
    <t>HoloTest.java</t>
  </si>
  <si>
    <t>DRMTest.java</t>
  </si>
  <si>
    <t>CookieSyncManagerTest.java</t>
  </si>
  <si>
    <t>ContactsContract_PinnedPositionsTest.java</t>
  </si>
  <si>
    <t>CanvasCompareActivityTest.java</t>
  </si>
  <si>
    <t>SELinuxTest.java</t>
  </si>
  <si>
    <t>OpenGlEsVersionTest.java</t>
  </si>
  <si>
    <t>TimeTest.java</t>
  </si>
  <si>
    <t>AppWidgetTest.java</t>
  </si>
  <si>
    <t>ContactsContract_FrequentsStrequentsTest.java</t>
  </si>
  <si>
    <t>CompoundButtonTest.java</t>
  </si>
  <si>
    <t>FrameLayoutTest.java</t>
  </si>
  <si>
    <t>MultiViewTest.java</t>
  </si>
  <si>
    <t>SendToClientBlockingTest.java</t>
  </si>
  <si>
    <t>ScriptCTest.java</t>
  </si>
  <si>
    <t>BaseObjTest.java</t>
  </si>
  <si>
    <t>ContextCreationTest.java</t>
  </si>
  <si>
    <t>FileA3DTest.java</t>
  </si>
  <si>
    <t>MeshTest.java</t>
  </si>
  <si>
    <t>ProgramFragmentFixedFunctionTest.java</t>
  </si>
  <si>
    <t>ProgramFragmentTest.java</t>
  </si>
  <si>
    <t>ProgramRasterTest.java</t>
  </si>
  <si>
    <t>ProgramVertexFixedFunctionTest.java</t>
  </si>
  <si>
    <t>ProgramVertexTest.java</t>
  </si>
  <si>
    <t>RSSurfaceViewTest.java</t>
  </si>
  <si>
    <t>SurfaceConfigTest.java</t>
  </si>
  <si>
    <t>ThemeHostTest.java</t>
  </si>
  <si>
    <t>HoloHostTest.java</t>
  </si>
  <si>
    <t>Camera2PermissionTest.java</t>
  </si>
  <si>
    <t>BundledTvInputServiceTest.java</t>
  </si>
  <si>
    <t>TvInputServiceTest.java</t>
  </si>
  <si>
    <t>TvViewTest.java</t>
  </si>
  <si>
    <t>SimRestrictedApisTest.java</t>
  </si>
  <si>
    <t>WebGLTest.java</t>
  </si>
  <si>
    <t>Debug_InstructionCountTest.java</t>
  </si>
  <si>
    <t>TelecomManagerTest.java</t>
  </si>
  <si>
    <t>CtsInstrumentationApkTest.java</t>
  </si>
  <si>
    <t>VMHostTest.java</t>
  </si>
  <si>
    <t>SqliteJournalLeakTest.java</t>
  </si>
  <si>
    <t>TestSensorOperation.java</t>
  </si>
  <si>
    <t>TestPackageXmlParser.java</t>
  </si>
  <si>
    <t>DeqpTestRunnerTest.java</t>
  </si>
  <si>
    <t>TestSensorEventListener.java</t>
  </si>
  <si>
    <t>SpinnerTest.java</t>
  </si>
  <si>
    <t>LauncherActivityTest.java</t>
  </si>
  <si>
    <t>ConnectionTest.java</t>
  </si>
  <si>
    <t>ConnectivityManagerPermissionTest.java</t>
  </si>
  <si>
    <t>NoNetworkStatePermissionTest.java</t>
  </si>
  <si>
    <t>TestThread.java</t>
  </si>
  <si>
    <t>AudioEffectTest.java</t>
  </si>
  <si>
    <t>SigNumVerificationTest.java</t>
  </si>
  <si>
    <t>RSLoopFilterTest.java</t>
  </si>
  <si>
    <t>BaseManagedProfileTest.java</t>
  </si>
  <si>
    <t>ManagedProfileSetupTest.java</t>
  </si>
  <si>
    <t>BaseDevicePolicyTest.java</t>
  </si>
  <si>
    <t>PhoneStateListenerTest.java</t>
  </si>
  <si>
    <t>ImageReaderDecoderTest.java</t>
  </si>
  <si>
    <t>IntentSenderTest.java</t>
  </si>
  <si>
    <t>TestSensorFlushOperation.java</t>
  </si>
  <si>
    <t>BuildTest.java</t>
  </si>
  <si>
    <t>VirtualizerTest.java</t>
  </si>
  <si>
    <t>NoExecutePermissionTest.java</t>
  </si>
  <si>
    <t>ContentTest.java</t>
  </si>
  <si>
    <t>ClearKeySystemTest.java</t>
  </si>
  <si>
    <t>SELinuxHostTest.java</t>
  </si>
  <si>
    <t>EncodeVirtualDisplayTest.java</t>
  </si>
  <si>
    <t>ExtractDecodeEditEncodeMuxTest.java</t>
  </si>
  <si>
    <t>MediaCodecCapabilitiesTest.java</t>
  </si>
  <si>
    <t>MediaRecorderTest.java</t>
  </si>
  <si>
    <t>NativeMediaTest.java</t>
  </si>
  <si>
    <t>MediaCodecListTest.java</t>
  </si>
  <si>
    <t>NativeCodeTest.java</t>
  </si>
  <si>
    <t>RobustnessTest.java</t>
  </si>
  <si>
    <t>VpnTest.java</t>
  </si>
  <si>
    <t>AudioTrack_ListenerTest.java</t>
  </si>
  <si>
    <t>SettingsIntentsTest.java</t>
  </si>
  <si>
    <t>ManagedProfileTest.java</t>
  </si>
  <si>
    <t>AutoLockTest.java</t>
  </si>
  <si>
    <t>ColorCheckerTest.java</t>
  </si>
  <si>
    <t>ExposureCompensationTest.java</t>
  </si>
  <si>
    <t>MeteringTest.java</t>
  </si>
  <si>
    <t>WhiteBalanceTest.java</t>
  </si>
  <si>
    <t>SELinuxDomainTest.java</t>
  </si>
  <si>
    <t>VideoEncoderTest.java</t>
  </si>
  <si>
    <t>SettingsTest.java</t>
  </si>
  <si>
    <t>BaseLauncherAppsTest.java</t>
  </si>
  <si>
    <t>AllocationCopyToTest.java</t>
  </si>
  <si>
    <t>KeystoreExploitTest.java</t>
  </si>
  <si>
    <t>GetSetTest.java</t>
  </si>
  <si>
    <t>VLoadTest.java</t>
  </si>
  <si>
    <t>TestAbs.java</t>
  </si>
  <si>
    <t>TestAcos.java</t>
  </si>
  <si>
    <t>TestAcosh.java</t>
  </si>
  <si>
    <t>TestAcospi.java</t>
  </si>
  <si>
    <t>TestAsin.java</t>
  </si>
  <si>
    <t>TestAsinh.java</t>
  </si>
  <si>
    <t>TestAsinpi.java</t>
  </si>
  <si>
    <t>TestAtan.java</t>
  </si>
  <si>
    <t>TestAtan2.java</t>
  </si>
  <si>
    <t>TestAtan2pi.java</t>
  </si>
  <si>
    <t>TestAtanh.java</t>
  </si>
  <si>
    <t>TestAtanpi.java</t>
  </si>
  <si>
    <t>TestCbrt.java</t>
  </si>
  <si>
    <t>TestCeil.java</t>
  </si>
  <si>
    <t>TestClamp.java</t>
  </si>
  <si>
    <t>TestClz.java</t>
  </si>
  <si>
    <t>TestConvert.java</t>
  </si>
  <si>
    <t>TestCopysign.java</t>
  </si>
  <si>
    <t>TestCos.java</t>
  </si>
  <si>
    <t>TestCosh.java</t>
  </si>
  <si>
    <t>TestCospi.java</t>
  </si>
  <si>
    <t>TestCross.java</t>
  </si>
  <si>
    <t>TestDegrees.java</t>
  </si>
  <si>
    <t>TestDistance.java</t>
  </si>
  <si>
    <t>TestDot.java</t>
  </si>
  <si>
    <t>TestErf.java</t>
  </si>
  <si>
    <t>TestErfc.java</t>
  </si>
  <si>
    <t>TestExp.java</t>
  </si>
  <si>
    <t>TestExp2.java</t>
  </si>
  <si>
    <t>TestExpm1.java</t>
  </si>
  <si>
    <t>TestFabs.java</t>
  </si>
  <si>
    <t>TestFastDistance.java</t>
  </si>
  <si>
    <t>TestFastLength.java</t>
  </si>
  <si>
    <t>TestFastNormalize.java</t>
  </si>
  <si>
    <t>TestFdim.java</t>
  </si>
  <si>
    <t>TestFloor.java</t>
  </si>
  <si>
    <t>TestFma.java</t>
  </si>
  <si>
    <t>TestFmax.java</t>
  </si>
  <si>
    <t>TestFmin.java</t>
  </si>
  <si>
    <t>TestFmod.java</t>
  </si>
  <si>
    <t>TestFract.java</t>
  </si>
  <si>
    <t>TestFrexp.java</t>
  </si>
  <si>
    <t>TestHalfRecip.java</t>
  </si>
  <si>
    <t>TestHalfRsqrt.java</t>
  </si>
  <si>
    <t>TestHalfSqrt.java</t>
  </si>
  <si>
    <t>TestHypot.java</t>
  </si>
  <si>
    <t>TestLdexp.java</t>
  </si>
  <si>
    <t>TestLength.java</t>
  </si>
  <si>
    <t>TestLgamma.java</t>
  </si>
  <si>
    <t>TestLog.java</t>
  </si>
  <si>
    <t>TestLog10.java</t>
  </si>
  <si>
    <t>TestLog1p.java</t>
  </si>
  <si>
    <t>TestLog2.java</t>
  </si>
  <si>
    <t>TestMad.java</t>
  </si>
  <si>
    <t>TestMax.java</t>
  </si>
  <si>
    <t>TestMin.java</t>
  </si>
  <si>
    <t>TestMix.java</t>
  </si>
  <si>
    <t>TestModf.java</t>
  </si>
  <si>
    <t>TestNan.java</t>
  </si>
  <si>
    <t>TestNativeAcos.java</t>
  </si>
  <si>
    <t>TestNativeAcosh.java</t>
  </si>
  <si>
    <t>TestNativeAcospi.java</t>
  </si>
  <si>
    <t>TestNativeAsin.java</t>
  </si>
  <si>
    <t>TestNativeAsinh.java</t>
  </si>
  <si>
    <t>TestNativeAsinpi.java</t>
  </si>
  <si>
    <t>TestNativeAtan.java</t>
  </si>
  <si>
    <t>TestNativeAtan2.java</t>
  </si>
  <si>
    <t>TestNativeAtan2pi.java</t>
  </si>
  <si>
    <t>TestNativeAtanh.java</t>
  </si>
  <si>
    <t>TestNativeAtanpi.java</t>
  </si>
  <si>
    <t>TestNativeCbrt.java</t>
  </si>
  <si>
    <t>TestNativeCos.java</t>
  </si>
  <si>
    <t>TestNativeCosh.java</t>
  </si>
  <si>
    <t>TestNativeCospi.java</t>
  </si>
  <si>
    <t>TestNativeDistance.java</t>
  </si>
  <si>
    <t>TestNativeDivide.java</t>
  </si>
  <si>
    <t>TestNativeExp.java</t>
  </si>
  <si>
    <t>TestNativeExp10.java</t>
  </si>
  <si>
    <t>TestNativeExp2.java</t>
  </si>
  <si>
    <t>TestNativeExpm1.java</t>
  </si>
  <si>
    <t>TestNativeHypot.java</t>
  </si>
  <si>
    <t>TestNativeLength.java</t>
  </si>
  <si>
    <t>TestNativeLog.java</t>
  </si>
  <si>
    <t>TestNativeLog10.java</t>
  </si>
  <si>
    <t>TestNativeLog1p.java</t>
  </si>
  <si>
    <t>TestNativeLog2.java</t>
  </si>
  <si>
    <t>TestNativeNormalize.java</t>
  </si>
  <si>
    <t>TestNativePowr.java</t>
  </si>
  <si>
    <t>TestNativeRecip.java</t>
  </si>
  <si>
    <t>TestNativeRootn.java</t>
  </si>
  <si>
    <t>TestNativeRsqrt.java</t>
  </si>
  <si>
    <t>TestNativeSin.java</t>
  </si>
  <si>
    <t>TestNativeSincos.java</t>
  </si>
  <si>
    <t>TestNativeSinh.java</t>
  </si>
  <si>
    <t>TestNativeSinpi.java</t>
  </si>
  <si>
    <t>TestNativeSqrt.java</t>
  </si>
  <si>
    <t>TestNativeTan.java</t>
  </si>
  <si>
    <t>TestNativeTanh.java</t>
  </si>
  <si>
    <t>TestNativeTanpi.java</t>
  </si>
  <si>
    <t>TestNextafter.java</t>
  </si>
  <si>
    <t>TestNormalize.java</t>
  </si>
  <si>
    <t>TestPow.java</t>
  </si>
  <si>
    <t>TestPowr.java</t>
  </si>
  <si>
    <t>TestRadians.java</t>
  </si>
  <si>
    <t>TestRemainder.java</t>
  </si>
  <si>
    <t>TestRemquo.java</t>
  </si>
  <si>
    <t>TestRint.java</t>
  </si>
  <si>
    <t>TestRound.java</t>
  </si>
  <si>
    <t>TestRsqrt.java</t>
  </si>
  <si>
    <t>TestSign.java</t>
  </si>
  <si>
    <t>TestSin.java</t>
  </si>
  <si>
    <t>TestSincos.java</t>
  </si>
  <si>
    <t>TestSinh.java</t>
  </si>
  <si>
    <t>TestSinpi.java</t>
  </si>
  <si>
    <t>TestSqrt.java</t>
  </si>
  <si>
    <t>TestStep.java</t>
  </si>
  <si>
    <t>TestTan.java</t>
  </si>
  <si>
    <t>TestTanh.java</t>
  </si>
  <si>
    <t>TestTanpi.java</t>
  </si>
  <si>
    <t>TestTgamma.java</t>
  </si>
  <si>
    <t>TestTrunc.java</t>
  </si>
  <si>
    <t>DngCreatorTest.java</t>
  </si>
  <si>
    <t>RSAllocationTest.java</t>
  </si>
  <si>
    <t>StatisticsUtilsTest.java</t>
  </si>
  <si>
    <t>HttpResponseCacheTest.java</t>
  </si>
  <si>
    <t>HardwareNameTest.java</t>
  </si>
  <si>
    <t>YuvTest.java</t>
  </si>
  <si>
    <t>ARTBootASLRTest.java</t>
  </si>
  <si>
    <t>SmsUsageMonitorShortCodeTest.java</t>
  </si>
  <si>
    <t>NfcProvisioningSetupWizardConfigTest.java</t>
  </si>
  <si>
    <t>AudioRecordTest.java</t>
  </si>
  <si>
    <t>MediaMetadataRetrieverTest.java</t>
  </si>
  <si>
    <t>LowRamDeviceTest.java</t>
  </si>
  <si>
    <t>ReprocessCaptureTest.java</t>
  </si>
  <si>
    <t>H263QcifLongPlayerTest.java</t>
  </si>
  <si>
    <t>H263QcifShortPlayerTest.java</t>
  </si>
  <si>
    <t>H264R1080pAacLongPlayerTest.java</t>
  </si>
  <si>
    <t>H264R1080pAacRepeatedPlayerTest.java</t>
  </si>
  <si>
    <t>H264R1080pAacShortPlayerTest.java</t>
  </si>
  <si>
    <t>H264R480pAacLongPlayerTest.java</t>
  </si>
  <si>
    <t>H264R480pAacShortPlayerTest.java</t>
  </si>
  <si>
    <t>H264R480x360AacShortPlayerTest.java</t>
  </si>
  <si>
    <t>H264R720pAacLongPlayerTest.java</t>
  </si>
  <si>
    <t>HEVCR1080pAacLongPlayerTest.java</t>
  </si>
  <si>
    <t>HEVCR1080pAacRepeatedPlayerTest.java</t>
  </si>
  <si>
    <t>HEVCR1080pAacShortPlayerTest.java</t>
  </si>
  <si>
    <t>HEVCR480pAacLongPlayerTest.java</t>
  </si>
  <si>
    <t>HEVCR480pAacShortPlayerTest.java</t>
  </si>
  <si>
    <t>HEVCR480x360AacShortPlayerTest.java</t>
  </si>
  <si>
    <t>HEVCR720pAacLongPlayerTest.java</t>
  </si>
  <si>
    <t>HEVCR720pAacShortPlayerTest.java</t>
  </si>
  <si>
    <t>Vp8R480x360LongPlayerTest.java</t>
  </si>
  <si>
    <t>Vp8R480x360ShortPlayerTest.java</t>
  </si>
  <si>
    <t>JavaScannerTest.java</t>
  </si>
  <si>
    <t>NativeScannerTest.java</t>
  </si>
  <si>
    <t>TestListParser.java</t>
  </si>
  <si>
    <t>XmlPlanGeneratorTest.java</t>
  </si>
  <si>
    <t>KeyPairGeneratorSpecTest.java</t>
  </si>
  <si>
    <t>AudioRecord_BufferSizeTest.java</t>
  </si>
  <si>
    <t>FloatMathTest.java</t>
  </si>
  <si>
    <t>PerformanceTest.java</t>
  </si>
  <si>
    <t>SubscriptionManagerTest.java</t>
  </si>
  <si>
    <t>ImageWriterTest.java</t>
  </si>
  <si>
    <t>MediaSyncTest.java</t>
  </si>
  <si>
    <t>ContactsContract_AuthorizationTest.java</t>
  </si>
  <si>
    <t>ContactsTest.java</t>
  </si>
  <si>
    <t>MediaBrowserTest.java</t>
  </si>
  <si>
    <t>RSResizeTest.java</t>
  </si>
  <si>
    <t>LockTaskTest.java</t>
  </si>
  <si>
    <t>ActivityManagerTest.java</t>
  </si>
  <si>
    <t>DeviceInfoTest.java</t>
  </si>
  <si>
    <t>CompatibilityBuildProviderTest.java</t>
  </si>
  <si>
    <t>AnimatedVectorDrawableTest.java</t>
  </si>
  <si>
    <t>AtraceHostTest.java</t>
  </si>
  <si>
    <t>SampleHostTest.java</t>
  </si>
  <si>
    <t>SampleDeviceResultTest.java</t>
  </si>
  <si>
    <t>ExtendedInCallServiceTest.java</t>
  </si>
  <si>
    <t>OutgoingCallTest.java</t>
  </si>
  <si>
    <t>DefaultDialerOperationsTest.java</t>
  </si>
  <si>
    <t>VideoCallTest.java</t>
  </si>
  <si>
    <t>SeccompBpfTest.java</t>
  </si>
  <si>
    <t>NetworkUsageStatsTest.java</t>
  </si>
  <si>
    <t>PackageInstallTest.java</t>
  </si>
  <si>
    <t>DeviceOwnerTest.java</t>
  </si>
  <si>
    <t>NumberDialingTest.java</t>
  </si>
  <si>
    <t>SimpleTelecomTest.java</t>
  </si>
  <si>
    <t>KeyPairGeneratorTest.java</t>
  </si>
  <si>
    <t>ApacheHttpClientTest.java</t>
  </si>
  <si>
    <t>CompatibilityTest.java</t>
  </si>
  <si>
    <t>BuildHelperTest.java</t>
  </si>
  <si>
    <t>CompatibilityTestTest.java</t>
  </si>
  <si>
    <t>ReadSocialStreamPermissionTest.java</t>
  </si>
  <si>
    <t>WriteSocialStreamPermissionTest.java</t>
  </si>
  <si>
    <t>KeyManagementTest.java</t>
  </si>
  <si>
    <t>MultinetworkSysctlTest.java</t>
  </si>
  <si>
    <t>CallDetailsTest.java</t>
  </si>
  <si>
    <t>TextView_SaveStateTest.java</t>
  </si>
  <si>
    <t>TvPermissionTest.java</t>
  </si>
  <si>
    <t>KeyChainTest.java</t>
  </si>
  <si>
    <t>NotificationTest.java</t>
  </si>
  <si>
    <t>SearchDialogTest.java</t>
  </si>
  <si>
    <t>StatTest.java</t>
  </si>
  <si>
    <t>ReportLogTest.java</t>
  </si>
  <si>
    <t>MacTest.java</t>
  </si>
  <si>
    <t>ResourceManagerTest.java</t>
  </si>
  <si>
    <t>ModuleResultTest.java</t>
  </si>
  <si>
    <t>VideoDecoderPerfTest.java</t>
  </si>
  <si>
    <t>KeyGeneratorTest.java</t>
  </si>
  <si>
    <t>TestUtils.java</t>
  </si>
  <si>
    <t>CipherTest.java</t>
  </si>
  <si>
    <t>EventOrderingVerificationTest.java</t>
  </si>
  <si>
    <t>ReadExternalStorageTest.java</t>
  </si>
  <si>
    <t>ModuleDefTest.java</t>
  </si>
  <si>
    <t>TestFilter.java</t>
  </si>
  <si>
    <t>TestFilterTest.java</t>
  </si>
  <si>
    <t>WipeDataTest.java</t>
  </si>
  <si>
    <t>AdoptionHostTest.java</t>
  </si>
  <si>
    <t>AlarmClockIntentsTest.java</t>
  </si>
  <si>
    <t>TestActivity.java</t>
  </si>
  <si>
    <t>ScreenCaptureDisabledTest.java</t>
  </si>
  <si>
    <t>TelephonyProviderTest.java</t>
  </si>
  <si>
    <t>CarrierConfigManagerTest.java</t>
  </si>
  <si>
    <t>AssistStructureTest.java</t>
  </si>
  <si>
    <t>DisableContextTest.java</t>
  </si>
  <si>
    <t>AnnotationCompareTest.java</t>
  </si>
  <si>
    <t>ClassCompareTest.java</t>
  </si>
  <si>
    <t>PackageCompareTest.java</t>
  </si>
  <si>
    <t>AbstractComparatorTest.java</t>
  </si>
  <si>
    <t>ConvertAnnotationTest.java</t>
  </si>
  <si>
    <t>ConvertClassTest.java</t>
  </si>
  <si>
    <t>ConvertEnumTest.java</t>
  </si>
  <si>
    <t>ConvertPackageTest.java</t>
  </si>
  <si>
    <t>ConvertParameterizedTypeTest.java</t>
  </si>
  <si>
    <t>ConvertVisibilityTest.java</t>
  </si>
  <si>
    <t>ConvertWildcardTest.java</t>
  </si>
  <si>
    <t>DexExternalizerTest.java</t>
  </si>
  <si>
    <t>DexUtilTest.java</t>
  </si>
  <si>
    <t>GenericSignatureParserTest.java</t>
  </si>
  <si>
    <t>AbstractConvertTest.java</t>
  </si>
  <si>
    <t>CompatibilityBuildHelperTest.java</t>
  </si>
  <si>
    <t>BaseMockLocationTest.java</t>
  </si>
  <si>
    <t>AESCipherNistCavpKatTest.java</t>
  </si>
  <si>
    <t>CompatibilityBuildInfoTest.java</t>
  </si>
  <si>
    <t>AppIdleHostTest.java</t>
  </si>
  <si>
    <t>AccountManagementTest.java</t>
  </si>
  <si>
    <t>CustomDeviceOwnerTest.java</t>
  </si>
  <si>
    <t>SampleDeviceTest.java</t>
  </si>
  <si>
    <t>AssistTest.java</t>
  </si>
  <si>
    <t>CtsTradefedTest.java</t>
  </si>
  <si>
    <t>BasePackageInstallTest.java</t>
  </si>
  <si>
    <t>BaseRemoteTelecomTest.java</t>
  </si>
  <si>
    <t>WiredHeadsetTest.java</t>
  </si>
  <si>
    <t>AudioPolicyBinderTest.java</t>
  </si>
  <si>
    <t>MediaPlayerInfoLeakTest.java</t>
  </si>
  <si>
    <t>JitterVerificationTest.java</t>
  </si>
  <si>
    <t>ResultHandlerTest.java</t>
  </si>
  <si>
    <t>StagefrightTest.java</t>
  </si>
  <si>
    <t>XmlResultHandlerTest.java</t>
  </si>
  <si>
    <t>TaskSwitchingDeviceTest.java</t>
  </si>
  <si>
    <t>MediaCryptoTest.java</t>
  </si>
  <si>
    <t>UiAutomatorTest.java</t>
  </si>
  <si>
    <t>CaCertManagementTest.java</t>
  </si>
  <si>
    <t>ValueAnimatorTest.java</t>
  </si>
  <si>
    <t>SettingsPreparerTest.java</t>
  </si>
  <si>
    <t>SettingsTaskTest.java</t>
  </si>
  <si>
    <t>PreconditionsTest.java</t>
  </si>
  <si>
    <t>TestDeviceInfo.java</t>
  </si>
  <si>
    <t>LocaleCheckTest.java</t>
  </si>
  <si>
    <t>PropertyCheckTest.java</t>
  </si>
  <si>
    <t>ResultReporterTest.java</t>
  </si>
  <si>
    <t>HostPreconditionPreparerTest.java</t>
  </si>
  <si>
    <t>PermissionPolicyTest.java</t>
  </si>
  <si>
    <t>PopupMenuTest.java</t>
  </si>
  <si>
    <t>DeviceAdminInfoTest.java</t>
  </si>
  <si>
    <t>TestDeviceAdminReceiver.java</t>
  </si>
  <si>
    <t>HardwareSessionTest.java</t>
  </si>
  <si>
    <t>FragmentTransitionTest.java</t>
  </si>
  <si>
    <t>LocalServerSocketTest.java</t>
  </si>
  <si>
    <t>UiModeManagerTest.java</t>
  </si>
  <si>
    <t>AccountUtilsTest.java</t>
  </si>
  <si>
    <t>DeviceAndProfileOwnerTest.java</t>
  </si>
  <si>
    <t>DragAndDropTest.java</t>
  </si>
  <si>
    <t>MixedProfileOwnerTest.java</t>
  </si>
  <si>
    <t>EphemeralUserTest.java</t>
  </si>
  <si>
    <t>VulkanReservedTest.java</t>
  </si>
  <si>
    <t>ClearDeviceOwnerTest.java</t>
  </si>
  <si>
    <t>ClearProfileOwnerTest.java</t>
  </si>
  <si>
    <t>ApplicationRestrictionsTest.java</t>
  </si>
  <si>
    <t>TestActiveTileService.java</t>
  </si>
  <si>
    <t>TestTileService.java</t>
  </si>
  <si>
    <t>ActiveTileServiceTest.java</t>
  </si>
  <si>
    <t>BaseTileServiceTest.java</t>
  </si>
  <si>
    <t>TileServiceTest.java</t>
  </si>
  <si>
    <t>LocaleSpanTest.java</t>
  </si>
  <si>
    <t>SuggestionSpanTest.java</t>
  </si>
  <si>
    <t>StagefrightFoundationTest.java</t>
  </si>
  <si>
    <t>DeviceAdminHostSideTest.java</t>
  </si>
  <si>
    <t>DeviceAdminTest.java</t>
  </si>
  <si>
    <t>BaseDeviceAdminHostSideTest.java</t>
  </si>
  <si>
    <t>TvContractTest.java</t>
  </si>
  <si>
    <t>ClearPasswordTest.java</t>
  </si>
  <si>
    <t>FragmentTest.java</t>
  </si>
  <si>
    <t>PhoneAccountTest.java</t>
  </si>
  <si>
    <t>DocumentsClientTest.java</t>
  </si>
  <si>
    <t>AudioRecordNotificationTest.java</t>
  </si>
  <si>
    <t>AbiOverrideTest.java</t>
  </si>
  <si>
    <t>LinkTest.java</t>
  </si>
  <si>
    <t>Float16ArithmeticTest.java</t>
  </si>
  <si>
    <t>StaticMetadataCollectionTest.java</t>
  </si>
  <si>
    <t>SensorBatchingFifoTest.java</t>
  </si>
  <si>
    <t>RunAsHostTest.java</t>
  </si>
  <si>
    <t>CarConnectionListenerTest.java</t>
  </si>
  <si>
    <t>AudioRecordingConfigurationTest.java</t>
  </si>
  <si>
    <t>ArgbEvaluatorTest.java</t>
  </si>
  <si>
    <t>FloatEvaluatorTest.java</t>
  </si>
  <si>
    <t>IntEvaluatorTest.java</t>
  </si>
  <si>
    <t>TrustedVoiceHostTest.java</t>
  </si>
  <si>
    <t>AvoidXfermodeTest.java</t>
  </si>
  <si>
    <t>AvoidXfermode_ModeTest.java</t>
  </si>
  <si>
    <t>PixelXorXfermodeTest.java</t>
  </si>
  <si>
    <t>ListPopupWindowTest.java</t>
  </si>
  <si>
    <t>DrawableContainerStateTest.java</t>
  </si>
  <si>
    <t>Drawable_ConstantStateTest.java</t>
  </si>
  <si>
    <t>ArcMotionTest.java</t>
  </si>
  <si>
    <t>BaseTransitionTest.java</t>
  </si>
  <si>
    <t>BackspaceTest.java</t>
  </si>
  <si>
    <t>ForwardDeleteTest.java</t>
  </si>
  <si>
    <t>GnssMeasurementTest.java</t>
  </si>
  <si>
    <t>ColorStateListTest.java</t>
  </si>
  <si>
    <t>TypedArrayTest.java</t>
  </si>
  <si>
    <t>GestureDescriptionTest.java</t>
  </si>
  <si>
    <t>RestrictedInformationTest.java</t>
  </si>
  <si>
    <t>SecurityLoggingTest.java</t>
  </si>
  <si>
    <t>HardwarePropertiesManagerTest.java</t>
  </si>
  <si>
    <t>ContextTest.java</t>
  </si>
  <si>
    <t>DocumentsTest.java</t>
  </si>
  <si>
    <t>IcuFrameworkTest.java</t>
  </si>
  <si>
    <t>TestFmwkUtils.java</t>
  </si>
  <si>
    <t>TimingConstraintsTest.java</t>
  </si>
  <si>
    <t>TabHostTest.java</t>
  </si>
  <si>
    <t>SlideBadEdgeTest.java</t>
  </si>
  <si>
    <t>SlideEdgeTest.java</t>
  </si>
  <si>
    <t>AccessPrivateDataTest.java</t>
  </si>
  <si>
    <t>CarAppContextManagerTest.java</t>
  </si>
  <si>
    <t>ExifInterfaceTest.java</t>
  </si>
  <si>
    <t>AccessibilityGestureDispatchTest.java</t>
  </si>
  <si>
    <t>BlockedNumberBackupRestoreTest.java</t>
  </si>
  <si>
    <t>NsdManagerTest.java</t>
  </si>
  <si>
    <t>Test1DetailFragment.java</t>
  </si>
  <si>
    <t>Test3DetailFragment.java</t>
  </si>
  <si>
    <t>Test4DetailFragment.java</t>
  </si>
  <si>
    <t>Test5DetailFragment.java</t>
  </si>
  <si>
    <t>Test6DetailFragment.java</t>
  </si>
  <si>
    <t>TestGenericDetailFragment.java</t>
  </si>
  <si>
    <t>TestItems.java</t>
  </si>
  <si>
    <t>TestListFragment.java</t>
  </si>
  <si>
    <t>UiAutomatorJarTest.java</t>
  </si>
  <si>
    <t>PrintAttributesTest.java</t>
  </si>
  <si>
    <t>SampleDeviceReportLogTest.java</t>
  </si>
  <si>
    <t>AccessibilitySoftKeyboardModesTest.java</t>
  </si>
  <si>
    <t>CaptioningManagerTest.java</t>
  </si>
  <si>
    <t>AccessibilityViewTreeReportingTest.java</t>
  </si>
  <si>
    <t>UiAutomationTest.java</t>
  </si>
  <si>
    <t>TestList.java</t>
  </si>
  <si>
    <t>AudioEffectBinderTest.java</t>
  </si>
  <si>
    <t>AudioFlingerBinderTest.java</t>
  </si>
  <si>
    <t>GraphicBufferInfoLeakTest.java</t>
  </si>
  <si>
    <t>LoadEffectLibraryTest.java</t>
  </si>
  <si>
    <t>GnssNavigationMessageCallbackTest.java</t>
  </si>
  <si>
    <t>GnssNavigationMessageEventTest.java</t>
  </si>
  <si>
    <t>DalvikTest.java</t>
  </si>
  <si>
    <t>NumberPickerTest.java</t>
  </si>
  <si>
    <t>LinkifyTest.java</t>
  </si>
  <si>
    <t>CustomPrintOptionsTest.java</t>
  </si>
  <si>
    <t>AccessibilityWindowReportingTest.java</t>
  </si>
  <si>
    <t>ConferenceTest.java</t>
  </si>
  <si>
    <t>ExternalCallTest.java</t>
  </si>
  <si>
    <t>RemoteConferenceTest.java</t>
  </si>
  <si>
    <t>RemoteConnectionTest.java</t>
  </si>
  <si>
    <t>X509TrustManagerExtensionsTest.java</t>
  </si>
  <si>
    <t>RadioButtonTest.java</t>
  </si>
  <si>
    <t>ImageButtonTest.java</t>
  </si>
  <si>
    <t>ColorFilterAlphaTest.java</t>
  </si>
  <si>
    <t>XfermodeTest.java</t>
  </si>
  <si>
    <t>AudioRestrictionTest.java</t>
  </si>
  <si>
    <t>RemoteBugreportTest.java</t>
  </si>
  <si>
    <t>CheckedTextViewTest.java</t>
  </si>
  <si>
    <t>OrganizationInfoTest.java</t>
  </si>
  <si>
    <t>TestNGDeviceTest.java</t>
  </si>
  <si>
    <t>InputMethodServiceTest.java</t>
  </si>
  <si>
    <t>ImageCaptureUriExtraToClipDataTest.java</t>
  </si>
  <si>
    <t>PermissionsHostTest.java</t>
  </si>
  <si>
    <t>UsePermissionTest.java</t>
  </si>
  <si>
    <t>UsePermissionCompatTest.java</t>
  </si>
  <si>
    <t>RelativeLayoutTest.java</t>
  </si>
  <si>
    <t>AllocatePixelRefIntOverflowTest.java</t>
  </si>
  <si>
    <t>SkiaICORecursiveDecodingTest.java</t>
  </si>
  <si>
    <t>LoudnessEnhancerTest.java</t>
  </si>
  <si>
    <t>ShortcutManagerDynamicCountTest.java</t>
  </si>
  <si>
    <t>ShortcutManagerNoThrottlingTest.java</t>
  </si>
  <si>
    <t>ShortcutManagerSpoofDetectionTest.java</t>
  </si>
  <si>
    <t>ShortcutManagerThrottlingTest.java</t>
  </si>
  <si>
    <t>VpxEncoderTest.java</t>
  </si>
  <si>
    <t>CompilationTest.java</t>
  </si>
  <si>
    <t>FileChannelTryLockTest.java</t>
  </si>
  <si>
    <t>BatterySaverModeNonMeteredTest.java</t>
  </si>
  <si>
    <t>AudioPermissionTest.java</t>
  </si>
  <si>
    <t>DecodeAccuracyTest.java</t>
  </si>
  <si>
    <t>KeyguardManagerTest.java</t>
  </si>
  <si>
    <t>AdbRootDependentCompilationTest.java</t>
  </si>
  <si>
    <t>MultiAutoCompleteTextViewTest.java</t>
  </si>
  <si>
    <t>SustainedPerformanceHostTest.java</t>
  </si>
  <si>
    <t>DisplayDriverTest.java</t>
  </si>
  <si>
    <t>CreateAndManageUserTest.java</t>
  </si>
  <si>
    <t>LargeApkTest.java</t>
  </si>
  <si>
    <t>EncryptionTest.java</t>
  </si>
  <si>
    <t>PdfRenderTest.java</t>
  </si>
  <si>
    <t>ArrayAdapterTest.java</t>
  </si>
  <si>
    <t>ExpandableListViewTest.java</t>
  </si>
  <si>
    <t>AdapterViewTest.java</t>
  </si>
  <si>
    <t>VrSensorsTest.java</t>
  </si>
  <si>
    <t>EncoderTest.java</t>
  </si>
  <si>
    <t>SeekBarTest.java</t>
  </si>
  <si>
    <t>MatrixTest.java</t>
  </si>
  <si>
    <t>ZoomButtonTest.java</t>
  </si>
  <si>
    <t>AlwaysOnVpnTest.java</t>
  </si>
  <si>
    <t>MetricsStoreTest.java</t>
  </si>
  <si>
    <t>PointFTest.java</t>
  </si>
  <si>
    <t>PointTest.java</t>
  </si>
  <si>
    <t>RectFTest.java</t>
  </si>
  <si>
    <t>AbsSavedStateTest.java</t>
  </si>
  <si>
    <t>SceneTest.java</t>
  </si>
  <si>
    <t>BaseAdapterTest.java</t>
  </si>
  <si>
    <t>BaseExpandableListAdapterTest.java</t>
  </si>
  <si>
    <t>CursorTreeAdapterTest.java</t>
  </si>
  <si>
    <t>FilterTest.java</t>
  </si>
  <si>
    <t>HeaderViewListAdapterTest.java</t>
  </si>
  <si>
    <t>SlidingDrawerTest.java</t>
  </si>
  <si>
    <t>TableRowTest.java</t>
  </si>
  <si>
    <t>PropertyValuesHolderTest.java</t>
  </si>
  <si>
    <t>AnimatorListenerAdapterTest.java</t>
  </si>
  <si>
    <t>RemoteViewsTest.java</t>
  </si>
  <si>
    <t>PrintJobTest.java</t>
  </si>
  <si>
    <t>FragmentReceiveResultTest.java</t>
  </si>
  <si>
    <t>PdfRendererTest.java</t>
  </si>
  <si>
    <t>ClassParametersTest.java</t>
  </si>
  <si>
    <t>BoringLayoutTest.java</t>
  </si>
  <si>
    <t>LoginFilterTest.java</t>
  </si>
  <si>
    <t>LinkMovementMethodTest.java</t>
  </si>
  <si>
    <t>MetaKeyKeyListenerTest.java</t>
  </si>
  <si>
    <t>PasswordTransformationMethodTest.java</t>
  </si>
  <si>
    <t>AppPrintInterfaceTest.java</t>
  </si>
  <si>
    <t>PrintServicesTest.java</t>
  </si>
  <si>
    <t>InterfaceForAppsTest.java</t>
  </si>
  <si>
    <t>PageRangeAdjustmentTest.java</t>
  </si>
  <si>
    <t>PrinterCapabilitiesTest.java</t>
  </si>
  <si>
    <t>PrinterDiscoverySessionLifecycleTest.java</t>
  </si>
  <si>
    <t>PrinterInfoTest.java</t>
  </si>
  <si>
    <t>AbsListView_LayoutParamsTest.java</t>
  </si>
  <si>
    <t>AbsSpinnerTest.java</t>
  </si>
  <si>
    <t>AbsoluteLayoutTest.java</t>
  </si>
  <si>
    <t>ActionMenuViewTest.java</t>
  </si>
  <si>
    <t>AnalogClockTest.java</t>
  </si>
  <si>
    <t>CalendarViewTest.java</t>
  </si>
  <si>
    <t>CheckBoxTest.java</t>
  </si>
  <si>
    <t>GridLayoutTest.java</t>
  </si>
  <si>
    <t>DialerFilterTest.java</t>
  </si>
  <si>
    <t>DigitalClockTest.java</t>
  </si>
  <si>
    <t>EditTextTest.java</t>
  </si>
  <si>
    <t>ExpandableListViewBasicTest.java</t>
  </si>
  <si>
    <t>ExpandableListViewWithHeadersTest.java</t>
  </si>
  <si>
    <t>LinearLayoutTest.java</t>
  </si>
  <si>
    <t>MultiAutoCompleteTextView_CommaTokenizerTest.java</t>
  </si>
  <si>
    <t>RadioGroupTest.java</t>
  </si>
  <si>
    <t>RadioGroup_LayoutParamsTest.java</t>
  </si>
  <si>
    <t>RelativeLayout_LayoutParamsTest.java</t>
  </si>
  <si>
    <t>RemoteViewsActivityTest.java</t>
  </si>
  <si>
    <t>ScrollerTest.java</t>
  </si>
  <si>
    <t>WebViewStartupTest.java</t>
  </si>
  <si>
    <t>SwitchTest.java</t>
  </si>
  <si>
    <t>TabHost_TabSpecTest.java</t>
  </si>
  <si>
    <t>CursorAdapterTest.java</t>
  </si>
  <si>
    <t>ResourceCursorAdapterTest.java</t>
  </si>
  <si>
    <t>ResourceCursorTreeAdapterTest.java</t>
  </si>
  <si>
    <t>SearchViewTest.java</t>
  </si>
  <si>
    <t>SearchView_CursorTest.java</t>
  </si>
  <si>
    <t>SimpleAdapterTest.java</t>
  </si>
  <si>
    <t>SimpleCursorAdapterTest.java</t>
  </si>
  <si>
    <t>SimpleCursorTreeAdapterTest.java</t>
  </si>
  <si>
    <t>SimpleExpandableListAdapterTest.java</t>
  </si>
  <si>
    <t>TableLayout_LayoutParamsTest.java</t>
  </si>
  <si>
    <t>TabWidgetTest.java</t>
  </si>
  <si>
    <t>TextViewFadingEdgeTest.java</t>
  </si>
  <si>
    <t>ToastTest.java</t>
  </si>
  <si>
    <t>ToggleButtonTest.java</t>
  </si>
  <si>
    <t>ToolbarTest.java</t>
  </si>
  <si>
    <t>TwoLineListItemTest.java</t>
  </si>
  <si>
    <t>ViewAnimatorTest.java</t>
  </si>
  <si>
    <t>ViewFlipperTest.java</t>
  </si>
  <si>
    <t>ViewSwitcherTest.java</t>
  </si>
  <si>
    <t>BaseInputConnectionTest.java</t>
  </si>
  <si>
    <t>EditorInfoTest.java</t>
  </si>
  <si>
    <t>InputContentInfoTest.java</t>
  </si>
  <si>
    <t>InputMethodManagerTest.java</t>
  </si>
  <si>
    <t>TableRow_LayoutParamsTest.java</t>
  </si>
  <si>
    <t>TextSwitcherTest.java</t>
  </si>
  <si>
    <t>AccelerateDecelerateInterpolatorTest.java</t>
  </si>
  <si>
    <t>AccelerateInterpolatorTest.java</t>
  </si>
  <si>
    <t>AnimationSetTest.java</t>
  </si>
  <si>
    <t>AnimationTest.java</t>
  </si>
  <si>
    <t>AnimationUtilsTest.java</t>
  </si>
  <si>
    <t>AnimatorInflaterTest.java</t>
  </si>
  <si>
    <t>CycleInterpolatorTest.java</t>
  </si>
  <si>
    <t>DecelerateInterpolatorTest.java</t>
  </si>
  <si>
    <t>GridLayoutAnimationControllerTest.java</t>
  </si>
  <si>
    <t>LayoutAnimationControllerTest.java</t>
  </si>
  <si>
    <t>LinearInterpolatorTest.java</t>
  </si>
  <si>
    <t>RotateAnimationTest.java</t>
  </si>
  <si>
    <t>ScaleAnimationTest.java</t>
  </si>
  <si>
    <t>TranslateAnimationTest.java</t>
  </si>
  <si>
    <t>View_AnimationTest.java</t>
  </si>
  <si>
    <t>ContextThemeWrapperTest.java</t>
  </si>
  <si>
    <t>ActionModeTest.java</t>
  </si>
  <si>
    <t>ViewGroupOverlayTest.java</t>
  </si>
  <si>
    <t>ViewOutlineProviderTest.java</t>
  </si>
  <si>
    <t>ViewOverlayTest.java</t>
  </si>
  <si>
    <t>LayoutInflaterTest.java</t>
  </si>
  <si>
    <t>MenuInflaterTest.java</t>
  </si>
  <si>
    <t>AudioPolicyServiceTest.java</t>
  </si>
  <si>
    <t>ContentPaneFocusTest.java</t>
  </si>
  <si>
    <t>FocusFinderTest.java</t>
  </si>
  <si>
    <t>FrameMetricsListenerTest.java</t>
  </si>
  <si>
    <t>MediaRouterTest.java</t>
  </si>
  <si>
    <t>TestGnssMeasurementListener.java</t>
  </si>
  <si>
    <t>KeyCharacterMapTest.java</t>
  </si>
  <si>
    <t>MotionEventTest.java</t>
  </si>
  <si>
    <t>SearchEventTest.java</t>
  </si>
  <si>
    <t>OrientationEventListenerTest.java</t>
  </si>
  <si>
    <t>ScaleGestureDetectorTest.java</t>
  </si>
  <si>
    <t>SoundEffectConstantsTest.java</t>
  </si>
  <si>
    <t>ViewConfigurationTest.java</t>
  </si>
  <si>
    <t>View_FocusHandlingTest.java</t>
  </si>
  <si>
    <t>View_IdsTest.java</t>
  </si>
  <si>
    <t>View_LayoutPositionTest.java</t>
  </si>
  <si>
    <t>View_MeasureSpecTest.java</t>
  </si>
  <si>
    <t>View_UsingViewsTest.java</t>
  </si>
  <si>
    <t>ChoreographerNativeTest.java</t>
  </si>
  <si>
    <t>DisplayRefreshRateTest.java</t>
  </si>
  <si>
    <t>PixelCopyTest.java</t>
  </si>
  <si>
    <t>AnimatorSetTest.java</t>
  </si>
  <si>
    <t>AnimatorTest.java</t>
  </si>
  <si>
    <t>CreationTest.java</t>
  </si>
  <si>
    <t>EvaluatorTest.java</t>
  </si>
  <si>
    <t>LayoutAnimationTest.java</t>
  </si>
  <si>
    <t>SurfaceViewSyncTest.java</t>
  </si>
  <si>
    <t>SurfaceViewTest.java</t>
  </si>
  <si>
    <t>TextureViewTest.java</t>
  </si>
  <si>
    <t>WindowManager_LayoutParamsTest.java</t>
  </si>
  <si>
    <t>ScopedDirectoryAccessClientTest.java</t>
  </si>
  <si>
    <t>CaptureValuesTest.java</t>
  </si>
  <si>
    <t>ChangeBoundsTest.java</t>
  </si>
  <si>
    <t>ChangeClipBoundsTest.java</t>
  </si>
  <si>
    <t>ChangeImageTransformTest.java</t>
  </si>
  <si>
    <t>ChangeScrollTest.java</t>
  </si>
  <si>
    <t>ChangeTransformTest.java</t>
  </si>
  <si>
    <t>ExplodeTest.java</t>
  </si>
  <si>
    <t>FadeTest.java</t>
  </si>
  <si>
    <t>TransitionInflaterTest.java</t>
  </si>
  <si>
    <t>TransitionManagerTest.java</t>
  </si>
  <si>
    <t>TransitionTest.java</t>
  </si>
  <si>
    <t>VisibilityTest.java</t>
  </si>
  <si>
    <t>LogPrinterTest.java</t>
  </si>
  <si>
    <t>MonthDisplayHelperTest.java</t>
  </si>
  <si>
    <t>PrintStreamPrinterTest.java</t>
  </si>
  <si>
    <t>PrintWriterPrinterTest.java</t>
  </si>
  <si>
    <t>RangeTest.java</t>
  </si>
  <si>
    <t>RationalTest.java</t>
  </si>
  <si>
    <t>SparseBooleanArrayTest.java</t>
  </si>
  <si>
    <t>SparseIntArrayTest.java</t>
  </si>
  <si>
    <t>StateSetTest.java</t>
  </si>
  <si>
    <t>StrictJarFileTest.java</t>
  </si>
  <si>
    <t>Rfc822TokenizerTest.java</t>
  </si>
  <si>
    <t>BaseMovementMethodTest.java</t>
  </si>
  <si>
    <t>CharacterPickerDialogTest.java</t>
  </si>
  <si>
    <t>ReplacementTransformationMethodTest.java</t>
  </si>
  <si>
    <t>ScrollingMovementMethodTest.java</t>
  </si>
  <si>
    <t>SingleLineTransformationMethodTest.java</t>
  </si>
  <si>
    <t>TouchTest.java</t>
  </si>
  <si>
    <t>WordIteratorTest.java</t>
  </si>
  <si>
    <t>BulletSpanTest.java</t>
  </si>
  <si>
    <t>TtsSpanTest.java</t>
  </si>
  <si>
    <t>URLSpanTest.java</t>
  </si>
  <si>
    <t>AnnotationTest.java</t>
  </si>
  <si>
    <t>ClipboardManagerTest.java</t>
  </si>
  <si>
    <t>DynamicLayoutTest.java</t>
  </si>
  <si>
    <t>HtmlTest.java</t>
  </si>
  <si>
    <t>MyanmarTest.java</t>
  </si>
  <si>
    <t>SpannableStringBuilderTest.java</t>
  </si>
  <si>
    <t>StaticLayoutTest.java</t>
  </si>
  <si>
    <t>EmojiTest.java</t>
  </si>
  <si>
    <t>CompressedTextureTest.java</t>
  </si>
  <si>
    <t>EglConfigTest.java</t>
  </si>
  <si>
    <t>EglContextTest.java</t>
  </si>
  <si>
    <t>GLSurfaceViewTest.java</t>
  </si>
  <si>
    <t>RectShapeTest.java</t>
  </si>
  <si>
    <t>PdfDocumentTest.java</t>
  </si>
  <si>
    <t>PdfRendererTransformTest.java</t>
  </si>
  <si>
    <t>AnimatedStateListDrawableTest.java</t>
  </si>
  <si>
    <t>LevelListDrawableTest.java</t>
  </si>
  <si>
    <t>PaintDrawableTest.java</t>
  </si>
  <si>
    <t>RippleDrawableTest.java</t>
  </si>
  <si>
    <t>StateListDrawableTest.java</t>
  </si>
  <si>
    <t>BitmapShaderTest.java</t>
  </si>
  <si>
    <t>DrawableWrapperTest.java</t>
  </si>
  <si>
    <t>IconTest.java</t>
  </si>
  <si>
    <t>ColorMatrixColorFilterTest.java</t>
  </si>
  <si>
    <t>ColorMatrixTest.java</t>
  </si>
  <si>
    <t>ColorTest.java</t>
  </si>
  <si>
    <t>BlurMaskFilterTest.java</t>
  </si>
  <si>
    <t>DrawFilterTest.java</t>
  </si>
  <si>
    <t>LightingColorFilterTest.java</t>
  </si>
  <si>
    <t>MovieTest.java</t>
  </si>
  <si>
    <t>NinePatchTest.java</t>
  </si>
  <si>
    <t>PaintFlagsDrawFilterTest.java</t>
  </si>
  <si>
    <t>PictureTest.java</t>
  </si>
  <si>
    <t>PixelFormatTest.java</t>
  </si>
  <si>
    <t>RectTest.java</t>
  </si>
  <si>
    <t>SweepGradientTest.java</t>
  </si>
  <si>
    <t>TypefaceTest.java</t>
  </si>
  <si>
    <t>VulkanFeaturesTest.java</t>
  </si>
  <si>
    <t>YuvImageTest.java</t>
  </si>
  <si>
    <t>TestNgRunnerBuilder.java</t>
  </si>
  <si>
    <t>SubPlanTest.java</t>
  </si>
  <si>
    <t>AbiUtilsTest.java</t>
  </si>
  <si>
    <t>TestTaskQueue.java</t>
  </si>
  <si>
    <t>FileChannelInterProcessLockTest.java</t>
  </si>
  <si>
    <t>LocalSocketTest.java</t>
  </si>
  <si>
    <t>MediaServerCrashTest.java</t>
  </si>
  <si>
    <t>MixedManagedProfileOwnerTest.java</t>
  </si>
  <si>
    <t>ProfileOwnerTest.java</t>
  </si>
  <si>
    <t>GeeTest.java</t>
  </si>
  <si>
    <t>JUnitDeviceTest.java</t>
  </si>
  <si>
    <t>WrappedGTest.java</t>
  </si>
  <si>
    <t>DeviceInfoCollectorFuncTest.java</t>
  </si>
  <si>
    <t>CtsXmlResultReporterTest.java</t>
  </si>
  <si>
    <t>TestLogTest.java</t>
  </si>
  <si>
    <t>TestPackageResultTest.java</t>
  </si>
  <si>
    <t>TestResultsTest.java</t>
  </si>
  <si>
    <t>TestSummaryXmlTest.java</t>
  </si>
  <si>
    <t>GeeTestTest.java</t>
  </si>
  <si>
    <t>JarHostTestTest.java</t>
  </si>
  <si>
    <t>TestPackageDefTest.java</t>
  </si>
  <si>
    <t>WrappedGTestResultParserTest.java</t>
  </si>
  <si>
    <t>PreDeviceOwnerTest.java</t>
  </si>
  <si>
    <t>CarAppFocusManagerTest.java</t>
  </si>
  <si>
    <t>ExceptionsTest.java</t>
  </si>
  <si>
    <t>CarInfoManagerTest.java</t>
  </si>
  <si>
    <t>FragmentReplaceTest.java</t>
  </si>
  <si>
    <t>TestGnssStatusCallback.java</t>
  </si>
  <si>
    <t>HalfTest.java</t>
  </si>
  <si>
    <t>NotificationManagerTest.java</t>
  </si>
  <si>
    <t>WebViewDeviceSideStartupTest.java</t>
  </si>
  <si>
    <t>UsbDebuggingAuthWithoutUnlockTest.java</t>
  </si>
  <si>
    <t>JDiffClassDescriptionTest.java</t>
  </si>
  <si>
    <t>MediaStoreUiTest.java</t>
  </si>
  <si>
    <t>ModuleRepoTest.java</t>
  </si>
  <si>
    <t>BluetoothRestrictionTest.java</t>
  </si>
  <si>
    <t>MediaPreparerTest.java</t>
  </si>
  <si>
    <t>CompatibilityConsoleTest.java</t>
  </si>
  <si>
    <t>RasterizerTest.java</t>
  </si>
  <si>
    <t>RasterizerSpanTest.java</t>
  </si>
  <si>
    <t>AppIdleMeteredTest.java</t>
  </si>
  <si>
    <t>AppIdleNonMeteredTest.java</t>
  </si>
  <si>
    <t>BatterySaverModeMeteredTest.java</t>
  </si>
  <si>
    <t>DozeModeMeteredTest.java</t>
  </si>
  <si>
    <t>DozeModeNonMeteredTest.java</t>
  </si>
  <si>
    <t>MediaBrowserServiceTest.java</t>
  </si>
  <si>
    <t>DeviceOwnerBindDeviceAdminServiceTest.java</t>
  </si>
  <si>
    <t>ManagedProfileBindDeviceAdminServiceTest.java</t>
  </si>
  <si>
    <t>ClientTest.java</t>
  </si>
  <si>
    <t>AppUsagePreparerAppTest.java</t>
  </si>
  <si>
    <t>BaseDeviceOwnerCompTest.java</t>
  </si>
  <si>
    <t>BindDeviceAdminServiceFailsTest.java</t>
  </si>
  <si>
    <t>BindDeviceAdminServiceGoodSetupTest.java</t>
  </si>
  <si>
    <t>ManagementTest.java</t>
  </si>
  <si>
    <t>NotificationChannelTest.java</t>
  </si>
  <si>
    <t>WifiTest.java</t>
  </si>
  <si>
    <t>DeviceOwnerCompTest.java</t>
  </si>
  <si>
    <t>DeviceOwnerPlusManagedProfileTest.java</t>
  </si>
  <si>
    <t>DeviceAdminReceiverTest.java</t>
  </si>
  <si>
    <t>EphemeralTest.java</t>
  </si>
  <si>
    <t>ContactsContract_AllUriTest.java</t>
  </si>
  <si>
    <t>AdminActionBookkeepingTest.java</t>
  </si>
  <si>
    <t>NetworkLoggingTest.java</t>
  </si>
  <si>
    <t>SsaidTest.java</t>
  </si>
  <si>
    <t>TooltipTest.java</t>
  </si>
  <si>
    <t>RequestPinAppWidgetTest.java</t>
  </si>
  <si>
    <t>ShortcutManagerManagedUserTest.java</t>
  </si>
  <si>
    <t>InvocationHistoryTest.java</t>
  </si>
  <si>
    <t>ProvisioningTest.java</t>
  </si>
  <si>
    <t>HoverTest.java</t>
  </si>
  <si>
    <t>CompletionInfoTest.java</t>
  </si>
  <si>
    <t>ExtractedTextRequestTest.java</t>
  </si>
  <si>
    <t>ExtractedTextTest.java</t>
  </si>
  <si>
    <t>InputBindingTest.java</t>
  </si>
  <si>
    <t>KeyboardTest.java</t>
  </si>
  <si>
    <t>WifiManagerTest.java</t>
  </si>
  <si>
    <t>BatteryStatsDumpsysTest.java</t>
  </si>
  <si>
    <t>DeviceOwnerPlusProfileOwnerTest.java</t>
  </si>
  <si>
    <t>AppRestrictionsDelegateTest.java</t>
  </si>
  <si>
    <t>NetstatsDeviceTest.java</t>
  </si>
  <si>
    <t>ContentResolverTest.java</t>
  </si>
  <si>
    <t>ActivityCallbacksTest.java</t>
  </si>
  <si>
    <t>BatteryStatsValidationTest.java</t>
  </si>
  <si>
    <t>AffiliationTest.java</t>
  </si>
  <si>
    <t>MixedDeviceOwnerTest.java</t>
  </si>
  <si>
    <t>LoginActivityTest.java</t>
  </si>
  <si>
    <t>MetadataReporterTest.java</t>
  </si>
  <si>
    <t>SecurityFeaturesTest.java</t>
  </si>
  <si>
    <t>DemoModeTest.java</t>
  </si>
  <si>
    <t>KeyAttestationTest.java</t>
  </si>
  <si>
    <t>TextureViewCameraTest.java</t>
  </si>
  <si>
    <t>DeactivationTest.java</t>
  </si>
  <si>
    <t>TextureViewStressTest.java</t>
  </si>
  <si>
    <t>SpannableStringTest.java</t>
  </si>
  <si>
    <t>SpannedStringTest.java</t>
  </si>
  <si>
    <t>ViewAttributesTest.java</t>
  </si>
  <si>
    <t>SelfManagedConnectionServiceTest.java</t>
  </si>
  <si>
    <t>ArrayMapTest.java</t>
  </si>
  <si>
    <t>ArraySetTest.java</t>
  </si>
  <si>
    <t>FontRequestTest.java</t>
  </si>
  <si>
    <t>TvInputInfoTest.java</t>
  </si>
  <si>
    <t>PipNotResizeableActivityTest.java</t>
  </si>
  <si>
    <t>SingleDeviceTest.java</t>
  </si>
  <si>
    <t>BitmapColorSpaceTest.java</t>
  </si>
  <si>
    <t>DemoModeUiAutomationTest.java</t>
  </si>
  <si>
    <t>DemoUserTest.java</t>
  </si>
  <si>
    <t>DemoModeUiAutomationHostTest.java</t>
  </si>
  <si>
    <t>VirtualContainerActivityTest.java</t>
  </si>
  <si>
    <t>PreferenceDataStoreTest.java</t>
  </si>
  <si>
    <t>AutofillValueTest.java</t>
  </si>
  <si>
    <t>TriggerContentTest.java</t>
  </si>
  <si>
    <t>UsesLibraryHostTest.java</t>
  </si>
  <si>
    <t>UsesLibraryTest.java</t>
  </si>
  <si>
    <t>StorageHostTest.java</t>
  </si>
  <si>
    <t>CrossProcessExceptionTest.java</t>
  </si>
  <si>
    <t>StorageTest.java</t>
  </si>
  <si>
    <t>LoaderTest.java</t>
  </si>
  <si>
    <t>LongSparseArrayTest.java</t>
  </si>
  <si>
    <t>SparseArrayTest.java</t>
  </si>
  <si>
    <t>FontManagerTest.java</t>
  </si>
  <si>
    <t>WallpaperRestoreTest.java</t>
  </si>
  <si>
    <t>WallpaperRestoreHostSideTest.java</t>
  </si>
  <si>
    <t>AudioAttributesTest.java</t>
  </si>
  <si>
    <t>FragmentTransactionTest.java</t>
  </si>
  <si>
    <t>AdjustmentTest.java</t>
  </si>
  <si>
    <t>SnoozeCriterionTest.java</t>
  </si>
  <si>
    <t>ShortcutManagerClientApiTest.java</t>
  </si>
  <si>
    <t>ShortcutManagerLauncherApiTest.java</t>
  </si>
  <si>
    <t>AccessibilityManagerTest.java</t>
  </si>
  <si>
    <t>NativeMidiEchoTest.java</t>
  </si>
  <si>
    <t>JvmtiRedefineClassesTest.java</t>
  </si>
  <si>
    <t>JvmtiTrackingTest.java</t>
  </si>
  <si>
    <t>JvmtiTaggingTest.java</t>
  </si>
  <si>
    <t>JvmtiHostTest.java</t>
  </si>
  <si>
    <t>AdaptiveIconMaskTest.java</t>
  </si>
  <si>
    <t>BatteryConstraintTest.java</t>
  </si>
  <si>
    <t>StorageStatsTest.java</t>
  </si>
  <si>
    <t>ShortcutManagerNegativeTest.java</t>
  </si>
  <si>
    <t>DeviceAdminUninstallTest.java</t>
  </si>
  <si>
    <t>FragmentManagerNonConfigTest.java</t>
  </si>
  <si>
    <t>SubPlanHelperTest.java</t>
  </si>
  <si>
    <t>RenderProcessCrashTest.java</t>
  </si>
  <si>
    <t>RetryFilterHelperTest.java</t>
  </si>
  <si>
    <t>ClipDataJobTest.java</t>
  </si>
  <si>
    <t>StorageConstraintTest.java</t>
  </si>
  <si>
    <t>MenuItemTest.java</t>
  </si>
  <si>
    <t>AudioRecordConcurrencyTest.java</t>
  </si>
  <si>
    <t>MediaSessionTest.java</t>
  </si>
  <si>
    <t>TextClassificationManagerTest.java</t>
  </si>
  <si>
    <t>ComposeShaderTest.java</t>
  </si>
  <si>
    <t>LinearGradientTest.java</t>
  </si>
  <si>
    <t>PorterDuffColorFilterTest.java</t>
  </si>
  <si>
    <t>CheckoutActivityTest.java</t>
  </si>
  <si>
    <t>FragmentAnimatorTest.java</t>
  </si>
  <si>
    <t>FontResultTest.java</t>
  </si>
  <si>
    <t>AutofillRestrictionsTest.java</t>
  </si>
  <si>
    <t>IpSecManagerTest.java</t>
  </si>
  <si>
    <t>FragmentReorderingTest.java</t>
  </si>
  <si>
    <t>Instrumentation_ActivityMonitorTest.java</t>
  </si>
  <si>
    <t>PartitionedActivityTest.java</t>
  </si>
  <si>
    <t>ColorSpaceTest.java</t>
  </si>
  <si>
    <t>NativeImageReaderTest.java</t>
  </si>
  <si>
    <t>AdaptivePlaybackTest.java</t>
  </si>
  <si>
    <t>AccessibilityFingerprintGestureTest.java</t>
  </si>
  <si>
    <t>TestResultsBackupHelper.java</t>
  </si>
  <si>
    <t>AHardwareBufferNativeTest.java</t>
  </si>
  <si>
    <t>SessionLifecycleTest.java</t>
  </si>
  <si>
    <t>PreferenceRecycleTest.java</t>
  </si>
  <si>
    <t>VolumeShaperTest.java</t>
  </si>
  <si>
    <t>VisualVoicemailServiceTest.java</t>
  </si>
  <si>
    <t>CallLogBackupTest.java</t>
  </si>
  <si>
    <t>DecoderConformanceTest.java</t>
  </si>
  <si>
    <t>BackupRestoreHostSideTest.java</t>
  </si>
  <si>
    <t>NoBackupFolderHostSideTest.java</t>
  </si>
  <si>
    <t>CarUiProviderTest.java</t>
  </si>
  <si>
    <t>BaseAppSecurityTest.java</t>
  </si>
  <si>
    <t>DirectBootHostTest.java</t>
  </si>
  <si>
    <t>ExternalStorageHostTest.java</t>
  </si>
  <si>
    <t>InstantAppUserTest.java</t>
  </si>
  <si>
    <t>StrictModeTest.java</t>
  </si>
  <si>
    <t>FontCoverageTest.java</t>
  </si>
  <si>
    <t>ExternalSourcesTest.java</t>
  </si>
  <si>
    <t>UnderlineSpanTest.java</t>
  </si>
  <si>
    <t>RestoreAnyVersionTest.java</t>
  </si>
  <si>
    <t>RetryRuleTest.java</t>
  </si>
  <si>
    <t>SessionCommitBroadcastTest.java</t>
  </si>
  <si>
    <t>MediaBitstreamsTest.java</t>
  </si>
  <si>
    <t>FullBackupQuotaTest.java</t>
  </si>
  <si>
    <t>NotificationListenerTest.java</t>
  </si>
  <si>
    <t>AdoptableHostTest.java</t>
  </si>
  <si>
    <t>BaseBackupHostSideTest.java</t>
  </si>
  <si>
    <t>VrCpuTest.java</t>
  </si>
  <si>
    <t>BaseBackupCtsTest.java</t>
  </si>
  <si>
    <t>MediaSessionManagerHostTest.java</t>
  </si>
  <si>
    <t>WallpaperColorsTest.java</t>
  </si>
  <si>
    <t>FullBackupLifecycleTest.java</t>
  </si>
  <si>
    <t>KeyValueLifecycleTest.java</t>
  </si>
  <si>
    <t>ApiComplianceCheckerTest.java</t>
  </si>
  <si>
    <t>SensorDirectReportTest.java</t>
  </si>
  <si>
    <t>CharSequenceTransformationTest.java</t>
  </si>
  <si>
    <t>ImageTransformationTest.java</t>
  </si>
  <si>
    <t>SimpleRegexValidatorTest.java</t>
  </si>
  <si>
    <t>CustomDescriptionTest.java</t>
  </si>
  <si>
    <t>TestLoader.java</t>
  </si>
  <si>
    <t>TestClassFinder.java</t>
  </si>
  <si>
    <t>SQLiteOpenHelperTest.java</t>
  </si>
  <si>
    <t>NativeClearKeySystemTest.java</t>
  </si>
  <si>
    <t>InstallSessionParamsUnitTest.java</t>
  </si>
  <si>
    <t>InstallSessionTransferTest.java</t>
  </si>
  <si>
    <t>SharedMemoryTest.java</t>
  </si>
  <si>
    <t>RegexValidatorTest.java</t>
  </si>
  <si>
    <t>InstantCookieHostTest.java</t>
  </si>
  <si>
    <t>SimpleSaveActivityTest.java</t>
  </si>
  <si>
    <t>H264Yuv420_8bitBpBitstreamsFullTest.java</t>
  </si>
  <si>
    <t>H264Yuv420_8bitHpBitstreamsFullTest.java</t>
  </si>
  <si>
    <t>H264Yuv420_8bitMpBitstreamsFullTest.java</t>
  </si>
  <si>
    <t>HevcYuv400BitstreamsFullTest.java</t>
  </si>
  <si>
    <t>HevcYuv420BitstreamsFullTest.java</t>
  </si>
  <si>
    <t>HevcYuv422BitstreamsFullTest.java</t>
  </si>
  <si>
    <t>HevcYuv444BitstreamsFullTest.java</t>
  </si>
  <si>
    <t>Vp8BitstreamsFullTest.java</t>
  </si>
  <si>
    <t>Vp9Yuv420BitstreamsFullTest.java</t>
  </si>
  <si>
    <t>Vp9Yuv422BitstreamsFullTest.java</t>
  </si>
  <si>
    <t>Vp9Yuv444BitstreamsFullTest.java</t>
  </si>
  <si>
    <t>RetryFactoryTestTest.java</t>
  </si>
  <si>
    <t>PrinterCapabilitiesChangeTest.java</t>
  </si>
  <si>
    <t>ProcessMustUseSeccompTest.java</t>
  </si>
  <si>
    <t>ResetPasswordWithTokenTest.java</t>
  </si>
  <si>
    <t>DisplaySizeTest.java</t>
  </si>
  <si>
    <t>InvalidSyncAuthoritiesHostTest.java</t>
  </si>
  <si>
    <t>InvalidSyncAuthoritiesDeviceTest.java</t>
  </si>
  <si>
    <t>ExtendedCameraCharacteristicsTest.java</t>
  </si>
  <si>
    <t>WebViewHostSideStartupTest.java</t>
  </si>
  <si>
    <t>MediaSessionManagerTest.java</t>
  </si>
  <si>
    <t>DragDropTest.java</t>
  </si>
  <si>
    <t>CryptoProviderWorkaroundTest.java</t>
  </si>
  <si>
    <t>OpenSSLEarlyCCSTest.java</t>
  </si>
  <si>
    <t>OpenSSLHeartbleedTest.java</t>
  </si>
  <si>
    <t>UsageStatsTest.java</t>
  </si>
  <si>
    <t>HevcYuv444BitstreamsTest.java</t>
  </si>
  <si>
    <t>Vp9Yuv444BitstreamsTest.java</t>
  </si>
  <si>
    <t>CompatibilityTestSuiteTest.java</t>
  </si>
  <si>
    <t>DatasetTest.java</t>
  </si>
  <si>
    <t>FillEventHistoryTest.java</t>
  </si>
  <si>
    <t>ModuleRepoSuiteTest.java</t>
  </si>
  <si>
    <t>CleartextPermittedTest.java</t>
  </si>
  <si>
    <t>FingerprintIncidentTest.java</t>
  </si>
  <si>
    <t>MbmsStreamingSessionTest.java</t>
  </si>
  <si>
    <t>ClassloaderSplitsTest.java</t>
  </si>
  <si>
    <t>PackageVisibilityTest.java</t>
  </si>
  <si>
    <t>CompatibilityHostTestBaseTest.java</t>
  </si>
  <si>
    <t>VrDisplayTest.java</t>
  </si>
  <si>
    <t>CreateUsersNoAppCrashesTest.java</t>
  </si>
  <si>
    <t>TestJobSchedulerReceiver.java</t>
  </si>
  <si>
    <t>DeviceIdleJobsTest.java</t>
  </si>
  <si>
    <t>NotificationIncidentTest.java</t>
  </si>
  <si>
    <t>ValidatorTest.java</t>
  </si>
  <si>
    <t>ActivityManagerProcessStateTest.java</t>
  </si>
  <si>
    <t>StatsdValidationTest.java</t>
  </si>
  <si>
    <t>FieldsClassificationTest.java</t>
  </si>
  <si>
    <t>FillResponseTest.java</t>
  </si>
  <si>
    <t>IncomingCallTest.java</t>
  </si>
  <si>
    <t>ColoredNavigationBarTest.java</t>
  </si>
  <si>
    <t>FieldsClassificationScorerTest.java</t>
  </si>
  <si>
    <t>WorkSourceTest.java</t>
  </si>
  <si>
    <t>PanicPressBackTest.java</t>
  </si>
  <si>
    <t>OptionalSaveActivityTest.java</t>
  </si>
  <si>
    <t>PreFilledLoginActivityTest.java</t>
  </si>
  <si>
    <t>SliceTest.java</t>
  </si>
  <si>
    <t>EncryptionHostTest.java</t>
  </si>
  <si>
    <t>InputMethodServiceDeviceTest.java</t>
  </si>
  <si>
    <t>InputMethodServiceLifecycleTest.java</t>
  </si>
  <si>
    <t>TestHelper.java</t>
  </si>
  <si>
    <t>ClearApplicationDataTest.java</t>
  </si>
  <si>
    <t>BaseDeviceOwnerTest.java</t>
  </si>
  <si>
    <t>FocusHandlingTest.java</t>
  </si>
  <si>
    <t>BluetoothLeScanTest.java</t>
  </si>
  <si>
    <t>UsbTest.java</t>
  </si>
  <si>
    <t>AppOpsTest.java</t>
  </si>
  <si>
    <t>TransferProfileOwnerIncomingTest.java</t>
  </si>
  <si>
    <t>TransferProfileOwnerOutgoingTest.java</t>
  </si>
  <si>
    <t>TransferProfileOwnerTest.java</t>
  </si>
  <si>
    <t>EditDistanceScorerTest.java</t>
  </si>
  <si>
    <t>SeccompDeviceTest.java</t>
  </si>
  <si>
    <t>SyncAdapterAccountAccessHostTest.java</t>
  </si>
  <si>
    <t>AccountAccessSameCertTest.java</t>
  </si>
  <si>
    <t>TransferDeviceOwnerIncomingTest.java</t>
  </si>
  <si>
    <t>DeviceAndProfileOwnerTransferOutgoingTest.java</t>
  </si>
  <si>
    <t>DeviceAndProfileOwnerHostSideTransferTest.java</t>
  </si>
  <si>
    <t>MixedDeviceOwnerHostSideTransferTest.java</t>
  </si>
  <si>
    <t>MixedProfileOwnerHostSideTransferTest.java</t>
  </si>
  <si>
    <t>MeasuredTextTest.java</t>
  </si>
  <si>
    <t>CameraGpuTest.java</t>
  </si>
  <si>
    <t>WebViewDataDirTest.java</t>
  </si>
  <si>
    <t>SELinuxTargetSdkTest.java</t>
  </si>
  <si>
    <t>SELinuxTargetSdk2Test.java</t>
  </si>
  <si>
    <t>BaseMultiUserTest.java</t>
  </si>
  <si>
    <t>AllowedAccountManagementTest.java</t>
  </si>
  <si>
    <t>BackupServiceEnabledTest.java</t>
  </si>
  <si>
    <t>BatterySaverTest.java</t>
  </si>
  <si>
    <t>TestSuiteContentReport.java</t>
  </si>
  <si>
    <t>ImageDecoderTest.java</t>
  </si>
  <si>
    <t>DisableAutofillTest.java</t>
  </si>
  <si>
    <t>MultiWindowLoginActivityTest.java</t>
  </si>
  <si>
    <t>LightBarThemeTest.java</t>
  </si>
  <si>
    <t>IncidentSettingFormatTest.java</t>
  </si>
  <si>
    <t>AssetManager_AssetInputStreamTest.java</t>
  </si>
  <si>
    <t>BackupManagerTest.java</t>
  </si>
  <si>
    <t>QuoteSpanTest.java</t>
  </si>
  <si>
    <t>TestAlarmScheduler.java</t>
  </si>
  <si>
    <t>BackgroundRestrictedAlarmsTest.java</t>
  </si>
  <si>
    <t>JvmtiAttachingHostTest.java</t>
  </si>
  <si>
    <t>CarAudioManagerTest.java</t>
  </si>
  <si>
    <t>SystemUpdatePolicyTest.java</t>
  </si>
  <si>
    <t>SliceBindingTest.java</t>
  </si>
  <si>
    <t>DeviceIdleWhitelistTest.java</t>
  </si>
  <si>
    <t>FragmentManagerConfigTest.java</t>
  </si>
  <si>
    <t>LogicalCameraDeviceTest.java</t>
  </si>
  <si>
    <t>FingerprintDialogBoundKeysTest.java</t>
  </si>
  <si>
    <t>MediaDrmClearkeyTest.java</t>
  </si>
  <si>
    <t>NativeMediaDrmClearkeyTest.java</t>
  </si>
  <si>
    <t>MemInfoIncidentTest.java</t>
  </si>
  <si>
    <t>DeviceAndProfileOwnerTransferIncomingTest.java</t>
  </si>
  <si>
    <t>LoggerTest.java</t>
  </si>
  <si>
    <t>PrecomputedTextTest.java</t>
  </si>
  <si>
    <t>TracingControllerTest.java</t>
  </si>
  <si>
    <t>UserDataTest.java</t>
  </si>
  <si>
    <t>MbmsDownloadSessionTest.java</t>
  </si>
  <si>
    <t>TransformationInfoTest.java</t>
  </si>
  <si>
    <t>BufferQueueProducerTest.java</t>
  </si>
  <si>
    <t>DeprecatedTargetSdkTest.java</t>
  </si>
  <si>
    <t>PrereleaseSdkTest.java</t>
  </si>
  <si>
    <t>CtsSyncManagerTest.java</t>
  </si>
  <si>
    <t>AlarmManagerIncidentTest.java</t>
  </si>
  <si>
    <t>ModifyInstallerPackageTest.java</t>
  </si>
  <si>
    <t>CreatePrivateDataTest.java</t>
  </si>
  <si>
    <t>MediaBrowser2Test.java</t>
  </si>
  <si>
    <t>MediaController2Test.java</t>
  </si>
  <si>
    <t>MediaMetadata2Test.java</t>
  </si>
  <si>
    <t>MediaSession2Test.java</t>
  </si>
  <si>
    <t>SessionToken2Test.java</t>
  </si>
  <si>
    <t>TestMediaSessionService2Registry.java</t>
  </si>
  <si>
    <t>VibrationEffectTest.java</t>
  </si>
  <si>
    <t>InputConnectionTest.java</t>
  </si>
  <si>
    <t>AnimatedImageDrawableTest.java</t>
  </si>
  <si>
    <t>HiddenApiTest.java</t>
  </si>
  <si>
    <t>SliceManagerTest.java</t>
  </si>
  <si>
    <t>TestActivityWithSameAffinity.java</t>
  </si>
  <si>
    <t>MeteredDataRestrictionTest.java</t>
  </si>
  <si>
    <t>VirtualContainerActivityCompatModeTest.java</t>
  </si>
  <si>
    <t>BrightnessTest.java</t>
  </si>
  <si>
    <t>TestServiceRegistry.java</t>
  </si>
  <si>
    <t>TestSuiteFilter.java</t>
  </si>
  <si>
    <t>MediaSessionManager_MediaSession2Test.java</t>
  </si>
  <si>
    <t>NoWifiStatePermissionTest.java</t>
  </si>
  <si>
    <t>MediaSession2_PermissionTest.java</t>
  </si>
  <si>
    <t>StagefrightCodecTest.java</t>
  </si>
  <si>
    <t>TestBase.java</t>
  </si>
  <si>
    <t>WifiRttTest.java</t>
  </si>
  <si>
    <t>TransferDeviceOwnerOutgoingTest.java</t>
  </si>
  <si>
    <t>MbmsDownloadCallbackTest.java</t>
  </si>
  <si>
    <t>OverrideApnTest.java</t>
  </si>
  <si>
    <t>BackupDeviceOwnerHostSideTest.java</t>
  </si>
  <si>
    <t>SliceBuilderTest.java</t>
  </si>
  <si>
    <t>RsAllocationCopyTest.java</t>
  </si>
  <si>
    <t>CarPackageManagerTest.java</t>
  </si>
  <si>
    <t>BiometricDialogBoundKeysTest.java</t>
  </si>
  <si>
    <t>CarSensorManagerTest.java</t>
  </si>
  <si>
    <t>PasswordBlacklistTest.java</t>
  </si>
  <si>
    <t>SetSystemSettingTest.java</t>
  </si>
  <si>
    <t>TextClassifierValueObjectsTest.java</t>
  </si>
  <si>
    <t>MbmsDownloadFlowTest.java</t>
  </si>
  <si>
    <t>AccessibilityRecordTest.java</t>
  </si>
  <si>
    <t>SeccompHostJUnit4DeviceTest.java</t>
  </si>
  <si>
    <t>TestDeviceFuncTest.java</t>
  </si>
  <si>
    <t>TestDeviceStressTest.java</t>
  </si>
  <si>
    <t>BiometricPromptBoundKeysTest.java</t>
  </si>
  <si>
    <t>NetworkRequestTest.java</t>
  </si>
  <si>
    <t>IncidentdTest.java</t>
  </si>
  <si>
    <t>EuiccManagerTest.java</t>
  </si>
  <si>
    <t>BackupDeviceOwnerTest.java</t>
  </si>
  <si>
    <t>BackupServicePoliciesTest.java</t>
  </si>
  <si>
    <t>PreferenceActivityFlowLandscapeTest.java</t>
  </si>
  <si>
    <t>PreferenceActivityFlowPortraitTest.java</t>
  </si>
  <si>
    <t>PreferenceActivityFlowTest.java</t>
  </si>
  <si>
    <t>PreferenceActivityLegacyFlowTest.java</t>
  </si>
  <si>
    <t>FatActivityTest.java</t>
  </si>
  <si>
    <t>ObserveAppUsagePermissionTest.java</t>
  </si>
  <si>
    <t>SuspendAppsPermissionTest.java</t>
  </si>
  <si>
    <t>TelephonyManagerPermissionTest.java</t>
  </si>
  <si>
    <t>IncidentdIsolatedTest.java</t>
  </si>
  <si>
    <t>BasicVulkanGpuTest.java</t>
  </si>
  <si>
    <t>UsbSerialTest.java</t>
  </si>
  <si>
    <t>TestUsbTest.java</t>
  </si>
  <si>
    <t>UpdateProviderInfoTest.java</t>
  </si>
  <si>
    <t>ManifestGeneratorTest.java</t>
  </si>
  <si>
    <t>TestRunHandler.java</t>
  </si>
  <si>
    <t>RetryFactoryTest.java</t>
  </si>
  <si>
    <t>ConfigurationFactoryTest.java</t>
  </si>
  <si>
    <t>CtsConfigLoadingTest.java</t>
  </si>
  <si>
    <t>IntegrationTest.java</t>
  </si>
  <si>
    <t>ChecksumReporterTest.java</t>
  </si>
  <si>
    <t>ConsoleReporterTest.java</t>
  </si>
  <si>
    <t>ResultReporterBuildInfoTest.java</t>
  </si>
  <si>
    <t>CertificationChecksumHelperTest.java</t>
  </si>
  <si>
    <t>DynamicConfigPusherTest.java</t>
  </si>
  <si>
    <t>TestStub.java</t>
  </si>
  <si>
    <t>TestStubShardable.java</t>
  </si>
  <si>
    <t>CollectorUtilTest.java</t>
  </si>
  <si>
    <t>DynamicConfigFileReaderTest.java</t>
  </si>
  <si>
    <t>OptionHelperTest.java</t>
  </si>
  <si>
    <t>UniqueModuleCountUtilTest.java</t>
  </si>
  <si>
    <t>BusinessLogicHostExecutorTest.java</t>
  </si>
  <si>
    <t>DynamicConfigHandlerTest.java</t>
  </si>
  <si>
    <t>TestStatus.java</t>
  </si>
  <si>
    <t>BusinessLogicTest.java</t>
  </si>
  <si>
    <t>CaseResultTest.java</t>
  </si>
  <si>
    <t>DynamicConfigTest.java</t>
  </si>
  <si>
    <t>LightInvocationResultTest.java</t>
  </si>
  <si>
    <t>MetricsXmlSerializerTest.java</t>
  </si>
  <si>
    <t>MultipartFormTest.java</t>
  </si>
  <si>
    <t>TestResultTest.java</t>
  </si>
  <si>
    <t>HevcYuv400BitstreamsTest.java</t>
  </si>
  <si>
    <t>HevcYuv422BitstreamsTest.java</t>
  </si>
  <si>
    <t>Vp9Yuv422BitstreamsTest.java</t>
  </si>
  <si>
    <t>PersonTest.java</t>
  </si>
  <si>
    <t>TestModuleConfigHandler.java</t>
  </si>
  <si>
    <t>TestSuiteParser.java</t>
  </si>
  <si>
    <t>ForceEphemeralUsersTest.java</t>
  </si>
  <si>
    <t>BaseKillswitchTest.java</t>
  </si>
  <si>
    <t>SampleHostJUnit4DeviceTest.java</t>
  </si>
  <si>
    <t>PreSimpleSaveActivityTest.java</t>
  </si>
  <si>
    <t>ExternalSourcesInstantAppsTest.java</t>
  </si>
  <si>
    <t>LockNowTest.java</t>
  </si>
  <si>
    <t>AttachedContextActivityTest.java</t>
  </si>
  <si>
    <t>CustomDescriptionDateTest.java</t>
  </si>
  <si>
    <t>DatePickerCalendarActivityTest.java</t>
  </si>
  <si>
    <t>DatePickerSpinnerActivityTest.java</t>
  </si>
  <si>
    <t>DialogLauncherActivityTest.java</t>
  </si>
  <si>
    <t>InitializedCheckoutActivityTest.java</t>
  </si>
  <si>
    <t>LoginWithCustomHighlightActivityTest.java</t>
  </si>
  <si>
    <t>LoginWithStringsActivityTest.java</t>
  </si>
  <si>
    <t>MultipleFragmentLoginTest.java</t>
  </si>
  <si>
    <t>MutableAutofillIdTest.java</t>
  </si>
  <si>
    <t>SettingsIntentTest.java</t>
  </si>
  <si>
    <t>TimePickerClockActivityTest.java</t>
  </si>
  <si>
    <t>TimePickerSpinnerActivityTest.java</t>
  </si>
  <si>
    <t>WebViewActivityTest.java</t>
  </si>
  <si>
    <t>JobThrottlingTest.java</t>
  </si>
  <si>
    <t>MajorVersionTest.java</t>
  </si>
  <si>
    <t>WebBackForwardListTest.java</t>
  </si>
  <si>
    <t>SyncAdapterSettingsTest.java</t>
  </si>
  <si>
    <t>OverlayHostTest.java</t>
  </si>
  <si>
    <t>InstrumentationFailToRunTest.java</t>
  </si>
  <si>
    <t>MessengerTest.java</t>
  </si>
  <si>
    <t>CollectionAppWidgetTest.java</t>
  </si>
  <si>
    <t>SecurityPatchTest.java</t>
  </si>
  <si>
    <t>SQLiteQueryBuilderTest.java</t>
  </si>
  <si>
    <t>CameraGLTest.java</t>
  </si>
  <si>
    <t>OtherSoundsSettingsTest.java</t>
  </si>
  <si>
    <t>OtherSoundsSettingsHostSideTest.java</t>
  </si>
  <si>
    <t>TestSuiteTradefedParser.java</t>
  </si>
  <si>
    <t>MediaStore_Images_ThumbnailsTest.java</t>
  </si>
  <si>
    <t>HardwareBufferTest.java</t>
  </si>
  <si>
    <t>KeyEventInterceptTest.java</t>
  </si>
  <si>
    <t>TapjackingTest.java</t>
  </si>
  <si>
    <t>CustomDescriptionUnitTest.java</t>
  </si>
  <si>
    <t>WifiBroadcastsHostJUnit4Test.java</t>
  </si>
  <si>
    <t>AddDoubleTest.java</t>
  </si>
  <si>
    <t>AddDouble2AddrTest.java</t>
  </si>
  <si>
    <t>AddFloatTest.java</t>
  </si>
  <si>
    <t>AddFloat2AddrTest.java</t>
  </si>
  <si>
    <t>AddIntTest.java</t>
  </si>
  <si>
    <t>AddInt2AddrTest.java</t>
  </si>
  <si>
    <t>AddIntLit16Test.java</t>
  </si>
  <si>
    <t>AddLongTest.java</t>
  </si>
  <si>
    <t>AddLong2AddrTest.java</t>
  </si>
  <si>
    <t>MultiScreenLoginTest.java</t>
  </si>
  <si>
    <t>ContactsContract_DataUsageTest.java</t>
  </si>
  <si>
    <t>OnClickActionTest.java</t>
  </si>
  <si>
    <t>EmergencyCallMessageTest.java</t>
  </si>
  <si>
    <t>TestNotificationListener.java</t>
  </si>
  <si>
    <t>QtaguidPermissionTest.java</t>
  </si>
  <si>
    <t>RingtoneManagerTest.java</t>
  </si>
  <si>
    <t>WipeDataNotificationTest.java</t>
  </si>
  <si>
    <t>DatasetFilteringTest.java</t>
  </si>
  <si>
    <t>AccessibilityTextActionTest.java</t>
  </si>
  <si>
    <t>IpSecSysctlTest.java</t>
  </si>
  <si>
    <t>SysctlBaseTest.java</t>
  </si>
  <si>
    <t>RemovePermissionTest.java</t>
  </si>
  <si>
    <t>ContactsContract_RawContactsTest.java</t>
  </si>
  <si>
    <t>BiometricTest.java</t>
  </si>
  <si>
    <t>SecondaryProfileOwnerUserRestrictionsTest.java</t>
  </si>
  <si>
    <t>CtsRootlessGpuDebugHostTest.java</t>
  </si>
  <si>
    <t>TextAppearanceSpanTest.java</t>
  </si>
  <si>
    <t>DeviceIdentifiersTest.java</t>
  </si>
  <si>
    <t>CameraPolicyTest.java</t>
  </si>
  <si>
    <t>TestMediaCodec.java</t>
  </si>
  <si>
    <t>CopyPasteTest.java</t>
  </si>
  <si>
    <t>CarrierApiTest.java</t>
  </si>
  <si>
    <t>AppUsageObserverTest.java</t>
  </si>
  <si>
    <t>AudioPresentationTest.java</t>
  </si>
  <si>
    <t>WindowManagerIncidentTest.java</t>
  </si>
  <si>
    <t>MediaStoreTest.java</t>
  </si>
  <si>
    <t>JavaClientTest.java</t>
  </si>
  <si>
    <t>ScopedDirectoryAccessTest.java</t>
  </si>
  <si>
    <t>UnofficialApisUsageTest.java</t>
  </si>
  <si>
    <t>StreamingMediaPlayer2Test.java</t>
  </si>
  <si>
    <t>VideoView2Test.java</t>
  </si>
  <si>
    <t>BackgroundPermissionsTest.java</t>
  </si>
  <si>
    <t>MagnifierTest.java</t>
  </si>
  <si>
    <t>MbmsGroupCallTest.java</t>
  </si>
  <si>
    <t>TzDataCheckTest.java</t>
  </si>
  <si>
    <t>MediaPlayer2Test.java</t>
  </si>
  <si>
    <t>TestDataSourceCallback.java</t>
  </si>
  <si>
    <t>CarTest.java</t>
  </si>
  <si>
    <t>MediaStore_Audio_AlbumsTest.java</t>
  </si>
  <si>
    <t>MediaStore_Audio_ArtistsTest.java</t>
  </si>
  <si>
    <t>MediaStore_Audio_Artists_AlbumsTest.java</t>
  </si>
  <si>
    <t>MediaStore_Audio_MediaTest.java</t>
  </si>
  <si>
    <t>AbstractContentCaptureIntegrationTest.java</t>
  </si>
  <si>
    <t>MediaStore_Video_ThumbnailsTest.java</t>
  </si>
  <si>
    <t>Settings_SystemTest.java</t>
  </si>
  <si>
    <t>AngleDeveloperOptionActivityTest.java</t>
  </si>
  <si>
    <t>CtsAngleDebugOptionHostTest.java</t>
  </si>
  <si>
    <t>BlankActivityTest.java</t>
  </si>
  <si>
    <t>CrossProfileCalendarTest.java</t>
  </si>
  <si>
    <t>CtsAngleDeveloperOptionHostTest.java</t>
  </si>
  <si>
    <t>ConversationActionsTest.java</t>
  </si>
  <si>
    <t>MediaMuxerTest.java</t>
  </si>
  <si>
    <t>ConnectivityConstraintTest.java</t>
  </si>
  <si>
    <t>BasePermissionsTest.java</t>
  </si>
  <si>
    <t>NotificationChannelGroupTest.java</t>
  </si>
  <si>
    <t>WifiEnterpriseConfigTest.java</t>
  </si>
  <si>
    <t>ShellCommandFromAppTest.java</t>
  </si>
  <si>
    <t>MediaStore_DownloadsTest.java</t>
  </si>
  <si>
    <t>ChildlessActivityTest.java</t>
  </si>
  <si>
    <t>ReferenceImagesTest.java</t>
  </si>
  <si>
    <t>LocationAccessCheckTest.java</t>
  </si>
  <si>
    <t>MmsTest.java</t>
  </si>
  <si>
    <t>IntEnumMappingTest.java</t>
  </si>
  <si>
    <t>DelegatedCertInstallerTest.java</t>
  </si>
  <si>
    <t>MediaStorePendingTest.java</t>
  </si>
  <si>
    <t>MediaStore_FilesTest.java</t>
  </si>
  <si>
    <t>MediaStore_Images_MediaTest.java</t>
  </si>
  <si>
    <t>FingerprintFeatureCompatTest.java</t>
  </si>
  <si>
    <t>MediaStore_Audio_PlaylistsTest.java</t>
  </si>
  <si>
    <t>MediaStore_Audio_Playlists_MembersTest.java</t>
  </si>
  <si>
    <t>TextViewIsHorizontallyScrollableTest.java</t>
  </si>
  <si>
    <t>TextClassifierEventTest.java</t>
  </si>
  <si>
    <t>BaseMultiUserBackupHostSideTest.java</t>
  </si>
  <si>
    <t>ProfileKeyValueBackupRestoreHostSideTest.java</t>
  </si>
  <si>
    <t>ApiEvolutionTest.java</t>
  </si>
  <si>
    <t>MediaStore_VideoTest.java</t>
  </si>
  <si>
    <t>ContactsContract_StreamItemPhotosTest.java</t>
  </si>
  <si>
    <t>SplitPermissionTest.java</t>
  </si>
  <si>
    <t>PlatformInspectableProcessorTest.java</t>
  </si>
  <si>
    <t>SignatureMultiLibsTest.java</t>
  </si>
  <si>
    <t>EmptyTest.java</t>
  </si>
  <si>
    <t>MediaCasTest.java</t>
  </si>
  <si>
    <t>AbstractApiTest.java</t>
  </si>
  <si>
    <t>CrashUtilsTest.java</t>
  </si>
  <si>
    <t>TestNameUtils.java</t>
  </si>
  <si>
    <t>WebViewTransportTest.java</t>
  </si>
  <si>
    <t>PermissionUsageTest.java</t>
  </si>
  <si>
    <t>AccessibilityGestureDetectorTest.java</t>
  </si>
  <si>
    <t>QuietModeHostsideTest.java</t>
  </si>
  <si>
    <t>MediaStoreTrashTest.java</t>
  </si>
  <si>
    <t>ViewAttributeTest.java</t>
  </si>
  <si>
    <t>ProfileScheduledJobHostSideTest.java</t>
  </si>
  <si>
    <t>AppBindingHostTest.java</t>
  </si>
  <si>
    <t>MbmsGroupCallSessionTest.java</t>
  </si>
  <si>
    <t>CarBluetoothTest.java</t>
  </si>
  <si>
    <t>PermissionTest.java</t>
  </si>
  <si>
    <t>ContentCaptureContextTest.java</t>
  </si>
  <si>
    <t>UserDataRemovalRequestTest.java</t>
  </si>
  <si>
    <t>PermissionsTest.java</t>
  </si>
  <si>
    <t>BaseShortcutManagerHostTest.java</t>
  </si>
  <si>
    <t>ShortcutManagerMultiuserTest.java</t>
  </si>
  <si>
    <t>ShortcutManagerUpgradeTest.java</t>
  </si>
  <si>
    <t>DismissAlarmTest.java</t>
  </si>
  <si>
    <t>DismissTimerTest.java</t>
  </si>
  <si>
    <t>SetAlarmTest.java</t>
  </si>
  <si>
    <t>SnoozeAlarmTest.java</t>
  </si>
  <si>
    <t>TestStartActivity.java</t>
  </si>
  <si>
    <t>RoleManagerTest.java</t>
  </si>
  <si>
    <t>GpsSatelliteTest.java</t>
  </si>
  <si>
    <t>GpsStatusTest.java</t>
  </si>
  <si>
    <t>TestGpsStatusListener.java</t>
  </si>
  <si>
    <t>TestLocationManager.java</t>
  </si>
  <si>
    <t>LocationTest.java</t>
  </si>
  <si>
    <t>NotificationAssistantServiceTest.java</t>
  </si>
  <si>
    <t>TestNotificationAssistant.java</t>
  </si>
  <si>
    <t>CameraEvictionTest.java</t>
  </si>
  <si>
    <t>DnsResolverTest.java</t>
  </si>
  <si>
    <t>PrivateDnsPolicyTest.java</t>
  </si>
  <si>
    <t>PermissionControllerTest.java</t>
  </si>
  <si>
    <t>WebViewRenderProcessClientTest.java</t>
  </si>
  <si>
    <t>WebViewRenderProcessTest.java</t>
  </si>
  <si>
    <t>GeneratedInspectionCompanionProviderTest.java</t>
  </si>
  <si>
    <t>MidiEchoTest.java</t>
  </si>
  <si>
    <t>CustomizationRestrictionsTest.java</t>
  </si>
  <si>
    <t>WifiLockTest.java</t>
  </si>
  <si>
    <t>StagedInstallTest.java</t>
  </si>
  <si>
    <t>LimitAppIconHidingTest.java</t>
  </si>
  <si>
    <t>FontsContractTest.java</t>
  </si>
  <si>
    <t>BatteryIncidentTest.java</t>
  </si>
  <si>
    <t>ServiceStateTest.java</t>
  </si>
  <si>
    <t>MediaTimestampTest.java</t>
  </si>
  <si>
    <t>SubtitleDataTest.java</t>
  </si>
  <si>
    <t>TimedMetaDataTest.java</t>
  </si>
  <si>
    <t>PrivappPermissionsTest.java</t>
  </si>
  <si>
    <t>TestProxyFileDescriptorCallback.java</t>
  </si>
  <si>
    <t>DataSaverModeTest.java</t>
  </si>
  <si>
    <t>LauncherAppsTest.java</t>
  </si>
  <si>
    <t>WebViewZoomTest.java</t>
  </si>
  <si>
    <t>SmsMessage_SubmitPduTest.java</t>
  </si>
  <si>
    <t>CanaryTest.java</t>
  </si>
  <si>
    <t>ThirdPartyCallScreeningServiceTest.java</t>
  </si>
  <si>
    <t>AtomicInstallTest.java</t>
  </si>
  <si>
    <t>DualStoragePermissionModelTest.java</t>
  </si>
  <si>
    <t>ThirdPartyInCallServiceTest.java</t>
  </si>
  <si>
    <t>SensorParameterRangeTest.java</t>
  </si>
  <si>
    <t>ProtoInputStreamBoolTest.java</t>
  </si>
  <si>
    <t>ProtoInputStreamBytesTest.java</t>
  </si>
  <si>
    <t>ProtoInputStreamDoubleTest.java</t>
  </si>
  <si>
    <t>ProtoInputStreamEnumTest.java</t>
  </si>
  <si>
    <t>ProtoInputStreamFixed32Test.java</t>
  </si>
  <si>
    <t>ProtoInputStreamFixed64Test.java</t>
  </si>
  <si>
    <t>ProtoInputStreamFloatTest.java</t>
  </si>
  <si>
    <t>ProtoInputStreamInt32Test.java</t>
  </si>
  <si>
    <t>ProtoInputStreamInt64Test.java</t>
  </si>
  <si>
    <t>ProtoInputStreamObjectTest.java</t>
  </si>
  <si>
    <t>ProtoInputStreamSFixed32Test.java</t>
  </si>
  <si>
    <t>ProtoInputStreamSFixed64Test.java</t>
  </si>
  <si>
    <t>ProtoInputStreamSInt32Test.java</t>
  </si>
  <si>
    <t>ProtoInputStreamSInt64Test.java</t>
  </si>
  <si>
    <t>ProtoInputStreamStringTest.java</t>
  </si>
  <si>
    <t>ProtoInputStreamUInt32Test.java</t>
  </si>
  <si>
    <t>ProtoInputStreamUInt64Test.java</t>
  </si>
  <si>
    <t>MediaStore_Audio_GenresTest.java</t>
  </si>
  <si>
    <t>MediaStore_Audio_Genres_MembersTest.java</t>
  </si>
  <si>
    <t>MediaStore_Video_MediaTest.java</t>
  </si>
  <si>
    <t>CarrierServiceTest.java</t>
  </si>
  <si>
    <t>MediaSession2ServiceTest.java</t>
  </si>
  <si>
    <t>ProfileKeyValueBackupRestoreTest.java</t>
  </si>
  <si>
    <t>DataSourceDescTest.java</t>
  </si>
  <si>
    <t>MediaPlayer2DrmTest.java</t>
  </si>
  <si>
    <t>RoutingTest.java</t>
  </si>
  <si>
    <t>BlankWithTitleActivityTest.java</t>
  </si>
  <si>
    <t>DataRemovalRequestTest.java</t>
  </si>
  <si>
    <t>MediaItem2Test.java</t>
  </si>
  <si>
    <t>Session2CommandTest.java</t>
  </si>
  <si>
    <t>MediaStorageTest.java</t>
  </si>
  <si>
    <t>AugmentedLoginNotImportantForAutofillActivityTest.java</t>
  </si>
  <si>
    <t>ParamsTest.java</t>
  </si>
  <si>
    <t>RestrictedPermissionsTest.java</t>
  </si>
  <si>
    <t>AppKilledTest.java</t>
  </si>
  <si>
    <t>DummySdk25Test.java</t>
  </si>
  <si>
    <t>DummySdk28Test.java</t>
  </si>
  <si>
    <t>DummyTest.java</t>
  </si>
  <si>
    <t>MagnificationGestureHandlerTest.java</t>
  </si>
  <si>
    <t>SurfaceControlTest.java</t>
  </si>
  <si>
    <t>BackgroundActivityLaunchTest.java</t>
  </si>
  <si>
    <t>CharDeviceTest.java</t>
  </si>
  <si>
    <t>SSLConscryptPlainTextExposureTest.java</t>
  </si>
  <si>
    <t>KernelConfigTest.java</t>
  </si>
  <si>
    <t>SharedUidPermissionsTest.java</t>
  </si>
  <si>
    <t>DirectActionsTest.java</t>
  </si>
  <si>
    <t>ContentCaptureRestrictionsTest.java</t>
  </si>
  <si>
    <t>BurstCaptureTest.java</t>
  </si>
  <si>
    <t>LocalVoiceInteractionTest.java</t>
  </si>
  <si>
    <t>VoiceInteractionTest.java</t>
  </si>
  <si>
    <t>ActivityViewTest.java</t>
  </si>
  <si>
    <t>TouchExplorerTest.java</t>
  </si>
  <si>
    <t>FileObserverTest.java</t>
  </si>
  <si>
    <t>CallRedirectionServiceTest.java</t>
  </si>
  <si>
    <t>GnssHardwareInfoTest.java</t>
  </si>
  <si>
    <t>IpSecManagerTunnelTest.java</t>
  </si>
  <si>
    <t>VectorDrawableScaleTest.java</t>
  </si>
  <si>
    <t>CreateUsersPermissionTest.java</t>
  </si>
  <si>
    <t>InstallUpdateTest.java</t>
  </si>
  <si>
    <t>ExtraAssistDataTest.java</t>
  </si>
  <si>
    <t>FlagSecureTest.java</t>
  </si>
  <si>
    <t>LargeViewHierarchyTest.java</t>
  </si>
  <si>
    <t>ScreenshotTest.java</t>
  </si>
  <si>
    <t>ConnectivityManagerApi23Test.java</t>
  </si>
  <si>
    <t>ApiLevelUtilTest.java</t>
  </si>
  <si>
    <t>BusinessLogicDeviceExecutorTest.java</t>
  </si>
  <si>
    <t>BusinessLogicTestCaseTest.java</t>
  </si>
  <si>
    <t>DeviceReportTest.java</t>
  </si>
  <si>
    <t>SafeCleanerRuleTest.java</t>
  </si>
  <si>
    <t>StateChangerRuleTest.java</t>
  </si>
  <si>
    <t>StateKeeperRuleTest.java</t>
  </si>
  <si>
    <t>TimeoutTest.java</t>
  </si>
  <si>
    <t>TestNgRunner.java</t>
  </si>
  <si>
    <t>AssistantContentViewTest.java</t>
  </si>
  <si>
    <t>FocusChangeTest.java</t>
  </si>
  <si>
    <t>TestApp.java</t>
  </si>
  <si>
    <t>NativeCameraDeviceTest.java</t>
  </si>
  <si>
    <t>SSLCertificateSocketFactoryTest.java</t>
  </si>
  <si>
    <t>JniStaticTest.java</t>
  </si>
  <si>
    <t>MmsPartTest.java</t>
  </si>
  <si>
    <t>AccessibilityButtonTest.java</t>
  </si>
  <si>
    <t>AccessibilityMagnificationTest.java</t>
  </si>
  <si>
    <t>AccessibilityOverlayTest.java</t>
  </si>
  <si>
    <t>NoOpDeviceTest.java</t>
  </si>
  <si>
    <t>AccessibilityEmbeddedDisplayTest.java</t>
  </si>
  <si>
    <t>BatterySaverBgServiceTest.java</t>
  </si>
  <si>
    <t>ApexShimValidationTest.java</t>
  </si>
  <si>
    <t>LockTaskHostDrivenTest.java</t>
  </si>
  <si>
    <t>SettingsPanelTest.java</t>
  </si>
  <si>
    <t>SharedPreferencesTest.java</t>
  </si>
  <si>
    <t>DeviceAdminPasswordTest.java</t>
  </si>
  <si>
    <t>MediaScannerConnectionTest.java</t>
  </si>
  <si>
    <t>MixedModesTest.java</t>
  </si>
  <si>
    <t>NetworkCallbackTest.java</t>
  </si>
  <si>
    <t>MimeMapTest.java</t>
  </si>
  <si>
    <t>AccessibilityGestureEventTest.java</t>
  </si>
  <si>
    <t>AirplaneModeTest.java</t>
  </si>
  <si>
    <t>BatterySaverModeTest.java</t>
  </si>
  <si>
    <t>ZenModeTest.java</t>
  </si>
  <si>
    <t>VideoCodecTest.java</t>
  </si>
  <si>
    <t>TestMedia.java</t>
  </si>
  <si>
    <t>CustomViewActivityTest.java</t>
  </si>
  <si>
    <t>CellInfoTest.java</t>
  </si>
  <si>
    <t>PipActivityTest.java</t>
  </si>
  <si>
    <t>AsusGamepadTest.java</t>
  </si>
  <si>
    <t>MicrosoftSculpttouchTest.java</t>
  </si>
  <si>
    <t>SonyDualshock4Test.java</t>
  </si>
  <si>
    <t>GnssMeasurementsEventCallbackTest.java</t>
  </si>
  <si>
    <t>GnssStatusCallbackTest.java</t>
  </si>
  <si>
    <t>HdmiCecLogicalAddressTest.java</t>
  </si>
  <si>
    <t>HdmiCecOneTouchPlayTest.java</t>
  </si>
  <si>
    <t>HdmiCecPhysicalAddressTest.java</t>
  </si>
  <si>
    <t>HdmiCecRoutingControlTest.java</t>
  </si>
  <si>
    <t>HdmiCecSystemInformationTest.java</t>
  </si>
  <si>
    <t>NNAccuracyTest.java</t>
  </si>
  <si>
    <t>TestStepBase.java</t>
  </si>
  <si>
    <t>HdmiCecPowerStatusTest.java</t>
  </si>
  <si>
    <t>PackageManagerShellCommandTest.java</t>
  </si>
  <si>
    <t>GnssMeasurementCorrectionsTest.java</t>
  </si>
  <si>
    <t>GnssReflectingPlaneTest.java</t>
  </si>
  <si>
    <t>GnssSingleSatCorrectionsTest.java</t>
  </si>
  <si>
    <t>LocationManagerFineTest.java</t>
  </si>
  <si>
    <t>LocationProviderTest.java</t>
  </si>
  <si>
    <t>RollbackManagerHostTest.java</t>
  </si>
  <si>
    <t>BackgroundCallAudioTest.java</t>
  </si>
  <si>
    <t>EmergencyCallWifiTest.java</t>
  </si>
  <si>
    <t>Settings_NameValueTableTest.java</t>
  </si>
  <si>
    <t>AddressTest.java</t>
  </si>
  <si>
    <t>GnssClockTest.java</t>
  </si>
  <si>
    <t>TestSequence.java</t>
  </si>
  <si>
    <t>BaseDeviceAdminTest.java</t>
  </si>
  <si>
    <t>DeviceOwnerPasswordTest.java</t>
  </si>
  <si>
    <t>ResetPasswordTest.java</t>
  </si>
  <si>
    <t>TextClassifierServiceSwapTest.java</t>
  </si>
  <si>
    <t>MicrosoftXboxOneSTest.java</t>
  </si>
  <si>
    <t>TestSystemIntents.java</t>
  </si>
  <si>
    <t>SdkExtensionsTest.java</t>
  </si>
  <si>
    <t>UserRestrictionTest.java</t>
  </si>
  <si>
    <t>MediaStoreTrashedTest.java</t>
  </si>
  <si>
    <t>AccessibilitySoftKeyboardTest.java</t>
  </si>
  <si>
    <t>CarUxRestrictionsManagerTest.java</t>
  </si>
  <si>
    <t>UserspaceRebootHostTest.java</t>
  </si>
  <si>
    <t>TestExternalImsService.java</t>
  </si>
  <si>
    <t>CrossProfileAppsPermissionToInteractTest.java</t>
  </si>
  <si>
    <t>BaseJobSchedulerTest.java</t>
  </si>
  <si>
    <t>ManagedProfileProvisioningTest.java</t>
  </si>
  <si>
    <t>DevicePlusProfileOwnerHostSideTransferTest.java</t>
  </si>
  <si>
    <t>RequiredComponentsTest.java</t>
  </si>
  <si>
    <t>CarTrustedDeviceTest.java</t>
  </si>
  <si>
    <t>AImageDecoderTest.java</t>
  </si>
  <si>
    <t>WifiSetHttpProxyTest.java</t>
  </si>
  <si>
    <t>UserRestrictionsParentTest.java</t>
  </si>
  <si>
    <t>CrossProfileAppsStartActivityTest.java</t>
  </si>
  <si>
    <t>CrossProfileAppsHostSideTest.java</t>
  </si>
  <si>
    <t>BlobStoreManagerTest.java</t>
  </si>
  <si>
    <t>CheckpointHostTest.java</t>
  </si>
  <si>
    <t>ContextCrossProfileHostTest.java</t>
  </si>
  <si>
    <t>ContextCrossProfileDeviceTest.java</t>
  </si>
  <si>
    <t>ImsServiceTest.java</t>
  </si>
  <si>
    <t>Rcs1To1ThreadTest.java</t>
  </si>
  <si>
    <t>RcsEventTest.java</t>
  </si>
  <si>
    <t>RcsParticipantTest.java</t>
  </si>
  <si>
    <t>RcsProviderPermissionsTest.java</t>
  </si>
  <si>
    <t>CellBroadcastIntentsTest.java</t>
  </si>
  <si>
    <t>DataCleanupTest.java</t>
  </si>
  <si>
    <t>AppSearchManagerTest.java</t>
  </si>
  <si>
    <t>QuietModeTest.java</t>
  </si>
  <si>
    <t>MediaRouterManagerTest.java</t>
  </si>
  <si>
    <t>MediaCodecBlockModelTest.java</t>
  </si>
  <si>
    <t>MediaRouter2Test.java</t>
  </si>
  <si>
    <t>OutlineTest.java</t>
  </si>
  <si>
    <t>BiometricPromptTest.java</t>
  </si>
  <si>
    <t>ParcelTest.java</t>
  </si>
  <si>
    <t>AccessibilityTakeScreenshotTest.java</t>
  </si>
  <si>
    <t>ReadMultiViewTest.java</t>
  </si>
  <si>
    <t>WriteMultiViewTest.java</t>
  </si>
  <si>
    <t>RouteDiscoveryPreferenceTest.java</t>
  </si>
  <si>
    <t>BasicUserspaceRebootTest.java</t>
  </si>
  <si>
    <t>RelinquishDeviceTest.java</t>
  </si>
  <si>
    <t>TestRcsFeature.java</t>
  </si>
  <si>
    <t>SliceProviderTest.java</t>
  </si>
  <si>
    <t>GnssAntennaInfoRegistrationTest.java</t>
  </si>
  <si>
    <t>GnssAntennaInfoTest.java</t>
  </si>
  <si>
    <t>AdminConfiguredNetworksTest.java</t>
  </si>
  <si>
    <t>OneTimePermissionTest.java</t>
  </si>
  <si>
    <t>SonyDualshock4ProBluetoothTest.java</t>
  </si>
  <si>
    <t>TetheringManagerTest.java</t>
  </si>
  <si>
    <t>GiftTest.java</t>
  </si>
  <si>
    <t>ReadGiftTest.java</t>
  </si>
  <si>
    <t>WriteGiftTest.java</t>
  </si>
  <si>
    <t>GetWalletCardsErrorTest.java</t>
  </si>
  <si>
    <t>GetWalletCardsRequestTest.java</t>
  </si>
  <si>
    <t>GetWalletCardsResponseTest.java</t>
  </si>
  <si>
    <t>PowerMenuTest.java</t>
  </si>
  <si>
    <t>SelectWalletCardRequestTest.java</t>
  </si>
  <si>
    <t>WalletCardTest.java</t>
  </si>
  <si>
    <t>WalletServiceEventTest.java</t>
  </si>
  <si>
    <t>AudioPlaybackCaptureTest.java</t>
  </si>
  <si>
    <t>KeyguardDisabledFeaturesTest.java</t>
  </si>
  <si>
    <t>CrossProfileIntentFilterTest.java</t>
  </si>
  <si>
    <t>BaseUpdateTest.java</t>
  </si>
  <si>
    <t>SetFrameRateTest.java</t>
  </si>
  <si>
    <t>RequestSetLocationProviderAllowedTest.java</t>
  </si>
  <si>
    <t>OrgOwnedProfileOwnerTest.java</t>
  </si>
  <si>
    <t>InlineLoginActivityTest.java</t>
  </si>
  <si>
    <t>PackageManagerShellCommandIncrementalTest.java</t>
  </si>
  <si>
    <t>RestrictedStoragePermissionTest.java</t>
  </si>
  <si>
    <t>VendorJniTest.java</t>
  </si>
  <si>
    <t>AuthenticationTest.java</t>
  </si>
  <si>
    <t>CarPropertyManagerTest.java</t>
  </si>
  <si>
    <t>TextClassificationSessionIdTest.java</t>
  </si>
  <si>
    <t>PermissionEscalationTest.java</t>
  </si>
  <si>
    <t>WifiNetworkSpecifierTest.java</t>
  </si>
  <si>
    <t>BasicAdapterTest.java</t>
  </si>
  <si>
    <t>MediaRoute2InfoTest.java</t>
  </si>
  <si>
    <t>DevicePolicyLoggingTest.java</t>
  </si>
  <si>
    <t>TimeManagementTest.java</t>
  </si>
  <si>
    <t>UserControlDisabledPackagesTest.java</t>
  </si>
  <si>
    <t>TelephonyPermissionPolicyTest.java</t>
  </si>
  <si>
    <t>OfflineSessionTest.java</t>
  </si>
  <si>
    <t>AbstractUserAuthenticationTest.java</t>
  </si>
  <si>
    <t>UserAuthenticationCredentialCipherTest.java</t>
  </si>
  <si>
    <t>WifiMigrationTest.java</t>
  </si>
  <si>
    <t>LinkerConfigTest.java</t>
  </si>
  <si>
    <t>HdmiCecSystemAudioModeTest.java</t>
  </si>
  <si>
    <t>LocationManagerCoarseTest.java</t>
  </si>
  <si>
    <t>CtsSharesheetDeviceTest.java</t>
  </si>
  <si>
    <t>InlineAugmentedLoginActivityTest.java</t>
  </si>
  <si>
    <t>InCallServiceImplTest.java</t>
  </si>
  <si>
    <t>BatterySaverLocationTest.java</t>
  </si>
  <si>
    <t>ScanningSettingsTest.java</t>
  </si>
  <si>
    <t>CrossProfileAppsPermissionHostSideTest.java</t>
  </si>
  <si>
    <t>SingleAppTest.java</t>
  </si>
  <si>
    <t>TestAppCommands.java</t>
  </si>
  <si>
    <t>DataPersistenceTest.java</t>
  </si>
  <si>
    <t>CodecDecoderTest.java</t>
  </si>
  <si>
    <t>IpConfigurationTest.java</t>
  </si>
  <si>
    <t>DownloadManagerLegacyTest.java</t>
  </si>
  <si>
    <t>TaggingDefaultTest.java</t>
  </si>
  <si>
    <t>SuspendPackagesTest.java</t>
  </si>
  <si>
    <t>WifiBackupRestoreTest.java</t>
  </si>
  <si>
    <t>InlineFillEventHistoryTest.java</t>
  </si>
  <si>
    <t>PresentationTest.java</t>
  </si>
  <si>
    <t>InlineSuggestionsRequestTest.java</t>
  </si>
  <si>
    <t>ActivityManagerBaseTaskInfoTest.java</t>
  </si>
  <si>
    <t>ActivityManagerRecentTaskInfoTest.java</t>
  </si>
  <si>
    <t>ActivityManagerRunningTaskInfoTest.java</t>
  </si>
  <si>
    <t>ToastWindowTest.java</t>
  </si>
  <si>
    <t>ManagedProfileWipeTest.java</t>
  </si>
  <si>
    <t>RcsUceAdapterTest.java</t>
  </si>
  <si>
    <t>AccessibilityShortcutTest.java</t>
  </si>
  <si>
    <t>AccessSerialModernTest.java</t>
  </si>
  <si>
    <t>TvTrackInfoTest.java</t>
  </si>
  <si>
    <t>AppValidationTest.java</t>
  </si>
  <si>
    <t>IncrementalInstallTest.java</t>
  </si>
  <si>
    <t>NanoAppBundleTest.java</t>
  </si>
  <si>
    <t>SaProposalTest.java</t>
  </si>
  <si>
    <t>MediaParserTest.java</t>
  </si>
  <si>
    <t>IdleConstraintTest.java</t>
  </si>
  <si>
    <t>DhcpInfoTest.java</t>
  </si>
  <si>
    <t>BootCompletedUserspaceRebootTest.java</t>
  </si>
  <si>
    <t>IkeSessionParamsTest.java</t>
  </si>
  <si>
    <t>BootStatsHostTest.java</t>
  </si>
  <si>
    <t>QuickAccessWalletClientTest.java</t>
  </si>
  <si>
    <t>ActivityNonConfigInstanceTest.java</t>
  </si>
  <si>
    <t>MuxerTest.java</t>
  </si>
  <si>
    <t>TunerTest.java</t>
  </si>
  <si>
    <t>CarUserManagerTest.java</t>
  </si>
  <si>
    <t>CtsControlsServiceTest.java</t>
  </si>
  <si>
    <t>NetstatsIncidentTest.java</t>
  </si>
  <si>
    <t>PkgInstallSignatureVerificationTest.java</t>
  </si>
  <si>
    <t>HearingAidProfileTest.java</t>
  </si>
  <si>
    <t>AdoptableFeatureConsistentTest.java</t>
  </si>
  <si>
    <t>CodecDecoderSurfaceTest.java</t>
  </si>
  <si>
    <t>CodecEncoderTest.java</t>
  </si>
  <si>
    <t>EncoderProfileLevelTest.java</t>
  </si>
  <si>
    <t>NetworkRegistrationInfoTest.java</t>
  </si>
  <si>
    <t>MultinetworkApiTest.java</t>
  </si>
  <si>
    <t>ActivityManagerAppExitInfoTest.java</t>
  </si>
  <si>
    <t>IkeSessionPskTest.java</t>
  </si>
  <si>
    <t>TelephonyHostTest.java</t>
  </si>
  <si>
    <t>CtsExtractNativeLibsHostTest.java</t>
  </si>
  <si>
    <t>OrgOwnedProfileOwnerParentTest.java</t>
  </si>
  <si>
    <t>SensorSupportTest.java</t>
  </si>
  <si>
    <t>CrossProfileSharingTest.java</t>
  </si>
  <si>
    <t>RandomizedWifiMacAddressTest.java</t>
  </si>
  <si>
    <t>Ikev2VpnTest.java</t>
  </si>
  <si>
    <t>FeatureTest.java</t>
  </si>
  <si>
    <t>LegacyStorageTest.java</t>
  </si>
  <si>
    <t>EncryptionAppTest.java</t>
  </si>
  <si>
    <t>ScopedStorageTest.java</t>
  </si>
  <si>
    <t>PublicVolumeLegacyTest.java</t>
  </si>
  <si>
    <t>PublicVolumeTest.java</t>
  </si>
  <si>
    <t>MediaExtractorTest.java</t>
  </si>
  <si>
    <t>NativeEncoderTest.java</t>
  </si>
  <si>
    <t>ConnectivityDiagnosticsManagerTest.java</t>
  </si>
  <si>
    <t>GeomagneticFieldTest.java</t>
  </si>
  <si>
    <t>JniHelpTest.java</t>
  </si>
  <si>
    <t>ScopedStorageHostTest.java</t>
  </si>
  <si>
    <t>HdmiCecInvalidMessagesTest.java</t>
  </si>
  <si>
    <t>HdmiCecRemoteControlPassThroughTest.java</t>
  </si>
  <si>
    <t>DowngradeTest.java</t>
  </si>
  <si>
    <t>TestAppRule.java</t>
  </si>
  <si>
    <t>PreferredActivitiesTest.java</t>
  </si>
  <si>
    <t>EnvironmentTest.java</t>
  </si>
  <si>
    <t>ManagedProfileCrossProfileTest.java</t>
  </si>
  <si>
    <t>RazerJunglecatBluetoothTest.java</t>
  </si>
  <si>
    <t>InputMethodServiceStrictModeTest.java</t>
  </si>
  <si>
    <t>CtsAngleRulesFileTest.java</t>
  </si>
  <si>
    <t>PowerManagerServicePermissionTest.java</t>
  </si>
  <si>
    <t>JobSchedulingTest.java</t>
  </si>
  <si>
    <t>ContactsMetadataProviderTest.java</t>
  </si>
  <si>
    <t>SdkListKillswitchTest.java</t>
  </si>
  <si>
    <t>TaggingBaseTest.java</t>
  </si>
  <si>
    <t>TaggingEnabledTest.java</t>
  </si>
  <si>
    <t>TaggingSdk29Test.java</t>
  </si>
  <si>
    <t>TaggingSdk30Test.java</t>
  </si>
  <si>
    <t>TaggingManifestEnabledSdk30Test.java</t>
  </si>
  <si>
    <t>SecondaryLockscreenTest.java</t>
  </si>
  <si>
    <t>ChecksumsTest.java</t>
  </si>
  <si>
    <t>SignedConfigHostTest.java</t>
  </si>
  <si>
    <t>OptionalFeatureHostTest.java</t>
  </si>
  <si>
    <t>UiModeHostTest.java</t>
  </si>
  <si>
    <t>CrossProfileAppsTest.java</t>
  </si>
  <si>
    <t>TvMicrophoneCaptureIndicatorTest.java</t>
  </si>
  <si>
    <t>KeyboardVisibilityControlTest.java</t>
  </si>
  <si>
    <t>LocaleListTest.java</t>
  </si>
  <si>
    <t>TextViewOnReceiveContentCallbackTest.java</t>
  </si>
  <si>
    <t>LegacyStorageHostTest.java</t>
  </si>
  <si>
    <t>PublicVolumeHostTest.java</t>
  </si>
  <si>
    <t>PreCreateUsersHostTest.java</t>
  </si>
  <si>
    <t>VibrationAttributesTest.java</t>
  </si>
  <si>
    <t>TaggingManifestDisabledTest.java</t>
  </si>
  <si>
    <t>TaggingManifestEnabledSdk29Test.java</t>
  </si>
  <si>
    <t>FullScreenMagnificationGestureHandlerTest.java</t>
  </si>
  <si>
    <t>MediaMetadataTest.java</t>
  </si>
  <si>
    <t>AdhocConferenceTest.java</t>
  </si>
  <si>
    <t>GlyphStyleTest.java</t>
  </si>
  <si>
    <t>TextRunShaperTest.java</t>
  </si>
  <si>
    <t>TextShaperTest.java</t>
  </si>
  <si>
    <t>TestImpl.java</t>
  </si>
  <si>
    <t>TestLibrary.java</t>
  </si>
  <si>
    <t>AlwaysOnVpnMultiStageTest.java</t>
  </si>
  <si>
    <t>BasicTest.java</t>
  </si>
  <si>
    <t>TestConnectionService.java</t>
  </si>
  <si>
    <t>TestCrossProfileViewEventActivity.java</t>
  </si>
  <si>
    <t>TestIme.java</t>
  </si>
  <si>
    <t>ManagedProfileTimeoutTest.java</t>
  </si>
  <si>
    <t>WifiNetworkSuggestionTest.java</t>
  </si>
  <si>
    <t>IwlanModeTest.java</t>
  </si>
  <si>
    <t>WindowUntrustedTouchTest.java</t>
  </si>
  <si>
    <t>TestCompanionService.java</t>
  </si>
  <si>
    <t>TextViewOnReceiveContentTest.java</t>
  </si>
  <si>
    <t>ProcNetTest.java</t>
  </si>
  <si>
    <t>CredentialsTest.java</t>
  </si>
  <si>
    <t>InetAddressesTest.java</t>
  </si>
  <si>
    <t>IpSecBaseTest.java</t>
  </si>
  <si>
    <t>MacAddressTest.java</t>
  </si>
  <si>
    <t>MailToTest.java</t>
  </si>
  <si>
    <t>NetworkStatsBinderTest.java</t>
  </si>
  <si>
    <t>NetworkWatchlistTest.java</t>
  </si>
  <si>
    <t>ProxyInfoTest.java</t>
  </si>
  <si>
    <t>RssiCurveTest.java</t>
  </si>
  <si>
    <t>TheaterModeTest.java</t>
  </si>
  <si>
    <t>Uri_BuilderTest.java</t>
  </si>
  <si>
    <t>UrlQuerySanitizerTest.java</t>
  </si>
  <si>
    <t>UrlQuerySanitizer_IllegalCharacterValueSanitizerTest.java</t>
  </si>
  <si>
    <t>UrlQuerySanitizer_ParameterValuePairTest.java</t>
  </si>
  <si>
    <t>VpnServiceTest.java</t>
  </si>
  <si>
    <t>PingTest.java</t>
  </si>
  <si>
    <t>AudioCodecTest.java</t>
  </si>
  <si>
    <t>AudioGroupTest.java</t>
  </si>
  <si>
    <t>AudioStreamTest.java</t>
  </si>
  <si>
    <t>PacProcessorTest.java</t>
  </si>
  <si>
    <t>WifiSliceTest.java</t>
  </si>
  <si>
    <t>FileObserverLegacyPathTest.java</t>
  </si>
  <si>
    <t>EapSessionConfigTest.java</t>
  </si>
  <si>
    <t>ChildSessionParamsTest.java</t>
  </si>
  <si>
    <t>IkeIdentificationTest.java</t>
  </si>
  <si>
    <t>IkeSessionDigitalSignatureTest.java</t>
  </si>
  <si>
    <t>IkeSessionMschapV2Test.java</t>
  </si>
  <si>
    <t>IkeSessionRekeyTest.java</t>
  </si>
  <si>
    <t>TestNetworkUtils.java</t>
  </si>
  <si>
    <t>ScopedStorageCoreHostTest.java</t>
  </si>
  <si>
    <t>ApnSettingTest.java</t>
  </si>
  <si>
    <t>FingerprintServiceTest.java</t>
  </si>
  <si>
    <t>StrictJavaPackagesTest.java</t>
  </si>
  <si>
    <t>ContextGetDisplayTest.java</t>
  </si>
  <si>
    <t>BiometricServiceTest.java</t>
  </si>
  <si>
    <t>PackageManagerGetPropertyTest.java</t>
  </si>
  <si>
    <t>PackageManagerQueryPropertyTest.java</t>
  </si>
  <si>
    <t>RecognitionServiceMicIndicatorTest.java</t>
  </si>
  <si>
    <t>DevicePolicyManagerParentSupportTest.java</t>
  </si>
  <si>
    <t>NoSdCardWritePermissionTest.java</t>
  </si>
  <si>
    <t>ScopedStorageDeviceTest.java</t>
  </si>
  <si>
    <t>ScopedStoragePublicVolumeDeviceTest.java</t>
  </si>
  <si>
    <t>CustomizationTest.java</t>
  </si>
  <si>
    <t>UsbVoiceCommandTest.java</t>
  </si>
  <si>
    <t>WebViewSslTest.java</t>
  </si>
  <si>
    <t>ParcelableColorSpaceTest.java</t>
  </si>
  <si>
    <t>ActivityManagerFgsBgStartTest.java</t>
  </si>
  <si>
    <t>MediaTranscodeManagerTest.java</t>
  </si>
  <si>
    <t>ShellSubscriberTest.java</t>
  </si>
  <si>
    <t>DirectoryValidationTest.java</t>
  </si>
  <si>
    <t>DeviceAdminTempTest.java</t>
  </si>
  <si>
    <t>HdmiCecVendorCommandsTest.java</t>
  </si>
  <si>
    <t>JobInfoTest.java</t>
  </si>
  <si>
    <t>JobParametersTest.java</t>
  </si>
  <si>
    <t>AppSearchSessionTest.java</t>
  </si>
  <si>
    <t>HdmiCecSystemStandbyTest.java</t>
  </si>
  <si>
    <t>ApplicationTest.java</t>
  </si>
  <si>
    <t>HdmiCecSystemAudioControlTest.java</t>
  </si>
  <si>
    <t>AudioPlaybackConfigurationTest.java</t>
  </si>
  <si>
    <t>HideOverlayWindowsTest.java</t>
  </si>
  <si>
    <t>CompatChangesValidConfigTest.java</t>
  </si>
  <si>
    <t>StatsdAppSecurityAtomTest.java</t>
  </si>
  <si>
    <t>ThrottleStatusTest.java</t>
  </si>
  <si>
    <t>EventLogsTest.java</t>
  </si>
  <si>
    <t>GnssLocationValuesTest.java</t>
  </si>
  <si>
    <t>SipDelegateManagerTest.java</t>
  </si>
  <si>
    <t>DynamicSystemClientTest.java</t>
  </si>
  <si>
    <t>TestTaskOrganizer.java</t>
  </si>
  <si>
    <t>ManagedProfilePasswordTest.java</t>
  </si>
  <si>
    <t>BackupEligibilityTest.java</t>
  </si>
  <si>
    <t>AllowBackupHostSideTest.java</t>
  </si>
  <si>
    <t>FontScaleSettingsTest.java</t>
  </si>
  <si>
    <t>SplitAppTest.java</t>
  </si>
  <si>
    <t>TestThemeHelper.java</t>
  </si>
  <si>
    <t>WifiLocationInfoTest.java</t>
  </si>
  <si>
    <t>DownloadableSubscriptionTest.java</t>
  </si>
  <si>
    <t>HdmiControlManagerHostTest.java</t>
  </si>
  <si>
    <t>CloseSystemDialogsTest.java</t>
  </si>
  <si>
    <t>AppSearchSchemaCtsTest.java</t>
  </si>
  <si>
    <t>ApplicationMediaCapabilitiesTest.java</t>
  </si>
  <si>
    <t>BaseDeviceAdminServiceTest.java</t>
  </si>
  <si>
    <t>DeviceAdminServiceDeviceOwnerTest.java</t>
  </si>
  <si>
    <t>DeviceAdminServiceProfileOwnerTest.java</t>
  </si>
  <si>
    <t>ReadableSettingsFieldsTest.java</t>
  </si>
  <si>
    <t>ReadSettingsFieldsTest.java</t>
  </si>
  <si>
    <t>CustomManagedProfileTest.java</t>
  </si>
  <si>
    <t>InputDeviceKeyLayoutMapTest.java</t>
  </si>
  <si>
    <t>InputDeviceMultiDeviceKeyEventTest.java</t>
  </si>
  <si>
    <t>RcsContactUceCapabilityTest.java</t>
  </si>
  <si>
    <t>VibratorTest.java</t>
  </si>
  <si>
    <t>UserTest.java</t>
  </si>
  <si>
    <t>SplitSystemUserTest.java</t>
  </si>
  <si>
    <t>TextViewIntegrationTest.java</t>
  </si>
  <si>
    <t>CustomEventTest.java</t>
  </si>
  <si>
    <t>ActivityCreatedEventTest.java</t>
  </si>
  <si>
    <t>CameraExtensionSessionTest.java</t>
  </si>
  <si>
    <t>RingtoneTest.java</t>
  </si>
  <si>
    <t>SuspendPackageTest.java</t>
  </si>
  <si>
    <t>HdmiControlManagerTest.java</t>
  </si>
  <si>
    <t>VulkanSurfaceSupportTest.java</t>
  </si>
  <si>
    <t>TaggingTest.java</t>
  </si>
  <si>
    <t>UsersTest.java</t>
  </si>
  <si>
    <t>NetworkLoggingDelegateTest.java</t>
  </si>
  <si>
    <t>DelegationTest.java</t>
  </si>
  <si>
    <t>ApplicationVisibilityTest.java</t>
  </si>
  <si>
    <t>ApplicationVisibilityCrossUserTest.java</t>
  </si>
  <si>
    <t>SimPhonebookContract_ElementaryFilesTest.java</t>
  </si>
  <si>
    <t>SimPhonebookContract_SimRecordsTest.java</t>
  </si>
  <si>
    <t>UserReferenceTest.java</t>
  </si>
  <si>
    <t>RecognitionServiceTest.java</t>
  </si>
  <si>
    <t>TextToSpeechConnectionTest.java</t>
  </si>
  <si>
    <t>ApkVerityInstallTest.java</t>
  </si>
  <si>
    <t>BatteryStatsIncidentTest.java</t>
  </si>
  <si>
    <t>CarModeInCallServiceTest.java</t>
  </si>
  <si>
    <t>MultiStaConcurrencyRestrictedWifiNetworkSuggestionTest.java</t>
  </si>
  <si>
    <t>MultiStaConcurrencyWifiNetworkSpecifierTest.java</t>
  </si>
  <si>
    <t>ForceRelayoutTest.java</t>
  </si>
  <si>
    <t>ForceRelayoutSdk29Test.java</t>
  </si>
  <si>
    <t>VibratorManagerTest.java</t>
  </si>
  <si>
    <t>ShellCommandTest.java</t>
  </si>
  <si>
    <t>PackageReferenceTest.java</t>
  </si>
  <si>
    <t>AngleMeasurementTest.java</t>
  </si>
  <si>
    <t>AngleOfArrivalMeasurementTest.java</t>
  </si>
  <si>
    <t>StartProfilesTest.java</t>
  </si>
  <si>
    <t>TestAppInterface.java</t>
  </si>
  <si>
    <t>CarPowerManagerTest.java</t>
  </si>
  <si>
    <t>TestAcsClient.java</t>
  </si>
  <si>
    <t>FullbackupRulesHostSideTest.java</t>
  </si>
  <si>
    <t>MediaCommunicationManagerTest.java</t>
  </si>
  <si>
    <t>AudioCommunicationDeviceTest.java</t>
  </si>
  <si>
    <t>SimPhonebookContract_ElementaryFilesNoSimTest.java</t>
  </si>
  <si>
    <t>CodecDecoderExtTest.java</t>
  </si>
  <si>
    <t>AppUriAuthenticationPolicyTest.java</t>
  </si>
  <si>
    <t>CredentialManagementAppTest.java</t>
  </si>
  <si>
    <t>TestAppCallbacksReceiver.java</t>
  </si>
  <si>
    <t>ResumeOnRebootHostTest.java</t>
  </si>
  <si>
    <t>CtsRotationResolverServiceDeviceTest.java</t>
  </si>
  <si>
    <t>MicrosoftDesignerKeyboardTest.java</t>
  </si>
  <si>
    <t>ConnectedNetworkScorerTest.java</t>
  </si>
  <si>
    <t>FontResourceTest.java</t>
  </si>
  <si>
    <t>InternalTranslationRequestTest.java</t>
  </si>
  <si>
    <t>TranslationRequestTest.java</t>
  </si>
  <si>
    <t>TranslationResponseTest.java</t>
  </si>
  <si>
    <t>VcnManagerTest.java</t>
  </si>
  <si>
    <t>BiometricManagerTest.java</t>
  </si>
  <si>
    <t>TranslationManagerTest.java</t>
  </si>
  <si>
    <t>HotwordDetectionServiceBasicTest.java</t>
  </si>
  <si>
    <t>TestVoiceInteractionServiceActivity.java</t>
  </si>
  <si>
    <t>NetworkSliceInfoTest.java</t>
  </si>
  <si>
    <t>PowerExemptionTest.java</t>
  </si>
  <si>
    <t>SystemMediaRouter2Test.java</t>
  </si>
  <si>
    <t>ExactAlarmsTest.java</t>
  </si>
  <si>
    <t>TelephonyCallbackTest.java</t>
  </si>
  <si>
    <t>LteVopsSupportInfoTest.java</t>
  </si>
  <si>
    <t>WhitelistTest.java</t>
  </si>
  <si>
    <t>RemoteViewsRecyclingTest.java</t>
  </si>
  <si>
    <t>HdmiCecStartupTest.java</t>
  </si>
  <si>
    <t>DeviceOwnerProvisioningTest.java</t>
  </si>
  <si>
    <t>ShortcutManagerMaxCountTest.java</t>
  </si>
  <si>
    <t>ResamplingTest.java</t>
  </si>
  <si>
    <t>NetworkSlicingStatusTest.java</t>
  </si>
  <si>
    <t>MetadataEncryptionTest.java</t>
  </si>
  <si>
    <t>MediaExtractorDeviceSideTest.java</t>
  </si>
  <si>
    <t>ExtractorUnitTest.java</t>
  </si>
  <si>
    <t>ViewReceiveContentTest.java</t>
  </si>
  <si>
    <t>TextViewReceiveContentTest.java</t>
  </si>
  <si>
    <t>PermissionIndicatorAppOpUsageTest.java</t>
  </si>
  <si>
    <t>SystemFontsUniqueNameTest.java</t>
  </si>
  <si>
    <t>ASurfaceControlTest.java</t>
  </si>
  <si>
    <t>SensorConfigurationTest.java</t>
  </si>
  <si>
    <t>EnterpriseNetworkPreferenceStatusTest.java</t>
  </si>
  <si>
    <t>LocationTimeZoneManagerHostTest.java</t>
  </si>
  <si>
    <t>PerformanceClassTest.java</t>
  </si>
  <si>
    <t>AbstractBaseTest.java</t>
  </si>
  <si>
    <t>BaseLocationTimeZoneManagerHostTest.java</t>
  </si>
  <si>
    <t>LocationTimeZoneManagerStatsTest.java</t>
  </si>
  <si>
    <t>PreferentialNetworkServiceStatusTest.java</t>
  </si>
  <si>
    <t>TimeManagerTest.java</t>
  </si>
  <si>
    <t>TestSipDelegate.java</t>
  </si>
  <si>
    <t>TestSipDelegateConnection.java</t>
  </si>
  <si>
    <t>CoexUnsafeChannelTest.java</t>
  </si>
  <si>
    <t>CombinedVibrationTest.java</t>
  </si>
  <si>
    <t>InputDeviceVibratorManagerTest.java</t>
  </si>
  <si>
    <t>AppSearchDeviceTest.java</t>
  </si>
  <si>
    <t>SignatureStorageTest.java</t>
  </si>
  <si>
    <t>ApnDatabaseTest.java</t>
  </si>
  <si>
    <t>NetworkScanApiTest.java</t>
  </si>
  <si>
    <t>PlaybackStateTest.java</t>
  </si>
  <si>
    <t>NfcPermissionTest.java</t>
  </si>
  <si>
    <t>InlineAugmentedContentTest.java</t>
  </si>
  <si>
    <t>AppSearchMultiUserTest.java</t>
  </si>
  <si>
    <t>WifiNl80211ManagerTest.java</t>
  </si>
  <si>
    <t>NearbyDevicesPermissionTest.java</t>
  </si>
  <si>
    <t>ApiPresenceCheckerTest.java</t>
  </si>
  <si>
    <t>UninstallExistingPackageTest.java</t>
  </si>
  <si>
    <t>CodecEncoderSurfaceTest.java</t>
  </si>
  <si>
    <t>SearchSpecCtsTest.java</t>
  </si>
  <si>
    <t>UwbManagerTest.java</t>
  </si>
  <si>
    <t>TranscodeTest.java</t>
  </si>
  <si>
    <t>DupFileTest.java</t>
  </si>
  <si>
    <t>NearbyAppStreamingPolicyTest.java</t>
  </si>
  <si>
    <t>NearbyNotificationStreamingPolicyTest.java</t>
  </si>
  <si>
    <t>SetLocationEnabledTest.java</t>
  </si>
  <si>
    <t>RemoteDpcTest.java</t>
  </si>
  <si>
    <t>JobSchedulerIncidentTest.java</t>
  </si>
  <si>
    <t>MediaExtractorHostSideTest.java</t>
  </si>
  <si>
    <t>CompatChangesTest.java</t>
  </si>
  <si>
    <t>CompatChangesOverrideOnReleaseBuildTest.java</t>
  </si>
  <si>
    <t>UiTranslationManagerTest.java</t>
  </si>
  <si>
    <t>PowerPolicyHostTest.java</t>
  </si>
  <si>
    <t>WifiConfigLockdownTest.java</t>
  </si>
  <si>
    <t>BypassDatabaseOperationsTest.java</t>
  </si>
  <si>
    <t>AttachedSurfaceControlSyncTest.java</t>
  </si>
  <si>
    <t>CodecDecoderValidationTest.java</t>
  </si>
  <si>
    <t>AppWidgetDimensionsTest.java</t>
  </si>
  <si>
    <t>AppSearchPackageTest.java</t>
  </si>
  <si>
    <t>BluetoothTest.java</t>
  </si>
  <si>
    <t>DevicePolicyTest.java</t>
  </si>
  <si>
    <t>InstallDexMetadataHostTest.java</t>
  </si>
  <si>
    <t>ClientSuggestionsInlineTest.java</t>
  </si>
  <si>
    <t>WorkProfileSecurityLoggingDelegateTest.java</t>
  </si>
  <si>
    <t>TelephonyManagerReadPhoneStatePermissionTest.java</t>
  </si>
  <si>
    <t>ResourcesHardeningTest.java</t>
  </si>
  <si>
    <t>BlobStoreMultiUserTest.java</t>
  </si>
  <si>
    <t>BaseHdmiCecCtsTest.java</t>
  </si>
  <si>
    <t>TestResultTable.java</t>
  </si>
  <si>
    <t>BytesTransferredTest.java</t>
  </si>
  <si>
    <t>TestAppActivityReference.java</t>
  </si>
  <si>
    <t>BlockUninstallDelegateTest.java</t>
  </si>
  <si>
    <t>CertInstallDelegateTest.java</t>
  </si>
  <si>
    <t>EnableSystemAppDelegateTest.java</t>
  </si>
  <si>
    <t>GeneralDelegateTest.java</t>
  </si>
  <si>
    <t>PackageAccessDelegateTest.java</t>
  </si>
  <si>
    <t>PermissionGrantDelegateTest.java</t>
  </si>
  <si>
    <t>ContextIsUiContextTest.java</t>
  </si>
  <si>
    <t>TestAppBroadcastReceiverReference.java</t>
  </si>
  <si>
    <t>TestAppInstanceReference.java</t>
  </si>
  <si>
    <t>TestAppQueryBuilder.java</t>
  </si>
  <si>
    <t>GenericDocumentCtsTest.java</t>
  </si>
  <si>
    <t>SettingsHandlerTest.java</t>
  </si>
  <si>
    <t>ActivityDestroyedEventTest.java</t>
  </si>
  <si>
    <t>ActivityPausedEventTest.java</t>
  </si>
  <si>
    <t>ActivityRestartedEventTest.java</t>
  </si>
  <si>
    <t>ActivityResumedEventTest.java</t>
  </si>
  <si>
    <t>ActivityStartedEventTest.java</t>
  </si>
  <si>
    <t>ActivityStoppedEventTest.java</t>
  </si>
  <si>
    <t>ActivityQueryHelperTest.java</t>
  </si>
  <si>
    <t>TestAppActivities.java</t>
  </si>
  <si>
    <t>AdaptivePlaybackFrameDropTest.java</t>
  </si>
  <si>
    <t>FrameDropTest.java</t>
  </si>
  <si>
    <t>MultiTranscoderPairPerfTest.java</t>
  </si>
  <si>
    <t>IncrementalLoadingProgressTest.java</t>
  </si>
  <si>
    <t>CodecDecoderPerformanceTest.java</t>
  </si>
  <si>
    <t>CodecEncoderPerformanceTest.java</t>
  </si>
  <si>
    <t>NearbyDevicesRenouncePermissionTest.java</t>
  </si>
  <si>
    <t>JobWorkItemTest.java</t>
  </si>
  <si>
    <t>SetQueryHelperTest.java</t>
  </si>
  <si>
    <t>BootTest.java</t>
  </si>
  <si>
    <t>GlVboPerfTest.java</t>
  </si>
  <si>
    <t>HotwordRejectedResultTest.java</t>
  </si>
  <si>
    <t>InputConnectionEndToEndTest.java</t>
  </si>
  <si>
    <t>SampleHostResultTest.java</t>
  </si>
  <si>
    <t>ImeInsetsVisibilityTest.java</t>
  </si>
  <si>
    <t>AttestKeyTest.java</t>
  </si>
  <si>
    <t>SeparateProfileChallengePermissionsTest.java</t>
  </si>
  <si>
    <t>SeparateProfileChallengeTest.java</t>
  </si>
  <si>
    <t>MediaParserHostSideTest.java</t>
  </si>
  <si>
    <t>RingtoneSyncTest.java</t>
  </si>
  <si>
    <t>ManagedProfileRingtoneTest.java</t>
  </si>
  <si>
    <t>RestoreSessionAppTest.java</t>
  </si>
  <si>
    <t>MediaTranscodingManagerTest.java</t>
  </si>
  <si>
    <t>RollbackManagerTest.java</t>
  </si>
  <si>
    <t>SupportMessageTest.java</t>
  </si>
  <si>
    <t>TaskFragmentOrganizerTest.java</t>
  </si>
  <si>
    <t>InputEventTest.java</t>
  </si>
  <si>
    <t>AppCompatOverridesServiceTest.java</t>
  </si>
  <si>
    <t>TunerFrontendTest.java</t>
  </si>
  <si>
    <t>VehicleGearTest.java</t>
  </si>
  <si>
    <t>VehiclePropertyIdsTest.java</t>
  </si>
  <si>
    <t>AudioTrackSurroundTest.java</t>
  </si>
  <si>
    <t>PhotoPickerTest.java</t>
  </si>
  <si>
    <t>DefaultSmsApplicationTest.java</t>
  </si>
  <si>
    <t>CarWatchdogHostTest.java</t>
  </si>
  <si>
    <t>DisallowSharingIntoProfileTest.java</t>
  </si>
  <si>
    <t>EnrollmentSpecificIdTest.java</t>
  </si>
  <si>
    <t>VideoEditorTest.java</t>
  </si>
  <si>
    <t>DeviceTest.java</t>
  </si>
  <si>
    <t>ClasspathDeviceTest.java</t>
  </si>
  <si>
    <t>MatchContentFrameRateTest.java</t>
  </si>
  <si>
    <t>WallpaperInfoTest.java</t>
  </si>
  <si>
    <t>HkdfTest.java</t>
  </si>
  <si>
    <t>PackagesTest.java</t>
  </si>
  <si>
    <t>SystemPaletteTest.java</t>
  </si>
  <si>
    <t>AttachedSurfaceControlTest.java</t>
  </si>
  <si>
    <t>RsaKeyGenPerformanceTest.java</t>
  </si>
  <si>
    <t>AbiTest.java</t>
  </si>
  <si>
    <t>HdmiCecTvStandbyTest.java</t>
  </si>
  <si>
    <t>TestAppTest.java</t>
  </si>
  <si>
    <t>DeviceOwnerPrerequisitesTest.java</t>
  </si>
  <si>
    <t>ExtensionTest.java</t>
  </si>
  <si>
    <t>TestGetWindowLayoutInfoActivity.java</t>
  </si>
  <si>
    <t>TestExtensionCompat.java</t>
  </si>
  <si>
    <t>TestExtensionDeviceState.java</t>
  </si>
  <si>
    <t>TestExtensionDisplayFeature.java</t>
  </si>
  <si>
    <t>TestExtensionWindowLayoutInfo.java</t>
  </si>
  <si>
    <t>TestSidecarCompat.java</t>
  </si>
  <si>
    <t>TestSidecarDeviceState.java</t>
  </si>
  <si>
    <t>TestSidecarDisplayFeature.java</t>
  </si>
  <si>
    <t>TestSidecarWindowLayoutInfo.java</t>
  </si>
  <si>
    <t>ListQueryHelperTest.java</t>
  </si>
  <si>
    <t>ActivityOptionsTest.java</t>
  </si>
  <si>
    <t>BroadcastOptionsTest.java</t>
  </si>
  <si>
    <t>TestFirstValueConsumer.java</t>
  </si>
  <si>
    <t>PackageTest.java</t>
  </si>
  <si>
    <t>TestAppInstanceReferenceTest.java</t>
  </si>
  <si>
    <t>TestAppActivity.java</t>
  </si>
  <si>
    <t>TestAppInstance.java</t>
  </si>
  <si>
    <t>TestAppInstanceTest.java</t>
  </si>
  <si>
    <t>TestAppActivitiesTest.java</t>
  </si>
  <si>
    <t>ProcessTest.java</t>
  </si>
  <si>
    <t>TouchInteractionControllerTest.java</t>
  </si>
  <si>
    <t>AvailableNetworkInfoTest.java</t>
  </si>
  <si>
    <t>RangingSessionTest.java</t>
  </si>
  <si>
    <t>RemoteViewsFixedCollectionAdapterTest.java</t>
  </si>
  <si>
    <t>TestMockModemService.java</t>
  </si>
  <si>
    <t>AnnotationCheckerTest.java</t>
  </si>
  <si>
    <t>RedactUriDeviceTest.java</t>
  </si>
  <si>
    <t>DeprecatedPasswordAPIsTest.java</t>
  </si>
  <si>
    <t>EventLibAppComponentFactoryTest.java</t>
  </si>
  <si>
    <t>EventLibServiceTest.java</t>
  </si>
  <si>
    <t>TestAppEvents.java</t>
  </si>
  <si>
    <t>TestAppAppComponentFactoryTest.java</t>
  </si>
  <si>
    <t>StyleSpanTest.java</t>
  </si>
  <si>
    <t>PackageIncidentTest.java</t>
  </si>
  <si>
    <t>GnssMeasurementRequestTest.java</t>
  </si>
  <si>
    <t>InputMethodStartInputLifecycleTest.java</t>
  </si>
  <si>
    <t>UserManagerTest.java</t>
  </si>
  <si>
    <t>TestProcessClient.java</t>
  </si>
  <si>
    <t>TestProcessService.java</t>
  </si>
  <si>
    <t>AdvertisingSetTest.java</t>
  </si>
  <si>
    <t>HdmiCecTvPowerToggleTest.java</t>
  </si>
  <si>
    <t>CommunalManagerTest.java</t>
  </si>
  <si>
    <t>CodePathTest.java</t>
  </si>
  <si>
    <t>PackageSettingDeviceTest.java</t>
  </si>
  <si>
    <t>MediaStorePlacementTest.java</t>
  </si>
  <si>
    <t>SampleMultiDeviceTest.java</t>
  </si>
  <si>
    <t>BoringLayoutFallbackLineSpacingTest.java</t>
  </si>
  <si>
    <t>FallbackLineSpacingTest.java</t>
  </si>
  <si>
    <t>StylusHandwritingTest.java</t>
  </si>
  <si>
    <t>GeocoderTest.java</t>
  </si>
  <si>
    <t>TestImsService.java</t>
  </si>
  <si>
    <t>TvInteractiveAppViewTest.java</t>
  </si>
  <si>
    <t>TestJob.java</t>
  </si>
  <si>
    <t>SpatializerTest.java</t>
  </si>
  <si>
    <t>AppCloningHostTest.java</t>
  </si>
  <si>
    <t>SlogfTest.java</t>
  </si>
  <si>
    <t>RevokeOwnPermissionTest.java</t>
  </si>
  <si>
    <t>EventLogHelperTest.java</t>
  </si>
  <si>
    <t>TvInteractiveAppServiceTest.java</t>
  </si>
  <si>
    <t>WifiSsidTest.java</t>
  </si>
  <si>
    <t>TestService.java</t>
  </si>
  <si>
    <t>BluetoothHapClientTest.java</t>
  </si>
  <si>
    <t>SharedUserMigrationTest.java</t>
  </si>
  <si>
    <t>NewUserRequestTest.java</t>
  </si>
  <si>
    <t>HdmiCecDeviceSelectForPlaybackTest.java</t>
  </si>
  <si>
    <t>OnBackInvokedDispatcherTest.java</t>
  </si>
  <si>
    <t>UserManagerHelperTest.java</t>
  </si>
  <si>
    <t>CrossProfileAppsNonTargetUserTest.java</t>
  </si>
  <si>
    <t>CrossProfileAppsTargetUserTest.java</t>
  </si>
  <si>
    <t>ActivityDumpTest.java</t>
  </si>
  <si>
    <t>ActivityBlockingTest.java</t>
  </si>
  <si>
    <t>CarServiceHelperServiceUpdatableTest.java</t>
  </si>
  <si>
    <t>WifiHotspot2Test.java</t>
  </si>
  <si>
    <t>TestGameSessionService.java</t>
  </si>
  <si>
    <t>AbstractRecognitionServiceTest.java</t>
  </si>
  <si>
    <t>CallEndpointSessionTest.java</t>
  </si>
  <si>
    <t>DynamicConfigHiddenApiTest.java</t>
  </si>
  <si>
    <t>DynamicConfigSignatureTest.java</t>
  </si>
  <si>
    <t>AdbManagerHostDeviceTest.java</t>
  </si>
  <si>
    <t>DeviceOwnerSetupTest.java</t>
  </si>
  <si>
    <t>CtsAttentionServiceDeviceTest.java</t>
  </si>
  <si>
    <t>GameManagerTest.java</t>
  </si>
  <si>
    <t>RemoteVideoPreviewTest.java</t>
  </si>
  <si>
    <t>BaseTemplateDataTest.java</t>
  </si>
  <si>
    <t>CarouselTemplateDataTest.java</t>
  </si>
  <si>
    <t>CombinedCardsTemplateDataTest.java</t>
  </si>
  <si>
    <t>SmartspaceHeadToHeadUiTemplateDataTest.java</t>
  </si>
  <si>
    <t>SmartspaceTextTest.java</t>
  </si>
  <si>
    <t>SubCardTemplateDataTest.java</t>
  </si>
  <si>
    <t>SubImageTemplateDataTest.java</t>
  </si>
  <si>
    <t>SubListTemplateDataTest.java</t>
  </si>
  <si>
    <t>TapActionTest.java</t>
  </si>
  <si>
    <t>GameServiceTest.java</t>
  </si>
  <si>
    <t>LowPowerStandbyTest.java</t>
  </si>
  <si>
    <t>CarTelemetryManagerTest.java</t>
  </si>
  <si>
    <t>SampleJUnit4DeviceTest.java</t>
  </si>
  <si>
    <t>OnScreenPositionTest.java</t>
  </si>
  <si>
    <t>GlobalSearchSessionPlatformCtsTest.java</t>
  </si>
  <si>
    <t>SetSchemaRequestCtsTest.java</t>
  </si>
  <si>
    <t>TextTest.java</t>
  </si>
  <si>
    <t>VisualizerEffectTest.java</t>
  </si>
  <si>
    <t>PhotoPickerCrossProfileTest.java</t>
  </si>
  <si>
    <t>TestAppActivityReferenceTest.java</t>
  </si>
  <si>
    <t>BluetoothLeAudioCodecStatusTest.java</t>
  </si>
  <si>
    <t>BluetoothLeAudioCodecTest.java</t>
  </si>
  <si>
    <t>SdkSandboxPermissionTest.java</t>
  </si>
  <si>
    <t>StatusBarManagerTest.java</t>
  </si>
  <si>
    <t>STKFrameworkTest.java</t>
  </si>
  <si>
    <t>PhoneAccountRegistrarTest.java</t>
  </si>
  <si>
    <t>BluetoothServiceManagerTest.java</t>
  </si>
  <si>
    <t>NoAdminLeakingTest.java</t>
  </si>
  <si>
    <t>DefaultDisplayModeTest.java</t>
  </si>
  <si>
    <t>AssistUtilsHelperTest.java</t>
  </si>
  <si>
    <t>CallTest.java</t>
  </si>
  <si>
    <t>CloudSearchManagerTest.java</t>
  </si>
  <si>
    <t>BluetoothHapPresetInfoTest.java</t>
  </si>
  <si>
    <t>IpcDataCacheTest.java</t>
  </si>
  <si>
    <t>ActivityManagerHelperTest.java</t>
  </si>
  <si>
    <t>SplitActivityLifecycleTest.java</t>
  </si>
  <si>
    <t>BackgroundDexOptimizationTest.java</t>
  </si>
  <si>
    <t>PhotoPickerBaseTest.java</t>
  </si>
  <si>
    <t>SimPhonebookContract_ContentNotificationsTest.java</t>
  </si>
  <si>
    <t>SelectionEventTest.java</t>
  </si>
  <si>
    <t>CloudPhotoPickerTest.java</t>
  </si>
  <si>
    <t>BluetoothLeAudioTest.java</t>
  </si>
  <si>
    <t>SipManagerTest.java</t>
  </si>
  <si>
    <t>TelephonyRegistryManagerTest.java</t>
  </si>
  <si>
    <t>TaskFragmentOrganizerPolicyTest.java</t>
  </si>
  <si>
    <t>BluetoothAdapterTest.java</t>
  </si>
  <si>
    <t>TvInteractiveAppManagerTest.java</t>
  </si>
  <si>
    <t>PermissionGrantTest.java</t>
  </si>
  <si>
    <t>NegativeCallAuthorizationTest.java</t>
  </si>
  <si>
    <t>ClipboardReadAccessTest.java</t>
  </si>
  <si>
    <t>AppSearchSchemaMigrationCtsTest.java</t>
  </si>
  <si>
    <t>AppSearchSessionCtsTest.java</t>
  </si>
  <si>
    <t>GlobalSearchSessionCtsTest.java</t>
  </si>
  <si>
    <t>EthernetManagerPermissionTest.java</t>
  </si>
  <si>
    <t>ScanFilterTest.java</t>
  </si>
  <si>
    <t>RevokeSelfPermissionTest.java</t>
  </si>
  <si>
    <t>GetSchemaResponseCtsTest.java</t>
  </si>
  <si>
    <t>TaskFragmentTrustedModeTest.java</t>
  </si>
  <si>
    <t>MediaRouter2HostTest.java</t>
  </si>
  <si>
    <t>BluetoothHidDeviceAppQosSettingsTest.java</t>
  </si>
  <si>
    <t>AppCloningBaseHostTest.java</t>
  </si>
  <si>
    <t>LostModeLocationTest.java</t>
  </si>
  <si>
    <t>VirtualAudioTest.java</t>
  </si>
  <si>
    <t>BluetoothLeAdvertiserTest.java</t>
  </si>
  <si>
    <t>NotificationListenerCheckTest.java</t>
  </si>
  <si>
    <t>LocaleManagerSystemLocaleTest.java</t>
  </si>
  <si>
    <t>MediaCodecResourceTest.java</t>
  </si>
  <si>
    <t>ActivityManagerHelperHostTest.java</t>
  </si>
  <si>
    <t>InternetPermissionTest.java</t>
  </si>
  <si>
    <t>UpdateStatsPermissionTest.java</t>
  </si>
  <si>
    <t>TaggingSdk30MemtagTest.java</t>
  </si>
  <si>
    <t>TimeZoneDetectorStatsTest.java</t>
  </si>
  <si>
    <t>BluetoothLeAudioContentMetadataTest.java</t>
  </si>
  <si>
    <t>TestResultsProvider.java</t>
  </si>
  <si>
    <t>DreamOverlayTest.java</t>
  </si>
  <si>
    <t>TestReceiver.java</t>
  </si>
  <si>
    <t>ToolbarActionBarTest.java</t>
  </si>
  <si>
    <t>TaskInfoHelperTest.java</t>
  </si>
  <si>
    <t>SystemPropertiesHelperTest.java</t>
  </si>
  <si>
    <t>MuxerUnitTest.java</t>
  </si>
  <si>
    <t>BluetoothLeBroadcastAssistantTest.java</t>
  </si>
  <si>
    <t>PhotoPickerPickImagesIntentTest.java</t>
  </si>
  <si>
    <t>CarServiceHelperServiceTest.java</t>
  </si>
  <si>
    <t>CodecInitializationLatencyTest.java</t>
  </si>
  <si>
    <t>RequirementTest.java</t>
  </si>
  <si>
    <t>DecoderPushBlankBuffersOnStopTest.java</t>
  </si>
  <si>
    <t>GnssStatusTest.java</t>
  </si>
  <si>
    <t>VirtualMouseTest.java</t>
  </si>
  <si>
    <t>CamcorderProfileTest.java</t>
  </si>
  <si>
    <t>InlineSuggestionsRequestHostTest.java</t>
  </si>
  <si>
    <t>MultiDecoderPairPerfTest.java</t>
  </si>
  <si>
    <t>TextViewTranslationTest.java</t>
  </si>
  <si>
    <t>MultiDecoderPerfTest.java</t>
  </si>
  <si>
    <t>BluetoothDeviceTest.java</t>
  </si>
  <si>
    <t>SystemBluetoothTest.java</t>
  </si>
  <si>
    <t>SonyDualSenseBluetoothTest.java</t>
  </si>
  <si>
    <t>SonyDualSenseUsbTest.java</t>
  </si>
  <si>
    <t>LocationDisabledAppOpsTest.java</t>
  </si>
  <si>
    <t>MediaOutputDialogTest.java</t>
  </si>
  <si>
    <t>HDRDecoderTest.java</t>
  </si>
  <si>
    <t>DecoderHDRInfoTest.java</t>
  </si>
  <si>
    <t>EncoderHDRInfoTest.java</t>
  </si>
  <si>
    <t>SeamendcHostTest.java</t>
  </si>
  <si>
    <t>CarApiVersionTest.java</t>
  </si>
  <si>
    <t>CarVersionTest.java</t>
  </si>
  <si>
    <t>PlatformVersionTest.java</t>
  </si>
  <si>
    <t>DataSpaceTest.java</t>
  </si>
  <si>
    <t>CarPerformanceManagerTest.java</t>
  </si>
  <si>
    <t>SessionHandleTest.java</t>
  </si>
  <si>
    <t>TestApiRequirements.java</t>
  </si>
  <si>
    <t>OnDevicePersonalizationServiceTest.java</t>
  </si>
  <si>
    <t>DeviceOwnerKeyManagementTest.java</t>
  </si>
  <si>
    <t>SearchRequestTest.java</t>
  </si>
  <si>
    <t>SearchResponseTest.java</t>
  </si>
  <si>
    <t>SearchResultTest.java</t>
  </si>
  <si>
    <t>AutofillSaveDialogHeightTest.java</t>
  </si>
  <si>
    <t>TunneledDecoderTest.java</t>
  </si>
  <si>
    <t>MediaPlayerSurfaceTest.java</t>
  </si>
  <si>
    <t>MediaRecorderRandomTest.java</t>
  </si>
  <si>
    <t>MediaPlayerRandomTest.java</t>
  </si>
  <si>
    <t>BatteryStatsRadioPowerStateTest.java</t>
  </si>
  <si>
    <t>BluetoothA2dpSinkTest.java</t>
  </si>
  <si>
    <t>BluetoothA2dpTest.java</t>
  </si>
  <si>
    <t>BluetoothCsipSetCoordinatorTest.java</t>
  </si>
  <si>
    <t>BluetoothHeadsetClientTest.java</t>
  </si>
  <si>
    <t>BluetoothHeadsetTest.java</t>
  </si>
  <si>
    <t>BluetoothHidDeviceTest.java</t>
  </si>
  <si>
    <t>BluetoothHidHostTest.java</t>
  </si>
  <si>
    <t>BluetoothLeBroadcastTest.java</t>
  </si>
  <si>
    <t>BluetoothMapClientTest.java</t>
  </si>
  <si>
    <t>BluetoothMapTest.java</t>
  </si>
  <si>
    <t>BluetoothPanTest.java</t>
  </si>
  <si>
    <t>BluetoothPbapClientTest.java</t>
  </si>
  <si>
    <t>BluetoothPbapTest.java</t>
  </si>
  <si>
    <t>BluetoothSapTest.java</t>
  </si>
  <si>
    <t>BluetoothVolumeControlTest.java</t>
  </si>
  <si>
    <t>DistanceMeasurementTest.java</t>
  </si>
  <si>
    <t>RangingMeasurementTest.java</t>
  </si>
  <si>
    <t>RangingReportTest.java</t>
  </si>
  <si>
    <t>UwbAddressTest.java</t>
  </si>
  <si>
    <t>UwbFrameworkInitializerTest.java</t>
  </si>
  <si>
    <t>BluetoothCodecsTest.java</t>
  </si>
  <si>
    <t>ApplicationHiddenParentTest.java</t>
  </si>
  <si>
    <t>ApplicationHiddenTest.java</t>
  </si>
  <si>
    <t>ParentProfileTest.java</t>
  </si>
  <si>
    <t>GetPasswordComplexityTest.java</t>
  </si>
  <si>
    <t>LauncherAppsProfileTest.java</t>
  </si>
  <si>
    <t>PasswordComplexityTest.java</t>
  </si>
  <si>
    <t>AdminPermissionControlParamsTest.java</t>
  </si>
  <si>
    <t>DevicePolicyManagementRoleHolderTest.java</t>
  </si>
  <si>
    <t>DevicePolicyResourcesTest.java</t>
  </si>
  <si>
    <t>PrimaryUserTest.java</t>
  </si>
  <si>
    <t>DecoderColorAspectsTest.java</t>
  </si>
  <si>
    <t>VideoEncoderMultiResTest.java</t>
  </si>
  <si>
    <t>VideoEncoderPsnrTest.java</t>
  </si>
  <si>
    <t>CodecEncoderValidationTest.java</t>
  </si>
  <si>
    <t>EncodeDecodeAccuracyTest.java</t>
  </si>
  <si>
    <t>EncoderColorAspectsTest.java</t>
  </si>
  <si>
    <t>ApplyOverrideConfigurationTest.java</t>
  </si>
  <si>
    <t>MifareClassicTest.java</t>
  </si>
  <si>
    <t>SonyDualSenseEdgeBluetoothTest.java</t>
  </si>
  <si>
    <t>SonyDualSenseEdgeUsbTest.java</t>
  </si>
  <si>
    <t>testGetIBinder</t>
  </si>
  <si>
    <t>TestTimeToValues2</t>
  </si>
  <si>
    <t>TestOnFilterComplete</t>
  </si>
  <si>
    <t>TestPerformCompletion</t>
  </si>
  <si>
    <t>probeDeviceStatus</t>
  </si>
  <si>
    <t>registerResultObserver</t>
  </si>
  <si>
    <t>loadExceptionInfo</t>
  </si>
  <si>
    <t>loadParamInfo</t>
  </si>
  <si>
    <t>getTestResult</t>
  </si>
  <si>
    <t>getResultCode</t>
  </si>
  <si>
    <t>getResultStr</t>
  </si>
  <si>
    <t>getFailedMessage</t>
  </si>
  <si>
    <t>getStackTrace</t>
  </si>
  <si>
    <t>processTestResult</t>
  </si>
  <si>
    <t>addResult</t>
  </si>
  <si>
    <t>setFailedMessage</t>
  </si>
  <si>
    <t>setStackTrace</t>
  </si>
  <si>
    <t>notifyUpdateResult</t>
  </si>
  <si>
    <t>notifyTestStatus</t>
  </si>
  <si>
    <t>getResultString</t>
  </si>
  <si>
    <t>AvailableIntentsTest</t>
  </si>
  <si>
    <t>setUp</t>
  </si>
  <si>
    <t>isRunningTargetActivity</t>
  </si>
  <si>
    <t>getTargetActivityName</t>
  </si>
  <si>
    <t>finishTargetActivity</t>
  </si>
  <si>
    <t>assertStartedTargetActivity</t>
  </si>
  <si>
    <t>testGetCellLocation</t>
  </si>
  <si>
    <t>testWriteToParcel</t>
  </si>
  <si>
    <t>testConstructor</t>
  </si>
  <si>
    <t>dumpToFile</t>
  </si>
  <si>
    <t>testCopySpansFromNullPointerException</t>
  </si>
  <si>
    <t>testGetCharsNullPointerException</t>
  </si>
  <si>
    <t>testGetOffsetAfterNullPointerException</t>
  </si>
  <si>
    <t>testGetOffsetBeforeNullPointerException</t>
  </si>
  <si>
    <t>testGetReverseInternalError</t>
  </si>
  <si>
    <t>testGetReverseNegativeArraySizeException</t>
  </si>
  <si>
    <t>testGetReverseNullPointerException</t>
  </si>
  <si>
    <t>testIsGraphic1</t>
  </si>
  <si>
    <t>testIsGraphic2</t>
  </si>
  <si>
    <t>testRegionMatchesNullPointerException</t>
  </si>
  <si>
    <t>testSplit1</t>
  </si>
  <si>
    <t>testSplit2</t>
  </si>
  <si>
    <t>testWriteToParcelNullPointerException</t>
  </si>
  <si>
    <t>testFinalize</t>
  </si>
  <si>
    <t>MockPaint</t>
  </si>
  <si>
    <t>finalize</t>
  </si>
  <si>
    <t>OnDateSetListener</t>
  </si>
  <si>
    <t>testOnSaveInstanceState</t>
  </si>
  <si>
    <t>testShow</t>
  </si>
  <si>
    <t>testOnClick</t>
  </si>
  <si>
    <t>testOnDateChanged</t>
  </si>
  <si>
    <t>testUpdateDate</t>
  </si>
  <si>
    <t>testOnRestoreInstanceState</t>
  </si>
  <si>
    <t>isInBatchMode</t>
  </si>
  <si>
    <t>testGetSyncAdapter</t>
  </si>
  <si>
    <t>tearDown</t>
  </si>
  <si>
    <t>MockComponentInfo</t>
  </si>
  <si>
    <t>dumpBack</t>
  </si>
  <si>
    <t>dumpFront</t>
  </si>
  <si>
    <t>getResources</t>
  </si>
  <si>
    <t>getTheme</t>
  </si>
  <si>
    <t>getSystemService</t>
  </si>
  <si>
    <t>assertOnlyGpsProviderAvailableOnEmu</t>
  </si>
  <si>
    <t>assertAllProviderDisabledOnEmu</t>
  </si>
  <si>
    <t>obtainDiscriptor</t>
  </si>
  <si>
    <t>testInstallPackage</t>
  </si>
  <si>
    <t>testInstallPackage2</t>
  </si>
  <si>
    <t>loadImplementationInfo</t>
  </si>
  <si>
    <t>testOnTouchEvent</t>
  </si>
  <si>
    <t>testOnDraw</t>
  </si>
  <si>
    <t>testOnMeasure</t>
  </si>
  <si>
    <t>testOnSizeChanged</t>
  </si>
  <si>
    <t>MockAbsSeekBar</t>
  </si>
  <si>
    <t>drawableStateChanged</t>
  </si>
  <si>
    <t>onDraw</t>
  </si>
  <si>
    <t>verifyDrawable</t>
  </si>
  <si>
    <t>onSizeChanged</t>
  </si>
  <si>
    <t>onMeasure</t>
  </si>
  <si>
    <t>testOnFilterComplete</t>
  </si>
  <si>
    <t>testPerformCompletion</t>
  </si>
  <si>
    <t>testOnDetachedFromWindow</t>
  </si>
  <si>
    <t>testOnWindowVisibilityChanged</t>
  </si>
  <si>
    <t>MockChronometer</t>
  </si>
  <si>
    <t>onDetachedFromWindow</t>
  </si>
  <si>
    <t>onWindowVisibilityChanged</t>
  </si>
  <si>
    <t>reset</t>
  </si>
  <si>
    <t>hasCalledOnDetachedFromWindow</t>
  </si>
  <si>
    <t>testEeenableKeyguard</t>
  </si>
  <si>
    <t>sleep</t>
  </si>
  <si>
    <t>OnFinished</t>
  </si>
  <si>
    <t>Handler</t>
  </si>
  <si>
    <t>waitForAction</t>
  </si>
  <si>
    <t>pendingIntentSend</t>
  </si>
  <si>
    <t>OnTimeSetListener</t>
  </si>
  <si>
    <t>MockPrinter</t>
  </si>
  <si>
    <t>println</t>
  </si>
  <si>
    <t>queryProvider</t>
  </si>
  <si>
    <t>insertProvider</t>
  </si>
  <si>
    <t>testReadWriteCalendar</t>
  </si>
  <si>
    <t>testReadWriteContacts</t>
  </si>
  <si>
    <t>testReadWriteSms</t>
  </si>
  <si>
    <t>testReadWriteSyncSettings</t>
  </si>
  <si>
    <t>testReadSyncStats</t>
  </si>
  <si>
    <t>testWriteApnSettings</t>
  </si>
  <si>
    <t>testWriteSettings</t>
  </si>
  <si>
    <t>testReadSubscribedFeeds</t>
  </si>
  <si>
    <t>testReadWriteBookmarks</t>
  </si>
  <si>
    <t>testReadWriteHistory</t>
  </si>
  <si>
    <t>testWriteExternalStorage</t>
  </si>
  <si>
    <t>testWriteSecureSettings</t>
  </si>
  <si>
    <t>testfinalize</t>
  </si>
  <si>
    <t>testTimeToValues2</t>
  </si>
  <si>
    <t>MockInterpolator</t>
  </si>
  <si>
    <t>testSetKeyFrame1</t>
  </si>
  <si>
    <t>testSetKeyFrame2</t>
  </si>
  <si>
    <t>MockRegionIterator</t>
  </si>
  <si>
    <t>TestCase</t>
  </si>
  <si>
    <t>countTestCases</t>
  </si>
  <si>
    <t>createResult</t>
  </si>
  <si>
    <t>run</t>
  </si>
  <si>
    <t>runBare</t>
  </si>
  <si>
    <t>runTest</t>
  </si>
  <si>
    <t>toString</t>
  </si>
  <si>
    <t>getName</t>
  </si>
  <si>
    <t>setName</t>
  </si>
  <si>
    <t>TestFailure</t>
  </si>
  <si>
    <t>failedTest</t>
  </si>
  <si>
    <t>thrownException</t>
  </si>
  <si>
    <t>trace</t>
  </si>
  <si>
    <t>exceptionMessage</t>
  </si>
  <si>
    <t>isFailure</t>
  </si>
  <si>
    <t>TestResult</t>
  </si>
  <si>
    <t>addError</t>
  </si>
  <si>
    <t>addFailure</t>
  </si>
  <si>
    <t>addListener</t>
  </si>
  <si>
    <t>removeListener</t>
  </si>
  <si>
    <t>cloneListeners</t>
  </si>
  <si>
    <t>endTest</t>
  </si>
  <si>
    <t>errorCount</t>
  </si>
  <si>
    <t>errors</t>
  </si>
  <si>
    <t>failureCount</t>
  </si>
  <si>
    <t>failures</t>
  </si>
  <si>
    <t>runCount</t>
  </si>
  <si>
    <t>runProtected</t>
  </si>
  <si>
    <t>shouldStop</t>
  </si>
  <si>
    <t>startTest</t>
  </si>
  <si>
    <t>stop</t>
  </si>
  <si>
    <t>wasSuccessful</t>
  </si>
  <si>
    <t>createTest</t>
  </si>
  <si>
    <t>getTestConstructor</t>
  </si>
  <si>
    <t>warning</t>
  </si>
  <si>
    <t>exceptionToString</t>
  </si>
  <si>
    <t>TestSuite</t>
  </si>
  <si>
    <t>addTest</t>
  </si>
  <si>
    <t>addTestSuite</t>
  </si>
  <si>
    <t>testAt</t>
  </si>
  <si>
    <t>testCount</t>
  </si>
  <si>
    <t>tests</t>
  </si>
  <si>
    <t>addTestMethod</t>
  </si>
  <si>
    <t>isPublicTestMethod</t>
  </si>
  <si>
    <t>isTestMethod</t>
  </si>
  <si>
    <t>testAddTestProvider</t>
  </si>
  <si>
    <t>testSetTestProviderEnabled</t>
  </si>
  <si>
    <t>testSetTestProviderLocation</t>
  </si>
  <si>
    <t>testClearTestProviderEnabled</t>
  </si>
  <si>
    <t>testClearTestProviderStatus</t>
  </si>
  <si>
    <t>testClearTestProviderLocation</t>
  </si>
  <si>
    <t>checkProviderAlreadyExist</t>
  </si>
  <si>
    <t>waitForAlert</t>
  </si>
  <si>
    <t>synchronousSendLocation</t>
  </si>
  <si>
    <t>sendLocation</t>
  </si>
  <si>
    <t>testDraw</t>
  </si>
  <si>
    <t>testGetOpacity</t>
  </si>
  <si>
    <t>testSetAlpha</t>
  </si>
  <si>
    <t>testGetPadding</t>
  </si>
  <si>
    <t>testOnBoundsChange</t>
  </si>
  <si>
    <t>testOnLevelChange</t>
  </si>
  <si>
    <t>onBoundsChange</t>
  </si>
  <si>
    <t>onLevelChange</t>
  </si>
  <si>
    <t>testInflateTag</t>
  </si>
  <si>
    <t>hasOnBoundsChangeCalled</t>
  </si>
  <si>
    <t>waitUntilDrawFinish</t>
  </si>
  <si>
    <t>describeContents</t>
  </si>
  <si>
    <t>writeToParcel</t>
  </si>
  <si>
    <t>testSetRouting</t>
  </si>
  <si>
    <t>getRouting</t>
  </si>
  <si>
    <t>testFillIn</t>
  </si>
  <si>
    <t>getISyncContext</t>
  </si>
  <si>
    <t>testGetISyncContext</t>
  </si>
  <si>
    <t>testUpdateHeartbeat</t>
  </si>
  <si>
    <t>testSetStatusText</t>
  </si>
  <si>
    <t>testOnFinished</t>
  </si>
  <si>
    <t>sendHeartbeat</t>
  </si>
  <si>
    <t>onFinished</t>
  </si>
  <si>
    <t>asBinder</t>
  </si>
  <si>
    <t>hasCalledSendHeartbeat</t>
  </si>
  <si>
    <t>hasCalledOnFinished</t>
  </si>
  <si>
    <t>getSyncResult</t>
  </si>
  <si>
    <t>testHasError</t>
  </si>
  <si>
    <t>testClear</t>
  </si>
  <si>
    <t>testMadeSomeProgress</t>
  </si>
  <si>
    <t>testToDebugString</t>
  </si>
  <si>
    <t>testToString</t>
  </si>
  <si>
    <t>testHasHardError</t>
  </si>
  <si>
    <t>testWriteToParcelFailure</t>
  </si>
  <si>
    <t>testDescribeContents</t>
  </si>
  <si>
    <t>testHasSoftError</t>
  </si>
  <si>
    <t>testDivideMessage</t>
  </si>
  <si>
    <t>testSendMessages</t>
  </si>
  <si>
    <t>init</t>
  </si>
  <si>
    <t>SmsBroadcastReceiver</t>
  </si>
  <si>
    <t>onReceive</t>
  </si>
  <si>
    <t>waitForCalls</t>
  </si>
  <si>
    <t>hasCalledOnClick</t>
  </si>
  <si>
    <t>testGetGestureEntries</t>
  </si>
  <si>
    <t>testRemoveGesture</t>
  </si>
  <si>
    <t>testRemoveEntry</t>
  </si>
  <si>
    <t>testGetGestures</t>
  </si>
  <si>
    <t>getPickerText</t>
  </si>
  <si>
    <t>testClickTimePicker</t>
  </si>
  <si>
    <t>testCompare</t>
  </si>
  <si>
    <t>getPackageName</t>
  </si>
  <si>
    <t>testPackageHasExpectedSdkVersion</t>
  </si>
  <si>
    <t>testSystemDirAccess</t>
  </si>
  <si>
    <t>testAccessAppDataDir</t>
  </si>
  <si>
    <t>writeFileCheck</t>
  </si>
  <si>
    <t>setContext</t>
  </si>
  <si>
    <t>checkPreferredPackagesName</t>
  </si>
  <si>
    <t>clearFilesPath</t>
  </si>
  <si>
    <t>testGetText1</t>
  </si>
  <si>
    <t>testGetText2</t>
  </si>
  <si>
    <t>testEventLogTagsOp</t>
  </si>
  <si>
    <t>testOnTooManyRedirects</t>
  </si>
  <si>
    <t>hasOnTooManyRedirectsCalled</t>
  </si>
  <si>
    <t>onTooManyRedirects</t>
  </si>
  <si>
    <t>testGetMatch2</t>
  </si>
  <si>
    <t>testAddAndRemoveAccount</t>
  </si>
  <si>
    <t>testOnAllReferencesReleasedNOreleaseOfCompiledSql</t>
  </si>
  <si>
    <t>testOnAllReferencesReleasedFromContainerNOreleaseOfCompiledSql</t>
  </si>
  <si>
    <t>syncLock</t>
  </si>
  <si>
    <t>validateNonNullResult</t>
  </si>
  <si>
    <t>testStartSearch</t>
  </si>
  <si>
    <t>checkZoom</t>
  </si>
  <si>
    <t>testDispatchDraw</t>
  </si>
  <si>
    <t>testDispatchSetSelected</t>
  </si>
  <si>
    <t>testOnWindowFocusChanged</t>
  </si>
  <si>
    <t>windowfocusChange</t>
  </si>
  <si>
    <t>testUpdateDimentionAndAlignAnchorView</t>
  </si>
  <si>
    <t>testUpdateDimentionAndAlignAnchorViewWithOffsets</t>
  </si>
  <si>
    <t>onZoomUpdate</t>
  </si>
  <si>
    <t>testSetCustomTitle</t>
  </si>
  <si>
    <t>testSetTitleWithParamInt</t>
  </si>
  <si>
    <t>testSetTitleWithParamCharSequence</t>
  </si>
  <si>
    <t>testSetMessageWithParamInt</t>
  </si>
  <si>
    <t>testSetMessageWithParamCharSequence</t>
  </si>
  <si>
    <t>testOpPackagePreferredActivities</t>
  </si>
  <si>
    <t>testOpPackageToPreferred</t>
  </si>
  <si>
    <t>testMipmapDrawable</t>
  </si>
  <si>
    <t>testAddDrawable</t>
  </si>
  <si>
    <t>testSortedByHeight</t>
  </si>
  <si>
    <t>testSetBoundsOneItem</t>
  </si>
  <si>
    <t>testSetBounds</t>
  </si>
  <si>
    <t>testSizes</t>
  </si>
  <si>
    <t>testReplacementWhenAdded</t>
  </si>
  <si>
    <t>testInflate</t>
  </si>
  <si>
    <t>testInflateWithNullParameters</t>
  </si>
  <si>
    <t>testMutate</t>
  </si>
  <si>
    <t>getResourceParser</t>
  </si>
  <si>
    <t>hasCalledOnBoundsChanged</t>
  </si>
  <si>
    <t>MockDrawable</t>
  </si>
  <si>
    <t>draw</t>
  </si>
  <si>
    <t>getOpacity</t>
  </si>
  <si>
    <t>setAlpha</t>
  </si>
  <si>
    <t>setColorFilter</t>
  </si>
  <si>
    <t>getIntrinsicHeight</t>
  </si>
  <si>
    <t>getMinimumHeight</t>
  </si>
  <si>
    <t>onAutoFocus</t>
  </si>
  <si>
    <t>checkTakePicture</t>
  </si>
  <si>
    <t>testAutoFocus</t>
  </si>
  <si>
    <t>deleteRow</t>
  </si>
  <si>
    <t>testCursorUpdate</t>
  </si>
  <si>
    <t>testTabFinishCreate</t>
  </si>
  <si>
    <t>testTabFinishStart</t>
  </si>
  <si>
    <t>testFinishStart</t>
  </si>
  <si>
    <t>testFinishCreate</t>
  </si>
  <si>
    <t>onPreviewFrame</t>
  </si>
  <si>
    <t>testCheckPreview</t>
  </si>
  <si>
    <t>testAddPackageToPreferred</t>
  </si>
  <si>
    <t>testRemovePackageFromPreferred</t>
  </si>
  <si>
    <t>testExceptionsFromExecQueriesInParallel</t>
  </si>
  <si>
    <t>takeInputChannel</t>
  </si>
  <si>
    <t>testGetDatabase</t>
  </si>
  <si>
    <t>testGetUniqueId</t>
  </si>
  <si>
    <t>testOnAllReferencesReleased</t>
  </si>
  <si>
    <t>testOnAllReferencesReleasedFromContainer</t>
  </si>
  <si>
    <t>testProtectedMethods</t>
  </si>
  <si>
    <t>closeDatabaseWithOrphanedStatement</t>
  </si>
  <si>
    <t>MockWebView</t>
  </si>
  <si>
    <t>setCertificate</t>
  </si>
  <si>
    <t>hasCalledSetCertificate</t>
  </si>
  <si>
    <t>testGetSyncedTables</t>
  </si>
  <si>
    <t>testMarkTableSyncable</t>
  </si>
  <si>
    <t>testGetSensorList</t>
  </si>
  <si>
    <t>getAllSensorFeatures</t>
  </si>
  <si>
    <t>assertFeatureForSensor</t>
  </si>
  <si>
    <t>testGetPhoneType</t>
  </si>
  <si>
    <t>assertTelephonyFeatures</t>
  </si>
  <si>
    <t>testCanvas3</t>
  </si>
  <si>
    <t>testFreeGlCaches</t>
  </si>
  <si>
    <t>testSetViewport</t>
  </si>
  <si>
    <t>testGetTimeZoneDatabaseVersion</t>
  </si>
  <si>
    <t>TestListAdapter</t>
  </si>
  <si>
    <t>getData</t>
  </si>
  <si>
    <t>getTestsByCategory</t>
  </si>
  <si>
    <t>getTestCategory</t>
  </si>
  <si>
    <t>getTitle</t>
  </si>
  <si>
    <t>getActivityIntent</t>
  </si>
  <si>
    <t>addItemToCategory</t>
  </si>
  <si>
    <t>addItem</t>
  </si>
  <si>
    <t>areAllItemsEnabled</t>
  </si>
  <si>
    <t>isEnabled</t>
  </si>
  <si>
    <t>getItemViewType</t>
  </si>
  <si>
    <t>isTestActivity</t>
  </si>
  <si>
    <t>getViewTypeCount</t>
  </si>
  <si>
    <t>getCount</t>
  </si>
  <si>
    <t>getItem</t>
  </si>
  <si>
    <t>getItemId</t>
  </si>
  <si>
    <t>getView</t>
  </si>
  <si>
    <t>getLayout</t>
  </si>
  <si>
    <t>testListItem</t>
  </si>
  <si>
    <t>doTestGrantUriReadPermission</t>
  </si>
  <si>
    <t>doTestGrantUriWritePermission</t>
  </si>
  <si>
    <t>testGrantReadPermissionFromStartActivity</t>
  </si>
  <si>
    <t>testGrantWritePermissionFromStartActivity</t>
  </si>
  <si>
    <t>testGrantReadPrivateFromStartActivity</t>
  </si>
  <si>
    <t>testGrantWritePrivateFromStartActivity</t>
  </si>
  <si>
    <t>assertMeidDeviceId</t>
  </si>
  <si>
    <t>log</t>
  </si>
  <si>
    <t>loge</t>
  </si>
  <si>
    <t>testSetMicrophoneMute</t>
  </si>
  <si>
    <t>testSetConnectionPoolSize</t>
  </si>
  <si>
    <t>assertHexadecimalMeidFormat</t>
  </si>
  <si>
    <t>testGrantActivityReadPermissionFromStartActivity</t>
  </si>
  <si>
    <t>testGrantActivityWritePermissionFromStartActivity</t>
  </si>
  <si>
    <t>testGrantActivityReadPrivateFromStartActivity</t>
  </si>
  <si>
    <t>testGrantActivityWritePrivateFromStartActivity</t>
  </si>
  <si>
    <t>testGrantActivityReadPermissionFromStartService</t>
  </si>
  <si>
    <t>testGrantActivityWritePermissionFromStartService</t>
  </si>
  <si>
    <t>testGrantActivityReadPrivateFromStartService</t>
  </si>
  <si>
    <t>testGrantActivityWritePrivateFromStartService</t>
  </si>
  <si>
    <t>testAccessParameters</t>
  </si>
  <si>
    <t>testSetPersistent</t>
  </si>
  <si>
    <t>testUserActivity</t>
  </si>
  <si>
    <t>testHasFeatureWithCallback</t>
  </si>
  <si>
    <t>testPerformLongClick</t>
  </si>
  <si>
    <t>testOnKeyMultiple</t>
  </si>
  <si>
    <t>testComputeScroll</t>
  </si>
  <si>
    <t>testAccessNetworkPreference</t>
  </si>
  <si>
    <t>startElement</t>
  </si>
  <si>
    <t>parseBoolean</t>
  </si>
  <si>
    <t>createXmlHandler</t>
  </si>
  <si>
    <t>getTestPackageDef</t>
  </si>
  <si>
    <t>testParse_instrPackage</t>
  </si>
  <si>
    <t>testParse_hostTest</t>
  </si>
  <si>
    <t>testParse_badHostTest</t>
  </si>
  <si>
    <t>testParse_noData</t>
  </si>
  <si>
    <t>getStringAsStream</t>
  </si>
  <si>
    <t>foo</t>
  </si>
  <si>
    <t>testE8</t>
  </si>
  <si>
    <t>testVFE16</t>
  </si>
  <si>
    <t>testHandheldFeatures</t>
  </si>
  <si>
    <t>testStbFeatures</t>
  </si>
  <si>
    <t>testRequiredFeatures</t>
  </si>
  <si>
    <t>getProfile</t>
  </si>
  <si>
    <t>testAccessAbortBroadcast</t>
  </si>
  <si>
    <t>testValueOf</t>
  </si>
  <si>
    <t>testValues</t>
  </si>
  <si>
    <t>SensorTestTimeOutException</t>
  </si>
  <si>
    <t>waitForSensorEvent</t>
  </si>
  <si>
    <t>addSyncCount</t>
  </si>
  <si>
    <t>testSensorManagerOldAPIs</t>
  </si>
  <si>
    <t>testSensorManager</t>
  </si>
  <si>
    <t>assertSensorEvents</t>
  </si>
  <si>
    <t>onStartActionMode</t>
  </si>
  <si>
    <t>popDialog</t>
  </si>
  <si>
    <t>testDialog</t>
  </si>
  <si>
    <t>testSetCancelable</t>
  </si>
  <si>
    <t>testCancel</t>
  </si>
  <si>
    <t>testSetOnDismissListener</t>
  </si>
  <si>
    <t>testInputStream</t>
  </si>
  <si>
    <t>initAssetFileDescriptor</t>
  </si>
  <si>
    <t>testSecureSettings</t>
  </si>
  <si>
    <t>SurfaceTest</t>
  </si>
  <si>
    <t>testSurface</t>
  </si>
  <si>
    <t>testLoadingThreadDelayRegisterData</t>
  </si>
  <si>
    <t>testLoadingThread</t>
  </si>
  <si>
    <t>testAccessOfFiles</t>
  </si>
  <si>
    <t>sendRepeatedKeys</t>
  </si>
  <si>
    <t>waitForListenerTimeout</t>
  </si>
  <si>
    <t>testPressKey1</t>
  </si>
  <si>
    <t>testPressKey2</t>
  </si>
  <si>
    <t>testPressKey3</t>
  </si>
  <si>
    <t>testPressKey4</t>
  </si>
  <si>
    <t>testPressKey5</t>
  </si>
  <si>
    <t>testPressKey6</t>
  </si>
  <si>
    <t>testCacheDisabled</t>
  </si>
  <si>
    <t>testAddJavascriptInterfaceNull</t>
  </si>
  <si>
    <t>DatePickerDialogTest</t>
  </si>
  <si>
    <t>testDatePickerDialogWithTheme</t>
  </si>
  <si>
    <t>testDatePickerDialog</t>
  </si>
  <si>
    <t>doTestDatePickerDialog</t>
  </si>
  <si>
    <t>testGetLineMax</t>
  </si>
  <si>
    <t>testGetLineWidth</t>
  </si>
  <si>
    <t>testNoListeningPorts</t>
  </si>
  <si>
    <t>inflatePopup</t>
  </si>
  <si>
    <t>testSystemAlertWindow</t>
  </si>
  <si>
    <t>testCompareCommon</t>
  </si>
  <si>
    <t>testCompareLoosely</t>
  </si>
  <si>
    <t>testCompareStrictly</t>
  </si>
  <si>
    <t>testOnReceivedIcon</t>
  </si>
  <si>
    <t>testScroll</t>
  </si>
  <si>
    <t>testTrafficStatsWithHostLookup</t>
  </si>
  <si>
    <t>getTests</t>
  </si>
  <si>
    <t>testClone</t>
  </si>
  <si>
    <t>getDevice</t>
  </si>
  <si>
    <t>setDevice</t>
  </si>
  <si>
    <t>setTestPlanDir</t>
  </si>
  <si>
    <t>setTestCaseDir</t>
  </si>
  <si>
    <t>setPlanName</t>
  </si>
  <si>
    <t>collectDeviceInfo</t>
  </si>
  <si>
    <t>createTestCaseRepo</t>
  </si>
  <si>
    <t>createXmlParser</t>
  </si>
  <si>
    <t>createXmlStream</t>
  </si>
  <si>
    <t>testRun</t>
  </si>
  <si>
    <t>replayMocks</t>
  </si>
  <si>
    <t>verifyMocks</t>
  </si>
  <si>
    <t>testSetOnScrollListener</t>
  </si>
  <si>
    <t>testOnKeyDownWithNullParameters</t>
  </si>
  <si>
    <t>doCreateTest</t>
  </si>
  <si>
    <t>testRun__plan</t>
  </si>
  <si>
    <t>testRun__package</t>
  </si>
  <si>
    <t>testDraw1</t>
  </si>
  <si>
    <t>testDraw2</t>
  </si>
  <si>
    <t>testGetPrimaryHorizontal</t>
  </si>
  <si>
    <t>testGetSecondaryHorizontal</t>
  </si>
  <si>
    <t>testGetLineLeft</t>
  </si>
  <si>
    <t>testGetLineRight</t>
  </si>
  <si>
    <t>testGetOffsetForHorizontal</t>
  </si>
  <si>
    <t>testGetOffsetToLeftOf</t>
  </si>
  <si>
    <t>testGetOffsetToRightOf</t>
  </si>
  <si>
    <t>testGetCursorPath</t>
  </si>
  <si>
    <t>testGetSelectionPath</t>
  </si>
  <si>
    <t>IdleHandler</t>
  </si>
  <si>
    <t>doTest</t>
  </si>
  <si>
    <t>LooperThread</t>
  </si>
  <si>
    <t>onLooperPrepared</t>
  </si>
  <si>
    <t>quit</t>
  </si>
  <si>
    <t>testAccessInterpolatorContext</t>
  </si>
  <si>
    <t>testSetTimeZone</t>
  </si>
  <si>
    <t>ServiceConnection</t>
  </si>
  <si>
    <t>testLocalStartClassPermissionGranted</t>
  </si>
  <si>
    <t>testLocalStartActionPermissionGranted</t>
  </si>
  <si>
    <t>testLocalBindClassPermissionGranted</t>
  </si>
  <si>
    <t>testLocalBindActionPermissionGranted</t>
  </si>
  <si>
    <t>testLocalStartClassPermissionDenied</t>
  </si>
  <si>
    <t>testLocalStartActionPermissionDenied</t>
  </si>
  <si>
    <t>testLocalBindClassPermissionDenied</t>
  </si>
  <si>
    <t>testLocalBindActionPermissionDenied</t>
  </si>
  <si>
    <t>testCallActivityOnDestroy</t>
  </si>
  <si>
    <t>testRecomputeViewAttributes</t>
  </si>
  <si>
    <t>testOpPanel</t>
  </si>
  <si>
    <t>testTogglePanelClose</t>
  </si>
  <si>
    <t>testTogglePanelOpen</t>
  </si>
  <si>
    <t>testIsShortcutKey</t>
  </si>
  <si>
    <t>testOptionMenu</t>
  </si>
  <si>
    <t>dialogOpenOptionMenu</t>
  </si>
  <si>
    <t>testCreateFromPdu</t>
  </si>
  <si>
    <t>testCPHSVoiceMail</t>
  </si>
  <si>
    <t>testGetUserData</t>
  </si>
  <si>
    <t>testGetSubmitPdu</t>
  </si>
  <si>
    <t>testEmailGateway</t>
  </si>
  <si>
    <t>toHexString</t>
  </si>
  <si>
    <t>toByte</t>
  </si>
  <si>
    <t>hexStringToByteArray</t>
  </si>
  <si>
    <t>Density</t>
  </si>
  <si>
    <t>findDensity</t>
  </si>
  <si>
    <t>ActiveScreenConfiguration</t>
  </si>
  <si>
    <t>getDensity</t>
  </si>
  <si>
    <t>getWidth</t>
  </si>
  <si>
    <t>getHeight</t>
  </si>
  <si>
    <t>ScreenConfiguration</t>
  </si>
  <si>
    <t>getScreenLayout</t>
  </si>
  <si>
    <t>isWide</t>
  </si>
  <si>
    <t>areConfigsEqual</t>
  </si>
  <si>
    <t>getCurrentScreenConfig</t>
  </si>
  <si>
    <t>testScreenLayoutSize</t>
  </si>
  <si>
    <t>testActionCall</t>
  </si>
  <si>
    <t>testCallVoicemail</t>
  </si>
  <si>
    <t>testCall911</t>
  </si>
  <si>
    <t>testMuteSolo</t>
  </si>
  <si>
    <t>reportRunStarted</t>
  </si>
  <si>
    <t>reportRunEnded</t>
  </si>
  <si>
    <t>getTestsToRun</t>
  </si>
  <si>
    <t>testSetUp_missingConfig</t>
  </si>
  <si>
    <t>testBreakText1</t>
  </si>
  <si>
    <t>ListActivityTest</t>
  </si>
  <si>
    <t>testListActivity</t>
  </si>
  <si>
    <t>testGetTextWidths1</t>
  </si>
  <si>
    <t>testGetTextWidths2</t>
  </si>
  <si>
    <t>testGetTextWidths3</t>
  </si>
  <si>
    <t>testGetTextWidths4</t>
  </si>
  <si>
    <t>testAccessTheme</t>
  </si>
  <si>
    <t>getTime</t>
  </si>
  <si>
    <t>getEventsSince</t>
  </si>
  <si>
    <t>assertImeiDeviceId</t>
  </si>
  <si>
    <t>assertImeiFormat</t>
  </si>
  <si>
    <t>assertReportingBodyIdentifier</t>
  </si>
  <si>
    <t>testRadialGradient</t>
  </si>
  <si>
    <t>testRadialGradientWithColor</t>
  </si>
  <si>
    <t>checkPixels</t>
  </si>
  <si>
    <t>dist</t>
  </si>
  <si>
    <t>testCreateFont</t>
  </si>
  <si>
    <t>testBreakText_charArray</t>
  </si>
  <si>
    <t>testBreakText2</t>
  </si>
  <si>
    <t>testBreakText3</t>
  </si>
  <si>
    <t>clear</t>
  </si>
  <si>
    <t>testOn</t>
  </si>
  <si>
    <t>testDispatchKeyEvent</t>
  </si>
  <si>
    <t>setCorrectionSpan</t>
  </si>
  <si>
    <t>testRedirect</t>
  </si>
  <si>
    <t>WebIconDatabaseTest</t>
  </si>
  <si>
    <t>testOpen</t>
  </si>
  <si>
    <t>testGetInstance</t>
  </si>
  <si>
    <t>testRetainIconForPageUrl</t>
  </si>
  <si>
    <t>testRemoveAllIcons</t>
  </si>
  <si>
    <t>onReceivedIcon</t>
  </si>
  <si>
    <t>waitForIcon</t>
  </si>
  <si>
    <t>hasReceivedStatus</t>
  </si>
  <si>
    <t>getIcon</t>
  </si>
  <si>
    <t>getUrl</t>
  </si>
  <si>
    <t>clearDatabasePath</t>
  </si>
  <si>
    <t>assertLoadUrlSuccessfully</t>
  </si>
  <si>
    <t>testClearFormData</t>
  </si>
  <si>
    <t>testPauseTimers</t>
  </si>
  <si>
    <t>testSetCallbackDuringFling</t>
  </si>
  <si>
    <t>getSelectedViewCenter</t>
  </si>
  <si>
    <t>testColumnShrinkableEffect</t>
  </si>
  <si>
    <t>testPlayVideo2</t>
  </si>
  <si>
    <t>testGetTextBounds1</t>
  </si>
  <si>
    <t>testGetTextBounds2</t>
  </si>
  <si>
    <t>testMeasureText2</t>
  </si>
  <si>
    <t>testMeasureText3</t>
  </si>
  <si>
    <t>testMeasureText4</t>
  </si>
  <si>
    <t>testMeasureText1</t>
  </si>
  <si>
    <t>testOnKeyDown</t>
  </si>
  <si>
    <t>testOnTrackballEvent</t>
  </si>
  <si>
    <t>Test</t>
  </si>
  <si>
    <t>bla</t>
  </si>
  <si>
    <t>fooaaa</t>
  </si>
  <si>
    <t>priv</t>
  </si>
  <si>
    <t>prot</t>
  </si>
  <si>
    <t>packloc</t>
  </si>
  <si>
    <t>testInputfoo</t>
  </si>
  <si>
    <t>compare</t>
  </si>
  <si>
    <t>equals</t>
  </si>
  <si>
    <t>TestCoverageDoclet</t>
  </si>
  <si>
    <t>openFile</t>
  </si>
  <si>
    <t>closeFile</t>
  </si>
  <si>
    <t>TablePrinter</t>
  </si>
  <si>
    <t>printRow</t>
  </si>
  <si>
    <t>printPlain</t>
  </si>
  <si>
    <t>printTableStart</t>
  </si>
  <si>
    <t>printTableEnd</t>
  </si>
  <si>
    <t>printPlainLn</t>
  </si>
  <si>
    <t>process</t>
  </si>
  <si>
    <t>implementingMethods</t>
  </si>
  <si>
    <t>implementedMethod0</t>
  </si>
  <si>
    <t>processTestPackage</t>
  </si>
  <si>
    <t>processPackage</t>
  </si>
  <si>
    <t>hasHideFlag</t>
  </si>
  <si>
    <t>processTestClass</t>
  </si>
  <si>
    <t>linkTargets</t>
  </si>
  <si>
    <t>isGreen</t>
  </si>
  <si>
    <t>processClass</t>
  </si>
  <si>
    <t>getTargetClass</t>
  </si>
  <si>
    <t>collectAllTestMethods</t>
  </si>
  <si>
    <t>getJunitTestMethods</t>
  </si>
  <si>
    <t>getLink</t>
  </si>
  <si>
    <t>ColorStat</t>
  </si>
  <si>
    <t>add</t>
  </si>
  <si>
    <t>incDisabledTestsCnt</t>
  </si>
  <si>
    <t>incBrokenTestCnt</t>
  </si>
  <si>
    <t>incToBeFixedCnt</t>
  </si>
  <si>
    <t>incKnownFailureCnt</t>
  </si>
  <si>
    <t>incColor</t>
  </si>
  <si>
    <t>getColorCnt</t>
  </si>
  <si>
    <t>addMethodInfo</t>
  </si>
  <si>
    <t>setExtra</t>
  </si>
  <si>
    <t>getExtra</t>
  </si>
  <si>
    <t>getDisabledTestsCnt</t>
  </si>
  <si>
    <t>getBrokenTestCnt</t>
  </si>
  <si>
    <t>getToBeFixedCnt</t>
  </si>
  <si>
    <t>getKnownFailureCnt</t>
  </si>
  <si>
    <t>getAnnotationPointer</t>
  </si>
  <si>
    <t>addToClassTargets</t>
  </si>
  <si>
    <t>getTargetsFor</t>
  </si>
  <si>
    <t>extendsJUnitTestCase</t>
  </si>
  <si>
    <t>processElement</t>
  </si>
  <si>
    <t>getMethodString</t>
  </si>
  <si>
    <t>getClassString</t>
  </si>
  <si>
    <t>printTestStats</t>
  </si>
  <si>
    <t>printStats</t>
  </si>
  <si>
    <t>getDots</t>
  </si>
  <si>
    <t>getPackageBaseLink</t>
  </si>
  <si>
    <t>getPackageDir</t>
  </si>
  <si>
    <t>optionLength</t>
  </si>
  <si>
    <t>getOption</t>
  </si>
  <si>
    <t>languageVersion</t>
  </si>
  <si>
    <t>start</t>
  </si>
  <si>
    <t>TestMethodInformation</t>
  </si>
  <si>
    <t>handleTestTargetNew</t>
  </si>
  <si>
    <t>getError</t>
  </si>
  <si>
    <t>getTargets</t>
  </si>
  <si>
    <t>getColor</t>
  </si>
  <si>
    <t>TestTargetNew</t>
  </si>
  <si>
    <t>findMethodSignatureIn</t>
  </si>
  <si>
    <t>findTargetMethodInSelfAndSupers</t>
  </si>
  <si>
    <t>parseTargetClassAndMethodSignature</t>
  </si>
  <si>
    <t>equalsSignature</t>
  </si>
  <si>
    <t>getLevel</t>
  </si>
  <si>
    <t>isHavingProblems</t>
  </si>
  <si>
    <t>getOriginator</t>
  </si>
  <si>
    <t>cloneMe</t>
  </si>
  <si>
    <t>getTargetMethod</t>
  </si>
  <si>
    <t>getNotes</t>
  </si>
  <si>
    <t>MyStats</t>
  </si>
  <si>
    <t>getCountFor</t>
  </si>
  <si>
    <t>getStat</t>
  </si>
  <si>
    <t>inc</t>
  </si>
  <si>
    <t>incMethodCnt</t>
  </si>
  <si>
    <t>AnnotationPointer</t>
  </si>
  <si>
    <t>processTestMethod</t>
  </si>
  <si>
    <t>isHiddenClass</t>
  </si>
  <si>
    <t>isHiddenDoc</t>
  </si>
  <si>
    <t>isGeneratedConstructor</t>
  </si>
  <si>
    <t>GestureDetector_SimpleOnGestureListenerTest</t>
  </si>
  <si>
    <t>testSimpleOnGestureListener</t>
  </si>
  <si>
    <t>addInstallApp</t>
  </si>
  <si>
    <t>setJarFile</t>
  </si>
  <si>
    <t>setTestAppPath</t>
  </si>
  <si>
    <t>testGetTextThrowsIfElementIsStale</t>
  </si>
  <si>
    <t>requestSendAccessibilityEvent</t>
  </si>
  <si>
    <t>onInit</t>
  </si>
  <si>
    <t>waitForInit</t>
  </si>
  <si>
    <t>UtteranceWaitListener</t>
  </si>
  <si>
    <t>onUtteranceCompleted</t>
  </si>
  <si>
    <t>waitForComplete</t>
  </si>
  <si>
    <t>isMusicFile</t>
  </si>
  <si>
    <t>deleteFile</t>
  </si>
  <si>
    <t>CtsVerifierActivityTest</t>
  </si>
  <si>
    <t>testPreconditions</t>
  </si>
  <si>
    <t>testWelcome</t>
  </si>
  <si>
    <t>testContinueButton</t>
  </si>
  <si>
    <t>TestListActivityTest</t>
  </si>
  <si>
    <t>testListAdapter</t>
  </si>
  <si>
    <t>testLaunchAndFinishTestActivity</t>
  </si>
  <si>
    <t>clearAllTestResults</t>
  </si>
  <si>
    <t>launchTestActivity</t>
  </si>
  <si>
    <t>finishTestActivity</t>
  </si>
  <si>
    <t>TestResultsProviderTest</t>
  </si>
  <si>
    <t>testInsertUpdateDeleteByTestName</t>
  </si>
  <si>
    <t>testAllFeatures</t>
  </si>
  <si>
    <t>getFeatureConstants</t>
  </si>
  <si>
    <t>hasChangedTitle</t>
  </si>
  <si>
    <t>onLoad</t>
  </si>
  <si>
    <t>testClearView</t>
  </si>
  <si>
    <t>testFocusAreasByCamera</t>
  </si>
  <si>
    <t>runTestCaseInBatchMode</t>
  </si>
  <si>
    <t>onScaleChangedCalled</t>
  </si>
  <si>
    <t>onScaleChanged</t>
  </si>
  <si>
    <t>onReceivedSslError</t>
  </si>
  <si>
    <t>onProgressChangedCalled</t>
  </si>
  <si>
    <t>onProgressChanged</t>
  </si>
  <si>
    <t>onNewPicture</t>
  </si>
  <si>
    <t>onDownloadStart</t>
  </si>
  <si>
    <t>DocumentHasImageCheckHandler</t>
  </si>
  <si>
    <t>hasCalledHandleMessage</t>
  </si>
  <si>
    <t>getMsgArg1</t>
  </si>
  <si>
    <t>handleMessage</t>
  </si>
  <si>
    <t>pageDownOnUiThread</t>
  </si>
  <si>
    <t>PageDownRunner</t>
  </si>
  <si>
    <t>pageUpOnUiThread</t>
  </si>
  <si>
    <t>PageUpRunner</t>
  </si>
  <si>
    <t>testGetDisplayMetrics</t>
  </si>
  <si>
    <t>findNextOnUiThread</t>
  </si>
  <si>
    <t>delayedCheckStopScrolling</t>
  </si>
  <si>
    <t>getTestArguments</t>
  </si>
  <si>
    <t>removeAllDownloads</t>
  </si>
  <si>
    <t>testMarshalling</t>
  </si>
  <si>
    <t>testAllConfigs</t>
  </si>
  <si>
    <t>testAlign</t>
  </si>
  <si>
    <t>testPlayStream</t>
  </si>
  <si>
    <t>testUnknownSourcesOffByDefault</t>
  </si>
  <si>
    <t>testHorizontalDirection</t>
  </si>
  <si>
    <t>isLayoutRtl</t>
  </si>
  <si>
    <t>testIsLayoutRtlSelf</t>
  </si>
  <si>
    <t>testCopyOperations</t>
  </si>
  <si>
    <t>getListAdapter</t>
  </si>
  <si>
    <t>TestResultContentObserver</t>
  </si>
  <si>
    <t>onChange</t>
  </si>
  <si>
    <t>updateTestResults</t>
  </si>
  <si>
    <t>refreshTestResults</t>
  </si>
  <si>
    <t>testZoom</t>
  </si>
  <si>
    <t>obtainDescriptor</t>
  </si>
  <si>
    <t>hasActivityActionBar</t>
  </si>
  <si>
    <t>getVersionName</t>
  </si>
  <si>
    <t>WebView_HitTestResultTest</t>
  </si>
  <si>
    <t>waitForLoading</t>
  </si>
  <si>
    <t>testHitTestResult</t>
  </si>
  <si>
    <t>testSynthesizeToFileStreaming</t>
  </si>
  <si>
    <t>testSynthesizeToFileComplete</t>
  </si>
  <si>
    <t>testSpeakStreaming</t>
  </si>
  <si>
    <t>testSpeakComplete</t>
  </si>
  <si>
    <t>OnVideoSizeChangedListener</t>
  </si>
  <si>
    <t>testUsbFeatures</t>
  </si>
  <si>
    <t>testTileMode</t>
  </si>
  <si>
    <t>testHoloTheme</t>
  </si>
  <si>
    <t>testHoloLightTheme</t>
  </si>
  <si>
    <t>testSignature</t>
  </si>
  <si>
    <t>handleShareItemSelected</t>
  </si>
  <si>
    <t>getType</t>
  </si>
  <si>
    <t>getSubject</t>
  </si>
  <si>
    <t>getBody</t>
  </si>
  <si>
    <t>signal</t>
  </si>
  <si>
    <t>waitForSignal</t>
  </si>
  <si>
    <t>WebDriverTest</t>
  </si>
  <si>
    <t>testGetIsBlocking</t>
  </si>
  <si>
    <t>testNavigateBack</t>
  </si>
  <si>
    <t>testNavigateForward</t>
  </si>
  <si>
    <t>testRefresh</t>
  </si>
  <si>
    <t>testGetTextReturnsEmptyString</t>
  </si>
  <si>
    <t>testGetValidAttribute</t>
  </si>
  <si>
    <t>testGetInvalidAttributeReturnsNull</t>
  </si>
  <si>
    <t>testGetAttributeNotSetReturnsNull</t>
  </si>
  <si>
    <t>testTagName</t>
  </si>
  <si>
    <t>testIsEnabled</t>
  </si>
  <si>
    <t>testIsSelected</t>
  </si>
  <si>
    <t>testIsSelectedOnHiddenInputThrows</t>
  </si>
  <si>
    <t>testIsSelectedOnNonSelectableElementThrows</t>
  </si>
  <si>
    <t>testToggleCheckbox</t>
  </si>
  <si>
    <t>testToggleOnNonTogglableElements</t>
  </si>
  <si>
    <t>testGetCssValue</t>
  </si>
  <si>
    <t>testGetCssValueReturnsNullWhenPropertyNotFound</t>
  </si>
  <si>
    <t>testGetSize</t>
  </si>
  <si>
    <t>testGetLocation</t>
  </si>
  <si>
    <t>testIsDisplayed</t>
  </si>
  <si>
    <t>testClickOnWebElement</t>
  </si>
  <si>
    <t>testSendKeys</t>
  </si>
  <si>
    <t>testSubmit</t>
  </si>
  <si>
    <t>testFindElementThrowsIfNoPageIsLoaded</t>
  </si>
  <si>
    <t>testFindElementsThrowsIfNoPageIsLoaded</t>
  </si>
  <si>
    <t>testFindElementById</t>
  </si>
  <si>
    <t>testFindElementByIdThrowsIfElementDoesNotExists</t>
  </si>
  <si>
    <t>testFindNestedElementById</t>
  </si>
  <si>
    <t>testFindElementsById</t>
  </si>
  <si>
    <t>testFindElementsByIdReturnsEmptyListIfNoResultsFound</t>
  </si>
  <si>
    <t>testFindNestedElementsById</t>
  </si>
  <si>
    <t>testFindElementByLinkText</t>
  </si>
  <si>
    <t>testFindElementByLinkTextThrowsIfElementDoesNotExists</t>
  </si>
  <si>
    <t>testFindNestedElementByLinkText</t>
  </si>
  <si>
    <t>testFindElementsByLinkText</t>
  </si>
  <si>
    <t>testFindElementsByLinkTextReturnsEmptyListIfNoResultsFound</t>
  </si>
  <si>
    <t>testFindNestedElementsByLinkText</t>
  </si>
  <si>
    <t>testFindElementByPartialLinkText</t>
  </si>
  <si>
    <t>testFindElementByPartialLinkTextThrowsIfElementDoesNotExists</t>
  </si>
  <si>
    <t>testFindNestedElementByPartialLinkText</t>
  </si>
  <si>
    <t>testFindElementsByPartialLinkText</t>
  </si>
  <si>
    <t>testFindElementsByPartialLinkTextReturnsEmptyListIfNoResultsFound</t>
  </si>
  <si>
    <t>testFindNestedElementsByPartialLinkText</t>
  </si>
  <si>
    <t>testFindElementByName</t>
  </si>
  <si>
    <t>testFindElementByNameThrowsIfElementDoesNotExists</t>
  </si>
  <si>
    <t>testFindNestedElementByName</t>
  </si>
  <si>
    <t>testFindElementsByName</t>
  </si>
  <si>
    <t>testFindElementsByNameReturnsEmptyListIfNoResultsFound</t>
  </si>
  <si>
    <t>testFindNestedElementsByName</t>
  </si>
  <si>
    <t>testFindElementByTagName</t>
  </si>
  <si>
    <t>testFindElementByTagNameThrowsIfElementDoesNotExists</t>
  </si>
  <si>
    <t>testFindNestedElementByTagName</t>
  </si>
  <si>
    <t>testFindElementsByTagName</t>
  </si>
  <si>
    <t>testFindElementsByTagNameReturnsEmptyListIfNoResultsFound</t>
  </si>
  <si>
    <t>testFindNestedElementsByTagName</t>
  </si>
  <si>
    <t>testFindElementByXPath</t>
  </si>
  <si>
    <t>testFindElementByXPathThrowsIfElementDoesNotExists</t>
  </si>
  <si>
    <t>testFindNestedElementByXPath</t>
  </si>
  <si>
    <t>testFindElementsByXPath</t>
  </si>
  <si>
    <t>testFindElementsByXPathReturnsEmptyListIfNoResultsFound</t>
  </si>
  <si>
    <t>testFindNestedElementsByXPath</t>
  </si>
  <si>
    <t>testFindElementByXpathWithInvalidXPath</t>
  </si>
  <si>
    <t>testFindElementByClassName</t>
  </si>
  <si>
    <t>testFindElementByClassNameThrowsIfElementDoesNotExists</t>
  </si>
  <si>
    <t>testFindNestedElementByClassName</t>
  </si>
  <si>
    <t>testFindElementsByClassName</t>
  </si>
  <si>
    <t>testFindElementsByClassNameReturnsEmptyListIfNoResultsFound</t>
  </si>
  <si>
    <t>testFindNestedElementsByClassName</t>
  </si>
  <si>
    <t>testFindElementByCss</t>
  </si>
  <si>
    <t>testFindElementByCssThrowsIfElementDoesNotExists</t>
  </si>
  <si>
    <t>testFindNestedElementByCss</t>
  </si>
  <si>
    <t>testFindElementsByCss</t>
  </si>
  <si>
    <t>testFindElementsByCssReturnsEmptyListIfNoResultsFound</t>
  </si>
  <si>
    <t>testFindNestedElementsByCss</t>
  </si>
  <si>
    <t>testExecuteScriptShouldReturnAString</t>
  </si>
  <si>
    <t>testExecuteScriptShouldReturnAWebElement</t>
  </si>
  <si>
    <t>testExecuteScriptShouldPassAndReturnADouble</t>
  </si>
  <si>
    <t>testExecuteScriptShouldPassAndReturnALong</t>
  </si>
  <si>
    <t>testExecuteScriptShouldPassReturnABoolean</t>
  </si>
  <si>
    <t>testExecuteScriptShouldReturnAList</t>
  </si>
  <si>
    <t>testExecuteScriptShouldReturnNestedList</t>
  </si>
  <si>
    <t>testExecuteScriptShouldBeAbleToReturnALisOfwebElements</t>
  </si>
  <si>
    <t>testExecuteScriptShouldReturnAMap</t>
  </si>
  <si>
    <t>testExecuteScriptShouldThrowIfJsIsBad</t>
  </si>
  <si>
    <t>testExecuteScriptShouldbeAbleToPassAString</t>
  </si>
  <si>
    <t>testExecuteScriptShouldBeAbleToPassWebElement</t>
  </si>
  <si>
    <t>testExecuteScriptShouldBeAbleToPassAList</t>
  </si>
  <si>
    <t>testExecuteScriptShouldBeAbleToPassNestedLists</t>
  </si>
  <si>
    <t>testExecuteScriptShouldBeAbleToPassAMap</t>
  </si>
  <si>
    <t>testExecuteScriptShouldBeAbleToPassNestedMaps</t>
  </si>
  <si>
    <t>testExecuteScriptShouldThrowIfArgumentIsNotValid</t>
  </si>
  <si>
    <t>testExecuteScriptHandlesStringCorrectly</t>
  </si>
  <si>
    <t>testExecuteScriptShouldThrowIfNoPageLoaded</t>
  </si>
  <si>
    <t>testExecuteScriptShouldBeAbleToCreatePersistentValue</t>
  </si>
  <si>
    <t>testExecuteScriptEscapesQuotesAndBackslash</t>
  </si>
  <si>
    <t>testExecuteScriptReturnsNull</t>
  </si>
  <si>
    <t>testExecuteScriptShouldThrowIfNoPageIsLoaded</t>
  </si>
  <si>
    <t>MediaPlayerStreamingTest</t>
  </si>
  <si>
    <t>MediaPlayerTest</t>
  </si>
  <si>
    <t>testStreamNullSource</t>
  </si>
  <si>
    <t>initializeMessageLooper</t>
  </si>
  <si>
    <t>terminateMessageLooper</t>
  </si>
  <si>
    <t>testPlayMp3Stream1</t>
  </si>
  <si>
    <t>testPlayMp3Stream2</t>
  </si>
  <si>
    <t>testPlayMp3StreamRedirect</t>
  </si>
  <si>
    <t>testPlayMp3StreamNoLength</t>
  </si>
  <si>
    <t>testPlayOggStream</t>
  </si>
  <si>
    <t>testPlayOggStreamRedirect</t>
  </si>
  <si>
    <t>testPlayOggStreamNoLength</t>
  </si>
  <si>
    <t>streamTest</t>
  </si>
  <si>
    <t>onListItemClick</t>
  </si>
  <si>
    <t>getIntent</t>
  </si>
  <si>
    <t>onActivityResult</t>
  </si>
  <si>
    <t>handleLaunchTestResult</t>
  </si>
  <si>
    <t>addTestListItem</t>
  </si>
  <si>
    <t>getRows</t>
  </si>
  <si>
    <t>getResolveInfosForParent</t>
  </si>
  <si>
    <t>getTestParent</t>
  </si>
  <si>
    <t>addTestToCategory</t>
  </si>
  <si>
    <t>notifyResult</t>
  </si>
  <si>
    <t>waitForResult</t>
  </si>
  <si>
    <t>setResult</t>
  </si>
  <si>
    <t>getTestResults</t>
  </si>
  <si>
    <t>handleCopyItemSelected</t>
  </si>
  <si>
    <t>testSslErrorHandler</t>
  </si>
  <si>
    <t>testAccessCertificate</t>
  </si>
  <si>
    <t>KnownTests</t>
  </si>
  <si>
    <t>getTestForPackage</t>
  </si>
  <si>
    <t>getKnownTests</t>
  </si>
  <si>
    <t>getPackageDef</t>
  </si>
  <si>
    <t>hasCalledOnWindowFocusChanged</t>
  </si>
  <si>
    <t>hasCalledOnCreateContextMenu</t>
  </si>
  <si>
    <t>hasCalledDrawableStateChanged</t>
  </si>
  <si>
    <t>hasCalledOnFocusChanged</t>
  </si>
  <si>
    <t>hasCalledOnMeasure</t>
  </si>
  <si>
    <t>hasCalledOnTextChanged</t>
  </si>
  <si>
    <t>hasCalledOnPrivateIMECommand</t>
  </si>
  <si>
    <t>hasCalledOnKeyMultiple</t>
  </si>
  <si>
    <t>MockTextView</t>
  </si>
  <si>
    <t>computeHorizontalScrollRange</t>
  </si>
  <si>
    <t>computeVerticalScrollRange</t>
  </si>
  <si>
    <t>getDefaultEditable</t>
  </si>
  <si>
    <t>getDefaultMovementMethod</t>
  </si>
  <si>
    <t>onCreateContextMenu</t>
  </si>
  <si>
    <t>onFocusChanged</t>
  </si>
  <si>
    <t>onKeyMultiple</t>
  </si>
  <si>
    <t>onTextChanged</t>
  </si>
  <si>
    <t>setFrame</t>
  </si>
  <si>
    <t>onWindowFocusChanged</t>
  </si>
  <si>
    <t>getLeftFadingEdgeStrength</t>
  </si>
  <si>
    <t>getRightFadingEdgeStrength</t>
  </si>
  <si>
    <t>onPrivateIMECommand</t>
  </si>
  <si>
    <t>getFrameLeft</t>
  </si>
  <si>
    <t>getFrameTop</t>
  </si>
  <si>
    <t>getFrameRight</t>
  </si>
  <si>
    <t>getFrameBottom</t>
  </si>
  <si>
    <t>getBottomPaddingOffset</t>
  </si>
  <si>
    <t>getLeftPaddingOffset</t>
  </si>
  <si>
    <t>getRightPaddingOffset</t>
  </si>
  <si>
    <t>getTopPaddingOffset</t>
  </si>
  <si>
    <t>isPaddingOffsetRequired</t>
  </si>
  <si>
    <t>computeVerticalScrollExtent</t>
  </si>
  <si>
    <t>testN4</t>
  </si>
  <si>
    <t>testN5</t>
  </si>
  <si>
    <t>testN7</t>
  </si>
  <si>
    <t>testN3</t>
  </si>
  <si>
    <t>testN8</t>
  </si>
  <si>
    <t>testN6</t>
  </si>
  <si>
    <t>testN2</t>
  </si>
  <si>
    <t>testB3</t>
  </si>
  <si>
    <t>testB4</t>
  </si>
  <si>
    <t>testLoadingThreadClose</t>
  </si>
  <si>
    <t>testLoadingThreadDeactivate</t>
  </si>
  <si>
    <t>getTestPackageUrisToRun</t>
  </si>
  <si>
    <t>testViewMessageInbox</t>
  </si>
  <si>
    <t>testDeactivateInternal</t>
  </si>
  <si>
    <t>buildIntent</t>
  </si>
  <si>
    <t>launchActivity</t>
  </si>
  <si>
    <t>launchActivityUnderTest</t>
  </si>
  <si>
    <t>testMultipleApps</t>
  </si>
  <si>
    <t>getSelfAttendeeStatusFromDB</t>
  </si>
  <si>
    <t>parseExcludedTests</t>
  </si>
  <si>
    <t>PlanXmlParser</t>
  </si>
  <si>
    <t>getTestUris</t>
  </si>
  <si>
    <t>getExcludedTestFilter</t>
  </si>
  <si>
    <t>testParse</t>
  </si>
  <si>
    <t>testParse_exclude</t>
  </si>
  <si>
    <t>testParse_multiExclude</t>
  </si>
  <si>
    <t>testParse_classExclude</t>
  </si>
  <si>
    <t>serializeTestResult</t>
  </si>
  <si>
    <t>convertStatus</t>
  </si>
  <si>
    <t>sanitizeStackTrace</t>
  </si>
  <si>
    <t>getFailureMessageFromStackTrace</t>
  </si>
  <si>
    <t>TestSuiteRoot</t>
  </si>
  <si>
    <t>insertTest</t>
  </si>
  <si>
    <t>TestCaseRepo</t>
  </si>
  <si>
    <t>parse</t>
  </si>
  <si>
    <t>parseTestFromXml</t>
  </si>
  <si>
    <t>createStreamFromFile</t>
  </si>
  <si>
    <t>accept</t>
  </si>
  <si>
    <t>getTestPackage</t>
  </si>
  <si>
    <t>findPackageForTest</t>
  </si>
  <si>
    <t>getPackageNames</t>
  </si>
  <si>
    <t>parseSummary</t>
  </si>
  <si>
    <t>parseIntAttr</t>
  </si>
  <si>
    <t>parseResult</t>
  </si>
  <si>
    <t>getResults</t>
  </si>
  <si>
    <t>assertMockServiceVerifiedWithinTimeout</t>
  </si>
  <si>
    <t>ensureSetupAndBoundToDelegatingAccessibilityService</t>
  </si>
  <si>
    <t>onServiceConnected</t>
  </si>
  <si>
    <t>onServiceDisconnected</t>
  </si>
  <si>
    <t>AccessibilityServiceDelegate</t>
  </si>
  <si>
    <t>onAccessibilityEvent</t>
  </si>
  <si>
    <t>onInterrupt</t>
  </si>
  <si>
    <t>testSetUp_wrongBuildInfo</t>
  </si>
  <si>
    <t>testSetUp</t>
  </si>
  <si>
    <t>setCollectDeviceInfo</t>
  </si>
  <si>
    <t>adjustStreamVolumeAndRingerMode</t>
  </si>
  <si>
    <t>getDeviceInfoMetrics</t>
  </si>
  <si>
    <t>addPackageResult</t>
  </si>
  <si>
    <t>delayedCheckDrawable</t>
  </si>
  <si>
    <t>delayedCheckWebBackForwardList</t>
  </si>
  <si>
    <t>delayedCheckSmoothScrolling</t>
  </si>
  <si>
    <t>delayedCheckFling</t>
  </si>
  <si>
    <t>testNoListeningTcpPorts</t>
  </si>
  <si>
    <t>testNoListeningTcp6Ports</t>
  </si>
  <si>
    <t>testNoListeningUdpPorts</t>
  </si>
  <si>
    <t>testNoListeningUdp6Ports</t>
  </si>
  <si>
    <t>assertNoListeningUdpPorts</t>
  </si>
  <si>
    <t>assertNoListeningPorts</t>
  </si>
  <si>
    <t>isAddress</t>
  </si>
  <si>
    <t>isException</t>
  </si>
  <si>
    <t>isPatternMatch</t>
  </si>
  <si>
    <t>isPortListening</t>
  </si>
  <si>
    <t>ListeningPortsAssertionError</t>
  </si>
  <si>
    <t>HostSideOnlyTest</t>
  </si>
  <si>
    <t>HostSideTestRunner</t>
  </si>
  <si>
    <t>runImpl</t>
  </si>
  <si>
    <t>isKnownFailure</t>
  </si>
  <si>
    <t>getKnownFailure</t>
  </si>
  <si>
    <t>setTestController</t>
  </si>
  <si>
    <t>getTestController</t>
  </si>
  <si>
    <t>getInstrumentationRunner</t>
  </si>
  <si>
    <t>getTestCase</t>
  </si>
  <si>
    <t>getTestSuite</t>
  </si>
  <si>
    <t>getAppNameSpace</t>
  </si>
  <si>
    <t>getFullName</t>
  </si>
  <si>
    <t>getResult</t>
  </si>
  <si>
    <t>setStartTime</t>
  </si>
  <si>
    <t>setEndTime</t>
  </si>
  <si>
    <t>getStartTime</t>
  </si>
  <si>
    <t>getEndTime</t>
  </si>
  <si>
    <t>print</t>
  </si>
  <si>
    <t>TimeOutTask</t>
  </si>
  <si>
    <t>killDeviceProcess</t>
  </si>
  <si>
    <t>setTestStopped</t>
  </si>
  <si>
    <t>notifyInstallingComplete</t>
  </si>
  <si>
    <t>notifyUninstallingComplete</t>
  </si>
  <si>
    <t>notifyInstallingTimeout</t>
  </si>
  <si>
    <t>notifyUninstallingTimeout</t>
  </si>
  <si>
    <t>notifyTestingDeviceDisconnected</t>
  </si>
  <si>
    <t>getParent</t>
  </si>
  <si>
    <t>getPriority</t>
  </si>
  <si>
    <t>getExcludedList</t>
  </si>
  <si>
    <t>getAllTestNames</t>
  </si>
  <si>
    <t>searchTest</t>
  </si>
  <si>
    <t>TestController</t>
  </si>
  <si>
    <t>getJarPath</t>
  </si>
  <si>
    <t>getClassName</t>
  </si>
  <si>
    <t>getMethodName</t>
  </si>
  <si>
    <t>isValid</t>
  </si>
  <si>
    <t>cancelLogService</t>
  </si>
  <si>
    <t>TestDevice</t>
  </si>
  <si>
    <t>getDeviceInfo</t>
  </si>
  <si>
    <t>disableKeyguard</t>
  </si>
  <si>
    <t>processNewLines</t>
  </si>
  <si>
    <t>done</t>
  </si>
  <si>
    <t>isCancelled</t>
  </si>
  <si>
    <t>hasRestarted</t>
  </si>
  <si>
    <t>waitForBootComplete</t>
  </si>
  <si>
    <t>genDeviceInfo</t>
  </si>
  <si>
    <t>uninstallDeviceSetupApp</t>
  </si>
  <si>
    <t>installDeviceSetupApp</t>
  </si>
  <si>
    <t>runDeviceInfoCollectorCommand</t>
  </si>
  <si>
    <t>DeviceInfoReceiver</t>
  </si>
  <si>
    <t>DeviceParameterCollector</t>
  </si>
  <si>
    <t>set</t>
  </si>
  <si>
    <t>size</t>
  </si>
  <si>
    <t>setBuildFingerPrint</t>
  </si>
  <si>
    <t>setBuildTags</t>
  </si>
  <si>
    <t>setBuildType</t>
  </si>
  <si>
    <t>setBuildModel</t>
  </si>
  <si>
    <t>setBuildBrand</t>
  </si>
  <si>
    <t>setBuildBoard</t>
  </si>
  <si>
    <t>setBuildDevice</t>
  </si>
  <si>
    <t>setBuildAbi</t>
  </si>
  <si>
    <t>setBuildAbi2</t>
  </si>
  <si>
    <t>setSerialNumber</t>
  </si>
  <si>
    <t>setBuildId</t>
  </si>
  <si>
    <t>setBuildVersion</t>
  </si>
  <si>
    <t>setProductName</t>
  </si>
  <si>
    <t>getBuildFingerPrint</t>
  </si>
  <si>
    <t>getBuildTags</t>
  </si>
  <si>
    <t>getBuildType</t>
  </si>
  <si>
    <t>getBuildModel</t>
  </si>
  <si>
    <t>getBuildManufacturer</t>
  </si>
  <si>
    <t>getBuildBrand</t>
  </si>
  <si>
    <t>getBuildBoard</t>
  </si>
  <si>
    <t>getBuildDevice</t>
  </si>
  <si>
    <t>getBuildAbi</t>
  </si>
  <si>
    <t>getBuildAbi2</t>
  </si>
  <si>
    <t>getBuildId</t>
  </si>
  <si>
    <t>getBuildVersion</t>
  </si>
  <si>
    <t>getProductName</t>
  </si>
  <si>
    <t>getSerialNumber</t>
  </si>
  <si>
    <t>getScreenSize</t>
  </si>
  <si>
    <t>getScreenResolution</t>
  </si>
  <si>
    <t>getScreenDensity</t>
  </si>
  <si>
    <t>getScreenDensityBucket</t>
  </si>
  <si>
    <t>getAndroidPlatformVersion</t>
  </si>
  <si>
    <t>getLocales</t>
  </si>
  <si>
    <t>getXdpi</t>
  </si>
  <si>
    <t>getYdpi</t>
  </si>
  <si>
    <t>getTouchInfo</t>
  </si>
  <si>
    <t>getNavigation</t>
  </si>
  <si>
    <t>getKeypad</t>
  </si>
  <si>
    <t>getNetwork</t>
  </si>
  <si>
    <t>getIMEI</t>
  </si>
  <si>
    <t>getIMSI</t>
  </si>
  <si>
    <t>getPhoneNumber</t>
  </si>
  <si>
    <t>getFeatures</t>
  </si>
  <si>
    <t>getProcesses</t>
  </si>
  <si>
    <t>getOpenGlEsVersion</t>
  </si>
  <si>
    <t>getPartitions</t>
  </si>
  <si>
    <t>runInBatchMode</t>
  </si>
  <si>
    <t>getClients</t>
  </si>
  <si>
    <t>pushFile</t>
  </si>
  <si>
    <t>installAPK</t>
  </si>
  <si>
    <t>executeCommand</t>
  </si>
  <si>
    <t>uninstallAPK</t>
  </si>
  <si>
    <t>uninstallAPKImpl</t>
  </si>
  <si>
    <t>PackageActionTimeoutTask</t>
  </si>
  <si>
    <t>PackageActionObserver</t>
  </si>
  <si>
    <t>processLines</t>
  </si>
  <si>
    <t>setInputStream</t>
  </si>
  <si>
    <t>RawModeResultParser</t>
  </si>
  <si>
    <t>getResultLines</t>
  </si>
  <si>
    <t>getNamedString</t>
  </si>
  <si>
    <t>parseIntWithMark</t>
  </si>
  <si>
    <t>getStatusCode</t>
  </si>
  <si>
    <t>IndividualModeResultParser</t>
  </si>
  <si>
    <t>processNewLine</t>
  </si>
  <si>
    <t>BatchModeResultParser</t>
  </si>
  <si>
    <t>removeRuntimeListener</t>
  </si>
  <si>
    <t>setRuntimeListener</t>
  </si>
  <si>
    <t>PushMonitor</t>
  </si>
  <si>
    <t>advance</t>
  </si>
  <si>
    <t>isCanceled</t>
  </si>
  <si>
    <t>startSubTask</t>
  </si>
  <si>
    <t>addMainLogListener</t>
  </si>
  <si>
    <t>removeMainLogListener</t>
  </si>
  <si>
    <t>executeShellCommand</t>
  </si>
  <si>
    <t>killProcess</t>
  </si>
  <si>
    <t>disconnected</t>
  </si>
  <si>
    <t>setStatus</t>
  </si>
  <si>
    <t>getStatus</t>
  </si>
  <si>
    <t>getStatusAsString</t>
  </si>
  <si>
    <t>waitForCommandFinish</t>
  </si>
  <si>
    <t>startActionTimer</t>
  </si>
  <si>
    <t>stopActionTimer</t>
  </si>
  <si>
    <t>notifyExternalTestComplete</t>
  </si>
  <si>
    <t>sendNotify</t>
  </si>
  <si>
    <t>waitOn</t>
  </si>
  <si>
    <t>isNotified</t>
  </si>
  <si>
    <t>getScreenshot</t>
  </si>
  <si>
    <t>main</t>
  </si>
  <si>
    <t>exit</t>
  </si>
  <si>
    <t>getMode</t>
  </si>
  <si>
    <t>startZippedPackage</t>
  </si>
  <si>
    <t>copyFile</t>
  </si>
  <si>
    <t>addPackage</t>
  </si>
  <si>
    <t>removePlans</t>
  </si>
  <si>
    <t>removePlan</t>
  </si>
  <si>
    <t>removePackages</t>
  </si>
  <si>
    <t>getInstance</t>
  </si>
  <si>
    <t>getConfigFilePath</t>
  </si>
  <si>
    <t>loadConfig</t>
  </si>
  <si>
    <t>getCaseRepository</t>
  </si>
  <si>
    <t>getPlanRepository</t>
  </si>
  <si>
    <t>createSession</t>
  </si>
  <si>
    <t>notifyFinished</t>
  </si>
  <si>
    <t>getSessions</t>
  </si>
  <si>
    <t>getSession</t>
  </si>
  <si>
    <t>getSessionList</t>
  </si>
  <si>
    <t>listDevices</t>
  </si>
  <si>
    <t>getDeviceList</t>
  </si>
  <si>
    <t>getFirstAvailableDevice</t>
  </si>
  <si>
    <t>getSessionLogs</t>
  </si>
  <si>
    <t>startSession</t>
  </si>
  <si>
    <t>getPlanName</t>
  </si>
  <si>
    <t>addSession</t>
  </si>
  <si>
    <t>TestNotFoundException</t>
  </si>
  <si>
    <t>TestPackage</t>
  </si>
  <si>
    <t>getAppPackageName</t>
  </si>
  <si>
    <t>isHostSideOnly</t>
  </si>
  <si>
    <t>getTestSuites</t>
  </si>
  <si>
    <t>getTestSuiteByName</t>
  </si>
  <si>
    <t>getTestCaseByName</t>
  </si>
  <si>
    <t>getAllTestSuites</t>
  </si>
  <si>
    <t>getTestSuiteNames</t>
  </si>
  <si>
    <t>getAllTestSuiteNames</t>
  </si>
  <si>
    <t>getAllTestCaseNames</t>
  </si>
  <si>
    <t>getTestCaseNames</t>
  </si>
  <si>
    <t>getTestNames</t>
  </si>
  <si>
    <t>getAppBinaryName</t>
  </si>
  <si>
    <t>getVersion</t>
  </si>
  <si>
    <t>getAndroidVersion</t>
  </si>
  <si>
    <t>getTargetNameSpace</t>
  </si>
  <si>
    <t>getTargetBinaryName</t>
  </si>
  <si>
    <t>getAllTestCases</t>
  </si>
  <si>
    <t>setMessageDigest</t>
  </si>
  <si>
    <t>getMessageDigest</t>
  </si>
  <si>
    <t>notifyBatchModeFinish</t>
  </si>
  <si>
    <t>handleMissingFinishEvent</t>
  </si>
  <si>
    <t>genPackageActionTimeoutCause</t>
  </si>
  <si>
    <t>setTestDevice</t>
  </si>
  <si>
    <t>getFullPath</t>
  </si>
  <si>
    <t>install</t>
  </si>
  <si>
    <t>uninstall</t>
  </si>
  <si>
    <t>waitPackageActionComplete</t>
  </si>
  <si>
    <t>genMessageDigest</t>
  </si>
  <si>
    <t>setSessionThread</t>
  </si>
  <si>
    <t>supportsBatchMode</t>
  </si>
  <si>
    <t>runInBatchModeImpl</t>
  </si>
  <si>
    <t>runInIndividualMode</t>
  </si>
  <si>
    <t>isAllTestsRun</t>
  </si>
  <si>
    <t>noTestsExecuted</t>
  </si>
  <si>
    <t>setup</t>
  </si>
  <si>
    <t>cleanUp</t>
  </si>
  <si>
    <t>runTestImpl</t>
  </si>
  <si>
    <t>getEntries</t>
  </si>
  <si>
    <t>isValidPackageName</t>
  </si>
  <si>
    <t>TestPlanNotFoundException</t>
  </si>
  <si>
    <t>TestSession</t>
  </si>
  <si>
    <t>getLastSessionId</t>
  </si>
  <si>
    <t>setADBServerRestartedMode</t>
  </si>
  <si>
    <t>resetADBServerRestartedMode</t>
  </si>
  <si>
    <t>isADBServerRestartedMode</t>
  </si>
  <si>
    <t>incTestCount</t>
  </si>
  <si>
    <t>resetTestCount</t>
  </si>
  <si>
    <t>getTestCount</t>
  </si>
  <si>
    <t>exceedsMaxCount</t>
  </si>
  <si>
    <t>getDeviceId</t>
  </si>
  <si>
    <t>getNumOfRequiredDevices</t>
  </si>
  <si>
    <t>getId</t>
  </si>
  <si>
    <t>startImpl</t>
  </si>
  <si>
    <t>resume</t>
  </si>
  <si>
    <t>searchTestPackage</t>
  </si>
  <si>
    <t>setObserver</t>
  </si>
  <si>
    <t>getSessionLog</t>
  </si>
  <si>
    <t>getTestPackages</t>
  </si>
  <si>
    <t>TestSessionThread</t>
  </si>
  <si>
    <t>markNeedRestartADBServer</t>
  </si>
  <si>
    <t>notifyResultObserver</t>
  </si>
  <si>
    <t>displayTestResultSummary</t>
  </si>
  <si>
    <t>displayTimeInfo</t>
  </si>
  <si>
    <t>setTestSessionLog</t>
  </si>
  <si>
    <t>notifyUpdate</t>
  </si>
  <si>
    <t>finish</t>
  </si>
  <si>
    <t>TestSessionBuilder</t>
  </si>
  <si>
    <t>build</t>
  </si>
  <si>
    <t>loadPackages</t>
  </si>
  <si>
    <t>loadPackage</t>
  </si>
  <si>
    <t>getStrArrayList</t>
  </si>
  <si>
    <t>checkFullMatch</t>
  </si>
  <si>
    <t>loadSuite</t>
  </si>
  <si>
    <t>loadTest</t>
  </si>
  <si>
    <t>loadTestResult</t>
  </si>
  <si>
    <t>genTestControler</t>
  </si>
  <si>
    <t>getFullSuiteName</t>
  </si>
  <si>
    <t>serialize</t>
  </si>
  <si>
    <t>TestSessionLog</t>
  </si>
  <si>
    <t>getTestPlanName</t>
  </si>
  <si>
    <t>getAllResults</t>
  </si>
  <si>
    <t>getTestList</t>
  </si>
  <si>
    <t>getResultPath</t>
  </si>
  <si>
    <t>getResultDir</t>
  </si>
  <si>
    <t>sessionComplete</t>
  </si>
  <si>
    <t>createResultDoc</t>
  </si>
  <si>
    <t>addFeatureInfo</t>
  </si>
  <si>
    <t>addProcessInfo</t>
  </si>
  <si>
    <t>outputTestSuite</t>
  </si>
  <si>
    <t>getFailedLineNumber</t>
  </si>
  <si>
    <t>setDeviceInfo</t>
  </si>
  <si>
    <t>TestSessionLogBuilder</t>
  </si>
  <si>
    <t>loadSessionLog</t>
  </si>
  <si>
    <t>addTestCase</t>
  </si>
  <si>
    <t>addSubSuite</t>
  </si>
  <si>
    <t>getTestCases</t>
  </si>
  <si>
    <t>getSubSuites</t>
  </si>
  <si>
    <t>getAllSuites</t>
  </si>
  <si>
    <t>testParseSimpleCommand</t>
  </si>
  <si>
    <t>testParseMultiOptionsCommand</t>
  </si>
  <si>
    <t>testParseSameOptionCommand</t>
  </si>
  <si>
    <t>testParseNoValueForOptionCommand</t>
  </si>
  <si>
    <t>testParseIllOptionCommand</t>
  </si>
  <si>
    <t>testParseMultiIllOptionCommand</t>
  </si>
  <si>
    <t>testGetOptions</t>
  </si>
  <si>
    <t>testParseEmptyCommand</t>
  </si>
  <si>
    <t>testParseSingleCommand</t>
  </si>
  <si>
    <t>testParseNumberOption</t>
  </si>
  <si>
    <t>testParseValueNegative</t>
  </si>
  <si>
    <t>testParseCapitalLetter</t>
  </si>
  <si>
    <t>testParseActionValue</t>
  </si>
  <si>
    <t>testParseListResultCmd</t>
  </si>
  <si>
    <t>testGetTestSuiteNames</t>
  </si>
  <si>
    <t>testPlanBuilder</t>
  </si>
  <si>
    <t>testGetExcludedList</t>
  </si>
  <si>
    <t>testBuildSimpleSession</t>
  </si>
  <si>
    <t>testGetAndRemoveEntriesFromPlanFile</t>
  </si>
  <si>
    <t>testValidatePackageName</t>
  </si>
  <si>
    <t>testBuildSessionWithDependency</t>
  </si>
  <si>
    <t>testBuildSessionFromEmbeddedSuites</t>
  </si>
  <si>
    <t>testExcludingFromXmlFile</t>
  </si>
  <si>
    <t>testExcludingEmbeddedSuite</t>
  </si>
  <si>
    <t>testExcludingTopSuite</t>
  </si>
  <si>
    <t>testExcludingTestCase</t>
  </si>
  <si>
    <t>testExcludingAllTestCases</t>
  </si>
  <si>
    <t>testExcludingTest</t>
  </si>
  <si>
    <t>testExcludingAllTests</t>
  </si>
  <si>
    <t>testCreatePlanWithExcludedList</t>
  </si>
  <si>
    <t>testCreatePlanWithExcludedListForNestedSuite</t>
  </si>
  <si>
    <t>testBuildProtocolPlan</t>
  </si>
  <si>
    <t>testSerialize</t>
  </si>
  <si>
    <t>testLoadPlanWithSubSuite</t>
  </si>
  <si>
    <t>testValidateTestController</t>
  </si>
  <si>
    <t>testLoadPlanWithTestController</t>
  </si>
  <si>
    <t>testLoadTestSessionLogBuilder</t>
  </si>
  <si>
    <t>getKeyboardType</t>
  </si>
  <si>
    <t>onCreate</t>
  </si>
  <si>
    <t>OnItemClickListener</t>
  </si>
  <si>
    <t>TesterViewGroup</t>
  </si>
  <si>
    <t>onLayout</t>
  </si>
  <si>
    <t>getMeasureSpec</t>
  </si>
  <si>
    <t>ThemeTest</t>
  </si>
  <si>
    <t>testThemes</t>
  </si>
  <si>
    <t>runThemeTest</t>
  </si>
  <si>
    <t>testN1</t>
  </si>
  <si>
    <t>testE1</t>
  </si>
  <si>
    <t>testE2</t>
  </si>
  <si>
    <t>testE3</t>
  </si>
  <si>
    <t>testVFE1</t>
  </si>
  <si>
    <t>testVFE2</t>
  </si>
  <si>
    <t>testVFE3</t>
  </si>
  <si>
    <t>testVFE4</t>
  </si>
  <si>
    <t>testVFE5</t>
  </si>
  <si>
    <t>testVFE6</t>
  </si>
  <si>
    <t>testVFE7</t>
  </si>
  <si>
    <t>testVFE8</t>
  </si>
  <si>
    <t>testE4</t>
  </si>
  <si>
    <t>testVFE9</t>
  </si>
  <si>
    <t>testVFE10</t>
  </si>
  <si>
    <t>testNPE1</t>
  </si>
  <si>
    <t>testB1</t>
  </si>
  <si>
    <t>testB2</t>
  </si>
  <si>
    <t>testB5</t>
  </si>
  <si>
    <t>testB6</t>
  </si>
  <si>
    <t>testB7</t>
  </si>
  <si>
    <t>testB8</t>
  </si>
  <si>
    <t>testB9</t>
  </si>
  <si>
    <t>testB10</t>
  </si>
  <si>
    <t>testB11</t>
  </si>
  <si>
    <t>testE5</t>
  </si>
  <si>
    <t>testE6</t>
  </si>
  <si>
    <t>testE7</t>
  </si>
  <si>
    <t>testE9</t>
  </si>
  <si>
    <t>testB12</t>
  </si>
  <si>
    <t>testB13</t>
  </si>
  <si>
    <t>testB14</t>
  </si>
  <si>
    <t>testVFE11</t>
  </si>
  <si>
    <t>testVFE12</t>
  </si>
  <si>
    <t>TestStub</t>
  </si>
  <si>
    <t>test</t>
  </si>
  <si>
    <t>test1</t>
  </si>
  <si>
    <t>testArgsOrder</t>
  </si>
  <si>
    <t>testP</t>
  </si>
  <si>
    <t>testPvt</t>
  </si>
  <si>
    <t>TestRunnable</t>
  </si>
  <si>
    <t>TestRunnable2</t>
  </si>
  <si>
    <t>hasCalledOnComputeInternalInsets</t>
  </si>
  <si>
    <t>getAwaitedAccessibilityEventSource</t>
  </si>
  <si>
    <t>findAccessibilityNodeInfosByText</t>
  </si>
  <si>
    <t>findAccessibilityNodeInfoByText</t>
  </si>
  <si>
    <t>getAwaitedAccessibilityEvent</t>
  </si>
  <si>
    <t>printCpuInfo</t>
  </si>
  <si>
    <t>getDuration</t>
  </si>
  <si>
    <t>getCurrentPosition</t>
  </si>
  <si>
    <t>seekTo</t>
  </si>
  <si>
    <t>setLooping</t>
  </si>
  <si>
    <t>pause</t>
  </si>
  <si>
    <t>prepareStopRelease</t>
  </si>
  <si>
    <t>preparePauseRelease</t>
  </si>
  <si>
    <t>videoHeight</t>
  </si>
  <si>
    <t>videoWidth</t>
  </si>
  <si>
    <t>videoSeekTo</t>
  </si>
  <si>
    <t>seekToEnd</t>
  </si>
  <si>
    <t>shortMediaStop</t>
  </si>
  <si>
    <t>playToEnd</t>
  </si>
  <si>
    <t>seektoBeforeStart</t>
  </si>
  <si>
    <t>mediaRecorderRecord</t>
  </si>
  <si>
    <t>getThumbnail</t>
  </si>
  <si>
    <t>resourcesPlayback</t>
  </si>
  <si>
    <t>prepareAsyncReset</t>
  </si>
  <si>
    <t>isLooping</t>
  </si>
  <si>
    <t>isLoopingAfterReset</t>
  </si>
  <si>
    <t>OnPreparedListener</t>
  </si>
  <si>
    <t>prepareAsyncCallback</t>
  </si>
  <si>
    <t>OnCompletionListener</t>
  </si>
  <si>
    <t>OnErrorListener</t>
  </si>
  <si>
    <t>OnInfoListener</t>
  </si>
  <si>
    <t>playMediaSamples</t>
  </si>
  <si>
    <t>getSurfaceView</t>
  </si>
  <si>
    <t>onStop</t>
  </si>
  <si>
    <t>surfaceDestroyed</t>
  </si>
  <si>
    <t>surfaceChanged</t>
  </si>
  <si>
    <t>surfaceCreated</t>
  </si>
  <si>
    <t>startPlayback</t>
  </si>
  <si>
    <t>writeTestOutput</t>
  </si>
  <si>
    <t>writeTestSummary</t>
  </si>
  <si>
    <t>updateTestResult</t>
  </si>
  <si>
    <t>testVideoPlayback</t>
  </si>
  <si>
    <t>MediaRecorderStressTest</t>
  </si>
  <si>
    <t>runOnLooper</t>
  </si>
  <si>
    <t>onError</t>
  </si>
  <si>
    <t>testStressCamera</t>
  </si>
  <si>
    <t>testStressRecorder</t>
  </si>
  <si>
    <t>testStressCameraSwitchRecorder</t>
  </si>
  <si>
    <t>validateRecordedVideo</t>
  </si>
  <si>
    <t>removeRecodedVideo</t>
  </si>
  <si>
    <t>testStressRecordVideoAndPlayback</t>
  </si>
  <si>
    <t>loadUrl</t>
  </si>
  <si>
    <t>loadUrlAndWaitForCompletion</t>
  </si>
  <si>
    <t>testChangeDebugPort</t>
  </si>
  <si>
    <t>testEnableEmulatorTraceOutput</t>
  </si>
  <si>
    <t>testIsDebuggerConnected</t>
  </si>
  <si>
    <t>testSetAllocationLimit</t>
  </si>
  <si>
    <t>testSetGlobalAllocationLimit</t>
  </si>
  <si>
    <t>testWaitForDebugger</t>
  </si>
  <si>
    <t>testVFE13</t>
  </si>
  <si>
    <t>testVFE14</t>
  </si>
  <si>
    <t>testVFE15</t>
  </si>
  <si>
    <t>testVFE30</t>
  </si>
  <si>
    <t>testVFE17</t>
  </si>
  <si>
    <t>testVFE18</t>
  </si>
  <si>
    <t>testVFE19</t>
  </si>
  <si>
    <t>testVFE20</t>
  </si>
  <si>
    <t>testVFE21</t>
  </si>
  <si>
    <t>testProtected</t>
  </si>
  <si>
    <t>TestStubP</t>
  </si>
  <si>
    <t>test_uriParser</t>
  </si>
  <si>
    <t>test_parseSmartPoster</t>
  </si>
  <si>
    <t>assertByteArrayEquals</t>
  </si>
  <si>
    <t>runTestOnUiThread</t>
  </si>
  <si>
    <t>getScrollX</t>
  </si>
  <si>
    <t>getScrollY</t>
  </si>
  <si>
    <t>waitForLoadComplete</t>
  </si>
  <si>
    <t>notifyUiThreadDone</t>
  </si>
  <si>
    <t>waitForUiThreadDone</t>
  </si>
  <si>
    <t>testPhoneNumberFormattingTextWatcher</t>
  </si>
  <si>
    <t>setIsHostSideTest</t>
  </si>
  <si>
    <t>isHostSideTest</t>
  </si>
  <si>
    <t>ApiDemosTest</t>
  </si>
  <si>
    <t>testdPadNav</t>
  </si>
  <si>
    <t>testNumberOfItemsInListView</t>
  </si>
  <si>
    <t>setIsReferenceApp</t>
  </si>
  <si>
    <t>isReferenceApp</t>
  </si>
  <si>
    <t>setPackageToTest</t>
  </si>
  <si>
    <t>setApkToTest</t>
  </si>
  <si>
    <t>testSetAppCacheEnabled</t>
  </si>
  <si>
    <t>setIsVMHostTest</t>
  </si>
  <si>
    <t>isVMHostTest</t>
  </si>
  <si>
    <t>testInsert_byContentDirectory</t>
  </si>
  <si>
    <t>testInsert_byContentUri</t>
  </si>
  <si>
    <t>testAddJavascriptInterfaceOddName</t>
  </si>
  <si>
    <t>testProcess</t>
  </si>
  <si>
    <t>testFeature</t>
  </si>
  <si>
    <t>getTestPhotoData</t>
  </si>
  <si>
    <t>readInputStreamFully</t>
  </si>
  <si>
    <t>testPackages</t>
  </si>
  <si>
    <t>testProperties</t>
  </si>
  <si>
    <t>terminateReplicaIsland</t>
  </si>
  <si>
    <t>getNumSeptets</t>
  </si>
  <si>
    <t>ScannerNotificationReceiver</t>
  </si>
  <si>
    <t>waitForBroadcast</t>
  </si>
  <si>
    <t>countFiles</t>
  </si>
  <si>
    <t>testSetNotificationUri</t>
  </si>
  <si>
    <t>MockContentResolver</t>
  </si>
  <si>
    <t>acquireProvider</t>
  </si>
  <si>
    <t>releaseProvider</t>
  </si>
  <si>
    <t>testRegisterationOfOrientationListener</t>
  </si>
  <si>
    <t>setBuild</t>
  </si>
  <si>
    <t>clearLogCat</t>
  </si>
  <si>
    <t>checkInit</t>
  </si>
  <si>
    <t>testArrayInit</t>
  </si>
  <si>
    <t>testScheduleAnimationDoesNothingIfNoListenersOrCallbacks</t>
  </si>
  <si>
    <t>testScheduleDrawDoesNothingIfNoListenersOrCallbacks</t>
  </si>
  <si>
    <t>testScheduleAnimationCausesAnimationListenersAndCallbacksToRun</t>
  </si>
  <si>
    <t>testScheduleDrawCausesDrawListenersAndCallbacksToRun</t>
  </si>
  <si>
    <t>testAddOnAnimateListenerThrowsIfListenerIsNull</t>
  </si>
  <si>
    <t>testRemoveOnAnimateListenerThrowsIfListenerIsNull</t>
  </si>
  <si>
    <t>testAddOnDrawListenerThrowsIfListenerIsNull</t>
  </si>
  <si>
    <t>testRemoveOnDrawListenerThrowsIfListenerIsNull</t>
  </si>
  <si>
    <t>testPostOnAnimateCallbackThrowsIfListenerIsNull</t>
  </si>
  <si>
    <t>testRemoveOnAnimateCallbackThrowsIfListenerIsNull</t>
  </si>
  <si>
    <t>testPostOnDrawCallbackThrowsIfListenerIsNull</t>
  </si>
  <si>
    <t>testRemoveOnDrawCallbackThrowsIfListenerIsNull</t>
  </si>
  <si>
    <t>onAnimate</t>
  </si>
  <si>
    <t>testReleaseSyncBarrierThrowsIfImproperlyNested</t>
  </si>
  <si>
    <t>getQueue</t>
  </si>
  <si>
    <t>testAccessBlockNetworkImage</t>
  </si>
  <si>
    <t>testAccessLoadsImagesAutomatically</t>
  </si>
  <si>
    <t>checkGetAttribute</t>
  </si>
  <si>
    <t>checkGetUniqueId</t>
  </si>
  <si>
    <t>checkGetMessage</t>
  </si>
  <si>
    <t>testPostAnimationCallbackEventuallyRunsCallbacks</t>
  </si>
  <si>
    <t>testPostDrawCallbackEventuallyRunsCallbacks</t>
  </si>
  <si>
    <t>testRemoveAnimationCallbackThrowsIfRunnableIsNull</t>
  </si>
  <si>
    <t>testRemoveDrawCallbackThrowsIfRunnableIsNull</t>
  </si>
  <si>
    <t>grantUriPermission</t>
  </si>
  <si>
    <t>testFindByText</t>
  </si>
  <si>
    <t>testFindByContentDescription</t>
  </si>
  <si>
    <t>testTraverseWindow</t>
  </si>
  <si>
    <t>testPerformActionFocus</t>
  </si>
  <si>
    <t>testPerformActionClearFocus</t>
  </si>
  <si>
    <t>testPerformActionSelect</t>
  </si>
  <si>
    <t>testPerformActionClearSelection</t>
  </si>
  <si>
    <t>testGetEventSource</t>
  </si>
  <si>
    <t>testObjectContract</t>
  </si>
  <si>
    <t>testAccessibilitySettingsIntentHandled</t>
  </si>
  <si>
    <t>testTypeNotificationStateChangedAccessibilityEvent</t>
  </si>
  <si>
    <t>testTypeViewClickedAccessibilityEvent</t>
  </si>
  <si>
    <t>testTypeViewFocusedAccessibilityEvent</t>
  </si>
  <si>
    <t>testTypeViewLongClickedAccessibilityEvent</t>
  </si>
  <si>
    <t>testTypeViewSelectedAccessibilityEvent</t>
  </si>
  <si>
    <t>testTypeViewTextChangedAccessibilityEvent</t>
  </si>
  <si>
    <t>testTypeWindowStateChangedAccessibilityEvent</t>
  </si>
  <si>
    <t>installPackages</t>
  </si>
  <si>
    <t>uninstallPackages</t>
  </si>
  <si>
    <t>enableAccessibilityAndDelegatingService</t>
  </si>
  <si>
    <t>disableAccessibilityAndDelegatingService</t>
  </si>
  <si>
    <t>runRemoteTests</t>
  </si>
  <si>
    <t>assertNoNewNonStaticFieldsAdded</t>
  </si>
  <si>
    <t>fullyPopulateSentAccessibilityEvent</t>
  </si>
  <si>
    <t>assertEqualsText</t>
  </si>
  <si>
    <t>testRTSP_H263_AMR_Video1</t>
  </si>
  <si>
    <t>testRTSP_H263_AMR_Video2</t>
  </si>
  <si>
    <t>testRTSP_MPEG4SP_AAC_Video1</t>
  </si>
  <si>
    <t>testRTSP_MPEG4SP_AAC_Video2</t>
  </si>
  <si>
    <t>testRTSP_H264Base_AAC_Video1</t>
  </si>
  <si>
    <t>testRTSP_H264Base_AAC_Video2</t>
  </si>
  <si>
    <t>testHTTP_H263_AMR_Video1</t>
  </si>
  <si>
    <t>testHTTP_H263_AMR_Video2</t>
  </si>
  <si>
    <t>testHTTP_MPEG4SP_AAC_Video1</t>
  </si>
  <si>
    <t>testHTTP_MPEG4SP_AAC_Video2</t>
  </si>
  <si>
    <t>testHTTP_H264Base_AAC_Video1</t>
  </si>
  <si>
    <t>testHTTP_H264Base_AAC_Video2</t>
  </si>
  <si>
    <t>testHLS</t>
  </si>
  <si>
    <t>localHttpAudioStreamTest</t>
  </si>
  <si>
    <t>testTakePictureByCamera</t>
  </si>
  <si>
    <t>testLockCommon</t>
  </si>
  <si>
    <t>testLockAdditionalAE</t>
  </si>
  <si>
    <t>testLockAdditionalAWB</t>
  </si>
  <si>
    <t>testLockInteractions</t>
  </si>
  <si>
    <t>testYieldIfContended</t>
  </si>
  <si>
    <t>testPostAnimationCallbackWithoutDelayEventuallyRunsCallbacks</t>
  </si>
  <si>
    <t>testPostAnimationCallbackWithDelayEventuallyRunsCallbacksAfterDelay</t>
  </si>
  <si>
    <t>testPostDrawCallbackWithoutDelayEventuallyRunsCallbacks</t>
  </si>
  <si>
    <t>testPostDrawCallbackWithDelayEventuallyRunsCallbacksAfterDelay</t>
  </si>
  <si>
    <t>testPostAnimationCallbackThrowsIfRunnableIsNull</t>
  </si>
  <si>
    <t>testPostAnimationCallbackDelayedThrowsIfRunnableIsNull</t>
  </si>
  <si>
    <t>testPostDrawCallbackThrowsIfRunnableIsNull</t>
  </si>
  <si>
    <t>testPostDrawCallbackDelayedThrowsIfRunnableIsNull</t>
  </si>
  <si>
    <t>getLocation</t>
  </si>
  <si>
    <t>testLogEmail</t>
  </si>
  <si>
    <t>testLogPhoneCalls</t>
  </si>
  <si>
    <t>testLogIMEI</t>
  </si>
  <si>
    <t>testLogLocation</t>
  </si>
  <si>
    <t>testLogSMS</t>
  </si>
  <si>
    <t>assertValueNotInLogs</t>
  </si>
  <si>
    <t>getNewSpannableCalledCount</t>
  </si>
  <si>
    <t>getPositionStyle</t>
  </si>
  <si>
    <t>initSpans</t>
  </si>
  <si>
    <t>replaceWithSpans</t>
  </si>
  <si>
    <t>replaceAndCheckSpans</t>
  </si>
  <si>
    <t>MockAccessibilityService</t>
  </si>
  <si>
    <t>replay</t>
  </si>
  <si>
    <t>verify</t>
  </si>
  <si>
    <t>expectEvent</t>
  </si>
  <si>
    <t>expectInterrupt</t>
  </si>
  <si>
    <t>assertEqualsAccessiblityEvent</t>
  </si>
  <si>
    <t>assertEqualsNotificationAsParcelableData</t>
  </si>
  <si>
    <t>AccessibilityWindowQueryActivityTest</t>
  </si>
  <si>
    <t>scrubClass</t>
  </si>
  <si>
    <t>getQueryBridge</t>
  </si>
  <si>
    <t>startActivityAndWaitForFirstEvent</t>
  </si>
  <si>
    <t>getString</t>
  </si>
  <si>
    <t>AccessibilityQueryBridge</t>
  </si>
  <si>
    <t>findAccessibilityNodeInfoByTextFromRoot</t>
  </si>
  <si>
    <t>getChild</t>
  </si>
  <si>
    <t>performAction</t>
  </si>
  <si>
    <t>getSource</t>
  </si>
  <si>
    <t>perfromActionAndWaitForEvent</t>
  </si>
  <si>
    <t>awaitOnBarrier</t>
  </si>
  <si>
    <t>testLocalImageLoads</t>
  </si>
  <si>
    <t>testIframesWhenAccessFromFileURLsEnabled</t>
  </si>
  <si>
    <t>testIframesWhenAccessFromFileURLsDisabled</t>
  </si>
  <si>
    <t>testXHRWhenAccessFromFileURLsEnabled</t>
  </si>
  <si>
    <t>testXHRWhenAccessFromFileURLsDisabled</t>
  </si>
  <si>
    <t>verifyFileXHR</t>
  </si>
  <si>
    <t>writeFile</t>
  </si>
  <si>
    <t>testWorld</t>
  </si>
  <si>
    <t>AccessibilityHierarchicalFocusTest</t>
  </si>
  <si>
    <t>testAccessibilityFocusSearchIn</t>
  </si>
  <si>
    <t>testAccessibilityFocusSearchOut</t>
  </si>
  <si>
    <t>testAccessibilityFocusSearchForwardLtr</t>
  </si>
  <si>
    <t>testAccessibilityFocusSearchForwardRtl</t>
  </si>
  <si>
    <t>testAccessibilityFocusSearchBackwardLtr</t>
  </si>
  <si>
    <t>testAccessibilityFocusSearchBackwardRtl</t>
  </si>
  <si>
    <t>testOnSetAlpha</t>
  </si>
  <si>
    <t>assertDirectoryNotWritable</t>
  </si>
  <si>
    <t>assertAllFilesInDirAndSubDirAreNotWritable</t>
  </si>
  <si>
    <t>testAllBlockDevicesAreNotReadableWritable</t>
  </si>
  <si>
    <t>assertBlockDevicesInDirAndSubDirAreNotWritable</t>
  </si>
  <si>
    <t>assertDirectoryAndSubdirectoriesNotWritable</t>
  </si>
  <si>
    <t>testGetAbsoluteGravity</t>
  </si>
  <si>
    <t>assertOneGravity</t>
  </si>
  <si>
    <t>testGetLayoutDirectionFromLocale</t>
  </si>
  <si>
    <t>LayoutDirectionTest</t>
  </si>
  <si>
    <t>checkDefaultDirectionForOneLayoutWithCode</t>
  </si>
  <si>
    <t>testLayoutDirectionDefaults</t>
  </si>
  <si>
    <t>checkDirectionForOneLayoutWithCode</t>
  </si>
  <si>
    <t>testDirectionForAllLayoutsWithCode</t>
  </si>
  <si>
    <t>checkDirectionInheritanceForOneLayoutWithCode</t>
  </si>
  <si>
    <t>testDirectionInheritanceForAllLayoutsWithCode</t>
  </si>
  <si>
    <t>checkDirectionForOneLayoutFromXml</t>
  </si>
  <si>
    <t>testDirectionFromXml</t>
  </si>
  <si>
    <t>testTextDirectionDefault</t>
  </si>
  <si>
    <t>testSetGetTextDirection</t>
  </si>
  <si>
    <t>testGetResolvedTextDirectionLtr</t>
  </si>
  <si>
    <t>testGetResolvedTextDirectionLtrWithInheritance</t>
  </si>
  <si>
    <t>testGetResolvedTextDirectionRtl</t>
  </si>
  <si>
    <t>testGetResolvedTextDirectionRtlWithInheritance</t>
  </si>
  <si>
    <t>testResetTextDirection</t>
  </si>
  <si>
    <t>testTextAlignmentDefault</t>
  </si>
  <si>
    <t>testSetGetTextAlignment</t>
  </si>
  <si>
    <t>testGetResolvedTextAlignment</t>
  </si>
  <si>
    <t>testGetResolvedTextAlignmentWithInheritance</t>
  </si>
  <si>
    <t>testResetTextAlignment</t>
  </si>
  <si>
    <t>testAccessTextLocale</t>
  </si>
  <si>
    <t>testRestrictingProviderMatchingPath</t>
  </si>
  <si>
    <t>testZergRushUsingRelection</t>
  </si>
  <si>
    <t>testSetPaddingRelative</t>
  </si>
  <si>
    <t>testSetMarginsRelative</t>
  </si>
  <si>
    <t>testResolveMarginsRelative</t>
  </si>
  <si>
    <t>testNormalize</t>
  </si>
  <si>
    <t>testInputFocusFollowsAccessibilityFocusIfPossible</t>
  </si>
  <si>
    <t>testInputFocusDoesNotFollowAccessibilityFocusIfNotPossible</t>
  </si>
  <si>
    <t>testAccessibilityFocusFollowsInputFocus</t>
  </si>
  <si>
    <t>testClearAccessibilityFocusSyncsItWithInputFocus</t>
  </si>
  <si>
    <t>getResolvedLayoutDirectionSelf</t>
  </si>
  <si>
    <t>getResolvedLayoutDirection</t>
  </si>
  <si>
    <t>testObtain</t>
  </si>
  <si>
    <t>testRecycle</t>
  </si>
  <si>
    <t>testComputeCurrentVelocity</t>
  </si>
  <si>
    <t>testInitialStateAccessibilityAndInputFocusInSync</t>
  </si>
  <si>
    <t>testSetCurrentPlayTime</t>
  </si>
  <si>
    <t>onDrawFrame</t>
  </si>
  <si>
    <t>testPlay13</t>
  </si>
  <si>
    <t>testPlay14</t>
  </si>
  <si>
    <t>testGetMaximumTimeToLock</t>
  </si>
  <si>
    <t>testWithOverlappingSpans</t>
  </si>
  <si>
    <t>testBreakCondition</t>
  </si>
  <si>
    <t>AccessibilityDirectionalFocusTest</t>
  </si>
  <si>
    <t>testAccessibilityFocusSearchUp</t>
  </si>
  <si>
    <t>testAccessibilityFocusSearchDown</t>
  </si>
  <si>
    <t>testAccessibilityFocusSearchLeft</t>
  </si>
  <si>
    <t>testAccessibilityFocusSearchRight</t>
  </si>
  <si>
    <t>findViewToTakeAccessibilityFocusFromHover</t>
  </si>
  <si>
    <t>testmRecorderRandomAction</t>
  </si>
  <si>
    <t>scanAndWait</t>
  </si>
  <si>
    <t>testScanResultTimeStamp</t>
  </si>
  <si>
    <t>testAlmostFilledUpdate</t>
  </si>
  <si>
    <t>testSingleSequentialWrite</t>
  </si>
  <si>
    <t>testSingleSequentialUpdate</t>
  </si>
  <si>
    <t>testSingleSequentialRead</t>
  </si>
  <si>
    <t>getFileSizeExceedingMemory</t>
  </si>
  <si>
    <t>testPass</t>
  </si>
  <si>
    <t>testFail</t>
  </si>
  <si>
    <t>ScrollingTest</t>
  </si>
  <si>
    <t>testFullScrolling</t>
  </si>
  <si>
    <t>setMessage</t>
  </si>
  <si>
    <t>reportPerformanceResult</t>
  </si>
  <si>
    <t>setSelectedTrack</t>
  </si>
  <si>
    <t>getSelectedTrack</t>
  </si>
  <si>
    <t>getNumSignal</t>
  </si>
  <si>
    <t>testLayoutDirection</t>
  </si>
  <si>
    <t>testPowerManagerWakeLockRelease</t>
  </si>
  <si>
    <t>hasNavigationBar</t>
  </si>
  <si>
    <t>testResourceLeakage</t>
  </si>
  <si>
    <t>WebkitAbortCrashTest</t>
  </si>
  <si>
    <t>testWebkitCrashes</t>
  </si>
  <si>
    <t>WebkitAbsolutePositionForeignObjectChildCrashTest</t>
  </si>
  <si>
    <t>WebkitAdoptNodeCrashTest</t>
  </si>
  <si>
    <t>WebkitAfterDoesntCrashTest</t>
  </si>
  <si>
    <t>WebkitAfterWithFirstLetterFloatCrashTest</t>
  </si>
  <si>
    <t>WebkitAnchorLinkedAnonymousBlockCrashTest</t>
  </si>
  <si>
    <t>WebkitAnimatedBackgroundImageCrashTest</t>
  </si>
  <si>
    <t>WebkitAnimationOnInlineCrashTest</t>
  </si>
  <si>
    <t>WebkitAnonymousBeforeChildParentCrashTest</t>
  </si>
  <si>
    <t>WebkitAnonymousBlockCrashTest</t>
  </si>
  <si>
    <t>WebkitAnonymousBlockMergeCrashTest</t>
  </si>
  <si>
    <t>WebkitAnonymousRenderBlockInContinuationCausesCrashTest</t>
  </si>
  <si>
    <t>WebkitAnonymousSplitBlockCrashTest</t>
  </si>
  <si>
    <t>WebkitApplyStyleTextDecorationCrashTest</t>
  </si>
  <si>
    <t>WebkitApplyblockelementVisiblepositionforindexCrashTest</t>
  </si>
  <si>
    <t>WebkitArcCrashTest</t>
  </si>
  <si>
    <t>WebkitAreaIslinkFocusNullPtrCrashTest</t>
  </si>
  <si>
    <t>WebkitAriaActivedescendantCrashTest</t>
  </si>
  <si>
    <t>WebkitAriaOptionsAndMenuitemsCrashTest</t>
  </si>
  <si>
    <t>WebkitArrayBufferCrashTest</t>
  </si>
  <si>
    <t>WebkitArrayBufferViewCrashTest</t>
  </si>
  <si>
    <t>WebkitArrayBufferViewCrashWhenReassignedTest</t>
  </si>
  <si>
    <t>WebkitAsteriskCounterUpdateAfterLayoutCrashTest</t>
  </si>
  <si>
    <t>WebkitAvlCrashTest</t>
  </si>
  <si>
    <t>WebkitBackcolorCrashTest</t>
  </si>
  <si>
    <t>WebkitBackgroundFillZeroAreaCrashTest</t>
  </si>
  <si>
    <t>WebkitBackgroundNorepeatCrashTest</t>
  </si>
  <si>
    <t>WebkitBackwardTextiteratorFirstLetterCrashTest</t>
  </si>
  <si>
    <t>WebkitBadHandshakeCrashTest</t>
  </si>
  <si>
    <t>WebkitBadTransitionShorthandCrashTest</t>
  </si>
  <si>
    <t>WebkitBasevalAnimvalCrashTest</t>
  </si>
  <si>
    <t>WebkitBasevalAnimvalListCrashTest</t>
  </si>
  <si>
    <t>WebkitBeforeBlockDoesntCrashTest</t>
  </si>
  <si>
    <t>WebkitBeforeChildNonTableSectionAddTableCrashTest</t>
  </si>
  <si>
    <t>WebkitBeforeContentWithListMarkerInAnonBlockCrashTest</t>
  </si>
  <si>
    <t>WebkitBeforeDoesntCrashTest</t>
  </si>
  <si>
    <t>WebkitBeforeTableDoesntCrashTest</t>
  </si>
  <si>
    <t>WebkitBidiNeutralInMixedDirectionRunCrashTest</t>
  </si>
  <si>
    <t>WebkitBindingsArrayApplyCrashTest</t>
  </si>
  <si>
    <t>WebkitBlobBuilderCrashTest</t>
  </si>
  <si>
    <t>WebkitBlockNotRemovedFromParentLineboxesCrashTest</t>
  </si>
  <si>
    <t>WebkitBlockRemoveChildDeleteLineBoxCrashTest</t>
  </si>
  <si>
    <t>WebkitBlockStyleProgressCrashTest</t>
  </si>
  <si>
    <t>WebkitBlockquoteCrashTest</t>
  </si>
  <si>
    <t>WebkitBodyCloneLinkDeclParentCrashTest</t>
  </si>
  <si>
    <t>WebkitBodyRemovalCrashTest</t>
  </si>
  <si>
    <t>WebkitBorderImageCrashTest</t>
  </si>
  <si>
    <t>WebkitBorderImageNullImageCrashTest</t>
  </si>
  <si>
    <t>WebkitCallApplyCrashTest</t>
  </si>
  <si>
    <t>WebkitCanvasFontExUnitsCrashTest</t>
  </si>
  <si>
    <t>WebkitCanvasGetimagedataLargeCrashTest</t>
  </si>
  <si>
    <t>WebkitCanvasTodataurlCrashTest</t>
  </si>
  <si>
    <t>WebkitCanvasTodataurlJpegCrashTest</t>
  </si>
  <si>
    <t>WebkitCellInRowBeforeMisnestedTextCrashCssTest</t>
  </si>
  <si>
    <t>WebkitChangeFormElementDocumentCrashTest</t>
  </si>
  <si>
    <t>WebkitChangeVersionNoCrashOnPreflightFailureTest</t>
  </si>
  <si>
    <t>WebkitChangeWidgetAndClickCrashTest</t>
  </si>
  <si>
    <t>WebkitChangingAttrbutesCrashTest</t>
  </si>
  <si>
    <t>WebkitCharacterDataMutationCrashTest</t>
  </si>
  <si>
    <t>WebkitCheckboxSelectionCrashTest</t>
  </si>
  <si>
    <t>WebkitChildNotRemovedFromParentLineboxesCrashTest</t>
  </si>
  <si>
    <t>WebkitChromiumLinuxFallbackCrashTest</t>
  </si>
  <si>
    <t>WebkitClearWatchInvalidIdCrashTest</t>
  </si>
  <si>
    <t>WebkitClickSizeZeroNoCrashTest</t>
  </si>
  <si>
    <t>WebkitCloneAnonymousBlockNonInlineChildCrashTest</t>
  </si>
  <si>
    <t>WebkitCloneBeforeAfterContentCrashTest</t>
  </si>
  <si>
    <t>WebkitCloneBlockChildrenInlineMismatchCrashTest</t>
  </si>
  <si>
    <t>WebkitClonenodeAfterDeleteruleCrashTest</t>
  </si>
  <si>
    <t>WebkitCloseInOnmessageCrashTest</t>
  </si>
  <si>
    <t>WebkitColumnSpanParentContinuationCrashTest</t>
  </si>
  <si>
    <t>WebkitCombiningCharacterSequenceFallbackCrashTest</t>
  </si>
  <si>
    <t>WebkitConsoleLongEvalCrashTest</t>
  </si>
  <si>
    <t>WebkitConstructorAsFunctionCrashTest</t>
  </si>
  <si>
    <t>WebkitContainerTransformCrashTest</t>
  </si>
  <si>
    <t>WebkitContentHeightZeroCrashTest</t>
  </si>
  <si>
    <t>WebkitContextDestroyedCrashTest</t>
  </si>
  <si>
    <t>WebkitContinuationcrashTest</t>
  </si>
  <si>
    <t>WebkitCopyCrashTest</t>
  </si>
  <si>
    <t>WebkitCopyCrashWithExtraneousAttributeTest</t>
  </si>
  <si>
    <t>WebkitCopyStandaloneImageCrashTest</t>
  </si>
  <si>
    <t>WebkitCopyWithoutCommonBlockCrashTest</t>
  </si>
  <si>
    <t>WebkitCounterAfterStyleCrashTest</t>
  </si>
  <si>
    <t>WebkitCounterBeforeSelectorCrashTest</t>
  </si>
  <si>
    <t>WebkitCounterCrashFrameSrcTest</t>
  </si>
  <si>
    <t>WebkitCounterCrashTest</t>
  </si>
  <si>
    <t>WebkitCounterReparentTableChildrenCrashTest</t>
  </si>
  <si>
    <t>WebkitCounterTraverseObjectCrashTest</t>
  </si>
  <si>
    <t>WebkitCrashAccessingClipboarddataTypesTest</t>
  </si>
  <si>
    <t>WebkitCrashAnonymousTableComputelogicalwidthTest</t>
  </si>
  <si>
    <t>WebkitCrashAnonymousTableLayoutTest</t>
  </si>
  <si>
    <t>WebkitCrashBeforeborderDirtySectionTest</t>
  </si>
  <si>
    <t>WebkitCrashBreakingBlockquoteWithListTest</t>
  </si>
  <si>
    <t>WebkitCrashButtonInputAutofocusTest</t>
  </si>
  <si>
    <t>WebkitCrashButtonKeygenTest</t>
  </si>
  <si>
    <t>WebkitCrashButtonRelayoutTest</t>
  </si>
  <si>
    <t>WebkitCrashClosingPageWithMediaAsPluginFallbackTest</t>
  </si>
  <si>
    <t>WebkitCrashCopyingBackforwardlistTest</t>
  </si>
  <si>
    <t>WebkitCrashDeterminingAriaRoleWhenLabelPresentTest</t>
  </si>
  <si>
    <t>WebkitCrashDisplayLocalDirectoryTest</t>
  </si>
  <si>
    <t>WebkitCrashEmptySectionCalcborderTest</t>
  </si>
  <si>
    <t>WebkitCrashEmptySectionFixedLayoutCalcarrayTest</t>
  </si>
  <si>
    <t>WebkitCrashFilterChangeTest</t>
  </si>
  <si>
    <t>WebkitCrashFlexboxNoLayoutChildTest</t>
  </si>
  <si>
    <t>WebkitCrashFramesetCssContentPropertyTest</t>
  </si>
  <si>
    <t>WebkitCrashGeneratedCounterTest</t>
  </si>
  <si>
    <t>WebkitCrashGeneratedImageTest</t>
  </si>
  <si>
    <t>WebkitCrashGeneratedQuoteTest</t>
  </si>
  <si>
    <t>WebkitCrashGeneratedTextTest</t>
  </si>
  <si>
    <t>WebkitCrashHtmlparserCreateheadTest</t>
  </si>
  <si>
    <t>WebkitCrashHugeLayerTest</t>
  </si>
  <si>
    <t>WebkitCrashHwSwSwitchTest</t>
  </si>
  <si>
    <t>WebkitCrashInElementForTextMarkerTest</t>
  </si>
  <si>
    <t>WebkitCrashIndentingListItemTest</t>
  </si>
  <si>
    <t>WebkitCrashInlineContainerClientTest</t>
  </si>
  <si>
    <t>WebkitCrashInvalidTextMarkerNodeTest</t>
  </si>
  <si>
    <t>WebkitCrashLineBreakAfterOutdentTest</t>
  </si>
  <si>
    <t>WebkitCrashMultipleFamilyFontfaceTest</t>
  </si>
  <si>
    <t>WebkitCrashOnAbsolutePositioningTest</t>
  </si>
  <si>
    <t>WebkitCrashOnClearSelectionTest</t>
  </si>
  <si>
    <t>WebkitCrashOnCustomCursorWhenLoadingTest</t>
  </si>
  <si>
    <t>WebkitCrashOnDegenerateGradientTest</t>
  </si>
  <si>
    <t>WebkitCrashOnDragWithMutationEventsTest</t>
  </si>
  <si>
    <t>WebkitCrashOnEnterInContenteditableListTest</t>
  </si>
  <si>
    <t>WebkitCrashOnMutateDuringDropTest</t>
  </si>
  <si>
    <t>WebkitCrashOnOnepxBorderTest</t>
  </si>
  <si>
    <t>WebkitCrashOnRemoveTest</t>
  </si>
  <si>
    <t>WebkitCrashOnTrTest</t>
  </si>
  <si>
    <t>WebkitCrashOnZeroRadiusTest</t>
  </si>
  <si>
    <t>WebkitCrashOneTest</t>
  </si>
  <si>
    <t>WebkitCrashRemovedIframeTest</t>
  </si>
  <si>
    <t>WebkitCrashReparentTiledLayerTest</t>
  </si>
  <si>
    <t>WebkitCrashReplacedDisplayBlockTest</t>
  </si>
  <si>
    <t>WebkitCrashReplacingLocationBeforeLoadTest</t>
  </si>
  <si>
    <t>WebkitCrashRestoringPluginPageFromPageCacheTest</t>
  </si>
  <si>
    <t>WebkitCrashSectionLogicalHeightChangedNeedscellrecalcTest</t>
  </si>
  <si>
    <t>WebkitCrashSetFontTest</t>
  </si>
  <si>
    <t>WebkitCrashSplitcolumnTest</t>
  </si>
  <si>
    <t>WebkitCrashSplitcolumnThreeTest</t>
  </si>
  <si>
    <t>WebkitCrashSplitcolumnTwoTest</t>
  </si>
  <si>
    <t>WebkitCrashStyleFirstLetterTest</t>
  </si>
  <si>
    <t>WebkitCrashSvgDocumentTest</t>
  </si>
  <si>
    <t>WebkitCrashTableCellChangeHeightTest</t>
  </si>
  <si>
    <t>WebkitCrashTextpathAttributesTest</t>
  </si>
  <si>
    <t>WebkitCrashTwoTest</t>
  </si>
  <si>
    <t>WebkitCrashWhenNavigatingAwayThenBackTest</t>
  </si>
  <si>
    <t>WebkitCrashWhenReparentSiblingTest</t>
  </si>
  <si>
    <t>WebkitCrashWhileLoadingTagWithPauseTest</t>
  </si>
  <si>
    <t>WebkitCrashWithNoelementSelectboxTest</t>
  </si>
  <si>
    <t>WebkitCrashingATagInMapTest</t>
  </si>
  <si>
    <t>WebkitCreateBlobUrlCrashTest</t>
  </si>
  <si>
    <t>WebkitCreateDocumentCrashOnAttachEventTest</t>
  </si>
  <si>
    <t>WebkitCreatePatternDoesNotCrashTest</t>
  </si>
  <si>
    <t>WebkitCrossOriginStylesheetCrashTest</t>
  </si>
  <si>
    <t>WebkitCssContentAndWebkitMaskBoxImageCrashTest</t>
  </si>
  <si>
    <t>WebkitCssFontfaceRuleCrashTest</t>
  </si>
  <si>
    <t>WebkitCssInlineStyleDeclarationCrashTest</t>
  </si>
  <si>
    <t>WebkitCssKeyframeStyleCrashTest</t>
  </si>
  <si>
    <t>WebkitCsstargetCrashTest</t>
  </si>
  <si>
    <t>WebkitCssthreeRadialGradientCrashTest</t>
  </si>
  <si>
    <t>WebkitCustomFontDataCrashTest</t>
  </si>
  <si>
    <t>WebkitCustomFontDataCrashtwoTest</t>
  </si>
  <si>
    <t>WebkitDanglingFormElementCrashTest</t>
  </si>
  <si>
    <t>WebkitDashboardRegionsAttrCrashTest</t>
  </si>
  <si>
    <t>WebkitDataViewCrashTest</t>
  </si>
  <si>
    <t>WebkitDebuggerActivationCrashTest</t>
  </si>
  <si>
    <t>WebkitDebuggerActivationCrashtwoTest</t>
  </si>
  <si>
    <t>WebkitDelayedStyleMutationEventCrashTest</t>
  </si>
  <si>
    <t>WebkitDeleteInsignificantTextCrashTest</t>
  </si>
  <si>
    <t>WebkitDestroyCellWithSelectionCrashTest</t>
  </si>
  <si>
    <t>WebkitDestroyCounterCrashTest</t>
  </si>
  <si>
    <t>WebkitDestroySelectedRadioButtonCrashTest</t>
  </si>
  <si>
    <t>WebkitDetachedObjectNotificationCrashTest</t>
  </si>
  <si>
    <t>WebkitDetachedOutermostSvgCrashTest</t>
  </si>
  <si>
    <t>WebkitDetailsChildrenMergeCrashTest</t>
  </si>
  <si>
    <t>WebkitDetailsElementRenderInlineCrashTest</t>
  </si>
  <si>
    <t>WebkitDeviceOrientationCrashTest</t>
  </si>
  <si>
    <t>WebkitDirtyInlineTextboxCrashTest</t>
  </si>
  <si>
    <t>WebkitDispatcheventCrashTest</t>
  </si>
  <si>
    <t>WebkitDisplayNoneInlineStyleChangeCrashTest</t>
  </si>
  <si>
    <t>WebkitDivWithinAnchorsCausesCrashTest</t>
  </si>
  <si>
    <t>WebkitDoctypeEventListenerCrashTest</t>
  </si>
  <si>
    <t>WebkitDocumentDeactivationCallbackCrashTest</t>
  </si>
  <si>
    <t>WebkitDomstringReplaceCrashTest</t>
  </si>
  <si>
    <t>WebkitDomurlScriptExecutionContextCrashTest</t>
  </si>
  <si>
    <t>WebkitDontCrashWithNullGifFramesTest</t>
  </si>
  <si>
    <t>WebkitDoubleMergeAnonymousBlockCrashTest</t>
  </si>
  <si>
    <t>WebkitDoubleclickCrashTest</t>
  </si>
  <si>
    <t>WebkitDoubleclickWhitespaceCrashTest</t>
  </si>
  <si>
    <t>WebkitDoubleclickWhitespaceImgCrashTest</t>
  </si>
  <si>
    <t>WebkitDragAndDropDatatransferTypesNocrashTest</t>
  </si>
  <si>
    <t>WebkitDragDropIframeRefreshCrashTest</t>
  </si>
  <si>
    <t>WebkitDragFileCrashTest</t>
  </si>
  <si>
    <t>WebkitDragOverIframeInvalidSourceCrashTest</t>
  </si>
  <si>
    <t>WebkitDuplicateHtmlElementCrashTest</t>
  </si>
  <si>
    <t>WebkitDuplicateParamCrashTest</t>
  </si>
  <si>
    <t>WebkitDuplicateParamGcCrashTest</t>
  </si>
  <si>
    <t>WebkitDynamicMarkerCrashTest</t>
  </si>
  <si>
    <t>WebkitEditableNonEditableCrashTest</t>
  </si>
  <si>
    <t>WebkitEditingCommandWhileExecutingTypingCommandCrashTest</t>
  </si>
  <si>
    <t>WebkitEmbedBidiStyleInIsolateCrashTest</t>
  </si>
  <si>
    <t>WebkitEmbedcrasherTest</t>
  </si>
  <si>
    <t>WebkitEmptyAnonymousBlockRemoveCrashTest</t>
  </si>
  <si>
    <t>WebkitEmptyBdiCrashTest</t>
  </si>
  <si>
    <t>WebkitEmptyContentWithFloatCrashTest</t>
  </si>
  <si>
    <t>WebkitEmptyFirstLineCrashTest</t>
  </si>
  <si>
    <t>WebkitEmptyMsubsupCrashTest</t>
  </si>
  <si>
    <t>WebkitEmptyRenderSurfaceCrasherTest</t>
  </si>
  <si>
    <t>WebkitEmptyRowCrashTest</t>
  </si>
  <si>
    <t>WebkitEmptySectionCrashTest</t>
  </si>
  <si>
    <t>WebkitEmptyTransformPreservethreedCrashTest</t>
  </si>
  <si>
    <t>WebkitEmptyWebkitMaskCrashTest</t>
  </si>
  <si>
    <t>WebkitEmptyWorkerNocrashTest</t>
  </si>
  <si>
    <t>WebkitEndOfBufferCrashTest</t>
  </si>
  <si>
    <t>WebkitEvalCacheCrashTest</t>
  </si>
  <si>
    <t>WebkitEventListenerMapRehashCrashTest</t>
  </si>
  <si>
    <t>WebkitEventsourceReconnectDuringNavigateCrashTest</t>
  </si>
  <si>
    <t>WebkitExceptionCodegenCrashTest</t>
  </si>
  <si>
    <t>WebkitExceptionNoFrameInlineScriptCrashIframeTest</t>
  </si>
  <si>
    <t>WebkitExceptionNoFrameInlineScriptCrashTest</t>
  </si>
  <si>
    <t>WebkitExceptionNoFrameTimeoutCrashIframeTest</t>
  </si>
  <si>
    <t>WebkitExceptionNoFrameTimeoutCrashTest</t>
  </si>
  <si>
    <t>WebkitExistentEventsourceStatusErrorIframeCrashTest</t>
  </si>
  <si>
    <t>WebkitExtendByLineAnonymousContentCrashTest</t>
  </si>
  <si>
    <t>WebkitExtendOverFileInputByDragCrashTest</t>
  </si>
  <si>
    <t>WebkitFencedWhitespaceSeparatorsCrashTest</t>
  </si>
  <si>
    <t>WebkitFileReaderDirectoryCrashTest</t>
  </si>
  <si>
    <t>WebkitFilesystemNoCallbackNullPtrCrashTest</t>
  </si>
  <si>
    <t>WebkitFillLayerCrashTest</t>
  </si>
  <si>
    <t>WebkitFilterEmptyElementCrashTest</t>
  </si>
  <si>
    <t>WebkitFindLayoutCrashTest</t>
  </si>
  <si>
    <t>WebkitFirstLetterAnonymousBlockCrashTest</t>
  </si>
  <si>
    <t>WebkitFirstLetterBlockFormControlsCrashTest</t>
  </si>
  <si>
    <t>WebkitFirstLetterInlineFlowSplitCrashTest</t>
  </si>
  <si>
    <t>WebkitFirstLetterInlineFlowSplitTableCrashTest</t>
  </si>
  <si>
    <t>WebkitFirstLetterRtlCrashTest</t>
  </si>
  <si>
    <t>WebkitFirstLetterTextFragmentCrashTest</t>
  </si>
  <si>
    <t>WebkitFirstLetterTextTransformCausesCrashTest</t>
  </si>
  <si>
    <t>WebkitFirstletterTablecellCrashTest</t>
  </si>
  <si>
    <t>WebkitFirstlineFixedCrashTest</t>
  </si>
  <si>
    <t>WebkitFirstrectCrashTest</t>
  </si>
  <si>
    <t>WebkitFiveseventwofivezerofiveeightCrashScenarioOneTest</t>
  </si>
  <si>
    <t>WebkitFiveseventwofivezerofiveeightCrashScenarioThreeTest</t>
  </si>
  <si>
    <t>WebkitFiveseventwofivezerofiveeightCrashScenarioTwoTest</t>
  </si>
  <si>
    <t>WebkitFixRangeFromRootEditableCrashTest</t>
  </si>
  <si>
    <t>WebkitFixedTableLayoutLargeColspanCrashTest</t>
  </si>
  <si>
    <t>WebkitFlexboxInRegionCrashTest</t>
  </si>
  <si>
    <t>WebkitFloatNotRemovedCrashTest</t>
  </si>
  <si>
    <t>WebkitFloatNotRemovedFromNextSiblingCrashTest</t>
  </si>
  <si>
    <t>WebkitFloatOriginatingLineDeletedCrashTest</t>
  </si>
  <si>
    <t>WebkitFloatingBeforeContentWithListMarkerCrashTest</t>
  </si>
  <si>
    <t>WebkitFloatsNotClearedCrashTest</t>
  </si>
  <si>
    <t>WebkitFocusChangeCrashTest</t>
  </si>
  <si>
    <t>WebkitFocusChangeCrashtwoTest</t>
  </si>
  <si>
    <t>WebkitFocusControllerCrashChangeEventTest</t>
  </si>
  <si>
    <t>WebkitFocusCrashTest</t>
  </si>
  <si>
    <t>WebkitFontmetricBorderRadiusNullCrashTest</t>
  </si>
  <si>
    <t>WebkitFontmetricWebkitBorderEndWidthNullCrashTest</t>
  </si>
  <si>
    <t>WebkitFontsizeUnitRemsCrashTest</t>
  </si>
  <si>
    <t>WebkitForeignContentCrashTest</t>
  </si>
  <si>
    <t>WebkitFormAssociatedElementCrashTest</t>
  </si>
  <si>
    <t>WebkitFormAssociatedElementCrashthreeTest</t>
  </si>
  <si>
    <t>WebkitFormAssociatedElementCrashtwoTest</t>
  </si>
  <si>
    <t>WebkitFormIframeTargetBeforeLoadCrashTest</t>
  </si>
  <si>
    <t>WebkitFormIframeTargetBeforeLoadCrashtwoTest</t>
  </si>
  <si>
    <t>WebkitFormInRowBeforeMisnestedTextCrashCssTest</t>
  </si>
  <si>
    <t>WebkitFormInTableBeforeMisnestedTextCrashCssTest</t>
  </si>
  <si>
    <t>WebkitFormInTbodyBeforeMisnestedTextCrashCssTest</t>
  </si>
  <si>
    <t>WebkitFouronefourfivefivethreefivecrashTest</t>
  </si>
  <si>
    <t>WebkitFrameContentwindowCrashTest</t>
  </si>
  <si>
    <t>WebkitFrameCrashWithPageCacheTest</t>
  </si>
  <si>
    <t>WebkitFrameUnloadAbortCrashTest</t>
  </si>
  <si>
    <t>WebkitFrameUnloadCrashOneTest</t>
  </si>
  <si>
    <t>WebkitFrameUnloadCrashTest</t>
  </si>
  <si>
    <t>WebkitFrameUnloadCrashThreeTest</t>
  </si>
  <si>
    <t>WebkitFrameUnloadCrashTwoTest</t>
  </si>
  <si>
    <t>WebkitFramelessMediaElementCrashTest</t>
  </si>
  <si>
    <t>WebkitGeneratedBeforeCounterDoesntCrashTest</t>
  </si>
  <si>
    <t>WebkitGeneratedChildSplitFlowCrashTest</t>
  </si>
  <si>
    <t>WebkitGeneratedContentCrashTest</t>
  </si>
  <si>
    <t>WebkitGeneratedLayerScrollbarCrashTest</t>
  </si>
  <si>
    <t>WebkitGetUrlWithIframeTargetNoCrashTest</t>
  </si>
  <si>
    <t>WebkitGetmatchedcssrulesNullCrashTest</t>
  </si>
  <si>
    <t>WebkitGiantStylesheetCrashTest</t>
  </si>
  <si>
    <t>WebkitGlyphrefRendererCreateCrashTest</t>
  </si>
  <si>
    <t>WebkitGradientOnPseudoelementCrashTest</t>
  </si>
  <si>
    <t>WebkitHasfocusFramelessCrashTest</t>
  </si>
  <si>
    <t>WebkitHiddenIframeScrollbarCrashTest</t>
  </si>
  <si>
    <t>WebkitHiddenIframeScrollbarCrashtwoTest</t>
  </si>
  <si>
    <t>WebkitHorizontalBoxFloatCrashTest</t>
  </si>
  <si>
    <t>WebkitHoverStyleRecalcCrashTest</t>
  </si>
  <si>
    <t>WebkitHoverTimerCrashTest</t>
  </si>
  <si>
    <t>WebkitHugeColumnGapCrashTest</t>
  </si>
  <si>
    <t>WebkitIdAttributeWithNamespaceCrashTest</t>
  </si>
  <si>
    <t>WebkitIdentCrashesTopnodeIsTextTest</t>
  </si>
  <si>
    <t>WebkitIframeContentwindowCrashTest</t>
  </si>
  <si>
    <t>WebkitIframeFlatteningCrashTest</t>
  </si>
  <si>
    <t>WebkitIframeFlatteningSelectionCrashTest</t>
  </si>
  <si>
    <t>WebkitIframeInvalidSourceCrashTest</t>
  </si>
  <si>
    <t>WebkitIframeOnloadCrashMacTest</t>
  </si>
  <si>
    <t>WebkitIframeOnloadCrashUnixTest</t>
  </si>
  <si>
    <t>WebkitIframeOnloadCrashWinTest</t>
  </si>
  <si>
    <t>WebkitIframeOnloadRemoveSelfNoCrashChildTest</t>
  </si>
  <si>
    <t>WebkitIframeOnloadRemoveSelfNoCrashTest</t>
  </si>
  <si>
    <t>WebkitIframePluginLoadRemoveDocumentCrashTest</t>
  </si>
  <si>
    <t>WebkitIgnoredResultNullComparisonCrashTest</t>
  </si>
  <si>
    <t>WebkitIgnoredResultRefCrashTest</t>
  </si>
  <si>
    <t>WebkitImageEmptyCrashTest</t>
  </si>
  <si>
    <t>WebkitImageMapTitleCausesCrashTest</t>
  </si>
  <si>
    <t>WebkitImageMapUpdateParentCrashTest</t>
  </si>
  <si>
    <t>WebkitImagemapNorenderCrashTest</t>
  </si>
  <si>
    <t>WebkitImbricatedFlowThreadsCrashTest</t>
  </si>
  <si>
    <t>WebkitImplicitHeadInFragmentCrashTest</t>
  </si>
  <si>
    <t>WebkitImportCrashTest</t>
  </si>
  <si>
    <t>WebkitIndentNodeToSplitToCrashTest</t>
  </si>
  <si>
    <t>WebkitIndexValidationCrashWithBufferSubDataTest</t>
  </si>
  <si>
    <t>WebkitInitkeyboardeventCrashTest</t>
  </si>
  <si>
    <t>WebkitInlineBodyCrashTest</t>
  </si>
  <si>
    <t>WebkitInlineBodyWithScrollbarCrashTest</t>
  </si>
  <si>
    <t>WebkitInlineBoxAdjustPositionCrashTest</t>
  </si>
  <si>
    <t>WebkitInlineBoxAdjustPositionCrashtwoTest</t>
  </si>
  <si>
    <t>WebkitInlineBoxWrapperCrashTest</t>
  </si>
  <si>
    <t>WebkitInlineChildHeightWidthCalcCrashTest</t>
  </si>
  <si>
    <t>WebkitInlineChildrenCrashTest</t>
  </si>
  <si>
    <t>WebkitInlineCrashTest</t>
  </si>
  <si>
    <t>WebkitInlineDestroyDirtyLinesCrashTest</t>
  </si>
  <si>
    <t>WebkitInlineMarqueeCrashTest</t>
  </si>
  <si>
    <t>WebkitInlineSplittingWithAfterFloatCrashTest</t>
  </si>
  <si>
    <t>WebkitInlineToBlockCrashTest</t>
  </si>
  <si>
    <t>WebkitInnerhtmlSelectionCrashTest</t>
  </si>
  <si>
    <t>WebkitInputBoxTextFragmentCombineTextCrashTest</t>
  </si>
  <si>
    <t>WebkitInputElementAttachCrashTest</t>
  </si>
  <si>
    <t>WebkitInputElementPageCacheCrashTest</t>
  </si>
  <si>
    <t>WebkitInputNumberCrashTest</t>
  </si>
  <si>
    <t>WebkitInputNumberSpinbuttonCrashTest</t>
  </si>
  <si>
    <t>WebkitInputSearchTableColumnCrashTest</t>
  </si>
  <si>
    <t>WebkitInsertImagesInPreXCrashTest</t>
  </si>
  <si>
    <t>WebkitInsertTextCrashTest</t>
  </si>
  <si>
    <t>WebkitInsertTextIntoEmptyFramesetCrashTest</t>
  </si>
  <si>
    <t>WebkitInsertadjacenthtmlDocumentfragmentCrashTest</t>
  </si>
  <si>
    <t>WebkitInserthtmlMutationCrashTest</t>
  </si>
  <si>
    <t>WebkitInsertionPointLineNumberOnPasswordCrashesTest</t>
  </si>
  <si>
    <t>WebkitInsertnodeEmptyFragmentCrashTest</t>
  </si>
  <si>
    <t>WebkitInteractiveValidationCrashByStyleOverrideTest</t>
  </si>
  <si>
    <t>WebkitInteractiveValidationSelectCrashTest</t>
  </si>
  <si>
    <t>WebkitInvalidCharsetOnScriptCrashesLoaderTest</t>
  </si>
  <si>
    <t>WebkitInvalidCursorPropertyCrashTest</t>
  </si>
  <si>
    <t>WebkitInvalidFontFamilyInFontFaceCrashTest</t>
  </si>
  <si>
    <t>WebkitInvalidMediaUrlCrashTest</t>
  </si>
  <si>
    <t>WebkitInvalidSetFontCrashTest</t>
  </si>
  <si>
    <t>WebkitJavascriptUrlAsFramesrcCrashTest</t>
  </si>
  <si>
    <t>WebkitJavascriptUrlCrashFunctionIframeTest</t>
  </si>
  <si>
    <t>WebkitJavascriptUrlCrashFunctionTest</t>
  </si>
  <si>
    <t>WebkitJavascriptUrlIframeCrashTest</t>
  </si>
  <si>
    <t>WebkitJqueryAnimationCrashTest</t>
  </si>
  <si>
    <t>WebkitKeyboardeventMousedownCrashTest</t>
  </si>
  <si>
    <t>WebkitKeyeventIframeRemovedCrashTest</t>
  </si>
  <si>
    <t>WebkitKeyframesCrashTest</t>
  </si>
  <si>
    <t>WebkitKhmerCrashTest</t>
  </si>
  <si>
    <t>WebkitLargeListOfRulesCrashTest</t>
  </si>
  <si>
    <t>WebkitLargeRowspanCrashTest</t>
  </si>
  <si>
    <t>WebkitLargeSizeImageCrashTest</t>
  </si>
  <si>
    <t>WebkitLayerHitTestCrashTest</t>
  </si>
  <si>
    <t>WebkitLayerzordercrashTest</t>
  </si>
  <si>
    <t>WebkitLayouthorizontalboxCrashTest</t>
  </si>
  <si>
    <t>WebkitLiStyleAlphaHugeValueCrashTest</t>
  </si>
  <si>
    <t>WebkitLineClampCrashTest</t>
  </si>
  <si>
    <t>WebkitListItemPseudoNocrashTest</t>
  </si>
  <si>
    <t>WebkitListStyleNoneCrashTest</t>
  </si>
  <si>
    <t>WebkitListWrappingImageCrashTest</t>
  </si>
  <si>
    <t>WebkitLoadDeferResumeCrashTest</t>
  </si>
  <si>
    <t>WebkitLocationNewWindowNoCrashTest</t>
  </si>
  <si>
    <t>WebkitMainresourceNullMimetypeCrashTest</t>
  </si>
  <si>
    <t>WebkitMarqueeAnonymousNodeCrashTest</t>
  </si>
  <si>
    <t>WebkitMaskCrashFieldsetLegendTest</t>
  </si>
  <si>
    <t>WebkitMaskCrashFigureTest</t>
  </si>
  <si>
    <t>WebkitMaskCrashTableTest</t>
  </si>
  <si>
    <t>WebkitMaskCrashTdTest</t>
  </si>
  <si>
    <t>WebkitMaskCrashTdTwoTest</t>
  </si>
  <si>
    <t>WebkitMaskMissingImageCrashTest</t>
  </si>
  <si>
    <t>WebkitMathOptionsCrashTest</t>
  </si>
  <si>
    <t>WebkitMatrixAsFunctionCrashTest</t>
  </si>
  <si>
    <t>WebkitMediaControlsCloneCrashTest</t>
  </si>
  <si>
    <t>WebkitMediaQueryEvaluatorCrashTest</t>
  </si>
  <si>
    <t>WebkitMediaSvgCrashTest</t>
  </si>
  <si>
    <t>WebkitMenulistPopupCrashTest</t>
  </si>
  <si>
    <t>WebkitMergeAnonymousBlockRemoveChildCrashTest</t>
  </si>
  <si>
    <t>WebkitMergeAnonymousBlockRemoveChildCrashtwoTest</t>
  </si>
  <si>
    <t>WebkitMeterElementCrashTest</t>
  </si>
  <si>
    <t>WebkitMeterElementWithChildCrashTest</t>
  </si>
  <si>
    <t>WebkitModCrashTest</t>
  </si>
  <si>
    <t>WebkitMouseMovedRemoveFrameCrashTest</t>
  </si>
  <si>
    <t>WebkitMoveByWordVisuallyCrashTestFourTest</t>
  </si>
  <si>
    <t>WebkitMoveByWordVisuallyCrashTestOneTest</t>
  </si>
  <si>
    <t>WebkitMoveByWordVisuallyCrashTestTextareaTest</t>
  </si>
  <si>
    <t>WebkitMoveByWordVisuallyCrashTestThreeTest</t>
  </si>
  <si>
    <t>WebkitMoveByWordVisuallyCrashTestTwoTest</t>
  </si>
  <si>
    <t>WebkitMsubAnonymousChildRenderCrashTest</t>
  </si>
  <si>
    <t>WebkitMultilineAndObjectInsideIsolateCrashTest</t>
  </si>
  <si>
    <t>WebkitMultipleCaptionsCrashfiveExpectedTest</t>
  </si>
  <si>
    <t>WebkitMultipleCaptionsCrashfiveTest</t>
  </si>
  <si>
    <t>WebkitMultipleCaptionsCrashfourExpectedTest</t>
  </si>
  <si>
    <t>WebkitMultipleCaptionsCrashfourTest</t>
  </si>
  <si>
    <t>WebkitMultipleCaptionsCrashthreeExpectedTest</t>
  </si>
  <si>
    <t>WebkitMultipleCaptionsCrashthreeTest</t>
  </si>
  <si>
    <t>WebkitMultipleCursorsCrashTest</t>
  </si>
  <si>
    <t>WebkitMutationCallbackNonElementCrashTest</t>
  </si>
  <si>
    <t>WebkitNamednodemapSetnameditemCrashTest</t>
  </si>
  <si>
    <t>WebkitNavigationRedirectScheduleCrashTest</t>
  </si>
  <si>
    <t>WebkitNavigatorCookieenabledNoCrashTest</t>
  </si>
  <si>
    <t>WebkitNavigatorDetachedNoCrashTest</t>
  </si>
  <si>
    <t>WebkitNavigatorPluginsCrashTest</t>
  </si>
  <si>
    <t>WebkitNegativeRemainingLengthCrashTest</t>
  </si>
  <si>
    <t>WebkitNestedBidiIsolateCrashTest</t>
  </si>
  <si>
    <t>WebkitNestedEventRemoveNodeCrashTest</t>
  </si>
  <si>
    <t>WebkitNestedFirstLetterWithFloatCrashTest</t>
  </si>
  <si>
    <t>WebkitNestedFragmentParserCrashTest</t>
  </si>
  <si>
    <t>WebkitNestedLayoutCrashTest</t>
  </si>
  <si>
    <t>WebkitNestedTablesWithBeforeAfterContentCrashTest</t>
  </si>
  <si>
    <t>WebkitNoOverhangingFloatCrashTest</t>
  </si>
  <si>
    <t>WebkitNodeFilterDetachedIframeCrashTest</t>
  </si>
  <si>
    <t>WebkitNodeIteratorDocumentMovedCrashTest</t>
  </si>
  <si>
    <t>WebkitNodeIteratorReferenceNodeMovedCrashTest</t>
  </si>
  <si>
    <t>WebkitNodeMoveToNewDocumentCrashMainTest</t>
  </si>
  <si>
    <t>WebkitNonExistentEventsourceStatusErrorIframeCrashTest</t>
  </si>
  <si>
    <t>WebkitNonNativeImageCrashTest</t>
  </si>
  <si>
    <t>WebkitNonStyledElementIdCrashTest</t>
  </si>
  <si>
    <t>WebkitNormalizeCrashTest</t>
  </si>
  <si>
    <t>WebkitNotificationsDocumentCloseCrashTest</t>
  </si>
  <si>
    <t>WebkitNotificationsWindowCloseCrashTest</t>
  </si>
  <si>
    <t>WebkitNullChardataCrashTest</t>
  </si>
  <si>
    <t>WebkitNullDocumentLocationAssignCrashTest</t>
  </si>
  <si>
    <t>WebkitNullDocumentLocationHrefPutCrashTest</t>
  </si>
  <si>
    <t>WebkitNullDocumentLocationPutCrashTest</t>
  </si>
  <si>
    <t>WebkitNullDocumentLocationReplaceCrashTest</t>
  </si>
  <si>
    <t>WebkitNullDocumentWindowOpenCrashTest</t>
  </si>
  <si>
    <t>WebkitNullPageShowModalDialogCrashTest</t>
  </si>
  <si>
    <t>WebkitNumberParsingCrashTest</t>
  </si>
  <si>
    <t>WebkitNumberParsingCrashTwoTest</t>
  </si>
  <si>
    <t>WebkitOneLetterTransformCrashTest</t>
  </si>
  <si>
    <t>WebkitOnloadRemoveIframeCrashTest</t>
  </si>
  <si>
    <t>WebkitOnloadRemoveIframeCrashTwoTest</t>
  </si>
  <si>
    <t>WebkitOnloadframecrashTest</t>
  </si>
  <si>
    <t>WebkitOnunloadFormSubmitCrashTest</t>
  </si>
  <si>
    <t>WebkitOnunloadFormSubmitCrashTwoTest</t>
  </si>
  <si>
    <t>WebkitOrphanedSelectionCrashBugthreetwoeighttwothreeFourTest</t>
  </si>
  <si>
    <t>WebkitOrphanedSelectionCrashBugthreetwoeighttwothreeOneTest</t>
  </si>
  <si>
    <t>WebkitOrphanedSelectionCrashBugthreetwoeighttwothreeThreeTest</t>
  </si>
  <si>
    <t>WebkitOrphanedSelectionCrashBugthreetwoeighttwothreeTwoTest</t>
  </si>
  <si>
    <t>WebkitOrphanedUnitsCrashTest</t>
  </si>
  <si>
    <t>WebkitOverflowCustomScrollbarCrashTest</t>
  </si>
  <si>
    <t>WebkitOverflowHeightFloatNotRemovedCrashTest</t>
  </si>
  <si>
    <t>WebkitOverflowHeightFloatNotRemovedCrashthreeTest</t>
  </si>
  <si>
    <t>WebkitOverflowHeightFloatNotRemovedCrashtwoTest</t>
  </si>
  <si>
    <t>WebkitOverhangingFloatLegendCrashTest</t>
  </si>
  <si>
    <t>WebkitOverhangingFloatsNotRemovedCrashTest</t>
  </si>
  <si>
    <t>WebkitOverrideTransitionCrashTest</t>
  </si>
  <si>
    <t>WebkitPageCacheCrashOnDataUrlsTest</t>
  </si>
  <si>
    <t>WebkitPaginatedLayerCrashTest</t>
  </si>
  <si>
    <t>WebkitParentBoxNotBoxCrashTest</t>
  </si>
  <si>
    <t>WebkitParentViewLayoutCrashTest</t>
  </si>
  <si>
    <t>WebkitParseColorIntOrPercentCrashTest</t>
  </si>
  <si>
    <t>WebkitParseTimingFunctionCrashTest</t>
  </si>
  <si>
    <t>WebkitPathGetpresentationattributeCrashTest</t>
  </si>
  <si>
    <t>WebkitPauseCrashTest</t>
  </si>
  <si>
    <t>WebkitPendingImagesCrashTest</t>
  </si>
  <si>
    <t>WebkitPendingReflectionMaskCrashTest</t>
  </si>
  <si>
    <t>WebkitPercentHeightDescendantNotRemovedCrashTest</t>
  </si>
  <si>
    <t>WebkitPlaceholderCrashWithScrollbarCornerTest</t>
  </si>
  <si>
    <t>WebkitPngExtraRowCrashTest</t>
  </si>
  <si>
    <t>WebkitPolylinePointsCrashTest</t>
  </si>
  <si>
    <t>WebkitPositionAbsoluteToFixedCrashTest</t>
  </si>
  <si>
    <t>WebkitPositionedBackgroundHitTestCrashTest</t>
  </si>
  <si>
    <t>WebkitPositionedChildNotRemovedCrashTest</t>
  </si>
  <si>
    <t>WebkitPositionedCountCrashTest</t>
  </si>
  <si>
    <t>WebkitPositionedDivWithFloatingAfterContentCrashFrameoneTest</t>
  </si>
  <si>
    <t>WebkitPositionedDivWithFloatingAfterContentCrashFrametwoTest</t>
  </si>
  <si>
    <t>WebkitPositionedDivWithFloatingAfterContentCrashTest</t>
  </si>
  <si>
    <t>WebkitPositionedGeneratedContentUnderRunInCrashTest</t>
  </si>
  <si>
    <t>WebkitPositionedInRelativePositionInlineCrashTest</t>
  </si>
  <si>
    <t>WebkitPrintCloseCrashTest</t>
  </si>
  <si>
    <t>WebkitProcessEndTagForInbodyCrashTest</t>
  </si>
  <si>
    <t>WebkitProgressElementWithChildCrashTest</t>
  </si>
  <si>
    <t>WebkitProgressElementWithStyleCrashTest</t>
  </si>
  <si>
    <t>WebkitRangeDeleteContentsEventFireCrashTest</t>
  </si>
  <si>
    <t>WebkitRangeExtractContentsEventFireCrashTest</t>
  </si>
  <si>
    <t>WebkitRangeExtractContentsEventFireCrashtwoTest</t>
  </si>
  <si>
    <t>WebkitRangeInsertnodeCrashTest</t>
  </si>
  <si>
    <t>WebkitRangeSelectionAcrossDocumentsCrashTest</t>
  </si>
  <si>
    <t>WebkitReEnterAndCrashTest</t>
  </si>
  <si>
    <t>WebkitRecalcSectionFirstBodyCrashMainTest</t>
  </si>
  <si>
    <t>WebkitRecalcSectionFirstBodyCrashTest</t>
  </si>
  <si>
    <t>WebkitRecursiveBeforeUnloadCrashTest</t>
  </si>
  <si>
    <t>WebkitRedirectWithNoLocationCrashTest</t>
  </si>
  <si>
    <t>WebkitReflectedImgCrashTest</t>
  </si>
  <si>
    <t>WebkitRegexpCharclassCrashTest</t>
  </si>
  <si>
    <t>WebkitRegexpCompileCrashTest</t>
  </si>
  <si>
    <t>WebkitRegexpExtendedCharactersCrashTest</t>
  </si>
  <si>
    <t>WebkitRegionRangeForBoxCrashTest</t>
  </si>
  <si>
    <t>WebkitRelativePositionReplacedInTableDisplayCrashTest</t>
  </si>
  <si>
    <t>WebkitRelativePositionedRtlCrashTest</t>
  </si>
  <si>
    <t>WebkitRelayoutNestedPositionedElementsCrashTest</t>
  </si>
  <si>
    <t>WebkitReloadCrashIframeTest</t>
  </si>
  <si>
    <t>WebkitReloadCrashTest</t>
  </si>
  <si>
    <t>WebkitRemovalBeforeAttachCrashTest</t>
  </si>
  <si>
    <t>WebkitRemovalOfMulticolSpanCrashTest</t>
  </si>
  <si>
    <t>WebkitRemoveAllChildrenCrashTest</t>
  </si>
  <si>
    <t>WebkitRemoveDivFromFlexibleBoxWithFloatingAfterContentCrashTest</t>
  </si>
  <si>
    <t>WebkitRemoveElementFromWithinFocusHandlerCrashTest</t>
  </si>
  <si>
    <t>WebkitRemoveFormatNonHtmlElementCrashTest</t>
  </si>
  <si>
    <t>WebkitRemoveFrameWithScrollbarsCrashTest</t>
  </si>
  <si>
    <t>WebkitRemoveIframeCrashTest</t>
  </si>
  <si>
    <t>WebkitRemoveListmarkerFromAnonblockWithContinuationCrashTest</t>
  </si>
  <si>
    <t>WebkitRemoveNamedAttributeCrashTest</t>
  </si>
  <si>
    <t>WebkitRemoveReflectionCrashTest</t>
  </si>
  <si>
    <t>WebkitRemoveRemoteContextInErrorCallbackCrashInnerTest</t>
  </si>
  <si>
    <t>WebkitRemoveRemoteContextInErrorCallbackCrashTest</t>
  </si>
  <si>
    <t>WebkitRemoveShadowHostCrashTest</t>
  </si>
  <si>
    <t>WebkitRemoveTimeoutCrashTest</t>
  </si>
  <si>
    <t>WebkitRemovedAnonymousBlockChildCausesCrashTest</t>
  </si>
  <si>
    <t>WebkitRemovedContinuationElementCausesCrashTest</t>
  </si>
  <si>
    <t>WebkitRemovedMediaRuleDeletedParentCrashTest</t>
  </si>
  <si>
    <t>WebkitRemovedStylesheetRuleDeletedParentCrashTest</t>
  </si>
  <si>
    <t>WebkitRemovingInsideRelpositionedInlineCrashTest</t>
  </si>
  <si>
    <t>WebkitRemovingTextareaAfterEditCrashTest</t>
  </si>
  <si>
    <t>WebkitRenderTextCrashTest</t>
  </si>
  <si>
    <t>WebkitRenderTreeReorgCrashTest</t>
  </si>
  <si>
    <t>WebkitRendererDestructionByInvalidateselectionCrashTest</t>
  </si>
  <si>
    <t>WebkitRendererPositionedAssertCrashTest</t>
  </si>
  <si>
    <t>WebkitRepaintDisplayNoneCrashTest</t>
  </si>
  <si>
    <t>WebkitReparentTableChildrenWithCountersCrashTest</t>
  </si>
  <si>
    <t>WebkitReplaceSelectionCrashTest</t>
  </si>
  <si>
    <t>WebkitReplaceTextInNodePreservingMarkersCrashTest</t>
  </si>
  <si>
    <t>WebkitReplacementFragmentRemoveUnrenderedNodeCrashTest</t>
  </si>
  <si>
    <t>WebkitResizeLayerDeletionCrashTest</t>
  </si>
  <si>
    <t>WebkitRootInlineboxSelectedChildrenCrashTest</t>
  </si>
  <si>
    <t>WebkitRootObjectPrematureDeleteCrashTest</t>
  </si>
  <si>
    <t>WebkitRowInTbodyBeforeMisnestedTextCrashCssTest</t>
  </si>
  <si>
    <t>WebkitRtlFirstLetterTextIteratorCrashTest</t>
  </si>
  <si>
    <t>WebkitRtlNthChildFirstLetterCrashTest</t>
  </si>
  <si>
    <t>WebkitRtlSelectionCrashTest</t>
  </si>
  <si>
    <t>WebkitRubyBaseMergeBlockChildrenCrashTest</t>
  </si>
  <si>
    <t>WebkitRubyOverhangCrashTest</t>
  </si>
  <si>
    <t>WebkitRunInCrashTest</t>
  </si>
  <si>
    <t>WebkitRuninContinuationCrashTest</t>
  </si>
  <si>
    <t>WebkitRuninReparentCrashTest</t>
  </si>
  <si>
    <t>WebkitSandboxedPluginCrashTest</t>
  </si>
  <si>
    <t>WebkitSavedStateAdoptnodeCrashTest</t>
  </si>
  <si>
    <t>WebkitScriptElementWithoutFrameCrashTest</t>
  </si>
  <si>
    <t>WebkitScrollableIframeRemoveCrashTest</t>
  </si>
  <si>
    <t>WebkitScrollbarCrashOnRefreshTest</t>
  </si>
  <si>
    <t>WebkitScrollbarGradientCrashTest</t>
  </si>
  <si>
    <t>WebkitScrollbarPartCreatedWithNoParentCrashTest</t>
  </si>
  <si>
    <t>WebkitSearchFieldCrashInDesignmodeTest</t>
  </si>
  <si>
    <t>WebkitSearchPopupCrasherTest</t>
  </si>
  <si>
    <t>WebkitSearchShadowHostCrashTest</t>
  </si>
  <si>
    <t>WebkitSectionInTableBeforeMisnestedTextCrashCssTest</t>
  </si>
  <si>
    <t>WebkitSelectCrashZerozerooneTest</t>
  </si>
  <si>
    <t>WebkitSelectCrashZerozerotwoTest</t>
  </si>
  <si>
    <t>WebkitSelectInRegionCrashTest</t>
  </si>
  <si>
    <t>WebkitSelectOnchangeCrashTest</t>
  </si>
  <si>
    <t>WebkitSelectOptionAccesskeyCrashTest</t>
  </si>
  <si>
    <t>WebkitSelectStartRemoveRootCrashTest</t>
  </si>
  <si>
    <t>WebkitSelectedTabCrashTest</t>
  </si>
  <si>
    <t>WebkitSelectionGapClipOutTigerCrashTest</t>
  </si>
  <si>
    <t>WebkitSelectionModifyCrashTest</t>
  </si>
  <si>
    <t>WebkitSelectionPluginClearCrashTest</t>
  </si>
  <si>
    <t>WebkitSetBoxStyleInRegionCrashTest</t>
  </si>
  <si>
    <t>WebkitSetTypeToNullCrashTest</t>
  </si>
  <si>
    <t>WebkitShorthandMismatchedListCrashTest</t>
  </si>
  <si>
    <t>WebkitSliderCrashTest</t>
  </si>
  <si>
    <t>WebkitSmallCapsCrashTest</t>
  </si>
  <si>
    <t>WebkitSmilElementNotRemovedCrashTest</t>
  </si>
  <si>
    <t>WebkitSortNoJitCodeCrashTest</t>
  </si>
  <si>
    <t>WebkitSpellcheckApiCrashTest</t>
  </si>
  <si>
    <t>WebkitSpellcheckInputSearchCrashTest</t>
  </si>
  <si>
    <t>WebkitSplitFlowAnonymousWrapperCrashTest</t>
  </si>
  <si>
    <t>WebkitSplitInlineWrongPostBlockCrashTest</t>
  </si>
  <si>
    <t>WebkitStaleGridCrashTest</t>
  </si>
  <si>
    <t>WebkitStaleStyleSelectorCrashOneTest</t>
  </si>
  <si>
    <t>WebkitStaleStyleSelectorCrashTwoTest</t>
  </si>
  <si>
    <t>WebkitStateApiOnDetachedFrameCrashTest</t>
  </si>
  <si>
    <t>WebkitStatementListRegisterCrashTest</t>
  </si>
  <si>
    <t>WebkitStopCrashTest</t>
  </si>
  <si>
    <t>WebkitStringReplaceExceptionCrashTest</t>
  </si>
  <si>
    <t>WebkitStyleAccessDuringImagechangedCrashTest</t>
  </si>
  <si>
    <t>WebkitStyledCloneInlineStyleDeclParentCrashTest</t>
  </si>
  <si>
    <t>WebkitStyledNotInDocumentCloneInlineStyleDeclParentCrashTest</t>
  </si>
  <si>
    <t>WebkitStylesheetCandidateNodeCrashMainTest</t>
  </si>
  <si>
    <t>WebkitSubframeLoadCrashMainTest</t>
  </si>
  <si>
    <t>WebkitSubresourceLoadFailedCrashTest</t>
  </si>
  <si>
    <t>WebkitSvgBackgroundCrashOnRefreshTest</t>
  </si>
  <si>
    <t>WebkitSvgEllipseRenderCrashTest</t>
  </si>
  <si>
    <t>WebkitSvgRtlTextCrashTest</t>
  </si>
  <si>
    <t>WebkitSvglengthAnimationRetargetCrashTest</t>
  </si>
  <si>
    <t>WebkitSvgpolygonelementBasevalListRemovalCrashTest</t>
  </si>
  <si>
    <t>WebkitSvgstyledelementPendingresourceCrashTest</t>
  </si>
  <si>
    <t>WebkitSwitchMultipleListItemsCrashTest</t>
  </si>
  <si>
    <t>WebkitTabCrashWithImageMapTest</t>
  </si>
  <si>
    <t>WebkitTableAnonymousBlockDestroyCrashTest</t>
  </si>
  <si>
    <t>WebkitTableCaptionsChildVisibleCrashTest</t>
  </si>
  <si>
    <t>WebkitTableColumnsBlocksCalcCrashTest</t>
  </si>
  <si>
    <t>WebkitTableContinuationOutlinePaintCrashTest</t>
  </si>
  <si>
    <t>WebkitTableModificationCrashTest</t>
  </si>
  <si>
    <t>WebkitTableMultiColumnCrashTest</t>
  </si>
  <si>
    <t>WebkitTableResidualStyleCrashTest</t>
  </si>
  <si>
    <t>WebkitTableRowAfterNoCrashTest</t>
  </si>
  <si>
    <t>WebkitTableRowCompositingRepaintCrashTest</t>
  </si>
  <si>
    <t>WebkitTableSectionNodeAtPointCrashTest</t>
  </si>
  <si>
    <t>WebkitTableWithEmptyTheadCausesCrashTest</t>
  </si>
  <si>
    <t>WebkitTeardownCrashTest</t>
  </si>
  <si>
    <t>WebkitTemporarySpanCrashTest</t>
  </si>
  <si>
    <t>WebkitTextBeforeTableColCrashTest</t>
  </si>
  <si>
    <t>WebkitTextContentCrashTest</t>
  </si>
  <si>
    <t>WebkitTextContentCrashTwoTest</t>
  </si>
  <si>
    <t>WebkitTextControlCrashOnSelectTest</t>
  </si>
  <si>
    <t>WebkitTextControlSelectionCrashTest</t>
  </si>
  <si>
    <t>WebkitTextFieldSetvalueCrashTest</t>
  </si>
  <si>
    <t>WebkitTextNodeAppendDataRemoveCrashTest</t>
  </si>
  <si>
    <t>WebkitTextSetValueCrashTest</t>
  </si>
  <si>
    <t>WebkitTextStyleRecalcCrashTest</t>
  </si>
  <si>
    <t>WebkitTextareaCheckvalidityCrashTest</t>
  </si>
  <si>
    <t>WebkitTextareaNodeRemovedFromDocumentCrashTest</t>
  </si>
  <si>
    <t>WebkitTextareaSubmitCrashTest</t>
  </si>
  <si>
    <t>WebkitTextboxNotRemovedCrashTest</t>
  </si>
  <si>
    <t>WebkitTextboxRoleOnContenteditableCrashTest</t>
  </si>
  <si>
    <t>WebkitThumbsliderCrashTest</t>
  </si>
  <si>
    <t>WebkitToggleReflectionCrashTest</t>
  </si>
  <si>
    <t>WebkitTouchStaleNodeCrashTest</t>
  </si>
  <si>
    <t>WebkitTrackTextTrackDestructorCrashTest</t>
  </si>
  <si>
    <t>WebkitTransactionCallbackExceptionCrashTest</t>
  </si>
  <si>
    <t>WebkitTransactionCrashOnAbortTest</t>
  </si>
  <si>
    <t>WebkitTransformCrashTest</t>
  </si>
  <si>
    <t>WebkitTransitionCacheDictionaryCrashTest</t>
  </si>
  <si>
    <t>WebkitTransitionDurationClearedInTransitionendCrashTest</t>
  </si>
  <si>
    <t>WebkitTreeScopeCrashTest</t>
  </si>
  <si>
    <t>WebkitTrefCloneCrashTest</t>
  </si>
  <si>
    <t>WebkitTryCatchCrashTest</t>
  </si>
  <si>
    <t>WebkitTwodTest</t>
  </si>
  <si>
    <t>WebkitTypeofCodegenCrashTest</t>
  </si>
  <si>
    <t>WebkitUndefinedPropertyCrashTest</t>
  </si>
  <si>
    <t>WebkitUndoCrashTest</t>
  </si>
  <si>
    <t>WebkitUnexpectedConstantCrashTest</t>
  </si>
  <si>
    <t>WebkitUniscribeItemBoundaryCrashTest</t>
  </si>
  <si>
    <t>WebkitUnsupportedAttributeDoesNotCrashTest</t>
  </si>
  <si>
    <t>WebkitUpdateAlwaysCreateLineBoxesFullLayoutCrashTest</t>
  </si>
  <si>
    <t>WebkitUpdateFromElementDuringEditingCrashOneTest</t>
  </si>
  <si>
    <t>WebkitUpdateFromElementDuringEditingCrashTwoTest</t>
  </si>
  <si>
    <t>WebkitUpdateMidpointsForTrailingBoxesCrashTest</t>
  </si>
  <si>
    <t>WebkitUpdateWidgetsCrashTest</t>
  </si>
  <si>
    <t>WebkitUpdatingAttributeInTableCausesCrashTest</t>
  </si>
  <si>
    <t>WebkitUpdatingAttributeInTableRowCrashTest</t>
  </si>
  <si>
    <t>WebkitUseStyleRecalcScriptExecuteCrashTest</t>
  </si>
  <si>
    <t>WebkitUserStylesheetCrashTest</t>
  </si>
  <si>
    <t>WebkitValueListOutOfBoundsCrashTest</t>
  </si>
  <si>
    <t>WebkitValueWithoutSelectionCrashTest</t>
  </si>
  <si>
    <t>WebkitVarShadowsArgCrashTest</t>
  </si>
  <si>
    <t>WebkitVarShadowsArgGcCrashTest</t>
  </si>
  <si>
    <t>WebkitVideoDisplayNoneCrashTest</t>
  </si>
  <si>
    <t>WebkitVideoElementOtherNamespaceCrashTest</t>
  </si>
  <si>
    <t>WebkitVideoLayerCrashTest</t>
  </si>
  <si>
    <t>WebkitVisiblePositionCrashForTextNodeTest</t>
  </si>
  <si>
    <t>WebkitVkernElementCrashTest</t>
  </si>
  <si>
    <t>WebkitWbrInMrootCrashTest</t>
  </si>
  <si>
    <t>WebkitWbrInPreCrashTest</t>
  </si>
  <si>
    <t>WebkitWindowCloseCrashTest</t>
  </si>
  <si>
    <t>WebkitWindowClosedCrashTest</t>
  </si>
  <si>
    <t>WebkitWindowCollectionLengthNoCrashTest</t>
  </si>
  <si>
    <t>WebkitWindowCustomPrototypeCrashTest</t>
  </si>
  <si>
    <t>WebkitWindowDomurlCrashTest</t>
  </si>
  <si>
    <t>WebkitWindowEventOverrideNoCrashTest</t>
  </si>
  <si>
    <t>WebkitWordBreakNextLineboxNotDirtyCrashMainTest</t>
  </si>
  <si>
    <t>WebkitWordBreakNextLineboxNotDirtyCrashTest</t>
  </si>
  <si>
    <t>WebkitWorkerCrashWithInvalidLocationTest</t>
  </si>
  <si>
    <t>WebkitWorkerFinishCrashTest</t>
  </si>
  <si>
    <t>WebkitXFrameOptionsDetachedDocumentCrashTest</t>
  </si>
  <si>
    <t>WebkitXmlhttprequestPostCrashTest</t>
  </si>
  <si>
    <t>WebkitXpathDetachedIframeResolverCrashTest</t>
  </si>
  <si>
    <t>WebkitXpathResultEventlistenerCrashTest</t>
  </si>
  <si>
    <t>WebkitXsltTransformToFragmentCrashTest</t>
  </si>
  <si>
    <t>WebkitXssAuditorDoesntCrashOnPostSubmitTest</t>
  </si>
  <si>
    <t>WebkitZeroColspanCrashTest</t>
  </si>
  <si>
    <t>test_glAttachShaders_successfulcompile_attach_invalid_handle_frag</t>
  </si>
  <si>
    <t>CacheManagerTest</t>
  </si>
  <si>
    <t>testGetCacheFileBaseDir</t>
  </si>
  <si>
    <t>testCacheTransaction</t>
  </si>
  <si>
    <t>testCacheFile</t>
  </si>
  <si>
    <t>CacheManager_CacheResultTest</t>
  </si>
  <si>
    <t>testCacheResult</t>
  </si>
  <si>
    <t>testClearCache</t>
  </si>
  <si>
    <t>test_S0P0</t>
  </si>
  <si>
    <t>test_S1P000005</t>
  </si>
  <si>
    <t>test_S2P00001</t>
  </si>
  <si>
    <t>test_S3P00001</t>
  </si>
  <si>
    <t>test_S4P00001</t>
  </si>
  <si>
    <t>test_S5P00001</t>
  </si>
  <si>
    <t>test_S6P00002</t>
  </si>
  <si>
    <t>test_glAttachedShaders_attach_same_shader</t>
  </si>
  <si>
    <t>test_glAttachedShaders_invalidshader</t>
  </si>
  <si>
    <t>test_glAttachShaders_emptyfragshader_emptyfragshader</t>
  </si>
  <si>
    <t>test_glAttachShaders_emptyvertexshader_emptyvertexshader</t>
  </si>
  <si>
    <t>readExternalStorage</t>
  </si>
  <si>
    <t>writeExternalStorage</t>
  </si>
  <si>
    <t>testCopyFromAllocation</t>
  </si>
  <si>
    <t>testResize</t>
  </si>
  <si>
    <t>testForEachBoundsIn</t>
  </si>
  <si>
    <t>testForEachBoundsOut</t>
  </si>
  <si>
    <t>testForEachBoundsInOut</t>
  </si>
  <si>
    <t>getFileObbSame</t>
  </si>
  <si>
    <t>runClippedIntrinsic</t>
  </si>
  <si>
    <t>testSetAndGetCertificate</t>
  </si>
  <si>
    <t>testGetDisplayAttrs</t>
  </si>
  <si>
    <t>testGetFusedLocationUpdates_withIntent</t>
  </si>
  <si>
    <t>testGetFusedLocationUpdates_withListener</t>
  </si>
  <si>
    <t>testAvailableJavascriptObjects</t>
  </si>
  <si>
    <t>testMemcpy</t>
  </si>
  <si>
    <t>testProcessOutgoingCall</t>
  </si>
  <si>
    <t>sendSms</t>
  </si>
  <si>
    <t>testLaunchAppVerifyUi</t>
  </si>
  <si>
    <t>testWebViewTextTraversal</t>
  </si>
  <si>
    <t>testAccessLightTouchEnabled</t>
  </si>
  <si>
    <t>MyWebViewClient</t>
  </si>
  <si>
    <t>onReceivedHttpAuthRequest</t>
  </si>
  <si>
    <t>testAccessNavDump</t>
  </si>
  <si>
    <t>testAccessUserAgent</t>
  </si>
  <si>
    <t>testSaveAndRestorePicture</t>
  </si>
  <si>
    <t>testAccessSavePassword</t>
  </si>
  <si>
    <t>testSavePassword</t>
  </si>
  <si>
    <t>testOctane</t>
  </si>
  <si>
    <t>testRoboHornet</t>
  </si>
  <si>
    <t>register</t>
  </si>
  <si>
    <t>unregister</t>
  </si>
  <si>
    <t>runBenchmarking</t>
  </si>
  <si>
    <t>startLogMonitoring</t>
  </si>
  <si>
    <t>stopLogMonitoring</t>
  </si>
  <si>
    <t>checkNewImageIfAvailable</t>
  </si>
  <si>
    <t>VideoRender</t>
  </si>
  <si>
    <t>getTextureId</t>
  </si>
  <si>
    <t>onSurfaceCreated</t>
  </si>
  <si>
    <t>loadShader</t>
  </si>
  <si>
    <t>createProgram</t>
  </si>
  <si>
    <t>checkGlError</t>
  </si>
  <si>
    <t>getSupportedFormatInfo</t>
  </si>
  <si>
    <t>getCodecCapability</t>
  </si>
  <si>
    <t>printIntArray</t>
  </si>
  <si>
    <t>ProceedHttpAuthClient</t>
  </si>
  <si>
    <t>CancelHttpAuthClient</t>
  </si>
  <si>
    <t>incorrectCredentialsAccessDenied</t>
  </si>
  <si>
    <t>missingCredentialsAccessDenied</t>
  </si>
  <si>
    <t>correctCredentialsAccessGranted</t>
  </si>
  <si>
    <t>testUseHttpAuthUsernamePassword</t>
  </si>
  <si>
    <t>ValueCheck</t>
  </si>
  <si>
    <t>check</t>
  </si>
  <si>
    <t>onReceiveValue</t>
  </si>
  <si>
    <t>testDatabaseEnabled</t>
  </si>
  <si>
    <t>testDatabaseDisabled</t>
  </si>
  <si>
    <t>onSaveInstanceState</t>
  </si>
  <si>
    <t>testEncodeDecodeVideoFromBuffer</t>
  </si>
  <si>
    <t>SurfaceStuff</t>
  </si>
  <si>
    <t>eglSetup</t>
  </si>
  <si>
    <t>checkEglError</t>
  </si>
  <si>
    <t>getSurface</t>
  </si>
  <si>
    <t>awaitNewImage</t>
  </si>
  <si>
    <t>onFrameAvailable</t>
  </si>
  <si>
    <t>checkSurfaceFrame</t>
  </si>
  <si>
    <t>getChunk</t>
  </si>
  <si>
    <t>findNonAndroidOpaqueColorFormat</t>
  </si>
  <si>
    <t>testGetSpanString</t>
  </si>
  <si>
    <t>testDateFormat</t>
  </si>
  <si>
    <t>testRequestTriggerWithNonTriggerSensor</t>
  </si>
  <si>
    <t>testCancelTriggerWithNonTriggerSensor</t>
  </si>
  <si>
    <t>testRegisterWithTriggerSensor</t>
  </si>
  <si>
    <t>testRegisterTwiceWithSameSensor</t>
  </si>
  <si>
    <t>onTrigger</t>
  </si>
  <si>
    <t>onSensorChanged</t>
  </si>
  <si>
    <t>onAccuracyChanged</t>
  </si>
  <si>
    <t>testSeccomp</t>
  </si>
  <si>
    <t>getIgnorablesFromPaths</t>
  </si>
  <si>
    <t>testFrameIntervals</t>
  </si>
  <si>
    <t>testGetMobileStats</t>
  </si>
  <si>
    <t>testGetLicenseRequest</t>
  </si>
  <si>
    <t>testGetLicenseRequestNoOptionalParameters</t>
  </si>
  <si>
    <t>testProvideLicenseResponse</t>
  </si>
  <si>
    <t>testRemoveLicense</t>
  </si>
  <si>
    <t>testQueryLicenseStatus</t>
  </si>
  <si>
    <t>testAllBlockDevicesAreSecure</t>
  </si>
  <si>
    <t>getAllInsecureBlockDevicesInDirAndSubdir</t>
  </si>
  <si>
    <t>testIsRtlContext</t>
  </si>
  <si>
    <t>testBuilderIsRtlContext</t>
  </si>
  <si>
    <t>testIsRtl</t>
  </si>
  <si>
    <t>testDirAttrValue</t>
  </si>
  <si>
    <t>testDirAttr</t>
  </si>
  <si>
    <t>testMarkAfter</t>
  </si>
  <si>
    <t>testMarkBefore</t>
  </si>
  <si>
    <t>testMark</t>
  </si>
  <si>
    <t>testStartEdge</t>
  </si>
  <si>
    <t>testEndEdge</t>
  </si>
  <si>
    <t>testUnicodeWrap</t>
  </si>
  <si>
    <t>testSpanWrap</t>
  </si>
  <si>
    <t>setSize</t>
  </si>
  <si>
    <t>FailedUiTestScreenshotGenerator</t>
  </si>
  <si>
    <t>testFailed</t>
  </si>
  <si>
    <t>testAllDevicesAreSecure</t>
  </si>
  <si>
    <t>testMemcpyK004</t>
  </si>
  <si>
    <t>testMemcpyK008</t>
  </si>
  <si>
    <t>testMemcpyK016</t>
  </si>
  <si>
    <t>testMemcpyK032</t>
  </si>
  <si>
    <t>testMemcpyK064</t>
  </si>
  <si>
    <t>testMemcpyK128</t>
  </si>
  <si>
    <t>testMemcpyK256</t>
  </si>
  <si>
    <t>testMemcpyK512</t>
  </si>
  <si>
    <t>testMemcpyM001</t>
  </si>
  <si>
    <t>testMemcpyM002</t>
  </si>
  <si>
    <t>testMemcpyM004</t>
  </si>
  <si>
    <t>testMemcpyM008</t>
  </si>
  <si>
    <t>testMemcpyM016</t>
  </si>
  <si>
    <t>testMemsetK004</t>
  </si>
  <si>
    <t>testMemsetK008</t>
  </si>
  <si>
    <t>testMemsetK016</t>
  </si>
  <si>
    <t>testMemsetK032</t>
  </si>
  <si>
    <t>testMemsetK064</t>
  </si>
  <si>
    <t>testMemsetK128</t>
  </si>
  <si>
    <t>testMemsetK256</t>
  </si>
  <si>
    <t>testMemsetK512</t>
  </si>
  <si>
    <t>testMemsetM001</t>
  </si>
  <si>
    <t>testMemsetM002</t>
  </si>
  <si>
    <t>testMemsetM004</t>
  </si>
  <si>
    <t>testMemsetM008</t>
  </si>
  <si>
    <t>testMemsetM016</t>
  </si>
  <si>
    <t>doRunMemcpy</t>
  </si>
  <si>
    <t>doRunMemset</t>
  </si>
  <si>
    <t>AlmostFullTest</t>
  </si>
  <si>
    <t>testSequentialUpdate</t>
  </si>
  <si>
    <t>testRandomRead</t>
  </si>
  <si>
    <t>testRandomUpdate</t>
  </si>
  <si>
    <t>testSort004KB</t>
  </si>
  <si>
    <t>testSort128KB</t>
  </si>
  <si>
    <t>testSort001MB</t>
  </si>
  <si>
    <t>testMatrixMultiplication032</t>
  </si>
  <si>
    <t>testMatrixMultiplication128</t>
  </si>
  <si>
    <t>testMatrixMultiplication200</t>
  </si>
  <si>
    <t>testMatrixMultiplication400</t>
  </si>
  <si>
    <t>testMatrixMultiplication600</t>
  </si>
  <si>
    <t>warmUpCpu</t>
  </si>
  <si>
    <t>doTestSort</t>
  </si>
  <si>
    <t>doMatrixMultiplication</t>
  </si>
  <si>
    <t>FpsTest</t>
  </si>
  <si>
    <t>testFrameJankiness</t>
  </si>
  <si>
    <t>testAvc0176x0144</t>
  </si>
  <si>
    <t>testAvc0352x0288</t>
  </si>
  <si>
    <t>testAvc0720x0480</t>
  </si>
  <si>
    <t>testAvc1280x0720</t>
  </si>
  <si>
    <t>testAvc1920x1072</t>
  </si>
  <si>
    <t>runEncoder</t>
  </si>
  <si>
    <t>queueInputBufferEncoder</t>
  </si>
  <si>
    <t>dequeueOutputBufferEncoder</t>
  </si>
  <si>
    <t>runDecoder</t>
  </si>
  <si>
    <t>getOrigin</t>
  </si>
  <si>
    <t>initYUVPlane</t>
  </si>
  <si>
    <t>YUVValue</t>
  </si>
  <si>
    <t>equalTo</t>
  </si>
  <si>
    <t>calcErrorSquared</t>
  </si>
  <si>
    <t>getPixelValuesFromYUVBuffers</t>
  </si>
  <si>
    <t>getPixelValuesFromOutputBuffer</t>
  </si>
  <si>
    <t>clampY</t>
  </si>
  <si>
    <t>printByteArray</t>
  </si>
  <si>
    <t>printByteBuffer</t>
  </si>
  <si>
    <t>testBootupTime</t>
  </si>
  <si>
    <t>rebootDevice</t>
  </si>
  <si>
    <t>testMeasureTaskSwitching</t>
  </si>
  <si>
    <t>startActivity</t>
  </si>
  <si>
    <t>testInstallTime</t>
  </si>
  <si>
    <t>testTaskswitching</t>
  </si>
  <si>
    <t>testEnded</t>
  </si>
  <si>
    <t>testDnsWorks</t>
  </si>
  <si>
    <t>testDnsPerf</t>
  </si>
  <si>
    <t>testAccessibilityServiceInfoForEnabledService</t>
  </si>
  <si>
    <t>assertSystemMountedROIn</t>
  </si>
  <si>
    <t>testDispatchTrackballEvent</t>
  </si>
  <si>
    <t>testDecodeReuse1</t>
  </si>
  <si>
    <t>testDecodeReuse2</t>
  </si>
  <si>
    <t>testDecodeReuse3</t>
  </si>
  <si>
    <t>BaseKeyListenerTest</t>
  </si>
  <si>
    <t>setTextViewText</t>
  </si>
  <si>
    <t>prepareTextView</t>
  </si>
  <si>
    <t>DateKeyListenerTest</t>
  </si>
  <si>
    <t>getAcceptedChars</t>
  </si>
  <si>
    <t>DateTimeKeyListenerTest</t>
  </si>
  <si>
    <t>DigitsKeyListenerTest</t>
  </si>
  <si>
    <t>MyDigitsKeyListener</t>
  </si>
  <si>
    <t>MultiTapKeyListenerTest</t>
  </si>
  <si>
    <t>NumberKeyListenerTest</t>
  </si>
  <si>
    <t>QwertyKeyListenerTest</t>
  </si>
  <si>
    <t>TextKeyListenerTest</t>
  </si>
  <si>
    <t>TimeKeyListenerTest</t>
  </si>
  <si>
    <t>testGLReferenceBenchmark</t>
  </si>
  <si>
    <t>JankTest</t>
  </si>
  <si>
    <t>testFullPipeline</t>
  </si>
  <si>
    <t>testPixelOutput</t>
  </si>
  <si>
    <t>testShaderPerf</t>
  </si>
  <si>
    <t>testContextSwitch</t>
  </si>
  <si>
    <t>runBenchmark</t>
  </si>
  <si>
    <t>runGLPrimitiveBenchmark</t>
  </si>
  <si>
    <t>needMoreDeltas</t>
  </si>
  <si>
    <t>calcJank</t>
  </si>
  <si>
    <t>clearBuffer</t>
  </si>
  <si>
    <t>dumpBuffer</t>
  </si>
  <si>
    <t>runShellCommand</t>
  </si>
  <si>
    <t>testFormatMethods</t>
  </si>
  <si>
    <t>getAllAspectRatios</t>
  </si>
  <si>
    <t>getAspectRatio</t>
  </si>
  <si>
    <t>startOrientationActivity</t>
  </si>
  <si>
    <t>testCreatePublicVirtualDisplay</t>
  </si>
  <si>
    <t>testCreateSecureVirtualDisplay</t>
  </si>
  <si>
    <t>testCreatePrivateVirtualDisplay</t>
  </si>
  <si>
    <t>testCoerceToLocalContentProvider</t>
  </si>
  <si>
    <t>assertArrayNotEmpty</t>
  </si>
  <si>
    <t>testNoLoadableModules</t>
  </si>
  <si>
    <t>isMockPluginInstalled</t>
  </si>
  <si>
    <t>testKeyPairGenerator_GenerateKeyPair_Unencrypted_Success</t>
  </si>
  <si>
    <t>makeUserKey1</t>
  </si>
  <si>
    <t>test2038</t>
  </si>
  <si>
    <t>formatFull</t>
  </si>
  <si>
    <t>findVold</t>
  </si>
  <si>
    <t>addTestProvider</t>
  </si>
  <si>
    <t>onCameraDeviceError</t>
  </si>
  <si>
    <t>testCameraDeviceCreateCaptureRequest</t>
  </si>
  <si>
    <t>testIsCryptoSchemeSupported</t>
  </si>
  <si>
    <t>childAccessibilityStateChanged</t>
  </si>
  <si>
    <t>testCrossF32_3_relaxed</t>
  </si>
  <si>
    <t>testCrossF32_4_relaxed</t>
  </si>
  <si>
    <t>testCodecReconfigH264WithoutSurface</t>
  </si>
  <si>
    <t>testCodecReconfigH264WithSurface</t>
  </si>
  <si>
    <t>testCodecReconfigH263WithoutSurface</t>
  </si>
  <si>
    <t>testCodecReconfigH263WithSurface</t>
  </si>
  <si>
    <t>testCodecReconfigMpeg4WithoutSurface</t>
  </si>
  <si>
    <t>testCodecReconfigMpeg4WithSurface</t>
  </si>
  <si>
    <t>testCodecReconfigVP8WithoutSurface</t>
  </si>
  <si>
    <t>testCodecReconfigVP8WithSurface</t>
  </si>
  <si>
    <t>testCodecReconfigVP9WithoutSurface</t>
  </si>
  <si>
    <t>testCodecReconfigVP9WithSurface</t>
  </si>
  <si>
    <t>testCodecReconfigMp3</t>
  </si>
  <si>
    <t>testCodecReconfigM4a</t>
  </si>
  <si>
    <t>setCancelable</t>
  </si>
  <si>
    <t>testReadExternalStorage</t>
  </si>
  <si>
    <t>testResolveActivity</t>
  </si>
  <si>
    <t>SimpleDeviceListener</t>
  </si>
  <si>
    <t>waitForIdle</t>
  </si>
  <si>
    <t>clearIdleFlag</t>
  </si>
  <si>
    <t>onCameraIdle</t>
  </si>
  <si>
    <t>onCameraDisconnected</t>
  </si>
  <si>
    <t>onCameraError</t>
  </si>
  <si>
    <t>testCameraDeviceCreateCaptureBuilder</t>
  </si>
  <si>
    <t>testCameraPropertiesAndroidControlAeAvailableAntibandingModes</t>
  </si>
  <si>
    <t>testCameraPropertiesAndroidControlAeAvailableTargetFpsRanges</t>
  </si>
  <si>
    <t>testCameraPropertiesAndroidControlAeCompensationRange</t>
  </si>
  <si>
    <t>testCameraPropertiesAndroidControlAeCompensationStep</t>
  </si>
  <si>
    <t>testCameraPropertiesAndroidControlAfAvailableModes</t>
  </si>
  <si>
    <t>testCameraPropertiesAndroidControlAvailableEffects</t>
  </si>
  <si>
    <t>testCameraPropertiesAndroidControlAvailableSceneModes</t>
  </si>
  <si>
    <t>testCameraPropertiesAndroidControlAvailableVideoStabilizationModes</t>
  </si>
  <si>
    <t>testCameraPropertiesAndroidControlAwbAvailableModes</t>
  </si>
  <si>
    <t>testCameraPropertiesAndroidControlMaxRegions</t>
  </si>
  <si>
    <t>testCameraPropertiesAndroidFlashInfoAvailable</t>
  </si>
  <si>
    <t>testCameraPropertiesAndroidJpegAvailableThumbnailSizes</t>
  </si>
  <si>
    <t>testCameraPropertiesAndroidLensFacing</t>
  </si>
  <si>
    <t>testCameraPropertiesAndroidLensInfoAvailableApertures</t>
  </si>
  <si>
    <t>testCameraPropertiesAndroidLensInfoAvailableFilterDensities</t>
  </si>
  <si>
    <t>testCameraPropertiesAndroidLensInfoAvailableFocalLengths</t>
  </si>
  <si>
    <t>testCameraPropertiesAndroidLensInfoAvailableOpticalStabilization</t>
  </si>
  <si>
    <t>testCameraPropertiesAndroidLensInfoHyperfocalDistance</t>
  </si>
  <si>
    <t>testCameraPropertiesAndroidLensInfoMinimumFocusDistance</t>
  </si>
  <si>
    <t>testCameraPropertiesAndroidLensInfoShadingMapSize</t>
  </si>
  <si>
    <t>testCameraPropertiesAndroidRequestMaxNumOutputStreams</t>
  </si>
  <si>
    <t>testCameraPropertiesAndroidScalerAvailableFormats</t>
  </si>
  <si>
    <t>testCameraPropertiesAndroidScalerAvailableJpegMinDurations</t>
  </si>
  <si>
    <t>testCameraPropertiesAndroidScalerAvailableJpegSizes</t>
  </si>
  <si>
    <t>testCameraPropertiesAndroidScalerAvailableMaxDigitalZoom</t>
  </si>
  <si>
    <t>testCameraPropertiesAndroidScalerAvailableProcessedMinDurations</t>
  </si>
  <si>
    <t>testCameraPropertiesAndroidScalerAvailableProcessedSizes</t>
  </si>
  <si>
    <t>testCameraPropertiesAndroidSensorBaseGainFactor</t>
  </si>
  <si>
    <t>testCameraPropertiesAndroidSensorMaxAnalogSensitivity</t>
  </si>
  <si>
    <t>testCameraPropertiesAndroidSensorOrientation</t>
  </si>
  <si>
    <t>testCameraPropertiesAndroidSensorInfoActiveArraySize</t>
  </si>
  <si>
    <t>testCameraPropertiesAndroidSensorInfoSensitivityRange</t>
  </si>
  <si>
    <t>testCameraPropertiesAndroidSensorInfoExposureTimeRange</t>
  </si>
  <si>
    <t>testCameraPropertiesAndroidSensorInfoMaxFrameDuration</t>
  </si>
  <si>
    <t>testCameraPropertiesAndroidSensorInfoPhysicalSize</t>
  </si>
  <si>
    <t>testCameraPropertiesAndroidStatisticsInfoAvailableFaceDetectModes</t>
  </si>
  <si>
    <t>testCameraPropertiesAndroidStatisticsInfoMaxFaceCount</t>
  </si>
  <si>
    <t>testCameraPropertiesAndroidTonemapMaxCurvePoints</t>
  </si>
  <si>
    <t>testCameraPropertiesAndroidInfoSupportedHardwareLevel</t>
  </si>
  <si>
    <t>testCameraManagerGetCameraProperties</t>
  </si>
  <si>
    <t>testCameraDeviceGetProperties</t>
  </si>
  <si>
    <t>testAcquireContentProviderClient</t>
  </si>
  <si>
    <t>testChoreographed</t>
  </si>
  <si>
    <t>assertExternalStorageMounted</t>
  </si>
  <si>
    <t>testFailReadExternalStorage</t>
  </si>
  <si>
    <t>writeInt</t>
  </si>
  <si>
    <t>readInt</t>
  </si>
  <si>
    <t>testPackageDirs</t>
  </si>
  <si>
    <t>testPickImage</t>
  </si>
  <si>
    <t>testPickVideo</t>
  </si>
  <si>
    <t>testPickAudio</t>
  </si>
  <si>
    <t>testViewImage</t>
  </si>
  <si>
    <t>testViewVideo</t>
  </si>
  <si>
    <t>testViewAudio</t>
  </si>
  <si>
    <t>testSearchActions</t>
  </si>
  <si>
    <t>onIdle</t>
  </si>
  <si>
    <t>onDisconnected</t>
  </si>
  <si>
    <t>onOpened</t>
  </si>
  <si>
    <t>testVarianceWhileStatic</t>
  </si>
  <si>
    <t>testRegisterHandler</t>
  </si>
  <si>
    <t>testGetSurrogate</t>
  </si>
  <si>
    <t>service</t>
  </si>
  <si>
    <t>getPluginData</t>
  </si>
  <si>
    <t>getMaxFrequencySupportedInuS</t>
  </si>
  <si>
    <t>getSensorType</t>
  </si>
  <si>
    <t>testEventValidity</t>
  </si>
  <si>
    <t>testStandardDeviationWhileStatic</t>
  </si>
  <si>
    <t>EvaluateJsResultPollingCheck</t>
  </si>
  <si>
    <t>testSuccess</t>
  </si>
  <si>
    <t>testModeOff</t>
  </si>
  <si>
    <t>testCertificates</t>
  </si>
  <si>
    <t>getExpectedCertificates</t>
  </si>
  <si>
    <t>PtsHostJankTest</t>
  </si>
  <si>
    <t>runUiAutomatorTest</t>
  </si>
  <si>
    <t>getMaximumSizeDimension</t>
  </si>
  <si>
    <t>getFilePath</t>
  </si>
  <si>
    <t>SignatureTest</t>
  </si>
  <si>
    <t>addReportObserver</t>
  </si>
  <si>
    <t>removeReportObserver</t>
  </si>
  <si>
    <t>clearReportObserverList</t>
  </si>
  <si>
    <t>notifyFailure</t>
  </si>
  <si>
    <t>beginDocument</t>
  </si>
  <si>
    <t>loadFieldInfo</t>
  </si>
  <si>
    <t>loadMethodInfo</t>
  </si>
  <si>
    <t>loadConstructorInfo</t>
  </si>
  <si>
    <t>loadClassInfo</t>
  </si>
  <si>
    <t>modifierDescriptionToReflectedType</t>
  </si>
  <si>
    <t>jdiffModifierToReflectionFormat</t>
  </si>
  <si>
    <t>blockingStartPreview</t>
  </si>
  <si>
    <t>testGetFavicon</t>
  </si>
  <si>
    <t>testInternals</t>
  </si>
  <si>
    <t>checkBitmapInsideAnother</t>
  </si>
  <si>
    <t>comparePixel</t>
  </si>
  <si>
    <t>testLoadUrlDoesNotStripParamsWhenLoadingContentUrls</t>
  </si>
  <si>
    <t>testEriteCallbackNotCalled</t>
  </si>
  <si>
    <t>waitForAdapterCallbackFinish</t>
  </si>
  <si>
    <t>waitForLayoutAdapterCallbackCount</t>
  </si>
  <si>
    <t>waitForWriteForAdapterCallback</t>
  </si>
  <si>
    <t>waitForCallbackCallCount</t>
  </si>
  <si>
    <t>selectPrinter</t>
  </si>
  <si>
    <t>changeOrientation</t>
  </si>
  <si>
    <t>changeMediaSize</t>
  </si>
  <si>
    <t>changeColor</t>
  </si>
  <si>
    <t>clickPrintButton</t>
  </si>
  <si>
    <t>getActivity</t>
  </si>
  <si>
    <t>createActivity</t>
  </si>
  <si>
    <t>clearPrintSpoolerData</t>
  </si>
  <si>
    <t>createMockPrintDocumentAdapter</t>
  </si>
  <si>
    <t>onCreatePrinterDiscoverySession</t>
  </si>
  <si>
    <t>onRequestCancelPrintJob</t>
  </si>
  <si>
    <t>onPrintJobQueued</t>
  </si>
  <si>
    <t>verifyLayoutCall</t>
  </si>
  <si>
    <t>call</t>
  </si>
  <si>
    <t>waitForCount</t>
  </si>
  <si>
    <t>testZorch</t>
  </si>
  <si>
    <t>testBlort</t>
  </si>
  <si>
    <t>fillRandom</t>
  </si>
  <si>
    <t>testComplexToDimensionNoisy</t>
  </si>
  <si>
    <t>getRealAspectRatio</t>
  </si>
  <si>
    <t>testCheckForDuplicateOutput</t>
  </si>
  <si>
    <t>wastePids</t>
  </si>
  <si>
    <t>getFirstLineFromFile</t>
  </si>
  <si>
    <t>assertBitmapFillWithColor</t>
  </si>
  <si>
    <t>scanDir</t>
  </si>
  <si>
    <t>scanFile</t>
  </si>
  <si>
    <t>testScanFile</t>
  </si>
  <si>
    <t>testGetSerializable</t>
  </si>
  <si>
    <t>forEach</t>
  </si>
  <si>
    <t>getRefArray</t>
  </si>
  <si>
    <t>testAcosPiF32</t>
  </si>
  <si>
    <t>testAcosPiF32_relaxed</t>
  </si>
  <si>
    <t>testAcosPiF32_2</t>
  </si>
  <si>
    <t>testAcosPiF32_2_relaxed</t>
  </si>
  <si>
    <t>testAcosPiF32_3</t>
  </si>
  <si>
    <t>testAcosPiF32_3_relaxed</t>
  </si>
  <si>
    <t>testAcosPiF32_4</t>
  </si>
  <si>
    <t>testAcosPiF32_4_relaxed</t>
  </si>
  <si>
    <t>testAcosF32</t>
  </si>
  <si>
    <t>testAcosF32_2</t>
  </si>
  <si>
    <t>testAcosF32_3</t>
  </si>
  <si>
    <t>testAcosF32_4</t>
  </si>
  <si>
    <t>testAcosF32_relaxed</t>
  </si>
  <si>
    <t>testAcosF32_2_relaxed</t>
  </si>
  <si>
    <t>testAcosF32_3_relaxed</t>
  </si>
  <si>
    <t>testAcosF32_4_relaxed</t>
  </si>
  <si>
    <t>testAcoshF32</t>
  </si>
  <si>
    <t>testAcoshF32_relaxed</t>
  </si>
  <si>
    <t>testAcoshF32_2</t>
  </si>
  <si>
    <t>testAcoshF32_2_relaxed</t>
  </si>
  <si>
    <t>testAcoshF32_3</t>
  </si>
  <si>
    <t>testAcoshF32_3_relaxed</t>
  </si>
  <si>
    <t>testAcoshF32_4</t>
  </si>
  <si>
    <t>testAcoshF32_4_relaxed</t>
  </si>
  <si>
    <t>testAsinPiF32</t>
  </si>
  <si>
    <t>testAsinPiF32_relaxed</t>
  </si>
  <si>
    <t>testAsinPiF32_2</t>
  </si>
  <si>
    <t>testAsinPiF32_2_relaxed</t>
  </si>
  <si>
    <t>testAsinPiF32_3</t>
  </si>
  <si>
    <t>testAsinPiF32_3_relaxed</t>
  </si>
  <si>
    <t>testAsinPiF32_4</t>
  </si>
  <si>
    <t>testAsinPiF32_4_relaxed</t>
  </si>
  <si>
    <t>testAsinF32</t>
  </si>
  <si>
    <t>testAsinF32_relaxed</t>
  </si>
  <si>
    <t>testAsinF32_2</t>
  </si>
  <si>
    <t>testAsinF32_2_relaxed</t>
  </si>
  <si>
    <t>testAsinF32_3</t>
  </si>
  <si>
    <t>testAsinF32_3_relaxed</t>
  </si>
  <si>
    <t>testAsinF32_4</t>
  </si>
  <si>
    <t>testAsinF32_4_relaxed</t>
  </si>
  <si>
    <t>testAsinhF32</t>
  </si>
  <si>
    <t>testAsinhF32_relaxed</t>
  </si>
  <si>
    <t>testAsinhF32_2</t>
  </si>
  <si>
    <t>testAsinhF32_2_relaxed</t>
  </si>
  <si>
    <t>testAsinhF32_3</t>
  </si>
  <si>
    <t>testAsinhF32_3_relaxed</t>
  </si>
  <si>
    <t>testAsinhF32_4</t>
  </si>
  <si>
    <t>testAsinhF32_4_relaxed</t>
  </si>
  <si>
    <t>setInAlloc</t>
  </si>
  <si>
    <t>makeInArray</t>
  </si>
  <si>
    <t>testAtan2PiF32</t>
  </si>
  <si>
    <t>testAtan2PiF32_relaxed</t>
  </si>
  <si>
    <t>testAtan2PiF32_2</t>
  </si>
  <si>
    <t>testAtan2PiF32_2_relaxed</t>
  </si>
  <si>
    <t>testAtan2PiF32_3</t>
  </si>
  <si>
    <t>testAtan2PiF32_3_relaxed</t>
  </si>
  <si>
    <t>testAtan2PiF32_4</t>
  </si>
  <si>
    <t>testAtan2PiF32_4_relaxed</t>
  </si>
  <si>
    <t>testAtan2F32</t>
  </si>
  <si>
    <t>testAtan2F32_relaxed</t>
  </si>
  <si>
    <t>testAtan2F32_2</t>
  </si>
  <si>
    <t>testAtan2F32_2_relaxed</t>
  </si>
  <si>
    <t>testAtan2F32_3</t>
  </si>
  <si>
    <t>testAtan2F32_3_relaxed</t>
  </si>
  <si>
    <t>testAtan2F32_4</t>
  </si>
  <si>
    <t>testAtan2F32_4_relaxed</t>
  </si>
  <si>
    <t>testAtanPiF32</t>
  </si>
  <si>
    <t>testAtanPiF32_relaxed</t>
  </si>
  <si>
    <t>testAtanPiF32_2</t>
  </si>
  <si>
    <t>testAtanPiF32_2_relaxed</t>
  </si>
  <si>
    <t>testAtanPiF32_3</t>
  </si>
  <si>
    <t>testAtanPiF32_3_relaxed</t>
  </si>
  <si>
    <t>testAtanPiF32_4</t>
  </si>
  <si>
    <t>testAtanPiF32_4_relaxed</t>
  </si>
  <si>
    <t>testAtanF32</t>
  </si>
  <si>
    <t>testAtanF32_relaxed</t>
  </si>
  <si>
    <t>testAtanF32_2</t>
  </si>
  <si>
    <t>testAtanF32_2_relaxed</t>
  </si>
  <si>
    <t>testAtanF32_3</t>
  </si>
  <si>
    <t>testAtanF32_3_relaxed</t>
  </si>
  <si>
    <t>testAtanF32_4</t>
  </si>
  <si>
    <t>testAtanF32_4_relaxed</t>
  </si>
  <si>
    <t>testAtanhF32</t>
  </si>
  <si>
    <t>testAtanhF32_relaxed</t>
  </si>
  <si>
    <t>testAtanhF32_2</t>
  </si>
  <si>
    <t>testAtanhF32_2_relaxed</t>
  </si>
  <si>
    <t>testAtanhF32_3</t>
  </si>
  <si>
    <t>testAtanhF32_3_relaxed</t>
  </si>
  <si>
    <t>testAtanhF32_4</t>
  </si>
  <si>
    <t>testAtanhF32_4_relaxed</t>
  </si>
  <si>
    <t>testCbrtF32</t>
  </si>
  <si>
    <t>testCbrtF32_relaxed</t>
  </si>
  <si>
    <t>testCbrtF32_2</t>
  </si>
  <si>
    <t>testCbrtF32_2_relaxed</t>
  </si>
  <si>
    <t>testCbrtF32_3</t>
  </si>
  <si>
    <t>testCbrtF32_3_relaxed</t>
  </si>
  <si>
    <t>testCbrtF32_4</t>
  </si>
  <si>
    <t>testCbrtF32_4_relaxed</t>
  </si>
  <si>
    <t>testCeilF32</t>
  </si>
  <si>
    <t>testCeilF32_relaxed</t>
  </si>
  <si>
    <t>testCeilF32_2</t>
  </si>
  <si>
    <t>testCeilF32_2_relaxed</t>
  </si>
  <si>
    <t>testCeilF32_3</t>
  </si>
  <si>
    <t>testCeilF32_3_relaxed</t>
  </si>
  <si>
    <t>testCeilF32_4</t>
  </si>
  <si>
    <t>testCeilF32_4_relaxed</t>
  </si>
  <si>
    <t>testClamp</t>
  </si>
  <si>
    <t>testClampRelaxed</t>
  </si>
  <si>
    <t>testCopysignF32</t>
  </si>
  <si>
    <t>testCopysignF32_relaxed</t>
  </si>
  <si>
    <t>testCopysignF32_2</t>
  </si>
  <si>
    <t>testCopysignF32_2_relaxed</t>
  </si>
  <si>
    <t>testCopysignF32_3</t>
  </si>
  <si>
    <t>testCopysignF32_3_relaxed</t>
  </si>
  <si>
    <t>testCopysignF32_4</t>
  </si>
  <si>
    <t>testCopysignF32_4_relaxed</t>
  </si>
  <si>
    <t>testCosF32</t>
  </si>
  <si>
    <t>testCosF32_relaxed</t>
  </si>
  <si>
    <t>testCosF32_2</t>
  </si>
  <si>
    <t>testCosF32_2_relaxed</t>
  </si>
  <si>
    <t>testCosF32_3</t>
  </si>
  <si>
    <t>testCosF32_3_relaxed</t>
  </si>
  <si>
    <t>testCosF32_4</t>
  </si>
  <si>
    <t>testCosF32_4_relaxed</t>
  </si>
  <si>
    <t>testCoshF32</t>
  </si>
  <si>
    <t>testCoshF32_relaxed</t>
  </si>
  <si>
    <t>testCoshF32_2</t>
  </si>
  <si>
    <t>testCoshF32_2_relaxed</t>
  </si>
  <si>
    <t>testCoshF32_3</t>
  </si>
  <si>
    <t>testCoshF32_3_relaxed</t>
  </si>
  <si>
    <t>testCoshF32_4</t>
  </si>
  <si>
    <t>testCoshF32_4_relaxed</t>
  </si>
  <si>
    <t>testCrossF32_3</t>
  </si>
  <si>
    <t>testCrossF32_4</t>
  </si>
  <si>
    <t>testDegreesF32</t>
  </si>
  <si>
    <t>testDegreesF32_relaxed</t>
  </si>
  <si>
    <t>testDegreesF32_2</t>
  </si>
  <si>
    <t>testDegreesF32_2_relaxed</t>
  </si>
  <si>
    <t>testDegreesF32_3</t>
  </si>
  <si>
    <t>testDegreesF32_3_relaxed</t>
  </si>
  <si>
    <t>testDegreesF32_4</t>
  </si>
  <si>
    <t>testDegreesF32_4_relaxed</t>
  </si>
  <si>
    <t>testExp10F32</t>
  </si>
  <si>
    <t>testExp10F32_relaxed</t>
  </si>
  <si>
    <t>testExp10F32_2</t>
  </si>
  <si>
    <t>testExp10F32_2_relaxed</t>
  </si>
  <si>
    <t>testExp10F32_3</t>
  </si>
  <si>
    <t>testExp10F32_3_relaxed</t>
  </si>
  <si>
    <t>testExp10F32_4</t>
  </si>
  <si>
    <t>testExp10F32_4_relaxed</t>
  </si>
  <si>
    <t>testExp2F32</t>
  </si>
  <si>
    <t>testExp2F32_relaxed</t>
  </si>
  <si>
    <t>testExp2F32_2</t>
  </si>
  <si>
    <t>testExp2F32_2_relaxed</t>
  </si>
  <si>
    <t>testExp2F32_3</t>
  </si>
  <si>
    <t>testExp2F32_3_relaxed</t>
  </si>
  <si>
    <t>testExp2F32_4</t>
  </si>
  <si>
    <t>testExp2F32_4_relaxed</t>
  </si>
  <si>
    <t>testExpF32</t>
  </si>
  <si>
    <t>testExpF32_relaxed</t>
  </si>
  <si>
    <t>testExpF32_2</t>
  </si>
  <si>
    <t>testExpF32_2_relaxed</t>
  </si>
  <si>
    <t>testExpF32_3</t>
  </si>
  <si>
    <t>testExpF32_3_relaxed</t>
  </si>
  <si>
    <t>testExpF32_4</t>
  </si>
  <si>
    <t>testExpF32_4_relaxed</t>
  </si>
  <si>
    <t>testExpm1F32</t>
  </si>
  <si>
    <t>testExpm1F32_relaxed</t>
  </si>
  <si>
    <t>testExpm1F32_2</t>
  </si>
  <si>
    <t>testExpm1F32_2_relaxed</t>
  </si>
  <si>
    <t>testExpm1F32_3</t>
  </si>
  <si>
    <t>testExpm1F32_3_relaxed</t>
  </si>
  <si>
    <t>testExpm1F32_4</t>
  </si>
  <si>
    <t>testExpm1F32_4_relaxed</t>
  </si>
  <si>
    <t>testfabsF32</t>
  </si>
  <si>
    <t>testfabsF32_relaxed</t>
  </si>
  <si>
    <t>testfabsF32_2</t>
  </si>
  <si>
    <t>testfabsF32_2_relaxed</t>
  </si>
  <si>
    <t>testfabsF32_3</t>
  </si>
  <si>
    <t>testfabsF32_3_relaxed</t>
  </si>
  <si>
    <t>testfabsF32_4</t>
  </si>
  <si>
    <t>testfabsF32_4_relaxed</t>
  </si>
  <si>
    <t>testfdimF32</t>
  </si>
  <si>
    <t>testfdimF32_relaxed</t>
  </si>
  <si>
    <t>testfdimF32_2</t>
  </si>
  <si>
    <t>testfdimF32_2_relaxed</t>
  </si>
  <si>
    <t>testfdimF32_3</t>
  </si>
  <si>
    <t>testfdimF32_3_relaxed</t>
  </si>
  <si>
    <t>testfdimF32_4</t>
  </si>
  <si>
    <t>testfdimF32_4_relaxed</t>
  </si>
  <si>
    <t>testfloorF32</t>
  </si>
  <si>
    <t>testfloorF32_relaxed</t>
  </si>
  <si>
    <t>testfloorF32_2</t>
  </si>
  <si>
    <t>testfloorF32_2_relaxed</t>
  </si>
  <si>
    <t>testfloorF32_3</t>
  </si>
  <si>
    <t>testfloorF32_3_relaxed</t>
  </si>
  <si>
    <t>testfloorF32_4</t>
  </si>
  <si>
    <t>testfloorF32_4_relaxed</t>
  </si>
  <si>
    <t>testFmaF32</t>
  </si>
  <si>
    <t>testFmaF32_relaxed</t>
  </si>
  <si>
    <t>testFmaF32_2</t>
  </si>
  <si>
    <t>testFmaF32_2_relaxed</t>
  </si>
  <si>
    <t>testFmaF32_3</t>
  </si>
  <si>
    <t>testFmaF32_3_relaxed</t>
  </si>
  <si>
    <t>testFmaF32_4</t>
  </si>
  <si>
    <t>testFmaF32_4_relaxed</t>
  </si>
  <si>
    <t>testfmaxF32</t>
  </si>
  <si>
    <t>testfmaxF32_relaxed</t>
  </si>
  <si>
    <t>testfmaxF32_2</t>
  </si>
  <si>
    <t>testfmaxF32_2_relaxed</t>
  </si>
  <si>
    <t>testfmaxF32_3</t>
  </si>
  <si>
    <t>testfmaxF32_3_relaxed</t>
  </si>
  <si>
    <t>testfmaxF32_4</t>
  </si>
  <si>
    <t>testfmaxF32_4_relaxed</t>
  </si>
  <si>
    <t>testfminF32</t>
  </si>
  <si>
    <t>testfminF32_relaxed</t>
  </si>
  <si>
    <t>testfminF32_2</t>
  </si>
  <si>
    <t>testfminF32_2_relaxed</t>
  </si>
  <si>
    <t>testfminF32_3</t>
  </si>
  <si>
    <t>testfminF32_3_relaxed</t>
  </si>
  <si>
    <t>testfminF32_4</t>
  </si>
  <si>
    <t>testfminF32_4_relaxed</t>
  </si>
  <si>
    <t>testfmodF32</t>
  </si>
  <si>
    <t>testfmodF32_relaxed</t>
  </si>
  <si>
    <t>testfmodF32_2</t>
  </si>
  <si>
    <t>testfmodF32_2_relaxed</t>
  </si>
  <si>
    <t>testfmodF32_3</t>
  </si>
  <si>
    <t>testfmodF32_3_relaxed</t>
  </si>
  <si>
    <t>testfmodF32_4</t>
  </si>
  <si>
    <t>testfmodF32_4_relaxed</t>
  </si>
  <si>
    <t>testHypotF32</t>
  </si>
  <si>
    <t>testHypotF32_relaxed</t>
  </si>
  <si>
    <t>testHypotF32_2</t>
  </si>
  <si>
    <t>testHypotF32_2_relaxed</t>
  </si>
  <si>
    <t>testHypotF32_3</t>
  </si>
  <si>
    <t>testHypotF32_3_relaxed</t>
  </si>
  <si>
    <t>testHypotF32_4</t>
  </si>
  <si>
    <t>testHypotF32_4_relaxed</t>
  </si>
  <si>
    <t>testLog10F32</t>
  </si>
  <si>
    <t>testLog10F32_relaxed</t>
  </si>
  <si>
    <t>testLog10F32_2</t>
  </si>
  <si>
    <t>testLog10F32_2_relaxed</t>
  </si>
  <si>
    <t>testLog10F32_3</t>
  </si>
  <si>
    <t>testLog10F32_3_relaxed</t>
  </si>
  <si>
    <t>testLog10F32_4</t>
  </si>
  <si>
    <t>testLog10F32_4_relaxed</t>
  </si>
  <si>
    <t>testLog1PF32</t>
  </si>
  <si>
    <t>testLog1PF32_relaxed</t>
  </si>
  <si>
    <t>testLog1PF32_2</t>
  </si>
  <si>
    <t>testLog1PF32_2_relaxed</t>
  </si>
  <si>
    <t>testLog1PF32_3</t>
  </si>
  <si>
    <t>testLog1PF32_3_relaxed</t>
  </si>
  <si>
    <t>testLog1PF32_4</t>
  </si>
  <si>
    <t>testLog1PF32_4_relaxed</t>
  </si>
  <si>
    <t>testLog2F32</t>
  </si>
  <si>
    <t>testLog2F32_relaxed</t>
  </si>
  <si>
    <t>testLog2F32_2</t>
  </si>
  <si>
    <t>testLog2F32_2_relaxed</t>
  </si>
  <si>
    <t>testLog2F32_3</t>
  </si>
  <si>
    <t>testLog2F32_3_relaxed</t>
  </si>
  <si>
    <t>testLog2F32_4</t>
  </si>
  <si>
    <t>testLog2F32_4_relaxed</t>
  </si>
  <si>
    <t>testLogF32</t>
  </si>
  <si>
    <t>testLogF32_relaxed</t>
  </si>
  <si>
    <t>testLogF32_2</t>
  </si>
  <si>
    <t>testLogF32_2_relaxed</t>
  </si>
  <si>
    <t>testLogF32_3</t>
  </si>
  <si>
    <t>testLogF32_3_relaxed</t>
  </si>
  <si>
    <t>testLogF32_4</t>
  </si>
  <si>
    <t>testLogF32_4_relaxed</t>
  </si>
  <si>
    <t>testLogbF32</t>
  </si>
  <si>
    <t>testLogbF32_relaxed</t>
  </si>
  <si>
    <t>testLogbF32_2</t>
  </si>
  <si>
    <t>testLogbF32_2_relaxed</t>
  </si>
  <si>
    <t>testLogbF32_3</t>
  </si>
  <si>
    <t>testLogbF32_3_relaxed</t>
  </si>
  <si>
    <t>testLogbF32_4</t>
  </si>
  <si>
    <t>testLogbF32_4_relaxed</t>
  </si>
  <si>
    <t>testMadF32</t>
  </si>
  <si>
    <t>testMadF32_relaxed</t>
  </si>
  <si>
    <t>testMadF32_2</t>
  </si>
  <si>
    <t>testMadF32_2_relaxed</t>
  </si>
  <si>
    <t>testMadF32_3</t>
  </si>
  <si>
    <t>testMadF32_3_relaxed</t>
  </si>
  <si>
    <t>testMadF32_4</t>
  </si>
  <si>
    <t>testMadF32_4_relaxed</t>
  </si>
  <si>
    <t>testNextafterF32</t>
  </si>
  <si>
    <t>testNextafterF32_relaxed</t>
  </si>
  <si>
    <t>testNextafterF32_2</t>
  </si>
  <si>
    <t>testNextafterF32_2_relaxed</t>
  </si>
  <si>
    <t>testNextafterF32_3</t>
  </si>
  <si>
    <t>testNextafterF32_3_relaxed</t>
  </si>
  <si>
    <t>testNextafterF32_4</t>
  </si>
  <si>
    <t>testNextafterF32_4_relaxed</t>
  </si>
  <si>
    <t>fillRandomFloats</t>
  </si>
  <si>
    <t>testPowF32</t>
  </si>
  <si>
    <t>testPowF32_relaxed</t>
  </si>
  <si>
    <t>testPowF32_2</t>
  </si>
  <si>
    <t>testPowF32_2_relaxed</t>
  </si>
  <si>
    <t>testPowF32_3</t>
  </si>
  <si>
    <t>testPowF32_3_relaxed</t>
  </si>
  <si>
    <t>testPowF32_4</t>
  </si>
  <si>
    <t>testPowF32_4_relaxed</t>
  </si>
  <si>
    <t>testPownF32</t>
  </si>
  <si>
    <t>testPownF32_relaxed</t>
  </si>
  <si>
    <t>testPownF32_2</t>
  </si>
  <si>
    <t>testPownF32_2_relaxed</t>
  </si>
  <si>
    <t>testPownF32_3</t>
  </si>
  <si>
    <t>testPownF32_3_relaxed</t>
  </si>
  <si>
    <t>testPownF32_4</t>
  </si>
  <si>
    <t>testPownF32_4_relaxed</t>
  </si>
  <si>
    <t>testPowrF32</t>
  </si>
  <si>
    <t>testPowrF32_relaxed</t>
  </si>
  <si>
    <t>testPowrF32_2</t>
  </si>
  <si>
    <t>testPowrF32_2_relaxed</t>
  </si>
  <si>
    <t>testPowrF32_3</t>
  </si>
  <si>
    <t>testPowrF32_3_relaxed</t>
  </si>
  <si>
    <t>testPowrF32_4</t>
  </si>
  <si>
    <t>testPowrF32_4_relaxed</t>
  </si>
  <si>
    <t>testRadiansF32</t>
  </si>
  <si>
    <t>testRadiansF32_relaxed</t>
  </si>
  <si>
    <t>testRadiansF32_2</t>
  </si>
  <si>
    <t>testRadiansF32_2_relaxed</t>
  </si>
  <si>
    <t>testRadiansF32_3</t>
  </si>
  <si>
    <t>testRadiansF32_3_relaxed</t>
  </si>
  <si>
    <t>testRadiansF32_4</t>
  </si>
  <si>
    <t>testRadiansF32_4_relaxed</t>
  </si>
  <si>
    <t>testRemainderF32</t>
  </si>
  <si>
    <t>testRemainderF32_relaxed</t>
  </si>
  <si>
    <t>testRemainderF32_2</t>
  </si>
  <si>
    <t>testRemainderF32_2_relaxed</t>
  </si>
  <si>
    <t>testRemainderF32_3</t>
  </si>
  <si>
    <t>testRemainderF32_3_relaxed</t>
  </si>
  <si>
    <t>testRemainderF32_4</t>
  </si>
  <si>
    <t>testRemainderF32_4_relaxed</t>
  </si>
  <si>
    <t>testRintF32</t>
  </si>
  <si>
    <t>testRintF32_relaxed</t>
  </si>
  <si>
    <t>testRintF32_2</t>
  </si>
  <si>
    <t>testRintF32_2_relaxed</t>
  </si>
  <si>
    <t>testRintF32_3</t>
  </si>
  <si>
    <t>testRintF32_3_relaxed</t>
  </si>
  <si>
    <t>testRintF32_4</t>
  </si>
  <si>
    <t>testRintF32_4_relaxed</t>
  </si>
  <si>
    <t>testRootnF32</t>
  </si>
  <si>
    <t>testRootnF32_relaxed</t>
  </si>
  <si>
    <t>testRootnF32_2</t>
  </si>
  <si>
    <t>testRootnF32_2_relaxed</t>
  </si>
  <si>
    <t>testRootnF32_3</t>
  </si>
  <si>
    <t>testRootnF32_3_relaxed</t>
  </si>
  <si>
    <t>testRootnF32_4</t>
  </si>
  <si>
    <t>testRootnF32_4_relaxed</t>
  </si>
  <si>
    <t>testRoundF32</t>
  </si>
  <si>
    <t>testRoundF32_relaxed</t>
  </si>
  <si>
    <t>testRoundF32_2</t>
  </si>
  <si>
    <t>testRoundF32_2_relaxed</t>
  </si>
  <si>
    <t>testRoundF32_3</t>
  </si>
  <si>
    <t>testRoundF32_3_relaxed</t>
  </si>
  <si>
    <t>testRoundF32_4</t>
  </si>
  <si>
    <t>testRoundF32_4_relaxed</t>
  </si>
  <si>
    <t>testRsFrac</t>
  </si>
  <si>
    <t>testRsFrac_relaxed</t>
  </si>
  <si>
    <t>testRsqrtF32</t>
  </si>
  <si>
    <t>testRsqrtF32_relaxed</t>
  </si>
  <si>
    <t>testRsqrtF32_2</t>
  </si>
  <si>
    <t>testRsqrtF32_2_relaxed</t>
  </si>
  <si>
    <t>testRsqrtF32_3</t>
  </si>
  <si>
    <t>testRsqrtF32_3_relaxed</t>
  </si>
  <si>
    <t>testRsqrtF32_4</t>
  </si>
  <si>
    <t>testRsqrtF32_4_relaxed</t>
  </si>
  <si>
    <t>testSignF32</t>
  </si>
  <si>
    <t>testSignF32_relaxed</t>
  </si>
  <si>
    <t>testSignF32_2</t>
  </si>
  <si>
    <t>testSignF32_2_relaxed</t>
  </si>
  <si>
    <t>testSignF32_3</t>
  </si>
  <si>
    <t>testSignF32_3_relaxed</t>
  </si>
  <si>
    <t>testSignF32_4</t>
  </si>
  <si>
    <t>testSignF32_4_relaxed</t>
  </si>
  <si>
    <t>testSinF32</t>
  </si>
  <si>
    <t>testSinF32_relaxed</t>
  </si>
  <si>
    <t>testSinF32_2</t>
  </si>
  <si>
    <t>testSinF32_2_relaxed</t>
  </si>
  <si>
    <t>testSinF32_3</t>
  </si>
  <si>
    <t>testSinF32_3_relaxed</t>
  </si>
  <si>
    <t>testSinF32_4</t>
  </si>
  <si>
    <t>testSinF32_4_relaxed</t>
  </si>
  <si>
    <t>testSinhF32</t>
  </si>
  <si>
    <t>testSinhF32_relaxed</t>
  </si>
  <si>
    <t>testSinhF32_2</t>
  </si>
  <si>
    <t>testSinhF32_2_relaxed</t>
  </si>
  <si>
    <t>testSinhF32_3</t>
  </si>
  <si>
    <t>testSinhF32_3_relaxed</t>
  </si>
  <si>
    <t>testSinhF32_4</t>
  </si>
  <si>
    <t>testSinhF32_4_relaxed</t>
  </si>
  <si>
    <t>testSqrtF32</t>
  </si>
  <si>
    <t>testSqrtF32_relaxed</t>
  </si>
  <si>
    <t>testSqrtF32_2</t>
  </si>
  <si>
    <t>testSqrtF32_2_relaxed</t>
  </si>
  <si>
    <t>testSqrtF32_3</t>
  </si>
  <si>
    <t>testSqrtF32_3_relaxed</t>
  </si>
  <si>
    <t>testSqrtF32_4</t>
  </si>
  <si>
    <t>testSqrtF32_4_relaxed</t>
  </si>
  <si>
    <t>testStepF32</t>
  </si>
  <si>
    <t>testStepF32_relaxed</t>
  </si>
  <si>
    <t>testStepF32_2</t>
  </si>
  <si>
    <t>testStepF32_2_relaxed</t>
  </si>
  <si>
    <t>testStepF32_3</t>
  </si>
  <si>
    <t>testStepF32_3_relaxed</t>
  </si>
  <si>
    <t>testStepF32_4</t>
  </si>
  <si>
    <t>testStepF32_4_relaxed</t>
  </si>
  <si>
    <t>testTanF32</t>
  </si>
  <si>
    <t>testTanF32_relaxed</t>
  </si>
  <si>
    <t>testTanF32_2</t>
  </si>
  <si>
    <t>testTanF32_2_relaxed</t>
  </si>
  <si>
    <t>testTanF32_3</t>
  </si>
  <si>
    <t>testTanF32_3_relaxed</t>
  </si>
  <si>
    <t>testTanF32_4</t>
  </si>
  <si>
    <t>testTanF32_4_relaxed</t>
  </si>
  <si>
    <t>testTanhF32</t>
  </si>
  <si>
    <t>testTanhF32_relaxed</t>
  </si>
  <si>
    <t>testTanhF32_2</t>
  </si>
  <si>
    <t>testTanhF32_2_relaxed</t>
  </si>
  <si>
    <t>testTanhF32_3</t>
  </si>
  <si>
    <t>testTanhF32_3_relaxed</t>
  </si>
  <si>
    <t>testTanhF32_4</t>
  </si>
  <si>
    <t>testTanhF32_4_relaxed</t>
  </si>
  <si>
    <t>testTruncF32</t>
  </si>
  <si>
    <t>testTruncF32_relaxed</t>
  </si>
  <si>
    <t>testTruncF32_2</t>
  </si>
  <si>
    <t>testTruncF32_2_relaxed</t>
  </si>
  <si>
    <t>testTruncF32_3</t>
  </si>
  <si>
    <t>testTruncF32_3_relaxed</t>
  </si>
  <si>
    <t>testTruncF32_4</t>
  </si>
  <si>
    <t>testTruncF32_4_relaxed</t>
  </si>
  <si>
    <t>verifyResultsExp10FloatFloat</t>
  </si>
  <si>
    <t>verifyResultsExp10Float2Float2</t>
  </si>
  <si>
    <t>verifyResultsExp10Float3Float3</t>
  </si>
  <si>
    <t>verifyResultsExp10Float4Float4</t>
  </si>
  <si>
    <t>verifyResultsIlogbFloatInt</t>
  </si>
  <si>
    <t>verifyResultsIlogbFloat2Int2</t>
  </si>
  <si>
    <t>verifyResultsIlogbFloat3Int3</t>
  </si>
  <si>
    <t>verifyResultsIlogbFloat4Int4</t>
  </si>
  <si>
    <t>verifyResultsLogbFloatFloat</t>
  </si>
  <si>
    <t>verifyResultsLogbFloat2Float2</t>
  </si>
  <si>
    <t>verifyResultsLogbFloat3Float3</t>
  </si>
  <si>
    <t>verifyResultsLogbFloat4Float4</t>
  </si>
  <si>
    <t>verifyResultsPownFloatIntFloat</t>
  </si>
  <si>
    <t>verifyResultsPownFloat2Int2Float2</t>
  </si>
  <si>
    <t>verifyResultsPownFloat3Int3Float3</t>
  </si>
  <si>
    <t>verifyResultsPownFloat4Int4Float4</t>
  </si>
  <si>
    <t>testNoInitRunIt</t>
  </si>
  <si>
    <t>testHighPrecisionLong</t>
  </si>
  <si>
    <t>onCaptureStarted</t>
  </si>
  <si>
    <t>onCaptureCompleted</t>
  </si>
  <si>
    <t>onCaptureFailed</t>
  </si>
  <si>
    <t>onCaptureSequenceCompleted</t>
  </si>
  <si>
    <t>getCaptureResult</t>
  </si>
  <si>
    <t>forceClearTestProvider</t>
  </si>
  <si>
    <t>removeTestProvider</t>
  </si>
  <si>
    <t>CaptureRequestTest</t>
  </si>
  <si>
    <t>openDevice</t>
  </si>
  <si>
    <t>closeDevice</t>
  </si>
  <si>
    <t>startPreview</t>
  </si>
  <si>
    <t>stopPreview</t>
  </si>
  <si>
    <t>testCameraCaptureResultAllKeys</t>
  </si>
  <si>
    <t>validateCaptureResult</t>
  </si>
  <si>
    <t>createDefaultSurface</t>
  </si>
  <si>
    <t>getAllCaptureResultKeys</t>
  </si>
  <si>
    <t>CameraSurfaceViewPreviewTest</t>
  </si>
  <si>
    <t>testCameraPreview</t>
  </si>
  <si>
    <t>previewTestByCamera</t>
  </si>
  <si>
    <t>matches</t>
  </si>
  <si>
    <t>verifyCaptureResults</t>
  </si>
  <si>
    <t>testVariableBitrate</t>
  </si>
  <si>
    <t>encodeSyncFrame</t>
  </si>
  <si>
    <t>encodeVariableBitrate</t>
  </si>
  <si>
    <t>verifyResultsRootnFloatIntFloat</t>
  </si>
  <si>
    <t>verifyResultsRootnFloat2Int2Float2</t>
  </si>
  <si>
    <t>verifyResultsRootnFloat3Int3Float3</t>
  </si>
  <si>
    <t>verifyResultsRootnFloat4Int4Float4</t>
  </si>
  <si>
    <t>onImageAvailable</t>
  </si>
  <si>
    <t>expectKeyEquals</t>
  </si>
  <si>
    <t>expectKeyValueNotEquals</t>
  </si>
  <si>
    <t>expectKeyNotNull</t>
  </si>
  <si>
    <t>isImagePending</t>
  </si>
  <si>
    <t>waitForImage</t>
  </si>
  <si>
    <t>prepareImageReader</t>
  </si>
  <si>
    <t>captureAndValidateImage</t>
  </si>
  <si>
    <t>stopCapture</t>
  </si>
  <si>
    <t>assertInRange</t>
  </si>
  <si>
    <t>getAllocation</t>
  </si>
  <si>
    <t>computeImageMeans</t>
  </si>
  <si>
    <t>checkUpperBound</t>
  </si>
  <si>
    <t>checkLowerBound</t>
  </si>
  <si>
    <t>bufferFormatTestByCamera</t>
  </si>
  <si>
    <t>isBufferPending</t>
  </si>
  <si>
    <t>waitForBuffer</t>
  </si>
  <si>
    <t>onBufferAvailable</t>
  </si>
  <si>
    <t>prepareAllocation</t>
  </si>
  <si>
    <t>prepareCaptureRequestBuilder</t>
  </si>
  <si>
    <t>prepareCaptureRequest</t>
  </si>
  <si>
    <t>captureSingleShot</t>
  </si>
  <si>
    <t>assertArrayNotAllZeroes</t>
  </si>
  <si>
    <t>checkAllocationByConvertingToRgba</t>
  </si>
  <si>
    <t>validateAllocation</t>
  </si>
  <si>
    <t>testSingleVirtualDisplay</t>
  </si>
  <si>
    <t>testMultipleVirtualDisplays</t>
  </si>
  <si>
    <t>doTestVirtualDisplays</t>
  </si>
  <si>
    <t>TestPresentation</t>
  </si>
  <si>
    <t>doRendering</t>
  </si>
  <si>
    <t>testGetMeans</t>
  </si>
  <si>
    <t>testGetVariences</t>
  </si>
  <si>
    <t>testGetStandardDeviations</t>
  </si>
  <si>
    <t>testGetTimestampDelayValues</t>
  </si>
  <si>
    <t>testGetJitterValues</t>
  </si>
  <si>
    <t>getSensorEvents</t>
  </si>
  <si>
    <t>testVerifyEventOrdering</t>
  </si>
  <si>
    <t>testVerifyFrequency</t>
  </si>
  <si>
    <t>testVerifyJitter</t>
  </si>
  <si>
    <t>testVerifyMean</t>
  </si>
  <si>
    <t>testVerifyMagnitude</t>
  </si>
  <si>
    <t>testVerifySignum</t>
  </si>
  <si>
    <t>testVerifyStandardDeviation</t>
  </si>
  <si>
    <t>getEvents</t>
  </si>
  <si>
    <t>clearEvents</t>
  </si>
  <si>
    <t>collectEvents</t>
  </si>
  <si>
    <t>TestSensorListener</t>
  </si>
  <si>
    <t>onFlushCompleted</t>
  </si>
  <si>
    <t>waitForFlushComplete</t>
  </si>
  <si>
    <t>waitForEvents</t>
  </si>
  <si>
    <t>formatAssertionMessage</t>
  </si>
  <si>
    <t>CodecProperties</t>
  </si>
  <si>
    <t>isGoogleSwCodec</t>
  </si>
  <si>
    <t>getVp8CodecProperties</t>
  </si>
  <si>
    <t>YUV420ToNV</t>
  </si>
  <si>
    <t>NV12ToYUV420</t>
  </si>
  <si>
    <t>decode</t>
  </si>
  <si>
    <t>OpenFileOrResourceId</t>
  </si>
  <si>
    <t>encode</t>
  </si>
  <si>
    <t>Vp8EncodingStatistics</t>
  </si>
  <si>
    <t>computeEncodingStatistics</t>
  </si>
  <si>
    <t>Vp8DecodingStatistics</t>
  </si>
  <si>
    <t>computePSNR</t>
  </si>
  <si>
    <t>computeDecodingStatistics</t>
  </si>
  <si>
    <t>validateJpegData</t>
  </si>
  <si>
    <t>validateYuvData</t>
  </si>
  <si>
    <t>validateJpegImage</t>
  </si>
  <si>
    <t>yuvAndJpegTestByCamera</t>
  </si>
  <si>
    <t>verifyEdgeModeControl</t>
  </si>
  <si>
    <t>onRelease</t>
  </si>
  <si>
    <t>onSetSurface</t>
  </si>
  <si>
    <t>onSetVolume</t>
  </si>
  <si>
    <t>onTune</t>
  </si>
  <si>
    <t>initInArray</t>
  </si>
  <si>
    <t>testRSInterPred</t>
  </si>
  <si>
    <t>interPred</t>
  </si>
  <si>
    <t>mSwitchConvolve</t>
  </si>
  <si>
    <t>vp9_convolve_copy_c</t>
  </si>
  <si>
    <t>vp9_convolve_avg_c</t>
  </si>
  <si>
    <t>vp9_convolve8_vert_c</t>
  </si>
  <si>
    <t>vp9_convolve8_avg_vert_c</t>
  </si>
  <si>
    <t>vp9_convolve8_horiz_c</t>
  </si>
  <si>
    <t>vp9_convolve8_avg_horiz_c</t>
  </si>
  <si>
    <t>vp9_convolve8_c</t>
  </si>
  <si>
    <t>vp9_convolve8_avg_c</t>
  </si>
  <si>
    <t>convolve_vert</t>
  </si>
  <si>
    <t>convolve_avg_vert</t>
  </si>
  <si>
    <t>convolve_horiz</t>
  </si>
  <si>
    <t>convolve_avg_horiz</t>
  </si>
  <si>
    <t>convolve</t>
  </si>
  <si>
    <t>ROUND_POWER_OF_TWO</t>
  </si>
  <si>
    <t>get_filter_base</t>
  </si>
  <si>
    <t>get_filter_offset</t>
  </si>
  <si>
    <t>clip_pixel</t>
  </si>
  <si>
    <t>testActionNextAndPreviousAtGranularityWordOverEditTextWithContentDescription</t>
  </si>
  <si>
    <t>testAnimatedVectorDrawables</t>
  </si>
  <si>
    <t>testCameraCharacteristicsAndroidSensorProfileHueSatMapDimensions</t>
  </si>
  <si>
    <t>startExpectNoPermission</t>
  </si>
  <si>
    <t>bindExpectNoPermission</t>
  </si>
  <si>
    <t>onSessionCreated</t>
  </si>
  <si>
    <t>onCreateSession</t>
  </si>
  <si>
    <t>MockTvInputSessionImpl</t>
  </si>
  <si>
    <t>testImageReaderFromCameraFlexibleYuv</t>
  </si>
  <si>
    <t>testImageReaderFromCameraJpeg</t>
  </si>
  <si>
    <t>testImageReaderFromCameraRaw</t>
  </si>
  <si>
    <t>testImageReaderInvalidAccessTest</t>
  </si>
  <si>
    <t>testImageReaderYuvAndJpeg</t>
  </si>
  <si>
    <t>testCameraCharacteristicsAndroidScalerAvailableFormats</t>
  </si>
  <si>
    <t>testCameraCharacteristicsAndroidScalerAvailableJpegMinDurations</t>
  </si>
  <si>
    <t>testCameraCharacteristicsAndroidScalerAvailableJpegSizes</t>
  </si>
  <si>
    <t>testCameraCharacteristicsAndroidScalerAvailableProcessedMinDurations</t>
  </si>
  <si>
    <t>testCameraCharacteristicsAndroidScalerAvailableProcessedSizes</t>
  </si>
  <si>
    <t>testCameraCharacteristicsAndroidScalerAvailableInputOutputFormatsMap</t>
  </si>
  <si>
    <t>testCameraCharacteristicsAndroidScalerAvailableStreamConfigurations</t>
  </si>
  <si>
    <t>testCameraCharacteristicsAndroidScalerAvailableMinFrameDurations</t>
  </si>
  <si>
    <t>testCameraCharacteristicsAndroidScalerAvailableStallDurations</t>
  </si>
  <si>
    <t>testDisplayNameComparator</t>
  </si>
  <si>
    <t>testTouchFeedbackDrawable</t>
  </si>
  <si>
    <t>testCameraCharacteristicsAndroidSensorBaseGainFactor</t>
  </si>
  <si>
    <t>testSimpleVectorDrawables</t>
  </si>
  <si>
    <t>verifyVectorDrawables</t>
  </si>
  <si>
    <t>saveVectorDrawableIntoPNG</t>
  </si>
  <si>
    <t>compareImages</t>
  </si>
  <si>
    <t>testVideoPlaybackWithCallback</t>
  </si>
  <si>
    <t>testAsyncEncoding</t>
  </si>
  <si>
    <t>verifyNodesInAppWindow</t>
  </si>
  <si>
    <t>get3ATestRegionsForCamera</t>
  </si>
  <si>
    <t>testCameraCharacteristicsAndroidControlMaxRegions</t>
  </si>
  <si>
    <t>testCameraCharacteristicsAndroidRequestMaxNumOutputStreams</t>
  </si>
  <si>
    <t>testCameraCharacteristicsAndroidLensInfoShadingMapSize</t>
  </si>
  <si>
    <t>testCookieManager</t>
  </si>
  <si>
    <t>testVideoSnapShot</t>
  </si>
  <si>
    <t>preparePreview</t>
  </si>
  <si>
    <t>testCameraCharacteristicsAndroidRequestMaxNumInputStreams</t>
  </si>
  <si>
    <t>assertMacAddressReported</t>
  </si>
  <si>
    <t>getMacAddress</t>
  </si>
  <si>
    <t>waitForState</t>
  </si>
  <si>
    <t>testSetTint</t>
  </si>
  <si>
    <t>getTintMode</t>
  </si>
  <si>
    <t>setTint</t>
  </si>
  <si>
    <t>hasSetTintCalled</t>
  </si>
  <si>
    <t>HoloTest</t>
  </si>
  <si>
    <t>testHolo</t>
  </si>
  <si>
    <t>testHoloDialog</t>
  </si>
  <si>
    <t>testHoloDialogMinimumWidth</t>
  </si>
  <si>
    <t>testHoloDialogNoActionBar</t>
  </si>
  <si>
    <t>testHoloDialogNoActionBarMinimumWidth</t>
  </si>
  <si>
    <t>testHoloDialogWhenLarge</t>
  </si>
  <si>
    <t>testHoloDialogWhenLargeNoActionBar</t>
  </si>
  <si>
    <t>testHoloInputMethod</t>
  </si>
  <si>
    <t>testHoloLight</t>
  </si>
  <si>
    <t>testHoloLightDarkActionBar</t>
  </si>
  <si>
    <t>testHoloLightDialog</t>
  </si>
  <si>
    <t>testHoloLightDialogMinimumWidth</t>
  </si>
  <si>
    <t>testHoloLightDialogNoActionBar</t>
  </si>
  <si>
    <t>testHoloLightDialogNoActionBarMinimumWidth</t>
  </si>
  <si>
    <t>testHoloLightDialogWhenLarge</t>
  </si>
  <si>
    <t>testHoloLightDialogWhenLargeNoActionBar</t>
  </si>
  <si>
    <t>testHoloLightNoActionBar</t>
  </si>
  <si>
    <t>testHoloLightNoActionBarFullscreen</t>
  </si>
  <si>
    <t>testHoloLightPanel</t>
  </si>
  <si>
    <t>testHoloNoActionBar</t>
  </si>
  <si>
    <t>testHoloNoActionBarFullscreen</t>
  </si>
  <si>
    <t>testHoloPanel</t>
  </si>
  <si>
    <t>testHoloWallpaper</t>
  </si>
  <si>
    <t>testHoloWallpaperNoTitleBar</t>
  </si>
  <si>
    <t>deviceSupportsDRM</t>
  </si>
  <si>
    <t>CookieSyncManagerTest</t>
  </si>
  <si>
    <t>testCookieSyncManager</t>
  </si>
  <si>
    <t>testPinnedPositionsUpdateForceStar</t>
  </si>
  <si>
    <t>testPinnedPositionsUpdateDontForceStar</t>
  </si>
  <si>
    <t>testPinnedPositionsUpdateIllegalValues</t>
  </si>
  <si>
    <t>testGet95PercentileValue</t>
  </si>
  <si>
    <t>testGetMean</t>
  </si>
  <si>
    <t>testGetVariance</t>
  </si>
  <si>
    <t>testGetStandardDeviation</t>
  </si>
  <si>
    <t>executeMultipleCanvasTest</t>
  </si>
  <si>
    <t>testGetTextColor</t>
  </si>
  <si>
    <t>testInsecureSiteClearsCertificate</t>
  </si>
  <si>
    <t>testSecureSiteSetsCertificate</t>
  </si>
  <si>
    <t>testClearSslPreferences</t>
  </si>
  <si>
    <t>testOnReceivedSslError</t>
  </si>
  <si>
    <t>testOnReceivedSslErrorProceed</t>
  </si>
  <si>
    <t>testOnReceivedSslErrorCancel</t>
  </si>
  <si>
    <t>testSslErrorProceedResponseReusedForSameHost</t>
  </si>
  <si>
    <t>testSslErrorProceedResponseNotReusedForDifferentHost</t>
  </si>
  <si>
    <t>testSecureServerRequestingClientCertDoesNotCancelRequest</t>
  </si>
  <si>
    <t>testSecureServerRequiringClientCertDoesCancelRequest</t>
  </si>
  <si>
    <t>testProceedClientCertRequest</t>
  </si>
  <si>
    <t>testIgnoreClientCertRequest</t>
  </si>
  <si>
    <t>testCancelClientCertRequest</t>
  </si>
  <si>
    <t>checkClientTrusted</t>
  </si>
  <si>
    <t>checkServerTrusted</t>
  </si>
  <si>
    <t>getAcceptedIssuers</t>
  </si>
  <si>
    <t>testClientCertIssuersReceivedCorrectly</t>
  </si>
  <si>
    <t>clearClientCertPreferences</t>
  </si>
  <si>
    <t>SslErrorWebViewClient</t>
  </si>
  <si>
    <t>onReceivedError</t>
  </si>
  <si>
    <t>resetWasOnReceivedSslErrorCalled</t>
  </si>
  <si>
    <t>wasOnReceivedSslErrorCalled</t>
  </si>
  <si>
    <t>errorUrl</t>
  </si>
  <si>
    <t>onReceivedErrorCode</t>
  </si>
  <si>
    <t>getClientCertRequestCount</t>
  </si>
  <si>
    <t>getPrincipals</t>
  </si>
  <si>
    <t>resetClientCertRequestCount</t>
  </si>
  <si>
    <t>setAction</t>
  </si>
  <si>
    <t>onReceivedClientCertRequest</t>
  </si>
  <si>
    <t>testThirdPartyCookie</t>
  </si>
  <si>
    <t>testRild</t>
  </si>
  <si>
    <t>releasRecorder</t>
  </si>
  <si>
    <t>getDetectedVersion</t>
  </si>
  <si>
    <t>testPlayStreamFloat</t>
  </si>
  <si>
    <t>testSwitchTimezone0</t>
  </si>
  <si>
    <t>testCtor0</t>
  </si>
  <si>
    <t>testGetActualMaximum0</t>
  </si>
  <si>
    <t>testCompare0</t>
  </si>
  <si>
    <t>testFormat0</t>
  </si>
  <si>
    <t>testSetToNow0</t>
  </si>
  <si>
    <t>testMillis0</t>
  </si>
  <si>
    <t>testParse0</t>
  </si>
  <si>
    <t>testSet0</t>
  </si>
  <si>
    <t>testSet1</t>
  </si>
  <si>
    <t>executeCanvasXMLTest</t>
  </si>
  <si>
    <t>compareBitmaps</t>
  </si>
  <si>
    <t>testSetApplicationBlocked_failIfNotDeviceOrProfileOwner</t>
  </si>
  <si>
    <t>testSetApplicationsBlocked_failIfNotDeviceOrProfileOwner</t>
  </si>
  <si>
    <t>testIsApplicationBlocked_failIfNotDeviceOrProfileOwner</t>
  </si>
  <si>
    <t>testGetAppInstalledProvidersForCurrentUserLegacy</t>
  </si>
  <si>
    <t>testGetAppInstalledProvidersForCurrentUserNewCurrentProfile</t>
  </si>
  <si>
    <t>testGetAppInstalledProvidersForCurrentUserNewAllProfiles</t>
  </si>
  <si>
    <t>testBindAppWidget</t>
  </si>
  <si>
    <t>testAppWidgetProviderCallbacks</t>
  </si>
  <si>
    <t>testTwoAppWidgetProviderCallbacks</t>
  </si>
  <si>
    <t>testGetAppWidgetIds</t>
  </si>
  <si>
    <t>testGetAppWidgetInfo</t>
  </si>
  <si>
    <t>testGetAppWidgetOptions</t>
  </si>
  <si>
    <t>testDeleteHost</t>
  </si>
  <si>
    <t>testDeleteHosts</t>
  </si>
  <si>
    <t>testOnProvidersChanged</t>
  </si>
  <si>
    <t>testUpdateAppWidgetViaComponentName</t>
  </si>
  <si>
    <t>testUpdateAppWidgetViaWidgetId</t>
  </si>
  <si>
    <t>testUpdateAppWidgetViaWidgetIds</t>
  </si>
  <si>
    <t>testPartiallyUpdateAppWidgetViaWidgetId</t>
  </si>
  <si>
    <t>testPartiallyUpdateAppWidgetViaWidgetIds</t>
  </si>
  <si>
    <t>testCollectionWidgets</t>
  </si>
  <si>
    <t>waitForCallCount</t>
  </si>
  <si>
    <t>assertExpectedInstalledProviders</t>
  </si>
  <si>
    <t>grantBindAppWidgetPermission</t>
  </si>
  <si>
    <t>revokeBindAppWidgetPermission</t>
  </si>
  <si>
    <t>executeShellCommandIgnoreOutput</t>
  </si>
  <si>
    <t>getFirstAppWidgetProviderInfo</t>
  </si>
  <si>
    <t>getSecondAppWidgetProviderInfo</t>
  </si>
  <si>
    <t>getProviderInfo</t>
  </si>
  <si>
    <t>getNormalizedDimensionResource</t>
  </si>
  <si>
    <t>getIntResource</t>
  </si>
  <si>
    <t>getAppWidgetManager</t>
  </si>
  <si>
    <t>equalOptions</t>
  </si>
  <si>
    <t>OptionsMatcher</t>
  </si>
  <si>
    <t>describeTo</t>
  </si>
  <si>
    <t>WidgetIdsMatcher</t>
  </si>
  <si>
    <t>RemoteViewsMatcher</t>
  </si>
  <si>
    <t>MyAppWidgetHostView</t>
  </si>
  <si>
    <t>setOnUpdateAppWidgetListener</t>
  </si>
  <si>
    <t>updateAppWidget</t>
  </si>
  <si>
    <t>testCameraCharacteristicsAndroidSensorNoiseProfile</t>
  </si>
  <si>
    <t>testCameraCharacteristicsAndroidSensorInfoTimestampCalibration</t>
  </si>
  <si>
    <t>testStrequents_noStarredOrFrequents</t>
  </si>
  <si>
    <t>testStrequents_starredOnlyInCorrectOrder</t>
  </si>
  <si>
    <t>testStrequents_frequentsOnlyInCorrectOrder</t>
  </si>
  <si>
    <t>testStrequents_starredAndFrequentsInCorrectOrder</t>
  </si>
  <si>
    <t>testStrequents_withFilter</t>
  </si>
  <si>
    <t>testStrequents_phoneOnly</t>
  </si>
  <si>
    <t>testStrequents_phoneOnlyFrequentsOrder</t>
  </si>
  <si>
    <t>assertCursorStoredValuesWithContactsFilter</t>
  </si>
  <si>
    <t>starContact</t>
  </si>
  <si>
    <t>markDataAsUsed</t>
  </si>
  <si>
    <t>setupTestData</t>
  </si>
  <si>
    <t>testCameraDeviceFlush</t>
  </si>
  <si>
    <t>verifyCameraStateOpenedThenUnconfigured</t>
  </si>
  <si>
    <t>TvInputManagerTest</t>
  </si>
  <si>
    <t>testGetTvInputList</t>
  </si>
  <si>
    <t>testCreateSession</t>
  </si>
  <si>
    <t>testCreateSessionFailure</t>
  </si>
  <si>
    <t>testAvailabilityChanged</t>
  </si>
  <si>
    <t>testCrashOnCreateSession</t>
  </si>
  <si>
    <t>testCrashOnTune</t>
  </si>
  <si>
    <t>onAvailabilityChanged</t>
  </si>
  <si>
    <t>onSessionReleased</t>
  </si>
  <si>
    <t>MockTvInputInternalSessionImpl</t>
  </si>
  <si>
    <t>MockTvInputRemoteSessionImpl</t>
  </si>
  <si>
    <t>setTints</t>
  </si>
  <si>
    <t>testClassIS</t>
  </si>
  <si>
    <t>testClassSYandHY</t>
  </si>
  <si>
    <t>testClassID</t>
  </si>
  <si>
    <t>testNarrowWidthWithSpace</t>
  </si>
  <si>
    <t>NumberOfPreview</t>
  </si>
  <si>
    <t>getValue</t>
  </si>
  <si>
    <t>RSMessageHandlerForTest</t>
  </si>
  <si>
    <t>waitForTest</t>
  </si>
  <si>
    <t>releaseForTest</t>
  </si>
  <si>
    <t>testCameraCharacteristicsAndroidColorCorrectionAvailableAberrationCorrectionModes</t>
  </si>
  <si>
    <t>testSetApplicationsHidden_failIfNotDeviceOrProfileOwner</t>
  </si>
  <si>
    <t>ScriptCHelper</t>
  </si>
  <si>
    <t>testScriptC</t>
  </si>
  <si>
    <t>testDmesgRestrict</t>
  </si>
  <si>
    <t>testBaseObj</t>
  </si>
  <si>
    <t>ContextCreationTest</t>
  </si>
  <si>
    <t>testCreationWithDelay</t>
  </si>
  <si>
    <t>testCreationWithoutDelay</t>
  </si>
  <si>
    <t>testMultiviewCreationWithoutDelay</t>
  </si>
  <si>
    <t>testCreateFromResource</t>
  </si>
  <si>
    <t>testCreateFromAsset</t>
  </si>
  <si>
    <t>testGetIndexEntryCount</t>
  </si>
  <si>
    <t>testGetIndexEntry</t>
  </si>
  <si>
    <t>testIndexEntryGetEntryType</t>
  </si>
  <si>
    <t>testIndexEntryGetMesh</t>
  </si>
  <si>
    <t>testIndexEntryGetName</t>
  </si>
  <si>
    <t>testIndexEntryGetObject</t>
  </si>
  <si>
    <t>testFileA3DEntryType</t>
  </si>
  <si>
    <t>testCreateFromFile</t>
  </si>
  <si>
    <t>testCreate</t>
  </si>
  <si>
    <t>testFontStyle</t>
  </si>
  <si>
    <t>testMeshAllocationBuilder</t>
  </si>
  <si>
    <t>testMeshBuilder</t>
  </si>
  <si>
    <t>triangleMeshBuilderHelper</t>
  </si>
  <si>
    <t>testMeshTriangleMeshBuilder</t>
  </si>
  <si>
    <t>testMeshPrimitive</t>
  </si>
  <si>
    <t>testProgramFragmentFixedFunctionBuilder</t>
  </si>
  <si>
    <t>testBuilderEnvMode</t>
  </si>
  <si>
    <t>testBuilderFormat</t>
  </si>
  <si>
    <t>buildShader</t>
  </si>
  <si>
    <t>testProgramFragmentBuilderHelper</t>
  </si>
  <si>
    <t>testProgramFragmentBuilder</t>
  </si>
  <si>
    <t>testProgramFragmentCreation</t>
  </si>
  <si>
    <t>testProgramTextureType</t>
  </si>
  <si>
    <t>testProgramRasterBuilder</t>
  </si>
  <si>
    <t>testPrebuiltProgramRaster</t>
  </si>
  <si>
    <t>testProgramRasterCullMode</t>
  </si>
  <si>
    <t>varyBuilderColorAndDither</t>
  </si>
  <si>
    <t>testProgramStoreBuilder</t>
  </si>
  <si>
    <t>testPrebuiltProgramStore</t>
  </si>
  <si>
    <t>testProgramStoreBlendDstFunc</t>
  </si>
  <si>
    <t>testProgramStoreBlendSrcFunc</t>
  </si>
  <si>
    <t>testProgramStoreDepthFunc</t>
  </si>
  <si>
    <t>testConstants</t>
  </si>
  <si>
    <t>testProgramVertexFixedFunctionBuilder</t>
  </si>
  <si>
    <t>testProgramVertexBuilderHelper</t>
  </si>
  <si>
    <t>testProgramVertexBuilder</t>
  </si>
  <si>
    <t>testProgramVertexCreation</t>
  </si>
  <si>
    <t>testCreation</t>
  </si>
  <si>
    <t>testCreateRenderScriptGL</t>
  </si>
  <si>
    <t>testGetSetRenderScriptGL</t>
  </si>
  <si>
    <t>testDestroyRenderScriptGL</t>
  </si>
  <si>
    <t>testPauseResume</t>
  </si>
  <si>
    <t>testSimpleCreate</t>
  </si>
  <si>
    <t>testSetColor</t>
  </si>
  <si>
    <t>testSetDepth</t>
  </si>
  <si>
    <t>testSetSamples</t>
  </si>
  <si>
    <t>testCopyConstructor</t>
  </si>
  <si>
    <t>requestCursorAnchorInfo</t>
  </si>
  <si>
    <t>testHoloThemes</t>
  </si>
  <si>
    <t>runCapture</t>
  </si>
  <si>
    <t>getDensityBucket</t>
  </si>
  <si>
    <t>ensureAccessibilityFocusCleared</t>
  </si>
  <si>
    <t>testCameraCharacteristicsAndroidColorCorrectionAvailableAberrationModes</t>
  </si>
  <si>
    <t>testCameraCharacteristicsAndroidControlAeAvailableAntibandingModes</t>
  </si>
  <si>
    <t>testCameraCharacteristicsAndroidControlAeAvailableModes</t>
  </si>
  <si>
    <t>testCameraCharacteristicsAndroidControlAeAvailableTargetFpsRanges</t>
  </si>
  <si>
    <t>testCameraCharacteristicsAndroidControlAeCompensationRange</t>
  </si>
  <si>
    <t>testCameraCharacteristicsAndroidControlAeCompensationStep</t>
  </si>
  <si>
    <t>testCameraCharacteristicsAndroidControlAfAvailableModes</t>
  </si>
  <si>
    <t>testCameraCharacteristicsAndroidControlAvailableEffects</t>
  </si>
  <si>
    <t>testCameraCharacteristicsAndroidControlAvailableSceneModes</t>
  </si>
  <si>
    <t>testCameraCharacteristicsAndroidControlAvailableVideoStabilizationModes</t>
  </si>
  <si>
    <t>testCameraCharacteristicsAndroidControlAwbAvailableModes</t>
  </si>
  <si>
    <t>testCameraCharacteristicsAndroidControlMaxRegionsAe</t>
  </si>
  <si>
    <t>testCameraCharacteristicsAndroidControlMaxRegionsAwb</t>
  </si>
  <si>
    <t>testCameraCharacteristicsAndroidControlMaxRegionsAf</t>
  </si>
  <si>
    <t>testCameraCharacteristicsAndroidEdgeAvailableEdgeModes</t>
  </si>
  <si>
    <t>testCameraCharacteristicsAndroidFlashInfoAvailable</t>
  </si>
  <si>
    <t>testCameraCharacteristicsAndroidHotPixelAvailableHotPixelModes</t>
  </si>
  <si>
    <t>testCameraCharacteristicsAndroidJpegAvailableThumbnailSizes</t>
  </si>
  <si>
    <t>testCameraCharacteristicsAndroidLensFacing</t>
  </si>
  <si>
    <t>testCameraCharacteristicsAndroidLensInfoAvailableApertures</t>
  </si>
  <si>
    <t>testCameraCharacteristicsAndroidLensInfoAvailableFilterDensities</t>
  </si>
  <si>
    <t>testCameraCharacteristicsAndroidLensInfoAvailableFocalLengths</t>
  </si>
  <si>
    <t>testCameraCharacteristicsAndroidLensInfoAvailableOpticalStabilization</t>
  </si>
  <si>
    <t>testCameraCharacteristicsAndroidLensInfoHyperfocalDistance</t>
  </si>
  <si>
    <t>testCameraCharacteristicsAndroidLensInfoMinimumFocusDistance</t>
  </si>
  <si>
    <t>testCameraCharacteristicsAndroidLensInfoFocusDistanceCalibration</t>
  </si>
  <si>
    <t>testCameraCharacteristicsAndroidNoiseReductionAvailableNoiseReductionModes</t>
  </si>
  <si>
    <t>testCameraCharacteristicsAndroidRequestMaxNumOutputRaw</t>
  </si>
  <si>
    <t>testCameraCharacteristicsAndroidRequestMaxNumOutputProc</t>
  </si>
  <si>
    <t>testCameraCharacteristicsAndroidRequestMaxNumOutputProcStalling</t>
  </si>
  <si>
    <t>testCameraCharacteristicsAndroidRequestPipelineMaxDepth</t>
  </si>
  <si>
    <t>testCameraCharacteristicsAndroidRequestPartialResultCount</t>
  </si>
  <si>
    <t>testCameraCharacteristicsAndroidRequestAvailableCapabilities</t>
  </si>
  <si>
    <t>testCameraCharacteristicsAndroidScalerAvailableMaxDigitalZoom</t>
  </si>
  <si>
    <t>testCameraCharacteristicsAndroidScalerStreamConfigurationMap</t>
  </si>
  <si>
    <t>testCameraCharacteristicsAndroidScalerCroppingType</t>
  </si>
  <si>
    <t>testCameraCharacteristicsAndroidSensorReferenceIlluminant1</t>
  </si>
  <si>
    <t>testCameraCharacteristicsAndroidSensorReferenceIlluminant2</t>
  </si>
  <si>
    <t>testCameraCharacteristicsAndroidSensorCalibrationTransform1</t>
  </si>
  <si>
    <t>testCameraCharacteristicsAndroidSensorCalibrationTransform2</t>
  </si>
  <si>
    <t>testCameraCharacteristicsAndroidSensorColorTransform1</t>
  </si>
  <si>
    <t>testCameraCharacteristicsAndroidSensorColorTransform2</t>
  </si>
  <si>
    <t>testCameraCharacteristicsAndroidSensorForwardMatrix1</t>
  </si>
  <si>
    <t>testCameraCharacteristicsAndroidSensorForwardMatrix2</t>
  </si>
  <si>
    <t>testCameraCharacteristicsAndroidSensorBlackLevelPattern</t>
  </si>
  <si>
    <t>testCameraCharacteristicsAndroidSensorMaxAnalogSensitivity</t>
  </si>
  <si>
    <t>testCameraCharacteristicsAndroidSensorOrientation</t>
  </si>
  <si>
    <t>testCameraCharacteristicsAndroidSensorAvailableTestPatternModes</t>
  </si>
  <si>
    <t>testCameraCharacteristicsAndroidSensorInfoActiveArraySize</t>
  </si>
  <si>
    <t>testCameraCharacteristicsAndroidSensorInfoSensitivityRange</t>
  </si>
  <si>
    <t>testCameraCharacteristicsAndroidSensorInfoColorFilterArrangement</t>
  </si>
  <si>
    <t>testCameraCharacteristicsAndroidSensorInfoExposureTimeRange</t>
  </si>
  <si>
    <t>testCameraCharacteristicsAndroidSensorInfoMaxFrameDuration</t>
  </si>
  <si>
    <t>testCameraCharacteristicsAndroidSensorInfoPhysicalSize</t>
  </si>
  <si>
    <t>testCameraCharacteristicsAndroidSensorInfoPixelArraySize</t>
  </si>
  <si>
    <t>testCameraCharacteristicsAndroidSensorInfoWhiteLevel</t>
  </si>
  <si>
    <t>testCameraCharacteristicsAndroidSensorInfoTimestampSource</t>
  </si>
  <si>
    <t>testCameraCharacteristicsAndroidStatisticsInfoAvailableFaceDetectModes</t>
  </si>
  <si>
    <t>testCameraCharacteristicsAndroidStatisticsInfoMaxFaceCount</t>
  </si>
  <si>
    <t>testCameraCharacteristicsAndroidStatisticsInfoAvailableHotPixelMapModes</t>
  </si>
  <si>
    <t>testCameraCharacteristicsAndroidTonemapMaxCurvePoints</t>
  </si>
  <si>
    <t>testCameraCharacteristicsAndroidTonemapAvailableToneMapModes</t>
  </si>
  <si>
    <t>testCameraCharacteristicsAndroidInfoSupportedHardwareLevel</t>
  </si>
  <si>
    <t>testCameraCharacteristicsAndroidSyncMaxLatency</t>
  </si>
  <si>
    <t>testAvailabilityListener</t>
  </si>
  <si>
    <t>getVideoUnavailableReason</t>
  </si>
  <si>
    <t>onVideoAvailable</t>
  </si>
  <si>
    <t>onVideoUnavailable</t>
  </si>
  <si>
    <t>onChannelRetuned</t>
  </si>
  <si>
    <t>onTrackSelected</t>
  </si>
  <si>
    <t>onTracksChanged</t>
  </si>
  <si>
    <t>onContentAllowed</t>
  </si>
  <si>
    <t>onContentBlocked</t>
  </si>
  <si>
    <t>isVideoAvailable</t>
  </si>
  <si>
    <t>getSelectedTrackGeneration</t>
  </si>
  <si>
    <t>getTrackGeneration</t>
  </si>
  <si>
    <t>testSetCdmaSubscription</t>
  </si>
  <si>
    <t>testSetPreferredNetworkType</t>
  </si>
  <si>
    <t>requestUpdateCursorAnchorInfo</t>
  </si>
  <si>
    <t>test_conformance_context_constants_html</t>
  </si>
  <si>
    <t>test_conformance_textures_texture_formats_test_html</t>
  </si>
  <si>
    <t>testRegisterAccountsBlocked</t>
  </si>
  <si>
    <t>addInstallApk</t>
  </si>
  <si>
    <t>setOptions</t>
  </si>
  <si>
    <t>doActivity</t>
  </si>
  <si>
    <t>checkDatabases</t>
  </si>
  <si>
    <t>testJournal</t>
  </si>
  <si>
    <t>testWal</t>
  </si>
  <si>
    <t>testShm</t>
  </si>
  <si>
    <t>setLogEvents</t>
  </si>
  <si>
    <t>setDefaultVerifications</t>
  </si>
  <si>
    <t>addVerification</t>
  </si>
  <si>
    <t>execute</t>
  </si>
  <si>
    <t>clone</t>
  </si>
  <si>
    <t>evaluateResults</t>
  </si>
  <si>
    <t>storeDeviceMetrics</t>
  </si>
  <si>
    <t>checkMetrics</t>
  </si>
  <si>
    <t>setUri</t>
  </si>
  <si>
    <t>getUri</t>
  </si>
  <si>
    <t>setExcludedTestFilter</t>
  </si>
  <si>
    <t>testGlesVersion</t>
  </si>
  <si>
    <t>testResultCode</t>
  </si>
  <si>
    <t>testRun_multipleTets</t>
  </si>
  <si>
    <t>testRun_require30DeviceVersion20</t>
  </si>
  <si>
    <t>testRun_require31DeviceVersion20</t>
  </si>
  <si>
    <t>testRun_require30DeviceVersion30</t>
  </si>
  <si>
    <t>testRun_require31DeviceVersion30</t>
  </si>
  <si>
    <t>testRun_require30DeviceVersion31</t>
  </si>
  <si>
    <t>testRun_require31DeviceVersion31</t>
  </si>
  <si>
    <t>testRun_resultPass</t>
  </si>
  <si>
    <t>testRun_resultFail</t>
  </si>
  <si>
    <t>testRun_resultNotSupported</t>
  </si>
  <si>
    <t>testRun_resultQualityWarning</t>
  </si>
  <si>
    <t>testRun_resultCompatibilityWarning</t>
  </si>
  <si>
    <t>testRun_resultResourceError</t>
  </si>
  <si>
    <t>testRun_resultInternalError</t>
  </si>
  <si>
    <t>testRun_resultCrash</t>
  </si>
  <si>
    <t>testRun_resultTimeout</t>
  </si>
  <si>
    <t>setSensorInfo</t>
  </si>
  <si>
    <t>getSensor</t>
  </si>
  <si>
    <t>testsetPromptId</t>
  </si>
  <si>
    <t>testInteractWithNavBarWindow</t>
  </si>
  <si>
    <t>testInteractWithStatusBarWindow</t>
  </si>
  <si>
    <t>testStateCallbacks</t>
  </si>
  <si>
    <t>testFailedState</t>
  </si>
  <si>
    <t>testCanceledState</t>
  </si>
  <si>
    <t>createConnection</t>
  </si>
  <si>
    <t>waitForStateChange</t>
  </si>
  <si>
    <t>testLogFilePermissions</t>
  </si>
  <si>
    <t>testGetNetworkPreference</t>
  </si>
  <si>
    <t>testSetNetworkPreference</t>
  </si>
  <si>
    <t>testStartUsingNetworkPreference</t>
  </si>
  <si>
    <t>testStopUsingNetworkFeature</t>
  </si>
  <si>
    <t>TestThread</t>
  </si>
  <si>
    <t>getThrowable</t>
  </si>
  <si>
    <t>setThrowable</t>
  </si>
  <si>
    <t>joinAndCheck</t>
  </si>
  <si>
    <t>checkException</t>
  </si>
  <si>
    <t>testInjectSmsPdu</t>
  </si>
  <si>
    <t>testUpdateMmsDownloadStatus</t>
  </si>
  <si>
    <t>testUpdateMmsSendStatus</t>
  </si>
  <si>
    <t>testUpdateSmsSendStatus</t>
  </si>
  <si>
    <t>testSetLine1NumberForDisplay</t>
  </si>
  <si>
    <t>testSetLine1NumberForDisplay2</t>
  </si>
  <si>
    <t>testIccOpenLogicalChannel</t>
  </si>
  <si>
    <t>testIccCloseLogicalChannel</t>
  </si>
  <si>
    <t>testIccTransmitApduLogicalChannel</t>
  </si>
  <si>
    <t>testIccTransmitApduBasicChannel</t>
  </si>
  <si>
    <t>testSendEnvelopeWithStatus</t>
  </si>
  <si>
    <t>testNvReadItem</t>
  </si>
  <si>
    <t>testNvWriteItem</t>
  </si>
  <si>
    <t>testNvWriteCdmaPrl</t>
  </si>
  <si>
    <t>testNvResetConfig</t>
  </si>
  <si>
    <t>testGetPreferredNetworkType</t>
  </si>
  <si>
    <t>testSetGlobalPreferredNetworkType</t>
  </si>
  <si>
    <t>testHasCarrierPrivileges</t>
  </si>
  <si>
    <t>testSetOperatorBrandOverride</t>
  </si>
  <si>
    <t>testEnableSimplifiedNetworkSettings</t>
  </si>
  <si>
    <t>test1_1ConstructorFromUuid</t>
  </si>
  <si>
    <t>testVerify</t>
  </si>
  <si>
    <t>getVerification</t>
  </si>
  <si>
    <t>runVerification</t>
  </si>
  <si>
    <t>LoopFilterMask</t>
  </si>
  <si>
    <t>LoopFilterThresh</t>
  </si>
  <si>
    <t>LoopFilterInfoN</t>
  </si>
  <si>
    <t>BufferInfo</t>
  </si>
  <si>
    <t>getLongData</t>
  </si>
  <si>
    <t>getIntData</t>
  </si>
  <si>
    <t>getShortData</t>
  </si>
  <si>
    <t>initDataArray</t>
  </si>
  <si>
    <t>testRSLoopFilter</t>
  </si>
  <si>
    <t>round_power_of_two</t>
  </si>
  <si>
    <t>round_power_of_two_signed</t>
  </si>
  <si>
    <t>clamp</t>
  </si>
  <si>
    <t>signed_char_clamp</t>
  </si>
  <si>
    <t>filter_mask</t>
  </si>
  <si>
    <t>flat_mask4</t>
  </si>
  <si>
    <t>flat_mask5</t>
  </si>
  <si>
    <t>hev_mask</t>
  </si>
  <si>
    <t>filter4</t>
  </si>
  <si>
    <t>vp9_lpf_horizontal_4_c</t>
  </si>
  <si>
    <t>vp9_lpf_horizontal_4_dual_c</t>
  </si>
  <si>
    <t>vp9_lpf_vertical_4_c</t>
  </si>
  <si>
    <t>vp9_lpf_vertical_4_dual_c</t>
  </si>
  <si>
    <t>filter8</t>
  </si>
  <si>
    <t>vp9_lpf_horizontal_8_c</t>
  </si>
  <si>
    <t>vp9_lpf_horizontal_8_dual_c</t>
  </si>
  <si>
    <t>vp9_lpf_vertical_8_c</t>
  </si>
  <si>
    <t>vp9_lpf_vertical_8_dual_c</t>
  </si>
  <si>
    <t>filter16</t>
  </si>
  <si>
    <t>vp9_lpf_horizontal_16_c</t>
  </si>
  <si>
    <t>mb_lpf_vertical_edge_w</t>
  </si>
  <si>
    <t>vp9_lpf_vertical_16_c</t>
  </si>
  <si>
    <t>vp9_lpf_vertical_16_dual_c</t>
  </si>
  <si>
    <t>filter_selectively_vert_row2</t>
  </si>
  <si>
    <t>filter_selectively_horiz</t>
  </si>
  <si>
    <t>filter_block_plane_y</t>
  </si>
  <si>
    <t>filter_block_plane_uv</t>
  </si>
  <si>
    <t>vp9_loop_filter_rows_work_proc</t>
  </si>
  <si>
    <t>setIsSignatureCheck</t>
  </si>
  <si>
    <t>isSignatureCheck</t>
  </si>
  <si>
    <t>testProfileOwnerSetup</t>
  </si>
  <si>
    <t>startManagedProfile</t>
  </si>
  <si>
    <t>testWipeData</t>
  </si>
  <si>
    <t>testProfileOwner</t>
  </si>
  <si>
    <t>testCrossProfileIntentFilters</t>
  </si>
  <si>
    <t>disableActivityForUser</t>
  </si>
  <si>
    <t>hasDeviceFeatures</t>
  </si>
  <si>
    <t>installApp</t>
  </si>
  <si>
    <t>createUser</t>
  </si>
  <si>
    <t>listUsers</t>
  </si>
  <si>
    <t>setProfileOwner</t>
  </si>
  <si>
    <t>runDeviceTests</t>
  </si>
  <si>
    <t>runDeviceTestsAsUser</t>
  </si>
  <si>
    <t>doRunTests</t>
  </si>
  <si>
    <t>doRunTestsAsUser</t>
  </si>
  <si>
    <t>printTestResult</t>
  </si>
  <si>
    <t>quitLooper</t>
  </si>
  <si>
    <t>getImageFormatFromCodecType</t>
  </si>
  <si>
    <t>getCodecInfoByType</t>
  </si>
  <si>
    <t>selectDecoderOutputColorFormat</t>
  </si>
  <si>
    <t>isRecognizedFormat</t>
  </si>
  <si>
    <t>CrossProfileContentTest</t>
  </si>
  <si>
    <t>testReceiverCanRead</t>
  </si>
  <si>
    <t>testReceiverCanWrite</t>
  </si>
  <si>
    <t>testPersistablePermission</t>
  </si>
  <si>
    <t>testAppPermissionsDontWorkAcrossProfiles</t>
  </si>
  <si>
    <t>grantPersistableReadPermission</t>
  </si>
  <si>
    <t>getBasicContentProviderUri</t>
  </si>
  <si>
    <t>getUriWithTextInFile</t>
  </si>
  <si>
    <t>getFirstLineFromUri</t>
  </si>
  <si>
    <t>SensorEventTimeStampListener</t>
  </si>
  <si>
    <t>getNumErrors</t>
  </si>
  <si>
    <t>failTimedOut</t>
  </si>
  <si>
    <t>registerListenerCallFlush</t>
  </si>
  <si>
    <t>waitToCollectAllEvents</t>
  </si>
  <si>
    <t>startFlush</t>
  </si>
  <si>
    <t>waitForFlushCompleted</t>
  </si>
  <si>
    <t>flush</t>
  </si>
  <si>
    <t>runSensor</t>
  </si>
  <si>
    <t>runSensorAndFlush</t>
  </si>
  <si>
    <t>TestSensorFlushOperation</t>
  </si>
  <si>
    <t>doExecute</t>
  </si>
  <si>
    <t>doClone</t>
  </si>
  <si>
    <t>assertArmCpuAbiConstants</t>
  </si>
  <si>
    <t>test1_0ConstructorFromType</t>
  </si>
  <si>
    <t>test1_2ConstructorUnknownType</t>
  </si>
  <si>
    <t>isVirtualizerAvailable</t>
  </si>
  <si>
    <t>testNoExecutePermission</t>
  </si>
  <si>
    <t>testSELinuxPolicyFile</t>
  </si>
  <si>
    <t>runRuleChecks</t>
  </si>
  <si>
    <t>createAvcContext</t>
  </si>
  <si>
    <t>testMaximumTimeToLock</t>
  </si>
  <si>
    <t>buildTestsToRun</t>
  </si>
  <si>
    <t>addTestPackage</t>
  </si>
  <si>
    <t>testSecurity</t>
  </si>
  <si>
    <t>filterTestPackagesByAbi</t>
  </si>
  <si>
    <t>getTestPackagesToRun</t>
  </si>
  <si>
    <t>getRunTimeArgs</t>
  </si>
  <si>
    <t>isKnownTest</t>
  </si>
  <si>
    <t>setParsePlanExceptations</t>
  </si>
  <si>
    <t>hasAudioOutput</t>
  </si>
  <si>
    <t>hasCodecForMimeType</t>
  </si>
  <si>
    <t>hasH264</t>
  </si>
  <si>
    <t>hasHEVC</t>
  </si>
  <si>
    <t>hasH263</t>
  </si>
  <si>
    <t>hasMpeg4</t>
  </si>
  <si>
    <t>hasVP8</t>
  </si>
  <si>
    <t>hasVP9</t>
  </si>
  <si>
    <t>testNeverallowRules</t>
  </si>
  <si>
    <t>getEncoderInfo</t>
  </si>
  <si>
    <t>selectCodec</t>
  </si>
  <si>
    <t>hasCodec</t>
  </si>
  <si>
    <t>getAvcSupportedFormatInfo</t>
  </si>
  <si>
    <t>verifyIllegalStateException</t>
  </si>
  <si>
    <t>supportsMimeType</t>
  </si>
  <si>
    <t>hasAmrnb</t>
  </si>
  <si>
    <t>hasAmrwb</t>
  </si>
  <si>
    <t>hasAcc</t>
  </si>
  <si>
    <t>testHEVCDecode30fps2840x2160</t>
  </si>
  <si>
    <t>testIsH263BaselineProfileSupported</t>
  </si>
  <si>
    <t>testIsAVCBaselineProfileSupported</t>
  </si>
  <si>
    <t>testIsHEVCMainProfileSupported</t>
  </si>
  <si>
    <t>testIsM4VSimpleProfileSupported</t>
  </si>
  <si>
    <t>checkProfileSupported</t>
  </si>
  <si>
    <t>profileIsListed</t>
  </si>
  <si>
    <t>assertEqualsAccessiblityNodeInfo</t>
  </si>
  <si>
    <t>testSockDiag</t>
  </si>
  <si>
    <t>testInflateMissingAttributes</t>
  </si>
  <si>
    <t>setEnvironment</t>
  </si>
  <si>
    <t>testNoDevDiag</t>
  </si>
  <si>
    <t>expectUdpEcho</t>
  </si>
  <si>
    <t>expectNoUdpEcho</t>
  </si>
  <si>
    <t>SettingsIntentsTest</t>
  </si>
  <si>
    <t>testSettings</t>
  </si>
  <si>
    <t>testAccounts</t>
  </si>
  <si>
    <t>testApps</t>
  </si>
  <si>
    <t>testNfc</t>
  </si>
  <si>
    <t>testLocation</t>
  </si>
  <si>
    <t>testSettingsIntents</t>
  </si>
  <si>
    <t>BroadcastReceiver</t>
  </si>
  <si>
    <t>openAccessory</t>
  </si>
  <si>
    <t>closeAccessory</t>
  </si>
  <si>
    <t>AutoLockTest</t>
  </si>
  <si>
    <t>getSingletonTest</t>
  </si>
  <si>
    <t>initializeTest</t>
  </si>
  <si>
    <t>updateCamera</t>
  </si>
  <si>
    <t>setActivity</t>
  </si>
  <si>
    <t>closeConnection</t>
  </si>
  <si>
    <t>test0</t>
  </si>
  <si>
    <t>test2</t>
  </si>
  <si>
    <t>test3</t>
  </si>
  <si>
    <t>test4</t>
  </si>
  <si>
    <t>test5</t>
  </si>
  <si>
    <t>test6</t>
  </si>
  <si>
    <t>test7</t>
  </si>
  <si>
    <t>test8</t>
  </si>
  <si>
    <t>test9</t>
  </si>
  <si>
    <t>test10</t>
  </si>
  <si>
    <t>test11</t>
  </si>
  <si>
    <t>test12</t>
  </si>
  <si>
    <t>test13</t>
  </si>
  <si>
    <t>test14</t>
  </si>
  <si>
    <t>test15</t>
  </si>
  <si>
    <t>test16</t>
  </si>
  <si>
    <t>test17</t>
  </si>
  <si>
    <t>test18</t>
  </si>
  <si>
    <t>restartCamera</t>
  </si>
  <si>
    <t>turnOnLight</t>
  </si>
  <si>
    <t>turnOffLight</t>
  </si>
  <si>
    <t>setLock</t>
  </si>
  <si>
    <t>releaseLock</t>
  </si>
  <si>
    <t>takePicture</t>
  </si>
  <si>
    <t>prepareDebugText</t>
  </si>
  <si>
    <t>clearDebugText</t>
  </si>
  <si>
    <t>getDebugText</t>
  </si>
  <si>
    <t>getResultText</t>
  </si>
  <si>
    <t>getTestName</t>
  </si>
  <si>
    <t>getNumTests</t>
  </si>
  <si>
    <t>PictureCallback</t>
  </si>
  <si>
    <t>ColorCheckerTest</t>
  </si>
  <si>
    <t>AutoFocusCallback</t>
  </si>
  <si>
    <t>copyCheckerAddress</t>
  </si>
  <si>
    <t>ExposureCompensationTest</t>
  </si>
  <si>
    <t>MeteringTest</t>
  </si>
  <si>
    <t>runOneAreaTest</t>
  </si>
  <si>
    <t>runTwoAreasTest</t>
  </si>
  <si>
    <t>runMultipleAreaTest</t>
  </si>
  <si>
    <t>runSingleTest</t>
  </si>
  <si>
    <t>makeArea</t>
  </si>
  <si>
    <t>WhiteBalanceTest</t>
  </si>
  <si>
    <t>initializeWhiteBalanceTest</t>
  </si>
  <si>
    <t>setReferenceTemperature</t>
  </si>
  <si>
    <t>setPrintTest</t>
  </si>
  <si>
    <t>assertDomainEmpty</t>
  </si>
  <si>
    <t>assertDomainOne</t>
  </si>
  <si>
    <t>assertDomainZeroOrOne</t>
  </si>
  <si>
    <t>assertDomainN</t>
  </si>
  <si>
    <t>assertDomainHasExecutable</t>
  </si>
  <si>
    <t>testInitDomain</t>
  </si>
  <si>
    <t>testUeventdDomain</t>
  </si>
  <si>
    <t>testHealthdDomain</t>
  </si>
  <si>
    <t>testServicemanagerDomain</t>
  </si>
  <si>
    <t>testVoldDomain</t>
  </si>
  <si>
    <t>testNetdDomain</t>
  </si>
  <si>
    <t>testDebuggerdDomain</t>
  </si>
  <si>
    <t>testSurfaceflingerDomain</t>
  </si>
  <si>
    <t>testZygoteDomain</t>
  </si>
  <si>
    <t>testDrmServerDomain</t>
  </si>
  <si>
    <t>testMediaserverDomain</t>
  </si>
  <si>
    <t>testInstalldDomain</t>
  </si>
  <si>
    <t>testKeystoreDomain</t>
  </si>
  <si>
    <t>testSystemServerDomain</t>
  </si>
  <si>
    <t>testSdcarddDomain</t>
  </si>
  <si>
    <t>testWatchdogdDomain</t>
  </si>
  <si>
    <t>testWpaDomain</t>
  </si>
  <si>
    <t>testInitShellDomain</t>
  </si>
  <si>
    <t>testRecoveryDomain</t>
  </si>
  <si>
    <t>testSuDomain</t>
  </si>
  <si>
    <t>testKernelDomain</t>
  </si>
  <si>
    <t>ProcessDetails</t>
  </si>
  <si>
    <t>isKernel</t>
  </si>
  <si>
    <t>getVsizeFromStat</t>
  </si>
  <si>
    <t>getProcessMap</t>
  </si>
  <si>
    <t>getProcessDetails</t>
  </si>
  <si>
    <t>testGoogH265FlexArbitrary</t>
  </si>
  <si>
    <t>testGoogH265SurfArbitrary</t>
  </si>
  <si>
    <t>testGoogH264FlexArbitrary</t>
  </si>
  <si>
    <t>testGoogH264SurfArbitrary</t>
  </si>
  <si>
    <t>testGoogH263FlexArbitrary</t>
  </si>
  <si>
    <t>testGoogH263SurfArbitrary</t>
  </si>
  <si>
    <t>testGoogMpeg4FlexArbitrary</t>
  </si>
  <si>
    <t>testGoogMpeg4SurfArbitrary</t>
  </si>
  <si>
    <t>testGoogVP8FlexArbitrary</t>
  </si>
  <si>
    <t>testGoogVP8SurfArbitrary</t>
  </si>
  <si>
    <t>testGoogVP9FlexArbitrary</t>
  </si>
  <si>
    <t>testGoogVP9SurfArbitrary</t>
  </si>
  <si>
    <t>testOtherH265FlexArbitrary</t>
  </si>
  <si>
    <t>testOtherH265SurfArbitrary</t>
  </si>
  <si>
    <t>testOtherH264FlexArbitrary</t>
  </si>
  <si>
    <t>testOtherH264SurfArbitrary</t>
  </si>
  <si>
    <t>testOtherH263FlexArbitrary</t>
  </si>
  <si>
    <t>testOtherH263SurfArbitrary</t>
  </si>
  <si>
    <t>testOtherMpeg4FlexArbitrary</t>
  </si>
  <si>
    <t>testOtherMpeg4SurfArbitrary</t>
  </si>
  <si>
    <t>testOtherVP8FlexArbitrary</t>
  </si>
  <si>
    <t>testOtherVP8SurfArbitrary</t>
  </si>
  <si>
    <t>testOtherVP9FlexArbitrary</t>
  </si>
  <si>
    <t>testOtherVP9SurfArbitrary</t>
  </si>
  <si>
    <t>findDifferenceMetric</t>
  </si>
  <si>
    <t>createManagedProfile</t>
  </si>
  <si>
    <t>videoDecodeToSurface</t>
  </si>
  <si>
    <t>decodeFramesToImageReader</t>
  </si>
  <si>
    <t>imageFormatSupported</t>
  </si>
  <si>
    <t>createDecoder</t>
  </si>
  <si>
    <t>testBluetoothDevicesTable</t>
  </si>
  <si>
    <t>removeTestUsers</t>
  </si>
  <si>
    <t>testSystemMountedRO_init</t>
  </si>
  <si>
    <t>testRootMountedRO_init</t>
  </si>
  <si>
    <t>initTextViewForTyping</t>
  </si>
  <si>
    <t>testUndoDelete</t>
  </si>
  <si>
    <t>testUndoSetText</t>
  </si>
  <si>
    <t>testUndoShortcuts</t>
  </si>
  <si>
    <t>testUndoRedo</t>
  </si>
  <si>
    <t>ParsedMounts</t>
  </si>
  <si>
    <t>isMountReadOnly</t>
  </si>
  <si>
    <t>findMountPointContaining</t>
  </si>
  <si>
    <t>test_Allocationcopy1DRangeTo_Byte</t>
  </si>
  <si>
    <t>test_Allocationcopy1DRangeTo_Short</t>
  </si>
  <si>
    <t>test_Allocationcopy1DRangeTo_Int</t>
  </si>
  <si>
    <t>test_Allocationcopy1DRangeTo_Float</t>
  </si>
  <si>
    <t>test_Allocationcopy1DRangeTo_Long</t>
  </si>
  <si>
    <t>test_Allocationcopy2DRangeTo_Byte</t>
  </si>
  <si>
    <t>test_Allocationcopy2DRangeTo_Short</t>
  </si>
  <si>
    <t>test_Allocationcopy2DRangeTo_Int</t>
  </si>
  <si>
    <t>test_Allocationcopy2DRangeTo_Float</t>
  </si>
  <si>
    <t>test_Allocationcopy2DRangeTo_Long</t>
  </si>
  <si>
    <t>test_Allocationcopy3DRangeTo_Byte</t>
  </si>
  <si>
    <t>test_Allocationcopy3DRangeTo_Short</t>
  </si>
  <si>
    <t>test_Allocationcopy3DRangeTo_Int</t>
  </si>
  <si>
    <t>test_Allocationcopy3DRangeTo_Float</t>
  </si>
  <si>
    <t>test_Allocationcopy3DRangeTo_Long</t>
  </si>
  <si>
    <t>test_Allocationcopy1DRangeToUnchecked_Byte</t>
  </si>
  <si>
    <t>test_Allocationcopy1DRangeToUnchecked_Short</t>
  </si>
  <si>
    <t>test_Allocationcopy1DRangeToUnchecked_Int</t>
  </si>
  <si>
    <t>test_Allocationcopy1DRangeToUnchecked_Float</t>
  </si>
  <si>
    <t>test_Allocationcopy1DRangeToUnchecked_Long</t>
  </si>
  <si>
    <t>testZergRushCrash</t>
  </si>
  <si>
    <t>testTryToCrashVold</t>
  </si>
  <si>
    <t>doAttack</t>
  </si>
  <si>
    <t>getSysFsPath</t>
  </si>
  <si>
    <t>confirmNetlinkMsgReceived</t>
  </si>
  <si>
    <t>getPids</t>
  </si>
  <si>
    <t>parseNetlink</t>
  </si>
  <si>
    <t>getDiskAddedMessage</t>
  </si>
  <si>
    <t>getPartitionAddedMessage</t>
  </si>
  <si>
    <t>testSeappContexts</t>
  </si>
  <si>
    <t>testAOSPSeappContexts</t>
  </si>
  <si>
    <t>testFileContexts</t>
  </si>
  <si>
    <t>testPropertyContexts</t>
  </si>
  <si>
    <t>testServiceContexts</t>
  </si>
  <si>
    <t>testRedoSetText</t>
  </si>
  <si>
    <t>testUndoDirectAppend</t>
  </si>
  <si>
    <t>testUndoDirectInsert</t>
  </si>
  <si>
    <t>testUndoTextWatcher</t>
  </si>
  <si>
    <t>testUndoSaveInstanceState</t>
  </si>
  <si>
    <t>testUndoSaveInstanceStateEmpty</t>
  </si>
  <si>
    <t>testKeystoreCrash</t>
  </si>
  <si>
    <t>createWalk</t>
  </si>
  <si>
    <t>testSetup</t>
  </si>
  <si>
    <t>randomByteArray</t>
  </si>
  <si>
    <t>randomShortArray</t>
  </si>
  <si>
    <t>randomIntArray</t>
  </si>
  <si>
    <t>randomLongArray</t>
  </si>
  <si>
    <t>randomFloatArray</t>
  </si>
  <si>
    <t>randomDoubleArray</t>
  </si>
  <si>
    <t>testGetSet_char</t>
  </si>
  <si>
    <t>testGetSet_char2</t>
  </si>
  <si>
    <t>testGetSet_char3</t>
  </si>
  <si>
    <t>testGetSet_char4</t>
  </si>
  <si>
    <t>testGetSet_uchar</t>
  </si>
  <si>
    <t>testGetSet_uchar2</t>
  </si>
  <si>
    <t>testGetSet_uchar3</t>
  </si>
  <si>
    <t>testGetSet_uchar4</t>
  </si>
  <si>
    <t>testGetSet_short</t>
  </si>
  <si>
    <t>testGetSet_short2</t>
  </si>
  <si>
    <t>testGetSet_short3</t>
  </si>
  <si>
    <t>testGetSet_short4</t>
  </si>
  <si>
    <t>testGetSet_ushort</t>
  </si>
  <si>
    <t>testGetSet_ushort2</t>
  </si>
  <si>
    <t>testGetSet_ushort3</t>
  </si>
  <si>
    <t>testGetSet_ushort4</t>
  </si>
  <si>
    <t>testGetSet_int</t>
  </si>
  <si>
    <t>testGetSet_int2</t>
  </si>
  <si>
    <t>testGetSet_int3</t>
  </si>
  <si>
    <t>testGetSet_int4</t>
  </si>
  <si>
    <t>testGetSet_uint</t>
  </si>
  <si>
    <t>testGetSet_uint2</t>
  </si>
  <si>
    <t>testGetSet_uint3</t>
  </si>
  <si>
    <t>testGetSet_uint4</t>
  </si>
  <si>
    <t>testGetSet_long</t>
  </si>
  <si>
    <t>testGetSet_long2</t>
  </si>
  <si>
    <t>testGetSet_long3</t>
  </si>
  <si>
    <t>testGetSet_long4</t>
  </si>
  <si>
    <t>testGetSet_ulong</t>
  </si>
  <si>
    <t>testGetSet_ulong2</t>
  </si>
  <si>
    <t>testGetSet_ulong3</t>
  </si>
  <si>
    <t>testGetSet_ulong4</t>
  </si>
  <si>
    <t>testGetSet_float</t>
  </si>
  <si>
    <t>testGetSet_float2</t>
  </si>
  <si>
    <t>testGetSet_float3</t>
  </si>
  <si>
    <t>testGetSet_float4</t>
  </si>
  <si>
    <t>testGetSet_double</t>
  </si>
  <si>
    <t>testGetSet_double2</t>
  </si>
  <si>
    <t>testGetSet_double3</t>
  </si>
  <si>
    <t>testGetSet_double4</t>
  </si>
  <si>
    <t>testVload_char</t>
  </si>
  <si>
    <t>testVload_uchar</t>
  </si>
  <si>
    <t>testVload_char_relaxed</t>
  </si>
  <si>
    <t>testVload_uchar_relaxed</t>
  </si>
  <si>
    <t>testVload_short</t>
  </si>
  <si>
    <t>testVload_ushort</t>
  </si>
  <si>
    <t>testVload_short_relaxed</t>
  </si>
  <si>
    <t>testVload_ushort_relaxed</t>
  </si>
  <si>
    <t>testVload_int</t>
  </si>
  <si>
    <t>testVload_uint</t>
  </si>
  <si>
    <t>testVload_int_relaxed</t>
  </si>
  <si>
    <t>testVload_uint_relaxed</t>
  </si>
  <si>
    <t>testVload_long</t>
  </si>
  <si>
    <t>testVload_ulong</t>
  </si>
  <si>
    <t>testVload_long_relaxed</t>
  </si>
  <si>
    <t>testVload_ulong_relaxed</t>
  </si>
  <si>
    <t>testVload_float</t>
  </si>
  <si>
    <t>testVload_float_relaxed</t>
  </si>
  <si>
    <t>testVload_double</t>
  </si>
  <si>
    <t>testVload_double_relaxed</t>
  </si>
  <si>
    <t>checkAbsCharUchar</t>
  </si>
  <si>
    <t>verifyResultsAbsCharUchar</t>
  </si>
  <si>
    <t>checkAbsChar2Uchar2</t>
  </si>
  <si>
    <t>verifyResultsAbsChar2Uchar2</t>
  </si>
  <si>
    <t>checkAbsChar3Uchar3</t>
  </si>
  <si>
    <t>verifyResultsAbsChar3Uchar3</t>
  </si>
  <si>
    <t>checkAbsChar4Uchar4</t>
  </si>
  <si>
    <t>verifyResultsAbsChar4Uchar4</t>
  </si>
  <si>
    <t>checkAbsShortUshort</t>
  </si>
  <si>
    <t>verifyResultsAbsShortUshort</t>
  </si>
  <si>
    <t>checkAbsShort2Ushort2</t>
  </si>
  <si>
    <t>verifyResultsAbsShort2Ushort2</t>
  </si>
  <si>
    <t>checkAbsShort3Ushort3</t>
  </si>
  <si>
    <t>verifyResultsAbsShort3Ushort3</t>
  </si>
  <si>
    <t>checkAbsShort4Ushort4</t>
  </si>
  <si>
    <t>verifyResultsAbsShort4Ushort4</t>
  </si>
  <si>
    <t>checkAbsIntUint</t>
  </si>
  <si>
    <t>verifyResultsAbsIntUint</t>
  </si>
  <si>
    <t>checkAbsInt2Uint2</t>
  </si>
  <si>
    <t>verifyResultsAbsInt2Uint2</t>
  </si>
  <si>
    <t>checkAbsInt3Uint3</t>
  </si>
  <si>
    <t>verifyResultsAbsInt3Uint3</t>
  </si>
  <si>
    <t>checkAbsInt4Uint4</t>
  </si>
  <si>
    <t>verifyResultsAbsInt4Uint4</t>
  </si>
  <si>
    <t>testAbs</t>
  </si>
  <si>
    <t>checkAcosFloatFloat</t>
  </si>
  <si>
    <t>verifyResultsAcosFloatFloat</t>
  </si>
  <si>
    <t>checkAcosFloat2Float2</t>
  </si>
  <si>
    <t>verifyResultsAcosFloat2Float2</t>
  </si>
  <si>
    <t>checkAcosFloat3Float3</t>
  </si>
  <si>
    <t>verifyResultsAcosFloat3Float3</t>
  </si>
  <si>
    <t>checkAcosFloat4Float4</t>
  </si>
  <si>
    <t>verifyResultsAcosFloat4Float4</t>
  </si>
  <si>
    <t>testAcos</t>
  </si>
  <si>
    <t>checkAcoshFloatFloat</t>
  </si>
  <si>
    <t>verifyResultsAcoshFloatFloat</t>
  </si>
  <si>
    <t>checkAcoshFloat2Float2</t>
  </si>
  <si>
    <t>verifyResultsAcoshFloat2Float2</t>
  </si>
  <si>
    <t>checkAcoshFloat3Float3</t>
  </si>
  <si>
    <t>verifyResultsAcoshFloat3Float3</t>
  </si>
  <si>
    <t>checkAcoshFloat4Float4</t>
  </si>
  <si>
    <t>verifyResultsAcoshFloat4Float4</t>
  </si>
  <si>
    <t>testAcosh</t>
  </si>
  <si>
    <t>checkAcospiFloatFloat</t>
  </si>
  <si>
    <t>verifyResultsAcospiFloatFloat</t>
  </si>
  <si>
    <t>checkAcospiFloat2Float2</t>
  </si>
  <si>
    <t>verifyResultsAcospiFloat2Float2</t>
  </si>
  <si>
    <t>checkAcospiFloat3Float3</t>
  </si>
  <si>
    <t>verifyResultsAcospiFloat3Float3</t>
  </si>
  <si>
    <t>checkAcospiFloat4Float4</t>
  </si>
  <si>
    <t>verifyResultsAcospiFloat4Float4</t>
  </si>
  <si>
    <t>testAcospi</t>
  </si>
  <si>
    <t>checkAsinFloatFloat</t>
  </si>
  <si>
    <t>verifyResultsAsinFloatFloat</t>
  </si>
  <si>
    <t>checkAsinFloat2Float2</t>
  </si>
  <si>
    <t>verifyResultsAsinFloat2Float2</t>
  </si>
  <si>
    <t>checkAsinFloat3Float3</t>
  </si>
  <si>
    <t>verifyResultsAsinFloat3Float3</t>
  </si>
  <si>
    <t>checkAsinFloat4Float4</t>
  </si>
  <si>
    <t>verifyResultsAsinFloat4Float4</t>
  </si>
  <si>
    <t>testAsin</t>
  </si>
  <si>
    <t>checkAsinhFloatFloat</t>
  </si>
  <si>
    <t>verifyResultsAsinhFloatFloat</t>
  </si>
  <si>
    <t>checkAsinhFloat2Float2</t>
  </si>
  <si>
    <t>verifyResultsAsinhFloat2Float2</t>
  </si>
  <si>
    <t>checkAsinhFloat3Float3</t>
  </si>
  <si>
    <t>verifyResultsAsinhFloat3Float3</t>
  </si>
  <si>
    <t>checkAsinhFloat4Float4</t>
  </si>
  <si>
    <t>verifyResultsAsinhFloat4Float4</t>
  </si>
  <si>
    <t>testAsinh</t>
  </si>
  <si>
    <t>checkAsinpiFloatFloat</t>
  </si>
  <si>
    <t>verifyResultsAsinpiFloatFloat</t>
  </si>
  <si>
    <t>checkAsinpiFloat2Float2</t>
  </si>
  <si>
    <t>verifyResultsAsinpiFloat2Float2</t>
  </si>
  <si>
    <t>checkAsinpiFloat3Float3</t>
  </si>
  <si>
    <t>verifyResultsAsinpiFloat3Float3</t>
  </si>
  <si>
    <t>checkAsinpiFloat4Float4</t>
  </si>
  <si>
    <t>verifyResultsAsinpiFloat4Float4</t>
  </si>
  <si>
    <t>testAsinpi</t>
  </si>
  <si>
    <t>checkAtanFloatFloat</t>
  </si>
  <si>
    <t>verifyResultsAtanFloatFloat</t>
  </si>
  <si>
    <t>checkAtanFloat2Float2</t>
  </si>
  <si>
    <t>verifyResultsAtanFloat2Float2</t>
  </si>
  <si>
    <t>checkAtanFloat3Float3</t>
  </si>
  <si>
    <t>verifyResultsAtanFloat3Float3</t>
  </si>
  <si>
    <t>checkAtanFloat4Float4</t>
  </si>
  <si>
    <t>verifyResultsAtanFloat4Float4</t>
  </si>
  <si>
    <t>testAtan</t>
  </si>
  <si>
    <t>checkAtan2FloatFloatFloat</t>
  </si>
  <si>
    <t>verifyResultsAtan2FloatFloatFloat</t>
  </si>
  <si>
    <t>checkAtan2Float2Float2Float2</t>
  </si>
  <si>
    <t>verifyResultsAtan2Float2Float2Float2</t>
  </si>
  <si>
    <t>checkAtan2Float3Float3Float3</t>
  </si>
  <si>
    <t>verifyResultsAtan2Float3Float3Float3</t>
  </si>
  <si>
    <t>checkAtan2Float4Float4Float4</t>
  </si>
  <si>
    <t>verifyResultsAtan2Float4Float4Float4</t>
  </si>
  <si>
    <t>testAtan2</t>
  </si>
  <si>
    <t>checkAtan2piFloatFloatFloat</t>
  </si>
  <si>
    <t>verifyResultsAtan2piFloatFloatFloat</t>
  </si>
  <si>
    <t>checkAtan2piFloat2Float2Float2</t>
  </si>
  <si>
    <t>verifyResultsAtan2piFloat2Float2Float2</t>
  </si>
  <si>
    <t>checkAtan2piFloat3Float3Float3</t>
  </si>
  <si>
    <t>verifyResultsAtan2piFloat3Float3Float3</t>
  </si>
  <si>
    <t>checkAtan2piFloat4Float4Float4</t>
  </si>
  <si>
    <t>verifyResultsAtan2piFloat4Float4Float4</t>
  </si>
  <si>
    <t>testAtan2pi</t>
  </si>
  <si>
    <t>checkAtanhFloatFloat</t>
  </si>
  <si>
    <t>verifyResultsAtanhFloatFloat</t>
  </si>
  <si>
    <t>checkAtanhFloat2Float2</t>
  </si>
  <si>
    <t>verifyResultsAtanhFloat2Float2</t>
  </si>
  <si>
    <t>checkAtanhFloat3Float3</t>
  </si>
  <si>
    <t>verifyResultsAtanhFloat3Float3</t>
  </si>
  <si>
    <t>checkAtanhFloat4Float4</t>
  </si>
  <si>
    <t>verifyResultsAtanhFloat4Float4</t>
  </si>
  <si>
    <t>testAtanh</t>
  </si>
  <si>
    <t>checkAtanpiFloatFloat</t>
  </si>
  <si>
    <t>verifyResultsAtanpiFloatFloat</t>
  </si>
  <si>
    <t>checkAtanpiFloat2Float2</t>
  </si>
  <si>
    <t>verifyResultsAtanpiFloat2Float2</t>
  </si>
  <si>
    <t>checkAtanpiFloat3Float3</t>
  </si>
  <si>
    <t>verifyResultsAtanpiFloat3Float3</t>
  </si>
  <si>
    <t>checkAtanpiFloat4Float4</t>
  </si>
  <si>
    <t>verifyResultsAtanpiFloat4Float4</t>
  </si>
  <si>
    <t>testAtanpi</t>
  </si>
  <si>
    <t>checkCbrtFloatFloat</t>
  </si>
  <si>
    <t>verifyResultsCbrtFloatFloat</t>
  </si>
  <si>
    <t>checkCbrtFloat2Float2</t>
  </si>
  <si>
    <t>verifyResultsCbrtFloat2Float2</t>
  </si>
  <si>
    <t>checkCbrtFloat3Float3</t>
  </si>
  <si>
    <t>verifyResultsCbrtFloat3Float3</t>
  </si>
  <si>
    <t>checkCbrtFloat4Float4</t>
  </si>
  <si>
    <t>verifyResultsCbrtFloat4Float4</t>
  </si>
  <si>
    <t>testCbrt</t>
  </si>
  <si>
    <t>checkCeilFloatFloat</t>
  </si>
  <si>
    <t>verifyResultsCeilFloatFloat</t>
  </si>
  <si>
    <t>checkCeilFloat2Float2</t>
  </si>
  <si>
    <t>verifyResultsCeilFloat2Float2</t>
  </si>
  <si>
    <t>checkCeilFloat3Float3</t>
  </si>
  <si>
    <t>verifyResultsCeilFloat3Float3</t>
  </si>
  <si>
    <t>checkCeilFloat4Float4</t>
  </si>
  <si>
    <t>verifyResultsCeilFloat4Float4</t>
  </si>
  <si>
    <t>testCeil</t>
  </si>
  <si>
    <t>checkClampFloatFloatFloatFloat</t>
  </si>
  <si>
    <t>verifyResultsClampFloatFloatFloatFloat</t>
  </si>
  <si>
    <t>checkClampFloat2Float2Float2Float2</t>
  </si>
  <si>
    <t>verifyResultsClampFloat2Float2Float2Float2</t>
  </si>
  <si>
    <t>checkClampFloat3Float3Float3Float3</t>
  </si>
  <si>
    <t>verifyResultsClampFloat3Float3Float3Float3</t>
  </si>
  <si>
    <t>checkClampFloat4Float4Float4Float4</t>
  </si>
  <si>
    <t>verifyResultsClampFloat4Float4Float4Float4</t>
  </si>
  <si>
    <t>checkClampFloat2FloatFloatFloat2</t>
  </si>
  <si>
    <t>verifyResultsClampFloat2FloatFloatFloat2</t>
  </si>
  <si>
    <t>checkClampFloat3FloatFloatFloat3</t>
  </si>
  <si>
    <t>verifyResultsClampFloat3FloatFloatFloat3</t>
  </si>
  <si>
    <t>checkClampFloat4FloatFloatFloat4</t>
  </si>
  <si>
    <t>verifyResultsClampFloat4FloatFloatFloat4</t>
  </si>
  <si>
    <t>checkClampCharCharCharChar</t>
  </si>
  <si>
    <t>verifyResultsClampCharCharCharChar</t>
  </si>
  <si>
    <t>checkClampChar2Char2Char2Char2</t>
  </si>
  <si>
    <t>verifyResultsClampChar2Char2Char2Char2</t>
  </si>
  <si>
    <t>checkClampChar3Char3Char3Char3</t>
  </si>
  <si>
    <t>verifyResultsClampChar3Char3Char3Char3</t>
  </si>
  <si>
    <t>checkClampChar4Char4Char4Char4</t>
  </si>
  <si>
    <t>verifyResultsClampChar4Char4Char4Char4</t>
  </si>
  <si>
    <t>checkClampUcharUcharUcharUchar</t>
  </si>
  <si>
    <t>verifyResultsClampUcharUcharUcharUchar</t>
  </si>
  <si>
    <t>checkClampUchar2Uchar2Uchar2Uchar2</t>
  </si>
  <si>
    <t>verifyResultsClampUchar2Uchar2Uchar2Uchar2</t>
  </si>
  <si>
    <t>checkClampUchar3Uchar3Uchar3Uchar3</t>
  </si>
  <si>
    <t>verifyResultsClampUchar3Uchar3Uchar3Uchar3</t>
  </si>
  <si>
    <t>checkClampUchar4Uchar4Uchar4Uchar4</t>
  </si>
  <si>
    <t>verifyResultsClampUchar4Uchar4Uchar4Uchar4</t>
  </si>
  <si>
    <t>checkClampShortShortShortShort</t>
  </si>
  <si>
    <t>verifyResultsClampShortShortShortShort</t>
  </si>
  <si>
    <t>checkClampShort2Short2Short2Short2</t>
  </si>
  <si>
    <t>verifyResultsClampShort2Short2Short2Short2</t>
  </si>
  <si>
    <t>checkClampShort3Short3Short3Short3</t>
  </si>
  <si>
    <t>verifyResultsClampShort3Short3Short3Short3</t>
  </si>
  <si>
    <t>checkClampShort4Short4Short4Short4</t>
  </si>
  <si>
    <t>verifyResultsClampShort4Short4Short4Short4</t>
  </si>
  <si>
    <t>checkClampUshortUshortUshortUshort</t>
  </si>
  <si>
    <t>verifyResultsClampUshortUshortUshortUshort</t>
  </si>
  <si>
    <t>checkClampUshort2Ushort2Ushort2Ushort2</t>
  </si>
  <si>
    <t>verifyResultsClampUshort2Ushort2Ushort2Ushort2</t>
  </si>
  <si>
    <t>checkClampUshort3Ushort3Ushort3Ushort3</t>
  </si>
  <si>
    <t>verifyResultsClampUshort3Ushort3Ushort3Ushort3</t>
  </si>
  <si>
    <t>checkClampUshort4Ushort4Ushort4Ushort4</t>
  </si>
  <si>
    <t>verifyResultsClampUshort4Ushort4Ushort4Ushort4</t>
  </si>
  <si>
    <t>checkClampIntIntIntInt</t>
  </si>
  <si>
    <t>verifyResultsClampIntIntIntInt</t>
  </si>
  <si>
    <t>checkClampInt2Int2Int2Int2</t>
  </si>
  <si>
    <t>verifyResultsClampInt2Int2Int2Int2</t>
  </si>
  <si>
    <t>checkClampInt3Int3Int3Int3</t>
  </si>
  <si>
    <t>verifyResultsClampInt3Int3Int3Int3</t>
  </si>
  <si>
    <t>checkClampInt4Int4Int4Int4</t>
  </si>
  <si>
    <t>verifyResultsClampInt4Int4Int4Int4</t>
  </si>
  <si>
    <t>checkClampUintUintUintUint</t>
  </si>
  <si>
    <t>verifyResultsClampUintUintUintUint</t>
  </si>
  <si>
    <t>checkClampUint2Uint2Uint2Uint2</t>
  </si>
  <si>
    <t>verifyResultsClampUint2Uint2Uint2Uint2</t>
  </si>
  <si>
    <t>checkClampUint3Uint3Uint3Uint3</t>
  </si>
  <si>
    <t>verifyResultsClampUint3Uint3Uint3Uint3</t>
  </si>
  <si>
    <t>checkClampUint4Uint4Uint4Uint4</t>
  </si>
  <si>
    <t>verifyResultsClampUint4Uint4Uint4Uint4</t>
  </si>
  <si>
    <t>checkClampLongLongLongLong</t>
  </si>
  <si>
    <t>verifyResultsClampLongLongLongLong</t>
  </si>
  <si>
    <t>checkClampLong2Long2Long2Long2</t>
  </si>
  <si>
    <t>verifyResultsClampLong2Long2Long2Long2</t>
  </si>
  <si>
    <t>checkClampLong3Long3Long3Long3</t>
  </si>
  <si>
    <t>verifyResultsClampLong3Long3Long3Long3</t>
  </si>
  <si>
    <t>checkClampLong4Long4Long4Long4</t>
  </si>
  <si>
    <t>verifyResultsClampLong4Long4Long4Long4</t>
  </si>
  <si>
    <t>checkClampUlongUlongUlongUlong</t>
  </si>
  <si>
    <t>verifyResultsClampUlongUlongUlongUlong</t>
  </si>
  <si>
    <t>checkClampUlong2Ulong2Ulong2Ulong2</t>
  </si>
  <si>
    <t>verifyResultsClampUlong2Ulong2Ulong2Ulong2</t>
  </si>
  <si>
    <t>checkClampUlong3Ulong3Ulong3Ulong3</t>
  </si>
  <si>
    <t>verifyResultsClampUlong3Ulong3Ulong3Ulong3</t>
  </si>
  <si>
    <t>checkClampUlong4Ulong4Ulong4Ulong4</t>
  </si>
  <si>
    <t>verifyResultsClampUlong4Ulong4Ulong4Ulong4</t>
  </si>
  <si>
    <t>checkClampChar2CharCharChar2</t>
  </si>
  <si>
    <t>verifyResultsClampChar2CharCharChar2</t>
  </si>
  <si>
    <t>checkClampChar3CharCharChar3</t>
  </si>
  <si>
    <t>verifyResultsClampChar3CharCharChar3</t>
  </si>
  <si>
    <t>checkClampChar4CharCharChar4</t>
  </si>
  <si>
    <t>verifyResultsClampChar4CharCharChar4</t>
  </si>
  <si>
    <t>checkClampUchar2UcharUcharUchar2</t>
  </si>
  <si>
    <t>verifyResultsClampUchar2UcharUcharUchar2</t>
  </si>
  <si>
    <t>checkClampUchar3UcharUcharUchar3</t>
  </si>
  <si>
    <t>verifyResultsClampUchar3UcharUcharUchar3</t>
  </si>
  <si>
    <t>checkClampUchar4UcharUcharUchar4</t>
  </si>
  <si>
    <t>verifyResultsClampUchar4UcharUcharUchar4</t>
  </si>
  <si>
    <t>checkClampShort2ShortShortShort2</t>
  </si>
  <si>
    <t>verifyResultsClampShort2ShortShortShort2</t>
  </si>
  <si>
    <t>checkClampShort3ShortShortShort3</t>
  </si>
  <si>
    <t>verifyResultsClampShort3ShortShortShort3</t>
  </si>
  <si>
    <t>checkClampShort4ShortShortShort4</t>
  </si>
  <si>
    <t>verifyResultsClampShort4ShortShortShort4</t>
  </si>
  <si>
    <t>checkClampUshort2UshortUshortUshort2</t>
  </si>
  <si>
    <t>verifyResultsClampUshort2UshortUshortUshort2</t>
  </si>
  <si>
    <t>checkClampUshort3UshortUshortUshort3</t>
  </si>
  <si>
    <t>verifyResultsClampUshort3UshortUshortUshort3</t>
  </si>
  <si>
    <t>checkClampUshort4UshortUshortUshort4</t>
  </si>
  <si>
    <t>verifyResultsClampUshort4UshortUshortUshort4</t>
  </si>
  <si>
    <t>checkClampInt2IntIntInt2</t>
  </si>
  <si>
    <t>verifyResultsClampInt2IntIntInt2</t>
  </si>
  <si>
    <t>checkClampInt3IntIntInt3</t>
  </si>
  <si>
    <t>verifyResultsClampInt3IntIntInt3</t>
  </si>
  <si>
    <t>checkClampInt4IntIntInt4</t>
  </si>
  <si>
    <t>verifyResultsClampInt4IntIntInt4</t>
  </si>
  <si>
    <t>checkClampUint2UintUintUint2</t>
  </si>
  <si>
    <t>verifyResultsClampUint2UintUintUint2</t>
  </si>
  <si>
    <t>checkClampUint3UintUintUint3</t>
  </si>
  <si>
    <t>verifyResultsClampUint3UintUintUint3</t>
  </si>
  <si>
    <t>checkClampUint4UintUintUint4</t>
  </si>
  <si>
    <t>verifyResultsClampUint4UintUintUint4</t>
  </si>
  <si>
    <t>checkClampLong2LongLongLong2</t>
  </si>
  <si>
    <t>verifyResultsClampLong2LongLongLong2</t>
  </si>
  <si>
    <t>checkClampLong3LongLongLong3</t>
  </si>
  <si>
    <t>verifyResultsClampLong3LongLongLong3</t>
  </si>
  <si>
    <t>checkClampLong4LongLongLong4</t>
  </si>
  <si>
    <t>verifyResultsClampLong4LongLongLong4</t>
  </si>
  <si>
    <t>checkClampUlong2UlongUlongUlong2</t>
  </si>
  <si>
    <t>verifyResultsClampUlong2UlongUlongUlong2</t>
  </si>
  <si>
    <t>checkClampUlong3UlongUlongUlong3</t>
  </si>
  <si>
    <t>verifyResultsClampUlong3UlongUlongUlong3</t>
  </si>
  <si>
    <t>checkClampUlong4UlongUlongUlong4</t>
  </si>
  <si>
    <t>verifyResultsClampUlong4UlongUlongUlong4</t>
  </si>
  <si>
    <t>checkClzCharChar</t>
  </si>
  <si>
    <t>verifyResultsClzCharChar</t>
  </si>
  <si>
    <t>checkClzChar2Char2</t>
  </si>
  <si>
    <t>verifyResultsClzChar2Char2</t>
  </si>
  <si>
    <t>checkClzChar3Char3</t>
  </si>
  <si>
    <t>verifyResultsClzChar3Char3</t>
  </si>
  <si>
    <t>checkClzChar4Char4</t>
  </si>
  <si>
    <t>verifyResultsClzChar4Char4</t>
  </si>
  <si>
    <t>checkClzUcharUchar</t>
  </si>
  <si>
    <t>verifyResultsClzUcharUchar</t>
  </si>
  <si>
    <t>checkClzUchar2Uchar2</t>
  </si>
  <si>
    <t>verifyResultsClzUchar2Uchar2</t>
  </si>
  <si>
    <t>checkClzUchar3Uchar3</t>
  </si>
  <si>
    <t>verifyResultsClzUchar3Uchar3</t>
  </si>
  <si>
    <t>checkClzUchar4Uchar4</t>
  </si>
  <si>
    <t>verifyResultsClzUchar4Uchar4</t>
  </si>
  <si>
    <t>checkClzShortShort</t>
  </si>
  <si>
    <t>verifyResultsClzShortShort</t>
  </si>
  <si>
    <t>checkClzShort2Short2</t>
  </si>
  <si>
    <t>verifyResultsClzShort2Short2</t>
  </si>
  <si>
    <t>checkClzShort3Short3</t>
  </si>
  <si>
    <t>verifyResultsClzShort3Short3</t>
  </si>
  <si>
    <t>checkClzShort4Short4</t>
  </si>
  <si>
    <t>verifyResultsClzShort4Short4</t>
  </si>
  <si>
    <t>checkClzUshortUshort</t>
  </si>
  <si>
    <t>verifyResultsClzUshortUshort</t>
  </si>
  <si>
    <t>checkClzUshort2Ushort2</t>
  </si>
  <si>
    <t>verifyResultsClzUshort2Ushort2</t>
  </si>
  <si>
    <t>checkClzUshort3Ushort3</t>
  </si>
  <si>
    <t>verifyResultsClzUshort3Ushort3</t>
  </si>
  <si>
    <t>checkClzUshort4Ushort4</t>
  </si>
  <si>
    <t>verifyResultsClzUshort4Ushort4</t>
  </si>
  <si>
    <t>checkClzIntInt</t>
  </si>
  <si>
    <t>verifyResultsClzIntInt</t>
  </si>
  <si>
    <t>checkClzInt2Int2</t>
  </si>
  <si>
    <t>verifyResultsClzInt2Int2</t>
  </si>
  <si>
    <t>checkClzInt3Int3</t>
  </si>
  <si>
    <t>verifyResultsClzInt3Int3</t>
  </si>
  <si>
    <t>checkClzInt4Int4</t>
  </si>
  <si>
    <t>verifyResultsClzInt4Int4</t>
  </si>
  <si>
    <t>checkClzUintUint</t>
  </si>
  <si>
    <t>verifyResultsClzUintUint</t>
  </si>
  <si>
    <t>checkClzUint2Uint2</t>
  </si>
  <si>
    <t>verifyResultsClzUint2Uint2</t>
  </si>
  <si>
    <t>checkClzUint3Uint3</t>
  </si>
  <si>
    <t>verifyResultsClzUint3Uint3</t>
  </si>
  <si>
    <t>checkClzUint4Uint4</t>
  </si>
  <si>
    <t>verifyResultsClzUint4Uint4</t>
  </si>
  <si>
    <t>testClz</t>
  </si>
  <si>
    <t>checkConvertFloat2Float2</t>
  </si>
  <si>
    <t>verifyResultsConvertFloat2Float2</t>
  </si>
  <si>
    <t>checkConvertFloat3Float3</t>
  </si>
  <si>
    <t>verifyResultsConvertFloat3Float3</t>
  </si>
  <si>
    <t>checkConvertFloat4Float4</t>
  </si>
  <si>
    <t>verifyResultsConvertFloat4Float4</t>
  </si>
  <si>
    <t>checkConvertChar2Float2</t>
  </si>
  <si>
    <t>verifyResultsConvertChar2Float2</t>
  </si>
  <si>
    <t>checkConvertChar3Float3</t>
  </si>
  <si>
    <t>verifyResultsConvertChar3Float3</t>
  </si>
  <si>
    <t>checkConvertChar4Float4</t>
  </si>
  <si>
    <t>verifyResultsConvertChar4Float4</t>
  </si>
  <si>
    <t>checkConvertUchar2Float2</t>
  </si>
  <si>
    <t>verifyResultsConvertUchar2Float2</t>
  </si>
  <si>
    <t>checkConvertUchar3Float3</t>
  </si>
  <si>
    <t>verifyResultsConvertUchar3Float3</t>
  </si>
  <si>
    <t>checkConvertUchar4Float4</t>
  </si>
  <si>
    <t>verifyResultsConvertUchar4Float4</t>
  </si>
  <si>
    <t>checkConvertShort2Float2</t>
  </si>
  <si>
    <t>verifyResultsConvertShort2Float2</t>
  </si>
  <si>
    <t>checkConvertShort3Float3</t>
  </si>
  <si>
    <t>verifyResultsConvertShort3Float3</t>
  </si>
  <si>
    <t>checkConvertShort4Float4</t>
  </si>
  <si>
    <t>verifyResultsConvertShort4Float4</t>
  </si>
  <si>
    <t>checkConvertUshort2Float2</t>
  </si>
  <si>
    <t>verifyResultsConvertUshort2Float2</t>
  </si>
  <si>
    <t>checkConvertUshort3Float3</t>
  </si>
  <si>
    <t>verifyResultsConvertUshort3Float3</t>
  </si>
  <si>
    <t>checkConvertUshort4Float4</t>
  </si>
  <si>
    <t>verifyResultsConvertUshort4Float4</t>
  </si>
  <si>
    <t>checkConvertInt2Float2</t>
  </si>
  <si>
    <t>verifyResultsConvertInt2Float2</t>
  </si>
  <si>
    <t>checkConvertInt3Float3</t>
  </si>
  <si>
    <t>verifyResultsConvertInt3Float3</t>
  </si>
  <si>
    <t>checkConvertInt4Float4</t>
  </si>
  <si>
    <t>verifyResultsConvertInt4Float4</t>
  </si>
  <si>
    <t>checkConvertUint2Float2</t>
  </si>
  <si>
    <t>verifyResultsConvertUint2Float2</t>
  </si>
  <si>
    <t>checkConvertUint3Float3</t>
  </si>
  <si>
    <t>verifyResultsConvertUint3Float3</t>
  </si>
  <si>
    <t>checkConvertUint4Float4</t>
  </si>
  <si>
    <t>verifyResultsConvertUint4Float4</t>
  </si>
  <si>
    <t>checkConvertFloat2Char2</t>
  </si>
  <si>
    <t>verifyResultsConvertFloat2Char2</t>
  </si>
  <si>
    <t>checkConvertFloat3Char3</t>
  </si>
  <si>
    <t>verifyResultsConvertFloat3Char3</t>
  </si>
  <si>
    <t>checkConvertFloat4Char4</t>
  </si>
  <si>
    <t>verifyResultsConvertFloat4Char4</t>
  </si>
  <si>
    <t>checkConvertChar2Char2</t>
  </si>
  <si>
    <t>verifyResultsConvertChar2Char2</t>
  </si>
  <si>
    <t>checkConvertChar3Char3</t>
  </si>
  <si>
    <t>verifyResultsConvertChar3Char3</t>
  </si>
  <si>
    <t>checkConvertChar4Char4</t>
  </si>
  <si>
    <t>verifyResultsConvertChar4Char4</t>
  </si>
  <si>
    <t>checkConvertUchar2Char2</t>
  </si>
  <si>
    <t>verifyResultsConvertUchar2Char2</t>
  </si>
  <si>
    <t>checkConvertUchar3Char3</t>
  </si>
  <si>
    <t>verifyResultsConvertUchar3Char3</t>
  </si>
  <si>
    <t>checkConvertUchar4Char4</t>
  </si>
  <si>
    <t>verifyResultsConvertUchar4Char4</t>
  </si>
  <si>
    <t>checkConvertShort2Char2</t>
  </si>
  <si>
    <t>verifyResultsConvertShort2Char2</t>
  </si>
  <si>
    <t>checkConvertShort3Char3</t>
  </si>
  <si>
    <t>verifyResultsConvertShort3Char3</t>
  </si>
  <si>
    <t>checkConvertShort4Char4</t>
  </si>
  <si>
    <t>verifyResultsConvertShort4Char4</t>
  </si>
  <si>
    <t>checkConvertUshort2Char2</t>
  </si>
  <si>
    <t>verifyResultsConvertUshort2Char2</t>
  </si>
  <si>
    <t>checkConvertUshort3Char3</t>
  </si>
  <si>
    <t>verifyResultsConvertUshort3Char3</t>
  </si>
  <si>
    <t>checkConvertUshort4Char4</t>
  </si>
  <si>
    <t>verifyResultsConvertUshort4Char4</t>
  </si>
  <si>
    <t>checkConvertInt2Char2</t>
  </si>
  <si>
    <t>verifyResultsConvertInt2Char2</t>
  </si>
  <si>
    <t>checkConvertInt3Char3</t>
  </si>
  <si>
    <t>verifyResultsConvertInt3Char3</t>
  </si>
  <si>
    <t>checkConvertInt4Char4</t>
  </si>
  <si>
    <t>verifyResultsConvertInt4Char4</t>
  </si>
  <si>
    <t>checkConvertUint2Char2</t>
  </si>
  <si>
    <t>verifyResultsConvertUint2Char2</t>
  </si>
  <si>
    <t>checkConvertUint3Char3</t>
  </si>
  <si>
    <t>verifyResultsConvertUint3Char3</t>
  </si>
  <si>
    <t>checkConvertUint4Char4</t>
  </si>
  <si>
    <t>verifyResultsConvertUint4Char4</t>
  </si>
  <si>
    <t>checkConvertFloat2Uchar2</t>
  </si>
  <si>
    <t>verifyResultsConvertFloat2Uchar2</t>
  </si>
  <si>
    <t>checkConvertFloat3Uchar3</t>
  </si>
  <si>
    <t>verifyResultsConvertFloat3Uchar3</t>
  </si>
  <si>
    <t>checkConvertFloat4Uchar4</t>
  </si>
  <si>
    <t>verifyResultsConvertFloat4Uchar4</t>
  </si>
  <si>
    <t>checkConvertChar2Uchar2</t>
  </si>
  <si>
    <t>verifyResultsConvertChar2Uchar2</t>
  </si>
  <si>
    <t>checkConvertChar3Uchar3</t>
  </si>
  <si>
    <t>verifyResultsConvertChar3Uchar3</t>
  </si>
  <si>
    <t>checkConvertChar4Uchar4</t>
  </si>
  <si>
    <t>verifyResultsConvertChar4Uchar4</t>
  </si>
  <si>
    <t>checkConvertUchar2Uchar2</t>
  </si>
  <si>
    <t>verifyResultsConvertUchar2Uchar2</t>
  </si>
  <si>
    <t>checkConvertUchar3Uchar3</t>
  </si>
  <si>
    <t>verifyResultsConvertUchar3Uchar3</t>
  </si>
  <si>
    <t>checkConvertUchar4Uchar4</t>
  </si>
  <si>
    <t>verifyResultsConvertUchar4Uchar4</t>
  </si>
  <si>
    <t>checkConvertShort2Uchar2</t>
  </si>
  <si>
    <t>verifyResultsConvertShort2Uchar2</t>
  </si>
  <si>
    <t>checkConvertShort3Uchar3</t>
  </si>
  <si>
    <t>verifyResultsConvertShort3Uchar3</t>
  </si>
  <si>
    <t>checkConvertShort4Uchar4</t>
  </si>
  <si>
    <t>verifyResultsConvertShort4Uchar4</t>
  </si>
  <si>
    <t>checkConvertUshort2Uchar2</t>
  </si>
  <si>
    <t>verifyResultsConvertUshort2Uchar2</t>
  </si>
  <si>
    <t>checkConvertUshort3Uchar3</t>
  </si>
  <si>
    <t>verifyResultsConvertUshort3Uchar3</t>
  </si>
  <si>
    <t>checkConvertUshort4Uchar4</t>
  </si>
  <si>
    <t>verifyResultsConvertUshort4Uchar4</t>
  </si>
  <si>
    <t>checkConvertInt2Uchar2</t>
  </si>
  <si>
    <t>verifyResultsConvertInt2Uchar2</t>
  </si>
  <si>
    <t>checkConvertInt3Uchar3</t>
  </si>
  <si>
    <t>verifyResultsConvertInt3Uchar3</t>
  </si>
  <si>
    <t>checkConvertInt4Uchar4</t>
  </si>
  <si>
    <t>verifyResultsConvertInt4Uchar4</t>
  </si>
  <si>
    <t>checkConvertUint2Uchar2</t>
  </si>
  <si>
    <t>verifyResultsConvertUint2Uchar2</t>
  </si>
  <si>
    <t>checkConvertUint3Uchar3</t>
  </si>
  <si>
    <t>verifyResultsConvertUint3Uchar3</t>
  </si>
  <si>
    <t>checkConvertUint4Uchar4</t>
  </si>
  <si>
    <t>verifyResultsConvertUint4Uchar4</t>
  </si>
  <si>
    <t>checkConvertFloat2Short2</t>
  </si>
  <si>
    <t>verifyResultsConvertFloat2Short2</t>
  </si>
  <si>
    <t>checkConvertFloat3Short3</t>
  </si>
  <si>
    <t>verifyResultsConvertFloat3Short3</t>
  </si>
  <si>
    <t>checkConvertFloat4Short4</t>
  </si>
  <si>
    <t>verifyResultsConvertFloat4Short4</t>
  </si>
  <si>
    <t>checkConvertChar2Short2</t>
  </si>
  <si>
    <t>verifyResultsConvertChar2Short2</t>
  </si>
  <si>
    <t>checkConvertChar3Short3</t>
  </si>
  <si>
    <t>verifyResultsConvertChar3Short3</t>
  </si>
  <si>
    <t>checkConvertChar4Short4</t>
  </si>
  <si>
    <t>verifyResultsConvertChar4Short4</t>
  </si>
  <si>
    <t>checkConvertUchar2Short2</t>
  </si>
  <si>
    <t>verifyResultsConvertUchar2Short2</t>
  </si>
  <si>
    <t>checkConvertUchar3Short3</t>
  </si>
  <si>
    <t>verifyResultsConvertUchar3Short3</t>
  </si>
  <si>
    <t>checkConvertUchar4Short4</t>
  </si>
  <si>
    <t>verifyResultsConvertUchar4Short4</t>
  </si>
  <si>
    <t>checkConvertShort2Short2</t>
  </si>
  <si>
    <t>verifyResultsConvertShort2Short2</t>
  </si>
  <si>
    <t>checkConvertShort3Short3</t>
  </si>
  <si>
    <t>verifyResultsConvertShort3Short3</t>
  </si>
  <si>
    <t>checkConvertShort4Short4</t>
  </si>
  <si>
    <t>verifyResultsConvertShort4Short4</t>
  </si>
  <si>
    <t>checkConvertUshort2Short2</t>
  </si>
  <si>
    <t>verifyResultsConvertUshort2Short2</t>
  </si>
  <si>
    <t>checkConvertUshort3Short3</t>
  </si>
  <si>
    <t>verifyResultsConvertUshort3Short3</t>
  </si>
  <si>
    <t>checkConvertUshort4Short4</t>
  </si>
  <si>
    <t>verifyResultsConvertUshort4Short4</t>
  </si>
  <si>
    <t>checkConvertInt2Short2</t>
  </si>
  <si>
    <t>verifyResultsConvertInt2Short2</t>
  </si>
  <si>
    <t>checkConvertInt3Short3</t>
  </si>
  <si>
    <t>verifyResultsConvertInt3Short3</t>
  </si>
  <si>
    <t>checkConvertInt4Short4</t>
  </si>
  <si>
    <t>verifyResultsConvertInt4Short4</t>
  </si>
  <si>
    <t>checkConvertUint2Short2</t>
  </si>
  <si>
    <t>verifyResultsConvertUint2Short2</t>
  </si>
  <si>
    <t>checkConvertUint3Short3</t>
  </si>
  <si>
    <t>verifyResultsConvertUint3Short3</t>
  </si>
  <si>
    <t>checkConvertUint4Short4</t>
  </si>
  <si>
    <t>verifyResultsConvertUint4Short4</t>
  </si>
  <si>
    <t>checkConvertFloat2Ushort2</t>
  </si>
  <si>
    <t>verifyResultsConvertFloat2Ushort2</t>
  </si>
  <si>
    <t>checkConvertFloat3Ushort3</t>
  </si>
  <si>
    <t>verifyResultsConvertFloat3Ushort3</t>
  </si>
  <si>
    <t>checkConvertFloat4Ushort4</t>
  </si>
  <si>
    <t>verifyResultsConvertFloat4Ushort4</t>
  </si>
  <si>
    <t>checkConvertChar2Ushort2</t>
  </si>
  <si>
    <t>verifyResultsConvertChar2Ushort2</t>
  </si>
  <si>
    <t>checkConvertChar3Ushort3</t>
  </si>
  <si>
    <t>verifyResultsConvertChar3Ushort3</t>
  </si>
  <si>
    <t>checkConvertChar4Ushort4</t>
  </si>
  <si>
    <t>verifyResultsConvertChar4Ushort4</t>
  </si>
  <si>
    <t>checkConvertUchar2Ushort2</t>
  </si>
  <si>
    <t>verifyResultsConvertUchar2Ushort2</t>
  </si>
  <si>
    <t>checkConvertUchar3Ushort3</t>
  </si>
  <si>
    <t>verifyResultsConvertUchar3Ushort3</t>
  </si>
  <si>
    <t>checkConvertUchar4Ushort4</t>
  </si>
  <si>
    <t>verifyResultsConvertUchar4Ushort4</t>
  </si>
  <si>
    <t>checkConvertShort2Ushort2</t>
  </si>
  <si>
    <t>verifyResultsConvertShort2Ushort2</t>
  </si>
  <si>
    <t>checkConvertShort3Ushort3</t>
  </si>
  <si>
    <t>verifyResultsConvertShort3Ushort3</t>
  </si>
  <si>
    <t>checkConvertShort4Ushort4</t>
  </si>
  <si>
    <t>verifyResultsConvertShort4Ushort4</t>
  </si>
  <si>
    <t>checkConvertUshort2Ushort2</t>
  </si>
  <si>
    <t>verifyResultsConvertUshort2Ushort2</t>
  </si>
  <si>
    <t>checkConvertUshort3Ushort3</t>
  </si>
  <si>
    <t>verifyResultsConvertUshort3Ushort3</t>
  </si>
  <si>
    <t>checkConvertUshort4Ushort4</t>
  </si>
  <si>
    <t>verifyResultsConvertUshort4Ushort4</t>
  </si>
  <si>
    <t>checkConvertInt2Ushort2</t>
  </si>
  <si>
    <t>verifyResultsConvertInt2Ushort2</t>
  </si>
  <si>
    <t>checkConvertInt3Ushort3</t>
  </si>
  <si>
    <t>verifyResultsConvertInt3Ushort3</t>
  </si>
  <si>
    <t>checkConvertInt4Ushort4</t>
  </si>
  <si>
    <t>verifyResultsConvertInt4Ushort4</t>
  </si>
  <si>
    <t>checkConvertUint2Ushort2</t>
  </si>
  <si>
    <t>verifyResultsConvertUint2Ushort2</t>
  </si>
  <si>
    <t>checkConvertUint3Ushort3</t>
  </si>
  <si>
    <t>verifyResultsConvertUint3Ushort3</t>
  </si>
  <si>
    <t>checkConvertUint4Ushort4</t>
  </si>
  <si>
    <t>verifyResultsConvertUint4Ushort4</t>
  </si>
  <si>
    <t>checkConvertFloat2Int2</t>
  </si>
  <si>
    <t>verifyResultsConvertFloat2Int2</t>
  </si>
  <si>
    <t>checkConvertFloat3Int3</t>
  </si>
  <si>
    <t>verifyResultsConvertFloat3Int3</t>
  </si>
  <si>
    <t>checkConvertFloat4Int4</t>
  </si>
  <si>
    <t>verifyResultsConvertFloat4Int4</t>
  </si>
  <si>
    <t>checkConvertChar2Int2</t>
  </si>
  <si>
    <t>verifyResultsConvertChar2Int2</t>
  </si>
  <si>
    <t>checkConvertChar3Int3</t>
  </si>
  <si>
    <t>verifyResultsConvertChar3Int3</t>
  </si>
  <si>
    <t>checkConvertChar4Int4</t>
  </si>
  <si>
    <t>verifyResultsConvertChar4Int4</t>
  </si>
  <si>
    <t>checkConvertUchar2Int2</t>
  </si>
  <si>
    <t>verifyResultsConvertUchar2Int2</t>
  </si>
  <si>
    <t>checkConvertUchar3Int3</t>
  </si>
  <si>
    <t>verifyResultsConvertUchar3Int3</t>
  </si>
  <si>
    <t>checkConvertUchar4Int4</t>
  </si>
  <si>
    <t>verifyResultsConvertUchar4Int4</t>
  </si>
  <si>
    <t>checkConvertShort2Int2</t>
  </si>
  <si>
    <t>verifyResultsConvertShort2Int2</t>
  </si>
  <si>
    <t>checkConvertShort3Int3</t>
  </si>
  <si>
    <t>verifyResultsConvertShort3Int3</t>
  </si>
  <si>
    <t>checkConvertShort4Int4</t>
  </si>
  <si>
    <t>verifyResultsConvertShort4Int4</t>
  </si>
  <si>
    <t>checkConvertUshort2Int2</t>
  </si>
  <si>
    <t>verifyResultsConvertUshort2Int2</t>
  </si>
  <si>
    <t>checkConvertUshort3Int3</t>
  </si>
  <si>
    <t>verifyResultsConvertUshort3Int3</t>
  </si>
  <si>
    <t>checkConvertUshort4Int4</t>
  </si>
  <si>
    <t>verifyResultsConvertUshort4Int4</t>
  </si>
  <si>
    <t>checkConvertInt2Int2</t>
  </si>
  <si>
    <t>verifyResultsConvertInt2Int2</t>
  </si>
  <si>
    <t>checkConvertInt3Int3</t>
  </si>
  <si>
    <t>verifyResultsConvertInt3Int3</t>
  </si>
  <si>
    <t>checkConvertInt4Int4</t>
  </si>
  <si>
    <t>verifyResultsConvertInt4Int4</t>
  </si>
  <si>
    <t>checkConvertUint2Int2</t>
  </si>
  <si>
    <t>verifyResultsConvertUint2Int2</t>
  </si>
  <si>
    <t>checkConvertUint3Int3</t>
  </si>
  <si>
    <t>verifyResultsConvertUint3Int3</t>
  </si>
  <si>
    <t>checkConvertUint4Int4</t>
  </si>
  <si>
    <t>verifyResultsConvertUint4Int4</t>
  </si>
  <si>
    <t>checkConvertFloat2Uint2</t>
  </si>
  <si>
    <t>verifyResultsConvertFloat2Uint2</t>
  </si>
  <si>
    <t>checkConvertFloat3Uint3</t>
  </si>
  <si>
    <t>verifyResultsConvertFloat3Uint3</t>
  </si>
  <si>
    <t>checkConvertFloat4Uint4</t>
  </si>
  <si>
    <t>verifyResultsConvertFloat4Uint4</t>
  </si>
  <si>
    <t>checkConvertChar2Uint2</t>
  </si>
  <si>
    <t>verifyResultsConvertChar2Uint2</t>
  </si>
  <si>
    <t>checkConvertChar3Uint3</t>
  </si>
  <si>
    <t>verifyResultsConvertChar3Uint3</t>
  </si>
  <si>
    <t>checkConvertChar4Uint4</t>
  </si>
  <si>
    <t>verifyResultsConvertChar4Uint4</t>
  </si>
  <si>
    <t>checkConvertUchar2Uint2</t>
  </si>
  <si>
    <t>verifyResultsConvertUchar2Uint2</t>
  </si>
  <si>
    <t>checkConvertUchar3Uint3</t>
  </si>
  <si>
    <t>verifyResultsConvertUchar3Uint3</t>
  </si>
  <si>
    <t>checkConvertUchar4Uint4</t>
  </si>
  <si>
    <t>verifyResultsConvertUchar4Uint4</t>
  </si>
  <si>
    <t>checkConvertShort2Uint2</t>
  </si>
  <si>
    <t>verifyResultsConvertShort2Uint2</t>
  </si>
  <si>
    <t>checkConvertShort3Uint3</t>
  </si>
  <si>
    <t>verifyResultsConvertShort3Uint3</t>
  </si>
  <si>
    <t>checkConvertShort4Uint4</t>
  </si>
  <si>
    <t>verifyResultsConvertShort4Uint4</t>
  </si>
  <si>
    <t>checkConvertUshort2Uint2</t>
  </si>
  <si>
    <t>verifyResultsConvertUshort2Uint2</t>
  </si>
  <si>
    <t>checkConvertUshort3Uint3</t>
  </si>
  <si>
    <t>verifyResultsConvertUshort3Uint3</t>
  </si>
  <si>
    <t>checkConvertUshort4Uint4</t>
  </si>
  <si>
    <t>verifyResultsConvertUshort4Uint4</t>
  </si>
  <si>
    <t>checkConvertInt2Uint2</t>
  </si>
  <si>
    <t>verifyResultsConvertInt2Uint2</t>
  </si>
  <si>
    <t>checkConvertInt3Uint3</t>
  </si>
  <si>
    <t>verifyResultsConvertInt3Uint3</t>
  </si>
  <si>
    <t>checkConvertInt4Uint4</t>
  </si>
  <si>
    <t>verifyResultsConvertInt4Uint4</t>
  </si>
  <si>
    <t>checkConvertUint2Uint2</t>
  </si>
  <si>
    <t>verifyResultsConvertUint2Uint2</t>
  </si>
  <si>
    <t>checkConvertUint3Uint3</t>
  </si>
  <si>
    <t>verifyResultsConvertUint3Uint3</t>
  </si>
  <si>
    <t>checkConvertUint4Uint4</t>
  </si>
  <si>
    <t>verifyResultsConvertUint4Uint4</t>
  </si>
  <si>
    <t>checkConvertDouble2Double2</t>
  </si>
  <si>
    <t>verifyResultsConvertDouble2Double2</t>
  </si>
  <si>
    <t>checkConvertDouble3Double3</t>
  </si>
  <si>
    <t>verifyResultsConvertDouble3Double3</t>
  </si>
  <si>
    <t>checkConvertDouble4Double4</t>
  </si>
  <si>
    <t>verifyResultsConvertDouble4Double4</t>
  </si>
  <si>
    <t>checkConvertLong2Double2</t>
  </si>
  <si>
    <t>verifyResultsConvertLong2Double2</t>
  </si>
  <si>
    <t>checkConvertLong3Double3</t>
  </si>
  <si>
    <t>verifyResultsConvertLong3Double3</t>
  </si>
  <si>
    <t>checkConvertLong4Double4</t>
  </si>
  <si>
    <t>verifyResultsConvertLong4Double4</t>
  </si>
  <si>
    <t>checkConvertUlong2Double2</t>
  </si>
  <si>
    <t>verifyResultsConvertUlong2Double2</t>
  </si>
  <si>
    <t>checkConvertUlong3Double3</t>
  </si>
  <si>
    <t>verifyResultsConvertUlong3Double3</t>
  </si>
  <si>
    <t>checkConvertUlong4Double4</t>
  </si>
  <si>
    <t>verifyResultsConvertUlong4Double4</t>
  </si>
  <si>
    <t>checkConvertDouble2Long2</t>
  </si>
  <si>
    <t>verifyResultsConvertDouble2Long2</t>
  </si>
  <si>
    <t>checkConvertDouble3Long3</t>
  </si>
  <si>
    <t>verifyResultsConvertDouble3Long3</t>
  </si>
  <si>
    <t>checkConvertDouble4Long4</t>
  </si>
  <si>
    <t>verifyResultsConvertDouble4Long4</t>
  </si>
  <si>
    <t>checkConvertLong2Long2</t>
  </si>
  <si>
    <t>verifyResultsConvertLong2Long2</t>
  </si>
  <si>
    <t>checkConvertLong3Long3</t>
  </si>
  <si>
    <t>verifyResultsConvertLong3Long3</t>
  </si>
  <si>
    <t>checkConvertLong4Long4</t>
  </si>
  <si>
    <t>verifyResultsConvertLong4Long4</t>
  </si>
  <si>
    <t>checkConvertUlong2Long2</t>
  </si>
  <si>
    <t>verifyResultsConvertUlong2Long2</t>
  </si>
  <si>
    <t>checkConvertUlong3Long3</t>
  </si>
  <si>
    <t>verifyResultsConvertUlong3Long3</t>
  </si>
  <si>
    <t>checkConvertUlong4Long4</t>
  </si>
  <si>
    <t>verifyResultsConvertUlong4Long4</t>
  </si>
  <si>
    <t>checkConvertDouble2Ulong2</t>
  </si>
  <si>
    <t>verifyResultsConvertDouble2Ulong2</t>
  </si>
  <si>
    <t>checkConvertDouble3Ulong3</t>
  </si>
  <si>
    <t>verifyResultsConvertDouble3Ulong3</t>
  </si>
  <si>
    <t>checkConvertDouble4Ulong4</t>
  </si>
  <si>
    <t>verifyResultsConvertDouble4Ulong4</t>
  </si>
  <si>
    <t>checkConvertLong2Ulong2</t>
  </si>
  <si>
    <t>verifyResultsConvertLong2Ulong2</t>
  </si>
  <si>
    <t>checkConvertLong3Ulong3</t>
  </si>
  <si>
    <t>verifyResultsConvertLong3Ulong3</t>
  </si>
  <si>
    <t>checkConvertLong4Ulong4</t>
  </si>
  <si>
    <t>verifyResultsConvertLong4Ulong4</t>
  </si>
  <si>
    <t>checkConvertUlong2Ulong2</t>
  </si>
  <si>
    <t>verifyResultsConvertUlong2Ulong2</t>
  </si>
  <si>
    <t>checkConvertUlong3Ulong3</t>
  </si>
  <si>
    <t>verifyResultsConvertUlong3Ulong3</t>
  </si>
  <si>
    <t>checkConvertUlong4Ulong4</t>
  </si>
  <si>
    <t>verifyResultsConvertUlong4Ulong4</t>
  </si>
  <si>
    <t>checkConvertDouble2Float2</t>
  </si>
  <si>
    <t>verifyResultsConvertDouble2Float2</t>
  </si>
  <si>
    <t>checkConvertDouble3Float3</t>
  </si>
  <si>
    <t>verifyResultsConvertDouble3Float3</t>
  </si>
  <si>
    <t>checkConvertDouble4Float4</t>
  </si>
  <si>
    <t>verifyResultsConvertDouble4Float4</t>
  </si>
  <si>
    <t>checkConvertLong2Float2</t>
  </si>
  <si>
    <t>verifyResultsConvertLong2Float2</t>
  </si>
  <si>
    <t>checkConvertLong3Float3</t>
  </si>
  <si>
    <t>verifyResultsConvertLong3Float3</t>
  </si>
  <si>
    <t>checkConvertLong4Float4</t>
  </si>
  <si>
    <t>verifyResultsConvertLong4Float4</t>
  </si>
  <si>
    <t>checkConvertUlong2Float2</t>
  </si>
  <si>
    <t>verifyResultsConvertUlong2Float2</t>
  </si>
  <si>
    <t>checkConvertUlong3Float3</t>
  </si>
  <si>
    <t>verifyResultsConvertUlong3Float3</t>
  </si>
  <si>
    <t>checkConvertUlong4Float4</t>
  </si>
  <si>
    <t>verifyResultsConvertUlong4Float4</t>
  </si>
  <si>
    <t>checkConvertDouble2Char2</t>
  </si>
  <si>
    <t>verifyResultsConvertDouble2Char2</t>
  </si>
  <si>
    <t>checkConvertDouble3Char3</t>
  </si>
  <si>
    <t>verifyResultsConvertDouble3Char3</t>
  </si>
  <si>
    <t>checkConvertDouble4Char4</t>
  </si>
  <si>
    <t>verifyResultsConvertDouble4Char4</t>
  </si>
  <si>
    <t>checkConvertLong2Char2</t>
  </si>
  <si>
    <t>verifyResultsConvertLong2Char2</t>
  </si>
  <si>
    <t>checkConvertLong3Char3</t>
  </si>
  <si>
    <t>verifyResultsConvertLong3Char3</t>
  </si>
  <si>
    <t>checkConvertLong4Char4</t>
  </si>
  <si>
    <t>verifyResultsConvertLong4Char4</t>
  </si>
  <si>
    <t>checkConvertUlong2Char2</t>
  </si>
  <si>
    <t>verifyResultsConvertUlong2Char2</t>
  </si>
  <si>
    <t>checkConvertUlong3Char3</t>
  </si>
  <si>
    <t>verifyResultsConvertUlong3Char3</t>
  </si>
  <si>
    <t>checkConvertUlong4Char4</t>
  </si>
  <si>
    <t>verifyResultsConvertUlong4Char4</t>
  </si>
  <si>
    <t>checkConvertDouble2Uchar2</t>
  </si>
  <si>
    <t>verifyResultsConvertDouble2Uchar2</t>
  </si>
  <si>
    <t>checkConvertDouble3Uchar3</t>
  </si>
  <si>
    <t>verifyResultsConvertDouble3Uchar3</t>
  </si>
  <si>
    <t>checkConvertDouble4Uchar4</t>
  </si>
  <si>
    <t>verifyResultsConvertDouble4Uchar4</t>
  </si>
  <si>
    <t>checkConvertLong2Uchar2</t>
  </si>
  <si>
    <t>verifyResultsConvertLong2Uchar2</t>
  </si>
  <si>
    <t>checkConvertLong3Uchar3</t>
  </si>
  <si>
    <t>verifyResultsConvertLong3Uchar3</t>
  </si>
  <si>
    <t>checkConvertLong4Uchar4</t>
  </si>
  <si>
    <t>verifyResultsConvertLong4Uchar4</t>
  </si>
  <si>
    <t>checkConvertUlong2Uchar2</t>
  </si>
  <si>
    <t>verifyResultsConvertUlong2Uchar2</t>
  </si>
  <si>
    <t>checkConvertUlong3Uchar3</t>
  </si>
  <si>
    <t>verifyResultsConvertUlong3Uchar3</t>
  </si>
  <si>
    <t>checkConvertUlong4Uchar4</t>
  </si>
  <si>
    <t>verifyResultsConvertUlong4Uchar4</t>
  </si>
  <si>
    <t>checkConvertDouble2Short2</t>
  </si>
  <si>
    <t>verifyResultsConvertDouble2Short2</t>
  </si>
  <si>
    <t>checkConvertDouble3Short3</t>
  </si>
  <si>
    <t>verifyResultsConvertDouble3Short3</t>
  </si>
  <si>
    <t>checkConvertDouble4Short4</t>
  </si>
  <si>
    <t>verifyResultsConvertDouble4Short4</t>
  </si>
  <si>
    <t>checkConvertLong2Short2</t>
  </si>
  <si>
    <t>verifyResultsConvertLong2Short2</t>
  </si>
  <si>
    <t>checkConvertLong3Short3</t>
  </si>
  <si>
    <t>verifyResultsConvertLong3Short3</t>
  </si>
  <si>
    <t>checkConvertLong4Short4</t>
  </si>
  <si>
    <t>verifyResultsConvertLong4Short4</t>
  </si>
  <si>
    <t>checkConvertUlong2Short2</t>
  </si>
  <si>
    <t>verifyResultsConvertUlong2Short2</t>
  </si>
  <si>
    <t>checkConvertUlong3Short3</t>
  </si>
  <si>
    <t>verifyResultsConvertUlong3Short3</t>
  </si>
  <si>
    <t>checkConvertUlong4Short4</t>
  </si>
  <si>
    <t>verifyResultsConvertUlong4Short4</t>
  </si>
  <si>
    <t>checkConvertDouble2Ushort2</t>
  </si>
  <si>
    <t>verifyResultsConvertDouble2Ushort2</t>
  </si>
  <si>
    <t>checkConvertDouble3Ushort3</t>
  </si>
  <si>
    <t>verifyResultsConvertDouble3Ushort3</t>
  </si>
  <si>
    <t>checkConvertDouble4Ushort4</t>
  </si>
  <si>
    <t>verifyResultsConvertDouble4Ushort4</t>
  </si>
  <si>
    <t>checkConvertLong2Ushort2</t>
  </si>
  <si>
    <t>verifyResultsConvertLong2Ushort2</t>
  </si>
  <si>
    <t>checkConvertLong3Ushort3</t>
  </si>
  <si>
    <t>verifyResultsConvertLong3Ushort3</t>
  </si>
  <si>
    <t>checkConvertLong4Ushort4</t>
  </si>
  <si>
    <t>verifyResultsConvertLong4Ushort4</t>
  </si>
  <si>
    <t>checkConvertUlong2Ushort2</t>
  </si>
  <si>
    <t>verifyResultsConvertUlong2Ushort2</t>
  </si>
  <si>
    <t>checkConvertUlong3Ushort3</t>
  </si>
  <si>
    <t>verifyResultsConvertUlong3Ushort3</t>
  </si>
  <si>
    <t>checkConvertUlong4Ushort4</t>
  </si>
  <si>
    <t>verifyResultsConvertUlong4Ushort4</t>
  </si>
  <si>
    <t>checkConvertDouble2Int2</t>
  </si>
  <si>
    <t>verifyResultsConvertDouble2Int2</t>
  </si>
  <si>
    <t>checkConvertDouble3Int3</t>
  </si>
  <si>
    <t>verifyResultsConvertDouble3Int3</t>
  </si>
  <si>
    <t>checkConvertDouble4Int4</t>
  </si>
  <si>
    <t>verifyResultsConvertDouble4Int4</t>
  </si>
  <si>
    <t>checkConvertLong2Int2</t>
  </si>
  <si>
    <t>verifyResultsConvertLong2Int2</t>
  </si>
  <si>
    <t>checkConvertLong3Int3</t>
  </si>
  <si>
    <t>verifyResultsConvertLong3Int3</t>
  </si>
  <si>
    <t>checkConvertLong4Int4</t>
  </si>
  <si>
    <t>verifyResultsConvertLong4Int4</t>
  </si>
  <si>
    <t>checkConvertUlong2Int2</t>
  </si>
  <si>
    <t>verifyResultsConvertUlong2Int2</t>
  </si>
  <si>
    <t>checkConvertUlong3Int3</t>
  </si>
  <si>
    <t>verifyResultsConvertUlong3Int3</t>
  </si>
  <si>
    <t>checkConvertUlong4Int4</t>
  </si>
  <si>
    <t>verifyResultsConvertUlong4Int4</t>
  </si>
  <si>
    <t>checkConvertDouble2Uint2</t>
  </si>
  <si>
    <t>verifyResultsConvertDouble2Uint2</t>
  </si>
  <si>
    <t>checkConvertDouble3Uint3</t>
  </si>
  <si>
    <t>verifyResultsConvertDouble3Uint3</t>
  </si>
  <si>
    <t>checkConvertDouble4Uint4</t>
  </si>
  <si>
    <t>verifyResultsConvertDouble4Uint4</t>
  </si>
  <si>
    <t>checkConvertLong2Uint2</t>
  </si>
  <si>
    <t>verifyResultsConvertLong2Uint2</t>
  </si>
  <si>
    <t>checkConvertLong3Uint3</t>
  </si>
  <si>
    <t>verifyResultsConvertLong3Uint3</t>
  </si>
  <si>
    <t>checkConvertLong4Uint4</t>
  </si>
  <si>
    <t>verifyResultsConvertLong4Uint4</t>
  </si>
  <si>
    <t>checkConvertUlong2Uint2</t>
  </si>
  <si>
    <t>verifyResultsConvertUlong2Uint2</t>
  </si>
  <si>
    <t>checkConvertUlong3Uint3</t>
  </si>
  <si>
    <t>verifyResultsConvertUlong3Uint3</t>
  </si>
  <si>
    <t>checkConvertUlong4Uint4</t>
  </si>
  <si>
    <t>verifyResultsConvertUlong4Uint4</t>
  </si>
  <si>
    <t>checkConvertFloat2Double2</t>
  </si>
  <si>
    <t>verifyResultsConvertFloat2Double2</t>
  </si>
  <si>
    <t>checkConvertFloat3Double3</t>
  </si>
  <si>
    <t>verifyResultsConvertFloat3Double3</t>
  </si>
  <si>
    <t>checkConvertFloat4Double4</t>
  </si>
  <si>
    <t>verifyResultsConvertFloat4Double4</t>
  </si>
  <si>
    <t>checkConvertChar2Double2</t>
  </si>
  <si>
    <t>verifyResultsConvertChar2Double2</t>
  </si>
  <si>
    <t>checkConvertChar3Double3</t>
  </si>
  <si>
    <t>verifyResultsConvertChar3Double3</t>
  </si>
  <si>
    <t>checkConvertChar4Double4</t>
  </si>
  <si>
    <t>verifyResultsConvertChar4Double4</t>
  </si>
  <si>
    <t>checkConvertUchar2Double2</t>
  </si>
  <si>
    <t>verifyResultsConvertUchar2Double2</t>
  </si>
  <si>
    <t>checkConvertUchar3Double3</t>
  </si>
  <si>
    <t>verifyResultsConvertUchar3Double3</t>
  </si>
  <si>
    <t>checkConvertUchar4Double4</t>
  </si>
  <si>
    <t>verifyResultsConvertUchar4Double4</t>
  </si>
  <si>
    <t>checkConvertShort2Double2</t>
  </si>
  <si>
    <t>verifyResultsConvertShort2Double2</t>
  </si>
  <si>
    <t>checkConvertShort3Double3</t>
  </si>
  <si>
    <t>verifyResultsConvertShort3Double3</t>
  </si>
  <si>
    <t>checkConvertShort4Double4</t>
  </si>
  <si>
    <t>verifyResultsConvertShort4Double4</t>
  </si>
  <si>
    <t>checkConvertUshort2Double2</t>
  </si>
  <si>
    <t>verifyResultsConvertUshort2Double2</t>
  </si>
  <si>
    <t>checkConvertUshort3Double3</t>
  </si>
  <si>
    <t>verifyResultsConvertUshort3Double3</t>
  </si>
  <si>
    <t>checkConvertUshort4Double4</t>
  </si>
  <si>
    <t>verifyResultsConvertUshort4Double4</t>
  </si>
  <si>
    <t>checkConvertInt2Double2</t>
  </si>
  <si>
    <t>verifyResultsConvertInt2Double2</t>
  </si>
  <si>
    <t>checkConvertInt3Double3</t>
  </si>
  <si>
    <t>verifyResultsConvertInt3Double3</t>
  </si>
  <si>
    <t>checkConvertInt4Double4</t>
  </si>
  <si>
    <t>verifyResultsConvertInt4Double4</t>
  </si>
  <si>
    <t>checkConvertUint2Double2</t>
  </si>
  <si>
    <t>verifyResultsConvertUint2Double2</t>
  </si>
  <si>
    <t>checkConvertUint3Double3</t>
  </si>
  <si>
    <t>verifyResultsConvertUint3Double3</t>
  </si>
  <si>
    <t>checkConvertUint4Double4</t>
  </si>
  <si>
    <t>verifyResultsConvertUint4Double4</t>
  </si>
  <si>
    <t>checkConvertFloat2Long2</t>
  </si>
  <si>
    <t>verifyResultsConvertFloat2Long2</t>
  </si>
  <si>
    <t>checkConvertFloat3Long3</t>
  </si>
  <si>
    <t>verifyResultsConvertFloat3Long3</t>
  </si>
  <si>
    <t>checkConvertFloat4Long4</t>
  </si>
  <si>
    <t>verifyResultsConvertFloat4Long4</t>
  </si>
  <si>
    <t>checkConvertChar2Long2</t>
  </si>
  <si>
    <t>verifyResultsConvertChar2Long2</t>
  </si>
  <si>
    <t>checkConvertChar3Long3</t>
  </si>
  <si>
    <t>verifyResultsConvertChar3Long3</t>
  </si>
  <si>
    <t>checkConvertChar4Long4</t>
  </si>
  <si>
    <t>verifyResultsConvertChar4Long4</t>
  </si>
  <si>
    <t>checkConvertUchar2Long2</t>
  </si>
  <si>
    <t>verifyResultsConvertUchar2Long2</t>
  </si>
  <si>
    <t>checkConvertUchar3Long3</t>
  </si>
  <si>
    <t>verifyResultsConvertUchar3Long3</t>
  </si>
  <si>
    <t>checkConvertUchar4Long4</t>
  </si>
  <si>
    <t>verifyResultsConvertUchar4Long4</t>
  </si>
  <si>
    <t>checkConvertShort2Long2</t>
  </si>
  <si>
    <t>verifyResultsConvertShort2Long2</t>
  </si>
  <si>
    <t>checkConvertShort3Long3</t>
  </si>
  <si>
    <t>verifyResultsConvertShort3Long3</t>
  </si>
  <si>
    <t>checkConvertShort4Long4</t>
  </si>
  <si>
    <t>verifyResultsConvertShort4Long4</t>
  </si>
  <si>
    <t>checkConvertUshort2Long2</t>
  </si>
  <si>
    <t>verifyResultsConvertUshort2Long2</t>
  </si>
  <si>
    <t>checkConvertUshort3Long3</t>
  </si>
  <si>
    <t>verifyResultsConvertUshort3Long3</t>
  </si>
  <si>
    <t>checkConvertUshort4Long4</t>
  </si>
  <si>
    <t>verifyResultsConvertUshort4Long4</t>
  </si>
  <si>
    <t>checkConvertInt2Long2</t>
  </si>
  <si>
    <t>verifyResultsConvertInt2Long2</t>
  </si>
  <si>
    <t>checkConvertInt3Long3</t>
  </si>
  <si>
    <t>verifyResultsConvertInt3Long3</t>
  </si>
  <si>
    <t>checkConvertInt4Long4</t>
  </si>
  <si>
    <t>verifyResultsConvertInt4Long4</t>
  </si>
  <si>
    <t>checkConvertUint2Long2</t>
  </si>
  <si>
    <t>verifyResultsConvertUint2Long2</t>
  </si>
  <si>
    <t>checkConvertUint3Long3</t>
  </si>
  <si>
    <t>verifyResultsConvertUint3Long3</t>
  </si>
  <si>
    <t>checkConvertUint4Long4</t>
  </si>
  <si>
    <t>verifyResultsConvertUint4Long4</t>
  </si>
  <si>
    <t>checkConvertFloat2Ulong2</t>
  </si>
  <si>
    <t>verifyResultsConvertFloat2Ulong2</t>
  </si>
  <si>
    <t>checkConvertFloat3Ulong3</t>
  </si>
  <si>
    <t>verifyResultsConvertFloat3Ulong3</t>
  </si>
  <si>
    <t>checkConvertFloat4Ulong4</t>
  </si>
  <si>
    <t>verifyResultsConvertFloat4Ulong4</t>
  </si>
  <si>
    <t>checkConvertChar2Ulong2</t>
  </si>
  <si>
    <t>verifyResultsConvertChar2Ulong2</t>
  </si>
  <si>
    <t>checkConvertChar3Ulong3</t>
  </si>
  <si>
    <t>verifyResultsConvertChar3Ulong3</t>
  </si>
  <si>
    <t>checkConvertChar4Ulong4</t>
  </si>
  <si>
    <t>verifyResultsConvertChar4Ulong4</t>
  </si>
  <si>
    <t>checkConvertUchar2Ulong2</t>
  </si>
  <si>
    <t>verifyResultsConvertUchar2Ulong2</t>
  </si>
  <si>
    <t>checkConvertUchar3Ulong3</t>
  </si>
  <si>
    <t>verifyResultsConvertUchar3Ulong3</t>
  </si>
  <si>
    <t>checkConvertUchar4Ulong4</t>
  </si>
  <si>
    <t>verifyResultsConvertUchar4Ulong4</t>
  </si>
  <si>
    <t>checkConvertShort2Ulong2</t>
  </si>
  <si>
    <t>verifyResultsConvertShort2Ulong2</t>
  </si>
  <si>
    <t>checkConvertShort3Ulong3</t>
  </si>
  <si>
    <t>verifyResultsConvertShort3Ulong3</t>
  </si>
  <si>
    <t>checkConvertShort4Ulong4</t>
  </si>
  <si>
    <t>verifyResultsConvertShort4Ulong4</t>
  </si>
  <si>
    <t>checkConvertUshort2Ulong2</t>
  </si>
  <si>
    <t>verifyResultsConvertUshort2Ulong2</t>
  </si>
  <si>
    <t>checkConvertUshort3Ulong3</t>
  </si>
  <si>
    <t>verifyResultsConvertUshort3Ulong3</t>
  </si>
  <si>
    <t>checkConvertUshort4Ulong4</t>
  </si>
  <si>
    <t>verifyResultsConvertUshort4Ulong4</t>
  </si>
  <si>
    <t>checkConvertInt2Ulong2</t>
  </si>
  <si>
    <t>verifyResultsConvertInt2Ulong2</t>
  </si>
  <si>
    <t>checkConvertInt3Ulong3</t>
  </si>
  <si>
    <t>verifyResultsConvertInt3Ulong3</t>
  </si>
  <si>
    <t>checkConvertInt4Ulong4</t>
  </si>
  <si>
    <t>verifyResultsConvertInt4Ulong4</t>
  </si>
  <si>
    <t>checkConvertUint2Ulong2</t>
  </si>
  <si>
    <t>verifyResultsConvertUint2Ulong2</t>
  </si>
  <si>
    <t>checkConvertUint3Ulong3</t>
  </si>
  <si>
    <t>verifyResultsConvertUint3Ulong3</t>
  </si>
  <si>
    <t>checkConvertUint4Ulong4</t>
  </si>
  <si>
    <t>verifyResultsConvertUint4Ulong4</t>
  </si>
  <si>
    <t>testConvert</t>
  </si>
  <si>
    <t>checkCopysignFloatFloatFloat</t>
  </si>
  <si>
    <t>verifyResultsCopysignFloatFloatFloat</t>
  </si>
  <si>
    <t>checkCopysignFloat2Float2Float2</t>
  </si>
  <si>
    <t>verifyResultsCopysignFloat2Float2Float2</t>
  </si>
  <si>
    <t>checkCopysignFloat3Float3Float3</t>
  </si>
  <si>
    <t>verifyResultsCopysignFloat3Float3Float3</t>
  </si>
  <si>
    <t>checkCopysignFloat4Float4Float4</t>
  </si>
  <si>
    <t>verifyResultsCopysignFloat4Float4Float4</t>
  </si>
  <si>
    <t>testCopysign</t>
  </si>
  <si>
    <t>checkCosFloatFloat</t>
  </si>
  <si>
    <t>verifyResultsCosFloatFloat</t>
  </si>
  <si>
    <t>checkCosFloat2Float2</t>
  </si>
  <si>
    <t>verifyResultsCosFloat2Float2</t>
  </si>
  <si>
    <t>checkCosFloat3Float3</t>
  </si>
  <si>
    <t>verifyResultsCosFloat3Float3</t>
  </si>
  <si>
    <t>checkCosFloat4Float4</t>
  </si>
  <si>
    <t>verifyResultsCosFloat4Float4</t>
  </si>
  <si>
    <t>testCos</t>
  </si>
  <si>
    <t>checkCoshFloatFloat</t>
  </si>
  <si>
    <t>verifyResultsCoshFloatFloat</t>
  </si>
  <si>
    <t>checkCoshFloat2Float2</t>
  </si>
  <si>
    <t>verifyResultsCoshFloat2Float2</t>
  </si>
  <si>
    <t>checkCoshFloat3Float3</t>
  </si>
  <si>
    <t>verifyResultsCoshFloat3Float3</t>
  </si>
  <si>
    <t>checkCoshFloat4Float4</t>
  </si>
  <si>
    <t>verifyResultsCoshFloat4Float4</t>
  </si>
  <si>
    <t>testCosh</t>
  </si>
  <si>
    <t>checkCospiFloatFloat</t>
  </si>
  <si>
    <t>verifyResultsCospiFloatFloat</t>
  </si>
  <si>
    <t>checkCospiFloat2Float2</t>
  </si>
  <si>
    <t>verifyResultsCospiFloat2Float2</t>
  </si>
  <si>
    <t>checkCospiFloat3Float3</t>
  </si>
  <si>
    <t>verifyResultsCospiFloat3Float3</t>
  </si>
  <si>
    <t>checkCospiFloat4Float4</t>
  </si>
  <si>
    <t>verifyResultsCospiFloat4Float4</t>
  </si>
  <si>
    <t>testCospi</t>
  </si>
  <si>
    <t>checkCrossFloat3Float3Float3</t>
  </si>
  <si>
    <t>verifyResultsCrossFloat3Float3Float3</t>
  </si>
  <si>
    <t>checkCrossFloat4Float4Float4</t>
  </si>
  <si>
    <t>verifyResultsCrossFloat4Float4Float4</t>
  </si>
  <si>
    <t>testCross</t>
  </si>
  <si>
    <t>checkDegreesFloatFloat</t>
  </si>
  <si>
    <t>verifyResultsDegreesFloatFloat</t>
  </si>
  <si>
    <t>checkDegreesFloat2Float2</t>
  </si>
  <si>
    <t>verifyResultsDegreesFloat2Float2</t>
  </si>
  <si>
    <t>checkDegreesFloat3Float3</t>
  </si>
  <si>
    <t>verifyResultsDegreesFloat3Float3</t>
  </si>
  <si>
    <t>checkDegreesFloat4Float4</t>
  </si>
  <si>
    <t>verifyResultsDegreesFloat4Float4</t>
  </si>
  <si>
    <t>testDegrees</t>
  </si>
  <si>
    <t>checkDistanceFloatFloatFloat</t>
  </si>
  <si>
    <t>verifyResultsDistanceFloatFloatFloat</t>
  </si>
  <si>
    <t>checkDistanceFloat2Float2Float</t>
  </si>
  <si>
    <t>verifyResultsDistanceFloat2Float2Float</t>
  </si>
  <si>
    <t>checkDistanceFloat3Float3Float</t>
  </si>
  <si>
    <t>verifyResultsDistanceFloat3Float3Float</t>
  </si>
  <si>
    <t>checkDistanceFloat4Float4Float</t>
  </si>
  <si>
    <t>verifyResultsDistanceFloat4Float4Float</t>
  </si>
  <si>
    <t>testDistance</t>
  </si>
  <si>
    <t>checkDotFloatFloatFloat</t>
  </si>
  <si>
    <t>verifyResultsDotFloatFloatFloat</t>
  </si>
  <si>
    <t>checkDotFloat2Float2Float</t>
  </si>
  <si>
    <t>verifyResultsDotFloat2Float2Float</t>
  </si>
  <si>
    <t>checkDotFloat3Float3Float</t>
  </si>
  <si>
    <t>verifyResultsDotFloat3Float3Float</t>
  </si>
  <si>
    <t>checkDotFloat4Float4Float</t>
  </si>
  <si>
    <t>verifyResultsDotFloat4Float4Float</t>
  </si>
  <si>
    <t>testDot</t>
  </si>
  <si>
    <t>checkErfFloatFloat</t>
  </si>
  <si>
    <t>verifyResultsErfFloatFloat</t>
  </si>
  <si>
    <t>checkErfFloat2Float2</t>
  </si>
  <si>
    <t>verifyResultsErfFloat2Float2</t>
  </si>
  <si>
    <t>checkErfFloat3Float3</t>
  </si>
  <si>
    <t>verifyResultsErfFloat3Float3</t>
  </si>
  <si>
    <t>checkErfFloat4Float4</t>
  </si>
  <si>
    <t>verifyResultsErfFloat4Float4</t>
  </si>
  <si>
    <t>testErf</t>
  </si>
  <si>
    <t>checkErfcFloatFloat</t>
  </si>
  <si>
    <t>verifyResultsErfcFloatFloat</t>
  </si>
  <si>
    <t>checkErfcFloat2Float2</t>
  </si>
  <si>
    <t>verifyResultsErfcFloat2Float2</t>
  </si>
  <si>
    <t>checkErfcFloat3Float3</t>
  </si>
  <si>
    <t>verifyResultsErfcFloat3Float3</t>
  </si>
  <si>
    <t>checkErfcFloat4Float4</t>
  </si>
  <si>
    <t>verifyResultsErfcFloat4Float4</t>
  </si>
  <si>
    <t>testErfc</t>
  </si>
  <si>
    <t>checkExpFloatFloat</t>
  </si>
  <si>
    <t>verifyResultsExpFloatFloat</t>
  </si>
  <si>
    <t>checkExpFloat2Float2</t>
  </si>
  <si>
    <t>verifyResultsExpFloat2Float2</t>
  </si>
  <si>
    <t>checkExpFloat3Float3</t>
  </si>
  <si>
    <t>verifyResultsExpFloat3Float3</t>
  </si>
  <si>
    <t>checkExpFloat4Float4</t>
  </si>
  <si>
    <t>verifyResultsExpFloat4Float4</t>
  </si>
  <si>
    <t>testExp</t>
  </si>
  <si>
    <t>checkExp10FloatFloat</t>
  </si>
  <si>
    <t>checkExp10Float2Float2</t>
  </si>
  <si>
    <t>checkExp10Float3Float3</t>
  </si>
  <si>
    <t>checkExp10Float4Float4</t>
  </si>
  <si>
    <t>testExp10</t>
  </si>
  <si>
    <t>checkExp2FloatFloat</t>
  </si>
  <si>
    <t>verifyResultsExp2FloatFloat</t>
  </si>
  <si>
    <t>checkExp2Float2Float2</t>
  </si>
  <si>
    <t>verifyResultsExp2Float2Float2</t>
  </si>
  <si>
    <t>checkExp2Float3Float3</t>
  </si>
  <si>
    <t>verifyResultsExp2Float3Float3</t>
  </si>
  <si>
    <t>checkExp2Float4Float4</t>
  </si>
  <si>
    <t>verifyResultsExp2Float4Float4</t>
  </si>
  <si>
    <t>testExp2</t>
  </si>
  <si>
    <t>checkExpm1FloatFloat</t>
  </si>
  <si>
    <t>verifyResultsExpm1FloatFloat</t>
  </si>
  <si>
    <t>checkExpm1Float2Float2</t>
  </si>
  <si>
    <t>verifyResultsExpm1Float2Float2</t>
  </si>
  <si>
    <t>checkExpm1Float3Float3</t>
  </si>
  <si>
    <t>verifyResultsExpm1Float3Float3</t>
  </si>
  <si>
    <t>checkExpm1Float4Float4</t>
  </si>
  <si>
    <t>verifyResultsExpm1Float4Float4</t>
  </si>
  <si>
    <t>testExpm1</t>
  </si>
  <si>
    <t>checkFabsFloatFloat</t>
  </si>
  <si>
    <t>verifyResultsFabsFloatFloat</t>
  </si>
  <si>
    <t>checkFabsFloat2Float2</t>
  </si>
  <si>
    <t>verifyResultsFabsFloat2Float2</t>
  </si>
  <si>
    <t>checkFabsFloat3Float3</t>
  </si>
  <si>
    <t>verifyResultsFabsFloat3Float3</t>
  </si>
  <si>
    <t>checkFabsFloat4Float4</t>
  </si>
  <si>
    <t>verifyResultsFabsFloat4Float4</t>
  </si>
  <si>
    <t>testFabs</t>
  </si>
  <si>
    <t>checkFastDistanceFloatFloatFloat</t>
  </si>
  <si>
    <t>verifyResultsFastDistanceFloatFloatFloat</t>
  </si>
  <si>
    <t>checkFastDistanceFloat2Float2Float</t>
  </si>
  <si>
    <t>verifyResultsFastDistanceFloat2Float2Float</t>
  </si>
  <si>
    <t>checkFastDistanceFloat3Float3Float</t>
  </si>
  <si>
    <t>verifyResultsFastDistanceFloat3Float3Float</t>
  </si>
  <si>
    <t>checkFastDistanceFloat4Float4Float</t>
  </si>
  <si>
    <t>verifyResultsFastDistanceFloat4Float4Float</t>
  </si>
  <si>
    <t>testFastDistance</t>
  </si>
  <si>
    <t>checkFastLengthFloatFloat</t>
  </si>
  <si>
    <t>verifyResultsFastLengthFloatFloat</t>
  </si>
  <si>
    <t>checkFastLengthFloat2Float</t>
  </si>
  <si>
    <t>verifyResultsFastLengthFloat2Float</t>
  </si>
  <si>
    <t>checkFastLengthFloat3Float</t>
  </si>
  <si>
    <t>verifyResultsFastLengthFloat3Float</t>
  </si>
  <si>
    <t>checkFastLengthFloat4Float</t>
  </si>
  <si>
    <t>verifyResultsFastLengthFloat4Float</t>
  </si>
  <si>
    <t>testFastLength</t>
  </si>
  <si>
    <t>checkFastNormalizeFloatFloat</t>
  </si>
  <si>
    <t>verifyResultsFastNormalizeFloatFloat</t>
  </si>
  <si>
    <t>checkFastNormalizeFloat2Float2</t>
  </si>
  <si>
    <t>verifyResultsFastNormalizeFloat2Float2</t>
  </si>
  <si>
    <t>checkFastNormalizeFloat3Float3</t>
  </si>
  <si>
    <t>verifyResultsFastNormalizeFloat3Float3</t>
  </si>
  <si>
    <t>checkFastNormalizeFloat4Float4</t>
  </si>
  <si>
    <t>verifyResultsFastNormalizeFloat4Float4</t>
  </si>
  <si>
    <t>testFastNormalize</t>
  </si>
  <si>
    <t>checkFdimFloatFloatFloat</t>
  </si>
  <si>
    <t>verifyResultsFdimFloatFloatFloat</t>
  </si>
  <si>
    <t>checkFdimFloat2Float2Float2</t>
  </si>
  <si>
    <t>verifyResultsFdimFloat2Float2Float2</t>
  </si>
  <si>
    <t>checkFdimFloat3Float3Float3</t>
  </si>
  <si>
    <t>verifyResultsFdimFloat3Float3Float3</t>
  </si>
  <si>
    <t>checkFdimFloat4Float4Float4</t>
  </si>
  <si>
    <t>verifyResultsFdimFloat4Float4Float4</t>
  </si>
  <si>
    <t>testFdim</t>
  </si>
  <si>
    <t>checkFloorFloatFloat</t>
  </si>
  <si>
    <t>verifyResultsFloorFloatFloat</t>
  </si>
  <si>
    <t>checkFloorFloat2Float2</t>
  </si>
  <si>
    <t>verifyResultsFloorFloat2Float2</t>
  </si>
  <si>
    <t>checkFloorFloat3Float3</t>
  </si>
  <si>
    <t>verifyResultsFloorFloat3Float3</t>
  </si>
  <si>
    <t>checkFloorFloat4Float4</t>
  </si>
  <si>
    <t>verifyResultsFloorFloat4Float4</t>
  </si>
  <si>
    <t>testFloor</t>
  </si>
  <si>
    <t>checkFmaFloatFloatFloatFloat</t>
  </si>
  <si>
    <t>verifyResultsFmaFloatFloatFloatFloat</t>
  </si>
  <si>
    <t>checkFmaFloat2Float2Float2Float2</t>
  </si>
  <si>
    <t>verifyResultsFmaFloat2Float2Float2Float2</t>
  </si>
  <si>
    <t>checkFmaFloat3Float3Float3Float3</t>
  </si>
  <si>
    <t>verifyResultsFmaFloat3Float3Float3Float3</t>
  </si>
  <si>
    <t>checkFmaFloat4Float4Float4Float4</t>
  </si>
  <si>
    <t>verifyResultsFmaFloat4Float4Float4Float4</t>
  </si>
  <si>
    <t>testFma</t>
  </si>
  <si>
    <t>checkFmaxFloatFloatFloat</t>
  </si>
  <si>
    <t>verifyResultsFmaxFloatFloatFloat</t>
  </si>
  <si>
    <t>checkFmaxFloat2Float2Float2</t>
  </si>
  <si>
    <t>verifyResultsFmaxFloat2Float2Float2</t>
  </si>
  <si>
    <t>checkFmaxFloat3Float3Float3</t>
  </si>
  <si>
    <t>verifyResultsFmaxFloat3Float3Float3</t>
  </si>
  <si>
    <t>checkFmaxFloat4Float4Float4</t>
  </si>
  <si>
    <t>verifyResultsFmaxFloat4Float4Float4</t>
  </si>
  <si>
    <t>checkFmaxFloat2FloatFloat2</t>
  </si>
  <si>
    <t>verifyResultsFmaxFloat2FloatFloat2</t>
  </si>
  <si>
    <t>checkFmaxFloat3FloatFloat3</t>
  </si>
  <si>
    <t>verifyResultsFmaxFloat3FloatFloat3</t>
  </si>
  <si>
    <t>checkFmaxFloat4FloatFloat4</t>
  </si>
  <si>
    <t>verifyResultsFmaxFloat4FloatFloat4</t>
  </si>
  <si>
    <t>testFmax</t>
  </si>
  <si>
    <t>checkFminFloatFloatFloat</t>
  </si>
  <si>
    <t>verifyResultsFminFloatFloatFloat</t>
  </si>
  <si>
    <t>checkFminFloat2Float2Float2</t>
  </si>
  <si>
    <t>verifyResultsFminFloat2Float2Float2</t>
  </si>
  <si>
    <t>checkFminFloat3Float3Float3</t>
  </si>
  <si>
    <t>verifyResultsFminFloat3Float3Float3</t>
  </si>
  <si>
    <t>checkFminFloat4Float4Float4</t>
  </si>
  <si>
    <t>verifyResultsFminFloat4Float4Float4</t>
  </si>
  <si>
    <t>checkFminFloat2FloatFloat2</t>
  </si>
  <si>
    <t>verifyResultsFminFloat2FloatFloat2</t>
  </si>
  <si>
    <t>checkFminFloat3FloatFloat3</t>
  </si>
  <si>
    <t>verifyResultsFminFloat3FloatFloat3</t>
  </si>
  <si>
    <t>checkFminFloat4FloatFloat4</t>
  </si>
  <si>
    <t>verifyResultsFminFloat4FloatFloat4</t>
  </si>
  <si>
    <t>testFmin</t>
  </si>
  <si>
    <t>checkFmodFloatFloatFloat</t>
  </si>
  <si>
    <t>verifyResultsFmodFloatFloatFloat</t>
  </si>
  <si>
    <t>checkFmodFloat2Float2Float2</t>
  </si>
  <si>
    <t>verifyResultsFmodFloat2Float2Float2</t>
  </si>
  <si>
    <t>checkFmodFloat3Float3Float3</t>
  </si>
  <si>
    <t>verifyResultsFmodFloat3Float3Float3</t>
  </si>
  <si>
    <t>checkFmodFloat4Float4Float4</t>
  </si>
  <si>
    <t>verifyResultsFmodFloat4Float4Float4</t>
  </si>
  <si>
    <t>testFmod</t>
  </si>
  <si>
    <t>checkFractFloatFloatFloat</t>
  </si>
  <si>
    <t>verifyResultsFractFloatFloatFloat</t>
  </si>
  <si>
    <t>checkFractFloat2Float2Float2</t>
  </si>
  <si>
    <t>verifyResultsFractFloat2Float2Float2</t>
  </si>
  <si>
    <t>checkFractFloat3Float3Float3</t>
  </si>
  <si>
    <t>verifyResultsFractFloat3Float3Float3</t>
  </si>
  <si>
    <t>checkFractFloat4Float4Float4</t>
  </si>
  <si>
    <t>verifyResultsFractFloat4Float4Float4</t>
  </si>
  <si>
    <t>checkFractFloatFloat</t>
  </si>
  <si>
    <t>verifyResultsFractFloatFloat</t>
  </si>
  <si>
    <t>checkFractFloat2Float2</t>
  </si>
  <si>
    <t>verifyResultsFractFloat2Float2</t>
  </si>
  <si>
    <t>checkFractFloat3Float3</t>
  </si>
  <si>
    <t>verifyResultsFractFloat3Float3</t>
  </si>
  <si>
    <t>checkFractFloat4Float4</t>
  </si>
  <si>
    <t>verifyResultsFractFloat4Float4</t>
  </si>
  <si>
    <t>testFract</t>
  </si>
  <si>
    <t>checkFrexpFloatIntFloat</t>
  </si>
  <si>
    <t>verifyResultsFrexpFloatIntFloat</t>
  </si>
  <si>
    <t>checkFrexpFloat2Int2Float2</t>
  </si>
  <si>
    <t>verifyResultsFrexpFloat2Int2Float2</t>
  </si>
  <si>
    <t>checkFrexpFloat3Int3Float3</t>
  </si>
  <si>
    <t>verifyResultsFrexpFloat3Int3Float3</t>
  </si>
  <si>
    <t>checkFrexpFloat4Int4Float4</t>
  </si>
  <si>
    <t>verifyResultsFrexpFloat4Int4Float4</t>
  </si>
  <si>
    <t>testFrexp</t>
  </si>
  <si>
    <t>checkHalfRecipFloatFloat</t>
  </si>
  <si>
    <t>verifyResultsHalfRecipFloatFloat</t>
  </si>
  <si>
    <t>checkHalfRecipFloat2Float2</t>
  </si>
  <si>
    <t>verifyResultsHalfRecipFloat2Float2</t>
  </si>
  <si>
    <t>checkHalfRecipFloat3Float3</t>
  </si>
  <si>
    <t>verifyResultsHalfRecipFloat3Float3</t>
  </si>
  <si>
    <t>checkHalfRecipFloat4Float4</t>
  </si>
  <si>
    <t>verifyResultsHalfRecipFloat4Float4</t>
  </si>
  <si>
    <t>testHalfRecip</t>
  </si>
  <si>
    <t>checkHalfRsqrtFloatFloat</t>
  </si>
  <si>
    <t>verifyResultsHalfRsqrtFloatFloat</t>
  </si>
  <si>
    <t>checkHalfRsqrtFloat2Float2</t>
  </si>
  <si>
    <t>verifyResultsHalfRsqrtFloat2Float2</t>
  </si>
  <si>
    <t>checkHalfRsqrtFloat3Float3</t>
  </si>
  <si>
    <t>verifyResultsHalfRsqrtFloat3Float3</t>
  </si>
  <si>
    <t>checkHalfRsqrtFloat4Float4</t>
  </si>
  <si>
    <t>verifyResultsHalfRsqrtFloat4Float4</t>
  </si>
  <si>
    <t>testHalfRsqrt</t>
  </si>
  <si>
    <t>checkHalfSqrtFloatFloat</t>
  </si>
  <si>
    <t>verifyResultsHalfSqrtFloatFloat</t>
  </si>
  <si>
    <t>checkHalfSqrtFloat2Float2</t>
  </si>
  <si>
    <t>verifyResultsHalfSqrtFloat2Float2</t>
  </si>
  <si>
    <t>checkHalfSqrtFloat3Float3</t>
  </si>
  <si>
    <t>verifyResultsHalfSqrtFloat3Float3</t>
  </si>
  <si>
    <t>checkHalfSqrtFloat4Float4</t>
  </si>
  <si>
    <t>verifyResultsHalfSqrtFloat4Float4</t>
  </si>
  <si>
    <t>testHalfSqrt</t>
  </si>
  <si>
    <t>checkHypotFloatFloatFloat</t>
  </si>
  <si>
    <t>verifyResultsHypotFloatFloatFloat</t>
  </si>
  <si>
    <t>checkHypotFloat2Float2Float2</t>
  </si>
  <si>
    <t>verifyResultsHypotFloat2Float2Float2</t>
  </si>
  <si>
    <t>checkHypotFloat3Float3Float3</t>
  </si>
  <si>
    <t>verifyResultsHypotFloat3Float3Float3</t>
  </si>
  <si>
    <t>checkHypotFloat4Float4Float4</t>
  </si>
  <si>
    <t>verifyResultsHypotFloat4Float4Float4</t>
  </si>
  <si>
    <t>testHypot</t>
  </si>
  <si>
    <t>checkIlogbFloatInt</t>
  </si>
  <si>
    <t>checkIlogbFloat2Int2</t>
  </si>
  <si>
    <t>checkIlogbFloat3Int3</t>
  </si>
  <si>
    <t>checkIlogbFloat4Int4</t>
  </si>
  <si>
    <t>testIlogb</t>
  </si>
  <si>
    <t>checkLdexpFloatIntFloat</t>
  </si>
  <si>
    <t>verifyResultsLdexpFloatIntFloat</t>
  </si>
  <si>
    <t>checkLdexpFloat2Int2Float2</t>
  </si>
  <si>
    <t>verifyResultsLdexpFloat2Int2Float2</t>
  </si>
  <si>
    <t>checkLdexpFloat3Int3Float3</t>
  </si>
  <si>
    <t>verifyResultsLdexpFloat3Int3Float3</t>
  </si>
  <si>
    <t>checkLdexpFloat4Int4Float4</t>
  </si>
  <si>
    <t>verifyResultsLdexpFloat4Int4Float4</t>
  </si>
  <si>
    <t>checkLdexpFloat2IntFloat2</t>
  </si>
  <si>
    <t>verifyResultsLdexpFloat2IntFloat2</t>
  </si>
  <si>
    <t>checkLdexpFloat3IntFloat3</t>
  </si>
  <si>
    <t>verifyResultsLdexpFloat3IntFloat3</t>
  </si>
  <si>
    <t>checkLdexpFloat4IntFloat4</t>
  </si>
  <si>
    <t>verifyResultsLdexpFloat4IntFloat4</t>
  </si>
  <si>
    <t>testLdexp</t>
  </si>
  <si>
    <t>checkLengthFloatFloat</t>
  </si>
  <si>
    <t>verifyResultsLengthFloatFloat</t>
  </si>
  <si>
    <t>checkLengthFloat2Float</t>
  </si>
  <si>
    <t>verifyResultsLengthFloat2Float</t>
  </si>
  <si>
    <t>checkLengthFloat3Float</t>
  </si>
  <si>
    <t>verifyResultsLengthFloat3Float</t>
  </si>
  <si>
    <t>checkLengthFloat4Float</t>
  </si>
  <si>
    <t>verifyResultsLengthFloat4Float</t>
  </si>
  <si>
    <t>testLength</t>
  </si>
  <si>
    <t>checkLgammaFloatFloat</t>
  </si>
  <si>
    <t>verifyResultsLgammaFloatFloat</t>
  </si>
  <si>
    <t>checkLgammaFloat2Float2</t>
  </si>
  <si>
    <t>verifyResultsLgammaFloat2Float2</t>
  </si>
  <si>
    <t>checkLgammaFloat3Float3</t>
  </si>
  <si>
    <t>verifyResultsLgammaFloat3Float3</t>
  </si>
  <si>
    <t>checkLgammaFloat4Float4</t>
  </si>
  <si>
    <t>verifyResultsLgammaFloat4Float4</t>
  </si>
  <si>
    <t>checkLgammaFloatIntFloat</t>
  </si>
  <si>
    <t>verifyResultsLgammaFloatIntFloat</t>
  </si>
  <si>
    <t>checkLgammaFloat2Int2Float2</t>
  </si>
  <si>
    <t>verifyResultsLgammaFloat2Int2Float2</t>
  </si>
  <si>
    <t>checkLgammaFloat3Int3Float3</t>
  </si>
  <si>
    <t>verifyResultsLgammaFloat3Int3Float3</t>
  </si>
  <si>
    <t>checkLgammaFloat4Int4Float4</t>
  </si>
  <si>
    <t>verifyResultsLgammaFloat4Int4Float4</t>
  </si>
  <si>
    <t>testLgamma</t>
  </si>
  <si>
    <t>checkLogFloatFloat</t>
  </si>
  <si>
    <t>verifyResultsLogFloatFloat</t>
  </si>
  <si>
    <t>checkLogFloat2Float2</t>
  </si>
  <si>
    <t>verifyResultsLogFloat2Float2</t>
  </si>
  <si>
    <t>checkLogFloat3Float3</t>
  </si>
  <si>
    <t>verifyResultsLogFloat3Float3</t>
  </si>
  <si>
    <t>checkLogFloat4Float4</t>
  </si>
  <si>
    <t>verifyResultsLogFloat4Float4</t>
  </si>
  <si>
    <t>testLog</t>
  </si>
  <si>
    <t>checkLog10FloatFloat</t>
  </si>
  <si>
    <t>verifyResultsLog10FloatFloat</t>
  </si>
  <si>
    <t>checkLog10Float2Float2</t>
  </si>
  <si>
    <t>verifyResultsLog10Float2Float2</t>
  </si>
  <si>
    <t>checkLog10Float3Float3</t>
  </si>
  <si>
    <t>verifyResultsLog10Float3Float3</t>
  </si>
  <si>
    <t>checkLog10Float4Float4</t>
  </si>
  <si>
    <t>verifyResultsLog10Float4Float4</t>
  </si>
  <si>
    <t>testLog10</t>
  </si>
  <si>
    <t>checkLog1pFloatFloat</t>
  </si>
  <si>
    <t>verifyResultsLog1pFloatFloat</t>
  </si>
  <si>
    <t>checkLog1pFloat2Float2</t>
  </si>
  <si>
    <t>verifyResultsLog1pFloat2Float2</t>
  </si>
  <si>
    <t>checkLog1pFloat3Float3</t>
  </si>
  <si>
    <t>verifyResultsLog1pFloat3Float3</t>
  </si>
  <si>
    <t>checkLog1pFloat4Float4</t>
  </si>
  <si>
    <t>verifyResultsLog1pFloat4Float4</t>
  </si>
  <si>
    <t>testLog1p</t>
  </si>
  <si>
    <t>checkLog2FloatFloat</t>
  </si>
  <si>
    <t>verifyResultsLog2FloatFloat</t>
  </si>
  <si>
    <t>checkLog2Float2Float2</t>
  </si>
  <si>
    <t>verifyResultsLog2Float2Float2</t>
  </si>
  <si>
    <t>checkLog2Float3Float3</t>
  </si>
  <si>
    <t>verifyResultsLog2Float3Float3</t>
  </si>
  <si>
    <t>checkLog2Float4Float4</t>
  </si>
  <si>
    <t>verifyResultsLog2Float4Float4</t>
  </si>
  <si>
    <t>testLog2</t>
  </si>
  <si>
    <t>checkLogbFloatFloat</t>
  </si>
  <si>
    <t>checkLogbFloat2Float2</t>
  </si>
  <si>
    <t>checkLogbFloat3Float3</t>
  </si>
  <si>
    <t>checkLogbFloat4Float4</t>
  </si>
  <si>
    <t>testLogb</t>
  </si>
  <si>
    <t>checkMadFloatFloatFloatFloat</t>
  </si>
  <si>
    <t>verifyResultsMadFloatFloatFloatFloat</t>
  </si>
  <si>
    <t>checkMadFloat2Float2Float2Float2</t>
  </si>
  <si>
    <t>verifyResultsMadFloat2Float2Float2Float2</t>
  </si>
  <si>
    <t>checkMadFloat3Float3Float3Float3</t>
  </si>
  <si>
    <t>verifyResultsMadFloat3Float3Float3Float3</t>
  </si>
  <si>
    <t>checkMadFloat4Float4Float4Float4</t>
  </si>
  <si>
    <t>verifyResultsMadFloat4Float4Float4Float4</t>
  </si>
  <si>
    <t>testMad</t>
  </si>
  <si>
    <t>checkMaxFloatFloatFloat</t>
  </si>
  <si>
    <t>verifyResultsMaxFloatFloatFloat</t>
  </si>
  <si>
    <t>checkMaxFloat2Float2Float2</t>
  </si>
  <si>
    <t>verifyResultsMaxFloat2Float2Float2</t>
  </si>
  <si>
    <t>checkMaxFloat3Float3Float3</t>
  </si>
  <si>
    <t>verifyResultsMaxFloat3Float3Float3</t>
  </si>
  <si>
    <t>checkMaxFloat4Float4Float4</t>
  </si>
  <si>
    <t>verifyResultsMaxFloat4Float4Float4</t>
  </si>
  <si>
    <t>checkMaxCharCharChar</t>
  </si>
  <si>
    <t>verifyResultsMaxCharCharChar</t>
  </si>
  <si>
    <t>checkMaxChar2Char2Char2</t>
  </si>
  <si>
    <t>verifyResultsMaxChar2Char2Char2</t>
  </si>
  <si>
    <t>checkMaxChar3Char3Char3</t>
  </si>
  <si>
    <t>verifyResultsMaxChar3Char3Char3</t>
  </si>
  <si>
    <t>checkMaxChar4Char4Char4</t>
  </si>
  <si>
    <t>verifyResultsMaxChar4Char4Char4</t>
  </si>
  <si>
    <t>checkMaxUcharUcharUchar</t>
  </si>
  <si>
    <t>verifyResultsMaxUcharUcharUchar</t>
  </si>
  <si>
    <t>checkMaxUchar2Uchar2Uchar2</t>
  </si>
  <si>
    <t>verifyResultsMaxUchar2Uchar2Uchar2</t>
  </si>
  <si>
    <t>checkMaxUchar3Uchar3Uchar3</t>
  </si>
  <si>
    <t>verifyResultsMaxUchar3Uchar3Uchar3</t>
  </si>
  <si>
    <t>checkMaxUchar4Uchar4Uchar4</t>
  </si>
  <si>
    <t>verifyResultsMaxUchar4Uchar4Uchar4</t>
  </si>
  <si>
    <t>checkMaxShortShortShort</t>
  </si>
  <si>
    <t>verifyResultsMaxShortShortShort</t>
  </si>
  <si>
    <t>checkMaxShort2Short2Short2</t>
  </si>
  <si>
    <t>verifyResultsMaxShort2Short2Short2</t>
  </si>
  <si>
    <t>checkMaxShort3Short3Short3</t>
  </si>
  <si>
    <t>verifyResultsMaxShort3Short3Short3</t>
  </si>
  <si>
    <t>checkMaxShort4Short4Short4</t>
  </si>
  <si>
    <t>verifyResultsMaxShort4Short4Short4</t>
  </si>
  <si>
    <t>checkMaxUshortUshortUshort</t>
  </si>
  <si>
    <t>verifyResultsMaxUshortUshortUshort</t>
  </si>
  <si>
    <t>checkMaxUshort2Ushort2Ushort2</t>
  </si>
  <si>
    <t>verifyResultsMaxUshort2Ushort2Ushort2</t>
  </si>
  <si>
    <t>checkMaxUshort3Ushort3Ushort3</t>
  </si>
  <si>
    <t>verifyResultsMaxUshort3Ushort3Ushort3</t>
  </si>
  <si>
    <t>checkMaxUshort4Ushort4Ushort4</t>
  </si>
  <si>
    <t>verifyResultsMaxUshort4Ushort4Ushort4</t>
  </si>
  <si>
    <t>checkMaxIntIntInt</t>
  </si>
  <si>
    <t>verifyResultsMaxIntIntInt</t>
  </si>
  <si>
    <t>checkMaxInt2Int2Int2</t>
  </si>
  <si>
    <t>verifyResultsMaxInt2Int2Int2</t>
  </si>
  <si>
    <t>checkMaxInt3Int3Int3</t>
  </si>
  <si>
    <t>verifyResultsMaxInt3Int3Int3</t>
  </si>
  <si>
    <t>checkMaxInt4Int4Int4</t>
  </si>
  <si>
    <t>verifyResultsMaxInt4Int4Int4</t>
  </si>
  <si>
    <t>checkMaxUintUintUint</t>
  </si>
  <si>
    <t>verifyResultsMaxUintUintUint</t>
  </si>
  <si>
    <t>checkMaxUint2Uint2Uint2</t>
  </si>
  <si>
    <t>verifyResultsMaxUint2Uint2Uint2</t>
  </si>
  <si>
    <t>checkMaxUint3Uint3Uint3</t>
  </si>
  <si>
    <t>verifyResultsMaxUint3Uint3Uint3</t>
  </si>
  <si>
    <t>checkMaxUint4Uint4Uint4</t>
  </si>
  <si>
    <t>verifyResultsMaxUint4Uint4Uint4</t>
  </si>
  <si>
    <t>checkMaxLongLongLong</t>
  </si>
  <si>
    <t>verifyResultsMaxLongLongLong</t>
  </si>
  <si>
    <t>checkMaxLong2Long2Long2</t>
  </si>
  <si>
    <t>verifyResultsMaxLong2Long2Long2</t>
  </si>
  <si>
    <t>checkMaxLong3Long3Long3</t>
  </si>
  <si>
    <t>verifyResultsMaxLong3Long3Long3</t>
  </si>
  <si>
    <t>checkMaxLong4Long4Long4</t>
  </si>
  <si>
    <t>verifyResultsMaxLong4Long4Long4</t>
  </si>
  <si>
    <t>checkMaxUlongUlongUlong</t>
  </si>
  <si>
    <t>verifyResultsMaxUlongUlongUlong</t>
  </si>
  <si>
    <t>checkMaxUlong2Ulong2Ulong2</t>
  </si>
  <si>
    <t>verifyResultsMaxUlong2Ulong2Ulong2</t>
  </si>
  <si>
    <t>checkMaxUlong3Ulong3Ulong3</t>
  </si>
  <si>
    <t>verifyResultsMaxUlong3Ulong3Ulong3</t>
  </si>
  <si>
    <t>checkMaxUlong4Ulong4Ulong4</t>
  </si>
  <si>
    <t>verifyResultsMaxUlong4Ulong4Ulong4</t>
  </si>
  <si>
    <t>testMax</t>
  </si>
  <si>
    <t>checkMinFloatFloatFloat</t>
  </si>
  <si>
    <t>verifyResultsMinFloatFloatFloat</t>
  </si>
  <si>
    <t>checkMinFloat2Float2Float2</t>
  </si>
  <si>
    <t>verifyResultsMinFloat2Float2Float2</t>
  </si>
  <si>
    <t>checkMinFloat3Float3Float3</t>
  </si>
  <si>
    <t>verifyResultsMinFloat3Float3Float3</t>
  </si>
  <si>
    <t>checkMinFloat4Float4Float4</t>
  </si>
  <si>
    <t>verifyResultsMinFloat4Float4Float4</t>
  </si>
  <si>
    <t>checkMinCharCharChar</t>
  </si>
  <si>
    <t>verifyResultsMinCharCharChar</t>
  </si>
  <si>
    <t>checkMinChar2Char2Char2</t>
  </si>
  <si>
    <t>verifyResultsMinChar2Char2Char2</t>
  </si>
  <si>
    <t>checkMinChar3Char3Char3</t>
  </si>
  <si>
    <t>verifyResultsMinChar3Char3Char3</t>
  </si>
  <si>
    <t>checkMinChar4Char4Char4</t>
  </si>
  <si>
    <t>verifyResultsMinChar4Char4Char4</t>
  </si>
  <si>
    <t>checkMinUcharUcharUchar</t>
  </si>
  <si>
    <t>verifyResultsMinUcharUcharUchar</t>
  </si>
  <si>
    <t>checkMinUchar2Uchar2Uchar2</t>
  </si>
  <si>
    <t>verifyResultsMinUchar2Uchar2Uchar2</t>
  </si>
  <si>
    <t>checkMinUchar3Uchar3Uchar3</t>
  </si>
  <si>
    <t>verifyResultsMinUchar3Uchar3Uchar3</t>
  </si>
  <si>
    <t>checkMinUchar4Uchar4Uchar4</t>
  </si>
  <si>
    <t>verifyResultsMinUchar4Uchar4Uchar4</t>
  </si>
  <si>
    <t>checkMinShortShortShort</t>
  </si>
  <si>
    <t>verifyResultsMinShortShortShort</t>
  </si>
  <si>
    <t>checkMinShort2Short2Short2</t>
  </si>
  <si>
    <t>verifyResultsMinShort2Short2Short2</t>
  </si>
  <si>
    <t>checkMinShort3Short3Short3</t>
  </si>
  <si>
    <t>verifyResultsMinShort3Short3Short3</t>
  </si>
  <si>
    <t>checkMinShort4Short4Short4</t>
  </si>
  <si>
    <t>verifyResultsMinShort4Short4Short4</t>
  </si>
  <si>
    <t>checkMinUshortUshortUshort</t>
  </si>
  <si>
    <t>verifyResultsMinUshortUshortUshort</t>
  </si>
  <si>
    <t>checkMinUshort2Ushort2Ushort2</t>
  </si>
  <si>
    <t>verifyResultsMinUshort2Ushort2Ushort2</t>
  </si>
  <si>
    <t>checkMinUshort3Ushort3Ushort3</t>
  </si>
  <si>
    <t>verifyResultsMinUshort3Ushort3Ushort3</t>
  </si>
  <si>
    <t>checkMinUshort4Ushort4Ushort4</t>
  </si>
  <si>
    <t>verifyResultsMinUshort4Ushort4Ushort4</t>
  </si>
  <si>
    <t>checkMinIntIntInt</t>
  </si>
  <si>
    <t>verifyResultsMinIntIntInt</t>
  </si>
  <si>
    <t>checkMinInt2Int2Int2</t>
  </si>
  <si>
    <t>verifyResultsMinInt2Int2Int2</t>
  </si>
  <si>
    <t>checkMinInt3Int3Int3</t>
  </si>
  <si>
    <t>verifyResultsMinInt3Int3Int3</t>
  </si>
  <si>
    <t>checkMinInt4Int4Int4</t>
  </si>
  <si>
    <t>verifyResultsMinInt4Int4Int4</t>
  </si>
  <si>
    <t>checkMinUintUintUint</t>
  </si>
  <si>
    <t>verifyResultsMinUintUintUint</t>
  </si>
  <si>
    <t>checkMinUint2Uint2Uint2</t>
  </si>
  <si>
    <t>verifyResultsMinUint2Uint2Uint2</t>
  </si>
  <si>
    <t>checkMinUint3Uint3Uint3</t>
  </si>
  <si>
    <t>verifyResultsMinUint3Uint3Uint3</t>
  </si>
  <si>
    <t>checkMinUint4Uint4Uint4</t>
  </si>
  <si>
    <t>verifyResultsMinUint4Uint4Uint4</t>
  </si>
  <si>
    <t>checkMinLongLongLong</t>
  </si>
  <si>
    <t>verifyResultsMinLongLongLong</t>
  </si>
  <si>
    <t>checkMinLong2Long2Long2</t>
  </si>
  <si>
    <t>verifyResultsMinLong2Long2Long2</t>
  </si>
  <si>
    <t>checkMinLong3Long3Long3</t>
  </si>
  <si>
    <t>verifyResultsMinLong3Long3Long3</t>
  </si>
  <si>
    <t>checkMinLong4Long4Long4</t>
  </si>
  <si>
    <t>verifyResultsMinLong4Long4Long4</t>
  </si>
  <si>
    <t>checkMinUlongUlongUlong</t>
  </si>
  <si>
    <t>verifyResultsMinUlongUlongUlong</t>
  </si>
  <si>
    <t>checkMinUlong2Ulong2Ulong2</t>
  </si>
  <si>
    <t>verifyResultsMinUlong2Ulong2Ulong2</t>
  </si>
  <si>
    <t>checkMinUlong3Ulong3Ulong3</t>
  </si>
  <si>
    <t>verifyResultsMinUlong3Ulong3Ulong3</t>
  </si>
  <si>
    <t>checkMinUlong4Ulong4Ulong4</t>
  </si>
  <si>
    <t>verifyResultsMinUlong4Ulong4Ulong4</t>
  </si>
  <si>
    <t>testMin</t>
  </si>
  <si>
    <t>checkMixFloatFloatFloatFloat</t>
  </si>
  <si>
    <t>verifyResultsMixFloatFloatFloatFloat</t>
  </si>
  <si>
    <t>checkMixFloat2Float2Float2Float2</t>
  </si>
  <si>
    <t>verifyResultsMixFloat2Float2Float2Float2</t>
  </si>
  <si>
    <t>checkMixFloat3Float3Float3Float3</t>
  </si>
  <si>
    <t>verifyResultsMixFloat3Float3Float3Float3</t>
  </si>
  <si>
    <t>checkMixFloat4Float4Float4Float4</t>
  </si>
  <si>
    <t>verifyResultsMixFloat4Float4Float4Float4</t>
  </si>
  <si>
    <t>checkMixFloat2Float2FloatFloat2</t>
  </si>
  <si>
    <t>verifyResultsMixFloat2Float2FloatFloat2</t>
  </si>
  <si>
    <t>checkMixFloat3Float3FloatFloat3</t>
  </si>
  <si>
    <t>verifyResultsMixFloat3Float3FloatFloat3</t>
  </si>
  <si>
    <t>checkMixFloat4Float4FloatFloat4</t>
  </si>
  <si>
    <t>verifyResultsMixFloat4Float4FloatFloat4</t>
  </si>
  <si>
    <t>testMix</t>
  </si>
  <si>
    <t>checkModfFloatFloatFloat</t>
  </si>
  <si>
    <t>verifyResultsModfFloatFloatFloat</t>
  </si>
  <si>
    <t>checkModfFloat2Float2Float2</t>
  </si>
  <si>
    <t>verifyResultsModfFloat2Float2Float2</t>
  </si>
  <si>
    <t>checkModfFloat3Float3Float3</t>
  </si>
  <si>
    <t>verifyResultsModfFloat3Float3Float3</t>
  </si>
  <si>
    <t>checkModfFloat4Float4Float4</t>
  </si>
  <si>
    <t>verifyResultsModfFloat4Float4Float4</t>
  </si>
  <si>
    <t>testModf</t>
  </si>
  <si>
    <t>checkNanUintFloat</t>
  </si>
  <si>
    <t>verifyResultsNanUintFloat</t>
  </si>
  <si>
    <t>testNan</t>
  </si>
  <si>
    <t>checkNativeAcosFloatFloat</t>
  </si>
  <si>
    <t>verifyResultsNativeAcosFloatFloat</t>
  </si>
  <si>
    <t>checkNativeAcosFloat2Float2</t>
  </si>
  <si>
    <t>verifyResultsNativeAcosFloat2Float2</t>
  </si>
  <si>
    <t>checkNativeAcosFloat3Float3</t>
  </si>
  <si>
    <t>verifyResultsNativeAcosFloat3Float3</t>
  </si>
  <si>
    <t>checkNativeAcosFloat4Float4</t>
  </si>
  <si>
    <t>verifyResultsNativeAcosFloat4Float4</t>
  </si>
  <si>
    <t>testNativeAcos</t>
  </si>
  <si>
    <t>checkNativeAcoshFloatFloat</t>
  </si>
  <si>
    <t>verifyResultsNativeAcoshFloatFloat</t>
  </si>
  <si>
    <t>checkNativeAcoshFloat2Float2</t>
  </si>
  <si>
    <t>verifyResultsNativeAcoshFloat2Float2</t>
  </si>
  <si>
    <t>checkNativeAcoshFloat3Float3</t>
  </si>
  <si>
    <t>verifyResultsNativeAcoshFloat3Float3</t>
  </si>
  <si>
    <t>checkNativeAcoshFloat4Float4</t>
  </si>
  <si>
    <t>verifyResultsNativeAcoshFloat4Float4</t>
  </si>
  <si>
    <t>testNativeAcosh</t>
  </si>
  <si>
    <t>checkNativeAcospiFloatFloat</t>
  </si>
  <si>
    <t>verifyResultsNativeAcospiFloatFloat</t>
  </si>
  <si>
    <t>checkNativeAcospiFloat2Float2</t>
  </si>
  <si>
    <t>verifyResultsNativeAcospiFloat2Float2</t>
  </si>
  <si>
    <t>checkNativeAcospiFloat3Float3</t>
  </si>
  <si>
    <t>verifyResultsNativeAcospiFloat3Float3</t>
  </si>
  <si>
    <t>checkNativeAcospiFloat4Float4</t>
  </si>
  <si>
    <t>verifyResultsNativeAcospiFloat4Float4</t>
  </si>
  <si>
    <t>testNativeAcospi</t>
  </si>
  <si>
    <t>checkNativeAsinFloatFloat</t>
  </si>
  <si>
    <t>verifyResultsNativeAsinFloatFloat</t>
  </si>
  <si>
    <t>checkNativeAsinFloat2Float2</t>
  </si>
  <si>
    <t>verifyResultsNativeAsinFloat2Float2</t>
  </si>
  <si>
    <t>checkNativeAsinFloat3Float3</t>
  </si>
  <si>
    <t>verifyResultsNativeAsinFloat3Float3</t>
  </si>
  <si>
    <t>checkNativeAsinFloat4Float4</t>
  </si>
  <si>
    <t>verifyResultsNativeAsinFloat4Float4</t>
  </si>
  <si>
    <t>testNativeAsin</t>
  </si>
  <si>
    <t>checkNativeAsinhFloatFloat</t>
  </si>
  <si>
    <t>verifyResultsNativeAsinhFloatFloat</t>
  </si>
  <si>
    <t>checkNativeAsinhFloat2Float2</t>
  </si>
  <si>
    <t>verifyResultsNativeAsinhFloat2Float2</t>
  </si>
  <si>
    <t>checkNativeAsinhFloat3Float3</t>
  </si>
  <si>
    <t>verifyResultsNativeAsinhFloat3Float3</t>
  </si>
  <si>
    <t>checkNativeAsinhFloat4Float4</t>
  </si>
  <si>
    <t>verifyResultsNativeAsinhFloat4Float4</t>
  </si>
  <si>
    <t>testNativeAsinh</t>
  </si>
  <si>
    <t>checkNativeAsinpiFloatFloat</t>
  </si>
  <si>
    <t>verifyResultsNativeAsinpiFloatFloat</t>
  </si>
  <si>
    <t>checkNativeAsinpiFloat2Float2</t>
  </si>
  <si>
    <t>verifyResultsNativeAsinpiFloat2Float2</t>
  </si>
  <si>
    <t>checkNativeAsinpiFloat3Float3</t>
  </si>
  <si>
    <t>verifyResultsNativeAsinpiFloat3Float3</t>
  </si>
  <si>
    <t>checkNativeAsinpiFloat4Float4</t>
  </si>
  <si>
    <t>verifyResultsNativeAsinpiFloat4Float4</t>
  </si>
  <si>
    <t>testNativeAsinpi</t>
  </si>
  <si>
    <t>checkNativeAtanFloatFloat</t>
  </si>
  <si>
    <t>verifyResultsNativeAtanFloatFloat</t>
  </si>
  <si>
    <t>checkNativeAtanFloat2Float2</t>
  </si>
  <si>
    <t>verifyResultsNativeAtanFloat2Float2</t>
  </si>
  <si>
    <t>checkNativeAtanFloat3Float3</t>
  </si>
  <si>
    <t>verifyResultsNativeAtanFloat3Float3</t>
  </si>
  <si>
    <t>checkNativeAtanFloat4Float4</t>
  </si>
  <si>
    <t>verifyResultsNativeAtanFloat4Float4</t>
  </si>
  <si>
    <t>testNativeAtan</t>
  </si>
  <si>
    <t>checkNativeAtan2FloatFloatFloat</t>
  </si>
  <si>
    <t>verifyResultsNativeAtan2FloatFloatFloat</t>
  </si>
  <si>
    <t>checkNativeAtan2Float2Float2Float2</t>
  </si>
  <si>
    <t>verifyResultsNativeAtan2Float2Float2Float2</t>
  </si>
  <si>
    <t>checkNativeAtan2Float3Float3Float3</t>
  </si>
  <si>
    <t>verifyResultsNativeAtan2Float3Float3Float3</t>
  </si>
  <si>
    <t>checkNativeAtan2Float4Float4Float4</t>
  </si>
  <si>
    <t>verifyResultsNativeAtan2Float4Float4Float4</t>
  </si>
  <si>
    <t>testNativeAtan2</t>
  </si>
  <si>
    <t>checkNativeAtan2piFloatFloatFloat</t>
  </si>
  <si>
    <t>verifyResultsNativeAtan2piFloatFloatFloat</t>
  </si>
  <si>
    <t>checkNativeAtan2piFloat2Float2Float2</t>
  </si>
  <si>
    <t>verifyResultsNativeAtan2piFloat2Float2Float2</t>
  </si>
  <si>
    <t>checkNativeAtan2piFloat3Float3Float3</t>
  </si>
  <si>
    <t>verifyResultsNativeAtan2piFloat3Float3Float3</t>
  </si>
  <si>
    <t>checkNativeAtan2piFloat4Float4Float4</t>
  </si>
  <si>
    <t>verifyResultsNativeAtan2piFloat4Float4Float4</t>
  </si>
  <si>
    <t>testNativeAtan2pi</t>
  </si>
  <si>
    <t>checkNativeAtanhFloatFloat</t>
  </si>
  <si>
    <t>verifyResultsNativeAtanhFloatFloat</t>
  </si>
  <si>
    <t>checkNativeAtanhFloat2Float2</t>
  </si>
  <si>
    <t>verifyResultsNativeAtanhFloat2Float2</t>
  </si>
  <si>
    <t>checkNativeAtanhFloat3Float3</t>
  </si>
  <si>
    <t>verifyResultsNativeAtanhFloat3Float3</t>
  </si>
  <si>
    <t>checkNativeAtanhFloat4Float4</t>
  </si>
  <si>
    <t>verifyResultsNativeAtanhFloat4Float4</t>
  </si>
  <si>
    <t>testNativeAtanh</t>
  </si>
  <si>
    <t>checkNativeAtanpiFloatFloat</t>
  </si>
  <si>
    <t>verifyResultsNativeAtanpiFloatFloat</t>
  </si>
  <si>
    <t>checkNativeAtanpiFloat2Float2</t>
  </si>
  <si>
    <t>verifyResultsNativeAtanpiFloat2Float2</t>
  </si>
  <si>
    <t>checkNativeAtanpiFloat3Float3</t>
  </si>
  <si>
    <t>verifyResultsNativeAtanpiFloat3Float3</t>
  </si>
  <si>
    <t>checkNativeAtanpiFloat4Float4</t>
  </si>
  <si>
    <t>verifyResultsNativeAtanpiFloat4Float4</t>
  </si>
  <si>
    <t>testNativeAtanpi</t>
  </si>
  <si>
    <t>checkNativeCbrtFloatFloat</t>
  </si>
  <si>
    <t>verifyResultsNativeCbrtFloatFloat</t>
  </si>
  <si>
    <t>checkNativeCbrtFloat2Float2</t>
  </si>
  <si>
    <t>verifyResultsNativeCbrtFloat2Float2</t>
  </si>
  <si>
    <t>checkNativeCbrtFloat3Float3</t>
  </si>
  <si>
    <t>verifyResultsNativeCbrtFloat3Float3</t>
  </si>
  <si>
    <t>checkNativeCbrtFloat4Float4</t>
  </si>
  <si>
    <t>verifyResultsNativeCbrtFloat4Float4</t>
  </si>
  <si>
    <t>testNativeCbrt</t>
  </si>
  <si>
    <t>checkNativeCosFloatFloat</t>
  </si>
  <si>
    <t>verifyResultsNativeCosFloatFloat</t>
  </si>
  <si>
    <t>checkNativeCosFloat2Float2</t>
  </si>
  <si>
    <t>verifyResultsNativeCosFloat2Float2</t>
  </si>
  <si>
    <t>checkNativeCosFloat3Float3</t>
  </si>
  <si>
    <t>verifyResultsNativeCosFloat3Float3</t>
  </si>
  <si>
    <t>checkNativeCosFloat4Float4</t>
  </si>
  <si>
    <t>verifyResultsNativeCosFloat4Float4</t>
  </si>
  <si>
    <t>testNativeCos</t>
  </si>
  <si>
    <t>checkNativeCoshFloatFloat</t>
  </si>
  <si>
    <t>verifyResultsNativeCoshFloatFloat</t>
  </si>
  <si>
    <t>checkNativeCoshFloat2Float2</t>
  </si>
  <si>
    <t>verifyResultsNativeCoshFloat2Float2</t>
  </si>
  <si>
    <t>checkNativeCoshFloat3Float3</t>
  </si>
  <si>
    <t>verifyResultsNativeCoshFloat3Float3</t>
  </si>
  <si>
    <t>checkNativeCoshFloat4Float4</t>
  </si>
  <si>
    <t>verifyResultsNativeCoshFloat4Float4</t>
  </si>
  <si>
    <t>testNativeCosh</t>
  </si>
  <si>
    <t>checkNativeCospiFloatFloat</t>
  </si>
  <si>
    <t>verifyResultsNativeCospiFloatFloat</t>
  </si>
  <si>
    <t>checkNativeCospiFloat2Float2</t>
  </si>
  <si>
    <t>verifyResultsNativeCospiFloat2Float2</t>
  </si>
  <si>
    <t>checkNativeCospiFloat3Float3</t>
  </si>
  <si>
    <t>verifyResultsNativeCospiFloat3Float3</t>
  </si>
  <si>
    <t>checkNativeCospiFloat4Float4</t>
  </si>
  <si>
    <t>verifyResultsNativeCospiFloat4Float4</t>
  </si>
  <si>
    <t>testNativeCospi</t>
  </si>
  <si>
    <t>checkNativeDistanceFloatFloatFloat</t>
  </si>
  <si>
    <t>verifyResultsNativeDistanceFloatFloatFloat</t>
  </si>
  <si>
    <t>checkNativeDistanceFloat2Float2Float</t>
  </si>
  <si>
    <t>verifyResultsNativeDistanceFloat2Float2Float</t>
  </si>
  <si>
    <t>checkNativeDistanceFloat3Float3Float</t>
  </si>
  <si>
    <t>verifyResultsNativeDistanceFloat3Float3Float</t>
  </si>
  <si>
    <t>checkNativeDistanceFloat4Float4Float</t>
  </si>
  <si>
    <t>verifyResultsNativeDistanceFloat4Float4Float</t>
  </si>
  <si>
    <t>testNativeDistance</t>
  </si>
  <si>
    <t>checkNativeDivideFloatFloatFloat</t>
  </si>
  <si>
    <t>verifyResultsNativeDivideFloatFloatFloat</t>
  </si>
  <si>
    <t>checkNativeDivideFloat2Float2Float2</t>
  </si>
  <si>
    <t>verifyResultsNativeDivideFloat2Float2Float2</t>
  </si>
  <si>
    <t>checkNativeDivideFloat3Float3Float3</t>
  </si>
  <si>
    <t>verifyResultsNativeDivideFloat3Float3Float3</t>
  </si>
  <si>
    <t>checkNativeDivideFloat4Float4Float4</t>
  </si>
  <si>
    <t>verifyResultsNativeDivideFloat4Float4Float4</t>
  </si>
  <si>
    <t>testNativeDivide</t>
  </si>
  <si>
    <t>checkNativeExpFloatFloat</t>
  </si>
  <si>
    <t>verifyResultsNativeExpFloatFloat</t>
  </si>
  <si>
    <t>checkNativeExpFloat2Float2</t>
  </si>
  <si>
    <t>verifyResultsNativeExpFloat2Float2</t>
  </si>
  <si>
    <t>checkNativeExpFloat3Float3</t>
  </si>
  <si>
    <t>verifyResultsNativeExpFloat3Float3</t>
  </si>
  <si>
    <t>checkNativeExpFloat4Float4</t>
  </si>
  <si>
    <t>verifyResultsNativeExpFloat4Float4</t>
  </si>
  <si>
    <t>testNativeExp</t>
  </si>
  <si>
    <t>checkNativeExp10FloatFloat</t>
  </si>
  <si>
    <t>verifyResultsNativeExp10FloatFloat</t>
  </si>
  <si>
    <t>checkNativeExp10Float2Float2</t>
  </si>
  <si>
    <t>verifyResultsNativeExp10Float2Float2</t>
  </si>
  <si>
    <t>checkNativeExp10Float3Float3</t>
  </si>
  <si>
    <t>verifyResultsNativeExp10Float3Float3</t>
  </si>
  <si>
    <t>checkNativeExp10Float4Float4</t>
  </si>
  <si>
    <t>verifyResultsNativeExp10Float4Float4</t>
  </si>
  <si>
    <t>testNativeExp10</t>
  </si>
  <si>
    <t>checkNativeExp2FloatFloat</t>
  </si>
  <si>
    <t>verifyResultsNativeExp2FloatFloat</t>
  </si>
  <si>
    <t>checkNativeExp2Float2Float2</t>
  </si>
  <si>
    <t>verifyResultsNativeExp2Float2Float2</t>
  </si>
  <si>
    <t>checkNativeExp2Float3Float3</t>
  </si>
  <si>
    <t>verifyResultsNativeExp2Float3Float3</t>
  </si>
  <si>
    <t>checkNativeExp2Float4Float4</t>
  </si>
  <si>
    <t>verifyResultsNativeExp2Float4Float4</t>
  </si>
  <si>
    <t>testNativeExp2</t>
  </si>
  <si>
    <t>checkNativeExpm1FloatFloat</t>
  </si>
  <si>
    <t>verifyResultsNativeExpm1FloatFloat</t>
  </si>
  <si>
    <t>checkNativeExpm1Float2Float2</t>
  </si>
  <si>
    <t>verifyResultsNativeExpm1Float2Float2</t>
  </si>
  <si>
    <t>checkNativeExpm1Float3Float3</t>
  </si>
  <si>
    <t>verifyResultsNativeExpm1Float3Float3</t>
  </si>
  <si>
    <t>checkNativeExpm1Float4Float4</t>
  </si>
  <si>
    <t>verifyResultsNativeExpm1Float4Float4</t>
  </si>
  <si>
    <t>testNativeExpm1</t>
  </si>
  <si>
    <t>checkNativeHypotFloatFloatFloat</t>
  </si>
  <si>
    <t>verifyResultsNativeHypotFloatFloatFloat</t>
  </si>
  <si>
    <t>checkNativeHypotFloat2Float2Float2</t>
  </si>
  <si>
    <t>verifyResultsNativeHypotFloat2Float2Float2</t>
  </si>
  <si>
    <t>checkNativeHypotFloat3Float3Float3</t>
  </si>
  <si>
    <t>verifyResultsNativeHypotFloat3Float3Float3</t>
  </si>
  <si>
    <t>checkNativeHypotFloat4Float4Float4</t>
  </si>
  <si>
    <t>verifyResultsNativeHypotFloat4Float4Float4</t>
  </si>
  <si>
    <t>testNativeHypot</t>
  </si>
  <si>
    <t>checkNativeLengthFloatFloat</t>
  </si>
  <si>
    <t>verifyResultsNativeLengthFloatFloat</t>
  </si>
  <si>
    <t>checkNativeLengthFloat2Float</t>
  </si>
  <si>
    <t>verifyResultsNativeLengthFloat2Float</t>
  </si>
  <si>
    <t>checkNativeLengthFloat3Float</t>
  </si>
  <si>
    <t>verifyResultsNativeLengthFloat3Float</t>
  </si>
  <si>
    <t>checkNativeLengthFloat4Float</t>
  </si>
  <si>
    <t>verifyResultsNativeLengthFloat4Float</t>
  </si>
  <si>
    <t>testNativeLength</t>
  </si>
  <si>
    <t>checkNativeLogFloatFloat</t>
  </si>
  <si>
    <t>verifyResultsNativeLogFloatFloat</t>
  </si>
  <si>
    <t>checkNativeLogFloat2Float2</t>
  </si>
  <si>
    <t>verifyResultsNativeLogFloat2Float2</t>
  </si>
  <si>
    <t>checkNativeLogFloat3Float3</t>
  </si>
  <si>
    <t>verifyResultsNativeLogFloat3Float3</t>
  </si>
  <si>
    <t>checkNativeLogFloat4Float4</t>
  </si>
  <si>
    <t>verifyResultsNativeLogFloat4Float4</t>
  </si>
  <si>
    <t>testNativeLog</t>
  </si>
  <si>
    <t>checkNativeLog10FloatFloat</t>
  </si>
  <si>
    <t>verifyResultsNativeLog10FloatFloat</t>
  </si>
  <si>
    <t>checkNativeLog10Float2Float2</t>
  </si>
  <si>
    <t>verifyResultsNativeLog10Float2Float2</t>
  </si>
  <si>
    <t>checkNativeLog10Float3Float3</t>
  </si>
  <si>
    <t>verifyResultsNativeLog10Float3Float3</t>
  </si>
  <si>
    <t>checkNativeLog10Float4Float4</t>
  </si>
  <si>
    <t>verifyResultsNativeLog10Float4Float4</t>
  </si>
  <si>
    <t>testNativeLog10</t>
  </si>
  <si>
    <t>checkNativeLog1pFloatFloat</t>
  </si>
  <si>
    <t>verifyResultsNativeLog1pFloatFloat</t>
  </si>
  <si>
    <t>checkNativeLog1pFloat2Float2</t>
  </si>
  <si>
    <t>verifyResultsNativeLog1pFloat2Float2</t>
  </si>
  <si>
    <t>checkNativeLog1pFloat3Float3</t>
  </si>
  <si>
    <t>verifyResultsNativeLog1pFloat3Float3</t>
  </si>
  <si>
    <t>checkNativeLog1pFloat4Float4</t>
  </si>
  <si>
    <t>verifyResultsNativeLog1pFloat4Float4</t>
  </si>
  <si>
    <t>testNativeLog1p</t>
  </si>
  <si>
    <t>checkNativeLog2FloatFloat</t>
  </si>
  <si>
    <t>verifyResultsNativeLog2FloatFloat</t>
  </si>
  <si>
    <t>checkNativeLog2Float2Float2</t>
  </si>
  <si>
    <t>verifyResultsNativeLog2Float2Float2</t>
  </si>
  <si>
    <t>checkNativeLog2Float3Float3</t>
  </si>
  <si>
    <t>verifyResultsNativeLog2Float3Float3</t>
  </si>
  <si>
    <t>checkNativeLog2Float4Float4</t>
  </si>
  <si>
    <t>verifyResultsNativeLog2Float4Float4</t>
  </si>
  <si>
    <t>testNativeLog2</t>
  </si>
  <si>
    <t>checkNativeNormalizeFloatFloat</t>
  </si>
  <si>
    <t>verifyResultsNativeNormalizeFloatFloat</t>
  </si>
  <si>
    <t>checkNativeNormalizeFloat2Float2</t>
  </si>
  <si>
    <t>verifyResultsNativeNormalizeFloat2Float2</t>
  </si>
  <si>
    <t>checkNativeNormalizeFloat3Float3</t>
  </si>
  <si>
    <t>verifyResultsNativeNormalizeFloat3Float3</t>
  </si>
  <si>
    <t>checkNativeNormalizeFloat4Float4</t>
  </si>
  <si>
    <t>verifyResultsNativeNormalizeFloat4Float4</t>
  </si>
  <si>
    <t>testNativeNormalize</t>
  </si>
  <si>
    <t>checkNativePowrFloatFloatFloat</t>
  </si>
  <si>
    <t>verifyResultsNativePowrFloatFloatFloat</t>
  </si>
  <si>
    <t>checkNativePowrFloat2Float2Float2</t>
  </si>
  <si>
    <t>verifyResultsNativePowrFloat2Float2Float2</t>
  </si>
  <si>
    <t>checkNativePowrFloat3Float3Float3</t>
  </si>
  <si>
    <t>verifyResultsNativePowrFloat3Float3Float3</t>
  </si>
  <si>
    <t>checkNativePowrFloat4Float4Float4</t>
  </si>
  <si>
    <t>verifyResultsNativePowrFloat4Float4Float4</t>
  </si>
  <si>
    <t>testNativePowr</t>
  </si>
  <si>
    <t>checkNativeRecipFloatFloat</t>
  </si>
  <si>
    <t>verifyResultsNativeRecipFloatFloat</t>
  </si>
  <si>
    <t>checkNativeRecipFloat2Float2</t>
  </si>
  <si>
    <t>verifyResultsNativeRecipFloat2Float2</t>
  </si>
  <si>
    <t>checkNativeRecipFloat3Float3</t>
  </si>
  <si>
    <t>verifyResultsNativeRecipFloat3Float3</t>
  </si>
  <si>
    <t>checkNativeRecipFloat4Float4</t>
  </si>
  <si>
    <t>verifyResultsNativeRecipFloat4Float4</t>
  </si>
  <si>
    <t>testNativeRecip</t>
  </si>
  <si>
    <t>checkNativeRootnFloatIntFloat</t>
  </si>
  <si>
    <t>verifyResultsNativeRootnFloatIntFloat</t>
  </si>
  <si>
    <t>checkNativeRootnFloat2Int2Float2</t>
  </si>
  <si>
    <t>verifyResultsNativeRootnFloat2Int2Float2</t>
  </si>
  <si>
    <t>checkNativeRootnFloat3Int3Float3</t>
  </si>
  <si>
    <t>verifyResultsNativeRootnFloat3Int3Float3</t>
  </si>
  <si>
    <t>checkNativeRootnFloat4Int4Float4</t>
  </si>
  <si>
    <t>verifyResultsNativeRootnFloat4Int4Float4</t>
  </si>
  <si>
    <t>testNativeRootn</t>
  </si>
  <si>
    <t>checkNativeRsqrtFloatFloat</t>
  </si>
  <si>
    <t>verifyResultsNativeRsqrtFloatFloat</t>
  </si>
  <si>
    <t>checkNativeRsqrtFloat2Float2</t>
  </si>
  <si>
    <t>verifyResultsNativeRsqrtFloat2Float2</t>
  </si>
  <si>
    <t>checkNativeRsqrtFloat3Float3</t>
  </si>
  <si>
    <t>verifyResultsNativeRsqrtFloat3Float3</t>
  </si>
  <si>
    <t>checkNativeRsqrtFloat4Float4</t>
  </si>
  <si>
    <t>verifyResultsNativeRsqrtFloat4Float4</t>
  </si>
  <si>
    <t>testNativeRsqrt</t>
  </si>
  <si>
    <t>checkNativeSinFloatFloat</t>
  </si>
  <si>
    <t>verifyResultsNativeSinFloatFloat</t>
  </si>
  <si>
    <t>checkNativeSinFloat2Float2</t>
  </si>
  <si>
    <t>verifyResultsNativeSinFloat2Float2</t>
  </si>
  <si>
    <t>checkNativeSinFloat3Float3</t>
  </si>
  <si>
    <t>verifyResultsNativeSinFloat3Float3</t>
  </si>
  <si>
    <t>checkNativeSinFloat4Float4</t>
  </si>
  <si>
    <t>verifyResultsNativeSinFloat4Float4</t>
  </si>
  <si>
    <t>testNativeSin</t>
  </si>
  <si>
    <t>checkNativeSincosFloatFloatFloat</t>
  </si>
  <si>
    <t>verifyResultsNativeSincosFloatFloatFloat</t>
  </si>
  <si>
    <t>checkNativeSincosFloat2Float2Float2</t>
  </si>
  <si>
    <t>verifyResultsNativeSincosFloat2Float2Float2</t>
  </si>
  <si>
    <t>checkNativeSincosFloat3Float3Float3</t>
  </si>
  <si>
    <t>verifyResultsNativeSincosFloat3Float3Float3</t>
  </si>
  <si>
    <t>checkNativeSincosFloat4Float4Float4</t>
  </si>
  <si>
    <t>verifyResultsNativeSincosFloat4Float4Float4</t>
  </si>
  <si>
    <t>testNativeSincos</t>
  </si>
  <si>
    <t>checkNativeSinhFloatFloat</t>
  </si>
  <si>
    <t>verifyResultsNativeSinhFloatFloat</t>
  </si>
  <si>
    <t>checkNativeSinhFloat2Float2</t>
  </si>
  <si>
    <t>verifyResultsNativeSinhFloat2Float2</t>
  </si>
  <si>
    <t>checkNativeSinhFloat3Float3</t>
  </si>
  <si>
    <t>verifyResultsNativeSinhFloat3Float3</t>
  </si>
  <si>
    <t>checkNativeSinhFloat4Float4</t>
  </si>
  <si>
    <t>verifyResultsNativeSinhFloat4Float4</t>
  </si>
  <si>
    <t>testNativeSinh</t>
  </si>
  <si>
    <t>checkNativeSinpiFloatFloat</t>
  </si>
  <si>
    <t>verifyResultsNativeSinpiFloatFloat</t>
  </si>
  <si>
    <t>checkNativeSinpiFloat2Float2</t>
  </si>
  <si>
    <t>verifyResultsNativeSinpiFloat2Float2</t>
  </si>
  <si>
    <t>checkNativeSinpiFloat3Float3</t>
  </si>
  <si>
    <t>verifyResultsNativeSinpiFloat3Float3</t>
  </si>
  <si>
    <t>checkNativeSinpiFloat4Float4</t>
  </si>
  <si>
    <t>verifyResultsNativeSinpiFloat4Float4</t>
  </si>
  <si>
    <t>testNativeSinpi</t>
  </si>
  <si>
    <t>checkNativeSqrtFloatFloat</t>
  </si>
  <si>
    <t>verifyResultsNativeSqrtFloatFloat</t>
  </si>
  <si>
    <t>checkNativeSqrtFloat2Float2</t>
  </si>
  <si>
    <t>verifyResultsNativeSqrtFloat2Float2</t>
  </si>
  <si>
    <t>checkNativeSqrtFloat3Float3</t>
  </si>
  <si>
    <t>verifyResultsNativeSqrtFloat3Float3</t>
  </si>
  <si>
    <t>checkNativeSqrtFloat4Float4</t>
  </si>
  <si>
    <t>verifyResultsNativeSqrtFloat4Float4</t>
  </si>
  <si>
    <t>testNativeSqrt</t>
  </si>
  <si>
    <t>checkNativeTanFloatFloat</t>
  </si>
  <si>
    <t>verifyResultsNativeTanFloatFloat</t>
  </si>
  <si>
    <t>checkNativeTanFloat2Float2</t>
  </si>
  <si>
    <t>verifyResultsNativeTanFloat2Float2</t>
  </si>
  <si>
    <t>checkNativeTanFloat3Float3</t>
  </si>
  <si>
    <t>verifyResultsNativeTanFloat3Float3</t>
  </si>
  <si>
    <t>checkNativeTanFloat4Float4</t>
  </si>
  <si>
    <t>verifyResultsNativeTanFloat4Float4</t>
  </si>
  <si>
    <t>testNativeTan</t>
  </si>
  <si>
    <t>checkNativeTanhFloatFloat</t>
  </si>
  <si>
    <t>verifyResultsNativeTanhFloatFloat</t>
  </si>
  <si>
    <t>checkNativeTanhFloat2Float2</t>
  </si>
  <si>
    <t>verifyResultsNativeTanhFloat2Float2</t>
  </si>
  <si>
    <t>checkNativeTanhFloat3Float3</t>
  </si>
  <si>
    <t>verifyResultsNativeTanhFloat3Float3</t>
  </si>
  <si>
    <t>checkNativeTanhFloat4Float4</t>
  </si>
  <si>
    <t>verifyResultsNativeTanhFloat4Float4</t>
  </si>
  <si>
    <t>testNativeTanh</t>
  </si>
  <si>
    <t>checkNativeTanpiFloatFloat</t>
  </si>
  <si>
    <t>verifyResultsNativeTanpiFloatFloat</t>
  </si>
  <si>
    <t>checkNativeTanpiFloat2Float2</t>
  </si>
  <si>
    <t>verifyResultsNativeTanpiFloat2Float2</t>
  </si>
  <si>
    <t>checkNativeTanpiFloat3Float3</t>
  </si>
  <si>
    <t>verifyResultsNativeTanpiFloat3Float3</t>
  </si>
  <si>
    <t>checkNativeTanpiFloat4Float4</t>
  </si>
  <si>
    <t>verifyResultsNativeTanpiFloat4Float4</t>
  </si>
  <si>
    <t>testNativeTanpi</t>
  </si>
  <si>
    <t>checkNextafterFloatFloatFloat</t>
  </si>
  <si>
    <t>verifyResultsNextafterFloatFloatFloat</t>
  </si>
  <si>
    <t>checkNextafterFloat2Float2Float2</t>
  </si>
  <si>
    <t>verifyResultsNextafterFloat2Float2Float2</t>
  </si>
  <si>
    <t>checkNextafterFloat3Float3Float3</t>
  </si>
  <si>
    <t>verifyResultsNextafterFloat3Float3Float3</t>
  </si>
  <si>
    <t>checkNextafterFloat4Float4Float4</t>
  </si>
  <si>
    <t>verifyResultsNextafterFloat4Float4Float4</t>
  </si>
  <si>
    <t>testNextafter</t>
  </si>
  <si>
    <t>checkNormalizeFloatFloat</t>
  </si>
  <si>
    <t>verifyResultsNormalizeFloatFloat</t>
  </si>
  <si>
    <t>checkNormalizeFloat2Float2</t>
  </si>
  <si>
    <t>verifyResultsNormalizeFloat2Float2</t>
  </si>
  <si>
    <t>checkNormalizeFloat3Float3</t>
  </si>
  <si>
    <t>verifyResultsNormalizeFloat3Float3</t>
  </si>
  <si>
    <t>checkNormalizeFloat4Float4</t>
  </si>
  <si>
    <t>verifyResultsNormalizeFloat4Float4</t>
  </si>
  <si>
    <t>checkPowFloatFloatFloat</t>
  </si>
  <si>
    <t>verifyResultsPowFloatFloatFloat</t>
  </si>
  <si>
    <t>checkPowFloat2Float2Float2</t>
  </si>
  <si>
    <t>verifyResultsPowFloat2Float2Float2</t>
  </si>
  <si>
    <t>checkPowFloat3Float3Float3</t>
  </si>
  <si>
    <t>verifyResultsPowFloat3Float3Float3</t>
  </si>
  <si>
    <t>checkPowFloat4Float4Float4</t>
  </si>
  <si>
    <t>verifyResultsPowFloat4Float4Float4</t>
  </si>
  <si>
    <t>testPow</t>
  </si>
  <si>
    <t>checkPownFloatIntFloat</t>
  </si>
  <si>
    <t>checkPownFloat2Int2Float2</t>
  </si>
  <si>
    <t>checkPownFloat3Int3Float3</t>
  </si>
  <si>
    <t>checkPownFloat4Int4Float4</t>
  </si>
  <si>
    <t>testPown</t>
  </si>
  <si>
    <t>checkPowrFloatFloatFloat</t>
  </si>
  <si>
    <t>verifyResultsPowrFloatFloatFloat</t>
  </si>
  <si>
    <t>checkPowrFloat2Float2Float2</t>
  </si>
  <si>
    <t>verifyResultsPowrFloat2Float2Float2</t>
  </si>
  <si>
    <t>checkPowrFloat3Float3Float3</t>
  </si>
  <si>
    <t>verifyResultsPowrFloat3Float3Float3</t>
  </si>
  <si>
    <t>checkPowrFloat4Float4Float4</t>
  </si>
  <si>
    <t>verifyResultsPowrFloat4Float4Float4</t>
  </si>
  <si>
    <t>testPowr</t>
  </si>
  <si>
    <t>checkRadiansFloatFloat</t>
  </si>
  <si>
    <t>verifyResultsRadiansFloatFloat</t>
  </si>
  <si>
    <t>checkRadiansFloat2Float2</t>
  </si>
  <si>
    <t>verifyResultsRadiansFloat2Float2</t>
  </si>
  <si>
    <t>checkRadiansFloat3Float3</t>
  </si>
  <si>
    <t>verifyResultsRadiansFloat3Float3</t>
  </si>
  <si>
    <t>checkRadiansFloat4Float4</t>
  </si>
  <si>
    <t>verifyResultsRadiansFloat4Float4</t>
  </si>
  <si>
    <t>testRadians</t>
  </si>
  <si>
    <t>checkRemainderFloatFloatFloat</t>
  </si>
  <si>
    <t>verifyResultsRemainderFloatFloatFloat</t>
  </si>
  <si>
    <t>checkRemainderFloat2Float2Float2</t>
  </si>
  <si>
    <t>verifyResultsRemainderFloat2Float2Float2</t>
  </si>
  <si>
    <t>checkRemainderFloat3Float3Float3</t>
  </si>
  <si>
    <t>verifyResultsRemainderFloat3Float3Float3</t>
  </si>
  <si>
    <t>checkRemainderFloat4Float4Float4</t>
  </si>
  <si>
    <t>verifyResultsRemainderFloat4Float4Float4</t>
  </si>
  <si>
    <t>testRemainder</t>
  </si>
  <si>
    <t>checkRemquoFloatFloatIntFloat</t>
  </si>
  <si>
    <t>verifyResultsRemquoFloatFloatIntFloat</t>
  </si>
  <si>
    <t>checkRemquoFloat2Float2Int2Float2</t>
  </si>
  <si>
    <t>verifyResultsRemquoFloat2Float2Int2Float2</t>
  </si>
  <si>
    <t>checkRemquoFloat3Float3Int3Float3</t>
  </si>
  <si>
    <t>verifyResultsRemquoFloat3Float3Int3Float3</t>
  </si>
  <si>
    <t>checkRemquoFloat4Float4Int4Float4</t>
  </si>
  <si>
    <t>verifyResultsRemquoFloat4Float4Int4Float4</t>
  </si>
  <si>
    <t>testRemquo</t>
  </si>
  <si>
    <t>checkRintFloatFloat</t>
  </si>
  <si>
    <t>verifyResultsRintFloatFloat</t>
  </si>
  <si>
    <t>checkRintFloat2Float2</t>
  </si>
  <si>
    <t>verifyResultsRintFloat2Float2</t>
  </si>
  <si>
    <t>checkRintFloat3Float3</t>
  </si>
  <si>
    <t>verifyResultsRintFloat3Float3</t>
  </si>
  <si>
    <t>checkRintFloat4Float4</t>
  </si>
  <si>
    <t>verifyResultsRintFloat4Float4</t>
  </si>
  <si>
    <t>testRint</t>
  </si>
  <si>
    <t>checkRootnFloatIntFloat</t>
  </si>
  <si>
    <t>checkRootnFloat2Int2Float2</t>
  </si>
  <si>
    <t>checkRootnFloat3Int3Float3</t>
  </si>
  <si>
    <t>checkRootnFloat4Int4Float4</t>
  </si>
  <si>
    <t>testRootn</t>
  </si>
  <si>
    <t>checkRoundFloatFloat</t>
  </si>
  <si>
    <t>verifyResultsRoundFloatFloat</t>
  </si>
  <si>
    <t>checkRoundFloat2Float2</t>
  </si>
  <si>
    <t>verifyResultsRoundFloat2Float2</t>
  </si>
  <si>
    <t>checkRoundFloat3Float3</t>
  </si>
  <si>
    <t>verifyResultsRoundFloat3Float3</t>
  </si>
  <si>
    <t>checkRoundFloat4Float4</t>
  </si>
  <si>
    <t>verifyResultsRoundFloat4Float4</t>
  </si>
  <si>
    <t>testRound</t>
  </si>
  <si>
    <t>checkRsqrtFloatFloat</t>
  </si>
  <si>
    <t>verifyResultsRsqrtFloatFloat</t>
  </si>
  <si>
    <t>checkRsqrtFloat2Float2</t>
  </si>
  <si>
    <t>verifyResultsRsqrtFloat2Float2</t>
  </si>
  <si>
    <t>checkRsqrtFloat3Float3</t>
  </si>
  <si>
    <t>verifyResultsRsqrtFloat3Float3</t>
  </si>
  <si>
    <t>checkRsqrtFloat4Float4</t>
  </si>
  <si>
    <t>verifyResultsRsqrtFloat4Float4</t>
  </si>
  <si>
    <t>testRsqrt</t>
  </si>
  <si>
    <t>checkSignFloatFloat</t>
  </si>
  <si>
    <t>verifyResultsSignFloatFloat</t>
  </si>
  <si>
    <t>checkSignFloat2Float2</t>
  </si>
  <si>
    <t>verifyResultsSignFloat2Float2</t>
  </si>
  <si>
    <t>checkSignFloat3Float3</t>
  </si>
  <si>
    <t>verifyResultsSignFloat3Float3</t>
  </si>
  <si>
    <t>checkSignFloat4Float4</t>
  </si>
  <si>
    <t>verifyResultsSignFloat4Float4</t>
  </si>
  <si>
    <t>testSign</t>
  </si>
  <si>
    <t>checkSinFloatFloat</t>
  </si>
  <si>
    <t>verifyResultsSinFloatFloat</t>
  </si>
  <si>
    <t>checkSinFloat2Float2</t>
  </si>
  <si>
    <t>verifyResultsSinFloat2Float2</t>
  </si>
  <si>
    <t>checkSinFloat3Float3</t>
  </si>
  <si>
    <t>verifyResultsSinFloat3Float3</t>
  </si>
  <si>
    <t>checkSinFloat4Float4</t>
  </si>
  <si>
    <t>verifyResultsSinFloat4Float4</t>
  </si>
  <si>
    <t>testSin</t>
  </si>
  <si>
    <t>checkSincosFloatFloatFloat</t>
  </si>
  <si>
    <t>verifyResultsSincosFloatFloatFloat</t>
  </si>
  <si>
    <t>checkSincosFloat2Float2Float2</t>
  </si>
  <si>
    <t>verifyResultsSincosFloat2Float2Float2</t>
  </si>
  <si>
    <t>checkSincosFloat3Float3Float3</t>
  </si>
  <si>
    <t>verifyResultsSincosFloat3Float3Float3</t>
  </si>
  <si>
    <t>checkSincosFloat4Float4Float4</t>
  </si>
  <si>
    <t>verifyResultsSincosFloat4Float4Float4</t>
  </si>
  <si>
    <t>testSincos</t>
  </si>
  <si>
    <t>checkSinhFloatFloat</t>
  </si>
  <si>
    <t>verifyResultsSinhFloatFloat</t>
  </si>
  <si>
    <t>checkSinhFloat2Float2</t>
  </si>
  <si>
    <t>verifyResultsSinhFloat2Float2</t>
  </si>
  <si>
    <t>checkSinhFloat3Float3</t>
  </si>
  <si>
    <t>verifyResultsSinhFloat3Float3</t>
  </si>
  <si>
    <t>checkSinhFloat4Float4</t>
  </si>
  <si>
    <t>verifyResultsSinhFloat4Float4</t>
  </si>
  <si>
    <t>testSinh</t>
  </si>
  <si>
    <t>checkSinpiFloatFloat</t>
  </si>
  <si>
    <t>verifyResultsSinpiFloatFloat</t>
  </si>
  <si>
    <t>checkSinpiFloat2Float2</t>
  </si>
  <si>
    <t>verifyResultsSinpiFloat2Float2</t>
  </si>
  <si>
    <t>checkSinpiFloat3Float3</t>
  </si>
  <si>
    <t>verifyResultsSinpiFloat3Float3</t>
  </si>
  <si>
    <t>checkSinpiFloat4Float4</t>
  </si>
  <si>
    <t>verifyResultsSinpiFloat4Float4</t>
  </si>
  <si>
    <t>testSinpi</t>
  </si>
  <si>
    <t>checkSqrtFloatFloat</t>
  </si>
  <si>
    <t>verifyResultsSqrtFloatFloat</t>
  </si>
  <si>
    <t>checkSqrtFloat2Float2</t>
  </si>
  <si>
    <t>verifyResultsSqrtFloat2Float2</t>
  </si>
  <si>
    <t>checkSqrtFloat3Float3</t>
  </si>
  <si>
    <t>verifyResultsSqrtFloat3Float3</t>
  </si>
  <si>
    <t>checkSqrtFloat4Float4</t>
  </si>
  <si>
    <t>verifyResultsSqrtFloat4Float4</t>
  </si>
  <si>
    <t>testSqrt</t>
  </si>
  <si>
    <t>checkStepFloatFloatFloat</t>
  </si>
  <si>
    <t>verifyResultsStepFloatFloatFloat</t>
  </si>
  <si>
    <t>checkStepFloat2Float2Float2</t>
  </si>
  <si>
    <t>verifyResultsStepFloat2Float2Float2</t>
  </si>
  <si>
    <t>checkStepFloat3Float3Float3</t>
  </si>
  <si>
    <t>verifyResultsStepFloat3Float3Float3</t>
  </si>
  <si>
    <t>checkStepFloat4Float4Float4</t>
  </si>
  <si>
    <t>verifyResultsStepFloat4Float4Float4</t>
  </si>
  <si>
    <t>checkStepFloat2FloatFloat2</t>
  </si>
  <si>
    <t>verifyResultsStepFloat2FloatFloat2</t>
  </si>
  <si>
    <t>checkStepFloat3FloatFloat3</t>
  </si>
  <si>
    <t>verifyResultsStepFloat3FloatFloat3</t>
  </si>
  <si>
    <t>checkStepFloat4FloatFloat4</t>
  </si>
  <si>
    <t>verifyResultsStepFloat4FloatFloat4</t>
  </si>
  <si>
    <t>checkStepFloatFloat2Float2</t>
  </si>
  <si>
    <t>verifyResultsStepFloatFloat2Float2</t>
  </si>
  <si>
    <t>checkStepFloatFloat3Float3</t>
  </si>
  <si>
    <t>verifyResultsStepFloatFloat3Float3</t>
  </si>
  <si>
    <t>checkStepFloatFloat4Float4</t>
  </si>
  <si>
    <t>verifyResultsStepFloatFloat4Float4</t>
  </si>
  <si>
    <t>testStep</t>
  </si>
  <si>
    <t>checkTanFloatFloat</t>
  </si>
  <si>
    <t>verifyResultsTanFloatFloat</t>
  </si>
  <si>
    <t>checkTanFloat2Float2</t>
  </si>
  <si>
    <t>verifyResultsTanFloat2Float2</t>
  </si>
  <si>
    <t>checkTanFloat3Float3</t>
  </si>
  <si>
    <t>verifyResultsTanFloat3Float3</t>
  </si>
  <si>
    <t>checkTanFloat4Float4</t>
  </si>
  <si>
    <t>verifyResultsTanFloat4Float4</t>
  </si>
  <si>
    <t>testTan</t>
  </si>
  <si>
    <t>checkTanhFloatFloat</t>
  </si>
  <si>
    <t>verifyResultsTanhFloatFloat</t>
  </si>
  <si>
    <t>checkTanhFloat2Float2</t>
  </si>
  <si>
    <t>verifyResultsTanhFloat2Float2</t>
  </si>
  <si>
    <t>checkTanhFloat3Float3</t>
  </si>
  <si>
    <t>verifyResultsTanhFloat3Float3</t>
  </si>
  <si>
    <t>checkTanhFloat4Float4</t>
  </si>
  <si>
    <t>verifyResultsTanhFloat4Float4</t>
  </si>
  <si>
    <t>testTanh</t>
  </si>
  <si>
    <t>checkTanpiFloatFloat</t>
  </si>
  <si>
    <t>verifyResultsTanpiFloatFloat</t>
  </si>
  <si>
    <t>checkTanpiFloat2Float2</t>
  </si>
  <si>
    <t>verifyResultsTanpiFloat2Float2</t>
  </si>
  <si>
    <t>checkTanpiFloat3Float3</t>
  </si>
  <si>
    <t>verifyResultsTanpiFloat3Float3</t>
  </si>
  <si>
    <t>checkTanpiFloat4Float4</t>
  </si>
  <si>
    <t>verifyResultsTanpiFloat4Float4</t>
  </si>
  <si>
    <t>testTanpi</t>
  </si>
  <si>
    <t>checkTgammaFloatFloat</t>
  </si>
  <si>
    <t>verifyResultsTgammaFloatFloat</t>
  </si>
  <si>
    <t>checkTgammaFloat2Float2</t>
  </si>
  <si>
    <t>verifyResultsTgammaFloat2Float2</t>
  </si>
  <si>
    <t>checkTgammaFloat3Float3</t>
  </si>
  <si>
    <t>verifyResultsTgammaFloat3Float3</t>
  </si>
  <si>
    <t>checkTgammaFloat4Float4</t>
  </si>
  <si>
    <t>verifyResultsTgammaFloat4Float4</t>
  </si>
  <si>
    <t>testTgamma</t>
  </si>
  <si>
    <t>checkTruncFloatFloat</t>
  </si>
  <si>
    <t>verifyResultsTruncFloatFloat</t>
  </si>
  <si>
    <t>checkTruncFloat2Float2</t>
  </si>
  <si>
    <t>verifyResultsTruncFloat2Float2</t>
  </si>
  <si>
    <t>checkTruncFloat3Float3</t>
  </si>
  <si>
    <t>verifyResultsTruncFloat3Float3</t>
  </si>
  <si>
    <t>checkTruncFloat4Float4</t>
  </si>
  <si>
    <t>verifyResultsTruncFloat4Float4</t>
  </si>
  <si>
    <t>testTrunc</t>
  </si>
  <si>
    <t>prepareCaptureRequestForSurfaces</t>
  </si>
  <si>
    <t>getAvg</t>
  </si>
  <si>
    <t>getAvgAbs</t>
  </si>
  <si>
    <t>getMaxAbs</t>
  </si>
  <si>
    <t>get</t>
  </si>
  <si>
    <t>MakeSomethingAsynchronouslyAndLoop</t>
  </si>
  <si>
    <t>make</t>
  </si>
  <si>
    <t>join</t>
  </si>
  <si>
    <t>testRSAllocationCopy</t>
  </si>
  <si>
    <t>testRSAllocationCopy1D</t>
  </si>
  <si>
    <t>testRSAllocationCopy2D</t>
  </si>
  <si>
    <t>testRSAllocationCopy3D</t>
  </si>
  <si>
    <t>testRSAllocationCopy1DPadded</t>
  </si>
  <si>
    <t>testRSAllocationCopy2DPadded</t>
  </si>
  <si>
    <t>testRSAllocationCopy3DPadded</t>
  </si>
  <si>
    <t>testOnStateChange</t>
  </si>
  <si>
    <t>MockLayerDrawable</t>
  </si>
  <si>
    <t>onStateChange</t>
  </si>
  <si>
    <t>hasCalledOnBoundsChange</t>
  </si>
  <si>
    <t>assertNotInAttribute</t>
  </si>
  <si>
    <t>testMLSAttributes</t>
  </si>
  <si>
    <t>testValidSeappContexts</t>
  </si>
  <si>
    <t>assertFileStartsWith</t>
  </si>
  <si>
    <t>testAospSeappContexts</t>
  </si>
  <si>
    <t>testAospFileContexts</t>
  </si>
  <si>
    <t>testAospPropertyContexts</t>
  </si>
  <si>
    <t>testAospServiceContexts</t>
  </si>
  <si>
    <t>testValidFileContexts</t>
  </si>
  <si>
    <t>testValidPropertyContexts</t>
  </si>
  <si>
    <t>testValidServiceContexts</t>
  </si>
  <si>
    <t>testNoBooleans</t>
  </si>
  <si>
    <t>createProcMap</t>
  </si>
  <si>
    <t>getProcMap</t>
  </si>
  <si>
    <t>testKeyStore_Encrypting_RSA_NONE_NOPADDING</t>
  </si>
  <si>
    <t>testDecodeMonoGsm</t>
  </si>
  <si>
    <t>testInstall</t>
  </si>
  <si>
    <t>testSecondEquivalentInstallDoesNothing</t>
  </si>
  <si>
    <t>testInstallClosesPreviouslyInstalled</t>
  </si>
  <si>
    <t>testGetInstalledWithWrongTypeInstalled</t>
  </si>
  <si>
    <t>testCloseCloses</t>
  </si>
  <si>
    <t>testCloseUninstalls</t>
  </si>
  <si>
    <t>testDeleteUninstalls</t>
  </si>
  <si>
    <t>testStatisticsTracking</t>
  </si>
  <si>
    <t>initializeCache</t>
  </si>
  <si>
    <t>testHardwareNameIsSet</t>
  </si>
  <si>
    <t>makeOutput_f4</t>
  </si>
  <si>
    <t>test_YV12_Float4</t>
  </si>
  <si>
    <t>test_NV21_Float4</t>
  </si>
  <si>
    <t>testARTASLR</t>
  </si>
  <si>
    <t>testCTSIsUntrustedApp</t>
  </si>
  <si>
    <t>isCDMA112</t>
  </si>
  <si>
    <t>maybeInitializeSystemLocales</t>
  </si>
  <si>
    <t>testNfcEnabledDuringSetupWizard</t>
  </si>
  <si>
    <t>testManagedProvisioningMimeTypeAccepted</t>
  </si>
  <si>
    <t>getStringArrayByName</t>
  </si>
  <si>
    <t>getBooleanByName</t>
  </si>
  <si>
    <t>getNfcResources</t>
  </si>
  <si>
    <t>isPackageInstalledOnSystemImage</t>
  </si>
  <si>
    <t>testAudioRecordRateFF</t>
  </si>
  <si>
    <t>testAudioRecordRateTF</t>
  </si>
  <si>
    <t>testAudioRecordRateFT</t>
  </si>
  <si>
    <t>testAudioRecordRateTT</t>
  </si>
  <si>
    <t>testSetDataSourceNull</t>
  </si>
  <si>
    <t>testPlayNullSource</t>
  </si>
  <si>
    <t>testLowRamProductProperty</t>
  </si>
  <si>
    <t>totalAvailableSystemMemory</t>
  </si>
  <si>
    <t>testKeyPairGenerator_GenerateKeyPair_DSA_Unencrypted_Success</t>
  </si>
  <si>
    <t>testKeyPairGenerator_GenerateKeyPair_DSA_2048_Unencrypted_Success</t>
  </si>
  <si>
    <t>testKeyPairGenerator_GenerateKeyPair_DSA_SpecifiedParams_Unencrypted_Success</t>
  </si>
  <si>
    <t>makeUserDsaKey1</t>
  </si>
  <si>
    <t>testKeyStore_GetEntry_DSA_NullParams_Unencrypted_Success</t>
  </si>
  <si>
    <t>setupPreviewSurface</t>
  </si>
  <si>
    <t>bufferAccessAfterRelease</t>
  </si>
  <si>
    <t>H263QcifLongPlayerTest</t>
  </si>
  <si>
    <t>H263QcifShortPlayerTest</t>
  </si>
  <si>
    <t>H264R1080pAacLongPlayerTest</t>
  </si>
  <si>
    <t>H264R1080pAacRepeatedPlayerTest</t>
  </si>
  <si>
    <t>H264R1080pAacShortPlayerTest</t>
  </si>
  <si>
    <t>H264R480pAacLongPlayerTest</t>
  </si>
  <si>
    <t>H264R480pAacShortPlayerTest</t>
  </si>
  <si>
    <t>H264R480x360AacShortPlayerTest</t>
  </si>
  <si>
    <t>H264R720pAacLongPlayerTest</t>
  </si>
  <si>
    <t>H264R720pAacShortPlayerTest</t>
  </si>
  <si>
    <t>HEVCR1080pAacLongPlayerTest</t>
  </si>
  <si>
    <t>HEVCR1080pAacRepeatedPlayerTest</t>
  </si>
  <si>
    <t>HEVCR1080pAacShortPlayerTest</t>
  </si>
  <si>
    <t>HEVCR480pAacLongPlayerTest</t>
  </si>
  <si>
    <t>HEVCR480pAacShortPlayerTest</t>
  </si>
  <si>
    <t>HEVCR480x360AacShortPlayerTest</t>
  </si>
  <si>
    <t>HEVCR720pAacLongPlayerTest</t>
  </si>
  <si>
    <t>HEVCR720pAacShortPlayerTest</t>
  </si>
  <si>
    <t>MediaPlayerStressTest</t>
  </si>
  <si>
    <t>Vp8R480x360LongPlayerTest</t>
  </si>
  <si>
    <t>Vp8R480x360ShortPlayerTest</t>
  </si>
  <si>
    <t>testValidFile</t>
  </si>
  <si>
    <t>testInvalidFileA</t>
  </si>
  <si>
    <t>testInvalidFileB</t>
  </si>
  <si>
    <t>runScanner</t>
  </si>
  <si>
    <t>testSingleTestNamesCase</t>
  </si>
  <si>
    <t>testMultipleTestNamesCase</t>
  </si>
  <si>
    <t>testMissingTestCaseNameCase</t>
  </si>
  <si>
    <t>TestListParser</t>
  </si>
  <si>
    <t>hasTestSuite</t>
  </si>
  <si>
    <t>testValid</t>
  </si>
  <si>
    <t>testInvalidA</t>
  </si>
  <si>
    <t>testInvalidB</t>
  </si>
  <si>
    <t>testTestListParserInvalidFormat</t>
  </si>
  <si>
    <t>testTestListParserSuiteExpected</t>
  </si>
  <si>
    <t>testTestListParserCaseExpected</t>
  </si>
  <si>
    <t>runGenerator</t>
  </si>
  <si>
    <t>runTestListParser</t>
  </si>
  <si>
    <t>getValueNotNull</t>
  </si>
  <si>
    <t>testAudioRecordByteBufferAuditResamplerStereoFloat</t>
  </si>
  <si>
    <t>getWritableDirectoryiesAndSubdirectoriesOf</t>
  </si>
  <si>
    <t>testBuilder_MissingSubjectDN_Failure</t>
  </si>
  <si>
    <t>testBuilder_MissingSerialNumber_Failure</t>
  </si>
  <si>
    <t>testBuilder_MissingStartDate_Failure</t>
  </si>
  <si>
    <t>testBuilder_MissingEndDate_Failure</t>
  </si>
  <si>
    <t>checkRecordingState</t>
  </si>
  <si>
    <t>testFloatMathMethods</t>
  </si>
  <si>
    <t>blockingCaptureImage</t>
  </si>
  <si>
    <t>testAvc0176x0144Other</t>
  </si>
  <si>
    <t>testAvc0176x0144Goog</t>
  </si>
  <si>
    <t>testAvc0352x0288Other</t>
  </si>
  <si>
    <t>testAvc0352x0288Goog</t>
  </si>
  <si>
    <t>testAvc1920x1072Other</t>
  </si>
  <si>
    <t>testAvc1920x1072Goog</t>
  </si>
  <si>
    <t>testAddOnSubscriptionsChangedListener</t>
  </si>
  <si>
    <t>testRemoveOnSubscriptionsChangedListener</t>
  </si>
  <si>
    <t>onInputImageReleased</t>
  </si>
  <si>
    <t>waitForImageReleassed</t>
  </si>
  <si>
    <t>testBuilder_MissingSubjectDN_Success</t>
  </si>
  <si>
    <t>testBuilder_MissingSerialNumber_Success</t>
  </si>
  <si>
    <t>testBuilder_MissingStartDate_Success</t>
  </si>
  <si>
    <t>testBuilder_MissingEndDate_Success</t>
  </si>
  <si>
    <t>setupReprocessibleSession</t>
  </si>
  <si>
    <t>testSetPlaybackRateFail</t>
  </si>
  <si>
    <t>testSetPlaybackRateSucceed</t>
  </si>
  <si>
    <t>testAuthorization_contact1</t>
  </si>
  <si>
    <t>testAuthorization_contact2</t>
  </si>
  <si>
    <t>testAuthorization_profile</t>
  </si>
  <si>
    <t>getPreAuthorizedUri</t>
  </si>
  <si>
    <t>setupTwoContacts</t>
  </si>
  <si>
    <t>testKeysChange</t>
  </si>
  <si>
    <t>createSoundDataInByteArray</t>
  </si>
  <si>
    <t>createSoundDataInShortArray</t>
  </si>
  <si>
    <t>createSoundDataInFloatArray</t>
  </si>
  <si>
    <t>WebGLTest</t>
  </si>
  <si>
    <t>test_conformance_attribs_gl_enable_vertex_attrib_html</t>
  </si>
  <si>
    <t>test_conformance_attribs_gl_vertex_attrib_zero_issues_html</t>
  </si>
  <si>
    <t>test_conformance_attribs_gl_vertex_attrib_html</t>
  </si>
  <si>
    <t>test_conformance_attribs_gl_vertexattribpointer_offsets_html</t>
  </si>
  <si>
    <t>test_conformance_attribs_gl_vertexattribpointer_html</t>
  </si>
  <si>
    <t>test_conformance_buffers_buffer_bind_test_html</t>
  </si>
  <si>
    <t>test_conformance_buffers_buffer_data_array_buffer_html</t>
  </si>
  <si>
    <t>test_conformance_buffers_index_validation_copies_indices_html</t>
  </si>
  <si>
    <t>test_conformance_buffers_index_validation_crash_with_buffer_sub_data_html</t>
  </si>
  <si>
    <t>test_conformance_buffers_index_validation_verifies_too_many_indices_html</t>
  </si>
  <si>
    <t>test_conformance_buffers_index_validation_with_resized_buffer_html</t>
  </si>
  <si>
    <t>test_conformance_buffers_index_validation_html</t>
  </si>
  <si>
    <t>test_conformance_canvas_buffer_offscreen_test_html</t>
  </si>
  <si>
    <t>test_conformance_canvas_buffer_preserve_test_html</t>
  </si>
  <si>
    <t>test_conformance_canvas_canvas_test_html</t>
  </si>
  <si>
    <t>test_conformance_canvas_canvas_zero_size_html</t>
  </si>
  <si>
    <t>test_conformance_canvas_drawingbuffer_static_canvas_test_html</t>
  </si>
  <si>
    <t>test_conformance_canvas_drawingbuffer_test_html</t>
  </si>
  <si>
    <t>test_conformance_canvas_viewport_unchanged_upon_resize_html</t>
  </si>
  <si>
    <t>test_conformance_context_constants_and_properties_html</t>
  </si>
  <si>
    <t>test_conformance_context_context_attributes_alpha_depth_stencil_antialias_html</t>
  </si>
  <si>
    <t>test_conformance_context_context_lost_restored_html</t>
  </si>
  <si>
    <t>test_conformance_context_context_lost_html</t>
  </si>
  <si>
    <t>test_conformance_context_context_type_test_html</t>
  </si>
  <si>
    <t>test_conformance_context_incorrect_context_object_behaviour_html</t>
  </si>
  <si>
    <t>test_conformance_context_methods_html</t>
  </si>
  <si>
    <t>test_conformance_context_premultiplyalpha_test_html</t>
  </si>
  <si>
    <t>test_conformance_context_resource_sharing_test_html</t>
  </si>
  <si>
    <t>test_conformance_extensions_oes_standard_derivatives_html</t>
  </si>
  <si>
    <t>test_conformance_extensions_oes_texture_float_with_canvas_html</t>
  </si>
  <si>
    <t>test_conformance_extensions_oes_texture_float_with_image_data_html</t>
  </si>
  <si>
    <t>test_conformance_extensions_oes_texture_float_with_image_html</t>
  </si>
  <si>
    <t>test_conformance_extensions_oes_texture_float_with_video_html</t>
  </si>
  <si>
    <t>test_conformance_extensions_oes_texture_float_html</t>
  </si>
  <si>
    <t>test_conformance_extensions_oes_vertex_array_object_html</t>
  </si>
  <si>
    <t>test_conformance_extensions_webgl_debug_renderer_info_html</t>
  </si>
  <si>
    <t>test_conformance_extensions_webgl_debug_shaders_html</t>
  </si>
  <si>
    <t>test_conformance_glsl_functions_glsl_function_abs_html</t>
  </si>
  <si>
    <t>test_conformance_glsl_functions_glsl_function_acos_html</t>
  </si>
  <si>
    <t>test_conformance_glsl_functions_glsl_function_asin_html</t>
  </si>
  <si>
    <t>test_conformance_glsl_functions_glsl_function_atan_xy_html</t>
  </si>
  <si>
    <t>test_conformance_glsl_functions_glsl_function_atan_html</t>
  </si>
  <si>
    <t>test_conformance_glsl_functions_glsl_function_ceil_html</t>
  </si>
  <si>
    <t>test_conformance_glsl_functions_glsl_function_clamp_float_html</t>
  </si>
  <si>
    <t>test_conformance_glsl_functions_glsl_function_clamp_gentype_html</t>
  </si>
  <si>
    <t>test_conformance_glsl_functions_glsl_function_cos_html</t>
  </si>
  <si>
    <t>test_conformance_glsl_functions_glsl_function_cross_html</t>
  </si>
  <si>
    <t>test_conformance_glsl_functions_glsl_function_distance_html</t>
  </si>
  <si>
    <t>test_conformance_glsl_functions_glsl_function_dot_html</t>
  </si>
  <si>
    <t>test_conformance_glsl_functions_glsl_function_faceforward_html</t>
  </si>
  <si>
    <t>test_conformance_glsl_functions_glsl_function_floor_html</t>
  </si>
  <si>
    <t>test_conformance_glsl_functions_glsl_function_fract_html</t>
  </si>
  <si>
    <t>test_conformance_glsl_functions_glsl_function_length_html</t>
  </si>
  <si>
    <t>test_conformance_glsl_functions_glsl_function_max_float_html</t>
  </si>
  <si>
    <t>test_conformance_glsl_functions_glsl_function_max_gentype_html</t>
  </si>
  <si>
    <t>test_conformance_glsl_functions_glsl_function_min_float_html</t>
  </si>
  <si>
    <t>test_conformance_glsl_functions_glsl_function_min_gentype_html</t>
  </si>
  <si>
    <t>test_conformance_glsl_functions_glsl_function_mix_float_html</t>
  </si>
  <si>
    <t>test_conformance_glsl_functions_glsl_function_mix_gentype_html</t>
  </si>
  <si>
    <t>test_conformance_glsl_functions_glsl_function_mod_float_html</t>
  </si>
  <si>
    <t>test_conformance_glsl_functions_glsl_function_mod_gentype_html</t>
  </si>
  <si>
    <t>test_conformance_glsl_functions_glsl_function_normalize_html</t>
  </si>
  <si>
    <t>test_conformance_glsl_functions_glsl_function_reflect_html</t>
  </si>
  <si>
    <t>test_conformance_glsl_functions_glsl_function_sign_html</t>
  </si>
  <si>
    <t>test_conformance_glsl_functions_glsl_function_sin_html</t>
  </si>
  <si>
    <t>test_conformance_glsl_functions_glsl_function_smoothstep_float_html</t>
  </si>
  <si>
    <t>test_conformance_glsl_functions_glsl_function_smoothstep_gentype_html</t>
  </si>
  <si>
    <t>test_conformance_glsl_functions_glsl_function_step_float_html</t>
  </si>
  <si>
    <t>test_conformance_glsl_functions_glsl_function_step_gentype_html</t>
  </si>
  <si>
    <t>test_conformance_glsl_functions_glsl_function_html</t>
  </si>
  <si>
    <t>test_conformance_glsl_implicit_add_int_float_vert_html</t>
  </si>
  <si>
    <t>test_conformance_glsl_implicit_add_int_mat2_vert_html</t>
  </si>
  <si>
    <t>test_conformance_glsl_implicit_add_int_mat3_vert_html</t>
  </si>
  <si>
    <t>test_conformance_glsl_implicit_add_int_mat4_vert_html</t>
  </si>
  <si>
    <t>test_conformance_glsl_implicit_add_int_vec2_vert_html</t>
  </si>
  <si>
    <t>test_conformance_glsl_implicit_add_int_vec3_vert_html</t>
  </si>
  <si>
    <t>test_conformance_glsl_implicit_add_int_vec4_vert_html</t>
  </si>
  <si>
    <t>test_conformance_glsl_implicit_add_ivec2_vec2_vert_html</t>
  </si>
  <si>
    <t>test_conformance_glsl_implicit_add_ivec3_vec3_vert_html</t>
  </si>
  <si>
    <t>test_conformance_glsl_implicit_add_ivec4_vec4_vert_html</t>
  </si>
  <si>
    <t>test_conformance_glsl_implicit_assign_int_to_float_vert_html</t>
  </si>
  <si>
    <t>test_conformance_glsl_implicit_assign_ivec2_to_vec2_vert_html</t>
  </si>
  <si>
    <t>test_conformance_glsl_implicit_assign_ivec3_to_vec3_vert_html</t>
  </si>
  <si>
    <t>test_conformance_glsl_implicit_assign_ivec4_to_vec4_vert_html</t>
  </si>
  <si>
    <t>test_conformance_glsl_implicit_construct_struct_vert_html</t>
  </si>
  <si>
    <t>test_conformance_glsl_implicit_divide_int_float_vert_html</t>
  </si>
  <si>
    <t>test_conformance_glsl_implicit_divide_int_mat2_vert_html</t>
  </si>
  <si>
    <t>test_conformance_glsl_implicit_divide_int_mat3_vert_html</t>
  </si>
  <si>
    <t>test_conformance_glsl_implicit_divide_int_mat4_vert_html</t>
  </si>
  <si>
    <t>test_conformance_glsl_implicit_divide_int_vec2_vert_html</t>
  </si>
  <si>
    <t>test_conformance_glsl_implicit_divide_int_vec3_vert_html</t>
  </si>
  <si>
    <t>test_conformance_glsl_implicit_divide_int_vec4_vert_html</t>
  </si>
  <si>
    <t>test_conformance_glsl_implicit_divide_ivec2_vec2_vert_html</t>
  </si>
  <si>
    <t>test_conformance_glsl_implicit_divide_ivec3_vec3_vert_html</t>
  </si>
  <si>
    <t>test_conformance_glsl_implicit_divide_ivec4_vec4_vert_html</t>
  </si>
  <si>
    <t>test_conformance_glsl_implicit_equal_int_float_vert_html</t>
  </si>
  <si>
    <t>test_conformance_glsl_implicit_equal_ivec2_vec2_vert_html</t>
  </si>
  <si>
    <t>test_conformance_glsl_implicit_equal_ivec3_vec3_vert_html</t>
  </si>
  <si>
    <t>test_conformance_glsl_implicit_equal_ivec4_vec4_vert_html</t>
  </si>
  <si>
    <t>test_conformance_glsl_implicit_function_int_float_vert_html</t>
  </si>
  <si>
    <t>test_conformance_glsl_implicit_function_ivec2_vec2_vert_html</t>
  </si>
  <si>
    <t>test_conformance_glsl_implicit_function_ivec3_vec3_vert_html</t>
  </si>
  <si>
    <t>test_conformance_glsl_implicit_function_ivec4_vec4_vert_html</t>
  </si>
  <si>
    <t>test_conformance_glsl_implicit_greater_than_vert_html</t>
  </si>
  <si>
    <t>test_conformance_glsl_implicit_greater_than_equal_vert_html</t>
  </si>
  <si>
    <t>test_conformance_glsl_implicit_less_than_vert_html</t>
  </si>
  <si>
    <t>test_conformance_glsl_implicit_less_than_equal_vert_html</t>
  </si>
  <si>
    <t>test_conformance_glsl_implicit_multiply_int_float_vert_html</t>
  </si>
  <si>
    <t>test_conformance_glsl_implicit_multiply_int_mat2_vert_html</t>
  </si>
  <si>
    <t>test_conformance_glsl_implicit_multiply_int_mat3_vert_html</t>
  </si>
  <si>
    <t>test_conformance_glsl_implicit_multiply_int_mat4_vert_html</t>
  </si>
  <si>
    <t>test_conformance_glsl_implicit_multiply_int_vec2_vert_html</t>
  </si>
  <si>
    <t>test_conformance_glsl_implicit_multiply_int_vec3_vert_html</t>
  </si>
  <si>
    <t>test_conformance_glsl_implicit_multiply_int_vec4_vert_html</t>
  </si>
  <si>
    <t>test_conformance_glsl_implicit_multiply_ivec2_vec2_vert_html</t>
  </si>
  <si>
    <t>test_conformance_glsl_implicit_multiply_ivec3_vec3_vert_html</t>
  </si>
  <si>
    <t>test_conformance_glsl_implicit_multiply_ivec4_vec4_vert_html</t>
  </si>
  <si>
    <t>test_conformance_glsl_implicit_not_equal_int_float_vert_html</t>
  </si>
  <si>
    <t>test_conformance_glsl_implicit_not_equal_ivec2_vec2_vert_html</t>
  </si>
  <si>
    <t>test_conformance_glsl_implicit_not_equal_ivec3_vec3_vert_html</t>
  </si>
  <si>
    <t>test_conformance_glsl_implicit_not_equal_ivec4_vec4_vert_html</t>
  </si>
  <si>
    <t>test_conformance_glsl_implicit_subtract_int_float_vert_html</t>
  </si>
  <si>
    <t>test_conformance_glsl_implicit_subtract_int_mat2_vert_html</t>
  </si>
  <si>
    <t>test_conformance_glsl_implicit_subtract_int_mat3_vert_html</t>
  </si>
  <si>
    <t>test_conformance_glsl_implicit_subtract_int_mat4_vert_html</t>
  </si>
  <si>
    <t>test_conformance_glsl_implicit_subtract_int_vec2_vert_html</t>
  </si>
  <si>
    <t>test_conformance_glsl_implicit_subtract_int_vec3_vert_html</t>
  </si>
  <si>
    <t>test_conformance_glsl_implicit_subtract_int_vec4_vert_html</t>
  </si>
  <si>
    <t>test_conformance_glsl_implicit_subtract_ivec2_vec2_vert_html</t>
  </si>
  <si>
    <t>test_conformance_glsl_implicit_subtract_ivec3_vec3_vert_html</t>
  </si>
  <si>
    <t>test_conformance_glsl_implicit_subtract_ivec4_vec4_vert_html</t>
  </si>
  <si>
    <t>test_conformance_glsl_implicit_ternary_int_float_vert_html</t>
  </si>
  <si>
    <t>test_conformance_glsl_implicit_ternary_ivec2_vec2_vert_html</t>
  </si>
  <si>
    <t>test_conformance_glsl_implicit_ternary_ivec3_vec3_vert_html</t>
  </si>
  <si>
    <t>test_conformance_glsl_implicit_ternary_ivec4_vec4_vert_html</t>
  </si>
  <si>
    <t>test_conformance_glsl_misc_attrib_location_length_limits_html</t>
  </si>
  <si>
    <t>test_conformance_glsl_misc_embedded_struct_definitions_forbidden_html</t>
  </si>
  <si>
    <t>test_conformance_glsl_misc_empty_main_vert_html</t>
  </si>
  <si>
    <t>test_conformance_glsl_misc_gl_position_unset_vert_html</t>
  </si>
  <si>
    <t>test_conformance_glsl_misc_glsl_function_nodes_html</t>
  </si>
  <si>
    <t>test_conformance_glsl_misc_glsl_long_variable_names_html</t>
  </si>
  <si>
    <t>test_conformance_glsl_misc_non_ascii_comments_vert_html</t>
  </si>
  <si>
    <t>test_conformance_glsl_misc_non_ascii_vert_html</t>
  </si>
  <si>
    <t>test_conformance_glsl_misc_shader_with_256_character_identifier_frag_html</t>
  </si>
  <si>
    <t>test_conformance_glsl_misc_shader_with_257_character_identifier_frag_html</t>
  </si>
  <si>
    <t>test_conformance_glsl_misc_shader_with__webgl_identifier_vert_html</t>
  </si>
  <si>
    <t>test_conformance_glsl_misc_shader_with_arbitrary_indexing_frag_html</t>
  </si>
  <si>
    <t>test_conformance_glsl_misc_shader_with_arbitrary_indexing_vert_html</t>
  </si>
  <si>
    <t>test_conformance_glsl_misc_shader_with_attrib_array_vert_html</t>
  </si>
  <si>
    <t>test_conformance_glsl_misc_shader_with_attrib_struct_vert_html</t>
  </si>
  <si>
    <t>test_conformance_glsl_misc_shader_with_clipvertex_vert_html</t>
  </si>
  <si>
    <t>test_conformance_glsl_misc_shader_with_default_precision_frag_html</t>
  </si>
  <si>
    <t>test_conformance_glsl_misc_shader_with_default_precision_vert_html</t>
  </si>
  <si>
    <t>test_conformance_glsl_misc_shader_with_define_line_continuation_frag_html</t>
  </si>
  <si>
    <t>test_conformance_glsl_misc_shader_with_dfdx_no_ext_frag_html</t>
  </si>
  <si>
    <t>test_conformance_glsl_misc_shader_with_dfdx_frag_html</t>
  </si>
  <si>
    <t>test_conformance_glsl_misc_shader_with_error_directive_html</t>
  </si>
  <si>
    <t>test_conformance_glsl_misc_shader_with_explicit_int_cast_vert_html</t>
  </si>
  <si>
    <t>test_conformance_glsl_misc_shader_with_float_return_value_frag_html</t>
  </si>
  <si>
    <t>test_conformance_glsl_misc_shader_with_frag_depth_frag_html</t>
  </si>
  <si>
    <t>test_conformance_glsl_misc_shader_with_function_recursion_frag_html</t>
  </si>
  <si>
    <t>test_conformance_glsl_misc_shader_with_glcolor_vert_html</t>
  </si>
  <si>
    <t>test_conformance_glsl_misc_shader_with_gles_1_frag_html</t>
  </si>
  <si>
    <t>test_conformance_glsl_misc_shader_with_gles_symbol_frag_html</t>
  </si>
  <si>
    <t>test_conformance_glsl_misc_shader_with_glprojectionmatrix_vert_html</t>
  </si>
  <si>
    <t>test_conformance_glsl_misc_shader_with_implicit_vec3_to_vec4_cast_vert_html</t>
  </si>
  <si>
    <t>test_conformance_glsl_misc_shader_with_include_vert_html</t>
  </si>
  <si>
    <t>test_conformance_glsl_misc_shader_with_int_return_value_frag_html</t>
  </si>
  <si>
    <t>test_conformance_glsl_misc_shader_with_invalid_identifier_frag_html</t>
  </si>
  <si>
    <t>test_conformance_glsl_misc_shader_with_ivec2_return_value_frag_html</t>
  </si>
  <si>
    <t>test_conformance_glsl_misc_shader_with_ivec3_return_value_frag_html</t>
  </si>
  <si>
    <t>test_conformance_glsl_misc_shader_with_ivec4_return_value_frag_html</t>
  </si>
  <si>
    <t>test_conformance_glsl_misc_shader_with_limited_indexing_frag_html</t>
  </si>
  <si>
    <t>test_conformance_glsl_misc_shader_with_long_line_html</t>
  </si>
  <si>
    <t>test_conformance_glsl_misc_shader_with_non_ascii_error_frag_html</t>
  </si>
  <si>
    <t>test_conformance_glsl_misc_shader_with_precision_frag_html</t>
  </si>
  <si>
    <t>test_conformance_glsl_misc_shader_with_quoted_error_frag_html</t>
  </si>
  <si>
    <t>test_conformance_glsl_misc_shader_with_undefined_preprocessor_symbol_frag_html</t>
  </si>
  <si>
    <t>test_conformance_glsl_misc_shader_with_uniform_in_loop_condition_vert_html</t>
  </si>
  <si>
    <t>test_conformance_glsl_misc_shader_with_vec2_return_value_frag_html</t>
  </si>
  <si>
    <t>test_conformance_glsl_misc_shader_with_vec3_return_value_frag_html</t>
  </si>
  <si>
    <t>test_conformance_glsl_misc_shader_with_vec4_return_value_frag_html</t>
  </si>
  <si>
    <t>test_conformance_glsl_misc_shader_with_version_100_frag_html</t>
  </si>
  <si>
    <t>test_conformance_glsl_misc_shader_with_version_100_vert_html</t>
  </si>
  <si>
    <t>test_conformance_glsl_misc_shader_with_version_120_vert_html</t>
  </si>
  <si>
    <t>test_conformance_glsl_misc_shader_with_version_130_vert_html</t>
  </si>
  <si>
    <t>test_conformance_glsl_misc_shader_with_webgl_identifier_vert_html</t>
  </si>
  <si>
    <t>test_conformance_glsl_misc_shader_without_precision_frag_html</t>
  </si>
  <si>
    <t>test_conformance_glsl_misc_shared_html</t>
  </si>
  <si>
    <t>test_conformance_glsl_misc_struct_nesting_exceeds_maximum_html</t>
  </si>
  <si>
    <t>test_conformance_glsl_misc_struct_nesting_under_maximum_html</t>
  </si>
  <si>
    <t>test_conformance_glsl_misc_uniform_location_length_limits_html</t>
  </si>
  <si>
    <t>test_conformance_glsl_reserved__webgl_field_vert_html</t>
  </si>
  <si>
    <t>test_conformance_glsl_reserved__webgl_function_vert_html</t>
  </si>
  <si>
    <t>test_conformance_glsl_reserved__webgl_struct_vert_html</t>
  </si>
  <si>
    <t>test_conformance_glsl_reserved__webgl_variable_vert_html</t>
  </si>
  <si>
    <t>test_conformance_glsl_reserved_webgl_field_vert_html</t>
  </si>
  <si>
    <t>test_conformance_glsl_reserved_webgl_function_vert_html</t>
  </si>
  <si>
    <t>test_conformance_glsl_reserved_webgl_struct_vert_html</t>
  </si>
  <si>
    <t>test_conformance_glsl_reserved_webgl_variable_vert_html</t>
  </si>
  <si>
    <t>test_conformance_glsl_variables_gl_fragcoord_html</t>
  </si>
  <si>
    <t>test_conformance_glsl_variables_gl_frontfacing_html</t>
  </si>
  <si>
    <t>test_conformance_glsl_variables_gl_pointcoord_html</t>
  </si>
  <si>
    <t>test_conformance_limits_gl_max_texture_dimensions_html</t>
  </si>
  <si>
    <t>test_conformance_limits_gl_min_attribs_html</t>
  </si>
  <si>
    <t>test_conformance_limits_gl_min_textures_html</t>
  </si>
  <si>
    <t>test_conformance_limits_gl_min_uniforms_html</t>
  </si>
  <si>
    <t>test_conformance_misc_bad_arguments_test_html</t>
  </si>
  <si>
    <t>test_conformance_misc_error_reporting_html</t>
  </si>
  <si>
    <t>test_conformance_misc_functions_returning_strings_html</t>
  </si>
  <si>
    <t>test_conformance_misc_instanceof_test_html</t>
  </si>
  <si>
    <t>test_conformance_misc_invalid_passed_params_html</t>
  </si>
  <si>
    <t>test_conformance_misc_is_object_html</t>
  </si>
  <si>
    <t>test_conformance_misc_null_object_behaviour_html</t>
  </si>
  <si>
    <t>test_conformance_misc_object_deletion_behaviour_html</t>
  </si>
  <si>
    <t>test_conformance_misc_shader_precision_format_html</t>
  </si>
  <si>
    <t>test_conformance_misc_type_conversion_test_html</t>
  </si>
  <si>
    <t>test_conformance_misc_uninitialized_test_html</t>
  </si>
  <si>
    <t>test_conformance_misc_webgl_specific_html</t>
  </si>
  <si>
    <t>test_conformance_more_conformance_constants_html</t>
  </si>
  <si>
    <t>test_conformance_more_conformance_getContext_html</t>
  </si>
  <si>
    <t>test_conformance_more_conformance_methods_html</t>
  </si>
  <si>
    <t>test_conformance_more_conformance_quickCheckAPI_A_html</t>
  </si>
  <si>
    <t>test_conformance_more_conformance_quickCheckAPI_B1_html</t>
  </si>
  <si>
    <t>test_conformance_more_conformance_quickCheckAPI_B2_html</t>
  </si>
  <si>
    <t>test_conformance_more_conformance_quickCheckAPI_B3_html</t>
  </si>
  <si>
    <t>test_conformance_more_conformance_quickCheckAPI_B4_html</t>
  </si>
  <si>
    <t>test_conformance_more_conformance_quickCheckAPI_C_html</t>
  </si>
  <si>
    <t>test_conformance_more_conformance_quickCheckAPI_D_G_html</t>
  </si>
  <si>
    <t>test_conformance_more_conformance_quickCheckAPI_G_I_html</t>
  </si>
  <si>
    <t>test_conformance_more_conformance_quickCheckAPI_L_S_html</t>
  </si>
  <si>
    <t>test_conformance_more_conformance_quickCheckAPI_S_V_html</t>
  </si>
  <si>
    <t>test_conformance_more_conformance_webGLArrays_html</t>
  </si>
  <si>
    <t>test_conformance_more_functions_bindBuffer_html</t>
  </si>
  <si>
    <t>test_conformance_more_functions_bindBufferBadArgs_html</t>
  </si>
  <si>
    <t>test_conformance_more_functions_bindFramebufferLeaveNonZero_html</t>
  </si>
  <si>
    <t>test_conformance_more_functions_bufferData_html</t>
  </si>
  <si>
    <t>test_conformance_more_functions_bufferDataBadArgs_html</t>
  </si>
  <si>
    <t>test_conformance_more_functions_bufferSubData_html</t>
  </si>
  <si>
    <t>test_conformance_more_functions_bufferSubDataBadArgs_html</t>
  </si>
  <si>
    <t>test_conformance_more_functions_copyTexImage2D_html</t>
  </si>
  <si>
    <t>test_conformance_more_functions_copyTexImage2DBadArgs_html</t>
  </si>
  <si>
    <t>test_conformance_more_functions_copyTexSubImage2D_html</t>
  </si>
  <si>
    <t>test_conformance_more_functions_copyTexSubImage2DBadArgs_html</t>
  </si>
  <si>
    <t>test_conformance_more_functions_deleteBufferBadArgs_html</t>
  </si>
  <si>
    <t>test_conformance_more_functions_drawArrays_html</t>
  </si>
  <si>
    <t>test_conformance_more_functions_drawArraysOutOfBounds_html</t>
  </si>
  <si>
    <t>test_conformance_more_functions_drawElements_html</t>
  </si>
  <si>
    <t>test_conformance_more_functions_drawElementsBadArgs_html</t>
  </si>
  <si>
    <t>test_conformance_more_functions_isTests_html</t>
  </si>
  <si>
    <t>test_conformance_more_functions_readPixels_html</t>
  </si>
  <si>
    <t>test_conformance_more_functions_readPixelsBadArgs_html</t>
  </si>
  <si>
    <t>test_conformance_more_functions_texImage2D_html</t>
  </si>
  <si>
    <t>test_conformance_more_functions_texImage2DBadArgs_html</t>
  </si>
  <si>
    <t>test_conformance_more_functions_texImage2DHTML_html</t>
  </si>
  <si>
    <t>test_conformance_more_functions_texImage2DHTMLBadArgs_html</t>
  </si>
  <si>
    <t>test_conformance_more_functions_texSubImage2D_html</t>
  </si>
  <si>
    <t>test_conformance_more_functions_texSubImage2DBadArgs_html</t>
  </si>
  <si>
    <t>test_conformance_more_functions_texSubImage2DHTML_html</t>
  </si>
  <si>
    <t>test_conformance_more_functions_texSubImage2DHTMLBadArgs_html</t>
  </si>
  <si>
    <t>test_conformance_more_functions_uniformMatrix_html</t>
  </si>
  <si>
    <t>test_conformance_more_functions_uniformMatrixBadArgs_html</t>
  </si>
  <si>
    <t>test_conformance_more_functions_uniformf_html</t>
  </si>
  <si>
    <t>test_conformance_more_functions_uniformfArrayLen1_html</t>
  </si>
  <si>
    <t>test_conformance_more_functions_uniformfBadArgs_html</t>
  </si>
  <si>
    <t>test_conformance_more_functions_uniformi_html</t>
  </si>
  <si>
    <t>test_conformance_more_functions_uniformiBadArgs_html</t>
  </si>
  <si>
    <t>test_conformance_more_functions_vertexAttrib_html</t>
  </si>
  <si>
    <t>test_conformance_more_functions_vertexAttribBadArgs_html</t>
  </si>
  <si>
    <t>test_conformance_more_functions_vertexAttribPointer_html</t>
  </si>
  <si>
    <t>test_conformance_more_functions_vertexAttribPointerBadArgs_html</t>
  </si>
  <si>
    <t>test_conformance_more_glsl_arrayOutOfBounds_html</t>
  </si>
  <si>
    <t>test_conformance_more_glsl_uniformOutOfBounds_html</t>
  </si>
  <si>
    <t>test_conformance_programs_get_active_test_html</t>
  </si>
  <si>
    <t>test_conformance_programs_gl_bind_attrib_location_test_html</t>
  </si>
  <si>
    <t>test_conformance_programs_gl_get_active_attribute_html</t>
  </si>
  <si>
    <t>test_conformance_programs_gl_get_active_uniform_html</t>
  </si>
  <si>
    <t>test_conformance_programs_gl_getshadersource_html</t>
  </si>
  <si>
    <t>test_conformance_programs_gl_shader_test_html</t>
  </si>
  <si>
    <t>test_conformance_programs_invalid_UTF_16_html</t>
  </si>
  <si>
    <t>test_conformance_programs_program_test_html</t>
  </si>
  <si>
    <t>test_conformance_reading_read_pixels_pack_alignment_html</t>
  </si>
  <si>
    <t>test_conformance_reading_read_pixels_test_html</t>
  </si>
  <si>
    <t>test_conformance_renderbuffers_framebuffer_object_attachment_html</t>
  </si>
  <si>
    <t>test_conformance_renderbuffers_framebuffer_test_html</t>
  </si>
  <si>
    <t>test_conformance_renderbuffers_renderbuffer_initialization_html</t>
  </si>
  <si>
    <t>test_conformance_rendering_draw_arrays_out_of_bounds_html</t>
  </si>
  <si>
    <t>test_conformance_rendering_draw_elements_out_of_bounds_html</t>
  </si>
  <si>
    <t>test_conformance_rendering_gl_clear_html</t>
  </si>
  <si>
    <t>test_conformance_rendering_gl_drawelements_html</t>
  </si>
  <si>
    <t>test_conformance_rendering_gl_scissor_test_html</t>
  </si>
  <si>
    <t>test_conformance_rendering_line_loop_tri_fan_html</t>
  </si>
  <si>
    <t>test_conformance_rendering_more_than_65536_indices_html</t>
  </si>
  <si>
    <t>test_conformance_rendering_multisample_corruption_html</t>
  </si>
  <si>
    <t>test_conformance_rendering_point_size_html</t>
  </si>
  <si>
    <t>test_conformance_rendering_triangle_html</t>
  </si>
  <si>
    <t>test_conformance_state_gl_enable_enum_test_html</t>
  </si>
  <si>
    <t>test_conformance_state_gl_enum_tests_html</t>
  </si>
  <si>
    <t>test_conformance_state_gl_get_calls_html</t>
  </si>
  <si>
    <t>test_conformance_state_gl_geterror_html</t>
  </si>
  <si>
    <t>test_conformance_state_gl_getstring_html</t>
  </si>
  <si>
    <t>test_conformance_state_gl_object_get_calls_html</t>
  </si>
  <si>
    <t>test_conformance_textures_compressed_tex_image_html</t>
  </si>
  <si>
    <t>test_conformance_textures_copy_tex_image_and_sub_image_2d_html</t>
  </si>
  <si>
    <t>test_conformance_textures_gl_pixelstorei_html</t>
  </si>
  <si>
    <t>test_conformance_textures_gl_teximage_html</t>
  </si>
  <si>
    <t>test_conformance_textures_origin_clean_conformance_html</t>
  </si>
  <si>
    <t>test_conformance_textures_tex_image_and_sub_image_2d_with_array_buffer_view_html</t>
  </si>
  <si>
    <t>test_conformance_textures_tex_image_and_sub_image_2d_with_canvas_rgb565_html</t>
  </si>
  <si>
    <t>test_conformance_textures_tex_image_and_sub_image_2d_with_canvas_rgba4444_html</t>
  </si>
  <si>
    <t>test_conformance_textures_tex_image_and_sub_image_2d_with_canvas_rgba5551_html</t>
  </si>
  <si>
    <t>test_conformance_textures_tex_image_and_sub_image_2d_with_canvas_html</t>
  </si>
  <si>
    <t>test_conformance_textures_tex_image_and_sub_image_2d_with_image_data_rgb565_html</t>
  </si>
  <si>
    <t>test_conformance_textures_tex_image_and_sub_image_2d_with_image_data_rgba4444_html</t>
  </si>
  <si>
    <t>test_conformance_textures_tex_image_and_sub_image_2d_with_image_data_rgba5551_html</t>
  </si>
  <si>
    <t>test_conformance_textures_tex_image_and_sub_image_2d_with_image_data_html</t>
  </si>
  <si>
    <t>test_conformance_textures_tex_image_and_sub_image_2d_with_image_rgb565_html</t>
  </si>
  <si>
    <t>test_conformance_textures_tex_image_and_sub_image_2d_with_image_rgba4444_html</t>
  </si>
  <si>
    <t>test_conformance_textures_tex_image_and_sub_image_2d_with_image_rgba5551_html</t>
  </si>
  <si>
    <t>test_conformance_textures_tex_image_and_sub_image_2d_with_image_html</t>
  </si>
  <si>
    <t>test_conformance_textures_tex_image_and_sub_image_2d_with_video_rgb565_html</t>
  </si>
  <si>
    <t>test_conformance_textures_tex_image_and_sub_image_2d_with_video_rgba4444_html</t>
  </si>
  <si>
    <t>test_conformance_textures_tex_image_and_sub_image_2d_with_video_rgba5551_html</t>
  </si>
  <si>
    <t>test_conformance_textures_tex_image_and_sub_image_2d_with_video_html</t>
  </si>
  <si>
    <t>test_conformance_textures_tex_image_and_uniform_binding_bugs_html</t>
  </si>
  <si>
    <t>test_conformance_textures_tex_image_with_format_and_type_html</t>
  </si>
  <si>
    <t>test_conformance_textures_tex_image_with_invalid_data_html</t>
  </si>
  <si>
    <t>test_conformance_textures_tex_input_validation_html</t>
  </si>
  <si>
    <t>test_conformance_textures_tex_sub_image_2d_bad_args_html</t>
  </si>
  <si>
    <t>test_conformance_textures_tex_sub_image_2d_html</t>
  </si>
  <si>
    <t>test_conformance_textures_texparameter_test_html</t>
  </si>
  <si>
    <t>test_conformance_textures_texture_active_bind_2_html</t>
  </si>
  <si>
    <t>test_conformance_textures_texture_active_bind_html</t>
  </si>
  <si>
    <t>test_conformance_textures_texture_complete_html</t>
  </si>
  <si>
    <t>test_conformance_textures_texture_mips_html</t>
  </si>
  <si>
    <t>test_conformance_textures_texture_npot_video_html</t>
  </si>
  <si>
    <t>test_conformance_textures_texture_npot_html</t>
  </si>
  <si>
    <t>test_conformance_textures_texture_size_cube_maps_html</t>
  </si>
  <si>
    <t>test_conformance_textures_texture_size_html</t>
  </si>
  <si>
    <t>test_conformance_textures_texture_transparent_pixels_initialized_html</t>
  </si>
  <si>
    <t>test_conformance_typedarrays_array_buffer_crash_html</t>
  </si>
  <si>
    <t>test_conformance_typedarrays_array_buffer_view_crash_html</t>
  </si>
  <si>
    <t>test_conformance_typedarrays_array_unit_tests_html</t>
  </si>
  <si>
    <t>test_conformance_typedarrays_data_view_crash_html</t>
  </si>
  <si>
    <t>test_conformance_typedarrays_data_view_test_html</t>
  </si>
  <si>
    <t>test_conformance_uniforms_gl_uniform_arrays_html</t>
  </si>
  <si>
    <t>test_conformance_uniforms_gl_uniform_bool_html</t>
  </si>
  <si>
    <t>test_conformance_uniforms_gl_uniformmatrix4fv_html</t>
  </si>
  <si>
    <t>test_conformance_uniforms_gl_unknown_uniform_html</t>
  </si>
  <si>
    <t>test_conformance_uniforms_null_uniform_location_html</t>
  </si>
  <si>
    <t>test_conformance_uniforms_uniform_location_html</t>
  </si>
  <si>
    <t>test_conformance_uniforms_uniform_samplers_test_html</t>
  </si>
  <si>
    <t>testPrimaryProfilePhoneLookup_insertedAndfound</t>
  </si>
  <si>
    <t>testManagedProfilePhoneLookup_insertedAndfound</t>
  </si>
  <si>
    <t>testPrimaryProfilePhoneLookup_canAccessPrimaryContact</t>
  </si>
  <si>
    <t>testManagedProfilePhoneLookup_canAccessEnterpriseContact</t>
  </si>
  <si>
    <t>testMaxUsersStrictlyMoreThanOne</t>
  </si>
  <si>
    <t>verifyCommandDispatchKeyEvent</t>
  </si>
  <si>
    <t>TvInputCallback</t>
  </si>
  <si>
    <t>verifyToneMapModeResults</t>
  </si>
  <si>
    <t>resetCounts</t>
  </si>
  <si>
    <t>hasPhotoUri</t>
  </si>
  <si>
    <t>testReszie</t>
  </si>
  <si>
    <t>testStartActivityWithinTask</t>
  </si>
  <si>
    <t>testCannotStartActivityOutsideTask</t>
  </si>
  <si>
    <t>waitForActivity</t>
  </si>
  <si>
    <t>DeviceInfoTests</t>
  </si>
  <si>
    <t>testBuildProvider</t>
  </si>
  <si>
    <t>testBatchAndFlushWithMutipleSensors</t>
  </si>
  <si>
    <t>areGpsFieldsEqual</t>
  </si>
  <si>
    <t>jpegTestExifExtraTags</t>
  </si>
  <si>
    <t>getExifOrientationInDegress</t>
  </si>
  <si>
    <t>ExifTestData</t>
  </si>
  <si>
    <t>basicValidateJpegImage</t>
  </si>
  <si>
    <t>getClosestValueInArray</t>
  </si>
  <si>
    <t>validateFocalLength</t>
  </si>
  <si>
    <t>validateAperture</t>
  </si>
  <si>
    <t>testAddRemoveListener</t>
  </si>
  <si>
    <t>testListener</t>
  </si>
  <si>
    <t>onAnimationCancel</t>
  </si>
  <si>
    <t>onAnimationEnd</t>
  </si>
  <si>
    <t>onAnimationRepeat</t>
  </si>
  <si>
    <t>onAnimationStart</t>
  </si>
  <si>
    <t>MediaSessionCallback</t>
  </si>
  <si>
    <t>testBlockingGetAuthToken</t>
  </si>
  <si>
    <t>testGetAuthToken</t>
  </si>
  <si>
    <t>testGetAuthTokenWithOptions</t>
  </si>
  <si>
    <t>setAbi</t>
  </si>
  <si>
    <t>testFactorialRecursive</t>
  </si>
  <si>
    <t>testFactorialIterative</t>
  </si>
  <si>
    <t>factorialRecursive</t>
  </si>
  <si>
    <t>factorialIterative</t>
  </si>
  <si>
    <t>setupCallbacks</t>
  </si>
  <si>
    <t>placeAndVerifyCall</t>
  </si>
  <si>
    <t>verifyConnectionService</t>
  </si>
  <si>
    <t>placeNewCallWithPhoneAccount</t>
  </si>
  <si>
    <t>getTestNumber</t>
  </si>
  <si>
    <t>assertNumCalls</t>
  </si>
  <si>
    <t>assertMuteState</t>
  </si>
  <si>
    <t>assertAudioRoute</t>
  </si>
  <si>
    <t>assertCallState</t>
  </si>
  <si>
    <t>assertDtmfString</t>
  </si>
  <si>
    <t>waitUntilConditionIsTrueOrTimeout</t>
  </si>
  <si>
    <t>testManifestArgument_canFinish</t>
  </si>
  <si>
    <t>testStartActionModeForChildRespectsSubclassMode</t>
  </si>
  <si>
    <t>testNotifyCarrierNetworkChange</t>
  </si>
  <si>
    <t>testContentObsererOperations</t>
  </si>
  <si>
    <t>testVoicemailReadWrite_correctlyThrowsSecurityException</t>
  </si>
  <si>
    <t>testSilenceRinger_correctlyThrowsSecurityException</t>
  </si>
  <si>
    <t>testCancelMissedCallsNotification_correctlyThrowsSecurityException</t>
  </si>
  <si>
    <t>testHandlePinMmi_correctlyThrowsSecurityException</t>
  </si>
  <si>
    <t>testGetAdnForPhoneAccount_correctlyThrowsSecurityException</t>
  </si>
  <si>
    <t>testWithMockConnection_AddNewOutgoingCallAndThenDisconnect</t>
  </si>
  <si>
    <t>testWithMockConnection_MuteAndUnmutePhone</t>
  </si>
  <si>
    <t>testWithMockConnection_SwitchAudioRoutes</t>
  </si>
  <si>
    <t>testWithMockConnection_DtmfTones</t>
  </si>
  <si>
    <t>testWithMockConnection_HoldAndUnholdCall</t>
  </si>
  <si>
    <t>testReadBookmarks</t>
  </si>
  <si>
    <t>testWriteBookmarks</t>
  </si>
  <si>
    <t>testReadBrowserHistory</t>
  </si>
  <si>
    <t>testWriteBrowserHistory</t>
  </si>
  <si>
    <t>testSetScrollBarStyle</t>
  </si>
  <si>
    <t>testDeathTest</t>
  </si>
  <si>
    <t>testCleanTest</t>
  </si>
  <si>
    <t>testSigSysSelf</t>
  </si>
  <si>
    <t>runDeathTest</t>
  </si>
  <si>
    <t>launchDeathTestService</t>
  </si>
  <si>
    <t>onTestStarted</t>
  </si>
  <si>
    <t>binderDied</t>
  </si>
  <si>
    <t>onTestEnded</t>
  </si>
  <si>
    <t>BrowserTest</t>
  </si>
  <si>
    <t>testAccessSearches</t>
  </si>
  <si>
    <t>testGetAllBookmarks</t>
  </si>
  <si>
    <t>testGetAllVisitedUrls</t>
  </si>
  <si>
    <t>testUpdateVisitedHistory</t>
  </si>
  <si>
    <t>testAccessHistory</t>
  </si>
  <si>
    <t>testRequestAllIcons</t>
  </si>
  <si>
    <t>testSaveBookmark</t>
  </si>
  <si>
    <t>testSendString</t>
  </si>
  <si>
    <t>isRunning</t>
  </si>
  <si>
    <t>assertStarted</t>
  </si>
  <si>
    <t>testBookmarksTable</t>
  </si>
  <si>
    <t>testSearchesTable</t>
  </si>
  <si>
    <t>getDither</t>
  </si>
  <si>
    <t>testKeyPairGenerator_Initialize_Params_Unencrypted_Success</t>
  </si>
  <si>
    <t>testKeyPairGenerator_Initialize_KeySize_Unencrypted_Failure</t>
  </si>
  <si>
    <t>testKeyPairGenerator_Initialize_KeySizeAndSecureRandom_Unencrypted_Failure</t>
  </si>
  <si>
    <t>testKeyPairGenerator_Initialize_ParamsAndSecureRandom_Unencrypted_Failure</t>
  </si>
  <si>
    <t>testKeyPairGenerator_GenerateKeyPair_EC_Unencrypted_Success</t>
  </si>
  <si>
    <t>testKeyPairGenerator_GenerateKeyPair_EC_P521_Unencrypted_Success</t>
  </si>
  <si>
    <t>testKeyPairGenerator_GenerateKeyPair_RSA_Unencrypted_Success</t>
  </si>
  <si>
    <t>testKeyPairGenerator_GenerateKeyPair_Replaced_Unencrypted_Success</t>
  </si>
  <si>
    <t>testKeyPairGenerator_GenerateKeyPair_No_Collision_Unencrypted_Success</t>
  </si>
  <si>
    <t>assertKeyPairCorrect</t>
  </si>
  <si>
    <t>assertUsableInSSLConnection</t>
  </si>
  <si>
    <t>assertECParameterSpecEqualsIgnoreSeed</t>
  </si>
  <si>
    <t>testSetGetIndents</t>
  </si>
  <si>
    <t>testSilentInstallUninstall</t>
  </si>
  <si>
    <t>installPackage</t>
  </si>
  <si>
    <t>getCommitCallback</t>
  </si>
  <si>
    <t>isPackageInstalled</t>
  </si>
  <si>
    <t>testSilentPackageInstaller</t>
  </si>
  <si>
    <t>setupConnectionService</t>
  </si>
  <si>
    <t>tearDownConnectionService</t>
  </si>
  <si>
    <t>startCallTo</t>
  </si>
  <si>
    <t>testInitialize_LegacySpec</t>
  </si>
  <si>
    <t>testInitialize_ModernSpec</t>
  </si>
  <si>
    <t>testInitialize_KeySizeOnly</t>
  </si>
  <si>
    <t>testInitialize_KeySizeAndSecureRandomOnly</t>
  </si>
  <si>
    <t>testGenerate_EC_LegacySpec</t>
  </si>
  <si>
    <t>testGenerate_RSA_LegacySpec</t>
  </si>
  <si>
    <t>testGenerate_ReplacesOldEntryWithSameAlias</t>
  </si>
  <si>
    <t>testGenerate_DoesNotReplaceOtherEntries</t>
  </si>
  <si>
    <t>testGenerate_EC_ModernSpec_Defaults</t>
  </si>
  <si>
    <t>testGenerate_RSA_ModernSpec_Defaults</t>
  </si>
  <si>
    <t>testGenerate_EC_ModernSpec_AsCustomAsPossible</t>
  </si>
  <si>
    <t>testGenerate_RSA_ModernSpec_AsCustomAsPossible</t>
  </si>
  <si>
    <t>testGenerate_EC_ModernSpec_UsableForTLSPeerAuth</t>
  </si>
  <si>
    <t>testGenerate_RSA_ModernSpec_UsableForTLSPeerAuth</t>
  </si>
  <si>
    <t>testGenerate_EC_ModernSpec_PerOpAuthRequired</t>
  </si>
  <si>
    <t>testGenerate_RSA_ModernSpec_PerOpAuthRequired</t>
  </si>
  <si>
    <t>testGenerate_EC_ModernSpec_TimeoutBasedAuthRequired</t>
  </si>
  <si>
    <t>testGenerate_RSA_ModernSpec_TimeoutBasedAuthRequired</t>
  </si>
  <si>
    <t>testGenerate_EC_ModernSpec_SupportedSizes</t>
  </si>
  <si>
    <t>testGenerate_EC_ModernSpec_UnsupportedSizesRejected</t>
  </si>
  <si>
    <t>testGenerate_EC_ModernSpec_SupportedNamedCurves</t>
  </si>
  <si>
    <t>testGenerate_RSA_ModernSpec_SupportedSizes</t>
  </si>
  <si>
    <t>assertKeyGenUsingECSizeOnlyUsesCorrectCurve</t>
  </si>
  <si>
    <t>assertKeyGenUsingECNamedCurveSupported</t>
  </si>
  <si>
    <t>assertKeyGenUsingRSASizeOnlySupported</t>
  </si>
  <si>
    <t>assertKeyGenUsingRSAKeyGenParameterSpecSupported</t>
  </si>
  <si>
    <t>assertSelfSignedCertificateSignatureVerifies</t>
  </si>
  <si>
    <t>assertGeneratedKeyPairAndSelfSignedCertificate</t>
  </si>
  <si>
    <t>assertKeyPairAndCertificateUsableForTLSPeerAuthentication</t>
  </si>
  <si>
    <t>assertX509CertificateParameters</t>
  </si>
  <si>
    <t>assertUsableForTLSPeerAuthentication</t>
  </si>
  <si>
    <t>assertSSLConnectionWithClientAuth</t>
  </si>
  <si>
    <t>MyKeyManager</t>
  </si>
  <si>
    <t>chooseClientAlias</t>
  </si>
  <si>
    <t>chooseServerAlias</t>
  </si>
  <si>
    <t>getCertificateChain</t>
  </si>
  <si>
    <t>getClientAliases</t>
  </si>
  <si>
    <t>getServerAliases</t>
  </si>
  <si>
    <t>getPrivateKey</t>
  </si>
  <si>
    <t>assertDateEquals</t>
  </si>
  <si>
    <t>getRsaGenerator</t>
  </si>
  <si>
    <t>getEcGenerator</t>
  </si>
  <si>
    <t>assertOneOf</t>
  </si>
  <si>
    <t>testExecute_withMobile</t>
  </si>
  <si>
    <t>testExecute_withWifi</t>
  </si>
  <si>
    <t>connectToWifi</t>
  </si>
  <si>
    <t>disconnectWifiToConnectToMobile</t>
  </si>
  <si>
    <t>ConnectivityActionReceiver</t>
  </si>
  <si>
    <t>hasExpectedState</t>
  </si>
  <si>
    <t>MaxOutputSizes</t>
  </si>
  <si>
    <t>configToString</t>
  </si>
  <si>
    <t>getModules</t>
  </si>
  <si>
    <t>TestPlan</t>
  </si>
  <si>
    <t>getModuleNames</t>
  </si>
  <si>
    <t>addModule</t>
  </si>
  <si>
    <t>addModuleOption</t>
  </si>
  <si>
    <t>testBuildHelper</t>
  </si>
  <si>
    <t>parsePlan</t>
  </si>
  <si>
    <t>testReadSocialStreamPermission_byRawContactId</t>
  </si>
  <si>
    <t>testReadSocialStreamPermission_byContactId</t>
  </si>
  <si>
    <t>testReadSocialStreamPermission_byLookUpKey</t>
  </si>
  <si>
    <t>testReadSocialStreamPermission_byStreamItemId</t>
  </si>
  <si>
    <t>testWriteSocialStreamPermission_byContentDirectory</t>
  </si>
  <si>
    <t>testWriteSocialStreamPermission_byContentUri</t>
  </si>
  <si>
    <t>testGetDither</t>
  </si>
  <si>
    <t>isDither</t>
  </si>
  <si>
    <t>testNullKeyParamsFailGracefully</t>
  </si>
  <si>
    <t>checkSysctlPermissions</t>
  </si>
  <si>
    <t>assertLess</t>
  </si>
  <si>
    <t>readFile</t>
  </si>
  <si>
    <t>testProcFiles</t>
  </si>
  <si>
    <t>testVideoProfile</t>
  </si>
  <si>
    <t>testLastAuthenticatedTimeAfterAccountAuthenticated</t>
  </si>
  <si>
    <t>testIntentExtras</t>
  </si>
  <si>
    <t>testVideoState</t>
  </si>
  <si>
    <t>creatTestParcel</t>
  </si>
  <si>
    <t>verifyQuery</t>
  </si>
  <si>
    <t>verifyInsert</t>
  </si>
  <si>
    <t>verifyUpdate</t>
  </si>
  <si>
    <t>verifyDelete</t>
  </si>
  <si>
    <t>testQueryChannels</t>
  </si>
  <si>
    <t>testInsertChannels</t>
  </si>
  <si>
    <t>testUpdateChannels</t>
  </si>
  <si>
    <t>testDeleteChannels</t>
  </si>
  <si>
    <t>testQueryPrograms</t>
  </si>
  <si>
    <t>testInsertPrograms</t>
  </si>
  <si>
    <t>testUpdatePrograms</t>
  </si>
  <si>
    <t>testDeletePrograms</t>
  </si>
  <si>
    <t>generateLargeKatMsg</t>
  </si>
  <si>
    <t>testNullPrivateKeyArgumentsFail</t>
  </si>
  <si>
    <t>testNullPrivateKeyAliasArgumentFails</t>
  </si>
  <si>
    <t>testNullPrivateKeyContextArgumentFails</t>
  </si>
  <si>
    <t>testGetPrivateKeyOnMainThreadFails</t>
  </si>
  <si>
    <t>gatherTransparentRegion</t>
  </si>
  <si>
    <t>invalidateChild</t>
  </si>
  <si>
    <t>getTempRect</t>
  </si>
  <si>
    <t>hasInvalidateChild</t>
  </si>
  <si>
    <t>testAddOnComputeInternalInsetsListener</t>
  </si>
  <si>
    <t>testRemoveOnComputeInternalInsetsListener</t>
  </si>
  <si>
    <t>onComputeInternalInsets</t>
  </si>
  <si>
    <t>testSetViewCustom</t>
  </si>
  <si>
    <t>testSetLatestEventInfo</t>
  </si>
  <si>
    <t>testPrimaryActionModesAreStopped</t>
  </si>
  <si>
    <t>testFloatingActionModesAreBubbledUp</t>
  </si>
  <si>
    <t>MockViewGroup</t>
  </si>
  <si>
    <t>startActionModeForChild</t>
  </si>
  <si>
    <t>getSummary</t>
  </si>
  <si>
    <t>setSummary</t>
  </si>
  <si>
    <t>getDetails</t>
  </si>
  <si>
    <t>setDetails</t>
  </si>
  <si>
    <t>parseDetails</t>
  </si>
  <si>
    <t>testGetAverage</t>
  </si>
  <si>
    <t>getReportLog</t>
  </si>
  <si>
    <t>setReportLog</t>
  </si>
  <si>
    <t>testEncodeDecode</t>
  </si>
  <si>
    <t>testGetContextMenuInfo</t>
  </si>
  <si>
    <t>setHeaderTitle</t>
  </si>
  <si>
    <t>setHeaderIcon</t>
  </si>
  <si>
    <t>setHeaderView</t>
  </si>
  <si>
    <t>clearHeader</t>
  </si>
  <si>
    <t>addSubMenu</t>
  </si>
  <si>
    <t>addIntentOptions</t>
  </si>
  <si>
    <t>removeItem</t>
  </si>
  <si>
    <t>removeGroup</t>
  </si>
  <si>
    <t>setGroupCheckable</t>
  </si>
  <si>
    <t>setGroupVisible</t>
  </si>
  <si>
    <t>setGroupEnabled</t>
  </si>
  <si>
    <t>hasVisibleItems</t>
  </si>
  <si>
    <t>findItem</t>
  </si>
  <si>
    <t>close</t>
  </si>
  <si>
    <t>performShortcut</t>
  </si>
  <si>
    <t>isShortcutKey</t>
  </si>
  <si>
    <t>performIdentifierAction</t>
  </si>
  <si>
    <t>setQwertyMode</t>
  </si>
  <si>
    <t>hasCreatedContextMenu</t>
  </si>
  <si>
    <t>getContextMenuInfo</t>
  </si>
  <si>
    <t>recoverComLinkKilled</t>
  </si>
  <si>
    <t>testGeneratedSignatureVerifies</t>
  </si>
  <si>
    <t>testInitFailsWhenKeyNoLongerValid</t>
  </si>
  <si>
    <t>testInitSignFailsWhenKeyNoLongerValid</t>
  </si>
  <si>
    <t>testReclaimResource</t>
  </si>
  <si>
    <t>testAccessors</t>
  </si>
  <si>
    <t>testResultCreation</t>
  </si>
  <si>
    <t>testResultReporting</t>
  </si>
  <si>
    <t>testCountResults</t>
  </si>
  <si>
    <t>Result</t>
  </si>
  <si>
    <t>getResultStatus</t>
  </si>
  <si>
    <t>setResultStatus</t>
  </si>
  <si>
    <t>getMessage</t>
  </si>
  <si>
    <t>getBugReport</t>
  </si>
  <si>
    <t>setBugReport</t>
  </si>
  <si>
    <t>getLog</t>
  </si>
  <si>
    <t>setLog</t>
  </si>
  <si>
    <t>compareTo</t>
  </si>
  <si>
    <t>hasMicrophone</t>
  </si>
  <si>
    <t>testGenerateHonorsAuthorizations</t>
  </si>
  <si>
    <t>getKeyAlgorithmForSignatureAlgorithm</t>
  </si>
  <si>
    <t>getKeyPairForSignatureAlgorithm</t>
  </si>
  <si>
    <t>getDefaultKatKeyPairs</t>
  </si>
  <si>
    <t>importDefaultKatKeyPairs</t>
  </si>
  <si>
    <t>getWorkingImportParamsForSigning</t>
  </si>
  <si>
    <t>getWorkingImportParamsForVerifying</t>
  </si>
  <si>
    <t>generateSelfSignedCert</t>
  </si>
  <si>
    <t>importDefaultKatEncryptionKey</t>
  </si>
  <si>
    <t>importDefaultKatDecryptionKey</t>
  </si>
  <si>
    <t>getEncryptionKey</t>
  </si>
  <si>
    <t>getDecryptionKey</t>
  </si>
  <si>
    <t>getDefaultKatSecretKeys</t>
  </si>
  <si>
    <t>importDefaultKatSecretKeys</t>
  </si>
  <si>
    <t>testSameTimestamp</t>
  </si>
  <si>
    <t>getEnabledImes</t>
  </si>
  <si>
    <t>enableDummyIme</t>
  </si>
  <si>
    <t>dsableDummyIme</t>
  </si>
  <si>
    <t>doVerifyGifts</t>
  </si>
  <si>
    <t>cleanIsolatedStorage</t>
  </si>
  <si>
    <t>writeIsolatedStorage</t>
  </si>
  <si>
    <t>readIsolatedStorage</t>
  </si>
  <si>
    <t>cleanObbStorage</t>
  </si>
  <si>
    <t>writeObbStorage</t>
  </si>
  <si>
    <t>readObbStorage</t>
  </si>
  <si>
    <t>doWriteGifts</t>
  </si>
  <si>
    <t>testAddFilter</t>
  </si>
  <si>
    <t>isInclude</t>
  </si>
  <si>
    <t>testParseNameIncludeFilter</t>
  </si>
  <si>
    <t>testParseNameExcludeFilter</t>
  </si>
  <si>
    <t>testParseAbiNameIncludeFilter</t>
  </si>
  <si>
    <t>testParseAbiNameExcludeFilter</t>
  </si>
  <si>
    <t>testParseNameTestIncludeFilter</t>
  </si>
  <si>
    <t>testParseNameTestExcludeFilter</t>
  </si>
  <si>
    <t>testParseFullIncludeFilter</t>
  </si>
  <si>
    <t>testParseFullExcludeFilter</t>
  </si>
  <si>
    <t>testCreateNameIncludeFilter</t>
  </si>
  <si>
    <t>testCreateNameExcludeFilter</t>
  </si>
  <si>
    <t>testCreateAbiNameIncludeFilter</t>
  </si>
  <si>
    <t>testCreateAbiNameExcludeFilter</t>
  </si>
  <si>
    <t>testCreateNameTestIncludeFilter</t>
  </si>
  <si>
    <t>testCreateNameTestExcludeFilter</t>
  </si>
  <si>
    <t>testCreateFullIncludeFilter</t>
  </si>
  <si>
    <t>testCreateFullExcludeFilter</t>
  </si>
  <si>
    <t>testAndroidTestCaseSetupProperly</t>
  </si>
  <si>
    <t>testAdoptionApps</t>
  </si>
  <si>
    <t>testAdoptionStorage</t>
  </si>
  <si>
    <t>setDeviceOwner</t>
  </si>
  <si>
    <t>testPermissionGrant</t>
  </si>
  <si>
    <t>testPermissionPolicy</t>
  </si>
  <si>
    <t>testPermissionMixedPolicies</t>
  </si>
  <si>
    <t>testPermissionPrompts</t>
  </si>
  <si>
    <t>testPermissionAppUpdate</t>
  </si>
  <si>
    <t>testPermissionGrantPreMApp</t>
  </si>
  <si>
    <t>AlarmClockIntentsTest</t>
  </si>
  <si>
    <t>testSetAlarm</t>
  </si>
  <si>
    <t>testDismissAlarm</t>
  </si>
  <si>
    <t>testSnoozeAlarm</t>
  </si>
  <si>
    <t>getAlarmTime</t>
  </si>
  <si>
    <t>isNextAlarmSameAs</t>
  </si>
  <si>
    <t>AlarmTime</t>
  </si>
  <si>
    <t>setParams</t>
  </si>
  <si>
    <t>cancelAlarm</t>
  </si>
  <si>
    <t>setAlarm</t>
  </si>
  <si>
    <t>snoozeAlarm</t>
  </si>
  <si>
    <t>testApplicationRestrictions</t>
  </si>
  <si>
    <t>testSetScreenCaptureDisabled_false</t>
  </si>
  <si>
    <t>testSetScreenCaptureDisabled_true</t>
  </si>
  <si>
    <t>testSetScreenCaptureDisabled_anyAdminTrue</t>
  </si>
  <si>
    <t>testSetScreenCaptureDisabled_anyAdminFalse</t>
  </si>
  <si>
    <t>testScreenCaptureDisabled</t>
  </si>
  <si>
    <t>testPersistentIntentResolving</t>
  </si>
  <si>
    <t>recoverCommandNotCompleted</t>
  </si>
  <si>
    <t>testPrecreate_persistentFailure</t>
  </si>
  <si>
    <t>testPrecreate_transientFailure</t>
  </si>
  <si>
    <t>waitForConnection</t>
  </si>
  <si>
    <t>testOpeningAnyFile</t>
  </si>
  <si>
    <t>testH264320x240</t>
  </si>
  <si>
    <t>testH264720x480</t>
  </si>
  <si>
    <t>testH2641280x720</t>
  </si>
  <si>
    <t>testH2641920x1080</t>
  </si>
  <si>
    <t>testVP8320x240</t>
  </si>
  <si>
    <t>testVP8640x360</t>
  </si>
  <si>
    <t>testVP81280x720</t>
  </si>
  <si>
    <t>testVP81920x1080</t>
  </si>
  <si>
    <t>testVP9320x240</t>
  </si>
  <si>
    <t>testVP9640x360</t>
  </si>
  <si>
    <t>testVP91280x720</t>
  </si>
  <si>
    <t>testVP91920x1080</t>
  </si>
  <si>
    <t>testVP93840x2160</t>
  </si>
  <si>
    <t>testHEVC352x288</t>
  </si>
  <si>
    <t>testHEVC720x480</t>
  </si>
  <si>
    <t>testHEVC1280x720</t>
  </si>
  <si>
    <t>testHEVC1920x1080</t>
  </si>
  <si>
    <t>testHEVC3840x2160</t>
  </si>
  <si>
    <t>testH263176x144</t>
  </si>
  <si>
    <t>testH263352x288</t>
  </si>
  <si>
    <t>testMPEG4480x360</t>
  </si>
  <si>
    <t>testMPEG41280x720</t>
  </si>
  <si>
    <t>testGetAccounts</t>
  </si>
  <si>
    <t>testGetAccountsByType</t>
  </si>
  <si>
    <t>testGetAccountsByTypeAndFeatures</t>
  </si>
  <si>
    <t>hasValidPhone</t>
  </si>
  <si>
    <t>shouldTestActual</t>
  </si>
  <si>
    <t>verifyAssistStructure</t>
  </si>
  <si>
    <t>testContextOnAndOff</t>
  </si>
  <si>
    <t>isNetworkProtected</t>
  </si>
  <si>
    <t>testStartUsingNetworkFeature_enableHipri</t>
  </si>
  <si>
    <t>testStartUsingNetworkFeature</t>
  </si>
  <si>
    <t>testRequestRouteToHost</t>
  </si>
  <si>
    <t>testAnnotationValue</t>
  </si>
  <si>
    <t>testDefaultAnnotationValue</t>
  </si>
  <si>
    <t>compareEqualClasses</t>
  </si>
  <si>
    <t>compareMissingClass</t>
  </si>
  <si>
    <t>compareAddedClass</t>
  </si>
  <si>
    <t>compareAnnotationsOnClass</t>
  </si>
  <si>
    <t>compareDefaultedAnnotationElementOnClass</t>
  </si>
  <si>
    <t>compareSameInterfaces</t>
  </si>
  <si>
    <t>compareMissingInterface</t>
  </si>
  <si>
    <t>compareMissingGenericInterface0</t>
  </si>
  <si>
    <t>compareMissingGenericInterface1</t>
  </si>
  <si>
    <t>compareMissingGenericInterfaceReflection</t>
  </si>
  <si>
    <t>compareInterfaceClosure</t>
  </si>
  <si>
    <t>compareUpperBounds0</t>
  </si>
  <si>
    <t>compareUpperBounds1</t>
  </si>
  <si>
    <t>compareTypeVariables0</t>
  </si>
  <si>
    <t>compareTypeVariables1</t>
  </si>
  <si>
    <t>compareTypeVariables2</t>
  </si>
  <si>
    <t>compareTypeVariables3</t>
  </si>
  <si>
    <t>compareTypeVariables4</t>
  </si>
  <si>
    <t>interfaceClosureTest</t>
  </si>
  <si>
    <t>compareEqualPackageTest0</t>
  </si>
  <si>
    <t>compareEqualPackageTest1</t>
  </si>
  <si>
    <t>compareRemovedPackagePackageTest1</t>
  </si>
  <si>
    <t>compareAddedPackagePackageTest1</t>
  </si>
  <si>
    <t>setupComparator</t>
  </si>
  <si>
    <t>getSinglePackageDelta</t>
  </si>
  <si>
    <t>getSingleClassDelta</t>
  </si>
  <si>
    <t>convertAnnotationDefinition1</t>
  </si>
  <si>
    <t>convertAnnotationDefinition2</t>
  </si>
  <si>
    <t>convertAnnotationDefinition3</t>
  </si>
  <si>
    <t>testAnnotationDefaultsInt1</t>
  </si>
  <si>
    <t>testAnnotationDefaultsInt2</t>
  </si>
  <si>
    <t>testAnnotationDefaultsInt3</t>
  </si>
  <si>
    <t>testAnnotationDefaultsDouble1</t>
  </si>
  <si>
    <t>testAnnotationDefaultsDouble2</t>
  </si>
  <si>
    <t>testAnnotationDefaultsDouble3</t>
  </si>
  <si>
    <t>testAnnotationDefaultsEnum1</t>
  </si>
  <si>
    <t>testAnnotationDefaultsEnum2</t>
  </si>
  <si>
    <t>testAnnotationDefaultsEnum3</t>
  </si>
  <si>
    <t>testAnnotationDefaultsAnnotation1</t>
  </si>
  <si>
    <t>testAnnotationDefaultsAnnotation2</t>
  </si>
  <si>
    <t>testAnnotationDefaultsAnnotation3</t>
  </si>
  <si>
    <t>testAnnotationDefaultsString1</t>
  </si>
  <si>
    <t>testAnnotationDefaultsString2</t>
  </si>
  <si>
    <t>testAnnotationDefaultsString3</t>
  </si>
  <si>
    <t>testAnnotationDefaultsClass1</t>
  </si>
  <si>
    <t>testAnnotationDefaultsClass2</t>
  </si>
  <si>
    <t>testAnnotationDefaultsClass3</t>
  </si>
  <si>
    <t>testAnnotationDefaultsClass4</t>
  </si>
  <si>
    <t>testAnnotationRetentionRuntime</t>
  </si>
  <si>
    <t>testAnnotationRetentionClass</t>
  </si>
  <si>
    <t>convertPackageClassTest</t>
  </si>
  <si>
    <t>convertClassClassTest</t>
  </si>
  <si>
    <t>convertClassInterfaceTest</t>
  </si>
  <si>
    <t>convertClassEnumTest</t>
  </si>
  <si>
    <t>convertClassAnnotationTest</t>
  </si>
  <si>
    <t>convertAnnotationTest</t>
  </si>
  <si>
    <t>convertAnnotationOnFieldTest</t>
  </si>
  <si>
    <t>convertGenericClass0</t>
  </si>
  <si>
    <t>convertGenericClass00</t>
  </si>
  <si>
    <t>convertGenericClass1</t>
  </si>
  <si>
    <t>convertGenericClass2</t>
  </si>
  <si>
    <t>convertClassImplementsInterface0</t>
  </si>
  <si>
    <t>convertClassImplementsInterface1</t>
  </si>
  <si>
    <t>convertClassImplementsGenericInterface0</t>
  </si>
  <si>
    <t>convertGenericClassImplementsGenericInterface</t>
  </si>
  <si>
    <t>convertConstructor0</t>
  </si>
  <si>
    <t>convertConstructor1a</t>
  </si>
  <si>
    <t>convertConstructor1b</t>
  </si>
  <si>
    <t>convertConstructor2</t>
  </si>
  <si>
    <t>convertConstructor3</t>
  </si>
  <si>
    <t>convertConstructorWithException</t>
  </si>
  <si>
    <t>convertConstructorWithParameter</t>
  </si>
  <si>
    <t>convertConstructorWithGenericParameter</t>
  </si>
  <si>
    <t>convertVoidMethod</t>
  </si>
  <si>
    <t>convertArrayMethod</t>
  </si>
  <si>
    <t>testParameterConformance1</t>
  </si>
  <si>
    <t>testParameterConformance2</t>
  </si>
  <si>
    <t>testInnerReferenceToOuterTypeVariable</t>
  </si>
  <si>
    <t>convertTypeVariableMultipleUpperBound</t>
  </si>
  <si>
    <t>convertPrivateStaticInnerClass0</t>
  </si>
  <si>
    <t>convertPrivateStaticInnerClass1</t>
  </si>
  <si>
    <t>convertNonStaticInnerClassConstructor0</t>
  </si>
  <si>
    <t>convertNonStaticInnerClassConstructor1</t>
  </si>
  <si>
    <t>testEnum1</t>
  </si>
  <si>
    <t>testEnum2</t>
  </si>
  <si>
    <t>testEnum3</t>
  </si>
  <si>
    <t>testEnum4</t>
  </si>
  <si>
    <t>testPackageAnnotation</t>
  </si>
  <si>
    <t>testNumberOfClasses1</t>
  </si>
  <si>
    <t>testNumberOfClasses2</t>
  </si>
  <si>
    <t>convertParameterizedType</t>
  </si>
  <si>
    <t>convertWildcardLowerBound</t>
  </si>
  <si>
    <t>reflectionTest0</t>
  </si>
  <si>
    <t>reflectionTest1</t>
  </si>
  <si>
    <t>reflectionTest2</t>
  </si>
  <si>
    <t>testVisibilityMethods1</t>
  </si>
  <si>
    <t>testVisibilityMethods2</t>
  </si>
  <si>
    <t>testVisibilityMethods3</t>
  </si>
  <si>
    <t>testVisibilityMethods4</t>
  </si>
  <si>
    <t>testVisibility1</t>
  </si>
  <si>
    <t>testVisibility2</t>
  </si>
  <si>
    <t>testVisibility3</t>
  </si>
  <si>
    <t>testVisibility4</t>
  </si>
  <si>
    <t>convertWildcardUpperBound</t>
  </si>
  <si>
    <t>testExternalizer</t>
  </si>
  <si>
    <t>setupDexUtil</t>
  </si>
  <si>
    <t>convertPackageTest</t>
  </si>
  <si>
    <t>getPackageNameTest</t>
  </si>
  <si>
    <t>getClassNameTest</t>
  </si>
  <si>
    <t>hasGenericSignatureTest</t>
  </si>
  <si>
    <t>getGenericSignatureTest</t>
  </si>
  <si>
    <t>setupConverter</t>
  </si>
  <si>
    <t>convert</t>
  </si>
  <si>
    <t>createDirStructure</t>
  </si>
  <si>
    <t>testValidation</t>
  </si>
  <si>
    <t>testDirs</t>
  </si>
  <si>
    <t>testManifestLoad</t>
  </si>
  <si>
    <t>testProperty</t>
  </si>
  <si>
    <t>setProperty</t>
  </si>
  <si>
    <t>setAsMoskLocationProvider</t>
  </si>
  <si>
    <t>captureBurstShot</t>
  </si>
  <si>
    <t>prepareCapture</t>
  </si>
  <si>
    <t>waitForDeviceState</t>
  </si>
  <si>
    <t>waitForSessionState</t>
  </si>
  <si>
    <t>checkFpsRange</t>
  </si>
  <si>
    <t>checkAfMode</t>
  </si>
  <si>
    <t>checkAntiBandingMode</t>
  </si>
  <si>
    <t>checkMeteringRect</t>
  </si>
  <si>
    <t>checkRequestForTemplate</t>
  </si>
  <si>
    <t>captureTemplateTestByCamera</t>
  </si>
  <si>
    <t>startCapture</t>
  </si>
  <si>
    <t>closeSession</t>
  </si>
  <si>
    <t>MultipleSessionCallback</t>
  </si>
  <si>
    <t>onClosed</t>
  </si>
  <si>
    <t>onConfigured</t>
  </si>
  <si>
    <t>onConfigureFailed</t>
  </si>
  <si>
    <t>getAllSessions</t>
  </si>
  <si>
    <t>waitForSessionClose</t>
  </si>
  <si>
    <t>testSomething</t>
  </si>
  <si>
    <t>testAppIsIdle</t>
  </si>
  <si>
    <t>removeAllAccounts</t>
  </si>
  <si>
    <t>assertInt</t>
  </si>
  <si>
    <t>testDelegatedCertInstaller</t>
  </si>
  <si>
    <t>testDynamicConfig</t>
  </si>
  <si>
    <t>AssistTest</t>
  </si>
  <si>
    <t>updatePreviewSurfaceWithVideoSize</t>
  </si>
  <si>
    <t>testManifest</t>
  </si>
  <si>
    <t>testUninstallBlocked</t>
  </si>
  <si>
    <t>assertInstallPackage</t>
  </si>
  <si>
    <t>tryUninstallPackage</t>
  </si>
  <si>
    <t>testPackageInstall</t>
  </si>
  <si>
    <t>tearDownConnectionServices</t>
  </si>
  <si>
    <t>testDisallowOutgoingCallsForSecondaryUser</t>
  </si>
  <si>
    <t>testOutgoingCallBroadcast_isSentForAllCalls</t>
  </si>
  <si>
    <t>test_getStreamVolumeLeak</t>
  </si>
  <si>
    <t>test_getCurrentPositionLeak</t>
  </si>
  <si>
    <t>test_getDurationLeak</t>
  </si>
  <si>
    <t>testCalculateJitter</t>
  </si>
  <si>
    <t>testSerialization</t>
  </si>
  <si>
    <t>testParsing</t>
  </si>
  <si>
    <t>checkResult</t>
  </si>
  <si>
    <t>extractRaw</t>
  </si>
  <si>
    <t>testStartCallWithSpeakerphoneNotProvided_SpeakerphoneOffByDefault</t>
  </si>
  <si>
    <t>testMediaCryptoClearKey</t>
  </si>
  <si>
    <t>testMediaCryptoWidevine</t>
  </si>
  <si>
    <t>openSession</t>
  </si>
  <si>
    <t>getWidevineKeys</t>
  </si>
  <si>
    <t>hex2ba</t>
  </si>
  <si>
    <t>testListScrollAndSelect</t>
  </si>
  <si>
    <t>testTextEraseAndInput</t>
  </si>
  <si>
    <t>testSelectByContentDescription</t>
  </si>
  <si>
    <t>testSelectByText</t>
  </si>
  <si>
    <t>testSelectByIndex</t>
  </si>
  <si>
    <t>testSelectByInstance</t>
  </si>
  <si>
    <t>testSelectAfterContentChanged</t>
  </si>
  <si>
    <t>testDeviceSoftKeys</t>
  </si>
  <si>
    <t>testWaitForIdleTimeout</t>
  </si>
  <si>
    <t>testVerifyMenuClicks</t>
  </si>
  <si>
    <t>testSwipes</t>
  </si>
  <si>
    <t>testComplexSelectors</t>
  </si>
  <si>
    <t>testExceptionObjectNotFound</t>
  </si>
  <si>
    <t>testUiWatcher</t>
  </si>
  <si>
    <t>testSelectorChecked</t>
  </si>
  <si>
    <t>testSelectorClickable</t>
  </si>
  <si>
    <t>testSelectorFocusable</t>
  </si>
  <si>
    <t>testSelectorDescriptionContains</t>
  </si>
  <si>
    <t>testSelectorDescriptionStarts</t>
  </si>
  <si>
    <t>testSelectorEnabled</t>
  </si>
  <si>
    <t>testCollectionCount</t>
  </si>
  <si>
    <t>testCollectionGetChildByText</t>
  </si>
  <si>
    <t>testCollectionGetChildByInstance</t>
  </si>
  <si>
    <t>testCollectionGetChildByDescription</t>
  </si>
  <si>
    <t>testRotation</t>
  </si>
  <si>
    <t>testGetProductName</t>
  </si>
  <si>
    <t>testSelectByTextMatch</t>
  </si>
  <si>
    <t>testSelectByDescriptionMatch</t>
  </si>
  <si>
    <t>testSelectByClassMatch</t>
  </si>
  <si>
    <t>testSelectByClassType</t>
  </si>
  <si>
    <t>testGetVisibleBounds</t>
  </si>
  <si>
    <t>testSelectorLongClickable</t>
  </si>
  <si>
    <t>testSelectorLongClickableProperty</t>
  </si>
  <si>
    <t>testTakeScreenShots</t>
  </si>
  <si>
    <t>testSelectorResourceId</t>
  </si>
  <si>
    <t>testSelectorResourceIdMatches</t>
  </si>
  <si>
    <t>testPinchOut</t>
  </si>
  <si>
    <t>testPinchIn</t>
  </si>
  <si>
    <t>testDragToObject</t>
  </si>
  <si>
    <t>testDragToCoordinates</t>
  </si>
  <si>
    <t>withinMarginOfError</t>
  </si>
  <si>
    <t>parsePointerCoordinates</t>
  </si>
  <si>
    <t>openTest</t>
  </si>
  <si>
    <t>verifyTestDetailsExists</t>
  </si>
  <si>
    <t>getObjectByText</t>
  </si>
  <si>
    <t>getObjectByTextMatch</t>
  </si>
  <si>
    <t>getObjectByDescriptionMatch</t>
  </si>
  <si>
    <t>getObjectByDescription</t>
  </si>
  <si>
    <t>getObjectByClassMatch</t>
  </si>
  <si>
    <t>getObjectByClass</t>
  </si>
  <si>
    <t>getObjectByIndex</t>
  </si>
  <si>
    <t>getObjectByInstance</t>
  </si>
  <si>
    <t>verifyDialogActionResults</t>
  </si>
  <si>
    <t>testSendProtectedBroadcasts</t>
  </si>
  <si>
    <t>catch</t>
  </si>
  <si>
    <t>getClasses</t>
  </si>
  <si>
    <t>hasCaCertInstalled</t>
  </si>
  <si>
    <t>containsCertificate</t>
  </si>
  <si>
    <t>testCurrentPlayTime</t>
  </si>
  <si>
    <t>testCorrectOneExpected</t>
  </si>
  <si>
    <t>testCorrectManyExpected</t>
  </si>
  <si>
    <t>testIncorrectOneExpected</t>
  </si>
  <si>
    <t>testIncorrectManyExpected</t>
  </si>
  <si>
    <t>testCommandRun</t>
  </si>
  <si>
    <t>testWifiConnected</t>
  </si>
  <si>
    <t>DeviceInfoActivityTest</t>
  </si>
  <si>
    <t>testJsonFile</t>
  </si>
  <si>
    <t>testDefaultMatch</t>
  </si>
  <si>
    <t>testDefaultMismatch</t>
  </si>
  <si>
    <t>testOptionMatch</t>
  </si>
  <si>
    <t>testOptionMismatch</t>
  </si>
  <si>
    <t>testWarningMatch</t>
  </si>
  <si>
    <t>testWarningMismatch</t>
  </si>
  <si>
    <t>testErrorMatch</t>
  </si>
  <si>
    <t>testErrorMismatch</t>
  </si>
  <si>
    <t>setupTestModules</t>
  </si>
  <si>
    <t>testNameMatching</t>
  </si>
  <si>
    <t>invocationStarted</t>
  </si>
  <si>
    <t>testRunStarted</t>
  </si>
  <si>
    <t>testStarted</t>
  </si>
  <si>
    <t>testIgnored</t>
  </si>
  <si>
    <t>testAssumptionFailure</t>
  </si>
  <si>
    <t>testRunStopped</t>
  </si>
  <si>
    <t>testRunEnded</t>
  </si>
  <si>
    <t>testRunFailed</t>
  </si>
  <si>
    <t>invocationEnded</t>
  </si>
  <si>
    <t>invocationFailed</t>
  </si>
  <si>
    <t>enablePrintServices</t>
  </si>
  <si>
    <t>disablePrintServices</t>
  </si>
  <si>
    <t>makeTestRun</t>
  </si>
  <si>
    <t>testRepeatedExecutions</t>
  </si>
  <si>
    <t>resetResult</t>
  </si>
  <si>
    <t>unapproveAllServices</t>
  </si>
  <si>
    <t>testLocationServicesOnGpsNetwork</t>
  </si>
  <si>
    <t>testLocationServicesOnGps</t>
  </si>
  <si>
    <t>testLocationServicesOnNetwork</t>
  </si>
  <si>
    <t>testLocationServicesOff</t>
  </si>
  <si>
    <t>testWifiDisconnected</t>
  </si>
  <si>
    <t>testWifiConnectionSuccessful</t>
  </si>
  <si>
    <t>testWifiConnectionUnuccessful</t>
  </si>
  <si>
    <t>testResolutionString</t>
  </si>
  <si>
    <t>testGetDeviceDirs</t>
  </si>
  <si>
    <t>testGetMaxVideoPlaybackResolutionFound</t>
  </si>
  <si>
    <t>testGetMaxVideoPlaybackResolutionNotFound</t>
  </si>
  <si>
    <t>testSkipMediaDownload</t>
  </si>
  <si>
    <t>testScreenUnlocked</t>
  </si>
  <si>
    <t>testExternalStoragePresent</t>
  </si>
  <si>
    <t>testPlatformDefinedRuntimePermissionValid</t>
  </si>
  <si>
    <t>testEntropyConsumption</t>
  </si>
  <si>
    <t>testWriteTopicsToParcel</t>
  </si>
  <si>
    <t>onDismiss</t>
  </si>
  <si>
    <t>getDismissCount</t>
  </si>
  <si>
    <t>getOnDismissCalledCount</t>
  </si>
  <si>
    <t>getOnTouchCalledCount</t>
  </si>
  <si>
    <t>onTouch</t>
  </si>
  <si>
    <t>MockTransition</t>
  </si>
  <si>
    <t>captureStartValues</t>
  </si>
  <si>
    <t>captureEndValues</t>
  </si>
  <si>
    <t>getTransitionCount</t>
  </si>
  <si>
    <t>getDeviceOwnerReceiverComponent</t>
  </si>
  <si>
    <t>getComponent</t>
  </si>
  <si>
    <t>verifyCommandTuneAndHardwareVideoAvailable</t>
  </si>
  <si>
    <t>testID3v2EmbeddedPicture</t>
  </si>
  <si>
    <t>FragmentTransitionTest</t>
  </si>
  <si>
    <t>testFragmentTransition</t>
  </si>
  <si>
    <t>testFirstOutLastInTransition</t>
  </si>
  <si>
    <t>testPopTwo</t>
  </si>
  <si>
    <t>testNullTransition</t>
  </si>
  <si>
    <t>testRemoveAdded</t>
  </si>
  <si>
    <t>testAddRemoved</t>
  </si>
  <si>
    <t>waitForStart</t>
  </si>
  <si>
    <t>waitForEnd</t>
  </si>
  <si>
    <t>WaitForTransition</t>
  </si>
  <si>
    <t>isComplete</t>
  </si>
  <si>
    <t>isDone</t>
  </si>
  <si>
    <t>onTransition</t>
  </si>
  <si>
    <t>checkCamera2Features</t>
  </si>
  <si>
    <t>assertFeature</t>
  </si>
  <si>
    <t>setDecorView</t>
  </si>
  <si>
    <t>checkValues</t>
  </si>
  <si>
    <t>commonFunctions</t>
  </si>
  <si>
    <t>testSetTextLong</t>
  </si>
  <si>
    <t>buildGiftForPackage</t>
  </si>
  <si>
    <t>testHEVCDecode720x480</t>
  </si>
  <si>
    <t>testHEVC0720x0480Other</t>
  </si>
  <si>
    <t>testHEVC0720x0480Goog</t>
  </si>
  <si>
    <t>testCanInstallValidRsaKeypair</t>
  </si>
  <si>
    <t>hasCalledDraw</t>
  </si>
  <si>
    <t>testCarMode</t>
  </si>
  <si>
    <t>doTestCarModeAutomotive</t>
  </si>
  <si>
    <t>doTestCarModeGeneric</t>
  </si>
  <si>
    <t>testDynamicConfigOverride</t>
  </si>
  <si>
    <t>getContactInfoFromUriWithDirectoryId</t>
  </si>
  <si>
    <t>getContactInfoFromSipUri</t>
  </si>
  <si>
    <t>getContactInfoFromPhoneLookup</t>
  </si>
  <si>
    <t>getContactInfoFromEmailUri</t>
  </si>
  <si>
    <t>getContactInfo</t>
  </si>
  <si>
    <t>getContactInfoFromEmail</t>
  </si>
  <si>
    <t>getEnterpriseContactInfo</t>
  </si>
  <si>
    <t>getEnterpriseContactInfoWithDirectoryId</t>
  </si>
  <si>
    <t>getEnterpriseContactInfoFromSipAddress</t>
  </si>
  <si>
    <t>getEnterpriseContactInfoFromEmail</t>
  </si>
  <si>
    <t>testDynamicConfigLocal</t>
  </si>
  <si>
    <t>testAddAccount</t>
  </si>
  <si>
    <t>testRemoveAccounts</t>
  </si>
  <si>
    <t>removeAllAccountsForType</t>
  </si>
  <si>
    <t>testAccountManagementDisabled_setterAndGetter</t>
  </si>
  <si>
    <t>testAccountManagementDisabled_addAccount</t>
  </si>
  <si>
    <t>testAccountManagementDisabled_removeAccount</t>
  </si>
  <si>
    <t>testUserRestriction_addAccount</t>
  </si>
  <si>
    <t>testUserRestriction_removeAccount</t>
  </si>
  <si>
    <t>clearAllAccountManagementDisabled</t>
  </si>
  <si>
    <t>testAccountManagement</t>
  </si>
  <si>
    <t>testFoo</t>
  </si>
  <si>
    <t>testFinishSessionWithStartAddAccountSession</t>
  </si>
  <si>
    <t>testFinishSessionWithStartUpdateCredentialsSession</t>
  </si>
  <si>
    <t>testFinishSessionWithNullSessionBundle</t>
  </si>
  <si>
    <t>testFinishSessionWithEmptySessionBundle</t>
  </si>
  <si>
    <t>testFinishSessionWithDecryptionError</t>
  </si>
  <si>
    <t>testFinishSessionWithInvalidEncryptedContent</t>
  </si>
  <si>
    <t>testFinishSessionFromStartAddAccountWithoutAccountType</t>
  </si>
  <si>
    <t>testFinishSessionFromStartUpdateCredentialsSessionWithoutAccountType</t>
  </si>
  <si>
    <t>testFinishSessionFromStartAddAccountAccountTypeOverriden</t>
  </si>
  <si>
    <t>testFinishSessionFromStartUpdateCredentialsSessionAccountTypeOverriden</t>
  </si>
  <si>
    <t>testFinishSessionIntervene</t>
  </si>
  <si>
    <t>testFinishSessionWithReturnIntent</t>
  </si>
  <si>
    <t>testFinishSessionError</t>
  </si>
  <si>
    <t>testFinishSessionWithCallbackAndHandler</t>
  </si>
  <si>
    <t>testFinishSessionWithCallbackAndHandlerWithIntervene</t>
  </si>
  <si>
    <t>testFinishSessionWithCallbackAndHandlerWithReturnIntent</t>
  </si>
  <si>
    <t>testFinishSessionErrorWithCallbackAndHandler</t>
  </si>
  <si>
    <t>finishSession</t>
  </si>
  <si>
    <t>validateFinishSessionOptions</t>
  </si>
  <si>
    <t>testStartUpdateCredentialsSession</t>
  </si>
  <si>
    <t>testStartUpdateCredentialsSessionWithNullSessionBundle</t>
  </si>
  <si>
    <t>testStartUpdateCredentialsSessionWithEmptySessionBundle</t>
  </si>
  <si>
    <t>testStartUpdateCredentialsSessionIntervene</t>
  </si>
  <si>
    <t>testStartUpdateCredentialsSessionWithReturnIntent</t>
  </si>
  <si>
    <t>testStartUpdateCredentialsSessionError</t>
  </si>
  <si>
    <t>testStartUpdateCredentialsSessionWithCallbackAndHandler</t>
  </si>
  <si>
    <t>testStartUpdateCredentialsSessionWithCallbackAndHandlerWithIntervene</t>
  </si>
  <si>
    <t>testStartUpdateCredentialsSessionWithCallbackAndHandlerWithReturnIntent</t>
  </si>
  <si>
    <t>testStartUpdateCredentialsSessionErrorWithCallbackAndHandler</t>
  </si>
  <si>
    <t>startUpdateCredentialsSession</t>
  </si>
  <si>
    <t>validateStartUpdateCredentialsSessionOptions</t>
  </si>
  <si>
    <t>getSessionBundle</t>
  </si>
  <si>
    <t>testStartAddAccountSession</t>
  </si>
  <si>
    <t>testStartAddAccountSessionWithNullSessionBundle</t>
  </si>
  <si>
    <t>testStartAddAccountSessionWithEmptySessionBundle</t>
  </si>
  <si>
    <t>testStartAddAccountSessionIntervene</t>
  </si>
  <si>
    <t>testStartAddAccountSessionWithReturnIntent</t>
  </si>
  <si>
    <t>testStartAddAccountSessionError</t>
  </si>
  <si>
    <t>testStartAddAccountSessionWithCallbackAndHandler</t>
  </si>
  <si>
    <t>testStartAddAccountSessionWithCallbackAndHandlerWithIntervene</t>
  </si>
  <si>
    <t>testStartAddAccountSessionWithCallbackAndHandlerWithReturnIntent</t>
  </si>
  <si>
    <t>testStartAddAccountSessionErrorWithCallbackAndHandler</t>
  </si>
  <si>
    <t>startAddAccountSession</t>
  </si>
  <si>
    <t>validateStartAddAccountSessionOptions</t>
  </si>
  <si>
    <t>validateSessionBundleAndPasswordAndStatusTokenResult</t>
  </si>
  <si>
    <t>testManagedContacts</t>
  </si>
  <si>
    <t>isAvcSupportedSize</t>
  </si>
  <si>
    <t>hasClearChildFocus</t>
  </si>
  <si>
    <t>hasGetChildVisibleRect</t>
  </si>
  <si>
    <t>getDefaultParentStateSet</t>
  </si>
  <si>
    <t>hasOnCreateDrawableState</t>
  </si>
  <si>
    <t>childOverlayStateChanged</t>
  </si>
  <si>
    <t>testUpdateConfiguration_ResolvedLocaleIsRecalculated</t>
  </si>
  <si>
    <t>testGetResolvedLocale_unsupportedLocale</t>
  </si>
  <si>
    <t>testGetResolvedLocale_secondaryLocaleIsSupported</t>
  </si>
  <si>
    <t>testGetResolvedLocale_secondaryLocaleIsPartiallySupported</t>
  </si>
  <si>
    <t>testGetResolvedLocale_SystemResourcesLocaleNonNull</t>
  </si>
  <si>
    <t>testGetResolvedLocale_NonNull</t>
  </si>
  <si>
    <t>testPrimaryProfileEnterpriseContactFilter_canAccessPrimaryDirectories</t>
  </si>
  <si>
    <t>testPrimaryProfileEnterpriseContactFilter_primaryies</t>
  </si>
  <si>
    <t>testManagedProfileEnterprisePhoneFilter_canAccesManagedDirectories</t>
  </si>
  <si>
    <t>testDoGrantDontRequest</t>
  </si>
  <si>
    <t>testDontGrantDoRequest</t>
  </si>
  <si>
    <t>testDoGrantDoRequest</t>
  </si>
  <si>
    <t>testScreenCaptureDisabled_allowedPrimaryUser</t>
  </si>
  <si>
    <t>canCreateUsers</t>
  </si>
  <si>
    <t>assertUrlConnectionHttpsFails</t>
  </si>
  <si>
    <t>assertUrlConnectionHttpsSucceeds</t>
  </si>
  <si>
    <t>assertHttpClientHttpsSucceeds</t>
  </si>
  <si>
    <t>assertHttpClientHttpsFails</t>
  </si>
  <si>
    <t>testTvInputService</t>
  </si>
  <si>
    <t>assertNoFile</t>
  </si>
  <si>
    <t>testNoVulkan</t>
  </si>
  <si>
    <t>removeActiveAdmin</t>
  </si>
  <si>
    <t>onMultiWindowModeChanged</t>
  </si>
  <si>
    <t>startAndWait</t>
  </si>
  <si>
    <t>waitForChangedRestriction</t>
  </si>
  <si>
    <t>onTileAdded</t>
  </si>
  <si>
    <t>onDestroy</t>
  </si>
  <si>
    <t>onTileRemoved</t>
  </si>
  <si>
    <t>onStartListening</t>
  </si>
  <si>
    <t>onStopListening</t>
  </si>
  <si>
    <t>onClick</t>
  </si>
  <si>
    <t>handleStartActivity</t>
  </si>
  <si>
    <t>handleShowDialog</t>
  </si>
  <si>
    <t>FocusView</t>
  </si>
  <si>
    <t>ActiveTileServiceTest</t>
  </si>
  <si>
    <t>testNotListening</t>
  </si>
  <si>
    <t>testRequestListening</t>
  </si>
  <si>
    <t>testClick</t>
  </si>
  <si>
    <t>BaseTileServiceTest</t>
  </si>
  <si>
    <t>showDialog</t>
  </si>
  <si>
    <t>addTile</t>
  </si>
  <si>
    <t>remTile</t>
  </si>
  <si>
    <t>clickTile</t>
  </si>
  <si>
    <t>openNotifications</t>
  </si>
  <si>
    <t>openSettings</t>
  </si>
  <si>
    <t>collapse</t>
  </si>
  <si>
    <t>waitFor</t>
  </si>
  <si>
    <t>hasLog</t>
  </si>
  <si>
    <t>clearLogcat</t>
  </si>
  <si>
    <t>TileServiceTest</t>
  </si>
  <si>
    <t>testAddTile</t>
  </si>
  <si>
    <t>testRemoveTile</t>
  </si>
  <si>
    <t>testListeningNotifications</t>
  </si>
  <si>
    <t>testListeningSettings</t>
  </si>
  <si>
    <t>testCantAddDialog</t>
  </si>
  <si>
    <t>testClickAndShowDialog</t>
  </si>
  <si>
    <t>testStartActivity</t>
  </si>
  <si>
    <t>testGetLocalesMain</t>
  </si>
  <si>
    <t>testGetLocaleObjectMain</t>
  </si>
  <si>
    <t>test_aMessageFromParcel</t>
  </si>
  <si>
    <t>testResetPassword</t>
  </si>
  <si>
    <t>testAdminWithNoProtection</t>
  </si>
  <si>
    <t>runTests</t>
  </si>
  <si>
    <t>testSaveInstanceStateSelection</t>
  </si>
  <si>
    <t>testSetPassword_success</t>
  </si>
  <si>
    <t>testSetPassword_failure</t>
  </si>
  <si>
    <t>testClearPassword_success</t>
  </si>
  <si>
    <t>testClearPassword_failure</t>
  </si>
  <si>
    <t>testTargetApiLevel</t>
  </si>
  <si>
    <t>sendStatus</t>
  </si>
  <si>
    <t>callableFilterAccessDirectoryInternal</t>
  </si>
  <si>
    <t>emailFilterCanAccessDirectoriesInternal</t>
  </si>
  <si>
    <t>contactFilterCanAccessPrimaryDirectoriesInternal</t>
  </si>
  <si>
    <t>phoneFilterCanAccessPrimaryDirectoriesInternal</t>
  </si>
  <si>
    <t>verifyCommandConnect</t>
  </si>
  <si>
    <t>verifyCommandDisconnect</t>
  </si>
  <si>
    <t>verifyCallbackConnected</t>
  </si>
  <si>
    <t>verifyCallbackRecordingStarted</t>
  </si>
  <si>
    <t>onConnect</t>
  </si>
  <si>
    <t>onDisconnect</t>
  </si>
  <si>
    <t>onConnected</t>
  </si>
  <si>
    <t>onRecordingStarted</t>
  </si>
  <si>
    <t>insertProgramWithBroadcastGenre</t>
  </si>
  <si>
    <t>verifyChannelCountWithCanonicalGenre</t>
  </si>
  <si>
    <t>testBroadcastGenreEncodeDecode</t>
  </si>
  <si>
    <t>testBroadcastGenreQueryChannel</t>
  </si>
  <si>
    <t>startAppOnHalfScreen</t>
  </si>
  <si>
    <t>testRemoveActiveAdmin</t>
  </si>
  <si>
    <t>getTargetApiLevel</t>
  </si>
  <si>
    <t>assertHasPassword</t>
  </si>
  <si>
    <t>assertNoPassword</t>
  </si>
  <si>
    <t>shouldResetPasswordThrow</t>
  </si>
  <si>
    <t>checkSetPassword_nycRestrictions_success</t>
  </si>
  <si>
    <t>checkSetPassword_nycRestrictions_failure</t>
  </si>
  <si>
    <t>checkClearPassword_nycRestrictions_failure</t>
  </si>
  <si>
    <t>testResetPassword_nycRestrictions</t>
  </si>
  <si>
    <t>testRunAllTests</t>
  </si>
  <si>
    <t>setBlankPassword</t>
  </si>
  <si>
    <t>testGetMaximumFailedPasswordsForWipe</t>
  </si>
  <si>
    <t>testPasswordQuality_something</t>
  </si>
  <si>
    <t>testPasswordQuality_numeric</t>
  </si>
  <si>
    <t>testPasswordQuality_alphabetic</t>
  </si>
  <si>
    <t>testPasswordQuality_alphanumeric</t>
  </si>
  <si>
    <t>testPasswordQuality_complexUpperCase</t>
  </si>
  <si>
    <t>testPasswordQuality_complexLowerCase</t>
  </si>
  <si>
    <t>testPasswordQuality_complexLetters</t>
  </si>
  <si>
    <t>testPasswordQuality_complexNumeric</t>
  </si>
  <si>
    <t>testPasswordQuality_complexSymbols</t>
  </si>
  <si>
    <t>testPasswordQuality_complexNonLetter</t>
  </si>
  <si>
    <t>testPasswordHistoryLength</t>
  </si>
  <si>
    <t>testPasswordExpirationTimeout</t>
  </si>
  <si>
    <t>resetComplexPasswordRestrictions</t>
  </si>
  <si>
    <t>assertPasswordFails</t>
  </si>
  <si>
    <t>assertPasswordSucceeds</t>
  </si>
  <si>
    <t>testTvInputInfoChanged</t>
  </si>
  <si>
    <t>onTvInputInfoChanged</t>
  </si>
  <si>
    <t>getLastChangedTvInputInfo</t>
  </si>
  <si>
    <t>TestFragment</t>
  </si>
  <si>
    <t>testOutgoingCall</t>
  </si>
  <si>
    <t>testOpenExternalDirectory</t>
  </si>
  <si>
    <t>testWriteTopicToParcel</t>
  </si>
  <si>
    <t>verifyFocusDistanceControl</t>
  </si>
  <si>
    <t>testDeselectTrack</t>
  </si>
  <si>
    <t>testGetTrackInfo</t>
  </si>
  <si>
    <t>testRestrictBackgroundChangedNotReceived</t>
  </si>
  <si>
    <t>testRestrictBackgroundChangedReceivedOnce</t>
  </si>
  <si>
    <t>testRestrictBackgroundChangedReceivedTwice</t>
  </si>
  <si>
    <t>checkNetworkStatus</t>
  </si>
  <si>
    <t>testCreateUser_failIfNotDeviceOwner</t>
  </si>
  <si>
    <t>testCreateAndInitializeUser_failIfNotDeviceOwner</t>
  </si>
  <si>
    <t>verifyAudioSourceSession</t>
  </si>
  <si>
    <t>executeDeviceOwnerTestAsUser</t>
  </si>
  <si>
    <t>AbiOverrideTest</t>
  </si>
  <si>
    <t>testRunIn32BitProcess</t>
  </si>
  <si>
    <t>testLink</t>
  </si>
  <si>
    <t>testGetFadingEdgeStrength</t>
  </si>
  <si>
    <t>isFloat16NaN</t>
  </si>
  <si>
    <t>isFloat16Infinite</t>
  </si>
  <si>
    <t>isFloat16SubNormal</t>
  </si>
  <si>
    <t>isFloat16Zero</t>
  </si>
  <si>
    <t>isFloat16Negative</t>
  </si>
  <si>
    <t>isFloat16FiniteNonZero</t>
  </si>
  <si>
    <t>convertFloat16ToFloat</t>
  </si>
  <si>
    <t>testDataCollection</t>
  </si>
  <si>
    <t>dumpDoubleAsCtsResult</t>
  </si>
  <si>
    <t>dumpDoubleArrayAsCtsResult</t>
  </si>
  <si>
    <t>getJsonValueAsDouble</t>
  </si>
  <si>
    <t>dumpJsonArrayAsCtsResult</t>
  </si>
  <si>
    <t>dumpJsonObjectAsCtsResult</t>
  </si>
  <si>
    <t>hasCameraFeature</t>
  </si>
  <si>
    <t>testProximityFifoLength</t>
  </si>
  <si>
    <t>testStepDetectorFifoLength</t>
  </si>
  <si>
    <t>checkMinFifoLength</t>
  </si>
  <si>
    <t>testRegisterUnregister</t>
  </si>
  <si>
    <t>testMultiple</t>
  </si>
  <si>
    <t>waitForDisconnect</t>
  </si>
  <si>
    <t>YUVImage</t>
  </si>
  <si>
    <t>getFormat</t>
  </si>
  <si>
    <t>getTimestamp</t>
  </si>
  <si>
    <t>getPlanes</t>
  </si>
  <si>
    <t>YUVPlane</t>
  </si>
  <si>
    <t>getRowStride</t>
  </si>
  <si>
    <t>getPixelStride</t>
  </si>
  <si>
    <t>getBuffer</t>
  </si>
  <si>
    <t>testAudioManagerGetActiveRecordConfigurations</t>
  </si>
  <si>
    <t>testCallback</t>
  </si>
  <si>
    <t>MyAudioRecordingCallback</t>
  </si>
  <si>
    <t>onRecordConfigChanged</t>
  </si>
  <si>
    <t>deviceMatch</t>
  </si>
  <si>
    <t>verifyAudioConfig</t>
  </si>
  <si>
    <t>hasDrawn</t>
  </si>
  <si>
    <t>testEvaluate</t>
  </si>
  <si>
    <t>getKey</t>
  </si>
  <si>
    <t>testSetStroke1</t>
  </si>
  <si>
    <t>testMethods</t>
  </si>
  <si>
    <t>testSetCallback</t>
  </si>
  <si>
    <t>testSetLayoutDirection</t>
  </si>
  <si>
    <t>testGetLayoutDirection</t>
  </si>
  <si>
    <t>OnClickListener</t>
  </si>
  <si>
    <t>OnCancelListener</t>
  </si>
  <si>
    <t>OnKeyListener</t>
  </si>
  <si>
    <t>OnItemSelectedListener</t>
  </si>
  <si>
    <t>OnMultiChoiceClickListener</t>
  </si>
  <si>
    <t>testAvoidXfermode</t>
  </si>
  <si>
    <t>testPixelXorXfermode</t>
  </si>
  <si>
    <t>alphaColor</t>
  </si>
  <si>
    <t>showPopup</t>
  </si>
  <si>
    <t>dismissPopup</t>
  </si>
  <si>
    <t>testGetChangingConfigurations</t>
  </si>
  <si>
    <t>testAlertDialogDeprecatedAPIWithMessage</t>
  </si>
  <si>
    <t>assertPathMatches</t>
  </si>
  <si>
    <t>waitForAnimationFrame</t>
  </si>
  <si>
    <t>testEmojiZWJSequence</t>
  </si>
  <si>
    <t>testEmojiModifier</t>
  </si>
  <si>
    <t>testEmojiZeroWidthJoinerSequence</t>
  </si>
  <si>
    <t>testPseudorangeRateCorrected</t>
  </si>
  <si>
    <t>testColorStateList</t>
  </si>
  <si>
    <t>testAttrsMethod</t>
  </si>
  <si>
    <t>testSetCursor</t>
  </si>
  <si>
    <t>testSetMultiChoiceItemsWithParamCursor</t>
  </si>
  <si>
    <t>preparePeople</t>
  </si>
  <si>
    <t>testSetSingleChoiceItemsWithParamCursor</t>
  </si>
  <si>
    <t>testOnDismissListener</t>
  </si>
  <si>
    <t>testClickAt_negativeX_shouldThrow</t>
  </si>
  <si>
    <t>testClickAt_negativeY_shouldThrow</t>
  </si>
  <si>
    <t>testLongClickAt_negativeX_shouldThrow</t>
  </si>
  <si>
    <t>testLongClickAt_negativeY_shouldThrow</t>
  </si>
  <si>
    <t>testZeroDurationSwipe_shouldThrow</t>
  </si>
  <si>
    <t>testNegativeDurationSwipe_shouldThrow</t>
  </si>
  <si>
    <t>testZeroLengthSwipe_shouldThrow</t>
  </si>
  <si>
    <t>testSwipe_negativeStartX_shouldThrow</t>
  </si>
  <si>
    <t>testSwipe_negativeStartY_shouldThrow</t>
  </si>
  <si>
    <t>testSwipe_negativeEndX_shouldThrow</t>
  </si>
  <si>
    <t>testSwipe_negativeEndY_shouldThrow</t>
  </si>
  <si>
    <t>testZeroDurationPinch_shouldBeNull</t>
  </si>
  <si>
    <t>testNegativeDurationPinch_shouldBeNull</t>
  </si>
  <si>
    <t>testZeroLengthPinch_shouldThrow</t>
  </si>
  <si>
    <t>testPinch_negativeCenterX_shouldThrow</t>
  </si>
  <si>
    <t>testPinch_negativeCenterY_shouldThrow</t>
  </si>
  <si>
    <t>testPinch_negativeStartSpacing_shouldThrow</t>
  </si>
  <si>
    <t>testPinch_negativeEndSpacing_shouldThrow</t>
  </si>
  <si>
    <t>testWifiMacAddr</t>
  </si>
  <si>
    <t>testMute</t>
  </si>
  <si>
    <t>testSetDeviceLoggingEnabledNotPossibleIfMoreThanOneUserPresent</t>
  </si>
  <si>
    <t>testRetrievingDeviceLogsNotPossibleIfMoreThanOneUserPresent</t>
  </si>
  <si>
    <t>testRetrievingPreviousDeviceLogsNotPossibleIfMoreThanOneUserPresent</t>
  </si>
  <si>
    <t>testRetrievingDeviceLogsNotPossibleImmediatelyAfterPreviousSuccessfulRetrieval</t>
  </si>
  <si>
    <t>testDeviceLoggingWithTwoUsers</t>
  </si>
  <si>
    <t>testDeviceLoggingWithSingleUser</t>
  </si>
  <si>
    <t>testSetDeviceLoggingEnabled_failIfNotDeviceOwner</t>
  </si>
  <si>
    <t>testGetDeviceLoggingEnabled_failIfNotDeviceOwner</t>
  </si>
  <si>
    <t>testRetrieveDeviceLogs_failIfNotDeviceOwner</t>
  </si>
  <si>
    <t>testRetrievePreviousDeviceLogs_failIfNotDeviceOwner</t>
  </si>
  <si>
    <t>checkFanSpeed</t>
  </si>
  <si>
    <t>checkDeviceTemp</t>
  </si>
  <si>
    <t>checkCpuUsageInfo</t>
  </si>
  <si>
    <t>checkFanSpeeds</t>
  </si>
  <si>
    <t>checkTemps</t>
  </si>
  <si>
    <t>checkCpuUsages</t>
  </si>
  <si>
    <t>checkDeviceTemps</t>
  </si>
  <si>
    <t>testHardwarePropertiesManager</t>
  </si>
  <si>
    <t>testMuteDndAffectedStreams</t>
  </si>
  <si>
    <t>testMuteDnDUnaffectedStreams</t>
  </si>
  <si>
    <t>testStreamMuting</t>
  </si>
  <si>
    <t>testCreateDeviceEncryptedStorageContext</t>
  </si>
  <si>
    <t>testMigrateSharedPreferencesFrom</t>
  </si>
  <si>
    <t>testMigrateDatabaseFrom</t>
  </si>
  <si>
    <t>isResolutionSupported</t>
  </si>
  <si>
    <t>testOpenExternalDirectory_invalidPath</t>
  </si>
  <si>
    <t>testOpenExternalDirectory_userRejects</t>
  </si>
  <si>
    <t>testOpenExternalDirectory_userAccepts</t>
  </si>
  <si>
    <t>testOpenExternalDirectory_notAskedAgain</t>
  </si>
  <si>
    <t>testOpenExternalDirectory_deniesOnceButAllowsAskingAgain</t>
  </si>
  <si>
    <t>testOpenExternalDirectory_deniesOnceForAll</t>
  </si>
  <si>
    <t>testOpenExternalDirectory_userAcceptsNewDirectory</t>
  </si>
  <si>
    <t>userAcceptsOpenExternalDirectoryTest</t>
  </si>
  <si>
    <t>getColumn</t>
  </si>
  <si>
    <t>readFully</t>
  </si>
  <si>
    <t>readTypedFully</t>
  </si>
  <si>
    <t>writeFully</t>
  </si>
  <si>
    <t>supportedHardware</t>
  </si>
  <si>
    <t>assertActivityFailed</t>
  </si>
  <si>
    <t>assertActivitySucceeded</t>
  </si>
  <si>
    <t>openExternalDirectoryInvalidPath</t>
  </si>
  <si>
    <t>openExternalDirectoryValidPath</t>
  </si>
  <si>
    <t>sendOpenExternalDirectoryIntent</t>
  </si>
  <si>
    <t>getVolumes</t>
  </si>
  <si>
    <t>getPrimaryVolume</t>
  </si>
  <si>
    <t>UiAlertDialog</t>
  </si>
  <si>
    <t>getDoNotAskAgainCheckBox</t>
  </si>
  <si>
    <t>assertDoNotAskAgainVisibility</t>
  </si>
  <si>
    <t>testOnJsBeforeUnload</t>
  </si>
  <si>
    <t>IcuFrameworkTest</t>
  </si>
  <si>
    <t>test_for_TestFmwk_Run</t>
  </si>
  <si>
    <t>getDescription</t>
  </si>
  <si>
    <t>getField</t>
  </si>
  <si>
    <t>getTargetsMethod</t>
  </si>
  <si>
    <t>test_for_TestFmwk_GetTargets</t>
  </si>
  <si>
    <t>newTestFmwkInstance</t>
  </si>
  <si>
    <t>hasGetTargetsMethod</t>
  </si>
  <si>
    <t>overridesGetTargetsMethod</t>
  </si>
  <si>
    <t>getClassNames</t>
  </si>
  <si>
    <t>getRootClassNames</t>
  </si>
  <si>
    <t>testSchedulePeriodic</t>
  </si>
  <si>
    <t>hasCalledOnTabChanged</t>
  </si>
  <si>
    <t>onTabChanged</t>
  </si>
  <si>
    <t>data</t>
  </si>
  <si>
    <t>SlideBadEdgeTest</t>
  </si>
  <si>
    <t>setSide</t>
  </si>
  <si>
    <t>slideOut</t>
  </si>
  <si>
    <t>slideIn</t>
  </si>
  <si>
    <t>testAddCallback</t>
  </si>
  <si>
    <t>getOtherAppUid</t>
  </si>
  <si>
    <t>CtsHostJankTest</t>
  </si>
  <si>
    <t>testGetBaseline</t>
  </si>
  <si>
    <t>testImageTint</t>
  </si>
  <si>
    <t>hasOnSizeChangedCalled</t>
  </si>
  <si>
    <t>hasDrawCalled</t>
  </si>
  <si>
    <t>getColorFilter</t>
  </si>
  <si>
    <t>getAlpha</t>
  </si>
  <si>
    <t>isStateful</t>
  </si>
  <si>
    <t>setTintList</t>
  </si>
  <si>
    <t>hasCalledSetTint</t>
  </si>
  <si>
    <t>onItemClick</t>
  </si>
  <si>
    <t>getPosition</t>
  </si>
  <si>
    <t>getID</t>
  </si>
  <si>
    <t>onProvideKeyboardShortcuts</t>
  </si>
  <si>
    <t>withPopupStyleAttr</t>
  </si>
  <si>
    <t>testUnregisteredAccess</t>
  </si>
  <si>
    <t>waitForOwnershipLossAndAssert</t>
  </si>
  <si>
    <t>onAppContextOwnershipLoss</t>
  </si>
  <si>
    <t>compareFloatTag</t>
  </si>
  <si>
    <t>compareStringTag</t>
  </si>
  <si>
    <t>testExifInterface</t>
  </si>
  <si>
    <t>noDefaultVisibility</t>
  </si>
  <si>
    <t>testAllEnforcing</t>
  </si>
  <si>
    <t>enableService</t>
  </si>
  <si>
    <t>turnAccessibilityOff</t>
  </si>
  <si>
    <t>onAnimationUpdate</t>
  </si>
  <si>
    <t>hasBackupTransport</t>
  </si>
  <si>
    <t>setBackupTransport</t>
  </si>
  <si>
    <t>exec</t>
  </si>
  <si>
    <t>testSetText_setsMovementMethodWhenLinksClickableAndTextContainsClickableSpans</t>
  </si>
  <si>
    <t>testAppend_setsMovementMethodWhenLinksClickableAndTextContainsClickableSpans</t>
  </si>
  <si>
    <t>testAppend_setMovementMethodForExistingTextWhenLinksClickableIsTrueDuringAppend</t>
  </si>
  <si>
    <t>onMultiWindowChanged</t>
  </si>
  <si>
    <t>Test1DetailFragment</t>
  </si>
  <si>
    <t>onCreateView</t>
  </si>
  <si>
    <t>Test2DetailFragment</t>
  </si>
  <si>
    <t>onCreateOptionsMenu</t>
  </si>
  <si>
    <t>onOptionsItemSelected</t>
  </si>
  <si>
    <t>Test3DetailFragment</t>
  </si>
  <si>
    <t>Runnable</t>
  </si>
  <si>
    <t>updateClockOnUi</t>
  </si>
  <si>
    <t>Test4DetailFragment</t>
  </si>
  <si>
    <t>onDestroyView</t>
  </si>
  <si>
    <t>onTabUnselected</t>
  </si>
  <si>
    <t>onTabSelected</t>
  </si>
  <si>
    <t>onTabReselected</t>
  </si>
  <si>
    <t>SectionsPagerAdapter</t>
  </si>
  <si>
    <t>getPageTitle</t>
  </si>
  <si>
    <t>DummySectionFragment</t>
  </si>
  <si>
    <t>Test5DetailFragment</t>
  </si>
  <si>
    <t>displayTouchResults</t>
  </si>
  <si>
    <t>resetTouchResults</t>
  </si>
  <si>
    <t>collectStartAction</t>
  </si>
  <si>
    <t>collectEndAction</t>
  </si>
  <si>
    <t>Test6DetailFragment</t>
  </si>
  <si>
    <t>TestGenericDetailFragment</t>
  </si>
  <si>
    <t>getPointerId</t>
  </si>
  <si>
    <t>getPointerIndex</t>
  </si>
  <si>
    <t>TestItem</t>
  </si>
  <si>
    <t>addTestItem</t>
  </si>
  <si>
    <t>getTest</t>
  </si>
  <si>
    <t>getFragment</t>
  </si>
  <si>
    <t>Callbacks</t>
  </si>
  <si>
    <t>TestListFragment</t>
  </si>
  <si>
    <t>onViewCreated</t>
  </si>
  <si>
    <t>onAttach</t>
  </si>
  <si>
    <t>onDetach</t>
  </si>
  <si>
    <t>setActivateOnItemClick</t>
  </si>
  <si>
    <t>setActivatedPosition</t>
  </si>
  <si>
    <t>setUiAutomatorTest</t>
  </si>
  <si>
    <t>setInstallArtifacts</t>
  </si>
  <si>
    <t>installJar</t>
  </si>
  <si>
    <t>uninstallJar</t>
  </si>
  <si>
    <t>CloseTimeout</t>
  </si>
  <si>
    <t>cancel</t>
  </si>
  <si>
    <t>getTargetFilePath</t>
  </si>
  <si>
    <t>testIllegalSuggested</t>
  </si>
  <si>
    <t>getOemWhitelistedCertificates</t>
  </si>
  <si>
    <t>getReportLogName</t>
  </si>
  <si>
    <t>getStreamName</t>
  </si>
  <si>
    <t>testHideSoftKeyboard_shouldHideKeyboardUntilAllServicesDisabled</t>
  </si>
  <si>
    <t>disableAllServices</t>
  </si>
  <si>
    <t>getUiAutomation</t>
  </si>
  <si>
    <t>enableTestService</t>
  </si>
  <si>
    <t>testChangingFlags_shouldThrowException</t>
  </si>
  <si>
    <t>IcuTestFilter</t>
  </si>
  <si>
    <t>shouldRun</t>
  </si>
  <si>
    <t>getTestDescription</t>
  </si>
  <si>
    <t>describe</t>
  </si>
  <si>
    <t>exclusiveList</t>
  </si>
  <si>
    <t>rootList</t>
  </si>
  <si>
    <t>IcuTestList</t>
  </si>
  <si>
    <t>getClassesToRun</t>
  </si>
  <si>
    <t>shouldRunTest</t>
  </si>
  <si>
    <t>test_isCommandSecure</t>
  </si>
  <si>
    <t>isEffectTypeAvailable</t>
  </si>
  <si>
    <t>test_setMasterMute</t>
  </si>
  <si>
    <t>test_setMasterVolume</t>
  </si>
  <si>
    <t>test_listAudioPorts</t>
  </si>
  <si>
    <t>test_listAudioPatches</t>
  </si>
  <si>
    <t>test_createEffect</t>
  </si>
  <si>
    <t>test_getInputBufferSize</t>
  </si>
  <si>
    <t>test_startOutput</t>
  </si>
  <si>
    <t>test_stopOutput</t>
  </si>
  <si>
    <t>test_isStreamActive</t>
  </si>
  <si>
    <t>test_isStreamActiveRemotely</t>
  </si>
  <si>
    <t>test_startAudioSource</t>
  </si>
  <si>
    <t>test_attachBufferInfoLeak</t>
  </si>
  <si>
    <t>test_queueBufferInfoLeak</t>
  </si>
  <si>
    <t>testLoadLibrary</t>
  </si>
  <si>
    <t>testCpuAbiCommon</t>
  </si>
  <si>
    <t>testCpuAbi32</t>
  </si>
  <si>
    <t>testCpuAbi64</t>
  </si>
  <si>
    <t>testAllMethodsExist</t>
  </si>
  <si>
    <t>onNmeaReceived</t>
  </si>
  <si>
    <t>getAttributeSet</t>
  </si>
  <si>
    <t>createDatePicker</t>
  </si>
  <si>
    <t>onDateChanged</t>
  </si>
  <si>
    <t>testMyJni</t>
  </si>
  <si>
    <t>testCheckAccessSane</t>
  </si>
  <si>
    <t>testCheckContextSane</t>
  </si>
  <si>
    <t>testZygoteContext</t>
  </si>
  <si>
    <t>testZygote</t>
  </si>
  <si>
    <t>addIncludeFilter</t>
  </si>
  <si>
    <t>addAllIncludeFilters</t>
  </si>
  <si>
    <t>addExcludeFilter</t>
  </si>
  <si>
    <t>addAllExcludeFilters</t>
  </si>
  <si>
    <t>getRuntimeHint</t>
  </si>
  <si>
    <t>split</t>
  </si>
  <si>
    <t>ExpectationFileFilter</t>
  </si>
  <si>
    <t>testOnAttachedToWindow</t>
  </si>
  <si>
    <t>testOnCommitCompletion</t>
  </si>
  <si>
    <t>testOnKeyPreIme</t>
  </si>
  <si>
    <t>isOnItemClicked</t>
  </si>
  <si>
    <t>clearItemClickedStatus</t>
  </si>
  <si>
    <t>onItemSelected</t>
  </si>
  <si>
    <t>onNothingSelected</t>
  </si>
  <si>
    <t>resetStatus</t>
  </si>
  <si>
    <t>onFilterComplete</t>
  </si>
  <si>
    <t>isOnTextChanged</t>
  </si>
  <si>
    <t>getLastChangeText</t>
  </si>
  <si>
    <t>isOnFilterComplete</t>
  </si>
  <si>
    <t>getStart</t>
  </si>
  <si>
    <t>getBefore</t>
  </si>
  <si>
    <t>getAfter</t>
  </si>
  <si>
    <t>testSetCompletionHint</t>
  </si>
  <si>
    <t>onCreateRecordingSession</t>
  </si>
  <si>
    <t>FaultyRecordingSession</t>
  </si>
  <si>
    <t>onStartRecording</t>
  </si>
  <si>
    <t>onStopRecording</t>
  </si>
  <si>
    <t>resetConnectionFailedCount</t>
  </si>
  <si>
    <t>testOnLayout</t>
  </si>
  <si>
    <t>testSetDisplayedValues1</t>
  </si>
  <si>
    <t>testSetDisplayedValues2</t>
  </si>
  <si>
    <t>testAddLinks_partiallyMatchesUrlWithInvalidRequestParameter</t>
  </si>
  <si>
    <t>testPullExternalCall</t>
  </si>
  <si>
    <t>assertCallCapabilities</t>
  </si>
  <si>
    <t>emulateDragDownGesture</t>
  </si>
  <si>
    <t>testSetDisplayedValues</t>
  </si>
  <si>
    <t>testSetDisplayedValuesMismatch</t>
  </si>
  <si>
    <t>testPrintSettingsChangeViaCustomPrintOptions</t>
  </si>
  <si>
    <t>makeDefaultPrinter</t>
  </si>
  <si>
    <t>setTitleSync</t>
  </si>
  <si>
    <t>testConnectionPutExtras</t>
  </si>
  <si>
    <t>testConnectionRemoveExtras</t>
  </si>
  <si>
    <t>testCallPutExtras</t>
  </si>
  <si>
    <t>testCallRemoveExtras</t>
  </si>
  <si>
    <t>testConnectionEvent</t>
  </si>
  <si>
    <t>testCallEvent</t>
  </si>
  <si>
    <t>testConferenceProperties</t>
  </si>
  <si>
    <t>testConferencePutExtras</t>
  </si>
  <si>
    <t>testConferenceRemoveExtras</t>
  </si>
  <si>
    <t>testConferenceOnExtraschanged</t>
  </si>
  <si>
    <t>testSetAndGetConnectionProperties</t>
  </si>
  <si>
    <t>testPutExtras</t>
  </si>
  <si>
    <t>testRemoveExtras</t>
  </si>
  <si>
    <t>testSendConnectionEvent</t>
  </si>
  <si>
    <t>testPropertiesToString</t>
  </si>
  <si>
    <t>testNonPullableExternalCall</t>
  </si>
  <si>
    <t>testRemoteConferenceCallbacks_ConnectionProperties</t>
  </si>
  <si>
    <t>testRemoteConnectionCallbacks_ConnectionProperties</t>
  </si>
  <si>
    <t>testRemoteConnectionCallbacks_ConnectionEvent</t>
  </si>
  <si>
    <t>testRemoteConnectionCallbacks_PullExternalCall</t>
  </si>
  <si>
    <t>MockListView</t>
  </si>
  <si>
    <t>detachViewFromParent</t>
  </si>
  <si>
    <t>onFinishTemporaryDetach</t>
  </si>
  <si>
    <t>hasCalledOnFinishTemporaryDetach</t>
  </si>
  <si>
    <t>onStartTemporaryDetach</t>
  </si>
  <si>
    <t>hasCalledOnStartTemporaryDetach</t>
  </si>
  <si>
    <t>Adapter</t>
  </si>
  <si>
    <t>testIsUserAddedCert</t>
  </si>
  <si>
    <t>testAllCharacterDevicesAreSecure</t>
  </si>
  <si>
    <t>testToggle</t>
  </si>
  <si>
    <t>ColorFilterAlphaTest</t>
  </si>
  <si>
    <t>XfermodeTest</t>
  </si>
  <si>
    <t>disallowAdjustVolumeTestInternal</t>
  </si>
  <si>
    <t>testSubsequentRemoteBugreportThrottled</t>
  </si>
  <si>
    <t>cancelRemoteBugreportFlowIfStartedSuccessfully</t>
  </si>
  <si>
    <t>findRemoteBugreportNotification</t>
  </si>
  <si>
    <t>testRemoteBugreportWithSingleUser</t>
  </si>
  <si>
    <t>testOnCreateDrawableState</t>
  </si>
  <si>
    <t>getSuperViewStateSet</t>
  </si>
  <si>
    <t>refreshDrawableState</t>
  </si>
  <si>
    <t>hasRefreshDrawableState</t>
  </si>
  <si>
    <t>testDefaultOrganizationColorIsGray</t>
  </si>
  <si>
    <t>addTestJarFileName</t>
  </si>
  <si>
    <t>setRunName</t>
  </si>
  <si>
    <t>setTests</t>
  </si>
  <si>
    <t>installJars</t>
  </si>
  <si>
    <t>removeJars</t>
  </si>
  <si>
    <t>checkFields</t>
  </si>
  <si>
    <t>addRunTimeArgs</t>
  </si>
  <si>
    <t>getRuntimeArgsNotNull</t>
  </si>
  <si>
    <t>testRequestLayout</t>
  </si>
  <si>
    <t>testCreateStroke_pathWithZeroLength_shouldThrow</t>
  </si>
  <si>
    <t>testParse_detailOnly</t>
  </si>
  <si>
    <t>classList</t>
  </si>
  <si>
    <t>ensureImeNotEnabled</t>
  </si>
  <si>
    <t>assertServiceNotRunning</t>
  </si>
  <si>
    <t>testCreateAndDestroy</t>
  </si>
  <si>
    <t>testFileContents</t>
  </si>
  <si>
    <t>doStagefrightTestMediaCodec</t>
  </si>
  <si>
    <t>testDefault</t>
  </si>
  <si>
    <t>testGranted</t>
  </si>
  <si>
    <t>testInteractiveGrant</t>
  </si>
  <si>
    <t>testRuntimeGroupGrantSpecificity</t>
  </si>
  <si>
    <t>testRuntimeGroupGrantExpansion</t>
  </si>
  <si>
    <t>testCompatDefault</t>
  </si>
  <si>
    <t>testCompatRevoked</t>
  </si>
  <si>
    <t>grantPermission</t>
  </si>
  <si>
    <t>revokePermission</t>
  </si>
  <si>
    <t>setAppOps</t>
  </si>
  <si>
    <t>assertEmpty</t>
  </si>
  <si>
    <t>testKill</t>
  </si>
  <si>
    <t>testSetGravity</t>
  </si>
  <si>
    <t>testAllocateJavaPixelRefIntOverflow</t>
  </si>
  <si>
    <t>test_android_bug_17262540</t>
  </si>
  <si>
    <t>test_android_bug_17265466</t>
  </si>
  <si>
    <t>doSkiaIcoRecursiveDecodingTest</t>
  </si>
  <si>
    <t>testRemoveDeviceOwner</t>
  </si>
  <si>
    <t>testClearDeviceOwner</t>
  </si>
  <si>
    <t>testClearProfileOwner</t>
  </si>
  <si>
    <t>waitForActiveAdminRemoved</t>
  </si>
  <si>
    <t>testRunDeviceAdminPasswordTest</t>
  </si>
  <si>
    <t>testPerformGlobalActionBack</t>
  </si>
  <si>
    <t>testPerformGlobalActionHome</t>
  </si>
  <si>
    <t>testPerformGlobalActionRecents</t>
  </si>
  <si>
    <t>testPerformGlobalActionNotifications</t>
  </si>
  <si>
    <t>testPerformGlobalActionQuickSettings</t>
  </si>
  <si>
    <t>testPerformGlobalActionPowerDialog</t>
  </si>
  <si>
    <t>testOnlyRequestedPermissionsGranted24</t>
  </si>
  <si>
    <t>setLaunchStackId</t>
  </si>
  <si>
    <t>test2_0MeasureGainChange</t>
  </si>
  <si>
    <t>test3_0Measure6dbEnhancement</t>
  </si>
  <si>
    <t>getVisualizer</t>
  </si>
  <si>
    <t>releaseVisualizer</t>
  </si>
  <si>
    <t>AttachDetachAwareView</t>
  </si>
  <si>
    <t>onAttachedToWindow</t>
  </si>
  <si>
    <t>DummyAdapter</t>
  </si>
  <si>
    <t>isBrowserSupported</t>
  </si>
  <si>
    <t>getOverrideConfig</t>
  </si>
  <si>
    <t>testSetDynamicShortcuts</t>
  </si>
  <si>
    <t>testShortcutInfoMissingMandatoryFields</t>
  </si>
  <si>
    <t>testSpoofingPublisher</t>
  </si>
  <si>
    <t>testSpoofingLauncher</t>
  </si>
  <si>
    <t>assertCallingPackageMismatch</t>
  </si>
  <si>
    <t>testPublisherSpoofing</t>
  </si>
  <si>
    <t>testLauncherSpoofing</t>
  </si>
  <si>
    <t>resetThrottling</t>
  </si>
  <si>
    <t>waitUntilReset</t>
  </si>
  <si>
    <t>clearDynamicShortcuts</t>
  </si>
  <si>
    <t>runButOkayIfItTakesLonger</t>
  </si>
  <si>
    <t>checkThrottled</t>
  </si>
  <si>
    <t>testThrottled_setDynamicShortcuts</t>
  </si>
  <si>
    <t>checkNotThrottled</t>
  </si>
  <si>
    <t>testNotThrottled_delete</t>
  </si>
  <si>
    <t>testNotThrottled_getShortcuts</t>
  </si>
  <si>
    <t>testNotThrottled_misc</t>
  </si>
  <si>
    <t>testBasic</t>
  </si>
  <si>
    <t>testSyncFrame</t>
  </si>
  <si>
    <t>testDynamicBitrateChange</t>
  </si>
  <si>
    <t>testParallelEncodingAndDecoding</t>
  </si>
  <si>
    <t>testEncoderQuality</t>
  </si>
  <si>
    <t>testForceCompile_noProfileAvailable</t>
  </si>
  <si>
    <t>testFileLockWithMultipleProcess</t>
  </si>
  <si>
    <t>testFileLockWithSingleProcess</t>
  </si>
  <si>
    <t>createFileInDir</t>
  </si>
  <si>
    <t>deleteDir</t>
  </si>
  <si>
    <t>testBackgroundNetworkAccess_enabled</t>
  </si>
  <si>
    <t>testBackgroundNetworkAccess_whitelisted</t>
  </si>
  <si>
    <t>testBackgroundNetworkAccess_disabled</t>
  </si>
  <si>
    <t>testMicrophoneRecording</t>
  </si>
  <si>
    <t>doRemoteMp3</t>
  </si>
  <si>
    <t>testRemoteMp3</t>
  </si>
  <si>
    <t>testH264TextureViewVideoDecode</t>
  </si>
  <si>
    <t>testH264TextureViewLargerHeightVideoDecode</t>
  </si>
  <si>
    <t>testH264TextureViewLargerWidthVideoDecode</t>
  </si>
  <si>
    <t>testVP9TextureViewVideoDecode</t>
  </si>
  <si>
    <t>testVP9TextureViewLargerHeightVideoDecode</t>
  </si>
  <si>
    <t>testVP9TextureViewLargerWidthVideoDecode</t>
  </si>
  <si>
    <t>canPlay360p</t>
  </si>
  <si>
    <t>currentOrientationCanPlay360p</t>
  </si>
  <si>
    <t>displayMetricsHasMinPixelSize</t>
  </si>
  <si>
    <t>getDisplayMetricsMinPixelSize</t>
  </si>
  <si>
    <t>getDisplayMetrics</t>
  </si>
  <si>
    <t>testAccessPointerShape</t>
  </si>
  <si>
    <t>testPointerCapture</t>
  </si>
  <si>
    <t>testInKeyguardRestrictedInputMode</t>
  </si>
  <si>
    <t>testExitKeyguardSecurely</t>
  </si>
  <si>
    <t>testConnectivityChanged</t>
  </si>
  <si>
    <t>testRestartPackage</t>
  </si>
  <si>
    <t>ProfileLocation</t>
  </si>
  <si>
    <t>getDirectory</t>
  </si>
  <si>
    <t>getPath</t>
  </si>
  <si>
    <t>testForceCompile_noProfile</t>
  </si>
  <si>
    <t>testForceCompile_curProfile</t>
  </si>
  <si>
    <t>testForceCompile_refProfile</t>
  </si>
  <si>
    <t>testForceCompile_curAndRefProfile</t>
  </si>
  <si>
    <t>readFileOnClient</t>
  </si>
  <si>
    <t>compileWithProfilesAndCheckFilter</t>
  </si>
  <si>
    <t>executeCompile</t>
  </si>
  <si>
    <t>writeProfile</t>
  </si>
  <si>
    <t>getCompilerFilter</t>
  </si>
  <si>
    <t>getOdexFilePath</t>
  </si>
  <si>
    <t>isUseJitProfiles</t>
  </si>
  <si>
    <t>executeAdbCommand</t>
  </si>
  <si>
    <t>assertBytesEqual</t>
  </si>
  <si>
    <t>hasCalledOnRatingChanged</t>
  </si>
  <si>
    <t>onRatingChanged</t>
  </si>
  <si>
    <t>MockRatingBar</t>
  </si>
  <si>
    <t>requestLayout</t>
  </si>
  <si>
    <t>hasCalledRequestLayout</t>
  </si>
  <si>
    <t>setValid</t>
  </si>
  <si>
    <t>fixText</t>
  </si>
  <si>
    <t>Dhrystone</t>
  </si>
  <si>
    <t>analyzeResults</t>
  </si>
  <si>
    <t>setUpEnvironment</t>
  </si>
  <si>
    <t>testShader</t>
  </si>
  <si>
    <t>DisplayDriverTest</t>
  </si>
  <si>
    <t>MockListener</t>
  </si>
  <si>
    <t>isTriggered</t>
  </si>
  <si>
    <t>onEvent</t>
  </si>
  <si>
    <t>testDisplayDriver_cve_2015_6634</t>
  </si>
  <si>
    <t>onEnabled</t>
  </si>
  <si>
    <t>getComponentName</t>
  </si>
  <si>
    <t>waitForBroadcastLocked</t>
  </si>
  <si>
    <t>createAndManageUserTest</t>
  </si>
  <si>
    <t>testCreateAndManageEphemeralUser</t>
  </si>
  <si>
    <t>testCreateAndManageEphemeralUserFails</t>
  </si>
  <si>
    <t>testCreateAndManageUser_SkipSetupWizard</t>
  </si>
  <si>
    <t>testCreateAndManageUser_DontSkipSetupWizard</t>
  </si>
  <si>
    <t>testCreateAndManageUser_AddRestrictionSet</t>
  </si>
  <si>
    <t>testCreateAndManageUser_RemoveRestrictionSet</t>
  </si>
  <si>
    <t>testApkInstall</t>
  </si>
  <si>
    <t>testCreateAndManageEphemeralUserFailsWithoutSplitSystemUser</t>
  </si>
  <si>
    <t>startAppInStack</t>
  </si>
  <si>
    <t>getVisibleCenter</t>
  </si>
  <si>
    <t>findObject</t>
  </si>
  <si>
    <t>drag</t>
  </si>
  <si>
    <t>doCrossAppDrag</t>
  </si>
  <si>
    <t>assertDragStarted</t>
  </si>
  <si>
    <t>assertExtraValue</t>
  </si>
  <si>
    <t>testLocal</t>
  </si>
  <si>
    <t>testDontGrantDontRequest</t>
  </si>
  <si>
    <t>testDontGrantRequestRead</t>
  </si>
  <si>
    <t>testDontGrantRequestWrite</t>
  </si>
  <si>
    <t>testGrantReadDontRequest</t>
  </si>
  <si>
    <t>testGrantReadRequestRead</t>
  </si>
  <si>
    <t>testGrantReadRequestWrite</t>
  </si>
  <si>
    <t>testGrantWriteDontRequest</t>
  </si>
  <si>
    <t>testGrantWriteRequestRead</t>
  </si>
  <si>
    <t>testGrantWriteRequestWrite</t>
  </si>
  <si>
    <t>testGrantReadPrefixRequestReadNested</t>
  </si>
  <si>
    <t>testGrantReadNoPrefixRequestReadNested</t>
  </si>
  <si>
    <t>testGrantPersistableRequestTakePersistable</t>
  </si>
  <si>
    <t>testGrantReadRequestTakePersistable</t>
  </si>
  <si>
    <t>isRequired</t>
  </si>
  <si>
    <t>testH264ColorAspectsOther</t>
  </si>
  <si>
    <t>testH264ColorAspectsGoog</t>
  </si>
  <si>
    <t>testMuxerMpeg2</t>
  </si>
  <si>
    <t>assertException</t>
  </si>
  <si>
    <t>createRenderer</t>
  </si>
  <si>
    <t>constructRendererNull</t>
  </si>
  <si>
    <t>constructRendererFromNonPDF</t>
  </si>
  <si>
    <t>useRendererAfterClose</t>
  </si>
  <si>
    <t>usePageAfterClose</t>
  </si>
  <si>
    <t>closeWithOpenPage</t>
  </si>
  <si>
    <t>openTwoPages</t>
  </si>
  <si>
    <t>testPageCount</t>
  </si>
  <si>
    <t>testOpenPage</t>
  </si>
  <si>
    <t>testPageSize</t>
  </si>
  <si>
    <t>testPrintScaleDefault</t>
  </si>
  <si>
    <t>testPrintScalePDF16Default</t>
  </si>
  <si>
    <t>testPrintScalePDF16None</t>
  </si>
  <si>
    <t>renderWithTransform</t>
  </si>
  <si>
    <t>renderAndThenTransform</t>
  </si>
  <si>
    <t>getColorProbes</t>
  </si>
  <si>
    <t>renderNoTransformationAndComparePoints</t>
  </si>
  <si>
    <t>renderNoTransformationAndComparePointsForScreen</t>
  </si>
  <si>
    <t>renderNoTransformationAndComparePointsForPrint</t>
  </si>
  <si>
    <t>getNonMatching</t>
  </si>
  <si>
    <t>renderAndCompare</t>
  </si>
  <si>
    <t>renderNoTransformation</t>
  </si>
  <si>
    <t>renderTranslation</t>
  </si>
  <si>
    <t>renderPositiveScale</t>
  </si>
  <si>
    <t>renderNegativeScale</t>
  </si>
  <si>
    <t>render90degreeRotation</t>
  </si>
  <si>
    <t>render90degreeRotationAndTranslationAndScale</t>
  </si>
  <si>
    <t>render45degreeRotationTranslationAndScaleAndClip</t>
  </si>
  <si>
    <t>renderPerspective</t>
  </si>
  <si>
    <t>renderWithClip</t>
  </si>
  <si>
    <t>renderWithAllClipped</t>
  </si>
  <si>
    <t>renderWithBadLowerCornerOfClip</t>
  </si>
  <si>
    <t>renderWithBadUpperCornerOfClip</t>
  </si>
  <si>
    <t>renderTwoModes</t>
  </si>
  <si>
    <t>renderBadMode</t>
  </si>
  <si>
    <t>renderAllModes</t>
  </si>
  <si>
    <t>renderNoMode</t>
  </si>
  <si>
    <t>renderOnNullBitmap</t>
  </si>
  <si>
    <t>testSetCurrentPlayTimeAfterStart</t>
  </si>
  <si>
    <t>MockDataSetObserver</t>
  </si>
  <si>
    <t>getCalledOnChangedCount</t>
  </si>
  <si>
    <t>getCalledOnInvalidatedCount</t>
  </si>
  <si>
    <t>clearCount</t>
  </si>
  <si>
    <t>onChanged</t>
  </si>
  <si>
    <t>onInvalidated</t>
  </si>
  <si>
    <t>onGroupExpand</t>
  </si>
  <si>
    <t>hasCalledOnGroupExpand</t>
  </si>
  <si>
    <t>onGroupCollapse</t>
  </si>
  <si>
    <t>hasCalledOnGroupCollapse</t>
  </si>
  <si>
    <t>onGroupClick</t>
  </si>
  <si>
    <t>hasCalledOnGroupClick</t>
  </si>
  <si>
    <t>onChildClick</t>
  </si>
  <si>
    <t>hasCalledOnChildClick</t>
  </si>
  <si>
    <t>isClicked</t>
  </si>
  <si>
    <t>onItemLongClick</t>
  </si>
  <si>
    <t>isItemSelected</t>
  </si>
  <si>
    <t>isNothingSelected</t>
  </si>
  <si>
    <t>testAddFilters</t>
  </si>
  <si>
    <t>testHiFiSensorsAreSupported</t>
  </si>
  <si>
    <t>hasCalledOnTimeChanged</t>
  </si>
  <si>
    <t>getNotifiedView</t>
  </si>
  <si>
    <t>getNotifiedHourOfDay</t>
  </si>
  <si>
    <t>getNotifiedMinute</t>
  </si>
  <si>
    <t>onTimeChanged</t>
  </si>
  <si>
    <t>MockOnLongClickListener</t>
  </si>
  <si>
    <t>hasLongClicked</t>
  </si>
  <si>
    <t>onLongClick</t>
  </si>
  <si>
    <t>MockOnCreateContextMenuListener</t>
  </si>
  <si>
    <t>testSetMaxLines</t>
  </si>
  <si>
    <t>testSetMinLines</t>
  </si>
  <si>
    <t>testSetAndGetCustomInseltionActionMode</t>
  </si>
  <si>
    <t>MockActionModeCallback</t>
  </si>
  <si>
    <t>getCreateCount</t>
  </si>
  <si>
    <t>getDestroyCount</t>
  </si>
  <si>
    <t>onPrepareActionMode</t>
  </si>
  <si>
    <t>onDestroyActionMode</t>
  </si>
  <si>
    <t>onCreateActionMode</t>
  </si>
  <si>
    <t>onActionItemClicked</t>
  </si>
  <si>
    <t>onEditorAction</t>
  </si>
  <si>
    <t>isOnEditorActionCalled</t>
  </si>
  <si>
    <t>hasCalledNewEditable</t>
  </si>
  <si>
    <t>newEditable</t>
  </si>
  <si>
    <t>hasCalledNewSpannable</t>
  </si>
  <si>
    <t>newSpannable</t>
  </si>
  <si>
    <t>insertContent</t>
  </si>
  <si>
    <t>getDecoderNames</t>
  </si>
  <si>
    <t>getEncoderNamesForType</t>
  </si>
  <si>
    <t>getDecoderName</t>
  </si>
  <si>
    <t>getEncoderName</t>
  </si>
  <si>
    <t>getCodecName</t>
  </si>
  <si>
    <t>testLogcat</t>
  </si>
  <si>
    <t>testH2640320x0240Other</t>
  </si>
  <si>
    <t>testH2640320x0240Goog</t>
  </si>
  <si>
    <t>testH2640720x0480Other</t>
  </si>
  <si>
    <t>testH2640720x0480Goog</t>
  </si>
  <si>
    <t>testH2641280x0720Other</t>
  </si>
  <si>
    <t>testH2641280x0720Goog</t>
  </si>
  <si>
    <t>testH2641920x1080Other</t>
  </si>
  <si>
    <t>testH2641920x1080Goog</t>
  </si>
  <si>
    <t>testVP80320x0240Other</t>
  </si>
  <si>
    <t>testVP80320x0240Goog</t>
  </si>
  <si>
    <t>testVP80640x0360Other</t>
  </si>
  <si>
    <t>testVP80640x0360Goog</t>
  </si>
  <si>
    <t>testVP81280x0720Other</t>
  </si>
  <si>
    <t>testVP81280x0720Goog</t>
  </si>
  <si>
    <t>testVP81920x1080Other</t>
  </si>
  <si>
    <t>testVP81920x1080Goog</t>
  </si>
  <si>
    <t>testVP90320x0240Other</t>
  </si>
  <si>
    <t>testVP90320x0240Goog</t>
  </si>
  <si>
    <t>testVP90640x0360Other</t>
  </si>
  <si>
    <t>testVP90640x0360Goog</t>
  </si>
  <si>
    <t>testVP91280x0720Other</t>
  </si>
  <si>
    <t>testVP91280x0720Goog</t>
  </si>
  <si>
    <t>testVP91920x1080Other</t>
  </si>
  <si>
    <t>testVP91920x1080Goog</t>
  </si>
  <si>
    <t>testVP93840x2160Other</t>
  </si>
  <si>
    <t>testVP93840x2160Goog</t>
  </si>
  <si>
    <t>testHEVC0352x0288Other</t>
  </si>
  <si>
    <t>testHEVC0352x0288Goog</t>
  </si>
  <si>
    <t>testHEVC0640x0360Other</t>
  </si>
  <si>
    <t>testHEVC0640x0360Goog</t>
  </si>
  <si>
    <t>testHEVC1280x0720Other</t>
  </si>
  <si>
    <t>testHEVC1280x0720Goog</t>
  </si>
  <si>
    <t>testHEVC1920x1080Other</t>
  </si>
  <si>
    <t>testHEVC1920x1080Goog</t>
  </si>
  <si>
    <t>testHEVC3840x2160Other</t>
  </si>
  <si>
    <t>testHEVC3840x2160Goog</t>
  </si>
  <si>
    <t>testH2630176x0144Other</t>
  </si>
  <si>
    <t>testH2630176x0144Goog</t>
  </si>
  <si>
    <t>testH2630352x0288Other</t>
  </si>
  <si>
    <t>testH2630352x0288Goog</t>
  </si>
  <si>
    <t>testMPEG40176x0144Other</t>
  </si>
  <si>
    <t>testMPEG40176x0144Goog</t>
  </si>
  <si>
    <t>testMPEG40480x0360Other</t>
  </si>
  <si>
    <t>testMPEG40480x0360Goog</t>
  </si>
  <si>
    <t>testMPEG41280x0720Other</t>
  </si>
  <si>
    <t>testMPEG41280x0720Goog</t>
  </si>
  <si>
    <t>testAvc0320x0240Other</t>
  </si>
  <si>
    <t>testAvc0320x0240Goog</t>
  </si>
  <si>
    <t>testAvc0720x0480Other</t>
  </si>
  <si>
    <t>testAvc0720x0480Goog</t>
  </si>
  <si>
    <t>testAvc1280x0720Other</t>
  </si>
  <si>
    <t>testAvc1280x0720Goog</t>
  </si>
  <si>
    <t>testAvc1920x1080Other</t>
  </si>
  <si>
    <t>testAvc1920x1080Goog</t>
  </si>
  <si>
    <t>testVp80320x0180Other</t>
  </si>
  <si>
    <t>testVp80320x0180Goog</t>
  </si>
  <si>
    <t>testVp80640x0360Other</t>
  </si>
  <si>
    <t>testVp80640x0360Goog</t>
  </si>
  <si>
    <t>testVp81280x0720Other</t>
  </si>
  <si>
    <t>testVp81280x0720Goog</t>
  </si>
  <si>
    <t>testVp81920x1080Other</t>
  </si>
  <si>
    <t>testVp81920x1080Goog</t>
  </si>
  <si>
    <t>testMpeg40176x0144Other</t>
  </si>
  <si>
    <t>testMpeg40176x0144Goog</t>
  </si>
  <si>
    <t>testMpeg40352x0288Other</t>
  </si>
  <si>
    <t>testMpeg40352x0288Goog</t>
  </si>
  <si>
    <t>testMpeg40640x0480Other</t>
  </si>
  <si>
    <t>testMpeg40640x0480Goog</t>
  </si>
  <si>
    <t>testMpeg41280x0720Other</t>
  </si>
  <si>
    <t>testMpeg41280x0720Goog</t>
  </si>
  <si>
    <t>testHevc0320x0240Other</t>
  </si>
  <si>
    <t>testHevc0320x0240Goog</t>
  </si>
  <si>
    <t>testHevc0720x0480Other</t>
  </si>
  <si>
    <t>testHevc0720x0480Goog</t>
  </si>
  <si>
    <t>testHevc1280x0720Other</t>
  </si>
  <si>
    <t>testHevc1280x0720Goog</t>
  </si>
  <si>
    <t>testHevc1920x1080Other</t>
  </si>
  <si>
    <t>testHevc1920x1080Goog</t>
  </si>
  <si>
    <t>testHevc3840x2160Other</t>
  </si>
  <si>
    <t>testHevc3840x2160Goog</t>
  </si>
  <si>
    <t>doTestGoog</t>
  </si>
  <si>
    <t>doTestOther</t>
  </si>
  <si>
    <t>doTestDefault</t>
  </si>
  <si>
    <t>doTestByName</t>
  </si>
  <si>
    <t>testHEVCDecode640x360</t>
  </si>
  <si>
    <t>testHEVCDecode30fps1920x1080</t>
  </si>
  <si>
    <t>testVP8Decode320x240</t>
  </si>
  <si>
    <t>testVp8Count0320x0240</t>
  </si>
  <si>
    <t>testVp8Goog0Perf0320x0240</t>
  </si>
  <si>
    <t>testVp8Other0Perf0320x0240</t>
  </si>
  <si>
    <t>testVp8Other1Perf0320x0240</t>
  </si>
  <si>
    <t>testVP9Decode320x240</t>
  </si>
  <si>
    <t>testVp9Count0320x0240</t>
  </si>
  <si>
    <t>testVp9Goog0Perf0320x0240</t>
  </si>
  <si>
    <t>testVp9Other0Perf0320x0240</t>
  </si>
  <si>
    <t>testVp9Other1Perf0320x0240</t>
  </si>
  <si>
    <t>testVp9Other2Perf0320x0240</t>
  </si>
  <si>
    <t>testVp9Other3Perf0320x0240</t>
  </si>
  <si>
    <t>testVP9Decode30fps1920x1080</t>
  </si>
  <si>
    <t>testSetHighlightColor</t>
  </si>
  <si>
    <t>testSetCursorVisible</t>
  </si>
  <si>
    <t>hasCalledOnProgressChanged</t>
  </si>
  <si>
    <t>hasCalledOnStartTrackingTouch</t>
  </si>
  <si>
    <t>hasCalledOnStopTrackingTouch</t>
  </si>
  <si>
    <t>onStartTrackingTouch</t>
  </si>
  <si>
    <t>onStopTrackingTouch</t>
  </si>
  <si>
    <t>testCaCertManagement</t>
  </si>
  <si>
    <t>testTransform2</t>
  </si>
  <si>
    <t>testIncReserve</t>
  </si>
  <si>
    <t>testOffset2</t>
  </si>
  <si>
    <t>setPath</t>
  </si>
  <si>
    <t>testConstractor</t>
  </si>
  <si>
    <t>hasOnClickCalled</t>
  </si>
  <si>
    <t>findGridViewById</t>
  </si>
  <si>
    <t>testSetHorizontalSpacing</t>
  </si>
  <si>
    <t>testSetHorizontalSpacingRTL</t>
  </si>
  <si>
    <t>testSetVerticalSpacing</t>
  </si>
  <si>
    <t>testSetColumnWidth</t>
  </si>
  <si>
    <t>computeVerticalScrollOffset</t>
  </si>
  <si>
    <t>hasOnItemClickCalled</t>
  </si>
  <si>
    <t>testSetThumb</t>
  </si>
  <si>
    <t>testSetTickMark</t>
  </si>
  <si>
    <t>testSetMax</t>
  </si>
  <si>
    <t>testDeletionHelper</t>
  </si>
  <si>
    <t>testSaveAndRestoreInstanceState</t>
  </si>
  <si>
    <t>testHeightAndWidth</t>
  </si>
  <si>
    <t>testBeginEndBatchEdit</t>
  </si>
  <si>
    <t>setAndWaitForVpn</t>
  </si>
  <si>
    <t>isNetworkVpn</t>
  </si>
  <si>
    <t>checkPing</t>
  </si>
  <si>
    <t>createIcmpMessage</t>
  </si>
  <si>
    <t>onCheckedChanged</t>
  </si>
  <si>
    <t>getInputChecked</t>
  </si>
  <si>
    <t>getInputCompoundButton</t>
  </si>
  <si>
    <t>hasCalledCheckedChange</t>
  </si>
  <si>
    <t>invalidate</t>
  </si>
  <si>
    <t>hasCalledInvalidate</t>
  </si>
  <si>
    <t>testStoreAndRemove</t>
  </si>
  <si>
    <t>testGetSuperState</t>
  </si>
  <si>
    <t>MockAbsSavedState</t>
  </si>
  <si>
    <t>writeToParcelRunSymbol</t>
  </si>
  <si>
    <t>getFlags</t>
  </si>
  <si>
    <t>SceneTest</t>
  </si>
  <si>
    <t>MockOnScrollListener</t>
  </si>
  <si>
    <t>onScroll</t>
  </si>
  <si>
    <t>onScrollStateChanged</t>
  </si>
  <si>
    <t>getFirstVisibleItem</t>
  </si>
  <si>
    <t>getVisibleItemCount</t>
  </si>
  <si>
    <t>getTotalItemCount</t>
  </si>
  <si>
    <t>getScrollState</t>
  </si>
  <si>
    <t>isOnScrollCalled</t>
  </si>
  <si>
    <t>isOnScrollStateChangedCalled</t>
  </si>
  <si>
    <t>MockRecyclerListener</t>
  </si>
  <si>
    <t>onMovedToScrapHeap</t>
  </si>
  <si>
    <t>hasCalledOnChanged</t>
  </si>
  <si>
    <t>hasCalledOnInvalidated</t>
  </si>
  <si>
    <t>onChronometerTick</t>
  </si>
  <si>
    <t>hasCalledOnChronometerTick</t>
  </si>
  <si>
    <t>MockDatePickerDialog</t>
  </si>
  <si>
    <t>hasCalledOnFilterComplete</t>
  </si>
  <si>
    <t>hasNothingSelected</t>
  </si>
  <si>
    <t>getItemSelectedCalledCount</t>
  </si>
  <si>
    <t>assertOpened</t>
  </si>
  <si>
    <t>onDrawerOpened</t>
  </si>
  <si>
    <t>hadOpenedDrawer</t>
  </si>
  <si>
    <t>onDrawerClosed</t>
  </si>
  <si>
    <t>hadClosedDrawer</t>
  </si>
  <si>
    <t>onScrollEnded</t>
  </si>
  <si>
    <t>onScrollStarted</t>
  </si>
  <si>
    <t>hadEndedScroll</t>
  </si>
  <si>
    <t>hadStartedScroll</t>
  </si>
  <si>
    <t>dropNegative</t>
  </si>
  <si>
    <t>onChildViewAdded</t>
  </si>
  <si>
    <t>onChildViewRemoved</t>
  </si>
  <si>
    <t>hasCalledOnChildViewAdded</t>
  </si>
  <si>
    <t>hasCalledOnChildViewRemoved</t>
  </si>
  <si>
    <t>onPrepared</t>
  </si>
  <si>
    <t>onCompletion</t>
  </si>
  <si>
    <t>testOffloat</t>
  </si>
  <si>
    <t>testNullOk</t>
  </si>
  <si>
    <t>testNotFeasibleSetters</t>
  </si>
  <si>
    <t>verifyCompoundDrawables</t>
  </si>
  <si>
    <t>verifyCompoundDrawablesRelative</t>
  </si>
  <si>
    <t>getBitmap</t>
  </si>
  <si>
    <t>getDrawable</t>
  </si>
  <si>
    <t>eventually</t>
  </si>
  <si>
    <t>MockCanvas</t>
  </si>
  <si>
    <t>drawText</t>
  </si>
  <si>
    <t>MockLoginFilter</t>
  </si>
  <si>
    <t>onInvalidCharacter</t>
  </si>
  <si>
    <t>getInvalidCharacterCount</t>
  </si>
  <si>
    <t>onStart</t>
  </si>
  <si>
    <t>isStarted</t>
  </si>
  <si>
    <t>isStopped</t>
  </si>
  <si>
    <t>getSize</t>
  </si>
  <si>
    <t>hasCalledRemoveSpan</t>
  </si>
  <si>
    <t>afterTextChanged</t>
  </si>
  <si>
    <t>beforeTextChanged</t>
  </si>
  <si>
    <t>hasCalledBeforeTextChanged</t>
  </si>
  <si>
    <t>hasCalledAfterTextChanged</t>
  </si>
  <si>
    <t>MockTextKeyListener</t>
  </si>
  <si>
    <t>onSpanAdded</t>
  </si>
  <si>
    <t>hadAddedSpan</t>
  </si>
  <si>
    <t>sameCharSequence</t>
  </si>
  <si>
    <t>sameEditable</t>
  </si>
  <si>
    <t>printDocumentInfoBaseTest</t>
  </si>
  <si>
    <t>testIllegalPrintAttributes</t>
  </si>
  <si>
    <t>RemoteViewsTest</t>
  </si>
  <si>
    <t>getPrintJob</t>
  </si>
  <si>
    <t>createFirstMockPrinterDiscoverySessionCallbacks</t>
  </si>
  <si>
    <t>createFirstMockPrinterServiceCallbacks</t>
  </si>
  <si>
    <t>AbsListViewTest</t>
  </si>
  <si>
    <t>testLayoutChildren</t>
  </si>
  <si>
    <t>getMediaSize</t>
  </si>
  <si>
    <t>getDuplex</t>
  </si>
  <si>
    <t>testChangeToChangeEveryThing</t>
  </si>
  <si>
    <t>getPrintManager</t>
  </si>
  <si>
    <t>setupPrint</t>
  </si>
  <si>
    <t>cancelPrintJobBaseTest</t>
  </si>
  <si>
    <t>testAttemptCancelCreatedPrintJob</t>
  </si>
  <si>
    <t>testCancelStartedPrintJob</t>
  </si>
  <si>
    <t>testCancelBlockedPrintJob</t>
  </si>
  <si>
    <t>testCancelFailedPrintJob</t>
  </si>
  <si>
    <t>testRestartFailedPrintJob</t>
  </si>
  <si>
    <t>testGetTwoPrintJobStates</t>
  </si>
  <si>
    <t>testChangedPrintJobInfo</t>
  </si>
  <si>
    <t>selectPages</t>
  </si>
  <si>
    <t>testSetActiveNullListener</t>
  </si>
  <si>
    <t>testRegisterNull</t>
  </si>
  <si>
    <t>testContextChange</t>
  </si>
  <si>
    <t>testFilter</t>
  </si>
  <si>
    <t>waitForContextChangeAndAssert</t>
  </si>
  <si>
    <t>onAppContextChange</t>
  </si>
  <si>
    <t>getAllInsecureDevicesInDirAndSubdir</t>
  </si>
  <si>
    <t>AbsSeekBarTest</t>
  </si>
  <si>
    <t>AbsSpinnerTest</t>
  </si>
  <si>
    <t>testGenerateDefaultLayoutParams</t>
  </si>
  <si>
    <t>AbsoluteLayoutTest</t>
  </si>
  <si>
    <t>ActionMenuViewTest</t>
  </si>
  <si>
    <t>AdapterViewTest</t>
  </si>
  <si>
    <t>testUnsupportedMethods</t>
  </si>
  <si>
    <t>AnalogClockTest</t>
  </si>
  <si>
    <t>testSetDropDownViewResouce</t>
  </si>
  <si>
    <t>AutoCompleteTextViewTest</t>
  </si>
  <si>
    <t>CalendarViewTest</t>
  </si>
  <si>
    <t>CheckBoxTest</t>
  </si>
  <si>
    <t>CheckedTextViewTest</t>
  </si>
  <si>
    <t>ChronometerTest</t>
  </si>
  <si>
    <t>createDatePickerDialog</t>
  </si>
  <si>
    <t>getTag</t>
  </si>
  <si>
    <t>sendShiftKeyWith</t>
  </si>
  <si>
    <t>calculateTextWidth</t>
  </si>
  <si>
    <t>ScrollListListener</t>
  </si>
  <si>
    <t>verifyScrollToPosition</t>
  </si>
  <si>
    <t>testSmoothScrollToPosition</t>
  </si>
  <si>
    <t>testCanScrollList</t>
  </si>
  <si>
    <t>sendAltDelete</t>
  </si>
  <si>
    <t>GalleryTest</t>
  </si>
  <si>
    <t>testSetAnimationDuration</t>
  </si>
  <si>
    <t>testShowContextMenuForChild</t>
  </si>
  <si>
    <t>testShowContextMenu</t>
  </si>
  <si>
    <t>GridLayoutTest</t>
  </si>
  <si>
    <t>GridViewTest</t>
  </si>
  <si>
    <t>notifyDataSetChanged</t>
  </si>
  <si>
    <t>notifyDataSetInvalidated</t>
  </si>
  <si>
    <t>getDropDownView</t>
  </si>
  <si>
    <t>DatePickerTest</t>
  </si>
  <si>
    <t>DialerFilterTest</t>
  </si>
  <si>
    <t>testOnFinishInflate</t>
  </si>
  <si>
    <t>testOnFocusChanged</t>
  </si>
  <si>
    <t>testOnModechange</t>
  </si>
  <si>
    <t>MockTextWatcher</t>
  </si>
  <si>
    <t>getText</t>
  </si>
  <si>
    <t>DigitalClockTest</t>
  </si>
  <si>
    <t>testSetSelectionStartstop</t>
  </si>
  <si>
    <t>ExpandableListViewBasicTest</t>
  </si>
  <si>
    <t>ExpandableListViewTest</t>
  </si>
  <si>
    <t>testSetAdapter</t>
  </si>
  <si>
    <t>ExpandableListViewWithHeadersTest</t>
  </si>
  <si>
    <t>FilterTest</t>
  </si>
  <si>
    <t>FrameLayoutTest</t>
  </si>
  <si>
    <t>compareScaledPixels</t>
  </si>
  <si>
    <t>testDrawableStateChanged</t>
  </si>
  <si>
    <t>HorizontalScrollViewTest</t>
  </si>
  <si>
    <t>testExecuteKeyEvent</t>
  </si>
  <si>
    <t>testOnRequestFocusInDescendants</t>
  </si>
  <si>
    <t>testOnInterceptTouchEvent</t>
  </si>
  <si>
    <t>ImageButtonTest</t>
  </si>
  <si>
    <t>ImageViewTest</t>
  </si>
  <si>
    <t>getPressedEnabledStateSet</t>
  </si>
  <si>
    <t>LinearLayoutTest</t>
  </si>
  <si>
    <t>checkBounds</t>
  </si>
  <si>
    <t>ListPopupWindowTest</t>
  </si>
  <si>
    <t>ListViewTest</t>
  </si>
  <si>
    <t>testOnKeyUpDown</t>
  </si>
  <si>
    <t>MediaControllerTest</t>
  </si>
  <si>
    <t>hasIsPlayingCalled</t>
  </si>
  <si>
    <t>MultiAutoCompleteTextViewTest</t>
  </si>
  <si>
    <t>NumberPickerTest</t>
  </si>
  <si>
    <t>PopupMenuTest</t>
  </si>
  <si>
    <t>PopupWindowTest</t>
  </si>
  <si>
    <t>assertPosition</t>
  </si>
  <si>
    <t>assertPositionY</t>
  </si>
  <si>
    <t>assertPositionX</t>
  </si>
  <si>
    <t>ProgressBarTest</t>
  </si>
  <si>
    <t>testOnSizeChange</t>
  </si>
  <si>
    <t>RadioButtonTest</t>
  </si>
  <si>
    <t>createDefaultRadioGroup</t>
  </si>
  <si>
    <t>RatingBarTest</t>
  </si>
  <si>
    <t>RelativeLayoutTest</t>
  </si>
  <si>
    <t>RelativeLayout_LayoutParamsTest</t>
  </si>
  <si>
    <t>testAccessRule1</t>
  </si>
  <si>
    <t>testAccessRule2</t>
  </si>
  <si>
    <t>RemoteViewsActivityTest</t>
  </si>
  <si>
    <t>ScrollViewTest</t>
  </si>
  <si>
    <t>testStrictModeNotViolatedOnStartup</t>
  </si>
  <si>
    <t>SlidingDrawerTest</t>
  </si>
  <si>
    <t>SpinnerTest</t>
  </si>
  <si>
    <t>SwitchTest</t>
  </si>
  <si>
    <t>TabHostTest</t>
  </si>
  <si>
    <t>testOnTouchModeChanged</t>
  </si>
  <si>
    <t>testDispatchWindowFocusChanged</t>
  </si>
  <si>
    <t>testOnAttachedToAndDetachedFromWindow</t>
  </si>
  <si>
    <t>TabHost_TabSpecTest</t>
  </si>
  <si>
    <t>notExecuted</t>
  </si>
  <si>
    <t>SearchViewTest</t>
  </si>
  <si>
    <t>SearchView_CursorTest</t>
  </si>
  <si>
    <t>SeekBarTest</t>
  </si>
  <si>
    <t>MockViewBinder</t>
  </si>
  <si>
    <t>hasCalledSetViewValue</t>
  </si>
  <si>
    <t>setViewValue</t>
  </si>
  <si>
    <t>hasCalledSetViewValueCalledCount</t>
  </si>
  <si>
    <t>hasCalledConvertToString</t>
  </si>
  <si>
    <t>convertToString</t>
  </si>
  <si>
    <t>TableLayoutTest</t>
  </si>
  <si>
    <t>testAddView1</t>
  </si>
  <si>
    <t>testAddView2</t>
  </si>
  <si>
    <t>testAddView3</t>
  </si>
  <si>
    <t>testAddView4</t>
  </si>
  <si>
    <t>testGenerateLayoutParams1</t>
  </si>
  <si>
    <t>testGenerateLayoutParams2</t>
  </si>
  <si>
    <t>TableRowTest</t>
  </si>
  <si>
    <t>testGenerateLayoutParams</t>
  </si>
  <si>
    <t>configureMultiChoiceModeListenerOnItemChecked</t>
  </si>
  <si>
    <t>testKeyboardTabTraversal_modeClock</t>
  </si>
  <si>
    <t>testKeyboardTabTraversal_modeSpinner</t>
  </si>
  <si>
    <t>TabWidgetTest</t>
  </si>
  <si>
    <t>testOnFocusChange</t>
  </si>
  <si>
    <t>TextViewFadingEdgeTest</t>
  </si>
  <si>
    <t>TextViewTest</t>
  </si>
  <si>
    <t>testInstanceState</t>
  </si>
  <si>
    <t>testGetTextColors</t>
  </si>
  <si>
    <t>testOnKeyShortcut</t>
  </si>
  <si>
    <t>testOnPreDraw</t>
  </si>
  <si>
    <t>testOnCreateContextMenu</t>
  </si>
  <si>
    <t>testOnTextChanged</t>
  </si>
  <si>
    <t>testOnPrivateIMECommand</t>
  </si>
  <si>
    <t>TimePickerTest</t>
  </si>
  <si>
    <t>ToastTest</t>
  </si>
  <si>
    <t>testMakeText1</t>
  </si>
  <si>
    <t>testMakeText2</t>
  </si>
  <si>
    <t>testSetText1</t>
  </si>
  <si>
    <t>testSetText2</t>
  </si>
  <si>
    <t>ToggleButtonTest</t>
  </si>
  <si>
    <t>ToolbarTest</t>
  </si>
  <si>
    <t>TwoLineListItemTest</t>
  </si>
  <si>
    <t>VideoViewTest</t>
  </si>
  <si>
    <t>findVideoViewById</t>
  </si>
  <si>
    <t>waitForOperationComplete</t>
  </si>
  <si>
    <t>testPlayVideo1</t>
  </si>
  <si>
    <t>testDeviceTreeCpuCurrent</t>
  </si>
  <si>
    <t>ViewAnimatorTest</t>
  </si>
  <si>
    <t>ViewFlipperTest</t>
  </si>
  <si>
    <t>waitForViewFlipping</t>
  </si>
  <si>
    <t>ZoomButtonTest</t>
  </si>
  <si>
    <t>testOnKeyUp</t>
  </si>
  <si>
    <t>BaseInputConnectionTest</t>
  </si>
  <si>
    <t>testDeleteSurroundingTextMain</t>
  </si>
  <si>
    <t>testDeleteSurroundingTextInCodePointsMain</t>
  </si>
  <si>
    <t>beginBatchEdit</t>
  </si>
  <si>
    <t>clearMetaKeyStates</t>
  </si>
  <si>
    <t>commitCompletion</t>
  </si>
  <si>
    <t>commitCorrection</t>
  </si>
  <si>
    <t>commitText</t>
  </si>
  <si>
    <t>deleteSurroundingText</t>
  </si>
  <si>
    <t>deleteSurroundingTextInCodePoints</t>
  </si>
  <si>
    <t>endBatchEdit</t>
  </si>
  <si>
    <t>finishComposingText</t>
  </si>
  <si>
    <t>getCursorCapsMode</t>
  </si>
  <si>
    <t>getExtractedText</t>
  </si>
  <si>
    <t>getTextAfterCursor</t>
  </si>
  <si>
    <t>getTextBeforeCursor</t>
  </si>
  <si>
    <t>getSelectedText</t>
  </si>
  <si>
    <t>performContextMenuAction</t>
  </si>
  <si>
    <t>performEditorAction</t>
  </si>
  <si>
    <t>performPrivateCommand</t>
  </si>
  <si>
    <t>reportFullscreenMode</t>
  </si>
  <si>
    <t>sendKeyEvent</t>
  </si>
  <si>
    <t>setComposingText</t>
  </si>
  <si>
    <t>setComposingRegion</t>
  </si>
  <si>
    <t>setSelection</t>
  </si>
  <si>
    <t>requestCursorUpdates</t>
  </si>
  <si>
    <t>getHandler</t>
  </si>
  <si>
    <t>commitContent</t>
  </si>
  <si>
    <t>testContentUri</t>
  </si>
  <si>
    <t>testMimeType</t>
  </si>
  <si>
    <t>InputMethodManagerTest</t>
  </si>
  <si>
    <t>TableRow_LayoutParamsTest</t>
  </si>
  <si>
    <t>AccelerateDecelerateInterpolatorTest</t>
  </si>
  <si>
    <t>AccelerateInterpolatorTest</t>
  </si>
  <si>
    <t>AnimationSetTest</t>
  </si>
  <si>
    <t>AnimationTest</t>
  </si>
  <si>
    <t>AnimationUtilsTest</t>
  </si>
  <si>
    <t>AnimatorInflaterTest</t>
  </si>
  <si>
    <t>getTestView</t>
  </si>
  <si>
    <t>CycleInterpolatorTest</t>
  </si>
  <si>
    <t>testCycyleInterpolator</t>
  </si>
  <si>
    <t>DecelerateInterpolatorTest</t>
  </si>
  <si>
    <t>GridLayoutAnimationControllerTest</t>
  </si>
  <si>
    <t>LayoutAnimationControllerTest</t>
  </si>
  <si>
    <t>LinearInterpolatorTest</t>
  </si>
  <si>
    <t>RotateAnimationTest</t>
  </si>
  <si>
    <t>ScaleAnimationTest</t>
  </si>
  <si>
    <t>TranslateAnimationTest</t>
  </si>
  <si>
    <t>View_AnimationTest</t>
  </si>
  <si>
    <t>MocContextThemeWrapper</t>
  </si>
  <si>
    <t>onApplyThemeResource</t>
  </si>
  <si>
    <t>assertEqualsTextAppearanceStyle</t>
  </si>
  <si>
    <t>ViewTreeObserverTest</t>
  </si>
  <si>
    <t>testDispatchOnGlobalLayout</t>
  </si>
  <si>
    <t>testDispatchOnPreDraw</t>
  </si>
  <si>
    <t>onGlobalFocusChanged</t>
  </si>
  <si>
    <t>hasCalledOnGlobalFocusChanged</t>
  </si>
  <si>
    <t>onGlobalLayout</t>
  </si>
  <si>
    <t>hasCalledOnGlobalLayout</t>
  </si>
  <si>
    <t>onPreDraw</t>
  </si>
  <si>
    <t>hasCalledOnPreDraw</t>
  </si>
  <si>
    <t>onTouchModeChanged</t>
  </si>
  <si>
    <t>hasCalledOnTouchModeChanged</t>
  </si>
  <si>
    <t>hasCalledOnScrollChanged</t>
  </si>
  <si>
    <t>onScrollChanged</t>
  </si>
  <si>
    <t>within</t>
  </si>
  <si>
    <t>ActionModeTest</t>
  </si>
  <si>
    <t>onGetContentRect</t>
  </si>
  <si>
    <t>ViewGroupOverlayTest</t>
  </si>
  <si>
    <t>ViewOverlayTest</t>
  </si>
  <si>
    <t>Factory</t>
  </si>
  <si>
    <t>Filter</t>
  </si>
  <si>
    <t>testInflate2</t>
  </si>
  <si>
    <t>testInflate3</t>
  </si>
  <si>
    <t>testInflate4</t>
  </si>
  <si>
    <t>MenuInflaterTest</t>
  </si>
  <si>
    <t>createMenu</t>
  </si>
  <si>
    <t>testInflateFromXml</t>
  </si>
  <si>
    <t>assertIconUsingDrawableRes</t>
  </si>
  <si>
    <t>TouchDelegateTest</t>
  </si>
  <si>
    <t>MockTouchDelegate</t>
  </si>
  <si>
    <t>onTouchEvent</t>
  </si>
  <si>
    <t>testHeapCorruption</t>
  </si>
  <si>
    <t>ContentPaneFocusTest</t>
  </si>
  <si>
    <t>FocusFinderTest</t>
  </si>
  <si>
    <t>assertNextFocus</t>
  </si>
  <si>
    <t>assertNextFocusFromRect</t>
  </si>
  <si>
    <t>FrameMetricsListenerTest</t>
  </si>
  <si>
    <t>GestureDetectorTest</t>
  </si>
  <si>
    <t>testRouteInfo_getDeviceType</t>
  </si>
  <si>
    <t>verifyState</t>
  </si>
  <si>
    <t>testGetMatch1</t>
  </si>
  <si>
    <t>isKeyDown</t>
  </si>
  <si>
    <t>isKeyUp</t>
  </si>
  <si>
    <t>isKeyMultiple</t>
  </si>
  <si>
    <t>getKeyCode</t>
  </si>
  <si>
    <t>getKeyEvent</t>
  </si>
  <si>
    <t>onKeyDown</t>
  </si>
  <si>
    <t>onKeyLongPress</t>
  </si>
  <si>
    <t>onKeyUp</t>
  </si>
  <si>
    <t>SearchEventTest</t>
  </si>
  <si>
    <t>waitForActivityToHaveFocus</t>
  </si>
  <si>
    <t>testTest</t>
  </si>
  <si>
    <t>MockOrientationEventListener</t>
  </si>
  <si>
    <t>onOrientationChanged</t>
  </si>
  <si>
    <t>hasCalledOnOrientationChanged</t>
  </si>
  <si>
    <t>ScaleGestureDetectorTest</t>
  </si>
  <si>
    <t>testgetContantForFocusDirection</t>
  </si>
  <si>
    <t>View_FocusHandlingTest</t>
  </si>
  <si>
    <t>View_IdsTest</t>
  </si>
  <si>
    <t>View_LayoutPositionTest</t>
  </si>
  <si>
    <t>View_UsingViewsTest</t>
  </si>
  <si>
    <t>onFocusChange</t>
  </si>
  <si>
    <t>hasFocus</t>
  </si>
  <si>
    <t>isOnLongClickCalled</t>
  </si>
  <si>
    <t>doFrame</t>
  </si>
  <si>
    <t>waitResult</t>
  </si>
  <si>
    <t>restart</t>
  </si>
  <si>
    <t>restartNecessary</t>
  </si>
  <si>
    <t>ackRestart</t>
  </si>
  <si>
    <t>Renderer</t>
  </si>
  <si>
    <t>onSurfaceChanged</t>
  </si>
  <si>
    <t>DisplayRefreshRateTest</t>
  </si>
  <si>
    <t>testErrors</t>
  </si>
  <si>
    <t>testGlProducer</t>
  </si>
  <si>
    <t>testVideoProducer</t>
  </si>
  <si>
    <t>getPixelFloatPos</t>
  </si>
  <si>
    <t>assertBitmapQuadColor</t>
  </si>
  <si>
    <t>pixelsAreSame</t>
  </si>
  <si>
    <t>QuadColorGLRenderer</t>
  </si>
  <si>
    <t>clearColor</t>
  </si>
  <si>
    <t>request</t>
  </si>
  <si>
    <t>getResultLocked</t>
  </si>
  <si>
    <t>onPixelCopyFinished</t>
  </si>
  <si>
    <t>AnimatorSetTest</t>
  </si>
  <si>
    <t>testgetChildAnimations</t>
  </si>
  <si>
    <t>AnimatorTest</t>
  </si>
  <si>
    <t>CreationTest</t>
  </si>
  <si>
    <t>assertRoughlyEqual</t>
  </si>
  <si>
    <t>assertEquals</t>
  </si>
  <si>
    <t>LayoutAnimationTest</t>
  </si>
  <si>
    <t>ObjectAnimatorTest</t>
  </si>
  <si>
    <t>PropertyValuesHolderTest</t>
  </si>
  <si>
    <t>ValueAnimatorTest</t>
  </si>
  <si>
    <t>getMediaPlayer</t>
  </si>
  <si>
    <t>makeInfinite</t>
  </si>
  <si>
    <t>testSmallRect</t>
  </si>
  <si>
    <t>testEmptySurfaceView</t>
  </si>
  <si>
    <t>testSurfaceViewSmallScale</t>
  </si>
  <si>
    <t>testSurfaceViewBigScale</t>
  </si>
  <si>
    <t>testVideoSurfaceViewTranslate</t>
  </si>
  <si>
    <t>testVideoSurfaceViewRotated</t>
  </si>
  <si>
    <t>testVideoSurfaceViewEdgeCoverage</t>
  </si>
  <si>
    <t>testVideoSurfaceViewCornerCoverage</t>
  </si>
  <si>
    <t>SurfaceViewTest</t>
  </si>
  <si>
    <t>ViewStubTest</t>
  </si>
  <si>
    <t>testInflateError</t>
  </si>
  <si>
    <t>onInflate</t>
  </si>
  <si>
    <t>hasCalledOnInflate</t>
  </si>
  <si>
    <t>testDebug</t>
  </si>
  <si>
    <t>WindowTest</t>
  </si>
  <si>
    <t>testCloseAllPanels</t>
  </si>
  <si>
    <t>checkDecorView</t>
  </si>
  <si>
    <t>testPerformMethods</t>
  </si>
  <si>
    <t>testKeepHierarchyState</t>
  </si>
  <si>
    <t>testSetChild</t>
  </si>
  <si>
    <t>testSetFeature</t>
  </si>
  <si>
    <t>testSuperDispatchEvent</t>
  </si>
  <si>
    <t>testOnConfigurationChanged</t>
  </si>
  <si>
    <t>testRequestFeature</t>
  </si>
  <si>
    <t>testFinalMethod</t>
  </si>
  <si>
    <t>dispatchKeyEvent</t>
  </si>
  <si>
    <t>dispatchKeyShortcutEvent</t>
  </si>
  <si>
    <t>dispatchTouchEvent</t>
  </si>
  <si>
    <t>dispatchTrackballEvent</t>
  </si>
  <si>
    <t>dispatchGenericMotionEvent</t>
  </si>
  <si>
    <t>dispatchPopulateAccessibilityEvent</t>
  </si>
  <si>
    <t>onCreatePanelView</t>
  </si>
  <si>
    <t>onCreatePanelMenu</t>
  </si>
  <si>
    <t>onPreparePanel</t>
  </si>
  <si>
    <t>onMenuOpened</t>
  </si>
  <si>
    <t>onMenuItemSelected</t>
  </si>
  <si>
    <t>onWindowAttributesChanged</t>
  </si>
  <si>
    <t>isOnWindowAttributesChangedCalled</t>
  </si>
  <si>
    <t>onContentChanged</t>
  </si>
  <si>
    <t>onPanelClosed</t>
  </si>
  <si>
    <t>isOnPanelClosedCalled</t>
  </si>
  <si>
    <t>onSearchRequested</t>
  </si>
  <si>
    <t>onWindowStartingActionMode</t>
  </si>
  <si>
    <t>onActionModeStarted</t>
  </si>
  <si>
    <t>onActionModeFinished</t>
  </si>
  <si>
    <t>onWindowDismissed</t>
  </si>
  <si>
    <t>setupActivity</t>
  </si>
  <si>
    <t>MockLayoutAnimationController</t>
  </si>
  <si>
    <t>ViewTest</t>
  </si>
  <si>
    <t>testOnSaveAndRestoreInstanceState</t>
  </si>
  <si>
    <t>hasOnCreateContextMenu</t>
  </si>
  <si>
    <t>hasOnClick</t>
  </si>
  <si>
    <t>hasOnLongClick</t>
  </si>
  <si>
    <t>hasOnContextClick</t>
  </si>
  <si>
    <t>onContextClick</t>
  </si>
  <si>
    <t>getLastViewContextClicked</t>
  </si>
  <si>
    <t>hasOnFocusChange</t>
  </si>
  <si>
    <t>onKey</t>
  </si>
  <si>
    <t>hasOnKey</t>
  </si>
  <si>
    <t>hasOnTouch</t>
  </si>
  <si>
    <t>hasCalledOnTouchEvent</t>
  </si>
  <si>
    <t>testSetText_updatesHeightAfterRemovingImageSpan</t>
  </si>
  <si>
    <t>testOnSelectionChanged_isTriggeredWhenSelectionChanges</t>
  </si>
  <si>
    <t>testSetLetterSpacing_changesTextWidth</t>
  </si>
  <si>
    <t>testGetOffsetForPosition_singleLineLtr</t>
  </si>
  <si>
    <t>testGetOffsetForPosition_multiLineLtr</t>
  </si>
  <si>
    <t>testGetOffsetForPosition_multiLineRtl</t>
  </si>
  <si>
    <t>testSetSynchronized</t>
  </si>
  <si>
    <t>hasAnimationStarted</t>
  </si>
  <si>
    <t>hasAnimationEnded</t>
  </si>
  <si>
    <t>hasAnimationRepeated</t>
  </si>
  <si>
    <t>BaseTransitionTest</t>
  </si>
  <si>
    <t>testCapturedValues</t>
  </si>
  <si>
    <t>ChangeBoundsTest</t>
  </si>
  <si>
    <t>ChangeClipBoundsTest</t>
  </si>
  <si>
    <t>assertMatrixMatches</t>
  </si>
  <si>
    <t>ChangeScrollTest</t>
  </si>
  <si>
    <t>assertTranslation</t>
  </si>
  <si>
    <t>assertNoTranslation</t>
  </si>
  <si>
    <t>SlideEdgeTest</t>
  </si>
  <si>
    <t>assureFadeProperties</t>
  </si>
  <si>
    <t>assureChangeBoundsProperties</t>
  </si>
  <si>
    <t>assureSlideProperties</t>
  </si>
  <si>
    <t>assureExplodeProperties</t>
  </si>
  <si>
    <t>assureChangeImageTransformProperties</t>
  </si>
  <si>
    <t>assureChangeTransformProperties</t>
  </si>
  <si>
    <t>assureChangeClipBoundsProperties</t>
  </si>
  <si>
    <t>assureAutoTransitionProperties</t>
  </si>
  <si>
    <t>assureChangeScrollProperties</t>
  </si>
  <si>
    <t>assureTransitionSetProperties</t>
  </si>
  <si>
    <t>assureCustomTransitionProperties</t>
  </si>
  <si>
    <t>testTargetIds</t>
  </si>
  <si>
    <t>testTargetNames</t>
  </si>
  <si>
    <t>testTargetClass</t>
  </si>
  <si>
    <t>testArcMotion</t>
  </si>
  <si>
    <t>testCustomPathMotion</t>
  </si>
  <si>
    <t>testPatternPathMotion</t>
  </si>
  <si>
    <t>TransitionManagerTest</t>
  </si>
  <si>
    <t>TransitionTest</t>
  </si>
  <si>
    <t>VisibilityTest</t>
  </si>
  <si>
    <t>supportsPrinting</t>
  </si>
  <si>
    <t>testIllegalPrintAttributesColorMode</t>
  </si>
  <si>
    <t>testIllegalPrintAttributesDuplexMode</t>
  </si>
  <si>
    <t>testIllegalPrintAttributesResolution</t>
  </si>
  <si>
    <t>testLegalPrintAttributesResolution</t>
  </si>
  <si>
    <t>testIllegalPrintAttributesMediaSize</t>
  </si>
  <si>
    <t>testLegalPrintAttributesMediaSize</t>
  </si>
  <si>
    <t>testIllegalPrintDocumentInfo</t>
  </si>
  <si>
    <t>testLegalPrintDocumentInfo</t>
  </si>
  <si>
    <t>testChangeToChangeEveryThingButPages</t>
  </si>
  <si>
    <t>testChangeToAttributes</t>
  </si>
  <si>
    <t>testChangeToNonAttributes</t>
  </si>
  <si>
    <t>testChangeToAttributesNoCopy</t>
  </si>
  <si>
    <t>testChangeToNonAttributesNoCopy</t>
  </si>
  <si>
    <t>testChangeToDefault</t>
  </si>
  <si>
    <t>testChangeToDefaultNoCopy</t>
  </si>
  <si>
    <t>testChangeToNothing</t>
  </si>
  <si>
    <t>testChangeToAllPages</t>
  </si>
  <si>
    <t>testChangeToSomePages</t>
  </si>
  <si>
    <t>testAllPagesWantedAndAllPagesWritten</t>
  </si>
  <si>
    <t>testSomePagesWantedAndAllPagesWritten</t>
  </si>
  <si>
    <t>testSomePagesWantedAndSomeMorePagesWritten</t>
  </si>
  <si>
    <t>testSomePagesWantedAndNotWritten</t>
  </si>
  <si>
    <t>testWantedPagesAlreadyWrittenForPreview</t>
  </si>
  <si>
    <t>testDefaultMatchesSuggested0</t>
  </si>
  <si>
    <t>testDefaultMatchesSuggested1</t>
  </si>
  <si>
    <t>testDefaultMatchesSuggested2</t>
  </si>
  <si>
    <t>testNoSuggestion0</t>
  </si>
  <si>
    <t>testNoSuggestion1</t>
  </si>
  <si>
    <t>testNoSuggestion2</t>
  </si>
  <si>
    <t>testMediaSizeSuggestion0</t>
  </si>
  <si>
    <t>testMediaSizeSuggestion1</t>
  </si>
  <si>
    <t>testDuplexModeSuggestion0</t>
  </si>
  <si>
    <t>testDuplexModeSuggestion1</t>
  </si>
  <si>
    <t>testSuggestedDifferentFromDefault</t>
  </si>
  <si>
    <t>testUnsupportedSuggested</t>
  </si>
  <si>
    <t>testNegativeMargins</t>
  </si>
  <si>
    <t>testNoPrintOptionsOrPrinterChange</t>
  </si>
  <si>
    <t>testNoPrintOptionsOrPrinterChangeCanceled</t>
  </si>
  <si>
    <t>testNonCallingBackWrite</t>
  </si>
  <si>
    <t>testPrintOptionsChangeAndNoPrinterChange</t>
  </si>
  <si>
    <t>testPrintOptionsChangeAndPrinterChange</t>
  </si>
  <si>
    <t>testPrintOptionsChangeAndNoPrinterChangeAndContentChange</t>
  </si>
  <si>
    <t>testNewPrinterSupportsSelectedPrintOptions</t>
  </si>
  <si>
    <t>testNothingChangesAllPagesWrittenFirstTime</t>
  </si>
  <si>
    <t>testCancelLongRunningLayout</t>
  </si>
  <si>
    <t>testCancelLongRunningWrite</t>
  </si>
  <si>
    <t>testFailedLayout</t>
  </si>
  <si>
    <t>testFailedWrite</t>
  </si>
  <si>
    <t>testUnexpectedLayoutCancel</t>
  </si>
  <si>
    <t>testUnexpectedWriteCancel</t>
  </si>
  <si>
    <t>testRequestedPagesNotWritten</t>
  </si>
  <si>
    <t>testLayoutCallbackNotCalled</t>
  </si>
  <si>
    <t>testWriteCallbackNotCalled</t>
  </si>
  <si>
    <t>testLayoutCallbackCalledTwice</t>
  </si>
  <si>
    <t>testWriteCallbackCalledTwice</t>
  </si>
  <si>
    <t>testNotEnoughPages</t>
  </si>
  <si>
    <t>printDocumentBaseTest</t>
  </si>
  <si>
    <t>testDocumentInfoNothingSet</t>
  </si>
  <si>
    <t>testDocumentInfoUnknownPageCount</t>
  </si>
  <si>
    <t>testDocumentInfoZeroPageCount</t>
  </si>
  <si>
    <t>testDocumentInfoOnePageCount</t>
  </si>
  <si>
    <t>testDocumentInfoThreePageCount</t>
  </si>
  <si>
    <t>testDocumentInfoContentTypePhoto</t>
  </si>
  <si>
    <t>testDocumentInfoContentTypeUnknown</t>
  </si>
  <si>
    <t>testDocumentInfoContentTypeNonDefined</t>
  </si>
  <si>
    <t>setState</t>
  </si>
  <si>
    <t>isStateTransitionAllowed</t>
  </si>
  <si>
    <t>testStateTransitions</t>
  </si>
  <si>
    <t>testBlockWithReason</t>
  </si>
  <si>
    <t>testFailWithReason</t>
  </si>
  <si>
    <t>testTag</t>
  </si>
  <si>
    <t>testAdvancedOption</t>
  </si>
  <si>
    <t>testOther</t>
  </si>
  <si>
    <t>testSetStatus</t>
  </si>
  <si>
    <t>testProgress</t>
  </si>
  <si>
    <t>testUpdateIcon</t>
  </si>
  <si>
    <t>testCannotUseAttachBaseContext</t>
  </si>
  <si>
    <t>testGetActivePrintJobs</t>
  </si>
  <si>
    <t>generatePrinters</t>
  </si>
  <si>
    <t>waitForMediaSizeChange</t>
  </si>
  <si>
    <t>changeCapabilities</t>
  </si>
  <si>
    <t>waitForPrinterUnavailable</t>
  </si>
  <si>
    <t>testCase</t>
  </si>
  <si>
    <t>testPrinterCapabilityChange</t>
  </si>
  <si>
    <t>testIllegalPrinterCapabilityInfos</t>
  </si>
  <si>
    <t>testSanePrinterCapabilityInfos</t>
  </si>
  <si>
    <t>testInvalidDefaultColor</t>
  </si>
  <si>
    <t>testInvalidDefaultDuplexMode</t>
  </si>
  <si>
    <t>testNormalLifecycle</t>
  </si>
  <si>
    <t>testCancelPrintServicesAlertDialog</t>
  </si>
  <si>
    <t>testStartPrinterDiscoveryWithHistoricalPrinters</t>
  </si>
  <si>
    <t>testAddRemovePrinters</t>
  </si>
  <si>
    <t>testPrinterInfos</t>
  </si>
  <si>
    <t>testSaveAttributes_withInputStream</t>
  </si>
  <si>
    <t>assertEvent</t>
  </si>
  <si>
    <t>assertEventTimes</t>
  </si>
  <si>
    <t>testEmptyString</t>
  </si>
  <si>
    <t>testLongNumericLiterals</t>
  </si>
  <si>
    <t>assertArraysEqual</t>
  </si>
  <si>
    <t>testIllegalValues</t>
  </si>
  <si>
    <t>assertOutOfRange</t>
  </si>
  <si>
    <t>assertUpper</t>
  </si>
  <si>
    <t>assertLower</t>
  </si>
  <si>
    <t>assertAction</t>
  </si>
  <si>
    <t>assertHashCodeEquals</t>
  </si>
  <si>
    <t>assertValueEquals</t>
  </si>
  <si>
    <t>assertFinite</t>
  </si>
  <si>
    <t>assertInfinite</t>
  </si>
  <si>
    <t>assertNaN</t>
  </si>
  <si>
    <t>assertZero</t>
  </si>
  <si>
    <t>assertLessThan</t>
  </si>
  <si>
    <t>assertGreaterThan</t>
  </si>
  <si>
    <t>assertCompareEquals</t>
  </si>
  <si>
    <t>assertEqualsAfterSerializing</t>
  </si>
  <si>
    <t>assertThrowsOnInit</t>
  </si>
  <si>
    <t>testThrottling</t>
  </si>
  <si>
    <t>assertTime</t>
  </si>
  <si>
    <t>assertMonth</t>
  </si>
  <si>
    <t>testCompareNullFailure</t>
  </si>
  <si>
    <t>assertFormatEquals</t>
  </si>
  <si>
    <t>assertToMillisResult</t>
  </si>
  <si>
    <t>assertToMillisInvalid</t>
  </si>
  <si>
    <t>assertParseError</t>
  </si>
  <si>
    <t>assertParse3339Succeeds</t>
  </si>
  <si>
    <t>assertParse3339Error</t>
  </si>
  <si>
    <t>assertNormalizeInvalid</t>
  </si>
  <si>
    <t>assertNormalizeResult</t>
  </si>
  <si>
    <t>assertTimeEquals</t>
  </si>
  <si>
    <t>MatchFilter</t>
  </si>
  <si>
    <t>TransformFilter</t>
  </si>
  <si>
    <t>testAddLinks1</t>
  </si>
  <si>
    <t>testAddLinks2</t>
  </si>
  <si>
    <t>testAddLinks3</t>
  </si>
  <si>
    <t>testAddLinks4</t>
  </si>
  <si>
    <t>testAddLinks5</t>
  </si>
  <si>
    <t>testAddLinks6</t>
  </si>
  <si>
    <t>testAddLinks7</t>
  </si>
  <si>
    <t>assertAddLinksWithWebUrlSucceeds</t>
  </si>
  <si>
    <t>assertAddLinksWithWebUrlFails</t>
  </si>
  <si>
    <t>assertAddLinksWithWebUrlPartiallyMatches</t>
  </si>
  <si>
    <t>assertAddLinksWithEmailSucceeds</t>
  </si>
  <si>
    <t>assertAddLinksWithEmailFails</t>
  </si>
  <si>
    <t>assertAddLinksWithEmailPartiallyMatches</t>
  </si>
  <si>
    <t>assertAddLinksSucceeds</t>
  </si>
  <si>
    <t>assertAddLinksFails</t>
  </si>
  <si>
    <t>assertAddLinksPartiallyMatches</t>
  </si>
  <si>
    <t>localAssertEquals</t>
  </si>
  <si>
    <t>CharacterPickerDialogTest</t>
  </si>
  <si>
    <t>testOnCreate</t>
  </si>
  <si>
    <t>LinkMovementMethodTest</t>
  </si>
  <si>
    <t>PasswordTransformationMethodTest</t>
  </si>
  <si>
    <t>ReplacementTransformationMethodTest</t>
  </si>
  <si>
    <t>testGetTransformationWithAbmornalOriginal</t>
  </si>
  <si>
    <t>ScrollingMovementMethodTest</t>
  </si>
  <si>
    <t>assertVisibleLineInTextView</t>
  </si>
  <si>
    <t>SingleLineTransformationMethodTest</t>
  </si>
  <si>
    <t>TouchTest</t>
  </si>
  <si>
    <t>checkIsWordWithSurrogate</t>
  </si>
  <si>
    <t>checkIsWord</t>
  </si>
  <si>
    <t>checkIsNotWord</t>
  </si>
  <si>
    <t>ArrowKeyMovementMethodTest</t>
  </si>
  <si>
    <t>testOnTakeFoucusWithNullLayout</t>
  </si>
  <si>
    <t>testOnTakeFocusWithNullParameters</t>
  </si>
  <si>
    <t>testOnTouchEventWithNullParameters</t>
  </si>
  <si>
    <t>checkMoveFromInsideWord</t>
  </si>
  <si>
    <t>assertSelection</t>
  </si>
  <si>
    <t>assertCharSequenceIndexEquals</t>
  </si>
  <si>
    <t>assertSelectEndOfContent</t>
  </si>
  <si>
    <t>assertSelectEndOfContentExceptFocusForward</t>
  </si>
  <si>
    <t>assertCursorPosition</t>
  </si>
  <si>
    <t>MockMultiTapKeyListener</t>
  </si>
  <si>
    <t>testDrawLeadingMarginFailure</t>
  </si>
  <si>
    <t>checkGetLocales</t>
  </si>
  <si>
    <t>checkGetLocaleObject</t>
  </si>
  <si>
    <t>URLSpanTest</t>
  </si>
  <si>
    <t>assertSingleTagOnWhileString</t>
  </si>
  <si>
    <t>assertBadHtml</t>
  </si>
  <si>
    <t>MyanmarTest</t>
  </si>
  <si>
    <t>checkSpanPositions</t>
  </si>
  <si>
    <t>checkReplacementSpanPositions</t>
  </si>
  <si>
    <t>assertUnmodified</t>
  </si>
  <si>
    <t>assertChanged</t>
  </si>
  <si>
    <t>assertAdded</t>
  </si>
  <si>
    <t>assertRemoved</t>
  </si>
  <si>
    <t>testConstructor1</t>
  </si>
  <si>
    <t>testConstructor2</t>
  </si>
  <si>
    <t>testReplacementSpan</t>
  </si>
  <si>
    <t>testParagraphs</t>
  </si>
  <si>
    <t>testWithEmoji</t>
  </si>
  <si>
    <t>testDoesntCrashWhenWordStyleOverlap</t>
  </si>
  <si>
    <t>testJoin1</t>
  </si>
  <si>
    <t>testJoin2</t>
  </si>
  <si>
    <t>AnimatedVectorDrawableTest</t>
  </si>
  <si>
    <t>testSingleFrameAnimation</t>
  </si>
  <si>
    <t>testEmptyAnimatorSet</t>
  </si>
  <si>
    <t>notifyStarted</t>
  </si>
  <si>
    <t>EmojiTest</t>
  </si>
  <si>
    <t>CompressedTextureTest</t>
  </si>
  <si>
    <t>EglConfigTest</t>
  </si>
  <si>
    <t>EglContextTest</t>
  </si>
  <si>
    <t>GLSurfaceViewTest</t>
  </si>
  <si>
    <t>OpenGlEsVersionTest</t>
  </si>
  <si>
    <t>assertGlVersionString</t>
  </si>
  <si>
    <t>assertDrawSuccessfully</t>
  </si>
  <si>
    <t>AnimationDrawableTest</t>
  </si>
  <si>
    <t>assertStoppedAnimation</t>
  </si>
  <si>
    <t>testPreloadDensityInner</t>
  </si>
  <si>
    <t>getCalledDraw</t>
  </si>
  <si>
    <t>setOpacity</t>
  </si>
  <si>
    <t>getConstantState</t>
  </si>
  <si>
    <t>setConstantState</t>
  </si>
  <si>
    <t>getInvalidateDrawable</t>
  </si>
  <si>
    <t>getScheduleDrawable</t>
  </si>
  <si>
    <t>getRunnable</t>
  </si>
  <si>
    <t>getWhen</t>
  </si>
  <si>
    <t>invalidateDrawable</t>
  </si>
  <si>
    <t>scheduleDrawable</t>
  </si>
  <si>
    <t>unscheduleDrawable</t>
  </si>
  <si>
    <t>testIsStateFul</t>
  </si>
  <si>
    <t>setStateful</t>
  </si>
  <si>
    <t>setPadding</t>
  </si>
  <si>
    <t>getPadding</t>
  </si>
  <si>
    <t>getMinimumWidth</t>
  </si>
  <si>
    <t>getIntrinsicWidth</t>
  </si>
  <si>
    <t>setMinimumHeight</t>
  </si>
  <si>
    <t>setMinimumWidth</t>
  </si>
  <si>
    <t>setIntrinsicHeight</t>
  </si>
  <si>
    <t>setIntrinsicWidth</t>
  </si>
  <si>
    <t>helpTestSetEnterFadeDuration</t>
  </si>
  <si>
    <t>helpTestSetExitFadeDuration</t>
  </si>
  <si>
    <t>testAccessCurrentDrawable</t>
  </si>
  <si>
    <t>assertConstantStateNotSet</t>
  </si>
  <si>
    <t>mutate</t>
  </si>
  <si>
    <t>setTintMode</t>
  </si>
  <si>
    <t>hasSetAlphaCalled</t>
  </si>
  <si>
    <t>hasSetColorFilterCalled</t>
  </si>
  <si>
    <t>hasSetDitherCalled</t>
  </si>
  <si>
    <t>hasMutateCalled</t>
  </si>
  <si>
    <t>setDither</t>
  </si>
  <si>
    <t>hasInvalidateDrawableCalled</t>
  </si>
  <si>
    <t>hasScheduleDrawableCalled</t>
  </si>
  <si>
    <t>hasUnscheduleDrawableCalled</t>
  </si>
  <si>
    <t>MockCallback</t>
  </si>
  <si>
    <t>hasCalledNewDrawable</t>
  </si>
  <si>
    <t>testSetTargetDensityOuter</t>
  </si>
  <si>
    <t>testSetTargetDensityInner</t>
  </si>
  <si>
    <t>testOutlinePreloadDensityInner</t>
  </si>
  <si>
    <t>assertColorFillRect</t>
  </si>
  <si>
    <t>getAtrributeSet</t>
  </si>
  <si>
    <t>hasCalledSchedule</t>
  </si>
  <si>
    <t>hasCalledUnschedule</t>
  </si>
  <si>
    <t>setVisible</t>
  </si>
  <si>
    <t>hasCalledGetPadding</t>
  </si>
  <si>
    <t>hasCalledSetVisible</t>
  </si>
  <si>
    <t>hasCalledSetAlpha</t>
  </si>
  <si>
    <t>hasCalledGetOpacity</t>
  </si>
  <si>
    <t>hasCalledSetColorFilter</t>
  </si>
  <si>
    <t>hasCalledIsStateful</t>
  </si>
  <si>
    <t>hasCalledGetIntrinsicWidth</t>
  </si>
  <si>
    <t>hasCalledGetIntrinsicHeight</t>
  </si>
  <si>
    <t>hasCalledSetState</t>
  </si>
  <si>
    <t>runPreloadDensityTestForDrawable</t>
  </si>
  <si>
    <t>runPreloadDensityTestForDrawableInner</t>
  </si>
  <si>
    <t>internalTestBitmapDrawable</t>
  </si>
  <si>
    <t>internalTestNinePatchDrawable</t>
  </si>
  <si>
    <t>testDrawWithNUllCanvas</t>
  </si>
  <si>
    <t>assertTransition</t>
  </si>
  <si>
    <t>assertTransitionStart</t>
  </si>
  <si>
    <t>assertTransitionInProgress</t>
  </si>
  <si>
    <t>assertTransitionEnd</t>
  </si>
  <si>
    <t>assertColorNotFillRect</t>
  </si>
  <si>
    <t>hasCalledInvalidateDrawable</t>
  </si>
  <si>
    <t>checkTile</t>
  </si>
  <si>
    <t>assertColor</t>
  </si>
  <si>
    <t>testExtractAlpha1</t>
  </si>
  <si>
    <t>testExtractAlpha2</t>
  </si>
  <si>
    <t>checkAlphaAndPremul</t>
  </si>
  <si>
    <t>checkPremultipliedBitmapConfig</t>
  </si>
  <si>
    <t>helpTestSetStroke_WidthGap</t>
  </si>
  <si>
    <t>helpTestSetStrokeList</t>
  </si>
  <si>
    <t>helpTestSetStrokeList_WidthGap</t>
  </si>
  <si>
    <t>helpTestSetSize</t>
  </si>
  <si>
    <t>IconTest</t>
  </si>
  <si>
    <t>onDrawableLoaded</t>
  </si>
  <si>
    <t>getLoadedCount</t>
  </si>
  <si>
    <t>getRunCount</t>
  </si>
  <si>
    <t>checkIconValidity</t>
  </si>
  <si>
    <t>setIntrinsicSize</t>
  </si>
  <si>
    <t>hasCalledSetDither</t>
  </si>
  <si>
    <t>hasCalledColorFilter</t>
  </si>
  <si>
    <t>jumpToCurrentState</t>
  </si>
  <si>
    <t>hasCalledJumpToCurrentState</t>
  </si>
  <si>
    <t>testHSVToColor1</t>
  </si>
  <si>
    <t>testHSVToColor2</t>
  </si>
  <si>
    <t>checkQuadrants</t>
  </si>
  <si>
    <t>checkColor</t>
  </si>
  <si>
    <t>preCompare</t>
  </si>
  <si>
    <t>testCanvas1</t>
  </si>
  <si>
    <t>testCanvas2</t>
  </si>
  <si>
    <t>checkDrewColor</t>
  </si>
  <si>
    <t>checkDrewPaint</t>
  </si>
  <si>
    <t>testDrawBitmap1</t>
  </si>
  <si>
    <t>testDrawBitmap2</t>
  </si>
  <si>
    <t>testDrawBitmap3</t>
  </si>
  <si>
    <t>testDrawBitmap4</t>
  </si>
  <si>
    <t>testDrawBitmap6</t>
  </si>
  <si>
    <t>testDrawBitmap5</t>
  </si>
  <si>
    <t>testDrawText1</t>
  </si>
  <si>
    <t>testDrawText2</t>
  </si>
  <si>
    <t>testDrawText3</t>
  </si>
  <si>
    <t>testDrawText4</t>
  </si>
  <si>
    <t>testDrawPosText1</t>
  </si>
  <si>
    <t>testDrawPosText2</t>
  </si>
  <si>
    <t>testDrawTextOnPath1</t>
  </si>
  <si>
    <t>testDrawTextOnPath2</t>
  </si>
  <si>
    <t>assertValue</t>
  </si>
  <si>
    <t>assertValues</t>
  </si>
  <si>
    <t>assertFloatArray</t>
  </si>
  <si>
    <t>testMapPoints3</t>
  </si>
  <si>
    <t>testMapVectors2</t>
  </si>
  <si>
    <t>testMapVectors3</t>
  </si>
  <si>
    <t>testMapRect2</t>
  </si>
  <si>
    <t>toShortString</t>
  </si>
  <si>
    <t>MovieTest</t>
  </si>
  <si>
    <t>checkBitmapWithAlpha</t>
  </si>
  <si>
    <t>assertBounds</t>
  </si>
  <si>
    <t>assertUnderline</t>
  </si>
  <si>
    <t>assertContainsNonBW</t>
  </si>
  <si>
    <t>assertContainsOnlyBlackAndWhite</t>
  </si>
  <si>
    <t>assertBreakText</t>
  </si>
  <si>
    <t>assertGetTextWidths</t>
  </si>
  <si>
    <t>assertMeasureText</t>
  </si>
  <si>
    <t>testGetTextPath1</t>
  </si>
  <si>
    <t>testGetTextPath2</t>
  </si>
  <si>
    <t>testGetRunAdvance_invalidArguments</t>
  </si>
  <si>
    <t>testGetOffsetForAdvance_invalidArguments</t>
  </si>
  <si>
    <t>testGetOffsetForAdvance_grahpemeCluster</t>
  </si>
  <si>
    <t>testRMoveTo</t>
  </si>
  <si>
    <t>assertPathsAreEquivalent</t>
  </si>
  <si>
    <t>checkBalance</t>
  </si>
  <si>
    <t>checkSize</t>
  </si>
  <si>
    <t>checkBitmap</t>
  </si>
  <si>
    <t>assertPointsInsideRegion</t>
  </si>
  <si>
    <t>assertPointsOutsideRegion</t>
  </si>
  <si>
    <t>assertNullRegionOp1</t>
  </si>
  <si>
    <t>assertDifferenceOp1</t>
  </si>
  <si>
    <t>assertIntersectOp1</t>
  </si>
  <si>
    <t>assertUnionOp1</t>
  </si>
  <si>
    <t>assertXorOp1</t>
  </si>
  <si>
    <t>assertReverseDifferenceOp1</t>
  </si>
  <si>
    <t>assertReplaceOp1</t>
  </si>
  <si>
    <t>assertNullRegionOp2</t>
  </si>
  <si>
    <t>assertDifferenceOp2</t>
  </si>
  <si>
    <t>assertIntersectOp2</t>
  </si>
  <si>
    <t>assertUnionOp2</t>
  </si>
  <si>
    <t>assertXorOp2</t>
  </si>
  <si>
    <t>assertReverseDifferenceOp2</t>
  </si>
  <si>
    <t>assertReplaceOp2</t>
  </si>
  <si>
    <t>assertNullRegionOp3</t>
  </si>
  <si>
    <t>assertDifferenceOp3</t>
  </si>
  <si>
    <t>assertIntersectOp3</t>
  </si>
  <si>
    <t>assertUnionOp3</t>
  </si>
  <si>
    <t>assertXorOp3</t>
  </si>
  <si>
    <t>assertReverseDifferenceOp3</t>
  </si>
  <si>
    <t>assertReplaceOp3</t>
  </si>
  <si>
    <t>assertNullRegionOp4</t>
  </si>
  <si>
    <t>assertDifferenceOp4</t>
  </si>
  <si>
    <t>assertIntersectOp4</t>
  </si>
  <si>
    <t>assertUnionOp4</t>
  </si>
  <si>
    <t>assertXorOp4</t>
  </si>
  <si>
    <t>assertReverseDifferenceOp4</t>
  </si>
  <si>
    <t>assertReplaceOp4</t>
  </si>
  <si>
    <t>assertNullRegionOp5</t>
  </si>
  <si>
    <t>assertDifferenceOp5</t>
  </si>
  <si>
    <t>assertIntersectOp5</t>
  </si>
  <si>
    <t>assertUnionOp5</t>
  </si>
  <si>
    <t>assertXorOp5</t>
  </si>
  <si>
    <t>assertReverseDifferenceOp5</t>
  </si>
  <si>
    <t>assertReplaceOp5</t>
  </si>
  <si>
    <t>checkColors</t>
  </si>
  <si>
    <t>testCreateFromFile1</t>
  </si>
  <si>
    <t>testCreateFromFile2</t>
  </si>
  <si>
    <t>VulkanFeaturesTest</t>
  </si>
  <si>
    <t>checkParameters</t>
  </si>
  <si>
    <t>TextureViewTest</t>
  </si>
  <si>
    <t>TestNgRunnerBuilder</t>
  </si>
  <si>
    <t>onSetShuffleMode</t>
  </si>
  <si>
    <t>testGetHistoricalX</t>
  </si>
  <si>
    <t>testGetHistoricalY</t>
  </si>
  <si>
    <t>testGetHistoricalSize</t>
  </si>
  <si>
    <t>testGetHistoricalPressure</t>
  </si>
  <si>
    <t>testGetHistoricalEventTime</t>
  </si>
  <si>
    <t>testAddBatch</t>
  </si>
  <si>
    <t>checkPlan</t>
  </si>
  <si>
    <t>generateEntryXml</t>
  </si>
  <si>
    <t>testObtain1</t>
  </si>
  <si>
    <t>testObtain2</t>
  </si>
  <si>
    <t>testObtain3</t>
  </si>
  <si>
    <t>testCreateAbiFlag</t>
  </si>
  <si>
    <t>testCreateId</t>
  </si>
  <si>
    <t>testParseId</t>
  </si>
  <si>
    <t>testParseName</t>
  </si>
  <si>
    <t>testParseAbi</t>
  </si>
  <si>
    <t>TestTaskQueue</t>
  </si>
  <si>
    <t>addTask</t>
  </si>
  <si>
    <t>getInsecureDeviceAdbCommand</t>
  </si>
  <si>
    <t>test_tryLock</t>
  </si>
  <si>
    <t>test_tryLockJJZ_Exclusive</t>
  </si>
  <si>
    <t>test_tryLockJJZ_Shared</t>
  </si>
  <si>
    <t>test_lock</t>
  </si>
  <si>
    <t>test_lockJJZ_Exclusive</t>
  </si>
  <si>
    <t>test_lockJJZ_Shared</t>
  </si>
  <si>
    <t>checkTryLockBehavior</t>
  </si>
  <si>
    <t>checkLockBehavior</t>
  </si>
  <si>
    <t>stopService</t>
  </si>
  <si>
    <t>acquire</t>
  </si>
  <si>
    <t>resetReceiverState</t>
  </si>
  <si>
    <t>testSetSoTimeout_readTimeout</t>
  </si>
  <si>
    <t>testSetSoTimeout_writeTimeout</t>
  </si>
  <si>
    <t>noException</t>
  </si>
  <si>
    <t>exception</t>
  </si>
  <si>
    <t>assertThrewIOException</t>
  </si>
  <si>
    <t>runInSeparateThread</t>
  </si>
  <si>
    <t>createConnectedSocketPair</t>
  </si>
  <si>
    <t>LocalSocketPair</t>
  </si>
  <si>
    <t>testInvalidMidiNullPointerAccess</t>
  </si>
  <si>
    <t>testIfMediaServerDied</t>
  </si>
  <si>
    <t>startTestActivity</t>
  </si>
  <si>
    <t>runDumpsysWindow</t>
  </si>
  <si>
    <t>withCoords</t>
  </si>
  <si>
    <t>withProperties</t>
  </si>
  <si>
    <t>verifyMatches</t>
  </si>
  <si>
    <t>verifyMatchesPointerProperties</t>
  </si>
  <si>
    <t>withPressure</t>
  </si>
  <si>
    <t>withSize</t>
  </si>
  <si>
    <t>withTouch</t>
  </si>
  <si>
    <t>withTool</t>
  </si>
  <si>
    <t>withOrientation</t>
  </si>
  <si>
    <t>verifyMatchesHistorical</t>
  </si>
  <si>
    <t>verifyMatchesPointerCoords</t>
  </si>
  <si>
    <t>verifyMatchesHistoricalPointerCoords</t>
  </si>
  <si>
    <t>testIsShiftPressed</t>
  </si>
  <si>
    <t>testIsSymPressed</t>
  </si>
  <si>
    <t>testIsAltPressed</t>
  </si>
  <si>
    <t>testWifi</t>
  </si>
  <si>
    <t>testWebViewDatabaseAccessHttpAuthUsernamePassword</t>
  </si>
  <si>
    <t>startScreenCaptureDisabledActivity</t>
  </si>
  <si>
    <t>addTestLog</t>
  </si>
  <si>
    <t>updateEndTime</t>
  </si>
  <si>
    <t>parseTestLog</t>
  </si>
  <si>
    <t>addTestLogLocked</t>
  </si>
  <si>
    <t>serializeTestLogsLocked</t>
  </si>
  <si>
    <t>findTest</t>
  </si>
  <si>
    <t>addTestsWithStatus</t>
  </si>
  <si>
    <t>countTests</t>
  </si>
  <si>
    <t>fromDataName</t>
  </si>
  <si>
    <t>TestLogType</t>
  </si>
  <si>
    <t>getAttrValue</t>
  </si>
  <si>
    <t>fromXml</t>
  </si>
  <si>
    <t>of</t>
  </si>
  <si>
    <t>TestLog</t>
  </si>
  <si>
    <t>getLogType</t>
  </si>
  <si>
    <t>isTag</t>
  </si>
  <si>
    <t>setDeviceSerial</t>
  </si>
  <si>
    <t>getDeviceSerial</t>
  </si>
  <si>
    <t>setAppPackageName</t>
  </si>
  <si>
    <t>getAbi</t>
  </si>
  <si>
    <t>setDigest</t>
  </si>
  <si>
    <t>getDigest</t>
  </si>
  <si>
    <t>serializeAttribute</t>
  </si>
  <si>
    <t>getTestsWithStatus</t>
  </si>
  <si>
    <t>populateMetrics</t>
  </si>
  <si>
    <t>reportTestFailure</t>
  </si>
  <si>
    <t>reportTestEnded</t>
  </si>
  <si>
    <t>getMetrics</t>
  </si>
  <si>
    <t>TestResultRepo</t>
  </si>
  <si>
    <t>getReportDir</t>
  </si>
  <si>
    <t>getSummaries</t>
  </si>
  <si>
    <t>getPackages</t>
  </si>
  <si>
    <t>serializeHostInfo</t>
  </si>
  <si>
    <t>serializeTestSummary</t>
  </si>
  <si>
    <t>getOrCreatePackage</t>
  </si>
  <si>
    <t>populateDeviceInfoMetrics</t>
  </si>
  <si>
    <t>insertTestCase</t>
  </si>
  <si>
    <t>insertSuite</t>
  </si>
  <si>
    <t>TestSummaryXml</t>
  </si>
  <si>
    <t>getNumIncomplete</t>
  </si>
  <si>
    <t>getNumFailed</t>
  </si>
  <si>
    <t>getNumPassed</t>
  </si>
  <si>
    <t>getTestPlan</t>
  </si>
  <si>
    <t>getDeviceSerials</t>
  </si>
  <si>
    <t>getTestRunName</t>
  </si>
  <si>
    <t>FailedTestBugreportGenerator</t>
  </si>
  <si>
    <t>FailedTestLogcatGenerator</t>
  </si>
  <si>
    <t>FailedTestScreenshotGenerator</t>
  </si>
  <si>
    <t>CtsTest</t>
  </si>
  <si>
    <t>setSkipDeviceInfo</t>
  </si>
  <si>
    <t>addPackageName</t>
  </si>
  <si>
    <t>addExcludedPackageName</t>
  </si>
  <si>
    <t>setClassName</t>
  </si>
  <si>
    <t>setMethodName</t>
  </si>
  <si>
    <t>setTestName</t>
  </si>
  <si>
    <t>setContinueSessionId</t>
  </si>
  <si>
    <t>isResumable</t>
  </si>
  <si>
    <t>setBuildHelper</t>
  </si>
  <si>
    <t>performPackagePrepareSetup</t>
  </si>
  <si>
    <t>performPackagePreparerTearDown</t>
  </si>
  <si>
    <t>filterByAbi</t>
  </si>
  <si>
    <t>preRebootIfNecessary</t>
  </si>
  <si>
    <t>rebootIfNecessary</t>
  </si>
  <si>
    <t>changeToHomeScreen</t>
  </si>
  <si>
    <t>setupTestPackageList</t>
  </si>
  <si>
    <t>getAvailableTestPackages</t>
  </si>
  <si>
    <t>getPrerequisitePackageNames</t>
  </si>
  <si>
    <t>buildTestPackageDefSet</t>
  </si>
  <si>
    <t>getPrerequisiteApks</t>
  </si>
  <si>
    <t>installPrerequisiteApks</t>
  </si>
  <si>
    <t>uninstallPrequisiteApks</t>
  </si>
  <si>
    <t>prepareReportLogContainers</t>
  </si>
  <si>
    <t>collectReportLogs</t>
  </si>
  <si>
    <t>createPlan</t>
  </si>
  <si>
    <t>getAbis</t>
  </si>
  <si>
    <t>xor</t>
  </si>
  <si>
    <t>forwardPackageDetails</t>
  </si>
  <si>
    <t>GeeTest</t>
  </si>
  <si>
    <t>setPositiveFilters</t>
  </si>
  <si>
    <t>setNegativeFilters</t>
  </si>
  <si>
    <t>getGTestFilters</t>
  </si>
  <si>
    <t>installTest</t>
  </si>
  <si>
    <t>createRemoteDir</t>
  </si>
  <si>
    <t>getBuildHelper</t>
  </si>
  <si>
    <t>setJarFileName</t>
  </si>
  <si>
    <t>getJarFileName</t>
  </si>
  <si>
    <t>setTimeout</t>
  </si>
  <si>
    <t>getException</t>
  </si>
  <si>
    <t>loadClass</t>
  </si>
  <si>
    <t>reportLoadError</t>
  </si>
  <si>
    <t>TestFilter</t>
  </si>
  <si>
    <t>addExcludedClass</t>
  </si>
  <si>
    <t>addExcludedTest</t>
  </si>
  <si>
    <t>getExcludedClasses</t>
  </si>
  <si>
    <t>getExcludedTests</t>
  </si>
  <si>
    <t>addIncludedClass</t>
  </si>
  <si>
    <t>addIncludedTest</t>
  </si>
  <si>
    <t>getIncludedClasses</t>
  </si>
  <si>
    <t>getIncludedTests</t>
  </si>
  <si>
    <t>setTestInclusion</t>
  </si>
  <si>
    <t>filter</t>
  </si>
  <si>
    <t>hasExclusion</t>
  </si>
  <si>
    <t>hasInclusion</t>
  </si>
  <si>
    <t>setRunTimeArgs</t>
  </si>
  <si>
    <t>setAppNameSpace</t>
  </si>
  <si>
    <t>setRunner</t>
  </si>
  <si>
    <t>getRunner</t>
  </si>
  <si>
    <t>setTestType</t>
  </si>
  <si>
    <t>getTestType</t>
  </si>
  <si>
    <t>setJarPath</t>
  </si>
  <si>
    <t>setTestPackageName</t>
  </si>
  <si>
    <t>setTargetBinaryName</t>
  </si>
  <si>
    <t>setTargetNameSpace</t>
  </si>
  <si>
    <t>getTargetApkName</t>
  </si>
  <si>
    <t>getTargetPackageName</t>
  </si>
  <si>
    <t>setTestFilter</t>
  </si>
  <si>
    <t>setPackagePreparers</t>
  </si>
  <si>
    <t>getPackagePreparers</t>
  </si>
  <si>
    <t>setInstrumentationTest</t>
  </si>
  <si>
    <t>filterTests</t>
  </si>
  <si>
    <t>isKnownTestClass</t>
  </si>
  <si>
    <t>addTestInstance</t>
  </si>
  <si>
    <t>getTestInstanceArguments</t>
  </si>
  <si>
    <t>generateDigest</t>
  </si>
  <si>
    <t>getFileStream</t>
  </si>
  <si>
    <t>TestPackageRepo</t>
  </si>
  <si>
    <t>getPreparerDefForPackage</t>
  </si>
  <si>
    <t>parseModuleTestConfigs</t>
  </si>
  <si>
    <t>getPackageIds</t>
  </si>
  <si>
    <t>getTestPackageDefsByName</t>
  </si>
  <si>
    <t>findPackageIdsForTest</t>
  </si>
  <si>
    <t>TestPackageXmlParser</t>
  </si>
  <si>
    <t>endElement</t>
  </si>
  <si>
    <t>genAttributeMap</t>
  </si>
  <si>
    <t>getTestPackageDefs</t>
  </si>
  <si>
    <t>parseTestList</t>
  </si>
  <si>
    <t>getTestIds</t>
  </si>
  <si>
    <t>getTestFilter</t>
  </si>
  <si>
    <t>addExcludedTests</t>
  </si>
  <si>
    <t>serializeFilter</t>
  </si>
  <si>
    <t>installVmPrereqs</t>
  </si>
  <si>
    <t>cleanupDeviceFiles</t>
  </si>
  <si>
    <t>WrappedGTest</t>
  </si>
  <si>
    <t>uninstallTest</t>
  </si>
  <si>
    <t>testCollectDeviceInfo</t>
  </si>
  <si>
    <t>testExtendedDeviceInfo</t>
  </si>
  <si>
    <t>displayMetrics</t>
  </si>
  <si>
    <t>testEmptyGeneration</t>
  </si>
  <si>
    <t>testSinglePass</t>
  </si>
  <si>
    <t>testSingleFail</t>
  </si>
  <si>
    <t>testIncludeTestLogTags</t>
  </si>
  <si>
    <t>testDeviceSetup</t>
  </si>
  <si>
    <t>getOutput</t>
  </si>
  <si>
    <t>testFeatures</t>
  </si>
  <si>
    <t>testProcesses</t>
  </si>
  <si>
    <t>testOpenGlTextureFormats</t>
  </si>
  <si>
    <t>testSystemLibraries</t>
  </si>
  <si>
    <t>assertSerializeParse</t>
  </si>
  <si>
    <t>testPopulateMetrics_combinedSerial</t>
  </si>
  <si>
    <t>testPopulateMetrics_verify</t>
  </si>
  <si>
    <t>addMetric</t>
  </si>
  <si>
    <t>testTestLogType_fromDataName</t>
  </si>
  <si>
    <t>testTestLogType_getAttrValue</t>
  </si>
  <si>
    <t>testFromDataName</t>
  </si>
  <si>
    <t>testFromDataName_unrecognizedDataName</t>
  </si>
  <si>
    <t>testFromDataName_nullDataName</t>
  </si>
  <si>
    <t>testFromDataName_nullUrl</t>
  </si>
  <si>
    <t>testFromDataName_allNull</t>
  </si>
  <si>
    <t>testFromXml</t>
  </si>
  <si>
    <t>testFromXml_unrecognizedType</t>
  </si>
  <si>
    <t>testFromXml_noTypeAttribute</t>
  </si>
  <si>
    <t>testFromXml_noUrlAttribute</t>
  </si>
  <si>
    <t>testFromXml_allNull</t>
  </si>
  <si>
    <t>testIsTag</t>
  </si>
  <si>
    <t>newXml</t>
  </si>
  <si>
    <t>testGetTestsWithStatus</t>
  </si>
  <si>
    <t>testParse_empty</t>
  </si>
  <si>
    <t>testParse_package</t>
  </si>
  <si>
    <t>testParse_corrupt</t>
  </si>
  <si>
    <t>testParse_test</t>
  </si>
  <si>
    <t>testParse_missing</t>
  </si>
  <si>
    <t>getStringAsReader</t>
  </si>
  <si>
    <t>testGetFailureMessageFromStackTrace_empty</t>
  </si>
  <si>
    <t>testGetFailureMessageFromStackTrace_oneLine</t>
  </si>
  <si>
    <t>testGetFailureMessageFromStackTrace_oneNewLine</t>
  </si>
  <si>
    <t>testGetFailureMessageFromStackTrace_twoLines</t>
  </si>
  <si>
    <t>testGetFailureMessageFromStackTrace_multiLines</t>
  </si>
  <si>
    <t>testRun_plan</t>
  </si>
  <si>
    <t>testRun_package</t>
  </si>
  <si>
    <t>testRun_resume</t>
  </si>
  <si>
    <t>testRun_class</t>
  </si>
  <si>
    <t>testRun_test</t>
  </si>
  <si>
    <t>testRun_excludedPackage</t>
  </si>
  <si>
    <t>testRun_continueSession</t>
  </si>
  <si>
    <t>setParsePlanExpectations</t>
  </si>
  <si>
    <t>setCreateAndRunTestExpectations</t>
  </si>
  <si>
    <t>testRun_nothingToRun</t>
  </si>
  <si>
    <t>testRun_packagePlan</t>
  </si>
  <si>
    <t>testRun_planClass</t>
  </si>
  <si>
    <t>testRun_packageClass</t>
  </si>
  <si>
    <t>testRun_planPackageClass</t>
  </si>
  <si>
    <t>testRun_planContinue</t>
  </si>
  <si>
    <t>testJoin</t>
  </si>
  <si>
    <t>testSingleJoin</t>
  </si>
  <si>
    <t>testEmptyJoin</t>
  </si>
  <si>
    <t>setSleepProvider</t>
  </si>
  <si>
    <t>onExecutionProgressed</t>
  </si>
  <si>
    <t>recoverConnectionRefused</t>
  </si>
  <si>
    <t>expectRenderConfigQuery</t>
  </si>
  <si>
    <t>expectRenderConfigQueryAndReturn</t>
  </si>
  <si>
    <t>testRun_multipleTests</t>
  </si>
  <si>
    <t>testRun_unexecutableTests</t>
  </si>
  <si>
    <t>testRun_queryPmListFailure</t>
  </si>
  <si>
    <t>testRun_queryRenderabilityFailure</t>
  </si>
  <si>
    <t>testOrientation</t>
  </si>
  <si>
    <t>testRun_orientationLandscape</t>
  </si>
  <si>
    <t>testRun_orientationPortrait</t>
  </si>
  <si>
    <t>testRun_orientationReverseLandscape</t>
  </si>
  <si>
    <t>testRun_orientationReversePortrait</t>
  </si>
  <si>
    <t>testRun_orientationUnspecified</t>
  </si>
  <si>
    <t>testRun_orientationUnspecifiedLimitedFeatures</t>
  </si>
  <si>
    <t>testRun_orientationLandscapeLimitedFeatures</t>
  </si>
  <si>
    <t>testRun_orientationPortraitLimitedFeatures</t>
  </si>
  <si>
    <t>testRun_unsupportedPixelFormat</t>
  </si>
  <si>
    <t>testRun_sessionInfoValueMissing</t>
  </si>
  <si>
    <t>testRun_resultEventTypeMissing</t>
  </si>
  <si>
    <t>testRun_testCasePathInterrupted</t>
  </si>
  <si>
    <t>testRun_testCasePathMissing</t>
  </si>
  <si>
    <t>testRun_multipleInstances</t>
  </si>
  <si>
    <t>testMultipleInstancesLossOfDeviceMidInstance</t>
  </si>
  <si>
    <t>testRun_multipleInstancesLossOfDeviceMidInstance</t>
  </si>
  <si>
    <t>testRun_multipleInstancesLossOfDeviceMidInstanceAndRecovery</t>
  </si>
  <si>
    <t>runRecoveryWithPattern</t>
  </si>
  <si>
    <t>setRecoveryExpectationWait</t>
  </si>
  <si>
    <t>setRecoveryExpectationKillProcess</t>
  </si>
  <si>
    <t>setRecoveryExpectationRecovery</t>
  </si>
  <si>
    <t>setRecoveryExpectationReboot</t>
  </si>
  <si>
    <t>setRecoveryExpectationOfAConnFailure</t>
  </si>
  <si>
    <t>setRecoveryExpectationOfAComKilled</t>
  </si>
  <si>
    <t>setRecoveryExpectationsOfAPattern</t>
  </si>
  <si>
    <t>testRecoveryWithPattern</t>
  </si>
  <si>
    <t>testRecovery_NoEvents</t>
  </si>
  <si>
    <t>testRecovery_AllOk</t>
  </si>
  <si>
    <t>testRecovery_OneConnectionFailureBegin</t>
  </si>
  <si>
    <t>testRecovery_TwoConnectionFailuresBegin</t>
  </si>
  <si>
    <t>testRecovery_ThreeConnectionFailuresBegin</t>
  </si>
  <si>
    <t>testRecovery_OneConnectionFailureMid</t>
  </si>
  <si>
    <t>testRecovery_TwoConnectionFailuresMid</t>
  </si>
  <si>
    <t>testRecovery_ThreeConnectionFailuresMid</t>
  </si>
  <si>
    <t>testRecovery_OneLinkFailureBegin</t>
  </si>
  <si>
    <t>testRecovery_TwoLinkFailuresBegin</t>
  </si>
  <si>
    <t>testRecovery_ThreeLinkFailuresBegin</t>
  </si>
  <si>
    <t>testRecovery_FourLinkFailuresBegin</t>
  </si>
  <si>
    <t>testRecovery_OneLinkFailureMid</t>
  </si>
  <si>
    <t>testRecovery_TwoLinkFailuresMid</t>
  </si>
  <si>
    <t>testRecovery_ThreeLinkFailuresMid</t>
  </si>
  <si>
    <t>testRecovery_FourLinkFailuresMid</t>
  </si>
  <si>
    <t>testRecovery_MixedFailuresProgressBetween</t>
  </si>
  <si>
    <t>testRecovery_MixedFailuresNoProgressBetween</t>
  </si>
  <si>
    <t>testRecovery_unkillableProcess</t>
  </si>
  <si>
    <t>testInterrupt_killBeforeBatch</t>
  </si>
  <si>
    <t>testInterrupt_killReportTestFailed</t>
  </si>
  <si>
    <t>runInstrumentationLineAndAnswer</t>
  </si>
  <si>
    <t>testGetGTestFilters</t>
  </si>
  <si>
    <t>testGetGTestFiltersPositiveOnly</t>
  </si>
  <si>
    <t>testGetGTestFiltersNegativeOnly</t>
  </si>
  <si>
    <t>testGetGTestFiltersWithNoFilters</t>
  </si>
  <si>
    <t>MockTest</t>
  </si>
  <si>
    <t>testFilter_empty</t>
  </si>
  <si>
    <t>testFilter_excludeTest</t>
  </si>
  <si>
    <t>testFilter_excludeClass</t>
  </si>
  <si>
    <t>testFilter_includeClass</t>
  </si>
  <si>
    <t>testFilter_includeTest</t>
  </si>
  <si>
    <t>testFilter_includeClasses</t>
  </si>
  <si>
    <t>testFilter_includeTests</t>
  </si>
  <si>
    <t>testFilter_includeAndExcludeClasses</t>
  </si>
  <si>
    <t>testFilter_includeAndExcludeTests</t>
  </si>
  <si>
    <t>testFilter_includeTestAndExcludeClass</t>
  </si>
  <si>
    <t>testFilter_includeClassAndExcludeTest</t>
  </si>
  <si>
    <t>testFilter_includeClassAndExcludeTests</t>
  </si>
  <si>
    <t>testGenerateDigest</t>
  </si>
  <si>
    <t>testParse_hostTest_noKnownFailures</t>
  </si>
  <si>
    <t>testParse_vmHostTest</t>
  </si>
  <si>
    <t>testParse_nativeTest</t>
  </si>
  <si>
    <t>assertTestType</t>
  </si>
  <si>
    <t>testParse_instancedMultiple</t>
  </si>
  <si>
    <t>testParse_instancedSingle</t>
  </si>
  <si>
    <t>testParse_instancedEmptys</t>
  </si>
  <si>
    <t>testParse_instancedNoInstances</t>
  </si>
  <si>
    <t>assertTestData</t>
  </si>
  <si>
    <t>assertMultiExcluded</t>
  </si>
  <si>
    <t>testSerialize_empty</t>
  </si>
  <si>
    <t>testSerialize_packages</t>
  </si>
  <si>
    <t>testSerialize_multiExclude</t>
  </si>
  <si>
    <t>assertArrayEquals</t>
  </si>
  <si>
    <t>testGetRawGTestOutput_valid</t>
  </si>
  <si>
    <t>testGetRawGTestOutput_invalid</t>
  </si>
  <si>
    <t>check12And24HourFormat</t>
  </si>
  <si>
    <t>testIsProvisioningAllowedFalseForManagedProfileAction</t>
  </si>
  <si>
    <t>waitForFocusChangeAndAssert</t>
  </si>
  <si>
    <t>onAppFocusChange</t>
  </si>
  <si>
    <t>onAppFocusOwnershipLoss</t>
  </si>
  <si>
    <t>testCarNotSupportedException</t>
  </si>
  <si>
    <t>onAppFocusOwnershipLost</t>
  </si>
  <si>
    <t>testManufacturer</t>
  </si>
  <si>
    <t>testNoSuchInfo</t>
  </si>
  <si>
    <t>FragmentReplaceTest</t>
  </si>
  <si>
    <t>testReplaceFragment</t>
  </si>
  <si>
    <t>DecodeRunnable</t>
  </si>
  <si>
    <t>getFrames</t>
  </si>
  <si>
    <t>getMeasuredFps</t>
  </si>
  <si>
    <t>decodeInParallel</t>
  </si>
  <si>
    <t>generateContriesList</t>
  </si>
  <si>
    <t>getListViewVisibleItemsNumber</t>
  </si>
  <si>
    <t>testEnablingAndDisablingSecurityLogging</t>
  </si>
  <si>
    <t>testHideSoftKeyboard_shouldHideAndShowKeyboardOnRequest</t>
  </si>
  <si>
    <t>testHideSoftKeyboard_shouldHideKeyboardUntilServiceIsDisabled</t>
  </si>
  <si>
    <t>waitForWindowStateChanged</t>
  </si>
  <si>
    <t>testEllipsizeEndAndNoEllipsizeHasSameBaselineForSingleLine</t>
  </si>
  <si>
    <t>testEllipsizeEndAndNoEllipsizeHasSameBaselineForMultiLine</t>
  </si>
  <si>
    <t>await</t>
  </si>
  <si>
    <t>assertShortEquals</t>
  </si>
  <si>
    <t>testSingleToHalf</t>
  </si>
  <si>
    <t>testHalfToSingle</t>
  </si>
  <si>
    <t>testHexString</t>
  </si>
  <si>
    <t>testString</t>
  </si>
  <si>
    <t>testUpdateChannel</t>
  </si>
  <si>
    <t>testUpdateChannelDoesNotExist</t>
  </si>
  <si>
    <t>testonInputBufferFilledSigsegv</t>
  </si>
  <si>
    <t>testAppLinks</t>
  </si>
  <si>
    <t>WebViewStartupTest</t>
  </si>
  <si>
    <t>testCookieManagerBlockingUiThread</t>
  </si>
  <si>
    <t>testDebugAuthWithoutUnlock</t>
  </si>
  <si>
    <t>isWatch</t>
  </si>
  <si>
    <t>isTelevision</t>
  </si>
  <si>
    <t>loadObject</t>
  </si>
  <si>
    <t>testPacakgeField</t>
  </si>
  <si>
    <t>testInCallShortPress_togglesMute</t>
  </si>
  <si>
    <t>testInCallLongPress_hangupCall</t>
  </si>
  <si>
    <t>testGetDocumentUriThrowsWithoutPermission</t>
  </si>
  <si>
    <t>testGetCurrentSizeRange</t>
  </si>
  <si>
    <t>isSecondarySize</t>
  </si>
  <si>
    <t>enableComponent</t>
  </si>
  <si>
    <t>disableComponent</t>
  </si>
  <si>
    <t>testIsPrepared</t>
  </si>
  <si>
    <t>testIsNotPrepared</t>
  </si>
  <si>
    <t>createEglDisplay</t>
  </si>
  <si>
    <t>createEglContext</t>
  </si>
  <si>
    <t>destroyEglContext</t>
  </si>
  <si>
    <t>getEglConfig</t>
  </si>
  <si>
    <t>testEnterExitTransition</t>
  </si>
  <si>
    <t>testEnableBluetoothFailsWhenDisallowed</t>
  </si>
  <si>
    <t>testBluetoothGetsDisabledAfterRestrictionSet</t>
  </si>
  <si>
    <t>testEnableBluetoothSucceedsAfterRestrictionRemoved</t>
  </si>
  <si>
    <t>disable</t>
  </si>
  <si>
    <t>assertDisabledAfterTimeout</t>
  </si>
  <si>
    <t>enable</t>
  </si>
  <si>
    <t>assertEnabledfterTimeout</t>
  </si>
  <si>
    <t>testBluetoothRestriction</t>
  </si>
  <si>
    <t>waitForUpEvent</t>
  </si>
  <si>
    <t>createLongClick</t>
  </si>
  <si>
    <t>createSwipe</t>
  </si>
  <si>
    <t>createPinch</t>
  </si>
  <si>
    <t>testAddAccountExplicitlyWithUid</t>
  </si>
  <si>
    <t>TestScanner</t>
  </si>
  <si>
    <t>getTimeout</t>
  </si>
  <si>
    <t>handleSuite</t>
  </si>
  <si>
    <t>handleCase</t>
  </si>
  <si>
    <t>handleTest</t>
  </si>
  <si>
    <t>hasSuite</t>
  </si>
  <si>
    <t>getSuite</t>
  </si>
  <si>
    <t>addSuite</t>
  </si>
  <si>
    <t>getSuites</t>
  </si>
  <si>
    <t>addCase</t>
  </si>
  <si>
    <t>getCases</t>
  </si>
  <si>
    <t>testAlarmClock</t>
  </si>
  <si>
    <t>convertDmToFl</t>
  </si>
  <si>
    <t>testHelpExists</t>
  </si>
  <si>
    <t>getTestResultString</t>
  </si>
  <si>
    <t>tearDownConfigs</t>
  </si>
  <si>
    <t>exerciseRasterizer</t>
  </si>
  <si>
    <t>testAddLayer1</t>
  </si>
  <si>
    <t>testAddLayer2</t>
  </si>
  <si>
    <t>testAccessRasterizer</t>
  </si>
  <si>
    <t>testGetRasterizer</t>
  </si>
  <si>
    <t>testUpdateDrawState</t>
  </si>
  <si>
    <t>testUpdateDrawStateNull</t>
  </si>
  <si>
    <t>setUpMeteredNetwork</t>
  </si>
  <si>
    <t>ConnectionCallback</t>
  </si>
  <si>
    <t>SubscriptionCallback</t>
  </si>
  <si>
    <t>ItemCallback</t>
  </si>
  <si>
    <t>testBindDeviceAdminServiceForUser_byodPlusDeviceOwner</t>
  </si>
  <si>
    <t>testWindowProducerCropClamping</t>
  </si>
  <si>
    <t>prepareAndRetrieveAutoSizeTextView</t>
  </si>
  <si>
    <t>dumpResolvedIntents</t>
  </si>
  <si>
    <t>testHardwareSameAs</t>
  </si>
  <si>
    <t>testWriteEventWithOversizeValue</t>
  </si>
  <si>
    <t>testCellularConnectivity</t>
  </si>
  <si>
    <t>initSystemStatusCheckers</t>
  </si>
  <si>
    <t>testNoPermissionEscalation</t>
  </si>
  <si>
    <t>testClipRegion1</t>
  </si>
  <si>
    <t>testClipRegion2</t>
  </si>
  <si>
    <t>testClipRegion3</t>
  </si>
  <si>
    <t>testClipRegion4</t>
  </si>
  <si>
    <t>assertDeviceOwner</t>
  </si>
  <si>
    <t>BindDeviceAdminServiceFailsTestSuite</t>
  </si>
  <si>
    <t>checkCannotBind</t>
  </si>
  <si>
    <t>bind</t>
  </si>
  <si>
    <t>BindDeviceAdminServiceCorpOwnedManagedProfileTestSuite</t>
  </si>
  <si>
    <t>checkCannotBind_implicitIntent</t>
  </si>
  <si>
    <t>checkCannotBind_notResolvableIntent</t>
  </si>
  <si>
    <t>checkCannotBind_exportedCrossUserService</t>
  </si>
  <si>
    <t>checkCannotBind_nonManagingPackage</t>
  </si>
  <si>
    <t>checkCannotBind_sameUser</t>
  </si>
  <si>
    <t>checkCrossProfileCall_echo</t>
  </si>
  <si>
    <t>checkCrossProfileCall_getUserHandle</t>
  </si>
  <si>
    <t>assertCrossProfileCall</t>
  </si>
  <si>
    <t>testBindDeviceAdminServiceForUser_corpOwnedManagedProfile</t>
  </si>
  <si>
    <t>testBindDeviceAdminServiceForUser_shouldFail</t>
  </si>
  <si>
    <t>assertManagedProfile</t>
  </si>
  <si>
    <t>testRecordAudioFromAudioSourceUnprocessed</t>
  </si>
  <si>
    <t>testAllowed</t>
  </si>
  <si>
    <t>testCreateChannelAlreadyExists</t>
  </si>
  <si>
    <t>hasKernelCrypto</t>
  </si>
  <si>
    <t>testConfig</t>
  </si>
  <si>
    <t>testGetWifiMacAddress</t>
  </si>
  <si>
    <t>testIsProvisioningAllowed</t>
  </si>
  <si>
    <t>testIsProvisioningAllowed_corpOwnedManagedProfile</t>
  </si>
  <si>
    <t>testOnReceive</t>
  </si>
  <si>
    <t>hasFlags</t>
  </si>
  <si>
    <t>getUser</t>
  </si>
  <si>
    <t>getBugreportFailureCode</t>
  </si>
  <si>
    <t>getBugreportHash</t>
  </si>
  <si>
    <t>getNetworkLogsToken</t>
  </si>
  <si>
    <t>getNetworkLogsCount</t>
  </si>
  <si>
    <t>onPasswordChanged</t>
  </si>
  <si>
    <t>onPasswordFailed</t>
  </si>
  <si>
    <t>onPasswordExpiring</t>
  </si>
  <si>
    <t>onPasswordSucceeded</t>
  </si>
  <si>
    <t>onDisableRequested</t>
  </si>
  <si>
    <t>onDisabled</t>
  </si>
  <si>
    <t>onBugreportSharingDeclined</t>
  </si>
  <si>
    <t>onBugreportFailed</t>
  </si>
  <si>
    <t>onBugreportShared</t>
  </si>
  <si>
    <t>onSecurityLogsAvailable</t>
  </si>
  <si>
    <t>onNetworkLogsAvailable</t>
  </si>
  <si>
    <t>testNormalStartNorma</t>
  </si>
  <si>
    <t>testAutoSizeCallers_setFontFeatureSettings</t>
  </si>
  <si>
    <t>testAutoSizeCallers_setMinLines</t>
  </si>
  <si>
    <t>testAutoSizeCallers_setMinHeight</t>
  </si>
  <si>
    <t>AutoSizeTextViewTestDetails</t>
  </si>
  <si>
    <t>forceImeToBeShown</t>
  </si>
  <si>
    <t>testrunPostModuleCheck</t>
  </si>
  <si>
    <t>testrunPostModuleCheck_failure</t>
  </si>
  <si>
    <t>tryWaitForSuccess</t>
  </si>
  <si>
    <t>testSelectWithProjection</t>
  </si>
  <si>
    <t>testSelectWithSortOrder</t>
  </si>
  <si>
    <t>testDisablingNetworkLogging</t>
  </si>
  <si>
    <t>testSetNetworkLoggingEnabledNotPossibleIfMoreThanOneUserPresent</t>
  </si>
  <si>
    <t>testRetrievingNetworkLogsNotPossibleIfMoreThanOneUserPresent</t>
  </si>
  <si>
    <t>testEnablingAndDisablingNetworkLogging</t>
  </si>
  <si>
    <t>testRequestBugreportNotStartedIfMoreThanOneUserPresent</t>
  </si>
  <si>
    <t>testSetSecurityLoggingEnabledNotPossibleIfMoreThanOneUserPresent</t>
  </si>
  <si>
    <t>testRetrievingSecurityLogsNotPossibleIfMoreThanOneUserPresent</t>
  </si>
  <si>
    <t>testRetrievingPreviousSecurityLogsNotPossibleIfMoreThanOneUserPresent</t>
  </si>
  <si>
    <t>testValidSsaid</t>
  </si>
  <si>
    <t>testSsaidBetweenApps</t>
  </si>
  <si>
    <t>testSsaidAcrossInstalls</t>
  </si>
  <si>
    <t>testFirstInstallSsaid</t>
  </si>
  <si>
    <t>testSecondInstallSsaid</t>
  </si>
  <si>
    <t>testAppsReceiveDifferentSsaid</t>
  </si>
  <si>
    <t>getDeviceAdminJavaPackage</t>
  </si>
  <si>
    <t>changeUserRestrictionForUser</t>
  </si>
  <si>
    <t>changePolicy</t>
  </si>
  <si>
    <t>setTooltip</t>
  </si>
  <si>
    <t>testSetGetFontVariationSettings</t>
  </si>
  <si>
    <t>hasAppWidgets</t>
  </si>
  <si>
    <t>test04_getAndLaunch</t>
  </si>
  <si>
    <t>testAddSummary</t>
  </si>
  <si>
    <t>testAddTestFailure</t>
  </si>
  <si>
    <t>testAddTestFailureNoAbi</t>
  </si>
  <si>
    <t>testStackTracesAreUnique</t>
  </si>
  <si>
    <t>testStackTracesAreShortened</t>
  </si>
  <si>
    <t>verifyNextGroup</t>
  </si>
  <si>
    <t>testNoGroups</t>
  </si>
  <si>
    <t>testFindNextSection</t>
  </si>
  <si>
    <t>testAddKeyboardNavigationGroups</t>
  </si>
  <si>
    <t>testFindFocusWithCluster</t>
  </si>
  <si>
    <t>testFocusSearchWithCluster</t>
  </si>
  <si>
    <t>testRequestFocusWithCluster</t>
  </si>
  <si>
    <t>testKeyboardNavigationGroupSearch</t>
  </si>
  <si>
    <t>test04_getAndLaunch_primary</t>
  </si>
  <si>
    <t>test04_getAndLaunch_managed</t>
  </si>
  <si>
    <t>getAdminExtraSharedPreferences</t>
  </si>
  <si>
    <t>testPrecidence</t>
  </si>
  <si>
    <t>ActionMatcher</t>
  </si>
  <si>
    <t>MoveMatcher</t>
  </si>
  <si>
    <t>verifyHoverSequence</t>
  </si>
  <si>
    <t>verifyEnterMove</t>
  </si>
  <si>
    <t>verifyEnterMoveExit</t>
  </si>
  <si>
    <t>obtainMotionEvent</t>
  </si>
  <si>
    <t>installHoverListener</t>
  </si>
  <si>
    <t>clearHoverListener</t>
  </si>
  <si>
    <t>testSetAutoTimeRequired_failIfNotDeviceOwner</t>
  </si>
  <si>
    <t>testDefaultMethods</t>
  </si>
  <si>
    <t>testOpComposingSpans</t>
  </si>
  <si>
    <t>testOpTextMethods</t>
  </si>
  <si>
    <t>testFinishComposingText</t>
  </si>
  <si>
    <t>testSendKeyEvent</t>
  </si>
  <si>
    <t>testReportFullscreenMode</t>
  </si>
  <si>
    <t>createDummyConnectionWithSelection</t>
  </si>
  <si>
    <t>verifyDeleteSurroundingTextMain</t>
  </si>
  <si>
    <t>testDeleteSurroundingText</t>
  </si>
  <si>
    <t>verifyDeleteSurroundingTextInCodePointsMain</t>
  </si>
  <si>
    <t>testDeleteSurroundingTextInCodePoints</t>
  </si>
  <si>
    <t>testCloseConnection</t>
  </si>
  <si>
    <t>testGetHandler</t>
  </si>
  <si>
    <t>testCommitContent</t>
  </si>
  <si>
    <t>testCompletionInfo</t>
  </si>
  <si>
    <t>assertCompletionInfo</t>
  </si>
  <si>
    <t>testEditorInfo</t>
  </si>
  <si>
    <t>testNullHintLocals</t>
  </si>
  <si>
    <t>testExtractedTextRequest</t>
  </si>
  <si>
    <t>testInputBinding</t>
  </si>
  <si>
    <t>testInputConnectionWrapper</t>
  </si>
  <si>
    <t>testInputContentInfo</t>
  </si>
  <si>
    <t>testOptionalConstructorParam</t>
  </si>
  <si>
    <t>testContentUriNullContentUri</t>
  </si>
  <si>
    <t>testContentUriInvalidContentUri</t>
  </si>
  <si>
    <t>testMimeTypeNulLDescription</t>
  </si>
  <si>
    <t>testLinkUri</t>
  </si>
  <si>
    <t>testLinkUriFtpLinkUri</t>
  </si>
  <si>
    <t>testLinkUriContentLinkUri</t>
  </si>
  <si>
    <t>testRequestAndReleasePermission</t>
  </si>
  <si>
    <t>testInputMethodInfoProperties</t>
  </si>
  <si>
    <t>testInputMethodSubtypeProperties</t>
  </si>
  <si>
    <t>assertService</t>
  </si>
  <si>
    <t>assertInfo</t>
  </si>
  <si>
    <t>testDump</t>
  </si>
  <si>
    <t>testLoadIcon</t>
  </si>
  <si>
    <t>testEquals</t>
  </si>
  <si>
    <t>testLoadLabel</t>
  </si>
  <si>
    <t>testInputMethodInfoWriteToParcel</t>
  </si>
  <si>
    <t>testInputMethodSubtypeWriteToParcel</t>
  </si>
  <si>
    <t>testInputMethodSubtypesOfSystemImes</t>
  </si>
  <si>
    <t>testAtLeastOneEncryptionAwareInputMethodIsAvailable</t>
  </si>
  <si>
    <t>getFbeMode</t>
  </si>
  <si>
    <t>teardown</t>
  </si>
  <si>
    <t>testInputMethodManager</t>
  </si>
  <si>
    <t>testKeyOnPressedAndReleased</t>
  </si>
  <si>
    <t>assertDisableOthers</t>
  </si>
  <si>
    <t>testRingtone</t>
  </si>
  <si>
    <t>testBatterystatsOutput</t>
  </si>
  <si>
    <t>checkVersion</t>
  </si>
  <si>
    <t>checkUid</t>
  </si>
  <si>
    <t>checkApk</t>
  </si>
  <si>
    <t>checkProcess</t>
  </si>
  <si>
    <t>checkSensor</t>
  </si>
  <si>
    <t>checkVibrator</t>
  </si>
  <si>
    <t>checkForeground</t>
  </si>
  <si>
    <t>checkStateTime</t>
  </si>
  <si>
    <t>checkWakelock</t>
  </si>
  <si>
    <t>checkSync</t>
  </si>
  <si>
    <t>checkJob</t>
  </si>
  <si>
    <t>checkKernelWakelock</t>
  </si>
  <si>
    <t>checkWakeupReason</t>
  </si>
  <si>
    <t>checkNetwork</t>
  </si>
  <si>
    <t>checkUserActivity</t>
  </si>
  <si>
    <t>checkBattery</t>
  </si>
  <si>
    <t>checkBatteryDischarge</t>
  </si>
  <si>
    <t>checkBatteryLevel</t>
  </si>
  <si>
    <t>checkWifi</t>
  </si>
  <si>
    <t>checkMisc</t>
  </si>
  <si>
    <t>checkGlobalNetwork</t>
  </si>
  <si>
    <t>checkScreenBrightness</t>
  </si>
  <si>
    <t>checkSignalStrength</t>
  </si>
  <si>
    <t>checkSignalScanningTime</t>
  </si>
  <si>
    <t>checkDataConnection</t>
  </si>
  <si>
    <t>checkWifiState</t>
  </si>
  <si>
    <t>checkWifiSupplState</t>
  </si>
  <si>
    <t>checkWifiSignalStrength</t>
  </si>
  <si>
    <t>checkBluetoothState</t>
  </si>
  <si>
    <t>checkPowerUseSummary</t>
  </si>
  <si>
    <t>checkPowerUseItem</t>
  </si>
  <si>
    <t>checkChargeDischargeStep</t>
  </si>
  <si>
    <t>checkDischargeTimeRemain</t>
  </si>
  <si>
    <t>checkChargeTimeRemain</t>
  </si>
  <si>
    <t>checkUidCpuUsage</t>
  </si>
  <si>
    <t>testGfxinfoFramestats</t>
  </si>
  <si>
    <t>validateProfileData</t>
  </si>
  <si>
    <t>testBindDeviceAdminServiceAsUser_corpOwnedManagedProfile</t>
  </si>
  <si>
    <t>testBindDeviceAdminServiceAsUser_corpOwnedManagedProfileWithManagedProvisioning</t>
  </si>
  <si>
    <t>testBindDeviceAdminServiceAsUser_dontEnableProfile</t>
  </si>
  <si>
    <t>testBindDeviceAdminServiceAsUser_NotAffiliated</t>
  </si>
  <si>
    <t>testBindDeviceAdminServiceAsUser_byodPlusDeviceOwner</t>
  </si>
  <si>
    <t>testCannotRemoveProfileIfRestrictionSet</t>
  </si>
  <si>
    <t>testCanRemoveProfileEvenIfDisallowRemoveUserSet</t>
  </si>
  <si>
    <t>testDoCanRemoveProfileEvenIfUserRestrictionSet</t>
  </si>
  <si>
    <t>testCannotAddProfileIfRestrictionSet</t>
  </si>
  <si>
    <t>testNetworkAndSecurityLoggingAvailableIfAffiliated</t>
  </si>
  <si>
    <t>testRequestBugreportAvailableIfAffiliated</t>
  </si>
  <si>
    <t>verifyBindDeviceAdminServiceAsUser</t>
  </si>
  <si>
    <t>setSameAffiliationId</t>
  </si>
  <si>
    <t>setDifferentAffiliationId</t>
  </si>
  <si>
    <t>assertProvisionManagedProfileAllowed</t>
  </si>
  <si>
    <t>assertProvisionManagedProfileNotAllowed</t>
  </si>
  <si>
    <t>testCannotBindToSecondaryUser</t>
  </si>
  <si>
    <t>setupManagedProfile</t>
  </si>
  <si>
    <t>provisionCorpOwnedManagedProfile</t>
  </si>
  <si>
    <t>clearDisallowAddManagedProfileRestriction</t>
  </si>
  <si>
    <t>addDisallowAddManagedProfileRestriction</t>
  </si>
  <si>
    <t>clearDisallowRemoveManagedProfileRestriction</t>
  </si>
  <si>
    <t>addDisallowRemoveManagedProfileRestriction</t>
  </si>
  <si>
    <t>addDisallowRemoveUserRestriction</t>
  </si>
  <si>
    <t>assertOtherProfilesEqualsBindTargetUsers</t>
  </si>
  <si>
    <t>testCannotManageAppRestrictions</t>
  </si>
  <si>
    <t>testCanManageAppRestrictions</t>
  </si>
  <si>
    <t>testSettingComponentNameThrowsException</t>
  </si>
  <si>
    <t>createBundle0</t>
  </si>
  <si>
    <t>assertBundle0</t>
  </si>
  <si>
    <t>createBundle1</t>
  </si>
  <si>
    <t>assertBundle1</t>
  </si>
  <si>
    <t>testDoNetwork</t>
  </si>
  <si>
    <t>ModuleResultForwarder</t>
  </si>
  <si>
    <t>sendNotififcation</t>
  </si>
  <si>
    <t>testQuery_WithSelectionArgs</t>
  </si>
  <si>
    <t>testActivityCallbackOrder</t>
  </si>
  <si>
    <t>testLockTask</t>
  </si>
  <si>
    <t>setupRestoreDefaultFocus</t>
  </si>
  <si>
    <t>assertMaxWakeLockTime</t>
  </si>
  <si>
    <t>testSetLockTaskThrowsExceptionIfUnaffiliated</t>
  </si>
  <si>
    <t>checkSetLockTaskThrows</t>
  </si>
  <si>
    <t>testAlwaysOnVpn</t>
  </si>
  <si>
    <t>testAlwaysOnVpnLockDown</t>
  </si>
  <si>
    <t>testAlwaysOnVpnPackageUninstalled</t>
  </si>
  <si>
    <t>testDefaultProcessInstrumentation</t>
  </si>
  <si>
    <t>testAltProcessInstrumentation</t>
  </si>
  <si>
    <t>testWildcardProcessInstrumentation</t>
  </si>
  <si>
    <t>testMultiProcessInstrumentation</t>
  </si>
  <si>
    <t>testAutoSizeXY_getSetAutoSizeTextXY_defaults</t>
  </si>
  <si>
    <t>setUpAndRegisterReceiver</t>
  </si>
  <si>
    <t>getInstallReason</t>
  </si>
  <si>
    <t>testSilentPackageInstall</t>
  </si>
  <si>
    <t>testInstallReason</t>
  </si>
  <si>
    <t>testAutoSizeXY_obtainStyledAttributes</t>
  </si>
  <si>
    <t>testAutoSizeXY_obtainStyledAttributesUsingPredefinedSizes</t>
  </si>
  <si>
    <t>testAutoSizeXY_obtainStyledAttributesPredefinedSizesFiltering</t>
  </si>
  <si>
    <t>testAutoSizeXY_predefinedSizesFilteringAndSorting</t>
  </si>
  <si>
    <t>testAutoSizeXY_predefinedSizesNullArray</t>
  </si>
  <si>
    <t>testAutoSizeXY_predefinedSizesEmptyArray</t>
  </si>
  <si>
    <t>testAutoSizeXY_buildsSizes</t>
  </si>
  <si>
    <t>testAutoSizeXY_getSetAutoSizeTextXYDefaults</t>
  </si>
  <si>
    <t>testAutoSizeXY_getSetAutoSizeStepGranularity</t>
  </si>
  <si>
    <t>testAutoSizeXY_getSetAutoSizeMinTextSize</t>
  </si>
  <si>
    <t>testAutoSizeXY_throwsException_whenMaxLessThanMin</t>
  </si>
  <si>
    <t>testAutoSizeXY_getSetAutoSizeMaxTextSize</t>
  </si>
  <si>
    <t>testAutoSizeXY_autoSizeCalledWhenTypeChanged</t>
  </si>
  <si>
    <t>runFastTests</t>
  </si>
  <si>
    <t>runSlowTests</t>
  </si>
  <si>
    <t>testGetAcceptedChars</t>
  </si>
  <si>
    <t>testGetInputType</t>
  </si>
  <si>
    <t>testVroot</t>
  </si>
  <si>
    <t>getManagedUser</t>
  </si>
  <si>
    <t>testRegisterVisibility</t>
  </si>
  <si>
    <t>testAutoFillOneDatasetAndMoveFocusAround</t>
  </si>
  <si>
    <t>testGetCarrierConfig</t>
  </si>
  <si>
    <t>testClickableSpanOnClickDragInsideFromOutside</t>
  </si>
  <si>
    <t>testClickableSpanOnClickDragInsideOutsideInside</t>
  </si>
  <si>
    <t>testClickableSpanOnClickLongPress</t>
  </si>
  <si>
    <t>testNoNewPrivs</t>
  </si>
  <si>
    <t>testIsDemoUser_inDemoUser</t>
  </si>
  <si>
    <t>isWrapPurpose</t>
  </si>
  <si>
    <t>verifyProgramsTableWithPreviewTypeEntry</t>
  </si>
  <si>
    <t>testProgramsTableWithPreviewType</t>
  </si>
  <si>
    <t>testProgramsTableForIllegalAccess</t>
  </si>
  <si>
    <t>testSetAccountVisibilityVisibility</t>
  </si>
  <si>
    <t>testAddAccountExplicitlyWithVisibility</t>
  </si>
  <si>
    <t>testTextureViewActivity</t>
  </si>
  <si>
    <t>testDeactivateAdmins</t>
  </si>
  <si>
    <t>isActive</t>
  </si>
  <si>
    <t>testNoConfigGz</t>
  </si>
  <si>
    <t>testResetPasswordFbe</t>
  </si>
  <si>
    <t>testCannotClearProfileOwner</t>
  </si>
  <si>
    <t>testTextureViewStress48Hz</t>
  </si>
  <si>
    <t>testTextureViewStress60Hz</t>
  </si>
  <si>
    <t>testTextureViewStress70Hz</t>
  </si>
  <si>
    <t>testTextureViewStress200Hz</t>
  </si>
  <si>
    <t>testCopyConstructor_doesNotCopyNoCopySpans</t>
  </si>
  <si>
    <t>checkDefault</t>
  </si>
  <si>
    <t>checkInherit</t>
  </si>
  <si>
    <t>checkAuto</t>
  </si>
  <si>
    <t>checkManual</t>
  </si>
  <si>
    <t>checkNestedDefault</t>
  </si>
  <si>
    <t>checkNestedInherit</t>
  </si>
  <si>
    <t>checkNestedAuto</t>
  </si>
  <si>
    <t>checkNestedManual</t>
  </si>
  <si>
    <t>testTextViewInWeigthenedLayoutChangesWidthAfterSetText</t>
  </si>
  <si>
    <t>testSmartSelection_multiSelect</t>
  </si>
  <si>
    <t>addIncomingCall</t>
  </si>
  <si>
    <t>placeOutgoingCall</t>
  </si>
  <si>
    <t>waitForAndGetConnection</t>
  </si>
  <si>
    <t>checkSet</t>
  </si>
  <si>
    <t>checkIllegalSet</t>
  </si>
  <si>
    <t>testUnusualBehavior_canIteratePastEnd_entrySetIterator</t>
  </si>
  <si>
    <t>testUnusualBehavior_canIteratePastEnd_keySetIterator</t>
  </si>
  <si>
    <t>testUnusualBehavior_canIteratePastEnd_valuesIterator</t>
  </si>
  <si>
    <t>testUnusualBehavior_canIteratePastEnd</t>
  </si>
  <si>
    <t>testConstructorWithNullAuthority</t>
  </si>
  <si>
    <t>testConstructorWithNullQuery</t>
  </si>
  <si>
    <t>testGetIntentForSettingsActivity</t>
  </si>
  <si>
    <t>PipNotResizeableActivityTest</t>
  </si>
  <si>
    <t>testLaunchPipNotResizeableActivity</t>
  </si>
  <si>
    <t>testDataPathInContextOfDiscoveryFail</t>
  </si>
  <si>
    <t>testDataPathOutOfBandFail</t>
  </si>
  <si>
    <t>testColorSpaceMarshalling</t>
  </si>
  <si>
    <t>testParcelUnparcel</t>
  </si>
  <si>
    <t>testResetNotification</t>
  </si>
  <si>
    <t>testUserRestrictions_inDemoUser</t>
  </si>
  <si>
    <t>testUserRestrictions_inSystemUser</t>
  </si>
  <si>
    <t>testScreenIsInteractive</t>
  </si>
  <si>
    <t>startDemoSession</t>
  </si>
  <si>
    <t>testRetailDemoPkgLaunched</t>
  </si>
  <si>
    <t>testIsDemoUser_success</t>
  </si>
  <si>
    <t>testIsDemoUser_failure</t>
  </si>
  <si>
    <t>testIsDemoUser_inPrimaryUser</t>
  </si>
  <si>
    <t>testResetAfterInactivity</t>
  </si>
  <si>
    <t>testUserRestrictions</t>
  </si>
  <si>
    <t>testScreenTurnsOn_attractLoop</t>
  </si>
  <si>
    <t>testScreenTurnsOn_demoSession</t>
  </si>
  <si>
    <t>initializeDemoUser</t>
  </si>
  <si>
    <t>awaitDemoUserUnlock</t>
  </si>
  <si>
    <t>awaitDemoSessionStart</t>
  </si>
  <si>
    <t>turnScreenOnIfNeeded</t>
  </si>
  <si>
    <t>executeDeviceTest</t>
  </si>
  <si>
    <t>executeDeviceTestAsUser</t>
  </si>
  <si>
    <t>testAutofill</t>
  </si>
  <si>
    <t>checkSetAutoFillMode</t>
  </si>
  <si>
    <t>setupTest</t>
  </si>
  <si>
    <t>testBadFont</t>
  </si>
  <si>
    <t>testSharedPrefNullIfNoDS</t>
  </si>
  <si>
    <t>checkTextViewHintNone</t>
  </si>
  <si>
    <t>checkSetAutoFillUnknown</t>
  </si>
  <si>
    <t>testSetBitmapCleanClip</t>
  </si>
  <si>
    <t>testSetBitmapSaveCount</t>
  </si>
  <si>
    <t>autofillValidToggleValue</t>
  </si>
  <si>
    <t>autofillValidListValueToSpinner</t>
  </si>
  <si>
    <t>autofillValidListValueToRadioGroup</t>
  </si>
  <si>
    <t>combineFiles</t>
  </si>
  <si>
    <t>testGetTitleMargins</t>
  </si>
  <si>
    <t>testSetTitleMargins</t>
  </si>
  <si>
    <t>testCreateChannel_resIdName</t>
  </si>
  <si>
    <t>verifyColor</t>
  </si>
  <si>
    <t>testPhotoAdded</t>
  </si>
  <si>
    <t>testSanitization</t>
  </si>
  <si>
    <t>testUsesLibrary</t>
  </si>
  <si>
    <t>testA</t>
  </si>
  <si>
    <t>testVerifyAppStats</t>
  </si>
  <si>
    <t>testVerifyAppQuota</t>
  </si>
  <si>
    <t>testVerifyAppAllocate</t>
  </si>
  <si>
    <t>testVerifySummary</t>
  </si>
  <si>
    <t>testVerifyStats</t>
  </si>
  <si>
    <t>testVerifyStatsMultiple</t>
  </si>
  <si>
    <t>testVerifyStatsExternal</t>
  </si>
  <si>
    <t>testVerifyStatsExternalConsistent</t>
  </si>
  <si>
    <t>testVerifyCategory</t>
  </si>
  <si>
    <t>testCacheClearing</t>
  </si>
  <si>
    <t>testZ</t>
  </si>
  <si>
    <t>testQuery_PagingSupport</t>
  </si>
  <si>
    <t>testManualAutofill</t>
  </si>
  <si>
    <t>testAutofillManual</t>
  </si>
  <si>
    <t>testNone</t>
  </si>
  <si>
    <t>testSE</t>
  </si>
  <si>
    <t>testRSE</t>
  </si>
  <si>
    <t>testRE</t>
  </si>
  <si>
    <t>testCustom</t>
  </si>
  <si>
    <t>doCommand</t>
  </si>
  <si>
    <t>testEncodeDecodeVideoFromSurfaceToSurface720pNdk</t>
  </si>
  <si>
    <t>testEncodeDecodeVideoFromPersistentSurfaceToSurface720pNdk</t>
  </si>
  <si>
    <t>testVP8EncodeDecodeVideoFromSurfaceToSurface720pNdk</t>
  </si>
  <si>
    <t>testVP8EncodeDecodeVideoFromPersistentSurfaceToSurface720pNdk</t>
  </si>
  <si>
    <t>doCacheClearing</t>
  </si>
  <si>
    <t>testBehaviorAtomic</t>
  </si>
  <si>
    <t>clearActivity</t>
  </si>
  <si>
    <t>testGetDeviceIdForSlotId</t>
  </si>
  <si>
    <t>assertGsmDeviceId</t>
  </si>
  <si>
    <t>assertCdmaDeviceId</t>
  </si>
  <si>
    <t>testGetImeiForSlotId</t>
  </si>
  <si>
    <t>verifyImei</t>
  </si>
  <si>
    <t>UidImportanceListener</t>
  </si>
  <si>
    <t>onUidImportance</t>
  </si>
  <si>
    <t>waitForValue</t>
  </si>
  <si>
    <t>ServiceConnectionHandler</t>
  </si>
  <si>
    <t>startMonitoring</t>
  </si>
  <si>
    <t>waitForConnect</t>
  </si>
  <si>
    <t>stopMonitoring</t>
  </si>
  <si>
    <t>unbind</t>
  </si>
  <si>
    <t>testIndexOfValueByValue</t>
  </si>
  <si>
    <t>AspectRatioTest</t>
  </si>
  <si>
    <t>testAspectRatio</t>
  </si>
  <si>
    <t>testFileDescriptorsAreReadOnly</t>
  </si>
  <si>
    <t>clickBackupConfirmButton</t>
  </si>
  <si>
    <t>assertBothWallpapersAreGreen</t>
  </si>
  <si>
    <t>assertSystemIsRedAndLockIsGreen</t>
  </si>
  <si>
    <t>assertBothWallpapersAreLive</t>
  </si>
  <si>
    <t>assertSystemIsLiveAndLockIsGreen</t>
  </si>
  <si>
    <t>checkLiveWallpaperInfo</t>
  </si>
  <si>
    <t>isBitmapColor</t>
  </si>
  <si>
    <t>colorDistance</t>
  </si>
  <si>
    <t>getWallpaperBitmap</t>
  </si>
  <si>
    <t>skipTestUnlessBackupSupported</t>
  </si>
  <si>
    <t>testRestoreSameImageToBoth</t>
  </si>
  <si>
    <t>testRestoreDifferentImageToEach</t>
  </si>
  <si>
    <t>testRestoreLiveWallpaper</t>
  </si>
  <si>
    <t>testRestoreLiveWallpaperAndImageLock</t>
  </si>
  <si>
    <t>supportsBackup</t>
  </si>
  <si>
    <t>restoreBackup</t>
  </si>
  <si>
    <t>checkDeviceTest</t>
  </si>
  <si>
    <t>createTestFile</t>
  </si>
  <si>
    <t>openResourceAsStream</t>
  </si>
  <si>
    <t>TimePickerDialogTest</t>
  </si>
  <si>
    <t>startDialogActivity</t>
  </si>
  <si>
    <t>testGetVolumeControlStreamNull</t>
  </si>
  <si>
    <t>getFragmentsOffThread</t>
  </si>
  <si>
    <t>getFragmentsUntilSize</t>
  </si>
  <si>
    <t>testGetSystemFontsData</t>
  </si>
  <si>
    <t>testFilesAreReadOnly</t>
  </si>
  <si>
    <t>sendControlChar</t>
  </si>
  <si>
    <t>sendControlKey</t>
  </si>
  <si>
    <t>testSetChooserShortcuts</t>
  </si>
  <si>
    <t>testGetDynamicShortcutsDoesNotReturnChooserShortcuts</t>
  </si>
  <si>
    <t>testAddAndRemoveServiceStateChangeListener</t>
  </si>
  <si>
    <t>testServiceStateChanges_stateChangeListenersCalled</t>
  </si>
  <si>
    <t>onDeviceOpened</t>
  </si>
  <si>
    <t>waitForOpen</t>
  </si>
  <si>
    <t>NativeMidiEchoTest</t>
  </si>
  <si>
    <t>hasMidiSupport</t>
  </si>
  <si>
    <t>compareMessages</t>
  </si>
  <si>
    <t>generateRandomMessage</t>
  </si>
  <si>
    <t>findEchoDevice</t>
  </si>
  <si>
    <t>setUpEchoServer</t>
  </si>
  <si>
    <t>tearDownEchoServer</t>
  </si>
  <si>
    <t>testMidiManager</t>
  </si>
  <si>
    <t>testSetupTeardownEchoServer</t>
  </si>
  <si>
    <t>testSendData</t>
  </si>
  <si>
    <t>testWriteGetMaxMessageSize</t>
  </si>
  <si>
    <t>testEchoSmallMessage</t>
  </si>
  <si>
    <t>testEchoNMessages</t>
  </si>
  <si>
    <t>testFlushMessages</t>
  </si>
  <si>
    <t>testFailHugeMessage</t>
  </si>
  <si>
    <t>testNativeEchoLatency</t>
  </si>
  <si>
    <t>testEchoNMessages_PureNative</t>
  </si>
  <si>
    <t>testNativeEchoLatency_PureNative</t>
  </si>
  <si>
    <t>RedefineError</t>
  </si>
  <si>
    <t>checkRedefinition</t>
  </si>
  <si>
    <t>Transform</t>
  </si>
  <si>
    <t>Start</t>
  </si>
  <si>
    <t>Finish</t>
  </si>
  <si>
    <t>sayHi</t>
  </si>
  <si>
    <t>checkRedefinedTransform</t>
  </si>
  <si>
    <t>testSucessfulRedefine</t>
  </si>
  <si>
    <t>testSucessfulRetransform</t>
  </si>
  <si>
    <t>testRedefineFailures</t>
  </si>
  <si>
    <t>checkRetransformation</t>
  </si>
  <si>
    <t>testRetransformFailures</t>
  </si>
  <si>
    <t>ExpectedMethod</t>
  </si>
  <si>
    <t>ensureHasMethod</t>
  </si>
  <si>
    <t>checkClassHasMethods</t>
  </si>
  <si>
    <t>testCannotRetransformOnLoadTest</t>
  </si>
  <si>
    <t>testRetransformOnLoad</t>
  </si>
  <si>
    <t>pushTransformationResult</t>
  </si>
  <si>
    <t>prefetchClassNames</t>
  </si>
  <si>
    <t>testTracking</t>
  </si>
  <si>
    <t>testThread</t>
  </si>
  <si>
    <t>SimpleBarrier</t>
  </si>
  <si>
    <t>dec</t>
  </si>
  <si>
    <t>testTagging</t>
  </si>
  <si>
    <t>testTaggingGC</t>
  </si>
  <si>
    <t>testGetTaggedObjects</t>
  </si>
  <si>
    <t>getTaggedObjectsRun</t>
  </si>
  <si>
    <t>GetTaggedObjectsExpectation</t>
  </si>
  <si>
    <t>Pair</t>
  </si>
  <si>
    <t>testJvmti</t>
  </si>
  <si>
    <t>AttachAgent</t>
  </si>
  <si>
    <t>installLibToDataData</t>
  </si>
  <si>
    <t>TestResults</t>
  </si>
  <si>
    <t>hasFailed</t>
  </si>
  <si>
    <t>hasStarted</t>
  </si>
  <si>
    <t>getErrors</t>
  </si>
  <si>
    <t>BroadcastResult</t>
  </si>
  <si>
    <t>testUidImportanceListener</t>
  </si>
  <si>
    <t>testBackgroundCheckService</t>
  </si>
  <si>
    <t>testBackgroundCheckBroadcastService</t>
  </si>
  <si>
    <t>testDeviceConfigMask_bounds</t>
  </si>
  <si>
    <t>testDeviceConfigMask_largerThanSafezone</t>
  </si>
  <si>
    <t>testDeviceConfigMask_isConvex</t>
  </si>
  <si>
    <t>testGetLayers</t>
  </si>
  <si>
    <t>testFillResponseAuth</t>
  </si>
  <si>
    <t>testClipRect1</t>
  </si>
  <si>
    <t>testClipRect2</t>
  </si>
  <si>
    <t>testClipRect3</t>
  </si>
  <si>
    <t>testClipRect4</t>
  </si>
  <si>
    <t>testClipRect5</t>
  </si>
  <si>
    <t>testClipRect6</t>
  </si>
  <si>
    <t>testExposedSystemActivities</t>
  </si>
  <si>
    <t>testChargingConstraintFails</t>
  </si>
  <si>
    <t>doAllocate</t>
  </si>
  <si>
    <t>testAccessSaveFormData</t>
  </si>
  <si>
    <t>testOpacityChange</t>
  </si>
  <si>
    <t>testStatefulnessChange</t>
  </si>
  <si>
    <t>getTestFile</t>
  </si>
  <si>
    <t>compressFiles</t>
  </si>
  <si>
    <t>hasActiveAdmin</t>
  </si>
  <si>
    <t>waitTillNoActiveAdmin</t>
  </si>
  <si>
    <t>packageExists</t>
  </si>
  <si>
    <t>launchApplicationDetailsActivity</t>
  </si>
  <si>
    <t>automateUninstallThroughUi</t>
  </si>
  <si>
    <t>generateStackTrace</t>
  </si>
  <si>
    <t>getDefaultSettingsPackageName</t>
  </si>
  <si>
    <t>uninstallPackageWithActiveAdmin</t>
  </si>
  <si>
    <t>switchOrientation</t>
  </si>
  <si>
    <t>resetActivity</t>
  </si>
  <si>
    <t>testEmergencyCallOngoing</t>
  </si>
  <si>
    <t>testCreateSubPlan</t>
  </si>
  <si>
    <t>populateResults</t>
  </si>
  <si>
    <t>SpctMockCompatibilityBuildHelper</t>
  </si>
  <si>
    <t>getResultsDir</t>
  </si>
  <si>
    <t>getSubPlansDir</t>
  </si>
  <si>
    <t>setSnackBarLifetimeMs</t>
  </si>
  <si>
    <t>testSaveSnackBarGoesAway</t>
  </si>
  <si>
    <t>testGetInputType1</t>
  </si>
  <si>
    <t>testGetInputType2</t>
  </si>
  <si>
    <t>validateIntermediatePosition</t>
  </si>
  <si>
    <t>validateClippedIntermediate</t>
  </si>
  <si>
    <t>validateNormalIntermediate</t>
  </si>
  <si>
    <t>testCrash</t>
  </si>
  <si>
    <t>testSetAllOptionsFrom</t>
  </si>
  <si>
    <t>testClearOptions</t>
  </si>
  <si>
    <t>testDisableSelfWhenConnected</t>
  </si>
  <si>
    <t>testDisableSelfWhenDisconnected</t>
  </si>
  <si>
    <t>testBuffering</t>
  </si>
  <si>
    <t>setStorageState</t>
  </si>
  <si>
    <t>waitPermissionRevoke</t>
  </si>
  <si>
    <t>testQuery_InProcessProvider_NoAutoPaging</t>
  </si>
  <si>
    <t>testQuery_OutOfProcessProvider_AutoPaging</t>
  </si>
  <si>
    <t>testQuery_OutOfProcessProvider_AutoPaging_OffsetOutOfBounds</t>
  </si>
  <si>
    <t>testQuery_OutOfProcessProvider_NoAutoPagingForAlreadyPagedResults</t>
  </si>
  <si>
    <t>testAllCapsLocalization</t>
  </si>
  <si>
    <t>testOnReceiverOrdered</t>
  </si>
  <si>
    <t>testAccessThumbTint</t>
  </si>
  <si>
    <t>testScrollbarSize</t>
  </si>
  <si>
    <t>testConcurrentRecord</t>
  </si>
  <si>
    <t>doConcurrencyTest</t>
  </si>
  <si>
    <t>testSearch</t>
  </si>
  <si>
    <t>onChildrenLoaded</t>
  </si>
  <si>
    <t>onItemLoaded</t>
  </si>
  <si>
    <t>onSearchResult</t>
  </si>
  <si>
    <t>testAddRemoveQueueItems</t>
  </si>
  <si>
    <t>onAddQueueItem</t>
  </si>
  <si>
    <t>onRemoveQueueItem</t>
  </si>
  <si>
    <t>onRemoveQueueItemAt</t>
  </si>
  <si>
    <t>onSetRepeatMode</t>
  </si>
  <si>
    <t>onSetShuffleModeEnabled</t>
  </si>
  <si>
    <t>onRepeatModeChanged</t>
  </si>
  <si>
    <t>onShuffleModeChanged</t>
  </si>
  <si>
    <t>testNoExemptionsForCoreDataInVendor</t>
  </si>
  <si>
    <t>testNoExemptionsForVendorDataInCore</t>
  </si>
  <si>
    <t>runOnUiThreadSync</t>
  </si>
  <si>
    <t>expectAutoFill</t>
  </si>
  <si>
    <t>assertAutoFilled</t>
  </si>
  <si>
    <t>checkFieldBehavior</t>
  </si>
  <si>
    <t>checkDefaultValue</t>
  </si>
  <si>
    <t>checkInheritValue</t>
  </si>
  <si>
    <t>checkAutoValue</t>
  </si>
  <si>
    <t>checkManualValue</t>
  </si>
  <si>
    <t>checkNestedDefaultValue</t>
  </si>
  <si>
    <t>checkNestedInheritValue</t>
  </si>
  <si>
    <t>checkNestedAutoValue</t>
  </si>
  <si>
    <t>checkNestedManualValue</t>
  </si>
  <si>
    <t>checkDefaultBehavior</t>
  </si>
  <si>
    <t>checkInheritBehavior</t>
  </si>
  <si>
    <t>checkAutoBehavior</t>
  </si>
  <si>
    <t>checkManualBehavior</t>
  </si>
  <si>
    <t>checkNestedDefaultBehavior</t>
  </si>
  <si>
    <t>checkNestedInheritBehavior</t>
  </si>
  <si>
    <t>checkNestedAutoBehavior</t>
  </si>
  <si>
    <t>checkNestedManualBehavior</t>
  </si>
  <si>
    <t>checksetAutofillMode</t>
  </si>
  <si>
    <t>checkIllegalAutoFillModeSet</t>
  </si>
  <si>
    <t>attachViewToManualContainer</t>
  </si>
  <si>
    <t>attachNestedViewToContainer</t>
  </si>
  <si>
    <t>testSmartSelection</t>
  </si>
  <si>
    <t>testSmartSelection_url</t>
  </si>
  <si>
    <t>testTextClassificationResult</t>
  </si>
  <si>
    <t>testTextClassificationResult_url</t>
  </si>
  <si>
    <t>testLanguageDetection</t>
  </si>
  <si>
    <t>isTextClassifierDisabled</t>
  </si>
  <si>
    <t>isTextSelection</t>
  </si>
  <si>
    <t>isTextClassificationResult</t>
  </si>
  <si>
    <t>isDetectedLanguage</t>
  </si>
  <si>
    <t>testSetTileMode</t>
  </si>
  <si>
    <t>testGetSetMatrix</t>
  </si>
  <si>
    <t>testSetMatrixDraw</t>
  </si>
  <si>
    <t>testSet</t>
  </si>
  <si>
    <t>testInnerShaderMutate</t>
  </si>
  <si>
    <t>testGetSet</t>
  </si>
  <si>
    <t>testSetDraw</t>
  </si>
  <si>
    <t>testAutoFill</t>
  </si>
  <si>
    <t>testAutoFillDynamicAdapter</t>
  </si>
  <si>
    <t>testAutoFillDynamicAdapterWithNullItems</t>
  </si>
  <si>
    <t>MyAdapter</t>
  </si>
  <si>
    <t>setItem</t>
  </si>
  <si>
    <t>onPause</t>
  </si>
  <si>
    <t>showAnimators</t>
  </si>
  <si>
    <t>testPrintingPagesCount</t>
  </si>
  <si>
    <t>testTouchExplorationStateChanged</t>
  </si>
  <si>
    <t>assertListenerCalled</t>
  </si>
  <si>
    <t>waitForTouchExplorationEnabled</t>
  </si>
  <si>
    <t>testAddTwoToastsViaAddingWindowApisWhenUidFocusedQuickly</t>
  </si>
  <si>
    <t>testLanguageDetectionDoesNotThrowException</t>
  </si>
  <si>
    <t>testBuildConstants_forPrereleaseOrRelease</t>
  </si>
  <si>
    <t>testBuildConstants_forRelease</t>
  </si>
  <si>
    <t>checkBuildConstants</t>
  </si>
  <si>
    <t>testTouchExplorationListener</t>
  </si>
  <si>
    <t>testAccessibilityStateListener</t>
  </si>
  <si>
    <t>testTypefaceRequestFailureConstantsAreInSync</t>
  </si>
  <si>
    <t>testConstructorWithNullFileDescriptor</t>
  </si>
  <si>
    <t>testConstructorWithNullFontVariationSettings</t>
  </si>
  <si>
    <t>loadFont</t>
  </si>
  <si>
    <t>copyToCacheFile</t>
  </si>
  <si>
    <t>testOpaqueImageWriterReaderOperation</t>
  </si>
  <si>
    <t>assertServiceStatus</t>
  </si>
  <si>
    <t>testAllocSpi</t>
  </si>
  <si>
    <t>testCreateTransform</t>
  </si>
  <si>
    <t>testCannotBind_exportedCrossUserService</t>
  </si>
  <si>
    <t>testCustomNegativeSaveButton</t>
  </si>
  <si>
    <t>testWriteToParcel_shortConstructor</t>
  </si>
  <si>
    <t>testSuggestDesiredDimensions</t>
  </si>
  <si>
    <t>isValidIpv4OrIpv6Address</t>
  </si>
  <si>
    <t>showAnimatorsOptimized</t>
  </si>
  <si>
    <t>showAnimatorsUnoptimized</t>
  </si>
  <si>
    <t>addReplace</t>
  </si>
  <si>
    <t>startWithPop</t>
  </si>
  <si>
    <t>middlePop</t>
  </si>
  <si>
    <t>optimizeRemove</t>
  </si>
  <si>
    <t>optimizeAdd</t>
  </si>
  <si>
    <t>optimizeAttach</t>
  </si>
  <si>
    <t>optimizeDetach</t>
  </si>
  <si>
    <t>optimizeHide</t>
  </si>
  <si>
    <t>optimizeShow</t>
  </si>
  <si>
    <t>viewOrder</t>
  </si>
  <si>
    <t>addPopBackStack</t>
  </si>
  <si>
    <t>popNonBackStack</t>
  </si>
  <si>
    <t>noOptimization</t>
  </si>
  <si>
    <t>testActivityMonitor_onMatchIntent</t>
  </si>
  <si>
    <t>testActivityMonitor_onMatchIntentBlocks</t>
  </si>
  <si>
    <t>testActivityMonitor_onMatchIntentAndIntentFilter</t>
  </si>
  <si>
    <t>testActivityMonitor_onMatchIntentAndActivityClass</t>
  </si>
  <si>
    <t>onMatchIntent</t>
  </si>
  <si>
    <t>testClipRect7</t>
  </si>
  <si>
    <t>testShadowLayer_paintColorPreserved</t>
  </si>
  <si>
    <t>testPostOnCommit</t>
  </si>
  <si>
    <t>autofill4ParitionsTest</t>
  </si>
  <si>
    <t>testPostCallbackWithoutDelayEventuallyRunsCallbacks</t>
  </si>
  <si>
    <t>testPostCallbackWithDelayEventuallyRunsCallbacksAfterDelay</t>
  </si>
  <si>
    <t>testPostCallbackThrowsIfRunnableIsNull</t>
  </si>
  <si>
    <t>testPostCallbackDelayedThrowsIfRunnableIsNull</t>
  </si>
  <si>
    <t>testPostFrameCallbackWithoutDelayEventuallyRunsFrameCallbacks</t>
  </si>
  <si>
    <t>testPostFrameCallbackWithDelayEventuallyRunsFrameCallbacksAfterDelay</t>
  </si>
  <si>
    <t>testPostFrameCallbackThrowsIfCallbackIsNull</t>
  </si>
  <si>
    <t>testPostFrameCallbackDelayedThrowsIfCallbackIsNull</t>
  </si>
  <si>
    <t>testRemoveFrameCallbackThrowsIfCallbackIsNull</t>
  </si>
  <si>
    <t>testRendererSize</t>
  </si>
  <si>
    <t>testRenderer</t>
  </si>
  <si>
    <t>testUcsRenderer</t>
  </si>
  <si>
    <t>testSetXfermode</t>
  </si>
  <si>
    <t>lineStrokeInViewBounds</t>
  </si>
  <si>
    <t>testStrokeDescriptionGettersForContinuation</t>
  </si>
  <si>
    <t>testStrokeDescriptionIds</t>
  </si>
  <si>
    <t>testTextClassificationResultDoesNotThrowException</t>
  </si>
  <si>
    <t>testSucceedsWithSupportedUsage</t>
  </si>
  <si>
    <t>testDatasetAuth</t>
  </si>
  <si>
    <t>testIsUriNumber</t>
  </si>
  <si>
    <t>testGetUsernameFromUriNumber</t>
  </si>
  <si>
    <t>testConvertAndStrip</t>
  </si>
  <si>
    <t>texture</t>
  </si>
  <si>
    <t>checkTextViewNoHint</t>
  </si>
  <si>
    <t>checkTextViewHintCustom</t>
  </si>
  <si>
    <t>checkTextViewPassword</t>
  </si>
  <si>
    <t>checkTextViewPhoneName</t>
  </si>
  <si>
    <t>checkTextViewHintsFromArray</t>
  </si>
  <si>
    <t>testConcatNullArray</t>
  </si>
  <si>
    <t>testEphemeralStartExposed</t>
  </si>
  <si>
    <t>testStartExposed</t>
  </si>
  <si>
    <t>testGetFingerprintManager_returnsManagerIfFeatureAvailable</t>
  </si>
  <si>
    <t>TestResultsBackupHelper</t>
  </si>
  <si>
    <t>performBackup</t>
  </si>
  <si>
    <t>restoreEntity</t>
  </si>
  <si>
    <t>failBackupTest</t>
  </si>
  <si>
    <t>writeNewStateDescription</t>
  </si>
  <si>
    <t>testNative</t>
  </si>
  <si>
    <t>testSessionRetainedWhileAutofilledAppIsLifecycled</t>
  </si>
  <si>
    <t>testSELinuxEnforcing</t>
  </si>
  <si>
    <t>testInitialValueIsTakenFromDSOnPref</t>
  </si>
  <si>
    <t>testInitialValueIsTakenFromDSOnMgr</t>
  </si>
  <si>
    <t>recycleByDefaultTest</t>
  </si>
  <si>
    <t>testAudioTrackDuck</t>
  </si>
  <si>
    <t>testAudioTrackRamp</t>
  </si>
  <si>
    <t>testAudioTrackJoin</t>
  </si>
  <si>
    <t>testAudioTrackCubicMonotonic</t>
  </si>
  <si>
    <t>testMediaPlayerDuck</t>
  </si>
  <si>
    <t>testMediaPlayerRamp</t>
  </si>
  <si>
    <t>testVoicemailRingtoneSettings</t>
  </si>
  <si>
    <t>testVoicemailVibrationSettings</t>
  </si>
  <si>
    <t>dumpConfiguration</t>
  </si>
  <si>
    <t>testH264GLViewVideoDecode</t>
  </si>
  <si>
    <t>testH264GLViewLargerHeightVideoDecode</t>
  </si>
  <si>
    <t>testH264GLViewLargerWidthVideoDecode</t>
  </si>
  <si>
    <t>testH264SurfaceViewVideoDecode</t>
  </si>
  <si>
    <t>testH264SurfaceViewLargerHeightVideoDecode</t>
  </si>
  <si>
    <t>testH264SurfaceViewLargerWidthVideoDecode</t>
  </si>
  <si>
    <t>testVP9GLViewVideoDecode</t>
  </si>
  <si>
    <t>testVP9GLViewLargerHeightVideoDecode</t>
  </si>
  <si>
    <t>testVP9GLViewLargerWidthVideoDecode</t>
  </si>
  <si>
    <t>testVP9SurfaceViewVideoDecode</t>
  </si>
  <si>
    <t>testVP9SurfaceViewLargerHeightVideoDecode</t>
  </si>
  <si>
    <t>testVP9SurfaceViewLargerWidthVideoDecode</t>
  </si>
  <si>
    <t>testH264GLViewCroppedVideoDecode</t>
  </si>
  <si>
    <t>testH264SurfaceViewCroppedVideoDecode</t>
  </si>
  <si>
    <t>runH264DecodeAccuracyTest</t>
  </si>
  <si>
    <t>runVP9DecodeAccuracyTest</t>
  </si>
  <si>
    <t>runH264DecodeCroppedTest</t>
  </si>
  <si>
    <t>runDecodeAccuracyTest</t>
  </si>
  <si>
    <t>testSingleCallBackup</t>
  </si>
  <si>
    <t>verifyCall</t>
  </si>
  <si>
    <t>enableBackup</t>
  </si>
  <si>
    <t>runBackupFor</t>
  </si>
  <si>
    <t>runRestoreFor</t>
  </si>
  <si>
    <t>enableFullDataBackupAware</t>
  </si>
  <si>
    <t>clearCallLog</t>
  </si>
  <si>
    <t>clearBackups</t>
  </si>
  <si>
    <t>addCall</t>
  </si>
  <si>
    <t>getCalls</t>
  </si>
  <si>
    <t>getContext</t>
  </si>
  <si>
    <t>executeStreamedShellCommand</t>
  </si>
  <si>
    <t>closeQuietly</t>
  </si>
  <si>
    <t>testCompressHardware</t>
  </si>
  <si>
    <t>testHardwareExtractAlpha</t>
  </si>
  <si>
    <t>releaseMediacodec</t>
  </si>
  <si>
    <t>assertBackupIsSuccessful</t>
  </si>
  <si>
    <t>onInputBufferAvailable</t>
  </si>
  <si>
    <t>onOutputBufferAvailable</t>
  </si>
  <si>
    <t>testNoBackupFolder</t>
  </si>
  <si>
    <t>hasDeviceFeature</t>
  </si>
  <si>
    <t>testCarUiProvider</t>
  </si>
  <si>
    <t>checkCompatibilityApi</t>
  </si>
  <si>
    <t>assertFileEquals</t>
  </si>
  <si>
    <t>createUsersForTest</t>
  </si>
  <si>
    <t>removeUsersForTest</t>
  </si>
  <si>
    <t>createTestUsers</t>
  </si>
  <si>
    <t>prepareTestApps</t>
  </si>
  <si>
    <t>testEverything</t>
  </si>
  <si>
    <t>doVerifyQuota</t>
  </si>
  <si>
    <t>doVerifyAppStats</t>
  </si>
  <si>
    <t>doVerifyAppQuota</t>
  </si>
  <si>
    <t>doVerifyAppAllocate</t>
  </si>
  <si>
    <t>doVerifySummary</t>
  </si>
  <si>
    <t>doVerifyStats</t>
  </si>
  <si>
    <t>doVerifyStatsMultiple</t>
  </si>
  <si>
    <t>doVerifyStatsExternal</t>
  </si>
  <si>
    <t>doVerifyStatsExternalConsistent</t>
  </si>
  <si>
    <t>doVerifyCategory</t>
  </si>
  <si>
    <t>doCache</t>
  </si>
  <si>
    <t>doFullDisk</t>
  </si>
  <si>
    <t>AssertLogged</t>
  </si>
  <si>
    <t>AssertDiskReadLogged</t>
  </si>
  <si>
    <t>AssertDiskWriteLogged</t>
  </si>
  <si>
    <t>assertLogged</t>
  </si>
  <si>
    <t>assertNotLogged</t>
  </si>
  <si>
    <t>readLogSince</t>
  </si>
  <si>
    <t>testCoverage</t>
  </si>
  <si>
    <t>setUpOnce</t>
  </si>
  <si>
    <t>launchPackageInstaller</t>
  </si>
  <si>
    <t>assertInstallAllowed</t>
  </si>
  <si>
    <t>assertInstallBlocked</t>
  </si>
  <si>
    <t>verifyCertificateSignatures</t>
  </si>
  <si>
    <t>testBug36215950</t>
  </si>
  <si>
    <t>testBug36816007</t>
  </si>
  <si>
    <t>testBug36895511</t>
  </si>
  <si>
    <t>runWithTimeout</t>
  </si>
  <si>
    <t>releaseCodec</t>
  </si>
  <si>
    <t>doStagefrightTestRawBlob</t>
  </si>
  <si>
    <t>testDoesntAffectWidth</t>
  </si>
  <si>
    <t>onEnabledChanged</t>
  </si>
  <si>
    <t>onUserStyleChanged</t>
  </si>
  <si>
    <t>onLocaleChanged</t>
  </si>
  <si>
    <t>onFontScaleChanged</t>
  </si>
  <si>
    <t>testStagefright_cve_2015_3826</t>
  </si>
  <si>
    <t>testConstructorNull</t>
  </si>
  <si>
    <t>testGetText</t>
  </si>
  <si>
    <t>testGetPaint</t>
  </si>
  <si>
    <t>testGetWidth</t>
  </si>
  <si>
    <t>testGetEllipsizedWidth</t>
  </si>
  <si>
    <t>testIncreaseWidthTo</t>
  </si>
  <si>
    <t>testGetHeight</t>
  </si>
  <si>
    <t>testGetAlignment</t>
  </si>
  <si>
    <t>testGetSpacingMultiplier</t>
  </si>
  <si>
    <t>testGetSpacingAdd</t>
  </si>
  <si>
    <t>testGetLineBounds</t>
  </si>
  <si>
    <t>testGetLineForVertical</t>
  </si>
  <si>
    <t>testGetLineForOffset</t>
  </si>
  <si>
    <t>testGetLineEnd</t>
  </si>
  <si>
    <t>testGetLineVisibleEnd</t>
  </si>
  <si>
    <t>testGetLineBottom</t>
  </si>
  <si>
    <t>testGetLineBaseline</t>
  </si>
  <si>
    <t>testGetLineAscent</t>
  </si>
  <si>
    <t>testGetParagraphAlignment</t>
  </si>
  <si>
    <t>testGetParagraphLeft</t>
  </si>
  <si>
    <t>testGetParagraphRight</t>
  </si>
  <si>
    <t>testIsSpanned</t>
  </si>
  <si>
    <t>MockLayout</t>
  </si>
  <si>
    <t>mockIsSpanned</t>
  </si>
  <si>
    <t>getBottomPadding</t>
  </si>
  <si>
    <t>getEllipsisCount</t>
  </si>
  <si>
    <t>getEllipsisStart</t>
  </si>
  <si>
    <t>getLineContainsTab</t>
  </si>
  <si>
    <t>getLineCount</t>
  </si>
  <si>
    <t>getLineDescent</t>
  </si>
  <si>
    <t>getLineDirections</t>
  </si>
  <si>
    <t>getLineStart</t>
  </si>
  <si>
    <t>getLineTop</t>
  </si>
  <si>
    <t>getParagraphDirection</t>
  </si>
  <si>
    <t>getTopPadding</t>
  </si>
  <si>
    <t>DrawCommand</t>
  </si>
  <si>
    <t>drawTextRun</t>
  </si>
  <si>
    <t>getDrawCommands</t>
  </si>
  <si>
    <t>testGetSpans_sortsByPriorityEvenWhenSortParamIsFalse</t>
  </si>
  <si>
    <t>getTextRunAdvances</t>
  </si>
  <si>
    <t>getCharWidth</t>
  </si>
  <si>
    <t>getStaticLayout</t>
  </si>
  <si>
    <t>getBreaks</t>
  </si>
  <si>
    <t>debugLayout</t>
  </si>
  <si>
    <t>layout</t>
  </si>
  <si>
    <t>layoutMaxLines</t>
  </si>
  <si>
    <t>getMetricAffectingSpan</t>
  </si>
  <si>
    <t>spanify</t>
  </si>
  <si>
    <t>testNoLineBreak</t>
  </si>
  <si>
    <t>testOneLineBreak</t>
  </si>
  <si>
    <t>testSpaceAtBreak</t>
  </si>
  <si>
    <t>testMultipleSpacesAtBreak</t>
  </si>
  <si>
    <t>testZeroWidthCharacters</t>
  </si>
  <si>
    <t>testWithSpans</t>
  </si>
  <si>
    <t>testWithOneSpan</t>
  </si>
  <si>
    <t>testWithTwoSpans</t>
  </si>
  <si>
    <t>replace</t>
  </si>
  <si>
    <t>testWithSurrogate</t>
  </si>
  <si>
    <t>testNarrowWidth</t>
  </si>
  <si>
    <t>testNarrowWidthZeroWidth</t>
  </si>
  <si>
    <t>testMaxLines</t>
  </si>
  <si>
    <t>testEllipsis_singleLine</t>
  </si>
  <si>
    <t>testGetOffset_UNICODE_Hebrew</t>
  </si>
  <si>
    <t>testFormatSameDayTime</t>
  </si>
  <si>
    <t>verifyIsWordWithSurrogate</t>
  </si>
  <si>
    <t>setCharSequence</t>
  </si>
  <si>
    <t>verifyIsWord</t>
  </si>
  <si>
    <t>verifyIsNotWord</t>
  </si>
  <si>
    <t>testOneWord</t>
  </si>
  <si>
    <t>testSpacesOnly</t>
  </si>
  <si>
    <t>testBeginningEnd</t>
  </si>
  <si>
    <t>testSurrogate</t>
  </si>
  <si>
    <t>updateDrawState</t>
  </si>
  <si>
    <t>testDoesntAffectWidth_colorUnderlineSubclass</t>
  </si>
  <si>
    <t>testAddLinks_addsLinksWhenDefaultSchemeIsNull</t>
  </si>
  <si>
    <t>testAddLinks_addsLinksWhenSchemesArrayIsNull</t>
  </si>
  <si>
    <t>testAddLinks_prependsDefaultSchemeToBeginingOfLink</t>
  </si>
  <si>
    <t>testAddLinks_doesNotPrependSchemeIfSchemeExists</t>
  </si>
  <si>
    <t>testCalendarViewMinMaxRangeRestrictions</t>
  </si>
  <si>
    <t>verifyMinMaxRangeRestrictions</t>
  </si>
  <si>
    <t>testCpuFreqData</t>
  </si>
  <si>
    <t>testUidCpuFreqTimesData</t>
  </si>
  <si>
    <t>testUidCpuFreqTimesDataWithOnlyScreenOn</t>
  </si>
  <si>
    <t>testUidCpuFreqTimesDataWithOnlyScreenOff</t>
  </si>
  <si>
    <t>forceUninstall</t>
  </si>
  <si>
    <t>testUserRestriction</t>
  </si>
  <si>
    <t>testH264Yuv420_8bitBpBitrate</t>
  </si>
  <si>
    <t>testH264Yuv420_8bitBpLevels</t>
  </si>
  <si>
    <t>testH264Yuv420_8bitBpParamsCrowd_640x360p50f32</t>
  </si>
  <si>
    <t>testH264Yuv420_8bitBpParamsCrowd_854x480p50f32</t>
  </si>
  <si>
    <t>testH264Yuv420_8bitBpParamsCrowd_1280x720p50f32</t>
  </si>
  <si>
    <t>testH264Yuv420_8bitBpParamsCrowd_1920x1080p50f32</t>
  </si>
  <si>
    <t>testH264Yuv420_8bitBpParamsCrowd_3840x2160p50f32</t>
  </si>
  <si>
    <t>testH264Yuv420_8bitBpResolutions</t>
  </si>
  <si>
    <t>testH264Yuv420_8bitBpSlicesCrowd_640x360p50f32</t>
  </si>
  <si>
    <t>testH264Yuv420_8bitBpSlicesCrowd_854x480p50f32</t>
  </si>
  <si>
    <t>testH264Yuv420_8bitBpSlicesCrowd_1280x720p50f32</t>
  </si>
  <si>
    <t>testH264Yuv420_8bitBpSlicesCrowd_1920x1080p50f32</t>
  </si>
  <si>
    <t>testH264Yuv420_8bitBpSlicesCrowd_3840x2160p50f32</t>
  </si>
  <si>
    <t>testH264Yuv420_8bitMpBitrate</t>
  </si>
  <si>
    <t>testH264Yuv420_8bitMpGopCrowd_640x360p50</t>
  </si>
  <si>
    <t>testH264Yuv420_8bitMpGopCrowd_854x480p50</t>
  </si>
  <si>
    <t>testH264Yuv420_8bitMpGopCrowd_1280x720p50</t>
  </si>
  <si>
    <t>testH264Yuv420_8bitMpGopCrowd_1920x1080p50</t>
  </si>
  <si>
    <t>testH264Yuv420_8bitMpGopCrowd_3840x2160p50</t>
  </si>
  <si>
    <t>testH264Yuv420_8bitMpLevels</t>
  </si>
  <si>
    <t>testH264Yuv420_8bitMpParamsCrowd_640x360p50f32</t>
  </si>
  <si>
    <t>testH264Yuv420_8bitMpParamsCrowd_854x480p50f32</t>
  </si>
  <si>
    <t>testH264Yuv420_8bitMpParamsCrowd_1280x720p50f32</t>
  </si>
  <si>
    <t>testH264Yuv420_8bitMpParamsCrowd_1920x1080p50f32</t>
  </si>
  <si>
    <t>testH264Yuv420_8bitMpParamsCrowd_3840x2160p50f32</t>
  </si>
  <si>
    <t>testH264Yuv420_8bitMpResolutions</t>
  </si>
  <si>
    <t>testH264Yuv420_8bitMpSlicesCrowd_640x360p50f32</t>
  </si>
  <si>
    <t>testH264Yuv420_8bitMpSlicesCrowd_854x480p50f32</t>
  </si>
  <si>
    <t>testH264Yuv420_8bitMpSlicesCrowd_1280x720p50f32</t>
  </si>
  <si>
    <t>testH264Yuv420_8bitMpSlicesCrowd_1920x1080p50f32</t>
  </si>
  <si>
    <t>testH264Yuv420_8bitMpSlicesCrowd_3840x2160p50f32</t>
  </si>
  <si>
    <t>testH264Yuv420_8bitHpBitrate</t>
  </si>
  <si>
    <t>testH264Yuv420_8bitHpGopCrowd_640x360p50</t>
  </si>
  <si>
    <t>testH264Yuv420_8bitHpGopCrowd_854x480p50</t>
  </si>
  <si>
    <t>testH264Yuv420_8bitHpGopCrowd_1280x720p50</t>
  </si>
  <si>
    <t>testH264Yuv420_8bitHpGopCrowd_1920x1080p50</t>
  </si>
  <si>
    <t>testH264Yuv420_8bitHpGopCrowd_3840x2160p50</t>
  </si>
  <si>
    <t>testH264Yuv420_8bitHpLevels</t>
  </si>
  <si>
    <t>testH264Yuv420_8bitHpParamsCrowd_640x360p50f32</t>
  </si>
  <si>
    <t>testH264Yuv420_8bitHpParamsCrowd_854x480p50f32</t>
  </si>
  <si>
    <t>testH264Yuv420_8bitHpParamsCrowd_1280x720p50f32</t>
  </si>
  <si>
    <t>testH264Yuv420_8bitHpParamsCrowd_1920x1080p50f32</t>
  </si>
  <si>
    <t>testH264Yuv420_8bitHpParamsCrowd_3840x2160p50f32</t>
  </si>
  <si>
    <t>testH264Yuv420_8bitHpResolutions</t>
  </si>
  <si>
    <t>testH264Yuv420_8bitHpScalingmatrixCrowd_640x360p50f32</t>
  </si>
  <si>
    <t>testH264Yuv420_8bitHpScalingmatrixCrowd_854x480p50f32</t>
  </si>
  <si>
    <t>testH264Yuv420_8bitHpScalingmatrixCrowd_1280x720p50f32</t>
  </si>
  <si>
    <t>testH264Yuv420_8bitHpScalingmatrixCrowd_1920x1080p50f32</t>
  </si>
  <si>
    <t>testH264Yuv420_8bitHpScalingmatrixCrowd_3840x2160p50f32</t>
  </si>
  <si>
    <t>testH264Yuv420_8bitHpSlicesCrowd_640x360p50f32</t>
  </si>
  <si>
    <t>testH264Yuv420_8bitHpSlicesCrowd_854x480p50f32</t>
  </si>
  <si>
    <t>testH264Yuv420_8bitHpSlicesCrowd_1280x720p50f32</t>
  </si>
  <si>
    <t>testH264Yuv420_8bitHpSlicesCrowd_1920x1080p50f32</t>
  </si>
  <si>
    <t>testH264Yuv420_8bitHpSlicesCrowd_3840x2160p50f32</t>
  </si>
  <si>
    <t>testVp8Yuv420_8bitBitrate</t>
  </si>
  <si>
    <t>testVp8Yuv420_8bitParamsCrowd_640x360p50f32</t>
  </si>
  <si>
    <t>testVp8Yuv420_8bitParamsCrowd_854x480p50f32</t>
  </si>
  <si>
    <t>testVp8Yuv420_8bitParamsCrowd_1280x720p50f32</t>
  </si>
  <si>
    <t>testVp8Yuv420_8bitParamsCrowd_1920x1080p50f32</t>
  </si>
  <si>
    <t>testVp8Yuv420_8bitParamsCrowd_3840x2160p50f32</t>
  </si>
  <si>
    <t>testVp8Yuv420_8bitResolution</t>
  </si>
  <si>
    <t>assertIntentHasExposedActivities</t>
  </si>
  <si>
    <t>testQuotaExceeded</t>
  </si>
  <si>
    <t>waitForLogcat</t>
  </si>
  <si>
    <t>removeAllSessions</t>
  </si>
  <si>
    <t>enableNotificationListener</t>
  </si>
  <si>
    <t>testKeyValueBackupAndRestore</t>
  </si>
  <si>
    <t>saveDataValuesReportedByApp</t>
  </si>
  <si>
    <t>assertNotAllValuesAreDefault</t>
  </si>
  <si>
    <t>assertValuesAreRestored</t>
  </si>
  <si>
    <t>readDataValuesFromLogcat</t>
  </si>
  <si>
    <t>testSharedPreferencesRestore</t>
  </si>
  <si>
    <t>getLogcatForClass</t>
  </si>
  <si>
    <t>hasAdoptable</t>
  </si>
  <si>
    <t>testHasExclusiveCores</t>
  </si>
  <si>
    <t>testGetActiveSessions</t>
  </si>
  <si>
    <t>supportsDarkTextOverrideTest</t>
  </si>
  <si>
    <t>calculateDarkTextSupportTest</t>
  </si>
  <si>
    <t>verifyContainsInOrder</t>
  </si>
  <si>
    <t>execLogcat</t>
  </si>
  <si>
    <t>logd</t>
  </si>
  <si>
    <t>ExpectFailure</t>
  </si>
  <si>
    <t>validate</t>
  </si>
  <si>
    <t>createNormalClass</t>
  </si>
  <si>
    <t>testNormalClassCompliance</t>
  </si>
  <si>
    <t>testMissingClass</t>
  </si>
  <si>
    <t>testSimpleConstructor</t>
  </si>
  <si>
    <t>testOneArgConstructor</t>
  </si>
  <si>
    <t>testConstructorThrowsException</t>
  </si>
  <si>
    <t>testPackageProtectedConstructor</t>
  </si>
  <si>
    <t>testStaticMethod</t>
  </si>
  <si>
    <t>testSyncMethod</t>
  </si>
  <si>
    <t>testPackageProtectMethod</t>
  </si>
  <si>
    <t>testPrivateMethod</t>
  </si>
  <si>
    <t>testProtectedMethod</t>
  </si>
  <si>
    <t>testThrowsMethod</t>
  </si>
  <si>
    <t>testNativeMethod</t>
  </si>
  <si>
    <t>testFinalField</t>
  </si>
  <si>
    <t>testStaticField</t>
  </si>
  <si>
    <t>testVolatileFiled</t>
  </si>
  <si>
    <t>testTransientField</t>
  </si>
  <si>
    <t>testPackageField</t>
  </si>
  <si>
    <t>testPrivateField</t>
  </si>
  <si>
    <t>testProtectedField</t>
  </si>
  <si>
    <t>testFieldValue</t>
  </si>
  <si>
    <t>testFieldValueChanged</t>
  </si>
  <si>
    <t>testInnerClass</t>
  </si>
  <si>
    <t>testInnerInnerClass</t>
  </si>
  <si>
    <t>testInnerInterface</t>
  </si>
  <si>
    <t>testInterface</t>
  </si>
  <si>
    <t>testFinalClass</t>
  </si>
  <si>
    <t>testAddingSync</t>
  </si>
  <si>
    <t>testRemovingSync</t>
  </si>
  <si>
    <t>testAddingNative</t>
  </si>
  <si>
    <t>testRemovingNative</t>
  </si>
  <si>
    <t>testAbstractClass</t>
  </si>
  <si>
    <t>testRemovingAbstractFromAClass</t>
  </si>
  <si>
    <t>testAddingAbstractToAClass</t>
  </si>
  <si>
    <t>testAddingFinalToAMethodInAFinalClass</t>
  </si>
  <si>
    <t>testRemovingFinalToAMethodInAFinalClass</t>
  </si>
  <si>
    <t>testAddingFinalToAMethodInANonFinalClass</t>
  </si>
  <si>
    <t>readMemoryFileContent</t>
  </si>
  <si>
    <t>readHardwareBufferContent</t>
  </si>
  <si>
    <t>testProcSelfPagemapNotAccessible</t>
  </si>
  <si>
    <t>testPreloadDensity</t>
  </si>
  <si>
    <t>verifyPreloadDensityInner</t>
  </si>
  <si>
    <t>compareOrSave</t>
  </si>
  <si>
    <t>getGoldenImageResId</t>
  </si>
  <si>
    <t>getGoldenImageName</t>
  </si>
  <si>
    <t>saveGoldenImage</t>
  </si>
  <si>
    <t>testSmartSelectionDoesNotThrowException</t>
  </si>
  <si>
    <t>testClassifyTextDoesNotThrowException</t>
  </si>
  <si>
    <t>testNoInitialFocus</t>
  </si>
  <si>
    <t>testDefaultFocus</t>
  </si>
  <si>
    <t>testInitialFocus</t>
  </si>
  <si>
    <t>testBadRegexBuilder</t>
  </si>
  <si>
    <t>badRegexBuilder</t>
  </si>
  <si>
    <t>badCharSequenceTransformation</t>
  </si>
  <si>
    <t>setClassLoader</t>
  </si>
  <si>
    <t>getClassLoader</t>
  </si>
  <si>
    <t>doLoadClass</t>
  </si>
  <si>
    <t>loadIfTest</t>
  </si>
  <si>
    <t>isEmpty</t>
  </si>
  <si>
    <t>getLoadedClasses</t>
  </si>
  <si>
    <t>getLoadFailures</t>
  </si>
  <si>
    <t>isTestClass</t>
  </si>
  <si>
    <t>hasJUnit3TestMethod</t>
  </si>
  <si>
    <t>isTestNgTestClass</t>
  </si>
  <si>
    <t>logDebug</t>
  </si>
  <si>
    <t>ExcludePackageNameFilter</t>
  </si>
  <si>
    <t>TestList</t>
  </si>
  <si>
    <t>addIncludeTestPackages</t>
  </si>
  <si>
    <t>addExcludeTestPackages</t>
  </si>
  <si>
    <t>addIncludeTests</t>
  </si>
  <si>
    <t>addExcludeTests</t>
  </si>
  <si>
    <t>CursorFactory</t>
  </si>
  <si>
    <t>intVersion</t>
  </si>
  <si>
    <t>testEllipsize_End</t>
  </si>
  <si>
    <t>testEllipsize_Start</t>
  </si>
  <si>
    <t>testEllipsize_Middle</t>
  </si>
  <si>
    <t>getTextPaintForEllipsize</t>
  </si>
  <si>
    <t>testEllipsize_retryEnd</t>
  </si>
  <si>
    <t>testEllipsize_retryStart</t>
  </si>
  <si>
    <t>testEllipsize_retryMiddle</t>
  </si>
  <si>
    <t>testEllipsisWithReflow</t>
  </si>
  <si>
    <t>testEllipsize_retryEndRtl</t>
  </si>
  <si>
    <t>test_ptraceAttach</t>
  </si>
  <si>
    <t>test_processVmReadv</t>
  </si>
  <si>
    <t>test_processVmReadvNullptr</t>
  </si>
  <si>
    <t>getSingleParameterChangingTests</t>
  </si>
  <si>
    <t>getParameters</t>
  </si>
  <si>
    <t>getSessionInfo</t>
  </si>
  <si>
    <t>checkSessionParams</t>
  </si>
  <si>
    <t>Optional</t>
  </si>
  <si>
    <t>isPresent</t>
  </si>
  <si>
    <t>ifPresent</t>
  </si>
  <si>
    <t>getPackageInstallerPackageName</t>
  </si>
  <si>
    <t>writeApk</t>
  </si>
  <si>
    <t>transferSession</t>
  </si>
  <si>
    <t>transferToInvalidNewOwner</t>
  </si>
  <si>
    <t>transferToOwnerWithoutInstallPermission</t>
  </si>
  <si>
    <t>transferWithOpenWrite</t>
  </si>
  <si>
    <t>transferSessionWithInvalidApk</t>
  </si>
  <si>
    <t>transferWithApkFromWrongPackage</t>
  </si>
  <si>
    <t>testGetFd</t>
  </si>
  <si>
    <t>allNullConstructor</t>
  </si>
  <si>
    <t>nullRegexConstructor</t>
  </si>
  <si>
    <t>nullAutofillIdConstructor</t>
  </si>
  <si>
    <t>unknownField</t>
  </si>
  <si>
    <t>singleFieldValid</t>
  </si>
  <si>
    <t>singleFieldInvalid</t>
  </si>
  <si>
    <t>unmount</t>
  </si>
  <si>
    <t>mount</t>
  </si>
  <si>
    <t>clearUserData</t>
  </si>
  <si>
    <t>testBroadcastReceivedForDifferentLauncher</t>
  </si>
  <si>
    <t>testSaveGoesAwayWhenLaunchingNewActivity</t>
  </si>
  <si>
    <t>testDismissSave_byLaunchingNewActivity</t>
  </si>
  <si>
    <t>bitstreams</t>
  </si>
  <si>
    <t>H264Yuv420_8bitBpBitstreamsFullTest</t>
  </si>
  <si>
    <t>testBitstreamsConformance</t>
  </si>
  <si>
    <t>H264Yuv420_8bitHpBitstreamsFullTest</t>
  </si>
  <si>
    <t>H264Yuv420_8bitMpBitstreamsFullTest</t>
  </si>
  <si>
    <t>HevcYuv400BitstreamsFullTest</t>
  </si>
  <si>
    <t>HevcYuv420BitstreamsFullTest</t>
  </si>
  <si>
    <t>HevcYuv422BitstreamsFullTest</t>
  </si>
  <si>
    <t>HevcYuv444BitstreamsFullTest</t>
  </si>
  <si>
    <t>Vp8BitstreamsFullTest</t>
  </si>
  <si>
    <t>Vp9Yuv420BitstreamsFullTest</t>
  </si>
  <si>
    <t>Vp9Yuv422BitstreamsFullTest</t>
  </si>
  <si>
    <t>Vp9Yuv444BitstreamsFullTest</t>
  </si>
  <si>
    <t>testInitSafeBrowsingUseApplicationContext</t>
  </si>
  <si>
    <t>testInitSafeBrowsingWithNullCallbackDoesntCrash</t>
  </si>
  <si>
    <t>testInitSafeBrowsingInvokesCallback</t>
  </si>
  <si>
    <t>testShutdownSafeBrowsingDoesntCrash</t>
  </si>
  <si>
    <t>testSaveGoesAwayWhenCallingCancel</t>
  </si>
  <si>
    <t>testDatasetPickerGoesAwayOnCancel</t>
  </si>
  <si>
    <t>testDismissSave_byCallingCancel</t>
  </si>
  <si>
    <t>setFixtures</t>
  </si>
  <si>
    <t>testCreateEphemeralWithoutUserSplitFails</t>
  </si>
  <si>
    <t>getPidByName</t>
  </si>
  <si>
    <t>testConfigStoreHasSeccompFilter</t>
  </si>
  <si>
    <t>testResetPasswordWithToken</t>
  </si>
  <si>
    <t>testResetPasswordWithTokenMayFail</t>
  </si>
  <si>
    <t>assertPasswordSufficiency</t>
  </si>
  <si>
    <t>testInvalidEntriesClearedOnBoot</t>
  </si>
  <si>
    <t>createTestAccount</t>
  </si>
  <si>
    <t>populateAndTestSyncAutomaticallyBeforeReboot</t>
  </si>
  <si>
    <t>testSyncAutomaticallyAfterReboot</t>
  </si>
  <si>
    <t>removeTestAccount</t>
  </si>
  <si>
    <t>setupWorkProfileAndLock</t>
  </si>
  <si>
    <t>testStagefright_bug_23270724</t>
  </si>
  <si>
    <t>assertStartsWithAnyOf</t>
  </si>
  <si>
    <t>testSetMaxLines_toZero_shouldNotDisplayAnyLines</t>
  </si>
  <si>
    <t>runDeviceTest</t>
  </si>
  <si>
    <t>createFakeNotificationListener</t>
  </si>
  <si>
    <t>allowGetActiveSessionForTest</t>
  </si>
  <si>
    <t>equal</t>
  </si>
  <si>
    <t>eq</t>
  </si>
  <si>
    <t>createClipDescription</t>
  </si>
  <si>
    <t>createClipData</t>
  </si>
  <si>
    <t>obtainDragEvent</t>
  </si>
  <si>
    <t>parseDate</t>
  </si>
  <si>
    <t>shouldSkipPermission</t>
  </si>
  <si>
    <t>cryptoProvider_withWorkaround_Success</t>
  </si>
  <si>
    <t>cryptoProvider_withoutWorkaround_Failure</t>
  </si>
  <si>
    <t>testWithoutEarlyCCS</t>
  </si>
  <si>
    <t>testEarlyCCSInjectedIntoClient</t>
  </si>
  <si>
    <t>testEarlyCCSInjectedIntoServer</t>
  </si>
  <si>
    <t>checkEarlyCCS</t>
  </si>
  <si>
    <t>handshake</t>
  </si>
  <si>
    <t>clientConnectAndHandshake</t>
  </si>
  <si>
    <t>serverBind</t>
  </si>
  <si>
    <t>serverAcceptAndHandshake</t>
  </si>
  <si>
    <t>mitmBind</t>
  </si>
  <si>
    <t>mitmAcceptAndForward</t>
  </si>
  <si>
    <t>forwardTlsRecords</t>
  </si>
  <si>
    <t>forwardTlsRecord</t>
  </si>
  <si>
    <t>getRecordInfo</t>
  </si>
  <si>
    <t>getProtocolName</t>
  </si>
  <si>
    <t>getFragmentInfo</t>
  </si>
  <si>
    <t>setServerListeningSocket</t>
  </si>
  <si>
    <t>getServerListeningSocket</t>
  </si>
  <si>
    <t>setServerSocket</t>
  </si>
  <si>
    <t>getServerSocket</t>
  </si>
  <si>
    <t>setClientSocket</t>
  </si>
  <si>
    <t>getClientSocket</t>
  </si>
  <si>
    <t>setMitmListeningSocket</t>
  </si>
  <si>
    <t>getMitmListeningSocket</t>
  </si>
  <si>
    <t>setMitmServerSocket</t>
  </si>
  <si>
    <t>getMitmServerSocket</t>
  </si>
  <si>
    <t>setMitmClientSocket</t>
  </si>
  <si>
    <t>getMitmClientSocket</t>
  </si>
  <si>
    <t>setCCSWasInjected</t>
  </si>
  <si>
    <t>wasCCSInjected</t>
  </si>
  <si>
    <t>setFirstRecordReceivedAfterCCSWasInjected</t>
  </si>
  <si>
    <t>getFirstRecordReceivedAfterCCSWasInjected</t>
  </si>
  <si>
    <t>getFirstRecordReceivedAfterCCSWasInjectedMayBeEncrypted</t>
  </si>
  <si>
    <t>createChangeCipherSpecRecord</t>
  </si>
  <si>
    <t>testWithoutHeartbeats</t>
  </si>
  <si>
    <t>testClientHeartbleed</t>
  </si>
  <si>
    <t>testServerHeartbleed</t>
  </si>
  <si>
    <t>checkHeartbleed</t>
  </si>
  <si>
    <t>setHeartbeatRequestWasInjected</t>
  </si>
  <si>
    <t>wasHeartbeatRequestInjected</t>
  </si>
  <si>
    <t>setHeartbeatResponseWasDetected</t>
  </si>
  <si>
    <t>wasHeartbeatResponseDetected</t>
  </si>
  <si>
    <t>setFatalAlertDetected</t>
  </si>
  <si>
    <t>getFirstDetectedFatalAlertDescription</t>
  </si>
  <si>
    <t>TlsProtocols</t>
  </si>
  <si>
    <t>unparse</t>
  </si>
  <si>
    <t>isHandshakeMessageType</t>
  </si>
  <si>
    <t>tryParse</t>
  </si>
  <si>
    <t>HeartbeatProtocol</t>
  </si>
  <si>
    <t>createHeartbeatRequestRecord</t>
  </si>
  <si>
    <t>TlsRecordReader</t>
  </si>
  <si>
    <t>readRecord</t>
  </si>
  <si>
    <t>readAtLeast</t>
  </si>
  <si>
    <t>ensureRemainingBufferCapacityAtLeast</t>
  </si>
  <si>
    <t>getUnsignedShortBigEndian</t>
  </si>
  <si>
    <t>putUnsignedShortBigEndian</t>
  </si>
  <si>
    <t>readResource</t>
  </si>
  <si>
    <t>HardcodedCertX509KeyManager</t>
  </si>
  <si>
    <t>testStagefright_bug_65484460</t>
  </si>
  <si>
    <t>HevcYuv444BitstreamsTest</t>
  </si>
  <si>
    <t>Vp9Yuv444BitstreamsTest</t>
  </si>
  <si>
    <t>getIntentReceivingActivityIntent</t>
  </si>
  <si>
    <t>testGetAbis</t>
  </si>
  <si>
    <t>testGetAbis_notSupported</t>
  </si>
  <si>
    <t>testGetAbis_primaryAbiOnly</t>
  </si>
  <si>
    <t>testGetAbis_primaryAbiOnly_NotSupported</t>
  </si>
  <si>
    <t>testGetAbis_skipCtsArchCheck</t>
  </si>
  <si>
    <t>testGetAbis_skipCtsArchCheck_abiSpecified</t>
  </si>
  <si>
    <t>onCompleted</t>
  </si>
  <si>
    <t>onCancelled</t>
  </si>
  <si>
    <t>assertGestureCompletes</t>
  </si>
  <si>
    <t>assertGestureCancels</t>
  </si>
  <si>
    <t>createClickInViewBounds</t>
  </si>
  <si>
    <t>createClick</t>
  </si>
  <si>
    <t>createLongClickInViewBounds</t>
  </si>
  <si>
    <t>createSwipeInViewBounds</t>
  </si>
  <si>
    <t>createPinchInViewBounds</t>
  </si>
  <si>
    <t>linePathInViewBounds</t>
  </si>
  <si>
    <t>testBuilder_setFilteredValueWithPresentationWithoutPresentation</t>
  </si>
  <si>
    <t>checkFillSelectionAfterSelectingDatasetAuthentication</t>
  </si>
  <si>
    <t>checkFillSelectionAfterSelectingAuthentication</t>
  </si>
  <si>
    <t>checkFillSelectionAfterSelectingTwoDatasets</t>
  </si>
  <si>
    <t>checkFillSelectionIsResetAfterReturningNull</t>
  </si>
  <si>
    <t>checkFillSelectionIsResetAfterReturningError</t>
  </si>
  <si>
    <t>checkFillSelectionIsResetAfterTimeout</t>
  </si>
  <si>
    <t>getBundle</t>
  </si>
  <si>
    <t>checkFillSelectionFromPreviousSessionIsDiscarded</t>
  </si>
  <si>
    <t>assertViolation</t>
  </si>
  <si>
    <t>testMetadataFilter_emptyFilters</t>
  </si>
  <si>
    <t>testMetadataFilter_matchInclude</t>
  </si>
  <si>
    <t>testMetadataFilter_noMatchInclude_mismatchValue</t>
  </si>
  <si>
    <t>testMetadataFilter_noMatchInclude_mismatchKey</t>
  </si>
  <si>
    <t>testMetadataFilter_matchExclude</t>
  </si>
  <si>
    <t>testMetadataFilter_noMatchExclude_mismatchKey</t>
  </si>
  <si>
    <t>testMetadataFilter_noMatchExclude_mismatchValue</t>
  </si>
  <si>
    <t>testMetadataFilter_matchInclude_multipleMetadataField</t>
  </si>
  <si>
    <t>testMetadataFilter_matchExclude_multipleMetadataField</t>
  </si>
  <si>
    <t>testMetadataFilter_matchInclude_multipleFilters</t>
  </si>
  <si>
    <t>testMetadataFilter_matchExclude_multipleFilters</t>
  </si>
  <si>
    <t>testMetadataFilter_matchInclude_multipleMetadataAndFilters</t>
  </si>
  <si>
    <t>testMetadataFilter_matchExclude_multipleMetadataAndFilters</t>
  </si>
  <si>
    <t>testMetadataFilter_includeAndExclude</t>
  </si>
  <si>
    <t>testMetadataFilter_includeThenExclude</t>
  </si>
  <si>
    <t>testDefaultAllowed</t>
  </si>
  <si>
    <t>testCleartextBlocked</t>
  </si>
  <si>
    <t>testNestedCleartextPermitted</t>
  </si>
  <si>
    <t>testNoneRegistered</t>
  </si>
  <si>
    <t>testSessionCreation</t>
  </si>
  <si>
    <t>onStreamingServicesUpdated</t>
  </si>
  <si>
    <t>onMiddlewareReady</t>
  </si>
  <si>
    <t>waitOnError</t>
  </si>
  <si>
    <t>waitOnStreamingServicesUpdated</t>
  </si>
  <si>
    <t>waitOnMiddlewareReady</t>
  </si>
  <si>
    <t>getNumErrorCalls</t>
  </si>
  <si>
    <t>setupStreamingSession</t>
  </si>
  <si>
    <t>getControlBinder</t>
  </si>
  <si>
    <t>getMiddlewareCalls</t>
  </si>
  <si>
    <t>testRunDeviceTests</t>
  </si>
  <si>
    <t>createCollectingListener</t>
  </si>
  <si>
    <t>testRunMockDeviceTests</t>
  </si>
  <si>
    <t>testDisplayDimensions</t>
  </si>
  <si>
    <t>waitForBootCompleted</t>
  </si>
  <si>
    <t>getTestV4UdpSocket</t>
  </si>
  <si>
    <t>testJobScheduledWhileTempWhitelisted</t>
  </si>
  <si>
    <t>testExistingJobsUnaffected</t>
  </si>
  <si>
    <t>isTestAppTempWhitelisted</t>
  </si>
  <si>
    <t>startScheduleJobIntent</t>
  </si>
  <si>
    <t>toggleDeviceIdleState</t>
  </si>
  <si>
    <t>tempWhitelistTestApp</t>
  </si>
  <si>
    <t>waitUntilTestAppNotInTempWhitelist</t>
  </si>
  <si>
    <t>awaitJobStart</t>
  </si>
  <si>
    <t>awaitJobStop</t>
  </si>
  <si>
    <t>waitUntilTrue</t>
  </si>
  <si>
    <t>testNotificationRecords</t>
  </si>
  <si>
    <t>testZenMode</t>
  </si>
  <si>
    <t>testSanitizeOnSave</t>
  </si>
  <si>
    <t>testDontSaveWhenSanitizedValueDidntChange</t>
  </si>
  <si>
    <t>testSizeHandling</t>
  </si>
  <si>
    <t>isZeroSize</t>
  </si>
  <si>
    <t>testDatasetAuthFiltering</t>
  </si>
  <si>
    <t>testValidator</t>
  </si>
  <si>
    <t>checkForInvalidField</t>
  </si>
  <si>
    <t>checkBoth</t>
  </si>
  <si>
    <t>checkEither1</t>
  </si>
  <si>
    <t>checkEither2</t>
  </si>
  <si>
    <t>checkBothButFail</t>
  </si>
  <si>
    <t>checkEitherButFail</t>
  </si>
  <si>
    <t>testScreenOn</t>
  </si>
  <si>
    <t>testScreenOff</t>
  </si>
  <si>
    <t>testAlarms</t>
  </si>
  <si>
    <t>testWakeLock</t>
  </si>
  <si>
    <t>testUnoptimizedBleScans</t>
  </si>
  <si>
    <t>testOptimizedBleScans</t>
  </si>
  <si>
    <t>testGpsUpdates</t>
  </si>
  <si>
    <t>testJob</t>
  </si>
  <si>
    <t>testSync</t>
  </si>
  <si>
    <t>testWifiScan</t>
  </si>
  <si>
    <t>getStatsOutput</t>
  </si>
  <si>
    <t>testUnknownPropertyResult</t>
  </si>
  <si>
    <t>enableFeature</t>
  </si>
  <si>
    <t>restoreFeatureStatus</t>
  </si>
  <si>
    <t>testFullHit</t>
  </si>
  <si>
    <t>testMiss</t>
  </si>
  <si>
    <t>testNoUserInput</t>
  </si>
  <si>
    <t>testBuilder_setFieldsDetection_invalid</t>
  </si>
  <si>
    <t>testBuilder_setFieldsDetection_valid</t>
  </si>
  <si>
    <t>testBuilder_build_invalid</t>
  </si>
  <si>
    <t>testBuilder_build_valid</t>
  </si>
  <si>
    <t>testNotObservedEventTypesNotGeneratedEvent</t>
  </si>
  <si>
    <t>updateServiceInfo</t>
  </si>
  <si>
    <t>accessPrivateTrafficStats</t>
  </si>
  <si>
    <t>setUpClass</t>
  </si>
  <si>
    <t>testColoredNavBar</t>
  </si>
  <si>
    <t>ColoredNavBarSettings</t>
  </si>
  <si>
    <t>getContentBackgroundColor</t>
  </si>
  <si>
    <t>getNavBarBackgroundColor</t>
  </si>
  <si>
    <t>useLightTheme</t>
  </si>
  <si>
    <t>getStableBottomInset</t>
  </si>
  <si>
    <t>takeImeNavBarScreenshot</t>
  </si>
  <si>
    <t>verifyColoredNavBar</t>
  </si>
  <si>
    <t>dumpBitmap</t>
  </si>
  <si>
    <t>testGetScore_nullValue</t>
  </si>
  <si>
    <t>testGetScore_nonTextValue</t>
  </si>
  <si>
    <t>testGetScore_nullUserData</t>
  </si>
  <si>
    <t>testGetScore_fullMatch</t>
  </si>
  <si>
    <t>testGetScore_fullMatchMixedCase</t>
  </si>
  <si>
    <t>testGetScore_mismatchDifferentSizes</t>
  </si>
  <si>
    <t>testGetScore_partialMatch</t>
  </si>
  <si>
    <t>checkLogcatForText</t>
  </si>
  <si>
    <t>wsStripNames</t>
  </si>
  <si>
    <t>doTestStripNames</t>
  </si>
  <si>
    <t>testStripNamesSimple</t>
  </si>
  <si>
    <t>testStripNamesFull</t>
  </si>
  <si>
    <t>testStripNamesComplex</t>
  </si>
  <si>
    <t>testNonWatchBackPanicDoesNothing</t>
  </si>
  <si>
    <t>testWatchBackPanicReceivesHomeRequest</t>
  </si>
  <si>
    <t>finishWelcomeActivity</t>
  </si>
  <si>
    <t>testColor</t>
  </si>
  <si>
    <t>testNoTooltipOnDisabledView</t>
  </si>
  <si>
    <t>testCve_2017_0762</t>
  </si>
  <si>
    <t>testEncrypted</t>
  </si>
  <si>
    <t>testOnStartInputCalledOnceIme1</t>
  </si>
  <si>
    <t>testOnStartInputCalledOnce</t>
  </si>
  <si>
    <t>testSearchView_giveFocusShowIme1</t>
  </si>
  <si>
    <t>testSearchView_setQueryHideIme1</t>
  </si>
  <si>
    <t>launchActivitySync</t>
  </si>
  <si>
    <t>testSearchView_giveFocusShowIme</t>
  </si>
  <si>
    <t>testSearchView_setQueryHideIme</t>
  </si>
  <si>
    <t>installAndSetIme1</t>
  </si>
  <si>
    <t>testVerifyQuota</t>
  </si>
  <si>
    <t>matchesObject</t>
  </si>
  <si>
    <t>forceStopPackage</t>
  </si>
  <si>
    <t>startOtherActivityOnTop</t>
  </si>
  <si>
    <t>getStartCommand</t>
  </si>
  <si>
    <t>verifyWindowDisplayed</t>
  </si>
  <si>
    <t>onChoosePrivateKeyAlias</t>
  </si>
  <si>
    <t>onUserAdded</t>
  </si>
  <si>
    <t>onUserRemoved</t>
  </si>
  <si>
    <t>sendUserAddedOrRemovedBroadcast</t>
  </si>
  <si>
    <t>testIme1IsNotCurrentIme</t>
  </si>
  <si>
    <t>testEnableIme1</t>
  </si>
  <si>
    <t>testEnableIme2</t>
  </si>
  <si>
    <t>assertEnableImeMain</t>
  </si>
  <si>
    <t>getTargetContext</t>
  </si>
  <si>
    <t>enableIme</t>
  </si>
  <si>
    <t>assertIme1CanBeInstalledAndEnabled</t>
  </si>
  <si>
    <t>assertIme2CanBeInstalledAndEnabled</t>
  </si>
  <si>
    <t>collectionString</t>
  </si>
  <si>
    <t>testStagefright_cve_2017_0857</t>
  </si>
  <si>
    <t>testOpportunisticScan</t>
  </si>
  <si>
    <t>AccessibilityViewTreeReportingTest</t>
  </si>
  <si>
    <t>getStatusBarHeight</t>
  </si>
  <si>
    <t>AccessibilityWindowReportingTest</t>
  </si>
  <si>
    <t>testWindowTitle_getTitleReturnsTitle</t>
  </si>
  <si>
    <t>findWindowByTitle</t>
  </si>
  <si>
    <t>escalatePriv</t>
  </si>
  <si>
    <t>getDevices</t>
  </si>
  <si>
    <t>onResume</t>
  </si>
  <si>
    <t>testRetrievingSecurityLogsNotPossibleImmediatelyAfterPreviousSuccessfulRetrieval</t>
  </si>
  <si>
    <t>testSecurityLogging_multipleBatches</t>
  </si>
  <si>
    <t>testSecurityLogging_rebootResetsId</t>
  </si>
  <si>
    <t>isAutomotivePermission</t>
  </si>
  <si>
    <t>testSetMode</t>
  </si>
  <si>
    <t>testTransferSameAdmin</t>
  </si>
  <si>
    <t>testTransferInvalidTarget</t>
  </si>
  <si>
    <t>transferOwner</t>
  </si>
  <si>
    <t>testProfileOwnerTransfer</t>
  </si>
  <si>
    <t>testProfileOwnerTransferSameAdmin</t>
  </si>
  <si>
    <t>testProfileOwnerTransferInvalidTarget</t>
  </si>
  <si>
    <t>testProfileOwnerTransferPolicies</t>
  </si>
  <si>
    <t>hasSystemFeature</t>
  </si>
  <si>
    <t>testCTSSyscallBlocked</t>
  </si>
  <si>
    <t>testCTSSwapOnOffBlocked</t>
  </si>
  <si>
    <t>testBlocked</t>
  </si>
  <si>
    <t>testLockScreenInfo_affiliatedSecondaryUser</t>
  </si>
  <si>
    <t>testSameCertAuthenticatorCanSeeAccount</t>
  </si>
  <si>
    <t>testOtherCertAuthenticatorCanSeeAccount</t>
  </si>
  <si>
    <t>testAccountAccess_sameCertAsAuthenticatorCanSeeAccount</t>
  </si>
  <si>
    <t>waitForSyncManagerAccountChangeUpdate</t>
  </si>
  <si>
    <t>hasDataConnection</t>
  </si>
  <si>
    <t>hasNotificationSupport</t>
  </si>
  <si>
    <t>allowSyncAdapterRunInBackgroundAndDataInBackground</t>
  </si>
  <si>
    <t>disallowSyncAdapterRunInBackgroundAndDataInBackground</t>
  </si>
  <si>
    <t>createCertificate</t>
  </si>
  <si>
    <t>testInjectConfig</t>
  </si>
  <si>
    <t>areSystemPoliciesEqual</t>
  </si>
  <si>
    <t>testTransfer</t>
  </si>
  <si>
    <t>testTransferPolicies</t>
  </si>
  <si>
    <t>setupTestParameters</t>
  </si>
  <si>
    <t>setupDeviceOwner</t>
  </si>
  <si>
    <t>testBuild</t>
  </si>
  <si>
    <t>testBuild_withNull</t>
  </si>
  <si>
    <t>testBuild_withInvalidRange</t>
  </si>
  <si>
    <t>testCharSequenceInteferface</t>
  </si>
  <si>
    <t>testSpannedInterface_Spanned</t>
  </si>
  <si>
    <t>testSpannedInterface_String</t>
  </si>
  <si>
    <t>testGetStartEnd</t>
  </si>
  <si>
    <t>testGetTextDir</t>
  </si>
  <si>
    <t>testGetParagraphCount</t>
  </si>
  <si>
    <t>testSetText_PremeasuredText</t>
  </si>
  <si>
    <t>cameraAvailable</t>
  </si>
  <si>
    <t>getInitialAndFirstFocus</t>
  </si>
  <si>
    <t>testCreateAndManageUser_StartUserInBackground</t>
  </si>
  <si>
    <t>getCommaSeparatedList</t>
  </si>
  <si>
    <t>checkSignatureCompliance</t>
  </si>
  <si>
    <t>createClass</t>
  </si>
  <si>
    <t>addConstructor</t>
  </si>
  <si>
    <t>addPublicVoidMethod</t>
  </si>
  <si>
    <t>addPublicBooleanField</t>
  </si>
  <si>
    <t>testExactApiMatch</t>
  </si>
  <si>
    <t>testDetectUnauthorizedConstructorApi</t>
  </si>
  <si>
    <t>testDetectUnauthorizedMethodApi</t>
  </si>
  <si>
    <t>testDetectUnauthorizedFieldApi</t>
  </si>
  <si>
    <t>testDetectUnauthorizedClassApi</t>
  </si>
  <si>
    <t>testB71630695</t>
  </si>
  <si>
    <t>testDetectMissingAnnotation</t>
  </si>
  <si>
    <t>testOverriddenHidenMethodIsApi</t>
  </si>
  <si>
    <t>makeDoAndClearPassword</t>
  </si>
  <si>
    <t>getFile</t>
  </si>
  <si>
    <t>testTargetSdkValue</t>
  </si>
  <si>
    <t>getProperty</t>
  </si>
  <si>
    <t>testNoDns</t>
  </si>
  <si>
    <t>testAccountManagementDisabled_profileAndDeviceOwnerCanAddAccount</t>
  </si>
  <si>
    <t>testUserRestriction_profileAndDeviceOwnerCanAddAccount</t>
  </si>
  <si>
    <t>testEnablingAndDisablingBackupService</t>
  </si>
  <si>
    <t>setAppOpMode</t>
  </si>
  <si>
    <t>Print</t>
  </si>
  <si>
    <t>testTooltipTextReportedToAccessibility</t>
  </si>
  <si>
    <t>testTooltipTextActionsReportedToAccessibility</t>
  </si>
  <si>
    <t>hasTooltip</t>
  </si>
  <si>
    <t>testOnException</t>
  </si>
  <si>
    <t>preTestCleanup</t>
  </si>
  <si>
    <t>cleanUpState</t>
  </si>
  <si>
    <t>splitWindowAndStartActivity</t>
  </si>
  <si>
    <t>testPostProcess</t>
  </si>
  <si>
    <t>testPostProcessOverridesNinepatch</t>
  </si>
  <si>
    <t>testPostProcessAndMadeOpaque</t>
  </si>
  <si>
    <t>testPostProcessAndAddedTransparency</t>
  </si>
  <si>
    <t>testPostProcessTRANSPARENT</t>
  </si>
  <si>
    <t>testPostProcessInvalidReturn</t>
  </si>
  <si>
    <t>testPostProcessAndUnpremul</t>
  </si>
  <si>
    <t>testPostProcessAndScale</t>
  </si>
  <si>
    <t>testArrayOutOfBounds</t>
  </si>
  <si>
    <t>testOffsetOutOfBounds</t>
  </si>
  <si>
    <t>testLengthOutOfBounds</t>
  </si>
  <si>
    <t>testNegativeLength</t>
  </si>
  <si>
    <t>testNegativeOffset</t>
  </si>
  <si>
    <t>testNullByteArray</t>
  </si>
  <si>
    <t>testZeroLengthByteArray</t>
  </si>
  <si>
    <t>testStartUserInBackground</t>
  </si>
  <si>
    <t>testNavigationBarDivider</t>
  </si>
  <si>
    <t>testNull</t>
  </si>
  <si>
    <t>testEmpty</t>
  </si>
  <si>
    <t>testSpaces</t>
  </si>
  <si>
    <t>testDisabled</t>
  </si>
  <si>
    <t>testAll</t>
  </si>
  <si>
    <t>testOne</t>
  </si>
  <si>
    <t>testSeveral</t>
  </si>
  <si>
    <t>testZero</t>
  </si>
  <si>
    <t>testNegative</t>
  </si>
  <si>
    <t>testReadMethods</t>
  </si>
  <si>
    <t>testBackupManager</t>
  </si>
  <si>
    <t>makeTestPackageIdle</t>
  </si>
  <si>
    <t>testJvmtiAttach</t>
  </si>
  <si>
    <t>runAttachTest</t>
  </si>
  <si>
    <t>testGetAudioAttributesForCarUsageForMusic</t>
  </si>
  <si>
    <t>testGetAudioAttributesForCarUsageForUnknown</t>
  </si>
  <si>
    <t>testDataPathOpenInContextOfDiscoveryFail</t>
  </si>
  <si>
    <t>testDataPathPassphraseInContextOfDiscoveryFail</t>
  </si>
  <si>
    <t>testClearApplicationData</t>
  </si>
  <si>
    <t>testType</t>
  </si>
  <si>
    <t>testSliceUri</t>
  </si>
  <si>
    <t>testSubSlice</t>
  </si>
  <si>
    <t>testText</t>
  </si>
  <si>
    <t>testIcon</t>
  </si>
  <si>
    <t>testAction</t>
  </si>
  <si>
    <t>testInt</t>
  </si>
  <si>
    <t>testTimestamp</t>
  </si>
  <si>
    <t>testHints</t>
  </si>
  <si>
    <t>testHasHints</t>
  </si>
  <si>
    <t>testBundle</t>
  </si>
  <si>
    <t>testGetDescendants</t>
  </si>
  <si>
    <t>testGetSliceSpec</t>
  </si>
  <si>
    <t>transferOwnership</t>
  </si>
  <si>
    <t>CharSequenceMatcher</t>
  </si>
  <si>
    <t>assertSaveUiChild</t>
  </si>
  <si>
    <t>testSaveDialogShownWhenAllVirtualViewsNotVisible</t>
  </si>
  <si>
    <t>testEnforceCallingOrSelfPermission</t>
  </si>
  <si>
    <t>testEnforcePermission</t>
  </si>
  <si>
    <t>testCheckCallingOrSelfPermission</t>
  </si>
  <si>
    <t>testCheckPermission</t>
  </si>
  <si>
    <t>testDrawHwBitmapInSwCanvas</t>
  </si>
  <si>
    <t>nonConfigStop</t>
  </si>
  <si>
    <t>findMaxPhysicalYuvSize</t>
  </si>
  <si>
    <t>measureYuvFrameDuration</t>
  </si>
  <si>
    <t>onAuthenticationError</t>
  </si>
  <si>
    <t>onAuthenticationHelp</t>
  </si>
  <si>
    <t>onAuthenticationFailed</t>
  </si>
  <si>
    <t>onAuthenticationSucceeded</t>
  </si>
  <si>
    <t>testSetCancelable_true</t>
  </si>
  <si>
    <t>testSetBackDispoWillDismiss</t>
  </si>
  <si>
    <t>testSetBackDispoWillNotDismiss</t>
  </si>
  <si>
    <t>testStagefright_bug_38115076</t>
  </si>
  <si>
    <t>deviceHasMediaDrm</t>
  </si>
  <si>
    <t>getKeyIds</t>
  </si>
  <si>
    <t>createJsonWebKeySet</t>
  </si>
  <si>
    <t>getKeys</t>
  </si>
  <si>
    <t>startDrm</t>
  </si>
  <si>
    <t>stopDrm</t>
  </si>
  <si>
    <t>testClearKeyPlayback</t>
  </si>
  <si>
    <t>queryKeyStatus</t>
  </si>
  <si>
    <t>testQueryKeyStatus</t>
  </si>
  <si>
    <t>testClearKeyPlaybackCenc</t>
  </si>
  <si>
    <t>testClearKeyPlaybackCenc2</t>
  </si>
  <si>
    <t>testClearKeyPlaybackWebm</t>
  </si>
  <si>
    <t>testClearKeyPlaybackMpeg2ts</t>
  </si>
  <si>
    <t>testPlaybackMpeg2ts</t>
  </si>
  <si>
    <t>getStringProperty</t>
  </si>
  <si>
    <t>getByteArrayProperty</t>
  </si>
  <si>
    <t>setStringProperty</t>
  </si>
  <si>
    <t>setByteArrayProperty</t>
  </si>
  <si>
    <t>testGetProperties</t>
  </si>
  <si>
    <t>testSetProperties</t>
  </si>
  <si>
    <t>uuidByteArray</t>
  </si>
  <si>
    <t>testIsCryptoSchemeNotSupported</t>
  </si>
  <si>
    <t>testPssh</t>
  </si>
  <si>
    <t>testGetPropertyString</t>
  </si>
  <si>
    <t>testUnknownPropertyString</t>
  </si>
  <si>
    <t>testBatteryServiceDump</t>
  </si>
  <si>
    <t>endIsCalled</t>
  </si>
  <si>
    <t>assertEnded</t>
  </si>
  <si>
    <t>assertAVDRuntime</t>
  </si>
  <si>
    <t>testDisallowOutgoingCall</t>
  </si>
  <si>
    <t>testIncomingWhileOngoing</t>
  </si>
  <si>
    <t>AlertDialogTest</t>
  </si>
  <si>
    <t>DialogTest</t>
  </si>
  <si>
    <t>getOnCreateContextMenuListener</t>
  </si>
  <si>
    <t>onTransferAffiliatedProfileOwnershipComplete</t>
  </si>
  <si>
    <t>testTransferAffiliatedProfileOwnershipCompleteCallbackIsCalled</t>
  </si>
  <si>
    <t>testLogger_logSelectionStartedEvent</t>
  </si>
  <si>
    <t>testGetSecurityLogs</t>
  </si>
  <si>
    <t>verifyAutomaticEvents</t>
  </si>
  <si>
    <t>verifyContinuousIdsBetweenBatches</t>
  </si>
  <si>
    <t>runBatch</t>
  </si>
  <si>
    <t>verifyOsStartup</t>
  </si>
  <si>
    <t>verifyCryptoSelfTest</t>
  </si>
  <si>
    <t>verifyLoggingStarted</t>
  </si>
  <si>
    <t>verifyKeyGenerated</t>
  </si>
  <si>
    <t>verifyKeyDeleted</t>
  </si>
  <si>
    <t>verifyKeyImported</t>
  </si>
  <si>
    <t>testCameraDeviceMotionTrackinTemplates</t>
  </si>
  <si>
    <t>testMotionTrackingCharacteristics</t>
  </si>
  <si>
    <t>testBuilder</t>
  </si>
  <si>
    <t>testBuilder_withNull</t>
  </si>
  <si>
    <t>testBuilder_setRange</t>
  </si>
  <si>
    <t>testGetBreakStrategy</t>
  </si>
  <si>
    <t>testGetHyphenationFrequency</t>
  </si>
  <si>
    <t>testPremeasured</t>
  </si>
  <si>
    <t>testSetText_MeasuredText</t>
  </si>
  <si>
    <t>testCanGenerateECKeyPairWithKeyAttestation</t>
  </si>
  <si>
    <t>testCanGenerateECKeyPairWithDeviceIdAttestation</t>
  </si>
  <si>
    <t>testEqualsForTextMeasurment</t>
  </si>
  <si>
    <t>testParams_create</t>
  </si>
  <si>
    <t>testParams_SetGet</t>
  </si>
  <si>
    <t>testParams_GetDefaultValues</t>
  </si>
  <si>
    <t>testParams_SameTextLayout</t>
  </si>
  <si>
    <t>testCreate_withNull</t>
  </si>
  <si>
    <t>textPaintToString</t>
  </si>
  <si>
    <t>directionToString</t>
  </si>
  <si>
    <t>LayoutParam</t>
  </si>
  <si>
    <t>getPrecomputedText</t>
  </si>
  <si>
    <t>assertSameStaticLayout</t>
  </si>
  <si>
    <t>testPrecomputedText</t>
  </si>
  <si>
    <t>testSetPrecomputedTextOrThrow</t>
  </si>
  <si>
    <t>testSetPrecomputedTextAndParams</t>
  </si>
  <si>
    <t>testTextLayoutParam</t>
  </si>
  <si>
    <t>complete</t>
  </si>
  <si>
    <t>testTracingControllerCallbacks</t>
  </si>
  <si>
    <t>testTracingControllerCallbacksOnCustomThread</t>
  </si>
  <si>
    <t>testTracingCannotStartIfAlreadyTracing</t>
  </si>
  <si>
    <t>testTracingStopFalseIfNotTracing</t>
  </si>
  <si>
    <t>runTracingTestWithCallbacks</t>
  </si>
  <si>
    <t>testAdd_duplicatedId</t>
  </si>
  <si>
    <t>testAdd_maximumReached</t>
  </si>
  <si>
    <t>testPrePCannotDisallowAlarmsOrMediaTest</t>
  </si>
  <si>
    <t>testPostPCanDisallowAlarmsOrMediaTest</t>
  </si>
  <si>
    <t>testHideSoftKeyboard_shouldHideKeyboardOnRequest</t>
  </si>
  <si>
    <t>waitForWindowChanges</t>
  </si>
  <si>
    <t>isImeWindowPresent</t>
  </si>
  <si>
    <t>waitForImePresentToBe</t>
  </si>
  <si>
    <t>tryShowSoftInput</t>
  </si>
  <si>
    <t>testDownloadRequestOpacity</t>
  </si>
  <si>
    <t>testGetNewInstanceFromSerializedBundleIsEquivalent</t>
  </si>
  <si>
    <t>testInvalidArgumentsThrows_nullInput</t>
  </si>
  <si>
    <t>testInvalidArgumentsThrows_emptyInput</t>
  </si>
  <si>
    <t>testShowAssistedDialingSettings</t>
  </si>
  <si>
    <t>test_BufferQueue</t>
  </si>
  <si>
    <t>testCheckPackagePassesTest</t>
  </si>
  <si>
    <t>testCheckPackageDoesntPassTest</t>
  </si>
  <si>
    <t>testOpPermission</t>
  </si>
  <si>
    <t>testCheckMethods</t>
  </si>
  <si>
    <t>testPreferRamOverQualityPlusHardware</t>
  </si>
  <si>
    <t>testPreferRamOverQuality</t>
  </si>
  <si>
    <t>cleanUpAfterScreenOrientationIsBackToPortrait</t>
  </si>
  <si>
    <t>requestFocusOnUsername</t>
  </si>
  <si>
    <t>requestFocusOnUsernameNoWindowChange</t>
  </si>
  <si>
    <t>requestFocusOnPassword</t>
  </si>
  <si>
    <t>keyboardFilterResult</t>
  </si>
  <si>
    <t>filterText</t>
  </si>
  <si>
    <t>filterTextNullValuesAlwaysMatched</t>
  </si>
  <si>
    <t>filterTextDifferentPrefixes</t>
  </si>
  <si>
    <t>filterTextUsingRegex</t>
  </si>
  <si>
    <t>filterTextDisabledUsingNullRegex</t>
  </si>
  <si>
    <t>testFillResponseAuthBothFields</t>
  </si>
  <si>
    <t>testFillResponseAuthBothFieldsUserCancelsFirstAttempt</t>
  </si>
  <si>
    <t>fillResponseAuthBothFields</t>
  </si>
  <si>
    <t>testFillResponseAuthJustOneField</t>
  </si>
  <si>
    <t>testFillResponseAuthWhenAppCallsCancel</t>
  </si>
  <si>
    <t>testFillResponseAuthServiceHasNoDataButCanSave</t>
  </si>
  <si>
    <t>testFillResponseAuthServiceHasNoData</t>
  </si>
  <si>
    <t>fillResponseAuthServiceHasNoDataTest</t>
  </si>
  <si>
    <t>testFillResponseAuthClientStateSetOnIntentOnly</t>
  </si>
  <si>
    <t>testFillResponseAuthClientStateSetOnFillResponseOnly</t>
  </si>
  <si>
    <t>testFillResponseAuthClientStateSetOnIntentAndFillResponse</t>
  </si>
  <si>
    <t>fillResponseAuthWithClientState</t>
  </si>
  <si>
    <t>assertClientState</t>
  </si>
  <si>
    <t>newClientState</t>
  </si>
  <si>
    <t>testFillResponseFiltering</t>
  </si>
  <si>
    <t>testDatasetAuthTwoFields</t>
  </si>
  <si>
    <t>testDatasetAuthTwoFieldsUserCancelsFirstAttempt</t>
  </si>
  <si>
    <t>datasetAuthTwoFields</t>
  </si>
  <si>
    <t>testDatasetAuthTwoFieldsReplaceResponse</t>
  </si>
  <si>
    <t>testDatasetAuthTwoFieldsNoValues</t>
  </si>
  <si>
    <t>testDatasetAuthTwoDatasets</t>
  </si>
  <si>
    <t>testDatasetAuthMixedSelectAuth</t>
  </si>
  <si>
    <t>testDatasetAuthMixedSelectNonAuth</t>
  </si>
  <si>
    <t>datasetAuthMixedTest</t>
  </si>
  <si>
    <t>testDatasetAuthNoFiltering</t>
  </si>
  <si>
    <t>testDatasetAuthFilteringUsingAutofillValue</t>
  </si>
  <si>
    <t>testDatasetAuthFilteringUsingRegex</t>
  </si>
  <si>
    <t>testDatasetAuthMixedFilteringSelectAuth</t>
  </si>
  <si>
    <t>testDatasetAuthMixedFilteringSelectNonAuth</t>
  </si>
  <si>
    <t>datasetAuthMixedFilteringTest</t>
  </si>
  <si>
    <t>testDatasetAuthClientStateSetOnIntentOnly</t>
  </si>
  <si>
    <t>testDatasetAuthClientStateSetOnFillResponseOnly</t>
  </si>
  <si>
    <t>testDatasetAuthClientStateSetOnIntentAndFillResponse</t>
  </si>
  <si>
    <t>fillDatasetAuthWithClientState</t>
  </si>
  <si>
    <t>verifyAlarmManagerServiceProto</t>
  </si>
  <si>
    <t>verifyMemInfoProto</t>
  </si>
  <si>
    <t>assertActivityDisplayed</t>
  </si>
  <si>
    <t>assertWindowDisplayed</t>
  </si>
  <si>
    <t>setUnsupportedDensity</t>
  </si>
  <si>
    <t>getStableDensity</t>
  </si>
  <si>
    <t>setDensity</t>
  </si>
  <si>
    <t>resetDensity</t>
  </si>
  <si>
    <t>testSaveGoesAwayWhenTappingRecentsButton</t>
  </si>
  <si>
    <t>startCheckoutActivityAsNewTask</t>
  </si>
  <si>
    <t>testDismissSave_byTappingRecents</t>
  </si>
  <si>
    <t>assertSuccess</t>
  </si>
  <si>
    <t>assertFailure</t>
  </si>
  <si>
    <t>makeClipboardManager</t>
  </si>
  <si>
    <t>accessOwnTrafficStats</t>
  </si>
  <si>
    <t>createTrafficStatsWithTags</t>
  </si>
  <si>
    <t>onCreateController</t>
  </si>
  <si>
    <t>onGetLibraryRootDone</t>
  </si>
  <si>
    <t>onGetItemDone</t>
  </si>
  <si>
    <t>onChildrenChanged</t>
  </si>
  <si>
    <t>onGetChildrenDone</t>
  </si>
  <si>
    <t>onSearchResultChanged</t>
  </si>
  <si>
    <t>onGetSearchResultDone</t>
  </si>
  <si>
    <t>testGetLibraryRoot</t>
  </si>
  <si>
    <t>testGetItem</t>
  </si>
  <si>
    <t>testGetItemNullResult</t>
  </si>
  <si>
    <t>testGetChildren</t>
  </si>
  <si>
    <t>testGetChildrenEmptyResult</t>
  </si>
  <si>
    <t>testGetChildrenNullResult</t>
  </si>
  <si>
    <t>testSearchTakesTime</t>
  </si>
  <si>
    <t>testSearchEmptyResult</t>
  </si>
  <si>
    <t>testSubscribe</t>
  </si>
  <si>
    <t>testUnsubscribe</t>
  </si>
  <si>
    <t>testBrowserCallback_notifyChildrenChanged</t>
  </si>
  <si>
    <t>TestBrowserCallback</t>
  </si>
  <si>
    <t>onPlaybackStateChanged</t>
  </si>
  <si>
    <t>onPlaylistParamsChanged</t>
  </si>
  <si>
    <t>onPlaybackInfoChanged</t>
  </si>
  <si>
    <t>onCustomCommand</t>
  </si>
  <si>
    <t>onCustomLayoutChanged</t>
  </si>
  <si>
    <t>TestMediaBrowser</t>
  </si>
  <si>
    <t>getCallback</t>
  </si>
  <si>
    <t>testPlay</t>
  </si>
  <si>
    <t>testPause</t>
  </si>
  <si>
    <t>testSkipToPrevious</t>
  </si>
  <si>
    <t>testSkipToNext</t>
  </si>
  <si>
    <t>testStop</t>
  </si>
  <si>
    <t>testPrepare</t>
  </si>
  <si>
    <t>testFastForward</t>
  </si>
  <si>
    <t>testRewind</t>
  </si>
  <si>
    <t>testSeekTo</t>
  </si>
  <si>
    <t>testGetSessionActivity</t>
  </si>
  <si>
    <t>testGetSetPlaylistParams</t>
  </si>
  <si>
    <t>testSetVolumeTo</t>
  </si>
  <si>
    <t>testAdjustVolume</t>
  </si>
  <si>
    <t>testGetPackageName</t>
  </si>
  <si>
    <t>testControllerCallback_onPlaybackStateChanged</t>
  </si>
  <si>
    <t>testSendCustomCommand</t>
  </si>
  <si>
    <t>testControllerCallback_onConnected</t>
  </si>
  <si>
    <t>testControllerCallback_sessionRejects</t>
  </si>
  <si>
    <t>testControllerCallback_releaseSession</t>
  </si>
  <si>
    <t>testControllerCallback_release</t>
  </si>
  <si>
    <t>testPlayFromSearch</t>
  </si>
  <si>
    <t>testPlayFromUri</t>
  </si>
  <si>
    <t>testPlayFromMediaId</t>
  </si>
  <si>
    <t>testPrepareFromSearch</t>
  </si>
  <si>
    <t>testPrepareFromUri</t>
  </si>
  <si>
    <t>testPrepareFromMediaId</t>
  </si>
  <si>
    <t>testSetRating</t>
  </si>
  <si>
    <t>testIsConnected</t>
  </si>
  <si>
    <t>testDeadlock</t>
  </si>
  <si>
    <t>testGetServiceToken</t>
  </si>
  <si>
    <t>connectToService</t>
  </si>
  <si>
    <t>testConnectToService_sessionService</t>
  </si>
  <si>
    <t>testConnectToService_libraryService</t>
  </si>
  <si>
    <t>testConnectToService</t>
  </si>
  <si>
    <t>testControllerAfterSessionIsGone_session</t>
  </si>
  <si>
    <t>testControllerAfterSessionIsGone_sessionService</t>
  </si>
  <si>
    <t>testClose_beforeConnected</t>
  </si>
  <si>
    <t>testClose_twice</t>
  </si>
  <si>
    <t>testClose_session</t>
  </si>
  <si>
    <t>testClose_sessionService</t>
  </si>
  <si>
    <t>testClose_libraryService</t>
  </si>
  <si>
    <t>testCloseFromService</t>
  </si>
  <si>
    <t>testControllerAfterSessionIsGone</t>
  </si>
  <si>
    <t>testNoInteraction</t>
  </si>
  <si>
    <t>TestVolumeProvider</t>
  </si>
  <si>
    <t>onSetVolumeTo</t>
  </si>
  <si>
    <t>onAdjustVolume</t>
  </si>
  <si>
    <t>testSetPlayer</t>
  </si>
  <si>
    <t>testSetPlayer_playbackInfo</t>
  </si>
  <si>
    <t>testSetPlaylist</t>
  </si>
  <si>
    <t>testSetPlaylistParams</t>
  </si>
  <si>
    <t>testRegisterEventCallback</t>
  </si>
  <si>
    <t>testBadPlayer</t>
  </si>
  <si>
    <t>BadPlayer</t>
  </si>
  <si>
    <t>unregisterEventCallback</t>
  </si>
  <si>
    <t>testOnCommandCallback</t>
  </si>
  <si>
    <t>testOnConnectCallback</t>
  </si>
  <si>
    <t>testSetCustomLayout</t>
  </si>
  <si>
    <t>testSendCustomAction</t>
  </si>
  <si>
    <t>getTestControllerInfo</t>
  </si>
  <si>
    <t>MockOnConnectCallback</t>
  </si>
  <si>
    <t>MockOnCommandCallback</t>
  </si>
  <si>
    <t>onCommandRequest</t>
  </si>
  <si>
    <t>assertMediaItemListEquals</t>
  </si>
  <si>
    <t>testConstructor_sessionService</t>
  </si>
  <si>
    <t>testConstructor_libraryService</t>
  </si>
  <si>
    <t>SessionCallbackProxy</t>
  </si>
  <si>
    <t>onServiceCreated</t>
  </si>
  <si>
    <t>onServiceDestroyed</t>
  </si>
  <si>
    <t>onSubscribe</t>
  </si>
  <si>
    <t>onUnsubscribe</t>
  </si>
  <si>
    <t>setHandler</t>
  </si>
  <si>
    <t>setSessionCallbackProxy</t>
  </si>
  <si>
    <t>getSessionCallbackProxy</t>
  </si>
  <si>
    <t>setServiceInstance</t>
  </si>
  <si>
    <t>getServiceInstance</t>
  </si>
  <si>
    <t>tap</t>
  </si>
  <si>
    <t>isLocationEnabled</t>
  </si>
  <si>
    <t>testParceling</t>
  </si>
  <si>
    <t>testReportLanguageHint</t>
  </si>
  <si>
    <t>testLoopCounts</t>
  </si>
  <si>
    <t>testLoopCountInfinite</t>
  </si>
  <si>
    <t>testOnlyPostPCanToggleAlarmsAndMediaTest</t>
  </si>
  <si>
    <t>testSetInputMethodAndSubtype</t>
  </si>
  <si>
    <t>testSwitchToLastInputMethod</t>
  </si>
  <si>
    <t>testSwitchToLastInput</t>
  </si>
  <si>
    <t>checkSingleMember</t>
  </si>
  <si>
    <t>typesMatch</t>
  </si>
  <si>
    <t>findClass</t>
  </si>
  <si>
    <t>hasMatchingField_Reflection</t>
  </si>
  <si>
    <t>hasMatchingField_JNI</t>
  </si>
  <si>
    <t>hasMatchingMethod_Reflection</t>
  </si>
  <si>
    <t>hasMatchingMethod_JNI</t>
  </si>
  <si>
    <t>testRegisterPin</t>
  </si>
  <si>
    <t>testOnlyPostPCanToggleAlarmsMediaSystemTest</t>
  </si>
  <si>
    <t>makeTestPackageStandbyActive</t>
  </si>
  <si>
    <t>makeTestPackageStandbyNever</t>
  </si>
  <si>
    <t>testSetMeteredDataDisabled</t>
  </si>
  <si>
    <t>thereCanBeOnlyOne</t>
  </si>
  <si>
    <t>callbackUnavailableTest</t>
  </si>
  <si>
    <t>testNoAccess</t>
  </si>
  <si>
    <t>setLauncher</t>
  </si>
  <si>
    <t>systemAppWithPermission</t>
  </si>
  <si>
    <t>TestSuiteFilter</t>
  </si>
  <si>
    <t>createSuite</t>
  </si>
  <si>
    <t>FilterableTestSuite</t>
  </si>
  <si>
    <t>testGetMediaSession2Tokens_playerRemoved</t>
  </si>
  <si>
    <t>ensureChangeInSession</t>
  </si>
  <si>
    <t>testSaveConfiguration</t>
  </si>
  <si>
    <t>testMP3Decode</t>
  </si>
  <si>
    <t>testAvailabilityStatusChange</t>
  </si>
  <si>
    <t>testTransferOwnerChangedBroadcast</t>
  </si>
  <si>
    <t>testTransferOwner</t>
  </si>
  <si>
    <t>testTransferNoMetadata</t>
  </si>
  <si>
    <t>ensurePlaylistParamsModeEquals</t>
  </si>
  <si>
    <t>matchesSession</t>
  </si>
  <si>
    <t>matchesCaller</t>
  </si>
  <si>
    <t>testSpannedInterface_Spannable</t>
  </si>
  <si>
    <t>testSpannedInterface_Spannable_setSpan_MetricsAffectingSpan</t>
  </si>
  <si>
    <t>testSpannedInterface_Spannable_removeSpan_MetricsAffectingSpan</t>
  </si>
  <si>
    <t>testSave_childViewsGone</t>
  </si>
  <si>
    <t>testSaveNotShownWhenVirtualViewValueChanges</t>
  </si>
  <si>
    <t>TestDSCallback</t>
  </si>
  <si>
    <t>onProgressUpdated</t>
  </si>
  <si>
    <t>onStateUpdated</t>
  </si>
  <si>
    <t>waitOnProgressUpdated</t>
  </si>
  <si>
    <t>waitOnStateUpdated</t>
  </si>
  <si>
    <t>testFullCallback</t>
  </si>
  <si>
    <t>testDeregistration</t>
  </si>
  <si>
    <t>testCallbackFiltering1</t>
  </si>
  <si>
    <t>testCallbackFiltering2</t>
  </si>
  <si>
    <t>getTestApn</t>
  </si>
  <si>
    <t>getTestProxy</t>
  </si>
  <si>
    <t>testPushSimpleCurves</t>
  </si>
  <si>
    <t>waitForTransportsAndReturnTheList</t>
  </si>
  <si>
    <t>waitForTransportComponentsAndReturnTheList</t>
  </si>
  <si>
    <t>testIntList</t>
  </si>
  <si>
    <t>testIconList</t>
  </si>
  <si>
    <t>testTextList</t>
  </si>
  <si>
    <t>testTimestampList</t>
  </si>
  <si>
    <t>testRemoteInputList</t>
  </si>
  <si>
    <t>testBundleList</t>
  </si>
  <si>
    <t>testSubslice</t>
  </si>
  <si>
    <t>testWifiDownload</t>
  </si>
  <si>
    <t>testWifiUpload</t>
  </si>
  <si>
    <t>getDownloadedBytes</t>
  </si>
  <si>
    <t>test_rsAllocationCopy1D_Byte</t>
  </si>
  <si>
    <t>test_rsAllocationCopy1D_Short</t>
  </si>
  <si>
    <t>test_rsAllocationCopy1D_Int</t>
  </si>
  <si>
    <t>test_rsAllocationCopy1D_Float</t>
  </si>
  <si>
    <t>test_rsAllocationCopy1D_Long</t>
  </si>
  <si>
    <t>test_rsAllocationCopy2D_Byte</t>
  </si>
  <si>
    <t>test_rsAllocationCopy2D_Short</t>
  </si>
  <si>
    <t>test_rsAllocationCopy2D_Int</t>
  </si>
  <si>
    <t>test_rsAllocationCopy2D_Float</t>
  </si>
  <si>
    <t>test_rsAllocationCopy2D_Long</t>
  </si>
  <si>
    <t>testActivityAllowedWhileDriving</t>
  </si>
  <si>
    <t>testServiceAllowedWhileDriving</t>
  </si>
  <si>
    <t>calculateAesCbcEspPacketSizeWithAuth</t>
  </si>
  <si>
    <t>onBufferedPositionChanged</t>
  </si>
  <si>
    <t>registerBroadcastReceiver</t>
  </si>
  <si>
    <t>testSendOrderedBroadcast1</t>
  </si>
  <si>
    <t>testSendOrderedBroadcast2</t>
  </si>
  <si>
    <t>testRegisterReceiver1</t>
  </si>
  <si>
    <t>testRegisterReceiver2</t>
  </si>
  <si>
    <t>testAccessWallpaper</t>
  </si>
  <si>
    <t>testAccessDatabase</t>
  </si>
  <si>
    <t>testEnforceUriPermission1</t>
  </si>
  <si>
    <t>testEnforceUriPermission2</t>
  </si>
  <si>
    <t>testGetPackageResourcePath</t>
  </si>
  <si>
    <t>testCreatePackageContext</t>
  </si>
  <si>
    <t>getValidPackageName</t>
  </si>
  <si>
    <t>testGetMainLooper</t>
  </si>
  <si>
    <t>testGetApplicationContext</t>
  </si>
  <si>
    <t>testGetSharedPreferences</t>
  </si>
  <si>
    <t>testRevokeUriPermission</t>
  </si>
  <si>
    <t>testAccessService</t>
  </si>
  <si>
    <t>testGetPackageCodePath</t>
  </si>
  <si>
    <t>testGetCacheDir</t>
  </si>
  <si>
    <t>testGetContentResolver</t>
  </si>
  <si>
    <t>testGetFileStreamPath</t>
  </si>
  <si>
    <t>testGetClassLoader</t>
  </si>
  <si>
    <t>testGetWallpaperDesiredMinimumHeightAndWidth</t>
  </si>
  <si>
    <t>testAccessStickyBroadcast</t>
  </si>
  <si>
    <t>testCheckCallingOrSelfUriPermission</t>
  </si>
  <si>
    <t>testGrantUriPermission</t>
  </si>
  <si>
    <t>testCheckPermissionGranted</t>
  </si>
  <si>
    <t>testCheckPermissionNotGranted</t>
  </si>
  <si>
    <t>testCheckPermissionRootUser</t>
  </si>
  <si>
    <t>testCheckPermissionInvalidRequest</t>
  </si>
  <si>
    <t>testCheckSelfPermissionGranted</t>
  </si>
  <si>
    <t>testCheckSelfPermissionNotGranted</t>
  </si>
  <si>
    <t>testEnforcePermissionGranted</t>
  </si>
  <si>
    <t>testEnforcePermissionNotGranted</t>
  </si>
  <si>
    <t>testCheckCallingOrSelfPermissionGranted</t>
  </si>
  <si>
    <t>testEnforceCallingOrSelfPermissionGranted</t>
  </si>
  <si>
    <t>testEnforceCallingOrSelfPermissionNotGranted</t>
  </si>
  <si>
    <t>testCheckCallingPermissionNoIpc</t>
  </si>
  <si>
    <t>testEnforceCallingPermissionNoIpc</t>
  </si>
  <si>
    <t>testEnforceCallingPermission</t>
  </si>
  <si>
    <t>testCheckCallingPermission</t>
  </si>
  <si>
    <t>bindBinderPermissionTestService</t>
  </si>
  <si>
    <t>testCheckUriPermission1</t>
  </si>
  <si>
    <t>testCheckUriPermission2</t>
  </si>
  <si>
    <t>testCheckCallingUriPermission</t>
  </si>
  <si>
    <t>testEnforceCallingUriPermission</t>
  </si>
  <si>
    <t>testGetDir</t>
  </si>
  <si>
    <t>testGetPackageManager</t>
  </si>
  <si>
    <t>testSendBroadcast1</t>
  </si>
  <si>
    <t>testSendBroadcast2</t>
  </si>
  <si>
    <t>testEnforceCallingOrSelfUriPermission</t>
  </si>
  <si>
    <t>testGetSystemService</t>
  </si>
  <si>
    <t>testGetSystemServiceByClass</t>
  </si>
  <si>
    <t>testGetAssets</t>
  </si>
  <si>
    <t>testGetResources</t>
  </si>
  <si>
    <t>testStartInstrumentation</t>
  </si>
  <si>
    <t>bindExpectResult</t>
  </si>
  <si>
    <t>waitForCondition</t>
  </si>
  <si>
    <t>waitForReceiveBroadCast</t>
  </si>
  <si>
    <t>waitForFilteredIntent</t>
  </si>
  <si>
    <t>hadReceivedBroadCast</t>
  </si>
  <si>
    <t>hadReceivedBroadCast1</t>
  </si>
  <si>
    <t>hadReceivedBroadCast2</t>
  </si>
  <si>
    <t>TestConnection</t>
  </si>
  <si>
    <t>setMonitor</t>
  </si>
  <si>
    <t>makeMyPackageActive</t>
  </si>
  <si>
    <t>makeMyPackageIdle</t>
  </si>
  <si>
    <t>testKeyFallback</t>
  </si>
  <si>
    <t>onKeyFallback</t>
  </si>
  <si>
    <t>fired</t>
  </si>
  <si>
    <t>showAuthenticationScreen</t>
  </si>
  <si>
    <t>testPlaybackInfo</t>
  </si>
  <si>
    <t>onPositionChanged</t>
  </si>
  <si>
    <t>testSave1</t>
  </si>
  <si>
    <t>testSave2</t>
  </si>
  <si>
    <t>testSaveFlags1</t>
  </si>
  <si>
    <t>testSaveFlags2</t>
  </si>
  <si>
    <t>testSaveFlags3</t>
  </si>
  <si>
    <t>testSaveFlags4</t>
  </si>
  <si>
    <t>testSaveFlags5</t>
  </si>
  <si>
    <t>testSaveFlags6</t>
  </si>
  <si>
    <t>testSaveFlags7</t>
  </si>
  <si>
    <t>testSaveFlags8</t>
  </si>
  <si>
    <t>testSaveFlags9</t>
  </si>
  <si>
    <t>testSaveFlags10</t>
  </si>
  <si>
    <t>verifySaveFlagsSequence</t>
  </si>
  <si>
    <t>testGetColorStateListNull</t>
  </si>
  <si>
    <t>getAuthKey</t>
  </si>
  <si>
    <t>testDrivingPolicy</t>
  </si>
  <si>
    <t>testGetSampledSize</t>
  </si>
  <si>
    <t>startSelectionSession</t>
  </si>
  <si>
    <t>testLogger_logManualSelectionStartedEvent</t>
  </si>
  <si>
    <t>testLogger_logLinkSelectionStartedEvent</t>
  </si>
  <si>
    <t>testLogger_logSelectionModifiedEvent</t>
  </si>
  <si>
    <t>testLogger_logSelectionActionEvent</t>
  </si>
  <si>
    <t>testLoggerConfig</t>
  </si>
  <si>
    <t>isSelectionEvent</t>
  </si>
  <si>
    <t>testGetLogger</t>
  </si>
  <si>
    <t>testDisabledLogger</t>
  </si>
  <si>
    <t>testProcTypeViolators</t>
  </si>
  <si>
    <t>testSysfsTypeViolators</t>
  </si>
  <si>
    <t>testSettingEmptyBlacklist</t>
  </si>
  <si>
    <t>testClearingBlacklist</t>
  </si>
  <si>
    <t>testSettingBlacklist</t>
  </si>
  <si>
    <t>testChangingBlacklist</t>
  </si>
  <si>
    <t>testBlacklistNotTreatedAsRegex</t>
  </si>
  <si>
    <t>testBlacklistCaseInsensitive</t>
  </si>
  <si>
    <t>testMaxBlacklistSize</t>
  </si>
  <si>
    <t>testBlacklistTooBig</t>
  </si>
  <si>
    <t>testNullNameWhenSettingBlacklist</t>
  </si>
  <si>
    <t>testNullAdminWhenSettingBlacklist</t>
  </si>
  <si>
    <t>testPasswordBlacklistName</t>
  </si>
  <si>
    <t>testPasswordBlacklistWithEmptyName</t>
  </si>
  <si>
    <t>testBlacklistNameCanBeChanged</t>
  </si>
  <si>
    <t>testCannotNameClearedBlacklist</t>
  </si>
  <si>
    <t>testClearingBlacklistClearsName</t>
  </si>
  <si>
    <t>testNullAdminWhenGettingBlacklistName</t>
  </si>
  <si>
    <t>testBlacklistNotConsideredByIsActivePasswordSufficient</t>
  </si>
  <si>
    <t>generateMaxBlacklist</t>
  </si>
  <si>
    <t>generateJustTooBigBlacklist</t>
  </si>
  <si>
    <t>testPasswordBlacklist</t>
  </si>
  <si>
    <t>testSetPasswordBlacklist_failIfNotDeviceOrProfileOwner</t>
  </si>
  <si>
    <t>testGetPasswordBlacklistName_failIfNotDeviceOrProfileOwner</t>
  </si>
  <si>
    <t>testSetBrightnessWithValue</t>
  </si>
  <si>
    <t>testSetBrightness</t>
  </si>
  <si>
    <t>testSetSystemSettingsFailsForNonWhitelistedSettings</t>
  </si>
  <si>
    <t>testSetSystemSetting</t>
  </si>
  <si>
    <t>testLinkifyAsync</t>
  </si>
  <si>
    <t>testTextSelection_invalidSignature</t>
  </si>
  <si>
    <t>testTextSelectionOptions</t>
  </si>
  <si>
    <t>testTextSelectionOptions_nullValues</t>
  </si>
  <si>
    <t>testTextSelectionOptions_defaultValues</t>
  </si>
  <si>
    <t>testTextClassificationOptions</t>
  </si>
  <si>
    <t>testTextClassificationOptions_nullValues</t>
  </si>
  <si>
    <t>testTextClassificationOptions_defaultValues</t>
  </si>
  <si>
    <t>testNoEditorNoStartInput</t>
  </si>
  <si>
    <t>testDelayedAddEditorStartsInput</t>
  </si>
  <si>
    <t>getDomain</t>
  </si>
  <si>
    <t>buildIpSecTransform</t>
  </si>
  <si>
    <t>getPort</t>
  </si>
  <si>
    <t>testUdpEncapsulation</t>
  </si>
  <si>
    <t>testIke</t>
  </si>
  <si>
    <t>SoftInputResultReceiver</t>
  </si>
  <si>
    <t>onReceiveResult</t>
  </si>
  <si>
    <t>testAccessShowSoftInputOnFocus</t>
  </si>
  <si>
    <t>testFileDownloadFlow</t>
  </si>
  <si>
    <t>getInteractiveEvents</t>
  </si>
  <si>
    <t>waitForInteractiveEventCount</t>
  </si>
  <si>
    <t>testNoNewFieldsAddedWithoutUpdadingMarshallTests</t>
  </si>
  <si>
    <t>getSyscallNumber</t>
  </si>
  <si>
    <t>testBugreport</t>
  </si>
  <si>
    <t>testExecuteShellCommand</t>
  </si>
  <si>
    <t>assertSimpleShellCommand</t>
  </si>
  <si>
    <t>testPushPull_normal</t>
  </si>
  <si>
    <t>testPushPull_extStorageVariable</t>
  </si>
  <si>
    <t>testPull_noexist</t>
  </si>
  <si>
    <t>createTempTestFile</t>
  </si>
  <si>
    <t>compareFiles</t>
  </si>
  <si>
    <t>testSyncFiles_normal</t>
  </si>
  <si>
    <t>testSyncFiles_extStorageVariable</t>
  </si>
  <si>
    <t>doTestSyncFiles</t>
  </si>
  <si>
    <t>testPushDir</t>
  </si>
  <si>
    <t>testGetScreenshot</t>
  </si>
  <si>
    <t>testGetLogcat_size</t>
  </si>
  <si>
    <t>createTempTestFiles</t>
  </si>
  <si>
    <t>testPushFolderWithManyFiles</t>
  </si>
  <si>
    <t>testPerson_constructor</t>
  </si>
  <si>
    <t>testPerson_parcelable</t>
  </si>
  <si>
    <t>testUnwantedCapabilities</t>
  </si>
  <si>
    <t>testCapabilityMutualExclusivity</t>
  </si>
  <si>
    <t>testSystemPropertiesLocal</t>
  </si>
  <si>
    <t>testSystemPropertiesExplicit</t>
  </si>
  <si>
    <t>testSystemPropertiesAutomatic</t>
  </si>
  <si>
    <t>MockEuiccManager</t>
  </si>
  <si>
    <t>setEnabled</t>
  </si>
  <si>
    <t>convertStreamToString</t>
  </si>
  <si>
    <t>assertSilence</t>
  </si>
  <si>
    <t>buildSubscriptionPlan</t>
  </si>
  <si>
    <t>createHostTest</t>
  </si>
  <si>
    <t>createBuildHelper</t>
  </si>
  <si>
    <t>testBackupServiceDisabled</t>
  </si>
  <si>
    <t>testEnableBackupService</t>
  </si>
  <si>
    <t>testSetMandatoryBackupTransport</t>
  </si>
  <si>
    <t>testClearMandatoryBackupTransport</t>
  </si>
  <si>
    <t>getWho</t>
  </si>
  <si>
    <t>testMandatoryBackupTransport</t>
  </si>
  <si>
    <t>testMandatoryBackupTransport_withComponents</t>
  </si>
  <si>
    <t>installAppAsUser</t>
  </si>
  <si>
    <t>listTransport</t>
  </si>
  <si>
    <t>listTransportComponents</t>
  </si>
  <si>
    <t>setBackupTransportComponent</t>
  </si>
  <si>
    <t>testGetAndSetMandatoryBackupTransport</t>
  </si>
  <si>
    <t>testStagefright_b72165027</t>
  </si>
  <si>
    <t>testRequestNetworkScan</t>
  </si>
  <si>
    <t>testStagefright_bug_72165027</t>
  </si>
  <si>
    <t>hasLowRAM</t>
  </si>
  <si>
    <t>testNormalize_stdToStdSkip</t>
  </si>
  <si>
    <t>startWithFragmentAndInitTitleMultiWindowLandscapeTest</t>
  </si>
  <si>
    <t>startWithFragmentNoHeadersMultiWindowLandscapeTest</t>
  </si>
  <si>
    <t>multiWindowInOutLandscapeTest</t>
  </si>
  <si>
    <t>multiWindowInnerFragmentInOutLandscapeTest</t>
  </si>
  <si>
    <t>multiWindowInitialHeaderOnBackLandscapeTest</t>
  </si>
  <si>
    <t>multiWindowHistoryPreserveLandscapeTest</t>
  </si>
  <si>
    <t>startWithFragmentAndInitTitleMultiWindowPortraitTest</t>
  </si>
  <si>
    <t>startWithFragmentNoHeadersMultiWindowPortraitTest</t>
  </si>
  <si>
    <t>multiWindowInOutPortraitTest</t>
  </si>
  <si>
    <t>multiWindowInnerFragmentInOutPortraitTest</t>
  </si>
  <si>
    <t>multiWindowInitialHeaderOnBackPortraitTest</t>
  </si>
  <si>
    <t>multiWindowHistoryPreservePortraitTest</t>
  </si>
  <si>
    <t>startWithFragmentAndInitTitleMultiWindowInner</t>
  </si>
  <si>
    <t>startWithFragmentNoHeadersMultiWindowTest</t>
  </si>
  <si>
    <t>multiWindowInOutTest</t>
  </si>
  <si>
    <t>multiWindowInnerFragmentInOutTest</t>
  </si>
  <si>
    <t>multiWindowInitialHeaderOnBackTest</t>
  </si>
  <si>
    <t>multiWindowHistoryPreserveTest</t>
  </si>
  <si>
    <t>legacyActivityMultiWindowTest</t>
  </si>
  <si>
    <t>legacyActivityMultiWindowToggleTest</t>
  </si>
  <si>
    <t>getMultiWindowFocus</t>
  </si>
  <si>
    <t>enterMultiWindow</t>
  </si>
  <si>
    <t>leaveMultiWindow</t>
  </si>
  <si>
    <t>getActivityTaskId</t>
  </si>
  <si>
    <t>getWindowName</t>
  </si>
  <si>
    <t>testAppCannotFakePackageName</t>
  </si>
  <si>
    <t>testAllowWhileIdleJobInForeground</t>
  </si>
  <si>
    <t>testOnPageCommitVisibleCalled</t>
  </si>
  <si>
    <t>testPassOnStaleObjectException</t>
  </si>
  <si>
    <t>testFailOnStaleObjectException</t>
  </si>
  <si>
    <t>testOnSafeBrowsingHit</t>
  </si>
  <si>
    <t>testNoContainers</t>
  </si>
  <si>
    <t>testGoToSleep</t>
  </si>
  <si>
    <t>testNumberOfAppsWithPermission</t>
  </si>
  <si>
    <t>testShowSuspendedAppDetailsDeclared</t>
  </si>
  <si>
    <t>testSetAllowedCarriers</t>
  </si>
  <si>
    <t>testGetAllowedCarriers</t>
  </si>
  <si>
    <t>testFullReportParsable</t>
  </si>
  <si>
    <t>testReportInPrivateDirectory</t>
  </si>
  <si>
    <t>testCheckPermissionSystem</t>
  </si>
  <si>
    <t>CodecByName</t>
  </si>
  <si>
    <t>CodecFamilyExcept</t>
  </si>
  <si>
    <t>testGetOpenSessionCount</t>
  </si>
  <si>
    <t>testMaxSessionCount</t>
  </si>
  <si>
    <t>testVoiceCommand</t>
  </si>
  <si>
    <t>testVoiceSearchHandsFree</t>
  </si>
  <si>
    <t>KeyManagementTest</t>
  </si>
  <si>
    <t>testKeyManagement</t>
  </si>
  <si>
    <t>getTts</t>
  </si>
  <si>
    <t>checkAndSetLanguageAvailable</t>
  </si>
  <si>
    <t>assertContainsEngine</t>
  </si>
  <si>
    <t>createParams</t>
  </si>
  <si>
    <t>waitForUtterance</t>
  </si>
  <si>
    <t>testSynthesizeToFile</t>
  </si>
  <si>
    <t>testSpeak</t>
  </si>
  <si>
    <t>testSpeakStop</t>
  </si>
  <si>
    <t>testGetEnginesIncludesDefault</t>
  </si>
  <si>
    <t>testGetEnginesIncludesMock</t>
  </si>
  <si>
    <t>startWelcomeActivityOnNewTask</t>
  </si>
  <si>
    <t>testBasicBufferImportAndRenderingMutableSampler</t>
  </si>
  <si>
    <t>testBasicBufferImportAndRenderingImmutableSampler</t>
  </si>
  <si>
    <t>testSerial</t>
  </si>
  <si>
    <t>testUsbSerial</t>
  </si>
  <si>
    <t>getPrintSpoolerStringArray</t>
  </si>
  <si>
    <t>getPrintSpoolerString</t>
  </si>
  <si>
    <t>getPrintSpoolerStringOneParam</t>
  </si>
  <si>
    <t>getDefaultMediaSize</t>
  </si>
  <si>
    <t>testExecuteCode</t>
  </si>
  <si>
    <t>getTestRuns</t>
  </si>
  <si>
    <t>setTestRuns</t>
  </si>
  <si>
    <t>mapToString</t>
  </si>
  <si>
    <t>stringToMap</t>
  </si>
  <si>
    <t>CompatibilityTest</t>
  </si>
  <si>
    <t>initializeModuleRepo</t>
  </si>
  <si>
    <t>getAbisForBuildTargetArch</t>
  </si>
  <si>
    <t>checkSystemStatusBlackAndWhiteList</t>
  </si>
  <si>
    <t>shouldIncludeSystemStatusChecker</t>
  </si>
  <si>
    <t>runPreModuleCheck</t>
  </si>
  <si>
    <t>runPostModuleCheck</t>
  </si>
  <si>
    <t>loadRetryCommandLineArgs</t>
  </si>
  <si>
    <t>setupFilters</t>
  </si>
  <si>
    <t>createRetryFilterHelper</t>
  </si>
  <si>
    <t>cleanFilters</t>
  </si>
  <si>
    <t>getTestShard</t>
  </si>
  <si>
    <t>setSystemStatusChecker</t>
  </si>
  <si>
    <t>setCollectTestsOnly</t>
  </si>
  <si>
    <t>setIncludeFilter</t>
  </si>
  <si>
    <t>setExcludeFilter</t>
  </si>
  <si>
    <t>setInvocationContext</t>
  </si>
  <si>
    <t>getSubPlan</t>
  </si>
  <si>
    <t>getIncludeFilters</t>
  </si>
  <si>
    <t>getExcludeFilters</t>
  </si>
  <si>
    <t>getModuleName</t>
  </si>
  <si>
    <t>getModuleArgs</t>
  </si>
  <si>
    <t>getTestArgs</t>
  </si>
  <si>
    <t>getRetryType</t>
  </si>
  <si>
    <t>getAbiName</t>
  </si>
  <si>
    <t>getDeviceTokens</t>
  </si>
  <si>
    <t>getModuleMetadataIncludeFilter</t>
  </si>
  <si>
    <t>getModuleMetadataExcludeFilter</t>
  </si>
  <si>
    <t>getTotalShards</t>
  </si>
  <si>
    <t>getShardIndex</t>
  </si>
  <si>
    <t>getInvocationContext</t>
  </si>
  <si>
    <t>getModuleRepo</t>
  </si>
  <si>
    <t>HostTestListener</t>
  </si>
  <si>
    <t>getNewMetrics</t>
  </si>
  <si>
    <t>setConfiguration</t>
  </si>
  <si>
    <t>createFilterHelper</t>
  </si>
  <si>
    <t>getRetrySessionId</t>
  </si>
  <si>
    <t>testSuiteInfoLoad</t>
  </si>
  <si>
    <t>testGetCommandLineArgs</t>
  </si>
  <si>
    <t>testSetModuleIds</t>
  </si>
  <si>
    <t>testAddDynamicFiles</t>
  </si>
  <si>
    <t>testBaseGetBuild</t>
  </si>
  <si>
    <t>testBaseGetBuild_withDevice</t>
  </si>
  <si>
    <t>testDynamicUrlOverride</t>
  </si>
  <si>
    <t>testPromptExists</t>
  </si>
  <si>
    <t>testLoadAllConfigs</t>
  </si>
  <si>
    <t>testLoadAndPrintAllConfigs</t>
  </si>
  <si>
    <t>testConfigurationLoad</t>
  </si>
  <si>
    <t>createConfig</t>
  </si>
  <si>
    <t>testSingleModuleRun</t>
  </si>
  <si>
    <t>testSingleModuleRun_checkMetadata</t>
  </si>
  <si>
    <t>testSingleModuleRun_incomplete</t>
  </si>
  <si>
    <t>testSingleModuleRun_completeAfterInternalRetry</t>
  </si>
  <si>
    <t>testSingleModuleRun_incomplete_rerun_incomplete</t>
  </si>
  <si>
    <t>testSingleModuleRun_incomplete_rerun_complete</t>
  </si>
  <si>
    <t>getShardListener</t>
  </si>
  <si>
    <t>ShardThread</t>
  </si>
  <si>
    <t>testSingleModuleRun_sharded</t>
  </si>
  <si>
    <t>testSingleModuleRun_sharded_incomplete</t>
  </si>
  <si>
    <t>testSingleModuleRun_sharded_getTestShard</t>
  </si>
  <si>
    <t>testStoreAndRetrieveTestResults</t>
  </si>
  <si>
    <t>testInvalidChecksums</t>
  </si>
  <si>
    <t>testFileSerialization</t>
  </si>
  <si>
    <t>testFileCRCOperations</t>
  </si>
  <si>
    <t>VerifyInvocationResults</t>
  </si>
  <si>
    <t>testResultReporting_singleModule</t>
  </si>
  <si>
    <t>testResultReporting_multipleModules</t>
  </si>
  <si>
    <t>testResultReportingFastTests</t>
  </si>
  <si>
    <t>testResultReportingSlowTests</t>
  </si>
  <si>
    <t>testOverrideBuildProperties</t>
  </si>
  <si>
    <t>ResultReporterBuildInfoTester</t>
  </si>
  <si>
    <t>testBuildInfoOverride</t>
  </si>
  <si>
    <t>mapBuildInfo</t>
  </si>
  <si>
    <t>testRetry</t>
  </si>
  <si>
    <t>testRetryCanSetDone</t>
  </si>
  <si>
    <t>testRetryCannotSetDone</t>
  </si>
  <si>
    <t>testResultReporting_moduleNotDone</t>
  </si>
  <si>
    <t>testResultReporting_moduleNotDone_noTests</t>
  </si>
  <si>
    <t>testResultReporting_moduleDone_noTests</t>
  </si>
  <si>
    <t>testCopyFormattingFiles</t>
  </si>
  <si>
    <t>testTestLog</t>
  </si>
  <si>
    <t>testTestLogWithDeviceInfo</t>
  </si>
  <si>
    <t>testAddInclude</t>
  </si>
  <si>
    <t>testAddExclude</t>
  </si>
  <si>
    <t>testAddParameterizedInclude</t>
  </si>
  <si>
    <t>testAddParameterizedExclude</t>
  </si>
  <si>
    <t>testCreateChecksum</t>
  </si>
  <si>
    <t>createFakeResults</t>
  </si>
  <si>
    <t>testLocalRead</t>
  </si>
  <si>
    <t>testLocalRead_fileNotFound</t>
  </si>
  <si>
    <t>testResourceRead_notFound</t>
  </si>
  <si>
    <t>testResourceRead</t>
  </si>
  <si>
    <t>testResourceRead_resourceFileName</t>
  </si>
  <si>
    <t>testSetMountPoint</t>
  </si>
  <si>
    <t>testCopyMediaFiles</t>
  </si>
  <si>
    <t>testMediaFilesExistOnDeviceTrue</t>
  </si>
  <si>
    <t>testMediaFilesExistOnDeviceFalse</t>
  </si>
  <si>
    <t>testCommandRunWrongSetValue</t>
  </si>
  <si>
    <t>testIncorrectOneExpectedCommandRun</t>
  </si>
  <si>
    <t>testSplit</t>
  </si>
  <si>
    <t>testSplit_notShardable</t>
  </si>
  <si>
    <t>testRunPreModuleCheck</t>
  </si>
  <si>
    <t>testRunPreModuleCheck_failure</t>
  </si>
  <si>
    <t>testRunPostModuleCheck</t>
  </si>
  <si>
    <t>testRunPostModuleCheck_failure</t>
  </si>
  <si>
    <t>testRun_noModules</t>
  </si>
  <si>
    <t>testCheckSystemStatus_throw</t>
  </si>
  <si>
    <t>testCheckSystemStatus_pass</t>
  </si>
  <si>
    <t>JarHostTestable</t>
  </si>
  <si>
    <t>getJarResource</t>
  </si>
  <si>
    <t>Junit4TestClass</t>
  </si>
  <si>
    <t>testPass1</t>
  </si>
  <si>
    <t>Junit4TestClass2</t>
  </si>
  <si>
    <t>testPass2</t>
  </si>
  <si>
    <t>testSplit_withoutJar</t>
  </si>
  <si>
    <t>testSplit_withJar</t>
  </si>
  <si>
    <t>testGetTestShard_withJar</t>
  </si>
  <si>
    <t>JarHostTestLoader</t>
  </si>
  <si>
    <t>testCountTestFails</t>
  </si>
  <si>
    <t>testJarHostMetrics</t>
  </si>
  <si>
    <t>testModuleFinisher</t>
  </si>
  <si>
    <t>setUpConfigs</t>
  </si>
  <si>
    <t>testInitialization</t>
  </si>
  <si>
    <t>testGetModules</t>
  </si>
  <si>
    <t>testGetModulesSharded</t>
  </si>
  <si>
    <t>testGetModules_onlyTokenModules</t>
  </si>
  <si>
    <t>testGetModules_TokenModules_multiDevices</t>
  </si>
  <si>
    <t>testGetModulesSharded_uneven</t>
  </si>
  <si>
    <t>testConfigFilter</t>
  </si>
  <si>
    <t>testFiltering</t>
  </si>
  <si>
    <t>testInitialization_ExcludeModule_SkipLoadingConfig</t>
  </si>
  <si>
    <t>testFiltering_empty</t>
  </si>
  <si>
    <t>checkArgs</t>
  </si>
  <si>
    <t>testGetModuleIds</t>
  </si>
  <si>
    <t>testGetshard_allSameRuntime</t>
  </si>
  <si>
    <t>testGetShard_cannotSplitMore</t>
  </si>
  <si>
    <t>checkSubPlan</t>
  </si>
  <si>
    <t>testAttempt</t>
  </si>
  <si>
    <t>loadTests</t>
  </si>
  <si>
    <t>testRetry_receiveOption</t>
  </si>
  <si>
    <t>testRetry_split</t>
  </si>
  <si>
    <t>testReformatJsonString</t>
  </si>
  <si>
    <t>writeDynamicConfigFile</t>
  </si>
  <si>
    <t>testGetValueFromFile_invalidFile</t>
  </si>
  <si>
    <t>testGetValueFromFile_keyNotFound</t>
  </si>
  <si>
    <t>testGetValueFromFile</t>
  </si>
  <si>
    <t>testGetValueFromBuild</t>
  </si>
  <si>
    <t>testGetValueFromBuild_moduleNotFound</t>
  </si>
  <si>
    <t>testGetOptionNames</t>
  </si>
  <si>
    <t>testGetOptionShortNames</t>
  </si>
  <si>
    <t>testGetValidCliArgs</t>
  </si>
  <si>
    <t>testCountEmptyList</t>
  </si>
  <si>
    <t>testCount_2uniquesModules</t>
  </si>
  <si>
    <t>testCount_2subModules</t>
  </si>
  <si>
    <t>testCount_mix</t>
  </si>
  <si>
    <t>createFrom</t>
  </si>
  <si>
    <t>testInvokeMethodInThisClass</t>
  </si>
  <si>
    <t>testInvokeMethodInOtherClass</t>
  </si>
  <si>
    <t>testInvokeMethodWithStringArgs</t>
  </si>
  <si>
    <t>testInvokeMethodWithStringAndDeviceArgs</t>
  </si>
  <si>
    <t>testInvokeMethodWithDeviceAndStringArgs</t>
  </si>
  <si>
    <t>testInvokeMethodWithStringArrayArg</t>
  </si>
  <si>
    <t>testInvokeMethodWithEmptyStringArrayArg</t>
  </si>
  <si>
    <t>testInvokeMethodWithStringAndStringArrayArgs</t>
  </si>
  <si>
    <t>testInvokeMethodWithAllArgTypes</t>
  </si>
  <si>
    <t>testInvokeOverloadedMethodOneArg</t>
  </si>
  <si>
    <t>testInvokeOverloadedMethodTwoArgs</t>
  </si>
  <si>
    <t>testInvokeNonExistentMethod</t>
  </si>
  <si>
    <t>testInvokeMethodTooManyArgs</t>
  </si>
  <si>
    <t>testInvokeMethodTooFewArgs</t>
  </si>
  <si>
    <t>testInvokeMethodIncompatibleArgs</t>
  </si>
  <si>
    <t>testExecuteConditionCheckReturnValue</t>
  </si>
  <si>
    <t>testExecuteInvalidCondition</t>
  </si>
  <si>
    <t>testExecuteAction</t>
  </si>
  <si>
    <t>testExecuteActionThrowException</t>
  </si>
  <si>
    <t>testExecuteActionViolateAssumption</t>
  </si>
  <si>
    <t>method1</t>
  </si>
  <si>
    <t>method2</t>
  </si>
  <si>
    <t>method3</t>
  </si>
  <si>
    <t>method4</t>
  </si>
  <si>
    <t>method5</t>
  </si>
  <si>
    <t>method6</t>
  </si>
  <si>
    <t>method7</t>
  </si>
  <si>
    <t>method8</t>
  </si>
  <si>
    <t>method9</t>
  </si>
  <si>
    <t>method10</t>
  </si>
  <si>
    <t>testDynamicConfigHandler</t>
  </si>
  <si>
    <t>createFileFromStr</t>
  </si>
  <si>
    <t>testMergeModule</t>
  </si>
  <si>
    <t>testSetDone</t>
  </si>
  <si>
    <t>testMergeModule_mismatchedModuleId</t>
  </si>
  <si>
    <t>testParseNameFilter</t>
  </si>
  <si>
    <t>testParseAbiNameFilter</t>
  </si>
  <si>
    <t>testParseNameTestFilter</t>
  </si>
  <si>
    <t>testParseFullFilter</t>
  </si>
  <si>
    <t>testCreateNameFilter</t>
  </si>
  <si>
    <t>testCreateAbiNameFilter</t>
  </si>
  <si>
    <t>testCreateNameTestFilter</t>
  </si>
  <si>
    <t>testCreateFullFilter</t>
  </si>
  <si>
    <t>setScreenshot</t>
  </si>
  <si>
    <t>failed</t>
  </si>
  <si>
    <t>passed</t>
  </si>
  <si>
    <t>skipped</t>
  </si>
  <si>
    <t>isSkipped</t>
  </si>
  <si>
    <t>setRetry</t>
  </si>
  <si>
    <t>isRetry</t>
  </si>
  <si>
    <t>removeResult</t>
  </si>
  <si>
    <t>TestStatus</t>
  </si>
  <si>
    <t>testCorrectLogic</t>
  </si>
  <si>
    <t>testLogicWithWrongNodeName</t>
  </si>
  <si>
    <t>testMergeCase</t>
  </si>
  <si>
    <t>testMergeCase_passToFail</t>
  </si>
  <si>
    <t>testMergeCase_mismatchedModuleName</t>
  </si>
  <si>
    <t>testCorrectConfig</t>
  </si>
  <si>
    <t>testConfigWithWrongNodeName</t>
  </si>
  <si>
    <t>testLightInvocationResultInstatiate</t>
  </si>
  <si>
    <t>testSerialize_null</t>
  </si>
  <si>
    <t>testSerialize_noData</t>
  </si>
  <si>
    <t>testContentBody</t>
  </si>
  <si>
    <t>testSerialize_summaryOnly</t>
  </si>
  <si>
    <t>testSerialize_detailOnly</t>
  </si>
  <si>
    <t>testSerialize_full</t>
  </si>
  <si>
    <t>testParse_null</t>
  </si>
  <si>
    <t>testParse_summaryOnly</t>
  </si>
  <si>
    <t>testParse_full</t>
  </si>
  <si>
    <t>testLimits_source</t>
  </si>
  <si>
    <t>testLimits_message</t>
  </si>
  <si>
    <t>testLimits_values</t>
  </si>
  <si>
    <t>testParsing_usesUnalteredBuildFingerprintWhenPresent</t>
  </si>
  <si>
    <t>testParsing_whenUnalteredBuildFingerprintIsEmpty_usesRegularBuildFingerprint</t>
  </si>
  <si>
    <t>testGetLightResults</t>
  </si>
  <si>
    <t>writeResultDir</t>
  </si>
  <si>
    <t>checkLightResult</t>
  </si>
  <si>
    <t>SyncBroadcastReceiver</t>
  </si>
  <si>
    <t>WifiEnableBroadcastReceiver</t>
  </si>
  <si>
    <t>waitForDesiredState</t>
  </si>
  <si>
    <t>waitForConnected</t>
  </si>
  <si>
    <t>WifiRttBroadcastReceiver</t>
  </si>
  <si>
    <t>WifiScansBroadcastReceiver</t>
  </si>
  <si>
    <t>HevcYuv400BitstreamsTest</t>
  </si>
  <si>
    <t>HevcYuv422BitstreamsTest</t>
  </si>
  <si>
    <t>Vp9Yuv422BitstreamsTest</t>
  </si>
  <si>
    <t>testPerson_defaults</t>
  </si>
  <si>
    <t>testGestureDetectionAvailable_initialState_shouldBeAvailable</t>
  </si>
  <si>
    <t>getFileMetadata</t>
  </si>
  <si>
    <t>parseJarTestCase</t>
  </si>
  <si>
    <t>chkTestType</t>
  </si>
  <si>
    <t>testSetForceEphemeralUsers</t>
  </si>
  <si>
    <t>testSetForceEphemeralUsersFails</t>
  </si>
  <si>
    <t>testSetForceEphemeralUsersFailsWithoutSplitSystemUser</t>
  </si>
  <si>
    <t>testRemoveUsersOnSetForceEphemeralUsers</t>
  </si>
  <si>
    <t>testRemoveUsersOnSetForceEphemeralUsersWithUserSwitch</t>
  </si>
  <si>
    <t>testCreateUserAfterSetForceEphemeralUsers</t>
  </si>
  <si>
    <t>errorMessageAppendix</t>
  </si>
  <si>
    <t>testKillswitch</t>
  </si>
  <si>
    <t>getVideoFrameAndVerify</t>
  </si>
  <si>
    <t>writeSummaryCsvFile</t>
  </si>
  <si>
    <t>isLeanbackOnly</t>
  </si>
  <si>
    <t>testRunDeviceTestsPasses</t>
  </si>
  <si>
    <t>testRunDeviceTestsFails</t>
  </si>
  <si>
    <t>testRunDeviceTestsAssumeFails</t>
  </si>
  <si>
    <t>finishSimpleSaveActivity</t>
  </si>
  <si>
    <t>testFocalLengths</t>
  </si>
  <si>
    <t>focalLengthTestByCamera</t>
  </si>
  <si>
    <t>assertBackupFinished</t>
  </si>
  <si>
    <t>setAppOpsMode</t>
  </si>
  <si>
    <t>blockedSourceTest</t>
  </si>
  <si>
    <t>allowedSourceTest</t>
  </si>
  <si>
    <t>defaultSourceTest</t>
  </si>
  <si>
    <t>testManageUnknownSourcesExists</t>
  </si>
  <si>
    <t>testEnableWalOverridesJournalModeSynchronousMode</t>
  </si>
  <si>
    <t>testLockNowWithKeyEviction</t>
  </si>
  <si>
    <t>testSetupWorkProfileAndLock</t>
  </si>
  <si>
    <t>testLockWorkProfile</t>
  </si>
  <si>
    <t>getDatePickerActivity</t>
  </si>
  <si>
    <t>focusCell</t>
  </si>
  <si>
    <t>focusCellNoWindowChange</t>
  </si>
  <si>
    <t>getTimePickerActivity</t>
  </si>
  <si>
    <t>testTaskSwitching</t>
  </si>
  <si>
    <t>isDeviceIdleEnabled</t>
  </si>
  <si>
    <t>testAllowWhileIdleJobInTempwhitelist</t>
  </si>
  <si>
    <t>testForegroundJobsStartImmediately</t>
  </si>
  <si>
    <t>testBackgroundJobsDelayed</t>
  </si>
  <si>
    <t>testJobsInNeverApp</t>
  </si>
  <si>
    <t>testUidActiveBypassesStandby</t>
  </si>
  <si>
    <t>startAndKeepTestActivity</t>
  </si>
  <si>
    <t>sendScheduleJobBroadcast</t>
  </si>
  <si>
    <t>setTestPackageStandbyBucket</t>
  </si>
  <si>
    <t>enterFakeUnpluggedState</t>
  </si>
  <si>
    <t>resetFakeUnpluggedState</t>
  </si>
  <si>
    <t>testWifiScans</t>
  </si>
  <si>
    <t>isWearDevice</t>
  </si>
  <si>
    <t>getGpsSatellitePrns</t>
  </si>
  <si>
    <t>isGpsStatusReceived</t>
  </si>
  <si>
    <t>testStagefright_cve_2017_13279</t>
  </si>
  <si>
    <t>InstallMultiple</t>
  </si>
  <si>
    <t>testSwitchImeull</t>
  </si>
  <si>
    <t>uninstallPackageIfExists</t>
  </si>
  <si>
    <t>testNoRemotelyAccessibleListeningUdp6Ports</t>
  </si>
  <si>
    <t>testStagefright_bug_34360591</t>
  </si>
  <si>
    <t>assertAffiliationIdsAreIntact</t>
  </si>
  <si>
    <t>testActionNextAndPreviousAtGranularityPageOverText</t>
  </si>
  <si>
    <t>testActionNextAndPreviousAtGranularityPageOverTextExtend</t>
  </si>
  <si>
    <t>getInstrumentation</t>
  </si>
  <si>
    <t>backupNowAndAssertSuccess</t>
  </si>
  <si>
    <t>backupNow</t>
  </si>
  <si>
    <t>restoreAndAssertSuccess</t>
  </si>
  <si>
    <t>restore</t>
  </si>
  <si>
    <t>assertRestoreIsSuccessful</t>
  </si>
  <si>
    <t>assertBackupIsNotAllowed</t>
  </si>
  <si>
    <t>isBackupEnabled</t>
  </si>
  <si>
    <t>isLocalTransportSelected</t>
  </si>
  <si>
    <t>drainAndClose</t>
  </si>
  <si>
    <t>testVolumeDndAffectedStream</t>
  </si>
  <si>
    <t>assertPolicy</t>
  </si>
  <si>
    <t>testInstrumentationNotAllowed</t>
  </si>
  <si>
    <t>IBinder</t>
  </si>
  <si>
    <t>testFromData</t>
  </si>
  <si>
    <t>testFromDataSkip</t>
  </si>
  <si>
    <t>getAppWidgetProviderInfo</t>
  </si>
  <si>
    <t>testInitialState</t>
  </si>
  <si>
    <t>verifySetDisplayedChild</t>
  </si>
  <si>
    <t>testSetDisplayedChild</t>
  </si>
  <si>
    <t>verifyShowCommand</t>
  </si>
  <si>
    <t>testShowNextPrevious</t>
  </si>
  <si>
    <t>verifyItemClickIntents</t>
  </si>
  <si>
    <t>testSetOnClickPendingIntent</t>
  </si>
  <si>
    <t>ListScrollListener</t>
  </si>
  <si>
    <t>testSetScrollPosition</t>
  </si>
  <si>
    <t>testVendorSecurityPatchFound</t>
  </si>
  <si>
    <t>testBootSecurityPatchFound</t>
  </si>
  <si>
    <t>MyUrlSpan</t>
  </si>
  <si>
    <t>create</t>
  </si>
  <si>
    <t>testAddLinks_UrlSpanFactory_withSpannable</t>
  </si>
  <si>
    <t>testAddLinks_UrlSpanFactory_withSpannableAndFilter</t>
  </si>
  <si>
    <t>testDefaultUrlSpanFactory</t>
  </si>
  <si>
    <t>testSecurityPatchesFormat</t>
  </si>
  <si>
    <t>testSecurityPatchDates</t>
  </si>
  <si>
    <t>testSecurityPatchDate</t>
  </si>
  <si>
    <t>testWarpedDng</t>
  </si>
  <si>
    <t>cpuHasNxSupport</t>
  </si>
  <si>
    <t>testStrict</t>
  </si>
  <si>
    <t>assertDecode</t>
  </si>
  <si>
    <t>CameraGLTest</t>
  </si>
  <si>
    <t>CameraTest</t>
  </si>
  <si>
    <t>AccessibilitySoftKeyboardModesTest</t>
  </si>
  <si>
    <t>testOtherSoundsSettings_lockScreenSounds</t>
  </si>
  <si>
    <t>testOtherSoundsSettings_chargingSounds</t>
  </si>
  <si>
    <t>testSecurityPatchFormat</t>
  </si>
  <si>
    <t>getFullname</t>
  </si>
  <si>
    <t>praseTestSuiteInfo</t>
  </si>
  <si>
    <t>testCookieValidWhenSingedWithTwoCerts</t>
  </si>
  <si>
    <t>uninstallPackage</t>
  </si>
  <si>
    <t>assertAutofillEnabledOnWebView</t>
  </si>
  <si>
    <t>testDontShowSaveUiWhenUserManuallyFilled_oneDatasetAllRequiredFields</t>
  </si>
  <si>
    <t>testDontShowSaveUiWhenUserManuallyFilled_oneDatasetRequiredAndOptionalFields</t>
  </si>
  <si>
    <t>testDontShowSaveUiWhenUserManuallyFilled_multipleDatasetsDataOnFirst</t>
  </si>
  <si>
    <t>testDontShowSaveUiWhenUserManuallyFilled_multipleDatasetsDataOnSecond</t>
  </si>
  <si>
    <t>testShowSaveUiWhenUserManuallyFilled_requiredOnly</t>
  </si>
  <si>
    <t>testShowSaveUiWhenUserManuallyFilled_optionalOnly</t>
  </si>
  <si>
    <t>save</t>
  </si>
  <si>
    <t>onPictureInPictureModeChanged</t>
  </si>
  <si>
    <t>reportActivityRelaunched</t>
  </si>
  <si>
    <t>testQueryInternalThumbnails</t>
  </si>
  <si>
    <t>waitForMiddleOfTransition</t>
  </si>
  <si>
    <t>assertNotWithinAPixel</t>
  </si>
  <si>
    <t>createAnimator</t>
  </si>
  <si>
    <t>CaptureMatrixListener</t>
  </si>
  <si>
    <t>copyMatrix</t>
  </si>
  <si>
    <t>verifyTranslation</t>
  </si>
  <si>
    <t>hasFloatBuffers</t>
  </si>
  <si>
    <t>testKeyCodeAssist</t>
  </si>
  <si>
    <t>testKeyCodeVoiceAssist</t>
  </si>
  <si>
    <t>verifyZoomSpeed</t>
  </si>
  <si>
    <t>testOnLongClick</t>
  </si>
  <si>
    <t>getClickTimes</t>
  </si>
  <si>
    <t>setSecureSetting</t>
  </si>
  <si>
    <t>testAddChild_invalidTransformation</t>
  </si>
  <si>
    <t>testBatchUpdate_invalidCondition</t>
  </si>
  <si>
    <t>captureTranslations</t>
  </si>
  <si>
    <t>verifyTranlationChanged</t>
  </si>
  <si>
    <t>showOverlay</t>
  </si>
  <si>
    <t>hideOverlay</t>
  </si>
  <si>
    <t>dipToPx</t>
  </si>
  <si>
    <t>testSaveBothFieldsAtOnce</t>
  </si>
  <si>
    <t>testStartForegrondService</t>
  </si>
  <si>
    <t>testCheckSignaturesMatch</t>
  </si>
  <si>
    <t>testCheckSignaturesNoMatch</t>
  </si>
  <si>
    <t>testAllOpsHaveOpString</t>
  </si>
  <si>
    <t>assertDataUsageEquals</t>
  </si>
  <si>
    <t>assertVisible</t>
  </si>
  <si>
    <t>newCustomDescriptionWithHiddenFields</t>
  </si>
  <si>
    <t>setReplierMode</t>
  </si>
  <si>
    <t>resetReplierMode</t>
  </si>
  <si>
    <t>getNumberRetries</t>
  </si>
  <si>
    <t>testSaveEachFieldSeparately</t>
  </si>
  <si>
    <t>testSaveBothFieldsAtOnceNoClientStateOnSecondRequest</t>
  </si>
  <si>
    <t>testSaveBothFieldsAtOnceWithClientStateOnBothRequests</t>
  </si>
  <si>
    <t>testSaveBothFieldsCustomDescription_differentIds</t>
  </si>
  <si>
    <t>testSaveBothFieldsCustomDescription_sameIds</t>
  </si>
  <si>
    <t>saveBothFieldsCustomDescription</t>
  </si>
  <si>
    <t>assertDesiredMinimum</t>
  </si>
  <si>
    <t>testSave_eachFieldSeparately</t>
  </si>
  <si>
    <t>testSave_noClientStateOnSecondRequest</t>
  </si>
  <si>
    <t>testSave_clientStateOnBothRequests</t>
  </si>
  <si>
    <t>testSave_customDescription_differentIds</t>
  </si>
  <si>
    <t>testSave_customDescription_sameIds</t>
  </si>
  <si>
    <t>saveCustomDescription</t>
  </si>
  <si>
    <t>testSave_sameActivity_customDescription_differentIds</t>
  </si>
  <si>
    <t>testSave_sameActivity_customDescription_sameIds</t>
  </si>
  <si>
    <t>saveSameActivityCustomDescription</t>
  </si>
  <si>
    <t>SentReceiver</t>
  </si>
  <si>
    <t>waitForSuccess</t>
  </si>
  <si>
    <t>testSendMmsMessage</t>
  </si>
  <si>
    <t>writePdu</t>
  </si>
  <si>
    <t>buildPdu</t>
  </si>
  <si>
    <t>addTextPart</t>
  </si>
  <si>
    <t>addSmilPart</t>
  </si>
  <si>
    <t>onListenerConnected</t>
  </si>
  <si>
    <t>onListenerDisconnected</t>
  </si>
  <si>
    <t>resetData</t>
  </si>
  <si>
    <t>onNotificationPosted</t>
  </si>
  <si>
    <t>onNotificationRemoved</t>
  </si>
  <si>
    <t>onNotificationRankingUpdate</t>
  </si>
  <si>
    <t>testDevQtaguidSane</t>
  </si>
  <si>
    <t>testAccessPrivateTrafficStats</t>
  </si>
  <si>
    <t>testAccessOwnQtaguidTrafficStats</t>
  </si>
  <si>
    <t>isTV</t>
  </si>
  <si>
    <t>testSetShadowLayer</t>
  </si>
  <si>
    <t>testWipeDataWithReasonVerification</t>
  </si>
  <si>
    <t>sendKeyEvents</t>
  </si>
  <si>
    <t>testCompositionSemantics</t>
  </si>
  <si>
    <t>AccessibilityEndToEndTest</t>
  </si>
  <si>
    <t>AccessibilityFocusAndInputFocusSyncTest</t>
  </si>
  <si>
    <t>AccessibilityTextActionTest</t>
  </si>
  <si>
    <t>AccessibilityTextTraversalTest</t>
  </si>
  <si>
    <t>AccessibilityEventFilter</t>
  </si>
  <si>
    <t>AccessibilityWindowQueryTest</t>
  </si>
  <si>
    <t>makeWifiSysctlScanner</t>
  </si>
  <si>
    <t>testAcceptRaRtInfoMinPlen</t>
  </si>
  <si>
    <t>testAcceptRaRtInfoMaxPlen</t>
  </si>
  <si>
    <t>testRouterSolicitations</t>
  </si>
  <si>
    <t>testRouterSolicitationMaxInterval</t>
  </si>
  <si>
    <t>assertAtLeast</t>
  </si>
  <si>
    <t>getIntValue</t>
  </si>
  <si>
    <t>setContextAndInstrumentation</t>
  </si>
  <si>
    <t>wakeUpScreen</t>
  </si>
  <si>
    <t>permissionGranted</t>
  </si>
  <si>
    <t>uninstallApp</t>
  </si>
  <si>
    <t>permissionShouldBeRevokedIfRemoved</t>
  </si>
  <si>
    <t>testRawContactsChangeNotification</t>
  </si>
  <si>
    <t>MyObserver</t>
  </si>
  <si>
    <t>testCanvas</t>
  </si>
  <si>
    <t>testCanvasFromImmutableBitmap</t>
  </si>
  <si>
    <t>testCanvasFromRecycledBitmap</t>
  </si>
  <si>
    <t>testSetBitmapToImmutableBitmap</t>
  </si>
  <si>
    <t>testSetBitmapToRecycledBitmap</t>
  </si>
  <si>
    <t>testSetBitmap</t>
  </si>
  <si>
    <t>testSetBitmapFromEmpty</t>
  </si>
  <si>
    <t>testIsOpaque</t>
  </si>
  <si>
    <t>testRestoreWithoutSave</t>
  </si>
  <si>
    <t>testRestore</t>
  </si>
  <si>
    <t>testSave</t>
  </si>
  <si>
    <t>testSaveLayer1</t>
  </si>
  <si>
    <t>testSaveLayer2</t>
  </si>
  <si>
    <t>testSaveLayerAlpha1</t>
  </si>
  <si>
    <t>testSaveLayerAlpha2</t>
  </si>
  <si>
    <t>testGetSaveCount</t>
  </si>
  <si>
    <t>testRestoreToCountIllegalSaveCount</t>
  </si>
  <si>
    <t>testRestoreToCountExceptionBehavior</t>
  </si>
  <si>
    <t>testRestoreToCount</t>
  </si>
  <si>
    <t>testGetMatrix1</t>
  </si>
  <si>
    <t>testGetMatrix2</t>
  </si>
  <si>
    <t>testTranslate</t>
  </si>
  <si>
    <t>testScale1</t>
  </si>
  <si>
    <t>testScale2</t>
  </si>
  <si>
    <t>testRotate1</t>
  </si>
  <si>
    <t>testRotate2</t>
  </si>
  <si>
    <t>testSkew</t>
  </si>
  <si>
    <t>testConcat</t>
  </si>
  <si>
    <t>testClipRectF</t>
  </si>
  <si>
    <t>testClipRect</t>
  </si>
  <si>
    <t>testClipRect4I</t>
  </si>
  <si>
    <t>testClipRect4F</t>
  </si>
  <si>
    <t>testClipOutRectF</t>
  </si>
  <si>
    <t>testClipOutRect</t>
  </si>
  <si>
    <t>testClipOutRect4I</t>
  </si>
  <si>
    <t>testClipOutRect4F</t>
  </si>
  <si>
    <t>testIntersectClipRectF</t>
  </si>
  <si>
    <t>testIntersectClipRect</t>
  </si>
  <si>
    <t>testIntersectClipRect4F</t>
  </si>
  <si>
    <t>testClipPath1</t>
  </si>
  <si>
    <t>testClipPath2</t>
  </si>
  <si>
    <t>testClipOutPath</t>
  </si>
  <si>
    <t>testClipInversePath</t>
  </si>
  <si>
    <t>testGetDrawFilter</t>
  </si>
  <si>
    <t>testQuickReject1</t>
  </si>
  <si>
    <t>testQuickReject2</t>
  </si>
  <si>
    <t>testQuickReject3</t>
  </si>
  <si>
    <t>testGetClipBounds1</t>
  </si>
  <si>
    <t>testGetClipBounds2</t>
  </si>
  <si>
    <t>verifyDrewColor</t>
  </si>
  <si>
    <t>testDrawRGB</t>
  </si>
  <si>
    <t>testDrawARGB</t>
  </si>
  <si>
    <t>testDrawColor1</t>
  </si>
  <si>
    <t>testDrawColor2</t>
  </si>
  <si>
    <t>testDrawPaint</t>
  </si>
  <si>
    <t>testDrawPointsInvalidOffset</t>
  </si>
  <si>
    <t>testDrawPointsInvalidCount</t>
  </si>
  <si>
    <t>testDrawPoints1</t>
  </si>
  <si>
    <t>testDrawPoints2</t>
  </si>
  <si>
    <t>testDrawPoint</t>
  </si>
  <si>
    <t>testDrawLine</t>
  </si>
  <si>
    <t>testDrawLinesInvalidOffset</t>
  </si>
  <si>
    <t>testDrawLinesInvalidCount</t>
  </si>
  <si>
    <t>testDrawLines1</t>
  </si>
  <si>
    <t>testDrawLines2</t>
  </si>
  <si>
    <t>verifyDrewPaint</t>
  </si>
  <si>
    <t>testDrawRect1</t>
  </si>
  <si>
    <t>testDrawRect2</t>
  </si>
  <si>
    <t>testDrawRect3</t>
  </si>
  <si>
    <t>testDrawOvalNull</t>
  </si>
  <si>
    <t>testDrawOval</t>
  </si>
  <si>
    <t>testDrawCircle</t>
  </si>
  <si>
    <t>testDrawArcNullOval</t>
  </si>
  <si>
    <t>testDrawArc</t>
  </si>
  <si>
    <t>testDrawRoundRectNull</t>
  </si>
  <si>
    <t>testDrawRoundRect</t>
  </si>
  <si>
    <t>testDrawPath</t>
  </si>
  <si>
    <t>testDrawBitmapAtPointRecycled</t>
  </si>
  <si>
    <t>testDrawBitmapAtPoint</t>
  </si>
  <si>
    <t>testDrawBitmapSrcDstFloatRecycled</t>
  </si>
  <si>
    <t>testDrawBitmapSrcDstFloat</t>
  </si>
  <si>
    <t>testDrawBitmapSrcDstIntRecycled</t>
  </si>
  <si>
    <t>testDrawBitmapSrcDstInt</t>
  </si>
  <si>
    <t>testDrawBitmapIntsNegativeWidth</t>
  </si>
  <si>
    <t>testDrawBitmapIntsNegativeHeight</t>
  </si>
  <si>
    <t>testDrawBitmapIntsBadStride</t>
  </si>
  <si>
    <t>testDrawBitmapIntsNegativeOffset</t>
  </si>
  <si>
    <t>testDrawBitmapIntsBadOffset</t>
  </si>
  <si>
    <t>testDrawBitmapInts</t>
  </si>
  <si>
    <t>testDrawBitmapFloatsNegativeWidth</t>
  </si>
  <si>
    <t>testDrawBitmapFloatsNegativeHeight</t>
  </si>
  <si>
    <t>testDrawBitmapFloatsBadStride</t>
  </si>
  <si>
    <t>testDrawBitmapFloatsNegativeOffset</t>
  </si>
  <si>
    <t>testDrawBitmapFloatsBadOffset</t>
  </si>
  <si>
    <t>testDrawBitmapFloats</t>
  </si>
  <si>
    <t>testDrawBitmapMatrix</t>
  </si>
  <si>
    <t>testDrawBitmapMeshNegativeWidth</t>
  </si>
  <si>
    <t>testDrawBitmapMeshNegativeHeight</t>
  </si>
  <si>
    <t>testDrawBitmapMeshNegativeVertOffset</t>
  </si>
  <si>
    <t>testDrawBitmapMeshNegativeColorOffset</t>
  </si>
  <si>
    <t>testDrawBitmapMeshTooFewVerts</t>
  </si>
  <si>
    <t>testDrawBitmapMeshTooFewColors</t>
  </si>
  <si>
    <t>testDrawBitmapMesh</t>
  </si>
  <si>
    <t>testDrawVerticesTooFewVerts</t>
  </si>
  <si>
    <t>testDrawVerticesTooFewTexs</t>
  </si>
  <si>
    <t>testDrawVerticesTooFewColors</t>
  </si>
  <si>
    <t>testDrawVerticesTooFewIndices</t>
  </si>
  <si>
    <t>testDrawVertices</t>
  </si>
  <si>
    <t>testDrawArrayTextNegativeIndex</t>
  </si>
  <si>
    <t>testDrawArrayTextNegativeCount</t>
  </si>
  <si>
    <t>testDrawArrayTextTextLengthTooSmall</t>
  </si>
  <si>
    <t>testDrawArrayText</t>
  </si>
  <si>
    <t>testDrawStringTextAtPosition</t>
  </si>
  <si>
    <t>testDrawTextTextAtPositionWithOffsetsNegativeStart</t>
  </si>
  <si>
    <t>testDrawTextTextAtPositionWithOffsetsNegativeEnd</t>
  </si>
  <si>
    <t>testDrawTextTextAtPositionWithOffsetsStartEndMismatch</t>
  </si>
  <si>
    <t>testDrawTextTextAtPositionWithOffsetsTextTooLong</t>
  </si>
  <si>
    <t>testDrawTextTextAtPositionWithOffsets</t>
  </si>
  <si>
    <t>testDrawTextRun</t>
  </si>
  <si>
    <t>testDrawTextRunNullCharArray</t>
  </si>
  <si>
    <t>testDrawTextRunNullCharSequence</t>
  </si>
  <si>
    <t>testDrawTextRunCharArrayNullPaint</t>
  </si>
  <si>
    <t>testDrawTextRunCharSequenceNullPaint</t>
  </si>
  <si>
    <t>testDrawTextRunNegativeIndex</t>
  </si>
  <si>
    <t>testDrawTextRunNegativeCount</t>
  </si>
  <si>
    <t>testDrawTextRunContestIndexTooLarge</t>
  </si>
  <si>
    <t>testDrawTextRunContestIndexTooSmall</t>
  </si>
  <si>
    <t>testDrawTextRunIndexTooLarge</t>
  </si>
  <si>
    <t>testDrawTextRunNegativeContextStart</t>
  </si>
  <si>
    <t>testDrawTextRunStartLessThanContextStart</t>
  </si>
  <si>
    <t>testDrawTextRunEndLessThanStart</t>
  </si>
  <si>
    <t>testDrawTextRunContextEndLessThanEnd</t>
  </si>
  <si>
    <t>testDrawTextRunContextEndLargerThanTextLength</t>
  </si>
  <si>
    <t>testDrawPosTextWithIndexAndCountNegativeIndex</t>
  </si>
  <si>
    <t>testDrawPosTextWithIndexAndCountTextTooShort</t>
  </si>
  <si>
    <t>testDrawPosTextWithIndexAndCountCountTooLarge</t>
  </si>
  <si>
    <t>testDrawPosTextWithIndexAndCount</t>
  </si>
  <si>
    <t>testDrawPosTextCountTooLarge</t>
  </si>
  <si>
    <t>testDrawPosText</t>
  </si>
  <si>
    <t>testDrawTextOnPathWithIndexAndCountNegativeIndex</t>
  </si>
  <si>
    <t>testDrawTextOnPathWithIndexAndCountTextTooShort</t>
  </si>
  <si>
    <t>testDrawTextOnPathWithIndexAndCount</t>
  </si>
  <si>
    <t>testDrawTextOnPathtestDrawTextRunNegativeCount</t>
  </si>
  <si>
    <t>testDrawPicture1</t>
  </si>
  <si>
    <t>testDrawPicture2</t>
  </si>
  <si>
    <t>testDrawPicture3</t>
  </si>
  <si>
    <t>testDensity</t>
  </si>
  <si>
    <t>testDrawHwBitmap_inSwCanvas</t>
  </si>
  <si>
    <t>testDrawHwBitmap_inPictureCanvas_inSwCanvas</t>
  </si>
  <si>
    <t>testDrawHwBitmap_inPictureCanvas_inPictureCanvas_inSwCanvas</t>
  </si>
  <si>
    <t>testHwBitmapShaderInSwCanvas1</t>
  </si>
  <si>
    <t>testHwBitmapShaderInSwCanvas2</t>
  </si>
  <si>
    <t>getDeviceClip</t>
  </si>
  <si>
    <t>testDrawBitmapColorBehavior</t>
  </si>
  <si>
    <t>showToast</t>
  </si>
  <si>
    <t>testDefaultRestrictionsOnly</t>
  </si>
  <si>
    <t>testStagefright_bug_36592202</t>
  </si>
  <si>
    <t>testStagefright_bug_63522067</t>
  </si>
  <si>
    <t>testDebugLayerLoadExternalVulkan</t>
  </si>
  <si>
    <t>testDebugLayerLoadGLES</t>
  </si>
  <si>
    <t>testReleaseLayerLoadGLES</t>
  </si>
  <si>
    <t>testDebugNotEnabledGLES</t>
  </si>
  <si>
    <t>testDebugWrongAppGLES</t>
  </si>
  <si>
    <t>testDebugNoLayersEnabledGLES</t>
  </si>
  <si>
    <t>testSystemPropertyEnableGLES</t>
  </si>
  <si>
    <t>testSystemPropertyIgnoreGLES</t>
  </si>
  <si>
    <t>testDebugLayerLoadExternalGLES</t>
  </si>
  <si>
    <t>testKeyStore_SetEntry_PrivateKeyEntry_Params_Unencrypted_Failure</t>
  </si>
  <si>
    <t>testGetFontWeight</t>
  </si>
  <si>
    <t>testDeviceOwnerCanGetDeviceIdentifiers</t>
  </si>
  <si>
    <t>testProfileOwnerCanGetDeviceIdentifiers</t>
  </si>
  <si>
    <t>testDisableCameraInPrimaryProfile</t>
  </si>
  <si>
    <t>testEnableCameraInPrimaryProfile</t>
  </si>
  <si>
    <t>testIsCameraEnabledInPrimaryProfile</t>
  </si>
  <si>
    <t>testIsCameraEnabledInManagedProfile</t>
  </si>
  <si>
    <t>runHevcDecodeTest</t>
  </si>
  <si>
    <t>runMpeg2DecodeTest</t>
  </si>
  <si>
    <t>runAvcDecodeTest</t>
  </si>
  <si>
    <t>isLinkerErrorPresent</t>
  </si>
  <si>
    <t>checkCodecCrash</t>
  </si>
  <si>
    <t>runDecodeTest</t>
  </si>
  <si>
    <t>testIsNotified</t>
  </si>
  <si>
    <t>testDeviceIdentifiersAreNotAccessible</t>
  </si>
  <si>
    <t>testMinTimeLimit</t>
  </si>
  <si>
    <t>findEjectIcon</t>
  </si>
  <si>
    <t>testNoRemotelyAccessibleListeningTcpPorts</t>
  </si>
  <si>
    <t>testNoRemotelyAccessibleListeningTcp6Ports</t>
  </si>
  <si>
    <t>testNoRemotelyAccessibleListeningUdpPorts</t>
  </si>
  <si>
    <t>testNoListeningLoopbackTcpPorts</t>
  </si>
  <si>
    <t>testNoListeningLoopbackTcp6Ports</t>
  </si>
  <si>
    <t>testNoListeningLoopbackUdpPorts</t>
  </si>
  <si>
    <t>testNoListeningLoopbackUdp6Ports</t>
  </si>
  <si>
    <t>assertNoRemotelyAccessibleListeningUdpPorts</t>
  </si>
  <si>
    <t>assertNoAccessibleListeningPorts</t>
  </si>
  <si>
    <t>labelsLocaleToString</t>
  </si>
  <si>
    <t>testCanExecuteFromHomeDir</t>
  </si>
  <si>
    <t>testAppDomainContext</t>
  </si>
  <si>
    <t>testAppDataContext</t>
  </si>
  <si>
    <t>testCanNotExecuteFromHomeDir</t>
  </si>
  <si>
    <t>getParam</t>
  </si>
  <si>
    <t>verifyAppTransitionProto</t>
  </si>
  <si>
    <t>getAllVolumeNames</t>
  </si>
  <si>
    <t>testPrimitiveArrays</t>
  </si>
  <si>
    <t>disabledTestContentProviderAccessRestriction</t>
  </si>
  <si>
    <t>testStagefright_bug_37710346</t>
  </si>
  <si>
    <t>testStagefright_cve_2016_3828</t>
  </si>
  <si>
    <t>testUserRejects</t>
  </si>
  <si>
    <t>testUserAccepts</t>
  </si>
  <si>
    <t>testUserAcceptsNewDirectory</t>
  </si>
  <si>
    <t>testNotAskedAgain</t>
  </si>
  <si>
    <t>testDeniesOnceForAllClearedWhenPackageRemoved</t>
  </si>
  <si>
    <t>testDeniesOnceButAllowsAskingAgain</t>
  </si>
  <si>
    <t>testDeniesOnceForAll</t>
  </si>
  <si>
    <t>testResetDoNotAskAgain</t>
  </si>
  <si>
    <t>testResetGranted</t>
  </si>
  <si>
    <t>userRejectsTest</t>
  </si>
  <si>
    <t>testNotAskedAgainOnRoot</t>
  </si>
  <si>
    <t>deniesOnceForAllTest</t>
  </si>
  <si>
    <t>testRemovePackageStep1UserDenies</t>
  </si>
  <si>
    <t>testRemovePackageStep2UserAcceptsDoNotClear</t>
  </si>
  <si>
    <t>userAcceptsTest</t>
  </si>
  <si>
    <t>assertPermissionGranted</t>
  </si>
  <si>
    <t>getUniqueToggle</t>
  </si>
  <si>
    <t>launchDirectoryAccessSettingsScreenAndSelectApp</t>
  </si>
  <si>
    <t>testGetMinimumUiTimeoutMs</t>
  </si>
  <si>
    <t>turnOffMinimumUiTimoutSettings</t>
  </si>
  <si>
    <t>turnOnMinimumUiTimoutSettings</t>
  </si>
  <si>
    <t>testActivityManager_checkAppInForegroundCall</t>
  </si>
  <si>
    <t>NormalAppMonitoring</t>
  </si>
  <si>
    <t>onBind</t>
  </si>
  <si>
    <t>MaliciousAppMonitoring</t>
  </si>
  <si>
    <t>testAdoptShellPermissions</t>
  </si>
  <si>
    <t>JavaModule</t>
  </si>
  <si>
    <t>newPackageFromLine</t>
  </si>
  <si>
    <t>newLibraryFromLine</t>
  </si>
  <si>
    <t>getLibraries</t>
  </si>
  <si>
    <t>getRealPath</t>
  </si>
  <si>
    <t>hasCode</t>
  </si>
  <si>
    <t>isTestRequired</t>
  </si>
  <si>
    <t>testNonApiReferences</t>
  </si>
  <si>
    <t>testTargetSdk</t>
  </si>
  <si>
    <t>testStagefright_bug_64710074</t>
  </si>
  <si>
    <t>doTestBuffering</t>
  </si>
  <si>
    <t>testSetTestProviderStatus</t>
  </si>
  <si>
    <t>testWifiManagerActions</t>
  </si>
  <si>
    <t>testWifiManagerNetWork</t>
  </si>
  <si>
    <t>testSetHttpProxy_PermissionFail</t>
  </si>
  <si>
    <t>getEnabledNetworks</t>
  </si>
  <si>
    <t>reEnableNetworks</t>
  </si>
  <si>
    <t>testSetWifiEnabledByAppDoesNotStopHotspot</t>
  </si>
  <si>
    <t>testTouchDelegateWithExploreByTouch_reHoverDelegate</t>
  </si>
  <si>
    <t>prepareSampleVideo</t>
  </si>
  <si>
    <t>testPlayVideo</t>
  </si>
  <si>
    <t>testPlayVideoOnTextureView</t>
  </si>
  <si>
    <t>testSerialAccessPolicy</t>
  </si>
  <si>
    <t>backgroundPermissionsNeedToBeInSameGroupAsForegroundPermissions</t>
  </si>
  <si>
    <t>getInputConfig</t>
  </si>
  <si>
    <t>testReprocessStreamCombination</t>
  </si>
  <si>
    <t>testSingleReprocessStreamCombination</t>
  </si>
  <si>
    <t>testOutputCombination</t>
  </si>
  <si>
    <t>testSingleCameraOutputCombination</t>
  </si>
  <si>
    <t>testTestBrowserCallback</t>
  </si>
  <si>
    <t>onAllowedCommandsChanged</t>
  </si>
  <si>
    <t>onPlayerStateChanged</t>
  </si>
  <si>
    <t>onSeekCompleted</t>
  </si>
  <si>
    <t>onPlaybackSpeedChanged</t>
  </si>
  <si>
    <t>onBufferingStateChanged</t>
  </si>
  <si>
    <t>onCurrentMediaItemChanged</t>
  </si>
  <si>
    <t>onPlaylistChanged</t>
  </si>
  <si>
    <t>onPlaylistMetadataChanged</t>
  </si>
  <si>
    <t>testGetMediaSession2Tokens_hasMediaController</t>
  </si>
  <si>
    <t>testGetSessionTokens_sessionRejected</t>
  </si>
  <si>
    <t>testGetMediaSession2Tokens_sessionClosed</t>
  </si>
  <si>
    <t>testGetMediaSessionService2Token</t>
  </si>
  <si>
    <t>testGetAllSessionTokens</t>
  </si>
  <si>
    <t>testAddOnSessionTokensChangedListener</t>
  </si>
  <si>
    <t>testRemoveOnSessionTokensChangedListener</t>
  </si>
  <si>
    <t>findToken</t>
  </si>
  <si>
    <t>onSessionTokensChanged</t>
  </si>
  <si>
    <t>setSessionServiceCallback</t>
  </si>
  <si>
    <t>getServiceToken</t>
  </si>
  <si>
    <t>testShow_withDecoupledWindowPosition</t>
  </si>
  <si>
    <t>testDismiss</t>
  </si>
  <si>
    <t>testUpdate</t>
  </si>
  <si>
    <t>testWindowContent</t>
  </si>
  <si>
    <t>testWindowPosition</t>
  </si>
  <si>
    <t>testWindowContent_modifiesAfterUpdate</t>
  </si>
  <si>
    <t>testMagnifierDefaultParameters</t>
  </si>
  <si>
    <t>testTestControllerCallback</t>
  </si>
  <si>
    <t>testGettersAfterConnected</t>
  </si>
  <si>
    <t>testGetPlaylist</t>
  </si>
  <si>
    <t>testUpdatePlaylistMetadata</t>
  </si>
  <si>
    <t>testGetPlaylistMetadata</t>
  </si>
  <si>
    <t>testControllerCallback_onPlaylistMetadataChanged</t>
  </si>
  <si>
    <t>testAddPlaylistItem</t>
  </si>
  <si>
    <t>testRemovePlaylistItem</t>
  </si>
  <si>
    <t>testReplacePlaylistItem</t>
  </si>
  <si>
    <t>testSkipToPreviousItem</t>
  </si>
  <si>
    <t>testSkipToNextItem</t>
  </si>
  <si>
    <t>testSkipToPlaylistItem</t>
  </si>
  <si>
    <t>testGetShuffleMode</t>
  </si>
  <si>
    <t>testSetShuffleMode</t>
  </si>
  <si>
    <t>testGetRepeatMode</t>
  </si>
  <si>
    <t>testSetRepeatMode</t>
  </si>
  <si>
    <t>testPlayerStateChange</t>
  </si>
  <si>
    <t>testCurrentDataSourceChanged</t>
  </si>
  <si>
    <t>testMediaPrepared</t>
  </si>
  <si>
    <t>testBufferingStateChanged</t>
  </si>
  <si>
    <t>testUpdatePlayer</t>
  </si>
  <si>
    <t>testGetPlayerState</t>
  </si>
  <si>
    <t>testGetPosition</t>
  </si>
  <si>
    <t>testGetBufferedPosition</t>
  </si>
  <si>
    <t>testSessionCallback_onPlaylistChanged</t>
  </si>
  <si>
    <t>unregisterPlayerEventCallback</t>
  </si>
  <si>
    <t>testOnDisconnectCallback</t>
  </si>
  <si>
    <t>testSetAllowedCommands</t>
  </si>
  <si>
    <t>testNotifyError</t>
  </si>
  <si>
    <t>createSessionWithAllowedActions</t>
  </si>
  <si>
    <t>createCommandGroupWith</t>
  </si>
  <si>
    <t>createCommandGroupWithout</t>
  </si>
  <si>
    <t>testOnCommandRequest</t>
  </si>
  <si>
    <t>testSetVolume</t>
  </si>
  <si>
    <t>testChangingPermissionWithSetAllowedCommands</t>
  </si>
  <si>
    <t>MySessionCallback</t>
  </si>
  <si>
    <t>onPlayFromMediaId</t>
  </si>
  <si>
    <t>onPlayFromSearch</t>
  </si>
  <si>
    <t>onPlayFromUri</t>
  </si>
  <si>
    <t>onPrepareFromMediaId</t>
  </si>
  <si>
    <t>onPrepareFromSearch</t>
  </si>
  <si>
    <t>onPrepareFromUri</t>
  </si>
  <si>
    <t>onCreated</t>
  </si>
  <si>
    <t>onDestroyed</t>
  </si>
  <si>
    <t>setSessionCallback</t>
  </si>
  <si>
    <t>getSessionCallback</t>
  </si>
  <si>
    <t>createPlaylist</t>
  </si>
  <si>
    <t>createMediaItemWithMetadata</t>
  </si>
  <si>
    <t>createMetadata</t>
  </si>
  <si>
    <t>SyncHandler</t>
  </si>
  <si>
    <t>postAndSync</t>
  </si>
  <si>
    <t>testDenyStorageDuringReview</t>
  </si>
  <si>
    <t>testDenyGrantStorageDuringReview</t>
  </si>
  <si>
    <t>testDenyGrantDenyStorageDuringReview</t>
  </si>
  <si>
    <t>getDefaultAlgorithm</t>
  </si>
  <si>
    <t>testSystemTzDataFileMissing</t>
  </si>
  <si>
    <t>testSystemTzDataFileCorrupt</t>
  </si>
  <si>
    <t>testSystemTzDataSame</t>
  </si>
  <si>
    <t>testSystemTzDataNewer</t>
  </si>
  <si>
    <t>createSystemTzDataFileOnHost</t>
  </si>
  <si>
    <t>testPlaybackFromAMedia2DataSource</t>
  </si>
  <si>
    <t>testNullMedia2DataSourceIsRejected</t>
  </si>
  <si>
    <t>testMedia2DataSourceIsClosedOnReset</t>
  </si>
  <si>
    <t>testPlaybackFailsIfMedia2DataSourceThrows</t>
  </si>
  <si>
    <t>testPlaybackFailsIfMedia2DataSourceReturnsAnError</t>
  </si>
  <si>
    <t>fromAssetFd</t>
  </si>
  <si>
    <t>TestMedia2DataSource</t>
  </si>
  <si>
    <t>readAt</t>
  </si>
  <si>
    <t>isClosed</t>
  </si>
  <si>
    <t>throwFromReadAt</t>
  </si>
  <si>
    <t>throwFromGetSize</t>
  </si>
  <si>
    <t>returnFromReadAt</t>
  </si>
  <si>
    <t>returnFromGetSize</t>
  </si>
  <si>
    <t>testStoreAudioAlbums</t>
  </si>
  <si>
    <t>testStoreAudioArtists</t>
  </si>
  <si>
    <t>testStoreAudioArtistsAlbums</t>
  </si>
  <si>
    <t>testStoreAudioMedia</t>
  </si>
  <si>
    <t>saveService</t>
  </si>
  <si>
    <t>restoreService</t>
  </si>
  <si>
    <t>setService</t>
  </si>
  <si>
    <t>testStagefright_bug_24157524</t>
  </si>
  <si>
    <t>safeNotify</t>
  </si>
  <si>
    <t>safeWait</t>
  </si>
  <si>
    <t>deleteTestedRows</t>
  </si>
  <si>
    <t>enableAppOps</t>
  </si>
  <si>
    <t>enableWriteSettings</t>
  </si>
  <si>
    <t>validateDebugOption</t>
  </si>
  <si>
    <t>testDebugOptionOn</t>
  </si>
  <si>
    <t>testDebugOptionOff</t>
  </si>
  <si>
    <t>isAngleLoadable</t>
  </si>
  <si>
    <t>enableAngle</t>
  </si>
  <si>
    <t>disableAngle</t>
  </si>
  <si>
    <t>assertLifecycleEvent</t>
  </si>
  <si>
    <t>testIt</t>
  </si>
  <si>
    <t>testCrossPrfileCalendarPackage</t>
  </si>
  <si>
    <t>buildDriverGlobalSettingMap</t>
  </si>
  <si>
    <t>buildDriverTestMethodMap</t>
  </si>
  <si>
    <t>stopPackage</t>
  </si>
  <si>
    <t>testConversationActions</t>
  </si>
  <si>
    <t>assertConversationActions</t>
  </si>
  <si>
    <t>testExpectedSystemFilesExist</t>
  </si>
  <si>
    <t>testVideoAudioMedatadata</t>
  </si>
  <si>
    <t>isBootCompleted</t>
  </si>
  <si>
    <t>checkSupported</t>
  </si>
  <si>
    <t>connectToWiFi</t>
  </si>
  <si>
    <t>selectForegroundOnlyOption</t>
  </si>
  <si>
    <t>selectAlwaysOption</t>
  </si>
  <si>
    <t>selectDenyAndDontAskAgainOption</t>
  </si>
  <si>
    <t>clickDontAskAgainCheckbox</t>
  </si>
  <si>
    <t>testAppOverlay</t>
  </si>
  <si>
    <t>testRetrieveSecurityLogsLogged</t>
  </si>
  <si>
    <t>testGetBitmap_FP16_P3</t>
  </si>
  <si>
    <t>testManageDocumentsMustIncludedInDocumentUi</t>
  </si>
  <si>
    <t>testMyanmarUnicodeRenders</t>
  </si>
  <si>
    <t>testUnicodeRenders_withValidLocaleList</t>
  </si>
  <si>
    <t>isUnicodeRendersCorrectly</t>
  </si>
  <si>
    <t>testAddEapNetwork</t>
  </si>
  <si>
    <t>doesSsidExist</t>
  </si>
  <si>
    <t>IpAddress</t>
  </si>
  <si>
    <t>startSyncAndWait</t>
  </si>
  <si>
    <t>onEnterAnimationComplete</t>
  </si>
  <si>
    <t>waitForEnterAnimationComplete</t>
  </si>
  <si>
    <t>assertShellCommandThrowsException</t>
  </si>
  <si>
    <t>testShellCommand</t>
  </si>
  <si>
    <t>testShellCommandIme</t>
  </si>
  <si>
    <t>testShellCommandImeList</t>
  </si>
  <si>
    <t>testShellCommandDump</t>
  </si>
  <si>
    <t>testShellCommandHelp</t>
  </si>
  <si>
    <t>testPerformance</t>
  </si>
  <si>
    <t>testUpdateDownload</t>
  </si>
  <si>
    <t>setCookieOnUiThread</t>
  </si>
  <si>
    <t>runTestOnUiThreadAndCatch</t>
  </si>
  <si>
    <t>testManuallyManageChildlessSiblingSessions</t>
  </si>
  <si>
    <t>testFitSystemWindows</t>
  </si>
  <si>
    <t>fitSystemWindows</t>
  </si>
  <si>
    <t>testIsAppInForegroundNormal</t>
  </si>
  <si>
    <t>testIsAppInForegroundMalicious</t>
  </si>
  <si>
    <t>launchSettingsActivity</t>
  </si>
  <si>
    <t>onStartCommand</t>
  </si>
  <si>
    <t>AppMonitoringService</t>
  </si>
  <si>
    <t>testSendExtraCommand</t>
  </si>
  <si>
    <t>waitForScaleChanged</t>
  </si>
  <si>
    <t>testCursorDrawable_cannotBeSetToNull</t>
  </si>
  <si>
    <t>testCursorDrawable_cannotBeSetToZeroResId</t>
  </si>
  <si>
    <t>testCursorDrawable_cannotBeSetToNegativeResId</t>
  </si>
  <si>
    <t>testSelectHandleDrawable_cannotBeSetToNegativeResId</t>
  </si>
  <si>
    <t>testSelectHandleDrawableLeft_cannotBeSetToNegativeResId</t>
  </si>
  <si>
    <t>testSelectHandleDrawableRight_cannotBeSetToNegativeResId</t>
  </si>
  <si>
    <t>testNoteOpAndCheckOp</t>
  </si>
  <si>
    <t>testStartOpAndFinishOp</t>
  </si>
  <si>
    <t>testCheckPackagePassesCheck</t>
  </si>
  <si>
    <t>testCheckPackageDoesntPassCheck</t>
  </si>
  <si>
    <t>testWatchingMode</t>
  </si>
  <si>
    <t>testOpCodesUnique</t>
  </si>
  <si>
    <t>testPermissionMapping</t>
  </si>
  <si>
    <t>testCantSetModeForSelf</t>
  </si>
  <si>
    <t>testGetOpsForPackage_opsAreLogged</t>
  </si>
  <si>
    <t>testGetHistoricalPackageOps</t>
  </si>
  <si>
    <t>testGetAllHistoricPackageOps</t>
  </si>
  <si>
    <t>findHistoricalPackageOps</t>
  </si>
  <si>
    <t>assertHistoricEntriesEqual</t>
  </si>
  <si>
    <t>assertHistoricEntryEqual</t>
  </si>
  <si>
    <t>ReferenceImagesTest</t>
  </si>
  <si>
    <t>assumeCanGetFineLocation</t>
  </si>
  <si>
    <t>getContentResolver</t>
  </si>
  <si>
    <t>cleanupTestMms</t>
  </si>
  <si>
    <t>findSwitch</t>
  </si>
  <si>
    <t>saveFailureCaptures</t>
  </si>
  <si>
    <t>verifyTest</t>
  </si>
  <si>
    <t>testSimpleLifecycle_flagSecure</t>
  </si>
  <si>
    <t>testAreAppOverlaysAllowed</t>
  </si>
  <si>
    <t>testMapping</t>
  </si>
  <si>
    <t>testSystemActivitiesAllowed</t>
  </si>
  <si>
    <t>testServiceDistractionOptimized</t>
  </si>
  <si>
    <t>runVersionDeviceTests</t>
  </si>
  <si>
    <t>waitAndRemoveView</t>
  </si>
  <si>
    <t>testModeAndProviderApisConsistent</t>
  </si>
  <si>
    <t>checkKeyguardPrecondition</t>
  </si>
  <si>
    <t>containsId</t>
  </si>
  <si>
    <t>testStoreAudioAlbumsInternal</t>
  </si>
  <si>
    <t>testStoreAudioAlbumsExternal</t>
  </si>
  <si>
    <t>doStoreAudioAlbums</t>
  </si>
  <si>
    <t>testStoreAudioArtistsInternal</t>
  </si>
  <si>
    <t>testStoreAudioArtistsExternal</t>
  </si>
  <si>
    <t>doStoreAudioArtists</t>
  </si>
  <si>
    <t>testStoreAudioArtistsAlbumsInternal</t>
  </si>
  <si>
    <t>testStoreAudioArtistsAlbumsExternal</t>
  </si>
  <si>
    <t>doStoreAudioArtistsAlbums</t>
  </si>
  <si>
    <t>testStoreAudioMediaInternal</t>
  </si>
  <si>
    <t>testStoreAudioMediaExternal</t>
  </si>
  <si>
    <t>doStoreAudioMedia</t>
  </si>
  <si>
    <t>cleanup</t>
  </si>
  <si>
    <t>deleteAll</t>
  </si>
  <si>
    <t>realPathFor</t>
  </si>
  <si>
    <t>getSecondaryPackageSpecificPaths</t>
  </si>
  <si>
    <t>dropFirst</t>
  </si>
  <si>
    <t>getFileCount</t>
  </si>
  <si>
    <t>test_bothFeaturesDeclared</t>
  </si>
  <si>
    <t>testStoreAudioPlaylistsInternal</t>
  </si>
  <si>
    <t>testStoreAudioPlaylistsMembersInternal</t>
  </si>
  <si>
    <t>testObserveUsagePermission</t>
  </si>
  <si>
    <t>testIsHorizontallyScrollingDefaultIsFalse</t>
  </si>
  <si>
    <t>testIsHorizontallyScrollingSameAsGiven</t>
  </si>
  <si>
    <t>testIsHorizontallyScrollingTrueToFalse</t>
  </si>
  <si>
    <t>testIsHorizontallyScrollingSetInXML</t>
  </si>
  <si>
    <t>testIsHorizontallyScrollingSetInXML_returnTrueWhenSingleLineIsTrue</t>
  </si>
  <si>
    <t>testIsHorizontallyScrollingSetInXML_returnGivenValueWhenSingleLineIsFalse</t>
  </si>
  <si>
    <t>testRemoveManagedProfilePackageFromWhitelist</t>
  </si>
  <si>
    <t>testBackupServiceEnabling</t>
  </si>
  <si>
    <t>getThumbnailCount</t>
  </si>
  <si>
    <t>testMmsInsert_cannotInsertPartWithDataColumn</t>
  </si>
  <si>
    <t>createManagedProfileUser</t>
  </si>
  <si>
    <t>testCovariantReturnTypeMethods</t>
  </si>
  <si>
    <t>testCovariantReturnTypeMethods_javaNioBuffer</t>
  </si>
  <si>
    <t>testSinglePointAdaptation</t>
  </si>
  <si>
    <t>testCctToIlluminantdXyz</t>
  </si>
  <si>
    <t>testCctToIlluminantdXyzErrors</t>
  </si>
  <si>
    <t>xyYToXyz</t>
  </si>
  <si>
    <t>hash</t>
  </si>
  <si>
    <t>testContentDirectoryUri</t>
  </si>
  <si>
    <t>testContentPhotoUri</t>
  </si>
  <si>
    <t>insertRawContact</t>
  </si>
  <si>
    <t>insertViaContentDirectoryUri</t>
  </si>
  <si>
    <t>assertInsertedItem</t>
  </si>
  <si>
    <t>assertUpdatedItem</t>
  </si>
  <si>
    <t>assertStreamItem</t>
  </si>
  <si>
    <t>hadCalledOnChange</t>
  </si>
  <si>
    <t>getAppOp</t>
  </si>
  <si>
    <t>setAppOp</t>
  </si>
  <si>
    <t>isGranted</t>
  </si>
  <si>
    <t>IntPropertyInspectable</t>
  </si>
  <si>
    <t>NamedPropertyInspectable</t>
  </si>
  <si>
    <t>InferredPropertyNameInspectable</t>
  </si>
  <si>
    <t>getValueA</t>
  </si>
  <si>
    <t>isValueB</t>
  </si>
  <si>
    <t>obtainValueC</t>
  </si>
  <si>
    <t>InferredBooleanNameInspectable</t>
  </si>
  <si>
    <t>ColorInspectable</t>
  </si>
  <si>
    <t>getColorInt</t>
  </si>
  <si>
    <t>getColorLong</t>
  </si>
  <si>
    <t>getColorObject</t>
  </si>
  <si>
    <t>ValueTypeInspectable</t>
  </si>
  <si>
    <t>getGravity</t>
  </si>
  <si>
    <t>PrimitivePropertiesInspectable</t>
  </si>
  <si>
    <t>getBoolean</t>
  </si>
  <si>
    <t>getByte</t>
  </si>
  <si>
    <t>getChar</t>
  </si>
  <si>
    <t>getDouble</t>
  </si>
  <si>
    <t>getFloat</t>
  </si>
  <si>
    <t>getInt</t>
  </si>
  <si>
    <t>getLong</t>
  </si>
  <si>
    <t>getShort</t>
  </si>
  <si>
    <t>ObjectPropertiesInspectable</t>
  </si>
  <si>
    <t>getNull</t>
  </si>
  <si>
    <t>setFeatureEnabled</t>
  </si>
  <si>
    <t>Session2Callback</t>
  </si>
  <si>
    <t>initializeFromArgs</t>
  </si>
  <si>
    <t>checkIfSplitSystemUser</t>
  </si>
  <si>
    <t>testSourcePosition_respectsMaxInViewBounds</t>
  </si>
  <si>
    <t>testProfileWifiCleanup</t>
  </si>
  <si>
    <t>newImportantChild</t>
  </si>
  <si>
    <t>onSessionEvent</t>
  </si>
  <si>
    <t>testSessionEventEcho</t>
  </si>
  <si>
    <t>setCheckLibraryNames</t>
  </si>
  <si>
    <t>checkLibrary</t>
  </si>
  <si>
    <t>testNotifySession2Created_withDestroyedToken_shouldThrowIAE</t>
  </si>
  <si>
    <t>testNotifySession2Destroyed_withLiveToken_shouldThrowIAE</t>
  </si>
  <si>
    <t>testLaunchAnotherActivity_serviceDisabledActivity</t>
  </si>
  <si>
    <t>testSimpleLifecycle_serviceDisabledActivity</t>
  </si>
  <si>
    <t>testDisabledByFlagSecureAndService</t>
  </si>
  <si>
    <t>testDisabledByAppAndAndService</t>
  </si>
  <si>
    <t>testSourceStyleResourceId</t>
  </si>
  <si>
    <t>testGetAllCrashes</t>
  </si>
  <si>
    <t>testValidCrash</t>
  </si>
  <si>
    <t>testMissingName</t>
  </si>
  <si>
    <t>testSIGABRT</t>
  </si>
  <si>
    <t>testFaultAddressBelowMin</t>
  </si>
  <si>
    <t>testIgnoreMinAddressCheck</t>
  </si>
  <si>
    <t>testBadAbortMessage</t>
  </si>
  <si>
    <t>testGoodAndBadCrashes</t>
  </si>
  <si>
    <t>getCrashReport</t>
  </si>
  <si>
    <t>testShowUpdateWhenUserChangedOptionalValueFromDatasetAndRequiredNotFromDataset</t>
  </si>
  <si>
    <t>getCurrentTestName</t>
  </si>
  <si>
    <t>setCurrentTestName</t>
  </si>
  <si>
    <t>setCurrentTestClass</t>
  </si>
  <si>
    <t>isRunningTest</t>
  </si>
  <si>
    <t>JUnitHelper</t>
  </si>
  <si>
    <t>addChildrenTest</t>
  </si>
  <si>
    <t>WebView_WebViewTransportTest</t>
  </si>
  <si>
    <t>testAccessWebView</t>
  </si>
  <si>
    <t>ensureRedSquareIsMoving</t>
  </si>
  <si>
    <t>restoreDefaultService</t>
  </si>
  <si>
    <t>getUsesPermissionInfo</t>
  </si>
  <si>
    <t>testRetentionWeeks</t>
  </si>
  <si>
    <t>testUserTriggered</t>
  </si>
  <si>
    <t>testUndefined</t>
  </si>
  <si>
    <t>testUsageInfoRequired</t>
  </si>
  <si>
    <t>jpegExifTestByCamera</t>
  </si>
  <si>
    <t>enableSelf</t>
  </si>
  <si>
    <t>onGesture</t>
  </si>
  <si>
    <t>clearGestures</t>
  </si>
  <si>
    <t>getGesturesSize</t>
  </si>
  <si>
    <t>getGesture</t>
  </si>
  <si>
    <t>waitUntilGesture</t>
  </si>
  <si>
    <t>getEventsSize</t>
  </si>
  <si>
    <t>getEvent</t>
  </si>
  <si>
    <t>waitUntilEvent</t>
  </si>
  <si>
    <t>testQuietMode</t>
  </si>
  <si>
    <t>testHash</t>
  </si>
  <si>
    <t>testTrashUntrash</t>
  </si>
  <si>
    <t>testTrashExecutes</t>
  </si>
  <si>
    <t>assertMostlyEquals</t>
  </si>
  <si>
    <t>testAddRemoveAnimationListener</t>
  </si>
  <si>
    <t>verifyListeners</t>
  </si>
  <si>
    <t>testAccessCacheMode</t>
  </si>
  <si>
    <t>testLoadsImagesAutomatically</t>
  </si>
  <si>
    <t>testGetExplicitStyle</t>
  </si>
  <si>
    <t>testGetAttributeResolutionStack</t>
  </si>
  <si>
    <t>testGetAttributeSourceResourceMap</t>
  </si>
  <si>
    <t>testGetZoomControls</t>
  </si>
  <si>
    <t>testInvokeZoomPicker</t>
  </si>
  <si>
    <t>assertNoScaleChange</t>
  </si>
  <si>
    <t>testSetWebViewClient</t>
  </si>
  <si>
    <t>testScaleChangeCallbackMatchesGetScale</t>
  </si>
  <si>
    <t>pollingCheckForCanZoomIn</t>
  </si>
  <si>
    <t>ScaleChangedState</t>
  </si>
  <si>
    <t>ScaleChangedWebViewClient</t>
  </si>
  <si>
    <t>expectZoomBy</t>
  </si>
  <si>
    <t>expectZoomOut</t>
  </si>
  <si>
    <t>expectZoomIn</t>
  </si>
  <si>
    <t>waitForNextScaleChange</t>
  </si>
  <si>
    <t>testLoadDataWithBaseUrl</t>
  </si>
  <si>
    <t>waitForAvailable</t>
  </si>
  <si>
    <t>onAvailable</t>
  </si>
  <si>
    <t>parseApiFilesAsStream</t>
  </si>
  <si>
    <t>isAccessibleClass</t>
  </si>
  <si>
    <t>getRawFile</t>
  </si>
  <si>
    <t>getRawFileHash</t>
  </si>
  <si>
    <t>saveDeviceConfig</t>
  </si>
  <si>
    <t>restoreDeviceConfig</t>
  </si>
  <si>
    <t>LogcatInspector</t>
  </si>
  <si>
    <t>inColorSpaceRGBA16F</t>
  </si>
  <si>
    <t>testTargetColorSpaceNonRGB</t>
  </si>
  <si>
    <t>checkNotBound</t>
  </si>
  <si>
    <t>onGroupCallStateChanged</t>
  </si>
  <si>
    <t>onBroadcastSignalStrengthUpdated</t>
  </si>
  <si>
    <t>waitForAdapterOn</t>
  </si>
  <si>
    <t>waitForAdapterOff</t>
  </si>
  <si>
    <t>waitForAdapterState</t>
  </si>
  <si>
    <t>ProfileInfo</t>
  </si>
  <si>
    <t>waitForProfileConnections</t>
  </si>
  <si>
    <t>checkProfileConnections</t>
  </si>
  <si>
    <t>clearProfileStatuses</t>
  </si>
  <si>
    <t>testRequiredBluetoothProfilesExist</t>
  </si>
  <si>
    <t>testGrantRuntimePermission</t>
  </si>
  <si>
    <t>revokeRuntimePermission</t>
  </si>
  <si>
    <t>updatePermission</t>
  </si>
  <si>
    <t>testBuilder_invalidUri</t>
  </si>
  <si>
    <t>testBuilder_invalidAction</t>
  </si>
  <si>
    <t>testAfterBuild_setAction</t>
  </si>
  <si>
    <t>testAfterBuild_setUri</t>
  </si>
  <si>
    <t>testSetGetUri</t>
  </si>
  <si>
    <t>testSetGetAction</t>
  </si>
  <si>
    <t>testGetSetBundle</t>
  </si>
  <si>
    <t>testBuilder_addUri_invalid</t>
  </si>
  <si>
    <t>testBuilder_addUri_valid</t>
  </si>
  <si>
    <t>testSetContentCaptureFeatureEnabled_onUiThread</t>
  </si>
  <si>
    <t>testSetContentCaptureFeatureEnabled_notService</t>
  </si>
  <si>
    <t>assertSetPermissionGrantStatePreMApp</t>
  </si>
  <si>
    <t>testCompatibilityWALIsDefaultWhenSupported</t>
  </si>
  <si>
    <t>testGetCurrentEmergencyNumberList</t>
  </si>
  <si>
    <t>testIsCurrentEmergencyNumber</t>
  </si>
  <si>
    <t>testIsCurrentPotentialEmergencyNumber</t>
  </si>
  <si>
    <t>testKillswitchMechanism</t>
  </si>
  <si>
    <t>testGetServiceState</t>
  </si>
  <si>
    <t>waitForFuture</t>
  </si>
  <si>
    <t>testMmsInsert_insertFailsWhenNotDefault</t>
  </si>
  <si>
    <t>testMmsInsert_insertSendReqSucceedsWhenDefault</t>
  </si>
  <si>
    <t>testMmsQuery_canViewSendReqMessageIfNotDefault</t>
  </si>
  <si>
    <t>testMmsQuery_cannotViewNotificationIndMessagesIfNotDefault</t>
  </si>
  <si>
    <t>testMmsQuery_canViewNotificationIndMessagesIfDefault</t>
  </si>
  <si>
    <t>DismissAlarmTest</t>
  </si>
  <si>
    <t>SetAlarmTest</t>
  </si>
  <si>
    <t>SnoozeAlarmTest</t>
  </si>
  <si>
    <t>onRestart</t>
  </si>
  <si>
    <t>revokeSingleRoleThenEnsureOtherRolesAppopsIntact</t>
  </si>
  <si>
    <t>migratedRoleHoldersNotEmpty</t>
  </si>
  <si>
    <t>backgroundLocationDoesNotInheritGrantedPermissionState</t>
  </si>
  <si>
    <t>testGetAzimuth</t>
  </si>
  <si>
    <t>testGetElevation</t>
  </si>
  <si>
    <t>testGetPrn</t>
  </si>
  <si>
    <t>testGetSnr</t>
  </si>
  <si>
    <t>testHasAlmanac</t>
  </si>
  <si>
    <t>testHasEphemeris</t>
  </si>
  <si>
    <t>testUsedInFix</t>
  </si>
  <si>
    <t>testGetSatellites</t>
  </si>
  <si>
    <t>testGetTimeToFirstFix</t>
  </si>
  <si>
    <t>testGpsStatusListener</t>
  </si>
  <si>
    <t>testGetGpsStatus</t>
  </si>
  <si>
    <t>isNmeaRecevied</t>
  </si>
  <si>
    <t>hasCallOnGpsStatusChanged</t>
  </si>
  <si>
    <t>onGpsStatusChanged</t>
  </si>
  <si>
    <t>TestGpsStatusListener</t>
  </si>
  <si>
    <t>getGpsStatus</t>
  </si>
  <si>
    <t>addGpsStatusListener</t>
  </si>
  <si>
    <t>removeGpsStatusListener</t>
  </si>
  <si>
    <t>testGpsStatusNmeaListener</t>
  </si>
  <si>
    <t>hasCallOnNmeaReceived</t>
  </si>
  <si>
    <t>testGetContent</t>
  </si>
  <si>
    <t>testGetContentWithQueryContent</t>
  </si>
  <si>
    <t>testGetRandomizedMacAddress</t>
  </si>
  <si>
    <t>testBubbleMetadataBuilder_throwForNoTitle</t>
  </si>
  <si>
    <t>testUserDataRemovalRequest_oneUri</t>
  </si>
  <si>
    <t>testUserDataRemovalRequest_manyUris</t>
  </si>
  <si>
    <t>testBuilder_addUriAfterForEverything</t>
  </si>
  <si>
    <t>testBuilder_forEverythingAfterAddingUri</t>
  </si>
  <si>
    <t>testBuild_valid</t>
  </si>
  <si>
    <t>testAccessElapsedRealtimeUncertaintyNanos</t>
  </si>
  <si>
    <t>testGetPackage</t>
  </si>
  <si>
    <t>testGetKey</t>
  </si>
  <si>
    <t>testGetExplanation</t>
  </si>
  <si>
    <t>testGetUser</t>
  </si>
  <si>
    <t>testGetSignals</t>
  </si>
  <si>
    <t>testParcelling</t>
  </si>
  <si>
    <t>testOnNotificationEnqueued</t>
  </si>
  <si>
    <t>testAdjustNotification_userSentimentKey</t>
  </si>
  <si>
    <t>testAdjustNotification_importanceKey</t>
  </si>
  <si>
    <t>testAdjustNotification_smartActionKey</t>
  </si>
  <si>
    <t>testAdjustNotification_smartReplyKey</t>
  </si>
  <si>
    <t>testOnActionInvoked_methodExists</t>
  </si>
  <si>
    <t>testOnNotificationDirectReplied_methodExists</t>
  </si>
  <si>
    <t>testOnNotificationExpansionChanged_methodExists</t>
  </si>
  <si>
    <t>testOnNotificationsSeen_methodExists</t>
  </si>
  <si>
    <t>testOnSuggestedReplySent_methodExists</t>
  </si>
  <si>
    <t>getFirstNotificationFromPackage</t>
  </si>
  <si>
    <t>setUpListeners</t>
  </si>
  <si>
    <t>sendNotification</t>
  </si>
  <si>
    <t>toggleListenerAccess</t>
  </si>
  <si>
    <t>toggleAssistantAccess</t>
  </si>
  <si>
    <t>runCommand</t>
  </si>
  <si>
    <t>onNotificationSnoozedUntilContext</t>
  </si>
  <si>
    <t>onNotificationEnqueued</t>
  </si>
  <si>
    <t>waitForUserState</t>
  </si>
  <si>
    <t>startUserAndWait</t>
  </si>
  <si>
    <t>onCameraAvailable</t>
  </si>
  <si>
    <t>onCameraUnavailable</t>
  </si>
  <si>
    <t>onCameraAccessPrioritiesChanged</t>
  </si>
  <si>
    <t>bytesArrayToHexString</t>
  </si>
  <si>
    <t>callSetGlobalPrivateDnsExpectingResult</t>
  </si>
  <si>
    <t>testCannotSetOffMode</t>
  </si>
  <si>
    <t>adoptShellPermissions</t>
  </si>
  <si>
    <t>testExternalStorageRename</t>
  </si>
  <si>
    <t>onSuccess</t>
  </si>
  <si>
    <t>onFailure</t>
  </si>
  <si>
    <t>WebViewRendererClientTest</t>
  </si>
  <si>
    <t>JSBlocker</t>
  </si>
  <si>
    <t>releaseBlock</t>
  </si>
  <si>
    <t>block</t>
  </si>
  <si>
    <t>waitForBlocked</t>
  </si>
  <si>
    <t>blockRenderer</t>
  </si>
  <si>
    <t>addJsBlockerInterface</t>
  </si>
  <si>
    <t>testWebViewRendererClientOnExecutor</t>
  </si>
  <si>
    <t>testWebViewRendererClientWithoutExecutor</t>
  </si>
  <si>
    <t>testWebViewRendererClientWithExecutor</t>
  </si>
  <si>
    <t>testSetWebViewRendererClient</t>
  </si>
  <si>
    <t>WebViewRendererTest</t>
  </si>
  <si>
    <t>terminateRendererOnUiThread</t>
  </si>
  <si>
    <t>getRendererOnUiThread</t>
  </si>
  <si>
    <t>startAndGetRenderer</t>
  </si>
  <si>
    <t>catchRendererTermination</t>
  </si>
  <si>
    <t>testGetWebViewRenderer</t>
  </si>
  <si>
    <t>testViewWorks</t>
  </si>
  <si>
    <t>testAccessClippingToScreenEnabled</t>
  </si>
  <si>
    <t>testAccessLayoutInScreenEnabled</t>
  </si>
  <si>
    <t>testAddPasspointConfigWithUserCredential</t>
  </si>
  <si>
    <t>testAddPasspointConfigWithCertCredential</t>
  </si>
  <si>
    <t>testAddPasspointConfigWithSimCredential</t>
  </si>
  <si>
    <t>generatePasspointConfig</t>
  </si>
  <si>
    <t>generateUserCredential</t>
  </si>
  <si>
    <t>generateCertCredential</t>
  </si>
  <si>
    <t>generateSimCredential</t>
  </si>
  <si>
    <t>testAddPasspointConfig</t>
  </si>
  <si>
    <t>ensureRestrictBackgroundPolicyOff</t>
  </si>
  <si>
    <t>testSimpleValue</t>
  </si>
  <si>
    <t>testMissingValue</t>
  </si>
  <si>
    <t>testBuilderReuse</t>
  </si>
  <si>
    <t>testNullName</t>
  </si>
  <si>
    <t>getUserId</t>
  </si>
  <si>
    <t>getUserIcon</t>
  </si>
  <si>
    <t>testDisallowSetUserIcon_allowed</t>
  </si>
  <si>
    <t>getDelegationTests</t>
  </si>
  <si>
    <t>getDelegationScopes</t>
  </si>
  <si>
    <t>autofillAfterServiceReturnedNoDatasets</t>
  </si>
  <si>
    <t>autofillAndSaveAfterServiceReturnedNoDatasets</t>
  </si>
  <si>
    <t>testHiPerfWifiLock</t>
  </si>
  <si>
    <t>testLowLatencyWifiLock</t>
  </si>
  <si>
    <t>testWifiLock</t>
  </si>
  <si>
    <t>testIsFilterBitmap</t>
  </si>
  <si>
    <t>unregisterBroacastReceiver</t>
  </si>
  <si>
    <t>testGetSetAppDetailsActivityEnabled</t>
  </si>
  <si>
    <t>cleanUpStagedSessions</t>
  </si>
  <si>
    <t>testGetSetSyntheticAppDetailsActivityEnabled</t>
  </si>
  <si>
    <t>hasCellular</t>
  </si>
  <si>
    <t>isSimCardPresent</t>
  </si>
  <si>
    <t>getCertHash</t>
  </si>
  <si>
    <t>failMessage</t>
  </si>
  <si>
    <t>testSimCardPresent</t>
  </si>
  <si>
    <t>testTelephonyApisAreAccessible</t>
  </si>
  <si>
    <t>bytesToHexString</t>
  </si>
  <si>
    <t>acceptSameStyleFontInFamilyTest</t>
  </si>
  <si>
    <t>testSameStyleFamilyExceptionIgnoringTest</t>
  </si>
  <si>
    <t>isWatchDevice</t>
  </si>
  <si>
    <t>playbackPreCheck</t>
  </si>
  <si>
    <t>testNetworkRegistrationStateIsRoaming</t>
  </si>
  <si>
    <t>testNetworkRegistrationStateGetRoamingType</t>
  </si>
  <si>
    <t>testInetAddressQuery</t>
  </si>
  <si>
    <t>testRawQuery</t>
  </si>
  <si>
    <t>testRawQueryWithBlob</t>
  </si>
  <si>
    <t>testEmptyQuery</t>
  </si>
  <si>
    <t>testNXQuery</t>
  </si>
  <si>
    <t>isLeanback</t>
  </si>
  <si>
    <t>getPermissions</t>
  </si>
  <si>
    <t>testSettingSubscriptionMeteredNess</t>
  </si>
  <si>
    <t>copyFrom</t>
  </si>
  <si>
    <t>waitForMicMuteChanged</t>
  </si>
  <si>
    <t>startSimpleSaveActivity</t>
  </si>
  <si>
    <t>startPreSimpleSaveActivity</t>
  </si>
  <si>
    <t>testServiceState</t>
  </si>
  <si>
    <t>testMediaTimestampCopyCtor</t>
  </si>
  <si>
    <t>testSubtitleDataCopyCtor</t>
  </si>
  <si>
    <t>testTimedMetaDataCopyCtor</t>
  </si>
  <si>
    <t>testNodeName</t>
  </si>
  <si>
    <t>testPrivappPermissionsEnforcement</t>
  </si>
  <si>
    <t>testPlaybackFromADataSourceCallback</t>
  </si>
  <si>
    <t>testNullDataSourceCallbackIsRejected</t>
  </si>
  <si>
    <t>testDataSourceCallbackIsClosedOnReset</t>
  </si>
  <si>
    <t>testPlaybackFailsIfDataSourceCallbackThrows</t>
  </si>
  <si>
    <t>testPlaybackFailsIfDataSourceCallbackReturnsAnError</t>
  </si>
  <si>
    <t>testCallbackDataSourceDesc</t>
  </si>
  <si>
    <t>TestDataSourceCallback</t>
  </si>
  <si>
    <t>isDataSaverSupported</t>
  </si>
  <si>
    <t>testDirectories_Secondary</t>
  </si>
  <si>
    <t>testGetAppUsageLimit_allowsZeroLimit</t>
  </si>
  <si>
    <t>getMainTestRule</t>
  </si>
  <si>
    <t>startWebServer</t>
  </si>
  <si>
    <t>testSmsUsageMonitor</t>
  </si>
  <si>
    <t>testGetDefault</t>
  </si>
  <si>
    <t>divideMessage</t>
  </si>
  <si>
    <t>getSmsManager</t>
  </si>
  <si>
    <t>sendMultiPartTextMessage</t>
  </si>
  <si>
    <t>sendDataMessage</t>
  </si>
  <si>
    <t>sendTextMessage</t>
  </si>
  <si>
    <t>test_bug118835133</t>
  </si>
  <si>
    <t>prepareBroadcastReceiver</t>
  </si>
  <si>
    <t>unregisterBroadcastReceiver</t>
  </si>
  <si>
    <t>getPID</t>
  </si>
  <si>
    <t>test_Y_U_NO_PASS_QUESTION_MARK</t>
  </si>
  <si>
    <t>getDevOption</t>
  </si>
  <si>
    <t>testProvideCallIdentificationForIncoming</t>
  </si>
  <si>
    <t>testProvideCallIdentificationForOutgoing</t>
  </si>
  <si>
    <t>testReportNuisanceInvalid</t>
  </si>
  <si>
    <t>testReportNuisanceIncoming</t>
  </si>
  <si>
    <t>assertCallIdentification</t>
  </si>
  <si>
    <t>testMediaStackPermissions</t>
  </si>
  <si>
    <t>createPackageInstallerSession</t>
  </si>
  <si>
    <t>SessionWithId</t>
  </si>
  <si>
    <t>assertHasFlags</t>
  </si>
  <si>
    <t>assertHasNotFlags</t>
  </si>
  <si>
    <t>assertLegacyStoragePermissionModel</t>
  </si>
  <si>
    <t>assertModernStoragePermissionModel</t>
  </si>
  <si>
    <t>assertGrandfatheredStoragePermissionModel</t>
  </si>
  <si>
    <t>installGrandfatheredApp</t>
  </si>
  <si>
    <t>uninstallTestApp</t>
  </si>
  <si>
    <t>lNoUpdate</t>
  </si>
  <si>
    <t>pNoUpdate</t>
  </si>
  <si>
    <t>qNoUpdate</t>
  </si>
  <si>
    <t>lToPUpdate</t>
  </si>
  <si>
    <t>lToQUpdate</t>
  </si>
  <si>
    <t>pToPUpdate</t>
  </si>
  <si>
    <t>pToQUpdate</t>
  </si>
  <si>
    <t>qToPUpdate</t>
  </si>
  <si>
    <t>pToPUpdateGranted</t>
  </si>
  <si>
    <t>pToQUpdateGranted</t>
  </si>
  <si>
    <t>qToPUpdateGranted</t>
  </si>
  <si>
    <t>preserveUserSetDuringPToQUpdate</t>
  </si>
  <si>
    <t>preserveUserSetDuringQToPUpdate</t>
  </si>
  <si>
    <t>dontCreateSystemFixedGrantedDuringPToQUpdate</t>
  </si>
  <si>
    <t>grandfatheredLNoUpdate</t>
  </si>
  <si>
    <t>grandfatheredPNoUpdate</t>
  </si>
  <si>
    <t>grandfatheredQNoUpdate</t>
  </si>
  <si>
    <t>grandfatheredLToPUpdate</t>
  </si>
  <si>
    <t>grandfatheredLToQUpdate</t>
  </si>
  <si>
    <t>grandfatheredPToQUpdate</t>
  </si>
  <si>
    <t>grandfatheredQToPUpdate</t>
  </si>
  <si>
    <t>requestRoleAndRejectThenIsNotRoleHolder</t>
  </si>
  <si>
    <t>requestRoleAndApproveThenIsRoleHolder</t>
  </si>
  <si>
    <t>testOffHostCardEmulationFeatures</t>
  </si>
  <si>
    <t>testMandatoryLogicalOutputCombinations</t>
  </si>
  <si>
    <t>testMultiCameraOutputCombination</t>
  </si>
  <si>
    <t>testInstallingOverlayHasNoEffect</t>
  </si>
  <si>
    <t>testCallWithoutThirdPartyApp</t>
  </si>
  <si>
    <t>testCallWithCompanionApps</t>
  </si>
  <si>
    <t>testCallWithThirdPartyCarModeApp</t>
  </si>
  <si>
    <t>testGameRotationVectorFifoLength</t>
  </si>
  <si>
    <t>testDelegationPackageInstallation</t>
  </si>
  <si>
    <t>testRead</t>
  </si>
  <si>
    <t>testReadCompat</t>
  </si>
  <si>
    <t>testRepeated</t>
  </si>
  <si>
    <t>testRepeatedCompat</t>
  </si>
  <si>
    <t>testPacked</t>
  </si>
  <si>
    <t>testPackedCompat</t>
  </si>
  <si>
    <t>testBadReadType</t>
  </si>
  <si>
    <t>testBadWireType</t>
  </si>
  <si>
    <t>parseProto</t>
  </si>
  <si>
    <t>testObjectOneChar</t>
  </si>
  <si>
    <t>testObjectOneLargeChar</t>
  </si>
  <si>
    <t>testObjectAndTwoChars</t>
  </si>
  <si>
    <t>testComplexObject</t>
  </si>
  <si>
    <t>testDeepObjects</t>
  </si>
  <si>
    <t>testImageCapture</t>
  </si>
  <si>
    <t>testImageCaptureWithoutLocationAccess</t>
  </si>
  <si>
    <t>testImageCaptureWithOrWithoutLocationAccess</t>
  </si>
  <si>
    <t>testVideoCapture</t>
  </si>
  <si>
    <t>testVideoCaptureWithoutLocationAccess</t>
  </si>
  <si>
    <t>testVideoCaptureWithOrWithoutLocationAccess</t>
  </si>
  <si>
    <t>updateRole</t>
  </si>
  <si>
    <t>notificationIsShownAgainAfterUninstallAndReinstall</t>
  </si>
  <si>
    <t>getSmsAccessRestrictionEnabled</t>
  </si>
  <si>
    <t>setSmsAccessRestrictionEnabled</t>
  </si>
  <si>
    <t>testNullables</t>
  </si>
  <si>
    <t>testQueryWithInetAddressCallback</t>
  </si>
  <si>
    <t>assertValidAnswer</t>
  </si>
  <si>
    <t>assertValidEmptyAnswer</t>
  </si>
  <si>
    <t>RawAnswerCallbackImpl</t>
  </si>
  <si>
    <t>waitForAnswer</t>
  </si>
  <si>
    <t>onAnswer</t>
  </si>
  <si>
    <t>onParseException</t>
  </si>
  <si>
    <t>onQueryException</t>
  </si>
  <si>
    <t>testQueryWithRawAnswerCallback</t>
  </si>
  <si>
    <t>testQueryBlobWithRawAnswerCallback</t>
  </si>
  <si>
    <t>testQueryRoot</t>
  </si>
  <si>
    <t>testQueryNXDomain</t>
  </si>
  <si>
    <t>testQueryCancel</t>
  </si>
  <si>
    <t>testQueryBlobCancel</t>
  </si>
  <si>
    <t>testRequestBugreportLogged</t>
  </si>
  <si>
    <t>testGetAllVolumeNames</t>
  </si>
  <si>
    <t>testStoreAudioGenresInternal</t>
  </si>
  <si>
    <t>testStoreAudioGenresMembersInternal</t>
  </si>
  <si>
    <t>testStoreImagesMediaInternal</t>
  </si>
  <si>
    <t>testStoreVideoMediaInternal</t>
  </si>
  <si>
    <t>onCapabilitiesChanged</t>
  </si>
  <si>
    <t>CarrierServiceTest</t>
  </si>
  <si>
    <t>testConstructor_noCallbackVersion</t>
  </si>
  <si>
    <t>testOnGetPrimarySession</t>
  </si>
  <si>
    <t>testOnGetPrimarySession_multipleSessions</t>
  </si>
  <si>
    <t>testAllControllersDisconnected_multipleSession</t>
  </si>
  <si>
    <t>callDataChanged</t>
  </si>
  <si>
    <t>testUriDataSourceDesc</t>
  </si>
  <si>
    <t>testUriDataSourceDescWithNullArguments</t>
  </si>
  <si>
    <t>getUriFromFile</t>
  </si>
  <si>
    <t>getDownloadedPath</t>
  </si>
  <si>
    <t>getDownloadedFolder</t>
  </si>
  <si>
    <t>Resolution</t>
  </si>
  <si>
    <t>testCAR_CLEARKEY_AUDIO_DOWNLOADED_V0_SYNC</t>
  </si>
  <si>
    <t>testCAR_CLEARKEY_AUDIO_DOWNLOADED_V1_ASYNC</t>
  </si>
  <si>
    <t>testCAR_CLEARKEY_AUDIO_DOWNLOADED_V2_SYNC_CONFIG</t>
  </si>
  <si>
    <t>testCAR_CLEARKEY_AUDIO_DOWNLOADED_V3_ASYNC_DRMPREPARED</t>
  </si>
  <si>
    <t>testCAR_CLEARKEY_AUDIO_DOWNLOADED_V4_OFFLINE_KEY</t>
  </si>
  <si>
    <t>testCAR_CLEARKEY_AUDIO_DOWNLOADED_V5_ASYNC_CALLBACKS</t>
  </si>
  <si>
    <t>testCAR_CLEARKEY_AUDIO_DOWNLOADED_V6_ASYNC_KEYREQUEST_ERR_TEST</t>
  </si>
  <si>
    <t>stream</t>
  </si>
  <si>
    <t>download</t>
  </si>
  <si>
    <t>testVorbisCrash</t>
  </si>
  <si>
    <t>testPlayNullSourcePath</t>
  </si>
  <si>
    <t>testPlayAudioFromDataURI</t>
  </si>
  <si>
    <t>testPlayAudio</t>
  </si>
  <si>
    <t>testConcurentPlayAudio</t>
  </si>
  <si>
    <t>testPlayAudioLooping</t>
  </si>
  <si>
    <t>testPlayMidi</t>
  </si>
  <si>
    <t>OutputListener</t>
  </si>
  <si>
    <t>heardSound</t>
  </si>
  <si>
    <t>release</t>
  </si>
  <si>
    <t>testPlayAudioTwice</t>
  </si>
  <si>
    <t>testPlayVideoWithCookies</t>
  </si>
  <si>
    <t>testVideoSurfaceResetting</t>
  </si>
  <si>
    <t>testRecordedVideoPlayback0</t>
  </si>
  <si>
    <t>testRecordedVideoPlayback90</t>
  </si>
  <si>
    <t>testRecordedVideoPlayback180</t>
  </si>
  <si>
    <t>testRecordedVideoPlayback270</t>
  </si>
  <si>
    <t>hasCamera</t>
  </si>
  <si>
    <t>testRecordedVideoPlaybackWithAngle</t>
  </si>
  <si>
    <t>checkOrientation</t>
  </si>
  <si>
    <t>recordVideo</t>
  </si>
  <si>
    <t>checkDisplayedVideoSize</t>
  </si>
  <si>
    <t>checkVideoRotationAngle</t>
  </si>
  <si>
    <t>testPlaylist</t>
  </si>
  <si>
    <t>testClearNextDataSources</t>
  </si>
  <si>
    <t>testSetPlaybackParamsSpeeds</t>
  </si>
  <si>
    <t>testPlaybackRate</t>
  </si>
  <si>
    <t>testSeekModes</t>
  </si>
  <si>
    <t>runSeekMode</t>
  </si>
  <si>
    <t>testGetTimestamp</t>
  </si>
  <si>
    <t>testLocalVideo_MKV_H265_1280x720_500kbps_25fps_AAC_Stereo_128kbps_44100Hz</t>
  </si>
  <si>
    <t>testLocalVideo_MP4_H264_480x360_500kbps_25fps_AAC_Stereo_128kbps_44110Hz</t>
  </si>
  <si>
    <t>testLocalVideo_MP4_H264_480x360_500kbps_30fps_AAC_Stereo_128kbps_44110Hz</t>
  </si>
  <si>
    <t>testLocalVideo_MP4_H264_480x360_1000kbps_25fps_AAC_Stereo_128kbps_44110Hz</t>
  </si>
  <si>
    <t>testLocalVideo_MP4_H264_480x360_1000kbps_30fps_AAC_Stereo_128kbps_44110Hz</t>
  </si>
  <si>
    <t>testLocalVideo_MP4_H264_480x360_1350kbps_25fps_AAC_Stereo_128kbps_44110Hz</t>
  </si>
  <si>
    <t>testLocalVideo_MP4_H264_480x360_1350kbps_30fps_AAC_Stereo_128kbps_44110Hz</t>
  </si>
  <si>
    <t>testLocalVideo_MP4_H264_480x360_1350kbps_30fps_AAC_Stereo_128kbps_44110Hz_frag</t>
  </si>
  <si>
    <t>testLocalVideo_MP4_H264_480x360_1350kbps_30fps_AAC_Stereo_192kbps_44110Hz</t>
  </si>
  <si>
    <t>testLocalVideo_3gp_H263_176x144_56kbps_12fps_AAC_Mono_24kbps_11025Hz</t>
  </si>
  <si>
    <t>testLocalVideo_3gp_H263_176x144_56kbps_12fps_AAC_Mono_24kbps_22050Hz</t>
  </si>
  <si>
    <t>testLocalVideo_3gp_H263_176x144_56kbps_12fps_AAC_Stereo_24kbps_11025Hz</t>
  </si>
  <si>
    <t>testLocalVideo_3gp_H263_176x144_56kbps_12fps_AAC_Stereo_24kbps_22050Hz</t>
  </si>
  <si>
    <t>testLocalVideo_3gp_H263_176x144_56kbps_12fps_AAC_Stereo_128kbps_11025Hz</t>
  </si>
  <si>
    <t>testLocalVideo_3gp_H263_176x144_56kbps_12fps_AAC_Stereo_128kbps_22050Hz</t>
  </si>
  <si>
    <t>testLocalVideo_3gp_H263_176x144_56kbps_25fps_AAC_Mono_24kbps_11025Hz</t>
  </si>
  <si>
    <t>testLocalVideo_3gp_H263_176x144_56kbps_25fps_AAC_Mono_24kbps_22050Hz</t>
  </si>
  <si>
    <t>testLocalVideo_3gp_H263_176x144_56kbps_25fps_AAC_Stereo_24kbps_11025Hz</t>
  </si>
  <si>
    <t>testLocalVideo_3gp_H263_176x144_56kbps_25fps_AAC_Stereo_24kbps_22050Hz</t>
  </si>
  <si>
    <t>testLocalVideo_3gp_H263_176x144_56kbps_25fps_AAC_Stereo_128kbps_11025Hz</t>
  </si>
  <si>
    <t>testLocalVideo_3gp_H263_176x144_56kbps_25fps_AAC_Stereo_128kbps_22050Hz</t>
  </si>
  <si>
    <t>testLocalVideo_3gp_H263_176x144_300kbps_12fps_AAC_Mono_24kbps_11025Hz</t>
  </si>
  <si>
    <t>testLocalVideo_3gp_H263_176x144_300kbps_12fps_AAC_Mono_24kbps_22050Hz</t>
  </si>
  <si>
    <t>testLocalVideo_3gp_H263_176x144_300kbps_12fps_AAC_Stereo_24kbps_11025Hz</t>
  </si>
  <si>
    <t>testLocalVideo_3gp_H263_176x144_300kbps_12fps_AAC_Stereo_24kbps_22050Hz</t>
  </si>
  <si>
    <t>testLocalVideo_3gp_H263_176x144_300kbps_12fps_AAC_Stereo_128kbps_11025Hz</t>
  </si>
  <si>
    <t>testLocalVideo_3gp_H263_176x144_300kbps_12fps_AAC_Stereo_128kbps_22050Hz</t>
  </si>
  <si>
    <t>testLocalVideo_3gp_H263_176x144_300kbps_25fps_AAC_Mono_24kbps_11025Hz</t>
  </si>
  <si>
    <t>testLocalVideo_3gp_H263_176x144_300kbps_25fps_AAC_Mono_24kbps_22050Hz</t>
  </si>
  <si>
    <t>testLocalVideo_3gp_H263_176x144_300kbps_25fps_AAC_Stereo_24kbps_11025Hz</t>
  </si>
  <si>
    <t>testLocalVideo_3gp_H263_176x144_300kbps_25fps_AAC_Stereo_24kbps_22050Hz</t>
  </si>
  <si>
    <t>testLocalVideo_3gp_H263_176x144_300kbps_25fps_AAC_Stereo_128kbps_11025Hz</t>
  </si>
  <si>
    <t>testLocalVideo_3gp_H263_176x144_300kbps_25fps_AAC_Stereo_128kbps_22050Hz</t>
  </si>
  <si>
    <t>readSubtitleTracks</t>
  </si>
  <si>
    <t>getSubtitleTrackInfo</t>
  </si>
  <si>
    <t>selectSubtitleTrack</t>
  </si>
  <si>
    <t>deselectSubtitleTrack</t>
  </si>
  <si>
    <t>testDeselectTrackForSubtitleTracks</t>
  </si>
  <si>
    <t>testChangeSubtitleTrack</t>
  </si>
  <si>
    <t>testGetTrackInfoForVideoWithSubtitleTracks</t>
  </si>
  <si>
    <t>testResumeAtEnd</t>
  </si>
  <si>
    <t>testPositionAtEnd</t>
  </si>
  <si>
    <t>testRecordAndPlay</t>
  </si>
  <si>
    <t>playAndStop</t>
  </si>
  <si>
    <t>recordMedia</t>
  </si>
  <si>
    <t>testPlaybackFromProxyFileDescriptorCallback</t>
  </si>
  <si>
    <t>testNullDataSourceDescIsRejected</t>
  </si>
  <si>
    <t>testProxyFileDescriptorCallbackIsClosedOnReset</t>
  </si>
  <si>
    <t>testPlaybackFailsIfProxyFileDescriptorCallbackThrows</t>
  </si>
  <si>
    <t>testClose</t>
  </si>
  <si>
    <t>testConsecutiveSeeks</t>
  </si>
  <si>
    <t>testFileDataSourceDesc</t>
  </si>
  <si>
    <t>testStartEndPositions</t>
  </si>
  <si>
    <t>testCancelPendingCommands</t>
  </si>
  <si>
    <t>testHandleFileDataSourceDesc</t>
  </si>
  <si>
    <t>isFileDataSourceDescClosed</t>
  </si>
  <si>
    <t>allocMediaPlayer2</t>
  </si>
  <si>
    <t>test_mediaPlayer2_preferredDevice</t>
  </si>
  <si>
    <t>test_mediaPlayer2_getRoutedDevice</t>
  </si>
  <si>
    <t>test_MediaPlayer2_RoutingListener</t>
  </si>
  <si>
    <t>test_MediaPlayer2_RoutingChangedCallback</t>
  </si>
  <si>
    <t>test_mediaPlayer2_incallMusicRoutingPermissions</t>
  </si>
  <si>
    <t>testHlsWithHeadersCookies</t>
  </si>
  <si>
    <t>testHlsSampleAes_bbb_audio_only_overridable</t>
  </si>
  <si>
    <t>testHlsSampleAes_bbb_unmuxed_1500k</t>
  </si>
  <si>
    <t>testPlayMp3Stream1Ssl</t>
  </si>
  <si>
    <t>localHttpsAudioStreamTest</t>
  </si>
  <si>
    <t>testPlayHlsStream</t>
  </si>
  <si>
    <t>testPlayHlsStreamWithQueryString</t>
  </si>
  <si>
    <t>testPlayHlsStreamWithRedirect</t>
  </si>
  <si>
    <t>testPlayHlsStreamWithTimedId3</t>
  </si>
  <si>
    <t>WorkerWithPlayer</t>
  </si>
  <si>
    <t>getPlayer</t>
  </si>
  <si>
    <t>testBlockingReadRelease</t>
  </si>
  <si>
    <t>localHlsTest</t>
  </si>
  <si>
    <t>AbstractContentCaptureIntegrationTest</t>
  </si>
  <si>
    <t>registerLifecycleCallback</t>
  </si>
  <si>
    <t>unregisterLifecycleCallback</t>
  </si>
  <si>
    <t>getLaunchIntent</t>
  </si>
  <si>
    <t>startWatcher</t>
  </si>
  <si>
    <t>BlankActivityTest</t>
  </si>
  <si>
    <t>getActivityTestRule</t>
  </si>
  <si>
    <t>testSimpleSessionLifecycle</t>
  </si>
  <si>
    <t>testGetServiceComponentName</t>
  </si>
  <si>
    <t>testGetServiceComponentName_onUiThread</t>
  </si>
  <si>
    <t>testIsContentCaptureFeatureEnabled_onUiThread</t>
  </si>
  <si>
    <t>testDisableContentCaptureService_onUiThread</t>
  </si>
  <si>
    <t>testOnConnectionEvents</t>
  </si>
  <si>
    <t>BlankWithTitleActivityTest</t>
  </si>
  <si>
    <t>testSimpleSessionLifecycle_noAnimation</t>
  </si>
  <si>
    <t>ChildlessActivityTest</t>
  </si>
  <si>
    <t>resetActivityStaticState</t>
  </si>
  <si>
    <t>testDefaultLifecycle</t>
  </si>
  <si>
    <t>testGetContentCapture_disabledWhenNoService</t>
  </si>
  <si>
    <t>testGetContentCapture_enabledWhenNoService</t>
  </si>
  <si>
    <t>testLaunchAnotherActivity</t>
  </si>
  <si>
    <t>testLaunchAnotherActivity_onTopOfIt</t>
  </si>
  <si>
    <t>testAddAndRemoveNoImportantChild</t>
  </si>
  <si>
    <t>testAddAndRemoveImportantChild</t>
  </si>
  <si>
    <t>testAddImportantChildAfterSessionStarted</t>
  </si>
  <si>
    <t>testAddAndRemoveImportantChildOnDifferentSession</t>
  </si>
  <si>
    <t>testDinamicallyManageChildlessSiblingSessions</t>
  </si>
  <si>
    <t>testDinamicallyAddOneChildOnAnotherSession_manuallyCloseSession</t>
  </si>
  <si>
    <t>testDinamicallyAddOneChildOnAnotherSession_autoCloseSession</t>
  </si>
  <si>
    <t>dinamicallyAddOneChildOnAnotherSessionTest</t>
  </si>
  <si>
    <t>testDinamicallyManageSiblingSessions</t>
  </si>
  <si>
    <t>testNestedSessions_simplestScenario</t>
  </si>
  <si>
    <t>testDinamicallyManageChildlessNestedSessions</t>
  </si>
  <si>
    <t>testRemoveChildrenFromDifferentSessions</t>
  </si>
  <si>
    <t>testIsContentCaptureFeatureEnabled_notService</t>
  </si>
  <si>
    <t>testSetContentCaptureFeatureEnabled_disabledBySettings</t>
  </si>
  <si>
    <t>setContentCaptureFeatureEnabledTest_disabled</t>
  </si>
  <si>
    <t>testSetContentCaptureFeatureEnabled_disabledThenReEnabledBySettings</t>
  </si>
  <si>
    <t>setContentCaptureFeatureEnabledTest_disabledThenReEnabled</t>
  </si>
  <si>
    <t>testSetContentCaptureFeatureEnabled_disabledByApi</t>
  </si>
  <si>
    <t>testSetContentCaptureFeatureEnabled_disabledThenReEnabledByApi</t>
  </si>
  <si>
    <t>testSetContentCaptureFeatureEnabled_disabledByDeviceConfig</t>
  </si>
  <si>
    <t>testSetContentCaptureFeatureEnabled_disabledThenReEnabledByDeviceConfig</t>
  </si>
  <si>
    <t>addChild</t>
  </si>
  <si>
    <t>waitAndClose</t>
  </si>
  <si>
    <t>waitAndRemoveViews</t>
  </si>
  <si>
    <t>getContentCaptureManagerHack</t>
  </si>
  <si>
    <t>setFeatureEnabledByDeviceConfig</t>
  </si>
  <si>
    <t>newContentCaptureContextBuilder</t>
  </si>
  <si>
    <t>LoginActivityTest</t>
  </si>
  <si>
    <t>testSimpleLifecycle_defaultSession</t>
  </si>
  <si>
    <t>testSimpleLifecycle_rootViewSession</t>
  </si>
  <si>
    <t>testSimpleLifecycle_changeContextAfterCreate</t>
  </si>
  <si>
    <t>testSimpleLifecycle_changeContextOnCreate</t>
  </si>
  <si>
    <t>testTextChanged</t>
  </si>
  <si>
    <t>testTextChangeBuffer</t>
  </si>
  <si>
    <t>testDisabledByFlagSecure</t>
  </si>
  <si>
    <t>testDisabledByApp</t>
  </si>
  <si>
    <t>testDisabledFlagSecureAndByApp</t>
  </si>
  <si>
    <t>testUserDataRemovalRequest_forEverything</t>
  </si>
  <si>
    <t>testUserDataRemovalRequest_oneId</t>
  </si>
  <si>
    <t>testUserDataRemovalRequest_manyIds</t>
  </si>
  <si>
    <t>testAddChildren_rightAway</t>
  </si>
  <si>
    <t>testAddChildren_afterAnimation</t>
  </si>
  <si>
    <t>testWhitelist_packageNotWhitelisted</t>
  </si>
  <si>
    <t>testWhitelist_activityNotWhitelisted</t>
  </si>
  <si>
    <t>newContentCaptureContext</t>
  </si>
  <si>
    <t>assertContentCaptureContext</t>
  </si>
  <si>
    <t>testBuilder_addLocusId_invalid</t>
  </si>
  <si>
    <t>testBuilder_addLocusId_valid</t>
  </si>
  <si>
    <t>testBuilder_addLocusIdAfterForEverything</t>
  </si>
  <si>
    <t>testBuilder_forEverythingAfterAddingLocusId</t>
  </si>
  <si>
    <t>testBuild_invalid</t>
  </si>
  <si>
    <t>testBuild_validForEverything_directly</t>
  </si>
  <si>
    <t>testBuild_validForEverything_parcel</t>
  </si>
  <si>
    <t>assertForEverything</t>
  </si>
  <si>
    <t>testBuild_validForIds_directly</t>
  </si>
  <si>
    <t>testBuild_validForIds_parcel</t>
  </si>
  <si>
    <t>buildForIds</t>
  </si>
  <si>
    <t>assertForIds</t>
  </si>
  <si>
    <t>testNoMoreInteractionsAfterBuild</t>
  </si>
  <si>
    <t>assertRequest</t>
  </si>
  <si>
    <t>cloneThroughParcel</t>
  </si>
  <si>
    <t>testNfcFeatures</t>
  </si>
  <si>
    <t>testFailInstallAnotherSessionAlreadyInProgress</t>
  </si>
  <si>
    <t>testGetActiveStagedSesssion</t>
  </si>
  <si>
    <t>testMinimumEvent</t>
  </si>
  <si>
    <t>testParcelUnparcel_minimumEvent</t>
  </si>
  <si>
    <t>testFullEvent</t>
  </si>
  <si>
    <t>testParcelUnparcel_fullEvent</t>
  </si>
  <si>
    <t>createFullTextClassifierEvent</t>
  </si>
  <si>
    <t>assertFullEvent</t>
  </si>
  <si>
    <t>createMinimalTextClassifierEvent</t>
  </si>
  <si>
    <t>testBuilder_illegal_end_position</t>
  </si>
  <si>
    <t>testBuilder_illegal_start_end_position</t>
  </si>
  <si>
    <t>testSetMetadata</t>
  </si>
  <si>
    <t>testGetCustomCommand</t>
  </si>
  <si>
    <t>testGetExtras</t>
  </si>
  <si>
    <t>doMediaNoneImage</t>
  </si>
  <si>
    <t>doMediaNoneAudio</t>
  </si>
  <si>
    <t>testMediaEscalation</t>
  </si>
  <si>
    <t>testAutofill_none</t>
  </si>
  <si>
    <t>testAutofill_oneField</t>
  </si>
  <si>
    <t>testAutofill_twoFields</t>
  </si>
  <si>
    <t>testBufferingParamsBuilderAndGet</t>
  </si>
  <si>
    <t>testBufferingParamsDescribeContents</t>
  </si>
  <si>
    <t>testBufferingParamsWriteToParcel</t>
  </si>
  <si>
    <t>assertAllRestrictedPermissionAppOpsAllowed</t>
  </si>
  <si>
    <t>uninstallRestrictedPermissionUserApp</t>
  </si>
  <si>
    <t>assertMinimalTextClassifierEvent</t>
  </si>
  <si>
    <t>testExternalStorageIsolated</t>
  </si>
  <si>
    <t>testExternalStorageIsolatedLegacy</t>
  </si>
  <si>
    <t>hasIsolatedStorage</t>
  </si>
  <si>
    <t>testTabReuse</t>
  </si>
  <si>
    <t>testTabExhaustion</t>
  </si>
  <si>
    <t>testBrowserPrivateDataAccess</t>
  </si>
  <si>
    <t>stageFile</t>
  </si>
  <si>
    <t>exposeFile</t>
  </si>
  <si>
    <t>getAllJavascriptIntents</t>
  </si>
  <si>
    <t>createAllIntents</t>
  </si>
  <si>
    <t>testPerfEvent</t>
  </si>
  <si>
    <t>testPerfEvent2</t>
  </si>
  <si>
    <t>testFutex</t>
  </si>
  <si>
    <t>testNvmapIocFromId</t>
  </si>
  <si>
    <t>testPingPongRoot</t>
  </si>
  <si>
    <t>testPipeReadV</t>
  </si>
  <si>
    <t>testCVE20141710</t>
  </si>
  <si>
    <t>testLocalVideo_mkv_mp3_frame_incomplete</t>
  </si>
  <si>
    <t>startAndWaitOutOfProcessActivity</t>
  </si>
  <si>
    <t>killOutOfProcessActivity</t>
  </si>
  <si>
    <t>dummyTest</t>
  </si>
  <si>
    <t>assertNoTouchInputPropagated</t>
  </si>
  <si>
    <t>assertPropagated</t>
  </si>
  <si>
    <t>doubleTap</t>
  </si>
  <si>
    <t>tripleTap</t>
  </si>
  <si>
    <t>multiTap</t>
  </si>
  <si>
    <t>prettyPrintable</t>
  </si>
  <si>
    <t>testReparent</t>
  </si>
  <si>
    <t>testXattrInKernel</t>
  </si>
  <si>
    <t>testActivityNotBlockedwhenForegroundActivityLaunch</t>
  </si>
  <si>
    <t>testExynosRootingVuln</t>
  </si>
  <si>
    <t>testExynosKernelMemoryRead</t>
  </si>
  <si>
    <t>testToMillis_beforeTzRecords</t>
  </si>
  <si>
    <t>testToMillis_afterTzRecords</t>
  </si>
  <si>
    <t>testNormalize_beforeTzRecords</t>
  </si>
  <si>
    <t>testNormalize_afterTzRecords</t>
  </si>
  <si>
    <t>testAddCompletedDownload_sdcardPath</t>
  </si>
  <si>
    <t>testDownloadManagerUpdates</t>
  </si>
  <si>
    <t>testDownloadManager_mediaStoreUpdates</t>
  </si>
  <si>
    <t>updateUri</t>
  </si>
  <si>
    <t>getMediaStoreUri</t>
  </si>
  <si>
    <t>getRawFilePath</t>
  </si>
  <si>
    <t>readFromRawFile</t>
  </si>
  <si>
    <t>readFromFile</t>
  </si>
  <si>
    <t>createFile</t>
  </si>
  <si>
    <t>writeToFile</t>
  </si>
  <si>
    <t>DownloadCompleteReceiver</t>
  </si>
  <si>
    <t>isCompleteLocked</t>
  </si>
  <si>
    <t>waitForDownloadComplete</t>
  </si>
  <si>
    <t>clearDownloads</t>
  </si>
  <si>
    <t>getGoodUrl</t>
  </si>
  <si>
    <t>getBadUrl</t>
  </si>
  <si>
    <t>getMinimumDownloadUrl</t>
  </si>
  <si>
    <t>getAssetUrl</t>
  </si>
  <si>
    <t>getTotalNumberDownloads</t>
  </si>
  <si>
    <t>assertDownloadQueryableById</t>
  </si>
  <si>
    <t>assertDownloadQueryableByStatus</t>
  </si>
  <si>
    <t>assertSuccessfulDownload</t>
  </si>
  <si>
    <t>assertRemoveDownload</t>
  </si>
  <si>
    <t>hasInternetConnection</t>
  </si>
  <si>
    <t>test_android_CVE_2017_13309</t>
  </si>
  <si>
    <t>getResource</t>
  </si>
  <si>
    <t>setOutput</t>
  </si>
  <si>
    <t>StartConnect</t>
  </si>
  <si>
    <t>shutdown</t>
  </si>
  <si>
    <t>doHandshake</t>
  </si>
  <si>
    <t>enlargePacketBuffer</t>
  </si>
  <si>
    <t>enlargeApplicationBuffer</t>
  </si>
  <si>
    <t>enlargeBuffer</t>
  </si>
  <si>
    <t>handleBufferUnderflow</t>
  </si>
  <si>
    <t>TestSSLServer</t>
  </si>
  <si>
    <t>stopServer</t>
  </si>
  <si>
    <t>runServer</t>
  </si>
  <si>
    <t>read</t>
  </si>
  <si>
    <t>handleEndOfStream</t>
  </si>
  <si>
    <t>testMaketTextFromStringNullContext</t>
  </si>
  <si>
    <t>testMaketTextFromResourceNullContext</t>
  </si>
  <si>
    <t>testConfigKTPI</t>
  </si>
  <si>
    <t>aseertPendingIntentBroadcastTimeoutTest</t>
  </si>
  <si>
    <t>testSetDefaultDialerNoDialIntent_notSupported</t>
  </si>
  <si>
    <t>isEligibleForPerformanceExemption</t>
  </si>
  <si>
    <t>isExemptByPerformance</t>
  </si>
  <si>
    <t>appsWithSharedUidsSharePermissions</t>
  </si>
  <si>
    <t>AlertDialog_BuilderTest</t>
  </si>
  <si>
    <t>executeNextActionSuccessfully</t>
  </si>
  <si>
    <t>doNotExecuteNextActionWaitForCancellation</t>
  </si>
  <si>
    <t>launchActivityAndGetEnabled</t>
  </si>
  <si>
    <t>testDisallowContentCapture_allowed</t>
  </si>
  <si>
    <t>testPermissionNotSplitP0</t>
  </si>
  <si>
    <t>testCTSAppDataContext</t>
  </si>
  <si>
    <t>testDownloadManager_mediaStoreEntry</t>
  </si>
  <si>
    <t>testAddCompletedDownload_mediaStoreEntry</t>
  </si>
  <si>
    <t>testNotificationManagerBubblePolicy_flagForMessage</t>
  </si>
  <si>
    <t>yuvBurstTestByCamera</t>
  </si>
  <si>
    <t>LocalVoiceInteractionTest</t>
  </si>
  <si>
    <t>VoiceInteractionTest</t>
  </si>
  <si>
    <t>testVideoCaptureWithInadequeteLocationPermissions</t>
  </si>
  <si>
    <t>testVideoCaptureWithoutLocation</t>
  </si>
  <si>
    <t>getImageOrVideoCaptureIntentResult</t>
  </si>
  <si>
    <t>testPlatformPermissionPolicyUnaltered</t>
  </si>
  <si>
    <t>testWhenFeatureDisabledAppOpsProperlySet</t>
  </si>
  <si>
    <t>testNoRestrictedPermissionsWhitelistedAtInstall</t>
  </si>
  <si>
    <t>testAllRestrictedPermissionWhitelistedAtInstall</t>
  </si>
  <si>
    <t>testDoubleTapNoFocus</t>
  </si>
  <si>
    <t>testDoubleTapAndHoldNoFocus</t>
  </si>
  <si>
    <t>testFileObserverEmulated</t>
  </si>
  <si>
    <t>testFileObserver_multipleFiles</t>
  </si>
  <si>
    <t>testRedirectedCall</t>
  </si>
  <si>
    <t>testSetDestinationInExternalPublicDir</t>
  </si>
  <si>
    <t>testHardwareYear</t>
  </si>
  <si>
    <t>calculateEspPacketSize</t>
  </si>
  <si>
    <t>testSecurityExceptionsCreateTunnelInterface</t>
  </si>
  <si>
    <t>testSecurityExceptionsBuildTunnelTransform</t>
  </si>
  <si>
    <t>scrollToBottomIfWatch</t>
  </si>
  <si>
    <t>getCallLogEntryLatch</t>
  </si>
  <si>
    <t>isLandscape</t>
  </si>
  <si>
    <t>hasSecureLockScreen</t>
  </si>
  <si>
    <t>testConnectivityChanged_manifestRequestOnly_shouldNotReceiveIntent</t>
  </si>
  <si>
    <t>testConnectivityChanged_whenRegistered_shouldReceiveIntent</t>
  </si>
  <si>
    <t>testConnectivityChanged_manifestRequestOnlyPreN_shouldReceiveIntent</t>
  </si>
  <si>
    <t>sendOrderedBroadcastAndReturnResultCode</t>
  </si>
  <si>
    <t>toggleWifi</t>
  </si>
  <si>
    <t>sanityCheckConfigurationTables</t>
  </si>
  <si>
    <t>MaxStreamSizes</t>
  </si>
  <si>
    <t>reprocessConfigToString</t>
  </si>
  <si>
    <t>appendFormatSize</t>
  </si>
  <si>
    <t>getMaxRecordingSize</t>
  </si>
  <si>
    <t>getMaxExternalRecordingSize</t>
  </si>
  <si>
    <t>getMaxSize</t>
  </si>
  <si>
    <t>getMaxPreviewSize</t>
  </si>
  <si>
    <t>VectorDrawableScaleTest</t>
  </si>
  <si>
    <t>testVectorDrawableInImageView</t>
  </si>
  <si>
    <t>setupImageViews</t>
  </si>
  <si>
    <t>takeScreenshot</t>
  </si>
  <si>
    <t>DisableContextTest</t>
  </si>
  <si>
    <t>testCantAddMoreThanOneGuestUser</t>
  </si>
  <si>
    <t>testStorageDoesNotChangeOnUpdate</t>
  </si>
  <si>
    <t>testDirectBootAwareAppIsEncryptionAware</t>
  </si>
  <si>
    <t>AccessibilityGestureDispatchTest</t>
  </si>
  <si>
    <t>testInstallUpdate_failWrongVersion</t>
  </si>
  <si>
    <t>prepareDevice</t>
  </si>
  <si>
    <t>getTestRunnable</t>
  </si>
  <si>
    <t>buildTunnelAndNetwork</t>
  </si>
  <si>
    <t>getDummySurface</t>
  </si>
  <si>
    <t>AssistStructureTest</t>
  </si>
  <si>
    <t>ExtraAssistDataTest</t>
  </si>
  <si>
    <t>FlagSecureTest</t>
  </si>
  <si>
    <t>LargeViewHierarchyTest</t>
  </si>
  <si>
    <t>ScreenshotTest</t>
  </si>
  <si>
    <t>start3pAppWithColor</t>
  </si>
  <si>
    <t>WebViewTest</t>
  </si>
  <si>
    <t>testNewNotificationsAddedToAutogroup_ifOriginalNotificationsCanceled</t>
  </si>
  <si>
    <t>testNotificationListener_setNotificationsShown</t>
  </si>
  <si>
    <t>testNotificationListener_getActiveNotifications</t>
  </si>
  <si>
    <t>testNotificationListener_cancelNotifications</t>
  </si>
  <si>
    <t>testNotificationManagerBubblePolicy_flagForAppForeground</t>
  </si>
  <si>
    <t>isKeepaliveSupported</t>
  </si>
  <si>
    <t>getWifiNetwork</t>
  </si>
  <si>
    <t>disconnectFromWifi</t>
  </si>
  <si>
    <t>makeWifiNetworkRequest</t>
  </si>
  <si>
    <t>testHttpRequest</t>
  </si>
  <si>
    <t>getBoundSocket</t>
  </si>
  <si>
    <t>waitForLost</t>
  </si>
  <si>
    <t>waitForUnavailable</t>
  </si>
  <si>
    <t>onLost</t>
  </si>
  <si>
    <t>onUnavailable</t>
  </si>
  <si>
    <t>connectToCell</t>
  </si>
  <si>
    <t>cellConnectAttempted</t>
  </si>
  <si>
    <t>disconnectFromCell</t>
  </si>
  <si>
    <t>onScanCompleted</t>
  </si>
  <si>
    <t>maybeRevokeRuntimePermission</t>
  </si>
  <si>
    <t>grantRequisitePermissions</t>
  </si>
  <si>
    <t>revokeRequisitePermissions</t>
  </si>
  <si>
    <t>doTestGrantActivityUriReadPermission</t>
  </si>
  <si>
    <t>doTestGrantActivityUriWritePermission</t>
  </si>
  <si>
    <t>testGrantReadPathPermissionFromStartActivity</t>
  </si>
  <si>
    <t>testGrantWritePathPermissionFromStartActivity</t>
  </si>
  <si>
    <t>Statement</t>
  </si>
  <si>
    <t>TestNameUtils</t>
  </si>
  <si>
    <t>TestUtils</t>
  </si>
  <si>
    <t>failWithLog</t>
  </si>
  <si>
    <t>waitUntil</t>
  </si>
  <si>
    <t>runWithFailureHook</t>
  </si>
  <si>
    <t>testComparisonByInt</t>
  </si>
  <si>
    <t>testComparisonByString</t>
  </si>
  <si>
    <t>testResolveVersionString</t>
  </si>
  <si>
    <t>testResolveMisspelledVersionString</t>
  </si>
  <si>
    <t>testInvokeMethodWithStringAndContextArgs</t>
  </si>
  <si>
    <t>testInvokeMethodWithContextAndStringArgs</t>
  </si>
  <si>
    <t>testMapPut</t>
  </si>
  <si>
    <t>testStaticMapPut</t>
  </si>
  <si>
    <t>testFile</t>
  </si>
  <si>
    <t>RetryableStatement</t>
  </si>
  <si>
    <t>evaluate</t>
  </si>
  <si>
    <t>testInvalidConstructor</t>
  </si>
  <si>
    <t>testPassOnRetryableException</t>
  </si>
  <si>
    <t>testPassOnRetryableExceptionWithTimeout</t>
  </si>
  <si>
    <t>testFailOnRetryableException</t>
  </si>
  <si>
    <t>testPassWhenDisabledAndStatementPass</t>
  </si>
  <si>
    <t>testFailWhenDisabledAndStatementThrowsRetryableException</t>
  </si>
  <si>
    <t>testFailWhenDisabledAndStatementThrowsNonRetryableException</t>
  </si>
  <si>
    <t>FailureStatement</t>
  </si>
  <si>
    <t>testEmptyRule_testPass</t>
  </si>
  <si>
    <t>testEmptyRule_testFails</t>
  </si>
  <si>
    <t>testEmptyRule_testFails_withDumper</t>
  </si>
  <si>
    <t>testOnlyTestFails</t>
  </si>
  <si>
    <t>testOnlyTestFails_withDumper</t>
  </si>
  <si>
    <t>testTestPass_oneRunnerFails</t>
  </si>
  <si>
    <t>testTestPass_oneRunnerFails_withDumper</t>
  </si>
  <si>
    <t>testTestPass_oneExtraExceptionThrownAsCallable</t>
  </si>
  <si>
    <t>testTestPass_oneExtraExceptionThrown</t>
  </si>
  <si>
    <t>testTestPass_oneExtraExceptionThrown_withDumper</t>
  </si>
  <si>
    <t>testThrowTheKitchenSinkAKAEverybodyThrows</t>
  </si>
  <si>
    <t>testIgnoreAssumptionViolatedException</t>
  </si>
  <si>
    <t>testThrowTheKitchenSinkAKAEverybodyThrows_withDumper</t>
  </si>
  <si>
    <t>testSetAndRestoreOnSuccess</t>
  </si>
  <si>
    <t>testDontSetIfSameValueOnSuccess</t>
  </si>
  <si>
    <t>testSetButDontRestoreIfSameValueOnSuccess</t>
  </si>
  <si>
    <t>testDontSetButRestoreIfValueChangedOnSuccess</t>
  </si>
  <si>
    <t>testSetAndRestoreOnFailure</t>
  </si>
  <si>
    <t>testDontSetIfSameValueOnFailure</t>
  </si>
  <si>
    <t>testSetButDontRestoreIfSameValueOnFailure</t>
  </si>
  <si>
    <t>testDontSetButRestoreIfValueChangedOnFailure</t>
  </si>
  <si>
    <t>testRestoreOnSuccess</t>
  </si>
  <si>
    <t>testRestoreOnFailure</t>
  </si>
  <si>
    <t>testDoNotRestoreWhenNotChanged</t>
  </si>
  <si>
    <t>testDoNotRestoreOnFailure</t>
  </si>
  <si>
    <t>testGetters</t>
  </si>
  <si>
    <t>testIncrease</t>
  </si>
  <si>
    <t>testRun_invalidArgs</t>
  </si>
  <si>
    <t>testRun_successOnFirstAttempt</t>
  </si>
  <si>
    <t>testRun_successOnSecondAttempt</t>
  </si>
  <si>
    <t>testRun_allAttemptsFailed</t>
  </si>
  <si>
    <t>assertFloat</t>
  </si>
  <si>
    <t>TestNgRunner</t>
  </si>
  <si>
    <t>extractException</t>
  </si>
  <si>
    <t>filterDescription</t>
  </si>
  <si>
    <t>generateTestNgDescription</t>
  </si>
  <si>
    <t>descriptionHasChildren</t>
  </si>
  <si>
    <t>runnerForClass</t>
  </si>
  <si>
    <t>isHandheld</t>
  </si>
  <si>
    <t>testStagedInstallDowngrade_DowngradeNotRequested_Fails_VerifyPostReboot</t>
  </si>
  <si>
    <t>testStorageTargetingSdk28DefaultNotWhitelistedHasIsolatedAccess</t>
  </si>
  <si>
    <t>testStorageTargetingSdk28OptInNotWhitelistedHasIsolatedAccess</t>
  </si>
  <si>
    <t>dumpWindowHierarchy</t>
  </si>
  <si>
    <t>testInstallStagedNonPreInstalledApex_UserBuild_Fails</t>
  </si>
  <si>
    <t>assertReadingContentUriNotAllowed</t>
  </si>
  <si>
    <t>assertReadingContentUriAllowed</t>
  </si>
  <si>
    <t>assertReadingClipNotAllowed</t>
  </si>
  <si>
    <t>assertOpenFileDescriptorModeNotAllowed</t>
  </si>
  <si>
    <t>assertContentUriAllowed</t>
  </si>
  <si>
    <t>assertContentUriNotAllowed</t>
  </si>
  <si>
    <t>assertWritingContentUriNotAllowed</t>
  </si>
  <si>
    <t>assertWritingContentUriAllowed</t>
  </si>
  <si>
    <t>assertWritingClipNotAllowed</t>
  </si>
  <si>
    <t>makeSingleClipData</t>
  </si>
  <si>
    <t>makeMultiClipData</t>
  </si>
  <si>
    <t>makeClipIntent</t>
  </si>
  <si>
    <t>doTryGrantUriActivityPermissionToSelf</t>
  </si>
  <si>
    <t>testGrantReadUriActivityPermissionToSelf</t>
  </si>
  <si>
    <t>testGrantWriteUriActivityPermissionToSelf</t>
  </si>
  <si>
    <t>testGrantReadUriActivityPrivateToSelf</t>
  </si>
  <si>
    <t>testGrantWriteUriActivityPrivateToSelf</t>
  </si>
  <si>
    <t>doTryGrantUriServicePermissionToSelf</t>
  </si>
  <si>
    <t>testGrantReadUriServicePermissionToSelf</t>
  </si>
  <si>
    <t>testGrantWriteUriServicePermissionToSelf</t>
  </si>
  <si>
    <t>testGrantReadUriServicePrivateToSelf</t>
  </si>
  <si>
    <t>testGrantWriteUriServicePrivateToSelf</t>
  </si>
  <si>
    <t>grantUriPermissionFail</t>
  </si>
  <si>
    <t>doTestGrantUriPermissionFail</t>
  </si>
  <si>
    <t>testGrantPermissionNonGrantingFail</t>
  </si>
  <si>
    <t>testGrantPermissionOutsideGrantingFail</t>
  </si>
  <si>
    <t>testGrantPrivateNonGrantingFail</t>
  </si>
  <si>
    <t>testGrantAmbiguousNonGrantingFail</t>
  </si>
  <si>
    <t>testGrantPrivateOutsideGrantingFail</t>
  </si>
  <si>
    <t>grantClipUriPermission</t>
  </si>
  <si>
    <t>grantClipUriPermissionViaContext</t>
  </si>
  <si>
    <t>revokeClipUriPermissionViaContext</t>
  </si>
  <si>
    <t>setPrimaryClip</t>
  </si>
  <si>
    <t>clearPrimaryClip</t>
  </si>
  <si>
    <t>assertReadingClipAllowed</t>
  </si>
  <si>
    <t>assertWritingClipAllowed</t>
  </si>
  <si>
    <t>doTestGrantServiceUriReadPermission</t>
  </si>
  <si>
    <t>doTestGrantServiceUriWritePermission</t>
  </si>
  <si>
    <t>testGrantReadPermissionFromStartService</t>
  </si>
  <si>
    <t>testGrantWritePermissionFromStartService</t>
  </si>
  <si>
    <t>testGrantReadPrivateFromStartService</t>
  </si>
  <si>
    <t>testGrantWritePrivateFromStartService</t>
  </si>
  <si>
    <t>testGrantReadUriActivityPathPermissionToSelf</t>
  </si>
  <si>
    <t>testGrantWriteUriActivityPathPermissionToSelf</t>
  </si>
  <si>
    <t>testGrantReadUriActivitySubPathPermissionToSelf</t>
  </si>
  <si>
    <t>testGrantWriteUriActivitySubPathPermissionToSelf</t>
  </si>
  <si>
    <t>testGrantReadPathPermissionFromStartService</t>
  </si>
  <si>
    <t>testGrantWritePathPermissionFromStartService</t>
  </si>
  <si>
    <t>testGrantPersistableUriPermission</t>
  </si>
  <si>
    <t>assertNoPersistedUriPermission</t>
  </si>
  <si>
    <t>assertPersistedUriPermission</t>
  </si>
  <si>
    <t>testGrantPrefixUriPermission</t>
  </si>
  <si>
    <t>testGrantPersistablePrefixUriPermission</t>
  </si>
  <si>
    <t>testDirectGrantRevokeUriPermission</t>
  </si>
  <si>
    <t>testDirectGrantReceiverRevokeUriPermission</t>
  </si>
  <si>
    <t>testClipboardWithPermission</t>
  </si>
  <si>
    <t>testClipboardWithoutPermission</t>
  </si>
  <si>
    <t>assertClipDataEquals</t>
  </si>
  <si>
    <t>testBadConfigCannotCauseBootLoop</t>
  </si>
  <si>
    <t>readFileOptimized</t>
  </si>
  <si>
    <t>parseDexApiFilesAsStream</t>
  </si>
  <si>
    <t>testStagedInstallDowngrade_DowngradeRequested_UserBuild_VerifyPostReboot</t>
  </si>
  <si>
    <t>getUiDevice</t>
  </si>
  <si>
    <t>waitFindObject</t>
  </si>
  <si>
    <t>waitAndClick</t>
  </si>
  <si>
    <t>assertAllHardRestrictedPermissionAppOpsAllowed</t>
  </si>
  <si>
    <t>disabledTestNewNotificationsAddedToAutogroup_ifOriginalNotificationsCanceled</t>
  </si>
  <si>
    <t>disabledTestNotificationListener_setNotificationsShown</t>
  </si>
  <si>
    <t>disabledTestNotificationListener_getActiveNotifications</t>
  </si>
  <si>
    <t>disabledTestNotificationListener_cancelNotifications</t>
  </si>
  <si>
    <t>disabledTestNotificationManagerBubblePolicy_flagForAppForeground</t>
  </si>
  <si>
    <t>testDefaultAllRestrictedPermissionsWhitelistedAtInstall</t>
  </si>
  <si>
    <t>testSomeRestrictedPermissionsWhitelistedAtInstall</t>
  </si>
  <si>
    <t>testNoneRestrictedPermissionWhitelistedAtInstall</t>
  </si>
  <si>
    <t>waitForOnResume</t>
  </si>
  <si>
    <t>disabled_TestContextOff</t>
  </si>
  <si>
    <t>testScreenshotOff</t>
  </si>
  <si>
    <t>waitForActivityResumeAndAssist</t>
  </si>
  <si>
    <t>start3pApp</t>
  </si>
  <si>
    <t>getSupportedKeepalivesFromRes</t>
  </si>
  <si>
    <t>testKeepaliveUnsupported</t>
  </si>
  <si>
    <t>testSocketKeepaliveLimit</t>
  </si>
  <si>
    <t>Builder</t>
  </si>
  <si>
    <t>testSession2Token_extrasSetToNull</t>
  </si>
  <si>
    <t>testCameraDeviceLogiclaPhysicalSettings</t>
  </si>
  <si>
    <t>testCreateSocket</t>
  </si>
  <si>
    <t>test_createSocket_simple</t>
  </si>
  <si>
    <t>test_createSocket_wrapping</t>
  </si>
  <si>
    <t>test_createSocket_bind</t>
  </si>
  <si>
    <t>test_dlopenPublicLibrariesInRuntimeNamespace</t>
  </si>
  <si>
    <t>insertTestMmsPartWithName</t>
  </si>
  <si>
    <t>test_dlopenPublicLibraries</t>
  </si>
  <si>
    <t>MotionEventActionMatcher</t>
  </si>
  <si>
    <t>matchesSafely</t>
  </si>
  <si>
    <t>isAtPoint</t>
  </si>
  <si>
    <t>testWait3Sec</t>
  </si>
  <si>
    <t>waitForUserUnlock</t>
  </si>
  <si>
    <t>testWipeDataWithReason</t>
  </si>
  <si>
    <t>testWipeDataLogged</t>
  </si>
  <si>
    <t>testWipeDataWithoutReason</t>
  </si>
  <si>
    <t>sendWipeProfileBroadcast</t>
  </si>
  <si>
    <t>lockProfile</t>
  </si>
  <si>
    <t>waitUntilProfileLocked</t>
  </si>
  <si>
    <t>testWorkProfileTimeoutBackground</t>
  </si>
  <si>
    <t>testWorkProfileTimeoutIdleActivity</t>
  </si>
  <si>
    <t>testWorkProfileTimeoutUserActivity</t>
  </si>
  <si>
    <t>testWorkProfileTimeoutKeepScreenOnWindow</t>
  </si>
  <si>
    <t>setUpWorkProfileTimeout</t>
  </si>
  <si>
    <t>verifyOnlyProfileLocked</t>
  </si>
  <si>
    <t>simulateUserInteraction</t>
  </si>
  <si>
    <t>runProfileTimeoutTest</t>
  </si>
  <si>
    <t>startDummyActivity</t>
  </si>
  <si>
    <t>testDisallowSharingIntoProfileFromProfile</t>
  </si>
  <si>
    <t>testDisallowSharingIntoProfileFromPersonal</t>
  </si>
  <si>
    <t>testCrossProfileContent</t>
  </si>
  <si>
    <t>testCrossProfileNotificationListeners_EmptyWhitelist</t>
  </si>
  <si>
    <t>testCrossProfileNotificationListeners_NullWhitelist</t>
  </si>
  <si>
    <t>testCrossProfileNotificationListeners_InWhitelist</t>
  </si>
  <si>
    <t>testCrossProfileNotificationListeners_setAndGet</t>
  </si>
  <si>
    <t>testCrossProfileCopyPaste</t>
  </si>
  <si>
    <t>testCrossProfileCopyPasteInternal</t>
  </si>
  <si>
    <t>testManagedContactsUris</t>
  </si>
  <si>
    <t>testManagedQuickContacts</t>
  </si>
  <si>
    <t>testManagedContactsPolicies</t>
  </si>
  <si>
    <t>testPasswordMinimumRestrictions</t>
  </si>
  <si>
    <t>testCrossProfileWidgets</t>
  </si>
  <si>
    <t>testCrossProfileWidgetsLogged</t>
  </si>
  <si>
    <t>setDirectoryPrefix</t>
  </si>
  <si>
    <t>givePackageWriteSettingsPermission</t>
  </si>
  <si>
    <t>testRingtoneSync</t>
  </si>
  <si>
    <t>testRingtoneSyncAutoDisableRingtone</t>
  </si>
  <si>
    <t>testRingtoneSyncAutoDisableNotification</t>
  </si>
  <si>
    <t>testRingtoneSyncAutoDisableAlarm</t>
  </si>
  <si>
    <t>testResetPasswordWithTokenBeforeUnlock</t>
  </si>
  <si>
    <t>testClearPasswordWithTokenBeforeUnlock</t>
  </si>
  <si>
    <t>testResetPasswordTokenUsableAfterClearingLock</t>
  </si>
  <si>
    <t>testIsUsingUnifiedPassword</t>
  </si>
  <si>
    <t>testUnlockWorkProfile_deviceWidePassword</t>
  </si>
  <si>
    <t>testRebootDevice_unifiedPassword</t>
  </si>
  <si>
    <t>testRebootDevice_separatePasswords</t>
  </si>
  <si>
    <t>testCrossProfileCalendarPackage</t>
  </si>
  <si>
    <t>testCrossProfileCalendar</t>
  </si>
  <si>
    <t>runCrossProfileCalendarTestsWhenWhitelistedAndEnabled</t>
  </si>
  <si>
    <t>runCrossProfileCalendarTestsWhenAllPackagesWhitelisted</t>
  </si>
  <si>
    <t>runCrossProfileCalendarTestsWhenDisabled</t>
  </si>
  <si>
    <t>runCrossProfileCalendarTestsWhenNotWhitelisted</t>
  </si>
  <si>
    <t>testCreateSeparateChallengeChangedLogged</t>
  </si>
  <si>
    <t>verifyUnifiedPassword</t>
  </si>
  <si>
    <t>setIdleWhitelist</t>
  </si>
  <si>
    <t>changeCrossProfileWidgetForUser</t>
  </si>
  <si>
    <t>startWidgetHostService</t>
  </si>
  <si>
    <t>runManagedContactsTest</t>
  </si>
  <si>
    <t>ContactsTestSet</t>
  </si>
  <si>
    <t>setCallerIdEnabled</t>
  </si>
  <si>
    <t>setContactsSearchEnabled</t>
  </si>
  <si>
    <t>checkIfCanLookupEnterpriseContacts</t>
  </si>
  <si>
    <t>checkIfCanFilterSelfContacts</t>
  </si>
  <si>
    <t>checkIfCanFilterEnterpriseContacts</t>
  </si>
  <si>
    <t>checkIfNoEnterpriseDirectoryFound</t>
  </si>
  <si>
    <t>testComplextColorDrawableAttrInflation</t>
  </si>
  <si>
    <t>getWindowBoundByTitle</t>
  </si>
  <si>
    <t>getInstalledVersion</t>
  </si>
  <si>
    <t>installMultiPackage</t>
  </si>
  <si>
    <t>createSessionParams</t>
  </si>
  <si>
    <t>createSessionId</t>
  </si>
  <si>
    <t>getSessionOrFail</t>
  </si>
  <si>
    <t>getSessionInfoOrFail</t>
  </si>
  <si>
    <t>assertStatusSuccess</t>
  </si>
  <si>
    <t>assertStatusFailure</t>
  </si>
  <si>
    <t>testVoiceMailNumber</t>
  </si>
  <si>
    <t>getPackageInstaller</t>
  </si>
  <si>
    <t>writeApex</t>
  </si>
  <si>
    <t>prepareSingleApkStagedSession</t>
  </si>
  <si>
    <t>installNonStaged</t>
  </si>
  <si>
    <t>testLockTaskMethodsThrowExceptionIfUnaffiliated</t>
  </si>
  <si>
    <t>testSetLockTaskPackagesClearedIfUserBecomesUnaffiliated</t>
  </si>
  <si>
    <t>checkLockTaskMethodsThrow</t>
  </si>
  <si>
    <t>testLockTask_deviceOwnerUser</t>
  </si>
  <si>
    <t>testLockTaskAfterReboot_deviceOwnerUser</t>
  </si>
  <si>
    <t>testLockTaskAfterReboot_tryOpeningSettings_deviceOwnerUser</t>
  </si>
  <si>
    <t>testLockTask_unaffiliatedUser</t>
  </si>
  <si>
    <t>testLockTask_affiliatedSecondaryUser</t>
  </si>
  <si>
    <t>executeAffiliatedProfileOwnerTest</t>
  </si>
  <si>
    <t>check2TorchOffStates</t>
  </si>
  <si>
    <t>clearDefaultHomeIntentReceiver</t>
  </si>
  <si>
    <t>isActivityOnTop</t>
  </si>
  <si>
    <t>testPocBug_68320413</t>
  </si>
  <si>
    <t>runtimePermissionsCannotBeRevokedOnPackageThatDoesNotDeclarePermission</t>
  </si>
  <si>
    <t>runtimePermissionsCannotBeGrantedOnPackageThatDoesNotDeclarePermission</t>
  </si>
  <si>
    <t>testSuspendPackage</t>
  </si>
  <si>
    <t>testSuspendPackageWithPackageManager</t>
  </si>
  <si>
    <t>parseDexApiResourcesAsStream</t>
  </si>
  <si>
    <t>readResourceOptimized</t>
  </si>
  <si>
    <t>internetPanel_correctTitle</t>
  </si>
  <si>
    <t>volumePanel_correctTitle</t>
  </si>
  <si>
    <t>nfcPanel_correctTitle</t>
  </si>
  <si>
    <t>wifiPanel_correctTitle</t>
  </si>
  <si>
    <t>testSharedPrefsClearListenerIsCalledOnCommit</t>
  </si>
  <si>
    <t>testSharedPrefsClearListenerIsCalledOnApply</t>
  </si>
  <si>
    <t>waitUntilPasswordState</t>
  </si>
  <si>
    <t>setUpActiveNetworkMeteringState</t>
  </si>
  <si>
    <t>tearDownMeteredNetwork</t>
  </si>
  <si>
    <t>isSupported</t>
  </si>
  <si>
    <t>testOnBlockedStatusChanged_data_saver</t>
  </si>
  <si>
    <t>testOnBlockedStatusChanged_power_saver</t>
  </si>
  <si>
    <t>defaultMap_15715370</t>
  </si>
  <si>
    <t>defaultMap_78909</t>
  </si>
  <si>
    <t>defaultMap_16978217</t>
  </si>
  <si>
    <t>testCommon</t>
  </si>
  <si>
    <t>defaultMap_18390752</t>
  </si>
  <si>
    <t>defaultMap_30207891</t>
  </si>
  <si>
    <t>defaultMap_30793548</t>
  </si>
  <si>
    <t>defaultMap_37167977</t>
  </si>
  <si>
    <t>defaultMap_70851634_mimeTypeFromExtension</t>
  </si>
  <si>
    <t>defaultMap_70851634_extensionFromMimeType</t>
  </si>
  <si>
    <t>defaultMap_112162449_audio</t>
  </si>
  <si>
    <t>defaultMap_112162449_video</t>
  </si>
  <si>
    <t>defaultMap_112162449_image</t>
  </si>
  <si>
    <t>defaultMap_120135571_audio</t>
  </si>
  <si>
    <t>defaultMap_136096979_ota</t>
  </si>
  <si>
    <t>defaultMap_wifiConfig_xml</t>
  </si>
  <si>
    <t>defaultMap_NonLowercaseMimeType</t>
  </si>
  <si>
    <t>defaultMap_CaseInsensitiveKeys</t>
  </si>
  <si>
    <t>defaultMap_invalid_empty</t>
  </si>
  <si>
    <t>defaultMap_invalid_null</t>
  </si>
  <si>
    <t>defaultMap_invalid</t>
  </si>
  <si>
    <t>checkInvalidExtension</t>
  </si>
  <si>
    <t>checkInvalidMimeType</t>
  </si>
  <si>
    <t>assertMimeTypeFromExtension</t>
  </si>
  <si>
    <t>assertExtensionFromMimeType</t>
  </si>
  <si>
    <t>assertBidirectional</t>
  </si>
  <si>
    <t>testLargeAlbumArt</t>
  </si>
  <si>
    <t>testMarshaling</t>
  </si>
  <si>
    <t>testGetterMethods</t>
  </si>
  <si>
    <t>assertEqualsGestureInfo</t>
  </si>
  <si>
    <t>AirplaneModeTest</t>
  </si>
  <si>
    <t>BatterySaverModeTest</t>
  </si>
  <si>
    <t>ZenModeTest</t>
  </si>
  <si>
    <t>testViewEventCrossProfile_intentReceivedWhenWhitelisted</t>
  </si>
  <si>
    <t>testNoLaunchableActivityAppHasAppDetailsActivityInjected</t>
  </si>
  <si>
    <t>testNoComponentAppNotInjected</t>
  </si>
  <si>
    <t>internalTestBasic</t>
  </si>
  <si>
    <t>internalTestAsyncEncoding</t>
  </si>
  <si>
    <t>internalTestSyncFrame</t>
  </si>
  <si>
    <t>internalTestDynamicBitrateChange</t>
  </si>
  <si>
    <t>internalTestParallelEncodingAndDecoding</t>
  </si>
  <si>
    <t>internalTestEncoderQuality</t>
  </si>
  <si>
    <t>testBasicVP8</t>
  </si>
  <si>
    <t>testBasicVP9</t>
  </si>
  <si>
    <t>testAsyncEncodingVP8</t>
  </si>
  <si>
    <t>testAsyncEncodingVP9</t>
  </si>
  <si>
    <t>testSyncFrameVP8</t>
  </si>
  <si>
    <t>testSyncFrameVP8Ndk</t>
  </si>
  <si>
    <t>testSyncFrameVP9</t>
  </si>
  <si>
    <t>testSyncFrameVP9Ndk</t>
  </si>
  <si>
    <t>testDynamicBitrateChangeVP8</t>
  </si>
  <si>
    <t>testDynamicBitrateChangeVP8Ndk</t>
  </si>
  <si>
    <t>testDynamicBitrateChangeVP9</t>
  </si>
  <si>
    <t>testDynamicBitrateChangeVP9Ndk</t>
  </si>
  <si>
    <t>testParallelEncodingAndDecodingVP8</t>
  </si>
  <si>
    <t>testParallelEncodingAndDecodingVP9</t>
  </si>
  <si>
    <t>testEncoderQualityVP8</t>
  </si>
  <si>
    <t>testEncoderQualityVP9</t>
  </si>
  <si>
    <t>assertSwitchToNewUser</t>
  </si>
  <si>
    <t>assertSwitchToUser</t>
  </si>
  <si>
    <t>waitForUserSwitchComplete</t>
  </si>
  <si>
    <t>AppCrashOnBootError</t>
  </si>
  <si>
    <t>errorLogsToPackageNames</t>
  </si>
  <si>
    <t>apply</t>
  </si>
  <si>
    <t>evaluateAndReturnAppCrashes</t>
  </si>
  <si>
    <t>verifyTimestampsWithSamplesDropSet</t>
  </si>
  <si>
    <t>assertPermissionsAcquired</t>
  </si>
  <si>
    <t>testDecodeStream4</t>
  </si>
  <si>
    <t>testSlowSwipe</t>
  </si>
  <si>
    <t>testFastSwipe</t>
  </si>
  <si>
    <t>testTwoFingerDrag</t>
  </si>
  <si>
    <t>testSingleTap</t>
  </si>
  <si>
    <t>testDoubleTapAccessibilityFocus</t>
  </si>
  <si>
    <t>testDoubleTapNoAccessibilityFocus</t>
  </si>
  <si>
    <t>testDoubleTapAndHoldAccessibilityFocus</t>
  </si>
  <si>
    <t>testDoubleTapAndHoldNoAccessibilityFocus</t>
  </si>
  <si>
    <t>checkCrash</t>
  </si>
  <si>
    <t>testNotifySessionLifecycle</t>
  </si>
  <si>
    <t>launchSendBubbleActivity</t>
  </si>
  <si>
    <t>testNotificationManagerBubblePolicy_noFlag_notEmbeddable</t>
  </si>
  <si>
    <t>testNotificationManagerBubblePolicy_noFlag_notDocumentLaunchModeAlways</t>
  </si>
  <si>
    <t>testOnOutgoingCallEmergencyNumberChanged</t>
  </si>
  <si>
    <t>defaultMap_containsAllStockAndroidMappings_mimeToExt</t>
  </si>
  <si>
    <t>defaultMap_containsAllExpectedMappings_extToMime</t>
  </si>
  <si>
    <t>defaultMap_agreesWithPublicApi</t>
  </si>
  <si>
    <t>testIsInEmergencyCall</t>
  </si>
  <si>
    <t>setSystemDialer</t>
  </si>
  <si>
    <t>waitToPreventAppSwitchProtection</t>
  </si>
  <si>
    <t>testLogHdAndWifi</t>
  </si>
  <si>
    <t>hasTestProvider</t>
  </si>
  <si>
    <t>hasGpsProvider</t>
  </si>
  <si>
    <t>hasProvider</t>
  </si>
  <si>
    <t>testGetProvidersWithCriteria</t>
  </si>
  <si>
    <t>deviceHasProvider</t>
  </si>
  <si>
    <t>forceRemoveTestProvider</t>
  </si>
  <si>
    <t>testLocationUpdatesWithLocationListener</t>
  </si>
  <si>
    <t>doLocationUpdatesWithLocationListener</t>
  </si>
  <si>
    <t>testReplaceRealProvidersWithMocks</t>
  </si>
  <si>
    <t>testLocationUpdatesWithLocationListenerAndLooper</t>
  </si>
  <si>
    <t>testLocationUpdatesWithPendingIntent</t>
  </si>
  <si>
    <t>testSingleUpdateWithLocationListenerAndLooper</t>
  </si>
  <si>
    <t>testLocationUpdatesWithCriteriaAndPendingIntent</t>
  </si>
  <si>
    <t>testSingleUpdateWithCriteriaAndPendingIntent</t>
  </si>
  <si>
    <t>testLocationUpdatesWithCriteriaAndLocationListenerAndLooper</t>
  </si>
  <si>
    <t>testSingleUpdateWithCriteriaAndLocationListenerAndLooper</t>
  </si>
  <si>
    <t>testSingleUpdateWithPendingIntent</t>
  </si>
  <si>
    <t>testNmeaListener</t>
  </si>
  <si>
    <t>testLocationShouldStillBeMarkedMockWhenProvidersDoNotMatch</t>
  </si>
  <si>
    <t>testGnssStatusListener</t>
  </si>
  <si>
    <t>testEnterProximity</t>
  </si>
  <si>
    <t>testEnterProximity_noexpire</t>
  </si>
  <si>
    <t>testExitProximity</t>
  </si>
  <si>
    <t>testInitiallyWithinProximity</t>
  </si>
  <si>
    <t>doTestEnterProximity</t>
  </si>
  <si>
    <t>updateLocationAndWait</t>
  </si>
  <si>
    <t>registerIntentReceiver</t>
  </si>
  <si>
    <t>registerProximityListener</t>
  </si>
  <si>
    <t>waitForReceiveBroadcast</t>
  </si>
  <si>
    <t>assertProximityType</t>
  </si>
  <si>
    <t>updateLocation</t>
  </si>
  <si>
    <t>updateFusedLocation</t>
  </si>
  <si>
    <t>createLocationCriteria</t>
  </si>
  <si>
    <t>mockFusedLocation</t>
  </si>
  <si>
    <t>unmockFusedLocation</t>
  </si>
  <si>
    <t>TestIntentReceiver</t>
  </si>
  <si>
    <t>getFilter</t>
  </si>
  <si>
    <t>getLastReceivedIntent</t>
  </si>
  <si>
    <t>clearReceivedIntents</t>
  </si>
  <si>
    <t>setLocationRequested</t>
  </si>
  <si>
    <t>hasCalledLocationRequested</t>
  </si>
  <si>
    <t>hasCalledOnLocationChanged</t>
  </si>
  <si>
    <t>hasCalledOnProviderDisabled</t>
  </si>
  <si>
    <t>hasCalledOnProviderEnabled</t>
  </si>
  <si>
    <t>hasCalledOnStatusChanged</t>
  </si>
  <si>
    <t>onLocationChanged</t>
  </si>
  <si>
    <t>onProviderDisabled</t>
  </si>
  <si>
    <t>onProviderEnabled</t>
  </si>
  <si>
    <t>onStatusChanged</t>
  </si>
  <si>
    <t>getProvider</t>
  </si>
  <si>
    <t>onNmeaMessage</t>
  </si>
  <si>
    <t>onSatelliteStatusChanged</t>
  </si>
  <si>
    <t>isSystemUser</t>
  </si>
  <si>
    <t>testExifInterfaceForRaw</t>
  </si>
  <si>
    <t>testGetGpsProvider_notAllowed</t>
  </si>
  <si>
    <t>testGetFineProvider_notAllowed</t>
  </si>
  <si>
    <t>doTestGetFineProvider_notAllowed</t>
  </si>
  <si>
    <t>testGetNetworkProvider_allowed</t>
  </si>
  <si>
    <t>testGetCoarseProvider_allowed</t>
  </si>
  <si>
    <t>doTestGetCoarseProvider_allowed</t>
  </si>
  <si>
    <t>testGetNetworkProviderLocationUpdates_withIntent</t>
  </si>
  <si>
    <t>testGetNetworkProviderLocationUpdates_withListener</t>
  </si>
  <si>
    <t>testGetCoarseLocationUpdates_withIntent</t>
  </si>
  <si>
    <t>testGetCoarseLocationUpdates_withListener</t>
  </si>
  <si>
    <t>testGnssProvidedClock</t>
  </si>
  <si>
    <t>doTestGetLocationUpdates_withIntent</t>
  </si>
  <si>
    <t>doTestGetLocationUpdates_withListener</t>
  </si>
  <si>
    <t>testGetProviders</t>
  </si>
  <si>
    <t>grantRuntimePermission</t>
  </si>
  <si>
    <t>distance</t>
  </si>
  <si>
    <t>testCellIdentityNr_Override</t>
  </si>
  <si>
    <t>testCellCellSignalStrength_Override</t>
  </si>
  <si>
    <t>assertSyntheticMethodOverloadExists</t>
  </si>
  <si>
    <t>methodMatches</t>
  </si>
  <si>
    <t>startTileService</t>
  </si>
  <si>
    <t>toggleServiceAccess</t>
  </si>
  <si>
    <t>expandSettings</t>
  </si>
  <si>
    <t>PipActivityTest</t>
  </si>
  <si>
    <t>testLaunchPipActivity</t>
  </si>
  <si>
    <t>waitAndAssertCondition</t>
  </si>
  <si>
    <t>testBidiVisibleEnd</t>
  </si>
  <si>
    <t>multiplyAlpha</t>
  </si>
  <si>
    <t>AsusGamepadTestCase</t>
  </si>
  <si>
    <t>testAllKeys</t>
  </si>
  <si>
    <t>testAllMotions</t>
  </si>
  <si>
    <t>MicrosoftSculpttouchTestCase</t>
  </si>
  <si>
    <t>SonyDualshock4TestCase</t>
  </si>
  <si>
    <t>isKnownLocationProvider</t>
  </si>
  <si>
    <t>testListenCellLocation</t>
  </si>
  <si>
    <t>testListenCellLocation2</t>
  </si>
  <si>
    <t>checkRequestLocationUpdates</t>
  </si>
  <si>
    <t>testRequestLocationUpdatesNetwork</t>
  </si>
  <si>
    <t>testRequestLocationUpdatesGps</t>
  </si>
  <si>
    <t>testAddProximityAlert</t>
  </si>
  <si>
    <t>checkGetLastKnownLocation</t>
  </si>
  <si>
    <t>testGetLastKnownLocationGps</t>
  </si>
  <si>
    <t>testGetLastKnownLocationNetwork</t>
  </si>
  <si>
    <t>checkGetProvider</t>
  </si>
  <si>
    <t>testGetProviderGps</t>
  </si>
  <si>
    <t>testGetProviderNetwork</t>
  </si>
  <si>
    <t>checkIsProviderEnabled</t>
  </si>
  <si>
    <t>testIsProviderEnabledGps</t>
  </si>
  <si>
    <t>testIsProviderEnabledNetwork</t>
  </si>
  <si>
    <t>testRemoveTestProvider</t>
  </si>
  <si>
    <t>testExifInterfaceForJpeg</t>
  </si>
  <si>
    <t>testReadExifDataFromStandaloneData</t>
  </si>
  <si>
    <t>testReadExifDataFromExifByteOrderIIPng</t>
  </si>
  <si>
    <t>testReadExifDataFromExifByteOrderIIWebp</t>
  </si>
  <si>
    <t>setUpTests</t>
  </si>
  <si>
    <t>testA11yWindowNotifyWhenResizeActivityView</t>
  </si>
  <si>
    <t>testBubbleMetadataBuilder_throwForBitmapIcon</t>
  </si>
  <si>
    <t>testRebootLogicalAddress</t>
  </si>
  <si>
    <t>testOneTouchPlay</t>
  </si>
  <si>
    <t>testRebootPhysicalAddress</t>
  </si>
  <si>
    <t>testRequestActiveSource</t>
  </si>
  <si>
    <t>testInactiveSourceOnStandby</t>
  </si>
  <si>
    <t>testAck</t>
  </si>
  <si>
    <t>testGivePhysicalAddress</t>
  </si>
  <si>
    <t>testGiveCecVersion</t>
  </si>
  <si>
    <t>testGetMenuLanguage</t>
  </si>
  <si>
    <t>testTFLite</t>
  </si>
  <si>
    <t>testSaveThenStartNewSessionRightAway</t>
  </si>
  <si>
    <t>TestStep</t>
  </si>
  <si>
    <t>hasPassed</t>
  </si>
  <si>
    <t>createUiElements</t>
  </si>
  <si>
    <t>setOnDoneListener</t>
  </si>
  <si>
    <t>onButtonClickRunTest</t>
  </si>
  <si>
    <t>setPassingState</t>
  </si>
  <si>
    <t>testHdmiCecAvailability</t>
  </si>
  <si>
    <t>verifyNoPermission</t>
  </si>
  <si>
    <t>manageRoleFromsFromControllerPermissionShouldBeDeclaredByPermissionController</t>
  </si>
  <si>
    <t>testAppInstalls</t>
  </si>
  <si>
    <t>testHardwareModelName</t>
  </si>
  <si>
    <t>verifyTestValues</t>
  </si>
  <si>
    <t>setTestValues</t>
  </si>
  <si>
    <t>generateTestSingleSatCorrection</t>
  </si>
  <si>
    <t>generateTestReflectingPlane</t>
  </si>
  <si>
    <t>createLocation</t>
  </si>
  <si>
    <t>directExecutor</t>
  </si>
  <si>
    <t>assertLocationEquals</t>
  </si>
  <si>
    <t>testIsLocationEnabled</t>
  </si>
  <si>
    <t>testIsProviderEnabled</t>
  </si>
  <si>
    <t>testGetLastKnownLocation</t>
  </si>
  <si>
    <t>testGetCurrentLocation</t>
  </si>
  <si>
    <t>testGetCurrentLocation_DirectExecutor</t>
  </si>
  <si>
    <t>testGetCurrentLocation_Cancellation</t>
  </si>
  <si>
    <t>testGetCurrentLocation_ProviderDisabled</t>
  </si>
  <si>
    <t>testRequestLocationUpdates</t>
  </si>
  <si>
    <t>testRequestLocationUpdates_PendingIntent</t>
  </si>
  <si>
    <t>testRequestLocationUpdates_DirectExecutor</t>
  </si>
  <si>
    <t>testRequestLocationUpdates_Looper</t>
  </si>
  <si>
    <t>testRequestLocationUpdates_Criteria</t>
  </si>
  <si>
    <t>testRequestLocationUpdates_ReplaceRequest</t>
  </si>
  <si>
    <t>testRequestLocationUpdates_NumUpdates</t>
  </si>
  <si>
    <t>testRequestLocationUpdates_MinTime</t>
  </si>
  <si>
    <t>testRequestLocationUpdates_MinDistance</t>
  </si>
  <si>
    <t>testGetAllProviders</t>
  </si>
  <si>
    <t>testGetProviders_Criteria</t>
  </si>
  <si>
    <t>testGetBestProvider</t>
  </si>
  <si>
    <t>testGetProvider</t>
  </si>
  <si>
    <t>testSetTestProviderLocation_B33091107</t>
  </si>
  <si>
    <t>testAddProximityAlert_StartProximate</t>
  </si>
  <si>
    <t>testAddProximityAlert_Expires</t>
  </si>
  <si>
    <t>testGetGnssYearOfHardware</t>
  </si>
  <si>
    <t>testGetGnssHardwareModelName</t>
  </si>
  <si>
    <t>testRegisterGnssStatusCallback</t>
  </si>
  <si>
    <t>testAddNmeaListener</t>
  </si>
  <si>
    <t>testRegisterGnssMeasurementsCallback</t>
  </si>
  <si>
    <t>testRegisterGnssNavigationMessageCallback</t>
  </si>
  <si>
    <t>hasGpsFeature</t>
  </si>
  <si>
    <t>isNotSystemUser</t>
  </si>
  <si>
    <t>LocationListenerCapture</t>
  </si>
  <si>
    <t>getNextLocation</t>
  </si>
  <si>
    <t>getNextProviderChange</t>
  </si>
  <si>
    <t>LocationPendingIntentCapture</t>
  </si>
  <si>
    <t>getPendingIntent</t>
  </si>
  <si>
    <t>ProximityPendingIntentCapture</t>
  </si>
  <si>
    <t>getNextProximityChange</t>
  </si>
  <si>
    <t>GetCurrentLocationCapture</t>
  </si>
  <si>
    <t>getCancellationSignal</t>
  </si>
  <si>
    <t>testGetName</t>
  </si>
  <si>
    <t>testMeetsCriteria</t>
  </si>
  <si>
    <t>testSettingInjectorService</t>
  </si>
  <si>
    <t>SettingInjectorResultHandler</t>
  </si>
  <si>
    <t>expectEnabled</t>
  </si>
  <si>
    <t>expectMessage</t>
  </si>
  <si>
    <t>waitForMessage</t>
  </si>
  <si>
    <t>SettingInjectorServiceDerived</t>
  </si>
  <si>
    <t>onGetSummary</t>
  </si>
  <si>
    <t>onGetEnabled</t>
  </si>
  <si>
    <t>callOnBind</t>
  </si>
  <si>
    <t>callOnStart</t>
  </si>
  <si>
    <t>callOnStartCommand</t>
  </si>
  <si>
    <t>testAppInstall</t>
  </si>
  <si>
    <t>testSplitsInstall</t>
  </si>
  <si>
    <t>testSplitsUpdate</t>
  </si>
  <si>
    <t>testSplitsUninstall</t>
  </si>
  <si>
    <t>testSplitsRemove</t>
  </si>
  <si>
    <t>removeSplits</t>
  </si>
  <si>
    <t>commitSession</t>
  </si>
  <si>
    <t>getSplits</t>
  </si>
  <si>
    <t>createApkPath</t>
  </si>
  <si>
    <t>installSplits</t>
  </si>
  <si>
    <t>uninstallSplits</t>
  </si>
  <si>
    <t>testNoAccessToPasswordThruMixedCase</t>
  </si>
  <si>
    <t>testNoAccessViaSubqueries</t>
  </si>
  <si>
    <t>testNoAccessToUserWithDifferentUri</t>
  </si>
  <si>
    <t>testNoAccessToPasswordThruSort</t>
  </si>
  <si>
    <t>testNoAccessToUser</t>
  </si>
  <si>
    <t>testNoAccessToPassword</t>
  </si>
  <si>
    <t>testLowerApiLevelCompatibility</t>
  </si>
  <si>
    <t>openAppDetailsAndSetDefaultAppThenIsDefaultApp</t>
  </si>
  <si>
    <t>clickAllowAlwaysButton</t>
  </si>
  <si>
    <t>testLockTask_defaultDialer</t>
  </si>
  <si>
    <t>testFailInstallAnotherSessionAlreadyInProgress_BothSinglePackage</t>
  </si>
  <si>
    <t>testFailInstallAnotherSessionAlreadyInProgress_SinglePackageMultiPackage</t>
  </si>
  <si>
    <t>testFailInstallAnotherSessionAlreadyInProgress_MultiPackageSinglePackage</t>
  </si>
  <si>
    <t>testFailInstallAnotherSessionAlreadyInProgress_BothMultiPackage</t>
  </si>
  <si>
    <t>testGetActiveStagedSession</t>
  </si>
  <si>
    <t>testGetActiveStagedSessionNoSessionActive</t>
  </si>
  <si>
    <t>testGetGetActiveStagedSession_MultiApkSession</t>
  </si>
  <si>
    <t>getGetActiveStagedSession_MultiApkSession</t>
  </si>
  <si>
    <t>clickAllowAlwaysFromGrantDialog</t>
  </si>
  <si>
    <t>testSendSmsMessage</t>
  </si>
  <si>
    <t>testSendSmsDataMessage</t>
  </si>
  <si>
    <t>shouldParseContentDisposition</t>
  </si>
  <si>
    <t>doesSupportMMS</t>
  </si>
  <si>
    <t>testWifiConnection</t>
  </si>
  <si>
    <t>isReachable</t>
  </si>
  <si>
    <t>testKeyDowngradeFailIfMismatch</t>
  </si>
  <si>
    <t>sendAndWaitForBroadcast</t>
  </si>
  <si>
    <t>runConfigTests</t>
  </si>
  <si>
    <t>getEglConfigIds</t>
  </si>
  <si>
    <t>assertSetOpportunisticInvalidParameter</t>
  </si>
  <si>
    <t>testAfterRotationOldKeyIsRejected</t>
  </si>
  <si>
    <t>installV3SignedBobApex</t>
  </si>
  <si>
    <t>turnScreenOn</t>
  </si>
  <si>
    <t>executeShellCmd</t>
  </si>
  <si>
    <t>isScreenInteractive</t>
  </si>
  <si>
    <t>isKeyguardLocked</t>
  </si>
  <si>
    <t>TestStepBase</t>
  </si>
  <si>
    <t>enableButton</t>
  </si>
  <si>
    <t>disableButton</t>
  </si>
  <si>
    <t>doneWithPassingState</t>
  </si>
  <si>
    <t>TestSequence</t>
  </si>
  <si>
    <t>onAllStepsDone</t>
  </si>
  <si>
    <t>awaitPrivateDnsSetting</t>
  </si>
  <si>
    <t>grantProfileOwnerDeviceIdsAccess</t>
  </si>
  <si>
    <t>clearPassword</t>
  </si>
  <si>
    <t>testClearPassword</t>
  </si>
  <si>
    <t>getPasswordState</t>
  </si>
  <si>
    <t>testResetPasswordManagedProfile</t>
  </si>
  <si>
    <t>testResetPasswordDisabled</t>
  </si>
  <si>
    <t>testResetPasswordEnabled</t>
  </si>
  <si>
    <t>assertResetPasswordEnabled</t>
  </si>
  <si>
    <t>clearPasswordForDeviceOwner</t>
  </si>
  <si>
    <t>testRunDeviceOwnerPasswordTest</t>
  </si>
  <si>
    <t>testLowLatencyAVC</t>
  </si>
  <si>
    <t>testLowLatencyHEVC</t>
  </si>
  <si>
    <t>doNotTestCallWithThirdPartyCarModeApp</t>
  </si>
  <si>
    <t>testLockScreenInfo</t>
  </si>
  <si>
    <t>performShortcut_withoutPermission_fails</t>
  </si>
  <si>
    <t>performShortcut_withPermission_succeeds</t>
  </si>
  <si>
    <t>configureShortcut</t>
  </si>
  <si>
    <t>resetStates</t>
  </si>
  <si>
    <t>getOriginalOverrideService</t>
  </si>
  <si>
    <t>isSystemTextClassifierEnabled</t>
  </si>
  <si>
    <t>waitServiceLazyConnect</t>
  </si>
  <si>
    <t>resetService</t>
  </si>
  <si>
    <t>resetOriginalService</t>
  </si>
  <si>
    <t>MicrosoftXboxonesTest</t>
  </si>
  <si>
    <t>testManageOverlayPermissionIntentWithDataResolvesToSameIntentWithoutData</t>
  </si>
  <si>
    <t>createManagedScreenDensitySession</t>
  </si>
  <si>
    <t>HomeHelper</t>
  </si>
  <si>
    <t>goHome</t>
  </si>
  <si>
    <t>testProfileOwnerCanGetDeviceIdentifiersWithPermission</t>
  </si>
  <si>
    <t>testProfileOwnerCannotGetDeviceIdentifiersWithoutPermission</t>
  </si>
  <si>
    <t>testCannotGetWifiMacAddress</t>
  </si>
  <si>
    <t>testWifiMacAddress</t>
  </si>
  <si>
    <t>getOpusDecoderMediaCodecInfoList</t>
  </si>
  <si>
    <t>isOpusSupported</t>
  </si>
  <si>
    <t>testAdminServiceIsBound</t>
  </si>
  <si>
    <t>testMkvWithoutCueSeek</t>
  </si>
  <si>
    <t>testCropNegativeLeftAnimated</t>
  </si>
  <si>
    <t>testCropNegativeTopAnimated</t>
  </si>
  <si>
    <t>testCropTooWideAnimated</t>
  </si>
  <si>
    <t>testCropResizeAnimated</t>
  </si>
  <si>
    <t>testOnSafeBrowsingHitBackToSafety</t>
  </si>
  <si>
    <t>testOnSafeBrowsingHitProceed</t>
  </si>
  <si>
    <t>testOnSafeBrowsingMalwareCode</t>
  </si>
  <si>
    <t>testOnSafeBrowsingPhishingCode</t>
  </si>
  <si>
    <t>testOnSafeBrowsingUnwantedSoftwareCode</t>
  </si>
  <si>
    <t>testOnSafeBrowsingBillingCode</t>
  </si>
  <si>
    <t>testGetSmsMessagesForFinancialAppPermissionNotRequested</t>
  </si>
  <si>
    <t>isAtLeastQApi</t>
  </si>
  <si>
    <t>testTintedStrokeWithoutSolidColor</t>
  </si>
  <si>
    <t>testPocBug_120644655</t>
  </si>
  <si>
    <t>testContributedMedia</t>
  </si>
  <si>
    <t>getExternalPackageSize</t>
  </si>
  <si>
    <t>getExternalTotalSize</t>
  </si>
  <si>
    <t>getVisibleIds</t>
  </si>
  <si>
    <t>assumeWallpaperSupported</t>
  </si>
  <si>
    <t>testAddDisallowAddManagedProfileRestriction</t>
  </si>
  <si>
    <t>testClearDisallowAddManagedProfileRestriction</t>
  </si>
  <si>
    <t>testAddDisallowRemoveManagedProfileRestriction</t>
  </si>
  <si>
    <t>testClearDisallowRemoveManagedProfileRestriction</t>
  </si>
  <si>
    <t>testFeatureConsistent</t>
  </si>
  <si>
    <t>testIncludePending</t>
  </si>
  <si>
    <t>testSimple</t>
  </si>
  <si>
    <t>synchronized</t>
  </si>
  <si>
    <t>testApiReturnValues_shouldChangeValueOnRequestAndSendCallback</t>
  </si>
  <si>
    <t>secondServiceChangingTheShowMode_updatesModeAndNotifiesFirstService</t>
  </si>
  <si>
    <t>assertCanSetAndGetShowModeAndCallbackHappens</t>
  </si>
  <si>
    <t>waitForCallbackValueWithLock</t>
  </si>
  <si>
    <t>SoftKeyboardModesActivity</t>
  </si>
  <si>
    <t>testSetRestrictionMode_missingPermission_throwsException</t>
  </si>
  <si>
    <t>testGetRestrictionMode_missingPermission_throwsException</t>
  </si>
  <si>
    <t>testSaveUxRestrictionsConfigurationForNextBoot_missingPermission_throwsException</t>
  </si>
  <si>
    <t>isUserspaceRebootSupported</t>
  </si>
  <si>
    <t>testStorageTargetingSdk30_cannotOptOut</t>
  </si>
  <si>
    <t>maybeClick</t>
  </si>
  <si>
    <t>maybeGrantRuntimePermission</t>
  </si>
  <si>
    <t>testImageCaptureWithInadequeteLocationPermissions</t>
  </si>
  <si>
    <t>testImageCaptureWithoutLocation</t>
  </si>
  <si>
    <t>grantSelfRequisitePermissions</t>
  </si>
  <si>
    <t>getImageCaptureIntentResult</t>
  </si>
  <si>
    <t>assertAttribute</t>
  </si>
  <si>
    <t>testNotificationManagerBubblePolicy_noFlagForAppNotForeground</t>
  </si>
  <si>
    <t>updateImsRegistration</t>
  </si>
  <si>
    <t>testBuilder_setFilteredValueWithPresentationNullFilter</t>
  </si>
  <si>
    <t>testBuilder_setFilteredValueWithPresentationNullPresentation</t>
  </si>
  <si>
    <t>getAsResourceUri</t>
  </si>
  <si>
    <t>testCanRequestInteractAcrossProfiles_returnsFalse</t>
  </si>
  <si>
    <t>testCanRequestInteractAcrossProfiles_returnsTrue</t>
  </si>
  <si>
    <t>testCanInteractAcrossProfiles_withAppOpEnabled_returnsTrue</t>
  </si>
  <si>
    <t>testCanInteractAcrossProfiles_withCrossProfilesPermission_returnsTrue</t>
  </si>
  <si>
    <t>testCanInteractAcrossProfiles_withCrossUsersPermission_returnsTrue</t>
  </si>
  <si>
    <t>testCanInteractAcrossProfiles_withCrossUsersFullPermission_returnsTrue</t>
  </si>
  <si>
    <t>testCanInteractAcrossProfiles_withAppOpDisabled_returnsFalse</t>
  </si>
  <si>
    <t>testCanInteractAcrossProfiles_withNoOtherProfile_returnsFalse</t>
  </si>
  <si>
    <t>CStoDS</t>
  </si>
  <si>
    <t>testNdkDataSpaceF16Extended</t>
  </si>
  <si>
    <t>testNdkDataSpaceNonExtended</t>
  </si>
  <si>
    <t>testNdkDataSpace</t>
  </si>
  <si>
    <t>testNdkDataSpaceAlpha8</t>
  </si>
  <si>
    <t>testNdkDataSpaceNullBitmap</t>
  </si>
  <si>
    <t>injectInstrumentation</t>
  </si>
  <si>
    <t>sendExpediteStableChargingBroadcast</t>
  </si>
  <si>
    <t>assertHasUriPermission</t>
  </si>
  <si>
    <t>getJobState</t>
  </si>
  <si>
    <t>assertJobReady</t>
  </si>
  <si>
    <t>assertJobWaiting</t>
  </si>
  <si>
    <t>assertJobNotReady</t>
  </si>
  <si>
    <t>runMediaTest</t>
  </si>
  <si>
    <t>getTxPacketCount</t>
  </si>
  <si>
    <t>testWifiWatchdog</t>
  </si>
  <si>
    <t>testProvisionManagedProfileAllowed</t>
  </si>
  <si>
    <t>testCanRemoveManagedProfile</t>
  </si>
  <si>
    <t>testCannotStartManagedProfileInBackground</t>
  </si>
  <si>
    <t>testCannotStopManagedProfile</t>
  </si>
  <si>
    <t>testCannotLogoutManagedProfile</t>
  </si>
  <si>
    <t>testEnableProfile</t>
  </si>
  <si>
    <t>testIsProvisioningAllowedTrueForManagedProfileAction</t>
  </si>
  <si>
    <t>testBindDeviceAdminServiceAsUser_canBindEvenIfProfileNotEnabled</t>
  </si>
  <si>
    <t>testBindDeviceAdminServiceAsUser_byodPlusDeviceOwnerCannotBind</t>
  </si>
  <si>
    <t>testBindDeviceAdminServiceAsUser_compPlusSecondaryUser</t>
  </si>
  <si>
    <t>testWipeData_managedProfile</t>
  </si>
  <si>
    <t>testWipeData_managedProfileLogged</t>
  </si>
  <si>
    <t>testTransferAffiliatedProfileOwnershipCompleteCallback</t>
  </si>
  <si>
    <t>testTransferAffiliatedProfileOwnershipInComp</t>
  </si>
  <si>
    <t>testBubbleMetadataBuilder_throwForNoIntent</t>
  </si>
  <si>
    <t>testBubbleMetadataBuilder_throwForNoIcon</t>
  </si>
  <si>
    <t>testSharedServicesPresent</t>
  </si>
  <si>
    <t>testDefaultTrustAgent_onlyHaveCarBleTrustAgent</t>
  </si>
  <si>
    <t>testSetAlphaResources</t>
  </si>
  <si>
    <t>testAddUserRestriction_onParent</t>
  </si>
  <si>
    <t>testHasUserRestriction</t>
  </si>
  <si>
    <t>testUserRestrictionAreNotPersisted</t>
  </si>
  <si>
    <t>testDecodeResourceSampled</t>
  </si>
  <si>
    <t>testVoiceCallAudioSourcePermissions</t>
  </si>
  <si>
    <t>commitSessionStdIn</t>
  </si>
  <si>
    <t>testDispatchInsets_consumeDoesntStopDispatch</t>
  </si>
  <si>
    <t>testAccessView</t>
  </si>
  <si>
    <t>testAccessDuration</t>
  </si>
  <si>
    <t>testAccessDuration_withA11yTimeoutEnabled</t>
  </si>
  <si>
    <t>testAccessMargin</t>
  </si>
  <si>
    <t>testAccessGravity</t>
  </si>
  <si>
    <t>testCanStartMainActivity</t>
  </si>
  <si>
    <t>testCanStartNonMainActivity</t>
  </si>
  <si>
    <t>testCannotStartNotExportedActivity</t>
  </si>
  <si>
    <t>testCannotStartActivityInOtherPackage</t>
  </si>
  <si>
    <t>testGetService</t>
  </si>
  <si>
    <t>testNoNetlinkRouteBind</t>
  </si>
  <si>
    <t>testLogEntries</t>
  </si>
  <si>
    <t>testBindServiceAsUser_sameProfileGroup_withInteractAcrossUsersPermission_bindsService</t>
  </si>
  <si>
    <t>testBindServiceAsUser_sameProfileGroup_withInteractAcrossProfilesPermission_bindsService</t>
  </si>
  <si>
    <t>testBindServiceAsUser_sameProfileGroup_withInteractAcrossProfilesAppOp_bindsService</t>
  </si>
  <si>
    <t>testMediaSandboxedFull</t>
  </si>
  <si>
    <t>testMediaNoneFull</t>
  </si>
  <si>
    <t>testMediaReadFull</t>
  </si>
  <si>
    <t>testMediaWriteFull</t>
  </si>
  <si>
    <t>testMediaEscalationFull</t>
  </si>
  <si>
    <t>testSetTextFromStringNullView</t>
  </si>
  <si>
    <t>testSystemUpdatePolicy</t>
  </si>
  <si>
    <t>testInstallUpdate</t>
  </si>
  <si>
    <t>testInstallUpdateLogged</t>
  </si>
  <si>
    <t>isDeviceAb</t>
  </si>
  <si>
    <t>pushUpdateFileToDevice</t>
  </si>
  <si>
    <t>testSetSystemUpdatePolicy_failIfNotDeviceOwner</t>
  </si>
  <si>
    <t>crossProduct</t>
  </si>
  <si>
    <t>compressFormats</t>
  </si>
  <si>
    <t>testEncodeP3</t>
  </si>
  <si>
    <t>getConfigString</t>
  </si>
  <si>
    <t>triggerImsOnRegistered</t>
  </si>
  <si>
    <t>triggerImsOnRegistering</t>
  </si>
  <si>
    <t>triggerImsOnDeregistered</t>
  </si>
  <si>
    <t>triggerImsOnTechnologyChangeFailed</t>
  </si>
  <si>
    <t>notifyRcsCapabilitiesStatusChanged</t>
  </si>
  <si>
    <t>isRcsCapable</t>
  </si>
  <si>
    <t>isRcsAvailable</t>
  </si>
  <si>
    <t>triggerFrameworkConnectToDeviceImsServiceBindRcsFeature</t>
  </si>
  <si>
    <t>ensureDefaultSmsApp</t>
  </si>
  <si>
    <t>setupTestEnvironment</t>
  </si>
  <si>
    <t>testRcs1To1Thread_isGroupReturnsFalse</t>
  </si>
  <si>
    <t>testRcs1To1Thread_fallbackThreadIdCanBeSet</t>
  </si>
  <si>
    <t>testCreateRcsEvent_canSaveAndQueryGroupThreadParticipantJoinedEvent</t>
  </si>
  <si>
    <t>testCreateRcsEvent_canSaveAndQueryGroupThreadNameChangedEvent</t>
  </si>
  <si>
    <t>testCreateRcsEvent_canSaveAndQueryParticipantAliasChangedEvent</t>
  </si>
  <si>
    <t>testCreateRcsEvent_canSaveAndQueryGroupThreadParticipantLeftEvent</t>
  </si>
  <si>
    <t>testCreateRcsEvent_canSaveAndQueryGroupThreadIconChangedEvent</t>
  </si>
  <si>
    <t>assertMatchingEventInQuery</t>
  </si>
  <si>
    <t>matchesGroupThreadEvent</t>
  </si>
  <si>
    <t>matchesRcsEventFields</t>
  </si>
  <si>
    <t>testCreateRcsParticipant_returnsValidParticipant</t>
  </si>
  <si>
    <t>testCreateRcsParticipant_shouldNotCrashForExistingCanonicalAddress</t>
  </si>
  <si>
    <t>createAndValidateParticipant</t>
  </si>
  <si>
    <t>testRcsProvider_shouldNotHaveAccess</t>
  </si>
  <si>
    <t>DummyBlobData</t>
  </si>
  <si>
    <t>prepare</t>
  </si>
  <si>
    <t>getBlobHandle</t>
  </si>
  <si>
    <t>delete</t>
  </si>
  <si>
    <t>writeToSession</t>
  </si>
  <si>
    <t>writeToFd</t>
  </si>
  <si>
    <t>copy</t>
  </si>
  <si>
    <t>readFromSessionAndVerifyBytes</t>
  </si>
  <si>
    <t>readFromSessionAndVerifyDigest</t>
  </si>
  <si>
    <t>verifyBlob</t>
  </si>
  <si>
    <t>createSha256Digest</t>
  </si>
  <si>
    <t>writeRandomData</t>
  </si>
  <si>
    <t>startLockTask</t>
  </si>
  <si>
    <t>cleanupLockTask</t>
  </si>
  <si>
    <t>testGetIntentForBackgroundReceiversWithPermission</t>
  </si>
  <si>
    <t>testStagefright_cve_2019_10488</t>
  </si>
  <si>
    <t>createArgsFromLastTestRun</t>
  </si>
  <si>
    <t>testGetDocuments</t>
  </si>
  <si>
    <t>getPackageManager</t>
  </si>
  <si>
    <t>testFgsLocation</t>
  </si>
  <si>
    <t>isBleSupported</t>
  </si>
  <si>
    <t>testStagefrightANR_cve_2018_11285</t>
  </si>
  <si>
    <t>testSetTextFromStringNonNullView</t>
  </si>
  <si>
    <t>testTryEnableQuiteMore_noCredentialRequest</t>
  </si>
  <si>
    <t>testOnRoutesAdded</t>
  </si>
  <si>
    <t>testOnRoutesRemoved</t>
  </si>
  <si>
    <t>testRouteFeatures</t>
  </si>
  <si>
    <t>testRouterOnSessionCreated</t>
  </si>
  <si>
    <t>testGetRoutingControllers</t>
  </si>
  <si>
    <t>testSelectAndTransferAndRelease</t>
  </si>
  <si>
    <t>testControlVolumeWithManager</t>
  </si>
  <si>
    <t>testVolumeHandling</t>
  </si>
  <si>
    <t>waitAndGetRoutesWithManager</t>
  </si>
  <si>
    <t>awaitOnRouteChangedManager</t>
  </si>
  <si>
    <t>createRouteMap</t>
  </si>
  <si>
    <t>addManagerCallback</t>
  </si>
  <si>
    <t>addRouterCallback</t>
  </si>
  <si>
    <t>addSessionCallback</t>
  </si>
  <si>
    <t>clearCallbacks</t>
  </si>
  <si>
    <t>releaseAllSessions</t>
  </si>
  <si>
    <t>testSetOnContentApplyWindowInsetsListener</t>
  </si>
  <si>
    <t>testSetOnContentApplyWindowInsetsListener_defaultLegacy_sysuiFlags</t>
  </si>
  <si>
    <t>testSetOnContentApplyWindowInsetsListener_defaultLegacy_none</t>
  </si>
  <si>
    <t>setOnContentApplyWindowInsetsListener</t>
  </si>
  <si>
    <t>resetOnContentApplyWindowInsetsListener</t>
  </si>
  <si>
    <t>changeAndVerifySubscriptionEnabledValue</t>
  </si>
  <si>
    <t>testDecodeShortInput</t>
  </si>
  <si>
    <t>runDecodeShortInput</t>
  </si>
  <si>
    <t>getRouteIds</t>
  </si>
  <si>
    <t>toUniqueId</t>
  </si>
  <si>
    <t>testPrimaryNoAccess</t>
  </si>
  <si>
    <t>testSetConvexPath</t>
  </si>
  <si>
    <t>testSetConvexPathConcave</t>
  </si>
  <si>
    <t>AuthenticationCallback</t>
  </si>
  <si>
    <t>onRequestPermissionsResult</t>
  </si>
  <si>
    <t>showBiometricPrompt</t>
  </si>
  <si>
    <t>showToastAndLog</t>
  </si>
  <si>
    <t>showInstructionDialogForStringsTest</t>
  </si>
  <si>
    <t>showCheckStringsDialog</t>
  </si>
  <si>
    <t>onPermissionsGranted</t>
  </si>
  <si>
    <t>getTitleRes</t>
  </si>
  <si>
    <t>getDescriptionRes</t>
  </si>
  <si>
    <t>testRouteInfoEquality</t>
  </si>
  <si>
    <t>testControlVolumeWithRouter</t>
  </si>
  <si>
    <t>testRendering800x480Rotated90</t>
  </si>
  <si>
    <t>testRendering800x480Rotated180</t>
  </si>
  <si>
    <t>testRendering800x480Rotated270</t>
  </si>
  <si>
    <t>testRendering800x480Rotated360</t>
  </si>
  <si>
    <t>assertNotificationPolicyEquals</t>
  </si>
  <si>
    <t>EncoderEventListener</t>
  </si>
  <si>
    <t>makeColor</t>
  </si>
  <si>
    <t>testRendering800x480AvcRotated090</t>
  </si>
  <si>
    <t>testRendering800x480AvcRotated180</t>
  </si>
  <si>
    <t>testRendering800x480AvcRotated270</t>
  </si>
  <si>
    <t>testRendering800x480AvcRotated360</t>
  </si>
  <si>
    <t>testRendering800x480HevcRotated090</t>
  </si>
  <si>
    <t>testRendering800x480HevcRotated180</t>
  </si>
  <si>
    <t>testRendering800x480HevcRotated270</t>
  </si>
  <si>
    <t>testRendering800x480HevcRotated360</t>
  </si>
  <si>
    <t>testRendering800x480Vp8Rotated090</t>
  </si>
  <si>
    <t>testRendering800x480Vp8Rotated180</t>
  </si>
  <si>
    <t>testRendering800x480Vp8Rotated270</t>
  </si>
  <si>
    <t>testRendering800x480Vp8Rotated360</t>
  </si>
  <si>
    <t>testRendering800x480Vp9Rotated090</t>
  </si>
  <si>
    <t>testRendering800x480Vp9Rotated180</t>
  </si>
  <si>
    <t>testRendering800x480Vp9Rotated270</t>
  </si>
  <si>
    <t>testRendering800x480Vp9Rotated360</t>
  </si>
  <si>
    <t>testRendering800x480Av1Rotated090</t>
  </si>
  <si>
    <t>testRendering800x480Av1Rotated180</t>
  </si>
  <si>
    <t>testRendering800x480Av1Rotated270</t>
  </si>
  <si>
    <t>testRendering800x480Av1Rotated360</t>
  </si>
  <si>
    <t>testRendering800x480Rotated</t>
  </si>
  <si>
    <t>runTestRenderingInSeparateThread</t>
  </si>
  <si>
    <t>doTestRenderingOutput</t>
  </si>
  <si>
    <t>renderColorAndCheckResult</t>
  </si>
  <si>
    <t>renderRotationAndCheckResult</t>
  </si>
  <si>
    <t>checkRotatedFrameQuadrants</t>
  </si>
  <si>
    <t>checkSurfaceFrameColor</t>
  </si>
  <si>
    <t>approxEquals</t>
  </si>
  <si>
    <t>doTestVirtualDisplayRecycles</t>
  </si>
  <si>
    <t>startEncoding</t>
  </si>
  <si>
    <t>stopEncoding</t>
  </si>
  <si>
    <t>doEncoding</t>
  </si>
  <si>
    <t>startComposition</t>
  </si>
  <si>
    <t>stopComposition</t>
  </si>
  <si>
    <t>getWindowSurface</t>
  </si>
  <si>
    <t>recreateWindows</t>
  </si>
  <si>
    <t>requestUpdate</t>
  </si>
  <si>
    <t>initGl</t>
  </si>
  <si>
    <t>createWindows</t>
  </si>
  <si>
    <t>cleanupGl</t>
  </si>
  <si>
    <t>doGlRendering</t>
  </si>
  <si>
    <t>doRecreateWindows</t>
  </si>
  <si>
    <t>waitForStartCompletion</t>
  </si>
  <si>
    <t>GlWindow</t>
  </si>
  <si>
    <t>markTextureUpdated</t>
  </si>
  <si>
    <t>updateTexImageIfNecessary</t>
  </si>
  <si>
    <t>getSurfaceTexture</t>
  </si>
  <si>
    <t>GlException</t>
  </si>
  <si>
    <t>RotateVirtualDisplayPresentation</t>
  </si>
  <si>
    <t>doCreatePresentation</t>
  </si>
  <si>
    <t>VirtualDisplayPresentation</t>
  </si>
  <si>
    <t>createVirtualDisplay</t>
  </si>
  <si>
    <t>destroyVirtualDisplay</t>
  </si>
  <si>
    <t>createPresentation</t>
  </si>
  <si>
    <t>getPresentation</t>
  </si>
  <si>
    <t>dismissPresentation</t>
  </si>
  <si>
    <t>TestPresentationBase</t>
  </si>
  <si>
    <t>TestRotatePresentation</t>
  </si>
  <si>
    <t>TopWindowPresentation</t>
  </si>
  <si>
    <t>populateWindows</t>
  </si>
  <si>
    <t>waitForSurfaceReady</t>
  </si>
  <si>
    <t>TopWindowVirtualDisplayPresentation</t>
  </si>
  <si>
    <t>RemoteVirtualDisplayPresentation</t>
  </si>
  <si>
    <t>connect</t>
  </si>
  <si>
    <t>disconnect</t>
  </si>
  <si>
    <t>getMaxSupportedEncoderSize</t>
  </si>
  <si>
    <t>checkMaxConcurrentEncodingDecodingResolution</t>
  </si>
  <si>
    <t>isConcurrentEncodingDecodingSupported</t>
  </si>
  <si>
    <t>runOnMain</t>
  </si>
  <si>
    <t>runOnMainSync</t>
  </si>
  <si>
    <t>SyncRunnable</t>
  </si>
  <si>
    <t>Executor</t>
  </si>
  <si>
    <t>testObjectDoubleFree</t>
  </si>
  <si>
    <t>testExceptionOverwritesObject</t>
  </si>
  <si>
    <t>oneTimeSetup</t>
  </si>
  <si>
    <t>finalTearDown</t>
  </si>
  <si>
    <t>testTakeScreenshot_GetDefaultColorScreenshot</t>
  </si>
  <si>
    <t>testTakeScreenshotWithNormalWindow_GetContrastingColorScreenshot</t>
  </si>
  <si>
    <t>testTakeScreenshotWithSecureWindow_GetSecureWindowColorScreenshot</t>
  </si>
  <si>
    <t>testTakeScreenshotWithCallback_GetCallbackReturn</t>
  </si>
  <si>
    <t>putSolidColorWindowOnScreen</t>
  </si>
  <si>
    <t>findPointNotMatchingColor</t>
  </si>
  <si>
    <t>pollingCheckScreenshotWithColor</t>
  </si>
  <si>
    <t>testWebViewRenderProcessClientWithoutExecutor</t>
  </si>
  <si>
    <t>testWebViewRenderProcessClientWithExecutor</t>
  </si>
  <si>
    <t>testSetWebViewRenderProcessClient</t>
  </si>
  <si>
    <t>testGetWebViewRenderProcess</t>
  </si>
  <si>
    <t>testPrimaryOtherPackageWriteAccess</t>
  </si>
  <si>
    <t>testMovePackageSpecificPaths</t>
  </si>
  <si>
    <t>testROAccess</t>
  </si>
  <si>
    <t>testMoveAway</t>
  </si>
  <si>
    <t>testMoveBack</t>
  </si>
  <si>
    <t>testNoOpClassifier</t>
  </si>
  <si>
    <t>setupConfigurationTargets</t>
  </si>
  <si>
    <t>testEquality</t>
  </si>
  <si>
    <t>testInequality</t>
  </si>
  <si>
    <t>testOnCallDisconnectCauseChangedWithoutPermission</t>
  </si>
  <si>
    <t>testOnImsCallDisconnectCauseChangedWithoutPermission</t>
  </si>
  <si>
    <t>testOnPreciseDataConnectionStateChangedWithoutPermission</t>
  </si>
  <si>
    <t>awaitOnRouteChanged</t>
  </si>
  <si>
    <t>testStorageTargetingSdk28DoesNotLooseAccessWhenOptingIn</t>
  </si>
  <si>
    <t>testStorageTargetingSdk28DoesNotLooseAccessViaUpdate</t>
  </si>
  <si>
    <t>testStorageTargetingSdk29DoesNotLooseAccessViaUpdate</t>
  </si>
  <si>
    <t>testStorageTargetingSdk29DoesNotLooseAccessWhenOptingIn</t>
  </si>
  <si>
    <t>testLocationPermissionsCannotBeGranted</t>
  </si>
  <si>
    <t>assertFailedToSetPermissionGrantState</t>
  </si>
  <si>
    <t>testLocationPermissions</t>
  </si>
  <si>
    <t>testUserspaceRebootIsSupported</t>
  </si>
  <si>
    <t>testUserspaceRebootIsNotSupported</t>
  </si>
  <si>
    <t>testRelinquishDeviceWhenHasRestriction</t>
  </si>
  <si>
    <t>assertUserGetsRemoved</t>
  </si>
  <si>
    <t>queryCapabilityConfiguration</t>
  </si>
  <si>
    <t>changeEnabledCapabilities</t>
  </si>
  <si>
    <t>testStrictQuery</t>
  </si>
  <si>
    <t>testStrictQueryProjection</t>
  </si>
  <si>
    <t>testStrictQueryWhere</t>
  </si>
  <si>
    <t>testStrictQueryGroupBy</t>
  </si>
  <si>
    <t>testStrictQueryHaving</t>
  </si>
  <si>
    <t>testStrictQueryOrderBy</t>
  </si>
  <si>
    <t>testStrictQueryLimit</t>
  </si>
  <si>
    <t>assertStrictQueryValid</t>
  </si>
  <si>
    <t>assertStrictQueryInvalid</t>
  </si>
  <si>
    <t>createStrictQueryBuilder</t>
  </si>
  <si>
    <t>testCallSliceUri_ValidAuthority</t>
  </si>
  <si>
    <t>testCallSliceUri_ShadyAuthority</t>
  </si>
  <si>
    <t>doQuery</t>
  </si>
  <si>
    <t>testStagefright_cve_2019_10489</t>
  </si>
  <si>
    <t>testExternalStorageNone</t>
  </si>
  <si>
    <t>testExternalStorageRead</t>
  </si>
  <si>
    <t>testGnssAntennaInfoCallbackRegistration</t>
  </si>
  <si>
    <t>onGnssAntennaInfoReceived</t>
  </si>
  <si>
    <t>verifyStatus</t>
  </si>
  <si>
    <t>verifyRegistration</t>
  </si>
  <si>
    <t>testCreateGnssAntennaInfoAndGetValues</t>
  </si>
  <si>
    <t>createTestGnssAntennaInfo</t>
  </si>
  <si>
    <t>verifyGnssAntennaInfoValuesAndGetters</t>
  </si>
  <si>
    <t>testRegisterGnssAntennaInfoCallback</t>
  </si>
  <si>
    <t>testStorageTargetingSdk22DefaultWhitelistedHasFullAccess</t>
  </si>
  <si>
    <t>testStorageTargetingSdk22OptInWhitelistedHasIsolatedAccess</t>
  </si>
  <si>
    <t>testStorageTargetingSdk28DefaultWhitelistedHasFullAccess</t>
  </si>
  <si>
    <t>testStorageTargetingSdk28OptInWhitelistedHasIsolatedAccess</t>
  </si>
  <si>
    <t>testStorageTargetingSdk29DefaultWhitelistedHasIsolatedAccess</t>
  </si>
  <si>
    <t>testStorageTargetingSdk29DefaultNotWhitelistedHasIsolatedAccess</t>
  </si>
  <si>
    <t>testStorageTargetingSdk29OptOutWhitelistedHasFullAccess</t>
  </si>
  <si>
    <t>testStorageTargetingSdk29OptOutNotWhitelistedHasIsolatedAccess</t>
  </si>
  <si>
    <t>testStorageTargetingSdk29CanOptOutViaUpdate</t>
  </si>
  <si>
    <t>testStorageTargetingSdk29CanOptOutViaDowngradeTo28</t>
  </si>
  <si>
    <t>testStorageTargetingSdk28CanRemoveOptInViaUpdate</t>
  </si>
  <si>
    <t>testStorageTargetingSdk28CanRemoveOptInByOptingOut</t>
  </si>
  <si>
    <t>testStorageTargetingSdk28DoesNotLoseAccessWhenOptingIn</t>
  </si>
  <si>
    <t>testStorageTargetingSdk28DoesNotLoseAccessViaUpdate</t>
  </si>
  <si>
    <t>testStorageTargetingSdk29DoesNotLoseAccessViaUpdate</t>
  </si>
  <si>
    <t>testStorageTargetingSdk29DoesNotLoseAccessWhenOptingIn</t>
  </si>
  <si>
    <t>testStorageTargetingSdk29LosesAccessViaUpdateToTargetSdk30</t>
  </si>
  <si>
    <t>testStorageTargetingSdk28LosesAccessViaUpdateToTargetSdk30</t>
  </si>
  <si>
    <t>testCannotControlStorageWhitelistPostInstall1</t>
  </si>
  <si>
    <t>testCannotControlStorageWhitelistPostInstall2</t>
  </si>
  <si>
    <t>cannotGrantStorageTargetingSdk22NotWhitelisted</t>
  </si>
  <si>
    <t>cannotGrantStorageTargetingSdk22OptInNotWhitelisted</t>
  </si>
  <si>
    <t>canGrantStorageTargetingSdk22Whitelisted</t>
  </si>
  <si>
    <t>canGrantStorageTargetingSdk22OptInWhitelisted</t>
  </si>
  <si>
    <t>cannotGrantStorageTargetingSdk28NotWhitelisted</t>
  </si>
  <si>
    <t>cannotGrantStorageTargetingSdk28OptInNotWhitelisted</t>
  </si>
  <si>
    <t>canGrantStorageTargetingSdk28Whitelisted</t>
  </si>
  <si>
    <t>canGrantStorageTargetingSdk28OptInWhitelisted</t>
  </si>
  <si>
    <t>canGrantStorageTargetingSdk29NotWhitelisted</t>
  </si>
  <si>
    <t>canGrantStorageTargetingSdk29OptOutNotWhitelisted</t>
  </si>
  <si>
    <t>canGrantStorageTargetingSdk29Whitelisted</t>
  </si>
  <si>
    <t>canGrantStorageTargetingSdk29OptOutWhitelisted</t>
  </si>
  <si>
    <t>restrictedWritePermDoesNotImplyIsolatedStorageAccess</t>
  </si>
  <si>
    <t>whitelistedWritePermDoesNotImplyFullStorageAccess</t>
  </si>
  <si>
    <t>assertHasFullStorageAccess</t>
  </si>
  <si>
    <t>assertHasIsolatedStorageAccess</t>
  </si>
  <si>
    <t>assertCannotWhitelistStorage</t>
  </si>
  <si>
    <t>assertCannotUnWhitelistStorage</t>
  </si>
  <si>
    <t>testSetLockdownAdminConfiguredNetworks</t>
  </si>
  <si>
    <t>checkNotInstalled</t>
  </si>
  <si>
    <t>testAccessLocusEventsWithPermisions</t>
  </si>
  <si>
    <t>testAccessLocusEventsWithoutPermisions</t>
  </si>
  <si>
    <t>pressHome</t>
  </si>
  <si>
    <t>SonyDualshock4Test</t>
  </si>
  <si>
    <t>onTetheringStarted</t>
  </si>
  <si>
    <t>onTetheringFailed</t>
  </si>
  <si>
    <t>testExternalStorageGifts</t>
  </si>
  <si>
    <t>testExternalStorageObbGifts</t>
  </si>
  <si>
    <t>getAllPackageSpecificGiftPaths</t>
  </si>
  <si>
    <t>testGifts</t>
  </si>
  <si>
    <t>pressWakeUp</t>
  </si>
  <si>
    <t>pressSleep</t>
  </si>
  <si>
    <t>parcel_toParcel</t>
  </si>
  <si>
    <t>parcel_withNullIcon_toParcel</t>
  </si>
  <si>
    <t>parcel_withNullIconAndMessage_toParcel</t>
  </si>
  <si>
    <t>longPress_showsPowerMenu</t>
  </si>
  <si>
    <t>parcel_noIconOrLabel_toParcel</t>
  </si>
  <si>
    <t>testCombineUserId</t>
  </si>
  <si>
    <t>testCaptureMatchingUserId</t>
  </si>
  <si>
    <t>testCaptureExcludeUserId</t>
  </si>
  <si>
    <t>testRegisterControllerCallbackWithInvalidArguments</t>
  </si>
  <si>
    <t>testUnregisterControllerCallbackWithNullCallback</t>
  </si>
  <si>
    <t>testRequestCreateControllerWithNullRoute</t>
  </si>
  <si>
    <t>testRequestCreateControllerWithSystemRoute</t>
  </si>
  <si>
    <t>testRequestCreateControllerSuccess</t>
  </si>
  <si>
    <t>testRequestCreateControllerFailure</t>
  </si>
  <si>
    <t>testRequestCreateControllerMultipleSessions</t>
  </si>
  <si>
    <t>testRoutingControllerCallbackIsNotCalledAfterUnregistered</t>
  </si>
  <si>
    <t>testSetKeyguardDisabledFeatures_onParentSilentIgnore</t>
  </si>
  <si>
    <t>ManagedProfileTest</t>
  </si>
  <si>
    <t>testClearCrossProfileIntentFilters</t>
  </si>
  <si>
    <t>testAddCrossProfileIntentFilter_primary</t>
  </si>
  <si>
    <t>testAddCrossProfileIntentFilter_all</t>
  </si>
  <si>
    <t>testAddCrossProfileIntentFilter_managed</t>
  </si>
  <si>
    <t>testNoExecuteOnly</t>
  </si>
  <si>
    <t>installApk</t>
  </si>
  <si>
    <t>uninstallApk</t>
  </si>
  <si>
    <t>setContentView</t>
  </si>
  <si>
    <t>testSetFrameRate</t>
  </si>
  <si>
    <t>testRequestSetLocationProviderAllowedTest</t>
  </si>
  <si>
    <t>requestProviderAllowedAndAssert</t>
  </si>
  <si>
    <t>setLocationEnabledAndAssert</t>
  </si>
  <si>
    <t>testRequestSetLocationProviderAllowed</t>
  </si>
  <si>
    <t>testRequestSetLocationProviderEnabled_failIfNotDeviceOwner</t>
  </si>
  <si>
    <t>hasAtLeastOneWakeupSensorOrEmpty</t>
  </si>
  <si>
    <t>hasService</t>
  </si>
  <si>
    <t>testSecurityLoggingWithTwoUsers</t>
  </si>
  <si>
    <t>testSecurityLoggingWithSingleUser</t>
  </si>
  <si>
    <t>testSecurityLoggingEnabledLogged</t>
  </si>
  <si>
    <t>generateDummySecurityLogs</t>
  </si>
  <si>
    <t>removeUser</t>
  </si>
  <si>
    <t>testApplicationHidden</t>
  </si>
  <si>
    <t>testSetSecurityLoggingEnabled_failIfNotDeviceOwner</t>
  </si>
  <si>
    <t>testIsSecurityLoggingEnabled_failIfNotDeviceOwner</t>
  </si>
  <si>
    <t>testRetrieveSecurityLogs_failIfNotDeviceOwner</t>
  </si>
  <si>
    <t>testRetrievePreRebootSecurityLogs_failIfNotDeviceOwner</t>
  </si>
  <si>
    <t>testAutofill_twoDatasets</t>
  </si>
  <si>
    <t>testAccessibilityServicesHtmlDescription</t>
  </si>
  <si>
    <t>testAccessibilityServicesAnimatedImageResource</t>
  </si>
  <si>
    <t>testTargetingSdk30_withRequireScopedStorageCompatChangeDisabled_canOptOut</t>
  </si>
  <si>
    <t>testTargetingSdk30_withAllScopedStorageCompatChangesDisabled_hasFullAccess</t>
  </si>
  <si>
    <t>testTargetingSdk30_withEnableScopedStorageOnlyDisabled_isNoOp</t>
  </si>
  <si>
    <t>disableCompat</t>
  </si>
  <si>
    <t>resetCompat</t>
  </si>
  <si>
    <t>testSetSchema</t>
  </si>
  <si>
    <t>testPutDocuments</t>
  </si>
  <si>
    <t>test_llndkLibraries</t>
  </si>
  <si>
    <t>test_vndkSpLibraries</t>
  </si>
  <si>
    <t>test_vndkLibraries</t>
  </si>
  <si>
    <t>test_frameworkOnlyLibraries</t>
  </si>
  <si>
    <t>removeHomeTasks</t>
  </si>
  <si>
    <t>testSetPolicyDataEnabled</t>
  </si>
  <si>
    <t>waitForFocusChangedAndAssert</t>
  </si>
  <si>
    <t>onAppFocusChanged</t>
  </si>
  <si>
    <t>setBooleanPropertyHelper</t>
  </si>
  <si>
    <t>flattenToString</t>
  </si>
  <si>
    <t>connectWifi</t>
  </si>
  <si>
    <t>approveReviewPermissionDialog</t>
  </si>
  <si>
    <t>testCompatDefault22</t>
  </si>
  <si>
    <t>testCompatRevoked22</t>
  </si>
  <si>
    <t>testNoRuntimePrompt22</t>
  </si>
  <si>
    <t>testDefault23</t>
  </si>
  <si>
    <t>testGranted23</t>
  </si>
  <si>
    <t>testInteractiveGrant23</t>
  </si>
  <si>
    <t>testRuntimeGroupGrantSpecificity23</t>
  </si>
  <si>
    <t>testRuntimeGroupGrantExpansion23</t>
  </si>
  <si>
    <t>testRuntimeGroupGrantExpansion25</t>
  </si>
  <si>
    <t>testRuntimeGroupGrantExpansion26</t>
  </si>
  <si>
    <t>testRuntimeGroupGrantExpansionLatest</t>
  </si>
  <si>
    <t>testCancelledPermissionRequest23</t>
  </si>
  <si>
    <t>testRequestGrantedPermission23</t>
  </si>
  <si>
    <t>testDenialWithPrejudice23</t>
  </si>
  <si>
    <t>testRevokeAffectsWholeGroup23</t>
  </si>
  <si>
    <t>testGrantPreviouslyRevokedWithPrejudiceShowsPrompt23</t>
  </si>
  <si>
    <t>testRequestNonRuntimePermission23</t>
  </si>
  <si>
    <t>testRequestNonExistentPermission23</t>
  </si>
  <si>
    <t>testRequestPermissionFromTwoGroups23</t>
  </si>
  <si>
    <t>testUpgradeKeepsPermissions</t>
  </si>
  <si>
    <t>testNoDowngradePermissionModel</t>
  </si>
  <si>
    <t>testNoResidualPermissionsOnUninstall</t>
  </si>
  <si>
    <t>testRevokePropagatedOnUpgradeOldToNewModel</t>
  </si>
  <si>
    <t>testRevokePropagatedOnUpgradeNewToNewModel</t>
  </si>
  <si>
    <t>testNoProtectionFlagsAddedToNonSignatureProtectionPermissions25</t>
  </si>
  <si>
    <t>testLegacyAppAccessSerial</t>
  </si>
  <si>
    <t>testNullPermissionRequest</t>
  </si>
  <si>
    <t>testNullAndRealPermission</t>
  </si>
  <si>
    <t>testInvalidPermission</t>
  </si>
  <si>
    <t>testPermissionSplit28</t>
  </si>
  <si>
    <t>testPermissionNotSplit29</t>
  </si>
  <si>
    <t>testRequestOnlyBackgroundNotPossible</t>
  </si>
  <si>
    <t>testRequestBoth</t>
  </si>
  <si>
    <t>testRequestBothInSequence</t>
  </si>
  <si>
    <t>testRequestBothButGrantInSequence</t>
  </si>
  <si>
    <t>testDenyBackgroundWithPrejudice</t>
  </si>
  <si>
    <t>testPermissionNotSplitLatest</t>
  </si>
  <si>
    <t>testDenyCalendarDuringReview</t>
  </si>
  <si>
    <t>testDenyGrantCalendarDuringReview</t>
  </si>
  <si>
    <t>testDenyGrantDenyCalendarDuringReview</t>
  </si>
  <si>
    <t>testCancelReview</t>
  </si>
  <si>
    <t>testReviewPermissionWhenServiceIsBound</t>
  </si>
  <si>
    <t>testGrantDialogToSettingsNoOp</t>
  </si>
  <si>
    <t>testGrantDialogToSettingsDowngrade</t>
  </si>
  <si>
    <t>runThrowingTest</t>
  </si>
  <si>
    <t>testCannotEscalateNonRuntimePermissionsToRuntime</t>
  </si>
  <si>
    <t>assertPermissionRequestResult</t>
  </si>
  <si>
    <t>initPermissionToLabelMap</t>
  </si>
  <si>
    <t>beforeTest</t>
  </si>
  <si>
    <t>requestPermissions</t>
  </si>
  <si>
    <t>clickAllowButton</t>
  </si>
  <si>
    <t>clickSettingsAllowAlwaysFromGrantDialog</t>
  </si>
  <si>
    <t>clickAllowForegroundButton</t>
  </si>
  <si>
    <t>clickDenyButton</t>
  </si>
  <si>
    <t>clickDenyAndDontAskAgainButton</t>
  </si>
  <si>
    <t>clickDontAskAgainButton</t>
  </si>
  <si>
    <t>clickNoUpgradeButton</t>
  </si>
  <si>
    <t>clickNoUpgradeAndDontAskAgainButton</t>
  </si>
  <si>
    <t>clickSettingsDenyFromGrantDialog</t>
  </si>
  <si>
    <t>clickSettingsLink</t>
  </si>
  <si>
    <t>click</t>
  </si>
  <si>
    <t>grantPermissions</t>
  </si>
  <si>
    <t>revokePermissions</t>
  </si>
  <si>
    <t>scrollToBottom</t>
  </si>
  <si>
    <t>setPermissionGrantState</t>
  </si>
  <si>
    <t>byText</t>
  </si>
  <si>
    <t>byTextStartsWithCaseInsensitive</t>
  </si>
  <si>
    <t>getPermissionLabel</t>
  </si>
  <si>
    <t>hasAskButton</t>
  </si>
  <si>
    <t>showsForegroundOnlyButton</t>
  </si>
  <si>
    <t>findByText</t>
  </si>
  <si>
    <t>findByTextForWatch</t>
  </si>
  <si>
    <t>trimText</t>
  </si>
  <si>
    <t>findByTextInCollection</t>
  </si>
  <si>
    <t>scrollTop</t>
  </si>
  <si>
    <t>scrollForward</t>
  </si>
  <si>
    <t>scroll</t>
  </si>
  <si>
    <t>findCollectionItem</t>
  </si>
  <si>
    <t>hasCollectionAsParent</t>
  </si>
  <si>
    <t>getNodeTimed</t>
  </si>
  <si>
    <t>isTv</t>
  </si>
  <si>
    <t>assertPermissionState</t>
  </si>
  <si>
    <t>permissionGrantStateToString</t>
  </si>
  <si>
    <t>testAccessToApns</t>
  </si>
  <si>
    <t>createSpecifierWithSpecificSsidFromSavedNetwork</t>
  </si>
  <si>
    <t>testConnectWithSpecifier</t>
  </si>
  <si>
    <t>testConnectWithSpecificSsid</t>
  </si>
  <si>
    <t>testConnectWithSsidPattern</t>
  </si>
  <si>
    <t>testConnectWithSpecificBssid</t>
  </si>
  <si>
    <t>testConnectWithBssidPattern</t>
  </si>
  <si>
    <t>test_getName</t>
  </si>
  <si>
    <t>testNotifyChange_Multiple</t>
  </si>
  <si>
    <t>startScanAndFindAnyOpenNetworkInResults</t>
  </si>
  <si>
    <t>clearAllBlobsData</t>
  </si>
  <si>
    <t>executeCmd</t>
  </si>
  <si>
    <t>testhasAnyFeaturesReturnsFalse</t>
  </si>
  <si>
    <t>testhasAnyFeaturesReturnsTrue</t>
  </si>
  <si>
    <t>testSetAutoTime</t>
  </si>
  <si>
    <t>testSetAutoTimeZone</t>
  </si>
  <si>
    <t>testDeleteSession_invalidArguments</t>
  </si>
  <si>
    <t>testDeleteSession</t>
  </si>
  <si>
    <t>testSetProtectedPackages</t>
  </si>
  <si>
    <t>testForceStopForProtectedPackages</t>
  </si>
  <si>
    <t>testClearProtectedPackages</t>
  </si>
  <si>
    <t>testForceStopForUnprotectedPackages</t>
  </si>
  <si>
    <t>isPackageStopped</t>
  </si>
  <si>
    <t>testSetProtectedPackages_failIfNotDeviceOwner</t>
  </si>
  <si>
    <t>testGetProtectedPackages_failIfNotDeviceOwner</t>
  </si>
  <si>
    <t>testIsTelephonyPackagesKnown</t>
  </si>
  <si>
    <t>testBuilder_setInlinePresentations</t>
  </si>
  <si>
    <t>testDeviceClose</t>
  </si>
  <si>
    <t>testTree_blockFromTree</t>
  </si>
  <si>
    <t>testIsDataCapableExists</t>
  </si>
  <si>
    <t>testCredentialBoundEncryption</t>
  </si>
  <si>
    <t>disableTestsForFewSeconds</t>
  </si>
  <si>
    <t>updatePassButton</t>
  </si>
  <si>
    <t>initializeKeystoreOperation</t>
  </si>
  <si>
    <t>getCryptoObject</t>
  </si>
  <si>
    <t>doKeystoreOperation</t>
  </si>
  <si>
    <t>getNotification</t>
  </si>
  <si>
    <t>testNotificationManagerBubblePolicy_flagForMessage_failsNoRemoteInput</t>
  </si>
  <si>
    <t>testWifiMigrationConfigStoreDataBuilder</t>
  </si>
  <si>
    <t>testUpdateMccMncConfiguration</t>
  </si>
  <si>
    <t>getMccMncConfigsAndOthers</t>
  </si>
  <si>
    <t>testOnAlwaysReportedSignalStrengthChanged</t>
  </si>
  <si>
    <t>testOnAlwaysReportedSignalStrengthChangedWithoutPermission</t>
  </si>
  <si>
    <t>testGetCallForwarding</t>
  </si>
  <si>
    <t>testSetCallForwarding</t>
  </si>
  <si>
    <t>testGetCallWaitingStatus</t>
  </si>
  <si>
    <t>testSetCallWaitingStatus</t>
  </si>
  <si>
    <t>verifyVendorSection</t>
  </si>
  <si>
    <t>loadSystemAvailableLibraries</t>
  </si>
  <si>
    <t>shouldHaveLinkerConfigAtExpectedLocation</t>
  </si>
  <si>
    <t>shouldNotAccessSystemFromVendorExceptVndk</t>
  </si>
  <si>
    <t>lookForLog</t>
  </si>
  <si>
    <t>testBubbleMetadataBuilder_shortcutOverwritesIconIntent</t>
  </si>
  <si>
    <t>testBubbleMetadataBuilder_intentIconOverwritesShortcut</t>
  </si>
  <si>
    <t>bar</t>
  </si>
  <si>
    <t>findLastFrameNumber</t>
  </si>
  <si>
    <t>supportPasspoint</t>
  </si>
  <si>
    <t>testBootReasonProperty_shutdown_aborted</t>
  </si>
  <si>
    <t>testBootReasonProperty_mount_userdata_failed</t>
  </si>
  <si>
    <t>testBokehModes</t>
  </si>
  <si>
    <t>bokehModeTestByCamera</t>
  </si>
  <si>
    <t>enableIME</t>
  </si>
  <si>
    <t>resolveInCallIntent</t>
  </si>
  <si>
    <t>hasTelephonyFeature</t>
  </si>
  <si>
    <t>getTestProviderCurrentRequests</t>
  </si>
  <si>
    <t>testCreateRequestInteractAcrossProfilesIntent_canNotRequestInteraction_returnsNull</t>
  </si>
  <si>
    <t>testRotateAndCropCharacteristics</t>
  </si>
  <si>
    <t>testResetToEmpty</t>
  </si>
  <si>
    <t>testUndefinedGroupIsNullAfterAdd</t>
  </si>
  <si>
    <t>testUndefinedGroupIsNullAfterSet</t>
  </si>
  <si>
    <t>testUndefinedGroupIsNullAfterRemove</t>
  </si>
  <si>
    <t>testUndefinedGroupIsNullAfterClear</t>
  </si>
  <si>
    <t>testDefinedGroupNotNullAfterSetEmpty</t>
  </si>
  <si>
    <t>testDefinedGroupNotNullAfterSetNull</t>
  </si>
  <si>
    <t>clearMimeGroup</t>
  </si>
  <si>
    <t>selectPrinterSpinnerOpen</t>
  </si>
  <si>
    <t>testPocBug_33139050</t>
  </si>
  <si>
    <t>testPocCVE_2017_0589</t>
  </si>
  <si>
    <t>setUpReference</t>
  </si>
  <si>
    <t>testCanRequestInteractAcrossProfiles_packageNotWhitelisted_returnsFalse</t>
  </si>
  <si>
    <t>createIpConfiguration</t>
  </si>
  <si>
    <t>testTakeScreenshotWithNonDefaultDisplay_GetIllegalArgumentException</t>
  </si>
  <si>
    <t>testNotificationManagerBubblePolicy_flagForPhonecall</t>
  </si>
  <si>
    <t>testNotificationManagerBubblePolicy_flagForPhonecallFailsNoPerson</t>
  </si>
  <si>
    <t>testNotificationManagerBubblePolicy_flagForPhonecallFailsNoForeground</t>
  </si>
  <si>
    <t>testNotificationManagerBubblePolicy_flagForPhonecallFailsNoCategory</t>
  </si>
  <si>
    <t>testNotificationManagerBubblePolicy_flagForPhonecallFailsNoMetadata</t>
  </si>
  <si>
    <t>testInstallWithIdSig</t>
  </si>
  <si>
    <t>testAccessNetworkInfoProperties</t>
  </si>
  <si>
    <t>assertNetworkInfo</t>
  </si>
  <si>
    <t>testAddCompletedDownload</t>
  </si>
  <si>
    <t>testAddCompletedDownload_invalidPublicDir</t>
  </si>
  <si>
    <t>Callback</t>
  </si>
  <si>
    <t>setUnknownSourcesEnabled</t>
  </si>
  <si>
    <t>assertAccessDenied</t>
  </si>
  <si>
    <t>testDeviceOwnerCannotGetDeviceIdentifiersWithoutPermission</t>
  </si>
  <si>
    <t>testInstallWithIdSigAndV2Digest</t>
  </si>
  <si>
    <t>testInstallWithIdSigAndV3Digest</t>
  </si>
  <si>
    <t>testInstallWithIdSigAndV2V3Digest</t>
  </si>
  <si>
    <t>testCompatFeatureEnabled</t>
  </si>
  <si>
    <t>testCompatFeatureDisabled</t>
  </si>
  <si>
    <t>testFactoryReset</t>
  </si>
  <si>
    <t>requestAppAction</t>
  </si>
  <si>
    <t>getExtras</t>
  </si>
  <si>
    <t>startTestAppActivity</t>
  </si>
  <si>
    <t>areSameExtras</t>
  </si>
  <si>
    <t>assertSameExtras</t>
  </si>
  <si>
    <t>testCanSuspendWhenProfileOwner</t>
  </si>
  <si>
    <t>testInterceptorActivity_moreDetails</t>
  </si>
  <si>
    <t>testInterceptorActivity_unsuspend</t>
  </si>
  <si>
    <t>testCannotSuspendWhenUninstallBlocked</t>
  </si>
  <si>
    <t>assertCannotSuspendUnderUserRestriction</t>
  </si>
  <si>
    <t>testCannotSuspendUnderDisallowAppsControl</t>
  </si>
  <si>
    <t>testCannotSuspendUnderDisallowUninstallApps</t>
  </si>
  <si>
    <t>assertDpmCanSuspendUnderUserRestriction</t>
  </si>
  <si>
    <t>testDpmCanSuspendUnderDisallowAppsControl</t>
  </si>
  <si>
    <t>testDpmCanSuspendUnderDisallowUninstallApps</t>
  </si>
  <si>
    <t>assertUnsuspendedOnUserRestriction</t>
  </si>
  <si>
    <t>testUnsuspendedOnDisallowUninstallApps</t>
  </si>
  <si>
    <t>testUnsuspendedOnDisallowAppsControl</t>
  </si>
  <si>
    <t>testUnsuspendedOnUninstallBlocked</t>
  </si>
  <si>
    <t>testStagefright_bug_68953854</t>
  </si>
  <si>
    <t>createExpectedConfigurations</t>
  </si>
  <si>
    <t>testDatasetAuthenticationSelected</t>
  </si>
  <si>
    <t>testAuthenticationSelected</t>
  </si>
  <si>
    <t>testDatasetSelected_twoResponses</t>
  </si>
  <si>
    <t>testNoEvents_whenServiceReturnsNullResponse</t>
  </si>
  <si>
    <t>testNoEvents_whenServiceReturnsFailure</t>
  </si>
  <si>
    <t>testNoEvents_whenServiceTimesout</t>
  </si>
  <si>
    <t>testEventsFromPreviousSessionIsDiscarded</t>
  </si>
  <si>
    <t>testContextCommitted_withoutFlagOnLastResponse</t>
  </si>
  <si>
    <t>testAutoFillNoDatasets</t>
  </si>
  <si>
    <t>testAutoFillNoDatasets_multipleFields_alwaysNull</t>
  </si>
  <si>
    <t>testNoDatasetAndSave</t>
  </si>
  <si>
    <t>testAutofill_noDataset</t>
  </si>
  <si>
    <t>testAutofill_oneDataset</t>
  </si>
  <si>
    <t>testAutofill_twoDatasets_selectFirstDataset</t>
  </si>
  <si>
    <t>testAutofill_twoDatasets_selectSecondDataset</t>
  </si>
  <si>
    <t>testBasicLoginAutofill</t>
  </si>
  <si>
    <t>testPresentationFollowsDisplayFlag</t>
  </si>
  <si>
    <t>testPresentationAllowedOnPresentationDisplay</t>
  </si>
  <si>
    <t>testPresentationBlockedOnNonPresentationDisplay</t>
  </si>
  <si>
    <t>assertNoPresentationDisplayed</t>
  </si>
  <si>
    <t>assertPresentationOnDisplay</t>
  </si>
  <si>
    <t>launchPresentationActivity</t>
  </si>
  <si>
    <t>testNightModeYesPersisted</t>
  </si>
  <si>
    <t>testNightModeAutoPersisted</t>
  </si>
  <si>
    <t>testNightModeAutoNotPersistedCarMode</t>
  </si>
  <si>
    <t>testInlineSuggestionsRequestParcelizeDeparcelize</t>
  </si>
  <si>
    <t>TestTrafficStateCallback</t>
  </si>
  <si>
    <t>StagefrightTest</t>
  </si>
  <si>
    <t>fillTaskInfo</t>
  </si>
  <si>
    <t>verifyTaskInfo</t>
  </si>
  <si>
    <t>testReadFromParcel</t>
  </si>
  <si>
    <t>testToastIsNotClickable</t>
  </si>
  <si>
    <t>getBroadcastReceivedVariable</t>
  </si>
  <si>
    <t>testStagefright_bug_26366256</t>
  </si>
  <si>
    <t>testStagefright_bug_68664359</t>
  </si>
  <si>
    <t>testStagefright_bug_110435401</t>
  </si>
  <si>
    <t>testSetScreenCaptureDisabledOnParent</t>
  </si>
  <si>
    <t>testCapabilityDiscoveryIntentReceiverExists</t>
  </si>
  <si>
    <t>getAccessibilityShortcut_assignedShortcutTarget_returnAssignedTarget</t>
  </si>
  <si>
    <t>getAccessibilityShortcut_multipleTargets_returnMultipleTargets</t>
  </si>
  <si>
    <t>readShortcutStates</t>
  </si>
  <si>
    <t>getComponentIdArray</t>
  </si>
  <si>
    <t>getComponentIdList</t>
  </si>
  <si>
    <t>getComponentIdString</t>
  </si>
  <si>
    <t>updateAccessibilityShortcut</t>
  </si>
  <si>
    <t>updateAccessibilityButton</t>
  </si>
  <si>
    <t>waitForShortcutStateChange</t>
  </si>
  <si>
    <t>grantReadPhoneStatePermission</t>
  </si>
  <si>
    <t>testAudioTrackInfoOp</t>
  </si>
  <si>
    <t>testVideoTrackInfoOp</t>
  </si>
  <si>
    <t>testSubtitleTrackInfoOp</t>
  </si>
  <si>
    <t>testSetManagedProfileMaximumTimeOffLogged</t>
  </si>
  <si>
    <t>testInstallationType</t>
  </si>
  <si>
    <t>getAppSourceDir</t>
  </si>
  <si>
    <t>verifyInstallationType</t>
  </si>
  <si>
    <t>testHeapTaggingCompatFeatureDisabled</t>
  </si>
  <si>
    <t>testIncrementalDelivery</t>
  </si>
  <si>
    <t>toggleBubbleSetting</t>
  </si>
  <si>
    <t>testNotificationManagerBubblePolicy_flagForMessage_passesNoRemoteInput</t>
  </si>
  <si>
    <t>testNotificationManagerBubblePolicy_flagForMessage_succeeds</t>
  </si>
  <si>
    <t>testNotificationManagerBubblePolicy_flagForMessagingWithService_fails</t>
  </si>
  <si>
    <t>testNotificationManagerBubblePolicy_noflagForPhonecall</t>
  </si>
  <si>
    <t>testNotificationManagerBubblePolicy_flagForAppForeground_fails</t>
  </si>
  <si>
    <t>testNotificationManagerBubble_ensureFlaggedDocumentLaunchMode</t>
  </si>
  <si>
    <t>testNotificationManagerBubblePolicy_flagForShortcut_manifest_fails</t>
  </si>
  <si>
    <t>testNotificationManagerBubblePolicy_flagForShortcut_dynamic_succeeds</t>
  </si>
  <si>
    <t>testNotificationManagerBubblePolicy_flagForShortcut_fails_invalidShortcut</t>
  </si>
  <si>
    <t>testNotificationManagerBubblePolicy_flagForShortcut_fails_invalidNotif</t>
  </si>
  <si>
    <t>permissionDependencyTest</t>
  </si>
  <si>
    <t>testPoc_cve_2018_9471</t>
  </si>
  <si>
    <t>Trigger</t>
  </si>
  <si>
    <t>trigger</t>
  </si>
  <si>
    <t>anyAction</t>
  </si>
  <si>
    <t>isAddAccountDone</t>
  </si>
  <si>
    <t>setAddAccountDone</t>
  </si>
  <si>
    <t>getAuthContext</t>
  </si>
  <si>
    <t>setIntent</t>
  </si>
  <si>
    <t>Authenticator</t>
  </si>
  <si>
    <t>getAuthTokenLabel</t>
  </si>
  <si>
    <t>editProperties</t>
  </si>
  <si>
    <t>getAuthToken</t>
  </si>
  <si>
    <t>addAccount</t>
  </si>
  <si>
    <t>confirmCredentials</t>
  </si>
  <si>
    <t>updateCredentials</t>
  </si>
  <si>
    <t>hasFeatures</t>
  </si>
  <si>
    <t>getAuthenticator</t>
  </si>
  <si>
    <t>getServiceBinder</t>
  </si>
  <si>
    <t>AuthenticatorService</t>
  </si>
  <si>
    <t>nanoAppFilterParcel</t>
  </si>
  <si>
    <t>isCar</t>
  </si>
  <si>
    <t>testBuildIkeSaProposal</t>
  </si>
  <si>
    <t>getSysuiPid</t>
  </si>
  <si>
    <t>testBearVorbisOgg</t>
  </si>
  <si>
    <t>testBearOgg</t>
  </si>
  <si>
    <t>testBearFlacOgg</t>
  </si>
  <si>
    <t>testNoFlacSeekTableOgg</t>
  </si>
  <si>
    <t>testFlacHeaderOggSniff</t>
  </si>
  <si>
    <t>testOpusHeaderOggSniff</t>
  </si>
  <si>
    <t>testInvalidHeaderOggSniff</t>
  </si>
  <si>
    <t>testInvalidHeaderSniff</t>
  </si>
  <si>
    <t>testBearUncommonSampleRateFlac</t>
  </si>
  <si>
    <t>testBearNoSeekTableAndNoNumSamplesFlac</t>
  </si>
  <si>
    <t>testBearWithPictureFlac</t>
  </si>
  <si>
    <t>testBearWithVorbisCommentsFlac</t>
  </si>
  <si>
    <t>testOneMetadataBlockFlac</t>
  </si>
  <si>
    <t>testBearNoMinMaxFrameSizeFlac</t>
  </si>
  <si>
    <t>testNoNumSamplesFlac</t>
  </si>
  <si>
    <t>testBearNoId3Flac</t>
  </si>
  <si>
    <t>testBearWithId3Flac</t>
  </si>
  <si>
    <t>testBearFlac</t>
  </si>
  <si>
    <t>testTrimmedMp3</t>
  </si>
  <si>
    <t>testBearMp3</t>
  </si>
  <si>
    <t>testNarrowBandSamplesWithConstantBitrateSeeking</t>
  </si>
  <si>
    <t>testNarrowBandSamples</t>
  </si>
  <si>
    <t>testWideBandSamples</t>
  </si>
  <si>
    <t>testWideBandSamplesWithConstantBitrateSeeking</t>
  </si>
  <si>
    <t>testElphantsDreamPs</t>
  </si>
  <si>
    <t>testProgramStream</t>
  </si>
  <si>
    <t>testTruncatedAdtsWithConstantBitrateSeeking</t>
  </si>
  <si>
    <t>testBigBuckBunnyTs</t>
  </si>
  <si>
    <t>testTransportStream</t>
  </si>
  <si>
    <t>testTransportStreamWithSdt</t>
  </si>
  <si>
    <t>testSubsampleEncryptedNoAltref</t>
  </si>
  <si>
    <t>testFullBlocks</t>
  </si>
  <si>
    <t>testSubsampleEncryptedAltref</t>
  </si>
  <si>
    <t>testAc4Fragmented</t>
  </si>
  <si>
    <t>testAndrdoidSlowMotion</t>
  </si>
  <si>
    <t>testFragmentedSei</t>
  </si>
  <si>
    <t>testFragmentedSeekable</t>
  </si>
  <si>
    <t>testAc4Protected</t>
  </si>
  <si>
    <t>testMdatTooLong</t>
  </si>
  <si>
    <t>testFragmented</t>
  </si>
  <si>
    <t>testAccelerometerAshmemNormalUidIdle</t>
  </si>
  <si>
    <t>testGyroscopeAshmemNormalUidIdle</t>
  </si>
  <si>
    <t>testMagneticFieldAshmemNormalUidIdle</t>
  </si>
  <si>
    <t>testAccelerometerAshmemFastUidIdle</t>
  </si>
  <si>
    <t>testGyroscopeAshmemFastUidIdle</t>
  </si>
  <si>
    <t>testMagneticFieldAshmemFastUidIdle</t>
  </si>
  <si>
    <t>testAccelerometerAshmemVeryFastUidIdle</t>
  </si>
  <si>
    <t>testGyroscopeAshmemVeryFastUidIdle</t>
  </si>
  <si>
    <t>testMagneticFieldAshmemVeryFastUidIdle</t>
  </si>
  <si>
    <t>testAccelerometerHardwareBufferNormalUidIdle</t>
  </si>
  <si>
    <t>testGyroscopeHardwareBufferNormalUidIdle</t>
  </si>
  <si>
    <t>testMagneticFieldHardwareBufferNormalUidIdle</t>
  </si>
  <si>
    <t>testAccelerometerHardwareBufferFastUidIdle</t>
  </si>
  <si>
    <t>testGyroscopeHardwareBufferFastUidIdle</t>
  </si>
  <si>
    <t>testMagneticFieldHardwareBufferFastUidIdle</t>
  </si>
  <si>
    <t>testAccelerometerHardwareBufferVeryFastUidIdle</t>
  </si>
  <si>
    <t>testGyroscopeHardwareBufferVeryFastUidIdle</t>
  </si>
  <si>
    <t>testMagneticFieldHardwareBufferVeryFastUidIdle</t>
  </si>
  <si>
    <t>runSensorDirectReportUidIdleTest</t>
  </si>
  <si>
    <t>assertFlushFail</t>
  </si>
  <si>
    <t>toggleFakeDeviceDockState</t>
  </si>
  <si>
    <t>toggleScreenOn</t>
  </si>
  <si>
    <t>triggerIdleMaintenance</t>
  </si>
  <si>
    <t>verifyIdleState</t>
  </si>
  <si>
    <t>verifyActiveState</t>
  </si>
  <si>
    <t>testDeviceChangeIdleActiveState</t>
  </si>
  <si>
    <t>isDockStateSupported</t>
  </si>
  <si>
    <t>testScreenOnDeviceOnDockChangeState</t>
  </si>
  <si>
    <t>testScreenOffDeviceOnDockNoChangeState</t>
  </si>
  <si>
    <t>ignoreTestFactoryReset</t>
  </si>
  <si>
    <t>setTestProviderEnabled</t>
  </si>
  <si>
    <t>ipToInteger</t>
  </si>
  <si>
    <t>createDhcpInfoObject</t>
  </si>
  <si>
    <t>dhcpInfoEquals</t>
  </si>
  <si>
    <t>testParcelDhcpInfo</t>
  </si>
  <si>
    <t>test_isConfirmationRequired</t>
  </si>
  <si>
    <t>test_setAllowedAuthenticators</t>
  </si>
  <si>
    <t>pollCallback</t>
  </si>
  <si>
    <t>testPocCVE_2018_9536</t>
  </si>
  <si>
    <t>lookForDirectlyAddressedSetSystemAudioModeOnToTv</t>
  </si>
  <si>
    <t>test_setName_getName</t>
  </si>
  <si>
    <t>testTsWithH264</t>
  </si>
  <si>
    <t>testPtraceSeccomp_CVE_2019_2054</t>
  </si>
  <si>
    <t>testOnBlockedStatusChanged_dataSaver</t>
  </si>
  <si>
    <t>testOnBlockedStatusChanged_powerSaver</t>
  </si>
  <si>
    <t>testExplicitySaveButton</t>
  </si>
  <si>
    <t>testExplicitySaveButtonWhenAppClearFields</t>
  </si>
  <si>
    <t>testExplicitySaveButtonOnly</t>
  </si>
  <si>
    <t>explicitySaveButtonTest</t>
  </si>
  <si>
    <t>runWithKeyValue</t>
  </si>
  <si>
    <t>testGetAllCellInfo</t>
  </si>
  <si>
    <t>testRequestCellInfoUpdate</t>
  </si>
  <si>
    <t>testAdjustNotification_rankingScoreKey</t>
  </si>
  <si>
    <t>testAutofillCustomHighligth_singleField_noHighligth</t>
  </si>
  <si>
    <t>testAutofillCustomHighligth_multipleFields_hasHighligth</t>
  </si>
  <si>
    <t>testAutofillCustomHighligth</t>
  </si>
  <si>
    <t>expectActiveTethering</t>
  </si>
  <si>
    <t>isIfaceAvailable</t>
  </si>
  <si>
    <t>expectNoActiveTethering</t>
  </si>
  <si>
    <t>assertNoActiveIfaces</t>
  </si>
  <si>
    <t>verifySpecificPcscfConfigReqs</t>
  </si>
  <si>
    <t>revoke</t>
  </si>
  <si>
    <t>buildRequest</t>
  </si>
  <si>
    <t>dryRunRevokeSinglePermission</t>
  </si>
  <si>
    <t>revokeSinglePermission</t>
  </si>
  <si>
    <t>doNotRevokeAlreadyRevokedPermission</t>
  </si>
  <si>
    <t>dryRunRevokeForegroundPermission</t>
  </si>
  <si>
    <t>revokeUnrequestedPermission</t>
  </si>
  <si>
    <t>revokeFromUnknownPermission</t>
  </si>
  <si>
    <t>revokePolicyViolationFromWrongPackage</t>
  </si>
  <si>
    <t>useExecutorForCallback</t>
  </si>
  <si>
    <t>nullPkg</t>
  </si>
  <si>
    <t>nullPermissions</t>
  </si>
  <si>
    <t>nullPermission</t>
  </si>
  <si>
    <t>nullRequests</t>
  </si>
  <si>
    <t>nullCallback</t>
  </si>
  <si>
    <t>nullExecutor</t>
  </si>
  <si>
    <t>tryToRevokeWithoutPermission</t>
  </si>
  <si>
    <t>runtimePermissionPresentationInfoLocationApp</t>
  </si>
  <si>
    <t>runtimePermissionPresentationInfoCustomApp</t>
  </si>
  <si>
    <t>runtimePermissionLabelSet</t>
  </si>
  <si>
    <t>runtimePermissionLabelSetNull</t>
  </si>
  <si>
    <t>runtimePermissionGrantedCanBeTrue</t>
  </si>
  <si>
    <t>runtimePermissionGrantedCanBeFalse</t>
  </si>
  <si>
    <t>runtimePermissionStandardCanBeTrue</t>
  </si>
  <si>
    <t>runtimePermissionStandardCanBeFalse</t>
  </si>
  <si>
    <t>dropShellPermissions</t>
  </si>
  <si>
    <t>THandler</t>
  </si>
  <si>
    <t>checkActiveNetwork</t>
  </si>
  <si>
    <t>postCheckActiveNetwork</t>
  </si>
  <si>
    <t>testPocCVE_2017_0597</t>
  </si>
  <si>
    <t>testCreateWalletSettingsIntent_parsesXmlAndUsesCorrectIntentAction</t>
  </si>
  <si>
    <t>testPocCVE_2019_2007</t>
  </si>
  <si>
    <t>unableToGetNullClass</t>
  </si>
  <si>
    <t>unableToPutNullClass</t>
  </si>
  <si>
    <t>noInstanceReturnsNull</t>
  </si>
  <si>
    <t>putRetained</t>
  </si>
  <si>
    <t>putInOnStopRetained</t>
  </si>
  <si>
    <t>putInOnDestroyRetained</t>
  </si>
  <si>
    <t>putNotRetainedForNonConfigurationChangeRestarts</t>
  </si>
  <si>
    <t>lastPutRetained</t>
  </si>
  <si>
    <t>putNullRemovesInstance</t>
  </si>
  <si>
    <t>putInstanceRetainedAcrossMultipleRecreations</t>
  </si>
  <si>
    <t>putNullRemovesInstanceAfterBeingRetained</t>
  </si>
  <si>
    <t>storingIncorrectTypeThrows</t>
  </si>
  <si>
    <t>getFrontendSettings</t>
  </si>
  <si>
    <t>resetUsers</t>
  </si>
  <si>
    <t>testAddListener_noPermission</t>
  </si>
  <si>
    <t>testRemoveListener_noPermission</t>
  </si>
  <si>
    <t>testLifecycleListener</t>
  </si>
  <si>
    <t>testGuestUserResumeToNewGuestUser</t>
  </si>
  <si>
    <t>testPersistentUserResumeToUser</t>
  </si>
  <si>
    <t>toggleInteractAcrossUsersPermission</t>
  </si>
  <si>
    <t>testPackageInstalledForSystemAndFullUser</t>
  </si>
  <si>
    <t>testPackageInstalledForFullUserOnly</t>
  </si>
  <si>
    <t>isInstalled</t>
  </si>
  <si>
    <t>createNewUser</t>
  </si>
  <si>
    <t>switchUser</t>
  </si>
  <si>
    <t>waitForCurrentUser</t>
  </si>
  <si>
    <t>getCurrentUser</t>
  </si>
  <si>
    <t>suspendToRamAndResume</t>
  </si>
  <si>
    <t>isCurrentUserValidGuestUser</t>
  </si>
  <si>
    <t>isCurrentUserInitialized</t>
  </si>
  <si>
    <t>lifecycleEventsTypeToString</t>
  </si>
  <si>
    <t>assertConsumerOk</t>
  </si>
  <si>
    <t>testThermalDataEnable</t>
  </si>
  <si>
    <t>testPolicyDataEnable</t>
  </si>
  <si>
    <t>testCarrierDataEnable</t>
  </si>
  <si>
    <t>testUserDataEnable</t>
  </si>
  <si>
    <t>setDefaultPrinter</t>
  </si>
  <si>
    <t>clearPrintSpoolerState</t>
  </si>
  <si>
    <t>testAddUserRestrictionDisallowAddUser_onParent</t>
  </si>
  <si>
    <t>testHasUserRestrictionDisallowAddUser</t>
  </si>
  <si>
    <t>testClearUserRestrictionDisallowAddUser</t>
  </si>
  <si>
    <t>testUserRestrictionsSetOnParentAreEnforced</t>
  </si>
  <si>
    <t>setMaxDatasets</t>
  </si>
  <si>
    <t>restoreMaxDatasets</t>
  </si>
  <si>
    <t>testDoNetworkWithoutTagging</t>
  </si>
  <si>
    <t>testDoNetworkWithTagging</t>
  </si>
  <si>
    <t>makeNetworkRequest</t>
  </si>
  <si>
    <t>assertPositive</t>
  </si>
  <si>
    <t>assertNotNegative</t>
  </si>
  <si>
    <t>assertGreaterOrEqual</t>
  </si>
  <si>
    <t>testSanityCheck</t>
  </si>
  <si>
    <t>sum</t>
  </si>
  <si>
    <t>checkInterfaces</t>
  </si>
  <si>
    <t>checkStats</t>
  </si>
  <si>
    <t>hasWiFiFeature</t>
  </si>
  <si>
    <t>verifyNetworkStatsServiceDumpProto</t>
  </si>
  <si>
    <t>verifyNetworkInterfaceProto</t>
  </si>
  <si>
    <t>testInstallTargetRWithV1Signer</t>
  </si>
  <si>
    <t>testInstallTargetRWithV2V2Signers</t>
  </si>
  <si>
    <t>targetCurrentSdkAndChangeDefaultDialerThenIsCanceled</t>
  </si>
  <si>
    <t>targetCurrentSdkAndChangeDefaultSmsThenIsCanceled</t>
  </si>
  <si>
    <t>removeSmsRoleHolderThenDialerRoleAppOpIsNotDenied</t>
  </si>
  <si>
    <t>expectAvailableCallback</t>
  </si>
  <si>
    <t>assertNoCallback</t>
  </si>
  <si>
    <t>testAreBubblesAllowed</t>
  </si>
  <si>
    <t>enableAdapter</t>
  </si>
  <si>
    <t>disableAdapter</t>
  </si>
  <si>
    <t>testActivityNotBlockedwhenForegroundActivityLaunchInSameTask</t>
  </si>
  <si>
    <t>testShimApkIsPreInstalledInShimApex</t>
  </si>
  <si>
    <t>testExtractAsset</t>
  </si>
  <si>
    <t>extractAsset</t>
  </si>
  <si>
    <t>initAdapterStateVariables</t>
  </si>
  <si>
    <t>testationRecord</t>
  </si>
  <si>
    <t>testFeatureTrue</t>
  </si>
  <si>
    <t>testFeatureFalse</t>
  </si>
  <si>
    <t>checkConsistency</t>
  </si>
  <si>
    <t>setForceAdoptable</t>
  </si>
  <si>
    <t>reportAudioStatus_0_unmuted</t>
  </si>
  <si>
    <t>reportAudioStatus_50_unmuted</t>
  </si>
  <si>
    <t>reportAudioStatus_100_unmuted</t>
  </si>
  <si>
    <t>reportAudioStatusMuted</t>
  </si>
  <si>
    <t>cect_11_2_15_9_ReportAudioStatus</t>
  </si>
  <si>
    <t>setUpSource</t>
  </si>
  <si>
    <t>enqueueCodecConfig</t>
  </si>
  <si>
    <t>queueCodecConfig</t>
  </si>
  <si>
    <t>enqueueInput</t>
  </si>
  <si>
    <t>hasCSD</t>
  </si>
  <si>
    <t>dequeueOutput</t>
  </si>
  <si>
    <t>doWork</t>
  </si>
  <si>
    <t>decodeToMemory</t>
  </si>
  <si>
    <t>validateMetrics</t>
  </si>
  <si>
    <t>fillImage</t>
  </si>
  <si>
    <t>fillByteBuffer</t>
  </si>
  <si>
    <t>testRegistrationState</t>
  </si>
  <si>
    <t>storePrivateDnsSetting</t>
  </si>
  <si>
    <t>restorePrivateDnsSetting</t>
  </si>
  <si>
    <t>assertColorMostlyEquals</t>
  </si>
  <si>
    <t>assertNotColorMostlyEquals</t>
  </si>
  <si>
    <t>Monitor</t>
  </si>
  <si>
    <t>sendCommand</t>
  </si>
  <si>
    <t>testCellLocationFinePermission</t>
  </si>
  <si>
    <t>testServiceStateLocationSanitization</t>
  </si>
  <si>
    <t>testServiceStateListeningWithoutPermissions</t>
  </si>
  <si>
    <t>testRegistryPermissionsForCellLocation</t>
  </si>
  <si>
    <t>testRegistryPermissionsForCellInfo</t>
  </si>
  <si>
    <t>testSdk28CellLocation</t>
  </si>
  <si>
    <t>getLocationAccessAppControl</t>
  </si>
  <si>
    <t>getLocationAccessAppControlSdk28</t>
  </si>
  <si>
    <t>bindLocationAccessControl</t>
  </si>
  <si>
    <t>performLocationAccessCommand</t>
  </si>
  <si>
    <t>performLocationAccessCommandSdk28</t>
  </si>
  <si>
    <t>withRevokedPermission</t>
  </si>
  <si>
    <t>assertServiceStateSanitization</t>
  </si>
  <si>
    <t>testIkeSessionSetupAndManageChildSas</t>
  </si>
  <si>
    <t>testIkeSessionKill</t>
  </si>
  <si>
    <t>testPocCVE_2015_6632</t>
  </si>
  <si>
    <t>testPocCVE_2017_0778</t>
  </si>
  <si>
    <t>testPocCVE_2017_0851</t>
  </si>
  <si>
    <t>testWithChangeDisabled</t>
  </si>
  <si>
    <t>createIkeSessionParams</t>
  </si>
  <si>
    <t>openIkeSession</t>
  </si>
  <si>
    <t>uninstallCompanionPackage</t>
  </si>
  <si>
    <t>adoptShellPermissionIdentity</t>
  </si>
  <si>
    <t>dropShellPermissionIdentity</t>
  </si>
  <si>
    <t>testPocCVE_2017_13250</t>
  </si>
  <si>
    <t>testPocCVE_2017_0726</t>
  </si>
  <si>
    <t>testOpenFilter</t>
  </si>
  <si>
    <t>testOpenTimeFilter</t>
  </si>
  <si>
    <t>testOpenLnb</t>
  </si>
  <si>
    <t>testLnbSetVoltage</t>
  </si>
  <si>
    <t>testLnbSetTone</t>
  </si>
  <si>
    <t>testLnbSetPosistion</t>
  </si>
  <si>
    <t>testOpenDescrambler</t>
  </si>
  <si>
    <t>expectLostCallback</t>
  </si>
  <si>
    <t>testNoExtractNativeLibs</t>
  </si>
  <si>
    <t>testExtractNativeLibs</t>
  </si>
  <si>
    <t>testSetAndGetCameraDisabled_onParent</t>
  </si>
  <si>
    <t>checkCanOpenCamera</t>
  </si>
  <si>
    <t>startBackgroundThread</t>
  </si>
  <si>
    <t>stopBackgroundThread</t>
  </si>
  <si>
    <t>testCannotAddSecondaryUser</t>
  </si>
  <si>
    <t>testSupportsRotationVector</t>
  </si>
  <si>
    <t>checkSupportsSensor</t>
  </si>
  <si>
    <t>testPocCVE_2019_9313</t>
  </si>
  <si>
    <t>testPocCVE_2019_2126</t>
  </si>
  <si>
    <t>testPocCVE_2017_0697</t>
  </si>
  <si>
    <t>testPocCVE_2019_9347</t>
  </si>
  <si>
    <t>getBrowserIntent</t>
  </si>
  <si>
    <t>hasTunnelsFeature</t>
  </si>
  <si>
    <t>setAppop</t>
  </si>
  <si>
    <t>setupAndGetTestNetwork</t>
  </si>
  <si>
    <t>getNetworkBlocking</t>
  </si>
  <si>
    <t>getIpHeader</t>
  </si>
  <si>
    <t>testRandomizedWifiMacAddress</t>
  </si>
  <si>
    <t>testWakeLockDuration</t>
  </si>
  <si>
    <t>testServiceForegroundDuration</t>
  </si>
  <si>
    <t>testBleScans</t>
  </si>
  <si>
    <t>testJobBgVsFg</t>
  </si>
  <si>
    <t>testSyncBgVsFg</t>
  </si>
  <si>
    <t>testRealtime</t>
  </si>
  <si>
    <t>testSyncs</t>
  </si>
  <si>
    <t>testStartStopVpnProfile</t>
  </si>
  <si>
    <t>testCantAccessOtherObbDirs</t>
  </si>
  <si>
    <t>assertFileReadOnlyAccess</t>
  </si>
  <si>
    <t>testNoExtractNativeLibsLegacy</t>
  </si>
  <si>
    <t>testExtractNativeLibsLegacy</t>
  </si>
  <si>
    <t>testNoExtractNativeLibsFails</t>
  </si>
  <si>
    <t>testNoExtractNativeLibsIncremental</t>
  </si>
  <si>
    <t>testExtractNativeLibsIncremental</t>
  </si>
  <si>
    <t>testExtractNativeLibsIncrementalFails</t>
  </si>
  <si>
    <t>installPackageIncremental</t>
  </si>
  <si>
    <t>installPackageIncrementalFromFiles</t>
  </si>
  <si>
    <t>installIncrementalPackageFromResource</t>
  </si>
  <si>
    <t>getFileFromResource</t>
  </si>
  <si>
    <t>testNoManagedUsersIfLowRamDevice</t>
  </si>
  <si>
    <t>testSetTextWithImageSpan_shouldTextSetToInfo</t>
  </si>
  <si>
    <t>testManagedProfilesSupportedWithLockScreenOnly</t>
  </si>
  <si>
    <t>getUsageSourceSetting</t>
  </si>
  <si>
    <t>testSecondaryWalkingUpTreeReadOnly</t>
  </si>
  <si>
    <t>testSecondaryMountPointsNotWritable</t>
  </si>
  <si>
    <t>handleViewItemSelected</t>
  </si>
  <si>
    <t>openIkeSessionWithRemoteAddress</t>
  </si>
  <si>
    <t>retryPressKeyCode</t>
  </si>
  <si>
    <t>assertCannotAccessOtherAppFile</t>
  </si>
  <si>
    <t>setupNewPublicVolume</t>
  </si>
  <si>
    <t>testSetInstallPackage</t>
  </si>
  <si>
    <t>testSetInstallPackageBadTarget</t>
  </si>
  <si>
    <t>testSetInstallPackageBadInstaller</t>
  </si>
  <si>
    <t>testSetInstallPackageWrongCertificate</t>
  </si>
  <si>
    <t>testSetInstallPackageConflictingInstaller</t>
  </si>
  <si>
    <t>testHideView_receiveSubtreeEvent</t>
  </si>
  <si>
    <t>testUnhideView_receiveSubtreeEvent</t>
  </si>
  <si>
    <t>testExtractorGetCachedDuration</t>
  </si>
  <si>
    <t>testExtractorHasCacheReachedEndOfStream</t>
  </si>
  <si>
    <t>testVideoPresentationTimeStampsMatch</t>
  </si>
  <si>
    <t>ByteBufferDataSource</t>
  </si>
  <si>
    <t>MediaExtractorStream</t>
  </si>
  <si>
    <t>testFlacIdentity</t>
  </si>
  <si>
    <t>testFlacMovExtraction</t>
  </si>
  <si>
    <t>doTestAdvance</t>
  </si>
  <si>
    <t>testAdvance</t>
  </si>
  <si>
    <t>for</t>
  </si>
  <si>
    <t>permissionShouldRemainGrantedAfterAppUpdate</t>
  </si>
  <si>
    <t>installtimePermissionDependencyTest</t>
  </si>
  <si>
    <t>testLocationRedaction</t>
  </si>
  <si>
    <t>testEncode</t>
  </si>
  <si>
    <t>testEncodeSurfaceH264720p</t>
  </si>
  <si>
    <t>testEncodeSurfaceVp8720p</t>
  </si>
  <si>
    <t>testEncodeSurfaceHevc720p</t>
  </si>
  <si>
    <t>testEncodeSurfaceH264360p</t>
  </si>
  <si>
    <t>testEncodeSurfaceVp8360p</t>
  </si>
  <si>
    <t>testEncodeSurfaceHevc360p</t>
  </si>
  <si>
    <t>testEncodeDynamicSyncFrame</t>
  </si>
  <si>
    <t>testEncodeDynamicSyncFrameH264720p</t>
  </si>
  <si>
    <t>testEncodeDynamicSyncFrameVp8720p</t>
  </si>
  <si>
    <t>testEncodeDynamicSyncFrameHevc720p</t>
  </si>
  <si>
    <t>testEncodeDynamicSyncFrameH264360p</t>
  </si>
  <si>
    <t>testEncodeDynamicSyncFrameVp8360p</t>
  </si>
  <si>
    <t>testEncodeDynamicSyncFrameHevc360p</t>
  </si>
  <si>
    <t>testEncodeDynamicBitrate</t>
  </si>
  <si>
    <t>testEncodeDynamicBitrateH264720p</t>
  </si>
  <si>
    <t>testEncodeDynamicBitrateVp8720p</t>
  </si>
  <si>
    <t>testEncodeDynamicBitrateHevc720p</t>
  </si>
  <si>
    <t>testEncodeDynamicBitrateH264360p</t>
  </si>
  <si>
    <t>testEncodeDynamicBitrateVp8360p</t>
  </si>
  <si>
    <t>testEncodeDynamicBitrateHevc360p</t>
  </si>
  <si>
    <t>testEncodePersistentSurface</t>
  </si>
  <si>
    <t>testEncodePersistentSurface720p</t>
  </si>
  <si>
    <t>testEncodePersistentSurface360p</t>
  </si>
  <si>
    <t>testAcquireRelease_deleteImmediately</t>
  </si>
  <si>
    <t>getMediaContentUri</t>
  </si>
  <si>
    <t>isLowRamDevice</t>
  </si>
  <si>
    <t>waitForConnectivityServiceIdleAndGetNetwork</t>
  </si>
  <si>
    <t>testMemInfoDump</t>
  </si>
  <si>
    <t>verifyMemInfoDumpProto</t>
  </si>
  <si>
    <t>testProcessMemory</t>
  </si>
  <si>
    <t>testMemoryInfo</t>
  </si>
  <si>
    <t>testHeapInfo</t>
  </si>
  <si>
    <t>testAppData</t>
  </si>
  <si>
    <t>testMemItem</t>
  </si>
  <si>
    <t>testDoubleTapNoAccessibilityFocus_doesNotPerformClick</t>
  </si>
  <si>
    <t>testDoubleTapAndHoldNoAccessibilityFocus_doesNotPerformLongClick</t>
  </si>
  <si>
    <t>getOnSoftapInfoChangedCalled</t>
  </si>
  <si>
    <t>TestInputMethodService</t>
  </si>
  <si>
    <t>testLockTaskIsActive</t>
  </si>
  <si>
    <t>TestDataPoint</t>
  </si>
  <si>
    <t>verifyIms</t>
  </si>
  <si>
    <t>supportsInstallableIme</t>
  </si>
  <si>
    <t>testThrowException</t>
  </si>
  <si>
    <t>testThrowExceptionWithIntFormat</t>
  </si>
  <si>
    <t>testThrowNullPointerException</t>
  </si>
  <si>
    <t>testThrowRuntimeException</t>
  </si>
  <si>
    <t>testIOException</t>
  </si>
  <si>
    <t>testLogException</t>
  </si>
  <si>
    <t>testFileDescriptorCreate</t>
  </si>
  <si>
    <t>testFileDescriptorGetNull</t>
  </si>
  <si>
    <t>testFileDescriptorGetNonNull</t>
  </si>
  <si>
    <t>testFileDescriptorSetNull</t>
  </si>
  <si>
    <t>testFileDescriptorSetNonNull</t>
  </si>
  <si>
    <t>testFileDescriptorSetCompatQRNonNull</t>
  </si>
  <si>
    <t>checkNioBufferApi</t>
  </si>
  <si>
    <t>checkNioHeapBuffers</t>
  </si>
  <si>
    <t>testNioHeapByteBuffer</t>
  </si>
  <si>
    <t>testNioDirectHeapByteBuffer</t>
  </si>
  <si>
    <t>testNioDirectNonHeapByteBuffer</t>
  </si>
  <si>
    <t>checkNioXHeapBuffer</t>
  </si>
  <si>
    <t>checkNioXHeapBuffers</t>
  </si>
  <si>
    <t>testNioHeapShortBuffer</t>
  </si>
  <si>
    <t>testNioHeapIntBuffer</t>
  </si>
  <si>
    <t>testNioHeapFloatBuffer</t>
  </si>
  <si>
    <t>testNioHeapDoubleBuffer</t>
  </si>
  <si>
    <t>testNioWrappedHeapByteBuffer</t>
  </si>
  <si>
    <t>testGetReferent</t>
  </si>
  <si>
    <t>testCreateString</t>
  </si>
  <si>
    <t>testCreateStringArray</t>
  </si>
  <si>
    <t>testPocCVE_2017_13205</t>
  </si>
  <si>
    <t>testDoubleTapAndHoldAccessibilityFocus_performsLongClick</t>
  </si>
  <si>
    <t>testCantSetAttrOtherAppsFile</t>
  </si>
  <si>
    <t>setAttrAs</t>
  </si>
  <si>
    <t>testInstallSysTrace</t>
  </si>
  <si>
    <t>clearBroadcastReceiver</t>
  </si>
  <si>
    <t>assertUpdateAvailableNetworkInvalidArguments</t>
  </si>
  <si>
    <t>logShouldNotContain</t>
  </si>
  <si>
    <t>lookForLogFromHdmiCecAudioManager</t>
  </si>
  <si>
    <t>lookForLogFromSadConfigurationReaderTest</t>
  </si>
  <si>
    <t>getKeyPressLog</t>
  </si>
  <si>
    <t>action_downgradeFail_phase</t>
  </si>
  <si>
    <t>assert_downgradeFail_phase</t>
  </si>
  <si>
    <t>assert_commitNotRequestedDowngrade_phase</t>
  </si>
  <si>
    <t>testNonStagedDowngrade</t>
  </si>
  <si>
    <t>testStagedDowngrade_userBuild_fails</t>
  </si>
  <si>
    <t>ShimApexRule</t>
  </si>
  <si>
    <t>before</t>
  </si>
  <si>
    <t>after</t>
  </si>
  <si>
    <t>uninstallShimApexIfNecessary</t>
  </si>
  <si>
    <t>isUpdatingApexSupported</t>
  </si>
  <si>
    <t>getShimApex</t>
  </si>
  <si>
    <t>assertNoSessionCommitBroadcastSent</t>
  </si>
  <si>
    <t>assertNoSessionUpdatedBroadcastSent</t>
  </si>
  <si>
    <t>waitBlockedStatusCallback</t>
  </si>
  <si>
    <t>expectCapabilitiesCallback</t>
  </si>
  <si>
    <t>assumeNavigationMode</t>
  </si>
  <si>
    <t>testIsExternalStorageManager</t>
  </si>
  <si>
    <t>setAppOpsModeForUid</t>
  </si>
  <si>
    <t>parseTimeStringToMillis</t>
  </si>
  <si>
    <t>parseTimeStringToJulianDay</t>
  </si>
  <si>
    <t>testPrimaryProfile_cannotAccessWorkCalendarsWhenDisabled</t>
  </si>
  <si>
    <t>testPrimaryProfile_cannotAccessWorkEventsWhenDisabled</t>
  </si>
  <si>
    <t>testPrimaryProfile_cannotAccessWorkInstancesWhenDisabled</t>
  </si>
  <si>
    <t>testPrimaryProfile_getCorrectWorkCalendarsWhenEnabled</t>
  </si>
  <si>
    <t>testPrimaryProfile_getCorrectWorkEventsWhenEnabled</t>
  </si>
  <si>
    <t>testPrimaryProfile_getCorrectWorkInstancesWhenEnabled</t>
  </si>
  <si>
    <t>testPrimaryProfile_getCorrectWorkInstancesByDayWhenEnabled</t>
  </si>
  <si>
    <t>testPrimaryProfile_canAccessWorkInstancesSearch1</t>
  </si>
  <si>
    <t>testPrimaryProfile_canAccessWorkInstancesSearch2</t>
  </si>
  <si>
    <t>testPrimaryProfile_canAccessWorkInstancesSearchByDay</t>
  </si>
  <si>
    <t>testPrimaryProfile_getExceptionWhenQueryNonWhitelistedColumns</t>
  </si>
  <si>
    <t>testViewEventCrossProfile_intentFailedWhenNotWhitelisted</t>
  </si>
  <si>
    <t>testWhitelistManagedProfilePackage</t>
  </si>
  <si>
    <t>testWhitelistAllPackages</t>
  </si>
  <si>
    <t>testCleanupWhitelist</t>
  </si>
  <si>
    <t>testAddTestCalendarDataForWorkProfile</t>
  </si>
  <si>
    <t>testCleanupTestCalendarDataForWorkProfile</t>
  </si>
  <si>
    <t>testEnableCrossProfileCalendarSettings</t>
  </si>
  <si>
    <t>testDisableCrossProfileCalendarSettings</t>
  </si>
  <si>
    <t>buildQueryInstancesUri</t>
  </si>
  <si>
    <t>getViewEventCrossProfileString</t>
  </si>
  <si>
    <t>requireRunningOnPrimaryProfile</t>
  </si>
  <si>
    <t>insertWorkCalendar</t>
  </si>
  <si>
    <t>insertWorkEvent</t>
  </si>
  <si>
    <t>addSyncQueryParams</t>
  </si>
  <si>
    <t>addTestAccount</t>
  </si>
  <si>
    <t>testMp4Metadata</t>
  </si>
  <si>
    <t>testPocCVE_2018_9491</t>
  </si>
  <si>
    <t>testPocCVE_2018_9472</t>
  </si>
  <si>
    <t>testPocCVE_2016_4658</t>
  </si>
  <si>
    <t>testPocCVE_2016_5131</t>
  </si>
  <si>
    <t>testPocCVE_2017_0814</t>
  </si>
  <si>
    <t>testTypeConfig_full</t>
  </si>
  <si>
    <t>testTypeConfig_full_notIncludeTypesFromTextClassifier</t>
  </si>
  <si>
    <t>testTypeConfig_minimal</t>
  </si>
  <si>
    <t>testConversationAction_minimal</t>
  </si>
  <si>
    <t>testConversationAction_full</t>
  </si>
  <si>
    <t>assertFullTypeConfig</t>
  </si>
  <si>
    <t>assertFullTypeConfig_notIncludeTypesFromTextClassifier</t>
  </si>
  <si>
    <t>assertMinimalTypeConfig</t>
  </si>
  <si>
    <t>assertMinimalConversationAction</t>
  </si>
  <si>
    <t>assertFullConversationAction</t>
  </si>
  <si>
    <t>textClassifierTypes</t>
  </si>
  <si>
    <t>testTextClassifierDestroy</t>
  </si>
  <si>
    <t>testGetMaxGenerateLinksTextLength</t>
  </si>
  <si>
    <t>testSuggestSelectionWith4Param</t>
  </si>
  <si>
    <t>testClassifyText</t>
  </si>
  <si>
    <t>testClassifyTextWith4Param</t>
  </si>
  <si>
    <t>testGenerateLinks</t>
  </si>
  <si>
    <t>testSuggestConversationActions</t>
  </si>
  <si>
    <t>testResolveEntityListModifications_only_hints</t>
  </si>
  <si>
    <t>testResolveEntityListModifications_include_exclude</t>
  </si>
  <si>
    <t>testResolveEntityListModifications_explicit</t>
  </si>
  <si>
    <t>testOnSelectionEvent</t>
  </si>
  <si>
    <t>testOnTextClassifierEvent</t>
  </si>
  <si>
    <t>testLanguageDetection_nullRequest</t>
  </si>
  <si>
    <t>assertValidResult</t>
  </si>
  <si>
    <t>testTextSelection</t>
  </si>
  <si>
    <t>testTextSelection_differentParams</t>
  </si>
  <si>
    <t>testTextSelection_defaultValues</t>
  </si>
  <si>
    <t>testTextSelection_prunedConfidenceScore</t>
  </si>
  <si>
    <t>testTextSelection_invalidStartParams</t>
  </si>
  <si>
    <t>testTextSelection_invalidEndParams</t>
  </si>
  <si>
    <t>testTextSelection_entityIndexOutOfBounds</t>
  </si>
  <si>
    <t>testTextSelectionRequest</t>
  </si>
  <si>
    <t>testTextSelectionRequest_nullValues</t>
  </si>
  <si>
    <t>testTextSelectionRequest_defaultValues</t>
  </si>
  <si>
    <t>testTextClassification</t>
  </si>
  <si>
    <t>testTextClassificationLegacy</t>
  </si>
  <si>
    <t>testTextClassification_defaultValues</t>
  </si>
  <si>
    <t>testTextClassificationRequest</t>
  </si>
  <si>
    <t>testTextClassificationRequest_nullValues</t>
  </si>
  <si>
    <t>testTextClassificationRequest_defaultValues</t>
  </si>
  <si>
    <t>testTextLinks_defaultValues</t>
  </si>
  <si>
    <t>testTextLinks_full</t>
  </si>
  <si>
    <t>testTextLinks_clearTextLinks</t>
  </si>
  <si>
    <t>testTextLinks_apply</t>
  </si>
  <si>
    <t>testTextLinks_applyStrategyReplace</t>
  </si>
  <si>
    <t>testTextLinks_applyStrategyIgnore</t>
  </si>
  <si>
    <t>testTextLinks_applyWithCustomSpanFactory</t>
  </si>
  <si>
    <t>testTextLinksRequest_defaultValues</t>
  </si>
  <si>
    <t>testTextLinksRequest_full</t>
  </si>
  <si>
    <t>testTextLanguage</t>
  </si>
  <si>
    <t>testTextLanguage_clippedScore</t>
  </si>
  <si>
    <t>testTextLanguageRequest</t>
  </si>
  <si>
    <t>generateTestIcon</t>
  </si>
  <si>
    <t>supportsMultiDisplay</t>
  </si>
  <si>
    <t>testSetDataEnabled</t>
  </si>
  <si>
    <t>testSetSafeBrowsingWhitelistWithMalformedList</t>
  </si>
  <si>
    <t>testSetSafeBrowsingWhitelistWithValidList</t>
  </si>
  <si>
    <t>RazerJunglecatBluetoothTest</t>
  </si>
  <si>
    <t>testExifInterfaceForStandalone</t>
  </si>
  <si>
    <t>testSaveAttributes_withFileName</t>
  </si>
  <si>
    <t>testSaveAttributes_withFileDescriptor</t>
  </si>
  <si>
    <t>testExifInterfaceForReadAndWrite</t>
  </si>
  <si>
    <t>testExifInterfaceForRead</t>
  </si>
  <si>
    <t>testExifByteOrderIIPngForReadAndWrite</t>
  </si>
  <si>
    <t>testExifByteOrderIIWebpForRead</t>
  </si>
  <si>
    <t>testPngWithoutExifForWrite</t>
  </si>
  <si>
    <t>sanityAll</t>
  </si>
  <si>
    <t>sanitySW</t>
  </si>
  <si>
    <t>sanityHW</t>
  </si>
  <si>
    <t>isWhiteList</t>
  </si>
  <si>
    <t>removeWhiteList</t>
  </si>
  <si>
    <t>testIncorrectContextUse_GetViewConfiguration</t>
  </si>
  <si>
    <t>waitForUserNotRunning</t>
  </si>
  <si>
    <t>testSanity</t>
  </si>
  <si>
    <t>isApexUpdateSupported</t>
  </si>
  <si>
    <t>setAndValidateAngleDevOptionWhitelist</t>
  </si>
  <si>
    <t>isCheckpointSupported</t>
  </si>
  <si>
    <t>getStagedSessionInfo</t>
  </si>
  <si>
    <t>testFindNextFocusDoesNotReturnItself</t>
  </si>
  <si>
    <t>testFindPreviousFocusDoesNotReturnItself</t>
  </si>
  <si>
    <t>checkPermission</t>
  </si>
  <si>
    <t>testPermissionGrantState</t>
  </si>
  <si>
    <t>testAutoGrantMultiplePermissionsInGroup</t>
  </si>
  <si>
    <t>testPermissionGrantOfDisallowedPermissionWhileOtherPermIsGranted</t>
  </si>
  <si>
    <t>testPermissionUpdate_setDeniedState</t>
  </si>
  <si>
    <t>testPermissionUpdate_setAutoDeniedPolicy</t>
  </si>
  <si>
    <t>testPermissionUpdate_checkDenied</t>
  </si>
  <si>
    <t>testPermissionUpdate_setGrantedState</t>
  </si>
  <si>
    <t>testPermissionUpdate_setAutoGrantedPolicy</t>
  </si>
  <si>
    <t>testPermissionUpdate_checkGranted</t>
  </si>
  <si>
    <t>testPermissionGrantStateAppPreMDeviceAdminPreQ</t>
  </si>
  <si>
    <t>testPermissionGrantStatePreMApp</t>
  </si>
  <si>
    <t>testUserNotifiedOfLocationPermissionGrant</t>
  </si>
  <si>
    <t>assertPermissionRequest</t>
  </si>
  <si>
    <t>assertSetPermissionGrantState</t>
  </si>
  <si>
    <t>assertCannotSetPermissionGrantStateAppPreM</t>
  </si>
  <si>
    <t>assertCanSetPermissionGrantStateAppPreM</t>
  </si>
  <si>
    <t>assertSetPermissionPolicy</t>
  </si>
  <si>
    <t>assertFailedToSetDevelopmentPermissionGrantState</t>
  </si>
  <si>
    <t>pressPermissionPromptButton</t>
  </si>
  <si>
    <t>initLocationPermissionNotificationLatch</t>
  </si>
  <si>
    <t>isNotificationCancelled</t>
  </si>
  <si>
    <t>testSimpleDecodeNative</t>
  </si>
  <si>
    <t>setScreenParams</t>
  </si>
  <si>
    <t>setUpSurface</t>
  </si>
  <si>
    <t>tearDownSurface</t>
  </si>
  <si>
    <t>isCodecContainerPairValid</t>
  </si>
  <si>
    <t>testsetDynamicPowerSavings_requiresPermissions</t>
  </si>
  <si>
    <t>setFields</t>
  </si>
  <si>
    <t>getActivityRule</t>
  </si>
  <si>
    <t>startAutoFill</t>
  </si>
  <si>
    <t>autofillEditText</t>
  </si>
  <si>
    <t>autofillValidTextValue</t>
  </si>
  <si>
    <t>autofillEmptyTextValue</t>
  </si>
  <si>
    <t>autofillTextWithListValue</t>
  </si>
  <si>
    <t>getEditTextAutoFillValue</t>
  </si>
  <si>
    <t>autofillCompoundButton</t>
  </si>
  <si>
    <t>autofillToggleValueWithTrue</t>
  </si>
  <si>
    <t>autofillToggleValueWithFalse</t>
  </si>
  <si>
    <t>autofillCompoundButtonWithTextValue</t>
  </si>
  <si>
    <t>getCompoundButtonAutoFillValue</t>
  </si>
  <si>
    <t>autofillListValue</t>
  </si>
  <si>
    <t>autofillZeroListValueToSpinner</t>
  </si>
  <si>
    <t>autofillOneListValueToSpinner</t>
  </si>
  <si>
    <t>autofillInvalidListValueToSpinner</t>
  </si>
  <si>
    <t>autofillSpinnerWithTextValue</t>
  </si>
  <si>
    <t>getSpinnerAutoFillValue</t>
  </si>
  <si>
    <t>autofillDateValueToDatePicker</t>
  </si>
  <si>
    <t>getDateAsMillis</t>
  </si>
  <si>
    <t>autofillValidDateValueToDatePicker</t>
  </si>
  <si>
    <t>autofillDatePickerWithTextValue</t>
  </si>
  <si>
    <t>getDatePickerAutoFillValue</t>
  </si>
  <si>
    <t>autofillDateValueToTimePicker</t>
  </si>
  <si>
    <t>autofillValidDateValueToTimePicker</t>
  </si>
  <si>
    <t>autofillTimePickerWithTextValue</t>
  </si>
  <si>
    <t>getTimePickerAutoFillValue</t>
  </si>
  <si>
    <t>autofillRadioGroup</t>
  </si>
  <si>
    <t>autofillZeroListValueToRadioGroup</t>
  </si>
  <si>
    <t>autofillOneListValueToRadioGroup</t>
  </si>
  <si>
    <t>autofillInvalidListValueToRadioGroup</t>
  </si>
  <si>
    <t>autofillRadioGroupWithTextValue</t>
  </si>
  <si>
    <t>getRadioGroupAutoFillValue</t>
  </si>
  <si>
    <t>cect_11_2_15_9_ReportAudioStatus_0_unmuted</t>
  </si>
  <si>
    <t>testIncorrectContextUseOnGetDisplay</t>
  </si>
  <si>
    <t>testIncorrectContextUse_GetDisplay</t>
  </si>
  <si>
    <t>testNoExemptionsForBinderInVendorBan</t>
  </si>
  <si>
    <t>testCallerCheck</t>
  </si>
  <si>
    <t>setRightSideOfScreenGestureDetectionPassthrough</t>
  </si>
  <si>
    <t>setRightSideOfScreenTouchExplorationPassthrough</t>
  </si>
  <si>
    <t>getRightSideOfScreenRegion</t>
  </si>
  <si>
    <t>testStartLocalOnlyHotspotWithConfig</t>
  </si>
  <si>
    <t>testNonStagedDowngrade_userBuild_fail</t>
  </si>
  <si>
    <t>testStagedDowngrade_userBuild_fail</t>
  </si>
  <si>
    <t>getObservableDataEnabledUri</t>
  </si>
  <si>
    <t>testModeSwitch</t>
  </si>
  <si>
    <t>supportsTaggedPointers</t>
  </si>
  <si>
    <t>testHeapTaggingCompatFeatureEnabled</t>
  </si>
  <si>
    <t>testMemoryTagChecksCompatFeatureEnabled</t>
  </si>
  <si>
    <t>testMemoryTagChecksCompatFeatureDisabled</t>
  </si>
  <si>
    <t>testServiceSupressingA11yServices_a11yServiceStartsWhenDestroyed</t>
  </si>
  <si>
    <t>testServiceSupressingA11yServices_a11yServiceStartsWhenFlagsChange</t>
  </si>
  <si>
    <t>testSetSecondaryLockscreen_notSupervisionApp_throwsSecurityException</t>
  </si>
  <si>
    <t>testInstallerChecksumsTrustNone</t>
  </si>
  <si>
    <t>testInstallerChecksumsTrustAll</t>
  </si>
  <si>
    <t>testInstallerChecksumsTrustInstaller</t>
  </si>
  <si>
    <t>testInstallerChecksumsTrustWrongInstaller</t>
  </si>
  <si>
    <t>testInstallerChecksumsTrustAllWrongName</t>
  </si>
  <si>
    <t>testInstallerChecksumsUpdate</t>
  </si>
  <si>
    <t>convertSignaturesToCertificates</t>
  </si>
  <si>
    <t>installApkWithChecksums</t>
  </si>
  <si>
    <t>writeFileToSession</t>
  </si>
  <si>
    <t>hexStringToBytes</t>
  </si>
  <si>
    <t>Stub</t>
  </si>
  <si>
    <t>getIntentSender</t>
  </si>
  <si>
    <t>checkSuccess</t>
  </si>
  <si>
    <t>checkFailure</t>
  </si>
  <si>
    <t>testDontShowSaveUiWhenUserManuallyFilledSameValue_oneDatasetRequiredAndOptionalFields</t>
  </si>
  <si>
    <t>testGetSmscAddress</t>
  </si>
  <si>
    <t>testSetSmscAddress</t>
  </si>
  <si>
    <t>testDebugKeyValidOnDebugBuild</t>
  </si>
  <si>
    <t>testDebugKeyNotValidOnUserBuild</t>
  </si>
  <si>
    <t>getProfileSwitchingLabel_callingFromWorkUser_targetIsPrimaryUser_notNull</t>
  </si>
  <si>
    <t>getProfileSwitchingIconDrawable_callingFromWorkUser_targetIsPrimaryUser_notNull</t>
  </si>
  <si>
    <t>getTargetUserProfiles_callingFromPrimaryProfile_containsWorkProfile</t>
  </si>
  <si>
    <t>getTargetUserProfiles_callingFromPrimaryProfile_appNotInstalledInWorkProfile_doesNotContainWorkProfile</t>
  </si>
  <si>
    <t>testSetDateTime</t>
  </si>
  <si>
    <t>matchParametersToCharacteritics</t>
  </si>
  <si>
    <t>testDeleteByTypes</t>
  </si>
  <si>
    <t>testNullMediaDataSourceIsRejected</t>
  </si>
  <si>
    <t>testMediaDataSourceIsClosedOnRelease</t>
  </si>
  <si>
    <t>testExtractorFailsIfMediaDataSourceThrows</t>
  </si>
  <si>
    <t>testExtractorFailsIfMediaDataSourceReturnsAnError</t>
  </si>
  <si>
    <t>testExtractFromAMediaDataSource</t>
  </si>
  <si>
    <t>testExtractFromAssetFileDescriptor</t>
  </si>
  <si>
    <t>testDolbyVisionMediaExtractorProfileDvheStn</t>
  </si>
  <si>
    <t>testAC3inMP4</t>
  </si>
  <si>
    <t>testEAC3inMP4</t>
  </si>
  <si>
    <t>testAC3inTS</t>
  </si>
  <si>
    <t>testEAC3inTS</t>
  </si>
  <si>
    <t>testAC4inMP4</t>
  </si>
  <si>
    <t>isAutomotiveDevice</t>
  </si>
  <si>
    <t>testCantSetUserRestriction</t>
  </si>
  <si>
    <t>getAssetFileDescriptorFor</t>
  </si>
  <si>
    <t>testIncorrectContextUse_GetSystemService</t>
  </si>
  <si>
    <t>testIncorrectContextUse_GetGestureDetector</t>
  </si>
  <si>
    <t>testMediaSandboxed</t>
  </si>
  <si>
    <t>testMediaSandboxed28</t>
  </si>
  <si>
    <t>testMediaSandboxed29</t>
  </si>
  <si>
    <t>doMediaSandboxed</t>
  </si>
  <si>
    <t>testSandboxed</t>
  </si>
  <si>
    <t>testNotSandboxed</t>
  </si>
  <si>
    <t>doSandboxed</t>
  </si>
  <si>
    <t>testIndicatorShownWhileRecordingUsingAudioRecordApi</t>
  </si>
  <si>
    <t>testIndicatorShownWhileRecordingUsingMediaRecorderApi</t>
  </si>
  <si>
    <t>testIndicatorShownWhileRecordingUsingAudioRecordApiAndForceStopped</t>
  </si>
  <si>
    <t>testIndicatorShownWhileRecordingUsingMediaRecorderApiAndForceStopped</t>
  </si>
  <si>
    <t>testIndicatorShownWhileRecordingUsingAudioRecordApiAndCrashed</t>
  </si>
  <si>
    <t>testIndicatorShownWhileRecordingUsingMediaRecorderApiAndCrashed</t>
  </si>
  <si>
    <t>testIndicatorShownWhileRecordingUsingBothApisSimultaneously</t>
  </si>
  <si>
    <t>runSimpleStartStopTestRoutine</t>
  </si>
  <si>
    <t>waitForProcessToComeAlive</t>
  </si>
  <si>
    <t>assertIndicatorVisible</t>
  </si>
  <si>
    <t>assertIndicatorInvisible</t>
  </si>
  <si>
    <t>getMicCaptureIndicatorWindow</t>
  </si>
  <si>
    <t>getDump</t>
  </si>
  <si>
    <t>collectWindowStates</t>
  </si>
  <si>
    <t>testImeVisibilityWhenEditorInDialogClearedFocusAfterUnlocked</t>
  </si>
  <si>
    <t>testRepeatedArguments</t>
  </si>
  <si>
    <t>setupBroadcastReceivers</t>
  </si>
  <si>
    <t>testTextView_getAndSetRichContentReceiver</t>
  </si>
  <si>
    <t>testTextView_onCreateInputConnection_nullEditorInfo</t>
  </si>
  <si>
    <t>testTextView_onCreateInputConnection_defaultReceiver</t>
  </si>
  <si>
    <t>testTextView_onCreateInputConnection_oldTargetSdk</t>
  </si>
  <si>
    <t>testTextView_onCreateInputConnection_customReceiver</t>
  </si>
  <si>
    <t>testTextView_getAutofillType_defaultReceiver</t>
  </si>
  <si>
    <t>testTextView_getAutofillType_customReceiver</t>
  </si>
  <si>
    <t>testTextView_getAutofillType_oldTargetSdk</t>
  </si>
  <si>
    <t>testDefaultReceiver_getSupportedMimeTypes</t>
  </si>
  <si>
    <t>testDefaultReceiver_onReceive_text</t>
  </si>
  <si>
    <t>testDefaultReceiver_onReceive_styledText</t>
  </si>
  <si>
    <t>testDefaultReceiver_onReceive_text_convertToPlainText</t>
  </si>
  <si>
    <t>testDefaultReceiver_onReceive_styledText_convertToPlainText</t>
  </si>
  <si>
    <t>testDefaultReceiver_onReceive_html</t>
  </si>
  <si>
    <t>testDefaultReceiver_onReceive_html_convertToPlainText</t>
  </si>
  <si>
    <t>testDefaultReceiver_onReceive_unsupportedMimeType</t>
  </si>
  <si>
    <t>testDefaultReceiver_onReceive_unsupportedMimeType_convertToPlainText</t>
  </si>
  <si>
    <t>testDefaultReceiver_onReceive_multipleItemsInClipData</t>
  </si>
  <si>
    <t>testDefaultReceiver_onReceive_noSelectionPriorToPaste</t>
  </si>
  <si>
    <t>testDefaultReceiver_onReceive_selectionStartAndEndSwapped</t>
  </si>
  <si>
    <t>testPaste_defaultReceiver</t>
  </si>
  <si>
    <t>testPaste_customReceiver</t>
  </si>
  <si>
    <t>testPaste_customReceiver_unsupportedMimeType</t>
  </si>
  <si>
    <t>testPasteAsPlainText_defaultReceiver</t>
  </si>
  <si>
    <t>testPasteAsPlainText_customReceiver</t>
  </si>
  <si>
    <t>testImeCommitContent_defaultReceiver</t>
  </si>
  <si>
    <t>testImeCommitContent_customReceiver</t>
  </si>
  <si>
    <t>testImeCommitContent_customReceiver_unsupportedMimeType</t>
  </si>
  <si>
    <t>testImeCommitContent_oldTargetSdk</t>
  </si>
  <si>
    <t>testDragAndDrop_defaultReceiver</t>
  </si>
  <si>
    <t>testDragAndDrop_customReceiver</t>
  </si>
  <si>
    <t>testDragAndDrop_customReceiver_unsupportedMimeType</t>
  </si>
  <si>
    <t>testAutofill_defaultReceiver</t>
  </si>
  <si>
    <t>testAutofill_customReceiver</t>
  </si>
  <si>
    <t>testAutofill_customReceiver_unsupportedMimeType</t>
  </si>
  <si>
    <t>testAutofill_oldTargetSdk</t>
  </si>
  <si>
    <t>initTextViewForEditing</t>
  </si>
  <si>
    <t>assertTextAndCursorPosition</t>
  </si>
  <si>
    <t>assertTextAndSelection</t>
  </si>
  <si>
    <t>resetTargetSdk</t>
  </si>
  <si>
    <t>configureAppTargetSdkToR</t>
  </si>
  <si>
    <t>configureAppTargetSdkToS</t>
  </si>
  <si>
    <t>MockReceiverWrapper</t>
  </si>
  <si>
    <t>getMock</t>
  </si>
  <si>
    <t>getSupportedMimeTypes</t>
  </si>
  <si>
    <t>copyToClipboard</t>
  </si>
  <si>
    <t>triggerContextMenuAction</t>
  </si>
  <si>
    <t>triggerImeCommitContent</t>
  </si>
  <si>
    <t>triggerAutofill</t>
  </si>
  <si>
    <t>triggerDropEvent</t>
  </si>
  <si>
    <t>createDragEvent</t>
  </si>
  <si>
    <t>preCreatedUserPackagesTest</t>
  </si>
  <si>
    <t>convertUser</t>
  </si>
  <si>
    <t>setSystemProperties</t>
  </si>
  <si>
    <t>testVideoAudio</t>
  </si>
  <si>
    <t>testDualVideoTrack</t>
  </si>
  <si>
    <t>testDualAudioTrack</t>
  </si>
  <si>
    <t>testDualVideoAndAudioTrack</t>
  </si>
  <si>
    <t>testVideoAudioMedatadataWithNonCompliantMetadataTrack</t>
  </si>
  <si>
    <t>testVideoAudioMedatadataWithCompliantMetadataTrack</t>
  </si>
  <si>
    <t>testAudioOnly</t>
  </si>
  <si>
    <t>testVideoOnly</t>
  </si>
  <si>
    <t>testThreegppOutput</t>
  </si>
  <si>
    <t>testIllegalStateExceptions</t>
  </si>
  <si>
    <t>testAllTimestampsBVideoOnly</t>
  </si>
  <si>
    <t>testTypePathConformity</t>
  </si>
  <si>
    <t>testCreateFileInAppExternalDir</t>
  </si>
  <si>
    <t>testCreateFileInOtherAppExternalDir</t>
  </si>
  <si>
    <t>testContributeMediaFile</t>
  </si>
  <si>
    <t>testCreateAndDeleteEmptyDir</t>
  </si>
  <si>
    <t>testOpendirRestrictions</t>
  </si>
  <si>
    <t>testLowLevelFileIO</t>
  </si>
  <si>
    <t>testListDirectoriesWithMediaFiles</t>
  </si>
  <si>
    <t>testListFilesFromExternalMediaDirectory</t>
  </si>
  <si>
    <t>testMetaDataRedaction</t>
  </si>
  <si>
    <t>testVfsCacheConsistency</t>
  </si>
  <si>
    <t>testCaseInsensitivity</t>
  </si>
  <si>
    <t>testRenameAndReplaceFile</t>
  </si>
  <si>
    <t>testRenameDirectory</t>
  </si>
  <si>
    <t>testSystemGalleryAppHasFullAccessToImages</t>
  </si>
  <si>
    <t>testSystemGalleryAppHasNoFullAccessToAudio</t>
  </si>
  <si>
    <t>testSystemGalleryCanRenameImagesAndVideos</t>
  </si>
  <si>
    <t>testManageExternalStorageCanCreateFilesAnywhere</t>
  </si>
  <si>
    <t>testManageExternalStorageReaddir</t>
  </si>
  <si>
    <t>testCanCreateHiddenFile</t>
  </si>
  <si>
    <t>testCanRenameHiddenFile</t>
  </si>
  <si>
    <t>testHiddenDirectory</t>
  </si>
  <si>
    <t>testQueryOtherAppsFiles</t>
  </si>
  <si>
    <t>testSystemGalleryCanRenameImageAndVideoDirs</t>
  </si>
  <si>
    <t>testCreateCanRestoreDeletedRowId</t>
  </si>
  <si>
    <t>testRenameCanRestoreDeletedRowId</t>
  </si>
  <si>
    <t>testAccess_file</t>
  </si>
  <si>
    <t>testAccess_directory</t>
  </si>
  <si>
    <t>testNotEqualsDifferentUsage</t>
  </si>
  <si>
    <t>resetSessionId</t>
  </si>
  <si>
    <t>abandonSession</t>
  </si>
  <si>
    <t>openAndCloseSession</t>
  </si>
  <si>
    <t>copyMeidaFile</t>
  </si>
  <si>
    <t>testValidLocationMode</t>
  </si>
  <si>
    <t>areOnlyIgnoreSettingsRequestsSentToProvider</t>
  </si>
  <si>
    <t>testLocationAllDisabled</t>
  </si>
  <si>
    <t>getLocationGlobalKillSwitch</t>
  </si>
  <si>
    <t>getLocationMode</t>
  </si>
  <si>
    <t>runWithExpectingLocationCallback</t>
  </si>
  <si>
    <t>testLocationRequestThrottling</t>
  </si>
  <si>
    <t>testZoomOnOff</t>
  </si>
  <si>
    <t>testViewportDragging</t>
  </si>
  <si>
    <t>testPanning</t>
  </si>
  <si>
    <t>setZoomByTripleTapping</t>
  </si>
  <si>
    <t>tripleTapAndDragViewport</t>
  </si>
  <si>
    <t>tripleTapAndHold</t>
  </si>
  <si>
    <t>assertGesturesPropagateToView</t>
  </si>
  <si>
    <t>setMagnificationEnabled</t>
  </si>
  <si>
    <t>isZoomed</t>
  </si>
  <si>
    <t>dispatch</t>
  </si>
  <si>
    <t>testPresentationDismissAfterResizeDisplay</t>
  </si>
  <si>
    <t>runJob</t>
  </si>
  <si>
    <t>getBitmapDimensionLimit_returnsZeroWhenNotSet</t>
  </si>
  <si>
    <t>testAddNewIncomingConference_onReject</t>
  </si>
  <si>
    <t>testCreateFailedConference</t>
  </si>
  <si>
    <t>getGlobalExemptions</t>
  </si>
  <si>
    <t>testPocCVE_2017_0817</t>
  </si>
  <si>
    <t>testPocCVE_2017_0670</t>
  </si>
  <si>
    <t>testPocCVE_2017_13234</t>
  </si>
  <si>
    <t>testWindowDockAndUndock_dividerWindowAppearsAndDisappears</t>
  </si>
  <si>
    <t>isDividerWindowPresent</t>
  </si>
  <si>
    <t>testHomeVisibilityListener</t>
  </si>
  <si>
    <t>testExtractorCachedDurationNative</t>
  </si>
  <si>
    <t>GlyphStyleTest</t>
  </si>
  <si>
    <t>setAndGet</t>
  </si>
  <si>
    <t>createFromPaint</t>
  </si>
  <si>
    <t>setFromPaint</t>
  </si>
  <si>
    <t>applyToPaint</t>
  </si>
  <si>
    <t>shapeText</t>
  </si>
  <si>
    <t>shapeText_differentPaint</t>
  </si>
  <si>
    <t>shapeText_context</t>
  </si>
  <si>
    <t>shapeText_twoAPISameResult</t>
  </si>
  <si>
    <t>shapeText_multiLanguage</t>
  </si>
  <si>
    <t>shapeText_FontCreateFromNative</t>
  </si>
  <si>
    <t>positionedGlyphs_equality</t>
  </si>
  <si>
    <t>positionedGlyphs_IllegalArgument_glyphID</t>
  </si>
  <si>
    <t>resultTest_IllegalArgument_font</t>
  </si>
  <si>
    <t>resultTest_IllegalArgument_X</t>
  </si>
  <si>
    <t>resultTest_IllegalArgument_Y</t>
  </si>
  <si>
    <t>shapeText_noStyle</t>
  </si>
  <si>
    <t>shapeText_multiStyle</t>
  </si>
  <si>
    <t>updateConfiguration</t>
  </si>
  <si>
    <t>onStateChanged</t>
  </si>
  <si>
    <t>onConnectedClientsChanged</t>
  </si>
  <si>
    <t>waitForSoftApStopped</t>
  </si>
  <si>
    <t>expectSoftApDisabled</t>
  </si>
  <si>
    <t>CallbackValue</t>
  </si>
  <si>
    <t>OnTetheringStarted</t>
  </si>
  <si>
    <t>OnTetheringFailed</t>
  </si>
  <si>
    <t>verifyTetheringStarted</t>
  </si>
  <si>
    <t>expectTetheringFailed</t>
  </si>
  <si>
    <t>isIfaceMatch</t>
  </si>
  <si>
    <t>onTetheringSupported</t>
  </si>
  <si>
    <t>onUpstreamChanged</t>
  </si>
  <si>
    <t>onTetherableInterfaceRegexpsChanged</t>
  </si>
  <si>
    <t>onTetherableInterfacesChanged</t>
  </si>
  <si>
    <t>onTetheredInterfacesChanged</t>
  </si>
  <si>
    <t>onClientsChanged</t>
  </si>
  <si>
    <t>onOffloadStatusChanged</t>
  </si>
  <si>
    <t>expectTetherableInterfacesChanged</t>
  </si>
  <si>
    <t>expectTetheredInterfacesChanged</t>
  </si>
  <si>
    <t>expectCallbackStarted</t>
  </si>
  <si>
    <t>expectOneOfOffloadStatusChanged</t>
  </si>
  <si>
    <t>expectErrorOrTethered</t>
  </si>
  <si>
    <t>getCurrentValidUpstream</t>
  </si>
  <si>
    <t>assumeTetheringSupported</t>
  </si>
  <si>
    <t>getTetheringInterfaceRegexps</t>
  </si>
  <si>
    <t>getTetherableInterfaces</t>
  </si>
  <si>
    <t>getTetheredInterfaces</t>
  </si>
  <si>
    <t>registerTetheringEventCallback</t>
  </si>
  <si>
    <t>unregisterTetheringEventCallback</t>
  </si>
  <si>
    <t>getWifiTetherableInterfaceRegexps</t>
  </si>
  <si>
    <t>isWifiTetheringSupported</t>
  </si>
  <si>
    <t>startWifiTethering</t>
  </si>
  <si>
    <t>stopWifiTethering</t>
  </si>
  <si>
    <t>getInterfaceVersion</t>
  </si>
  <si>
    <t>getInterfaceHash</t>
  </si>
  <si>
    <t>RepeatStringNullableLater</t>
  </si>
  <si>
    <t>NewMethodThatReturns10</t>
  </si>
  <si>
    <t>setAppIdleSettings</t>
  </si>
  <si>
    <t>getAppIdleSettings</t>
  </si>
  <si>
    <t>testPresentationNotDismissAfterResizeDisplay</t>
  </si>
  <si>
    <t>assertPresentationOnDisplayAndMatchesDisplayMetrics</t>
  </si>
  <si>
    <t>fib</t>
  </si>
  <si>
    <t>testUninstall_noExtraRemovedBySystemInPackageRemovedIntent</t>
  </si>
  <si>
    <t>testPruneInstantApp_hasExtraRemovedBySystemInPackageRemovedIntent</t>
  </si>
  <si>
    <t>uninstallAndWaitForExtraRemovedBySystem</t>
  </si>
  <si>
    <t>pruneInstantAppAndWaitForExtraRemovedBySystem</t>
  </si>
  <si>
    <t>testAlwaysOnSetWithWhitelist</t>
  </si>
  <si>
    <t>testVpnLockdownUpdateWhitelist</t>
  </si>
  <si>
    <t>testVpnLockdownWhitelistVpnComesUp</t>
  </si>
  <si>
    <t>testLockTaskIsExitedIfNotWhitelisted</t>
  </si>
  <si>
    <t>testUpdateWhitelisting</t>
  </si>
  <si>
    <t>testUpdateWhitelisting_twoTasks</t>
  </si>
  <si>
    <t>testStartActivity_outsideTaskWhitelisted</t>
  </si>
  <si>
    <t>testStartActivity_outsideTaskNonWhitelisted</t>
  </si>
  <si>
    <t>testManifestArgument_whitelisted</t>
  </si>
  <si>
    <t>testManifestArgument_nonWhitelisted</t>
  </si>
  <si>
    <t>testManifestArgument_updateWhitelisting</t>
  </si>
  <si>
    <t>testActivityOptions_whitelisted</t>
  </si>
  <si>
    <t>testActivityOptions_nonWhitelisted</t>
  </si>
  <si>
    <t>generateDummyTraffic</t>
  </si>
  <si>
    <t>makeDummyRequests</t>
  </si>
  <si>
    <t>startDummyServer</t>
  </si>
  <si>
    <t>testLaunchAppInstalledInProfileOnly</t>
  </si>
  <si>
    <t>testSetEmptyWhitelist</t>
  </si>
  <si>
    <t>testAddListenerToWhitelist</t>
  </si>
  <si>
    <t>testSetNullWhitelist</t>
  </si>
  <si>
    <t>onCreateOutgoingConnection</t>
  </si>
  <si>
    <t>onCreateIncomingConnection</t>
  </si>
  <si>
    <t>onConference</t>
  </si>
  <si>
    <t>onRemoteExistingConnectionAdded</t>
  </si>
  <si>
    <t>onRemoteConferenceAdded</t>
  </si>
  <si>
    <t>onReject</t>
  </si>
  <si>
    <t>onHold</t>
  </si>
  <si>
    <t>onUnhold</t>
  </si>
  <si>
    <t>onAbort</t>
  </si>
  <si>
    <t>convertNumberToCause</t>
  </si>
  <si>
    <t>hangUpAsync</t>
  </si>
  <si>
    <t>isManagedProfile</t>
  </si>
  <si>
    <t>onEvaluateFullscreenMode</t>
  </si>
  <si>
    <t>onEvaluateInputViewShown</t>
  </si>
  <si>
    <t>testCanRequestInteractAcrossProfiles_packageNotWhitelisted_returnsTrue</t>
  </si>
  <si>
    <t>testLockTask_exitIfNoLongerWhitelisted</t>
  </si>
  <si>
    <t>assertDummyAppsReceivedCanInteractAcrossProfilesChangedBroadcast</t>
  </si>
  <si>
    <t>assertDummyAppsDidNotReceiveCanInteractAcrossProfilesChangedBroadcast</t>
  </si>
  <si>
    <t>didDummyAppReceiveCanInteractAcrossProfilesChangedBroadcast</t>
  </si>
  <si>
    <t>launchAllDummyAppsInBothProfiles</t>
  </si>
  <si>
    <t>launchAllDummyAppsForUser</t>
  </si>
  <si>
    <t>installAllDummyApps</t>
  </si>
  <si>
    <t>testBuilderWithWpa3EnterpriseSuiteBRsa</t>
  </si>
  <si>
    <t>testBuilderWithWpa3EnterpriseSuiteBEcc</t>
  </si>
  <si>
    <t>cect_11_2_6_1_Ack</t>
  </si>
  <si>
    <t>cect_11_2_6_2_GivePhysicalAddress</t>
  </si>
  <si>
    <t>cect_11_2_6_6_GiveCecVersion</t>
  </si>
  <si>
    <t>comparePackages</t>
  </si>
  <si>
    <t>generateTestTraffic</t>
  </si>
  <si>
    <t>makeTestRequests</t>
  </si>
  <si>
    <t>startTestServer</t>
  </si>
  <si>
    <t>setCecVersion</t>
  </si>
  <si>
    <t>testSetOnReceiveContentCallback</t>
  </si>
  <si>
    <t>testTextView_getAndSetOnReceiveContentCallback</t>
  </si>
  <si>
    <t>testIwlanMode</t>
  </si>
  <si>
    <t>addCustomToastOverlay</t>
  </si>
  <si>
    <t>addMyCustomToastOverlay</t>
  </si>
  <si>
    <t>removeMyCustomToastOverlay</t>
  </si>
  <si>
    <t>overlay</t>
  </si>
  <si>
    <t>getContextForOverlay</t>
  </si>
  <si>
    <t>ping</t>
  </si>
  <si>
    <t>onTransact</t>
  </si>
  <si>
    <t>testTextView_onCreateInputConnection_noCustomReceiver</t>
  </si>
  <si>
    <t>testTextView_onCreateInputConnection_customReceiver_oldTargetSdk</t>
  </si>
  <si>
    <t>testTextView_getAutofillType_noCustomReceiver</t>
  </si>
  <si>
    <t>testTextView_getAutofillType_customReceiver_oldTargetSdk</t>
  </si>
  <si>
    <t>testPaste_noCustomReceiver</t>
  </si>
  <si>
    <t>testPasteAsPlainText_noCustomReceiver</t>
  </si>
  <si>
    <t>testImeCommitContent_noCustomReceiver</t>
  </si>
  <si>
    <t>testImeCommitContent_customReceiver_oldTargetSdk</t>
  </si>
  <si>
    <t>testImeCommitContent_linkUri</t>
  </si>
  <si>
    <t>testImeCommitContent_opts</t>
  </si>
  <si>
    <t>testImeCommitContent_linkUriAndOpts</t>
  </si>
  <si>
    <t>testDragAndDrop_noCustomReceiver</t>
  </si>
  <si>
    <t>testAutofill_noCustomReceiver</t>
  </si>
  <si>
    <t>testProcessText_noCustomReceiver</t>
  </si>
  <si>
    <t>testProcessText_customReceiver</t>
  </si>
  <si>
    <t>onReceiveContent</t>
  </si>
  <si>
    <t>triggerProcessTextOnActivityResult</t>
  </si>
  <si>
    <t>richContentDataEq</t>
  </si>
  <si>
    <t>RichContentDataArgumentMatcher</t>
  </si>
  <si>
    <t>extrasMatch</t>
  </si>
  <si>
    <t>onOverlay</t>
  </si>
  <si>
    <t>getCapability</t>
  </si>
  <si>
    <t>testAvailableAwareResources</t>
  </si>
  <si>
    <t>testGetCdmaEnhancedRoamingIndicatorIconIndex</t>
  </si>
  <si>
    <t>launchRemoteDialogActivitySync</t>
  </si>
  <si>
    <t>testRemoveByTypes</t>
  </si>
  <si>
    <t>testMp4AndrdoidSlowMotion</t>
  </si>
  <si>
    <t>testGetRestrictBackgroundStatus_disabled</t>
  </si>
  <si>
    <t>testGetRestrictBackgroundStatus_whitelisted</t>
  </si>
  <si>
    <t>testGetRestrictBackgroundStatus_enabled</t>
  </si>
  <si>
    <t>testGetRestrictBackgroundStatus_blacklisted</t>
  </si>
  <si>
    <t>testGetRestrictBackgroundStatus_requiredWhitelistedPackages</t>
  </si>
  <si>
    <t>testBroadcastNotSentOnUnsupportedDevices</t>
  </si>
  <si>
    <t>assertDataSaverStatusOnBackground</t>
  </si>
  <si>
    <t>testDataAndBatterySaverModes_meteredNetwork</t>
  </si>
  <si>
    <t>testDataAndBatterySaverModes_nonMeteredNetwork</t>
  </si>
  <si>
    <t>testDozeAndBatterySaverMode_powerSaveWhitelists</t>
  </si>
  <si>
    <t>testDozeAndAppIdle_powerSaveWhitelists</t>
  </si>
  <si>
    <t>testAppIdleAndDoze_tempPowerSaveWhitelists</t>
  </si>
  <si>
    <t>testAppIdleAndBatterySaver_tempPowerSaveWhitelists</t>
  </si>
  <si>
    <t>testDozeAndAppIdle_appIdleWhitelist</t>
  </si>
  <si>
    <t>testAppIdleAndDoze_tempPowerSaveAndAppIdleWhitelists</t>
  </si>
  <si>
    <t>testAppIdleAndBatterySaver_tempPowerSaveAndAppIdleWhitelists</t>
  </si>
  <si>
    <t>CallbackInfo</t>
  </si>
  <si>
    <t>hashCode</t>
  </si>
  <si>
    <t>setLastCallback</t>
  </si>
  <si>
    <t>nextCallback</t>
  </si>
  <si>
    <t>expectCallback</t>
  </si>
  <si>
    <t>onBlockedStatusChanged</t>
  </si>
  <si>
    <t>expectAvailableCallbackAndGetNetwork</t>
  </si>
  <si>
    <t>expectBlockedStatusCallback</t>
  </si>
  <si>
    <t>expectBlockedStatusCallbackEventually</t>
  </si>
  <si>
    <t>expectCapabilitiesCallbackEventually</t>
  </si>
  <si>
    <t>prepareVpn</t>
  </si>
  <si>
    <t>startVpn</t>
  </si>
  <si>
    <t>stopVpn</t>
  </si>
  <si>
    <t>writeAndCheckData</t>
  </si>
  <si>
    <t>checkTcpReflection</t>
  </si>
  <si>
    <t>checkConnectionOwnerUidUdp</t>
  </si>
  <si>
    <t>checkConnectionOwnerUidTcp</t>
  </si>
  <si>
    <t>checkUdpEcho</t>
  </si>
  <si>
    <t>checkTrafficOnVpn</t>
  </si>
  <si>
    <t>checkNoTrafficOnVpn</t>
  </si>
  <si>
    <t>openSocketFd</t>
  </si>
  <si>
    <t>openSocketFdInOtherApp</t>
  </si>
  <si>
    <t>sendRequest</t>
  </si>
  <si>
    <t>assertSocketStillOpen</t>
  </si>
  <si>
    <t>assertSocketClosed</t>
  </si>
  <si>
    <t>isPrivateDnsInStrictMode</t>
  </si>
  <si>
    <t>expectPrivateDnsHostname</t>
  </si>
  <si>
    <t>setAndVerifyPrivateDns</t>
  </si>
  <si>
    <t>checkStrictModePrivateDns</t>
  </si>
  <si>
    <t>testAppAllowed</t>
  </si>
  <si>
    <t>testAppDisallowed</t>
  </si>
  <si>
    <t>testGetConnectionOwnerUidSecurity</t>
  </si>
  <si>
    <t>testSetProxy</t>
  </si>
  <si>
    <t>testSetProxyDisallowedApps</t>
  </si>
  <si>
    <t>testNoProxy</t>
  </si>
  <si>
    <t>testBindToNetworkWithProxy</t>
  </si>
  <si>
    <t>testVpnMeterednessWithNoUnderlyingNetwork</t>
  </si>
  <si>
    <t>testVpnMeterednessWithNullUnderlyingNetwork</t>
  </si>
  <si>
    <t>testVpnMeterednessWithNonNullUnderlyingNetwork</t>
  </si>
  <si>
    <t>testAlwaysMeteredVpnWithNullUnderlyingNetwork</t>
  </si>
  <si>
    <t>testAlwaysMeteredVpnWithNonNullUnderlyingNetwork</t>
  </si>
  <si>
    <t>testB141603906</t>
  </si>
  <si>
    <t>isNetworkMetered</t>
  </si>
  <si>
    <t>assertVpnTransportContains</t>
  </si>
  <si>
    <t>assertDefaultProxy</t>
  </si>
  <si>
    <t>assertNetworkHasExpectedProxy</t>
  </si>
  <si>
    <t>ProxyChangeBroadcastReceiver</t>
  </si>
  <si>
    <t>testDownloadWithDownloadManagerDisallowed</t>
  </si>
  <si>
    <t>getSysctlDirs</t>
  </si>
  <si>
    <t>readIntFromPath</t>
  </si>
  <si>
    <t>testMinAcqExpires</t>
  </si>
  <si>
    <t>testProcSysctls</t>
  </si>
  <si>
    <t>testAcceptRaRtInfoMinMaxPlen</t>
  </si>
  <si>
    <t>testAirplaneMode</t>
  </si>
  <si>
    <t>doOneTest</t>
  </si>
  <si>
    <t>setAirplaneModeOn</t>
  </si>
  <si>
    <t>isAirplaneModeOn</t>
  </si>
  <si>
    <t>testRegisterConnectivityDiagnosticsCallback</t>
  </si>
  <si>
    <t>testRegisterCallbackWithCarrierPrivileges</t>
  </si>
  <si>
    <t>getCertHashForThisPackage</t>
  </si>
  <si>
    <t>doBroadcastCarrierConfigsAndVerifyOnConnectivityReportAvailable</t>
  </si>
  <si>
    <t>testRegisterDuplicateConnectivityDiagnosticsCallback</t>
  </si>
  <si>
    <t>testUnregisterConnectivityDiagnosticsCallback</t>
  </si>
  <si>
    <t>testUnregisterUnknownConnectivityDiagnosticsCallback</t>
  </si>
  <si>
    <t>testOnConnectivityReportAvailable</t>
  </si>
  <si>
    <t>testOnDataStallSuspected_DnsEvents</t>
  </si>
  <si>
    <t>testOnDataStallSuspected_TcpMetrics</t>
  </si>
  <si>
    <t>testOnDataStallSuspected_UnknownDetectionMethod</t>
  </si>
  <si>
    <t>verifyOnDataStallSuspected</t>
  </si>
  <si>
    <t>testOnNetworkConnectivityReportedTrue</t>
  </si>
  <si>
    <t>testOnNetworkConnectivityReportedFalse</t>
  </si>
  <si>
    <t>verifyOnNetworkConnectivityReported</t>
  </si>
  <si>
    <t>createAndRegisterConnectivityDiagnosticsCallback</t>
  </si>
  <si>
    <t>setUpTestNetwork</t>
  </si>
  <si>
    <t>onConnectivityReportAvailable</t>
  </si>
  <si>
    <t>onDataStallSuspected</t>
  </si>
  <si>
    <t>onNetworkConnectivityReported</t>
  </si>
  <si>
    <t>expectOnConnectivityReportAvailable</t>
  </si>
  <si>
    <t>expectOnDataStallSuspected</t>
  </si>
  <si>
    <t>expectOnNetworkConnectivityReported</t>
  </si>
  <si>
    <t>CarrierConfigReceiver</t>
  </si>
  <si>
    <t>waitForCarrierConfigChanged</t>
  </si>
  <si>
    <t>ensureWifiConnected</t>
  </si>
  <si>
    <t>testIsNetworkTypeValid</t>
  </si>
  <si>
    <t>testGetActiveNetworkInfo</t>
  </si>
  <si>
    <t>testGetActiveNetwork</t>
  </si>
  <si>
    <t>testGetNetworkInfo</t>
  </si>
  <si>
    <t>testGetAllNetworkInfo</t>
  </si>
  <si>
    <t>testOpenConnection</t>
  </si>
  <si>
    <t>httpGet</t>
  </si>
  <si>
    <t>assertOnNetwork</t>
  </si>
  <si>
    <t>assertContains</t>
  </si>
  <si>
    <t>assertStartUsingNetworkFeatureUnsupported</t>
  </si>
  <si>
    <t>assertStopUsingNetworkFeatureUnsupported</t>
  </si>
  <si>
    <t>assertRequestRouteToHostUnsupported</t>
  </si>
  <si>
    <t>shouldEthernetBeSupported</t>
  </si>
  <si>
    <t>shouldBeSupported</t>
  </si>
  <si>
    <t>testIsNetworkSupported</t>
  </si>
  <si>
    <t>makeCellNetworkRequest</t>
  </si>
  <si>
    <t>testRegisterNetworkCallback</t>
  </si>
  <si>
    <t>testRegisterNetworkCallback_withPendingIntent</t>
  </si>
  <si>
    <t>testRequestNetworkCallback</t>
  </si>
  <si>
    <t>testRequestNetworkCallback_onUnavailable</t>
  </si>
  <si>
    <t>getFirstV4Address</t>
  </si>
  <si>
    <t>testRestrictedNetworks</t>
  </si>
  <si>
    <t>getWifiMeteredStatus</t>
  </si>
  <si>
    <t>setWifiMeteredStatus</t>
  </si>
  <si>
    <t>unquoteSSID</t>
  </si>
  <si>
    <t>waitForActiveNetworkMetered</t>
  </si>
  <si>
    <t>assertMultipathPreferenceIsEventually</t>
  </si>
  <si>
    <t>getCurrentMeteredMultipathPreference</t>
  </si>
  <si>
    <t>findNextPrefValue</t>
  </si>
  <si>
    <t>testGetMultipathPreference</t>
  </si>
  <si>
    <t>OnStartedCallback</t>
  </si>
  <si>
    <t>OnStoppedCallback</t>
  </si>
  <si>
    <t>OnErrorCallback</t>
  </si>
  <si>
    <t>onStarted</t>
  </si>
  <si>
    <t>onStopped</t>
  </si>
  <si>
    <t>expectStarted</t>
  </si>
  <si>
    <t>expectStopped</t>
  </si>
  <si>
    <t>expectError</t>
  </si>
  <si>
    <t>getAddrByName</t>
  </si>
  <si>
    <t>getConnectedSocket</t>
  </si>
  <si>
    <t>getSupportedKeepalivesForNet</t>
  </si>
  <si>
    <t>isTcpKeepaliveSupportedByKernel</t>
  </si>
  <si>
    <t>getVersionFromString</t>
  </si>
  <si>
    <t>compareMajorMinorVersion</t>
  </si>
  <si>
    <t>testMajorMinorVersionCompare</t>
  </si>
  <si>
    <t>testKeepaliveWifiUnsupported</t>
  </si>
  <si>
    <t>testCreateTcpKeepalive</t>
  </si>
  <si>
    <t>createConcurrentKeepalivesOfType</t>
  </si>
  <si>
    <t>createConcurrentNattSocketKeepalives</t>
  </si>
  <si>
    <t>createConcurrentTcpSocketKeepalives</t>
  </si>
  <si>
    <t>createConcurrentSocketKeepalives</t>
  </si>
  <si>
    <t>testSocketKeepaliveLimitWifi</t>
  </si>
  <si>
    <t>testSocketKeepaliveLimitTelephony</t>
  </si>
  <si>
    <t>getIntResourceForName</t>
  </si>
  <si>
    <t>testSocketKeepaliveUnprivileged</t>
  </si>
  <si>
    <t>testRestrictedNetworkPermission</t>
  </si>
  <si>
    <t>testSetAirplaneMode</t>
  </si>
  <si>
    <t>requestAndWaitForAvailable</t>
  </si>
  <si>
    <t>setAndVerifyAirplaneMode</t>
  </si>
  <si>
    <t>isAirplaneModeEnabled</t>
  </si>
  <si>
    <t>testGetCaptivePortalServerUrl</t>
  </si>
  <si>
    <t>testCredentials</t>
  </si>
  <si>
    <t>byteArrayToHexString</t>
  </si>
  <si>
    <t>getTestableNetworks</t>
  </si>
  <si>
    <t>DnsParseException</t>
  </si>
  <si>
    <t>DnsAnswer</t>
  </si>
  <si>
    <t>getRcode</t>
  </si>
  <si>
    <t>getANCount</t>
  </si>
  <si>
    <t>getQDCount</t>
  </si>
  <si>
    <t>VerifyCancelCallback</t>
  </si>
  <si>
    <t>needRetry</t>
  </si>
  <si>
    <t>assertHasAnswer</t>
  </si>
  <si>
    <t>assertNXDomain</t>
  </si>
  <si>
    <t>assertEmptyAnswer</t>
  </si>
  <si>
    <t>testRawQueryInline</t>
  </si>
  <si>
    <t>testRawQueryBlob</t>
  </si>
  <si>
    <t>testRawQueryBlobInline</t>
  </si>
  <si>
    <t>testRawQueryRoot</t>
  </si>
  <si>
    <t>testRawQueryRootInline</t>
  </si>
  <si>
    <t>testRawQueryNXDomain</t>
  </si>
  <si>
    <t>testRawQueryNXDomainInline</t>
  </si>
  <si>
    <t>testRawQueryNXDomainWithPrivateDns</t>
  </si>
  <si>
    <t>testRawQueryNXDomainInlineWithPrivateDns</t>
  </si>
  <si>
    <t>doTestRawQuery</t>
  </si>
  <si>
    <t>doTestRawQueryBlob</t>
  </si>
  <si>
    <t>doTestRawQueryRoot</t>
  </si>
  <si>
    <t>doTestRawQueryNXDomain</t>
  </si>
  <si>
    <t>doTestRawQueryNXDomainWithPrivateDns</t>
  </si>
  <si>
    <t>testRawQueryCancel</t>
  </si>
  <si>
    <t>testRawQueryBlobCancel</t>
  </si>
  <si>
    <t>testCancelBeforeQuery</t>
  </si>
  <si>
    <t>VerifyCancelInetAddressCallback</t>
  </si>
  <si>
    <t>isAnswerEmpty</t>
  </si>
  <si>
    <t>hasIpv6Answer</t>
  </si>
  <si>
    <t>hasIpv4Answer</t>
  </si>
  <si>
    <t>assertNoError</t>
  </si>
  <si>
    <t>testQueryForInetAddress</t>
  </si>
  <si>
    <t>testQueryForInetAddressInline</t>
  </si>
  <si>
    <t>testQueryForInetAddressIpv4</t>
  </si>
  <si>
    <t>testQueryForInetAddressIpv4Inline</t>
  </si>
  <si>
    <t>testQueryForInetAddressIpv6</t>
  </si>
  <si>
    <t>testQueryForInetAddressIpv6Inline</t>
  </si>
  <si>
    <t>testContinuousQueries</t>
  </si>
  <si>
    <t>testContinuousQueriesInline</t>
  </si>
  <si>
    <t>doTestQueryForInetAddress</t>
  </si>
  <si>
    <t>testQueryCancelForInetAddress</t>
  </si>
  <si>
    <t>doTestQueryForInetAddressIpv4</t>
  </si>
  <si>
    <t>doTestQueryForInetAddressIpv6</t>
  </si>
  <si>
    <t>testPrivateDnsBypass</t>
  </si>
  <si>
    <t>doTestContinuousQueries</t>
  </si>
  <si>
    <t>activeNetworkInfoIsProxy</t>
  </si>
  <si>
    <t>ensureIpv6Connectivity</t>
  </si>
  <si>
    <t>Ikev2VpnTest</t>
  </si>
  <si>
    <t>buildIkev2VpnProfileCommon</t>
  </si>
  <si>
    <t>buildIkev2VpnProfilePsk</t>
  </si>
  <si>
    <t>buildIkev2VpnProfileUsernamePassword</t>
  </si>
  <si>
    <t>buildIkev2VpnProfileDigitalSignature</t>
  </si>
  <si>
    <t>checkBasicIkev2VpnProfile</t>
  </si>
  <si>
    <t>testBuildIkev2VpnProfilePsk</t>
  </si>
  <si>
    <t>testBuildIkev2VpnProfileUsernamePassword</t>
  </si>
  <si>
    <t>testBuildIkev2VpnProfileDigitalSignature</t>
  </si>
  <si>
    <t>verifyProvisionVpnProfile</t>
  </si>
  <si>
    <t>testProvisionVpnProfileNoPreviousConsent</t>
  </si>
  <si>
    <t>testProvisionVpnProfilePlatformVpnConsented</t>
  </si>
  <si>
    <t>testProvisionVpnProfileVpnServiceConsented</t>
  </si>
  <si>
    <t>testProvisionVpnProfileAllPreConsented</t>
  </si>
  <si>
    <t>testDeleteVpnProfile</t>
  </si>
  <si>
    <t>testStartVpnProfileNoPreviousConsent</t>
  </si>
  <si>
    <t>checkStartStopVpnProfileBuildsNetworks</t>
  </si>
  <si>
    <t>doTestStartStopVpnProfile</t>
  </si>
  <si>
    <t>testStartStopVpnProfileV4</t>
  </si>
  <si>
    <t>testStartStopVpnProfileV6</t>
  </si>
  <si>
    <t>CertificateAndKey</t>
  </si>
  <si>
    <t>generateRandomCertAndKeyPair</t>
  </si>
  <si>
    <t>validNumericAddressesAndStringRepresentation</t>
  </si>
  <si>
    <t>invalidNumericAddresses</t>
  </si>
  <si>
    <t>parseNumericAddress</t>
  </si>
  <si>
    <t>test_parseNonNumericAddress</t>
  </si>
  <si>
    <t>test_parseNumericAddress_null</t>
  </si>
  <si>
    <t>test_isNumericAddress</t>
  </si>
  <si>
    <t>test_isNotNumericAddress</t>
  </si>
  <si>
    <t>test_isNumericAddress_null</t>
  </si>
  <si>
    <t>checkEmpty</t>
  </si>
  <si>
    <t>assertIpConfigurationEqual</t>
  </si>
  <si>
    <t>testParcel</t>
  </si>
  <si>
    <t>NativeSocket</t>
  </si>
  <si>
    <t>send</t>
  </si>
  <si>
    <t>receive</t>
  </si>
  <si>
    <t>applyTransportModeTransform</t>
  </si>
  <si>
    <t>removeTransportModeTransforms</t>
  </si>
  <si>
    <t>NativeTcpSocket</t>
  </si>
  <si>
    <t>NativeUdpSocket</t>
  </si>
  <si>
    <t>sendTo</t>
  </si>
  <si>
    <t>JavaUdpSocket</t>
  </si>
  <si>
    <t>JavaTcpSocket</t>
  </si>
  <si>
    <t>SocketPair</t>
  </si>
  <si>
    <t>applyTransformBidirectionally</t>
  </si>
  <si>
    <t>getNativeUdpSocketPair</t>
  </si>
  <si>
    <t>getNativeTcpSocketPair</t>
  </si>
  <si>
    <t>getJavaUdpSocketPair</t>
  </si>
  <si>
    <t>getJavaTcpSocketPair</t>
  </si>
  <si>
    <t>checkSocketPair</t>
  </si>
  <si>
    <t>checkUnconnectedUdpSocketPair</t>
  </si>
  <si>
    <t>buildDefaultTransform</t>
  </si>
  <si>
    <t>testJavaTcpSocketPair</t>
  </si>
  <si>
    <t>testJavaUdpSocketPair</t>
  </si>
  <si>
    <t>testJavaUdpSocketPairUnconnected</t>
  </si>
  <si>
    <t>testNativeTcpSocketPair</t>
  </si>
  <si>
    <t>testNativeUdpSocketPair</t>
  </si>
  <si>
    <t>testNativeUdpSocketPairUnconnected</t>
  </si>
  <si>
    <t>findUnusedPort</t>
  </si>
  <si>
    <t>getBoundUdpSocket</t>
  </si>
  <si>
    <t>checkUnconnectedUdp</t>
  </si>
  <si>
    <t>checkTcp</t>
  </si>
  <si>
    <t>waitForNumPackets</t>
  </si>
  <si>
    <t>assertUidStatsDelta</t>
  </si>
  <si>
    <t>assertIfaceStatsDelta</t>
  </si>
  <si>
    <t>assertApproxEquals</t>
  </si>
  <si>
    <t>initStatsChecker</t>
  </si>
  <si>
    <t>getTruncLenBits</t>
  </si>
  <si>
    <t>getIvLen</t>
  </si>
  <si>
    <t>getBlkSize</t>
  </si>
  <si>
    <t>checkTransform</t>
  </si>
  <si>
    <t>checkStatsChecker</t>
  </si>
  <si>
    <t>checkIkePacket</t>
  </si>
  <si>
    <t>testIkeOverUdpEncapSocket</t>
  </si>
  <si>
    <t>testInterfaceCountersUdp4</t>
  </si>
  <si>
    <t>testInterfaceCountersUdp6</t>
  </si>
  <si>
    <t>testInterfaceCountersUdp4UdpEncap</t>
  </si>
  <si>
    <t>testAesCbcHmacMd5Tcp4</t>
  </si>
  <si>
    <t>testAesCbcHmacMd5Tcp6</t>
  </si>
  <si>
    <t>testAesCbcHmacMd5Udp4</t>
  </si>
  <si>
    <t>testAesCbcHmacMd5Udp6</t>
  </si>
  <si>
    <t>testAesCbcHmacSha1Tcp4</t>
  </si>
  <si>
    <t>testAesCbcHmacSha1Tcp6</t>
  </si>
  <si>
    <t>testAesCbcHmacSha1Udp4</t>
  </si>
  <si>
    <t>testAesCbcHmacSha1Udp6</t>
  </si>
  <si>
    <t>testAesCbcHmacSha256Tcp4</t>
  </si>
  <si>
    <t>testAesCbcHmacSha256Tcp6</t>
  </si>
  <si>
    <t>testAesCbcHmacSha256Udp4</t>
  </si>
  <si>
    <t>testAesCbcHmacSha256Udp6</t>
  </si>
  <si>
    <t>testAesCbcHmacSha384Tcp4</t>
  </si>
  <si>
    <t>testAesCbcHmacSha384Tcp6</t>
  </si>
  <si>
    <t>testAesCbcHmacSha384Udp4</t>
  </si>
  <si>
    <t>testAesCbcHmacSha384Udp6</t>
  </si>
  <si>
    <t>testAesCbcHmacSha512Tcp4</t>
  </si>
  <si>
    <t>testAesCbcHmacSha512Tcp6</t>
  </si>
  <si>
    <t>testAesCbcHmacSha512Udp4</t>
  </si>
  <si>
    <t>testAesCbcHmacSha512Udp6</t>
  </si>
  <si>
    <t>testAesGcm64Tcp4</t>
  </si>
  <si>
    <t>testAesGcm64Tcp6</t>
  </si>
  <si>
    <t>testAesGcm64Udp4</t>
  </si>
  <si>
    <t>testAesGcm64Udp6</t>
  </si>
  <si>
    <t>testAesGcm96Tcp4</t>
  </si>
  <si>
    <t>testAesGcm96Tcp6</t>
  </si>
  <si>
    <t>testAesGcm96Udp4</t>
  </si>
  <si>
    <t>testAesGcm96Udp6</t>
  </si>
  <si>
    <t>testAesGcm128Tcp4</t>
  </si>
  <si>
    <t>testAesGcm128Tcp6</t>
  </si>
  <si>
    <t>testAesGcm128Udp4</t>
  </si>
  <si>
    <t>testAesGcm128Udp6</t>
  </si>
  <si>
    <t>testAesCbcHmacMd5Tcp4UdpEncap</t>
  </si>
  <si>
    <t>testAesCbcHmacMd5Udp4UdpEncap</t>
  </si>
  <si>
    <t>testAesCbcHmacSha1Tcp4UdpEncap</t>
  </si>
  <si>
    <t>testAesCbcHmacSha1Udp4UdpEncap</t>
  </si>
  <si>
    <t>testAesCbcHmacSha256Tcp4UdpEncap</t>
  </si>
  <si>
    <t>testAesCbcHmacSha256Udp4UdpEncap</t>
  </si>
  <si>
    <t>testAesCbcHmacSha384Tcp4UdpEncap</t>
  </si>
  <si>
    <t>testAesCbcHmacSha384Udp4UdpEncap</t>
  </si>
  <si>
    <t>testAesCbcHmacSha512Tcp4UdpEncap</t>
  </si>
  <si>
    <t>testAesCbcHmacSha512Udp4UdpEncap</t>
  </si>
  <si>
    <t>testAesGcm64Tcp4UdpEncap</t>
  </si>
  <si>
    <t>testAesGcm64Udp4UdpEncap</t>
  </si>
  <si>
    <t>testAesGcm96Tcp4UdpEncap</t>
  </si>
  <si>
    <t>testAesGcm96Udp4UdpEncap</t>
  </si>
  <si>
    <t>testAesGcm128Tcp4UdpEncap</t>
  </si>
  <si>
    <t>testAesGcm128Udp4UdpEncap</t>
  </si>
  <si>
    <t>testCryptUdp4</t>
  </si>
  <si>
    <t>testAuthUdp4</t>
  </si>
  <si>
    <t>testCryptUdp6</t>
  </si>
  <si>
    <t>testAuthUdp6</t>
  </si>
  <si>
    <t>testCryptTcp4</t>
  </si>
  <si>
    <t>testAuthTcp4</t>
  </si>
  <si>
    <t>testCryptTcp6</t>
  </si>
  <si>
    <t>testAuthTcp6</t>
  </si>
  <si>
    <t>testCryptUdp4UdpEncap</t>
  </si>
  <si>
    <t>testAuthUdp4UdpEncap</t>
  </si>
  <si>
    <t>testCryptTcp4UdpEncap</t>
  </si>
  <si>
    <t>testAuthTcp4UdpEncap</t>
  </si>
  <si>
    <t>testOpenUdpEncapSocketSpecificPort</t>
  </si>
  <si>
    <t>testOpenUdpEncapSocketRandomPort</t>
  </si>
  <si>
    <t>setUpBeforeClass</t>
  </si>
  <si>
    <t>tearDownAfterClass</t>
  </si>
  <si>
    <t>testSecurityExceptionCreateTunnelInterfaceWithoutAppop</t>
  </si>
  <si>
    <t>testSecurityExceptionBuildTunnelTransformWithoutAppop</t>
  </si>
  <si>
    <t>getPacketSize</t>
  </si>
  <si>
    <t>getIpSecTunnelTestRunnable</t>
  </si>
  <si>
    <t>checkTunnelOutput</t>
  </si>
  <si>
    <t>checkTunnelInput</t>
  </si>
  <si>
    <t>checkTunnelReflected</t>
  </si>
  <si>
    <t>checkTunnel</t>
  </si>
  <si>
    <t>buildTunnelNetworkAndRunTests</t>
  </si>
  <si>
    <t>receiveAndValidatePacket</t>
  </si>
  <si>
    <t>getRandomSpi</t>
  </si>
  <si>
    <t>buildTransportModeEspPacket</t>
  </si>
  <si>
    <t>buildTunnelModeEspPacket</t>
  </si>
  <si>
    <t>maybeEncapPacket</t>
  </si>
  <si>
    <t>getTunnelModePacket</t>
  </si>
  <si>
    <t>getTransportInTunnelModePacket</t>
  </si>
  <si>
    <t>testTransportInTunnelModeV4InV4</t>
  </si>
  <si>
    <t>testTransportInTunnelModeV4InV4Reflected</t>
  </si>
  <si>
    <t>testTransportInTunnelModeV4InV4UdpEncap</t>
  </si>
  <si>
    <t>testTransportInTunnelModeV4InV4UdpEncapReflected</t>
  </si>
  <si>
    <t>testTransportInTunnelModeV4InV6</t>
  </si>
  <si>
    <t>testTransportInTunnelModeV4InV6Reflected</t>
  </si>
  <si>
    <t>testTransportInTunnelModeV6InV4</t>
  </si>
  <si>
    <t>testTransportInTunnelModeV6InV4Reflected</t>
  </si>
  <si>
    <t>testTransportInTunnelModeV6InV4UdpEncap</t>
  </si>
  <si>
    <t>testTransportInTunnelModeV6InV4UdpEncapReflected</t>
  </si>
  <si>
    <t>testTransportInTunnelModeV6InV6</t>
  </si>
  <si>
    <t>testTransportInTunnelModeV6InV6Reflected</t>
  </si>
  <si>
    <t>testTunnelV4InV4</t>
  </si>
  <si>
    <t>testTunnelV4InV4Reflected</t>
  </si>
  <si>
    <t>testTunnelV4InV4UdpEncap</t>
  </si>
  <si>
    <t>testTunnelV4InV4UdpEncapReflected</t>
  </si>
  <si>
    <t>testTunnelV4InV6</t>
  </si>
  <si>
    <t>testTunnelV4InV6Reflected</t>
  </si>
  <si>
    <t>testTunnelV6InV4</t>
  </si>
  <si>
    <t>testTunnelV6InV4Reflected</t>
  </si>
  <si>
    <t>testTunnelV6InV4UdpEncap</t>
  </si>
  <si>
    <t>testTunnelV6InV4UdpEncapReflected</t>
  </si>
  <si>
    <t>testTunnelV6InV6</t>
  </si>
  <si>
    <t>testTunnelV6InV6Reflected</t>
  </si>
  <si>
    <t>testLocalServerSocket</t>
  </si>
  <si>
    <t>testNewLocalSocketAddressWithDefaultNamespace</t>
  </si>
  <si>
    <t>testLocalConnections</t>
  </si>
  <si>
    <t>testAvailable</t>
  </si>
  <si>
    <t>testLocalSocketCreatedFromFileDescriptor</t>
  </si>
  <si>
    <t>testFlush</t>
  </si>
  <si>
    <t>testFlushWorks</t>
  </si>
  <si>
    <t>StreamReader</t>
  </si>
  <si>
    <t>waitForCompletion</t>
  </si>
  <si>
    <t>assertBytesRead</t>
  </si>
  <si>
    <t>typeToString</t>
  </si>
  <si>
    <t>localAssignedToString</t>
  </si>
  <si>
    <t>testMacAddress</t>
  </si>
  <si>
    <t>testConstructorInputValidation</t>
  </si>
  <si>
    <t>testMatches</t>
  </si>
  <si>
    <t>testLinkLocalFromMacGeneration</t>
  </si>
  <si>
    <t>testParcelMacAddress</t>
  </si>
  <si>
    <t>testParseMailToURI</t>
  </si>
  <si>
    <t>testGetaddrinfo</t>
  </si>
  <si>
    <t>testSetprocnetwork</t>
  </si>
  <si>
    <t>testSetsocknetwork</t>
  </si>
  <si>
    <t>testNativeDatagramTransmission</t>
  </si>
  <si>
    <t>testNoSuchNetwork</t>
  </si>
  <si>
    <t>testNetworkHandle</t>
  </si>
  <si>
    <t>testResNApi</t>
  </si>
  <si>
    <t>testResNApiNXDomainPrivateDns</t>
  </si>
  <si>
    <t>LocalNetworkSpecifier</t>
  </si>
  <si>
    <t>canBeSatisfiedBy</t>
  </si>
  <si>
    <t>testCapabilities</t>
  </si>
  <si>
    <t>testTemporarilyNotMeteredCapability</t>
  </si>
  <si>
    <t>verifyNoCapabilities</t>
  </si>
  <si>
    <t>testTransports</t>
  </si>
  <si>
    <t>testSpecifier</t>
  </si>
  <si>
    <t>testRequestorPackageName</t>
  </si>
  <si>
    <t>testCanBeSatisfiedBy</t>
  </si>
  <si>
    <t>testInvariantInCanBeSatisfiedBy</t>
  </si>
  <si>
    <t>assertCorrectlySatisfies</t>
  </si>
  <si>
    <t>testRequestorUid</t>
  </si>
  <si>
    <t>getUidStatsFromBinder</t>
  </si>
  <si>
    <t>getFirstAppUidThat</t>
  </si>
  <si>
    <t>testAccessUidStatsFromBinder</t>
  </si>
  <si>
    <t>isAtLeastP</t>
  </si>
  <si>
    <t>testGetWatchlistConfigHash</t>
  </si>
  <si>
    <t>saveResourceToFile</t>
  </si>
  <si>
    <t>pipeFromStdin</t>
  </si>
  <si>
    <t>pipeResourceToFileDescriptor</t>
  </si>
  <si>
    <t>runRwCommand</t>
  </si>
  <si>
    <t>setWatchlistConfig</t>
  </si>
  <si>
    <t>testBuildDirectProxy</t>
  </si>
  <si>
    <t>testBuildPacProxy</t>
  </si>
  <si>
    <t>testIsValid</t>
  </si>
  <si>
    <t>testAccessProperties</t>
  </si>
  <si>
    <t>lookupScore_constantCurve</t>
  </si>
  <si>
    <t>lookupScore_changingCurve</t>
  </si>
  <si>
    <t>lookupScore_linearCurve</t>
  </si>
  <si>
    <t>restoreDefaultHostnameVerifier</t>
  </si>
  <si>
    <t>testDefaultConfiguration</t>
  </si>
  <si>
    <t>createSocket_io_error_expected</t>
  </si>
  <si>
    <t>createSocket_simple_with_hostname_verification</t>
  </si>
  <si>
    <t>createSocket_wrapped_with_hostname_verification</t>
  </si>
  <si>
    <t>createSocket_bound_with_hostname_verification</t>
  </si>
  <si>
    <t>createSocket_simple_no_hostname_verification</t>
  </si>
  <si>
    <t>createSocket_bound_no_hostname_verification</t>
  </si>
  <si>
    <t>assertConnectedSocket</t>
  </si>
  <si>
    <t>testTheaterMode</t>
  </si>
  <si>
    <t>setTheaterModeOn</t>
  </si>
  <si>
    <t>isTheaterModeOn</t>
  </si>
  <si>
    <t>testValidMobileStats</t>
  </si>
  <si>
    <t>testValidTotalStats</t>
  </si>
  <si>
    <t>testValidPacketStats</t>
  </si>
  <si>
    <t>testThreadStatsTag</t>
  </si>
  <si>
    <t>tcpPacketToIpBytes</t>
  </si>
  <si>
    <t>testTrafficStatsForLocalhost</t>
  </si>
  <si>
    <t>parcelAndUnparcel</t>
  </si>
  <si>
    <t>testBuildUpon</t>
  </si>
  <si>
    <t>testStringUri</t>
  </si>
  <si>
    <t>testCompareTo</t>
  </si>
  <si>
    <t>testEqualsAndHashCode</t>
  </si>
  <si>
    <t>testEncodeAndDecode</t>
  </si>
  <si>
    <t>assertEncodeDecodeRoundtripExact</t>
  </si>
  <si>
    <t>testDecode_emptyString_returnsEmptyString</t>
  </si>
  <si>
    <t>testDecode_null_returnsNull</t>
  </si>
  <si>
    <t>testDecode_wrongHexDigit</t>
  </si>
  <si>
    <t>testDecode_secondHexDigitWrong</t>
  </si>
  <si>
    <t>testDecode_endsWithPercent_appendsUnknownCharacter</t>
  </si>
  <si>
    <t>testDecode_plusNotConverted</t>
  </si>
  <si>
    <t>testDecode_lastCharacter</t>
  </si>
  <si>
    <t>testDecode_secondRowOfEncoded</t>
  </si>
  <si>
    <t>testFromFile</t>
  </si>
  <si>
    <t>testQueryParameters</t>
  </si>
  <si>
    <t>testPathOperations</t>
  </si>
  <si>
    <t>testOpaqueUri</t>
  </si>
  <si>
    <t>testHierarchicalUris</t>
  </si>
  <si>
    <t>testHierarchical</t>
  </si>
  <si>
    <t>compareHierarchical</t>
  </si>
  <si>
    <t>testNormalizeScheme</t>
  </si>
  <si>
    <t>testToSafeString_tel</t>
  </si>
  <si>
    <t>testToSafeString_sip</t>
  </si>
  <si>
    <t>testToSafeString_sms</t>
  </si>
  <si>
    <t>testToSafeString_smsto</t>
  </si>
  <si>
    <t>testToSafeString_mailto</t>
  </si>
  <si>
    <t>testToSafeString_nfc</t>
  </si>
  <si>
    <t>testToSafeString_http</t>
  </si>
  <si>
    <t>testToSafeString_https</t>
  </si>
  <si>
    <t>testToSafeString_ftp</t>
  </si>
  <si>
    <t>testToSafeString_rtsp</t>
  </si>
  <si>
    <t>testToSafeString_notSupport</t>
  </si>
  <si>
    <t>checkToSafeString</t>
  </si>
  <si>
    <t>testBuilderOperations</t>
  </si>
  <si>
    <t>testUrlQuerySanitizer</t>
  </si>
  <si>
    <t>testScriptUrlOk_73822755</t>
  </si>
  <si>
    <t>testScriptUrlBlocked_73822755</t>
  </si>
  <si>
    <t>sanitize</t>
  </si>
  <si>
    <t>MockUrlQuerySanitizer</t>
  </si>
  <si>
    <t>addSanitizedEntry</t>
  </si>
  <si>
    <t>decodeHexDigit</t>
  </si>
  <si>
    <t>isHexDigit</t>
  </si>
  <si>
    <t>parseEntry</t>
  </si>
  <si>
    <t>testSanitize</t>
  </si>
  <si>
    <t>testEstablish</t>
  </si>
  <si>
    <t>testProtect_DatagramSocket</t>
  </si>
  <si>
    <t>testProtect_Socket</t>
  </si>
  <si>
    <t>testProtect_int</t>
  </si>
  <si>
    <t>testTunDevice</t>
  </si>
  <si>
    <t>pingPacket</t>
  </si>
  <si>
    <t>assertArrayBytesEqual</t>
  </si>
  <si>
    <t>createPingSocket</t>
  </si>
  <si>
    <t>sendPing</t>
  </si>
  <si>
    <t>checkResponse</t>
  </si>
  <si>
    <t>testLoopbackPing</t>
  </si>
  <si>
    <t>testGetCodec</t>
  </si>
  <si>
    <t>testGetCodecs</t>
  </si>
  <si>
    <t>assertPacket</t>
  </si>
  <si>
    <t>drain</t>
  </si>
  <si>
    <t>testTraffic</t>
  </si>
  <si>
    <t>testAdd</t>
  </si>
  <si>
    <t>testRemove</t>
  </si>
  <si>
    <t>testDoubleClear</t>
  </si>
  <si>
    <t>testRtpStream</t>
  </si>
  <si>
    <t>testV4Stream</t>
  </si>
  <si>
    <t>testV6Stream</t>
  </si>
  <si>
    <t>testSetDtmfType</t>
  </si>
  <si>
    <t>testSetCodec</t>
  </si>
  <si>
    <t>testDoubleRelease</t>
  </si>
  <si>
    <t>TetherState</t>
  </si>
  <si>
    <t>expectTethering</t>
  </si>
  <si>
    <t>pollAndAssertNoError</t>
  </si>
  <si>
    <t>pollTetherState</t>
  </si>
  <si>
    <t>isIfaceActive</t>
  </si>
  <si>
    <t>assertNoErroredIfaces</t>
  </si>
  <si>
    <t>testStartTetheringWithStateChangeBroadcast</t>
  </si>
  <si>
    <t>testTetheringRequest</t>
  </si>
  <si>
    <t>testRegisterTetheringEventCallback</t>
  </si>
  <si>
    <t>testGetTetherableInterfaceRegexps</t>
  </si>
  <si>
    <t>testStopAllTethering</t>
  </si>
  <si>
    <t>testEnableTetheringPermission</t>
  </si>
  <si>
    <t>onTetheringEntitlementResult</t>
  </si>
  <si>
    <t>assertEntitlementResult</t>
  </si>
  <si>
    <t>testRequestLatestEntitlementResult</t>
  </si>
  <si>
    <t>overrideCarrierConfig</t>
  </si>
  <si>
    <t>testTetheringUpstream</t>
  </si>
  <si>
    <t>testControlsSameSession</t>
  </si>
  <si>
    <t>testCreatePacProcessor</t>
  </si>
  <si>
    <t>testDefaultNetworkIsNull</t>
  </si>
  <si>
    <t>testSetNetwork</t>
  </si>
  <si>
    <t>mediaOutputPanel_withPackageNameExtra_correctPackage</t>
  </si>
  <si>
    <t>mediaOutputPanel_noPutPackageNameExtra_correctPackage</t>
  </si>
  <si>
    <t>mediaOutputPanel_correctTitle</t>
  </si>
  <si>
    <t>mediaOutputPanel_doneClosesPanel</t>
  </si>
  <si>
    <t>mediaOutputPanel_seeMoreButton_doNothing</t>
  </si>
  <si>
    <t>launchMediaOutputPanel</t>
  </si>
  <si>
    <t>testNetlinkRouteGetlinkSucceeds</t>
  </si>
  <si>
    <t>testNetlinkRouteBindSucceeds</t>
  </si>
  <si>
    <t>testGetServiceComponentBeforeConnection</t>
  </si>
  <si>
    <t>isCarModeSupported</t>
  </si>
  <si>
    <t>setCarMode</t>
  </si>
  <si>
    <t>testCarModePreventsIdle</t>
  </si>
  <si>
    <t>testIdleJobStartsOnlyWhenIdle_carEndsIdle</t>
  </si>
  <si>
    <t>testCarModeExceptions</t>
  </si>
  <si>
    <t>testCreateFile</t>
  </si>
  <si>
    <t>PathFileObserver</t>
  </si>
  <si>
    <t>eventsToSet</t>
  </si>
  <si>
    <t>event2str</t>
  </si>
  <si>
    <t>testForceBoldText_textIsBolded</t>
  </si>
  <si>
    <t>testForceBoldText_textIsUnbolded</t>
  </si>
  <si>
    <t>testForceBoldText_originalTypefaceKeptWhenEnabled</t>
  </si>
  <si>
    <t>testForceBoldText_originalTypefaceIsKeptWhenDisabled</t>
  </si>
  <si>
    <t>testForceBoldText_boldTypefaceIsBoldedWhenEnabled</t>
  </si>
  <si>
    <t>testBuildWithAllEapMethods</t>
  </si>
  <si>
    <t>verifyEapUiccConfigCommon</t>
  </si>
  <si>
    <t>verifyTunnelModeChildParamsWithDefaultValues</t>
  </si>
  <si>
    <t>verifyTunnelModeChildParamsWithCustomizedValues</t>
  </si>
  <si>
    <t>verifyTransportModeChildParamsWithDefaultValues</t>
  </si>
  <si>
    <t>verifyTransportModeChildParamsWithCustomizedValues</t>
  </si>
  <si>
    <t>verifyChildParamsWithDefaultValues</t>
  </si>
  <si>
    <t>verifyChildParamsWithCustomizedValues</t>
  </si>
  <si>
    <t>testBuildTransportModeParamsWithDefaultValues</t>
  </si>
  <si>
    <t>testBuildTunnelModeParamsWithDefaultValues</t>
  </si>
  <si>
    <t>testBuildTransportModeParamsWithCustomizedValues</t>
  </si>
  <si>
    <t>testBuildTunnelModeParamsWithCustomizedValues</t>
  </si>
  <si>
    <t>testBuildChildSessionParamsWithConfigReq</t>
  </si>
  <si>
    <t>verifySpecificV4AddrConfigReq</t>
  </si>
  <si>
    <t>verifySpecificV6AddrConfigReq</t>
  </si>
  <si>
    <t>testIkeDerAsn1DnIdentification</t>
  </si>
  <si>
    <t>testIkeFqdnIdentification</t>
  </si>
  <si>
    <t>testIkeIpv4AddrIdentification</t>
  </si>
  <si>
    <t>testIkeIpv6AddrIdentification</t>
  </si>
  <si>
    <t>testIkeKeyIdIdentification</t>
  </si>
  <si>
    <t>testIkeRfc822AddrIdentification</t>
  </si>
  <si>
    <t>setUpCertsBeforeClass</t>
  </si>
  <si>
    <t>testIkeSessionSetupAndChildSessionSetupWithTransportMode</t>
  </si>
  <si>
    <t>setUpCertBeforeClass</t>
  </si>
  <si>
    <t>createEapOnlySafeMethodsBuilder</t>
  </si>
  <si>
    <t>createIkeParamsBuilderMinimum</t>
  </si>
  <si>
    <t>verifyIkeParamsMinimum</t>
  </si>
  <si>
    <t>testBuildWithMinimumSet</t>
  </si>
  <si>
    <t>testSetLifetimes</t>
  </si>
  <si>
    <t>testSetDpdDelay</t>
  </si>
  <si>
    <t>testSetRetransmissionTimeouts</t>
  </si>
  <si>
    <t>testSetPcscfConfigRequests</t>
  </si>
  <si>
    <t>testAddIkeOption</t>
  </si>
  <si>
    <t>testRemoveIkeOption</t>
  </si>
  <si>
    <t>createIkeParamsBuilderMinimumWithoutAuth</t>
  </si>
  <si>
    <t>verifyIkeParamsMinimumWithoutAuth</t>
  </si>
  <si>
    <t>testBuildWithPsk</t>
  </si>
  <si>
    <t>testBuildWithEap</t>
  </si>
  <si>
    <t>testBuildWithEapOnlyAuth</t>
  </si>
  <si>
    <t>testThrowBuildEapOnlyAuthWithUnsafeMethod</t>
  </si>
  <si>
    <t>testBuildWithDigitalSignature</t>
  </si>
  <si>
    <t>testBuildWithDigitalSignatureAndIntermediateCerts</t>
  </si>
  <si>
    <t>openIkeSessionWithTunnelModeChild</t>
  </si>
  <si>
    <t>openIkeSessionWithTransportModeChild</t>
  </si>
  <si>
    <t>setUpTunnelPermissionBeforeClass</t>
  </si>
  <si>
    <t>tearDownTunnelPermissionAfterClass</t>
  </si>
  <si>
    <t>testIkeSessionSetupAndChildSessionSetupWithTunnelMode</t>
  </si>
  <si>
    <t>testIkeSessionSetupAndChildSessionSetupWithTunnelModeV6</t>
  </si>
  <si>
    <t>testIkeSessionKillWithTunnelMode</t>
  </si>
  <si>
    <t>testIkeInitFail</t>
  </si>
  <si>
    <t>testIkeAuthHandlesAuthFailNotification</t>
  </si>
  <si>
    <t>testIkeAuthHandlesFirstChildCreationFail</t>
  </si>
  <si>
    <t>buildInboundPkt</t>
  </si>
  <si>
    <t>testRekeyIke</t>
  </si>
  <si>
    <t>testRekeyTransportModeChildSa</t>
  </si>
  <si>
    <t>buildIkeSaProposalWithNormalModeCipher</t>
  </si>
  <si>
    <t>buildIkeSaProposalWithCombinedModeCipher</t>
  </si>
  <si>
    <t>buildIkeSaProposal</t>
  </si>
  <si>
    <t>buildChildSaProposalWithNormalModeCipher</t>
  </si>
  <si>
    <t>buildChildSaProposalWithCombinedModeCipher</t>
  </si>
  <si>
    <t>buildChildSaProposal</t>
  </si>
  <si>
    <t>buildChildSaProposalWithOnlyCiphers</t>
  </si>
  <si>
    <t>testBuildIkeSaProposalWithNormalModeCipher</t>
  </si>
  <si>
    <t>testBuildIkeSaProposalWithCombinedModeCipher</t>
  </si>
  <si>
    <t>testBuildIkeSaProposalWithCombinedModeCipherAndIntegrityNone</t>
  </si>
  <si>
    <t>testBuildChildSaProposalWithNormalModeCipher</t>
  </si>
  <si>
    <t>testBuildChildProposalWithCombinedModeCipher</t>
  </si>
  <si>
    <t>testBuildChildProposalWithCombinedModeCipherAndIntegrityNone</t>
  </si>
  <si>
    <t>testBuildChildSaProposalWithOnlyCiphers</t>
  </si>
  <si>
    <t>testGetApnTypesStringFromBitmaskWithDefault</t>
  </si>
  <si>
    <t>testGetApnTypesStringFromBitmaskWithSingleValue</t>
  </si>
  <si>
    <t>testGetApnTypesStringFromBitmaskWithSeveralValues</t>
  </si>
  <si>
    <t>assertShowCustomToast</t>
  </si>
  <si>
    <t>assertShowToast</t>
  </si>
  <si>
    <t>assertShowAndHideCustomToast</t>
  </si>
  <si>
    <t>assertShowAndHide</t>
  </si>
  <si>
    <t>assertNotShowCustomToast</t>
  </si>
  <si>
    <t>assertNotShowToast</t>
  </si>
  <si>
    <t>makeToast</t>
  </si>
  <si>
    <t>testNoNetlinkRouteGetlink</t>
  </si>
  <si>
    <t>waitForIdleService</t>
  </si>
  <si>
    <t>getFirstNonIdleSensor</t>
  </si>
  <si>
    <t>inheritGrantedPermissionStateStorage</t>
  </si>
  <si>
    <t>testOnPhysicalChannelConfigurationChanged</t>
  </si>
  <si>
    <t>checkClassDuplicatesMatchWhitelist</t>
  </si>
  <si>
    <t>setAccessInteractiveWindowsFlag</t>
  </si>
  <si>
    <t>clearAccessInteractiveWindowsFlag</t>
  </si>
  <si>
    <t>testGetDisplayFromApplication</t>
  </si>
  <si>
    <t>testGetDisplayFromService</t>
  </si>
  <si>
    <t>testGetDisplayFromActivity</t>
  </si>
  <si>
    <t>testGetDisplayFromDisplayContext</t>
  </si>
  <si>
    <t>testGetDisplayFromDisplayContextDerivedContextOnPrimaryDisplay</t>
  </si>
  <si>
    <t>testGetDisplayFromDisplayContextDerivedContextOnSecondaryDisplay</t>
  </si>
  <si>
    <t>verifyGetDisplayFromDisplayContextDerivedContext</t>
  </si>
  <si>
    <t>getSecondaryDisplay</t>
  </si>
  <si>
    <t>testGetDisplayFromWindowContext</t>
  </si>
  <si>
    <t>testGetDisplayFromVisualWrapper</t>
  </si>
  <si>
    <t>testGetDisplayFromNonVisualWrapper</t>
  </si>
  <si>
    <t>getTestActivity</t>
  </si>
  <si>
    <t>getTestService</t>
  </si>
  <si>
    <t>onOutgoingEmergencySms</t>
  </si>
  <si>
    <t>testOnOutgoingSmsEmergencyNumberChangedByRegisterPhoneStateListener</t>
  </si>
  <si>
    <t>onActiveDataSubscriptionIdChanged</t>
  </si>
  <si>
    <t>testOnActiveDataSubscriptionIdChangedByRegisterPhoneStateListener</t>
  </si>
  <si>
    <t>onBarringInfoChanged</t>
  </si>
  <si>
    <t>testOnBarringInfoChangedByRegisterPhoneStateListener</t>
  </si>
  <si>
    <t>onRegistrationFailed</t>
  </si>
  <si>
    <t>testOnRegistrationFailedByRegisterPhoneStateListener</t>
  </si>
  <si>
    <t>onPhysicalChannelConfigChanged</t>
  </si>
  <si>
    <t>testOnPhysicalChannelConfigChanged</t>
  </si>
  <si>
    <t>onCellLocationChanged</t>
  </si>
  <si>
    <t>testOnCellLocationChangedByRegisterPhoneStateListener</t>
  </si>
  <si>
    <t>onCallStateChanged</t>
  </si>
  <si>
    <t>testOnCallStateChangedByRegisterPhoneStateListener</t>
  </si>
  <si>
    <t>onDataConnectionStateChanged</t>
  </si>
  <si>
    <t>testOnDataConnectionStateChangedByRegisterPhoneStateListener</t>
  </si>
  <si>
    <t>onDataActivity</t>
  </si>
  <si>
    <t>testOnDataActivityByRegisterPhoneStateListener</t>
  </si>
  <si>
    <t>onCellInfoChanged</t>
  </si>
  <si>
    <t>testOnCellInfoChangedByRegisterPhoneStateListener</t>
  </si>
  <si>
    <t>onUserMobileDataStateChanged</t>
  </si>
  <si>
    <t>testOnUserMobileDataStateChangedByRegisterPhoneStateListener</t>
  </si>
  <si>
    <t>onSrvccStateChanged</t>
  </si>
  <si>
    <t>testOSrvccStateChangedByRegisterPhoneStateListener</t>
  </si>
  <si>
    <t>onRadioPowerStateChanged</t>
  </si>
  <si>
    <t>testOnRadioPowerStateChangedByRegisterPhoneStateListener</t>
  </si>
  <si>
    <t>onVoiceActivationStateChanged</t>
  </si>
  <si>
    <t>testOnVoiceActivationStateChangedByRegisterPhoneStateListener</t>
  </si>
  <si>
    <t>onPreciseDataConnectionStateChanged</t>
  </si>
  <si>
    <t>getPreciseDataConnectionState</t>
  </si>
  <si>
    <t>testOnPreciseDataConnectionStateChangedByRegisterPhoneStateListener</t>
  </si>
  <si>
    <t>onDisplayInfoChanged</t>
  </si>
  <si>
    <t>testOnDisplayInfoChangedByRegisterPhoneStateListener</t>
  </si>
  <si>
    <t>onCallForwardingIndicatorChanged</t>
  </si>
  <si>
    <t>testOnCallForwardingIndicatorChangedByRegisterPhoneStateListener</t>
  </si>
  <si>
    <t>registerPhoneStateListenerWithPermission</t>
  </si>
  <si>
    <t>registerPhoneStateListener</t>
  </si>
  <si>
    <t>onServiceStateChanged</t>
  </si>
  <si>
    <t>testOnServiceStateChangedByRegisterPhoneStateListener</t>
  </si>
  <si>
    <t>testOnUnRegisterFollowedByRegisterPhoneStateListener</t>
  </si>
  <si>
    <t>onSignalStrengthsChanged</t>
  </si>
  <si>
    <t>getSignalStrength</t>
  </si>
  <si>
    <t>testOnSignalStrengthsChangedByRegisterPhoneStateListener</t>
  </si>
  <si>
    <t>onMessageWaitingIndicatorChanged</t>
  </si>
  <si>
    <t>testOnMessageWaitingIndicatorChangedByRegisterPhoneStateListener</t>
  </si>
  <si>
    <t>onPreciseCallStateChanged</t>
  </si>
  <si>
    <t>testOnPreciseCallStateChangedByRegisterPhoneStateListener</t>
  </si>
  <si>
    <t>onCallDisconnectCauseChanged</t>
  </si>
  <si>
    <t>testOnCallDisconnectCauseChangedByRegisterPhoneStateListener</t>
  </si>
  <si>
    <t>onImsCallDisconnectCauseChanged</t>
  </si>
  <si>
    <t>testOnImsCallDisconnectCauseChangedByRegisterPhoneStateListener</t>
  </si>
  <si>
    <t>testRegisterPhoneStateListener</t>
  </si>
  <si>
    <t>onCellInfo</t>
  </si>
  <si>
    <t>wait</t>
  </si>
  <si>
    <t>testBiometricOrCredential_credentialButtonInvoked</t>
  </si>
  <si>
    <t>testStandaloneDataForRead</t>
  </si>
  <si>
    <t>testBadArgument</t>
  </si>
  <si>
    <t>testValidValues</t>
  </si>
  <si>
    <t>teardownClass</t>
  </si>
  <si>
    <t>getOriginalVoiceServices</t>
  </si>
  <si>
    <t>restoreOriginalVoiceServices</t>
  </si>
  <si>
    <t>setCurrentInteractor</t>
  </si>
  <si>
    <t>testSetAndGetPasswordQuality_onParent</t>
  </si>
  <si>
    <t>deletePublicVolumes</t>
  </si>
  <si>
    <t>noopTest</t>
  </si>
  <si>
    <t>setupPublicVolume</t>
  </si>
  <si>
    <t>verifySetup</t>
  </si>
  <si>
    <t>testHiddenFiles</t>
  </si>
  <si>
    <t>testReadWriteFilesInOtherAppExternalDir</t>
  </si>
  <si>
    <t>testCantDeleteOtherAppsContents</t>
  </si>
  <si>
    <t>testDeleteAlreadyUnlinkedFile</t>
  </si>
  <si>
    <t>testListDirectoriesWithNonMediaFiles</t>
  </si>
  <si>
    <t>testListFilesFromExternalFilesDirectory</t>
  </si>
  <si>
    <t>testCallingIdentityCacheInvalidation</t>
  </si>
  <si>
    <t>testRenameFile</t>
  </si>
  <si>
    <t>testRenameFileType</t>
  </si>
  <si>
    <t>testRenameFileNotOwned</t>
  </si>
  <si>
    <t>testRenameDirectoryNotOwned</t>
  </si>
  <si>
    <t>testRenameEmptyDirectory</t>
  </si>
  <si>
    <t>testCantAccessOtherAppsContents</t>
  </si>
  <si>
    <t>testCanWriteToDCIMCameraWithNomedia</t>
  </si>
  <si>
    <t>testHiddenDirectory_nomedia</t>
  </si>
  <si>
    <t>testListHiddenFile</t>
  </si>
  <si>
    <t>testOpenPendingAndTrashed</t>
  </si>
  <si>
    <t>testDeletePendingAndTrashed</t>
  </si>
  <si>
    <t>testListPendingAndTrashed</t>
  </si>
  <si>
    <t>testSystemGalleryQueryOtherAppsFiles</t>
  </si>
  <si>
    <t>testCantCreateOrRenameFileWithInvalidName</t>
  </si>
  <si>
    <t>testRenameWithSpecialChars</t>
  </si>
  <si>
    <t>testPendingFromFuse</t>
  </si>
  <si>
    <t>testScanUpdatesMetadataForRenamedHiddenFile</t>
  </si>
  <si>
    <t>getPublicVolumeNameInternal</t>
  </si>
  <si>
    <t>testOpenFilePathFirstWriteContentResolver</t>
  </si>
  <si>
    <t>testOpenContentResolverFirstWriteContentResolver</t>
  </si>
  <si>
    <t>testOpenFilePathFirstWriteFilePath</t>
  </si>
  <si>
    <t>testOpenContentResolverFirstWriteFilePath</t>
  </si>
  <si>
    <t>testOpenContentResolverWriteOnly</t>
  </si>
  <si>
    <t>testOpenContentResolverDup</t>
  </si>
  <si>
    <t>testOpenContentResolverClose</t>
  </si>
  <si>
    <t>testContentResolverDelete</t>
  </si>
  <si>
    <t>testContentResolverUpdate</t>
  </si>
  <si>
    <t>testCreateLowerCaseDeleteUpperCase</t>
  </si>
  <si>
    <t>testCreateUpperCaseDeleteLowerCase</t>
  </si>
  <si>
    <t>testCreateMixedCaseDeleteDifferentMixedCase</t>
  </si>
  <si>
    <t>testAndroidDataObbDoesNotForgetMount</t>
  </si>
  <si>
    <t>testCacheConsistencyForCaseInsensitivity</t>
  </si>
  <si>
    <t>createDeleteCreate</t>
  </si>
  <si>
    <t>testReadStorageInvalidation</t>
  </si>
  <si>
    <t>testWriteStorageInvalidation</t>
  </si>
  <si>
    <t>testManageStorageInvalidation</t>
  </si>
  <si>
    <t>testWriteImagesInvalidation</t>
  </si>
  <si>
    <t>testWriteVideoInvalidation</t>
  </si>
  <si>
    <t>testAccessMediaLocationInvalidation</t>
  </si>
  <si>
    <t>testAppUpdateInvalidation</t>
  </si>
  <si>
    <t>testAppReinstallInvalidation</t>
  </si>
  <si>
    <t>testAppOpInvalidation</t>
  </si>
  <si>
    <t>assertAppOpInvalidation</t>
  </si>
  <si>
    <t>testInstantAppsCantAccessExternalStorage</t>
  </si>
  <si>
    <t>getAutomation</t>
  </si>
  <si>
    <t>TvInputServiceTest</t>
  </si>
  <si>
    <t>testTvInputServiceSession</t>
  </si>
  <si>
    <t>testTvInputServiceRecordingSession</t>
  </si>
  <si>
    <t>initDummyBundle</t>
  </si>
  <si>
    <t>bundleEquals</t>
  </si>
  <si>
    <t>keyEventEquals</t>
  </si>
  <si>
    <t>motionEventEquals</t>
  </si>
  <si>
    <t>playbackParamsEquals</t>
  </si>
  <si>
    <t>testExactFrameRateMatch</t>
  </si>
  <si>
    <t>testFixedSource</t>
  </si>
  <si>
    <t>testInitialSurroundingText_overSizedSeleciton_keepsBeforeAfterTextValid</t>
  </si>
  <si>
    <t>concateInitialSurroundingText</t>
  </si>
  <si>
    <t>assertFailedHandshakeOrConnectionError</t>
  </si>
  <si>
    <t>testIsColorSpace</t>
  </si>
  <si>
    <t>testFgsStartTempAllowList</t>
  </si>
  <si>
    <t>testTranscodingFromHevcToAvc</t>
  </si>
  <si>
    <t>showTextToasts</t>
  </si>
  <si>
    <t>enableTempAllowList</t>
  </si>
  <si>
    <t>testShellSubscription</t>
  </si>
  <si>
    <t>testShellSubscriptionReconnect</t>
  </si>
  <si>
    <t>getSizetBytes</t>
  </si>
  <si>
    <t>startSubscription</t>
  </si>
  <si>
    <t>IntToByteArrayLittleEndian</t>
  </si>
  <si>
    <t>checkOutput</t>
  </si>
  <si>
    <t>readSizetFromByteArray</t>
  </si>
  <si>
    <t>testStatsActiveMetricDirectoryExists</t>
  </si>
  <si>
    <t>testStatsDataDirectoryExists</t>
  </si>
  <si>
    <t>testStatsMetadataDirectoryExists</t>
  </si>
  <si>
    <t>testStatsServiceDirectoryExists</t>
  </si>
  <si>
    <t>testTrainInfoDirectoryExists</t>
  </si>
  <si>
    <t>stopZslStreaming</t>
  </si>
  <si>
    <t>blockingStopPreview</t>
  </si>
  <si>
    <t>stopPreviewAndDrain</t>
  </si>
  <si>
    <t>testIsActivePasswordSufficient_onParent_isSupported</t>
  </si>
  <si>
    <t>testIsActivePasswordSufficient_onParent_appliesComplexity</t>
  </si>
  <si>
    <t>testHasKeyPair_failIfNotOwner</t>
  </si>
  <si>
    <t>testGetKeyPairGrants_failIfNotOwner</t>
  </si>
  <si>
    <t>testRunningOnWorkProfile</t>
  </si>
  <si>
    <t>testIsTrusted_withEnabledNotificationListener_returnsTrue</t>
  </si>
  <si>
    <t>testAvcTranscodingVideo30FramesWithoutAudio</t>
  </si>
  <si>
    <t>testHevcTranscodingVideo30FramesWithoutAudio</t>
  </si>
  <si>
    <t>testHevcTranscodingVideo1FrameWithAudio</t>
  </si>
  <si>
    <t>testHevcTranscodingVideo36FramesWithAudio</t>
  </si>
  <si>
    <t>testHevcTranscodingVideo68FramesWithAudio</t>
  </si>
  <si>
    <t>testHevcTranscoding1080PVideo1FrameWithAudio</t>
  </si>
  <si>
    <t>testProvisioningManagerNotifyAutoConfig</t>
  </si>
  <si>
    <t>HdmiCecLogicalAddressTest</t>
  </si>
  <si>
    <t>cect_10_2_3_1_RebootLogicalAddress</t>
  </si>
  <si>
    <t>HdmiCecVendorCommandsTest</t>
  </si>
  <si>
    <t>HdmiCecPhysicalAddressTest</t>
  </si>
  <si>
    <t>testForegroundJob</t>
  </si>
  <si>
    <t>testForeground</t>
  </si>
  <si>
    <t>testHevcTranscoding1080PVideo36FramesWithAudio</t>
  </si>
  <si>
    <t>testHevcTranscoding1080PVideo68FramesWithAudio</t>
  </si>
  <si>
    <t>testQuery</t>
  </si>
  <si>
    <t>testQuery_TypeFilter</t>
  </si>
  <si>
    <t>testDelete</t>
  </si>
  <si>
    <t>doGet</t>
  </si>
  <si>
    <t>checkIsSuccess</t>
  </si>
  <si>
    <t>HdmiCecSystemStandbyTest</t>
  </si>
  <si>
    <t>setHdmiControlDeviceAutoOff</t>
  </si>
  <si>
    <t>checkDeviceAsleepAfterStandbySent</t>
  </si>
  <si>
    <t>cect_11_2_3_2_HandleBroadcastStandby</t>
  </si>
  <si>
    <t>cect_11_2_3_3_HandleAddressedStandby</t>
  </si>
  <si>
    <t>cect_11_2_3_4_NoBroadcastStandby</t>
  </si>
  <si>
    <t>installApps</t>
  </si>
  <si>
    <t>uninstallApps</t>
  </si>
  <si>
    <t>testListUnsupportedFileType</t>
  </si>
  <si>
    <t>testCantRenameToTopLevelDirectory</t>
  </si>
  <si>
    <t>testCantAccessOtherAppsExternalDirs</t>
  </si>
  <si>
    <t>testCanCreateDefaultDirectory</t>
  </si>
  <si>
    <t>testWallpaperApisNoPermission</t>
  </si>
  <si>
    <t>assertOpenPendingOrTrashed</t>
  </si>
  <si>
    <t>assertListPendingOrTrashed</t>
  </si>
  <si>
    <t>createPendingFile</t>
  </si>
  <si>
    <t>createTrashedFile</t>
  </si>
  <si>
    <t>trashFile</t>
  </si>
  <si>
    <t>getFilePathFromUri</t>
  </si>
  <si>
    <t>isMediaTypeImageOrVideo</t>
  </si>
  <si>
    <t>assertIsMediaTypeImage</t>
  </si>
  <si>
    <t>assertNotMediaTypeImage</t>
  </si>
  <si>
    <t>assertCantQueryFile</t>
  </si>
  <si>
    <t>assertCanDeletePathsAs</t>
  </si>
  <si>
    <t>assertCantDeletePathsAs</t>
  </si>
  <si>
    <t>deleteFiles</t>
  </si>
  <si>
    <t>deletePaths</t>
  </si>
  <si>
    <t>assertCanDeletePaths</t>
  </si>
  <si>
    <t>assertRWR</t>
  </si>
  <si>
    <t>assertStartsWith</t>
  </si>
  <si>
    <t>assertLowerFsFd</t>
  </si>
  <si>
    <t>assertUpperFsFd</t>
  </si>
  <si>
    <t>createFileUsingTradefedContentProvider</t>
  </si>
  <si>
    <t>createDirUsingTradefedContentProvider</t>
  </si>
  <si>
    <t>deleteFileUsingTradefedContentProvider</t>
  </si>
  <si>
    <t>deleteDirUsingTradefedContentProvider</t>
  </si>
  <si>
    <t>testResetFocusAppearanceDataAfterServiceDisabled</t>
  </si>
  <si>
    <t>onSaw</t>
  </si>
  <si>
    <t>onToast</t>
  </si>
  <si>
    <t>onUnknownAction</t>
  </si>
  <si>
    <t>getContextForSaw</t>
  </si>
  <si>
    <t>addMyToastOverlay</t>
  </si>
  <si>
    <t>removeMyToastOverlay</t>
  </si>
  <si>
    <t>addMySawOverlay</t>
  </si>
  <si>
    <t>removeMySawOverlays</t>
  </si>
  <si>
    <t>sendMessage</t>
  </si>
  <si>
    <t>testApplication</t>
  </si>
  <si>
    <t>testOnTrimMemory</t>
  </si>
  <si>
    <t>toggleFontScale</t>
  </si>
  <si>
    <t>waitForOnConfigurationChange</t>
  </si>
  <si>
    <t>getRequestSadFormatsParams</t>
  </si>
  <si>
    <t>muteDevice</t>
  </si>
  <si>
    <t>unmuteDevice</t>
  </si>
  <si>
    <t>isDeviceMuted</t>
  </si>
  <si>
    <t>setDeviceVolume</t>
  </si>
  <si>
    <t>HdmiCecSystemAudioControlTest</t>
  </si>
  <si>
    <t>cect_11_2_15_10_GiveSystemAudioModeStatus</t>
  </si>
  <si>
    <t>cect_11_2_15_11_VolumeUpDownUserControlPressed</t>
  </si>
  <si>
    <t>cect_11_2_15_12_MuteUserControlPressed</t>
  </si>
  <si>
    <t>testGetAudioDeviceMediaPlayerStart</t>
  </si>
  <si>
    <t>assertPlayerStartAndCallbackWithPlayerAttributes</t>
  </si>
  <si>
    <t>hasDevice</t>
  </si>
  <si>
    <t>cect_12_1_BroadcastReceivedAsDirectlyAddressed</t>
  </si>
  <si>
    <t>cect_12_2_DirectlyAddressedReceivedAsBroadcast_getCecVersion</t>
  </si>
  <si>
    <t>cect_12_2_DirectlyAddressedReceivedAsBroadcast_givePhysicalAddress</t>
  </si>
  <si>
    <t>cect_12_2_DirectlyAddressedReceivedAsBroadcast_givePowerStatus</t>
  </si>
  <si>
    <t>cect_12_2_DirectlyAddressedReceivedAsBroadcast_giveDeviceVendorId</t>
  </si>
  <si>
    <t>cect_12_2_DirectlyAddressedReceivedAsBroadcast_giveOsdName</t>
  </si>
  <si>
    <t>cect_12_2_DirectlyAddressedReceivedAsBroadcast_userControlPressed</t>
  </si>
  <si>
    <t>assertHasOverlaysThatAreShown</t>
  </si>
  <si>
    <t>assertHasOverlaysThatAreHidden</t>
  </si>
  <si>
    <t>Change</t>
  </si>
  <si>
    <t>fromString</t>
  </si>
  <si>
    <t>fromNode</t>
  </si>
  <si>
    <t>getOnDeviceCompatConfig</t>
  </si>
  <si>
    <t>testDangerousPermissionState</t>
  </si>
  <si>
    <t>testTrivial</t>
  </si>
  <si>
    <t>testBuilderAndGetters</t>
  </si>
  <si>
    <t>testNotEquals</t>
  </si>
  <si>
    <t>next_returnsNextUnseenEvent</t>
  </si>
  <si>
    <t>waitAndValidateLocation</t>
  </si>
  <si>
    <t>testHasProvider</t>
  </si>
  <si>
    <t>testGetProviderProperties</t>
  </si>
  <si>
    <t>verifyTriggerDeregistrationCalled</t>
  </si>
  <si>
    <t>getDeregistedState</t>
  </si>
  <si>
    <t>featureFlagEnabled</t>
  </si>
  <si>
    <t>processRootPrimaryTaskInfoChanged</t>
  </si>
  <si>
    <t>addChildTasks</t>
  </si>
  <si>
    <t>scanForTestAp</t>
  </si>
  <si>
    <t>testRangingToTestAp</t>
  </si>
  <si>
    <t>setToastRateLimitingEnabled</t>
  </si>
  <si>
    <t>disableParentRestrictionChange</t>
  </si>
  <si>
    <t>enableParentRestrictionChange</t>
  </si>
  <si>
    <t>setupFiles</t>
  </si>
  <si>
    <t>createFiles</t>
  </si>
  <si>
    <t>checkNoFilesExist</t>
  </si>
  <si>
    <t>checkAllFilesExist</t>
  </si>
  <si>
    <t>generateFiles</t>
  </si>
  <si>
    <t>deleteAllFiles</t>
  </si>
  <si>
    <t>addData</t>
  </si>
  <si>
    <t>assertAllFilesExist</t>
  </si>
  <si>
    <t>assertNoFilesExist</t>
  </si>
  <si>
    <t>testAllowBackup_False</t>
  </si>
  <si>
    <t>testAllowBackup_True</t>
  </si>
  <si>
    <t>checkAllowBackupDeviceTest</t>
  </si>
  <si>
    <t>testSetStrength</t>
  </si>
  <si>
    <t>testSetStrengthInvalid</t>
  </si>
  <si>
    <t>triggerFrameworkConnectToCarrierImsServiceBindMmtelRcsFeature</t>
  </si>
  <si>
    <t>HdmiCecPowerStatusTest</t>
  </si>
  <si>
    <t>cect_11_2_14_1_PowerStatusWhenOn</t>
  </si>
  <si>
    <t>cect_11_2_14_2_PowerStatusWhenOff</t>
  </si>
  <si>
    <t>NsdManagerTest</t>
  </si>
  <si>
    <t>initRegistrationListener</t>
  </si>
  <si>
    <t>initDiscoveryListener</t>
  </si>
  <si>
    <t>initResolveListener</t>
  </si>
  <si>
    <t>EventData</t>
  </si>
  <si>
    <t>setEvent</t>
  </si>
  <si>
    <t>clearEventCache</t>
  </si>
  <si>
    <t>eventCacheSize</t>
  </si>
  <si>
    <t>waitForCallback</t>
  </si>
  <si>
    <t>waitForNewEvents</t>
  </si>
  <si>
    <t>testNDSManager</t>
  </si>
  <si>
    <t>checkCacheSize</t>
  </si>
  <si>
    <t>checkForAdditionalEvents</t>
  </si>
  <si>
    <t>testSetInvalidFontScaleValueRejected</t>
  </si>
  <si>
    <t>testFeatureBase</t>
  </si>
  <si>
    <t>testFeatureApi</t>
  </si>
  <si>
    <t>launchBaseActivity_withThemeBase_themeApplied</t>
  </si>
  <si>
    <t>launchBaseActivity_withThemeBaseV23_themeApplied</t>
  </si>
  <si>
    <t>launchBaseActivity_withThemeFeature_themeApplied</t>
  </si>
  <si>
    <t>launchBaseActivity_withThemeFeatureV23_themeApplied</t>
  </si>
  <si>
    <t>launchFeatureActivity_withThemeBase_themeApplied</t>
  </si>
  <si>
    <t>launchFeatureActivity_withThemeBaseV23_themeApplied</t>
  </si>
  <si>
    <t>launchFeatureActivity_withThemeFeature_themeApplied</t>
  </si>
  <si>
    <t>launchFeatureActivity_withThemeFeatureV23_themeApplied</t>
  </si>
  <si>
    <t>assertThemeBaseValues</t>
  </si>
  <si>
    <t>assertThemeBaseV23Values</t>
  </si>
  <si>
    <t>assertThemeFeatureValues</t>
  </si>
  <si>
    <t>assertThemeFeatureV23Values</t>
  </si>
  <si>
    <t>retrieveTransportInfoFgActivityAndAssertStatusIs</t>
  </si>
  <si>
    <t>retrieveTransportInfoBgServiceAndAssertStatusIs</t>
  </si>
  <si>
    <t>testTransportInfoRetrievalNotAllowedForForegroundActivityWithNoLocationPermission</t>
  </si>
  <si>
    <t>testTransportInfoRetrievalAllowedForForegroundActivityWithFineLocationPermission</t>
  </si>
  <si>
    <t>testTransportInfoRetrievalAllowedForBackgroundServiceWithBackgroundLocationPermission</t>
  </si>
  <si>
    <t>testTransportInfoRetrievalNotAllowedForBackgroundServiceWithFineLocationPermission</t>
  </si>
  <si>
    <t>testResourceIconsRewrittenToContentUriIcons</t>
  </si>
  <si>
    <t>testDownloadableSubscriptionBuilder_throwException_emptyActivationCode</t>
  </si>
  <si>
    <t>setTargetSdk30</t>
  </si>
  <si>
    <t>addOpaqueActivity</t>
  </si>
  <si>
    <t>sendFinishToActivity</t>
  </si>
  <si>
    <t>testEquals_failure</t>
  </si>
  <si>
    <t>testSetSupportSlowMotion</t>
  </si>
  <si>
    <t>smsRoleHolderAvailableWithoutObserveRoleHolders</t>
  </si>
  <si>
    <t>hasUserSplit</t>
  </si>
  <si>
    <t>executeDeviceOwnerTest</t>
  </si>
  <si>
    <t>testProfileInheritsEphemeral</t>
  </si>
  <si>
    <t>isMultiUserSupported</t>
  </si>
  <si>
    <t>isTestEnabled</t>
  </si>
  <si>
    <t>shouldRunTelecomTest</t>
  </si>
  <si>
    <t>testSecurePublicSettingsKeysAreReadable</t>
  </si>
  <si>
    <t>testSystemPublicSettingsKeysAreReadable</t>
  </si>
  <si>
    <t>testGlobalPublicSettingsKeysAreReadable</t>
  </si>
  <si>
    <t>testSecureSomeHiddenSettingsKeysAreReadable</t>
  </si>
  <si>
    <t>testSystemSomeHiddenSettingsKeysAreReadable</t>
  </si>
  <si>
    <t>testGlobalSomeHiddenSettingsKeysAreReadable</t>
  </si>
  <si>
    <t>getPublicSettingsKeys</t>
  </si>
  <si>
    <t>hasFeature</t>
  </si>
  <si>
    <t>assumeHasFeature</t>
  </si>
  <si>
    <t>assumeHasManageUsersFeature</t>
  </si>
  <si>
    <t>testInstallerChecksumsFsiTrustNone</t>
  </si>
  <si>
    <t>onKeyEvent</t>
  </si>
  <si>
    <t>createParcelUnparcel</t>
  </si>
  <si>
    <t>assertIsVibrating</t>
  </si>
  <si>
    <t>testGrantForegroundRuntimePermission22</t>
  </si>
  <si>
    <t>id_notSet_returnsNull</t>
  </si>
  <si>
    <t>userHandle_notSet_returnsNull</t>
  </si>
  <si>
    <t>verifyTestsWillRunOnPrimaryVolume</t>
  </si>
  <si>
    <t>createPublicVolume</t>
  </si>
  <si>
    <t>setupStorage</t>
  </si>
  <si>
    <t>setupApps</t>
  </si>
  <si>
    <t>resetDefaultVolume</t>
  </si>
  <si>
    <t>trim</t>
  </si>
  <si>
    <t>testSetIntDimen</t>
  </si>
  <si>
    <t>testSetFloatDimen</t>
  </si>
  <si>
    <t>isClassifyTextCalled</t>
  </si>
  <si>
    <t>getCurrentState</t>
  </si>
  <si>
    <t>twoFingerSingleTapAndHold</t>
  </si>
  <si>
    <t>queryTag_works</t>
  </si>
  <si>
    <t>queryTag_skipsNonMatchingTags</t>
  </si>
  <si>
    <t>queryData_works</t>
  </si>
  <si>
    <t>queryData_skipsNonMatchingData</t>
  </si>
  <si>
    <t>querySavedInstanceState_works</t>
  </si>
  <si>
    <t>queryPersistentState_works</t>
  </si>
  <si>
    <t>queryName_customValueOnLogger_works</t>
  </si>
  <si>
    <t>querySimpleName_customValueOnLogger_works</t>
  </si>
  <si>
    <t>queryName_defaultValue_works</t>
  </si>
  <si>
    <t>querySimpleName_defaultValue_works</t>
  </si>
  <si>
    <t>queryActivityClass_works</t>
  </si>
  <si>
    <t>CameraExtensionSessionTest</t>
  </si>
  <si>
    <t>testGetNetworkSuggestionUserApprovalStatus</t>
  </si>
  <si>
    <t>testLoopingVolume</t>
  </si>
  <si>
    <t>getLauncherPackage</t>
  </si>
  <si>
    <t>setHomeActivity</t>
  </si>
  <si>
    <t>testHdmiControlManager</t>
  </si>
  <si>
    <t>testGetHdmiClient</t>
  </si>
  <si>
    <t>testHdmiClientType</t>
  </si>
  <si>
    <t>testHdmiCecConfig_HdmiCecEnabled</t>
  </si>
  <si>
    <t>testHdmiCecConfig_HdmiCecEnabled_Listener</t>
  </si>
  <si>
    <t>testHdmiCecConfig_HdmiCecVersion</t>
  </si>
  <si>
    <t>testHdmiCecConfig_PowerControlMode</t>
  </si>
  <si>
    <t>testHdmiCecConfig_PowerStateChangeOnActiveSourceLost</t>
  </si>
  <si>
    <t>testHdmiCecConfig_SystemAudioModeMuting</t>
  </si>
  <si>
    <t>testVulkanUnsupportedFormat</t>
  </si>
  <si>
    <t>testVulkanSupportedFormat</t>
  </si>
  <si>
    <t>setSetImeTemporarilyConsumesInput</t>
  </si>
  <si>
    <t>testEllipsis</t>
  </si>
  <si>
    <t>testUnlock</t>
  </si>
  <si>
    <t>setFilePathSupportForMediaUris</t>
  </si>
  <si>
    <t>testMemoryTagChecksEnabled</t>
  </si>
  <si>
    <t>testDefaultEnableRestrictedBucketOff</t>
  </si>
  <si>
    <t>userHandle_returnsUserHandle</t>
  </si>
  <si>
    <t>resolve_doesNotExist_returnsNull</t>
  </si>
  <si>
    <t>resolve_doesExist_returnsUser</t>
  </si>
  <si>
    <t>resolve_doesExist_userHasCorrectDetails</t>
  </si>
  <si>
    <t>remove_userDoesNotExist_throwsException</t>
  </si>
  <si>
    <t>remove_userExists_removesUser</t>
  </si>
  <si>
    <t>users_containsCreatedUser</t>
  </si>
  <si>
    <t>users_userAddedSinceLastCallToUsers_containsNewUser</t>
  </si>
  <si>
    <t>users_userRemovedSinceLastCallToUsers_doesNotContainRemovedUser</t>
  </si>
  <si>
    <t>create_userIsCreated</t>
  </si>
  <si>
    <t>create_createdUserHasCorrectName</t>
  </si>
  <si>
    <t>create_createdUserHasCorrectTypeName</t>
  </si>
  <si>
    <t>create_doesNotSpecifyName_throwsIllegalStateException</t>
  </si>
  <si>
    <t>testDeviceOwnerOnlyDelegationsOnlyPossibleToBeSetByDeviceOwner</t>
  </si>
  <si>
    <t>testHasCompanionInCallServiceAccess</t>
  </si>
  <si>
    <t>execSearchPolicy</t>
  </si>
  <si>
    <t>execAndCaptureOutput</t>
  </si>
  <si>
    <t>DrainCallable</t>
  </si>
  <si>
    <t>testGetPackagesForUidCrossUserGrant</t>
  </si>
  <si>
    <t>testGetPackagesForUidCrossUserNoGrant</t>
  </si>
  <si>
    <t>testGetPackagesForUidVisibility_currentUser</t>
  </si>
  <si>
    <t>testGetPackagesForUidVisibility_anotherUserCrossUserGrant</t>
  </si>
  <si>
    <t>testGetPackagesForUidVisibility_anotherUserCrossUserNoGrant</t>
  </si>
  <si>
    <t>isAppInPackageNamesArray</t>
  </si>
  <si>
    <t>testKnownSignerPermCurrentSignerInResource</t>
  </si>
  <si>
    <t>testKnownSignerPermSignerInLineageInResource</t>
  </si>
  <si>
    <t>query_itemUri_returnsCorrectRow</t>
  </si>
  <si>
    <t>user_userExists_returnsUserReference</t>
  </si>
  <si>
    <t>user_userDoesNotExist_returnsUserReference</t>
  </si>
  <si>
    <t>user_constructedReferenceReferencesCorrectId</t>
  </si>
  <si>
    <t>fontManager_nullPfd</t>
  </si>
  <si>
    <t>fontManager_nullSignature</t>
  </si>
  <si>
    <t>fontManager_negativeBaseVersion</t>
  </si>
  <si>
    <t>fontManager_permissionEnforce</t>
  </si>
  <si>
    <t>insertAdn_nameContainingUnsupportedCharacters_throwsCorrectException</t>
  </si>
  <si>
    <t>update_nameContainingUnsupportedCharacters_throwsCorrectException</t>
  </si>
  <si>
    <t>validateName_emptyName</t>
  </si>
  <si>
    <t>validateName_lengthLimit</t>
  </si>
  <si>
    <t>validateName_supportedCharacters</t>
  </si>
  <si>
    <t>fontManager_updateFontFile_nullPfd</t>
  </si>
  <si>
    <t>fontManager_updateFontFile_nullSignature</t>
  </si>
  <si>
    <t>createUser_doesNotSpecifyName_throwsIllegalStateException</t>
  </si>
  <si>
    <t>testNonTrustedRecognitionServiceCannotBlameCallingApp</t>
  </si>
  <si>
    <t>testStartListening</t>
  </si>
  <si>
    <t>setCurrentRecognizer</t>
  </si>
  <si>
    <t>testAlarmManagerServiceDump</t>
  </si>
  <si>
    <t>verifyAlarmManagerServiceDumpProto</t>
  </si>
  <si>
    <t>testAlarmProtoList</t>
  </si>
  <si>
    <t>testAlarmProto</t>
  </si>
  <si>
    <t>testBroadcastStatsProto</t>
  </si>
  <si>
    <t>testFilterStatsProto</t>
  </si>
  <si>
    <t>testConnectionSuccess</t>
  </si>
  <si>
    <t>testEngineNotAvailableConnectionFailure</t>
  </si>
  <si>
    <t>testShutdownStateCleared</t>
  </si>
  <si>
    <t>testShutdownServiceUnbound</t>
  </si>
  <si>
    <t>createTts</t>
  </si>
  <si>
    <t>disableService</t>
  </si>
  <si>
    <t>setServiceEnabledState</t>
  </si>
  <si>
    <t>TtsInitListener</t>
  </si>
  <si>
    <t>waitForInitStatus</t>
  </si>
  <si>
    <t>testSuggestionBuilderEnhancedMacRandomizationSetting</t>
  </si>
  <si>
    <t>testInstallOnlyBaseHasFsvSig</t>
  </si>
  <si>
    <t>testInstallOnlyDmHasFsvSig</t>
  </si>
  <si>
    <t>testInstallOnlySplitHasFsvSig</t>
  </si>
  <si>
    <t>testGetPowerSaverMode_requiresPermissions</t>
  </si>
  <si>
    <t>testPidAndUidForwarding</t>
  </si>
  <si>
    <t>testStretchLeftAndCatch</t>
  </si>
  <si>
    <t>testStretchRightAndCatch</t>
  </si>
  <si>
    <t>sleepAnimationTime</t>
  </si>
  <si>
    <t>testStretchTopAndCatch</t>
  </si>
  <si>
    <t>testStretchBottomAndCatch</t>
  </si>
  <si>
    <t>testCompatFeatureDisabledUserdebugBuild</t>
  </si>
  <si>
    <t>testCompatFeatureDisabledUserBuild</t>
  </si>
  <si>
    <t>testHeapTaggingDefault</t>
  </si>
  <si>
    <t>testDevicePolicySafetyCheckerIntegration</t>
  </si>
  <si>
    <t>batteryOnScreenOff</t>
  </si>
  <si>
    <t>batteryOffScreenOn</t>
  </si>
  <si>
    <t>testBatteryStatsServiceDump</t>
  </si>
  <si>
    <t>verifyBatteryStatsServiceDumpProto</t>
  </si>
  <si>
    <t>testControllerActivityProto</t>
  </si>
  <si>
    <t>testBatteryLevelStep</t>
  </si>
  <si>
    <t>testSystemProto</t>
  </si>
  <si>
    <t>testTimerProto</t>
  </si>
  <si>
    <t>testByFrequency</t>
  </si>
  <si>
    <t>testUidProto</t>
  </si>
  <si>
    <t>waitForUserBroadcast</t>
  </si>
  <si>
    <t>waitForBroadcastReceived</t>
  </si>
  <si>
    <t>testStartCallInCarModeAndAutomotiveProjection</t>
  </si>
  <si>
    <t>setWifiEnabled</t>
  </si>
  <si>
    <t>turnScreenOff</t>
  </si>
  <si>
    <t>TestScanResultsCallback</t>
  </si>
  <si>
    <t>onScanResultsAvailable</t>
  </si>
  <si>
    <t>findMatchingSavedNetworksWithBssid</t>
  </si>
  <si>
    <t>assertConnectionEquals</t>
  </si>
  <si>
    <t>TestNetworkCallback</t>
  </si>
  <si>
    <t>testConnectionFlowWithRestrictedSuggestion</t>
  </si>
  <si>
    <t>removeDoubleQuotes</t>
  </si>
  <si>
    <t>TestActionListener</t>
  </si>
  <si>
    <t>testConnectionFlowWithConnect</t>
  </si>
  <si>
    <t>createSuggestionBuilderWithCredentialFromSavedNetworkWithBssid</t>
  </si>
  <si>
    <t>getNumWifiConnections</t>
  </si>
  <si>
    <t>TestNetworkRequestMatchCallback</t>
  </si>
  <si>
    <t>onUserSelectionCallbackRegistration</t>
  </si>
  <si>
    <t>onMatch</t>
  </si>
  <si>
    <t>onUserSelectionConnectSuccess</t>
  </si>
  <si>
    <t>onUserSelectionConnectFailure</t>
  </si>
  <si>
    <t>handleUiInteractions</t>
  </si>
  <si>
    <t>testConnectionFlowWithSpecifier</t>
  </si>
  <si>
    <t>createSpecifierBuilderWithCredentialFromSavedNetworkWithBssid</t>
  </si>
  <si>
    <t>createSpecifierBuilderWithCredentialFromSavedNetwork</t>
  </si>
  <si>
    <t>findScanResultMatchingSavedNetwork</t>
  </si>
  <si>
    <t>testConnectionFlowWithSuggestion</t>
  </si>
  <si>
    <t>testNoRelayoutWhenInsetsChange</t>
  </si>
  <si>
    <t>testRelayoutWhenInsetsChange</t>
  </si>
  <si>
    <t>allVibrating</t>
  </si>
  <si>
    <t>noneVibrating</t>
  </si>
  <si>
    <t>isVibrating</t>
  </si>
  <si>
    <t>isNotVibrating</t>
  </si>
  <si>
    <t>executeAndValidateOutput_outputFilterMatched_returnsOutput</t>
  </si>
  <si>
    <t>uninstall_packageNotInstalledForUser_throwsException</t>
  </si>
  <si>
    <t>uninstall_packageDoesNotExist_throwsException</t>
  </si>
  <si>
    <t>testIsWpa3ApValidationSupported</t>
  </si>
  <si>
    <t>testGetDeviceProductInfo</t>
  </si>
  <si>
    <t>testRegisterProviderRequestListener</t>
  </si>
  <si>
    <t>tryBuild</t>
  </si>
  <si>
    <t>getAngleMeasurement</t>
  </si>
  <si>
    <t>startUserInBackgroundWithError</t>
  </si>
  <si>
    <t>startUserInBackground</t>
  </si>
  <si>
    <t>stopUserWithError</t>
  </si>
  <si>
    <t>stopUser</t>
  </si>
  <si>
    <t>assertCarModeCallCount</t>
  </si>
  <si>
    <t>disableAndVerifyCarMode</t>
  </si>
  <si>
    <t>disconnectAllCallsAndVerify</t>
  </si>
  <si>
    <t>testStartProfile</t>
  </si>
  <si>
    <t>testStopProfile</t>
  </si>
  <si>
    <t>testStopAndRestartProfile</t>
  </si>
  <si>
    <t>testStopAndRestartProfile_dontWaitForBroadcast</t>
  </si>
  <si>
    <t>testStartProfileWithoutPermission_throwsException</t>
  </si>
  <si>
    <t>testStopProfileWithoutPermission_throwsException</t>
  </si>
  <si>
    <t>testStartFullUserAsProfile_throwsException</t>
  </si>
  <si>
    <t>testStopFullUserAsProfile_throwsException</t>
  </si>
  <si>
    <t>testStartTvProfile</t>
  </si>
  <si>
    <t>testStopTvProfile</t>
  </si>
  <si>
    <t>cleanupCustomProfile</t>
  </si>
  <si>
    <t>runCommandWithOutput</t>
  </si>
  <si>
    <t>supportedTypes_androidVersionLessThan11_returnsNull</t>
  </si>
  <si>
    <t>supportedType_invalidType_androidVersionLessThan11_returnsNull</t>
  </si>
  <si>
    <t>supportedType_validType_androidVersionLessThan11_returnsNull</t>
  </si>
  <si>
    <t>createCustomProfile</t>
  </si>
  <si>
    <t>bug136096979_ota</t>
  </si>
  <si>
    <t>testUnregisterWithPropertyId</t>
  </si>
  <si>
    <t>testGetNrState</t>
  </si>
  <si>
    <t>testUsageToString_returnCorrectStrings</t>
  </si>
  <si>
    <t>testUsageToString_unknownUsage</t>
  </si>
  <si>
    <t>onPolicyChanged</t>
  </si>
  <si>
    <t>getCurrentPolicyId</t>
  </si>
  <si>
    <t>clearQueue</t>
  </si>
  <si>
    <t>setActionQueue</t>
  </si>
  <si>
    <t>testIncludeExcludeRules</t>
  </si>
  <si>
    <t>preventAcitivtyIdle</t>
  </si>
  <si>
    <t>testNotifySession2Created</t>
  </si>
  <si>
    <t>hasAutomotiveFeature</t>
  </si>
  <si>
    <t>isValidCommunicationDevice</t>
  </si>
  <si>
    <t>testSetValidDeviceForCommunication</t>
  </si>
  <si>
    <t>testSetInvalidDeviceForCommunication</t>
  </si>
  <si>
    <t>testDeviceForCommunicationListener</t>
  </si>
  <si>
    <t>query_returnsEmptyCursor</t>
  </si>
  <si>
    <t>testHandlesConfigChanges</t>
  </si>
  <si>
    <t>registerCarVolumeCallback_nullCallback_throwsNPE</t>
  </si>
  <si>
    <t>registerCarVolumeCallback_nonNullCallback_throwsPermissionError</t>
  </si>
  <si>
    <t>registerCarVolumeCallback_withPermission_receivesCallback</t>
  </si>
  <si>
    <t>unregisterCarVolumeCallback_nullCallback_throws</t>
  </si>
  <si>
    <t>unregisterCarVolumeCallback_unregisteredCallback_doesNotReceiveCallback</t>
  </si>
  <si>
    <t>unregisterCarVolumeCallback_withoutPermission_throws</t>
  </si>
  <si>
    <t>unregisterCarVolumeCallback_noLongerReceivesCallback</t>
  </si>
  <si>
    <t>runWithCarControlAudioVolumePermission</t>
  </si>
  <si>
    <t>injectVolumeDownKeyEvent</t>
  </si>
  <si>
    <t>received</t>
  </si>
  <si>
    <t>onGroupVolumeChanged</t>
  </si>
  <si>
    <t>unRegisterPhoneStateListener</t>
  </si>
  <si>
    <t>onDataEnabledChanged</t>
  </si>
  <si>
    <t>testOnDataEnabledChangedByRegisterPhoneStateListener</t>
  </si>
  <si>
    <t>onAllowedNetworkTypesChanged</t>
  </si>
  <si>
    <t>testOnAllowedNetworkTypesChangedByRegisterPhoneStateListener</t>
  </si>
  <si>
    <t>testListenFailWithNonLooper</t>
  </si>
  <si>
    <t>onPhoneCapabilityChanged</t>
  </si>
  <si>
    <t>testRegisterPhoneStateListenerWithNonLooper</t>
  </si>
  <si>
    <t>CodecDecoderExtTest</t>
  </si>
  <si>
    <t>input</t>
  </si>
  <si>
    <t>testDecodeAndValidate</t>
  </si>
  <si>
    <t>testCreateAndProvisionManagedProfile_setsProfileOwner</t>
  </si>
  <si>
    <t>testCreateAndProvisionManagedProfile_createsProfile</t>
  </si>
  <si>
    <t>createManagedProfileProvisioningParams</t>
  </si>
  <si>
    <t>getDpmForProfile</t>
  </si>
  <si>
    <t>testProvisionFullyManagedDevice_setsDeviceOwner</t>
  </si>
  <si>
    <t>testProvisionFullyManagedDevice_doesNotThrowException</t>
  </si>
  <si>
    <t>provisionFullyManagedDevice_canControlSensorPermissionGrantsByDefault</t>
  </si>
  <si>
    <t>provisionFullyManagedDevice_canOptOutOfControllingSensorPermissionGrants</t>
  </si>
  <si>
    <t>createManagedDeviceProvisioningParams</t>
  </si>
  <si>
    <t>differentUserSpecifiedByUserReference_queryWorks</t>
  </si>
  <si>
    <t>createProfile</t>
  </si>
  <si>
    <t>installTestAppInUser</t>
  </si>
  <si>
    <t>startUser_userIsStopping_noBroadcastIsReceived</t>
  </si>
  <si>
    <t>assertAuthenticationPoliciesEqual</t>
  </si>
  <si>
    <t>assertUriToAliasesEqual</t>
  </si>
  <si>
    <t>assertUrisToAliasesEqual</t>
  </si>
  <si>
    <t>TestAppCallbacksReceiver</t>
  </si>
  <si>
    <t>isAtLeastSDevice</t>
  </si>
  <si>
    <t>testAttentionService_OnCancelledFromService</t>
  </si>
  <si>
    <t>assertSource</t>
  </si>
  <si>
    <t>waitForSubstring</t>
  </si>
  <si>
    <t>testBuilder_Encrypted_Success</t>
  </si>
  <si>
    <t>readSplitAndReportTime</t>
  </si>
  <si>
    <t>getLayoutId</t>
  </si>
  <si>
    <t>inflateWithRemoteViews</t>
  </si>
  <si>
    <t>inflateWithInflator</t>
  </si>
  <si>
    <t>measureText</t>
  </si>
  <si>
    <t>testRemoteResource</t>
  </si>
  <si>
    <t>testBuilder_nullSpecs</t>
  </si>
  <si>
    <t>testBuilder_nullRequests</t>
  </si>
  <si>
    <t>testBuilder_validRequests</t>
  </si>
  <si>
    <t>testBuilder_validAddRequests</t>
  </si>
  <si>
    <t>testParceledRequest</t>
  </si>
  <si>
    <t>testBuilder_validRequest</t>
  </si>
  <si>
    <t>testBuilder_nullTranslation</t>
  </si>
  <si>
    <t>testBuilder_emptyTranslations</t>
  </si>
  <si>
    <t>testBuilder_changeTranslationStatus</t>
  </si>
  <si>
    <t>testBuilder_validSetRequests</t>
  </si>
  <si>
    <t>testParceledResponse</t>
  </si>
  <si>
    <t>awaitOnPolicyChanged</t>
  </si>
  <si>
    <t>testAddVcnNetworkPolicyListener_noNetworkFactoryPermission</t>
  </si>
  <si>
    <t>testRemoveVcnNetworkPolicyListener</t>
  </si>
  <si>
    <t>test_getButtonLabel_matchesOneForAllowedAuthType</t>
  </si>
  <si>
    <t>test_getPromptMessage_isDifferentForBiometricAndCredential</t>
  </si>
  <si>
    <t>test_getPromptMessage_matchesOneForAllowedAuthType</t>
  </si>
  <si>
    <t>splitWindow</t>
  </si>
  <si>
    <t>setTemporaryTranslationService</t>
  </si>
  <si>
    <t>resetTemporaryTranslationService</t>
  </si>
  <si>
    <t>testStyle</t>
  </si>
  <si>
    <t>testSetHotwordDetectionConfig_noHotwordDetectionComponentName_returnFailure</t>
  </si>
  <si>
    <t>hotwordDetectionConfigTest</t>
  </si>
  <si>
    <t>testSliceDifferentiatorRange</t>
  </si>
  <si>
    <t>onVcnStatusChanged</t>
  </si>
  <si>
    <t>awaitOnVcnStatusChanged</t>
  </si>
  <si>
    <t>testPowerExemptionManager</t>
  </si>
  <si>
    <t>toggleResolution</t>
  </si>
  <si>
    <t>toggleDensity</t>
  </si>
  <si>
    <t>launchScanningSettings</t>
  </si>
  <si>
    <t>testGetCarrierBandwidth</t>
  </si>
  <si>
    <t>assertArrayEqualIgnoreOrder</t>
  </si>
  <si>
    <t>waitForRoutesAdded</t>
  </si>
  <si>
    <t>TestWatcher</t>
  </si>
  <si>
    <t>resetAppOp</t>
  </si>
  <si>
    <t>updateAlarmManagerConstants</t>
  </si>
  <si>
    <t>putDeviceToIdle</t>
  </si>
  <si>
    <t>enableChange</t>
  </si>
  <si>
    <t>resetChanges</t>
  </si>
  <si>
    <t>removeFromWhitelists</t>
  </si>
  <si>
    <t>restoreBatteryState</t>
  </si>
  <si>
    <t>restoreAlarmManagerConstants</t>
  </si>
  <si>
    <t>revokeAppOp</t>
  </si>
  <si>
    <t>getAlarmSender</t>
  </si>
  <si>
    <t>hasPermissionByDefault</t>
  </si>
  <si>
    <t>noPermissionWhenIgnored</t>
  </si>
  <si>
    <t>hasPermissionWhenAllowed</t>
  </si>
  <si>
    <t>setAlarmClockWithoutPermission</t>
  </si>
  <si>
    <t>whitelistTestApp</t>
  </si>
  <si>
    <t>setAlarmClockWithoutPermissionWithWhitelist</t>
  </si>
  <si>
    <t>setAlarmClockWithPermission</t>
  </si>
  <si>
    <t>setExactAwiWithoutPermissionOrWhitelist</t>
  </si>
  <si>
    <t>setExactAwiWithoutPermissionWithWhitelist</t>
  </si>
  <si>
    <t>setExactAwiWithPermissionAndWhitelist</t>
  </si>
  <si>
    <t>reclaimQuota</t>
  </si>
  <si>
    <t>getNextEligibleTime</t>
  </si>
  <si>
    <t>setExactAwiWithPermissionWithoutWhitelist</t>
  </si>
  <si>
    <t>assertTempWhitelistState</t>
  </si>
  <si>
    <t>alarmClockGrantsWhitelist</t>
  </si>
  <si>
    <t>exactAwiGrantsWhitelist</t>
  </si>
  <si>
    <t>activityToRequestPermissionExists</t>
  </si>
  <si>
    <t>onLinkCapacityEstimateChanged</t>
  </si>
  <si>
    <t>testOnLinkCapacityEstimateChangedByRegisterPhoneStateListener</t>
  </si>
  <si>
    <t>testSetRouteVolumeAndRouteCallbackOnRoutesChanged</t>
  </si>
  <si>
    <t>testTransferToSuccess</t>
  </si>
  <si>
    <t>testTransferToFailure</t>
  </si>
  <si>
    <t>testTunneledVideoPlayback</t>
  </si>
  <si>
    <t>testLteVopsSupportInfo</t>
  </si>
  <si>
    <t>grantDpmWrapperPermissions</t>
  </si>
  <si>
    <t>affiliateUsers</t>
  </si>
  <si>
    <t>testStartAndStopTemporarilyDisablingAllNonCarrierMergedWifi</t>
  </si>
  <si>
    <t>testGetPhoneCapability</t>
  </si>
  <si>
    <t>testNotWhitelisted_byService_alreadyRunning</t>
  </si>
  <si>
    <t>testRinseAndRepeat_alreadyRunning</t>
  </si>
  <si>
    <t>doesntRecycleWhenViewIdDoesntMatch</t>
  </si>
  <si>
    <t>doesntRecycleWhenViewIdDoesntMatchSync</t>
  </si>
  <si>
    <t>doesntRecycleWhenViewIdDoesntMatchAsync</t>
  </si>
  <si>
    <t>testCanRecycleView</t>
  </si>
  <si>
    <t>testConnectivityConstraintExecutes_metered</t>
  </si>
  <si>
    <t>testParceledRequest_validTranslationResponseValues</t>
  </si>
  <si>
    <t>testParceledRequest_validViewTranslationResponses</t>
  </si>
  <si>
    <t>testGetSupportedLocales</t>
  </si>
  <si>
    <t>testGetVoiceRegState</t>
  </si>
  <si>
    <t>cectVerifyStartupMessages</t>
  </si>
  <si>
    <t>testProvisionDeviceOwner</t>
  </si>
  <si>
    <t>testProvisionDeviceOwner_withAllSystemAppsEnabled</t>
  </si>
  <si>
    <t>enableUninstalledApp</t>
  </si>
  <si>
    <t>getBaseProvisioningIntent</t>
  </si>
  <si>
    <t>deviceOwnerProvision</t>
  </si>
  <si>
    <t>getPackageNameList</t>
  </si>
  <si>
    <t>getSystemPackageNameList</t>
  </si>
  <si>
    <t>onProfileProvisioningComplete</t>
  </si>
  <si>
    <t>testIsManagedProfile</t>
  </si>
  <si>
    <t>testProvisionManagedProfile</t>
  </si>
  <si>
    <t>testProvisionManagedProfile_accountCopy</t>
  </si>
  <si>
    <t>testVerifyAdminExtraBundle</t>
  </si>
  <si>
    <t>testVerifySuccessfulIntentWasReceived</t>
  </si>
  <si>
    <t>testAccountExist</t>
  </si>
  <si>
    <t>testAccountNotExist</t>
  </si>
  <si>
    <t>createBaseProvisioningIntent</t>
  </si>
  <si>
    <t>provisionManagedProfile</t>
  </si>
  <si>
    <t>addAndGetTestAccount</t>
  </si>
  <si>
    <t>saveBundle</t>
  </si>
  <si>
    <t>loadBundle</t>
  </si>
  <si>
    <t>getSharedPreferences</t>
  </si>
  <si>
    <t>testDeviceOwnerProvisioning</t>
  </si>
  <si>
    <t>testManagedProfileProvisioning</t>
  </si>
  <si>
    <t>testEXTRA_PROVISIONING_ADMIN_EXTRAS_BUNDLE</t>
  </si>
  <si>
    <t>testAccountMigration</t>
  </si>
  <si>
    <t>testAccountCopy</t>
  </si>
  <si>
    <t>testWebview</t>
  </si>
  <si>
    <t>provisionManagedProfile_accountCopy</t>
  </si>
  <si>
    <t>testNumDynamicShortcuts</t>
  </si>
  <si>
    <t>testWithManifest</t>
  </si>
  <si>
    <t>testChangeActivity</t>
  </si>
  <si>
    <t>testWithPinned</t>
  </si>
  <si>
    <t>install_packageIsInstalled</t>
  </si>
  <si>
    <t>install_nonExistingPackage_throwsException</t>
  </si>
  <si>
    <t>testResamplingEventConnections</t>
  </si>
  <si>
    <t>testSensorDefaultVerifications</t>
  </si>
  <si>
    <t>testSetNetworkSlicingEnabledLogged</t>
  </si>
  <si>
    <t>testGetSetNetworkSlicingStatus</t>
  </si>
  <si>
    <t>testSetGetNetworkSlicingStatus</t>
  </si>
  <si>
    <t>testSetNetworkSlicingStatusLogged</t>
  </si>
  <si>
    <t>testSetGetNetworkSlicingEnabled</t>
  </si>
  <si>
    <t>isSupportedDevice</t>
  </si>
  <si>
    <t>testPlaybackId</t>
  </si>
  <si>
    <t>testEquals_failure_differentVersion</t>
  </si>
  <si>
    <t>testVideoSampleFileOffsetByGetSampleFormat</t>
  </si>
  <si>
    <t>testAudioSampleFileOffsetByGetSampleFormat</t>
  </si>
  <si>
    <t>testGetTrackCountNative</t>
  </si>
  <si>
    <t>testGetTrackFormatNative</t>
  </si>
  <si>
    <t>TestSimpleAppend</t>
  </si>
  <si>
    <t>prologue</t>
  </si>
  <si>
    <t>epilogue</t>
  </si>
  <si>
    <t>testSimpleAppendNative</t>
  </si>
  <si>
    <t>testAppendGetTrackCountNative</t>
  </si>
  <si>
    <t>testAppendNoSamplesNative</t>
  </si>
  <si>
    <t>testIgnoreLastGOPAppend</t>
  </si>
  <si>
    <t>testAppendGetTrackFormatNative</t>
  </si>
  <si>
    <t>removeCapabilityExchangeImpl</t>
  </si>
  <si>
    <t>assumeHasBackupFeature</t>
  </si>
  <si>
    <t>assumeTestIsNotRedundant</t>
  </si>
  <si>
    <t>setMeteredState</t>
  </si>
  <si>
    <t>testPocCVE_2017_13190</t>
  </si>
  <si>
    <t>requestEmptyRoleThenDeniedAutomatically</t>
  </si>
  <si>
    <t>testOnReceiveContent_mimeTypes</t>
  </si>
  <si>
    <t>testPerformReceiveContent</t>
  </si>
  <si>
    <t>testOnReceiveContent</t>
  </si>
  <si>
    <t>testOnDragEvent_noOnReceiveContentListener</t>
  </si>
  <si>
    <t>testOnDragEvent_withOnReceiveContentListener</t>
  </si>
  <si>
    <t>testOnDragEvent_withOnReceiveContentListener_noneOfTheContentAccepted</t>
  </si>
  <si>
    <t>testOnDragEvent_withOnReceiveContentListener_someOfTheContentAccepted</t>
  </si>
  <si>
    <t>sampleUriPayload</t>
  </si>
  <si>
    <t>contentEq</t>
  </si>
  <si>
    <t>ContentInfoArgumentMatcher</t>
  </si>
  <si>
    <t>testDragAndDrop_customReceiver_nonEditableTextView</t>
  </si>
  <si>
    <t>testDragAndDrop_nonEditableTextViewChangedToEditable_actionDragLocation</t>
  </si>
  <si>
    <t>testDragAndDrop_nonEditableTextViewChangedToEditable_actionDrop</t>
  </si>
  <si>
    <t>UsageWithRange</t>
  </si>
  <si>
    <t>equalsUsage</t>
  </si>
  <si>
    <t>getAndVerifyUsages</t>
  </si>
  <si>
    <t>useAppOp</t>
  </si>
  <si>
    <t>setConfig</t>
  </si>
  <si>
    <t>startHelperApp</t>
  </si>
  <si>
    <t>getUniqueTime</t>
  </si>
  <si>
    <t>saveThresholdsAndSet</t>
  </si>
  <si>
    <t>resetThresholds</t>
  </si>
  <si>
    <t>testBasicUsage</t>
  </si>
  <si>
    <t>testRunningAndRecentStartUsage</t>
  </si>
  <si>
    <t>testRunningAndRecentNoteUsage</t>
  </si>
  <si>
    <t>testMultipleUsageOnlyMostRecentShown</t>
  </si>
  <si>
    <t>testProxyUsageStart</t>
  </si>
  <si>
    <t>testSelfBlameProxyDoesntShowAttribution</t>
  </si>
  <si>
    <t>assertToolbarTitleEquals</t>
  </si>
  <si>
    <t>getCanonicalName</t>
  </si>
  <si>
    <t>canonicalName</t>
  </si>
  <si>
    <t>isOnPauseAllowed</t>
  </si>
  <si>
    <t>isSensorConfigurationValid</t>
  </si>
  <si>
    <t>isChooserTargetServiceDirectShareEnabled</t>
  </si>
  <si>
    <t>showBiometricPromptAndAuth</t>
  </si>
  <si>
    <t>testGetSetEnterpriseNetworkPreferenceStatus</t>
  </si>
  <si>
    <t>dumpLocationTimeZoneManagerServiceState</t>
  </si>
  <si>
    <t>setLocationTimeZoneManagerStateRecordingMode</t>
  </si>
  <si>
    <t>isLocationEnabledForCurrentUser</t>
  </si>
  <si>
    <t>setLocationEnabledForCurrentUser</t>
  </si>
  <si>
    <t>isAutoDetectionEnabled</t>
  </si>
  <si>
    <t>parseShellCommandBytesAsBoolean</t>
  </si>
  <si>
    <t>setAutoDetectionEnabled</t>
  </si>
  <si>
    <t>isGeoDetectionEnabled</t>
  </si>
  <si>
    <t>setGeoDetectionEnabled</t>
  </si>
  <si>
    <t>assumeGeoDetectionSupported</t>
  </si>
  <si>
    <t>isGeoDetectionSupported</t>
  </si>
  <si>
    <t>startLocationTimeZoneManagerService</t>
  </si>
  <si>
    <t>stopLocationTimeZoneManagerService</t>
  </si>
  <si>
    <t>setProviderOverrideMode</t>
  </si>
  <si>
    <t>simulateProviderSuggestion</t>
  </si>
  <si>
    <t>simulateProviderBind</t>
  </si>
  <si>
    <t>executeProviderTestCommand</t>
  </si>
  <si>
    <t>executeLocationManagerCommand</t>
  </si>
  <si>
    <t>executeLocationTimeZoneManagerCommand</t>
  </si>
  <si>
    <t>executeTimeZoneDetectorCommand</t>
  </si>
  <si>
    <t>executeShellCommandReturnBytes</t>
  </si>
  <si>
    <t>getCurrentStateAndClearSchedulerLog</t>
  </si>
  <si>
    <t>findView</t>
  </si>
  <si>
    <t>findAndPressButton</t>
  </si>
  <si>
    <t>getSensorStates</t>
  </si>
  <si>
    <t>waitForStateNotEqual</t>
  </si>
  <si>
    <t>anyEnrollmentsExist</t>
  </si>
  <si>
    <t>successfullyAuthenticate</t>
  </si>
  <si>
    <t>waitForAllUnenrolled</t>
  </si>
  <si>
    <t>showCredentialOnlyBiometricPrompt</t>
  </si>
  <si>
    <t>showDeviceCredentialAllowedBiometricPrompt</t>
  </si>
  <si>
    <t>showDefaultBiometricPromptAndAuth</t>
  </si>
  <si>
    <t>getCallbackState</t>
  </si>
  <si>
    <t>testEnroll</t>
  </si>
  <si>
    <t>testGenerateKeyWithoutDeviceCredential_throwsException</t>
  </si>
  <si>
    <t>testGenerateKeyWithoutBiometricEnrolled_throwsInvalidAlgorithmParameterException</t>
  </si>
  <si>
    <t>testGenerateKeyWhenCredentialAndBiometricEnrolled</t>
  </si>
  <si>
    <t>testSensorPropertiesAndDumpsysMatch</t>
  </si>
  <si>
    <t>testPackageManagerAndDumpsysMatch</t>
  </si>
  <si>
    <t>enrollForSensor</t>
  </si>
  <si>
    <t>testBiometricOnly_authenticateFromForegroundActivity</t>
  </si>
  <si>
    <t>testBiometricOnly_authenticateFromForegroundActivity_forSensor</t>
  </si>
  <si>
    <t>testBiometricOnly_rejectThenErrorFromForegroundActivity</t>
  </si>
  <si>
    <t>testBiometricOnly_rejectThenErrorFromForegroundActivity_forSensor</t>
  </si>
  <si>
    <t>testBiometricOnly_negativeButtonInvoked</t>
  </si>
  <si>
    <t>testBiometricOnly_negativeButtonInvoked_forSensor</t>
  </si>
  <si>
    <t>testWhenCredentialNotEnrolled</t>
  </si>
  <si>
    <t>testBiometricOrCredential_credentialButtonInvoked_biometricEnrolled</t>
  </si>
  <si>
    <t>testBiometricOrCredential_credentialButtonInvoked_biometricNotEnrolled</t>
  </si>
  <si>
    <t>testBiometricOrCredential_credentialButtonInvoked_noBiometricSensor</t>
  </si>
  <si>
    <t>testBiometricOrCredential_credentialButtonInvoked_forConfiguration</t>
  </si>
  <si>
    <t>testAuthenticatorIdsInvalidated</t>
  </si>
  <si>
    <t>testAuthenticatorIdsInvalidated_forSensor</t>
  </si>
  <si>
    <t>testLockoutResetRequestedAfterCredentialUnlock</t>
  </si>
  <si>
    <t>testLockoutResetRequestedAfterBiometricUnlock_whenStrong</t>
  </si>
  <si>
    <t>testLockoutResetRequestedAfterBiometricUnlock_whenStrong_forSensor</t>
  </si>
  <si>
    <t>testLockoutResetNotRequestedAfterBiometricUnlock_whenNotStrong</t>
  </si>
  <si>
    <t>testLockoutResetNotRequestedAfterBiometricUnlock_whenNotStrong_forSensor</t>
  </si>
  <si>
    <t>testBiometricsRemovedWhenCredentialRemoved</t>
  </si>
  <si>
    <t>testUidForegroundDuration</t>
  </si>
  <si>
    <t>testMediaPerformanceClass</t>
  </si>
  <si>
    <t>testS</t>
  </si>
  <si>
    <t>getSystemLocale</t>
  </si>
  <si>
    <t>setSystemLocale</t>
  </si>
  <si>
    <t>isLanguageEditable</t>
  </si>
  <si>
    <t>extractLanguage</t>
  </si>
  <si>
    <t>testOpenOnRedactionUri_file</t>
  </si>
  <si>
    <t>testOpenOnRedactionUri_write</t>
  </si>
  <si>
    <t>testOpenOnRedactionUri_inputstream</t>
  </si>
  <si>
    <t>testOpenOnRedactionUri_read</t>
  </si>
  <si>
    <t>overrideCapabilitiesEnabledResult</t>
  </si>
  <si>
    <t>testUpdateShortcutVisibility_GrantShortcutAccess</t>
  </si>
  <si>
    <t>testBiometricUI</t>
  </si>
  <si>
    <t>testSetDeviceCredentialAllowed_biometricAuth</t>
  </si>
  <si>
    <t>testCreateContext_WithRenouncedPermissions</t>
  </si>
  <si>
    <t>testAppWidgetGetProviderInfo</t>
  </si>
  <si>
    <t>testExpeditedJobExecutes_DataSaverOn</t>
  </si>
  <si>
    <t>testExpeditedJobBypassesSimultaneousFirewalls</t>
  </si>
  <si>
    <t>testSetDeviceCredentialAllowed_credentialAuth</t>
  </si>
  <si>
    <t>testSetAllowedAuthenticators_credentialAndBiometricEnrolled_credentialAuth</t>
  </si>
  <si>
    <t>testNegativeButtonCallback</t>
  </si>
  <si>
    <t>testCancellationSignal</t>
  </si>
  <si>
    <t>isPublicAuthenticatorConstant</t>
  </si>
  <si>
    <t>testInvalidInputs</t>
  </si>
  <si>
    <t>testBiometricRejectDoesNotEndAuthentication</t>
  </si>
  <si>
    <t>test_getButtonLabel_isDifferentForBiometricAndCredential</t>
  </si>
  <si>
    <t>test_getPromptMessage_isDifferentForDifferentAuthenticators</t>
  </si>
  <si>
    <t>test_getPromptMessage_isNonEmptyIfPresentForSubAuthType</t>
  </si>
  <si>
    <t>singletonSet</t>
  </si>
  <si>
    <t>testSetEnterpriseNetworkPreferenceEnabledLogged</t>
  </si>
  <si>
    <t>testSetGetEnterpriseNetworkPreferenceStatus</t>
  </si>
  <si>
    <t>testSetEnterpriseNetworkPreferenceStatusLogged</t>
  </si>
  <si>
    <t>testSetGetEnterpriseNetworkPreferenceEnabled</t>
  </si>
  <si>
    <t>testSetViewId</t>
  </si>
  <si>
    <t>testSetViewIdFailsOnMultipleLayouts</t>
  </si>
  <si>
    <t>clearDeviceConfigKey</t>
  </si>
  <si>
    <t>setDeviceConfigKey</t>
  </si>
  <si>
    <t>executeDeviceConfigCommand</t>
  </si>
  <si>
    <t>testLastTimeComponentUsed_launchActivity</t>
  </si>
  <si>
    <t>testLastTimeComponentUsedGlobal_launchActivity</t>
  </si>
  <si>
    <t>testExternalTimeSuggestionEquals</t>
  </si>
  <si>
    <t>roundTripParcelable</t>
  </si>
  <si>
    <t>testExternalTimeSuggestionParcelable</t>
  </si>
  <si>
    <t>closeDialog</t>
  </si>
  <si>
    <t>verifyCloseDialog</t>
  </si>
  <si>
    <t>sendCloseDialog</t>
  </si>
  <si>
    <t>testSetPowerCap</t>
  </si>
  <si>
    <t>testCreateSynced</t>
  </si>
  <si>
    <t>testStartSynced</t>
  </si>
  <si>
    <t>testStartSyncedEmptyCombinationIsInvalid</t>
  </si>
  <si>
    <t>testSyncedEquals</t>
  </si>
  <si>
    <t>testSyncedNotEqualsDifferentEffect</t>
  </si>
  <si>
    <t>testSyncedNotEqualsDifferentVibrators</t>
  </si>
  <si>
    <t>testCreateSequential</t>
  </si>
  <si>
    <t>testStartSequentialEmptyCombinationIsInvalid</t>
  </si>
  <si>
    <t>testSequentialEquals</t>
  </si>
  <si>
    <t>testSequentialNotEqualsDifferentEffects</t>
  </si>
  <si>
    <t>testSequentialNotEqualsDifferentOrder</t>
  </si>
  <si>
    <t>testSequentialNotEqualsDifferentDelays</t>
  </si>
  <si>
    <t>testSequentialNotEqualsDifferentVibrator</t>
  </si>
  <si>
    <t>testParcelingSyncedMono</t>
  </si>
  <si>
    <t>testParcelingSyncedStereo</t>
  </si>
  <si>
    <t>testParcelingSequential</t>
  </si>
  <si>
    <t>testSyncedMonoCombinationDuration</t>
  </si>
  <si>
    <t>testSyncedStereoCombinationDuration</t>
  </si>
  <si>
    <t>testSyncedCombinationUnknownDuration</t>
  </si>
  <si>
    <t>testSyncedCombinationRepeatingDuration</t>
  </si>
  <si>
    <t>testSequentialCombinationDuration</t>
  </si>
  <si>
    <t>testSequentialCombinationUnknownDuration</t>
  </si>
  <si>
    <t>testSequentialCombinationRepeatingDuration</t>
  </si>
  <si>
    <t>testCombinedVibrationEffectsSingleVibratorId</t>
  </si>
  <si>
    <t>testCreateContentUriAsUser_nullUri_throwsNPE</t>
  </si>
  <si>
    <t>testCreateContentUriAsUser_nonContentUri_throwsIAE</t>
  </si>
  <si>
    <t>testCreateContentUriAsUser_UriWithDifferentUserID_throwsIAE</t>
  </si>
  <si>
    <t>testCreateContentUriAsUser_UriWithUserID_unchanged</t>
  </si>
  <si>
    <t>startListeningForBroadcast</t>
  </si>
  <si>
    <t>applyNightModeThenTest</t>
  </si>
  <si>
    <t>testGetDocuments_exist</t>
  </si>
  <si>
    <t>testGetDocuments_nonexist</t>
  </si>
  <si>
    <t>clearTestData</t>
  </si>
  <si>
    <t>runDeviceTestWithPlatformSignature</t>
  </si>
  <si>
    <t>testMTPAppWithoutPlatformSignatureCannotAccessAndroidDirs</t>
  </si>
  <si>
    <t>testMTPAppWithPlatformSignatureCanAccessAndroidDirs</t>
  </si>
  <si>
    <t>testExternalStorageProviderAndDownloadsProvider</t>
  </si>
  <si>
    <t>assertWritableMountModeForProvider</t>
  </si>
  <si>
    <t>testGetDocumentUri_Symmetry</t>
  </si>
  <si>
    <t>testRateLimitingToasts</t>
  </si>
  <si>
    <t>testNetworkScanRequest_ConstructorAndGetters</t>
  </si>
  <si>
    <t>testNetworkScanRequestParcel_Hashcode</t>
  </si>
  <si>
    <t>testNetworkScanRequestParcel_Equals</t>
  </si>
  <si>
    <t>testNetworkScanRequestParcel_Parcel</t>
  </si>
  <si>
    <t>testIsActive</t>
  </si>
  <si>
    <t>testRegisterControllerAlwaysOnStateCallback</t>
  </si>
  <si>
    <t>createSampleImageInMediaStore</t>
  </si>
  <si>
    <t>receiveUri</t>
  </si>
  <si>
    <t>testMultiUser_documentAccess</t>
  </si>
  <si>
    <t>testGlobalGetDocuments_exist</t>
  </si>
  <si>
    <t>testGlobalGetDocuments_nonexist</t>
  </si>
  <si>
    <t>getPostScriptName</t>
  </si>
  <si>
    <t>testRequestBluetoothPermission30_GrantLocation_RevokeNearby</t>
  </si>
  <si>
    <t>createClassProvider</t>
  </si>
  <si>
    <t>createAbstractClass</t>
  </si>
  <si>
    <t>runWithApiChecker</t>
  </si>
  <si>
    <t>createInterface</t>
  </si>
  <si>
    <t>method</t>
  </si>
  <si>
    <t>testSetOnCheckedChangePendingIntent</t>
  </si>
  <si>
    <t>if</t>
  </si>
  <si>
    <t>testSynchronizedRecord</t>
  </si>
  <si>
    <t>testMissingFields</t>
  </si>
  <si>
    <t>buildSearchSpecWithoutTermMatchType</t>
  </si>
  <si>
    <t>testBootClassPathAndSystemServerClasspath_nonDuplicateClasses</t>
  </si>
  <si>
    <t>testBootclasspath_nonDuplicateApexJarClasses</t>
  </si>
  <si>
    <t>testBootClassPathAndSystemServerClasspath_nonApexDuplicateClasses</t>
  </si>
  <si>
    <t>getEnvVariable</t>
  </si>
  <si>
    <t>pullFromDevice</t>
  </si>
  <si>
    <t>checkClassDuplicatesMatchAllowlist</t>
  </si>
  <si>
    <t>checkClassDuplicatesNotInApexJars</t>
  </si>
  <si>
    <t>pullJarsFromEnvVariable</t>
  </si>
  <si>
    <t>runWithTempDir</t>
  </si>
  <si>
    <t>DeviceFile</t>
  </si>
  <si>
    <t>getJarName</t>
  </si>
  <si>
    <t>lunchUceActivity</t>
  </si>
  <si>
    <t>finishUceActivity</t>
  </si>
  <si>
    <t>testParcelUnparcelImsConfiguration</t>
  </si>
  <si>
    <t>onImsConfigurationChanged</t>
  </si>
  <si>
    <t>onTransactionComplete</t>
  </si>
  <si>
    <t>waitForTransactionComplete</t>
  </si>
  <si>
    <t>BufferCycler</t>
  </si>
  <si>
    <t>getNextBuffer</t>
  </si>
  <si>
    <t>end</t>
  </si>
  <si>
    <t>createSurfaceTransaction</t>
  </si>
  <si>
    <t>applySurfaceTransaction</t>
  </si>
  <si>
    <t>deleteSurfaceTransaction</t>
  </si>
  <si>
    <t>applyAndDeleteSurfaceTransaction</t>
  </si>
  <si>
    <t>setBuffer</t>
  </si>
  <si>
    <t>setVisibility</t>
  </si>
  <si>
    <t>setBufferOpaque</t>
  </si>
  <si>
    <t>setGeometry</t>
  </si>
  <si>
    <t>setDamageRegion</t>
  </si>
  <si>
    <t>setZOrder</t>
  </si>
  <si>
    <t>setBufferAlpha</t>
  </si>
  <si>
    <t>reparent</t>
  </si>
  <si>
    <t>setColor</t>
  </si>
  <si>
    <t>setEnableBackPressure</t>
  </si>
  <si>
    <t>setOnCompleteCallback</t>
  </si>
  <si>
    <t>addBufferCycler</t>
  </si>
  <si>
    <t>setPosition</t>
  </si>
  <si>
    <t>setScale</t>
  </si>
  <si>
    <t>setBufferTransform</t>
  </si>
  <si>
    <t>setCrop</t>
  </si>
  <si>
    <t>testSurfaceTransaction_setEnableBackPressure</t>
  </si>
  <si>
    <t>testSurfaceTransaction_defaultBackPressureDisabled</t>
  </si>
  <si>
    <t>testServiceAvailable</t>
  </si>
  <si>
    <t>testGetOriginalMediaFormatFileDescriptor_returnsOriginalFileDescriptor</t>
  </si>
  <si>
    <t>testDupFilesExist</t>
  </si>
  <si>
    <t>getMapOfFilesAndJars</t>
  </si>
  <si>
    <t>getListOfBuiltJars</t>
  </si>
  <si>
    <t>getListOfFiles</t>
  </si>
  <si>
    <t>checkThisFile</t>
  </si>
  <si>
    <t>getNearbyAppStreamingPolicy_getsNearbyStreamingDisabledAsDefault</t>
  </si>
  <si>
    <t>setNearbyAppStreamingPolicy_changesPolicy</t>
  </si>
  <si>
    <t>getNearbyNotificationStreamingPolicy_getsNearbyStreamingDisabledAsDefault</t>
  </si>
  <si>
    <t>setNearbyNotificationStreamingPolicy_changesPolicy</t>
  </si>
  <si>
    <t>testGetNearbyNotificationStreamingPolicy</t>
  </si>
  <si>
    <t>testSetNearbyNotificationStreamingPolicy</t>
  </si>
  <si>
    <t>testGetNearbyAppStreamingPolicy</t>
  </si>
  <si>
    <t>testSetNearbyAppStreamingPolicy</t>
  </si>
  <si>
    <t>setLocationEnabledAndWait</t>
  </si>
  <si>
    <t>frameworkCall_notProfileOwner_throwsSecurityException</t>
  </si>
  <si>
    <t>executeDeviceTestClass</t>
  </si>
  <si>
    <t>testCheckCarrierPrivilegesForPackageAnyPhoneEnforcesReadPrivilege</t>
  </si>
  <si>
    <t>testCheckCarrierPrivilegesForPackageAnyPhoneThrowsExceptionWithoutReadPrivilege</t>
  </si>
  <si>
    <t>testRedactedUriCommon</t>
  </si>
  <si>
    <t>testRedactedUri_single</t>
  </si>
  <si>
    <t>testRedactedUri_list</t>
  </si>
  <si>
    <t>testQueryOnRedactionUri</t>
  </si>
  <si>
    <t>testSharedRedactedUri_openFdForWrite</t>
  </si>
  <si>
    <t>testSharedRedactedUri_openFdForRead</t>
  </si>
  <si>
    <t>testSharedRedactedUri_openFileForRead</t>
  </si>
  <si>
    <t>testSharedRedactedUri_query</t>
  </si>
  <si>
    <t>testSharedRedactedUri_openFileForRead_withLocationPerm</t>
  </si>
  <si>
    <t>testSharedRedactedUri_openFdForRead_withLocationPerm</t>
  </si>
  <si>
    <t>testUnsharedRedactedUri_openFdForRead</t>
  </si>
  <si>
    <t>testUnsharedRedactedUri_openFileForRead</t>
  </si>
  <si>
    <t>testGrantUriPermissionsForRedactedUri</t>
  </si>
  <si>
    <t>testDisallowedOperationsOnRedactedUri</t>
  </si>
  <si>
    <t>testOpenOnRedactedUri_file</t>
  </si>
  <si>
    <t>testOpenOnRedactedUri_write</t>
  </si>
  <si>
    <t>testOpenOnRedactedUri_inputstream</t>
  </si>
  <si>
    <t>testOpenOnRedactedUri_read</t>
  </si>
  <si>
    <t>shareAndGetRedactedUri</t>
  </si>
  <si>
    <t>getRedactedUri</t>
  </si>
  <si>
    <t>assertUriIsUnredacted</t>
  </si>
  <si>
    <t>assertUriIsRedacted</t>
  </si>
  <si>
    <t>getRedactedCursor</t>
  </si>
  <si>
    <t>getStringFromCursor</t>
  </si>
  <si>
    <t>stageImageFileWithMetadata</t>
  </si>
  <si>
    <t>isFuseDataIsolationIsEnabled</t>
  </si>
  <si>
    <t>testJobSchedulerServiceDump</t>
  </si>
  <si>
    <t>verifyJobSchedulerServiceDumpProto</t>
  </si>
  <si>
    <t>testConstantsProto</t>
  </si>
  <si>
    <t>testDataSetProto</t>
  </si>
  <si>
    <t>testJobPackageHistoryProto</t>
  </si>
  <si>
    <t>testJobPackageTrackerDumpProto</t>
  </si>
  <si>
    <t>testJobStatusShortInfoProto</t>
  </si>
  <si>
    <t>testJobStatusDumpProto</t>
  </si>
  <si>
    <t>testNetworkRequestProto</t>
  </si>
  <si>
    <t>testNetworkCapabilitesProto</t>
  </si>
  <si>
    <t>testStateControllerProto</t>
  </si>
  <si>
    <t>testRankingConfig</t>
  </si>
  <si>
    <t>verifyRankingHelperProto</t>
  </si>
  <si>
    <t>verifyRecordProto</t>
  </si>
  <si>
    <t>verifyZenModeProto</t>
  </si>
  <si>
    <t>verifyNotificationServiceDumpProto</t>
  </si>
  <si>
    <t>verifyManagedServicesProto</t>
  </si>
  <si>
    <t>verifyNotificationRecordProto</t>
  </si>
  <si>
    <t>verifyCloseSession</t>
  </si>
  <si>
    <t>sendCloseSession</t>
  </si>
  <si>
    <t>testInputMethod</t>
  </si>
  <si>
    <t>testMediaMetricsPlaybackId</t>
  </si>
  <si>
    <t>getMediaExtractorReportedPlaybackId</t>
  </si>
  <si>
    <t>setOverrides_securityExceptionForNonOverridableChangeId</t>
  </si>
  <si>
    <t>setOverrides_success</t>
  </si>
  <si>
    <t>setOverrides_fromVersion2</t>
  </si>
  <si>
    <t>setOverrides_untilVersion1</t>
  </si>
  <si>
    <t>setOverrides_securityExceptionForNotHoldingPermission</t>
  </si>
  <si>
    <t>testSecurityExceptionNonOverridableChangeId</t>
  </si>
  <si>
    <t>testSecurityExceptionMissingPermission</t>
  </si>
  <si>
    <t>testOverrideForAllVersions</t>
  </si>
  <si>
    <t>testOverrideForNewerVersion</t>
  </si>
  <si>
    <t>testOverrideForOlderVersion</t>
  </si>
  <si>
    <t>getVendorSepolicyVersionFromMajorMinor</t>
  </si>
  <si>
    <t>testEdgeEffectType</t>
  </si>
  <si>
    <t>verifyOnStart</t>
  </si>
  <si>
    <t>PowerPolicyHostTest</t>
  </si>
  <si>
    <t>testDefaultPowerPolicyStateMachine</t>
  </si>
  <si>
    <t>testPowerPolicyChange</t>
  </si>
  <si>
    <t>testPowerPolicySuspendToRAM</t>
  </si>
  <si>
    <t>testNewPowerPolicy</t>
  </si>
  <si>
    <t>startAndroidClient</t>
  </si>
  <si>
    <t>startTestCase</t>
  </si>
  <si>
    <t>endTestCase</t>
  </si>
  <si>
    <t>dumpPowerState</t>
  </si>
  <si>
    <t>dumpPowerPolicy</t>
  </si>
  <si>
    <t>applyPowerPolicy</t>
  </si>
  <si>
    <t>killAndroidClient</t>
  </si>
  <si>
    <t>makeSureAndroidClientRunning</t>
  </si>
  <si>
    <t>checkAndroidClientRunning</t>
  </si>
  <si>
    <t>getPidsOfProcess</t>
  </si>
  <si>
    <t>testOpenOutputStream_default_truncatesFile</t>
  </si>
  <si>
    <t>cacheOriginalHdrSettings</t>
  </si>
  <si>
    <t>testReadProjectionState_addOnProjectionStateChangeListenerDenied</t>
  </si>
  <si>
    <t>testReadProjectionState_removeOnProjectionStateChangeListenerDenied</t>
  </si>
  <si>
    <t>testDeviceOwnerCanRemoveConfig</t>
  </si>
  <si>
    <t>testManageExternalStorage_DoesntBypassDatabase</t>
  </si>
  <si>
    <t>GreenSurfaceAnchorView</t>
  </si>
  <si>
    <t>setUpAudioReference</t>
  </si>
  <si>
    <t>containerRadius_shouldBePositive</t>
  </si>
  <si>
    <t>innerRadius_shouldBePositive</t>
  </si>
  <si>
    <t>internalPadding_shouldBePositive</t>
  </si>
  <si>
    <t>invokeWithShellPermissionIdentity</t>
  </si>
  <si>
    <t>testForegroundService_deferredExistingNotification</t>
  </si>
  <si>
    <t>paramsForDeviceOwnerTest</t>
  </si>
  <si>
    <t>addParamsForDeviceOwnerTest</t>
  </si>
  <si>
    <t>testGetPackageUidCrossUserGrant</t>
  </si>
  <si>
    <t>testGetPackageUidCrossUserNoGrant</t>
  </si>
  <si>
    <t>testGetPackageGidsCrossUserGrant</t>
  </si>
  <si>
    <t>testGetPackageGidsCrossUserNoGrant</t>
  </si>
  <si>
    <t>testGetPackageUidVisibility_currentUser</t>
  </si>
  <si>
    <t>testGetPackageUidVisibility_anotherUserCrossUserGrant</t>
  </si>
  <si>
    <t>testGetPackageUidVisibility_anotherUserCrossUserNoGrant</t>
  </si>
  <si>
    <t>testGetPackageGidsVisibility_currentUser</t>
  </si>
  <si>
    <t>testGetPackageGidsVisibility_anotherUserCrossUserGrant</t>
  </si>
  <si>
    <t>testGetPackageGidsVisibility_anotherUserCrossUserNoGrant</t>
  </si>
  <si>
    <t>postTestTearDown</t>
  </si>
  <si>
    <t>testA11yWindowInfoHasCorrectLayer</t>
  </si>
  <si>
    <t>testA11yWindowInfoAndA11yNodeInfoHasCorrectBoundsInScreen</t>
  </si>
  <si>
    <t>testA11yWindowNotifyWhenResizeWindowInActivityView</t>
  </si>
  <si>
    <t>testA11yWindowNotifyWhenResizeWindowInActivityViewAfterServiceOffAndOn</t>
  </si>
  <si>
    <t>testA11yWindowNotifyAfterResizeWindowInActivityView</t>
  </si>
  <si>
    <t>launchActivityInActivityView</t>
  </si>
  <si>
    <t>getActivityView</t>
  </si>
  <si>
    <t>withPermissions_androidSAndAbove_restoresPreviousPermissionContext</t>
  </si>
  <si>
    <t>testManageCountryCodeMethodsOnROrOlder</t>
  </si>
  <si>
    <t>testResizeActivityView</t>
  </si>
  <si>
    <t>checkDisplaySize</t>
  </si>
  <si>
    <t>testAppStoppedWithVisibilityGone</t>
  </si>
  <si>
    <t>testAppStoppedWithVisibilityInvisible</t>
  </si>
  <si>
    <t>testAppStopAndStartWithVisibilityChange</t>
  </si>
  <si>
    <t>getActivityViewBoundsOnScreen</t>
  </si>
  <si>
    <t>testPackageRemove</t>
  </si>
  <si>
    <t>testPocCVE_2020_0408</t>
  </si>
  <si>
    <t>killService</t>
  </si>
  <si>
    <t>testInstallBaseWithFsvSigIncrementally</t>
  </si>
  <si>
    <t>testInstallEverythingWithFsvSigIncrementally</t>
  </si>
  <si>
    <t>assumeIncrementalDeliveryFeature</t>
  </si>
  <si>
    <t>assumeIncrementalDeliveryV2Feature</t>
  </si>
  <si>
    <t>setDeviceOwner_userAlreadyOnDevice_throwsException</t>
  </si>
  <si>
    <t>dismissedSplitScreen</t>
  </si>
  <si>
    <t>ProfileReader</t>
  </si>
  <si>
    <t>testSetUserControlDisabledPackages</t>
  </si>
  <si>
    <t>setPreCreatedUsersProperties</t>
  </si>
  <si>
    <t>setPreCreatedGuestsProperties</t>
  </si>
  <si>
    <t>restartSystemWithOnePreCreatedUserOrGuest</t>
  </si>
  <si>
    <t>testSingleTranslation_deprecatedSyncCreateTranslator</t>
  </si>
  <si>
    <t>testSetLockTaskPackages</t>
  </si>
  <si>
    <t>testRequestCapabilities</t>
  </si>
  <si>
    <t>ClientSuggestionsInlineTest</t>
  </si>
  <si>
    <t>isInlineMode</t>
  </si>
  <si>
    <t>testImeDisableClientSuggestions_showDropdownUi</t>
  </si>
  <si>
    <t>testImeDisableClientSuggestions_fallbackThenShowInline</t>
  </si>
  <si>
    <t>testImeDisableServiceSuggestions_fallbackThenShowDropdownUi</t>
  </si>
  <si>
    <t>testImeDisableServiceSuggestions_fallbackDropdownUi</t>
  </si>
  <si>
    <t>setOverride_securityExceptionForNonOverridableChangeId</t>
  </si>
  <si>
    <t>setOverride_success</t>
  </si>
  <si>
    <t>setOverride_fromVersion2</t>
  </si>
  <si>
    <t>setOverride_untilVersion1</t>
  </si>
  <si>
    <t>setOverride_securityExceptionForNotHoldingPermission</t>
  </si>
  <si>
    <t>clearOverride_securityExceptionForNonOverridableChangeId</t>
  </si>
  <si>
    <t>clearOverride_doesNothingIfOverrideNotPresent</t>
  </si>
  <si>
    <t>clearOverride_overridePresentSuccess</t>
  </si>
  <si>
    <t>clearOverride_securityExceptionForNotHoldingPermission</t>
  </si>
  <si>
    <t>testSetOverrideSecurityExceptionNonOverridableChangeId</t>
  </si>
  <si>
    <t>testSetOverrideSecurityExceptionMissingPermission</t>
  </si>
  <si>
    <t>testSetOverrideForAllVersions</t>
  </si>
  <si>
    <t>testSetOverrideForNewerVersion</t>
  </si>
  <si>
    <t>testSetOverrideForOlderVersion</t>
  </si>
  <si>
    <t>testClearOverrideSecurityExceptionNonOverridableChangeId</t>
  </si>
  <si>
    <t>testClearOverrideSecurityExceptionMissingPermission</t>
  </si>
  <si>
    <t>testClearOverrideWhenOverrideNotPresent</t>
  </si>
  <si>
    <t>testClearOverrideWhenOverridePresent</t>
  </si>
  <si>
    <t>testIsLockTaskPermittedIncludesPolicyExemptApps</t>
  </si>
  <si>
    <t>testIsLockTaskPermitted_includesPolicyExemptApps</t>
  </si>
  <si>
    <t>testLockTask_policyExemptApps</t>
  </si>
  <si>
    <t>TestTranslationStateCallback</t>
  </si>
  <si>
    <t>getStartedLanguagePair</t>
  </si>
  <si>
    <t>isOnStartedCalled</t>
  </si>
  <si>
    <t>isOnFinishedCalled</t>
  </si>
  <si>
    <t>isOnPausedCalled</t>
  </si>
  <si>
    <t>isOnResumedCalled</t>
  </si>
  <si>
    <t>onResumed</t>
  </si>
  <si>
    <t>onPaused</t>
  </si>
  <si>
    <t>testSetLockTaskPackagesIgnoresExemptApps</t>
  </si>
  <si>
    <t>testSetLockTaskFeatures</t>
  </si>
  <si>
    <t>ignoreOnHeadlessSystemUserMode</t>
  </si>
  <si>
    <t>testCannotAccessApis</t>
  </si>
  <si>
    <t>testEnablingSecurityLogging</t>
  </si>
  <si>
    <t>testGenerateLogs</t>
  </si>
  <si>
    <t>testVerifyGeneratedLogs</t>
  </si>
  <si>
    <t>testSecurityLoggingRetrievalRateLimited</t>
  </si>
  <si>
    <t>testDisablingSecurityLogging</t>
  </si>
  <si>
    <t>failToCreateUser</t>
  </si>
  <si>
    <t>grantUserReadPhoneStatePermission</t>
  </si>
  <si>
    <t>revokeUserReadPhoneStatePermission</t>
  </si>
  <si>
    <t>testActivityNotBlockedWhenForegroundActivityLaunchInDifferentTask</t>
  </si>
  <si>
    <t>testHotwordDetectionService_withoutAllowTriggerPermission_triggerFailure</t>
  </si>
  <si>
    <t>createAndVerifyHotwordDetectionServiceBindSuccess</t>
  </si>
  <si>
    <t>testOnDetect</t>
  </si>
  <si>
    <t>testBuilder_mixingAdders</t>
  </si>
  <si>
    <t>encodeToMemory</t>
  </si>
  <si>
    <t>findByteBufferColorFormat</t>
  </si>
  <si>
    <t>decodeElementaryStream</t>
  </si>
  <si>
    <t>setUpParams</t>
  </si>
  <si>
    <t>testDeprecatedConfig</t>
  </si>
  <si>
    <t>verifyRegisteredAndSendOldSipConfig</t>
  </si>
  <si>
    <t>generateOldConfig</t>
  </si>
  <si>
    <t>notifyImsConfigurationUpdate</t>
  </si>
  <si>
    <t>rebootForcedSilent</t>
  </si>
  <si>
    <t>restoreFromForcedSilentMode</t>
  </si>
  <si>
    <t>testReadSuccessAndFailure</t>
  </si>
  <si>
    <t>testReadSuccessAndFailureException</t>
  </si>
  <si>
    <t>BlockFilterController</t>
  </si>
  <si>
    <t>allowDisable</t>
  </si>
  <si>
    <t>noop</t>
  </si>
  <si>
    <t>stopSendingBlocks</t>
  </si>
  <si>
    <t>testPublicSettingsKeysAreReadable</t>
  </si>
  <si>
    <t>assertIntentExtraValueAsExpectation</t>
  </si>
  <si>
    <t>pollOrFail_hasEvent_returnsEvent</t>
  </si>
  <si>
    <t>pollOrFail_differentPackage_hasEvent_returnsEvent</t>
  </si>
  <si>
    <t>pollOrFail_noEvent_throwsException</t>
  </si>
  <si>
    <t>pollOrFail_loggedAfter_throwsException</t>
  </si>
  <si>
    <t>pollOrFail_differentPackage_noEvent_throwsException</t>
  </si>
  <si>
    <t>pollOrFail_differentPackage_loggedAfter_throwsException</t>
  </si>
  <si>
    <t>pollOrFail_loggedAfter_returnsEvent</t>
  </si>
  <si>
    <t>pollOrFail_differentPackage_loggedAfter_returnsEvent</t>
  </si>
  <si>
    <t>testSettingsKeysNotReadableForAfterR</t>
  </si>
  <si>
    <t>testSettingsKeysReadableForRMinus</t>
  </si>
  <si>
    <t>testOffsetLocation</t>
  </si>
  <si>
    <t>testNfcSetControllerAlwaysOnPermission</t>
  </si>
  <si>
    <t>testBlobAccessAcrossUsers</t>
  </si>
  <si>
    <t>getDumpsysLogicalAddress</t>
  </si>
  <si>
    <t>testStartLockTask</t>
  </si>
  <si>
    <t>doNotTestCallWithoutThirdPartyApp</t>
  </si>
  <si>
    <t>doNotTestCallWithCompanionApps</t>
  </si>
  <si>
    <t>addAndVerifyNewIncomingCallInCarMode</t>
  </si>
  <si>
    <t>assertBindStatus</t>
  </si>
  <si>
    <t>assertCallCount</t>
  </si>
  <si>
    <t>cacheCurrentRoleHolder</t>
  </si>
  <si>
    <t>ProfileReaderV13</t>
  </si>
  <si>
    <t>readSection</t>
  </si>
  <si>
    <t>skipSection</t>
  </si>
  <si>
    <t>testCannotFinish</t>
  </si>
  <si>
    <t>testUpdateAllowlist</t>
  </si>
  <si>
    <t>testUpdateAllowlist_twoTasks</t>
  </si>
  <si>
    <t>testGetMediaKeyEventSession</t>
  </si>
  <si>
    <t>TestResultEntry</t>
  </si>
  <si>
    <t>testOemManagedBytesTransfer</t>
  </si>
  <si>
    <t>doTestOemManagedBytesTransferThat</t>
  </si>
  <si>
    <t>remote</t>
  </si>
  <si>
    <t>testAppLinks_verificationStatus</t>
  </si>
  <si>
    <t>testAppLinks_enabledStatus</t>
  </si>
  <si>
    <t>changeVerificationStatus</t>
  </si>
  <si>
    <t>assertAppLinkResult</t>
  </si>
  <si>
    <t>testActionScheduleExactAlarmPermissionStateChanged</t>
  </si>
  <si>
    <t>isDeadlineReached</t>
  </si>
  <si>
    <t>testNetworkInterface</t>
  </si>
  <si>
    <t>testIsUiContextOnInputMethodService</t>
  </si>
  <si>
    <t>reference</t>
  </si>
  <si>
    <t>startLockTaskAndWait</t>
  </si>
  <si>
    <t>stopLockTaskAndWait</t>
  </si>
  <si>
    <t>testGenerateKeyPairLogged</t>
  </si>
  <si>
    <t>testDelegatedCertInstallerDirectly</t>
  </si>
  <si>
    <t>testSetKeyGrant</t>
  </si>
  <si>
    <t>testSetKeyPairCertificateLogged</t>
  </si>
  <si>
    <t>testFgsSticky</t>
  </si>
  <si>
    <t>AppReads</t>
  </si>
  <si>
    <t>testInstallWithIdSigNoDigesting</t>
  </si>
  <si>
    <t>TestAppBroadcastReceiverReference</t>
  </si>
  <si>
    <t>testAppInstance</t>
  </si>
  <si>
    <t>component</t>
  </si>
  <si>
    <t>RegisteredBroadcastReceiverInfo</t>
  </si>
  <si>
    <t>registerReceiverForAllUsers</t>
  </si>
  <si>
    <t>locallyUnregisterReceiver</t>
  </si>
  <si>
    <t>testStartActivity_withinTask</t>
  </si>
  <si>
    <t>testStartActivity_withinTask_blockInTask</t>
  </si>
  <si>
    <t>testStartActivity_newTask_blockInTask</t>
  </si>
  <si>
    <t>testStartActivity_outsideTaskAllowed</t>
  </si>
  <si>
    <t>testStartActivity_outsideTaskNotAllowed</t>
  </si>
  <si>
    <t>testActivityOptions_allowed</t>
  </si>
  <si>
    <t>testActivityOptions_notAllowed</t>
  </si>
  <si>
    <t>startLockTaskWithOptions</t>
  </si>
  <si>
    <t>createReceiverActivityIntent</t>
  </si>
  <si>
    <t>testLastAnyTimeComponentUsed_launchActivity</t>
  </si>
  <si>
    <t>testLastTimeAnyComponentUsedGlobal_launchActivity</t>
  </si>
  <si>
    <t>testTunneledVideoPeek</t>
  </si>
  <si>
    <t>testTunneledVideoPeekHevc</t>
  </si>
  <si>
    <t>testTunneledVideoPeekAvc</t>
  </si>
  <si>
    <t>testTunneledVideoPeekVp9</t>
  </si>
  <si>
    <t>testCameraSPerfClassCharacteristics</t>
  </si>
  <si>
    <t>withPackageName</t>
  </si>
  <si>
    <t>testDocument_toBuilder</t>
  </si>
  <si>
    <t>hasDefaultHandlerForIntent</t>
  </si>
  <si>
    <t>whereActivity_customValueOnLogger_works</t>
  </si>
  <si>
    <t>whereActivity_customValueOnLogger_skipsNonMatching</t>
  </si>
  <si>
    <t>whereActivity_defaultValue_works</t>
  </si>
  <si>
    <t>whereActivity_defaultValue_skipsNonMatching</t>
  </si>
  <si>
    <t>classConstructor_setsClassName</t>
  </si>
  <si>
    <t>instanceConstructor_setsClassName</t>
  </si>
  <si>
    <t>stringConstructor_setsClassName</t>
  </si>
  <si>
    <t>simpleName_getsSimpleName</t>
  </si>
  <si>
    <t>matches_isSameClassAs_doesMatch_returnsTrue</t>
  </si>
  <si>
    <t>matches_isSameClassAs_doesNotMatch_returnsFalse</t>
  </si>
  <si>
    <t>matches_className_doesMatch_returnsTrue</t>
  </si>
  <si>
    <t>matches_className_doesNotMatch_returnsFalse</t>
  </si>
  <si>
    <t>matches_simpleName_doesMatch_returnsTrue</t>
  </si>
  <si>
    <t>matches_simpleName_doesNotMatch_returnsFalse</t>
  </si>
  <si>
    <t>initActivities</t>
  </si>
  <si>
    <t>testManifestArgument_allowed</t>
  </si>
  <si>
    <t>testManifestArgument_notAllowed</t>
  </si>
  <si>
    <t>testManifestArgument_cannotFinish</t>
  </si>
  <si>
    <t>assertLockTaskModeActive</t>
  </si>
  <si>
    <t>stopAndFinish</t>
  </si>
  <si>
    <t>finishAndWait</t>
  </si>
  <si>
    <t>stopLockTask</t>
  </si>
  <si>
    <t>testManifestArgument_updateAllowlist</t>
  </si>
  <si>
    <t>assertLockTaskModeInactive</t>
  </si>
  <si>
    <t>waitForResume</t>
  </si>
  <si>
    <t>getLockTaskUtility</t>
  </si>
  <si>
    <t>internetPanel_seeMoreButton_launchesIntoSettings</t>
  </si>
  <si>
    <t>testTunneledVideoPeekDefault</t>
  </si>
  <si>
    <t>testTunneledVideoPeekDefaultHevc</t>
  </si>
  <si>
    <t>testTunneledVideoPeekDefaultAvc</t>
  </si>
  <si>
    <t>testTunneledVideoPeekDefaultVp9</t>
  </si>
  <si>
    <t>testTunneledVideoPeekOff</t>
  </si>
  <si>
    <t>testTunneledVideoPeekOffHevc</t>
  </si>
  <si>
    <t>testTunneledVideoPeekOffAvc</t>
  </si>
  <si>
    <t>testTunneledVideoPeekOffVp9</t>
  </si>
  <si>
    <t>testDefaultNotInSettings</t>
  </si>
  <si>
    <t>testUninstalledPkgsNotInSettings</t>
  </si>
  <si>
    <t>testMultipleDevOptionsAngleDefault</t>
  </si>
  <si>
    <t>testMultipleDevOptionsAngleNativeUninstall</t>
  </si>
  <si>
    <t>pushRulesFile</t>
  </si>
  <si>
    <t>setAndValidateAngleDevOptionAllowlist</t>
  </si>
  <si>
    <t>testEmptyRulesFile</t>
  </si>
  <si>
    <t>testEnableAngleRulesFile</t>
  </si>
  <si>
    <t>AdaptivePlayback</t>
  </si>
  <si>
    <t>doAdaptivePlaybackAndCalculateFrameDrop</t>
  </si>
  <si>
    <t>DecodeToSurfaceFrameDrop</t>
  </si>
  <si>
    <t>doDecodeAndCalculateFrameDrop</t>
  </si>
  <si>
    <t>MultiTranscoderPairPerfTest</t>
  </si>
  <si>
    <t>inputParams</t>
  </si>
  <si>
    <t>test720p</t>
  </si>
  <si>
    <t>isSyncDisabled</t>
  </si>
  <si>
    <t>testLastTimeAnyComponentUsed_JobServiceShouldBeIngnored</t>
  </si>
  <si>
    <t>testLoadingProgressPersistsAfterReboot</t>
  </si>
  <si>
    <t>testLoadingProgressNotShownWhenFullyLoaded</t>
  </si>
  <si>
    <t>setUpFormat</t>
  </si>
  <si>
    <t>getMimesOfAvailableHardwareVideoEncoders</t>
  </si>
  <si>
    <t>setUpEncoderFormat</t>
  </si>
  <si>
    <t>dequeueEncoderOutput</t>
  </si>
  <si>
    <t>setUpFormats</t>
  </si>
  <si>
    <t>createRenouncingContext</t>
  </si>
  <si>
    <t>performOnDetect</t>
  </si>
  <si>
    <t>verifyExpectedUnderlyingNetworkCapabilities</t>
  </si>
  <si>
    <t>disableChange</t>
  </si>
  <si>
    <t>testItemWithNegativeEstimatedBytes</t>
  </si>
  <si>
    <t>setProviderModeOverride</t>
  </si>
  <si>
    <t>DeviceConfigShellCommand</t>
  </si>
  <si>
    <t>getSyncDisabled</t>
  </si>
  <si>
    <t>setSyncDisabled</t>
  </si>
  <si>
    <t>resetToDefaults</t>
  </si>
  <si>
    <t>executeShellCommandInternal</t>
  </si>
  <si>
    <t>resetLogs_get_doesNotReturnLogs</t>
  </si>
  <si>
    <t>resetLogs_differentPackage_get_doesNotReturnLogs</t>
  </si>
  <si>
    <t>resetLogs_next_doesNotReturnLogs</t>
  </si>
  <si>
    <t>resetLogs_differentPackage_next_doesNotReturnLogs</t>
  </si>
  <si>
    <t>get_nothingLogged_returnsNull</t>
  </si>
  <si>
    <t>get_differentPackage_nothingLogged_returnsNull</t>
  </si>
  <si>
    <t>next_nothingLogged_returnsNull</t>
  </si>
  <si>
    <t>next_differentPackage_nothingLogged_returnsNull</t>
  </si>
  <si>
    <t>get_loggedOnTwoPackages_returnsEventFromQueriedPackage</t>
  </si>
  <si>
    <t>next_loggedOnTwoPackages_returnsEventFromQueriedPackage</t>
  </si>
  <si>
    <t>get_alreadyLogged_returnsEvent</t>
  </si>
  <si>
    <t>get_differentPackage_alreadyLogged_returnsEvent</t>
  </si>
  <si>
    <t>next_alreadyLogged_returnsFirstEvent</t>
  </si>
  <si>
    <t>next_differentPackage_alreadyLogged_returnsFirstEvent</t>
  </si>
  <si>
    <t>next_hasReturnedAllEvents_returnsNull</t>
  </si>
  <si>
    <t>next_differentPackage_hasReturnedAllEvents_returnsNull</t>
  </si>
  <si>
    <t>next_previouslyCalledNext_returnsNextUnseenEvent</t>
  </si>
  <si>
    <t>next_differentPackage_previouslyCalledNext_returnsNextUnseenEvent</t>
  </si>
  <si>
    <t>next_previouslyPolled_returnsNextUnseenEvent</t>
  </si>
  <si>
    <t>next_differentPackage_previouslyPolled_returnsNextUnseenEvent</t>
  </si>
  <si>
    <t>poll_previouslyCalledNext_returnsNextUnseenEvent</t>
  </si>
  <si>
    <t>poll_differentPackage_previouslyCalledNext_returnsNextUnseenEvent</t>
  </si>
  <si>
    <t>get_loggedPreviouslyWithDifferentData_returnsCorrectEvent</t>
  </si>
  <si>
    <t>get_differentPackage_loggedPreviouslyWithDifferentData_returnsCorrectEvent</t>
  </si>
  <si>
    <t>next_loggedPreviouslyWithDifferentData_returnsCorrectEvent</t>
  </si>
  <si>
    <t>next_differentPackage_loggedPreviouslyWithDifferentData_returnsCorrectEvent</t>
  </si>
  <si>
    <t>get_multipleLoggedEvents_returnsFirstEvent</t>
  </si>
  <si>
    <t>get_differentPackage_multipleLoggedEvents_returnsFirstEvent</t>
  </si>
  <si>
    <t>get_multipleCalls_alwaysReturnsFirstEvent</t>
  </si>
  <si>
    <t>get_differentPackage_multipleCalls_alwaysReturnsFirstEvent</t>
  </si>
  <si>
    <t>get_loggedAfter_returnsNull</t>
  </si>
  <si>
    <t>get_differentPackage_loggedAfter_returnsNull</t>
  </si>
  <si>
    <t>next_loggedAfter_returnsNull</t>
  </si>
  <si>
    <t>next_differentPackage_loggedAfter_returnsNull</t>
  </si>
  <si>
    <t>next_loggedAfterPreviousCallToNext_returnsNewEvent</t>
  </si>
  <si>
    <t>next_differentPackage_loggedAfterPreviousCallToNext_returnsNewEvent</t>
  </si>
  <si>
    <t>next_calledOnSeparateQuery_returnsFromStartsAgain</t>
  </si>
  <si>
    <t>next_differentPackage_calledOnSeparateQuery_returnsFromStartsAgain</t>
  </si>
  <si>
    <t>get_obeysLambdaFilter</t>
  </si>
  <si>
    <t>get_differentPackage_obeysLambdaFilter</t>
  </si>
  <si>
    <t>next_obeysLambdaFilter</t>
  </si>
  <si>
    <t>next_differentPackage_obeysLambdaFilter</t>
  </si>
  <si>
    <t>get_obeysMultipleLambdaFilters</t>
  </si>
  <si>
    <t>get_differentPackage_obeysMultipleLambdaFilters</t>
  </si>
  <si>
    <t>next_obeysMultipleLambdaFilters</t>
  </si>
  <si>
    <t>next_differentPackage_obeysMultipleLambdaFilters</t>
  </si>
  <si>
    <t>matches_containsAtLeast_doesContain_returnsTrue</t>
  </si>
  <si>
    <t>matches_containsAtLeast_doesNotContain_returnsFalse</t>
  </si>
  <si>
    <t>testUninstallPackageWithKeepDataAndReboot</t>
  </si>
  <si>
    <t>uninstallPackageWithKeepData</t>
  </si>
  <si>
    <t>GlVboPerfTest</t>
  </si>
  <si>
    <t>testVboWithVaryingIndexBufferNumbers</t>
  </si>
  <si>
    <t>testVboVsNonVboPerfGeometry0</t>
  </si>
  <si>
    <t>testVboVsNonVboPerfGeometry1</t>
  </si>
  <si>
    <t>runRendering</t>
  </si>
  <si>
    <t>cleanUpActivity</t>
  </si>
  <si>
    <t>doRunVboVsNonVboPerfTest</t>
  </si>
  <si>
    <t>findMinMax</t>
  </si>
  <si>
    <t>testResetPasswordWithTokenLogged</t>
  </si>
  <si>
    <t>testRollbackFailsBlockingSessions</t>
  </si>
  <si>
    <t>RectChecker</t>
  </si>
  <si>
    <t>getBoundsToCheck</t>
  </si>
  <si>
    <t>MultiRectChecker</t>
  </si>
  <si>
    <t>testHotwordDetectedResultParcelizeDeparcelize</t>
  </si>
  <si>
    <t>testNoNetlinkRouteGetneigh</t>
  </si>
  <si>
    <t>testNetlinkRouteGetneigh</t>
  </si>
  <si>
    <t>testDex2oat</t>
  </si>
  <si>
    <t>getProfileVersion</t>
  </si>
  <si>
    <t>testLockTaskCanLaunchDefaultDialer</t>
  </si>
  <si>
    <t>launchDialerIntoLockTaskMode</t>
  </si>
  <si>
    <t>testLockTaskCanLaunchEmergencyDialer</t>
  </si>
  <si>
    <t>launchEmergencyDialer</t>
  </si>
  <si>
    <t>getEmergencyDialerPackageName</t>
  </si>
  <si>
    <t>testLockTask_emergencyDialer</t>
  </si>
  <si>
    <t>waitForLockTaskModeStateNone</t>
  </si>
  <si>
    <t>testLockTaskIsExitedIfNotAllowed</t>
  </si>
  <si>
    <t>waitAndCheckLockedActivityIsPaused</t>
  </si>
  <si>
    <t>testLockTask_exitIfNoLongerAllowed</t>
  </si>
  <si>
    <t>sendCheckUriPermission</t>
  </si>
  <si>
    <t>frankenDevice</t>
  </si>
  <si>
    <t>testStartLockTask_noAsserts</t>
  </si>
  <si>
    <t>testCleanupLockTask_noAsserts</t>
  </si>
  <si>
    <t>testLockTaskIsActiveAndCantBeInterrupted</t>
  </si>
  <si>
    <t>checkLockedActivityIsRunning</t>
  </si>
  <si>
    <t>waitAndEnsureLockTaskUtilityActivityIsRunning</t>
  </si>
  <si>
    <t>waitAndCheckLockedActivityIsResumed</t>
  </si>
  <si>
    <t>launchLockTaskActivity</t>
  </si>
  <si>
    <t>launchLockTaskUtilityActivityWithoutStartingLockTask</t>
  </si>
  <si>
    <t>setLockTaskPackages</t>
  </si>
  <si>
    <t>setDefaultHomeIntentReceiver</t>
  </si>
  <si>
    <t>testLockTaskAfterReboot</t>
  </si>
  <si>
    <t>testLockTaskAfterReboot_tryOpeningSettings</t>
  </si>
  <si>
    <t>getTestMarker</t>
  </si>
  <si>
    <t>onMethodCalled</t>
  </si>
  <si>
    <t>expectMethodCalled</t>
  </si>
  <si>
    <t>assertCalledOnce</t>
  </si>
  <si>
    <t>assertNotCalled</t>
  </si>
  <si>
    <t>triggerUnbindInput</t>
  </si>
  <si>
    <t>testInputConnection</t>
  </si>
  <si>
    <t>expectElapseTimeLessThan</t>
  </si>
  <si>
    <t>createTestCharSequence</t>
  </si>
  <si>
    <t>assertEqualsForTestCharSequence</t>
  </si>
  <si>
    <t>testGetTextAfterCursor</t>
  </si>
  <si>
    <t>testGetTextAfterCursorFailWithTimeout</t>
  </si>
  <si>
    <t>testGetTextAfterCursorFailFastAfterUnbindInput</t>
  </si>
  <si>
    <t>testGetTextBeforeCursor</t>
  </si>
  <si>
    <t>testGetTextBeforeCursorFailWithTimeout</t>
  </si>
  <si>
    <t>testGetTextBeforeCursorFailFastAfterUnbindInput</t>
  </si>
  <si>
    <t>testGetSelectedText</t>
  </si>
  <si>
    <t>testGetSelectedTextFailWithTimeout</t>
  </si>
  <si>
    <t>testGetSelectedTextFailFastAfterUnbindInput</t>
  </si>
  <si>
    <t>testGetSurroundingText</t>
  </si>
  <si>
    <t>testGetSurroundingTextFailWithTimeout</t>
  </si>
  <si>
    <t>testGetSurroundingTextFailFastAfterUnbindInput</t>
  </si>
  <si>
    <t>testGetCursorCapsMode</t>
  </si>
  <si>
    <t>testGetCursorCapsModeFailWithTimeout</t>
  </si>
  <si>
    <t>testGetCursorCapsModeFailFastAfterUnbindInput</t>
  </si>
  <si>
    <t>testGetExtractedText</t>
  </si>
  <si>
    <t>testGetExtractedTextFailWithTimeout</t>
  </si>
  <si>
    <t>testGetExtractedTextFailFastAfterUnbindInput</t>
  </si>
  <si>
    <t>testRequestCursorUpdates</t>
  </si>
  <si>
    <t>testRequestCursorUpdatesFailWithTimeout</t>
  </si>
  <si>
    <t>testRequestCursorUpdatesFailFastAfterUnbindInput</t>
  </si>
  <si>
    <t>testCommitContentFailWithTimeout</t>
  </si>
  <si>
    <t>testCommitContentFailFastAfterUnbindInput</t>
  </si>
  <si>
    <t>isWallpaperManagerAccessible</t>
  </si>
  <si>
    <t>testSecondarySuggestion</t>
  </si>
  <si>
    <t>testSettingPasswordQualityDoesNotAffectParent</t>
  </si>
  <si>
    <t>verifyCarPropertyConfig</t>
  </si>
  <si>
    <t>verifyContinuousCarPropertyConfig</t>
  </si>
  <si>
    <t>verifyOnchangeCarPropertyConfig</t>
  </si>
  <si>
    <t>verifyCarPropertyValue</t>
  </si>
  <si>
    <t>isExpectedTextViewEvent</t>
  </si>
  <si>
    <t>internetPanel_correctPackage</t>
  </si>
  <si>
    <t>internetPanel_doneClosesPanel</t>
  </si>
  <si>
    <t>launchInternetPanel</t>
  </si>
  <si>
    <t>testBackgroundConnectivityJobsThrottled</t>
  </si>
  <si>
    <t>testTransferTime</t>
  </si>
  <si>
    <t>assertFilesAreEqual</t>
  </si>
  <si>
    <t>addChildWindow</t>
  </si>
  <si>
    <t>temporarilySkipActivityLaunch</t>
  </si>
  <si>
    <t>testCreateSessionInStoppedUser</t>
  </si>
  <si>
    <t>createSessionInStoppedUser</t>
  </si>
  <si>
    <t>testLogSessionId</t>
  </si>
  <si>
    <t>testMediaMetricsLogSessionId</t>
  </si>
  <si>
    <t>assumeStrongBox</t>
  </si>
  <si>
    <t>updateBackgroundSettleTime</t>
  </si>
  <si>
    <t>resetBackgroundSettleTime</t>
  </si>
  <si>
    <t>unForceStopTestApp</t>
  </si>
  <si>
    <t>testSeparateProfileChallengePermissions</t>
  </si>
  <si>
    <t>setHiddenApiPolicyOn</t>
  </si>
  <si>
    <t>setHiddenApiPolicyPreviousOrOff</t>
  </si>
  <si>
    <t>executeSeparateProfileChallengeTest</t>
  </si>
  <si>
    <t>validateRingtoneManagerGetRingtone</t>
  </si>
  <si>
    <t>testSoundDisableSync</t>
  </si>
  <si>
    <t>testRingtoneDisableSync</t>
  </si>
  <si>
    <t>testNotificationDisableSync</t>
  </si>
  <si>
    <t>testAlarmDisableSync</t>
  </si>
  <si>
    <t>testClearSharedPrefs</t>
  </si>
  <si>
    <t>testCheckSharedPrefsDontExist</t>
  </si>
  <si>
    <t>testSaveValuesToSharedPrefs</t>
  </si>
  <si>
    <t>testCheckSharedPrefsExist</t>
  </si>
  <si>
    <t>testAddNetworkPrivilegedFailureBadEnterpriseConfig</t>
  </si>
  <si>
    <t>testCropRect</t>
  </si>
  <si>
    <t>drawBorder</t>
  </si>
  <si>
    <t>assertBitmapEdgeColor</t>
  </si>
  <si>
    <t>failBitmap</t>
  </si>
  <si>
    <t>assertBitmapColor</t>
  </si>
  <si>
    <t>assertBitmapNotColor</t>
  </si>
  <si>
    <t>testOnMediaKeyEventSessionChangedListener_nullNotificationListener_throwsNPE</t>
  </si>
  <si>
    <t>testOnMediaKeyEventSessionChangedListener_invalidNotificationListener_throwsSE</t>
  </si>
  <si>
    <t>testGetMediaKeyEventSession_nullNotificationListener_throwsNPE</t>
  </si>
  <si>
    <t>testGetMediaKeyEventSession_invalidNotificationListener_throwsSecurityException</t>
  </si>
  <si>
    <t>testGetMediaKeyEventSessionPackageName_nullNotificationListener_throwsNPE</t>
  </si>
  <si>
    <t>testGetMediaKeyEventSessionPackageName_invalidListener_throwsSecurityException</t>
  </si>
  <si>
    <t>testInsecureEnterpriseConfigurationsRejected</t>
  </si>
  <si>
    <t>resourceToUri</t>
  </si>
  <si>
    <t>generateNewUri</t>
  </si>
  <si>
    <t>generateInvalidTranscodingUri</t>
  </si>
  <si>
    <t>createMediaFormat</t>
  </si>
  <si>
    <t>shouldSkip</t>
  </si>
  <si>
    <t>testCreateTranscodingRequestWithNullDestinationUri</t>
  </si>
  <si>
    <t>testCreateTranscodingWithInvalidClientPid</t>
  </si>
  <si>
    <t>testCreateTranscodingWithInvalidClientUid</t>
  </si>
  <si>
    <t>testCreateTranscodingRequestWithNullSourceUri</t>
  </si>
  <si>
    <t>testCreateTranscodingRequestWithoutSourceUri</t>
  </si>
  <si>
    <t>testCreateTranscodingRequestWithoutDestinationUri</t>
  </si>
  <si>
    <t>testCreateTranscodingRequestWithoutVideoFormat</t>
  </si>
  <si>
    <t>testTranscodingWithExpectResult</t>
  </si>
  <si>
    <t>testTranscodingInvalidSrcUri</t>
  </si>
  <si>
    <t>testTranscodingToResFolder</t>
  </si>
  <si>
    <t>testTranscodingToCacheDir</t>
  </si>
  <si>
    <t>testTranscodingToInternalFilesDir</t>
  </si>
  <si>
    <t>testAvcTranscoding1080PVideo30FramesWithoutAudio</t>
  </si>
  <si>
    <t>testHevcTranscoding1080PVideo30FramesWithoutAudio</t>
  </si>
  <si>
    <t>testHevcTranscoding1080PVideo37FramesWithAudio</t>
  </si>
  <si>
    <t>testHevcTranscoding1080PVideo72FramesWithAudio</t>
  </si>
  <si>
    <t>testHevcTranscoding4KVideo64FramesWithAudio</t>
  </si>
  <si>
    <t>testHevcTranscodingWithFileDescriptor</t>
  </si>
  <si>
    <t>transcodeFile</t>
  </si>
  <si>
    <t>compareFormat</t>
  </si>
  <si>
    <t>testCancelTranscoding</t>
  </si>
  <si>
    <t>testTranscodingProgressUpdate</t>
  </si>
  <si>
    <t>testAddingClientUids</t>
  </si>
  <si>
    <t>testRollbackDataPolicy_Manifest</t>
  </si>
  <si>
    <t>setPackageNames</t>
  </si>
  <si>
    <t>testNullComponentThrowsException</t>
  </si>
  <si>
    <t>testSetApplicationRestrictions</t>
  </si>
  <si>
    <t>assertEmptyBundle</t>
  </si>
  <si>
    <t>setActualDefaultRingtoneUri__notification_setsSyncParentSoundsToFalse</t>
  </si>
  <si>
    <t>testShortSupportMessageSetGetAndClear</t>
  </si>
  <si>
    <t>testLongSupportMessageSetGetAndClear</t>
  </si>
  <si>
    <t>testLongAndShortMessagesDoNotClobber</t>
  </si>
  <si>
    <t>testMaximumLengthPrefixIsSaved</t>
  </si>
  <si>
    <t>testEmptySupportMessage</t>
  </si>
  <si>
    <t>testUnicodeCharactersInMessage</t>
  </si>
  <si>
    <t>testNullCharacterInMessage</t>
  </si>
  <si>
    <t>testSetOrGetSupportMessageWithNullAdminFails</t>
  </si>
  <si>
    <t>clearSupportMessages</t>
  </si>
  <si>
    <t>setShortMessage</t>
  </si>
  <si>
    <t>setLongMessage</t>
  </si>
  <si>
    <t>getShortMessage</t>
  </si>
  <si>
    <t>getLongMessage</t>
  </si>
  <si>
    <t>testSupportMessage</t>
  </si>
  <si>
    <t>TestTaskOrganizer</t>
  </si>
  <si>
    <t>testRequestBluetoothPermission_Upgrade</t>
  </si>
  <si>
    <t>assertEmptyTaskFragment</t>
  </si>
  <si>
    <t>assertNotEmptyTaskFragment</t>
  </si>
  <si>
    <t>assertTaskFragmentInfoValidity</t>
  </si>
  <si>
    <t>testKeyCodeToString</t>
  </si>
  <si>
    <t>testAxisFromToString</t>
  </si>
  <si>
    <t>testPackageOverrideFlagPackageNotInstalled</t>
  </si>
  <si>
    <t>testAnalogFrontendSettings</t>
  </si>
  <si>
    <t>testAtsc3FrontendSettings</t>
  </si>
  <si>
    <t>testAtscFrontendSettings</t>
  </si>
  <si>
    <t>testDvbcFrontendSettings</t>
  </si>
  <si>
    <t>testDvbsFrontendSettings</t>
  </si>
  <si>
    <t>testDvbtFrontendSettings</t>
  </si>
  <si>
    <t>testIsdbs3FrontendSettings</t>
  </si>
  <si>
    <t>testIsdbsFrontendSettings</t>
  </si>
  <si>
    <t>testIsdbtFrontendSettings</t>
  </si>
  <si>
    <t>testDtmbFrontendSettings</t>
  </si>
  <si>
    <t>testFrontendInfo</t>
  </si>
  <si>
    <t>getIntegersFromDataEnums</t>
  </si>
  <si>
    <t>testDecodeShortEncryptedVideo</t>
  </si>
  <si>
    <t>testFormatChange</t>
  </si>
  <si>
    <t>runThread</t>
  </si>
  <si>
    <t>setExtractor</t>
  </si>
  <si>
    <t>setLastBufferTimestampUs</t>
  </si>
  <si>
    <t>setObtainBlockForEachBuffer</t>
  </si>
  <si>
    <t>setTimestampQueue</t>
  </si>
  <si>
    <t>setContentEncrypted</t>
  </si>
  <si>
    <t>ExtractorInputSlotListener</t>
  </si>
  <si>
    <t>onInputSlot</t>
  </si>
  <si>
    <t>DummyOutputSlotListener</t>
  </si>
  <si>
    <t>onOutputSlot</t>
  </si>
  <si>
    <t>SurfaceOutputSlotListener</t>
  </si>
  <si>
    <t>SlotEvent</t>
  </si>
  <si>
    <t>runDecodeShortEncryptedVideo</t>
  </si>
  <si>
    <t>FormatChangeEvent</t>
  </si>
  <si>
    <t>runComponentWithLinearInput</t>
  </si>
  <si>
    <t>supportsCodec</t>
  </si>
  <si>
    <t>testCryptoError</t>
  </si>
  <si>
    <t>testCryptoErrorLostSessionState</t>
  </si>
  <si>
    <t>testGetDrmInitData</t>
  </si>
  <si>
    <t>testVibrateOneShot</t>
  </si>
  <si>
    <t>testVibrateWaveform</t>
  </si>
  <si>
    <t>testAccessAccuracy</t>
  </si>
  <si>
    <t>testAccessVerticalAccuracy</t>
  </si>
  <si>
    <t>testAccessSpeedAccuracy</t>
  </si>
  <si>
    <t>testAccessBearingAccuracy</t>
  </si>
  <si>
    <t>testAccessAltitude</t>
  </si>
  <si>
    <t>testAccessBearing</t>
  </si>
  <si>
    <t>testAccessExtras</t>
  </si>
  <si>
    <t>testAccessLatitude</t>
  </si>
  <si>
    <t>testAccessLongitude</t>
  </si>
  <si>
    <t>testAccessProvider</t>
  </si>
  <si>
    <t>testAccessSpeed</t>
  </si>
  <si>
    <t>testAccessTime</t>
  </si>
  <si>
    <t>testAccessElapsedRealtime</t>
  </si>
  <si>
    <t>testSetMock</t>
  </si>
  <si>
    <t>assertTestLocation</t>
  </si>
  <si>
    <t>createTestLocation</t>
  </si>
  <si>
    <t>assertTestBundle</t>
  </si>
  <si>
    <t>isFullVolumeDevice</t>
  </si>
  <si>
    <t>testStartForegroundTimeout</t>
  </si>
  <si>
    <t>testSecondStartForeground</t>
  </si>
  <si>
    <t>setFgsStartForegroundTimeout</t>
  </si>
  <si>
    <t>multipleActiveSessions</t>
  </si>
  <si>
    <t>testIEC61937_Errors</t>
  </si>
  <si>
    <t>testCanInstallAndRemoveValidRsaKeypair</t>
  </si>
  <si>
    <t>testNullKeyParamsFailPredictably</t>
  </si>
  <si>
    <t>testNullAdminComponentIsDenied</t>
  </si>
  <si>
    <t>testNotUserSelectableAliasCanBeChosenViaPolicy</t>
  </si>
  <si>
    <t>testHasKeyPair_NonExistent</t>
  </si>
  <si>
    <t>testHasKeyPair_Installed</t>
  </si>
  <si>
    <t>testHasKeyPair_Removed</t>
  </si>
  <si>
    <t>testBadTokenShouldFail</t>
  </si>
  <si>
    <t>testChangePasswordWithToken</t>
  </si>
  <si>
    <t>testResetPasswordFailIfQualityNotMet</t>
  </si>
  <si>
    <t>testPasswordMetricAfterResetPassword</t>
  </si>
  <si>
    <t>testClearPasswordWithToken</t>
  </si>
  <si>
    <t>testResetPasswordWithTokenLogging</t>
  </si>
  <si>
    <t>testSetDefaultSmsApplication</t>
  </si>
  <si>
    <t>testDefaultSmsApplication</t>
  </si>
  <si>
    <t>testSetDefaultSmsApplication_failIfNotDeviceOwner</t>
  </si>
  <si>
    <t>checkActivityDumpNotification</t>
  </si>
  <si>
    <t>parseMessageForIoForegroundBytes</t>
  </si>
  <si>
    <t>testSetUserControlDisabledPackages_singleUser_verifyMetricIsLogged</t>
  </si>
  <si>
    <t>testSetUserControlDisabledPackages_multiUser_verifyMetricIsLogged</t>
  </si>
  <si>
    <t>testSharingFromProfile</t>
  </si>
  <si>
    <t>testDisallowSharingIntoPersonalFromProfile</t>
  </si>
  <si>
    <t>testPasswordComplexity_settingComplexityClearsQuality</t>
  </si>
  <si>
    <t>testPasswordComplexity_settingQualityResetsComplexity</t>
  </si>
  <si>
    <t>testPasswordComplexity_Low</t>
  </si>
  <si>
    <t>testPasswordComplexity_Medium</t>
  </si>
  <si>
    <t>testPasswordComplexity_High</t>
  </si>
  <si>
    <t>setUpResetPasswordToken</t>
  </si>
  <si>
    <t>cleanUpResetPasswordToken</t>
  </si>
  <si>
    <t>executeResetPasswordWithTokenTests</t>
  </si>
  <si>
    <t>testCreateAndManageUser_LowStorage</t>
  </si>
  <si>
    <t>testSetUserControlDisabledPackages_singleUser_verifyPackageNotStopped</t>
  </si>
  <si>
    <t>testSetUserControlDisabledPackages_multiUser_verifyPackageNotStopped</t>
  </si>
  <si>
    <t>setScreenCaptureDisabled</t>
  </si>
  <si>
    <t>testEnrollmentSpecificIdCorrectCalculation</t>
  </si>
  <si>
    <t>testEnrollmentSpecificIdCorrectCalculationLogged</t>
  </si>
  <si>
    <t>testEnrollmentSpecificIdEmptyAndMultipleSet</t>
  </si>
  <si>
    <t>testThrowsForEmptyOrganizationId</t>
  </si>
  <si>
    <t>testThrowsWhenTryingToReSetOrganizationId</t>
  </si>
  <si>
    <t>testCorrectCalculationOfEsid</t>
  </si>
  <si>
    <t>testUserRestriction_profileAndDeviceOwnerCanAddAndRemoveAccount</t>
  </si>
  <si>
    <t>testRemoveAccount_noUserRestriction</t>
  </si>
  <si>
    <t>testAccountManagement_deviceAndProfileOwnerAlwaysAllowed</t>
  </si>
  <si>
    <t>testSetUserControlDisabledPackages_failIfNotDeviceOwner</t>
  </si>
  <si>
    <t>testGetUserControlDisabledPackages_failIfNotDeviceOwner</t>
  </si>
  <si>
    <t>testSharingFromPersonalFails</t>
  </si>
  <si>
    <t>testSharingFromPersonalSucceeds</t>
  </si>
  <si>
    <t>testEnableSharingIntoProfile</t>
  </si>
  <si>
    <t>testDisableSharingIntoProfile</t>
  </si>
  <si>
    <t>setSharingEnabled</t>
  </si>
  <si>
    <t>assertCrossProfileIntentsResolvability</t>
  </si>
  <si>
    <t>getIntentForwarder</t>
  </si>
  <si>
    <t>containsResolveInfo</t>
  </si>
  <si>
    <t>getToPersonalForwarderInfo</t>
  </si>
  <si>
    <t>testOnlyFbeDevicesSupportUserspaceReboot</t>
  </si>
  <si>
    <t>testDeviceSupportsUserspaceReboot</t>
  </si>
  <si>
    <t>testDeviceDoesNotSupportUserspaceReboot</t>
  </si>
  <si>
    <t>testUserspaceReboot</t>
  </si>
  <si>
    <t>testUserspaceRebootWithCheckpoint</t>
  </si>
  <si>
    <t>testUserspaceReboot_verifyCeStorageIsUnlocked</t>
  </si>
  <si>
    <t>testUserspaceRebootWithCheckpoint_verifyCeStorageIsUnlocked</t>
  </si>
  <si>
    <t>prepareForCeTestCases</t>
  </si>
  <si>
    <t>testUserspaceRebootFailsKillingProcesses</t>
  </si>
  <si>
    <t>testUserspaceRebootWatchdogTriggers</t>
  </si>
  <si>
    <t>isFsCheckpointingSupported</t>
  </si>
  <si>
    <t>rebootUserspaceAndWaitForBootComplete</t>
  </si>
  <si>
    <t>assertUserspaceRebootSucceed</t>
  </si>
  <si>
    <t>assertUserspaceRebootFailed</t>
  </si>
  <si>
    <t>assertLastBootReasonIs</t>
  </si>
  <si>
    <t>prepareFile</t>
  </si>
  <si>
    <t>query</t>
  </si>
  <si>
    <t>insert</t>
  </si>
  <si>
    <t>update</t>
  </si>
  <si>
    <t>testVerifyCeStorageUnlocked</t>
  </si>
  <si>
    <t>testVerifyReceivedLockedBootCompletedBroadcast</t>
  </si>
  <si>
    <t>testVerifyReceivedBootCompletedBroadcast</t>
  </si>
  <si>
    <t>queryBroadcast</t>
  </si>
  <si>
    <t>VideoEditorTest</t>
  </si>
  <si>
    <t>oneDefaultHandlerForVideoRoot</t>
  </si>
  <si>
    <t>oneDefaultHandlerForImageRoot</t>
  </si>
  <si>
    <t>oneDefaultHandlerForAudioRoot</t>
  </si>
  <si>
    <t>oneDefaultHandlerForDocumentRoot</t>
  </si>
  <si>
    <t>oneDefaultHandlerForManageStorage</t>
  </si>
  <si>
    <t>hasAtMostOneDefaultHandlerForIntent</t>
  </si>
  <si>
    <t>assertWindowHierarchy</t>
  </si>
  <si>
    <t>setupDeviceForSetUserControlDisabledPackagesTesting</t>
  </si>
  <si>
    <t>cleanupProtectedPackage</t>
  </si>
  <si>
    <t>testPocCVE_2018_9428</t>
  </si>
  <si>
    <t>testWindowAnimationFrameStats</t>
  </si>
  <si>
    <t>testWindowAnimationFrameStatsNoAnimation</t>
  </si>
  <si>
    <t>assertWindowAnimationTimestampsInAscendingOrder</t>
  </si>
  <si>
    <t>testPocCVE_2018_9537</t>
  </si>
  <si>
    <t>testAddAccountExplicitly</t>
  </si>
  <si>
    <t>testRemoveAccountExplicitly</t>
  </si>
  <si>
    <t>testCannotSetDeviceOwnerWhenAccountPresent</t>
  </si>
  <si>
    <t>lastOperation</t>
  </si>
  <si>
    <t>collectSharedLibraryPaths</t>
  </si>
  <si>
    <t>toSwitchingType</t>
  </si>
  <si>
    <t>testTunneledAccurateVideoFlush</t>
  </si>
  <si>
    <t>testTunneledAccurateVideoFlushHevc</t>
  </si>
  <si>
    <t>testTunneledAccurateVideoFlushAvc</t>
  </si>
  <si>
    <t>testTunneledAccurateVideoFlushVp9</t>
  </si>
  <si>
    <t>testTunneledAudioTimestampProgressHevc</t>
  </si>
  <si>
    <t>testTunneledAudioTimestampProgressAvc</t>
  </si>
  <si>
    <t>testTunneledAudioTimestampProgressVp9</t>
  </si>
  <si>
    <t>testTunneledAudioTimestampProgress</t>
  </si>
  <si>
    <t>sleepUntil</t>
  </si>
  <si>
    <t>HdmiCecStartupTest</t>
  </si>
  <si>
    <t>update3aRegion</t>
  </si>
  <si>
    <t>validate3aRegion</t>
  </si>
  <si>
    <t>sendMayPackageQuery</t>
  </si>
  <si>
    <t>testSelectVideos</t>
  </si>
  <si>
    <t>findVideoItemList</t>
  </si>
  <si>
    <t>setInstance</t>
  </si>
  <si>
    <t>isConnected</t>
  </si>
  <si>
    <t>isListening</t>
  </si>
  <si>
    <t>hasBeenClicked</t>
  </si>
  <si>
    <t>hexEncode</t>
  </si>
  <si>
    <t>hexDecode</t>
  </si>
  <si>
    <t>randBytes</t>
  </si>
  <si>
    <t>testNullSaltOrInfo</t>
  </si>
  <si>
    <t>testInvalidCodeSize</t>
  </si>
  <si>
    <t>testVectors</t>
  </si>
  <si>
    <t>computeHkdfHex</t>
  </si>
  <si>
    <t>testIsAudioDescriptionEnabled</t>
  </si>
  <si>
    <t>assertAtomicBooleanBecomes</t>
  </si>
  <si>
    <t>test_defaultUnfoldTransitionDisabled</t>
  </si>
  <si>
    <t>createImages</t>
  </si>
  <si>
    <t>createVideos</t>
  </si>
  <si>
    <t>createVideo</t>
  </si>
  <si>
    <t>createImage</t>
  </si>
  <si>
    <t>stageMedia</t>
  </si>
  <si>
    <t>assertMimeType</t>
  </si>
  <si>
    <t>assertRedactedReadOnlyAccess</t>
  </si>
  <si>
    <t>assertVideoRedactedReadOnlyAccess</t>
  </si>
  <si>
    <t>assertImageRedactedReadOnlyAccess</t>
  </si>
  <si>
    <t>clearMediaOwner</t>
  </si>
  <si>
    <t>deleteMedia</t>
  </si>
  <si>
    <t>findItemList</t>
  </si>
  <si>
    <t>findPreviewAddButton</t>
  </si>
  <si>
    <t>findAddButton</t>
  </si>
  <si>
    <t>pollForCondition</t>
  </si>
  <si>
    <t>testPackageOverrideFlagWithRemoveEntry</t>
  </si>
  <si>
    <t>construct_nullTestApis_throwsException</t>
  </si>
  <si>
    <t>setupClass</t>
  </si>
  <si>
    <t>setDeviceOwner_nullUser_throwsException</t>
  </si>
  <si>
    <t>setDeviceOwner_userDoesNotExist_throwsException</t>
  </si>
  <si>
    <t>setAsDeviceOwner_userHandle_null_throwsException</t>
  </si>
  <si>
    <t>setAsDeviceOwner_userHandle_nonExistingUser_throwsException</t>
  </si>
  <si>
    <t>setAsDeviceOwner_userHandle_alreadySet_doesNothing</t>
  </si>
  <si>
    <t>setAsDeviceOwner_userHandle_alreadyHasDeviceOwner_replacesDeviceOwner</t>
  </si>
  <si>
    <t>setAsDeviceOwner_userHandle_doesNotHaveDeviceOwner_setsDeviceOwner</t>
  </si>
  <si>
    <t>setAsDeviceOwner_userReference_null_throwsException</t>
  </si>
  <si>
    <t>setAsDeviceOwner_userReference_nonExistingUser_throwsException</t>
  </si>
  <si>
    <t>setAsDeviceOwner_userReference_alreadySet_doesNothing</t>
  </si>
  <si>
    <t>setAsDeviceOwner_userReference_alreadyHasDeviceOwner_replacesDeviceOwner</t>
  </si>
  <si>
    <t>setAsDeviceOwner_userReference_doesNotHaveDeviceOwner_setsDeviceOwner</t>
  </si>
  <si>
    <t>testHasFileDescriptors</t>
  </si>
  <si>
    <t>test_defaultDeviceStateChangeTransitionDisabled</t>
  </si>
  <si>
    <t>testGetDeviceAccountNameAndType_haveSameNullness</t>
  </si>
  <si>
    <t>testRawContactCreate_nullAccountUsesLocalAccount</t>
  </si>
  <si>
    <t>testShades0and1000</t>
  </si>
  <si>
    <t>testAllColorsBelongToSameFamily</t>
  </si>
  <si>
    <t>similarHue</t>
  </si>
  <si>
    <t>testColorsMatchExpectedLuminance</t>
  </si>
  <si>
    <t>testContrastRatio</t>
  </si>
  <si>
    <t>shadeToArrayIndex</t>
  </si>
  <si>
    <t>getAllAccent1Colors</t>
  </si>
  <si>
    <t>getAllAccent2Colors</t>
  </si>
  <si>
    <t>getAllAccent3Colors</t>
  </si>
  <si>
    <t>getAllNeutral1Colors</t>
  </si>
  <si>
    <t>getAllNeutral2Colors</t>
  </si>
  <si>
    <t>testRemoveUnsafeExtras</t>
  </si>
  <si>
    <t>containsUpdatedApex</t>
  </si>
  <si>
    <t>testDisableCameraInManagedProfile</t>
  </si>
  <si>
    <t>testEnableCameraInManagedProfile</t>
  </si>
  <si>
    <t>testCameraPolicy</t>
  </si>
  <si>
    <t>launchRemoteActivitySync</t>
  </si>
  <si>
    <t>formatStringIntentParam</t>
  </si>
  <si>
    <t>triggerActionWithBroadcast</t>
  </si>
  <si>
    <t>onSurfaceTransformHintChanged</t>
  </si>
  <si>
    <t>testOnSurfaceTransformHintChangedListener</t>
  </si>
  <si>
    <t>testOnSurfaceTransformHintChangesFromLandToSea</t>
  </si>
  <si>
    <t>rebootQuiescent</t>
  </si>
  <si>
    <t>testOtpAfterQuiescentBootWakeup</t>
  </si>
  <si>
    <t>test_defaultDisplayStateChangeTransitionDisabled</t>
  </si>
  <si>
    <t>testMatchesCallFilter</t>
  </si>
  <si>
    <t>testRsaKeyGen</t>
  </si>
  <si>
    <t>AndroidKeystoreRsaKeyenerator</t>
  </si>
  <si>
    <t>testMultiUser_cantAccessOtherUsersData</t>
  </si>
  <si>
    <t>testMultiUser_canInteractAsAnotherUser</t>
  </si>
  <si>
    <t>testPutDocumentsAsAnotherUser</t>
  </si>
  <si>
    <t>testGetDocumentsAsAnotherUser_exist</t>
  </si>
  <si>
    <t>testNo64</t>
  </si>
  <si>
    <t>isSymbolicLink</t>
  </si>
  <si>
    <t>testDeviceStateOrientationMapCharacteristics</t>
  </si>
  <si>
    <t>test_dupeSuggestionsMade</t>
  </si>
  <si>
    <t>packageName_returnsPackageName</t>
  </si>
  <si>
    <t>resolve_nonExistingPackage_returnsNull</t>
  </si>
  <si>
    <t>resolve_existingPackage_returnsPackage</t>
  </si>
  <si>
    <t>install_alreadyInstalled_installsInUser</t>
  </si>
  <si>
    <t>uninstallForAllUsers_isUninstalledForAllUsers</t>
  </si>
  <si>
    <t>uninstall_packageIsInstalledForDifferentUser_isUninstalledForUser</t>
  </si>
  <si>
    <t>uninstall_packageIsUninstalled</t>
  </si>
  <si>
    <t>uninstall_packageNotInstalledForUser_doesNotThrowException</t>
  </si>
  <si>
    <t>uninstall_packageDoesNotExist_doesNotThrowException</t>
  </si>
  <si>
    <t>grantPermission_installPermission_throwsException</t>
  </si>
  <si>
    <t>grantPermission_nonDeclaredPermission_throwsException</t>
  </si>
  <si>
    <t>grantPermission_permissionIsGranted</t>
  </si>
  <si>
    <t>grantPermission_permissionIsUserSpecific_permissionIsGrantedOnlyForThatUser</t>
  </si>
  <si>
    <t>grantPermission_packageDoesNotExist_throwsException</t>
  </si>
  <si>
    <t>grantPermission_permissionDoesNotExist_throwsException</t>
  </si>
  <si>
    <t>grantPermission_packageIsNotInstalledForUser_throwsException</t>
  </si>
  <si>
    <t>denyPermission_ownPackage_permissionIsNotGranted_doesNotThrowException</t>
  </si>
  <si>
    <t>denyPermission_ownPackage_permissionIsGranted_throwsException</t>
  </si>
  <si>
    <t>denyPermission_permissionIsNotGranted</t>
  </si>
  <si>
    <t>denyPermission_packageDoesNotExist_throwsException</t>
  </si>
  <si>
    <t>denyPermission_permissionDoesNotExist_throwsException</t>
  </si>
  <si>
    <t>denyPermission_packageIsNotInstalledForUser_throwsException</t>
  </si>
  <si>
    <t>denyPermission_installPermission_throwsException</t>
  </si>
  <si>
    <t>denyPermission_nonDeclaredPermission_throwsException</t>
  </si>
  <si>
    <t>denyPermission_alreadyDenied_doesNothing</t>
  </si>
  <si>
    <t>denyPermission_permissionIsUserSpecific_permissionIsDeniedOnlyForThatUser</t>
  </si>
  <si>
    <t>all_containsKnownPackage</t>
  </si>
  <si>
    <t>keepUninstalledPackages_packageIsUninstalled_packageStillResolves</t>
  </si>
  <si>
    <t>keepUninstalledPackages_packageRemovedFromList_packageIsUninstalled_packageDoesNotResolve</t>
  </si>
  <si>
    <t>keepUninstalledPackages_cleared_packageIsUninstalled_packageDoesNotResolve</t>
  </si>
  <si>
    <t>keepUninstalledPackages_packageRemovedFromList_packageAlreadyUninstalled_packageDoesNotResolve</t>
  </si>
  <si>
    <t>resolve</t>
  </si>
  <si>
    <t>resolve_returnsNenePackage</t>
  </si>
  <si>
    <t>setManageCredentialsAppOps</t>
  </si>
  <si>
    <t>isCredentialManagementApp</t>
  </si>
  <si>
    <t>addAccountWithType</t>
  </si>
  <si>
    <t>assertPackageStopped</t>
  </si>
  <si>
    <t>queryFdn_noFdnRecords_returnsEmptyCursor</t>
  </si>
  <si>
    <t>querySdn_returnsCursorWithSdnRecords</t>
  </si>
  <si>
    <t>queryFdn_nonEmpty_returnsFdnRecordsFromSim</t>
  </si>
  <si>
    <t>insertFdn</t>
  </si>
  <si>
    <t>testExtensionProvider_hasValidVersion</t>
  </si>
  <si>
    <t>testExtensionInterface_setExtensionCallback</t>
  </si>
  <si>
    <t>testExtensionInterface_getWindowLayoutInfo</t>
  </si>
  <si>
    <t>testExtensionInterface_onWindowLayoutChangeListenerAdded</t>
  </si>
  <si>
    <t>testExtensionInterface_onWindowLayoutChangeListenerRemoved</t>
  </si>
  <si>
    <t>testExtensionInterface_getDeviceState</t>
  </si>
  <si>
    <t>testExtensionInterface_onDeviceStateListenersChanged</t>
  </si>
  <si>
    <t>testGetWindowLayoutInfo_activityNotAttached_notReturnIncorrectValue</t>
  </si>
  <si>
    <t>testGetWindowLayoutInfo_configChanged_windowLayoutUpdates</t>
  </si>
  <si>
    <t>testGetWindowLayoutInfo_windowRecreated_windowLayoutUpdates</t>
  </si>
  <si>
    <t>assumeHasDisplayFeatures</t>
  </si>
  <si>
    <t>onLayoutChange</t>
  </si>
  <si>
    <t>assertCorrectWindowLayoutInfoOrException</t>
  </si>
  <si>
    <t>TestExtensionCompat</t>
  </si>
  <si>
    <t>setExtensionCallback</t>
  </si>
  <si>
    <t>getWindowLayoutInfo</t>
  </si>
  <si>
    <t>onWindowLayoutChangeListenerAdded</t>
  </si>
  <si>
    <t>onWindowLayoutChangeListenerRemoved</t>
  </si>
  <si>
    <t>getDeviceState</t>
  </si>
  <si>
    <t>onDeviceStateListenersChanged</t>
  </si>
  <si>
    <t>TestExtensionDeviceState</t>
  </si>
  <si>
    <t>getPosture</t>
  </si>
  <si>
    <t>TestExtensionDisplayFeature</t>
  </si>
  <si>
    <t>getBounds</t>
  </si>
  <si>
    <t>TestExtensionWindowLayoutInfo</t>
  </si>
  <si>
    <t>getDisplayFeatures</t>
  </si>
  <si>
    <t>TestSidecarCompat</t>
  </si>
  <si>
    <t>TestSidecarDeviceState</t>
  </si>
  <si>
    <t>TestSidecarDisplayFeature</t>
  </si>
  <si>
    <t>TestSidecarWindowLayoutInfo</t>
  </si>
  <si>
    <t>areSidecarWindowLayoutInfoEqual</t>
  </si>
  <si>
    <t>areSidecarDisplayFeatureEqual</t>
  </si>
  <si>
    <t>isVideoTranscodingSupported</t>
  </si>
  <si>
    <t>matches_contains_doesContain_returnsTrue</t>
  </si>
  <si>
    <t>matches_contains_doesNotContain_returnsFalse</t>
  </si>
  <si>
    <t>matches_doesNotContain_doesContain_returnsFalse</t>
  </si>
  <si>
    <t>matches_doesNotContain_doesNotContain_returnsTrue</t>
  </si>
  <si>
    <t>testTwoFileDescriptorsWorkIndependently</t>
  </si>
  <si>
    <t>testGetSetPendingIntentBackgroundActivityLaunchAllowed</t>
  </si>
  <si>
    <t>testPendingIntentActivity_whenActivityAllowsBal_isNotBlocked</t>
  </si>
  <si>
    <t>testPendingIntentActivity_whenActivityDoesNotAllowBal_isBlocked</t>
  </si>
  <si>
    <t>setupPendingIntentService</t>
  </si>
  <si>
    <t>startPendingIntentSenderActivity</t>
  </si>
  <si>
    <t>start_userNotStarted_userIsStarted</t>
  </si>
  <si>
    <t>stop_userDoesNotExist_throwsException</t>
  </si>
  <si>
    <t>id_returnsId</t>
  </si>
  <si>
    <t>construct_idNotSet_throwsNullPointerException</t>
  </si>
  <si>
    <t>serialNo_returnsSerialNo</t>
  </si>
  <si>
    <t>serialNo_notSet_returnsNull</t>
  </si>
  <si>
    <t>name_returnsName</t>
  </si>
  <si>
    <t>name_notSet_returnsNull</t>
  </si>
  <si>
    <t>type_returnsName</t>
  </si>
  <si>
    <t>type_notSet_returnsNull</t>
  </si>
  <si>
    <t>hasProfileOwner_returnsHasProfileOwner</t>
  </si>
  <si>
    <t>hasProfileOwner_notSet_returnsNull</t>
  </si>
  <si>
    <t>isPrimary_returnsIsPrimary</t>
  </si>
  <si>
    <t>isPrimary_notSet_returnsNull</t>
  </si>
  <si>
    <t>state_userNotStarted_returnsState</t>
  </si>
  <si>
    <t>state_userLocked_returnsState</t>
  </si>
  <si>
    <t>state_userUnlocked_returnsState</t>
  </si>
  <si>
    <t>parent_returnsParent</t>
  </si>
  <si>
    <t>autoclose_removesUser</t>
  </si>
  <si>
    <t>createValidMutableUser</t>
  </si>
  <si>
    <t>TestWindowLayoutInfoConsumer</t>
  </si>
  <si>
    <t>waitAndGet</t>
  </si>
  <si>
    <t>getOutputDir</t>
  </si>
  <si>
    <t>testMultiSelect_doesNotRespectExtraAllowMultiple</t>
  </si>
  <si>
    <t>testPermissionGrantStateDenied_permissionRemainsDenied</t>
  </si>
  <si>
    <t>testPermissionGrantStateGranted_permissionRemainsGranted</t>
  </si>
  <si>
    <t>testPermissionGrantStateGranted_userNotifiedOfLocationPermission</t>
  </si>
  <si>
    <t>testPermissionGrantState_developmentPermission</t>
  </si>
  <si>
    <t>assertCannotSetPermissionGrantStateDevelopmentPermission</t>
  </si>
  <si>
    <t>testSensorsRelatedPermissionsCannotBeGranted</t>
  </si>
  <si>
    <t>testSensorsRelatedPermissionsCanBeDenied</t>
  </si>
  <si>
    <t>testStateOfSensorsRelatedPermissionsCannotBeRead</t>
  </si>
  <si>
    <t>initPermissionNotificationLatch</t>
  </si>
  <si>
    <t>unableToSetPermissionGrantState</t>
  </si>
  <si>
    <t>assertHasPermissionFromActivity</t>
  </si>
  <si>
    <t>assertNoPermissionFromActivity</t>
  </si>
  <si>
    <t>testPermissionGrant_developmentPermission</t>
  </si>
  <si>
    <t>testGrantOfSensorsRelatedPermissions</t>
  </si>
  <si>
    <t>testDenyOfSensorsRelatedPermissions</t>
  </si>
  <si>
    <t>testLocationPermissionGrantNotifies</t>
  </si>
  <si>
    <t>configureNotificationListener</t>
  </si>
  <si>
    <t>switchToUser</t>
  </si>
  <si>
    <t>TestFirstValueConsumer</t>
  </si>
  <si>
    <t>hasReadContactsPermission</t>
  </si>
  <si>
    <t>toggleReadContactsPermission</t>
  </si>
  <si>
    <t>setUpGetResultActivity</t>
  </si>
  <si>
    <t>testMatchesCallFilter_noPermissions</t>
  </si>
  <si>
    <t>testMatchesCallFilter_listenerPermissionOnly</t>
  </si>
  <si>
    <t>testMatchesCallFilter_contactsPermissionOnly</t>
  </si>
  <si>
    <t>isRunningANGLE</t>
  </si>
  <si>
    <t>setBatteryState</t>
  </si>
  <si>
    <t>TestAppInstanceReference</t>
  </si>
  <si>
    <t>connector</t>
  </si>
  <si>
    <t>activities</t>
  </si>
  <si>
    <t>testApp</t>
  </si>
  <si>
    <t>user</t>
  </si>
  <si>
    <t>registerReceiver</t>
  </si>
  <si>
    <t>unregisterReceiver</t>
  </si>
  <si>
    <t>keepAlive</t>
  </si>
  <si>
    <t>stopKeepAlive</t>
  </si>
  <si>
    <t>connectionChanged</t>
  </si>
  <si>
    <t>events</t>
  </si>
  <si>
    <t>devicePolicyManager</t>
  </si>
  <si>
    <t>userManager</t>
  </si>
  <si>
    <t>wifiManager</t>
  </si>
  <si>
    <t>hardwarePropertiesManager</t>
  </si>
  <si>
    <t>packageManager</t>
  </si>
  <si>
    <t>crossProfileApps</t>
  </si>
  <si>
    <t>launcherApps</t>
  </si>
  <si>
    <t>accountManager</t>
  </si>
  <si>
    <t>user_returnsUserReference</t>
  </si>
  <si>
    <t>testApp_returnsTestApp</t>
  </si>
  <si>
    <t>activities_any_returnsActivity</t>
  </si>
  <si>
    <t>uninstall_uninstalls</t>
  </si>
  <si>
    <t>autoclose_uninstalls</t>
  </si>
  <si>
    <t>keepAlive_notInstalled_throwsException</t>
  </si>
  <si>
    <t>killProcess_keepAlive_processIsRunningAgain</t>
  </si>
  <si>
    <t>stop_processIsNotRunning</t>
  </si>
  <si>
    <t>stop_previouslyCalledKeepAlive_processDoesNotRestart</t>
  </si>
  <si>
    <t>process_isNotRunning_returnsNull</t>
  </si>
  <si>
    <t>process_isRunning_isNotNull</t>
  </si>
  <si>
    <t>registerReceiver_receivesBroadcast</t>
  </si>
  <si>
    <t>registerReceiver_multipleIntentFilters_receivesAllMatchingBroadcasts</t>
  </si>
  <si>
    <t>registerReceiver_processIsRunning</t>
  </si>
  <si>
    <t>stop_registeredReceiver_doesNotReceiveBroadcast</t>
  </si>
  <si>
    <t>unregisterReceiver_registeredReceiver_doesNotReceiveBroadcast</t>
  </si>
  <si>
    <t>unregisterReceiver_doesNotUnregisterOtherReceivers</t>
  </si>
  <si>
    <t>keepAlive_processIsRunning</t>
  </si>
  <si>
    <t>registerReceiver_appIsKilled_stillReceivesBroadcast</t>
  </si>
  <si>
    <t>devicePolicyManager_returnsUsableInstance</t>
  </si>
  <si>
    <t>userManager_returnsUsableInstance</t>
  </si>
  <si>
    <t>wifiManager_returnsUsableInstance</t>
  </si>
  <si>
    <t>hardwarePropertiesManager_returnsUsableInstance</t>
  </si>
  <si>
    <t>packageManager_returnsUsableInstance</t>
  </si>
  <si>
    <t>crossProfileApps_returnsUsableInstance</t>
  </si>
  <si>
    <t>launcherApps_returnsUsableInstance</t>
  </si>
  <si>
    <t>accountManager_returnsUsableInstance</t>
  </si>
  <si>
    <t>query_matchesActivity_returnsActivity</t>
  </si>
  <si>
    <t>query_msatchesActivity_returnsActivity</t>
  </si>
  <si>
    <t>testGrantsDoNotPersistBetweenInstallations</t>
  </si>
  <si>
    <t>testGetKeyPairGrants_NonExistent</t>
  </si>
  <si>
    <t>testGetKeyPairGrants_NotGranted</t>
  </si>
  <si>
    <t>testGetKeyPairGrants_GrantedAtInstall</t>
  </si>
  <si>
    <t>testGetKeyPairGrants_GrantedExplicitly</t>
  </si>
  <si>
    <t>testGetKeyPairGrants_Revoked</t>
  </si>
  <si>
    <t>testIsWifiGrant_default</t>
  </si>
  <si>
    <t>testIsWifiGrant_allowed</t>
  </si>
  <si>
    <t>testIsWifiGrant_denied</t>
  </si>
  <si>
    <t>testRevokeKeyPairFromApp_keyNotUsable</t>
  </si>
  <si>
    <t>testCanRetrieveListOfInstalledCaCerts</t>
  </si>
  <si>
    <t>testCanInstallAndUninstallACaCert</t>
  </si>
  <si>
    <t>testUninstallationIsSelective</t>
  </si>
  <si>
    <t>testCanUninstallAllUserCaCerts</t>
  </si>
  <si>
    <t>assertInstalled</t>
  </si>
  <si>
    <t>assertUninstalled</t>
  </si>
  <si>
    <t>getFirstX509TrustManager</t>
  </si>
  <si>
    <t>isCaCertInstalledAndTrusted</t>
  </si>
  <si>
    <t>readCertificate</t>
  </si>
  <si>
    <t>installCaCert</t>
  </si>
  <si>
    <t>uninstallCaCert</t>
  </si>
  <si>
    <t>uninstallAllUserCaCerts</t>
  </si>
  <si>
    <t>testInstallCaCertLogged</t>
  </si>
  <si>
    <t>testGetInstalledCaCerts_doesNotReturnNull</t>
  </si>
  <si>
    <t>testInstallCaCert_installsCaCert</t>
  </si>
  <si>
    <t>testInstallCaCert_logsEvent</t>
  </si>
  <si>
    <t>testUninstallCaCert_uninstallsCaCert</t>
  </si>
  <si>
    <t>testUninstallCaCert_onlyUninstallsRequestedCaCert</t>
  </si>
  <si>
    <t>testUninstallCaCert_logsEvent</t>
  </si>
  <si>
    <t>testUninstallAllUserCaCerts_uninstallsAllCaCerts</t>
  </si>
  <si>
    <t>assertCaCertInstalled</t>
  </si>
  <si>
    <t>assertCaCertNotInstalled</t>
  </si>
  <si>
    <t>recycleWhenViewIdDoesntMatchFailsInSimpleLayout</t>
  </si>
  <si>
    <t>recycleWhenViewIdDoesntMatchFailsInSimpleLayoutSync</t>
  </si>
  <si>
    <t>recycleWhenViewIdDoesntMatchFailsInSimpleLayoutAsync</t>
  </si>
  <si>
    <t>testCarWatchdog</t>
  </si>
  <si>
    <t>testCarWatchdogWithShareUserId</t>
  </si>
  <si>
    <t>testCanAccessApis</t>
  </si>
  <si>
    <t>amIAppRestrictionsDelegate</t>
  </si>
  <si>
    <t>testCanRetrieveOwnRestrictionsViaUserManager</t>
  </si>
  <si>
    <t>testCannotRetrieveOtherPackageRestrictionsViaUserManager</t>
  </si>
  <si>
    <t>testSetApplicationRestrictionsManagingPackage</t>
  </si>
  <si>
    <t>testSetApplicationRestrictionsManagingPackageForNotInstalledPackage</t>
  </si>
  <si>
    <t>waitForRestrictionsValueFromTestActivity</t>
  </si>
  <si>
    <t>waitForRestrictionsChangedBroadcast</t>
  </si>
  <si>
    <t>testManagedProvisioningPreInstalled</t>
  </si>
  <si>
    <t>testUid</t>
  </si>
  <si>
    <t>testPid</t>
  </si>
  <si>
    <t>getPid</t>
  </si>
  <si>
    <t>testSharedFilterTwoProcessesOpenTwice</t>
  </si>
  <si>
    <t>testSharedFilterTwoProcessesCloseInOriginalFilter</t>
  </si>
  <si>
    <t>testSharedFilterTwoProcessesReleaseInOriginalFilter</t>
  </si>
  <si>
    <t>testSharedFilterTwoProcessesDoubleClose</t>
  </si>
  <si>
    <t>onMotionEvent</t>
  </si>
  <si>
    <t>testDelegateReceivesScopeChangedBroadcast</t>
  </si>
  <si>
    <t>testCantDelegateToUninstalledPackage</t>
  </si>
  <si>
    <t>testCanRetrieveDelegates</t>
  </si>
  <si>
    <t>testDeviceOwnerOrManagedPoOnlyDelegations</t>
  </si>
  <si>
    <t>testDeviceOwnerOrOrgOwnedManagedPoOnlyDelegations</t>
  </si>
  <si>
    <t>testExclusiveDelegations</t>
  </si>
  <si>
    <t>testExclusiveDelegation</t>
  </si>
  <si>
    <t>getDelegatePackages</t>
  </si>
  <si>
    <t>startAndWaitDelegateActivity</t>
  </si>
  <si>
    <t>waitReportedScopes</t>
  </si>
  <si>
    <t>testAvailableNetworkInfoBuilder_invalidRAS_throwsIllegalArgumentException</t>
  </si>
  <si>
    <t>testReconfigure_OnlyWhenOpened</t>
  </si>
  <si>
    <t>testSetSignalStrengthUpdateRequest_systeresisDbSet</t>
  </si>
  <si>
    <t>testSetSignalStrengthUpdateRequest_systeresisMsSet</t>
  </si>
  <si>
    <t>testSettingAdminComponentNameThrowsException</t>
  </si>
  <si>
    <t>testGetCurrentWebViewPackageOnUiThread</t>
  </si>
  <si>
    <t>testGetCurrentWebViewPackage</t>
  </si>
  <si>
    <t>runCurrentWebViewPackageTest</t>
  </si>
  <si>
    <t>assertPackageEquals</t>
  </si>
  <si>
    <t>testWebViewVersionApiOnUiThread</t>
  </si>
  <si>
    <t>testWebViewVersionApi</t>
  </si>
  <si>
    <t>isDeviceOwnerApp_versionGreaterThanEqual_S_V2_noPermission_throwsException</t>
  </si>
  <si>
    <t>isDeviceOwnerApp_versionLessThan_S_V2_noPermission_noException</t>
  </si>
  <si>
    <t>getOtherPackage</t>
  </si>
  <si>
    <t>initialRadioState</t>
  </si>
  <si>
    <t>filteredEventsReceived</t>
  </si>
  <si>
    <t>testGetWebViewLooperOnUiThread</t>
  </si>
  <si>
    <t>testGetWebViewLooperCreatedOnUiThreadFromInstrThread</t>
  </si>
  <si>
    <t>testGetWebViewLooperCreatedOnBackgroundThreadFromInstThread</t>
  </si>
  <si>
    <t>createAndCheckWebViewLooper</t>
  </si>
  <si>
    <t>testGetWebViewLooperFromUiThread</t>
  </si>
  <si>
    <t>testTunneledAudioPtsGapsPcm</t>
  </si>
  <si>
    <t>testPasswordQuality_featureUnsupported_returnsUnspecified</t>
  </si>
  <si>
    <t>testPasswordQuality_featureSupported_returnsValueSet</t>
  </si>
  <si>
    <t>testPasswordMinimumLength_featureUnsupported_ignored</t>
  </si>
  <si>
    <t>testPasswordMinimumLength_featureSupported_returnsValueSet</t>
  </si>
  <si>
    <t>testPasswordMinimumNumeric_ignored</t>
  </si>
  <si>
    <t>testPasswordMinimumNumeric_returnsValueSet</t>
  </si>
  <si>
    <t>testPasswordMinimumLowerCase_ignored</t>
  </si>
  <si>
    <t>testPasswordMinimumLowerCase_returnsValueSet</t>
  </si>
  <si>
    <t>testPasswordMinimumUpperCase_ignored</t>
  </si>
  <si>
    <t>testPasswordMinimumUpperCase_returnsValueSet</t>
  </si>
  <si>
    <t>testPasswordMinimumLetters_ignored</t>
  </si>
  <si>
    <t>testPasswordMinimumLetters_returnsValueSet</t>
  </si>
  <si>
    <t>testPasswordMinimumSymbols_ignored</t>
  </si>
  <si>
    <t>testPasswordMinimumSymbols_returnsValueSet</t>
  </si>
  <si>
    <t>testPasswordMinimumNonLetter_ignored</t>
  </si>
  <si>
    <t>testPasswordMinimumNonLetter_returnsValueSet</t>
  </si>
  <si>
    <t>testGetNearbyNotificationStreamingPolicy_getsNearbyStreamingDisabledAsDefault</t>
  </si>
  <si>
    <t>testHeuristics</t>
  </si>
  <si>
    <t>startService_serviceDoesNotExist_startsLoggingService</t>
  </si>
  <si>
    <t>launchEventLibService_logsServiceCreatedEvent</t>
  </si>
  <si>
    <t>launchEventLibService_withGeneratedServiceClass_logsServiceCreatedEventWithCorrectClassName</t>
  </si>
  <si>
    <t>serviceBound</t>
  </si>
  <si>
    <t>serviceUnbound</t>
  </si>
  <si>
    <t>serviceCreated</t>
  </si>
  <si>
    <t>serviceStarted</t>
  </si>
  <si>
    <t>serviceDestroyed</t>
  </si>
  <si>
    <t>testNotifyChange_VerifyUserId</t>
  </si>
  <si>
    <t>testOpenRangingSessionWithBadParams</t>
  </si>
  <si>
    <t>testToggleSplitScreen</t>
  </si>
  <si>
    <t>testGetDeviceAccountName_returnsNull</t>
  </si>
  <si>
    <t>testGetDeviceAccountType_returnsNull</t>
  </si>
  <si>
    <t>Watchdog</t>
  </si>
  <si>
    <t>MediaRandomTest</t>
  </si>
  <si>
    <t>loadSource</t>
  </si>
  <si>
    <t>testPlayerRandomActionAV1</t>
  </si>
  <si>
    <t>testPlayerRandomActionH264</t>
  </si>
  <si>
    <t>testPlayerRandomActionHEVC</t>
  </si>
  <si>
    <t>testPlayerRandomActionMpeg2</t>
  </si>
  <si>
    <t>testPlayerRandomAction</t>
  </si>
  <si>
    <t>testRecorderRandomAction</t>
  </si>
  <si>
    <t>stopVoiceInteractionSession</t>
  </si>
  <si>
    <t>checkTestsFromMainView</t>
  </si>
  <si>
    <t>testUpdateMeasureState</t>
  </si>
  <si>
    <t>resetUserSetupCompletedFlag</t>
  </si>
  <si>
    <t>setUserSetupCompletedFlag</t>
  </si>
  <si>
    <t>MediaCodecStream</t>
  </si>
  <si>
    <t>ByteBufferInputStream</t>
  </si>
  <si>
    <t>PcmAudioBufferStream</t>
  </si>
  <si>
    <t>sizeInBytes</t>
  </si>
  <si>
    <t>compareStreams</t>
  </si>
  <si>
    <t>testAccountManagement_userRestrictionAddAccount</t>
  </si>
  <si>
    <t>testAccountManagement_userRestrictionRemoveAccount</t>
  </si>
  <si>
    <t>testAccountManagement_disabledAddAccount</t>
  </si>
  <si>
    <t>testAccountManagement_disabledRemoveAccount</t>
  </si>
  <si>
    <t>testAddAndRemoveAudioDescriptionStateChangeListener</t>
  </si>
  <si>
    <t>testAudioDescriptionByDefaultStateChangeListenerWithExecutor</t>
  </si>
  <si>
    <t>testSurfaceTransaction_setBufferOpaque_transparent</t>
  </si>
  <si>
    <t>setLockTaskFeatures_overviewFeature_setsFeature</t>
  </si>
  <si>
    <t>testLockNowLogged</t>
  </si>
  <si>
    <t>testLockNow_onParent_isSupported</t>
  </si>
  <si>
    <t>sendOtp</t>
  </si>
  <si>
    <t>testGetNearbyAppStreamingPolicy_getsNearbyStreamingDisabledAsDefault</t>
  </si>
  <si>
    <t>getValidSlotIndex</t>
  </si>
  <si>
    <t>testAttestKeySecurityLevelMismatch</t>
  </si>
  <si>
    <t>testPackageServiceDump</t>
  </si>
  <si>
    <t>verifyPackageServiceDumpProto</t>
  </si>
  <si>
    <t>testConnectToSuggestion</t>
  </si>
  <si>
    <t>testResetPasswordDeprecated</t>
  </si>
  <si>
    <t>getTargetSdkLevel</t>
  </si>
  <si>
    <t>getTestGnssMeasurementRequest</t>
  </si>
  <si>
    <t>testInterruptInputWithTakeSnapshotSupport</t>
  </si>
  <si>
    <t>testInterruptInputWithoutTakeSnapshotSupport</t>
  </si>
  <si>
    <t>testInterruptInputMain</t>
  </si>
  <si>
    <t>getRoleHolder</t>
  </si>
  <si>
    <t>systemRoleDoesNotOverrideUserRevokedPermission</t>
  </si>
  <si>
    <t>setTestFixtures</t>
  </si>
  <si>
    <t>hasTelephony</t>
  </si>
  <si>
    <t>testCommitSession</t>
  </si>
  <si>
    <t>runWithScanningEnabled</t>
  </si>
  <si>
    <t>testMagnificationServiceShutsDownWhileMagnifying_shouldReturnTo1x</t>
  </si>
  <si>
    <t>ReplyHandler</t>
  </si>
  <si>
    <t>IncomingHandler</t>
  </si>
  <si>
    <t>initialize</t>
  </si>
  <si>
    <t>testEnableAndDisableAdvertising</t>
  </si>
  <si>
    <t>testSetAdvertisingData</t>
  </si>
  <si>
    <t>testSetScanResponseData</t>
  </si>
  <si>
    <t>testSetAdvertisingParameters</t>
  </si>
  <si>
    <t>startAdvertisingSet</t>
  </si>
  <si>
    <t>stopAdvertisingSet</t>
  </si>
  <si>
    <t>onAdvertisingSetStarted</t>
  </si>
  <si>
    <t>onAdvertisingEnabled</t>
  </si>
  <si>
    <t>onAdvertisingParametersUpdated</t>
  </si>
  <si>
    <t>onAdvertisingDataSet</t>
  </si>
  <si>
    <t>onScanResponseDataSet</t>
  </si>
  <si>
    <t>onAdvertisingSetStopped</t>
  </si>
  <si>
    <t>testRangingToTest11mcAp</t>
  </si>
  <si>
    <t>testRangingToTestNon11mcAp</t>
  </si>
  <si>
    <t>testAdtsWithConstantBitrateSeeking</t>
  </si>
  <si>
    <t>createFilterForSharedFilterTest</t>
  </si>
  <si>
    <t>testReuse</t>
  </si>
  <si>
    <t>testImeVisibilityWhenDismisingDialogWithImeFocused</t>
  </si>
  <si>
    <t>testCaptureMatchingAllowedUsage</t>
  </si>
  <si>
    <t>testPlayStaticData</t>
  </si>
  <si>
    <t>testPlayStreamData</t>
  </si>
  <si>
    <t>testPlayerCornerCase</t>
  </si>
  <si>
    <t>setPowerControlMode</t>
  </si>
  <si>
    <t>testPlayerDuck</t>
  </si>
  <si>
    <t>testPlayerStepRamp</t>
  </si>
  <si>
    <t>testPlayerTwoShapers</t>
  </si>
  <si>
    <t>findPasswordComplexityEvent</t>
  </si>
  <si>
    <t>hasCommunal</t>
  </si>
  <si>
    <t>testIsCommunalMode_returnsCorrectValue</t>
  </si>
  <si>
    <t>testAddCommunalModeListener_callbackInvoked</t>
  </si>
  <si>
    <t>testAddRemoveCommunalModeListener_callbackNotInvoked</t>
  </si>
  <si>
    <t>ensureCleanState</t>
  </si>
  <si>
    <t>setCommunalViewShowingAndWait</t>
  </si>
  <si>
    <t>getTestCommunalModeListener</t>
  </si>
  <si>
    <t>onCommunalModeChanged</t>
  </si>
  <si>
    <t>testAppInstallsWithReboot</t>
  </si>
  <si>
    <t>getCodePathFromDumpsys</t>
  </si>
  <si>
    <t>testCodePathMatchesExpected</t>
  </si>
  <si>
    <t>updatePlacementOrThrow</t>
  </si>
  <si>
    <t>testMuxerAvc</t>
  </si>
  <si>
    <t>testMuxerH263</t>
  </si>
  <si>
    <t>testMuxerHevc</t>
  </si>
  <si>
    <t>testMuxerVp8</t>
  </si>
  <si>
    <t>testMuxerVp9</t>
  </si>
  <si>
    <t>testMuxerVp9NoCsd</t>
  </si>
  <si>
    <t>testMuxerVp9Hdr</t>
  </si>
  <si>
    <t>testMuxerMpeg4</t>
  </si>
  <si>
    <t>testMuxer</t>
  </si>
  <si>
    <t>hexString</t>
  </si>
  <si>
    <t>compareByteBufferInFormats</t>
  </si>
  <si>
    <t>compareFormats</t>
  </si>
  <si>
    <t>testPlayerRamp</t>
  </si>
  <si>
    <t>testPlayerCubicMonotonic</t>
  </si>
  <si>
    <t>testMultiDeviceTest</t>
  </si>
  <si>
    <t>testFallbackSpacing_Metrics</t>
  </si>
  <si>
    <t>testFallbackSpacing_Layout</t>
  </si>
  <si>
    <t>testFallbackSpacing</t>
  </si>
  <si>
    <t>testEmptyCharArray</t>
  </si>
  <si>
    <t>testNullTextArgument_String</t>
  </si>
  <si>
    <t>testNullTextArgument_CharArgument</t>
  </si>
  <si>
    <t>testSmallStartArgument_String</t>
  </si>
  <si>
    <t>testSmallStartArgument_CharArray</t>
  </si>
  <si>
    <t>testLargeStartArgument_String</t>
  </si>
  <si>
    <t>testLargeStartArgument_CharArray</t>
  </si>
  <si>
    <t>testSmallCountArgument_String</t>
  </si>
  <si>
    <t>testSmalCountArgument_CharArray</t>
  </si>
  <si>
    <t>testLargeCountArgument_String</t>
  </si>
  <si>
    <t>testLargeCountArgument_CharArray</t>
  </si>
  <si>
    <t>testSmallCtxStartArgument_String</t>
  </si>
  <si>
    <t>testSmallCtxStartArgument_CharArray</t>
  </si>
  <si>
    <t>testLargeCtxStartArgument_String</t>
  </si>
  <si>
    <t>testLargeCtxStartArgument_CharArray</t>
  </si>
  <si>
    <t>testSmallCtxCountArgument_String</t>
  </si>
  <si>
    <t>testSmalCtxCountArgument_CharArray</t>
  </si>
  <si>
    <t>testLargeCtxCountArgument_String</t>
  </si>
  <si>
    <t>testLargeCtxCountArgument_CharArray</t>
  </si>
  <si>
    <t>testSmallNullOutArgument_String</t>
  </si>
  <si>
    <t>testSmalNullOutArgument_CharArray</t>
  </si>
  <si>
    <t>testDecoder</t>
  </si>
  <si>
    <t>testDataSource</t>
  </si>
  <si>
    <t>testDataSourceAudioOnly</t>
  </si>
  <si>
    <t>testDataSourceWithCallback</t>
  </si>
  <si>
    <t>getDecodedData</t>
  </si>
  <si>
    <t>addSampleData</t>
  </si>
  <si>
    <t>toHctString</t>
  </si>
  <si>
    <t>deltaHueWithinTolerance</t>
  </si>
  <si>
    <t>testHandwritingStartAndFinish</t>
  </si>
  <si>
    <t>testNotify_blockedChannelGroup</t>
  </si>
  <si>
    <t>isServiceMissing</t>
  </si>
  <si>
    <t>enableIms</t>
  </si>
  <si>
    <t>disableIms</t>
  </si>
  <si>
    <t>createRcsFeature</t>
  </si>
  <si>
    <t>getConfig</t>
  </si>
  <si>
    <t>createMmTelFeature</t>
  </si>
  <si>
    <t>getRegistration</t>
  </si>
  <si>
    <t>onSessionStateChanged</t>
  </si>
  <si>
    <t>findTvIAppViewById</t>
  </si>
  <si>
    <t>testStartIApp</t>
  </si>
  <si>
    <t>BooleanSupplier</t>
  </si>
  <si>
    <t>testRemoveUserOrSetEphemeral_nonRunningUserRemoved</t>
  </si>
  <si>
    <t>testRemoveUserOrSetEphemeral_currentUserSetEphemeral_removeAfterSwitch</t>
  </si>
  <si>
    <t>testRemoveUserOrSetEphemeral_currentUserSetEphemeral_removeAfterReboot</t>
  </si>
  <si>
    <t>executeRemoveUserOrSetEphemeralAdbCommand</t>
  </si>
  <si>
    <t>testWhenFeatureInDisabledModeAndActivityWindowAbove_allowsTouch</t>
  </si>
  <si>
    <t>testWhenFeatureInPermissiveModeAndActivityWindowAbove_allowsTouch</t>
  </si>
  <si>
    <t>testWhenOneActivityWindowWithZeroOpacity_allowsTouch</t>
  </si>
  <si>
    <t>testWhenOneSelfActivityWindow_allowsTouch</t>
  </si>
  <si>
    <t>testWhenActivityChildWindowWithDifferentTokenFromDifferentApp_blocksTouch</t>
  </si>
  <si>
    <t>testWhenActivityChildWindowWithDifferentTokenFromSameApp_allowsTouch</t>
  </si>
  <si>
    <t>testWhenOneSelfCustomToastWindowOneSelfActivityWindowAndOneSawBelowThreshold_allowsTouch</t>
  </si>
  <si>
    <t>getAvailable</t>
  </si>
  <si>
    <t>isFlexibleFormatSupported</t>
  </si>
  <si>
    <t>decoders</t>
  </si>
  <si>
    <t>goog</t>
  </si>
  <si>
    <t>other</t>
  </si>
  <si>
    <t>googH265</t>
  </si>
  <si>
    <t>googH264</t>
  </si>
  <si>
    <t>googH263</t>
  </si>
  <si>
    <t>googMpeg4</t>
  </si>
  <si>
    <t>googVP8</t>
  </si>
  <si>
    <t>googVP9</t>
  </si>
  <si>
    <t>otherH265</t>
  </si>
  <si>
    <t>otherH264</t>
  </si>
  <si>
    <t>otherH263</t>
  </si>
  <si>
    <t>otherMpeg4</t>
  </si>
  <si>
    <t>otherVP8</t>
  </si>
  <si>
    <t>otherVP9</t>
  </si>
  <si>
    <t>testGoogH265Image</t>
  </si>
  <si>
    <t>testGoogH264Image</t>
  </si>
  <si>
    <t>testGoogH263Image</t>
  </si>
  <si>
    <t>testGoogMpeg4Image</t>
  </si>
  <si>
    <t>testGoogVP8Image</t>
  </si>
  <si>
    <t>testGoogVP9Image</t>
  </si>
  <si>
    <t>testOtherH265Image</t>
  </si>
  <si>
    <t>testOtherH264Image</t>
  </si>
  <si>
    <t>testOtherH263Image</t>
  </si>
  <si>
    <t>testOtherMpeg4Image</t>
  </si>
  <si>
    <t>testOtherVP8Image</t>
  </si>
  <si>
    <t>testOtherVP9Image</t>
  </si>
  <si>
    <t>testGoogH265ImageReader</t>
  </si>
  <si>
    <t>testGoogH264ImageReader</t>
  </si>
  <si>
    <t>testGoogH263ImageReader</t>
  </si>
  <si>
    <t>testGoogMpeg4ImageReader</t>
  </si>
  <si>
    <t>testGoogVP8ImageReader</t>
  </si>
  <si>
    <t>testGoogVP9ImageReader</t>
  </si>
  <si>
    <t>testOtherH265ImageReader</t>
  </si>
  <si>
    <t>testOtherH264ImageReader</t>
  </si>
  <si>
    <t>testOtherH263ImageReader</t>
  </si>
  <si>
    <t>testOtherMpeg4ImageReader</t>
  </si>
  <si>
    <t>testOtherVP8ImageReader</t>
  </si>
  <si>
    <t>testOtherVP9ImageReader</t>
  </si>
  <si>
    <t>testHwAVCDecode360pForFlexibleYuv</t>
  </si>
  <si>
    <t>testSwAVCDecode360pForFlexibleYuv</t>
  </si>
  <si>
    <t>swirlTest</t>
  </si>
  <si>
    <t>testPostExtendedFrameCallbackWithoutDelay</t>
  </si>
  <si>
    <t>testPostExtendedFrameCallbackFrameDataVsyncIdValid</t>
  </si>
  <si>
    <t>testPostExtendedFrameCallbackFrameDataDeadlineInFuture</t>
  </si>
  <si>
    <t>testPostExtendedFrameCallbackFrameDataExpectedPresentTimeInFuture</t>
  </si>
  <si>
    <t>testPostNullExtendedFrameCallback</t>
  </si>
  <si>
    <t>testRemoveNullExtendedFrameCallback</t>
  </si>
  <si>
    <t>testWhenFeatureInDisabledModeAndOneSawWindowAbove_allowsTouch</t>
  </si>
  <si>
    <t>testWhenFeatureInPermissiveModeAndOneSawWindowAbove_allowsTouch</t>
  </si>
  <si>
    <t>testWhenOneActivityWindowWithZeroOpacity_blocksTouch</t>
  </si>
  <si>
    <t>testWhenOneSelfActivityChildWindow_allowsTouch</t>
  </si>
  <si>
    <t>testWhenOneSelfCustomToastOneSelfActivityChildAndOneSawBelowThreshold_allowsTouch</t>
  </si>
  <si>
    <t>testComputeStorageCacheBytesHint</t>
  </si>
  <si>
    <t>testInstallAppTwice</t>
  </si>
  <si>
    <t>runContentProviderCommand</t>
  </si>
  <si>
    <t>usesSdcardFs</t>
  </si>
  <si>
    <t>testV_noMsg</t>
  </si>
  <si>
    <t>testBindServiceAsUser_differentProfileGroup_withInteractAcrossUsersPermission_throwsException</t>
  </si>
  <si>
    <t>OpenAnswer</t>
  </si>
  <si>
    <t>answer</t>
  </si>
  <si>
    <t>prepareDeviceForOneTime</t>
  </si>
  <si>
    <t>restoreDeviceForOneTime</t>
  </si>
  <si>
    <t>testMultiplePermissions</t>
  </si>
  <si>
    <t>testNormalPermission</t>
  </si>
  <si>
    <t>testKillTriggersRevocation</t>
  </si>
  <si>
    <t>testNoRevocationWhileForeground</t>
  </si>
  <si>
    <t>testWhileInUseLocationPermission</t>
  </si>
  <si>
    <t>testNoRepromptWhenUserFixed</t>
  </si>
  <si>
    <t>placeAppInBackground</t>
  </si>
  <si>
    <t>killApp</t>
  </si>
  <si>
    <t>assertGrantedState</t>
  </si>
  <si>
    <t>assertGranted</t>
  </si>
  <si>
    <t>assertDenied</t>
  </si>
  <si>
    <t>waitUntilPermissionRevoked</t>
  </si>
  <si>
    <t>testWriterBuilder</t>
  </si>
  <si>
    <t>tesWriteCarServiceOnUserLifecycle</t>
  </si>
  <si>
    <t>compareArrays</t>
  </si>
  <si>
    <t>testExtractor</t>
  </si>
  <si>
    <t>getSampleSizes</t>
  </si>
  <si>
    <t>testExtractorFileDurationNative</t>
  </si>
  <si>
    <t>adler32</t>
  </si>
  <si>
    <t>getBitmapPixels</t>
  </si>
  <si>
    <t>getBitmapHistogram</t>
  </si>
  <si>
    <t>testForceDark_default</t>
  </si>
  <si>
    <t>testForceDark_rendersDark</t>
  </si>
  <si>
    <t>doTestDataUsageBytesTransferEnabled</t>
  </si>
  <si>
    <t>getNetworkStatsCombinedSubTypeEnabled</t>
  </si>
  <si>
    <t>setNetworkStatsCombinedSubTypeEnabled</t>
  </si>
  <si>
    <t>testGetDocumentUri_ThrowsWithoutPermission</t>
  </si>
  <si>
    <t>testGetDocumentUri_Symmetry_ExternalStorageProvider</t>
  </si>
  <si>
    <t>testGetMediaUriAccess_MediaDocumentsProvider</t>
  </si>
  <si>
    <t>testVibrator</t>
  </si>
  <si>
    <t>findPostedNotification</t>
  </si>
  <si>
    <t>setUpNotifListener</t>
  </si>
  <si>
    <t>sendAndVerifyBubble</t>
  </si>
  <si>
    <t>verifyNotificationBubbleState</t>
  </si>
  <si>
    <t>checkNotificationExistence</t>
  </si>
  <si>
    <t>setEnableServiceNotificationRateLimit</t>
  </si>
  <si>
    <t>toggleNotificationPolicyAccess</t>
  </si>
  <si>
    <t>suspendPackage</t>
  </si>
  <si>
    <t>setBubblesGlobal</t>
  </si>
  <si>
    <t>setBubblesAppPref</t>
  </si>
  <si>
    <t>setBubblesChannelAllowed</t>
  </si>
  <si>
    <t>assertExpectedDndState</t>
  </si>
  <si>
    <t>createDynamicShortcut</t>
  </si>
  <si>
    <t>deleteShortcuts</t>
  </si>
  <si>
    <t>getConversationNotification</t>
  </si>
  <si>
    <t>startSendBubbleActivity</t>
  </si>
  <si>
    <t>cleanupSendBubbleActivity</t>
  </si>
  <si>
    <t>testCanBubble_ranking</t>
  </si>
  <si>
    <t>testAreBubblesAllowed_appNone</t>
  </si>
  <si>
    <t>testAreBubblesAllowed_appSelected</t>
  </si>
  <si>
    <t>testAreBubblesAllowed_appAll</t>
  </si>
  <si>
    <t>testGetBubblePreference_appNone</t>
  </si>
  <si>
    <t>testGetBubblePreference_appSelected</t>
  </si>
  <si>
    <t>testGetBubblePreference_appAll</t>
  </si>
  <si>
    <t>testAreBubblesEnabled</t>
  </si>
  <si>
    <t>testAreBubblesEnabled_false</t>
  </si>
  <si>
    <t>testNotificationManagerBubblePolicy_flag_intentBubble</t>
  </si>
  <si>
    <t>testNotificationManagerBubblePolicy_noFlag_service</t>
  </si>
  <si>
    <t>testNotificationManagerBubblePolicy_noFlag_phonecall</t>
  </si>
  <si>
    <t>testNotificationManagerBubblePolicy_noFlag_foreground</t>
  </si>
  <si>
    <t>testNotificationManagerBubble_checkActivityFlagsDocumentLaunchMode</t>
  </si>
  <si>
    <t>testNotificationManagerBubblePolicy_flag_shortcutBubble</t>
  </si>
  <si>
    <t>testNotificationManagerBubblePolicy_noFlag_invalidShortcut</t>
  </si>
  <si>
    <t>testNotificationManagerBubblePolicy_noFlag_invalidNotif</t>
  </si>
  <si>
    <t>testNotificationManagerBubblePolicy_appAll_globalOn</t>
  </si>
  <si>
    <t>testNotificationManagerBubblePolicy_appAll_globalOff</t>
  </si>
  <si>
    <t>testNotificationManagerBubblePolicy_appAll_channelNo</t>
  </si>
  <si>
    <t>testNotificationManagerBubblePolicy_appSelected_channelNo</t>
  </si>
  <si>
    <t>testNotificationManagerBubblePolicy_appSelected_channelYes</t>
  </si>
  <si>
    <t>testNotificationManagerBubblePolicy_appNone_channelNo</t>
  </si>
  <si>
    <t>testNotificationManagerBubblePolicy_noFlag_shortcutRemoved</t>
  </si>
  <si>
    <t>testNotificationManagerBubbleNotificationSuppression</t>
  </si>
  <si>
    <t>testNotificationManagerBubble_checkIsBubbled_pendingIntent</t>
  </si>
  <si>
    <t>testNotificationManagerBubble_checkIsBubbled_shortcut</t>
  </si>
  <si>
    <t>testNotificationManagerBubble_setSuppressBubble</t>
  </si>
  <si>
    <t>testNotificationManagerBubble_setSuppressBubble_notSuppressable</t>
  </si>
  <si>
    <t>testNotificationManagerBubble_setSuppressBubble_activityNoLocusId</t>
  </si>
  <si>
    <t>testNotificationManagerBubble_setSuppressBubble_notificationNoLocusId</t>
  </si>
  <si>
    <t>testNotificationManagerBubble_setSuppressBubble_dismissLocusActivity</t>
  </si>
  <si>
    <t>testNotificationManagerBubble_launchBubble_activityOptions_fails</t>
  </si>
  <si>
    <t>testfromUtf8Text</t>
  </si>
  <si>
    <t>testFromString</t>
  </si>
  <si>
    <t>onVendorUciMessage</t>
  </si>
  <si>
    <t>testStartWaveformNotEqualsDifferentRepeatIndex</t>
  </si>
  <si>
    <t>testStartWaveformFailsRepeatIndexOutOfBounds</t>
  </si>
  <si>
    <t>waitForIsFailedBroadcast</t>
  </si>
  <si>
    <t>waitForIsReadyBroadcast</t>
  </si>
  <si>
    <t>updatePerfClassLevel</t>
  </si>
  <si>
    <t>getActualDefaultRingtoneUri_ringtone_matchesSettingsProviderRingtone</t>
  </si>
  <si>
    <t>getActualDefaultRingtoneUri_notification_matchesSettingsProviderNotificationSound</t>
  </si>
  <si>
    <t>getActualDefaultRingtoneUri_alarm_matchesSettingsProviderAlarmAlert</t>
  </si>
  <si>
    <t>setActualDefaultRingtoneUri_ringtone_setsSyncParentSoundsToFalse</t>
  </si>
  <si>
    <t>getActualDefaultRingtoneUri_ringtone_syncParentSoundsIsFalse_returnsSetRingtone</t>
  </si>
  <si>
    <t>getActualDefaultRingtoneUri_ringtone_syncParentSoundsIsTrue_returnsDefaultRingtone</t>
  </si>
  <si>
    <t>getActualDefaultRingtoneUri_ringtone_syncParentSoundsIsFalseAndUriWasPreviouslySet_returnsPreviouslySetRingtone</t>
  </si>
  <si>
    <t>setActualDefaultRingtoneUri_notification_setsSyncParentSoundsToFalse</t>
  </si>
  <si>
    <t>getActualDefaultRingtoneUri_notification_syncParentSoundsIsFalse_returnsSetRingtone</t>
  </si>
  <si>
    <t>getActualDefaultRingtoneUri_notification_syncParentSoundsIsTrue_returnsDefaultRingtone</t>
  </si>
  <si>
    <t>getActualDefaultRingtoneUri_notification_syncParentSoundsIsFalseAndUriWasPreviouslySet_returnsPreviouslySetRingtone</t>
  </si>
  <si>
    <t>setActualDefaultRingtoneUri_alarm_setsSyncParentSoundsToFalse</t>
  </si>
  <si>
    <t>getActualDefaultRingtoneUri_alarm_syncParentSoundsIsFalse_returnsSetRingtone</t>
  </si>
  <si>
    <t>getActualDefaultRingtoneUri_alarm_syncParentSoundsIsTrue_returnsDefaultRingtone</t>
  </si>
  <si>
    <t>getActualDefaultRingtoneUri_alarm_syncParentSoundsIsFalseAndUriWasPreviouslySet_returnsPreviouslySetRingtone</t>
  </si>
  <si>
    <t>testGetAndSetSsidsDoNotBlocklist</t>
  </si>
  <si>
    <t>testGetChipIds</t>
  </si>
  <si>
    <t>testChipIdsWithoutUwbPrivileged</t>
  </si>
  <si>
    <t>generateAndSendNotification</t>
  </si>
  <si>
    <t>swipeLeft</t>
  </si>
  <si>
    <t>testGetNearbyAppStreamingPolicy_defaultToSameManagedAccountOnly</t>
  </si>
  <si>
    <t>testSetNearbyAppStreamingPolicy_changesPolicy</t>
  </si>
  <si>
    <t>testGetNearbyNotificationStreamingPolicy_defaultToSameManagedAccountOnly</t>
  </si>
  <si>
    <t>testSetNearbyNotificationStreamingPolicy_changesPolicy</t>
  </si>
  <si>
    <t>isColorFormatSupported</t>
  </si>
  <si>
    <t>Decoder</t>
  </si>
  <si>
    <t>videoDecode</t>
  </si>
  <si>
    <t>testNextActivePreset</t>
  </si>
  <si>
    <t>testGroupNextActivePreset</t>
  </si>
  <si>
    <t>testPreviousActivePreset</t>
  </si>
  <si>
    <t>testGroupPreviousActivePreset</t>
  </si>
  <si>
    <t>onFloatingToolBar</t>
  </si>
  <si>
    <t>assertFloatingToolbarContainsItem</t>
  </si>
  <si>
    <t>testDisconnected</t>
  </si>
  <si>
    <t>testPermissionMigration</t>
  </si>
  <si>
    <t>testDataMigration</t>
  </si>
  <si>
    <t>testKeyMigration</t>
  </si>
  <si>
    <t>PackageBroadcastVerifier</t>
  </si>
  <si>
    <t>verifyInternal</t>
  </si>
  <si>
    <t>testBuildThrowsOnNullUserType</t>
  </si>
  <si>
    <t>testIoOveruseKillAfterDisplayTurnOffWithSharedUserIdApp</t>
  </si>
  <si>
    <t>verifyTestAppKilled</t>
  </si>
  <si>
    <t>onShutDown</t>
  </si>
  <si>
    <t>getMetered</t>
  </si>
  <si>
    <t>setMetered</t>
  </si>
  <si>
    <t>getIsDefault</t>
  </si>
  <si>
    <t>setIsDefault</t>
  </si>
  <si>
    <t>NetworkInterfaceToTest</t>
  </si>
  <si>
    <t>exerciseRemoteHost</t>
  </si>
  <si>
    <t>getAppOpsMode</t>
  </si>
  <si>
    <t>isInForeground</t>
  </si>
  <si>
    <t>NetworkCallback</t>
  </si>
  <si>
    <t>waitForHostResolution</t>
  </si>
  <si>
    <t>shouldTestThisNetworkType</t>
  </si>
  <si>
    <t>getSubscriberId</t>
  </si>
  <si>
    <t>testDeviceSummary</t>
  </si>
  <si>
    <t>testUserSummary</t>
  </si>
  <si>
    <t>testAppSummary</t>
  </si>
  <si>
    <t>testAppDetails</t>
  </si>
  <si>
    <t>testUidDetails</t>
  </si>
  <si>
    <t>testTagDetails</t>
  </si>
  <si>
    <t>QueryResult</t>
  </si>
  <si>
    <t>getNetworkStatsForTagState</t>
  </si>
  <si>
    <t>assertWithinPercentage</t>
  </si>
  <si>
    <t>assertAlmostNoUnexpectedTraffic</t>
  </si>
  <si>
    <t>testUidTagStateDetails</t>
  </si>
  <si>
    <t>tagToString</t>
  </si>
  <si>
    <t>stateToString</t>
  </si>
  <si>
    <t>getTotalAndAssertNotEmpty</t>
  </si>
  <si>
    <t>assertTimestamps</t>
  </si>
  <si>
    <t>onThresholdReached</t>
  </si>
  <si>
    <t>checkDeviceAsleep</t>
  </si>
  <si>
    <t>setPowerStateChangeOnActiveSourceLost</t>
  </si>
  <si>
    <t>setMenuLanguageIsDisabled</t>
  </si>
  <si>
    <t>setMenuLanguageNotHandledWhenDisabled</t>
  </si>
  <si>
    <t>testGetDispatcherOnView</t>
  </si>
  <si>
    <t>testBroadcastInfoRequest</t>
  </si>
  <si>
    <t>testBroadcastInfoResponse</t>
  </si>
  <si>
    <t>testPreCreateUser_fullUser</t>
  </si>
  <si>
    <t>testPreCreateUser_guestUser</t>
  </si>
  <si>
    <t>setupCrossProfileApps</t>
  </si>
  <si>
    <t>readTargetUser</t>
  </si>
  <si>
    <t>testTargetUserIsNotInGetTargetProfiles</t>
  </si>
  <si>
    <t>testCannotStartActivity</t>
  </si>
  <si>
    <t>testCannotGetProfileSwitchingLabel</t>
  </si>
  <si>
    <t>testCannotGetProfileSwitchingIconDrawable</t>
  </si>
  <si>
    <t>wakeupDeviceAndPressHome</t>
  </si>
  <si>
    <t>testCannotStartActivityByIntentWithNoPermissions</t>
  </si>
  <si>
    <t>testCanStartActivityByIntentWithInteractAcrossProfilesPermission</t>
  </si>
  <si>
    <t>testCannotStartActivityByIntentWithStartCrossProfileActivitiesPermission</t>
  </si>
  <si>
    <t>testCanStartActivityByIntentWithInteractAcrossUsersPermission</t>
  </si>
  <si>
    <t>testCanStartActivityByIntentWithInteractAcrossUsersFullPermission</t>
  </si>
  <si>
    <t>testCannotStartActivityWithImplicitIntent</t>
  </si>
  <si>
    <t>testCanStartMainActivityByIntent</t>
  </si>
  <si>
    <t>testCanStartMainActivityByIntent_withOptionsBundle</t>
  </si>
  <si>
    <t>testCanStartNonMainActivityByIntent</t>
  </si>
  <si>
    <t>testStartActivityIntent_sameTaskByDefault</t>
  </si>
  <si>
    <t>testStartActivityIntent_crossProfile_returnsResult</t>
  </si>
  <si>
    <t>testStartActivityByIntent_noAsserts</t>
  </si>
  <si>
    <t>testCanStartMainActivityByComponent</t>
  </si>
  <si>
    <t>testCanStartMainActivityByComponentWithStartCrossProfileActivitiesPermission</t>
  </si>
  <si>
    <t>testCanStartNonMainActivityByComponent</t>
  </si>
  <si>
    <t>testCanStartNonMainActivityByComponentWithStartCrossProfileActivitiesPermission</t>
  </si>
  <si>
    <t>testCanStartNotExportedActivityByIntent</t>
  </si>
  <si>
    <t>testCannotStartNotExportedActivityByComponent</t>
  </si>
  <si>
    <t>testCannotStartActivityInOtherPackageByIntent</t>
  </si>
  <si>
    <t>testCannotStartActivityInOtherPackageByComponent</t>
  </si>
  <si>
    <t>testTargetUserIsIngetTargetUserProfiles</t>
  </si>
  <si>
    <t>testCannotStartNonMainActivity</t>
  </si>
  <si>
    <t>testGetProfileSwitchingLabel</t>
  </si>
  <si>
    <t>testGetProfileSwitchingIconDrawable</t>
  </si>
  <si>
    <t>testStartMainActivity_noAsserts</t>
  </si>
  <si>
    <t>testGetTargetUserProfiles_noAsserts</t>
  </si>
  <si>
    <t>installRequiredApps</t>
  </si>
  <si>
    <t>testPrimaryUserToPrimaryUser</t>
  </si>
  <si>
    <t>testPrimaryUserToManagedProfile</t>
  </si>
  <si>
    <t>testManagedProfileToPrimaryUser</t>
  </si>
  <si>
    <t>testStartActivityComponent</t>
  </si>
  <si>
    <t>testStartActivityIntent</t>
  </si>
  <si>
    <t>testStartActivityIntentPermissions</t>
  </si>
  <si>
    <t>testStartActivityIntent_isLogged</t>
  </si>
  <si>
    <t>findTaskId</t>
  </si>
  <si>
    <t>testPrimaryUserToSecondaryUser</t>
  </si>
  <si>
    <t>testSecondaryUserToManagedProfile</t>
  </si>
  <si>
    <t>testManagedProfileToSecondaryUser</t>
  </si>
  <si>
    <t>testStartMainActivity_logged</t>
  </si>
  <si>
    <t>testGetTargetUserProfiles_logged</t>
  </si>
  <si>
    <t>verifyCrossProfileAppsApi</t>
  </si>
  <si>
    <t>createAndStartManagedProfile</t>
  </si>
  <si>
    <t>createTargetUserParam</t>
  </si>
  <si>
    <t>readLogcat</t>
  </si>
  <si>
    <t>assertMainActivityLaunchedForUser</t>
  </si>
  <si>
    <t>isFuseBpf</t>
  </si>
  <si>
    <t>specialArgDumpTest</t>
  </si>
  <si>
    <t>testCloneUser</t>
  </si>
  <si>
    <t>testCanInteractAcrossProfiles_withAppOpDisabledOnCallingProfile_returnsFalse</t>
  </si>
  <si>
    <t>testCanInteractAcrossProfiles_withAppOpDisabledOnOtherProfiles_returnsFalse</t>
  </si>
  <si>
    <t>testCreateRequestInteractAcrossProfilesIntent_canRequestInteraction_returnsIntent</t>
  </si>
  <si>
    <t>testCreateRequestInteractAcrossProfilesIntent_canNotRequestInteraction_throwsSecurityException</t>
  </si>
  <si>
    <t>testCreateRequestInteractAcrossProfilesIntent_noAsserts</t>
  </si>
  <si>
    <t>testSetCrossProfilePackages_noAsserts</t>
  </si>
  <si>
    <t>getCrossProfilePackage</t>
  </si>
  <si>
    <t>setAppOpOnCurrentProfile</t>
  </si>
  <si>
    <t>setAppOpOnAllProfiles</t>
  </si>
  <si>
    <t>assumeTestEnabled</t>
  </si>
  <si>
    <t>testCanRequestInteractAcrossProfiles_fromPersonalProfile_returnsTrue</t>
  </si>
  <si>
    <t>testCanRequestInteractAcrossProfiles_fromWorkProfile_returnsTrue</t>
  </si>
  <si>
    <t>testCanRequestInteractAcrossProfiles_noOtherProfiles_ReturnsFalse</t>
  </si>
  <si>
    <t>testCanRequestInteractAcrossProfiles_packageNotAllowed_returnsTrue</t>
  </si>
  <si>
    <t>testCanRequestInteractAcrossProfiles_packageNotInstalled_returnsTrue</t>
  </si>
  <si>
    <t>testCanRequestInteractAcrossProfiles_permissionNotRequested_returnsFalse</t>
  </si>
  <si>
    <t>testCanRequestInteractAcrossProfiles_profileOwner_returnsFalse</t>
  </si>
  <si>
    <t>testCanInteractAcrossProfiles_fromWorkProfile_returnsTrue</t>
  </si>
  <si>
    <t>testCreateRequestInteractAcrossProfilesIntent_fromWorkProfile_returnsIntent</t>
  </si>
  <si>
    <t>addManagedProfileAndInstallRequiredPackages</t>
  </si>
  <si>
    <t>addDefaultCrossProfilePackage</t>
  </si>
  <si>
    <t>createCrossProfilePackageParam</t>
  </si>
  <si>
    <t>assertPlayPauseVisible</t>
  </si>
  <si>
    <t>assertPlayPauseHidden</t>
  </si>
  <si>
    <t>assertPlayPauseAutoHides</t>
  </si>
  <si>
    <t>assertPlayPauseDoesntAutoHide</t>
  </si>
  <si>
    <t>setAllowedAndBlockedActivities_shouldThrowException</t>
  </si>
  <si>
    <t>setBlockedAndAllowedActivities_shouldThrowException</t>
  </si>
  <si>
    <t>getTargetUserProfiles_callingFromPrimaryUser_doesNotContainPrimaryUser</t>
  </si>
  <si>
    <t>getTargetUserProfiles_callingFromPrimaryUser_doesNotContainSecondaryUser</t>
  </si>
  <si>
    <t>getTargetUserProfiles_callingFromWorkProfile_containsPrimaryUser</t>
  </si>
  <si>
    <t>getTargetUserProfiles_callingFromWorkProfile_doesNotContainSecondaryUser</t>
  </si>
  <si>
    <t>getTargetUserProfiles_callingFromPrimaryUser_containsWorkProfile</t>
  </si>
  <si>
    <t>getTargetUserProfiles_callingFromPrimaryUser_appNotInstalledInWorkProfile_doesNotContainWorkProfile</t>
  </si>
  <si>
    <t>getTargetUserProfiles_callingFromSecondaryUser_doesNotContainWorkProfile</t>
  </si>
  <si>
    <t>startMainActivity_callingFromWorkProfile_targetIsPrimaryUser_launches</t>
  </si>
  <si>
    <t>startMainActivity_callingFromPrimaryUser_targetIsWorkProfile_launches</t>
  </si>
  <si>
    <t>startMainActivity_callingFromPrimaryUser_logged</t>
  </si>
  <si>
    <t>startMainActivity_callingFromWorkProfile_logged</t>
  </si>
  <si>
    <t>startMainActivity_callingFromPrimaryUser_targetIsPrimaryUser_throwsSecurityException</t>
  </si>
  <si>
    <t>startMainActivity_callingFromPrimaryUser_targetIsSecondaryUser_throwsSecurityException</t>
  </si>
  <si>
    <t>startMainActivity_callingFromSecondaryUser_targetIsWorkProfile_throwsSecurityException</t>
  </si>
  <si>
    <t>getProfileSwitchingLabel_callingFromPrimaryUser_targetIsPrimaryUser_throwsSecurityException</t>
  </si>
  <si>
    <t>getProfileSwitchingLabel_callingFromPrimaryUser_targetIsSecondaryUser_throwsSecurityException</t>
  </si>
  <si>
    <t>getProfileSwitchingLabel_callingFromSecondaryUser_targetIsWorkProfile_throwsSecurityException</t>
  </si>
  <si>
    <t>getProfileSwitchingLabel_callingFromWorProfile_targetIsPrimaryUser_notNull</t>
  </si>
  <si>
    <t>getProfileSwitchingLabel_callingFromPrimaryUser_targetIsWorkProfile_notNull</t>
  </si>
  <si>
    <t>getProfileSwitchingLabelIconDrawable_callingFromPrimaryUser_targetIsPrimaryUser_throwsSecurityException</t>
  </si>
  <si>
    <t>getProfileSwitchingLabelIconDrawable_callingFromPrimaryUser_targetIsSecondaryUser_throwsSecurityException</t>
  </si>
  <si>
    <t>getProfileSwitchingLabelIconDrawable_callingFromSecondaryUser_targetIsWorkProfile_throwsSecurityException</t>
  </si>
  <si>
    <t>getProfileSwitchingIconDrawable_callingFromWorkProfile_targetIsPrimaryUser_notNull</t>
  </si>
  <si>
    <t>getProfileSwitchingIconDrawable_callingFromPrimaryUser_targetIsWorkProfile_notNull</t>
  </si>
  <si>
    <t>canRequestInteractAcrossProfiles_fromPersonalProfile_returnsTrue</t>
  </si>
  <si>
    <t>canRequestInteractAcrossProfiles_fromWorkProfile_returnsTrue</t>
  </si>
  <si>
    <t>createRequestInteractAcrossProfilesIntent_appOpIsSetOnAllProfiles_returnsIntent</t>
  </si>
  <si>
    <t>testSendUserLifecycleEvent</t>
  </si>
  <si>
    <t>testGetSubscriptionExpirationTimeMillis</t>
  </si>
  <si>
    <t>onNewSession</t>
  </si>
  <si>
    <t>getActiveSessions</t>
  </si>
  <si>
    <t>TestGameSession</t>
  </si>
  <si>
    <t>setSequenceTest_startListening_segment_endofsession</t>
  </si>
  <si>
    <t>testCallEndpoint</t>
  </si>
  <si>
    <t>testPlaceCallOnEndpoint</t>
  </si>
  <si>
    <t>testCallEndpointSessionActivation_pushCall</t>
  </si>
  <si>
    <t>testCallEndpointSessionActivation_answerCall</t>
  </si>
  <si>
    <t>testCallEndpointSessionActivationRejected</t>
  </si>
  <si>
    <t>testCallEndpointSessionActivationTimeout</t>
  </si>
  <si>
    <t>setUpControl</t>
  </si>
  <si>
    <t>testCallEndpointsRegistration</t>
  </si>
  <si>
    <t>notifyCarrierNetworkChange</t>
  </si>
  <si>
    <t>notifyCarrierNetworkChangeWithSubId</t>
  </si>
  <si>
    <t>test_getDefaultAdapter</t>
  </si>
  <si>
    <t>test_checkBluetoothAddress</t>
  </si>
  <si>
    <t>test_enableDisable</t>
  </si>
  <si>
    <t>test_getAddress</t>
  </si>
  <si>
    <t>test_getBondedDevices</t>
  </si>
  <si>
    <t>test_getRemoteDevice</t>
  </si>
  <si>
    <t>test_getRemoteLeDevice</t>
  </si>
  <si>
    <t>test_isLeAudioSupported</t>
  </si>
  <si>
    <t>test_isLeAudioBroadcastSourceSupported</t>
  </si>
  <si>
    <t>test_isLeAudioBroadcastAssistantSupported</t>
  </si>
  <si>
    <t>test_getMaxConnectedAudioDevices</t>
  </si>
  <si>
    <t>test_listenUsingRfcommWithServiceRecord</t>
  </si>
  <si>
    <t>test_discoverableTimeout</t>
  </si>
  <si>
    <t>waitForAdapterNameChange</t>
  </si>
  <si>
    <t>test_isadbWifiSupported</t>
  </si>
  <si>
    <t>test_isadbWifiQrSupported</t>
  </si>
  <si>
    <t>testGetHapGroup</t>
  </si>
  <si>
    <t>testGetFeatures</t>
  </si>
  <si>
    <t>testBuilderSetRequiredFeaturesWithNull</t>
  </si>
  <si>
    <t>testEmptyTest</t>
  </si>
  <si>
    <t>testDeviceOwnerSetup</t>
  </si>
  <si>
    <t>setDeviceOwnerViaAdb_deviceHasAccount_fails</t>
  </si>
  <si>
    <t>addAccountOnce</t>
  </si>
  <si>
    <t>getLastTestProximityCallbackCode</t>
  </si>
  <si>
    <t>assertAccessibilityEventCleared</t>
  </si>
  <si>
    <t>testGetGameModeInfo</t>
  </si>
  <si>
    <t>resumeOnReboot_SingleUser_Success</t>
  </si>
  <si>
    <t>cect_11_2_6_3_SetValidMenuLanguage</t>
  </si>
  <si>
    <t>launchPreviewMultipleWithVideos</t>
  </si>
  <si>
    <t>testH264_adaptiveEarlyEos</t>
  </si>
  <si>
    <t>testHEVC_adaptiveEarlyEos</t>
  </si>
  <si>
    <t>testVP8_adaptiveEarlyEos</t>
  </si>
  <si>
    <t>testVP9_adaptiveEarlyEos</t>
  </si>
  <si>
    <t>testAV1_adaptiveEarlyEos</t>
  </si>
  <si>
    <t>testMpeg2_adaptiveEarlyEos</t>
  </si>
  <si>
    <t>testMpeg4_adaptiveEarlyEos</t>
  </si>
  <si>
    <t>testH263_adaptiveEarlyEos</t>
  </si>
  <si>
    <t>testH264_adaptiveEosFlushSeek</t>
  </si>
  <si>
    <t>testHEVC_adaptiveEosFlushSeek</t>
  </si>
  <si>
    <t>testVP8_adaptiveEosFlushSeek</t>
  </si>
  <si>
    <t>testVP9_adaptiveEosFlushSeek</t>
  </si>
  <si>
    <t>testAV1_adaptiveEosFlushSeek</t>
  </si>
  <si>
    <t>testMpeg2_adaptiveEosFlushSeek</t>
  </si>
  <si>
    <t>testMpeg4_adaptiveEosFlushSeek</t>
  </si>
  <si>
    <t>testH263_adaptiveEosFlushSeek</t>
  </si>
  <si>
    <t>testH264_adaptiveSkipAhead</t>
  </si>
  <si>
    <t>testHEVC_adaptiveSkipAhead</t>
  </si>
  <si>
    <t>testVP8_adaptiveSkipAhead</t>
  </si>
  <si>
    <t>testVP9_adaptiveSkipAhead</t>
  </si>
  <si>
    <t>testAV1_adaptiveSkipAhead</t>
  </si>
  <si>
    <t>testMpeg2_adaptiveSkipAhead</t>
  </si>
  <si>
    <t>testMpeg4_adaptiveSkipAhead</t>
  </si>
  <si>
    <t>testH263_adaptiveSkipAhead</t>
  </si>
  <si>
    <t>testH264_adaptiveSkipBack</t>
  </si>
  <si>
    <t>testHEVC_adaptiveSkipBack</t>
  </si>
  <si>
    <t>testVP8_adaptiveSkipBack</t>
  </si>
  <si>
    <t>testVP9_adaptiveSkipBack</t>
  </si>
  <si>
    <t>testAV1_adaptiveSkipBack</t>
  </si>
  <si>
    <t>testMpeg2_adaptiveSkipBack</t>
  </si>
  <si>
    <t>testMpeg4_adaptiveSkipBack</t>
  </si>
  <si>
    <t>testH263_adaptiveSkipBack</t>
  </si>
  <si>
    <t>testH264_adaptiveReconfigDrc</t>
  </si>
  <si>
    <t>testHEVC_adaptiveReconfigDrc</t>
  </si>
  <si>
    <t>testVP8_adaptiveReconfigDrc</t>
  </si>
  <si>
    <t>testVP9_adaptiveReconfigDrc</t>
  </si>
  <si>
    <t>testAV1_adaptiveReconfigDrc</t>
  </si>
  <si>
    <t>testMpeg2_adaptiveReconfigDrc</t>
  </si>
  <si>
    <t>testMpeg4_adaptiveReconfigDrc</t>
  </si>
  <si>
    <t>testH263_adaptiveReconfigDrc</t>
  </si>
  <si>
    <t>testH264_adaptiveSmallReconfigDrc</t>
  </si>
  <si>
    <t>testHEVC_adaptiveSmallReconfigDrc</t>
  </si>
  <si>
    <t>testVP8_adaptiveSmallReconfigDrc</t>
  </si>
  <si>
    <t>testVP9_adaptiveSmallReconfigDrc</t>
  </si>
  <si>
    <t>testAV1_adaptiveSmallReconfigDrc</t>
  </si>
  <si>
    <t>testMpeg2_adaptiveSmallReconfigDrc</t>
  </si>
  <si>
    <t>testMpeg4_adaptiveSmallReconfigDrc</t>
  </si>
  <si>
    <t>testH263_adaptiveSmallReconfigDrc</t>
  </si>
  <si>
    <t>testH264_adaptiveDrc</t>
  </si>
  <si>
    <t>testHEVC_adaptiveDrc</t>
  </si>
  <si>
    <t>testVP8_adaptiveDrc</t>
  </si>
  <si>
    <t>testVP9_adaptiveDrc</t>
  </si>
  <si>
    <t>testAV1_adaptiveDrc</t>
  </si>
  <si>
    <t>testMpeg2_adaptiveDrc</t>
  </si>
  <si>
    <t>testMpeg4_adaptiveDrc</t>
  </si>
  <si>
    <t>testH263_adaptiveDrc</t>
  </si>
  <si>
    <t>testH264_adaptiveDrcEarlyEos</t>
  </si>
  <si>
    <t>testHEVC_adaptiveDrcEarlyEos</t>
  </si>
  <si>
    <t>testVP8_adaptiveDrcEarlyEos</t>
  </si>
  <si>
    <t>testVP9_adaptiveDrcEarlyEos</t>
  </si>
  <si>
    <t>testAV1_adaptiveDrcEarlyEos</t>
  </si>
  <si>
    <t>testMpeg2_adaptiveDrcEarlyEos</t>
  </si>
  <si>
    <t>testH264_adaptiveSmallDrc</t>
  </si>
  <si>
    <t>testHEVC_adaptiveSmallDrc</t>
  </si>
  <si>
    <t>testVP8_adaptiveSmallDrc</t>
  </si>
  <si>
    <t>testVP9_adaptiveSmallDrc</t>
  </si>
  <si>
    <t>testAV1_adaptiveSmallDrc</t>
  </si>
  <si>
    <t>testMpeg2_adaptiveSmallDrc</t>
  </si>
  <si>
    <t>testH264_earlyEos</t>
  </si>
  <si>
    <t>testHEVC_earlyEos</t>
  </si>
  <si>
    <t>testVP8_earlyEos</t>
  </si>
  <si>
    <t>testVP9_earlyEos</t>
  </si>
  <si>
    <t>testAV1_earlyEos</t>
  </si>
  <si>
    <t>testMpeg2_earlyEos</t>
  </si>
  <si>
    <t>testMpeg4_earlyEos</t>
  </si>
  <si>
    <t>testH263_earlyEos</t>
  </si>
  <si>
    <t>testH264_eosFlushSeek</t>
  </si>
  <si>
    <t>testHEVC_eosFlushSeek</t>
  </si>
  <si>
    <t>testVP8_eosFlushSeek</t>
  </si>
  <si>
    <t>testVP9_eosFlushSeek</t>
  </si>
  <si>
    <t>testAV1_eosFlushSeek</t>
  </si>
  <si>
    <t>testMpeg2_eosFlushSeek</t>
  </si>
  <si>
    <t>testMpeg4_eosFlushSeek</t>
  </si>
  <si>
    <t>testH263_eosFlushSeek</t>
  </si>
  <si>
    <t>testH264_flushConfigureDrc</t>
  </si>
  <si>
    <t>testHEVC_flushConfigureDrc</t>
  </si>
  <si>
    <t>testVP8_flushConfigureDrc</t>
  </si>
  <si>
    <t>testVP9_flushConfigureDrc</t>
  </si>
  <si>
    <t>testAV1_flushConfigureDrc</t>
  </si>
  <si>
    <t>testMpeg2_flushConfigureDrc</t>
  </si>
  <si>
    <t>testMpeg4_flushConfigureDrc</t>
  </si>
  <si>
    <t>testH263_flushConfigureDrc</t>
  </si>
  <si>
    <t>adaptive</t>
  </si>
  <si>
    <t>adaptiveSmall</t>
  </si>
  <si>
    <t>byteBuffer</t>
  </si>
  <si>
    <t>checkAdaptiveFormat</t>
  </si>
  <si>
    <t>testAMRNBEncoders</t>
  </si>
  <si>
    <t>testAMRWBEncoders</t>
  </si>
  <si>
    <t>testOpusEncoders</t>
  </si>
  <si>
    <t>testAACEncoders</t>
  </si>
  <si>
    <t>testEncodeDecodeVideoFromBufferToBufferQCIF</t>
  </si>
  <si>
    <t>testEncodeDecodeVideoFromBufferToBufferQVGA</t>
  </si>
  <si>
    <t>testEncodeDecodeVideoFromBufferToBuffer720p</t>
  </si>
  <si>
    <t>testVP8EncodeDecodeVideoFromBufferToBufferQCIF</t>
  </si>
  <si>
    <t>testVP8EncodeDecodeVideoFromBufferToBufferQVGA</t>
  </si>
  <si>
    <t>testVP8EncodeDecodeVideoFromBufferToBuffer720p</t>
  </si>
  <si>
    <t>testEncodeDecodeVideoFromBufferToSurfaceQCIF</t>
  </si>
  <si>
    <t>testEncodeDecodeVideoFromBufferToSurfaceQVGA</t>
  </si>
  <si>
    <t>testEncodeDecodeVideoFromBufferToSurface720p</t>
  </si>
  <si>
    <t>testVP8EncodeDecodeVideoFromBufferToSurfaceQCIF</t>
  </si>
  <si>
    <t>testVP8EncodeDecodeVideoFromBufferToSurfaceQVGA</t>
  </si>
  <si>
    <t>testVP8EncodeDecodeVideoFromBufferToSurface720p</t>
  </si>
  <si>
    <t>testEncodeDecodeVideoFromSurfaceToSurfaceQCIF</t>
  </si>
  <si>
    <t>testEncodeDecodeVideoFromSurfaceToSurfaceQVGA</t>
  </si>
  <si>
    <t>testEncodeDecodeVideoFromSurfaceToSurface720p</t>
  </si>
  <si>
    <t>testEncodeDecodeVideoFromPersistentSurfaceToSurfaceQCIF</t>
  </si>
  <si>
    <t>testEncodeDecodeVideoFromPersistentSurfaceToSurfaceQVGA</t>
  </si>
  <si>
    <t>testEncodeDecodeVideoFromPersistentSurfaceToSurface720p</t>
  </si>
  <si>
    <t>testVP8EncodeDecodeVideoFromSurfaceToSurfaceQCIF</t>
  </si>
  <si>
    <t>testVP8EncodeDecodeVideoFromSurfaceToSurfaceQVGA</t>
  </si>
  <si>
    <t>testVP8EncodeDecodeVideoFromSurfaceToSurface720p</t>
  </si>
  <si>
    <t>testVP8EncodeDecodeVideoFromPersistentSurfaceToSurfaceQCIF</t>
  </si>
  <si>
    <t>testVP8EncodeDecodeVideoFromPersistentSurfaceToSurfaceQVGA</t>
  </si>
  <si>
    <t>testVP8EncodeDecodeVideoFromPersistentSurfaceToSurface720p</t>
  </si>
  <si>
    <t>setParameters</t>
  </si>
  <si>
    <t>combineArray</t>
  </si>
  <si>
    <t>h264</t>
  </si>
  <si>
    <t>vp8</t>
  </si>
  <si>
    <t>encoders</t>
  </si>
  <si>
    <t>testGoogH265FlexMinMin</t>
  </si>
  <si>
    <t>testGoogH265SurfMinMin</t>
  </si>
  <si>
    <t>testGoogH264FlexMinMin</t>
  </si>
  <si>
    <t>testGoogH264SurfMinMin</t>
  </si>
  <si>
    <t>testGoogH263FlexMinMin</t>
  </si>
  <si>
    <t>testGoogH263SurfMinMin</t>
  </si>
  <si>
    <t>testGoogMpeg4FlexMinMin</t>
  </si>
  <si>
    <t>testGoogMpeg4SurfMinMin</t>
  </si>
  <si>
    <t>testGoogVP8FlexMinMin</t>
  </si>
  <si>
    <t>testGoogVP8SurfMinMin</t>
  </si>
  <si>
    <t>testGoogVP9FlexMinMin</t>
  </si>
  <si>
    <t>testGoogVP9SurfMinMin</t>
  </si>
  <si>
    <t>testOtherH265FlexMinMin</t>
  </si>
  <si>
    <t>testOtherH265SurfMinMin</t>
  </si>
  <si>
    <t>testOtherH264FlexMinMin</t>
  </si>
  <si>
    <t>testOtherH264SurfMinMin</t>
  </si>
  <si>
    <t>testOtherH263FlexMinMin</t>
  </si>
  <si>
    <t>testOtherH263SurfMinMin</t>
  </si>
  <si>
    <t>testOtherMpeg4FlexMinMin</t>
  </si>
  <si>
    <t>testOtherMpeg4SurfMinMin</t>
  </si>
  <si>
    <t>testOtherVP8FlexMinMin</t>
  </si>
  <si>
    <t>testOtherVP8SurfMinMin</t>
  </si>
  <si>
    <t>testOtherVP9FlexMinMin</t>
  </si>
  <si>
    <t>testOtherVP9SurfMinMin</t>
  </si>
  <si>
    <t>testGoogH265FlexMinMax</t>
  </si>
  <si>
    <t>testGoogH265SurfMinMax</t>
  </si>
  <si>
    <t>testGoogH264FlexMinMax</t>
  </si>
  <si>
    <t>testGoogH264SurfMinMax</t>
  </si>
  <si>
    <t>testGoogH263FlexMinMax</t>
  </si>
  <si>
    <t>testGoogH263SurfMinMax</t>
  </si>
  <si>
    <t>testGoogMpeg4FlexMinMax</t>
  </si>
  <si>
    <t>testGoogMpeg4SurfMinMax</t>
  </si>
  <si>
    <t>testGoogVP8FlexMinMax</t>
  </si>
  <si>
    <t>testGoogVP8SurfMinMax</t>
  </si>
  <si>
    <t>testGoogVP9FlexMinMax</t>
  </si>
  <si>
    <t>testGoogVP9SurfMinMax</t>
  </si>
  <si>
    <t>testOtherH265FlexMinMax</t>
  </si>
  <si>
    <t>testOtherH265SurfMinMax</t>
  </si>
  <si>
    <t>testOtherH264FlexMinMax</t>
  </si>
  <si>
    <t>testOtherH264SurfMinMax</t>
  </si>
  <si>
    <t>testOtherH263FlexMinMax</t>
  </si>
  <si>
    <t>testOtherH263SurfMinMax</t>
  </si>
  <si>
    <t>testOtherMpeg4FlexMinMax</t>
  </si>
  <si>
    <t>testOtherMpeg4SurfMinMax</t>
  </si>
  <si>
    <t>testOtherVP8FlexMinMax</t>
  </si>
  <si>
    <t>testOtherVP8SurfMinMax</t>
  </si>
  <si>
    <t>testOtherVP9FlexMinMax</t>
  </si>
  <si>
    <t>testOtherVP9SurfMinMax</t>
  </si>
  <si>
    <t>testGoogH265FlexMaxMin</t>
  </si>
  <si>
    <t>testGoogH265SurfMaxMin</t>
  </si>
  <si>
    <t>testGoogH264FlexMaxMin</t>
  </si>
  <si>
    <t>testGoogH264SurfMaxMin</t>
  </si>
  <si>
    <t>testGoogH263FlexMaxMin</t>
  </si>
  <si>
    <t>testGoogH263SurfMaxMin</t>
  </si>
  <si>
    <t>testGoogMpeg4FlexMaxMin</t>
  </si>
  <si>
    <t>testGoogMpeg4SurfMaxMin</t>
  </si>
  <si>
    <t>testGoogVP8FlexMaxMin</t>
  </si>
  <si>
    <t>testGoogVP8SurfMaxMin</t>
  </si>
  <si>
    <t>testGoogVP9FlexMaxMin</t>
  </si>
  <si>
    <t>testGoogVP9SurfMaxMin</t>
  </si>
  <si>
    <t>testOtherH265FlexMaxMin</t>
  </si>
  <si>
    <t>testOtherH265SurfMaxMin</t>
  </si>
  <si>
    <t>testOtherH264FlexMaxMin</t>
  </si>
  <si>
    <t>testOtherH264SurfMaxMin</t>
  </si>
  <si>
    <t>testOtherH263FlexMaxMin</t>
  </si>
  <si>
    <t>testOtherH263SurfMaxMin</t>
  </si>
  <si>
    <t>testOtherMpeg4FlexMaxMin</t>
  </si>
  <si>
    <t>testOtherMpeg4SurfMaxMin</t>
  </si>
  <si>
    <t>testOtherVP8FlexMaxMin</t>
  </si>
  <si>
    <t>testOtherVP8SurfMaxMin</t>
  </si>
  <si>
    <t>testOtherVP9FlexMaxMin</t>
  </si>
  <si>
    <t>testOtherVP9SurfMaxMin</t>
  </si>
  <si>
    <t>testGoogH265FlexMaxMax</t>
  </si>
  <si>
    <t>testGoogH265SurfMaxMax</t>
  </si>
  <si>
    <t>testGoogH264FlexMaxMax</t>
  </si>
  <si>
    <t>testGoogH264SurfMaxMax</t>
  </si>
  <si>
    <t>testGoogH263FlexMaxMax</t>
  </si>
  <si>
    <t>testGoogH263SurfMaxMax</t>
  </si>
  <si>
    <t>testGoogMpeg4FlexMaxMax</t>
  </si>
  <si>
    <t>testGoogMpeg4SurfMaxMax</t>
  </si>
  <si>
    <t>testGoogVP8FlexMaxMax</t>
  </si>
  <si>
    <t>testGoogVP8SurfMaxMax</t>
  </si>
  <si>
    <t>testGoogVP9FlexMaxMax</t>
  </si>
  <si>
    <t>testGoogVP9SurfMaxMax</t>
  </si>
  <si>
    <t>testOtherH265FlexMaxMax</t>
  </si>
  <si>
    <t>testOtherH265SurfMaxMax</t>
  </si>
  <si>
    <t>testOtherH264FlexMaxMax</t>
  </si>
  <si>
    <t>testOtherH264SurfMaxMax</t>
  </si>
  <si>
    <t>testOtherH263FlexMaxMax</t>
  </si>
  <si>
    <t>testOtherH263SurfMaxMax</t>
  </si>
  <si>
    <t>testOtherMpeg4FlexMaxMax</t>
  </si>
  <si>
    <t>testOtherMpeg4SurfMaxMax</t>
  </si>
  <si>
    <t>testOtherVP8FlexMaxMax</t>
  </si>
  <si>
    <t>testOtherVP8SurfMaxMax</t>
  </si>
  <si>
    <t>testOtherVP9FlexMaxMax</t>
  </si>
  <si>
    <t>testOtherVP9SurfMaxMax</t>
  </si>
  <si>
    <t>testGoogH265FlexNearMinMin</t>
  </si>
  <si>
    <t>testGoogH265SurfNearMinMin</t>
  </si>
  <si>
    <t>testGoogH264FlexNearMinMin</t>
  </si>
  <si>
    <t>testGoogH264SurfNearMinMin</t>
  </si>
  <si>
    <t>testGoogH263FlexNearMinMin</t>
  </si>
  <si>
    <t>testGoogH263SurfNearMinMin</t>
  </si>
  <si>
    <t>testGoogMpeg4FlexNearMinMin</t>
  </si>
  <si>
    <t>testGoogMpeg4SurfNearMinMin</t>
  </si>
  <si>
    <t>testGoogVP8FlexNearMinMin</t>
  </si>
  <si>
    <t>testGoogVP8SurfNearMinMin</t>
  </si>
  <si>
    <t>testGoogVP9FlexNearMinMin</t>
  </si>
  <si>
    <t>testGoogVP9SurfNearMinMin</t>
  </si>
  <si>
    <t>testOtherH265FlexNearMinMin</t>
  </si>
  <si>
    <t>testOtherH265SurfNearMinMin</t>
  </si>
  <si>
    <t>testOtherH264FlexNearMinMin</t>
  </si>
  <si>
    <t>testOtherH264SurfNearMinMin</t>
  </si>
  <si>
    <t>testOtherH263FlexNearMinMin</t>
  </si>
  <si>
    <t>testOtherH263SurfNearMinMin</t>
  </si>
  <si>
    <t>testOtherMpeg4FlexNearMinMin</t>
  </si>
  <si>
    <t>testOtherMpeg4SurfNearMinMin</t>
  </si>
  <si>
    <t>testOtherVP8FlexNearMinMin</t>
  </si>
  <si>
    <t>testOtherVP8SurfNearMinMin</t>
  </si>
  <si>
    <t>testOtherVP9FlexNearMinMin</t>
  </si>
  <si>
    <t>testOtherVP9SurfNearMinMin</t>
  </si>
  <si>
    <t>testGoogH265FlexNearMinMax</t>
  </si>
  <si>
    <t>testGoogH265SurfNearMinMax</t>
  </si>
  <si>
    <t>testGoogH264FlexNearMinMax</t>
  </si>
  <si>
    <t>testGoogH264SurfNearMinMax</t>
  </si>
  <si>
    <t>testGoogH263FlexNearMinMax</t>
  </si>
  <si>
    <t>testGoogH263SurfNearMinMax</t>
  </si>
  <si>
    <t>testGoogMpeg4FlexNearMinMax</t>
  </si>
  <si>
    <t>testGoogMpeg4SurfNearMinMax</t>
  </si>
  <si>
    <t>testGoogVP8FlexNearMinMax</t>
  </si>
  <si>
    <t>testGoogVP8SurfNearMinMax</t>
  </si>
  <si>
    <t>testGoogVP9FlexNearMinMax</t>
  </si>
  <si>
    <t>testGoogVP9SurfNearMinMax</t>
  </si>
  <si>
    <t>testOtherH265FlexNearMinMax</t>
  </si>
  <si>
    <t>testOtherH265SurfNearMinMax</t>
  </si>
  <si>
    <t>testOtherH264FlexNearMinMax</t>
  </si>
  <si>
    <t>testOtherH264SurfNearMinMax</t>
  </si>
  <si>
    <t>testOtherH263FlexNearMinMax</t>
  </si>
  <si>
    <t>testOtherH263SurfNearMinMax</t>
  </si>
  <si>
    <t>testOtherMpeg4FlexNearMinMax</t>
  </si>
  <si>
    <t>testOtherMpeg4SurfNearMinMax</t>
  </si>
  <si>
    <t>testOtherVP8FlexNearMinMax</t>
  </si>
  <si>
    <t>testOtherVP8SurfNearMinMax</t>
  </si>
  <si>
    <t>testOtherVP9FlexNearMinMax</t>
  </si>
  <si>
    <t>testOtherVP9SurfNearMinMax</t>
  </si>
  <si>
    <t>testGoogH265FlexNearMaxMin</t>
  </si>
  <si>
    <t>testGoogH265SurfNearMaxMin</t>
  </si>
  <si>
    <t>testGoogH264FlexNearMaxMin</t>
  </si>
  <si>
    <t>testGoogH264SurfNearMaxMin</t>
  </si>
  <si>
    <t>testGoogH263FlexNearMaxMin</t>
  </si>
  <si>
    <t>testGoogH263SurfNearMaxMin</t>
  </si>
  <si>
    <t>testGoogMpeg4FlexNearMaxMin</t>
  </si>
  <si>
    <t>testGoogMpeg4SurfNearMaxMin</t>
  </si>
  <si>
    <t>testGoogVP8FlexNearMaxMin</t>
  </si>
  <si>
    <t>testGoogVP8SurfNearMaxMin</t>
  </si>
  <si>
    <t>testGoogVP9FlexNearMaxMin</t>
  </si>
  <si>
    <t>testGoogVP9SurfNearMaxMin</t>
  </si>
  <si>
    <t>testOtherH265FlexNearMaxMin</t>
  </si>
  <si>
    <t>testOtherH265SurfNearMaxMin</t>
  </si>
  <si>
    <t>testOtherH264FlexNearMaxMin</t>
  </si>
  <si>
    <t>testOtherH264SurfNearMaxMin</t>
  </si>
  <si>
    <t>testOtherH263FlexNearMaxMin</t>
  </si>
  <si>
    <t>testOtherH263SurfNearMaxMin</t>
  </si>
  <si>
    <t>testOtherMpeg4FlexNearMaxMin</t>
  </si>
  <si>
    <t>testOtherMpeg4SurfNearMaxMin</t>
  </si>
  <si>
    <t>testOtherVP8FlexNearMaxMin</t>
  </si>
  <si>
    <t>testOtherVP8SurfNearMaxMin</t>
  </si>
  <si>
    <t>testOtherVP9FlexNearMaxMin</t>
  </si>
  <si>
    <t>testOtherVP9SurfNearMaxMin</t>
  </si>
  <si>
    <t>testGoogH265FlexNearMaxMax</t>
  </si>
  <si>
    <t>testGoogH265SurfNearMaxMax</t>
  </si>
  <si>
    <t>testGoogH264FlexNearMaxMax</t>
  </si>
  <si>
    <t>testGoogH264SurfNearMaxMax</t>
  </si>
  <si>
    <t>testGoogH263FlexNearMaxMax</t>
  </si>
  <si>
    <t>testGoogH263SurfNearMaxMax</t>
  </si>
  <si>
    <t>testGoogMpeg4FlexNearMaxMax</t>
  </si>
  <si>
    <t>testGoogMpeg4SurfNearMaxMax</t>
  </si>
  <si>
    <t>testGoogVP8FlexNearMaxMax</t>
  </si>
  <si>
    <t>testGoogVP8SurfNearMaxMax</t>
  </si>
  <si>
    <t>testGoogVP9FlexNearMaxMax</t>
  </si>
  <si>
    <t>testGoogVP9SurfNearMaxMax</t>
  </si>
  <si>
    <t>testOtherH265FlexNearMaxMax</t>
  </si>
  <si>
    <t>testOtherH265SurfNearMaxMax</t>
  </si>
  <si>
    <t>testOtherH264FlexNearMaxMax</t>
  </si>
  <si>
    <t>testOtherH264SurfNearMaxMax</t>
  </si>
  <si>
    <t>testOtherH263FlexNearMaxMax</t>
  </si>
  <si>
    <t>testOtherH263SurfNearMaxMax</t>
  </si>
  <si>
    <t>testOtherMpeg4FlexNearMaxMax</t>
  </si>
  <si>
    <t>testOtherMpeg4SurfNearMaxMax</t>
  </si>
  <si>
    <t>testOtherVP8FlexNearMaxMax</t>
  </si>
  <si>
    <t>testOtherVP8SurfNearMaxMax</t>
  </si>
  <si>
    <t>testOtherVP9FlexNearMaxMax</t>
  </si>
  <si>
    <t>testOtherVP9SurfNearMaxMax</t>
  </si>
  <si>
    <t>testGoogH265FlexArbitraryW</t>
  </si>
  <si>
    <t>testGoogH265SurfArbitraryW</t>
  </si>
  <si>
    <t>testGoogH264FlexArbitraryW</t>
  </si>
  <si>
    <t>testGoogH264SurfArbitraryW</t>
  </si>
  <si>
    <t>testGoogH263FlexArbitraryW</t>
  </si>
  <si>
    <t>testGoogH263SurfArbitraryW</t>
  </si>
  <si>
    <t>testGoogMpeg4FlexArbitraryW</t>
  </si>
  <si>
    <t>testGoogMpeg4SurfArbitraryW</t>
  </si>
  <si>
    <t>testGoogVP8FlexArbitraryW</t>
  </si>
  <si>
    <t>testGoogVP8SurfArbitraryW</t>
  </si>
  <si>
    <t>testGoogVP9FlexArbitraryW</t>
  </si>
  <si>
    <t>testGoogVP9SurfArbitraryW</t>
  </si>
  <si>
    <t>testOtherH265FlexArbitraryW</t>
  </si>
  <si>
    <t>testOtherH265SurfArbitraryW</t>
  </si>
  <si>
    <t>testOtherH264FlexArbitraryW</t>
  </si>
  <si>
    <t>testOtherH264SurfArbitraryW</t>
  </si>
  <si>
    <t>testOtherH263FlexArbitraryW</t>
  </si>
  <si>
    <t>testOtherH263SurfArbitraryW</t>
  </si>
  <si>
    <t>testOtherMpeg4FlexArbitraryW</t>
  </si>
  <si>
    <t>testOtherMpeg4SurfArbitraryW</t>
  </si>
  <si>
    <t>testOtherVP8FlexArbitraryW</t>
  </si>
  <si>
    <t>testOtherVP8SurfArbitraryW</t>
  </si>
  <si>
    <t>testOtherVP9FlexArbitraryW</t>
  </si>
  <si>
    <t>testOtherVP9SurfArbitraryW</t>
  </si>
  <si>
    <t>testGoogH265FlexArbitraryH</t>
  </si>
  <si>
    <t>testGoogH265SurfArbitraryH</t>
  </si>
  <si>
    <t>testGoogH264FlexArbitraryH</t>
  </si>
  <si>
    <t>testGoogH264SurfArbitraryH</t>
  </si>
  <si>
    <t>testGoogH263FlexArbitraryH</t>
  </si>
  <si>
    <t>testGoogH263SurfArbitraryH</t>
  </si>
  <si>
    <t>testGoogMpeg4FlexArbitraryH</t>
  </si>
  <si>
    <t>testGoogMpeg4SurfArbitraryH</t>
  </si>
  <si>
    <t>testGoogVP8FlexArbitraryH</t>
  </si>
  <si>
    <t>testGoogVP8SurfArbitraryH</t>
  </si>
  <si>
    <t>testGoogVP9FlexArbitraryH</t>
  </si>
  <si>
    <t>testGoogVP9SurfArbitraryH</t>
  </si>
  <si>
    <t>testOtherH265FlexArbitraryH</t>
  </si>
  <si>
    <t>testOtherH265SurfArbitraryH</t>
  </si>
  <si>
    <t>testOtherH264FlexArbitraryH</t>
  </si>
  <si>
    <t>testOtherH264SurfArbitraryH</t>
  </si>
  <si>
    <t>testOtherH263FlexArbitraryH</t>
  </si>
  <si>
    <t>testOtherH263SurfArbitraryH</t>
  </si>
  <si>
    <t>testOtherMpeg4FlexArbitraryH</t>
  </si>
  <si>
    <t>testOtherMpeg4SurfArbitraryH</t>
  </si>
  <si>
    <t>testOtherVP8FlexArbitraryH</t>
  </si>
  <si>
    <t>testOtherVP8SurfArbitraryH</t>
  </si>
  <si>
    <t>testOtherVP9FlexArbitraryH</t>
  </si>
  <si>
    <t>testOtherVP9SurfArbitraryH</t>
  </si>
  <si>
    <t>testGoogH265FlexQCIF</t>
  </si>
  <si>
    <t>testGoogH265SurfQCIF</t>
  </si>
  <si>
    <t>testGoogH264FlexQCIF</t>
  </si>
  <si>
    <t>testGoogH264SurfQCIF</t>
  </si>
  <si>
    <t>testGoogH263FlexQCIF</t>
  </si>
  <si>
    <t>testGoogH263SurfQCIF</t>
  </si>
  <si>
    <t>testGoogMpeg4FlexQCIF</t>
  </si>
  <si>
    <t>testGoogMpeg4SurfQCIF</t>
  </si>
  <si>
    <t>testGoogVP8FlexQCIF</t>
  </si>
  <si>
    <t>testGoogVP8SurfQCIF</t>
  </si>
  <si>
    <t>testGoogVP9FlexQCIF</t>
  </si>
  <si>
    <t>testGoogVP9SurfQCIF</t>
  </si>
  <si>
    <t>testOtherH265FlexQCIF</t>
  </si>
  <si>
    <t>testOtherH265SurfQCIF</t>
  </si>
  <si>
    <t>testOtherH264FlexQCIF</t>
  </si>
  <si>
    <t>testOtherH264SurfQCIF</t>
  </si>
  <si>
    <t>testOtherH263FlexQCIF</t>
  </si>
  <si>
    <t>testOtherH263SurfQCIF</t>
  </si>
  <si>
    <t>testOtherMpeg4FlexQCIF</t>
  </si>
  <si>
    <t>testOtherMpeg4SurfQCIF</t>
  </si>
  <si>
    <t>testOtherVP8FlexQCIF</t>
  </si>
  <si>
    <t>testOtherVP8SurfQCIF</t>
  </si>
  <si>
    <t>testOtherVP9FlexQCIF</t>
  </si>
  <si>
    <t>testOtherVP9SurfQCIF</t>
  </si>
  <si>
    <t>testGoogH265Flex480p</t>
  </si>
  <si>
    <t>testGoogH265Surf480p</t>
  </si>
  <si>
    <t>testGoogH264Flex480p</t>
  </si>
  <si>
    <t>testGoogH264Surf480p</t>
  </si>
  <si>
    <t>testGoogH263Flex480p</t>
  </si>
  <si>
    <t>testGoogH263Surf480p</t>
  </si>
  <si>
    <t>testGoogMpeg4Flex480p</t>
  </si>
  <si>
    <t>testGoogMpeg4Surf480p</t>
  </si>
  <si>
    <t>testGoogVP8Flex480p</t>
  </si>
  <si>
    <t>testGoogVP8Surf480p</t>
  </si>
  <si>
    <t>testGoogVP9Flex480p</t>
  </si>
  <si>
    <t>testGoogVP9Surf480p</t>
  </si>
  <si>
    <t>testOtherH265Flex480p</t>
  </si>
  <si>
    <t>testOtherH265Surf480p</t>
  </si>
  <si>
    <t>testOtherH264Flex480p</t>
  </si>
  <si>
    <t>testOtherH264Surf480p</t>
  </si>
  <si>
    <t>testOtherH263Flex480p</t>
  </si>
  <si>
    <t>testOtherH263Surf480p</t>
  </si>
  <si>
    <t>testOtherMpeg4Flex480p</t>
  </si>
  <si>
    <t>testOtherMpeg4Surf480p</t>
  </si>
  <si>
    <t>testOtherVP8Flex480p</t>
  </si>
  <si>
    <t>testOtherVP8Surf480p</t>
  </si>
  <si>
    <t>testOtherVP9Flex480p</t>
  </si>
  <si>
    <t>testOtherVP9Surf480p</t>
  </si>
  <si>
    <t>testGoogH265Flex720p</t>
  </si>
  <si>
    <t>testGoogH265Surf720p</t>
  </si>
  <si>
    <t>testGoogH264Flex720p</t>
  </si>
  <si>
    <t>testGoogH264Surf720p</t>
  </si>
  <si>
    <t>testGoogH263Flex720p</t>
  </si>
  <si>
    <t>testGoogH263Surf720p</t>
  </si>
  <si>
    <t>testGoogMpeg4Flex720p</t>
  </si>
  <si>
    <t>testGoogMpeg4Surf720p</t>
  </si>
  <si>
    <t>testGoogVP8Flex720p</t>
  </si>
  <si>
    <t>testGoogVP8Surf720p</t>
  </si>
  <si>
    <t>testGoogVP9Flex720p</t>
  </si>
  <si>
    <t>testGoogVP9Surf720p</t>
  </si>
  <si>
    <t>testOtherH265Flex720p</t>
  </si>
  <si>
    <t>testOtherH265Surf720p</t>
  </si>
  <si>
    <t>testOtherH264Flex720p</t>
  </si>
  <si>
    <t>testOtherH264Surf720p</t>
  </si>
  <si>
    <t>testOtherH263Flex720p</t>
  </si>
  <si>
    <t>testOtherH263Surf720p</t>
  </si>
  <si>
    <t>testOtherMpeg4Flex720p</t>
  </si>
  <si>
    <t>testOtherMpeg4Surf720p</t>
  </si>
  <si>
    <t>testOtherVP8Flex720p</t>
  </si>
  <si>
    <t>testOtherVP8Surf720p</t>
  </si>
  <si>
    <t>testOtherVP9Flex720p</t>
  </si>
  <si>
    <t>testOtherVP9Surf720p</t>
  </si>
  <si>
    <t>testGoogH265Flex1080p</t>
  </si>
  <si>
    <t>testGoogH265Surf1080p</t>
  </si>
  <si>
    <t>testGoogH264Flex1080p</t>
  </si>
  <si>
    <t>testGoogH264Surf1080p</t>
  </si>
  <si>
    <t>testGoogH263Flex1080p</t>
  </si>
  <si>
    <t>testGoogH263Surf1080p</t>
  </si>
  <si>
    <t>testGoogMpeg4Flex1080p</t>
  </si>
  <si>
    <t>testGoogMpeg4Surf1080p</t>
  </si>
  <si>
    <t>testGoogVP8Flex1080p</t>
  </si>
  <si>
    <t>testGoogVP8Surf1080p</t>
  </si>
  <si>
    <t>testGoogVP9Flex1080p</t>
  </si>
  <si>
    <t>testGoogVP9Surf1080p</t>
  </si>
  <si>
    <t>testOtherH265Flex1080p</t>
  </si>
  <si>
    <t>testOtherH265Surf1080p</t>
  </si>
  <si>
    <t>testOtherH264Flex1080p</t>
  </si>
  <si>
    <t>testOtherH264Surf1080p</t>
  </si>
  <si>
    <t>testOtherH263Flex1080p</t>
  </si>
  <si>
    <t>testOtherH263Surf1080p</t>
  </si>
  <si>
    <t>testOtherMpeg4Flex1080p</t>
  </si>
  <si>
    <t>testOtherMpeg4Surf1080p</t>
  </si>
  <si>
    <t>testOtherVP8Flex1080p</t>
  </si>
  <si>
    <t>testOtherVP8Surf1080p</t>
  </si>
  <si>
    <t>testOtherVP9Flex1080p</t>
  </si>
  <si>
    <t>testOtherVP9Surf1080p</t>
  </si>
  <si>
    <t>testGoogH265Flex360pWithIntraRefresh</t>
  </si>
  <si>
    <t>testGoogH264Flex360pWithIntraRefresh</t>
  </si>
  <si>
    <t>testGoogH263Flex360pWithIntraRefresh</t>
  </si>
  <si>
    <t>testGoogMpeg4Flex360pWithIntraRefresh</t>
  </si>
  <si>
    <t>testGoogVP8Flex360pWithIntraRefresh</t>
  </si>
  <si>
    <t>testOtherH265Flex360pWithIntraRefresh</t>
  </si>
  <si>
    <t>testOtherH264Flex360pWithIntraRefresh</t>
  </si>
  <si>
    <t>testOtherH263FlexQCIFWithIntraRefresh</t>
  </si>
  <si>
    <t>testOtherMpeg4Flex360pWithIntraRefresh</t>
  </si>
  <si>
    <t>testOtherVP8Flex360pWithIntraRefresh</t>
  </si>
  <si>
    <t>testH264LowQualitySDSupport</t>
  </si>
  <si>
    <t>testH264HighQualitySDSupport</t>
  </si>
  <si>
    <t>testH264FlexQVGA20fps384kbps</t>
  </si>
  <si>
    <t>testH264SurfQVGA20fps384kbps</t>
  </si>
  <si>
    <t>testH264Flex480p30fps2Mbps</t>
  </si>
  <si>
    <t>testH264Surf480p30fps2Mbps</t>
  </si>
  <si>
    <t>testH264Flex720p30fps4Mbps</t>
  </si>
  <si>
    <t>testH264Surf720p30fps4Mbps</t>
  </si>
  <si>
    <t>testH264Flex1080p30fps10Mbps</t>
  </si>
  <si>
    <t>testH264Surf1080p30fps10Mbps</t>
  </si>
  <si>
    <t>testVP8LowQualitySDSupport</t>
  </si>
  <si>
    <t>testVP8HighQualitySDSupport</t>
  </si>
  <si>
    <t>testVP8Flex180p30fps800kbps</t>
  </si>
  <si>
    <t>testVP8Surf180p30fps800kbps</t>
  </si>
  <si>
    <t>testVP8Flex360p30fps2Mbps</t>
  </si>
  <si>
    <t>testVP8Surf360p30fps2Mbps</t>
  </si>
  <si>
    <t>testVP8Flex720p30fps4Mbps</t>
  </si>
  <si>
    <t>testVP8Surf720p30fps4Mbps</t>
  </si>
  <si>
    <t>testVP8Flex1080p30fps10Mbps</t>
  </si>
  <si>
    <t>testVP8Surf1080p30fps10Mbps</t>
  </si>
  <si>
    <t>testCreateSmartspaceDefaultUiTemplateData</t>
  </si>
  <si>
    <t>testCreateSmartspaceCarouselUiTemplateData</t>
  </si>
  <si>
    <t>createCarouselItem</t>
  </si>
  <si>
    <t>testCreateSmartspaceCombinedCardsUiTemplateData</t>
  </si>
  <si>
    <t>createSmartspaceDefaultUiTemplateData</t>
  </si>
  <si>
    <t>testCreateSmartspaceIcon</t>
  </si>
  <si>
    <t>testCreateSmartspaceHeadToHeadUiTemplateData</t>
  </si>
  <si>
    <t>testCreateSmartspaceText_defaultBuilder</t>
  </si>
  <si>
    <t>testCreateSmartspaceText_builderWithMiddleTrunctAtType</t>
  </si>
  <si>
    <t>testCreateSmartspaceSubCardUiTemplateData</t>
  </si>
  <si>
    <t>testCreateSmartspaceSubImageUiTemplateData</t>
  </si>
  <si>
    <t>testCreateSmartspaceSubListUiTemplateData</t>
  </si>
  <si>
    <t>testCreateSmartspaceTapAction</t>
  </si>
  <si>
    <t>swipeToShowSystemBars</t>
  </si>
  <si>
    <t>assumeLowPowerStandbySupported</t>
  </si>
  <si>
    <t>testSelectActivePreset</t>
  </si>
  <si>
    <t>testGroupSelectActivePreset</t>
  </si>
  <si>
    <t>testGetPresetInfo</t>
  </si>
  <si>
    <t>testGetAllPresetsInfo</t>
  </si>
  <si>
    <t>testGroupSetPresetName</t>
  </si>
  <si>
    <t>testDolbyVisionVideoOnlyP8</t>
  </si>
  <si>
    <t>testMandatoryUseCaseOutputCombination</t>
  </si>
  <si>
    <t>waitForReport</t>
  </si>
  <si>
    <t>testEnableDisable</t>
  </si>
  <si>
    <t>testGetAddress</t>
  </si>
  <si>
    <t>testListenUsingRfcommWithServiceRecord</t>
  </si>
  <si>
    <t>testGetRemoteDevice</t>
  </si>
  <si>
    <t>isStateEnabled</t>
  </si>
  <si>
    <t>isStateDisabled</t>
  </si>
  <si>
    <t>testBluetooth</t>
  </si>
  <si>
    <t>testGetsExpectedDelegationScopes</t>
  </si>
  <si>
    <t>testDifferentPackageNameThrowsException</t>
  </si>
  <si>
    <t>amICertInstallDelegate</t>
  </si>
  <si>
    <t>testSetGameContextStandardMode</t>
  </si>
  <si>
    <t>testSetGameContextPerformanceMode</t>
  </si>
  <si>
    <t>testBasicVP8CBR</t>
  </si>
  <si>
    <t>testBasicVP8VBR</t>
  </si>
  <si>
    <t>testBasicVP9CBR</t>
  </si>
  <si>
    <t>testBasicVP9VBR</t>
  </si>
  <si>
    <t>testBasicAVCCBR</t>
  </si>
  <si>
    <t>testBasicAVCVBR</t>
  </si>
  <si>
    <t>testBasicHEVCCBR</t>
  </si>
  <si>
    <t>testBasicHEVCVBR</t>
  </si>
  <si>
    <t>testAsyncEncodingVP8CBR</t>
  </si>
  <si>
    <t>testAsyncEncodingVP8VBR</t>
  </si>
  <si>
    <t>testAsyncEncodingVP9CBR</t>
  </si>
  <si>
    <t>testAsyncEncodingVP9VBR</t>
  </si>
  <si>
    <t>testAsyncEncodingAVCCBR</t>
  </si>
  <si>
    <t>testAsyncEncodingAVCVBR</t>
  </si>
  <si>
    <t>testAsyncEncodingHEVCCBR</t>
  </si>
  <si>
    <t>testAsyncEncodingHEVCVBR</t>
  </si>
  <si>
    <t>testSyncFrameVP8CBR</t>
  </si>
  <si>
    <t>testSyncFrameVP8VBR</t>
  </si>
  <si>
    <t>testSyncFrameVP8NdkCBR</t>
  </si>
  <si>
    <t>testSyncFrameVP8NdkVBR</t>
  </si>
  <si>
    <t>testSyncFrameVP9CBR</t>
  </si>
  <si>
    <t>testSyncFrameVP9VBR</t>
  </si>
  <si>
    <t>testSyncFrameVP9NdkCBR</t>
  </si>
  <si>
    <t>testSyncFrameVP9NdkVBR</t>
  </si>
  <si>
    <t>testSyncFrameAVCCBR</t>
  </si>
  <si>
    <t>testSyncFrameAVCVBR</t>
  </si>
  <si>
    <t>testSyncFrameAVCNdkCBR</t>
  </si>
  <si>
    <t>testSyncFrameAVCNdkVBR</t>
  </si>
  <si>
    <t>testSyncFrameHEVCCBR</t>
  </si>
  <si>
    <t>testSyncFrameHEVCVBR</t>
  </si>
  <si>
    <t>testSyncFrameHEVCNdkCBR</t>
  </si>
  <si>
    <t>testSyncFrameHEVCNdkVBR</t>
  </si>
  <si>
    <t>testDynamicBitrateChangeVP8CBR</t>
  </si>
  <si>
    <t>testDynamicBitrateChangeVP8VBR</t>
  </si>
  <si>
    <t>testDynamicBitrateChangeVP8NdkCBR</t>
  </si>
  <si>
    <t>testDynamicBitrateChangeVP8NdkVBR</t>
  </si>
  <si>
    <t>testDynamicBitrateChangeVP9CBR</t>
  </si>
  <si>
    <t>testDynamicBitrateChangeVP9VBR</t>
  </si>
  <si>
    <t>testDynamicBitrateChangeVP9NdkCBR</t>
  </si>
  <si>
    <t>testDynamicBitrateChangeVP9NdkVBR</t>
  </si>
  <si>
    <t>testDynamicBitrateChangeAVCCBR</t>
  </si>
  <si>
    <t>testDynamicBitrateChangeAVCVBR</t>
  </si>
  <si>
    <t>testDynamicBitrateChangeAVCNdkCBR</t>
  </si>
  <si>
    <t>testDynamicBitrateChangeAVCNdkVBR</t>
  </si>
  <si>
    <t>testDynamicBitrateChangeHEVCCBR</t>
  </si>
  <si>
    <t>testDynamicBitrateChangeHEVCVBR</t>
  </si>
  <si>
    <t>testDynamicBitrateChangeHEVCNdkCBR</t>
  </si>
  <si>
    <t>testDynamicBitrateChangeHEVCNdkVBR</t>
  </si>
  <si>
    <t>testEncoderQualityVP8CBR</t>
  </si>
  <si>
    <t>testEncoderQualityVP8VBR</t>
  </si>
  <si>
    <t>testEncoderQualityVP9CBR</t>
  </si>
  <si>
    <t>testEncoderQualityVP9VBR</t>
  </si>
  <si>
    <t>testEncoderQualityAVCCBR</t>
  </si>
  <si>
    <t>testEncoderQualityAVCVBR</t>
  </si>
  <si>
    <t>testEncoderQualityHEVCCBR</t>
  </si>
  <si>
    <t>testEncoderQualityHEVCVBR</t>
  </si>
  <si>
    <t>testParallelEncodingAndDecodingAVC</t>
  </si>
  <si>
    <t>testParallelEncodingAndDecodingHEVC</t>
  </si>
  <si>
    <t>SampleDeviceReportLogTest</t>
  </si>
  <si>
    <t>SampleDeviceResultTest</t>
  </si>
  <si>
    <t>SampleDeviceTest</t>
  </si>
  <si>
    <t>shouldSaveSharedPreferences</t>
  </si>
  <si>
    <t>testBroadastResponseStats_packageName</t>
  </si>
  <si>
    <t>count</t>
  </si>
  <si>
    <t>testAvcCount0320x0240</t>
  </si>
  <si>
    <t>testAvcGoog0Perf0320x0240</t>
  </si>
  <si>
    <t>testAvcGoog1Perf0320x0240</t>
  </si>
  <si>
    <t>testAvcOther0Perf0320x0240</t>
  </si>
  <si>
    <t>testAvcOther1Perf0320x0240</t>
  </si>
  <si>
    <t>testAvcOther2Perf0320x0240</t>
  </si>
  <si>
    <t>testAvcOther3Perf0320x0240</t>
  </si>
  <si>
    <t>testAvcCount0720x0480</t>
  </si>
  <si>
    <t>testAvcGoog0Perf0720x0480</t>
  </si>
  <si>
    <t>testAvcGoog1Perf0720x0480</t>
  </si>
  <si>
    <t>testAvcOther0Perf0720x0480</t>
  </si>
  <si>
    <t>testAvcOther1Perf0720x0480</t>
  </si>
  <si>
    <t>testAvcOther2Perf0720x0480</t>
  </si>
  <si>
    <t>testAvcOther3Perf0720x0480</t>
  </si>
  <si>
    <t>testAvcCount1280x0720</t>
  </si>
  <si>
    <t>testAvcGoog0Perf1280x0720</t>
  </si>
  <si>
    <t>testAvcGoog1Perf1280x0720</t>
  </si>
  <si>
    <t>testAvcOther0Perf1280x0720</t>
  </si>
  <si>
    <t>testAvcOther1Perf1280x0720</t>
  </si>
  <si>
    <t>testAvcOther2Perf1280x0720</t>
  </si>
  <si>
    <t>testAvcOther3Perf1280x0720</t>
  </si>
  <si>
    <t>testAvcCount1920x1080</t>
  </si>
  <si>
    <t>testAvcGoog0Perf1920x1080</t>
  </si>
  <si>
    <t>testAvcGoog1Perf1920x1080</t>
  </si>
  <si>
    <t>testAvcOther0Perf1920x1080</t>
  </si>
  <si>
    <t>testAvcOther1Perf1920x1080</t>
  </si>
  <si>
    <t>testAvcOther2Perf1920x1080</t>
  </si>
  <si>
    <t>testAvcOther3Perf1920x1080</t>
  </si>
  <si>
    <t>testH263Count0176x0144</t>
  </si>
  <si>
    <t>testH263Goog0Perf0176x0144</t>
  </si>
  <si>
    <t>testH263Goog1Perf0176x0144</t>
  </si>
  <si>
    <t>testH263Other0Perf0176x0144</t>
  </si>
  <si>
    <t>testH263Other1Perf0176x0144</t>
  </si>
  <si>
    <t>testH263Count0352x0288</t>
  </si>
  <si>
    <t>testH263Goog0Perf0352x0288</t>
  </si>
  <si>
    <t>testH263Goog1Perf0352x0288</t>
  </si>
  <si>
    <t>testH263Other0Perf0352x0288</t>
  </si>
  <si>
    <t>testH263Other1Perf0352x0288</t>
  </si>
  <si>
    <t>testHevcCount0352x0288</t>
  </si>
  <si>
    <t>testHevcGoog0Perf0352x0288</t>
  </si>
  <si>
    <t>testHevcGoog1Perf0352x0288</t>
  </si>
  <si>
    <t>testHevcOther0Perf0352x0288</t>
  </si>
  <si>
    <t>testHevcOther1Perf0352x0288</t>
  </si>
  <si>
    <t>testHevcOther2Perf0352x0288</t>
  </si>
  <si>
    <t>testHevcOther3Perf0352x0288</t>
  </si>
  <si>
    <t>testHevcCount0640x0360</t>
  </si>
  <si>
    <t>testHevcGoog0Perf0640x0360</t>
  </si>
  <si>
    <t>testHevcGoog1Perf0640x0360</t>
  </si>
  <si>
    <t>testHevcOther0Perf0640x0360</t>
  </si>
  <si>
    <t>testHevcOther1Perf0640x0360</t>
  </si>
  <si>
    <t>testHevcOther2Perf0640x0360</t>
  </si>
  <si>
    <t>testHevcOther3Perf0640x0360</t>
  </si>
  <si>
    <t>testHevcCount0720x0480</t>
  </si>
  <si>
    <t>testHevcGoog0Perf0720x0480</t>
  </si>
  <si>
    <t>testHevcGoog1Perf0720x0480</t>
  </si>
  <si>
    <t>testHevcOther0Perf0720x0480</t>
  </si>
  <si>
    <t>testHevcOther1Perf0720x0480</t>
  </si>
  <si>
    <t>testHevcOther2Perf0720x0480</t>
  </si>
  <si>
    <t>testHevcOther3Perf0720x0480</t>
  </si>
  <si>
    <t>testHevcCount1280x0720</t>
  </si>
  <si>
    <t>testHevcGoog0Perf1280x0720</t>
  </si>
  <si>
    <t>testHevcGoog1Perf1280x0720</t>
  </si>
  <si>
    <t>testHevcOther0Perf1280x0720</t>
  </si>
  <si>
    <t>testHevcOther1Perf1280x0720</t>
  </si>
  <si>
    <t>testHevcOther2Perf1280x0720</t>
  </si>
  <si>
    <t>testHevcOther3Perf1280x0720</t>
  </si>
  <si>
    <t>testHevcCount1920x1080</t>
  </si>
  <si>
    <t>testHevcGoog0Perf1920x1080</t>
  </si>
  <si>
    <t>testHevcGoog1Perf1920x1080</t>
  </si>
  <si>
    <t>testHevcOther0Perf1920x1080</t>
  </si>
  <si>
    <t>testHevcOther1Perf1920x1080</t>
  </si>
  <si>
    <t>testHevcOther2Perf1920x1080</t>
  </si>
  <si>
    <t>testHevcOther3Perf1920x1080</t>
  </si>
  <si>
    <t>testHevcCount3840x2160</t>
  </si>
  <si>
    <t>testHevcGoog0Perf3840x2160</t>
  </si>
  <si>
    <t>testHevcGoog1Perf3840x2160</t>
  </si>
  <si>
    <t>testHevcOther0Perf3840x2160</t>
  </si>
  <si>
    <t>testHevcOther1Perf3840x2160</t>
  </si>
  <si>
    <t>testHevcOther2Perf3840x2160</t>
  </si>
  <si>
    <t>testHevcOther3Perf3840x2160</t>
  </si>
  <si>
    <t>testMpeg4Count0176x0144</t>
  </si>
  <si>
    <t>testMpeg4Goog0Perf0176x0144</t>
  </si>
  <si>
    <t>testMpeg4Goog1Perf0176x0144</t>
  </si>
  <si>
    <t>testMpeg4Other0Perf0176x0144</t>
  </si>
  <si>
    <t>testMpeg4Other1Perf0176x0144</t>
  </si>
  <si>
    <t>testMpeg4Other2Perf0176x0144</t>
  </si>
  <si>
    <t>testMpeg4Other3Perf0176x0144</t>
  </si>
  <si>
    <t>testMpeg4Count0480x0360</t>
  </si>
  <si>
    <t>testMpeg4Goog0Perf0480x0360</t>
  </si>
  <si>
    <t>testMpeg4Goog1Perf0480x0360</t>
  </si>
  <si>
    <t>testMpeg4Other0Perf0480x0360</t>
  </si>
  <si>
    <t>testMpeg4Other1Perf0480x0360</t>
  </si>
  <si>
    <t>testMpeg4Other2Perf0480x0360</t>
  </si>
  <si>
    <t>testMpeg4Other3Perf0480x0360</t>
  </si>
  <si>
    <t>testMpeg4Count1280x0720</t>
  </si>
  <si>
    <t>testMpeg4Goog0Perf1280x0720</t>
  </si>
  <si>
    <t>testMpeg4Goog1Perf1280x0720</t>
  </si>
  <si>
    <t>testMpeg4Other0Perf1280x0720</t>
  </si>
  <si>
    <t>testMpeg4Other1Perf1280x0720</t>
  </si>
  <si>
    <t>testMpeg4Other2Perf1280x0720</t>
  </si>
  <si>
    <t>testMpeg4Other3Perf1280x0720</t>
  </si>
  <si>
    <t>testVp8Count0320x0180</t>
  </si>
  <si>
    <t>testVp8Goog0Perf0320x0180</t>
  </si>
  <si>
    <t>testVp8Goog1Perf0320x0180</t>
  </si>
  <si>
    <t>testVp8Other0Perf0320x0180</t>
  </si>
  <si>
    <t>testVp8Other1Perf0320x0180</t>
  </si>
  <si>
    <t>testVp8Count0640x0360</t>
  </si>
  <si>
    <t>testVp8Goog0Perf0640x0360</t>
  </si>
  <si>
    <t>testVp8Goog1Perf0640x0360</t>
  </si>
  <si>
    <t>testVp8Other0Perf0640x0360</t>
  </si>
  <si>
    <t>testVp8Other1Perf0640x0360</t>
  </si>
  <si>
    <t>testVp8Count1280x0720</t>
  </si>
  <si>
    <t>testVp8Goog0Perf1280x0720</t>
  </si>
  <si>
    <t>testVp8Goog1Perf1280x0720</t>
  </si>
  <si>
    <t>testVp8Other0Perf1280x0720</t>
  </si>
  <si>
    <t>testVp8Other1Perf1280x0720</t>
  </si>
  <si>
    <t>testVp8Count1920x1080</t>
  </si>
  <si>
    <t>testVp8Goog0Perf1920x1080</t>
  </si>
  <si>
    <t>testVp8Goog1Perf1920x1080</t>
  </si>
  <si>
    <t>testVp8Other0Perf1920x1080</t>
  </si>
  <si>
    <t>testVp8Other1Perf1920x1080</t>
  </si>
  <si>
    <t>testVp9Count0320x0180</t>
  </si>
  <si>
    <t>testVp9Goog0Perf0320x0180</t>
  </si>
  <si>
    <t>testVp9Goog1Perf0320x0180</t>
  </si>
  <si>
    <t>testVp9Other0Perf0320x0180</t>
  </si>
  <si>
    <t>testVp9Other1Perf0320x0180</t>
  </si>
  <si>
    <t>testVp9Other2Perf0320x0180</t>
  </si>
  <si>
    <t>testVp9Other3Perf0320x0180</t>
  </si>
  <si>
    <t>testVp9Count0640x0360</t>
  </si>
  <si>
    <t>testVp9Goog0Perf0640x0360</t>
  </si>
  <si>
    <t>testVp9Goog1Perf0640x0360</t>
  </si>
  <si>
    <t>testVp9Other0Perf0640x0360</t>
  </si>
  <si>
    <t>testVp9Other1Perf0640x0360</t>
  </si>
  <si>
    <t>testVp9Other2Perf0640x0360</t>
  </si>
  <si>
    <t>testVp9Other3Perf0640x0360</t>
  </si>
  <si>
    <t>testVp9Count1280x0720</t>
  </si>
  <si>
    <t>testVp9Goog0Perf1280x0720</t>
  </si>
  <si>
    <t>testVp9Goog1Perf1280x0720</t>
  </si>
  <si>
    <t>testVp9Other0Perf1280x0720</t>
  </si>
  <si>
    <t>testVp9Other1Perf1280x0720</t>
  </si>
  <si>
    <t>testVp9Other2Perf1280x0720</t>
  </si>
  <si>
    <t>testVp9Other3Perf1280x0720</t>
  </si>
  <si>
    <t>testVp9Count1920x1080</t>
  </si>
  <si>
    <t>testVp9Goog0Perf1920x1080</t>
  </si>
  <si>
    <t>testVp9Goog1Perf1920x1080</t>
  </si>
  <si>
    <t>testVp9Other0Perf1920x1080</t>
  </si>
  <si>
    <t>testVp9Other1Perf1920x1080</t>
  </si>
  <si>
    <t>testVp9Other2Perf1920x1080</t>
  </si>
  <si>
    <t>testVp9Other3Perf1920x1080</t>
  </si>
  <si>
    <t>testVp9Count3840x2160</t>
  </si>
  <si>
    <t>testVp9Goog0Perf3840x2160</t>
  </si>
  <si>
    <t>testVp9Goog1Perf3840x2160</t>
  </si>
  <si>
    <t>testVp9Other0Perf3840x2160</t>
  </si>
  <si>
    <t>testVp9Other1Perf3840x2160</t>
  </si>
  <si>
    <t>testVp9Other2Perf3840x2160</t>
  </si>
  <si>
    <t>testVp9Other3Perf3840x2160</t>
  </si>
  <si>
    <t>testResetCurrentMagnificationRegion_resetWindowMode</t>
  </si>
  <si>
    <t>testRequireAllPermissionsToAccess</t>
  </si>
  <si>
    <t>testSetSchemaTypeVisibleForRole</t>
  </si>
  <si>
    <t>verifySupportForEncoderLevel</t>
  </si>
  <si>
    <t>setupEncoderParameters</t>
  </si>
  <si>
    <t>testCreateText_defaultBuilder</t>
  </si>
  <si>
    <t>testCreateText_builderWithMiddleTrunctAtType</t>
  </si>
  <si>
    <t>testCreateText_defaultBuilder_marqueeTrunctAtType_maxLinesTwo</t>
  </si>
  <si>
    <t>generateMaliciousImageFile</t>
  </si>
  <si>
    <t>testPersonalApp_canAccessWorkProfileContents</t>
  </si>
  <si>
    <t>testActivityOptionsBundle_fromBundle</t>
  </si>
  <si>
    <t>disable_inManagedProfile_bluetoothIsDisabled</t>
  </si>
  <si>
    <t>enable_inManagedProfile_bluetoothIsEnabled</t>
  </si>
  <si>
    <t>testGetCodecsLocalCapabilities</t>
  </si>
  <si>
    <t>testGetCodecsSelectableCapabilities</t>
  </si>
  <si>
    <t>testGetMaxCodecType</t>
  </si>
  <si>
    <t>testSetGameStatePerformanceMode_unmodifiable</t>
  </si>
  <si>
    <t>testQuerySupplementalProcessPackageName</t>
  </si>
  <si>
    <t>testGetPackagesForUid_supplementalProcessUid</t>
  </si>
  <si>
    <t>testGetNameForUid_supplementalProcessUid</t>
  </si>
  <si>
    <t>testGetNamesForUids_supplementalProcessUids</t>
  </si>
  <si>
    <t>testSupplementalProcessHasInternetPermission</t>
  </si>
  <si>
    <t>testSupplementalProcessDoesNotHaveFineLocationPermission</t>
  </si>
  <si>
    <t>testSetNavBarModeOverride_kids_doesNotThrow</t>
  </si>
  <si>
    <t>testSetNavBarModeOverride_none_doesNotThrow</t>
  </si>
  <si>
    <t>testSetNavBarModeOverride_invalid_throws</t>
  </si>
  <si>
    <t>replaceCountDownLatch</t>
  </si>
  <si>
    <t>SuspendAnswer</t>
  </si>
  <si>
    <t>testExceptionThrownDueExceededMaxPhoneAccountsRegistrations</t>
  </si>
  <si>
    <t>test_ServiceRegisterer</t>
  </si>
  <si>
    <t>testPasswordQuality_adminPolicyNotAvailableToNonAdmin</t>
  </si>
  <si>
    <t>testPasswordMinimumLength_adminPolicyNotAvailableToNonAdmin</t>
  </si>
  <si>
    <t>testPasswordMinimumLetters_adminPolicyNotAvailableToNonAdmin</t>
  </si>
  <si>
    <t>testPasswordMinimumNonLetter_adminPolicyNotAvailableToNonAdmin</t>
  </si>
  <si>
    <t>testPasswordMinimumLowerCase_adminPolicyNotAvailableToNonAdmin</t>
  </si>
  <si>
    <t>testPasswordMinimumUpperCase_adminPolicyNotAvailableToNonAdmin</t>
  </si>
  <si>
    <t>testPasswordMinimumNumeric_adminPolicyNotAvailableToNonAdmin</t>
  </si>
  <si>
    <t>testPasswordMinimumSymbols_adminPolicyNotAvailableToNonAdmin</t>
  </si>
  <si>
    <t>testPasswordHistoryLength_adminPolicyNotAvailableToNonAdmin</t>
  </si>
  <si>
    <t>testPasswordExpiration_adminPolicyNotAvailableToNonAdmin</t>
  </si>
  <si>
    <t>testPasswordExpirationTimeout_adminPolicyNotAvailableToNonAdmin</t>
  </si>
  <si>
    <t>testMaximumFailedPasswordsForWipe_adminPolicyNotAvailableToNonAdmin</t>
  </si>
  <si>
    <t>testMaximumTimeToLock_adminPolicyNotAvailableToNonAdmin</t>
  </si>
  <si>
    <t>testRequiredStrongAuthTimeout_adminPolicyNotAvailableToNonAdmin</t>
  </si>
  <si>
    <t>testScreenCaptureDisabled_adminPolicyNotAvailableToNonAdmin</t>
  </si>
  <si>
    <t>testTrustAgentConfiguration_adminPolicyNotAvailableToNonAdmin</t>
  </si>
  <si>
    <t>testDisplayChangedOnSetAndClearUserPreferredDisplayMode</t>
  </si>
  <si>
    <t>testDisplayChangedOnSetAndClearUserPreferredDisplayModeForSpecificDevice</t>
  </si>
  <si>
    <t>testSetUserPreferredDisplayModeForSpecificDevice</t>
  </si>
  <si>
    <t>testSetUserPreferredRefreshRateForSpecificDevice</t>
  </si>
  <si>
    <t>testSetUserPreferredResolutionForSpecificDevice</t>
  </si>
  <si>
    <t>executeRemoveUserWhenPossibleAdbCommand</t>
  </si>
  <si>
    <t>waitForCallbackLatch</t>
  </si>
  <si>
    <t>testExternalCallAudioState</t>
  </si>
  <si>
    <t>testPostExtendedCallbackWithoutDelayEventuallyRunsCallbacks</t>
  </si>
  <si>
    <t>findPreviewSelectCheckButton</t>
  </si>
  <si>
    <t>testVideoEditQCIF</t>
  </si>
  <si>
    <t>testVideoEditQVGA</t>
  </si>
  <si>
    <t>testVideoEdit720p</t>
  </si>
  <si>
    <t>testTextToastAllowed_whenInTheBackground</t>
  </si>
  <si>
    <t>testSingleServiceSearch</t>
  </si>
  <si>
    <t>verifyPlaybackEventReady</t>
  </si>
  <si>
    <t>testCreateCodecConfigMetadataFromBuilder</t>
  </si>
  <si>
    <t>value</t>
  </si>
  <si>
    <t>ServerQuery</t>
  </si>
  <si>
    <t>shouldBypassCache</t>
  </si>
  <si>
    <t>testBasicCache</t>
  </si>
  <si>
    <t>testDisableCache</t>
  </si>
  <si>
    <t>getRecomputeCount</t>
  </si>
  <si>
    <t>TestCache</t>
  </si>
  <si>
    <t>testCacheRecompute</t>
  </si>
  <si>
    <t>testCacheInitialState</t>
  </si>
  <si>
    <t>testCachePropertyUnset</t>
  </si>
  <si>
    <t>testCacheDisableState</t>
  </si>
  <si>
    <t>testLocalProcessDisable</t>
  </si>
  <si>
    <t>takeScreenshot_expectedBitmapReturned</t>
  </si>
  <si>
    <t>testVP9Other</t>
  </si>
  <si>
    <t>testVP9Goog</t>
  </si>
  <si>
    <t>decodeTestVectors</t>
  </si>
  <si>
    <t>createTaskFragment</t>
  </si>
  <si>
    <t>generateTaskFragCreationParams</t>
  </si>
  <si>
    <t>testPostBootOptimizationCompleted</t>
  </si>
  <si>
    <t>testPostBootOptimizationCancelled</t>
  </si>
  <si>
    <t>testGetAutojoinGlobal</t>
  </si>
  <si>
    <t>enablePhotoPickerFlag</t>
  </si>
  <si>
    <t>subscriptionsChange_notifiesObserver</t>
  </si>
  <si>
    <t>setSimPower</t>
  </si>
  <si>
    <t>testSelectionEvent_placeholder</t>
  </si>
  <si>
    <t>testUriAccess</t>
  </si>
  <si>
    <t>setUserProvisioningState_unmanagedDevice_stateUserUnmanaged_doesNotThrowIllegalStateException</t>
  </si>
  <si>
    <t>test_setVolume</t>
  </si>
  <si>
    <t>testGetCodecStatus</t>
  </si>
  <si>
    <t>testSetCodecConfigPreference</t>
  </si>
  <si>
    <t>testGetProfiles</t>
  </si>
  <si>
    <t>testLimitedAxesImuConfiguration</t>
  </si>
  <si>
    <t>testNotifyCarrierPrivilegesChanged</t>
  </si>
  <si>
    <t>testGetMaxNumScanSsids</t>
  </si>
  <si>
    <t>testActivityLaunchInExpandedTaskFragment_AboveEmbeddedTask</t>
  </si>
  <si>
    <t>testActivityLaunchAboveEmbeddedTaskInTaskFragment</t>
  </si>
  <si>
    <t>testActivityLaunchToEmbeddedTaskInTaskFragment</t>
  </si>
  <si>
    <t>testStartActivityFromAnotherProcessInEmbeddedTask</t>
  </si>
  <si>
    <t>testStartActivityInTaskFragment_createNewTask</t>
  </si>
  <si>
    <t>Level</t>
  </si>
  <si>
    <t>clearLog</t>
  </si>
  <si>
    <t>testLineBreakConfigEquals</t>
  </si>
  <si>
    <t>test_registerServiceLifecycleCallback</t>
  </si>
  <si>
    <t>onTvInteractiveAppInfoUpdated</t>
  </si>
  <si>
    <t>testGetTvInteractiveAppInfoList</t>
  </si>
  <si>
    <t>testMultiSelect_PreviewVideoPlayPause</t>
  </si>
  <si>
    <t>testMultiSelect_PreviewVideoMuteButton</t>
  </si>
  <si>
    <t>testMultiSelect_PreviewVideoControlsVisibility</t>
  </si>
  <si>
    <t>amIBlockUninstallDelegate</t>
  </si>
  <si>
    <t>testSetUninstallBlockedLogged</t>
  </si>
  <si>
    <t>testSetUninstallBlocked_failIfNotProfileOwner</t>
  </si>
  <si>
    <t>testSetUninstallBlocked_succeedForNotInstalledApps</t>
  </si>
  <si>
    <t>amIPermissionGrantDelegate</t>
  </si>
  <si>
    <t>amIPackageAccessDelegate</t>
  </si>
  <si>
    <t>executeAppRestrictionsManagingPackageTest</t>
  </si>
  <si>
    <t>amIEnableSystemAppDelegate</t>
  </si>
  <si>
    <t>testNetworkLogging</t>
  </si>
  <si>
    <t>connectToWebsite</t>
  </si>
  <si>
    <t>getAdditionalDelegationTests</t>
  </si>
  <si>
    <t>getAdditionalDelegationScopes</t>
  </si>
  <si>
    <t>testDelegation</t>
  </si>
  <si>
    <t>executeAccountTest</t>
  </si>
  <si>
    <t>executeDelegationTests</t>
  </si>
  <si>
    <t>changeAccountManagement</t>
  </si>
  <si>
    <t>changeApplicationRestrictionsManagingPackage</t>
  </si>
  <si>
    <t>isCodecLossless</t>
  </si>
  <si>
    <t>testLosslessEncodeDecode</t>
  </si>
  <si>
    <t>testWhenOneSawWindowAboveThreshold_blocksTouch</t>
  </si>
  <si>
    <t>testWhenOneSawWindowAboveThresholdAndSelfSawWindow_blocksTouch</t>
  </si>
  <si>
    <t>testWhenThresholdIs0AndSawWindowAboveThreshold_blocksTouch</t>
  </si>
  <si>
    <t>testGetFirstInstallTime</t>
  </si>
  <si>
    <t>getFirstInstallTimeAsUser</t>
  </si>
  <si>
    <t>testPackageFullyRemovedBroadcastAfterUninstall</t>
  </si>
  <si>
    <t>isAppInstalledForUser</t>
  </si>
  <si>
    <t>installPackageAsUser</t>
  </si>
  <si>
    <t>installExistingPackageAsUser</t>
  </si>
  <si>
    <t>uninstallPackageAsUser</t>
  </si>
  <si>
    <t>ClickableNotFound</t>
  </si>
  <si>
    <t>testUserPhotoSetUp</t>
  </si>
  <si>
    <t>searchAndClick</t>
  </si>
  <si>
    <t>searchAndLog</t>
  </si>
  <si>
    <t>testReadInBackground_requiresPermission</t>
  </si>
  <si>
    <t>hasAutoFillFeature</t>
  </si>
  <si>
    <t>createSearchSession</t>
  </si>
  <si>
    <t>createGlobalSearchSession</t>
  </si>
  <si>
    <t>canRunTest</t>
  </si>
  <si>
    <t>filterAdbLines</t>
  </si>
  <si>
    <t>executeSuShellAdbCommand</t>
  </si>
  <si>
    <t>getSelinuxLabel</t>
  </si>
  <si>
    <t>checkSelinuxLabelMatches</t>
  </si>
  <si>
    <t>executePush</t>
  </si>
  <si>
    <t>executePull</t>
  </si>
  <si>
    <t>doesFileExist</t>
  </si>
  <si>
    <t>testConnectNetworkHasAutomotiveFeature</t>
  </si>
  <si>
    <t>testDisconnectNetworkHasAutomotiveFeature</t>
  </si>
  <si>
    <t>testSetAdvertisingDataWithType</t>
  </si>
  <si>
    <t>test_factoryReset</t>
  </si>
  <si>
    <t>testGetCodecConfig</t>
  </si>
  <si>
    <t>testGetCodecLocalCapabilities</t>
  </si>
  <si>
    <t>testGetCodecSelectableCapabilities</t>
  </si>
  <si>
    <t>testIsCodecConfigSelectable</t>
  </si>
  <si>
    <t>testGetChannelMode</t>
  </si>
  <si>
    <t>testRevokeLocationPermission</t>
  </si>
  <si>
    <t>keepAppInForeground</t>
  </si>
  <si>
    <t>internetDialog_correctPackage</t>
  </si>
  <si>
    <t>internetDialog_doneClosesDialog</t>
  </si>
  <si>
    <t>launchInternetDialog</t>
  </si>
  <si>
    <t>testConnectNetwork</t>
  </si>
  <si>
    <t>testDisconnectNetwork</t>
  </si>
  <si>
    <t>testRebuild_noSupportedException</t>
  </si>
  <si>
    <t>onSignalStrength</t>
  </si>
  <si>
    <t>testUntrustedModeTaskFragment_setBoundsOutsideOfParentBounds</t>
  </si>
  <si>
    <t>testUntrustedModeTaskFragment_setAppBoundsOutsideOfParentAppBounds</t>
  </si>
  <si>
    <t>testUntrustedModeTaskFragment_setSetScreenWidthHeightGreaterThanParent</t>
  </si>
  <si>
    <t>testUntrustedModeTaskFragment_startActivityInTaskFragmentOutsideOfParentBounds</t>
  </si>
  <si>
    <t>testUntrustedModeTaskFragment_reparentChildrenOutsideOfParentBounds</t>
  </si>
  <si>
    <t>assertTaskFragmentError</t>
  </si>
  <si>
    <t>RouteCallback</t>
  </si>
  <si>
    <t>dontDedupeByDefault</t>
  </si>
  <si>
    <t>setDeduplicationPackageOrder1</t>
  </si>
  <si>
    <t>setDeduplicationPackageOrder2</t>
  </si>
  <si>
    <t>setDeduplicationPackageOrder3</t>
  </si>
  <si>
    <t>testRouteCallbacks</t>
  </si>
  <si>
    <t>waitAndGetRoutes</t>
  </si>
  <si>
    <t>testDontDedupeByDefault</t>
  </si>
  <si>
    <t>testSetDeduplicationPackageOrder</t>
  </si>
  <si>
    <t>testNoAllowedPackages_returnsZeroRoutes</t>
  </si>
  <si>
    <t>testAllowedPackages</t>
  </si>
  <si>
    <t>testBuilderSetAllowedPackagesWithNull</t>
  </si>
  <si>
    <t>testBuilderSetDeduplicationPackageOrderWithNull</t>
  </si>
  <si>
    <t>testLowQualitySDSupport</t>
  </si>
  <si>
    <t>testHighQualitySDSupport</t>
  </si>
  <si>
    <t>support</t>
  </si>
  <si>
    <t>testTaskFragmentConfigChange_allowedTrustedMode_sameUid</t>
  </si>
  <si>
    <t>testTaskFragmentConfigChange_disallowedUntrustedMode</t>
  </si>
  <si>
    <t>createConfigChangingTransactions</t>
  </si>
  <si>
    <t>getStylusMoveEventsOnDisplay</t>
  </si>
  <si>
    <t>checkIsCecAvailable</t>
  </si>
  <si>
    <t>setPreferentialNetworkServiceConfig_withoutRequiredPermission</t>
  </si>
  <si>
    <t>setPreferentialNetworkServiceConfig_withRequiredPermission</t>
  </si>
  <si>
    <t>DefaultModeListener</t>
  </si>
  <si>
    <t>onDisplayAdded</t>
  </si>
  <si>
    <t>onDisplayChanged</t>
  </si>
  <si>
    <t>onDisplayRemoved</t>
  </si>
  <si>
    <t>callUpdateConfiguration</t>
  </si>
  <si>
    <t>testUpdateConfiguration</t>
  </si>
  <si>
    <t>testUpdateConfigurationHasAutomotiveFeature</t>
  </si>
  <si>
    <t>test_BluetoothHidDeviceAppQosSettings</t>
  </si>
  <si>
    <t>test_getServiceType</t>
  </si>
  <si>
    <t>test_getLatency</t>
  </si>
  <si>
    <t>test_getPeakBandwidth</t>
  </si>
  <si>
    <t>test_getTokenBucketSize</t>
  </si>
  <si>
    <t>test_getTokenRate</t>
  </si>
  <si>
    <t>shouldTestWifiRtt</t>
  </si>
  <si>
    <t>shouldTestWifiAware</t>
  </si>
  <si>
    <t>scanForTest11mcCapableAp</t>
  </si>
  <si>
    <t>scanForTestNon11mcCapableAp</t>
  </si>
  <si>
    <t>isCodecNameValid</t>
  </si>
  <si>
    <t>canScheduleExactAlarmWithPolicyPermissionOnly</t>
  </si>
  <si>
    <t>sendLostModeLocationUpdate_noTestProviders_returnFalse</t>
  </si>
  <si>
    <t>audioCapture_shouldCaptureAppPlaybackFrequency</t>
  </si>
  <si>
    <t>audioInjection_appShouldRecordInjectedFrequency</t>
  </si>
  <si>
    <t>test_startAdvertisingSetWithCallbackAndHandler</t>
  </si>
  <si>
    <t>test_startAdvertisingSetWithDurationAndCallback</t>
  </si>
  <si>
    <t>test_startAdvertisingSetWithDurationCallbackAndHandler</t>
  </si>
  <si>
    <t>assertMinDpiAndPixels</t>
  </si>
  <si>
    <t>assertMinMemoryMb</t>
  </si>
  <si>
    <t>testUseTargetActivityForQuickAccess_isFalse</t>
  </si>
  <si>
    <t>testUseTargetActivityForQuickAccess_serviceSpecifies_isTrue</t>
  </si>
  <si>
    <t>isBroadcastReceived</t>
  </si>
  <si>
    <t>enableNotificationListenerCheckFeature</t>
  </si>
  <si>
    <t>disableNotificationListenerCheckFeature</t>
  </si>
  <si>
    <t>setNotificationListenerCheckInterval</t>
  </si>
  <si>
    <t>setNotificationListenerCheckPackageInterval</t>
  </si>
  <si>
    <t>reduceDelays</t>
  </si>
  <si>
    <t>resetJobSchedulerConfig</t>
  </si>
  <si>
    <t>resetPermissionControllerConfig</t>
  </si>
  <si>
    <t>getFirstVideoHardwareCodec</t>
  </si>
  <si>
    <t>testUpdateConfigurationWithCapabilitiesRequiresAutomotiveFeature</t>
  </si>
  <si>
    <t>testStartUser</t>
  </si>
  <si>
    <t>testUnlockUser</t>
  </si>
  <si>
    <t>testStopAllTaskForUser</t>
  </si>
  <si>
    <t>testRegisterCallback</t>
  </si>
  <si>
    <t>profileIdToConfigTag</t>
  </si>
  <si>
    <t>getProfileConfigValueOrDie</t>
  </si>
  <si>
    <t>testSensorOperations</t>
  </si>
  <si>
    <t>testUpdateDeviceStatsPermission</t>
  </si>
  <si>
    <t>testGetStatsOfOtherUid</t>
  </si>
  <si>
    <t>initializeSizes</t>
  </si>
  <si>
    <t>addExtremeSizesFor</t>
  </si>
  <si>
    <t>alignInRange</t>
  </si>
  <si>
    <t>alignedPointInRange</t>
  </si>
  <si>
    <t>getExtreme</t>
  </si>
  <si>
    <t>getLargestSizeForRatio</t>
  </si>
  <si>
    <t>testExtreme</t>
  </si>
  <si>
    <t>testArbitrary</t>
  </si>
  <si>
    <t>prepareParamList</t>
  </si>
  <si>
    <t>testFlexMinMin</t>
  </si>
  <si>
    <t>testSurfMinMin</t>
  </si>
  <si>
    <t>testFlexMinMax</t>
  </si>
  <si>
    <t>testSurfMinMax</t>
  </si>
  <si>
    <t>testFlexMaxMin</t>
  </si>
  <si>
    <t>testSurfMaxMin</t>
  </si>
  <si>
    <t>testFlexMaxMax</t>
  </si>
  <si>
    <t>testSurfMaxMax</t>
  </si>
  <si>
    <t>testFlexNearMinMin</t>
  </si>
  <si>
    <t>testSurfNearMinMin</t>
  </si>
  <si>
    <t>testFlexNearMinMax</t>
  </si>
  <si>
    <t>testSurfNearMinMax</t>
  </si>
  <si>
    <t>testFlexNearMaxMin</t>
  </si>
  <si>
    <t>testSurfNearMaxMin</t>
  </si>
  <si>
    <t>testFlexNearMaxMax</t>
  </si>
  <si>
    <t>testSurfNearMaxMax</t>
  </si>
  <si>
    <t>testFlexArbitraryW</t>
  </si>
  <si>
    <t>testSurfArbitraryW</t>
  </si>
  <si>
    <t>testFlexArbitraryH</t>
  </si>
  <si>
    <t>testSurfArbitraryH</t>
  </si>
  <si>
    <t>testFlexQCIF</t>
  </si>
  <si>
    <t>testSurfQCIF</t>
  </si>
  <si>
    <t>testFlex480p</t>
  </si>
  <si>
    <t>testSurf480p</t>
  </si>
  <si>
    <t>testFlex720p</t>
  </si>
  <si>
    <t>testSurf720p</t>
  </si>
  <si>
    <t>testFlex1080p</t>
  </si>
  <si>
    <t>testSurf1080p</t>
  </si>
  <si>
    <t>testFlex360pWithIntraRefresh</t>
  </si>
  <si>
    <t>testFlexQVGA20fps384kbps</t>
  </si>
  <si>
    <t>testSurfQVGA20fps384kbps</t>
  </si>
  <si>
    <t>testFlex480p30fps2Mbps</t>
  </si>
  <si>
    <t>testSurf480p30fps2Mbps</t>
  </si>
  <si>
    <t>testFlex720p30fps4Mbps</t>
  </si>
  <si>
    <t>testSurf720p30fps4Mbps</t>
  </si>
  <si>
    <t>testFlex1080p30fps10Mbps</t>
  </si>
  <si>
    <t>testSurf1080p30fps10Mbps</t>
  </si>
  <si>
    <t>minmin</t>
  </si>
  <si>
    <t>minmax</t>
  </si>
  <si>
    <t>maxmin</t>
  </si>
  <si>
    <t>maxmax</t>
  </si>
  <si>
    <t>nearminmin</t>
  </si>
  <si>
    <t>nearminmax</t>
  </si>
  <si>
    <t>nearmaxmin</t>
  </si>
  <si>
    <t>nearmaxmax</t>
  </si>
  <si>
    <t>extreme</t>
  </si>
  <si>
    <t>arbitrary</t>
  </si>
  <si>
    <t>arbitraryw</t>
  </si>
  <si>
    <t>arbitraryh</t>
  </si>
  <si>
    <t>scheduleExactAlarmPermissionStateChangedSentDenyList</t>
  </si>
  <si>
    <t>denyListedChangesCanScheduleExactAlarms</t>
  </si>
  <si>
    <t>testAppZygoteMemtagSyncService</t>
  </si>
  <si>
    <t>testMultiSelect_invalidParam</t>
  </si>
  <si>
    <t>testMultiSelect_invalidNegativeParam</t>
  </si>
  <si>
    <t>testMultiSelect_returnsNotMoreThanMax</t>
  </si>
  <si>
    <t>testDoesNotRespectExtraAllowMultiple</t>
  </si>
  <si>
    <t>clickAndWait</t>
  </si>
  <si>
    <t>testAtom_TimeZoneDetectorState</t>
  </si>
  <si>
    <t>setDeviceConfigPrivacyProperty</t>
  </si>
  <si>
    <t>setSafetyCenterEnabled</t>
  </si>
  <si>
    <t>setNotificationListenerCheckEnabled</t>
  </si>
  <si>
    <t>setNotificationListenerServiceAllowed</t>
  </si>
  <si>
    <t>disallowPreexistingNotificationListeners</t>
  </si>
  <si>
    <t>reallowPreexistingNotificationListeners</t>
  </si>
  <si>
    <t>allowTestAppNotificationListenerService</t>
  </si>
  <si>
    <t>disallowTestAppNotificationListenerService</t>
  </si>
  <si>
    <t>getJobSchedulerDump</t>
  </si>
  <si>
    <t>getLastJobTime</t>
  </si>
  <si>
    <t>runNotificationListenerCheck</t>
  </si>
  <si>
    <t>getPermissionControllerNotifications</t>
  </si>
  <si>
    <t>clearPermissionControllerNotifications</t>
  </si>
  <si>
    <t>beforeClassSetup</t>
  </si>
  <si>
    <t>afterClassTearDown</t>
  </si>
  <si>
    <t>assumeNotPlayManaged</t>
  </si>
  <si>
    <t>wakeUpAndDismissKeyguard</t>
  </si>
  <si>
    <t>resetPermissionControllerBeforeEachTest</t>
  </si>
  <si>
    <t>resetPermissionController</t>
  </si>
  <si>
    <t>showAndDismissCtsNotificationListener</t>
  </si>
  <si>
    <t>clearNotifications</t>
  </si>
  <si>
    <t>noNotificationIfFeatureDisabled</t>
  </si>
  <si>
    <t>noNotificationIfSafetyCenterDisabled</t>
  </si>
  <si>
    <t>notificationIsShown</t>
  </si>
  <si>
    <t>notificationIsShownOnlyOnce</t>
  </si>
  <si>
    <t>notificationIsShownAgainAfterClear</t>
  </si>
  <si>
    <t>removeNotificationOnUninstall</t>
  </si>
  <si>
    <t>notificationIsNotShownAfterDisableAppNotificationListener</t>
  </si>
  <si>
    <t>testCreateCodecConfigMetadataFromCopy</t>
  </si>
  <si>
    <t>testCreateCodecConfigMetadataFromBytes</t>
  </si>
  <si>
    <t>injectMouseEvent</t>
  </si>
  <si>
    <t>getScreenshotsMetadata</t>
  </si>
  <si>
    <t>updateColumnTestScreenshotsMetadata</t>
  </si>
  <si>
    <t>testHotwordDetectionService_onDetectFromExternalSource_success</t>
  </si>
  <si>
    <t>setNearbyAppStreamingPolicy_policyIsNotAllowedToBeSet_throwsException</t>
  </si>
  <si>
    <t>grantAppOp</t>
  </si>
  <si>
    <t>getPackageUid</t>
  </si>
  <si>
    <t>canScheduleExactAlarmWhenChangeDisabled</t>
  </si>
  <si>
    <t>IgnoreOrientationRequestSession</t>
  </si>
  <si>
    <t>ToolbarActionBarTest</t>
  </si>
  <si>
    <t>testOptionsMenuKey</t>
  </si>
  <si>
    <t>testOpenOptionsMenu</t>
  </si>
  <si>
    <t>testActivityStartOnBroadcastTrampoline_whenDefaultBrowser_isAllowed</t>
  </si>
  <si>
    <t>testActivityStartOnServiceTrampoline_whenDefaultBrowser_isAllowed</t>
  </si>
  <si>
    <t>testVibrateOneShotStartsAndFinishesVibration</t>
  </si>
  <si>
    <t>testVibrateOneShotMaxAmplitude</t>
  </si>
  <si>
    <t>testVibrateOneShotMinAmplitude</t>
  </si>
  <si>
    <t>testVibrateWaveformStartsAndFinishesVibration</t>
  </si>
  <si>
    <t>testVibrateWaveformRepeats</t>
  </si>
  <si>
    <t>testVibrateWaveformWithFrequencyStartsAndFinishesVibration</t>
  </si>
  <si>
    <t>testVibrateSingleVibrator</t>
  </si>
  <si>
    <t>testGetDefaultVibrator</t>
  </si>
  <si>
    <t>testSingleVibratorIsPresent</t>
  </si>
  <si>
    <t>testSingleVibratorAmplitudeAndFrequencyControls</t>
  </si>
  <si>
    <t>testSingleVibratorFrequencyProfile</t>
  </si>
  <si>
    <t>testSingleVibratorEffectAndPrimitiveSupport</t>
  </si>
  <si>
    <t>testSingleVibratorVibrateAndCancel</t>
  </si>
  <si>
    <t>testGetId</t>
  </si>
  <si>
    <t>testHasVibrator</t>
  </si>
  <si>
    <t>getZipEntryFiles</t>
  </si>
  <si>
    <t>retrieveListOfSharedLibrariesOnDevice</t>
  </si>
  <si>
    <t>testPreviousSignatures</t>
  </si>
  <si>
    <t>testIfWriteOnlyFdIsRejected</t>
  </si>
  <si>
    <t>shouldAllowBypassingDevicePolicyManagementRoleQualification_noUsersAndAccounts_returnsTrue</t>
  </si>
  <si>
    <t>shouldAllowBypassingDevicePolicyManagementRoleQualification_withUsers_returnsFalse</t>
  </si>
  <si>
    <t>shouldAllowBypassingDevicePolicyManagementRoleQualification_withProfile_returnsFalse</t>
  </si>
  <si>
    <t>shouldAllowBypassingDevicePolicyManagementRoleQualification_withAccounts_returnsFalse</t>
  </si>
  <si>
    <t>shouldAllowBypassingDevicePolicyManagementRoleQualification_withoutRequiredPermission_throwsSecurityException</t>
  </si>
  <si>
    <t>test_addSource</t>
  </si>
  <si>
    <t>test_getAllSources</t>
  </si>
  <si>
    <t>test_setConnectionPolicy</t>
  </si>
  <si>
    <t>test_getMaximumSourceCapacity</t>
  </si>
  <si>
    <t>test_isSearchInProgress</t>
  </si>
  <si>
    <t>test_modifySource</t>
  </si>
  <si>
    <t>test_registerCallback</t>
  </si>
  <si>
    <t>test_startSearchingForSources</t>
  </si>
  <si>
    <t>getTestParameters</t>
  </si>
  <si>
    <t>addMultipleSelectionFlag</t>
  </si>
  <si>
    <t>launchPhotoPickerForIntent</t>
  </si>
  <si>
    <t>clearDocumentsUiPackageData</t>
  </si>
  <si>
    <t>findAndLaunchPicker</t>
  </si>
  <si>
    <t>loadBaseClasses</t>
  </si>
  <si>
    <t>assertFullUserCreated</t>
  </si>
  <si>
    <t>getAllUsers</t>
  </si>
  <si>
    <t>EncoderInitializationLatencyTest</t>
  </si>
  <si>
    <t>getMimesOfAvailableAudioEncoders</t>
  </si>
  <si>
    <t>createMediaRecorderLoad</t>
  </si>
  <si>
    <t>startLoad</t>
  </si>
  <si>
    <t>stopLoad</t>
  </si>
  <si>
    <t>createSurface</t>
  </si>
  <si>
    <t>releaseSurface</t>
  </si>
  <si>
    <t>testInitializationLatency</t>
  </si>
  <si>
    <t>setGTEMeasurement</t>
  </si>
  <si>
    <t>setLTEMeasurement</t>
  </si>
  <si>
    <t>testComputePerformanceClass</t>
  </si>
  <si>
    <t>computePerformanceClass_bothNotR</t>
  </si>
  <si>
    <t>computePerformanceClass_onlyOneR</t>
  </si>
  <si>
    <t>computePerformanceClass_bothR</t>
  </si>
  <si>
    <t>computePerformanceClass_onlyOneS</t>
  </si>
  <si>
    <t>computePerformanceClass_bothS</t>
  </si>
  <si>
    <t>testCheckPerformanceClass</t>
  </si>
  <si>
    <t>EncoderInitializationLatency</t>
  </si>
  <si>
    <t>calculateEncoderInitializationLatency</t>
  </si>
  <si>
    <t>extractResourceToFile</t>
  </si>
  <si>
    <t>flattenPaths</t>
  </si>
  <si>
    <t>contentProviderHandlerSetup</t>
  </si>
  <si>
    <t>contentProviderHandlerTearDown</t>
  </si>
  <si>
    <t>createCloneUserFileTest</t>
  </si>
  <si>
    <t>onProcessDied</t>
  </si>
  <si>
    <t>isProcessDiedObserved</t>
  </si>
  <si>
    <t>getAppTasks</t>
  </si>
  <si>
    <t>isUniformlyBlank</t>
  </si>
  <si>
    <t>testPushBlankBuffersOnStop</t>
  </si>
  <si>
    <t>testPushBlankBuffersOnStopVp9</t>
  </si>
  <si>
    <t>testPushBlankBuffersOnStopAvc</t>
  </si>
  <si>
    <t>testIsImportanceLockedByOEM</t>
  </si>
  <si>
    <t>getPackagesWithPermissions</t>
  </si>
  <si>
    <t>grantLocationPermissions</t>
  </si>
  <si>
    <t>getCursorPosition</t>
  </si>
  <si>
    <t>ensureSetWallpaperDimAmountPermissionIsGranted</t>
  </si>
  <si>
    <t>testGetWallpaperDimAmountWithNoPermission_shouldThrowException</t>
  </si>
  <si>
    <t>testSetWallpaperDimAmountWithNoPermission_shouldThrowException</t>
  </si>
  <si>
    <t>setWallpaperDimAmount_withinBound_shouldSetDimAmount</t>
  </si>
  <si>
    <t>setWallpaperDimAmountBeyondRange_shouldBeBounded</t>
  </si>
  <si>
    <t>setWallpaperDimAmount_changingWallpaperShouldRemainDimmed</t>
  </si>
  <si>
    <t>colorHintsOnDimTest</t>
  </si>
  <si>
    <t>assertDimAmountEqualsTo</t>
  </si>
  <si>
    <t>launchTestActivityAndWaitToBeResumed</t>
  </si>
  <si>
    <t>testBroadcastOptions_noPermission</t>
  </si>
  <si>
    <t>testQueryBroadcastResponseStats_noPermission</t>
  </si>
  <si>
    <t>testClearBroadcastResponseStats_noPermission</t>
  </si>
  <si>
    <t>testBroadcastResponseStats_broadcastDispatchedCount</t>
  </si>
  <si>
    <t>testBroadcastResponseStats_notificationPostedCount</t>
  </si>
  <si>
    <t>testBroadcastResponseStats_notificationUpdatedCount</t>
  </si>
  <si>
    <t>testBroadcastResponseStats_notificationCancelledCount</t>
  </si>
  <si>
    <t>testBroadcastResponseStats_multipleEvents</t>
  </si>
  <si>
    <t>testBroadcastResponseStats_clearCounts</t>
  </si>
  <si>
    <t>testBroadcastResponseStats_changeResponseWindowDuration</t>
  </si>
  <si>
    <t>testBroadcastResponseStats_appNotInForeground</t>
  </si>
  <si>
    <t>testBroadcastResponseStats_multiplePackages</t>
  </si>
  <si>
    <t>testBroadcastResponseStats_multiplePackages_multipleIds</t>
  </si>
  <si>
    <t>testBroadcastResponseStats_clearCounts_multiplePackages</t>
  </si>
  <si>
    <t>testBroadcastResponseStats_clearCounts_multipleIds</t>
  </si>
  <si>
    <t>testBroadcastResponseStats_clearAllCounts</t>
  </si>
  <si>
    <t>testBroadcastResponseStats_mediaNotification</t>
  </si>
  <si>
    <t>updateFlagWithDelay</t>
  </si>
  <si>
    <t>buildMediaNotification</t>
  </si>
  <si>
    <t>sendBroadcastAndWaitForReceipt</t>
  </si>
  <si>
    <t>assertResponseStats</t>
  </si>
  <si>
    <t>compareStats</t>
  </si>
  <si>
    <t>noPermissionByDefault</t>
  </si>
  <si>
    <t>provisioningBundleToMap</t>
  </si>
  <si>
    <t>testSurfaceTransaction_setDataSpace_bt2020</t>
  </si>
  <si>
    <t>openApplication</t>
  </si>
  <si>
    <t>ServiceStateListener</t>
  </si>
  <si>
    <t>waitForServiceStateChange</t>
  </si>
  <si>
    <t>waitForServiceState</t>
  </si>
  <si>
    <t>RadioPowerStateListener</t>
  </si>
  <si>
    <t>waitForRadioPowerStateChange</t>
  </si>
  <si>
    <t>setRadioPower</t>
  </si>
  <si>
    <t>testGet</t>
  </si>
  <si>
    <t>setAndRemoveDeviceOwnerRepeatedly_doesNotThrowError</t>
  </si>
  <si>
    <t>setAndRemoveProfileOwnerRepeatedly_doesNotThrowError</t>
  </si>
  <si>
    <t>tryStoppingProtectedPackage</t>
  </si>
  <si>
    <t>testImeAutofillDefaultSupportedLocalesIsEmpty_changeDisabled</t>
  </si>
  <si>
    <t>SingleRegistrationCapabilityReceiver</t>
  </si>
  <si>
    <t>computeScreenLayout</t>
  </si>
  <si>
    <t>installSplitsIncrementally</t>
  </si>
  <si>
    <t>testReqSecureDecodeSupport</t>
  </si>
  <si>
    <t>testOnCreateViewTranslationRequest_textSelectable_returnsNull</t>
  </si>
  <si>
    <t>testGetConnectedDevices</t>
  </si>
  <si>
    <t>testGetDevicesMatchingConnectionStates</t>
  </si>
  <si>
    <t>testGetConnectionState</t>
  </si>
  <si>
    <t>testGetAudioLocation</t>
  </si>
  <si>
    <t>testRegisterCallbackNoPermission</t>
  </si>
  <si>
    <t>testRegisterUnregisterCallback</t>
  </si>
  <si>
    <t>testGetConnectedGroupLeadDevice</t>
  </si>
  <si>
    <t>testDismissSave_byFocusingOutside</t>
  </si>
  <si>
    <t>testReqSecureWithUnsecureDecodeSupport</t>
  </si>
  <si>
    <t>testReqMultiSecureDecodeSupport</t>
  </si>
  <si>
    <t>onConfigurationChanged</t>
  </si>
  <si>
    <t>testAutomotiveNativeFbe</t>
  </si>
  <si>
    <t>testDirectBootNative</t>
  </si>
  <si>
    <t>testDirectBootEmulated</t>
  </si>
  <si>
    <t>testDirectBootNone</t>
  </si>
  <si>
    <t>OpenFileContentProvider</t>
  </si>
  <si>
    <t>test_getMessageAccessPermission</t>
  </si>
  <si>
    <t>test_getPhonebookAccessPermission</t>
  </si>
  <si>
    <t>test_getSimAccessPermission</t>
  </si>
  <si>
    <t>test_setMessageAccessPermission</t>
  </si>
  <si>
    <t>test_setPhonebookAccessPermission</t>
  </si>
  <si>
    <t>test_setSimAccessPermission</t>
  </si>
  <si>
    <t>testPhonebookAccessPermission</t>
  </si>
  <si>
    <t>testMessageAccessPermission</t>
  </si>
  <si>
    <t>testSimAccessPermission</t>
  </si>
  <si>
    <t>setAndCheckPermission</t>
  </si>
  <si>
    <t>testSetGetDiscoverableTimeout</t>
  </si>
  <si>
    <t>testWidevineSupport</t>
  </si>
  <si>
    <t>interpolateSystemTimeAt</t>
  </si>
  <si>
    <t>getInputMethodWindowVisibleHeight_returnsZeroIfNotFocused</t>
  </si>
  <si>
    <t>reflectivelyGetInputMethodWindowVisibleHeight</t>
  </si>
  <si>
    <t>testNestedProperties_unusualPaths</t>
  </si>
  <si>
    <t>setIdentifierAccess</t>
  </si>
  <si>
    <t>testOSrvccStateChangedByRegisterTelephonyCallback</t>
  </si>
  <si>
    <t>testMandatoryDeviceidAttestation</t>
  </si>
  <si>
    <t>testInstallV41WrongBlockId</t>
  </si>
  <si>
    <t>testInstallV41LegacyV4</t>
  </si>
  <si>
    <t>testInstallV41WrongDigest</t>
  </si>
  <si>
    <t>testExpectedBaseFilesExist</t>
  </si>
  <si>
    <t>testTooFewArgs</t>
  </si>
  <si>
    <t>testStaging_stagingDirIsFile</t>
  </si>
  <si>
    <t>testStaging_uninstall_currentDirIsFile</t>
  </si>
  <si>
    <t>testStaging_uninstall_noCurrent</t>
  </si>
  <si>
    <t>testStaging_uninstall_withCurrent</t>
  </si>
  <si>
    <t>testStaging_install_currentDirIsFile</t>
  </si>
  <si>
    <t>testStaging_install_noCurrent</t>
  </si>
  <si>
    <t>testStaging_install_withCurrent</t>
  </si>
  <si>
    <t>testStaging_install_withCurrent_invalidStaged</t>
  </si>
  <si>
    <t>testNoCurrentDataDir</t>
  </si>
  <si>
    <t>testCurrentDataDirIsFile</t>
  </si>
  <si>
    <t>testMissingDataDirDistroVersionFile</t>
  </si>
  <si>
    <t>testShortDataDirDistroVersionFile</t>
  </si>
  <si>
    <t>testCorruptDistroVersionFile</t>
  </si>
  <si>
    <t>testInvalidMajorDistroVersion_older</t>
  </si>
  <si>
    <t>testInvalidMajorDistroVersion_newer</t>
  </si>
  <si>
    <t>testInvalidMinorDistroVersion_older</t>
  </si>
  <si>
    <t>testValidMinorDistroVersion_newer</t>
  </si>
  <si>
    <t>testSystemTzVersionFileMissing</t>
  </si>
  <si>
    <t>testSystemTzVersionFileCorrupt</t>
  </si>
  <si>
    <t>testSystemTzRulesOlder</t>
  </si>
  <si>
    <t>testSystemTzVersionSame</t>
  </si>
  <si>
    <t>testSystemTzVersionNewer</t>
  </si>
  <si>
    <t>createSystemTzVersionFileOnHost</t>
  </si>
  <si>
    <t>createStagedUninstallOnHost</t>
  </si>
  <si>
    <t>unpackOnHost</t>
  </si>
  <si>
    <t>createValidDistroBuilder</t>
  </si>
  <si>
    <t>createValidTzDataBytes</t>
  </si>
  <si>
    <t>createValidTzVersionBytes</t>
  </si>
  <si>
    <t>runTzDataCheckOnDevice</t>
  </si>
  <si>
    <t>runTzDataCheckWithArgs</t>
  </si>
  <si>
    <t>createTzDataCheckCommand</t>
  </si>
  <si>
    <t>assertHostFileExists</t>
  </si>
  <si>
    <t>executeCommandOnDeviceRaw</t>
  </si>
  <si>
    <t>createDeviceDirectory</t>
  </si>
  <si>
    <t>createHostDirectory</t>
  </si>
  <si>
    <t>ShellResult</t>
  </si>
  <si>
    <t>executeCommandOnDeviceWithResultCode</t>
  </si>
  <si>
    <t>pushHostTestDirToDevice</t>
  </si>
  <si>
    <t>pullFile</t>
  </si>
  <si>
    <t>deleteHostFile</t>
  </si>
  <si>
    <t>deleteDeviceDirectory</t>
  </si>
  <si>
    <t>deleteDeviceFile</t>
  </si>
  <si>
    <t>deleteHostDirectory</t>
  </si>
  <si>
    <t>assertDeviceFileExists</t>
  </si>
  <si>
    <t>assertDevicePathExists</t>
  </si>
  <si>
    <t>assertDeviceDirContainsDistro</t>
  </si>
  <si>
    <t>assertDevicePathDoesNotExist</t>
  </si>
  <si>
    <t>assertDevicePathIsFile</t>
  </si>
  <si>
    <t>deviceFail</t>
  </si>
  <si>
    <t>fail</t>
  </si>
  <si>
    <t>PathPair</t>
  </si>
  <si>
    <t>hostFile</t>
  </si>
  <si>
    <t>createSubPath</t>
  </si>
  <si>
    <t>waitUntilSimpleActivityExistenceStatusIs</t>
  </si>
  <si>
    <t>startOverlayService</t>
  </si>
  <si>
    <t>startVulnerableActivity</t>
  </si>
  <si>
    <t>testVulnerableActivityPresence</t>
  </si>
  <si>
    <t>testStderrWarning</t>
  </si>
  <si>
    <t>testLocationAppOpIsIgnoredForAppsWhenLocationIsDisabled</t>
  </si>
  <si>
    <t>testVp9HdrStaticMetadata</t>
  </si>
  <si>
    <t>testAV1HdrStaticMetadata</t>
  </si>
  <si>
    <t>testH265HDR10StaticMetadata</t>
  </si>
  <si>
    <t>testVp9Hdr10PlusMetadata</t>
  </si>
  <si>
    <t>testH265Hdr10PlusMetadata</t>
  </si>
  <si>
    <t>testHdrStaticMetadata</t>
  </si>
  <si>
    <t>testHdrMetadata</t>
  </si>
  <si>
    <t>verifyHdrStaticInfo</t>
  </si>
  <si>
    <t>verifyHdrDynamicInfo</t>
  </si>
  <si>
    <t>loadByteArrayFromString</t>
  </si>
  <si>
    <t>testVp9HdrToSdr</t>
  </si>
  <si>
    <t>testAV1HdrToSdr</t>
  </si>
  <si>
    <t>testH265HDR10ToSdr</t>
  </si>
  <si>
    <t>testVp9Hdr10PlusToSdr</t>
  </si>
  <si>
    <t>testH265Hdr10PlusToSdr</t>
  </si>
  <si>
    <t>testHdrToSdr</t>
  </si>
  <si>
    <t>updatePerfClassLevelRS</t>
  </si>
  <si>
    <t>setupLibraries</t>
  </si>
  <si>
    <t>testTunneledAudioPtsGapsHevc</t>
  </si>
  <si>
    <t>testTunneledAudioPtsGapsAvc</t>
  </si>
  <si>
    <t>testTunneledAudioPtsGapsVp9</t>
  </si>
  <si>
    <t>testTunneledAudioPtsGaps</t>
  </si>
  <si>
    <t>testTunneledAudioTimestampProgressWithUnderrunHevc</t>
  </si>
  <si>
    <t>testTunneledAudioTimestampProgressWithUnderrunAvc</t>
  </si>
  <si>
    <t>testTunneledAudioTimestampProgressWithUnderrunVp9</t>
  </si>
  <si>
    <t>testTunneledAudioTimestampProgressWithUnderrun</t>
  </si>
  <si>
    <t>mediaOutputDialog_correctDialog</t>
  </si>
  <si>
    <t>launchMediaOutputDialog</t>
  </si>
  <si>
    <t>hasFeatureSupported</t>
  </si>
  <si>
    <t>hasSupportForColorFormat</t>
  </si>
  <si>
    <t>testHDRMetadata</t>
  </si>
  <si>
    <t>setVideoMimeType</t>
  </si>
  <si>
    <t>getDeviceFile</t>
  </si>
  <si>
    <t>copyResToTempFile</t>
  </si>
  <si>
    <t>runProcess</t>
  </si>
  <si>
    <t>searchpolicySource</t>
  </si>
  <si>
    <t>searchpolicyTarget</t>
  </si>
  <si>
    <t>runSeamendc</t>
  </si>
  <si>
    <t>runSecilc</t>
  </si>
  <si>
    <t>testSeamendcAgainstPrecompiledPolicies</t>
  </si>
  <si>
    <t>testSeamendcAgainstSecilc</t>
  </si>
  <si>
    <t>testTiramisu_0</t>
  </si>
  <si>
    <t>testTiramisu</t>
  </si>
  <si>
    <t>testTiramisu_1</t>
  </si>
  <si>
    <t>testNewArray</t>
  </si>
  <si>
    <t>workAroundNotificationShadeWindowIssue</t>
  </si>
  <si>
    <t>getDefaultDialerPackage</t>
  </si>
  <si>
    <t>testHotwordDetection</t>
  </si>
  <si>
    <t>performAndGetDetectionResult</t>
  </si>
  <si>
    <t>perform</t>
  </si>
  <si>
    <t>getDataSpaceWithFormatYUV420_888</t>
  </si>
  <si>
    <t>isApiAndPlatformSupported</t>
  </si>
  <si>
    <t>testOnlyAllowedlistedChangesAreOverridable</t>
  </si>
  <si>
    <t>resetDrawCondition</t>
  </si>
  <si>
    <t>assertLastUserRemoved</t>
  </si>
  <si>
    <t>testOnRangingOpened_OnOpenSuccessCalled</t>
  </si>
  <si>
    <t>testOnRangingOpened_OnServiceDiscoveredConnectedCalled</t>
  </si>
  <si>
    <t>testOnRangingOpened_CannotOpenClosedSession</t>
  </si>
  <si>
    <t>testOnRangingClosed_OnClosedCalledWhenSessionNotOpen</t>
  </si>
  <si>
    <t>testOnRangingClosed_OnClosedCalled</t>
  </si>
  <si>
    <t>testOnRangingResult_OnReportReceivedCalled</t>
  </si>
  <si>
    <t>testStart_CannotStartIfAlreadyStarted</t>
  </si>
  <si>
    <t>testStop_CannotStopIfAlreadyStopped</t>
  </si>
  <si>
    <t>testStop_CannotStopIfOpenFailed</t>
  </si>
  <si>
    <t>testCallbacks_OnlyWhenOpened</t>
  </si>
  <si>
    <t>testClose_NoCallbackUntilInvoked</t>
  </si>
  <si>
    <t>testClose_OnClosedCalled</t>
  </si>
  <si>
    <t>testClose_CannotInteractFurther</t>
  </si>
  <si>
    <t>testOnRangingResult_OnReportReceivedCalledWhenOpen</t>
  </si>
  <si>
    <t>testOnRangingResult_OnReportReceivedNotCalledWhenNotOpen</t>
  </si>
  <si>
    <t>verifyOpenState</t>
  </si>
  <si>
    <t>verifyThrowIllegalState</t>
  </si>
  <si>
    <t>verifyNoThrowIllegalState</t>
  </si>
  <si>
    <t>AdapterAnswer</t>
  </si>
  <si>
    <t>StartAnswer</t>
  </si>
  <si>
    <t>ReconfigureAnswer</t>
  </si>
  <si>
    <t>PauseAnswer</t>
  </si>
  <si>
    <t>ResumeAnswer</t>
  </si>
  <si>
    <t>ControleeAddAnswer</t>
  </si>
  <si>
    <t>ControleeRemoveAnswer</t>
  </si>
  <si>
    <t>DataSendAnswer</t>
  </si>
  <si>
    <t>StopAnswer</t>
  </si>
  <si>
    <t>CloseAnswer</t>
  </si>
  <si>
    <t>testAllChecksums</t>
  </si>
  <si>
    <t>testPerformNonTaskFragmentHierarchyOperation_ThrowException</t>
  </si>
  <si>
    <t>testSetPropertyOnNonTaskFragment_ThrowException</t>
  </si>
  <si>
    <t>testPerformOperationsOnNonOrganizedTaskFragment_ThrowException</t>
  </si>
  <si>
    <t>test_getProfileProxy</t>
  </si>
  <si>
    <t>TestPlatformVersion</t>
  </si>
  <si>
    <t>isAtLeast</t>
  </si>
  <si>
    <t>testSetMediaButtonBroadcastReceiver_withForeignPackageName_fails</t>
  </si>
  <si>
    <t>MyContextWrapper</t>
  </si>
  <si>
    <t>getApexPolicyFromDevice</t>
  </si>
  <si>
    <t>testVersion</t>
  </si>
  <si>
    <t>testCarServiceHelperServiceDump</t>
  </si>
  <si>
    <t>installAppIncremental</t>
  </si>
  <si>
    <t>installDeviceOwnerApp</t>
  </si>
  <si>
    <t>removeDeviceOwnerAdmin</t>
  </si>
  <si>
    <t>forceStopPackageForUser</t>
  </si>
  <si>
    <t>listRunningUsers</t>
  </si>
  <si>
    <t>removeTestPackages</t>
  </si>
  <si>
    <t>getPrimaryUser</t>
  </si>
  <si>
    <t>getUserSerialNumber</t>
  </si>
  <si>
    <t>setDeviceAdminInner</t>
  </si>
  <si>
    <t>setDeviceAdmin</t>
  </si>
  <si>
    <t>setDeviceOwnerExpectingFailure</t>
  </si>
  <si>
    <t>removeAdmin</t>
  </si>
  <si>
    <t>removeOwners</t>
  </si>
  <si>
    <t>wakeupAndDismissKeyguard</t>
  </si>
  <si>
    <t>stayAwake</t>
  </si>
  <si>
    <t>isHeadlessSystemUserMode</t>
  </si>
  <si>
    <t>getParamsForDeviceOwnerTest</t>
  </si>
  <si>
    <t>executeDeviceTestMethod</t>
  </si>
  <si>
    <t>SupportedKeyAlgorithm</t>
  </si>
  <si>
    <t>signDataWithKey</t>
  </si>
  <si>
    <t>verifySignature</t>
  </si>
  <si>
    <t>verifySignatureOverData</t>
  </si>
  <si>
    <t>testationData</t>
  </si>
  <si>
    <t>validateSignatureChain</t>
  </si>
  <si>
    <t>testationSupported</t>
  </si>
  <si>
    <t>testationRequested</t>
  </si>
  <si>
    <t>testation</t>
  </si>
  <si>
    <t>testAllVariationsOfDeviceIdAttestation</t>
  </si>
  <si>
    <t>testAllVariationsOfDeviceIdAttestationUsingStrongBox</t>
  </si>
  <si>
    <t>hasStrongBox</t>
  </si>
  <si>
    <t>isSdkLevelLessThanT</t>
  </si>
  <si>
    <t>shouldBlinkMock</t>
  </si>
  <si>
    <t>testPocCVE_2019_2133</t>
  </si>
  <si>
    <t>testPocCVE_2019_2134</t>
  </si>
  <si>
    <t>startNewActivity</t>
  </si>
  <si>
    <t>assumeExtensionVersionAtLeast2</t>
  </si>
  <si>
    <t>ExtractDecodeEditEncodeMuxTest</t>
  </si>
  <si>
    <t>testCloudSearchServiceConnection</t>
  </si>
  <si>
    <t>testSuccessfulSearch</t>
  </si>
  <si>
    <t>testUnsuccessfulSearch</t>
  </si>
  <si>
    <t>testInvalidServiceSearch</t>
  </si>
  <si>
    <t>testMultipleCallbacksSearch</t>
  </si>
  <si>
    <t>onSearchSucceeded</t>
  </si>
  <si>
    <t>onSearchFailed</t>
  </si>
  <si>
    <t>testCreateSearchRequest</t>
  </si>
  <si>
    <t>testCreateSearchResponse</t>
  </si>
  <si>
    <t>testCreateSearchResult</t>
  </si>
  <si>
    <t>isVideoFeatureSupported</t>
  </si>
  <si>
    <t>tunneledVideoPlayback</t>
  </si>
  <si>
    <t>testTunneledVideoPlaybackHevc</t>
  </si>
  <si>
    <t>testTunneledVideoPlaybackAvc</t>
  </si>
  <si>
    <t>testTunneledVideoPlaybackVp9</t>
  </si>
  <si>
    <t>testTunneledVideoFlush</t>
  </si>
  <si>
    <t>testTunneledVideoFlushHevc</t>
  </si>
  <si>
    <t>testTunneledVideoFlushAvc</t>
  </si>
  <si>
    <t>testTunneledVideoFlushVp9</t>
  </si>
  <si>
    <t>testTunneledVideoPeekOn</t>
  </si>
  <si>
    <t>testTunneledVideoPeekOnHevc</t>
  </si>
  <si>
    <t>testTunneledVideoPeekOnAvc</t>
  </si>
  <si>
    <t>testTunneledVideoPeekOnVp9</t>
  </si>
  <si>
    <t>testTunneledAudioProgressWithPtsGaps</t>
  </si>
  <si>
    <t>testTunneledAudioProgressWithPtsGapsHevc</t>
  </si>
  <si>
    <t>testTunneledAudioProgressWithPtsGapsAvc</t>
  </si>
  <si>
    <t>testTunneledAudioProgressWithPtsGapsVp9</t>
  </si>
  <si>
    <t>testTunneledAudioProgressWithUnderrun</t>
  </si>
  <si>
    <t>testTunneledAudioProgressWithUnderrunHevc</t>
  </si>
  <si>
    <t>testTunneledAudioProgressWithUnderrunAvc</t>
  </si>
  <si>
    <t>testTunneledAudioProgressWithUnderrunVp9</t>
  </si>
  <si>
    <t>testTunneledAudioProgressWithPause</t>
  </si>
  <si>
    <t>testTunneledAudioProgressWithPauseHevc</t>
  </si>
  <si>
    <t>testTunneledAudioProgressWithPauseAvc</t>
  </si>
  <si>
    <t>testTunneledAudioProgressWithPauseVp9</t>
  </si>
  <si>
    <t>tunneledAudioUnderrun</t>
  </si>
  <si>
    <t>testTunneledAudioUnderrunHevc</t>
  </si>
  <si>
    <t>testTunneledAudioUnderrunAvc</t>
  </si>
  <si>
    <t>testTunneledAudioUnderrunVp9</t>
  </si>
  <si>
    <t>testSaveDialogHeightIsSameWithDefaultWhenNotSetInConfig</t>
  </si>
  <si>
    <t>testSaveDialogHeightIsSameWithConfig</t>
  </si>
  <si>
    <t>testSaveDialogWrapAroundContent</t>
  </si>
  <si>
    <t>setScrollviewHeightInConfig</t>
  </si>
  <si>
    <t>getScreenHeight</t>
  </si>
  <si>
    <t>newTemplate</t>
  </si>
  <si>
    <t>triggerSaveUiWithContents</t>
  </si>
  <si>
    <t>startActivityAndWaitForShow</t>
  </si>
  <si>
    <t>MediaPlayerSurfaceTest</t>
  </si>
  <si>
    <t>MediaRecorderRandomTest</t>
  </si>
  <si>
    <t>MediaPlayerRandomTest</t>
  </si>
  <si>
    <t>copyResourceToFile</t>
  </si>
  <si>
    <t>testNoExemptionsForSocketsBetweenCoreAndVendorBan</t>
  </si>
  <si>
    <t>testNoExemptionsForVendorExecutingCore</t>
  </si>
  <si>
    <t>testReportMobileRadioPowerState</t>
  </si>
  <si>
    <t>testReportWifiRadioPowerState</t>
  </si>
  <si>
    <t>testReportRadioPowerState</t>
  </si>
  <si>
    <t>checkTokens</t>
  </si>
  <si>
    <t>checkPythonModules</t>
  </si>
  <si>
    <t>test_closeProfileProxy</t>
  </si>
  <si>
    <t>waitForProfileDisconnect</t>
  </si>
  <si>
    <t>testCloseProfileProxy</t>
  </si>
  <si>
    <t>testIsPresent</t>
  </si>
  <si>
    <t>flushCodec</t>
  </si>
  <si>
    <t>testFlushNative</t>
  </si>
  <si>
    <t>testAvcGoog0Qual0320x0240</t>
  </si>
  <si>
    <t>testAvcGoog1Qual0320x0240</t>
  </si>
  <si>
    <t>testAvcOther0Qual0320x0240</t>
  </si>
  <si>
    <t>testAvcOther1Qual0320x0240</t>
  </si>
  <si>
    <t>testAvcOther2Qual0320x0240</t>
  </si>
  <si>
    <t>testAvcOther3Qual0320x0240</t>
  </si>
  <si>
    <t>testAvcGoog0Qual0720x0480</t>
  </si>
  <si>
    <t>testAvcGoog1Qual0720x0480</t>
  </si>
  <si>
    <t>testAvcOther0Qual0720x0480</t>
  </si>
  <si>
    <t>testAvcOther1Qual0720x0480</t>
  </si>
  <si>
    <t>testAvcOther2Qual0720x0480</t>
  </si>
  <si>
    <t>testAvcOther3Qual0720x0480</t>
  </si>
  <si>
    <t>testAvcGoog0Qual1280x0720</t>
  </si>
  <si>
    <t>testAvcGoog1Qual1280x0720</t>
  </si>
  <si>
    <t>testAvcOther0Qual1280x0720</t>
  </si>
  <si>
    <t>testAvcOther1Qual1280x0720</t>
  </si>
  <si>
    <t>testAvcOther2Qual1280x0720</t>
  </si>
  <si>
    <t>testAvcOther3Qual1280x0720</t>
  </si>
  <si>
    <t>testAvcGoog0Qual1920x1080</t>
  </si>
  <si>
    <t>testAvcGoog1Qual1920x1080</t>
  </si>
  <si>
    <t>testAvcOther0Qual1920x1080</t>
  </si>
  <si>
    <t>testAvcOther1Qual1920x1080</t>
  </si>
  <si>
    <t>testAvcOther2Qual1920x1080</t>
  </si>
  <si>
    <t>testAvcOther3Qual1920x1080</t>
  </si>
  <si>
    <t>testH263Goog0Qual0176x0144</t>
  </si>
  <si>
    <t>testH263Goog1Qual0176x0144</t>
  </si>
  <si>
    <t>testH263Other0Qual0176x0144</t>
  </si>
  <si>
    <t>testH263Other1Qual0176x0144</t>
  </si>
  <si>
    <t>testH263Goog0Qual0352x0288</t>
  </si>
  <si>
    <t>testH263Goog1Qual0352x0288</t>
  </si>
  <si>
    <t>testH263Other0Qual0352x0288</t>
  </si>
  <si>
    <t>testH263Other1Qual0352x0288</t>
  </si>
  <si>
    <t>testH263Count0704x0576</t>
  </si>
  <si>
    <t>testH263Goog0Qual0704x0576</t>
  </si>
  <si>
    <t>testH263Goog0Perf0704x0576</t>
  </si>
  <si>
    <t>testH263Other0Qual0704x0576</t>
  </si>
  <si>
    <t>testH263Other0Perf0704x0576</t>
  </si>
  <si>
    <t>testH263Other1Qual0704x0576</t>
  </si>
  <si>
    <t>testH263Other1Perf0704x0576</t>
  </si>
  <si>
    <t>testH263Count1408x1152</t>
  </si>
  <si>
    <t>testH263Goog0Qual1408x1152</t>
  </si>
  <si>
    <t>testH263Goog0Perf1408x1152</t>
  </si>
  <si>
    <t>testH263Other0Qual1408x1152</t>
  </si>
  <si>
    <t>testH263Other0Perf1408x1152</t>
  </si>
  <si>
    <t>testH263Other1Qual1408x1152</t>
  </si>
  <si>
    <t>testH263Other1Perf1408x1152</t>
  </si>
  <si>
    <t>testHevcCount0320x0240</t>
  </si>
  <si>
    <t>testHevcGoog0Qual0320x0240</t>
  </si>
  <si>
    <t>testHevcGoog0Perf0320x0240</t>
  </si>
  <si>
    <t>testHevcGoog1Qual0320x0240</t>
  </si>
  <si>
    <t>testHevcGoog1Perf0320x0240</t>
  </si>
  <si>
    <t>testHevcOther0Qual0320x0240</t>
  </si>
  <si>
    <t>testHevcOther0Perf0320x0240</t>
  </si>
  <si>
    <t>testHevcOther1Qual0320x0240</t>
  </si>
  <si>
    <t>testHevcOther1Perf0320x0240</t>
  </si>
  <si>
    <t>testHevcOther2Qual0320x0240</t>
  </si>
  <si>
    <t>testHevcOther2Perf0320x0240</t>
  </si>
  <si>
    <t>testHevcOther3Qual0320x0240</t>
  </si>
  <si>
    <t>testHevcOther3Perf0320x0240</t>
  </si>
  <si>
    <t>testHevcGoog0Qual0720x0480</t>
  </si>
  <si>
    <t>testHevcGoog1Qual0720x0480</t>
  </si>
  <si>
    <t>testHevcOther0Qual0720x0480</t>
  </si>
  <si>
    <t>testHevcOther1Qual0720x0480</t>
  </si>
  <si>
    <t>testHevcOther2Qual0720x0480</t>
  </si>
  <si>
    <t>testHevcOther3Qual0720x0480</t>
  </si>
  <si>
    <t>testHevcGoog0Qual1280x0720</t>
  </si>
  <si>
    <t>testHevcGoog1Qual1280x0720</t>
  </si>
  <si>
    <t>testHevcOther0Qual1280x0720</t>
  </si>
  <si>
    <t>testHevcOther1Qual1280x0720</t>
  </si>
  <si>
    <t>testHevcOther2Qual1280x0720</t>
  </si>
  <si>
    <t>testHevcOther3Qual1280x0720</t>
  </si>
  <si>
    <t>testHevcGoog0Qual1920x1080</t>
  </si>
  <si>
    <t>testHevcGoog1Qual1920x1080</t>
  </si>
  <si>
    <t>testHevcOther0Qual1920x1080</t>
  </si>
  <si>
    <t>testHevcOther1Qual1920x1080</t>
  </si>
  <si>
    <t>testHevcOther2Qual1920x1080</t>
  </si>
  <si>
    <t>testHevcOther3Qual1920x1080</t>
  </si>
  <si>
    <t>testHevcGoog0Qual3840x2160</t>
  </si>
  <si>
    <t>testHevcGoog1Qual3840x2160</t>
  </si>
  <si>
    <t>testHevcOther0Qual3840x2160</t>
  </si>
  <si>
    <t>testHevcOther1Qual3840x2160</t>
  </si>
  <si>
    <t>testHevcOther2Qual3840x2160</t>
  </si>
  <si>
    <t>testHevcOther3Qual3840x2160</t>
  </si>
  <si>
    <t>testMpeg2Count0176x0144</t>
  </si>
  <si>
    <t>testMpeg2Goog0Qual0176x0144</t>
  </si>
  <si>
    <t>testMpeg2Goog0Perf0176x0144</t>
  </si>
  <si>
    <t>testMpeg2Goog1Qual0176x0144</t>
  </si>
  <si>
    <t>testMpeg2Goog1Perf0176x0144</t>
  </si>
  <si>
    <t>testMpeg2Other0Qual0176x0144</t>
  </si>
  <si>
    <t>testMpeg2Other0Perf0176x0144</t>
  </si>
  <si>
    <t>testMpeg2Other1Qual0176x0144</t>
  </si>
  <si>
    <t>testMpeg2Other1Perf0176x0144</t>
  </si>
  <si>
    <t>testMpeg2Other2Qual0176x0144</t>
  </si>
  <si>
    <t>testMpeg2Other2Perf0176x0144</t>
  </si>
  <si>
    <t>testMpeg2Other3Qual0176x0144</t>
  </si>
  <si>
    <t>testMpeg2Other3Perf0176x0144</t>
  </si>
  <si>
    <t>testMpeg2Count0352x0288</t>
  </si>
  <si>
    <t>testMpeg2Goog0Qual0352x0288</t>
  </si>
  <si>
    <t>testMpeg2Goog0Perf0352x0288</t>
  </si>
  <si>
    <t>testMpeg2Goog1Qual0352x0288</t>
  </si>
  <si>
    <t>testMpeg2Goog1Perf0352x0288</t>
  </si>
  <si>
    <t>testMpeg2Other0Qual0352x0288</t>
  </si>
  <si>
    <t>testMpeg2Other0Perf0352x0288</t>
  </si>
  <si>
    <t>testMpeg2Other1Qual0352x0288</t>
  </si>
  <si>
    <t>testMpeg2Other1Perf0352x0288</t>
  </si>
  <si>
    <t>testMpeg2Other2Qual0352x0288</t>
  </si>
  <si>
    <t>testMpeg2Other2Perf0352x0288</t>
  </si>
  <si>
    <t>testMpeg2Other3Qual0352x0288</t>
  </si>
  <si>
    <t>testMpeg2Other3Perf0352x0288</t>
  </si>
  <si>
    <t>testMpeg2Count0640x0480</t>
  </si>
  <si>
    <t>testMpeg2Goog0Qual0640x0480</t>
  </si>
  <si>
    <t>testMpeg2Goog0Perf0640x0480</t>
  </si>
  <si>
    <t>testMpeg2Goog1Qual0640x0480</t>
  </si>
  <si>
    <t>testMpeg2Goog1Perf0640x0480</t>
  </si>
  <si>
    <t>testMpeg2Other0Qual0640x0480</t>
  </si>
  <si>
    <t>testMpeg2Other0Perf0640x0480</t>
  </si>
  <si>
    <t>testMpeg2Other1Qual0640x0480</t>
  </si>
  <si>
    <t>testMpeg2Other1Perf0640x0480</t>
  </si>
  <si>
    <t>testMpeg2Other2Qual0640x0480</t>
  </si>
  <si>
    <t>testMpeg2Other2Perf0640x0480</t>
  </si>
  <si>
    <t>testMpeg2Other3Qual0640x0480</t>
  </si>
  <si>
    <t>testMpeg2Other3Perf0640x0480</t>
  </si>
  <si>
    <t>testMpeg2Count1280x0720</t>
  </si>
  <si>
    <t>testMpeg2Goog0Qual1280x0720</t>
  </si>
  <si>
    <t>testMpeg2Goog0Perf1280x0720</t>
  </si>
  <si>
    <t>testMpeg2Goog1Qual1280x0720</t>
  </si>
  <si>
    <t>testMpeg2Goog1Perf1280x0720</t>
  </si>
  <si>
    <t>testMpeg2Other0Qual1280x0720</t>
  </si>
  <si>
    <t>testMpeg2Other0Perf1280x0720</t>
  </si>
  <si>
    <t>testMpeg2Other1Qual1280x0720</t>
  </si>
  <si>
    <t>testMpeg2Other1Perf1280x0720</t>
  </si>
  <si>
    <t>testMpeg2Other2Qual1280x0720</t>
  </si>
  <si>
    <t>testMpeg2Other2Perf1280x0720</t>
  </si>
  <si>
    <t>testMpeg2Other3Qual1280x0720</t>
  </si>
  <si>
    <t>testMpeg2Other3Perf1280x0720</t>
  </si>
  <si>
    <t>testMpeg2Count1920x1080</t>
  </si>
  <si>
    <t>testMpeg2Goog0Qual1920x1080</t>
  </si>
  <si>
    <t>testMpeg2Goog0Perf1920x1080</t>
  </si>
  <si>
    <t>testMpeg2Goog1Qual1920x1080</t>
  </si>
  <si>
    <t>testMpeg2Goog1Perf1920x1080</t>
  </si>
  <si>
    <t>testMpeg2Other0Qual1920x1080</t>
  </si>
  <si>
    <t>testMpeg2Other0Perf1920x1080</t>
  </si>
  <si>
    <t>testMpeg2Other1Qual1920x1080</t>
  </si>
  <si>
    <t>testMpeg2Other1Perf1920x1080</t>
  </si>
  <si>
    <t>testMpeg2Other2Qual1920x1080</t>
  </si>
  <si>
    <t>testMpeg2Other2Perf1920x1080</t>
  </si>
  <si>
    <t>testMpeg2Other3Qual1920x1080</t>
  </si>
  <si>
    <t>testMpeg2Other3Perf1920x1080</t>
  </si>
  <si>
    <t>testMpeg4Goog0Qual0176x0144</t>
  </si>
  <si>
    <t>testMpeg4Goog1Qual0176x0144</t>
  </si>
  <si>
    <t>testMpeg4Other0Qual0176x0144</t>
  </si>
  <si>
    <t>testMpeg4Other1Qual0176x0144</t>
  </si>
  <si>
    <t>testMpeg4Other2Qual0176x0144</t>
  </si>
  <si>
    <t>testMpeg4Other3Qual0176x0144</t>
  </si>
  <si>
    <t>testMpeg4Count0352x0288</t>
  </si>
  <si>
    <t>testMpeg4Goog0Qual0352x0288</t>
  </si>
  <si>
    <t>testMpeg4Goog0Perf0352x0288</t>
  </si>
  <si>
    <t>testMpeg4Goog1Qual0352x0288</t>
  </si>
  <si>
    <t>testMpeg4Goog1Perf0352x0288</t>
  </si>
  <si>
    <t>testMpeg4Other0Qual0352x0288</t>
  </si>
  <si>
    <t>testMpeg4Other0Perf0352x0288</t>
  </si>
  <si>
    <t>testMpeg4Other1Qual0352x0288</t>
  </si>
  <si>
    <t>testMpeg4Other1Perf0352x0288</t>
  </si>
  <si>
    <t>testMpeg4Other2Qual0352x0288</t>
  </si>
  <si>
    <t>testMpeg4Other2Perf0352x0288</t>
  </si>
  <si>
    <t>testMpeg4Other3Qual0352x0288</t>
  </si>
  <si>
    <t>testMpeg4Other3Perf0352x0288</t>
  </si>
  <si>
    <t>testMpeg4Count0640x0480</t>
  </si>
  <si>
    <t>testMpeg4Goog0Qual0640x0480</t>
  </si>
  <si>
    <t>testMpeg4Goog0Perf0640x0480</t>
  </si>
  <si>
    <t>testMpeg4Goog1Qual0640x0480</t>
  </si>
  <si>
    <t>testMpeg4Goog1Perf0640x0480</t>
  </si>
  <si>
    <t>testMpeg4Other0Qual0640x0480</t>
  </si>
  <si>
    <t>testMpeg4Other0Perf0640x0480</t>
  </si>
  <si>
    <t>testMpeg4Other1Qual0640x0480</t>
  </si>
  <si>
    <t>testMpeg4Other1Perf0640x0480</t>
  </si>
  <si>
    <t>testMpeg4Other2Qual0640x0480</t>
  </si>
  <si>
    <t>testMpeg4Other2Perf0640x0480</t>
  </si>
  <si>
    <t>testMpeg4Other3Qual0640x0480</t>
  </si>
  <si>
    <t>testMpeg4Other3Perf0640x0480</t>
  </si>
  <si>
    <t>testMpeg4Goog0Qual1280x0720</t>
  </si>
  <si>
    <t>testMpeg4Goog1Qual1280x0720</t>
  </si>
  <si>
    <t>testMpeg4Other0Qual1280x0720</t>
  </si>
  <si>
    <t>testMpeg4Other1Qual1280x0720</t>
  </si>
  <si>
    <t>testMpeg4Other2Qual1280x0720</t>
  </si>
  <si>
    <t>testMpeg4Other3Qual1280x0720</t>
  </si>
  <si>
    <t>testVp8Goog0Qual0320x0180</t>
  </si>
  <si>
    <t>testVp8Goog1Qual0320x0180</t>
  </si>
  <si>
    <t>testVp8Other0Qual0320x0180</t>
  </si>
  <si>
    <t>testVp8Other1Qual0320x0180</t>
  </si>
  <si>
    <t>testVp8Goog0Qual0640x0360</t>
  </si>
  <si>
    <t>testVp8Goog1Qual0640x0360</t>
  </si>
  <si>
    <t>testVp8Other0Qual0640x0360</t>
  </si>
  <si>
    <t>testVp8Other1Qual0640x0360</t>
  </si>
  <si>
    <t>testVp8Goog0Qual1280x0720</t>
  </si>
  <si>
    <t>testVp8Goog1Qual1280x0720</t>
  </si>
  <si>
    <t>testVp8Other0Qual1280x0720</t>
  </si>
  <si>
    <t>testVp8Other1Qual1280x0720</t>
  </si>
  <si>
    <t>testVp8Goog0Qual1920x1080</t>
  </si>
  <si>
    <t>testVp8Goog1Qual1920x1080</t>
  </si>
  <si>
    <t>testVp8Other0Qual1920x1080</t>
  </si>
  <si>
    <t>testVp8Other1Qual1920x1080</t>
  </si>
  <si>
    <t>testVp9Goog0Qual0320x0180</t>
  </si>
  <si>
    <t>testVp9Goog1Qual0320x0180</t>
  </si>
  <si>
    <t>testVp9Other0Qual0320x0180</t>
  </si>
  <si>
    <t>testVp9Other1Qual0320x0180</t>
  </si>
  <si>
    <t>testVp9Other2Qual0320x0180</t>
  </si>
  <si>
    <t>testVp9Other3Qual0320x0180</t>
  </si>
  <si>
    <t>testVp9Goog0Qual0640x0360</t>
  </si>
  <si>
    <t>testVp9Goog1Qual0640x0360</t>
  </si>
  <si>
    <t>testVp9Other0Qual0640x0360</t>
  </si>
  <si>
    <t>testVp9Other1Qual0640x0360</t>
  </si>
  <si>
    <t>testVp9Other2Qual0640x0360</t>
  </si>
  <si>
    <t>testVp9Other3Qual0640x0360</t>
  </si>
  <si>
    <t>testVp9Goog0Qual1280x0720</t>
  </si>
  <si>
    <t>testVp9Goog1Qual1280x0720</t>
  </si>
  <si>
    <t>testVp9Other0Qual1280x0720</t>
  </si>
  <si>
    <t>testVp9Other1Qual1280x0720</t>
  </si>
  <si>
    <t>testVp9Other2Qual1280x0720</t>
  </si>
  <si>
    <t>testVp9Other3Qual1280x0720</t>
  </si>
  <si>
    <t>testVp9Goog0Qual1920x1080</t>
  </si>
  <si>
    <t>testVp9Goog1Qual1920x1080</t>
  </si>
  <si>
    <t>testVp9Other0Qual1920x1080</t>
  </si>
  <si>
    <t>testVp9Other1Qual1920x1080</t>
  </si>
  <si>
    <t>testVp9Other2Qual1920x1080</t>
  </si>
  <si>
    <t>testVp9Other3Qual1920x1080</t>
  </si>
  <si>
    <t>testVp9Goog0Qual3840x2160</t>
  </si>
  <si>
    <t>testVp9Goog1Qual3840x2160</t>
  </si>
  <si>
    <t>testVp9Other0Qual3840x2160</t>
  </si>
  <si>
    <t>testVp9Other1Qual3840x2160</t>
  </si>
  <si>
    <t>testVp9Other2Qual3840x2160</t>
  </si>
  <si>
    <t>testVp9Other3Qual3840x2160</t>
  </si>
  <si>
    <t>testConstructs</t>
  </si>
  <si>
    <t>testInvalidRadians</t>
  </si>
  <si>
    <t>testInvalidErrorRadians</t>
  </si>
  <si>
    <t>testInvalidConfidence</t>
  </si>
  <si>
    <t>constructExpectFailure</t>
  </si>
  <si>
    <t>testInvalidRssi</t>
  </si>
  <si>
    <t>verifyMeasurementsEqual</t>
  </si>
  <si>
    <t>testFromBytes_Short</t>
  </si>
  <si>
    <t>testFromBytes_Extended</t>
  </si>
  <si>
    <t>runFromBytes</t>
  </si>
  <si>
    <t>getByteArray</t>
  </si>
  <si>
    <t>testParcel_Short</t>
  </si>
  <si>
    <t>testParcel_Extended</t>
  </si>
  <si>
    <t>runParcel</t>
  </si>
  <si>
    <t>testRegisterServiceWrappers_failsWhenCalledOutsideOfSystemServiceRegistry</t>
  </si>
  <si>
    <t>setUwbEnabledAndWaitForCompletion</t>
  </si>
  <si>
    <t>testGetSpecificationInfo</t>
  </si>
  <si>
    <t>testGetSpecificationInfoWithChipId</t>
  </si>
  <si>
    <t>testGetChipInfos</t>
  </si>
  <si>
    <t>testGetSpecificationInfoWithInvalidChipId</t>
  </si>
  <si>
    <t>testGetSpecificationInfoWithoutUwbPrivileged</t>
  </si>
  <si>
    <t>testGetSpecificationInfoWithChipIdWithoutUwbPrivileged</t>
  </si>
  <si>
    <t>testElapsedRealtimeResolutionNanos</t>
  </si>
  <si>
    <t>testElapsedRealtimeResolutionNanosWithChipId</t>
  </si>
  <si>
    <t>testElapsedRealtimeResolutionNanosWithInvalidChipId</t>
  </si>
  <si>
    <t>testElapsedRealtimeResolutionNanosWithoutUwbPrivileged</t>
  </si>
  <si>
    <t>testElapsedRealtimeResolutionNanosWithChipIdWithoutUwbPrivileged</t>
  </si>
  <si>
    <t>testAddServiceProfileWithoutUwbPrivileged</t>
  </si>
  <si>
    <t>testRemoveServiceProfileWithoutUwbPrivileged</t>
  </si>
  <si>
    <t>testGetAllServiceProfilesWithoutUwbPrivileged</t>
  </si>
  <si>
    <t>testGetAdfProvisioningAuthoritiesWithoutUwbPrivileged</t>
  </si>
  <si>
    <t>testGetAdfCertificateInfoWithoutUwbPrivileged</t>
  </si>
  <si>
    <t>testGetChipInfosWithoutUwbPrivileged</t>
  </si>
  <si>
    <t>testSendVendorUciWithoutUwbPrivileged</t>
  </si>
  <si>
    <t>AdfProvisionStateCallback</t>
  </si>
  <si>
    <t>onProfileAdfsProvisioned</t>
  </si>
  <si>
    <t>onProfileAdfsProvisionFailed</t>
  </si>
  <si>
    <t>testProvisionProfileAdfByScriptWithoutUwbPrivileged</t>
  </si>
  <si>
    <t>testRemoveProfileAdfWithoutUwbPrivileged</t>
  </si>
  <si>
    <t>UwbVendorUciCallback</t>
  </si>
  <si>
    <t>onVendorUciResponse</t>
  </si>
  <si>
    <t>onVendorUciNotification</t>
  </si>
  <si>
    <t>testRegisterVendorUciCallbackWithoutUwbPrivileged</t>
  </si>
  <si>
    <t>testUnregisterVendorUciCallbackWithoutUwbPrivileged</t>
  </si>
  <si>
    <t>testInvalidCallbackUnregisterVendorUciCallback</t>
  </si>
  <si>
    <t>RangingSessionCallback</t>
  </si>
  <si>
    <t>replaceCtrlCountDownLatch</t>
  </si>
  <si>
    <t>onOpenFailed</t>
  </si>
  <si>
    <t>onStartFailed</t>
  </si>
  <si>
    <t>onReconfigured</t>
  </si>
  <si>
    <t>onReconfigureFailed</t>
  </si>
  <si>
    <t>onStopFailed</t>
  </si>
  <si>
    <t>onReportReceived</t>
  </si>
  <si>
    <t>testOpenRangingSessionWithInvalidChipId</t>
  </si>
  <si>
    <t>testOpenRangingSessionWithChipIdWithBadParams</t>
  </si>
  <si>
    <t>testOpenRangingSessionWithInvalidChipIdWithBadParams</t>
  </si>
  <si>
    <t>testOpenRangingSessionWithoutUwbPrivileged</t>
  </si>
  <si>
    <t>testOpenRangingSessionWithChipIdWithoutUwbPrivileged</t>
  </si>
  <si>
    <t>testOpenRangingSessionWithoutUwbRanging</t>
  </si>
  <si>
    <t>testOpenRangingSessionWithChipIdWithoutUwbRanging</t>
  </si>
  <si>
    <t>getShellAttributionSourceWithRenouncedPermissions</t>
  </si>
  <si>
    <t>createShellContextWithRenouncedPermissionsAndAttributionSource</t>
  </si>
  <si>
    <t>testOpenRangingSessionWithoutUwbRangingInNextAttributeSource</t>
  </si>
  <si>
    <t>testOpenRangingSessionWithChipIdWithoutUwbRangingInNextAttributeSource</t>
  </si>
  <si>
    <t>testFiraRangingSession</t>
  </si>
  <si>
    <t>AdapterStateCallback</t>
  </si>
  <si>
    <t>testUwbStateToggle</t>
  </si>
  <si>
    <t>testSendVendorUciMessage</t>
  </si>
  <si>
    <t>testSendVendorUciMessageWithFragmentedPackets</t>
  </si>
  <si>
    <t>ArrayList</t>
  </si>
  <si>
    <t>RequiredRule</t>
  </si>
  <si>
    <t>getTotalMemory</t>
  </si>
  <si>
    <t>RateLimitHttpServerConnection</t>
  </si>
  <si>
    <t>createHttpDataTransmitter</t>
  </si>
  <si>
    <t>createSessionOutputBuffer</t>
  </si>
  <si>
    <t>setPassword_hasPassword</t>
  </si>
  <si>
    <t>clearPassword_doesNotHavePassword</t>
  </si>
  <si>
    <t>testSetApplicationHidden_systemPackage</t>
  </si>
  <si>
    <t>testSetApplicationHidden_nonSystemPackage</t>
  </si>
  <si>
    <t>testSetApplicationHidden_nonSystemPackageStackTrace</t>
  </si>
  <si>
    <t>testSetApplicationHidden</t>
  </si>
  <si>
    <t>testCannotHideActiveAdmin</t>
  </si>
  <si>
    <t>testCannotHideNonExistingPackage</t>
  </si>
  <si>
    <t>testCannotHidePolicyExemptApps</t>
  </si>
  <si>
    <t>maybeUnhideApp</t>
  </si>
  <si>
    <t>waitForAddedBroadcast</t>
  </si>
  <si>
    <t>waitForRemovedBroadcast</t>
  </si>
  <si>
    <t>failBroadcastNotReceived</t>
  </si>
  <si>
    <t>testSetAutoTimeRequired</t>
  </si>
  <si>
    <t>testSetAutoTimeEnabled</t>
  </si>
  <si>
    <t>testSetAutoTimeZoneEnabled</t>
  </si>
  <si>
    <t>testSetTime</t>
  </si>
  <si>
    <t>testSetTime_failWhenAutoTimeEnabled</t>
  </si>
  <si>
    <t>testSetTimeZone_failIfAutoTimeZoneEnabled</t>
  </si>
  <si>
    <t>saveTime</t>
  </si>
  <si>
    <t>restoreTime</t>
  </si>
  <si>
    <t>testCreateAndManageUser_newUserDisclaimer</t>
  </si>
  <si>
    <t>runCrossUserVerificationSwitchingUser</t>
  </si>
  <si>
    <t>testCannotCallAutoTimeMethodsOnParentProfile</t>
  </si>
  <si>
    <t>getPasswordComplexity_none</t>
  </si>
  <si>
    <t>getPasswordComplexity_alphanumeric6_high</t>
  </si>
  <si>
    <t>getPasswordComplexity_alphanumeric5_medium</t>
  </si>
  <si>
    <t>getPasswordComplexity_alphanumeric4_medium</t>
  </si>
  <si>
    <t>getPasswordComplexity_alphabetic6_high</t>
  </si>
  <si>
    <t>getPasswordComplexity_alphabetic5_medium</t>
  </si>
  <si>
    <t>getPasswordComplexity_alphabetic4_medium</t>
  </si>
  <si>
    <t>getPasswordComplexity_numericComplex8_high</t>
  </si>
  <si>
    <t>getPasswordComplexity_numericComplex7_medium</t>
  </si>
  <si>
    <t>getPasswordComplexity_numericComplex4_medium</t>
  </si>
  <si>
    <t>getPasswordComplexity_numeric16_low</t>
  </si>
  <si>
    <t>getPasswordComplexity_numeric4_low</t>
  </si>
  <si>
    <t>getPasswordComplexity_pattern9_low</t>
  </si>
  <si>
    <t>getPasswordComplexity_pattern4_low</t>
  </si>
  <si>
    <t>setPattern</t>
  </si>
  <si>
    <t>setPin</t>
  </si>
  <si>
    <t>setPassword</t>
  </si>
  <si>
    <t>clearScreenLock</t>
  </si>
  <si>
    <t>assertPasswordComplexity</t>
  </si>
  <si>
    <t>testApplicationHidden_cannotHidePolicyExemptApps</t>
  </si>
  <si>
    <t>testNoHiddenActivityFoundTest</t>
  </si>
  <si>
    <t>testNoHiddenActivityInProfile</t>
  </si>
  <si>
    <t>testHasLauncherActivityAppHasAppDetailsActivityInjected</t>
  </si>
  <si>
    <t>markProfileOwnerOnOrganizationOwnedDevice</t>
  </si>
  <si>
    <t>testApplicationHiddenParent</t>
  </si>
  <si>
    <t>testGetPasswordComplexity</t>
  </si>
  <si>
    <t>gettersReturnConstructorValue</t>
  </si>
  <si>
    <t>correctParcelingAndUnparceling</t>
  </si>
  <si>
    <t>createViaParcel</t>
  </si>
  <si>
    <t>createAndManageUser_returnUserHandle</t>
  </si>
  <si>
    <t>createAndManageUser</t>
  </si>
  <si>
    <t>startMainActivity_callingFromPrimaryUser_targetIsInvalid_throwsSecurityException</t>
  </si>
  <si>
    <t>profilePaused_roleHolderReceivesBroadcast</t>
  </si>
  <si>
    <t>resetAllResources</t>
  </si>
  <si>
    <t>setDrawables_withoutRequiredPermission_throwsSecurityException</t>
  </si>
  <si>
    <t>setDrawables_withRequiredPermission_doesNotThrowSecurityException</t>
  </si>
  <si>
    <t>setDrawables_updatesCorrectUpdatableDrawable</t>
  </si>
  <si>
    <t>setDrawables_updatesCurrentlyUpdatedDrawable</t>
  </si>
  <si>
    <t>setDrawables_doesNotUpdateOtherUpdatableDrawables</t>
  </si>
  <si>
    <t>setDrawables_updateForSource_updatesCorrectly</t>
  </si>
  <si>
    <t>setDrawables_updateForMultipleSources_updatesCorrectly</t>
  </si>
  <si>
    <t>setDrawables_updateForSource_returnsGenericForUndefinedSource</t>
  </si>
  <si>
    <t>setDrawables_updateForSource_returnsGenericForUndefinedStyle</t>
  </si>
  <si>
    <t>setDrawables_drawableChangedFromNull_sendsBroadcast</t>
  </si>
  <si>
    <t>setDrawables_drawableChangedFromOtherDrawable_sendsBroadcast</t>
  </si>
  <si>
    <t>setDrawables_drawableNotChanged_doesNotSendBroadcast</t>
  </si>
  <si>
    <t>resetDrawables_withoutRequiredPermission_throwsSecurityException</t>
  </si>
  <si>
    <t>resetDrawables_withRequiredPermission_doesNotThrowSecurityException</t>
  </si>
  <si>
    <t>resetDrawables_removesPreviouslySetDrawables</t>
  </si>
  <si>
    <t>resetDrawables_doesNotResetOtherSetDrawables</t>
  </si>
  <si>
    <t>resetDrawables_drawableChanged_sendsBroadcast</t>
  </si>
  <si>
    <t>resetDrawables_drawableNotChanged_doesNotSendBroadcast</t>
  </si>
  <si>
    <t>getDrawable_drawableIsSet_returnsUpdatedDrawable</t>
  </si>
  <si>
    <t>getDrawable_drawableIsNotSet_returnsDefaultDrawable</t>
  </si>
  <si>
    <t>getDrawable_defaultLoaderIsNull_throwsException</t>
  </si>
  <si>
    <t>getDrawable_defaultLoaderReturnsNull_returnsNull</t>
  </si>
  <si>
    <t>getDrawableForDensity_drawableIsSet_returnsUpdatedDrawable</t>
  </si>
  <si>
    <t>getDrawableForDensity_drawableIsNotSet_returnsDefaultDrawable</t>
  </si>
  <si>
    <t>getDrawable_drawableIsSet_returnsUpdatedIcon</t>
  </si>
  <si>
    <t>getDrawable_drawableIsNotSet_returnsDefaultIcon</t>
  </si>
  <si>
    <t>constructDevicePolicyDrawableResource_withNonExistentDrawable_throwsIllegalStateException</t>
  </si>
  <si>
    <t>constructDevicePolicyDrawableResource_withNonDrawableResource_throwsIllegalStateException</t>
  </si>
  <si>
    <t>getDrawableId_returnsCorrectValue</t>
  </si>
  <si>
    <t>getDrawableStyle_returnsCorrectValue</t>
  </si>
  <si>
    <t>getDrawableStyle_sourceNotSpecified_returnsUndefined</t>
  </si>
  <si>
    <t>getDrawableStyle_sourceSpecified_returnsCorrectValue</t>
  </si>
  <si>
    <t>devicePolicyDrawableResource_getResourceIdInCallingPackage_returnsCorrectValue</t>
  </si>
  <si>
    <t>areSameDrawables</t>
  </si>
  <si>
    <t>createDrawable</t>
  </si>
  <si>
    <t>createDrawableForSource</t>
  </si>
  <si>
    <t>setStrings_withoutRequiredPermission_throwsSecurityException</t>
  </si>
  <si>
    <t>setStrings_withRequiredPermission_doesNotThrowSecurityException</t>
  </si>
  <si>
    <t>setStrings_updatesCorrectUpdatableString</t>
  </si>
  <si>
    <t>setStrings_updatesCurrentlyUpdatedString</t>
  </si>
  <si>
    <t>setStrings_doesNotUpdateOtherUpdatableStrings</t>
  </si>
  <si>
    <t>setStrings_stringChangedFromNull_sendsBroadcast</t>
  </si>
  <si>
    <t>setStrings_stringChangedFromOtherString_sendsBroadcast</t>
  </si>
  <si>
    <t>setStrings_stringNotChanged_doesNotSendBroadcast</t>
  </si>
  <si>
    <t>resetStrings_withoutRequiredPermission_throwsSecurityException</t>
  </si>
  <si>
    <t>resetStrings_withRequiredPermission_doesNotThrowSecurityException</t>
  </si>
  <si>
    <t>resetStrings_removesPreviouslySetStrings</t>
  </si>
  <si>
    <t>resetStrings_doesNotResetOtherSetStrings</t>
  </si>
  <si>
    <t>resetStrings_stringChanged_sendsBroadcast</t>
  </si>
  <si>
    <t>resetStrings_stringNotChanged_doesNotSendBroadcast</t>
  </si>
  <si>
    <t>getString_stringIsSet_returnsUpdatedString</t>
  </si>
  <si>
    <t>getString_stringIsNotSet_returnsDefaultString</t>
  </si>
  <si>
    <t>getString_defaultLoaderIsNull_throwsException</t>
  </si>
  <si>
    <t>getString_defaultLoaderReturnsNull_returnsNull</t>
  </si>
  <si>
    <t>getString_stringWithArgs_returnsFormattedString</t>
  </si>
  <si>
    <t>constructDevicePolicyStringResource_withNonExistentString_throwsIllegalStateException</t>
  </si>
  <si>
    <t>constructDevicePolicyStringResource_withNonStringResource_throwsIllegalStateException</t>
  </si>
  <si>
    <t>getStringId_returnsCorrectValue</t>
  </si>
  <si>
    <t>devicePolicyStringResource_getResourceIdInCallingPackage_returnsCorrectValue</t>
  </si>
  <si>
    <t>createString</t>
  </si>
  <si>
    <t>passwordQuality_adminPolicyNotAvailableToNonAdmin</t>
  </si>
  <si>
    <t>passwordMinimumLength_adminPolicyNotAvailableToNonAdmin</t>
  </si>
  <si>
    <t>passwordMinimumLetters_adminPolicyNotAvailableToNonAdmin</t>
  </si>
  <si>
    <t>passwordMinimumNonLetter_adminPolicyNotAvailableToNonAdmin</t>
  </si>
  <si>
    <t>passwordMinimumLowerCase_adminPolicyNotAvailableToNonAdmin</t>
  </si>
  <si>
    <t>passwordMinimumUpperCase_adminPolicyNotAvailableToNonAdmin</t>
  </si>
  <si>
    <t>passwordMinimumNumeric_adminPolicyNotAvailableToNonAdmin</t>
  </si>
  <si>
    <t>passwordMinimumSymbols_adminPolicyNotAvailableToNonAdmin</t>
  </si>
  <si>
    <t>passwordHistoryLength_adminPolicyNotAvailableToNonAdmin</t>
  </si>
  <si>
    <t>passwordExpiration_adminPolicyNotAvailableToNonAdmin</t>
  </si>
  <si>
    <t>passwordExpirationTimeout_adminPolicyNotAvailableToNonAdmin</t>
  </si>
  <si>
    <t>maximumFailedPasswordsForWipe_adminPolicyNotAvailableToNonAdmin</t>
  </si>
  <si>
    <t>maximumTimeToLock_adminPolicyNotAvailableToNonAdmin</t>
  </si>
  <si>
    <t>requiredStrongAuthTimeout_adminPolicyNotAvailableToNonAdmin</t>
  </si>
  <si>
    <t>screenCaptureDisabled_adminPolicyNotAvailableToNonAdmin</t>
  </si>
  <si>
    <t>trustAgentConfiguration_adminPolicyNotAvailableToNonAdmin</t>
  </si>
  <si>
    <t>setScreenCaptureDisabled_true_screenCaptureWorks</t>
  </si>
  <si>
    <t>setScreenCaptureDisabled_true_screenCaptureFails</t>
  </si>
  <si>
    <t>setScreenCaptureDisabled_false_screenCaptureWorks</t>
  </si>
  <si>
    <t>takeScreenshotExpectingFailure</t>
  </si>
  <si>
    <t>takeScreenshotExpectingSuccess</t>
  </si>
  <si>
    <t>assertProperty</t>
  </si>
  <si>
    <t>assertNoPropertySet</t>
  </si>
  <si>
    <t>testIsSecureUserBuild</t>
  </si>
  <si>
    <t>CrossProfileIntentFilterTest</t>
  </si>
  <si>
    <t>testAddCrossProfileIntentFilter_work</t>
  </si>
  <si>
    <t>activitiesIncludeCrossProfileIntentForwarderActivity</t>
  </si>
  <si>
    <t>PrimaryUserTest</t>
  </si>
  <si>
    <t>testSupportSynchronizedPresets</t>
  </si>
  <si>
    <t>testSupportIndependentPresets</t>
  </si>
  <si>
    <t>testSupportDynamicPresets</t>
  </si>
  <si>
    <t>testSupportWritablePresets</t>
  </si>
  <si>
    <t>testPermissionGrantStateDenied_mixedPolicies</t>
  </si>
  <si>
    <t>testPermissionGrantStateGranted_mixedPolicies</t>
  </si>
  <si>
    <t>checkProfileSupport</t>
  </si>
  <si>
    <t>assumeProfilesAreEnabled</t>
  </si>
  <si>
    <t>setPermissionGrantStateDeny_autoGrantPermission_automaticallyDeniesPermissions</t>
  </si>
  <si>
    <t>setPermissionGrantStateDeny_autoDenyPermission_automaticallyDeniesPermissions</t>
  </si>
  <si>
    <t>setPermissionGrantStateDeny_promptPermission_automaticallyDeniesPermissions</t>
  </si>
  <si>
    <t>setPermissionStateGranted_autoDenyPermission_deniesPermissions</t>
  </si>
  <si>
    <t>setPermissionStateGranted_autoGrantPermission_grantsPermissions</t>
  </si>
  <si>
    <t>setSecureSetting_deviceOwnerOnly_isNotDeviceOwner_throwsException</t>
  </si>
  <si>
    <t>CodecEncoderValidationTest</t>
  </si>
  <si>
    <t>flattenParams</t>
  </si>
  <si>
    <t>encodeAndValidate</t>
  </si>
  <si>
    <t>testEncodeAndValidate</t>
  </si>
  <si>
    <t>ApplyOverrideConfigurationTest</t>
  </si>
  <si>
    <t>testMicrophoneMute</t>
  </si>
  <si>
    <t>testMicrophoneMuteIntent</t>
  </si>
  <si>
    <t>testSpeakerphoneIntent</t>
  </si>
  <si>
    <t>hasBuiltinSpeaker</t>
  </si>
  <si>
    <t>MyBlockingIntentReceiver</t>
  </si>
  <si>
    <t>waitForExpectedAction</t>
  </si>
  <si>
    <t>testSoundEffects</t>
  </si>
  <si>
    <t>testCheckingZenModeBlockDoesNotRequireNotificationPolicyAccess</t>
  </si>
  <si>
    <t>testMusicActive</t>
  </si>
  <si>
    <t>testAccessMode</t>
  </si>
  <si>
    <t>testSetSurroundFormatEnabled</t>
  </si>
  <si>
    <t>testSetEncodedSurroundMode</t>
  </si>
  <si>
    <t>testRouting</t>
  </si>
  <si>
    <t>testVibrateNotification</t>
  </si>
  <si>
    <t>testVibrateRinger</t>
  </si>
  <si>
    <t>testAccessRingMode</t>
  </si>
  <si>
    <t>testSetRingerModePolicyAccess</t>
  </si>
  <si>
    <t>testVolume</t>
  </si>
  <si>
    <t>testAccessibilityVolume</t>
  </si>
  <si>
    <t>testSetVoiceCallVolumeToZeroPermission</t>
  </si>
  <si>
    <t>testMuteFixedVolume</t>
  </si>
  <si>
    <t>testMuteDndUnaffectedStreams</t>
  </si>
  <si>
    <t>testSetInvalidRingerMode</t>
  </si>
  <si>
    <t>testAdjustVolumeInTotalSilenceMode</t>
  </si>
  <si>
    <t>testAdjustVolumeInAlarmsOnlyMode</t>
  </si>
  <si>
    <t>testSetStreamVolumeInTotalSilenceMode</t>
  </si>
  <si>
    <t>testSetStreamVolumeInAlarmsOnlyMode</t>
  </si>
  <si>
    <t>testSetStreamVolumeInPriorityOnlyMode</t>
  </si>
  <si>
    <t>testAdjustVolumeInPriorityOnly</t>
  </si>
  <si>
    <t>testPriorityOnlyMuteAll</t>
  </si>
  <si>
    <t>testPriorityOnlyMediaAllowed</t>
  </si>
  <si>
    <t>testPriorityOnlySystemAllowed</t>
  </si>
  <si>
    <t>testPriorityOnlySystemDisallowedWithRingerMuted</t>
  </si>
  <si>
    <t>testPriorityOnlyAlarmsAllowed</t>
  </si>
  <si>
    <t>testPriorityOnlyRingerAllowed</t>
  </si>
  <si>
    <t>testPriorityOnlyChannelsCanBypassDnd</t>
  </si>
  <si>
    <t>testAdjustVolumeWithIllegalDirection</t>
  </si>
  <si>
    <t>testGetStreamVolumeDbWithIllegalArguments</t>
  </si>
  <si>
    <t>testGetStreamVolumeDb</t>
  </si>
  <si>
    <t>testAdjustSuggestedStreamVolumeWithIllegalArguments</t>
  </si>
  <si>
    <t>testGetMicrophones</t>
  </si>
  <si>
    <t>testIsHapticPlaybackSupported</t>
  </si>
  <si>
    <t>testGetAudioHwSyncForSession</t>
  </si>
  <si>
    <t>setInterruptionFilter</t>
  </si>
  <si>
    <t>getVolumeDelta</t>
  </si>
  <si>
    <t>getTestRingerVol</t>
  </si>
  <si>
    <t>testAllowedCapturePolicy</t>
  </si>
  <si>
    <t>testIsHdmiSystemAudidoSupported</t>
  </si>
  <si>
    <t>testIsBluetoothScoAvailableOffCall</t>
  </si>
  <si>
    <t>testStartStopBluetoothSco</t>
  </si>
  <si>
    <t>testStartStopBluetoothScoVirtualCall</t>
  </si>
  <si>
    <t>testGetAdditionalOutputDeviceDelay</t>
  </si>
  <si>
    <t>onPreferredDevicesForStrategyChanged</t>
  </si>
  <si>
    <t>testPreferredDevicesForStrategy</t>
  </si>
  <si>
    <t>onPreferredDevicesForCapturePresetChanged</t>
  </si>
  <si>
    <t>testPreferredDeviceForCapturePreset</t>
  </si>
  <si>
    <t>testGetDevices</t>
  </si>
  <si>
    <t>assertStreamVolumeEquals</t>
  </si>
  <si>
    <t>assertStreamMuted</t>
  </si>
  <si>
    <t>assertMusicActive</t>
  </si>
  <si>
    <t>assertTrueCheckTimeout</t>
  </si>
  <si>
    <t>assumeStrongBoxKeyMintV1</t>
  </si>
  <si>
    <t>DisplayTest</t>
  </si>
  <si>
    <t>testGetMaxTransceieveLength</t>
  </si>
  <si>
    <t>SonyDualSenseEdgeBluetoothTest</t>
  </si>
  <si>
    <t>getAdditionalSources</t>
  </si>
  <si>
    <t>kernelModule</t>
  </si>
  <si>
    <t>SonyDualSenseEdgeUsbTest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</si>
</sst>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1628"/>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f>HYPERLINK("https://android.googlesource.com/platform/cts/+/7ca56dfb7d78d0050a3da3d87c040ca7910b3344", "7ca56dfb7d78d0050a3da3d87c040ca7910b3344")</f>
        <v>0</v>
      </c>
      <c r="C2">
        <f>HYPERLINK("https://android.googlesource.com/platform/cts/+/f8057104af9cae031b544e971a52adafa7c0d9e1", "f8057104af9cae031b544e971a52adafa7c0d9e1")</f>
        <v>0</v>
      </c>
      <c r="D2" t="s">
        <v>4926</v>
      </c>
      <c r="E2" t="s">
        <v>5808</v>
      </c>
      <c r="F2" t="s">
        <v>10582</v>
      </c>
      <c r="G2" t="s">
        <v>14985</v>
      </c>
      <c r="H2" t="s">
        <v>18808</v>
      </c>
    </row>
    <row r="3" spans="1:8">
      <c r="A3" t="s">
        <v>9</v>
      </c>
      <c r="B3">
        <f>HYPERLINK("https://android.googlesource.com/platform/cts/+/71d56716bf683c99471f596936eda5b876e4c4de", "71d56716bf683c99471f596936eda5b876e4c4de")</f>
        <v>0</v>
      </c>
      <c r="C3">
        <f>HYPERLINK("https://android.googlesource.com/platform/cts/+/f953fca35186beb85cd28c0de6705a4d9e7d7e47", "f953fca35186beb85cd28c0de6705a4d9e7d7e47")</f>
        <v>0</v>
      </c>
      <c r="D3" t="s">
        <v>4926</v>
      </c>
      <c r="E3" t="s">
        <v>5809</v>
      </c>
      <c r="F3" t="s">
        <v>10583</v>
      </c>
      <c r="G3" t="s">
        <v>14986</v>
      </c>
      <c r="H3" t="s">
        <v>18809</v>
      </c>
    </row>
    <row r="4" spans="1:8">
      <c r="F4" t="s">
        <v>10584</v>
      </c>
      <c r="G4" t="s">
        <v>14987</v>
      </c>
      <c r="H4" t="s">
        <v>18810</v>
      </c>
    </row>
    <row r="5" spans="1:8">
      <c r="H5" t="s">
        <v>18811</v>
      </c>
    </row>
    <row r="6" spans="1:8">
      <c r="A6" t="s">
        <v>10</v>
      </c>
      <c r="B6">
        <f>HYPERLINK("https://android.googlesource.com/platform/cts/+/46016d69e95d5fce7fd1950c6fb85da467fc3fc5", "46016d69e95d5fce7fd1950c6fb85da467fc3fc5")</f>
        <v>0</v>
      </c>
      <c r="C6">
        <f>HYPERLINK("https://android.googlesource.com/platform/cts/+/0d3aa156f81e7fe9031f1a5b1fa424d600f8354e", "0d3aa156f81e7fe9031f1a5b1fa424d600f8354e")</f>
        <v>0</v>
      </c>
      <c r="D6" t="s">
        <v>4926</v>
      </c>
      <c r="E6" t="s">
        <v>5810</v>
      </c>
      <c r="F6" t="s">
        <v>10583</v>
      </c>
      <c r="G6" t="s">
        <v>14986</v>
      </c>
      <c r="H6" t="s">
        <v>18809</v>
      </c>
    </row>
    <row r="7" spans="1:8">
      <c r="F7" t="s">
        <v>10584</v>
      </c>
      <c r="G7" t="s">
        <v>14987</v>
      </c>
      <c r="H7" t="s">
        <v>18810</v>
      </c>
    </row>
    <row r="8" spans="1:8">
      <c r="H8" t="s">
        <v>18811</v>
      </c>
    </row>
    <row r="9" spans="1:8">
      <c r="A9" t="s">
        <v>11</v>
      </c>
      <c r="B9">
        <f>HYPERLINK("https://android.googlesource.com/platform/cts/+/54e7e716c4b293d83d173fa0b3f758bafc694f1d", "54e7e716c4b293d83d173fa0b3f758bafc694f1d")</f>
        <v>0</v>
      </c>
      <c r="C9">
        <f>HYPERLINK("https://android.googlesource.com/platform/cts/+/32181bf51c667cef480f018981ae1327059b02d4", "32181bf51c667cef480f018981ae1327059b02d4")</f>
        <v>0</v>
      </c>
      <c r="D9" t="s">
        <v>4926</v>
      </c>
      <c r="E9" t="s">
        <v>5811</v>
      </c>
      <c r="F9" t="s">
        <v>10583</v>
      </c>
      <c r="G9" t="s">
        <v>14986</v>
      </c>
      <c r="H9" t="s">
        <v>18809</v>
      </c>
    </row>
    <row r="10" spans="1:8">
      <c r="F10" t="s">
        <v>10584</v>
      </c>
      <c r="G10" t="s">
        <v>14987</v>
      </c>
      <c r="H10" t="s">
        <v>18810</v>
      </c>
    </row>
    <row r="11" spans="1:8">
      <c r="H11" t="s">
        <v>18811</v>
      </c>
    </row>
    <row r="12" spans="1:8">
      <c r="A12" t="s">
        <v>12</v>
      </c>
      <c r="B12">
        <f>HYPERLINK("https://android.googlesource.com/platform/cts/+/12e7730c552e479a4c1fa80ec497ec995ea5e305", "12e7730c552e479a4c1fa80ec497ec995ea5e305")</f>
        <v>0</v>
      </c>
      <c r="C12">
        <f>HYPERLINK("https://android.googlesource.com/platform/cts/+/86f896fb850957bb82a458249b3c0f7074c6cd98", "86f896fb850957bb82a458249b3c0f7074c6cd98")</f>
        <v>0</v>
      </c>
      <c r="D12" t="s">
        <v>4926</v>
      </c>
      <c r="E12" t="s">
        <v>5812</v>
      </c>
      <c r="F12" t="s">
        <v>10585</v>
      </c>
      <c r="G12" t="s">
        <v>14988</v>
      </c>
      <c r="H12" t="s">
        <v>18812</v>
      </c>
    </row>
    <row r="13" spans="1:8">
      <c r="A13" t="s">
        <v>13</v>
      </c>
      <c r="B13">
        <f>HYPERLINK("https://android.googlesource.com/platform/cts/+/ea1bbcadb17b975a4ada9018432aa4161edfc677", "ea1bbcadb17b975a4ada9018432aa4161edfc677")</f>
        <v>0</v>
      </c>
      <c r="C13">
        <f>HYPERLINK("https://android.googlesource.com/platform/cts/+/75f4a3823d09272a793cc71fa5855fc5176a20ce", "75f4a3823d09272a793cc71fa5855fc5176a20ce")</f>
        <v>0</v>
      </c>
      <c r="D13" t="s">
        <v>4926</v>
      </c>
      <c r="E13" t="s">
        <v>5813</v>
      </c>
      <c r="F13" t="s">
        <v>10585</v>
      </c>
      <c r="G13" t="s">
        <v>14988</v>
      </c>
      <c r="H13" t="s">
        <v>18812</v>
      </c>
    </row>
    <row r="14" spans="1:8">
      <c r="A14" t="s">
        <v>14</v>
      </c>
      <c r="B14">
        <f>HYPERLINK("https://android.googlesource.com/platform/cts/+/58768b8c9a30b38ad79093ee7a21756ca784d7ed", "58768b8c9a30b38ad79093ee7a21756ca784d7ed")</f>
        <v>0</v>
      </c>
      <c r="C14">
        <f>HYPERLINK("https://android.googlesource.com/platform/cts/+/0ebb5c5d33816db8159393e4e17d8a79f6e2ee36", "0ebb5c5d33816db8159393e4e17d8a79f6e2ee36")</f>
        <v>0</v>
      </c>
      <c r="D14" t="s">
        <v>4926</v>
      </c>
      <c r="E14" t="s">
        <v>5814</v>
      </c>
      <c r="F14" t="s">
        <v>10585</v>
      </c>
      <c r="G14" t="s">
        <v>14988</v>
      </c>
      <c r="H14" t="s">
        <v>18812</v>
      </c>
    </row>
    <row r="15" spans="1:8">
      <c r="A15" t="s">
        <v>15</v>
      </c>
      <c r="B15">
        <f>HYPERLINK("https://android.googlesource.com/platform/cts/+/892dcf44988c7b2886da30bc94e8fa7988f74625", "892dcf44988c7b2886da30bc94e8fa7988f74625")</f>
        <v>0</v>
      </c>
      <c r="C15">
        <f>HYPERLINK("https://android.googlesource.com/platform/cts/+/0624ae079fb46fde2401933c086085b1957f0944", "0624ae079fb46fde2401933c086085b1957f0944")</f>
        <v>0</v>
      </c>
      <c r="D15" t="s">
        <v>4926</v>
      </c>
      <c r="E15" t="s">
        <v>5815</v>
      </c>
      <c r="F15" t="s">
        <v>10586</v>
      </c>
      <c r="G15" t="s">
        <v>14989</v>
      </c>
      <c r="H15" t="s">
        <v>18813</v>
      </c>
    </row>
    <row r="16" spans="1:8">
      <c r="H16" t="s">
        <v>18814</v>
      </c>
    </row>
    <row r="17" spans="1:8">
      <c r="H17" t="s">
        <v>18815</v>
      </c>
    </row>
    <row r="18" spans="1:8">
      <c r="A18" t="s">
        <v>16</v>
      </c>
      <c r="B18">
        <f>HYPERLINK("https://android.googlesource.com/platform/cts/+/fbcc0a69a42e3df763ad57bc510fa0a908cbca7e", "fbcc0a69a42e3df763ad57bc510fa0a908cbca7e")</f>
        <v>0</v>
      </c>
      <c r="C18">
        <f>HYPERLINK("https://android.googlesource.com/platform/cts/+/836e69d44373908f8c84b00df29adbafc48fec5f", "836e69d44373908f8c84b00df29adbafc48fec5f")</f>
        <v>0</v>
      </c>
      <c r="D18" t="s">
        <v>4926</v>
      </c>
      <c r="E18" t="s">
        <v>5816</v>
      </c>
      <c r="F18" t="s">
        <v>10586</v>
      </c>
      <c r="G18" t="s">
        <v>14989</v>
      </c>
      <c r="H18" t="s">
        <v>18813</v>
      </c>
    </row>
    <row r="19" spans="1:8">
      <c r="H19" t="s">
        <v>18814</v>
      </c>
    </row>
    <row r="20" spans="1:8">
      <c r="H20" t="s">
        <v>18815</v>
      </c>
    </row>
    <row r="21" spans="1:8">
      <c r="A21" t="s">
        <v>17</v>
      </c>
      <c r="B21">
        <f>HYPERLINK("https://android.googlesource.com/platform/cts/+/402c7f248fb4e10553e9e52383d46fd8c568a718", "402c7f248fb4e10553e9e52383d46fd8c568a718")</f>
        <v>0</v>
      </c>
      <c r="C21">
        <f>HYPERLINK("https://android.googlesource.com/platform/cts/+/6e95db6d4a43c96f8cda0ede00c07e6a17d4b0e2", "6e95db6d4a43c96f8cda0ede00c07e6a17d4b0e2")</f>
        <v>0</v>
      </c>
      <c r="D21" t="s">
        <v>4926</v>
      </c>
      <c r="E21" t="s">
        <v>5817</v>
      </c>
      <c r="F21" t="s">
        <v>10586</v>
      </c>
      <c r="G21" t="s">
        <v>14989</v>
      </c>
      <c r="H21" t="s">
        <v>18813</v>
      </c>
    </row>
    <row r="22" spans="1:8">
      <c r="H22" t="s">
        <v>18814</v>
      </c>
    </row>
    <row r="23" spans="1:8">
      <c r="H23" t="s">
        <v>18815</v>
      </c>
    </row>
    <row r="24" spans="1:8">
      <c r="A24" t="s">
        <v>18</v>
      </c>
      <c r="B24">
        <f>HYPERLINK("https://android.googlesource.com/platform/cts/+/703909af3ebfc763b65a90703283e8235f8e6c42", "703909af3ebfc763b65a90703283e8235f8e6c42")</f>
        <v>0</v>
      </c>
      <c r="C24">
        <f>HYPERLINK("https://android.googlesource.com/platform/cts/+/fbcc0a69a42e3df763ad57bc510fa0a908cbca7e", "fbcc0a69a42e3df763ad57bc510fa0a908cbca7e")</f>
        <v>0</v>
      </c>
      <c r="D24" t="s">
        <v>4926</v>
      </c>
      <c r="E24" t="s">
        <v>5818</v>
      </c>
      <c r="F24" t="s">
        <v>10587</v>
      </c>
      <c r="G24" t="s">
        <v>14990</v>
      </c>
      <c r="H24" t="s">
        <v>18816</v>
      </c>
    </row>
    <row r="25" spans="1:8">
      <c r="H25" t="s">
        <v>18816</v>
      </c>
    </row>
    <row r="26" spans="1:8">
      <c r="F26" t="s">
        <v>10588</v>
      </c>
      <c r="G26" t="s">
        <v>14991</v>
      </c>
      <c r="H26" t="s">
        <v>18817</v>
      </c>
    </row>
    <row r="27" spans="1:8">
      <c r="H27" t="s">
        <v>18818</v>
      </c>
    </row>
    <row r="28" spans="1:8">
      <c r="H28" t="s">
        <v>18819</v>
      </c>
    </row>
    <row r="29" spans="1:8">
      <c r="H29" t="s">
        <v>18820</v>
      </c>
    </row>
    <row r="30" spans="1:8">
      <c r="H30" t="s">
        <v>18816</v>
      </c>
    </row>
    <row r="31" spans="1:8">
      <c r="H31" t="s">
        <v>18821</v>
      </c>
    </row>
    <row r="32" spans="1:8">
      <c r="H32" t="s">
        <v>18822</v>
      </c>
    </row>
    <row r="33" spans="1:8">
      <c r="H33" t="s">
        <v>18823</v>
      </c>
    </row>
    <row r="34" spans="1:8">
      <c r="H34" t="s">
        <v>18824</v>
      </c>
    </row>
    <row r="35" spans="1:8">
      <c r="H35" t="s">
        <v>18825</v>
      </c>
    </row>
    <row r="36" spans="1:8">
      <c r="H36" t="s">
        <v>18826</v>
      </c>
    </row>
    <row r="37" spans="1:8">
      <c r="F37" t="s">
        <v>10589</v>
      </c>
      <c r="G37" t="s">
        <v>14992</v>
      </c>
      <c r="H37" t="s">
        <v>18825</v>
      </c>
    </row>
    <row r="38" spans="1:8">
      <c r="H38" t="s">
        <v>18826</v>
      </c>
    </row>
    <row r="39" spans="1:8">
      <c r="F39" t="s">
        <v>10585</v>
      </c>
      <c r="G39" t="s">
        <v>14988</v>
      </c>
      <c r="H39" t="s">
        <v>18826</v>
      </c>
    </row>
    <row r="40" spans="1:8">
      <c r="H40" t="s">
        <v>18825</v>
      </c>
    </row>
    <row r="41" spans="1:8">
      <c r="F41" t="s">
        <v>10590</v>
      </c>
      <c r="G41" t="s">
        <v>14993</v>
      </c>
      <c r="H41" t="s">
        <v>18825</v>
      </c>
    </row>
    <row r="42" spans="1:8">
      <c r="F42" t="s">
        <v>10591</v>
      </c>
      <c r="G42" t="s">
        <v>14994</v>
      </c>
      <c r="H42" t="s">
        <v>18827</v>
      </c>
    </row>
    <row r="43" spans="1:8">
      <c r="F43" t="s">
        <v>10592</v>
      </c>
      <c r="G43" t="s">
        <v>14995</v>
      </c>
      <c r="H43" t="s">
        <v>18825</v>
      </c>
    </row>
    <row r="44" spans="1:8">
      <c r="H44" t="s">
        <v>18826</v>
      </c>
    </row>
    <row r="45" spans="1:8">
      <c r="A45" t="s">
        <v>19</v>
      </c>
      <c r="B45">
        <f>HYPERLINK("https://android.googlesource.com/platform/cts/+/fa86c876df304e3e46cc2855e5d023d95dc99c82", "fa86c876df304e3e46cc2855e5d023d95dc99c82")</f>
        <v>0</v>
      </c>
      <c r="C45">
        <f>HYPERLINK("https://android.googlesource.com/platform/cts/+/892dcf44988c7b2886da30bc94e8fa7988f74625", "892dcf44988c7b2886da30bc94e8fa7988f74625")</f>
        <v>0</v>
      </c>
      <c r="D45" t="s">
        <v>4926</v>
      </c>
      <c r="E45" t="s">
        <v>5819</v>
      </c>
      <c r="F45" t="s">
        <v>10587</v>
      </c>
      <c r="G45" t="s">
        <v>14990</v>
      </c>
      <c r="H45" t="s">
        <v>18816</v>
      </c>
    </row>
    <row r="46" spans="1:8">
      <c r="H46" t="s">
        <v>18816</v>
      </c>
    </row>
    <row r="47" spans="1:8">
      <c r="F47" t="s">
        <v>10588</v>
      </c>
      <c r="G47" t="s">
        <v>14991</v>
      </c>
      <c r="H47" t="s">
        <v>18817</v>
      </c>
    </row>
    <row r="48" spans="1:8">
      <c r="H48" t="s">
        <v>18818</v>
      </c>
    </row>
    <row r="49" spans="6:8">
      <c r="H49" t="s">
        <v>18819</v>
      </c>
    </row>
    <row r="50" spans="6:8">
      <c r="H50" t="s">
        <v>18820</v>
      </c>
    </row>
    <row r="51" spans="6:8">
      <c r="H51" t="s">
        <v>18816</v>
      </c>
    </row>
    <row r="52" spans="6:8">
      <c r="H52" t="s">
        <v>18821</v>
      </c>
    </row>
    <row r="53" spans="6:8">
      <c r="H53" t="s">
        <v>18822</v>
      </c>
    </row>
    <row r="54" spans="6:8">
      <c r="H54" t="s">
        <v>18823</v>
      </c>
    </row>
    <row r="55" spans="6:8">
      <c r="H55" t="s">
        <v>18824</v>
      </c>
    </row>
    <row r="56" spans="6:8">
      <c r="H56" t="s">
        <v>18825</v>
      </c>
    </row>
    <row r="57" spans="6:8">
      <c r="H57" t="s">
        <v>18826</v>
      </c>
    </row>
    <row r="58" spans="6:8">
      <c r="F58" t="s">
        <v>10589</v>
      </c>
      <c r="G58" t="s">
        <v>14992</v>
      </c>
      <c r="H58" t="s">
        <v>18825</v>
      </c>
    </row>
    <row r="59" spans="6:8">
      <c r="H59" t="s">
        <v>18826</v>
      </c>
    </row>
    <row r="60" spans="6:8">
      <c r="F60" t="s">
        <v>10585</v>
      </c>
      <c r="G60" t="s">
        <v>14988</v>
      </c>
      <c r="H60" t="s">
        <v>18826</v>
      </c>
    </row>
    <row r="61" spans="6:8">
      <c r="H61" t="s">
        <v>18825</v>
      </c>
    </row>
    <row r="62" spans="6:8">
      <c r="F62" t="s">
        <v>10590</v>
      </c>
      <c r="G62" t="s">
        <v>14993</v>
      </c>
      <c r="H62" t="s">
        <v>18825</v>
      </c>
    </row>
    <row r="63" spans="6:8">
      <c r="F63" t="s">
        <v>10591</v>
      </c>
      <c r="G63" t="s">
        <v>14994</v>
      </c>
      <c r="H63" t="s">
        <v>18827</v>
      </c>
    </row>
    <row r="64" spans="6:8">
      <c r="F64" t="s">
        <v>10592</v>
      </c>
      <c r="G64" t="s">
        <v>14995</v>
      </c>
      <c r="H64" t="s">
        <v>18825</v>
      </c>
    </row>
    <row r="65" spans="1:8">
      <c r="H65" t="s">
        <v>18826</v>
      </c>
    </row>
    <row r="66" spans="1:8">
      <c r="A66" t="s">
        <v>20</v>
      </c>
      <c r="B66">
        <f>HYPERLINK("https://android.googlesource.com/platform/cts/+/55833308de1e9e90f851462aa63381c99f3c1516", "55833308de1e9e90f851462aa63381c99f3c1516")</f>
        <v>0</v>
      </c>
      <c r="C66">
        <f>HYPERLINK("https://android.googlesource.com/platform/cts/+/402c7f248fb4e10553e9e52383d46fd8c568a718", "402c7f248fb4e10553e9e52383d46fd8c568a718")</f>
        <v>0</v>
      </c>
      <c r="D66" t="s">
        <v>4926</v>
      </c>
      <c r="E66" t="s">
        <v>5820</v>
      </c>
      <c r="F66" t="s">
        <v>10587</v>
      </c>
      <c r="G66" t="s">
        <v>14990</v>
      </c>
      <c r="H66" t="s">
        <v>18816</v>
      </c>
    </row>
    <row r="67" spans="1:8">
      <c r="H67" t="s">
        <v>18816</v>
      </c>
    </row>
    <row r="68" spans="1:8">
      <c r="F68" t="s">
        <v>10588</v>
      </c>
      <c r="G68" t="s">
        <v>14991</v>
      </c>
      <c r="H68" t="s">
        <v>18817</v>
      </c>
    </row>
    <row r="69" spans="1:8">
      <c r="H69" t="s">
        <v>18818</v>
      </c>
    </row>
    <row r="70" spans="1:8">
      <c r="H70" t="s">
        <v>18819</v>
      </c>
    </row>
    <row r="71" spans="1:8">
      <c r="H71" t="s">
        <v>18820</v>
      </c>
    </row>
    <row r="72" spans="1:8">
      <c r="H72" t="s">
        <v>18816</v>
      </c>
    </row>
    <row r="73" spans="1:8">
      <c r="H73" t="s">
        <v>18821</v>
      </c>
    </row>
    <row r="74" spans="1:8">
      <c r="H74" t="s">
        <v>18822</v>
      </c>
    </row>
    <row r="75" spans="1:8">
      <c r="H75" t="s">
        <v>18823</v>
      </c>
    </row>
    <row r="76" spans="1:8">
      <c r="H76" t="s">
        <v>18824</v>
      </c>
    </row>
    <row r="77" spans="1:8">
      <c r="H77" t="s">
        <v>18825</v>
      </c>
    </row>
    <row r="78" spans="1:8">
      <c r="H78" t="s">
        <v>18826</v>
      </c>
    </row>
    <row r="79" spans="1:8">
      <c r="F79" t="s">
        <v>10589</v>
      </c>
      <c r="G79" t="s">
        <v>14992</v>
      </c>
      <c r="H79" t="s">
        <v>18825</v>
      </c>
    </row>
    <row r="80" spans="1:8">
      <c r="H80" t="s">
        <v>18826</v>
      </c>
    </row>
    <row r="81" spans="1:8">
      <c r="F81" t="s">
        <v>10585</v>
      </c>
      <c r="G81" t="s">
        <v>14988</v>
      </c>
      <c r="H81" t="s">
        <v>18826</v>
      </c>
    </row>
    <row r="82" spans="1:8">
      <c r="H82" t="s">
        <v>18825</v>
      </c>
    </row>
    <row r="83" spans="1:8">
      <c r="F83" t="s">
        <v>10590</v>
      </c>
      <c r="G83" t="s">
        <v>14993</v>
      </c>
      <c r="H83" t="s">
        <v>18825</v>
      </c>
    </row>
    <row r="84" spans="1:8">
      <c r="F84" t="s">
        <v>10591</v>
      </c>
      <c r="G84" t="s">
        <v>14994</v>
      </c>
      <c r="H84" t="s">
        <v>18827</v>
      </c>
    </row>
    <row r="85" spans="1:8">
      <c r="F85" t="s">
        <v>10592</v>
      </c>
      <c r="G85" t="s">
        <v>14995</v>
      </c>
      <c r="H85" t="s">
        <v>18825</v>
      </c>
    </row>
    <row r="86" spans="1:8">
      <c r="H86" t="s">
        <v>18826</v>
      </c>
    </row>
    <row r="87" spans="1:8">
      <c r="A87" t="s">
        <v>21</v>
      </c>
      <c r="B87">
        <f>HYPERLINK("https://android.googlesource.com/platform/cts/+/27c448a0705eb0cdf5e99eaa9775791180f3eb41", "27c448a0705eb0cdf5e99eaa9775791180f3eb41")</f>
        <v>0</v>
      </c>
      <c r="C87">
        <f>HYPERLINK("https://android.googlesource.com/platform/cts/+/3d864bef4d5b0fc0e1397a3dec2e6ccbfb270986", "3d864bef4d5b0fc0e1397a3dec2e6ccbfb270986")</f>
        <v>0</v>
      </c>
      <c r="D87" t="s">
        <v>4926</v>
      </c>
      <c r="E87" t="s">
        <v>5821</v>
      </c>
      <c r="F87" t="s">
        <v>10593</v>
      </c>
      <c r="G87" t="s">
        <v>14996</v>
      </c>
      <c r="H87" t="s">
        <v>18828</v>
      </c>
    </row>
    <row r="88" spans="1:8">
      <c r="H88" t="s">
        <v>18829</v>
      </c>
    </row>
    <row r="89" spans="1:8">
      <c r="H89" t="s">
        <v>18830</v>
      </c>
    </row>
    <row r="90" spans="1:8">
      <c r="H90" t="s">
        <v>18831</v>
      </c>
    </row>
    <row r="91" spans="1:8">
      <c r="H91" t="s">
        <v>18832</v>
      </c>
    </row>
    <row r="92" spans="1:8">
      <c r="H92" t="s">
        <v>18833</v>
      </c>
    </row>
    <row r="93" spans="1:8">
      <c r="A93" t="s">
        <v>22</v>
      </c>
      <c r="B93">
        <f>HYPERLINK("https://android.googlesource.com/platform/cts/+/309d0e9b1af033a536fd208720fed9b98a1a605d", "309d0e9b1af033a536fd208720fed9b98a1a605d")</f>
        <v>0</v>
      </c>
      <c r="C93">
        <f>HYPERLINK("https://android.googlesource.com/platform/cts/+/2d8a0a39019939e66b412fa528007d666316686c", "2d8a0a39019939e66b412fa528007d666316686c")</f>
        <v>0</v>
      </c>
      <c r="D93" t="s">
        <v>4926</v>
      </c>
      <c r="E93" t="s">
        <v>5822</v>
      </c>
      <c r="F93" t="s">
        <v>10594</v>
      </c>
      <c r="G93" t="s">
        <v>14997</v>
      </c>
      <c r="H93" t="s">
        <v>18834</v>
      </c>
    </row>
    <row r="94" spans="1:8">
      <c r="A94" t="s">
        <v>23</v>
      </c>
      <c r="B94">
        <f>HYPERLINK("https://android.googlesource.com/platform/cts/+/9eaea81d35d0eb86f8fd536906281b0c074fa96b", "9eaea81d35d0eb86f8fd536906281b0c074fa96b")</f>
        <v>0</v>
      </c>
      <c r="C94">
        <f>HYPERLINK("https://android.googlesource.com/platform/cts/+/cf5254e9994496899d6deed01a782437a06307a1", "cf5254e9994496899d6deed01a782437a06307a1")</f>
        <v>0</v>
      </c>
      <c r="D94" t="s">
        <v>4926</v>
      </c>
      <c r="E94" t="s">
        <v>5823</v>
      </c>
      <c r="F94" t="s">
        <v>10593</v>
      </c>
      <c r="G94" t="s">
        <v>14996</v>
      </c>
      <c r="H94" t="s">
        <v>18828</v>
      </c>
    </row>
    <row r="95" spans="1:8">
      <c r="H95" t="s">
        <v>18829</v>
      </c>
    </row>
    <row r="96" spans="1:8">
      <c r="H96" t="s">
        <v>18830</v>
      </c>
    </row>
    <row r="97" spans="1:8">
      <c r="H97" t="s">
        <v>18831</v>
      </c>
    </row>
    <row r="98" spans="1:8">
      <c r="H98" t="s">
        <v>18832</v>
      </c>
    </row>
    <row r="99" spans="1:8">
      <c r="H99" t="s">
        <v>18833</v>
      </c>
    </row>
    <row r="100" spans="1:8">
      <c r="A100" t="s">
        <v>24</v>
      </c>
      <c r="B100">
        <f>HYPERLINK("https://android.googlesource.com/platform/cts/+/10f71f6cbe232ece2fad190e3a414867076661e1", "10f71f6cbe232ece2fad190e3a414867076661e1")</f>
        <v>0</v>
      </c>
      <c r="C100">
        <f>HYPERLINK("https://android.googlesource.com/platform/cts/+/0f65ff45e2fb062810f97c39b8b3551ff4245afe", "0f65ff45e2fb062810f97c39b8b3551ff4245afe")</f>
        <v>0</v>
      </c>
      <c r="D100" t="s">
        <v>4926</v>
      </c>
      <c r="E100" t="s">
        <v>5824</v>
      </c>
      <c r="F100" t="s">
        <v>10593</v>
      </c>
      <c r="G100" t="s">
        <v>14996</v>
      </c>
      <c r="H100" t="s">
        <v>18828</v>
      </c>
    </row>
    <row r="101" spans="1:8">
      <c r="H101" t="s">
        <v>18829</v>
      </c>
    </row>
    <row r="102" spans="1:8">
      <c r="H102" t="s">
        <v>18830</v>
      </c>
    </row>
    <row r="103" spans="1:8">
      <c r="H103" t="s">
        <v>18831</v>
      </c>
    </row>
    <row r="104" spans="1:8">
      <c r="H104" t="s">
        <v>18832</v>
      </c>
    </row>
    <row r="105" spans="1:8">
      <c r="H105" t="s">
        <v>18833</v>
      </c>
    </row>
    <row r="106" spans="1:8">
      <c r="A106" t="s">
        <v>25</v>
      </c>
      <c r="B106">
        <f>HYPERLINK("https://android.googlesource.com/platform/cts/+/77357827ec785b86132b4ee135189beb96595729", "77357827ec785b86132b4ee135189beb96595729")</f>
        <v>0</v>
      </c>
      <c r="C106">
        <f>HYPERLINK("https://android.googlesource.com/platform/cts/+/3b518328bf6595230c0cf460801d53406b1084b3", "3b518328bf6595230c0cf460801d53406b1084b3")</f>
        <v>0</v>
      </c>
      <c r="D106" t="s">
        <v>4926</v>
      </c>
      <c r="E106" t="s">
        <v>5825</v>
      </c>
      <c r="F106" t="s">
        <v>10594</v>
      </c>
      <c r="G106" t="s">
        <v>14997</v>
      </c>
      <c r="H106" t="s">
        <v>18834</v>
      </c>
    </row>
    <row r="107" spans="1:8">
      <c r="A107" t="s">
        <v>26</v>
      </c>
      <c r="B107">
        <f>HYPERLINK("https://android.googlesource.com/platform/cts/+/2ef9a889f8ecd5e543cde0f87163544a5bb9265e", "2ef9a889f8ecd5e543cde0f87163544a5bb9265e")</f>
        <v>0</v>
      </c>
      <c r="C107">
        <f>HYPERLINK("https://android.googlesource.com/platform/cts/+/cb2832b92dbe9c57f5d283cfb4bd596528eb3917", "cb2832b92dbe9c57f5d283cfb4bd596528eb3917")</f>
        <v>0</v>
      </c>
      <c r="D107" t="s">
        <v>4926</v>
      </c>
      <c r="E107" t="s">
        <v>5826</v>
      </c>
      <c r="F107" t="s">
        <v>10594</v>
      </c>
      <c r="G107" t="s">
        <v>14997</v>
      </c>
      <c r="H107" t="s">
        <v>18834</v>
      </c>
    </row>
    <row r="108" spans="1:8">
      <c r="A108" t="s">
        <v>27</v>
      </c>
      <c r="B108">
        <f>HYPERLINK("https://android.googlesource.com/platform/cts/+/7ae786780ba025c5f49bff98109882b222c3806a", "7ae786780ba025c5f49bff98109882b222c3806a")</f>
        <v>0</v>
      </c>
      <c r="C108">
        <f>HYPERLINK("https://android.googlesource.com/platform/cts/+/ba45315bb7ce4d2b420067f8e157760c266374f1", "ba45315bb7ce4d2b420067f8e157760c266374f1")</f>
        <v>0</v>
      </c>
      <c r="D108" t="s">
        <v>4926</v>
      </c>
      <c r="E108" t="s">
        <v>5827</v>
      </c>
      <c r="F108" t="s">
        <v>10595</v>
      </c>
      <c r="G108" t="s">
        <v>14998</v>
      </c>
      <c r="H108" t="s">
        <v>18829</v>
      </c>
    </row>
    <row r="109" spans="1:8">
      <c r="H109" t="s">
        <v>18835</v>
      </c>
    </row>
    <row r="110" spans="1:8">
      <c r="A110" t="s">
        <v>28</v>
      </c>
      <c r="B110">
        <f>HYPERLINK("https://android.googlesource.com/platform/cts/+/5bf9da14fdf3608fc801a060b0956bf4a152e135", "5bf9da14fdf3608fc801a060b0956bf4a152e135")</f>
        <v>0</v>
      </c>
      <c r="C110">
        <f>HYPERLINK("https://android.googlesource.com/platform/cts/+/58a3e998f87ababe32253c888c1fa83a84132e02", "58a3e998f87ababe32253c888c1fa83a84132e02")</f>
        <v>0</v>
      </c>
      <c r="D110" t="s">
        <v>4926</v>
      </c>
      <c r="E110" t="s">
        <v>5828</v>
      </c>
      <c r="F110" t="s">
        <v>10595</v>
      </c>
      <c r="G110" t="s">
        <v>14998</v>
      </c>
      <c r="H110" t="s">
        <v>18836</v>
      </c>
    </row>
    <row r="111" spans="1:8">
      <c r="A111" t="s">
        <v>29</v>
      </c>
      <c r="B111">
        <f>HYPERLINK("https://android.googlesource.com/platform/cts/+/ab14214fd9813884722925098f4c914a2e6f4632", "ab14214fd9813884722925098f4c914a2e6f4632")</f>
        <v>0</v>
      </c>
      <c r="C111">
        <f>HYPERLINK("https://android.googlesource.com/platform/cts/+/5164ae32d55870a2a47b650ea1f81fae3bd415ea", "5164ae32d55870a2a47b650ea1f81fae3bd415ea")</f>
        <v>0</v>
      </c>
      <c r="D111" t="s">
        <v>4926</v>
      </c>
      <c r="E111" t="s">
        <v>5829</v>
      </c>
      <c r="F111" t="s">
        <v>10595</v>
      </c>
      <c r="G111" t="s">
        <v>14998</v>
      </c>
      <c r="H111" t="s">
        <v>18829</v>
      </c>
    </row>
    <row r="112" spans="1:8">
      <c r="H112" t="s">
        <v>18835</v>
      </c>
    </row>
    <row r="113" spans="1:8">
      <c r="A113" t="s">
        <v>30</v>
      </c>
      <c r="B113">
        <f>HYPERLINK("https://android.googlesource.com/platform/cts/+/d57807eb896c462d3c52b69e9f3280179f35f1e0", "d57807eb896c462d3c52b69e9f3280179f35f1e0")</f>
        <v>0</v>
      </c>
      <c r="C113">
        <f>HYPERLINK("https://android.googlesource.com/platform/cts/+/863f7d8a3af9f8a31fc1de391457afc3682efaaf", "863f7d8a3af9f8a31fc1de391457afc3682efaaf")</f>
        <v>0</v>
      </c>
      <c r="D113" t="s">
        <v>4926</v>
      </c>
      <c r="E113" t="s">
        <v>5830</v>
      </c>
      <c r="F113" t="s">
        <v>10595</v>
      </c>
      <c r="G113" t="s">
        <v>14998</v>
      </c>
      <c r="H113" t="s">
        <v>18836</v>
      </c>
    </row>
    <row r="114" spans="1:8">
      <c r="A114" t="s">
        <v>31</v>
      </c>
      <c r="B114">
        <f>HYPERLINK("https://android.googlesource.com/platform/cts/+/2cc3145e1b66d5e759346240708fd4dcb712ec62", "2cc3145e1b66d5e759346240708fd4dcb712ec62")</f>
        <v>0</v>
      </c>
      <c r="C114">
        <f>HYPERLINK("https://android.googlesource.com/platform/cts/+/39ef24a4f32d952686ade6e64e92f76ebb268e58", "39ef24a4f32d952686ade6e64e92f76ebb268e58")</f>
        <v>0</v>
      </c>
      <c r="D114" t="s">
        <v>4926</v>
      </c>
      <c r="E114" t="s">
        <v>5831</v>
      </c>
      <c r="F114" t="s">
        <v>10595</v>
      </c>
      <c r="G114" t="s">
        <v>14998</v>
      </c>
      <c r="H114" t="s">
        <v>18829</v>
      </c>
    </row>
    <row r="115" spans="1:8">
      <c r="H115" t="s">
        <v>18835</v>
      </c>
    </row>
    <row r="116" spans="1:8">
      <c r="A116" t="s">
        <v>32</v>
      </c>
      <c r="B116">
        <f>HYPERLINK("https://android.googlesource.com/platform/cts/+/31fb751e85a60b168139dd8f986f68c5066474e9", "31fb751e85a60b168139dd8f986f68c5066474e9")</f>
        <v>0</v>
      </c>
      <c r="C116">
        <f>HYPERLINK("https://android.googlesource.com/platform/cts/+/da7d28e55d788988c699cef67d3ef18accf42aa1", "da7d28e55d788988c699cef67d3ef18accf42aa1")</f>
        <v>0</v>
      </c>
      <c r="D116" t="s">
        <v>4926</v>
      </c>
      <c r="E116" t="s">
        <v>5832</v>
      </c>
      <c r="F116" t="s">
        <v>10595</v>
      </c>
      <c r="G116" t="s">
        <v>14998</v>
      </c>
      <c r="H116" t="s">
        <v>18836</v>
      </c>
    </row>
    <row r="117" spans="1:8">
      <c r="A117" t="s">
        <v>33</v>
      </c>
      <c r="B117">
        <f>HYPERLINK("https://android.googlesource.com/platform/cts/+/a74a1c255075f88502b5cd89d8b34a3675320dca", "a74a1c255075f88502b5cd89d8b34a3675320dca")</f>
        <v>0</v>
      </c>
      <c r="C117">
        <f>HYPERLINK("https://android.googlesource.com/platform/cts/+/3e506e0f1bf85808694a1f668bca89dfcf02aaed", "3e506e0f1bf85808694a1f668bca89dfcf02aaed")</f>
        <v>0</v>
      </c>
      <c r="D117" t="s">
        <v>4926</v>
      </c>
      <c r="E117" t="s">
        <v>5833</v>
      </c>
      <c r="F117" t="s">
        <v>10591</v>
      </c>
      <c r="G117" t="s">
        <v>14994</v>
      </c>
      <c r="H117" t="s">
        <v>18837</v>
      </c>
    </row>
    <row r="118" spans="1:8">
      <c r="A118" t="s">
        <v>34</v>
      </c>
      <c r="B118">
        <f>HYPERLINK("https://android.googlesource.com/platform/cts/+/9bf29d299faed6b8d187b0d346f86732fb490d3e", "9bf29d299faed6b8d187b0d346f86732fb490d3e")</f>
        <v>0</v>
      </c>
      <c r="C118">
        <f>HYPERLINK("https://android.googlesource.com/platform/cts/+/956719e979c6cff8230c90c271587b2359a047a6", "956719e979c6cff8230c90c271587b2359a047a6")</f>
        <v>0</v>
      </c>
      <c r="D118" t="s">
        <v>4926</v>
      </c>
      <c r="E118" t="s">
        <v>5834</v>
      </c>
      <c r="F118" t="s">
        <v>10591</v>
      </c>
      <c r="G118" t="s">
        <v>14994</v>
      </c>
      <c r="H118" t="s">
        <v>18837</v>
      </c>
    </row>
    <row r="119" spans="1:8">
      <c r="A119" t="s">
        <v>35</v>
      </c>
      <c r="B119">
        <f>HYPERLINK("https://android.googlesource.com/platform/cts/+/8926a108666630e1a2ee0c4b517f134714413174", "8926a108666630e1a2ee0c4b517f134714413174")</f>
        <v>0</v>
      </c>
      <c r="C119">
        <f>HYPERLINK("https://android.googlesource.com/platform/cts/+/0b98c19c386b615dfd3cffdcce93ba1618bc4767", "0b98c19c386b615dfd3cffdcce93ba1618bc4767")</f>
        <v>0</v>
      </c>
      <c r="D119" t="s">
        <v>4926</v>
      </c>
      <c r="E119" t="s">
        <v>5835</v>
      </c>
      <c r="F119" t="s">
        <v>10591</v>
      </c>
      <c r="G119" t="s">
        <v>14994</v>
      </c>
      <c r="H119" t="s">
        <v>18837</v>
      </c>
    </row>
    <row r="120" spans="1:8">
      <c r="A120" t="s">
        <v>36</v>
      </c>
      <c r="B120">
        <f>HYPERLINK("https://android.googlesource.com/platform/cts/+/5461caa9e82511581178730ff7d3913050e62d27", "5461caa9e82511581178730ff7d3913050e62d27")</f>
        <v>0</v>
      </c>
      <c r="C120">
        <f>HYPERLINK("https://android.googlesource.com/platform/cts/+/c8a5cde6a4f8f126d29fd48a9c76ca205e46d6fc", "c8a5cde6a4f8f126d29fd48a9c76ca205e46d6fc")</f>
        <v>0</v>
      </c>
      <c r="D120" t="s">
        <v>4926</v>
      </c>
      <c r="E120" t="s">
        <v>5836</v>
      </c>
      <c r="F120" t="s">
        <v>10596</v>
      </c>
      <c r="G120" t="s">
        <v>14999</v>
      </c>
      <c r="H120" t="s">
        <v>18838</v>
      </c>
    </row>
    <row r="121" spans="1:8">
      <c r="H121" t="s">
        <v>18839</v>
      </c>
    </row>
    <row r="122" spans="1:8">
      <c r="H122" t="s">
        <v>18840</v>
      </c>
    </row>
    <row r="123" spans="1:8">
      <c r="H123" t="s">
        <v>18841</v>
      </c>
    </row>
    <row r="124" spans="1:8">
      <c r="H124" t="s">
        <v>18842</v>
      </c>
    </row>
    <row r="125" spans="1:8">
      <c r="H125" t="s">
        <v>18843</v>
      </c>
    </row>
    <row r="126" spans="1:8">
      <c r="H126" t="s">
        <v>18844</v>
      </c>
    </row>
    <row r="127" spans="1:8">
      <c r="H127" t="s">
        <v>18845</v>
      </c>
    </row>
    <row r="128" spans="1:8">
      <c r="H128" t="s">
        <v>18846</v>
      </c>
    </row>
    <row r="129" spans="1:8">
      <c r="H129" t="s">
        <v>18847</v>
      </c>
    </row>
    <row r="130" spans="1:8">
      <c r="H130" t="s">
        <v>18848</v>
      </c>
    </row>
    <row r="131" spans="1:8">
      <c r="H131" t="s">
        <v>18849</v>
      </c>
    </row>
    <row r="132" spans="1:8">
      <c r="H132" t="s">
        <v>18850</v>
      </c>
    </row>
    <row r="133" spans="1:8">
      <c r="A133" t="s">
        <v>37</v>
      </c>
      <c r="B133">
        <f>HYPERLINK("https://android.googlesource.com/platform/cts/+/7bdb3e9acf6a4f8250a79b9d1d0d75899f6bd430", "7bdb3e9acf6a4f8250a79b9d1d0d75899f6bd430")</f>
        <v>0</v>
      </c>
      <c r="C133">
        <f>HYPERLINK("https://android.googlesource.com/platform/cts/+/e42765e10fbb0d480460b9a640f3130ffbd0f0e4", "e42765e10fbb0d480460b9a640f3130ffbd0f0e4")</f>
        <v>0</v>
      </c>
      <c r="D133" t="s">
        <v>4926</v>
      </c>
      <c r="E133" t="s">
        <v>5837</v>
      </c>
      <c r="F133" t="s">
        <v>10596</v>
      </c>
      <c r="G133" t="s">
        <v>14999</v>
      </c>
      <c r="H133" t="s">
        <v>18838</v>
      </c>
    </row>
    <row r="134" spans="1:8">
      <c r="H134" t="s">
        <v>18839</v>
      </c>
    </row>
    <row r="135" spans="1:8">
      <c r="H135" t="s">
        <v>18840</v>
      </c>
    </row>
    <row r="136" spans="1:8">
      <c r="H136" t="s">
        <v>18841</v>
      </c>
    </row>
    <row r="137" spans="1:8">
      <c r="H137" t="s">
        <v>18842</v>
      </c>
    </row>
    <row r="138" spans="1:8">
      <c r="H138" t="s">
        <v>18843</v>
      </c>
    </row>
    <row r="139" spans="1:8">
      <c r="H139" t="s">
        <v>18844</v>
      </c>
    </row>
    <row r="140" spans="1:8">
      <c r="H140" t="s">
        <v>18845</v>
      </c>
    </row>
    <row r="141" spans="1:8">
      <c r="H141" t="s">
        <v>18846</v>
      </c>
    </row>
    <row r="142" spans="1:8">
      <c r="H142" t="s">
        <v>18847</v>
      </c>
    </row>
    <row r="143" spans="1:8">
      <c r="H143" t="s">
        <v>18848</v>
      </c>
    </row>
    <row r="144" spans="1:8">
      <c r="H144" t="s">
        <v>18849</v>
      </c>
    </row>
    <row r="145" spans="1:8">
      <c r="H145" t="s">
        <v>18850</v>
      </c>
    </row>
    <row r="146" spans="1:8">
      <c r="A146" t="s">
        <v>38</v>
      </c>
      <c r="B146">
        <f>HYPERLINK("https://android.googlesource.com/platform/cts/+/23546ce4f79a5fbc4bb6efba0e537425e419366b", "23546ce4f79a5fbc4bb6efba0e537425e419366b")</f>
        <v>0</v>
      </c>
      <c r="C146">
        <f>HYPERLINK("https://android.googlesource.com/platform/cts/+/3058575c7c48aab21858e969e070466160e65ef1", "3058575c7c48aab21858e969e070466160e65ef1")</f>
        <v>0</v>
      </c>
      <c r="D146" t="s">
        <v>4926</v>
      </c>
      <c r="E146" t="s">
        <v>5838</v>
      </c>
      <c r="F146" t="s">
        <v>10596</v>
      </c>
      <c r="G146" t="s">
        <v>14999</v>
      </c>
      <c r="H146" t="s">
        <v>18838</v>
      </c>
    </row>
    <row r="147" spans="1:8">
      <c r="H147" t="s">
        <v>18839</v>
      </c>
    </row>
    <row r="148" spans="1:8">
      <c r="H148" t="s">
        <v>18840</v>
      </c>
    </row>
    <row r="149" spans="1:8">
      <c r="H149" t="s">
        <v>18841</v>
      </c>
    </row>
    <row r="150" spans="1:8">
      <c r="H150" t="s">
        <v>18842</v>
      </c>
    </row>
    <row r="151" spans="1:8">
      <c r="H151" t="s">
        <v>18843</v>
      </c>
    </row>
    <row r="152" spans="1:8">
      <c r="H152" t="s">
        <v>18844</v>
      </c>
    </row>
    <row r="153" spans="1:8">
      <c r="H153" t="s">
        <v>18845</v>
      </c>
    </row>
    <row r="154" spans="1:8">
      <c r="H154" t="s">
        <v>18846</v>
      </c>
    </row>
    <row r="155" spans="1:8">
      <c r="H155" t="s">
        <v>18847</v>
      </c>
    </row>
    <row r="156" spans="1:8">
      <c r="H156" t="s">
        <v>18848</v>
      </c>
    </row>
    <row r="157" spans="1:8">
      <c r="H157" t="s">
        <v>18849</v>
      </c>
    </row>
    <row r="158" spans="1:8">
      <c r="H158" t="s">
        <v>18850</v>
      </c>
    </row>
    <row r="159" spans="1:8">
      <c r="A159" t="s">
        <v>39</v>
      </c>
      <c r="B159">
        <f>HYPERLINK("https://android.googlesource.com/platform/cts/+/86ed74f939f577097fa1069965fa6268581d914f", "86ed74f939f577097fa1069965fa6268581d914f")</f>
        <v>0</v>
      </c>
      <c r="C159">
        <f>HYPERLINK("https://android.googlesource.com/platform/cts/+/2cc27de07eb0cbb9196cc8d23a23e313b0861390", "2cc27de07eb0cbb9196cc8d23a23e313b0861390")</f>
        <v>0</v>
      </c>
      <c r="D159" t="s">
        <v>4926</v>
      </c>
      <c r="E159" t="s">
        <v>5839</v>
      </c>
      <c r="F159" t="s">
        <v>10597</v>
      </c>
      <c r="G159" t="s">
        <v>15000</v>
      </c>
      <c r="H159" t="s">
        <v>18829</v>
      </c>
    </row>
    <row r="160" spans="1:8">
      <c r="H160" t="s">
        <v>18851</v>
      </c>
    </row>
    <row r="161" spans="1:8">
      <c r="H161" t="s">
        <v>18852</v>
      </c>
    </row>
    <row r="162" spans="1:8">
      <c r="H162" t="s">
        <v>18853</v>
      </c>
    </row>
    <row r="163" spans="1:8">
      <c r="A163" t="s">
        <v>40</v>
      </c>
      <c r="B163">
        <f>HYPERLINK("https://android.googlesource.com/platform/cts/+/60db5a8fec187a5533b574ea408dd235595d28c5", "60db5a8fec187a5533b574ea408dd235595d28c5")</f>
        <v>0</v>
      </c>
      <c r="C163">
        <f>HYPERLINK("https://android.googlesource.com/platform/cts/+/cdeeb5b288e9c6a250884b3a9f7974ea91c42d24", "cdeeb5b288e9c6a250884b3a9f7974ea91c42d24")</f>
        <v>0</v>
      </c>
      <c r="D163" t="s">
        <v>4926</v>
      </c>
      <c r="E163" t="s">
        <v>5840</v>
      </c>
      <c r="F163" t="s">
        <v>10598</v>
      </c>
      <c r="G163" t="s">
        <v>15001</v>
      </c>
      <c r="H163" t="s">
        <v>18854</v>
      </c>
    </row>
    <row r="164" spans="1:8">
      <c r="H164" t="s">
        <v>18855</v>
      </c>
    </row>
    <row r="165" spans="1:8">
      <c r="H165" t="s">
        <v>18856</v>
      </c>
    </row>
    <row r="166" spans="1:8">
      <c r="H166" t="s">
        <v>18857</v>
      </c>
    </row>
    <row r="167" spans="1:8">
      <c r="H167" t="s">
        <v>18858</v>
      </c>
    </row>
    <row r="168" spans="1:8">
      <c r="H168" t="s">
        <v>18859</v>
      </c>
    </row>
    <row r="169" spans="1:8">
      <c r="H169" t="s">
        <v>18860</v>
      </c>
    </row>
    <row r="170" spans="1:8">
      <c r="A170" t="s">
        <v>41</v>
      </c>
      <c r="B170">
        <f>HYPERLINK("https://android.googlesource.com/platform/cts/+/a0ec0db9ab29f1bee1abb2e4ed7e058cc65fb051", "a0ec0db9ab29f1bee1abb2e4ed7e058cc65fb051")</f>
        <v>0</v>
      </c>
      <c r="C170">
        <f>HYPERLINK("https://android.googlesource.com/platform/cts/+/ba0c1bbe9c11885a9a63ab8ef28b91fd191a527c", "ba0c1bbe9c11885a9a63ab8ef28b91fd191a527c")</f>
        <v>0</v>
      </c>
      <c r="D170" t="s">
        <v>4926</v>
      </c>
      <c r="E170" t="s">
        <v>5841</v>
      </c>
      <c r="F170" t="s">
        <v>10590</v>
      </c>
      <c r="G170" t="s">
        <v>14993</v>
      </c>
      <c r="H170" t="s">
        <v>18861</v>
      </c>
    </row>
    <row r="171" spans="1:8">
      <c r="A171" t="s">
        <v>42</v>
      </c>
      <c r="B171">
        <f>HYPERLINK("https://android.googlesource.com/platform/cts/+/35074ac61cf15ed16fa1cb3cbcaa60d29db7f4c8", "35074ac61cf15ed16fa1cb3cbcaa60d29db7f4c8")</f>
        <v>0</v>
      </c>
      <c r="C171">
        <f>HYPERLINK("https://android.googlesource.com/platform/cts/+/ea0ecf0189315993a707aa7c3a807bf215536932", "ea0ecf0189315993a707aa7c3a807bf215536932")</f>
        <v>0</v>
      </c>
      <c r="D171" t="s">
        <v>4927</v>
      </c>
      <c r="E171" t="s">
        <v>5842</v>
      </c>
      <c r="F171" t="s">
        <v>10599</v>
      </c>
      <c r="G171" t="s">
        <v>15002</v>
      </c>
      <c r="H171" t="s">
        <v>18862</v>
      </c>
    </row>
    <row r="172" spans="1:8">
      <c r="A172" t="s">
        <v>43</v>
      </c>
      <c r="B172">
        <f>HYPERLINK("https://android.googlesource.com/platform/cts/+/b45eaaecb73b3b5fada849b3f8732642a7041658", "b45eaaecb73b3b5fada849b3f8732642a7041658")</f>
        <v>0</v>
      </c>
      <c r="C172">
        <f>HYPERLINK("https://android.googlesource.com/platform/cts/+/382ad68de8dc1fedbf9ce3ab4d1d65f4d80acaef", "382ad68de8dc1fedbf9ce3ab4d1d65f4d80acaef")</f>
        <v>0</v>
      </c>
      <c r="D172" t="s">
        <v>4926</v>
      </c>
      <c r="E172" t="s">
        <v>5843</v>
      </c>
      <c r="F172" t="s">
        <v>10600</v>
      </c>
      <c r="G172" t="s">
        <v>15003</v>
      </c>
      <c r="H172" t="s">
        <v>18863</v>
      </c>
    </row>
    <row r="173" spans="1:8">
      <c r="A173" t="s">
        <v>44</v>
      </c>
      <c r="B173">
        <f>HYPERLINK("https://android.googlesource.com/platform/cts/+/c0a82311ffcc841cad1b11d727c7c58979c21c07", "c0a82311ffcc841cad1b11d727c7c58979c21c07")</f>
        <v>0</v>
      </c>
      <c r="C173">
        <f>HYPERLINK("https://android.googlesource.com/platform/cts/+/986c1abd236b093f8a33a6a6a9a49a14f02ebd62", "986c1abd236b093f8a33a6a6a9a49a14f02ebd62")</f>
        <v>0</v>
      </c>
      <c r="D173" t="s">
        <v>4926</v>
      </c>
      <c r="E173" t="s">
        <v>5844</v>
      </c>
      <c r="F173" t="s">
        <v>10601</v>
      </c>
      <c r="G173" t="s">
        <v>15004</v>
      </c>
      <c r="H173" t="s">
        <v>18829</v>
      </c>
    </row>
    <row r="174" spans="1:8">
      <c r="F174" t="s">
        <v>10602</v>
      </c>
      <c r="G174" t="s">
        <v>15005</v>
      </c>
      <c r="H174" t="s">
        <v>18829</v>
      </c>
    </row>
    <row r="175" spans="1:8">
      <c r="F175" t="s">
        <v>10603</v>
      </c>
      <c r="G175" t="s">
        <v>15006</v>
      </c>
      <c r="H175" t="s">
        <v>18829</v>
      </c>
    </row>
    <row r="176" spans="1:8">
      <c r="H176" t="s">
        <v>18864</v>
      </c>
    </row>
    <row r="177" spans="1:8">
      <c r="H177" t="s">
        <v>18864</v>
      </c>
    </row>
    <row r="178" spans="1:8">
      <c r="H178" t="s">
        <v>18864</v>
      </c>
    </row>
    <row r="179" spans="1:8">
      <c r="H179" t="s">
        <v>18865</v>
      </c>
    </row>
    <row r="180" spans="1:8">
      <c r="H180" t="s">
        <v>18866</v>
      </c>
    </row>
    <row r="181" spans="1:8">
      <c r="A181" t="s">
        <v>45</v>
      </c>
      <c r="B181">
        <f>HYPERLINK("https://android.googlesource.com/platform/cts/+/7eaf3cffb3dd49ff19932b75e1db3dc0618c749b", "7eaf3cffb3dd49ff19932b75e1db3dc0618c749b")</f>
        <v>0</v>
      </c>
      <c r="C181">
        <f>HYPERLINK("https://android.googlesource.com/platform/cts/+/37b5663202f6a51ec8616ab851742fae28d503fe", "37b5663202f6a51ec8616ab851742fae28d503fe")</f>
        <v>0</v>
      </c>
      <c r="D181" t="s">
        <v>4926</v>
      </c>
      <c r="E181" t="s">
        <v>5845</v>
      </c>
      <c r="F181" t="s">
        <v>10604</v>
      </c>
      <c r="G181" t="s">
        <v>15007</v>
      </c>
      <c r="H181" t="s">
        <v>18867</v>
      </c>
    </row>
    <row r="182" spans="1:8">
      <c r="H182" t="s">
        <v>18868</v>
      </c>
    </row>
    <row r="183" spans="1:8">
      <c r="H183" t="s">
        <v>18869</v>
      </c>
    </row>
    <row r="184" spans="1:8">
      <c r="A184" t="s">
        <v>46</v>
      </c>
      <c r="B184">
        <f>HYPERLINK("https://android.googlesource.com/platform/cts/+/7592e4f9f8b89dfafc1f57e28fb293c52c1bccdc", "7592e4f9f8b89dfafc1f57e28fb293c52c1bccdc")</f>
        <v>0</v>
      </c>
      <c r="C184">
        <f>HYPERLINK("https://android.googlesource.com/platform/cts/+/ae22e3755448dcd84e4afae13ef6a1d525220946", "ae22e3755448dcd84e4afae13ef6a1d525220946")</f>
        <v>0</v>
      </c>
      <c r="D184" t="s">
        <v>4926</v>
      </c>
      <c r="E184" t="s">
        <v>5846</v>
      </c>
      <c r="F184" t="s">
        <v>10605</v>
      </c>
      <c r="G184" t="s">
        <v>15008</v>
      </c>
      <c r="H184" t="s">
        <v>18870</v>
      </c>
    </row>
    <row r="185" spans="1:8">
      <c r="H185" t="s">
        <v>18871</v>
      </c>
    </row>
    <row r="186" spans="1:8">
      <c r="A186" t="s">
        <v>47</v>
      </c>
      <c r="B186">
        <f>HYPERLINK("https://android.googlesource.com/platform/cts/+/7a06798806a656c5fbffd496a3606ecb1658b86f", "7a06798806a656c5fbffd496a3606ecb1658b86f")</f>
        <v>0</v>
      </c>
      <c r="C186">
        <f>HYPERLINK("https://android.googlesource.com/platform/cts/+/f005cd606f3e89a455afe99e82752d33b47f20ca", "f005cd606f3e89a455afe99e82752d33b47f20ca")</f>
        <v>0</v>
      </c>
      <c r="D186" t="s">
        <v>4926</v>
      </c>
      <c r="E186" t="s">
        <v>5847</v>
      </c>
      <c r="F186" t="s">
        <v>10606</v>
      </c>
      <c r="G186" t="s">
        <v>15009</v>
      </c>
      <c r="H186" t="s">
        <v>18872</v>
      </c>
    </row>
    <row r="187" spans="1:8">
      <c r="A187" t="s">
        <v>48</v>
      </c>
      <c r="B187">
        <f>HYPERLINK("https://android.googlesource.com/platform/cts/+/707e13f29c58725e8cd8b2feae36c989bf78dabb", "707e13f29c58725e8cd8b2feae36c989bf78dabb")</f>
        <v>0</v>
      </c>
      <c r="C187">
        <f>HYPERLINK("https://android.googlesource.com/platform/cts/+/debd3ce7a51a51bafa414bca3dd63f98fb9d978c", "debd3ce7a51a51bafa414bca3dd63f98fb9d978c")</f>
        <v>0</v>
      </c>
      <c r="D187" t="s">
        <v>4926</v>
      </c>
      <c r="E187" t="s">
        <v>5848</v>
      </c>
      <c r="F187" t="s">
        <v>10607</v>
      </c>
      <c r="G187" t="s">
        <v>15010</v>
      </c>
      <c r="H187" t="s">
        <v>18851</v>
      </c>
    </row>
    <row r="188" spans="1:8">
      <c r="H188" t="s">
        <v>18853</v>
      </c>
    </row>
    <row r="189" spans="1:8">
      <c r="A189" t="s">
        <v>49</v>
      </c>
      <c r="B189">
        <f>HYPERLINK("https://android.googlesource.com/platform/cts/+/b99c55b1a4098b369496068399f5f9eb7664f8e1", "b99c55b1a4098b369496068399f5f9eb7664f8e1")</f>
        <v>0</v>
      </c>
      <c r="C189">
        <f>HYPERLINK("https://android.googlesource.com/platform/cts/+/9c8b7ebce1208a6b5b788199b8d5cab7f78221d9", "9c8b7ebce1208a6b5b788199b8d5cab7f78221d9")</f>
        <v>0</v>
      </c>
      <c r="D189" t="s">
        <v>4928</v>
      </c>
      <c r="E189" t="s">
        <v>5849</v>
      </c>
      <c r="F189" t="s">
        <v>10608</v>
      </c>
      <c r="G189" t="s">
        <v>15011</v>
      </c>
      <c r="H189" t="s">
        <v>18873</v>
      </c>
    </row>
    <row r="190" spans="1:8">
      <c r="F190" t="s">
        <v>10609</v>
      </c>
      <c r="G190" t="s">
        <v>15012</v>
      </c>
      <c r="H190" t="s">
        <v>18873</v>
      </c>
    </row>
    <row r="191" spans="1:8">
      <c r="H191" t="s">
        <v>18874</v>
      </c>
    </row>
    <row r="192" spans="1:8">
      <c r="A192" t="s">
        <v>50</v>
      </c>
      <c r="B192">
        <f>HYPERLINK("https://android.googlesource.com/platform/cts/+/31f8d5069ecf4ecd3318eeb0875a42d2942548c2", "31f8d5069ecf4ecd3318eeb0875a42d2942548c2")</f>
        <v>0</v>
      </c>
      <c r="C192">
        <f>HYPERLINK("https://android.googlesource.com/platform/cts/+/1263200b247f112602a9a85001a7c15c41060790", "1263200b247f112602a9a85001a7c15c41060790")</f>
        <v>0</v>
      </c>
      <c r="D192" t="s">
        <v>4926</v>
      </c>
      <c r="E192" t="s">
        <v>5850</v>
      </c>
      <c r="F192" t="s">
        <v>10586</v>
      </c>
      <c r="G192" t="s">
        <v>14989</v>
      </c>
      <c r="H192" t="s">
        <v>18875</v>
      </c>
    </row>
    <row r="193" spans="1:8">
      <c r="A193" t="s">
        <v>51</v>
      </c>
      <c r="B193">
        <f>HYPERLINK("https://android.googlesource.com/platform/cts/+/72b705b4df314c5cb81a9db2347fb6a6f9384b9a", "72b705b4df314c5cb81a9db2347fb6a6f9384b9a")</f>
        <v>0</v>
      </c>
      <c r="C193">
        <f>HYPERLINK("https://android.googlesource.com/platform/cts/+/5d79c6fabf27d80d9373fd10e1d5dbbb58370c22", "5d79c6fabf27d80d9373fd10e1d5dbbb58370c22")</f>
        <v>0</v>
      </c>
      <c r="D193" t="s">
        <v>4929</v>
      </c>
      <c r="E193" t="s">
        <v>5851</v>
      </c>
      <c r="F193" t="s">
        <v>10610</v>
      </c>
      <c r="G193" t="s">
        <v>15013</v>
      </c>
      <c r="H193" t="s">
        <v>18876</v>
      </c>
    </row>
    <row r="194" spans="1:8">
      <c r="H194" t="s">
        <v>18877</v>
      </c>
    </row>
    <row r="195" spans="1:8">
      <c r="H195" t="s">
        <v>18878</v>
      </c>
    </row>
    <row r="196" spans="1:8">
      <c r="H196" t="s">
        <v>18879</v>
      </c>
    </row>
    <row r="197" spans="1:8">
      <c r="H197" t="s">
        <v>18880</v>
      </c>
    </row>
    <row r="198" spans="1:8">
      <c r="H198" t="s">
        <v>18880</v>
      </c>
    </row>
    <row r="199" spans="1:8">
      <c r="H199" t="s">
        <v>18880</v>
      </c>
    </row>
    <row r="200" spans="1:8">
      <c r="H200" t="s">
        <v>18881</v>
      </c>
    </row>
    <row r="201" spans="1:8">
      <c r="H201" t="s">
        <v>18882</v>
      </c>
    </row>
    <row r="202" spans="1:8">
      <c r="H202" t="s">
        <v>18883</v>
      </c>
    </row>
    <row r="203" spans="1:8">
      <c r="H203" t="s">
        <v>18884</v>
      </c>
    </row>
    <row r="204" spans="1:8">
      <c r="H204" t="s">
        <v>18885</v>
      </c>
    </row>
    <row r="205" spans="1:8">
      <c r="F205" t="s">
        <v>10584</v>
      </c>
      <c r="G205" t="s">
        <v>14987</v>
      </c>
      <c r="H205" t="s">
        <v>18886</v>
      </c>
    </row>
    <row r="206" spans="1:8">
      <c r="H206" t="s">
        <v>18887</v>
      </c>
    </row>
    <row r="207" spans="1:8">
      <c r="F207" t="s">
        <v>10611</v>
      </c>
      <c r="G207" t="s">
        <v>15014</v>
      </c>
      <c r="H207" t="s">
        <v>18888</v>
      </c>
    </row>
    <row r="208" spans="1:8">
      <c r="H208" t="s">
        <v>18889</v>
      </c>
    </row>
    <row r="209" spans="1:8">
      <c r="H209" t="s">
        <v>18890</v>
      </c>
    </row>
    <row r="210" spans="1:8">
      <c r="H210" t="s">
        <v>18891</v>
      </c>
    </row>
    <row r="211" spans="1:8">
      <c r="H211" t="s">
        <v>18892</v>
      </c>
    </row>
    <row r="212" spans="1:8">
      <c r="H212" t="s">
        <v>18893</v>
      </c>
    </row>
    <row r="213" spans="1:8">
      <c r="H213" t="s">
        <v>18894</v>
      </c>
    </row>
    <row r="214" spans="1:8">
      <c r="A214" t="s">
        <v>52</v>
      </c>
      <c r="B214">
        <f>HYPERLINK("https://android.googlesource.com/platform/cts/+/7c20b1b324c6d260d5476bc0f990b6727d8410fb", "7c20b1b324c6d260d5476bc0f990b6727d8410fb")</f>
        <v>0</v>
      </c>
      <c r="C214">
        <f>HYPERLINK("https://android.googlesource.com/platform/cts/+/b81b030d93725efd86709f6039d6da05402e0450", "b81b030d93725efd86709f6039d6da05402e0450")</f>
        <v>0</v>
      </c>
      <c r="D214" t="s">
        <v>4930</v>
      </c>
      <c r="E214" t="s">
        <v>5852</v>
      </c>
      <c r="F214" t="s">
        <v>10612</v>
      </c>
      <c r="G214" t="s">
        <v>15015</v>
      </c>
      <c r="H214" t="s">
        <v>18895</v>
      </c>
    </row>
    <row r="215" spans="1:8">
      <c r="A215" t="s">
        <v>53</v>
      </c>
      <c r="B215">
        <f>HYPERLINK("https://android.googlesource.com/platform/cts/+/7c2f14aa1c4049c94c25f16d1e1f252d9e4ebeb3", "7c2f14aa1c4049c94c25f16d1e1f252d9e4ebeb3")</f>
        <v>0</v>
      </c>
      <c r="C215">
        <f>HYPERLINK("https://android.googlesource.com/platform/cts/+/d815c8f91daebb5c3140a33c20c10afcd56f79e4", "d815c8f91daebb5c3140a33c20c10afcd56f79e4")</f>
        <v>0</v>
      </c>
      <c r="D215" t="s">
        <v>4929</v>
      </c>
      <c r="E215" t="s">
        <v>5853</v>
      </c>
      <c r="F215" t="s">
        <v>10613</v>
      </c>
      <c r="G215" t="s">
        <v>15016</v>
      </c>
      <c r="H215" t="s">
        <v>18896</v>
      </c>
    </row>
    <row r="216" spans="1:8">
      <c r="F216" t="s">
        <v>10614</v>
      </c>
      <c r="G216" t="s">
        <v>15017</v>
      </c>
      <c r="H216" t="s">
        <v>18896</v>
      </c>
    </row>
    <row r="217" spans="1:8">
      <c r="A217" t="s">
        <v>54</v>
      </c>
      <c r="B217">
        <f>HYPERLINK("https://android.googlesource.com/platform/cts/+/158aa4a98a19d572eb2b75283e181f54ee544787", "158aa4a98a19d572eb2b75283e181f54ee544787")</f>
        <v>0</v>
      </c>
      <c r="C217">
        <f>HYPERLINK("https://android.googlesource.com/platform/cts/+/d815c8f91daebb5c3140a33c20c10afcd56f79e4", "d815c8f91daebb5c3140a33c20c10afcd56f79e4")</f>
        <v>0</v>
      </c>
      <c r="D217" t="s">
        <v>4929</v>
      </c>
      <c r="E217" t="s">
        <v>5854</v>
      </c>
      <c r="F217" t="s">
        <v>10615</v>
      </c>
      <c r="G217" t="s">
        <v>15018</v>
      </c>
      <c r="H217" t="s">
        <v>18829</v>
      </c>
    </row>
    <row r="218" spans="1:8">
      <c r="F218" t="s">
        <v>10616</v>
      </c>
      <c r="G218" t="s">
        <v>15019</v>
      </c>
      <c r="H218" t="s">
        <v>18829</v>
      </c>
    </row>
    <row r="219" spans="1:8">
      <c r="F219" t="s">
        <v>10617</v>
      </c>
      <c r="G219" t="s">
        <v>15020</v>
      </c>
      <c r="H219" t="s">
        <v>18829</v>
      </c>
    </row>
    <row r="220" spans="1:8">
      <c r="F220" t="s">
        <v>10618</v>
      </c>
      <c r="G220" t="s">
        <v>15021</v>
      </c>
      <c r="H220" t="s">
        <v>18829</v>
      </c>
    </row>
    <row r="221" spans="1:8">
      <c r="A221" t="s">
        <v>55</v>
      </c>
      <c r="B221">
        <f>HYPERLINK("https://android.googlesource.com/platform/cts/+/8151e7cd7f60ed986a2132dd0aec271e5fd77b40", "8151e7cd7f60ed986a2132dd0aec271e5fd77b40")</f>
        <v>0</v>
      </c>
      <c r="C221">
        <f>HYPERLINK("https://android.googlesource.com/platform/cts/+/d815c8f91daebb5c3140a33c20c10afcd56f79e4", "d815c8f91daebb5c3140a33c20c10afcd56f79e4")</f>
        <v>0</v>
      </c>
      <c r="D221" t="s">
        <v>4929</v>
      </c>
      <c r="E221" t="s">
        <v>5855</v>
      </c>
      <c r="F221" t="s">
        <v>10619</v>
      </c>
      <c r="G221" t="s">
        <v>15022</v>
      </c>
      <c r="H221" t="s">
        <v>18896</v>
      </c>
    </row>
    <row r="222" spans="1:8">
      <c r="F222" t="s">
        <v>10620</v>
      </c>
      <c r="G222" t="s">
        <v>15023</v>
      </c>
      <c r="H222" t="s">
        <v>18897</v>
      </c>
    </row>
    <row r="223" spans="1:8">
      <c r="H223" t="s">
        <v>18898</v>
      </c>
    </row>
    <row r="224" spans="1:8">
      <c r="H224" t="s">
        <v>18899</v>
      </c>
    </row>
    <row r="225" spans="1:8">
      <c r="H225" t="s">
        <v>18900</v>
      </c>
    </row>
    <row r="226" spans="1:8">
      <c r="F226" t="s">
        <v>10621</v>
      </c>
      <c r="G226" t="s">
        <v>15024</v>
      </c>
      <c r="H226" t="s">
        <v>18901</v>
      </c>
    </row>
    <row r="227" spans="1:8">
      <c r="A227" t="s">
        <v>56</v>
      </c>
      <c r="B227">
        <f>HYPERLINK("https://android.googlesource.com/platform/cts/+/8c1f66ea6570a821241e84e8210082e2c793536c", "8c1f66ea6570a821241e84e8210082e2c793536c")</f>
        <v>0</v>
      </c>
      <c r="C227">
        <f>HYPERLINK("https://android.googlesource.com/platform/cts/+/84fc40d8d6e3a69ff82fbb8607ca09db38177e7c", "84fc40d8d6e3a69ff82fbb8607ca09db38177e7c")</f>
        <v>0</v>
      </c>
      <c r="D227" t="s">
        <v>4929</v>
      </c>
      <c r="E227" t="s">
        <v>5856</v>
      </c>
      <c r="F227" t="s">
        <v>10622</v>
      </c>
      <c r="G227" t="s">
        <v>15025</v>
      </c>
      <c r="H227" t="s">
        <v>18902</v>
      </c>
    </row>
    <row r="228" spans="1:8">
      <c r="H228" t="s">
        <v>18903</v>
      </c>
    </row>
    <row r="229" spans="1:8">
      <c r="A229" t="s">
        <v>57</v>
      </c>
      <c r="B229">
        <f>HYPERLINK("https://android.googlesource.com/platform/cts/+/ce5353465568cca84f2a0998cdc3eb27750aeaa0", "ce5353465568cca84f2a0998cdc3eb27750aeaa0")</f>
        <v>0</v>
      </c>
      <c r="C229">
        <f>HYPERLINK("https://android.googlesource.com/platform/cts/+/d9e4c123f8d24a1ae4395a0e649bf57c9d02a837", "d9e4c123f8d24a1ae4395a0e649bf57c9d02a837")</f>
        <v>0</v>
      </c>
      <c r="D229" t="s">
        <v>4930</v>
      </c>
      <c r="E229" t="s">
        <v>5857</v>
      </c>
      <c r="F229" t="s">
        <v>10623</v>
      </c>
      <c r="G229" t="s">
        <v>15026</v>
      </c>
      <c r="H229" t="s">
        <v>18829</v>
      </c>
    </row>
    <row r="230" spans="1:8">
      <c r="H230" t="s">
        <v>18904</v>
      </c>
    </row>
    <row r="231" spans="1:8">
      <c r="H231" t="s">
        <v>18905</v>
      </c>
    </row>
    <row r="232" spans="1:8">
      <c r="H232" t="s">
        <v>18906</v>
      </c>
    </row>
    <row r="233" spans="1:8">
      <c r="H233" t="s">
        <v>18907</v>
      </c>
    </row>
    <row r="234" spans="1:8">
      <c r="H234" t="s">
        <v>18908</v>
      </c>
    </row>
    <row r="235" spans="1:8">
      <c r="H235" t="s">
        <v>18909</v>
      </c>
    </row>
    <row r="236" spans="1:8">
      <c r="H236" t="s">
        <v>18910</v>
      </c>
    </row>
    <row r="237" spans="1:8">
      <c r="H237" t="s">
        <v>18911</v>
      </c>
    </row>
    <row r="238" spans="1:8">
      <c r="H238" t="s">
        <v>18912</v>
      </c>
    </row>
    <row r="239" spans="1:8">
      <c r="H239" t="s">
        <v>18913</v>
      </c>
    </row>
    <row r="240" spans="1:8">
      <c r="H240" t="s">
        <v>18914</v>
      </c>
    </row>
    <row r="241" spans="1:8">
      <c r="H241" t="s">
        <v>18915</v>
      </c>
    </row>
    <row r="242" spans="1:8">
      <c r="H242" t="s">
        <v>18916</v>
      </c>
    </row>
    <row r="243" spans="1:8">
      <c r="A243" t="s">
        <v>58</v>
      </c>
      <c r="B243">
        <f>HYPERLINK("https://android.googlesource.com/platform/cts/+/d507fc0c1d88c7e020f383d2bd73fb897b8aebc4", "d507fc0c1d88c7e020f383d2bd73fb897b8aebc4")</f>
        <v>0</v>
      </c>
      <c r="C243">
        <f>HYPERLINK("https://android.googlesource.com/platform/cts/+/ce5353465568cca84f2a0998cdc3eb27750aeaa0", "ce5353465568cca84f2a0998cdc3eb27750aeaa0")</f>
        <v>0</v>
      </c>
      <c r="D243" t="s">
        <v>4930</v>
      </c>
      <c r="E243" t="s">
        <v>5858</v>
      </c>
      <c r="F243" t="s">
        <v>10624</v>
      </c>
      <c r="G243" t="s">
        <v>15027</v>
      </c>
      <c r="H243" t="s">
        <v>18917</v>
      </c>
    </row>
    <row r="244" spans="1:8">
      <c r="A244" t="s">
        <v>59</v>
      </c>
      <c r="B244">
        <f>HYPERLINK("https://android.googlesource.com/platform/cts/+/3ba0b6150db73d97daedc177f99ed480778ecf41", "3ba0b6150db73d97daedc177f99ed480778ecf41")</f>
        <v>0</v>
      </c>
      <c r="C244">
        <f>HYPERLINK("https://android.googlesource.com/platform/cts/+/7facad782078e7787e96b3992222ad1ff75a4573", "7facad782078e7787e96b3992222ad1ff75a4573")</f>
        <v>0</v>
      </c>
      <c r="D244" t="s">
        <v>4929</v>
      </c>
      <c r="E244" t="s">
        <v>5859</v>
      </c>
      <c r="F244" t="s">
        <v>10625</v>
      </c>
      <c r="G244" t="s">
        <v>15028</v>
      </c>
      <c r="H244" t="s">
        <v>18851</v>
      </c>
    </row>
    <row r="245" spans="1:8">
      <c r="F245" t="s">
        <v>10626</v>
      </c>
      <c r="G245" t="s">
        <v>15029</v>
      </c>
      <c r="H245" t="s">
        <v>18851</v>
      </c>
    </row>
    <row r="246" spans="1:8">
      <c r="H246" t="s">
        <v>18853</v>
      </c>
    </row>
    <row r="247" spans="1:8">
      <c r="F247" t="s">
        <v>10627</v>
      </c>
      <c r="G247" t="s">
        <v>15030</v>
      </c>
      <c r="H247" t="s">
        <v>18918</v>
      </c>
    </row>
    <row r="248" spans="1:8">
      <c r="F248" t="s">
        <v>10583</v>
      </c>
      <c r="G248" t="s">
        <v>14986</v>
      </c>
      <c r="H248" t="s">
        <v>18919</v>
      </c>
    </row>
    <row r="249" spans="1:8">
      <c r="H249" t="s">
        <v>18851</v>
      </c>
    </row>
    <row r="250" spans="1:8">
      <c r="H250" t="s">
        <v>18920</v>
      </c>
    </row>
    <row r="251" spans="1:8">
      <c r="H251" t="s">
        <v>18853</v>
      </c>
    </row>
    <row r="252" spans="1:8">
      <c r="H252" t="s">
        <v>18921</v>
      </c>
    </row>
    <row r="253" spans="1:8">
      <c r="H253" t="s">
        <v>18922</v>
      </c>
    </row>
    <row r="254" spans="1:8">
      <c r="F254" t="s">
        <v>10628</v>
      </c>
      <c r="G254" t="s">
        <v>15031</v>
      </c>
      <c r="H254" t="s">
        <v>18829</v>
      </c>
    </row>
    <row r="255" spans="1:8">
      <c r="F255" t="s">
        <v>10629</v>
      </c>
      <c r="G255" t="s">
        <v>15032</v>
      </c>
      <c r="H255" t="s">
        <v>18829</v>
      </c>
    </row>
    <row r="256" spans="1:8">
      <c r="F256" t="s">
        <v>10630</v>
      </c>
      <c r="G256" t="s">
        <v>15033</v>
      </c>
      <c r="H256" t="s">
        <v>18829</v>
      </c>
    </row>
    <row r="257" spans="1:8">
      <c r="F257" t="s">
        <v>10631</v>
      </c>
      <c r="G257" t="s">
        <v>15034</v>
      </c>
      <c r="H257" t="s">
        <v>18829</v>
      </c>
    </row>
    <row r="258" spans="1:8">
      <c r="F258" t="s">
        <v>10632</v>
      </c>
      <c r="G258" t="s">
        <v>15035</v>
      </c>
      <c r="H258" t="s">
        <v>18829</v>
      </c>
    </row>
    <row r="259" spans="1:8">
      <c r="F259" t="s">
        <v>10633</v>
      </c>
      <c r="G259" t="s">
        <v>15036</v>
      </c>
      <c r="H259" t="s">
        <v>18851</v>
      </c>
    </row>
    <row r="260" spans="1:8">
      <c r="H260" t="s">
        <v>18853</v>
      </c>
    </row>
    <row r="261" spans="1:8">
      <c r="F261" t="s">
        <v>10634</v>
      </c>
      <c r="G261" t="s">
        <v>15037</v>
      </c>
      <c r="H261" t="s">
        <v>18851</v>
      </c>
    </row>
    <row r="262" spans="1:8">
      <c r="H262" t="s">
        <v>18853</v>
      </c>
    </row>
    <row r="263" spans="1:8">
      <c r="F263" t="s">
        <v>10635</v>
      </c>
      <c r="G263" t="s">
        <v>15038</v>
      </c>
      <c r="H263" t="s">
        <v>18829</v>
      </c>
    </row>
    <row r="264" spans="1:8">
      <c r="F264" t="s">
        <v>10636</v>
      </c>
      <c r="G264" t="s">
        <v>15039</v>
      </c>
      <c r="H264" t="s">
        <v>18829</v>
      </c>
    </row>
    <row r="265" spans="1:8">
      <c r="F265" t="s">
        <v>10637</v>
      </c>
      <c r="G265" t="s">
        <v>15040</v>
      </c>
      <c r="H265" t="s">
        <v>18829</v>
      </c>
    </row>
    <row r="266" spans="1:8">
      <c r="F266" t="s">
        <v>10638</v>
      </c>
      <c r="G266" t="s">
        <v>15041</v>
      </c>
      <c r="H266" t="s">
        <v>18923</v>
      </c>
    </row>
    <row r="267" spans="1:8">
      <c r="H267" t="s">
        <v>18853</v>
      </c>
    </row>
    <row r="268" spans="1:8">
      <c r="F268" t="s">
        <v>10639</v>
      </c>
      <c r="G268" t="s">
        <v>15042</v>
      </c>
      <c r="H268" t="s">
        <v>18829</v>
      </c>
    </row>
    <row r="269" spans="1:8">
      <c r="H269" t="s">
        <v>18851</v>
      </c>
    </row>
    <row r="270" spans="1:8">
      <c r="H270" t="s">
        <v>18853</v>
      </c>
    </row>
    <row r="271" spans="1:8">
      <c r="A271" t="s">
        <v>60</v>
      </c>
      <c r="B271">
        <f>HYPERLINK("https://android.googlesource.com/platform/cts/+/eb076857bf022cf332457ee45095f4f6bb9a75ca", "eb076857bf022cf332457ee45095f4f6bb9a75ca")</f>
        <v>0</v>
      </c>
      <c r="C271">
        <f>HYPERLINK("https://android.googlesource.com/platform/cts/+/ce5353465568cca84f2a0998cdc3eb27750aeaa0", "ce5353465568cca84f2a0998cdc3eb27750aeaa0")</f>
        <v>0</v>
      </c>
      <c r="D271" t="s">
        <v>4930</v>
      </c>
      <c r="E271" t="s">
        <v>5860</v>
      </c>
      <c r="F271" t="s">
        <v>10640</v>
      </c>
      <c r="G271" t="s">
        <v>14992</v>
      </c>
      <c r="H271" t="s">
        <v>18924</v>
      </c>
    </row>
    <row r="272" spans="1:8">
      <c r="H272" t="s">
        <v>18924</v>
      </c>
    </row>
    <row r="273" spans="6:8">
      <c r="H273" t="s">
        <v>18925</v>
      </c>
    </row>
    <row r="274" spans="6:8">
      <c r="H274" t="s">
        <v>18926</v>
      </c>
    </row>
    <row r="275" spans="6:8">
      <c r="H275" t="s">
        <v>18927</v>
      </c>
    </row>
    <row r="276" spans="6:8">
      <c r="H276" t="s">
        <v>18927</v>
      </c>
    </row>
    <row r="277" spans="6:8">
      <c r="H277" t="s">
        <v>18928</v>
      </c>
    </row>
    <row r="278" spans="6:8">
      <c r="H278" t="s">
        <v>18929</v>
      </c>
    </row>
    <row r="279" spans="6:8">
      <c r="H279" t="s">
        <v>18829</v>
      </c>
    </row>
    <row r="280" spans="6:8">
      <c r="H280" t="s">
        <v>18863</v>
      </c>
    </row>
    <row r="281" spans="6:8">
      <c r="H281" t="s">
        <v>18930</v>
      </c>
    </row>
    <row r="282" spans="6:8">
      <c r="H282" t="s">
        <v>18931</v>
      </c>
    </row>
    <row r="283" spans="6:8">
      <c r="H283" t="s">
        <v>18932</v>
      </c>
    </row>
    <row r="284" spans="6:8">
      <c r="F284" t="s">
        <v>10641</v>
      </c>
      <c r="G284" t="s">
        <v>15043</v>
      </c>
      <c r="H284" t="s">
        <v>18933</v>
      </c>
    </row>
    <row r="285" spans="6:8">
      <c r="H285" t="s">
        <v>18934</v>
      </c>
    </row>
    <row r="286" spans="6:8">
      <c r="H286" t="s">
        <v>18935</v>
      </c>
    </row>
    <row r="287" spans="6:8">
      <c r="H287" t="s">
        <v>18930</v>
      </c>
    </row>
    <row r="288" spans="6:8">
      <c r="H288" t="s">
        <v>18936</v>
      </c>
    </row>
    <row r="289" spans="6:8">
      <c r="H289" t="s">
        <v>18937</v>
      </c>
    </row>
    <row r="290" spans="6:8">
      <c r="H290" t="s">
        <v>18938</v>
      </c>
    </row>
    <row r="291" spans="6:8">
      <c r="F291" t="s">
        <v>10642</v>
      </c>
      <c r="G291" t="s">
        <v>15044</v>
      </c>
      <c r="H291" t="s">
        <v>18939</v>
      </c>
    </row>
    <row r="292" spans="6:8">
      <c r="H292" t="s">
        <v>18940</v>
      </c>
    </row>
    <row r="293" spans="6:8">
      <c r="H293" t="s">
        <v>18941</v>
      </c>
    </row>
    <row r="294" spans="6:8">
      <c r="H294" t="s">
        <v>18942</v>
      </c>
    </row>
    <row r="295" spans="6:8">
      <c r="H295" t="s">
        <v>18943</v>
      </c>
    </row>
    <row r="296" spans="6:8">
      <c r="H296" t="s">
        <v>18944</v>
      </c>
    </row>
    <row r="297" spans="6:8">
      <c r="H297" t="s">
        <v>18945</v>
      </c>
    </row>
    <row r="298" spans="6:8">
      <c r="H298" t="s">
        <v>18946</v>
      </c>
    </row>
    <row r="299" spans="6:8">
      <c r="H299" t="s">
        <v>18947</v>
      </c>
    </row>
    <row r="300" spans="6:8">
      <c r="H300" t="s">
        <v>18948</v>
      </c>
    </row>
    <row r="301" spans="6:8">
      <c r="H301" t="s">
        <v>18949</v>
      </c>
    </row>
    <row r="302" spans="6:8">
      <c r="H302" t="s">
        <v>18927</v>
      </c>
    </row>
    <row r="303" spans="6:8">
      <c r="H303" t="s">
        <v>18950</v>
      </c>
    </row>
    <row r="304" spans="6:8">
      <c r="H304" t="s">
        <v>18951</v>
      </c>
    </row>
    <row r="305" spans="6:8">
      <c r="H305" t="s">
        <v>18952</v>
      </c>
    </row>
    <row r="306" spans="6:8">
      <c r="H306" t="s">
        <v>18953</v>
      </c>
    </row>
    <row r="307" spans="6:8">
      <c r="H307" t="s">
        <v>18954</v>
      </c>
    </row>
    <row r="308" spans="6:8">
      <c r="H308" t="s">
        <v>18955</v>
      </c>
    </row>
    <row r="309" spans="6:8">
      <c r="F309" t="s">
        <v>10643</v>
      </c>
      <c r="G309" t="s">
        <v>14995</v>
      </c>
      <c r="H309" t="s">
        <v>18956</v>
      </c>
    </row>
    <row r="310" spans="6:8">
      <c r="H310" t="s">
        <v>18957</v>
      </c>
    </row>
    <row r="311" spans="6:8">
      <c r="H311" t="s">
        <v>18958</v>
      </c>
    </row>
    <row r="312" spans="6:8">
      <c r="H312" t="s">
        <v>18959</v>
      </c>
    </row>
    <row r="313" spans="6:8">
      <c r="H313" t="s">
        <v>18960</v>
      </c>
    </row>
    <row r="314" spans="6:8">
      <c r="H314" t="s">
        <v>18960</v>
      </c>
    </row>
    <row r="315" spans="6:8">
      <c r="H315" t="s">
        <v>18960</v>
      </c>
    </row>
    <row r="316" spans="6:8">
      <c r="H316" t="s">
        <v>18960</v>
      </c>
    </row>
    <row r="317" spans="6:8">
      <c r="H317" t="s">
        <v>18960</v>
      </c>
    </row>
    <row r="318" spans="6:8">
      <c r="H318" t="s">
        <v>18960</v>
      </c>
    </row>
    <row r="319" spans="6:8">
      <c r="H319" t="s">
        <v>18961</v>
      </c>
    </row>
    <row r="320" spans="6:8">
      <c r="H320" t="s">
        <v>18962</v>
      </c>
    </row>
    <row r="321" spans="1:8">
      <c r="H321" t="s">
        <v>18925</v>
      </c>
    </row>
    <row r="322" spans="1:8">
      <c r="H322" t="s">
        <v>18931</v>
      </c>
    </row>
    <row r="323" spans="1:8">
      <c r="H323" t="s">
        <v>18927</v>
      </c>
    </row>
    <row r="324" spans="1:8">
      <c r="H324" t="s">
        <v>18929</v>
      </c>
    </row>
    <row r="325" spans="1:8">
      <c r="H325" t="s">
        <v>18932</v>
      </c>
    </row>
    <row r="326" spans="1:8">
      <c r="H326" t="s">
        <v>18963</v>
      </c>
    </row>
    <row r="327" spans="1:8">
      <c r="H327" t="s">
        <v>18964</v>
      </c>
    </row>
    <row r="328" spans="1:8">
      <c r="H328" t="s">
        <v>18965</v>
      </c>
    </row>
    <row r="329" spans="1:8">
      <c r="H329" t="s">
        <v>18930</v>
      </c>
    </row>
    <row r="330" spans="1:8">
      <c r="H330" t="s">
        <v>18966</v>
      </c>
    </row>
    <row r="331" spans="1:8">
      <c r="H331" t="s">
        <v>18967</v>
      </c>
    </row>
    <row r="332" spans="1:8">
      <c r="H332" t="s">
        <v>18968</v>
      </c>
    </row>
    <row r="333" spans="1:8">
      <c r="A333" t="s">
        <v>61</v>
      </c>
      <c r="B333">
        <f>HYPERLINK("https://android.googlesource.com/platform/cts/+/746033319bd79b766bd82fca4a13ed66ff4aadec", "746033319bd79b766bd82fca4a13ed66ff4aadec")</f>
        <v>0</v>
      </c>
      <c r="C333">
        <f>HYPERLINK("https://android.googlesource.com/platform/cts/+/703563d0016f3cf307920d24f5151b0cdbf862dd", "703563d0016f3cf307920d24f5151b0cdbf862dd")</f>
        <v>0</v>
      </c>
      <c r="D333" t="s">
        <v>4929</v>
      </c>
      <c r="E333" t="s">
        <v>5861</v>
      </c>
      <c r="F333" t="s">
        <v>10605</v>
      </c>
      <c r="G333" t="s">
        <v>15008</v>
      </c>
      <c r="H333" t="s">
        <v>18969</v>
      </c>
    </row>
    <row r="334" spans="1:8">
      <c r="H334" t="s">
        <v>18970</v>
      </c>
    </row>
    <row r="335" spans="1:8">
      <c r="H335" t="s">
        <v>18971</v>
      </c>
    </row>
    <row r="336" spans="1:8">
      <c r="H336" t="s">
        <v>18972</v>
      </c>
    </row>
    <row r="337" spans="1:8">
      <c r="H337" t="s">
        <v>18973</v>
      </c>
    </row>
    <row r="338" spans="1:8">
      <c r="H338" t="s">
        <v>18974</v>
      </c>
    </row>
    <row r="339" spans="1:8">
      <c r="H339" t="s">
        <v>18975</v>
      </c>
    </row>
    <row r="340" spans="1:8">
      <c r="H340" t="s">
        <v>18976</v>
      </c>
    </row>
    <row r="341" spans="1:8">
      <c r="H341" t="s">
        <v>18977</v>
      </c>
    </row>
    <row r="342" spans="1:8">
      <c r="H342" t="s">
        <v>18978</v>
      </c>
    </row>
    <row r="343" spans="1:8">
      <c r="H343" t="s">
        <v>18978</v>
      </c>
    </row>
    <row r="344" spans="1:8">
      <c r="A344" t="s">
        <v>62</v>
      </c>
      <c r="B344">
        <f>HYPERLINK("https://android.googlesource.com/platform/cts/+/80b2b0414cfb461c562d4133e242daa341ed3bcb", "80b2b0414cfb461c562d4133e242daa341ed3bcb")</f>
        <v>0</v>
      </c>
      <c r="C344">
        <f>HYPERLINK("https://android.googlesource.com/platform/cts/+/4dd61d245f7903f483a74c3ce0261b7355c9a3c9", "4dd61d245f7903f483a74c3ce0261b7355c9a3c9")</f>
        <v>0</v>
      </c>
      <c r="D344" t="s">
        <v>4929</v>
      </c>
      <c r="E344" t="s">
        <v>5862</v>
      </c>
      <c r="F344" t="s">
        <v>10644</v>
      </c>
      <c r="G344" t="s">
        <v>15045</v>
      </c>
      <c r="H344" t="s">
        <v>18979</v>
      </c>
    </row>
    <row r="345" spans="1:8">
      <c r="H345" t="s">
        <v>18980</v>
      </c>
    </row>
    <row r="346" spans="1:8">
      <c r="H346" t="s">
        <v>18981</v>
      </c>
    </row>
    <row r="347" spans="1:8">
      <c r="F347" t="s">
        <v>10645</v>
      </c>
      <c r="G347" t="s">
        <v>15046</v>
      </c>
      <c r="H347" t="s">
        <v>18982</v>
      </c>
    </row>
    <row r="348" spans="1:8">
      <c r="H348" t="s">
        <v>18983</v>
      </c>
    </row>
    <row r="349" spans="1:8">
      <c r="H349" t="s">
        <v>18984</v>
      </c>
    </row>
    <row r="350" spans="1:8">
      <c r="H350" t="s">
        <v>18985</v>
      </c>
    </row>
    <row r="351" spans="1:8">
      <c r="H351" t="s">
        <v>18986</v>
      </c>
    </row>
    <row r="352" spans="1:8">
      <c r="F352" t="s">
        <v>10646</v>
      </c>
      <c r="G352" t="s">
        <v>15047</v>
      </c>
      <c r="H352" t="s">
        <v>18987</v>
      </c>
    </row>
    <row r="353" spans="1:8">
      <c r="H353" t="s">
        <v>18893</v>
      </c>
    </row>
    <row r="354" spans="1:8">
      <c r="H354" t="s">
        <v>18985</v>
      </c>
    </row>
    <row r="355" spans="1:8">
      <c r="H355" t="s">
        <v>18988</v>
      </c>
    </row>
    <row r="356" spans="1:8">
      <c r="F356" t="s">
        <v>10647</v>
      </c>
      <c r="G356" t="s">
        <v>15048</v>
      </c>
      <c r="H356" t="s">
        <v>18989</v>
      </c>
    </row>
    <row r="357" spans="1:8">
      <c r="A357" t="s">
        <v>63</v>
      </c>
      <c r="B357">
        <f>HYPERLINK("https://android.googlesource.com/platform/cts/+/33dc1fadfe2685caf562e149e1240796d951967b", "33dc1fadfe2685caf562e149e1240796d951967b")</f>
        <v>0</v>
      </c>
      <c r="C357">
        <f>HYPERLINK("https://android.googlesource.com/platform/cts/+/94caf5b13a1bc1a0bb32fd0a045c7e7fd0b5698f", "94caf5b13a1bc1a0bb32fd0a045c7e7fd0b5698f")</f>
        <v>0</v>
      </c>
      <c r="D357" t="s">
        <v>4928</v>
      </c>
      <c r="E357" t="s">
        <v>5863</v>
      </c>
      <c r="F357" t="s">
        <v>10582</v>
      </c>
      <c r="G357" t="s">
        <v>14985</v>
      </c>
      <c r="H357" t="s">
        <v>18990</v>
      </c>
    </row>
    <row r="358" spans="1:8">
      <c r="H358" t="s">
        <v>18991</v>
      </c>
    </row>
    <row r="359" spans="1:8">
      <c r="A359" t="s">
        <v>64</v>
      </c>
      <c r="B359">
        <f>HYPERLINK("https://android.googlesource.com/platform/cts/+/e1a07a3a6fdd90d85ce7347a5fad4e4996942c3d", "e1a07a3a6fdd90d85ce7347a5fad4e4996942c3d")</f>
        <v>0</v>
      </c>
      <c r="C359">
        <f>HYPERLINK("https://android.googlesource.com/platform/cts/+/253ba6235e47a4b5b62e548be22b360fde0d593f", "253ba6235e47a4b5b62e548be22b360fde0d593f")</f>
        <v>0</v>
      </c>
      <c r="D359" t="s">
        <v>4931</v>
      </c>
      <c r="E359" t="s">
        <v>5864</v>
      </c>
      <c r="F359" t="s">
        <v>10648</v>
      </c>
      <c r="G359" t="s">
        <v>15049</v>
      </c>
      <c r="H359" t="s">
        <v>18992</v>
      </c>
    </row>
    <row r="360" spans="1:8">
      <c r="H360" t="s">
        <v>18993</v>
      </c>
    </row>
    <row r="361" spans="1:8">
      <c r="A361" t="s">
        <v>65</v>
      </c>
      <c r="B361">
        <f>HYPERLINK("https://android.googlesource.com/platform/cts/+/e15a994531cd2f8db19ce0bdd8baed98ba2bfef3", "e15a994531cd2f8db19ce0bdd8baed98ba2bfef3")</f>
        <v>0</v>
      </c>
      <c r="C361">
        <f>HYPERLINK("https://android.googlesource.com/platform/cts/+/ae9efdf0063cf26d5d148dc9bee645d23d95edc0", "ae9efdf0063cf26d5d148dc9bee645d23d95edc0")</f>
        <v>0</v>
      </c>
      <c r="D361" t="s">
        <v>4930</v>
      </c>
      <c r="E361" t="s">
        <v>5865</v>
      </c>
      <c r="F361" t="s">
        <v>10649</v>
      </c>
      <c r="G361" t="s">
        <v>15050</v>
      </c>
      <c r="H361" t="s">
        <v>18994</v>
      </c>
    </row>
    <row r="362" spans="1:8">
      <c r="F362" t="s">
        <v>10650</v>
      </c>
      <c r="G362" t="s">
        <v>15051</v>
      </c>
      <c r="H362" t="s">
        <v>18829</v>
      </c>
    </row>
    <row r="363" spans="1:8">
      <c r="H363" t="s">
        <v>18995</v>
      </c>
    </row>
    <row r="364" spans="1:8">
      <c r="H364" t="s">
        <v>18836</v>
      </c>
    </row>
    <row r="365" spans="1:8">
      <c r="H365" t="s">
        <v>18996</v>
      </c>
    </row>
    <row r="366" spans="1:8">
      <c r="H366" t="s">
        <v>18997</v>
      </c>
    </row>
    <row r="367" spans="1:8">
      <c r="H367" t="s">
        <v>18998</v>
      </c>
    </row>
    <row r="368" spans="1:8">
      <c r="H368" t="s">
        <v>18999</v>
      </c>
    </row>
    <row r="369" spans="6:8">
      <c r="H369" t="s">
        <v>19000</v>
      </c>
    </row>
    <row r="370" spans="6:8">
      <c r="H370" t="s">
        <v>19001</v>
      </c>
    </row>
    <row r="371" spans="6:8">
      <c r="H371" t="s">
        <v>19002</v>
      </c>
    </row>
    <row r="372" spans="6:8">
      <c r="H372" t="s">
        <v>19003</v>
      </c>
    </row>
    <row r="373" spans="6:8">
      <c r="H373" t="s">
        <v>19004</v>
      </c>
    </row>
    <row r="374" spans="6:8">
      <c r="H374" t="s">
        <v>19005</v>
      </c>
    </row>
    <row r="375" spans="6:8">
      <c r="F375" t="s">
        <v>10651</v>
      </c>
      <c r="G375" t="s">
        <v>15052</v>
      </c>
      <c r="H375" t="s">
        <v>18829</v>
      </c>
    </row>
    <row r="376" spans="6:8">
      <c r="H376" t="s">
        <v>18836</v>
      </c>
    </row>
    <row r="377" spans="6:8">
      <c r="H377" t="s">
        <v>19006</v>
      </c>
    </row>
    <row r="378" spans="6:8">
      <c r="H378" t="s">
        <v>19007</v>
      </c>
    </row>
    <row r="379" spans="6:8">
      <c r="H379" t="s">
        <v>19008</v>
      </c>
    </row>
    <row r="380" spans="6:8">
      <c r="H380" t="s">
        <v>19009</v>
      </c>
    </row>
    <row r="381" spans="6:8">
      <c r="H381" t="s">
        <v>19010</v>
      </c>
    </row>
    <row r="382" spans="6:8">
      <c r="H382" t="s">
        <v>19011</v>
      </c>
    </row>
    <row r="383" spans="6:8">
      <c r="H383" t="s">
        <v>18835</v>
      </c>
    </row>
    <row r="384" spans="6:8">
      <c r="H384" t="s">
        <v>19012</v>
      </c>
    </row>
    <row r="385" spans="1:8">
      <c r="H385" t="s">
        <v>19013</v>
      </c>
    </row>
    <row r="386" spans="1:8">
      <c r="H386" t="s">
        <v>19014</v>
      </c>
    </row>
    <row r="387" spans="1:8">
      <c r="F387" t="s">
        <v>10652</v>
      </c>
      <c r="G387" t="s">
        <v>15053</v>
      </c>
      <c r="H387" t="s">
        <v>18836</v>
      </c>
    </row>
    <row r="388" spans="1:8">
      <c r="H388" t="s">
        <v>18835</v>
      </c>
    </row>
    <row r="389" spans="1:8">
      <c r="H389" t="s">
        <v>19007</v>
      </c>
    </row>
    <row r="390" spans="1:8">
      <c r="H390" t="s">
        <v>19010</v>
      </c>
    </row>
    <row r="391" spans="1:8">
      <c r="H391" t="s">
        <v>19013</v>
      </c>
    </row>
    <row r="392" spans="1:8">
      <c r="A392" t="s">
        <v>66</v>
      </c>
      <c r="B392">
        <f>HYPERLINK("https://android.googlesource.com/platform/cts/+/7000873a066ca6f6e5c174b8f5fd944dd8c222b1", "7000873a066ca6f6e5c174b8f5fd944dd8c222b1")</f>
        <v>0</v>
      </c>
      <c r="C392">
        <f>HYPERLINK("https://android.googlesource.com/platform/cts/+/f8ee8d58f99f47611577eff98638b3f598655719", "f8ee8d58f99f47611577eff98638b3f598655719")</f>
        <v>0</v>
      </c>
      <c r="D392" t="s">
        <v>4930</v>
      </c>
      <c r="E392" t="s">
        <v>5866</v>
      </c>
      <c r="F392" t="s">
        <v>10653</v>
      </c>
      <c r="G392" t="s">
        <v>15054</v>
      </c>
      <c r="H392" t="s">
        <v>18829</v>
      </c>
    </row>
    <row r="393" spans="1:8">
      <c r="H393" t="s">
        <v>19015</v>
      </c>
    </row>
    <row r="394" spans="1:8">
      <c r="H394" t="s">
        <v>19016</v>
      </c>
    </row>
    <row r="395" spans="1:8">
      <c r="H395" t="s">
        <v>19017</v>
      </c>
    </row>
    <row r="396" spans="1:8">
      <c r="H396" t="s">
        <v>19018</v>
      </c>
    </row>
    <row r="397" spans="1:8">
      <c r="H397" t="s">
        <v>18893</v>
      </c>
    </row>
    <row r="398" spans="1:8">
      <c r="H398" t="s">
        <v>19019</v>
      </c>
    </row>
    <row r="399" spans="1:8">
      <c r="H399" t="s">
        <v>19020</v>
      </c>
    </row>
    <row r="400" spans="1:8">
      <c r="A400" t="s">
        <v>67</v>
      </c>
      <c r="B400">
        <f>HYPERLINK("https://android.googlesource.com/platform/cts/+/cc4ef140ee09a8d61e4a4a09b82e4cfb049a4674", "cc4ef140ee09a8d61e4a4a09b82e4cfb049a4674")</f>
        <v>0</v>
      </c>
      <c r="C400">
        <f>HYPERLINK("https://android.googlesource.com/platform/cts/+/86cbe1d7341f7190a921f1240f82f42d5af2fff5", "86cbe1d7341f7190a921f1240f82f42d5af2fff5")</f>
        <v>0</v>
      </c>
      <c r="D400" t="s">
        <v>4930</v>
      </c>
      <c r="E400" t="s">
        <v>5867</v>
      </c>
      <c r="F400" t="s">
        <v>10654</v>
      </c>
      <c r="G400" t="s">
        <v>15055</v>
      </c>
      <c r="H400" t="s">
        <v>19021</v>
      </c>
    </row>
    <row r="401" spans="1:8">
      <c r="H401" t="s">
        <v>18893</v>
      </c>
    </row>
    <row r="402" spans="1:8">
      <c r="A402" t="s">
        <v>68</v>
      </c>
      <c r="B402">
        <f>HYPERLINK("https://android.googlesource.com/platform/cts/+/496aef40c77af81c19dc2dc8f902ccbfa346e19b", "496aef40c77af81c19dc2dc8f902ccbfa346e19b")</f>
        <v>0</v>
      </c>
      <c r="C402">
        <f>HYPERLINK("https://android.googlesource.com/platform/cts/+/925578cfcabfec40f10d833aace940bfb3325f31", "925578cfcabfec40f10d833aace940bfb3325f31")</f>
        <v>0</v>
      </c>
      <c r="D402" t="s">
        <v>4930</v>
      </c>
      <c r="E402" t="s">
        <v>5868</v>
      </c>
      <c r="F402" t="s">
        <v>10655</v>
      </c>
      <c r="G402" t="s">
        <v>15056</v>
      </c>
      <c r="H402" t="s">
        <v>18835</v>
      </c>
    </row>
    <row r="403" spans="1:8">
      <c r="A403" t="s">
        <v>69</v>
      </c>
      <c r="B403">
        <f>HYPERLINK("https://android.googlesource.com/platform/cts/+/c7ff2e61798abc3a9a99bdb4e26b54dae296de11", "c7ff2e61798abc3a9a99bdb4e26b54dae296de11")</f>
        <v>0</v>
      </c>
      <c r="C403">
        <f>HYPERLINK("https://android.googlesource.com/platform/cts/+/48a66ccf9d950b654fc2c401b3f912dc45e05564", "48a66ccf9d950b654fc2c401b3f912dc45e05564")</f>
        <v>0</v>
      </c>
      <c r="D403" t="s">
        <v>4932</v>
      </c>
      <c r="E403" t="s">
        <v>5869</v>
      </c>
      <c r="F403" t="s">
        <v>10656</v>
      </c>
      <c r="G403" t="s">
        <v>15057</v>
      </c>
      <c r="H403" t="s">
        <v>18829</v>
      </c>
    </row>
    <row r="404" spans="1:8">
      <c r="H404" t="s">
        <v>19022</v>
      </c>
    </row>
    <row r="405" spans="1:8">
      <c r="H405" t="s">
        <v>19023</v>
      </c>
    </row>
    <row r="406" spans="1:8">
      <c r="H406" t="s">
        <v>19024</v>
      </c>
    </row>
    <row r="407" spans="1:8">
      <c r="H407" t="s">
        <v>19025</v>
      </c>
    </row>
    <row r="408" spans="1:8">
      <c r="A408" t="s">
        <v>70</v>
      </c>
      <c r="B408">
        <f>HYPERLINK("https://android.googlesource.com/platform/cts/+/e091316b9f7e7c1dfffa80623188b8496769d398", "e091316b9f7e7c1dfffa80623188b8496769d398")</f>
        <v>0</v>
      </c>
      <c r="C408">
        <f>HYPERLINK("https://android.googlesource.com/platform/cts/+/93dbdba7785edccaac70679a2e67b510912db056", "93dbdba7785edccaac70679a2e67b510912db056")</f>
        <v>0</v>
      </c>
      <c r="D408" t="s">
        <v>4932</v>
      </c>
      <c r="E408" t="s">
        <v>5870</v>
      </c>
      <c r="F408" t="s">
        <v>10657</v>
      </c>
      <c r="G408" t="s">
        <v>15058</v>
      </c>
      <c r="H408" t="s">
        <v>19026</v>
      </c>
    </row>
    <row r="409" spans="1:8">
      <c r="F409" t="s">
        <v>10658</v>
      </c>
      <c r="G409" t="s">
        <v>15059</v>
      </c>
      <c r="H409" t="s">
        <v>19027</v>
      </c>
    </row>
    <row r="410" spans="1:8">
      <c r="A410" t="s">
        <v>71</v>
      </c>
      <c r="B410">
        <f>HYPERLINK("https://android.googlesource.com/platform/cts/+/9ef014ac8654972ee00d0292f736e59d8dd84cf4", "9ef014ac8654972ee00d0292f736e59d8dd84cf4")</f>
        <v>0</v>
      </c>
      <c r="C410">
        <f>HYPERLINK("https://android.googlesource.com/platform/cts/+/19d6ff3877366e09145ef1ee1809998fa1ab2a9a", "19d6ff3877366e09145ef1ee1809998fa1ab2a9a")</f>
        <v>0</v>
      </c>
      <c r="D410" t="s">
        <v>4933</v>
      </c>
      <c r="E410" t="s">
        <v>5871</v>
      </c>
      <c r="F410" t="s">
        <v>10659</v>
      </c>
      <c r="G410" t="s">
        <v>15060</v>
      </c>
      <c r="H410" t="s">
        <v>19028</v>
      </c>
    </row>
    <row r="411" spans="1:8">
      <c r="A411" t="s">
        <v>72</v>
      </c>
      <c r="B411">
        <f>HYPERLINK("https://android.googlesource.com/platform/cts/+/5123e63ad23b068aded07a2a87c2a93229edac8d", "5123e63ad23b068aded07a2a87c2a93229edac8d")</f>
        <v>0</v>
      </c>
      <c r="C411">
        <f>HYPERLINK("https://android.googlesource.com/platform/cts/+/aef116002292133048bb0889cbcac939b5d89edc", "aef116002292133048bb0889cbcac939b5d89edc")</f>
        <v>0</v>
      </c>
      <c r="D411" t="s">
        <v>4932</v>
      </c>
      <c r="E411" t="s">
        <v>5872</v>
      </c>
      <c r="F411" t="s">
        <v>10660</v>
      </c>
      <c r="G411" t="s">
        <v>15061</v>
      </c>
      <c r="H411" t="s">
        <v>19029</v>
      </c>
    </row>
    <row r="412" spans="1:8">
      <c r="H412" t="s">
        <v>19030</v>
      </c>
    </row>
    <row r="413" spans="1:8">
      <c r="A413" t="s">
        <v>73</v>
      </c>
      <c r="B413">
        <f>HYPERLINK("https://android.googlesource.com/platform/cts/+/78c0cbf5b4f6e62e85f7cd538d4727d9f38baa25", "78c0cbf5b4f6e62e85f7cd538d4727d9f38baa25")</f>
        <v>0</v>
      </c>
      <c r="C413">
        <f>HYPERLINK("https://android.googlesource.com/platform/cts/+/c6dd74ed84f79a31b2be4ce52a61fef8e16b54b9", "c6dd74ed84f79a31b2be4ce52a61fef8e16b54b9")</f>
        <v>0</v>
      </c>
      <c r="D413" t="s">
        <v>4932</v>
      </c>
      <c r="E413" t="s">
        <v>5873</v>
      </c>
      <c r="F413" t="s">
        <v>10661</v>
      </c>
      <c r="G413" t="s">
        <v>15062</v>
      </c>
      <c r="H413" t="s">
        <v>19031</v>
      </c>
    </row>
    <row r="414" spans="1:8">
      <c r="H414" t="s">
        <v>19032</v>
      </c>
    </row>
    <row r="415" spans="1:8">
      <c r="H415" t="s">
        <v>19033</v>
      </c>
    </row>
    <row r="416" spans="1:8">
      <c r="A416" t="s">
        <v>74</v>
      </c>
      <c r="B416">
        <f>HYPERLINK("https://android.googlesource.com/platform/cts/+/2a8ec95c8b59c3d51f907252403a7c8dc7ef882b", "2a8ec95c8b59c3d51f907252403a7c8dc7ef882b")</f>
        <v>0</v>
      </c>
      <c r="C416">
        <f>HYPERLINK("https://android.googlesource.com/platform/cts/+/15c60fbd7b5f842049fc71960e9847336a7650be", "15c60fbd7b5f842049fc71960e9847336a7650be")</f>
        <v>0</v>
      </c>
      <c r="D416" t="s">
        <v>4932</v>
      </c>
      <c r="E416" t="s">
        <v>5874</v>
      </c>
      <c r="F416" t="s">
        <v>10662</v>
      </c>
      <c r="G416" t="s">
        <v>15063</v>
      </c>
      <c r="H416" t="s">
        <v>19034</v>
      </c>
    </row>
    <row r="417" spans="1:8">
      <c r="A417" t="s">
        <v>75</v>
      </c>
      <c r="B417">
        <f>HYPERLINK("https://android.googlesource.com/platform/cts/+/ea09b00c6ee80840b18784468857e9c3972abfb0", "ea09b00c6ee80840b18784468857e9c3972abfb0")</f>
        <v>0</v>
      </c>
      <c r="C417">
        <f>HYPERLINK("https://android.googlesource.com/platform/cts/+/eaf3cb81cdf0a403d5bd3b5fae80a6aa5a261716", "eaf3cb81cdf0a403d5bd3b5fae80a6aa5a261716")</f>
        <v>0</v>
      </c>
      <c r="D417" t="s">
        <v>4932</v>
      </c>
      <c r="E417" t="s">
        <v>5875</v>
      </c>
      <c r="F417" t="s">
        <v>10608</v>
      </c>
      <c r="G417" t="s">
        <v>15011</v>
      </c>
      <c r="H417" t="s">
        <v>19035</v>
      </c>
    </row>
    <row r="418" spans="1:8">
      <c r="A418" t="s">
        <v>76</v>
      </c>
      <c r="B418">
        <f>HYPERLINK("https://android.googlesource.com/platform/cts/+/c9728b328c3da6b687146f59471e2d40eb627750", "c9728b328c3da6b687146f59471e2d40eb627750")</f>
        <v>0</v>
      </c>
      <c r="C418">
        <f>HYPERLINK("https://android.googlesource.com/platform/cts/+/455061f0b4c594e796084b7ee0afd7b98248d8aa", "455061f0b4c594e796084b7ee0afd7b98248d8aa")</f>
        <v>0</v>
      </c>
      <c r="D418" t="s">
        <v>4932</v>
      </c>
      <c r="E418" t="s">
        <v>5876</v>
      </c>
      <c r="F418" t="s">
        <v>10663</v>
      </c>
      <c r="G418" t="s">
        <v>15064</v>
      </c>
      <c r="H418" t="s">
        <v>19036</v>
      </c>
    </row>
    <row r="419" spans="1:8">
      <c r="A419" t="s">
        <v>77</v>
      </c>
      <c r="B419">
        <f>HYPERLINK("https://android.googlesource.com/platform/cts/+/9fe411b2080259f227fbc90621bc2061572c8de4", "9fe411b2080259f227fbc90621bc2061572c8de4")</f>
        <v>0</v>
      </c>
      <c r="C419">
        <f>HYPERLINK("https://android.googlesource.com/platform/cts/+/455061f0b4c594e796084b7ee0afd7b98248d8aa", "455061f0b4c594e796084b7ee0afd7b98248d8aa")</f>
        <v>0</v>
      </c>
      <c r="D419" t="s">
        <v>4932</v>
      </c>
      <c r="E419" t="s">
        <v>5877</v>
      </c>
      <c r="F419" t="s">
        <v>10664</v>
      </c>
      <c r="G419" t="s">
        <v>15065</v>
      </c>
      <c r="H419" t="s">
        <v>19037</v>
      </c>
    </row>
    <row r="420" spans="1:8">
      <c r="H420" t="s">
        <v>19038</v>
      </c>
    </row>
    <row r="421" spans="1:8">
      <c r="A421" t="s">
        <v>78</v>
      </c>
      <c r="B421">
        <f>HYPERLINK("https://android.googlesource.com/platform/cts/+/199ed6a44ac161ab32cbab3f69c0fe5fdf3401c5", "199ed6a44ac161ab32cbab3f69c0fe5fdf3401c5")</f>
        <v>0</v>
      </c>
      <c r="C421">
        <f>HYPERLINK("https://android.googlesource.com/platform/cts/+/fb4736d7c9c802a16705843dfafd4c775a4f2226", "fb4736d7c9c802a16705843dfafd4c775a4f2226")</f>
        <v>0</v>
      </c>
      <c r="D421" t="s">
        <v>4934</v>
      </c>
      <c r="E421" t="s">
        <v>5878</v>
      </c>
      <c r="F421" t="s">
        <v>10665</v>
      </c>
      <c r="G421" t="s">
        <v>15066</v>
      </c>
      <c r="H421" t="s">
        <v>19039</v>
      </c>
    </row>
    <row r="422" spans="1:8">
      <c r="A422" t="s">
        <v>79</v>
      </c>
      <c r="B422">
        <f>HYPERLINK("https://android.googlesource.com/platform/cts/+/915bd6accb19cc43c295a313a556c0c9316a8259", "915bd6accb19cc43c295a313a556c0c9316a8259")</f>
        <v>0</v>
      </c>
      <c r="C422">
        <f>HYPERLINK("https://android.googlesource.com/platform/cts/+/b5e916bc4402ba3fa3411c4c52fc4af73ea61a43", "b5e916bc4402ba3fa3411c4c52fc4af73ea61a43")</f>
        <v>0</v>
      </c>
      <c r="D422" t="s">
        <v>4935</v>
      </c>
      <c r="E422" t="s">
        <v>5879</v>
      </c>
      <c r="F422" t="s">
        <v>10666</v>
      </c>
      <c r="G422" t="s">
        <v>15067</v>
      </c>
      <c r="H422" t="s">
        <v>19040</v>
      </c>
    </row>
    <row r="423" spans="1:8">
      <c r="H423" t="s">
        <v>19041</v>
      </c>
    </row>
    <row r="424" spans="1:8">
      <c r="H424" t="s">
        <v>19042</v>
      </c>
    </row>
    <row r="425" spans="1:8">
      <c r="A425" t="s">
        <v>80</v>
      </c>
      <c r="B425">
        <f>HYPERLINK("https://android.googlesource.com/platform/cts/+/d7af06ff44ee93a819dfa560fb6669e6c5e1d218", "d7af06ff44ee93a819dfa560fb6669e6c5e1d218")</f>
        <v>0</v>
      </c>
      <c r="C425">
        <f>HYPERLINK("https://android.googlesource.com/platform/cts/+/ec611467d3133d3c38af549a3cafa70567d5ec83", "ec611467d3133d3c38af549a3cafa70567d5ec83")</f>
        <v>0</v>
      </c>
      <c r="D425" t="s">
        <v>4932</v>
      </c>
      <c r="E425" t="s">
        <v>5880</v>
      </c>
      <c r="F425" t="s">
        <v>10667</v>
      </c>
      <c r="G425" t="s">
        <v>15068</v>
      </c>
      <c r="H425" t="s">
        <v>19043</v>
      </c>
    </row>
    <row r="426" spans="1:8">
      <c r="A426" t="s">
        <v>81</v>
      </c>
      <c r="B426">
        <f>HYPERLINK("https://android.googlesource.com/platform/cts/+/aecd08721007e2cb5c8ebff166d701799fba22b7", "aecd08721007e2cb5c8ebff166d701799fba22b7")</f>
        <v>0</v>
      </c>
      <c r="C426">
        <f>HYPERLINK("https://android.googlesource.com/platform/cts/+/ec611467d3133d3c38af549a3cafa70567d5ec83", "ec611467d3133d3c38af549a3cafa70567d5ec83")</f>
        <v>0</v>
      </c>
      <c r="D426" t="s">
        <v>4936</v>
      </c>
      <c r="E426" t="s">
        <v>5881</v>
      </c>
      <c r="F426" t="s">
        <v>10668</v>
      </c>
      <c r="G426" t="s">
        <v>15069</v>
      </c>
      <c r="H426" t="s">
        <v>19044</v>
      </c>
    </row>
    <row r="427" spans="1:8">
      <c r="A427" t="s">
        <v>82</v>
      </c>
      <c r="B427">
        <f>HYPERLINK("https://android.googlesource.com/platform/cts/+/11ef4caff62219aedb606c44183712ff2f5458ab", "11ef4caff62219aedb606c44183712ff2f5458ab")</f>
        <v>0</v>
      </c>
      <c r="C427">
        <f>HYPERLINK("https://android.googlesource.com/platform/cts/+/ac48191873770c2f2652e41bb176e88fced6ac9a", "ac48191873770c2f2652e41bb176e88fced6ac9a")</f>
        <v>0</v>
      </c>
      <c r="D427" t="s">
        <v>4937</v>
      </c>
      <c r="E427" t="s">
        <v>5882</v>
      </c>
      <c r="F427" t="s">
        <v>10669</v>
      </c>
      <c r="G427" t="s">
        <v>15070</v>
      </c>
      <c r="H427" t="s">
        <v>19045</v>
      </c>
    </row>
    <row r="428" spans="1:8">
      <c r="H428" t="s">
        <v>19046</v>
      </c>
    </row>
    <row r="429" spans="1:8">
      <c r="A429" t="s">
        <v>83</v>
      </c>
      <c r="B429">
        <f>HYPERLINK("https://android.googlesource.com/platform/cts/+/23f16838d1b9f7fde092b8775da9c90c1a895002", "23f16838d1b9f7fde092b8775da9c90c1a895002")</f>
        <v>0</v>
      </c>
      <c r="C429">
        <f>HYPERLINK("https://android.googlesource.com/platform/cts/+/a8910fd345eb644bcfa691e372e57bc391296cdf", "a8910fd345eb644bcfa691e372e57bc391296cdf")</f>
        <v>0</v>
      </c>
      <c r="D429" t="s">
        <v>4938</v>
      </c>
      <c r="E429" t="s">
        <v>5883</v>
      </c>
      <c r="F429" t="s">
        <v>10670</v>
      </c>
      <c r="G429" t="s">
        <v>15029</v>
      </c>
      <c r="H429" t="s">
        <v>19047</v>
      </c>
    </row>
    <row r="430" spans="1:8">
      <c r="A430" t="s">
        <v>84</v>
      </c>
      <c r="B430">
        <f>HYPERLINK("https://android.googlesource.com/platform/cts/+/4199748c926b40c0a43cef0670030e71d7be6ab1", "4199748c926b40c0a43cef0670030e71d7be6ab1")</f>
        <v>0</v>
      </c>
      <c r="C430">
        <f>HYPERLINK("https://android.googlesource.com/platform/cts/+/c39c4a9ff2bad1829925566de3af176d9685ea8e", "c39c4a9ff2bad1829925566de3af176d9685ea8e")</f>
        <v>0</v>
      </c>
      <c r="D430" t="s">
        <v>4927</v>
      </c>
      <c r="E430" t="s">
        <v>5884</v>
      </c>
      <c r="F430" t="s">
        <v>10668</v>
      </c>
      <c r="G430" t="s">
        <v>15069</v>
      </c>
      <c r="H430" t="s">
        <v>19048</v>
      </c>
    </row>
    <row r="431" spans="1:8">
      <c r="A431" t="s">
        <v>85</v>
      </c>
      <c r="B431">
        <f>HYPERLINK("https://android.googlesource.com/platform/cts/+/26d49be7708dae2d53f29ec5c166ef6c75566a84", "26d49be7708dae2d53f29ec5c166ef6c75566a84")</f>
        <v>0</v>
      </c>
      <c r="C431">
        <f>HYPERLINK("https://android.googlesource.com/platform/cts/+/dfb26176839bc0727c4eec422f7579d9af2df948", "dfb26176839bc0727c4eec422f7579d9af2df948")</f>
        <v>0</v>
      </c>
      <c r="D431" t="s">
        <v>4939</v>
      </c>
      <c r="E431" t="s">
        <v>5885</v>
      </c>
      <c r="F431" t="s">
        <v>10671</v>
      </c>
      <c r="G431" t="s">
        <v>15071</v>
      </c>
      <c r="H431" t="s">
        <v>19049</v>
      </c>
    </row>
    <row r="432" spans="1:8">
      <c r="A432" t="s">
        <v>86</v>
      </c>
      <c r="B432">
        <f>HYPERLINK("https://android.googlesource.com/platform/cts/+/410ea0765730bd258220348c336a267ac2931611", "410ea0765730bd258220348c336a267ac2931611")</f>
        <v>0</v>
      </c>
      <c r="C432">
        <f>HYPERLINK("https://android.googlesource.com/platform/cts/+/e458cce47ae52437ab2c476fe4b62d6146a4d5fe", "e458cce47ae52437ab2c476fe4b62d6146a4d5fe")</f>
        <v>0</v>
      </c>
      <c r="D432" t="s">
        <v>4940</v>
      </c>
      <c r="E432" t="s">
        <v>5886</v>
      </c>
      <c r="F432" t="s">
        <v>10670</v>
      </c>
      <c r="G432" t="s">
        <v>15029</v>
      </c>
      <c r="H432" t="s">
        <v>19050</v>
      </c>
    </row>
    <row r="433" spans="1:8">
      <c r="A433" t="s">
        <v>87</v>
      </c>
      <c r="B433">
        <f>HYPERLINK("https://android.googlesource.com/platform/cts/+/f6e0aac2f1cfa1a6c56dd38bcbb1b0f8d767ed5d", "f6e0aac2f1cfa1a6c56dd38bcbb1b0f8d767ed5d")</f>
        <v>0</v>
      </c>
      <c r="C433">
        <f>HYPERLINK("https://android.googlesource.com/platform/cts/+/e458cce47ae52437ab2c476fe4b62d6146a4d5fe", "e458cce47ae52437ab2c476fe4b62d6146a4d5fe")</f>
        <v>0</v>
      </c>
      <c r="D433" t="s">
        <v>4941</v>
      </c>
      <c r="E433" t="s">
        <v>5887</v>
      </c>
      <c r="F433" t="s">
        <v>10672</v>
      </c>
      <c r="G433" t="s">
        <v>15072</v>
      </c>
      <c r="H433" t="s">
        <v>19051</v>
      </c>
    </row>
    <row r="434" spans="1:8">
      <c r="A434" t="s">
        <v>88</v>
      </c>
      <c r="B434">
        <f>HYPERLINK("https://android.googlesource.com/platform/cts/+/719bcd0dfdbe2c015746dc9738390c59c53f8268", "719bcd0dfdbe2c015746dc9738390c59c53f8268")</f>
        <v>0</v>
      </c>
      <c r="C434">
        <f>HYPERLINK("https://android.googlesource.com/platform/cts/+/e458cce47ae52437ab2c476fe4b62d6146a4d5fe", "e458cce47ae52437ab2c476fe4b62d6146a4d5fe")</f>
        <v>0</v>
      </c>
      <c r="D434" t="s">
        <v>4941</v>
      </c>
      <c r="E434" t="s">
        <v>5888</v>
      </c>
      <c r="F434" t="s">
        <v>10673</v>
      </c>
      <c r="G434" t="s">
        <v>15073</v>
      </c>
      <c r="H434" t="s">
        <v>18878</v>
      </c>
    </row>
    <row r="435" spans="1:8">
      <c r="A435" t="s">
        <v>89</v>
      </c>
      <c r="B435">
        <f>HYPERLINK("https://android.googlesource.com/platform/cts/+/ffa439bfca7d15ee4d9e203d39e87a1cc0432dd1", "ffa439bfca7d15ee4d9e203d39e87a1cc0432dd1")</f>
        <v>0</v>
      </c>
      <c r="C435">
        <f>HYPERLINK("https://android.googlesource.com/platform/cts/+/e458cce47ae52437ab2c476fe4b62d6146a4d5fe", "e458cce47ae52437ab2c476fe4b62d6146a4d5fe")</f>
        <v>0</v>
      </c>
      <c r="D435" t="s">
        <v>4941</v>
      </c>
      <c r="E435" t="s">
        <v>5889</v>
      </c>
      <c r="F435" t="s">
        <v>10674</v>
      </c>
      <c r="G435" t="s">
        <v>15074</v>
      </c>
      <c r="H435" t="s">
        <v>19052</v>
      </c>
    </row>
    <row r="436" spans="1:8">
      <c r="A436" t="s">
        <v>90</v>
      </c>
      <c r="B436">
        <f>HYPERLINK("https://android.googlesource.com/platform/cts/+/799b05108a00f86f3e05292972a2e308b2b19c84", "799b05108a00f86f3e05292972a2e308b2b19c84")</f>
        <v>0</v>
      </c>
      <c r="C436">
        <f>HYPERLINK("https://android.googlesource.com/platform/cts/+/8ac9cae79f735bef473520c4675e666eb99f6820", "8ac9cae79f735bef473520c4675e666eb99f6820")</f>
        <v>0</v>
      </c>
      <c r="D436" t="s">
        <v>4941</v>
      </c>
      <c r="E436" t="s">
        <v>5890</v>
      </c>
      <c r="F436" t="s">
        <v>10584</v>
      </c>
      <c r="G436" t="s">
        <v>14987</v>
      </c>
      <c r="H436" t="s">
        <v>19053</v>
      </c>
    </row>
    <row r="437" spans="1:8">
      <c r="H437" t="s">
        <v>19054</v>
      </c>
    </row>
    <row r="438" spans="1:8">
      <c r="A438" t="s">
        <v>91</v>
      </c>
      <c r="B438">
        <f>HYPERLINK("https://android.googlesource.com/platform/cts/+/171130b522afb7b2729c93a93d8e9978fb918cb8", "171130b522afb7b2729c93a93d8e9978fb918cb8")</f>
        <v>0</v>
      </c>
      <c r="C438">
        <f>HYPERLINK("https://android.googlesource.com/platform/cts/+/8ac9cae79f735bef473520c4675e666eb99f6820", "8ac9cae79f735bef473520c4675e666eb99f6820")</f>
        <v>0</v>
      </c>
      <c r="D438" t="s">
        <v>4941</v>
      </c>
      <c r="E438" t="s">
        <v>5891</v>
      </c>
      <c r="F438" t="s">
        <v>10675</v>
      </c>
      <c r="G438" t="s">
        <v>15075</v>
      </c>
      <c r="H438" t="s">
        <v>19055</v>
      </c>
    </row>
    <row r="439" spans="1:8">
      <c r="H439" t="s">
        <v>19056</v>
      </c>
    </row>
    <row r="440" spans="1:8">
      <c r="A440" t="s">
        <v>92</v>
      </c>
      <c r="B440">
        <f>HYPERLINK("https://android.googlesource.com/platform/cts/+/a9a6e570a21f388319d608353dfaccf8a57051b7", "a9a6e570a21f388319d608353dfaccf8a57051b7")</f>
        <v>0</v>
      </c>
      <c r="C440">
        <f>HYPERLINK("https://android.googlesource.com/platform/cts/+/20622a8f2a2a29d2ff81e02aa28c0cf37b34ea56", "20622a8f2a2a29d2ff81e02aa28c0cf37b34ea56")</f>
        <v>0</v>
      </c>
      <c r="D440" t="s">
        <v>4940</v>
      </c>
      <c r="E440" t="s">
        <v>5892</v>
      </c>
      <c r="F440" t="s">
        <v>10670</v>
      </c>
      <c r="G440" t="s">
        <v>15029</v>
      </c>
      <c r="H440" t="s">
        <v>19057</v>
      </c>
    </row>
    <row r="441" spans="1:8">
      <c r="A441" t="s">
        <v>93</v>
      </c>
      <c r="B441">
        <f>HYPERLINK("https://android.googlesource.com/platform/cts/+/df56b8fd6e80dc2d9d487b86f5b71c54314ad475", "df56b8fd6e80dc2d9d487b86f5b71c54314ad475")</f>
        <v>0</v>
      </c>
      <c r="C441">
        <f>HYPERLINK("https://android.googlesource.com/platform/cts/+/33d66d69997986ee55b19ab216756e6df04b8fe1", "33d66d69997986ee55b19ab216756e6df04b8fe1")</f>
        <v>0</v>
      </c>
      <c r="D441" t="s">
        <v>4942</v>
      </c>
      <c r="E441" t="s">
        <v>5893</v>
      </c>
      <c r="F441" t="s">
        <v>10676</v>
      </c>
      <c r="G441" t="s">
        <v>15076</v>
      </c>
      <c r="H441" t="s">
        <v>19058</v>
      </c>
    </row>
    <row r="442" spans="1:8">
      <c r="H442" t="s">
        <v>19059</v>
      </c>
    </row>
    <row r="443" spans="1:8">
      <c r="H443" t="s">
        <v>19060</v>
      </c>
    </row>
    <row r="444" spans="1:8">
      <c r="H444" t="s">
        <v>19061</v>
      </c>
    </row>
    <row r="445" spans="1:8">
      <c r="H445" t="s">
        <v>19062</v>
      </c>
    </row>
    <row r="446" spans="1:8">
      <c r="A446" t="s">
        <v>94</v>
      </c>
      <c r="B446">
        <f>HYPERLINK("https://android.googlesource.com/platform/cts/+/0ad4bf40b2f105f372485b8fc5b83ed3c65b1ee7", "0ad4bf40b2f105f372485b8fc5b83ed3c65b1ee7")</f>
        <v>0</v>
      </c>
      <c r="C446">
        <f>HYPERLINK("https://android.googlesource.com/platform/cts/+/4bfdf82ee70de8e6fb674929cf973186d90a427c", "4bfdf82ee70de8e6fb674929cf973186d90a427c")</f>
        <v>0</v>
      </c>
      <c r="D446" t="s">
        <v>4932</v>
      </c>
      <c r="E446" t="s">
        <v>5894</v>
      </c>
      <c r="F446" t="s">
        <v>10608</v>
      </c>
      <c r="G446" t="s">
        <v>15011</v>
      </c>
      <c r="H446" t="s">
        <v>19063</v>
      </c>
    </row>
    <row r="447" spans="1:8">
      <c r="H447" t="s">
        <v>19064</v>
      </c>
    </row>
    <row r="448" spans="1:8">
      <c r="A448" t="s">
        <v>95</v>
      </c>
      <c r="B448">
        <f>HYPERLINK("https://android.googlesource.com/platform/cts/+/a202fccb97a003b35cf66f525d4963511614dae1", "a202fccb97a003b35cf66f525d4963511614dae1")</f>
        <v>0</v>
      </c>
      <c r="C448">
        <f>HYPERLINK("https://android.googlesource.com/platform/cts/+/a9629dbcc8eadddde0d4a2af6d9620bd293d2ec8", "a9629dbcc8eadddde0d4a2af6d9620bd293d2ec8")</f>
        <v>0</v>
      </c>
      <c r="D448" t="s">
        <v>4943</v>
      </c>
      <c r="E448" t="s">
        <v>5895</v>
      </c>
      <c r="F448" t="s">
        <v>10677</v>
      </c>
      <c r="G448" t="s">
        <v>15077</v>
      </c>
      <c r="H448" t="s">
        <v>18829</v>
      </c>
    </row>
    <row r="449" spans="8:8">
      <c r="H449" t="s">
        <v>19065</v>
      </c>
    </row>
    <row r="450" spans="8:8">
      <c r="H450" t="s">
        <v>19066</v>
      </c>
    </row>
    <row r="451" spans="8:8">
      <c r="H451" t="s">
        <v>19067</v>
      </c>
    </row>
    <row r="452" spans="8:8">
      <c r="H452" t="s">
        <v>19068</v>
      </c>
    </row>
    <row r="453" spans="8:8">
      <c r="H453" t="s">
        <v>19069</v>
      </c>
    </row>
    <row r="454" spans="8:8">
      <c r="H454" t="s">
        <v>19070</v>
      </c>
    </row>
    <row r="455" spans="8:8">
      <c r="H455" t="s">
        <v>19071</v>
      </c>
    </row>
    <row r="456" spans="8:8">
      <c r="H456" t="s">
        <v>19072</v>
      </c>
    </row>
    <row r="457" spans="8:8">
      <c r="H457" t="s">
        <v>19073</v>
      </c>
    </row>
    <row r="458" spans="8:8">
      <c r="H458" t="s">
        <v>19074</v>
      </c>
    </row>
    <row r="459" spans="8:8">
      <c r="H459" t="s">
        <v>19075</v>
      </c>
    </row>
    <row r="460" spans="8:8">
      <c r="H460" t="s">
        <v>19076</v>
      </c>
    </row>
    <row r="461" spans="8:8">
      <c r="H461" t="s">
        <v>18893</v>
      </c>
    </row>
    <row r="462" spans="8:8">
      <c r="H462" t="s">
        <v>18985</v>
      </c>
    </row>
    <row r="463" spans="8:8">
      <c r="H463" t="s">
        <v>19077</v>
      </c>
    </row>
    <row r="464" spans="8:8">
      <c r="H464" t="s">
        <v>19077</v>
      </c>
    </row>
    <row r="465" spans="1:8">
      <c r="H465" t="s">
        <v>19077</v>
      </c>
    </row>
    <row r="466" spans="1:8">
      <c r="H466" t="s">
        <v>19078</v>
      </c>
    </row>
    <row r="467" spans="1:8">
      <c r="H467" t="s">
        <v>19079</v>
      </c>
    </row>
    <row r="468" spans="1:8">
      <c r="H468" t="s">
        <v>19080</v>
      </c>
    </row>
    <row r="469" spans="1:8">
      <c r="H469" t="s">
        <v>19081</v>
      </c>
    </row>
    <row r="470" spans="1:8">
      <c r="H470" t="s">
        <v>19082</v>
      </c>
    </row>
    <row r="471" spans="1:8">
      <c r="H471" t="s">
        <v>19083</v>
      </c>
    </row>
    <row r="472" spans="1:8">
      <c r="A472" t="s">
        <v>96</v>
      </c>
      <c r="B472">
        <f>HYPERLINK("https://android.googlesource.com/platform/cts/+/c3f6be44cf37b33bdf0e4f66d734f73ed69c1176", "c3f6be44cf37b33bdf0e4f66d734f73ed69c1176")</f>
        <v>0</v>
      </c>
      <c r="C472">
        <f>HYPERLINK("https://android.googlesource.com/platform/cts/+/b3e3c7938d7e9e1753a592570ba3dd16ac85c799", "b3e3c7938d7e9e1753a592570ba3dd16ac85c799")</f>
        <v>0</v>
      </c>
      <c r="D472" t="s">
        <v>4940</v>
      </c>
      <c r="E472" t="s">
        <v>5896</v>
      </c>
      <c r="F472" t="s">
        <v>10670</v>
      </c>
      <c r="G472" t="s">
        <v>15029</v>
      </c>
      <c r="H472" t="s">
        <v>19084</v>
      </c>
    </row>
    <row r="473" spans="1:8">
      <c r="H473" t="s">
        <v>19085</v>
      </c>
    </row>
    <row r="474" spans="1:8">
      <c r="A474" t="s">
        <v>97</v>
      </c>
      <c r="B474">
        <f>HYPERLINK("https://android.googlesource.com/platform/cts/+/2980da2061f1ae72280bcf5074888cbea4132fc1", "2980da2061f1ae72280bcf5074888cbea4132fc1")</f>
        <v>0</v>
      </c>
      <c r="C474">
        <f>HYPERLINK("https://android.googlesource.com/platform/cts/+/90c418e81f9deb7408f5927c39ca241685b2a2dd", "90c418e81f9deb7408f5927c39ca241685b2a2dd")</f>
        <v>0</v>
      </c>
      <c r="D474" t="s">
        <v>4938</v>
      </c>
      <c r="E474" t="s">
        <v>5897</v>
      </c>
      <c r="F474" t="s">
        <v>10670</v>
      </c>
      <c r="G474" t="s">
        <v>15029</v>
      </c>
      <c r="H474" t="s">
        <v>19086</v>
      </c>
    </row>
    <row r="475" spans="1:8">
      <c r="A475" t="s">
        <v>98</v>
      </c>
      <c r="B475">
        <f>HYPERLINK("https://android.googlesource.com/platform/cts/+/d97d17a43f5bb2cc383224bc5bd0dc04c406a010", "d97d17a43f5bb2cc383224bc5bd0dc04c406a010")</f>
        <v>0</v>
      </c>
      <c r="C475">
        <f>HYPERLINK("https://android.googlesource.com/platform/cts/+/c6384c5b383ba95bf39a360d2d480b0bc915c2a4", "c6384c5b383ba95bf39a360d2d480b0bc915c2a4")</f>
        <v>0</v>
      </c>
      <c r="D475" t="s">
        <v>4944</v>
      </c>
      <c r="E475" t="s">
        <v>5898</v>
      </c>
      <c r="F475" t="s">
        <v>10678</v>
      </c>
      <c r="G475" t="s">
        <v>15078</v>
      </c>
      <c r="H475" t="s">
        <v>19087</v>
      </c>
    </row>
    <row r="476" spans="1:8">
      <c r="F476" t="s">
        <v>10679</v>
      </c>
      <c r="G476" t="s">
        <v>15079</v>
      </c>
      <c r="H476" t="s">
        <v>19088</v>
      </c>
    </row>
    <row r="477" spans="1:8">
      <c r="A477" t="s">
        <v>99</v>
      </c>
      <c r="B477">
        <f>HYPERLINK("https://android.googlesource.com/platform/cts/+/89674de7bedbd28ae02a65ca7021f3c6be71a823", "89674de7bedbd28ae02a65ca7021f3c6be71a823")</f>
        <v>0</v>
      </c>
      <c r="C477">
        <f>HYPERLINK("https://android.googlesource.com/platform/cts/+/034fce8ab87890a3800fbf1c07fbc498132e5e54", "034fce8ab87890a3800fbf1c07fbc498132e5e54")</f>
        <v>0</v>
      </c>
      <c r="D477" t="s">
        <v>4942</v>
      </c>
      <c r="E477" t="s">
        <v>5899</v>
      </c>
      <c r="F477" t="s">
        <v>10680</v>
      </c>
      <c r="G477" t="s">
        <v>15080</v>
      </c>
      <c r="H477" t="s">
        <v>19089</v>
      </c>
    </row>
    <row r="478" spans="1:8">
      <c r="H478" t="s">
        <v>19090</v>
      </c>
    </row>
    <row r="479" spans="1:8">
      <c r="F479" t="s">
        <v>10681</v>
      </c>
      <c r="G479" t="s">
        <v>15081</v>
      </c>
      <c r="H479" t="s">
        <v>19090</v>
      </c>
    </row>
    <row r="480" spans="1:8">
      <c r="H480" t="s">
        <v>19091</v>
      </c>
    </row>
    <row r="481" spans="1:8">
      <c r="H481" t="s">
        <v>19089</v>
      </c>
    </row>
    <row r="482" spans="1:8">
      <c r="H482" t="s">
        <v>19092</v>
      </c>
    </row>
    <row r="483" spans="1:8">
      <c r="A483" t="s">
        <v>100</v>
      </c>
      <c r="B483">
        <f>HYPERLINK("https://android.googlesource.com/platform/cts/+/9f7f97f235dcd2cf279e7b7297d37e5547410953", "9f7f97f235dcd2cf279e7b7297d37e5547410953")</f>
        <v>0</v>
      </c>
      <c r="C483">
        <f>HYPERLINK("https://android.googlesource.com/platform/cts/+/41e034e1a57d3eaa7f50954d0831f4b2e2220502", "41e034e1a57d3eaa7f50954d0831f4b2e2220502")</f>
        <v>0</v>
      </c>
      <c r="D483" t="s">
        <v>4940</v>
      </c>
      <c r="E483" t="s">
        <v>5900</v>
      </c>
      <c r="F483" t="s">
        <v>10670</v>
      </c>
      <c r="G483" t="s">
        <v>15029</v>
      </c>
      <c r="H483" t="s">
        <v>19093</v>
      </c>
    </row>
    <row r="484" spans="1:8">
      <c r="H484" t="s">
        <v>19094</v>
      </c>
    </row>
    <row r="485" spans="1:8">
      <c r="A485" t="s">
        <v>101</v>
      </c>
      <c r="B485">
        <f>HYPERLINK("https://android.googlesource.com/platform/cts/+/22cf08bd0066ec45b9f49c2f3a3cdce04f88fbed", "22cf08bd0066ec45b9f49c2f3a3cdce04f88fbed")</f>
        <v>0</v>
      </c>
      <c r="C485">
        <f>HYPERLINK("https://android.googlesource.com/platform/cts/+/83a4a1c6a6afafeddb1b4e38a012dc66b09f3a53", "83a4a1c6a6afafeddb1b4e38a012dc66b09f3a53")</f>
        <v>0</v>
      </c>
      <c r="D485" t="s">
        <v>4932</v>
      </c>
      <c r="E485" t="s">
        <v>5901</v>
      </c>
      <c r="F485" t="s">
        <v>10609</v>
      </c>
      <c r="G485" t="s">
        <v>15012</v>
      </c>
      <c r="H485" t="s">
        <v>19095</v>
      </c>
    </row>
    <row r="486" spans="1:8">
      <c r="H486" t="s">
        <v>19096</v>
      </c>
    </row>
    <row r="487" spans="1:8">
      <c r="A487" t="s">
        <v>102</v>
      </c>
      <c r="B487">
        <f>HYPERLINK("https://android.googlesource.com/platform/cts/+/5330f43e4f8c4abd48c7f0144e80d891cb79b91a", "5330f43e4f8c4abd48c7f0144e80d891cb79b91a")</f>
        <v>0</v>
      </c>
      <c r="C487">
        <f>HYPERLINK("https://android.googlesource.com/platform/cts/+/f3d68730ed04f048ebd57a565f4a998c46aabb16", "f3d68730ed04f048ebd57a565f4a998c46aabb16")</f>
        <v>0</v>
      </c>
      <c r="D487" t="s">
        <v>4937</v>
      </c>
      <c r="E487" t="s">
        <v>5902</v>
      </c>
      <c r="F487" t="s">
        <v>10682</v>
      </c>
      <c r="G487" t="s">
        <v>15082</v>
      </c>
      <c r="H487" t="s">
        <v>19097</v>
      </c>
    </row>
    <row r="488" spans="1:8">
      <c r="A488" t="s">
        <v>103</v>
      </c>
      <c r="B488">
        <f>HYPERLINK("https://android.googlesource.com/platform/cts/+/f4a9816ed3b4df7905e8296aa982fe71d0d966b1", "f4a9816ed3b4df7905e8296aa982fe71d0d966b1")</f>
        <v>0</v>
      </c>
      <c r="C488">
        <f>HYPERLINK("https://android.googlesource.com/platform/cts/+/9b142b215920ff6df98c2d114f796476a2f8e290", "9b142b215920ff6df98c2d114f796476a2f8e290")</f>
        <v>0</v>
      </c>
      <c r="D488" t="s">
        <v>4928</v>
      </c>
      <c r="E488" t="s">
        <v>5903</v>
      </c>
      <c r="F488" t="s">
        <v>10683</v>
      </c>
      <c r="G488" t="s">
        <v>15083</v>
      </c>
      <c r="H488" t="s">
        <v>19098</v>
      </c>
    </row>
    <row r="489" spans="1:8">
      <c r="F489" t="s">
        <v>10684</v>
      </c>
      <c r="G489" t="s">
        <v>15084</v>
      </c>
      <c r="H489" t="s">
        <v>19098</v>
      </c>
    </row>
    <row r="490" spans="1:8">
      <c r="A490" t="s">
        <v>104</v>
      </c>
      <c r="B490">
        <f>HYPERLINK("https://android.googlesource.com/platform/cts/+/3b3a92fec3aff9c20510b6e8703714164589ce26", "3b3a92fec3aff9c20510b6e8703714164589ce26")</f>
        <v>0</v>
      </c>
      <c r="C490">
        <f>HYPERLINK("https://android.googlesource.com/platform/cts/+/0f33a087b88c03b7b3f9fce146ae7251987936d2", "0f33a087b88c03b7b3f9fce146ae7251987936d2")</f>
        <v>0</v>
      </c>
      <c r="D490" t="s">
        <v>4937</v>
      </c>
      <c r="E490" t="s">
        <v>5904</v>
      </c>
      <c r="F490" t="s">
        <v>10685</v>
      </c>
      <c r="G490" t="s">
        <v>15085</v>
      </c>
      <c r="H490" t="s">
        <v>19099</v>
      </c>
    </row>
    <row r="491" spans="1:8">
      <c r="A491" t="s">
        <v>105</v>
      </c>
      <c r="B491">
        <f>HYPERLINK("https://android.googlesource.com/platform/cts/+/80b0625e9cf342c8bdc7eedb67cccc1f88131992", "80b0625e9cf342c8bdc7eedb67cccc1f88131992")</f>
        <v>0</v>
      </c>
      <c r="C491">
        <f>HYPERLINK("https://android.googlesource.com/platform/cts/+/213bcbfc082996cfd5096e6a67d3a160e0c46da1", "213bcbfc082996cfd5096e6a67d3a160e0c46da1")</f>
        <v>0</v>
      </c>
      <c r="D491" t="s">
        <v>4937</v>
      </c>
      <c r="E491" t="s">
        <v>5905</v>
      </c>
      <c r="F491" t="s">
        <v>10669</v>
      </c>
      <c r="G491" t="s">
        <v>15070</v>
      </c>
      <c r="H491" t="s">
        <v>19100</v>
      </c>
    </row>
    <row r="492" spans="1:8">
      <c r="H492" t="s">
        <v>19101</v>
      </c>
    </row>
    <row r="493" spans="1:8">
      <c r="H493" t="s">
        <v>19102</v>
      </c>
    </row>
    <row r="494" spans="1:8">
      <c r="H494" t="s">
        <v>19103</v>
      </c>
    </row>
    <row r="495" spans="1:8">
      <c r="H495" t="s">
        <v>19104</v>
      </c>
    </row>
    <row r="496" spans="1:8">
      <c r="A496" t="s">
        <v>106</v>
      </c>
      <c r="B496">
        <f>HYPERLINK("https://android.googlesource.com/platform/cts/+/622c658f450fa016b356756f90ab8911e6f2ab5d", "622c658f450fa016b356756f90ab8911e6f2ab5d")</f>
        <v>0</v>
      </c>
      <c r="C496">
        <f>HYPERLINK("https://android.googlesource.com/platform/cts/+/e9532898011d556124ec843b98fe8728f8e13fee", "e9532898011d556124ec843b98fe8728f8e13fee")</f>
        <v>0</v>
      </c>
      <c r="D496" t="s">
        <v>4942</v>
      </c>
      <c r="E496" t="s">
        <v>5906</v>
      </c>
      <c r="F496" t="s">
        <v>10608</v>
      </c>
      <c r="G496" t="s">
        <v>15011</v>
      </c>
      <c r="H496" t="s">
        <v>19095</v>
      </c>
    </row>
    <row r="497" spans="1:8">
      <c r="H497" t="s">
        <v>19096</v>
      </c>
    </row>
    <row r="498" spans="1:8">
      <c r="A498" t="s">
        <v>107</v>
      </c>
      <c r="B498">
        <f>HYPERLINK("https://android.googlesource.com/platform/cts/+/c7e6aa6a50525ee2141ebe1295b3c869e86b11cf", "c7e6aa6a50525ee2141ebe1295b3c869e86b11cf")</f>
        <v>0</v>
      </c>
      <c r="C498">
        <f>HYPERLINK("https://android.googlesource.com/platform/cts/+/b8ed3162600d30f6d32bdf906ebb9d5fed7a6e8b", "b8ed3162600d30f6d32bdf906ebb9d5fed7a6e8b")</f>
        <v>0</v>
      </c>
      <c r="D498" t="s">
        <v>4942</v>
      </c>
      <c r="E498" t="s">
        <v>5907</v>
      </c>
      <c r="F498" t="s">
        <v>10686</v>
      </c>
      <c r="G498" t="s">
        <v>15086</v>
      </c>
      <c r="H498" t="s">
        <v>18863</v>
      </c>
    </row>
    <row r="499" spans="1:8">
      <c r="A499" t="s">
        <v>108</v>
      </c>
      <c r="B499">
        <f>HYPERLINK("https://android.googlesource.com/platform/cts/+/1ffbfd48e1b44705e8ca2d2144af3fcb1a1cbf50", "1ffbfd48e1b44705e8ca2d2144af3fcb1a1cbf50")</f>
        <v>0</v>
      </c>
      <c r="C499">
        <f>HYPERLINK("https://android.googlesource.com/platform/cts/+/7776a103edc09f567ffc8496f6b94edbd9f9d183", "7776a103edc09f567ffc8496f6b94edbd9f9d183")</f>
        <v>0</v>
      </c>
      <c r="D499" t="s">
        <v>4942</v>
      </c>
      <c r="E499" t="s">
        <v>5908</v>
      </c>
      <c r="F499" t="s">
        <v>10687</v>
      </c>
      <c r="G499" t="s">
        <v>15087</v>
      </c>
      <c r="H499" t="s">
        <v>19105</v>
      </c>
    </row>
    <row r="500" spans="1:8">
      <c r="H500" t="s">
        <v>19106</v>
      </c>
    </row>
    <row r="501" spans="1:8">
      <c r="H501" t="s">
        <v>18893</v>
      </c>
    </row>
    <row r="502" spans="1:8">
      <c r="H502" t="s">
        <v>19107</v>
      </c>
    </row>
    <row r="503" spans="1:8">
      <c r="A503" t="s">
        <v>109</v>
      </c>
      <c r="B503">
        <f>HYPERLINK("https://android.googlesource.com/platform/cts/+/542d74c7677830fde06c2dc1e21397b241c5ca3c", "542d74c7677830fde06c2dc1e21397b241c5ca3c")</f>
        <v>0</v>
      </c>
      <c r="C503">
        <f>HYPERLINK("https://android.googlesource.com/platform/cts/+/1842a6238ce349ce5c610b43542cfc94cf6b078b", "1842a6238ce349ce5c610b43542cfc94cf6b078b")</f>
        <v>0</v>
      </c>
      <c r="D503" t="s">
        <v>4937</v>
      </c>
      <c r="E503" t="s">
        <v>5909</v>
      </c>
      <c r="F503" t="s">
        <v>10682</v>
      </c>
      <c r="G503" t="s">
        <v>15082</v>
      </c>
      <c r="H503" t="s">
        <v>19108</v>
      </c>
    </row>
    <row r="504" spans="1:8">
      <c r="H504" t="s">
        <v>19109</v>
      </c>
    </row>
    <row r="505" spans="1:8">
      <c r="A505" t="s">
        <v>110</v>
      </c>
      <c r="B505">
        <f>HYPERLINK("https://android.googlesource.com/platform/cts/+/f176eafe119e8065c29f6eb99d62d01274581174", "f176eafe119e8065c29f6eb99d62d01274581174")</f>
        <v>0</v>
      </c>
      <c r="C505">
        <f>HYPERLINK("https://android.googlesource.com/platform/cts/+/7ee6163b6a1a2cd0565f59b87c4b121df205443d", "7ee6163b6a1a2cd0565f59b87c4b121df205443d")</f>
        <v>0</v>
      </c>
      <c r="D505" t="s">
        <v>4945</v>
      </c>
      <c r="E505" t="s">
        <v>5910</v>
      </c>
      <c r="F505" t="s">
        <v>10680</v>
      </c>
      <c r="G505" t="s">
        <v>15080</v>
      </c>
      <c r="H505" t="s">
        <v>19089</v>
      </c>
    </row>
    <row r="506" spans="1:8">
      <c r="H506" t="s">
        <v>19090</v>
      </c>
    </row>
    <row r="507" spans="1:8">
      <c r="F507" t="s">
        <v>10676</v>
      </c>
      <c r="G507" t="s">
        <v>15076</v>
      </c>
      <c r="H507" t="s">
        <v>19058</v>
      </c>
    </row>
    <row r="508" spans="1:8">
      <c r="H508" t="s">
        <v>19059</v>
      </c>
    </row>
    <row r="509" spans="1:8">
      <c r="H509" t="s">
        <v>19060</v>
      </c>
    </row>
    <row r="510" spans="1:8">
      <c r="H510" t="s">
        <v>19061</v>
      </c>
    </row>
    <row r="511" spans="1:8">
      <c r="H511" t="s">
        <v>19062</v>
      </c>
    </row>
    <row r="512" spans="1:8">
      <c r="F512" t="s">
        <v>10681</v>
      </c>
      <c r="G512" t="s">
        <v>15081</v>
      </c>
      <c r="H512" t="s">
        <v>19090</v>
      </c>
    </row>
    <row r="513" spans="1:8">
      <c r="H513" t="s">
        <v>19091</v>
      </c>
    </row>
    <row r="514" spans="1:8">
      <c r="H514" t="s">
        <v>19089</v>
      </c>
    </row>
    <row r="515" spans="1:8">
      <c r="H515" t="s">
        <v>19092</v>
      </c>
    </row>
    <row r="516" spans="1:8">
      <c r="A516" t="s">
        <v>111</v>
      </c>
      <c r="B516">
        <f>HYPERLINK("https://android.googlesource.com/platform/cts/+/1de71445eac60f563f5098ba86b7a892be7d34cb", "1de71445eac60f563f5098ba86b7a892be7d34cb")</f>
        <v>0</v>
      </c>
      <c r="C516">
        <f>HYPERLINK("https://android.googlesource.com/platform/cts/+/dc92005f7fca6ee665d76bef2cf56d1e12cb5993", "dc92005f7fca6ee665d76bef2cf56d1e12cb5993")</f>
        <v>0</v>
      </c>
      <c r="D516" t="s">
        <v>4942</v>
      </c>
      <c r="E516" t="s">
        <v>5911</v>
      </c>
      <c r="F516" t="s">
        <v>10688</v>
      </c>
      <c r="G516" t="s">
        <v>15088</v>
      </c>
      <c r="H516" t="s">
        <v>19110</v>
      </c>
    </row>
    <row r="517" spans="1:8">
      <c r="H517" t="s">
        <v>19111</v>
      </c>
    </row>
    <row r="518" spans="1:8">
      <c r="H518" t="s">
        <v>19112</v>
      </c>
    </row>
    <row r="519" spans="1:8">
      <c r="F519" t="s">
        <v>10689</v>
      </c>
      <c r="G519" t="s">
        <v>15089</v>
      </c>
      <c r="H519" t="s">
        <v>19113</v>
      </c>
    </row>
    <row r="520" spans="1:8">
      <c r="H520" t="s">
        <v>19114</v>
      </c>
    </row>
    <row r="521" spans="1:8">
      <c r="A521" t="s">
        <v>112</v>
      </c>
      <c r="B521">
        <f>HYPERLINK("https://android.googlesource.com/platform/cts/+/eac6cf4a3984ac8503794d24f54eda6282f037a5", "eac6cf4a3984ac8503794d24f54eda6282f037a5")</f>
        <v>0</v>
      </c>
      <c r="C521">
        <f>HYPERLINK("https://android.googlesource.com/platform/cts/+/23ada699c007cca6183b86dba8d563cc6f35e8dd", "23ada699c007cca6183b86dba8d563cc6f35e8dd")</f>
        <v>0</v>
      </c>
      <c r="D521" t="s">
        <v>4946</v>
      </c>
      <c r="E521" t="s">
        <v>5912</v>
      </c>
      <c r="F521" t="s">
        <v>10627</v>
      </c>
      <c r="G521" t="s">
        <v>15030</v>
      </c>
      <c r="H521" t="s">
        <v>19115</v>
      </c>
    </row>
    <row r="522" spans="1:8">
      <c r="H522" t="s">
        <v>19116</v>
      </c>
    </row>
    <row r="523" spans="1:8">
      <c r="H523" t="s">
        <v>19117</v>
      </c>
    </row>
    <row r="524" spans="1:8">
      <c r="A524" t="s">
        <v>113</v>
      </c>
      <c r="B524">
        <f>HYPERLINK("https://android.googlesource.com/platform/cts/+/fa6eb9e0cfdb6e4af6aa1e47f271ec04162feb83", "fa6eb9e0cfdb6e4af6aa1e47f271ec04162feb83")</f>
        <v>0</v>
      </c>
      <c r="C524">
        <f>HYPERLINK("https://android.googlesource.com/platform/cts/+/4ac2b06c8cb4128d7d6d9d6464accbb90208161b", "4ac2b06c8cb4128d7d6d9d6464accbb90208161b")</f>
        <v>0</v>
      </c>
      <c r="D524" t="s">
        <v>4947</v>
      </c>
      <c r="E524" t="s">
        <v>5913</v>
      </c>
      <c r="F524" t="s">
        <v>10690</v>
      </c>
      <c r="G524" t="s">
        <v>15090</v>
      </c>
      <c r="H524" t="s">
        <v>19118</v>
      </c>
    </row>
    <row r="525" spans="1:8">
      <c r="A525" t="s">
        <v>114</v>
      </c>
      <c r="B525">
        <f>HYPERLINK("https://android.googlesource.com/platform/cts/+/ac0073708acb7a7f6060189a71c4343092a64229", "ac0073708acb7a7f6060189a71c4343092a64229")</f>
        <v>0</v>
      </c>
      <c r="C525">
        <f>HYPERLINK("https://android.googlesource.com/platform/cts/+/bd7116f6d8917718675b670e41a7e6d76cf67f1c", "bd7116f6d8917718675b670e41a7e6d76cf67f1c")</f>
        <v>0</v>
      </c>
      <c r="D525" t="s">
        <v>4942</v>
      </c>
      <c r="E525" t="s">
        <v>5914</v>
      </c>
      <c r="F525" t="s">
        <v>10691</v>
      </c>
      <c r="G525" t="s">
        <v>15091</v>
      </c>
      <c r="H525" t="s">
        <v>19119</v>
      </c>
    </row>
    <row r="526" spans="1:8">
      <c r="H526" t="s">
        <v>19120</v>
      </c>
    </row>
    <row r="527" spans="1:8">
      <c r="H527" t="s">
        <v>19121</v>
      </c>
    </row>
    <row r="528" spans="1:8">
      <c r="H528" t="s">
        <v>19122</v>
      </c>
    </row>
    <row r="529" spans="1:8">
      <c r="H529" t="s">
        <v>19123</v>
      </c>
    </row>
    <row r="530" spans="1:8">
      <c r="H530" t="s">
        <v>19124</v>
      </c>
    </row>
    <row r="531" spans="1:8">
      <c r="H531" t="s">
        <v>19125</v>
      </c>
    </row>
    <row r="532" spans="1:8">
      <c r="H532" t="s">
        <v>19126</v>
      </c>
    </row>
    <row r="533" spans="1:8">
      <c r="H533" t="s">
        <v>19127</v>
      </c>
    </row>
    <row r="534" spans="1:8">
      <c r="H534" t="s">
        <v>19128</v>
      </c>
    </row>
    <row r="535" spans="1:8">
      <c r="H535" t="s">
        <v>19129</v>
      </c>
    </row>
    <row r="536" spans="1:8">
      <c r="H536" t="s">
        <v>19130</v>
      </c>
    </row>
    <row r="537" spans="1:8">
      <c r="H537" t="s">
        <v>19131</v>
      </c>
    </row>
    <row r="538" spans="1:8">
      <c r="H538" t="s">
        <v>19132</v>
      </c>
    </row>
    <row r="539" spans="1:8">
      <c r="H539" t="s">
        <v>19133</v>
      </c>
    </row>
    <row r="540" spans="1:8">
      <c r="H540" t="s">
        <v>19134</v>
      </c>
    </row>
    <row r="541" spans="1:8">
      <c r="H541" t="s">
        <v>19135</v>
      </c>
    </row>
    <row r="542" spans="1:8">
      <c r="H542" t="s">
        <v>19136</v>
      </c>
    </row>
    <row r="543" spans="1:8">
      <c r="F543" t="s">
        <v>10692</v>
      </c>
      <c r="G543" t="s">
        <v>15092</v>
      </c>
      <c r="H543" t="s">
        <v>19137</v>
      </c>
    </row>
    <row r="544" spans="1:8">
      <c r="A544" t="s">
        <v>115</v>
      </c>
      <c r="B544">
        <f>HYPERLINK("https://android.googlesource.com/platform/cts/+/214bcdba0dd3fca2db5a69eebfd56bd453786f54", "214bcdba0dd3fca2db5a69eebfd56bd453786f54")</f>
        <v>0</v>
      </c>
      <c r="C544">
        <f>HYPERLINK("https://android.googlesource.com/platform/cts/+/d77ea9ba42095ac336fbef72f5f638a92a7bac9f", "d77ea9ba42095ac336fbef72f5f638a92a7bac9f")</f>
        <v>0</v>
      </c>
      <c r="D544" t="s">
        <v>4928</v>
      </c>
      <c r="E544" t="s">
        <v>5915</v>
      </c>
      <c r="F544" t="s">
        <v>10693</v>
      </c>
      <c r="G544" t="s">
        <v>15093</v>
      </c>
      <c r="H544" t="s">
        <v>19138</v>
      </c>
    </row>
    <row r="545" spans="1:8">
      <c r="H545" t="s">
        <v>19139</v>
      </c>
    </row>
    <row r="546" spans="1:8">
      <c r="H546" t="s">
        <v>19140</v>
      </c>
    </row>
    <row r="547" spans="1:8">
      <c r="H547" t="s">
        <v>19141</v>
      </c>
    </row>
    <row r="548" spans="1:8">
      <c r="H548" t="s">
        <v>19142</v>
      </c>
    </row>
    <row r="549" spans="1:8">
      <c r="H549" t="s">
        <v>19143</v>
      </c>
    </row>
    <row r="550" spans="1:8">
      <c r="A550" t="s">
        <v>116</v>
      </c>
      <c r="B550">
        <f>HYPERLINK("https://android.googlesource.com/platform/cts/+/feb81e9679e98460efe46fc578617ef0c6b85c14", "feb81e9679e98460efe46fc578617ef0c6b85c14")</f>
        <v>0</v>
      </c>
      <c r="C550">
        <f>HYPERLINK("https://android.googlesource.com/platform/cts/+/c55ff2cedf2c29f7d6ffe89691a56c6c6e1a5e3b", "c55ff2cedf2c29f7d6ffe89691a56c6c6e1a5e3b")</f>
        <v>0</v>
      </c>
      <c r="D550" t="s">
        <v>4942</v>
      </c>
      <c r="E550" t="s">
        <v>5916</v>
      </c>
      <c r="F550" t="s">
        <v>10689</v>
      </c>
      <c r="G550" t="s">
        <v>15089</v>
      </c>
      <c r="H550" t="s">
        <v>19144</v>
      </c>
    </row>
    <row r="551" spans="1:8">
      <c r="A551" t="s">
        <v>117</v>
      </c>
      <c r="B551">
        <f>HYPERLINK("https://android.googlesource.com/platform/cts/+/8ff01200e79a2f59866844f0399b495d4b6b4bda", "8ff01200e79a2f59866844f0399b495d4b6b4bda")</f>
        <v>0</v>
      </c>
      <c r="C551">
        <f>HYPERLINK("https://android.googlesource.com/platform/cts/+/faab38e3d90f5c95652c6184e433c909a9743a20", "faab38e3d90f5c95652c6184e433c909a9743a20")</f>
        <v>0</v>
      </c>
      <c r="D551" t="s">
        <v>4931</v>
      </c>
      <c r="E551" t="s">
        <v>5917</v>
      </c>
      <c r="F551" t="s">
        <v>10694</v>
      </c>
      <c r="G551" t="s">
        <v>15094</v>
      </c>
      <c r="H551" t="s">
        <v>19145</v>
      </c>
    </row>
    <row r="552" spans="1:8">
      <c r="H552" t="s">
        <v>19146</v>
      </c>
    </row>
    <row r="553" spans="1:8">
      <c r="A553" t="s">
        <v>118</v>
      </c>
      <c r="B553">
        <f>HYPERLINK("https://android.googlesource.com/platform/cts/+/1d653d3c3c1defe94263639d87a6d136288a7d17", "1d653d3c3c1defe94263639d87a6d136288a7d17")</f>
        <v>0</v>
      </c>
      <c r="C553">
        <f>HYPERLINK("https://android.googlesource.com/platform/cts/+/92b94fcea99b79afdb30abba068bd173d7fb2d35", "92b94fcea99b79afdb30abba068bd173d7fb2d35")</f>
        <v>0</v>
      </c>
      <c r="D553" t="s">
        <v>4942</v>
      </c>
      <c r="E553" t="s">
        <v>5918</v>
      </c>
      <c r="F553" t="s">
        <v>10695</v>
      </c>
      <c r="G553" t="s">
        <v>15095</v>
      </c>
      <c r="H553" t="s">
        <v>19147</v>
      </c>
    </row>
    <row r="554" spans="1:8">
      <c r="A554" t="s">
        <v>119</v>
      </c>
      <c r="B554">
        <f>HYPERLINK("https://android.googlesource.com/platform/cts/+/753fe8d8ad2e6b88ab26fe405097bb3c22acca4d", "753fe8d8ad2e6b88ab26fe405097bb3c22acca4d")</f>
        <v>0</v>
      </c>
      <c r="C554">
        <f>HYPERLINK("https://android.googlesource.com/platform/cts/+/00e9acdd8d3f360b43963d5deb509239dd6be3f6", "00e9acdd8d3f360b43963d5deb509239dd6be3f6")</f>
        <v>0</v>
      </c>
      <c r="D554" t="s">
        <v>4942</v>
      </c>
      <c r="E554" t="s">
        <v>5919</v>
      </c>
      <c r="F554" t="s">
        <v>10695</v>
      </c>
      <c r="G554" t="s">
        <v>15095</v>
      </c>
      <c r="H554" t="s">
        <v>19147</v>
      </c>
    </row>
    <row r="555" spans="1:8">
      <c r="A555" t="s">
        <v>120</v>
      </c>
      <c r="B555">
        <f>HYPERLINK("https://android.googlesource.com/platform/cts/+/3f0ef587c512b19900b4d2c74f845f46815f14e1", "3f0ef587c512b19900b4d2c74f845f46815f14e1")</f>
        <v>0</v>
      </c>
      <c r="C555">
        <f>HYPERLINK("https://android.googlesource.com/platform/cts/+/bc9f17789ed0b12892920646b642161cf2a279fc", "bc9f17789ed0b12892920646b642161cf2a279fc")</f>
        <v>0</v>
      </c>
      <c r="D555" t="s">
        <v>4937</v>
      </c>
      <c r="E555" t="s">
        <v>5920</v>
      </c>
      <c r="F555" t="s">
        <v>10682</v>
      </c>
      <c r="G555" t="s">
        <v>15082</v>
      </c>
      <c r="H555" t="s">
        <v>19148</v>
      </c>
    </row>
    <row r="556" spans="1:8">
      <c r="A556" t="s">
        <v>121</v>
      </c>
      <c r="B556">
        <f>HYPERLINK("https://android.googlesource.com/platform/cts/+/de5f210b51106f21d207093f84b7d15d60820a18", "de5f210b51106f21d207093f84b7d15d60820a18")</f>
        <v>0</v>
      </c>
      <c r="C556">
        <f>HYPERLINK("https://android.googlesource.com/platform/cts/+/e9937f907133c2411ff5350f050b4afd15d84080", "e9937f907133c2411ff5350f050b4afd15d84080")</f>
        <v>0</v>
      </c>
      <c r="D556" t="s">
        <v>4942</v>
      </c>
      <c r="E556" t="s">
        <v>5921</v>
      </c>
      <c r="F556" t="s">
        <v>10689</v>
      </c>
      <c r="G556" t="s">
        <v>15089</v>
      </c>
      <c r="H556" t="s">
        <v>19149</v>
      </c>
    </row>
    <row r="557" spans="1:8">
      <c r="A557" t="s">
        <v>122</v>
      </c>
      <c r="B557">
        <f>HYPERLINK("https://android.googlesource.com/platform/cts/+/84310aad87a2a39ba1685ef2e57e0791423db2ce", "84310aad87a2a39ba1685ef2e57e0791423db2ce")</f>
        <v>0</v>
      </c>
      <c r="C557">
        <f>HYPERLINK("https://android.googlesource.com/platform/cts/+/c74cd3092397bbdc943ddc61cf2f67b6b4aee1e5", "c74cd3092397bbdc943ddc61cf2f67b6b4aee1e5")</f>
        <v>0</v>
      </c>
      <c r="D557" t="s">
        <v>4928</v>
      </c>
      <c r="E557" t="s">
        <v>5922</v>
      </c>
      <c r="F557" t="s">
        <v>10693</v>
      </c>
      <c r="G557" t="s">
        <v>15093</v>
      </c>
      <c r="H557" t="s">
        <v>19150</v>
      </c>
    </row>
    <row r="558" spans="1:8">
      <c r="H558" t="s">
        <v>19151</v>
      </c>
    </row>
    <row r="559" spans="1:8">
      <c r="H559" t="s">
        <v>19152</v>
      </c>
    </row>
    <row r="560" spans="1:8">
      <c r="H560" t="s">
        <v>19153</v>
      </c>
    </row>
    <row r="561" spans="1:8">
      <c r="H561" t="s">
        <v>19154</v>
      </c>
    </row>
    <row r="562" spans="1:8">
      <c r="H562" t="s">
        <v>19155</v>
      </c>
    </row>
    <row r="563" spans="1:8">
      <c r="H563" t="s">
        <v>19156</v>
      </c>
    </row>
    <row r="564" spans="1:8">
      <c r="H564" t="s">
        <v>19157</v>
      </c>
    </row>
    <row r="565" spans="1:8">
      <c r="A565" t="s">
        <v>123</v>
      </c>
      <c r="B565">
        <f>HYPERLINK("https://android.googlesource.com/platform/cts/+/2ad016d3bf341035104b8cf241b3d691642a0fab", "2ad016d3bf341035104b8cf241b3d691642a0fab")</f>
        <v>0</v>
      </c>
      <c r="C565">
        <f>HYPERLINK("https://android.googlesource.com/platform/cts/+/0285262b1086fac2892ac0cd4023cece6070ff31", "0285262b1086fac2892ac0cd4023cece6070ff31")</f>
        <v>0</v>
      </c>
      <c r="D565" t="s">
        <v>4942</v>
      </c>
      <c r="E565" t="s">
        <v>5923</v>
      </c>
      <c r="F565" t="s">
        <v>10689</v>
      </c>
      <c r="G565" t="s">
        <v>15089</v>
      </c>
      <c r="H565" t="s">
        <v>19144</v>
      </c>
    </row>
    <row r="566" spans="1:8">
      <c r="H566" t="s">
        <v>19149</v>
      </c>
    </row>
    <row r="567" spans="1:8">
      <c r="A567" t="s">
        <v>124</v>
      </c>
      <c r="B567">
        <f>HYPERLINK("https://android.googlesource.com/platform/cts/+/8ff4fa9b074b6c3daec910079124857e6f070ff4", "8ff4fa9b074b6c3daec910079124857e6f070ff4")</f>
        <v>0</v>
      </c>
      <c r="C567">
        <f>HYPERLINK("https://android.googlesource.com/platform/cts/+/4d6abcf29caa73462ffcc49a3cdaa27e8943b2e9", "4d6abcf29caa73462ffcc49a3cdaa27e8943b2e9")</f>
        <v>0</v>
      </c>
      <c r="D567" t="s">
        <v>4940</v>
      </c>
      <c r="E567" t="s">
        <v>5924</v>
      </c>
      <c r="F567" t="s">
        <v>10670</v>
      </c>
      <c r="G567" t="s">
        <v>15029</v>
      </c>
      <c r="H567" t="s">
        <v>19158</v>
      </c>
    </row>
    <row r="568" spans="1:8">
      <c r="A568" t="s">
        <v>125</v>
      </c>
      <c r="B568">
        <f>HYPERLINK("https://android.googlesource.com/platform/cts/+/450e99ae682d860d25a178be72fa0abf53ddf3e6", "450e99ae682d860d25a178be72fa0abf53ddf3e6")</f>
        <v>0</v>
      </c>
      <c r="C568">
        <f>HYPERLINK("https://android.googlesource.com/platform/cts/+/5248dea95549ed3b7607c76e6c76185771ddda9d", "5248dea95549ed3b7607c76e6c76185771ddda9d")</f>
        <v>0</v>
      </c>
      <c r="D568" t="s">
        <v>4932</v>
      </c>
      <c r="E568" t="s">
        <v>5925</v>
      </c>
      <c r="F568" t="s">
        <v>10696</v>
      </c>
      <c r="G568" t="s">
        <v>15096</v>
      </c>
      <c r="H568" t="s">
        <v>19159</v>
      </c>
    </row>
    <row r="569" spans="1:8">
      <c r="A569" t="s">
        <v>126</v>
      </c>
      <c r="B569">
        <f>HYPERLINK("https://android.googlesource.com/platform/cts/+/deef330158a6e3a94bbc13a97f892ad08386091b", "deef330158a6e3a94bbc13a97f892ad08386091b")</f>
        <v>0</v>
      </c>
      <c r="C569">
        <f>HYPERLINK("https://android.googlesource.com/platform/cts/+/0bb0f8bcf30ee2915ea5f25c49912b382d1e44e5", "0bb0f8bcf30ee2915ea5f25c49912b382d1e44e5")</f>
        <v>0</v>
      </c>
      <c r="D569" t="s">
        <v>4932</v>
      </c>
      <c r="E569" t="s">
        <v>5926</v>
      </c>
      <c r="F569" t="s">
        <v>10697</v>
      </c>
      <c r="G569" t="s">
        <v>15097</v>
      </c>
      <c r="H569" t="s">
        <v>19160</v>
      </c>
    </row>
    <row r="570" spans="1:8">
      <c r="A570" t="s">
        <v>127</v>
      </c>
      <c r="B570">
        <f>HYPERLINK("https://android.googlesource.com/platform/cts/+/ac3a8afcf4292dd827c846c50f3bce0d2ee51a1c", "ac3a8afcf4292dd827c846c50f3bce0d2ee51a1c")</f>
        <v>0</v>
      </c>
      <c r="C570">
        <f>HYPERLINK("https://android.googlesource.com/platform/cts/+/119ca6e46ab088aeaeaee2f83605ab5b47169c62", "119ca6e46ab088aeaeaee2f83605ab5b47169c62")</f>
        <v>0</v>
      </c>
      <c r="D570" t="s">
        <v>4941</v>
      </c>
      <c r="E570" t="s">
        <v>5927</v>
      </c>
      <c r="F570" t="s">
        <v>10668</v>
      </c>
      <c r="G570" t="s">
        <v>15069</v>
      </c>
      <c r="H570" t="s">
        <v>19161</v>
      </c>
    </row>
    <row r="571" spans="1:8">
      <c r="A571" t="s">
        <v>128</v>
      </c>
      <c r="B571">
        <f>HYPERLINK("https://android.googlesource.com/platform/cts/+/1cb6e06af811b4d967c5dd08f19c8b8cdeedc9e8", "1cb6e06af811b4d967c5dd08f19c8b8cdeedc9e8")</f>
        <v>0</v>
      </c>
      <c r="C571">
        <f>HYPERLINK("https://android.googlesource.com/platform/cts/+/9518a7b53d9059de8f61614c88dac3eb8ed1cc52", "9518a7b53d9059de8f61614c88dac3eb8ed1cc52")</f>
        <v>0</v>
      </c>
      <c r="D571" t="s">
        <v>4941</v>
      </c>
      <c r="E571" t="s">
        <v>5928</v>
      </c>
      <c r="F571" t="s">
        <v>10687</v>
      </c>
      <c r="G571" t="s">
        <v>15087</v>
      </c>
      <c r="H571" t="s">
        <v>19162</v>
      </c>
    </row>
    <row r="572" spans="1:8">
      <c r="A572" t="s">
        <v>129</v>
      </c>
      <c r="B572">
        <f>HYPERLINK("https://android.googlesource.com/platform/cts/+/561e5e11c900b09b086bf8e40ba3d3bccc847758", "561e5e11c900b09b086bf8e40ba3d3bccc847758")</f>
        <v>0</v>
      </c>
      <c r="C572">
        <f>HYPERLINK("https://android.googlesource.com/platform/cts/+/41988d0a1ec52a13956b00df49a9a8e61ca8ebd9", "41988d0a1ec52a13956b00df49a9a8e61ca8ebd9")</f>
        <v>0</v>
      </c>
      <c r="D572" t="s">
        <v>4941</v>
      </c>
      <c r="E572" t="s">
        <v>5929</v>
      </c>
      <c r="F572" t="s">
        <v>10698</v>
      </c>
      <c r="G572" t="s">
        <v>15098</v>
      </c>
      <c r="H572" t="s">
        <v>19163</v>
      </c>
    </row>
    <row r="573" spans="1:8">
      <c r="F573" t="s">
        <v>10699</v>
      </c>
      <c r="G573" t="s">
        <v>15099</v>
      </c>
      <c r="H573" t="s">
        <v>19163</v>
      </c>
    </row>
    <row r="574" spans="1:8">
      <c r="A574" t="s">
        <v>130</v>
      </c>
      <c r="B574">
        <f>HYPERLINK("https://android.googlesource.com/platform/cts/+/d719cf92dfd46857dd90b83530b4c2f25c4f91c5", "d719cf92dfd46857dd90b83530b4c2f25c4f91c5")</f>
        <v>0</v>
      </c>
      <c r="C574">
        <f>HYPERLINK("https://android.googlesource.com/platform/cts/+/561e5e11c900b09b086bf8e40ba3d3bccc847758", "561e5e11c900b09b086bf8e40ba3d3bccc847758")</f>
        <v>0</v>
      </c>
      <c r="D574" t="s">
        <v>4941</v>
      </c>
      <c r="E574" t="s">
        <v>5930</v>
      </c>
      <c r="F574" t="s">
        <v>10699</v>
      </c>
      <c r="G574" t="s">
        <v>15099</v>
      </c>
      <c r="H574" t="s">
        <v>19164</v>
      </c>
    </row>
    <row r="575" spans="1:8">
      <c r="A575" t="s">
        <v>131</v>
      </c>
      <c r="B575">
        <f>HYPERLINK("https://android.googlesource.com/platform/cts/+/ef07f61a84dc70d668883edcbede50639038cb93", "ef07f61a84dc70d668883edcbede50639038cb93")</f>
        <v>0</v>
      </c>
      <c r="C575">
        <f>HYPERLINK("https://android.googlesource.com/platform/cts/+/61a7ca892ee196da93eb665b66622b60769da00c", "61a7ca892ee196da93eb665b66622b60769da00c")</f>
        <v>0</v>
      </c>
      <c r="D575" t="s">
        <v>4941</v>
      </c>
      <c r="E575" t="s">
        <v>5931</v>
      </c>
      <c r="F575" t="s">
        <v>10700</v>
      </c>
      <c r="G575" t="s">
        <v>15100</v>
      </c>
      <c r="H575" t="s">
        <v>19165</v>
      </c>
    </row>
    <row r="576" spans="1:8">
      <c r="A576" t="s">
        <v>132</v>
      </c>
      <c r="B576">
        <f>HYPERLINK("https://android.googlesource.com/platform/cts/+/5741ff169df32ac4e0574f6a31b9a0a6be694cc6", "5741ff169df32ac4e0574f6a31b9a0a6be694cc6")</f>
        <v>0</v>
      </c>
      <c r="C576">
        <f>HYPERLINK("https://android.googlesource.com/platform/cts/+/c9ed787529c690db70c622fb9c07a9bec1112463", "c9ed787529c690db70c622fb9c07a9bec1112463")</f>
        <v>0</v>
      </c>
      <c r="D576" t="s">
        <v>4942</v>
      </c>
      <c r="E576" t="s">
        <v>5932</v>
      </c>
      <c r="F576" t="s">
        <v>10701</v>
      </c>
      <c r="G576" t="s">
        <v>15101</v>
      </c>
      <c r="H576" t="s">
        <v>19114</v>
      </c>
    </row>
    <row r="577" spans="1:8">
      <c r="A577" t="s">
        <v>133</v>
      </c>
      <c r="B577">
        <f>HYPERLINK("https://android.googlesource.com/platform/cts/+/82d9daf8b1800ef1c7897f2cd3167b6b1920b9fa", "82d9daf8b1800ef1c7897f2cd3167b6b1920b9fa")</f>
        <v>0</v>
      </c>
      <c r="C577">
        <f>HYPERLINK("https://android.googlesource.com/platform/cts/+/c9630e6d48c67cef97e0315da6bc4bab30377d98", "c9630e6d48c67cef97e0315da6bc4bab30377d98")</f>
        <v>0</v>
      </c>
      <c r="D577" t="s">
        <v>4932</v>
      </c>
      <c r="E577" t="s">
        <v>5933</v>
      </c>
      <c r="F577" t="s">
        <v>10702</v>
      </c>
      <c r="G577" t="s">
        <v>15102</v>
      </c>
      <c r="H577" t="s">
        <v>19166</v>
      </c>
    </row>
    <row r="578" spans="1:8">
      <c r="H578" t="s">
        <v>19167</v>
      </c>
    </row>
    <row r="579" spans="1:8">
      <c r="H579" t="s">
        <v>19168</v>
      </c>
    </row>
    <row r="580" spans="1:8">
      <c r="H580" t="s">
        <v>19169</v>
      </c>
    </row>
    <row r="581" spans="1:8">
      <c r="F581" t="s">
        <v>10703</v>
      </c>
      <c r="G581" t="s">
        <v>15103</v>
      </c>
      <c r="H581" t="s">
        <v>19170</v>
      </c>
    </row>
    <row r="582" spans="1:8">
      <c r="H582" t="s">
        <v>19171</v>
      </c>
    </row>
    <row r="583" spans="1:8">
      <c r="H583" t="s">
        <v>19172</v>
      </c>
    </row>
    <row r="584" spans="1:8">
      <c r="H584" t="s">
        <v>19173</v>
      </c>
    </row>
    <row r="585" spans="1:8">
      <c r="H585" t="s">
        <v>19174</v>
      </c>
    </row>
    <row r="586" spans="1:8">
      <c r="A586" t="s">
        <v>134</v>
      </c>
      <c r="B586">
        <f>HYPERLINK("https://android.googlesource.com/platform/cts/+/11e66d0d50a730a1dc844af166eefe2c15eeaf5a", "11e66d0d50a730a1dc844af166eefe2c15eeaf5a")</f>
        <v>0</v>
      </c>
      <c r="C586">
        <f>HYPERLINK("https://android.googlesource.com/platform/cts/+/2f8435cd13a7f295d09e9e9372aff5b781b66bde", "2f8435cd13a7f295d09e9e9372aff5b781b66bde")</f>
        <v>0</v>
      </c>
      <c r="D586" t="s">
        <v>4932</v>
      </c>
      <c r="E586" t="s">
        <v>5934</v>
      </c>
      <c r="F586" t="s">
        <v>10704</v>
      </c>
      <c r="G586" t="s">
        <v>15104</v>
      </c>
      <c r="H586" t="s">
        <v>19175</v>
      </c>
    </row>
    <row r="587" spans="1:8">
      <c r="A587" t="s">
        <v>135</v>
      </c>
      <c r="B587">
        <f>HYPERLINK("https://android.googlesource.com/platform/cts/+/7567b204d44b9b2d955effc1e941ea38236a9a03", "7567b204d44b9b2d955effc1e941ea38236a9a03")</f>
        <v>0</v>
      </c>
      <c r="C587">
        <f>HYPERLINK("https://android.googlesource.com/platform/cts/+/2f8435cd13a7f295d09e9e9372aff5b781b66bde", "2f8435cd13a7f295d09e9e9372aff5b781b66bde")</f>
        <v>0</v>
      </c>
      <c r="D587" t="s">
        <v>4942</v>
      </c>
      <c r="E587" t="s">
        <v>5935</v>
      </c>
      <c r="F587" t="s">
        <v>10705</v>
      </c>
      <c r="G587" t="s">
        <v>15105</v>
      </c>
      <c r="H587" t="s">
        <v>19176</v>
      </c>
    </row>
    <row r="588" spans="1:8">
      <c r="F588" t="s">
        <v>10706</v>
      </c>
      <c r="G588" t="s">
        <v>15106</v>
      </c>
      <c r="H588" t="s">
        <v>19176</v>
      </c>
    </row>
    <row r="589" spans="1:8">
      <c r="A589" t="s">
        <v>136</v>
      </c>
      <c r="B589">
        <f>HYPERLINK("https://android.googlesource.com/platform/cts/+/7d3f6eb054534fa2bb7e7526ccba1a7affd6e197", "7d3f6eb054534fa2bb7e7526ccba1a7affd6e197")</f>
        <v>0</v>
      </c>
      <c r="C589">
        <f>HYPERLINK("https://android.googlesource.com/platform/cts/+/d508be76ff3742aa1d78744382150c1e9c7bf600", "d508be76ff3742aa1d78744382150c1e9c7bf600")</f>
        <v>0</v>
      </c>
      <c r="D589" t="s">
        <v>4942</v>
      </c>
      <c r="E589" t="s">
        <v>5936</v>
      </c>
      <c r="F589" t="s">
        <v>10707</v>
      </c>
      <c r="G589" t="s">
        <v>15104</v>
      </c>
      <c r="H589" t="s">
        <v>19175</v>
      </c>
    </row>
    <row r="590" spans="1:8">
      <c r="A590" t="s">
        <v>137</v>
      </c>
      <c r="B590">
        <f>HYPERLINK("https://android.googlesource.com/platform/cts/+/4005ea57a928432b803c268358fe9de709c65615", "4005ea57a928432b803c268358fe9de709c65615")</f>
        <v>0</v>
      </c>
      <c r="C590">
        <f>HYPERLINK("https://android.googlesource.com/platform/cts/+/48fa39dc596c026c182716675be5f4c613ee2190", "48fa39dc596c026c182716675be5f4c613ee2190")</f>
        <v>0</v>
      </c>
      <c r="D590" t="s">
        <v>4942</v>
      </c>
      <c r="E590" t="s">
        <v>5937</v>
      </c>
      <c r="F590" t="s">
        <v>10708</v>
      </c>
      <c r="G590" t="s">
        <v>15107</v>
      </c>
      <c r="H590" t="s">
        <v>19177</v>
      </c>
    </row>
    <row r="591" spans="1:8">
      <c r="F591" t="s">
        <v>10709</v>
      </c>
      <c r="G591" t="s">
        <v>15108</v>
      </c>
      <c r="H591" t="s">
        <v>19177</v>
      </c>
    </row>
    <row r="592" spans="1:8">
      <c r="F592" t="s">
        <v>10710</v>
      </c>
      <c r="G592" t="s">
        <v>15109</v>
      </c>
      <c r="H592" t="s">
        <v>19177</v>
      </c>
    </row>
    <row r="593" spans="1:8">
      <c r="F593" t="s">
        <v>10711</v>
      </c>
      <c r="G593" t="s">
        <v>15110</v>
      </c>
      <c r="H593" t="s">
        <v>19177</v>
      </c>
    </row>
    <row r="594" spans="1:8">
      <c r="A594" t="s">
        <v>138</v>
      </c>
      <c r="B594">
        <f>HYPERLINK("https://android.googlesource.com/platform/cts/+/f8c0a36cd3130cde3808790cfe5a1a31ff5807aa", "f8c0a36cd3130cde3808790cfe5a1a31ff5807aa")</f>
        <v>0</v>
      </c>
      <c r="C594">
        <f>HYPERLINK("https://android.googlesource.com/platform/cts/+/2bcf2450cc9c532a9416106565c75f10d46ecdf2", "2bcf2450cc9c532a9416106565c75f10d46ecdf2")</f>
        <v>0</v>
      </c>
      <c r="D594" t="s">
        <v>4942</v>
      </c>
      <c r="E594" t="s">
        <v>5938</v>
      </c>
      <c r="F594" t="s">
        <v>10712</v>
      </c>
      <c r="G594" t="s">
        <v>15111</v>
      </c>
      <c r="H594" t="s">
        <v>19178</v>
      </c>
    </row>
    <row r="595" spans="1:8">
      <c r="H595" t="s">
        <v>19179</v>
      </c>
    </row>
    <row r="596" spans="1:8">
      <c r="H596" t="s">
        <v>19180</v>
      </c>
    </row>
    <row r="597" spans="1:8">
      <c r="F597" t="s">
        <v>10591</v>
      </c>
      <c r="G597" t="s">
        <v>14994</v>
      </c>
      <c r="H597" t="s">
        <v>19181</v>
      </c>
    </row>
    <row r="598" spans="1:8">
      <c r="A598" t="s">
        <v>139</v>
      </c>
      <c r="B598">
        <f>HYPERLINK("https://android.googlesource.com/platform/cts/+/767651cc8c189730a7e7cc953d620cb9ef63f7e1", "767651cc8c189730a7e7cc953d620cb9ef63f7e1")</f>
        <v>0</v>
      </c>
      <c r="C598">
        <f>HYPERLINK("https://android.googlesource.com/platform/cts/+/2bcf2450cc9c532a9416106565c75f10d46ecdf2", "2bcf2450cc9c532a9416106565c75f10d46ecdf2")</f>
        <v>0</v>
      </c>
      <c r="D598" t="s">
        <v>4942</v>
      </c>
      <c r="E598" t="s">
        <v>5927</v>
      </c>
      <c r="F598" t="s">
        <v>10668</v>
      </c>
      <c r="G598" t="s">
        <v>15069</v>
      </c>
      <c r="H598" t="s">
        <v>19161</v>
      </c>
    </row>
    <row r="599" spans="1:8">
      <c r="A599" t="s">
        <v>140</v>
      </c>
      <c r="B599">
        <f>HYPERLINK("https://android.googlesource.com/platform/cts/+/1e1ceaa036e58fa23148386bf7a32d02cfc66cdd", "1e1ceaa036e58fa23148386bf7a32d02cfc66cdd")</f>
        <v>0</v>
      </c>
      <c r="C599">
        <f>HYPERLINK("https://android.googlesource.com/platform/cts/+/9807ece9ab368c44f7519c320ca0e6a9930000e8", "9807ece9ab368c44f7519c320ca0e6a9930000e8")</f>
        <v>0</v>
      </c>
      <c r="D599" t="s">
        <v>4941</v>
      </c>
      <c r="E599" t="s">
        <v>5939</v>
      </c>
      <c r="F599" t="s">
        <v>10713</v>
      </c>
      <c r="G599" t="s">
        <v>15112</v>
      </c>
      <c r="H599" t="s">
        <v>19182</v>
      </c>
    </row>
    <row r="600" spans="1:8">
      <c r="A600" t="s">
        <v>141</v>
      </c>
      <c r="B600">
        <f>HYPERLINK("https://android.googlesource.com/platform/cts/+/498494b60da0c9f3ebef24af934c23bb8b3de3b3", "498494b60da0c9f3ebef24af934c23bb8b3de3b3")</f>
        <v>0</v>
      </c>
      <c r="C600">
        <f>HYPERLINK("https://android.googlesource.com/platform/cts/+/11a052eae5264365d8641e17c5ec2830c012a9ff", "11a052eae5264365d8641e17c5ec2830c012a9ff")</f>
        <v>0</v>
      </c>
      <c r="D600" t="s">
        <v>4941</v>
      </c>
      <c r="E600" t="s">
        <v>5940</v>
      </c>
      <c r="F600" t="s">
        <v>10637</v>
      </c>
      <c r="G600" t="s">
        <v>15040</v>
      </c>
      <c r="H600" t="s">
        <v>19183</v>
      </c>
    </row>
    <row r="601" spans="1:8">
      <c r="H601" t="s">
        <v>19184</v>
      </c>
    </row>
    <row r="602" spans="1:8">
      <c r="A602" t="s">
        <v>142</v>
      </c>
      <c r="B602">
        <f>HYPERLINK("https://android.googlesource.com/platform/cts/+/113cf67f683cba95e36af06e134511b363373abe", "113cf67f683cba95e36af06e134511b363373abe")</f>
        <v>0</v>
      </c>
      <c r="C602">
        <f>HYPERLINK("https://android.googlesource.com/platform/cts/+/d4edc186d4e8f69b4967f694dc8baf28534d566b", "d4edc186d4e8f69b4967f694dc8baf28534d566b")</f>
        <v>0</v>
      </c>
      <c r="D602" t="s">
        <v>4942</v>
      </c>
      <c r="E602" t="s">
        <v>5941</v>
      </c>
      <c r="F602" t="s">
        <v>10688</v>
      </c>
      <c r="G602" t="s">
        <v>15088</v>
      </c>
      <c r="H602" t="s">
        <v>19185</v>
      </c>
    </row>
    <row r="603" spans="1:8">
      <c r="H603" t="s">
        <v>19186</v>
      </c>
    </row>
    <row r="604" spans="1:8">
      <c r="H604" t="s">
        <v>19187</v>
      </c>
    </row>
    <row r="605" spans="1:8">
      <c r="H605" t="s">
        <v>18829</v>
      </c>
    </row>
    <row r="606" spans="1:8">
      <c r="H606" t="s">
        <v>19188</v>
      </c>
    </row>
    <row r="607" spans="1:8">
      <c r="H607" t="s">
        <v>19189</v>
      </c>
    </row>
    <row r="608" spans="1:8">
      <c r="H608" t="s">
        <v>19190</v>
      </c>
    </row>
    <row r="609" spans="1:8">
      <c r="A609" t="s">
        <v>143</v>
      </c>
      <c r="B609">
        <f>HYPERLINK("https://android.googlesource.com/platform/cts/+/ecf3c313428dd20b07fd7071dda5369fdde9e1d2", "ecf3c313428dd20b07fd7071dda5369fdde9e1d2")</f>
        <v>0</v>
      </c>
      <c r="C609">
        <f>HYPERLINK("https://android.googlesource.com/platform/cts/+/377d04083e75b8d4a2e9bf2cace043740149c103", "377d04083e75b8d4a2e9bf2cace043740149c103")</f>
        <v>0</v>
      </c>
      <c r="D609" t="s">
        <v>4948</v>
      </c>
      <c r="E609" t="s">
        <v>5942</v>
      </c>
      <c r="F609" t="s">
        <v>10684</v>
      </c>
      <c r="G609" t="s">
        <v>15084</v>
      </c>
      <c r="H609" t="s">
        <v>19191</v>
      </c>
    </row>
    <row r="610" spans="1:8">
      <c r="A610" t="s">
        <v>144</v>
      </c>
      <c r="B610">
        <f>HYPERLINK("https://android.googlesource.com/platform/cts/+/8384c12edac19c20b8ffc115e2fb1c623d500e29", "8384c12edac19c20b8ffc115e2fb1c623d500e29")</f>
        <v>0</v>
      </c>
      <c r="C610">
        <f>HYPERLINK("https://android.googlesource.com/platform/cts/+/b9f9c181bbb3f0f00ca3e061560229f8a064cd8a", "b9f9c181bbb3f0f00ca3e061560229f8a064cd8a")</f>
        <v>0</v>
      </c>
      <c r="D610" t="s">
        <v>4941</v>
      </c>
      <c r="E610" t="s">
        <v>5943</v>
      </c>
      <c r="F610" t="s">
        <v>10714</v>
      </c>
      <c r="G610" t="s">
        <v>15113</v>
      </c>
      <c r="H610" t="s">
        <v>19192</v>
      </c>
    </row>
    <row r="611" spans="1:8">
      <c r="F611" t="s">
        <v>10598</v>
      </c>
      <c r="G611" t="s">
        <v>15001</v>
      </c>
      <c r="H611" t="s">
        <v>18863</v>
      </c>
    </row>
    <row r="612" spans="1:8">
      <c r="H612" t="s">
        <v>19192</v>
      </c>
    </row>
    <row r="613" spans="1:8">
      <c r="F613" t="s">
        <v>10698</v>
      </c>
      <c r="G613" t="s">
        <v>15098</v>
      </c>
      <c r="H613" t="s">
        <v>18863</v>
      </c>
    </row>
    <row r="614" spans="1:8">
      <c r="H614" t="s">
        <v>19192</v>
      </c>
    </row>
    <row r="615" spans="1:8">
      <c r="H615" t="s">
        <v>19193</v>
      </c>
    </row>
    <row r="616" spans="1:8">
      <c r="H616" t="s">
        <v>19194</v>
      </c>
    </row>
    <row r="617" spans="1:8">
      <c r="H617" t="s">
        <v>19195</v>
      </c>
    </row>
    <row r="618" spans="1:8">
      <c r="H618" t="s">
        <v>19196</v>
      </c>
    </row>
    <row r="619" spans="1:8">
      <c r="F619" t="s">
        <v>10621</v>
      </c>
      <c r="G619" t="s">
        <v>15024</v>
      </c>
      <c r="H619" t="s">
        <v>19192</v>
      </c>
    </row>
    <row r="620" spans="1:8">
      <c r="A620" t="s">
        <v>145</v>
      </c>
      <c r="B620">
        <f>HYPERLINK("https://android.googlesource.com/platform/cts/+/96a2cfeefc956465f8f5b3155e940c74894852bd", "96a2cfeefc956465f8f5b3155e940c74894852bd")</f>
        <v>0</v>
      </c>
      <c r="C620">
        <f>HYPERLINK("https://android.googlesource.com/platform/cts/+/9dcb0fc7ceddd2d0250ea65d3351b7f1f99a0b54", "9dcb0fc7ceddd2d0250ea65d3351b7f1f99a0b54")</f>
        <v>0</v>
      </c>
      <c r="D620" t="s">
        <v>4942</v>
      </c>
      <c r="E620" t="s">
        <v>5944</v>
      </c>
      <c r="F620" t="s">
        <v>10600</v>
      </c>
      <c r="G620" t="s">
        <v>15003</v>
      </c>
      <c r="H620" t="s">
        <v>18829</v>
      </c>
    </row>
    <row r="621" spans="1:8">
      <c r="A621" t="s">
        <v>146</v>
      </c>
      <c r="B621">
        <f>HYPERLINK("https://android.googlesource.com/platform/cts/+/77cf8e683cfeb9a4c35c48a9ad62d9ffd48840d3", "77cf8e683cfeb9a4c35c48a9ad62d9ffd48840d3")</f>
        <v>0</v>
      </c>
      <c r="C621">
        <f>HYPERLINK("https://android.googlesource.com/platform/cts/+/8476626a9e9fd100a1238258250b7043927d9a1d", "8476626a9e9fd100a1238258250b7043927d9a1d")</f>
        <v>0</v>
      </c>
      <c r="D621" t="s">
        <v>4939</v>
      </c>
      <c r="E621" t="s">
        <v>5945</v>
      </c>
      <c r="F621" t="s">
        <v>10715</v>
      </c>
      <c r="G621" t="s">
        <v>15114</v>
      </c>
      <c r="H621" t="s">
        <v>19197</v>
      </c>
    </row>
    <row r="622" spans="1:8">
      <c r="H622" t="s">
        <v>19198</v>
      </c>
    </row>
    <row r="623" spans="1:8">
      <c r="A623" t="s">
        <v>147</v>
      </c>
      <c r="B623">
        <f>HYPERLINK("https://android.googlesource.com/platform/cts/+/0b9aac058d4f69e209c25a0ae382a62567c68ec7", "0b9aac058d4f69e209c25a0ae382a62567c68ec7")</f>
        <v>0</v>
      </c>
      <c r="C623">
        <f>HYPERLINK("https://android.googlesource.com/platform/cts/+/2ad4648a054aa57fd9092ab880be4c38850863d8", "2ad4648a054aa57fd9092ab880be4c38850863d8")</f>
        <v>0</v>
      </c>
      <c r="D623" t="s">
        <v>4942</v>
      </c>
      <c r="E623" t="s">
        <v>5946</v>
      </c>
      <c r="F623" t="s">
        <v>10716</v>
      </c>
      <c r="G623" t="s">
        <v>15115</v>
      </c>
      <c r="H623" t="s">
        <v>19199</v>
      </c>
    </row>
    <row r="624" spans="1:8">
      <c r="A624" t="s">
        <v>148</v>
      </c>
      <c r="B624">
        <f>HYPERLINK("https://android.googlesource.com/platform/cts/+/5c5c4c4625b08ff76d9369cb8faed9771cabe4ac", "5c5c4c4625b08ff76d9369cb8faed9771cabe4ac")</f>
        <v>0</v>
      </c>
      <c r="C624">
        <f>HYPERLINK("https://android.googlesource.com/platform/cts/+/2ad4648a054aa57fd9092ab880be4c38850863d8", "2ad4648a054aa57fd9092ab880be4c38850863d8")</f>
        <v>0</v>
      </c>
      <c r="D624" t="s">
        <v>4942</v>
      </c>
      <c r="E624" t="s">
        <v>5947</v>
      </c>
      <c r="F624" t="s">
        <v>10717</v>
      </c>
      <c r="G624" t="s">
        <v>15116</v>
      </c>
      <c r="H624" t="s">
        <v>19200</v>
      </c>
    </row>
    <row r="625" spans="1:8">
      <c r="H625" t="s">
        <v>19201</v>
      </c>
    </row>
    <row r="626" spans="1:8">
      <c r="A626" t="s">
        <v>149</v>
      </c>
      <c r="B626">
        <f>HYPERLINK("https://android.googlesource.com/platform/cts/+/f6ef098cd3a59a2f5af6f19278d0cf796f5b2f02", "f6ef098cd3a59a2f5af6f19278d0cf796f5b2f02")</f>
        <v>0</v>
      </c>
      <c r="C626">
        <f>HYPERLINK("https://android.googlesource.com/platform/cts/+/2ad4648a054aa57fd9092ab880be4c38850863d8", "2ad4648a054aa57fd9092ab880be4c38850863d8")</f>
        <v>0</v>
      </c>
      <c r="D626" t="s">
        <v>4942</v>
      </c>
      <c r="E626" t="s">
        <v>5948</v>
      </c>
      <c r="F626" t="s">
        <v>10679</v>
      </c>
      <c r="G626" t="s">
        <v>15079</v>
      </c>
      <c r="H626" t="s">
        <v>19202</v>
      </c>
    </row>
    <row r="627" spans="1:8">
      <c r="H627" t="s">
        <v>19203</v>
      </c>
    </row>
    <row r="628" spans="1:8">
      <c r="A628" t="s">
        <v>150</v>
      </c>
      <c r="B628">
        <f>HYPERLINK("https://android.googlesource.com/platform/cts/+/6aca89963bb79ca88941c79bd7d7316066eb8ec3", "6aca89963bb79ca88941c79bd7d7316066eb8ec3")</f>
        <v>0</v>
      </c>
      <c r="C628">
        <f>HYPERLINK("https://android.googlesource.com/platform/cts/+/2ad4648a054aa57fd9092ab880be4c38850863d8", "2ad4648a054aa57fd9092ab880be4c38850863d8")</f>
        <v>0</v>
      </c>
      <c r="D628" t="s">
        <v>4942</v>
      </c>
      <c r="E628" t="s">
        <v>5949</v>
      </c>
      <c r="F628" t="s">
        <v>10663</v>
      </c>
      <c r="G628" t="s">
        <v>15064</v>
      </c>
      <c r="H628" t="s">
        <v>19204</v>
      </c>
    </row>
    <row r="629" spans="1:8">
      <c r="A629" t="s">
        <v>151</v>
      </c>
      <c r="B629">
        <f>HYPERLINK("https://android.googlesource.com/platform/cts/+/8301a50347223c940cf4775497d92eac1935532f", "8301a50347223c940cf4775497d92eac1935532f")</f>
        <v>0</v>
      </c>
      <c r="C629">
        <f>HYPERLINK("https://android.googlesource.com/platform/cts/+/a59ff92b4dab5b9bfb301d0a49b5f6d0188b4389", "a59ff92b4dab5b9bfb301d0a49b5f6d0188b4389")</f>
        <v>0</v>
      </c>
      <c r="D629" t="s">
        <v>4942</v>
      </c>
      <c r="E629" t="s">
        <v>5950</v>
      </c>
      <c r="F629" t="s">
        <v>10718</v>
      </c>
      <c r="G629" t="s">
        <v>15117</v>
      </c>
      <c r="H629" t="s">
        <v>19205</v>
      </c>
    </row>
    <row r="630" spans="1:8">
      <c r="H630" t="s">
        <v>19206</v>
      </c>
    </row>
    <row r="631" spans="1:8">
      <c r="H631" t="s">
        <v>19207</v>
      </c>
    </row>
    <row r="632" spans="1:8">
      <c r="H632" t="s">
        <v>19208</v>
      </c>
    </row>
    <row r="633" spans="1:8">
      <c r="H633" t="s">
        <v>19209</v>
      </c>
    </row>
    <row r="634" spans="1:8">
      <c r="H634" t="s">
        <v>19210</v>
      </c>
    </row>
    <row r="635" spans="1:8">
      <c r="H635" t="s">
        <v>19211</v>
      </c>
    </row>
    <row r="636" spans="1:8">
      <c r="H636" t="s">
        <v>19212</v>
      </c>
    </row>
    <row r="637" spans="1:8">
      <c r="F637" t="s">
        <v>10719</v>
      </c>
      <c r="G637" t="s">
        <v>15118</v>
      </c>
      <c r="H637" t="s">
        <v>19207</v>
      </c>
    </row>
    <row r="638" spans="1:8">
      <c r="H638" t="s">
        <v>19208</v>
      </c>
    </row>
    <row r="639" spans="1:8">
      <c r="H639" t="s">
        <v>19209</v>
      </c>
    </row>
    <row r="640" spans="1:8">
      <c r="H640" t="s">
        <v>19210</v>
      </c>
    </row>
    <row r="641" spans="1:8">
      <c r="H641" t="s">
        <v>19211</v>
      </c>
    </row>
    <row r="642" spans="1:8">
      <c r="A642" t="s">
        <v>152</v>
      </c>
      <c r="B642">
        <f>HYPERLINK("https://android.googlesource.com/platform/cts/+/e8491635046855a345193635027804518803451c", "e8491635046855a345193635027804518803451c")</f>
        <v>0</v>
      </c>
      <c r="C642">
        <f>HYPERLINK("https://android.googlesource.com/platform/cts/+/118056d68e775f0aac396eb1b7a016d7818785c0", "118056d68e775f0aac396eb1b7a016d7818785c0")</f>
        <v>0</v>
      </c>
      <c r="D642" t="s">
        <v>4949</v>
      </c>
      <c r="E642" t="s">
        <v>5951</v>
      </c>
      <c r="F642" t="s">
        <v>10720</v>
      </c>
      <c r="G642" t="s">
        <v>15119</v>
      </c>
      <c r="H642" t="s">
        <v>18829</v>
      </c>
    </row>
    <row r="643" spans="1:8">
      <c r="A643" t="s">
        <v>153</v>
      </c>
      <c r="B643">
        <f>HYPERLINK("https://android.googlesource.com/platform/cts/+/0dee316c165ec017d0456eb7fa041a839ef72190", "0dee316c165ec017d0456eb7fa041a839ef72190")</f>
        <v>0</v>
      </c>
      <c r="C643">
        <f>HYPERLINK("https://android.googlesource.com/platform/cts/+/b39a05306c3a46d9ca1cf434941c9bf44e3bf5dd", "b39a05306c3a46d9ca1cf434941c9bf44e3bf5dd")</f>
        <v>0</v>
      </c>
      <c r="D643" t="s">
        <v>4950</v>
      </c>
      <c r="E643" t="s">
        <v>5952</v>
      </c>
      <c r="F643" t="s">
        <v>10721</v>
      </c>
      <c r="G643" t="s">
        <v>15120</v>
      </c>
      <c r="H643" t="s">
        <v>19213</v>
      </c>
    </row>
    <row r="644" spans="1:8">
      <c r="A644" t="s">
        <v>154</v>
      </c>
      <c r="B644">
        <f>HYPERLINK("https://android.googlesource.com/platform/cts/+/91650b6e3daa5f9bd491f2c6e262818fbd51f501", "91650b6e3daa5f9bd491f2c6e262818fbd51f501")</f>
        <v>0</v>
      </c>
      <c r="C644">
        <f>HYPERLINK("https://android.googlesource.com/platform/cts/+/e53e24e46cefc8fd74bdc4899e2bf7712706c7f8", "e53e24e46cefc8fd74bdc4899e2bf7712706c7f8")</f>
        <v>0</v>
      </c>
      <c r="D644" t="s">
        <v>4951</v>
      </c>
      <c r="E644" t="s">
        <v>5953</v>
      </c>
      <c r="F644" t="s">
        <v>10687</v>
      </c>
      <c r="G644" t="s">
        <v>15087</v>
      </c>
      <c r="H644" t="s">
        <v>19214</v>
      </c>
    </row>
    <row r="645" spans="1:8">
      <c r="A645" t="s">
        <v>155</v>
      </c>
      <c r="B645">
        <f>HYPERLINK("https://android.googlesource.com/platform/cts/+/3dcf631658eb54e51aa60a682134f40ee3bf9ad5", "3dcf631658eb54e51aa60a682134f40ee3bf9ad5")</f>
        <v>0</v>
      </c>
      <c r="C645">
        <f>HYPERLINK("https://android.googlesource.com/platform/cts/+/e0550b02f42dfa086e9515ee0ab9909aefd68473", "e0550b02f42dfa086e9515ee0ab9909aefd68473")</f>
        <v>0</v>
      </c>
      <c r="D645" t="s">
        <v>4942</v>
      </c>
      <c r="E645" t="s">
        <v>5954</v>
      </c>
      <c r="F645" t="s">
        <v>10598</v>
      </c>
      <c r="G645" t="s">
        <v>15001</v>
      </c>
      <c r="H645" t="s">
        <v>19215</v>
      </c>
    </row>
    <row r="646" spans="1:8">
      <c r="H646" t="s">
        <v>18829</v>
      </c>
    </row>
    <row r="647" spans="1:8">
      <c r="H647" t="s">
        <v>18863</v>
      </c>
    </row>
    <row r="648" spans="1:8">
      <c r="H648" t="s">
        <v>19216</v>
      </c>
    </row>
    <row r="649" spans="1:8">
      <c r="H649" t="s">
        <v>19217</v>
      </c>
    </row>
    <row r="650" spans="1:8">
      <c r="H650" t="s">
        <v>19218</v>
      </c>
    </row>
    <row r="651" spans="1:8">
      <c r="H651" t="s">
        <v>19192</v>
      </c>
    </row>
    <row r="652" spans="1:8">
      <c r="A652" t="s">
        <v>156</v>
      </c>
      <c r="B652">
        <f>HYPERLINK("https://android.googlesource.com/platform/cts/+/f7f1742e301a825b10ff14d1f03b1c38fc696c04", "f7f1742e301a825b10ff14d1f03b1c38fc696c04")</f>
        <v>0</v>
      </c>
      <c r="C652">
        <f>HYPERLINK("https://android.googlesource.com/platform/cts/+/e0550b02f42dfa086e9515ee0ab9909aefd68473", "e0550b02f42dfa086e9515ee0ab9909aefd68473")</f>
        <v>0</v>
      </c>
      <c r="D652" t="s">
        <v>4942</v>
      </c>
      <c r="E652" t="s">
        <v>5955</v>
      </c>
      <c r="F652" t="s">
        <v>10722</v>
      </c>
      <c r="G652" t="s">
        <v>15121</v>
      </c>
      <c r="H652" t="s">
        <v>19219</v>
      </c>
    </row>
    <row r="653" spans="1:8">
      <c r="H653" t="s">
        <v>19220</v>
      </c>
    </row>
    <row r="654" spans="1:8">
      <c r="A654" t="s">
        <v>157</v>
      </c>
      <c r="B654">
        <f>HYPERLINK("https://android.googlesource.com/platform/cts/+/8dc2b80b06032addf4a93543c90c3603bb6be023", "8dc2b80b06032addf4a93543c90c3603bb6be023")</f>
        <v>0</v>
      </c>
      <c r="C654">
        <f>HYPERLINK("https://android.googlesource.com/platform/cts/+/ace35f36291fdfc0bc49b39a395b8bea71a6c67b", "ace35f36291fdfc0bc49b39a395b8bea71a6c67b")</f>
        <v>0</v>
      </c>
      <c r="D654" t="s">
        <v>4952</v>
      </c>
      <c r="E654" t="s">
        <v>5956</v>
      </c>
      <c r="F654" t="s">
        <v>10723</v>
      </c>
      <c r="G654" t="s">
        <v>15122</v>
      </c>
      <c r="H654" t="s">
        <v>19221</v>
      </c>
    </row>
    <row r="655" spans="1:8">
      <c r="A655" t="s">
        <v>158</v>
      </c>
      <c r="B655">
        <f>HYPERLINK("https://android.googlesource.com/platform/cts/+/2b724c769821d931e8ba1dd3e1861378194c46f5", "2b724c769821d931e8ba1dd3e1861378194c46f5")</f>
        <v>0</v>
      </c>
      <c r="C655">
        <f>HYPERLINK("https://android.googlesource.com/platform/cts/+/56129c167239bd7beeb2562ed088bc81d6a684df", "56129c167239bd7beeb2562ed088bc81d6a684df")</f>
        <v>0</v>
      </c>
      <c r="D655" t="s">
        <v>4941</v>
      </c>
      <c r="E655" t="s">
        <v>5957</v>
      </c>
      <c r="F655" t="s">
        <v>10677</v>
      </c>
      <c r="G655" t="s">
        <v>15077</v>
      </c>
      <c r="H655" t="s">
        <v>18829</v>
      </c>
    </row>
    <row r="656" spans="1:8">
      <c r="H656" t="s">
        <v>19065</v>
      </c>
    </row>
    <row r="657" spans="8:8">
      <c r="H657" t="s">
        <v>19066</v>
      </c>
    </row>
    <row r="658" spans="8:8">
      <c r="H658" t="s">
        <v>19067</v>
      </c>
    </row>
    <row r="659" spans="8:8">
      <c r="H659" t="s">
        <v>19068</v>
      </c>
    </row>
    <row r="660" spans="8:8">
      <c r="H660" t="s">
        <v>19069</v>
      </c>
    </row>
    <row r="661" spans="8:8">
      <c r="H661" t="s">
        <v>19070</v>
      </c>
    </row>
    <row r="662" spans="8:8">
      <c r="H662" t="s">
        <v>19071</v>
      </c>
    </row>
    <row r="663" spans="8:8">
      <c r="H663" t="s">
        <v>19072</v>
      </c>
    </row>
    <row r="664" spans="8:8">
      <c r="H664" t="s">
        <v>19073</v>
      </c>
    </row>
    <row r="665" spans="8:8">
      <c r="H665" t="s">
        <v>19074</v>
      </c>
    </row>
    <row r="666" spans="8:8">
      <c r="H666" t="s">
        <v>19075</v>
      </c>
    </row>
    <row r="667" spans="8:8">
      <c r="H667" t="s">
        <v>19076</v>
      </c>
    </row>
    <row r="668" spans="8:8">
      <c r="H668" t="s">
        <v>18893</v>
      </c>
    </row>
    <row r="669" spans="8:8">
      <c r="H669" t="s">
        <v>18985</v>
      </c>
    </row>
    <row r="670" spans="8:8">
      <c r="H670" t="s">
        <v>19077</v>
      </c>
    </row>
    <row r="671" spans="8:8">
      <c r="H671" t="s">
        <v>19077</v>
      </c>
    </row>
    <row r="672" spans="8:8">
      <c r="H672" t="s">
        <v>19077</v>
      </c>
    </row>
    <row r="673" spans="1:8">
      <c r="H673" t="s">
        <v>19078</v>
      </c>
    </row>
    <row r="674" spans="1:8">
      <c r="H674" t="s">
        <v>19079</v>
      </c>
    </row>
    <row r="675" spans="1:8">
      <c r="H675" t="s">
        <v>19080</v>
      </c>
    </row>
    <row r="676" spans="1:8">
      <c r="H676" t="s">
        <v>19081</v>
      </c>
    </row>
    <row r="677" spans="1:8">
      <c r="H677" t="s">
        <v>19082</v>
      </c>
    </row>
    <row r="678" spans="1:8">
      <c r="H678" t="s">
        <v>19083</v>
      </c>
    </row>
    <row r="679" spans="1:8">
      <c r="A679" t="s">
        <v>159</v>
      </c>
      <c r="B679">
        <f>HYPERLINK("https://android.googlesource.com/platform/cts/+/f908129b007a77caff1371667cfae64826be485e", "f908129b007a77caff1371667cfae64826be485e")</f>
        <v>0</v>
      </c>
      <c r="C679">
        <f>HYPERLINK("https://android.googlesource.com/platform/cts/+/f04208cf19e419cd8021af2aedf7d04649e1ad78", "f04208cf19e419cd8021af2aedf7d04649e1ad78")</f>
        <v>0</v>
      </c>
      <c r="D679" t="s">
        <v>4941</v>
      </c>
      <c r="E679" t="s">
        <v>5958</v>
      </c>
      <c r="F679" t="s">
        <v>10584</v>
      </c>
      <c r="G679" t="s">
        <v>14987</v>
      </c>
      <c r="H679" t="s">
        <v>19222</v>
      </c>
    </row>
    <row r="680" spans="1:8">
      <c r="A680" t="s">
        <v>160</v>
      </c>
      <c r="B680">
        <f>HYPERLINK("https://android.googlesource.com/platform/cts/+/56d8ae53f99e13b8b1dae7fdc505897ece31759d", "56d8ae53f99e13b8b1dae7fdc505897ece31759d")</f>
        <v>0</v>
      </c>
      <c r="C680">
        <f>HYPERLINK("https://android.googlesource.com/platform/cts/+/e0550b02f42dfa086e9515ee0ab9909aefd68473", "e0550b02f42dfa086e9515ee0ab9909aefd68473")</f>
        <v>0</v>
      </c>
      <c r="D680" t="s">
        <v>4942</v>
      </c>
      <c r="E680" t="s">
        <v>5959</v>
      </c>
      <c r="F680" t="s">
        <v>10696</v>
      </c>
      <c r="G680" t="s">
        <v>15096</v>
      </c>
      <c r="H680" t="s">
        <v>19223</v>
      </c>
    </row>
    <row r="681" spans="1:8">
      <c r="A681" t="s">
        <v>161</v>
      </c>
      <c r="B681">
        <f>HYPERLINK("https://android.googlesource.com/platform/cts/+/977522004dcea20d5e45fafa8e20e5d8502fab9c", "977522004dcea20d5e45fafa8e20e5d8502fab9c")</f>
        <v>0</v>
      </c>
      <c r="C681">
        <f>HYPERLINK("https://android.googlesource.com/platform/cts/+/e0550b02f42dfa086e9515ee0ab9909aefd68473", "e0550b02f42dfa086e9515ee0ab9909aefd68473")</f>
        <v>0</v>
      </c>
      <c r="D681" t="s">
        <v>4942</v>
      </c>
      <c r="E681" t="s">
        <v>5960</v>
      </c>
      <c r="F681" t="s">
        <v>10659</v>
      </c>
      <c r="G681" t="s">
        <v>15060</v>
      </c>
      <c r="H681" t="s">
        <v>19224</v>
      </c>
    </row>
    <row r="682" spans="1:8">
      <c r="H682" t="s">
        <v>19225</v>
      </c>
    </row>
    <row r="683" spans="1:8">
      <c r="H683" t="s">
        <v>19226</v>
      </c>
    </row>
    <row r="684" spans="1:8">
      <c r="A684" t="s">
        <v>162</v>
      </c>
      <c r="B684">
        <f>HYPERLINK("https://android.googlesource.com/platform/cts/+/0a32c81efdde76a4c95be703edbec65cdeeb8381", "0a32c81efdde76a4c95be703edbec65cdeeb8381")</f>
        <v>0</v>
      </c>
      <c r="C684">
        <f>HYPERLINK("https://android.googlesource.com/platform/cts/+/25d543e4f28575bd9deebdc7ddb7b05e9848bcd3", "25d543e4f28575bd9deebdc7ddb7b05e9848bcd3")</f>
        <v>0</v>
      </c>
      <c r="D684" t="s">
        <v>4942</v>
      </c>
      <c r="E684" t="s">
        <v>5961</v>
      </c>
      <c r="F684" t="s">
        <v>10724</v>
      </c>
      <c r="G684" t="s">
        <v>15123</v>
      </c>
      <c r="H684" t="s">
        <v>19227</v>
      </c>
    </row>
    <row r="685" spans="1:8">
      <c r="A685" t="s">
        <v>163</v>
      </c>
      <c r="B685">
        <f>HYPERLINK("https://android.googlesource.com/platform/cts/+/9393f4891ee3642b6268ec009a8552ff567d35b5", "9393f4891ee3642b6268ec009a8552ff567d35b5")</f>
        <v>0</v>
      </c>
      <c r="C685">
        <f>HYPERLINK("https://android.googlesource.com/platform/cts/+/25d543e4f28575bd9deebdc7ddb7b05e9848bcd3", "25d543e4f28575bd9deebdc7ddb7b05e9848bcd3")</f>
        <v>0</v>
      </c>
      <c r="D685" t="s">
        <v>4942</v>
      </c>
      <c r="E685" t="s">
        <v>5962</v>
      </c>
      <c r="F685" t="s">
        <v>10725</v>
      </c>
      <c r="G685" t="s">
        <v>15124</v>
      </c>
      <c r="H685" t="s">
        <v>19228</v>
      </c>
    </row>
    <row r="686" spans="1:8">
      <c r="A686" t="s">
        <v>164</v>
      </c>
      <c r="B686">
        <f>HYPERLINK("https://android.googlesource.com/platform/cts/+/dc9b86b38e05bc12e20137540285316dc3835e26", "dc9b86b38e05bc12e20137540285316dc3835e26")</f>
        <v>0</v>
      </c>
      <c r="C686">
        <f>HYPERLINK("https://android.googlesource.com/platform/cts/+/25d543e4f28575bd9deebdc7ddb7b05e9848bcd3", "25d543e4f28575bd9deebdc7ddb7b05e9848bcd3")</f>
        <v>0</v>
      </c>
      <c r="D686" t="s">
        <v>4942</v>
      </c>
      <c r="E686" t="s">
        <v>5963</v>
      </c>
      <c r="F686" t="s">
        <v>10726</v>
      </c>
      <c r="G686" t="s">
        <v>15125</v>
      </c>
      <c r="H686" t="s">
        <v>19229</v>
      </c>
    </row>
    <row r="687" spans="1:8">
      <c r="A687" t="s">
        <v>165</v>
      </c>
      <c r="B687">
        <f>HYPERLINK("https://android.googlesource.com/platform/cts/+/41d2452e4163df531046bab552faceeae45243dc", "41d2452e4163df531046bab552faceeae45243dc")</f>
        <v>0</v>
      </c>
      <c r="C687">
        <f>HYPERLINK("https://android.googlesource.com/platform/cts/+/8326d122c51d9eff2c9e8b08463851c7c50f5f26", "8326d122c51d9eff2c9e8b08463851c7c50f5f26")</f>
        <v>0</v>
      </c>
      <c r="D687" t="s">
        <v>4942</v>
      </c>
      <c r="E687" t="s">
        <v>5964</v>
      </c>
      <c r="F687" t="s">
        <v>10727</v>
      </c>
      <c r="G687" t="s">
        <v>15126</v>
      </c>
      <c r="H687" t="s">
        <v>19074</v>
      </c>
    </row>
    <row r="688" spans="1:8">
      <c r="A688" t="s">
        <v>166</v>
      </c>
      <c r="B688">
        <f>HYPERLINK("https://android.googlesource.com/platform/cts/+/4f8143c0d5fd192987e71c7cfa91d890cb7e883c", "4f8143c0d5fd192987e71c7cfa91d890cb7e883c")</f>
        <v>0</v>
      </c>
      <c r="C688">
        <f>HYPERLINK("https://android.googlesource.com/platform/cts/+/37015f9ef08857e969b6085a742a888d174c9c3c", "37015f9ef08857e969b6085a742a888d174c9c3c")</f>
        <v>0</v>
      </c>
      <c r="D688" t="s">
        <v>4932</v>
      </c>
      <c r="E688" t="s">
        <v>5965</v>
      </c>
      <c r="F688" t="s">
        <v>10728</v>
      </c>
      <c r="G688" t="s">
        <v>15127</v>
      </c>
      <c r="H688" t="s">
        <v>19230</v>
      </c>
    </row>
    <row r="689" spans="1:8">
      <c r="A689" t="s">
        <v>167</v>
      </c>
      <c r="B689">
        <f>HYPERLINK("https://android.googlesource.com/platform/cts/+/36b78c1a9a9da0f938fed721602f164834b66f4d", "36b78c1a9a9da0f938fed721602f164834b66f4d")</f>
        <v>0</v>
      </c>
      <c r="C689">
        <f>HYPERLINK("https://android.googlesource.com/platform/cts/+/7ca0842d074c7b165e2f6f6fa45da6219c9fe288", "7ca0842d074c7b165e2f6f6fa45da6219c9fe288")</f>
        <v>0</v>
      </c>
      <c r="D689" t="s">
        <v>4942</v>
      </c>
      <c r="E689" t="s">
        <v>5966</v>
      </c>
      <c r="F689" t="s">
        <v>10729</v>
      </c>
      <c r="G689" t="s">
        <v>15128</v>
      </c>
      <c r="H689" t="s">
        <v>19231</v>
      </c>
    </row>
    <row r="690" spans="1:8">
      <c r="A690" t="s">
        <v>168</v>
      </c>
      <c r="B690">
        <f>HYPERLINK("https://android.googlesource.com/platform/cts/+/0fb89bfc83fca93acc9ec0a67f04721c4d6225b6", "0fb89bfc83fca93acc9ec0a67f04721c4d6225b6")</f>
        <v>0</v>
      </c>
      <c r="C690">
        <f>HYPERLINK("https://android.googlesource.com/platform/cts/+/bb6db5edd3a9ef033291f4fb2cf03aa889e9314f", "bb6db5edd3a9ef033291f4fb2cf03aa889e9314f")</f>
        <v>0</v>
      </c>
      <c r="D690" t="s">
        <v>4932</v>
      </c>
      <c r="E690" t="s">
        <v>5967</v>
      </c>
      <c r="F690" t="s">
        <v>10730</v>
      </c>
      <c r="G690" t="s">
        <v>15129</v>
      </c>
      <c r="H690" t="s">
        <v>19232</v>
      </c>
    </row>
    <row r="691" spans="1:8">
      <c r="H691" t="s">
        <v>19233</v>
      </c>
    </row>
    <row r="692" spans="1:8">
      <c r="H692" t="s">
        <v>19234</v>
      </c>
    </row>
    <row r="693" spans="1:8">
      <c r="H693" t="s">
        <v>19235</v>
      </c>
    </row>
    <row r="694" spans="1:8">
      <c r="H694" t="s">
        <v>19236</v>
      </c>
    </row>
    <row r="695" spans="1:8">
      <c r="H695" t="s">
        <v>18927</v>
      </c>
    </row>
    <row r="696" spans="1:8">
      <c r="H696" t="s">
        <v>18929</v>
      </c>
    </row>
    <row r="697" spans="1:8">
      <c r="H697" t="s">
        <v>19237</v>
      </c>
    </row>
    <row r="698" spans="1:8">
      <c r="H698" t="s">
        <v>19238</v>
      </c>
    </row>
    <row r="699" spans="1:8">
      <c r="H699" t="s">
        <v>19239</v>
      </c>
    </row>
    <row r="700" spans="1:8">
      <c r="H700" t="s">
        <v>19240</v>
      </c>
    </row>
    <row r="701" spans="1:8">
      <c r="F701" t="s">
        <v>10731</v>
      </c>
      <c r="G701" t="s">
        <v>15130</v>
      </c>
      <c r="H701" t="s">
        <v>18829</v>
      </c>
    </row>
    <row r="702" spans="1:8">
      <c r="H702" t="s">
        <v>19241</v>
      </c>
    </row>
    <row r="703" spans="1:8">
      <c r="H703" t="s">
        <v>19242</v>
      </c>
    </row>
    <row r="704" spans="1:8">
      <c r="H704" t="s">
        <v>19243</v>
      </c>
    </row>
    <row r="705" spans="1:8">
      <c r="A705" t="s">
        <v>169</v>
      </c>
      <c r="B705">
        <f>HYPERLINK("https://android.googlesource.com/platform/cts/+/7a338e4eac14fd1b21c0d54a89c6ff9c3207f6c9", "7a338e4eac14fd1b21c0d54a89c6ff9c3207f6c9")</f>
        <v>0</v>
      </c>
      <c r="C705">
        <f>HYPERLINK("https://android.googlesource.com/platform/cts/+/17aa488bd56e5aeab5f28e3de5d95525c8694714", "17aa488bd56e5aeab5f28e3de5d95525c8694714")</f>
        <v>0</v>
      </c>
      <c r="D705" t="s">
        <v>4942</v>
      </c>
      <c r="E705" t="s">
        <v>5968</v>
      </c>
      <c r="F705" t="s">
        <v>10732</v>
      </c>
      <c r="G705" t="s">
        <v>15131</v>
      </c>
      <c r="H705" t="s">
        <v>19244</v>
      </c>
    </row>
    <row r="706" spans="1:8">
      <c r="A706" t="s">
        <v>170</v>
      </c>
      <c r="B706">
        <f>HYPERLINK("https://android.googlesource.com/platform/cts/+/2616419c0ddfd92b6ae9751ca4beef127bd16e7f", "2616419c0ddfd92b6ae9751ca4beef127bd16e7f")</f>
        <v>0</v>
      </c>
      <c r="C706">
        <f>HYPERLINK("https://android.googlesource.com/platform/cts/+/3e6372cabe2c3a5a7a7339bad98f7b9b8783bc04", "3e6372cabe2c3a5a7a7339bad98f7b9b8783bc04")</f>
        <v>0</v>
      </c>
      <c r="D706" t="s">
        <v>4942</v>
      </c>
      <c r="E706" t="s">
        <v>5969</v>
      </c>
      <c r="F706" t="s">
        <v>10696</v>
      </c>
      <c r="G706" t="s">
        <v>15096</v>
      </c>
      <c r="H706" t="s">
        <v>19159</v>
      </c>
    </row>
    <row r="707" spans="1:8">
      <c r="A707" t="s">
        <v>171</v>
      </c>
      <c r="B707">
        <f>HYPERLINK("https://android.googlesource.com/platform/cts/+/6cc97966e394e443fb65910766d8b3bd30ea2257", "6cc97966e394e443fb65910766d8b3bd30ea2257")</f>
        <v>0</v>
      </c>
      <c r="C707">
        <f>HYPERLINK("https://android.googlesource.com/platform/cts/+/e0973f3b254051cd7eaa3db843e1969c39019c48", "e0973f3b254051cd7eaa3db843e1969c39019c48")</f>
        <v>0</v>
      </c>
      <c r="D707" t="s">
        <v>4941</v>
      </c>
      <c r="E707" t="s">
        <v>5970</v>
      </c>
      <c r="F707" t="s">
        <v>10733</v>
      </c>
      <c r="G707" t="s">
        <v>15132</v>
      </c>
      <c r="H707" t="s">
        <v>19245</v>
      </c>
    </row>
    <row r="708" spans="1:8">
      <c r="A708" t="s">
        <v>172</v>
      </c>
      <c r="B708">
        <f>HYPERLINK("https://android.googlesource.com/platform/cts/+/ef5a60418773dfc6a51df24fbb5efd61e081b76c", "ef5a60418773dfc6a51df24fbb5efd61e081b76c")</f>
        <v>0</v>
      </c>
      <c r="C708">
        <f>HYPERLINK("https://android.googlesource.com/platform/cts/+/94af790975d2db2132eca5e3a7eda0febe081317", "94af790975d2db2132eca5e3a7eda0febe081317")</f>
        <v>0</v>
      </c>
      <c r="D708" t="s">
        <v>4932</v>
      </c>
      <c r="E708" t="s">
        <v>5971</v>
      </c>
      <c r="F708" t="s">
        <v>10734</v>
      </c>
      <c r="G708" t="s">
        <v>15133</v>
      </c>
      <c r="H708" t="s">
        <v>19246</v>
      </c>
    </row>
    <row r="709" spans="1:8">
      <c r="F709" t="s">
        <v>10735</v>
      </c>
      <c r="G709" t="s">
        <v>15134</v>
      </c>
      <c r="H709" t="s">
        <v>19247</v>
      </c>
    </row>
    <row r="710" spans="1:8">
      <c r="H710" t="s">
        <v>19248</v>
      </c>
    </row>
    <row r="711" spans="1:8">
      <c r="A711" t="s">
        <v>173</v>
      </c>
      <c r="B711">
        <f>HYPERLINK("https://android.googlesource.com/platform/cts/+/ad74169a2048f5e0a1de5c17ead65743f71293b8", "ad74169a2048f5e0a1de5c17ead65743f71293b8")</f>
        <v>0</v>
      </c>
      <c r="C711">
        <f>HYPERLINK("https://android.googlesource.com/platform/cts/+/7cd393e2a59c7e392b15c40861c1852c90781101", "7cd393e2a59c7e392b15c40861c1852c90781101")</f>
        <v>0</v>
      </c>
      <c r="D711" t="s">
        <v>4941</v>
      </c>
      <c r="E711" t="s">
        <v>5972</v>
      </c>
      <c r="F711" t="s">
        <v>10722</v>
      </c>
      <c r="G711" t="s">
        <v>15121</v>
      </c>
      <c r="H711" t="s">
        <v>19249</v>
      </c>
    </row>
    <row r="712" spans="1:8">
      <c r="H712" t="s">
        <v>19250</v>
      </c>
    </row>
    <row r="713" spans="1:8">
      <c r="H713" t="s">
        <v>19251</v>
      </c>
    </row>
    <row r="714" spans="1:8">
      <c r="H714" t="s">
        <v>19252</v>
      </c>
    </row>
    <row r="715" spans="1:8">
      <c r="H715" t="s">
        <v>19253</v>
      </c>
    </row>
    <row r="716" spans="1:8">
      <c r="H716" t="s">
        <v>19254</v>
      </c>
    </row>
    <row r="717" spans="1:8">
      <c r="H717" t="s">
        <v>19255</v>
      </c>
    </row>
    <row r="718" spans="1:8">
      <c r="H718" t="s">
        <v>19256</v>
      </c>
    </row>
    <row r="719" spans="1:8">
      <c r="H719" t="s">
        <v>19257</v>
      </c>
    </row>
    <row r="720" spans="1:8">
      <c r="H720" t="s">
        <v>19258</v>
      </c>
    </row>
    <row r="721" spans="1:8">
      <c r="H721" t="s">
        <v>19259</v>
      </c>
    </row>
    <row r="722" spans="1:8">
      <c r="A722" t="s">
        <v>174</v>
      </c>
      <c r="B722">
        <f>HYPERLINK("https://android.googlesource.com/platform/cts/+/08997e064ecd7925ded0b65035104a4b09550f11", "08997e064ecd7925ded0b65035104a4b09550f11")</f>
        <v>0</v>
      </c>
      <c r="C722">
        <f>HYPERLINK("https://android.googlesource.com/platform/cts/+/77b77e65ce4be5b4c60053f901d5f245447c86bc", "77b77e65ce4be5b4c60053f901d5f245447c86bc")</f>
        <v>0</v>
      </c>
      <c r="D722" t="s">
        <v>4942</v>
      </c>
      <c r="E722" t="s">
        <v>5973</v>
      </c>
      <c r="F722" t="s">
        <v>10736</v>
      </c>
      <c r="G722" t="s">
        <v>15135</v>
      </c>
      <c r="H722" t="s">
        <v>19260</v>
      </c>
    </row>
    <row r="723" spans="1:8">
      <c r="H723" t="s">
        <v>18829</v>
      </c>
    </row>
    <row r="724" spans="1:8">
      <c r="H724" t="s">
        <v>19261</v>
      </c>
    </row>
    <row r="725" spans="1:8">
      <c r="H725" t="s">
        <v>19262</v>
      </c>
    </row>
    <row r="726" spans="1:8">
      <c r="H726" t="s">
        <v>19263</v>
      </c>
    </row>
    <row r="727" spans="1:8">
      <c r="H727" t="s">
        <v>18927</v>
      </c>
    </row>
    <row r="728" spans="1:8">
      <c r="H728" t="s">
        <v>19264</v>
      </c>
    </row>
    <row r="729" spans="1:8">
      <c r="A729" t="s">
        <v>175</v>
      </c>
      <c r="B729">
        <f>HYPERLINK("https://android.googlesource.com/platform/cts/+/c9a13f11de7b1dd08bc05c84810eb17ce051c8f3", "c9a13f11de7b1dd08bc05c84810eb17ce051c8f3")</f>
        <v>0</v>
      </c>
      <c r="C729">
        <f>HYPERLINK("https://android.googlesource.com/platform/cts/+/77b77e65ce4be5b4c60053f901d5f245447c86bc", "77b77e65ce4be5b4c60053f901d5f245447c86bc")</f>
        <v>0</v>
      </c>
      <c r="D729" t="s">
        <v>4942</v>
      </c>
      <c r="E729" t="s">
        <v>5974</v>
      </c>
      <c r="F729" t="s">
        <v>10737</v>
      </c>
      <c r="G729" t="s">
        <v>15136</v>
      </c>
      <c r="H729" t="s">
        <v>19265</v>
      </c>
    </row>
    <row r="730" spans="1:8">
      <c r="A730" t="s">
        <v>176</v>
      </c>
      <c r="B730">
        <f>HYPERLINK("https://android.googlesource.com/platform/cts/+/2c3bd2c8b7dd410e8e774d1a0d5516c66ea3aaa0", "2c3bd2c8b7dd410e8e774d1a0d5516c66ea3aaa0")</f>
        <v>0</v>
      </c>
      <c r="C730">
        <f>HYPERLINK("https://android.googlesource.com/platform/cts/+/77b77e65ce4be5b4c60053f901d5f245447c86bc", "77b77e65ce4be5b4c60053f901d5f245447c86bc")</f>
        <v>0</v>
      </c>
      <c r="D730" t="s">
        <v>4942</v>
      </c>
      <c r="E730" t="s">
        <v>5975</v>
      </c>
      <c r="F730" t="s">
        <v>10738</v>
      </c>
      <c r="G730" t="s">
        <v>15137</v>
      </c>
      <c r="H730" t="s">
        <v>19266</v>
      </c>
    </row>
    <row r="731" spans="1:8">
      <c r="H731" t="s">
        <v>19267</v>
      </c>
    </row>
    <row r="732" spans="1:8">
      <c r="A732" t="s">
        <v>177</v>
      </c>
      <c r="B732">
        <f>HYPERLINK("https://android.googlesource.com/platform/cts/+/e4d5a1b752a009e87e73f0cabe70a22330b89e8e", "e4d5a1b752a009e87e73f0cabe70a22330b89e8e")</f>
        <v>0</v>
      </c>
      <c r="C732">
        <f>HYPERLINK("https://android.googlesource.com/platform/cts/+/8efbbfcffd5b440d476b9aa52496a83b8db70e41", "8efbbfcffd5b440d476b9aa52496a83b8db70e41")</f>
        <v>0</v>
      </c>
      <c r="D732" t="s">
        <v>4941</v>
      </c>
      <c r="E732" t="s">
        <v>5976</v>
      </c>
      <c r="F732" t="s">
        <v>10739</v>
      </c>
      <c r="G732" t="s">
        <v>15138</v>
      </c>
      <c r="H732" t="s">
        <v>19268</v>
      </c>
    </row>
    <row r="733" spans="1:8">
      <c r="H733" t="s">
        <v>19269</v>
      </c>
    </row>
    <row r="734" spans="1:8">
      <c r="H734" t="s">
        <v>19270</v>
      </c>
    </row>
    <row r="735" spans="1:8">
      <c r="H735" t="s">
        <v>19271</v>
      </c>
    </row>
    <row r="736" spans="1:8">
      <c r="H736" t="s">
        <v>19272</v>
      </c>
    </row>
    <row r="737" spans="1:8">
      <c r="H737" t="s">
        <v>19273</v>
      </c>
    </row>
    <row r="738" spans="1:8">
      <c r="H738" t="s">
        <v>19274</v>
      </c>
    </row>
    <row r="739" spans="1:8">
      <c r="H739" t="s">
        <v>19275</v>
      </c>
    </row>
    <row r="740" spans="1:8">
      <c r="A740" t="s">
        <v>178</v>
      </c>
      <c r="B740">
        <f>HYPERLINK("https://android.googlesource.com/platform/cts/+/d74adf607816b5a0df3ab90fc578400a8129756a", "d74adf607816b5a0df3ab90fc578400a8129756a")</f>
        <v>0</v>
      </c>
      <c r="C740">
        <f>HYPERLINK("https://android.googlesource.com/platform/cts/+/8efbbfcffd5b440d476b9aa52496a83b8db70e41", "8efbbfcffd5b440d476b9aa52496a83b8db70e41")</f>
        <v>0</v>
      </c>
      <c r="D740" t="s">
        <v>4941</v>
      </c>
      <c r="E740" t="s">
        <v>5977</v>
      </c>
      <c r="F740" t="s">
        <v>10683</v>
      </c>
      <c r="G740" t="s">
        <v>15083</v>
      </c>
      <c r="H740" t="s">
        <v>19276</v>
      </c>
    </row>
    <row r="741" spans="1:8">
      <c r="A741" t="s">
        <v>179</v>
      </c>
      <c r="B741">
        <f>HYPERLINK("https://android.googlesource.com/platform/cts/+/2fc80bc5a8f0e3d053491f8547264f15d166eb7f", "2fc80bc5a8f0e3d053491f8547264f15d166eb7f")</f>
        <v>0</v>
      </c>
      <c r="C741">
        <f>HYPERLINK("https://android.googlesource.com/platform/cts/+/b881d63217ba5609879256dddf916e2f8f8b7131", "b881d63217ba5609879256dddf916e2f8f8b7131")</f>
        <v>0</v>
      </c>
      <c r="D741" t="s">
        <v>4941</v>
      </c>
      <c r="E741" t="s">
        <v>5978</v>
      </c>
      <c r="F741" t="s">
        <v>10740</v>
      </c>
      <c r="G741" t="s">
        <v>15139</v>
      </c>
      <c r="H741" t="s">
        <v>19277</v>
      </c>
    </row>
    <row r="742" spans="1:8">
      <c r="A742" t="s">
        <v>180</v>
      </c>
      <c r="B742">
        <f>HYPERLINK("https://android.googlesource.com/platform/cts/+/4348bffb5f262c6026a5abbe440ee97524d22fb0", "4348bffb5f262c6026a5abbe440ee97524d22fb0")</f>
        <v>0</v>
      </c>
      <c r="C742">
        <f>HYPERLINK("https://android.googlesource.com/platform/cts/+/b881d63217ba5609879256dddf916e2f8f8b7131", "b881d63217ba5609879256dddf916e2f8f8b7131")</f>
        <v>0</v>
      </c>
      <c r="D742" t="s">
        <v>4941</v>
      </c>
      <c r="E742" t="s">
        <v>5979</v>
      </c>
      <c r="F742" t="s">
        <v>10684</v>
      </c>
      <c r="G742" t="s">
        <v>15084</v>
      </c>
      <c r="H742" t="s">
        <v>19278</v>
      </c>
    </row>
    <row r="743" spans="1:8">
      <c r="H743" t="s">
        <v>19279</v>
      </c>
    </row>
    <row r="744" spans="1:8">
      <c r="H744" t="s">
        <v>19280</v>
      </c>
    </row>
    <row r="745" spans="1:8">
      <c r="H745" t="s">
        <v>19281</v>
      </c>
    </row>
    <row r="746" spans="1:8">
      <c r="A746" t="s">
        <v>181</v>
      </c>
      <c r="B746">
        <f>HYPERLINK("https://android.googlesource.com/platform/cts/+/5df58d9a4a0c7a01a7a54c09730ee800ea3a600f", "5df58d9a4a0c7a01a7a54c09730ee800ea3a600f")</f>
        <v>0</v>
      </c>
      <c r="C746">
        <f>HYPERLINK("https://android.googlesource.com/platform/cts/+/6e4e6839f9fc6558a905cdafa31ecdc001c6c33c", "6e4e6839f9fc6558a905cdafa31ecdc001c6c33c")</f>
        <v>0</v>
      </c>
      <c r="D746" t="s">
        <v>4941</v>
      </c>
      <c r="E746" t="s">
        <v>5980</v>
      </c>
      <c r="F746" t="s">
        <v>10698</v>
      </c>
      <c r="G746" t="s">
        <v>15098</v>
      </c>
      <c r="H746" t="s">
        <v>19282</v>
      </c>
    </row>
    <row r="747" spans="1:8">
      <c r="H747" t="s">
        <v>19283</v>
      </c>
    </row>
    <row r="748" spans="1:8">
      <c r="A748" t="s">
        <v>182</v>
      </c>
      <c r="B748">
        <f>HYPERLINK("https://android.googlesource.com/platform/cts/+/72e27cf86a100e3bba4038734b224f4c0a290200", "72e27cf86a100e3bba4038734b224f4c0a290200")</f>
        <v>0</v>
      </c>
      <c r="C748">
        <f>HYPERLINK("https://android.googlesource.com/platform/cts/+/a9a182f8b8d6343d7bac9de2a3838a4080eb144a", "a9a182f8b8d6343d7bac9de2a3838a4080eb144a")</f>
        <v>0</v>
      </c>
      <c r="D748" t="s">
        <v>4941</v>
      </c>
      <c r="E748" t="s">
        <v>5981</v>
      </c>
      <c r="F748" t="s">
        <v>10741</v>
      </c>
      <c r="G748" t="s">
        <v>15140</v>
      </c>
      <c r="H748" t="s">
        <v>18829</v>
      </c>
    </row>
    <row r="749" spans="1:8">
      <c r="H749" t="s">
        <v>19284</v>
      </c>
    </row>
    <row r="750" spans="1:8">
      <c r="H750" t="s">
        <v>19285</v>
      </c>
    </row>
    <row r="751" spans="1:8">
      <c r="H751" t="s">
        <v>19286</v>
      </c>
    </row>
    <row r="752" spans="1:8">
      <c r="H752" t="s">
        <v>19287</v>
      </c>
    </row>
    <row r="753" spans="1:8">
      <c r="H753" t="s">
        <v>19288</v>
      </c>
    </row>
    <row r="754" spans="1:8">
      <c r="H754" t="s">
        <v>19289</v>
      </c>
    </row>
    <row r="755" spans="1:8">
      <c r="H755" t="s">
        <v>19290</v>
      </c>
    </row>
    <row r="756" spans="1:8">
      <c r="H756" t="s">
        <v>19291</v>
      </c>
    </row>
    <row r="757" spans="1:8">
      <c r="A757" t="s">
        <v>183</v>
      </c>
      <c r="B757">
        <f>HYPERLINK("https://android.googlesource.com/platform/cts/+/f0083a84622e04d05b1eaf4bfb6e4777f76fc05b", "f0083a84622e04d05b1eaf4bfb6e4777f76fc05b")</f>
        <v>0</v>
      </c>
      <c r="C757">
        <f>HYPERLINK("https://android.googlesource.com/platform/cts/+/acbf1acfbf0ca165981c301fbf1627392d911a97", "acbf1acfbf0ca165981c301fbf1627392d911a97")</f>
        <v>0</v>
      </c>
      <c r="D757" t="s">
        <v>4942</v>
      </c>
      <c r="E757" t="s">
        <v>5982</v>
      </c>
      <c r="F757" t="s">
        <v>10742</v>
      </c>
      <c r="G757" t="s">
        <v>15141</v>
      </c>
      <c r="H757" t="s">
        <v>19292</v>
      </c>
    </row>
    <row r="758" spans="1:8">
      <c r="H758" t="s">
        <v>19293</v>
      </c>
    </row>
    <row r="759" spans="1:8">
      <c r="H759" t="s">
        <v>19294</v>
      </c>
    </row>
    <row r="760" spans="1:8">
      <c r="H760" t="s">
        <v>19294</v>
      </c>
    </row>
    <row r="761" spans="1:8">
      <c r="H761" t="s">
        <v>19295</v>
      </c>
    </row>
    <row r="762" spans="1:8">
      <c r="H762" t="s">
        <v>19296</v>
      </c>
    </row>
    <row r="763" spans="1:8">
      <c r="H763" t="s">
        <v>19297</v>
      </c>
    </row>
    <row r="764" spans="1:8">
      <c r="H764" t="s">
        <v>19298</v>
      </c>
    </row>
    <row r="765" spans="1:8">
      <c r="H765" t="s">
        <v>19298</v>
      </c>
    </row>
    <row r="766" spans="1:8">
      <c r="H766" t="s">
        <v>19299</v>
      </c>
    </row>
    <row r="767" spans="1:8">
      <c r="H767" t="s">
        <v>19300</v>
      </c>
    </row>
    <row r="768" spans="1:8">
      <c r="H768" t="s">
        <v>19301</v>
      </c>
    </row>
    <row r="769" spans="1:8">
      <c r="H769" t="s">
        <v>19302</v>
      </c>
    </row>
    <row r="770" spans="1:8">
      <c r="H770" t="s">
        <v>19303</v>
      </c>
    </row>
    <row r="771" spans="1:8">
      <c r="A771" t="s">
        <v>184</v>
      </c>
      <c r="B771">
        <f>HYPERLINK("https://android.googlesource.com/platform/cts/+/a4a1b97d3ca31d493d66dd9e45720c320d7d0943", "a4a1b97d3ca31d493d66dd9e45720c320d7d0943")</f>
        <v>0</v>
      </c>
      <c r="C771">
        <f>HYPERLINK("https://android.googlesource.com/platform/cts/+/9a9e583f1e863b55c4a38409d0ee03827bdb4ff3", "9a9e583f1e863b55c4a38409d0ee03827bdb4ff3")</f>
        <v>0</v>
      </c>
      <c r="D771" t="s">
        <v>4942</v>
      </c>
      <c r="E771" t="s">
        <v>5983</v>
      </c>
      <c r="F771" t="s">
        <v>10743</v>
      </c>
      <c r="G771" t="s">
        <v>15142</v>
      </c>
      <c r="H771" t="s">
        <v>19304</v>
      </c>
    </row>
    <row r="772" spans="1:8">
      <c r="H772" t="s">
        <v>19305</v>
      </c>
    </row>
    <row r="773" spans="1:8">
      <c r="H773" t="s">
        <v>19306</v>
      </c>
    </row>
    <row r="774" spans="1:8">
      <c r="A774" t="s">
        <v>185</v>
      </c>
      <c r="B774">
        <f>HYPERLINK("https://android.googlesource.com/platform/cts/+/bf0a74c6616cec161cd2820c4de2e3f2b43d8c03", "bf0a74c6616cec161cd2820c4de2e3f2b43d8c03")</f>
        <v>0</v>
      </c>
      <c r="C774">
        <f>HYPERLINK("https://android.googlesource.com/platform/cts/+/9a9e583f1e863b55c4a38409d0ee03827bdb4ff3", "9a9e583f1e863b55c4a38409d0ee03827bdb4ff3")</f>
        <v>0</v>
      </c>
      <c r="D774" t="s">
        <v>4942</v>
      </c>
      <c r="E774" t="s">
        <v>5984</v>
      </c>
      <c r="F774" t="s">
        <v>10744</v>
      </c>
      <c r="G774" t="s">
        <v>15143</v>
      </c>
      <c r="H774" t="s">
        <v>19307</v>
      </c>
    </row>
    <row r="775" spans="1:8">
      <c r="A775" t="s">
        <v>186</v>
      </c>
      <c r="B775">
        <f>HYPERLINK("https://android.googlesource.com/platform/cts/+/7cc0e25c71a73993738ba290ca74a620ee1f10f2", "7cc0e25c71a73993738ba290ca74a620ee1f10f2")</f>
        <v>0</v>
      </c>
      <c r="C775">
        <f>HYPERLINK("https://android.googlesource.com/platform/cts/+/705c163de4f3348d4a7af1f044f24cc98179e995", "705c163de4f3348d4a7af1f044f24cc98179e995")</f>
        <v>0</v>
      </c>
      <c r="D775" t="s">
        <v>4932</v>
      </c>
      <c r="E775" t="s">
        <v>5985</v>
      </c>
      <c r="F775" t="s">
        <v>10745</v>
      </c>
      <c r="G775" t="s">
        <v>15144</v>
      </c>
      <c r="H775" t="s">
        <v>18925</v>
      </c>
    </row>
    <row r="776" spans="1:8">
      <c r="H776" t="s">
        <v>19308</v>
      </c>
    </row>
    <row r="777" spans="1:8">
      <c r="H777" t="s">
        <v>19309</v>
      </c>
    </row>
    <row r="778" spans="1:8">
      <c r="A778" t="s">
        <v>187</v>
      </c>
      <c r="B778">
        <f>HYPERLINK("https://android.googlesource.com/platform/cts/+/dec8311e842ef41c8cdb3f5f394d60183ce9e612", "dec8311e842ef41c8cdb3f5f394d60183ce9e612")</f>
        <v>0</v>
      </c>
      <c r="C778">
        <f>HYPERLINK("https://android.googlesource.com/platform/cts/+/db03bd4d8fe400292cd4d0ea56de2fe1ed0fac28", "db03bd4d8fe400292cd4d0ea56de2fe1ed0fac28")</f>
        <v>0</v>
      </c>
      <c r="D778" t="s">
        <v>4942</v>
      </c>
      <c r="E778" t="s">
        <v>5986</v>
      </c>
      <c r="F778" t="s">
        <v>10746</v>
      </c>
      <c r="G778" t="s">
        <v>15145</v>
      </c>
      <c r="H778" t="s">
        <v>18863</v>
      </c>
    </row>
    <row r="779" spans="1:8">
      <c r="A779" t="s">
        <v>188</v>
      </c>
      <c r="B779">
        <f>HYPERLINK("https://android.googlesource.com/platform/cts/+/1dcb9a5898c92185ccf04bda7403f8fc849c62f7", "1dcb9a5898c92185ccf04bda7403f8fc849c62f7")</f>
        <v>0</v>
      </c>
      <c r="C779">
        <f>HYPERLINK("https://android.googlesource.com/platform/cts/+/7cc0e25c71a73993738ba290ca74a620ee1f10f2", "7cc0e25c71a73993738ba290ca74a620ee1f10f2")</f>
        <v>0</v>
      </c>
      <c r="D779" t="s">
        <v>4932</v>
      </c>
      <c r="E779" t="s">
        <v>5987</v>
      </c>
      <c r="F779" t="s">
        <v>10747</v>
      </c>
      <c r="G779" t="s">
        <v>15129</v>
      </c>
      <c r="H779" t="s">
        <v>19310</v>
      </c>
    </row>
    <row r="780" spans="1:8">
      <c r="H780" t="s">
        <v>18929</v>
      </c>
    </row>
    <row r="781" spans="1:8">
      <c r="A781" t="s">
        <v>189</v>
      </c>
      <c r="B781">
        <f>HYPERLINK("https://android.googlesource.com/platform/cts/+/3fc406b283b622a22fff58666e0a8d7936434fd9", "3fc406b283b622a22fff58666e0a8d7936434fd9")</f>
        <v>0</v>
      </c>
      <c r="C781">
        <f>HYPERLINK("https://android.googlesource.com/platform/cts/+/653f4c3d61b58419d10d15f88f0a7b47d25b50d3", "653f4c3d61b58419d10d15f88f0a7b47d25b50d3")</f>
        <v>0</v>
      </c>
      <c r="D781" t="s">
        <v>4932</v>
      </c>
      <c r="E781" t="s">
        <v>5988</v>
      </c>
      <c r="F781" t="s">
        <v>10747</v>
      </c>
      <c r="G781" t="s">
        <v>15129</v>
      </c>
      <c r="H781" t="s">
        <v>19234</v>
      </c>
    </row>
    <row r="782" spans="1:8">
      <c r="H782" t="s">
        <v>19235</v>
      </c>
    </row>
    <row r="783" spans="1:8">
      <c r="F783" t="s">
        <v>10748</v>
      </c>
      <c r="G783" t="s">
        <v>15146</v>
      </c>
      <c r="H783" t="s">
        <v>19311</v>
      </c>
    </row>
    <row r="784" spans="1:8">
      <c r="A784" t="s">
        <v>190</v>
      </c>
      <c r="B784">
        <f>HYPERLINK("https://android.googlesource.com/platform/cts/+/c2fcc332aa2b84e9aeb95a1819b92df67449ca3c", "c2fcc332aa2b84e9aeb95a1819b92df67449ca3c")</f>
        <v>0</v>
      </c>
      <c r="C784">
        <f>HYPERLINK("https://android.googlesource.com/platform/cts/+/60d865967ce492e25840458045a0f23f68e41aa7", "60d865967ce492e25840458045a0f23f68e41aa7")</f>
        <v>0</v>
      </c>
      <c r="D784" t="s">
        <v>4942</v>
      </c>
      <c r="E784" t="s">
        <v>5989</v>
      </c>
      <c r="F784" t="s">
        <v>10597</v>
      </c>
      <c r="G784" t="s">
        <v>15000</v>
      </c>
      <c r="H784" t="s">
        <v>19312</v>
      </c>
    </row>
    <row r="785" spans="1:8">
      <c r="A785" t="s">
        <v>191</v>
      </c>
      <c r="B785">
        <f>HYPERLINK("https://android.googlesource.com/platform/cts/+/4a6fd724e96fea039184fd74bde97d7f840f32d8", "4a6fd724e96fea039184fd74bde97d7f840f32d8")</f>
        <v>0</v>
      </c>
      <c r="C785">
        <f>HYPERLINK("https://android.googlesource.com/platform/cts/+/60d865967ce492e25840458045a0f23f68e41aa7", "60d865967ce492e25840458045a0f23f68e41aa7")</f>
        <v>0</v>
      </c>
      <c r="D785" t="s">
        <v>4942</v>
      </c>
      <c r="E785" t="s">
        <v>5990</v>
      </c>
      <c r="F785" t="s">
        <v>10686</v>
      </c>
      <c r="G785" t="s">
        <v>15086</v>
      </c>
      <c r="H785" t="s">
        <v>19313</v>
      </c>
    </row>
    <row r="786" spans="1:8">
      <c r="H786" t="s">
        <v>18829</v>
      </c>
    </row>
    <row r="787" spans="1:8">
      <c r="H787" t="s">
        <v>18899</v>
      </c>
    </row>
    <row r="788" spans="1:8">
      <c r="H788" t="s">
        <v>19314</v>
      </c>
    </row>
    <row r="789" spans="1:8">
      <c r="A789" t="s">
        <v>192</v>
      </c>
      <c r="B789">
        <f>HYPERLINK("https://android.googlesource.com/platform/cts/+/7254f1e86a40d67adda0bda99ef8457c40e09a80", "7254f1e86a40d67adda0bda99ef8457c40e09a80")</f>
        <v>0</v>
      </c>
      <c r="C789">
        <f>HYPERLINK("https://android.googlesource.com/platform/cts/+/cc475551e4b72cf5d653bb29ba286ec1de171689", "cc475551e4b72cf5d653bb29ba286ec1de171689")</f>
        <v>0</v>
      </c>
      <c r="D789" t="s">
        <v>4942</v>
      </c>
      <c r="E789" t="s">
        <v>5991</v>
      </c>
      <c r="F789" t="s">
        <v>10597</v>
      </c>
      <c r="G789" t="s">
        <v>15000</v>
      </c>
      <c r="H789" t="s">
        <v>19315</v>
      </c>
    </row>
    <row r="790" spans="1:8">
      <c r="H790" t="s">
        <v>19316</v>
      </c>
    </row>
    <row r="791" spans="1:8">
      <c r="H791" t="s">
        <v>19317</v>
      </c>
    </row>
    <row r="792" spans="1:8">
      <c r="H792" t="s">
        <v>19318</v>
      </c>
    </row>
    <row r="793" spans="1:8">
      <c r="A793" t="s">
        <v>193</v>
      </c>
      <c r="B793">
        <f>HYPERLINK("https://android.googlesource.com/platform/cts/+/192df10e3524fd90097c0386d24d89f58f510029", "192df10e3524fd90097c0386d24d89f58f510029")</f>
        <v>0</v>
      </c>
      <c r="C793">
        <f>HYPERLINK("https://android.googlesource.com/platform/cts/+/b5f49f11e36fda07b3db2088d6cfd78dc73d87fe", "b5f49f11e36fda07b3db2088d6cfd78dc73d87fe")</f>
        <v>0</v>
      </c>
      <c r="D793" t="s">
        <v>4942</v>
      </c>
      <c r="E793" t="s">
        <v>5992</v>
      </c>
      <c r="F793" t="s">
        <v>10663</v>
      </c>
      <c r="G793" t="s">
        <v>15064</v>
      </c>
      <c r="H793" t="s">
        <v>19319</v>
      </c>
    </row>
    <row r="794" spans="1:8">
      <c r="A794" t="s">
        <v>194</v>
      </c>
      <c r="B794">
        <f>HYPERLINK("https://android.googlesource.com/platform/cts/+/65ab7bfed1779e248bd279aea4de72601b4d1703", "65ab7bfed1779e248bd279aea4de72601b4d1703")</f>
        <v>0</v>
      </c>
      <c r="C794">
        <f>HYPERLINK("https://android.googlesource.com/platform/cts/+/3ff554be1120be2a0f9d309abb1c31ef94e02e35", "3ff554be1120be2a0f9d309abb1c31ef94e02e35")</f>
        <v>0</v>
      </c>
      <c r="D794" t="s">
        <v>4942</v>
      </c>
      <c r="E794" t="s">
        <v>5993</v>
      </c>
      <c r="F794" t="s">
        <v>10749</v>
      </c>
      <c r="G794" t="s">
        <v>15147</v>
      </c>
      <c r="H794" t="s">
        <v>19320</v>
      </c>
    </row>
    <row r="795" spans="1:8">
      <c r="H795" t="s">
        <v>19321</v>
      </c>
    </row>
    <row r="796" spans="1:8">
      <c r="A796" t="s">
        <v>195</v>
      </c>
      <c r="B796">
        <f>HYPERLINK("https://android.googlesource.com/platform/cts/+/72a7540a4a25027e3e90212b2c9b258414e2e352", "72a7540a4a25027e3e90212b2c9b258414e2e352")</f>
        <v>0</v>
      </c>
      <c r="C796">
        <f>HYPERLINK("https://android.googlesource.com/platform/cts/+/4fcc61892d2098d53bd06a14006f88b3b20e54b8", "4fcc61892d2098d53bd06a14006f88b3b20e54b8")</f>
        <v>0</v>
      </c>
      <c r="D796" t="s">
        <v>4953</v>
      </c>
      <c r="E796" t="s">
        <v>5994</v>
      </c>
      <c r="F796" t="s">
        <v>10689</v>
      </c>
      <c r="G796" t="s">
        <v>15089</v>
      </c>
      <c r="H796" t="s">
        <v>19322</v>
      </c>
    </row>
    <row r="797" spans="1:8">
      <c r="H797" t="s">
        <v>19323</v>
      </c>
    </row>
    <row r="798" spans="1:8">
      <c r="H798" t="s">
        <v>19324</v>
      </c>
    </row>
    <row r="799" spans="1:8">
      <c r="A799" t="s">
        <v>196</v>
      </c>
      <c r="B799">
        <f>HYPERLINK("https://android.googlesource.com/platform/cts/+/d966f9ef5ae8c3887c5a6aa676d607b92c9cb624", "d966f9ef5ae8c3887c5a6aa676d607b92c9cb624")</f>
        <v>0</v>
      </c>
      <c r="C799">
        <f>HYPERLINK("https://android.googlesource.com/platform/cts/+/8a616b967717d189aa884e06ff581ec6e4ceb427", "8a616b967717d189aa884e06ff581ec6e4ceb427")</f>
        <v>0</v>
      </c>
      <c r="D799" t="s">
        <v>4953</v>
      </c>
      <c r="E799" t="s">
        <v>5995</v>
      </c>
      <c r="F799" t="s">
        <v>10689</v>
      </c>
      <c r="G799" t="s">
        <v>15089</v>
      </c>
      <c r="H799" t="s">
        <v>19322</v>
      </c>
    </row>
    <row r="800" spans="1:8">
      <c r="H800" t="s">
        <v>19323</v>
      </c>
    </row>
    <row r="801" spans="1:8">
      <c r="H801" t="s">
        <v>19324</v>
      </c>
    </row>
    <row r="802" spans="1:8">
      <c r="A802" t="s">
        <v>197</v>
      </c>
      <c r="B802">
        <f>HYPERLINK("https://android.googlesource.com/platform/cts/+/b0483b742a27252e3f04b1374551b4f2816c5efa", "b0483b742a27252e3f04b1374551b4f2816c5efa")</f>
        <v>0</v>
      </c>
      <c r="C802">
        <f>HYPERLINK("https://android.googlesource.com/platform/cts/+/acf618ec54173f7acdaaeb4e501ee057f76dcc86", "acf618ec54173f7acdaaeb4e501ee057f76dcc86")</f>
        <v>0</v>
      </c>
      <c r="D802" t="s">
        <v>4942</v>
      </c>
      <c r="E802" t="s">
        <v>5994</v>
      </c>
      <c r="F802" t="s">
        <v>10689</v>
      </c>
      <c r="G802" t="s">
        <v>15089</v>
      </c>
      <c r="H802" t="s">
        <v>19322</v>
      </c>
    </row>
    <row r="803" spans="1:8">
      <c r="H803" t="s">
        <v>19323</v>
      </c>
    </row>
    <row r="804" spans="1:8">
      <c r="H804" t="s">
        <v>19324</v>
      </c>
    </row>
    <row r="805" spans="1:8">
      <c r="A805" t="s">
        <v>198</v>
      </c>
      <c r="B805">
        <f>HYPERLINK("https://android.googlesource.com/platform/cts/+/8551312fef8e50d13f23000de94796817b79e433", "8551312fef8e50d13f23000de94796817b79e433")</f>
        <v>0</v>
      </c>
      <c r="C805">
        <f>HYPERLINK("https://android.googlesource.com/platform/cts/+/d4b8550d8b6d06e300193098b784355eed0626b2", "d4b8550d8b6d06e300193098b784355eed0626b2")</f>
        <v>0</v>
      </c>
      <c r="D805" t="s">
        <v>4954</v>
      </c>
      <c r="E805" t="s">
        <v>5996</v>
      </c>
      <c r="F805" t="s">
        <v>10750</v>
      </c>
      <c r="G805" t="s">
        <v>15148</v>
      </c>
      <c r="H805" t="s">
        <v>18829</v>
      </c>
    </row>
    <row r="806" spans="1:8">
      <c r="H806" t="s">
        <v>18863</v>
      </c>
    </row>
    <row r="807" spans="1:8">
      <c r="F807" t="s">
        <v>10751</v>
      </c>
      <c r="G807" t="s">
        <v>15149</v>
      </c>
      <c r="H807" t="s">
        <v>18829</v>
      </c>
    </row>
    <row r="808" spans="1:8">
      <c r="H808" t="s">
        <v>18863</v>
      </c>
    </row>
    <row r="809" spans="1:8">
      <c r="F809" t="s">
        <v>10752</v>
      </c>
      <c r="G809" t="s">
        <v>15150</v>
      </c>
      <c r="H809" t="s">
        <v>18829</v>
      </c>
    </row>
    <row r="810" spans="1:8">
      <c r="H810" t="s">
        <v>18863</v>
      </c>
    </row>
    <row r="811" spans="1:8">
      <c r="F811" t="s">
        <v>10753</v>
      </c>
      <c r="G811" t="s">
        <v>15151</v>
      </c>
      <c r="H811" t="s">
        <v>18829</v>
      </c>
    </row>
    <row r="812" spans="1:8">
      <c r="H812" t="s">
        <v>18863</v>
      </c>
    </row>
    <row r="813" spans="1:8">
      <c r="A813" t="s">
        <v>199</v>
      </c>
      <c r="B813">
        <f>HYPERLINK("https://android.googlesource.com/platform/cts/+/a8cd4da434335a265bfb4bca1f96fa44d65ab109", "a8cd4da434335a265bfb4bca1f96fa44d65ab109")</f>
        <v>0</v>
      </c>
      <c r="C813">
        <f>HYPERLINK("https://android.googlesource.com/platform/cts/+/394154b7ffa923facf69969c84b7425f56d4f005", "394154b7ffa923facf69969c84b7425f56d4f005")</f>
        <v>0</v>
      </c>
      <c r="D813" t="s">
        <v>4941</v>
      </c>
      <c r="E813" t="s">
        <v>5997</v>
      </c>
      <c r="F813" t="s">
        <v>10754</v>
      </c>
      <c r="G813" t="s">
        <v>15152</v>
      </c>
      <c r="H813" t="s">
        <v>19325</v>
      </c>
    </row>
    <row r="814" spans="1:8">
      <c r="H814" t="s">
        <v>19326</v>
      </c>
    </row>
    <row r="815" spans="1:8">
      <c r="H815" t="s">
        <v>19327</v>
      </c>
    </row>
    <row r="816" spans="1:8">
      <c r="H816" t="s">
        <v>19328</v>
      </c>
    </row>
    <row r="817" spans="1:8">
      <c r="A817" t="s">
        <v>200</v>
      </c>
      <c r="B817">
        <f>HYPERLINK("https://android.googlesource.com/platform/cts/+/4519ef0233588ce9ec811c98b079f8968123ea3e", "4519ef0233588ce9ec811c98b079f8968123ea3e")</f>
        <v>0</v>
      </c>
      <c r="C817">
        <f>HYPERLINK("https://android.googlesource.com/platform/cts/+/7ffa45749ba89deb64d607440319d217b352aaeb", "7ffa45749ba89deb64d607440319d217b352aaeb")</f>
        <v>0</v>
      </c>
      <c r="D817" t="s">
        <v>4941</v>
      </c>
      <c r="E817" t="s">
        <v>5998</v>
      </c>
      <c r="F817" t="s">
        <v>10750</v>
      </c>
      <c r="G817" t="s">
        <v>15148</v>
      </c>
      <c r="H817" t="s">
        <v>18829</v>
      </c>
    </row>
    <row r="818" spans="1:8">
      <c r="H818" t="s">
        <v>18863</v>
      </c>
    </row>
    <row r="819" spans="1:8">
      <c r="F819" t="s">
        <v>10751</v>
      </c>
      <c r="G819" t="s">
        <v>15149</v>
      </c>
      <c r="H819" t="s">
        <v>18829</v>
      </c>
    </row>
    <row r="820" spans="1:8">
      <c r="H820" t="s">
        <v>18863</v>
      </c>
    </row>
    <row r="821" spans="1:8">
      <c r="F821" t="s">
        <v>10752</v>
      </c>
      <c r="G821" t="s">
        <v>15150</v>
      </c>
      <c r="H821" t="s">
        <v>18829</v>
      </c>
    </row>
    <row r="822" spans="1:8">
      <c r="H822" t="s">
        <v>18863</v>
      </c>
    </row>
    <row r="823" spans="1:8">
      <c r="F823" t="s">
        <v>10753</v>
      </c>
      <c r="G823" t="s">
        <v>15151</v>
      </c>
      <c r="H823" t="s">
        <v>18829</v>
      </c>
    </row>
    <row r="824" spans="1:8">
      <c r="H824" t="s">
        <v>18863</v>
      </c>
    </row>
    <row r="825" spans="1:8">
      <c r="A825" t="s">
        <v>201</v>
      </c>
      <c r="B825">
        <f>HYPERLINK("https://android.googlesource.com/platform/cts/+/03b5b3969ad30306d539e6fc6fd1c992099b1a3b", "03b5b3969ad30306d539e6fc6fd1c992099b1a3b")</f>
        <v>0</v>
      </c>
      <c r="C825">
        <f>HYPERLINK("https://android.googlesource.com/platform/cts/+/f776e7d14dd531a0b27baf6c3f8cdaebdd7820dd", "f776e7d14dd531a0b27baf6c3f8cdaebdd7820dd")</f>
        <v>0</v>
      </c>
      <c r="D825" t="s">
        <v>4954</v>
      </c>
      <c r="E825" t="s">
        <v>5999</v>
      </c>
      <c r="F825" t="s">
        <v>10755</v>
      </c>
      <c r="G825" t="s">
        <v>15153</v>
      </c>
      <c r="H825" t="s">
        <v>19329</v>
      </c>
    </row>
    <row r="826" spans="1:8">
      <c r="A826" t="s">
        <v>202</v>
      </c>
      <c r="B826">
        <f>HYPERLINK("https://android.googlesource.com/platform/cts/+/02e6f82ac5d07e52ef3a314eefb0b62dadcf4b4d", "02e6f82ac5d07e52ef3a314eefb0b62dadcf4b4d")</f>
        <v>0</v>
      </c>
      <c r="C826">
        <f>HYPERLINK("https://android.googlesource.com/platform/cts/+/d764b34d21f8d88421741d61bbe47c726dab089e", "d764b34d21f8d88421741d61bbe47c726dab089e")</f>
        <v>0</v>
      </c>
      <c r="D826" t="s">
        <v>4942</v>
      </c>
      <c r="E826" t="s">
        <v>6000</v>
      </c>
      <c r="F826" t="s">
        <v>10597</v>
      </c>
      <c r="G826" t="s">
        <v>15000</v>
      </c>
      <c r="H826" t="s">
        <v>19330</v>
      </c>
    </row>
    <row r="827" spans="1:8">
      <c r="H827" t="s">
        <v>19331</v>
      </c>
    </row>
    <row r="828" spans="1:8">
      <c r="H828" t="s">
        <v>19332</v>
      </c>
    </row>
    <row r="829" spans="1:8">
      <c r="A829" t="s">
        <v>203</v>
      </c>
      <c r="B829">
        <f>HYPERLINK("https://android.googlesource.com/platform/cts/+/e14b2966aa778de618898eb9cedc92b883868d91", "e14b2966aa778de618898eb9cedc92b883868d91")</f>
        <v>0</v>
      </c>
      <c r="C829">
        <f>HYPERLINK("https://android.googlesource.com/platform/cts/+/d764b34d21f8d88421741d61bbe47c726dab089e", "d764b34d21f8d88421741d61bbe47c726dab089e")</f>
        <v>0</v>
      </c>
      <c r="D829" t="s">
        <v>4942</v>
      </c>
      <c r="E829" t="s">
        <v>6001</v>
      </c>
      <c r="F829" t="s">
        <v>10756</v>
      </c>
      <c r="G829" t="s">
        <v>15154</v>
      </c>
      <c r="H829" t="s">
        <v>19017</v>
      </c>
    </row>
    <row r="830" spans="1:8">
      <c r="H830" t="s">
        <v>19333</v>
      </c>
    </row>
    <row r="831" spans="1:8">
      <c r="H831" t="s">
        <v>19334</v>
      </c>
    </row>
    <row r="832" spans="1:8">
      <c r="A832" t="s">
        <v>204</v>
      </c>
      <c r="B832">
        <f>HYPERLINK("https://android.googlesource.com/platform/cts/+/99718555204b181fdefc1af1fa5fbe7bb435d710", "99718555204b181fdefc1af1fa5fbe7bb435d710")</f>
        <v>0</v>
      </c>
      <c r="C832">
        <f>HYPERLINK("https://android.googlesource.com/platform/cts/+/d764b34d21f8d88421741d61bbe47c726dab089e", "d764b34d21f8d88421741d61bbe47c726dab089e")</f>
        <v>0</v>
      </c>
      <c r="D832" t="s">
        <v>4942</v>
      </c>
      <c r="E832" t="s">
        <v>6002</v>
      </c>
      <c r="F832" t="s">
        <v>10757</v>
      </c>
      <c r="G832" t="s">
        <v>15155</v>
      </c>
      <c r="H832" t="s">
        <v>18876</v>
      </c>
    </row>
    <row r="833" spans="1:8">
      <c r="H833" t="s">
        <v>19335</v>
      </c>
    </row>
    <row r="834" spans="1:8">
      <c r="A834" t="s">
        <v>205</v>
      </c>
      <c r="B834">
        <f>HYPERLINK("https://android.googlesource.com/platform/cts/+/88867d8fc0858dcdd26b37cb61cb1044fb0c7ae6", "88867d8fc0858dcdd26b37cb61cb1044fb0c7ae6")</f>
        <v>0</v>
      </c>
      <c r="C834">
        <f>HYPERLINK("https://android.googlesource.com/platform/cts/+/1462c320cb676a3e9161e4e18e4729e25fbf3759", "1462c320cb676a3e9161e4e18e4729e25fbf3759")</f>
        <v>0</v>
      </c>
      <c r="D834" t="s">
        <v>4955</v>
      </c>
      <c r="E834" t="s">
        <v>6003</v>
      </c>
      <c r="F834" t="s">
        <v>10758</v>
      </c>
      <c r="G834" t="s">
        <v>15156</v>
      </c>
      <c r="H834" t="s">
        <v>19336</v>
      </c>
    </row>
    <row r="835" spans="1:8">
      <c r="A835" t="s">
        <v>206</v>
      </c>
      <c r="B835">
        <f>HYPERLINK("https://android.googlesource.com/platform/cts/+/ba6ba576280c6f9d0d8531be17a666415bdec5d9", "ba6ba576280c6f9d0d8531be17a666415bdec5d9")</f>
        <v>0</v>
      </c>
      <c r="C835">
        <f>HYPERLINK("https://android.googlesource.com/platform/cts/+/8fcbb1cee83ffa9b0c9146f59a5f265f086ef452", "8fcbb1cee83ffa9b0c9146f59a5f265f086ef452")</f>
        <v>0</v>
      </c>
      <c r="D835" t="s">
        <v>4942</v>
      </c>
      <c r="E835" t="s">
        <v>6004</v>
      </c>
      <c r="F835" t="s">
        <v>10729</v>
      </c>
      <c r="G835" t="s">
        <v>15128</v>
      </c>
      <c r="H835" t="s">
        <v>19337</v>
      </c>
    </row>
    <row r="836" spans="1:8">
      <c r="F836" t="s">
        <v>10759</v>
      </c>
      <c r="G836" t="s">
        <v>15157</v>
      </c>
      <c r="H836" t="s">
        <v>19338</v>
      </c>
    </row>
    <row r="837" spans="1:8">
      <c r="H837" t="s">
        <v>18829</v>
      </c>
    </row>
    <row r="838" spans="1:8">
      <c r="H838" t="s">
        <v>18863</v>
      </c>
    </row>
    <row r="839" spans="1:8">
      <c r="H839" t="s">
        <v>19339</v>
      </c>
    </row>
    <row r="840" spans="1:8">
      <c r="H840" t="s">
        <v>19340</v>
      </c>
    </row>
    <row r="841" spans="1:8">
      <c r="H841" t="s">
        <v>19341</v>
      </c>
    </row>
    <row r="842" spans="1:8">
      <c r="H842" t="s">
        <v>19342</v>
      </c>
    </row>
    <row r="843" spans="1:8">
      <c r="H843" t="s">
        <v>19343</v>
      </c>
    </row>
    <row r="844" spans="1:8">
      <c r="H844" t="s">
        <v>19344</v>
      </c>
    </row>
    <row r="845" spans="1:8">
      <c r="H845" t="s">
        <v>19345</v>
      </c>
    </row>
    <row r="846" spans="1:8">
      <c r="H846" t="s">
        <v>19346</v>
      </c>
    </row>
    <row r="847" spans="1:8">
      <c r="H847" t="s">
        <v>19347</v>
      </c>
    </row>
    <row r="848" spans="1:8">
      <c r="H848" t="s">
        <v>19348</v>
      </c>
    </row>
    <row r="849" spans="1:8">
      <c r="H849" t="s">
        <v>19349</v>
      </c>
    </row>
    <row r="850" spans="1:8">
      <c r="F850" t="s">
        <v>10687</v>
      </c>
      <c r="G850" t="s">
        <v>15087</v>
      </c>
      <c r="H850" t="s">
        <v>19350</v>
      </c>
    </row>
    <row r="851" spans="1:8">
      <c r="H851" t="s">
        <v>19351</v>
      </c>
    </row>
    <row r="852" spans="1:8">
      <c r="A852" t="s">
        <v>207</v>
      </c>
      <c r="B852">
        <f>HYPERLINK("https://android.googlesource.com/platform/cts/+/82c09945e8d6d7acdd65f505a3c0edcfa201537f", "82c09945e8d6d7acdd65f505a3c0edcfa201537f")</f>
        <v>0</v>
      </c>
      <c r="C852">
        <f>HYPERLINK("https://android.googlesource.com/platform/cts/+/8fcbb1cee83ffa9b0c9146f59a5f265f086ef452", "8fcbb1cee83ffa9b0c9146f59a5f265f086ef452")</f>
        <v>0</v>
      </c>
      <c r="D852" t="s">
        <v>4942</v>
      </c>
      <c r="E852" t="s">
        <v>6005</v>
      </c>
      <c r="F852" t="s">
        <v>10674</v>
      </c>
      <c r="G852" t="s">
        <v>15074</v>
      </c>
      <c r="H852" t="s">
        <v>19352</v>
      </c>
    </row>
    <row r="853" spans="1:8">
      <c r="H853" t="s">
        <v>19353</v>
      </c>
    </row>
    <row r="854" spans="1:8">
      <c r="F854" t="s">
        <v>10760</v>
      </c>
      <c r="G854" t="s">
        <v>15158</v>
      </c>
      <c r="H854" t="s">
        <v>19354</v>
      </c>
    </row>
    <row r="855" spans="1:8">
      <c r="F855" t="s">
        <v>10761</v>
      </c>
      <c r="G855" t="s">
        <v>15159</v>
      </c>
      <c r="H855" t="s">
        <v>19355</v>
      </c>
    </row>
    <row r="856" spans="1:8">
      <c r="A856" t="s">
        <v>208</v>
      </c>
      <c r="B856">
        <f>HYPERLINK("https://android.googlesource.com/platform/cts/+/40e62a6c4143d6312e2bf2e01d39c2bdf704949b", "40e62a6c4143d6312e2bf2e01d39c2bdf704949b")</f>
        <v>0</v>
      </c>
      <c r="C856">
        <f>HYPERLINK("https://android.googlesource.com/platform/cts/+/8fcbb1cee83ffa9b0c9146f59a5f265f086ef452", "8fcbb1cee83ffa9b0c9146f59a5f265f086ef452")</f>
        <v>0</v>
      </c>
      <c r="D856" t="s">
        <v>4942</v>
      </c>
      <c r="E856" t="s">
        <v>6006</v>
      </c>
      <c r="F856" t="s">
        <v>10597</v>
      </c>
      <c r="G856" t="s">
        <v>15000</v>
      </c>
      <c r="H856" t="s">
        <v>19356</v>
      </c>
    </row>
    <row r="857" spans="1:8">
      <c r="H857" t="s">
        <v>19357</v>
      </c>
    </row>
    <row r="858" spans="1:8">
      <c r="H858" t="s">
        <v>19358</v>
      </c>
    </row>
    <row r="859" spans="1:8">
      <c r="H859" t="s">
        <v>19359</v>
      </c>
    </row>
    <row r="860" spans="1:8">
      <c r="H860" t="s">
        <v>19360</v>
      </c>
    </row>
    <row r="861" spans="1:8">
      <c r="A861" t="s">
        <v>209</v>
      </c>
      <c r="B861">
        <f>HYPERLINK("https://android.googlesource.com/platform/cts/+/ad3337dad5c632e8eb55b7ac4b27f0cace622966", "ad3337dad5c632e8eb55b7ac4b27f0cace622966")</f>
        <v>0</v>
      </c>
      <c r="C861">
        <f>HYPERLINK("https://android.googlesource.com/platform/cts/+/88f05039c6b25935a7c6be796a7072df3821bc8f", "88f05039c6b25935a7c6be796a7072df3821bc8f")</f>
        <v>0</v>
      </c>
      <c r="D861" t="s">
        <v>4942</v>
      </c>
      <c r="E861" t="s">
        <v>6007</v>
      </c>
      <c r="F861" t="s">
        <v>10597</v>
      </c>
      <c r="G861" t="s">
        <v>15000</v>
      </c>
      <c r="H861" t="s">
        <v>19361</v>
      </c>
    </row>
    <row r="862" spans="1:8">
      <c r="A862" t="s">
        <v>210</v>
      </c>
      <c r="B862">
        <f>HYPERLINK("https://android.googlesource.com/platform/cts/+/014b13b2ddaf10beff931ee38c4396b1c06df3bd", "014b13b2ddaf10beff931ee38c4396b1c06df3bd")</f>
        <v>0</v>
      </c>
      <c r="C862">
        <f>HYPERLINK("https://android.googlesource.com/platform/cts/+/49bca3aafbcc877e4ea06bcdfab8dab060ef7244", "49bca3aafbcc877e4ea06bcdfab8dab060ef7244")</f>
        <v>0</v>
      </c>
      <c r="D862" t="s">
        <v>4942</v>
      </c>
      <c r="E862" t="s">
        <v>6008</v>
      </c>
      <c r="F862" t="s">
        <v>10761</v>
      </c>
      <c r="G862" t="s">
        <v>15159</v>
      </c>
      <c r="H862" t="s">
        <v>18876</v>
      </c>
    </row>
    <row r="863" spans="1:8">
      <c r="H863" t="s">
        <v>19362</v>
      </c>
    </row>
    <row r="864" spans="1:8">
      <c r="H864" t="s">
        <v>18878</v>
      </c>
    </row>
    <row r="865" spans="1:8">
      <c r="H865" t="s">
        <v>19363</v>
      </c>
    </row>
    <row r="866" spans="1:8">
      <c r="A866" t="s">
        <v>211</v>
      </c>
      <c r="B866">
        <f>HYPERLINK("https://android.googlesource.com/platform/cts/+/9cdd2ef81a52aac44660e10c97bf8d9d7e713a7e", "9cdd2ef81a52aac44660e10c97bf8d9d7e713a7e")</f>
        <v>0</v>
      </c>
      <c r="C866">
        <f>HYPERLINK("https://android.googlesource.com/platform/cts/+/49bca3aafbcc877e4ea06bcdfab8dab060ef7244", "49bca3aafbcc877e4ea06bcdfab8dab060ef7244")</f>
        <v>0</v>
      </c>
      <c r="D866" t="s">
        <v>4942</v>
      </c>
      <c r="E866" t="s">
        <v>6009</v>
      </c>
      <c r="F866" t="s">
        <v>10762</v>
      </c>
      <c r="G866" t="s">
        <v>14991</v>
      </c>
      <c r="H866" t="s">
        <v>19364</v>
      </c>
    </row>
    <row r="867" spans="1:8">
      <c r="H867" t="s">
        <v>19365</v>
      </c>
    </row>
    <row r="868" spans="1:8">
      <c r="H868" t="s">
        <v>19366</v>
      </c>
    </row>
    <row r="869" spans="1:8">
      <c r="H869" t="s">
        <v>19367</v>
      </c>
    </row>
    <row r="870" spans="1:8">
      <c r="H870" t="s">
        <v>19368</v>
      </c>
    </row>
    <row r="871" spans="1:8">
      <c r="H871" t="s">
        <v>19369</v>
      </c>
    </row>
    <row r="872" spans="1:8">
      <c r="H872" t="s">
        <v>19370</v>
      </c>
    </row>
    <row r="873" spans="1:8">
      <c r="F873" t="s">
        <v>10763</v>
      </c>
      <c r="G873" t="s">
        <v>15160</v>
      </c>
      <c r="H873" t="s">
        <v>19371</v>
      </c>
    </row>
    <row r="874" spans="1:8">
      <c r="H874" t="s">
        <v>19372</v>
      </c>
    </row>
    <row r="875" spans="1:8">
      <c r="H875" t="s">
        <v>19371</v>
      </c>
    </row>
    <row r="876" spans="1:8">
      <c r="H876" t="s">
        <v>19373</v>
      </c>
    </row>
    <row r="877" spans="1:8">
      <c r="H877" t="s">
        <v>19374</v>
      </c>
    </row>
    <row r="878" spans="1:8">
      <c r="H878" t="s">
        <v>19375</v>
      </c>
    </row>
    <row r="879" spans="1:8">
      <c r="H879" t="s">
        <v>19376</v>
      </c>
    </row>
    <row r="880" spans="1:8">
      <c r="H880" t="s">
        <v>19377</v>
      </c>
    </row>
    <row r="881" spans="8:8">
      <c r="H881" t="s">
        <v>19378</v>
      </c>
    </row>
    <row r="882" spans="8:8">
      <c r="H882" t="s">
        <v>19379</v>
      </c>
    </row>
    <row r="883" spans="8:8">
      <c r="H883" t="s">
        <v>19380</v>
      </c>
    </row>
    <row r="884" spans="8:8">
      <c r="H884" t="s">
        <v>19381</v>
      </c>
    </row>
    <row r="885" spans="8:8">
      <c r="H885" t="s">
        <v>19382</v>
      </c>
    </row>
    <row r="886" spans="8:8">
      <c r="H886" t="s">
        <v>19383</v>
      </c>
    </row>
    <row r="887" spans="8:8">
      <c r="H887" t="s">
        <v>19384</v>
      </c>
    </row>
    <row r="888" spans="8:8">
      <c r="H888" t="s">
        <v>19385</v>
      </c>
    </row>
    <row r="889" spans="8:8">
      <c r="H889" t="s">
        <v>19386</v>
      </c>
    </row>
    <row r="890" spans="8:8">
      <c r="H890" t="s">
        <v>19387</v>
      </c>
    </row>
    <row r="891" spans="8:8">
      <c r="H891" t="s">
        <v>19388</v>
      </c>
    </row>
    <row r="892" spans="8:8">
      <c r="H892" t="s">
        <v>19389</v>
      </c>
    </row>
    <row r="893" spans="8:8">
      <c r="H893" t="s">
        <v>19390</v>
      </c>
    </row>
    <row r="894" spans="8:8">
      <c r="H894" t="s">
        <v>19391</v>
      </c>
    </row>
    <row r="895" spans="8:8">
      <c r="H895" t="s">
        <v>19392</v>
      </c>
    </row>
    <row r="896" spans="8:8">
      <c r="H896" t="s">
        <v>19393</v>
      </c>
    </row>
    <row r="897" spans="8:8">
      <c r="H897" t="s">
        <v>19394</v>
      </c>
    </row>
    <row r="898" spans="8:8">
      <c r="H898" t="s">
        <v>18931</v>
      </c>
    </row>
    <row r="899" spans="8:8">
      <c r="H899" t="s">
        <v>19395</v>
      </c>
    </row>
    <row r="900" spans="8:8">
      <c r="H900" t="s">
        <v>19396</v>
      </c>
    </row>
    <row r="901" spans="8:8">
      <c r="H901" t="s">
        <v>19397</v>
      </c>
    </row>
    <row r="902" spans="8:8">
      <c r="H902" t="s">
        <v>19398</v>
      </c>
    </row>
    <row r="903" spans="8:8">
      <c r="H903" t="s">
        <v>19399</v>
      </c>
    </row>
    <row r="904" spans="8:8">
      <c r="H904" t="s">
        <v>19400</v>
      </c>
    </row>
    <row r="905" spans="8:8">
      <c r="H905" t="s">
        <v>19401</v>
      </c>
    </row>
    <row r="906" spans="8:8">
      <c r="H906" t="s">
        <v>19402</v>
      </c>
    </row>
    <row r="907" spans="8:8">
      <c r="H907" t="s">
        <v>19403</v>
      </c>
    </row>
    <row r="908" spans="8:8">
      <c r="H908" t="s">
        <v>19404</v>
      </c>
    </row>
    <row r="909" spans="8:8">
      <c r="H909" t="s">
        <v>19405</v>
      </c>
    </row>
    <row r="910" spans="8:8">
      <c r="H910" t="s">
        <v>19406</v>
      </c>
    </row>
    <row r="911" spans="8:8">
      <c r="H911" t="s">
        <v>19407</v>
      </c>
    </row>
    <row r="912" spans="8:8">
      <c r="H912" t="s">
        <v>19408</v>
      </c>
    </row>
    <row r="913" spans="8:8">
      <c r="H913" t="s">
        <v>19409</v>
      </c>
    </row>
    <row r="914" spans="8:8">
      <c r="H914" t="s">
        <v>19410</v>
      </c>
    </row>
    <row r="915" spans="8:8">
      <c r="H915" t="s">
        <v>19411</v>
      </c>
    </row>
    <row r="916" spans="8:8">
      <c r="H916" t="s">
        <v>19412</v>
      </c>
    </row>
    <row r="917" spans="8:8">
      <c r="H917" t="s">
        <v>19413</v>
      </c>
    </row>
    <row r="918" spans="8:8">
      <c r="H918" t="s">
        <v>19414</v>
      </c>
    </row>
    <row r="919" spans="8:8">
      <c r="H919" t="s">
        <v>19415</v>
      </c>
    </row>
    <row r="920" spans="8:8">
      <c r="H920" t="s">
        <v>19416</v>
      </c>
    </row>
    <row r="921" spans="8:8">
      <c r="H921" t="s">
        <v>19417</v>
      </c>
    </row>
    <row r="922" spans="8:8">
      <c r="H922" t="s">
        <v>19418</v>
      </c>
    </row>
    <row r="923" spans="8:8">
      <c r="H923" t="s">
        <v>19419</v>
      </c>
    </row>
    <row r="924" spans="8:8">
      <c r="H924" t="s">
        <v>19420</v>
      </c>
    </row>
    <row r="925" spans="8:8">
      <c r="H925" t="s">
        <v>19421</v>
      </c>
    </row>
    <row r="926" spans="8:8">
      <c r="H926" t="s">
        <v>19422</v>
      </c>
    </row>
    <row r="927" spans="8:8">
      <c r="H927" t="s">
        <v>19423</v>
      </c>
    </row>
    <row r="928" spans="8:8">
      <c r="H928" t="s">
        <v>19424</v>
      </c>
    </row>
    <row r="929" spans="6:8">
      <c r="H929" t="s">
        <v>19425</v>
      </c>
    </row>
    <row r="930" spans="6:8">
      <c r="H930" t="s">
        <v>19426</v>
      </c>
    </row>
    <row r="931" spans="6:8">
      <c r="F931" t="s">
        <v>10764</v>
      </c>
      <c r="G931" t="s">
        <v>15161</v>
      </c>
      <c r="H931" t="s">
        <v>19427</v>
      </c>
    </row>
    <row r="932" spans="6:8">
      <c r="H932" t="s">
        <v>19428</v>
      </c>
    </row>
    <row r="933" spans="6:8">
      <c r="H933" t="s">
        <v>18940</v>
      </c>
    </row>
    <row r="934" spans="6:8">
      <c r="H934" t="s">
        <v>19429</v>
      </c>
    </row>
    <row r="935" spans="6:8">
      <c r="H935" t="s">
        <v>19430</v>
      </c>
    </row>
    <row r="936" spans="6:8">
      <c r="H936" t="s">
        <v>19431</v>
      </c>
    </row>
    <row r="937" spans="6:8">
      <c r="F937" t="s">
        <v>10765</v>
      </c>
      <c r="G937" t="s">
        <v>15162</v>
      </c>
      <c r="H937" t="s">
        <v>19432</v>
      </c>
    </row>
    <row r="938" spans="6:8">
      <c r="H938" t="s">
        <v>19432</v>
      </c>
    </row>
    <row r="939" spans="6:8">
      <c r="H939" t="s">
        <v>19433</v>
      </c>
    </row>
    <row r="940" spans="6:8">
      <c r="H940" t="s">
        <v>19434</v>
      </c>
    </row>
    <row r="941" spans="6:8">
      <c r="H941" t="s">
        <v>19435</v>
      </c>
    </row>
    <row r="942" spans="6:8">
      <c r="H942" t="s">
        <v>19436</v>
      </c>
    </row>
    <row r="943" spans="6:8">
      <c r="H943" t="s">
        <v>19437</v>
      </c>
    </row>
    <row r="944" spans="6:8">
      <c r="H944" t="s">
        <v>19438</v>
      </c>
    </row>
    <row r="945" spans="6:8">
      <c r="H945" t="s">
        <v>19439</v>
      </c>
    </row>
    <row r="946" spans="6:8">
      <c r="H946" t="s">
        <v>19440</v>
      </c>
    </row>
    <row r="947" spans="6:8">
      <c r="H947" t="s">
        <v>19441</v>
      </c>
    </row>
    <row r="948" spans="6:8">
      <c r="H948" t="s">
        <v>19392</v>
      </c>
    </row>
    <row r="949" spans="6:8">
      <c r="H949" t="s">
        <v>19442</v>
      </c>
    </row>
    <row r="950" spans="6:8">
      <c r="F950" t="s">
        <v>10766</v>
      </c>
      <c r="G950" t="s">
        <v>15160</v>
      </c>
      <c r="H950" t="s">
        <v>19371</v>
      </c>
    </row>
    <row r="951" spans="6:8">
      <c r="H951" t="s">
        <v>19372</v>
      </c>
    </row>
    <row r="952" spans="6:8">
      <c r="H952" t="s">
        <v>19371</v>
      </c>
    </row>
    <row r="953" spans="6:8">
      <c r="H953" t="s">
        <v>19443</v>
      </c>
    </row>
    <row r="954" spans="6:8">
      <c r="H954" t="s">
        <v>19397</v>
      </c>
    </row>
    <row r="955" spans="6:8">
      <c r="H955" t="s">
        <v>19444</v>
      </c>
    </row>
    <row r="956" spans="6:8">
      <c r="H956" t="s">
        <v>19445</v>
      </c>
    </row>
    <row r="957" spans="6:8">
      <c r="H957" t="s">
        <v>19446</v>
      </c>
    </row>
    <row r="958" spans="6:8">
      <c r="H958" t="s">
        <v>19395</v>
      </c>
    </row>
    <row r="959" spans="6:8">
      <c r="H959" t="s">
        <v>18931</v>
      </c>
    </row>
    <row r="960" spans="6:8">
      <c r="H960" t="s">
        <v>19406</v>
      </c>
    </row>
    <row r="961" spans="8:8">
      <c r="H961" t="s">
        <v>19405</v>
      </c>
    </row>
    <row r="962" spans="8:8">
      <c r="H962" t="s">
        <v>19373</v>
      </c>
    </row>
    <row r="963" spans="8:8">
      <c r="H963" t="s">
        <v>19374</v>
      </c>
    </row>
    <row r="964" spans="8:8">
      <c r="H964" t="s">
        <v>19375</v>
      </c>
    </row>
    <row r="965" spans="8:8">
      <c r="H965" t="s">
        <v>19376</v>
      </c>
    </row>
    <row r="966" spans="8:8">
      <c r="H966" t="s">
        <v>19377</v>
      </c>
    </row>
    <row r="967" spans="8:8">
      <c r="H967" t="s">
        <v>19377</v>
      </c>
    </row>
    <row r="968" spans="8:8">
      <c r="H968" t="s">
        <v>19378</v>
      </c>
    </row>
    <row r="969" spans="8:8">
      <c r="H969" t="s">
        <v>19382</v>
      </c>
    </row>
    <row r="970" spans="8:8">
      <c r="H970" t="s">
        <v>19388</v>
      </c>
    </row>
    <row r="971" spans="8:8">
      <c r="H971" t="s">
        <v>19447</v>
      </c>
    </row>
    <row r="972" spans="8:8">
      <c r="H972" t="s">
        <v>19448</v>
      </c>
    </row>
    <row r="973" spans="8:8">
      <c r="H973" t="s">
        <v>18966</v>
      </c>
    </row>
    <row r="974" spans="8:8">
      <c r="H974" t="s">
        <v>19449</v>
      </c>
    </row>
    <row r="975" spans="8:8">
      <c r="H975" t="s">
        <v>19411</v>
      </c>
    </row>
    <row r="976" spans="8:8">
      <c r="H976" t="s">
        <v>19441</v>
      </c>
    </row>
    <row r="977" spans="1:8">
      <c r="H977" t="s">
        <v>19436</v>
      </c>
    </row>
    <row r="978" spans="1:8">
      <c r="H978" t="s">
        <v>19414</v>
      </c>
    </row>
    <row r="979" spans="1:8">
      <c r="H979" t="s">
        <v>19386</v>
      </c>
    </row>
    <row r="980" spans="1:8">
      <c r="H980" t="s">
        <v>19450</v>
      </c>
    </row>
    <row r="981" spans="1:8">
      <c r="H981" t="s">
        <v>19451</v>
      </c>
    </row>
    <row r="982" spans="1:8">
      <c r="H982" t="s">
        <v>19391</v>
      </c>
    </row>
    <row r="983" spans="1:8">
      <c r="H983" t="s">
        <v>19452</v>
      </c>
    </row>
    <row r="984" spans="1:8">
      <c r="H984" t="s">
        <v>19415</v>
      </c>
    </row>
    <row r="985" spans="1:8">
      <c r="H985" t="s">
        <v>19419</v>
      </c>
    </row>
    <row r="986" spans="1:8">
      <c r="H986" t="s">
        <v>19422</v>
      </c>
    </row>
    <row r="987" spans="1:8">
      <c r="H987" t="s">
        <v>19423</v>
      </c>
    </row>
    <row r="988" spans="1:8">
      <c r="H988" t="s">
        <v>19424</v>
      </c>
    </row>
    <row r="989" spans="1:8">
      <c r="H989" t="s">
        <v>19425</v>
      </c>
    </row>
    <row r="990" spans="1:8">
      <c r="H990" t="s">
        <v>19426</v>
      </c>
    </row>
    <row r="991" spans="1:8">
      <c r="A991" t="s">
        <v>212</v>
      </c>
      <c r="B991">
        <f>HYPERLINK("https://android.googlesource.com/platform/cts/+/e94b30f509953a7bc868a92ea03895129d33ed3e", "e94b30f509953a7bc868a92ea03895129d33ed3e")</f>
        <v>0</v>
      </c>
      <c r="C991">
        <f>HYPERLINK("https://android.googlesource.com/platform/cts/+/5491f0455b209e5fd9cc9f037b614a02dc2ddb5d", "5491f0455b209e5fd9cc9f037b614a02dc2ddb5d")</f>
        <v>0</v>
      </c>
      <c r="D991" t="s">
        <v>4941</v>
      </c>
      <c r="E991" t="s">
        <v>6010</v>
      </c>
      <c r="F991" t="s">
        <v>10767</v>
      </c>
      <c r="G991" t="s">
        <v>15163</v>
      </c>
      <c r="H991" t="s">
        <v>19453</v>
      </c>
    </row>
    <row r="992" spans="1:8">
      <c r="H992" t="s">
        <v>18829</v>
      </c>
    </row>
    <row r="993" spans="1:8">
      <c r="H993" t="s">
        <v>18836</v>
      </c>
    </row>
    <row r="994" spans="1:8">
      <c r="H994" t="s">
        <v>19454</v>
      </c>
    </row>
    <row r="995" spans="1:8">
      <c r="A995" t="s">
        <v>213</v>
      </c>
      <c r="B995">
        <f>HYPERLINK("https://android.googlesource.com/platform/cts/+/4263db43b12c670603c1fbac33d9555fd991381b", "4263db43b12c670603c1fbac33d9555fd991381b")</f>
        <v>0</v>
      </c>
      <c r="C995">
        <f>HYPERLINK("https://android.googlesource.com/platform/cts/+/748455d9de384420cf0a74f1c8ca77c10ced5f76", "748455d9de384420cf0a74f1c8ca77c10ced5f76")</f>
        <v>0</v>
      </c>
      <c r="D995" t="s">
        <v>4932</v>
      </c>
      <c r="E995" t="s">
        <v>6011</v>
      </c>
      <c r="F995" t="s">
        <v>10768</v>
      </c>
      <c r="G995" t="s">
        <v>15164</v>
      </c>
      <c r="H995" t="s">
        <v>19455</v>
      </c>
    </row>
    <row r="996" spans="1:8">
      <c r="H996" t="s">
        <v>18927</v>
      </c>
    </row>
    <row r="997" spans="1:8">
      <c r="A997" t="s">
        <v>214</v>
      </c>
      <c r="B997">
        <f>HYPERLINK("https://android.googlesource.com/platform/cts/+/f4bec7392d3b487ac33c4d90e2a3ba1e957abf17", "f4bec7392d3b487ac33c4d90e2a3ba1e957abf17")</f>
        <v>0</v>
      </c>
      <c r="C997">
        <f>HYPERLINK("https://android.googlesource.com/platform/cts/+/0de4f16540d274d294b3b69dd291157ac3f4181d", "0de4f16540d274d294b3b69dd291157ac3f4181d")</f>
        <v>0</v>
      </c>
      <c r="D997" t="s">
        <v>4932</v>
      </c>
      <c r="E997" t="s">
        <v>6012</v>
      </c>
      <c r="F997" t="s">
        <v>10745</v>
      </c>
      <c r="G997" t="s">
        <v>15144</v>
      </c>
      <c r="H997" t="s">
        <v>19456</v>
      </c>
    </row>
    <row r="998" spans="1:8">
      <c r="H998" t="s">
        <v>19457</v>
      </c>
    </row>
    <row r="999" spans="1:8">
      <c r="A999" t="s">
        <v>215</v>
      </c>
      <c r="B999">
        <f>HYPERLINK("https://android.googlesource.com/platform/cts/+/53ba7ba949b94d1e008f564897749eb62534f732", "53ba7ba949b94d1e008f564897749eb62534f732")</f>
        <v>0</v>
      </c>
      <c r="C999">
        <f>HYPERLINK("https://android.googlesource.com/platform/cts/+/438f5fec5e0bdbf1a7636a0a2196290226b0b1a1", "438f5fec5e0bdbf1a7636a0a2196290226b0b1a1")</f>
        <v>0</v>
      </c>
      <c r="D999" t="s">
        <v>4956</v>
      </c>
      <c r="E999" t="s">
        <v>6013</v>
      </c>
      <c r="F999" t="s">
        <v>10769</v>
      </c>
      <c r="G999" t="s">
        <v>15165</v>
      </c>
      <c r="H999" t="s">
        <v>19458</v>
      </c>
    </row>
    <row r="1000" spans="1:8">
      <c r="A1000" t="s">
        <v>216</v>
      </c>
      <c r="B1000">
        <f>HYPERLINK("https://android.googlesource.com/platform/cts/+/e18f03f39acb7cd00be791de9b24f166ac31d428", "e18f03f39acb7cd00be791de9b24f166ac31d428")</f>
        <v>0</v>
      </c>
      <c r="C1000">
        <f>HYPERLINK("https://android.googlesource.com/platform/cts/+/329bcafd4de96c1d359efe3dc455cde0f876e412", "329bcafd4de96c1d359efe3dc455cde0f876e412")</f>
        <v>0</v>
      </c>
      <c r="D1000" t="s">
        <v>4949</v>
      </c>
      <c r="E1000" t="s">
        <v>6014</v>
      </c>
      <c r="F1000" t="s">
        <v>10699</v>
      </c>
      <c r="G1000" t="s">
        <v>15099</v>
      </c>
      <c r="H1000" t="s">
        <v>19459</v>
      </c>
    </row>
    <row r="1001" spans="1:8">
      <c r="A1001" t="s">
        <v>217</v>
      </c>
      <c r="B1001">
        <f>HYPERLINK("https://android.googlesource.com/platform/cts/+/70ebda42367ada13ff1500bf7d985714055c4cdc", "70ebda42367ada13ff1500bf7d985714055c4cdc")</f>
        <v>0</v>
      </c>
      <c r="C1001">
        <f>HYPERLINK("https://android.googlesource.com/platform/cts/+/98116f2f65e6cfbaad676baf444e74f53ab6054f", "98116f2f65e6cfbaad676baf444e74f53ab6054f")</f>
        <v>0</v>
      </c>
      <c r="D1001" t="s">
        <v>4939</v>
      </c>
      <c r="E1001" t="s">
        <v>6015</v>
      </c>
      <c r="F1001" t="s">
        <v>10770</v>
      </c>
      <c r="G1001" t="s">
        <v>15166</v>
      </c>
      <c r="H1001" t="s">
        <v>19460</v>
      </c>
    </row>
    <row r="1002" spans="1:8">
      <c r="H1002" t="s">
        <v>19461</v>
      </c>
    </row>
    <row r="1003" spans="1:8">
      <c r="H1003" t="s">
        <v>19462</v>
      </c>
    </row>
    <row r="1004" spans="1:8">
      <c r="H1004" t="s">
        <v>19463</v>
      </c>
    </row>
    <row r="1005" spans="1:8">
      <c r="H1005" t="s">
        <v>19464</v>
      </c>
    </row>
    <row r="1006" spans="1:8">
      <c r="H1006" t="s">
        <v>19465</v>
      </c>
    </row>
    <row r="1007" spans="1:8">
      <c r="H1007" t="s">
        <v>19466</v>
      </c>
    </row>
    <row r="1008" spans="1:8">
      <c r="A1008" t="s">
        <v>218</v>
      </c>
      <c r="B1008">
        <f>HYPERLINK("https://android.googlesource.com/platform/cts/+/31dffc44798a121cd86fe1aa9d45fa717c455405", "31dffc44798a121cd86fe1aa9d45fa717c455405")</f>
        <v>0</v>
      </c>
      <c r="C1008">
        <f>HYPERLINK("https://android.googlesource.com/platform/cts/+/0c0b54c704610067ab706ce5b7bd570ec3d1676d", "0c0b54c704610067ab706ce5b7bd570ec3d1676d")</f>
        <v>0</v>
      </c>
      <c r="D1008" t="s">
        <v>4942</v>
      </c>
      <c r="E1008" t="s">
        <v>6016</v>
      </c>
      <c r="F1008" t="s">
        <v>10771</v>
      </c>
      <c r="G1008" t="s">
        <v>15167</v>
      </c>
      <c r="H1008" t="s">
        <v>19467</v>
      </c>
    </row>
    <row r="1009" spans="6:8">
      <c r="H1009" t="s">
        <v>18829</v>
      </c>
    </row>
    <row r="1010" spans="6:8">
      <c r="H1010" t="s">
        <v>19468</v>
      </c>
    </row>
    <row r="1011" spans="6:8">
      <c r="H1011" t="s">
        <v>19469</v>
      </c>
    </row>
    <row r="1012" spans="6:8">
      <c r="H1012" t="s">
        <v>19470</v>
      </c>
    </row>
    <row r="1013" spans="6:8">
      <c r="F1013" t="s">
        <v>10692</v>
      </c>
      <c r="G1013" t="s">
        <v>15092</v>
      </c>
      <c r="H1013" t="s">
        <v>19471</v>
      </c>
    </row>
    <row r="1014" spans="6:8">
      <c r="H1014" t="s">
        <v>18829</v>
      </c>
    </row>
    <row r="1015" spans="6:8">
      <c r="H1015" t="s">
        <v>19472</v>
      </c>
    </row>
    <row r="1016" spans="6:8">
      <c r="H1016" t="s">
        <v>19473</v>
      </c>
    </row>
    <row r="1017" spans="6:8">
      <c r="H1017" t="s">
        <v>19474</v>
      </c>
    </row>
    <row r="1018" spans="6:8">
      <c r="H1018" t="s">
        <v>19475</v>
      </c>
    </row>
    <row r="1019" spans="6:8">
      <c r="H1019" t="s">
        <v>19476</v>
      </c>
    </row>
    <row r="1020" spans="6:8">
      <c r="F1020" t="s">
        <v>10772</v>
      </c>
      <c r="G1020" t="s">
        <v>15168</v>
      </c>
      <c r="H1020" t="s">
        <v>19477</v>
      </c>
    </row>
    <row r="1021" spans="6:8">
      <c r="H1021" t="s">
        <v>18829</v>
      </c>
    </row>
    <row r="1022" spans="6:8">
      <c r="H1022" t="s">
        <v>19478</v>
      </c>
    </row>
    <row r="1023" spans="6:8">
      <c r="F1023" t="s">
        <v>10773</v>
      </c>
      <c r="G1023" t="s">
        <v>15169</v>
      </c>
      <c r="H1023" t="s">
        <v>19479</v>
      </c>
    </row>
    <row r="1024" spans="6:8">
      <c r="H1024" t="s">
        <v>19480</v>
      </c>
    </row>
    <row r="1025" spans="1:8">
      <c r="A1025" t="s">
        <v>219</v>
      </c>
      <c r="B1025">
        <f>HYPERLINK("https://android.googlesource.com/platform/cts/+/cfc435a9f0ab0197897d7d68b9c02edd79a78083", "cfc435a9f0ab0197897d7d68b9c02edd79a78083")</f>
        <v>0</v>
      </c>
      <c r="C1025">
        <f>HYPERLINK("https://android.googlesource.com/platform/cts/+/23b200141c667cb9849c594cba37ca5dbb60b8fb", "23b200141c667cb9849c594cba37ca5dbb60b8fb")</f>
        <v>0</v>
      </c>
      <c r="D1025" t="s">
        <v>4951</v>
      </c>
      <c r="E1025" t="s">
        <v>6017</v>
      </c>
      <c r="F1025" t="s">
        <v>10687</v>
      </c>
      <c r="G1025" t="s">
        <v>15087</v>
      </c>
      <c r="H1025" t="s">
        <v>19481</v>
      </c>
    </row>
    <row r="1026" spans="1:8">
      <c r="H1026" t="s">
        <v>19482</v>
      </c>
    </row>
    <row r="1027" spans="1:8">
      <c r="A1027" t="s">
        <v>220</v>
      </c>
      <c r="B1027">
        <f>HYPERLINK("https://android.googlesource.com/platform/cts/+/96209017c2d7664ca607aedc19ba87ff322c6368", "96209017c2d7664ca607aedc19ba87ff322c6368")</f>
        <v>0</v>
      </c>
      <c r="C1027">
        <f>HYPERLINK("https://android.googlesource.com/platform/cts/+/cfc435a9f0ab0197897d7d68b9c02edd79a78083", "cfc435a9f0ab0197897d7d68b9c02edd79a78083")</f>
        <v>0</v>
      </c>
      <c r="D1027" t="s">
        <v>4951</v>
      </c>
      <c r="E1027" t="s">
        <v>6018</v>
      </c>
      <c r="F1027" t="s">
        <v>10687</v>
      </c>
      <c r="G1027" t="s">
        <v>15087</v>
      </c>
      <c r="H1027" t="s">
        <v>19483</v>
      </c>
    </row>
    <row r="1028" spans="1:8">
      <c r="A1028" t="s">
        <v>221</v>
      </c>
      <c r="B1028">
        <f>HYPERLINK("https://android.googlesource.com/platform/cts/+/dc83de84ca93e0d4d8660f345addc1dc39752208", "dc83de84ca93e0d4d8660f345addc1dc39752208")</f>
        <v>0</v>
      </c>
      <c r="C1028">
        <f>HYPERLINK("https://android.googlesource.com/platform/cts/+/57601b61145d83281c8839b526ca20adddf8efb0", "57601b61145d83281c8839b526ca20adddf8efb0")</f>
        <v>0</v>
      </c>
      <c r="D1028" t="s">
        <v>4940</v>
      </c>
      <c r="E1028" t="s">
        <v>6019</v>
      </c>
      <c r="F1028" t="s">
        <v>10670</v>
      </c>
      <c r="G1028" t="s">
        <v>15029</v>
      </c>
      <c r="H1028" t="s">
        <v>19484</v>
      </c>
    </row>
    <row r="1029" spans="1:8">
      <c r="A1029" t="s">
        <v>222</v>
      </c>
      <c r="B1029">
        <f>HYPERLINK("https://android.googlesource.com/platform/cts/+/a5d6c08226b2ffc09af39c38c7c0e2ddba27a399", "a5d6c08226b2ffc09af39c38c7c0e2ddba27a399")</f>
        <v>0</v>
      </c>
      <c r="C1029">
        <f>HYPERLINK("https://android.googlesource.com/platform/cts/+/e142bf077e83c09f1bf22fd36f87715c9c751b7a", "e142bf077e83c09f1bf22fd36f87715c9c751b7a")</f>
        <v>0</v>
      </c>
      <c r="D1029" t="s">
        <v>4942</v>
      </c>
      <c r="E1029" t="s">
        <v>6020</v>
      </c>
      <c r="F1029" t="s">
        <v>10585</v>
      </c>
      <c r="G1029" t="s">
        <v>14988</v>
      </c>
      <c r="H1029" t="s">
        <v>19485</v>
      </c>
    </row>
    <row r="1030" spans="1:8">
      <c r="A1030" t="s">
        <v>223</v>
      </c>
      <c r="B1030">
        <f>HYPERLINK("https://android.googlesource.com/platform/cts/+/54fa79b3c802e93e253b9fe5b87e4ee5205ea215", "54fa79b3c802e93e253b9fe5b87e4ee5205ea215")</f>
        <v>0</v>
      </c>
      <c r="C1030">
        <f>HYPERLINK("https://android.googlesource.com/platform/cts/+/e29c775f845c43da9201eba49b762b633a537768", "e29c775f845c43da9201eba49b762b633a537768")</f>
        <v>0</v>
      </c>
      <c r="D1030" t="s">
        <v>4951</v>
      </c>
      <c r="E1030" t="s">
        <v>6021</v>
      </c>
      <c r="F1030" t="s">
        <v>10687</v>
      </c>
      <c r="G1030" t="s">
        <v>15087</v>
      </c>
      <c r="H1030" t="s">
        <v>19486</v>
      </c>
    </row>
    <row r="1031" spans="1:8">
      <c r="H1031" t="s">
        <v>19487</v>
      </c>
    </row>
    <row r="1032" spans="1:8">
      <c r="H1032" t="s">
        <v>19488</v>
      </c>
    </row>
    <row r="1033" spans="1:8">
      <c r="A1033" t="s">
        <v>224</v>
      </c>
      <c r="B1033">
        <f>HYPERLINK("https://android.googlesource.com/platform/cts/+/9666de68707ac132d19f9ba896e37a05483c3e16", "9666de68707ac132d19f9ba896e37a05483c3e16")</f>
        <v>0</v>
      </c>
      <c r="C1033">
        <f>HYPERLINK("https://android.googlesource.com/platform/cts/+/54fa79b3c802e93e253b9fe5b87e4ee5205ea215", "54fa79b3c802e93e253b9fe5b87e4ee5205ea215")</f>
        <v>0</v>
      </c>
      <c r="D1033" t="s">
        <v>4951</v>
      </c>
      <c r="E1033" t="s">
        <v>6022</v>
      </c>
      <c r="F1033" t="s">
        <v>10687</v>
      </c>
      <c r="G1033" t="s">
        <v>15087</v>
      </c>
      <c r="H1033" t="s">
        <v>19489</v>
      </c>
    </row>
    <row r="1034" spans="1:8">
      <c r="H1034" t="s">
        <v>19490</v>
      </c>
    </row>
    <row r="1035" spans="1:8">
      <c r="A1035" t="s">
        <v>225</v>
      </c>
      <c r="B1035">
        <f>HYPERLINK("https://android.googlesource.com/platform/cts/+/345b2d7088be6f2e3651c82537faafe2c681a948", "345b2d7088be6f2e3651c82537faafe2c681a948")</f>
        <v>0</v>
      </c>
      <c r="C1035">
        <f>HYPERLINK("https://android.googlesource.com/platform/cts/+/9666de68707ac132d19f9ba896e37a05483c3e16", "9666de68707ac132d19f9ba896e37a05483c3e16")</f>
        <v>0</v>
      </c>
      <c r="D1035" t="s">
        <v>4951</v>
      </c>
      <c r="E1035" t="s">
        <v>6023</v>
      </c>
      <c r="F1035" t="s">
        <v>10687</v>
      </c>
      <c r="G1035" t="s">
        <v>15087</v>
      </c>
      <c r="H1035" t="s">
        <v>19491</v>
      </c>
    </row>
    <row r="1036" spans="1:8">
      <c r="A1036" t="s">
        <v>226</v>
      </c>
      <c r="B1036">
        <f>HYPERLINK("https://android.googlesource.com/platform/cts/+/60dfe9f6c019b29ffaf20403832dbe95de01bdc8", "60dfe9f6c019b29ffaf20403832dbe95de01bdc8")</f>
        <v>0</v>
      </c>
      <c r="C1036">
        <f>HYPERLINK("https://android.googlesource.com/platform/cts/+/345b2d7088be6f2e3651c82537faafe2c681a948", "345b2d7088be6f2e3651c82537faafe2c681a948")</f>
        <v>0</v>
      </c>
      <c r="D1036" t="s">
        <v>4951</v>
      </c>
      <c r="E1036" t="s">
        <v>6024</v>
      </c>
      <c r="F1036" t="s">
        <v>10687</v>
      </c>
      <c r="G1036" t="s">
        <v>15087</v>
      </c>
      <c r="H1036" t="s">
        <v>19492</v>
      </c>
    </row>
    <row r="1037" spans="1:8">
      <c r="A1037" t="s">
        <v>227</v>
      </c>
      <c r="B1037">
        <f>HYPERLINK("https://android.googlesource.com/platform/cts/+/583b81600edec7178df4ece2968efba3e2a3f5c4", "583b81600edec7178df4ece2968efba3e2a3f5c4")</f>
        <v>0</v>
      </c>
      <c r="C1037">
        <f>HYPERLINK("https://android.googlesource.com/platform/cts/+/60dfe9f6c019b29ffaf20403832dbe95de01bdc8", "60dfe9f6c019b29ffaf20403832dbe95de01bdc8")</f>
        <v>0</v>
      </c>
      <c r="D1037" t="s">
        <v>4951</v>
      </c>
      <c r="E1037" t="s">
        <v>6025</v>
      </c>
      <c r="F1037" t="s">
        <v>10687</v>
      </c>
      <c r="G1037" t="s">
        <v>15087</v>
      </c>
      <c r="H1037" t="s">
        <v>19493</v>
      </c>
    </row>
    <row r="1038" spans="1:8">
      <c r="H1038" t="s">
        <v>19494</v>
      </c>
    </row>
    <row r="1039" spans="1:8">
      <c r="H1039" t="s">
        <v>19495</v>
      </c>
    </row>
    <row r="1040" spans="1:8">
      <c r="H1040" t="s">
        <v>18893</v>
      </c>
    </row>
    <row r="1041" spans="1:8">
      <c r="H1041" t="s">
        <v>19496</v>
      </c>
    </row>
    <row r="1042" spans="1:8">
      <c r="A1042" t="s">
        <v>228</v>
      </c>
      <c r="B1042">
        <f>HYPERLINK("https://android.googlesource.com/platform/cts/+/6f1581a70661e3e086a9def6d56897dd63ae9606", "6f1581a70661e3e086a9def6d56897dd63ae9606")</f>
        <v>0</v>
      </c>
      <c r="C1042">
        <f>HYPERLINK("https://android.googlesource.com/platform/cts/+/eb06accba2770b9f9265558b870daeebaf229a7f", "eb06accba2770b9f9265558b870daeebaf229a7f")</f>
        <v>0</v>
      </c>
      <c r="D1042" t="s">
        <v>4951</v>
      </c>
      <c r="E1042" t="s">
        <v>6026</v>
      </c>
      <c r="F1042" t="s">
        <v>10687</v>
      </c>
      <c r="G1042" t="s">
        <v>15087</v>
      </c>
      <c r="H1042" t="s">
        <v>19497</v>
      </c>
    </row>
    <row r="1043" spans="1:8">
      <c r="H1043" t="s">
        <v>19498</v>
      </c>
    </row>
    <row r="1044" spans="1:8">
      <c r="H1044" t="s">
        <v>18927</v>
      </c>
    </row>
    <row r="1045" spans="1:8">
      <c r="H1045" t="s">
        <v>19499</v>
      </c>
    </row>
    <row r="1046" spans="1:8">
      <c r="H1046" t="s">
        <v>19500</v>
      </c>
    </row>
    <row r="1047" spans="1:8">
      <c r="H1047" t="s">
        <v>18927</v>
      </c>
    </row>
    <row r="1048" spans="1:8">
      <c r="A1048" t="s">
        <v>229</v>
      </c>
      <c r="B1048">
        <f>HYPERLINK("https://android.googlesource.com/platform/cts/+/f583fe9b174699df169b4311d79499071786ee5f", "f583fe9b174699df169b4311d79499071786ee5f")</f>
        <v>0</v>
      </c>
      <c r="C1048">
        <f>HYPERLINK("https://android.googlesource.com/platform/cts/+/4a66ef4ace3d9518b519cd5a44b0ce6e6d116930", "4a66ef4ace3d9518b519cd5a44b0ce6e6d116930")</f>
        <v>0</v>
      </c>
      <c r="D1048" t="s">
        <v>4928</v>
      </c>
      <c r="E1048" t="s">
        <v>6027</v>
      </c>
      <c r="F1048" t="s">
        <v>10664</v>
      </c>
      <c r="G1048" t="s">
        <v>15065</v>
      </c>
      <c r="H1048" t="s">
        <v>19501</v>
      </c>
    </row>
    <row r="1049" spans="1:8">
      <c r="A1049" t="s">
        <v>230</v>
      </c>
      <c r="B1049">
        <f>HYPERLINK("https://android.googlesource.com/platform/cts/+/e9b5c73242e7d29b5d7f386cca61eadc6166e15a", "e9b5c73242e7d29b5d7f386cca61eadc6166e15a")</f>
        <v>0</v>
      </c>
      <c r="C1049">
        <f>HYPERLINK("https://android.googlesource.com/platform/cts/+/6f1581a70661e3e086a9def6d56897dd63ae9606", "6f1581a70661e3e086a9def6d56897dd63ae9606")</f>
        <v>0</v>
      </c>
      <c r="D1049" t="s">
        <v>4951</v>
      </c>
      <c r="E1049" t="s">
        <v>6028</v>
      </c>
      <c r="F1049" t="s">
        <v>10687</v>
      </c>
      <c r="G1049" t="s">
        <v>15087</v>
      </c>
      <c r="H1049" t="s">
        <v>19502</v>
      </c>
    </row>
    <row r="1050" spans="1:8">
      <c r="H1050" t="s">
        <v>19503</v>
      </c>
    </row>
    <row r="1051" spans="1:8">
      <c r="A1051" t="s">
        <v>231</v>
      </c>
      <c r="B1051">
        <f>HYPERLINK("https://android.googlesource.com/platform/cts/+/b4059998994c61d42d680e323397e2924299312c", "b4059998994c61d42d680e323397e2924299312c")</f>
        <v>0</v>
      </c>
      <c r="C1051">
        <f>HYPERLINK("https://android.googlesource.com/platform/cts/+/49ecbb75f1cc028af93c5b8ecd3700a57bfa3faa", "49ecbb75f1cc028af93c5b8ecd3700a57bfa3faa")</f>
        <v>0</v>
      </c>
      <c r="D1051" t="s">
        <v>4942</v>
      </c>
      <c r="E1051" t="s">
        <v>6029</v>
      </c>
      <c r="F1051" t="s">
        <v>10585</v>
      </c>
      <c r="G1051" t="s">
        <v>14988</v>
      </c>
      <c r="H1051" t="s">
        <v>19504</v>
      </c>
    </row>
    <row r="1052" spans="1:8">
      <c r="A1052" t="s">
        <v>232</v>
      </c>
      <c r="B1052">
        <f>HYPERLINK("https://android.googlesource.com/platform/cts/+/1af9da2b6a0826bf45126bceb34810d2f71d989e", "1af9da2b6a0826bf45126bceb34810d2f71d989e")</f>
        <v>0</v>
      </c>
      <c r="C1052">
        <f>HYPERLINK("https://android.googlesource.com/platform/cts/+/943b701032f2a0c4c3ee5fa07d015ec4ab72c44a", "943b701032f2a0c4c3ee5fa07d015ec4ab72c44a")</f>
        <v>0</v>
      </c>
      <c r="D1052" t="s">
        <v>4941</v>
      </c>
      <c r="E1052" t="s">
        <v>6029</v>
      </c>
      <c r="F1052" t="s">
        <v>10585</v>
      </c>
      <c r="G1052" t="s">
        <v>14988</v>
      </c>
      <c r="H1052" t="s">
        <v>19504</v>
      </c>
    </row>
    <row r="1053" spans="1:8">
      <c r="A1053" t="s">
        <v>233</v>
      </c>
      <c r="B1053">
        <f>HYPERLINK("https://android.googlesource.com/platform/cts/+/b68215ac2dfbe593a5536aa6484fed50f4d8c9fe", "b68215ac2dfbe593a5536aa6484fed50f4d8c9fe")</f>
        <v>0</v>
      </c>
      <c r="C1053">
        <f>HYPERLINK("https://android.googlesource.com/platform/cts/+/97fee19f3a790805480bf044cb011879ffb4cf43", "97fee19f3a790805480bf044cb011879ffb4cf43")</f>
        <v>0</v>
      </c>
      <c r="D1053" t="s">
        <v>4942</v>
      </c>
      <c r="E1053" t="s">
        <v>6030</v>
      </c>
      <c r="F1053" t="s">
        <v>10774</v>
      </c>
      <c r="G1053" t="s">
        <v>15170</v>
      </c>
      <c r="H1053" t="s">
        <v>19505</v>
      </c>
    </row>
    <row r="1054" spans="1:8">
      <c r="A1054" t="s">
        <v>234</v>
      </c>
      <c r="B1054">
        <f>HYPERLINK("https://android.googlesource.com/platform/cts/+/b1f8c239bca1d9230cbc325ecb59b84e42bc40bd", "b1f8c239bca1d9230cbc325ecb59b84e42bc40bd")</f>
        <v>0</v>
      </c>
      <c r="C1054">
        <f>HYPERLINK("https://android.googlesource.com/platform/cts/+/ebb4aba50aec74ff030922531cbe0efd82e57356", "ebb4aba50aec74ff030922531cbe0efd82e57356")</f>
        <v>0</v>
      </c>
      <c r="D1054" t="s">
        <v>4949</v>
      </c>
      <c r="E1054" t="s">
        <v>6031</v>
      </c>
      <c r="F1054" t="s">
        <v>10775</v>
      </c>
      <c r="G1054" t="s">
        <v>15171</v>
      </c>
      <c r="H1054" t="s">
        <v>19506</v>
      </c>
    </row>
    <row r="1055" spans="1:8">
      <c r="A1055" t="s">
        <v>235</v>
      </c>
      <c r="B1055">
        <f>HYPERLINK("https://android.googlesource.com/platform/cts/+/544d272e5901ed193dd9c55a9ef791a38ffef91e", "544d272e5901ed193dd9c55a9ef791a38ffef91e")</f>
        <v>0</v>
      </c>
      <c r="C1055">
        <f>HYPERLINK("https://android.googlesource.com/platform/cts/+/cdf059852ab11463f14b5432bfd4a5e6daaad012", "cdf059852ab11463f14b5432bfd4a5e6daaad012")</f>
        <v>0</v>
      </c>
      <c r="D1055" t="s">
        <v>4928</v>
      </c>
      <c r="E1055" t="s">
        <v>6032</v>
      </c>
      <c r="F1055" t="s">
        <v>10776</v>
      </c>
      <c r="G1055" t="s">
        <v>15172</v>
      </c>
      <c r="H1055" t="s">
        <v>19507</v>
      </c>
    </row>
    <row r="1056" spans="1:8">
      <c r="A1056" t="s">
        <v>236</v>
      </c>
      <c r="B1056">
        <f>HYPERLINK("https://android.googlesource.com/platform/cts/+/476bd99d8a0ec86071e41af96bf6e1d0f98aefa9", "476bd99d8a0ec86071e41af96bf6e1d0f98aefa9")</f>
        <v>0</v>
      </c>
      <c r="C1056">
        <f>HYPERLINK("https://android.googlesource.com/platform/cts/+/d9f4846f8eba556b85de3beaa57118ebdb926d6b", "d9f4846f8eba556b85de3beaa57118ebdb926d6b")</f>
        <v>0</v>
      </c>
      <c r="D1056" t="s">
        <v>4957</v>
      </c>
      <c r="E1056" t="s">
        <v>6033</v>
      </c>
      <c r="F1056" t="s">
        <v>10777</v>
      </c>
      <c r="G1056" t="s">
        <v>15173</v>
      </c>
      <c r="H1056" t="s">
        <v>19508</v>
      </c>
    </row>
    <row r="1057" spans="1:8">
      <c r="A1057" t="s">
        <v>237</v>
      </c>
      <c r="B1057">
        <f>HYPERLINK("https://android.googlesource.com/platform/cts/+/09a875085da3bf2ebb70970b22c5886eb254ada3", "09a875085da3bf2ebb70970b22c5886eb254ada3")</f>
        <v>0</v>
      </c>
      <c r="C1057">
        <f>HYPERLINK("https://android.googlesource.com/platform/cts/+/dce64eabacfec9e0159053d9bcc3293397ccc8db", "dce64eabacfec9e0159053d9bcc3293397ccc8db")</f>
        <v>0</v>
      </c>
      <c r="D1057" t="s">
        <v>4942</v>
      </c>
      <c r="E1057" t="s">
        <v>6034</v>
      </c>
      <c r="F1057" t="s">
        <v>10778</v>
      </c>
      <c r="G1057" t="s">
        <v>15174</v>
      </c>
      <c r="H1057" t="s">
        <v>19509</v>
      </c>
    </row>
    <row r="1058" spans="1:8">
      <c r="A1058" t="s">
        <v>238</v>
      </c>
      <c r="B1058">
        <f>HYPERLINK("https://android.googlesource.com/platform/cts/+/d05a0e34781c6b32624ef8eef98079e99a845283", "d05a0e34781c6b32624ef8eef98079e99a845283")</f>
        <v>0</v>
      </c>
      <c r="C1058">
        <f>HYPERLINK("https://android.googlesource.com/platform/cts/+/81484bb31b4588198cbe6b01fd496d544a48f327", "81484bb31b4588198cbe6b01fd496d544a48f327")</f>
        <v>0</v>
      </c>
      <c r="D1058" t="s">
        <v>4942</v>
      </c>
      <c r="E1058" t="s">
        <v>6035</v>
      </c>
      <c r="F1058" t="s">
        <v>10716</v>
      </c>
      <c r="G1058" t="s">
        <v>15115</v>
      </c>
      <c r="H1058" t="s">
        <v>19510</v>
      </c>
    </row>
    <row r="1059" spans="1:8">
      <c r="A1059" t="s">
        <v>239</v>
      </c>
      <c r="B1059">
        <f>HYPERLINK("https://android.googlesource.com/platform/cts/+/a7051b0f252ddff0476af8f81f762d2a6c9df695", "a7051b0f252ddff0476af8f81f762d2a6c9df695")</f>
        <v>0</v>
      </c>
      <c r="C1059">
        <f>HYPERLINK("https://android.googlesource.com/platform/cts/+/ffeab80c8e086e9c649cb26b7258e2d2aa42d5a4", "ffeab80c8e086e9c649cb26b7258e2d2aa42d5a4")</f>
        <v>0</v>
      </c>
      <c r="D1059" t="s">
        <v>4936</v>
      </c>
      <c r="E1059" t="s">
        <v>6036</v>
      </c>
      <c r="F1059" t="s">
        <v>10699</v>
      </c>
      <c r="G1059" t="s">
        <v>15099</v>
      </c>
      <c r="H1059" t="s">
        <v>19511</v>
      </c>
    </row>
    <row r="1060" spans="1:8">
      <c r="A1060" t="s">
        <v>240</v>
      </c>
      <c r="B1060">
        <f>HYPERLINK("https://android.googlesource.com/platform/cts/+/0866696a341f481adb1d07e9a92eb634b942e10b", "0866696a341f481adb1d07e9a92eb634b942e10b")</f>
        <v>0</v>
      </c>
      <c r="C1060">
        <f>HYPERLINK("https://android.googlesource.com/platform/cts/+/7c2e6b1c889a298839ce793382e73256262c13a9", "7c2e6b1c889a298839ce793382e73256262c13a9")</f>
        <v>0</v>
      </c>
      <c r="D1060" t="s">
        <v>4942</v>
      </c>
      <c r="E1060" t="s">
        <v>6037</v>
      </c>
      <c r="F1060" t="s">
        <v>10716</v>
      </c>
      <c r="G1060" t="s">
        <v>15115</v>
      </c>
      <c r="H1060" t="s">
        <v>19510</v>
      </c>
    </row>
    <row r="1061" spans="1:8">
      <c r="A1061" t="s">
        <v>241</v>
      </c>
      <c r="B1061">
        <f>HYPERLINK("https://android.googlesource.com/platform/cts/+/dc8744c9fd11eacff3275ebc140e564d5855bdfa", "dc8744c9fd11eacff3275ebc140e564d5855bdfa")</f>
        <v>0</v>
      </c>
      <c r="C1061">
        <f>HYPERLINK("https://android.googlesource.com/platform/cts/+/b518d3d096f24c321fe2cb0c692d947c525d55aa", "b518d3d096f24c321fe2cb0c692d947c525d55aa")</f>
        <v>0</v>
      </c>
      <c r="D1061" t="s">
        <v>4936</v>
      </c>
      <c r="E1061" t="s">
        <v>6038</v>
      </c>
      <c r="F1061" t="s">
        <v>10779</v>
      </c>
      <c r="G1061" t="s">
        <v>15175</v>
      </c>
      <c r="H1061" t="s">
        <v>19512</v>
      </c>
    </row>
    <row r="1062" spans="1:8">
      <c r="F1062" t="s">
        <v>10780</v>
      </c>
      <c r="G1062" t="s">
        <v>15176</v>
      </c>
      <c r="H1062" t="s">
        <v>19512</v>
      </c>
    </row>
    <row r="1063" spans="1:8">
      <c r="F1063" t="s">
        <v>10644</v>
      </c>
      <c r="G1063" t="s">
        <v>15045</v>
      </c>
      <c r="H1063" t="s">
        <v>19512</v>
      </c>
    </row>
    <row r="1064" spans="1:8">
      <c r="F1064" t="s">
        <v>10781</v>
      </c>
      <c r="G1064" t="s">
        <v>15177</v>
      </c>
      <c r="H1064" t="s">
        <v>19512</v>
      </c>
    </row>
    <row r="1065" spans="1:8">
      <c r="F1065" t="s">
        <v>10782</v>
      </c>
      <c r="G1065" t="s">
        <v>15178</v>
      </c>
      <c r="H1065" t="s">
        <v>19512</v>
      </c>
    </row>
    <row r="1066" spans="1:8">
      <c r="F1066" t="s">
        <v>10783</v>
      </c>
      <c r="G1066" t="s">
        <v>15179</v>
      </c>
      <c r="H1066" t="s">
        <v>19512</v>
      </c>
    </row>
    <row r="1067" spans="1:8">
      <c r="F1067" t="s">
        <v>10647</v>
      </c>
      <c r="G1067" t="s">
        <v>15048</v>
      </c>
      <c r="H1067" t="s">
        <v>19512</v>
      </c>
    </row>
    <row r="1068" spans="1:8">
      <c r="A1068" t="s">
        <v>242</v>
      </c>
      <c r="B1068">
        <f>HYPERLINK("https://android.googlesource.com/platform/cts/+/62c72f97a4cc7f24f26c6d1a40282c02a0e6b662", "62c72f97a4cc7f24f26c6d1a40282c02a0e6b662")</f>
        <v>0</v>
      </c>
      <c r="C1068">
        <f>HYPERLINK("https://android.googlesource.com/platform/cts/+/dc8744c9fd11eacff3275ebc140e564d5855bdfa", "dc8744c9fd11eacff3275ebc140e564d5855bdfa")</f>
        <v>0</v>
      </c>
      <c r="D1068" t="s">
        <v>4936</v>
      </c>
      <c r="E1068" t="s">
        <v>6039</v>
      </c>
      <c r="F1068" t="s">
        <v>10644</v>
      </c>
      <c r="G1068" t="s">
        <v>15045</v>
      </c>
      <c r="H1068" t="s">
        <v>19513</v>
      </c>
    </row>
    <row r="1069" spans="1:8">
      <c r="A1069" t="s">
        <v>243</v>
      </c>
      <c r="B1069">
        <f>HYPERLINK("https://android.googlesource.com/platform/cts/+/0e43235fd0e598993a9638136e2e205745f5ac12", "0e43235fd0e598993a9638136e2e205745f5ac12")</f>
        <v>0</v>
      </c>
      <c r="C1069">
        <f>HYPERLINK("https://android.googlesource.com/platform/cts/+/5369278d6f5a755c40640b180f89cb2154a95398", "5369278d6f5a755c40640b180f89cb2154a95398")</f>
        <v>0</v>
      </c>
      <c r="D1069" t="s">
        <v>4954</v>
      </c>
      <c r="E1069" t="s">
        <v>6040</v>
      </c>
      <c r="F1069" t="s">
        <v>10750</v>
      </c>
      <c r="G1069" t="s">
        <v>15148</v>
      </c>
      <c r="H1069" t="s">
        <v>19514</v>
      </c>
    </row>
    <row r="1070" spans="1:8">
      <c r="A1070" t="s">
        <v>244</v>
      </c>
      <c r="B1070">
        <f>HYPERLINK("https://android.googlesource.com/platform/cts/+/f942683666d3ae59e44e69ed0ab77fe9db71f207", "f942683666d3ae59e44e69ed0ab77fe9db71f207")</f>
        <v>0</v>
      </c>
      <c r="C1070">
        <f>HYPERLINK("https://android.googlesource.com/platform/cts/+/15c6734d4ae4f3dfebd0f6c01f33e4c9d71ac874", "15c6734d4ae4f3dfebd0f6c01f33e4c9d71ac874")</f>
        <v>0</v>
      </c>
      <c r="D1070" t="s">
        <v>4942</v>
      </c>
      <c r="E1070" t="s">
        <v>6041</v>
      </c>
      <c r="F1070" t="s">
        <v>10691</v>
      </c>
      <c r="G1070" t="s">
        <v>15091</v>
      </c>
      <c r="H1070" t="s">
        <v>19515</v>
      </c>
    </row>
    <row r="1071" spans="1:8">
      <c r="H1071" t="s">
        <v>19516</v>
      </c>
    </row>
    <row r="1072" spans="1:8">
      <c r="H1072" t="s">
        <v>19517</v>
      </c>
    </row>
    <row r="1073" spans="1:8">
      <c r="F1073" t="s">
        <v>10784</v>
      </c>
      <c r="G1073" t="s">
        <v>15180</v>
      </c>
      <c r="H1073" t="s">
        <v>19518</v>
      </c>
    </row>
    <row r="1074" spans="1:8">
      <c r="H1074" t="s">
        <v>19519</v>
      </c>
    </row>
    <row r="1075" spans="1:8">
      <c r="A1075" t="s">
        <v>245</v>
      </c>
      <c r="B1075">
        <f>HYPERLINK("https://android.googlesource.com/platform/cts/+/bb47ff02d552e5920d82dcc4716fcec9b196d9f2", "bb47ff02d552e5920d82dcc4716fcec9b196d9f2")</f>
        <v>0</v>
      </c>
      <c r="C1075">
        <f>HYPERLINK("https://android.googlesource.com/platform/cts/+/0aa52f6ad574949f38315213af2fea0c0fd70cd4", "0aa52f6ad574949f38315213af2fea0c0fd70cd4")</f>
        <v>0</v>
      </c>
      <c r="D1075" t="s">
        <v>4940</v>
      </c>
      <c r="E1075" t="s">
        <v>6042</v>
      </c>
      <c r="F1075" t="s">
        <v>10670</v>
      </c>
      <c r="G1075" t="s">
        <v>15029</v>
      </c>
      <c r="H1075" t="s">
        <v>19520</v>
      </c>
    </row>
    <row r="1076" spans="1:8">
      <c r="A1076" t="s">
        <v>246</v>
      </c>
      <c r="B1076">
        <f>HYPERLINK("https://android.googlesource.com/platform/cts/+/508cd74ba307864e3fb80f17524708762be38cf5", "508cd74ba307864e3fb80f17524708762be38cf5")</f>
        <v>0</v>
      </c>
      <c r="C1076">
        <f>HYPERLINK("https://android.googlesource.com/platform/cts/+/381f2ae229a832fea32aedb420e6f6da525a9dc5", "381f2ae229a832fea32aedb420e6f6da525a9dc5")</f>
        <v>0</v>
      </c>
      <c r="D1076" t="s">
        <v>4958</v>
      </c>
      <c r="E1076" t="s">
        <v>6043</v>
      </c>
      <c r="F1076" t="s">
        <v>10606</v>
      </c>
      <c r="G1076" t="s">
        <v>15009</v>
      </c>
      <c r="H1076" t="s">
        <v>19521</v>
      </c>
    </row>
    <row r="1077" spans="1:8">
      <c r="F1077" t="s">
        <v>10785</v>
      </c>
      <c r="G1077" t="s">
        <v>15181</v>
      </c>
      <c r="H1077" t="s">
        <v>19521</v>
      </c>
    </row>
    <row r="1078" spans="1:8">
      <c r="A1078" t="s">
        <v>247</v>
      </c>
      <c r="B1078">
        <f>HYPERLINK("https://android.googlesource.com/platform/cts/+/253c42abab73f7b749d11287ebfdf7ef5cbe9e51", "253c42abab73f7b749d11287ebfdf7ef5cbe9e51")</f>
        <v>0</v>
      </c>
      <c r="C1078">
        <f>HYPERLINK("https://android.googlesource.com/platform/cts/+/d1759f5ebe85f068469aa0c94cc6935648e5e28b", "d1759f5ebe85f068469aa0c94cc6935648e5e28b")</f>
        <v>0</v>
      </c>
      <c r="D1078" t="s">
        <v>4959</v>
      </c>
      <c r="E1078" t="s">
        <v>6044</v>
      </c>
      <c r="F1078" t="s">
        <v>10720</v>
      </c>
      <c r="G1078" t="s">
        <v>15119</v>
      </c>
      <c r="H1078" t="s">
        <v>19522</v>
      </c>
    </row>
    <row r="1079" spans="1:8">
      <c r="A1079" t="s">
        <v>248</v>
      </c>
      <c r="B1079">
        <f>HYPERLINK("https://android.googlesource.com/platform/cts/+/82ab52aeb917ed9a7f19bcc52b0cee83580814df", "82ab52aeb917ed9a7f19bcc52b0cee83580814df")</f>
        <v>0</v>
      </c>
      <c r="C1079">
        <f>HYPERLINK("https://android.googlesource.com/platform/cts/+/381f2ae229a832fea32aedb420e6f6da525a9dc5", "381f2ae229a832fea32aedb420e6f6da525a9dc5")</f>
        <v>0</v>
      </c>
      <c r="D1079" t="s">
        <v>4942</v>
      </c>
      <c r="E1079" t="s">
        <v>6045</v>
      </c>
      <c r="F1079" t="s">
        <v>10786</v>
      </c>
      <c r="G1079" t="s">
        <v>15182</v>
      </c>
      <c r="H1079" t="s">
        <v>19523</v>
      </c>
    </row>
    <row r="1080" spans="1:8">
      <c r="A1080" t="s">
        <v>249</v>
      </c>
      <c r="B1080">
        <f>HYPERLINK("https://android.googlesource.com/platform/cts/+/cf4dd1c99ec3dfdfb08e38b76d69fbb12c65861a", "cf4dd1c99ec3dfdfb08e38b76d69fbb12c65861a")</f>
        <v>0</v>
      </c>
      <c r="C1080">
        <f>HYPERLINK("https://android.googlesource.com/platform/cts/+/4c567436d5e6e8fd9c52e6086d26d67223948a68", "4c567436d5e6e8fd9c52e6086d26d67223948a68")</f>
        <v>0</v>
      </c>
      <c r="D1080" t="s">
        <v>4951</v>
      </c>
      <c r="E1080" t="s">
        <v>6046</v>
      </c>
      <c r="F1080" t="s">
        <v>10787</v>
      </c>
      <c r="G1080" t="s">
        <v>15183</v>
      </c>
      <c r="H1080" t="s">
        <v>19524</v>
      </c>
    </row>
    <row r="1081" spans="1:8">
      <c r="H1081" t="s">
        <v>19525</v>
      </c>
    </row>
    <row r="1082" spans="1:8">
      <c r="H1082" t="s">
        <v>19526</v>
      </c>
    </row>
    <row r="1083" spans="1:8">
      <c r="A1083" t="s">
        <v>250</v>
      </c>
      <c r="B1083">
        <f>HYPERLINK("https://android.googlesource.com/platform/cts/+/abd17ae36aa7c115b156f7910bc765539f2dc004", "abd17ae36aa7c115b156f7910bc765539f2dc004")</f>
        <v>0</v>
      </c>
      <c r="C1083">
        <f>HYPERLINK("https://android.googlesource.com/platform/cts/+/2bb244906e847897e7cdebc896c72019c9d2fe48", "2bb244906e847897e7cdebc896c72019c9d2fe48")</f>
        <v>0</v>
      </c>
      <c r="D1083" t="s">
        <v>4960</v>
      </c>
      <c r="E1083" t="s">
        <v>6047</v>
      </c>
      <c r="F1083" t="s">
        <v>10788</v>
      </c>
      <c r="G1083" t="s">
        <v>15184</v>
      </c>
      <c r="H1083" t="s">
        <v>19527</v>
      </c>
    </row>
    <row r="1084" spans="1:8">
      <c r="H1084" t="s">
        <v>19528</v>
      </c>
    </row>
    <row r="1085" spans="1:8">
      <c r="H1085" t="s">
        <v>19529</v>
      </c>
    </row>
    <row r="1086" spans="1:8">
      <c r="H1086" t="s">
        <v>19530</v>
      </c>
    </row>
    <row r="1087" spans="1:8">
      <c r="A1087" t="s">
        <v>251</v>
      </c>
      <c r="B1087">
        <f>HYPERLINK("https://android.googlesource.com/platform/cts/+/d1a9ec6b670009c6597b7d45015b2181daac3d72", "d1a9ec6b670009c6597b7d45015b2181daac3d72")</f>
        <v>0</v>
      </c>
      <c r="C1087">
        <f>HYPERLINK("https://android.googlesource.com/platform/cts/+/03eae653f7bb0ed2299620c9c95837e5e0f48b7e", "03eae653f7bb0ed2299620c9c95837e5e0f48b7e")</f>
        <v>0</v>
      </c>
      <c r="D1087" t="s">
        <v>4941</v>
      </c>
      <c r="E1087" t="s">
        <v>6048</v>
      </c>
      <c r="F1087" t="s">
        <v>10778</v>
      </c>
      <c r="G1087" t="s">
        <v>15174</v>
      </c>
      <c r="H1087" t="s">
        <v>19531</v>
      </c>
    </row>
    <row r="1088" spans="1:8">
      <c r="A1088" t="s">
        <v>252</v>
      </c>
      <c r="B1088">
        <f>HYPERLINK("https://android.googlesource.com/platform/cts/+/677fe3459b2facdf1da53f106688e5f5ec3924eb", "677fe3459b2facdf1da53f106688e5f5ec3924eb")</f>
        <v>0</v>
      </c>
      <c r="C1088">
        <f>HYPERLINK("https://android.googlesource.com/platform/cts/+/d1a9ec6b670009c6597b7d45015b2181daac3d72", "d1a9ec6b670009c6597b7d45015b2181daac3d72")</f>
        <v>0</v>
      </c>
      <c r="D1088" t="s">
        <v>4941</v>
      </c>
      <c r="E1088" t="s">
        <v>6049</v>
      </c>
      <c r="F1088" t="s">
        <v>10701</v>
      </c>
      <c r="G1088" t="s">
        <v>15101</v>
      </c>
      <c r="H1088" t="s">
        <v>19532</v>
      </c>
    </row>
    <row r="1089" spans="1:8">
      <c r="A1089" t="s">
        <v>253</v>
      </c>
      <c r="B1089">
        <f>HYPERLINK("https://android.googlesource.com/platform/cts/+/399ffdacc357d863058baa8de926e57dbedc4fc8", "399ffdacc357d863058baa8de926e57dbedc4fc8")</f>
        <v>0</v>
      </c>
      <c r="C1089">
        <f>HYPERLINK("https://android.googlesource.com/platform/cts/+/f5a36645c1ed3cb3087f76d9cbb20f6271ead68f", "f5a36645c1ed3cb3087f76d9cbb20f6271ead68f")</f>
        <v>0</v>
      </c>
      <c r="D1089" t="s">
        <v>4961</v>
      </c>
      <c r="E1089" t="s">
        <v>6050</v>
      </c>
      <c r="F1089" t="s">
        <v>10789</v>
      </c>
      <c r="G1089" t="s">
        <v>15185</v>
      </c>
      <c r="H1089" t="s">
        <v>19533</v>
      </c>
    </row>
    <row r="1090" spans="1:8">
      <c r="A1090" t="s">
        <v>254</v>
      </c>
      <c r="B1090">
        <f>HYPERLINK("https://android.googlesource.com/platform/cts/+/b9d1670d9885556385811f4e52b0bb4b9b0076dc", "b9d1670d9885556385811f4e52b0bb4b9b0076dc")</f>
        <v>0</v>
      </c>
      <c r="C1090">
        <f>HYPERLINK("https://android.googlesource.com/platform/cts/+/48c39254eb518647711af34ccfc462bbfffbe66b", "48c39254eb518647711af34ccfc462bbfffbe66b")</f>
        <v>0</v>
      </c>
      <c r="D1090" t="s">
        <v>4962</v>
      </c>
      <c r="E1090" t="s">
        <v>6051</v>
      </c>
      <c r="F1090" t="s">
        <v>10790</v>
      </c>
      <c r="G1090" t="s">
        <v>15186</v>
      </c>
      <c r="H1090" t="s">
        <v>19534</v>
      </c>
    </row>
    <row r="1091" spans="1:8">
      <c r="H1091" t="s">
        <v>19535</v>
      </c>
    </row>
    <row r="1092" spans="1:8">
      <c r="A1092" t="s">
        <v>255</v>
      </c>
      <c r="B1092">
        <f>HYPERLINK("https://android.googlesource.com/platform/cts/+/b0f6ad65097a9082d756f8b2a62a730bb2e5718d", "b0f6ad65097a9082d756f8b2a62a730bb2e5718d")</f>
        <v>0</v>
      </c>
      <c r="C1092">
        <f>HYPERLINK("https://android.googlesource.com/platform/cts/+/6430fe83da8e8e1f7392e6de0c35fb915fad9d1c", "6430fe83da8e8e1f7392e6de0c35fb915fad9d1c")</f>
        <v>0</v>
      </c>
      <c r="D1092" t="s">
        <v>4963</v>
      </c>
      <c r="E1092" t="s">
        <v>6052</v>
      </c>
      <c r="F1092" t="s">
        <v>10791</v>
      </c>
      <c r="G1092" t="s">
        <v>14989</v>
      </c>
      <c r="H1092" t="s">
        <v>19536</v>
      </c>
    </row>
    <row r="1093" spans="1:8">
      <c r="A1093" t="s">
        <v>256</v>
      </c>
      <c r="B1093">
        <f>HYPERLINK("https://android.googlesource.com/platform/cts/+/4c3bbd897942713e587bf558774c4d8b571f4a29", "4c3bbd897942713e587bf558774c4d8b571f4a29")</f>
        <v>0</v>
      </c>
      <c r="C1093">
        <f>HYPERLINK("https://android.googlesource.com/platform/cts/+/4ad91e4d2e7f62b7e2e3aef5089536a4f0cd8ce2", "4ad91e4d2e7f62b7e2e3aef5089536a4f0cd8ce2")</f>
        <v>0</v>
      </c>
      <c r="D1093" t="s">
        <v>4964</v>
      </c>
      <c r="E1093" t="s">
        <v>6053</v>
      </c>
      <c r="F1093" t="s">
        <v>10691</v>
      </c>
      <c r="G1093" t="s">
        <v>15091</v>
      </c>
      <c r="H1093" t="s">
        <v>19537</v>
      </c>
    </row>
    <row r="1094" spans="1:8">
      <c r="F1094" t="s">
        <v>10786</v>
      </c>
      <c r="G1094" t="s">
        <v>15182</v>
      </c>
      <c r="H1094" t="s">
        <v>19538</v>
      </c>
    </row>
    <row r="1095" spans="1:8">
      <c r="H1095" t="s">
        <v>19539</v>
      </c>
    </row>
    <row r="1096" spans="1:8">
      <c r="H1096" t="s">
        <v>19540</v>
      </c>
    </row>
    <row r="1097" spans="1:8">
      <c r="A1097" t="s">
        <v>257</v>
      </c>
      <c r="B1097">
        <f>HYPERLINK("https://android.googlesource.com/platform/cts/+/4c29d970b828238a25b4b708692bff0fe47d5449", "4c29d970b828238a25b4b708692bff0fe47d5449")</f>
        <v>0</v>
      </c>
      <c r="C1097">
        <f>HYPERLINK("https://android.googlesource.com/platform/cts/+/a2d453d00a142278c7bafe4306c0e9bd92068c45", "a2d453d00a142278c7bafe4306c0e9bd92068c45")</f>
        <v>0</v>
      </c>
      <c r="D1097" t="s">
        <v>4964</v>
      </c>
      <c r="E1097" t="s">
        <v>6054</v>
      </c>
      <c r="F1097" t="s">
        <v>10778</v>
      </c>
      <c r="G1097" t="s">
        <v>15174</v>
      </c>
      <c r="H1097" t="s">
        <v>18893</v>
      </c>
    </row>
    <row r="1098" spans="1:8">
      <c r="H1098" t="s">
        <v>19541</v>
      </c>
    </row>
    <row r="1099" spans="1:8">
      <c r="H1099" t="s">
        <v>19542</v>
      </c>
    </row>
    <row r="1100" spans="1:8">
      <c r="A1100" t="s">
        <v>258</v>
      </c>
      <c r="B1100">
        <f>HYPERLINK("https://android.googlesource.com/platform/cts/+/6adf2742b8fde0b80e9ae9b8891a18002cad72d0", "6adf2742b8fde0b80e9ae9b8891a18002cad72d0")</f>
        <v>0</v>
      </c>
      <c r="C1100">
        <f>HYPERLINK("https://android.googlesource.com/platform/cts/+/d885c092aa25381fc060f4e825de7743f1aabe2c", "d885c092aa25381fc060f4e825de7743f1aabe2c")</f>
        <v>0</v>
      </c>
      <c r="D1100" t="s">
        <v>4965</v>
      </c>
      <c r="E1100" t="s">
        <v>6055</v>
      </c>
      <c r="F1100" t="s">
        <v>10769</v>
      </c>
      <c r="G1100" t="s">
        <v>15165</v>
      </c>
      <c r="H1100" t="s">
        <v>19543</v>
      </c>
    </row>
    <row r="1101" spans="1:8">
      <c r="H1101" t="s">
        <v>18829</v>
      </c>
    </row>
    <row r="1102" spans="1:8">
      <c r="H1102" t="s">
        <v>18863</v>
      </c>
    </row>
    <row r="1103" spans="1:8">
      <c r="H1103" t="s">
        <v>19544</v>
      </c>
    </row>
    <row r="1104" spans="1:8">
      <c r="H1104" t="s">
        <v>19545</v>
      </c>
    </row>
    <row r="1105" spans="8:8">
      <c r="H1105" t="s">
        <v>19546</v>
      </c>
    </row>
    <row r="1106" spans="8:8">
      <c r="H1106" t="s">
        <v>19547</v>
      </c>
    </row>
    <row r="1107" spans="8:8">
      <c r="H1107" t="s">
        <v>19548</v>
      </c>
    </row>
    <row r="1108" spans="8:8">
      <c r="H1108" t="s">
        <v>19549</v>
      </c>
    </row>
    <row r="1109" spans="8:8">
      <c r="H1109" t="s">
        <v>19550</v>
      </c>
    </row>
    <row r="1110" spans="8:8">
      <c r="H1110" t="s">
        <v>19551</v>
      </c>
    </row>
    <row r="1111" spans="8:8">
      <c r="H1111" t="s">
        <v>19552</v>
      </c>
    </row>
    <row r="1112" spans="8:8">
      <c r="H1112" t="s">
        <v>19553</v>
      </c>
    </row>
    <row r="1113" spans="8:8">
      <c r="H1113" t="s">
        <v>19554</v>
      </c>
    </row>
    <row r="1114" spans="8:8">
      <c r="H1114" t="s">
        <v>19555</v>
      </c>
    </row>
    <row r="1115" spans="8:8">
      <c r="H1115" t="s">
        <v>19556</v>
      </c>
    </row>
    <row r="1116" spans="8:8">
      <c r="H1116" t="s">
        <v>19557</v>
      </c>
    </row>
    <row r="1117" spans="8:8">
      <c r="H1117" t="s">
        <v>19558</v>
      </c>
    </row>
    <row r="1118" spans="8:8">
      <c r="H1118" t="s">
        <v>19559</v>
      </c>
    </row>
    <row r="1119" spans="8:8">
      <c r="H1119" t="s">
        <v>19560</v>
      </c>
    </row>
    <row r="1120" spans="8:8">
      <c r="H1120" t="s">
        <v>19561</v>
      </c>
    </row>
    <row r="1121" spans="8:8">
      <c r="H1121" t="s">
        <v>19562</v>
      </c>
    </row>
    <row r="1122" spans="8:8">
      <c r="H1122" t="s">
        <v>19563</v>
      </c>
    </row>
    <row r="1123" spans="8:8">
      <c r="H1123" t="s">
        <v>19564</v>
      </c>
    </row>
    <row r="1124" spans="8:8">
      <c r="H1124" t="s">
        <v>19565</v>
      </c>
    </row>
    <row r="1125" spans="8:8">
      <c r="H1125" t="s">
        <v>19566</v>
      </c>
    </row>
    <row r="1126" spans="8:8">
      <c r="H1126" t="s">
        <v>19007</v>
      </c>
    </row>
    <row r="1127" spans="8:8">
      <c r="H1127" t="s">
        <v>19567</v>
      </c>
    </row>
    <row r="1128" spans="8:8">
      <c r="H1128" t="s">
        <v>19568</v>
      </c>
    </row>
    <row r="1129" spans="8:8">
      <c r="H1129" t="s">
        <v>19569</v>
      </c>
    </row>
    <row r="1130" spans="8:8">
      <c r="H1130" t="s">
        <v>19570</v>
      </c>
    </row>
    <row r="1131" spans="8:8">
      <c r="H1131" t="s">
        <v>19571</v>
      </c>
    </row>
    <row r="1132" spans="8:8">
      <c r="H1132" t="s">
        <v>19572</v>
      </c>
    </row>
    <row r="1133" spans="8:8">
      <c r="H1133" t="s">
        <v>19573</v>
      </c>
    </row>
    <row r="1134" spans="8:8">
      <c r="H1134" t="s">
        <v>19574</v>
      </c>
    </row>
    <row r="1135" spans="8:8">
      <c r="H1135" t="s">
        <v>19575</v>
      </c>
    </row>
    <row r="1136" spans="8:8">
      <c r="H1136" t="s">
        <v>19576</v>
      </c>
    </row>
    <row r="1137" spans="8:8">
      <c r="H1137" t="s">
        <v>19577</v>
      </c>
    </row>
    <row r="1138" spans="8:8">
      <c r="H1138" t="s">
        <v>19578</v>
      </c>
    </row>
    <row r="1139" spans="8:8">
      <c r="H1139" t="s">
        <v>19579</v>
      </c>
    </row>
    <row r="1140" spans="8:8">
      <c r="H1140" t="s">
        <v>19580</v>
      </c>
    </row>
    <row r="1141" spans="8:8">
      <c r="H1141" t="s">
        <v>19581</v>
      </c>
    </row>
    <row r="1142" spans="8:8">
      <c r="H1142" t="s">
        <v>19582</v>
      </c>
    </row>
    <row r="1143" spans="8:8">
      <c r="H1143" t="s">
        <v>19583</v>
      </c>
    </row>
    <row r="1144" spans="8:8">
      <c r="H1144" t="s">
        <v>19584</v>
      </c>
    </row>
    <row r="1145" spans="8:8">
      <c r="H1145" t="s">
        <v>19585</v>
      </c>
    </row>
    <row r="1146" spans="8:8">
      <c r="H1146" t="s">
        <v>19586</v>
      </c>
    </row>
    <row r="1147" spans="8:8">
      <c r="H1147" t="s">
        <v>19587</v>
      </c>
    </row>
    <row r="1148" spans="8:8">
      <c r="H1148" t="s">
        <v>19588</v>
      </c>
    </row>
    <row r="1149" spans="8:8">
      <c r="H1149" t="s">
        <v>19589</v>
      </c>
    </row>
    <row r="1150" spans="8:8">
      <c r="H1150" t="s">
        <v>19590</v>
      </c>
    </row>
    <row r="1151" spans="8:8">
      <c r="H1151" t="s">
        <v>19591</v>
      </c>
    </row>
    <row r="1152" spans="8:8">
      <c r="H1152" t="s">
        <v>19592</v>
      </c>
    </row>
    <row r="1153" spans="8:8">
      <c r="H1153" t="s">
        <v>19593</v>
      </c>
    </row>
    <row r="1154" spans="8:8">
      <c r="H1154" t="s">
        <v>19594</v>
      </c>
    </row>
    <row r="1155" spans="8:8">
      <c r="H1155" t="s">
        <v>19595</v>
      </c>
    </row>
    <row r="1156" spans="8:8">
      <c r="H1156" t="s">
        <v>19596</v>
      </c>
    </row>
    <row r="1157" spans="8:8">
      <c r="H1157" t="s">
        <v>19597</v>
      </c>
    </row>
    <row r="1158" spans="8:8">
      <c r="H1158" t="s">
        <v>19598</v>
      </c>
    </row>
    <row r="1159" spans="8:8">
      <c r="H1159" t="s">
        <v>19599</v>
      </c>
    </row>
    <row r="1160" spans="8:8">
      <c r="H1160" t="s">
        <v>19600</v>
      </c>
    </row>
    <row r="1161" spans="8:8">
      <c r="H1161" t="s">
        <v>19601</v>
      </c>
    </row>
    <row r="1162" spans="8:8">
      <c r="H1162" t="s">
        <v>19602</v>
      </c>
    </row>
    <row r="1163" spans="8:8">
      <c r="H1163" t="s">
        <v>19603</v>
      </c>
    </row>
    <row r="1164" spans="8:8">
      <c r="H1164" t="s">
        <v>19604</v>
      </c>
    </row>
    <row r="1165" spans="8:8">
      <c r="H1165" t="s">
        <v>19605</v>
      </c>
    </row>
    <row r="1166" spans="8:8">
      <c r="H1166" t="s">
        <v>19606</v>
      </c>
    </row>
    <row r="1167" spans="8:8">
      <c r="H1167" t="s">
        <v>19607</v>
      </c>
    </row>
    <row r="1168" spans="8:8">
      <c r="H1168" t="s">
        <v>19608</v>
      </c>
    </row>
    <row r="1169" spans="8:8">
      <c r="H1169" t="s">
        <v>19609</v>
      </c>
    </row>
    <row r="1170" spans="8:8">
      <c r="H1170" t="s">
        <v>19610</v>
      </c>
    </row>
    <row r="1171" spans="8:8">
      <c r="H1171" t="s">
        <v>19611</v>
      </c>
    </row>
    <row r="1172" spans="8:8">
      <c r="H1172" t="s">
        <v>19612</v>
      </c>
    </row>
    <row r="1173" spans="8:8">
      <c r="H1173" t="s">
        <v>19613</v>
      </c>
    </row>
    <row r="1174" spans="8:8">
      <c r="H1174" t="s">
        <v>19614</v>
      </c>
    </row>
    <row r="1175" spans="8:8">
      <c r="H1175" t="s">
        <v>19615</v>
      </c>
    </row>
    <row r="1176" spans="8:8">
      <c r="H1176" t="s">
        <v>19616</v>
      </c>
    </row>
    <row r="1177" spans="8:8">
      <c r="H1177" t="s">
        <v>19617</v>
      </c>
    </row>
    <row r="1178" spans="8:8">
      <c r="H1178" t="s">
        <v>19618</v>
      </c>
    </row>
    <row r="1179" spans="8:8">
      <c r="H1179" t="s">
        <v>19619</v>
      </c>
    </row>
    <row r="1180" spans="8:8">
      <c r="H1180" t="s">
        <v>19620</v>
      </c>
    </row>
    <row r="1181" spans="8:8">
      <c r="H1181" t="s">
        <v>19621</v>
      </c>
    </row>
    <row r="1182" spans="8:8">
      <c r="H1182" t="s">
        <v>19622</v>
      </c>
    </row>
    <row r="1183" spans="8:8">
      <c r="H1183" t="s">
        <v>19623</v>
      </c>
    </row>
    <row r="1184" spans="8:8">
      <c r="H1184" t="s">
        <v>19624</v>
      </c>
    </row>
    <row r="1185" spans="8:8">
      <c r="H1185" t="s">
        <v>19625</v>
      </c>
    </row>
    <row r="1186" spans="8:8">
      <c r="H1186" t="s">
        <v>19626</v>
      </c>
    </row>
    <row r="1187" spans="8:8">
      <c r="H1187" t="s">
        <v>19627</v>
      </c>
    </row>
    <row r="1188" spans="8:8">
      <c r="H1188" t="s">
        <v>19628</v>
      </c>
    </row>
    <row r="1189" spans="8:8">
      <c r="H1189" t="s">
        <v>19629</v>
      </c>
    </row>
    <row r="1190" spans="8:8">
      <c r="H1190" t="s">
        <v>19630</v>
      </c>
    </row>
    <row r="1191" spans="8:8">
      <c r="H1191" t="s">
        <v>19631</v>
      </c>
    </row>
    <row r="1192" spans="8:8">
      <c r="H1192" t="s">
        <v>19632</v>
      </c>
    </row>
    <row r="1193" spans="8:8">
      <c r="H1193" t="s">
        <v>19633</v>
      </c>
    </row>
    <row r="1194" spans="8:8">
      <c r="H1194" t="s">
        <v>19634</v>
      </c>
    </row>
    <row r="1195" spans="8:8">
      <c r="H1195" t="s">
        <v>19635</v>
      </c>
    </row>
    <row r="1196" spans="8:8">
      <c r="H1196" t="s">
        <v>19636</v>
      </c>
    </row>
    <row r="1197" spans="8:8">
      <c r="H1197" t="s">
        <v>19637</v>
      </c>
    </row>
    <row r="1198" spans="8:8">
      <c r="H1198" t="s">
        <v>19638</v>
      </c>
    </row>
    <row r="1199" spans="8:8">
      <c r="H1199" t="s">
        <v>19639</v>
      </c>
    </row>
    <row r="1200" spans="8:8">
      <c r="H1200" t="s">
        <v>19640</v>
      </c>
    </row>
    <row r="1201" spans="1:8">
      <c r="A1201" t="s">
        <v>259</v>
      </c>
      <c r="B1201">
        <f>HYPERLINK("https://android.googlesource.com/platform/cts/+/45dd2f15092680526902b37d7118f039783fe893", "45dd2f15092680526902b37d7118f039783fe893")</f>
        <v>0</v>
      </c>
      <c r="C1201">
        <f>HYPERLINK("https://android.googlesource.com/platform/cts/+/4c29d970b828238a25b4b708692bff0fe47d5449", "4c29d970b828238a25b4b708692bff0fe47d5449")</f>
        <v>0</v>
      </c>
      <c r="D1201" t="s">
        <v>4964</v>
      </c>
      <c r="E1201" t="s">
        <v>6056</v>
      </c>
      <c r="F1201" t="s">
        <v>10792</v>
      </c>
      <c r="G1201" t="s">
        <v>15187</v>
      </c>
      <c r="H1201" t="s">
        <v>19641</v>
      </c>
    </row>
    <row r="1202" spans="1:8">
      <c r="H1202" t="s">
        <v>18829</v>
      </c>
    </row>
    <row r="1203" spans="1:8">
      <c r="H1203" t="s">
        <v>18863</v>
      </c>
    </row>
    <row r="1204" spans="1:8">
      <c r="F1204" t="s">
        <v>10778</v>
      </c>
      <c r="G1204" t="s">
        <v>15174</v>
      </c>
      <c r="H1204" t="s">
        <v>19531</v>
      </c>
    </row>
    <row r="1205" spans="1:8">
      <c r="H1205" t="s">
        <v>19642</v>
      </c>
    </row>
    <row r="1206" spans="1:8">
      <c r="H1206" t="s">
        <v>18829</v>
      </c>
    </row>
    <row r="1207" spans="1:8">
      <c r="H1207" t="s">
        <v>18863</v>
      </c>
    </row>
    <row r="1208" spans="1:8">
      <c r="H1208" t="s">
        <v>19643</v>
      </c>
    </row>
    <row r="1209" spans="1:8">
      <c r="H1209" t="s">
        <v>19644</v>
      </c>
    </row>
    <row r="1210" spans="1:8">
      <c r="H1210" t="s">
        <v>19645</v>
      </c>
    </row>
    <row r="1211" spans="1:8">
      <c r="H1211" t="s">
        <v>19646</v>
      </c>
    </row>
    <row r="1212" spans="1:8">
      <c r="H1212" t="s">
        <v>19647</v>
      </c>
    </row>
    <row r="1213" spans="1:8">
      <c r="H1213" t="s">
        <v>19648</v>
      </c>
    </row>
    <row r="1214" spans="1:8">
      <c r="H1214" t="s">
        <v>19649</v>
      </c>
    </row>
    <row r="1215" spans="1:8">
      <c r="H1215" t="s">
        <v>19650</v>
      </c>
    </row>
    <row r="1216" spans="1:8">
      <c r="H1216" t="s">
        <v>19651</v>
      </c>
    </row>
    <row r="1217" spans="1:8">
      <c r="H1217" t="s">
        <v>19652</v>
      </c>
    </row>
    <row r="1218" spans="1:8">
      <c r="H1218" t="s">
        <v>19653</v>
      </c>
    </row>
    <row r="1219" spans="1:8">
      <c r="A1219" t="s">
        <v>260</v>
      </c>
      <c r="B1219">
        <f>HYPERLINK("https://android.googlesource.com/platform/cts/+/112f2791282c56f72be28aba8452609da03b09bc", "112f2791282c56f72be28aba8452609da03b09bc")</f>
        <v>0</v>
      </c>
      <c r="C1219">
        <f>HYPERLINK("https://android.googlesource.com/platform/cts/+/bc934fd55f486e6b1386b4eabdef5699d0e3a714", "bc934fd55f486e6b1386b4eabdef5699d0e3a714")</f>
        <v>0</v>
      </c>
      <c r="D1219" t="s">
        <v>4964</v>
      </c>
      <c r="E1219" t="s">
        <v>6057</v>
      </c>
      <c r="F1219" t="s">
        <v>10691</v>
      </c>
      <c r="G1219" t="s">
        <v>15091</v>
      </c>
      <c r="H1219" t="s">
        <v>19654</v>
      </c>
    </row>
    <row r="1220" spans="1:8">
      <c r="H1220" t="s">
        <v>19655</v>
      </c>
    </row>
    <row r="1221" spans="1:8">
      <c r="H1221" t="s">
        <v>19656</v>
      </c>
    </row>
    <row r="1222" spans="1:8">
      <c r="H1222" t="s">
        <v>19657</v>
      </c>
    </row>
    <row r="1223" spans="1:8">
      <c r="A1223" t="s">
        <v>261</v>
      </c>
      <c r="B1223">
        <f>HYPERLINK("https://android.googlesource.com/platform/cts/+/dae1e185d40bf8ddb7840b114be63402d4dee09c", "dae1e185d40bf8ddb7840b114be63402d4dee09c")</f>
        <v>0</v>
      </c>
      <c r="C1223">
        <f>HYPERLINK("https://android.googlesource.com/platform/cts/+/06f3009e6c59adbbe914729293771946ecd9b857", "06f3009e6c59adbbe914729293771946ecd9b857")</f>
        <v>0</v>
      </c>
      <c r="D1223" t="s">
        <v>4942</v>
      </c>
      <c r="E1223" t="s">
        <v>6058</v>
      </c>
      <c r="F1223" t="s">
        <v>10784</v>
      </c>
      <c r="G1223" t="s">
        <v>15180</v>
      </c>
      <c r="H1223" t="s">
        <v>19658</v>
      </c>
    </row>
    <row r="1224" spans="1:8">
      <c r="H1224" t="s">
        <v>19659</v>
      </c>
    </row>
    <row r="1225" spans="1:8">
      <c r="H1225" t="s">
        <v>19660</v>
      </c>
    </row>
    <row r="1226" spans="1:8">
      <c r="H1226" t="s">
        <v>19121</v>
      </c>
    </row>
    <row r="1227" spans="1:8">
      <c r="H1227" t="s">
        <v>19122</v>
      </c>
    </row>
    <row r="1228" spans="1:8">
      <c r="H1228" t="s">
        <v>19661</v>
      </c>
    </row>
    <row r="1229" spans="1:8">
      <c r="H1229" t="s">
        <v>19123</v>
      </c>
    </row>
    <row r="1230" spans="1:8">
      <c r="H1230" t="s">
        <v>19124</v>
      </c>
    </row>
    <row r="1231" spans="1:8">
      <c r="H1231" t="s">
        <v>19662</v>
      </c>
    </row>
    <row r="1232" spans="1:8">
      <c r="A1232" t="s">
        <v>262</v>
      </c>
      <c r="B1232">
        <f>HYPERLINK("https://android.googlesource.com/platform/cts/+/20ab13d8b183ee14703468366a6ad395e25aa1a1", "20ab13d8b183ee14703468366a6ad395e25aa1a1")</f>
        <v>0</v>
      </c>
      <c r="C1232">
        <f>HYPERLINK("https://android.googlesource.com/platform/cts/+/f9ede27f2cd9534d95679aa5b8c3ae017adda36c", "f9ede27f2cd9534d95679aa5b8c3ae017adda36c")</f>
        <v>0</v>
      </c>
      <c r="D1232" t="s">
        <v>4941</v>
      </c>
      <c r="E1232" t="s">
        <v>6059</v>
      </c>
      <c r="F1232" t="s">
        <v>10744</v>
      </c>
      <c r="G1232" t="s">
        <v>15143</v>
      </c>
      <c r="H1232" t="s">
        <v>19663</v>
      </c>
    </row>
    <row r="1233" spans="1:8">
      <c r="H1233" t="s">
        <v>19664</v>
      </c>
    </row>
    <row r="1234" spans="1:8">
      <c r="H1234" t="s">
        <v>19665</v>
      </c>
    </row>
    <row r="1235" spans="1:8">
      <c r="A1235" t="s">
        <v>263</v>
      </c>
      <c r="B1235">
        <f>HYPERLINK("https://android.googlesource.com/platform/cts/+/e4b59693ffc0ebd678ad6b77b93caac4988194d3", "e4b59693ffc0ebd678ad6b77b93caac4988194d3")</f>
        <v>0</v>
      </c>
      <c r="C1235">
        <f>HYPERLINK("https://android.googlesource.com/platform/cts/+/0cf6951fe0b4045ebe809321bf320cbacda1d0d5", "0cf6951fe0b4045ebe809321bf320cbacda1d0d5")</f>
        <v>0</v>
      </c>
      <c r="D1235" t="s">
        <v>4941</v>
      </c>
      <c r="E1235" t="s">
        <v>6060</v>
      </c>
      <c r="F1235" t="s">
        <v>10784</v>
      </c>
      <c r="G1235" t="s">
        <v>15180</v>
      </c>
      <c r="H1235" t="s">
        <v>19655</v>
      </c>
    </row>
    <row r="1236" spans="1:8">
      <c r="A1236" t="s">
        <v>264</v>
      </c>
      <c r="B1236">
        <f>HYPERLINK("https://android.googlesource.com/platform/cts/+/26e9d0fb97c0d9de8bcd80090170d4e609404cc0", "26e9d0fb97c0d9de8bcd80090170d4e609404cc0")</f>
        <v>0</v>
      </c>
      <c r="C1236">
        <f>HYPERLINK("https://android.googlesource.com/platform/cts/+/167f66ac7be8ad5c4b2175fe15f3b6f9776f551d", "167f66ac7be8ad5c4b2175fe15f3b6f9776f551d")</f>
        <v>0</v>
      </c>
      <c r="D1236" t="s">
        <v>4941</v>
      </c>
      <c r="E1236" t="s">
        <v>6061</v>
      </c>
      <c r="F1236" t="s">
        <v>10784</v>
      </c>
      <c r="G1236" t="s">
        <v>15180</v>
      </c>
      <c r="H1236" t="s">
        <v>19666</v>
      </c>
    </row>
    <row r="1237" spans="1:8">
      <c r="A1237" t="s">
        <v>265</v>
      </c>
      <c r="B1237">
        <f>HYPERLINK("https://android.googlesource.com/platform/cts/+/52f3b6f872849fee6e263a33ad3ceb51a434ab1c", "52f3b6f872849fee6e263a33ad3ceb51a434ab1c")</f>
        <v>0</v>
      </c>
      <c r="C1237">
        <f>HYPERLINK("https://android.googlesource.com/platform/cts/+/74e2dcf8e8804dc2de7b67039ffe4233a964e78e", "74e2dcf8e8804dc2de7b67039ffe4233a964e78e")</f>
        <v>0</v>
      </c>
      <c r="D1237" t="s">
        <v>4941</v>
      </c>
      <c r="E1237" t="s">
        <v>6062</v>
      </c>
      <c r="F1237" t="s">
        <v>10691</v>
      </c>
      <c r="G1237" t="s">
        <v>15091</v>
      </c>
      <c r="H1237" t="s">
        <v>19667</v>
      </c>
    </row>
    <row r="1238" spans="1:8">
      <c r="A1238" t="s">
        <v>266</v>
      </c>
      <c r="B1238">
        <f>HYPERLINK("https://android.googlesource.com/platform/cts/+/04b3c8e6f32aec2af720fee0e3a417b0433b5050", "04b3c8e6f32aec2af720fee0e3a417b0433b5050")</f>
        <v>0</v>
      </c>
      <c r="C1238">
        <f>HYPERLINK("https://android.googlesource.com/platform/cts/+/9ea14d091071d56aef036237bf548998d62835b3", "9ea14d091071d56aef036237bf548998d62835b3")</f>
        <v>0</v>
      </c>
      <c r="D1238" t="s">
        <v>4951</v>
      </c>
      <c r="E1238" t="s">
        <v>6063</v>
      </c>
      <c r="F1238" t="s">
        <v>10793</v>
      </c>
      <c r="G1238" t="s">
        <v>15188</v>
      </c>
      <c r="H1238" t="s">
        <v>19668</v>
      </c>
    </row>
    <row r="1239" spans="1:8">
      <c r="F1239" t="s">
        <v>10687</v>
      </c>
      <c r="G1239" t="s">
        <v>15087</v>
      </c>
      <c r="H1239" t="s">
        <v>19669</v>
      </c>
    </row>
    <row r="1240" spans="1:8">
      <c r="A1240" t="s">
        <v>267</v>
      </c>
      <c r="B1240">
        <f>HYPERLINK("https://android.googlesource.com/platform/cts/+/cbf4ad2e4c3433e6c67f81a3f755a73258c8da1c", "cbf4ad2e4c3433e6c67f81a3f755a73258c8da1c")</f>
        <v>0</v>
      </c>
      <c r="C1240">
        <f>HYPERLINK("https://android.googlesource.com/platform/cts/+/df50273f369ae1bfdaf41391db0c005a5dc0e0df", "df50273f369ae1bfdaf41391db0c005a5dc0e0df")</f>
        <v>0</v>
      </c>
      <c r="D1240" t="s">
        <v>4932</v>
      </c>
      <c r="E1240" t="s">
        <v>6064</v>
      </c>
      <c r="F1240" t="s">
        <v>10747</v>
      </c>
      <c r="G1240" t="s">
        <v>15129</v>
      </c>
      <c r="H1240" t="s">
        <v>19670</v>
      </c>
    </row>
    <row r="1241" spans="1:8">
      <c r="H1241" t="s">
        <v>19671</v>
      </c>
    </row>
    <row r="1242" spans="1:8">
      <c r="H1242" t="s">
        <v>19672</v>
      </c>
    </row>
    <row r="1243" spans="1:8">
      <c r="H1243" t="s">
        <v>19673</v>
      </c>
    </row>
    <row r="1244" spans="1:8">
      <c r="A1244" t="s">
        <v>268</v>
      </c>
      <c r="B1244">
        <f>HYPERLINK("https://android.googlesource.com/platform/cts/+/41f2159687011d968e1ce3ac2a5b3fcba2e6af83", "41f2159687011d968e1ce3ac2a5b3fcba2e6af83")</f>
        <v>0</v>
      </c>
      <c r="C1244">
        <f>HYPERLINK("https://android.googlesource.com/platform/cts/+/c5daf5b05fbe64e987b1e0d866f6dd076eb91a18", "c5daf5b05fbe64e987b1e0d866f6dd076eb91a18")</f>
        <v>0</v>
      </c>
      <c r="D1244" t="s">
        <v>4936</v>
      </c>
      <c r="E1244" t="s">
        <v>6065</v>
      </c>
      <c r="F1244" t="s">
        <v>10794</v>
      </c>
      <c r="G1244" t="s">
        <v>15189</v>
      </c>
      <c r="H1244" t="s">
        <v>19674</v>
      </c>
    </row>
    <row r="1245" spans="1:8">
      <c r="H1245" t="s">
        <v>19675</v>
      </c>
    </row>
    <row r="1246" spans="1:8">
      <c r="H1246" t="s">
        <v>19676</v>
      </c>
    </row>
    <row r="1247" spans="1:8">
      <c r="H1247" t="s">
        <v>19677</v>
      </c>
    </row>
    <row r="1248" spans="1:8">
      <c r="H1248" t="s">
        <v>19678</v>
      </c>
    </row>
    <row r="1249" spans="8:8">
      <c r="H1249" t="s">
        <v>19679</v>
      </c>
    </row>
    <row r="1250" spans="8:8">
      <c r="H1250" t="s">
        <v>19680</v>
      </c>
    </row>
    <row r="1251" spans="8:8">
      <c r="H1251" t="s">
        <v>19681</v>
      </c>
    </row>
    <row r="1252" spans="8:8">
      <c r="H1252" t="s">
        <v>19682</v>
      </c>
    </row>
    <row r="1253" spans="8:8">
      <c r="H1253" t="s">
        <v>18893</v>
      </c>
    </row>
    <row r="1254" spans="8:8">
      <c r="H1254" t="s">
        <v>19683</v>
      </c>
    </row>
    <row r="1255" spans="8:8">
      <c r="H1255" t="s">
        <v>19684</v>
      </c>
    </row>
    <row r="1256" spans="8:8">
      <c r="H1256" t="s">
        <v>18881</v>
      </c>
    </row>
    <row r="1257" spans="8:8">
      <c r="H1257" t="s">
        <v>19685</v>
      </c>
    </row>
    <row r="1258" spans="8:8">
      <c r="H1258" t="s">
        <v>19686</v>
      </c>
    </row>
    <row r="1259" spans="8:8">
      <c r="H1259" t="s">
        <v>19687</v>
      </c>
    </row>
    <row r="1260" spans="8:8">
      <c r="H1260" t="s">
        <v>18891</v>
      </c>
    </row>
    <row r="1261" spans="8:8">
      <c r="H1261" t="s">
        <v>18882</v>
      </c>
    </row>
    <row r="1262" spans="8:8">
      <c r="H1262" t="s">
        <v>19688</v>
      </c>
    </row>
    <row r="1263" spans="8:8">
      <c r="H1263" t="s">
        <v>19689</v>
      </c>
    </row>
    <row r="1264" spans="8:8">
      <c r="H1264" t="s">
        <v>18885</v>
      </c>
    </row>
    <row r="1265" spans="8:8">
      <c r="H1265" t="s">
        <v>19690</v>
      </c>
    </row>
    <row r="1266" spans="8:8">
      <c r="H1266" t="s">
        <v>19691</v>
      </c>
    </row>
    <row r="1267" spans="8:8">
      <c r="H1267" t="s">
        <v>19692</v>
      </c>
    </row>
    <row r="1268" spans="8:8">
      <c r="H1268" t="s">
        <v>19693</v>
      </c>
    </row>
    <row r="1269" spans="8:8">
      <c r="H1269" t="s">
        <v>19694</v>
      </c>
    </row>
    <row r="1270" spans="8:8">
      <c r="H1270" t="s">
        <v>19695</v>
      </c>
    </row>
    <row r="1271" spans="8:8">
      <c r="H1271" t="s">
        <v>19696</v>
      </c>
    </row>
    <row r="1272" spans="8:8">
      <c r="H1272" t="s">
        <v>19697</v>
      </c>
    </row>
    <row r="1273" spans="8:8">
      <c r="H1273" t="s">
        <v>19698</v>
      </c>
    </row>
    <row r="1274" spans="8:8">
      <c r="H1274" t="s">
        <v>19699</v>
      </c>
    </row>
    <row r="1275" spans="8:8">
      <c r="H1275" t="s">
        <v>19700</v>
      </c>
    </row>
    <row r="1276" spans="8:8">
      <c r="H1276" t="s">
        <v>19701</v>
      </c>
    </row>
    <row r="1277" spans="8:8">
      <c r="H1277" t="s">
        <v>19702</v>
      </c>
    </row>
    <row r="1278" spans="8:8">
      <c r="H1278" t="s">
        <v>19703</v>
      </c>
    </row>
    <row r="1279" spans="8:8">
      <c r="H1279" t="s">
        <v>19704</v>
      </c>
    </row>
    <row r="1280" spans="8:8">
      <c r="H1280" t="s">
        <v>18883</v>
      </c>
    </row>
    <row r="1281" spans="1:8">
      <c r="H1281" t="s">
        <v>19705</v>
      </c>
    </row>
    <row r="1282" spans="1:8">
      <c r="A1282" t="s">
        <v>269</v>
      </c>
      <c r="B1282">
        <f>HYPERLINK("https://android.googlesource.com/platform/cts/+/4fda9ca3a281ea399282a3fb080c77dbdbb723bd", "4fda9ca3a281ea399282a3fb080c77dbdbb723bd")</f>
        <v>0</v>
      </c>
      <c r="C1282">
        <f>HYPERLINK("https://android.googlesource.com/platform/cts/+/071f7991ee0ed8ffdaa0f29588a020a5c03364fe", "071f7991ee0ed8ffdaa0f29588a020a5c03364fe")</f>
        <v>0</v>
      </c>
      <c r="D1282" t="s">
        <v>4966</v>
      </c>
      <c r="E1282" t="s">
        <v>6066</v>
      </c>
      <c r="F1282" t="s">
        <v>10795</v>
      </c>
      <c r="G1282" t="s">
        <v>15190</v>
      </c>
      <c r="H1282" t="s">
        <v>19706</v>
      </c>
    </row>
    <row r="1283" spans="1:8">
      <c r="F1283" t="s">
        <v>10796</v>
      </c>
      <c r="G1283" t="s">
        <v>15191</v>
      </c>
      <c r="H1283" t="s">
        <v>19706</v>
      </c>
    </row>
    <row r="1284" spans="1:8">
      <c r="F1284" t="s">
        <v>10797</v>
      </c>
      <c r="G1284" t="s">
        <v>15192</v>
      </c>
      <c r="H1284" t="s">
        <v>19707</v>
      </c>
    </row>
    <row r="1285" spans="1:8">
      <c r="F1285" t="s">
        <v>10798</v>
      </c>
      <c r="G1285" t="s">
        <v>15193</v>
      </c>
      <c r="H1285" t="s">
        <v>19707</v>
      </c>
    </row>
    <row r="1286" spans="1:8">
      <c r="F1286" t="s">
        <v>10799</v>
      </c>
      <c r="G1286" t="s">
        <v>15194</v>
      </c>
      <c r="H1286" t="s">
        <v>19708</v>
      </c>
    </row>
    <row r="1287" spans="1:8">
      <c r="F1287" t="s">
        <v>10800</v>
      </c>
      <c r="G1287" t="s">
        <v>15195</v>
      </c>
      <c r="H1287" t="s">
        <v>19708</v>
      </c>
    </row>
    <row r="1288" spans="1:8">
      <c r="F1288" t="s">
        <v>10801</v>
      </c>
      <c r="G1288" t="s">
        <v>15196</v>
      </c>
      <c r="H1288" t="s">
        <v>19708</v>
      </c>
    </row>
    <row r="1289" spans="1:8">
      <c r="F1289" t="s">
        <v>10802</v>
      </c>
      <c r="G1289" t="s">
        <v>15197</v>
      </c>
      <c r="H1289" t="s">
        <v>19708</v>
      </c>
    </row>
    <row r="1290" spans="1:8">
      <c r="F1290" t="s">
        <v>10803</v>
      </c>
      <c r="G1290" t="s">
        <v>15198</v>
      </c>
      <c r="H1290" t="s">
        <v>19706</v>
      </c>
    </row>
    <row r="1291" spans="1:8">
      <c r="F1291" t="s">
        <v>10804</v>
      </c>
      <c r="G1291" t="s">
        <v>15199</v>
      </c>
      <c r="H1291" t="s">
        <v>19706</v>
      </c>
    </row>
    <row r="1292" spans="1:8">
      <c r="F1292" t="s">
        <v>10805</v>
      </c>
      <c r="G1292" t="s">
        <v>15200</v>
      </c>
      <c r="H1292" t="s">
        <v>19709</v>
      </c>
    </row>
    <row r="1293" spans="1:8">
      <c r="F1293" t="s">
        <v>10806</v>
      </c>
      <c r="G1293" t="s">
        <v>15201</v>
      </c>
      <c r="H1293" t="s">
        <v>19709</v>
      </c>
    </row>
    <row r="1294" spans="1:8">
      <c r="F1294" t="s">
        <v>10807</v>
      </c>
      <c r="G1294" t="s">
        <v>15202</v>
      </c>
      <c r="H1294" t="s">
        <v>19709</v>
      </c>
    </row>
    <row r="1295" spans="1:8">
      <c r="F1295" t="s">
        <v>10808</v>
      </c>
      <c r="G1295" t="s">
        <v>15203</v>
      </c>
      <c r="H1295" t="s">
        <v>19709</v>
      </c>
    </row>
    <row r="1296" spans="1:8">
      <c r="F1296" t="s">
        <v>10809</v>
      </c>
      <c r="G1296" t="s">
        <v>15204</v>
      </c>
      <c r="H1296" t="s">
        <v>19709</v>
      </c>
    </row>
    <row r="1297" spans="6:8">
      <c r="F1297" t="s">
        <v>10810</v>
      </c>
      <c r="G1297" t="s">
        <v>15205</v>
      </c>
      <c r="H1297" t="s">
        <v>19709</v>
      </c>
    </row>
    <row r="1298" spans="6:8">
      <c r="F1298" t="s">
        <v>10811</v>
      </c>
      <c r="G1298" t="s">
        <v>15206</v>
      </c>
      <c r="H1298" t="s">
        <v>19706</v>
      </c>
    </row>
    <row r="1299" spans="6:8">
      <c r="F1299" t="s">
        <v>10812</v>
      </c>
      <c r="G1299" t="s">
        <v>15207</v>
      </c>
      <c r="H1299" t="s">
        <v>19706</v>
      </c>
    </row>
    <row r="1300" spans="6:8">
      <c r="F1300" t="s">
        <v>10813</v>
      </c>
      <c r="G1300" t="s">
        <v>15208</v>
      </c>
      <c r="H1300" t="s">
        <v>19706</v>
      </c>
    </row>
    <row r="1301" spans="6:8">
      <c r="F1301" t="s">
        <v>10814</v>
      </c>
      <c r="G1301" t="s">
        <v>15209</v>
      </c>
      <c r="H1301" t="s">
        <v>19706</v>
      </c>
    </row>
    <row r="1302" spans="6:8">
      <c r="F1302" t="s">
        <v>10815</v>
      </c>
      <c r="G1302" t="s">
        <v>15210</v>
      </c>
      <c r="H1302" t="s">
        <v>19706</v>
      </c>
    </row>
    <row r="1303" spans="6:8">
      <c r="F1303" t="s">
        <v>10816</v>
      </c>
      <c r="G1303" t="s">
        <v>15211</v>
      </c>
      <c r="H1303" t="s">
        <v>19706</v>
      </c>
    </row>
    <row r="1304" spans="6:8">
      <c r="F1304" t="s">
        <v>10817</v>
      </c>
      <c r="G1304" t="s">
        <v>15212</v>
      </c>
      <c r="H1304" t="s">
        <v>19706</v>
      </c>
    </row>
    <row r="1305" spans="6:8">
      <c r="F1305" t="s">
        <v>10818</v>
      </c>
      <c r="G1305" t="s">
        <v>15213</v>
      </c>
      <c r="H1305" t="s">
        <v>19709</v>
      </c>
    </row>
    <row r="1306" spans="6:8">
      <c r="F1306" t="s">
        <v>10819</v>
      </c>
      <c r="G1306" t="s">
        <v>15214</v>
      </c>
      <c r="H1306" t="s">
        <v>19709</v>
      </c>
    </row>
    <row r="1307" spans="6:8">
      <c r="F1307" t="s">
        <v>10820</v>
      </c>
      <c r="G1307" t="s">
        <v>15215</v>
      </c>
      <c r="H1307" t="s">
        <v>19709</v>
      </c>
    </row>
    <row r="1308" spans="6:8">
      <c r="F1308" t="s">
        <v>10821</v>
      </c>
      <c r="G1308" t="s">
        <v>15216</v>
      </c>
      <c r="H1308" t="s">
        <v>19709</v>
      </c>
    </row>
    <row r="1309" spans="6:8">
      <c r="F1309" t="s">
        <v>10822</v>
      </c>
      <c r="G1309" t="s">
        <v>15217</v>
      </c>
      <c r="H1309" t="s">
        <v>19707</v>
      </c>
    </row>
    <row r="1310" spans="6:8">
      <c r="F1310" t="s">
        <v>10823</v>
      </c>
      <c r="G1310" t="s">
        <v>15218</v>
      </c>
      <c r="H1310" t="s">
        <v>19709</v>
      </c>
    </row>
    <row r="1311" spans="6:8">
      <c r="F1311" t="s">
        <v>10824</v>
      </c>
      <c r="G1311" t="s">
        <v>15219</v>
      </c>
      <c r="H1311" t="s">
        <v>19706</v>
      </c>
    </row>
    <row r="1312" spans="6:8">
      <c r="H1312" t="s">
        <v>19707</v>
      </c>
    </row>
    <row r="1313" spans="6:8">
      <c r="F1313" t="s">
        <v>10825</v>
      </c>
      <c r="G1313" t="s">
        <v>15220</v>
      </c>
      <c r="H1313" t="s">
        <v>19706</v>
      </c>
    </row>
    <row r="1314" spans="6:8">
      <c r="F1314" t="s">
        <v>10826</v>
      </c>
      <c r="G1314" t="s">
        <v>15221</v>
      </c>
      <c r="H1314" t="s">
        <v>19706</v>
      </c>
    </row>
    <row r="1315" spans="6:8">
      <c r="F1315" t="s">
        <v>10827</v>
      </c>
      <c r="G1315" t="s">
        <v>15222</v>
      </c>
      <c r="H1315" t="s">
        <v>19706</v>
      </c>
    </row>
    <row r="1316" spans="6:8">
      <c r="F1316" t="s">
        <v>10828</v>
      </c>
      <c r="G1316" t="s">
        <v>15223</v>
      </c>
      <c r="H1316" t="s">
        <v>19706</v>
      </c>
    </row>
    <row r="1317" spans="6:8">
      <c r="F1317" t="s">
        <v>10829</v>
      </c>
      <c r="G1317" t="s">
        <v>15224</v>
      </c>
      <c r="H1317" t="s">
        <v>19706</v>
      </c>
    </row>
    <row r="1318" spans="6:8">
      <c r="F1318" t="s">
        <v>10830</v>
      </c>
      <c r="G1318" t="s">
        <v>15225</v>
      </c>
      <c r="H1318" t="s">
        <v>19707</v>
      </c>
    </row>
    <row r="1319" spans="6:8">
      <c r="F1319" t="s">
        <v>10831</v>
      </c>
      <c r="G1319" t="s">
        <v>15226</v>
      </c>
      <c r="H1319" t="s">
        <v>19707</v>
      </c>
    </row>
    <row r="1320" spans="6:8">
      <c r="F1320" t="s">
        <v>10832</v>
      </c>
      <c r="G1320" t="s">
        <v>15227</v>
      </c>
      <c r="H1320" t="s">
        <v>19706</v>
      </c>
    </row>
    <row r="1321" spans="6:8">
      <c r="F1321" t="s">
        <v>10833</v>
      </c>
      <c r="G1321" t="s">
        <v>15228</v>
      </c>
      <c r="H1321" t="s">
        <v>19706</v>
      </c>
    </row>
    <row r="1322" spans="6:8">
      <c r="F1322" t="s">
        <v>10834</v>
      </c>
      <c r="G1322" t="s">
        <v>15229</v>
      </c>
      <c r="H1322" t="s">
        <v>19708</v>
      </c>
    </row>
    <row r="1323" spans="6:8">
      <c r="F1323" t="s">
        <v>10835</v>
      </c>
      <c r="G1323" t="s">
        <v>15230</v>
      </c>
      <c r="H1323" t="s">
        <v>19708</v>
      </c>
    </row>
    <row r="1324" spans="6:8">
      <c r="F1324" t="s">
        <v>10836</v>
      </c>
      <c r="G1324" t="s">
        <v>15231</v>
      </c>
      <c r="H1324" t="s">
        <v>19708</v>
      </c>
    </row>
    <row r="1325" spans="6:8">
      <c r="F1325" t="s">
        <v>10837</v>
      </c>
      <c r="G1325" t="s">
        <v>15232</v>
      </c>
      <c r="H1325" t="s">
        <v>19708</v>
      </c>
    </row>
    <row r="1326" spans="6:8">
      <c r="F1326" t="s">
        <v>10838</v>
      </c>
      <c r="G1326" t="s">
        <v>15233</v>
      </c>
      <c r="H1326" t="s">
        <v>19708</v>
      </c>
    </row>
    <row r="1327" spans="6:8">
      <c r="F1327" t="s">
        <v>10839</v>
      </c>
      <c r="G1327" t="s">
        <v>15234</v>
      </c>
      <c r="H1327" t="s">
        <v>19708</v>
      </c>
    </row>
    <row r="1328" spans="6:8">
      <c r="F1328" t="s">
        <v>10840</v>
      </c>
      <c r="G1328" t="s">
        <v>15235</v>
      </c>
      <c r="H1328" t="s">
        <v>19706</v>
      </c>
    </row>
    <row r="1329" spans="6:8">
      <c r="F1329" t="s">
        <v>10841</v>
      </c>
      <c r="G1329" t="s">
        <v>15236</v>
      </c>
      <c r="H1329" t="s">
        <v>19706</v>
      </c>
    </row>
    <row r="1330" spans="6:8">
      <c r="F1330" t="s">
        <v>10842</v>
      </c>
      <c r="G1330" t="s">
        <v>15237</v>
      </c>
      <c r="H1330" t="s">
        <v>19706</v>
      </c>
    </row>
    <row r="1331" spans="6:8">
      <c r="F1331" t="s">
        <v>10843</v>
      </c>
      <c r="G1331" t="s">
        <v>15238</v>
      </c>
      <c r="H1331" t="s">
        <v>19706</v>
      </c>
    </row>
    <row r="1332" spans="6:8">
      <c r="F1332" t="s">
        <v>10844</v>
      </c>
      <c r="G1332" t="s">
        <v>15239</v>
      </c>
      <c r="H1332" t="s">
        <v>19706</v>
      </c>
    </row>
    <row r="1333" spans="6:8">
      <c r="F1333" t="s">
        <v>10845</v>
      </c>
      <c r="G1333" t="s">
        <v>15240</v>
      </c>
      <c r="H1333" t="s">
        <v>19706</v>
      </c>
    </row>
    <row r="1334" spans="6:8">
      <c r="F1334" t="s">
        <v>10846</v>
      </c>
      <c r="G1334" t="s">
        <v>15241</v>
      </c>
      <c r="H1334" t="s">
        <v>19708</v>
      </c>
    </row>
    <row r="1335" spans="6:8">
      <c r="F1335" t="s">
        <v>10847</v>
      </c>
      <c r="G1335" t="s">
        <v>15242</v>
      </c>
      <c r="H1335" t="s">
        <v>19709</v>
      </c>
    </row>
    <row r="1336" spans="6:8">
      <c r="F1336" t="s">
        <v>10848</v>
      </c>
      <c r="G1336" t="s">
        <v>15243</v>
      </c>
      <c r="H1336" t="s">
        <v>19706</v>
      </c>
    </row>
    <row r="1337" spans="6:8">
      <c r="F1337" t="s">
        <v>10849</v>
      </c>
      <c r="G1337" t="s">
        <v>15244</v>
      </c>
      <c r="H1337" t="s">
        <v>19709</v>
      </c>
    </row>
    <row r="1338" spans="6:8">
      <c r="F1338" t="s">
        <v>10850</v>
      </c>
      <c r="G1338" t="s">
        <v>15245</v>
      </c>
      <c r="H1338" t="s">
        <v>19706</v>
      </c>
    </row>
    <row r="1339" spans="6:8">
      <c r="F1339" t="s">
        <v>10851</v>
      </c>
      <c r="G1339" t="s">
        <v>15246</v>
      </c>
      <c r="H1339" t="s">
        <v>19709</v>
      </c>
    </row>
    <row r="1340" spans="6:8">
      <c r="F1340" t="s">
        <v>10852</v>
      </c>
      <c r="G1340" t="s">
        <v>15247</v>
      </c>
      <c r="H1340" t="s">
        <v>19706</v>
      </c>
    </row>
    <row r="1341" spans="6:8">
      <c r="F1341" t="s">
        <v>10853</v>
      </c>
      <c r="G1341" t="s">
        <v>15248</v>
      </c>
      <c r="H1341" t="s">
        <v>19709</v>
      </c>
    </row>
    <row r="1342" spans="6:8">
      <c r="F1342" t="s">
        <v>10854</v>
      </c>
      <c r="G1342" t="s">
        <v>15249</v>
      </c>
      <c r="H1342" t="s">
        <v>19706</v>
      </c>
    </row>
    <row r="1343" spans="6:8">
      <c r="F1343" t="s">
        <v>10855</v>
      </c>
      <c r="G1343" t="s">
        <v>15250</v>
      </c>
      <c r="H1343" t="s">
        <v>19709</v>
      </c>
    </row>
    <row r="1344" spans="6:8">
      <c r="F1344" t="s">
        <v>10856</v>
      </c>
      <c r="G1344" t="s">
        <v>15251</v>
      </c>
      <c r="H1344" t="s">
        <v>19708</v>
      </c>
    </row>
    <row r="1345" spans="6:8">
      <c r="F1345" t="s">
        <v>10857</v>
      </c>
      <c r="G1345" t="s">
        <v>15252</v>
      </c>
      <c r="H1345" t="s">
        <v>19706</v>
      </c>
    </row>
    <row r="1346" spans="6:8">
      <c r="F1346" t="s">
        <v>10858</v>
      </c>
      <c r="G1346" t="s">
        <v>15253</v>
      </c>
      <c r="H1346" t="s">
        <v>19708</v>
      </c>
    </row>
    <row r="1347" spans="6:8">
      <c r="F1347" t="s">
        <v>10859</v>
      </c>
      <c r="G1347" t="s">
        <v>15254</v>
      </c>
      <c r="H1347" t="s">
        <v>19707</v>
      </c>
    </row>
    <row r="1348" spans="6:8">
      <c r="F1348" t="s">
        <v>10860</v>
      </c>
      <c r="G1348" t="s">
        <v>15255</v>
      </c>
      <c r="H1348" t="s">
        <v>19710</v>
      </c>
    </row>
    <row r="1349" spans="6:8">
      <c r="F1349" t="s">
        <v>10861</v>
      </c>
      <c r="G1349" t="s">
        <v>15256</v>
      </c>
      <c r="H1349" t="s">
        <v>19707</v>
      </c>
    </row>
    <row r="1350" spans="6:8">
      <c r="F1350" t="s">
        <v>10862</v>
      </c>
      <c r="G1350" t="s">
        <v>15257</v>
      </c>
      <c r="H1350" t="s">
        <v>19710</v>
      </c>
    </row>
    <row r="1351" spans="6:8">
      <c r="F1351" t="s">
        <v>10863</v>
      </c>
      <c r="G1351" t="s">
        <v>15258</v>
      </c>
      <c r="H1351" t="s">
        <v>19710</v>
      </c>
    </row>
    <row r="1352" spans="6:8">
      <c r="F1352" t="s">
        <v>10864</v>
      </c>
      <c r="G1352" t="s">
        <v>15259</v>
      </c>
      <c r="H1352" t="s">
        <v>19711</v>
      </c>
    </row>
    <row r="1353" spans="6:8">
      <c r="F1353" t="s">
        <v>10865</v>
      </c>
      <c r="G1353" t="s">
        <v>15260</v>
      </c>
      <c r="H1353" t="s">
        <v>19706</v>
      </c>
    </row>
    <row r="1354" spans="6:8">
      <c r="F1354" t="s">
        <v>10866</v>
      </c>
      <c r="G1354" t="s">
        <v>15261</v>
      </c>
      <c r="H1354" t="s">
        <v>19706</v>
      </c>
    </row>
    <row r="1355" spans="6:8">
      <c r="F1355" t="s">
        <v>10867</v>
      </c>
      <c r="G1355" t="s">
        <v>15262</v>
      </c>
      <c r="H1355" t="s">
        <v>19707</v>
      </c>
    </row>
    <row r="1356" spans="6:8">
      <c r="F1356" t="s">
        <v>10868</v>
      </c>
      <c r="G1356" t="s">
        <v>15263</v>
      </c>
      <c r="H1356" t="s">
        <v>19706</v>
      </c>
    </row>
    <row r="1357" spans="6:8">
      <c r="F1357" t="s">
        <v>10869</v>
      </c>
      <c r="G1357" t="s">
        <v>15264</v>
      </c>
      <c r="H1357" t="s">
        <v>19706</v>
      </c>
    </row>
    <row r="1358" spans="6:8">
      <c r="F1358" t="s">
        <v>10870</v>
      </c>
      <c r="G1358" t="s">
        <v>15265</v>
      </c>
      <c r="H1358" t="s">
        <v>19706</v>
      </c>
    </row>
    <row r="1359" spans="6:8">
      <c r="F1359" t="s">
        <v>10871</v>
      </c>
      <c r="G1359" t="s">
        <v>15266</v>
      </c>
      <c r="H1359" t="s">
        <v>19706</v>
      </c>
    </row>
    <row r="1360" spans="6:8">
      <c r="F1360" t="s">
        <v>10872</v>
      </c>
      <c r="G1360" t="s">
        <v>15267</v>
      </c>
      <c r="H1360" t="s">
        <v>19707</v>
      </c>
    </row>
    <row r="1361" spans="6:8">
      <c r="F1361" t="s">
        <v>10873</v>
      </c>
      <c r="G1361" t="s">
        <v>15268</v>
      </c>
      <c r="H1361" t="s">
        <v>19707</v>
      </c>
    </row>
    <row r="1362" spans="6:8">
      <c r="F1362" t="s">
        <v>10874</v>
      </c>
      <c r="G1362" t="s">
        <v>15269</v>
      </c>
      <c r="H1362" t="s">
        <v>19707</v>
      </c>
    </row>
    <row r="1363" spans="6:8">
      <c r="F1363" t="s">
        <v>10875</v>
      </c>
      <c r="G1363" t="s">
        <v>15270</v>
      </c>
      <c r="H1363" t="s">
        <v>19707</v>
      </c>
    </row>
    <row r="1364" spans="6:8">
      <c r="F1364" t="s">
        <v>10876</v>
      </c>
      <c r="G1364" t="s">
        <v>15271</v>
      </c>
      <c r="H1364" t="s">
        <v>19706</v>
      </c>
    </row>
    <row r="1365" spans="6:8">
      <c r="F1365" t="s">
        <v>10877</v>
      </c>
      <c r="G1365" t="s">
        <v>15272</v>
      </c>
      <c r="H1365" t="s">
        <v>19706</v>
      </c>
    </row>
    <row r="1366" spans="6:8">
      <c r="F1366" t="s">
        <v>10878</v>
      </c>
      <c r="G1366" t="s">
        <v>15273</v>
      </c>
      <c r="H1366" t="s">
        <v>19707</v>
      </c>
    </row>
    <row r="1367" spans="6:8">
      <c r="F1367" t="s">
        <v>10879</v>
      </c>
      <c r="G1367" t="s">
        <v>15274</v>
      </c>
      <c r="H1367" t="s">
        <v>19707</v>
      </c>
    </row>
    <row r="1368" spans="6:8">
      <c r="F1368" t="s">
        <v>10880</v>
      </c>
      <c r="G1368" t="s">
        <v>15275</v>
      </c>
      <c r="H1368" t="s">
        <v>19711</v>
      </c>
    </row>
    <row r="1369" spans="6:8">
      <c r="F1369" t="s">
        <v>10881</v>
      </c>
      <c r="G1369" t="s">
        <v>15276</v>
      </c>
      <c r="H1369" t="s">
        <v>19707</v>
      </c>
    </row>
    <row r="1370" spans="6:8">
      <c r="F1370" t="s">
        <v>10882</v>
      </c>
      <c r="G1370" t="s">
        <v>15277</v>
      </c>
      <c r="H1370" t="s">
        <v>19706</v>
      </c>
    </row>
    <row r="1371" spans="6:8">
      <c r="F1371" t="s">
        <v>10883</v>
      </c>
      <c r="G1371" t="s">
        <v>15278</v>
      </c>
      <c r="H1371" t="s">
        <v>19706</v>
      </c>
    </row>
    <row r="1372" spans="6:8">
      <c r="F1372" t="s">
        <v>10884</v>
      </c>
      <c r="G1372" t="s">
        <v>15279</v>
      </c>
      <c r="H1372" t="s">
        <v>19706</v>
      </c>
    </row>
    <row r="1373" spans="6:8">
      <c r="F1373" t="s">
        <v>10885</v>
      </c>
      <c r="G1373" t="s">
        <v>15280</v>
      </c>
      <c r="H1373" t="s">
        <v>19706</v>
      </c>
    </row>
    <row r="1374" spans="6:8">
      <c r="F1374" t="s">
        <v>10886</v>
      </c>
      <c r="G1374" t="s">
        <v>15281</v>
      </c>
      <c r="H1374" t="s">
        <v>19706</v>
      </c>
    </row>
    <row r="1375" spans="6:8">
      <c r="F1375" t="s">
        <v>10887</v>
      </c>
      <c r="G1375" t="s">
        <v>15282</v>
      </c>
      <c r="H1375" t="s">
        <v>19706</v>
      </c>
    </row>
    <row r="1376" spans="6:8">
      <c r="F1376" t="s">
        <v>10888</v>
      </c>
      <c r="G1376" t="s">
        <v>15283</v>
      </c>
      <c r="H1376" t="s">
        <v>19706</v>
      </c>
    </row>
    <row r="1377" spans="6:8">
      <c r="F1377" t="s">
        <v>10889</v>
      </c>
      <c r="G1377" t="s">
        <v>15284</v>
      </c>
      <c r="H1377" t="s">
        <v>19706</v>
      </c>
    </row>
    <row r="1378" spans="6:8">
      <c r="F1378" t="s">
        <v>10890</v>
      </c>
      <c r="G1378" t="s">
        <v>15285</v>
      </c>
      <c r="H1378" t="s">
        <v>19712</v>
      </c>
    </row>
    <row r="1379" spans="6:8">
      <c r="F1379" t="s">
        <v>10891</v>
      </c>
      <c r="G1379" t="s">
        <v>15286</v>
      </c>
      <c r="H1379" t="s">
        <v>19706</v>
      </c>
    </row>
    <row r="1380" spans="6:8">
      <c r="F1380" t="s">
        <v>10892</v>
      </c>
      <c r="G1380" t="s">
        <v>15287</v>
      </c>
      <c r="H1380" t="s">
        <v>19706</v>
      </c>
    </row>
    <row r="1381" spans="6:8">
      <c r="F1381" t="s">
        <v>10893</v>
      </c>
      <c r="G1381" t="s">
        <v>15288</v>
      </c>
      <c r="H1381" t="s">
        <v>19706</v>
      </c>
    </row>
    <row r="1382" spans="6:8">
      <c r="F1382" t="s">
        <v>10894</v>
      </c>
      <c r="G1382" t="s">
        <v>15289</v>
      </c>
      <c r="H1382" t="s">
        <v>19706</v>
      </c>
    </row>
    <row r="1383" spans="6:8">
      <c r="F1383" t="s">
        <v>10895</v>
      </c>
      <c r="G1383" t="s">
        <v>15290</v>
      </c>
      <c r="H1383" t="s">
        <v>19708</v>
      </c>
    </row>
    <row r="1384" spans="6:8">
      <c r="F1384" t="s">
        <v>10896</v>
      </c>
      <c r="G1384" t="s">
        <v>15291</v>
      </c>
      <c r="H1384" t="s">
        <v>19708</v>
      </c>
    </row>
    <row r="1385" spans="6:8">
      <c r="F1385" t="s">
        <v>10897</v>
      </c>
      <c r="G1385" t="s">
        <v>15292</v>
      </c>
      <c r="H1385" t="s">
        <v>19708</v>
      </c>
    </row>
    <row r="1386" spans="6:8">
      <c r="F1386" t="s">
        <v>10898</v>
      </c>
      <c r="G1386" t="s">
        <v>15293</v>
      </c>
      <c r="H1386" t="s">
        <v>19708</v>
      </c>
    </row>
    <row r="1387" spans="6:8">
      <c r="F1387" t="s">
        <v>10899</v>
      </c>
      <c r="G1387" t="s">
        <v>15294</v>
      </c>
      <c r="H1387" t="s">
        <v>19708</v>
      </c>
    </row>
    <row r="1388" spans="6:8">
      <c r="F1388" t="s">
        <v>10900</v>
      </c>
      <c r="G1388" t="s">
        <v>15295</v>
      </c>
      <c r="H1388" t="s">
        <v>19708</v>
      </c>
    </row>
    <row r="1389" spans="6:8">
      <c r="F1389" t="s">
        <v>10901</v>
      </c>
      <c r="G1389" t="s">
        <v>15296</v>
      </c>
      <c r="H1389" t="s">
        <v>19709</v>
      </c>
    </row>
    <row r="1390" spans="6:8">
      <c r="F1390" t="s">
        <v>10902</v>
      </c>
      <c r="G1390" t="s">
        <v>15297</v>
      </c>
      <c r="H1390" t="s">
        <v>19709</v>
      </c>
    </row>
    <row r="1391" spans="6:8">
      <c r="F1391" t="s">
        <v>10903</v>
      </c>
      <c r="G1391" t="s">
        <v>15298</v>
      </c>
      <c r="H1391" t="s">
        <v>19711</v>
      </c>
    </row>
    <row r="1392" spans="6:8">
      <c r="F1392" t="s">
        <v>10904</v>
      </c>
      <c r="G1392" t="s">
        <v>15299</v>
      </c>
      <c r="H1392" t="s">
        <v>19711</v>
      </c>
    </row>
    <row r="1393" spans="6:8">
      <c r="F1393" t="s">
        <v>10905</v>
      </c>
      <c r="G1393" t="s">
        <v>15300</v>
      </c>
      <c r="H1393" t="s">
        <v>19711</v>
      </c>
    </row>
    <row r="1394" spans="6:8">
      <c r="F1394" t="s">
        <v>10906</v>
      </c>
      <c r="G1394" t="s">
        <v>15301</v>
      </c>
      <c r="H1394" t="s">
        <v>19711</v>
      </c>
    </row>
    <row r="1395" spans="6:8">
      <c r="F1395" t="s">
        <v>10907</v>
      </c>
      <c r="G1395" t="s">
        <v>15302</v>
      </c>
      <c r="H1395" t="s">
        <v>19711</v>
      </c>
    </row>
    <row r="1396" spans="6:8">
      <c r="F1396" t="s">
        <v>10908</v>
      </c>
      <c r="G1396" t="s">
        <v>15303</v>
      </c>
      <c r="H1396" t="s">
        <v>19711</v>
      </c>
    </row>
    <row r="1397" spans="6:8">
      <c r="F1397" t="s">
        <v>10909</v>
      </c>
      <c r="G1397" t="s">
        <v>15304</v>
      </c>
      <c r="H1397" t="s">
        <v>19711</v>
      </c>
    </row>
    <row r="1398" spans="6:8">
      <c r="F1398" t="s">
        <v>10910</v>
      </c>
      <c r="G1398" t="s">
        <v>15305</v>
      </c>
      <c r="H1398" t="s">
        <v>19711</v>
      </c>
    </row>
    <row r="1399" spans="6:8">
      <c r="F1399" t="s">
        <v>10911</v>
      </c>
      <c r="G1399" t="s">
        <v>15306</v>
      </c>
      <c r="H1399" t="s">
        <v>19711</v>
      </c>
    </row>
    <row r="1400" spans="6:8">
      <c r="F1400" t="s">
        <v>10912</v>
      </c>
      <c r="G1400" t="s">
        <v>15307</v>
      </c>
      <c r="H1400" t="s">
        <v>19711</v>
      </c>
    </row>
    <row r="1401" spans="6:8">
      <c r="F1401" t="s">
        <v>10913</v>
      </c>
      <c r="G1401" t="s">
        <v>15308</v>
      </c>
      <c r="H1401" t="s">
        <v>19712</v>
      </c>
    </row>
    <row r="1402" spans="6:8">
      <c r="F1402" t="s">
        <v>10914</v>
      </c>
      <c r="G1402" t="s">
        <v>15309</v>
      </c>
      <c r="H1402" t="s">
        <v>19711</v>
      </c>
    </row>
    <row r="1403" spans="6:8">
      <c r="F1403" t="s">
        <v>10915</v>
      </c>
      <c r="G1403" t="s">
        <v>15310</v>
      </c>
      <c r="H1403" t="s">
        <v>19706</v>
      </c>
    </row>
    <row r="1404" spans="6:8">
      <c r="F1404" t="s">
        <v>10916</v>
      </c>
      <c r="G1404" t="s">
        <v>15311</v>
      </c>
      <c r="H1404" t="s">
        <v>19706</v>
      </c>
    </row>
    <row r="1405" spans="6:8">
      <c r="F1405" t="s">
        <v>10917</v>
      </c>
      <c r="G1405" t="s">
        <v>15312</v>
      </c>
      <c r="H1405" t="s">
        <v>19706</v>
      </c>
    </row>
    <row r="1406" spans="6:8">
      <c r="F1406" t="s">
        <v>10918</v>
      </c>
      <c r="G1406" t="s">
        <v>15313</v>
      </c>
      <c r="H1406" t="s">
        <v>19706</v>
      </c>
    </row>
    <row r="1407" spans="6:8">
      <c r="F1407" t="s">
        <v>10919</v>
      </c>
      <c r="G1407" t="s">
        <v>15314</v>
      </c>
      <c r="H1407" t="s">
        <v>19707</v>
      </c>
    </row>
    <row r="1408" spans="6:8">
      <c r="F1408" t="s">
        <v>10920</v>
      </c>
      <c r="G1408" t="s">
        <v>15315</v>
      </c>
      <c r="H1408" t="s">
        <v>19707</v>
      </c>
    </row>
    <row r="1409" spans="1:8">
      <c r="F1409" t="s">
        <v>10921</v>
      </c>
      <c r="G1409" t="s">
        <v>15316</v>
      </c>
      <c r="H1409" t="s">
        <v>19706</v>
      </c>
    </row>
    <row r="1410" spans="1:8">
      <c r="F1410" t="s">
        <v>10922</v>
      </c>
      <c r="G1410" t="s">
        <v>15317</v>
      </c>
      <c r="H1410" t="s">
        <v>19706</v>
      </c>
    </row>
    <row r="1411" spans="1:8">
      <c r="F1411" t="s">
        <v>10923</v>
      </c>
      <c r="G1411" t="s">
        <v>15318</v>
      </c>
      <c r="H1411" t="s">
        <v>19711</v>
      </c>
    </row>
    <row r="1412" spans="1:8">
      <c r="F1412" t="s">
        <v>10924</v>
      </c>
      <c r="G1412" t="s">
        <v>15319</v>
      </c>
      <c r="H1412" t="s">
        <v>19711</v>
      </c>
    </row>
    <row r="1413" spans="1:8">
      <c r="F1413" t="s">
        <v>10925</v>
      </c>
      <c r="G1413" t="s">
        <v>15320</v>
      </c>
      <c r="H1413" t="s">
        <v>19711</v>
      </c>
    </row>
    <row r="1414" spans="1:8">
      <c r="F1414" t="s">
        <v>10926</v>
      </c>
      <c r="G1414" t="s">
        <v>15321</v>
      </c>
      <c r="H1414" t="s">
        <v>19708</v>
      </c>
    </row>
    <row r="1415" spans="1:8">
      <c r="F1415" t="s">
        <v>10927</v>
      </c>
      <c r="G1415" t="s">
        <v>15322</v>
      </c>
      <c r="H1415" t="s">
        <v>19708</v>
      </c>
    </row>
    <row r="1416" spans="1:8">
      <c r="F1416" t="s">
        <v>10928</v>
      </c>
      <c r="G1416" t="s">
        <v>15323</v>
      </c>
      <c r="H1416" t="s">
        <v>19706</v>
      </c>
    </row>
    <row r="1417" spans="1:8">
      <c r="F1417" t="s">
        <v>10929</v>
      </c>
      <c r="G1417" t="s">
        <v>15324</v>
      </c>
      <c r="H1417" t="s">
        <v>19706</v>
      </c>
    </row>
    <row r="1418" spans="1:8">
      <c r="F1418" t="s">
        <v>10930</v>
      </c>
      <c r="G1418" t="s">
        <v>15325</v>
      </c>
      <c r="H1418" t="s">
        <v>19709</v>
      </c>
    </row>
    <row r="1419" spans="1:8">
      <c r="F1419" t="s">
        <v>10931</v>
      </c>
      <c r="G1419" t="s">
        <v>15326</v>
      </c>
      <c r="H1419" t="s">
        <v>19709</v>
      </c>
    </row>
    <row r="1420" spans="1:8">
      <c r="F1420" t="s">
        <v>10932</v>
      </c>
      <c r="G1420" t="s">
        <v>15327</v>
      </c>
      <c r="H1420" t="s">
        <v>19706</v>
      </c>
    </row>
    <row r="1421" spans="1:8">
      <c r="F1421" t="s">
        <v>10933</v>
      </c>
      <c r="G1421" t="s">
        <v>15328</v>
      </c>
      <c r="H1421" t="s">
        <v>19706</v>
      </c>
    </row>
    <row r="1422" spans="1:8">
      <c r="A1422" t="s">
        <v>270</v>
      </c>
      <c r="B1422">
        <f>HYPERLINK("https://android.googlesource.com/platform/cts/+/56f494ed9757c19bf9db6c608d66f9202b63a4ac", "56f494ed9757c19bf9db6c608d66f9202b63a4ac")</f>
        <v>0</v>
      </c>
      <c r="C1422">
        <f>HYPERLINK("https://android.googlesource.com/platform/cts/+/4fda9ca3a281ea399282a3fb080c77dbdbb723bd", "4fda9ca3a281ea399282a3fb080c77dbdbb723bd")</f>
        <v>0</v>
      </c>
      <c r="D1422" t="s">
        <v>4966</v>
      </c>
      <c r="E1422" t="s">
        <v>6067</v>
      </c>
      <c r="F1422" t="s">
        <v>10847</v>
      </c>
      <c r="G1422" t="s">
        <v>15242</v>
      </c>
      <c r="H1422" t="s">
        <v>19713</v>
      </c>
    </row>
    <row r="1423" spans="1:8">
      <c r="H1423" t="s">
        <v>19714</v>
      </c>
    </row>
    <row r="1424" spans="1:8">
      <c r="A1424" t="s">
        <v>271</v>
      </c>
      <c r="B1424">
        <f>HYPERLINK("https://android.googlesource.com/platform/cts/+/40fbbf16e3e741950e337bcb3435de670dbe502d", "40fbbf16e3e741950e337bcb3435de670dbe502d")</f>
        <v>0</v>
      </c>
      <c r="C1424">
        <f>HYPERLINK("https://android.googlesource.com/platform/cts/+/4081e7b9b8e3a522e1f5e99b7622b3afa3df083f", "4081e7b9b8e3a522e1f5e99b7622b3afa3df083f")</f>
        <v>0</v>
      </c>
      <c r="D1424" t="s">
        <v>4967</v>
      </c>
      <c r="E1424" t="s">
        <v>6068</v>
      </c>
      <c r="F1424" t="s">
        <v>10679</v>
      </c>
      <c r="G1424" t="s">
        <v>15079</v>
      </c>
      <c r="H1424" t="s">
        <v>19715</v>
      </c>
    </row>
    <row r="1425" spans="1:8">
      <c r="H1425" t="s">
        <v>19716</v>
      </c>
    </row>
    <row r="1426" spans="1:8">
      <c r="A1426" t="s">
        <v>272</v>
      </c>
      <c r="B1426">
        <f>HYPERLINK("https://android.googlesource.com/platform/cts/+/53e68a3707bd017f69eec7a75c1cbd5513cb96ef", "53e68a3707bd017f69eec7a75c1cbd5513cb96ef")</f>
        <v>0</v>
      </c>
      <c r="C1426">
        <f>HYPERLINK("https://android.googlesource.com/platform/cts/+/0eb514e51fe09ac08a504494319a720045274393", "0eb514e51fe09ac08a504494319a720045274393")</f>
        <v>0</v>
      </c>
      <c r="D1426" t="s">
        <v>4932</v>
      </c>
      <c r="E1426" t="s">
        <v>6069</v>
      </c>
      <c r="F1426" t="s">
        <v>10747</v>
      </c>
      <c r="G1426" t="s">
        <v>15129</v>
      </c>
      <c r="H1426" t="s">
        <v>19717</v>
      </c>
    </row>
    <row r="1427" spans="1:8">
      <c r="A1427" t="s">
        <v>273</v>
      </c>
      <c r="B1427">
        <f>HYPERLINK("https://android.googlesource.com/platform/cts/+/cf4b7436f9264b918abd49415de1c4eceb298bb3", "cf4b7436f9264b918abd49415de1c4eceb298bb3")</f>
        <v>0</v>
      </c>
      <c r="C1427">
        <f>HYPERLINK("https://android.googlesource.com/platform/cts/+/5f5688987fe6049a7ac116fa588bbe8cd00c7858", "5f5688987fe6049a7ac116fa588bbe8cd00c7858")</f>
        <v>0</v>
      </c>
      <c r="D1427" t="s">
        <v>4941</v>
      </c>
      <c r="E1427" t="s">
        <v>6070</v>
      </c>
      <c r="F1427" t="s">
        <v>10593</v>
      </c>
      <c r="G1427" t="s">
        <v>14996</v>
      </c>
      <c r="H1427" t="s">
        <v>19718</v>
      </c>
    </row>
    <row r="1428" spans="1:8">
      <c r="A1428" t="s">
        <v>274</v>
      </c>
      <c r="B1428">
        <f>HYPERLINK("https://android.googlesource.com/platform/cts/+/fcfd502de1270c2d5565b386799240d9b68c2df5", "fcfd502de1270c2d5565b386799240d9b68c2df5")</f>
        <v>0</v>
      </c>
      <c r="C1428">
        <f>HYPERLINK("https://android.googlesource.com/platform/cts/+/2c483d9492ac6014faea10f14b2f2743c081b75d", "2c483d9492ac6014faea10f14b2f2743c081b75d")</f>
        <v>0</v>
      </c>
      <c r="D1428" t="s">
        <v>4967</v>
      </c>
      <c r="E1428" t="s">
        <v>6071</v>
      </c>
      <c r="F1428" t="s">
        <v>10678</v>
      </c>
      <c r="G1428" t="s">
        <v>15078</v>
      </c>
      <c r="H1428" t="s">
        <v>19719</v>
      </c>
    </row>
    <row r="1429" spans="1:8">
      <c r="A1429" t="s">
        <v>275</v>
      </c>
      <c r="B1429">
        <f>HYPERLINK("https://android.googlesource.com/platform/cts/+/18dae332020a4123392230cac2ea609d4a895a01", "18dae332020a4123392230cac2ea609d4a895a01")</f>
        <v>0</v>
      </c>
      <c r="C1429">
        <f>HYPERLINK("https://android.googlesource.com/platform/cts/+/33a1e5c6c64d246d27f4a8166586c7b846ad6784", "33a1e5c6c64d246d27f4a8166586c7b846ad6784")</f>
        <v>0</v>
      </c>
      <c r="D1429" t="s">
        <v>4941</v>
      </c>
      <c r="E1429" t="s">
        <v>6072</v>
      </c>
      <c r="F1429" t="s">
        <v>10934</v>
      </c>
      <c r="G1429" t="s">
        <v>15329</v>
      </c>
      <c r="H1429" t="s">
        <v>19720</v>
      </c>
    </row>
    <row r="1430" spans="1:8">
      <c r="H1430" t="s">
        <v>19721</v>
      </c>
    </row>
    <row r="1431" spans="1:8">
      <c r="H1431" t="s">
        <v>19722</v>
      </c>
    </row>
    <row r="1432" spans="1:8">
      <c r="H1432" t="s">
        <v>19723</v>
      </c>
    </row>
    <row r="1433" spans="1:8">
      <c r="A1433" t="s">
        <v>276</v>
      </c>
      <c r="B1433">
        <f>HYPERLINK("https://android.googlesource.com/platform/cts/+/2d73ba06837c5aa3be3f25ea8f9ff240f6dce494", "2d73ba06837c5aa3be3f25ea8f9ff240f6dce494")</f>
        <v>0</v>
      </c>
      <c r="C1433">
        <f>HYPERLINK("https://android.googlesource.com/platform/cts/+/8369f1dd52e7f686efa039cb464eeb2e0e7ff474", "8369f1dd52e7f686efa039cb464eeb2e0e7ff474")</f>
        <v>0</v>
      </c>
      <c r="D1433" t="s">
        <v>4968</v>
      </c>
      <c r="E1433" t="s">
        <v>6073</v>
      </c>
      <c r="F1433" t="s">
        <v>10935</v>
      </c>
      <c r="G1433" t="s">
        <v>15330</v>
      </c>
      <c r="H1433" t="s">
        <v>19724</v>
      </c>
    </row>
    <row r="1434" spans="1:8">
      <c r="A1434" t="s">
        <v>277</v>
      </c>
      <c r="B1434">
        <f>HYPERLINK("https://android.googlesource.com/platform/cts/+/fad0a7c7d74d90e9612e925ba167587881eb1984", "fad0a7c7d74d90e9612e925ba167587881eb1984")</f>
        <v>0</v>
      </c>
      <c r="C1434">
        <f>HYPERLINK("https://android.googlesource.com/platform/cts/+/584c94429c75d2691e67997120076979161d548f", "584c94429c75d2691e67997120076979161d548f")</f>
        <v>0</v>
      </c>
      <c r="D1434" t="s">
        <v>4932</v>
      </c>
      <c r="E1434" t="s">
        <v>6074</v>
      </c>
      <c r="F1434" t="s">
        <v>10747</v>
      </c>
      <c r="G1434" t="s">
        <v>15129</v>
      </c>
      <c r="H1434" t="s">
        <v>19239</v>
      </c>
    </row>
    <row r="1435" spans="1:8">
      <c r="F1435" t="s">
        <v>10936</v>
      </c>
      <c r="G1435" t="s">
        <v>15331</v>
      </c>
      <c r="H1435" t="s">
        <v>19166</v>
      </c>
    </row>
    <row r="1436" spans="1:8">
      <c r="H1436" t="s">
        <v>19725</v>
      </c>
    </row>
    <row r="1437" spans="1:8">
      <c r="H1437" t="s">
        <v>19726</v>
      </c>
    </row>
    <row r="1438" spans="1:8">
      <c r="H1438" t="s">
        <v>19727</v>
      </c>
    </row>
    <row r="1439" spans="1:8">
      <c r="H1439" t="s">
        <v>19728</v>
      </c>
    </row>
    <row r="1440" spans="1:8">
      <c r="H1440" t="s">
        <v>19168</v>
      </c>
    </row>
    <row r="1441" spans="1:8">
      <c r="F1441" t="s">
        <v>10937</v>
      </c>
      <c r="G1441" t="s">
        <v>15332</v>
      </c>
      <c r="H1441" t="s">
        <v>19729</v>
      </c>
    </row>
    <row r="1442" spans="1:8">
      <c r="H1442" t="s">
        <v>19730</v>
      </c>
    </row>
    <row r="1443" spans="1:8">
      <c r="H1443" t="s">
        <v>19731</v>
      </c>
    </row>
    <row r="1444" spans="1:8">
      <c r="H1444" t="s">
        <v>19732</v>
      </c>
    </row>
    <row r="1445" spans="1:8">
      <c r="H1445" t="s">
        <v>19174</v>
      </c>
    </row>
    <row r="1446" spans="1:8">
      <c r="A1446" t="s">
        <v>278</v>
      </c>
      <c r="B1446">
        <f>HYPERLINK("https://android.googlesource.com/platform/cts/+/3c64686bc8fe2d681500c432ae1a6b4602c83f77", "3c64686bc8fe2d681500c432ae1a6b4602c83f77")</f>
        <v>0</v>
      </c>
      <c r="C1446">
        <f>HYPERLINK("https://android.googlesource.com/platform/cts/+/d55865381528ec3040696d76e1532f09840c133c", "d55865381528ec3040696d76e1532f09840c133c")</f>
        <v>0</v>
      </c>
      <c r="D1446" t="s">
        <v>4932</v>
      </c>
      <c r="E1446" t="s">
        <v>6075</v>
      </c>
      <c r="F1446" t="s">
        <v>10938</v>
      </c>
      <c r="G1446" t="s">
        <v>14992</v>
      </c>
      <c r="H1446" t="s">
        <v>19733</v>
      </c>
    </row>
    <row r="1447" spans="1:8">
      <c r="H1447" t="s">
        <v>19734</v>
      </c>
    </row>
    <row r="1448" spans="1:8">
      <c r="H1448" t="s">
        <v>19735</v>
      </c>
    </row>
    <row r="1449" spans="1:8">
      <c r="H1449" t="s">
        <v>19736</v>
      </c>
    </row>
    <row r="1450" spans="1:8">
      <c r="F1450" t="s">
        <v>10939</v>
      </c>
      <c r="G1450" t="s">
        <v>15333</v>
      </c>
      <c r="H1450" t="s">
        <v>19737</v>
      </c>
    </row>
    <row r="1451" spans="1:8">
      <c r="H1451" t="s">
        <v>19738</v>
      </c>
    </row>
    <row r="1452" spans="1:8">
      <c r="A1452" t="s">
        <v>279</v>
      </c>
      <c r="B1452">
        <f>HYPERLINK("https://android.googlesource.com/platform/cts/+/b7918376fd81f6e4a2e948e2a4929593183bdd17", "b7918376fd81f6e4a2e948e2a4929593183bdd17")</f>
        <v>0</v>
      </c>
      <c r="C1452">
        <f>HYPERLINK("https://android.googlesource.com/platform/cts/+/99d96c4d0dfd06422f4f9a15494fb460e72fe074", "99d96c4d0dfd06422f4f9a15494fb460e72fe074")</f>
        <v>0</v>
      </c>
      <c r="D1452" t="s">
        <v>4932</v>
      </c>
      <c r="E1452" t="s">
        <v>6076</v>
      </c>
      <c r="F1452" t="s">
        <v>10728</v>
      </c>
      <c r="G1452" t="s">
        <v>15334</v>
      </c>
      <c r="H1452" t="s">
        <v>19739</v>
      </c>
    </row>
    <row r="1453" spans="1:8">
      <c r="H1453" t="s">
        <v>19740</v>
      </c>
    </row>
    <row r="1454" spans="1:8">
      <c r="H1454" t="s">
        <v>19741</v>
      </c>
    </row>
    <row r="1455" spans="1:8">
      <c r="H1455" t="s">
        <v>19742</v>
      </c>
    </row>
    <row r="1456" spans="1:8">
      <c r="H1456" t="s">
        <v>19743</v>
      </c>
    </row>
    <row r="1457" spans="1:8">
      <c r="H1457" t="s">
        <v>19744</v>
      </c>
    </row>
    <row r="1458" spans="1:8">
      <c r="H1458" t="s">
        <v>19745</v>
      </c>
    </row>
    <row r="1459" spans="1:8">
      <c r="H1459" t="s">
        <v>19746</v>
      </c>
    </row>
    <row r="1460" spans="1:8">
      <c r="A1460" t="s">
        <v>280</v>
      </c>
      <c r="B1460">
        <f>HYPERLINK("https://android.googlesource.com/platform/cts/+/c51a350bf01d6880e70b4381eaa82fec3c72975e", "c51a350bf01d6880e70b4381eaa82fec3c72975e")</f>
        <v>0</v>
      </c>
      <c r="C1460">
        <f>HYPERLINK("https://android.googlesource.com/platform/cts/+/b7918376fd81f6e4a2e948e2a4929593183bdd17", "b7918376fd81f6e4a2e948e2a4929593183bdd17")</f>
        <v>0</v>
      </c>
      <c r="D1460" t="s">
        <v>4932</v>
      </c>
      <c r="E1460" t="s">
        <v>6077</v>
      </c>
      <c r="F1460" t="s">
        <v>10940</v>
      </c>
      <c r="G1460" t="s">
        <v>15335</v>
      </c>
      <c r="H1460" t="s">
        <v>19747</v>
      </c>
    </row>
    <row r="1461" spans="1:8">
      <c r="H1461" t="s">
        <v>19748</v>
      </c>
    </row>
    <row r="1462" spans="1:8">
      <c r="A1462" t="s">
        <v>281</v>
      </c>
      <c r="B1462">
        <f>HYPERLINK("https://android.googlesource.com/platform/cts/+/303242dd6675eb7e4f82c0309576faffb48ba921", "303242dd6675eb7e4f82c0309576faffb48ba921")</f>
        <v>0</v>
      </c>
      <c r="C1462">
        <f>HYPERLINK("https://android.googlesource.com/platform/cts/+/c51a350bf01d6880e70b4381eaa82fec3c72975e", "c51a350bf01d6880e70b4381eaa82fec3c72975e")</f>
        <v>0</v>
      </c>
      <c r="D1462" t="s">
        <v>4932</v>
      </c>
      <c r="E1462" t="s">
        <v>6078</v>
      </c>
      <c r="F1462" t="s">
        <v>10941</v>
      </c>
      <c r="G1462" t="s">
        <v>15336</v>
      </c>
      <c r="H1462" t="s">
        <v>19749</v>
      </c>
    </row>
    <row r="1463" spans="1:8">
      <c r="H1463" t="s">
        <v>19750</v>
      </c>
    </row>
    <row r="1464" spans="1:8">
      <c r="H1464" t="s">
        <v>19743</v>
      </c>
    </row>
    <row r="1465" spans="1:8">
      <c r="A1465" t="s">
        <v>282</v>
      </c>
      <c r="B1465">
        <f>HYPERLINK("https://android.googlesource.com/platform/cts/+/1569c2021bb6328de6a21bacfad3941789c49deb", "1569c2021bb6328de6a21bacfad3941789c49deb")</f>
        <v>0</v>
      </c>
      <c r="C1465">
        <f>HYPERLINK("https://android.googlesource.com/platform/cts/+/dc612d65bdd40b8f206b78cfe758b8496391d674", "dc612d65bdd40b8f206b78cfe758b8496391d674")</f>
        <v>0</v>
      </c>
      <c r="D1465" t="s">
        <v>4932</v>
      </c>
      <c r="E1465" t="s">
        <v>6079</v>
      </c>
      <c r="F1465" t="s">
        <v>10942</v>
      </c>
      <c r="G1465" t="s">
        <v>14991</v>
      </c>
      <c r="H1465" t="s">
        <v>19734</v>
      </c>
    </row>
    <row r="1466" spans="1:8">
      <c r="F1466" t="s">
        <v>10938</v>
      </c>
      <c r="G1466" t="s">
        <v>14992</v>
      </c>
      <c r="H1466" t="s">
        <v>19738</v>
      </c>
    </row>
    <row r="1467" spans="1:8">
      <c r="H1467" t="s">
        <v>19738</v>
      </c>
    </row>
    <row r="1468" spans="1:8">
      <c r="F1468" t="s">
        <v>10943</v>
      </c>
      <c r="G1468" t="s">
        <v>14995</v>
      </c>
      <c r="H1468" t="s">
        <v>19738</v>
      </c>
    </row>
    <row r="1469" spans="1:8">
      <c r="A1469" t="s">
        <v>283</v>
      </c>
      <c r="B1469">
        <f>HYPERLINK("https://android.googlesource.com/platform/cts/+/27a84563508815d6d2652a0dfe17a118daccb2bd", "27a84563508815d6d2652a0dfe17a118daccb2bd")</f>
        <v>0</v>
      </c>
      <c r="C1469">
        <f>HYPERLINK("https://android.googlesource.com/platform/cts/+/99d96c4d0dfd06422f4f9a15494fb460e72fe074", "99d96c4d0dfd06422f4f9a15494fb460e72fe074")</f>
        <v>0</v>
      </c>
      <c r="D1469" t="s">
        <v>4949</v>
      </c>
      <c r="E1469" t="s">
        <v>6080</v>
      </c>
      <c r="F1469" t="s">
        <v>10720</v>
      </c>
      <c r="G1469" t="s">
        <v>15119</v>
      </c>
      <c r="H1469" t="s">
        <v>19751</v>
      </c>
    </row>
    <row r="1470" spans="1:8">
      <c r="H1470" t="s">
        <v>19752</v>
      </c>
    </row>
    <row r="1471" spans="1:8">
      <c r="H1471" t="s">
        <v>19753</v>
      </c>
    </row>
    <row r="1472" spans="1:8">
      <c r="H1472" t="s">
        <v>19754</v>
      </c>
    </row>
    <row r="1473" spans="1:8">
      <c r="H1473" t="s">
        <v>19755</v>
      </c>
    </row>
    <row r="1474" spans="1:8">
      <c r="H1474" t="s">
        <v>19756</v>
      </c>
    </row>
    <row r="1475" spans="1:8">
      <c r="H1475" t="s">
        <v>19757</v>
      </c>
    </row>
    <row r="1476" spans="1:8">
      <c r="H1476" t="s">
        <v>19496</v>
      </c>
    </row>
    <row r="1477" spans="1:8">
      <c r="A1477" t="s">
        <v>284</v>
      </c>
      <c r="B1477">
        <f>HYPERLINK("https://android.googlesource.com/platform/cts/+/521a402cfa52680bee3a617f463b13949062529b", "521a402cfa52680bee3a617f463b13949062529b")</f>
        <v>0</v>
      </c>
      <c r="C1477">
        <f>HYPERLINK("https://android.googlesource.com/platform/cts/+/93d85d21b0d40eb178da9691921545be1d7892d3", "93d85d21b0d40eb178da9691921545be1d7892d3")</f>
        <v>0</v>
      </c>
      <c r="D1477" t="s">
        <v>4969</v>
      </c>
      <c r="E1477" t="s">
        <v>6079</v>
      </c>
      <c r="F1477" t="s">
        <v>10942</v>
      </c>
      <c r="G1477" t="s">
        <v>14991</v>
      </c>
      <c r="H1477" t="s">
        <v>19734</v>
      </c>
    </row>
    <row r="1478" spans="1:8">
      <c r="F1478" t="s">
        <v>10938</v>
      </c>
      <c r="G1478" t="s">
        <v>14992</v>
      </c>
      <c r="H1478" t="s">
        <v>19738</v>
      </c>
    </row>
    <row r="1479" spans="1:8">
      <c r="H1479" t="s">
        <v>19738</v>
      </c>
    </row>
    <row r="1480" spans="1:8">
      <c r="F1480" t="s">
        <v>10943</v>
      </c>
      <c r="G1480" t="s">
        <v>14995</v>
      </c>
      <c r="H1480" t="s">
        <v>19738</v>
      </c>
    </row>
    <row r="1481" spans="1:8">
      <c r="A1481" t="s">
        <v>284</v>
      </c>
      <c r="B1481">
        <f>HYPERLINK("https://android.googlesource.com/platform/cts/+/140929a35e550ce532552c2f6a17426336198908", "140929a35e550ce532552c2f6a17426336198908")</f>
        <v>0</v>
      </c>
      <c r="C1481">
        <f>HYPERLINK("https://android.googlesource.com/platform/cts/+/60ef84ae4d3e8dddd3a3d407efb688cb404936bb", "60ef84ae4d3e8dddd3a3d407efb688cb404936bb")</f>
        <v>0</v>
      </c>
      <c r="D1481" t="s">
        <v>4969</v>
      </c>
      <c r="E1481" t="s">
        <v>6080</v>
      </c>
      <c r="F1481" t="s">
        <v>10720</v>
      </c>
      <c r="G1481" t="s">
        <v>15119</v>
      </c>
      <c r="H1481" t="s">
        <v>19751</v>
      </c>
    </row>
    <row r="1482" spans="1:8">
      <c r="H1482" t="s">
        <v>19752</v>
      </c>
    </row>
    <row r="1483" spans="1:8">
      <c r="H1483" t="s">
        <v>19753</v>
      </c>
    </row>
    <row r="1484" spans="1:8">
      <c r="H1484" t="s">
        <v>19754</v>
      </c>
    </row>
    <row r="1485" spans="1:8">
      <c r="H1485" t="s">
        <v>19755</v>
      </c>
    </row>
    <row r="1486" spans="1:8">
      <c r="H1486" t="s">
        <v>19756</v>
      </c>
    </row>
    <row r="1487" spans="1:8">
      <c r="H1487" t="s">
        <v>19757</v>
      </c>
    </row>
    <row r="1488" spans="1:8">
      <c r="H1488" t="s">
        <v>19496</v>
      </c>
    </row>
    <row r="1489" spans="1:8">
      <c r="A1489" t="s">
        <v>285</v>
      </c>
      <c r="B1489">
        <f>HYPERLINK("https://android.googlesource.com/platform/cts/+/358dc567fdf3b1d623659980f83c8085b702dc13", "358dc567fdf3b1d623659980f83c8085b702dc13")</f>
        <v>0</v>
      </c>
      <c r="C1489">
        <f>HYPERLINK("https://android.googlesource.com/platform/cts/+/64011e7a0c6eb6945db3730652db792978ebfda0", "64011e7a0c6eb6945db3730652db792978ebfda0")</f>
        <v>0</v>
      </c>
      <c r="D1489" t="s">
        <v>4932</v>
      </c>
      <c r="E1489" t="s">
        <v>6081</v>
      </c>
      <c r="F1489" t="s">
        <v>10748</v>
      </c>
      <c r="G1489" t="s">
        <v>15146</v>
      </c>
      <c r="H1489" t="s">
        <v>18829</v>
      </c>
    </row>
    <row r="1490" spans="1:8">
      <c r="H1490" t="s">
        <v>19758</v>
      </c>
    </row>
    <row r="1491" spans="1:8">
      <c r="H1491" t="s">
        <v>19759</v>
      </c>
    </row>
    <row r="1492" spans="1:8">
      <c r="A1492" t="s">
        <v>286</v>
      </c>
      <c r="B1492">
        <f>HYPERLINK("https://android.googlesource.com/platform/cts/+/bd3e510061d0d361dcbc3ced99bd6ce0cab63851", "bd3e510061d0d361dcbc3ced99bd6ce0cab63851")</f>
        <v>0</v>
      </c>
      <c r="C1492">
        <f>HYPERLINK("https://android.googlesource.com/platform/cts/+/358dc567fdf3b1d623659980f83c8085b702dc13", "358dc567fdf3b1d623659980f83c8085b702dc13")</f>
        <v>0</v>
      </c>
      <c r="D1492" t="s">
        <v>4932</v>
      </c>
      <c r="E1492" t="s">
        <v>6082</v>
      </c>
      <c r="F1492" t="s">
        <v>10747</v>
      </c>
      <c r="G1492" t="s">
        <v>15129</v>
      </c>
      <c r="H1492" t="s">
        <v>19760</v>
      </c>
    </row>
    <row r="1493" spans="1:8">
      <c r="A1493" t="s">
        <v>287</v>
      </c>
      <c r="B1493">
        <f>HYPERLINK("https://android.googlesource.com/platform/cts/+/0953b3b17e715550651689f5256aaa60663812dc", "0953b3b17e715550651689f5256aaa60663812dc")</f>
        <v>0</v>
      </c>
      <c r="C1493">
        <f>HYPERLINK("https://android.googlesource.com/platform/cts/+/8e88654143c3c8dacea2676d7cf8398b024aa136", "8e88654143c3c8dacea2676d7cf8398b024aa136")</f>
        <v>0</v>
      </c>
      <c r="D1493" t="s">
        <v>4932</v>
      </c>
      <c r="E1493" t="s">
        <v>6083</v>
      </c>
      <c r="F1493" t="s">
        <v>10748</v>
      </c>
      <c r="G1493" t="s">
        <v>15146</v>
      </c>
      <c r="H1493" t="s">
        <v>18829</v>
      </c>
    </row>
    <row r="1494" spans="1:8">
      <c r="H1494" t="s">
        <v>19758</v>
      </c>
    </row>
    <row r="1495" spans="1:8">
      <c r="H1495" t="s">
        <v>19759</v>
      </c>
    </row>
    <row r="1496" spans="1:8">
      <c r="A1496" t="s">
        <v>288</v>
      </c>
      <c r="B1496">
        <f>HYPERLINK("https://android.googlesource.com/platform/cts/+/74c8db916ac8add2d345a102494c523bf3e40e3f", "74c8db916ac8add2d345a102494c523bf3e40e3f")</f>
        <v>0</v>
      </c>
      <c r="C1496">
        <f>HYPERLINK("https://android.googlesource.com/platform/cts/+/0558876f5ad7f422b7261027dd3174dd64bf6b97", "0558876f5ad7f422b7261027dd3174dd64bf6b97")</f>
        <v>0</v>
      </c>
      <c r="D1496" t="s">
        <v>4931</v>
      </c>
      <c r="E1496" t="s">
        <v>6084</v>
      </c>
      <c r="F1496" t="s">
        <v>10744</v>
      </c>
      <c r="G1496" t="s">
        <v>15143</v>
      </c>
      <c r="H1496" t="s">
        <v>19761</v>
      </c>
    </row>
    <row r="1497" spans="1:8">
      <c r="A1497" t="s">
        <v>289</v>
      </c>
      <c r="B1497">
        <f>HYPERLINK("https://android.googlesource.com/platform/cts/+/770358ebdbafa73653cced292f5f77cdccfbe2aa", "770358ebdbafa73653cced292f5f77cdccfbe2aa")</f>
        <v>0</v>
      </c>
      <c r="C1497">
        <f>HYPERLINK("https://android.googlesource.com/platform/cts/+/b8d3f20481a799c704e204e560abefb0d363d49e", "b8d3f20481a799c704e204e560abefb0d363d49e")</f>
        <v>0</v>
      </c>
      <c r="D1497" t="s">
        <v>4932</v>
      </c>
      <c r="E1497" t="s">
        <v>6085</v>
      </c>
      <c r="F1497" t="s">
        <v>10944</v>
      </c>
      <c r="G1497" t="s">
        <v>15337</v>
      </c>
      <c r="H1497" t="s">
        <v>19762</v>
      </c>
    </row>
    <row r="1498" spans="1:8">
      <c r="H1498" t="s">
        <v>19763</v>
      </c>
    </row>
    <row r="1499" spans="1:8">
      <c r="A1499" t="s">
        <v>290</v>
      </c>
      <c r="B1499">
        <f>HYPERLINK("https://android.googlesource.com/platform/cts/+/0162547f44173f0604d8a80143c128d9892460a1", "0162547f44173f0604d8a80143c128d9892460a1")</f>
        <v>0</v>
      </c>
      <c r="C1499">
        <f>HYPERLINK("https://android.googlesource.com/platform/cts/+/9c372960dc7d6ceac1b397a3e3ed1ddc05c5784c", "9c372960dc7d6ceac1b397a3e3ed1ddc05c5784c")</f>
        <v>0</v>
      </c>
      <c r="D1499" t="s">
        <v>4970</v>
      </c>
      <c r="E1499" t="s">
        <v>6086</v>
      </c>
      <c r="F1499" t="s">
        <v>10945</v>
      </c>
      <c r="G1499" t="s">
        <v>15338</v>
      </c>
      <c r="H1499" t="s">
        <v>19764</v>
      </c>
    </row>
    <row r="1500" spans="1:8">
      <c r="F1500" t="s">
        <v>10687</v>
      </c>
      <c r="G1500" t="s">
        <v>15087</v>
      </c>
      <c r="H1500" t="s">
        <v>19765</v>
      </c>
    </row>
    <row r="1501" spans="1:8">
      <c r="F1501" t="s">
        <v>10946</v>
      </c>
      <c r="G1501" t="s">
        <v>15339</v>
      </c>
      <c r="H1501" t="s">
        <v>19766</v>
      </c>
    </row>
    <row r="1502" spans="1:8">
      <c r="H1502" t="s">
        <v>19767</v>
      </c>
    </row>
    <row r="1503" spans="1:8">
      <c r="F1503" t="s">
        <v>10947</v>
      </c>
      <c r="G1503" t="s">
        <v>15340</v>
      </c>
      <c r="H1503" t="s">
        <v>19766</v>
      </c>
    </row>
    <row r="1504" spans="1:8">
      <c r="H1504" t="s">
        <v>19767</v>
      </c>
    </row>
    <row r="1505" spans="1:8">
      <c r="A1505" t="s">
        <v>291</v>
      </c>
      <c r="B1505">
        <f>HYPERLINK("https://android.googlesource.com/platform/cts/+/8ed56018345305650eebe4069dbce0c8086a9d8d", "8ed56018345305650eebe4069dbce0c8086a9d8d")</f>
        <v>0</v>
      </c>
      <c r="C1505">
        <f>HYPERLINK("https://android.googlesource.com/platform/cts/+/9c372960dc7d6ceac1b397a3e3ed1ddc05c5784c", "9c372960dc7d6ceac1b397a3e3ed1ddc05c5784c")</f>
        <v>0</v>
      </c>
      <c r="D1505" t="s">
        <v>4952</v>
      </c>
      <c r="E1505" t="s">
        <v>6087</v>
      </c>
      <c r="F1505" t="s">
        <v>10723</v>
      </c>
      <c r="G1505" t="s">
        <v>15122</v>
      </c>
      <c r="H1505" t="s">
        <v>19768</v>
      </c>
    </row>
    <row r="1506" spans="1:8">
      <c r="H1506" t="s">
        <v>19769</v>
      </c>
    </row>
    <row r="1507" spans="1:8">
      <c r="H1507" t="s">
        <v>19770</v>
      </c>
    </row>
    <row r="1508" spans="1:8">
      <c r="H1508" t="s">
        <v>19771</v>
      </c>
    </row>
    <row r="1509" spans="1:8">
      <c r="H1509" t="s">
        <v>19772</v>
      </c>
    </row>
    <row r="1510" spans="1:8">
      <c r="H1510" t="s">
        <v>19773</v>
      </c>
    </row>
    <row r="1511" spans="1:8">
      <c r="H1511" t="s">
        <v>19774</v>
      </c>
    </row>
    <row r="1512" spans="1:8">
      <c r="H1512" t="s">
        <v>19775</v>
      </c>
    </row>
    <row r="1513" spans="1:8">
      <c r="H1513" t="s">
        <v>19776</v>
      </c>
    </row>
    <row r="1514" spans="1:8">
      <c r="H1514" t="s">
        <v>19777</v>
      </c>
    </row>
    <row r="1515" spans="1:8">
      <c r="H1515" t="s">
        <v>19778</v>
      </c>
    </row>
    <row r="1516" spans="1:8">
      <c r="A1516" t="s">
        <v>292</v>
      </c>
      <c r="B1516">
        <f>HYPERLINK("https://android.googlesource.com/platform/cts/+/e7cc8fd94d5bc32f5f70aa71aa8792376fd90b1f", "e7cc8fd94d5bc32f5f70aa71aa8792376fd90b1f")</f>
        <v>0</v>
      </c>
      <c r="C1516">
        <f>HYPERLINK("https://android.googlesource.com/platform/cts/+/3e5a7ea50aa94819ca8defb2b6e7b4b78d94af2b", "3e5a7ea50aa94819ca8defb2b6e7b4b78d94af2b")</f>
        <v>0</v>
      </c>
      <c r="D1516" t="s">
        <v>4941</v>
      </c>
      <c r="E1516" t="s">
        <v>6088</v>
      </c>
      <c r="F1516" t="s">
        <v>10587</v>
      </c>
      <c r="G1516" t="s">
        <v>14990</v>
      </c>
      <c r="H1516" t="s">
        <v>19779</v>
      </c>
    </row>
    <row r="1517" spans="1:8">
      <c r="H1517" t="s">
        <v>19780</v>
      </c>
    </row>
    <row r="1518" spans="1:8">
      <c r="H1518" t="s">
        <v>18927</v>
      </c>
    </row>
    <row r="1519" spans="1:8">
      <c r="H1519" t="s">
        <v>19781</v>
      </c>
    </row>
    <row r="1520" spans="1:8">
      <c r="F1520" t="s">
        <v>10588</v>
      </c>
      <c r="G1520" t="s">
        <v>14991</v>
      </c>
      <c r="H1520" t="s">
        <v>19364</v>
      </c>
    </row>
    <row r="1521" spans="8:8">
      <c r="H1521" t="s">
        <v>19782</v>
      </c>
    </row>
    <row r="1522" spans="8:8">
      <c r="H1522" t="s">
        <v>19783</v>
      </c>
    </row>
    <row r="1523" spans="8:8">
      <c r="H1523" t="s">
        <v>19784</v>
      </c>
    </row>
    <row r="1524" spans="8:8">
      <c r="H1524" t="s">
        <v>19785</v>
      </c>
    </row>
    <row r="1525" spans="8:8">
      <c r="H1525" t="s">
        <v>19786</v>
      </c>
    </row>
    <row r="1526" spans="8:8">
      <c r="H1526" t="s">
        <v>18931</v>
      </c>
    </row>
    <row r="1527" spans="8:8">
      <c r="H1527" t="s">
        <v>19538</v>
      </c>
    </row>
    <row r="1528" spans="8:8">
      <c r="H1528" t="s">
        <v>19787</v>
      </c>
    </row>
    <row r="1529" spans="8:8">
      <c r="H1529" t="s">
        <v>19788</v>
      </c>
    </row>
    <row r="1530" spans="8:8">
      <c r="H1530" t="s">
        <v>19744</v>
      </c>
    </row>
    <row r="1531" spans="8:8">
      <c r="H1531" t="s">
        <v>19789</v>
      </c>
    </row>
    <row r="1532" spans="8:8">
      <c r="H1532" t="s">
        <v>19790</v>
      </c>
    </row>
    <row r="1533" spans="8:8">
      <c r="H1533" t="s">
        <v>19665</v>
      </c>
    </row>
    <row r="1534" spans="8:8">
      <c r="H1534" t="s">
        <v>18822</v>
      </c>
    </row>
    <row r="1535" spans="8:8">
      <c r="H1535" t="s">
        <v>19791</v>
      </c>
    </row>
    <row r="1536" spans="8:8">
      <c r="H1536" t="s">
        <v>19792</v>
      </c>
    </row>
    <row r="1537" spans="8:8">
      <c r="H1537" t="s">
        <v>19793</v>
      </c>
    </row>
    <row r="1538" spans="8:8">
      <c r="H1538" t="s">
        <v>19794</v>
      </c>
    </row>
    <row r="1539" spans="8:8">
      <c r="H1539" t="s">
        <v>19795</v>
      </c>
    </row>
    <row r="1540" spans="8:8">
      <c r="H1540" t="s">
        <v>19796</v>
      </c>
    </row>
    <row r="1541" spans="8:8">
      <c r="H1541" t="s">
        <v>19797</v>
      </c>
    </row>
    <row r="1542" spans="8:8">
      <c r="H1542" t="s">
        <v>18927</v>
      </c>
    </row>
    <row r="1543" spans="8:8">
      <c r="H1543" t="s">
        <v>19798</v>
      </c>
    </row>
    <row r="1544" spans="8:8">
      <c r="H1544" t="s">
        <v>19799</v>
      </c>
    </row>
    <row r="1545" spans="8:8">
      <c r="H1545" t="s">
        <v>18927</v>
      </c>
    </row>
    <row r="1546" spans="8:8">
      <c r="H1546" t="s">
        <v>19781</v>
      </c>
    </row>
    <row r="1547" spans="8:8">
      <c r="H1547" t="s">
        <v>19663</v>
      </c>
    </row>
    <row r="1548" spans="8:8">
      <c r="H1548" t="s">
        <v>19800</v>
      </c>
    </row>
    <row r="1549" spans="8:8">
      <c r="H1549" t="s">
        <v>19801</v>
      </c>
    </row>
    <row r="1550" spans="8:8">
      <c r="H1550" t="s">
        <v>19802</v>
      </c>
    </row>
    <row r="1551" spans="8:8">
      <c r="H1551" t="s">
        <v>19803</v>
      </c>
    </row>
    <row r="1552" spans="8:8">
      <c r="H1552" t="s">
        <v>19804</v>
      </c>
    </row>
    <row r="1553" spans="6:8">
      <c r="F1553" t="s">
        <v>10589</v>
      </c>
      <c r="G1553" t="s">
        <v>14992</v>
      </c>
      <c r="H1553" t="s">
        <v>18924</v>
      </c>
    </row>
    <row r="1554" spans="6:8">
      <c r="H1554" t="s">
        <v>19805</v>
      </c>
    </row>
    <row r="1555" spans="6:8">
      <c r="H1555" t="s">
        <v>18931</v>
      </c>
    </row>
    <row r="1556" spans="6:8">
      <c r="H1556" t="s">
        <v>19790</v>
      </c>
    </row>
    <row r="1557" spans="6:8">
      <c r="H1557" t="s">
        <v>19806</v>
      </c>
    </row>
    <row r="1558" spans="6:8">
      <c r="H1558" t="s">
        <v>18961</v>
      </c>
    </row>
    <row r="1559" spans="6:8">
      <c r="H1559" t="s">
        <v>19230</v>
      </c>
    </row>
    <row r="1560" spans="6:8">
      <c r="H1560" t="s">
        <v>19807</v>
      </c>
    </row>
    <row r="1561" spans="6:8">
      <c r="H1561" t="s">
        <v>19808</v>
      </c>
    </row>
    <row r="1562" spans="6:8">
      <c r="H1562" t="s">
        <v>19809</v>
      </c>
    </row>
    <row r="1563" spans="6:8">
      <c r="H1563" t="s">
        <v>19799</v>
      </c>
    </row>
    <row r="1564" spans="6:8">
      <c r="H1564" t="s">
        <v>18927</v>
      </c>
    </row>
    <row r="1565" spans="6:8">
      <c r="H1565" t="s">
        <v>18927</v>
      </c>
    </row>
    <row r="1566" spans="6:8">
      <c r="H1566" t="s">
        <v>19800</v>
      </c>
    </row>
    <row r="1567" spans="6:8">
      <c r="H1567" t="s">
        <v>19801</v>
      </c>
    </row>
    <row r="1568" spans="6:8">
      <c r="H1568" t="s">
        <v>19802</v>
      </c>
    </row>
    <row r="1569" spans="6:8">
      <c r="H1569" t="s">
        <v>19803</v>
      </c>
    </row>
    <row r="1570" spans="6:8">
      <c r="H1570" t="s">
        <v>19804</v>
      </c>
    </row>
    <row r="1571" spans="6:8">
      <c r="F1571" t="s">
        <v>10948</v>
      </c>
      <c r="G1571" t="s">
        <v>15341</v>
      </c>
      <c r="H1571" t="s">
        <v>19810</v>
      </c>
    </row>
    <row r="1572" spans="6:8">
      <c r="H1572" t="s">
        <v>19811</v>
      </c>
    </row>
    <row r="1573" spans="6:8">
      <c r="H1573" t="s">
        <v>19029</v>
      </c>
    </row>
    <row r="1574" spans="6:8">
      <c r="H1574" t="s">
        <v>19812</v>
      </c>
    </row>
    <row r="1575" spans="6:8">
      <c r="H1575" t="s">
        <v>19813</v>
      </c>
    </row>
    <row r="1576" spans="6:8">
      <c r="H1576" t="s">
        <v>19790</v>
      </c>
    </row>
    <row r="1577" spans="6:8">
      <c r="H1577" t="s">
        <v>19814</v>
      </c>
    </row>
    <row r="1578" spans="6:8">
      <c r="F1578" t="s">
        <v>10585</v>
      </c>
      <c r="G1578" t="s">
        <v>14988</v>
      </c>
      <c r="H1578" t="s">
        <v>18927</v>
      </c>
    </row>
    <row r="1579" spans="6:8">
      <c r="H1579" t="s">
        <v>19815</v>
      </c>
    </row>
    <row r="1580" spans="6:8">
      <c r="H1580" t="s">
        <v>19816</v>
      </c>
    </row>
    <row r="1581" spans="6:8">
      <c r="H1581" t="s">
        <v>19816</v>
      </c>
    </row>
    <row r="1582" spans="6:8">
      <c r="H1582" t="s">
        <v>19817</v>
      </c>
    </row>
    <row r="1583" spans="6:8">
      <c r="H1583" t="s">
        <v>19818</v>
      </c>
    </row>
    <row r="1584" spans="6:8">
      <c r="H1584" t="s">
        <v>19232</v>
      </c>
    </row>
    <row r="1585" spans="8:8">
      <c r="H1585" t="s">
        <v>19819</v>
      </c>
    </row>
    <row r="1586" spans="8:8">
      <c r="H1586" t="s">
        <v>19820</v>
      </c>
    </row>
    <row r="1587" spans="8:8">
      <c r="H1587" t="s">
        <v>19821</v>
      </c>
    </row>
    <row r="1588" spans="8:8">
      <c r="H1588" t="s">
        <v>19822</v>
      </c>
    </row>
    <row r="1589" spans="8:8">
      <c r="H1589" t="s">
        <v>19823</v>
      </c>
    </row>
    <row r="1590" spans="8:8">
      <c r="H1590" t="s">
        <v>19824</v>
      </c>
    </row>
    <row r="1591" spans="8:8">
      <c r="H1591" t="s">
        <v>19825</v>
      </c>
    </row>
    <row r="1592" spans="8:8">
      <c r="H1592" t="s">
        <v>19826</v>
      </c>
    </row>
    <row r="1593" spans="8:8">
      <c r="H1593" t="s">
        <v>19827</v>
      </c>
    </row>
    <row r="1594" spans="8:8">
      <c r="H1594" t="s">
        <v>19828</v>
      </c>
    </row>
    <row r="1595" spans="8:8">
      <c r="H1595" t="s">
        <v>19819</v>
      </c>
    </row>
    <row r="1596" spans="8:8">
      <c r="H1596" t="s">
        <v>19821</v>
      </c>
    </row>
    <row r="1597" spans="8:8">
      <c r="H1597" t="s">
        <v>19820</v>
      </c>
    </row>
    <row r="1598" spans="8:8">
      <c r="H1598" t="s">
        <v>19829</v>
      </c>
    </row>
    <row r="1599" spans="8:8">
      <c r="H1599" t="s">
        <v>19830</v>
      </c>
    </row>
    <row r="1600" spans="8:8">
      <c r="H1600" t="s">
        <v>19831</v>
      </c>
    </row>
    <row r="1601" spans="8:8">
      <c r="H1601" t="s">
        <v>19832</v>
      </c>
    </row>
    <row r="1602" spans="8:8">
      <c r="H1602" t="s">
        <v>19833</v>
      </c>
    </row>
    <row r="1603" spans="8:8">
      <c r="H1603" t="s">
        <v>19834</v>
      </c>
    </row>
    <row r="1604" spans="8:8">
      <c r="H1604" t="s">
        <v>19835</v>
      </c>
    </row>
    <row r="1605" spans="8:8">
      <c r="H1605" t="s">
        <v>19836</v>
      </c>
    </row>
    <row r="1606" spans="8:8">
      <c r="H1606" t="s">
        <v>19837</v>
      </c>
    </row>
    <row r="1607" spans="8:8">
      <c r="H1607" t="s">
        <v>19838</v>
      </c>
    </row>
    <row r="1608" spans="8:8">
      <c r="H1608" t="s">
        <v>19839</v>
      </c>
    </row>
    <row r="1609" spans="8:8">
      <c r="H1609" t="s">
        <v>19840</v>
      </c>
    </row>
    <row r="1610" spans="8:8">
      <c r="H1610" t="s">
        <v>19841</v>
      </c>
    </row>
    <row r="1611" spans="8:8">
      <c r="H1611" t="s">
        <v>19842</v>
      </c>
    </row>
    <row r="1612" spans="8:8">
      <c r="H1612" t="s">
        <v>19843</v>
      </c>
    </row>
    <row r="1613" spans="8:8">
      <c r="H1613" t="s">
        <v>19844</v>
      </c>
    </row>
    <row r="1614" spans="8:8">
      <c r="H1614" t="s">
        <v>19845</v>
      </c>
    </row>
    <row r="1615" spans="8:8">
      <c r="H1615" t="s">
        <v>19846</v>
      </c>
    </row>
    <row r="1616" spans="8:8">
      <c r="H1616" t="s">
        <v>19847</v>
      </c>
    </row>
    <row r="1617" spans="8:8">
      <c r="H1617" t="s">
        <v>19848</v>
      </c>
    </row>
    <row r="1618" spans="8:8">
      <c r="H1618" t="s">
        <v>19849</v>
      </c>
    </row>
    <row r="1619" spans="8:8">
      <c r="H1619" t="s">
        <v>19850</v>
      </c>
    </row>
    <row r="1620" spans="8:8">
      <c r="H1620" t="s">
        <v>19851</v>
      </c>
    </row>
    <row r="1621" spans="8:8">
      <c r="H1621" t="s">
        <v>19852</v>
      </c>
    </row>
    <row r="1622" spans="8:8">
      <c r="H1622" t="s">
        <v>19853</v>
      </c>
    </row>
    <row r="1623" spans="8:8">
      <c r="H1623" t="s">
        <v>19854</v>
      </c>
    </row>
    <row r="1624" spans="8:8">
      <c r="H1624" t="s">
        <v>19855</v>
      </c>
    </row>
    <row r="1625" spans="8:8">
      <c r="H1625" t="s">
        <v>19856</v>
      </c>
    </row>
    <row r="1626" spans="8:8">
      <c r="H1626" t="s">
        <v>19857</v>
      </c>
    </row>
    <row r="1627" spans="8:8">
      <c r="H1627" t="s">
        <v>19858</v>
      </c>
    </row>
    <row r="1628" spans="8:8">
      <c r="H1628" t="s">
        <v>19859</v>
      </c>
    </row>
    <row r="1629" spans="8:8">
      <c r="H1629" t="s">
        <v>19860</v>
      </c>
    </row>
    <row r="1630" spans="8:8">
      <c r="H1630" t="s">
        <v>19861</v>
      </c>
    </row>
    <row r="1631" spans="8:8">
      <c r="H1631" t="s">
        <v>19862</v>
      </c>
    </row>
    <row r="1632" spans="8:8">
      <c r="H1632" t="s">
        <v>19863</v>
      </c>
    </row>
    <row r="1633" spans="8:8">
      <c r="H1633" t="s">
        <v>19864</v>
      </c>
    </row>
    <row r="1634" spans="8:8">
      <c r="H1634" t="s">
        <v>19865</v>
      </c>
    </row>
    <row r="1635" spans="8:8">
      <c r="H1635" t="s">
        <v>19866</v>
      </c>
    </row>
    <row r="1636" spans="8:8">
      <c r="H1636" t="s">
        <v>19867</v>
      </c>
    </row>
    <row r="1637" spans="8:8">
      <c r="H1637" t="s">
        <v>19868</v>
      </c>
    </row>
    <row r="1638" spans="8:8">
      <c r="H1638" t="s">
        <v>19869</v>
      </c>
    </row>
    <row r="1639" spans="8:8">
      <c r="H1639" t="s">
        <v>19870</v>
      </c>
    </row>
    <row r="1640" spans="8:8">
      <c r="H1640" t="s">
        <v>19871</v>
      </c>
    </row>
    <row r="1641" spans="8:8">
      <c r="H1641" t="s">
        <v>19872</v>
      </c>
    </row>
    <row r="1642" spans="8:8">
      <c r="H1642" t="s">
        <v>19873</v>
      </c>
    </row>
    <row r="1643" spans="8:8">
      <c r="H1643" t="s">
        <v>19874</v>
      </c>
    </row>
    <row r="1644" spans="8:8">
      <c r="H1644" t="s">
        <v>19875</v>
      </c>
    </row>
    <row r="1645" spans="8:8">
      <c r="H1645" t="s">
        <v>19876</v>
      </c>
    </row>
    <row r="1646" spans="8:8">
      <c r="H1646" t="s">
        <v>19877</v>
      </c>
    </row>
    <row r="1647" spans="8:8">
      <c r="H1647" t="s">
        <v>19858</v>
      </c>
    </row>
    <row r="1648" spans="8:8">
      <c r="H1648" t="s">
        <v>18929</v>
      </c>
    </row>
    <row r="1649" spans="8:8">
      <c r="H1649" t="s">
        <v>19878</v>
      </c>
    </row>
    <row r="1650" spans="8:8">
      <c r="H1650" t="s">
        <v>19485</v>
      </c>
    </row>
    <row r="1651" spans="8:8">
      <c r="H1651" t="s">
        <v>19879</v>
      </c>
    </row>
    <row r="1652" spans="8:8">
      <c r="H1652" t="s">
        <v>19880</v>
      </c>
    </row>
    <row r="1653" spans="8:8">
      <c r="H1653" t="s">
        <v>19881</v>
      </c>
    </row>
    <row r="1654" spans="8:8">
      <c r="H1654" t="s">
        <v>19882</v>
      </c>
    </row>
    <row r="1655" spans="8:8">
      <c r="H1655" t="s">
        <v>19883</v>
      </c>
    </row>
    <row r="1656" spans="8:8">
      <c r="H1656" t="s">
        <v>19884</v>
      </c>
    </row>
    <row r="1657" spans="8:8">
      <c r="H1657" t="s">
        <v>19885</v>
      </c>
    </row>
    <row r="1658" spans="8:8">
      <c r="H1658" t="s">
        <v>18927</v>
      </c>
    </row>
    <row r="1659" spans="8:8">
      <c r="H1659" t="s">
        <v>19426</v>
      </c>
    </row>
    <row r="1660" spans="8:8">
      <c r="H1660" t="s">
        <v>19426</v>
      </c>
    </row>
    <row r="1661" spans="8:8">
      <c r="H1661" t="s">
        <v>18954</v>
      </c>
    </row>
    <row r="1662" spans="8:8">
      <c r="H1662" t="s">
        <v>19886</v>
      </c>
    </row>
    <row r="1663" spans="8:8">
      <c r="H1663" t="s">
        <v>18927</v>
      </c>
    </row>
    <row r="1664" spans="8:8">
      <c r="H1664" t="s">
        <v>19887</v>
      </c>
    </row>
    <row r="1665" spans="8:8">
      <c r="H1665" t="s">
        <v>19888</v>
      </c>
    </row>
    <row r="1666" spans="8:8">
      <c r="H1666" t="s">
        <v>19889</v>
      </c>
    </row>
    <row r="1667" spans="8:8">
      <c r="H1667" t="s">
        <v>19819</v>
      </c>
    </row>
    <row r="1668" spans="8:8">
      <c r="H1668" t="s">
        <v>19890</v>
      </c>
    </row>
    <row r="1669" spans="8:8">
      <c r="H1669" t="s">
        <v>19891</v>
      </c>
    </row>
    <row r="1670" spans="8:8">
      <c r="H1670" t="s">
        <v>19892</v>
      </c>
    </row>
    <row r="1671" spans="8:8">
      <c r="H1671" t="s">
        <v>18819</v>
      </c>
    </row>
    <row r="1672" spans="8:8">
      <c r="H1672" t="s">
        <v>18820</v>
      </c>
    </row>
    <row r="1673" spans="8:8">
      <c r="H1673" t="s">
        <v>19893</v>
      </c>
    </row>
    <row r="1674" spans="8:8">
      <c r="H1674" t="s">
        <v>19821</v>
      </c>
    </row>
    <row r="1675" spans="8:8">
      <c r="H1675" t="s">
        <v>19820</v>
      </c>
    </row>
    <row r="1676" spans="8:8">
      <c r="H1676" t="s">
        <v>19894</v>
      </c>
    </row>
    <row r="1677" spans="8:8">
      <c r="H1677" t="s">
        <v>19895</v>
      </c>
    </row>
    <row r="1678" spans="8:8">
      <c r="H1678" t="s">
        <v>18821</v>
      </c>
    </row>
    <row r="1679" spans="8:8">
      <c r="H1679" t="s">
        <v>19820</v>
      </c>
    </row>
    <row r="1680" spans="8:8">
      <c r="H1680" t="s">
        <v>19896</v>
      </c>
    </row>
    <row r="1681" spans="8:8">
      <c r="H1681" t="s">
        <v>19895</v>
      </c>
    </row>
    <row r="1682" spans="8:8">
      <c r="H1682" t="s">
        <v>18821</v>
      </c>
    </row>
    <row r="1683" spans="8:8">
      <c r="H1683" t="s">
        <v>19809</v>
      </c>
    </row>
    <row r="1684" spans="8:8">
      <c r="H1684" t="s">
        <v>19820</v>
      </c>
    </row>
    <row r="1685" spans="8:8">
      <c r="H1685" t="s">
        <v>19897</v>
      </c>
    </row>
    <row r="1686" spans="8:8">
      <c r="H1686" t="s">
        <v>19898</v>
      </c>
    </row>
    <row r="1687" spans="8:8">
      <c r="H1687" t="s">
        <v>19899</v>
      </c>
    </row>
    <row r="1688" spans="8:8">
      <c r="H1688" t="s">
        <v>19900</v>
      </c>
    </row>
    <row r="1689" spans="8:8">
      <c r="H1689" t="s">
        <v>19901</v>
      </c>
    </row>
    <row r="1690" spans="8:8">
      <c r="H1690" t="s">
        <v>19426</v>
      </c>
    </row>
    <row r="1691" spans="8:8">
      <c r="H1691" t="s">
        <v>19902</v>
      </c>
    </row>
    <row r="1692" spans="8:8">
      <c r="H1692" t="s">
        <v>18954</v>
      </c>
    </row>
    <row r="1693" spans="8:8">
      <c r="H1693" t="s">
        <v>19903</v>
      </c>
    </row>
    <row r="1694" spans="8:8">
      <c r="H1694" t="s">
        <v>19904</v>
      </c>
    </row>
    <row r="1695" spans="8:8">
      <c r="H1695" t="s">
        <v>19905</v>
      </c>
    </row>
    <row r="1696" spans="8:8">
      <c r="H1696" t="s">
        <v>19905</v>
      </c>
    </row>
    <row r="1697" spans="8:8">
      <c r="H1697" t="s">
        <v>19906</v>
      </c>
    </row>
    <row r="1698" spans="8:8">
      <c r="H1698" t="s">
        <v>19907</v>
      </c>
    </row>
    <row r="1699" spans="8:8">
      <c r="H1699" t="s">
        <v>19908</v>
      </c>
    </row>
    <row r="1700" spans="8:8">
      <c r="H1700" t="s">
        <v>19909</v>
      </c>
    </row>
    <row r="1701" spans="8:8">
      <c r="H1701" t="s">
        <v>19910</v>
      </c>
    </row>
    <row r="1702" spans="8:8">
      <c r="H1702" t="s">
        <v>19911</v>
      </c>
    </row>
    <row r="1703" spans="8:8">
      <c r="H1703" t="s">
        <v>19912</v>
      </c>
    </row>
    <row r="1704" spans="8:8">
      <c r="H1704" t="s">
        <v>19912</v>
      </c>
    </row>
    <row r="1705" spans="8:8">
      <c r="H1705" t="s">
        <v>19913</v>
      </c>
    </row>
    <row r="1706" spans="8:8">
      <c r="H1706" t="s">
        <v>19914</v>
      </c>
    </row>
    <row r="1707" spans="8:8">
      <c r="H1707" t="s">
        <v>19800</v>
      </c>
    </row>
    <row r="1708" spans="8:8">
      <c r="H1708" t="s">
        <v>19802</v>
      </c>
    </row>
    <row r="1709" spans="8:8">
      <c r="H1709" t="s">
        <v>19804</v>
      </c>
    </row>
    <row r="1710" spans="8:8">
      <c r="H1710" t="s">
        <v>19801</v>
      </c>
    </row>
    <row r="1711" spans="8:8">
      <c r="H1711" t="s">
        <v>19803</v>
      </c>
    </row>
    <row r="1712" spans="8:8">
      <c r="H1712" t="s">
        <v>19915</v>
      </c>
    </row>
    <row r="1713" spans="6:8">
      <c r="H1713" t="s">
        <v>19916</v>
      </c>
    </row>
    <row r="1714" spans="6:8">
      <c r="H1714" t="s">
        <v>19917</v>
      </c>
    </row>
    <row r="1715" spans="6:8">
      <c r="H1715" t="s">
        <v>19918</v>
      </c>
    </row>
    <row r="1716" spans="6:8">
      <c r="F1716" t="s">
        <v>10949</v>
      </c>
      <c r="G1716" t="s">
        <v>15342</v>
      </c>
      <c r="H1716" t="s">
        <v>19919</v>
      </c>
    </row>
    <row r="1717" spans="6:8">
      <c r="H1717" t="s">
        <v>19920</v>
      </c>
    </row>
    <row r="1718" spans="6:8">
      <c r="H1718" t="s">
        <v>19921</v>
      </c>
    </row>
    <row r="1719" spans="6:8">
      <c r="H1719" t="s">
        <v>19922</v>
      </c>
    </row>
    <row r="1720" spans="6:8">
      <c r="H1720" t="s">
        <v>19923</v>
      </c>
    </row>
    <row r="1721" spans="6:8">
      <c r="H1721" t="s">
        <v>19924</v>
      </c>
    </row>
    <row r="1722" spans="6:8">
      <c r="H1722" t="s">
        <v>19925</v>
      </c>
    </row>
    <row r="1723" spans="6:8">
      <c r="H1723" t="s">
        <v>19926</v>
      </c>
    </row>
    <row r="1724" spans="6:8">
      <c r="H1724" t="s">
        <v>19927</v>
      </c>
    </row>
    <row r="1725" spans="6:8">
      <c r="H1725" t="s">
        <v>19017</v>
      </c>
    </row>
    <row r="1726" spans="6:8">
      <c r="H1726" t="s">
        <v>19928</v>
      </c>
    </row>
    <row r="1727" spans="6:8">
      <c r="H1727" t="s">
        <v>19929</v>
      </c>
    </row>
    <row r="1728" spans="6:8">
      <c r="H1728" t="s">
        <v>19930</v>
      </c>
    </row>
    <row r="1729" spans="8:8">
      <c r="H1729" t="s">
        <v>19931</v>
      </c>
    </row>
    <row r="1730" spans="8:8">
      <c r="H1730" t="s">
        <v>19932</v>
      </c>
    </row>
    <row r="1731" spans="8:8">
      <c r="H1731" t="s">
        <v>18929</v>
      </c>
    </row>
    <row r="1732" spans="8:8">
      <c r="H1732" t="s">
        <v>19933</v>
      </c>
    </row>
    <row r="1733" spans="8:8">
      <c r="H1733" t="s">
        <v>19934</v>
      </c>
    </row>
    <row r="1734" spans="8:8">
      <c r="H1734" t="s">
        <v>18863</v>
      </c>
    </row>
    <row r="1735" spans="8:8">
      <c r="H1735" t="s">
        <v>19935</v>
      </c>
    </row>
    <row r="1736" spans="8:8">
      <c r="H1736" t="s">
        <v>19936</v>
      </c>
    </row>
    <row r="1737" spans="8:8">
      <c r="H1737" t="s">
        <v>19937</v>
      </c>
    </row>
    <row r="1738" spans="8:8">
      <c r="H1738" t="s">
        <v>19938</v>
      </c>
    </row>
    <row r="1739" spans="8:8">
      <c r="H1739" t="s">
        <v>19939</v>
      </c>
    </row>
    <row r="1740" spans="8:8">
      <c r="H1740" t="s">
        <v>19940</v>
      </c>
    </row>
    <row r="1741" spans="8:8">
      <c r="H1741" t="s">
        <v>19941</v>
      </c>
    </row>
    <row r="1742" spans="8:8">
      <c r="H1742" t="s">
        <v>19942</v>
      </c>
    </row>
    <row r="1743" spans="8:8">
      <c r="H1743" t="s">
        <v>19942</v>
      </c>
    </row>
    <row r="1744" spans="8:8">
      <c r="H1744" t="s">
        <v>19943</v>
      </c>
    </row>
    <row r="1745" spans="6:8">
      <c r="H1745" t="s">
        <v>19944</v>
      </c>
    </row>
    <row r="1746" spans="6:8">
      <c r="F1746" t="s">
        <v>10950</v>
      </c>
      <c r="G1746" t="s">
        <v>15343</v>
      </c>
      <c r="H1746" t="s">
        <v>19945</v>
      </c>
    </row>
    <row r="1747" spans="6:8">
      <c r="H1747" t="s">
        <v>19945</v>
      </c>
    </row>
    <row r="1748" spans="6:8">
      <c r="F1748" t="s">
        <v>10590</v>
      </c>
      <c r="G1748" t="s">
        <v>14993</v>
      </c>
      <c r="H1748" t="s">
        <v>19946</v>
      </c>
    </row>
    <row r="1749" spans="6:8">
      <c r="H1749" t="s">
        <v>19789</v>
      </c>
    </row>
    <row r="1750" spans="6:8">
      <c r="H1750" t="s">
        <v>19947</v>
      </c>
    </row>
    <row r="1751" spans="6:8">
      <c r="H1751" t="s">
        <v>19948</v>
      </c>
    </row>
    <row r="1752" spans="6:8">
      <c r="H1752" t="s">
        <v>18962</v>
      </c>
    </row>
    <row r="1753" spans="6:8">
      <c r="H1753" t="s">
        <v>19949</v>
      </c>
    </row>
    <row r="1754" spans="6:8">
      <c r="H1754" t="s">
        <v>19950</v>
      </c>
    </row>
    <row r="1755" spans="6:8">
      <c r="H1755" t="s">
        <v>19951</v>
      </c>
    </row>
    <row r="1756" spans="6:8">
      <c r="H1756" t="s">
        <v>19952</v>
      </c>
    </row>
    <row r="1757" spans="6:8">
      <c r="H1757" t="s">
        <v>19953</v>
      </c>
    </row>
    <row r="1758" spans="6:8">
      <c r="H1758" t="s">
        <v>19954</v>
      </c>
    </row>
    <row r="1759" spans="6:8">
      <c r="H1759" t="s">
        <v>19955</v>
      </c>
    </row>
    <row r="1760" spans="6:8">
      <c r="H1760" t="s">
        <v>19808</v>
      </c>
    </row>
    <row r="1761" spans="8:8">
      <c r="H1761" t="s">
        <v>19956</v>
      </c>
    </row>
    <row r="1762" spans="8:8">
      <c r="H1762" t="s">
        <v>19957</v>
      </c>
    </row>
    <row r="1763" spans="8:8">
      <c r="H1763" t="s">
        <v>19958</v>
      </c>
    </row>
    <row r="1764" spans="8:8">
      <c r="H1764" t="s">
        <v>19959</v>
      </c>
    </row>
    <row r="1765" spans="8:8">
      <c r="H1765" t="s">
        <v>19960</v>
      </c>
    </row>
    <row r="1766" spans="8:8">
      <c r="H1766" t="s">
        <v>19961</v>
      </c>
    </row>
    <row r="1767" spans="8:8">
      <c r="H1767" t="s">
        <v>19962</v>
      </c>
    </row>
    <row r="1768" spans="8:8">
      <c r="H1768" t="s">
        <v>19786</v>
      </c>
    </row>
    <row r="1769" spans="8:8">
      <c r="H1769" t="s">
        <v>19809</v>
      </c>
    </row>
    <row r="1770" spans="8:8">
      <c r="H1770" t="s">
        <v>19230</v>
      </c>
    </row>
    <row r="1771" spans="8:8">
      <c r="H1771" t="s">
        <v>19963</v>
      </c>
    </row>
    <row r="1772" spans="8:8">
      <c r="H1772" t="s">
        <v>19964</v>
      </c>
    </row>
    <row r="1773" spans="8:8">
      <c r="H1773" t="s">
        <v>19965</v>
      </c>
    </row>
    <row r="1774" spans="8:8">
      <c r="H1774" t="s">
        <v>19811</v>
      </c>
    </row>
    <row r="1775" spans="8:8">
      <c r="H1775" t="s">
        <v>19807</v>
      </c>
    </row>
    <row r="1776" spans="8:8">
      <c r="H1776" t="s">
        <v>18903</v>
      </c>
    </row>
    <row r="1777" spans="8:8">
      <c r="H1777" t="s">
        <v>19796</v>
      </c>
    </row>
    <row r="1778" spans="8:8">
      <c r="H1778" t="s">
        <v>19966</v>
      </c>
    </row>
    <row r="1779" spans="8:8">
      <c r="H1779" t="s">
        <v>19967</v>
      </c>
    </row>
    <row r="1780" spans="8:8">
      <c r="H1780" t="s">
        <v>18826</v>
      </c>
    </row>
    <row r="1781" spans="8:8">
      <c r="H1781" t="s">
        <v>19800</v>
      </c>
    </row>
    <row r="1782" spans="8:8">
      <c r="H1782" t="s">
        <v>19801</v>
      </c>
    </row>
    <row r="1783" spans="8:8">
      <c r="H1783" t="s">
        <v>19915</v>
      </c>
    </row>
    <row r="1784" spans="8:8">
      <c r="H1784" t="s">
        <v>19802</v>
      </c>
    </row>
    <row r="1785" spans="8:8">
      <c r="H1785" t="s">
        <v>19803</v>
      </c>
    </row>
    <row r="1786" spans="8:8">
      <c r="H1786" t="s">
        <v>19968</v>
      </c>
    </row>
    <row r="1787" spans="8:8">
      <c r="H1787" t="s">
        <v>19804</v>
      </c>
    </row>
    <row r="1788" spans="8:8">
      <c r="H1788" t="s">
        <v>19969</v>
      </c>
    </row>
    <row r="1789" spans="8:8">
      <c r="H1789" t="s">
        <v>19970</v>
      </c>
    </row>
    <row r="1790" spans="8:8">
      <c r="H1790" t="s">
        <v>19971</v>
      </c>
    </row>
    <row r="1791" spans="8:8">
      <c r="H1791" t="s">
        <v>19972</v>
      </c>
    </row>
    <row r="1792" spans="8:8">
      <c r="H1792" t="s">
        <v>19883</v>
      </c>
    </row>
    <row r="1793" spans="8:8">
      <c r="H1793" t="s">
        <v>19881</v>
      </c>
    </row>
    <row r="1794" spans="8:8">
      <c r="H1794" t="s">
        <v>19973</v>
      </c>
    </row>
    <row r="1795" spans="8:8">
      <c r="H1795" t="s">
        <v>19974</v>
      </c>
    </row>
    <row r="1796" spans="8:8">
      <c r="H1796" t="s">
        <v>19975</v>
      </c>
    </row>
    <row r="1797" spans="8:8">
      <c r="H1797" t="s">
        <v>19976</v>
      </c>
    </row>
    <row r="1798" spans="8:8">
      <c r="H1798" t="s">
        <v>19746</v>
      </c>
    </row>
    <row r="1799" spans="8:8">
      <c r="H1799" t="s">
        <v>19878</v>
      </c>
    </row>
    <row r="1800" spans="8:8">
      <c r="H1800" t="s">
        <v>19977</v>
      </c>
    </row>
    <row r="1801" spans="8:8">
      <c r="H1801" t="s">
        <v>19978</v>
      </c>
    </row>
    <row r="1802" spans="8:8">
      <c r="H1802" t="s">
        <v>19797</v>
      </c>
    </row>
    <row r="1803" spans="8:8">
      <c r="H1803" t="s">
        <v>18927</v>
      </c>
    </row>
    <row r="1804" spans="8:8">
      <c r="H1804" t="s">
        <v>19798</v>
      </c>
    </row>
    <row r="1805" spans="8:8">
      <c r="H1805" t="s">
        <v>19979</v>
      </c>
    </row>
    <row r="1806" spans="8:8">
      <c r="H1806" t="s">
        <v>19980</v>
      </c>
    </row>
    <row r="1807" spans="8:8">
      <c r="H1807" t="s">
        <v>18927</v>
      </c>
    </row>
    <row r="1808" spans="8:8">
      <c r="H1808" t="s">
        <v>19781</v>
      </c>
    </row>
    <row r="1809" spans="6:8">
      <c r="H1809" t="s">
        <v>19981</v>
      </c>
    </row>
    <row r="1810" spans="6:8">
      <c r="H1810" t="s">
        <v>19982</v>
      </c>
    </row>
    <row r="1811" spans="6:8">
      <c r="H1811" t="s">
        <v>18929</v>
      </c>
    </row>
    <row r="1812" spans="6:8">
      <c r="H1812" t="s">
        <v>19983</v>
      </c>
    </row>
    <row r="1813" spans="6:8">
      <c r="F1813" t="s">
        <v>10951</v>
      </c>
      <c r="G1813" t="s">
        <v>15331</v>
      </c>
      <c r="H1813" t="s">
        <v>19984</v>
      </c>
    </row>
    <row r="1814" spans="6:8">
      <c r="H1814" t="s">
        <v>19985</v>
      </c>
    </row>
    <row r="1815" spans="6:8">
      <c r="F1815" t="s">
        <v>10952</v>
      </c>
      <c r="G1815" t="s">
        <v>15344</v>
      </c>
      <c r="H1815" t="s">
        <v>19986</v>
      </c>
    </row>
    <row r="1816" spans="6:8">
      <c r="H1816" t="s">
        <v>19986</v>
      </c>
    </row>
    <row r="1817" spans="6:8">
      <c r="F1817" t="s">
        <v>10953</v>
      </c>
      <c r="G1817" t="s">
        <v>15345</v>
      </c>
      <c r="H1817" t="s">
        <v>19987</v>
      </c>
    </row>
    <row r="1818" spans="6:8">
      <c r="H1818" t="s">
        <v>19988</v>
      </c>
    </row>
    <row r="1819" spans="6:8">
      <c r="H1819" t="s">
        <v>19989</v>
      </c>
    </row>
    <row r="1820" spans="6:8">
      <c r="H1820" t="s">
        <v>19990</v>
      </c>
    </row>
    <row r="1821" spans="6:8">
      <c r="H1821" t="s">
        <v>19991</v>
      </c>
    </row>
    <row r="1822" spans="6:8">
      <c r="H1822" t="s">
        <v>19992</v>
      </c>
    </row>
    <row r="1823" spans="6:8">
      <c r="H1823" t="s">
        <v>19993</v>
      </c>
    </row>
    <row r="1824" spans="6:8">
      <c r="H1824" t="s">
        <v>19994</v>
      </c>
    </row>
    <row r="1825" spans="8:8">
      <c r="H1825" t="s">
        <v>19995</v>
      </c>
    </row>
    <row r="1826" spans="8:8">
      <c r="H1826" t="s">
        <v>19909</v>
      </c>
    </row>
    <row r="1827" spans="8:8">
      <c r="H1827" t="s">
        <v>19996</v>
      </c>
    </row>
    <row r="1828" spans="8:8">
      <c r="H1828" t="s">
        <v>19232</v>
      </c>
    </row>
    <row r="1829" spans="8:8">
      <c r="H1829" t="s">
        <v>19997</v>
      </c>
    </row>
    <row r="1830" spans="8:8">
      <c r="H1830" t="s">
        <v>19998</v>
      </c>
    </row>
    <row r="1831" spans="8:8">
      <c r="H1831" t="s">
        <v>19426</v>
      </c>
    </row>
    <row r="1832" spans="8:8">
      <c r="H1832" t="s">
        <v>19999</v>
      </c>
    </row>
    <row r="1833" spans="8:8">
      <c r="H1833" t="s">
        <v>20000</v>
      </c>
    </row>
    <row r="1834" spans="8:8">
      <c r="H1834" t="s">
        <v>19809</v>
      </c>
    </row>
    <row r="1835" spans="8:8">
      <c r="H1835" t="s">
        <v>20001</v>
      </c>
    </row>
    <row r="1836" spans="8:8">
      <c r="H1836" t="s">
        <v>19426</v>
      </c>
    </row>
    <row r="1837" spans="8:8">
      <c r="H1837" t="s">
        <v>20002</v>
      </c>
    </row>
    <row r="1838" spans="8:8">
      <c r="H1838" t="s">
        <v>18903</v>
      </c>
    </row>
    <row r="1839" spans="8:8">
      <c r="H1839" t="s">
        <v>19969</v>
      </c>
    </row>
    <row r="1840" spans="8:8">
      <c r="H1840" t="s">
        <v>20003</v>
      </c>
    </row>
    <row r="1841" spans="8:8">
      <c r="H1841" t="s">
        <v>20004</v>
      </c>
    </row>
    <row r="1842" spans="8:8">
      <c r="H1842" t="s">
        <v>20005</v>
      </c>
    </row>
    <row r="1843" spans="8:8">
      <c r="H1843" t="s">
        <v>20005</v>
      </c>
    </row>
    <row r="1844" spans="8:8">
      <c r="H1844" t="s">
        <v>20005</v>
      </c>
    </row>
    <row r="1845" spans="8:8">
      <c r="H1845" t="s">
        <v>18927</v>
      </c>
    </row>
    <row r="1846" spans="8:8">
      <c r="H1846" t="s">
        <v>20006</v>
      </c>
    </row>
    <row r="1847" spans="8:8">
      <c r="H1847" t="s">
        <v>20007</v>
      </c>
    </row>
    <row r="1848" spans="8:8">
      <c r="H1848" t="s">
        <v>19979</v>
      </c>
    </row>
    <row r="1849" spans="8:8">
      <c r="H1849" t="s">
        <v>20008</v>
      </c>
    </row>
    <row r="1850" spans="8:8">
      <c r="H1850" t="s">
        <v>20009</v>
      </c>
    </row>
    <row r="1851" spans="8:8">
      <c r="H1851" t="s">
        <v>19928</v>
      </c>
    </row>
    <row r="1852" spans="8:8">
      <c r="H1852" t="s">
        <v>20010</v>
      </c>
    </row>
    <row r="1853" spans="8:8">
      <c r="H1853" t="s">
        <v>20011</v>
      </c>
    </row>
    <row r="1854" spans="8:8">
      <c r="H1854" t="s">
        <v>19426</v>
      </c>
    </row>
    <row r="1855" spans="8:8">
      <c r="H1855" t="s">
        <v>20012</v>
      </c>
    </row>
    <row r="1856" spans="8:8">
      <c r="H1856" t="s">
        <v>18927</v>
      </c>
    </row>
    <row r="1857" spans="6:8">
      <c r="F1857" t="s">
        <v>10954</v>
      </c>
      <c r="G1857" t="s">
        <v>15346</v>
      </c>
      <c r="H1857" t="s">
        <v>19928</v>
      </c>
    </row>
    <row r="1858" spans="6:8">
      <c r="H1858" t="s">
        <v>20013</v>
      </c>
    </row>
    <row r="1859" spans="6:8">
      <c r="H1859" t="s">
        <v>20014</v>
      </c>
    </row>
    <row r="1860" spans="6:8">
      <c r="H1860" t="s">
        <v>20014</v>
      </c>
    </row>
    <row r="1861" spans="6:8">
      <c r="H1861" t="s">
        <v>20015</v>
      </c>
    </row>
    <row r="1862" spans="6:8">
      <c r="H1862" t="s">
        <v>20016</v>
      </c>
    </row>
    <row r="1863" spans="6:8">
      <c r="H1863" t="s">
        <v>20016</v>
      </c>
    </row>
    <row r="1864" spans="6:8">
      <c r="H1864" t="s">
        <v>20017</v>
      </c>
    </row>
    <row r="1865" spans="6:8">
      <c r="H1865" t="s">
        <v>19807</v>
      </c>
    </row>
    <row r="1866" spans="6:8">
      <c r="H1866" t="s">
        <v>20018</v>
      </c>
    </row>
    <row r="1867" spans="6:8">
      <c r="H1867" t="s">
        <v>20019</v>
      </c>
    </row>
    <row r="1868" spans="6:8">
      <c r="H1868" t="s">
        <v>20020</v>
      </c>
    </row>
    <row r="1869" spans="6:8">
      <c r="H1869" t="s">
        <v>20021</v>
      </c>
    </row>
    <row r="1870" spans="6:8">
      <c r="H1870" t="s">
        <v>20022</v>
      </c>
    </row>
    <row r="1871" spans="6:8">
      <c r="H1871" t="s">
        <v>20023</v>
      </c>
    </row>
    <row r="1872" spans="6:8">
      <c r="H1872" t="s">
        <v>20024</v>
      </c>
    </row>
    <row r="1873" spans="6:8">
      <c r="F1873" t="s">
        <v>10591</v>
      </c>
      <c r="G1873" t="s">
        <v>14994</v>
      </c>
      <c r="H1873" t="s">
        <v>20025</v>
      </c>
    </row>
    <row r="1874" spans="6:8">
      <c r="H1874" t="s">
        <v>20026</v>
      </c>
    </row>
    <row r="1875" spans="6:8">
      <c r="H1875" t="s">
        <v>20027</v>
      </c>
    </row>
    <row r="1876" spans="6:8">
      <c r="H1876" t="s">
        <v>20028</v>
      </c>
    </row>
    <row r="1877" spans="6:8">
      <c r="H1877" t="s">
        <v>19794</v>
      </c>
    </row>
    <row r="1878" spans="6:8">
      <c r="H1878" t="s">
        <v>19795</v>
      </c>
    </row>
    <row r="1879" spans="6:8">
      <c r="H1879" t="s">
        <v>20004</v>
      </c>
    </row>
    <row r="1880" spans="6:8">
      <c r="H1880" t="s">
        <v>20029</v>
      </c>
    </row>
    <row r="1881" spans="6:8">
      <c r="H1881" t="s">
        <v>20030</v>
      </c>
    </row>
    <row r="1882" spans="6:8">
      <c r="H1882" t="s">
        <v>19792</v>
      </c>
    </row>
    <row r="1883" spans="6:8">
      <c r="H1883" t="s">
        <v>19793</v>
      </c>
    </row>
    <row r="1884" spans="6:8">
      <c r="H1884" t="s">
        <v>20031</v>
      </c>
    </row>
    <row r="1885" spans="6:8">
      <c r="H1885" t="s">
        <v>20032</v>
      </c>
    </row>
    <row r="1886" spans="6:8">
      <c r="H1886" t="s">
        <v>20033</v>
      </c>
    </row>
    <row r="1887" spans="6:8">
      <c r="H1887" t="s">
        <v>20034</v>
      </c>
    </row>
    <row r="1888" spans="6:8">
      <c r="H1888" t="s">
        <v>20035</v>
      </c>
    </row>
    <row r="1889" spans="6:8">
      <c r="H1889" t="s">
        <v>19735</v>
      </c>
    </row>
    <row r="1890" spans="6:8">
      <c r="H1890" t="s">
        <v>20036</v>
      </c>
    </row>
    <row r="1891" spans="6:8">
      <c r="H1891" t="s">
        <v>20037</v>
      </c>
    </row>
    <row r="1892" spans="6:8">
      <c r="F1892" t="s">
        <v>10955</v>
      </c>
      <c r="G1892" t="s">
        <v>15347</v>
      </c>
      <c r="H1892" t="s">
        <v>19928</v>
      </c>
    </row>
    <row r="1893" spans="6:8">
      <c r="H1893" t="s">
        <v>20038</v>
      </c>
    </row>
    <row r="1894" spans="6:8">
      <c r="H1894" t="s">
        <v>20014</v>
      </c>
    </row>
    <row r="1895" spans="6:8">
      <c r="H1895" t="s">
        <v>20039</v>
      </c>
    </row>
    <row r="1896" spans="6:8">
      <c r="F1896" t="s">
        <v>10592</v>
      </c>
      <c r="G1896" t="s">
        <v>14995</v>
      </c>
      <c r="H1896" t="s">
        <v>18960</v>
      </c>
    </row>
    <row r="1897" spans="6:8">
      <c r="H1897" t="s">
        <v>19805</v>
      </c>
    </row>
    <row r="1898" spans="6:8">
      <c r="H1898" t="s">
        <v>20040</v>
      </c>
    </row>
    <row r="1899" spans="6:8">
      <c r="H1899" t="s">
        <v>20041</v>
      </c>
    </row>
    <row r="1900" spans="6:8">
      <c r="H1900" t="s">
        <v>20042</v>
      </c>
    </row>
    <row r="1901" spans="6:8">
      <c r="H1901" t="s">
        <v>18931</v>
      </c>
    </row>
    <row r="1902" spans="6:8">
      <c r="H1902" t="s">
        <v>19790</v>
      </c>
    </row>
    <row r="1903" spans="6:8">
      <c r="H1903" t="s">
        <v>20043</v>
      </c>
    </row>
    <row r="1904" spans="6:8">
      <c r="H1904" t="s">
        <v>20044</v>
      </c>
    </row>
    <row r="1905" spans="6:8">
      <c r="H1905" t="s">
        <v>19809</v>
      </c>
    </row>
    <row r="1906" spans="6:8">
      <c r="H1906" t="s">
        <v>19807</v>
      </c>
    </row>
    <row r="1907" spans="6:8">
      <c r="H1907" t="s">
        <v>19230</v>
      </c>
    </row>
    <row r="1908" spans="6:8">
      <c r="H1908" t="s">
        <v>19963</v>
      </c>
    </row>
    <row r="1909" spans="6:8">
      <c r="H1909" t="s">
        <v>19955</v>
      </c>
    </row>
    <row r="1910" spans="6:8">
      <c r="H1910" t="s">
        <v>19799</v>
      </c>
    </row>
    <row r="1911" spans="6:8">
      <c r="H1911" t="s">
        <v>18927</v>
      </c>
    </row>
    <row r="1912" spans="6:8">
      <c r="H1912" t="s">
        <v>18927</v>
      </c>
    </row>
    <row r="1913" spans="6:8">
      <c r="H1913" t="s">
        <v>19800</v>
      </c>
    </row>
    <row r="1914" spans="6:8">
      <c r="H1914" t="s">
        <v>19801</v>
      </c>
    </row>
    <row r="1915" spans="6:8">
      <c r="H1915" t="s">
        <v>19802</v>
      </c>
    </row>
    <row r="1916" spans="6:8">
      <c r="H1916" t="s">
        <v>19803</v>
      </c>
    </row>
    <row r="1917" spans="6:8">
      <c r="H1917" t="s">
        <v>19804</v>
      </c>
    </row>
    <row r="1918" spans="6:8">
      <c r="F1918" t="s">
        <v>10956</v>
      </c>
      <c r="G1918" t="s">
        <v>15348</v>
      </c>
      <c r="H1918" t="s">
        <v>20045</v>
      </c>
    </row>
    <row r="1919" spans="6:8">
      <c r="H1919" t="s">
        <v>20046</v>
      </c>
    </row>
    <row r="1920" spans="6:8">
      <c r="H1920" t="s">
        <v>20047</v>
      </c>
    </row>
    <row r="1921" spans="6:8">
      <c r="H1921" t="s">
        <v>20048</v>
      </c>
    </row>
    <row r="1922" spans="6:8">
      <c r="H1922" t="s">
        <v>20049</v>
      </c>
    </row>
    <row r="1923" spans="6:8">
      <c r="H1923" t="s">
        <v>20050</v>
      </c>
    </row>
    <row r="1924" spans="6:8">
      <c r="H1924" t="s">
        <v>20051</v>
      </c>
    </row>
    <row r="1925" spans="6:8">
      <c r="H1925" t="s">
        <v>20052</v>
      </c>
    </row>
    <row r="1926" spans="6:8">
      <c r="H1926" t="s">
        <v>20053</v>
      </c>
    </row>
    <row r="1927" spans="6:8">
      <c r="H1927" t="s">
        <v>20054</v>
      </c>
    </row>
    <row r="1928" spans="6:8">
      <c r="H1928" t="s">
        <v>20055</v>
      </c>
    </row>
    <row r="1929" spans="6:8">
      <c r="H1929" t="s">
        <v>20056</v>
      </c>
    </row>
    <row r="1930" spans="6:8">
      <c r="H1930" t="s">
        <v>20057</v>
      </c>
    </row>
    <row r="1931" spans="6:8">
      <c r="H1931" t="s">
        <v>20058</v>
      </c>
    </row>
    <row r="1932" spans="6:8">
      <c r="F1932" t="s">
        <v>10957</v>
      </c>
      <c r="G1932" t="s">
        <v>15349</v>
      </c>
      <c r="H1932" t="s">
        <v>18863</v>
      </c>
    </row>
    <row r="1933" spans="6:8">
      <c r="H1933" t="s">
        <v>20059</v>
      </c>
    </row>
    <row r="1934" spans="6:8">
      <c r="H1934" t="s">
        <v>20060</v>
      </c>
    </row>
    <row r="1935" spans="6:8">
      <c r="H1935" t="s">
        <v>20061</v>
      </c>
    </row>
    <row r="1936" spans="6:8">
      <c r="F1936" t="s">
        <v>10958</v>
      </c>
      <c r="G1936" t="s">
        <v>15350</v>
      </c>
      <c r="H1936" t="s">
        <v>18863</v>
      </c>
    </row>
    <row r="1937" spans="8:8">
      <c r="H1937" t="s">
        <v>20062</v>
      </c>
    </row>
    <row r="1938" spans="8:8">
      <c r="H1938" t="s">
        <v>20063</v>
      </c>
    </row>
    <row r="1939" spans="8:8">
      <c r="H1939" t="s">
        <v>20064</v>
      </c>
    </row>
    <row r="1940" spans="8:8">
      <c r="H1940" t="s">
        <v>20065</v>
      </c>
    </row>
    <row r="1941" spans="8:8">
      <c r="H1941" t="s">
        <v>20066</v>
      </c>
    </row>
    <row r="1942" spans="8:8">
      <c r="H1942" t="s">
        <v>20067</v>
      </c>
    </row>
    <row r="1943" spans="8:8">
      <c r="H1943" t="s">
        <v>20068</v>
      </c>
    </row>
    <row r="1944" spans="8:8">
      <c r="H1944" t="s">
        <v>20069</v>
      </c>
    </row>
    <row r="1945" spans="8:8">
      <c r="H1945" t="s">
        <v>20070</v>
      </c>
    </row>
    <row r="1946" spans="8:8">
      <c r="H1946" t="s">
        <v>20071</v>
      </c>
    </row>
    <row r="1947" spans="8:8">
      <c r="H1947" t="s">
        <v>20072</v>
      </c>
    </row>
    <row r="1948" spans="8:8">
      <c r="H1948" t="s">
        <v>20073</v>
      </c>
    </row>
    <row r="1949" spans="8:8">
      <c r="H1949" t="s">
        <v>20074</v>
      </c>
    </row>
    <row r="1950" spans="8:8">
      <c r="H1950" t="s">
        <v>20075</v>
      </c>
    </row>
    <row r="1951" spans="8:8">
      <c r="H1951" t="s">
        <v>20076</v>
      </c>
    </row>
    <row r="1952" spans="8:8">
      <c r="H1952" t="s">
        <v>20077</v>
      </c>
    </row>
    <row r="1953" spans="1:8">
      <c r="H1953" t="s">
        <v>20078</v>
      </c>
    </row>
    <row r="1954" spans="1:8">
      <c r="H1954" t="s">
        <v>20079</v>
      </c>
    </row>
    <row r="1955" spans="1:8">
      <c r="H1955" t="s">
        <v>20080</v>
      </c>
    </row>
    <row r="1956" spans="1:8">
      <c r="F1956" t="s">
        <v>10959</v>
      </c>
      <c r="G1956" t="s">
        <v>15351</v>
      </c>
      <c r="H1956" t="s">
        <v>20081</v>
      </c>
    </row>
    <row r="1957" spans="1:8">
      <c r="A1957" t="s">
        <v>293</v>
      </c>
      <c r="B1957">
        <f>HYPERLINK("https://android.googlesource.com/platform/cts/+/3dd6ed00c5a6b4fedd3b6fe48b730092dbd4d118", "3dd6ed00c5a6b4fedd3b6fe48b730092dbd4d118")</f>
        <v>0</v>
      </c>
      <c r="C1957">
        <f>HYPERLINK("https://android.googlesource.com/platform/cts/+/0b0169fcb2503921b2144396d21023f39361eead", "0b0169fcb2503921b2144396d21023f39361eead")</f>
        <v>0</v>
      </c>
      <c r="D1957" t="s">
        <v>4949</v>
      </c>
      <c r="E1957" t="s">
        <v>6089</v>
      </c>
      <c r="F1957" t="s">
        <v>10960</v>
      </c>
      <c r="G1957" t="s">
        <v>15352</v>
      </c>
      <c r="H1957" t="s">
        <v>20082</v>
      </c>
    </row>
    <row r="1958" spans="1:8">
      <c r="A1958" t="s">
        <v>294</v>
      </c>
      <c r="B1958">
        <f>HYPERLINK("https://android.googlesource.com/platform/cts/+/98b49198af2b7180b34d17378c0cee20a4f1ccaf", "98b49198af2b7180b34d17378c0cee20a4f1ccaf")</f>
        <v>0</v>
      </c>
      <c r="C1958">
        <f>HYPERLINK("https://android.googlesource.com/platform/cts/+/36d4da20ca84a24d2d655b6b49bcca5ca973b73c", "36d4da20ca84a24d2d655b6b49bcca5ca973b73c")</f>
        <v>0</v>
      </c>
      <c r="D1958" t="s">
        <v>4941</v>
      </c>
      <c r="E1958" t="s">
        <v>6090</v>
      </c>
      <c r="F1958" t="s">
        <v>10961</v>
      </c>
      <c r="G1958" t="s">
        <v>15091</v>
      </c>
      <c r="H1958" t="s">
        <v>20083</v>
      </c>
    </row>
    <row r="1959" spans="1:8">
      <c r="H1959" t="s">
        <v>20084</v>
      </c>
    </row>
    <row r="1960" spans="1:8">
      <c r="F1960" t="s">
        <v>10962</v>
      </c>
      <c r="G1960" t="s">
        <v>15353</v>
      </c>
      <c r="H1960" t="s">
        <v>20085</v>
      </c>
    </row>
    <row r="1961" spans="1:8">
      <c r="H1961" t="s">
        <v>20085</v>
      </c>
    </row>
    <row r="1962" spans="1:8">
      <c r="H1962" t="s">
        <v>20086</v>
      </c>
    </row>
    <row r="1963" spans="1:8">
      <c r="H1963" t="s">
        <v>18885</v>
      </c>
    </row>
    <row r="1964" spans="1:8">
      <c r="H1964" t="s">
        <v>20087</v>
      </c>
    </row>
    <row r="1965" spans="1:8">
      <c r="F1965" t="s">
        <v>10790</v>
      </c>
      <c r="G1965" t="s">
        <v>15186</v>
      </c>
      <c r="H1965" t="s">
        <v>20088</v>
      </c>
    </row>
    <row r="1966" spans="1:8">
      <c r="H1966" t="s">
        <v>20089</v>
      </c>
    </row>
    <row r="1967" spans="1:8">
      <c r="H1967" t="s">
        <v>20090</v>
      </c>
    </row>
    <row r="1968" spans="1:8">
      <c r="A1968" t="s">
        <v>295</v>
      </c>
      <c r="B1968">
        <f>HYPERLINK("https://android.googlesource.com/platform/cts/+/9ba909f8ab7f3abd082bfdf7ffcdeba930ed1b9a", "9ba909f8ab7f3abd082bfdf7ffcdeba930ed1b9a")</f>
        <v>0</v>
      </c>
      <c r="C1968">
        <f>HYPERLINK("https://android.googlesource.com/platform/cts/+/36d4da20ca84a24d2d655b6b49bcca5ca973b73c", "36d4da20ca84a24d2d655b6b49bcca5ca973b73c")</f>
        <v>0</v>
      </c>
      <c r="D1968" t="s">
        <v>4941</v>
      </c>
      <c r="E1968" t="s">
        <v>6091</v>
      </c>
      <c r="F1968" t="s">
        <v>10963</v>
      </c>
      <c r="G1968" t="s">
        <v>15354</v>
      </c>
      <c r="H1968" t="s">
        <v>20091</v>
      </c>
    </row>
    <row r="1969" spans="6:8">
      <c r="H1969" t="s">
        <v>19712</v>
      </c>
    </row>
    <row r="1970" spans="6:8">
      <c r="H1970" t="s">
        <v>19709</v>
      </c>
    </row>
    <row r="1971" spans="6:8">
      <c r="H1971" t="s">
        <v>19706</v>
      </c>
    </row>
    <row r="1972" spans="6:8">
      <c r="F1972" t="s">
        <v>10964</v>
      </c>
      <c r="G1972" t="s">
        <v>15355</v>
      </c>
      <c r="H1972" t="s">
        <v>20091</v>
      </c>
    </row>
    <row r="1973" spans="6:8">
      <c r="H1973" t="s">
        <v>19712</v>
      </c>
    </row>
    <row r="1974" spans="6:8">
      <c r="H1974" t="s">
        <v>20092</v>
      </c>
    </row>
    <row r="1975" spans="6:8">
      <c r="H1975" t="s">
        <v>20093</v>
      </c>
    </row>
    <row r="1976" spans="6:8">
      <c r="H1976" t="s">
        <v>20094</v>
      </c>
    </row>
    <row r="1977" spans="6:8">
      <c r="H1977" t="s">
        <v>20095</v>
      </c>
    </row>
    <row r="1978" spans="6:8">
      <c r="H1978" t="s">
        <v>20096</v>
      </c>
    </row>
    <row r="1979" spans="6:8">
      <c r="H1979" t="s">
        <v>20097</v>
      </c>
    </row>
    <row r="1980" spans="6:8">
      <c r="H1980" t="s">
        <v>20098</v>
      </c>
    </row>
    <row r="1981" spans="6:8">
      <c r="H1981" t="s">
        <v>20099</v>
      </c>
    </row>
    <row r="1982" spans="6:8">
      <c r="H1982" t="s">
        <v>20100</v>
      </c>
    </row>
    <row r="1983" spans="6:8">
      <c r="H1983" t="s">
        <v>20101</v>
      </c>
    </row>
    <row r="1984" spans="6:8">
      <c r="H1984" t="s">
        <v>20102</v>
      </c>
    </row>
    <row r="1985" spans="6:8">
      <c r="F1985" t="s">
        <v>10965</v>
      </c>
      <c r="G1985" t="s">
        <v>15356</v>
      </c>
      <c r="H1985" t="s">
        <v>20091</v>
      </c>
    </row>
    <row r="1986" spans="6:8">
      <c r="H1986" t="s">
        <v>19712</v>
      </c>
    </row>
    <row r="1987" spans="6:8">
      <c r="H1987" t="s">
        <v>19709</v>
      </c>
    </row>
    <row r="1988" spans="6:8">
      <c r="H1988" t="s">
        <v>19706</v>
      </c>
    </row>
    <row r="1989" spans="6:8">
      <c r="H1989" t="s">
        <v>20092</v>
      </c>
    </row>
    <row r="1990" spans="6:8">
      <c r="H1990" t="s">
        <v>20093</v>
      </c>
    </row>
    <row r="1991" spans="6:8">
      <c r="H1991" t="s">
        <v>20094</v>
      </c>
    </row>
    <row r="1992" spans="6:8">
      <c r="H1992" t="s">
        <v>20103</v>
      </c>
    </row>
    <row r="1993" spans="6:8">
      <c r="H1993" t="s">
        <v>20095</v>
      </c>
    </row>
    <row r="1994" spans="6:8">
      <c r="H1994" t="s">
        <v>20096</v>
      </c>
    </row>
    <row r="1995" spans="6:8">
      <c r="H1995" t="s">
        <v>20097</v>
      </c>
    </row>
    <row r="1996" spans="6:8">
      <c r="H1996" t="s">
        <v>20098</v>
      </c>
    </row>
    <row r="1997" spans="6:8">
      <c r="H1997" t="s">
        <v>20099</v>
      </c>
    </row>
    <row r="1998" spans="6:8">
      <c r="H1998" t="s">
        <v>20100</v>
      </c>
    </row>
    <row r="1999" spans="6:8">
      <c r="H1999" t="s">
        <v>20101</v>
      </c>
    </row>
    <row r="2000" spans="6:8">
      <c r="H2000" t="s">
        <v>20102</v>
      </c>
    </row>
    <row r="2001" spans="6:8">
      <c r="F2001" t="s">
        <v>10966</v>
      </c>
      <c r="G2001" t="s">
        <v>15357</v>
      </c>
      <c r="H2001" t="s">
        <v>20091</v>
      </c>
    </row>
    <row r="2002" spans="6:8">
      <c r="H2002" t="s">
        <v>20095</v>
      </c>
    </row>
    <row r="2003" spans="6:8">
      <c r="F2003" t="s">
        <v>10967</v>
      </c>
      <c r="G2003" t="s">
        <v>15358</v>
      </c>
      <c r="H2003" t="s">
        <v>20091</v>
      </c>
    </row>
    <row r="2004" spans="6:8">
      <c r="H2004" t="s">
        <v>19712</v>
      </c>
    </row>
    <row r="2005" spans="6:8">
      <c r="H2005" t="s">
        <v>20095</v>
      </c>
    </row>
    <row r="2006" spans="6:8">
      <c r="H2006" t="s">
        <v>20096</v>
      </c>
    </row>
    <row r="2007" spans="6:8">
      <c r="H2007" t="s">
        <v>20097</v>
      </c>
    </row>
    <row r="2008" spans="6:8">
      <c r="H2008" t="s">
        <v>20098</v>
      </c>
    </row>
    <row r="2009" spans="6:8">
      <c r="H2009" t="s">
        <v>20099</v>
      </c>
    </row>
    <row r="2010" spans="6:8">
      <c r="H2010" t="s">
        <v>19709</v>
      </c>
    </row>
    <row r="2011" spans="6:8">
      <c r="H2011" t="s">
        <v>19706</v>
      </c>
    </row>
    <row r="2012" spans="6:8">
      <c r="H2012" t="s">
        <v>20100</v>
      </c>
    </row>
    <row r="2013" spans="6:8">
      <c r="H2013" t="s">
        <v>20101</v>
      </c>
    </row>
    <row r="2014" spans="6:8">
      <c r="H2014" t="s">
        <v>20102</v>
      </c>
    </row>
    <row r="2015" spans="6:8">
      <c r="H2015" t="s">
        <v>20104</v>
      </c>
    </row>
    <row r="2016" spans="6:8">
      <c r="H2016" t="s">
        <v>20105</v>
      </c>
    </row>
    <row r="2017" spans="6:8">
      <c r="F2017" t="s">
        <v>10968</v>
      </c>
      <c r="G2017" t="s">
        <v>15359</v>
      </c>
      <c r="H2017" t="s">
        <v>20091</v>
      </c>
    </row>
    <row r="2018" spans="6:8">
      <c r="H2018" t="s">
        <v>19712</v>
      </c>
    </row>
    <row r="2019" spans="6:8">
      <c r="H2019" t="s">
        <v>20095</v>
      </c>
    </row>
    <row r="2020" spans="6:8">
      <c r="H2020" t="s">
        <v>20096</v>
      </c>
    </row>
    <row r="2021" spans="6:8">
      <c r="H2021" t="s">
        <v>20097</v>
      </c>
    </row>
    <row r="2022" spans="6:8">
      <c r="H2022" t="s">
        <v>20098</v>
      </c>
    </row>
    <row r="2023" spans="6:8">
      <c r="H2023" t="s">
        <v>20099</v>
      </c>
    </row>
    <row r="2024" spans="6:8">
      <c r="H2024" t="s">
        <v>20100</v>
      </c>
    </row>
    <row r="2025" spans="6:8">
      <c r="F2025" t="s">
        <v>10969</v>
      </c>
      <c r="G2025" t="s">
        <v>15360</v>
      </c>
      <c r="H2025" t="s">
        <v>20091</v>
      </c>
    </row>
    <row r="2026" spans="6:8">
      <c r="H2026" t="s">
        <v>19712</v>
      </c>
    </row>
    <row r="2027" spans="6:8">
      <c r="H2027" t="s">
        <v>20095</v>
      </c>
    </row>
    <row r="2028" spans="6:8">
      <c r="H2028" t="s">
        <v>20096</v>
      </c>
    </row>
    <row r="2029" spans="6:8">
      <c r="H2029" t="s">
        <v>20097</v>
      </c>
    </row>
    <row r="2030" spans="6:8">
      <c r="H2030" t="s">
        <v>20098</v>
      </c>
    </row>
    <row r="2031" spans="6:8">
      <c r="H2031" t="s">
        <v>20099</v>
      </c>
    </row>
    <row r="2032" spans="6:8">
      <c r="H2032" t="s">
        <v>20100</v>
      </c>
    </row>
    <row r="2033" spans="6:8">
      <c r="F2033" t="s">
        <v>10970</v>
      </c>
      <c r="G2033" t="s">
        <v>15361</v>
      </c>
      <c r="H2033" t="s">
        <v>20091</v>
      </c>
    </row>
    <row r="2034" spans="6:8">
      <c r="H2034" t="s">
        <v>19712</v>
      </c>
    </row>
    <row r="2035" spans="6:8">
      <c r="H2035" t="s">
        <v>20095</v>
      </c>
    </row>
    <row r="2036" spans="6:8">
      <c r="H2036" t="s">
        <v>20096</v>
      </c>
    </row>
    <row r="2037" spans="6:8">
      <c r="H2037" t="s">
        <v>20097</v>
      </c>
    </row>
    <row r="2038" spans="6:8">
      <c r="H2038" t="s">
        <v>20098</v>
      </c>
    </row>
    <row r="2039" spans="6:8">
      <c r="H2039" t="s">
        <v>20099</v>
      </c>
    </row>
    <row r="2040" spans="6:8">
      <c r="H2040" t="s">
        <v>20100</v>
      </c>
    </row>
    <row r="2041" spans="6:8">
      <c r="F2041" t="s">
        <v>10971</v>
      </c>
      <c r="G2041" t="s">
        <v>15362</v>
      </c>
      <c r="H2041" t="s">
        <v>20091</v>
      </c>
    </row>
    <row r="2042" spans="6:8">
      <c r="H2042" t="s">
        <v>19712</v>
      </c>
    </row>
    <row r="2043" spans="6:8">
      <c r="H2043" t="s">
        <v>20095</v>
      </c>
    </row>
    <row r="2044" spans="6:8">
      <c r="H2044" t="s">
        <v>20096</v>
      </c>
    </row>
    <row r="2045" spans="6:8">
      <c r="H2045" t="s">
        <v>20097</v>
      </c>
    </row>
    <row r="2046" spans="6:8">
      <c r="H2046" t="s">
        <v>20098</v>
      </c>
    </row>
    <row r="2047" spans="6:8">
      <c r="H2047" t="s">
        <v>20099</v>
      </c>
    </row>
    <row r="2048" spans="6:8">
      <c r="H2048" t="s">
        <v>20100</v>
      </c>
    </row>
    <row r="2049" spans="6:8">
      <c r="F2049" t="s">
        <v>10972</v>
      </c>
      <c r="G2049" t="s">
        <v>15363</v>
      </c>
      <c r="H2049" t="s">
        <v>20091</v>
      </c>
    </row>
    <row r="2050" spans="6:8">
      <c r="H2050" t="s">
        <v>19712</v>
      </c>
    </row>
    <row r="2051" spans="6:8">
      <c r="H2051" t="s">
        <v>19709</v>
      </c>
    </row>
    <row r="2052" spans="6:8">
      <c r="H2052" t="s">
        <v>20092</v>
      </c>
    </row>
    <row r="2053" spans="6:8">
      <c r="H2053" t="s">
        <v>20093</v>
      </c>
    </row>
    <row r="2054" spans="6:8">
      <c r="H2054" t="s">
        <v>20094</v>
      </c>
    </row>
    <row r="2055" spans="6:8">
      <c r="H2055" t="s">
        <v>20103</v>
      </c>
    </row>
    <row r="2056" spans="6:8">
      <c r="H2056" t="s">
        <v>20095</v>
      </c>
    </row>
    <row r="2057" spans="6:8">
      <c r="H2057" t="s">
        <v>20096</v>
      </c>
    </row>
    <row r="2058" spans="6:8">
      <c r="H2058" t="s">
        <v>20097</v>
      </c>
    </row>
    <row r="2059" spans="6:8">
      <c r="H2059" t="s">
        <v>20098</v>
      </c>
    </row>
    <row r="2060" spans="6:8">
      <c r="H2060" t="s">
        <v>20099</v>
      </c>
    </row>
    <row r="2061" spans="6:8">
      <c r="H2061" t="s">
        <v>20100</v>
      </c>
    </row>
    <row r="2062" spans="6:8">
      <c r="F2062" t="s">
        <v>10973</v>
      </c>
      <c r="G2062" t="s">
        <v>15364</v>
      </c>
      <c r="H2062" t="s">
        <v>20091</v>
      </c>
    </row>
    <row r="2063" spans="6:8">
      <c r="H2063" t="s">
        <v>19712</v>
      </c>
    </row>
    <row r="2064" spans="6:8">
      <c r="H2064" t="s">
        <v>19709</v>
      </c>
    </row>
    <row r="2065" spans="6:8">
      <c r="H2065" t="s">
        <v>19706</v>
      </c>
    </row>
    <row r="2066" spans="6:8">
      <c r="H2066" t="s">
        <v>19707</v>
      </c>
    </row>
    <row r="2067" spans="6:8">
      <c r="H2067" t="s">
        <v>19711</v>
      </c>
    </row>
    <row r="2068" spans="6:8">
      <c r="H2068" t="s">
        <v>19708</v>
      </c>
    </row>
    <row r="2069" spans="6:8">
      <c r="H2069" t="s">
        <v>19710</v>
      </c>
    </row>
    <row r="2070" spans="6:8">
      <c r="H2070" t="s">
        <v>20092</v>
      </c>
    </row>
    <row r="2071" spans="6:8">
      <c r="H2071" t="s">
        <v>20093</v>
      </c>
    </row>
    <row r="2072" spans="6:8">
      <c r="H2072" t="s">
        <v>20095</v>
      </c>
    </row>
    <row r="2073" spans="6:8">
      <c r="H2073" t="s">
        <v>20096</v>
      </c>
    </row>
    <row r="2074" spans="6:8">
      <c r="H2074" t="s">
        <v>20097</v>
      </c>
    </row>
    <row r="2075" spans="6:8">
      <c r="H2075" t="s">
        <v>20098</v>
      </c>
    </row>
    <row r="2076" spans="6:8">
      <c r="H2076" t="s">
        <v>20099</v>
      </c>
    </row>
    <row r="2077" spans="6:8">
      <c r="H2077" t="s">
        <v>20100</v>
      </c>
    </row>
    <row r="2078" spans="6:8">
      <c r="H2078" t="s">
        <v>20101</v>
      </c>
    </row>
    <row r="2079" spans="6:8">
      <c r="F2079" t="s">
        <v>10974</v>
      </c>
      <c r="G2079" t="s">
        <v>15365</v>
      </c>
      <c r="H2079" t="s">
        <v>20091</v>
      </c>
    </row>
    <row r="2080" spans="6:8">
      <c r="H2080" t="s">
        <v>20106</v>
      </c>
    </row>
    <row r="2081" spans="6:8">
      <c r="H2081" t="s">
        <v>20096</v>
      </c>
    </row>
    <row r="2082" spans="6:8">
      <c r="H2082" t="s">
        <v>20095</v>
      </c>
    </row>
    <row r="2083" spans="6:8">
      <c r="F2083" t="s">
        <v>10975</v>
      </c>
      <c r="G2083" t="s">
        <v>15366</v>
      </c>
      <c r="H2083" t="s">
        <v>20091</v>
      </c>
    </row>
    <row r="2084" spans="6:8">
      <c r="H2084" t="s">
        <v>19712</v>
      </c>
    </row>
    <row r="2085" spans="6:8">
      <c r="H2085" t="s">
        <v>20095</v>
      </c>
    </row>
    <row r="2086" spans="6:8">
      <c r="H2086" t="s">
        <v>20096</v>
      </c>
    </row>
    <row r="2087" spans="6:8">
      <c r="H2087" t="s">
        <v>20097</v>
      </c>
    </row>
    <row r="2088" spans="6:8">
      <c r="H2088" t="s">
        <v>19709</v>
      </c>
    </row>
    <row r="2089" spans="6:8">
      <c r="H2089" t="s">
        <v>19706</v>
      </c>
    </row>
    <row r="2090" spans="6:8">
      <c r="H2090" t="s">
        <v>20098</v>
      </c>
    </row>
    <row r="2091" spans="6:8">
      <c r="H2091" t="s">
        <v>20099</v>
      </c>
    </row>
    <row r="2092" spans="6:8">
      <c r="H2092" t="s">
        <v>20100</v>
      </c>
    </row>
    <row r="2093" spans="6:8">
      <c r="F2093" t="s">
        <v>10976</v>
      </c>
      <c r="G2093" t="s">
        <v>15367</v>
      </c>
      <c r="H2093" t="s">
        <v>20091</v>
      </c>
    </row>
    <row r="2094" spans="6:8">
      <c r="H2094" t="s">
        <v>19712</v>
      </c>
    </row>
    <row r="2095" spans="6:8">
      <c r="H2095" t="s">
        <v>20095</v>
      </c>
    </row>
    <row r="2096" spans="6:8">
      <c r="H2096" t="s">
        <v>20096</v>
      </c>
    </row>
    <row r="2097" spans="6:8">
      <c r="H2097" t="s">
        <v>20097</v>
      </c>
    </row>
    <row r="2098" spans="6:8">
      <c r="F2098" t="s">
        <v>10977</v>
      </c>
      <c r="G2098" t="s">
        <v>15368</v>
      </c>
      <c r="H2098" t="s">
        <v>20091</v>
      </c>
    </row>
    <row r="2099" spans="6:8">
      <c r="H2099" t="s">
        <v>19712</v>
      </c>
    </row>
    <row r="2100" spans="6:8">
      <c r="H2100" t="s">
        <v>20095</v>
      </c>
    </row>
    <row r="2101" spans="6:8">
      <c r="H2101" t="s">
        <v>20096</v>
      </c>
    </row>
    <row r="2102" spans="6:8">
      <c r="H2102" t="s">
        <v>20097</v>
      </c>
    </row>
    <row r="2103" spans="6:8">
      <c r="F2103" t="s">
        <v>10978</v>
      </c>
      <c r="G2103" t="s">
        <v>15369</v>
      </c>
      <c r="H2103" t="s">
        <v>20091</v>
      </c>
    </row>
    <row r="2104" spans="6:8">
      <c r="H2104" t="s">
        <v>19712</v>
      </c>
    </row>
    <row r="2105" spans="6:8">
      <c r="H2105" t="s">
        <v>20095</v>
      </c>
    </row>
    <row r="2106" spans="6:8">
      <c r="H2106" t="s">
        <v>20096</v>
      </c>
    </row>
    <row r="2107" spans="6:8">
      <c r="H2107" t="s">
        <v>20097</v>
      </c>
    </row>
    <row r="2108" spans="6:8">
      <c r="F2108" t="s">
        <v>10979</v>
      </c>
      <c r="G2108" t="s">
        <v>15370</v>
      </c>
      <c r="H2108" t="s">
        <v>20091</v>
      </c>
    </row>
    <row r="2109" spans="6:8">
      <c r="H2109" t="s">
        <v>19712</v>
      </c>
    </row>
    <row r="2110" spans="6:8">
      <c r="H2110" t="s">
        <v>20095</v>
      </c>
    </row>
    <row r="2111" spans="6:8">
      <c r="H2111" t="s">
        <v>20096</v>
      </c>
    </row>
    <row r="2112" spans="6:8">
      <c r="H2112" t="s">
        <v>20097</v>
      </c>
    </row>
    <row r="2113" spans="6:8">
      <c r="F2113" t="s">
        <v>10980</v>
      </c>
      <c r="G2113" t="s">
        <v>15371</v>
      </c>
      <c r="H2113" t="s">
        <v>20091</v>
      </c>
    </row>
    <row r="2114" spans="6:8">
      <c r="H2114" t="s">
        <v>19712</v>
      </c>
    </row>
    <row r="2115" spans="6:8">
      <c r="H2115" t="s">
        <v>19709</v>
      </c>
    </row>
    <row r="2116" spans="6:8">
      <c r="H2116" t="s">
        <v>19706</v>
      </c>
    </row>
    <row r="2117" spans="6:8">
      <c r="H2117" t="s">
        <v>20092</v>
      </c>
    </row>
    <row r="2118" spans="6:8">
      <c r="H2118" t="s">
        <v>20093</v>
      </c>
    </row>
    <row r="2119" spans="6:8">
      <c r="H2119" t="s">
        <v>20094</v>
      </c>
    </row>
    <row r="2120" spans="6:8">
      <c r="H2120" t="s">
        <v>20095</v>
      </c>
    </row>
    <row r="2121" spans="6:8">
      <c r="H2121" t="s">
        <v>20096</v>
      </c>
    </row>
    <row r="2122" spans="6:8">
      <c r="H2122" t="s">
        <v>20097</v>
      </c>
    </row>
    <row r="2123" spans="6:8">
      <c r="H2123" t="s">
        <v>20098</v>
      </c>
    </row>
    <row r="2124" spans="6:8">
      <c r="H2124" t="s">
        <v>20099</v>
      </c>
    </row>
    <row r="2125" spans="6:8">
      <c r="F2125" t="s">
        <v>10981</v>
      </c>
      <c r="G2125" t="s">
        <v>15372</v>
      </c>
      <c r="H2125" t="s">
        <v>20091</v>
      </c>
    </row>
    <row r="2126" spans="6:8">
      <c r="H2126" t="s">
        <v>19712</v>
      </c>
    </row>
    <row r="2127" spans="6:8">
      <c r="H2127" t="s">
        <v>20092</v>
      </c>
    </row>
    <row r="2128" spans="6:8">
      <c r="H2128" t="s">
        <v>20093</v>
      </c>
    </row>
    <row r="2129" spans="6:8">
      <c r="H2129" t="s">
        <v>20094</v>
      </c>
    </row>
    <row r="2130" spans="6:8">
      <c r="H2130" t="s">
        <v>20095</v>
      </c>
    </row>
    <row r="2131" spans="6:8">
      <c r="H2131" t="s">
        <v>20096</v>
      </c>
    </row>
    <row r="2132" spans="6:8">
      <c r="H2132" t="s">
        <v>20097</v>
      </c>
    </row>
    <row r="2133" spans="6:8">
      <c r="H2133" t="s">
        <v>20098</v>
      </c>
    </row>
    <row r="2134" spans="6:8">
      <c r="H2134" t="s">
        <v>20099</v>
      </c>
    </row>
    <row r="2135" spans="6:8">
      <c r="H2135" t="s">
        <v>20100</v>
      </c>
    </row>
    <row r="2136" spans="6:8">
      <c r="H2136" t="s">
        <v>20101</v>
      </c>
    </row>
    <row r="2137" spans="6:8">
      <c r="H2137" t="s">
        <v>20102</v>
      </c>
    </row>
    <row r="2138" spans="6:8">
      <c r="F2138" t="s">
        <v>10982</v>
      </c>
      <c r="G2138" t="s">
        <v>15373</v>
      </c>
      <c r="H2138" t="s">
        <v>20091</v>
      </c>
    </row>
    <row r="2139" spans="6:8">
      <c r="H2139" t="s">
        <v>19712</v>
      </c>
    </row>
    <row r="2140" spans="6:8">
      <c r="H2140" t="s">
        <v>20092</v>
      </c>
    </row>
    <row r="2141" spans="6:8">
      <c r="H2141" t="s">
        <v>20093</v>
      </c>
    </row>
    <row r="2142" spans="6:8">
      <c r="H2142" t="s">
        <v>20094</v>
      </c>
    </row>
    <row r="2143" spans="6:8">
      <c r="H2143" t="s">
        <v>20095</v>
      </c>
    </row>
    <row r="2144" spans="6:8">
      <c r="H2144" t="s">
        <v>20096</v>
      </c>
    </row>
    <row r="2145" spans="6:8">
      <c r="H2145" t="s">
        <v>20097</v>
      </c>
    </row>
    <row r="2146" spans="6:8">
      <c r="H2146" t="s">
        <v>20098</v>
      </c>
    </row>
    <row r="2147" spans="6:8">
      <c r="H2147" t="s">
        <v>20099</v>
      </c>
    </row>
    <row r="2148" spans="6:8">
      <c r="H2148" t="s">
        <v>20100</v>
      </c>
    </row>
    <row r="2149" spans="6:8">
      <c r="H2149" t="s">
        <v>20101</v>
      </c>
    </row>
    <row r="2150" spans="6:8">
      <c r="H2150" t="s">
        <v>20102</v>
      </c>
    </row>
    <row r="2151" spans="6:8">
      <c r="F2151" t="s">
        <v>10983</v>
      </c>
      <c r="G2151" t="s">
        <v>15374</v>
      </c>
      <c r="H2151" t="s">
        <v>20091</v>
      </c>
    </row>
    <row r="2152" spans="6:8">
      <c r="H2152" t="s">
        <v>20107</v>
      </c>
    </row>
    <row r="2153" spans="6:8">
      <c r="H2153" t="s">
        <v>20108</v>
      </c>
    </row>
    <row r="2154" spans="6:8">
      <c r="H2154" t="s">
        <v>20095</v>
      </c>
    </row>
    <row r="2155" spans="6:8">
      <c r="F2155" t="s">
        <v>10984</v>
      </c>
      <c r="G2155" t="s">
        <v>15375</v>
      </c>
      <c r="H2155" t="s">
        <v>20091</v>
      </c>
    </row>
    <row r="2156" spans="6:8">
      <c r="H2156" t="s">
        <v>19712</v>
      </c>
    </row>
    <row r="2157" spans="6:8">
      <c r="H2157" t="s">
        <v>20092</v>
      </c>
    </row>
    <row r="2158" spans="6:8">
      <c r="H2158" t="s">
        <v>20093</v>
      </c>
    </row>
    <row r="2159" spans="6:8">
      <c r="H2159" t="s">
        <v>20094</v>
      </c>
    </row>
    <row r="2160" spans="6:8">
      <c r="H2160" t="s">
        <v>20095</v>
      </c>
    </row>
    <row r="2161" spans="6:8">
      <c r="H2161" t="s">
        <v>20096</v>
      </c>
    </row>
    <row r="2162" spans="6:8">
      <c r="H2162" t="s">
        <v>20097</v>
      </c>
    </row>
    <row r="2163" spans="6:8">
      <c r="H2163" t="s">
        <v>20098</v>
      </c>
    </row>
    <row r="2164" spans="6:8">
      <c r="H2164" t="s">
        <v>20099</v>
      </c>
    </row>
    <row r="2165" spans="6:8">
      <c r="H2165" t="s">
        <v>20100</v>
      </c>
    </row>
    <row r="2166" spans="6:8">
      <c r="H2166" t="s">
        <v>20101</v>
      </c>
    </row>
    <row r="2167" spans="6:8">
      <c r="H2167" t="s">
        <v>20102</v>
      </c>
    </row>
    <row r="2168" spans="6:8">
      <c r="F2168" t="s">
        <v>10985</v>
      </c>
      <c r="G2168" t="s">
        <v>15376</v>
      </c>
      <c r="H2168" t="s">
        <v>20091</v>
      </c>
    </row>
    <row r="2169" spans="6:8">
      <c r="H2169" t="s">
        <v>19712</v>
      </c>
    </row>
    <row r="2170" spans="6:8">
      <c r="H2170" t="s">
        <v>20092</v>
      </c>
    </row>
    <row r="2171" spans="6:8">
      <c r="H2171" t="s">
        <v>20093</v>
      </c>
    </row>
    <row r="2172" spans="6:8">
      <c r="H2172" t="s">
        <v>20094</v>
      </c>
    </row>
    <row r="2173" spans="6:8">
      <c r="H2173" t="s">
        <v>20095</v>
      </c>
    </row>
    <row r="2174" spans="6:8">
      <c r="H2174" t="s">
        <v>20096</v>
      </c>
    </row>
    <row r="2175" spans="6:8">
      <c r="H2175" t="s">
        <v>20097</v>
      </c>
    </row>
    <row r="2176" spans="6:8">
      <c r="H2176" t="s">
        <v>20098</v>
      </c>
    </row>
    <row r="2177" spans="6:8">
      <c r="H2177" t="s">
        <v>20099</v>
      </c>
    </row>
    <row r="2178" spans="6:8">
      <c r="H2178" t="s">
        <v>20100</v>
      </c>
    </row>
    <row r="2179" spans="6:8">
      <c r="H2179" t="s">
        <v>20101</v>
      </c>
    </row>
    <row r="2180" spans="6:8">
      <c r="H2180" t="s">
        <v>20102</v>
      </c>
    </row>
    <row r="2181" spans="6:8">
      <c r="F2181" t="s">
        <v>10986</v>
      </c>
      <c r="G2181" t="s">
        <v>15377</v>
      </c>
      <c r="H2181" t="s">
        <v>20091</v>
      </c>
    </row>
    <row r="2182" spans="6:8">
      <c r="H2182" t="s">
        <v>19712</v>
      </c>
    </row>
    <row r="2183" spans="6:8">
      <c r="H2183" t="s">
        <v>19706</v>
      </c>
    </row>
    <row r="2184" spans="6:8">
      <c r="H2184" t="s">
        <v>20092</v>
      </c>
    </row>
    <row r="2185" spans="6:8">
      <c r="H2185" t="s">
        <v>20093</v>
      </c>
    </row>
    <row r="2186" spans="6:8">
      <c r="H2186" t="s">
        <v>20094</v>
      </c>
    </row>
    <row r="2187" spans="6:8">
      <c r="H2187" t="s">
        <v>20095</v>
      </c>
    </row>
    <row r="2188" spans="6:8">
      <c r="H2188" t="s">
        <v>20096</v>
      </c>
    </row>
    <row r="2189" spans="6:8">
      <c r="H2189" t="s">
        <v>20097</v>
      </c>
    </row>
    <row r="2190" spans="6:8">
      <c r="H2190" t="s">
        <v>20098</v>
      </c>
    </row>
    <row r="2191" spans="6:8">
      <c r="F2191" t="s">
        <v>10987</v>
      </c>
      <c r="G2191" t="s">
        <v>15378</v>
      </c>
      <c r="H2191" t="s">
        <v>20091</v>
      </c>
    </row>
    <row r="2192" spans="6:8">
      <c r="H2192" t="s">
        <v>19712</v>
      </c>
    </row>
    <row r="2193" spans="6:8">
      <c r="H2193" t="s">
        <v>19709</v>
      </c>
    </row>
    <row r="2194" spans="6:8">
      <c r="H2194" t="s">
        <v>20107</v>
      </c>
    </row>
    <row r="2195" spans="6:8">
      <c r="H2195" t="s">
        <v>20108</v>
      </c>
    </row>
    <row r="2196" spans="6:8">
      <c r="H2196" t="s">
        <v>19713</v>
      </c>
    </row>
    <row r="2197" spans="6:8">
      <c r="H2197" t="s">
        <v>19714</v>
      </c>
    </row>
    <row r="2198" spans="6:8">
      <c r="H2198" t="s">
        <v>20109</v>
      </c>
    </row>
    <row r="2199" spans="6:8">
      <c r="H2199" t="s">
        <v>20110</v>
      </c>
    </row>
    <row r="2200" spans="6:8">
      <c r="H2200" t="s">
        <v>20111</v>
      </c>
    </row>
    <row r="2201" spans="6:8">
      <c r="H2201" t="s">
        <v>20095</v>
      </c>
    </row>
    <row r="2202" spans="6:8">
      <c r="H2202" t="s">
        <v>20096</v>
      </c>
    </row>
    <row r="2203" spans="6:8">
      <c r="H2203" t="s">
        <v>20097</v>
      </c>
    </row>
    <row r="2204" spans="6:8">
      <c r="H2204" t="s">
        <v>20098</v>
      </c>
    </row>
    <row r="2205" spans="6:8">
      <c r="F2205" t="s">
        <v>10988</v>
      </c>
      <c r="G2205" t="s">
        <v>15379</v>
      </c>
      <c r="H2205" t="s">
        <v>20091</v>
      </c>
    </row>
    <row r="2206" spans="6:8">
      <c r="H2206" t="s">
        <v>19712</v>
      </c>
    </row>
    <row r="2207" spans="6:8">
      <c r="H2207" t="s">
        <v>19709</v>
      </c>
    </row>
    <row r="2208" spans="6:8">
      <c r="H2208" t="s">
        <v>20107</v>
      </c>
    </row>
    <row r="2209" spans="6:8">
      <c r="H2209" t="s">
        <v>20108</v>
      </c>
    </row>
    <row r="2210" spans="6:8">
      <c r="H2210" t="s">
        <v>19713</v>
      </c>
    </row>
    <row r="2211" spans="6:8">
      <c r="H2211" t="s">
        <v>19714</v>
      </c>
    </row>
    <row r="2212" spans="6:8">
      <c r="H2212" t="s">
        <v>20109</v>
      </c>
    </row>
    <row r="2213" spans="6:8">
      <c r="H2213" t="s">
        <v>20110</v>
      </c>
    </row>
    <row r="2214" spans="6:8">
      <c r="H2214" t="s">
        <v>20095</v>
      </c>
    </row>
    <row r="2215" spans="6:8">
      <c r="H2215" t="s">
        <v>20096</v>
      </c>
    </row>
    <row r="2216" spans="6:8">
      <c r="H2216" t="s">
        <v>20097</v>
      </c>
    </row>
    <row r="2217" spans="6:8">
      <c r="H2217" t="s">
        <v>20098</v>
      </c>
    </row>
    <row r="2218" spans="6:8">
      <c r="F2218" t="s">
        <v>10989</v>
      </c>
      <c r="G2218" t="s">
        <v>15380</v>
      </c>
      <c r="H2218" t="s">
        <v>20091</v>
      </c>
    </row>
    <row r="2219" spans="6:8">
      <c r="H2219" t="s">
        <v>19712</v>
      </c>
    </row>
    <row r="2220" spans="6:8">
      <c r="H2220" t="s">
        <v>19709</v>
      </c>
    </row>
    <row r="2221" spans="6:8">
      <c r="H2221" t="s">
        <v>20107</v>
      </c>
    </row>
    <row r="2222" spans="6:8">
      <c r="H2222" t="s">
        <v>20108</v>
      </c>
    </row>
    <row r="2223" spans="6:8">
      <c r="H2223" t="s">
        <v>19713</v>
      </c>
    </row>
    <row r="2224" spans="6:8">
      <c r="H2224" t="s">
        <v>19714</v>
      </c>
    </row>
    <row r="2225" spans="6:8">
      <c r="H2225" t="s">
        <v>20109</v>
      </c>
    </row>
    <row r="2226" spans="6:8">
      <c r="H2226" t="s">
        <v>20110</v>
      </c>
    </row>
    <row r="2227" spans="6:8">
      <c r="H2227" t="s">
        <v>20095</v>
      </c>
    </row>
    <row r="2228" spans="6:8">
      <c r="H2228" t="s">
        <v>20096</v>
      </c>
    </row>
    <row r="2229" spans="6:8">
      <c r="H2229" t="s">
        <v>20097</v>
      </c>
    </row>
    <row r="2230" spans="6:8">
      <c r="H2230" t="s">
        <v>20098</v>
      </c>
    </row>
    <row r="2231" spans="6:8">
      <c r="F2231" t="s">
        <v>10990</v>
      </c>
      <c r="G2231" t="s">
        <v>15381</v>
      </c>
      <c r="H2231" t="s">
        <v>20091</v>
      </c>
    </row>
    <row r="2232" spans="6:8">
      <c r="H2232" t="s">
        <v>19712</v>
      </c>
    </row>
    <row r="2233" spans="6:8">
      <c r="H2233" t="s">
        <v>19709</v>
      </c>
    </row>
    <row r="2234" spans="6:8">
      <c r="H2234" t="s">
        <v>20107</v>
      </c>
    </row>
    <row r="2235" spans="6:8">
      <c r="H2235" t="s">
        <v>20108</v>
      </c>
    </row>
    <row r="2236" spans="6:8">
      <c r="H2236" t="s">
        <v>19713</v>
      </c>
    </row>
    <row r="2237" spans="6:8">
      <c r="H2237" t="s">
        <v>19714</v>
      </c>
    </row>
    <row r="2238" spans="6:8">
      <c r="H2238" t="s">
        <v>20109</v>
      </c>
    </row>
    <row r="2239" spans="6:8">
      <c r="H2239" t="s">
        <v>20110</v>
      </c>
    </row>
    <row r="2240" spans="6:8">
      <c r="H2240" t="s">
        <v>20111</v>
      </c>
    </row>
    <row r="2241" spans="6:8">
      <c r="H2241" t="s">
        <v>20112</v>
      </c>
    </row>
    <row r="2242" spans="6:8">
      <c r="H2242" t="s">
        <v>20113</v>
      </c>
    </row>
    <row r="2243" spans="6:8">
      <c r="H2243" t="s">
        <v>20095</v>
      </c>
    </row>
    <row r="2244" spans="6:8">
      <c r="H2244" t="s">
        <v>20096</v>
      </c>
    </row>
    <row r="2245" spans="6:8">
      <c r="H2245" t="s">
        <v>20097</v>
      </c>
    </row>
    <row r="2246" spans="6:8">
      <c r="H2246" t="s">
        <v>20098</v>
      </c>
    </row>
    <row r="2247" spans="6:8">
      <c r="F2247" t="s">
        <v>10991</v>
      </c>
      <c r="G2247" t="s">
        <v>15382</v>
      </c>
      <c r="H2247" t="s">
        <v>20091</v>
      </c>
    </row>
    <row r="2248" spans="6:8">
      <c r="H2248" t="s">
        <v>19712</v>
      </c>
    </row>
    <row r="2249" spans="6:8">
      <c r="H2249" t="s">
        <v>20092</v>
      </c>
    </row>
    <row r="2250" spans="6:8">
      <c r="H2250" t="s">
        <v>20093</v>
      </c>
    </row>
    <row r="2251" spans="6:8">
      <c r="H2251" t="s">
        <v>20094</v>
      </c>
    </row>
    <row r="2252" spans="6:8">
      <c r="H2252" t="s">
        <v>20095</v>
      </c>
    </row>
    <row r="2253" spans="6:8">
      <c r="H2253" t="s">
        <v>20096</v>
      </c>
    </row>
    <row r="2254" spans="6:8">
      <c r="H2254" t="s">
        <v>20097</v>
      </c>
    </row>
    <row r="2255" spans="6:8">
      <c r="H2255" t="s">
        <v>20098</v>
      </c>
    </row>
    <row r="2256" spans="6:8">
      <c r="H2256" t="s">
        <v>20099</v>
      </c>
    </row>
    <row r="2257" spans="6:8">
      <c r="H2257" t="s">
        <v>20100</v>
      </c>
    </row>
    <row r="2258" spans="6:8">
      <c r="H2258" t="s">
        <v>20101</v>
      </c>
    </row>
    <row r="2259" spans="6:8">
      <c r="H2259" t="s">
        <v>20102</v>
      </c>
    </row>
    <row r="2260" spans="6:8">
      <c r="F2260" t="s">
        <v>10992</v>
      </c>
      <c r="G2260" t="s">
        <v>15383</v>
      </c>
      <c r="H2260" t="s">
        <v>20091</v>
      </c>
    </row>
    <row r="2261" spans="6:8">
      <c r="H2261" t="s">
        <v>19712</v>
      </c>
    </row>
    <row r="2262" spans="6:8">
      <c r="H2262" t="s">
        <v>20092</v>
      </c>
    </row>
    <row r="2263" spans="6:8">
      <c r="H2263" t="s">
        <v>20093</v>
      </c>
    </row>
    <row r="2264" spans="6:8">
      <c r="H2264" t="s">
        <v>20094</v>
      </c>
    </row>
    <row r="2265" spans="6:8">
      <c r="H2265" t="s">
        <v>20095</v>
      </c>
    </row>
    <row r="2266" spans="6:8">
      <c r="H2266" t="s">
        <v>20096</v>
      </c>
    </row>
    <row r="2267" spans="6:8">
      <c r="H2267" t="s">
        <v>20097</v>
      </c>
    </row>
    <row r="2268" spans="6:8">
      <c r="H2268" t="s">
        <v>20098</v>
      </c>
    </row>
    <row r="2269" spans="6:8">
      <c r="H2269" t="s">
        <v>20099</v>
      </c>
    </row>
    <row r="2270" spans="6:8">
      <c r="H2270" t="s">
        <v>20100</v>
      </c>
    </row>
    <row r="2271" spans="6:8">
      <c r="H2271" t="s">
        <v>20101</v>
      </c>
    </row>
    <row r="2272" spans="6:8">
      <c r="H2272" t="s">
        <v>20102</v>
      </c>
    </row>
    <row r="2273" spans="6:8">
      <c r="F2273" t="s">
        <v>10993</v>
      </c>
      <c r="G2273" t="s">
        <v>15384</v>
      </c>
      <c r="H2273" t="s">
        <v>20091</v>
      </c>
    </row>
    <row r="2274" spans="6:8">
      <c r="H2274" t="s">
        <v>19712</v>
      </c>
    </row>
    <row r="2275" spans="6:8">
      <c r="H2275" t="s">
        <v>19709</v>
      </c>
    </row>
    <row r="2276" spans="6:8">
      <c r="H2276" t="s">
        <v>20107</v>
      </c>
    </row>
    <row r="2277" spans="6:8">
      <c r="H2277" t="s">
        <v>20108</v>
      </c>
    </row>
    <row r="2278" spans="6:8">
      <c r="H2278" t="s">
        <v>19713</v>
      </c>
    </row>
    <row r="2279" spans="6:8">
      <c r="H2279" t="s">
        <v>19714</v>
      </c>
    </row>
    <row r="2280" spans="6:8">
      <c r="H2280" t="s">
        <v>20109</v>
      </c>
    </row>
    <row r="2281" spans="6:8">
      <c r="H2281" t="s">
        <v>20095</v>
      </c>
    </row>
    <row r="2282" spans="6:8">
      <c r="H2282" t="s">
        <v>20096</v>
      </c>
    </row>
    <row r="2283" spans="6:8">
      <c r="H2283" t="s">
        <v>20097</v>
      </c>
    </row>
    <row r="2284" spans="6:8">
      <c r="H2284" t="s">
        <v>20098</v>
      </c>
    </row>
    <row r="2285" spans="6:8">
      <c r="F2285" t="s">
        <v>10994</v>
      </c>
      <c r="G2285" t="s">
        <v>15385</v>
      </c>
      <c r="H2285" t="s">
        <v>20091</v>
      </c>
    </row>
    <row r="2286" spans="6:8">
      <c r="H2286" t="s">
        <v>19712</v>
      </c>
    </row>
    <row r="2287" spans="6:8">
      <c r="H2287" t="s">
        <v>19709</v>
      </c>
    </row>
    <row r="2288" spans="6:8">
      <c r="H2288" t="s">
        <v>20107</v>
      </c>
    </row>
    <row r="2289" spans="6:8">
      <c r="H2289" t="s">
        <v>20108</v>
      </c>
    </row>
    <row r="2290" spans="6:8">
      <c r="H2290" t="s">
        <v>19713</v>
      </c>
    </row>
    <row r="2291" spans="6:8">
      <c r="H2291" t="s">
        <v>19714</v>
      </c>
    </row>
    <row r="2292" spans="6:8">
      <c r="H2292" t="s">
        <v>20109</v>
      </c>
    </row>
    <row r="2293" spans="6:8">
      <c r="H2293" t="s">
        <v>20095</v>
      </c>
    </row>
    <row r="2294" spans="6:8">
      <c r="H2294" t="s">
        <v>20096</v>
      </c>
    </row>
    <row r="2295" spans="6:8">
      <c r="H2295" t="s">
        <v>20097</v>
      </c>
    </row>
    <row r="2296" spans="6:8">
      <c r="H2296" t="s">
        <v>20098</v>
      </c>
    </row>
    <row r="2297" spans="6:8">
      <c r="F2297" t="s">
        <v>10995</v>
      </c>
      <c r="G2297" t="s">
        <v>15386</v>
      </c>
      <c r="H2297" t="s">
        <v>20091</v>
      </c>
    </row>
    <row r="2298" spans="6:8">
      <c r="H2298" t="s">
        <v>20095</v>
      </c>
    </row>
    <row r="2299" spans="6:8">
      <c r="F2299" t="s">
        <v>10996</v>
      </c>
      <c r="G2299" t="s">
        <v>15387</v>
      </c>
      <c r="H2299" t="s">
        <v>20091</v>
      </c>
    </row>
    <row r="2300" spans="6:8">
      <c r="H2300" t="s">
        <v>20095</v>
      </c>
    </row>
    <row r="2301" spans="6:8">
      <c r="F2301" t="s">
        <v>10997</v>
      </c>
      <c r="G2301" t="s">
        <v>15388</v>
      </c>
      <c r="H2301" t="s">
        <v>20091</v>
      </c>
    </row>
    <row r="2302" spans="6:8">
      <c r="H2302" t="s">
        <v>19712</v>
      </c>
    </row>
    <row r="2303" spans="6:8">
      <c r="H2303" t="s">
        <v>19709</v>
      </c>
    </row>
    <row r="2304" spans="6:8">
      <c r="H2304" t="s">
        <v>19706</v>
      </c>
    </row>
    <row r="2305" spans="6:8">
      <c r="H2305" t="s">
        <v>20108</v>
      </c>
    </row>
    <row r="2306" spans="6:8">
      <c r="H2306" t="s">
        <v>19713</v>
      </c>
    </row>
    <row r="2307" spans="6:8">
      <c r="H2307" t="s">
        <v>19714</v>
      </c>
    </row>
    <row r="2308" spans="6:8">
      <c r="H2308" t="s">
        <v>20109</v>
      </c>
    </row>
    <row r="2309" spans="6:8">
      <c r="H2309" t="s">
        <v>20110</v>
      </c>
    </row>
    <row r="2310" spans="6:8">
      <c r="H2310" t="s">
        <v>20111</v>
      </c>
    </row>
    <row r="2311" spans="6:8">
      <c r="H2311" t="s">
        <v>20112</v>
      </c>
    </row>
    <row r="2312" spans="6:8">
      <c r="H2312" t="s">
        <v>20113</v>
      </c>
    </row>
    <row r="2313" spans="6:8">
      <c r="H2313" t="s">
        <v>20095</v>
      </c>
    </row>
    <row r="2314" spans="6:8">
      <c r="H2314" t="s">
        <v>20096</v>
      </c>
    </row>
    <row r="2315" spans="6:8">
      <c r="H2315" t="s">
        <v>20097</v>
      </c>
    </row>
    <row r="2316" spans="6:8">
      <c r="H2316" t="s">
        <v>20098</v>
      </c>
    </row>
    <row r="2317" spans="6:8">
      <c r="F2317" t="s">
        <v>10998</v>
      </c>
      <c r="G2317" t="s">
        <v>15389</v>
      </c>
      <c r="H2317" t="s">
        <v>20091</v>
      </c>
    </row>
    <row r="2318" spans="6:8">
      <c r="H2318" t="s">
        <v>19712</v>
      </c>
    </row>
    <row r="2319" spans="6:8">
      <c r="H2319" t="s">
        <v>20095</v>
      </c>
    </row>
    <row r="2320" spans="6:8">
      <c r="H2320" t="s">
        <v>20096</v>
      </c>
    </row>
    <row r="2321" spans="6:8">
      <c r="H2321" t="s">
        <v>20097</v>
      </c>
    </row>
    <row r="2322" spans="6:8">
      <c r="H2322" t="s">
        <v>20098</v>
      </c>
    </row>
    <row r="2323" spans="6:8">
      <c r="H2323" t="s">
        <v>19709</v>
      </c>
    </row>
    <row r="2324" spans="6:8">
      <c r="H2324" t="s">
        <v>19706</v>
      </c>
    </row>
    <row r="2325" spans="6:8">
      <c r="H2325" t="s">
        <v>20099</v>
      </c>
    </row>
    <row r="2326" spans="6:8">
      <c r="H2326" t="s">
        <v>20100</v>
      </c>
    </row>
    <row r="2327" spans="6:8">
      <c r="H2327" t="s">
        <v>20101</v>
      </c>
    </row>
    <row r="2328" spans="6:8">
      <c r="H2328" t="s">
        <v>20102</v>
      </c>
    </row>
    <row r="2329" spans="6:8">
      <c r="F2329" t="s">
        <v>10999</v>
      </c>
      <c r="G2329" t="s">
        <v>15390</v>
      </c>
      <c r="H2329" t="s">
        <v>20091</v>
      </c>
    </row>
    <row r="2330" spans="6:8">
      <c r="H2330" t="s">
        <v>19712</v>
      </c>
    </row>
    <row r="2331" spans="6:8">
      <c r="H2331" t="s">
        <v>20095</v>
      </c>
    </row>
    <row r="2332" spans="6:8">
      <c r="H2332" t="s">
        <v>20096</v>
      </c>
    </row>
    <row r="2333" spans="6:8">
      <c r="H2333" t="s">
        <v>20097</v>
      </c>
    </row>
    <row r="2334" spans="6:8">
      <c r="H2334" t="s">
        <v>20098</v>
      </c>
    </row>
    <row r="2335" spans="6:8">
      <c r="F2335" t="s">
        <v>11000</v>
      </c>
      <c r="G2335" t="s">
        <v>15391</v>
      </c>
      <c r="H2335" t="s">
        <v>20091</v>
      </c>
    </row>
    <row r="2336" spans="6:8">
      <c r="H2336" t="s">
        <v>19712</v>
      </c>
    </row>
    <row r="2337" spans="6:8">
      <c r="H2337" t="s">
        <v>20095</v>
      </c>
    </row>
    <row r="2338" spans="6:8">
      <c r="H2338" t="s">
        <v>20096</v>
      </c>
    </row>
    <row r="2339" spans="6:8">
      <c r="H2339" t="s">
        <v>20097</v>
      </c>
    </row>
    <row r="2340" spans="6:8">
      <c r="H2340" t="s">
        <v>20098</v>
      </c>
    </row>
    <row r="2341" spans="6:8">
      <c r="F2341" t="s">
        <v>11001</v>
      </c>
      <c r="G2341" t="s">
        <v>15392</v>
      </c>
      <c r="H2341" t="s">
        <v>20091</v>
      </c>
    </row>
    <row r="2342" spans="6:8">
      <c r="H2342" t="s">
        <v>19712</v>
      </c>
    </row>
    <row r="2343" spans="6:8">
      <c r="H2343" t="s">
        <v>20095</v>
      </c>
    </row>
    <row r="2344" spans="6:8">
      <c r="H2344" t="s">
        <v>20096</v>
      </c>
    </row>
    <row r="2345" spans="6:8">
      <c r="H2345" t="s">
        <v>20097</v>
      </c>
    </row>
    <row r="2346" spans="6:8">
      <c r="H2346" t="s">
        <v>20098</v>
      </c>
    </row>
    <row r="2347" spans="6:8">
      <c r="F2347" t="s">
        <v>11002</v>
      </c>
      <c r="G2347" t="s">
        <v>15393</v>
      </c>
      <c r="H2347" t="s">
        <v>20091</v>
      </c>
    </row>
    <row r="2348" spans="6:8">
      <c r="H2348" t="s">
        <v>19712</v>
      </c>
    </row>
    <row r="2349" spans="6:8">
      <c r="H2349" t="s">
        <v>20095</v>
      </c>
    </row>
    <row r="2350" spans="6:8">
      <c r="H2350" t="s">
        <v>20096</v>
      </c>
    </row>
    <row r="2351" spans="6:8">
      <c r="H2351" t="s">
        <v>20097</v>
      </c>
    </row>
    <row r="2352" spans="6:8">
      <c r="H2352" t="s">
        <v>20098</v>
      </c>
    </row>
    <row r="2353" spans="6:8">
      <c r="F2353" t="s">
        <v>11003</v>
      </c>
      <c r="G2353" t="s">
        <v>15394</v>
      </c>
      <c r="H2353" t="s">
        <v>20091</v>
      </c>
    </row>
    <row r="2354" spans="6:8">
      <c r="H2354" t="s">
        <v>19712</v>
      </c>
    </row>
    <row r="2355" spans="6:8">
      <c r="H2355" t="s">
        <v>19709</v>
      </c>
    </row>
    <row r="2356" spans="6:8">
      <c r="H2356" t="s">
        <v>20107</v>
      </c>
    </row>
    <row r="2357" spans="6:8">
      <c r="H2357" t="s">
        <v>20108</v>
      </c>
    </row>
    <row r="2358" spans="6:8">
      <c r="H2358" t="s">
        <v>19713</v>
      </c>
    </row>
    <row r="2359" spans="6:8">
      <c r="H2359" t="s">
        <v>19714</v>
      </c>
    </row>
    <row r="2360" spans="6:8">
      <c r="H2360" t="s">
        <v>20109</v>
      </c>
    </row>
    <row r="2361" spans="6:8">
      <c r="H2361" t="s">
        <v>20110</v>
      </c>
    </row>
    <row r="2362" spans="6:8">
      <c r="H2362" t="s">
        <v>20111</v>
      </c>
    </row>
    <row r="2363" spans="6:8">
      <c r="H2363" t="s">
        <v>20112</v>
      </c>
    </row>
    <row r="2364" spans="6:8">
      <c r="H2364" t="s">
        <v>20095</v>
      </c>
    </row>
    <row r="2365" spans="6:8">
      <c r="H2365" t="s">
        <v>20096</v>
      </c>
    </row>
    <row r="2366" spans="6:8">
      <c r="H2366" t="s">
        <v>20097</v>
      </c>
    </row>
    <row r="2367" spans="6:8">
      <c r="H2367" t="s">
        <v>20098</v>
      </c>
    </row>
    <row r="2368" spans="6:8">
      <c r="F2368" t="s">
        <v>11004</v>
      </c>
      <c r="G2368" t="s">
        <v>15395</v>
      </c>
      <c r="H2368" t="s">
        <v>20091</v>
      </c>
    </row>
    <row r="2369" spans="6:8">
      <c r="H2369" t="s">
        <v>19712</v>
      </c>
    </row>
    <row r="2370" spans="6:8">
      <c r="H2370" t="s">
        <v>19709</v>
      </c>
    </row>
    <row r="2371" spans="6:8">
      <c r="H2371" t="s">
        <v>19706</v>
      </c>
    </row>
    <row r="2372" spans="6:8">
      <c r="H2372" t="s">
        <v>20107</v>
      </c>
    </row>
    <row r="2373" spans="6:8">
      <c r="H2373" t="s">
        <v>20108</v>
      </c>
    </row>
    <row r="2374" spans="6:8">
      <c r="H2374" t="s">
        <v>19713</v>
      </c>
    </row>
    <row r="2375" spans="6:8">
      <c r="H2375" t="s">
        <v>19714</v>
      </c>
    </row>
    <row r="2376" spans="6:8">
      <c r="H2376" t="s">
        <v>20109</v>
      </c>
    </row>
    <row r="2377" spans="6:8">
      <c r="H2377" t="s">
        <v>20095</v>
      </c>
    </row>
    <row r="2378" spans="6:8">
      <c r="H2378" t="s">
        <v>20096</v>
      </c>
    </row>
    <row r="2379" spans="6:8">
      <c r="H2379" t="s">
        <v>20097</v>
      </c>
    </row>
    <row r="2380" spans="6:8">
      <c r="H2380" t="s">
        <v>20098</v>
      </c>
    </row>
    <row r="2381" spans="6:8">
      <c r="F2381" t="s">
        <v>11005</v>
      </c>
      <c r="G2381" t="s">
        <v>15396</v>
      </c>
      <c r="H2381" t="s">
        <v>20091</v>
      </c>
    </row>
    <row r="2382" spans="6:8">
      <c r="H2382" t="s">
        <v>19712</v>
      </c>
    </row>
    <row r="2383" spans="6:8">
      <c r="H2383" t="s">
        <v>19709</v>
      </c>
    </row>
    <row r="2384" spans="6:8">
      <c r="H2384" t="s">
        <v>20107</v>
      </c>
    </row>
    <row r="2385" spans="6:8">
      <c r="H2385" t="s">
        <v>20108</v>
      </c>
    </row>
    <row r="2386" spans="6:8">
      <c r="H2386" t="s">
        <v>19713</v>
      </c>
    </row>
    <row r="2387" spans="6:8">
      <c r="H2387" t="s">
        <v>19714</v>
      </c>
    </row>
    <row r="2388" spans="6:8">
      <c r="H2388" t="s">
        <v>20109</v>
      </c>
    </row>
    <row r="2389" spans="6:8">
      <c r="H2389" t="s">
        <v>20110</v>
      </c>
    </row>
    <row r="2390" spans="6:8">
      <c r="H2390" t="s">
        <v>20111</v>
      </c>
    </row>
    <row r="2391" spans="6:8">
      <c r="H2391" t="s">
        <v>20112</v>
      </c>
    </row>
    <row r="2392" spans="6:8">
      <c r="H2392" t="s">
        <v>20113</v>
      </c>
    </row>
    <row r="2393" spans="6:8">
      <c r="H2393" t="s">
        <v>20095</v>
      </c>
    </row>
    <row r="2394" spans="6:8">
      <c r="H2394" t="s">
        <v>20096</v>
      </c>
    </row>
    <row r="2395" spans="6:8">
      <c r="H2395" t="s">
        <v>20097</v>
      </c>
    </row>
    <row r="2396" spans="6:8">
      <c r="H2396" t="s">
        <v>20098</v>
      </c>
    </row>
    <row r="2397" spans="6:8">
      <c r="F2397" t="s">
        <v>11006</v>
      </c>
      <c r="G2397" t="s">
        <v>15397</v>
      </c>
      <c r="H2397" t="s">
        <v>20091</v>
      </c>
    </row>
    <row r="2398" spans="6:8">
      <c r="H2398" t="s">
        <v>19712</v>
      </c>
    </row>
    <row r="2399" spans="6:8">
      <c r="H2399" t="s">
        <v>19709</v>
      </c>
    </row>
    <row r="2400" spans="6:8">
      <c r="H2400" t="s">
        <v>20092</v>
      </c>
    </row>
    <row r="2401" spans="6:8">
      <c r="H2401" t="s">
        <v>20093</v>
      </c>
    </row>
    <row r="2402" spans="6:8">
      <c r="H2402" t="s">
        <v>20095</v>
      </c>
    </row>
    <row r="2403" spans="6:8">
      <c r="H2403" t="s">
        <v>20096</v>
      </c>
    </row>
    <row r="2404" spans="6:8">
      <c r="H2404" t="s">
        <v>20097</v>
      </c>
    </row>
    <row r="2405" spans="6:8">
      <c r="H2405" t="s">
        <v>20098</v>
      </c>
    </row>
    <row r="2406" spans="6:8">
      <c r="H2406" t="s">
        <v>20099</v>
      </c>
    </row>
    <row r="2407" spans="6:8">
      <c r="H2407" t="s">
        <v>20100</v>
      </c>
    </row>
    <row r="2408" spans="6:8">
      <c r="F2408" t="s">
        <v>11007</v>
      </c>
      <c r="G2408" t="s">
        <v>15398</v>
      </c>
      <c r="H2408" t="s">
        <v>20091</v>
      </c>
    </row>
    <row r="2409" spans="6:8">
      <c r="H2409" t="s">
        <v>19712</v>
      </c>
    </row>
    <row r="2410" spans="6:8">
      <c r="H2410" t="s">
        <v>20095</v>
      </c>
    </row>
    <row r="2411" spans="6:8">
      <c r="H2411" t="s">
        <v>20096</v>
      </c>
    </row>
    <row r="2412" spans="6:8">
      <c r="H2412" t="s">
        <v>20097</v>
      </c>
    </row>
    <row r="2413" spans="6:8">
      <c r="H2413" t="s">
        <v>19709</v>
      </c>
    </row>
    <row r="2414" spans="6:8">
      <c r="H2414" t="s">
        <v>19706</v>
      </c>
    </row>
    <row r="2415" spans="6:8">
      <c r="H2415" t="s">
        <v>20098</v>
      </c>
    </row>
    <row r="2416" spans="6:8">
      <c r="H2416" t="s">
        <v>20099</v>
      </c>
    </row>
    <row r="2417" spans="6:8">
      <c r="H2417" t="s">
        <v>20100</v>
      </c>
    </row>
    <row r="2418" spans="6:8">
      <c r="F2418" t="s">
        <v>11008</v>
      </c>
      <c r="G2418" t="s">
        <v>15399</v>
      </c>
      <c r="H2418" t="s">
        <v>20091</v>
      </c>
    </row>
    <row r="2419" spans="6:8">
      <c r="H2419" t="s">
        <v>19712</v>
      </c>
    </row>
    <row r="2420" spans="6:8">
      <c r="H2420" t="s">
        <v>20095</v>
      </c>
    </row>
    <row r="2421" spans="6:8">
      <c r="H2421" t="s">
        <v>20096</v>
      </c>
    </row>
    <row r="2422" spans="6:8">
      <c r="H2422" t="s">
        <v>20097</v>
      </c>
    </row>
    <row r="2423" spans="6:8">
      <c r="F2423" t="s">
        <v>11009</v>
      </c>
      <c r="G2423" t="s">
        <v>15400</v>
      </c>
      <c r="H2423" t="s">
        <v>20091</v>
      </c>
    </row>
    <row r="2424" spans="6:8">
      <c r="H2424" t="s">
        <v>19712</v>
      </c>
    </row>
    <row r="2425" spans="6:8">
      <c r="H2425" t="s">
        <v>20095</v>
      </c>
    </row>
    <row r="2426" spans="6:8">
      <c r="H2426" t="s">
        <v>20096</v>
      </c>
    </row>
    <row r="2427" spans="6:8">
      <c r="H2427" t="s">
        <v>20097</v>
      </c>
    </row>
    <row r="2428" spans="6:8">
      <c r="F2428" t="s">
        <v>11010</v>
      </c>
      <c r="G2428" t="s">
        <v>15401</v>
      </c>
      <c r="H2428" t="s">
        <v>20091</v>
      </c>
    </row>
    <row r="2429" spans="6:8">
      <c r="H2429" t="s">
        <v>19712</v>
      </c>
    </row>
    <row r="2430" spans="6:8">
      <c r="H2430" t="s">
        <v>20095</v>
      </c>
    </row>
    <row r="2431" spans="6:8">
      <c r="H2431" t="s">
        <v>20096</v>
      </c>
    </row>
    <row r="2432" spans="6:8">
      <c r="H2432" t="s">
        <v>20097</v>
      </c>
    </row>
    <row r="2433" spans="6:8">
      <c r="F2433" t="s">
        <v>11011</v>
      </c>
      <c r="G2433" t="s">
        <v>15402</v>
      </c>
      <c r="H2433" t="s">
        <v>20091</v>
      </c>
    </row>
    <row r="2434" spans="6:8">
      <c r="H2434" t="s">
        <v>19712</v>
      </c>
    </row>
    <row r="2435" spans="6:8">
      <c r="H2435" t="s">
        <v>20095</v>
      </c>
    </row>
    <row r="2436" spans="6:8">
      <c r="H2436" t="s">
        <v>20096</v>
      </c>
    </row>
    <row r="2437" spans="6:8">
      <c r="H2437" t="s">
        <v>20097</v>
      </c>
    </row>
    <row r="2438" spans="6:8">
      <c r="F2438" t="s">
        <v>11012</v>
      </c>
      <c r="G2438" t="s">
        <v>15403</v>
      </c>
      <c r="H2438" t="s">
        <v>20091</v>
      </c>
    </row>
    <row r="2439" spans="6:8">
      <c r="H2439" t="s">
        <v>19712</v>
      </c>
    </row>
    <row r="2440" spans="6:8">
      <c r="H2440" t="s">
        <v>19709</v>
      </c>
    </row>
    <row r="2441" spans="6:8">
      <c r="H2441" t="s">
        <v>20107</v>
      </c>
    </row>
    <row r="2442" spans="6:8">
      <c r="H2442" t="s">
        <v>20108</v>
      </c>
    </row>
    <row r="2443" spans="6:8">
      <c r="H2443" t="s">
        <v>19713</v>
      </c>
    </row>
    <row r="2444" spans="6:8">
      <c r="H2444" t="s">
        <v>19714</v>
      </c>
    </row>
    <row r="2445" spans="6:8">
      <c r="H2445" t="s">
        <v>20109</v>
      </c>
    </row>
    <row r="2446" spans="6:8">
      <c r="H2446" t="s">
        <v>20110</v>
      </c>
    </row>
    <row r="2447" spans="6:8">
      <c r="H2447" t="s">
        <v>20111</v>
      </c>
    </row>
    <row r="2448" spans="6:8">
      <c r="H2448" t="s">
        <v>20112</v>
      </c>
    </row>
    <row r="2449" spans="6:8">
      <c r="H2449" t="s">
        <v>20113</v>
      </c>
    </row>
    <row r="2450" spans="6:8">
      <c r="H2450" t="s">
        <v>20114</v>
      </c>
    </row>
    <row r="2451" spans="6:8">
      <c r="H2451" t="s">
        <v>20095</v>
      </c>
    </row>
    <row r="2452" spans="6:8">
      <c r="H2452" t="s">
        <v>20096</v>
      </c>
    </row>
    <row r="2453" spans="6:8">
      <c r="H2453" t="s">
        <v>20097</v>
      </c>
    </row>
    <row r="2454" spans="6:8">
      <c r="H2454" t="s">
        <v>20098</v>
      </c>
    </row>
    <row r="2455" spans="6:8">
      <c r="F2455" t="s">
        <v>11013</v>
      </c>
      <c r="G2455" t="s">
        <v>15404</v>
      </c>
      <c r="H2455" t="s">
        <v>20091</v>
      </c>
    </row>
    <row r="2456" spans="6:8">
      <c r="H2456" t="s">
        <v>19712</v>
      </c>
    </row>
    <row r="2457" spans="6:8">
      <c r="H2457" t="s">
        <v>19709</v>
      </c>
    </row>
    <row r="2458" spans="6:8">
      <c r="H2458" t="s">
        <v>20095</v>
      </c>
    </row>
    <row r="2459" spans="6:8">
      <c r="H2459" t="s">
        <v>20096</v>
      </c>
    </row>
    <row r="2460" spans="6:8">
      <c r="H2460" t="s">
        <v>20097</v>
      </c>
    </row>
    <row r="2461" spans="6:8">
      <c r="H2461" t="s">
        <v>20098</v>
      </c>
    </row>
    <row r="2462" spans="6:8">
      <c r="F2462" t="s">
        <v>11014</v>
      </c>
      <c r="G2462" t="s">
        <v>15405</v>
      </c>
      <c r="H2462" t="s">
        <v>20091</v>
      </c>
    </row>
    <row r="2463" spans="6:8">
      <c r="H2463" t="s">
        <v>19712</v>
      </c>
    </row>
    <row r="2464" spans="6:8">
      <c r="H2464" t="s">
        <v>19709</v>
      </c>
    </row>
    <row r="2465" spans="6:8">
      <c r="H2465" t="s">
        <v>19706</v>
      </c>
    </row>
    <row r="2466" spans="6:8">
      <c r="H2466" t="s">
        <v>20095</v>
      </c>
    </row>
    <row r="2467" spans="6:8">
      <c r="H2467" t="s">
        <v>20098</v>
      </c>
    </row>
    <row r="2468" spans="6:8">
      <c r="F2468" t="s">
        <v>11015</v>
      </c>
      <c r="G2468" t="s">
        <v>15406</v>
      </c>
      <c r="H2468" t="s">
        <v>20091</v>
      </c>
    </row>
    <row r="2469" spans="6:8">
      <c r="H2469" t="s">
        <v>19712</v>
      </c>
    </row>
    <row r="2470" spans="6:8">
      <c r="H2470" t="s">
        <v>19709</v>
      </c>
    </row>
    <row r="2471" spans="6:8">
      <c r="H2471" t="s">
        <v>19706</v>
      </c>
    </row>
    <row r="2472" spans="6:8">
      <c r="H2472" t="s">
        <v>20095</v>
      </c>
    </row>
    <row r="2473" spans="6:8">
      <c r="H2473" t="s">
        <v>20098</v>
      </c>
    </row>
    <row r="2474" spans="6:8">
      <c r="F2474" t="s">
        <v>11016</v>
      </c>
      <c r="G2474" t="s">
        <v>15407</v>
      </c>
      <c r="H2474" t="s">
        <v>20091</v>
      </c>
    </row>
    <row r="2475" spans="6:8">
      <c r="H2475" t="s">
        <v>19712</v>
      </c>
    </row>
    <row r="2476" spans="6:8">
      <c r="H2476" t="s">
        <v>19709</v>
      </c>
    </row>
    <row r="2477" spans="6:8">
      <c r="H2477" t="s">
        <v>19706</v>
      </c>
    </row>
    <row r="2478" spans="6:8">
      <c r="H2478" t="s">
        <v>19707</v>
      </c>
    </row>
    <row r="2479" spans="6:8">
      <c r="H2479" t="s">
        <v>20095</v>
      </c>
    </row>
    <row r="2480" spans="6:8">
      <c r="H2480" t="s">
        <v>20098</v>
      </c>
    </row>
    <row r="2481" spans="6:8">
      <c r="F2481" t="s">
        <v>11017</v>
      </c>
      <c r="G2481" t="s">
        <v>15408</v>
      </c>
      <c r="H2481" t="s">
        <v>20091</v>
      </c>
    </row>
    <row r="2482" spans="6:8">
      <c r="H2482" t="s">
        <v>19712</v>
      </c>
    </row>
    <row r="2483" spans="6:8">
      <c r="H2483" t="s">
        <v>19709</v>
      </c>
    </row>
    <row r="2484" spans="6:8">
      <c r="H2484" t="s">
        <v>19706</v>
      </c>
    </row>
    <row r="2485" spans="6:8">
      <c r="H2485" t="s">
        <v>20095</v>
      </c>
    </row>
    <row r="2486" spans="6:8">
      <c r="H2486" t="s">
        <v>20096</v>
      </c>
    </row>
    <row r="2487" spans="6:8">
      <c r="H2487" t="s">
        <v>20097</v>
      </c>
    </row>
    <row r="2488" spans="6:8">
      <c r="H2488" t="s">
        <v>20098</v>
      </c>
    </row>
    <row r="2489" spans="6:8">
      <c r="F2489" t="s">
        <v>11018</v>
      </c>
      <c r="G2489" t="s">
        <v>15409</v>
      </c>
      <c r="H2489" t="s">
        <v>20091</v>
      </c>
    </row>
    <row r="2490" spans="6:8">
      <c r="H2490" t="s">
        <v>19712</v>
      </c>
    </row>
    <row r="2491" spans="6:8">
      <c r="H2491" t="s">
        <v>19709</v>
      </c>
    </row>
    <row r="2492" spans="6:8">
      <c r="H2492" t="s">
        <v>20095</v>
      </c>
    </row>
    <row r="2493" spans="6:8">
      <c r="H2493" t="s">
        <v>20096</v>
      </c>
    </row>
    <row r="2494" spans="6:8">
      <c r="H2494" t="s">
        <v>20097</v>
      </c>
    </row>
    <row r="2495" spans="6:8">
      <c r="H2495" t="s">
        <v>20098</v>
      </c>
    </row>
    <row r="2496" spans="6:8">
      <c r="F2496" t="s">
        <v>11019</v>
      </c>
      <c r="G2496" t="s">
        <v>15410</v>
      </c>
      <c r="H2496" t="s">
        <v>20091</v>
      </c>
    </row>
    <row r="2497" spans="6:8">
      <c r="H2497" t="s">
        <v>19712</v>
      </c>
    </row>
    <row r="2498" spans="6:8">
      <c r="H2498" t="s">
        <v>19709</v>
      </c>
    </row>
    <row r="2499" spans="6:8">
      <c r="H2499" t="s">
        <v>20107</v>
      </c>
    </row>
    <row r="2500" spans="6:8">
      <c r="H2500" t="s">
        <v>20108</v>
      </c>
    </row>
    <row r="2501" spans="6:8">
      <c r="H2501" t="s">
        <v>19713</v>
      </c>
    </row>
    <row r="2502" spans="6:8">
      <c r="H2502" t="s">
        <v>19714</v>
      </c>
    </row>
    <row r="2503" spans="6:8">
      <c r="H2503" t="s">
        <v>20109</v>
      </c>
    </row>
    <row r="2504" spans="6:8">
      <c r="H2504" t="s">
        <v>20110</v>
      </c>
    </row>
    <row r="2505" spans="6:8">
      <c r="H2505" t="s">
        <v>20095</v>
      </c>
    </row>
    <row r="2506" spans="6:8">
      <c r="H2506" t="s">
        <v>20096</v>
      </c>
    </row>
    <row r="2507" spans="6:8">
      <c r="H2507" t="s">
        <v>20097</v>
      </c>
    </row>
    <row r="2508" spans="6:8">
      <c r="H2508" t="s">
        <v>20098</v>
      </c>
    </row>
    <row r="2509" spans="6:8">
      <c r="H2509" t="s">
        <v>20099</v>
      </c>
    </row>
    <row r="2510" spans="6:8">
      <c r="F2510" t="s">
        <v>11020</v>
      </c>
      <c r="G2510" t="s">
        <v>15411</v>
      </c>
      <c r="H2510" t="s">
        <v>20091</v>
      </c>
    </row>
    <row r="2511" spans="6:8">
      <c r="H2511" t="s">
        <v>19712</v>
      </c>
    </row>
    <row r="2512" spans="6:8">
      <c r="H2512" t="s">
        <v>19709</v>
      </c>
    </row>
    <row r="2513" spans="6:8">
      <c r="H2513" t="s">
        <v>20107</v>
      </c>
    </row>
    <row r="2514" spans="6:8">
      <c r="H2514" t="s">
        <v>20108</v>
      </c>
    </row>
    <row r="2515" spans="6:8">
      <c r="H2515" t="s">
        <v>19713</v>
      </c>
    </row>
    <row r="2516" spans="6:8">
      <c r="H2516" t="s">
        <v>19714</v>
      </c>
    </row>
    <row r="2517" spans="6:8">
      <c r="H2517" t="s">
        <v>20109</v>
      </c>
    </row>
    <row r="2518" spans="6:8">
      <c r="H2518" t="s">
        <v>20110</v>
      </c>
    </row>
    <row r="2519" spans="6:8">
      <c r="H2519" t="s">
        <v>20095</v>
      </c>
    </row>
    <row r="2520" spans="6:8">
      <c r="H2520" t="s">
        <v>20096</v>
      </c>
    </row>
    <row r="2521" spans="6:8">
      <c r="H2521" t="s">
        <v>20097</v>
      </c>
    </row>
    <row r="2522" spans="6:8">
      <c r="H2522" t="s">
        <v>20098</v>
      </c>
    </row>
    <row r="2523" spans="6:8">
      <c r="F2523" t="s">
        <v>11021</v>
      </c>
      <c r="G2523" t="s">
        <v>15412</v>
      </c>
      <c r="H2523" t="s">
        <v>20091</v>
      </c>
    </row>
    <row r="2524" spans="6:8">
      <c r="H2524" t="s">
        <v>19712</v>
      </c>
    </row>
    <row r="2525" spans="6:8">
      <c r="H2525" t="s">
        <v>19709</v>
      </c>
    </row>
    <row r="2526" spans="6:8">
      <c r="H2526" t="s">
        <v>20107</v>
      </c>
    </row>
    <row r="2527" spans="6:8">
      <c r="H2527" t="s">
        <v>20108</v>
      </c>
    </row>
    <row r="2528" spans="6:8">
      <c r="H2528" t="s">
        <v>19713</v>
      </c>
    </row>
    <row r="2529" spans="6:8">
      <c r="H2529" t="s">
        <v>19714</v>
      </c>
    </row>
    <row r="2530" spans="6:8">
      <c r="H2530" t="s">
        <v>20109</v>
      </c>
    </row>
    <row r="2531" spans="6:8">
      <c r="H2531" t="s">
        <v>20110</v>
      </c>
    </row>
    <row r="2532" spans="6:8">
      <c r="H2532" t="s">
        <v>20095</v>
      </c>
    </row>
    <row r="2533" spans="6:8">
      <c r="H2533" t="s">
        <v>20096</v>
      </c>
    </row>
    <row r="2534" spans="6:8">
      <c r="H2534" t="s">
        <v>20097</v>
      </c>
    </row>
    <row r="2535" spans="6:8">
      <c r="H2535" t="s">
        <v>20098</v>
      </c>
    </row>
    <row r="2536" spans="6:8">
      <c r="H2536" t="s">
        <v>20099</v>
      </c>
    </row>
    <row r="2537" spans="6:8">
      <c r="F2537" t="s">
        <v>11022</v>
      </c>
      <c r="G2537" t="s">
        <v>15413</v>
      </c>
      <c r="H2537" t="s">
        <v>20091</v>
      </c>
    </row>
    <row r="2538" spans="6:8">
      <c r="H2538" t="s">
        <v>19712</v>
      </c>
    </row>
    <row r="2539" spans="6:8">
      <c r="H2539" t="s">
        <v>19709</v>
      </c>
    </row>
    <row r="2540" spans="6:8">
      <c r="H2540" t="s">
        <v>20107</v>
      </c>
    </row>
    <row r="2541" spans="6:8">
      <c r="H2541" t="s">
        <v>20108</v>
      </c>
    </row>
    <row r="2542" spans="6:8">
      <c r="H2542" t="s">
        <v>19713</v>
      </c>
    </row>
    <row r="2543" spans="6:8">
      <c r="H2543" t="s">
        <v>19714</v>
      </c>
    </row>
    <row r="2544" spans="6:8">
      <c r="H2544" t="s">
        <v>20109</v>
      </c>
    </row>
    <row r="2545" spans="6:8">
      <c r="H2545" t="s">
        <v>20110</v>
      </c>
    </row>
    <row r="2546" spans="6:8">
      <c r="H2546" t="s">
        <v>20111</v>
      </c>
    </row>
    <row r="2547" spans="6:8">
      <c r="H2547" t="s">
        <v>20112</v>
      </c>
    </row>
    <row r="2548" spans="6:8">
      <c r="H2548" t="s">
        <v>20113</v>
      </c>
    </row>
    <row r="2549" spans="6:8">
      <c r="H2549" t="s">
        <v>20095</v>
      </c>
    </row>
    <row r="2550" spans="6:8">
      <c r="H2550" t="s">
        <v>20096</v>
      </c>
    </row>
    <row r="2551" spans="6:8">
      <c r="H2551" t="s">
        <v>20097</v>
      </c>
    </row>
    <row r="2552" spans="6:8">
      <c r="H2552" t="s">
        <v>20098</v>
      </c>
    </row>
    <row r="2553" spans="6:8">
      <c r="F2553" t="s">
        <v>11023</v>
      </c>
      <c r="G2553" t="s">
        <v>15414</v>
      </c>
      <c r="H2553" t="s">
        <v>20091</v>
      </c>
    </row>
    <row r="2554" spans="6:8">
      <c r="H2554" t="s">
        <v>19712</v>
      </c>
    </row>
    <row r="2555" spans="6:8">
      <c r="H2555" t="s">
        <v>20092</v>
      </c>
    </row>
    <row r="2556" spans="6:8">
      <c r="H2556" t="s">
        <v>20093</v>
      </c>
    </row>
    <row r="2557" spans="6:8">
      <c r="H2557" t="s">
        <v>20094</v>
      </c>
    </row>
    <row r="2558" spans="6:8">
      <c r="H2558" t="s">
        <v>20095</v>
      </c>
    </row>
    <row r="2559" spans="6:8">
      <c r="H2559" t="s">
        <v>20096</v>
      </c>
    </row>
    <row r="2560" spans="6:8">
      <c r="H2560" t="s">
        <v>20097</v>
      </c>
    </row>
    <row r="2561" spans="6:8">
      <c r="H2561" t="s">
        <v>20098</v>
      </c>
    </row>
    <row r="2562" spans="6:8">
      <c r="H2562" t="s">
        <v>20099</v>
      </c>
    </row>
    <row r="2563" spans="6:8">
      <c r="H2563" t="s">
        <v>20100</v>
      </c>
    </row>
    <row r="2564" spans="6:8">
      <c r="H2564" t="s">
        <v>20101</v>
      </c>
    </row>
    <row r="2565" spans="6:8">
      <c r="H2565" t="s">
        <v>20102</v>
      </c>
    </row>
    <row r="2566" spans="6:8">
      <c r="F2566" t="s">
        <v>11024</v>
      </c>
      <c r="G2566" t="s">
        <v>15415</v>
      </c>
      <c r="H2566" t="s">
        <v>20091</v>
      </c>
    </row>
    <row r="2567" spans="6:8">
      <c r="H2567" t="s">
        <v>19712</v>
      </c>
    </row>
    <row r="2568" spans="6:8">
      <c r="H2568" t="s">
        <v>20092</v>
      </c>
    </row>
    <row r="2569" spans="6:8">
      <c r="H2569" t="s">
        <v>20093</v>
      </c>
    </row>
    <row r="2570" spans="6:8">
      <c r="H2570" t="s">
        <v>20094</v>
      </c>
    </row>
    <row r="2571" spans="6:8">
      <c r="H2571" t="s">
        <v>20095</v>
      </c>
    </row>
    <row r="2572" spans="6:8">
      <c r="H2572" t="s">
        <v>20096</v>
      </c>
    </row>
    <row r="2573" spans="6:8">
      <c r="H2573" t="s">
        <v>20097</v>
      </c>
    </row>
    <row r="2574" spans="6:8">
      <c r="H2574" t="s">
        <v>20098</v>
      </c>
    </row>
    <row r="2575" spans="6:8">
      <c r="H2575" t="s">
        <v>20099</v>
      </c>
    </row>
    <row r="2576" spans="6:8">
      <c r="H2576" t="s">
        <v>20100</v>
      </c>
    </row>
    <row r="2577" spans="6:8">
      <c r="H2577" t="s">
        <v>20101</v>
      </c>
    </row>
    <row r="2578" spans="6:8">
      <c r="H2578" t="s">
        <v>20102</v>
      </c>
    </row>
    <row r="2579" spans="6:8">
      <c r="F2579" t="s">
        <v>11025</v>
      </c>
      <c r="G2579" t="s">
        <v>15416</v>
      </c>
      <c r="H2579" t="s">
        <v>20091</v>
      </c>
    </row>
    <row r="2580" spans="6:8">
      <c r="H2580" t="s">
        <v>19712</v>
      </c>
    </row>
    <row r="2581" spans="6:8">
      <c r="H2581" t="s">
        <v>19709</v>
      </c>
    </row>
    <row r="2582" spans="6:8">
      <c r="H2582" t="s">
        <v>20107</v>
      </c>
    </row>
    <row r="2583" spans="6:8">
      <c r="H2583" t="s">
        <v>20108</v>
      </c>
    </row>
    <row r="2584" spans="6:8">
      <c r="H2584" t="s">
        <v>19713</v>
      </c>
    </row>
    <row r="2585" spans="6:8">
      <c r="H2585" t="s">
        <v>19714</v>
      </c>
    </row>
    <row r="2586" spans="6:8">
      <c r="H2586" t="s">
        <v>20109</v>
      </c>
    </row>
    <row r="2587" spans="6:8">
      <c r="H2587" t="s">
        <v>20095</v>
      </c>
    </row>
    <row r="2588" spans="6:8">
      <c r="H2588" t="s">
        <v>20096</v>
      </c>
    </row>
    <row r="2589" spans="6:8">
      <c r="H2589" t="s">
        <v>20097</v>
      </c>
    </row>
    <row r="2590" spans="6:8">
      <c r="H2590" t="s">
        <v>20098</v>
      </c>
    </row>
    <row r="2591" spans="6:8">
      <c r="F2591" t="s">
        <v>11026</v>
      </c>
      <c r="G2591" t="s">
        <v>15417</v>
      </c>
      <c r="H2591" t="s">
        <v>20091</v>
      </c>
    </row>
    <row r="2592" spans="6:8">
      <c r="H2592" t="s">
        <v>19712</v>
      </c>
    </row>
    <row r="2593" spans="6:8">
      <c r="H2593" t="s">
        <v>19709</v>
      </c>
    </row>
    <row r="2594" spans="6:8">
      <c r="H2594" t="s">
        <v>20107</v>
      </c>
    </row>
    <row r="2595" spans="6:8">
      <c r="H2595" t="s">
        <v>20108</v>
      </c>
    </row>
    <row r="2596" spans="6:8">
      <c r="H2596" t="s">
        <v>19713</v>
      </c>
    </row>
    <row r="2597" spans="6:8">
      <c r="H2597" t="s">
        <v>19714</v>
      </c>
    </row>
    <row r="2598" spans="6:8">
      <c r="H2598" t="s">
        <v>20109</v>
      </c>
    </row>
    <row r="2599" spans="6:8">
      <c r="H2599" t="s">
        <v>20095</v>
      </c>
    </row>
    <row r="2600" spans="6:8">
      <c r="H2600" t="s">
        <v>20096</v>
      </c>
    </row>
    <row r="2601" spans="6:8">
      <c r="H2601" t="s">
        <v>20097</v>
      </c>
    </row>
    <row r="2602" spans="6:8">
      <c r="H2602" t="s">
        <v>20098</v>
      </c>
    </row>
    <row r="2603" spans="6:8">
      <c r="F2603" t="s">
        <v>11027</v>
      </c>
      <c r="G2603" t="s">
        <v>15418</v>
      </c>
      <c r="H2603" t="s">
        <v>20091</v>
      </c>
    </row>
    <row r="2604" spans="6:8">
      <c r="H2604" t="s">
        <v>20095</v>
      </c>
    </row>
    <row r="2605" spans="6:8">
      <c r="F2605" t="s">
        <v>11028</v>
      </c>
      <c r="G2605" t="s">
        <v>15419</v>
      </c>
      <c r="H2605" t="s">
        <v>20091</v>
      </c>
    </row>
    <row r="2606" spans="6:8">
      <c r="H2606" t="s">
        <v>20095</v>
      </c>
    </row>
    <row r="2607" spans="6:8">
      <c r="F2607" t="s">
        <v>11029</v>
      </c>
      <c r="G2607" t="s">
        <v>15420</v>
      </c>
      <c r="H2607" t="s">
        <v>20091</v>
      </c>
    </row>
    <row r="2608" spans="6:8">
      <c r="H2608" t="s">
        <v>20095</v>
      </c>
    </row>
    <row r="2609" spans="6:8">
      <c r="F2609" t="s">
        <v>11030</v>
      </c>
      <c r="G2609" t="s">
        <v>15421</v>
      </c>
      <c r="H2609" t="s">
        <v>20091</v>
      </c>
    </row>
    <row r="2610" spans="6:8">
      <c r="H2610" t="s">
        <v>19712</v>
      </c>
    </row>
    <row r="2611" spans="6:8">
      <c r="H2611" t="s">
        <v>19709</v>
      </c>
    </row>
    <row r="2612" spans="6:8">
      <c r="H2612" t="s">
        <v>20107</v>
      </c>
    </row>
    <row r="2613" spans="6:8">
      <c r="H2613" t="s">
        <v>20108</v>
      </c>
    </row>
    <row r="2614" spans="6:8">
      <c r="H2614" t="s">
        <v>19713</v>
      </c>
    </row>
    <row r="2615" spans="6:8">
      <c r="H2615" t="s">
        <v>19714</v>
      </c>
    </row>
    <row r="2616" spans="6:8">
      <c r="H2616" t="s">
        <v>20109</v>
      </c>
    </row>
    <row r="2617" spans="6:8">
      <c r="H2617" t="s">
        <v>20110</v>
      </c>
    </row>
    <row r="2618" spans="6:8">
      <c r="H2618" t="s">
        <v>20111</v>
      </c>
    </row>
    <row r="2619" spans="6:8">
      <c r="H2619" t="s">
        <v>20112</v>
      </c>
    </row>
    <row r="2620" spans="6:8">
      <c r="H2620" t="s">
        <v>20113</v>
      </c>
    </row>
    <row r="2621" spans="6:8">
      <c r="H2621" t="s">
        <v>20095</v>
      </c>
    </row>
    <row r="2622" spans="6:8">
      <c r="H2622" t="s">
        <v>20096</v>
      </c>
    </row>
    <row r="2623" spans="6:8">
      <c r="H2623" t="s">
        <v>20097</v>
      </c>
    </row>
    <row r="2624" spans="6:8">
      <c r="H2624" t="s">
        <v>20098</v>
      </c>
    </row>
    <row r="2625" spans="6:8">
      <c r="F2625" t="s">
        <v>11031</v>
      </c>
      <c r="G2625" t="s">
        <v>15422</v>
      </c>
      <c r="H2625" t="s">
        <v>20091</v>
      </c>
    </row>
    <row r="2626" spans="6:8">
      <c r="H2626" t="s">
        <v>19712</v>
      </c>
    </row>
    <row r="2627" spans="6:8">
      <c r="H2627" t="s">
        <v>20095</v>
      </c>
    </row>
    <row r="2628" spans="6:8">
      <c r="H2628" t="s">
        <v>20096</v>
      </c>
    </row>
    <row r="2629" spans="6:8">
      <c r="H2629" t="s">
        <v>20097</v>
      </c>
    </row>
    <row r="2630" spans="6:8">
      <c r="H2630" t="s">
        <v>20098</v>
      </c>
    </row>
    <row r="2631" spans="6:8">
      <c r="H2631" t="s">
        <v>19709</v>
      </c>
    </row>
    <row r="2632" spans="6:8">
      <c r="H2632" t="s">
        <v>19706</v>
      </c>
    </row>
    <row r="2633" spans="6:8">
      <c r="H2633" t="s">
        <v>20099</v>
      </c>
    </row>
    <row r="2634" spans="6:8">
      <c r="H2634" t="s">
        <v>20100</v>
      </c>
    </row>
    <row r="2635" spans="6:8">
      <c r="H2635" t="s">
        <v>20101</v>
      </c>
    </row>
    <row r="2636" spans="6:8">
      <c r="H2636" t="s">
        <v>20102</v>
      </c>
    </row>
    <row r="2637" spans="6:8">
      <c r="F2637" t="s">
        <v>11032</v>
      </c>
      <c r="G2637" t="s">
        <v>15423</v>
      </c>
      <c r="H2637" t="s">
        <v>20091</v>
      </c>
    </row>
    <row r="2638" spans="6:8">
      <c r="H2638" t="s">
        <v>19712</v>
      </c>
    </row>
    <row r="2639" spans="6:8">
      <c r="H2639" t="s">
        <v>20095</v>
      </c>
    </row>
    <row r="2640" spans="6:8">
      <c r="H2640" t="s">
        <v>20096</v>
      </c>
    </row>
    <row r="2641" spans="6:8">
      <c r="H2641" t="s">
        <v>20097</v>
      </c>
    </row>
    <row r="2642" spans="6:8">
      <c r="H2642" t="s">
        <v>20098</v>
      </c>
    </row>
    <row r="2643" spans="6:8">
      <c r="F2643" t="s">
        <v>11033</v>
      </c>
      <c r="G2643" t="s">
        <v>15424</v>
      </c>
      <c r="H2643" t="s">
        <v>20091</v>
      </c>
    </row>
    <row r="2644" spans="6:8">
      <c r="H2644" t="s">
        <v>19712</v>
      </c>
    </row>
    <row r="2645" spans="6:8">
      <c r="H2645" t="s">
        <v>20095</v>
      </c>
    </row>
    <row r="2646" spans="6:8">
      <c r="H2646" t="s">
        <v>20096</v>
      </c>
    </row>
    <row r="2647" spans="6:8">
      <c r="H2647" t="s">
        <v>20097</v>
      </c>
    </row>
    <row r="2648" spans="6:8">
      <c r="H2648" t="s">
        <v>20098</v>
      </c>
    </row>
    <row r="2649" spans="6:8">
      <c r="F2649" t="s">
        <v>11034</v>
      </c>
      <c r="G2649" t="s">
        <v>15425</v>
      </c>
      <c r="H2649" t="s">
        <v>20091</v>
      </c>
    </row>
    <row r="2650" spans="6:8">
      <c r="H2650" t="s">
        <v>19712</v>
      </c>
    </row>
    <row r="2651" spans="6:8">
      <c r="H2651" t="s">
        <v>20095</v>
      </c>
    </row>
    <row r="2652" spans="6:8">
      <c r="H2652" t="s">
        <v>20096</v>
      </c>
    </row>
    <row r="2653" spans="6:8">
      <c r="H2653" t="s">
        <v>20097</v>
      </c>
    </row>
    <row r="2654" spans="6:8">
      <c r="H2654" t="s">
        <v>20098</v>
      </c>
    </row>
    <row r="2655" spans="6:8">
      <c r="F2655" t="s">
        <v>11035</v>
      </c>
      <c r="G2655" t="s">
        <v>15426</v>
      </c>
      <c r="H2655" t="s">
        <v>20091</v>
      </c>
    </row>
    <row r="2656" spans="6:8">
      <c r="H2656" t="s">
        <v>19712</v>
      </c>
    </row>
    <row r="2657" spans="6:8">
      <c r="H2657" t="s">
        <v>20095</v>
      </c>
    </row>
    <row r="2658" spans="6:8">
      <c r="H2658" t="s">
        <v>20096</v>
      </c>
    </row>
    <row r="2659" spans="6:8">
      <c r="H2659" t="s">
        <v>20097</v>
      </c>
    </row>
    <row r="2660" spans="6:8">
      <c r="H2660" t="s">
        <v>20098</v>
      </c>
    </row>
    <row r="2661" spans="6:8">
      <c r="F2661" t="s">
        <v>11036</v>
      </c>
      <c r="G2661" t="s">
        <v>15427</v>
      </c>
      <c r="H2661" t="s">
        <v>20091</v>
      </c>
    </row>
    <row r="2662" spans="6:8">
      <c r="H2662" t="s">
        <v>19712</v>
      </c>
    </row>
    <row r="2663" spans="6:8">
      <c r="H2663" t="s">
        <v>19709</v>
      </c>
    </row>
    <row r="2664" spans="6:8">
      <c r="H2664" t="s">
        <v>20107</v>
      </c>
    </row>
    <row r="2665" spans="6:8">
      <c r="H2665" t="s">
        <v>20108</v>
      </c>
    </row>
    <row r="2666" spans="6:8">
      <c r="H2666" t="s">
        <v>19713</v>
      </c>
    </row>
    <row r="2667" spans="6:8">
      <c r="H2667" t="s">
        <v>19714</v>
      </c>
    </row>
    <row r="2668" spans="6:8">
      <c r="H2668" t="s">
        <v>20109</v>
      </c>
    </row>
    <row r="2669" spans="6:8">
      <c r="H2669" t="s">
        <v>20110</v>
      </c>
    </row>
    <row r="2670" spans="6:8">
      <c r="H2670" t="s">
        <v>20111</v>
      </c>
    </row>
    <row r="2671" spans="6:8">
      <c r="H2671" t="s">
        <v>20112</v>
      </c>
    </row>
    <row r="2672" spans="6:8">
      <c r="H2672" t="s">
        <v>20095</v>
      </c>
    </row>
    <row r="2673" spans="6:8">
      <c r="H2673" t="s">
        <v>20096</v>
      </c>
    </row>
    <row r="2674" spans="6:8">
      <c r="H2674" t="s">
        <v>20097</v>
      </c>
    </row>
    <row r="2675" spans="6:8">
      <c r="H2675" t="s">
        <v>20098</v>
      </c>
    </row>
    <row r="2676" spans="6:8">
      <c r="F2676" t="s">
        <v>11037</v>
      </c>
      <c r="G2676" t="s">
        <v>15428</v>
      </c>
      <c r="H2676" t="s">
        <v>20091</v>
      </c>
    </row>
    <row r="2677" spans="6:8">
      <c r="H2677" t="s">
        <v>19712</v>
      </c>
    </row>
    <row r="2678" spans="6:8">
      <c r="H2678" t="s">
        <v>19709</v>
      </c>
    </row>
    <row r="2679" spans="6:8">
      <c r="H2679" t="s">
        <v>19706</v>
      </c>
    </row>
    <row r="2680" spans="6:8">
      <c r="H2680" t="s">
        <v>20107</v>
      </c>
    </row>
    <row r="2681" spans="6:8">
      <c r="H2681" t="s">
        <v>20108</v>
      </c>
    </row>
    <row r="2682" spans="6:8">
      <c r="H2682" t="s">
        <v>19713</v>
      </c>
    </row>
    <row r="2683" spans="6:8">
      <c r="H2683" t="s">
        <v>19714</v>
      </c>
    </row>
    <row r="2684" spans="6:8">
      <c r="H2684" t="s">
        <v>20109</v>
      </c>
    </row>
    <row r="2685" spans="6:8">
      <c r="H2685" t="s">
        <v>20095</v>
      </c>
    </row>
    <row r="2686" spans="6:8">
      <c r="H2686" t="s">
        <v>20096</v>
      </c>
    </row>
    <row r="2687" spans="6:8">
      <c r="H2687" t="s">
        <v>20097</v>
      </c>
    </row>
    <row r="2688" spans="6:8">
      <c r="H2688" t="s">
        <v>20098</v>
      </c>
    </row>
    <row r="2689" spans="6:8">
      <c r="F2689" t="s">
        <v>11038</v>
      </c>
      <c r="G2689" t="s">
        <v>15429</v>
      </c>
      <c r="H2689" t="s">
        <v>20091</v>
      </c>
    </row>
    <row r="2690" spans="6:8">
      <c r="H2690" t="s">
        <v>19712</v>
      </c>
    </row>
    <row r="2691" spans="6:8">
      <c r="H2691" t="s">
        <v>19709</v>
      </c>
    </row>
    <row r="2692" spans="6:8">
      <c r="H2692" t="s">
        <v>20107</v>
      </c>
    </row>
    <row r="2693" spans="6:8">
      <c r="H2693" t="s">
        <v>20108</v>
      </c>
    </row>
    <row r="2694" spans="6:8">
      <c r="H2694" t="s">
        <v>19713</v>
      </c>
    </row>
    <row r="2695" spans="6:8">
      <c r="H2695" t="s">
        <v>19714</v>
      </c>
    </row>
    <row r="2696" spans="6:8">
      <c r="H2696" t="s">
        <v>20109</v>
      </c>
    </row>
    <row r="2697" spans="6:8">
      <c r="H2697" t="s">
        <v>20110</v>
      </c>
    </row>
    <row r="2698" spans="6:8">
      <c r="H2698" t="s">
        <v>20111</v>
      </c>
    </row>
    <row r="2699" spans="6:8">
      <c r="H2699" t="s">
        <v>20112</v>
      </c>
    </row>
    <row r="2700" spans="6:8">
      <c r="H2700" t="s">
        <v>20113</v>
      </c>
    </row>
    <row r="2701" spans="6:8">
      <c r="H2701" t="s">
        <v>20095</v>
      </c>
    </row>
    <row r="2702" spans="6:8">
      <c r="H2702" t="s">
        <v>20096</v>
      </c>
    </row>
    <row r="2703" spans="6:8">
      <c r="H2703" t="s">
        <v>20097</v>
      </c>
    </row>
    <row r="2704" spans="6:8">
      <c r="H2704" t="s">
        <v>20098</v>
      </c>
    </row>
    <row r="2705" spans="6:8">
      <c r="F2705" t="s">
        <v>11039</v>
      </c>
      <c r="G2705" t="s">
        <v>15430</v>
      </c>
      <c r="H2705" t="s">
        <v>20091</v>
      </c>
    </row>
    <row r="2706" spans="6:8">
      <c r="H2706" t="s">
        <v>19712</v>
      </c>
    </row>
    <row r="2707" spans="6:8">
      <c r="H2707" t="s">
        <v>19709</v>
      </c>
    </row>
    <row r="2708" spans="6:8">
      <c r="H2708" t="s">
        <v>20092</v>
      </c>
    </row>
    <row r="2709" spans="6:8">
      <c r="H2709" t="s">
        <v>20093</v>
      </c>
    </row>
    <row r="2710" spans="6:8">
      <c r="H2710" t="s">
        <v>20095</v>
      </c>
    </row>
    <row r="2711" spans="6:8">
      <c r="H2711" t="s">
        <v>20096</v>
      </c>
    </row>
    <row r="2712" spans="6:8">
      <c r="H2712" t="s">
        <v>20097</v>
      </c>
    </row>
    <row r="2713" spans="6:8">
      <c r="H2713" t="s">
        <v>20098</v>
      </c>
    </row>
    <row r="2714" spans="6:8">
      <c r="H2714" t="s">
        <v>20099</v>
      </c>
    </row>
    <row r="2715" spans="6:8">
      <c r="H2715" t="s">
        <v>20100</v>
      </c>
    </row>
    <row r="2716" spans="6:8">
      <c r="F2716" t="s">
        <v>11040</v>
      </c>
      <c r="G2716" t="s">
        <v>15431</v>
      </c>
      <c r="H2716" t="s">
        <v>20091</v>
      </c>
    </row>
    <row r="2717" spans="6:8">
      <c r="H2717" t="s">
        <v>19712</v>
      </c>
    </row>
    <row r="2718" spans="6:8">
      <c r="H2718" t="s">
        <v>20095</v>
      </c>
    </row>
    <row r="2719" spans="6:8">
      <c r="H2719" t="s">
        <v>20096</v>
      </c>
    </row>
    <row r="2720" spans="6:8">
      <c r="H2720" t="s">
        <v>20097</v>
      </c>
    </row>
    <row r="2721" spans="6:8">
      <c r="H2721" t="s">
        <v>19709</v>
      </c>
    </row>
    <row r="2722" spans="6:8">
      <c r="H2722" t="s">
        <v>19706</v>
      </c>
    </row>
    <row r="2723" spans="6:8">
      <c r="H2723" t="s">
        <v>20098</v>
      </c>
    </row>
    <row r="2724" spans="6:8">
      <c r="H2724" t="s">
        <v>20099</v>
      </c>
    </row>
    <row r="2725" spans="6:8">
      <c r="H2725" t="s">
        <v>20100</v>
      </c>
    </row>
    <row r="2726" spans="6:8">
      <c r="F2726" t="s">
        <v>11041</v>
      </c>
      <c r="G2726" t="s">
        <v>15432</v>
      </c>
      <c r="H2726" t="s">
        <v>20091</v>
      </c>
    </row>
    <row r="2727" spans="6:8">
      <c r="H2727" t="s">
        <v>19712</v>
      </c>
    </row>
    <row r="2728" spans="6:8">
      <c r="H2728" t="s">
        <v>20095</v>
      </c>
    </row>
    <row r="2729" spans="6:8">
      <c r="H2729" t="s">
        <v>20096</v>
      </c>
    </row>
    <row r="2730" spans="6:8">
      <c r="H2730" t="s">
        <v>20097</v>
      </c>
    </row>
    <row r="2731" spans="6:8">
      <c r="F2731" t="s">
        <v>11042</v>
      </c>
      <c r="G2731" t="s">
        <v>15433</v>
      </c>
      <c r="H2731" t="s">
        <v>20091</v>
      </c>
    </row>
    <row r="2732" spans="6:8">
      <c r="H2732" t="s">
        <v>19712</v>
      </c>
    </row>
    <row r="2733" spans="6:8">
      <c r="H2733" t="s">
        <v>20095</v>
      </c>
    </row>
    <row r="2734" spans="6:8">
      <c r="H2734" t="s">
        <v>20096</v>
      </c>
    </row>
    <row r="2735" spans="6:8">
      <c r="H2735" t="s">
        <v>20097</v>
      </c>
    </row>
    <row r="2736" spans="6:8">
      <c r="F2736" t="s">
        <v>11043</v>
      </c>
      <c r="G2736" t="s">
        <v>15434</v>
      </c>
      <c r="H2736" t="s">
        <v>20091</v>
      </c>
    </row>
    <row r="2737" spans="6:8">
      <c r="H2737" t="s">
        <v>19712</v>
      </c>
    </row>
    <row r="2738" spans="6:8">
      <c r="H2738" t="s">
        <v>20095</v>
      </c>
    </row>
    <row r="2739" spans="6:8">
      <c r="H2739" t="s">
        <v>20096</v>
      </c>
    </row>
    <row r="2740" spans="6:8">
      <c r="H2740" t="s">
        <v>20097</v>
      </c>
    </row>
    <row r="2741" spans="6:8">
      <c r="F2741" t="s">
        <v>11044</v>
      </c>
      <c r="G2741" t="s">
        <v>15435</v>
      </c>
      <c r="H2741" t="s">
        <v>20091</v>
      </c>
    </row>
    <row r="2742" spans="6:8">
      <c r="H2742" t="s">
        <v>19712</v>
      </c>
    </row>
    <row r="2743" spans="6:8">
      <c r="H2743" t="s">
        <v>20095</v>
      </c>
    </row>
    <row r="2744" spans="6:8">
      <c r="H2744" t="s">
        <v>20096</v>
      </c>
    </row>
    <row r="2745" spans="6:8">
      <c r="H2745" t="s">
        <v>20097</v>
      </c>
    </row>
    <row r="2746" spans="6:8">
      <c r="F2746" t="s">
        <v>11045</v>
      </c>
      <c r="G2746" t="s">
        <v>15436</v>
      </c>
      <c r="H2746" t="s">
        <v>20091</v>
      </c>
    </row>
    <row r="2747" spans="6:8">
      <c r="H2747" t="s">
        <v>19712</v>
      </c>
    </row>
    <row r="2748" spans="6:8">
      <c r="H2748" t="s">
        <v>19709</v>
      </c>
    </row>
    <row r="2749" spans="6:8">
      <c r="H2749" t="s">
        <v>20107</v>
      </c>
    </row>
    <row r="2750" spans="6:8">
      <c r="H2750" t="s">
        <v>20108</v>
      </c>
    </row>
    <row r="2751" spans="6:8">
      <c r="H2751" t="s">
        <v>19713</v>
      </c>
    </row>
    <row r="2752" spans="6:8">
      <c r="H2752" t="s">
        <v>19714</v>
      </c>
    </row>
    <row r="2753" spans="6:8">
      <c r="H2753" t="s">
        <v>20109</v>
      </c>
    </row>
    <row r="2754" spans="6:8">
      <c r="H2754" t="s">
        <v>20110</v>
      </c>
    </row>
    <row r="2755" spans="6:8">
      <c r="H2755" t="s">
        <v>20111</v>
      </c>
    </row>
    <row r="2756" spans="6:8">
      <c r="H2756" t="s">
        <v>20112</v>
      </c>
    </row>
    <row r="2757" spans="6:8">
      <c r="H2757" t="s">
        <v>20113</v>
      </c>
    </row>
    <row r="2758" spans="6:8">
      <c r="H2758" t="s">
        <v>20114</v>
      </c>
    </row>
    <row r="2759" spans="6:8">
      <c r="H2759" t="s">
        <v>20115</v>
      </c>
    </row>
    <row r="2760" spans="6:8">
      <c r="H2760" t="s">
        <v>20095</v>
      </c>
    </row>
    <row r="2761" spans="6:8">
      <c r="H2761" t="s">
        <v>20096</v>
      </c>
    </row>
    <row r="2762" spans="6:8">
      <c r="H2762" t="s">
        <v>20097</v>
      </c>
    </row>
    <row r="2763" spans="6:8">
      <c r="H2763" t="s">
        <v>20098</v>
      </c>
    </row>
    <row r="2764" spans="6:8">
      <c r="F2764" t="s">
        <v>11046</v>
      </c>
      <c r="G2764" t="s">
        <v>15437</v>
      </c>
      <c r="H2764" t="s">
        <v>20091</v>
      </c>
    </row>
    <row r="2765" spans="6:8">
      <c r="H2765" t="s">
        <v>19712</v>
      </c>
    </row>
    <row r="2766" spans="6:8">
      <c r="H2766" t="s">
        <v>19709</v>
      </c>
    </row>
    <row r="2767" spans="6:8">
      <c r="H2767" t="s">
        <v>19706</v>
      </c>
    </row>
    <row r="2768" spans="6:8">
      <c r="H2768" t="s">
        <v>20092</v>
      </c>
    </row>
    <row r="2769" spans="6:8">
      <c r="H2769" t="s">
        <v>20093</v>
      </c>
    </row>
    <row r="2770" spans="6:8">
      <c r="H2770" t="s">
        <v>20094</v>
      </c>
    </row>
    <row r="2771" spans="6:8">
      <c r="H2771" t="s">
        <v>20103</v>
      </c>
    </row>
    <row r="2772" spans="6:8">
      <c r="H2772" t="s">
        <v>20116</v>
      </c>
    </row>
    <row r="2773" spans="6:8">
      <c r="H2773" t="s">
        <v>20117</v>
      </c>
    </row>
    <row r="2774" spans="6:8">
      <c r="H2774" t="s">
        <v>20118</v>
      </c>
    </row>
    <row r="2775" spans="6:8">
      <c r="H2775" t="s">
        <v>20119</v>
      </c>
    </row>
    <row r="2776" spans="6:8">
      <c r="H2776" t="s">
        <v>19176</v>
      </c>
    </row>
    <row r="2777" spans="6:8">
      <c r="H2777" t="s">
        <v>20095</v>
      </c>
    </row>
    <row r="2778" spans="6:8">
      <c r="H2778" t="s">
        <v>20096</v>
      </c>
    </row>
    <row r="2779" spans="6:8">
      <c r="H2779" t="s">
        <v>20097</v>
      </c>
    </row>
    <row r="2780" spans="6:8">
      <c r="H2780" t="s">
        <v>20098</v>
      </c>
    </row>
    <row r="2781" spans="6:8">
      <c r="F2781" t="s">
        <v>11047</v>
      </c>
      <c r="G2781" t="s">
        <v>15438</v>
      </c>
      <c r="H2781" t="s">
        <v>20091</v>
      </c>
    </row>
    <row r="2782" spans="6:8">
      <c r="H2782" t="s">
        <v>19712</v>
      </c>
    </row>
    <row r="2783" spans="6:8">
      <c r="H2783" t="s">
        <v>19709</v>
      </c>
    </row>
    <row r="2784" spans="6:8">
      <c r="H2784" t="s">
        <v>20092</v>
      </c>
    </row>
    <row r="2785" spans="6:8">
      <c r="H2785" t="s">
        <v>20093</v>
      </c>
    </row>
    <row r="2786" spans="6:8">
      <c r="H2786" t="s">
        <v>20094</v>
      </c>
    </row>
    <row r="2787" spans="6:8">
      <c r="H2787" t="s">
        <v>20103</v>
      </c>
    </row>
    <row r="2788" spans="6:8">
      <c r="H2788" t="s">
        <v>20116</v>
      </c>
    </row>
    <row r="2789" spans="6:8">
      <c r="H2789" t="s">
        <v>20117</v>
      </c>
    </row>
    <row r="2790" spans="6:8">
      <c r="H2790" t="s">
        <v>20118</v>
      </c>
    </row>
    <row r="2791" spans="6:8">
      <c r="H2791" t="s">
        <v>20095</v>
      </c>
    </row>
    <row r="2792" spans="6:8">
      <c r="H2792" t="s">
        <v>20096</v>
      </c>
    </row>
    <row r="2793" spans="6:8">
      <c r="H2793" t="s">
        <v>20097</v>
      </c>
    </row>
    <row r="2794" spans="6:8">
      <c r="F2794" t="s">
        <v>11048</v>
      </c>
      <c r="G2794" t="s">
        <v>15439</v>
      </c>
      <c r="H2794" t="s">
        <v>20091</v>
      </c>
    </row>
    <row r="2795" spans="6:8">
      <c r="H2795" t="s">
        <v>19712</v>
      </c>
    </row>
    <row r="2796" spans="6:8">
      <c r="H2796" t="s">
        <v>19709</v>
      </c>
    </row>
    <row r="2797" spans="6:8">
      <c r="H2797" t="s">
        <v>20095</v>
      </c>
    </row>
    <row r="2798" spans="6:8">
      <c r="H2798" t="s">
        <v>20096</v>
      </c>
    </row>
    <row r="2799" spans="6:8">
      <c r="H2799" t="s">
        <v>20097</v>
      </c>
    </row>
    <row r="2800" spans="6:8">
      <c r="F2800" t="s">
        <v>11049</v>
      </c>
      <c r="G2800" t="s">
        <v>15440</v>
      </c>
      <c r="H2800" t="s">
        <v>20091</v>
      </c>
    </row>
    <row r="2801" spans="8:8">
      <c r="H2801" t="s">
        <v>19712</v>
      </c>
    </row>
    <row r="2802" spans="8:8">
      <c r="H2802" t="s">
        <v>19709</v>
      </c>
    </row>
    <row r="2803" spans="8:8">
      <c r="H2803" t="s">
        <v>19706</v>
      </c>
    </row>
    <row r="2804" spans="8:8">
      <c r="H2804" t="s">
        <v>19707</v>
      </c>
    </row>
    <row r="2805" spans="8:8">
      <c r="H2805" t="s">
        <v>19711</v>
      </c>
    </row>
    <row r="2806" spans="8:8">
      <c r="H2806" t="s">
        <v>20107</v>
      </c>
    </row>
    <row r="2807" spans="8:8">
      <c r="H2807" t="s">
        <v>20108</v>
      </c>
    </row>
    <row r="2808" spans="8:8">
      <c r="H2808" t="s">
        <v>19713</v>
      </c>
    </row>
    <row r="2809" spans="8:8">
      <c r="H2809" t="s">
        <v>19714</v>
      </c>
    </row>
    <row r="2810" spans="8:8">
      <c r="H2810" t="s">
        <v>20109</v>
      </c>
    </row>
    <row r="2811" spans="8:8">
      <c r="H2811" t="s">
        <v>20110</v>
      </c>
    </row>
    <row r="2812" spans="8:8">
      <c r="H2812" t="s">
        <v>20111</v>
      </c>
    </row>
    <row r="2813" spans="8:8">
      <c r="H2813" t="s">
        <v>20095</v>
      </c>
    </row>
    <row r="2814" spans="8:8">
      <c r="H2814" t="s">
        <v>20096</v>
      </c>
    </row>
    <row r="2815" spans="8:8">
      <c r="H2815" t="s">
        <v>20097</v>
      </c>
    </row>
    <row r="2816" spans="8:8">
      <c r="H2816" t="s">
        <v>20098</v>
      </c>
    </row>
    <row r="2817" spans="6:8">
      <c r="F2817" t="s">
        <v>11050</v>
      </c>
      <c r="G2817" t="s">
        <v>15441</v>
      </c>
      <c r="H2817" t="s">
        <v>20091</v>
      </c>
    </row>
    <row r="2818" spans="6:8">
      <c r="H2818" t="s">
        <v>19712</v>
      </c>
    </row>
    <row r="2819" spans="6:8">
      <c r="H2819" t="s">
        <v>19709</v>
      </c>
    </row>
    <row r="2820" spans="6:8">
      <c r="H2820" t="s">
        <v>19706</v>
      </c>
    </row>
    <row r="2821" spans="6:8">
      <c r="H2821" t="s">
        <v>20107</v>
      </c>
    </row>
    <row r="2822" spans="6:8">
      <c r="H2822" t="s">
        <v>20108</v>
      </c>
    </row>
    <row r="2823" spans="6:8">
      <c r="H2823" t="s">
        <v>19713</v>
      </c>
    </row>
    <row r="2824" spans="6:8">
      <c r="H2824" t="s">
        <v>19714</v>
      </c>
    </row>
    <row r="2825" spans="6:8">
      <c r="H2825" t="s">
        <v>20095</v>
      </c>
    </row>
    <row r="2826" spans="6:8">
      <c r="H2826" t="s">
        <v>20096</v>
      </c>
    </row>
    <row r="2827" spans="6:8">
      <c r="H2827" t="s">
        <v>20097</v>
      </c>
    </row>
    <row r="2828" spans="6:8">
      <c r="H2828" t="s">
        <v>20098</v>
      </c>
    </row>
    <row r="2829" spans="6:8">
      <c r="F2829" t="s">
        <v>11051</v>
      </c>
      <c r="G2829" t="s">
        <v>15442</v>
      </c>
      <c r="H2829" t="s">
        <v>20091</v>
      </c>
    </row>
    <row r="2830" spans="6:8">
      <c r="H2830" t="s">
        <v>19712</v>
      </c>
    </row>
    <row r="2831" spans="6:8">
      <c r="H2831" t="s">
        <v>19709</v>
      </c>
    </row>
    <row r="2832" spans="6:8">
      <c r="H2832" t="s">
        <v>20107</v>
      </c>
    </row>
    <row r="2833" spans="6:8">
      <c r="H2833" t="s">
        <v>20108</v>
      </c>
    </row>
    <row r="2834" spans="6:8">
      <c r="H2834" t="s">
        <v>19713</v>
      </c>
    </row>
    <row r="2835" spans="6:8">
      <c r="H2835" t="s">
        <v>20095</v>
      </c>
    </row>
    <row r="2836" spans="6:8">
      <c r="H2836" t="s">
        <v>20096</v>
      </c>
    </row>
    <row r="2837" spans="6:8">
      <c r="H2837" t="s">
        <v>20097</v>
      </c>
    </row>
    <row r="2838" spans="6:8">
      <c r="H2838" t="s">
        <v>20098</v>
      </c>
    </row>
    <row r="2839" spans="6:8">
      <c r="H2839" t="s">
        <v>20099</v>
      </c>
    </row>
    <row r="2840" spans="6:8">
      <c r="F2840" t="s">
        <v>11052</v>
      </c>
      <c r="G2840" t="s">
        <v>15443</v>
      </c>
      <c r="H2840" t="s">
        <v>20091</v>
      </c>
    </row>
    <row r="2841" spans="6:8">
      <c r="H2841" t="s">
        <v>19712</v>
      </c>
    </row>
    <row r="2842" spans="6:8">
      <c r="H2842" t="s">
        <v>19709</v>
      </c>
    </row>
    <row r="2843" spans="6:8">
      <c r="H2843" t="s">
        <v>19706</v>
      </c>
    </row>
    <row r="2844" spans="6:8">
      <c r="H2844" t="s">
        <v>20107</v>
      </c>
    </row>
    <row r="2845" spans="6:8">
      <c r="H2845" t="s">
        <v>20108</v>
      </c>
    </row>
    <row r="2846" spans="6:8">
      <c r="H2846" t="s">
        <v>19713</v>
      </c>
    </row>
    <row r="2847" spans="6:8">
      <c r="H2847" t="s">
        <v>20095</v>
      </c>
    </row>
    <row r="2848" spans="6:8">
      <c r="H2848" t="s">
        <v>20096</v>
      </c>
    </row>
    <row r="2849" spans="6:8">
      <c r="H2849" t="s">
        <v>20097</v>
      </c>
    </row>
    <row r="2850" spans="6:8">
      <c r="H2850" t="s">
        <v>20098</v>
      </c>
    </row>
    <row r="2851" spans="6:8">
      <c r="F2851" t="s">
        <v>11053</v>
      </c>
      <c r="G2851" t="s">
        <v>15444</v>
      </c>
      <c r="H2851" t="s">
        <v>20091</v>
      </c>
    </row>
    <row r="2852" spans="6:8">
      <c r="H2852" t="s">
        <v>19712</v>
      </c>
    </row>
    <row r="2853" spans="6:8">
      <c r="H2853" t="s">
        <v>19709</v>
      </c>
    </row>
    <row r="2854" spans="6:8">
      <c r="H2854" t="s">
        <v>20107</v>
      </c>
    </row>
    <row r="2855" spans="6:8">
      <c r="H2855" t="s">
        <v>20108</v>
      </c>
    </row>
    <row r="2856" spans="6:8">
      <c r="H2856" t="s">
        <v>19713</v>
      </c>
    </row>
    <row r="2857" spans="6:8">
      <c r="H2857" t="s">
        <v>20095</v>
      </c>
    </row>
    <row r="2858" spans="6:8">
      <c r="H2858" t="s">
        <v>20096</v>
      </c>
    </row>
    <row r="2859" spans="6:8">
      <c r="H2859" t="s">
        <v>20097</v>
      </c>
    </row>
    <row r="2860" spans="6:8">
      <c r="H2860" t="s">
        <v>20098</v>
      </c>
    </row>
    <row r="2861" spans="6:8">
      <c r="H2861" t="s">
        <v>20099</v>
      </c>
    </row>
    <row r="2862" spans="6:8">
      <c r="F2862" t="s">
        <v>11054</v>
      </c>
      <c r="G2862" t="s">
        <v>15445</v>
      </c>
      <c r="H2862" t="s">
        <v>20091</v>
      </c>
    </row>
    <row r="2863" spans="6:8">
      <c r="H2863" t="s">
        <v>19712</v>
      </c>
    </row>
    <row r="2864" spans="6:8">
      <c r="H2864" t="s">
        <v>19709</v>
      </c>
    </row>
    <row r="2865" spans="6:8">
      <c r="H2865" t="s">
        <v>19706</v>
      </c>
    </row>
    <row r="2866" spans="6:8">
      <c r="H2866" t="s">
        <v>19707</v>
      </c>
    </row>
    <row r="2867" spans="6:8">
      <c r="H2867" t="s">
        <v>19711</v>
      </c>
    </row>
    <row r="2868" spans="6:8">
      <c r="H2868" t="s">
        <v>19708</v>
      </c>
    </row>
    <row r="2869" spans="6:8">
      <c r="H2869" t="s">
        <v>20107</v>
      </c>
    </row>
    <row r="2870" spans="6:8">
      <c r="H2870" t="s">
        <v>20108</v>
      </c>
    </row>
    <row r="2871" spans="6:8">
      <c r="H2871" t="s">
        <v>19713</v>
      </c>
    </row>
    <row r="2872" spans="6:8">
      <c r="H2872" t="s">
        <v>20095</v>
      </c>
    </row>
    <row r="2873" spans="6:8">
      <c r="H2873" t="s">
        <v>20096</v>
      </c>
    </row>
    <row r="2874" spans="6:8">
      <c r="H2874" t="s">
        <v>20097</v>
      </c>
    </row>
    <row r="2875" spans="6:8">
      <c r="H2875" t="s">
        <v>20098</v>
      </c>
    </row>
    <row r="2876" spans="6:8">
      <c r="F2876" t="s">
        <v>11055</v>
      </c>
      <c r="G2876" t="s">
        <v>15446</v>
      </c>
      <c r="H2876" t="s">
        <v>20091</v>
      </c>
    </row>
    <row r="2877" spans="6:8">
      <c r="H2877" t="s">
        <v>19712</v>
      </c>
    </row>
    <row r="2878" spans="6:8">
      <c r="H2878" t="s">
        <v>19709</v>
      </c>
    </row>
    <row r="2879" spans="6:8">
      <c r="H2879" t="s">
        <v>19706</v>
      </c>
    </row>
    <row r="2880" spans="6:8">
      <c r="H2880" t="s">
        <v>19707</v>
      </c>
    </row>
    <row r="2881" spans="6:8">
      <c r="H2881" t="s">
        <v>19711</v>
      </c>
    </row>
    <row r="2882" spans="6:8">
      <c r="H2882" t="s">
        <v>20107</v>
      </c>
    </row>
    <row r="2883" spans="6:8">
      <c r="H2883" t="s">
        <v>20108</v>
      </c>
    </row>
    <row r="2884" spans="6:8">
      <c r="H2884" t="s">
        <v>19713</v>
      </c>
    </row>
    <row r="2885" spans="6:8">
      <c r="H2885" t="s">
        <v>19714</v>
      </c>
    </row>
    <row r="2886" spans="6:8">
      <c r="H2886" t="s">
        <v>20109</v>
      </c>
    </row>
    <row r="2887" spans="6:8">
      <c r="H2887" t="s">
        <v>20110</v>
      </c>
    </row>
    <row r="2888" spans="6:8">
      <c r="H2888" t="s">
        <v>20095</v>
      </c>
    </row>
    <row r="2889" spans="6:8">
      <c r="H2889" t="s">
        <v>20096</v>
      </c>
    </row>
    <row r="2890" spans="6:8">
      <c r="H2890" t="s">
        <v>20097</v>
      </c>
    </row>
    <row r="2891" spans="6:8">
      <c r="H2891" t="s">
        <v>20098</v>
      </c>
    </row>
    <row r="2892" spans="6:8">
      <c r="F2892" t="s">
        <v>11056</v>
      </c>
      <c r="G2892" t="s">
        <v>15447</v>
      </c>
      <c r="H2892" t="s">
        <v>20091</v>
      </c>
    </row>
    <row r="2893" spans="6:8">
      <c r="H2893" t="s">
        <v>19712</v>
      </c>
    </row>
    <row r="2894" spans="6:8">
      <c r="H2894" t="s">
        <v>20092</v>
      </c>
    </row>
    <row r="2895" spans="6:8">
      <c r="H2895" t="s">
        <v>20093</v>
      </c>
    </row>
    <row r="2896" spans="6:8">
      <c r="H2896" t="s">
        <v>20094</v>
      </c>
    </row>
    <row r="2897" spans="6:8">
      <c r="H2897" t="s">
        <v>20095</v>
      </c>
    </row>
    <row r="2898" spans="6:8">
      <c r="H2898" t="s">
        <v>20096</v>
      </c>
    </row>
    <row r="2899" spans="6:8">
      <c r="H2899" t="s">
        <v>20097</v>
      </c>
    </row>
    <row r="2900" spans="6:8">
      <c r="H2900" t="s">
        <v>20098</v>
      </c>
    </row>
    <row r="2901" spans="6:8">
      <c r="H2901" t="s">
        <v>20099</v>
      </c>
    </row>
    <row r="2902" spans="6:8">
      <c r="H2902" t="s">
        <v>20100</v>
      </c>
    </row>
    <row r="2903" spans="6:8">
      <c r="H2903" t="s">
        <v>20101</v>
      </c>
    </row>
    <row r="2904" spans="6:8">
      <c r="H2904" t="s">
        <v>20102</v>
      </c>
    </row>
    <row r="2905" spans="6:8">
      <c r="F2905" t="s">
        <v>11057</v>
      </c>
      <c r="G2905" t="s">
        <v>15448</v>
      </c>
      <c r="H2905" t="s">
        <v>20091</v>
      </c>
    </row>
    <row r="2906" spans="6:8">
      <c r="H2906" t="s">
        <v>19712</v>
      </c>
    </row>
    <row r="2907" spans="6:8">
      <c r="H2907" t="s">
        <v>19709</v>
      </c>
    </row>
    <row r="2908" spans="6:8">
      <c r="H2908" t="s">
        <v>20107</v>
      </c>
    </row>
    <row r="2909" spans="6:8">
      <c r="H2909" t="s">
        <v>20108</v>
      </c>
    </row>
    <row r="2910" spans="6:8">
      <c r="H2910" t="s">
        <v>20095</v>
      </c>
    </row>
    <row r="2911" spans="6:8">
      <c r="H2911" t="s">
        <v>20096</v>
      </c>
    </row>
    <row r="2912" spans="6:8">
      <c r="H2912" t="s">
        <v>20097</v>
      </c>
    </row>
    <row r="2913" spans="6:8">
      <c r="H2913" t="s">
        <v>20098</v>
      </c>
    </row>
    <row r="2914" spans="6:8">
      <c r="F2914" t="s">
        <v>11058</v>
      </c>
      <c r="G2914" t="s">
        <v>15449</v>
      </c>
      <c r="H2914" t="s">
        <v>20091</v>
      </c>
    </row>
    <row r="2915" spans="6:8">
      <c r="H2915" t="s">
        <v>19712</v>
      </c>
    </row>
    <row r="2916" spans="6:8">
      <c r="H2916" t="s">
        <v>20092</v>
      </c>
    </row>
    <row r="2917" spans="6:8">
      <c r="H2917" t="s">
        <v>20093</v>
      </c>
    </row>
    <row r="2918" spans="6:8">
      <c r="H2918" t="s">
        <v>20094</v>
      </c>
    </row>
    <row r="2919" spans="6:8">
      <c r="H2919" t="s">
        <v>20095</v>
      </c>
    </row>
    <row r="2920" spans="6:8">
      <c r="H2920" t="s">
        <v>20096</v>
      </c>
    </row>
    <row r="2921" spans="6:8">
      <c r="H2921" t="s">
        <v>20097</v>
      </c>
    </row>
    <row r="2922" spans="6:8">
      <c r="H2922" t="s">
        <v>20098</v>
      </c>
    </row>
    <row r="2923" spans="6:8">
      <c r="H2923" t="s">
        <v>20099</v>
      </c>
    </row>
    <row r="2924" spans="6:8">
      <c r="H2924" t="s">
        <v>20100</v>
      </c>
    </row>
    <row r="2925" spans="6:8">
      <c r="H2925" t="s">
        <v>20101</v>
      </c>
    </row>
    <row r="2926" spans="6:8">
      <c r="H2926" t="s">
        <v>20102</v>
      </c>
    </row>
    <row r="2927" spans="6:8">
      <c r="F2927" t="s">
        <v>11059</v>
      </c>
      <c r="G2927" t="s">
        <v>15450</v>
      </c>
      <c r="H2927" t="s">
        <v>20091</v>
      </c>
    </row>
    <row r="2928" spans="6:8">
      <c r="H2928" t="s">
        <v>20095</v>
      </c>
    </row>
    <row r="2929" spans="6:8">
      <c r="F2929" t="s">
        <v>11060</v>
      </c>
      <c r="G2929" t="s">
        <v>15451</v>
      </c>
      <c r="H2929" t="s">
        <v>20091</v>
      </c>
    </row>
    <row r="2930" spans="6:8">
      <c r="H2930" t="s">
        <v>20095</v>
      </c>
    </row>
    <row r="2931" spans="6:8">
      <c r="F2931" t="s">
        <v>11061</v>
      </c>
      <c r="G2931" t="s">
        <v>15452</v>
      </c>
      <c r="H2931" t="s">
        <v>20091</v>
      </c>
    </row>
    <row r="2932" spans="6:8">
      <c r="H2932" t="s">
        <v>20095</v>
      </c>
    </row>
    <row r="2933" spans="6:8">
      <c r="F2933" t="s">
        <v>11062</v>
      </c>
      <c r="G2933" t="s">
        <v>15453</v>
      </c>
      <c r="H2933" t="s">
        <v>20091</v>
      </c>
    </row>
    <row r="2934" spans="6:8">
      <c r="H2934" t="s">
        <v>20095</v>
      </c>
    </row>
    <row r="2935" spans="6:8">
      <c r="F2935" t="s">
        <v>11063</v>
      </c>
      <c r="G2935" t="s">
        <v>15454</v>
      </c>
      <c r="H2935" t="s">
        <v>20091</v>
      </c>
    </row>
    <row r="2936" spans="6:8">
      <c r="H2936" t="s">
        <v>20095</v>
      </c>
    </row>
    <row r="2937" spans="6:8">
      <c r="F2937" t="s">
        <v>11064</v>
      </c>
      <c r="G2937" t="s">
        <v>15455</v>
      </c>
      <c r="H2937" t="s">
        <v>20091</v>
      </c>
    </row>
    <row r="2938" spans="6:8">
      <c r="H2938" t="s">
        <v>20095</v>
      </c>
    </row>
    <row r="2939" spans="6:8">
      <c r="F2939" t="s">
        <v>11065</v>
      </c>
      <c r="G2939" t="s">
        <v>15456</v>
      </c>
      <c r="H2939" t="s">
        <v>20091</v>
      </c>
    </row>
    <row r="2940" spans="6:8">
      <c r="H2940" t="s">
        <v>20095</v>
      </c>
    </row>
    <row r="2941" spans="6:8">
      <c r="F2941" t="s">
        <v>11066</v>
      </c>
      <c r="G2941" t="s">
        <v>15457</v>
      </c>
      <c r="H2941" t="s">
        <v>20091</v>
      </c>
    </row>
    <row r="2942" spans="6:8">
      <c r="H2942" t="s">
        <v>19712</v>
      </c>
    </row>
    <row r="2943" spans="6:8">
      <c r="H2943" t="s">
        <v>19709</v>
      </c>
    </row>
    <row r="2944" spans="6:8">
      <c r="H2944" t="s">
        <v>19706</v>
      </c>
    </row>
    <row r="2945" spans="6:8">
      <c r="H2945" t="s">
        <v>19707</v>
      </c>
    </row>
    <row r="2946" spans="6:8">
      <c r="H2946" t="s">
        <v>19711</v>
      </c>
    </row>
    <row r="2947" spans="6:8">
      <c r="H2947" t="s">
        <v>20107</v>
      </c>
    </row>
    <row r="2948" spans="6:8">
      <c r="H2948" t="s">
        <v>20108</v>
      </c>
    </row>
    <row r="2949" spans="6:8">
      <c r="H2949" t="s">
        <v>19713</v>
      </c>
    </row>
    <row r="2950" spans="6:8">
      <c r="H2950" t="s">
        <v>19714</v>
      </c>
    </row>
    <row r="2951" spans="6:8">
      <c r="H2951" t="s">
        <v>20109</v>
      </c>
    </row>
    <row r="2952" spans="6:8">
      <c r="H2952" t="s">
        <v>20110</v>
      </c>
    </row>
    <row r="2953" spans="6:8">
      <c r="H2953" t="s">
        <v>20092</v>
      </c>
    </row>
    <row r="2954" spans="6:8">
      <c r="H2954" t="s">
        <v>20095</v>
      </c>
    </row>
    <row r="2955" spans="6:8">
      <c r="H2955" t="s">
        <v>20096</v>
      </c>
    </row>
    <row r="2956" spans="6:8">
      <c r="H2956" t="s">
        <v>20097</v>
      </c>
    </row>
    <row r="2957" spans="6:8">
      <c r="H2957" t="s">
        <v>20098</v>
      </c>
    </row>
    <row r="2958" spans="6:8">
      <c r="F2958" t="s">
        <v>11067</v>
      </c>
      <c r="G2958" t="s">
        <v>15458</v>
      </c>
      <c r="H2958" t="s">
        <v>20091</v>
      </c>
    </row>
    <row r="2959" spans="6:8">
      <c r="H2959" t="s">
        <v>19712</v>
      </c>
    </row>
    <row r="2960" spans="6:8">
      <c r="H2960" t="s">
        <v>20107</v>
      </c>
    </row>
    <row r="2961" spans="6:8">
      <c r="H2961" t="s">
        <v>20095</v>
      </c>
    </row>
    <row r="2962" spans="6:8">
      <c r="H2962" t="s">
        <v>20096</v>
      </c>
    </row>
    <row r="2963" spans="6:8">
      <c r="H2963" t="s">
        <v>20097</v>
      </c>
    </row>
    <row r="2964" spans="6:8">
      <c r="H2964" t="s">
        <v>20098</v>
      </c>
    </row>
    <row r="2965" spans="6:8">
      <c r="H2965" t="s">
        <v>20099</v>
      </c>
    </row>
    <row r="2966" spans="6:8">
      <c r="F2966" t="s">
        <v>11068</v>
      </c>
      <c r="G2966" t="s">
        <v>15459</v>
      </c>
      <c r="H2966" t="s">
        <v>20091</v>
      </c>
    </row>
    <row r="2967" spans="6:8">
      <c r="H2967" t="s">
        <v>19712</v>
      </c>
    </row>
    <row r="2968" spans="6:8">
      <c r="H2968" t="s">
        <v>20107</v>
      </c>
    </row>
    <row r="2969" spans="6:8">
      <c r="H2969" t="s">
        <v>20095</v>
      </c>
    </row>
    <row r="2970" spans="6:8">
      <c r="H2970" t="s">
        <v>20096</v>
      </c>
    </row>
    <row r="2971" spans="6:8">
      <c r="H2971" t="s">
        <v>20097</v>
      </c>
    </row>
    <row r="2972" spans="6:8">
      <c r="H2972" t="s">
        <v>20098</v>
      </c>
    </row>
    <row r="2973" spans="6:8">
      <c r="H2973" t="s">
        <v>20099</v>
      </c>
    </row>
    <row r="2974" spans="6:8">
      <c r="F2974" t="s">
        <v>11069</v>
      </c>
      <c r="G2974" t="s">
        <v>15460</v>
      </c>
      <c r="H2974" t="s">
        <v>20091</v>
      </c>
    </row>
    <row r="2975" spans="6:8">
      <c r="H2975" t="s">
        <v>19712</v>
      </c>
    </row>
    <row r="2976" spans="6:8">
      <c r="H2976" t="s">
        <v>19709</v>
      </c>
    </row>
    <row r="2977" spans="6:8">
      <c r="H2977" t="s">
        <v>19706</v>
      </c>
    </row>
    <row r="2978" spans="6:8">
      <c r="H2978" t="s">
        <v>20107</v>
      </c>
    </row>
    <row r="2979" spans="6:8">
      <c r="H2979" t="s">
        <v>20108</v>
      </c>
    </row>
    <row r="2980" spans="6:8">
      <c r="H2980" t="s">
        <v>19713</v>
      </c>
    </row>
    <row r="2981" spans="6:8">
      <c r="H2981" t="s">
        <v>19714</v>
      </c>
    </row>
    <row r="2982" spans="6:8">
      <c r="H2982" t="s">
        <v>20095</v>
      </c>
    </row>
    <row r="2983" spans="6:8">
      <c r="H2983" t="s">
        <v>20096</v>
      </c>
    </row>
    <row r="2984" spans="6:8">
      <c r="H2984" t="s">
        <v>20097</v>
      </c>
    </row>
    <row r="2985" spans="6:8">
      <c r="H2985" t="s">
        <v>20098</v>
      </c>
    </row>
    <row r="2986" spans="6:8">
      <c r="H2986" t="s">
        <v>20099</v>
      </c>
    </row>
    <row r="2987" spans="6:8">
      <c r="H2987" t="s">
        <v>20100</v>
      </c>
    </row>
    <row r="2988" spans="6:8">
      <c r="F2988" t="s">
        <v>11070</v>
      </c>
      <c r="G2988" t="s">
        <v>15461</v>
      </c>
      <c r="H2988" t="s">
        <v>20091</v>
      </c>
    </row>
    <row r="2989" spans="6:8">
      <c r="H2989" t="s">
        <v>19712</v>
      </c>
    </row>
    <row r="2990" spans="6:8">
      <c r="H2990" t="s">
        <v>19709</v>
      </c>
    </row>
    <row r="2991" spans="6:8">
      <c r="H2991" t="s">
        <v>19706</v>
      </c>
    </row>
    <row r="2992" spans="6:8">
      <c r="H2992" t="s">
        <v>19707</v>
      </c>
    </row>
    <row r="2993" spans="6:8">
      <c r="H2993" t="s">
        <v>19711</v>
      </c>
    </row>
    <row r="2994" spans="6:8">
      <c r="H2994" t="s">
        <v>20107</v>
      </c>
    </row>
    <row r="2995" spans="6:8">
      <c r="H2995" t="s">
        <v>20108</v>
      </c>
    </row>
    <row r="2996" spans="6:8">
      <c r="H2996" t="s">
        <v>19713</v>
      </c>
    </row>
    <row r="2997" spans="6:8">
      <c r="H2997" t="s">
        <v>19714</v>
      </c>
    </row>
    <row r="2998" spans="6:8">
      <c r="H2998" t="s">
        <v>20109</v>
      </c>
    </row>
    <row r="2999" spans="6:8">
      <c r="H2999" t="s">
        <v>20095</v>
      </c>
    </row>
    <row r="3000" spans="6:8">
      <c r="H3000" t="s">
        <v>20096</v>
      </c>
    </row>
    <row r="3001" spans="6:8">
      <c r="H3001" t="s">
        <v>20097</v>
      </c>
    </row>
    <row r="3002" spans="6:8">
      <c r="H3002" t="s">
        <v>20098</v>
      </c>
    </row>
    <row r="3003" spans="6:8">
      <c r="H3003" t="s">
        <v>20099</v>
      </c>
    </row>
    <row r="3004" spans="6:8">
      <c r="H3004" t="s">
        <v>20100</v>
      </c>
    </row>
    <row r="3005" spans="6:8">
      <c r="F3005" t="s">
        <v>11071</v>
      </c>
      <c r="G3005" t="s">
        <v>15462</v>
      </c>
      <c r="H3005" t="s">
        <v>20091</v>
      </c>
    </row>
    <row r="3006" spans="6:8">
      <c r="H3006" t="s">
        <v>19712</v>
      </c>
    </row>
    <row r="3007" spans="6:8">
      <c r="H3007" t="s">
        <v>19709</v>
      </c>
    </row>
    <row r="3008" spans="6:8">
      <c r="H3008" t="s">
        <v>19706</v>
      </c>
    </row>
    <row r="3009" spans="6:8">
      <c r="H3009" t="s">
        <v>19707</v>
      </c>
    </row>
    <row r="3010" spans="6:8">
      <c r="H3010" t="s">
        <v>19711</v>
      </c>
    </row>
    <row r="3011" spans="6:8">
      <c r="H3011" t="s">
        <v>20107</v>
      </c>
    </row>
    <row r="3012" spans="6:8">
      <c r="H3012" t="s">
        <v>20108</v>
      </c>
    </row>
    <row r="3013" spans="6:8">
      <c r="H3013" t="s">
        <v>19713</v>
      </c>
    </row>
    <row r="3014" spans="6:8">
      <c r="H3014" t="s">
        <v>19714</v>
      </c>
    </row>
    <row r="3015" spans="6:8">
      <c r="H3015" t="s">
        <v>20109</v>
      </c>
    </row>
    <row r="3016" spans="6:8">
      <c r="H3016" t="s">
        <v>20095</v>
      </c>
    </row>
    <row r="3017" spans="6:8">
      <c r="H3017" t="s">
        <v>20096</v>
      </c>
    </row>
    <row r="3018" spans="6:8">
      <c r="H3018" t="s">
        <v>20097</v>
      </c>
    </row>
    <row r="3019" spans="6:8">
      <c r="H3019" t="s">
        <v>20098</v>
      </c>
    </row>
    <row r="3020" spans="6:8">
      <c r="H3020" t="s">
        <v>20099</v>
      </c>
    </row>
    <row r="3021" spans="6:8">
      <c r="H3021" t="s">
        <v>20100</v>
      </c>
    </row>
    <row r="3022" spans="6:8">
      <c r="F3022" t="s">
        <v>11072</v>
      </c>
      <c r="G3022" t="s">
        <v>15463</v>
      </c>
      <c r="H3022" t="s">
        <v>20091</v>
      </c>
    </row>
    <row r="3023" spans="6:8">
      <c r="H3023" t="s">
        <v>19712</v>
      </c>
    </row>
    <row r="3024" spans="6:8">
      <c r="H3024" t="s">
        <v>19709</v>
      </c>
    </row>
    <row r="3025" spans="6:8">
      <c r="H3025" t="s">
        <v>19706</v>
      </c>
    </row>
    <row r="3026" spans="6:8">
      <c r="H3026" t="s">
        <v>19707</v>
      </c>
    </row>
    <row r="3027" spans="6:8">
      <c r="H3027" t="s">
        <v>19711</v>
      </c>
    </row>
    <row r="3028" spans="6:8">
      <c r="H3028" t="s">
        <v>20107</v>
      </c>
    </row>
    <row r="3029" spans="6:8">
      <c r="H3029" t="s">
        <v>20108</v>
      </c>
    </row>
    <row r="3030" spans="6:8">
      <c r="H3030" t="s">
        <v>19713</v>
      </c>
    </row>
    <row r="3031" spans="6:8">
      <c r="H3031" t="s">
        <v>19714</v>
      </c>
    </row>
    <row r="3032" spans="6:8">
      <c r="H3032" t="s">
        <v>20109</v>
      </c>
    </row>
    <row r="3033" spans="6:8">
      <c r="H3033" t="s">
        <v>20095</v>
      </c>
    </row>
    <row r="3034" spans="6:8">
      <c r="H3034" t="s">
        <v>20096</v>
      </c>
    </row>
    <row r="3035" spans="6:8">
      <c r="H3035" t="s">
        <v>20097</v>
      </c>
    </row>
    <row r="3036" spans="6:8">
      <c r="H3036" t="s">
        <v>20098</v>
      </c>
    </row>
    <row r="3037" spans="6:8">
      <c r="H3037" t="s">
        <v>20099</v>
      </c>
    </row>
    <row r="3038" spans="6:8">
      <c r="H3038" t="s">
        <v>20100</v>
      </c>
    </row>
    <row r="3039" spans="6:8">
      <c r="F3039" t="s">
        <v>11073</v>
      </c>
      <c r="G3039" t="s">
        <v>15464</v>
      </c>
      <c r="H3039" t="s">
        <v>20091</v>
      </c>
    </row>
    <row r="3040" spans="6:8">
      <c r="H3040" t="s">
        <v>19712</v>
      </c>
    </row>
    <row r="3041" spans="6:8">
      <c r="H3041" t="s">
        <v>19709</v>
      </c>
    </row>
    <row r="3042" spans="6:8">
      <c r="H3042" t="s">
        <v>19706</v>
      </c>
    </row>
    <row r="3043" spans="6:8">
      <c r="H3043" t="s">
        <v>19707</v>
      </c>
    </row>
    <row r="3044" spans="6:8">
      <c r="H3044" t="s">
        <v>19711</v>
      </c>
    </row>
    <row r="3045" spans="6:8">
      <c r="H3045" t="s">
        <v>20107</v>
      </c>
    </row>
    <row r="3046" spans="6:8">
      <c r="H3046" t="s">
        <v>20108</v>
      </c>
    </row>
    <row r="3047" spans="6:8">
      <c r="H3047" t="s">
        <v>19713</v>
      </c>
    </row>
    <row r="3048" spans="6:8">
      <c r="H3048" t="s">
        <v>19714</v>
      </c>
    </row>
    <row r="3049" spans="6:8">
      <c r="H3049" t="s">
        <v>20109</v>
      </c>
    </row>
    <row r="3050" spans="6:8">
      <c r="H3050" t="s">
        <v>20095</v>
      </c>
    </row>
    <row r="3051" spans="6:8">
      <c r="H3051" t="s">
        <v>20096</v>
      </c>
    </row>
    <row r="3052" spans="6:8">
      <c r="H3052" t="s">
        <v>20097</v>
      </c>
    </row>
    <row r="3053" spans="6:8">
      <c r="H3053" t="s">
        <v>20098</v>
      </c>
    </row>
    <row r="3054" spans="6:8">
      <c r="H3054" t="s">
        <v>20099</v>
      </c>
    </row>
    <row r="3055" spans="6:8">
      <c r="H3055" t="s">
        <v>20100</v>
      </c>
    </row>
    <row r="3056" spans="6:8">
      <c r="F3056" t="s">
        <v>11074</v>
      </c>
      <c r="G3056" t="s">
        <v>15465</v>
      </c>
      <c r="H3056" t="s">
        <v>20091</v>
      </c>
    </row>
    <row r="3057" spans="6:8">
      <c r="H3057" t="s">
        <v>19712</v>
      </c>
    </row>
    <row r="3058" spans="6:8">
      <c r="H3058" t="s">
        <v>19709</v>
      </c>
    </row>
    <row r="3059" spans="6:8">
      <c r="H3059" t="s">
        <v>19706</v>
      </c>
    </row>
    <row r="3060" spans="6:8">
      <c r="H3060" t="s">
        <v>20107</v>
      </c>
    </row>
    <row r="3061" spans="6:8">
      <c r="H3061" t="s">
        <v>20108</v>
      </c>
    </row>
    <row r="3062" spans="6:8">
      <c r="H3062" t="s">
        <v>19713</v>
      </c>
    </row>
    <row r="3063" spans="6:8">
      <c r="H3063" t="s">
        <v>19714</v>
      </c>
    </row>
    <row r="3064" spans="6:8">
      <c r="H3064" t="s">
        <v>20095</v>
      </c>
    </row>
    <row r="3065" spans="6:8">
      <c r="H3065" t="s">
        <v>20096</v>
      </c>
    </row>
    <row r="3066" spans="6:8">
      <c r="H3066" t="s">
        <v>20097</v>
      </c>
    </row>
    <row r="3067" spans="6:8">
      <c r="H3067" t="s">
        <v>20098</v>
      </c>
    </row>
    <row r="3068" spans="6:8">
      <c r="H3068" t="s">
        <v>20099</v>
      </c>
    </row>
    <row r="3069" spans="6:8">
      <c r="H3069" t="s">
        <v>20100</v>
      </c>
    </row>
    <row r="3070" spans="6:8">
      <c r="F3070" t="s">
        <v>11075</v>
      </c>
      <c r="G3070" t="s">
        <v>15466</v>
      </c>
      <c r="H3070" t="s">
        <v>20091</v>
      </c>
    </row>
    <row r="3071" spans="6:8">
      <c r="H3071" t="s">
        <v>19712</v>
      </c>
    </row>
    <row r="3072" spans="6:8">
      <c r="H3072" t="s">
        <v>19709</v>
      </c>
    </row>
    <row r="3073" spans="6:8">
      <c r="H3073" t="s">
        <v>20107</v>
      </c>
    </row>
    <row r="3074" spans="6:8">
      <c r="H3074" t="s">
        <v>20108</v>
      </c>
    </row>
    <row r="3075" spans="6:8">
      <c r="H3075" t="s">
        <v>20095</v>
      </c>
    </row>
    <row r="3076" spans="6:8">
      <c r="H3076" t="s">
        <v>20096</v>
      </c>
    </row>
    <row r="3077" spans="6:8">
      <c r="H3077" t="s">
        <v>20097</v>
      </c>
    </row>
    <row r="3078" spans="6:8">
      <c r="H3078" t="s">
        <v>20098</v>
      </c>
    </row>
    <row r="3079" spans="6:8">
      <c r="H3079" t="s">
        <v>20099</v>
      </c>
    </row>
    <row r="3080" spans="6:8">
      <c r="H3080" t="s">
        <v>20100</v>
      </c>
    </row>
    <row r="3081" spans="6:8">
      <c r="F3081" t="s">
        <v>11076</v>
      </c>
      <c r="G3081" t="s">
        <v>15467</v>
      </c>
      <c r="H3081" t="s">
        <v>20091</v>
      </c>
    </row>
    <row r="3082" spans="6:8">
      <c r="H3082" t="s">
        <v>19712</v>
      </c>
    </row>
    <row r="3083" spans="6:8">
      <c r="H3083" t="s">
        <v>19709</v>
      </c>
    </row>
    <row r="3084" spans="6:8">
      <c r="H3084" t="s">
        <v>20107</v>
      </c>
    </row>
    <row r="3085" spans="6:8">
      <c r="H3085" t="s">
        <v>20108</v>
      </c>
    </row>
    <row r="3086" spans="6:8">
      <c r="H3086" t="s">
        <v>20095</v>
      </c>
    </row>
    <row r="3087" spans="6:8">
      <c r="H3087" t="s">
        <v>20096</v>
      </c>
    </row>
    <row r="3088" spans="6:8">
      <c r="H3088" t="s">
        <v>20097</v>
      </c>
    </row>
    <row r="3089" spans="6:8">
      <c r="H3089" t="s">
        <v>20098</v>
      </c>
    </row>
    <row r="3090" spans="6:8">
      <c r="H3090" t="s">
        <v>20099</v>
      </c>
    </row>
    <row r="3091" spans="6:8">
      <c r="H3091" t="s">
        <v>20100</v>
      </c>
    </row>
    <row r="3092" spans="6:8">
      <c r="F3092" t="s">
        <v>11077</v>
      </c>
      <c r="G3092" t="s">
        <v>15468</v>
      </c>
      <c r="H3092" t="s">
        <v>20091</v>
      </c>
    </row>
    <row r="3093" spans="6:8">
      <c r="H3093" t="s">
        <v>19712</v>
      </c>
    </row>
    <row r="3094" spans="6:8">
      <c r="H3094" t="s">
        <v>19709</v>
      </c>
    </row>
    <row r="3095" spans="6:8">
      <c r="H3095" t="s">
        <v>20107</v>
      </c>
    </row>
    <row r="3096" spans="6:8">
      <c r="H3096" t="s">
        <v>20108</v>
      </c>
    </row>
    <row r="3097" spans="6:8">
      <c r="H3097" t="s">
        <v>20095</v>
      </c>
    </row>
    <row r="3098" spans="6:8">
      <c r="H3098" t="s">
        <v>20096</v>
      </c>
    </row>
    <row r="3099" spans="6:8">
      <c r="H3099" t="s">
        <v>20097</v>
      </c>
    </row>
    <row r="3100" spans="6:8">
      <c r="H3100" t="s">
        <v>20098</v>
      </c>
    </row>
    <row r="3101" spans="6:8">
      <c r="H3101" t="s">
        <v>20099</v>
      </c>
    </row>
    <row r="3102" spans="6:8">
      <c r="H3102" t="s">
        <v>20100</v>
      </c>
    </row>
    <row r="3103" spans="6:8">
      <c r="F3103" t="s">
        <v>11078</v>
      </c>
      <c r="G3103" t="s">
        <v>15469</v>
      </c>
      <c r="H3103" t="s">
        <v>20091</v>
      </c>
    </row>
    <row r="3104" spans="6:8">
      <c r="H3104" t="s">
        <v>19712</v>
      </c>
    </row>
    <row r="3105" spans="6:8">
      <c r="H3105" t="s">
        <v>19709</v>
      </c>
    </row>
    <row r="3106" spans="6:8">
      <c r="H3106" t="s">
        <v>20107</v>
      </c>
    </row>
    <row r="3107" spans="6:8">
      <c r="H3107" t="s">
        <v>20108</v>
      </c>
    </row>
    <row r="3108" spans="6:8">
      <c r="H3108" t="s">
        <v>20095</v>
      </c>
    </row>
    <row r="3109" spans="6:8">
      <c r="H3109" t="s">
        <v>20096</v>
      </c>
    </row>
    <row r="3110" spans="6:8">
      <c r="H3110" t="s">
        <v>20097</v>
      </c>
    </row>
    <row r="3111" spans="6:8">
      <c r="H3111" t="s">
        <v>20098</v>
      </c>
    </row>
    <row r="3112" spans="6:8">
      <c r="H3112" t="s">
        <v>20099</v>
      </c>
    </row>
    <row r="3113" spans="6:8">
      <c r="H3113" t="s">
        <v>20100</v>
      </c>
    </row>
    <row r="3114" spans="6:8">
      <c r="F3114" t="s">
        <v>11079</v>
      </c>
      <c r="G3114" t="s">
        <v>15470</v>
      </c>
      <c r="H3114" t="s">
        <v>20091</v>
      </c>
    </row>
    <row r="3115" spans="6:8">
      <c r="H3115" t="s">
        <v>19712</v>
      </c>
    </row>
    <row r="3116" spans="6:8">
      <c r="H3116" t="s">
        <v>19709</v>
      </c>
    </row>
    <row r="3117" spans="6:8">
      <c r="H3117" t="s">
        <v>20107</v>
      </c>
    </row>
    <row r="3118" spans="6:8">
      <c r="H3118" t="s">
        <v>20108</v>
      </c>
    </row>
    <row r="3119" spans="6:8">
      <c r="H3119" t="s">
        <v>20095</v>
      </c>
    </row>
    <row r="3120" spans="6:8">
      <c r="H3120" t="s">
        <v>20096</v>
      </c>
    </row>
    <row r="3121" spans="6:8">
      <c r="H3121" t="s">
        <v>20097</v>
      </c>
    </row>
    <row r="3122" spans="6:8">
      <c r="H3122" t="s">
        <v>20098</v>
      </c>
    </row>
    <row r="3123" spans="6:8">
      <c r="H3123" t="s">
        <v>20099</v>
      </c>
    </row>
    <row r="3124" spans="6:8">
      <c r="H3124" t="s">
        <v>20100</v>
      </c>
    </row>
    <row r="3125" spans="6:8">
      <c r="F3125" t="s">
        <v>11080</v>
      </c>
      <c r="G3125" t="s">
        <v>15471</v>
      </c>
      <c r="H3125" t="s">
        <v>20091</v>
      </c>
    </row>
    <row r="3126" spans="6:8">
      <c r="H3126" t="s">
        <v>19712</v>
      </c>
    </row>
    <row r="3127" spans="6:8">
      <c r="H3127" t="s">
        <v>19709</v>
      </c>
    </row>
    <row r="3128" spans="6:8">
      <c r="H3128" t="s">
        <v>20107</v>
      </c>
    </row>
    <row r="3129" spans="6:8">
      <c r="H3129" t="s">
        <v>20108</v>
      </c>
    </row>
    <row r="3130" spans="6:8">
      <c r="H3130" t="s">
        <v>20095</v>
      </c>
    </row>
    <row r="3131" spans="6:8">
      <c r="H3131" t="s">
        <v>20096</v>
      </c>
    </row>
    <row r="3132" spans="6:8">
      <c r="H3132" t="s">
        <v>20097</v>
      </c>
    </row>
    <row r="3133" spans="6:8">
      <c r="H3133" t="s">
        <v>20098</v>
      </c>
    </row>
    <row r="3134" spans="6:8">
      <c r="H3134" t="s">
        <v>20099</v>
      </c>
    </row>
    <row r="3135" spans="6:8">
      <c r="H3135" t="s">
        <v>20100</v>
      </c>
    </row>
    <row r="3136" spans="6:8">
      <c r="F3136" t="s">
        <v>11081</v>
      </c>
      <c r="G3136" t="s">
        <v>15472</v>
      </c>
      <c r="H3136" t="s">
        <v>20091</v>
      </c>
    </row>
    <row r="3137" spans="6:8">
      <c r="H3137" t="s">
        <v>19712</v>
      </c>
    </row>
    <row r="3138" spans="6:8">
      <c r="H3138" t="s">
        <v>20095</v>
      </c>
    </row>
    <row r="3139" spans="6:8">
      <c r="H3139" t="s">
        <v>20096</v>
      </c>
    </row>
    <row r="3140" spans="6:8">
      <c r="H3140" t="s">
        <v>20097</v>
      </c>
    </row>
    <row r="3141" spans="6:8">
      <c r="H3141" t="s">
        <v>20098</v>
      </c>
    </row>
    <row r="3142" spans="6:8">
      <c r="H3142" t="s">
        <v>20099</v>
      </c>
    </row>
    <row r="3143" spans="6:8">
      <c r="F3143" t="s">
        <v>11082</v>
      </c>
      <c r="G3143" t="s">
        <v>15473</v>
      </c>
      <c r="H3143" t="s">
        <v>20091</v>
      </c>
    </row>
    <row r="3144" spans="6:8">
      <c r="H3144" t="s">
        <v>19712</v>
      </c>
    </row>
    <row r="3145" spans="6:8">
      <c r="H3145" t="s">
        <v>20095</v>
      </c>
    </row>
    <row r="3146" spans="6:8">
      <c r="H3146" t="s">
        <v>20096</v>
      </c>
    </row>
    <row r="3147" spans="6:8">
      <c r="H3147" t="s">
        <v>20097</v>
      </c>
    </row>
    <row r="3148" spans="6:8">
      <c r="H3148" t="s">
        <v>20098</v>
      </c>
    </row>
    <row r="3149" spans="6:8">
      <c r="H3149" t="s">
        <v>20099</v>
      </c>
    </row>
    <row r="3150" spans="6:8">
      <c r="F3150" t="s">
        <v>11083</v>
      </c>
      <c r="G3150" t="s">
        <v>15474</v>
      </c>
      <c r="H3150" t="s">
        <v>20091</v>
      </c>
    </row>
    <row r="3151" spans="6:8">
      <c r="H3151" t="s">
        <v>19712</v>
      </c>
    </row>
    <row r="3152" spans="6:8">
      <c r="H3152" t="s">
        <v>19709</v>
      </c>
    </row>
    <row r="3153" spans="8:8">
      <c r="H3153" t="s">
        <v>20107</v>
      </c>
    </row>
    <row r="3154" spans="8:8">
      <c r="H3154" t="s">
        <v>20108</v>
      </c>
    </row>
    <row r="3155" spans="8:8">
      <c r="H3155" t="s">
        <v>19713</v>
      </c>
    </row>
    <row r="3156" spans="8:8">
      <c r="H3156" t="s">
        <v>19714</v>
      </c>
    </row>
    <row r="3157" spans="8:8">
      <c r="H3157" t="s">
        <v>20109</v>
      </c>
    </row>
    <row r="3158" spans="8:8">
      <c r="H3158" t="s">
        <v>20110</v>
      </c>
    </row>
    <row r="3159" spans="8:8">
      <c r="H3159" t="s">
        <v>20111</v>
      </c>
    </row>
    <row r="3160" spans="8:8">
      <c r="H3160" t="s">
        <v>20095</v>
      </c>
    </row>
    <row r="3161" spans="8:8">
      <c r="H3161" t="s">
        <v>20096</v>
      </c>
    </row>
    <row r="3162" spans="8:8">
      <c r="H3162" t="s">
        <v>20097</v>
      </c>
    </row>
    <row r="3163" spans="8:8">
      <c r="H3163" t="s">
        <v>20098</v>
      </c>
    </row>
    <row r="3164" spans="8:8">
      <c r="H3164" t="s">
        <v>19706</v>
      </c>
    </row>
    <row r="3165" spans="8:8">
      <c r="H3165" t="s">
        <v>19707</v>
      </c>
    </row>
    <row r="3166" spans="8:8">
      <c r="H3166" t="s">
        <v>19711</v>
      </c>
    </row>
    <row r="3167" spans="8:8">
      <c r="H3167" t="s">
        <v>20112</v>
      </c>
    </row>
    <row r="3168" spans="8:8">
      <c r="H3168" t="s">
        <v>20113</v>
      </c>
    </row>
    <row r="3169" spans="6:8">
      <c r="H3169" t="s">
        <v>20114</v>
      </c>
    </row>
    <row r="3170" spans="6:8">
      <c r="H3170" t="s">
        <v>20115</v>
      </c>
    </row>
    <row r="3171" spans="6:8">
      <c r="H3171" t="s">
        <v>20120</v>
      </c>
    </row>
    <row r="3172" spans="6:8">
      <c r="H3172" t="s">
        <v>20121</v>
      </c>
    </row>
    <row r="3173" spans="6:8">
      <c r="H3173" t="s">
        <v>20122</v>
      </c>
    </row>
    <row r="3174" spans="6:8">
      <c r="H3174" t="s">
        <v>20099</v>
      </c>
    </row>
    <row r="3175" spans="6:8">
      <c r="H3175" t="s">
        <v>20100</v>
      </c>
    </row>
    <row r="3176" spans="6:8">
      <c r="H3176" t="s">
        <v>20101</v>
      </c>
    </row>
    <row r="3177" spans="6:8">
      <c r="H3177" t="s">
        <v>20102</v>
      </c>
    </row>
    <row r="3178" spans="6:8">
      <c r="F3178" t="s">
        <v>11084</v>
      </c>
      <c r="G3178" t="s">
        <v>15475</v>
      </c>
      <c r="H3178" t="s">
        <v>20091</v>
      </c>
    </row>
    <row r="3179" spans="6:8">
      <c r="H3179" t="s">
        <v>19712</v>
      </c>
    </row>
    <row r="3180" spans="6:8">
      <c r="H3180" t="s">
        <v>20095</v>
      </c>
    </row>
    <row r="3181" spans="6:8">
      <c r="H3181" t="s">
        <v>20096</v>
      </c>
    </row>
    <row r="3182" spans="6:8">
      <c r="H3182" t="s">
        <v>20097</v>
      </c>
    </row>
    <row r="3183" spans="6:8">
      <c r="H3183" t="s">
        <v>20098</v>
      </c>
    </row>
    <row r="3184" spans="6:8">
      <c r="H3184" t="s">
        <v>19709</v>
      </c>
    </row>
    <row r="3185" spans="6:8">
      <c r="H3185" t="s">
        <v>19706</v>
      </c>
    </row>
    <row r="3186" spans="6:8">
      <c r="H3186" t="s">
        <v>20099</v>
      </c>
    </row>
    <row r="3187" spans="6:8">
      <c r="H3187" t="s">
        <v>20100</v>
      </c>
    </row>
    <row r="3188" spans="6:8">
      <c r="H3188" t="s">
        <v>20101</v>
      </c>
    </row>
    <row r="3189" spans="6:8">
      <c r="H3189" t="s">
        <v>20102</v>
      </c>
    </row>
    <row r="3190" spans="6:8">
      <c r="F3190" t="s">
        <v>11085</v>
      </c>
      <c r="G3190" t="s">
        <v>15476</v>
      </c>
      <c r="H3190" t="s">
        <v>20091</v>
      </c>
    </row>
    <row r="3191" spans="6:8">
      <c r="H3191" t="s">
        <v>19712</v>
      </c>
    </row>
    <row r="3192" spans="6:8">
      <c r="H3192" t="s">
        <v>20095</v>
      </c>
    </row>
    <row r="3193" spans="6:8">
      <c r="H3193" t="s">
        <v>20096</v>
      </c>
    </row>
    <row r="3194" spans="6:8">
      <c r="H3194" t="s">
        <v>20097</v>
      </c>
    </row>
    <row r="3195" spans="6:8">
      <c r="H3195" t="s">
        <v>20098</v>
      </c>
    </row>
    <row r="3196" spans="6:8">
      <c r="F3196" t="s">
        <v>11086</v>
      </c>
      <c r="G3196" t="s">
        <v>15477</v>
      </c>
      <c r="H3196" t="s">
        <v>20091</v>
      </c>
    </row>
    <row r="3197" spans="6:8">
      <c r="H3197" t="s">
        <v>19712</v>
      </c>
    </row>
    <row r="3198" spans="6:8">
      <c r="H3198" t="s">
        <v>20095</v>
      </c>
    </row>
    <row r="3199" spans="6:8">
      <c r="H3199" t="s">
        <v>20096</v>
      </c>
    </row>
    <row r="3200" spans="6:8">
      <c r="H3200" t="s">
        <v>20097</v>
      </c>
    </row>
    <row r="3201" spans="6:8">
      <c r="H3201" t="s">
        <v>20098</v>
      </c>
    </row>
    <row r="3202" spans="6:8">
      <c r="F3202" t="s">
        <v>11087</v>
      </c>
      <c r="G3202" t="s">
        <v>15478</v>
      </c>
      <c r="H3202" t="s">
        <v>20091</v>
      </c>
    </row>
    <row r="3203" spans="6:8">
      <c r="H3203" t="s">
        <v>19712</v>
      </c>
    </row>
    <row r="3204" spans="6:8">
      <c r="H3204" t="s">
        <v>20095</v>
      </c>
    </row>
    <row r="3205" spans="6:8">
      <c r="H3205" t="s">
        <v>20096</v>
      </c>
    </row>
    <row r="3206" spans="6:8">
      <c r="H3206" t="s">
        <v>20097</v>
      </c>
    </row>
    <row r="3207" spans="6:8">
      <c r="H3207" t="s">
        <v>20098</v>
      </c>
    </row>
    <row r="3208" spans="6:8">
      <c r="F3208" t="s">
        <v>11088</v>
      </c>
      <c r="G3208" t="s">
        <v>15479</v>
      </c>
      <c r="H3208" t="s">
        <v>20091</v>
      </c>
    </row>
    <row r="3209" spans="6:8">
      <c r="H3209" t="s">
        <v>19712</v>
      </c>
    </row>
    <row r="3210" spans="6:8">
      <c r="H3210" t="s">
        <v>20095</v>
      </c>
    </row>
    <row r="3211" spans="6:8">
      <c r="H3211" t="s">
        <v>20096</v>
      </c>
    </row>
    <row r="3212" spans="6:8">
      <c r="H3212" t="s">
        <v>20097</v>
      </c>
    </row>
    <row r="3213" spans="6:8">
      <c r="H3213" t="s">
        <v>20098</v>
      </c>
    </row>
    <row r="3214" spans="6:8">
      <c r="F3214" t="s">
        <v>11089</v>
      </c>
      <c r="G3214" t="s">
        <v>15480</v>
      </c>
      <c r="H3214" t="s">
        <v>20091</v>
      </c>
    </row>
    <row r="3215" spans="6:8">
      <c r="H3215" t="s">
        <v>19712</v>
      </c>
    </row>
    <row r="3216" spans="6:8">
      <c r="H3216" t="s">
        <v>19709</v>
      </c>
    </row>
    <row r="3217" spans="6:8">
      <c r="H3217" t="s">
        <v>19706</v>
      </c>
    </row>
    <row r="3218" spans="6:8">
      <c r="H3218" t="s">
        <v>20107</v>
      </c>
    </row>
    <row r="3219" spans="6:8">
      <c r="H3219" t="s">
        <v>20108</v>
      </c>
    </row>
    <row r="3220" spans="6:8">
      <c r="H3220" t="s">
        <v>19713</v>
      </c>
    </row>
    <row r="3221" spans="6:8">
      <c r="H3221" t="s">
        <v>19714</v>
      </c>
    </row>
    <row r="3222" spans="6:8">
      <c r="H3222" t="s">
        <v>20109</v>
      </c>
    </row>
    <row r="3223" spans="6:8">
      <c r="H3223" t="s">
        <v>20095</v>
      </c>
    </row>
    <row r="3224" spans="6:8">
      <c r="H3224" t="s">
        <v>20096</v>
      </c>
    </row>
    <row r="3225" spans="6:8">
      <c r="H3225" t="s">
        <v>20097</v>
      </c>
    </row>
    <row r="3226" spans="6:8">
      <c r="H3226" t="s">
        <v>20098</v>
      </c>
    </row>
    <row r="3227" spans="6:8">
      <c r="F3227" t="s">
        <v>11090</v>
      </c>
      <c r="G3227" t="s">
        <v>15481</v>
      </c>
      <c r="H3227" t="s">
        <v>20091</v>
      </c>
    </row>
    <row r="3228" spans="6:8">
      <c r="H3228" t="s">
        <v>19712</v>
      </c>
    </row>
    <row r="3229" spans="6:8">
      <c r="H3229" t="s">
        <v>19709</v>
      </c>
    </row>
    <row r="3230" spans="6:8">
      <c r="H3230" t="s">
        <v>19706</v>
      </c>
    </row>
    <row r="3231" spans="6:8">
      <c r="H3231" t="s">
        <v>19707</v>
      </c>
    </row>
    <row r="3232" spans="6:8">
      <c r="H3232" t="s">
        <v>20107</v>
      </c>
    </row>
    <row r="3233" spans="6:8">
      <c r="H3233" t="s">
        <v>20108</v>
      </c>
    </row>
    <row r="3234" spans="6:8">
      <c r="H3234" t="s">
        <v>20095</v>
      </c>
    </row>
    <row r="3235" spans="6:8">
      <c r="H3235" t="s">
        <v>20096</v>
      </c>
    </row>
    <row r="3236" spans="6:8">
      <c r="H3236" t="s">
        <v>20097</v>
      </c>
    </row>
    <row r="3237" spans="6:8">
      <c r="H3237" t="s">
        <v>20098</v>
      </c>
    </row>
    <row r="3238" spans="6:8">
      <c r="F3238" t="s">
        <v>11091</v>
      </c>
      <c r="G3238" t="s">
        <v>15482</v>
      </c>
      <c r="H3238" t="s">
        <v>20091</v>
      </c>
    </row>
    <row r="3239" spans="6:8">
      <c r="H3239" t="s">
        <v>19712</v>
      </c>
    </row>
    <row r="3240" spans="6:8">
      <c r="H3240" t="s">
        <v>19709</v>
      </c>
    </row>
    <row r="3241" spans="6:8">
      <c r="H3241" t="s">
        <v>20092</v>
      </c>
    </row>
    <row r="3242" spans="6:8">
      <c r="H3242" t="s">
        <v>20093</v>
      </c>
    </row>
    <row r="3243" spans="6:8">
      <c r="H3243" t="s">
        <v>20094</v>
      </c>
    </row>
    <row r="3244" spans="6:8">
      <c r="H3244" t="s">
        <v>20103</v>
      </c>
    </row>
    <row r="3245" spans="6:8">
      <c r="H3245" t="s">
        <v>20116</v>
      </c>
    </row>
    <row r="3246" spans="6:8">
      <c r="H3246" t="s">
        <v>20117</v>
      </c>
    </row>
    <row r="3247" spans="6:8">
      <c r="H3247" t="s">
        <v>20118</v>
      </c>
    </row>
    <row r="3248" spans="6:8">
      <c r="H3248" t="s">
        <v>19176</v>
      </c>
    </row>
    <row r="3249" spans="6:8">
      <c r="H3249" t="s">
        <v>20095</v>
      </c>
    </row>
    <row r="3250" spans="6:8">
      <c r="H3250" t="s">
        <v>20096</v>
      </c>
    </row>
    <row r="3251" spans="6:8">
      <c r="H3251" t="s">
        <v>20099</v>
      </c>
    </row>
    <row r="3252" spans="6:8">
      <c r="H3252" t="s">
        <v>20100</v>
      </c>
    </row>
    <row r="3253" spans="6:8">
      <c r="H3253" t="s">
        <v>20101</v>
      </c>
    </row>
    <row r="3254" spans="6:8">
      <c r="H3254" t="s">
        <v>20102</v>
      </c>
    </row>
    <row r="3255" spans="6:8">
      <c r="H3255" t="s">
        <v>20104</v>
      </c>
    </row>
    <row r="3256" spans="6:8">
      <c r="H3256" t="s">
        <v>20105</v>
      </c>
    </row>
    <row r="3257" spans="6:8">
      <c r="H3257" t="s">
        <v>20123</v>
      </c>
    </row>
    <row r="3258" spans="6:8">
      <c r="H3258" t="s">
        <v>20124</v>
      </c>
    </row>
    <row r="3259" spans="6:8">
      <c r="F3259" t="s">
        <v>11092</v>
      </c>
      <c r="G3259" t="s">
        <v>15483</v>
      </c>
      <c r="H3259" t="s">
        <v>20091</v>
      </c>
    </row>
    <row r="3260" spans="6:8">
      <c r="H3260" t="s">
        <v>19712</v>
      </c>
    </row>
    <row r="3261" spans="6:8">
      <c r="H3261" t="s">
        <v>19709</v>
      </c>
    </row>
    <row r="3262" spans="6:8">
      <c r="H3262" t="s">
        <v>19706</v>
      </c>
    </row>
    <row r="3263" spans="6:8">
      <c r="H3263" t="s">
        <v>19707</v>
      </c>
    </row>
    <row r="3264" spans="6:8">
      <c r="H3264" t="s">
        <v>19711</v>
      </c>
    </row>
    <row r="3265" spans="8:8">
      <c r="H3265" t="s">
        <v>19708</v>
      </c>
    </row>
    <row r="3266" spans="8:8">
      <c r="H3266" t="s">
        <v>19710</v>
      </c>
    </row>
    <row r="3267" spans="8:8">
      <c r="H3267" t="s">
        <v>20092</v>
      </c>
    </row>
    <row r="3268" spans="8:8">
      <c r="H3268" t="s">
        <v>20093</v>
      </c>
    </row>
    <row r="3269" spans="8:8">
      <c r="H3269" t="s">
        <v>20094</v>
      </c>
    </row>
    <row r="3270" spans="8:8">
      <c r="H3270" t="s">
        <v>20103</v>
      </c>
    </row>
    <row r="3271" spans="8:8">
      <c r="H3271" t="s">
        <v>20116</v>
      </c>
    </row>
    <row r="3272" spans="8:8">
      <c r="H3272" t="s">
        <v>20117</v>
      </c>
    </row>
    <row r="3273" spans="8:8">
      <c r="H3273" t="s">
        <v>20118</v>
      </c>
    </row>
    <row r="3274" spans="8:8">
      <c r="H3274" t="s">
        <v>20095</v>
      </c>
    </row>
    <row r="3275" spans="8:8">
      <c r="H3275" t="s">
        <v>20096</v>
      </c>
    </row>
    <row r="3276" spans="8:8">
      <c r="H3276" t="s">
        <v>20097</v>
      </c>
    </row>
    <row r="3277" spans="8:8">
      <c r="H3277" t="s">
        <v>20098</v>
      </c>
    </row>
    <row r="3278" spans="8:8">
      <c r="H3278" t="s">
        <v>20099</v>
      </c>
    </row>
    <row r="3279" spans="8:8">
      <c r="H3279" t="s">
        <v>20100</v>
      </c>
    </row>
    <row r="3280" spans="8:8">
      <c r="H3280" t="s">
        <v>20101</v>
      </c>
    </row>
    <row r="3281" spans="6:8">
      <c r="H3281" t="s">
        <v>20102</v>
      </c>
    </row>
    <row r="3282" spans="6:8">
      <c r="H3282" t="s">
        <v>20104</v>
      </c>
    </row>
    <row r="3283" spans="6:8">
      <c r="H3283" t="s">
        <v>20105</v>
      </c>
    </row>
    <row r="3284" spans="6:8">
      <c r="H3284" t="s">
        <v>20123</v>
      </c>
    </row>
    <row r="3285" spans="6:8">
      <c r="F3285" t="s">
        <v>11093</v>
      </c>
      <c r="G3285" t="s">
        <v>15104</v>
      </c>
      <c r="H3285" t="s">
        <v>20125</v>
      </c>
    </row>
    <row r="3286" spans="6:8">
      <c r="F3286" t="s">
        <v>11094</v>
      </c>
      <c r="G3286" t="s">
        <v>15484</v>
      </c>
      <c r="H3286" t="s">
        <v>20091</v>
      </c>
    </row>
    <row r="3287" spans="6:8">
      <c r="H3287" t="s">
        <v>19712</v>
      </c>
    </row>
    <row r="3288" spans="6:8">
      <c r="H3288" t="s">
        <v>19709</v>
      </c>
    </row>
    <row r="3289" spans="6:8">
      <c r="H3289" t="s">
        <v>19706</v>
      </c>
    </row>
    <row r="3290" spans="6:8">
      <c r="H3290" t="s">
        <v>19707</v>
      </c>
    </row>
    <row r="3291" spans="6:8">
      <c r="H3291" t="s">
        <v>19711</v>
      </c>
    </row>
    <row r="3292" spans="6:8">
      <c r="H3292" t="s">
        <v>20092</v>
      </c>
    </row>
    <row r="3293" spans="6:8">
      <c r="H3293" t="s">
        <v>20093</v>
      </c>
    </row>
    <row r="3294" spans="6:8">
      <c r="H3294" t="s">
        <v>20094</v>
      </c>
    </row>
    <row r="3295" spans="6:8">
      <c r="H3295" t="s">
        <v>20116</v>
      </c>
    </row>
    <row r="3296" spans="6:8">
      <c r="H3296" t="s">
        <v>20117</v>
      </c>
    </row>
    <row r="3297" spans="6:8">
      <c r="H3297" t="s">
        <v>20118</v>
      </c>
    </row>
    <row r="3298" spans="6:8">
      <c r="H3298" t="s">
        <v>19176</v>
      </c>
    </row>
    <row r="3299" spans="6:8">
      <c r="H3299" t="s">
        <v>20119</v>
      </c>
    </row>
    <row r="3300" spans="6:8">
      <c r="H3300" t="s">
        <v>20095</v>
      </c>
    </row>
    <row r="3301" spans="6:8">
      <c r="H3301" t="s">
        <v>20096</v>
      </c>
    </row>
    <row r="3302" spans="6:8">
      <c r="H3302" t="s">
        <v>20097</v>
      </c>
    </row>
    <row r="3303" spans="6:8">
      <c r="H3303" t="s">
        <v>20098</v>
      </c>
    </row>
    <row r="3304" spans="6:8">
      <c r="H3304" t="s">
        <v>20099</v>
      </c>
    </row>
    <row r="3305" spans="6:8">
      <c r="H3305" t="s">
        <v>20100</v>
      </c>
    </row>
    <row r="3306" spans="6:8">
      <c r="F3306" t="s">
        <v>11095</v>
      </c>
      <c r="G3306" t="s">
        <v>15485</v>
      </c>
      <c r="H3306" t="s">
        <v>20126</v>
      </c>
    </row>
    <row r="3307" spans="6:8">
      <c r="H3307" t="s">
        <v>20127</v>
      </c>
    </row>
    <row r="3308" spans="6:8">
      <c r="H3308" t="s">
        <v>20128</v>
      </c>
    </row>
    <row r="3309" spans="6:8">
      <c r="H3309" t="s">
        <v>20129</v>
      </c>
    </row>
    <row r="3310" spans="6:8">
      <c r="H3310" t="s">
        <v>20130</v>
      </c>
    </row>
    <row r="3311" spans="6:8">
      <c r="F3311" t="s">
        <v>11096</v>
      </c>
      <c r="G3311" t="s">
        <v>15486</v>
      </c>
      <c r="H3311" t="s">
        <v>20126</v>
      </c>
    </row>
    <row r="3312" spans="6:8">
      <c r="F3312" t="s">
        <v>11097</v>
      </c>
      <c r="G3312" t="s">
        <v>15487</v>
      </c>
      <c r="H3312" t="s">
        <v>20091</v>
      </c>
    </row>
    <row r="3313" spans="8:8">
      <c r="H3313" t="s">
        <v>19712</v>
      </c>
    </row>
    <row r="3314" spans="8:8">
      <c r="H3314" t="s">
        <v>19709</v>
      </c>
    </row>
    <row r="3315" spans="8:8">
      <c r="H3315" t="s">
        <v>19706</v>
      </c>
    </row>
    <row r="3316" spans="8:8">
      <c r="H3316" t="s">
        <v>19707</v>
      </c>
    </row>
    <row r="3317" spans="8:8">
      <c r="H3317" t="s">
        <v>19711</v>
      </c>
    </row>
    <row r="3318" spans="8:8">
      <c r="H3318" t="s">
        <v>20092</v>
      </c>
    </row>
    <row r="3319" spans="8:8">
      <c r="H3319" t="s">
        <v>20093</v>
      </c>
    </row>
    <row r="3320" spans="8:8">
      <c r="H3320" t="s">
        <v>20094</v>
      </c>
    </row>
    <row r="3321" spans="8:8">
      <c r="H3321" t="s">
        <v>20103</v>
      </c>
    </row>
    <row r="3322" spans="8:8">
      <c r="H3322" t="s">
        <v>20116</v>
      </c>
    </row>
    <row r="3323" spans="8:8">
      <c r="H3323" t="s">
        <v>20117</v>
      </c>
    </row>
    <row r="3324" spans="8:8">
      <c r="H3324" t="s">
        <v>20118</v>
      </c>
    </row>
    <row r="3325" spans="8:8">
      <c r="H3325" t="s">
        <v>19176</v>
      </c>
    </row>
    <row r="3326" spans="8:8">
      <c r="H3326" t="s">
        <v>20095</v>
      </c>
    </row>
    <row r="3327" spans="8:8">
      <c r="H3327" t="s">
        <v>20096</v>
      </c>
    </row>
    <row r="3328" spans="8:8">
      <c r="H3328" t="s">
        <v>20097</v>
      </c>
    </row>
    <row r="3329" spans="6:8">
      <c r="H3329" t="s">
        <v>20098</v>
      </c>
    </row>
    <row r="3330" spans="6:8">
      <c r="H3330" t="s">
        <v>20099</v>
      </c>
    </row>
    <row r="3331" spans="6:8">
      <c r="H3331" t="s">
        <v>20100</v>
      </c>
    </row>
    <row r="3332" spans="6:8">
      <c r="H3332" t="s">
        <v>20101</v>
      </c>
    </row>
    <row r="3333" spans="6:8">
      <c r="H3333" t="s">
        <v>20102</v>
      </c>
    </row>
    <row r="3334" spans="6:8">
      <c r="H3334" t="s">
        <v>20104</v>
      </c>
    </row>
    <row r="3335" spans="6:8">
      <c r="F3335" t="s">
        <v>11098</v>
      </c>
      <c r="G3335" t="s">
        <v>15488</v>
      </c>
      <c r="H3335" t="s">
        <v>20091</v>
      </c>
    </row>
    <row r="3336" spans="6:8">
      <c r="H3336" t="s">
        <v>19712</v>
      </c>
    </row>
    <row r="3337" spans="6:8">
      <c r="H3337" t="s">
        <v>19709</v>
      </c>
    </row>
    <row r="3338" spans="6:8">
      <c r="H3338" t="s">
        <v>20107</v>
      </c>
    </row>
    <row r="3339" spans="6:8">
      <c r="H3339" t="s">
        <v>20108</v>
      </c>
    </row>
    <row r="3340" spans="6:8">
      <c r="H3340" t="s">
        <v>20095</v>
      </c>
    </row>
    <row r="3341" spans="6:8">
      <c r="H3341" t="s">
        <v>20096</v>
      </c>
    </row>
    <row r="3342" spans="6:8">
      <c r="H3342" t="s">
        <v>20097</v>
      </c>
    </row>
    <row r="3343" spans="6:8">
      <c r="H3343" t="s">
        <v>20098</v>
      </c>
    </row>
    <row r="3344" spans="6:8">
      <c r="F3344" t="s">
        <v>11099</v>
      </c>
      <c r="G3344" t="s">
        <v>15489</v>
      </c>
      <c r="H3344" t="s">
        <v>20091</v>
      </c>
    </row>
    <row r="3345" spans="8:8">
      <c r="H3345" t="s">
        <v>19712</v>
      </c>
    </row>
    <row r="3346" spans="8:8">
      <c r="H3346" t="s">
        <v>19709</v>
      </c>
    </row>
    <row r="3347" spans="8:8">
      <c r="H3347" t="s">
        <v>19706</v>
      </c>
    </row>
    <row r="3348" spans="8:8">
      <c r="H3348" t="s">
        <v>19707</v>
      </c>
    </row>
    <row r="3349" spans="8:8">
      <c r="H3349" t="s">
        <v>19711</v>
      </c>
    </row>
    <row r="3350" spans="8:8">
      <c r="H3350" t="s">
        <v>20107</v>
      </c>
    </row>
    <row r="3351" spans="8:8">
      <c r="H3351" t="s">
        <v>20108</v>
      </c>
    </row>
    <row r="3352" spans="8:8">
      <c r="H3352" t="s">
        <v>19713</v>
      </c>
    </row>
    <row r="3353" spans="8:8">
      <c r="H3353" t="s">
        <v>19714</v>
      </c>
    </row>
    <row r="3354" spans="8:8">
      <c r="H3354" t="s">
        <v>20109</v>
      </c>
    </row>
    <row r="3355" spans="8:8">
      <c r="H3355" t="s">
        <v>20110</v>
      </c>
    </row>
    <row r="3356" spans="8:8">
      <c r="H3356" t="s">
        <v>20092</v>
      </c>
    </row>
    <row r="3357" spans="8:8">
      <c r="H3357" t="s">
        <v>20095</v>
      </c>
    </row>
    <row r="3358" spans="8:8">
      <c r="H3358" t="s">
        <v>20096</v>
      </c>
    </row>
    <row r="3359" spans="8:8">
      <c r="H3359" t="s">
        <v>20097</v>
      </c>
    </row>
    <row r="3360" spans="8:8">
      <c r="H3360" t="s">
        <v>20098</v>
      </c>
    </row>
    <row r="3361" spans="6:8">
      <c r="F3361" t="s">
        <v>11100</v>
      </c>
      <c r="G3361" t="s">
        <v>15490</v>
      </c>
      <c r="H3361" t="s">
        <v>20091</v>
      </c>
    </row>
    <row r="3362" spans="6:8">
      <c r="H3362" t="s">
        <v>19712</v>
      </c>
    </row>
    <row r="3363" spans="6:8">
      <c r="H3363" t="s">
        <v>19709</v>
      </c>
    </row>
    <row r="3364" spans="6:8">
      <c r="H3364" t="s">
        <v>20092</v>
      </c>
    </row>
    <row r="3365" spans="6:8">
      <c r="H3365" t="s">
        <v>20093</v>
      </c>
    </row>
    <row r="3366" spans="6:8">
      <c r="H3366" t="s">
        <v>20095</v>
      </c>
    </row>
    <row r="3367" spans="6:8">
      <c r="H3367" t="s">
        <v>20096</v>
      </c>
    </row>
    <row r="3368" spans="6:8">
      <c r="H3368" t="s">
        <v>20097</v>
      </c>
    </row>
    <row r="3369" spans="6:8">
      <c r="H3369" t="s">
        <v>20098</v>
      </c>
    </row>
    <row r="3370" spans="6:8">
      <c r="H3370" t="s">
        <v>20099</v>
      </c>
    </row>
    <row r="3371" spans="6:8">
      <c r="H3371" t="s">
        <v>20100</v>
      </c>
    </row>
    <row r="3372" spans="6:8">
      <c r="F3372" t="s">
        <v>11101</v>
      </c>
      <c r="G3372" t="s">
        <v>15491</v>
      </c>
      <c r="H3372" t="s">
        <v>20091</v>
      </c>
    </row>
    <row r="3373" spans="6:8">
      <c r="H3373" t="s">
        <v>19712</v>
      </c>
    </row>
    <row r="3374" spans="6:8">
      <c r="H3374" t="s">
        <v>19709</v>
      </c>
    </row>
    <row r="3375" spans="6:8">
      <c r="H3375" t="s">
        <v>19706</v>
      </c>
    </row>
    <row r="3376" spans="6:8">
      <c r="H3376" t="s">
        <v>19707</v>
      </c>
    </row>
    <row r="3377" spans="6:8">
      <c r="H3377" t="s">
        <v>20107</v>
      </c>
    </row>
    <row r="3378" spans="6:8">
      <c r="H3378" t="s">
        <v>20108</v>
      </c>
    </row>
    <row r="3379" spans="6:8">
      <c r="H3379" t="s">
        <v>19713</v>
      </c>
    </row>
    <row r="3380" spans="6:8">
      <c r="H3380" t="s">
        <v>19714</v>
      </c>
    </row>
    <row r="3381" spans="6:8">
      <c r="H3381" t="s">
        <v>20095</v>
      </c>
    </row>
    <row r="3382" spans="6:8">
      <c r="H3382" t="s">
        <v>20096</v>
      </c>
    </row>
    <row r="3383" spans="6:8">
      <c r="H3383" t="s">
        <v>20097</v>
      </c>
    </row>
    <row r="3384" spans="6:8">
      <c r="H3384" t="s">
        <v>20098</v>
      </c>
    </row>
    <row r="3385" spans="6:8">
      <c r="F3385" t="s">
        <v>11102</v>
      </c>
      <c r="G3385" t="s">
        <v>15492</v>
      </c>
      <c r="H3385" t="s">
        <v>20091</v>
      </c>
    </row>
    <row r="3386" spans="6:8">
      <c r="H3386" t="s">
        <v>19712</v>
      </c>
    </row>
    <row r="3387" spans="6:8">
      <c r="H3387" t="s">
        <v>19709</v>
      </c>
    </row>
    <row r="3388" spans="6:8">
      <c r="H3388" t="s">
        <v>19706</v>
      </c>
    </row>
    <row r="3389" spans="6:8">
      <c r="H3389" t="s">
        <v>19707</v>
      </c>
    </row>
    <row r="3390" spans="6:8">
      <c r="H3390" t="s">
        <v>20107</v>
      </c>
    </row>
    <row r="3391" spans="6:8">
      <c r="H3391" t="s">
        <v>20108</v>
      </c>
    </row>
    <row r="3392" spans="6:8">
      <c r="H3392" t="s">
        <v>19713</v>
      </c>
    </row>
    <row r="3393" spans="6:8">
      <c r="H3393" t="s">
        <v>19714</v>
      </c>
    </row>
    <row r="3394" spans="6:8">
      <c r="H3394" t="s">
        <v>20095</v>
      </c>
    </row>
    <row r="3395" spans="6:8">
      <c r="H3395" t="s">
        <v>20096</v>
      </c>
    </row>
    <row r="3396" spans="6:8">
      <c r="H3396" t="s">
        <v>20097</v>
      </c>
    </row>
    <row r="3397" spans="6:8">
      <c r="H3397" t="s">
        <v>20098</v>
      </c>
    </row>
    <row r="3398" spans="6:8">
      <c r="F3398" t="s">
        <v>11103</v>
      </c>
      <c r="G3398" t="s">
        <v>15493</v>
      </c>
      <c r="H3398" t="s">
        <v>20091</v>
      </c>
    </row>
    <row r="3399" spans="6:8">
      <c r="H3399" t="s">
        <v>19712</v>
      </c>
    </row>
    <row r="3400" spans="6:8">
      <c r="H3400" t="s">
        <v>20095</v>
      </c>
    </row>
    <row r="3401" spans="6:8">
      <c r="H3401" t="s">
        <v>20096</v>
      </c>
    </row>
    <row r="3402" spans="6:8">
      <c r="H3402" t="s">
        <v>20097</v>
      </c>
    </row>
    <row r="3403" spans="6:8">
      <c r="H3403" t="s">
        <v>19709</v>
      </c>
    </row>
    <row r="3404" spans="6:8">
      <c r="H3404" t="s">
        <v>19706</v>
      </c>
    </row>
    <row r="3405" spans="6:8">
      <c r="H3405" t="s">
        <v>20098</v>
      </c>
    </row>
    <row r="3406" spans="6:8">
      <c r="H3406" t="s">
        <v>20099</v>
      </c>
    </row>
    <row r="3407" spans="6:8">
      <c r="H3407" t="s">
        <v>20100</v>
      </c>
    </row>
    <row r="3408" spans="6:8">
      <c r="F3408" t="s">
        <v>11104</v>
      </c>
      <c r="G3408" t="s">
        <v>15494</v>
      </c>
      <c r="H3408" t="s">
        <v>20091</v>
      </c>
    </row>
    <row r="3409" spans="6:8">
      <c r="H3409" t="s">
        <v>19712</v>
      </c>
    </row>
    <row r="3410" spans="6:8">
      <c r="H3410" t="s">
        <v>20095</v>
      </c>
    </row>
    <row r="3411" spans="6:8">
      <c r="H3411" t="s">
        <v>20096</v>
      </c>
    </row>
    <row r="3412" spans="6:8">
      <c r="H3412" t="s">
        <v>20097</v>
      </c>
    </row>
    <row r="3413" spans="6:8">
      <c r="F3413" t="s">
        <v>11105</v>
      </c>
      <c r="G3413" t="s">
        <v>15495</v>
      </c>
      <c r="H3413" t="s">
        <v>20091</v>
      </c>
    </row>
    <row r="3414" spans="6:8">
      <c r="H3414" t="s">
        <v>19712</v>
      </c>
    </row>
    <row r="3415" spans="6:8">
      <c r="H3415" t="s">
        <v>20095</v>
      </c>
    </row>
    <row r="3416" spans="6:8">
      <c r="H3416" t="s">
        <v>20096</v>
      </c>
    </row>
    <row r="3417" spans="6:8">
      <c r="H3417" t="s">
        <v>20097</v>
      </c>
    </row>
    <row r="3418" spans="6:8">
      <c r="F3418" t="s">
        <v>11106</v>
      </c>
      <c r="G3418" t="s">
        <v>15496</v>
      </c>
      <c r="H3418" t="s">
        <v>20091</v>
      </c>
    </row>
    <row r="3419" spans="6:8">
      <c r="H3419" t="s">
        <v>19712</v>
      </c>
    </row>
    <row r="3420" spans="6:8">
      <c r="H3420" t="s">
        <v>20095</v>
      </c>
    </row>
    <row r="3421" spans="6:8">
      <c r="H3421" t="s">
        <v>20096</v>
      </c>
    </row>
    <row r="3422" spans="6:8">
      <c r="H3422" t="s">
        <v>20097</v>
      </c>
    </row>
    <row r="3423" spans="6:8">
      <c r="F3423" t="s">
        <v>11107</v>
      </c>
      <c r="G3423" t="s">
        <v>15497</v>
      </c>
      <c r="H3423" t="s">
        <v>20091</v>
      </c>
    </row>
    <row r="3424" spans="6:8">
      <c r="H3424" t="s">
        <v>19712</v>
      </c>
    </row>
    <row r="3425" spans="6:8">
      <c r="H3425" t="s">
        <v>20095</v>
      </c>
    </row>
    <row r="3426" spans="6:8">
      <c r="H3426" t="s">
        <v>20096</v>
      </c>
    </row>
    <row r="3427" spans="6:8">
      <c r="H3427" t="s">
        <v>20097</v>
      </c>
    </row>
    <row r="3428" spans="6:8">
      <c r="F3428" t="s">
        <v>11108</v>
      </c>
      <c r="G3428" t="s">
        <v>15498</v>
      </c>
      <c r="H3428" t="s">
        <v>20091</v>
      </c>
    </row>
    <row r="3429" spans="6:8">
      <c r="H3429" t="s">
        <v>19712</v>
      </c>
    </row>
    <row r="3430" spans="6:8">
      <c r="H3430" t="s">
        <v>19709</v>
      </c>
    </row>
    <row r="3431" spans="6:8">
      <c r="H3431" t="s">
        <v>19706</v>
      </c>
    </row>
    <row r="3432" spans="6:8">
      <c r="H3432" t="s">
        <v>20107</v>
      </c>
    </row>
    <row r="3433" spans="6:8">
      <c r="H3433" t="s">
        <v>20108</v>
      </c>
    </row>
    <row r="3434" spans="6:8">
      <c r="H3434" t="s">
        <v>19713</v>
      </c>
    </row>
    <row r="3435" spans="6:8">
      <c r="H3435" t="s">
        <v>19714</v>
      </c>
    </row>
    <row r="3436" spans="6:8">
      <c r="H3436" t="s">
        <v>20109</v>
      </c>
    </row>
    <row r="3437" spans="6:8">
      <c r="H3437" t="s">
        <v>20110</v>
      </c>
    </row>
    <row r="3438" spans="6:8">
      <c r="H3438" t="s">
        <v>20111</v>
      </c>
    </row>
    <row r="3439" spans="6:8">
      <c r="H3439" t="s">
        <v>20112</v>
      </c>
    </row>
    <row r="3440" spans="6:8">
      <c r="H3440" t="s">
        <v>20113</v>
      </c>
    </row>
    <row r="3441" spans="6:8">
      <c r="H3441" t="s">
        <v>20095</v>
      </c>
    </row>
    <row r="3442" spans="6:8">
      <c r="H3442" t="s">
        <v>20096</v>
      </c>
    </row>
    <row r="3443" spans="6:8">
      <c r="H3443" t="s">
        <v>20097</v>
      </c>
    </row>
    <row r="3444" spans="6:8">
      <c r="H3444" t="s">
        <v>20098</v>
      </c>
    </row>
    <row r="3445" spans="6:8">
      <c r="F3445" t="s">
        <v>11109</v>
      </c>
      <c r="G3445" t="s">
        <v>15499</v>
      </c>
      <c r="H3445" t="s">
        <v>20091</v>
      </c>
    </row>
    <row r="3446" spans="6:8">
      <c r="H3446" t="s">
        <v>19712</v>
      </c>
    </row>
    <row r="3447" spans="6:8">
      <c r="H3447" t="s">
        <v>19709</v>
      </c>
    </row>
    <row r="3448" spans="6:8">
      <c r="H3448" t="s">
        <v>19706</v>
      </c>
    </row>
    <row r="3449" spans="6:8">
      <c r="H3449" t="s">
        <v>19707</v>
      </c>
    </row>
    <row r="3450" spans="6:8">
      <c r="H3450" t="s">
        <v>20107</v>
      </c>
    </row>
    <row r="3451" spans="6:8">
      <c r="H3451" t="s">
        <v>20108</v>
      </c>
    </row>
    <row r="3452" spans="6:8">
      <c r="H3452" t="s">
        <v>19713</v>
      </c>
    </row>
    <row r="3453" spans="6:8">
      <c r="H3453" t="s">
        <v>19714</v>
      </c>
    </row>
    <row r="3454" spans="6:8">
      <c r="H3454" t="s">
        <v>20095</v>
      </c>
    </row>
    <row r="3455" spans="6:8">
      <c r="H3455" t="s">
        <v>20096</v>
      </c>
    </row>
    <row r="3456" spans="6:8">
      <c r="H3456" t="s">
        <v>20097</v>
      </c>
    </row>
    <row r="3457" spans="6:8">
      <c r="H3457" t="s">
        <v>20098</v>
      </c>
    </row>
    <row r="3458" spans="6:8">
      <c r="F3458" t="s">
        <v>11110</v>
      </c>
      <c r="G3458" t="s">
        <v>15500</v>
      </c>
      <c r="H3458" t="s">
        <v>20091</v>
      </c>
    </row>
    <row r="3459" spans="6:8">
      <c r="H3459" t="s">
        <v>19712</v>
      </c>
    </row>
    <row r="3460" spans="6:8">
      <c r="H3460" t="s">
        <v>19709</v>
      </c>
    </row>
    <row r="3461" spans="6:8">
      <c r="H3461" t="s">
        <v>20107</v>
      </c>
    </row>
    <row r="3462" spans="6:8">
      <c r="H3462" t="s">
        <v>20108</v>
      </c>
    </row>
    <row r="3463" spans="6:8">
      <c r="H3463" t="s">
        <v>20095</v>
      </c>
    </row>
    <row r="3464" spans="6:8">
      <c r="H3464" t="s">
        <v>20096</v>
      </c>
    </row>
    <row r="3465" spans="6:8">
      <c r="H3465" t="s">
        <v>20097</v>
      </c>
    </row>
    <row r="3466" spans="6:8">
      <c r="H3466" t="s">
        <v>20098</v>
      </c>
    </row>
    <row r="3467" spans="6:8">
      <c r="F3467" t="s">
        <v>11111</v>
      </c>
      <c r="G3467" t="s">
        <v>15501</v>
      </c>
      <c r="H3467" t="s">
        <v>20091</v>
      </c>
    </row>
    <row r="3468" spans="6:8">
      <c r="H3468" t="s">
        <v>19712</v>
      </c>
    </row>
    <row r="3469" spans="6:8">
      <c r="H3469" t="s">
        <v>20095</v>
      </c>
    </row>
    <row r="3470" spans="6:8">
      <c r="H3470" t="s">
        <v>20096</v>
      </c>
    </row>
    <row r="3471" spans="6:8">
      <c r="H3471" t="s">
        <v>20097</v>
      </c>
    </row>
    <row r="3472" spans="6:8">
      <c r="F3472" t="s">
        <v>11112</v>
      </c>
      <c r="G3472" t="s">
        <v>15502</v>
      </c>
      <c r="H3472" t="s">
        <v>20091</v>
      </c>
    </row>
    <row r="3473" spans="6:8">
      <c r="H3473" t="s">
        <v>19712</v>
      </c>
    </row>
    <row r="3474" spans="6:8">
      <c r="H3474" t="s">
        <v>20095</v>
      </c>
    </row>
    <row r="3475" spans="6:8">
      <c r="H3475" t="s">
        <v>20096</v>
      </c>
    </row>
    <row r="3476" spans="6:8">
      <c r="H3476" t="s">
        <v>20097</v>
      </c>
    </row>
    <row r="3477" spans="6:8">
      <c r="F3477" t="s">
        <v>11113</v>
      </c>
      <c r="G3477" t="s">
        <v>15503</v>
      </c>
      <c r="H3477" t="s">
        <v>20091</v>
      </c>
    </row>
    <row r="3478" spans="6:8">
      <c r="H3478" t="s">
        <v>19712</v>
      </c>
    </row>
    <row r="3479" spans="6:8">
      <c r="H3479" t="s">
        <v>19709</v>
      </c>
    </row>
    <row r="3480" spans="6:8">
      <c r="H3480" t="s">
        <v>20107</v>
      </c>
    </row>
    <row r="3481" spans="6:8">
      <c r="H3481" t="s">
        <v>20108</v>
      </c>
    </row>
    <row r="3482" spans="6:8">
      <c r="H3482" t="s">
        <v>19713</v>
      </c>
    </row>
    <row r="3483" spans="6:8">
      <c r="H3483" t="s">
        <v>20095</v>
      </c>
    </row>
    <row r="3484" spans="6:8">
      <c r="H3484" t="s">
        <v>20096</v>
      </c>
    </row>
    <row r="3485" spans="6:8">
      <c r="H3485" t="s">
        <v>20097</v>
      </c>
    </row>
    <row r="3486" spans="6:8">
      <c r="H3486" t="s">
        <v>20098</v>
      </c>
    </row>
    <row r="3487" spans="6:8">
      <c r="F3487" t="s">
        <v>11114</v>
      </c>
      <c r="G3487" t="s">
        <v>15504</v>
      </c>
      <c r="H3487" t="s">
        <v>20091</v>
      </c>
    </row>
    <row r="3488" spans="6:8">
      <c r="H3488" t="s">
        <v>19712</v>
      </c>
    </row>
    <row r="3489" spans="6:8">
      <c r="H3489" t="s">
        <v>19709</v>
      </c>
    </row>
    <row r="3490" spans="6:8">
      <c r="H3490" t="s">
        <v>20107</v>
      </c>
    </row>
    <row r="3491" spans="6:8">
      <c r="H3491" t="s">
        <v>20108</v>
      </c>
    </row>
    <row r="3492" spans="6:8">
      <c r="H3492" t="s">
        <v>19713</v>
      </c>
    </row>
    <row r="3493" spans="6:8">
      <c r="H3493" t="s">
        <v>20095</v>
      </c>
    </row>
    <row r="3494" spans="6:8">
      <c r="H3494" t="s">
        <v>20096</v>
      </c>
    </row>
    <row r="3495" spans="6:8">
      <c r="H3495" t="s">
        <v>20097</v>
      </c>
    </row>
    <row r="3496" spans="6:8">
      <c r="H3496" t="s">
        <v>20098</v>
      </c>
    </row>
    <row r="3497" spans="6:8">
      <c r="F3497" t="s">
        <v>11115</v>
      </c>
      <c r="G3497" t="s">
        <v>15505</v>
      </c>
      <c r="H3497" t="s">
        <v>20091</v>
      </c>
    </row>
    <row r="3498" spans="6:8">
      <c r="H3498" t="s">
        <v>19712</v>
      </c>
    </row>
    <row r="3499" spans="6:8">
      <c r="H3499" t="s">
        <v>19709</v>
      </c>
    </row>
    <row r="3500" spans="6:8">
      <c r="H3500" t="s">
        <v>19706</v>
      </c>
    </row>
    <row r="3501" spans="6:8">
      <c r="H3501" t="s">
        <v>20107</v>
      </c>
    </row>
    <row r="3502" spans="6:8">
      <c r="H3502" t="s">
        <v>20108</v>
      </c>
    </row>
    <row r="3503" spans="6:8">
      <c r="H3503" t="s">
        <v>19713</v>
      </c>
    </row>
    <row r="3504" spans="6:8">
      <c r="H3504" t="s">
        <v>20095</v>
      </c>
    </row>
    <row r="3505" spans="6:8">
      <c r="H3505" t="s">
        <v>20096</v>
      </c>
    </row>
    <row r="3506" spans="6:8">
      <c r="H3506" t="s">
        <v>20097</v>
      </c>
    </row>
    <row r="3507" spans="6:8">
      <c r="H3507" t="s">
        <v>20098</v>
      </c>
    </row>
    <row r="3508" spans="6:8">
      <c r="F3508" t="s">
        <v>11116</v>
      </c>
      <c r="G3508" t="s">
        <v>15506</v>
      </c>
      <c r="H3508" t="s">
        <v>20091</v>
      </c>
    </row>
    <row r="3509" spans="6:8">
      <c r="H3509" t="s">
        <v>19712</v>
      </c>
    </row>
    <row r="3510" spans="6:8">
      <c r="H3510" t="s">
        <v>19709</v>
      </c>
    </row>
    <row r="3511" spans="6:8">
      <c r="H3511" t="s">
        <v>20107</v>
      </c>
    </row>
    <row r="3512" spans="6:8">
      <c r="H3512" t="s">
        <v>20108</v>
      </c>
    </row>
    <row r="3513" spans="6:8">
      <c r="H3513" t="s">
        <v>19713</v>
      </c>
    </row>
    <row r="3514" spans="6:8">
      <c r="H3514" t="s">
        <v>19714</v>
      </c>
    </row>
    <row r="3515" spans="6:8">
      <c r="H3515" t="s">
        <v>20109</v>
      </c>
    </row>
    <row r="3516" spans="6:8">
      <c r="H3516" t="s">
        <v>20110</v>
      </c>
    </row>
    <row r="3517" spans="6:8">
      <c r="H3517" t="s">
        <v>20111</v>
      </c>
    </row>
    <row r="3518" spans="6:8">
      <c r="H3518" t="s">
        <v>20112</v>
      </c>
    </row>
    <row r="3519" spans="6:8">
      <c r="H3519" t="s">
        <v>20095</v>
      </c>
    </row>
    <row r="3520" spans="6:8">
      <c r="H3520" t="s">
        <v>20096</v>
      </c>
    </row>
    <row r="3521" spans="6:8">
      <c r="H3521" t="s">
        <v>20097</v>
      </c>
    </row>
    <row r="3522" spans="6:8">
      <c r="H3522" t="s">
        <v>20098</v>
      </c>
    </row>
    <row r="3523" spans="6:8">
      <c r="H3523" t="s">
        <v>20099</v>
      </c>
    </row>
    <row r="3524" spans="6:8">
      <c r="F3524" t="s">
        <v>11117</v>
      </c>
      <c r="G3524" t="s">
        <v>15507</v>
      </c>
      <c r="H3524" t="s">
        <v>20091</v>
      </c>
    </row>
    <row r="3525" spans="6:8">
      <c r="H3525" t="s">
        <v>19712</v>
      </c>
    </row>
    <row r="3526" spans="6:8">
      <c r="H3526" t="s">
        <v>20092</v>
      </c>
    </row>
    <row r="3527" spans="6:8">
      <c r="H3527" t="s">
        <v>20093</v>
      </c>
    </row>
    <row r="3528" spans="6:8">
      <c r="H3528" t="s">
        <v>20094</v>
      </c>
    </row>
    <row r="3529" spans="6:8">
      <c r="H3529" t="s">
        <v>20095</v>
      </c>
    </row>
    <row r="3530" spans="6:8">
      <c r="H3530" t="s">
        <v>20096</v>
      </c>
    </row>
    <row r="3531" spans="6:8">
      <c r="H3531" t="s">
        <v>20097</v>
      </c>
    </row>
    <row r="3532" spans="6:8">
      <c r="H3532" t="s">
        <v>20098</v>
      </c>
    </row>
    <row r="3533" spans="6:8">
      <c r="H3533" t="s">
        <v>20099</v>
      </c>
    </row>
    <row r="3534" spans="6:8">
      <c r="H3534" t="s">
        <v>20100</v>
      </c>
    </row>
    <row r="3535" spans="6:8">
      <c r="H3535" t="s">
        <v>20101</v>
      </c>
    </row>
    <row r="3536" spans="6:8">
      <c r="H3536" t="s">
        <v>20102</v>
      </c>
    </row>
    <row r="3537" spans="6:8">
      <c r="H3537" t="s">
        <v>20104</v>
      </c>
    </row>
    <row r="3538" spans="6:8">
      <c r="F3538" t="s">
        <v>11118</v>
      </c>
      <c r="G3538" t="s">
        <v>15508</v>
      </c>
      <c r="H3538" t="s">
        <v>20091</v>
      </c>
    </row>
    <row r="3539" spans="6:8">
      <c r="H3539" t="s">
        <v>19712</v>
      </c>
    </row>
    <row r="3540" spans="6:8">
      <c r="H3540" t="s">
        <v>19709</v>
      </c>
    </row>
    <row r="3541" spans="6:8">
      <c r="H3541" t="s">
        <v>20107</v>
      </c>
    </row>
    <row r="3542" spans="6:8">
      <c r="H3542" t="s">
        <v>20108</v>
      </c>
    </row>
    <row r="3543" spans="6:8">
      <c r="H3543" t="s">
        <v>20095</v>
      </c>
    </row>
    <row r="3544" spans="6:8">
      <c r="H3544" t="s">
        <v>20096</v>
      </c>
    </row>
    <row r="3545" spans="6:8">
      <c r="H3545" t="s">
        <v>20097</v>
      </c>
    </row>
    <row r="3546" spans="6:8">
      <c r="H3546" t="s">
        <v>20098</v>
      </c>
    </row>
    <row r="3547" spans="6:8">
      <c r="F3547" t="s">
        <v>11119</v>
      </c>
      <c r="G3547" t="s">
        <v>15509</v>
      </c>
      <c r="H3547" t="s">
        <v>20091</v>
      </c>
    </row>
    <row r="3548" spans="6:8">
      <c r="H3548" t="s">
        <v>19712</v>
      </c>
    </row>
    <row r="3549" spans="6:8">
      <c r="H3549" t="s">
        <v>20092</v>
      </c>
    </row>
    <row r="3550" spans="6:8">
      <c r="H3550" t="s">
        <v>20093</v>
      </c>
    </row>
    <row r="3551" spans="6:8">
      <c r="H3551" t="s">
        <v>20094</v>
      </c>
    </row>
    <row r="3552" spans="6:8">
      <c r="H3552" t="s">
        <v>20095</v>
      </c>
    </row>
    <row r="3553" spans="6:8">
      <c r="H3553" t="s">
        <v>20096</v>
      </c>
    </row>
    <row r="3554" spans="6:8">
      <c r="H3554" t="s">
        <v>20097</v>
      </c>
    </row>
    <row r="3555" spans="6:8">
      <c r="H3555" t="s">
        <v>20098</v>
      </c>
    </row>
    <row r="3556" spans="6:8">
      <c r="H3556" t="s">
        <v>20099</v>
      </c>
    </row>
    <row r="3557" spans="6:8">
      <c r="H3557" t="s">
        <v>20100</v>
      </c>
    </row>
    <row r="3558" spans="6:8">
      <c r="H3558" t="s">
        <v>20101</v>
      </c>
    </row>
    <row r="3559" spans="6:8">
      <c r="H3559" t="s">
        <v>20102</v>
      </c>
    </row>
    <row r="3560" spans="6:8">
      <c r="F3560" t="s">
        <v>11120</v>
      </c>
      <c r="G3560" t="s">
        <v>15510</v>
      </c>
      <c r="H3560" t="s">
        <v>20091</v>
      </c>
    </row>
    <row r="3561" spans="6:8">
      <c r="H3561" t="s">
        <v>19712</v>
      </c>
    </row>
    <row r="3562" spans="6:8">
      <c r="H3562" t="s">
        <v>19709</v>
      </c>
    </row>
    <row r="3563" spans="6:8">
      <c r="H3563" t="s">
        <v>20107</v>
      </c>
    </row>
    <row r="3564" spans="6:8">
      <c r="H3564" t="s">
        <v>20108</v>
      </c>
    </row>
    <row r="3565" spans="6:8">
      <c r="H3565" t="s">
        <v>19713</v>
      </c>
    </row>
    <row r="3566" spans="6:8">
      <c r="H3566" t="s">
        <v>19714</v>
      </c>
    </row>
    <row r="3567" spans="6:8">
      <c r="H3567" t="s">
        <v>20109</v>
      </c>
    </row>
    <row r="3568" spans="6:8">
      <c r="H3568" t="s">
        <v>20110</v>
      </c>
    </row>
    <row r="3569" spans="6:8">
      <c r="H3569" t="s">
        <v>20095</v>
      </c>
    </row>
    <row r="3570" spans="6:8">
      <c r="H3570" t="s">
        <v>20096</v>
      </c>
    </row>
    <row r="3571" spans="6:8">
      <c r="H3571" t="s">
        <v>20097</v>
      </c>
    </row>
    <row r="3572" spans="6:8">
      <c r="H3572" t="s">
        <v>20098</v>
      </c>
    </row>
    <row r="3573" spans="6:8">
      <c r="H3573" t="s">
        <v>20099</v>
      </c>
    </row>
    <row r="3574" spans="6:8">
      <c r="F3574" t="s">
        <v>11121</v>
      </c>
      <c r="G3574" t="s">
        <v>15511</v>
      </c>
      <c r="H3574" t="s">
        <v>20091</v>
      </c>
    </row>
    <row r="3575" spans="6:8">
      <c r="H3575" t="s">
        <v>20095</v>
      </c>
    </row>
    <row r="3576" spans="6:8">
      <c r="F3576" t="s">
        <v>11122</v>
      </c>
      <c r="G3576" t="s">
        <v>15512</v>
      </c>
      <c r="H3576" t="s">
        <v>20091</v>
      </c>
    </row>
    <row r="3577" spans="6:8">
      <c r="H3577" t="s">
        <v>20095</v>
      </c>
    </row>
    <row r="3578" spans="6:8">
      <c r="F3578" t="s">
        <v>11123</v>
      </c>
      <c r="G3578" t="s">
        <v>15513</v>
      </c>
      <c r="H3578" t="s">
        <v>20091</v>
      </c>
    </row>
    <row r="3579" spans="6:8">
      <c r="H3579" t="s">
        <v>19712</v>
      </c>
    </row>
    <row r="3580" spans="6:8">
      <c r="H3580" t="s">
        <v>19709</v>
      </c>
    </row>
    <row r="3581" spans="6:8">
      <c r="H3581" t="s">
        <v>20095</v>
      </c>
    </row>
    <row r="3582" spans="6:8">
      <c r="H3582" t="s">
        <v>20096</v>
      </c>
    </row>
    <row r="3583" spans="6:8">
      <c r="F3583" t="s">
        <v>11124</v>
      </c>
      <c r="G3583" t="s">
        <v>15514</v>
      </c>
      <c r="H3583" t="s">
        <v>20091</v>
      </c>
    </row>
    <row r="3584" spans="6:8">
      <c r="H3584" t="s">
        <v>19712</v>
      </c>
    </row>
    <row r="3585" spans="6:8">
      <c r="H3585" t="s">
        <v>20095</v>
      </c>
    </row>
    <row r="3586" spans="6:8">
      <c r="H3586" t="s">
        <v>20096</v>
      </c>
    </row>
    <row r="3587" spans="6:8">
      <c r="F3587" t="s">
        <v>11125</v>
      </c>
      <c r="G3587" t="s">
        <v>15515</v>
      </c>
      <c r="H3587" t="s">
        <v>20091</v>
      </c>
    </row>
    <row r="3588" spans="6:8">
      <c r="H3588" t="s">
        <v>19712</v>
      </c>
    </row>
    <row r="3589" spans="6:8">
      <c r="H3589" t="s">
        <v>20095</v>
      </c>
    </row>
    <row r="3590" spans="6:8">
      <c r="H3590" t="s">
        <v>20096</v>
      </c>
    </row>
    <row r="3591" spans="6:8">
      <c r="F3591" t="s">
        <v>11126</v>
      </c>
      <c r="G3591" t="s">
        <v>15516</v>
      </c>
      <c r="H3591" t="s">
        <v>20091</v>
      </c>
    </row>
    <row r="3592" spans="6:8">
      <c r="H3592" t="s">
        <v>19712</v>
      </c>
    </row>
    <row r="3593" spans="6:8">
      <c r="H3593" t="s">
        <v>19709</v>
      </c>
    </row>
    <row r="3594" spans="6:8">
      <c r="H3594" t="s">
        <v>19706</v>
      </c>
    </row>
    <row r="3595" spans="6:8">
      <c r="H3595" t="s">
        <v>19707</v>
      </c>
    </row>
    <row r="3596" spans="6:8">
      <c r="H3596" t="s">
        <v>19711</v>
      </c>
    </row>
    <row r="3597" spans="6:8">
      <c r="H3597" t="s">
        <v>20107</v>
      </c>
    </row>
    <row r="3598" spans="6:8">
      <c r="H3598" t="s">
        <v>20108</v>
      </c>
    </row>
    <row r="3599" spans="6:8">
      <c r="H3599" t="s">
        <v>19713</v>
      </c>
    </row>
    <row r="3600" spans="6:8">
      <c r="H3600" t="s">
        <v>19714</v>
      </c>
    </row>
    <row r="3601" spans="6:8">
      <c r="H3601" t="s">
        <v>20109</v>
      </c>
    </row>
    <row r="3602" spans="6:8">
      <c r="H3602" t="s">
        <v>20110</v>
      </c>
    </row>
    <row r="3603" spans="6:8">
      <c r="H3603" t="s">
        <v>20092</v>
      </c>
    </row>
    <row r="3604" spans="6:8">
      <c r="H3604" t="s">
        <v>20095</v>
      </c>
    </row>
    <row r="3605" spans="6:8">
      <c r="H3605" t="s">
        <v>20096</v>
      </c>
    </row>
    <row r="3606" spans="6:8">
      <c r="H3606" t="s">
        <v>20097</v>
      </c>
    </row>
    <row r="3607" spans="6:8">
      <c r="H3607" t="s">
        <v>20098</v>
      </c>
    </row>
    <row r="3608" spans="6:8">
      <c r="H3608" t="s">
        <v>20099</v>
      </c>
    </row>
    <row r="3609" spans="6:8">
      <c r="H3609" t="s">
        <v>20100</v>
      </c>
    </row>
    <row r="3610" spans="6:8">
      <c r="F3610" t="s">
        <v>11127</v>
      </c>
      <c r="G3610" t="s">
        <v>15517</v>
      </c>
      <c r="H3610" t="s">
        <v>20091</v>
      </c>
    </row>
    <row r="3611" spans="6:8">
      <c r="H3611" t="s">
        <v>19712</v>
      </c>
    </row>
    <row r="3612" spans="6:8">
      <c r="H3612" t="s">
        <v>20095</v>
      </c>
    </row>
    <row r="3613" spans="6:8">
      <c r="H3613" t="s">
        <v>20096</v>
      </c>
    </row>
    <row r="3614" spans="6:8">
      <c r="H3614" t="s">
        <v>20097</v>
      </c>
    </row>
    <row r="3615" spans="6:8">
      <c r="H3615" t="s">
        <v>20098</v>
      </c>
    </row>
    <row r="3616" spans="6:8">
      <c r="H3616" t="s">
        <v>19709</v>
      </c>
    </row>
    <row r="3617" spans="6:8">
      <c r="H3617" t="s">
        <v>19706</v>
      </c>
    </row>
    <row r="3618" spans="6:8">
      <c r="H3618" t="s">
        <v>20099</v>
      </c>
    </row>
    <row r="3619" spans="6:8">
      <c r="H3619" t="s">
        <v>20100</v>
      </c>
    </row>
    <row r="3620" spans="6:8">
      <c r="H3620" t="s">
        <v>20101</v>
      </c>
    </row>
    <row r="3621" spans="6:8">
      <c r="H3621" t="s">
        <v>20102</v>
      </c>
    </row>
    <row r="3622" spans="6:8">
      <c r="F3622" t="s">
        <v>11128</v>
      </c>
      <c r="G3622" t="s">
        <v>15518</v>
      </c>
      <c r="H3622" t="s">
        <v>20091</v>
      </c>
    </row>
    <row r="3623" spans="6:8">
      <c r="H3623" t="s">
        <v>19712</v>
      </c>
    </row>
    <row r="3624" spans="6:8">
      <c r="H3624" t="s">
        <v>20095</v>
      </c>
    </row>
    <row r="3625" spans="6:8">
      <c r="H3625" t="s">
        <v>20096</v>
      </c>
    </row>
    <row r="3626" spans="6:8">
      <c r="H3626" t="s">
        <v>20097</v>
      </c>
    </row>
    <row r="3627" spans="6:8">
      <c r="H3627" t="s">
        <v>20098</v>
      </c>
    </row>
    <row r="3628" spans="6:8">
      <c r="F3628" t="s">
        <v>11129</v>
      </c>
      <c r="G3628" t="s">
        <v>15519</v>
      </c>
      <c r="H3628" t="s">
        <v>20091</v>
      </c>
    </row>
    <row r="3629" spans="6:8">
      <c r="H3629" t="s">
        <v>19712</v>
      </c>
    </row>
    <row r="3630" spans="6:8">
      <c r="H3630" t="s">
        <v>20095</v>
      </c>
    </row>
    <row r="3631" spans="6:8">
      <c r="H3631" t="s">
        <v>20096</v>
      </c>
    </row>
    <row r="3632" spans="6:8">
      <c r="H3632" t="s">
        <v>20097</v>
      </c>
    </row>
    <row r="3633" spans="6:8">
      <c r="H3633" t="s">
        <v>20098</v>
      </c>
    </row>
    <row r="3634" spans="6:8">
      <c r="F3634" t="s">
        <v>11130</v>
      </c>
      <c r="G3634" t="s">
        <v>15520</v>
      </c>
      <c r="H3634" t="s">
        <v>20091</v>
      </c>
    </row>
    <row r="3635" spans="6:8">
      <c r="H3635" t="s">
        <v>19712</v>
      </c>
    </row>
    <row r="3636" spans="6:8">
      <c r="H3636" t="s">
        <v>20095</v>
      </c>
    </row>
    <row r="3637" spans="6:8">
      <c r="H3637" t="s">
        <v>20096</v>
      </c>
    </row>
    <row r="3638" spans="6:8">
      <c r="H3638" t="s">
        <v>20097</v>
      </c>
    </row>
    <row r="3639" spans="6:8">
      <c r="H3639" t="s">
        <v>20098</v>
      </c>
    </row>
    <row r="3640" spans="6:8">
      <c r="F3640" t="s">
        <v>11131</v>
      </c>
      <c r="G3640" t="s">
        <v>15521</v>
      </c>
      <c r="H3640" t="s">
        <v>20091</v>
      </c>
    </row>
    <row r="3641" spans="6:8">
      <c r="H3641" t="s">
        <v>19712</v>
      </c>
    </row>
    <row r="3642" spans="6:8">
      <c r="H3642" t="s">
        <v>20095</v>
      </c>
    </row>
    <row r="3643" spans="6:8">
      <c r="H3643" t="s">
        <v>20096</v>
      </c>
    </row>
    <row r="3644" spans="6:8">
      <c r="H3644" t="s">
        <v>20097</v>
      </c>
    </row>
    <row r="3645" spans="6:8">
      <c r="H3645" t="s">
        <v>20098</v>
      </c>
    </row>
    <row r="3646" spans="6:8">
      <c r="F3646" t="s">
        <v>11132</v>
      </c>
      <c r="G3646" t="s">
        <v>15522</v>
      </c>
      <c r="H3646" t="s">
        <v>20091</v>
      </c>
    </row>
    <row r="3647" spans="6:8">
      <c r="H3647" t="s">
        <v>19712</v>
      </c>
    </row>
    <row r="3648" spans="6:8">
      <c r="H3648" t="s">
        <v>19709</v>
      </c>
    </row>
    <row r="3649" spans="6:8">
      <c r="H3649" t="s">
        <v>20107</v>
      </c>
    </row>
    <row r="3650" spans="6:8">
      <c r="H3650" t="s">
        <v>20108</v>
      </c>
    </row>
    <row r="3651" spans="6:8">
      <c r="H3651" t="s">
        <v>19713</v>
      </c>
    </row>
    <row r="3652" spans="6:8">
      <c r="H3652" t="s">
        <v>19714</v>
      </c>
    </row>
    <row r="3653" spans="6:8">
      <c r="H3653" t="s">
        <v>20109</v>
      </c>
    </row>
    <row r="3654" spans="6:8">
      <c r="H3654" t="s">
        <v>20110</v>
      </c>
    </row>
    <row r="3655" spans="6:8">
      <c r="H3655" t="s">
        <v>20111</v>
      </c>
    </row>
    <row r="3656" spans="6:8">
      <c r="H3656" t="s">
        <v>20095</v>
      </c>
    </row>
    <row r="3657" spans="6:8">
      <c r="H3657" t="s">
        <v>20096</v>
      </c>
    </row>
    <row r="3658" spans="6:8">
      <c r="H3658" t="s">
        <v>20097</v>
      </c>
    </row>
    <row r="3659" spans="6:8">
      <c r="H3659" t="s">
        <v>20098</v>
      </c>
    </row>
    <row r="3660" spans="6:8">
      <c r="H3660" t="s">
        <v>20099</v>
      </c>
    </row>
    <row r="3661" spans="6:8">
      <c r="H3661" t="s">
        <v>20100</v>
      </c>
    </row>
    <row r="3662" spans="6:8">
      <c r="F3662" t="s">
        <v>11133</v>
      </c>
      <c r="G3662" t="s">
        <v>15523</v>
      </c>
      <c r="H3662" t="s">
        <v>20091</v>
      </c>
    </row>
    <row r="3663" spans="6:8">
      <c r="H3663" t="s">
        <v>19712</v>
      </c>
    </row>
    <row r="3664" spans="6:8">
      <c r="H3664" t="s">
        <v>19709</v>
      </c>
    </row>
    <row r="3665" spans="6:8">
      <c r="H3665" t="s">
        <v>19706</v>
      </c>
    </row>
    <row r="3666" spans="6:8">
      <c r="H3666" t="s">
        <v>20107</v>
      </c>
    </row>
    <row r="3667" spans="6:8">
      <c r="H3667" t="s">
        <v>20108</v>
      </c>
    </row>
    <row r="3668" spans="6:8">
      <c r="H3668" t="s">
        <v>19713</v>
      </c>
    </row>
    <row r="3669" spans="6:8">
      <c r="H3669" t="s">
        <v>20095</v>
      </c>
    </row>
    <row r="3670" spans="6:8">
      <c r="H3670" t="s">
        <v>20096</v>
      </c>
    </row>
    <row r="3671" spans="6:8">
      <c r="H3671" t="s">
        <v>20097</v>
      </c>
    </row>
    <row r="3672" spans="6:8">
      <c r="H3672" t="s">
        <v>20098</v>
      </c>
    </row>
    <row r="3673" spans="6:8">
      <c r="H3673" t="s">
        <v>20099</v>
      </c>
    </row>
    <row r="3674" spans="6:8">
      <c r="F3674" t="s">
        <v>11134</v>
      </c>
      <c r="G3674" t="s">
        <v>15524</v>
      </c>
      <c r="H3674" t="s">
        <v>20091</v>
      </c>
    </row>
    <row r="3675" spans="6:8">
      <c r="H3675" t="s">
        <v>20107</v>
      </c>
    </row>
    <row r="3676" spans="6:8">
      <c r="H3676" t="s">
        <v>20108</v>
      </c>
    </row>
    <row r="3677" spans="6:8">
      <c r="H3677" t="s">
        <v>20095</v>
      </c>
    </row>
    <row r="3678" spans="6:8">
      <c r="H3678" t="s">
        <v>20096</v>
      </c>
    </row>
    <row r="3679" spans="6:8">
      <c r="H3679" t="s">
        <v>20097</v>
      </c>
    </row>
    <row r="3680" spans="6:8">
      <c r="H3680" t="s">
        <v>20098</v>
      </c>
    </row>
    <row r="3681" spans="6:8">
      <c r="H3681" t="s">
        <v>20099</v>
      </c>
    </row>
    <row r="3682" spans="6:8">
      <c r="H3682" t="s">
        <v>20100</v>
      </c>
    </row>
    <row r="3683" spans="6:8">
      <c r="H3683" t="s">
        <v>20101</v>
      </c>
    </row>
    <row r="3684" spans="6:8">
      <c r="H3684" t="s">
        <v>20102</v>
      </c>
    </row>
    <row r="3685" spans="6:8">
      <c r="H3685" t="s">
        <v>20104</v>
      </c>
    </row>
    <row r="3686" spans="6:8">
      <c r="F3686" t="s">
        <v>11135</v>
      </c>
      <c r="G3686" t="s">
        <v>15525</v>
      </c>
      <c r="H3686" t="s">
        <v>20091</v>
      </c>
    </row>
    <row r="3687" spans="6:8">
      <c r="H3687" t="s">
        <v>19712</v>
      </c>
    </row>
    <row r="3688" spans="6:8">
      <c r="H3688" t="s">
        <v>19709</v>
      </c>
    </row>
    <row r="3689" spans="6:8">
      <c r="H3689" t="s">
        <v>20107</v>
      </c>
    </row>
    <row r="3690" spans="6:8">
      <c r="H3690" t="s">
        <v>20108</v>
      </c>
    </row>
    <row r="3691" spans="6:8">
      <c r="H3691" t="s">
        <v>20095</v>
      </c>
    </row>
    <row r="3692" spans="6:8">
      <c r="H3692" t="s">
        <v>20096</v>
      </c>
    </row>
    <row r="3693" spans="6:8">
      <c r="H3693" t="s">
        <v>20097</v>
      </c>
    </row>
    <row r="3694" spans="6:8">
      <c r="H3694" t="s">
        <v>20098</v>
      </c>
    </row>
    <row r="3695" spans="6:8">
      <c r="H3695" t="s">
        <v>20099</v>
      </c>
    </row>
    <row r="3696" spans="6:8">
      <c r="F3696" t="s">
        <v>11136</v>
      </c>
      <c r="G3696" t="s">
        <v>15526</v>
      </c>
      <c r="H3696" t="s">
        <v>20091</v>
      </c>
    </row>
    <row r="3697" spans="8:8">
      <c r="H3697" t="s">
        <v>19712</v>
      </c>
    </row>
    <row r="3698" spans="8:8">
      <c r="H3698" t="s">
        <v>19709</v>
      </c>
    </row>
    <row r="3699" spans="8:8">
      <c r="H3699" t="s">
        <v>19706</v>
      </c>
    </row>
    <row r="3700" spans="8:8">
      <c r="H3700" t="s">
        <v>19707</v>
      </c>
    </row>
    <row r="3701" spans="8:8">
      <c r="H3701" t="s">
        <v>19711</v>
      </c>
    </row>
    <row r="3702" spans="8:8">
      <c r="H3702" t="s">
        <v>20107</v>
      </c>
    </row>
    <row r="3703" spans="8:8">
      <c r="H3703" t="s">
        <v>20108</v>
      </c>
    </row>
    <row r="3704" spans="8:8">
      <c r="H3704" t="s">
        <v>19713</v>
      </c>
    </row>
    <row r="3705" spans="8:8">
      <c r="H3705" t="s">
        <v>19714</v>
      </c>
    </row>
    <row r="3706" spans="8:8">
      <c r="H3706" t="s">
        <v>20109</v>
      </c>
    </row>
    <row r="3707" spans="8:8">
      <c r="H3707" t="s">
        <v>20110</v>
      </c>
    </row>
    <row r="3708" spans="8:8">
      <c r="H3708" t="s">
        <v>20092</v>
      </c>
    </row>
    <row r="3709" spans="8:8">
      <c r="H3709" t="s">
        <v>20095</v>
      </c>
    </row>
    <row r="3710" spans="8:8">
      <c r="H3710" t="s">
        <v>20096</v>
      </c>
    </row>
    <row r="3711" spans="8:8">
      <c r="H3711" t="s">
        <v>20097</v>
      </c>
    </row>
    <row r="3712" spans="8:8">
      <c r="H3712" t="s">
        <v>20098</v>
      </c>
    </row>
    <row r="3713" spans="6:8">
      <c r="H3713" t="s">
        <v>20099</v>
      </c>
    </row>
    <row r="3714" spans="6:8">
      <c r="F3714" t="s">
        <v>11137</v>
      </c>
      <c r="G3714" t="s">
        <v>15527</v>
      </c>
      <c r="H3714" t="s">
        <v>20091</v>
      </c>
    </row>
    <row r="3715" spans="6:8">
      <c r="H3715" t="s">
        <v>19712</v>
      </c>
    </row>
    <row r="3716" spans="6:8">
      <c r="H3716" t="s">
        <v>19709</v>
      </c>
    </row>
    <row r="3717" spans="6:8">
      <c r="H3717" t="s">
        <v>20092</v>
      </c>
    </row>
    <row r="3718" spans="6:8">
      <c r="H3718" t="s">
        <v>20095</v>
      </c>
    </row>
    <row r="3719" spans="6:8">
      <c r="H3719" t="s">
        <v>20096</v>
      </c>
    </row>
    <row r="3720" spans="6:8">
      <c r="H3720" t="s">
        <v>20097</v>
      </c>
    </row>
    <row r="3721" spans="6:8">
      <c r="H3721" t="s">
        <v>20098</v>
      </c>
    </row>
    <row r="3722" spans="6:8">
      <c r="H3722" t="s">
        <v>20099</v>
      </c>
    </row>
    <row r="3723" spans="6:8">
      <c r="H3723" t="s">
        <v>20100</v>
      </c>
    </row>
    <row r="3724" spans="6:8">
      <c r="F3724" t="s">
        <v>11138</v>
      </c>
      <c r="G3724" t="s">
        <v>15528</v>
      </c>
      <c r="H3724" t="s">
        <v>20091</v>
      </c>
    </row>
    <row r="3725" spans="6:8">
      <c r="H3725" t="s">
        <v>19712</v>
      </c>
    </row>
    <row r="3726" spans="6:8">
      <c r="H3726" t="s">
        <v>19709</v>
      </c>
    </row>
    <row r="3727" spans="6:8">
      <c r="H3727" t="s">
        <v>19706</v>
      </c>
    </row>
    <row r="3728" spans="6:8">
      <c r="H3728" t="s">
        <v>19707</v>
      </c>
    </row>
    <row r="3729" spans="6:8">
      <c r="H3729" t="s">
        <v>20107</v>
      </c>
    </row>
    <row r="3730" spans="6:8">
      <c r="H3730" t="s">
        <v>20108</v>
      </c>
    </row>
    <row r="3731" spans="6:8">
      <c r="H3731" t="s">
        <v>19713</v>
      </c>
    </row>
    <row r="3732" spans="6:8">
      <c r="H3732" t="s">
        <v>19714</v>
      </c>
    </row>
    <row r="3733" spans="6:8">
      <c r="H3733" t="s">
        <v>20095</v>
      </c>
    </row>
    <row r="3734" spans="6:8">
      <c r="H3734" t="s">
        <v>20096</v>
      </c>
    </row>
    <row r="3735" spans="6:8">
      <c r="H3735" t="s">
        <v>20097</v>
      </c>
    </row>
    <row r="3736" spans="6:8">
      <c r="H3736" t="s">
        <v>20098</v>
      </c>
    </row>
    <row r="3737" spans="6:8">
      <c r="H3737" t="s">
        <v>20099</v>
      </c>
    </row>
    <row r="3738" spans="6:8">
      <c r="F3738" t="s">
        <v>11139</v>
      </c>
      <c r="G3738" t="s">
        <v>15529</v>
      </c>
      <c r="H3738" t="s">
        <v>20091</v>
      </c>
    </row>
    <row r="3739" spans="6:8">
      <c r="H3739" t="s">
        <v>19712</v>
      </c>
    </row>
    <row r="3740" spans="6:8">
      <c r="H3740" t="s">
        <v>19709</v>
      </c>
    </row>
    <row r="3741" spans="6:8">
      <c r="H3741" t="s">
        <v>19706</v>
      </c>
    </row>
    <row r="3742" spans="6:8">
      <c r="H3742" t="s">
        <v>19707</v>
      </c>
    </row>
    <row r="3743" spans="6:8">
      <c r="H3743" t="s">
        <v>20107</v>
      </c>
    </row>
    <row r="3744" spans="6:8">
      <c r="H3744" t="s">
        <v>20108</v>
      </c>
    </row>
    <row r="3745" spans="6:8">
      <c r="H3745" t="s">
        <v>19713</v>
      </c>
    </row>
    <row r="3746" spans="6:8">
      <c r="H3746" t="s">
        <v>19714</v>
      </c>
    </row>
    <row r="3747" spans="6:8">
      <c r="H3747" t="s">
        <v>20095</v>
      </c>
    </row>
    <row r="3748" spans="6:8">
      <c r="H3748" t="s">
        <v>20096</v>
      </c>
    </row>
    <row r="3749" spans="6:8">
      <c r="H3749" t="s">
        <v>20097</v>
      </c>
    </row>
    <row r="3750" spans="6:8">
      <c r="H3750" t="s">
        <v>20098</v>
      </c>
    </row>
    <row r="3751" spans="6:8">
      <c r="H3751" t="s">
        <v>20099</v>
      </c>
    </row>
    <row r="3752" spans="6:8">
      <c r="F3752" t="s">
        <v>11140</v>
      </c>
      <c r="G3752" t="s">
        <v>15530</v>
      </c>
      <c r="H3752" t="s">
        <v>20091</v>
      </c>
    </row>
    <row r="3753" spans="6:8">
      <c r="H3753" t="s">
        <v>19712</v>
      </c>
    </row>
    <row r="3754" spans="6:8">
      <c r="H3754" t="s">
        <v>20095</v>
      </c>
    </row>
    <row r="3755" spans="6:8">
      <c r="H3755" t="s">
        <v>20096</v>
      </c>
    </row>
    <row r="3756" spans="6:8">
      <c r="H3756" t="s">
        <v>20097</v>
      </c>
    </row>
    <row r="3757" spans="6:8">
      <c r="H3757" t="s">
        <v>20098</v>
      </c>
    </row>
    <row r="3758" spans="6:8">
      <c r="H3758" t="s">
        <v>19709</v>
      </c>
    </row>
    <row r="3759" spans="6:8">
      <c r="H3759" t="s">
        <v>19706</v>
      </c>
    </row>
    <row r="3760" spans="6:8">
      <c r="H3760" t="s">
        <v>20099</v>
      </c>
    </row>
    <row r="3761" spans="6:8">
      <c r="H3761" t="s">
        <v>20100</v>
      </c>
    </row>
    <row r="3762" spans="6:8">
      <c r="H3762" t="s">
        <v>20101</v>
      </c>
    </row>
    <row r="3763" spans="6:8">
      <c r="H3763" t="s">
        <v>20102</v>
      </c>
    </row>
    <row r="3764" spans="6:8">
      <c r="F3764" t="s">
        <v>11141</v>
      </c>
      <c r="G3764" t="s">
        <v>15531</v>
      </c>
      <c r="H3764" t="s">
        <v>20091</v>
      </c>
    </row>
    <row r="3765" spans="6:8">
      <c r="H3765" t="s">
        <v>19712</v>
      </c>
    </row>
    <row r="3766" spans="6:8">
      <c r="H3766" t="s">
        <v>20095</v>
      </c>
    </row>
    <row r="3767" spans="6:8">
      <c r="H3767" t="s">
        <v>20096</v>
      </c>
    </row>
    <row r="3768" spans="6:8">
      <c r="H3768" t="s">
        <v>20097</v>
      </c>
    </row>
    <row r="3769" spans="6:8">
      <c r="H3769" t="s">
        <v>20098</v>
      </c>
    </row>
    <row r="3770" spans="6:8">
      <c r="F3770" t="s">
        <v>11142</v>
      </c>
      <c r="G3770" t="s">
        <v>15532</v>
      </c>
      <c r="H3770" t="s">
        <v>20091</v>
      </c>
    </row>
    <row r="3771" spans="6:8">
      <c r="H3771" t="s">
        <v>19712</v>
      </c>
    </row>
    <row r="3772" spans="6:8">
      <c r="H3772" t="s">
        <v>20095</v>
      </c>
    </row>
    <row r="3773" spans="6:8">
      <c r="H3773" t="s">
        <v>20096</v>
      </c>
    </row>
    <row r="3774" spans="6:8">
      <c r="H3774" t="s">
        <v>20097</v>
      </c>
    </row>
    <row r="3775" spans="6:8">
      <c r="H3775" t="s">
        <v>20098</v>
      </c>
    </row>
    <row r="3776" spans="6:8">
      <c r="F3776" t="s">
        <v>11143</v>
      </c>
      <c r="G3776" t="s">
        <v>15533</v>
      </c>
      <c r="H3776" t="s">
        <v>20091</v>
      </c>
    </row>
    <row r="3777" spans="6:8">
      <c r="H3777" t="s">
        <v>19712</v>
      </c>
    </row>
    <row r="3778" spans="6:8">
      <c r="H3778" t="s">
        <v>20095</v>
      </c>
    </row>
    <row r="3779" spans="6:8">
      <c r="H3779" t="s">
        <v>20096</v>
      </c>
    </row>
    <row r="3780" spans="6:8">
      <c r="H3780" t="s">
        <v>20097</v>
      </c>
    </row>
    <row r="3781" spans="6:8">
      <c r="H3781" t="s">
        <v>20098</v>
      </c>
    </row>
    <row r="3782" spans="6:8">
      <c r="F3782" t="s">
        <v>11144</v>
      </c>
      <c r="G3782" t="s">
        <v>15534</v>
      </c>
      <c r="H3782" t="s">
        <v>20091</v>
      </c>
    </row>
    <row r="3783" spans="6:8">
      <c r="H3783" t="s">
        <v>19712</v>
      </c>
    </row>
    <row r="3784" spans="6:8">
      <c r="H3784" t="s">
        <v>20095</v>
      </c>
    </row>
    <row r="3785" spans="6:8">
      <c r="H3785" t="s">
        <v>20096</v>
      </c>
    </row>
    <row r="3786" spans="6:8">
      <c r="H3786" t="s">
        <v>20097</v>
      </c>
    </row>
    <row r="3787" spans="6:8">
      <c r="H3787" t="s">
        <v>20098</v>
      </c>
    </row>
    <row r="3788" spans="6:8">
      <c r="F3788" t="s">
        <v>11145</v>
      </c>
      <c r="G3788" t="s">
        <v>15535</v>
      </c>
      <c r="H3788" t="s">
        <v>20091</v>
      </c>
    </row>
    <row r="3789" spans="6:8">
      <c r="H3789" t="s">
        <v>19712</v>
      </c>
    </row>
    <row r="3790" spans="6:8">
      <c r="H3790" t="s">
        <v>19709</v>
      </c>
    </row>
    <row r="3791" spans="6:8">
      <c r="H3791" t="s">
        <v>20107</v>
      </c>
    </row>
    <row r="3792" spans="6:8">
      <c r="H3792" t="s">
        <v>20108</v>
      </c>
    </row>
    <row r="3793" spans="6:8">
      <c r="H3793" t="s">
        <v>19713</v>
      </c>
    </row>
    <row r="3794" spans="6:8">
      <c r="H3794" t="s">
        <v>19714</v>
      </c>
    </row>
    <row r="3795" spans="6:8">
      <c r="H3795" t="s">
        <v>20109</v>
      </c>
    </row>
    <row r="3796" spans="6:8">
      <c r="H3796" t="s">
        <v>20110</v>
      </c>
    </row>
    <row r="3797" spans="6:8">
      <c r="H3797" t="s">
        <v>20095</v>
      </c>
    </row>
    <row r="3798" spans="6:8">
      <c r="H3798" t="s">
        <v>20096</v>
      </c>
    </row>
    <row r="3799" spans="6:8">
      <c r="H3799" t="s">
        <v>20097</v>
      </c>
    </row>
    <row r="3800" spans="6:8">
      <c r="H3800" t="s">
        <v>20098</v>
      </c>
    </row>
    <row r="3801" spans="6:8">
      <c r="H3801" t="s">
        <v>20099</v>
      </c>
    </row>
    <row r="3802" spans="6:8">
      <c r="F3802" t="s">
        <v>11146</v>
      </c>
      <c r="G3802" t="s">
        <v>15536</v>
      </c>
      <c r="H3802" t="s">
        <v>20091</v>
      </c>
    </row>
    <row r="3803" spans="6:8">
      <c r="H3803" t="s">
        <v>19712</v>
      </c>
    </row>
    <row r="3804" spans="6:8">
      <c r="H3804" t="s">
        <v>19709</v>
      </c>
    </row>
    <row r="3805" spans="6:8">
      <c r="H3805" t="s">
        <v>19706</v>
      </c>
    </row>
    <row r="3806" spans="6:8">
      <c r="H3806" t="s">
        <v>19707</v>
      </c>
    </row>
    <row r="3807" spans="6:8">
      <c r="H3807" t="s">
        <v>19711</v>
      </c>
    </row>
    <row r="3808" spans="6:8">
      <c r="H3808" t="s">
        <v>20107</v>
      </c>
    </row>
    <row r="3809" spans="6:8">
      <c r="H3809" t="s">
        <v>20108</v>
      </c>
    </row>
    <row r="3810" spans="6:8">
      <c r="H3810" t="s">
        <v>19713</v>
      </c>
    </row>
    <row r="3811" spans="6:8">
      <c r="H3811" t="s">
        <v>19714</v>
      </c>
    </row>
    <row r="3812" spans="6:8">
      <c r="H3812" t="s">
        <v>20095</v>
      </c>
    </row>
    <row r="3813" spans="6:8">
      <c r="H3813" t="s">
        <v>20096</v>
      </c>
    </row>
    <row r="3814" spans="6:8">
      <c r="H3814" t="s">
        <v>20097</v>
      </c>
    </row>
    <row r="3815" spans="6:8">
      <c r="H3815" t="s">
        <v>20098</v>
      </c>
    </row>
    <row r="3816" spans="6:8">
      <c r="H3816" t="s">
        <v>20099</v>
      </c>
    </row>
    <row r="3817" spans="6:8">
      <c r="F3817" t="s">
        <v>11147</v>
      </c>
      <c r="G3817" t="s">
        <v>15537</v>
      </c>
      <c r="H3817" t="s">
        <v>20091</v>
      </c>
    </row>
    <row r="3818" spans="6:8">
      <c r="H3818" t="s">
        <v>19712</v>
      </c>
    </row>
    <row r="3819" spans="6:8">
      <c r="H3819" t="s">
        <v>19709</v>
      </c>
    </row>
    <row r="3820" spans="6:8">
      <c r="H3820" t="s">
        <v>20107</v>
      </c>
    </row>
    <row r="3821" spans="6:8">
      <c r="H3821" t="s">
        <v>20108</v>
      </c>
    </row>
    <row r="3822" spans="6:8">
      <c r="H3822" t="s">
        <v>19713</v>
      </c>
    </row>
    <row r="3823" spans="6:8">
      <c r="H3823" t="s">
        <v>20095</v>
      </c>
    </row>
    <row r="3824" spans="6:8">
      <c r="H3824" t="s">
        <v>20096</v>
      </c>
    </row>
    <row r="3825" spans="6:8">
      <c r="H3825" t="s">
        <v>20097</v>
      </c>
    </row>
    <row r="3826" spans="6:8">
      <c r="H3826" t="s">
        <v>20098</v>
      </c>
    </row>
    <row r="3827" spans="6:8">
      <c r="H3827" t="s">
        <v>20099</v>
      </c>
    </row>
    <row r="3828" spans="6:8">
      <c r="F3828" t="s">
        <v>11148</v>
      </c>
      <c r="G3828" t="s">
        <v>15538</v>
      </c>
      <c r="H3828" t="s">
        <v>20091</v>
      </c>
    </row>
    <row r="3829" spans="6:8">
      <c r="H3829" t="s">
        <v>19712</v>
      </c>
    </row>
    <row r="3830" spans="6:8">
      <c r="H3830" t="s">
        <v>20092</v>
      </c>
    </row>
    <row r="3831" spans="6:8">
      <c r="H3831" t="s">
        <v>20095</v>
      </c>
    </row>
    <row r="3832" spans="6:8">
      <c r="H3832" t="s">
        <v>20096</v>
      </c>
    </row>
    <row r="3833" spans="6:8">
      <c r="H3833" t="s">
        <v>20131</v>
      </c>
    </row>
    <row r="3834" spans="6:8">
      <c r="H3834" t="s">
        <v>18927</v>
      </c>
    </row>
    <row r="3835" spans="6:8">
      <c r="H3835" t="s">
        <v>20132</v>
      </c>
    </row>
    <row r="3836" spans="6:8">
      <c r="H3836" t="s">
        <v>18927</v>
      </c>
    </row>
    <row r="3837" spans="6:8">
      <c r="F3837" t="s">
        <v>11149</v>
      </c>
      <c r="G3837" t="s">
        <v>15539</v>
      </c>
      <c r="H3837" t="s">
        <v>20092</v>
      </c>
    </row>
    <row r="3838" spans="6:8">
      <c r="H3838" t="s">
        <v>20093</v>
      </c>
    </row>
    <row r="3839" spans="6:8">
      <c r="H3839" t="s">
        <v>20094</v>
      </c>
    </row>
    <row r="3840" spans="6:8">
      <c r="H3840" t="s">
        <v>20095</v>
      </c>
    </row>
    <row r="3841" spans="6:8">
      <c r="H3841" t="s">
        <v>20096</v>
      </c>
    </row>
    <row r="3842" spans="6:8">
      <c r="H3842" t="s">
        <v>20131</v>
      </c>
    </row>
    <row r="3843" spans="6:8">
      <c r="H3843" t="s">
        <v>18927</v>
      </c>
    </row>
    <row r="3844" spans="6:8">
      <c r="F3844" t="s">
        <v>11150</v>
      </c>
      <c r="G3844" t="s">
        <v>15540</v>
      </c>
      <c r="H3844" t="s">
        <v>20091</v>
      </c>
    </row>
    <row r="3845" spans="6:8">
      <c r="H3845" t="s">
        <v>19712</v>
      </c>
    </row>
    <row r="3846" spans="6:8">
      <c r="H3846" t="s">
        <v>19709</v>
      </c>
    </row>
    <row r="3847" spans="6:8">
      <c r="H3847" t="s">
        <v>20092</v>
      </c>
    </row>
    <row r="3848" spans="6:8">
      <c r="H3848" t="s">
        <v>20093</v>
      </c>
    </row>
    <row r="3849" spans="6:8">
      <c r="H3849" t="s">
        <v>20094</v>
      </c>
    </row>
    <row r="3850" spans="6:8">
      <c r="H3850" t="s">
        <v>20095</v>
      </c>
    </row>
    <row r="3851" spans="6:8">
      <c r="H3851" t="s">
        <v>20096</v>
      </c>
    </row>
    <row r="3852" spans="6:8">
      <c r="H3852" t="s">
        <v>20097</v>
      </c>
    </row>
    <row r="3853" spans="6:8">
      <c r="H3853" t="s">
        <v>20098</v>
      </c>
    </row>
    <row r="3854" spans="6:8">
      <c r="H3854" t="s">
        <v>20099</v>
      </c>
    </row>
    <row r="3855" spans="6:8">
      <c r="H3855" t="s">
        <v>20100</v>
      </c>
    </row>
    <row r="3856" spans="6:8">
      <c r="F3856" t="s">
        <v>11151</v>
      </c>
      <c r="G3856" t="s">
        <v>15541</v>
      </c>
      <c r="H3856" t="s">
        <v>20091</v>
      </c>
    </row>
    <row r="3857" spans="6:8">
      <c r="H3857" t="s">
        <v>19712</v>
      </c>
    </row>
    <row r="3858" spans="6:8">
      <c r="H3858" t="s">
        <v>20092</v>
      </c>
    </row>
    <row r="3859" spans="6:8">
      <c r="H3859" t="s">
        <v>20107</v>
      </c>
    </row>
    <row r="3860" spans="6:8">
      <c r="H3860" t="s">
        <v>20095</v>
      </c>
    </row>
    <row r="3861" spans="6:8">
      <c r="H3861" t="s">
        <v>20096</v>
      </c>
    </row>
    <row r="3862" spans="6:8">
      <c r="H3862" t="s">
        <v>20097</v>
      </c>
    </row>
    <row r="3863" spans="6:8">
      <c r="H3863" t="s">
        <v>20098</v>
      </c>
    </row>
    <row r="3864" spans="6:8">
      <c r="F3864" t="s">
        <v>11152</v>
      </c>
      <c r="G3864" t="s">
        <v>15542</v>
      </c>
      <c r="H3864" t="s">
        <v>20091</v>
      </c>
    </row>
    <row r="3865" spans="6:8">
      <c r="F3865" t="s">
        <v>11153</v>
      </c>
      <c r="G3865" t="s">
        <v>15543</v>
      </c>
      <c r="H3865" t="s">
        <v>20091</v>
      </c>
    </row>
    <row r="3866" spans="6:8">
      <c r="H3866" t="s">
        <v>19712</v>
      </c>
    </row>
    <row r="3867" spans="6:8">
      <c r="H3867" t="s">
        <v>19709</v>
      </c>
    </row>
    <row r="3868" spans="6:8">
      <c r="H3868" t="s">
        <v>20095</v>
      </c>
    </row>
    <row r="3869" spans="6:8">
      <c r="H3869" t="s">
        <v>20096</v>
      </c>
    </row>
    <row r="3870" spans="6:8">
      <c r="H3870" t="s">
        <v>20097</v>
      </c>
    </row>
    <row r="3871" spans="6:8">
      <c r="F3871" t="s">
        <v>11154</v>
      </c>
      <c r="G3871" t="s">
        <v>15544</v>
      </c>
      <c r="H3871" t="s">
        <v>20091</v>
      </c>
    </row>
    <row r="3872" spans="6:8">
      <c r="H3872" t="s">
        <v>19712</v>
      </c>
    </row>
    <row r="3873" spans="6:8">
      <c r="H3873" t="s">
        <v>19709</v>
      </c>
    </row>
    <row r="3874" spans="6:8">
      <c r="H3874" t="s">
        <v>19706</v>
      </c>
    </row>
    <row r="3875" spans="6:8">
      <c r="H3875" t="s">
        <v>20092</v>
      </c>
    </row>
    <row r="3876" spans="6:8">
      <c r="H3876" t="s">
        <v>20093</v>
      </c>
    </row>
    <row r="3877" spans="6:8">
      <c r="H3877" t="s">
        <v>20095</v>
      </c>
    </row>
    <row r="3878" spans="6:8">
      <c r="H3878" t="s">
        <v>20096</v>
      </c>
    </row>
    <row r="3879" spans="6:8">
      <c r="H3879" t="s">
        <v>20097</v>
      </c>
    </row>
    <row r="3880" spans="6:8">
      <c r="H3880" t="s">
        <v>20098</v>
      </c>
    </row>
    <row r="3881" spans="6:8">
      <c r="F3881" t="s">
        <v>11155</v>
      </c>
      <c r="G3881" t="s">
        <v>15545</v>
      </c>
      <c r="H3881" t="s">
        <v>20091</v>
      </c>
    </row>
    <row r="3882" spans="6:8">
      <c r="H3882" t="s">
        <v>20092</v>
      </c>
    </row>
    <row r="3883" spans="6:8">
      <c r="H3883" t="s">
        <v>20093</v>
      </c>
    </row>
    <row r="3884" spans="6:8">
      <c r="H3884" t="s">
        <v>20094</v>
      </c>
    </row>
    <row r="3885" spans="6:8">
      <c r="H3885" t="s">
        <v>20103</v>
      </c>
    </row>
    <row r="3886" spans="6:8">
      <c r="H3886" t="s">
        <v>20116</v>
      </c>
    </row>
    <row r="3887" spans="6:8">
      <c r="H3887" t="s">
        <v>20095</v>
      </c>
    </row>
    <row r="3888" spans="6:8">
      <c r="H3888" t="s">
        <v>20096</v>
      </c>
    </row>
    <row r="3889" spans="6:8">
      <c r="H3889" t="s">
        <v>20097</v>
      </c>
    </row>
    <row r="3890" spans="6:8">
      <c r="H3890" t="s">
        <v>20098</v>
      </c>
    </row>
    <row r="3891" spans="6:8">
      <c r="F3891" t="s">
        <v>11156</v>
      </c>
      <c r="G3891" t="s">
        <v>15104</v>
      </c>
      <c r="H3891" t="s">
        <v>20125</v>
      </c>
    </row>
    <row r="3892" spans="6:8">
      <c r="F3892" t="s">
        <v>11157</v>
      </c>
      <c r="G3892" t="s">
        <v>15546</v>
      </c>
      <c r="H3892" t="s">
        <v>20091</v>
      </c>
    </row>
    <row r="3893" spans="6:8">
      <c r="H3893" t="s">
        <v>19712</v>
      </c>
    </row>
    <row r="3894" spans="6:8">
      <c r="H3894" t="s">
        <v>20092</v>
      </c>
    </row>
    <row r="3895" spans="6:8">
      <c r="H3895" t="s">
        <v>20093</v>
      </c>
    </row>
    <row r="3896" spans="6:8">
      <c r="H3896" t="s">
        <v>20095</v>
      </c>
    </row>
    <row r="3897" spans="6:8">
      <c r="H3897" t="s">
        <v>20096</v>
      </c>
    </row>
    <row r="3898" spans="6:8">
      <c r="F3898" t="s">
        <v>11158</v>
      </c>
      <c r="G3898" t="s">
        <v>15547</v>
      </c>
      <c r="H3898" t="s">
        <v>20091</v>
      </c>
    </row>
    <row r="3899" spans="6:8">
      <c r="H3899" t="s">
        <v>19712</v>
      </c>
    </row>
    <row r="3900" spans="6:8">
      <c r="H3900" t="s">
        <v>20095</v>
      </c>
    </row>
    <row r="3901" spans="6:8">
      <c r="H3901" t="s">
        <v>20096</v>
      </c>
    </row>
    <row r="3902" spans="6:8">
      <c r="F3902" t="s">
        <v>11159</v>
      </c>
      <c r="G3902" t="s">
        <v>15548</v>
      </c>
      <c r="H3902" t="s">
        <v>20091</v>
      </c>
    </row>
    <row r="3903" spans="6:8">
      <c r="H3903" t="s">
        <v>19712</v>
      </c>
    </row>
    <row r="3904" spans="6:8">
      <c r="H3904" t="s">
        <v>20095</v>
      </c>
    </row>
    <row r="3905" spans="6:8">
      <c r="H3905" t="s">
        <v>20096</v>
      </c>
    </row>
    <row r="3906" spans="6:8">
      <c r="F3906" t="s">
        <v>11160</v>
      </c>
      <c r="G3906" t="s">
        <v>15549</v>
      </c>
      <c r="H3906" t="s">
        <v>20091</v>
      </c>
    </row>
    <row r="3907" spans="6:8">
      <c r="H3907" t="s">
        <v>19712</v>
      </c>
    </row>
    <row r="3908" spans="6:8">
      <c r="H3908" t="s">
        <v>19709</v>
      </c>
    </row>
    <row r="3909" spans="6:8">
      <c r="H3909" t="s">
        <v>19706</v>
      </c>
    </row>
    <row r="3910" spans="6:8">
      <c r="H3910" t="s">
        <v>19707</v>
      </c>
    </row>
    <row r="3911" spans="6:8">
      <c r="H3911" t="s">
        <v>19711</v>
      </c>
    </row>
    <row r="3912" spans="6:8">
      <c r="H3912" t="s">
        <v>20092</v>
      </c>
    </row>
    <row r="3913" spans="6:8">
      <c r="H3913" t="s">
        <v>20093</v>
      </c>
    </row>
    <row r="3914" spans="6:8">
      <c r="H3914" t="s">
        <v>20094</v>
      </c>
    </row>
    <row r="3915" spans="6:8">
      <c r="H3915" t="s">
        <v>20103</v>
      </c>
    </row>
    <row r="3916" spans="6:8">
      <c r="H3916" t="s">
        <v>20116</v>
      </c>
    </row>
    <row r="3917" spans="6:8">
      <c r="H3917" t="s">
        <v>20117</v>
      </c>
    </row>
    <row r="3918" spans="6:8">
      <c r="H3918" t="s">
        <v>20118</v>
      </c>
    </row>
    <row r="3919" spans="6:8">
      <c r="H3919" t="s">
        <v>20095</v>
      </c>
    </row>
    <row r="3920" spans="6:8">
      <c r="H3920" t="s">
        <v>20096</v>
      </c>
    </row>
    <row r="3921" spans="6:8">
      <c r="H3921" t="s">
        <v>20097</v>
      </c>
    </row>
    <row r="3922" spans="6:8">
      <c r="H3922" t="s">
        <v>20098</v>
      </c>
    </row>
    <row r="3923" spans="6:8">
      <c r="H3923" t="s">
        <v>20099</v>
      </c>
    </row>
    <row r="3924" spans="6:8">
      <c r="H3924" t="s">
        <v>20100</v>
      </c>
    </row>
    <row r="3925" spans="6:8">
      <c r="F3925" t="s">
        <v>11161</v>
      </c>
      <c r="G3925" t="s">
        <v>15550</v>
      </c>
      <c r="H3925" t="s">
        <v>20091</v>
      </c>
    </row>
    <row r="3926" spans="6:8">
      <c r="H3926" t="s">
        <v>19712</v>
      </c>
    </row>
    <row r="3927" spans="6:8">
      <c r="H3927" t="s">
        <v>19709</v>
      </c>
    </row>
    <row r="3928" spans="6:8">
      <c r="H3928" t="s">
        <v>19706</v>
      </c>
    </row>
    <row r="3929" spans="6:8">
      <c r="H3929" t="s">
        <v>19707</v>
      </c>
    </row>
    <row r="3930" spans="6:8">
      <c r="H3930" t="s">
        <v>20092</v>
      </c>
    </row>
    <row r="3931" spans="6:8">
      <c r="H3931" t="s">
        <v>20093</v>
      </c>
    </row>
    <row r="3932" spans="6:8">
      <c r="H3932" t="s">
        <v>20094</v>
      </c>
    </row>
    <row r="3933" spans="6:8">
      <c r="H3933" t="s">
        <v>20103</v>
      </c>
    </row>
    <row r="3934" spans="6:8">
      <c r="H3934" t="s">
        <v>20116</v>
      </c>
    </row>
    <row r="3935" spans="6:8">
      <c r="H3935" t="s">
        <v>20117</v>
      </c>
    </row>
    <row r="3936" spans="6:8">
      <c r="H3936" t="s">
        <v>20118</v>
      </c>
    </row>
    <row r="3937" spans="6:8">
      <c r="H3937" t="s">
        <v>20095</v>
      </c>
    </row>
    <row r="3938" spans="6:8">
      <c r="H3938" t="s">
        <v>20096</v>
      </c>
    </row>
    <row r="3939" spans="6:8">
      <c r="H3939" t="s">
        <v>20097</v>
      </c>
    </row>
    <row r="3940" spans="6:8">
      <c r="H3940" t="s">
        <v>20098</v>
      </c>
    </row>
    <row r="3941" spans="6:8">
      <c r="H3941" t="s">
        <v>20099</v>
      </c>
    </row>
    <row r="3942" spans="6:8">
      <c r="H3942" t="s">
        <v>20100</v>
      </c>
    </row>
    <row r="3943" spans="6:8">
      <c r="F3943" t="s">
        <v>11162</v>
      </c>
      <c r="G3943" t="s">
        <v>15551</v>
      </c>
      <c r="H3943" t="s">
        <v>20091</v>
      </c>
    </row>
    <row r="3944" spans="6:8">
      <c r="H3944" t="s">
        <v>20095</v>
      </c>
    </row>
    <row r="3945" spans="6:8">
      <c r="H3945" t="s">
        <v>20096</v>
      </c>
    </row>
    <row r="3946" spans="6:8">
      <c r="H3946" t="s">
        <v>20099</v>
      </c>
    </row>
    <row r="3947" spans="6:8">
      <c r="H3947" t="s">
        <v>20101</v>
      </c>
    </row>
    <row r="3948" spans="6:8">
      <c r="H3948" t="s">
        <v>19712</v>
      </c>
    </row>
    <row r="3949" spans="6:8">
      <c r="H3949" t="s">
        <v>20097</v>
      </c>
    </row>
    <row r="3950" spans="6:8">
      <c r="H3950" t="s">
        <v>20098</v>
      </c>
    </row>
    <row r="3951" spans="6:8">
      <c r="H3951" t="s">
        <v>20100</v>
      </c>
    </row>
    <row r="3952" spans="6:8">
      <c r="H3952" t="s">
        <v>20102</v>
      </c>
    </row>
    <row r="3953" spans="6:8">
      <c r="F3953" t="s">
        <v>11163</v>
      </c>
      <c r="G3953" t="s">
        <v>15552</v>
      </c>
      <c r="H3953" t="s">
        <v>20091</v>
      </c>
    </row>
    <row r="3954" spans="6:8">
      <c r="H3954" t="s">
        <v>19712</v>
      </c>
    </row>
    <row r="3955" spans="6:8">
      <c r="H3955" t="s">
        <v>20092</v>
      </c>
    </row>
    <row r="3956" spans="6:8">
      <c r="H3956" t="s">
        <v>20093</v>
      </c>
    </row>
    <row r="3957" spans="6:8">
      <c r="H3957" t="s">
        <v>20094</v>
      </c>
    </row>
    <row r="3958" spans="6:8">
      <c r="H3958" t="s">
        <v>20095</v>
      </c>
    </row>
    <row r="3959" spans="6:8">
      <c r="H3959" t="s">
        <v>20096</v>
      </c>
    </row>
    <row r="3960" spans="6:8">
      <c r="H3960" t="s">
        <v>20097</v>
      </c>
    </row>
    <row r="3961" spans="6:8">
      <c r="H3961" t="s">
        <v>20098</v>
      </c>
    </row>
    <row r="3962" spans="6:8">
      <c r="H3962" t="s">
        <v>20099</v>
      </c>
    </row>
    <row r="3963" spans="6:8">
      <c r="H3963" t="s">
        <v>20100</v>
      </c>
    </row>
    <row r="3964" spans="6:8">
      <c r="H3964" t="s">
        <v>20101</v>
      </c>
    </row>
    <row r="3965" spans="6:8">
      <c r="H3965" t="s">
        <v>20102</v>
      </c>
    </row>
    <row r="3966" spans="6:8">
      <c r="F3966" t="s">
        <v>11164</v>
      </c>
      <c r="G3966" t="s">
        <v>15553</v>
      </c>
      <c r="H3966" t="s">
        <v>20091</v>
      </c>
    </row>
    <row r="3967" spans="6:8">
      <c r="H3967" t="s">
        <v>19712</v>
      </c>
    </row>
    <row r="3968" spans="6:8">
      <c r="H3968" t="s">
        <v>20092</v>
      </c>
    </row>
    <row r="3969" spans="6:8">
      <c r="H3969" t="s">
        <v>20093</v>
      </c>
    </row>
    <row r="3970" spans="6:8">
      <c r="H3970" t="s">
        <v>20094</v>
      </c>
    </row>
    <row r="3971" spans="6:8">
      <c r="H3971" t="s">
        <v>20095</v>
      </c>
    </row>
    <row r="3972" spans="6:8">
      <c r="H3972" t="s">
        <v>20096</v>
      </c>
    </row>
    <row r="3973" spans="6:8">
      <c r="H3973" t="s">
        <v>20097</v>
      </c>
    </row>
    <row r="3974" spans="6:8">
      <c r="H3974" t="s">
        <v>20098</v>
      </c>
    </row>
    <row r="3975" spans="6:8">
      <c r="H3975" t="s">
        <v>20099</v>
      </c>
    </row>
    <row r="3976" spans="6:8">
      <c r="H3976" t="s">
        <v>20100</v>
      </c>
    </row>
    <row r="3977" spans="6:8">
      <c r="H3977" t="s">
        <v>20101</v>
      </c>
    </row>
    <row r="3978" spans="6:8">
      <c r="H3978" t="s">
        <v>20102</v>
      </c>
    </row>
    <row r="3979" spans="6:8">
      <c r="F3979" t="s">
        <v>11165</v>
      </c>
      <c r="G3979" t="s">
        <v>15554</v>
      </c>
      <c r="H3979" t="s">
        <v>20091</v>
      </c>
    </row>
    <row r="3980" spans="6:8">
      <c r="H3980" t="s">
        <v>20107</v>
      </c>
    </row>
    <row r="3981" spans="6:8">
      <c r="H3981" t="s">
        <v>20108</v>
      </c>
    </row>
    <row r="3982" spans="6:8">
      <c r="H3982" t="s">
        <v>20095</v>
      </c>
    </row>
    <row r="3983" spans="6:8">
      <c r="F3983" t="s">
        <v>11166</v>
      </c>
      <c r="G3983" t="s">
        <v>15555</v>
      </c>
      <c r="H3983" t="s">
        <v>20091</v>
      </c>
    </row>
    <row r="3984" spans="6:8">
      <c r="H3984" t="s">
        <v>19712</v>
      </c>
    </row>
    <row r="3985" spans="6:8">
      <c r="H3985" t="s">
        <v>19709</v>
      </c>
    </row>
    <row r="3986" spans="6:8">
      <c r="H3986" t="s">
        <v>19706</v>
      </c>
    </row>
    <row r="3987" spans="6:8">
      <c r="H3987" t="s">
        <v>20095</v>
      </c>
    </row>
    <row r="3988" spans="6:8">
      <c r="H3988" t="s">
        <v>20096</v>
      </c>
    </row>
    <row r="3989" spans="6:8">
      <c r="H3989" t="s">
        <v>20097</v>
      </c>
    </row>
    <row r="3990" spans="6:8">
      <c r="H3990" t="s">
        <v>20098</v>
      </c>
    </row>
    <row r="3991" spans="6:8">
      <c r="F3991" t="s">
        <v>11167</v>
      </c>
      <c r="G3991" t="s">
        <v>15556</v>
      </c>
      <c r="H3991" t="s">
        <v>20091</v>
      </c>
    </row>
    <row r="3992" spans="6:8">
      <c r="H3992" t="s">
        <v>20107</v>
      </c>
    </row>
    <row r="3993" spans="6:8">
      <c r="H3993" t="s">
        <v>20108</v>
      </c>
    </row>
    <row r="3994" spans="6:8">
      <c r="H3994" t="s">
        <v>20095</v>
      </c>
    </row>
    <row r="3995" spans="6:8">
      <c r="H3995" t="s">
        <v>20096</v>
      </c>
    </row>
    <row r="3996" spans="6:8">
      <c r="H3996" t="s">
        <v>20097</v>
      </c>
    </row>
    <row r="3997" spans="6:8">
      <c r="H3997" t="s">
        <v>20098</v>
      </c>
    </row>
    <row r="3998" spans="6:8">
      <c r="H3998" t="s">
        <v>20099</v>
      </c>
    </row>
    <row r="3999" spans="6:8">
      <c r="H3999" t="s">
        <v>20100</v>
      </c>
    </row>
    <row r="4000" spans="6:8">
      <c r="H4000" t="s">
        <v>20101</v>
      </c>
    </row>
    <row r="4001" spans="6:8">
      <c r="H4001" t="s">
        <v>20102</v>
      </c>
    </row>
    <row r="4002" spans="6:8">
      <c r="F4002" t="s">
        <v>11168</v>
      </c>
      <c r="G4002" t="s">
        <v>15557</v>
      </c>
      <c r="H4002" t="s">
        <v>20095</v>
      </c>
    </row>
    <row r="4003" spans="6:8">
      <c r="H4003" t="s">
        <v>20096</v>
      </c>
    </row>
    <row r="4004" spans="6:8">
      <c r="F4004" t="s">
        <v>11169</v>
      </c>
      <c r="G4004" t="s">
        <v>15558</v>
      </c>
      <c r="H4004" t="s">
        <v>20095</v>
      </c>
    </row>
    <row r="4005" spans="6:8">
      <c r="F4005" t="s">
        <v>11170</v>
      </c>
      <c r="G4005" t="s">
        <v>15559</v>
      </c>
      <c r="H4005" t="s">
        <v>20095</v>
      </c>
    </row>
    <row r="4006" spans="6:8">
      <c r="F4006" t="s">
        <v>11171</v>
      </c>
      <c r="G4006" t="s">
        <v>15560</v>
      </c>
      <c r="H4006" t="s">
        <v>20095</v>
      </c>
    </row>
    <row r="4007" spans="6:8">
      <c r="F4007" t="s">
        <v>11172</v>
      </c>
      <c r="G4007" t="s">
        <v>15561</v>
      </c>
      <c r="H4007" t="s">
        <v>20095</v>
      </c>
    </row>
    <row r="4008" spans="6:8">
      <c r="H4008" t="s">
        <v>20096</v>
      </c>
    </row>
    <row r="4009" spans="6:8">
      <c r="H4009" t="s">
        <v>20097</v>
      </c>
    </row>
    <row r="4010" spans="6:8">
      <c r="H4010" t="s">
        <v>20098</v>
      </c>
    </row>
    <row r="4011" spans="6:8">
      <c r="F4011" t="s">
        <v>11173</v>
      </c>
      <c r="G4011" t="s">
        <v>15562</v>
      </c>
      <c r="H4011" t="s">
        <v>20095</v>
      </c>
    </row>
    <row r="4012" spans="6:8">
      <c r="F4012" t="s">
        <v>11174</v>
      </c>
      <c r="G4012" t="s">
        <v>15563</v>
      </c>
      <c r="H4012" t="s">
        <v>20095</v>
      </c>
    </row>
    <row r="4013" spans="6:8">
      <c r="H4013" t="s">
        <v>20096</v>
      </c>
    </row>
    <row r="4014" spans="6:8">
      <c r="F4014" t="s">
        <v>11175</v>
      </c>
      <c r="G4014" t="s">
        <v>15564</v>
      </c>
      <c r="H4014" t="s">
        <v>20091</v>
      </c>
    </row>
    <row r="4015" spans="6:8">
      <c r="H4015" t="s">
        <v>20095</v>
      </c>
    </row>
    <row r="4016" spans="6:8">
      <c r="H4016" t="s">
        <v>20096</v>
      </c>
    </row>
    <row r="4017" spans="1:8">
      <c r="F4017" t="s">
        <v>11176</v>
      </c>
      <c r="G4017" t="s">
        <v>15565</v>
      </c>
      <c r="H4017" t="s">
        <v>20095</v>
      </c>
    </row>
    <row r="4018" spans="1:8">
      <c r="H4018" t="s">
        <v>20096</v>
      </c>
    </row>
    <row r="4019" spans="1:8">
      <c r="F4019" t="s">
        <v>11177</v>
      </c>
      <c r="G4019" t="s">
        <v>15566</v>
      </c>
      <c r="H4019" t="s">
        <v>20095</v>
      </c>
    </row>
    <row r="4020" spans="1:8">
      <c r="F4020" t="s">
        <v>11178</v>
      </c>
      <c r="G4020" t="s">
        <v>15567</v>
      </c>
      <c r="H4020" t="s">
        <v>20095</v>
      </c>
    </row>
    <row r="4021" spans="1:8">
      <c r="F4021" t="s">
        <v>11179</v>
      </c>
      <c r="G4021" t="s">
        <v>15568</v>
      </c>
      <c r="H4021" t="s">
        <v>20095</v>
      </c>
    </row>
    <row r="4022" spans="1:8">
      <c r="H4022" t="s">
        <v>20096</v>
      </c>
    </row>
    <row r="4023" spans="1:8">
      <c r="F4023" t="s">
        <v>11180</v>
      </c>
      <c r="G4023" t="s">
        <v>15569</v>
      </c>
      <c r="H4023" t="s">
        <v>20095</v>
      </c>
    </row>
    <row r="4024" spans="1:8">
      <c r="H4024" t="s">
        <v>20096</v>
      </c>
    </row>
    <row r="4025" spans="1:8">
      <c r="H4025" t="s">
        <v>20097</v>
      </c>
    </row>
    <row r="4026" spans="1:8">
      <c r="F4026" t="s">
        <v>11181</v>
      </c>
      <c r="G4026" t="s">
        <v>15570</v>
      </c>
      <c r="H4026" t="s">
        <v>20095</v>
      </c>
    </row>
    <row r="4027" spans="1:8">
      <c r="H4027" t="s">
        <v>20096</v>
      </c>
    </row>
    <row r="4028" spans="1:8">
      <c r="F4028" t="s">
        <v>11182</v>
      </c>
      <c r="G4028" t="s">
        <v>15571</v>
      </c>
      <c r="H4028" t="s">
        <v>20095</v>
      </c>
    </row>
    <row r="4029" spans="1:8">
      <c r="H4029" t="s">
        <v>20096</v>
      </c>
    </row>
    <row r="4030" spans="1:8">
      <c r="A4030" t="s">
        <v>296</v>
      </c>
      <c r="B4030">
        <f>HYPERLINK("https://android.googlesource.com/platform/cts/+/61d80986b9775441a56a22a36b39da3a9fef7ee1", "61d80986b9775441a56a22a36b39da3a9fef7ee1")</f>
        <v>0</v>
      </c>
      <c r="C4030">
        <f>HYPERLINK("https://android.googlesource.com/platform/cts/+/98bcc322cb3a04e0f2c3bb49d08ff3060edc89a6", "98bcc322cb3a04e0f2c3bb49d08ff3060edc89a6")</f>
        <v>0</v>
      </c>
      <c r="D4030" t="s">
        <v>4941</v>
      </c>
      <c r="E4030" t="s">
        <v>6092</v>
      </c>
      <c r="F4030" t="s">
        <v>11183</v>
      </c>
      <c r="G4030" t="s">
        <v>15572</v>
      </c>
      <c r="H4030" t="s">
        <v>20133</v>
      </c>
    </row>
    <row r="4031" spans="1:8">
      <c r="A4031" t="s">
        <v>297</v>
      </c>
      <c r="B4031">
        <f>HYPERLINK("https://android.googlesource.com/platform/cts/+/e798d2968917b3af1383e955ba625cf86ff18694", "e798d2968917b3af1383e955ba625cf86ff18694")</f>
        <v>0</v>
      </c>
      <c r="C4031">
        <f>HYPERLINK("https://android.googlesource.com/platform/cts/+/9f196eb63e762a809adb4c42c7f9df4c08a0e564", "9f196eb63e762a809adb4c42c7f9df4c08a0e564")</f>
        <v>0</v>
      </c>
      <c r="D4031" t="s">
        <v>4949</v>
      </c>
      <c r="E4031" t="s">
        <v>6093</v>
      </c>
      <c r="F4031" t="s">
        <v>11184</v>
      </c>
      <c r="G4031" t="s">
        <v>15573</v>
      </c>
      <c r="H4031" t="s">
        <v>20134</v>
      </c>
    </row>
    <row r="4032" spans="1:8">
      <c r="H4032" t="s">
        <v>20135</v>
      </c>
    </row>
    <row r="4033" spans="1:8">
      <c r="H4033" t="s">
        <v>20136</v>
      </c>
    </row>
    <row r="4034" spans="1:8">
      <c r="H4034" t="s">
        <v>20136</v>
      </c>
    </row>
    <row r="4035" spans="1:8">
      <c r="H4035" t="s">
        <v>19928</v>
      </c>
    </row>
    <row r="4036" spans="1:8">
      <c r="H4036" t="s">
        <v>20137</v>
      </c>
    </row>
    <row r="4037" spans="1:8">
      <c r="A4037" t="s">
        <v>298</v>
      </c>
      <c r="B4037">
        <f>HYPERLINK("https://android.googlesource.com/platform/cts/+/a0a65d352bf7071336732d584085bc2aad1a3c95", "a0a65d352bf7071336732d584085bc2aad1a3c95")</f>
        <v>0</v>
      </c>
      <c r="C4037">
        <f>HYPERLINK("https://android.googlesource.com/platform/cts/+/f9be02e225526968ac3e7f596a411445672bc150", "f9be02e225526968ac3e7f596a411445672bc150")</f>
        <v>0</v>
      </c>
      <c r="D4037" t="s">
        <v>4941</v>
      </c>
      <c r="E4037" t="s">
        <v>6089</v>
      </c>
      <c r="F4037" t="s">
        <v>10960</v>
      </c>
      <c r="G4037" t="s">
        <v>15352</v>
      </c>
      <c r="H4037" t="s">
        <v>20082</v>
      </c>
    </row>
    <row r="4038" spans="1:8">
      <c r="A4038" t="s">
        <v>299</v>
      </c>
      <c r="B4038">
        <f>HYPERLINK("https://android.googlesource.com/platform/cts/+/66e57a3f34415ec36454bfafd405e8eafc934765", "66e57a3f34415ec36454bfafd405e8eafc934765")</f>
        <v>0</v>
      </c>
      <c r="C4038">
        <f>HYPERLINK("https://android.googlesource.com/platform/cts/+/c8ebe0c9f7868a84853148a30de456625f394ecb", "c8ebe0c9f7868a84853148a30de456625f394ecb")</f>
        <v>0</v>
      </c>
      <c r="D4038" t="s">
        <v>4941</v>
      </c>
      <c r="E4038" t="s">
        <v>6094</v>
      </c>
      <c r="F4038" t="s">
        <v>11185</v>
      </c>
      <c r="G4038" t="s">
        <v>15574</v>
      </c>
      <c r="H4038" t="s">
        <v>20138</v>
      </c>
    </row>
    <row r="4039" spans="1:8">
      <c r="H4039" t="s">
        <v>20139</v>
      </c>
    </row>
    <row r="4040" spans="1:8">
      <c r="H4040" t="s">
        <v>20140</v>
      </c>
    </row>
    <row r="4041" spans="1:8">
      <c r="H4041" t="s">
        <v>20141</v>
      </c>
    </row>
    <row r="4042" spans="1:8">
      <c r="H4042" t="s">
        <v>20142</v>
      </c>
    </row>
    <row r="4043" spans="1:8">
      <c r="H4043" t="s">
        <v>20143</v>
      </c>
    </row>
    <row r="4044" spans="1:8">
      <c r="H4044" t="s">
        <v>20144</v>
      </c>
    </row>
    <row r="4045" spans="1:8">
      <c r="H4045" t="s">
        <v>20145</v>
      </c>
    </row>
    <row r="4046" spans="1:8">
      <c r="H4046" t="s">
        <v>19531</v>
      </c>
    </row>
    <row r="4047" spans="1:8">
      <c r="H4047" t="s">
        <v>20146</v>
      </c>
    </row>
    <row r="4048" spans="1:8">
      <c r="H4048" t="s">
        <v>20147</v>
      </c>
    </row>
    <row r="4049" spans="8:8">
      <c r="H4049" t="s">
        <v>20148</v>
      </c>
    </row>
    <row r="4050" spans="8:8">
      <c r="H4050" t="s">
        <v>20149</v>
      </c>
    </row>
    <row r="4051" spans="8:8">
      <c r="H4051" t="s">
        <v>20150</v>
      </c>
    </row>
    <row r="4052" spans="8:8">
      <c r="H4052" t="s">
        <v>20151</v>
      </c>
    </row>
    <row r="4053" spans="8:8">
      <c r="H4053" t="s">
        <v>20152</v>
      </c>
    </row>
    <row r="4054" spans="8:8">
      <c r="H4054" t="s">
        <v>20153</v>
      </c>
    </row>
    <row r="4055" spans="8:8">
      <c r="H4055" t="s">
        <v>20154</v>
      </c>
    </row>
    <row r="4056" spans="8:8">
      <c r="H4056" t="s">
        <v>20155</v>
      </c>
    </row>
    <row r="4057" spans="8:8">
      <c r="H4057" t="s">
        <v>20156</v>
      </c>
    </row>
    <row r="4058" spans="8:8">
      <c r="H4058" t="s">
        <v>20157</v>
      </c>
    </row>
    <row r="4059" spans="8:8">
      <c r="H4059" t="s">
        <v>20158</v>
      </c>
    </row>
    <row r="4060" spans="8:8">
      <c r="H4060" t="s">
        <v>19644</v>
      </c>
    </row>
    <row r="4061" spans="8:8">
      <c r="H4061" t="s">
        <v>19645</v>
      </c>
    </row>
    <row r="4062" spans="8:8">
      <c r="H4062" t="s">
        <v>20159</v>
      </c>
    </row>
    <row r="4063" spans="8:8">
      <c r="H4063" t="s">
        <v>20160</v>
      </c>
    </row>
    <row r="4064" spans="8:8">
      <c r="H4064" t="s">
        <v>20161</v>
      </c>
    </row>
    <row r="4065" spans="6:8">
      <c r="H4065" t="s">
        <v>20162</v>
      </c>
    </row>
    <row r="4066" spans="6:8">
      <c r="H4066" t="s">
        <v>20163</v>
      </c>
    </row>
    <row r="4067" spans="6:8">
      <c r="H4067" t="s">
        <v>20164</v>
      </c>
    </row>
    <row r="4068" spans="6:8">
      <c r="F4068" t="s">
        <v>11186</v>
      </c>
      <c r="G4068" t="s">
        <v>15575</v>
      </c>
      <c r="H4068" t="s">
        <v>20165</v>
      </c>
    </row>
    <row r="4069" spans="6:8">
      <c r="H4069" t="s">
        <v>20083</v>
      </c>
    </row>
    <row r="4070" spans="6:8">
      <c r="H4070" t="s">
        <v>20166</v>
      </c>
    </row>
    <row r="4071" spans="6:8">
      <c r="H4071" t="s">
        <v>20167</v>
      </c>
    </row>
    <row r="4072" spans="6:8">
      <c r="H4072" t="s">
        <v>20168</v>
      </c>
    </row>
    <row r="4073" spans="6:8">
      <c r="H4073" t="s">
        <v>20169</v>
      </c>
    </row>
    <row r="4074" spans="6:8">
      <c r="H4074" t="s">
        <v>20170</v>
      </c>
    </row>
    <row r="4075" spans="6:8">
      <c r="F4075" t="s">
        <v>11187</v>
      </c>
      <c r="G4075" t="s">
        <v>15576</v>
      </c>
      <c r="H4075" t="s">
        <v>18829</v>
      </c>
    </row>
    <row r="4076" spans="6:8">
      <c r="H4076" t="s">
        <v>20171</v>
      </c>
    </row>
    <row r="4077" spans="6:8">
      <c r="H4077" t="s">
        <v>20172</v>
      </c>
    </row>
    <row r="4078" spans="6:8">
      <c r="H4078" t="s">
        <v>20173</v>
      </c>
    </row>
    <row r="4079" spans="6:8">
      <c r="H4079" t="s">
        <v>20174</v>
      </c>
    </row>
    <row r="4080" spans="6:8">
      <c r="F4080" t="s">
        <v>11188</v>
      </c>
      <c r="G4080" t="s">
        <v>15577</v>
      </c>
      <c r="H4080" t="s">
        <v>20175</v>
      </c>
    </row>
    <row r="4081" spans="1:8">
      <c r="H4081" t="s">
        <v>18829</v>
      </c>
    </row>
    <row r="4082" spans="1:8">
      <c r="H4082" t="s">
        <v>18863</v>
      </c>
    </row>
    <row r="4083" spans="1:8">
      <c r="H4083" t="s">
        <v>20176</v>
      </c>
    </row>
    <row r="4084" spans="1:8">
      <c r="H4084" t="s">
        <v>20177</v>
      </c>
    </row>
    <row r="4085" spans="1:8">
      <c r="H4085" t="s">
        <v>20177</v>
      </c>
    </row>
    <row r="4086" spans="1:8">
      <c r="H4086" t="s">
        <v>20178</v>
      </c>
    </row>
    <row r="4087" spans="1:8">
      <c r="H4087" t="s">
        <v>20179</v>
      </c>
    </row>
    <row r="4088" spans="1:8">
      <c r="H4088" t="s">
        <v>20180</v>
      </c>
    </row>
    <row r="4089" spans="1:8">
      <c r="H4089" t="s">
        <v>20181</v>
      </c>
    </row>
    <row r="4090" spans="1:8">
      <c r="H4090" t="s">
        <v>20182</v>
      </c>
    </row>
    <row r="4091" spans="1:8">
      <c r="H4091" t="s">
        <v>20183</v>
      </c>
    </row>
    <row r="4092" spans="1:8">
      <c r="A4092" t="s">
        <v>300</v>
      </c>
      <c r="B4092">
        <f>HYPERLINK("https://android.googlesource.com/platform/cts/+/f73562c8bf0af0d23fa7c72e7305345d57f8fd7f", "f73562c8bf0af0d23fa7c72e7305345d57f8fd7f")</f>
        <v>0</v>
      </c>
      <c r="C4092">
        <f>HYPERLINK("https://android.googlesource.com/platform/cts/+/add80f71092507906045f128b5dc40e352d41038", "add80f71092507906045f128b5dc40e352d41038")</f>
        <v>0</v>
      </c>
      <c r="D4092" t="s">
        <v>4941</v>
      </c>
      <c r="E4092" t="s">
        <v>6095</v>
      </c>
      <c r="F4092" t="s">
        <v>11189</v>
      </c>
      <c r="G4092" t="s">
        <v>15578</v>
      </c>
      <c r="H4092" t="s">
        <v>18893</v>
      </c>
    </row>
    <row r="4093" spans="1:8">
      <c r="H4093" t="s">
        <v>19020</v>
      </c>
    </row>
    <row r="4094" spans="1:8">
      <c r="A4094" t="s">
        <v>301</v>
      </c>
      <c r="B4094">
        <f>HYPERLINK("https://android.googlesource.com/platform/cts/+/68ecbe7ec17985a8f6ad3d226de3e5e78e098458", "68ecbe7ec17985a8f6ad3d226de3e5e78e098458")</f>
        <v>0</v>
      </c>
      <c r="C4094">
        <f>HYPERLINK("https://android.googlesource.com/platform/cts/+/5202a98d05ecdb56ffc57519c954c4a28edd4d0d", "5202a98d05ecdb56ffc57519c954c4a28edd4d0d")</f>
        <v>0</v>
      </c>
      <c r="D4094" t="s">
        <v>4971</v>
      </c>
      <c r="E4094" t="s">
        <v>6096</v>
      </c>
      <c r="F4094" t="s">
        <v>10729</v>
      </c>
      <c r="G4094" t="s">
        <v>15128</v>
      </c>
      <c r="H4094" t="s">
        <v>19349</v>
      </c>
    </row>
    <row r="4095" spans="1:8">
      <c r="A4095" t="s">
        <v>302</v>
      </c>
      <c r="B4095">
        <f>HYPERLINK("https://android.googlesource.com/platform/cts/+/0c8a8bc44e91a365f4bf0cb22d33648066749cf7", "0c8a8bc44e91a365f4bf0cb22d33648066749cf7")</f>
        <v>0</v>
      </c>
      <c r="C4095">
        <f>HYPERLINK("https://android.googlesource.com/platform/cts/+/68ecbe7ec17985a8f6ad3d226de3e5e78e098458", "68ecbe7ec17985a8f6ad3d226de3e5e78e098458")</f>
        <v>0</v>
      </c>
      <c r="D4095" t="s">
        <v>4971</v>
      </c>
      <c r="E4095" t="s">
        <v>6097</v>
      </c>
      <c r="F4095" t="s">
        <v>10721</v>
      </c>
      <c r="G4095" t="s">
        <v>15120</v>
      </c>
      <c r="H4095" t="s">
        <v>20184</v>
      </c>
    </row>
    <row r="4096" spans="1:8">
      <c r="F4096" t="s">
        <v>11190</v>
      </c>
      <c r="G4096" t="s">
        <v>15579</v>
      </c>
      <c r="H4096" t="s">
        <v>20184</v>
      </c>
    </row>
    <row r="4097" spans="1:8">
      <c r="F4097" t="s">
        <v>11191</v>
      </c>
      <c r="G4097" t="s">
        <v>15580</v>
      </c>
      <c r="H4097" t="s">
        <v>20184</v>
      </c>
    </row>
    <row r="4098" spans="1:8">
      <c r="F4098" t="s">
        <v>11192</v>
      </c>
      <c r="G4098" t="s">
        <v>15581</v>
      </c>
      <c r="H4098" t="s">
        <v>19349</v>
      </c>
    </row>
    <row r="4099" spans="1:8">
      <c r="F4099" t="s">
        <v>10724</v>
      </c>
      <c r="G4099" t="s">
        <v>15123</v>
      </c>
      <c r="H4099" t="s">
        <v>20184</v>
      </c>
    </row>
    <row r="4100" spans="1:8">
      <c r="F4100" t="s">
        <v>10729</v>
      </c>
      <c r="G4100" t="s">
        <v>15128</v>
      </c>
      <c r="H4100" t="s">
        <v>20185</v>
      </c>
    </row>
    <row r="4101" spans="1:8">
      <c r="F4101" t="s">
        <v>11193</v>
      </c>
      <c r="G4101" t="s">
        <v>15582</v>
      </c>
      <c r="H4101" t="s">
        <v>20184</v>
      </c>
    </row>
    <row r="4102" spans="1:8">
      <c r="F4102" t="s">
        <v>10666</v>
      </c>
      <c r="G4102" t="s">
        <v>15067</v>
      </c>
      <c r="H4102" t="s">
        <v>19349</v>
      </c>
    </row>
    <row r="4103" spans="1:8">
      <c r="A4103" t="s">
        <v>303</v>
      </c>
      <c r="B4103">
        <f>HYPERLINK("https://android.googlesource.com/platform/cts/+/354ed32eea151544f9f1d211c582f3553952cc4b", "354ed32eea151544f9f1d211c582f3553952cc4b")</f>
        <v>0</v>
      </c>
      <c r="C4103">
        <f>HYPERLINK("https://android.googlesource.com/platform/cts/+/1c7bf662162e865509122b68c0bf6fcf6f65fdc0", "1c7bf662162e865509122b68c0bf6fcf6f65fdc0")</f>
        <v>0</v>
      </c>
      <c r="D4103" t="s">
        <v>4964</v>
      </c>
      <c r="E4103" t="s">
        <v>6098</v>
      </c>
      <c r="F4103" t="s">
        <v>11194</v>
      </c>
      <c r="G4103" t="s">
        <v>15583</v>
      </c>
      <c r="H4103" t="s">
        <v>20186</v>
      </c>
    </row>
    <row r="4104" spans="1:8">
      <c r="H4104" t="s">
        <v>20187</v>
      </c>
    </row>
    <row r="4105" spans="1:8">
      <c r="H4105" t="s">
        <v>20188</v>
      </c>
    </row>
    <row r="4106" spans="1:8">
      <c r="H4106" t="s">
        <v>20189</v>
      </c>
    </row>
    <row r="4107" spans="1:8">
      <c r="H4107" t="s">
        <v>20190</v>
      </c>
    </row>
    <row r="4108" spans="1:8">
      <c r="H4108" t="s">
        <v>20191</v>
      </c>
    </row>
    <row r="4109" spans="1:8">
      <c r="A4109" t="s">
        <v>304</v>
      </c>
      <c r="B4109">
        <f>HYPERLINK("https://android.googlesource.com/platform/cts/+/9349ccb388ac3790315b87d7d5bf802cb0376560", "9349ccb388ac3790315b87d7d5bf802cb0376560")</f>
        <v>0</v>
      </c>
      <c r="C4109">
        <f>HYPERLINK("https://android.googlesource.com/platform/cts/+/611f9a02560d1726a82de9d4a0827ba49a4b682b", "611f9a02560d1726a82de9d4a0827ba49a4b682b")</f>
        <v>0</v>
      </c>
      <c r="D4109" t="s">
        <v>4941</v>
      </c>
      <c r="E4109" t="s">
        <v>6099</v>
      </c>
      <c r="F4109" t="s">
        <v>11195</v>
      </c>
      <c r="G4109" t="s">
        <v>15584</v>
      </c>
      <c r="H4109" t="s">
        <v>20095</v>
      </c>
    </row>
    <row r="4110" spans="1:8">
      <c r="H4110" t="s">
        <v>20096</v>
      </c>
    </row>
    <row r="4111" spans="1:8">
      <c r="H4111" t="s">
        <v>20097</v>
      </c>
    </row>
    <row r="4112" spans="1:8">
      <c r="H4112" t="s">
        <v>20098</v>
      </c>
    </row>
    <row r="4113" spans="6:8">
      <c r="H4113" t="s">
        <v>20099</v>
      </c>
    </row>
    <row r="4114" spans="6:8">
      <c r="H4114" t="s">
        <v>20100</v>
      </c>
    </row>
    <row r="4115" spans="6:8">
      <c r="H4115" t="s">
        <v>20101</v>
      </c>
    </row>
    <row r="4116" spans="6:8">
      <c r="H4116" t="s">
        <v>20102</v>
      </c>
    </row>
    <row r="4117" spans="6:8">
      <c r="H4117" t="s">
        <v>20104</v>
      </c>
    </row>
    <row r="4118" spans="6:8">
      <c r="H4118" t="s">
        <v>20123</v>
      </c>
    </row>
    <row r="4119" spans="6:8">
      <c r="H4119" t="s">
        <v>20124</v>
      </c>
    </row>
    <row r="4120" spans="6:8">
      <c r="F4120" t="s">
        <v>11196</v>
      </c>
      <c r="G4120" t="s">
        <v>15190</v>
      </c>
      <c r="H4120" t="s">
        <v>20091</v>
      </c>
    </row>
    <row r="4121" spans="6:8">
      <c r="H4121" t="s">
        <v>19712</v>
      </c>
    </row>
    <row r="4122" spans="6:8">
      <c r="H4122" t="s">
        <v>19709</v>
      </c>
    </row>
    <row r="4123" spans="6:8">
      <c r="H4123" t="s">
        <v>19706</v>
      </c>
    </row>
    <row r="4124" spans="6:8">
      <c r="H4124" t="s">
        <v>20107</v>
      </c>
    </row>
    <row r="4125" spans="6:8">
      <c r="H4125" t="s">
        <v>20108</v>
      </c>
    </row>
    <row r="4126" spans="6:8">
      <c r="H4126" t="s">
        <v>19713</v>
      </c>
    </row>
    <row r="4127" spans="6:8">
      <c r="H4127" t="s">
        <v>19714</v>
      </c>
    </row>
    <row r="4128" spans="6:8">
      <c r="H4128" t="s">
        <v>20109</v>
      </c>
    </row>
    <row r="4129" spans="6:8">
      <c r="H4129" t="s">
        <v>20110</v>
      </c>
    </row>
    <row r="4130" spans="6:8">
      <c r="H4130" t="s">
        <v>20111</v>
      </c>
    </row>
    <row r="4131" spans="6:8">
      <c r="H4131" t="s">
        <v>20112</v>
      </c>
    </row>
    <row r="4132" spans="6:8">
      <c r="H4132" t="s">
        <v>20113</v>
      </c>
    </row>
    <row r="4133" spans="6:8">
      <c r="H4133" t="s">
        <v>20095</v>
      </c>
    </row>
    <row r="4134" spans="6:8">
      <c r="H4134" t="s">
        <v>20096</v>
      </c>
    </row>
    <row r="4135" spans="6:8">
      <c r="H4135" t="s">
        <v>20097</v>
      </c>
    </row>
    <row r="4136" spans="6:8">
      <c r="H4136" t="s">
        <v>20098</v>
      </c>
    </row>
    <row r="4137" spans="6:8">
      <c r="F4137" t="s">
        <v>11197</v>
      </c>
      <c r="G4137" t="s">
        <v>15191</v>
      </c>
      <c r="H4137" t="s">
        <v>20091</v>
      </c>
    </row>
    <row r="4138" spans="6:8">
      <c r="H4138" t="s">
        <v>19712</v>
      </c>
    </row>
    <row r="4139" spans="6:8">
      <c r="H4139" t="s">
        <v>19709</v>
      </c>
    </row>
    <row r="4140" spans="6:8">
      <c r="H4140" t="s">
        <v>19706</v>
      </c>
    </row>
    <row r="4141" spans="6:8">
      <c r="H4141" t="s">
        <v>20107</v>
      </c>
    </row>
    <row r="4142" spans="6:8">
      <c r="H4142" t="s">
        <v>20108</v>
      </c>
    </row>
    <row r="4143" spans="6:8">
      <c r="H4143" t="s">
        <v>19713</v>
      </c>
    </row>
    <row r="4144" spans="6:8">
      <c r="H4144" t="s">
        <v>19714</v>
      </c>
    </row>
    <row r="4145" spans="6:8">
      <c r="H4145" t="s">
        <v>20109</v>
      </c>
    </row>
    <row r="4146" spans="6:8">
      <c r="H4146" t="s">
        <v>20110</v>
      </c>
    </row>
    <row r="4147" spans="6:8">
      <c r="H4147" t="s">
        <v>20111</v>
      </c>
    </row>
    <row r="4148" spans="6:8">
      <c r="H4148" t="s">
        <v>20112</v>
      </c>
    </row>
    <row r="4149" spans="6:8">
      <c r="H4149" t="s">
        <v>20113</v>
      </c>
    </row>
    <row r="4150" spans="6:8">
      <c r="H4150" t="s">
        <v>20095</v>
      </c>
    </row>
    <row r="4151" spans="6:8">
      <c r="H4151" t="s">
        <v>20096</v>
      </c>
    </row>
    <row r="4152" spans="6:8">
      <c r="H4152" t="s">
        <v>20097</v>
      </c>
    </row>
    <row r="4153" spans="6:8">
      <c r="H4153" t="s">
        <v>20098</v>
      </c>
    </row>
    <row r="4154" spans="6:8">
      <c r="F4154" t="s">
        <v>11198</v>
      </c>
      <c r="G4154" t="s">
        <v>15192</v>
      </c>
      <c r="H4154" t="s">
        <v>20091</v>
      </c>
    </row>
    <row r="4155" spans="6:8">
      <c r="H4155" t="s">
        <v>19712</v>
      </c>
    </row>
    <row r="4156" spans="6:8">
      <c r="H4156" t="s">
        <v>19709</v>
      </c>
    </row>
    <row r="4157" spans="6:8">
      <c r="H4157" t="s">
        <v>19707</v>
      </c>
    </row>
    <row r="4158" spans="6:8">
      <c r="H4158" t="s">
        <v>20107</v>
      </c>
    </row>
    <row r="4159" spans="6:8">
      <c r="H4159" t="s">
        <v>20108</v>
      </c>
    </row>
    <row r="4160" spans="6:8">
      <c r="H4160" t="s">
        <v>19713</v>
      </c>
    </row>
    <row r="4161" spans="6:8">
      <c r="H4161" t="s">
        <v>19714</v>
      </c>
    </row>
    <row r="4162" spans="6:8">
      <c r="H4162" t="s">
        <v>20109</v>
      </c>
    </row>
    <row r="4163" spans="6:8">
      <c r="H4163" t="s">
        <v>20110</v>
      </c>
    </row>
    <row r="4164" spans="6:8">
      <c r="H4164" t="s">
        <v>20111</v>
      </c>
    </row>
    <row r="4165" spans="6:8">
      <c r="H4165" t="s">
        <v>20112</v>
      </c>
    </row>
    <row r="4166" spans="6:8">
      <c r="H4166" t="s">
        <v>20113</v>
      </c>
    </row>
    <row r="4167" spans="6:8">
      <c r="H4167" t="s">
        <v>20095</v>
      </c>
    </row>
    <row r="4168" spans="6:8">
      <c r="H4168" t="s">
        <v>20096</v>
      </c>
    </row>
    <row r="4169" spans="6:8">
      <c r="H4169" t="s">
        <v>20097</v>
      </c>
    </row>
    <row r="4170" spans="6:8">
      <c r="H4170" t="s">
        <v>20098</v>
      </c>
    </row>
    <row r="4171" spans="6:8">
      <c r="F4171" t="s">
        <v>11199</v>
      </c>
      <c r="G4171" t="s">
        <v>15193</v>
      </c>
      <c r="H4171" t="s">
        <v>20091</v>
      </c>
    </row>
    <row r="4172" spans="6:8">
      <c r="H4172" t="s">
        <v>19712</v>
      </c>
    </row>
    <row r="4173" spans="6:8">
      <c r="H4173" t="s">
        <v>19709</v>
      </c>
    </row>
    <row r="4174" spans="6:8">
      <c r="H4174" t="s">
        <v>19707</v>
      </c>
    </row>
    <row r="4175" spans="6:8">
      <c r="H4175" t="s">
        <v>20107</v>
      </c>
    </row>
    <row r="4176" spans="6:8">
      <c r="H4176" t="s">
        <v>20108</v>
      </c>
    </row>
    <row r="4177" spans="6:8">
      <c r="H4177" t="s">
        <v>19713</v>
      </c>
    </row>
    <row r="4178" spans="6:8">
      <c r="H4178" t="s">
        <v>19714</v>
      </c>
    </row>
    <row r="4179" spans="6:8">
      <c r="H4179" t="s">
        <v>20109</v>
      </c>
    </row>
    <row r="4180" spans="6:8">
      <c r="H4180" t="s">
        <v>20110</v>
      </c>
    </row>
    <row r="4181" spans="6:8">
      <c r="H4181" t="s">
        <v>20111</v>
      </c>
    </row>
    <row r="4182" spans="6:8">
      <c r="H4182" t="s">
        <v>20112</v>
      </c>
    </row>
    <row r="4183" spans="6:8">
      <c r="H4183" t="s">
        <v>20113</v>
      </c>
    </row>
    <row r="4184" spans="6:8">
      <c r="H4184" t="s">
        <v>20095</v>
      </c>
    </row>
    <row r="4185" spans="6:8">
      <c r="H4185" t="s">
        <v>20096</v>
      </c>
    </row>
    <row r="4186" spans="6:8">
      <c r="H4186" t="s">
        <v>20097</v>
      </c>
    </row>
    <row r="4187" spans="6:8">
      <c r="H4187" t="s">
        <v>20098</v>
      </c>
    </row>
    <row r="4188" spans="6:8">
      <c r="F4188" t="s">
        <v>11200</v>
      </c>
      <c r="G4188" t="s">
        <v>15194</v>
      </c>
      <c r="H4188" t="s">
        <v>20091</v>
      </c>
    </row>
    <row r="4189" spans="6:8">
      <c r="H4189" t="s">
        <v>19712</v>
      </c>
    </row>
    <row r="4190" spans="6:8">
      <c r="H4190" t="s">
        <v>19709</v>
      </c>
    </row>
    <row r="4191" spans="6:8">
      <c r="H4191" t="s">
        <v>19706</v>
      </c>
    </row>
    <row r="4192" spans="6:8">
      <c r="H4192" t="s">
        <v>19707</v>
      </c>
    </row>
    <row r="4193" spans="6:8">
      <c r="H4193" t="s">
        <v>19711</v>
      </c>
    </row>
    <row r="4194" spans="6:8">
      <c r="H4194" t="s">
        <v>19708</v>
      </c>
    </row>
    <row r="4195" spans="6:8">
      <c r="H4195" t="s">
        <v>20107</v>
      </c>
    </row>
    <row r="4196" spans="6:8">
      <c r="H4196" t="s">
        <v>20108</v>
      </c>
    </row>
    <row r="4197" spans="6:8">
      <c r="H4197" t="s">
        <v>19713</v>
      </c>
    </row>
    <row r="4198" spans="6:8">
      <c r="H4198" t="s">
        <v>19714</v>
      </c>
    </row>
    <row r="4199" spans="6:8">
      <c r="H4199" t="s">
        <v>20109</v>
      </c>
    </row>
    <row r="4200" spans="6:8">
      <c r="H4200" t="s">
        <v>20110</v>
      </c>
    </row>
    <row r="4201" spans="6:8">
      <c r="H4201" t="s">
        <v>20095</v>
      </c>
    </row>
    <row r="4202" spans="6:8">
      <c r="H4202" t="s">
        <v>20096</v>
      </c>
    </row>
    <row r="4203" spans="6:8">
      <c r="H4203" t="s">
        <v>20097</v>
      </c>
    </row>
    <row r="4204" spans="6:8">
      <c r="H4204" t="s">
        <v>20098</v>
      </c>
    </row>
    <row r="4205" spans="6:8">
      <c r="F4205" t="s">
        <v>11201</v>
      </c>
      <c r="G4205" t="s">
        <v>15195</v>
      </c>
      <c r="H4205" t="s">
        <v>20091</v>
      </c>
    </row>
    <row r="4206" spans="6:8">
      <c r="H4206" t="s">
        <v>19712</v>
      </c>
    </row>
    <row r="4207" spans="6:8">
      <c r="H4207" t="s">
        <v>19709</v>
      </c>
    </row>
    <row r="4208" spans="6:8">
      <c r="H4208" t="s">
        <v>19706</v>
      </c>
    </row>
    <row r="4209" spans="6:8">
      <c r="H4209" t="s">
        <v>19707</v>
      </c>
    </row>
    <row r="4210" spans="6:8">
      <c r="H4210" t="s">
        <v>19711</v>
      </c>
    </row>
    <row r="4211" spans="6:8">
      <c r="H4211" t="s">
        <v>19708</v>
      </c>
    </row>
    <row r="4212" spans="6:8">
      <c r="H4212" t="s">
        <v>20107</v>
      </c>
    </row>
    <row r="4213" spans="6:8">
      <c r="H4213" t="s">
        <v>20108</v>
      </c>
    </row>
    <row r="4214" spans="6:8">
      <c r="H4214" t="s">
        <v>19713</v>
      </c>
    </row>
    <row r="4215" spans="6:8">
      <c r="H4215" t="s">
        <v>19714</v>
      </c>
    </row>
    <row r="4216" spans="6:8">
      <c r="H4216" t="s">
        <v>20109</v>
      </c>
    </row>
    <row r="4217" spans="6:8">
      <c r="H4217" t="s">
        <v>20110</v>
      </c>
    </row>
    <row r="4218" spans="6:8">
      <c r="H4218" t="s">
        <v>20095</v>
      </c>
    </row>
    <row r="4219" spans="6:8">
      <c r="H4219" t="s">
        <v>20096</v>
      </c>
    </row>
    <row r="4220" spans="6:8">
      <c r="H4220" t="s">
        <v>20097</v>
      </c>
    </row>
    <row r="4221" spans="6:8">
      <c r="H4221" t="s">
        <v>20098</v>
      </c>
    </row>
    <row r="4222" spans="6:8">
      <c r="F4222" t="s">
        <v>11202</v>
      </c>
      <c r="G4222" t="s">
        <v>15196</v>
      </c>
      <c r="H4222" t="s">
        <v>20091</v>
      </c>
    </row>
    <row r="4223" spans="6:8">
      <c r="H4223" t="s">
        <v>19712</v>
      </c>
    </row>
    <row r="4224" spans="6:8">
      <c r="H4224" t="s">
        <v>19709</v>
      </c>
    </row>
    <row r="4225" spans="6:8">
      <c r="H4225" t="s">
        <v>19706</v>
      </c>
    </row>
    <row r="4226" spans="6:8">
      <c r="H4226" t="s">
        <v>19707</v>
      </c>
    </row>
    <row r="4227" spans="6:8">
      <c r="H4227" t="s">
        <v>19711</v>
      </c>
    </row>
    <row r="4228" spans="6:8">
      <c r="H4228" t="s">
        <v>19708</v>
      </c>
    </row>
    <row r="4229" spans="6:8">
      <c r="H4229" t="s">
        <v>20107</v>
      </c>
    </row>
    <row r="4230" spans="6:8">
      <c r="H4230" t="s">
        <v>20108</v>
      </c>
    </row>
    <row r="4231" spans="6:8">
      <c r="H4231" t="s">
        <v>19713</v>
      </c>
    </row>
    <row r="4232" spans="6:8">
      <c r="H4232" t="s">
        <v>19714</v>
      </c>
    </row>
    <row r="4233" spans="6:8">
      <c r="H4233" t="s">
        <v>20109</v>
      </c>
    </row>
    <row r="4234" spans="6:8">
      <c r="H4234" t="s">
        <v>20110</v>
      </c>
    </row>
    <row r="4235" spans="6:8">
      <c r="H4235" t="s">
        <v>20095</v>
      </c>
    </row>
    <row r="4236" spans="6:8">
      <c r="H4236" t="s">
        <v>20096</v>
      </c>
    </row>
    <row r="4237" spans="6:8">
      <c r="H4237" t="s">
        <v>20097</v>
      </c>
    </row>
    <row r="4238" spans="6:8">
      <c r="H4238" t="s">
        <v>20098</v>
      </c>
    </row>
    <row r="4239" spans="6:8">
      <c r="F4239" t="s">
        <v>11203</v>
      </c>
      <c r="G4239" t="s">
        <v>15197</v>
      </c>
      <c r="H4239" t="s">
        <v>20091</v>
      </c>
    </row>
    <row r="4240" spans="6:8">
      <c r="H4240" t="s">
        <v>19712</v>
      </c>
    </row>
    <row r="4241" spans="6:8">
      <c r="H4241" t="s">
        <v>19709</v>
      </c>
    </row>
    <row r="4242" spans="6:8">
      <c r="H4242" t="s">
        <v>19706</v>
      </c>
    </row>
    <row r="4243" spans="6:8">
      <c r="H4243" t="s">
        <v>19707</v>
      </c>
    </row>
    <row r="4244" spans="6:8">
      <c r="H4244" t="s">
        <v>19711</v>
      </c>
    </row>
    <row r="4245" spans="6:8">
      <c r="H4245" t="s">
        <v>19708</v>
      </c>
    </row>
    <row r="4246" spans="6:8">
      <c r="H4246" t="s">
        <v>20107</v>
      </c>
    </row>
    <row r="4247" spans="6:8">
      <c r="H4247" t="s">
        <v>20108</v>
      </c>
    </row>
    <row r="4248" spans="6:8">
      <c r="H4248" t="s">
        <v>19713</v>
      </c>
    </row>
    <row r="4249" spans="6:8">
      <c r="H4249" t="s">
        <v>19714</v>
      </c>
    </row>
    <row r="4250" spans="6:8">
      <c r="H4250" t="s">
        <v>20109</v>
      </c>
    </row>
    <row r="4251" spans="6:8">
      <c r="H4251" t="s">
        <v>20110</v>
      </c>
    </row>
    <row r="4252" spans="6:8">
      <c r="H4252" t="s">
        <v>20095</v>
      </c>
    </row>
    <row r="4253" spans="6:8">
      <c r="H4253" t="s">
        <v>20096</v>
      </c>
    </row>
    <row r="4254" spans="6:8">
      <c r="H4254" t="s">
        <v>20097</v>
      </c>
    </row>
    <row r="4255" spans="6:8">
      <c r="H4255" t="s">
        <v>20098</v>
      </c>
    </row>
    <row r="4256" spans="6:8">
      <c r="F4256" t="s">
        <v>11204</v>
      </c>
      <c r="G4256" t="s">
        <v>15198</v>
      </c>
      <c r="H4256" t="s">
        <v>20091</v>
      </c>
    </row>
    <row r="4257" spans="6:8">
      <c r="H4257" t="s">
        <v>19712</v>
      </c>
    </row>
    <row r="4258" spans="6:8">
      <c r="H4258" t="s">
        <v>19709</v>
      </c>
    </row>
    <row r="4259" spans="6:8">
      <c r="H4259" t="s">
        <v>19706</v>
      </c>
    </row>
    <row r="4260" spans="6:8">
      <c r="H4260" t="s">
        <v>20107</v>
      </c>
    </row>
    <row r="4261" spans="6:8">
      <c r="H4261" t="s">
        <v>20108</v>
      </c>
    </row>
    <row r="4262" spans="6:8">
      <c r="H4262" t="s">
        <v>19713</v>
      </c>
    </row>
    <row r="4263" spans="6:8">
      <c r="H4263" t="s">
        <v>19714</v>
      </c>
    </row>
    <row r="4264" spans="6:8">
      <c r="H4264" t="s">
        <v>20109</v>
      </c>
    </row>
    <row r="4265" spans="6:8">
      <c r="H4265" t="s">
        <v>20110</v>
      </c>
    </row>
    <row r="4266" spans="6:8">
      <c r="H4266" t="s">
        <v>20111</v>
      </c>
    </row>
    <row r="4267" spans="6:8">
      <c r="H4267" t="s">
        <v>20112</v>
      </c>
    </row>
    <row r="4268" spans="6:8">
      <c r="H4268" t="s">
        <v>20095</v>
      </c>
    </row>
    <row r="4269" spans="6:8">
      <c r="H4269" t="s">
        <v>20096</v>
      </c>
    </row>
    <row r="4270" spans="6:8">
      <c r="H4270" t="s">
        <v>20097</v>
      </c>
    </row>
    <row r="4271" spans="6:8">
      <c r="H4271" t="s">
        <v>20098</v>
      </c>
    </row>
    <row r="4272" spans="6:8">
      <c r="F4272" t="s">
        <v>11205</v>
      </c>
      <c r="G4272" t="s">
        <v>15199</v>
      </c>
      <c r="H4272" t="s">
        <v>20091</v>
      </c>
    </row>
    <row r="4273" spans="6:8">
      <c r="H4273" t="s">
        <v>19712</v>
      </c>
    </row>
    <row r="4274" spans="6:8">
      <c r="H4274" t="s">
        <v>19709</v>
      </c>
    </row>
    <row r="4275" spans="6:8">
      <c r="H4275" t="s">
        <v>19706</v>
      </c>
    </row>
    <row r="4276" spans="6:8">
      <c r="H4276" t="s">
        <v>20107</v>
      </c>
    </row>
    <row r="4277" spans="6:8">
      <c r="H4277" t="s">
        <v>20108</v>
      </c>
    </row>
    <row r="4278" spans="6:8">
      <c r="H4278" t="s">
        <v>19713</v>
      </c>
    </row>
    <row r="4279" spans="6:8">
      <c r="H4279" t="s">
        <v>19714</v>
      </c>
    </row>
    <row r="4280" spans="6:8">
      <c r="H4280" t="s">
        <v>20109</v>
      </c>
    </row>
    <row r="4281" spans="6:8">
      <c r="H4281" t="s">
        <v>20110</v>
      </c>
    </row>
    <row r="4282" spans="6:8">
      <c r="H4282" t="s">
        <v>20111</v>
      </c>
    </row>
    <row r="4283" spans="6:8">
      <c r="H4283" t="s">
        <v>20112</v>
      </c>
    </row>
    <row r="4284" spans="6:8">
      <c r="H4284" t="s">
        <v>20096</v>
      </c>
    </row>
    <row r="4285" spans="6:8">
      <c r="H4285" t="s">
        <v>20097</v>
      </c>
    </row>
    <row r="4286" spans="6:8">
      <c r="H4286" t="s">
        <v>20098</v>
      </c>
    </row>
    <row r="4287" spans="6:8">
      <c r="H4287" t="s">
        <v>20099</v>
      </c>
    </row>
    <row r="4288" spans="6:8">
      <c r="F4288" t="s">
        <v>11206</v>
      </c>
      <c r="G4288" t="s">
        <v>15200</v>
      </c>
      <c r="H4288" t="s">
        <v>20091</v>
      </c>
    </row>
    <row r="4289" spans="6:8">
      <c r="H4289" t="s">
        <v>19712</v>
      </c>
    </row>
    <row r="4290" spans="6:8">
      <c r="H4290" t="s">
        <v>19709</v>
      </c>
    </row>
    <row r="4291" spans="6:8">
      <c r="H4291" t="s">
        <v>20092</v>
      </c>
    </row>
    <row r="4292" spans="6:8">
      <c r="H4292" t="s">
        <v>20093</v>
      </c>
    </row>
    <row r="4293" spans="6:8">
      <c r="H4293" t="s">
        <v>20094</v>
      </c>
    </row>
    <row r="4294" spans="6:8">
      <c r="H4294" t="s">
        <v>20095</v>
      </c>
    </row>
    <row r="4295" spans="6:8">
      <c r="H4295" t="s">
        <v>20096</v>
      </c>
    </row>
    <row r="4296" spans="6:8">
      <c r="H4296" t="s">
        <v>20097</v>
      </c>
    </row>
    <row r="4297" spans="6:8">
      <c r="H4297" t="s">
        <v>20098</v>
      </c>
    </row>
    <row r="4298" spans="6:8">
      <c r="H4298" t="s">
        <v>20099</v>
      </c>
    </row>
    <row r="4299" spans="6:8">
      <c r="H4299" t="s">
        <v>20100</v>
      </c>
    </row>
    <row r="4300" spans="6:8">
      <c r="H4300" t="s">
        <v>20101</v>
      </c>
    </row>
    <row r="4301" spans="6:8">
      <c r="F4301" t="s">
        <v>11207</v>
      </c>
      <c r="G4301" t="s">
        <v>15201</v>
      </c>
      <c r="H4301" t="s">
        <v>20091</v>
      </c>
    </row>
    <row r="4302" spans="6:8">
      <c r="H4302" t="s">
        <v>19712</v>
      </c>
    </row>
    <row r="4303" spans="6:8">
      <c r="H4303" t="s">
        <v>19709</v>
      </c>
    </row>
    <row r="4304" spans="6:8">
      <c r="H4304" t="s">
        <v>20092</v>
      </c>
    </row>
    <row r="4305" spans="6:8">
      <c r="H4305" t="s">
        <v>20093</v>
      </c>
    </row>
    <row r="4306" spans="6:8">
      <c r="H4306" t="s">
        <v>20094</v>
      </c>
    </row>
    <row r="4307" spans="6:8">
      <c r="H4307" t="s">
        <v>20095</v>
      </c>
    </row>
    <row r="4308" spans="6:8">
      <c r="H4308" t="s">
        <v>20096</v>
      </c>
    </row>
    <row r="4309" spans="6:8">
      <c r="H4309" t="s">
        <v>20097</v>
      </c>
    </row>
    <row r="4310" spans="6:8">
      <c r="H4310" t="s">
        <v>20098</v>
      </c>
    </row>
    <row r="4311" spans="6:8">
      <c r="H4311" t="s">
        <v>20099</v>
      </c>
    </row>
    <row r="4312" spans="6:8">
      <c r="H4312" t="s">
        <v>20100</v>
      </c>
    </row>
    <row r="4313" spans="6:8">
      <c r="H4313" t="s">
        <v>20101</v>
      </c>
    </row>
    <row r="4314" spans="6:8">
      <c r="F4314" t="s">
        <v>11208</v>
      </c>
      <c r="G4314" t="s">
        <v>15202</v>
      </c>
      <c r="H4314" t="s">
        <v>20091</v>
      </c>
    </row>
    <row r="4315" spans="6:8">
      <c r="H4315" t="s">
        <v>19712</v>
      </c>
    </row>
    <row r="4316" spans="6:8">
      <c r="H4316" t="s">
        <v>19709</v>
      </c>
    </row>
    <row r="4317" spans="6:8">
      <c r="H4317" t="s">
        <v>20092</v>
      </c>
    </row>
    <row r="4318" spans="6:8">
      <c r="H4318" t="s">
        <v>20093</v>
      </c>
    </row>
    <row r="4319" spans="6:8">
      <c r="H4319" t="s">
        <v>20094</v>
      </c>
    </row>
    <row r="4320" spans="6:8">
      <c r="H4320" t="s">
        <v>20095</v>
      </c>
    </row>
    <row r="4321" spans="6:8">
      <c r="H4321" t="s">
        <v>20096</v>
      </c>
    </row>
    <row r="4322" spans="6:8">
      <c r="H4322" t="s">
        <v>20097</v>
      </c>
    </row>
    <row r="4323" spans="6:8">
      <c r="H4323" t="s">
        <v>20098</v>
      </c>
    </row>
    <row r="4324" spans="6:8">
      <c r="H4324" t="s">
        <v>20099</v>
      </c>
    </row>
    <row r="4325" spans="6:8">
      <c r="H4325" t="s">
        <v>20100</v>
      </c>
    </row>
    <row r="4326" spans="6:8">
      <c r="H4326" t="s">
        <v>20101</v>
      </c>
    </row>
    <row r="4327" spans="6:8">
      <c r="F4327" t="s">
        <v>11209</v>
      </c>
      <c r="G4327" t="s">
        <v>15203</v>
      </c>
      <c r="H4327" t="s">
        <v>20091</v>
      </c>
    </row>
    <row r="4328" spans="6:8">
      <c r="H4328" t="s">
        <v>19712</v>
      </c>
    </row>
    <row r="4329" spans="6:8">
      <c r="H4329" t="s">
        <v>19709</v>
      </c>
    </row>
    <row r="4330" spans="6:8">
      <c r="H4330" t="s">
        <v>20092</v>
      </c>
    </row>
    <row r="4331" spans="6:8">
      <c r="H4331" t="s">
        <v>20093</v>
      </c>
    </row>
    <row r="4332" spans="6:8">
      <c r="H4332" t="s">
        <v>20094</v>
      </c>
    </row>
    <row r="4333" spans="6:8">
      <c r="H4333" t="s">
        <v>20095</v>
      </c>
    </row>
    <row r="4334" spans="6:8">
      <c r="H4334" t="s">
        <v>20096</v>
      </c>
    </row>
    <row r="4335" spans="6:8">
      <c r="H4335" t="s">
        <v>20097</v>
      </c>
    </row>
    <row r="4336" spans="6:8">
      <c r="H4336" t="s">
        <v>20098</v>
      </c>
    </row>
    <row r="4337" spans="6:8">
      <c r="H4337" t="s">
        <v>20099</v>
      </c>
    </row>
    <row r="4338" spans="6:8">
      <c r="H4338" t="s">
        <v>20100</v>
      </c>
    </row>
    <row r="4339" spans="6:8">
      <c r="H4339" t="s">
        <v>20101</v>
      </c>
    </row>
    <row r="4340" spans="6:8">
      <c r="F4340" t="s">
        <v>11210</v>
      </c>
      <c r="G4340" t="s">
        <v>15204</v>
      </c>
      <c r="H4340" t="s">
        <v>20091</v>
      </c>
    </row>
    <row r="4341" spans="6:8">
      <c r="H4341" t="s">
        <v>19712</v>
      </c>
    </row>
    <row r="4342" spans="6:8">
      <c r="H4342" t="s">
        <v>19709</v>
      </c>
    </row>
    <row r="4343" spans="6:8">
      <c r="H4343" t="s">
        <v>20092</v>
      </c>
    </row>
    <row r="4344" spans="6:8">
      <c r="H4344" t="s">
        <v>20093</v>
      </c>
    </row>
    <row r="4345" spans="6:8">
      <c r="H4345" t="s">
        <v>20094</v>
      </c>
    </row>
    <row r="4346" spans="6:8">
      <c r="H4346" t="s">
        <v>20095</v>
      </c>
    </row>
    <row r="4347" spans="6:8">
      <c r="H4347" t="s">
        <v>20096</v>
      </c>
    </row>
    <row r="4348" spans="6:8">
      <c r="H4348" t="s">
        <v>20097</v>
      </c>
    </row>
    <row r="4349" spans="6:8">
      <c r="H4349" t="s">
        <v>20098</v>
      </c>
    </row>
    <row r="4350" spans="6:8">
      <c r="H4350" t="s">
        <v>20099</v>
      </c>
    </row>
    <row r="4351" spans="6:8">
      <c r="H4351" t="s">
        <v>20100</v>
      </c>
    </row>
    <row r="4352" spans="6:8">
      <c r="H4352" t="s">
        <v>20101</v>
      </c>
    </row>
    <row r="4353" spans="6:8">
      <c r="F4353" t="s">
        <v>11211</v>
      </c>
      <c r="G4353" t="s">
        <v>15205</v>
      </c>
      <c r="H4353" t="s">
        <v>20091</v>
      </c>
    </row>
    <row r="4354" spans="6:8">
      <c r="H4354" t="s">
        <v>19712</v>
      </c>
    </row>
    <row r="4355" spans="6:8">
      <c r="H4355" t="s">
        <v>19709</v>
      </c>
    </row>
    <row r="4356" spans="6:8">
      <c r="H4356" t="s">
        <v>20092</v>
      </c>
    </row>
    <row r="4357" spans="6:8">
      <c r="H4357" t="s">
        <v>20093</v>
      </c>
    </row>
    <row r="4358" spans="6:8">
      <c r="H4358" t="s">
        <v>20094</v>
      </c>
    </row>
    <row r="4359" spans="6:8">
      <c r="H4359" t="s">
        <v>20095</v>
      </c>
    </row>
    <row r="4360" spans="6:8">
      <c r="H4360" t="s">
        <v>20096</v>
      </c>
    </row>
    <row r="4361" spans="6:8">
      <c r="H4361" t="s">
        <v>20097</v>
      </c>
    </row>
    <row r="4362" spans="6:8">
      <c r="H4362" t="s">
        <v>20098</v>
      </c>
    </row>
    <row r="4363" spans="6:8">
      <c r="H4363" t="s">
        <v>20099</v>
      </c>
    </row>
    <row r="4364" spans="6:8">
      <c r="H4364" t="s">
        <v>20100</v>
      </c>
    </row>
    <row r="4365" spans="6:8">
      <c r="H4365" t="s">
        <v>20101</v>
      </c>
    </row>
    <row r="4366" spans="6:8">
      <c r="F4366" t="s">
        <v>11212</v>
      </c>
      <c r="G4366" t="s">
        <v>15206</v>
      </c>
      <c r="H4366" t="s">
        <v>20091</v>
      </c>
    </row>
    <row r="4367" spans="6:8">
      <c r="H4367" t="s">
        <v>19712</v>
      </c>
    </row>
    <row r="4368" spans="6:8">
      <c r="H4368" t="s">
        <v>19709</v>
      </c>
    </row>
    <row r="4369" spans="6:8">
      <c r="H4369" t="s">
        <v>19706</v>
      </c>
    </row>
    <row r="4370" spans="6:8">
      <c r="H4370" t="s">
        <v>20092</v>
      </c>
    </row>
    <row r="4371" spans="6:8">
      <c r="H4371" t="s">
        <v>20093</v>
      </c>
    </row>
    <row r="4372" spans="6:8">
      <c r="H4372" t="s">
        <v>20094</v>
      </c>
    </row>
    <row r="4373" spans="6:8">
      <c r="H4373" t="s">
        <v>20095</v>
      </c>
    </row>
    <row r="4374" spans="6:8">
      <c r="H4374" t="s">
        <v>20096</v>
      </c>
    </row>
    <row r="4375" spans="6:8">
      <c r="H4375" t="s">
        <v>20097</v>
      </c>
    </row>
    <row r="4376" spans="6:8">
      <c r="H4376" t="s">
        <v>20098</v>
      </c>
    </row>
    <row r="4377" spans="6:8">
      <c r="H4377" t="s">
        <v>20099</v>
      </c>
    </row>
    <row r="4378" spans="6:8">
      <c r="H4378" t="s">
        <v>20100</v>
      </c>
    </row>
    <row r="4379" spans="6:8">
      <c r="H4379" t="s">
        <v>20101</v>
      </c>
    </row>
    <row r="4380" spans="6:8">
      <c r="F4380" t="s">
        <v>11213</v>
      </c>
      <c r="G4380" t="s">
        <v>15207</v>
      </c>
      <c r="H4380" t="s">
        <v>20091</v>
      </c>
    </row>
    <row r="4381" spans="6:8">
      <c r="H4381" t="s">
        <v>19712</v>
      </c>
    </row>
    <row r="4382" spans="6:8">
      <c r="H4382" t="s">
        <v>19709</v>
      </c>
    </row>
    <row r="4383" spans="6:8">
      <c r="H4383" t="s">
        <v>19706</v>
      </c>
    </row>
    <row r="4384" spans="6:8">
      <c r="H4384" t="s">
        <v>20107</v>
      </c>
    </row>
    <row r="4385" spans="6:8">
      <c r="H4385" t="s">
        <v>20108</v>
      </c>
    </row>
    <row r="4386" spans="6:8">
      <c r="H4386" t="s">
        <v>20096</v>
      </c>
    </row>
    <row r="4387" spans="6:8">
      <c r="H4387" t="s">
        <v>20097</v>
      </c>
    </row>
    <row r="4388" spans="6:8">
      <c r="H4388" t="s">
        <v>20098</v>
      </c>
    </row>
    <row r="4389" spans="6:8">
      <c r="H4389" t="s">
        <v>20099</v>
      </c>
    </row>
    <row r="4390" spans="6:8">
      <c r="F4390" t="s">
        <v>11214</v>
      </c>
      <c r="G4390" t="s">
        <v>15208</v>
      </c>
      <c r="H4390" t="s">
        <v>20091</v>
      </c>
    </row>
    <row r="4391" spans="6:8">
      <c r="H4391" t="s">
        <v>19712</v>
      </c>
    </row>
    <row r="4392" spans="6:8">
      <c r="H4392" t="s">
        <v>19709</v>
      </c>
    </row>
    <row r="4393" spans="6:8">
      <c r="H4393" t="s">
        <v>19706</v>
      </c>
    </row>
    <row r="4394" spans="6:8">
      <c r="H4394" t="s">
        <v>20107</v>
      </c>
    </row>
    <row r="4395" spans="6:8">
      <c r="H4395" t="s">
        <v>20108</v>
      </c>
    </row>
    <row r="4396" spans="6:8">
      <c r="H4396" t="s">
        <v>20096</v>
      </c>
    </row>
    <row r="4397" spans="6:8">
      <c r="H4397" t="s">
        <v>20097</v>
      </c>
    </row>
    <row r="4398" spans="6:8">
      <c r="H4398" t="s">
        <v>20098</v>
      </c>
    </row>
    <row r="4399" spans="6:8">
      <c r="H4399" t="s">
        <v>20099</v>
      </c>
    </row>
    <row r="4400" spans="6:8">
      <c r="F4400" t="s">
        <v>11215</v>
      </c>
      <c r="G4400" t="s">
        <v>15209</v>
      </c>
      <c r="H4400" t="s">
        <v>20091</v>
      </c>
    </row>
    <row r="4401" spans="6:8">
      <c r="H4401" t="s">
        <v>19712</v>
      </c>
    </row>
    <row r="4402" spans="6:8">
      <c r="H4402" t="s">
        <v>19709</v>
      </c>
    </row>
    <row r="4403" spans="6:8">
      <c r="H4403" t="s">
        <v>19706</v>
      </c>
    </row>
    <row r="4404" spans="6:8">
      <c r="H4404" t="s">
        <v>20107</v>
      </c>
    </row>
    <row r="4405" spans="6:8">
      <c r="H4405" t="s">
        <v>20108</v>
      </c>
    </row>
    <row r="4406" spans="6:8">
      <c r="H4406" t="s">
        <v>20095</v>
      </c>
    </row>
    <row r="4407" spans="6:8">
      <c r="H4407" t="s">
        <v>20096</v>
      </c>
    </row>
    <row r="4408" spans="6:8">
      <c r="H4408" t="s">
        <v>20097</v>
      </c>
    </row>
    <row r="4409" spans="6:8">
      <c r="H4409" t="s">
        <v>20099</v>
      </c>
    </row>
    <row r="4410" spans="6:8">
      <c r="F4410" t="s">
        <v>11216</v>
      </c>
      <c r="G4410" t="s">
        <v>15210</v>
      </c>
      <c r="H4410" t="s">
        <v>20091</v>
      </c>
    </row>
    <row r="4411" spans="6:8">
      <c r="H4411" t="s">
        <v>19712</v>
      </c>
    </row>
    <row r="4412" spans="6:8">
      <c r="H4412" t="s">
        <v>19709</v>
      </c>
    </row>
    <row r="4413" spans="6:8">
      <c r="H4413" t="s">
        <v>19706</v>
      </c>
    </row>
    <row r="4414" spans="6:8">
      <c r="H4414" t="s">
        <v>20107</v>
      </c>
    </row>
    <row r="4415" spans="6:8">
      <c r="H4415" t="s">
        <v>20108</v>
      </c>
    </row>
    <row r="4416" spans="6:8">
      <c r="H4416" t="s">
        <v>20095</v>
      </c>
    </row>
    <row r="4417" spans="6:8">
      <c r="H4417" t="s">
        <v>20096</v>
      </c>
    </row>
    <row r="4418" spans="6:8">
      <c r="H4418" t="s">
        <v>20097</v>
      </c>
    </row>
    <row r="4419" spans="6:8">
      <c r="H4419" t="s">
        <v>20099</v>
      </c>
    </row>
    <row r="4420" spans="6:8">
      <c r="F4420" t="s">
        <v>11217</v>
      </c>
      <c r="G4420" t="s">
        <v>15211</v>
      </c>
      <c r="H4420" t="s">
        <v>20091</v>
      </c>
    </row>
    <row r="4421" spans="6:8">
      <c r="H4421" t="s">
        <v>19712</v>
      </c>
    </row>
    <row r="4422" spans="6:8">
      <c r="H4422" t="s">
        <v>19709</v>
      </c>
    </row>
    <row r="4423" spans="6:8">
      <c r="H4423" t="s">
        <v>19706</v>
      </c>
    </row>
    <row r="4424" spans="6:8">
      <c r="H4424" t="s">
        <v>20107</v>
      </c>
    </row>
    <row r="4425" spans="6:8">
      <c r="H4425" t="s">
        <v>20108</v>
      </c>
    </row>
    <row r="4426" spans="6:8">
      <c r="H4426" t="s">
        <v>20095</v>
      </c>
    </row>
    <row r="4427" spans="6:8">
      <c r="H4427" t="s">
        <v>20096</v>
      </c>
    </row>
    <row r="4428" spans="6:8">
      <c r="H4428" t="s">
        <v>20097</v>
      </c>
    </row>
    <row r="4429" spans="6:8">
      <c r="H4429" t="s">
        <v>20098</v>
      </c>
    </row>
    <row r="4430" spans="6:8">
      <c r="F4430" t="s">
        <v>11218</v>
      </c>
      <c r="G4430" t="s">
        <v>15212</v>
      </c>
      <c r="H4430" t="s">
        <v>20091</v>
      </c>
    </row>
    <row r="4431" spans="6:8">
      <c r="H4431" t="s">
        <v>19712</v>
      </c>
    </row>
    <row r="4432" spans="6:8">
      <c r="H4432" t="s">
        <v>19709</v>
      </c>
    </row>
    <row r="4433" spans="6:8">
      <c r="H4433" t="s">
        <v>19706</v>
      </c>
    </row>
    <row r="4434" spans="6:8">
      <c r="H4434" t="s">
        <v>20107</v>
      </c>
    </row>
    <row r="4435" spans="6:8">
      <c r="H4435" t="s">
        <v>20108</v>
      </c>
    </row>
    <row r="4436" spans="6:8">
      <c r="H4436" t="s">
        <v>20095</v>
      </c>
    </row>
    <row r="4437" spans="6:8">
      <c r="H4437" t="s">
        <v>20096</v>
      </c>
    </row>
    <row r="4438" spans="6:8">
      <c r="H4438" t="s">
        <v>20097</v>
      </c>
    </row>
    <row r="4439" spans="6:8">
      <c r="H4439" t="s">
        <v>20098</v>
      </c>
    </row>
    <row r="4440" spans="6:8">
      <c r="F4440" t="s">
        <v>11219</v>
      </c>
      <c r="G4440" t="s">
        <v>15213</v>
      </c>
      <c r="H4440" t="s">
        <v>20091</v>
      </c>
    </row>
    <row r="4441" spans="6:8">
      <c r="H4441" t="s">
        <v>19712</v>
      </c>
    </row>
    <row r="4442" spans="6:8">
      <c r="H4442" t="s">
        <v>19709</v>
      </c>
    </row>
    <row r="4443" spans="6:8">
      <c r="H4443" t="s">
        <v>20092</v>
      </c>
    </row>
    <row r="4444" spans="6:8">
      <c r="H4444" t="s">
        <v>20093</v>
      </c>
    </row>
    <row r="4445" spans="6:8">
      <c r="H4445" t="s">
        <v>20094</v>
      </c>
    </row>
    <row r="4446" spans="6:8">
      <c r="H4446" t="s">
        <v>20095</v>
      </c>
    </row>
    <row r="4447" spans="6:8">
      <c r="H4447" t="s">
        <v>20096</v>
      </c>
    </row>
    <row r="4448" spans="6:8">
      <c r="H4448" t="s">
        <v>20097</v>
      </c>
    </row>
    <row r="4449" spans="6:8">
      <c r="H4449" t="s">
        <v>20098</v>
      </c>
    </row>
    <row r="4450" spans="6:8">
      <c r="H4450" t="s">
        <v>20099</v>
      </c>
    </row>
    <row r="4451" spans="6:8">
      <c r="H4451" t="s">
        <v>20100</v>
      </c>
    </row>
    <row r="4452" spans="6:8">
      <c r="H4452" t="s">
        <v>20101</v>
      </c>
    </row>
    <row r="4453" spans="6:8">
      <c r="F4453" t="s">
        <v>11220</v>
      </c>
      <c r="G4453" t="s">
        <v>15214</v>
      </c>
      <c r="H4453" t="s">
        <v>20091</v>
      </c>
    </row>
    <row r="4454" spans="6:8">
      <c r="H4454" t="s">
        <v>19712</v>
      </c>
    </row>
    <row r="4455" spans="6:8">
      <c r="H4455" t="s">
        <v>19709</v>
      </c>
    </row>
    <row r="4456" spans="6:8">
      <c r="H4456" t="s">
        <v>20092</v>
      </c>
    </row>
    <row r="4457" spans="6:8">
      <c r="H4457" t="s">
        <v>20093</v>
      </c>
    </row>
    <row r="4458" spans="6:8">
      <c r="H4458" t="s">
        <v>20094</v>
      </c>
    </row>
    <row r="4459" spans="6:8">
      <c r="H4459" t="s">
        <v>20095</v>
      </c>
    </row>
    <row r="4460" spans="6:8">
      <c r="H4460" t="s">
        <v>20096</v>
      </c>
    </row>
    <row r="4461" spans="6:8">
      <c r="H4461" t="s">
        <v>20097</v>
      </c>
    </row>
    <row r="4462" spans="6:8">
      <c r="H4462" t="s">
        <v>20098</v>
      </c>
    </row>
    <row r="4463" spans="6:8">
      <c r="H4463" t="s">
        <v>20099</v>
      </c>
    </row>
    <row r="4464" spans="6:8">
      <c r="H4464" t="s">
        <v>20100</v>
      </c>
    </row>
    <row r="4465" spans="6:8">
      <c r="H4465" t="s">
        <v>20101</v>
      </c>
    </row>
    <row r="4466" spans="6:8">
      <c r="H4466" t="s">
        <v>20104</v>
      </c>
    </row>
    <row r="4467" spans="6:8">
      <c r="F4467" t="s">
        <v>11221</v>
      </c>
      <c r="G4467" t="s">
        <v>15215</v>
      </c>
      <c r="H4467" t="s">
        <v>20091</v>
      </c>
    </row>
    <row r="4468" spans="6:8">
      <c r="H4468" t="s">
        <v>19712</v>
      </c>
    </row>
    <row r="4469" spans="6:8">
      <c r="H4469" t="s">
        <v>19709</v>
      </c>
    </row>
    <row r="4470" spans="6:8">
      <c r="H4470" t="s">
        <v>20092</v>
      </c>
    </row>
    <row r="4471" spans="6:8">
      <c r="H4471" t="s">
        <v>20093</v>
      </c>
    </row>
    <row r="4472" spans="6:8">
      <c r="H4472" t="s">
        <v>20094</v>
      </c>
    </row>
    <row r="4473" spans="6:8">
      <c r="H4473" t="s">
        <v>20095</v>
      </c>
    </row>
    <row r="4474" spans="6:8">
      <c r="H4474" t="s">
        <v>20096</v>
      </c>
    </row>
    <row r="4475" spans="6:8">
      <c r="H4475" t="s">
        <v>20097</v>
      </c>
    </row>
    <row r="4476" spans="6:8">
      <c r="H4476" t="s">
        <v>20098</v>
      </c>
    </row>
    <row r="4477" spans="6:8">
      <c r="H4477" t="s">
        <v>20099</v>
      </c>
    </row>
    <row r="4478" spans="6:8">
      <c r="H4478" t="s">
        <v>20100</v>
      </c>
    </row>
    <row r="4479" spans="6:8">
      <c r="H4479" t="s">
        <v>20101</v>
      </c>
    </row>
    <row r="4480" spans="6:8">
      <c r="H4480" t="s">
        <v>20102</v>
      </c>
    </row>
    <row r="4481" spans="6:8">
      <c r="F4481" t="s">
        <v>11222</v>
      </c>
      <c r="G4481" t="s">
        <v>15216</v>
      </c>
      <c r="H4481" t="s">
        <v>20091</v>
      </c>
    </row>
    <row r="4482" spans="6:8">
      <c r="H4482" t="s">
        <v>19712</v>
      </c>
    </row>
    <row r="4483" spans="6:8">
      <c r="H4483" t="s">
        <v>19709</v>
      </c>
    </row>
    <row r="4484" spans="6:8">
      <c r="H4484" t="s">
        <v>20092</v>
      </c>
    </row>
    <row r="4485" spans="6:8">
      <c r="H4485" t="s">
        <v>20093</v>
      </c>
    </row>
    <row r="4486" spans="6:8">
      <c r="H4486" t="s">
        <v>20094</v>
      </c>
    </row>
    <row r="4487" spans="6:8">
      <c r="H4487" t="s">
        <v>20095</v>
      </c>
    </row>
    <row r="4488" spans="6:8">
      <c r="H4488" t="s">
        <v>20096</v>
      </c>
    </row>
    <row r="4489" spans="6:8">
      <c r="H4489" t="s">
        <v>20097</v>
      </c>
    </row>
    <row r="4490" spans="6:8">
      <c r="H4490" t="s">
        <v>20098</v>
      </c>
    </row>
    <row r="4491" spans="6:8">
      <c r="H4491" t="s">
        <v>20099</v>
      </c>
    </row>
    <row r="4492" spans="6:8">
      <c r="H4492" t="s">
        <v>20100</v>
      </c>
    </row>
    <row r="4493" spans="6:8">
      <c r="H4493" t="s">
        <v>20101</v>
      </c>
    </row>
    <row r="4494" spans="6:8">
      <c r="H4494" t="s">
        <v>20104</v>
      </c>
    </row>
    <row r="4495" spans="6:8">
      <c r="F4495" t="s">
        <v>11223</v>
      </c>
      <c r="G4495" t="s">
        <v>15217</v>
      </c>
      <c r="H4495" t="s">
        <v>20091</v>
      </c>
    </row>
    <row r="4496" spans="6:8">
      <c r="H4496" t="s">
        <v>19712</v>
      </c>
    </row>
    <row r="4497" spans="6:8">
      <c r="H4497" t="s">
        <v>19709</v>
      </c>
    </row>
    <row r="4498" spans="6:8">
      <c r="H4498" t="s">
        <v>19706</v>
      </c>
    </row>
    <row r="4499" spans="6:8">
      <c r="H4499" t="s">
        <v>19707</v>
      </c>
    </row>
    <row r="4500" spans="6:8">
      <c r="H4500" t="s">
        <v>20092</v>
      </c>
    </row>
    <row r="4501" spans="6:8">
      <c r="H4501" t="s">
        <v>20093</v>
      </c>
    </row>
    <row r="4502" spans="6:8">
      <c r="H4502" t="s">
        <v>20094</v>
      </c>
    </row>
    <row r="4503" spans="6:8">
      <c r="H4503" t="s">
        <v>20103</v>
      </c>
    </row>
    <row r="4504" spans="6:8">
      <c r="H4504" t="s">
        <v>20095</v>
      </c>
    </row>
    <row r="4505" spans="6:8">
      <c r="H4505" t="s">
        <v>20096</v>
      </c>
    </row>
    <row r="4506" spans="6:8">
      <c r="H4506" t="s">
        <v>20097</v>
      </c>
    </row>
    <row r="4507" spans="6:8">
      <c r="H4507" t="s">
        <v>20098</v>
      </c>
    </row>
    <row r="4508" spans="6:8">
      <c r="H4508" t="s">
        <v>20099</v>
      </c>
    </row>
    <row r="4509" spans="6:8">
      <c r="H4509" t="s">
        <v>20100</v>
      </c>
    </row>
    <row r="4510" spans="6:8">
      <c r="H4510" t="s">
        <v>20101</v>
      </c>
    </row>
    <row r="4511" spans="6:8">
      <c r="H4511" t="s">
        <v>20102</v>
      </c>
    </row>
    <row r="4512" spans="6:8">
      <c r="F4512" t="s">
        <v>11224</v>
      </c>
      <c r="G4512" t="s">
        <v>15218</v>
      </c>
      <c r="H4512" t="s">
        <v>20091</v>
      </c>
    </row>
    <row r="4513" spans="6:8">
      <c r="H4513" t="s">
        <v>19712</v>
      </c>
    </row>
    <row r="4514" spans="6:8">
      <c r="H4514" t="s">
        <v>19709</v>
      </c>
    </row>
    <row r="4515" spans="6:8">
      <c r="H4515" t="s">
        <v>20092</v>
      </c>
    </row>
    <row r="4516" spans="6:8">
      <c r="H4516" t="s">
        <v>20093</v>
      </c>
    </row>
    <row r="4517" spans="6:8">
      <c r="H4517" t="s">
        <v>20094</v>
      </c>
    </row>
    <row r="4518" spans="6:8">
      <c r="H4518" t="s">
        <v>20095</v>
      </c>
    </row>
    <row r="4519" spans="6:8">
      <c r="H4519" t="s">
        <v>20096</v>
      </c>
    </row>
    <row r="4520" spans="6:8">
      <c r="H4520" t="s">
        <v>20097</v>
      </c>
    </row>
    <row r="4521" spans="6:8">
      <c r="H4521" t="s">
        <v>20098</v>
      </c>
    </row>
    <row r="4522" spans="6:8">
      <c r="H4522" t="s">
        <v>20099</v>
      </c>
    </row>
    <row r="4523" spans="6:8">
      <c r="H4523" t="s">
        <v>20100</v>
      </c>
    </row>
    <row r="4524" spans="6:8">
      <c r="H4524" t="s">
        <v>20101</v>
      </c>
    </row>
    <row r="4525" spans="6:8">
      <c r="H4525" t="s">
        <v>20102</v>
      </c>
    </row>
    <row r="4526" spans="6:8">
      <c r="F4526" t="s">
        <v>11225</v>
      </c>
      <c r="G4526" t="s">
        <v>15219</v>
      </c>
      <c r="H4526" t="s">
        <v>20091</v>
      </c>
    </row>
    <row r="4527" spans="6:8">
      <c r="H4527" t="s">
        <v>19712</v>
      </c>
    </row>
    <row r="4528" spans="6:8">
      <c r="H4528" t="s">
        <v>19709</v>
      </c>
    </row>
    <row r="4529" spans="6:8">
      <c r="H4529" t="s">
        <v>19706</v>
      </c>
    </row>
    <row r="4530" spans="6:8">
      <c r="H4530" t="s">
        <v>19707</v>
      </c>
    </row>
    <row r="4531" spans="6:8">
      <c r="H4531" t="s">
        <v>20092</v>
      </c>
    </row>
    <row r="4532" spans="6:8">
      <c r="H4532" t="s">
        <v>20093</v>
      </c>
    </row>
    <row r="4533" spans="6:8">
      <c r="H4533" t="s">
        <v>20094</v>
      </c>
    </row>
    <row r="4534" spans="6:8">
      <c r="H4534" t="s">
        <v>20095</v>
      </c>
    </row>
    <row r="4535" spans="6:8">
      <c r="H4535" t="s">
        <v>20096</v>
      </c>
    </row>
    <row r="4536" spans="6:8">
      <c r="H4536" t="s">
        <v>20097</v>
      </c>
    </row>
    <row r="4537" spans="6:8">
      <c r="H4537" t="s">
        <v>20099</v>
      </c>
    </row>
    <row r="4538" spans="6:8">
      <c r="H4538" t="s">
        <v>20100</v>
      </c>
    </row>
    <row r="4539" spans="6:8">
      <c r="H4539" t="s">
        <v>20101</v>
      </c>
    </row>
    <row r="4540" spans="6:8">
      <c r="F4540" t="s">
        <v>11226</v>
      </c>
      <c r="G4540" t="s">
        <v>15585</v>
      </c>
      <c r="H4540" t="s">
        <v>20091</v>
      </c>
    </row>
    <row r="4541" spans="6:8">
      <c r="H4541" t="s">
        <v>19712</v>
      </c>
    </row>
    <row r="4542" spans="6:8">
      <c r="H4542" t="s">
        <v>20106</v>
      </c>
    </row>
    <row r="4543" spans="6:8">
      <c r="H4543" t="s">
        <v>20095</v>
      </c>
    </row>
    <row r="4544" spans="6:8">
      <c r="H4544" t="s">
        <v>20096</v>
      </c>
    </row>
    <row r="4545" spans="6:8">
      <c r="H4545" t="s">
        <v>20097</v>
      </c>
    </row>
    <row r="4546" spans="6:8">
      <c r="F4546" t="s">
        <v>11227</v>
      </c>
      <c r="G4546" t="s">
        <v>15586</v>
      </c>
      <c r="H4546" t="s">
        <v>20091</v>
      </c>
    </row>
    <row r="4547" spans="6:8">
      <c r="H4547" t="s">
        <v>19712</v>
      </c>
    </row>
    <row r="4548" spans="6:8">
      <c r="H4548" t="s">
        <v>19706</v>
      </c>
    </row>
    <row r="4549" spans="6:8">
      <c r="H4549" t="s">
        <v>20092</v>
      </c>
    </row>
    <row r="4550" spans="6:8">
      <c r="H4550" t="s">
        <v>20095</v>
      </c>
    </row>
    <row r="4551" spans="6:8">
      <c r="H4551" t="s">
        <v>20096</v>
      </c>
    </row>
    <row r="4552" spans="6:8">
      <c r="H4552" t="s">
        <v>20097</v>
      </c>
    </row>
    <row r="4553" spans="6:8">
      <c r="H4553" t="s">
        <v>20098</v>
      </c>
    </row>
    <row r="4554" spans="6:8">
      <c r="H4554" t="s">
        <v>20099</v>
      </c>
    </row>
    <row r="4555" spans="6:8">
      <c r="H4555" t="s">
        <v>20100</v>
      </c>
    </row>
    <row r="4556" spans="6:8">
      <c r="H4556" t="s">
        <v>20101</v>
      </c>
    </row>
    <row r="4557" spans="6:8">
      <c r="F4557" t="s">
        <v>11228</v>
      </c>
      <c r="G4557" t="s">
        <v>15220</v>
      </c>
      <c r="H4557" t="s">
        <v>20091</v>
      </c>
    </row>
    <row r="4558" spans="6:8">
      <c r="H4558" t="s">
        <v>19712</v>
      </c>
    </row>
    <row r="4559" spans="6:8">
      <c r="H4559" t="s">
        <v>19709</v>
      </c>
    </row>
    <row r="4560" spans="6:8">
      <c r="H4560" t="s">
        <v>19706</v>
      </c>
    </row>
    <row r="4561" spans="6:8">
      <c r="H4561" t="s">
        <v>20107</v>
      </c>
    </row>
    <row r="4562" spans="6:8">
      <c r="H4562" t="s">
        <v>20108</v>
      </c>
    </row>
    <row r="4563" spans="6:8">
      <c r="H4563" t="s">
        <v>19713</v>
      </c>
    </row>
    <row r="4564" spans="6:8">
      <c r="H4564" t="s">
        <v>19714</v>
      </c>
    </row>
    <row r="4565" spans="6:8">
      <c r="H4565" t="s">
        <v>20109</v>
      </c>
    </row>
    <row r="4566" spans="6:8">
      <c r="H4566" t="s">
        <v>20110</v>
      </c>
    </row>
    <row r="4567" spans="6:8">
      <c r="H4567" t="s">
        <v>20095</v>
      </c>
    </row>
    <row r="4568" spans="6:8">
      <c r="H4568" t="s">
        <v>20096</v>
      </c>
    </row>
    <row r="4569" spans="6:8">
      <c r="H4569" t="s">
        <v>20097</v>
      </c>
    </row>
    <row r="4570" spans="6:8">
      <c r="H4570" t="s">
        <v>20098</v>
      </c>
    </row>
    <row r="4571" spans="6:8">
      <c r="F4571" t="s">
        <v>11229</v>
      </c>
      <c r="G4571" t="s">
        <v>15221</v>
      </c>
      <c r="H4571" t="s">
        <v>20091</v>
      </c>
    </row>
    <row r="4572" spans="6:8">
      <c r="H4572" t="s">
        <v>19712</v>
      </c>
    </row>
    <row r="4573" spans="6:8">
      <c r="H4573" t="s">
        <v>19709</v>
      </c>
    </row>
    <row r="4574" spans="6:8">
      <c r="H4574" t="s">
        <v>19706</v>
      </c>
    </row>
    <row r="4575" spans="6:8">
      <c r="H4575" t="s">
        <v>20107</v>
      </c>
    </row>
    <row r="4576" spans="6:8">
      <c r="H4576" t="s">
        <v>20108</v>
      </c>
    </row>
    <row r="4577" spans="6:8">
      <c r="H4577" t="s">
        <v>19713</v>
      </c>
    </row>
    <row r="4578" spans="6:8">
      <c r="H4578" t="s">
        <v>19714</v>
      </c>
    </row>
    <row r="4579" spans="6:8">
      <c r="H4579" t="s">
        <v>20109</v>
      </c>
    </row>
    <row r="4580" spans="6:8">
      <c r="H4580" t="s">
        <v>20095</v>
      </c>
    </row>
    <row r="4581" spans="6:8">
      <c r="H4581" t="s">
        <v>20096</v>
      </c>
    </row>
    <row r="4582" spans="6:8">
      <c r="H4582" t="s">
        <v>20097</v>
      </c>
    </row>
    <row r="4583" spans="6:8">
      <c r="H4583" t="s">
        <v>20098</v>
      </c>
    </row>
    <row r="4584" spans="6:8">
      <c r="F4584" t="s">
        <v>11230</v>
      </c>
      <c r="G4584" t="s">
        <v>15222</v>
      </c>
      <c r="H4584" t="s">
        <v>20091</v>
      </c>
    </row>
    <row r="4585" spans="6:8">
      <c r="H4585" t="s">
        <v>19712</v>
      </c>
    </row>
    <row r="4586" spans="6:8">
      <c r="H4586" t="s">
        <v>19709</v>
      </c>
    </row>
    <row r="4587" spans="6:8">
      <c r="H4587" t="s">
        <v>19706</v>
      </c>
    </row>
    <row r="4588" spans="6:8">
      <c r="H4588" t="s">
        <v>20107</v>
      </c>
    </row>
    <row r="4589" spans="6:8">
      <c r="H4589" t="s">
        <v>20108</v>
      </c>
    </row>
    <row r="4590" spans="6:8">
      <c r="H4590" t="s">
        <v>19713</v>
      </c>
    </row>
    <row r="4591" spans="6:8">
      <c r="H4591" t="s">
        <v>19714</v>
      </c>
    </row>
    <row r="4592" spans="6:8">
      <c r="H4592" t="s">
        <v>20109</v>
      </c>
    </row>
    <row r="4593" spans="6:8">
      <c r="H4593" t="s">
        <v>20095</v>
      </c>
    </row>
    <row r="4594" spans="6:8">
      <c r="H4594" t="s">
        <v>20096</v>
      </c>
    </row>
    <row r="4595" spans="6:8">
      <c r="H4595" t="s">
        <v>20097</v>
      </c>
    </row>
    <row r="4596" spans="6:8">
      <c r="H4596" t="s">
        <v>20098</v>
      </c>
    </row>
    <row r="4597" spans="6:8">
      <c r="F4597" t="s">
        <v>11231</v>
      </c>
      <c r="G4597" t="s">
        <v>15223</v>
      </c>
      <c r="H4597" t="s">
        <v>20091</v>
      </c>
    </row>
    <row r="4598" spans="6:8">
      <c r="H4598" t="s">
        <v>19712</v>
      </c>
    </row>
    <row r="4599" spans="6:8">
      <c r="H4599" t="s">
        <v>19709</v>
      </c>
    </row>
    <row r="4600" spans="6:8">
      <c r="H4600" t="s">
        <v>19706</v>
      </c>
    </row>
    <row r="4601" spans="6:8">
      <c r="H4601" t="s">
        <v>20107</v>
      </c>
    </row>
    <row r="4602" spans="6:8">
      <c r="H4602" t="s">
        <v>20108</v>
      </c>
    </row>
    <row r="4603" spans="6:8">
      <c r="H4603" t="s">
        <v>19713</v>
      </c>
    </row>
    <row r="4604" spans="6:8">
      <c r="H4604" t="s">
        <v>19714</v>
      </c>
    </row>
    <row r="4605" spans="6:8">
      <c r="H4605" t="s">
        <v>20109</v>
      </c>
    </row>
    <row r="4606" spans="6:8">
      <c r="H4606" t="s">
        <v>20095</v>
      </c>
    </row>
    <row r="4607" spans="6:8">
      <c r="H4607" t="s">
        <v>20096</v>
      </c>
    </row>
    <row r="4608" spans="6:8">
      <c r="H4608" t="s">
        <v>20097</v>
      </c>
    </row>
    <row r="4609" spans="6:8">
      <c r="H4609" t="s">
        <v>20098</v>
      </c>
    </row>
    <row r="4610" spans="6:8">
      <c r="F4610" t="s">
        <v>11232</v>
      </c>
      <c r="G4610" t="s">
        <v>15224</v>
      </c>
      <c r="H4610" t="s">
        <v>20091</v>
      </c>
    </row>
    <row r="4611" spans="6:8">
      <c r="H4611" t="s">
        <v>19712</v>
      </c>
    </row>
    <row r="4612" spans="6:8">
      <c r="H4612" t="s">
        <v>19709</v>
      </c>
    </row>
    <row r="4613" spans="6:8">
      <c r="H4613" t="s">
        <v>19706</v>
      </c>
    </row>
    <row r="4614" spans="6:8">
      <c r="H4614" t="s">
        <v>20107</v>
      </c>
    </row>
    <row r="4615" spans="6:8">
      <c r="H4615" t="s">
        <v>20108</v>
      </c>
    </row>
    <row r="4616" spans="6:8">
      <c r="H4616" t="s">
        <v>19713</v>
      </c>
    </row>
    <row r="4617" spans="6:8">
      <c r="H4617" t="s">
        <v>19714</v>
      </c>
    </row>
    <row r="4618" spans="6:8">
      <c r="H4618" t="s">
        <v>20109</v>
      </c>
    </row>
    <row r="4619" spans="6:8">
      <c r="H4619" t="s">
        <v>20095</v>
      </c>
    </row>
    <row r="4620" spans="6:8">
      <c r="H4620" t="s">
        <v>20096</v>
      </c>
    </row>
    <row r="4621" spans="6:8">
      <c r="H4621" t="s">
        <v>20097</v>
      </c>
    </row>
    <row r="4622" spans="6:8">
      <c r="H4622" t="s">
        <v>20098</v>
      </c>
    </row>
    <row r="4623" spans="6:8">
      <c r="F4623" t="s">
        <v>11233</v>
      </c>
      <c r="G4623" t="s">
        <v>15587</v>
      </c>
      <c r="H4623" t="s">
        <v>19712</v>
      </c>
    </row>
    <row r="4624" spans="6:8">
      <c r="H4624" t="s">
        <v>20095</v>
      </c>
    </row>
    <row r="4625" spans="6:8">
      <c r="H4625" t="s">
        <v>20096</v>
      </c>
    </row>
    <row r="4626" spans="6:8">
      <c r="F4626" t="s">
        <v>11234</v>
      </c>
      <c r="G4626" t="s">
        <v>15588</v>
      </c>
      <c r="H4626" t="s">
        <v>19712</v>
      </c>
    </row>
    <row r="4627" spans="6:8">
      <c r="H4627" t="s">
        <v>20095</v>
      </c>
    </row>
    <row r="4628" spans="6:8">
      <c r="H4628" t="s">
        <v>20096</v>
      </c>
    </row>
    <row r="4629" spans="6:8">
      <c r="F4629" t="s">
        <v>11235</v>
      </c>
      <c r="G4629" t="s">
        <v>15589</v>
      </c>
      <c r="H4629" t="s">
        <v>20091</v>
      </c>
    </row>
    <row r="4630" spans="6:8">
      <c r="H4630" t="s">
        <v>19712</v>
      </c>
    </row>
    <row r="4631" spans="6:8">
      <c r="H4631" t="s">
        <v>20092</v>
      </c>
    </row>
    <row r="4632" spans="6:8">
      <c r="H4632" t="s">
        <v>20093</v>
      </c>
    </row>
    <row r="4633" spans="6:8">
      <c r="H4633" t="s">
        <v>20095</v>
      </c>
    </row>
    <row r="4634" spans="6:8">
      <c r="H4634" t="s">
        <v>20096</v>
      </c>
    </row>
    <row r="4635" spans="6:8">
      <c r="H4635" t="s">
        <v>20097</v>
      </c>
    </row>
    <row r="4636" spans="6:8">
      <c r="F4636" t="s">
        <v>11236</v>
      </c>
      <c r="G4636" t="s">
        <v>15590</v>
      </c>
      <c r="H4636" t="s">
        <v>20091</v>
      </c>
    </row>
    <row r="4637" spans="6:8">
      <c r="H4637" t="s">
        <v>20095</v>
      </c>
    </row>
    <row r="4638" spans="6:8">
      <c r="H4638" t="s">
        <v>20096</v>
      </c>
    </row>
    <row r="4639" spans="6:8">
      <c r="F4639" t="s">
        <v>11237</v>
      </c>
      <c r="G4639" t="s">
        <v>15591</v>
      </c>
      <c r="H4639" t="s">
        <v>20091</v>
      </c>
    </row>
    <row r="4640" spans="6:8">
      <c r="H4640" t="s">
        <v>20095</v>
      </c>
    </row>
    <row r="4641" spans="6:8">
      <c r="H4641" t="s">
        <v>20096</v>
      </c>
    </row>
    <row r="4642" spans="6:8">
      <c r="H4642" t="s">
        <v>20097</v>
      </c>
    </row>
    <row r="4643" spans="6:8">
      <c r="F4643" t="s">
        <v>11238</v>
      </c>
      <c r="G4643" t="s">
        <v>15592</v>
      </c>
      <c r="H4643" t="s">
        <v>20091</v>
      </c>
    </row>
    <row r="4644" spans="6:8">
      <c r="H4644" t="s">
        <v>20095</v>
      </c>
    </row>
    <row r="4645" spans="6:8">
      <c r="H4645" t="s">
        <v>20096</v>
      </c>
    </row>
    <row r="4646" spans="6:8">
      <c r="H4646" t="s">
        <v>20097</v>
      </c>
    </row>
    <row r="4647" spans="6:8">
      <c r="F4647" t="s">
        <v>11239</v>
      </c>
      <c r="G4647" t="s">
        <v>15593</v>
      </c>
      <c r="H4647" t="s">
        <v>20091</v>
      </c>
    </row>
    <row r="4648" spans="6:8">
      <c r="H4648" t="s">
        <v>19712</v>
      </c>
    </row>
    <row r="4649" spans="6:8">
      <c r="H4649" t="s">
        <v>20095</v>
      </c>
    </row>
    <row r="4650" spans="6:8">
      <c r="H4650" t="s">
        <v>20096</v>
      </c>
    </row>
    <row r="4651" spans="6:8">
      <c r="F4651" t="s">
        <v>11240</v>
      </c>
      <c r="G4651" t="s">
        <v>15594</v>
      </c>
      <c r="H4651" t="s">
        <v>20091</v>
      </c>
    </row>
    <row r="4652" spans="6:8">
      <c r="H4652" t="s">
        <v>20095</v>
      </c>
    </row>
    <row r="4653" spans="6:8">
      <c r="H4653" t="s">
        <v>20096</v>
      </c>
    </row>
    <row r="4654" spans="6:8">
      <c r="F4654" t="s">
        <v>11241</v>
      </c>
      <c r="G4654" t="s">
        <v>15595</v>
      </c>
      <c r="H4654" t="s">
        <v>20091</v>
      </c>
    </row>
    <row r="4655" spans="6:8">
      <c r="H4655" t="s">
        <v>20095</v>
      </c>
    </row>
    <row r="4656" spans="6:8">
      <c r="H4656" t="s">
        <v>20096</v>
      </c>
    </row>
    <row r="4657" spans="6:8">
      <c r="F4657" t="s">
        <v>11242</v>
      </c>
      <c r="G4657" t="s">
        <v>15596</v>
      </c>
      <c r="H4657" t="s">
        <v>19712</v>
      </c>
    </row>
    <row r="4658" spans="6:8">
      <c r="H4658" t="s">
        <v>20095</v>
      </c>
    </row>
    <row r="4659" spans="6:8">
      <c r="H4659" t="s">
        <v>20096</v>
      </c>
    </row>
    <row r="4660" spans="6:8">
      <c r="F4660" t="s">
        <v>11243</v>
      </c>
      <c r="G4660" t="s">
        <v>15225</v>
      </c>
      <c r="H4660" t="s">
        <v>20091</v>
      </c>
    </row>
    <row r="4661" spans="6:8">
      <c r="H4661" t="s">
        <v>19712</v>
      </c>
    </row>
    <row r="4662" spans="6:8">
      <c r="H4662" t="s">
        <v>19709</v>
      </c>
    </row>
    <row r="4663" spans="6:8">
      <c r="H4663" t="s">
        <v>19706</v>
      </c>
    </row>
    <row r="4664" spans="6:8">
      <c r="H4664" t="s">
        <v>19707</v>
      </c>
    </row>
    <row r="4665" spans="6:8">
      <c r="H4665" t="s">
        <v>20108</v>
      </c>
    </row>
    <row r="4666" spans="6:8">
      <c r="H4666" t="s">
        <v>19713</v>
      </c>
    </row>
    <row r="4667" spans="6:8">
      <c r="H4667" t="s">
        <v>19714</v>
      </c>
    </row>
    <row r="4668" spans="6:8">
      <c r="H4668" t="s">
        <v>20109</v>
      </c>
    </row>
    <row r="4669" spans="6:8">
      <c r="H4669" t="s">
        <v>20110</v>
      </c>
    </row>
    <row r="4670" spans="6:8">
      <c r="H4670" t="s">
        <v>20111</v>
      </c>
    </row>
    <row r="4671" spans="6:8">
      <c r="H4671" t="s">
        <v>20112</v>
      </c>
    </row>
    <row r="4672" spans="6:8">
      <c r="H4672" t="s">
        <v>20113</v>
      </c>
    </row>
    <row r="4673" spans="6:8">
      <c r="H4673" t="s">
        <v>20095</v>
      </c>
    </row>
    <row r="4674" spans="6:8">
      <c r="H4674" t="s">
        <v>20096</v>
      </c>
    </row>
    <row r="4675" spans="6:8">
      <c r="H4675" t="s">
        <v>20097</v>
      </c>
    </row>
    <row r="4676" spans="6:8">
      <c r="H4676" t="s">
        <v>20098</v>
      </c>
    </row>
    <row r="4677" spans="6:8">
      <c r="F4677" t="s">
        <v>11244</v>
      </c>
      <c r="G4677" t="s">
        <v>15226</v>
      </c>
      <c r="H4677" t="s">
        <v>20091</v>
      </c>
    </row>
    <row r="4678" spans="6:8">
      <c r="H4678" t="s">
        <v>19712</v>
      </c>
    </row>
    <row r="4679" spans="6:8">
      <c r="H4679" t="s">
        <v>19709</v>
      </c>
    </row>
    <row r="4680" spans="6:8">
      <c r="H4680" t="s">
        <v>19706</v>
      </c>
    </row>
    <row r="4681" spans="6:8">
      <c r="H4681" t="s">
        <v>19707</v>
      </c>
    </row>
    <row r="4682" spans="6:8">
      <c r="H4682" t="s">
        <v>20108</v>
      </c>
    </row>
    <row r="4683" spans="6:8">
      <c r="H4683" t="s">
        <v>19713</v>
      </c>
    </row>
    <row r="4684" spans="6:8">
      <c r="H4684" t="s">
        <v>19714</v>
      </c>
    </row>
    <row r="4685" spans="6:8">
      <c r="H4685" t="s">
        <v>20109</v>
      </c>
    </row>
    <row r="4686" spans="6:8">
      <c r="H4686" t="s">
        <v>20110</v>
      </c>
    </row>
    <row r="4687" spans="6:8">
      <c r="H4687" t="s">
        <v>20111</v>
      </c>
    </row>
    <row r="4688" spans="6:8">
      <c r="H4688" t="s">
        <v>20112</v>
      </c>
    </row>
    <row r="4689" spans="6:8">
      <c r="H4689" t="s">
        <v>20113</v>
      </c>
    </row>
    <row r="4690" spans="6:8">
      <c r="H4690" t="s">
        <v>20095</v>
      </c>
    </row>
    <row r="4691" spans="6:8">
      <c r="H4691" t="s">
        <v>20096</v>
      </c>
    </row>
    <row r="4692" spans="6:8">
      <c r="H4692" t="s">
        <v>20097</v>
      </c>
    </row>
    <row r="4693" spans="6:8">
      <c r="H4693" t="s">
        <v>20098</v>
      </c>
    </row>
    <row r="4694" spans="6:8">
      <c r="F4694" t="s">
        <v>11245</v>
      </c>
      <c r="G4694" t="s">
        <v>15227</v>
      </c>
      <c r="H4694" t="s">
        <v>20091</v>
      </c>
    </row>
    <row r="4695" spans="6:8">
      <c r="H4695" t="s">
        <v>19712</v>
      </c>
    </row>
    <row r="4696" spans="6:8">
      <c r="H4696" t="s">
        <v>19709</v>
      </c>
    </row>
    <row r="4697" spans="6:8">
      <c r="H4697" t="s">
        <v>19706</v>
      </c>
    </row>
    <row r="4698" spans="6:8">
      <c r="H4698" t="s">
        <v>20107</v>
      </c>
    </row>
    <row r="4699" spans="6:8">
      <c r="H4699" t="s">
        <v>20108</v>
      </c>
    </row>
    <row r="4700" spans="6:8">
      <c r="H4700" t="s">
        <v>19713</v>
      </c>
    </row>
    <row r="4701" spans="6:8">
      <c r="H4701" t="s">
        <v>19714</v>
      </c>
    </row>
    <row r="4702" spans="6:8">
      <c r="H4702" t="s">
        <v>20109</v>
      </c>
    </row>
    <row r="4703" spans="6:8">
      <c r="H4703" t="s">
        <v>20110</v>
      </c>
    </row>
    <row r="4704" spans="6:8">
      <c r="H4704" t="s">
        <v>20111</v>
      </c>
    </row>
    <row r="4705" spans="6:8">
      <c r="H4705" t="s">
        <v>20112</v>
      </c>
    </row>
    <row r="4706" spans="6:8">
      <c r="H4706" t="s">
        <v>20113</v>
      </c>
    </row>
    <row r="4707" spans="6:8">
      <c r="H4707" t="s">
        <v>20095</v>
      </c>
    </row>
    <row r="4708" spans="6:8">
      <c r="H4708" t="s">
        <v>20096</v>
      </c>
    </row>
    <row r="4709" spans="6:8">
      <c r="H4709" t="s">
        <v>20097</v>
      </c>
    </row>
    <row r="4710" spans="6:8">
      <c r="H4710" t="s">
        <v>20098</v>
      </c>
    </row>
    <row r="4711" spans="6:8">
      <c r="F4711" t="s">
        <v>11246</v>
      </c>
      <c r="G4711" t="s">
        <v>15228</v>
      </c>
      <c r="H4711" t="s">
        <v>20091</v>
      </c>
    </row>
    <row r="4712" spans="6:8">
      <c r="H4712" t="s">
        <v>19712</v>
      </c>
    </row>
    <row r="4713" spans="6:8">
      <c r="H4713" t="s">
        <v>19709</v>
      </c>
    </row>
    <row r="4714" spans="6:8">
      <c r="H4714" t="s">
        <v>19706</v>
      </c>
    </row>
    <row r="4715" spans="6:8">
      <c r="H4715" t="s">
        <v>20107</v>
      </c>
    </row>
    <row r="4716" spans="6:8">
      <c r="H4716" t="s">
        <v>20108</v>
      </c>
    </row>
    <row r="4717" spans="6:8">
      <c r="H4717" t="s">
        <v>19713</v>
      </c>
    </row>
    <row r="4718" spans="6:8">
      <c r="H4718" t="s">
        <v>19714</v>
      </c>
    </row>
    <row r="4719" spans="6:8">
      <c r="H4719" t="s">
        <v>20109</v>
      </c>
    </row>
    <row r="4720" spans="6:8">
      <c r="H4720" t="s">
        <v>20110</v>
      </c>
    </row>
    <row r="4721" spans="6:8">
      <c r="H4721" t="s">
        <v>20111</v>
      </c>
    </row>
    <row r="4722" spans="6:8">
      <c r="H4722" t="s">
        <v>20112</v>
      </c>
    </row>
    <row r="4723" spans="6:8">
      <c r="H4723" t="s">
        <v>20113</v>
      </c>
    </row>
    <row r="4724" spans="6:8">
      <c r="H4724" t="s">
        <v>20095</v>
      </c>
    </row>
    <row r="4725" spans="6:8">
      <c r="H4725" t="s">
        <v>20096</v>
      </c>
    </row>
    <row r="4726" spans="6:8">
      <c r="H4726" t="s">
        <v>20097</v>
      </c>
    </row>
    <row r="4727" spans="6:8">
      <c r="H4727" t="s">
        <v>20098</v>
      </c>
    </row>
    <row r="4728" spans="6:8">
      <c r="F4728" t="s">
        <v>11247</v>
      </c>
      <c r="G4728" t="s">
        <v>15229</v>
      </c>
      <c r="H4728" t="s">
        <v>20091</v>
      </c>
    </row>
    <row r="4729" spans="6:8">
      <c r="H4729" t="s">
        <v>19712</v>
      </c>
    </row>
    <row r="4730" spans="6:8">
      <c r="H4730" t="s">
        <v>19709</v>
      </c>
    </row>
    <row r="4731" spans="6:8">
      <c r="H4731" t="s">
        <v>19706</v>
      </c>
    </row>
    <row r="4732" spans="6:8">
      <c r="H4732" t="s">
        <v>19707</v>
      </c>
    </row>
    <row r="4733" spans="6:8">
      <c r="H4733" t="s">
        <v>19711</v>
      </c>
    </row>
    <row r="4734" spans="6:8">
      <c r="H4734" t="s">
        <v>19708</v>
      </c>
    </row>
    <row r="4735" spans="6:8">
      <c r="H4735" t="s">
        <v>20107</v>
      </c>
    </row>
    <row r="4736" spans="6:8">
      <c r="H4736" t="s">
        <v>20108</v>
      </c>
    </row>
    <row r="4737" spans="6:8">
      <c r="H4737" t="s">
        <v>19713</v>
      </c>
    </row>
    <row r="4738" spans="6:8">
      <c r="H4738" t="s">
        <v>19714</v>
      </c>
    </row>
    <row r="4739" spans="6:8">
      <c r="H4739" t="s">
        <v>20109</v>
      </c>
    </row>
    <row r="4740" spans="6:8">
      <c r="H4740" t="s">
        <v>20110</v>
      </c>
    </row>
    <row r="4741" spans="6:8">
      <c r="H4741" t="s">
        <v>20092</v>
      </c>
    </row>
    <row r="4742" spans="6:8">
      <c r="H4742" t="s">
        <v>20095</v>
      </c>
    </row>
    <row r="4743" spans="6:8">
      <c r="H4743" t="s">
        <v>20096</v>
      </c>
    </row>
    <row r="4744" spans="6:8">
      <c r="H4744" t="s">
        <v>20097</v>
      </c>
    </row>
    <row r="4745" spans="6:8">
      <c r="H4745" t="s">
        <v>20098</v>
      </c>
    </row>
    <row r="4746" spans="6:8">
      <c r="F4746" t="s">
        <v>11248</v>
      </c>
      <c r="G4746" t="s">
        <v>15230</v>
      </c>
      <c r="H4746" t="s">
        <v>20091</v>
      </c>
    </row>
    <row r="4747" spans="6:8">
      <c r="H4747" t="s">
        <v>19712</v>
      </c>
    </row>
    <row r="4748" spans="6:8">
      <c r="H4748" t="s">
        <v>19709</v>
      </c>
    </row>
    <row r="4749" spans="6:8">
      <c r="H4749" t="s">
        <v>19706</v>
      </c>
    </row>
    <row r="4750" spans="6:8">
      <c r="H4750" t="s">
        <v>19707</v>
      </c>
    </row>
    <row r="4751" spans="6:8">
      <c r="H4751" t="s">
        <v>19711</v>
      </c>
    </row>
    <row r="4752" spans="6:8">
      <c r="H4752" t="s">
        <v>19708</v>
      </c>
    </row>
    <row r="4753" spans="6:8">
      <c r="H4753" t="s">
        <v>20107</v>
      </c>
    </row>
    <row r="4754" spans="6:8">
      <c r="H4754" t="s">
        <v>20108</v>
      </c>
    </row>
    <row r="4755" spans="6:8">
      <c r="H4755" t="s">
        <v>19713</v>
      </c>
    </row>
    <row r="4756" spans="6:8">
      <c r="H4756" t="s">
        <v>19714</v>
      </c>
    </row>
    <row r="4757" spans="6:8">
      <c r="H4757" t="s">
        <v>20109</v>
      </c>
    </row>
    <row r="4758" spans="6:8">
      <c r="H4758" t="s">
        <v>20110</v>
      </c>
    </row>
    <row r="4759" spans="6:8">
      <c r="H4759" t="s">
        <v>20092</v>
      </c>
    </row>
    <row r="4760" spans="6:8">
      <c r="H4760" t="s">
        <v>20095</v>
      </c>
    </row>
    <row r="4761" spans="6:8">
      <c r="H4761" t="s">
        <v>20096</v>
      </c>
    </row>
    <row r="4762" spans="6:8">
      <c r="H4762" t="s">
        <v>20097</v>
      </c>
    </row>
    <row r="4763" spans="6:8">
      <c r="H4763" t="s">
        <v>20098</v>
      </c>
    </row>
    <row r="4764" spans="6:8">
      <c r="F4764" t="s">
        <v>11249</v>
      </c>
      <c r="G4764" t="s">
        <v>15231</v>
      </c>
      <c r="H4764" t="s">
        <v>20091</v>
      </c>
    </row>
    <row r="4765" spans="6:8">
      <c r="H4765" t="s">
        <v>19712</v>
      </c>
    </row>
    <row r="4766" spans="6:8">
      <c r="H4766" t="s">
        <v>19709</v>
      </c>
    </row>
    <row r="4767" spans="6:8">
      <c r="H4767" t="s">
        <v>19706</v>
      </c>
    </row>
    <row r="4768" spans="6:8">
      <c r="H4768" t="s">
        <v>19707</v>
      </c>
    </row>
    <row r="4769" spans="6:8">
      <c r="H4769" t="s">
        <v>19711</v>
      </c>
    </row>
    <row r="4770" spans="6:8">
      <c r="H4770" t="s">
        <v>19708</v>
      </c>
    </row>
    <row r="4771" spans="6:8">
      <c r="H4771" t="s">
        <v>20107</v>
      </c>
    </row>
    <row r="4772" spans="6:8">
      <c r="H4772" t="s">
        <v>20108</v>
      </c>
    </row>
    <row r="4773" spans="6:8">
      <c r="H4773" t="s">
        <v>19713</v>
      </c>
    </row>
    <row r="4774" spans="6:8">
      <c r="H4774" t="s">
        <v>19714</v>
      </c>
    </row>
    <row r="4775" spans="6:8">
      <c r="H4775" t="s">
        <v>20109</v>
      </c>
    </row>
    <row r="4776" spans="6:8">
      <c r="H4776" t="s">
        <v>20110</v>
      </c>
    </row>
    <row r="4777" spans="6:8">
      <c r="H4777" t="s">
        <v>20092</v>
      </c>
    </row>
    <row r="4778" spans="6:8">
      <c r="H4778" t="s">
        <v>20095</v>
      </c>
    </row>
    <row r="4779" spans="6:8">
      <c r="H4779" t="s">
        <v>20096</v>
      </c>
    </row>
    <row r="4780" spans="6:8">
      <c r="H4780" t="s">
        <v>20097</v>
      </c>
    </row>
    <row r="4781" spans="6:8">
      <c r="H4781" t="s">
        <v>20098</v>
      </c>
    </row>
    <row r="4782" spans="6:8">
      <c r="F4782" t="s">
        <v>11250</v>
      </c>
      <c r="G4782" t="s">
        <v>15232</v>
      </c>
      <c r="H4782" t="s">
        <v>20091</v>
      </c>
    </row>
    <row r="4783" spans="6:8">
      <c r="H4783" t="s">
        <v>19712</v>
      </c>
    </row>
    <row r="4784" spans="6:8">
      <c r="H4784" t="s">
        <v>19709</v>
      </c>
    </row>
    <row r="4785" spans="6:8">
      <c r="H4785" t="s">
        <v>19706</v>
      </c>
    </row>
    <row r="4786" spans="6:8">
      <c r="H4786" t="s">
        <v>19707</v>
      </c>
    </row>
    <row r="4787" spans="6:8">
      <c r="H4787" t="s">
        <v>19711</v>
      </c>
    </row>
    <row r="4788" spans="6:8">
      <c r="H4788" t="s">
        <v>19708</v>
      </c>
    </row>
    <row r="4789" spans="6:8">
      <c r="H4789" t="s">
        <v>20107</v>
      </c>
    </row>
    <row r="4790" spans="6:8">
      <c r="H4790" t="s">
        <v>20108</v>
      </c>
    </row>
    <row r="4791" spans="6:8">
      <c r="H4791" t="s">
        <v>19713</v>
      </c>
    </row>
    <row r="4792" spans="6:8">
      <c r="H4792" t="s">
        <v>19714</v>
      </c>
    </row>
    <row r="4793" spans="6:8">
      <c r="H4793" t="s">
        <v>20109</v>
      </c>
    </row>
    <row r="4794" spans="6:8">
      <c r="H4794" t="s">
        <v>20110</v>
      </c>
    </row>
    <row r="4795" spans="6:8">
      <c r="H4795" t="s">
        <v>20092</v>
      </c>
    </row>
    <row r="4796" spans="6:8">
      <c r="H4796" t="s">
        <v>20095</v>
      </c>
    </row>
    <row r="4797" spans="6:8">
      <c r="H4797" t="s">
        <v>20096</v>
      </c>
    </row>
    <row r="4798" spans="6:8">
      <c r="H4798" t="s">
        <v>20097</v>
      </c>
    </row>
    <row r="4799" spans="6:8">
      <c r="H4799" t="s">
        <v>20098</v>
      </c>
    </row>
    <row r="4800" spans="6:8">
      <c r="F4800" t="s">
        <v>11251</v>
      </c>
      <c r="G4800" t="s">
        <v>15233</v>
      </c>
      <c r="H4800" t="s">
        <v>20091</v>
      </c>
    </row>
    <row r="4801" spans="8:8">
      <c r="H4801" t="s">
        <v>19712</v>
      </c>
    </row>
    <row r="4802" spans="8:8">
      <c r="H4802" t="s">
        <v>19709</v>
      </c>
    </row>
    <row r="4803" spans="8:8">
      <c r="H4803" t="s">
        <v>19706</v>
      </c>
    </row>
    <row r="4804" spans="8:8">
      <c r="H4804" t="s">
        <v>19707</v>
      </c>
    </row>
    <row r="4805" spans="8:8">
      <c r="H4805" t="s">
        <v>19711</v>
      </c>
    </row>
    <row r="4806" spans="8:8">
      <c r="H4806" t="s">
        <v>19708</v>
      </c>
    </row>
    <row r="4807" spans="8:8">
      <c r="H4807" t="s">
        <v>20107</v>
      </c>
    </row>
    <row r="4808" spans="8:8">
      <c r="H4808" t="s">
        <v>20108</v>
      </c>
    </row>
    <row r="4809" spans="8:8">
      <c r="H4809" t="s">
        <v>19713</v>
      </c>
    </row>
    <row r="4810" spans="8:8">
      <c r="H4810" t="s">
        <v>19714</v>
      </c>
    </row>
    <row r="4811" spans="8:8">
      <c r="H4811" t="s">
        <v>20109</v>
      </c>
    </row>
    <row r="4812" spans="8:8">
      <c r="H4812" t="s">
        <v>20110</v>
      </c>
    </row>
    <row r="4813" spans="8:8">
      <c r="H4813" t="s">
        <v>20092</v>
      </c>
    </row>
    <row r="4814" spans="8:8">
      <c r="H4814" t="s">
        <v>20095</v>
      </c>
    </row>
    <row r="4815" spans="8:8">
      <c r="H4815" t="s">
        <v>20096</v>
      </c>
    </row>
    <row r="4816" spans="8:8">
      <c r="H4816" t="s">
        <v>20097</v>
      </c>
    </row>
    <row r="4817" spans="6:8">
      <c r="H4817" t="s">
        <v>20098</v>
      </c>
    </row>
    <row r="4818" spans="6:8">
      <c r="F4818" t="s">
        <v>11252</v>
      </c>
      <c r="G4818" t="s">
        <v>15234</v>
      </c>
      <c r="H4818" t="s">
        <v>20091</v>
      </c>
    </row>
    <row r="4819" spans="6:8">
      <c r="H4819" t="s">
        <v>19712</v>
      </c>
    </row>
    <row r="4820" spans="6:8">
      <c r="H4820" t="s">
        <v>19709</v>
      </c>
    </row>
    <row r="4821" spans="6:8">
      <c r="H4821" t="s">
        <v>19706</v>
      </c>
    </row>
    <row r="4822" spans="6:8">
      <c r="H4822" t="s">
        <v>19707</v>
      </c>
    </row>
    <row r="4823" spans="6:8">
      <c r="H4823" t="s">
        <v>19711</v>
      </c>
    </row>
    <row r="4824" spans="6:8">
      <c r="H4824" t="s">
        <v>19708</v>
      </c>
    </row>
    <row r="4825" spans="6:8">
      <c r="H4825" t="s">
        <v>20107</v>
      </c>
    </row>
    <row r="4826" spans="6:8">
      <c r="H4826" t="s">
        <v>20108</v>
      </c>
    </row>
    <row r="4827" spans="6:8">
      <c r="H4827" t="s">
        <v>19713</v>
      </c>
    </row>
    <row r="4828" spans="6:8">
      <c r="H4828" t="s">
        <v>19714</v>
      </c>
    </row>
    <row r="4829" spans="6:8">
      <c r="H4829" t="s">
        <v>20109</v>
      </c>
    </row>
    <row r="4830" spans="6:8">
      <c r="H4830" t="s">
        <v>20110</v>
      </c>
    </row>
    <row r="4831" spans="6:8">
      <c r="H4831" t="s">
        <v>20092</v>
      </c>
    </row>
    <row r="4832" spans="6:8">
      <c r="H4832" t="s">
        <v>20095</v>
      </c>
    </row>
    <row r="4833" spans="6:8">
      <c r="H4833" t="s">
        <v>20096</v>
      </c>
    </row>
    <row r="4834" spans="6:8">
      <c r="H4834" t="s">
        <v>20097</v>
      </c>
    </row>
    <row r="4835" spans="6:8">
      <c r="H4835" t="s">
        <v>20098</v>
      </c>
    </row>
    <row r="4836" spans="6:8">
      <c r="F4836" t="s">
        <v>11253</v>
      </c>
      <c r="G4836" t="s">
        <v>15235</v>
      </c>
      <c r="H4836" t="s">
        <v>20091</v>
      </c>
    </row>
    <row r="4837" spans="6:8">
      <c r="H4837" t="s">
        <v>19712</v>
      </c>
    </row>
    <row r="4838" spans="6:8">
      <c r="H4838" t="s">
        <v>19709</v>
      </c>
    </row>
    <row r="4839" spans="6:8">
      <c r="H4839" t="s">
        <v>19706</v>
      </c>
    </row>
    <row r="4840" spans="6:8">
      <c r="H4840" t="s">
        <v>20107</v>
      </c>
    </row>
    <row r="4841" spans="6:8">
      <c r="H4841" t="s">
        <v>20108</v>
      </c>
    </row>
    <row r="4842" spans="6:8">
      <c r="H4842" t="s">
        <v>19713</v>
      </c>
    </row>
    <row r="4843" spans="6:8">
      <c r="H4843" t="s">
        <v>19714</v>
      </c>
    </row>
    <row r="4844" spans="6:8">
      <c r="H4844" t="s">
        <v>20109</v>
      </c>
    </row>
    <row r="4845" spans="6:8">
      <c r="H4845" t="s">
        <v>20110</v>
      </c>
    </row>
    <row r="4846" spans="6:8">
      <c r="H4846" t="s">
        <v>20111</v>
      </c>
    </row>
    <row r="4847" spans="6:8">
      <c r="H4847" t="s">
        <v>20096</v>
      </c>
    </row>
    <row r="4848" spans="6:8">
      <c r="H4848" t="s">
        <v>20097</v>
      </c>
    </row>
    <row r="4849" spans="6:8">
      <c r="H4849" t="s">
        <v>20098</v>
      </c>
    </row>
    <row r="4850" spans="6:8">
      <c r="H4850" t="s">
        <v>20099</v>
      </c>
    </row>
    <row r="4851" spans="6:8">
      <c r="F4851" t="s">
        <v>11254</v>
      </c>
      <c r="G4851" t="s">
        <v>15236</v>
      </c>
      <c r="H4851" t="s">
        <v>20091</v>
      </c>
    </row>
    <row r="4852" spans="6:8">
      <c r="H4852" t="s">
        <v>19712</v>
      </c>
    </row>
    <row r="4853" spans="6:8">
      <c r="H4853" t="s">
        <v>19709</v>
      </c>
    </row>
    <row r="4854" spans="6:8">
      <c r="H4854" t="s">
        <v>19706</v>
      </c>
    </row>
    <row r="4855" spans="6:8">
      <c r="H4855" t="s">
        <v>20107</v>
      </c>
    </row>
    <row r="4856" spans="6:8">
      <c r="H4856" t="s">
        <v>20108</v>
      </c>
    </row>
    <row r="4857" spans="6:8">
      <c r="H4857" t="s">
        <v>19713</v>
      </c>
    </row>
    <row r="4858" spans="6:8">
      <c r="H4858" t="s">
        <v>19714</v>
      </c>
    </row>
    <row r="4859" spans="6:8">
      <c r="H4859" t="s">
        <v>20109</v>
      </c>
    </row>
    <row r="4860" spans="6:8">
      <c r="H4860" t="s">
        <v>20110</v>
      </c>
    </row>
    <row r="4861" spans="6:8">
      <c r="H4861" t="s">
        <v>20096</v>
      </c>
    </row>
    <row r="4862" spans="6:8">
      <c r="H4862" t="s">
        <v>20097</v>
      </c>
    </row>
    <row r="4863" spans="6:8">
      <c r="H4863" t="s">
        <v>20098</v>
      </c>
    </row>
    <row r="4864" spans="6:8">
      <c r="H4864" t="s">
        <v>20099</v>
      </c>
    </row>
    <row r="4865" spans="6:8">
      <c r="F4865" t="s">
        <v>11255</v>
      </c>
      <c r="G4865" t="s">
        <v>15237</v>
      </c>
      <c r="H4865" t="s">
        <v>20091</v>
      </c>
    </row>
    <row r="4866" spans="6:8">
      <c r="H4866" t="s">
        <v>19712</v>
      </c>
    </row>
    <row r="4867" spans="6:8">
      <c r="H4867" t="s">
        <v>19709</v>
      </c>
    </row>
    <row r="4868" spans="6:8">
      <c r="H4868" t="s">
        <v>19706</v>
      </c>
    </row>
    <row r="4869" spans="6:8">
      <c r="H4869" t="s">
        <v>20107</v>
      </c>
    </row>
    <row r="4870" spans="6:8">
      <c r="H4870" t="s">
        <v>20108</v>
      </c>
    </row>
    <row r="4871" spans="6:8">
      <c r="H4871" t="s">
        <v>19713</v>
      </c>
    </row>
    <row r="4872" spans="6:8">
      <c r="H4872" t="s">
        <v>19714</v>
      </c>
    </row>
    <row r="4873" spans="6:8">
      <c r="H4873" t="s">
        <v>20109</v>
      </c>
    </row>
    <row r="4874" spans="6:8">
      <c r="H4874" t="s">
        <v>20110</v>
      </c>
    </row>
    <row r="4875" spans="6:8">
      <c r="H4875" t="s">
        <v>20095</v>
      </c>
    </row>
    <row r="4876" spans="6:8">
      <c r="H4876" t="s">
        <v>20096</v>
      </c>
    </row>
    <row r="4877" spans="6:8">
      <c r="H4877" t="s">
        <v>20097</v>
      </c>
    </row>
    <row r="4878" spans="6:8">
      <c r="H4878" t="s">
        <v>20098</v>
      </c>
    </row>
    <row r="4879" spans="6:8">
      <c r="F4879" t="s">
        <v>11256</v>
      </c>
      <c r="G4879" t="s">
        <v>15597</v>
      </c>
      <c r="H4879" t="s">
        <v>20091</v>
      </c>
    </row>
    <row r="4880" spans="6:8">
      <c r="H4880" t="s">
        <v>19712</v>
      </c>
    </row>
    <row r="4881" spans="6:8">
      <c r="H4881" t="s">
        <v>19709</v>
      </c>
    </row>
    <row r="4882" spans="6:8">
      <c r="H4882" t="s">
        <v>20092</v>
      </c>
    </row>
    <row r="4883" spans="6:8">
      <c r="H4883" t="s">
        <v>20093</v>
      </c>
    </row>
    <row r="4884" spans="6:8">
      <c r="H4884" t="s">
        <v>20095</v>
      </c>
    </row>
    <row r="4885" spans="6:8">
      <c r="H4885" t="s">
        <v>20096</v>
      </c>
    </row>
    <row r="4886" spans="6:8">
      <c r="H4886" t="s">
        <v>20097</v>
      </c>
    </row>
    <row r="4887" spans="6:8">
      <c r="H4887" t="s">
        <v>20098</v>
      </c>
    </row>
    <row r="4888" spans="6:8">
      <c r="H4888" t="s">
        <v>20099</v>
      </c>
    </row>
    <row r="4889" spans="6:8">
      <c r="H4889" t="s">
        <v>20100</v>
      </c>
    </row>
    <row r="4890" spans="6:8">
      <c r="H4890" t="s">
        <v>20101</v>
      </c>
    </row>
    <row r="4891" spans="6:8">
      <c r="H4891" t="s">
        <v>20104</v>
      </c>
    </row>
    <row r="4892" spans="6:8">
      <c r="H4892" t="s">
        <v>20105</v>
      </c>
    </row>
    <row r="4893" spans="6:8">
      <c r="H4893" t="s">
        <v>20123</v>
      </c>
    </row>
    <row r="4894" spans="6:8">
      <c r="F4894" t="s">
        <v>11257</v>
      </c>
      <c r="G4894" t="s">
        <v>15598</v>
      </c>
      <c r="H4894" t="s">
        <v>20091</v>
      </c>
    </row>
    <row r="4895" spans="6:8">
      <c r="H4895" t="s">
        <v>19712</v>
      </c>
    </row>
    <row r="4896" spans="6:8">
      <c r="H4896" t="s">
        <v>20095</v>
      </c>
    </row>
    <row r="4897" spans="6:8">
      <c r="H4897" t="s">
        <v>20096</v>
      </c>
    </row>
    <row r="4898" spans="6:8">
      <c r="H4898" t="s">
        <v>20097</v>
      </c>
    </row>
    <row r="4899" spans="6:8">
      <c r="H4899" t="s">
        <v>20098</v>
      </c>
    </row>
    <row r="4900" spans="6:8">
      <c r="H4900" t="s">
        <v>20099</v>
      </c>
    </row>
    <row r="4901" spans="6:8">
      <c r="H4901" t="s">
        <v>20100</v>
      </c>
    </row>
    <row r="4902" spans="6:8">
      <c r="H4902" t="s">
        <v>20101</v>
      </c>
    </row>
    <row r="4903" spans="6:8">
      <c r="H4903" t="s">
        <v>20102</v>
      </c>
    </row>
    <row r="4904" spans="6:8">
      <c r="H4904" t="s">
        <v>20104</v>
      </c>
    </row>
    <row r="4905" spans="6:8">
      <c r="F4905" t="s">
        <v>11258</v>
      </c>
      <c r="G4905" t="s">
        <v>15599</v>
      </c>
      <c r="H4905" t="s">
        <v>20091</v>
      </c>
    </row>
    <row r="4906" spans="6:8">
      <c r="H4906" t="s">
        <v>19712</v>
      </c>
    </row>
    <row r="4907" spans="6:8">
      <c r="H4907" t="s">
        <v>20095</v>
      </c>
    </row>
    <row r="4908" spans="6:8">
      <c r="H4908" t="s">
        <v>20096</v>
      </c>
    </row>
    <row r="4909" spans="6:8">
      <c r="H4909" t="s">
        <v>20097</v>
      </c>
    </row>
    <row r="4910" spans="6:8">
      <c r="H4910" t="s">
        <v>20098</v>
      </c>
    </row>
    <row r="4911" spans="6:8">
      <c r="H4911" t="s">
        <v>20099</v>
      </c>
    </row>
    <row r="4912" spans="6:8">
      <c r="H4912" t="s">
        <v>20100</v>
      </c>
    </row>
    <row r="4913" spans="6:8">
      <c r="H4913" t="s">
        <v>20101</v>
      </c>
    </row>
    <row r="4914" spans="6:8">
      <c r="H4914" t="s">
        <v>20102</v>
      </c>
    </row>
    <row r="4915" spans="6:8">
      <c r="H4915" t="s">
        <v>20104</v>
      </c>
    </row>
    <row r="4916" spans="6:8">
      <c r="F4916" t="s">
        <v>11259</v>
      </c>
      <c r="G4916" t="s">
        <v>15238</v>
      </c>
      <c r="H4916" t="s">
        <v>20091</v>
      </c>
    </row>
    <row r="4917" spans="6:8">
      <c r="H4917" t="s">
        <v>19712</v>
      </c>
    </row>
    <row r="4918" spans="6:8">
      <c r="H4918" t="s">
        <v>19709</v>
      </c>
    </row>
    <row r="4919" spans="6:8">
      <c r="H4919" t="s">
        <v>19706</v>
      </c>
    </row>
    <row r="4920" spans="6:8">
      <c r="H4920" t="s">
        <v>20107</v>
      </c>
    </row>
    <row r="4921" spans="6:8">
      <c r="H4921" t="s">
        <v>20108</v>
      </c>
    </row>
    <row r="4922" spans="6:8">
      <c r="H4922" t="s">
        <v>19713</v>
      </c>
    </row>
    <row r="4923" spans="6:8">
      <c r="H4923" t="s">
        <v>19714</v>
      </c>
    </row>
    <row r="4924" spans="6:8">
      <c r="H4924" t="s">
        <v>20109</v>
      </c>
    </row>
    <row r="4925" spans="6:8">
      <c r="H4925" t="s">
        <v>20110</v>
      </c>
    </row>
    <row r="4926" spans="6:8">
      <c r="H4926" t="s">
        <v>20095</v>
      </c>
    </row>
    <row r="4927" spans="6:8">
      <c r="H4927" t="s">
        <v>20096</v>
      </c>
    </row>
    <row r="4928" spans="6:8">
      <c r="H4928" t="s">
        <v>20097</v>
      </c>
    </row>
    <row r="4929" spans="6:8">
      <c r="H4929" t="s">
        <v>20098</v>
      </c>
    </row>
    <row r="4930" spans="6:8">
      <c r="H4930" t="s">
        <v>20099</v>
      </c>
    </row>
    <row r="4931" spans="6:8">
      <c r="F4931" t="s">
        <v>11260</v>
      </c>
      <c r="G4931" t="s">
        <v>15239</v>
      </c>
      <c r="H4931" t="s">
        <v>20091</v>
      </c>
    </row>
    <row r="4932" spans="6:8">
      <c r="H4932" t="s">
        <v>19712</v>
      </c>
    </row>
    <row r="4933" spans="6:8">
      <c r="H4933" t="s">
        <v>19709</v>
      </c>
    </row>
    <row r="4934" spans="6:8">
      <c r="H4934" t="s">
        <v>19706</v>
      </c>
    </row>
    <row r="4935" spans="6:8">
      <c r="H4935" t="s">
        <v>20107</v>
      </c>
    </row>
    <row r="4936" spans="6:8">
      <c r="H4936" t="s">
        <v>20108</v>
      </c>
    </row>
    <row r="4937" spans="6:8">
      <c r="H4937" t="s">
        <v>19713</v>
      </c>
    </row>
    <row r="4938" spans="6:8">
      <c r="H4938" t="s">
        <v>19714</v>
      </c>
    </row>
    <row r="4939" spans="6:8">
      <c r="H4939" t="s">
        <v>20109</v>
      </c>
    </row>
    <row r="4940" spans="6:8">
      <c r="H4940" t="s">
        <v>20110</v>
      </c>
    </row>
    <row r="4941" spans="6:8">
      <c r="H4941" t="s">
        <v>20096</v>
      </c>
    </row>
    <row r="4942" spans="6:8">
      <c r="H4942" t="s">
        <v>20097</v>
      </c>
    </row>
    <row r="4943" spans="6:8">
      <c r="H4943" t="s">
        <v>20098</v>
      </c>
    </row>
    <row r="4944" spans="6:8">
      <c r="H4944" t="s">
        <v>20099</v>
      </c>
    </row>
    <row r="4945" spans="6:8">
      <c r="F4945" t="s">
        <v>11261</v>
      </c>
      <c r="G4945" t="s">
        <v>15240</v>
      </c>
      <c r="H4945" t="s">
        <v>20091</v>
      </c>
    </row>
    <row r="4946" spans="6:8">
      <c r="H4946" t="s">
        <v>19712</v>
      </c>
    </row>
    <row r="4947" spans="6:8">
      <c r="H4947" t="s">
        <v>19709</v>
      </c>
    </row>
    <row r="4948" spans="6:8">
      <c r="H4948" t="s">
        <v>19706</v>
      </c>
    </row>
    <row r="4949" spans="6:8">
      <c r="H4949" t="s">
        <v>20107</v>
      </c>
    </row>
    <row r="4950" spans="6:8">
      <c r="H4950" t="s">
        <v>20108</v>
      </c>
    </row>
    <row r="4951" spans="6:8">
      <c r="H4951" t="s">
        <v>19713</v>
      </c>
    </row>
    <row r="4952" spans="6:8">
      <c r="H4952" t="s">
        <v>19714</v>
      </c>
    </row>
    <row r="4953" spans="6:8">
      <c r="H4953" t="s">
        <v>20109</v>
      </c>
    </row>
    <row r="4954" spans="6:8">
      <c r="H4954" t="s">
        <v>20110</v>
      </c>
    </row>
    <row r="4955" spans="6:8">
      <c r="H4955" t="s">
        <v>20095</v>
      </c>
    </row>
    <row r="4956" spans="6:8">
      <c r="H4956" t="s">
        <v>20096</v>
      </c>
    </row>
    <row r="4957" spans="6:8">
      <c r="H4957" t="s">
        <v>20097</v>
      </c>
    </row>
    <row r="4958" spans="6:8">
      <c r="H4958" t="s">
        <v>20098</v>
      </c>
    </row>
    <row r="4959" spans="6:8">
      <c r="H4959" t="s">
        <v>20099</v>
      </c>
    </row>
    <row r="4960" spans="6:8">
      <c r="H4960" t="s">
        <v>20100</v>
      </c>
    </row>
    <row r="4961" spans="6:8">
      <c r="F4961" t="s">
        <v>11262</v>
      </c>
      <c r="G4961" t="s">
        <v>15600</v>
      </c>
      <c r="H4961" t="s">
        <v>20091</v>
      </c>
    </row>
    <row r="4962" spans="6:8">
      <c r="H4962" t="s">
        <v>20095</v>
      </c>
    </row>
    <row r="4963" spans="6:8">
      <c r="H4963" t="s">
        <v>20096</v>
      </c>
    </row>
    <row r="4964" spans="6:8">
      <c r="H4964" t="s">
        <v>20097</v>
      </c>
    </row>
    <row r="4965" spans="6:8">
      <c r="F4965" t="s">
        <v>11263</v>
      </c>
      <c r="G4965" t="s">
        <v>15601</v>
      </c>
      <c r="H4965" t="s">
        <v>20091</v>
      </c>
    </row>
    <row r="4966" spans="6:8">
      <c r="H4966" t="s">
        <v>20095</v>
      </c>
    </row>
    <row r="4967" spans="6:8">
      <c r="H4967" t="s">
        <v>20096</v>
      </c>
    </row>
    <row r="4968" spans="6:8">
      <c r="H4968" t="s">
        <v>20097</v>
      </c>
    </row>
    <row r="4969" spans="6:8">
      <c r="F4969" t="s">
        <v>11264</v>
      </c>
      <c r="G4969" t="s">
        <v>15241</v>
      </c>
      <c r="H4969" t="s">
        <v>20091</v>
      </c>
    </row>
    <row r="4970" spans="6:8">
      <c r="H4970" t="s">
        <v>19712</v>
      </c>
    </row>
    <row r="4971" spans="6:8">
      <c r="H4971" t="s">
        <v>19709</v>
      </c>
    </row>
    <row r="4972" spans="6:8">
      <c r="H4972" t="s">
        <v>19706</v>
      </c>
    </row>
    <row r="4973" spans="6:8">
      <c r="H4973" t="s">
        <v>19707</v>
      </c>
    </row>
    <row r="4974" spans="6:8">
      <c r="H4974" t="s">
        <v>19711</v>
      </c>
    </row>
    <row r="4975" spans="6:8">
      <c r="H4975" t="s">
        <v>19708</v>
      </c>
    </row>
    <row r="4976" spans="6:8">
      <c r="H4976" t="s">
        <v>20107</v>
      </c>
    </row>
    <row r="4977" spans="6:8">
      <c r="H4977" t="s">
        <v>20108</v>
      </c>
    </row>
    <row r="4978" spans="6:8">
      <c r="H4978" t="s">
        <v>19713</v>
      </c>
    </row>
    <row r="4979" spans="6:8">
      <c r="H4979" t="s">
        <v>19714</v>
      </c>
    </row>
    <row r="4980" spans="6:8">
      <c r="H4980" t="s">
        <v>20109</v>
      </c>
    </row>
    <row r="4981" spans="6:8">
      <c r="H4981" t="s">
        <v>20095</v>
      </c>
    </row>
    <row r="4982" spans="6:8">
      <c r="H4982" t="s">
        <v>20096</v>
      </c>
    </row>
    <row r="4983" spans="6:8">
      <c r="H4983" t="s">
        <v>20097</v>
      </c>
    </row>
    <row r="4984" spans="6:8">
      <c r="H4984" t="s">
        <v>20098</v>
      </c>
    </row>
    <row r="4985" spans="6:8">
      <c r="H4985" t="s">
        <v>20099</v>
      </c>
    </row>
    <row r="4986" spans="6:8">
      <c r="H4986" t="s">
        <v>20100</v>
      </c>
    </row>
    <row r="4987" spans="6:8">
      <c r="H4987" t="s">
        <v>20101</v>
      </c>
    </row>
    <row r="4988" spans="6:8">
      <c r="F4988" t="s">
        <v>11265</v>
      </c>
      <c r="G4988" t="s">
        <v>15242</v>
      </c>
      <c r="H4988" t="s">
        <v>20091</v>
      </c>
    </row>
    <row r="4989" spans="6:8">
      <c r="H4989" t="s">
        <v>19712</v>
      </c>
    </row>
    <row r="4990" spans="6:8">
      <c r="H4990" t="s">
        <v>19709</v>
      </c>
    </row>
    <row r="4991" spans="6:8">
      <c r="H4991" t="s">
        <v>20107</v>
      </c>
    </row>
    <row r="4992" spans="6:8">
      <c r="H4992" t="s">
        <v>20108</v>
      </c>
    </row>
    <row r="4993" spans="6:8">
      <c r="H4993" t="s">
        <v>19713</v>
      </c>
    </row>
    <row r="4994" spans="6:8">
      <c r="H4994" t="s">
        <v>19714</v>
      </c>
    </row>
    <row r="4995" spans="6:8">
      <c r="H4995" t="s">
        <v>20109</v>
      </c>
    </row>
    <row r="4996" spans="6:8">
      <c r="H4996" t="s">
        <v>20110</v>
      </c>
    </row>
    <row r="4997" spans="6:8">
      <c r="H4997" t="s">
        <v>20095</v>
      </c>
    </row>
    <row r="4998" spans="6:8">
      <c r="H4998" t="s">
        <v>20096</v>
      </c>
    </row>
    <row r="4999" spans="6:8">
      <c r="H4999" t="s">
        <v>20097</v>
      </c>
    </row>
    <row r="5000" spans="6:8">
      <c r="H5000" t="s">
        <v>20098</v>
      </c>
    </row>
    <row r="5001" spans="6:8">
      <c r="H5001" t="s">
        <v>20099</v>
      </c>
    </row>
    <row r="5002" spans="6:8">
      <c r="H5002" t="s">
        <v>20100</v>
      </c>
    </row>
    <row r="5003" spans="6:8">
      <c r="F5003" t="s">
        <v>11266</v>
      </c>
      <c r="G5003" t="s">
        <v>15243</v>
      </c>
      <c r="H5003" t="s">
        <v>20091</v>
      </c>
    </row>
    <row r="5004" spans="6:8">
      <c r="H5004" t="s">
        <v>19712</v>
      </c>
    </row>
    <row r="5005" spans="6:8">
      <c r="H5005" t="s">
        <v>19709</v>
      </c>
    </row>
    <row r="5006" spans="6:8">
      <c r="H5006" t="s">
        <v>19706</v>
      </c>
    </row>
    <row r="5007" spans="6:8">
      <c r="H5007" t="s">
        <v>20107</v>
      </c>
    </row>
    <row r="5008" spans="6:8">
      <c r="H5008" t="s">
        <v>20108</v>
      </c>
    </row>
    <row r="5009" spans="6:8">
      <c r="H5009" t="s">
        <v>19713</v>
      </c>
    </row>
    <row r="5010" spans="6:8">
      <c r="H5010" t="s">
        <v>19714</v>
      </c>
    </row>
    <row r="5011" spans="6:8">
      <c r="H5011" t="s">
        <v>20109</v>
      </c>
    </row>
    <row r="5012" spans="6:8">
      <c r="H5012" t="s">
        <v>20095</v>
      </c>
    </row>
    <row r="5013" spans="6:8">
      <c r="H5013" t="s">
        <v>20096</v>
      </c>
    </row>
    <row r="5014" spans="6:8">
      <c r="H5014" t="s">
        <v>20097</v>
      </c>
    </row>
    <row r="5015" spans="6:8">
      <c r="H5015" t="s">
        <v>20098</v>
      </c>
    </row>
    <row r="5016" spans="6:8">
      <c r="H5016" t="s">
        <v>20100</v>
      </c>
    </row>
    <row r="5017" spans="6:8">
      <c r="H5017" t="s">
        <v>20101</v>
      </c>
    </row>
    <row r="5018" spans="6:8">
      <c r="H5018" t="s">
        <v>20102</v>
      </c>
    </row>
    <row r="5019" spans="6:8">
      <c r="F5019" t="s">
        <v>11267</v>
      </c>
      <c r="G5019" t="s">
        <v>15244</v>
      </c>
      <c r="H5019" t="s">
        <v>20091</v>
      </c>
    </row>
    <row r="5020" spans="6:8">
      <c r="H5020" t="s">
        <v>19712</v>
      </c>
    </row>
    <row r="5021" spans="6:8">
      <c r="H5021" t="s">
        <v>19709</v>
      </c>
    </row>
    <row r="5022" spans="6:8">
      <c r="H5022" t="s">
        <v>20107</v>
      </c>
    </row>
    <row r="5023" spans="6:8">
      <c r="H5023" t="s">
        <v>20108</v>
      </c>
    </row>
    <row r="5024" spans="6:8">
      <c r="H5024" t="s">
        <v>19713</v>
      </c>
    </row>
    <row r="5025" spans="6:8">
      <c r="H5025" t="s">
        <v>20095</v>
      </c>
    </row>
    <row r="5026" spans="6:8">
      <c r="H5026" t="s">
        <v>20096</v>
      </c>
    </row>
    <row r="5027" spans="6:8">
      <c r="H5027" t="s">
        <v>20097</v>
      </c>
    </row>
    <row r="5028" spans="6:8">
      <c r="H5028" t="s">
        <v>20098</v>
      </c>
    </row>
    <row r="5029" spans="6:8">
      <c r="H5029" t="s">
        <v>20099</v>
      </c>
    </row>
    <row r="5030" spans="6:8">
      <c r="H5030" t="s">
        <v>20100</v>
      </c>
    </row>
    <row r="5031" spans="6:8">
      <c r="H5031" t="s">
        <v>20101</v>
      </c>
    </row>
    <row r="5032" spans="6:8">
      <c r="F5032" t="s">
        <v>11268</v>
      </c>
      <c r="G5032" t="s">
        <v>15245</v>
      </c>
      <c r="H5032" t="s">
        <v>20091</v>
      </c>
    </row>
    <row r="5033" spans="6:8">
      <c r="H5033" t="s">
        <v>19712</v>
      </c>
    </row>
    <row r="5034" spans="6:8">
      <c r="H5034" t="s">
        <v>19709</v>
      </c>
    </row>
    <row r="5035" spans="6:8">
      <c r="H5035" t="s">
        <v>19706</v>
      </c>
    </row>
    <row r="5036" spans="6:8">
      <c r="H5036" t="s">
        <v>20107</v>
      </c>
    </row>
    <row r="5037" spans="6:8">
      <c r="H5037" t="s">
        <v>20108</v>
      </c>
    </row>
    <row r="5038" spans="6:8">
      <c r="H5038" t="s">
        <v>19713</v>
      </c>
    </row>
    <row r="5039" spans="6:8">
      <c r="H5039" t="s">
        <v>19714</v>
      </c>
    </row>
    <row r="5040" spans="6:8">
      <c r="H5040" t="s">
        <v>20109</v>
      </c>
    </row>
    <row r="5041" spans="6:8">
      <c r="H5041" t="s">
        <v>20095</v>
      </c>
    </row>
    <row r="5042" spans="6:8">
      <c r="H5042" t="s">
        <v>20096</v>
      </c>
    </row>
    <row r="5043" spans="6:8">
      <c r="H5043" t="s">
        <v>20097</v>
      </c>
    </row>
    <row r="5044" spans="6:8">
      <c r="H5044" t="s">
        <v>20098</v>
      </c>
    </row>
    <row r="5045" spans="6:8">
      <c r="H5045" t="s">
        <v>20099</v>
      </c>
    </row>
    <row r="5046" spans="6:8">
      <c r="H5046" t="s">
        <v>20100</v>
      </c>
    </row>
    <row r="5047" spans="6:8">
      <c r="H5047" t="s">
        <v>20101</v>
      </c>
    </row>
    <row r="5048" spans="6:8">
      <c r="F5048" t="s">
        <v>11269</v>
      </c>
      <c r="G5048" t="s">
        <v>15246</v>
      </c>
      <c r="H5048" t="s">
        <v>20091</v>
      </c>
    </row>
    <row r="5049" spans="6:8">
      <c r="H5049" t="s">
        <v>19712</v>
      </c>
    </row>
    <row r="5050" spans="6:8">
      <c r="H5050" t="s">
        <v>19709</v>
      </c>
    </row>
    <row r="5051" spans="6:8">
      <c r="H5051" t="s">
        <v>20107</v>
      </c>
    </row>
    <row r="5052" spans="6:8">
      <c r="H5052" t="s">
        <v>20108</v>
      </c>
    </row>
    <row r="5053" spans="6:8">
      <c r="H5053" t="s">
        <v>19713</v>
      </c>
    </row>
    <row r="5054" spans="6:8">
      <c r="H5054" t="s">
        <v>20095</v>
      </c>
    </row>
    <row r="5055" spans="6:8">
      <c r="H5055" t="s">
        <v>20096</v>
      </c>
    </row>
    <row r="5056" spans="6:8">
      <c r="H5056" t="s">
        <v>20097</v>
      </c>
    </row>
    <row r="5057" spans="6:8">
      <c r="H5057" t="s">
        <v>20098</v>
      </c>
    </row>
    <row r="5058" spans="6:8">
      <c r="H5058" t="s">
        <v>20099</v>
      </c>
    </row>
    <row r="5059" spans="6:8">
      <c r="H5059" t="s">
        <v>20100</v>
      </c>
    </row>
    <row r="5060" spans="6:8">
      <c r="H5060" t="s">
        <v>20101</v>
      </c>
    </row>
    <row r="5061" spans="6:8">
      <c r="F5061" t="s">
        <v>11270</v>
      </c>
      <c r="G5061" t="s">
        <v>15247</v>
      </c>
      <c r="H5061" t="s">
        <v>20091</v>
      </c>
    </row>
    <row r="5062" spans="6:8">
      <c r="H5062" t="s">
        <v>19712</v>
      </c>
    </row>
    <row r="5063" spans="6:8">
      <c r="H5063" t="s">
        <v>19709</v>
      </c>
    </row>
    <row r="5064" spans="6:8">
      <c r="H5064" t="s">
        <v>19706</v>
      </c>
    </row>
    <row r="5065" spans="6:8">
      <c r="H5065" t="s">
        <v>20107</v>
      </c>
    </row>
    <row r="5066" spans="6:8">
      <c r="H5066" t="s">
        <v>20108</v>
      </c>
    </row>
    <row r="5067" spans="6:8">
      <c r="H5067" t="s">
        <v>19713</v>
      </c>
    </row>
    <row r="5068" spans="6:8">
      <c r="H5068" t="s">
        <v>19714</v>
      </c>
    </row>
    <row r="5069" spans="6:8">
      <c r="H5069" t="s">
        <v>20109</v>
      </c>
    </row>
    <row r="5070" spans="6:8">
      <c r="H5070" t="s">
        <v>20095</v>
      </c>
    </row>
    <row r="5071" spans="6:8">
      <c r="H5071" t="s">
        <v>20096</v>
      </c>
    </row>
    <row r="5072" spans="6:8">
      <c r="H5072" t="s">
        <v>20097</v>
      </c>
    </row>
    <row r="5073" spans="6:8">
      <c r="H5073" t="s">
        <v>20098</v>
      </c>
    </row>
    <row r="5074" spans="6:8">
      <c r="H5074" t="s">
        <v>20099</v>
      </c>
    </row>
    <row r="5075" spans="6:8">
      <c r="H5075" t="s">
        <v>20100</v>
      </c>
    </row>
    <row r="5076" spans="6:8">
      <c r="H5076" t="s">
        <v>20101</v>
      </c>
    </row>
    <row r="5077" spans="6:8">
      <c r="F5077" t="s">
        <v>11271</v>
      </c>
      <c r="G5077" t="s">
        <v>15248</v>
      </c>
      <c r="H5077" t="s">
        <v>20091</v>
      </c>
    </row>
    <row r="5078" spans="6:8">
      <c r="H5078" t="s">
        <v>19712</v>
      </c>
    </row>
    <row r="5079" spans="6:8">
      <c r="H5079" t="s">
        <v>19709</v>
      </c>
    </row>
    <row r="5080" spans="6:8">
      <c r="H5080" t="s">
        <v>20107</v>
      </c>
    </row>
    <row r="5081" spans="6:8">
      <c r="H5081" t="s">
        <v>20108</v>
      </c>
    </row>
    <row r="5082" spans="6:8">
      <c r="H5082" t="s">
        <v>19713</v>
      </c>
    </row>
    <row r="5083" spans="6:8">
      <c r="H5083" t="s">
        <v>20095</v>
      </c>
    </row>
    <row r="5084" spans="6:8">
      <c r="H5084" t="s">
        <v>20096</v>
      </c>
    </row>
    <row r="5085" spans="6:8">
      <c r="H5085" t="s">
        <v>20097</v>
      </c>
    </row>
    <row r="5086" spans="6:8">
      <c r="H5086" t="s">
        <v>20098</v>
      </c>
    </row>
    <row r="5087" spans="6:8">
      <c r="H5087" t="s">
        <v>20099</v>
      </c>
    </row>
    <row r="5088" spans="6:8">
      <c r="H5088" t="s">
        <v>20100</v>
      </c>
    </row>
    <row r="5089" spans="6:8">
      <c r="H5089" t="s">
        <v>20101</v>
      </c>
    </row>
    <row r="5090" spans="6:8">
      <c r="F5090" t="s">
        <v>11272</v>
      </c>
      <c r="G5090" t="s">
        <v>15249</v>
      </c>
      <c r="H5090" t="s">
        <v>20091</v>
      </c>
    </row>
    <row r="5091" spans="6:8">
      <c r="H5091" t="s">
        <v>19712</v>
      </c>
    </row>
    <row r="5092" spans="6:8">
      <c r="H5092" t="s">
        <v>19709</v>
      </c>
    </row>
    <row r="5093" spans="6:8">
      <c r="H5093" t="s">
        <v>19706</v>
      </c>
    </row>
    <row r="5094" spans="6:8">
      <c r="H5094" t="s">
        <v>20107</v>
      </c>
    </row>
    <row r="5095" spans="6:8">
      <c r="H5095" t="s">
        <v>20108</v>
      </c>
    </row>
    <row r="5096" spans="6:8">
      <c r="H5096" t="s">
        <v>19713</v>
      </c>
    </row>
    <row r="5097" spans="6:8">
      <c r="H5097" t="s">
        <v>19714</v>
      </c>
    </row>
    <row r="5098" spans="6:8">
      <c r="H5098" t="s">
        <v>20109</v>
      </c>
    </row>
    <row r="5099" spans="6:8">
      <c r="H5099" t="s">
        <v>20095</v>
      </c>
    </row>
    <row r="5100" spans="6:8">
      <c r="H5100" t="s">
        <v>20096</v>
      </c>
    </row>
    <row r="5101" spans="6:8">
      <c r="H5101" t="s">
        <v>20097</v>
      </c>
    </row>
    <row r="5102" spans="6:8">
      <c r="H5102" t="s">
        <v>20098</v>
      </c>
    </row>
    <row r="5103" spans="6:8">
      <c r="H5103" t="s">
        <v>20099</v>
      </c>
    </row>
    <row r="5104" spans="6:8">
      <c r="H5104" t="s">
        <v>20100</v>
      </c>
    </row>
    <row r="5105" spans="6:8">
      <c r="H5105" t="s">
        <v>20101</v>
      </c>
    </row>
    <row r="5106" spans="6:8">
      <c r="F5106" t="s">
        <v>11273</v>
      </c>
      <c r="G5106" t="s">
        <v>15250</v>
      </c>
      <c r="H5106" t="s">
        <v>20091</v>
      </c>
    </row>
    <row r="5107" spans="6:8">
      <c r="H5107" t="s">
        <v>19712</v>
      </c>
    </row>
    <row r="5108" spans="6:8">
      <c r="H5108" t="s">
        <v>19709</v>
      </c>
    </row>
    <row r="5109" spans="6:8">
      <c r="H5109" t="s">
        <v>20107</v>
      </c>
    </row>
    <row r="5110" spans="6:8">
      <c r="H5110" t="s">
        <v>20108</v>
      </c>
    </row>
    <row r="5111" spans="6:8">
      <c r="H5111" t="s">
        <v>19713</v>
      </c>
    </row>
    <row r="5112" spans="6:8">
      <c r="H5112" t="s">
        <v>20095</v>
      </c>
    </row>
    <row r="5113" spans="6:8">
      <c r="H5113" t="s">
        <v>20096</v>
      </c>
    </row>
    <row r="5114" spans="6:8">
      <c r="H5114" t="s">
        <v>20097</v>
      </c>
    </row>
    <row r="5115" spans="6:8">
      <c r="H5115" t="s">
        <v>20098</v>
      </c>
    </row>
    <row r="5116" spans="6:8">
      <c r="H5116" t="s">
        <v>20099</v>
      </c>
    </row>
    <row r="5117" spans="6:8">
      <c r="H5117" t="s">
        <v>20100</v>
      </c>
    </row>
    <row r="5118" spans="6:8">
      <c r="H5118" t="s">
        <v>20101</v>
      </c>
    </row>
    <row r="5119" spans="6:8">
      <c r="F5119" t="s">
        <v>11274</v>
      </c>
      <c r="G5119" t="s">
        <v>15251</v>
      </c>
      <c r="H5119" t="s">
        <v>20091</v>
      </c>
    </row>
    <row r="5120" spans="6:8">
      <c r="H5120" t="s">
        <v>19712</v>
      </c>
    </row>
    <row r="5121" spans="8:8">
      <c r="H5121" t="s">
        <v>19709</v>
      </c>
    </row>
    <row r="5122" spans="8:8">
      <c r="H5122" t="s">
        <v>19706</v>
      </c>
    </row>
    <row r="5123" spans="8:8">
      <c r="H5123" t="s">
        <v>19707</v>
      </c>
    </row>
    <row r="5124" spans="8:8">
      <c r="H5124" t="s">
        <v>19711</v>
      </c>
    </row>
    <row r="5125" spans="8:8">
      <c r="H5125" t="s">
        <v>19708</v>
      </c>
    </row>
    <row r="5126" spans="8:8">
      <c r="H5126" t="s">
        <v>20107</v>
      </c>
    </row>
    <row r="5127" spans="8:8">
      <c r="H5127" t="s">
        <v>20108</v>
      </c>
    </row>
    <row r="5128" spans="8:8">
      <c r="H5128" t="s">
        <v>19713</v>
      </c>
    </row>
    <row r="5129" spans="8:8">
      <c r="H5129" t="s">
        <v>19714</v>
      </c>
    </row>
    <row r="5130" spans="8:8">
      <c r="H5130" t="s">
        <v>20109</v>
      </c>
    </row>
    <row r="5131" spans="8:8">
      <c r="H5131" t="s">
        <v>20095</v>
      </c>
    </row>
    <row r="5132" spans="8:8">
      <c r="H5132" t="s">
        <v>20096</v>
      </c>
    </row>
    <row r="5133" spans="8:8">
      <c r="H5133" t="s">
        <v>20097</v>
      </c>
    </row>
    <row r="5134" spans="8:8">
      <c r="H5134" t="s">
        <v>20098</v>
      </c>
    </row>
    <row r="5135" spans="8:8">
      <c r="H5135" t="s">
        <v>20099</v>
      </c>
    </row>
    <row r="5136" spans="8:8">
      <c r="H5136" t="s">
        <v>20100</v>
      </c>
    </row>
    <row r="5137" spans="6:8">
      <c r="H5137" t="s">
        <v>20101</v>
      </c>
    </row>
    <row r="5138" spans="6:8">
      <c r="F5138" t="s">
        <v>11275</v>
      </c>
      <c r="G5138" t="s">
        <v>15252</v>
      </c>
      <c r="H5138" t="s">
        <v>20091</v>
      </c>
    </row>
    <row r="5139" spans="6:8">
      <c r="H5139" t="s">
        <v>19712</v>
      </c>
    </row>
    <row r="5140" spans="6:8">
      <c r="H5140" t="s">
        <v>19709</v>
      </c>
    </row>
    <row r="5141" spans="6:8">
      <c r="H5141" t="s">
        <v>19706</v>
      </c>
    </row>
    <row r="5142" spans="6:8">
      <c r="H5142" t="s">
        <v>20107</v>
      </c>
    </row>
    <row r="5143" spans="6:8">
      <c r="H5143" t="s">
        <v>20108</v>
      </c>
    </row>
    <row r="5144" spans="6:8">
      <c r="H5144" t="s">
        <v>19713</v>
      </c>
    </row>
    <row r="5145" spans="6:8">
      <c r="H5145" t="s">
        <v>19714</v>
      </c>
    </row>
    <row r="5146" spans="6:8">
      <c r="H5146" t="s">
        <v>20095</v>
      </c>
    </row>
    <row r="5147" spans="6:8">
      <c r="H5147" t="s">
        <v>20096</v>
      </c>
    </row>
    <row r="5148" spans="6:8">
      <c r="H5148" t="s">
        <v>20097</v>
      </c>
    </row>
    <row r="5149" spans="6:8">
      <c r="H5149" t="s">
        <v>20099</v>
      </c>
    </row>
    <row r="5150" spans="6:8">
      <c r="H5150" t="s">
        <v>20100</v>
      </c>
    </row>
    <row r="5151" spans="6:8">
      <c r="H5151" t="s">
        <v>20101</v>
      </c>
    </row>
    <row r="5152" spans="6:8">
      <c r="F5152" t="s">
        <v>11276</v>
      </c>
      <c r="G5152" t="s">
        <v>15602</v>
      </c>
      <c r="H5152" t="s">
        <v>20091</v>
      </c>
    </row>
    <row r="5153" spans="8:8">
      <c r="H5153" t="s">
        <v>19712</v>
      </c>
    </row>
    <row r="5154" spans="8:8">
      <c r="H5154" t="s">
        <v>19709</v>
      </c>
    </row>
    <row r="5155" spans="8:8">
      <c r="H5155" t="s">
        <v>20093</v>
      </c>
    </row>
    <row r="5156" spans="8:8">
      <c r="H5156" t="s">
        <v>20095</v>
      </c>
    </row>
    <row r="5157" spans="8:8">
      <c r="H5157" t="s">
        <v>20096</v>
      </c>
    </row>
    <row r="5158" spans="8:8">
      <c r="H5158" t="s">
        <v>20097</v>
      </c>
    </row>
    <row r="5159" spans="8:8">
      <c r="H5159" t="s">
        <v>20098</v>
      </c>
    </row>
    <row r="5160" spans="8:8">
      <c r="H5160" t="s">
        <v>20099</v>
      </c>
    </row>
    <row r="5161" spans="8:8">
      <c r="H5161" t="s">
        <v>20100</v>
      </c>
    </row>
    <row r="5162" spans="8:8">
      <c r="H5162" t="s">
        <v>20101</v>
      </c>
    </row>
    <row r="5163" spans="8:8">
      <c r="H5163" t="s">
        <v>20102</v>
      </c>
    </row>
    <row r="5164" spans="8:8">
      <c r="H5164" t="s">
        <v>20104</v>
      </c>
    </row>
    <row r="5165" spans="8:8">
      <c r="H5165" t="s">
        <v>20105</v>
      </c>
    </row>
    <row r="5166" spans="8:8">
      <c r="H5166" t="s">
        <v>20123</v>
      </c>
    </row>
    <row r="5167" spans="8:8">
      <c r="H5167" t="s">
        <v>20124</v>
      </c>
    </row>
    <row r="5168" spans="8:8">
      <c r="H5168" t="s">
        <v>20192</v>
      </c>
    </row>
    <row r="5169" spans="6:8">
      <c r="H5169" t="s">
        <v>20193</v>
      </c>
    </row>
    <row r="5170" spans="6:8">
      <c r="H5170" t="s">
        <v>20194</v>
      </c>
    </row>
    <row r="5171" spans="6:8">
      <c r="H5171" t="s">
        <v>19177</v>
      </c>
    </row>
    <row r="5172" spans="6:8">
      <c r="H5172" t="s">
        <v>20195</v>
      </c>
    </row>
    <row r="5173" spans="6:8">
      <c r="F5173" t="s">
        <v>11277</v>
      </c>
      <c r="G5173" t="s">
        <v>15603</v>
      </c>
      <c r="H5173" t="s">
        <v>20091</v>
      </c>
    </row>
    <row r="5174" spans="6:8">
      <c r="H5174" t="s">
        <v>19709</v>
      </c>
    </row>
    <row r="5175" spans="6:8">
      <c r="H5175" t="s">
        <v>20093</v>
      </c>
    </row>
    <row r="5176" spans="6:8">
      <c r="H5176" t="s">
        <v>20095</v>
      </c>
    </row>
    <row r="5177" spans="6:8">
      <c r="H5177" t="s">
        <v>20096</v>
      </c>
    </row>
    <row r="5178" spans="6:8">
      <c r="H5178" t="s">
        <v>20097</v>
      </c>
    </row>
    <row r="5179" spans="6:8">
      <c r="H5179" t="s">
        <v>20098</v>
      </c>
    </row>
    <row r="5180" spans="6:8">
      <c r="H5180" t="s">
        <v>20099</v>
      </c>
    </row>
    <row r="5181" spans="6:8">
      <c r="H5181" t="s">
        <v>20100</v>
      </c>
    </row>
    <row r="5182" spans="6:8">
      <c r="H5182" t="s">
        <v>20101</v>
      </c>
    </row>
    <row r="5183" spans="6:8">
      <c r="H5183" t="s">
        <v>20102</v>
      </c>
    </row>
    <row r="5184" spans="6:8">
      <c r="H5184" t="s">
        <v>20104</v>
      </c>
    </row>
    <row r="5185" spans="6:8">
      <c r="H5185" t="s">
        <v>20105</v>
      </c>
    </row>
    <row r="5186" spans="6:8">
      <c r="H5186" t="s">
        <v>20123</v>
      </c>
    </row>
    <row r="5187" spans="6:8">
      <c r="H5187" t="s">
        <v>20124</v>
      </c>
    </row>
    <row r="5188" spans="6:8">
      <c r="H5188" t="s">
        <v>20192</v>
      </c>
    </row>
    <row r="5189" spans="6:8">
      <c r="H5189" t="s">
        <v>20193</v>
      </c>
    </row>
    <row r="5190" spans="6:8">
      <c r="H5190" t="s">
        <v>20194</v>
      </c>
    </row>
    <row r="5191" spans="6:8">
      <c r="H5191" t="s">
        <v>19177</v>
      </c>
    </row>
    <row r="5192" spans="6:8">
      <c r="H5192" t="s">
        <v>20195</v>
      </c>
    </row>
    <row r="5193" spans="6:8">
      <c r="F5193" t="s">
        <v>11278</v>
      </c>
      <c r="G5193" t="s">
        <v>15604</v>
      </c>
      <c r="H5193" t="s">
        <v>20091</v>
      </c>
    </row>
    <row r="5194" spans="6:8">
      <c r="H5194" t="s">
        <v>19709</v>
      </c>
    </row>
    <row r="5195" spans="6:8">
      <c r="H5195" t="s">
        <v>20093</v>
      </c>
    </row>
    <row r="5196" spans="6:8">
      <c r="H5196" t="s">
        <v>20095</v>
      </c>
    </row>
    <row r="5197" spans="6:8">
      <c r="H5197" t="s">
        <v>20096</v>
      </c>
    </row>
    <row r="5198" spans="6:8">
      <c r="H5198" t="s">
        <v>20097</v>
      </c>
    </row>
    <row r="5199" spans="6:8">
      <c r="H5199" t="s">
        <v>20098</v>
      </c>
    </row>
    <row r="5200" spans="6:8">
      <c r="H5200" t="s">
        <v>20099</v>
      </c>
    </row>
    <row r="5201" spans="6:8">
      <c r="H5201" t="s">
        <v>20100</v>
      </c>
    </row>
    <row r="5202" spans="6:8">
      <c r="H5202" t="s">
        <v>20101</v>
      </c>
    </row>
    <row r="5203" spans="6:8">
      <c r="H5203" t="s">
        <v>20102</v>
      </c>
    </row>
    <row r="5204" spans="6:8">
      <c r="H5204" t="s">
        <v>20104</v>
      </c>
    </row>
    <row r="5205" spans="6:8">
      <c r="H5205" t="s">
        <v>20105</v>
      </c>
    </row>
    <row r="5206" spans="6:8">
      <c r="H5206" t="s">
        <v>20123</v>
      </c>
    </row>
    <row r="5207" spans="6:8">
      <c r="H5207" t="s">
        <v>20124</v>
      </c>
    </row>
    <row r="5208" spans="6:8">
      <c r="H5208" t="s">
        <v>20192</v>
      </c>
    </row>
    <row r="5209" spans="6:8">
      <c r="H5209" t="s">
        <v>20193</v>
      </c>
    </row>
    <row r="5210" spans="6:8">
      <c r="H5210" t="s">
        <v>20194</v>
      </c>
    </row>
    <row r="5211" spans="6:8">
      <c r="H5211" t="s">
        <v>19177</v>
      </c>
    </row>
    <row r="5212" spans="6:8">
      <c r="H5212" t="s">
        <v>20195</v>
      </c>
    </row>
    <row r="5213" spans="6:8">
      <c r="F5213" t="s">
        <v>11279</v>
      </c>
      <c r="G5213" t="s">
        <v>15605</v>
      </c>
      <c r="H5213" t="s">
        <v>20091</v>
      </c>
    </row>
    <row r="5214" spans="6:8">
      <c r="H5214" t="s">
        <v>19709</v>
      </c>
    </row>
    <row r="5215" spans="6:8">
      <c r="H5215" t="s">
        <v>20093</v>
      </c>
    </row>
    <row r="5216" spans="6:8">
      <c r="H5216" t="s">
        <v>20095</v>
      </c>
    </row>
    <row r="5217" spans="8:8">
      <c r="H5217" t="s">
        <v>20096</v>
      </c>
    </row>
    <row r="5218" spans="8:8">
      <c r="H5218" t="s">
        <v>20097</v>
      </c>
    </row>
    <row r="5219" spans="8:8">
      <c r="H5219" t="s">
        <v>20098</v>
      </c>
    </row>
    <row r="5220" spans="8:8">
      <c r="H5220" t="s">
        <v>20099</v>
      </c>
    </row>
    <row r="5221" spans="8:8">
      <c r="H5221" t="s">
        <v>20100</v>
      </c>
    </row>
    <row r="5222" spans="8:8">
      <c r="H5222" t="s">
        <v>20101</v>
      </c>
    </row>
    <row r="5223" spans="8:8">
      <c r="H5223" t="s">
        <v>20102</v>
      </c>
    </row>
    <row r="5224" spans="8:8">
      <c r="H5224" t="s">
        <v>20104</v>
      </c>
    </row>
    <row r="5225" spans="8:8">
      <c r="H5225" t="s">
        <v>20105</v>
      </c>
    </row>
    <row r="5226" spans="8:8">
      <c r="H5226" t="s">
        <v>20123</v>
      </c>
    </row>
    <row r="5227" spans="8:8">
      <c r="H5227" t="s">
        <v>20124</v>
      </c>
    </row>
    <row r="5228" spans="8:8">
      <c r="H5228" t="s">
        <v>20192</v>
      </c>
    </row>
    <row r="5229" spans="8:8">
      <c r="H5229" t="s">
        <v>20193</v>
      </c>
    </row>
    <row r="5230" spans="8:8">
      <c r="H5230" t="s">
        <v>20194</v>
      </c>
    </row>
    <row r="5231" spans="8:8">
      <c r="H5231" t="s">
        <v>19177</v>
      </c>
    </row>
    <row r="5232" spans="8:8">
      <c r="H5232" t="s">
        <v>20195</v>
      </c>
    </row>
    <row r="5233" spans="6:8">
      <c r="F5233" t="s">
        <v>11280</v>
      </c>
      <c r="G5233" t="s">
        <v>15606</v>
      </c>
      <c r="H5233" t="s">
        <v>20091</v>
      </c>
    </row>
    <row r="5234" spans="6:8">
      <c r="H5234" t="s">
        <v>19709</v>
      </c>
    </row>
    <row r="5235" spans="6:8">
      <c r="H5235" t="s">
        <v>20093</v>
      </c>
    </row>
    <row r="5236" spans="6:8">
      <c r="H5236" t="s">
        <v>20095</v>
      </c>
    </row>
    <row r="5237" spans="6:8">
      <c r="H5237" t="s">
        <v>20096</v>
      </c>
    </row>
    <row r="5238" spans="6:8">
      <c r="H5238" t="s">
        <v>20097</v>
      </c>
    </row>
    <row r="5239" spans="6:8">
      <c r="H5239" t="s">
        <v>20098</v>
      </c>
    </row>
    <row r="5240" spans="6:8">
      <c r="H5240" t="s">
        <v>20099</v>
      </c>
    </row>
    <row r="5241" spans="6:8">
      <c r="H5241" t="s">
        <v>20100</v>
      </c>
    </row>
    <row r="5242" spans="6:8">
      <c r="H5242" t="s">
        <v>20101</v>
      </c>
    </row>
    <row r="5243" spans="6:8">
      <c r="H5243" t="s">
        <v>20102</v>
      </c>
    </row>
    <row r="5244" spans="6:8">
      <c r="H5244" t="s">
        <v>20104</v>
      </c>
    </row>
    <row r="5245" spans="6:8">
      <c r="H5245" t="s">
        <v>20105</v>
      </c>
    </row>
    <row r="5246" spans="6:8">
      <c r="H5246" t="s">
        <v>20123</v>
      </c>
    </row>
    <row r="5247" spans="6:8">
      <c r="H5247" t="s">
        <v>20124</v>
      </c>
    </row>
    <row r="5248" spans="6:8">
      <c r="H5248" t="s">
        <v>20192</v>
      </c>
    </row>
    <row r="5249" spans="6:8">
      <c r="H5249" t="s">
        <v>20193</v>
      </c>
    </row>
    <row r="5250" spans="6:8">
      <c r="H5250" t="s">
        <v>20194</v>
      </c>
    </row>
    <row r="5251" spans="6:8">
      <c r="H5251" t="s">
        <v>19177</v>
      </c>
    </row>
    <row r="5252" spans="6:8">
      <c r="H5252" t="s">
        <v>20196</v>
      </c>
    </row>
    <row r="5253" spans="6:8">
      <c r="H5253" t="s">
        <v>20195</v>
      </c>
    </row>
    <row r="5254" spans="6:8">
      <c r="F5254" t="s">
        <v>11281</v>
      </c>
      <c r="G5254" t="s">
        <v>15607</v>
      </c>
      <c r="H5254" t="s">
        <v>20091</v>
      </c>
    </row>
    <row r="5255" spans="6:8">
      <c r="H5255" t="s">
        <v>19709</v>
      </c>
    </row>
    <row r="5256" spans="6:8">
      <c r="H5256" t="s">
        <v>20093</v>
      </c>
    </row>
    <row r="5257" spans="6:8">
      <c r="H5257" t="s">
        <v>20095</v>
      </c>
    </row>
    <row r="5258" spans="6:8">
      <c r="H5258" t="s">
        <v>20096</v>
      </c>
    </row>
    <row r="5259" spans="6:8">
      <c r="H5259" t="s">
        <v>20097</v>
      </c>
    </row>
    <row r="5260" spans="6:8">
      <c r="H5260" t="s">
        <v>20098</v>
      </c>
    </row>
    <row r="5261" spans="6:8">
      <c r="H5261" t="s">
        <v>20099</v>
      </c>
    </row>
    <row r="5262" spans="6:8">
      <c r="H5262" t="s">
        <v>20100</v>
      </c>
    </row>
    <row r="5263" spans="6:8">
      <c r="H5263" t="s">
        <v>20101</v>
      </c>
    </row>
    <row r="5264" spans="6:8">
      <c r="H5264" t="s">
        <v>20102</v>
      </c>
    </row>
    <row r="5265" spans="6:8">
      <c r="H5265" t="s">
        <v>20104</v>
      </c>
    </row>
    <row r="5266" spans="6:8">
      <c r="H5266" t="s">
        <v>20105</v>
      </c>
    </row>
    <row r="5267" spans="6:8">
      <c r="H5267" t="s">
        <v>20123</v>
      </c>
    </row>
    <row r="5268" spans="6:8">
      <c r="H5268" t="s">
        <v>20124</v>
      </c>
    </row>
    <row r="5269" spans="6:8">
      <c r="H5269" t="s">
        <v>20192</v>
      </c>
    </row>
    <row r="5270" spans="6:8">
      <c r="H5270" t="s">
        <v>20193</v>
      </c>
    </row>
    <row r="5271" spans="6:8">
      <c r="H5271" t="s">
        <v>20194</v>
      </c>
    </row>
    <row r="5272" spans="6:8">
      <c r="H5272" t="s">
        <v>19177</v>
      </c>
    </row>
    <row r="5273" spans="6:8">
      <c r="H5273" t="s">
        <v>20195</v>
      </c>
    </row>
    <row r="5274" spans="6:8">
      <c r="F5274" t="s">
        <v>11282</v>
      </c>
      <c r="G5274" t="s">
        <v>15608</v>
      </c>
      <c r="H5274" t="s">
        <v>20091</v>
      </c>
    </row>
    <row r="5275" spans="6:8">
      <c r="H5275" t="s">
        <v>19712</v>
      </c>
    </row>
    <row r="5276" spans="6:8">
      <c r="H5276" t="s">
        <v>19709</v>
      </c>
    </row>
    <row r="5277" spans="6:8">
      <c r="H5277" t="s">
        <v>20093</v>
      </c>
    </row>
    <row r="5278" spans="6:8">
      <c r="H5278" t="s">
        <v>20095</v>
      </c>
    </row>
    <row r="5279" spans="6:8">
      <c r="H5279" t="s">
        <v>20096</v>
      </c>
    </row>
    <row r="5280" spans="6:8">
      <c r="H5280" t="s">
        <v>20097</v>
      </c>
    </row>
    <row r="5281" spans="6:8">
      <c r="H5281" t="s">
        <v>20098</v>
      </c>
    </row>
    <row r="5282" spans="6:8">
      <c r="H5282" t="s">
        <v>20099</v>
      </c>
    </row>
    <row r="5283" spans="6:8">
      <c r="H5283" t="s">
        <v>20100</v>
      </c>
    </row>
    <row r="5284" spans="6:8">
      <c r="H5284" t="s">
        <v>20101</v>
      </c>
    </row>
    <row r="5285" spans="6:8">
      <c r="H5285" t="s">
        <v>20102</v>
      </c>
    </row>
    <row r="5286" spans="6:8">
      <c r="H5286" t="s">
        <v>20104</v>
      </c>
    </row>
    <row r="5287" spans="6:8">
      <c r="H5287" t="s">
        <v>20105</v>
      </c>
    </row>
    <row r="5288" spans="6:8">
      <c r="H5288" t="s">
        <v>20123</v>
      </c>
    </row>
    <row r="5289" spans="6:8">
      <c r="H5289" t="s">
        <v>20124</v>
      </c>
    </row>
    <row r="5290" spans="6:8">
      <c r="H5290" t="s">
        <v>20192</v>
      </c>
    </row>
    <row r="5291" spans="6:8">
      <c r="H5291" t="s">
        <v>20193</v>
      </c>
    </row>
    <row r="5292" spans="6:8">
      <c r="H5292" t="s">
        <v>20194</v>
      </c>
    </row>
    <row r="5293" spans="6:8">
      <c r="H5293" t="s">
        <v>19177</v>
      </c>
    </row>
    <row r="5294" spans="6:8">
      <c r="H5294" t="s">
        <v>20195</v>
      </c>
    </row>
    <row r="5295" spans="6:8">
      <c r="F5295" t="s">
        <v>11283</v>
      </c>
      <c r="G5295" t="s">
        <v>15609</v>
      </c>
      <c r="H5295" t="s">
        <v>20091</v>
      </c>
    </row>
    <row r="5296" spans="6:8">
      <c r="H5296" t="s">
        <v>19712</v>
      </c>
    </row>
    <row r="5297" spans="6:8">
      <c r="H5297" t="s">
        <v>19706</v>
      </c>
    </row>
    <row r="5298" spans="6:8">
      <c r="H5298" t="s">
        <v>20092</v>
      </c>
    </row>
    <row r="5299" spans="6:8">
      <c r="H5299" t="s">
        <v>20093</v>
      </c>
    </row>
    <row r="5300" spans="6:8">
      <c r="H5300" t="s">
        <v>20094</v>
      </c>
    </row>
    <row r="5301" spans="6:8">
      <c r="H5301" t="s">
        <v>20095</v>
      </c>
    </row>
    <row r="5302" spans="6:8">
      <c r="H5302" t="s">
        <v>20096</v>
      </c>
    </row>
    <row r="5303" spans="6:8">
      <c r="H5303" t="s">
        <v>20097</v>
      </c>
    </row>
    <row r="5304" spans="6:8">
      <c r="H5304" t="s">
        <v>20098</v>
      </c>
    </row>
    <row r="5305" spans="6:8">
      <c r="F5305" t="s">
        <v>11284</v>
      </c>
      <c r="G5305" t="s">
        <v>15253</v>
      </c>
      <c r="H5305" t="s">
        <v>20091</v>
      </c>
    </row>
    <row r="5306" spans="6:8">
      <c r="H5306" t="s">
        <v>19712</v>
      </c>
    </row>
    <row r="5307" spans="6:8">
      <c r="H5307" t="s">
        <v>19709</v>
      </c>
    </row>
    <row r="5308" spans="6:8">
      <c r="H5308" t="s">
        <v>19706</v>
      </c>
    </row>
    <row r="5309" spans="6:8">
      <c r="H5309" t="s">
        <v>19707</v>
      </c>
    </row>
    <row r="5310" spans="6:8">
      <c r="H5310" t="s">
        <v>19711</v>
      </c>
    </row>
    <row r="5311" spans="6:8">
      <c r="H5311" t="s">
        <v>19708</v>
      </c>
    </row>
    <row r="5312" spans="6:8">
      <c r="H5312" t="s">
        <v>20107</v>
      </c>
    </row>
    <row r="5313" spans="6:8">
      <c r="H5313" t="s">
        <v>20108</v>
      </c>
    </row>
    <row r="5314" spans="6:8">
      <c r="H5314" t="s">
        <v>19713</v>
      </c>
    </row>
    <row r="5315" spans="6:8">
      <c r="H5315" t="s">
        <v>19714</v>
      </c>
    </row>
    <row r="5316" spans="6:8">
      <c r="H5316" t="s">
        <v>20109</v>
      </c>
    </row>
    <row r="5317" spans="6:8">
      <c r="H5317" t="s">
        <v>20110</v>
      </c>
    </row>
    <row r="5318" spans="6:8">
      <c r="H5318" t="s">
        <v>20111</v>
      </c>
    </row>
    <row r="5319" spans="6:8">
      <c r="H5319" t="s">
        <v>20095</v>
      </c>
    </row>
    <row r="5320" spans="6:8">
      <c r="H5320" t="s">
        <v>20096</v>
      </c>
    </row>
    <row r="5321" spans="6:8">
      <c r="H5321" t="s">
        <v>20097</v>
      </c>
    </row>
    <row r="5322" spans="6:8">
      <c r="H5322" t="s">
        <v>20098</v>
      </c>
    </row>
    <row r="5323" spans="6:8">
      <c r="F5323" t="s">
        <v>11285</v>
      </c>
      <c r="G5323" t="s">
        <v>15254</v>
      </c>
      <c r="H5323" t="s">
        <v>20091</v>
      </c>
    </row>
    <row r="5324" spans="6:8">
      <c r="H5324" t="s">
        <v>19712</v>
      </c>
    </row>
    <row r="5325" spans="6:8">
      <c r="H5325" t="s">
        <v>19709</v>
      </c>
    </row>
    <row r="5326" spans="6:8">
      <c r="H5326" t="s">
        <v>19706</v>
      </c>
    </row>
    <row r="5327" spans="6:8">
      <c r="H5327" t="s">
        <v>19707</v>
      </c>
    </row>
    <row r="5328" spans="6:8">
      <c r="H5328" t="s">
        <v>20107</v>
      </c>
    </row>
    <row r="5329" spans="6:8">
      <c r="H5329" t="s">
        <v>20108</v>
      </c>
    </row>
    <row r="5330" spans="6:8">
      <c r="H5330" t="s">
        <v>19713</v>
      </c>
    </row>
    <row r="5331" spans="6:8">
      <c r="H5331" t="s">
        <v>19714</v>
      </c>
    </row>
    <row r="5332" spans="6:8">
      <c r="H5332" t="s">
        <v>20096</v>
      </c>
    </row>
    <row r="5333" spans="6:8">
      <c r="H5333" t="s">
        <v>20097</v>
      </c>
    </row>
    <row r="5334" spans="6:8">
      <c r="H5334" t="s">
        <v>20098</v>
      </c>
    </row>
    <row r="5335" spans="6:8">
      <c r="H5335" t="s">
        <v>20099</v>
      </c>
    </row>
    <row r="5336" spans="6:8">
      <c r="F5336" t="s">
        <v>11286</v>
      </c>
      <c r="G5336" t="s">
        <v>15255</v>
      </c>
      <c r="H5336" t="s">
        <v>20091</v>
      </c>
    </row>
    <row r="5337" spans="6:8">
      <c r="H5337" t="s">
        <v>19712</v>
      </c>
    </row>
    <row r="5338" spans="6:8">
      <c r="H5338" t="s">
        <v>19709</v>
      </c>
    </row>
    <row r="5339" spans="6:8">
      <c r="H5339" t="s">
        <v>19710</v>
      </c>
    </row>
    <row r="5340" spans="6:8">
      <c r="H5340" t="s">
        <v>20107</v>
      </c>
    </row>
    <row r="5341" spans="6:8">
      <c r="H5341" t="s">
        <v>20108</v>
      </c>
    </row>
    <row r="5342" spans="6:8">
      <c r="H5342" t="s">
        <v>19713</v>
      </c>
    </row>
    <row r="5343" spans="6:8">
      <c r="H5343" t="s">
        <v>20095</v>
      </c>
    </row>
    <row r="5344" spans="6:8">
      <c r="H5344" t="s">
        <v>20096</v>
      </c>
    </row>
    <row r="5345" spans="6:8">
      <c r="H5345" t="s">
        <v>20097</v>
      </c>
    </row>
    <row r="5346" spans="6:8">
      <c r="H5346" t="s">
        <v>20098</v>
      </c>
    </row>
    <row r="5347" spans="6:8">
      <c r="F5347" t="s">
        <v>11287</v>
      </c>
      <c r="G5347" t="s">
        <v>15256</v>
      </c>
      <c r="H5347" t="s">
        <v>20091</v>
      </c>
    </row>
    <row r="5348" spans="6:8">
      <c r="H5348" t="s">
        <v>19712</v>
      </c>
    </row>
    <row r="5349" spans="6:8">
      <c r="H5349" t="s">
        <v>19709</v>
      </c>
    </row>
    <row r="5350" spans="6:8">
      <c r="H5350" t="s">
        <v>19706</v>
      </c>
    </row>
    <row r="5351" spans="6:8">
      <c r="H5351" t="s">
        <v>19707</v>
      </c>
    </row>
    <row r="5352" spans="6:8">
      <c r="H5352" t="s">
        <v>20107</v>
      </c>
    </row>
    <row r="5353" spans="6:8">
      <c r="H5353" t="s">
        <v>20108</v>
      </c>
    </row>
    <row r="5354" spans="6:8">
      <c r="H5354" t="s">
        <v>19713</v>
      </c>
    </row>
    <row r="5355" spans="6:8">
      <c r="H5355" t="s">
        <v>20095</v>
      </c>
    </row>
    <row r="5356" spans="6:8">
      <c r="H5356" t="s">
        <v>20096</v>
      </c>
    </row>
    <row r="5357" spans="6:8">
      <c r="H5357" t="s">
        <v>20097</v>
      </c>
    </row>
    <row r="5358" spans="6:8">
      <c r="H5358" t="s">
        <v>20098</v>
      </c>
    </row>
    <row r="5359" spans="6:8">
      <c r="F5359" t="s">
        <v>11288</v>
      </c>
      <c r="G5359" t="s">
        <v>15257</v>
      </c>
      <c r="H5359" t="s">
        <v>20091</v>
      </c>
    </row>
    <row r="5360" spans="6:8">
      <c r="H5360" t="s">
        <v>19712</v>
      </c>
    </row>
    <row r="5361" spans="6:8">
      <c r="H5361" t="s">
        <v>19709</v>
      </c>
    </row>
    <row r="5362" spans="6:8">
      <c r="H5362" t="s">
        <v>19710</v>
      </c>
    </row>
    <row r="5363" spans="6:8">
      <c r="H5363" t="s">
        <v>20107</v>
      </c>
    </row>
    <row r="5364" spans="6:8">
      <c r="H5364" t="s">
        <v>20108</v>
      </c>
    </row>
    <row r="5365" spans="6:8">
      <c r="H5365" t="s">
        <v>19713</v>
      </c>
    </row>
    <row r="5366" spans="6:8">
      <c r="H5366" t="s">
        <v>20095</v>
      </c>
    </row>
    <row r="5367" spans="6:8">
      <c r="H5367" t="s">
        <v>20096</v>
      </c>
    </row>
    <row r="5368" spans="6:8">
      <c r="H5368" t="s">
        <v>20097</v>
      </c>
    </row>
    <row r="5369" spans="6:8">
      <c r="H5369" t="s">
        <v>20098</v>
      </c>
    </row>
    <row r="5370" spans="6:8">
      <c r="H5370" t="s">
        <v>20099</v>
      </c>
    </row>
    <row r="5371" spans="6:8">
      <c r="F5371" t="s">
        <v>11289</v>
      </c>
      <c r="G5371" t="s">
        <v>15258</v>
      </c>
      <c r="H5371" t="s">
        <v>20091</v>
      </c>
    </row>
    <row r="5372" spans="6:8">
      <c r="H5372" t="s">
        <v>19712</v>
      </c>
    </row>
    <row r="5373" spans="6:8">
      <c r="H5373" t="s">
        <v>19709</v>
      </c>
    </row>
    <row r="5374" spans="6:8">
      <c r="H5374" t="s">
        <v>19706</v>
      </c>
    </row>
    <row r="5375" spans="6:8">
      <c r="H5375" t="s">
        <v>19707</v>
      </c>
    </row>
    <row r="5376" spans="6:8">
      <c r="H5376" t="s">
        <v>19711</v>
      </c>
    </row>
    <row r="5377" spans="6:8">
      <c r="H5377" t="s">
        <v>19708</v>
      </c>
    </row>
    <row r="5378" spans="6:8">
      <c r="H5378" t="s">
        <v>19710</v>
      </c>
    </row>
    <row r="5379" spans="6:8">
      <c r="H5379" t="s">
        <v>20107</v>
      </c>
    </row>
    <row r="5380" spans="6:8">
      <c r="H5380" t="s">
        <v>20108</v>
      </c>
    </row>
    <row r="5381" spans="6:8">
      <c r="H5381" t="s">
        <v>19713</v>
      </c>
    </row>
    <row r="5382" spans="6:8">
      <c r="H5382" t="s">
        <v>20095</v>
      </c>
    </row>
    <row r="5383" spans="6:8">
      <c r="H5383" t="s">
        <v>20096</v>
      </c>
    </row>
    <row r="5384" spans="6:8">
      <c r="H5384" t="s">
        <v>20097</v>
      </c>
    </row>
    <row r="5385" spans="6:8">
      <c r="H5385" t="s">
        <v>20098</v>
      </c>
    </row>
    <row r="5386" spans="6:8">
      <c r="F5386" t="s">
        <v>11290</v>
      </c>
      <c r="G5386" t="s">
        <v>15610</v>
      </c>
      <c r="H5386" t="s">
        <v>19712</v>
      </c>
    </row>
    <row r="5387" spans="6:8">
      <c r="H5387" t="s">
        <v>19708</v>
      </c>
    </row>
    <row r="5388" spans="6:8">
      <c r="H5388" t="s">
        <v>20094</v>
      </c>
    </row>
    <row r="5389" spans="6:8">
      <c r="H5389" t="s">
        <v>20116</v>
      </c>
    </row>
    <row r="5390" spans="6:8">
      <c r="H5390" t="s">
        <v>20095</v>
      </c>
    </row>
    <row r="5391" spans="6:8">
      <c r="H5391" t="s">
        <v>20097</v>
      </c>
    </row>
    <row r="5392" spans="6:8">
      <c r="H5392" t="s">
        <v>20098</v>
      </c>
    </row>
    <row r="5393" spans="8:8">
      <c r="H5393" t="s">
        <v>20099</v>
      </c>
    </row>
    <row r="5394" spans="8:8">
      <c r="H5394" t="s">
        <v>20100</v>
      </c>
    </row>
    <row r="5395" spans="8:8">
      <c r="H5395" t="s">
        <v>20102</v>
      </c>
    </row>
    <row r="5396" spans="8:8">
      <c r="H5396" t="s">
        <v>20104</v>
      </c>
    </row>
    <row r="5397" spans="8:8">
      <c r="H5397" t="s">
        <v>20105</v>
      </c>
    </row>
    <row r="5398" spans="8:8">
      <c r="H5398" t="s">
        <v>20123</v>
      </c>
    </row>
    <row r="5399" spans="8:8">
      <c r="H5399" t="s">
        <v>20124</v>
      </c>
    </row>
    <row r="5400" spans="8:8">
      <c r="H5400" t="s">
        <v>20192</v>
      </c>
    </row>
    <row r="5401" spans="8:8">
      <c r="H5401" t="s">
        <v>20193</v>
      </c>
    </row>
    <row r="5402" spans="8:8">
      <c r="H5402" t="s">
        <v>20194</v>
      </c>
    </row>
    <row r="5403" spans="8:8">
      <c r="H5403" t="s">
        <v>19177</v>
      </c>
    </row>
    <row r="5404" spans="8:8">
      <c r="H5404" t="s">
        <v>20196</v>
      </c>
    </row>
    <row r="5405" spans="8:8">
      <c r="H5405" t="s">
        <v>20197</v>
      </c>
    </row>
    <row r="5406" spans="8:8">
      <c r="H5406" t="s">
        <v>20198</v>
      </c>
    </row>
    <row r="5407" spans="8:8">
      <c r="H5407" t="s">
        <v>20199</v>
      </c>
    </row>
    <row r="5408" spans="8:8">
      <c r="H5408" t="s">
        <v>20200</v>
      </c>
    </row>
    <row r="5409" spans="6:8">
      <c r="F5409" t="s">
        <v>11291</v>
      </c>
      <c r="G5409" t="s">
        <v>15611</v>
      </c>
      <c r="H5409" t="s">
        <v>19712</v>
      </c>
    </row>
    <row r="5410" spans="6:8">
      <c r="H5410" t="s">
        <v>19708</v>
      </c>
    </row>
    <row r="5411" spans="6:8">
      <c r="H5411" t="s">
        <v>20094</v>
      </c>
    </row>
    <row r="5412" spans="6:8">
      <c r="H5412" t="s">
        <v>20116</v>
      </c>
    </row>
    <row r="5413" spans="6:8">
      <c r="H5413" t="s">
        <v>20095</v>
      </c>
    </row>
    <row r="5414" spans="6:8">
      <c r="H5414" t="s">
        <v>20097</v>
      </c>
    </row>
    <row r="5415" spans="6:8">
      <c r="H5415" t="s">
        <v>20098</v>
      </c>
    </row>
    <row r="5416" spans="6:8">
      <c r="H5416" t="s">
        <v>20099</v>
      </c>
    </row>
    <row r="5417" spans="6:8">
      <c r="H5417" t="s">
        <v>20100</v>
      </c>
    </row>
    <row r="5418" spans="6:8">
      <c r="H5418" t="s">
        <v>20102</v>
      </c>
    </row>
    <row r="5419" spans="6:8">
      <c r="H5419" t="s">
        <v>20104</v>
      </c>
    </row>
    <row r="5420" spans="6:8">
      <c r="H5420" t="s">
        <v>20105</v>
      </c>
    </row>
    <row r="5421" spans="6:8">
      <c r="H5421" t="s">
        <v>20123</v>
      </c>
    </row>
    <row r="5422" spans="6:8">
      <c r="H5422" t="s">
        <v>20124</v>
      </c>
    </row>
    <row r="5423" spans="6:8">
      <c r="H5423" t="s">
        <v>20192</v>
      </c>
    </row>
    <row r="5424" spans="6:8">
      <c r="H5424" t="s">
        <v>20193</v>
      </c>
    </row>
    <row r="5425" spans="6:8">
      <c r="H5425" t="s">
        <v>20194</v>
      </c>
    </row>
    <row r="5426" spans="6:8">
      <c r="H5426" t="s">
        <v>19177</v>
      </c>
    </row>
    <row r="5427" spans="6:8">
      <c r="H5427" t="s">
        <v>20196</v>
      </c>
    </row>
    <row r="5428" spans="6:8">
      <c r="H5428" t="s">
        <v>20197</v>
      </c>
    </row>
    <row r="5429" spans="6:8">
      <c r="H5429" t="s">
        <v>20198</v>
      </c>
    </row>
    <row r="5430" spans="6:8">
      <c r="H5430" t="s">
        <v>20199</v>
      </c>
    </row>
    <row r="5431" spans="6:8">
      <c r="H5431" t="s">
        <v>20200</v>
      </c>
    </row>
    <row r="5432" spans="6:8">
      <c r="F5432" t="s">
        <v>10705</v>
      </c>
      <c r="G5432" t="s">
        <v>15105</v>
      </c>
      <c r="H5432" t="s">
        <v>20091</v>
      </c>
    </row>
    <row r="5433" spans="6:8">
      <c r="H5433" t="s">
        <v>19712</v>
      </c>
    </row>
    <row r="5434" spans="6:8">
      <c r="H5434" t="s">
        <v>20094</v>
      </c>
    </row>
    <row r="5435" spans="6:8">
      <c r="H5435" t="s">
        <v>20103</v>
      </c>
    </row>
    <row r="5436" spans="6:8">
      <c r="H5436" t="s">
        <v>20116</v>
      </c>
    </row>
    <row r="5437" spans="6:8">
      <c r="H5437" t="s">
        <v>20117</v>
      </c>
    </row>
    <row r="5438" spans="6:8">
      <c r="H5438" t="s">
        <v>20095</v>
      </c>
    </row>
    <row r="5439" spans="6:8">
      <c r="H5439" t="s">
        <v>20096</v>
      </c>
    </row>
    <row r="5440" spans="6:8">
      <c r="H5440" t="s">
        <v>20099</v>
      </c>
    </row>
    <row r="5441" spans="6:8">
      <c r="H5441" t="s">
        <v>20100</v>
      </c>
    </row>
    <row r="5442" spans="6:8">
      <c r="H5442" t="s">
        <v>20104</v>
      </c>
    </row>
    <row r="5443" spans="6:8">
      <c r="H5443" t="s">
        <v>20105</v>
      </c>
    </row>
    <row r="5444" spans="6:8">
      <c r="H5444" t="s">
        <v>20123</v>
      </c>
    </row>
    <row r="5445" spans="6:8">
      <c r="H5445" t="s">
        <v>20124</v>
      </c>
    </row>
    <row r="5446" spans="6:8">
      <c r="H5446" t="s">
        <v>20192</v>
      </c>
    </row>
    <row r="5447" spans="6:8">
      <c r="H5447" t="s">
        <v>20193</v>
      </c>
    </row>
    <row r="5448" spans="6:8">
      <c r="H5448" t="s">
        <v>20194</v>
      </c>
    </row>
    <row r="5449" spans="6:8">
      <c r="H5449" t="s">
        <v>20200</v>
      </c>
    </row>
    <row r="5450" spans="6:8">
      <c r="F5450" t="s">
        <v>10706</v>
      </c>
      <c r="G5450" t="s">
        <v>15106</v>
      </c>
      <c r="H5450" t="s">
        <v>20091</v>
      </c>
    </row>
    <row r="5451" spans="6:8">
      <c r="H5451" t="s">
        <v>19712</v>
      </c>
    </row>
    <row r="5452" spans="6:8">
      <c r="H5452" t="s">
        <v>20094</v>
      </c>
    </row>
    <row r="5453" spans="6:8">
      <c r="H5453" t="s">
        <v>20103</v>
      </c>
    </row>
    <row r="5454" spans="6:8">
      <c r="H5454" t="s">
        <v>20116</v>
      </c>
    </row>
    <row r="5455" spans="6:8">
      <c r="H5455" t="s">
        <v>20117</v>
      </c>
    </row>
    <row r="5456" spans="6:8">
      <c r="H5456" t="s">
        <v>20095</v>
      </c>
    </row>
    <row r="5457" spans="6:8">
      <c r="H5457" t="s">
        <v>20096</v>
      </c>
    </row>
    <row r="5458" spans="6:8">
      <c r="H5458" t="s">
        <v>20099</v>
      </c>
    </row>
    <row r="5459" spans="6:8">
      <c r="H5459" t="s">
        <v>20100</v>
      </c>
    </row>
    <row r="5460" spans="6:8">
      <c r="H5460" t="s">
        <v>20104</v>
      </c>
    </row>
    <row r="5461" spans="6:8">
      <c r="H5461" t="s">
        <v>20105</v>
      </c>
    </row>
    <row r="5462" spans="6:8">
      <c r="H5462" t="s">
        <v>20123</v>
      </c>
    </row>
    <row r="5463" spans="6:8">
      <c r="H5463" t="s">
        <v>20124</v>
      </c>
    </row>
    <row r="5464" spans="6:8">
      <c r="H5464" t="s">
        <v>20192</v>
      </c>
    </row>
    <row r="5465" spans="6:8">
      <c r="H5465" t="s">
        <v>20193</v>
      </c>
    </row>
    <row r="5466" spans="6:8">
      <c r="H5466" t="s">
        <v>20194</v>
      </c>
    </row>
    <row r="5467" spans="6:8">
      <c r="H5467" t="s">
        <v>20200</v>
      </c>
    </row>
    <row r="5468" spans="6:8">
      <c r="F5468" t="s">
        <v>11292</v>
      </c>
      <c r="G5468" t="s">
        <v>15485</v>
      </c>
      <c r="H5468" t="s">
        <v>20126</v>
      </c>
    </row>
    <row r="5469" spans="6:8">
      <c r="H5469" t="s">
        <v>20127</v>
      </c>
    </row>
    <row r="5470" spans="6:8">
      <c r="H5470" t="s">
        <v>20128</v>
      </c>
    </row>
    <row r="5471" spans="6:8">
      <c r="H5471" t="s">
        <v>20201</v>
      </c>
    </row>
    <row r="5472" spans="6:8">
      <c r="H5472" t="s">
        <v>20130</v>
      </c>
    </row>
    <row r="5473" spans="6:8">
      <c r="F5473" t="s">
        <v>11293</v>
      </c>
      <c r="G5473" t="s">
        <v>15612</v>
      </c>
      <c r="H5473" t="s">
        <v>20091</v>
      </c>
    </row>
    <row r="5474" spans="6:8">
      <c r="H5474" t="s">
        <v>19712</v>
      </c>
    </row>
    <row r="5475" spans="6:8">
      <c r="H5475" t="s">
        <v>19709</v>
      </c>
    </row>
    <row r="5476" spans="6:8">
      <c r="H5476" t="s">
        <v>19707</v>
      </c>
    </row>
    <row r="5477" spans="6:8">
      <c r="H5477" t="s">
        <v>19711</v>
      </c>
    </row>
    <row r="5478" spans="6:8">
      <c r="H5478" t="s">
        <v>20093</v>
      </c>
    </row>
    <row r="5479" spans="6:8">
      <c r="H5479" t="s">
        <v>20118</v>
      </c>
    </row>
    <row r="5480" spans="6:8">
      <c r="H5480" t="s">
        <v>20095</v>
      </c>
    </row>
    <row r="5481" spans="6:8">
      <c r="H5481" t="s">
        <v>20097</v>
      </c>
    </row>
    <row r="5482" spans="6:8">
      <c r="H5482" t="s">
        <v>20098</v>
      </c>
    </row>
    <row r="5483" spans="6:8">
      <c r="H5483" t="s">
        <v>20099</v>
      </c>
    </row>
    <row r="5484" spans="6:8">
      <c r="H5484" t="s">
        <v>20100</v>
      </c>
    </row>
    <row r="5485" spans="6:8">
      <c r="H5485" t="s">
        <v>20101</v>
      </c>
    </row>
    <row r="5486" spans="6:8">
      <c r="H5486" t="s">
        <v>20102</v>
      </c>
    </row>
    <row r="5487" spans="6:8">
      <c r="H5487" t="s">
        <v>20104</v>
      </c>
    </row>
    <row r="5488" spans="6:8">
      <c r="H5488" t="s">
        <v>20105</v>
      </c>
    </row>
    <row r="5489" spans="6:8">
      <c r="H5489" t="s">
        <v>20124</v>
      </c>
    </row>
    <row r="5490" spans="6:8">
      <c r="H5490" t="s">
        <v>20192</v>
      </c>
    </row>
    <row r="5491" spans="6:8">
      <c r="H5491" t="s">
        <v>20197</v>
      </c>
    </row>
    <row r="5492" spans="6:8">
      <c r="F5492" t="s">
        <v>11294</v>
      </c>
      <c r="G5492" t="s">
        <v>15485</v>
      </c>
      <c r="H5492" t="s">
        <v>20126</v>
      </c>
    </row>
    <row r="5493" spans="6:8">
      <c r="H5493" t="s">
        <v>20127</v>
      </c>
    </row>
    <row r="5494" spans="6:8">
      <c r="H5494" t="s">
        <v>20128</v>
      </c>
    </row>
    <row r="5495" spans="6:8">
      <c r="H5495" t="s">
        <v>20201</v>
      </c>
    </row>
    <row r="5496" spans="6:8">
      <c r="H5496" t="s">
        <v>20130</v>
      </c>
    </row>
    <row r="5497" spans="6:8">
      <c r="F5497" t="s">
        <v>11295</v>
      </c>
      <c r="G5497" t="s">
        <v>15613</v>
      </c>
      <c r="H5497" t="s">
        <v>20091</v>
      </c>
    </row>
    <row r="5498" spans="6:8">
      <c r="H5498" t="s">
        <v>19712</v>
      </c>
    </row>
    <row r="5499" spans="6:8">
      <c r="H5499" t="s">
        <v>19709</v>
      </c>
    </row>
    <row r="5500" spans="6:8">
      <c r="H5500" t="s">
        <v>19707</v>
      </c>
    </row>
    <row r="5501" spans="6:8">
      <c r="H5501" t="s">
        <v>19711</v>
      </c>
    </row>
    <row r="5502" spans="6:8">
      <c r="H5502" t="s">
        <v>20093</v>
      </c>
    </row>
    <row r="5503" spans="6:8">
      <c r="H5503" t="s">
        <v>20118</v>
      </c>
    </row>
    <row r="5504" spans="6:8">
      <c r="H5504" t="s">
        <v>20095</v>
      </c>
    </row>
    <row r="5505" spans="6:8">
      <c r="H5505" t="s">
        <v>20097</v>
      </c>
    </row>
    <row r="5506" spans="6:8">
      <c r="H5506" t="s">
        <v>20098</v>
      </c>
    </row>
    <row r="5507" spans="6:8">
      <c r="H5507" t="s">
        <v>20099</v>
      </c>
    </row>
    <row r="5508" spans="6:8">
      <c r="H5508" t="s">
        <v>20100</v>
      </c>
    </row>
    <row r="5509" spans="6:8">
      <c r="H5509" t="s">
        <v>20101</v>
      </c>
    </row>
    <row r="5510" spans="6:8">
      <c r="H5510" t="s">
        <v>20102</v>
      </c>
    </row>
    <row r="5511" spans="6:8">
      <c r="H5511" t="s">
        <v>20104</v>
      </c>
    </row>
    <row r="5512" spans="6:8">
      <c r="H5512" t="s">
        <v>20105</v>
      </c>
    </row>
    <row r="5513" spans="6:8">
      <c r="H5513" t="s">
        <v>20124</v>
      </c>
    </row>
    <row r="5514" spans="6:8">
      <c r="H5514" t="s">
        <v>20192</v>
      </c>
    </row>
    <row r="5515" spans="6:8">
      <c r="H5515" t="s">
        <v>20197</v>
      </c>
    </row>
    <row r="5516" spans="6:8">
      <c r="F5516" t="s">
        <v>11296</v>
      </c>
      <c r="G5516" t="s">
        <v>15104</v>
      </c>
      <c r="H5516" t="s">
        <v>20125</v>
      </c>
    </row>
    <row r="5517" spans="6:8">
      <c r="H5517" t="s">
        <v>20202</v>
      </c>
    </row>
    <row r="5518" spans="6:8">
      <c r="F5518" t="s">
        <v>10708</v>
      </c>
      <c r="G5518" t="s">
        <v>15107</v>
      </c>
      <c r="H5518" t="s">
        <v>20091</v>
      </c>
    </row>
    <row r="5519" spans="6:8">
      <c r="H5519" t="s">
        <v>19709</v>
      </c>
    </row>
    <row r="5520" spans="6:8">
      <c r="H5520" t="s">
        <v>19707</v>
      </c>
    </row>
    <row r="5521" spans="8:8">
      <c r="H5521" t="s">
        <v>19711</v>
      </c>
    </row>
    <row r="5522" spans="8:8">
      <c r="H5522" t="s">
        <v>20092</v>
      </c>
    </row>
    <row r="5523" spans="8:8">
      <c r="H5523" t="s">
        <v>20093</v>
      </c>
    </row>
    <row r="5524" spans="8:8">
      <c r="H5524" t="s">
        <v>20103</v>
      </c>
    </row>
    <row r="5525" spans="8:8">
      <c r="H5525" t="s">
        <v>20095</v>
      </c>
    </row>
    <row r="5526" spans="8:8">
      <c r="H5526" t="s">
        <v>20097</v>
      </c>
    </row>
    <row r="5527" spans="8:8">
      <c r="H5527" t="s">
        <v>20098</v>
      </c>
    </row>
    <row r="5528" spans="8:8">
      <c r="H5528" t="s">
        <v>20099</v>
      </c>
    </row>
    <row r="5529" spans="8:8">
      <c r="H5529" t="s">
        <v>20100</v>
      </c>
    </row>
    <row r="5530" spans="8:8">
      <c r="H5530" t="s">
        <v>20102</v>
      </c>
    </row>
    <row r="5531" spans="8:8">
      <c r="H5531" t="s">
        <v>20104</v>
      </c>
    </row>
    <row r="5532" spans="8:8">
      <c r="H5532" t="s">
        <v>20105</v>
      </c>
    </row>
    <row r="5533" spans="8:8">
      <c r="H5533" t="s">
        <v>20124</v>
      </c>
    </row>
    <row r="5534" spans="8:8">
      <c r="H5534" t="s">
        <v>20192</v>
      </c>
    </row>
    <row r="5535" spans="8:8">
      <c r="H5535" t="s">
        <v>20193</v>
      </c>
    </row>
    <row r="5536" spans="8:8">
      <c r="H5536" t="s">
        <v>20194</v>
      </c>
    </row>
    <row r="5537" spans="6:8">
      <c r="H5537" t="s">
        <v>19177</v>
      </c>
    </row>
    <row r="5538" spans="6:8">
      <c r="H5538" t="s">
        <v>20196</v>
      </c>
    </row>
    <row r="5539" spans="6:8">
      <c r="H5539" t="s">
        <v>20197</v>
      </c>
    </row>
    <row r="5540" spans="6:8">
      <c r="H5540" t="s">
        <v>20198</v>
      </c>
    </row>
    <row r="5541" spans="6:8">
      <c r="F5541" t="s">
        <v>11297</v>
      </c>
      <c r="G5541" t="s">
        <v>15104</v>
      </c>
      <c r="H5541" t="s">
        <v>20125</v>
      </c>
    </row>
    <row r="5542" spans="6:8">
      <c r="H5542" t="s">
        <v>20202</v>
      </c>
    </row>
    <row r="5543" spans="6:8">
      <c r="F5543" t="s">
        <v>10709</v>
      </c>
      <c r="G5543" t="s">
        <v>15108</v>
      </c>
      <c r="H5543" t="s">
        <v>20091</v>
      </c>
    </row>
    <row r="5544" spans="6:8">
      <c r="H5544" t="s">
        <v>19709</v>
      </c>
    </row>
    <row r="5545" spans="6:8">
      <c r="H5545" t="s">
        <v>19707</v>
      </c>
    </row>
    <row r="5546" spans="6:8">
      <c r="H5546" t="s">
        <v>19711</v>
      </c>
    </row>
    <row r="5547" spans="6:8">
      <c r="H5547" t="s">
        <v>20092</v>
      </c>
    </row>
    <row r="5548" spans="6:8">
      <c r="H5548" t="s">
        <v>20093</v>
      </c>
    </row>
    <row r="5549" spans="6:8">
      <c r="H5549" t="s">
        <v>20103</v>
      </c>
    </row>
    <row r="5550" spans="6:8">
      <c r="H5550" t="s">
        <v>20095</v>
      </c>
    </row>
    <row r="5551" spans="6:8">
      <c r="H5551" t="s">
        <v>20097</v>
      </c>
    </row>
    <row r="5552" spans="6:8">
      <c r="H5552" t="s">
        <v>20098</v>
      </c>
    </row>
    <row r="5553" spans="6:8">
      <c r="H5553" t="s">
        <v>20099</v>
      </c>
    </row>
    <row r="5554" spans="6:8">
      <c r="H5554" t="s">
        <v>20100</v>
      </c>
    </row>
    <row r="5555" spans="6:8">
      <c r="H5555" t="s">
        <v>20102</v>
      </c>
    </row>
    <row r="5556" spans="6:8">
      <c r="H5556" t="s">
        <v>20104</v>
      </c>
    </row>
    <row r="5557" spans="6:8">
      <c r="H5557" t="s">
        <v>20105</v>
      </c>
    </row>
    <row r="5558" spans="6:8">
      <c r="H5558" t="s">
        <v>20124</v>
      </c>
    </row>
    <row r="5559" spans="6:8">
      <c r="H5559" t="s">
        <v>20192</v>
      </c>
    </row>
    <row r="5560" spans="6:8">
      <c r="H5560" t="s">
        <v>20193</v>
      </c>
    </row>
    <row r="5561" spans="6:8">
      <c r="H5561" t="s">
        <v>20194</v>
      </c>
    </row>
    <row r="5562" spans="6:8">
      <c r="H5562" t="s">
        <v>19177</v>
      </c>
    </row>
    <row r="5563" spans="6:8">
      <c r="H5563" t="s">
        <v>20196</v>
      </c>
    </row>
    <row r="5564" spans="6:8">
      <c r="H5564" t="s">
        <v>20197</v>
      </c>
    </row>
    <row r="5565" spans="6:8">
      <c r="H5565" t="s">
        <v>20198</v>
      </c>
    </row>
    <row r="5566" spans="6:8">
      <c r="F5566" t="s">
        <v>11298</v>
      </c>
      <c r="G5566" t="s">
        <v>15104</v>
      </c>
      <c r="H5566" t="s">
        <v>20125</v>
      </c>
    </row>
    <row r="5567" spans="6:8">
      <c r="H5567" t="s">
        <v>20202</v>
      </c>
    </row>
    <row r="5568" spans="6:8">
      <c r="F5568" t="s">
        <v>10710</v>
      </c>
      <c r="G5568" t="s">
        <v>15109</v>
      </c>
      <c r="H5568" t="s">
        <v>20091</v>
      </c>
    </row>
    <row r="5569" spans="8:8">
      <c r="H5569" t="s">
        <v>19709</v>
      </c>
    </row>
    <row r="5570" spans="8:8">
      <c r="H5570" t="s">
        <v>19707</v>
      </c>
    </row>
    <row r="5571" spans="8:8">
      <c r="H5571" t="s">
        <v>19711</v>
      </c>
    </row>
    <row r="5572" spans="8:8">
      <c r="H5572" t="s">
        <v>20092</v>
      </c>
    </row>
    <row r="5573" spans="8:8">
      <c r="H5573" t="s">
        <v>20093</v>
      </c>
    </row>
    <row r="5574" spans="8:8">
      <c r="H5574" t="s">
        <v>20103</v>
      </c>
    </row>
    <row r="5575" spans="8:8">
      <c r="H5575" t="s">
        <v>20095</v>
      </c>
    </row>
    <row r="5576" spans="8:8">
      <c r="H5576" t="s">
        <v>20097</v>
      </c>
    </row>
    <row r="5577" spans="8:8">
      <c r="H5577" t="s">
        <v>20098</v>
      </c>
    </row>
    <row r="5578" spans="8:8">
      <c r="H5578" t="s">
        <v>20099</v>
      </c>
    </row>
    <row r="5579" spans="8:8">
      <c r="H5579" t="s">
        <v>20100</v>
      </c>
    </row>
    <row r="5580" spans="8:8">
      <c r="H5580" t="s">
        <v>20102</v>
      </c>
    </row>
    <row r="5581" spans="8:8">
      <c r="H5581" t="s">
        <v>20104</v>
      </c>
    </row>
    <row r="5582" spans="8:8">
      <c r="H5582" t="s">
        <v>20105</v>
      </c>
    </row>
    <row r="5583" spans="8:8">
      <c r="H5583" t="s">
        <v>20124</v>
      </c>
    </row>
    <row r="5584" spans="8:8">
      <c r="H5584" t="s">
        <v>20192</v>
      </c>
    </row>
    <row r="5585" spans="6:8">
      <c r="H5585" t="s">
        <v>20193</v>
      </c>
    </row>
    <row r="5586" spans="6:8">
      <c r="H5586" t="s">
        <v>20194</v>
      </c>
    </row>
    <row r="5587" spans="6:8">
      <c r="H5587" t="s">
        <v>19177</v>
      </c>
    </row>
    <row r="5588" spans="6:8">
      <c r="H5588" t="s">
        <v>20196</v>
      </c>
    </row>
    <row r="5589" spans="6:8">
      <c r="H5589" t="s">
        <v>20197</v>
      </c>
    </row>
    <row r="5590" spans="6:8">
      <c r="H5590" t="s">
        <v>20198</v>
      </c>
    </row>
    <row r="5591" spans="6:8">
      <c r="F5591" t="s">
        <v>11299</v>
      </c>
      <c r="G5591" t="s">
        <v>15104</v>
      </c>
      <c r="H5591" t="s">
        <v>20125</v>
      </c>
    </row>
    <row r="5592" spans="6:8">
      <c r="H5592" t="s">
        <v>20202</v>
      </c>
    </row>
    <row r="5593" spans="6:8">
      <c r="F5593" t="s">
        <v>10711</v>
      </c>
      <c r="G5593" t="s">
        <v>15110</v>
      </c>
      <c r="H5593" t="s">
        <v>20091</v>
      </c>
    </row>
    <row r="5594" spans="6:8">
      <c r="H5594" t="s">
        <v>19709</v>
      </c>
    </row>
    <row r="5595" spans="6:8">
      <c r="H5595" t="s">
        <v>19707</v>
      </c>
    </row>
    <row r="5596" spans="6:8">
      <c r="H5596" t="s">
        <v>19711</v>
      </c>
    </row>
    <row r="5597" spans="6:8">
      <c r="H5597" t="s">
        <v>19708</v>
      </c>
    </row>
    <row r="5598" spans="6:8">
      <c r="H5598" t="s">
        <v>20092</v>
      </c>
    </row>
    <row r="5599" spans="6:8">
      <c r="H5599" t="s">
        <v>20093</v>
      </c>
    </row>
    <row r="5600" spans="6:8">
      <c r="H5600" t="s">
        <v>20103</v>
      </c>
    </row>
    <row r="5601" spans="8:8">
      <c r="H5601" t="s">
        <v>20095</v>
      </c>
    </row>
    <row r="5602" spans="8:8">
      <c r="H5602" t="s">
        <v>20097</v>
      </c>
    </row>
    <row r="5603" spans="8:8">
      <c r="H5603" t="s">
        <v>20098</v>
      </c>
    </row>
    <row r="5604" spans="8:8">
      <c r="H5604" t="s">
        <v>20099</v>
      </c>
    </row>
    <row r="5605" spans="8:8">
      <c r="H5605" t="s">
        <v>20100</v>
      </c>
    </row>
    <row r="5606" spans="8:8">
      <c r="H5606" t="s">
        <v>20102</v>
      </c>
    </row>
    <row r="5607" spans="8:8">
      <c r="H5607" t="s">
        <v>20104</v>
      </c>
    </row>
    <row r="5608" spans="8:8">
      <c r="H5608" t="s">
        <v>20105</v>
      </c>
    </row>
    <row r="5609" spans="8:8">
      <c r="H5609" t="s">
        <v>20124</v>
      </c>
    </row>
    <row r="5610" spans="8:8">
      <c r="H5610" t="s">
        <v>20192</v>
      </c>
    </row>
    <row r="5611" spans="8:8">
      <c r="H5611" t="s">
        <v>20193</v>
      </c>
    </row>
    <row r="5612" spans="8:8">
      <c r="H5612" t="s">
        <v>20194</v>
      </c>
    </row>
    <row r="5613" spans="8:8">
      <c r="H5613" t="s">
        <v>19177</v>
      </c>
    </row>
    <row r="5614" spans="8:8">
      <c r="H5614" t="s">
        <v>20196</v>
      </c>
    </row>
    <row r="5615" spans="8:8">
      <c r="H5615" t="s">
        <v>20197</v>
      </c>
    </row>
    <row r="5616" spans="8:8">
      <c r="H5616" t="s">
        <v>20198</v>
      </c>
    </row>
    <row r="5617" spans="6:8">
      <c r="F5617" t="s">
        <v>11300</v>
      </c>
      <c r="G5617" t="s">
        <v>15259</v>
      </c>
      <c r="H5617" t="s">
        <v>20091</v>
      </c>
    </row>
    <row r="5618" spans="6:8">
      <c r="H5618" t="s">
        <v>19712</v>
      </c>
    </row>
    <row r="5619" spans="6:8">
      <c r="H5619" t="s">
        <v>19709</v>
      </c>
    </row>
    <row r="5620" spans="6:8">
      <c r="H5620" t="s">
        <v>19706</v>
      </c>
    </row>
    <row r="5621" spans="6:8">
      <c r="H5621" t="s">
        <v>19711</v>
      </c>
    </row>
    <row r="5622" spans="6:8">
      <c r="H5622" t="s">
        <v>20093</v>
      </c>
    </row>
    <row r="5623" spans="6:8">
      <c r="H5623" t="s">
        <v>20095</v>
      </c>
    </row>
    <row r="5624" spans="6:8">
      <c r="H5624" t="s">
        <v>20096</v>
      </c>
    </row>
    <row r="5625" spans="6:8">
      <c r="H5625" t="s">
        <v>20099</v>
      </c>
    </row>
    <row r="5626" spans="6:8">
      <c r="H5626" t="s">
        <v>20101</v>
      </c>
    </row>
    <row r="5627" spans="6:8">
      <c r="H5627" t="s">
        <v>20102</v>
      </c>
    </row>
    <row r="5628" spans="6:8">
      <c r="H5628" t="s">
        <v>20104</v>
      </c>
    </row>
    <row r="5629" spans="6:8">
      <c r="H5629" t="s">
        <v>20105</v>
      </c>
    </row>
    <row r="5630" spans="6:8">
      <c r="H5630" t="s">
        <v>20123</v>
      </c>
    </row>
    <row r="5631" spans="6:8">
      <c r="H5631" t="s">
        <v>20124</v>
      </c>
    </row>
    <row r="5632" spans="6:8">
      <c r="H5632" t="s">
        <v>20192</v>
      </c>
    </row>
    <row r="5633" spans="6:8">
      <c r="H5633" t="s">
        <v>20193</v>
      </c>
    </row>
    <row r="5634" spans="6:8">
      <c r="H5634" t="s">
        <v>20194</v>
      </c>
    </row>
    <row r="5635" spans="6:8">
      <c r="H5635" t="s">
        <v>19177</v>
      </c>
    </row>
    <row r="5636" spans="6:8">
      <c r="H5636" t="s">
        <v>20196</v>
      </c>
    </row>
    <row r="5637" spans="6:8">
      <c r="H5637" t="s">
        <v>20197</v>
      </c>
    </row>
    <row r="5638" spans="6:8">
      <c r="H5638" t="s">
        <v>20195</v>
      </c>
    </row>
    <row r="5639" spans="6:8">
      <c r="H5639" t="s">
        <v>20116</v>
      </c>
    </row>
    <row r="5640" spans="6:8">
      <c r="F5640" t="s">
        <v>11301</v>
      </c>
      <c r="G5640" t="s">
        <v>15614</v>
      </c>
      <c r="H5640" t="s">
        <v>20091</v>
      </c>
    </row>
    <row r="5641" spans="6:8">
      <c r="H5641" t="s">
        <v>19712</v>
      </c>
    </row>
    <row r="5642" spans="6:8">
      <c r="H5642" t="s">
        <v>19706</v>
      </c>
    </row>
    <row r="5643" spans="6:8">
      <c r="H5643" t="s">
        <v>20093</v>
      </c>
    </row>
    <row r="5644" spans="6:8">
      <c r="H5644" t="s">
        <v>20095</v>
      </c>
    </row>
    <row r="5645" spans="6:8">
      <c r="H5645" t="s">
        <v>20096</v>
      </c>
    </row>
    <row r="5646" spans="6:8">
      <c r="H5646" t="s">
        <v>20099</v>
      </c>
    </row>
    <row r="5647" spans="6:8">
      <c r="H5647" t="s">
        <v>20100</v>
      </c>
    </row>
    <row r="5648" spans="6:8">
      <c r="H5648" t="s">
        <v>20101</v>
      </c>
    </row>
    <row r="5649" spans="6:8">
      <c r="H5649" t="s">
        <v>20102</v>
      </c>
    </row>
    <row r="5650" spans="6:8">
      <c r="H5650" t="s">
        <v>20104</v>
      </c>
    </row>
    <row r="5651" spans="6:8">
      <c r="H5651" t="s">
        <v>20105</v>
      </c>
    </row>
    <row r="5652" spans="6:8">
      <c r="H5652" t="s">
        <v>20123</v>
      </c>
    </row>
    <row r="5653" spans="6:8">
      <c r="H5653" t="s">
        <v>20124</v>
      </c>
    </row>
    <row r="5654" spans="6:8">
      <c r="H5654" t="s">
        <v>20192</v>
      </c>
    </row>
    <row r="5655" spans="6:8">
      <c r="H5655" t="s">
        <v>20193</v>
      </c>
    </row>
    <row r="5656" spans="6:8">
      <c r="H5656" t="s">
        <v>20194</v>
      </c>
    </row>
    <row r="5657" spans="6:8">
      <c r="H5657" t="s">
        <v>19177</v>
      </c>
    </row>
    <row r="5658" spans="6:8">
      <c r="H5658" t="s">
        <v>20196</v>
      </c>
    </row>
    <row r="5659" spans="6:8">
      <c r="H5659" t="s">
        <v>20197</v>
      </c>
    </row>
    <row r="5660" spans="6:8">
      <c r="H5660" t="s">
        <v>20195</v>
      </c>
    </row>
    <row r="5661" spans="6:8">
      <c r="H5661" t="s">
        <v>20198</v>
      </c>
    </row>
    <row r="5662" spans="6:8">
      <c r="F5662" t="s">
        <v>11302</v>
      </c>
      <c r="G5662" t="s">
        <v>15615</v>
      </c>
      <c r="H5662" t="s">
        <v>20091</v>
      </c>
    </row>
    <row r="5663" spans="6:8">
      <c r="H5663" t="s">
        <v>19712</v>
      </c>
    </row>
    <row r="5664" spans="6:8">
      <c r="H5664" t="s">
        <v>19706</v>
      </c>
    </row>
    <row r="5665" spans="8:8">
      <c r="H5665" t="s">
        <v>20093</v>
      </c>
    </row>
    <row r="5666" spans="8:8">
      <c r="H5666" t="s">
        <v>20095</v>
      </c>
    </row>
    <row r="5667" spans="8:8">
      <c r="H5667" t="s">
        <v>20096</v>
      </c>
    </row>
    <row r="5668" spans="8:8">
      <c r="H5668" t="s">
        <v>20099</v>
      </c>
    </row>
    <row r="5669" spans="8:8">
      <c r="H5669" t="s">
        <v>20100</v>
      </c>
    </row>
    <row r="5670" spans="8:8">
      <c r="H5670" t="s">
        <v>20101</v>
      </c>
    </row>
    <row r="5671" spans="8:8">
      <c r="H5671" t="s">
        <v>20102</v>
      </c>
    </row>
    <row r="5672" spans="8:8">
      <c r="H5672" t="s">
        <v>20104</v>
      </c>
    </row>
    <row r="5673" spans="8:8">
      <c r="H5673" t="s">
        <v>20105</v>
      </c>
    </row>
    <row r="5674" spans="8:8">
      <c r="H5674" t="s">
        <v>20123</v>
      </c>
    </row>
    <row r="5675" spans="8:8">
      <c r="H5675" t="s">
        <v>20124</v>
      </c>
    </row>
    <row r="5676" spans="8:8">
      <c r="H5676" t="s">
        <v>20192</v>
      </c>
    </row>
    <row r="5677" spans="8:8">
      <c r="H5677" t="s">
        <v>20193</v>
      </c>
    </row>
    <row r="5678" spans="8:8">
      <c r="H5678" t="s">
        <v>20194</v>
      </c>
    </row>
    <row r="5679" spans="8:8">
      <c r="H5679" t="s">
        <v>19177</v>
      </c>
    </row>
    <row r="5680" spans="8:8">
      <c r="H5680" t="s">
        <v>20196</v>
      </c>
    </row>
    <row r="5681" spans="6:8">
      <c r="H5681" t="s">
        <v>20197</v>
      </c>
    </row>
    <row r="5682" spans="6:8">
      <c r="H5682" t="s">
        <v>20195</v>
      </c>
    </row>
    <row r="5683" spans="6:8">
      <c r="H5683" t="s">
        <v>20198</v>
      </c>
    </row>
    <row r="5684" spans="6:8">
      <c r="F5684" t="s">
        <v>11303</v>
      </c>
      <c r="G5684" t="s">
        <v>15616</v>
      </c>
      <c r="H5684" t="s">
        <v>20091</v>
      </c>
    </row>
    <row r="5685" spans="6:8">
      <c r="H5685" t="s">
        <v>19712</v>
      </c>
    </row>
    <row r="5686" spans="6:8">
      <c r="H5686" t="s">
        <v>19706</v>
      </c>
    </row>
    <row r="5687" spans="6:8">
      <c r="H5687" t="s">
        <v>20093</v>
      </c>
    </row>
    <row r="5688" spans="6:8">
      <c r="H5688" t="s">
        <v>20095</v>
      </c>
    </row>
    <row r="5689" spans="6:8">
      <c r="H5689" t="s">
        <v>20096</v>
      </c>
    </row>
    <row r="5690" spans="6:8">
      <c r="H5690" t="s">
        <v>20099</v>
      </c>
    </row>
    <row r="5691" spans="6:8">
      <c r="H5691" t="s">
        <v>20100</v>
      </c>
    </row>
    <row r="5692" spans="6:8">
      <c r="H5692" t="s">
        <v>20101</v>
      </c>
    </row>
    <row r="5693" spans="6:8">
      <c r="H5693" t="s">
        <v>20102</v>
      </c>
    </row>
    <row r="5694" spans="6:8">
      <c r="H5694" t="s">
        <v>20104</v>
      </c>
    </row>
    <row r="5695" spans="6:8">
      <c r="H5695" t="s">
        <v>20105</v>
      </c>
    </row>
    <row r="5696" spans="6:8">
      <c r="H5696" t="s">
        <v>20123</v>
      </c>
    </row>
    <row r="5697" spans="6:8">
      <c r="H5697" t="s">
        <v>20124</v>
      </c>
    </row>
    <row r="5698" spans="6:8">
      <c r="H5698" t="s">
        <v>20192</v>
      </c>
    </row>
    <row r="5699" spans="6:8">
      <c r="H5699" t="s">
        <v>20193</v>
      </c>
    </row>
    <row r="5700" spans="6:8">
      <c r="H5700" t="s">
        <v>20194</v>
      </c>
    </row>
    <row r="5701" spans="6:8">
      <c r="H5701" t="s">
        <v>19177</v>
      </c>
    </row>
    <row r="5702" spans="6:8">
      <c r="H5702" t="s">
        <v>20196</v>
      </c>
    </row>
    <row r="5703" spans="6:8">
      <c r="H5703" t="s">
        <v>20197</v>
      </c>
    </row>
    <row r="5704" spans="6:8">
      <c r="H5704" t="s">
        <v>20195</v>
      </c>
    </row>
    <row r="5705" spans="6:8">
      <c r="H5705" t="s">
        <v>20198</v>
      </c>
    </row>
    <row r="5706" spans="6:8">
      <c r="F5706" t="s">
        <v>11304</v>
      </c>
      <c r="G5706" t="s">
        <v>15617</v>
      </c>
      <c r="H5706" t="s">
        <v>20091</v>
      </c>
    </row>
    <row r="5707" spans="6:8">
      <c r="H5707" t="s">
        <v>19712</v>
      </c>
    </row>
    <row r="5708" spans="6:8">
      <c r="H5708" t="s">
        <v>19706</v>
      </c>
    </row>
    <row r="5709" spans="6:8">
      <c r="H5709" t="s">
        <v>20093</v>
      </c>
    </row>
    <row r="5710" spans="6:8">
      <c r="H5710" t="s">
        <v>20095</v>
      </c>
    </row>
    <row r="5711" spans="6:8">
      <c r="H5711" t="s">
        <v>20096</v>
      </c>
    </row>
    <row r="5712" spans="6:8">
      <c r="H5712" t="s">
        <v>20099</v>
      </c>
    </row>
    <row r="5713" spans="6:8">
      <c r="H5713" t="s">
        <v>20101</v>
      </c>
    </row>
    <row r="5714" spans="6:8">
      <c r="H5714" t="s">
        <v>20102</v>
      </c>
    </row>
    <row r="5715" spans="6:8">
      <c r="H5715" t="s">
        <v>20104</v>
      </c>
    </row>
    <row r="5716" spans="6:8">
      <c r="H5716" t="s">
        <v>20105</v>
      </c>
    </row>
    <row r="5717" spans="6:8">
      <c r="H5717" t="s">
        <v>20123</v>
      </c>
    </row>
    <row r="5718" spans="6:8">
      <c r="H5718" t="s">
        <v>20124</v>
      </c>
    </row>
    <row r="5719" spans="6:8">
      <c r="H5719" t="s">
        <v>20192</v>
      </c>
    </row>
    <row r="5720" spans="6:8">
      <c r="H5720" t="s">
        <v>20193</v>
      </c>
    </row>
    <row r="5721" spans="6:8">
      <c r="H5721" t="s">
        <v>20194</v>
      </c>
    </row>
    <row r="5722" spans="6:8">
      <c r="H5722" t="s">
        <v>19177</v>
      </c>
    </row>
    <row r="5723" spans="6:8">
      <c r="H5723" t="s">
        <v>20196</v>
      </c>
    </row>
    <row r="5724" spans="6:8">
      <c r="H5724" t="s">
        <v>20197</v>
      </c>
    </row>
    <row r="5725" spans="6:8">
      <c r="H5725" t="s">
        <v>20100</v>
      </c>
    </row>
    <row r="5726" spans="6:8">
      <c r="H5726" t="s">
        <v>20195</v>
      </c>
    </row>
    <row r="5727" spans="6:8">
      <c r="H5727" t="s">
        <v>20198</v>
      </c>
    </row>
    <row r="5728" spans="6:8">
      <c r="F5728" t="s">
        <v>11305</v>
      </c>
      <c r="G5728" t="s">
        <v>15618</v>
      </c>
      <c r="H5728" t="s">
        <v>20091</v>
      </c>
    </row>
    <row r="5729" spans="8:8">
      <c r="H5729" t="s">
        <v>19712</v>
      </c>
    </row>
    <row r="5730" spans="8:8">
      <c r="H5730" t="s">
        <v>19706</v>
      </c>
    </row>
    <row r="5731" spans="8:8">
      <c r="H5731" t="s">
        <v>20093</v>
      </c>
    </row>
    <row r="5732" spans="8:8">
      <c r="H5732" t="s">
        <v>20095</v>
      </c>
    </row>
    <row r="5733" spans="8:8">
      <c r="H5733" t="s">
        <v>20096</v>
      </c>
    </row>
    <row r="5734" spans="8:8">
      <c r="H5734" t="s">
        <v>20099</v>
      </c>
    </row>
    <row r="5735" spans="8:8">
      <c r="H5735" t="s">
        <v>20100</v>
      </c>
    </row>
    <row r="5736" spans="8:8">
      <c r="H5736" t="s">
        <v>20101</v>
      </c>
    </row>
    <row r="5737" spans="8:8">
      <c r="H5737" t="s">
        <v>20102</v>
      </c>
    </row>
    <row r="5738" spans="8:8">
      <c r="H5738" t="s">
        <v>20104</v>
      </c>
    </row>
    <row r="5739" spans="8:8">
      <c r="H5739" t="s">
        <v>20105</v>
      </c>
    </row>
    <row r="5740" spans="8:8">
      <c r="H5740" t="s">
        <v>20123</v>
      </c>
    </row>
    <row r="5741" spans="8:8">
      <c r="H5741" t="s">
        <v>20124</v>
      </c>
    </row>
    <row r="5742" spans="8:8">
      <c r="H5742" t="s">
        <v>20192</v>
      </c>
    </row>
    <row r="5743" spans="8:8">
      <c r="H5743" t="s">
        <v>20193</v>
      </c>
    </row>
    <row r="5744" spans="8:8">
      <c r="H5744" t="s">
        <v>20194</v>
      </c>
    </row>
    <row r="5745" spans="6:8">
      <c r="H5745" t="s">
        <v>19177</v>
      </c>
    </row>
    <row r="5746" spans="6:8">
      <c r="H5746" t="s">
        <v>20196</v>
      </c>
    </row>
    <row r="5747" spans="6:8">
      <c r="H5747" t="s">
        <v>20197</v>
      </c>
    </row>
    <row r="5748" spans="6:8">
      <c r="H5748" t="s">
        <v>20195</v>
      </c>
    </row>
    <row r="5749" spans="6:8">
      <c r="H5749" t="s">
        <v>20198</v>
      </c>
    </row>
    <row r="5750" spans="6:8">
      <c r="F5750" t="s">
        <v>11306</v>
      </c>
      <c r="G5750" t="s">
        <v>15619</v>
      </c>
      <c r="H5750" t="s">
        <v>20091</v>
      </c>
    </row>
    <row r="5751" spans="6:8">
      <c r="H5751" t="s">
        <v>19712</v>
      </c>
    </row>
    <row r="5752" spans="6:8">
      <c r="H5752" t="s">
        <v>19709</v>
      </c>
    </row>
    <row r="5753" spans="6:8">
      <c r="H5753" t="s">
        <v>19706</v>
      </c>
    </row>
    <row r="5754" spans="6:8">
      <c r="H5754" t="s">
        <v>20093</v>
      </c>
    </row>
    <row r="5755" spans="6:8">
      <c r="H5755" t="s">
        <v>20095</v>
      </c>
    </row>
    <row r="5756" spans="6:8">
      <c r="H5756" t="s">
        <v>20096</v>
      </c>
    </row>
    <row r="5757" spans="6:8">
      <c r="H5757" t="s">
        <v>20099</v>
      </c>
    </row>
    <row r="5758" spans="6:8">
      <c r="H5758" t="s">
        <v>20101</v>
      </c>
    </row>
    <row r="5759" spans="6:8">
      <c r="H5759" t="s">
        <v>20102</v>
      </c>
    </row>
    <row r="5760" spans="6:8">
      <c r="H5760" t="s">
        <v>20104</v>
      </c>
    </row>
    <row r="5761" spans="6:8">
      <c r="H5761" t="s">
        <v>20105</v>
      </c>
    </row>
    <row r="5762" spans="6:8">
      <c r="H5762" t="s">
        <v>20123</v>
      </c>
    </row>
    <row r="5763" spans="6:8">
      <c r="H5763" t="s">
        <v>20124</v>
      </c>
    </row>
    <row r="5764" spans="6:8">
      <c r="H5764" t="s">
        <v>20192</v>
      </c>
    </row>
    <row r="5765" spans="6:8">
      <c r="H5765" t="s">
        <v>20193</v>
      </c>
    </row>
    <row r="5766" spans="6:8">
      <c r="H5766" t="s">
        <v>20194</v>
      </c>
    </row>
    <row r="5767" spans="6:8">
      <c r="H5767" t="s">
        <v>19177</v>
      </c>
    </row>
    <row r="5768" spans="6:8">
      <c r="H5768" t="s">
        <v>20196</v>
      </c>
    </row>
    <row r="5769" spans="6:8">
      <c r="H5769" t="s">
        <v>20197</v>
      </c>
    </row>
    <row r="5770" spans="6:8">
      <c r="H5770" t="s">
        <v>20100</v>
      </c>
    </row>
    <row r="5771" spans="6:8">
      <c r="H5771" t="s">
        <v>20195</v>
      </c>
    </row>
    <row r="5772" spans="6:8">
      <c r="H5772" t="s">
        <v>20116</v>
      </c>
    </row>
    <row r="5773" spans="6:8">
      <c r="F5773" t="s">
        <v>11307</v>
      </c>
      <c r="G5773" t="s">
        <v>15260</v>
      </c>
      <c r="H5773" t="s">
        <v>20091</v>
      </c>
    </row>
    <row r="5774" spans="6:8">
      <c r="H5774" t="s">
        <v>19712</v>
      </c>
    </row>
    <row r="5775" spans="6:8">
      <c r="H5775" t="s">
        <v>19709</v>
      </c>
    </row>
    <row r="5776" spans="6:8">
      <c r="H5776" t="s">
        <v>19706</v>
      </c>
    </row>
    <row r="5777" spans="6:8">
      <c r="H5777" t="s">
        <v>20107</v>
      </c>
    </row>
    <row r="5778" spans="6:8">
      <c r="H5778" t="s">
        <v>20108</v>
      </c>
    </row>
    <row r="5779" spans="6:8">
      <c r="H5779" t="s">
        <v>19713</v>
      </c>
    </row>
    <row r="5780" spans="6:8">
      <c r="H5780" t="s">
        <v>20095</v>
      </c>
    </row>
    <row r="5781" spans="6:8">
      <c r="H5781" t="s">
        <v>20096</v>
      </c>
    </row>
    <row r="5782" spans="6:8">
      <c r="H5782" t="s">
        <v>20097</v>
      </c>
    </row>
    <row r="5783" spans="6:8">
      <c r="H5783" t="s">
        <v>20098</v>
      </c>
    </row>
    <row r="5784" spans="6:8">
      <c r="F5784" t="s">
        <v>11308</v>
      </c>
      <c r="G5784" t="s">
        <v>15261</v>
      </c>
      <c r="H5784" t="s">
        <v>20091</v>
      </c>
    </row>
    <row r="5785" spans="6:8">
      <c r="H5785" t="s">
        <v>19712</v>
      </c>
    </row>
    <row r="5786" spans="6:8">
      <c r="H5786" t="s">
        <v>19709</v>
      </c>
    </row>
    <row r="5787" spans="6:8">
      <c r="H5787" t="s">
        <v>19706</v>
      </c>
    </row>
    <row r="5788" spans="6:8">
      <c r="H5788" t="s">
        <v>20107</v>
      </c>
    </row>
    <row r="5789" spans="6:8">
      <c r="H5789" t="s">
        <v>20108</v>
      </c>
    </row>
    <row r="5790" spans="6:8">
      <c r="H5790" t="s">
        <v>19713</v>
      </c>
    </row>
    <row r="5791" spans="6:8">
      <c r="H5791" t="s">
        <v>20096</v>
      </c>
    </row>
    <row r="5792" spans="6:8">
      <c r="H5792" t="s">
        <v>20097</v>
      </c>
    </row>
    <row r="5793" spans="6:8">
      <c r="H5793" t="s">
        <v>20098</v>
      </c>
    </row>
    <row r="5794" spans="6:8">
      <c r="F5794" t="s">
        <v>11309</v>
      </c>
      <c r="G5794" t="s">
        <v>15262</v>
      </c>
      <c r="H5794" t="s">
        <v>20091</v>
      </c>
    </row>
    <row r="5795" spans="6:8">
      <c r="H5795" t="s">
        <v>19712</v>
      </c>
    </row>
    <row r="5796" spans="6:8">
      <c r="H5796" t="s">
        <v>19709</v>
      </c>
    </row>
    <row r="5797" spans="6:8">
      <c r="H5797" t="s">
        <v>19706</v>
      </c>
    </row>
    <row r="5798" spans="6:8">
      <c r="H5798" t="s">
        <v>19707</v>
      </c>
    </row>
    <row r="5799" spans="6:8">
      <c r="H5799" t="s">
        <v>20107</v>
      </c>
    </row>
    <row r="5800" spans="6:8">
      <c r="H5800" t="s">
        <v>20108</v>
      </c>
    </row>
    <row r="5801" spans="6:8">
      <c r="H5801" t="s">
        <v>19713</v>
      </c>
    </row>
    <row r="5802" spans="6:8">
      <c r="H5802" t="s">
        <v>20095</v>
      </c>
    </row>
    <row r="5803" spans="6:8">
      <c r="H5803" t="s">
        <v>20096</v>
      </c>
    </row>
    <row r="5804" spans="6:8">
      <c r="H5804" t="s">
        <v>20097</v>
      </c>
    </row>
    <row r="5805" spans="6:8">
      <c r="H5805" t="s">
        <v>20098</v>
      </c>
    </row>
    <row r="5806" spans="6:8">
      <c r="F5806" t="s">
        <v>11310</v>
      </c>
      <c r="G5806" t="s">
        <v>15620</v>
      </c>
      <c r="H5806" t="s">
        <v>20091</v>
      </c>
    </row>
    <row r="5807" spans="6:8">
      <c r="H5807" t="s">
        <v>19712</v>
      </c>
    </row>
    <row r="5808" spans="6:8">
      <c r="H5808" t="s">
        <v>20092</v>
      </c>
    </row>
    <row r="5809" spans="6:8">
      <c r="H5809" t="s">
        <v>20095</v>
      </c>
    </row>
    <row r="5810" spans="6:8">
      <c r="H5810" t="s">
        <v>20096</v>
      </c>
    </row>
    <row r="5811" spans="6:8">
      <c r="H5811" t="s">
        <v>20097</v>
      </c>
    </row>
    <row r="5812" spans="6:8">
      <c r="H5812" t="s">
        <v>20098</v>
      </c>
    </row>
    <row r="5813" spans="6:8">
      <c r="H5813" t="s">
        <v>20099</v>
      </c>
    </row>
    <row r="5814" spans="6:8">
      <c r="H5814" t="s">
        <v>20131</v>
      </c>
    </row>
    <row r="5815" spans="6:8">
      <c r="H5815" t="s">
        <v>18927</v>
      </c>
    </row>
    <row r="5816" spans="6:8">
      <c r="H5816" t="s">
        <v>20132</v>
      </c>
    </row>
    <row r="5817" spans="6:8">
      <c r="H5817" t="s">
        <v>18927</v>
      </c>
    </row>
    <row r="5818" spans="6:8">
      <c r="F5818" t="s">
        <v>11311</v>
      </c>
      <c r="G5818" t="s">
        <v>15621</v>
      </c>
      <c r="H5818" t="s">
        <v>20092</v>
      </c>
    </row>
    <row r="5819" spans="6:8">
      <c r="H5819" t="s">
        <v>20094</v>
      </c>
    </row>
    <row r="5820" spans="6:8">
      <c r="H5820" t="s">
        <v>20095</v>
      </c>
    </row>
    <row r="5821" spans="6:8">
      <c r="H5821" t="s">
        <v>20096</v>
      </c>
    </row>
    <row r="5822" spans="6:8">
      <c r="H5822" t="s">
        <v>20097</v>
      </c>
    </row>
    <row r="5823" spans="6:8">
      <c r="H5823" t="s">
        <v>20098</v>
      </c>
    </row>
    <row r="5824" spans="6:8">
      <c r="H5824" t="s">
        <v>20099</v>
      </c>
    </row>
    <row r="5825" spans="6:8">
      <c r="H5825" t="s">
        <v>20131</v>
      </c>
    </row>
    <row r="5826" spans="6:8">
      <c r="H5826" t="s">
        <v>18927</v>
      </c>
    </row>
    <row r="5827" spans="6:8">
      <c r="F5827" t="s">
        <v>11312</v>
      </c>
      <c r="G5827" t="s">
        <v>15622</v>
      </c>
      <c r="H5827" t="s">
        <v>20091</v>
      </c>
    </row>
    <row r="5828" spans="6:8">
      <c r="H5828" t="s">
        <v>20095</v>
      </c>
    </row>
    <row r="5829" spans="6:8">
      <c r="H5829" t="s">
        <v>20096</v>
      </c>
    </row>
    <row r="5830" spans="6:8">
      <c r="H5830" t="s">
        <v>20097</v>
      </c>
    </row>
    <row r="5831" spans="6:8">
      <c r="H5831" t="s">
        <v>20098</v>
      </c>
    </row>
    <row r="5832" spans="6:8">
      <c r="H5832" t="s">
        <v>20099</v>
      </c>
    </row>
    <row r="5833" spans="6:8">
      <c r="H5833" t="s">
        <v>20100</v>
      </c>
    </row>
    <row r="5834" spans="6:8">
      <c r="F5834" t="s">
        <v>11313</v>
      </c>
      <c r="G5834" t="s">
        <v>15623</v>
      </c>
      <c r="H5834" t="s">
        <v>20091</v>
      </c>
    </row>
    <row r="5835" spans="6:8">
      <c r="H5835" t="s">
        <v>19712</v>
      </c>
    </row>
    <row r="5836" spans="6:8">
      <c r="H5836" t="s">
        <v>20095</v>
      </c>
    </row>
    <row r="5837" spans="6:8">
      <c r="H5837" t="s">
        <v>20096</v>
      </c>
    </row>
    <row r="5838" spans="6:8">
      <c r="H5838" t="s">
        <v>20097</v>
      </c>
    </row>
    <row r="5839" spans="6:8">
      <c r="H5839" t="s">
        <v>20098</v>
      </c>
    </row>
    <row r="5840" spans="6:8">
      <c r="H5840" t="s">
        <v>20099</v>
      </c>
    </row>
    <row r="5841" spans="6:8">
      <c r="H5841" t="s">
        <v>20100</v>
      </c>
    </row>
    <row r="5842" spans="6:8">
      <c r="F5842" t="s">
        <v>11314</v>
      </c>
      <c r="G5842" t="s">
        <v>15624</v>
      </c>
      <c r="H5842" t="s">
        <v>20091</v>
      </c>
    </row>
    <row r="5843" spans="6:8">
      <c r="H5843" t="s">
        <v>19712</v>
      </c>
    </row>
    <row r="5844" spans="6:8">
      <c r="H5844" t="s">
        <v>20095</v>
      </c>
    </row>
    <row r="5845" spans="6:8">
      <c r="H5845" t="s">
        <v>20097</v>
      </c>
    </row>
    <row r="5846" spans="6:8">
      <c r="F5846" t="s">
        <v>11315</v>
      </c>
      <c r="G5846" t="s">
        <v>15625</v>
      </c>
      <c r="H5846" t="s">
        <v>20091</v>
      </c>
    </row>
    <row r="5847" spans="6:8">
      <c r="H5847" t="s">
        <v>20095</v>
      </c>
    </row>
    <row r="5848" spans="6:8">
      <c r="H5848" t="s">
        <v>20096</v>
      </c>
    </row>
    <row r="5849" spans="6:8">
      <c r="H5849" t="s">
        <v>20097</v>
      </c>
    </row>
    <row r="5850" spans="6:8">
      <c r="H5850" t="s">
        <v>20098</v>
      </c>
    </row>
    <row r="5851" spans="6:8">
      <c r="H5851" t="s">
        <v>20099</v>
      </c>
    </row>
    <row r="5852" spans="6:8">
      <c r="H5852" t="s">
        <v>20100</v>
      </c>
    </row>
    <row r="5853" spans="6:8">
      <c r="F5853" t="s">
        <v>11316</v>
      </c>
      <c r="G5853" t="s">
        <v>15626</v>
      </c>
      <c r="H5853" t="s">
        <v>20091</v>
      </c>
    </row>
    <row r="5854" spans="6:8">
      <c r="H5854" t="s">
        <v>20095</v>
      </c>
    </row>
    <row r="5855" spans="6:8">
      <c r="H5855" t="s">
        <v>20096</v>
      </c>
    </row>
    <row r="5856" spans="6:8">
      <c r="H5856" t="s">
        <v>20097</v>
      </c>
    </row>
    <row r="5857" spans="6:8">
      <c r="H5857" t="s">
        <v>20098</v>
      </c>
    </row>
    <row r="5858" spans="6:8">
      <c r="H5858" t="s">
        <v>20099</v>
      </c>
    </row>
    <row r="5859" spans="6:8">
      <c r="H5859" t="s">
        <v>20100</v>
      </c>
    </row>
    <row r="5860" spans="6:8">
      <c r="F5860" t="s">
        <v>11317</v>
      </c>
      <c r="G5860" t="s">
        <v>15627</v>
      </c>
      <c r="H5860" t="s">
        <v>20091</v>
      </c>
    </row>
    <row r="5861" spans="6:8">
      <c r="H5861" t="s">
        <v>20095</v>
      </c>
    </row>
    <row r="5862" spans="6:8">
      <c r="H5862" t="s">
        <v>20096</v>
      </c>
    </row>
    <row r="5863" spans="6:8">
      <c r="H5863" t="s">
        <v>20097</v>
      </c>
    </row>
    <row r="5864" spans="6:8">
      <c r="H5864" t="s">
        <v>20098</v>
      </c>
    </row>
    <row r="5865" spans="6:8">
      <c r="H5865" t="s">
        <v>20099</v>
      </c>
    </row>
    <row r="5866" spans="6:8">
      <c r="H5866" t="s">
        <v>20100</v>
      </c>
    </row>
    <row r="5867" spans="6:8">
      <c r="F5867" t="s">
        <v>11318</v>
      </c>
      <c r="G5867" t="s">
        <v>15628</v>
      </c>
      <c r="H5867" t="s">
        <v>20091</v>
      </c>
    </row>
    <row r="5868" spans="6:8">
      <c r="H5868" t="s">
        <v>20095</v>
      </c>
    </row>
    <row r="5869" spans="6:8">
      <c r="H5869" t="s">
        <v>20096</v>
      </c>
    </row>
    <row r="5870" spans="6:8">
      <c r="H5870" t="s">
        <v>20097</v>
      </c>
    </row>
    <row r="5871" spans="6:8">
      <c r="H5871" t="s">
        <v>20098</v>
      </c>
    </row>
    <row r="5872" spans="6:8">
      <c r="H5872" t="s">
        <v>20099</v>
      </c>
    </row>
    <row r="5873" spans="6:8">
      <c r="H5873" t="s">
        <v>20100</v>
      </c>
    </row>
    <row r="5874" spans="6:8">
      <c r="F5874" t="s">
        <v>11319</v>
      </c>
      <c r="G5874" t="s">
        <v>15629</v>
      </c>
      <c r="H5874" t="s">
        <v>20091</v>
      </c>
    </row>
    <row r="5875" spans="6:8">
      <c r="H5875" t="s">
        <v>20095</v>
      </c>
    </row>
    <row r="5876" spans="6:8">
      <c r="H5876" t="s">
        <v>20096</v>
      </c>
    </row>
    <row r="5877" spans="6:8">
      <c r="H5877" t="s">
        <v>20097</v>
      </c>
    </row>
    <row r="5878" spans="6:8">
      <c r="H5878" t="s">
        <v>20098</v>
      </c>
    </row>
    <row r="5879" spans="6:8">
      <c r="H5879" t="s">
        <v>20099</v>
      </c>
    </row>
    <row r="5880" spans="6:8">
      <c r="H5880" t="s">
        <v>20100</v>
      </c>
    </row>
    <row r="5881" spans="6:8">
      <c r="H5881" t="s">
        <v>20101</v>
      </c>
    </row>
    <row r="5882" spans="6:8">
      <c r="F5882" t="s">
        <v>11320</v>
      </c>
      <c r="G5882" t="s">
        <v>15630</v>
      </c>
      <c r="H5882" t="s">
        <v>20091</v>
      </c>
    </row>
    <row r="5883" spans="6:8">
      <c r="H5883" t="s">
        <v>19712</v>
      </c>
    </row>
    <row r="5884" spans="6:8">
      <c r="H5884" t="s">
        <v>20095</v>
      </c>
    </row>
    <row r="5885" spans="6:8">
      <c r="H5885" t="s">
        <v>20096</v>
      </c>
    </row>
    <row r="5886" spans="6:8">
      <c r="H5886" t="s">
        <v>20097</v>
      </c>
    </row>
    <row r="5887" spans="6:8">
      <c r="H5887" t="s">
        <v>20098</v>
      </c>
    </row>
    <row r="5888" spans="6:8">
      <c r="H5888" t="s">
        <v>20099</v>
      </c>
    </row>
    <row r="5889" spans="6:8">
      <c r="H5889" t="s">
        <v>20100</v>
      </c>
    </row>
    <row r="5890" spans="6:8">
      <c r="H5890" t="s">
        <v>20101</v>
      </c>
    </row>
    <row r="5891" spans="6:8">
      <c r="F5891" t="s">
        <v>11321</v>
      </c>
      <c r="G5891" t="s">
        <v>15631</v>
      </c>
      <c r="H5891" t="s">
        <v>20091</v>
      </c>
    </row>
    <row r="5892" spans="6:8">
      <c r="H5892" t="s">
        <v>20095</v>
      </c>
    </row>
    <row r="5893" spans="6:8">
      <c r="H5893" t="s">
        <v>20096</v>
      </c>
    </row>
    <row r="5894" spans="6:8">
      <c r="H5894" t="s">
        <v>20097</v>
      </c>
    </row>
    <row r="5895" spans="6:8">
      <c r="H5895" t="s">
        <v>20098</v>
      </c>
    </row>
    <row r="5896" spans="6:8">
      <c r="H5896" t="s">
        <v>20099</v>
      </c>
    </row>
    <row r="5897" spans="6:8">
      <c r="H5897" t="s">
        <v>20100</v>
      </c>
    </row>
    <row r="5898" spans="6:8">
      <c r="H5898" t="s">
        <v>20101</v>
      </c>
    </row>
    <row r="5899" spans="6:8">
      <c r="F5899" t="s">
        <v>11322</v>
      </c>
      <c r="G5899" t="s">
        <v>15632</v>
      </c>
      <c r="H5899" t="s">
        <v>20091</v>
      </c>
    </row>
    <row r="5900" spans="6:8">
      <c r="H5900" t="s">
        <v>19712</v>
      </c>
    </row>
    <row r="5901" spans="6:8">
      <c r="H5901" t="s">
        <v>20095</v>
      </c>
    </row>
    <row r="5902" spans="6:8">
      <c r="H5902" t="s">
        <v>20096</v>
      </c>
    </row>
    <row r="5903" spans="6:8">
      <c r="H5903" t="s">
        <v>20097</v>
      </c>
    </row>
    <row r="5904" spans="6:8">
      <c r="H5904" t="s">
        <v>20098</v>
      </c>
    </row>
    <row r="5905" spans="6:8">
      <c r="H5905" t="s">
        <v>20100</v>
      </c>
    </row>
    <row r="5906" spans="6:8">
      <c r="F5906" t="s">
        <v>11323</v>
      </c>
      <c r="G5906" t="s">
        <v>15633</v>
      </c>
      <c r="H5906" t="s">
        <v>20091</v>
      </c>
    </row>
    <row r="5907" spans="6:8">
      <c r="H5907" t="s">
        <v>19712</v>
      </c>
    </row>
    <row r="5908" spans="6:8">
      <c r="H5908" t="s">
        <v>19709</v>
      </c>
    </row>
    <row r="5909" spans="6:8">
      <c r="H5909" t="s">
        <v>20095</v>
      </c>
    </row>
    <row r="5910" spans="6:8">
      <c r="H5910" t="s">
        <v>20096</v>
      </c>
    </row>
    <row r="5911" spans="6:8">
      <c r="H5911" t="s">
        <v>20097</v>
      </c>
    </row>
    <row r="5912" spans="6:8">
      <c r="H5912" t="s">
        <v>20098</v>
      </c>
    </row>
    <row r="5913" spans="6:8">
      <c r="H5913" t="s">
        <v>20099</v>
      </c>
    </row>
    <row r="5914" spans="6:8">
      <c r="H5914" t="s">
        <v>20100</v>
      </c>
    </row>
    <row r="5915" spans="6:8">
      <c r="F5915" t="s">
        <v>11324</v>
      </c>
      <c r="G5915" t="s">
        <v>15634</v>
      </c>
      <c r="H5915" t="s">
        <v>20091</v>
      </c>
    </row>
    <row r="5916" spans="6:8">
      <c r="H5916" t="s">
        <v>19712</v>
      </c>
    </row>
    <row r="5917" spans="6:8">
      <c r="H5917" t="s">
        <v>20095</v>
      </c>
    </row>
    <row r="5918" spans="6:8">
      <c r="H5918" t="s">
        <v>20096</v>
      </c>
    </row>
    <row r="5919" spans="6:8">
      <c r="H5919" t="s">
        <v>20097</v>
      </c>
    </row>
    <row r="5920" spans="6:8">
      <c r="H5920" t="s">
        <v>20098</v>
      </c>
    </row>
    <row r="5921" spans="6:8">
      <c r="H5921" t="s">
        <v>20099</v>
      </c>
    </row>
    <row r="5922" spans="6:8">
      <c r="H5922" t="s">
        <v>20100</v>
      </c>
    </row>
    <row r="5923" spans="6:8">
      <c r="F5923" t="s">
        <v>11325</v>
      </c>
      <c r="G5923" t="s">
        <v>15263</v>
      </c>
      <c r="H5923" t="s">
        <v>20091</v>
      </c>
    </row>
    <row r="5924" spans="6:8">
      <c r="H5924" t="s">
        <v>19712</v>
      </c>
    </row>
    <row r="5925" spans="6:8">
      <c r="H5925" t="s">
        <v>19709</v>
      </c>
    </row>
    <row r="5926" spans="6:8">
      <c r="H5926" t="s">
        <v>19706</v>
      </c>
    </row>
    <row r="5927" spans="6:8">
      <c r="H5927" t="s">
        <v>20107</v>
      </c>
    </row>
    <row r="5928" spans="6:8">
      <c r="H5928" t="s">
        <v>20108</v>
      </c>
    </row>
    <row r="5929" spans="6:8">
      <c r="H5929" t="s">
        <v>19713</v>
      </c>
    </row>
    <row r="5930" spans="6:8">
      <c r="H5930" t="s">
        <v>19714</v>
      </c>
    </row>
    <row r="5931" spans="6:8">
      <c r="H5931" t="s">
        <v>20109</v>
      </c>
    </row>
    <row r="5932" spans="6:8">
      <c r="H5932" t="s">
        <v>20110</v>
      </c>
    </row>
    <row r="5933" spans="6:8">
      <c r="H5933" t="s">
        <v>20111</v>
      </c>
    </row>
    <row r="5934" spans="6:8">
      <c r="H5934" t="s">
        <v>20112</v>
      </c>
    </row>
    <row r="5935" spans="6:8">
      <c r="H5935" t="s">
        <v>20095</v>
      </c>
    </row>
    <row r="5936" spans="6:8">
      <c r="H5936" t="s">
        <v>20096</v>
      </c>
    </row>
    <row r="5937" spans="6:8">
      <c r="H5937" t="s">
        <v>20097</v>
      </c>
    </row>
    <row r="5938" spans="6:8">
      <c r="F5938" t="s">
        <v>11326</v>
      </c>
      <c r="G5938" t="s">
        <v>15264</v>
      </c>
      <c r="H5938" t="s">
        <v>20091</v>
      </c>
    </row>
    <row r="5939" spans="6:8">
      <c r="H5939" t="s">
        <v>19712</v>
      </c>
    </row>
    <row r="5940" spans="6:8">
      <c r="H5940" t="s">
        <v>19709</v>
      </c>
    </row>
    <row r="5941" spans="6:8">
      <c r="H5941" t="s">
        <v>19706</v>
      </c>
    </row>
    <row r="5942" spans="6:8">
      <c r="H5942" t="s">
        <v>20107</v>
      </c>
    </row>
    <row r="5943" spans="6:8">
      <c r="H5943" t="s">
        <v>20108</v>
      </c>
    </row>
    <row r="5944" spans="6:8">
      <c r="H5944" t="s">
        <v>19713</v>
      </c>
    </row>
    <row r="5945" spans="6:8">
      <c r="H5945" t="s">
        <v>19714</v>
      </c>
    </row>
    <row r="5946" spans="6:8">
      <c r="H5946" t="s">
        <v>20109</v>
      </c>
    </row>
    <row r="5947" spans="6:8">
      <c r="H5947" t="s">
        <v>20110</v>
      </c>
    </row>
    <row r="5948" spans="6:8">
      <c r="H5948" t="s">
        <v>20111</v>
      </c>
    </row>
    <row r="5949" spans="6:8">
      <c r="H5949" t="s">
        <v>20112</v>
      </c>
    </row>
    <row r="5950" spans="6:8">
      <c r="H5950" t="s">
        <v>20095</v>
      </c>
    </row>
    <row r="5951" spans="6:8">
      <c r="H5951" t="s">
        <v>20096</v>
      </c>
    </row>
    <row r="5952" spans="6:8">
      <c r="H5952" t="s">
        <v>20097</v>
      </c>
    </row>
    <row r="5953" spans="6:8">
      <c r="F5953" t="s">
        <v>11327</v>
      </c>
      <c r="G5953" t="s">
        <v>15265</v>
      </c>
      <c r="H5953" t="s">
        <v>20091</v>
      </c>
    </row>
    <row r="5954" spans="6:8">
      <c r="H5954" t="s">
        <v>19712</v>
      </c>
    </row>
    <row r="5955" spans="6:8">
      <c r="H5955" t="s">
        <v>19709</v>
      </c>
    </row>
    <row r="5956" spans="6:8">
      <c r="H5956" t="s">
        <v>19706</v>
      </c>
    </row>
    <row r="5957" spans="6:8">
      <c r="H5957" t="s">
        <v>20107</v>
      </c>
    </row>
    <row r="5958" spans="6:8">
      <c r="H5958" t="s">
        <v>20108</v>
      </c>
    </row>
    <row r="5959" spans="6:8">
      <c r="H5959" t="s">
        <v>19713</v>
      </c>
    </row>
    <row r="5960" spans="6:8">
      <c r="H5960" t="s">
        <v>19714</v>
      </c>
    </row>
    <row r="5961" spans="6:8">
      <c r="H5961" t="s">
        <v>20109</v>
      </c>
    </row>
    <row r="5962" spans="6:8">
      <c r="H5962" t="s">
        <v>20110</v>
      </c>
    </row>
    <row r="5963" spans="6:8">
      <c r="H5963" t="s">
        <v>20111</v>
      </c>
    </row>
    <row r="5964" spans="6:8">
      <c r="H5964" t="s">
        <v>20112</v>
      </c>
    </row>
    <row r="5965" spans="6:8">
      <c r="H5965" t="s">
        <v>20095</v>
      </c>
    </row>
    <row r="5966" spans="6:8">
      <c r="H5966" t="s">
        <v>20096</v>
      </c>
    </row>
    <row r="5967" spans="6:8">
      <c r="H5967" t="s">
        <v>20097</v>
      </c>
    </row>
    <row r="5968" spans="6:8">
      <c r="H5968" t="s">
        <v>20098</v>
      </c>
    </row>
    <row r="5969" spans="6:8">
      <c r="F5969" t="s">
        <v>11328</v>
      </c>
      <c r="G5969" t="s">
        <v>15266</v>
      </c>
      <c r="H5969" t="s">
        <v>20091</v>
      </c>
    </row>
    <row r="5970" spans="6:8">
      <c r="H5970" t="s">
        <v>19712</v>
      </c>
    </row>
    <row r="5971" spans="6:8">
      <c r="H5971" t="s">
        <v>19709</v>
      </c>
    </row>
    <row r="5972" spans="6:8">
      <c r="H5972" t="s">
        <v>19706</v>
      </c>
    </row>
    <row r="5973" spans="6:8">
      <c r="H5973" t="s">
        <v>20107</v>
      </c>
    </row>
    <row r="5974" spans="6:8">
      <c r="H5974" t="s">
        <v>20108</v>
      </c>
    </row>
    <row r="5975" spans="6:8">
      <c r="H5975" t="s">
        <v>19713</v>
      </c>
    </row>
    <row r="5976" spans="6:8">
      <c r="H5976" t="s">
        <v>19714</v>
      </c>
    </row>
    <row r="5977" spans="6:8">
      <c r="H5977" t="s">
        <v>20109</v>
      </c>
    </row>
    <row r="5978" spans="6:8">
      <c r="H5978" t="s">
        <v>20110</v>
      </c>
    </row>
    <row r="5979" spans="6:8">
      <c r="H5979" t="s">
        <v>20111</v>
      </c>
    </row>
    <row r="5980" spans="6:8">
      <c r="H5980" t="s">
        <v>20112</v>
      </c>
    </row>
    <row r="5981" spans="6:8">
      <c r="H5981" t="s">
        <v>20095</v>
      </c>
    </row>
    <row r="5982" spans="6:8">
      <c r="H5982" t="s">
        <v>20096</v>
      </c>
    </row>
    <row r="5983" spans="6:8">
      <c r="H5983" t="s">
        <v>20097</v>
      </c>
    </row>
    <row r="5984" spans="6:8">
      <c r="H5984" t="s">
        <v>20098</v>
      </c>
    </row>
    <row r="5985" spans="6:8">
      <c r="F5985" t="s">
        <v>11329</v>
      </c>
      <c r="G5985" t="s">
        <v>15267</v>
      </c>
      <c r="H5985" t="s">
        <v>20091</v>
      </c>
    </row>
    <row r="5986" spans="6:8">
      <c r="H5986" t="s">
        <v>19712</v>
      </c>
    </row>
    <row r="5987" spans="6:8">
      <c r="H5987" t="s">
        <v>19709</v>
      </c>
    </row>
    <row r="5988" spans="6:8">
      <c r="H5988" t="s">
        <v>19706</v>
      </c>
    </row>
    <row r="5989" spans="6:8">
      <c r="H5989" t="s">
        <v>19707</v>
      </c>
    </row>
    <row r="5990" spans="6:8">
      <c r="H5990" t="s">
        <v>20107</v>
      </c>
    </row>
    <row r="5991" spans="6:8">
      <c r="H5991" t="s">
        <v>20108</v>
      </c>
    </row>
    <row r="5992" spans="6:8">
      <c r="H5992" t="s">
        <v>19713</v>
      </c>
    </row>
    <row r="5993" spans="6:8">
      <c r="H5993" t="s">
        <v>19714</v>
      </c>
    </row>
    <row r="5994" spans="6:8">
      <c r="H5994" t="s">
        <v>20109</v>
      </c>
    </row>
    <row r="5995" spans="6:8">
      <c r="H5995" t="s">
        <v>20095</v>
      </c>
    </row>
    <row r="5996" spans="6:8">
      <c r="H5996" t="s">
        <v>20096</v>
      </c>
    </row>
    <row r="5997" spans="6:8">
      <c r="H5997" t="s">
        <v>20097</v>
      </c>
    </row>
    <row r="5998" spans="6:8">
      <c r="H5998" t="s">
        <v>20098</v>
      </c>
    </row>
    <row r="5999" spans="6:8">
      <c r="F5999" t="s">
        <v>11330</v>
      </c>
      <c r="G5999" t="s">
        <v>15268</v>
      </c>
      <c r="H5999" t="s">
        <v>20091</v>
      </c>
    </row>
    <row r="6000" spans="6:8">
      <c r="H6000" t="s">
        <v>19712</v>
      </c>
    </row>
    <row r="6001" spans="6:8">
      <c r="H6001" t="s">
        <v>19709</v>
      </c>
    </row>
    <row r="6002" spans="6:8">
      <c r="H6002" t="s">
        <v>19706</v>
      </c>
    </row>
    <row r="6003" spans="6:8">
      <c r="H6003" t="s">
        <v>19707</v>
      </c>
    </row>
    <row r="6004" spans="6:8">
      <c r="H6004" t="s">
        <v>20107</v>
      </c>
    </row>
    <row r="6005" spans="6:8">
      <c r="H6005" t="s">
        <v>20108</v>
      </c>
    </row>
    <row r="6006" spans="6:8">
      <c r="H6006" t="s">
        <v>19713</v>
      </c>
    </row>
    <row r="6007" spans="6:8">
      <c r="H6007" t="s">
        <v>19714</v>
      </c>
    </row>
    <row r="6008" spans="6:8">
      <c r="H6008" t="s">
        <v>20109</v>
      </c>
    </row>
    <row r="6009" spans="6:8">
      <c r="H6009" t="s">
        <v>20095</v>
      </c>
    </row>
    <row r="6010" spans="6:8">
      <c r="H6010" t="s">
        <v>20096</v>
      </c>
    </row>
    <row r="6011" spans="6:8">
      <c r="H6011" t="s">
        <v>20097</v>
      </c>
    </row>
    <row r="6012" spans="6:8">
      <c r="H6012" t="s">
        <v>20098</v>
      </c>
    </row>
    <row r="6013" spans="6:8">
      <c r="F6013" t="s">
        <v>11331</v>
      </c>
      <c r="G6013" t="s">
        <v>15269</v>
      </c>
      <c r="H6013" t="s">
        <v>20091</v>
      </c>
    </row>
    <row r="6014" spans="6:8">
      <c r="H6014" t="s">
        <v>19712</v>
      </c>
    </row>
    <row r="6015" spans="6:8">
      <c r="H6015" t="s">
        <v>19709</v>
      </c>
    </row>
    <row r="6016" spans="6:8">
      <c r="H6016" t="s">
        <v>19706</v>
      </c>
    </row>
    <row r="6017" spans="6:8">
      <c r="H6017" t="s">
        <v>19707</v>
      </c>
    </row>
    <row r="6018" spans="6:8">
      <c r="H6018" t="s">
        <v>20107</v>
      </c>
    </row>
    <row r="6019" spans="6:8">
      <c r="H6019" t="s">
        <v>20108</v>
      </c>
    </row>
    <row r="6020" spans="6:8">
      <c r="H6020" t="s">
        <v>19713</v>
      </c>
    </row>
    <row r="6021" spans="6:8">
      <c r="H6021" t="s">
        <v>19714</v>
      </c>
    </row>
    <row r="6022" spans="6:8">
      <c r="H6022" t="s">
        <v>20109</v>
      </c>
    </row>
    <row r="6023" spans="6:8">
      <c r="H6023" t="s">
        <v>20095</v>
      </c>
    </row>
    <row r="6024" spans="6:8">
      <c r="H6024" t="s">
        <v>20096</v>
      </c>
    </row>
    <row r="6025" spans="6:8">
      <c r="H6025" t="s">
        <v>20097</v>
      </c>
    </row>
    <row r="6026" spans="6:8">
      <c r="H6026" t="s">
        <v>20098</v>
      </c>
    </row>
    <row r="6027" spans="6:8">
      <c r="F6027" t="s">
        <v>11332</v>
      </c>
      <c r="G6027" t="s">
        <v>15270</v>
      </c>
      <c r="H6027" t="s">
        <v>20091</v>
      </c>
    </row>
    <row r="6028" spans="6:8">
      <c r="H6028" t="s">
        <v>19712</v>
      </c>
    </row>
    <row r="6029" spans="6:8">
      <c r="H6029" t="s">
        <v>19709</v>
      </c>
    </row>
    <row r="6030" spans="6:8">
      <c r="H6030" t="s">
        <v>19706</v>
      </c>
    </row>
    <row r="6031" spans="6:8">
      <c r="H6031" t="s">
        <v>19707</v>
      </c>
    </row>
    <row r="6032" spans="6:8">
      <c r="H6032" t="s">
        <v>20107</v>
      </c>
    </row>
    <row r="6033" spans="6:8">
      <c r="H6033" t="s">
        <v>20108</v>
      </c>
    </row>
    <row r="6034" spans="6:8">
      <c r="H6034" t="s">
        <v>19713</v>
      </c>
    </row>
    <row r="6035" spans="6:8">
      <c r="H6035" t="s">
        <v>19714</v>
      </c>
    </row>
    <row r="6036" spans="6:8">
      <c r="H6036" t="s">
        <v>20109</v>
      </c>
    </row>
    <row r="6037" spans="6:8">
      <c r="H6037" t="s">
        <v>20095</v>
      </c>
    </row>
    <row r="6038" spans="6:8">
      <c r="H6038" t="s">
        <v>20096</v>
      </c>
    </row>
    <row r="6039" spans="6:8">
      <c r="H6039" t="s">
        <v>20097</v>
      </c>
    </row>
    <row r="6040" spans="6:8">
      <c r="H6040" t="s">
        <v>20098</v>
      </c>
    </row>
    <row r="6041" spans="6:8">
      <c r="F6041" t="s">
        <v>11333</v>
      </c>
      <c r="G6041" t="s">
        <v>15271</v>
      </c>
      <c r="H6041" t="s">
        <v>20091</v>
      </c>
    </row>
    <row r="6042" spans="6:8">
      <c r="H6042" t="s">
        <v>19712</v>
      </c>
    </row>
    <row r="6043" spans="6:8">
      <c r="H6043" t="s">
        <v>19709</v>
      </c>
    </row>
    <row r="6044" spans="6:8">
      <c r="H6044" t="s">
        <v>19706</v>
      </c>
    </row>
    <row r="6045" spans="6:8">
      <c r="H6045" t="s">
        <v>20107</v>
      </c>
    </row>
    <row r="6046" spans="6:8">
      <c r="H6046" t="s">
        <v>20108</v>
      </c>
    </row>
    <row r="6047" spans="6:8">
      <c r="H6047" t="s">
        <v>19713</v>
      </c>
    </row>
    <row r="6048" spans="6:8">
      <c r="H6048" t="s">
        <v>19714</v>
      </c>
    </row>
    <row r="6049" spans="6:8">
      <c r="H6049" t="s">
        <v>20109</v>
      </c>
    </row>
    <row r="6050" spans="6:8">
      <c r="H6050" t="s">
        <v>20110</v>
      </c>
    </row>
    <row r="6051" spans="6:8">
      <c r="H6051" t="s">
        <v>20111</v>
      </c>
    </row>
    <row r="6052" spans="6:8">
      <c r="H6052" t="s">
        <v>20095</v>
      </c>
    </row>
    <row r="6053" spans="6:8">
      <c r="H6053" t="s">
        <v>20096</v>
      </c>
    </row>
    <row r="6054" spans="6:8">
      <c r="H6054" t="s">
        <v>20097</v>
      </c>
    </row>
    <row r="6055" spans="6:8">
      <c r="H6055" t="s">
        <v>20098</v>
      </c>
    </row>
    <row r="6056" spans="6:8">
      <c r="F6056" t="s">
        <v>11334</v>
      </c>
      <c r="G6056" t="s">
        <v>15272</v>
      </c>
      <c r="H6056" t="s">
        <v>20091</v>
      </c>
    </row>
    <row r="6057" spans="6:8">
      <c r="H6057" t="s">
        <v>19712</v>
      </c>
    </row>
    <row r="6058" spans="6:8">
      <c r="H6058" t="s">
        <v>19709</v>
      </c>
    </row>
    <row r="6059" spans="6:8">
      <c r="H6059" t="s">
        <v>19706</v>
      </c>
    </row>
    <row r="6060" spans="6:8">
      <c r="H6060" t="s">
        <v>20107</v>
      </c>
    </row>
    <row r="6061" spans="6:8">
      <c r="H6061" t="s">
        <v>20108</v>
      </c>
    </row>
    <row r="6062" spans="6:8">
      <c r="H6062" t="s">
        <v>19713</v>
      </c>
    </row>
    <row r="6063" spans="6:8">
      <c r="H6063" t="s">
        <v>19714</v>
      </c>
    </row>
    <row r="6064" spans="6:8">
      <c r="H6064" t="s">
        <v>20109</v>
      </c>
    </row>
    <row r="6065" spans="6:8">
      <c r="H6065" t="s">
        <v>20110</v>
      </c>
    </row>
    <row r="6066" spans="6:8">
      <c r="H6066" t="s">
        <v>20111</v>
      </c>
    </row>
    <row r="6067" spans="6:8">
      <c r="H6067" t="s">
        <v>20095</v>
      </c>
    </row>
    <row r="6068" spans="6:8">
      <c r="H6068" t="s">
        <v>20096</v>
      </c>
    </row>
    <row r="6069" spans="6:8">
      <c r="H6069" t="s">
        <v>20097</v>
      </c>
    </row>
    <row r="6070" spans="6:8">
      <c r="H6070" t="s">
        <v>20098</v>
      </c>
    </row>
    <row r="6071" spans="6:8">
      <c r="F6071" t="s">
        <v>11335</v>
      </c>
      <c r="G6071" t="s">
        <v>15273</v>
      </c>
      <c r="H6071" t="s">
        <v>20091</v>
      </c>
    </row>
    <row r="6072" spans="6:8">
      <c r="H6072" t="s">
        <v>19712</v>
      </c>
    </row>
    <row r="6073" spans="6:8">
      <c r="H6073" t="s">
        <v>19709</v>
      </c>
    </row>
    <row r="6074" spans="6:8">
      <c r="H6074" t="s">
        <v>19706</v>
      </c>
    </row>
    <row r="6075" spans="6:8">
      <c r="H6075" t="s">
        <v>19707</v>
      </c>
    </row>
    <row r="6076" spans="6:8">
      <c r="H6076" t="s">
        <v>20107</v>
      </c>
    </row>
    <row r="6077" spans="6:8">
      <c r="H6077" t="s">
        <v>20108</v>
      </c>
    </row>
    <row r="6078" spans="6:8">
      <c r="H6078" t="s">
        <v>19713</v>
      </c>
    </row>
    <row r="6079" spans="6:8">
      <c r="H6079" t="s">
        <v>19714</v>
      </c>
    </row>
    <row r="6080" spans="6:8">
      <c r="H6080" t="s">
        <v>20109</v>
      </c>
    </row>
    <row r="6081" spans="6:8">
      <c r="H6081" t="s">
        <v>20095</v>
      </c>
    </row>
    <row r="6082" spans="6:8">
      <c r="H6082" t="s">
        <v>20096</v>
      </c>
    </row>
    <row r="6083" spans="6:8">
      <c r="H6083" t="s">
        <v>20097</v>
      </c>
    </row>
    <row r="6084" spans="6:8">
      <c r="H6084" t="s">
        <v>20098</v>
      </c>
    </row>
    <row r="6085" spans="6:8">
      <c r="F6085" t="s">
        <v>11336</v>
      </c>
      <c r="G6085" t="s">
        <v>15274</v>
      </c>
      <c r="H6085" t="s">
        <v>20091</v>
      </c>
    </row>
    <row r="6086" spans="6:8">
      <c r="H6086" t="s">
        <v>19712</v>
      </c>
    </row>
    <row r="6087" spans="6:8">
      <c r="H6087" t="s">
        <v>19709</v>
      </c>
    </row>
    <row r="6088" spans="6:8">
      <c r="H6088" t="s">
        <v>19706</v>
      </c>
    </row>
    <row r="6089" spans="6:8">
      <c r="H6089" t="s">
        <v>19707</v>
      </c>
    </row>
    <row r="6090" spans="6:8">
      <c r="H6090" t="s">
        <v>20107</v>
      </c>
    </row>
    <row r="6091" spans="6:8">
      <c r="H6091" t="s">
        <v>20108</v>
      </c>
    </row>
    <row r="6092" spans="6:8">
      <c r="H6092" t="s">
        <v>19713</v>
      </c>
    </row>
    <row r="6093" spans="6:8">
      <c r="H6093" t="s">
        <v>19714</v>
      </c>
    </row>
    <row r="6094" spans="6:8">
      <c r="H6094" t="s">
        <v>20109</v>
      </c>
    </row>
    <row r="6095" spans="6:8">
      <c r="H6095" t="s">
        <v>20095</v>
      </c>
    </row>
    <row r="6096" spans="6:8">
      <c r="H6096" t="s">
        <v>20096</v>
      </c>
    </row>
    <row r="6097" spans="6:8">
      <c r="H6097" t="s">
        <v>20097</v>
      </c>
    </row>
    <row r="6098" spans="6:8">
      <c r="H6098" t="s">
        <v>20098</v>
      </c>
    </row>
    <row r="6099" spans="6:8">
      <c r="F6099" t="s">
        <v>11337</v>
      </c>
      <c r="G6099" t="s">
        <v>15275</v>
      </c>
      <c r="H6099" t="s">
        <v>20091</v>
      </c>
    </row>
    <row r="6100" spans="6:8">
      <c r="H6100" t="s">
        <v>19712</v>
      </c>
    </row>
    <row r="6101" spans="6:8">
      <c r="H6101" t="s">
        <v>19709</v>
      </c>
    </row>
    <row r="6102" spans="6:8">
      <c r="H6102" t="s">
        <v>19706</v>
      </c>
    </row>
    <row r="6103" spans="6:8">
      <c r="H6103" t="s">
        <v>19707</v>
      </c>
    </row>
    <row r="6104" spans="6:8">
      <c r="H6104" t="s">
        <v>19711</v>
      </c>
    </row>
    <row r="6105" spans="6:8">
      <c r="H6105" t="s">
        <v>20107</v>
      </c>
    </row>
    <row r="6106" spans="6:8">
      <c r="H6106" t="s">
        <v>20108</v>
      </c>
    </row>
    <row r="6107" spans="6:8">
      <c r="H6107" t="s">
        <v>20095</v>
      </c>
    </row>
    <row r="6108" spans="6:8">
      <c r="H6108" t="s">
        <v>20096</v>
      </c>
    </row>
    <row r="6109" spans="6:8">
      <c r="H6109" t="s">
        <v>20097</v>
      </c>
    </row>
    <row r="6110" spans="6:8">
      <c r="H6110" t="s">
        <v>20098</v>
      </c>
    </row>
    <row r="6111" spans="6:8">
      <c r="F6111" t="s">
        <v>11338</v>
      </c>
      <c r="G6111" t="s">
        <v>15276</v>
      </c>
      <c r="H6111" t="s">
        <v>20091</v>
      </c>
    </row>
    <row r="6112" spans="6:8">
      <c r="H6112" t="s">
        <v>19712</v>
      </c>
    </row>
    <row r="6113" spans="6:8">
      <c r="H6113" t="s">
        <v>19709</v>
      </c>
    </row>
    <row r="6114" spans="6:8">
      <c r="H6114" t="s">
        <v>19706</v>
      </c>
    </row>
    <row r="6115" spans="6:8">
      <c r="H6115" t="s">
        <v>19707</v>
      </c>
    </row>
    <row r="6116" spans="6:8">
      <c r="H6116" t="s">
        <v>20107</v>
      </c>
    </row>
    <row r="6117" spans="6:8">
      <c r="H6117" t="s">
        <v>20108</v>
      </c>
    </row>
    <row r="6118" spans="6:8">
      <c r="H6118" t="s">
        <v>19713</v>
      </c>
    </row>
    <row r="6119" spans="6:8">
      <c r="H6119" t="s">
        <v>20095</v>
      </c>
    </row>
    <row r="6120" spans="6:8">
      <c r="H6120" t="s">
        <v>20096</v>
      </c>
    </row>
    <row r="6121" spans="6:8">
      <c r="H6121" t="s">
        <v>20097</v>
      </c>
    </row>
    <row r="6122" spans="6:8">
      <c r="H6122" t="s">
        <v>20098</v>
      </c>
    </row>
    <row r="6123" spans="6:8">
      <c r="F6123" t="s">
        <v>11339</v>
      </c>
      <c r="G6123" t="s">
        <v>15635</v>
      </c>
      <c r="H6123" t="s">
        <v>20091</v>
      </c>
    </row>
    <row r="6124" spans="6:8">
      <c r="H6124" t="s">
        <v>19712</v>
      </c>
    </row>
    <row r="6125" spans="6:8">
      <c r="H6125" t="s">
        <v>19709</v>
      </c>
    </row>
    <row r="6126" spans="6:8">
      <c r="H6126" t="s">
        <v>20107</v>
      </c>
    </row>
    <row r="6127" spans="6:8">
      <c r="H6127" t="s">
        <v>20092</v>
      </c>
    </row>
    <row r="6128" spans="6:8">
      <c r="H6128" t="s">
        <v>20095</v>
      </c>
    </row>
    <row r="6129" spans="6:8">
      <c r="H6129" t="s">
        <v>20096</v>
      </c>
    </row>
    <row r="6130" spans="6:8">
      <c r="H6130" t="s">
        <v>20097</v>
      </c>
    </row>
    <row r="6131" spans="6:8">
      <c r="H6131" t="s">
        <v>20098</v>
      </c>
    </row>
    <row r="6132" spans="6:8">
      <c r="H6132" t="s">
        <v>20099</v>
      </c>
    </row>
    <row r="6133" spans="6:8">
      <c r="H6133" t="s">
        <v>20100</v>
      </c>
    </row>
    <row r="6134" spans="6:8">
      <c r="H6134" t="s">
        <v>20101</v>
      </c>
    </row>
    <row r="6135" spans="6:8">
      <c r="H6135" t="s">
        <v>20102</v>
      </c>
    </row>
    <row r="6136" spans="6:8">
      <c r="F6136" t="s">
        <v>11340</v>
      </c>
      <c r="G6136" t="s">
        <v>15636</v>
      </c>
      <c r="H6136" t="s">
        <v>20091</v>
      </c>
    </row>
    <row r="6137" spans="6:8">
      <c r="H6137" t="s">
        <v>20092</v>
      </c>
    </row>
    <row r="6138" spans="6:8">
      <c r="H6138" t="s">
        <v>20103</v>
      </c>
    </row>
    <row r="6139" spans="6:8">
      <c r="H6139" t="s">
        <v>20116</v>
      </c>
    </row>
    <row r="6140" spans="6:8">
      <c r="H6140" t="s">
        <v>20095</v>
      </c>
    </row>
    <row r="6141" spans="6:8">
      <c r="H6141" t="s">
        <v>20096</v>
      </c>
    </row>
    <row r="6142" spans="6:8">
      <c r="H6142" t="s">
        <v>20097</v>
      </c>
    </row>
    <row r="6143" spans="6:8">
      <c r="H6143" t="s">
        <v>20098</v>
      </c>
    </row>
    <row r="6144" spans="6:8">
      <c r="H6144" t="s">
        <v>20099</v>
      </c>
    </row>
    <row r="6145" spans="6:8">
      <c r="H6145" t="s">
        <v>20100</v>
      </c>
    </row>
    <row r="6146" spans="6:8">
      <c r="H6146" t="s">
        <v>20101</v>
      </c>
    </row>
    <row r="6147" spans="6:8">
      <c r="H6147" t="s">
        <v>20102</v>
      </c>
    </row>
    <row r="6148" spans="6:8">
      <c r="F6148" t="s">
        <v>11341</v>
      </c>
      <c r="G6148" t="s">
        <v>15542</v>
      </c>
      <c r="H6148" t="s">
        <v>20091</v>
      </c>
    </row>
    <row r="6149" spans="6:8">
      <c r="F6149" t="s">
        <v>11342</v>
      </c>
      <c r="G6149" t="s">
        <v>15277</v>
      </c>
      <c r="H6149" t="s">
        <v>20091</v>
      </c>
    </row>
    <row r="6150" spans="6:8">
      <c r="H6150" t="s">
        <v>19712</v>
      </c>
    </row>
    <row r="6151" spans="6:8">
      <c r="H6151" t="s">
        <v>19709</v>
      </c>
    </row>
    <row r="6152" spans="6:8">
      <c r="H6152" t="s">
        <v>19706</v>
      </c>
    </row>
    <row r="6153" spans="6:8">
      <c r="H6153" t="s">
        <v>20107</v>
      </c>
    </row>
    <row r="6154" spans="6:8">
      <c r="H6154" t="s">
        <v>20108</v>
      </c>
    </row>
    <row r="6155" spans="6:8">
      <c r="H6155" t="s">
        <v>19713</v>
      </c>
    </row>
    <row r="6156" spans="6:8">
      <c r="H6156" t="s">
        <v>19714</v>
      </c>
    </row>
    <row r="6157" spans="6:8">
      <c r="H6157" t="s">
        <v>20109</v>
      </c>
    </row>
    <row r="6158" spans="6:8">
      <c r="H6158" t="s">
        <v>20110</v>
      </c>
    </row>
    <row r="6159" spans="6:8">
      <c r="H6159" t="s">
        <v>20111</v>
      </c>
    </row>
    <row r="6160" spans="6:8">
      <c r="H6160" t="s">
        <v>20095</v>
      </c>
    </row>
    <row r="6161" spans="6:8">
      <c r="H6161" t="s">
        <v>20096</v>
      </c>
    </row>
    <row r="6162" spans="6:8">
      <c r="H6162" t="s">
        <v>20097</v>
      </c>
    </row>
    <row r="6163" spans="6:8">
      <c r="H6163" t="s">
        <v>20098</v>
      </c>
    </row>
    <row r="6164" spans="6:8">
      <c r="F6164" t="s">
        <v>11343</v>
      </c>
      <c r="G6164" t="s">
        <v>15278</v>
      </c>
      <c r="H6164" t="s">
        <v>20091</v>
      </c>
    </row>
    <row r="6165" spans="6:8">
      <c r="H6165" t="s">
        <v>19712</v>
      </c>
    </row>
    <row r="6166" spans="6:8">
      <c r="H6166" t="s">
        <v>19709</v>
      </c>
    </row>
    <row r="6167" spans="6:8">
      <c r="H6167" t="s">
        <v>19706</v>
      </c>
    </row>
    <row r="6168" spans="6:8">
      <c r="H6168" t="s">
        <v>20107</v>
      </c>
    </row>
    <row r="6169" spans="6:8">
      <c r="H6169" t="s">
        <v>20108</v>
      </c>
    </row>
    <row r="6170" spans="6:8">
      <c r="H6170" t="s">
        <v>19713</v>
      </c>
    </row>
    <row r="6171" spans="6:8">
      <c r="H6171" t="s">
        <v>19714</v>
      </c>
    </row>
    <row r="6172" spans="6:8">
      <c r="H6172" t="s">
        <v>20109</v>
      </c>
    </row>
    <row r="6173" spans="6:8">
      <c r="H6173" t="s">
        <v>20095</v>
      </c>
    </row>
    <row r="6174" spans="6:8">
      <c r="H6174" t="s">
        <v>20096</v>
      </c>
    </row>
    <row r="6175" spans="6:8">
      <c r="H6175" t="s">
        <v>20097</v>
      </c>
    </row>
    <row r="6176" spans="6:8">
      <c r="H6176" t="s">
        <v>20098</v>
      </c>
    </row>
    <row r="6177" spans="6:8">
      <c r="F6177" t="s">
        <v>11344</v>
      </c>
      <c r="G6177" t="s">
        <v>15637</v>
      </c>
      <c r="H6177" t="s">
        <v>20091</v>
      </c>
    </row>
    <row r="6178" spans="6:8">
      <c r="H6178" t="s">
        <v>19712</v>
      </c>
    </row>
    <row r="6179" spans="6:8">
      <c r="H6179" t="s">
        <v>20095</v>
      </c>
    </row>
    <row r="6180" spans="6:8">
      <c r="H6180" t="s">
        <v>20096</v>
      </c>
    </row>
    <row r="6181" spans="6:8">
      <c r="F6181" t="s">
        <v>11345</v>
      </c>
      <c r="G6181" t="s">
        <v>15543</v>
      </c>
      <c r="H6181" t="s">
        <v>20091</v>
      </c>
    </row>
    <row r="6182" spans="6:8">
      <c r="H6182" t="s">
        <v>20095</v>
      </c>
    </row>
    <row r="6183" spans="6:8">
      <c r="H6183" t="s">
        <v>20096</v>
      </c>
    </row>
    <row r="6184" spans="6:8">
      <c r="H6184" t="s">
        <v>20097</v>
      </c>
    </row>
    <row r="6185" spans="6:8">
      <c r="F6185" t="s">
        <v>11346</v>
      </c>
      <c r="G6185" t="s">
        <v>15546</v>
      </c>
      <c r="H6185" t="s">
        <v>20091</v>
      </c>
    </row>
    <row r="6186" spans="6:8">
      <c r="H6186" t="s">
        <v>20092</v>
      </c>
    </row>
    <row r="6187" spans="6:8">
      <c r="H6187" t="s">
        <v>20095</v>
      </c>
    </row>
    <row r="6188" spans="6:8">
      <c r="H6188" t="s">
        <v>20096</v>
      </c>
    </row>
    <row r="6189" spans="6:8">
      <c r="H6189" t="s">
        <v>20097</v>
      </c>
    </row>
    <row r="6190" spans="6:8">
      <c r="H6190" t="s">
        <v>20098</v>
      </c>
    </row>
    <row r="6191" spans="6:8">
      <c r="F6191" t="s">
        <v>11347</v>
      </c>
      <c r="G6191" t="s">
        <v>15638</v>
      </c>
      <c r="H6191" t="s">
        <v>20091</v>
      </c>
    </row>
    <row r="6192" spans="6:8">
      <c r="H6192" t="s">
        <v>19712</v>
      </c>
    </row>
    <row r="6193" spans="6:8">
      <c r="H6193" t="s">
        <v>19709</v>
      </c>
    </row>
    <row r="6194" spans="6:8">
      <c r="H6194" t="s">
        <v>19706</v>
      </c>
    </row>
    <row r="6195" spans="6:8">
      <c r="H6195" t="s">
        <v>20092</v>
      </c>
    </row>
    <row r="6196" spans="6:8">
      <c r="H6196" t="s">
        <v>20093</v>
      </c>
    </row>
    <row r="6197" spans="6:8">
      <c r="H6197" t="s">
        <v>20096</v>
      </c>
    </row>
    <row r="6198" spans="6:8">
      <c r="H6198" t="s">
        <v>20097</v>
      </c>
    </row>
    <row r="6199" spans="6:8">
      <c r="H6199" t="s">
        <v>20098</v>
      </c>
    </row>
    <row r="6200" spans="6:8">
      <c r="H6200" t="s">
        <v>20099</v>
      </c>
    </row>
    <row r="6201" spans="6:8">
      <c r="F6201" t="s">
        <v>11348</v>
      </c>
      <c r="G6201" t="s">
        <v>15279</v>
      </c>
      <c r="H6201" t="s">
        <v>20091</v>
      </c>
    </row>
    <row r="6202" spans="6:8">
      <c r="H6202" t="s">
        <v>19712</v>
      </c>
    </row>
    <row r="6203" spans="6:8">
      <c r="H6203" t="s">
        <v>19709</v>
      </c>
    </row>
    <row r="6204" spans="6:8">
      <c r="H6204" t="s">
        <v>19706</v>
      </c>
    </row>
    <row r="6205" spans="6:8">
      <c r="H6205" t="s">
        <v>20107</v>
      </c>
    </row>
    <row r="6206" spans="6:8">
      <c r="H6206" t="s">
        <v>20108</v>
      </c>
    </row>
    <row r="6207" spans="6:8">
      <c r="H6207" t="s">
        <v>20095</v>
      </c>
    </row>
    <row r="6208" spans="6:8">
      <c r="H6208" t="s">
        <v>20096</v>
      </c>
    </row>
    <row r="6209" spans="6:8">
      <c r="H6209" t="s">
        <v>20097</v>
      </c>
    </row>
    <row r="6210" spans="6:8">
      <c r="H6210" t="s">
        <v>20098</v>
      </c>
    </row>
    <row r="6211" spans="6:8">
      <c r="F6211" t="s">
        <v>11349</v>
      </c>
      <c r="G6211" t="s">
        <v>15280</v>
      </c>
      <c r="H6211" t="s">
        <v>20091</v>
      </c>
    </row>
    <row r="6212" spans="6:8">
      <c r="H6212" t="s">
        <v>19712</v>
      </c>
    </row>
    <row r="6213" spans="6:8">
      <c r="H6213" t="s">
        <v>19709</v>
      </c>
    </row>
    <row r="6214" spans="6:8">
      <c r="H6214" t="s">
        <v>19706</v>
      </c>
    </row>
    <row r="6215" spans="6:8">
      <c r="H6215" t="s">
        <v>20107</v>
      </c>
    </row>
    <row r="6216" spans="6:8">
      <c r="H6216" t="s">
        <v>20108</v>
      </c>
    </row>
    <row r="6217" spans="6:8">
      <c r="H6217" t="s">
        <v>20095</v>
      </c>
    </row>
    <row r="6218" spans="6:8">
      <c r="H6218" t="s">
        <v>20096</v>
      </c>
    </row>
    <row r="6219" spans="6:8">
      <c r="H6219" t="s">
        <v>20097</v>
      </c>
    </row>
    <row r="6220" spans="6:8">
      <c r="H6220" t="s">
        <v>20098</v>
      </c>
    </row>
    <row r="6221" spans="6:8">
      <c r="F6221" t="s">
        <v>11350</v>
      </c>
      <c r="G6221" t="s">
        <v>15281</v>
      </c>
      <c r="H6221" t="s">
        <v>20091</v>
      </c>
    </row>
    <row r="6222" spans="6:8">
      <c r="H6222" t="s">
        <v>19712</v>
      </c>
    </row>
    <row r="6223" spans="6:8">
      <c r="H6223" t="s">
        <v>19709</v>
      </c>
    </row>
    <row r="6224" spans="6:8">
      <c r="H6224" t="s">
        <v>19706</v>
      </c>
    </row>
    <row r="6225" spans="6:8">
      <c r="H6225" t="s">
        <v>20107</v>
      </c>
    </row>
    <row r="6226" spans="6:8">
      <c r="H6226" t="s">
        <v>20108</v>
      </c>
    </row>
    <row r="6227" spans="6:8">
      <c r="H6227" t="s">
        <v>20095</v>
      </c>
    </row>
    <row r="6228" spans="6:8">
      <c r="H6228" t="s">
        <v>20096</v>
      </c>
    </row>
    <row r="6229" spans="6:8">
      <c r="H6229" t="s">
        <v>20097</v>
      </c>
    </row>
    <row r="6230" spans="6:8">
      <c r="H6230" t="s">
        <v>20098</v>
      </c>
    </row>
    <row r="6231" spans="6:8">
      <c r="F6231" t="s">
        <v>11351</v>
      </c>
      <c r="G6231" t="s">
        <v>15282</v>
      </c>
      <c r="H6231" t="s">
        <v>20091</v>
      </c>
    </row>
    <row r="6232" spans="6:8">
      <c r="H6232" t="s">
        <v>19712</v>
      </c>
    </row>
    <row r="6233" spans="6:8">
      <c r="H6233" t="s">
        <v>19709</v>
      </c>
    </row>
    <row r="6234" spans="6:8">
      <c r="H6234" t="s">
        <v>19706</v>
      </c>
    </row>
    <row r="6235" spans="6:8">
      <c r="H6235" t="s">
        <v>20107</v>
      </c>
    </row>
    <row r="6236" spans="6:8">
      <c r="H6236" t="s">
        <v>20108</v>
      </c>
    </row>
    <row r="6237" spans="6:8">
      <c r="H6237" t="s">
        <v>20095</v>
      </c>
    </row>
    <row r="6238" spans="6:8">
      <c r="H6238" t="s">
        <v>20096</v>
      </c>
    </row>
    <row r="6239" spans="6:8">
      <c r="H6239" t="s">
        <v>20097</v>
      </c>
    </row>
    <row r="6240" spans="6:8">
      <c r="H6240" t="s">
        <v>20098</v>
      </c>
    </row>
    <row r="6241" spans="6:8">
      <c r="F6241" t="s">
        <v>11352</v>
      </c>
      <c r="G6241" t="s">
        <v>15283</v>
      </c>
      <c r="H6241" t="s">
        <v>20091</v>
      </c>
    </row>
    <row r="6242" spans="6:8">
      <c r="H6242" t="s">
        <v>19712</v>
      </c>
    </row>
    <row r="6243" spans="6:8">
      <c r="H6243" t="s">
        <v>19709</v>
      </c>
    </row>
    <row r="6244" spans="6:8">
      <c r="H6244" t="s">
        <v>19706</v>
      </c>
    </row>
    <row r="6245" spans="6:8">
      <c r="H6245" t="s">
        <v>20107</v>
      </c>
    </row>
    <row r="6246" spans="6:8">
      <c r="H6246" t="s">
        <v>20108</v>
      </c>
    </row>
    <row r="6247" spans="6:8">
      <c r="H6247" t="s">
        <v>20095</v>
      </c>
    </row>
    <row r="6248" spans="6:8">
      <c r="H6248" t="s">
        <v>20096</v>
      </c>
    </row>
    <row r="6249" spans="6:8">
      <c r="H6249" t="s">
        <v>20097</v>
      </c>
    </row>
    <row r="6250" spans="6:8">
      <c r="H6250" t="s">
        <v>20098</v>
      </c>
    </row>
    <row r="6251" spans="6:8">
      <c r="F6251" t="s">
        <v>11353</v>
      </c>
      <c r="G6251" t="s">
        <v>15284</v>
      </c>
      <c r="H6251" t="s">
        <v>20091</v>
      </c>
    </row>
    <row r="6252" spans="6:8">
      <c r="H6252" t="s">
        <v>19712</v>
      </c>
    </row>
    <row r="6253" spans="6:8">
      <c r="H6253" t="s">
        <v>19709</v>
      </c>
    </row>
    <row r="6254" spans="6:8">
      <c r="H6254" t="s">
        <v>19706</v>
      </c>
    </row>
    <row r="6255" spans="6:8">
      <c r="H6255" t="s">
        <v>20107</v>
      </c>
    </row>
    <row r="6256" spans="6:8">
      <c r="H6256" t="s">
        <v>20108</v>
      </c>
    </row>
    <row r="6257" spans="6:8">
      <c r="H6257" t="s">
        <v>20095</v>
      </c>
    </row>
    <row r="6258" spans="6:8">
      <c r="H6258" t="s">
        <v>20096</v>
      </c>
    </row>
    <row r="6259" spans="6:8">
      <c r="H6259" t="s">
        <v>20097</v>
      </c>
    </row>
    <row r="6260" spans="6:8">
      <c r="H6260" t="s">
        <v>20098</v>
      </c>
    </row>
    <row r="6261" spans="6:8">
      <c r="F6261" t="s">
        <v>11354</v>
      </c>
      <c r="G6261" t="s">
        <v>15285</v>
      </c>
      <c r="H6261" t="s">
        <v>20091</v>
      </c>
    </row>
    <row r="6262" spans="6:8">
      <c r="H6262" t="s">
        <v>19712</v>
      </c>
    </row>
    <row r="6263" spans="6:8">
      <c r="H6263" t="s">
        <v>20107</v>
      </c>
    </row>
    <row r="6264" spans="6:8">
      <c r="H6264" t="s">
        <v>20108</v>
      </c>
    </row>
    <row r="6265" spans="6:8">
      <c r="H6265" t="s">
        <v>19713</v>
      </c>
    </row>
    <row r="6266" spans="6:8">
      <c r="H6266" t="s">
        <v>20095</v>
      </c>
    </row>
    <row r="6267" spans="6:8">
      <c r="H6267" t="s">
        <v>20096</v>
      </c>
    </row>
    <row r="6268" spans="6:8">
      <c r="H6268" t="s">
        <v>20097</v>
      </c>
    </row>
    <row r="6269" spans="6:8">
      <c r="H6269" t="s">
        <v>20098</v>
      </c>
    </row>
    <row r="6270" spans="6:8">
      <c r="H6270" t="s">
        <v>20099</v>
      </c>
    </row>
    <row r="6271" spans="6:8">
      <c r="H6271" t="s">
        <v>20100</v>
      </c>
    </row>
    <row r="6272" spans="6:8">
      <c r="H6272" t="s">
        <v>20101</v>
      </c>
    </row>
    <row r="6273" spans="6:8">
      <c r="H6273" t="s">
        <v>20104</v>
      </c>
    </row>
    <row r="6274" spans="6:8">
      <c r="H6274" t="s">
        <v>20105</v>
      </c>
    </row>
    <row r="6275" spans="6:8">
      <c r="H6275" t="s">
        <v>20123</v>
      </c>
    </row>
    <row r="6276" spans="6:8">
      <c r="F6276" t="s">
        <v>11355</v>
      </c>
      <c r="G6276" t="s">
        <v>15286</v>
      </c>
      <c r="H6276" t="s">
        <v>20091</v>
      </c>
    </row>
    <row r="6277" spans="6:8">
      <c r="H6277" t="s">
        <v>19712</v>
      </c>
    </row>
    <row r="6278" spans="6:8">
      <c r="H6278" t="s">
        <v>19709</v>
      </c>
    </row>
    <row r="6279" spans="6:8">
      <c r="H6279" t="s">
        <v>19706</v>
      </c>
    </row>
    <row r="6280" spans="6:8">
      <c r="H6280" t="s">
        <v>20107</v>
      </c>
    </row>
    <row r="6281" spans="6:8">
      <c r="H6281" t="s">
        <v>20108</v>
      </c>
    </row>
    <row r="6282" spans="6:8">
      <c r="H6282" t="s">
        <v>19713</v>
      </c>
    </row>
    <row r="6283" spans="6:8">
      <c r="H6283" t="s">
        <v>19714</v>
      </c>
    </row>
    <row r="6284" spans="6:8">
      <c r="H6284" t="s">
        <v>20109</v>
      </c>
    </row>
    <row r="6285" spans="6:8">
      <c r="H6285" t="s">
        <v>20110</v>
      </c>
    </row>
    <row r="6286" spans="6:8">
      <c r="H6286" t="s">
        <v>20111</v>
      </c>
    </row>
    <row r="6287" spans="6:8">
      <c r="H6287" t="s">
        <v>20112</v>
      </c>
    </row>
    <row r="6288" spans="6:8">
      <c r="H6288" t="s">
        <v>20113</v>
      </c>
    </row>
    <row r="6289" spans="6:8">
      <c r="H6289" t="s">
        <v>20095</v>
      </c>
    </row>
    <row r="6290" spans="6:8">
      <c r="H6290" t="s">
        <v>20096</v>
      </c>
    </row>
    <row r="6291" spans="6:8">
      <c r="H6291" t="s">
        <v>20097</v>
      </c>
    </row>
    <row r="6292" spans="6:8">
      <c r="H6292" t="s">
        <v>20098</v>
      </c>
    </row>
    <row r="6293" spans="6:8">
      <c r="F6293" t="s">
        <v>11356</v>
      </c>
      <c r="G6293" t="s">
        <v>15287</v>
      </c>
      <c r="H6293" t="s">
        <v>20091</v>
      </c>
    </row>
    <row r="6294" spans="6:8">
      <c r="H6294" t="s">
        <v>19712</v>
      </c>
    </row>
    <row r="6295" spans="6:8">
      <c r="H6295" t="s">
        <v>19709</v>
      </c>
    </row>
    <row r="6296" spans="6:8">
      <c r="H6296" t="s">
        <v>19706</v>
      </c>
    </row>
    <row r="6297" spans="6:8">
      <c r="H6297" t="s">
        <v>20107</v>
      </c>
    </row>
    <row r="6298" spans="6:8">
      <c r="H6298" t="s">
        <v>20108</v>
      </c>
    </row>
    <row r="6299" spans="6:8">
      <c r="H6299" t="s">
        <v>19713</v>
      </c>
    </row>
    <row r="6300" spans="6:8">
      <c r="H6300" t="s">
        <v>19714</v>
      </c>
    </row>
    <row r="6301" spans="6:8">
      <c r="H6301" t="s">
        <v>20109</v>
      </c>
    </row>
    <row r="6302" spans="6:8">
      <c r="H6302" t="s">
        <v>20110</v>
      </c>
    </row>
    <row r="6303" spans="6:8">
      <c r="H6303" t="s">
        <v>20111</v>
      </c>
    </row>
    <row r="6304" spans="6:8">
      <c r="H6304" t="s">
        <v>20112</v>
      </c>
    </row>
    <row r="6305" spans="6:8">
      <c r="H6305" t="s">
        <v>20113</v>
      </c>
    </row>
    <row r="6306" spans="6:8">
      <c r="H6306" t="s">
        <v>20095</v>
      </c>
    </row>
    <row r="6307" spans="6:8">
      <c r="H6307" t="s">
        <v>20096</v>
      </c>
    </row>
    <row r="6308" spans="6:8">
      <c r="H6308" t="s">
        <v>20097</v>
      </c>
    </row>
    <row r="6309" spans="6:8">
      <c r="H6309" t="s">
        <v>20098</v>
      </c>
    </row>
    <row r="6310" spans="6:8">
      <c r="F6310" t="s">
        <v>11357</v>
      </c>
      <c r="G6310" t="s">
        <v>15288</v>
      </c>
      <c r="H6310" t="s">
        <v>20091</v>
      </c>
    </row>
    <row r="6311" spans="6:8">
      <c r="H6311" t="s">
        <v>19712</v>
      </c>
    </row>
    <row r="6312" spans="6:8">
      <c r="H6312" t="s">
        <v>19709</v>
      </c>
    </row>
    <row r="6313" spans="6:8">
      <c r="H6313" t="s">
        <v>19706</v>
      </c>
    </row>
    <row r="6314" spans="6:8">
      <c r="H6314" t="s">
        <v>20107</v>
      </c>
    </row>
    <row r="6315" spans="6:8">
      <c r="H6315" t="s">
        <v>20108</v>
      </c>
    </row>
    <row r="6316" spans="6:8">
      <c r="H6316" t="s">
        <v>19713</v>
      </c>
    </row>
    <row r="6317" spans="6:8">
      <c r="H6317" t="s">
        <v>19714</v>
      </c>
    </row>
    <row r="6318" spans="6:8">
      <c r="H6318" t="s">
        <v>20109</v>
      </c>
    </row>
    <row r="6319" spans="6:8">
      <c r="H6319" t="s">
        <v>20110</v>
      </c>
    </row>
    <row r="6320" spans="6:8">
      <c r="H6320" t="s">
        <v>20111</v>
      </c>
    </row>
    <row r="6321" spans="6:8">
      <c r="H6321" t="s">
        <v>20112</v>
      </c>
    </row>
    <row r="6322" spans="6:8">
      <c r="H6322" t="s">
        <v>20113</v>
      </c>
    </row>
    <row r="6323" spans="6:8">
      <c r="H6323" t="s">
        <v>20095</v>
      </c>
    </row>
    <row r="6324" spans="6:8">
      <c r="H6324" t="s">
        <v>20096</v>
      </c>
    </row>
    <row r="6325" spans="6:8">
      <c r="H6325" t="s">
        <v>20097</v>
      </c>
    </row>
    <row r="6326" spans="6:8">
      <c r="H6326" t="s">
        <v>20098</v>
      </c>
    </row>
    <row r="6327" spans="6:8">
      <c r="F6327" t="s">
        <v>11358</v>
      </c>
      <c r="G6327" t="s">
        <v>15289</v>
      </c>
      <c r="H6327" t="s">
        <v>20091</v>
      </c>
    </row>
    <row r="6328" spans="6:8">
      <c r="H6328" t="s">
        <v>19712</v>
      </c>
    </row>
    <row r="6329" spans="6:8">
      <c r="H6329" t="s">
        <v>19709</v>
      </c>
    </row>
    <row r="6330" spans="6:8">
      <c r="H6330" t="s">
        <v>19706</v>
      </c>
    </row>
    <row r="6331" spans="6:8">
      <c r="H6331" t="s">
        <v>20107</v>
      </c>
    </row>
    <row r="6332" spans="6:8">
      <c r="H6332" t="s">
        <v>20108</v>
      </c>
    </row>
    <row r="6333" spans="6:8">
      <c r="H6333" t="s">
        <v>19713</v>
      </c>
    </row>
    <row r="6334" spans="6:8">
      <c r="H6334" t="s">
        <v>19714</v>
      </c>
    </row>
    <row r="6335" spans="6:8">
      <c r="H6335" t="s">
        <v>20109</v>
      </c>
    </row>
    <row r="6336" spans="6:8">
      <c r="H6336" t="s">
        <v>20110</v>
      </c>
    </row>
    <row r="6337" spans="6:8">
      <c r="H6337" t="s">
        <v>20111</v>
      </c>
    </row>
    <row r="6338" spans="6:8">
      <c r="H6338" t="s">
        <v>20112</v>
      </c>
    </row>
    <row r="6339" spans="6:8">
      <c r="H6339" t="s">
        <v>20113</v>
      </c>
    </row>
    <row r="6340" spans="6:8">
      <c r="H6340" t="s">
        <v>20095</v>
      </c>
    </row>
    <row r="6341" spans="6:8">
      <c r="H6341" t="s">
        <v>20096</v>
      </c>
    </row>
    <row r="6342" spans="6:8">
      <c r="H6342" t="s">
        <v>20097</v>
      </c>
    </row>
    <row r="6343" spans="6:8">
      <c r="H6343" t="s">
        <v>20098</v>
      </c>
    </row>
    <row r="6344" spans="6:8">
      <c r="F6344" t="s">
        <v>11359</v>
      </c>
      <c r="G6344" t="s">
        <v>15290</v>
      </c>
      <c r="H6344" t="s">
        <v>20091</v>
      </c>
    </row>
    <row r="6345" spans="6:8">
      <c r="H6345" t="s">
        <v>19712</v>
      </c>
    </row>
    <row r="6346" spans="6:8">
      <c r="H6346" t="s">
        <v>19709</v>
      </c>
    </row>
    <row r="6347" spans="6:8">
      <c r="H6347" t="s">
        <v>19706</v>
      </c>
    </row>
    <row r="6348" spans="6:8">
      <c r="H6348" t="s">
        <v>19707</v>
      </c>
    </row>
    <row r="6349" spans="6:8">
      <c r="H6349" t="s">
        <v>19711</v>
      </c>
    </row>
    <row r="6350" spans="6:8">
      <c r="H6350" t="s">
        <v>19708</v>
      </c>
    </row>
    <row r="6351" spans="6:8">
      <c r="H6351" t="s">
        <v>20107</v>
      </c>
    </row>
    <row r="6352" spans="6:8">
      <c r="H6352" t="s">
        <v>20108</v>
      </c>
    </row>
    <row r="6353" spans="6:8">
      <c r="H6353" t="s">
        <v>19713</v>
      </c>
    </row>
    <row r="6354" spans="6:8">
      <c r="H6354" t="s">
        <v>19714</v>
      </c>
    </row>
    <row r="6355" spans="6:8">
      <c r="H6355" t="s">
        <v>20109</v>
      </c>
    </row>
    <row r="6356" spans="6:8">
      <c r="H6356" t="s">
        <v>20110</v>
      </c>
    </row>
    <row r="6357" spans="6:8">
      <c r="H6357" t="s">
        <v>20092</v>
      </c>
    </row>
    <row r="6358" spans="6:8">
      <c r="H6358" t="s">
        <v>20095</v>
      </c>
    </row>
    <row r="6359" spans="6:8">
      <c r="H6359" t="s">
        <v>20096</v>
      </c>
    </row>
    <row r="6360" spans="6:8">
      <c r="H6360" t="s">
        <v>20097</v>
      </c>
    </row>
    <row r="6361" spans="6:8">
      <c r="H6361" t="s">
        <v>20098</v>
      </c>
    </row>
    <row r="6362" spans="6:8">
      <c r="F6362" t="s">
        <v>11360</v>
      </c>
      <c r="G6362" t="s">
        <v>15291</v>
      </c>
      <c r="H6362" t="s">
        <v>20091</v>
      </c>
    </row>
    <row r="6363" spans="6:8">
      <c r="H6363" t="s">
        <v>19712</v>
      </c>
    </row>
    <row r="6364" spans="6:8">
      <c r="H6364" t="s">
        <v>19709</v>
      </c>
    </row>
    <row r="6365" spans="6:8">
      <c r="H6365" t="s">
        <v>19706</v>
      </c>
    </row>
    <row r="6366" spans="6:8">
      <c r="H6366" t="s">
        <v>19707</v>
      </c>
    </row>
    <row r="6367" spans="6:8">
      <c r="H6367" t="s">
        <v>19711</v>
      </c>
    </row>
    <row r="6368" spans="6:8">
      <c r="H6368" t="s">
        <v>19708</v>
      </c>
    </row>
    <row r="6369" spans="6:8">
      <c r="H6369" t="s">
        <v>20107</v>
      </c>
    </row>
    <row r="6370" spans="6:8">
      <c r="H6370" t="s">
        <v>20108</v>
      </c>
    </row>
    <row r="6371" spans="6:8">
      <c r="H6371" t="s">
        <v>19713</v>
      </c>
    </row>
    <row r="6372" spans="6:8">
      <c r="H6372" t="s">
        <v>19714</v>
      </c>
    </row>
    <row r="6373" spans="6:8">
      <c r="H6373" t="s">
        <v>20109</v>
      </c>
    </row>
    <row r="6374" spans="6:8">
      <c r="H6374" t="s">
        <v>20110</v>
      </c>
    </row>
    <row r="6375" spans="6:8">
      <c r="H6375" t="s">
        <v>20092</v>
      </c>
    </row>
    <row r="6376" spans="6:8">
      <c r="H6376" t="s">
        <v>20095</v>
      </c>
    </row>
    <row r="6377" spans="6:8">
      <c r="H6377" t="s">
        <v>20096</v>
      </c>
    </row>
    <row r="6378" spans="6:8">
      <c r="H6378" t="s">
        <v>20097</v>
      </c>
    </row>
    <row r="6379" spans="6:8">
      <c r="H6379" t="s">
        <v>20098</v>
      </c>
    </row>
    <row r="6380" spans="6:8">
      <c r="F6380" t="s">
        <v>11361</v>
      </c>
      <c r="G6380" t="s">
        <v>15292</v>
      </c>
      <c r="H6380" t="s">
        <v>20091</v>
      </c>
    </row>
    <row r="6381" spans="6:8">
      <c r="H6381" t="s">
        <v>19712</v>
      </c>
    </row>
    <row r="6382" spans="6:8">
      <c r="H6382" t="s">
        <v>19709</v>
      </c>
    </row>
    <row r="6383" spans="6:8">
      <c r="H6383" t="s">
        <v>19706</v>
      </c>
    </row>
    <row r="6384" spans="6:8">
      <c r="H6384" t="s">
        <v>19707</v>
      </c>
    </row>
    <row r="6385" spans="6:8">
      <c r="H6385" t="s">
        <v>19711</v>
      </c>
    </row>
    <row r="6386" spans="6:8">
      <c r="H6386" t="s">
        <v>19708</v>
      </c>
    </row>
    <row r="6387" spans="6:8">
      <c r="H6387" t="s">
        <v>20107</v>
      </c>
    </row>
    <row r="6388" spans="6:8">
      <c r="H6388" t="s">
        <v>20108</v>
      </c>
    </row>
    <row r="6389" spans="6:8">
      <c r="H6389" t="s">
        <v>19713</v>
      </c>
    </row>
    <row r="6390" spans="6:8">
      <c r="H6390" t="s">
        <v>19714</v>
      </c>
    </row>
    <row r="6391" spans="6:8">
      <c r="H6391" t="s">
        <v>20109</v>
      </c>
    </row>
    <row r="6392" spans="6:8">
      <c r="H6392" t="s">
        <v>20110</v>
      </c>
    </row>
    <row r="6393" spans="6:8">
      <c r="H6393" t="s">
        <v>20092</v>
      </c>
    </row>
    <row r="6394" spans="6:8">
      <c r="H6394" t="s">
        <v>20095</v>
      </c>
    </row>
    <row r="6395" spans="6:8">
      <c r="H6395" t="s">
        <v>20096</v>
      </c>
    </row>
    <row r="6396" spans="6:8">
      <c r="H6396" t="s">
        <v>20097</v>
      </c>
    </row>
    <row r="6397" spans="6:8">
      <c r="H6397" t="s">
        <v>20098</v>
      </c>
    </row>
    <row r="6398" spans="6:8">
      <c r="F6398" t="s">
        <v>11362</v>
      </c>
      <c r="G6398" t="s">
        <v>15293</v>
      </c>
      <c r="H6398" t="s">
        <v>20091</v>
      </c>
    </row>
    <row r="6399" spans="6:8">
      <c r="H6399" t="s">
        <v>19712</v>
      </c>
    </row>
    <row r="6400" spans="6:8">
      <c r="H6400" t="s">
        <v>19709</v>
      </c>
    </row>
    <row r="6401" spans="6:8">
      <c r="H6401" t="s">
        <v>19706</v>
      </c>
    </row>
    <row r="6402" spans="6:8">
      <c r="H6402" t="s">
        <v>19707</v>
      </c>
    </row>
    <row r="6403" spans="6:8">
      <c r="H6403" t="s">
        <v>19711</v>
      </c>
    </row>
    <row r="6404" spans="6:8">
      <c r="H6404" t="s">
        <v>19708</v>
      </c>
    </row>
    <row r="6405" spans="6:8">
      <c r="H6405" t="s">
        <v>20107</v>
      </c>
    </row>
    <row r="6406" spans="6:8">
      <c r="H6406" t="s">
        <v>20108</v>
      </c>
    </row>
    <row r="6407" spans="6:8">
      <c r="H6407" t="s">
        <v>19713</v>
      </c>
    </row>
    <row r="6408" spans="6:8">
      <c r="H6408" t="s">
        <v>19714</v>
      </c>
    </row>
    <row r="6409" spans="6:8">
      <c r="H6409" t="s">
        <v>20109</v>
      </c>
    </row>
    <row r="6410" spans="6:8">
      <c r="H6410" t="s">
        <v>20110</v>
      </c>
    </row>
    <row r="6411" spans="6:8">
      <c r="H6411" t="s">
        <v>20092</v>
      </c>
    </row>
    <row r="6412" spans="6:8">
      <c r="H6412" t="s">
        <v>20095</v>
      </c>
    </row>
    <row r="6413" spans="6:8">
      <c r="H6413" t="s">
        <v>20096</v>
      </c>
    </row>
    <row r="6414" spans="6:8">
      <c r="H6414" t="s">
        <v>20097</v>
      </c>
    </row>
    <row r="6415" spans="6:8">
      <c r="H6415" t="s">
        <v>20098</v>
      </c>
    </row>
    <row r="6416" spans="6:8">
      <c r="F6416" t="s">
        <v>11363</v>
      </c>
      <c r="G6416" t="s">
        <v>15294</v>
      </c>
      <c r="H6416" t="s">
        <v>20091</v>
      </c>
    </row>
    <row r="6417" spans="8:8">
      <c r="H6417" t="s">
        <v>19712</v>
      </c>
    </row>
    <row r="6418" spans="8:8">
      <c r="H6418" t="s">
        <v>19709</v>
      </c>
    </row>
    <row r="6419" spans="8:8">
      <c r="H6419" t="s">
        <v>19706</v>
      </c>
    </row>
    <row r="6420" spans="8:8">
      <c r="H6420" t="s">
        <v>19707</v>
      </c>
    </row>
    <row r="6421" spans="8:8">
      <c r="H6421" t="s">
        <v>19711</v>
      </c>
    </row>
    <row r="6422" spans="8:8">
      <c r="H6422" t="s">
        <v>19708</v>
      </c>
    </row>
    <row r="6423" spans="8:8">
      <c r="H6423" t="s">
        <v>20107</v>
      </c>
    </row>
    <row r="6424" spans="8:8">
      <c r="H6424" t="s">
        <v>20108</v>
      </c>
    </row>
    <row r="6425" spans="8:8">
      <c r="H6425" t="s">
        <v>19713</v>
      </c>
    </row>
    <row r="6426" spans="8:8">
      <c r="H6426" t="s">
        <v>19714</v>
      </c>
    </row>
    <row r="6427" spans="8:8">
      <c r="H6427" t="s">
        <v>20109</v>
      </c>
    </row>
    <row r="6428" spans="8:8">
      <c r="H6428" t="s">
        <v>20110</v>
      </c>
    </row>
    <row r="6429" spans="8:8">
      <c r="H6429" t="s">
        <v>20092</v>
      </c>
    </row>
    <row r="6430" spans="8:8">
      <c r="H6430" t="s">
        <v>20095</v>
      </c>
    </row>
    <row r="6431" spans="8:8">
      <c r="H6431" t="s">
        <v>20096</v>
      </c>
    </row>
    <row r="6432" spans="8:8">
      <c r="H6432" t="s">
        <v>20097</v>
      </c>
    </row>
    <row r="6433" spans="6:8">
      <c r="H6433" t="s">
        <v>20098</v>
      </c>
    </row>
    <row r="6434" spans="6:8">
      <c r="F6434" t="s">
        <v>11364</v>
      </c>
      <c r="G6434" t="s">
        <v>15295</v>
      </c>
      <c r="H6434" t="s">
        <v>20091</v>
      </c>
    </row>
    <row r="6435" spans="6:8">
      <c r="H6435" t="s">
        <v>19712</v>
      </c>
    </row>
    <row r="6436" spans="6:8">
      <c r="H6436" t="s">
        <v>19709</v>
      </c>
    </row>
    <row r="6437" spans="6:8">
      <c r="H6437" t="s">
        <v>19706</v>
      </c>
    </row>
    <row r="6438" spans="6:8">
      <c r="H6438" t="s">
        <v>19707</v>
      </c>
    </row>
    <row r="6439" spans="6:8">
      <c r="H6439" t="s">
        <v>19711</v>
      </c>
    </row>
    <row r="6440" spans="6:8">
      <c r="H6440" t="s">
        <v>19708</v>
      </c>
    </row>
    <row r="6441" spans="6:8">
      <c r="H6441" t="s">
        <v>20107</v>
      </c>
    </row>
    <row r="6442" spans="6:8">
      <c r="H6442" t="s">
        <v>20108</v>
      </c>
    </row>
    <row r="6443" spans="6:8">
      <c r="H6443" t="s">
        <v>19713</v>
      </c>
    </row>
    <row r="6444" spans="6:8">
      <c r="H6444" t="s">
        <v>19714</v>
      </c>
    </row>
    <row r="6445" spans="6:8">
      <c r="H6445" t="s">
        <v>20109</v>
      </c>
    </row>
    <row r="6446" spans="6:8">
      <c r="H6446" t="s">
        <v>20110</v>
      </c>
    </row>
    <row r="6447" spans="6:8">
      <c r="H6447" t="s">
        <v>20092</v>
      </c>
    </row>
    <row r="6448" spans="6:8">
      <c r="H6448" t="s">
        <v>20095</v>
      </c>
    </row>
    <row r="6449" spans="6:8">
      <c r="H6449" t="s">
        <v>20096</v>
      </c>
    </row>
    <row r="6450" spans="6:8">
      <c r="H6450" t="s">
        <v>20097</v>
      </c>
    </row>
    <row r="6451" spans="6:8">
      <c r="H6451" t="s">
        <v>20098</v>
      </c>
    </row>
    <row r="6452" spans="6:8">
      <c r="F6452" t="s">
        <v>11365</v>
      </c>
      <c r="G6452" t="s">
        <v>15639</v>
      </c>
      <c r="H6452" t="s">
        <v>20091</v>
      </c>
    </row>
    <row r="6453" spans="6:8">
      <c r="H6453" t="s">
        <v>19712</v>
      </c>
    </row>
    <row r="6454" spans="6:8">
      <c r="H6454" t="s">
        <v>19706</v>
      </c>
    </row>
    <row r="6455" spans="6:8">
      <c r="H6455" t="s">
        <v>19707</v>
      </c>
    </row>
    <row r="6456" spans="6:8">
      <c r="H6456" t="s">
        <v>19708</v>
      </c>
    </row>
    <row r="6457" spans="6:8">
      <c r="H6457" t="s">
        <v>19710</v>
      </c>
    </row>
    <row r="6458" spans="6:8">
      <c r="H6458" t="s">
        <v>20092</v>
      </c>
    </row>
    <row r="6459" spans="6:8">
      <c r="H6459" t="s">
        <v>20095</v>
      </c>
    </row>
    <row r="6460" spans="6:8">
      <c r="H6460" t="s">
        <v>20096</v>
      </c>
    </row>
    <row r="6461" spans="6:8">
      <c r="H6461" t="s">
        <v>20097</v>
      </c>
    </row>
    <row r="6462" spans="6:8">
      <c r="H6462" t="s">
        <v>20098</v>
      </c>
    </row>
    <row r="6463" spans="6:8">
      <c r="H6463" t="s">
        <v>20100</v>
      </c>
    </row>
    <row r="6464" spans="6:8">
      <c r="H6464" t="s">
        <v>20101</v>
      </c>
    </row>
    <row r="6465" spans="6:8">
      <c r="H6465" t="s">
        <v>20102</v>
      </c>
    </row>
    <row r="6466" spans="6:8">
      <c r="H6466" t="s">
        <v>20104</v>
      </c>
    </row>
    <row r="6467" spans="6:8">
      <c r="F6467" t="s">
        <v>11366</v>
      </c>
      <c r="G6467" t="s">
        <v>15640</v>
      </c>
      <c r="H6467" t="s">
        <v>20091</v>
      </c>
    </row>
    <row r="6468" spans="6:8">
      <c r="H6468" t="s">
        <v>20092</v>
      </c>
    </row>
    <row r="6469" spans="6:8">
      <c r="H6469" t="s">
        <v>20095</v>
      </c>
    </row>
    <row r="6470" spans="6:8">
      <c r="H6470" t="s">
        <v>20096</v>
      </c>
    </row>
    <row r="6471" spans="6:8">
      <c r="H6471" t="s">
        <v>20097</v>
      </c>
    </row>
    <row r="6472" spans="6:8">
      <c r="F6472" t="s">
        <v>11367</v>
      </c>
      <c r="G6472" t="s">
        <v>15641</v>
      </c>
      <c r="H6472" t="s">
        <v>20091</v>
      </c>
    </row>
    <row r="6473" spans="6:8">
      <c r="H6473" t="s">
        <v>20092</v>
      </c>
    </row>
    <row r="6474" spans="6:8">
      <c r="H6474" t="s">
        <v>20095</v>
      </c>
    </row>
    <row r="6475" spans="6:8">
      <c r="H6475" t="s">
        <v>20096</v>
      </c>
    </row>
    <row r="6476" spans="6:8">
      <c r="H6476" t="s">
        <v>20097</v>
      </c>
    </row>
    <row r="6477" spans="6:8">
      <c r="H6477" t="s">
        <v>20098</v>
      </c>
    </row>
    <row r="6478" spans="6:8">
      <c r="F6478" t="s">
        <v>11368</v>
      </c>
      <c r="G6478" t="s">
        <v>15296</v>
      </c>
      <c r="H6478" t="s">
        <v>20091</v>
      </c>
    </row>
    <row r="6479" spans="6:8">
      <c r="H6479" t="s">
        <v>19712</v>
      </c>
    </row>
    <row r="6480" spans="6:8">
      <c r="H6480" t="s">
        <v>19709</v>
      </c>
    </row>
    <row r="6481" spans="8:8">
      <c r="H6481" t="s">
        <v>20107</v>
      </c>
    </row>
    <row r="6482" spans="8:8">
      <c r="H6482" t="s">
        <v>20108</v>
      </c>
    </row>
    <row r="6483" spans="8:8">
      <c r="H6483" t="s">
        <v>19713</v>
      </c>
    </row>
    <row r="6484" spans="8:8">
      <c r="H6484" t="s">
        <v>19714</v>
      </c>
    </row>
    <row r="6485" spans="8:8">
      <c r="H6485" t="s">
        <v>20109</v>
      </c>
    </row>
    <row r="6486" spans="8:8">
      <c r="H6486" t="s">
        <v>20110</v>
      </c>
    </row>
    <row r="6487" spans="8:8">
      <c r="H6487" t="s">
        <v>20111</v>
      </c>
    </row>
    <row r="6488" spans="8:8">
      <c r="H6488" t="s">
        <v>20112</v>
      </c>
    </row>
    <row r="6489" spans="8:8">
      <c r="H6489" t="s">
        <v>20113</v>
      </c>
    </row>
    <row r="6490" spans="8:8">
      <c r="H6490" t="s">
        <v>20114</v>
      </c>
    </row>
    <row r="6491" spans="8:8">
      <c r="H6491" t="s">
        <v>20115</v>
      </c>
    </row>
    <row r="6492" spans="8:8">
      <c r="H6492" t="s">
        <v>20120</v>
      </c>
    </row>
    <row r="6493" spans="8:8">
      <c r="H6493" t="s">
        <v>20095</v>
      </c>
    </row>
    <row r="6494" spans="8:8">
      <c r="H6494" t="s">
        <v>20096</v>
      </c>
    </row>
    <row r="6495" spans="8:8">
      <c r="H6495" t="s">
        <v>20097</v>
      </c>
    </row>
    <row r="6496" spans="8:8">
      <c r="H6496" t="s">
        <v>20098</v>
      </c>
    </row>
    <row r="6497" spans="6:8">
      <c r="F6497" t="s">
        <v>11369</v>
      </c>
      <c r="G6497" t="s">
        <v>15297</v>
      </c>
      <c r="H6497" t="s">
        <v>20091</v>
      </c>
    </row>
    <row r="6498" spans="6:8">
      <c r="H6498" t="s">
        <v>19712</v>
      </c>
    </row>
    <row r="6499" spans="6:8">
      <c r="H6499" t="s">
        <v>19709</v>
      </c>
    </row>
    <row r="6500" spans="6:8">
      <c r="H6500" t="s">
        <v>20107</v>
      </c>
    </row>
    <row r="6501" spans="6:8">
      <c r="H6501" t="s">
        <v>20108</v>
      </c>
    </row>
    <row r="6502" spans="6:8">
      <c r="H6502" t="s">
        <v>19713</v>
      </c>
    </row>
    <row r="6503" spans="6:8">
      <c r="H6503" t="s">
        <v>19714</v>
      </c>
    </row>
    <row r="6504" spans="6:8">
      <c r="H6504" t="s">
        <v>20109</v>
      </c>
    </row>
    <row r="6505" spans="6:8">
      <c r="H6505" t="s">
        <v>20110</v>
      </c>
    </row>
    <row r="6506" spans="6:8">
      <c r="H6506" t="s">
        <v>20111</v>
      </c>
    </row>
    <row r="6507" spans="6:8">
      <c r="H6507" t="s">
        <v>20112</v>
      </c>
    </row>
    <row r="6508" spans="6:8">
      <c r="H6508" t="s">
        <v>20113</v>
      </c>
    </row>
    <row r="6509" spans="6:8">
      <c r="H6509" t="s">
        <v>20114</v>
      </c>
    </row>
    <row r="6510" spans="6:8">
      <c r="H6510" t="s">
        <v>20115</v>
      </c>
    </row>
    <row r="6511" spans="6:8">
      <c r="H6511" t="s">
        <v>20120</v>
      </c>
    </row>
    <row r="6512" spans="6:8">
      <c r="H6512" t="s">
        <v>20095</v>
      </c>
    </row>
    <row r="6513" spans="6:8">
      <c r="H6513" t="s">
        <v>20096</v>
      </c>
    </row>
    <row r="6514" spans="6:8">
      <c r="H6514" t="s">
        <v>20097</v>
      </c>
    </row>
    <row r="6515" spans="6:8">
      <c r="H6515" t="s">
        <v>20098</v>
      </c>
    </row>
    <row r="6516" spans="6:8">
      <c r="F6516" t="s">
        <v>11370</v>
      </c>
      <c r="G6516" t="s">
        <v>15642</v>
      </c>
      <c r="H6516" t="s">
        <v>20091</v>
      </c>
    </row>
    <row r="6517" spans="6:8">
      <c r="H6517" t="s">
        <v>19712</v>
      </c>
    </row>
    <row r="6518" spans="6:8">
      <c r="H6518" t="s">
        <v>19709</v>
      </c>
    </row>
    <row r="6519" spans="6:8">
      <c r="H6519" t="s">
        <v>20092</v>
      </c>
    </row>
    <row r="6520" spans="6:8">
      <c r="H6520" t="s">
        <v>20117</v>
      </c>
    </row>
    <row r="6521" spans="6:8">
      <c r="H6521" t="s">
        <v>20095</v>
      </c>
    </row>
    <row r="6522" spans="6:8">
      <c r="H6522" t="s">
        <v>20096</v>
      </c>
    </row>
    <row r="6523" spans="6:8">
      <c r="H6523" t="s">
        <v>20097</v>
      </c>
    </row>
    <row r="6524" spans="6:8">
      <c r="H6524" t="s">
        <v>20098</v>
      </c>
    </row>
    <row r="6525" spans="6:8">
      <c r="H6525" t="s">
        <v>20099</v>
      </c>
    </row>
    <row r="6526" spans="6:8">
      <c r="H6526" t="s">
        <v>20100</v>
      </c>
    </row>
    <row r="6527" spans="6:8">
      <c r="H6527" t="s">
        <v>20101</v>
      </c>
    </row>
    <row r="6528" spans="6:8">
      <c r="H6528" t="s">
        <v>20102</v>
      </c>
    </row>
    <row r="6529" spans="6:8">
      <c r="H6529" t="s">
        <v>20104</v>
      </c>
    </row>
    <row r="6530" spans="6:8">
      <c r="H6530" t="s">
        <v>20105</v>
      </c>
    </row>
    <row r="6531" spans="6:8">
      <c r="H6531" t="s">
        <v>20123</v>
      </c>
    </row>
    <row r="6532" spans="6:8">
      <c r="H6532" t="s">
        <v>20124</v>
      </c>
    </row>
    <row r="6533" spans="6:8">
      <c r="H6533" t="s">
        <v>20192</v>
      </c>
    </row>
    <row r="6534" spans="6:8">
      <c r="H6534" t="s">
        <v>20193</v>
      </c>
    </row>
    <row r="6535" spans="6:8">
      <c r="F6535" t="s">
        <v>11371</v>
      </c>
      <c r="G6535" t="s">
        <v>15643</v>
      </c>
      <c r="H6535" t="s">
        <v>20091</v>
      </c>
    </row>
    <row r="6536" spans="6:8">
      <c r="H6536" t="s">
        <v>19709</v>
      </c>
    </row>
    <row r="6537" spans="6:8">
      <c r="H6537" t="s">
        <v>20092</v>
      </c>
    </row>
    <row r="6538" spans="6:8">
      <c r="H6538" t="s">
        <v>20117</v>
      </c>
    </row>
    <row r="6539" spans="6:8">
      <c r="H6539" t="s">
        <v>20095</v>
      </c>
    </row>
    <row r="6540" spans="6:8">
      <c r="H6540" t="s">
        <v>20096</v>
      </c>
    </row>
    <row r="6541" spans="6:8">
      <c r="H6541" t="s">
        <v>20097</v>
      </c>
    </row>
    <row r="6542" spans="6:8">
      <c r="H6542" t="s">
        <v>20098</v>
      </c>
    </row>
    <row r="6543" spans="6:8">
      <c r="H6543" t="s">
        <v>20099</v>
      </c>
    </row>
    <row r="6544" spans="6:8">
      <c r="H6544" t="s">
        <v>20100</v>
      </c>
    </row>
    <row r="6545" spans="6:8">
      <c r="H6545" t="s">
        <v>20101</v>
      </c>
    </row>
    <row r="6546" spans="6:8">
      <c r="H6546" t="s">
        <v>20102</v>
      </c>
    </row>
    <row r="6547" spans="6:8">
      <c r="H6547" t="s">
        <v>20104</v>
      </c>
    </row>
    <row r="6548" spans="6:8">
      <c r="H6548" t="s">
        <v>20105</v>
      </c>
    </row>
    <row r="6549" spans="6:8">
      <c r="H6549" t="s">
        <v>20123</v>
      </c>
    </row>
    <row r="6550" spans="6:8">
      <c r="H6550" t="s">
        <v>20124</v>
      </c>
    </row>
    <row r="6551" spans="6:8">
      <c r="H6551" t="s">
        <v>20192</v>
      </c>
    </row>
    <row r="6552" spans="6:8">
      <c r="H6552" t="s">
        <v>20193</v>
      </c>
    </row>
    <row r="6553" spans="6:8">
      <c r="F6553" t="s">
        <v>11372</v>
      </c>
      <c r="G6553" t="s">
        <v>15644</v>
      </c>
      <c r="H6553" t="s">
        <v>20091</v>
      </c>
    </row>
    <row r="6554" spans="6:8">
      <c r="H6554" t="s">
        <v>19709</v>
      </c>
    </row>
    <row r="6555" spans="6:8">
      <c r="H6555" t="s">
        <v>20092</v>
      </c>
    </row>
    <row r="6556" spans="6:8">
      <c r="H6556" t="s">
        <v>20117</v>
      </c>
    </row>
    <row r="6557" spans="6:8">
      <c r="H6557" t="s">
        <v>20095</v>
      </c>
    </row>
    <row r="6558" spans="6:8">
      <c r="H6558" t="s">
        <v>20096</v>
      </c>
    </row>
    <row r="6559" spans="6:8">
      <c r="H6559" t="s">
        <v>20097</v>
      </c>
    </row>
    <row r="6560" spans="6:8">
      <c r="H6560" t="s">
        <v>20098</v>
      </c>
    </row>
    <row r="6561" spans="6:8">
      <c r="H6561" t="s">
        <v>20099</v>
      </c>
    </row>
    <row r="6562" spans="6:8">
      <c r="H6562" t="s">
        <v>20100</v>
      </c>
    </row>
    <row r="6563" spans="6:8">
      <c r="H6563" t="s">
        <v>20101</v>
      </c>
    </row>
    <row r="6564" spans="6:8">
      <c r="H6564" t="s">
        <v>20102</v>
      </c>
    </row>
    <row r="6565" spans="6:8">
      <c r="H6565" t="s">
        <v>20104</v>
      </c>
    </row>
    <row r="6566" spans="6:8">
      <c r="H6566" t="s">
        <v>20105</v>
      </c>
    </row>
    <row r="6567" spans="6:8">
      <c r="H6567" t="s">
        <v>20123</v>
      </c>
    </row>
    <row r="6568" spans="6:8">
      <c r="H6568" t="s">
        <v>20124</v>
      </c>
    </row>
    <row r="6569" spans="6:8">
      <c r="H6569" t="s">
        <v>20192</v>
      </c>
    </row>
    <row r="6570" spans="6:8">
      <c r="H6570" t="s">
        <v>20193</v>
      </c>
    </row>
    <row r="6571" spans="6:8">
      <c r="F6571" t="s">
        <v>11373</v>
      </c>
      <c r="G6571" t="s">
        <v>15645</v>
      </c>
      <c r="H6571" t="s">
        <v>20091</v>
      </c>
    </row>
    <row r="6572" spans="6:8">
      <c r="H6572" t="s">
        <v>19709</v>
      </c>
    </row>
    <row r="6573" spans="6:8">
      <c r="H6573" t="s">
        <v>20092</v>
      </c>
    </row>
    <row r="6574" spans="6:8">
      <c r="H6574" t="s">
        <v>20117</v>
      </c>
    </row>
    <row r="6575" spans="6:8">
      <c r="H6575" t="s">
        <v>20095</v>
      </c>
    </row>
    <row r="6576" spans="6:8">
      <c r="H6576" t="s">
        <v>20096</v>
      </c>
    </row>
    <row r="6577" spans="6:8">
      <c r="H6577" t="s">
        <v>20097</v>
      </c>
    </row>
    <row r="6578" spans="6:8">
      <c r="H6578" t="s">
        <v>20098</v>
      </c>
    </row>
    <row r="6579" spans="6:8">
      <c r="H6579" t="s">
        <v>20099</v>
      </c>
    </row>
    <row r="6580" spans="6:8">
      <c r="H6580" t="s">
        <v>20100</v>
      </c>
    </row>
    <row r="6581" spans="6:8">
      <c r="H6581" t="s">
        <v>20101</v>
      </c>
    </row>
    <row r="6582" spans="6:8">
      <c r="H6582" t="s">
        <v>20102</v>
      </c>
    </row>
    <row r="6583" spans="6:8">
      <c r="H6583" t="s">
        <v>20104</v>
      </c>
    </row>
    <row r="6584" spans="6:8">
      <c r="H6584" t="s">
        <v>20105</v>
      </c>
    </row>
    <row r="6585" spans="6:8">
      <c r="H6585" t="s">
        <v>20123</v>
      </c>
    </row>
    <row r="6586" spans="6:8">
      <c r="H6586" t="s">
        <v>20124</v>
      </c>
    </row>
    <row r="6587" spans="6:8">
      <c r="H6587" t="s">
        <v>20192</v>
      </c>
    </row>
    <row r="6588" spans="6:8">
      <c r="H6588" t="s">
        <v>20193</v>
      </c>
    </row>
    <row r="6589" spans="6:8">
      <c r="F6589" t="s">
        <v>11374</v>
      </c>
      <c r="G6589" t="s">
        <v>15646</v>
      </c>
      <c r="H6589" t="s">
        <v>20091</v>
      </c>
    </row>
    <row r="6590" spans="6:8">
      <c r="H6590" t="s">
        <v>19709</v>
      </c>
    </row>
    <row r="6591" spans="6:8">
      <c r="H6591" t="s">
        <v>20092</v>
      </c>
    </row>
    <row r="6592" spans="6:8">
      <c r="H6592" t="s">
        <v>20117</v>
      </c>
    </row>
    <row r="6593" spans="6:8">
      <c r="H6593" t="s">
        <v>20095</v>
      </c>
    </row>
    <row r="6594" spans="6:8">
      <c r="H6594" t="s">
        <v>20096</v>
      </c>
    </row>
    <row r="6595" spans="6:8">
      <c r="H6595" t="s">
        <v>20097</v>
      </c>
    </row>
    <row r="6596" spans="6:8">
      <c r="H6596" t="s">
        <v>20098</v>
      </c>
    </row>
    <row r="6597" spans="6:8">
      <c r="H6597" t="s">
        <v>20099</v>
      </c>
    </row>
    <row r="6598" spans="6:8">
      <c r="H6598" t="s">
        <v>20100</v>
      </c>
    </row>
    <row r="6599" spans="6:8">
      <c r="H6599" t="s">
        <v>20101</v>
      </c>
    </row>
    <row r="6600" spans="6:8">
      <c r="H6600" t="s">
        <v>20102</v>
      </c>
    </row>
    <row r="6601" spans="6:8">
      <c r="H6601" t="s">
        <v>20104</v>
      </c>
    </row>
    <row r="6602" spans="6:8">
      <c r="H6602" t="s">
        <v>20105</v>
      </c>
    </row>
    <row r="6603" spans="6:8">
      <c r="H6603" t="s">
        <v>20123</v>
      </c>
    </row>
    <row r="6604" spans="6:8">
      <c r="H6604" t="s">
        <v>20124</v>
      </c>
    </row>
    <row r="6605" spans="6:8">
      <c r="H6605" t="s">
        <v>20192</v>
      </c>
    </row>
    <row r="6606" spans="6:8">
      <c r="H6606" t="s">
        <v>20193</v>
      </c>
    </row>
    <row r="6607" spans="6:8">
      <c r="H6607" t="s">
        <v>20194</v>
      </c>
    </row>
    <row r="6608" spans="6:8">
      <c r="F6608" t="s">
        <v>11375</v>
      </c>
      <c r="G6608" t="s">
        <v>15647</v>
      </c>
      <c r="H6608" t="s">
        <v>20091</v>
      </c>
    </row>
    <row r="6609" spans="8:8">
      <c r="H6609" t="s">
        <v>19709</v>
      </c>
    </row>
    <row r="6610" spans="8:8">
      <c r="H6610" t="s">
        <v>20092</v>
      </c>
    </row>
    <row r="6611" spans="8:8">
      <c r="H6611" t="s">
        <v>20117</v>
      </c>
    </row>
    <row r="6612" spans="8:8">
      <c r="H6612" t="s">
        <v>20095</v>
      </c>
    </row>
    <row r="6613" spans="8:8">
      <c r="H6613" t="s">
        <v>20096</v>
      </c>
    </row>
    <row r="6614" spans="8:8">
      <c r="H6614" t="s">
        <v>20097</v>
      </c>
    </row>
    <row r="6615" spans="8:8">
      <c r="H6615" t="s">
        <v>20098</v>
      </c>
    </row>
    <row r="6616" spans="8:8">
      <c r="H6616" t="s">
        <v>20099</v>
      </c>
    </row>
    <row r="6617" spans="8:8">
      <c r="H6617" t="s">
        <v>20100</v>
      </c>
    </row>
    <row r="6618" spans="8:8">
      <c r="H6618" t="s">
        <v>20101</v>
      </c>
    </row>
    <row r="6619" spans="8:8">
      <c r="H6619" t="s">
        <v>20102</v>
      </c>
    </row>
    <row r="6620" spans="8:8">
      <c r="H6620" t="s">
        <v>20104</v>
      </c>
    </row>
    <row r="6621" spans="8:8">
      <c r="H6621" t="s">
        <v>20105</v>
      </c>
    </row>
    <row r="6622" spans="8:8">
      <c r="H6622" t="s">
        <v>20123</v>
      </c>
    </row>
    <row r="6623" spans="8:8">
      <c r="H6623" t="s">
        <v>20124</v>
      </c>
    </row>
    <row r="6624" spans="8:8">
      <c r="H6624" t="s">
        <v>20192</v>
      </c>
    </row>
    <row r="6625" spans="6:8">
      <c r="H6625" t="s">
        <v>20193</v>
      </c>
    </row>
    <row r="6626" spans="6:8">
      <c r="F6626" t="s">
        <v>11376</v>
      </c>
      <c r="G6626" t="s">
        <v>15648</v>
      </c>
      <c r="H6626" t="s">
        <v>20091</v>
      </c>
    </row>
    <row r="6627" spans="6:8">
      <c r="H6627" t="s">
        <v>19712</v>
      </c>
    </row>
    <row r="6628" spans="6:8">
      <c r="H6628" t="s">
        <v>19709</v>
      </c>
    </row>
    <row r="6629" spans="6:8">
      <c r="H6629" t="s">
        <v>20092</v>
      </c>
    </row>
    <row r="6630" spans="6:8">
      <c r="H6630" t="s">
        <v>20117</v>
      </c>
    </row>
    <row r="6631" spans="6:8">
      <c r="H6631" t="s">
        <v>20095</v>
      </c>
    </row>
    <row r="6632" spans="6:8">
      <c r="H6632" t="s">
        <v>20096</v>
      </c>
    </row>
    <row r="6633" spans="6:8">
      <c r="H6633" t="s">
        <v>20097</v>
      </c>
    </row>
    <row r="6634" spans="6:8">
      <c r="H6634" t="s">
        <v>20098</v>
      </c>
    </row>
    <row r="6635" spans="6:8">
      <c r="H6635" t="s">
        <v>20099</v>
      </c>
    </row>
    <row r="6636" spans="6:8">
      <c r="H6636" t="s">
        <v>20100</v>
      </c>
    </row>
    <row r="6637" spans="6:8">
      <c r="H6637" t="s">
        <v>20101</v>
      </c>
    </row>
    <row r="6638" spans="6:8">
      <c r="H6638" t="s">
        <v>20102</v>
      </c>
    </row>
    <row r="6639" spans="6:8">
      <c r="H6639" t="s">
        <v>20104</v>
      </c>
    </row>
    <row r="6640" spans="6:8">
      <c r="H6640" t="s">
        <v>20105</v>
      </c>
    </row>
    <row r="6641" spans="6:8">
      <c r="H6641" t="s">
        <v>20123</v>
      </c>
    </row>
    <row r="6642" spans="6:8">
      <c r="H6642" t="s">
        <v>20124</v>
      </c>
    </row>
    <row r="6643" spans="6:8">
      <c r="H6643" t="s">
        <v>20192</v>
      </c>
    </row>
    <row r="6644" spans="6:8">
      <c r="H6644" t="s">
        <v>20193</v>
      </c>
    </row>
    <row r="6645" spans="6:8">
      <c r="F6645" t="s">
        <v>11377</v>
      </c>
      <c r="G6645" t="s">
        <v>15298</v>
      </c>
      <c r="H6645" t="s">
        <v>20091</v>
      </c>
    </row>
    <row r="6646" spans="6:8">
      <c r="H6646" t="s">
        <v>19712</v>
      </c>
    </row>
    <row r="6647" spans="6:8">
      <c r="H6647" t="s">
        <v>19709</v>
      </c>
    </row>
    <row r="6648" spans="6:8">
      <c r="H6648" t="s">
        <v>19706</v>
      </c>
    </row>
    <row r="6649" spans="6:8">
      <c r="H6649" t="s">
        <v>19707</v>
      </c>
    </row>
    <row r="6650" spans="6:8">
      <c r="H6650" t="s">
        <v>19711</v>
      </c>
    </row>
    <row r="6651" spans="6:8">
      <c r="H6651" t="s">
        <v>20107</v>
      </c>
    </row>
    <row r="6652" spans="6:8">
      <c r="H6652" t="s">
        <v>20108</v>
      </c>
    </row>
    <row r="6653" spans="6:8">
      <c r="H6653" t="s">
        <v>19713</v>
      </c>
    </row>
    <row r="6654" spans="6:8">
      <c r="H6654" t="s">
        <v>19714</v>
      </c>
    </row>
    <row r="6655" spans="6:8">
      <c r="H6655" t="s">
        <v>20095</v>
      </c>
    </row>
    <row r="6656" spans="6:8">
      <c r="H6656" t="s">
        <v>20096</v>
      </c>
    </row>
    <row r="6657" spans="6:8">
      <c r="H6657" t="s">
        <v>20097</v>
      </c>
    </row>
    <row r="6658" spans="6:8">
      <c r="H6658" t="s">
        <v>20098</v>
      </c>
    </row>
    <row r="6659" spans="6:8">
      <c r="F6659" t="s">
        <v>11378</v>
      </c>
      <c r="G6659" t="s">
        <v>15299</v>
      </c>
      <c r="H6659" t="s">
        <v>20091</v>
      </c>
    </row>
    <row r="6660" spans="6:8">
      <c r="H6660" t="s">
        <v>19712</v>
      </c>
    </row>
    <row r="6661" spans="6:8">
      <c r="H6661" t="s">
        <v>19709</v>
      </c>
    </row>
    <row r="6662" spans="6:8">
      <c r="H6662" t="s">
        <v>19706</v>
      </c>
    </row>
    <row r="6663" spans="6:8">
      <c r="H6663" t="s">
        <v>19707</v>
      </c>
    </row>
    <row r="6664" spans="6:8">
      <c r="H6664" t="s">
        <v>19711</v>
      </c>
    </row>
    <row r="6665" spans="6:8">
      <c r="H6665" t="s">
        <v>20107</v>
      </c>
    </row>
    <row r="6666" spans="6:8">
      <c r="H6666" t="s">
        <v>20108</v>
      </c>
    </row>
    <row r="6667" spans="6:8">
      <c r="H6667" t="s">
        <v>19713</v>
      </c>
    </row>
    <row r="6668" spans="6:8">
      <c r="H6668" t="s">
        <v>19714</v>
      </c>
    </row>
    <row r="6669" spans="6:8">
      <c r="H6669" t="s">
        <v>20095</v>
      </c>
    </row>
    <row r="6670" spans="6:8">
      <c r="H6670" t="s">
        <v>20096</v>
      </c>
    </row>
    <row r="6671" spans="6:8">
      <c r="H6671" t="s">
        <v>20097</v>
      </c>
    </row>
    <row r="6672" spans="6:8">
      <c r="H6672" t="s">
        <v>20098</v>
      </c>
    </row>
    <row r="6673" spans="6:8">
      <c r="F6673" t="s">
        <v>11379</v>
      </c>
      <c r="G6673" t="s">
        <v>15300</v>
      </c>
      <c r="H6673" t="s">
        <v>20091</v>
      </c>
    </row>
    <row r="6674" spans="6:8">
      <c r="H6674" t="s">
        <v>19712</v>
      </c>
    </row>
    <row r="6675" spans="6:8">
      <c r="H6675" t="s">
        <v>19709</v>
      </c>
    </row>
    <row r="6676" spans="6:8">
      <c r="H6676" t="s">
        <v>19706</v>
      </c>
    </row>
    <row r="6677" spans="6:8">
      <c r="H6677" t="s">
        <v>19707</v>
      </c>
    </row>
    <row r="6678" spans="6:8">
      <c r="H6678" t="s">
        <v>19711</v>
      </c>
    </row>
    <row r="6679" spans="6:8">
      <c r="H6679" t="s">
        <v>20107</v>
      </c>
    </row>
    <row r="6680" spans="6:8">
      <c r="H6680" t="s">
        <v>20108</v>
      </c>
    </row>
    <row r="6681" spans="6:8">
      <c r="H6681" t="s">
        <v>19713</v>
      </c>
    </row>
    <row r="6682" spans="6:8">
      <c r="H6682" t="s">
        <v>19714</v>
      </c>
    </row>
    <row r="6683" spans="6:8">
      <c r="H6683" t="s">
        <v>20095</v>
      </c>
    </row>
    <row r="6684" spans="6:8">
      <c r="H6684" t="s">
        <v>20096</v>
      </c>
    </row>
    <row r="6685" spans="6:8">
      <c r="H6685" t="s">
        <v>20097</v>
      </c>
    </row>
    <row r="6686" spans="6:8">
      <c r="H6686" t="s">
        <v>20098</v>
      </c>
    </row>
    <row r="6687" spans="6:8">
      <c r="F6687" t="s">
        <v>11380</v>
      </c>
      <c r="G6687" t="s">
        <v>15301</v>
      </c>
      <c r="H6687" t="s">
        <v>20091</v>
      </c>
    </row>
    <row r="6688" spans="6:8">
      <c r="H6688" t="s">
        <v>19712</v>
      </c>
    </row>
    <row r="6689" spans="6:8">
      <c r="H6689" t="s">
        <v>19709</v>
      </c>
    </row>
    <row r="6690" spans="6:8">
      <c r="H6690" t="s">
        <v>19706</v>
      </c>
    </row>
    <row r="6691" spans="6:8">
      <c r="H6691" t="s">
        <v>19707</v>
      </c>
    </row>
    <row r="6692" spans="6:8">
      <c r="H6692" t="s">
        <v>19711</v>
      </c>
    </row>
    <row r="6693" spans="6:8">
      <c r="H6693" t="s">
        <v>20107</v>
      </c>
    </row>
    <row r="6694" spans="6:8">
      <c r="H6694" t="s">
        <v>20108</v>
      </c>
    </row>
    <row r="6695" spans="6:8">
      <c r="H6695" t="s">
        <v>19713</v>
      </c>
    </row>
    <row r="6696" spans="6:8">
      <c r="H6696" t="s">
        <v>19714</v>
      </c>
    </row>
    <row r="6697" spans="6:8">
      <c r="H6697" t="s">
        <v>20095</v>
      </c>
    </row>
    <row r="6698" spans="6:8">
      <c r="H6698" t="s">
        <v>20096</v>
      </c>
    </row>
    <row r="6699" spans="6:8">
      <c r="H6699" t="s">
        <v>20097</v>
      </c>
    </row>
    <row r="6700" spans="6:8">
      <c r="H6700" t="s">
        <v>20098</v>
      </c>
    </row>
    <row r="6701" spans="6:8">
      <c r="H6701" t="s">
        <v>20099</v>
      </c>
    </row>
    <row r="6702" spans="6:8">
      <c r="F6702" t="s">
        <v>11381</v>
      </c>
      <c r="G6702" t="s">
        <v>15302</v>
      </c>
      <c r="H6702" t="s">
        <v>20091</v>
      </c>
    </row>
    <row r="6703" spans="6:8">
      <c r="H6703" t="s">
        <v>19712</v>
      </c>
    </row>
    <row r="6704" spans="6:8">
      <c r="H6704" t="s">
        <v>19709</v>
      </c>
    </row>
    <row r="6705" spans="6:8">
      <c r="H6705" t="s">
        <v>19706</v>
      </c>
    </row>
    <row r="6706" spans="6:8">
      <c r="H6706" t="s">
        <v>19707</v>
      </c>
    </row>
    <row r="6707" spans="6:8">
      <c r="H6707" t="s">
        <v>19711</v>
      </c>
    </row>
    <row r="6708" spans="6:8">
      <c r="H6708" t="s">
        <v>20107</v>
      </c>
    </row>
    <row r="6709" spans="6:8">
      <c r="H6709" t="s">
        <v>20108</v>
      </c>
    </row>
    <row r="6710" spans="6:8">
      <c r="H6710" t="s">
        <v>19713</v>
      </c>
    </row>
    <row r="6711" spans="6:8">
      <c r="H6711" t="s">
        <v>19714</v>
      </c>
    </row>
    <row r="6712" spans="6:8">
      <c r="H6712" t="s">
        <v>20095</v>
      </c>
    </row>
    <row r="6713" spans="6:8">
      <c r="H6713" t="s">
        <v>20096</v>
      </c>
    </row>
    <row r="6714" spans="6:8">
      <c r="H6714" t="s">
        <v>20097</v>
      </c>
    </row>
    <row r="6715" spans="6:8">
      <c r="H6715" t="s">
        <v>20098</v>
      </c>
    </row>
    <row r="6716" spans="6:8">
      <c r="H6716" t="s">
        <v>20099</v>
      </c>
    </row>
    <row r="6717" spans="6:8">
      <c r="F6717" t="s">
        <v>11382</v>
      </c>
      <c r="G6717" t="s">
        <v>15303</v>
      </c>
      <c r="H6717" t="s">
        <v>20091</v>
      </c>
    </row>
    <row r="6718" spans="6:8">
      <c r="H6718" t="s">
        <v>19712</v>
      </c>
    </row>
    <row r="6719" spans="6:8">
      <c r="H6719" t="s">
        <v>19709</v>
      </c>
    </row>
    <row r="6720" spans="6:8">
      <c r="H6720" t="s">
        <v>19706</v>
      </c>
    </row>
    <row r="6721" spans="6:8">
      <c r="H6721" t="s">
        <v>19707</v>
      </c>
    </row>
    <row r="6722" spans="6:8">
      <c r="H6722" t="s">
        <v>19711</v>
      </c>
    </row>
    <row r="6723" spans="6:8">
      <c r="H6723" t="s">
        <v>20107</v>
      </c>
    </row>
    <row r="6724" spans="6:8">
      <c r="H6724" t="s">
        <v>20108</v>
      </c>
    </row>
    <row r="6725" spans="6:8">
      <c r="H6725" t="s">
        <v>19713</v>
      </c>
    </row>
    <row r="6726" spans="6:8">
      <c r="H6726" t="s">
        <v>19714</v>
      </c>
    </row>
    <row r="6727" spans="6:8">
      <c r="H6727" t="s">
        <v>20095</v>
      </c>
    </row>
    <row r="6728" spans="6:8">
      <c r="H6728" t="s">
        <v>20096</v>
      </c>
    </row>
    <row r="6729" spans="6:8">
      <c r="H6729" t="s">
        <v>20097</v>
      </c>
    </row>
    <row r="6730" spans="6:8">
      <c r="H6730" t="s">
        <v>20098</v>
      </c>
    </row>
    <row r="6731" spans="6:8">
      <c r="F6731" t="s">
        <v>11383</v>
      </c>
      <c r="G6731" t="s">
        <v>15304</v>
      </c>
      <c r="H6731" t="s">
        <v>20091</v>
      </c>
    </row>
    <row r="6732" spans="6:8">
      <c r="H6732" t="s">
        <v>19712</v>
      </c>
    </row>
    <row r="6733" spans="6:8">
      <c r="H6733" t="s">
        <v>19709</v>
      </c>
    </row>
    <row r="6734" spans="6:8">
      <c r="H6734" t="s">
        <v>19706</v>
      </c>
    </row>
    <row r="6735" spans="6:8">
      <c r="H6735" t="s">
        <v>19707</v>
      </c>
    </row>
    <row r="6736" spans="6:8">
      <c r="H6736" t="s">
        <v>19711</v>
      </c>
    </row>
    <row r="6737" spans="6:8">
      <c r="H6737" t="s">
        <v>20107</v>
      </c>
    </row>
    <row r="6738" spans="6:8">
      <c r="H6738" t="s">
        <v>20108</v>
      </c>
    </row>
    <row r="6739" spans="6:8">
      <c r="H6739" t="s">
        <v>19713</v>
      </c>
    </row>
    <row r="6740" spans="6:8">
      <c r="H6740" t="s">
        <v>19714</v>
      </c>
    </row>
    <row r="6741" spans="6:8">
      <c r="H6741" t="s">
        <v>20095</v>
      </c>
    </row>
    <row r="6742" spans="6:8">
      <c r="H6742" t="s">
        <v>20096</v>
      </c>
    </row>
    <row r="6743" spans="6:8">
      <c r="H6743" t="s">
        <v>20097</v>
      </c>
    </row>
    <row r="6744" spans="6:8">
      <c r="H6744" t="s">
        <v>20098</v>
      </c>
    </row>
    <row r="6745" spans="6:8">
      <c r="F6745" t="s">
        <v>11384</v>
      </c>
      <c r="G6745" t="s">
        <v>15305</v>
      </c>
      <c r="H6745" t="s">
        <v>20091</v>
      </c>
    </row>
    <row r="6746" spans="6:8">
      <c r="H6746" t="s">
        <v>19712</v>
      </c>
    </row>
    <row r="6747" spans="6:8">
      <c r="H6747" t="s">
        <v>19709</v>
      </c>
    </row>
    <row r="6748" spans="6:8">
      <c r="H6748" t="s">
        <v>19706</v>
      </c>
    </row>
    <row r="6749" spans="6:8">
      <c r="H6749" t="s">
        <v>19707</v>
      </c>
    </row>
    <row r="6750" spans="6:8">
      <c r="H6750" t="s">
        <v>19711</v>
      </c>
    </row>
    <row r="6751" spans="6:8">
      <c r="H6751" t="s">
        <v>20107</v>
      </c>
    </row>
    <row r="6752" spans="6:8">
      <c r="H6752" t="s">
        <v>20108</v>
      </c>
    </row>
    <row r="6753" spans="6:8">
      <c r="H6753" t="s">
        <v>19713</v>
      </c>
    </row>
    <row r="6754" spans="6:8">
      <c r="H6754" t="s">
        <v>19714</v>
      </c>
    </row>
    <row r="6755" spans="6:8">
      <c r="H6755" t="s">
        <v>20095</v>
      </c>
    </row>
    <row r="6756" spans="6:8">
      <c r="H6756" t="s">
        <v>20096</v>
      </c>
    </row>
    <row r="6757" spans="6:8">
      <c r="H6757" t="s">
        <v>20097</v>
      </c>
    </row>
    <row r="6758" spans="6:8">
      <c r="H6758" t="s">
        <v>20098</v>
      </c>
    </row>
    <row r="6759" spans="6:8">
      <c r="F6759" t="s">
        <v>11385</v>
      </c>
      <c r="G6759" t="s">
        <v>15306</v>
      </c>
      <c r="H6759" t="s">
        <v>20091</v>
      </c>
    </row>
    <row r="6760" spans="6:8">
      <c r="H6760" t="s">
        <v>19712</v>
      </c>
    </row>
    <row r="6761" spans="6:8">
      <c r="H6761" t="s">
        <v>19709</v>
      </c>
    </row>
    <row r="6762" spans="6:8">
      <c r="H6762" t="s">
        <v>19706</v>
      </c>
    </row>
    <row r="6763" spans="6:8">
      <c r="H6763" t="s">
        <v>19707</v>
      </c>
    </row>
    <row r="6764" spans="6:8">
      <c r="H6764" t="s">
        <v>19711</v>
      </c>
    </row>
    <row r="6765" spans="6:8">
      <c r="H6765" t="s">
        <v>20107</v>
      </c>
    </row>
    <row r="6766" spans="6:8">
      <c r="H6766" t="s">
        <v>20108</v>
      </c>
    </row>
    <row r="6767" spans="6:8">
      <c r="H6767" t="s">
        <v>19713</v>
      </c>
    </row>
    <row r="6768" spans="6:8">
      <c r="H6768" t="s">
        <v>19714</v>
      </c>
    </row>
    <row r="6769" spans="6:8">
      <c r="H6769" t="s">
        <v>20095</v>
      </c>
    </row>
    <row r="6770" spans="6:8">
      <c r="H6770" t="s">
        <v>20096</v>
      </c>
    </row>
    <row r="6771" spans="6:8">
      <c r="H6771" t="s">
        <v>20097</v>
      </c>
    </row>
    <row r="6772" spans="6:8">
      <c r="H6772" t="s">
        <v>20098</v>
      </c>
    </row>
    <row r="6773" spans="6:8">
      <c r="H6773" t="s">
        <v>20099</v>
      </c>
    </row>
    <row r="6774" spans="6:8">
      <c r="F6774" t="s">
        <v>11386</v>
      </c>
      <c r="G6774" t="s">
        <v>15307</v>
      </c>
      <c r="H6774" t="s">
        <v>20091</v>
      </c>
    </row>
    <row r="6775" spans="6:8">
      <c r="H6775" t="s">
        <v>19712</v>
      </c>
    </row>
    <row r="6776" spans="6:8">
      <c r="H6776" t="s">
        <v>19709</v>
      </c>
    </row>
    <row r="6777" spans="6:8">
      <c r="H6777" t="s">
        <v>19706</v>
      </c>
    </row>
    <row r="6778" spans="6:8">
      <c r="H6778" t="s">
        <v>19707</v>
      </c>
    </row>
    <row r="6779" spans="6:8">
      <c r="H6779" t="s">
        <v>19711</v>
      </c>
    </row>
    <row r="6780" spans="6:8">
      <c r="H6780" t="s">
        <v>20107</v>
      </c>
    </row>
    <row r="6781" spans="6:8">
      <c r="H6781" t="s">
        <v>20108</v>
      </c>
    </row>
    <row r="6782" spans="6:8">
      <c r="H6782" t="s">
        <v>19713</v>
      </c>
    </row>
    <row r="6783" spans="6:8">
      <c r="H6783" t="s">
        <v>19714</v>
      </c>
    </row>
    <row r="6784" spans="6:8">
      <c r="H6784" t="s">
        <v>20095</v>
      </c>
    </row>
    <row r="6785" spans="6:8">
      <c r="H6785" t="s">
        <v>20096</v>
      </c>
    </row>
    <row r="6786" spans="6:8">
      <c r="H6786" t="s">
        <v>20097</v>
      </c>
    </row>
    <row r="6787" spans="6:8">
      <c r="H6787" t="s">
        <v>20098</v>
      </c>
    </row>
    <row r="6788" spans="6:8">
      <c r="H6788" t="s">
        <v>20099</v>
      </c>
    </row>
    <row r="6789" spans="6:8">
      <c r="F6789" t="s">
        <v>11387</v>
      </c>
      <c r="G6789" t="s">
        <v>15308</v>
      </c>
      <c r="H6789" t="s">
        <v>20091</v>
      </c>
    </row>
    <row r="6790" spans="6:8">
      <c r="H6790" t="s">
        <v>19712</v>
      </c>
    </row>
    <row r="6791" spans="6:8">
      <c r="H6791" t="s">
        <v>20107</v>
      </c>
    </row>
    <row r="6792" spans="6:8">
      <c r="H6792" t="s">
        <v>20108</v>
      </c>
    </row>
    <row r="6793" spans="6:8">
      <c r="H6793" t="s">
        <v>19713</v>
      </c>
    </row>
    <row r="6794" spans="6:8">
      <c r="H6794" t="s">
        <v>20095</v>
      </c>
    </row>
    <row r="6795" spans="6:8">
      <c r="H6795" t="s">
        <v>20096</v>
      </c>
    </row>
    <row r="6796" spans="6:8">
      <c r="H6796" t="s">
        <v>20097</v>
      </c>
    </row>
    <row r="6797" spans="6:8">
      <c r="H6797" t="s">
        <v>20098</v>
      </c>
    </row>
    <row r="6798" spans="6:8">
      <c r="H6798" t="s">
        <v>20099</v>
      </c>
    </row>
    <row r="6799" spans="6:8">
      <c r="H6799" t="s">
        <v>20100</v>
      </c>
    </row>
    <row r="6800" spans="6:8">
      <c r="H6800" t="s">
        <v>20101</v>
      </c>
    </row>
    <row r="6801" spans="6:8">
      <c r="H6801" t="s">
        <v>20104</v>
      </c>
    </row>
    <row r="6802" spans="6:8">
      <c r="H6802" t="s">
        <v>20105</v>
      </c>
    </row>
    <row r="6803" spans="6:8">
      <c r="H6803" t="s">
        <v>20123</v>
      </c>
    </row>
    <row r="6804" spans="6:8">
      <c r="H6804" t="s">
        <v>20124</v>
      </c>
    </row>
    <row r="6805" spans="6:8">
      <c r="F6805" t="s">
        <v>11388</v>
      </c>
      <c r="G6805" t="s">
        <v>15309</v>
      </c>
      <c r="H6805" t="s">
        <v>20091</v>
      </c>
    </row>
    <row r="6806" spans="6:8">
      <c r="H6806" t="s">
        <v>19712</v>
      </c>
    </row>
    <row r="6807" spans="6:8">
      <c r="H6807" t="s">
        <v>19709</v>
      </c>
    </row>
    <row r="6808" spans="6:8">
      <c r="H6808" t="s">
        <v>19706</v>
      </c>
    </row>
    <row r="6809" spans="6:8">
      <c r="H6809" t="s">
        <v>19711</v>
      </c>
    </row>
    <row r="6810" spans="6:8">
      <c r="H6810" t="s">
        <v>20117</v>
      </c>
    </row>
    <row r="6811" spans="6:8">
      <c r="H6811" t="s">
        <v>20095</v>
      </c>
    </row>
    <row r="6812" spans="6:8">
      <c r="H6812" t="s">
        <v>20096</v>
      </c>
    </row>
    <row r="6813" spans="6:8">
      <c r="H6813" t="s">
        <v>20099</v>
      </c>
    </row>
    <row r="6814" spans="6:8">
      <c r="H6814" t="s">
        <v>20101</v>
      </c>
    </row>
    <row r="6815" spans="6:8">
      <c r="H6815" t="s">
        <v>20102</v>
      </c>
    </row>
    <row r="6816" spans="6:8">
      <c r="H6816" t="s">
        <v>20104</v>
      </c>
    </row>
    <row r="6817" spans="6:8">
      <c r="H6817" t="s">
        <v>20105</v>
      </c>
    </row>
    <row r="6818" spans="6:8">
      <c r="H6818" t="s">
        <v>20123</v>
      </c>
    </row>
    <row r="6819" spans="6:8">
      <c r="H6819" t="s">
        <v>20124</v>
      </c>
    </row>
    <row r="6820" spans="6:8">
      <c r="H6820" t="s">
        <v>20192</v>
      </c>
    </row>
    <row r="6821" spans="6:8">
      <c r="H6821" t="s">
        <v>20193</v>
      </c>
    </row>
    <row r="6822" spans="6:8">
      <c r="H6822" t="s">
        <v>20194</v>
      </c>
    </row>
    <row r="6823" spans="6:8">
      <c r="H6823" t="s">
        <v>19177</v>
      </c>
    </row>
    <row r="6824" spans="6:8">
      <c r="H6824" t="s">
        <v>20196</v>
      </c>
    </row>
    <row r="6825" spans="6:8">
      <c r="H6825" t="s">
        <v>20197</v>
      </c>
    </row>
    <row r="6826" spans="6:8">
      <c r="H6826" t="s">
        <v>20198</v>
      </c>
    </row>
    <row r="6827" spans="6:8">
      <c r="F6827" t="s">
        <v>11389</v>
      </c>
      <c r="G6827" t="s">
        <v>15649</v>
      </c>
      <c r="H6827" t="s">
        <v>20091</v>
      </c>
    </row>
    <row r="6828" spans="6:8">
      <c r="H6828" t="s">
        <v>19712</v>
      </c>
    </row>
    <row r="6829" spans="6:8">
      <c r="H6829" t="s">
        <v>19706</v>
      </c>
    </row>
    <row r="6830" spans="6:8">
      <c r="H6830" t="s">
        <v>20117</v>
      </c>
    </row>
    <row r="6831" spans="6:8">
      <c r="H6831" t="s">
        <v>20095</v>
      </c>
    </row>
    <row r="6832" spans="6:8">
      <c r="H6832" t="s">
        <v>20096</v>
      </c>
    </row>
    <row r="6833" spans="6:8">
      <c r="H6833" t="s">
        <v>20099</v>
      </c>
    </row>
    <row r="6834" spans="6:8">
      <c r="H6834" t="s">
        <v>20100</v>
      </c>
    </row>
    <row r="6835" spans="6:8">
      <c r="H6835" t="s">
        <v>20101</v>
      </c>
    </row>
    <row r="6836" spans="6:8">
      <c r="H6836" t="s">
        <v>20102</v>
      </c>
    </row>
    <row r="6837" spans="6:8">
      <c r="H6837" t="s">
        <v>20104</v>
      </c>
    </row>
    <row r="6838" spans="6:8">
      <c r="H6838" t="s">
        <v>20105</v>
      </c>
    </row>
    <row r="6839" spans="6:8">
      <c r="H6839" t="s">
        <v>20123</v>
      </c>
    </row>
    <row r="6840" spans="6:8">
      <c r="H6840" t="s">
        <v>20124</v>
      </c>
    </row>
    <row r="6841" spans="6:8">
      <c r="H6841" t="s">
        <v>20192</v>
      </c>
    </row>
    <row r="6842" spans="6:8">
      <c r="H6842" t="s">
        <v>20193</v>
      </c>
    </row>
    <row r="6843" spans="6:8">
      <c r="H6843" t="s">
        <v>20194</v>
      </c>
    </row>
    <row r="6844" spans="6:8">
      <c r="H6844" t="s">
        <v>19177</v>
      </c>
    </row>
    <row r="6845" spans="6:8">
      <c r="H6845" t="s">
        <v>20196</v>
      </c>
    </row>
    <row r="6846" spans="6:8">
      <c r="H6846" t="s">
        <v>20197</v>
      </c>
    </row>
    <row r="6847" spans="6:8">
      <c r="H6847" t="s">
        <v>20198</v>
      </c>
    </row>
    <row r="6848" spans="6:8">
      <c r="F6848" t="s">
        <v>11390</v>
      </c>
      <c r="G6848" t="s">
        <v>15650</v>
      </c>
      <c r="H6848" t="s">
        <v>20091</v>
      </c>
    </row>
    <row r="6849" spans="8:8">
      <c r="H6849" t="s">
        <v>19712</v>
      </c>
    </row>
    <row r="6850" spans="8:8">
      <c r="H6850" t="s">
        <v>19706</v>
      </c>
    </row>
    <row r="6851" spans="8:8">
      <c r="H6851" t="s">
        <v>20117</v>
      </c>
    </row>
    <row r="6852" spans="8:8">
      <c r="H6852" t="s">
        <v>20095</v>
      </c>
    </row>
    <row r="6853" spans="8:8">
      <c r="H6853" t="s">
        <v>20096</v>
      </c>
    </row>
    <row r="6854" spans="8:8">
      <c r="H6854" t="s">
        <v>20099</v>
      </c>
    </row>
    <row r="6855" spans="8:8">
      <c r="H6855" t="s">
        <v>20100</v>
      </c>
    </row>
    <row r="6856" spans="8:8">
      <c r="H6856" t="s">
        <v>20101</v>
      </c>
    </row>
    <row r="6857" spans="8:8">
      <c r="H6857" t="s">
        <v>20102</v>
      </c>
    </row>
    <row r="6858" spans="8:8">
      <c r="H6858" t="s">
        <v>20104</v>
      </c>
    </row>
    <row r="6859" spans="8:8">
      <c r="H6859" t="s">
        <v>20105</v>
      </c>
    </row>
    <row r="6860" spans="8:8">
      <c r="H6860" t="s">
        <v>20123</v>
      </c>
    </row>
    <row r="6861" spans="8:8">
      <c r="H6861" t="s">
        <v>20124</v>
      </c>
    </row>
    <row r="6862" spans="8:8">
      <c r="H6862" t="s">
        <v>20192</v>
      </c>
    </row>
    <row r="6863" spans="8:8">
      <c r="H6863" t="s">
        <v>20193</v>
      </c>
    </row>
    <row r="6864" spans="8:8">
      <c r="H6864" t="s">
        <v>20194</v>
      </c>
    </row>
    <row r="6865" spans="6:8">
      <c r="H6865" t="s">
        <v>19177</v>
      </c>
    </row>
    <row r="6866" spans="6:8">
      <c r="H6866" t="s">
        <v>20196</v>
      </c>
    </row>
    <row r="6867" spans="6:8">
      <c r="H6867" t="s">
        <v>20197</v>
      </c>
    </row>
    <row r="6868" spans="6:8">
      <c r="H6868" t="s">
        <v>20198</v>
      </c>
    </row>
    <row r="6869" spans="6:8">
      <c r="F6869" t="s">
        <v>11391</v>
      </c>
      <c r="G6869" t="s">
        <v>15651</v>
      </c>
      <c r="H6869" t="s">
        <v>20091</v>
      </c>
    </row>
    <row r="6870" spans="6:8">
      <c r="H6870" t="s">
        <v>19712</v>
      </c>
    </row>
    <row r="6871" spans="6:8">
      <c r="H6871" t="s">
        <v>19706</v>
      </c>
    </row>
    <row r="6872" spans="6:8">
      <c r="H6872" t="s">
        <v>20117</v>
      </c>
    </row>
    <row r="6873" spans="6:8">
      <c r="H6873" t="s">
        <v>20095</v>
      </c>
    </row>
    <row r="6874" spans="6:8">
      <c r="H6874" t="s">
        <v>20096</v>
      </c>
    </row>
    <row r="6875" spans="6:8">
      <c r="H6875" t="s">
        <v>20099</v>
      </c>
    </row>
    <row r="6876" spans="6:8">
      <c r="H6876" t="s">
        <v>20100</v>
      </c>
    </row>
    <row r="6877" spans="6:8">
      <c r="H6877" t="s">
        <v>20101</v>
      </c>
    </row>
    <row r="6878" spans="6:8">
      <c r="H6878" t="s">
        <v>20102</v>
      </c>
    </row>
    <row r="6879" spans="6:8">
      <c r="H6879" t="s">
        <v>20104</v>
      </c>
    </row>
    <row r="6880" spans="6:8">
      <c r="H6880" t="s">
        <v>20105</v>
      </c>
    </row>
    <row r="6881" spans="6:8">
      <c r="H6881" t="s">
        <v>20123</v>
      </c>
    </row>
    <row r="6882" spans="6:8">
      <c r="H6882" t="s">
        <v>20124</v>
      </c>
    </row>
    <row r="6883" spans="6:8">
      <c r="H6883" t="s">
        <v>20192</v>
      </c>
    </row>
    <row r="6884" spans="6:8">
      <c r="H6884" t="s">
        <v>20193</v>
      </c>
    </row>
    <row r="6885" spans="6:8">
      <c r="H6885" t="s">
        <v>20194</v>
      </c>
    </row>
    <row r="6886" spans="6:8">
      <c r="H6886" t="s">
        <v>19177</v>
      </c>
    </row>
    <row r="6887" spans="6:8">
      <c r="H6887" t="s">
        <v>20196</v>
      </c>
    </row>
    <row r="6888" spans="6:8">
      <c r="H6888" t="s">
        <v>20197</v>
      </c>
    </row>
    <row r="6889" spans="6:8">
      <c r="H6889" t="s">
        <v>20198</v>
      </c>
    </row>
    <row r="6890" spans="6:8">
      <c r="F6890" t="s">
        <v>11392</v>
      </c>
      <c r="G6890" t="s">
        <v>15652</v>
      </c>
      <c r="H6890" t="s">
        <v>20091</v>
      </c>
    </row>
    <row r="6891" spans="6:8">
      <c r="H6891" t="s">
        <v>19712</v>
      </c>
    </row>
    <row r="6892" spans="6:8">
      <c r="H6892" t="s">
        <v>19706</v>
      </c>
    </row>
    <row r="6893" spans="6:8">
      <c r="H6893" t="s">
        <v>20117</v>
      </c>
    </row>
    <row r="6894" spans="6:8">
      <c r="H6894" t="s">
        <v>20095</v>
      </c>
    </row>
    <row r="6895" spans="6:8">
      <c r="H6895" t="s">
        <v>20096</v>
      </c>
    </row>
    <row r="6896" spans="6:8">
      <c r="H6896" t="s">
        <v>20099</v>
      </c>
    </row>
    <row r="6897" spans="6:8">
      <c r="H6897" t="s">
        <v>20101</v>
      </c>
    </row>
    <row r="6898" spans="6:8">
      <c r="H6898" t="s">
        <v>20102</v>
      </c>
    </row>
    <row r="6899" spans="6:8">
      <c r="H6899" t="s">
        <v>20104</v>
      </c>
    </row>
    <row r="6900" spans="6:8">
      <c r="H6900" t="s">
        <v>20105</v>
      </c>
    </row>
    <row r="6901" spans="6:8">
      <c r="H6901" t="s">
        <v>20123</v>
      </c>
    </row>
    <row r="6902" spans="6:8">
      <c r="H6902" t="s">
        <v>20124</v>
      </c>
    </row>
    <row r="6903" spans="6:8">
      <c r="H6903" t="s">
        <v>20192</v>
      </c>
    </row>
    <row r="6904" spans="6:8">
      <c r="H6904" t="s">
        <v>20193</v>
      </c>
    </row>
    <row r="6905" spans="6:8">
      <c r="H6905" t="s">
        <v>20194</v>
      </c>
    </row>
    <row r="6906" spans="6:8">
      <c r="H6906" t="s">
        <v>19177</v>
      </c>
    </row>
    <row r="6907" spans="6:8">
      <c r="H6907" t="s">
        <v>20196</v>
      </c>
    </row>
    <row r="6908" spans="6:8">
      <c r="H6908" t="s">
        <v>20197</v>
      </c>
    </row>
    <row r="6909" spans="6:8">
      <c r="H6909" t="s">
        <v>20100</v>
      </c>
    </row>
    <row r="6910" spans="6:8">
      <c r="H6910" t="s">
        <v>20198</v>
      </c>
    </row>
    <row r="6911" spans="6:8">
      <c r="F6911" t="s">
        <v>11393</v>
      </c>
      <c r="G6911" t="s">
        <v>15653</v>
      </c>
      <c r="H6911" t="s">
        <v>20091</v>
      </c>
    </row>
    <row r="6912" spans="6:8">
      <c r="H6912" t="s">
        <v>19712</v>
      </c>
    </row>
    <row r="6913" spans="8:8">
      <c r="H6913" t="s">
        <v>19706</v>
      </c>
    </row>
    <row r="6914" spans="8:8">
      <c r="H6914" t="s">
        <v>20117</v>
      </c>
    </row>
    <row r="6915" spans="8:8">
      <c r="H6915" t="s">
        <v>20095</v>
      </c>
    </row>
    <row r="6916" spans="8:8">
      <c r="H6916" t="s">
        <v>20096</v>
      </c>
    </row>
    <row r="6917" spans="8:8">
      <c r="H6917" t="s">
        <v>20099</v>
      </c>
    </row>
    <row r="6918" spans="8:8">
      <c r="H6918" t="s">
        <v>20100</v>
      </c>
    </row>
    <row r="6919" spans="8:8">
      <c r="H6919" t="s">
        <v>20101</v>
      </c>
    </row>
    <row r="6920" spans="8:8">
      <c r="H6920" t="s">
        <v>20102</v>
      </c>
    </row>
    <row r="6921" spans="8:8">
      <c r="H6921" t="s">
        <v>20104</v>
      </c>
    </row>
    <row r="6922" spans="8:8">
      <c r="H6922" t="s">
        <v>20105</v>
      </c>
    </row>
    <row r="6923" spans="8:8">
      <c r="H6923" t="s">
        <v>20123</v>
      </c>
    </row>
    <row r="6924" spans="8:8">
      <c r="H6924" t="s">
        <v>20124</v>
      </c>
    </row>
    <row r="6925" spans="8:8">
      <c r="H6925" t="s">
        <v>20192</v>
      </c>
    </row>
    <row r="6926" spans="8:8">
      <c r="H6926" t="s">
        <v>20193</v>
      </c>
    </row>
    <row r="6927" spans="8:8">
      <c r="H6927" t="s">
        <v>20194</v>
      </c>
    </row>
    <row r="6928" spans="8:8">
      <c r="H6928" t="s">
        <v>19177</v>
      </c>
    </row>
    <row r="6929" spans="6:8">
      <c r="H6929" t="s">
        <v>20196</v>
      </c>
    </row>
    <row r="6930" spans="6:8">
      <c r="H6930" t="s">
        <v>20197</v>
      </c>
    </row>
    <row r="6931" spans="6:8">
      <c r="H6931" t="s">
        <v>20198</v>
      </c>
    </row>
    <row r="6932" spans="6:8">
      <c r="F6932" t="s">
        <v>11394</v>
      </c>
      <c r="G6932" t="s">
        <v>15654</v>
      </c>
      <c r="H6932" t="s">
        <v>20091</v>
      </c>
    </row>
    <row r="6933" spans="6:8">
      <c r="H6933" t="s">
        <v>19712</v>
      </c>
    </row>
    <row r="6934" spans="6:8">
      <c r="H6934" t="s">
        <v>19709</v>
      </c>
    </row>
    <row r="6935" spans="6:8">
      <c r="H6935" t="s">
        <v>19706</v>
      </c>
    </row>
    <row r="6936" spans="6:8">
      <c r="H6936" t="s">
        <v>20117</v>
      </c>
    </row>
    <row r="6937" spans="6:8">
      <c r="H6937" t="s">
        <v>20095</v>
      </c>
    </row>
    <row r="6938" spans="6:8">
      <c r="H6938" t="s">
        <v>20096</v>
      </c>
    </row>
    <row r="6939" spans="6:8">
      <c r="H6939" t="s">
        <v>20099</v>
      </c>
    </row>
    <row r="6940" spans="6:8">
      <c r="H6940" t="s">
        <v>20101</v>
      </c>
    </row>
    <row r="6941" spans="6:8">
      <c r="H6941" t="s">
        <v>20102</v>
      </c>
    </row>
    <row r="6942" spans="6:8">
      <c r="H6942" t="s">
        <v>20104</v>
      </c>
    </row>
    <row r="6943" spans="6:8">
      <c r="H6943" t="s">
        <v>20105</v>
      </c>
    </row>
    <row r="6944" spans="6:8">
      <c r="H6944" t="s">
        <v>20123</v>
      </c>
    </row>
    <row r="6945" spans="6:8">
      <c r="H6945" t="s">
        <v>20124</v>
      </c>
    </row>
    <row r="6946" spans="6:8">
      <c r="H6946" t="s">
        <v>20192</v>
      </c>
    </row>
    <row r="6947" spans="6:8">
      <c r="H6947" t="s">
        <v>20193</v>
      </c>
    </row>
    <row r="6948" spans="6:8">
      <c r="H6948" t="s">
        <v>20194</v>
      </c>
    </row>
    <row r="6949" spans="6:8">
      <c r="H6949" t="s">
        <v>19177</v>
      </c>
    </row>
    <row r="6950" spans="6:8">
      <c r="H6950" t="s">
        <v>20196</v>
      </c>
    </row>
    <row r="6951" spans="6:8">
      <c r="H6951" t="s">
        <v>20197</v>
      </c>
    </row>
    <row r="6952" spans="6:8">
      <c r="H6952" t="s">
        <v>20100</v>
      </c>
    </row>
    <row r="6953" spans="6:8">
      <c r="H6953" t="s">
        <v>20198</v>
      </c>
    </row>
    <row r="6954" spans="6:8">
      <c r="F6954" t="s">
        <v>11395</v>
      </c>
      <c r="G6954" t="s">
        <v>15310</v>
      </c>
      <c r="H6954" t="s">
        <v>20091</v>
      </c>
    </row>
    <row r="6955" spans="6:8">
      <c r="H6955" t="s">
        <v>19712</v>
      </c>
    </row>
    <row r="6956" spans="6:8">
      <c r="H6956" t="s">
        <v>19709</v>
      </c>
    </row>
    <row r="6957" spans="6:8">
      <c r="H6957" t="s">
        <v>19706</v>
      </c>
    </row>
    <row r="6958" spans="6:8">
      <c r="H6958" t="s">
        <v>20107</v>
      </c>
    </row>
    <row r="6959" spans="6:8">
      <c r="H6959" t="s">
        <v>20108</v>
      </c>
    </row>
    <row r="6960" spans="6:8">
      <c r="H6960" t="s">
        <v>19713</v>
      </c>
    </row>
    <row r="6961" spans="6:8">
      <c r="H6961" t="s">
        <v>19714</v>
      </c>
    </row>
    <row r="6962" spans="6:8">
      <c r="H6962" t="s">
        <v>20109</v>
      </c>
    </row>
    <row r="6963" spans="6:8">
      <c r="H6963" t="s">
        <v>20110</v>
      </c>
    </row>
    <row r="6964" spans="6:8">
      <c r="H6964" t="s">
        <v>20111</v>
      </c>
    </row>
    <row r="6965" spans="6:8">
      <c r="H6965" t="s">
        <v>20112</v>
      </c>
    </row>
    <row r="6966" spans="6:8">
      <c r="H6966" t="s">
        <v>20113</v>
      </c>
    </row>
    <row r="6967" spans="6:8">
      <c r="H6967" t="s">
        <v>20114</v>
      </c>
    </row>
    <row r="6968" spans="6:8">
      <c r="H6968" t="s">
        <v>20095</v>
      </c>
    </row>
    <row r="6969" spans="6:8">
      <c r="H6969" t="s">
        <v>20096</v>
      </c>
    </row>
    <row r="6970" spans="6:8">
      <c r="H6970" t="s">
        <v>20097</v>
      </c>
    </row>
    <row r="6971" spans="6:8">
      <c r="H6971" t="s">
        <v>20098</v>
      </c>
    </row>
    <row r="6972" spans="6:8">
      <c r="F6972" t="s">
        <v>11396</v>
      </c>
      <c r="G6972" t="s">
        <v>15311</v>
      </c>
      <c r="H6972" t="s">
        <v>20091</v>
      </c>
    </row>
    <row r="6973" spans="6:8">
      <c r="H6973" t="s">
        <v>19712</v>
      </c>
    </row>
    <row r="6974" spans="6:8">
      <c r="H6974" t="s">
        <v>19709</v>
      </c>
    </row>
    <row r="6975" spans="6:8">
      <c r="H6975" t="s">
        <v>19706</v>
      </c>
    </row>
    <row r="6976" spans="6:8">
      <c r="H6976" t="s">
        <v>20107</v>
      </c>
    </row>
    <row r="6977" spans="6:8">
      <c r="H6977" t="s">
        <v>20108</v>
      </c>
    </row>
    <row r="6978" spans="6:8">
      <c r="H6978" t="s">
        <v>19713</v>
      </c>
    </row>
    <row r="6979" spans="6:8">
      <c r="H6979" t="s">
        <v>19714</v>
      </c>
    </row>
    <row r="6980" spans="6:8">
      <c r="H6980" t="s">
        <v>20109</v>
      </c>
    </row>
    <row r="6981" spans="6:8">
      <c r="H6981" t="s">
        <v>20110</v>
      </c>
    </row>
    <row r="6982" spans="6:8">
      <c r="H6982" t="s">
        <v>20111</v>
      </c>
    </row>
    <row r="6983" spans="6:8">
      <c r="H6983" t="s">
        <v>20112</v>
      </c>
    </row>
    <row r="6984" spans="6:8">
      <c r="H6984" t="s">
        <v>20113</v>
      </c>
    </row>
    <row r="6985" spans="6:8">
      <c r="H6985" t="s">
        <v>20114</v>
      </c>
    </row>
    <row r="6986" spans="6:8">
      <c r="H6986" t="s">
        <v>20095</v>
      </c>
    </row>
    <row r="6987" spans="6:8">
      <c r="H6987" t="s">
        <v>20096</v>
      </c>
    </row>
    <row r="6988" spans="6:8">
      <c r="H6988" t="s">
        <v>20097</v>
      </c>
    </row>
    <row r="6989" spans="6:8">
      <c r="H6989" t="s">
        <v>20098</v>
      </c>
    </row>
    <row r="6990" spans="6:8">
      <c r="F6990" t="s">
        <v>11397</v>
      </c>
      <c r="G6990" t="s">
        <v>15312</v>
      </c>
      <c r="H6990" t="s">
        <v>20091</v>
      </c>
    </row>
    <row r="6991" spans="6:8">
      <c r="H6991" t="s">
        <v>19712</v>
      </c>
    </row>
    <row r="6992" spans="6:8">
      <c r="H6992" t="s">
        <v>19709</v>
      </c>
    </row>
    <row r="6993" spans="8:8">
      <c r="H6993" t="s">
        <v>19706</v>
      </c>
    </row>
    <row r="6994" spans="8:8">
      <c r="H6994" t="s">
        <v>20107</v>
      </c>
    </row>
    <row r="6995" spans="8:8">
      <c r="H6995" t="s">
        <v>20108</v>
      </c>
    </row>
    <row r="6996" spans="8:8">
      <c r="H6996" t="s">
        <v>19713</v>
      </c>
    </row>
    <row r="6997" spans="8:8">
      <c r="H6997" t="s">
        <v>19714</v>
      </c>
    </row>
    <row r="6998" spans="8:8">
      <c r="H6998" t="s">
        <v>20109</v>
      </c>
    </row>
    <row r="6999" spans="8:8">
      <c r="H6999" t="s">
        <v>20110</v>
      </c>
    </row>
    <row r="7000" spans="8:8">
      <c r="H7000" t="s">
        <v>20111</v>
      </c>
    </row>
    <row r="7001" spans="8:8">
      <c r="H7001" t="s">
        <v>20112</v>
      </c>
    </row>
    <row r="7002" spans="8:8">
      <c r="H7002" t="s">
        <v>20113</v>
      </c>
    </row>
    <row r="7003" spans="8:8">
      <c r="H7003" t="s">
        <v>20114</v>
      </c>
    </row>
    <row r="7004" spans="8:8">
      <c r="H7004" t="s">
        <v>20115</v>
      </c>
    </row>
    <row r="7005" spans="8:8">
      <c r="H7005" t="s">
        <v>20096</v>
      </c>
    </row>
    <row r="7006" spans="8:8">
      <c r="H7006" t="s">
        <v>20097</v>
      </c>
    </row>
    <row r="7007" spans="8:8">
      <c r="H7007" t="s">
        <v>20098</v>
      </c>
    </row>
    <row r="7008" spans="8:8">
      <c r="H7008" t="s">
        <v>20099</v>
      </c>
    </row>
    <row r="7009" spans="6:8">
      <c r="F7009" t="s">
        <v>11398</v>
      </c>
      <c r="G7009" t="s">
        <v>15313</v>
      </c>
      <c r="H7009" t="s">
        <v>20091</v>
      </c>
    </row>
    <row r="7010" spans="6:8">
      <c r="H7010" t="s">
        <v>19712</v>
      </c>
    </row>
    <row r="7011" spans="6:8">
      <c r="H7011" t="s">
        <v>19709</v>
      </c>
    </row>
    <row r="7012" spans="6:8">
      <c r="H7012" t="s">
        <v>19706</v>
      </c>
    </row>
    <row r="7013" spans="6:8">
      <c r="H7013" t="s">
        <v>20107</v>
      </c>
    </row>
    <row r="7014" spans="6:8">
      <c r="H7014" t="s">
        <v>20108</v>
      </c>
    </row>
    <row r="7015" spans="6:8">
      <c r="H7015" t="s">
        <v>19713</v>
      </c>
    </row>
    <row r="7016" spans="6:8">
      <c r="H7016" t="s">
        <v>19714</v>
      </c>
    </row>
    <row r="7017" spans="6:8">
      <c r="H7017" t="s">
        <v>20109</v>
      </c>
    </row>
    <row r="7018" spans="6:8">
      <c r="H7018" t="s">
        <v>20110</v>
      </c>
    </row>
    <row r="7019" spans="6:8">
      <c r="H7019" t="s">
        <v>20111</v>
      </c>
    </row>
    <row r="7020" spans="6:8">
      <c r="H7020" t="s">
        <v>20112</v>
      </c>
    </row>
    <row r="7021" spans="6:8">
      <c r="H7021" t="s">
        <v>20113</v>
      </c>
    </row>
    <row r="7022" spans="6:8">
      <c r="H7022" t="s">
        <v>20114</v>
      </c>
    </row>
    <row r="7023" spans="6:8">
      <c r="H7023" t="s">
        <v>20115</v>
      </c>
    </row>
    <row r="7024" spans="6:8">
      <c r="H7024" t="s">
        <v>20096</v>
      </c>
    </row>
    <row r="7025" spans="6:8">
      <c r="H7025" t="s">
        <v>20097</v>
      </c>
    </row>
    <row r="7026" spans="6:8">
      <c r="H7026" t="s">
        <v>20098</v>
      </c>
    </row>
    <row r="7027" spans="6:8">
      <c r="H7027" t="s">
        <v>20099</v>
      </c>
    </row>
    <row r="7028" spans="6:8">
      <c r="F7028" t="s">
        <v>11399</v>
      </c>
      <c r="G7028" t="s">
        <v>15314</v>
      </c>
      <c r="H7028" t="s">
        <v>20091</v>
      </c>
    </row>
    <row r="7029" spans="6:8">
      <c r="H7029" t="s">
        <v>19712</v>
      </c>
    </row>
    <row r="7030" spans="6:8">
      <c r="H7030" t="s">
        <v>19709</v>
      </c>
    </row>
    <row r="7031" spans="6:8">
      <c r="H7031" t="s">
        <v>19706</v>
      </c>
    </row>
    <row r="7032" spans="6:8">
      <c r="H7032" t="s">
        <v>19707</v>
      </c>
    </row>
    <row r="7033" spans="6:8">
      <c r="H7033" t="s">
        <v>20107</v>
      </c>
    </row>
    <row r="7034" spans="6:8">
      <c r="H7034" t="s">
        <v>20108</v>
      </c>
    </row>
    <row r="7035" spans="6:8">
      <c r="H7035" t="s">
        <v>19713</v>
      </c>
    </row>
    <row r="7036" spans="6:8">
      <c r="H7036" t="s">
        <v>19714</v>
      </c>
    </row>
    <row r="7037" spans="6:8">
      <c r="H7037" t="s">
        <v>20109</v>
      </c>
    </row>
    <row r="7038" spans="6:8">
      <c r="H7038" t="s">
        <v>20110</v>
      </c>
    </row>
    <row r="7039" spans="6:8">
      <c r="H7039" t="s">
        <v>20111</v>
      </c>
    </row>
    <row r="7040" spans="6:8">
      <c r="H7040" t="s">
        <v>20112</v>
      </c>
    </row>
    <row r="7041" spans="6:8">
      <c r="H7041" t="s">
        <v>20113</v>
      </c>
    </row>
    <row r="7042" spans="6:8">
      <c r="H7042" t="s">
        <v>20096</v>
      </c>
    </row>
    <row r="7043" spans="6:8">
      <c r="H7043" t="s">
        <v>20097</v>
      </c>
    </row>
    <row r="7044" spans="6:8">
      <c r="H7044" t="s">
        <v>20098</v>
      </c>
    </row>
    <row r="7045" spans="6:8">
      <c r="H7045" t="s">
        <v>20099</v>
      </c>
    </row>
    <row r="7046" spans="6:8">
      <c r="F7046" t="s">
        <v>11400</v>
      </c>
      <c r="G7046" t="s">
        <v>15315</v>
      </c>
      <c r="H7046" t="s">
        <v>20091</v>
      </c>
    </row>
    <row r="7047" spans="6:8">
      <c r="H7047" t="s">
        <v>19712</v>
      </c>
    </row>
    <row r="7048" spans="6:8">
      <c r="H7048" t="s">
        <v>19709</v>
      </c>
    </row>
    <row r="7049" spans="6:8">
      <c r="H7049" t="s">
        <v>19706</v>
      </c>
    </row>
    <row r="7050" spans="6:8">
      <c r="H7050" t="s">
        <v>19707</v>
      </c>
    </row>
    <row r="7051" spans="6:8">
      <c r="H7051" t="s">
        <v>20107</v>
      </c>
    </row>
    <row r="7052" spans="6:8">
      <c r="H7052" t="s">
        <v>20108</v>
      </c>
    </row>
    <row r="7053" spans="6:8">
      <c r="H7053" t="s">
        <v>19713</v>
      </c>
    </row>
    <row r="7054" spans="6:8">
      <c r="H7054" t="s">
        <v>19714</v>
      </c>
    </row>
    <row r="7055" spans="6:8">
      <c r="H7055" t="s">
        <v>20109</v>
      </c>
    </row>
    <row r="7056" spans="6:8">
      <c r="H7056" t="s">
        <v>20110</v>
      </c>
    </row>
    <row r="7057" spans="6:8">
      <c r="H7057" t="s">
        <v>20111</v>
      </c>
    </row>
    <row r="7058" spans="6:8">
      <c r="H7058" t="s">
        <v>20112</v>
      </c>
    </row>
    <row r="7059" spans="6:8">
      <c r="H7059" t="s">
        <v>20113</v>
      </c>
    </row>
    <row r="7060" spans="6:8">
      <c r="H7060" t="s">
        <v>20096</v>
      </c>
    </row>
    <row r="7061" spans="6:8">
      <c r="H7061" t="s">
        <v>20097</v>
      </c>
    </row>
    <row r="7062" spans="6:8">
      <c r="H7062" t="s">
        <v>20098</v>
      </c>
    </row>
    <row r="7063" spans="6:8">
      <c r="H7063" t="s">
        <v>20099</v>
      </c>
    </row>
    <row r="7064" spans="6:8">
      <c r="F7064" t="s">
        <v>11401</v>
      </c>
      <c r="G7064" t="s">
        <v>15316</v>
      </c>
      <c r="H7064" t="s">
        <v>20091</v>
      </c>
    </row>
    <row r="7065" spans="6:8">
      <c r="H7065" t="s">
        <v>19712</v>
      </c>
    </row>
    <row r="7066" spans="6:8">
      <c r="H7066" t="s">
        <v>19709</v>
      </c>
    </row>
    <row r="7067" spans="6:8">
      <c r="H7067" t="s">
        <v>19706</v>
      </c>
    </row>
    <row r="7068" spans="6:8">
      <c r="H7068" t="s">
        <v>20107</v>
      </c>
    </row>
    <row r="7069" spans="6:8">
      <c r="H7069" t="s">
        <v>20108</v>
      </c>
    </row>
    <row r="7070" spans="6:8">
      <c r="H7070" t="s">
        <v>19713</v>
      </c>
    </row>
    <row r="7071" spans="6:8">
      <c r="H7071" t="s">
        <v>19714</v>
      </c>
    </row>
    <row r="7072" spans="6:8">
      <c r="H7072" t="s">
        <v>20109</v>
      </c>
    </row>
    <row r="7073" spans="6:8">
      <c r="H7073" t="s">
        <v>20110</v>
      </c>
    </row>
    <row r="7074" spans="6:8">
      <c r="H7074" t="s">
        <v>20095</v>
      </c>
    </row>
    <row r="7075" spans="6:8">
      <c r="H7075" t="s">
        <v>20096</v>
      </c>
    </row>
    <row r="7076" spans="6:8">
      <c r="H7076" t="s">
        <v>20097</v>
      </c>
    </row>
    <row r="7077" spans="6:8">
      <c r="H7077" t="s">
        <v>20098</v>
      </c>
    </row>
    <row r="7078" spans="6:8">
      <c r="F7078" t="s">
        <v>11402</v>
      </c>
      <c r="G7078" t="s">
        <v>15317</v>
      </c>
      <c r="H7078" t="s">
        <v>20091</v>
      </c>
    </row>
    <row r="7079" spans="6:8">
      <c r="H7079" t="s">
        <v>19712</v>
      </c>
    </row>
    <row r="7080" spans="6:8">
      <c r="H7080" t="s">
        <v>19709</v>
      </c>
    </row>
    <row r="7081" spans="6:8">
      <c r="H7081" t="s">
        <v>19706</v>
      </c>
    </row>
    <row r="7082" spans="6:8">
      <c r="H7082" t="s">
        <v>20107</v>
      </c>
    </row>
    <row r="7083" spans="6:8">
      <c r="H7083" t="s">
        <v>20108</v>
      </c>
    </row>
    <row r="7084" spans="6:8">
      <c r="H7084" t="s">
        <v>19713</v>
      </c>
    </row>
    <row r="7085" spans="6:8">
      <c r="H7085" t="s">
        <v>19714</v>
      </c>
    </row>
    <row r="7086" spans="6:8">
      <c r="H7086" t="s">
        <v>20109</v>
      </c>
    </row>
    <row r="7087" spans="6:8">
      <c r="H7087" t="s">
        <v>20110</v>
      </c>
    </row>
    <row r="7088" spans="6:8">
      <c r="H7088" t="s">
        <v>20095</v>
      </c>
    </row>
    <row r="7089" spans="6:8">
      <c r="H7089" t="s">
        <v>20097</v>
      </c>
    </row>
    <row r="7090" spans="6:8">
      <c r="H7090" t="s">
        <v>20098</v>
      </c>
    </row>
    <row r="7091" spans="6:8">
      <c r="H7091" t="s">
        <v>20099</v>
      </c>
    </row>
    <row r="7092" spans="6:8">
      <c r="F7092" t="s">
        <v>11403</v>
      </c>
      <c r="G7092" t="s">
        <v>15318</v>
      </c>
      <c r="H7092" t="s">
        <v>20091</v>
      </c>
    </row>
    <row r="7093" spans="6:8">
      <c r="H7093" t="s">
        <v>19712</v>
      </c>
    </row>
    <row r="7094" spans="6:8">
      <c r="H7094" t="s">
        <v>19709</v>
      </c>
    </row>
    <row r="7095" spans="6:8">
      <c r="H7095" t="s">
        <v>19706</v>
      </c>
    </row>
    <row r="7096" spans="6:8">
      <c r="H7096" t="s">
        <v>19707</v>
      </c>
    </row>
    <row r="7097" spans="6:8">
      <c r="H7097" t="s">
        <v>19711</v>
      </c>
    </row>
    <row r="7098" spans="6:8">
      <c r="H7098" t="s">
        <v>20107</v>
      </c>
    </row>
    <row r="7099" spans="6:8">
      <c r="H7099" t="s">
        <v>20108</v>
      </c>
    </row>
    <row r="7100" spans="6:8">
      <c r="H7100" t="s">
        <v>19713</v>
      </c>
    </row>
    <row r="7101" spans="6:8">
      <c r="H7101" t="s">
        <v>19714</v>
      </c>
    </row>
    <row r="7102" spans="6:8">
      <c r="H7102" t="s">
        <v>20095</v>
      </c>
    </row>
    <row r="7103" spans="6:8">
      <c r="H7103" t="s">
        <v>20096</v>
      </c>
    </row>
    <row r="7104" spans="6:8">
      <c r="H7104" t="s">
        <v>20097</v>
      </c>
    </row>
    <row r="7105" spans="6:8">
      <c r="H7105" t="s">
        <v>20098</v>
      </c>
    </row>
    <row r="7106" spans="6:8">
      <c r="F7106" t="s">
        <v>11404</v>
      </c>
      <c r="G7106" t="s">
        <v>15319</v>
      </c>
      <c r="H7106" t="s">
        <v>20091</v>
      </c>
    </row>
    <row r="7107" spans="6:8">
      <c r="H7107" t="s">
        <v>19712</v>
      </c>
    </row>
    <row r="7108" spans="6:8">
      <c r="H7108" t="s">
        <v>19709</v>
      </c>
    </row>
    <row r="7109" spans="6:8">
      <c r="H7109" t="s">
        <v>19706</v>
      </c>
    </row>
    <row r="7110" spans="6:8">
      <c r="H7110" t="s">
        <v>19707</v>
      </c>
    </row>
    <row r="7111" spans="6:8">
      <c r="H7111" t="s">
        <v>19711</v>
      </c>
    </row>
    <row r="7112" spans="6:8">
      <c r="H7112" t="s">
        <v>20107</v>
      </c>
    </row>
    <row r="7113" spans="6:8">
      <c r="H7113" t="s">
        <v>20108</v>
      </c>
    </row>
    <row r="7114" spans="6:8">
      <c r="H7114" t="s">
        <v>19713</v>
      </c>
    </row>
    <row r="7115" spans="6:8">
      <c r="H7115" t="s">
        <v>19714</v>
      </c>
    </row>
    <row r="7116" spans="6:8">
      <c r="H7116" t="s">
        <v>20095</v>
      </c>
    </row>
    <row r="7117" spans="6:8">
      <c r="H7117" t="s">
        <v>20096</v>
      </c>
    </row>
    <row r="7118" spans="6:8">
      <c r="H7118" t="s">
        <v>20097</v>
      </c>
    </row>
    <row r="7119" spans="6:8">
      <c r="H7119" t="s">
        <v>20098</v>
      </c>
    </row>
    <row r="7120" spans="6:8">
      <c r="F7120" t="s">
        <v>11405</v>
      </c>
      <c r="G7120" t="s">
        <v>15320</v>
      </c>
      <c r="H7120" t="s">
        <v>20091</v>
      </c>
    </row>
    <row r="7121" spans="6:8">
      <c r="H7121" t="s">
        <v>19712</v>
      </c>
    </row>
    <row r="7122" spans="6:8">
      <c r="H7122" t="s">
        <v>19709</v>
      </c>
    </row>
    <row r="7123" spans="6:8">
      <c r="H7123" t="s">
        <v>19706</v>
      </c>
    </row>
    <row r="7124" spans="6:8">
      <c r="H7124" t="s">
        <v>19707</v>
      </c>
    </row>
    <row r="7125" spans="6:8">
      <c r="H7125" t="s">
        <v>19711</v>
      </c>
    </row>
    <row r="7126" spans="6:8">
      <c r="H7126" t="s">
        <v>20107</v>
      </c>
    </row>
    <row r="7127" spans="6:8">
      <c r="H7127" t="s">
        <v>20108</v>
      </c>
    </row>
    <row r="7128" spans="6:8">
      <c r="H7128" t="s">
        <v>19713</v>
      </c>
    </row>
    <row r="7129" spans="6:8">
      <c r="H7129" t="s">
        <v>19714</v>
      </c>
    </row>
    <row r="7130" spans="6:8">
      <c r="H7130" t="s">
        <v>20095</v>
      </c>
    </row>
    <row r="7131" spans="6:8">
      <c r="H7131" t="s">
        <v>20096</v>
      </c>
    </row>
    <row r="7132" spans="6:8">
      <c r="H7132" t="s">
        <v>20097</v>
      </c>
    </row>
    <row r="7133" spans="6:8">
      <c r="H7133" t="s">
        <v>20098</v>
      </c>
    </row>
    <row r="7134" spans="6:8">
      <c r="F7134" t="s">
        <v>11406</v>
      </c>
      <c r="G7134" t="s">
        <v>15321</v>
      </c>
      <c r="H7134" t="s">
        <v>20091</v>
      </c>
    </row>
    <row r="7135" spans="6:8">
      <c r="H7135" t="s">
        <v>19712</v>
      </c>
    </row>
    <row r="7136" spans="6:8">
      <c r="H7136" t="s">
        <v>19709</v>
      </c>
    </row>
    <row r="7137" spans="6:8">
      <c r="H7137" t="s">
        <v>19706</v>
      </c>
    </row>
    <row r="7138" spans="6:8">
      <c r="H7138" t="s">
        <v>19707</v>
      </c>
    </row>
    <row r="7139" spans="6:8">
      <c r="H7139" t="s">
        <v>19711</v>
      </c>
    </row>
    <row r="7140" spans="6:8">
      <c r="H7140" t="s">
        <v>19708</v>
      </c>
    </row>
    <row r="7141" spans="6:8">
      <c r="H7141" t="s">
        <v>20107</v>
      </c>
    </row>
    <row r="7142" spans="6:8">
      <c r="H7142" t="s">
        <v>20108</v>
      </c>
    </row>
    <row r="7143" spans="6:8">
      <c r="H7143" t="s">
        <v>19713</v>
      </c>
    </row>
    <row r="7144" spans="6:8">
      <c r="H7144" t="s">
        <v>19714</v>
      </c>
    </row>
    <row r="7145" spans="6:8">
      <c r="H7145" t="s">
        <v>20095</v>
      </c>
    </row>
    <row r="7146" spans="6:8">
      <c r="H7146" t="s">
        <v>20096</v>
      </c>
    </row>
    <row r="7147" spans="6:8">
      <c r="H7147" t="s">
        <v>20097</v>
      </c>
    </row>
    <row r="7148" spans="6:8">
      <c r="H7148" t="s">
        <v>20098</v>
      </c>
    </row>
    <row r="7149" spans="6:8">
      <c r="H7149" t="s">
        <v>20099</v>
      </c>
    </row>
    <row r="7150" spans="6:8">
      <c r="F7150" t="s">
        <v>11407</v>
      </c>
      <c r="G7150" t="s">
        <v>15322</v>
      </c>
      <c r="H7150" t="s">
        <v>20091</v>
      </c>
    </row>
    <row r="7151" spans="6:8">
      <c r="H7151" t="s">
        <v>19712</v>
      </c>
    </row>
    <row r="7152" spans="6:8">
      <c r="H7152" t="s">
        <v>19709</v>
      </c>
    </row>
    <row r="7153" spans="6:8">
      <c r="H7153" t="s">
        <v>19706</v>
      </c>
    </row>
    <row r="7154" spans="6:8">
      <c r="H7154" t="s">
        <v>19707</v>
      </c>
    </row>
    <row r="7155" spans="6:8">
      <c r="H7155" t="s">
        <v>19711</v>
      </c>
    </row>
    <row r="7156" spans="6:8">
      <c r="H7156" t="s">
        <v>19708</v>
      </c>
    </row>
    <row r="7157" spans="6:8">
      <c r="H7157" t="s">
        <v>20107</v>
      </c>
    </row>
    <row r="7158" spans="6:8">
      <c r="H7158" t="s">
        <v>20108</v>
      </c>
    </row>
    <row r="7159" spans="6:8">
      <c r="H7159" t="s">
        <v>19713</v>
      </c>
    </row>
    <row r="7160" spans="6:8">
      <c r="H7160" t="s">
        <v>19714</v>
      </c>
    </row>
    <row r="7161" spans="6:8">
      <c r="H7161" t="s">
        <v>20095</v>
      </c>
    </row>
    <row r="7162" spans="6:8">
      <c r="H7162" t="s">
        <v>20096</v>
      </c>
    </row>
    <row r="7163" spans="6:8">
      <c r="H7163" t="s">
        <v>20097</v>
      </c>
    </row>
    <row r="7164" spans="6:8">
      <c r="H7164" t="s">
        <v>20098</v>
      </c>
    </row>
    <row r="7165" spans="6:8">
      <c r="H7165" t="s">
        <v>20099</v>
      </c>
    </row>
    <row r="7166" spans="6:8">
      <c r="F7166" t="s">
        <v>11408</v>
      </c>
      <c r="G7166" t="s">
        <v>15323</v>
      </c>
      <c r="H7166" t="s">
        <v>20091</v>
      </c>
    </row>
    <row r="7167" spans="6:8">
      <c r="H7167" t="s">
        <v>19712</v>
      </c>
    </row>
    <row r="7168" spans="6:8">
      <c r="H7168" t="s">
        <v>19709</v>
      </c>
    </row>
    <row r="7169" spans="6:8">
      <c r="H7169" t="s">
        <v>19706</v>
      </c>
    </row>
    <row r="7170" spans="6:8">
      <c r="H7170" t="s">
        <v>20107</v>
      </c>
    </row>
    <row r="7171" spans="6:8">
      <c r="H7171" t="s">
        <v>20108</v>
      </c>
    </row>
    <row r="7172" spans="6:8">
      <c r="H7172" t="s">
        <v>20095</v>
      </c>
    </row>
    <row r="7173" spans="6:8">
      <c r="H7173" t="s">
        <v>20096</v>
      </c>
    </row>
    <row r="7174" spans="6:8">
      <c r="H7174" t="s">
        <v>20097</v>
      </c>
    </row>
    <row r="7175" spans="6:8">
      <c r="F7175" t="s">
        <v>11409</v>
      </c>
      <c r="G7175" t="s">
        <v>15324</v>
      </c>
      <c r="H7175" t="s">
        <v>20091</v>
      </c>
    </row>
    <row r="7176" spans="6:8">
      <c r="H7176" t="s">
        <v>19712</v>
      </c>
    </row>
    <row r="7177" spans="6:8">
      <c r="H7177" t="s">
        <v>19709</v>
      </c>
    </row>
    <row r="7178" spans="6:8">
      <c r="H7178" t="s">
        <v>19706</v>
      </c>
    </row>
    <row r="7179" spans="6:8">
      <c r="H7179" t="s">
        <v>20107</v>
      </c>
    </row>
    <row r="7180" spans="6:8">
      <c r="H7180" t="s">
        <v>20108</v>
      </c>
    </row>
    <row r="7181" spans="6:8">
      <c r="H7181" t="s">
        <v>20095</v>
      </c>
    </row>
    <row r="7182" spans="6:8">
      <c r="H7182" t="s">
        <v>20096</v>
      </c>
    </row>
    <row r="7183" spans="6:8">
      <c r="H7183" t="s">
        <v>20097</v>
      </c>
    </row>
    <row r="7184" spans="6:8">
      <c r="F7184" t="s">
        <v>11410</v>
      </c>
      <c r="G7184" t="s">
        <v>15325</v>
      </c>
      <c r="H7184" t="s">
        <v>20091</v>
      </c>
    </row>
    <row r="7185" spans="6:8">
      <c r="H7185" t="s">
        <v>19712</v>
      </c>
    </row>
    <row r="7186" spans="6:8">
      <c r="H7186" t="s">
        <v>19709</v>
      </c>
    </row>
    <row r="7187" spans="6:8">
      <c r="H7187" t="s">
        <v>20107</v>
      </c>
    </row>
    <row r="7188" spans="6:8">
      <c r="H7188" t="s">
        <v>20108</v>
      </c>
    </row>
    <row r="7189" spans="6:8">
      <c r="H7189" t="s">
        <v>20095</v>
      </c>
    </row>
    <row r="7190" spans="6:8">
      <c r="H7190" t="s">
        <v>20096</v>
      </c>
    </row>
    <row r="7191" spans="6:8">
      <c r="H7191" t="s">
        <v>20097</v>
      </c>
    </row>
    <row r="7192" spans="6:8">
      <c r="F7192" t="s">
        <v>11411</v>
      </c>
      <c r="G7192" t="s">
        <v>15326</v>
      </c>
      <c r="H7192" t="s">
        <v>20091</v>
      </c>
    </row>
    <row r="7193" spans="6:8">
      <c r="H7193" t="s">
        <v>19712</v>
      </c>
    </row>
    <row r="7194" spans="6:8">
      <c r="H7194" t="s">
        <v>19709</v>
      </c>
    </row>
    <row r="7195" spans="6:8">
      <c r="H7195" t="s">
        <v>20107</v>
      </c>
    </row>
    <row r="7196" spans="6:8">
      <c r="H7196" t="s">
        <v>20108</v>
      </c>
    </row>
    <row r="7197" spans="6:8">
      <c r="H7197" t="s">
        <v>20095</v>
      </c>
    </row>
    <row r="7198" spans="6:8">
      <c r="H7198" t="s">
        <v>20096</v>
      </c>
    </row>
    <row r="7199" spans="6:8">
      <c r="H7199" t="s">
        <v>20097</v>
      </c>
    </row>
    <row r="7200" spans="6:8">
      <c r="F7200" t="s">
        <v>11412</v>
      </c>
      <c r="G7200" t="s">
        <v>15327</v>
      </c>
      <c r="H7200" t="s">
        <v>20091</v>
      </c>
    </row>
    <row r="7201" spans="6:8">
      <c r="H7201" t="s">
        <v>19712</v>
      </c>
    </row>
    <row r="7202" spans="6:8">
      <c r="H7202" t="s">
        <v>19709</v>
      </c>
    </row>
    <row r="7203" spans="6:8">
      <c r="H7203" t="s">
        <v>19706</v>
      </c>
    </row>
    <row r="7204" spans="6:8">
      <c r="H7204" t="s">
        <v>20107</v>
      </c>
    </row>
    <row r="7205" spans="6:8">
      <c r="H7205" t="s">
        <v>20108</v>
      </c>
    </row>
    <row r="7206" spans="6:8">
      <c r="H7206" t="s">
        <v>19713</v>
      </c>
    </row>
    <row r="7207" spans="6:8">
      <c r="H7207" t="s">
        <v>20095</v>
      </c>
    </row>
    <row r="7208" spans="6:8">
      <c r="H7208" t="s">
        <v>20096</v>
      </c>
    </row>
    <row r="7209" spans="6:8">
      <c r="H7209" t="s">
        <v>20097</v>
      </c>
    </row>
    <row r="7210" spans="6:8">
      <c r="H7210" t="s">
        <v>20098</v>
      </c>
    </row>
    <row r="7211" spans="6:8">
      <c r="F7211" t="s">
        <v>11413</v>
      </c>
      <c r="G7211" t="s">
        <v>15328</v>
      </c>
      <c r="H7211" t="s">
        <v>20091</v>
      </c>
    </row>
    <row r="7212" spans="6:8">
      <c r="H7212" t="s">
        <v>19712</v>
      </c>
    </row>
    <row r="7213" spans="6:8">
      <c r="H7213" t="s">
        <v>19709</v>
      </c>
    </row>
    <row r="7214" spans="6:8">
      <c r="H7214" t="s">
        <v>19706</v>
      </c>
    </row>
    <row r="7215" spans="6:8">
      <c r="H7215" t="s">
        <v>20107</v>
      </c>
    </row>
    <row r="7216" spans="6:8">
      <c r="H7216" t="s">
        <v>20108</v>
      </c>
    </row>
    <row r="7217" spans="6:8">
      <c r="H7217" t="s">
        <v>19713</v>
      </c>
    </row>
    <row r="7218" spans="6:8">
      <c r="H7218" t="s">
        <v>20095</v>
      </c>
    </row>
    <row r="7219" spans="6:8">
      <c r="H7219" t="s">
        <v>20096</v>
      </c>
    </row>
    <row r="7220" spans="6:8">
      <c r="H7220" t="s">
        <v>20097</v>
      </c>
    </row>
    <row r="7221" spans="6:8">
      <c r="H7221" t="s">
        <v>20098</v>
      </c>
    </row>
    <row r="7222" spans="6:8">
      <c r="F7222" t="s">
        <v>11414</v>
      </c>
      <c r="G7222" t="s">
        <v>15655</v>
      </c>
      <c r="H7222" t="s">
        <v>20095</v>
      </c>
    </row>
    <row r="7223" spans="6:8">
      <c r="F7223" t="s">
        <v>11415</v>
      </c>
      <c r="G7223" t="s">
        <v>15656</v>
      </c>
      <c r="H7223" t="s">
        <v>20095</v>
      </c>
    </row>
    <row r="7224" spans="6:8">
      <c r="F7224" t="s">
        <v>11416</v>
      </c>
      <c r="G7224" t="s">
        <v>15657</v>
      </c>
      <c r="H7224" t="s">
        <v>20095</v>
      </c>
    </row>
    <row r="7225" spans="6:8">
      <c r="F7225" t="s">
        <v>11417</v>
      </c>
      <c r="G7225" t="s">
        <v>15658</v>
      </c>
      <c r="H7225" t="s">
        <v>20095</v>
      </c>
    </row>
    <row r="7226" spans="6:8">
      <c r="F7226" t="s">
        <v>11418</v>
      </c>
      <c r="G7226" t="s">
        <v>15659</v>
      </c>
      <c r="H7226" t="s">
        <v>20095</v>
      </c>
    </row>
    <row r="7227" spans="6:8">
      <c r="H7227" t="s">
        <v>20096</v>
      </c>
    </row>
    <row r="7228" spans="6:8">
      <c r="H7228" t="s">
        <v>20097</v>
      </c>
    </row>
    <row r="7229" spans="6:8">
      <c r="H7229" t="s">
        <v>20098</v>
      </c>
    </row>
    <row r="7230" spans="6:8">
      <c r="H7230" t="s">
        <v>20099</v>
      </c>
    </row>
    <row r="7231" spans="6:8">
      <c r="F7231" t="s">
        <v>11419</v>
      </c>
      <c r="G7231" t="s">
        <v>15660</v>
      </c>
      <c r="H7231" t="s">
        <v>20095</v>
      </c>
    </row>
    <row r="7232" spans="6:8">
      <c r="H7232" t="s">
        <v>20096</v>
      </c>
    </row>
    <row r="7233" spans="1:8">
      <c r="A7233" t="s">
        <v>305</v>
      </c>
      <c r="B7233">
        <f>HYPERLINK("https://android.googlesource.com/platform/cts/+/68babe4ae21b48f005aff471db44d1fb1ec1995c", "68babe4ae21b48f005aff471db44d1fb1ec1995c")</f>
        <v>0</v>
      </c>
      <c r="C7233">
        <f>HYPERLINK("https://android.googlesource.com/platform/cts/+/98caf9a765885f0312116bc574498273cd80d1a6", "98caf9a765885f0312116bc574498273cd80d1a6")</f>
        <v>0</v>
      </c>
      <c r="D7233" t="s">
        <v>4972</v>
      </c>
      <c r="E7233" t="s">
        <v>6100</v>
      </c>
      <c r="F7233" t="s">
        <v>11420</v>
      </c>
      <c r="G7233" t="s">
        <v>15661</v>
      </c>
      <c r="H7233" t="s">
        <v>20203</v>
      </c>
    </row>
    <row r="7234" spans="1:8">
      <c r="H7234" t="s">
        <v>20204</v>
      </c>
    </row>
    <row r="7235" spans="1:8">
      <c r="H7235" t="s">
        <v>20205</v>
      </c>
    </row>
    <row r="7236" spans="1:8">
      <c r="A7236" t="s">
        <v>306</v>
      </c>
      <c r="B7236">
        <f>HYPERLINK("https://android.googlesource.com/platform/cts/+/78970d0059cca7646a46737d21c8a8c2b57f18e4", "78970d0059cca7646a46737d21c8a8c2b57f18e4")</f>
        <v>0</v>
      </c>
      <c r="C7236">
        <f>HYPERLINK("https://android.googlesource.com/platform/cts/+/f68fc582d60ad32423b9fb881698bd3c28fefc4d", "f68fc582d60ad32423b9fb881698bd3c28fefc4d")</f>
        <v>0</v>
      </c>
      <c r="D7236" t="s">
        <v>4971</v>
      </c>
      <c r="E7236" t="s">
        <v>6101</v>
      </c>
      <c r="F7236" t="s">
        <v>10687</v>
      </c>
      <c r="G7236" t="s">
        <v>15087</v>
      </c>
      <c r="H7236" t="s">
        <v>20206</v>
      </c>
    </row>
    <row r="7237" spans="1:8">
      <c r="H7237" t="s">
        <v>18927</v>
      </c>
    </row>
    <row r="7238" spans="1:8">
      <c r="H7238" t="s">
        <v>20207</v>
      </c>
    </row>
    <row r="7239" spans="1:8">
      <c r="H7239" t="s">
        <v>20208</v>
      </c>
    </row>
    <row r="7240" spans="1:8">
      <c r="H7240" t="s">
        <v>19349</v>
      </c>
    </row>
    <row r="7241" spans="1:8">
      <c r="H7241" t="s">
        <v>20209</v>
      </c>
    </row>
    <row r="7242" spans="1:8">
      <c r="H7242" t="s">
        <v>20210</v>
      </c>
    </row>
    <row r="7243" spans="1:8">
      <c r="H7243" t="s">
        <v>20211</v>
      </c>
    </row>
    <row r="7244" spans="1:8">
      <c r="H7244" t="s">
        <v>19490</v>
      </c>
    </row>
    <row r="7245" spans="1:8">
      <c r="A7245" t="s">
        <v>307</v>
      </c>
      <c r="B7245">
        <f>HYPERLINK("https://android.googlesource.com/platform/cts/+/e409dce9177ae8ee786a7a55ade9698993ff00ad", "e409dce9177ae8ee786a7a55ade9698993ff00ad")</f>
        <v>0</v>
      </c>
      <c r="C7245">
        <f>HYPERLINK("https://android.googlesource.com/platform/cts/+/4087565526d15a95b0492c585e363581303389ed", "4087565526d15a95b0492c585e363581303389ed")</f>
        <v>0</v>
      </c>
      <c r="D7245" t="s">
        <v>4941</v>
      </c>
      <c r="E7245" t="s">
        <v>6102</v>
      </c>
      <c r="F7245" t="s">
        <v>11421</v>
      </c>
      <c r="G7245" t="s">
        <v>15662</v>
      </c>
      <c r="H7245" t="s">
        <v>20212</v>
      </c>
    </row>
    <row r="7246" spans="1:8">
      <c r="A7246" t="s">
        <v>308</v>
      </c>
      <c r="B7246">
        <f>HYPERLINK("https://android.googlesource.com/platform/cts/+/5df641c2f3c8fca177feeaa8e61d06b5dc7920ed", "5df641c2f3c8fca177feeaa8e61d06b5dc7920ed")</f>
        <v>0</v>
      </c>
      <c r="C7246">
        <f>HYPERLINK("https://android.googlesource.com/platform/cts/+/6b944803cadeae3daaee97c8b084e403462d5a02", "6b944803cadeae3daaee97c8b084e403462d5a02")</f>
        <v>0</v>
      </c>
      <c r="D7246" t="s">
        <v>4941</v>
      </c>
      <c r="E7246" t="s">
        <v>6103</v>
      </c>
      <c r="F7246" t="s">
        <v>10734</v>
      </c>
      <c r="G7246" t="s">
        <v>15133</v>
      </c>
      <c r="H7246" t="s">
        <v>20213</v>
      </c>
    </row>
    <row r="7247" spans="1:8">
      <c r="H7247" t="s">
        <v>20214</v>
      </c>
    </row>
    <row r="7248" spans="1:8">
      <c r="A7248" t="s">
        <v>309</v>
      </c>
      <c r="B7248">
        <f>HYPERLINK("https://android.googlesource.com/platform/cts/+/29d34788f1320a14a7b16c7978dd9f7e12a55505", "29d34788f1320a14a7b16c7978dd9f7e12a55505")</f>
        <v>0</v>
      </c>
      <c r="C7248">
        <f>HYPERLINK("https://android.googlesource.com/platform/cts/+/b3d67202d3f5e4fdc41fe8ef51248ad7767d445d", "b3d67202d3f5e4fdc41fe8ef51248ad7767d445d")</f>
        <v>0</v>
      </c>
      <c r="D7248" t="s">
        <v>4941</v>
      </c>
      <c r="E7248" t="s">
        <v>6104</v>
      </c>
      <c r="F7248" t="s">
        <v>11422</v>
      </c>
      <c r="G7248" t="s">
        <v>15663</v>
      </c>
      <c r="H7248" t="s">
        <v>20215</v>
      </c>
    </row>
    <row r="7249" spans="1:8">
      <c r="H7249" t="s">
        <v>18829</v>
      </c>
    </row>
    <row r="7250" spans="1:8">
      <c r="H7250" t="s">
        <v>20216</v>
      </c>
    </row>
    <row r="7251" spans="1:8">
      <c r="H7251" t="s">
        <v>20217</v>
      </c>
    </row>
    <row r="7252" spans="1:8">
      <c r="F7252" t="s">
        <v>10734</v>
      </c>
      <c r="G7252" t="s">
        <v>15133</v>
      </c>
      <c r="H7252" t="s">
        <v>20218</v>
      </c>
    </row>
    <row r="7253" spans="1:8">
      <c r="H7253" t="s">
        <v>20219</v>
      </c>
    </row>
    <row r="7254" spans="1:8">
      <c r="H7254" t="s">
        <v>20220</v>
      </c>
    </row>
    <row r="7255" spans="1:8">
      <c r="H7255" t="s">
        <v>20221</v>
      </c>
    </row>
    <row r="7256" spans="1:8">
      <c r="A7256" t="s">
        <v>310</v>
      </c>
      <c r="B7256">
        <f>HYPERLINK("https://android.googlesource.com/platform/cts/+/144a0c9b802c3d43e77ae0b134156ad41189a0bb", "144a0c9b802c3d43e77ae0b134156ad41189a0bb")</f>
        <v>0</v>
      </c>
      <c r="C7256">
        <f>HYPERLINK("https://android.googlesource.com/platform/cts/+/d00f2c04613dc3fd57062b60fdff18f0465ddecd", "d00f2c04613dc3fd57062b60fdff18f0465ddecd")</f>
        <v>0</v>
      </c>
      <c r="D7256" t="s">
        <v>4951</v>
      </c>
      <c r="E7256" t="s">
        <v>6105</v>
      </c>
      <c r="F7256" t="s">
        <v>11193</v>
      </c>
      <c r="G7256" t="s">
        <v>15582</v>
      </c>
      <c r="H7256" t="s">
        <v>20222</v>
      </c>
    </row>
    <row r="7257" spans="1:8">
      <c r="A7257" t="s">
        <v>311</v>
      </c>
      <c r="B7257">
        <f>HYPERLINK("https://android.googlesource.com/platform/cts/+/6069507e7a2456fed9ef3e1de3ce5ef2a46c953b", "6069507e7a2456fed9ef3e1de3ce5ef2a46c953b")</f>
        <v>0</v>
      </c>
      <c r="C7257">
        <f>HYPERLINK("https://android.googlesource.com/platform/cts/+/4771c9ededa1b2dface26028a4f58aab020af730", "4771c9ededa1b2dface26028a4f58aab020af730")</f>
        <v>0</v>
      </c>
      <c r="D7257" t="s">
        <v>4941</v>
      </c>
      <c r="E7257" t="s">
        <v>6106</v>
      </c>
      <c r="F7257" t="s">
        <v>10734</v>
      </c>
      <c r="G7257" t="s">
        <v>15133</v>
      </c>
      <c r="H7257" t="s">
        <v>20223</v>
      </c>
    </row>
    <row r="7258" spans="1:8">
      <c r="H7258" t="s">
        <v>20224</v>
      </c>
    </row>
    <row r="7259" spans="1:8">
      <c r="A7259" t="s">
        <v>312</v>
      </c>
      <c r="B7259">
        <f>HYPERLINK("https://android.googlesource.com/platform/cts/+/2425d5c7258072bb0d22b417c868d491da7d76d1", "2425d5c7258072bb0d22b417c868d491da7d76d1")</f>
        <v>0</v>
      </c>
      <c r="C7259">
        <f>HYPERLINK("https://android.googlesource.com/platform/cts/+/4f305f585aae489bffd7863e13fa7b72a333c88b", "4f305f585aae489bffd7863e13fa7b72a333c88b")</f>
        <v>0</v>
      </c>
      <c r="D7259" t="s">
        <v>4941</v>
      </c>
      <c r="E7259" t="s">
        <v>6107</v>
      </c>
      <c r="F7259" t="s">
        <v>11423</v>
      </c>
      <c r="G7259" t="s">
        <v>15664</v>
      </c>
      <c r="H7259" t="s">
        <v>20225</v>
      </c>
    </row>
    <row r="7260" spans="1:8">
      <c r="H7260" t="s">
        <v>20226</v>
      </c>
    </row>
    <row r="7261" spans="1:8">
      <c r="A7261" t="s">
        <v>313</v>
      </c>
      <c r="B7261">
        <f>HYPERLINK("https://android.googlesource.com/platform/cts/+/6a7c5d58f70a9dda71b035608ae38a53dbbf084d", "6a7c5d58f70a9dda71b035608ae38a53dbbf084d")</f>
        <v>0</v>
      </c>
      <c r="C7261">
        <f>HYPERLINK("https://android.googlesource.com/platform/cts/+/d28b2da2c9a18010b7b884483255b19143e42061", "d28b2da2c9a18010b7b884483255b19143e42061")</f>
        <v>0</v>
      </c>
      <c r="D7261" t="s">
        <v>4951</v>
      </c>
      <c r="E7261" t="s">
        <v>6108</v>
      </c>
      <c r="F7261" t="s">
        <v>10687</v>
      </c>
      <c r="G7261" t="s">
        <v>15087</v>
      </c>
      <c r="H7261" t="s">
        <v>20227</v>
      </c>
    </row>
    <row r="7262" spans="1:8">
      <c r="A7262" t="s">
        <v>314</v>
      </c>
      <c r="B7262">
        <f>HYPERLINK("https://android.googlesource.com/platform/cts/+/1d67e1910954f77786396111cb4c1aebf9799d08", "1d67e1910954f77786396111cb4c1aebf9799d08")</f>
        <v>0</v>
      </c>
      <c r="C7262">
        <f>HYPERLINK("https://android.googlesource.com/platform/cts/+/b753eca9a8c7c911241e844951adba524bb95cd2", "b753eca9a8c7c911241e844951adba524bb95cd2")</f>
        <v>0</v>
      </c>
      <c r="D7262" t="s">
        <v>4941</v>
      </c>
      <c r="E7262" t="s">
        <v>6109</v>
      </c>
      <c r="F7262" t="s">
        <v>11424</v>
      </c>
      <c r="G7262" t="s">
        <v>15665</v>
      </c>
      <c r="H7262" t="s">
        <v>20228</v>
      </c>
    </row>
    <row r="7263" spans="1:8">
      <c r="H7263" t="s">
        <v>20229</v>
      </c>
    </row>
    <row r="7264" spans="1:8">
      <c r="A7264" t="s">
        <v>315</v>
      </c>
      <c r="B7264">
        <f>HYPERLINK("https://android.googlesource.com/platform/cts/+/cb8e9c546b3c4b56232503ab0ac1b7f22e7771cf", "cb8e9c546b3c4b56232503ab0ac1b7f22e7771cf")</f>
        <v>0</v>
      </c>
      <c r="C7264">
        <f>HYPERLINK("https://android.googlesource.com/platform/cts/+/b753eca9a8c7c911241e844951adba524bb95cd2", "b753eca9a8c7c911241e844951adba524bb95cd2")</f>
        <v>0</v>
      </c>
      <c r="D7264" t="s">
        <v>4941</v>
      </c>
      <c r="E7264" t="s">
        <v>6110</v>
      </c>
      <c r="F7264" t="s">
        <v>11425</v>
      </c>
      <c r="G7264" t="s">
        <v>15666</v>
      </c>
      <c r="H7264" t="s">
        <v>20230</v>
      </c>
    </row>
    <row r="7265" spans="1:8">
      <c r="H7265" t="s">
        <v>20231</v>
      </c>
    </row>
    <row r="7266" spans="1:8">
      <c r="A7266" t="s">
        <v>316</v>
      </c>
      <c r="B7266">
        <f>HYPERLINK("https://android.googlesource.com/platform/cts/+/df9378aa97f09d5b44a63e9e92069d63e5aab77a", "df9378aa97f09d5b44a63e9e92069d63e5aab77a")</f>
        <v>0</v>
      </c>
      <c r="C7266">
        <f>HYPERLINK("https://android.googlesource.com/platform/cts/+/6ee03aa5f2e63bca382907751fe9d34fc0a629e7", "6ee03aa5f2e63bca382907751fe9d34fc0a629e7")</f>
        <v>0</v>
      </c>
      <c r="D7266" t="s">
        <v>4941</v>
      </c>
      <c r="E7266" t="s">
        <v>6111</v>
      </c>
      <c r="F7266" t="s">
        <v>11424</v>
      </c>
      <c r="G7266" t="s">
        <v>15665</v>
      </c>
      <c r="H7266" t="s">
        <v>20232</v>
      </c>
    </row>
    <row r="7267" spans="1:8">
      <c r="H7267" t="s">
        <v>20233</v>
      </c>
    </row>
    <row r="7268" spans="1:8">
      <c r="A7268" t="s">
        <v>317</v>
      </c>
      <c r="B7268">
        <f>HYPERLINK("https://android.googlesource.com/platform/cts/+/6f672e9a4a0ab3ee9d16cccd2fa68d0cbaa08540", "6f672e9a4a0ab3ee9d16cccd2fa68d0cbaa08540")</f>
        <v>0</v>
      </c>
      <c r="C7268">
        <f>HYPERLINK("https://android.googlesource.com/platform/cts/+/e9c49523e8ed044f4a6fe9f1e9c7d6732311061a", "e9c49523e8ed044f4a6fe9f1e9c7d6732311061a")</f>
        <v>0</v>
      </c>
      <c r="D7268" t="s">
        <v>4973</v>
      </c>
      <c r="E7268" t="s">
        <v>6112</v>
      </c>
      <c r="F7268" t="s">
        <v>11426</v>
      </c>
      <c r="G7268" t="s">
        <v>15667</v>
      </c>
      <c r="H7268" t="s">
        <v>20234</v>
      </c>
    </row>
    <row r="7269" spans="1:8">
      <c r="A7269" t="s">
        <v>318</v>
      </c>
      <c r="B7269">
        <f>HYPERLINK("https://android.googlesource.com/platform/cts/+/44005a2fe3c321d66e1d5c593f2426bf42b62f9f", "44005a2fe3c321d66e1d5c593f2426bf42b62f9f")</f>
        <v>0</v>
      </c>
      <c r="C7269">
        <f>HYPERLINK("https://android.googlesource.com/platform/cts/+/28c48e4b81405482556eb9dfe154b6e7ecd2c236", "28c48e4b81405482556eb9dfe154b6e7ecd2c236")</f>
        <v>0</v>
      </c>
      <c r="D7269" t="s">
        <v>4941</v>
      </c>
      <c r="E7269" t="s">
        <v>6113</v>
      </c>
      <c r="F7269" t="s">
        <v>11427</v>
      </c>
      <c r="G7269" t="s">
        <v>15140</v>
      </c>
      <c r="H7269" t="s">
        <v>20235</v>
      </c>
    </row>
    <row r="7270" spans="1:8">
      <c r="A7270" t="s">
        <v>319</v>
      </c>
      <c r="B7270">
        <f>HYPERLINK("https://android.googlesource.com/platform/cts/+/1f0afdf186b0ebd6da7a8642173f82f9fd106c6b", "1f0afdf186b0ebd6da7a8642173f82f9fd106c6b")</f>
        <v>0</v>
      </c>
      <c r="C7270">
        <f>HYPERLINK("https://android.googlesource.com/platform/cts/+/fdd8c8055519405b98a97e26bd2de57c02819900", "fdd8c8055519405b98a97e26bd2de57c02819900")</f>
        <v>0</v>
      </c>
      <c r="D7270" t="s">
        <v>4974</v>
      </c>
      <c r="E7270" t="s">
        <v>6114</v>
      </c>
      <c r="F7270" t="s">
        <v>11189</v>
      </c>
      <c r="G7270" t="s">
        <v>15578</v>
      </c>
      <c r="H7270" t="s">
        <v>20236</v>
      </c>
    </row>
    <row r="7271" spans="1:8">
      <c r="H7271" t="s">
        <v>19019</v>
      </c>
    </row>
    <row r="7272" spans="1:8">
      <c r="H7272" t="s">
        <v>20237</v>
      </c>
    </row>
    <row r="7273" spans="1:8">
      <c r="H7273" t="s">
        <v>20238</v>
      </c>
    </row>
    <row r="7274" spans="1:8">
      <c r="A7274" t="s">
        <v>320</v>
      </c>
      <c r="B7274">
        <f>HYPERLINK("https://android.googlesource.com/platform/cts/+/38edd6ac9ca56860220af0e0e6fb9675148a7aee", "38edd6ac9ca56860220af0e0e6fb9675148a7aee")</f>
        <v>0</v>
      </c>
      <c r="C7274">
        <f>HYPERLINK("https://android.googlesource.com/platform/cts/+/7082f951c9b060e5900eae4b652eb0a4ae05953a", "7082f951c9b060e5900eae4b652eb0a4ae05953a")</f>
        <v>0</v>
      </c>
      <c r="D7274" t="s">
        <v>4941</v>
      </c>
      <c r="E7274" t="s">
        <v>6115</v>
      </c>
      <c r="F7274" t="s">
        <v>11428</v>
      </c>
      <c r="G7274" t="s">
        <v>15668</v>
      </c>
      <c r="H7274" t="s">
        <v>18863</v>
      </c>
    </row>
    <row r="7275" spans="1:8">
      <c r="A7275" t="s">
        <v>321</v>
      </c>
      <c r="B7275">
        <f>HYPERLINK("https://android.googlesource.com/platform/cts/+/0925bc0243c33008f9159cbf7a6948a8e5914af5", "0925bc0243c33008f9159cbf7a6948a8e5914af5")</f>
        <v>0</v>
      </c>
      <c r="C7275">
        <f>HYPERLINK("https://android.googlesource.com/platform/cts/+/7082f951c9b060e5900eae4b652eb0a4ae05953a", "7082f951c9b060e5900eae4b652eb0a4ae05953a")</f>
        <v>0</v>
      </c>
      <c r="D7275" t="s">
        <v>4941</v>
      </c>
      <c r="E7275" t="s">
        <v>6116</v>
      </c>
      <c r="F7275" t="s">
        <v>11429</v>
      </c>
      <c r="G7275" t="s">
        <v>15669</v>
      </c>
      <c r="H7275" t="s">
        <v>20239</v>
      </c>
    </row>
    <row r="7276" spans="1:8">
      <c r="H7276" t="s">
        <v>20240</v>
      </c>
    </row>
    <row r="7277" spans="1:8">
      <c r="H7277" t="s">
        <v>20241</v>
      </c>
    </row>
    <row r="7278" spans="1:8">
      <c r="H7278" t="s">
        <v>20242</v>
      </c>
    </row>
    <row r="7279" spans="1:8">
      <c r="A7279" t="s">
        <v>322</v>
      </c>
      <c r="B7279">
        <f>HYPERLINK("https://android.googlesource.com/platform/cts/+/349b8fe7755f2404dcb396ccf540c65876020df0", "349b8fe7755f2404dcb396ccf540c65876020df0")</f>
        <v>0</v>
      </c>
      <c r="C7279">
        <f>HYPERLINK("https://android.googlesource.com/platform/cts/+/eaed243cd97a52f944314c40e1dba91879ab8c63", "eaed243cd97a52f944314c40e1dba91879ab8c63")</f>
        <v>0</v>
      </c>
      <c r="D7279" t="s">
        <v>4975</v>
      </c>
      <c r="E7279" t="s">
        <v>6117</v>
      </c>
      <c r="F7279" t="s">
        <v>11430</v>
      </c>
      <c r="G7279" t="s">
        <v>15670</v>
      </c>
      <c r="H7279" t="s">
        <v>20243</v>
      </c>
    </row>
    <row r="7280" spans="1:8">
      <c r="A7280" t="s">
        <v>323</v>
      </c>
      <c r="B7280">
        <f>HYPERLINK("https://android.googlesource.com/platform/cts/+/22ba1bc139771beabcf0261b9b19ffab2757903a", "22ba1bc139771beabcf0261b9b19ffab2757903a")</f>
        <v>0</v>
      </c>
      <c r="C7280">
        <f>HYPERLINK("https://android.googlesource.com/platform/cts/+/e5ea9961bde2dbe585a004352ca9453cf77726c1", "e5ea9961bde2dbe585a004352ca9453cf77726c1")</f>
        <v>0</v>
      </c>
      <c r="D7280" t="s">
        <v>4941</v>
      </c>
      <c r="E7280" t="s">
        <v>6118</v>
      </c>
      <c r="F7280" t="s">
        <v>10963</v>
      </c>
      <c r="G7280" t="s">
        <v>15354</v>
      </c>
      <c r="H7280" t="s">
        <v>20091</v>
      </c>
    </row>
    <row r="7281" spans="6:8">
      <c r="H7281" t="s">
        <v>19712</v>
      </c>
    </row>
    <row r="7282" spans="6:8">
      <c r="H7282" t="s">
        <v>19709</v>
      </c>
    </row>
    <row r="7283" spans="6:8">
      <c r="H7283" t="s">
        <v>19706</v>
      </c>
    </row>
    <row r="7284" spans="6:8">
      <c r="F7284" t="s">
        <v>10964</v>
      </c>
      <c r="G7284" t="s">
        <v>15355</v>
      </c>
      <c r="H7284" t="s">
        <v>20091</v>
      </c>
    </row>
    <row r="7285" spans="6:8">
      <c r="H7285" t="s">
        <v>19712</v>
      </c>
    </row>
    <row r="7286" spans="6:8">
      <c r="H7286" t="s">
        <v>20092</v>
      </c>
    </row>
    <row r="7287" spans="6:8">
      <c r="H7287" t="s">
        <v>20093</v>
      </c>
    </row>
    <row r="7288" spans="6:8">
      <c r="H7288" t="s">
        <v>20094</v>
      </c>
    </row>
    <row r="7289" spans="6:8">
      <c r="H7289" t="s">
        <v>20095</v>
      </c>
    </row>
    <row r="7290" spans="6:8">
      <c r="H7290" t="s">
        <v>20096</v>
      </c>
    </row>
    <row r="7291" spans="6:8">
      <c r="H7291" t="s">
        <v>20097</v>
      </c>
    </row>
    <row r="7292" spans="6:8">
      <c r="H7292" t="s">
        <v>20098</v>
      </c>
    </row>
    <row r="7293" spans="6:8">
      <c r="H7293" t="s">
        <v>20099</v>
      </c>
    </row>
    <row r="7294" spans="6:8">
      <c r="H7294" t="s">
        <v>20100</v>
      </c>
    </row>
    <row r="7295" spans="6:8">
      <c r="H7295" t="s">
        <v>20101</v>
      </c>
    </row>
    <row r="7296" spans="6:8">
      <c r="H7296" t="s">
        <v>20102</v>
      </c>
    </row>
    <row r="7297" spans="6:8">
      <c r="F7297" t="s">
        <v>10965</v>
      </c>
      <c r="G7297" t="s">
        <v>15356</v>
      </c>
      <c r="H7297" t="s">
        <v>20091</v>
      </c>
    </row>
    <row r="7298" spans="6:8">
      <c r="H7298" t="s">
        <v>19712</v>
      </c>
    </row>
    <row r="7299" spans="6:8">
      <c r="H7299" t="s">
        <v>19709</v>
      </c>
    </row>
    <row r="7300" spans="6:8">
      <c r="H7300" t="s">
        <v>19706</v>
      </c>
    </row>
    <row r="7301" spans="6:8">
      <c r="H7301" t="s">
        <v>20092</v>
      </c>
    </row>
    <row r="7302" spans="6:8">
      <c r="H7302" t="s">
        <v>20093</v>
      </c>
    </row>
    <row r="7303" spans="6:8">
      <c r="H7303" t="s">
        <v>20094</v>
      </c>
    </row>
    <row r="7304" spans="6:8">
      <c r="H7304" t="s">
        <v>20103</v>
      </c>
    </row>
    <row r="7305" spans="6:8">
      <c r="H7305" t="s">
        <v>20095</v>
      </c>
    </row>
    <row r="7306" spans="6:8">
      <c r="H7306" t="s">
        <v>20096</v>
      </c>
    </row>
    <row r="7307" spans="6:8">
      <c r="H7307" t="s">
        <v>20097</v>
      </c>
    </row>
    <row r="7308" spans="6:8">
      <c r="H7308" t="s">
        <v>20098</v>
      </c>
    </row>
    <row r="7309" spans="6:8">
      <c r="H7309" t="s">
        <v>20099</v>
      </c>
    </row>
    <row r="7310" spans="6:8">
      <c r="H7310" t="s">
        <v>20100</v>
      </c>
    </row>
    <row r="7311" spans="6:8">
      <c r="H7311" t="s">
        <v>20101</v>
      </c>
    </row>
    <row r="7312" spans="6:8">
      <c r="H7312" t="s">
        <v>20102</v>
      </c>
    </row>
    <row r="7313" spans="6:8">
      <c r="F7313" t="s">
        <v>10966</v>
      </c>
      <c r="G7313" t="s">
        <v>15357</v>
      </c>
      <c r="H7313" t="s">
        <v>20091</v>
      </c>
    </row>
    <row r="7314" spans="6:8">
      <c r="H7314" t="s">
        <v>20095</v>
      </c>
    </row>
    <row r="7315" spans="6:8">
      <c r="F7315" t="s">
        <v>10967</v>
      </c>
      <c r="G7315" t="s">
        <v>15358</v>
      </c>
      <c r="H7315" t="s">
        <v>20091</v>
      </c>
    </row>
    <row r="7316" spans="6:8">
      <c r="H7316" t="s">
        <v>19712</v>
      </c>
    </row>
    <row r="7317" spans="6:8">
      <c r="H7317" t="s">
        <v>20095</v>
      </c>
    </row>
    <row r="7318" spans="6:8">
      <c r="H7318" t="s">
        <v>20096</v>
      </c>
    </row>
    <row r="7319" spans="6:8">
      <c r="H7319" t="s">
        <v>20097</v>
      </c>
    </row>
    <row r="7320" spans="6:8">
      <c r="H7320" t="s">
        <v>20098</v>
      </c>
    </row>
    <row r="7321" spans="6:8">
      <c r="H7321" t="s">
        <v>20099</v>
      </c>
    </row>
    <row r="7322" spans="6:8">
      <c r="H7322" t="s">
        <v>19709</v>
      </c>
    </row>
    <row r="7323" spans="6:8">
      <c r="H7323" t="s">
        <v>19706</v>
      </c>
    </row>
    <row r="7324" spans="6:8">
      <c r="H7324" t="s">
        <v>20100</v>
      </c>
    </row>
    <row r="7325" spans="6:8">
      <c r="H7325" t="s">
        <v>20101</v>
      </c>
    </row>
    <row r="7326" spans="6:8">
      <c r="H7326" t="s">
        <v>20102</v>
      </c>
    </row>
    <row r="7327" spans="6:8">
      <c r="H7327" t="s">
        <v>20104</v>
      </c>
    </row>
    <row r="7328" spans="6:8">
      <c r="H7328" t="s">
        <v>20105</v>
      </c>
    </row>
    <row r="7329" spans="6:8">
      <c r="F7329" t="s">
        <v>10968</v>
      </c>
      <c r="G7329" t="s">
        <v>15359</v>
      </c>
      <c r="H7329" t="s">
        <v>20091</v>
      </c>
    </row>
    <row r="7330" spans="6:8">
      <c r="H7330" t="s">
        <v>19712</v>
      </c>
    </row>
    <row r="7331" spans="6:8">
      <c r="H7331" t="s">
        <v>20095</v>
      </c>
    </row>
    <row r="7332" spans="6:8">
      <c r="H7332" t="s">
        <v>20096</v>
      </c>
    </row>
    <row r="7333" spans="6:8">
      <c r="H7333" t="s">
        <v>20097</v>
      </c>
    </row>
    <row r="7334" spans="6:8">
      <c r="H7334" t="s">
        <v>20098</v>
      </c>
    </row>
    <row r="7335" spans="6:8">
      <c r="H7335" t="s">
        <v>20099</v>
      </c>
    </row>
    <row r="7336" spans="6:8">
      <c r="H7336" t="s">
        <v>20100</v>
      </c>
    </row>
    <row r="7337" spans="6:8">
      <c r="F7337" t="s">
        <v>10969</v>
      </c>
      <c r="G7337" t="s">
        <v>15360</v>
      </c>
      <c r="H7337" t="s">
        <v>20091</v>
      </c>
    </row>
    <row r="7338" spans="6:8">
      <c r="H7338" t="s">
        <v>19712</v>
      </c>
    </row>
    <row r="7339" spans="6:8">
      <c r="H7339" t="s">
        <v>20095</v>
      </c>
    </row>
    <row r="7340" spans="6:8">
      <c r="H7340" t="s">
        <v>20096</v>
      </c>
    </row>
    <row r="7341" spans="6:8">
      <c r="H7341" t="s">
        <v>20097</v>
      </c>
    </row>
    <row r="7342" spans="6:8">
      <c r="H7342" t="s">
        <v>20098</v>
      </c>
    </row>
    <row r="7343" spans="6:8">
      <c r="H7343" t="s">
        <v>20099</v>
      </c>
    </row>
    <row r="7344" spans="6:8">
      <c r="H7344" t="s">
        <v>20100</v>
      </c>
    </row>
    <row r="7345" spans="6:8">
      <c r="F7345" t="s">
        <v>10970</v>
      </c>
      <c r="G7345" t="s">
        <v>15361</v>
      </c>
      <c r="H7345" t="s">
        <v>20091</v>
      </c>
    </row>
    <row r="7346" spans="6:8">
      <c r="H7346" t="s">
        <v>19712</v>
      </c>
    </row>
    <row r="7347" spans="6:8">
      <c r="H7347" t="s">
        <v>20095</v>
      </c>
    </row>
    <row r="7348" spans="6:8">
      <c r="H7348" t="s">
        <v>20096</v>
      </c>
    </row>
    <row r="7349" spans="6:8">
      <c r="H7349" t="s">
        <v>20097</v>
      </c>
    </row>
    <row r="7350" spans="6:8">
      <c r="H7350" t="s">
        <v>20098</v>
      </c>
    </row>
    <row r="7351" spans="6:8">
      <c r="H7351" t="s">
        <v>20099</v>
      </c>
    </row>
    <row r="7352" spans="6:8">
      <c r="H7352" t="s">
        <v>20100</v>
      </c>
    </row>
    <row r="7353" spans="6:8">
      <c r="F7353" t="s">
        <v>10971</v>
      </c>
      <c r="G7353" t="s">
        <v>15362</v>
      </c>
      <c r="H7353" t="s">
        <v>20091</v>
      </c>
    </row>
    <row r="7354" spans="6:8">
      <c r="H7354" t="s">
        <v>19712</v>
      </c>
    </row>
    <row r="7355" spans="6:8">
      <c r="H7355" t="s">
        <v>20095</v>
      </c>
    </row>
    <row r="7356" spans="6:8">
      <c r="H7356" t="s">
        <v>20096</v>
      </c>
    </row>
    <row r="7357" spans="6:8">
      <c r="H7357" t="s">
        <v>20097</v>
      </c>
    </row>
    <row r="7358" spans="6:8">
      <c r="H7358" t="s">
        <v>20098</v>
      </c>
    </row>
    <row r="7359" spans="6:8">
      <c r="H7359" t="s">
        <v>20099</v>
      </c>
    </row>
    <row r="7360" spans="6:8">
      <c r="H7360" t="s">
        <v>20100</v>
      </c>
    </row>
    <row r="7361" spans="6:8">
      <c r="F7361" t="s">
        <v>10972</v>
      </c>
      <c r="G7361" t="s">
        <v>15363</v>
      </c>
      <c r="H7361" t="s">
        <v>20091</v>
      </c>
    </row>
    <row r="7362" spans="6:8">
      <c r="H7362" t="s">
        <v>19712</v>
      </c>
    </row>
    <row r="7363" spans="6:8">
      <c r="H7363" t="s">
        <v>19709</v>
      </c>
    </row>
    <row r="7364" spans="6:8">
      <c r="H7364" t="s">
        <v>20092</v>
      </c>
    </row>
    <row r="7365" spans="6:8">
      <c r="H7365" t="s">
        <v>20093</v>
      </c>
    </row>
    <row r="7366" spans="6:8">
      <c r="H7366" t="s">
        <v>20094</v>
      </c>
    </row>
    <row r="7367" spans="6:8">
      <c r="H7367" t="s">
        <v>20103</v>
      </c>
    </row>
    <row r="7368" spans="6:8">
      <c r="H7368" t="s">
        <v>20095</v>
      </c>
    </row>
    <row r="7369" spans="6:8">
      <c r="H7369" t="s">
        <v>20096</v>
      </c>
    </row>
    <row r="7370" spans="6:8">
      <c r="H7370" t="s">
        <v>20097</v>
      </c>
    </row>
    <row r="7371" spans="6:8">
      <c r="H7371" t="s">
        <v>20098</v>
      </c>
    </row>
    <row r="7372" spans="6:8">
      <c r="H7372" t="s">
        <v>20099</v>
      </c>
    </row>
    <row r="7373" spans="6:8">
      <c r="H7373" t="s">
        <v>20100</v>
      </c>
    </row>
    <row r="7374" spans="6:8">
      <c r="F7374" t="s">
        <v>10973</v>
      </c>
      <c r="G7374" t="s">
        <v>15364</v>
      </c>
      <c r="H7374" t="s">
        <v>20091</v>
      </c>
    </row>
    <row r="7375" spans="6:8">
      <c r="H7375" t="s">
        <v>19712</v>
      </c>
    </row>
    <row r="7376" spans="6:8">
      <c r="H7376" t="s">
        <v>19709</v>
      </c>
    </row>
    <row r="7377" spans="6:8">
      <c r="H7377" t="s">
        <v>19706</v>
      </c>
    </row>
    <row r="7378" spans="6:8">
      <c r="H7378" t="s">
        <v>19707</v>
      </c>
    </row>
    <row r="7379" spans="6:8">
      <c r="H7379" t="s">
        <v>19711</v>
      </c>
    </row>
    <row r="7380" spans="6:8">
      <c r="H7380" t="s">
        <v>19708</v>
      </c>
    </row>
    <row r="7381" spans="6:8">
      <c r="H7381" t="s">
        <v>19710</v>
      </c>
    </row>
    <row r="7382" spans="6:8">
      <c r="H7382" t="s">
        <v>20092</v>
      </c>
    </row>
    <row r="7383" spans="6:8">
      <c r="H7383" t="s">
        <v>20093</v>
      </c>
    </row>
    <row r="7384" spans="6:8">
      <c r="H7384" t="s">
        <v>20095</v>
      </c>
    </row>
    <row r="7385" spans="6:8">
      <c r="H7385" t="s">
        <v>20096</v>
      </c>
    </row>
    <row r="7386" spans="6:8">
      <c r="H7386" t="s">
        <v>20097</v>
      </c>
    </row>
    <row r="7387" spans="6:8">
      <c r="H7387" t="s">
        <v>20098</v>
      </c>
    </row>
    <row r="7388" spans="6:8">
      <c r="H7388" t="s">
        <v>20099</v>
      </c>
    </row>
    <row r="7389" spans="6:8">
      <c r="H7389" t="s">
        <v>20100</v>
      </c>
    </row>
    <row r="7390" spans="6:8">
      <c r="H7390" t="s">
        <v>20101</v>
      </c>
    </row>
    <row r="7391" spans="6:8">
      <c r="F7391" t="s">
        <v>10974</v>
      </c>
      <c r="G7391" t="s">
        <v>15365</v>
      </c>
      <c r="H7391" t="s">
        <v>20091</v>
      </c>
    </row>
    <row r="7392" spans="6:8">
      <c r="H7392" t="s">
        <v>20106</v>
      </c>
    </row>
    <row r="7393" spans="6:8">
      <c r="H7393" t="s">
        <v>20096</v>
      </c>
    </row>
    <row r="7394" spans="6:8">
      <c r="H7394" t="s">
        <v>20095</v>
      </c>
    </row>
    <row r="7395" spans="6:8">
      <c r="F7395" t="s">
        <v>10975</v>
      </c>
      <c r="G7395" t="s">
        <v>15366</v>
      </c>
      <c r="H7395" t="s">
        <v>20091</v>
      </c>
    </row>
    <row r="7396" spans="6:8">
      <c r="H7396" t="s">
        <v>19712</v>
      </c>
    </row>
    <row r="7397" spans="6:8">
      <c r="H7397" t="s">
        <v>20095</v>
      </c>
    </row>
    <row r="7398" spans="6:8">
      <c r="H7398" t="s">
        <v>20096</v>
      </c>
    </row>
    <row r="7399" spans="6:8">
      <c r="H7399" t="s">
        <v>20097</v>
      </c>
    </row>
    <row r="7400" spans="6:8">
      <c r="H7400" t="s">
        <v>19709</v>
      </c>
    </row>
    <row r="7401" spans="6:8">
      <c r="H7401" t="s">
        <v>19706</v>
      </c>
    </row>
    <row r="7402" spans="6:8">
      <c r="H7402" t="s">
        <v>20098</v>
      </c>
    </row>
    <row r="7403" spans="6:8">
      <c r="H7403" t="s">
        <v>20099</v>
      </c>
    </row>
    <row r="7404" spans="6:8">
      <c r="H7404" t="s">
        <v>20100</v>
      </c>
    </row>
    <row r="7405" spans="6:8">
      <c r="F7405" t="s">
        <v>10976</v>
      </c>
      <c r="G7405" t="s">
        <v>15367</v>
      </c>
      <c r="H7405" t="s">
        <v>20091</v>
      </c>
    </row>
    <row r="7406" spans="6:8">
      <c r="H7406" t="s">
        <v>19712</v>
      </c>
    </row>
    <row r="7407" spans="6:8">
      <c r="H7407" t="s">
        <v>20095</v>
      </c>
    </row>
    <row r="7408" spans="6:8">
      <c r="H7408" t="s">
        <v>20096</v>
      </c>
    </row>
    <row r="7409" spans="6:8">
      <c r="H7409" t="s">
        <v>20097</v>
      </c>
    </row>
    <row r="7410" spans="6:8">
      <c r="F7410" t="s">
        <v>10977</v>
      </c>
      <c r="G7410" t="s">
        <v>15368</v>
      </c>
      <c r="H7410" t="s">
        <v>20091</v>
      </c>
    </row>
    <row r="7411" spans="6:8">
      <c r="H7411" t="s">
        <v>19712</v>
      </c>
    </row>
    <row r="7412" spans="6:8">
      <c r="H7412" t="s">
        <v>20095</v>
      </c>
    </row>
    <row r="7413" spans="6:8">
      <c r="H7413" t="s">
        <v>20096</v>
      </c>
    </row>
    <row r="7414" spans="6:8">
      <c r="H7414" t="s">
        <v>20097</v>
      </c>
    </row>
    <row r="7415" spans="6:8">
      <c r="F7415" t="s">
        <v>10978</v>
      </c>
      <c r="G7415" t="s">
        <v>15369</v>
      </c>
      <c r="H7415" t="s">
        <v>20091</v>
      </c>
    </row>
    <row r="7416" spans="6:8">
      <c r="H7416" t="s">
        <v>19712</v>
      </c>
    </row>
    <row r="7417" spans="6:8">
      <c r="H7417" t="s">
        <v>20095</v>
      </c>
    </row>
    <row r="7418" spans="6:8">
      <c r="H7418" t="s">
        <v>20096</v>
      </c>
    </row>
    <row r="7419" spans="6:8">
      <c r="H7419" t="s">
        <v>20097</v>
      </c>
    </row>
    <row r="7420" spans="6:8">
      <c r="F7420" t="s">
        <v>10979</v>
      </c>
      <c r="G7420" t="s">
        <v>15370</v>
      </c>
      <c r="H7420" t="s">
        <v>20091</v>
      </c>
    </row>
    <row r="7421" spans="6:8">
      <c r="H7421" t="s">
        <v>19712</v>
      </c>
    </row>
    <row r="7422" spans="6:8">
      <c r="H7422" t="s">
        <v>20095</v>
      </c>
    </row>
    <row r="7423" spans="6:8">
      <c r="H7423" t="s">
        <v>20096</v>
      </c>
    </row>
    <row r="7424" spans="6:8">
      <c r="H7424" t="s">
        <v>20097</v>
      </c>
    </row>
    <row r="7425" spans="6:8">
      <c r="F7425" t="s">
        <v>10980</v>
      </c>
      <c r="G7425" t="s">
        <v>15371</v>
      </c>
      <c r="H7425" t="s">
        <v>20091</v>
      </c>
    </row>
    <row r="7426" spans="6:8">
      <c r="H7426" t="s">
        <v>19712</v>
      </c>
    </row>
    <row r="7427" spans="6:8">
      <c r="H7427" t="s">
        <v>19709</v>
      </c>
    </row>
    <row r="7428" spans="6:8">
      <c r="H7428" t="s">
        <v>19706</v>
      </c>
    </row>
    <row r="7429" spans="6:8">
      <c r="H7429" t="s">
        <v>20092</v>
      </c>
    </row>
    <row r="7430" spans="6:8">
      <c r="H7430" t="s">
        <v>20093</v>
      </c>
    </row>
    <row r="7431" spans="6:8">
      <c r="H7431" t="s">
        <v>20094</v>
      </c>
    </row>
    <row r="7432" spans="6:8">
      <c r="H7432" t="s">
        <v>20095</v>
      </c>
    </row>
    <row r="7433" spans="6:8">
      <c r="H7433" t="s">
        <v>20096</v>
      </c>
    </row>
    <row r="7434" spans="6:8">
      <c r="H7434" t="s">
        <v>20097</v>
      </c>
    </row>
    <row r="7435" spans="6:8">
      <c r="H7435" t="s">
        <v>20098</v>
      </c>
    </row>
    <row r="7436" spans="6:8">
      <c r="H7436" t="s">
        <v>20099</v>
      </c>
    </row>
    <row r="7437" spans="6:8">
      <c r="F7437" t="s">
        <v>10981</v>
      </c>
      <c r="G7437" t="s">
        <v>15372</v>
      </c>
      <c r="H7437" t="s">
        <v>20091</v>
      </c>
    </row>
    <row r="7438" spans="6:8">
      <c r="H7438" t="s">
        <v>19712</v>
      </c>
    </row>
    <row r="7439" spans="6:8">
      <c r="H7439" t="s">
        <v>20092</v>
      </c>
    </row>
    <row r="7440" spans="6:8">
      <c r="H7440" t="s">
        <v>20093</v>
      </c>
    </row>
    <row r="7441" spans="6:8">
      <c r="H7441" t="s">
        <v>20094</v>
      </c>
    </row>
    <row r="7442" spans="6:8">
      <c r="H7442" t="s">
        <v>20095</v>
      </c>
    </row>
    <row r="7443" spans="6:8">
      <c r="H7443" t="s">
        <v>20096</v>
      </c>
    </row>
    <row r="7444" spans="6:8">
      <c r="H7444" t="s">
        <v>20097</v>
      </c>
    </row>
    <row r="7445" spans="6:8">
      <c r="H7445" t="s">
        <v>20098</v>
      </c>
    </row>
    <row r="7446" spans="6:8">
      <c r="H7446" t="s">
        <v>20099</v>
      </c>
    </row>
    <row r="7447" spans="6:8">
      <c r="H7447" t="s">
        <v>20100</v>
      </c>
    </row>
    <row r="7448" spans="6:8">
      <c r="H7448" t="s">
        <v>20101</v>
      </c>
    </row>
    <row r="7449" spans="6:8">
      <c r="H7449" t="s">
        <v>20102</v>
      </c>
    </row>
    <row r="7450" spans="6:8">
      <c r="F7450" t="s">
        <v>10982</v>
      </c>
      <c r="G7450" t="s">
        <v>15373</v>
      </c>
      <c r="H7450" t="s">
        <v>20091</v>
      </c>
    </row>
    <row r="7451" spans="6:8">
      <c r="H7451" t="s">
        <v>19712</v>
      </c>
    </row>
    <row r="7452" spans="6:8">
      <c r="H7452" t="s">
        <v>20092</v>
      </c>
    </row>
    <row r="7453" spans="6:8">
      <c r="H7453" t="s">
        <v>20093</v>
      </c>
    </row>
    <row r="7454" spans="6:8">
      <c r="H7454" t="s">
        <v>20094</v>
      </c>
    </row>
    <row r="7455" spans="6:8">
      <c r="H7455" t="s">
        <v>20095</v>
      </c>
    </row>
    <row r="7456" spans="6:8">
      <c r="H7456" t="s">
        <v>20096</v>
      </c>
    </row>
    <row r="7457" spans="6:8">
      <c r="H7457" t="s">
        <v>20097</v>
      </c>
    </row>
    <row r="7458" spans="6:8">
      <c r="H7458" t="s">
        <v>20098</v>
      </c>
    </row>
    <row r="7459" spans="6:8">
      <c r="H7459" t="s">
        <v>20099</v>
      </c>
    </row>
    <row r="7460" spans="6:8">
      <c r="H7460" t="s">
        <v>20100</v>
      </c>
    </row>
    <row r="7461" spans="6:8">
      <c r="H7461" t="s">
        <v>20101</v>
      </c>
    </row>
    <row r="7462" spans="6:8">
      <c r="H7462" t="s">
        <v>20102</v>
      </c>
    </row>
    <row r="7463" spans="6:8">
      <c r="F7463" t="s">
        <v>10983</v>
      </c>
      <c r="G7463" t="s">
        <v>15374</v>
      </c>
      <c r="H7463" t="s">
        <v>20091</v>
      </c>
    </row>
    <row r="7464" spans="6:8">
      <c r="H7464" t="s">
        <v>20107</v>
      </c>
    </row>
    <row r="7465" spans="6:8">
      <c r="H7465" t="s">
        <v>20108</v>
      </c>
    </row>
    <row r="7466" spans="6:8">
      <c r="H7466" t="s">
        <v>20095</v>
      </c>
    </row>
    <row r="7467" spans="6:8">
      <c r="F7467" t="s">
        <v>10984</v>
      </c>
      <c r="G7467" t="s">
        <v>15375</v>
      </c>
      <c r="H7467" t="s">
        <v>20091</v>
      </c>
    </row>
    <row r="7468" spans="6:8">
      <c r="H7468" t="s">
        <v>19712</v>
      </c>
    </row>
    <row r="7469" spans="6:8">
      <c r="H7469" t="s">
        <v>20092</v>
      </c>
    </row>
    <row r="7470" spans="6:8">
      <c r="H7470" t="s">
        <v>20093</v>
      </c>
    </row>
    <row r="7471" spans="6:8">
      <c r="H7471" t="s">
        <v>20094</v>
      </c>
    </row>
    <row r="7472" spans="6:8">
      <c r="H7472" t="s">
        <v>20095</v>
      </c>
    </row>
    <row r="7473" spans="6:8">
      <c r="H7473" t="s">
        <v>20096</v>
      </c>
    </row>
    <row r="7474" spans="6:8">
      <c r="H7474" t="s">
        <v>20097</v>
      </c>
    </row>
    <row r="7475" spans="6:8">
      <c r="H7475" t="s">
        <v>20098</v>
      </c>
    </row>
    <row r="7476" spans="6:8">
      <c r="H7476" t="s">
        <v>20099</v>
      </c>
    </row>
    <row r="7477" spans="6:8">
      <c r="H7477" t="s">
        <v>20100</v>
      </c>
    </row>
    <row r="7478" spans="6:8">
      <c r="H7478" t="s">
        <v>20101</v>
      </c>
    </row>
    <row r="7479" spans="6:8">
      <c r="H7479" t="s">
        <v>20102</v>
      </c>
    </row>
    <row r="7480" spans="6:8">
      <c r="F7480" t="s">
        <v>10985</v>
      </c>
      <c r="G7480" t="s">
        <v>15376</v>
      </c>
      <c r="H7480" t="s">
        <v>20091</v>
      </c>
    </row>
    <row r="7481" spans="6:8">
      <c r="H7481" t="s">
        <v>19712</v>
      </c>
    </row>
    <row r="7482" spans="6:8">
      <c r="H7482" t="s">
        <v>20092</v>
      </c>
    </row>
    <row r="7483" spans="6:8">
      <c r="H7483" t="s">
        <v>20093</v>
      </c>
    </row>
    <row r="7484" spans="6:8">
      <c r="H7484" t="s">
        <v>20094</v>
      </c>
    </row>
    <row r="7485" spans="6:8">
      <c r="H7485" t="s">
        <v>20095</v>
      </c>
    </row>
    <row r="7486" spans="6:8">
      <c r="H7486" t="s">
        <v>20096</v>
      </c>
    </row>
    <row r="7487" spans="6:8">
      <c r="H7487" t="s">
        <v>20097</v>
      </c>
    </row>
    <row r="7488" spans="6:8">
      <c r="H7488" t="s">
        <v>20098</v>
      </c>
    </row>
    <row r="7489" spans="6:8">
      <c r="H7489" t="s">
        <v>20099</v>
      </c>
    </row>
    <row r="7490" spans="6:8">
      <c r="H7490" t="s">
        <v>20100</v>
      </c>
    </row>
    <row r="7491" spans="6:8">
      <c r="H7491" t="s">
        <v>20101</v>
      </c>
    </row>
    <row r="7492" spans="6:8">
      <c r="H7492" t="s">
        <v>20102</v>
      </c>
    </row>
    <row r="7493" spans="6:8">
      <c r="F7493" t="s">
        <v>10986</v>
      </c>
      <c r="G7493" t="s">
        <v>15377</v>
      </c>
      <c r="H7493" t="s">
        <v>20091</v>
      </c>
    </row>
    <row r="7494" spans="6:8">
      <c r="H7494" t="s">
        <v>19712</v>
      </c>
    </row>
    <row r="7495" spans="6:8">
      <c r="H7495" t="s">
        <v>19706</v>
      </c>
    </row>
    <row r="7496" spans="6:8">
      <c r="H7496" t="s">
        <v>20092</v>
      </c>
    </row>
    <row r="7497" spans="6:8">
      <c r="H7497" t="s">
        <v>20093</v>
      </c>
    </row>
    <row r="7498" spans="6:8">
      <c r="H7498" t="s">
        <v>20094</v>
      </c>
    </row>
    <row r="7499" spans="6:8">
      <c r="H7499" t="s">
        <v>20095</v>
      </c>
    </row>
    <row r="7500" spans="6:8">
      <c r="H7500" t="s">
        <v>20096</v>
      </c>
    </row>
    <row r="7501" spans="6:8">
      <c r="H7501" t="s">
        <v>20097</v>
      </c>
    </row>
    <row r="7502" spans="6:8">
      <c r="H7502" t="s">
        <v>20098</v>
      </c>
    </row>
    <row r="7503" spans="6:8">
      <c r="F7503" t="s">
        <v>10987</v>
      </c>
      <c r="G7503" t="s">
        <v>15378</v>
      </c>
      <c r="H7503" t="s">
        <v>20091</v>
      </c>
    </row>
    <row r="7504" spans="6:8">
      <c r="H7504" t="s">
        <v>19712</v>
      </c>
    </row>
    <row r="7505" spans="6:8">
      <c r="H7505" t="s">
        <v>19709</v>
      </c>
    </row>
    <row r="7506" spans="6:8">
      <c r="H7506" t="s">
        <v>20107</v>
      </c>
    </row>
    <row r="7507" spans="6:8">
      <c r="H7507" t="s">
        <v>20108</v>
      </c>
    </row>
    <row r="7508" spans="6:8">
      <c r="H7508" t="s">
        <v>19713</v>
      </c>
    </row>
    <row r="7509" spans="6:8">
      <c r="H7509" t="s">
        <v>19714</v>
      </c>
    </row>
    <row r="7510" spans="6:8">
      <c r="H7510" t="s">
        <v>20109</v>
      </c>
    </row>
    <row r="7511" spans="6:8">
      <c r="H7511" t="s">
        <v>20110</v>
      </c>
    </row>
    <row r="7512" spans="6:8">
      <c r="H7512" t="s">
        <v>20111</v>
      </c>
    </row>
    <row r="7513" spans="6:8">
      <c r="H7513" t="s">
        <v>20095</v>
      </c>
    </row>
    <row r="7514" spans="6:8">
      <c r="H7514" t="s">
        <v>20096</v>
      </c>
    </row>
    <row r="7515" spans="6:8">
      <c r="H7515" t="s">
        <v>20097</v>
      </c>
    </row>
    <row r="7516" spans="6:8">
      <c r="H7516" t="s">
        <v>20098</v>
      </c>
    </row>
    <row r="7517" spans="6:8">
      <c r="F7517" t="s">
        <v>10988</v>
      </c>
      <c r="G7517" t="s">
        <v>15379</v>
      </c>
      <c r="H7517" t="s">
        <v>20091</v>
      </c>
    </row>
    <row r="7518" spans="6:8">
      <c r="H7518" t="s">
        <v>19712</v>
      </c>
    </row>
    <row r="7519" spans="6:8">
      <c r="H7519" t="s">
        <v>19709</v>
      </c>
    </row>
    <row r="7520" spans="6:8">
      <c r="H7520" t="s">
        <v>20107</v>
      </c>
    </row>
    <row r="7521" spans="6:8">
      <c r="H7521" t="s">
        <v>20108</v>
      </c>
    </row>
    <row r="7522" spans="6:8">
      <c r="H7522" t="s">
        <v>19713</v>
      </c>
    </row>
    <row r="7523" spans="6:8">
      <c r="H7523" t="s">
        <v>19714</v>
      </c>
    </row>
    <row r="7524" spans="6:8">
      <c r="H7524" t="s">
        <v>20109</v>
      </c>
    </row>
    <row r="7525" spans="6:8">
      <c r="H7525" t="s">
        <v>20110</v>
      </c>
    </row>
    <row r="7526" spans="6:8">
      <c r="H7526" t="s">
        <v>20095</v>
      </c>
    </row>
    <row r="7527" spans="6:8">
      <c r="H7527" t="s">
        <v>20096</v>
      </c>
    </row>
    <row r="7528" spans="6:8">
      <c r="H7528" t="s">
        <v>20097</v>
      </c>
    </row>
    <row r="7529" spans="6:8">
      <c r="H7529" t="s">
        <v>20098</v>
      </c>
    </row>
    <row r="7530" spans="6:8">
      <c r="F7530" t="s">
        <v>10989</v>
      </c>
      <c r="G7530" t="s">
        <v>15380</v>
      </c>
      <c r="H7530" t="s">
        <v>20091</v>
      </c>
    </row>
    <row r="7531" spans="6:8">
      <c r="H7531" t="s">
        <v>19712</v>
      </c>
    </row>
    <row r="7532" spans="6:8">
      <c r="H7532" t="s">
        <v>19709</v>
      </c>
    </row>
    <row r="7533" spans="6:8">
      <c r="H7533" t="s">
        <v>20107</v>
      </c>
    </row>
    <row r="7534" spans="6:8">
      <c r="H7534" t="s">
        <v>20108</v>
      </c>
    </row>
    <row r="7535" spans="6:8">
      <c r="H7535" t="s">
        <v>19713</v>
      </c>
    </row>
    <row r="7536" spans="6:8">
      <c r="H7536" t="s">
        <v>19714</v>
      </c>
    </row>
    <row r="7537" spans="6:8">
      <c r="H7537" t="s">
        <v>20109</v>
      </c>
    </row>
    <row r="7538" spans="6:8">
      <c r="H7538" t="s">
        <v>20110</v>
      </c>
    </row>
    <row r="7539" spans="6:8">
      <c r="H7539" t="s">
        <v>20095</v>
      </c>
    </row>
    <row r="7540" spans="6:8">
      <c r="H7540" t="s">
        <v>20096</v>
      </c>
    </row>
    <row r="7541" spans="6:8">
      <c r="H7541" t="s">
        <v>20097</v>
      </c>
    </row>
    <row r="7542" spans="6:8">
      <c r="H7542" t="s">
        <v>20098</v>
      </c>
    </row>
    <row r="7543" spans="6:8">
      <c r="F7543" t="s">
        <v>10990</v>
      </c>
      <c r="G7543" t="s">
        <v>15381</v>
      </c>
      <c r="H7543" t="s">
        <v>20091</v>
      </c>
    </row>
    <row r="7544" spans="6:8">
      <c r="H7544" t="s">
        <v>19712</v>
      </c>
    </row>
    <row r="7545" spans="6:8">
      <c r="H7545" t="s">
        <v>19709</v>
      </c>
    </row>
    <row r="7546" spans="6:8">
      <c r="H7546" t="s">
        <v>20107</v>
      </c>
    </row>
    <row r="7547" spans="6:8">
      <c r="H7547" t="s">
        <v>20108</v>
      </c>
    </row>
    <row r="7548" spans="6:8">
      <c r="H7548" t="s">
        <v>19713</v>
      </c>
    </row>
    <row r="7549" spans="6:8">
      <c r="H7549" t="s">
        <v>19714</v>
      </c>
    </row>
    <row r="7550" spans="6:8">
      <c r="H7550" t="s">
        <v>20109</v>
      </c>
    </row>
    <row r="7551" spans="6:8">
      <c r="H7551" t="s">
        <v>20110</v>
      </c>
    </row>
    <row r="7552" spans="6:8">
      <c r="H7552" t="s">
        <v>20111</v>
      </c>
    </row>
    <row r="7553" spans="6:8">
      <c r="H7553" t="s">
        <v>20112</v>
      </c>
    </row>
    <row r="7554" spans="6:8">
      <c r="H7554" t="s">
        <v>20113</v>
      </c>
    </row>
    <row r="7555" spans="6:8">
      <c r="H7555" t="s">
        <v>20095</v>
      </c>
    </row>
    <row r="7556" spans="6:8">
      <c r="H7556" t="s">
        <v>20096</v>
      </c>
    </row>
    <row r="7557" spans="6:8">
      <c r="H7557" t="s">
        <v>20097</v>
      </c>
    </row>
    <row r="7558" spans="6:8">
      <c r="H7558" t="s">
        <v>20098</v>
      </c>
    </row>
    <row r="7559" spans="6:8">
      <c r="F7559" t="s">
        <v>10991</v>
      </c>
      <c r="G7559" t="s">
        <v>15382</v>
      </c>
      <c r="H7559" t="s">
        <v>20091</v>
      </c>
    </row>
    <row r="7560" spans="6:8">
      <c r="H7560" t="s">
        <v>19712</v>
      </c>
    </row>
    <row r="7561" spans="6:8">
      <c r="H7561" t="s">
        <v>20092</v>
      </c>
    </row>
    <row r="7562" spans="6:8">
      <c r="H7562" t="s">
        <v>20093</v>
      </c>
    </row>
    <row r="7563" spans="6:8">
      <c r="H7563" t="s">
        <v>20094</v>
      </c>
    </row>
    <row r="7564" spans="6:8">
      <c r="H7564" t="s">
        <v>20095</v>
      </c>
    </row>
    <row r="7565" spans="6:8">
      <c r="H7565" t="s">
        <v>20096</v>
      </c>
    </row>
    <row r="7566" spans="6:8">
      <c r="H7566" t="s">
        <v>20097</v>
      </c>
    </row>
    <row r="7567" spans="6:8">
      <c r="H7567" t="s">
        <v>20098</v>
      </c>
    </row>
    <row r="7568" spans="6:8">
      <c r="H7568" t="s">
        <v>20099</v>
      </c>
    </row>
    <row r="7569" spans="6:8">
      <c r="H7569" t="s">
        <v>20100</v>
      </c>
    </row>
    <row r="7570" spans="6:8">
      <c r="H7570" t="s">
        <v>20101</v>
      </c>
    </row>
    <row r="7571" spans="6:8">
      <c r="H7571" t="s">
        <v>20102</v>
      </c>
    </row>
    <row r="7572" spans="6:8">
      <c r="F7572" t="s">
        <v>10992</v>
      </c>
      <c r="G7572" t="s">
        <v>15383</v>
      </c>
      <c r="H7572" t="s">
        <v>20091</v>
      </c>
    </row>
    <row r="7573" spans="6:8">
      <c r="H7573" t="s">
        <v>19712</v>
      </c>
    </row>
    <row r="7574" spans="6:8">
      <c r="H7574" t="s">
        <v>20092</v>
      </c>
    </row>
    <row r="7575" spans="6:8">
      <c r="H7575" t="s">
        <v>20093</v>
      </c>
    </row>
    <row r="7576" spans="6:8">
      <c r="H7576" t="s">
        <v>20094</v>
      </c>
    </row>
    <row r="7577" spans="6:8">
      <c r="H7577" t="s">
        <v>20095</v>
      </c>
    </row>
    <row r="7578" spans="6:8">
      <c r="H7578" t="s">
        <v>20096</v>
      </c>
    </row>
    <row r="7579" spans="6:8">
      <c r="H7579" t="s">
        <v>20097</v>
      </c>
    </row>
    <row r="7580" spans="6:8">
      <c r="H7580" t="s">
        <v>20098</v>
      </c>
    </row>
    <row r="7581" spans="6:8">
      <c r="H7581" t="s">
        <v>20099</v>
      </c>
    </row>
    <row r="7582" spans="6:8">
      <c r="H7582" t="s">
        <v>20100</v>
      </c>
    </row>
    <row r="7583" spans="6:8">
      <c r="H7583" t="s">
        <v>20101</v>
      </c>
    </row>
    <row r="7584" spans="6:8">
      <c r="H7584" t="s">
        <v>20102</v>
      </c>
    </row>
    <row r="7585" spans="6:8">
      <c r="F7585" t="s">
        <v>10993</v>
      </c>
      <c r="G7585" t="s">
        <v>15384</v>
      </c>
      <c r="H7585" t="s">
        <v>20091</v>
      </c>
    </row>
    <row r="7586" spans="6:8">
      <c r="H7586" t="s">
        <v>19712</v>
      </c>
    </row>
    <row r="7587" spans="6:8">
      <c r="H7587" t="s">
        <v>19709</v>
      </c>
    </row>
    <row r="7588" spans="6:8">
      <c r="H7588" t="s">
        <v>20107</v>
      </c>
    </row>
    <row r="7589" spans="6:8">
      <c r="H7589" t="s">
        <v>20108</v>
      </c>
    </row>
    <row r="7590" spans="6:8">
      <c r="H7590" t="s">
        <v>19713</v>
      </c>
    </row>
    <row r="7591" spans="6:8">
      <c r="H7591" t="s">
        <v>19714</v>
      </c>
    </row>
    <row r="7592" spans="6:8">
      <c r="H7592" t="s">
        <v>20109</v>
      </c>
    </row>
    <row r="7593" spans="6:8">
      <c r="H7593" t="s">
        <v>20095</v>
      </c>
    </row>
    <row r="7594" spans="6:8">
      <c r="H7594" t="s">
        <v>20096</v>
      </c>
    </row>
    <row r="7595" spans="6:8">
      <c r="H7595" t="s">
        <v>20097</v>
      </c>
    </row>
    <row r="7596" spans="6:8">
      <c r="H7596" t="s">
        <v>20098</v>
      </c>
    </row>
    <row r="7597" spans="6:8">
      <c r="F7597" t="s">
        <v>10994</v>
      </c>
      <c r="G7597" t="s">
        <v>15385</v>
      </c>
      <c r="H7597" t="s">
        <v>20091</v>
      </c>
    </row>
    <row r="7598" spans="6:8">
      <c r="H7598" t="s">
        <v>19712</v>
      </c>
    </row>
    <row r="7599" spans="6:8">
      <c r="H7599" t="s">
        <v>19709</v>
      </c>
    </row>
    <row r="7600" spans="6:8">
      <c r="H7600" t="s">
        <v>20107</v>
      </c>
    </row>
    <row r="7601" spans="6:8">
      <c r="H7601" t="s">
        <v>20108</v>
      </c>
    </row>
    <row r="7602" spans="6:8">
      <c r="H7602" t="s">
        <v>19713</v>
      </c>
    </row>
    <row r="7603" spans="6:8">
      <c r="H7603" t="s">
        <v>19714</v>
      </c>
    </row>
    <row r="7604" spans="6:8">
      <c r="H7604" t="s">
        <v>20109</v>
      </c>
    </row>
    <row r="7605" spans="6:8">
      <c r="H7605" t="s">
        <v>20095</v>
      </c>
    </row>
    <row r="7606" spans="6:8">
      <c r="H7606" t="s">
        <v>20096</v>
      </c>
    </row>
    <row r="7607" spans="6:8">
      <c r="H7607" t="s">
        <v>20097</v>
      </c>
    </row>
    <row r="7608" spans="6:8">
      <c r="H7608" t="s">
        <v>20098</v>
      </c>
    </row>
    <row r="7609" spans="6:8">
      <c r="F7609" t="s">
        <v>10995</v>
      </c>
      <c r="G7609" t="s">
        <v>15386</v>
      </c>
      <c r="H7609" t="s">
        <v>20091</v>
      </c>
    </row>
    <row r="7610" spans="6:8">
      <c r="H7610" t="s">
        <v>20095</v>
      </c>
    </row>
    <row r="7611" spans="6:8">
      <c r="F7611" t="s">
        <v>10996</v>
      </c>
      <c r="G7611" t="s">
        <v>15387</v>
      </c>
      <c r="H7611" t="s">
        <v>20091</v>
      </c>
    </row>
    <row r="7612" spans="6:8">
      <c r="H7612" t="s">
        <v>20095</v>
      </c>
    </row>
    <row r="7613" spans="6:8">
      <c r="F7613" t="s">
        <v>10997</v>
      </c>
      <c r="G7613" t="s">
        <v>15388</v>
      </c>
      <c r="H7613" t="s">
        <v>20091</v>
      </c>
    </row>
    <row r="7614" spans="6:8">
      <c r="H7614" t="s">
        <v>19712</v>
      </c>
    </row>
    <row r="7615" spans="6:8">
      <c r="H7615" t="s">
        <v>19709</v>
      </c>
    </row>
    <row r="7616" spans="6:8">
      <c r="H7616" t="s">
        <v>19706</v>
      </c>
    </row>
    <row r="7617" spans="6:8">
      <c r="H7617" t="s">
        <v>20108</v>
      </c>
    </row>
    <row r="7618" spans="6:8">
      <c r="H7618" t="s">
        <v>19713</v>
      </c>
    </row>
    <row r="7619" spans="6:8">
      <c r="H7619" t="s">
        <v>19714</v>
      </c>
    </row>
    <row r="7620" spans="6:8">
      <c r="H7620" t="s">
        <v>20109</v>
      </c>
    </row>
    <row r="7621" spans="6:8">
      <c r="H7621" t="s">
        <v>20110</v>
      </c>
    </row>
    <row r="7622" spans="6:8">
      <c r="H7622" t="s">
        <v>20111</v>
      </c>
    </row>
    <row r="7623" spans="6:8">
      <c r="H7623" t="s">
        <v>20112</v>
      </c>
    </row>
    <row r="7624" spans="6:8">
      <c r="H7624" t="s">
        <v>20113</v>
      </c>
    </row>
    <row r="7625" spans="6:8">
      <c r="H7625" t="s">
        <v>20095</v>
      </c>
    </row>
    <row r="7626" spans="6:8">
      <c r="H7626" t="s">
        <v>20096</v>
      </c>
    </row>
    <row r="7627" spans="6:8">
      <c r="H7627" t="s">
        <v>20097</v>
      </c>
    </row>
    <row r="7628" spans="6:8">
      <c r="H7628" t="s">
        <v>20098</v>
      </c>
    </row>
    <row r="7629" spans="6:8">
      <c r="F7629" t="s">
        <v>10998</v>
      </c>
      <c r="G7629" t="s">
        <v>15389</v>
      </c>
      <c r="H7629" t="s">
        <v>20091</v>
      </c>
    </row>
    <row r="7630" spans="6:8">
      <c r="H7630" t="s">
        <v>19712</v>
      </c>
    </row>
    <row r="7631" spans="6:8">
      <c r="H7631" t="s">
        <v>20095</v>
      </c>
    </row>
    <row r="7632" spans="6:8">
      <c r="H7632" t="s">
        <v>20096</v>
      </c>
    </row>
    <row r="7633" spans="6:8">
      <c r="H7633" t="s">
        <v>20097</v>
      </c>
    </row>
    <row r="7634" spans="6:8">
      <c r="H7634" t="s">
        <v>20098</v>
      </c>
    </row>
    <row r="7635" spans="6:8">
      <c r="H7635" t="s">
        <v>19709</v>
      </c>
    </row>
    <row r="7636" spans="6:8">
      <c r="H7636" t="s">
        <v>19706</v>
      </c>
    </row>
    <row r="7637" spans="6:8">
      <c r="H7637" t="s">
        <v>20099</v>
      </c>
    </row>
    <row r="7638" spans="6:8">
      <c r="H7638" t="s">
        <v>20100</v>
      </c>
    </row>
    <row r="7639" spans="6:8">
      <c r="H7639" t="s">
        <v>20101</v>
      </c>
    </row>
    <row r="7640" spans="6:8">
      <c r="H7640" t="s">
        <v>20102</v>
      </c>
    </row>
    <row r="7641" spans="6:8">
      <c r="F7641" t="s">
        <v>10999</v>
      </c>
      <c r="G7641" t="s">
        <v>15390</v>
      </c>
      <c r="H7641" t="s">
        <v>20091</v>
      </c>
    </row>
    <row r="7642" spans="6:8">
      <c r="H7642" t="s">
        <v>19712</v>
      </c>
    </row>
    <row r="7643" spans="6:8">
      <c r="H7643" t="s">
        <v>20095</v>
      </c>
    </row>
    <row r="7644" spans="6:8">
      <c r="H7644" t="s">
        <v>20096</v>
      </c>
    </row>
    <row r="7645" spans="6:8">
      <c r="H7645" t="s">
        <v>20097</v>
      </c>
    </row>
    <row r="7646" spans="6:8">
      <c r="H7646" t="s">
        <v>20098</v>
      </c>
    </row>
    <row r="7647" spans="6:8">
      <c r="F7647" t="s">
        <v>11000</v>
      </c>
      <c r="G7647" t="s">
        <v>15391</v>
      </c>
      <c r="H7647" t="s">
        <v>20091</v>
      </c>
    </row>
    <row r="7648" spans="6:8">
      <c r="H7648" t="s">
        <v>19712</v>
      </c>
    </row>
    <row r="7649" spans="6:8">
      <c r="H7649" t="s">
        <v>20095</v>
      </c>
    </row>
    <row r="7650" spans="6:8">
      <c r="H7650" t="s">
        <v>20096</v>
      </c>
    </row>
    <row r="7651" spans="6:8">
      <c r="H7651" t="s">
        <v>20097</v>
      </c>
    </row>
    <row r="7652" spans="6:8">
      <c r="H7652" t="s">
        <v>20098</v>
      </c>
    </row>
    <row r="7653" spans="6:8">
      <c r="F7653" t="s">
        <v>11001</v>
      </c>
      <c r="G7653" t="s">
        <v>15392</v>
      </c>
      <c r="H7653" t="s">
        <v>20091</v>
      </c>
    </row>
    <row r="7654" spans="6:8">
      <c r="H7654" t="s">
        <v>19712</v>
      </c>
    </row>
    <row r="7655" spans="6:8">
      <c r="H7655" t="s">
        <v>20095</v>
      </c>
    </row>
    <row r="7656" spans="6:8">
      <c r="H7656" t="s">
        <v>20096</v>
      </c>
    </row>
    <row r="7657" spans="6:8">
      <c r="H7657" t="s">
        <v>20097</v>
      </c>
    </row>
    <row r="7658" spans="6:8">
      <c r="H7658" t="s">
        <v>20098</v>
      </c>
    </row>
    <row r="7659" spans="6:8">
      <c r="F7659" t="s">
        <v>11002</v>
      </c>
      <c r="G7659" t="s">
        <v>15393</v>
      </c>
      <c r="H7659" t="s">
        <v>20091</v>
      </c>
    </row>
    <row r="7660" spans="6:8">
      <c r="H7660" t="s">
        <v>19712</v>
      </c>
    </row>
    <row r="7661" spans="6:8">
      <c r="H7661" t="s">
        <v>20095</v>
      </c>
    </row>
    <row r="7662" spans="6:8">
      <c r="H7662" t="s">
        <v>20096</v>
      </c>
    </row>
    <row r="7663" spans="6:8">
      <c r="H7663" t="s">
        <v>20097</v>
      </c>
    </row>
    <row r="7664" spans="6:8">
      <c r="H7664" t="s">
        <v>20098</v>
      </c>
    </row>
    <row r="7665" spans="6:8">
      <c r="F7665" t="s">
        <v>11003</v>
      </c>
      <c r="G7665" t="s">
        <v>15394</v>
      </c>
      <c r="H7665" t="s">
        <v>20091</v>
      </c>
    </row>
    <row r="7666" spans="6:8">
      <c r="H7666" t="s">
        <v>19712</v>
      </c>
    </row>
    <row r="7667" spans="6:8">
      <c r="H7667" t="s">
        <v>19709</v>
      </c>
    </row>
    <row r="7668" spans="6:8">
      <c r="H7668" t="s">
        <v>20107</v>
      </c>
    </row>
    <row r="7669" spans="6:8">
      <c r="H7669" t="s">
        <v>20108</v>
      </c>
    </row>
    <row r="7670" spans="6:8">
      <c r="H7670" t="s">
        <v>19713</v>
      </c>
    </row>
    <row r="7671" spans="6:8">
      <c r="H7671" t="s">
        <v>19714</v>
      </c>
    </row>
    <row r="7672" spans="6:8">
      <c r="H7672" t="s">
        <v>20109</v>
      </c>
    </row>
    <row r="7673" spans="6:8">
      <c r="H7673" t="s">
        <v>20110</v>
      </c>
    </row>
    <row r="7674" spans="6:8">
      <c r="H7674" t="s">
        <v>20111</v>
      </c>
    </row>
    <row r="7675" spans="6:8">
      <c r="H7675" t="s">
        <v>20112</v>
      </c>
    </row>
    <row r="7676" spans="6:8">
      <c r="H7676" t="s">
        <v>20095</v>
      </c>
    </row>
    <row r="7677" spans="6:8">
      <c r="H7677" t="s">
        <v>20096</v>
      </c>
    </row>
    <row r="7678" spans="6:8">
      <c r="H7678" t="s">
        <v>20097</v>
      </c>
    </row>
    <row r="7679" spans="6:8">
      <c r="H7679" t="s">
        <v>20098</v>
      </c>
    </row>
    <row r="7680" spans="6:8">
      <c r="F7680" t="s">
        <v>11004</v>
      </c>
      <c r="G7680" t="s">
        <v>15395</v>
      </c>
      <c r="H7680" t="s">
        <v>20091</v>
      </c>
    </row>
    <row r="7681" spans="6:8">
      <c r="H7681" t="s">
        <v>19712</v>
      </c>
    </row>
    <row r="7682" spans="6:8">
      <c r="H7682" t="s">
        <v>19709</v>
      </c>
    </row>
    <row r="7683" spans="6:8">
      <c r="H7683" t="s">
        <v>19706</v>
      </c>
    </row>
    <row r="7684" spans="6:8">
      <c r="H7684" t="s">
        <v>20107</v>
      </c>
    </row>
    <row r="7685" spans="6:8">
      <c r="H7685" t="s">
        <v>20108</v>
      </c>
    </row>
    <row r="7686" spans="6:8">
      <c r="H7686" t="s">
        <v>19713</v>
      </c>
    </row>
    <row r="7687" spans="6:8">
      <c r="H7687" t="s">
        <v>19714</v>
      </c>
    </row>
    <row r="7688" spans="6:8">
      <c r="H7688" t="s">
        <v>20109</v>
      </c>
    </row>
    <row r="7689" spans="6:8">
      <c r="H7689" t="s">
        <v>20095</v>
      </c>
    </row>
    <row r="7690" spans="6:8">
      <c r="H7690" t="s">
        <v>20096</v>
      </c>
    </row>
    <row r="7691" spans="6:8">
      <c r="H7691" t="s">
        <v>20097</v>
      </c>
    </row>
    <row r="7692" spans="6:8">
      <c r="H7692" t="s">
        <v>20098</v>
      </c>
    </row>
    <row r="7693" spans="6:8">
      <c r="F7693" t="s">
        <v>11005</v>
      </c>
      <c r="G7693" t="s">
        <v>15396</v>
      </c>
      <c r="H7693" t="s">
        <v>20091</v>
      </c>
    </row>
    <row r="7694" spans="6:8">
      <c r="H7694" t="s">
        <v>19712</v>
      </c>
    </row>
    <row r="7695" spans="6:8">
      <c r="H7695" t="s">
        <v>19709</v>
      </c>
    </row>
    <row r="7696" spans="6:8">
      <c r="H7696" t="s">
        <v>20107</v>
      </c>
    </row>
    <row r="7697" spans="6:8">
      <c r="H7697" t="s">
        <v>20108</v>
      </c>
    </row>
    <row r="7698" spans="6:8">
      <c r="H7698" t="s">
        <v>19713</v>
      </c>
    </row>
    <row r="7699" spans="6:8">
      <c r="H7699" t="s">
        <v>19714</v>
      </c>
    </row>
    <row r="7700" spans="6:8">
      <c r="H7700" t="s">
        <v>20109</v>
      </c>
    </row>
    <row r="7701" spans="6:8">
      <c r="H7701" t="s">
        <v>20110</v>
      </c>
    </row>
    <row r="7702" spans="6:8">
      <c r="H7702" t="s">
        <v>20111</v>
      </c>
    </row>
    <row r="7703" spans="6:8">
      <c r="H7703" t="s">
        <v>20112</v>
      </c>
    </row>
    <row r="7704" spans="6:8">
      <c r="H7704" t="s">
        <v>20113</v>
      </c>
    </row>
    <row r="7705" spans="6:8">
      <c r="H7705" t="s">
        <v>20095</v>
      </c>
    </row>
    <row r="7706" spans="6:8">
      <c r="H7706" t="s">
        <v>20096</v>
      </c>
    </row>
    <row r="7707" spans="6:8">
      <c r="H7707" t="s">
        <v>20097</v>
      </c>
    </row>
    <row r="7708" spans="6:8">
      <c r="H7708" t="s">
        <v>20098</v>
      </c>
    </row>
    <row r="7709" spans="6:8">
      <c r="F7709" t="s">
        <v>11006</v>
      </c>
      <c r="G7709" t="s">
        <v>15397</v>
      </c>
      <c r="H7709" t="s">
        <v>20091</v>
      </c>
    </row>
    <row r="7710" spans="6:8">
      <c r="H7710" t="s">
        <v>19712</v>
      </c>
    </row>
    <row r="7711" spans="6:8">
      <c r="H7711" t="s">
        <v>19709</v>
      </c>
    </row>
    <row r="7712" spans="6:8">
      <c r="H7712" t="s">
        <v>20092</v>
      </c>
    </row>
    <row r="7713" spans="6:8">
      <c r="H7713" t="s">
        <v>20093</v>
      </c>
    </row>
    <row r="7714" spans="6:8">
      <c r="H7714" t="s">
        <v>20095</v>
      </c>
    </row>
    <row r="7715" spans="6:8">
      <c r="H7715" t="s">
        <v>20096</v>
      </c>
    </row>
    <row r="7716" spans="6:8">
      <c r="H7716" t="s">
        <v>20097</v>
      </c>
    </row>
    <row r="7717" spans="6:8">
      <c r="H7717" t="s">
        <v>20098</v>
      </c>
    </row>
    <row r="7718" spans="6:8">
      <c r="H7718" t="s">
        <v>20099</v>
      </c>
    </row>
    <row r="7719" spans="6:8">
      <c r="H7719" t="s">
        <v>20100</v>
      </c>
    </row>
    <row r="7720" spans="6:8">
      <c r="F7720" t="s">
        <v>11007</v>
      </c>
      <c r="G7720" t="s">
        <v>15398</v>
      </c>
      <c r="H7720" t="s">
        <v>20091</v>
      </c>
    </row>
    <row r="7721" spans="6:8">
      <c r="H7721" t="s">
        <v>19712</v>
      </c>
    </row>
    <row r="7722" spans="6:8">
      <c r="H7722" t="s">
        <v>20095</v>
      </c>
    </row>
    <row r="7723" spans="6:8">
      <c r="H7723" t="s">
        <v>20096</v>
      </c>
    </row>
    <row r="7724" spans="6:8">
      <c r="H7724" t="s">
        <v>20097</v>
      </c>
    </row>
    <row r="7725" spans="6:8">
      <c r="H7725" t="s">
        <v>19709</v>
      </c>
    </row>
    <row r="7726" spans="6:8">
      <c r="H7726" t="s">
        <v>19706</v>
      </c>
    </row>
    <row r="7727" spans="6:8">
      <c r="H7727" t="s">
        <v>20098</v>
      </c>
    </row>
    <row r="7728" spans="6:8">
      <c r="H7728" t="s">
        <v>20099</v>
      </c>
    </row>
    <row r="7729" spans="6:8">
      <c r="H7729" t="s">
        <v>20100</v>
      </c>
    </row>
    <row r="7730" spans="6:8">
      <c r="F7730" t="s">
        <v>11008</v>
      </c>
      <c r="G7730" t="s">
        <v>15399</v>
      </c>
      <c r="H7730" t="s">
        <v>20091</v>
      </c>
    </row>
    <row r="7731" spans="6:8">
      <c r="H7731" t="s">
        <v>19712</v>
      </c>
    </row>
    <row r="7732" spans="6:8">
      <c r="H7732" t="s">
        <v>20095</v>
      </c>
    </row>
    <row r="7733" spans="6:8">
      <c r="H7733" t="s">
        <v>20096</v>
      </c>
    </row>
    <row r="7734" spans="6:8">
      <c r="H7734" t="s">
        <v>20097</v>
      </c>
    </row>
    <row r="7735" spans="6:8">
      <c r="F7735" t="s">
        <v>11009</v>
      </c>
      <c r="G7735" t="s">
        <v>15400</v>
      </c>
      <c r="H7735" t="s">
        <v>20091</v>
      </c>
    </row>
    <row r="7736" spans="6:8">
      <c r="H7736" t="s">
        <v>19712</v>
      </c>
    </row>
    <row r="7737" spans="6:8">
      <c r="H7737" t="s">
        <v>20095</v>
      </c>
    </row>
    <row r="7738" spans="6:8">
      <c r="H7738" t="s">
        <v>20096</v>
      </c>
    </row>
    <row r="7739" spans="6:8">
      <c r="H7739" t="s">
        <v>20097</v>
      </c>
    </row>
    <row r="7740" spans="6:8">
      <c r="F7740" t="s">
        <v>11010</v>
      </c>
      <c r="G7740" t="s">
        <v>15401</v>
      </c>
      <c r="H7740" t="s">
        <v>20091</v>
      </c>
    </row>
    <row r="7741" spans="6:8">
      <c r="H7741" t="s">
        <v>19712</v>
      </c>
    </row>
    <row r="7742" spans="6:8">
      <c r="H7742" t="s">
        <v>20095</v>
      </c>
    </row>
    <row r="7743" spans="6:8">
      <c r="H7743" t="s">
        <v>20096</v>
      </c>
    </row>
    <row r="7744" spans="6:8">
      <c r="H7744" t="s">
        <v>20097</v>
      </c>
    </row>
    <row r="7745" spans="6:8">
      <c r="F7745" t="s">
        <v>11011</v>
      </c>
      <c r="G7745" t="s">
        <v>15402</v>
      </c>
      <c r="H7745" t="s">
        <v>20091</v>
      </c>
    </row>
    <row r="7746" spans="6:8">
      <c r="H7746" t="s">
        <v>19712</v>
      </c>
    </row>
    <row r="7747" spans="6:8">
      <c r="H7747" t="s">
        <v>20095</v>
      </c>
    </row>
    <row r="7748" spans="6:8">
      <c r="H7748" t="s">
        <v>20096</v>
      </c>
    </row>
    <row r="7749" spans="6:8">
      <c r="H7749" t="s">
        <v>20097</v>
      </c>
    </row>
    <row r="7750" spans="6:8">
      <c r="F7750" t="s">
        <v>11012</v>
      </c>
      <c r="G7750" t="s">
        <v>15403</v>
      </c>
      <c r="H7750" t="s">
        <v>20091</v>
      </c>
    </row>
    <row r="7751" spans="6:8">
      <c r="H7751" t="s">
        <v>19712</v>
      </c>
    </row>
    <row r="7752" spans="6:8">
      <c r="H7752" t="s">
        <v>19709</v>
      </c>
    </row>
    <row r="7753" spans="6:8">
      <c r="H7753" t="s">
        <v>20107</v>
      </c>
    </row>
    <row r="7754" spans="6:8">
      <c r="H7754" t="s">
        <v>20108</v>
      </c>
    </row>
    <row r="7755" spans="6:8">
      <c r="H7755" t="s">
        <v>19713</v>
      </c>
    </row>
    <row r="7756" spans="6:8">
      <c r="H7756" t="s">
        <v>19714</v>
      </c>
    </row>
    <row r="7757" spans="6:8">
      <c r="H7757" t="s">
        <v>20109</v>
      </c>
    </row>
    <row r="7758" spans="6:8">
      <c r="H7758" t="s">
        <v>20110</v>
      </c>
    </row>
    <row r="7759" spans="6:8">
      <c r="H7759" t="s">
        <v>20111</v>
      </c>
    </row>
    <row r="7760" spans="6:8">
      <c r="H7760" t="s">
        <v>20112</v>
      </c>
    </row>
    <row r="7761" spans="6:8">
      <c r="H7761" t="s">
        <v>20113</v>
      </c>
    </row>
    <row r="7762" spans="6:8">
      <c r="H7762" t="s">
        <v>20114</v>
      </c>
    </row>
    <row r="7763" spans="6:8">
      <c r="H7763" t="s">
        <v>20095</v>
      </c>
    </row>
    <row r="7764" spans="6:8">
      <c r="H7764" t="s">
        <v>20096</v>
      </c>
    </row>
    <row r="7765" spans="6:8">
      <c r="H7765" t="s">
        <v>20097</v>
      </c>
    </row>
    <row r="7766" spans="6:8">
      <c r="H7766" t="s">
        <v>20098</v>
      </c>
    </row>
    <row r="7767" spans="6:8">
      <c r="F7767" t="s">
        <v>11013</v>
      </c>
      <c r="G7767" t="s">
        <v>15404</v>
      </c>
      <c r="H7767" t="s">
        <v>20091</v>
      </c>
    </row>
    <row r="7768" spans="6:8">
      <c r="H7768" t="s">
        <v>19712</v>
      </c>
    </row>
    <row r="7769" spans="6:8">
      <c r="H7769" t="s">
        <v>19709</v>
      </c>
    </row>
    <row r="7770" spans="6:8">
      <c r="H7770" t="s">
        <v>20095</v>
      </c>
    </row>
    <row r="7771" spans="6:8">
      <c r="H7771" t="s">
        <v>20096</v>
      </c>
    </row>
    <row r="7772" spans="6:8">
      <c r="H7772" t="s">
        <v>20097</v>
      </c>
    </row>
    <row r="7773" spans="6:8">
      <c r="H7773" t="s">
        <v>20098</v>
      </c>
    </row>
    <row r="7774" spans="6:8">
      <c r="F7774" t="s">
        <v>11014</v>
      </c>
      <c r="G7774" t="s">
        <v>15405</v>
      </c>
      <c r="H7774" t="s">
        <v>20091</v>
      </c>
    </row>
    <row r="7775" spans="6:8">
      <c r="H7775" t="s">
        <v>19712</v>
      </c>
    </row>
    <row r="7776" spans="6:8">
      <c r="H7776" t="s">
        <v>19709</v>
      </c>
    </row>
    <row r="7777" spans="6:8">
      <c r="H7777" t="s">
        <v>19706</v>
      </c>
    </row>
    <row r="7778" spans="6:8">
      <c r="H7778" t="s">
        <v>20095</v>
      </c>
    </row>
    <row r="7779" spans="6:8">
      <c r="H7779" t="s">
        <v>20098</v>
      </c>
    </row>
    <row r="7780" spans="6:8">
      <c r="F7780" t="s">
        <v>11015</v>
      </c>
      <c r="G7780" t="s">
        <v>15406</v>
      </c>
      <c r="H7780" t="s">
        <v>20091</v>
      </c>
    </row>
    <row r="7781" spans="6:8">
      <c r="H7781" t="s">
        <v>19712</v>
      </c>
    </row>
    <row r="7782" spans="6:8">
      <c r="H7782" t="s">
        <v>19709</v>
      </c>
    </row>
    <row r="7783" spans="6:8">
      <c r="H7783" t="s">
        <v>19706</v>
      </c>
    </row>
    <row r="7784" spans="6:8">
      <c r="H7784" t="s">
        <v>20095</v>
      </c>
    </row>
    <row r="7785" spans="6:8">
      <c r="H7785" t="s">
        <v>20098</v>
      </c>
    </row>
    <row r="7786" spans="6:8">
      <c r="F7786" t="s">
        <v>11016</v>
      </c>
      <c r="G7786" t="s">
        <v>15407</v>
      </c>
      <c r="H7786" t="s">
        <v>20091</v>
      </c>
    </row>
    <row r="7787" spans="6:8">
      <c r="H7787" t="s">
        <v>19712</v>
      </c>
    </row>
    <row r="7788" spans="6:8">
      <c r="H7788" t="s">
        <v>19709</v>
      </c>
    </row>
    <row r="7789" spans="6:8">
      <c r="H7789" t="s">
        <v>19706</v>
      </c>
    </row>
    <row r="7790" spans="6:8">
      <c r="H7790" t="s">
        <v>19707</v>
      </c>
    </row>
    <row r="7791" spans="6:8">
      <c r="H7791" t="s">
        <v>20095</v>
      </c>
    </row>
    <row r="7792" spans="6:8">
      <c r="H7792" t="s">
        <v>20098</v>
      </c>
    </row>
    <row r="7793" spans="6:8">
      <c r="F7793" t="s">
        <v>11017</v>
      </c>
      <c r="G7793" t="s">
        <v>15408</v>
      </c>
      <c r="H7793" t="s">
        <v>20091</v>
      </c>
    </row>
    <row r="7794" spans="6:8">
      <c r="H7794" t="s">
        <v>19712</v>
      </c>
    </row>
    <row r="7795" spans="6:8">
      <c r="H7795" t="s">
        <v>19709</v>
      </c>
    </row>
    <row r="7796" spans="6:8">
      <c r="H7796" t="s">
        <v>19706</v>
      </c>
    </row>
    <row r="7797" spans="6:8">
      <c r="H7797" t="s">
        <v>20095</v>
      </c>
    </row>
    <row r="7798" spans="6:8">
      <c r="H7798" t="s">
        <v>20096</v>
      </c>
    </row>
    <row r="7799" spans="6:8">
      <c r="H7799" t="s">
        <v>20097</v>
      </c>
    </row>
    <row r="7800" spans="6:8">
      <c r="H7800" t="s">
        <v>20098</v>
      </c>
    </row>
    <row r="7801" spans="6:8">
      <c r="F7801" t="s">
        <v>11018</v>
      </c>
      <c r="G7801" t="s">
        <v>15409</v>
      </c>
      <c r="H7801" t="s">
        <v>20091</v>
      </c>
    </row>
    <row r="7802" spans="6:8">
      <c r="H7802" t="s">
        <v>19712</v>
      </c>
    </row>
    <row r="7803" spans="6:8">
      <c r="H7803" t="s">
        <v>19709</v>
      </c>
    </row>
    <row r="7804" spans="6:8">
      <c r="H7804" t="s">
        <v>20095</v>
      </c>
    </row>
    <row r="7805" spans="6:8">
      <c r="H7805" t="s">
        <v>20096</v>
      </c>
    </row>
    <row r="7806" spans="6:8">
      <c r="H7806" t="s">
        <v>20097</v>
      </c>
    </row>
    <row r="7807" spans="6:8">
      <c r="H7807" t="s">
        <v>20098</v>
      </c>
    </row>
    <row r="7808" spans="6:8">
      <c r="F7808" t="s">
        <v>11019</v>
      </c>
      <c r="G7808" t="s">
        <v>15410</v>
      </c>
      <c r="H7808" t="s">
        <v>20091</v>
      </c>
    </row>
    <row r="7809" spans="6:8">
      <c r="H7809" t="s">
        <v>19712</v>
      </c>
    </row>
    <row r="7810" spans="6:8">
      <c r="H7810" t="s">
        <v>19709</v>
      </c>
    </row>
    <row r="7811" spans="6:8">
      <c r="H7811" t="s">
        <v>20107</v>
      </c>
    </row>
    <row r="7812" spans="6:8">
      <c r="H7812" t="s">
        <v>20108</v>
      </c>
    </row>
    <row r="7813" spans="6:8">
      <c r="H7813" t="s">
        <v>19713</v>
      </c>
    </row>
    <row r="7814" spans="6:8">
      <c r="H7814" t="s">
        <v>19714</v>
      </c>
    </row>
    <row r="7815" spans="6:8">
      <c r="H7815" t="s">
        <v>20109</v>
      </c>
    </row>
    <row r="7816" spans="6:8">
      <c r="H7816" t="s">
        <v>20110</v>
      </c>
    </row>
    <row r="7817" spans="6:8">
      <c r="H7817" t="s">
        <v>20095</v>
      </c>
    </row>
    <row r="7818" spans="6:8">
      <c r="H7818" t="s">
        <v>20096</v>
      </c>
    </row>
    <row r="7819" spans="6:8">
      <c r="H7819" t="s">
        <v>20097</v>
      </c>
    </row>
    <row r="7820" spans="6:8">
      <c r="H7820" t="s">
        <v>20098</v>
      </c>
    </row>
    <row r="7821" spans="6:8">
      <c r="H7821" t="s">
        <v>20099</v>
      </c>
    </row>
    <row r="7822" spans="6:8">
      <c r="F7822" t="s">
        <v>11020</v>
      </c>
      <c r="G7822" t="s">
        <v>15411</v>
      </c>
      <c r="H7822" t="s">
        <v>20091</v>
      </c>
    </row>
    <row r="7823" spans="6:8">
      <c r="H7823" t="s">
        <v>19712</v>
      </c>
    </row>
    <row r="7824" spans="6:8">
      <c r="H7824" t="s">
        <v>19709</v>
      </c>
    </row>
    <row r="7825" spans="6:8">
      <c r="H7825" t="s">
        <v>20107</v>
      </c>
    </row>
    <row r="7826" spans="6:8">
      <c r="H7826" t="s">
        <v>20108</v>
      </c>
    </row>
    <row r="7827" spans="6:8">
      <c r="H7827" t="s">
        <v>19713</v>
      </c>
    </row>
    <row r="7828" spans="6:8">
      <c r="H7828" t="s">
        <v>19714</v>
      </c>
    </row>
    <row r="7829" spans="6:8">
      <c r="H7829" t="s">
        <v>20109</v>
      </c>
    </row>
    <row r="7830" spans="6:8">
      <c r="H7830" t="s">
        <v>20110</v>
      </c>
    </row>
    <row r="7831" spans="6:8">
      <c r="H7831" t="s">
        <v>20095</v>
      </c>
    </row>
    <row r="7832" spans="6:8">
      <c r="H7832" t="s">
        <v>20096</v>
      </c>
    </row>
    <row r="7833" spans="6:8">
      <c r="H7833" t="s">
        <v>20097</v>
      </c>
    </row>
    <row r="7834" spans="6:8">
      <c r="H7834" t="s">
        <v>20098</v>
      </c>
    </row>
    <row r="7835" spans="6:8">
      <c r="F7835" t="s">
        <v>11021</v>
      </c>
      <c r="G7835" t="s">
        <v>15412</v>
      </c>
      <c r="H7835" t="s">
        <v>20091</v>
      </c>
    </row>
    <row r="7836" spans="6:8">
      <c r="H7836" t="s">
        <v>19712</v>
      </c>
    </row>
    <row r="7837" spans="6:8">
      <c r="H7837" t="s">
        <v>19709</v>
      </c>
    </row>
    <row r="7838" spans="6:8">
      <c r="H7838" t="s">
        <v>20107</v>
      </c>
    </row>
    <row r="7839" spans="6:8">
      <c r="H7839" t="s">
        <v>20108</v>
      </c>
    </row>
    <row r="7840" spans="6:8">
      <c r="H7840" t="s">
        <v>19713</v>
      </c>
    </row>
    <row r="7841" spans="6:8">
      <c r="H7841" t="s">
        <v>19714</v>
      </c>
    </row>
    <row r="7842" spans="6:8">
      <c r="H7842" t="s">
        <v>20109</v>
      </c>
    </row>
    <row r="7843" spans="6:8">
      <c r="H7843" t="s">
        <v>20110</v>
      </c>
    </row>
    <row r="7844" spans="6:8">
      <c r="H7844" t="s">
        <v>20095</v>
      </c>
    </row>
    <row r="7845" spans="6:8">
      <c r="H7845" t="s">
        <v>20096</v>
      </c>
    </row>
    <row r="7846" spans="6:8">
      <c r="H7846" t="s">
        <v>20097</v>
      </c>
    </row>
    <row r="7847" spans="6:8">
      <c r="H7847" t="s">
        <v>20098</v>
      </c>
    </row>
    <row r="7848" spans="6:8">
      <c r="H7848" t="s">
        <v>20099</v>
      </c>
    </row>
    <row r="7849" spans="6:8">
      <c r="F7849" t="s">
        <v>11022</v>
      </c>
      <c r="G7849" t="s">
        <v>15413</v>
      </c>
      <c r="H7849" t="s">
        <v>20091</v>
      </c>
    </row>
    <row r="7850" spans="6:8">
      <c r="H7850" t="s">
        <v>19712</v>
      </c>
    </row>
    <row r="7851" spans="6:8">
      <c r="H7851" t="s">
        <v>19709</v>
      </c>
    </row>
    <row r="7852" spans="6:8">
      <c r="H7852" t="s">
        <v>20107</v>
      </c>
    </row>
    <row r="7853" spans="6:8">
      <c r="H7853" t="s">
        <v>20108</v>
      </c>
    </row>
    <row r="7854" spans="6:8">
      <c r="H7854" t="s">
        <v>19713</v>
      </c>
    </row>
    <row r="7855" spans="6:8">
      <c r="H7855" t="s">
        <v>19714</v>
      </c>
    </row>
    <row r="7856" spans="6:8">
      <c r="H7856" t="s">
        <v>20109</v>
      </c>
    </row>
    <row r="7857" spans="6:8">
      <c r="H7857" t="s">
        <v>20110</v>
      </c>
    </row>
    <row r="7858" spans="6:8">
      <c r="H7858" t="s">
        <v>20111</v>
      </c>
    </row>
    <row r="7859" spans="6:8">
      <c r="H7859" t="s">
        <v>20112</v>
      </c>
    </row>
    <row r="7860" spans="6:8">
      <c r="H7860" t="s">
        <v>20113</v>
      </c>
    </row>
    <row r="7861" spans="6:8">
      <c r="H7861" t="s">
        <v>20095</v>
      </c>
    </row>
    <row r="7862" spans="6:8">
      <c r="H7862" t="s">
        <v>20096</v>
      </c>
    </row>
    <row r="7863" spans="6:8">
      <c r="H7863" t="s">
        <v>20097</v>
      </c>
    </row>
    <row r="7864" spans="6:8">
      <c r="H7864" t="s">
        <v>20098</v>
      </c>
    </row>
    <row r="7865" spans="6:8">
      <c r="F7865" t="s">
        <v>11023</v>
      </c>
      <c r="G7865" t="s">
        <v>15414</v>
      </c>
      <c r="H7865" t="s">
        <v>20091</v>
      </c>
    </row>
    <row r="7866" spans="6:8">
      <c r="H7866" t="s">
        <v>19712</v>
      </c>
    </row>
    <row r="7867" spans="6:8">
      <c r="H7867" t="s">
        <v>20092</v>
      </c>
    </row>
    <row r="7868" spans="6:8">
      <c r="H7868" t="s">
        <v>20093</v>
      </c>
    </row>
    <row r="7869" spans="6:8">
      <c r="H7869" t="s">
        <v>20094</v>
      </c>
    </row>
    <row r="7870" spans="6:8">
      <c r="H7870" t="s">
        <v>20095</v>
      </c>
    </row>
    <row r="7871" spans="6:8">
      <c r="H7871" t="s">
        <v>20096</v>
      </c>
    </row>
    <row r="7872" spans="6:8">
      <c r="H7872" t="s">
        <v>20097</v>
      </c>
    </row>
    <row r="7873" spans="6:8">
      <c r="H7873" t="s">
        <v>20098</v>
      </c>
    </row>
    <row r="7874" spans="6:8">
      <c r="H7874" t="s">
        <v>20099</v>
      </c>
    </row>
    <row r="7875" spans="6:8">
      <c r="H7875" t="s">
        <v>20100</v>
      </c>
    </row>
    <row r="7876" spans="6:8">
      <c r="H7876" t="s">
        <v>20101</v>
      </c>
    </row>
    <row r="7877" spans="6:8">
      <c r="H7877" t="s">
        <v>20102</v>
      </c>
    </row>
    <row r="7878" spans="6:8">
      <c r="F7878" t="s">
        <v>11024</v>
      </c>
      <c r="G7878" t="s">
        <v>15415</v>
      </c>
      <c r="H7878" t="s">
        <v>20091</v>
      </c>
    </row>
    <row r="7879" spans="6:8">
      <c r="H7879" t="s">
        <v>19712</v>
      </c>
    </row>
    <row r="7880" spans="6:8">
      <c r="H7880" t="s">
        <v>20092</v>
      </c>
    </row>
    <row r="7881" spans="6:8">
      <c r="H7881" t="s">
        <v>20093</v>
      </c>
    </row>
    <row r="7882" spans="6:8">
      <c r="H7882" t="s">
        <v>20094</v>
      </c>
    </row>
    <row r="7883" spans="6:8">
      <c r="H7883" t="s">
        <v>20095</v>
      </c>
    </row>
    <row r="7884" spans="6:8">
      <c r="H7884" t="s">
        <v>20096</v>
      </c>
    </row>
    <row r="7885" spans="6:8">
      <c r="H7885" t="s">
        <v>20097</v>
      </c>
    </row>
    <row r="7886" spans="6:8">
      <c r="H7886" t="s">
        <v>20098</v>
      </c>
    </row>
    <row r="7887" spans="6:8">
      <c r="H7887" t="s">
        <v>20099</v>
      </c>
    </row>
    <row r="7888" spans="6:8">
      <c r="H7888" t="s">
        <v>20100</v>
      </c>
    </row>
    <row r="7889" spans="6:8">
      <c r="H7889" t="s">
        <v>20101</v>
      </c>
    </row>
    <row r="7890" spans="6:8">
      <c r="H7890" t="s">
        <v>20102</v>
      </c>
    </row>
    <row r="7891" spans="6:8">
      <c r="F7891" t="s">
        <v>11025</v>
      </c>
      <c r="G7891" t="s">
        <v>15416</v>
      </c>
      <c r="H7891" t="s">
        <v>20091</v>
      </c>
    </row>
    <row r="7892" spans="6:8">
      <c r="H7892" t="s">
        <v>19712</v>
      </c>
    </row>
    <row r="7893" spans="6:8">
      <c r="H7893" t="s">
        <v>19709</v>
      </c>
    </row>
    <row r="7894" spans="6:8">
      <c r="H7894" t="s">
        <v>20107</v>
      </c>
    </row>
    <row r="7895" spans="6:8">
      <c r="H7895" t="s">
        <v>20108</v>
      </c>
    </row>
    <row r="7896" spans="6:8">
      <c r="H7896" t="s">
        <v>19713</v>
      </c>
    </row>
    <row r="7897" spans="6:8">
      <c r="H7897" t="s">
        <v>19714</v>
      </c>
    </row>
    <row r="7898" spans="6:8">
      <c r="H7898" t="s">
        <v>20109</v>
      </c>
    </row>
    <row r="7899" spans="6:8">
      <c r="H7899" t="s">
        <v>20095</v>
      </c>
    </row>
    <row r="7900" spans="6:8">
      <c r="H7900" t="s">
        <v>20096</v>
      </c>
    </row>
    <row r="7901" spans="6:8">
      <c r="H7901" t="s">
        <v>20097</v>
      </c>
    </row>
    <row r="7902" spans="6:8">
      <c r="H7902" t="s">
        <v>20098</v>
      </c>
    </row>
    <row r="7903" spans="6:8">
      <c r="F7903" t="s">
        <v>11026</v>
      </c>
      <c r="G7903" t="s">
        <v>15417</v>
      </c>
      <c r="H7903" t="s">
        <v>20091</v>
      </c>
    </row>
    <row r="7904" spans="6:8">
      <c r="H7904" t="s">
        <v>19712</v>
      </c>
    </row>
    <row r="7905" spans="6:8">
      <c r="H7905" t="s">
        <v>19709</v>
      </c>
    </row>
    <row r="7906" spans="6:8">
      <c r="H7906" t="s">
        <v>20107</v>
      </c>
    </row>
    <row r="7907" spans="6:8">
      <c r="H7907" t="s">
        <v>20108</v>
      </c>
    </row>
    <row r="7908" spans="6:8">
      <c r="H7908" t="s">
        <v>19713</v>
      </c>
    </row>
    <row r="7909" spans="6:8">
      <c r="H7909" t="s">
        <v>19714</v>
      </c>
    </row>
    <row r="7910" spans="6:8">
      <c r="H7910" t="s">
        <v>20109</v>
      </c>
    </row>
    <row r="7911" spans="6:8">
      <c r="H7911" t="s">
        <v>20095</v>
      </c>
    </row>
    <row r="7912" spans="6:8">
      <c r="H7912" t="s">
        <v>20096</v>
      </c>
    </row>
    <row r="7913" spans="6:8">
      <c r="H7913" t="s">
        <v>20097</v>
      </c>
    </row>
    <row r="7914" spans="6:8">
      <c r="H7914" t="s">
        <v>20098</v>
      </c>
    </row>
    <row r="7915" spans="6:8">
      <c r="F7915" t="s">
        <v>11027</v>
      </c>
      <c r="G7915" t="s">
        <v>15418</v>
      </c>
      <c r="H7915" t="s">
        <v>20091</v>
      </c>
    </row>
    <row r="7916" spans="6:8">
      <c r="H7916" t="s">
        <v>20095</v>
      </c>
    </row>
    <row r="7917" spans="6:8">
      <c r="F7917" t="s">
        <v>11028</v>
      </c>
      <c r="G7917" t="s">
        <v>15419</v>
      </c>
      <c r="H7917" t="s">
        <v>20091</v>
      </c>
    </row>
    <row r="7918" spans="6:8">
      <c r="H7918" t="s">
        <v>20095</v>
      </c>
    </row>
    <row r="7919" spans="6:8">
      <c r="F7919" t="s">
        <v>11029</v>
      </c>
      <c r="G7919" t="s">
        <v>15420</v>
      </c>
      <c r="H7919" t="s">
        <v>20091</v>
      </c>
    </row>
    <row r="7920" spans="6:8">
      <c r="H7920" t="s">
        <v>20095</v>
      </c>
    </row>
    <row r="7921" spans="6:8">
      <c r="F7921" t="s">
        <v>11030</v>
      </c>
      <c r="G7921" t="s">
        <v>15421</v>
      </c>
      <c r="H7921" t="s">
        <v>20091</v>
      </c>
    </row>
    <row r="7922" spans="6:8">
      <c r="H7922" t="s">
        <v>19712</v>
      </c>
    </row>
    <row r="7923" spans="6:8">
      <c r="H7923" t="s">
        <v>19709</v>
      </c>
    </row>
    <row r="7924" spans="6:8">
      <c r="H7924" t="s">
        <v>20107</v>
      </c>
    </row>
    <row r="7925" spans="6:8">
      <c r="H7925" t="s">
        <v>20108</v>
      </c>
    </row>
    <row r="7926" spans="6:8">
      <c r="H7926" t="s">
        <v>19713</v>
      </c>
    </row>
    <row r="7927" spans="6:8">
      <c r="H7927" t="s">
        <v>19714</v>
      </c>
    </row>
    <row r="7928" spans="6:8">
      <c r="H7928" t="s">
        <v>20109</v>
      </c>
    </row>
    <row r="7929" spans="6:8">
      <c r="H7929" t="s">
        <v>20110</v>
      </c>
    </row>
    <row r="7930" spans="6:8">
      <c r="H7930" t="s">
        <v>20111</v>
      </c>
    </row>
    <row r="7931" spans="6:8">
      <c r="H7931" t="s">
        <v>20112</v>
      </c>
    </row>
    <row r="7932" spans="6:8">
      <c r="H7932" t="s">
        <v>20113</v>
      </c>
    </row>
    <row r="7933" spans="6:8">
      <c r="H7933" t="s">
        <v>20095</v>
      </c>
    </row>
    <row r="7934" spans="6:8">
      <c r="H7934" t="s">
        <v>20096</v>
      </c>
    </row>
    <row r="7935" spans="6:8">
      <c r="H7935" t="s">
        <v>20097</v>
      </c>
    </row>
    <row r="7936" spans="6:8">
      <c r="H7936" t="s">
        <v>20098</v>
      </c>
    </row>
    <row r="7937" spans="6:8">
      <c r="F7937" t="s">
        <v>11031</v>
      </c>
      <c r="G7937" t="s">
        <v>15422</v>
      </c>
      <c r="H7937" t="s">
        <v>20091</v>
      </c>
    </row>
    <row r="7938" spans="6:8">
      <c r="H7938" t="s">
        <v>19712</v>
      </c>
    </row>
    <row r="7939" spans="6:8">
      <c r="H7939" t="s">
        <v>20095</v>
      </c>
    </row>
    <row r="7940" spans="6:8">
      <c r="H7940" t="s">
        <v>20096</v>
      </c>
    </row>
    <row r="7941" spans="6:8">
      <c r="H7941" t="s">
        <v>20097</v>
      </c>
    </row>
    <row r="7942" spans="6:8">
      <c r="H7942" t="s">
        <v>20098</v>
      </c>
    </row>
    <row r="7943" spans="6:8">
      <c r="H7943" t="s">
        <v>19709</v>
      </c>
    </row>
    <row r="7944" spans="6:8">
      <c r="H7944" t="s">
        <v>19706</v>
      </c>
    </row>
    <row r="7945" spans="6:8">
      <c r="H7945" t="s">
        <v>20099</v>
      </c>
    </row>
    <row r="7946" spans="6:8">
      <c r="H7946" t="s">
        <v>20100</v>
      </c>
    </row>
    <row r="7947" spans="6:8">
      <c r="H7947" t="s">
        <v>20101</v>
      </c>
    </row>
    <row r="7948" spans="6:8">
      <c r="H7948" t="s">
        <v>20102</v>
      </c>
    </row>
    <row r="7949" spans="6:8">
      <c r="F7949" t="s">
        <v>11032</v>
      </c>
      <c r="G7949" t="s">
        <v>15423</v>
      </c>
      <c r="H7949" t="s">
        <v>20091</v>
      </c>
    </row>
    <row r="7950" spans="6:8">
      <c r="H7950" t="s">
        <v>19712</v>
      </c>
    </row>
    <row r="7951" spans="6:8">
      <c r="H7951" t="s">
        <v>20095</v>
      </c>
    </row>
    <row r="7952" spans="6:8">
      <c r="H7952" t="s">
        <v>20096</v>
      </c>
    </row>
    <row r="7953" spans="6:8">
      <c r="H7953" t="s">
        <v>20097</v>
      </c>
    </row>
    <row r="7954" spans="6:8">
      <c r="H7954" t="s">
        <v>20098</v>
      </c>
    </row>
    <row r="7955" spans="6:8">
      <c r="F7955" t="s">
        <v>11033</v>
      </c>
      <c r="G7955" t="s">
        <v>15424</v>
      </c>
      <c r="H7955" t="s">
        <v>20091</v>
      </c>
    </row>
    <row r="7956" spans="6:8">
      <c r="H7956" t="s">
        <v>19712</v>
      </c>
    </row>
    <row r="7957" spans="6:8">
      <c r="H7957" t="s">
        <v>20095</v>
      </c>
    </row>
    <row r="7958" spans="6:8">
      <c r="H7958" t="s">
        <v>20096</v>
      </c>
    </row>
    <row r="7959" spans="6:8">
      <c r="H7959" t="s">
        <v>20097</v>
      </c>
    </row>
    <row r="7960" spans="6:8">
      <c r="H7960" t="s">
        <v>20098</v>
      </c>
    </row>
    <row r="7961" spans="6:8">
      <c r="F7961" t="s">
        <v>11034</v>
      </c>
      <c r="G7961" t="s">
        <v>15425</v>
      </c>
      <c r="H7961" t="s">
        <v>20091</v>
      </c>
    </row>
    <row r="7962" spans="6:8">
      <c r="H7962" t="s">
        <v>19712</v>
      </c>
    </row>
    <row r="7963" spans="6:8">
      <c r="H7963" t="s">
        <v>20095</v>
      </c>
    </row>
    <row r="7964" spans="6:8">
      <c r="H7964" t="s">
        <v>20096</v>
      </c>
    </row>
    <row r="7965" spans="6:8">
      <c r="H7965" t="s">
        <v>20097</v>
      </c>
    </row>
    <row r="7966" spans="6:8">
      <c r="H7966" t="s">
        <v>20098</v>
      </c>
    </row>
    <row r="7967" spans="6:8">
      <c r="F7967" t="s">
        <v>11035</v>
      </c>
      <c r="G7967" t="s">
        <v>15426</v>
      </c>
      <c r="H7967" t="s">
        <v>20091</v>
      </c>
    </row>
    <row r="7968" spans="6:8">
      <c r="H7968" t="s">
        <v>19712</v>
      </c>
    </row>
    <row r="7969" spans="6:8">
      <c r="H7969" t="s">
        <v>20095</v>
      </c>
    </row>
    <row r="7970" spans="6:8">
      <c r="H7970" t="s">
        <v>20096</v>
      </c>
    </row>
    <row r="7971" spans="6:8">
      <c r="H7971" t="s">
        <v>20097</v>
      </c>
    </row>
    <row r="7972" spans="6:8">
      <c r="H7972" t="s">
        <v>20098</v>
      </c>
    </row>
    <row r="7973" spans="6:8">
      <c r="F7973" t="s">
        <v>11036</v>
      </c>
      <c r="G7973" t="s">
        <v>15427</v>
      </c>
      <c r="H7973" t="s">
        <v>20091</v>
      </c>
    </row>
    <row r="7974" spans="6:8">
      <c r="H7974" t="s">
        <v>19712</v>
      </c>
    </row>
    <row r="7975" spans="6:8">
      <c r="H7975" t="s">
        <v>19709</v>
      </c>
    </row>
    <row r="7976" spans="6:8">
      <c r="H7976" t="s">
        <v>20107</v>
      </c>
    </row>
    <row r="7977" spans="6:8">
      <c r="H7977" t="s">
        <v>20108</v>
      </c>
    </row>
    <row r="7978" spans="6:8">
      <c r="H7978" t="s">
        <v>19713</v>
      </c>
    </row>
    <row r="7979" spans="6:8">
      <c r="H7979" t="s">
        <v>19714</v>
      </c>
    </row>
    <row r="7980" spans="6:8">
      <c r="H7980" t="s">
        <v>20109</v>
      </c>
    </row>
    <row r="7981" spans="6:8">
      <c r="H7981" t="s">
        <v>20110</v>
      </c>
    </row>
    <row r="7982" spans="6:8">
      <c r="H7982" t="s">
        <v>20111</v>
      </c>
    </row>
    <row r="7983" spans="6:8">
      <c r="H7983" t="s">
        <v>20112</v>
      </c>
    </row>
    <row r="7984" spans="6:8">
      <c r="H7984" t="s">
        <v>20095</v>
      </c>
    </row>
    <row r="7985" spans="6:8">
      <c r="H7985" t="s">
        <v>20096</v>
      </c>
    </row>
    <row r="7986" spans="6:8">
      <c r="H7986" t="s">
        <v>20097</v>
      </c>
    </row>
    <row r="7987" spans="6:8">
      <c r="H7987" t="s">
        <v>20098</v>
      </c>
    </row>
    <row r="7988" spans="6:8">
      <c r="F7988" t="s">
        <v>11037</v>
      </c>
      <c r="G7988" t="s">
        <v>15428</v>
      </c>
      <c r="H7988" t="s">
        <v>20091</v>
      </c>
    </row>
    <row r="7989" spans="6:8">
      <c r="H7989" t="s">
        <v>19712</v>
      </c>
    </row>
    <row r="7990" spans="6:8">
      <c r="H7990" t="s">
        <v>19709</v>
      </c>
    </row>
    <row r="7991" spans="6:8">
      <c r="H7991" t="s">
        <v>19706</v>
      </c>
    </row>
    <row r="7992" spans="6:8">
      <c r="H7992" t="s">
        <v>20107</v>
      </c>
    </row>
    <row r="7993" spans="6:8">
      <c r="H7993" t="s">
        <v>20108</v>
      </c>
    </row>
    <row r="7994" spans="6:8">
      <c r="H7994" t="s">
        <v>19713</v>
      </c>
    </row>
    <row r="7995" spans="6:8">
      <c r="H7995" t="s">
        <v>19714</v>
      </c>
    </row>
    <row r="7996" spans="6:8">
      <c r="H7996" t="s">
        <v>20109</v>
      </c>
    </row>
    <row r="7997" spans="6:8">
      <c r="H7997" t="s">
        <v>20095</v>
      </c>
    </row>
    <row r="7998" spans="6:8">
      <c r="H7998" t="s">
        <v>20096</v>
      </c>
    </row>
    <row r="7999" spans="6:8">
      <c r="H7999" t="s">
        <v>20097</v>
      </c>
    </row>
    <row r="8000" spans="6:8">
      <c r="H8000" t="s">
        <v>20098</v>
      </c>
    </row>
    <row r="8001" spans="6:8">
      <c r="F8001" t="s">
        <v>11038</v>
      </c>
      <c r="G8001" t="s">
        <v>15429</v>
      </c>
      <c r="H8001" t="s">
        <v>20091</v>
      </c>
    </row>
    <row r="8002" spans="6:8">
      <c r="H8002" t="s">
        <v>19712</v>
      </c>
    </row>
    <row r="8003" spans="6:8">
      <c r="H8003" t="s">
        <v>19709</v>
      </c>
    </row>
    <row r="8004" spans="6:8">
      <c r="H8004" t="s">
        <v>20107</v>
      </c>
    </row>
    <row r="8005" spans="6:8">
      <c r="H8005" t="s">
        <v>20108</v>
      </c>
    </row>
    <row r="8006" spans="6:8">
      <c r="H8006" t="s">
        <v>19713</v>
      </c>
    </row>
    <row r="8007" spans="6:8">
      <c r="H8007" t="s">
        <v>19714</v>
      </c>
    </row>
    <row r="8008" spans="6:8">
      <c r="H8008" t="s">
        <v>20109</v>
      </c>
    </row>
    <row r="8009" spans="6:8">
      <c r="H8009" t="s">
        <v>20110</v>
      </c>
    </row>
    <row r="8010" spans="6:8">
      <c r="H8010" t="s">
        <v>20111</v>
      </c>
    </row>
    <row r="8011" spans="6:8">
      <c r="H8011" t="s">
        <v>20112</v>
      </c>
    </row>
    <row r="8012" spans="6:8">
      <c r="H8012" t="s">
        <v>20113</v>
      </c>
    </row>
    <row r="8013" spans="6:8">
      <c r="H8013" t="s">
        <v>20095</v>
      </c>
    </row>
    <row r="8014" spans="6:8">
      <c r="H8014" t="s">
        <v>20096</v>
      </c>
    </row>
    <row r="8015" spans="6:8">
      <c r="H8015" t="s">
        <v>20097</v>
      </c>
    </row>
    <row r="8016" spans="6:8">
      <c r="H8016" t="s">
        <v>20098</v>
      </c>
    </row>
    <row r="8017" spans="6:8">
      <c r="F8017" t="s">
        <v>11039</v>
      </c>
      <c r="G8017" t="s">
        <v>15430</v>
      </c>
      <c r="H8017" t="s">
        <v>20091</v>
      </c>
    </row>
    <row r="8018" spans="6:8">
      <c r="H8018" t="s">
        <v>19712</v>
      </c>
    </row>
    <row r="8019" spans="6:8">
      <c r="H8019" t="s">
        <v>19709</v>
      </c>
    </row>
    <row r="8020" spans="6:8">
      <c r="H8020" t="s">
        <v>20092</v>
      </c>
    </row>
    <row r="8021" spans="6:8">
      <c r="H8021" t="s">
        <v>20093</v>
      </c>
    </row>
    <row r="8022" spans="6:8">
      <c r="H8022" t="s">
        <v>20095</v>
      </c>
    </row>
    <row r="8023" spans="6:8">
      <c r="H8023" t="s">
        <v>20096</v>
      </c>
    </row>
    <row r="8024" spans="6:8">
      <c r="H8024" t="s">
        <v>20097</v>
      </c>
    </row>
    <row r="8025" spans="6:8">
      <c r="H8025" t="s">
        <v>20098</v>
      </c>
    </row>
    <row r="8026" spans="6:8">
      <c r="H8026" t="s">
        <v>20099</v>
      </c>
    </row>
    <row r="8027" spans="6:8">
      <c r="H8027" t="s">
        <v>20100</v>
      </c>
    </row>
    <row r="8028" spans="6:8">
      <c r="F8028" t="s">
        <v>11040</v>
      </c>
      <c r="G8028" t="s">
        <v>15431</v>
      </c>
      <c r="H8028" t="s">
        <v>20091</v>
      </c>
    </row>
    <row r="8029" spans="6:8">
      <c r="H8029" t="s">
        <v>19712</v>
      </c>
    </row>
    <row r="8030" spans="6:8">
      <c r="H8030" t="s">
        <v>20095</v>
      </c>
    </row>
    <row r="8031" spans="6:8">
      <c r="H8031" t="s">
        <v>20096</v>
      </c>
    </row>
    <row r="8032" spans="6:8">
      <c r="H8032" t="s">
        <v>20097</v>
      </c>
    </row>
    <row r="8033" spans="6:8">
      <c r="H8033" t="s">
        <v>19709</v>
      </c>
    </row>
    <row r="8034" spans="6:8">
      <c r="H8034" t="s">
        <v>19706</v>
      </c>
    </row>
    <row r="8035" spans="6:8">
      <c r="H8035" t="s">
        <v>20098</v>
      </c>
    </row>
    <row r="8036" spans="6:8">
      <c r="H8036" t="s">
        <v>20099</v>
      </c>
    </row>
    <row r="8037" spans="6:8">
      <c r="H8037" t="s">
        <v>20100</v>
      </c>
    </row>
    <row r="8038" spans="6:8">
      <c r="F8038" t="s">
        <v>11041</v>
      </c>
      <c r="G8038" t="s">
        <v>15432</v>
      </c>
      <c r="H8038" t="s">
        <v>20091</v>
      </c>
    </row>
    <row r="8039" spans="6:8">
      <c r="H8039" t="s">
        <v>19712</v>
      </c>
    </row>
    <row r="8040" spans="6:8">
      <c r="H8040" t="s">
        <v>20095</v>
      </c>
    </row>
    <row r="8041" spans="6:8">
      <c r="H8041" t="s">
        <v>20096</v>
      </c>
    </row>
    <row r="8042" spans="6:8">
      <c r="H8042" t="s">
        <v>20097</v>
      </c>
    </row>
    <row r="8043" spans="6:8">
      <c r="F8043" t="s">
        <v>11042</v>
      </c>
      <c r="G8043" t="s">
        <v>15433</v>
      </c>
      <c r="H8043" t="s">
        <v>20091</v>
      </c>
    </row>
    <row r="8044" spans="6:8">
      <c r="H8044" t="s">
        <v>19712</v>
      </c>
    </row>
    <row r="8045" spans="6:8">
      <c r="H8045" t="s">
        <v>20095</v>
      </c>
    </row>
    <row r="8046" spans="6:8">
      <c r="H8046" t="s">
        <v>20096</v>
      </c>
    </row>
    <row r="8047" spans="6:8">
      <c r="H8047" t="s">
        <v>20097</v>
      </c>
    </row>
    <row r="8048" spans="6:8">
      <c r="F8048" t="s">
        <v>11043</v>
      </c>
      <c r="G8048" t="s">
        <v>15434</v>
      </c>
      <c r="H8048" t="s">
        <v>20091</v>
      </c>
    </row>
    <row r="8049" spans="6:8">
      <c r="H8049" t="s">
        <v>19712</v>
      </c>
    </row>
    <row r="8050" spans="6:8">
      <c r="H8050" t="s">
        <v>20095</v>
      </c>
    </row>
    <row r="8051" spans="6:8">
      <c r="H8051" t="s">
        <v>20096</v>
      </c>
    </row>
    <row r="8052" spans="6:8">
      <c r="H8052" t="s">
        <v>20097</v>
      </c>
    </row>
    <row r="8053" spans="6:8">
      <c r="F8053" t="s">
        <v>11044</v>
      </c>
      <c r="G8053" t="s">
        <v>15435</v>
      </c>
      <c r="H8053" t="s">
        <v>20091</v>
      </c>
    </row>
    <row r="8054" spans="6:8">
      <c r="H8054" t="s">
        <v>19712</v>
      </c>
    </row>
    <row r="8055" spans="6:8">
      <c r="H8055" t="s">
        <v>20095</v>
      </c>
    </row>
    <row r="8056" spans="6:8">
      <c r="H8056" t="s">
        <v>20096</v>
      </c>
    </row>
    <row r="8057" spans="6:8">
      <c r="H8057" t="s">
        <v>20097</v>
      </c>
    </row>
    <row r="8058" spans="6:8">
      <c r="F8058" t="s">
        <v>11045</v>
      </c>
      <c r="G8058" t="s">
        <v>15436</v>
      </c>
      <c r="H8058" t="s">
        <v>20091</v>
      </c>
    </row>
    <row r="8059" spans="6:8">
      <c r="H8059" t="s">
        <v>19712</v>
      </c>
    </row>
    <row r="8060" spans="6:8">
      <c r="H8060" t="s">
        <v>19709</v>
      </c>
    </row>
    <row r="8061" spans="6:8">
      <c r="H8061" t="s">
        <v>20107</v>
      </c>
    </row>
    <row r="8062" spans="6:8">
      <c r="H8062" t="s">
        <v>20108</v>
      </c>
    </row>
    <row r="8063" spans="6:8">
      <c r="H8063" t="s">
        <v>19713</v>
      </c>
    </row>
    <row r="8064" spans="6:8">
      <c r="H8064" t="s">
        <v>19714</v>
      </c>
    </row>
    <row r="8065" spans="6:8">
      <c r="H8065" t="s">
        <v>20109</v>
      </c>
    </row>
    <row r="8066" spans="6:8">
      <c r="H8066" t="s">
        <v>20110</v>
      </c>
    </row>
    <row r="8067" spans="6:8">
      <c r="H8067" t="s">
        <v>20111</v>
      </c>
    </row>
    <row r="8068" spans="6:8">
      <c r="H8068" t="s">
        <v>20112</v>
      </c>
    </row>
    <row r="8069" spans="6:8">
      <c r="H8069" t="s">
        <v>20113</v>
      </c>
    </row>
    <row r="8070" spans="6:8">
      <c r="H8070" t="s">
        <v>20114</v>
      </c>
    </row>
    <row r="8071" spans="6:8">
      <c r="H8071" t="s">
        <v>20115</v>
      </c>
    </row>
    <row r="8072" spans="6:8">
      <c r="H8072" t="s">
        <v>20095</v>
      </c>
    </row>
    <row r="8073" spans="6:8">
      <c r="H8073" t="s">
        <v>20096</v>
      </c>
    </row>
    <row r="8074" spans="6:8">
      <c r="H8074" t="s">
        <v>20097</v>
      </c>
    </row>
    <row r="8075" spans="6:8">
      <c r="H8075" t="s">
        <v>20098</v>
      </c>
    </row>
    <row r="8076" spans="6:8">
      <c r="F8076" t="s">
        <v>11046</v>
      </c>
      <c r="G8076" t="s">
        <v>15437</v>
      </c>
      <c r="H8076" t="s">
        <v>20091</v>
      </c>
    </row>
    <row r="8077" spans="6:8">
      <c r="H8077" t="s">
        <v>19712</v>
      </c>
    </row>
    <row r="8078" spans="6:8">
      <c r="H8078" t="s">
        <v>19709</v>
      </c>
    </row>
    <row r="8079" spans="6:8">
      <c r="H8079" t="s">
        <v>19706</v>
      </c>
    </row>
    <row r="8080" spans="6:8">
      <c r="H8080" t="s">
        <v>20092</v>
      </c>
    </row>
    <row r="8081" spans="6:8">
      <c r="H8081" t="s">
        <v>20093</v>
      </c>
    </row>
    <row r="8082" spans="6:8">
      <c r="H8082" t="s">
        <v>20094</v>
      </c>
    </row>
    <row r="8083" spans="6:8">
      <c r="H8083" t="s">
        <v>20103</v>
      </c>
    </row>
    <row r="8084" spans="6:8">
      <c r="H8084" t="s">
        <v>20116</v>
      </c>
    </row>
    <row r="8085" spans="6:8">
      <c r="H8085" t="s">
        <v>20117</v>
      </c>
    </row>
    <row r="8086" spans="6:8">
      <c r="H8086" t="s">
        <v>20118</v>
      </c>
    </row>
    <row r="8087" spans="6:8">
      <c r="H8087" t="s">
        <v>20119</v>
      </c>
    </row>
    <row r="8088" spans="6:8">
      <c r="H8088" t="s">
        <v>19176</v>
      </c>
    </row>
    <row r="8089" spans="6:8">
      <c r="H8089" t="s">
        <v>20095</v>
      </c>
    </row>
    <row r="8090" spans="6:8">
      <c r="H8090" t="s">
        <v>20096</v>
      </c>
    </row>
    <row r="8091" spans="6:8">
      <c r="H8091" t="s">
        <v>20097</v>
      </c>
    </row>
    <row r="8092" spans="6:8">
      <c r="H8092" t="s">
        <v>20098</v>
      </c>
    </row>
    <row r="8093" spans="6:8">
      <c r="F8093" t="s">
        <v>11047</v>
      </c>
      <c r="G8093" t="s">
        <v>15438</v>
      </c>
      <c r="H8093" t="s">
        <v>20091</v>
      </c>
    </row>
    <row r="8094" spans="6:8">
      <c r="H8094" t="s">
        <v>19712</v>
      </c>
    </row>
    <row r="8095" spans="6:8">
      <c r="H8095" t="s">
        <v>19709</v>
      </c>
    </row>
    <row r="8096" spans="6:8">
      <c r="H8096" t="s">
        <v>20092</v>
      </c>
    </row>
    <row r="8097" spans="6:8">
      <c r="H8097" t="s">
        <v>20093</v>
      </c>
    </row>
    <row r="8098" spans="6:8">
      <c r="H8098" t="s">
        <v>20094</v>
      </c>
    </row>
    <row r="8099" spans="6:8">
      <c r="H8099" t="s">
        <v>20103</v>
      </c>
    </row>
    <row r="8100" spans="6:8">
      <c r="H8100" t="s">
        <v>20116</v>
      </c>
    </row>
    <row r="8101" spans="6:8">
      <c r="H8101" t="s">
        <v>20117</v>
      </c>
    </row>
    <row r="8102" spans="6:8">
      <c r="H8102" t="s">
        <v>20118</v>
      </c>
    </row>
    <row r="8103" spans="6:8">
      <c r="H8103" t="s">
        <v>20095</v>
      </c>
    </row>
    <row r="8104" spans="6:8">
      <c r="H8104" t="s">
        <v>20096</v>
      </c>
    </row>
    <row r="8105" spans="6:8">
      <c r="H8105" t="s">
        <v>20097</v>
      </c>
    </row>
    <row r="8106" spans="6:8">
      <c r="F8106" t="s">
        <v>11048</v>
      </c>
      <c r="G8106" t="s">
        <v>15439</v>
      </c>
      <c r="H8106" t="s">
        <v>20091</v>
      </c>
    </row>
    <row r="8107" spans="6:8">
      <c r="H8107" t="s">
        <v>19712</v>
      </c>
    </row>
    <row r="8108" spans="6:8">
      <c r="H8108" t="s">
        <v>19709</v>
      </c>
    </row>
    <row r="8109" spans="6:8">
      <c r="H8109" t="s">
        <v>20095</v>
      </c>
    </row>
    <row r="8110" spans="6:8">
      <c r="H8110" t="s">
        <v>20096</v>
      </c>
    </row>
    <row r="8111" spans="6:8">
      <c r="H8111" t="s">
        <v>20097</v>
      </c>
    </row>
    <row r="8112" spans="6:8">
      <c r="F8112" t="s">
        <v>11049</v>
      </c>
      <c r="G8112" t="s">
        <v>15440</v>
      </c>
      <c r="H8112" t="s">
        <v>20091</v>
      </c>
    </row>
    <row r="8113" spans="8:8">
      <c r="H8113" t="s">
        <v>19712</v>
      </c>
    </row>
    <row r="8114" spans="8:8">
      <c r="H8114" t="s">
        <v>19709</v>
      </c>
    </row>
    <row r="8115" spans="8:8">
      <c r="H8115" t="s">
        <v>19706</v>
      </c>
    </row>
    <row r="8116" spans="8:8">
      <c r="H8116" t="s">
        <v>19707</v>
      </c>
    </row>
    <row r="8117" spans="8:8">
      <c r="H8117" t="s">
        <v>19711</v>
      </c>
    </row>
    <row r="8118" spans="8:8">
      <c r="H8118" t="s">
        <v>20107</v>
      </c>
    </row>
    <row r="8119" spans="8:8">
      <c r="H8119" t="s">
        <v>20108</v>
      </c>
    </row>
    <row r="8120" spans="8:8">
      <c r="H8120" t="s">
        <v>19713</v>
      </c>
    </row>
    <row r="8121" spans="8:8">
      <c r="H8121" t="s">
        <v>19714</v>
      </c>
    </row>
    <row r="8122" spans="8:8">
      <c r="H8122" t="s">
        <v>20109</v>
      </c>
    </row>
    <row r="8123" spans="8:8">
      <c r="H8123" t="s">
        <v>20110</v>
      </c>
    </row>
    <row r="8124" spans="8:8">
      <c r="H8124" t="s">
        <v>20111</v>
      </c>
    </row>
    <row r="8125" spans="8:8">
      <c r="H8125" t="s">
        <v>20095</v>
      </c>
    </row>
    <row r="8126" spans="8:8">
      <c r="H8126" t="s">
        <v>20096</v>
      </c>
    </row>
    <row r="8127" spans="8:8">
      <c r="H8127" t="s">
        <v>20097</v>
      </c>
    </row>
    <row r="8128" spans="8:8">
      <c r="H8128" t="s">
        <v>20098</v>
      </c>
    </row>
    <row r="8129" spans="6:8">
      <c r="F8129" t="s">
        <v>11050</v>
      </c>
      <c r="G8129" t="s">
        <v>15441</v>
      </c>
      <c r="H8129" t="s">
        <v>20091</v>
      </c>
    </row>
    <row r="8130" spans="6:8">
      <c r="H8130" t="s">
        <v>19712</v>
      </c>
    </row>
    <row r="8131" spans="6:8">
      <c r="H8131" t="s">
        <v>19709</v>
      </c>
    </row>
    <row r="8132" spans="6:8">
      <c r="H8132" t="s">
        <v>19706</v>
      </c>
    </row>
    <row r="8133" spans="6:8">
      <c r="H8133" t="s">
        <v>20107</v>
      </c>
    </row>
    <row r="8134" spans="6:8">
      <c r="H8134" t="s">
        <v>20108</v>
      </c>
    </row>
    <row r="8135" spans="6:8">
      <c r="H8135" t="s">
        <v>19713</v>
      </c>
    </row>
    <row r="8136" spans="6:8">
      <c r="H8136" t="s">
        <v>19714</v>
      </c>
    </row>
    <row r="8137" spans="6:8">
      <c r="H8137" t="s">
        <v>20095</v>
      </c>
    </row>
    <row r="8138" spans="6:8">
      <c r="H8138" t="s">
        <v>20096</v>
      </c>
    </row>
    <row r="8139" spans="6:8">
      <c r="H8139" t="s">
        <v>20097</v>
      </c>
    </row>
    <row r="8140" spans="6:8">
      <c r="H8140" t="s">
        <v>20098</v>
      </c>
    </row>
    <row r="8141" spans="6:8">
      <c r="F8141" t="s">
        <v>11051</v>
      </c>
      <c r="G8141" t="s">
        <v>15442</v>
      </c>
      <c r="H8141" t="s">
        <v>20091</v>
      </c>
    </row>
    <row r="8142" spans="6:8">
      <c r="H8142" t="s">
        <v>19712</v>
      </c>
    </row>
    <row r="8143" spans="6:8">
      <c r="H8143" t="s">
        <v>19709</v>
      </c>
    </row>
    <row r="8144" spans="6:8">
      <c r="H8144" t="s">
        <v>20107</v>
      </c>
    </row>
    <row r="8145" spans="6:8">
      <c r="H8145" t="s">
        <v>20108</v>
      </c>
    </row>
    <row r="8146" spans="6:8">
      <c r="H8146" t="s">
        <v>19713</v>
      </c>
    </row>
    <row r="8147" spans="6:8">
      <c r="H8147" t="s">
        <v>20095</v>
      </c>
    </row>
    <row r="8148" spans="6:8">
      <c r="H8148" t="s">
        <v>20096</v>
      </c>
    </row>
    <row r="8149" spans="6:8">
      <c r="H8149" t="s">
        <v>20097</v>
      </c>
    </row>
    <row r="8150" spans="6:8">
      <c r="H8150" t="s">
        <v>20098</v>
      </c>
    </row>
    <row r="8151" spans="6:8">
      <c r="H8151" t="s">
        <v>20099</v>
      </c>
    </row>
    <row r="8152" spans="6:8">
      <c r="F8152" t="s">
        <v>11052</v>
      </c>
      <c r="G8152" t="s">
        <v>15443</v>
      </c>
      <c r="H8152" t="s">
        <v>20091</v>
      </c>
    </row>
    <row r="8153" spans="6:8">
      <c r="H8153" t="s">
        <v>19712</v>
      </c>
    </row>
    <row r="8154" spans="6:8">
      <c r="H8154" t="s">
        <v>19709</v>
      </c>
    </row>
    <row r="8155" spans="6:8">
      <c r="H8155" t="s">
        <v>19706</v>
      </c>
    </row>
    <row r="8156" spans="6:8">
      <c r="H8156" t="s">
        <v>20107</v>
      </c>
    </row>
    <row r="8157" spans="6:8">
      <c r="H8157" t="s">
        <v>20108</v>
      </c>
    </row>
    <row r="8158" spans="6:8">
      <c r="H8158" t="s">
        <v>19713</v>
      </c>
    </row>
    <row r="8159" spans="6:8">
      <c r="H8159" t="s">
        <v>20095</v>
      </c>
    </row>
    <row r="8160" spans="6:8">
      <c r="H8160" t="s">
        <v>20096</v>
      </c>
    </row>
    <row r="8161" spans="6:8">
      <c r="H8161" t="s">
        <v>20097</v>
      </c>
    </row>
    <row r="8162" spans="6:8">
      <c r="H8162" t="s">
        <v>20098</v>
      </c>
    </row>
    <row r="8163" spans="6:8">
      <c r="F8163" t="s">
        <v>11053</v>
      </c>
      <c r="G8163" t="s">
        <v>15444</v>
      </c>
      <c r="H8163" t="s">
        <v>20091</v>
      </c>
    </row>
    <row r="8164" spans="6:8">
      <c r="H8164" t="s">
        <v>19712</v>
      </c>
    </row>
    <row r="8165" spans="6:8">
      <c r="H8165" t="s">
        <v>19709</v>
      </c>
    </row>
    <row r="8166" spans="6:8">
      <c r="H8166" t="s">
        <v>20107</v>
      </c>
    </row>
    <row r="8167" spans="6:8">
      <c r="H8167" t="s">
        <v>20108</v>
      </c>
    </row>
    <row r="8168" spans="6:8">
      <c r="H8168" t="s">
        <v>19713</v>
      </c>
    </row>
    <row r="8169" spans="6:8">
      <c r="H8169" t="s">
        <v>20095</v>
      </c>
    </row>
    <row r="8170" spans="6:8">
      <c r="H8170" t="s">
        <v>20096</v>
      </c>
    </row>
    <row r="8171" spans="6:8">
      <c r="H8171" t="s">
        <v>20097</v>
      </c>
    </row>
    <row r="8172" spans="6:8">
      <c r="H8172" t="s">
        <v>20098</v>
      </c>
    </row>
    <row r="8173" spans="6:8">
      <c r="H8173" t="s">
        <v>20099</v>
      </c>
    </row>
    <row r="8174" spans="6:8">
      <c r="F8174" t="s">
        <v>11054</v>
      </c>
      <c r="G8174" t="s">
        <v>15445</v>
      </c>
      <c r="H8174" t="s">
        <v>20091</v>
      </c>
    </row>
    <row r="8175" spans="6:8">
      <c r="H8175" t="s">
        <v>19712</v>
      </c>
    </row>
    <row r="8176" spans="6:8">
      <c r="H8176" t="s">
        <v>19709</v>
      </c>
    </row>
    <row r="8177" spans="6:8">
      <c r="H8177" t="s">
        <v>19706</v>
      </c>
    </row>
    <row r="8178" spans="6:8">
      <c r="H8178" t="s">
        <v>19707</v>
      </c>
    </row>
    <row r="8179" spans="6:8">
      <c r="H8179" t="s">
        <v>19711</v>
      </c>
    </row>
    <row r="8180" spans="6:8">
      <c r="H8180" t="s">
        <v>19708</v>
      </c>
    </row>
    <row r="8181" spans="6:8">
      <c r="H8181" t="s">
        <v>20107</v>
      </c>
    </row>
    <row r="8182" spans="6:8">
      <c r="H8182" t="s">
        <v>20108</v>
      </c>
    </row>
    <row r="8183" spans="6:8">
      <c r="H8183" t="s">
        <v>19713</v>
      </c>
    </row>
    <row r="8184" spans="6:8">
      <c r="H8184" t="s">
        <v>20095</v>
      </c>
    </row>
    <row r="8185" spans="6:8">
      <c r="H8185" t="s">
        <v>20096</v>
      </c>
    </row>
    <row r="8186" spans="6:8">
      <c r="H8186" t="s">
        <v>20097</v>
      </c>
    </row>
    <row r="8187" spans="6:8">
      <c r="H8187" t="s">
        <v>20098</v>
      </c>
    </row>
    <row r="8188" spans="6:8">
      <c r="F8188" t="s">
        <v>11055</v>
      </c>
      <c r="G8188" t="s">
        <v>15446</v>
      </c>
      <c r="H8188" t="s">
        <v>20091</v>
      </c>
    </row>
    <row r="8189" spans="6:8">
      <c r="H8189" t="s">
        <v>19712</v>
      </c>
    </row>
    <row r="8190" spans="6:8">
      <c r="H8190" t="s">
        <v>19709</v>
      </c>
    </row>
    <row r="8191" spans="6:8">
      <c r="H8191" t="s">
        <v>19706</v>
      </c>
    </row>
    <row r="8192" spans="6:8">
      <c r="H8192" t="s">
        <v>19707</v>
      </c>
    </row>
    <row r="8193" spans="6:8">
      <c r="H8193" t="s">
        <v>19711</v>
      </c>
    </row>
    <row r="8194" spans="6:8">
      <c r="H8194" t="s">
        <v>20107</v>
      </c>
    </row>
    <row r="8195" spans="6:8">
      <c r="H8195" t="s">
        <v>20108</v>
      </c>
    </row>
    <row r="8196" spans="6:8">
      <c r="H8196" t="s">
        <v>19713</v>
      </c>
    </row>
    <row r="8197" spans="6:8">
      <c r="H8197" t="s">
        <v>19714</v>
      </c>
    </row>
    <row r="8198" spans="6:8">
      <c r="H8198" t="s">
        <v>20109</v>
      </c>
    </row>
    <row r="8199" spans="6:8">
      <c r="H8199" t="s">
        <v>20110</v>
      </c>
    </row>
    <row r="8200" spans="6:8">
      <c r="H8200" t="s">
        <v>20095</v>
      </c>
    </row>
    <row r="8201" spans="6:8">
      <c r="H8201" t="s">
        <v>20096</v>
      </c>
    </row>
    <row r="8202" spans="6:8">
      <c r="H8202" t="s">
        <v>20097</v>
      </c>
    </row>
    <row r="8203" spans="6:8">
      <c r="H8203" t="s">
        <v>20098</v>
      </c>
    </row>
    <row r="8204" spans="6:8">
      <c r="F8204" t="s">
        <v>11056</v>
      </c>
      <c r="G8204" t="s">
        <v>15447</v>
      </c>
      <c r="H8204" t="s">
        <v>20091</v>
      </c>
    </row>
    <row r="8205" spans="6:8">
      <c r="H8205" t="s">
        <v>19712</v>
      </c>
    </row>
    <row r="8206" spans="6:8">
      <c r="H8206" t="s">
        <v>20092</v>
      </c>
    </row>
    <row r="8207" spans="6:8">
      <c r="H8207" t="s">
        <v>20093</v>
      </c>
    </row>
    <row r="8208" spans="6:8">
      <c r="H8208" t="s">
        <v>20094</v>
      </c>
    </row>
    <row r="8209" spans="6:8">
      <c r="H8209" t="s">
        <v>20095</v>
      </c>
    </row>
    <row r="8210" spans="6:8">
      <c r="H8210" t="s">
        <v>20096</v>
      </c>
    </row>
    <row r="8211" spans="6:8">
      <c r="H8211" t="s">
        <v>20097</v>
      </c>
    </row>
    <row r="8212" spans="6:8">
      <c r="H8212" t="s">
        <v>20098</v>
      </c>
    </row>
    <row r="8213" spans="6:8">
      <c r="H8213" t="s">
        <v>20099</v>
      </c>
    </row>
    <row r="8214" spans="6:8">
      <c r="H8214" t="s">
        <v>20100</v>
      </c>
    </row>
    <row r="8215" spans="6:8">
      <c r="H8215" t="s">
        <v>20101</v>
      </c>
    </row>
    <row r="8216" spans="6:8">
      <c r="H8216" t="s">
        <v>20102</v>
      </c>
    </row>
    <row r="8217" spans="6:8">
      <c r="F8217" t="s">
        <v>11057</v>
      </c>
      <c r="G8217" t="s">
        <v>15448</v>
      </c>
      <c r="H8217" t="s">
        <v>20091</v>
      </c>
    </row>
    <row r="8218" spans="6:8">
      <c r="H8218" t="s">
        <v>19712</v>
      </c>
    </row>
    <row r="8219" spans="6:8">
      <c r="H8219" t="s">
        <v>19709</v>
      </c>
    </row>
    <row r="8220" spans="6:8">
      <c r="H8220" t="s">
        <v>20107</v>
      </c>
    </row>
    <row r="8221" spans="6:8">
      <c r="H8221" t="s">
        <v>20108</v>
      </c>
    </row>
    <row r="8222" spans="6:8">
      <c r="H8222" t="s">
        <v>20095</v>
      </c>
    </row>
    <row r="8223" spans="6:8">
      <c r="H8223" t="s">
        <v>20096</v>
      </c>
    </row>
    <row r="8224" spans="6:8">
      <c r="H8224" t="s">
        <v>20097</v>
      </c>
    </row>
    <row r="8225" spans="6:8">
      <c r="H8225" t="s">
        <v>20098</v>
      </c>
    </row>
    <row r="8226" spans="6:8">
      <c r="F8226" t="s">
        <v>11058</v>
      </c>
      <c r="G8226" t="s">
        <v>15449</v>
      </c>
      <c r="H8226" t="s">
        <v>20091</v>
      </c>
    </row>
    <row r="8227" spans="6:8">
      <c r="H8227" t="s">
        <v>19712</v>
      </c>
    </row>
    <row r="8228" spans="6:8">
      <c r="H8228" t="s">
        <v>20092</v>
      </c>
    </row>
    <row r="8229" spans="6:8">
      <c r="H8229" t="s">
        <v>20093</v>
      </c>
    </row>
    <row r="8230" spans="6:8">
      <c r="H8230" t="s">
        <v>20094</v>
      </c>
    </row>
    <row r="8231" spans="6:8">
      <c r="H8231" t="s">
        <v>20095</v>
      </c>
    </row>
    <row r="8232" spans="6:8">
      <c r="H8232" t="s">
        <v>20096</v>
      </c>
    </row>
    <row r="8233" spans="6:8">
      <c r="H8233" t="s">
        <v>20097</v>
      </c>
    </row>
    <row r="8234" spans="6:8">
      <c r="H8234" t="s">
        <v>20098</v>
      </c>
    </row>
    <row r="8235" spans="6:8">
      <c r="H8235" t="s">
        <v>20099</v>
      </c>
    </row>
    <row r="8236" spans="6:8">
      <c r="H8236" t="s">
        <v>20100</v>
      </c>
    </row>
    <row r="8237" spans="6:8">
      <c r="H8237" t="s">
        <v>20101</v>
      </c>
    </row>
    <row r="8238" spans="6:8">
      <c r="H8238" t="s">
        <v>20102</v>
      </c>
    </row>
    <row r="8239" spans="6:8">
      <c r="F8239" t="s">
        <v>11059</v>
      </c>
      <c r="G8239" t="s">
        <v>15450</v>
      </c>
      <c r="H8239" t="s">
        <v>20091</v>
      </c>
    </row>
    <row r="8240" spans="6:8">
      <c r="H8240" t="s">
        <v>20095</v>
      </c>
    </row>
    <row r="8241" spans="6:8">
      <c r="F8241" t="s">
        <v>11060</v>
      </c>
      <c r="G8241" t="s">
        <v>15451</v>
      </c>
      <c r="H8241" t="s">
        <v>20091</v>
      </c>
    </row>
    <row r="8242" spans="6:8">
      <c r="H8242" t="s">
        <v>20095</v>
      </c>
    </row>
    <row r="8243" spans="6:8">
      <c r="F8243" t="s">
        <v>11061</v>
      </c>
      <c r="G8243" t="s">
        <v>15452</v>
      </c>
      <c r="H8243" t="s">
        <v>20091</v>
      </c>
    </row>
    <row r="8244" spans="6:8">
      <c r="H8244" t="s">
        <v>20095</v>
      </c>
    </row>
    <row r="8245" spans="6:8">
      <c r="F8245" t="s">
        <v>11062</v>
      </c>
      <c r="G8245" t="s">
        <v>15453</v>
      </c>
      <c r="H8245" t="s">
        <v>20091</v>
      </c>
    </row>
    <row r="8246" spans="6:8">
      <c r="H8246" t="s">
        <v>20095</v>
      </c>
    </row>
    <row r="8247" spans="6:8">
      <c r="F8247" t="s">
        <v>11063</v>
      </c>
      <c r="G8247" t="s">
        <v>15454</v>
      </c>
      <c r="H8247" t="s">
        <v>20091</v>
      </c>
    </row>
    <row r="8248" spans="6:8">
      <c r="H8248" t="s">
        <v>20095</v>
      </c>
    </row>
    <row r="8249" spans="6:8">
      <c r="F8249" t="s">
        <v>11064</v>
      </c>
      <c r="G8249" t="s">
        <v>15455</v>
      </c>
      <c r="H8249" t="s">
        <v>20091</v>
      </c>
    </row>
    <row r="8250" spans="6:8">
      <c r="H8250" t="s">
        <v>20095</v>
      </c>
    </row>
    <row r="8251" spans="6:8">
      <c r="F8251" t="s">
        <v>11065</v>
      </c>
      <c r="G8251" t="s">
        <v>15456</v>
      </c>
      <c r="H8251" t="s">
        <v>20091</v>
      </c>
    </row>
    <row r="8252" spans="6:8">
      <c r="H8252" t="s">
        <v>20095</v>
      </c>
    </row>
    <row r="8253" spans="6:8">
      <c r="F8253" t="s">
        <v>11066</v>
      </c>
      <c r="G8253" t="s">
        <v>15457</v>
      </c>
      <c r="H8253" t="s">
        <v>20091</v>
      </c>
    </row>
    <row r="8254" spans="6:8">
      <c r="H8254" t="s">
        <v>19712</v>
      </c>
    </row>
    <row r="8255" spans="6:8">
      <c r="H8255" t="s">
        <v>19709</v>
      </c>
    </row>
    <row r="8256" spans="6:8">
      <c r="H8256" t="s">
        <v>19706</v>
      </c>
    </row>
    <row r="8257" spans="6:8">
      <c r="H8257" t="s">
        <v>19707</v>
      </c>
    </row>
    <row r="8258" spans="6:8">
      <c r="H8258" t="s">
        <v>19711</v>
      </c>
    </row>
    <row r="8259" spans="6:8">
      <c r="H8259" t="s">
        <v>20107</v>
      </c>
    </row>
    <row r="8260" spans="6:8">
      <c r="H8260" t="s">
        <v>20108</v>
      </c>
    </row>
    <row r="8261" spans="6:8">
      <c r="H8261" t="s">
        <v>19713</v>
      </c>
    </row>
    <row r="8262" spans="6:8">
      <c r="H8262" t="s">
        <v>19714</v>
      </c>
    </row>
    <row r="8263" spans="6:8">
      <c r="H8263" t="s">
        <v>20109</v>
      </c>
    </row>
    <row r="8264" spans="6:8">
      <c r="H8264" t="s">
        <v>20110</v>
      </c>
    </row>
    <row r="8265" spans="6:8">
      <c r="H8265" t="s">
        <v>20092</v>
      </c>
    </row>
    <row r="8266" spans="6:8">
      <c r="H8266" t="s">
        <v>20095</v>
      </c>
    </row>
    <row r="8267" spans="6:8">
      <c r="H8267" t="s">
        <v>20096</v>
      </c>
    </row>
    <row r="8268" spans="6:8">
      <c r="H8268" t="s">
        <v>20097</v>
      </c>
    </row>
    <row r="8269" spans="6:8">
      <c r="H8269" t="s">
        <v>20098</v>
      </c>
    </row>
    <row r="8270" spans="6:8">
      <c r="F8270" t="s">
        <v>11067</v>
      </c>
      <c r="G8270" t="s">
        <v>15458</v>
      </c>
      <c r="H8270" t="s">
        <v>20091</v>
      </c>
    </row>
    <row r="8271" spans="6:8">
      <c r="H8271" t="s">
        <v>19712</v>
      </c>
    </row>
    <row r="8272" spans="6:8">
      <c r="H8272" t="s">
        <v>20107</v>
      </c>
    </row>
    <row r="8273" spans="6:8">
      <c r="H8273" t="s">
        <v>20095</v>
      </c>
    </row>
    <row r="8274" spans="6:8">
      <c r="H8274" t="s">
        <v>20096</v>
      </c>
    </row>
    <row r="8275" spans="6:8">
      <c r="H8275" t="s">
        <v>20097</v>
      </c>
    </row>
    <row r="8276" spans="6:8">
      <c r="H8276" t="s">
        <v>20098</v>
      </c>
    </row>
    <row r="8277" spans="6:8">
      <c r="H8277" t="s">
        <v>20099</v>
      </c>
    </row>
    <row r="8278" spans="6:8">
      <c r="F8278" t="s">
        <v>11068</v>
      </c>
      <c r="G8278" t="s">
        <v>15459</v>
      </c>
      <c r="H8278" t="s">
        <v>20091</v>
      </c>
    </row>
    <row r="8279" spans="6:8">
      <c r="H8279" t="s">
        <v>19712</v>
      </c>
    </row>
    <row r="8280" spans="6:8">
      <c r="H8280" t="s">
        <v>20107</v>
      </c>
    </row>
    <row r="8281" spans="6:8">
      <c r="H8281" t="s">
        <v>20095</v>
      </c>
    </row>
    <row r="8282" spans="6:8">
      <c r="H8282" t="s">
        <v>20096</v>
      </c>
    </row>
    <row r="8283" spans="6:8">
      <c r="H8283" t="s">
        <v>20097</v>
      </c>
    </row>
    <row r="8284" spans="6:8">
      <c r="H8284" t="s">
        <v>20098</v>
      </c>
    </row>
    <row r="8285" spans="6:8">
      <c r="H8285" t="s">
        <v>20099</v>
      </c>
    </row>
    <row r="8286" spans="6:8">
      <c r="F8286" t="s">
        <v>11069</v>
      </c>
      <c r="G8286" t="s">
        <v>15460</v>
      </c>
      <c r="H8286" t="s">
        <v>20091</v>
      </c>
    </row>
    <row r="8287" spans="6:8">
      <c r="H8287" t="s">
        <v>19712</v>
      </c>
    </row>
    <row r="8288" spans="6:8">
      <c r="H8288" t="s">
        <v>19709</v>
      </c>
    </row>
    <row r="8289" spans="6:8">
      <c r="H8289" t="s">
        <v>19706</v>
      </c>
    </row>
    <row r="8290" spans="6:8">
      <c r="H8290" t="s">
        <v>20107</v>
      </c>
    </row>
    <row r="8291" spans="6:8">
      <c r="H8291" t="s">
        <v>20108</v>
      </c>
    </row>
    <row r="8292" spans="6:8">
      <c r="H8292" t="s">
        <v>19713</v>
      </c>
    </row>
    <row r="8293" spans="6:8">
      <c r="H8293" t="s">
        <v>19714</v>
      </c>
    </row>
    <row r="8294" spans="6:8">
      <c r="H8294" t="s">
        <v>20095</v>
      </c>
    </row>
    <row r="8295" spans="6:8">
      <c r="H8295" t="s">
        <v>20096</v>
      </c>
    </row>
    <row r="8296" spans="6:8">
      <c r="H8296" t="s">
        <v>20097</v>
      </c>
    </row>
    <row r="8297" spans="6:8">
      <c r="H8297" t="s">
        <v>20098</v>
      </c>
    </row>
    <row r="8298" spans="6:8">
      <c r="H8298" t="s">
        <v>20099</v>
      </c>
    </row>
    <row r="8299" spans="6:8">
      <c r="H8299" t="s">
        <v>20100</v>
      </c>
    </row>
    <row r="8300" spans="6:8">
      <c r="F8300" t="s">
        <v>11070</v>
      </c>
      <c r="G8300" t="s">
        <v>15461</v>
      </c>
      <c r="H8300" t="s">
        <v>20091</v>
      </c>
    </row>
    <row r="8301" spans="6:8">
      <c r="H8301" t="s">
        <v>19712</v>
      </c>
    </row>
    <row r="8302" spans="6:8">
      <c r="H8302" t="s">
        <v>19709</v>
      </c>
    </row>
    <row r="8303" spans="6:8">
      <c r="H8303" t="s">
        <v>19706</v>
      </c>
    </row>
    <row r="8304" spans="6:8">
      <c r="H8304" t="s">
        <v>19707</v>
      </c>
    </row>
    <row r="8305" spans="6:8">
      <c r="H8305" t="s">
        <v>19711</v>
      </c>
    </row>
    <row r="8306" spans="6:8">
      <c r="H8306" t="s">
        <v>20107</v>
      </c>
    </row>
    <row r="8307" spans="6:8">
      <c r="H8307" t="s">
        <v>20108</v>
      </c>
    </row>
    <row r="8308" spans="6:8">
      <c r="H8308" t="s">
        <v>19713</v>
      </c>
    </row>
    <row r="8309" spans="6:8">
      <c r="H8309" t="s">
        <v>19714</v>
      </c>
    </row>
    <row r="8310" spans="6:8">
      <c r="H8310" t="s">
        <v>20109</v>
      </c>
    </row>
    <row r="8311" spans="6:8">
      <c r="H8311" t="s">
        <v>20095</v>
      </c>
    </row>
    <row r="8312" spans="6:8">
      <c r="H8312" t="s">
        <v>20096</v>
      </c>
    </row>
    <row r="8313" spans="6:8">
      <c r="H8313" t="s">
        <v>20097</v>
      </c>
    </row>
    <row r="8314" spans="6:8">
      <c r="H8314" t="s">
        <v>20098</v>
      </c>
    </row>
    <row r="8315" spans="6:8">
      <c r="H8315" t="s">
        <v>20099</v>
      </c>
    </row>
    <row r="8316" spans="6:8">
      <c r="H8316" t="s">
        <v>20100</v>
      </c>
    </row>
    <row r="8317" spans="6:8">
      <c r="F8317" t="s">
        <v>11071</v>
      </c>
      <c r="G8317" t="s">
        <v>15462</v>
      </c>
      <c r="H8317" t="s">
        <v>20091</v>
      </c>
    </row>
    <row r="8318" spans="6:8">
      <c r="H8318" t="s">
        <v>19712</v>
      </c>
    </row>
    <row r="8319" spans="6:8">
      <c r="H8319" t="s">
        <v>19709</v>
      </c>
    </row>
    <row r="8320" spans="6:8">
      <c r="H8320" t="s">
        <v>19706</v>
      </c>
    </row>
    <row r="8321" spans="6:8">
      <c r="H8321" t="s">
        <v>19707</v>
      </c>
    </row>
    <row r="8322" spans="6:8">
      <c r="H8322" t="s">
        <v>19711</v>
      </c>
    </row>
    <row r="8323" spans="6:8">
      <c r="H8323" t="s">
        <v>20107</v>
      </c>
    </row>
    <row r="8324" spans="6:8">
      <c r="H8324" t="s">
        <v>20108</v>
      </c>
    </row>
    <row r="8325" spans="6:8">
      <c r="H8325" t="s">
        <v>19713</v>
      </c>
    </row>
    <row r="8326" spans="6:8">
      <c r="H8326" t="s">
        <v>19714</v>
      </c>
    </row>
    <row r="8327" spans="6:8">
      <c r="H8327" t="s">
        <v>20109</v>
      </c>
    </row>
    <row r="8328" spans="6:8">
      <c r="H8328" t="s">
        <v>20095</v>
      </c>
    </row>
    <row r="8329" spans="6:8">
      <c r="H8329" t="s">
        <v>20096</v>
      </c>
    </row>
    <row r="8330" spans="6:8">
      <c r="H8330" t="s">
        <v>20097</v>
      </c>
    </row>
    <row r="8331" spans="6:8">
      <c r="H8331" t="s">
        <v>20098</v>
      </c>
    </row>
    <row r="8332" spans="6:8">
      <c r="H8332" t="s">
        <v>20099</v>
      </c>
    </row>
    <row r="8333" spans="6:8">
      <c r="H8333" t="s">
        <v>20100</v>
      </c>
    </row>
    <row r="8334" spans="6:8">
      <c r="F8334" t="s">
        <v>11072</v>
      </c>
      <c r="G8334" t="s">
        <v>15463</v>
      </c>
      <c r="H8334" t="s">
        <v>20091</v>
      </c>
    </row>
    <row r="8335" spans="6:8">
      <c r="H8335" t="s">
        <v>19712</v>
      </c>
    </row>
    <row r="8336" spans="6:8">
      <c r="H8336" t="s">
        <v>19709</v>
      </c>
    </row>
    <row r="8337" spans="6:8">
      <c r="H8337" t="s">
        <v>19706</v>
      </c>
    </row>
    <row r="8338" spans="6:8">
      <c r="H8338" t="s">
        <v>19707</v>
      </c>
    </row>
    <row r="8339" spans="6:8">
      <c r="H8339" t="s">
        <v>19711</v>
      </c>
    </row>
    <row r="8340" spans="6:8">
      <c r="H8340" t="s">
        <v>20107</v>
      </c>
    </row>
    <row r="8341" spans="6:8">
      <c r="H8341" t="s">
        <v>20108</v>
      </c>
    </row>
    <row r="8342" spans="6:8">
      <c r="H8342" t="s">
        <v>19713</v>
      </c>
    </row>
    <row r="8343" spans="6:8">
      <c r="H8343" t="s">
        <v>19714</v>
      </c>
    </row>
    <row r="8344" spans="6:8">
      <c r="H8344" t="s">
        <v>20109</v>
      </c>
    </row>
    <row r="8345" spans="6:8">
      <c r="H8345" t="s">
        <v>20095</v>
      </c>
    </row>
    <row r="8346" spans="6:8">
      <c r="H8346" t="s">
        <v>20096</v>
      </c>
    </row>
    <row r="8347" spans="6:8">
      <c r="H8347" t="s">
        <v>20097</v>
      </c>
    </row>
    <row r="8348" spans="6:8">
      <c r="H8348" t="s">
        <v>20098</v>
      </c>
    </row>
    <row r="8349" spans="6:8">
      <c r="H8349" t="s">
        <v>20099</v>
      </c>
    </row>
    <row r="8350" spans="6:8">
      <c r="H8350" t="s">
        <v>20100</v>
      </c>
    </row>
    <row r="8351" spans="6:8">
      <c r="F8351" t="s">
        <v>11073</v>
      </c>
      <c r="G8351" t="s">
        <v>15464</v>
      </c>
      <c r="H8351" t="s">
        <v>20091</v>
      </c>
    </row>
    <row r="8352" spans="6:8">
      <c r="H8352" t="s">
        <v>19712</v>
      </c>
    </row>
    <row r="8353" spans="6:8">
      <c r="H8353" t="s">
        <v>19709</v>
      </c>
    </row>
    <row r="8354" spans="6:8">
      <c r="H8354" t="s">
        <v>19706</v>
      </c>
    </row>
    <row r="8355" spans="6:8">
      <c r="H8355" t="s">
        <v>19707</v>
      </c>
    </row>
    <row r="8356" spans="6:8">
      <c r="H8356" t="s">
        <v>19711</v>
      </c>
    </row>
    <row r="8357" spans="6:8">
      <c r="H8357" t="s">
        <v>20107</v>
      </c>
    </row>
    <row r="8358" spans="6:8">
      <c r="H8358" t="s">
        <v>20108</v>
      </c>
    </row>
    <row r="8359" spans="6:8">
      <c r="H8359" t="s">
        <v>19713</v>
      </c>
    </row>
    <row r="8360" spans="6:8">
      <c r="H8360" t="s">
        <v>19714</v>
      </c>
    </row>
    <row r="8361" spans="6:8">
      <c r="H8361" t="s">
        <v>20109</v>
      </c>
    </row>
    <row r="8362" spans="6:8">
      <c r="H8362" t="s">
        <v>20095</v>
      </c>
    </row>
    <row r="8363" spans="6:8">
      <c r="H8363" t="s">
        <v>20096</v>
      </c>
    </row>
    <row r="8364" spans="6:8">
      <c r="H8364" t="s">
        <v>20097</v>
      </c>
    </row>
    <row r="8365" spans="6:8">
      <c r="H8365" t="s">
        <v>20098</v>
      </c>
    </row>
    <row r="8366" spans="6:8">
      <c r="H8366" t="s">
        <v>20099</v>
      </c>
    </row>
    <row r="8367" spans="6:8">
      <c r="H8367" t="s">
        <v>20100</v>
      </c>
    </row>
    <row r="8368" spans="6:8">
      <c r="F8368" t="s">
        <v>11074</v>
      </c>
      <c r="G8368" t="s">
        <v>15465</v>
      </c>
      <c r="H8368" t="s">
        <v>20091</v>
      </c>
    </row>
    <row r="8369" spans="6:8">
      <c r="H8369" t="s">
        <v>19712</v>
      </c>
    </row>
    <row r="8370" spans="6:8">
      <c r="H8370" t="s">
        <v>19709</v>
      </c>
    </row>
    <row r="8371" spans="6:8">
      <c r="H8371" t="s">
        <v>19706</v>
      </c>
    </row>
    <row r="8372" spans="6:8">
      <c r="H8372" t="s">
        <v>20107</v>
      </c>
    </row>
    <row r="8373" spans="6:8">
      <c r="H8373" t="s">
        <v>20108</v>
      </c>
    </row>
    <row r="8374" spans="6:8">
      <c r="H8374" t="s">
        <v>19713</v>
      </c>
    </row>
    <row r="8375" spans="6:8">
      <c r="H8375" t="s">
        <v>19714</v>
      </c>
    </row>
    <row r="8376" spans="6:8">
      <c r="H8376" t="s">
        <v>20095</v>
      </c>
    </row>
    <row r="8377" spans="6:8">
      <c r="H8377" t="s">
        <v>20096</v>
      </c>
    </row>
    <row r="8378" spans="6:8">
      <c r="H8378" t="s">
        <v>20097</v>
      </c>
    </row>
    <row r="8379" spans="6:8">
      <c r="H8379" t="s">
        <v>20098</v>
      </c>
    </row>
    <row r="8380" spans="6:8">
      <c r="H8380" t="s">
        <v>20099</v>
      </c>
    </row>
    <row r="8381" spans="6:8">
      <c r="H8381" t="s">
        <v>20100</v>
      </c>
    </row>
    <row r="8382" spans="6:8">
      <c r="F8382" t="s">
        <v>11075</v>
      </c>
      <c r="G8382" t="s">
        <v>15466</v>
      </c>
      <c r="H8382" t="s">
        <v>20091</v>
      </c>
    </row>
    <row r="8383" spans="6:8">
      <c r="H8383" t="s">
        <v>19712</v>
      </c>
    </row>
    <row r="8384" spans="6:8">
      <c r="H8384" t="s">
        <v>19709</v>
      </c>
    </row>
    <row r="8385" spans="6:8">
      <c r="H8385" t="s">
        <v>20107</v>
      </c>
    </row>
    <row r="8386" spans="6:8">
      <c r="H8386" t="s">
        <v>20108</v>
      </c>
    </row>
    <row r="8387" spans="6:8">
      <c r="H8387" t="s">
        <v>20095</v>
      </c>
    </row>
    <row r="8388" spans="6:8">
      <c r="H8388" t="s">
        <v>20096</v>
      </c>
    </row>
    <row r="8389" spans="6:8">
      <c r="H8389" t="s">
        <v>20097</v>
      </c>
    </row>
    <row r="8390" spans="6:8">
      <c r="H8390" t="s">
        <v>20098</v>
      </c>
    </row>
    <row r="8391" spans="6:8">
      <c r="H8391" t="s">
        <v>20099</v>
      </c>
    </row>
    <row r="8392" spans="6:8">
      <c r="H8392" t="s">
        <v>20100</v>
      </c>
    </row>
    <row r="8393" spans="6:8">
      <c r="F8393" t="s">
        <v>11076</v>
      </c>
      <c r="G8393" t="s">
        <v>15467</v>
      </c>
      <c r="H8393" t="s">
        <v>20091</v>
      </c>
    </row>
    <row r="8394" spans="6:8">
      <c r="H8394" t="s">
        <v>19712</v>
      </c>
    </row>
    <row r="8395" spans="6:8">
      <c r="H8395" t="s">
        <v>19709</v>
      </c>
    </row>
    <row r="8396" spans="6:8">
      <c r="H8396" t="s">
        <v>20107</v>
      </c>
    </row>
    <row r="8397" spans="6:8">
      <c r="H8397" t="s">
        <v>20108</v>
      </c>
    </row>
    <row r="8398" spans="6:8">
      <c r="H8398" t="s">
        <v>20095</v>
      </c>
    </row>
    <row r="8399" spans="6:8">
      <c r="H8399" t="s">
        <v>20096</v>
      </c>
    </row>
    <row r="8400" spans="6:8">
      <c r="H8400" t="s">
        <v>20097</v>
      </c>
    </row>
    <row r="8401" spans="6:8">
      <c r="H8401" t="s">
        <v>20098</v>
      </c>
    </row>
    <row r="8402" spans="6:8">
      <c r="H8402" t="s">
        <v>20099</v>
      </c>
    </row>
    <row r="8403" spans="6:8">
      <c r="H8403" t="s">
        <v>20100</v>
      </c>
    </row>
    <row r="8404" spans="6:8">
      <c r="F8404" t="s">
        <v>11077</v>
      </c>
      <c r="G8404" t="s">
        <v>15468</v>
      </c>
      <c r="H8404" t="s">
        <v>20091</v>
      </c>
    </row>
    <row r="8405" spans="6:8">
      <c r="H8405" t="s">
        <v>19712</v>
      </c>
    </row>
    <row r="8406" spans="6:8">
      <c r="H8406" t="s">
        <v>19709</v>
      </c>
    </row>
    <row r="8407" spans="6:8">
      <c r="H8407" t="s">
        <v>20107</v>
      </c>
    </row>
    <row r="8408" spans="6:8">
      <c r="H8408" t="s">
        <v>20108</v>
      </c>
    </row>
    <row r="8409" spans="6:8">
      <c r="H8409" t="s">
        <v>20095</v>
      </c>
    </row>
    <row r="8410" spans="6:8">
      <c r="H8410" t="s">
        <v>20096</v>
      </c>
    </row>
    <row r="8411" spans="6:8">
      <c r="H8411" t="s">
        <v>20097</v>
      </c>
    </row>
    <row r="8412" spans="6:8">
      <c r="H8412" t="s">
        <v>20098</v>
      </c>
    </row>
    <row r="8413" spans="6:8">
      <c r="H8413" t="s">
        <v>20099</v>
      </c>
    </row>
    <row r="8414" spans="6:8">
      <c r="H8414" t="s">
        <v>20100</v>
      </c>
    </row>
    <row r="8415" spans="6:8">
      <c r="F8415" t="s">
        <v>11078</v>
      </c>
      <c r="G8415" t="s">
        <v>15469</v>
      </c>
      <c r="H8415" t="s">
        <v>20091</v>
      </c>
    </row>
    <row r="8416" spans="6:8">
      <c r="H8416" t="s">
        <v>19712</v>
      </c>
    </row>
    <row r="8417" spans="6:8">
      <c r="H8417" t="s">
        <v>19709</v>
      </c>
    </row>
    <row r="8418" spans="6:8">
      <c r="H8418" t="s">
        <v>20107</v>
      </c>
    </row>
    <row r="8419" spans="6:8">
      <c r="H8419" t="s">
        <v>20108</v>
      </c>
    </row>
    <row r="8420" spans="6:8">
      <c r="H8420" t="s">
        <v>20095</v>
      </c>
    </row>
    <row r="8421" spans="6:8">
      <c r="H8421" t="s">
        <v>20096</v>
      </c>
    </row>
    <row r="8422" spans="6:8">
      <c r="H8422" t="s">
        <v>20097</v>
      </c>
    </row>
    <row r="8423" spans="6:8">
      <c r="H8423" t="s">
        <v>20098</v>
      </c>
    </row>
    <row r="8424" spans="6:8">
      <c r="H8424" t="s">
        <v>20099</v>
      </c>
    </row>
    <row r="8425" spans="6:8">
      <c r="H8425" t="s">
        <v>20100</v>
      </c>
    </row>
    <row r="8426" spans="6:8">
      <c r="F8426" t="s">
        <v>11079</v>
      </c>
      <c r="G8426" t="s">
        <v>15470</v>
      </c>
      <c r="H8426" t="s">
        <v>20091</v>
      </c>
    </row>
    <row r="8427" spans="6:8">
      <c r="H8427" t="s">
        <v>19712</v>
      </c>
    </row>
    <row r="8428" spans="6:8">
      <c r="H8428" t="s">
        <v>19709</v>
      </c>
    </row>
    <row r="8429" spans="6:8">
      <c r="H8429" t="s">
        <v>20107</v>
      </c>
    </row>
    <row r="8430" spans="6:8">
      <c r="H8430" t="s">
        <v>20108</v>
      </c>
    </row>
    <row r="8431" spans="6:8">
      <c r="H8431" t="s">
        <v>20095</v>
      </c>
    </row>
    <row r="8432" spans="6:8">
      <c r="H8432" t="s">
        <v>20096</v>
      </c>
    </row>
    <row r="8433" spans="6:8">
      <c r="H8433" t="s">
        <v>20097</v>
      </c>
    </row>
    <row r="8434" spans="6:8">
      <c r="H8434" t="s">
        <v>20098</v>
      </c>
    </row>
    <row r="8435" spans="6:8">
      <c r="H8435" t="s">
        <v>20099</v>
      </c>
    </row>
    <row r="8436" spans="6:8">
      <c r="H8436" t="s">
        <v>20100</v>
      </c>
    </row>
    <row r="8437" spans="6:8">
      <c r="F8437" t="s">
        <v>11080</v>
      </c>
      <c r="G8437" t="s">
        <v>15471</v>
      </c>
      <c r="H8437" t="s">
        <v>20091</v>
      </c>
    </row>
    <row r="8438" spans="6:8">
      <c r="H8438" t="s">
        <v>19712</v>
      </c>
    </row>
    <row r="8439" spans="6:8">
      <c r="H8439" t="s">
        <v>19709</v>
      </c>
    </row>
    <row r="8440" spans="6:8">
      <c r="H8440" t="s">
        <v>20107</v>
      </c>
    </row>
    <row r="8441" spans="6:8">
      <c r="H8441" t="s">
        <v>20108</v>
      </c>
    </row>
    <row r="8442" spans="6:8">
      <c r="H8442" t="s">
        <v>20095</v>
      </c>
    </row>
    <row r="8443" spans="6:8">
      <c r="H8443" t="s">
        <v>20096</v>
      </c>
    </row>
    <row r="8444" spans="6:8">
      <c r="H8444" t="s">
        <v>20097</v>
      </c>
    </row>
    <row r="8445" spans="6:8">
      <c r="H8445" t="s">
        <v>20098</v>
      </c>
    </row>
    <row r="8446" spans="6:8">
      <c r="H8446" t="s">
        <v>20099</v>
      </c>
    </row>
    <row r="8447" spans="6:8">
      <c r="H8447" t="s">
        <v>20100</v>
      </c>
    </row>
    <row r="8448" spans="6:8">
      <c r="F8448" t="s">
        <v>11081</v>
      </c>
      <c r="G8448" t="s">
        <v>15472</v>
      </c>
      <c r="H8448" t="s">
        <v>20091</v>
      </c>
    </row>
    <row r="8449" spans="6:8">
      <c r="H8449" t="s">
        <v>19712</v>
      </c>
    </row>
    <row r="8450" spans="6:8">
      <c r="H8450" t="s">
        <v>20095</v>
      </c>
    </row>
    <row r="8451" spans="6:8">
      <c r="H8451" t="s">
        <v>20096</v>
      </c>
    </row>
    <row r="8452" spans="6:8">
      <c r="H8452" t="s">
        <v>20097</v>
      </c>
    </row>
    <row r="8453" spans="6:8">
      <c r="H8453" t="s">
        <v>20098</v>
      </c>
    </row>
    <row r="8454" spans="6:8">
      <c r="H8454" t="s">
        <v>20099</v>
      </c>
    </row>
    <row r="8455" spans="6:8">
      <c r="F8455" t="s">
        <v>11082</v>
      </c>
      <c r="G8455" t="s">
        <v>15473</v>
      </c>
      <c r="H8455" t="s">
        <v>20091</v>
      </c>
    </row>
    <row r="8456" spans="6:8">
      <c r="H8456" t="s">
        <v>19712</v>
      </c>
    </row>
    <row r="8457" spans="6:8">
      <c r="H8457" t="s">
        <v>20095</v>
      </c>
    </row>
    <row r="8458" spans="6:8">
      <c r="H8458" t="s">
        <v>20096</v>
      </c>
    </row>
    <row r="8459" spans="6:8">
      <c r="H8459" t="s">
        <v>20097</v>
      </c>
    </row>
    <row r="8460" spans="6:8">
      <c r="H8460" t="s">
        <v>20098</v>
      </c>
    </row>
    <row r="8461" spans="6:8">
      <c r="H8461" t="s">
        <v>20099</v>
      </c>
    </row>
    <row r="8462" spans="6:8">
      <c r="F8462" t="s">
        <v>11083</v>
      </c>
      <c r="G8462" t="s">
        <v>15474</v>
      </c>
      <c r="H8462" t="s">
        <v>20091</v>
      </c>
    </row>
    <row r="8463" spans="6:8">
      <c r="H8463" t="s">
        <v>19712</v>
      </c>
    </row>
    <row r="8464" spans="6:8">
      <c r="H8464" t="s">
        <v>19709</v>
      </c>
    </row>
    <row r="8465" spans="8:8">
      <c r="H8465" t="s">
        <v>20107</v>
      </c>
    </row>
    <row r="8466" spans="8:8">
      <c r="H8466" t="s">
        <v>20108</v>
      </c>
    </row>
    <row r="8467" spans="8:8">
      <c r="H8467" t="s">
        <v>19713</v>
      </c>
    </row>
    <row r="8468" spans="8:8">
      <c r="H8468" t="s">
        <v>19714</v>
      </c>
    </row>
    <row r="8469" spans="8:8">
      <c r="H8469" t="s">
        <v>20109</v>
      </c>
    </row>
    <row r="8470" spans="8:8">
      <c r="H8470" t="s">
        <v>20110</v>
      </c>
    </row>
    <row r="8471" spans="8:8">
      <c r="H8471" t="s">
        <v>20111</v>
      </c>
    </row>
    <row r="8472" spans="8:8">
      <c r="H8472" t="s">
        <v>20095</v>
      </c>
    </row>
    <row r="8473" spans="8:8">
      <c r="H8473" t="s">
        <v>20096</v>
      </c>
    </row>
    <row r="8474" spans="8:8">
      <c r="H8474" t="s">
        <v>20097</v>
      </c>
    </row>
    <row r="8475" spans="8:8">
      <c r="H8475" t="s">
        <v>20098</v>
      </c>
    </row>
    <row r="8476" spans="8:8">
      <c r="H8476" t="s">
        <v>19706</v>
      </c>
    </row>
    <row r="8477" spans="8:8">
      <c r="H8477" t="s">
        <v>19707</v>
      </c>
    </row>
    <row r="8478" spans="8:8">
      <c r="H8478" t="s">
        <v>19711</v>
      </c>
    </row>
    <row r="8479" spans="8:8">
      <c r="H8479" t="s">
        <v>20112</v>
      </c>
    </row>
    <row r="8480" spans="8:8">
      <c r="H8480" t="s">
        <v>20113</v>
      </c>
    </row>
    <row r="8481" spans="6:8">
      <c r="H8481" t="s">
        <v>20114</v>
      </c>
    </row>
    <row r="8482" spans="6:8">
      <c r="H8482" t="s">
        <v>20115</v>
      </c>
    </row>
    <row r="8483" spans="6:8">
      <c r="H8483" t="s">
        <v>20120</v>
      </c>
    </row>
    <row r="8484" spans="6:8">
      <c r="H8484" t="s">
        <v>20121</v>
      </c>
    </row>
    <row r="8485" spans="6:8">
      <c r="H8485" t="s">
        <v>20122</v>
      </c>
    </row>
    <row r="8486" spans="6:8">
      <c r="H8486" t="s">
        <v>20099</v>
      </c>
    </row>
    <row r="8487" spans="6:8">
      <c r="H8487" t="s">
        <v>20100</v>
      </c>
    </row>
    <row r="8488" spans="6:8">
      <c r="H8488" t="s">
        <v>20101</v>
      </c>
    </row>
    <row r="8489" spans="6:8">
      <c r="H8489" t="s">
        <v>20102</v>
      </c>
    </row>
    <row r="8490" spans="6:8">
      <c r="F8490" t="s">
        <v>11084</v>
      </c>
      <c r="G8490" t="s">
        <v>15475</v>
      </c>
      <c r="H8490" t="s">
        <v>20091</v>
      </c>
    </row>
    <row r="8491" spans="6:8">
      <c r="H8491" t="s">
        <v>19712</v>
      </c>
    </row>
    <row r="8492" spans="6:8">
      <c r="H8492" t="s">
        <v>20095</v>
      </c>
    </row>
    <row r="8493" spans="6:8">
      <c r="H8493" t="s">
        <v>20096</v>
      </c>
    </row>
    <row r="8494" spans="6:8">
      <c r="H8494" t="s">
        <v>20097</v>
      </c>
    </row>
    <row r="8495" spans="6:8">
      <c r="H8495" t="s">
        <v>20098</v>
      </c>
    </row>
    <row r="8496" spans="6:8">
      <c r="H8496" t="s">
        <v>19709</v>
      </c>
    </row>
    <row r="8497" spans="6:8">
      <c r="H8497" t="s">
        <v>19706</v>
      </c>
    </row>
    <row r="8498" spans="6:8">
      <c r="H8498" t="s">
        <v>20099</v>
      </c>
    </row>
    <row r="8499" spans="6:8">
      <c r="H8499" t="s">
        <v>20100</v>
      </c>
    </row>
    <row r="8500" spans="6:8">
      <c r="H8500" t="s">
        <v>20101</v>
      </c>
    </row>
    <row r="8501" spans="6:8">
      <c r="H8501" t="s">
        <v>20102</v>
      </c>
    </row>
    <row r="8502" spans="6:8">
      <c r="F8502" t="s">
        <v>11085</v>
      </c>
      <c r="G8502" t="s">
        <v>15476</v>
      </c>
      <c r="H8502" t="s">
        <v>20091</v>
      </c>
    </row>
    <row r="8503" spans="6:8">
      <c r="H8503" t="s">
        <v>19712</v>
      </c>
    </row>
    <row r="8504" spans="6:8">
      <c r="H8504" t="s">
        <v>20095</v>
      </c>
    </row>
    <row r="8505" spans="6:8">
      <c r="H8505" t="s">
        <v>20096</v>
      </c>
    </row>
    <row r="8506" spans="6:8">
      <c r="H8506" t="s">
        <v>20097</v>
      </c>
    </row>
    <row r="8507" spans="6:8">
      <c r="H8507" t="s">
        <v>20098</v>
      </c>
    </row>
    <row r="8508" spans="6:8">
      <c r="F8508" t="s">
        <v>11086</v>
      </c>
      <c r="G8508" t="s">
        <v>15477</v>
      </c>
      <c r="H8508" t="s">
        <v>20091</v>
      </c>
    </row>
    <row r="8509" spans="6:8">
      <c r="H8509" t="s">
        <v>19712</v>
      </c>
    </row>
    <row r="8510" spans="6:8">
      <c r="H8510" t="s">
        <v>20095</v>
      </c>
    </row>
    <row r="8511" spans="6:8">
      <c r="H8511" t="s">
        <v>20096</v>
      </c>
    </row>
    <row r="8512" spans="6:8">
      <c r="H8512" t="s">
        <v>20097</v>
      </c>
    </row>
    <row r="8513" spans="6:8">
      <c r="H8513" t="s">
        <v>20098</v>
      </c>
    </row>
    <row r="8514" spans="6:8">
      <c r="F8514" t="s">
        <v>11087</v>
      </c>
      <c r="G8514" t="s">
        <v>15478</v>
      </c>
      <c r="H8514" t="s">
        <v>20091</v>
      </c>
    </row>
    <row r="8515" spans="6:8">
      <c r="H8515" t="s">
        <v>19712</v>
      </c>
    </row>
    <row r="8516" spans="6:8">
      <c r="H8516" t="s">
        <v>20095</v>
      </c>
    </row>
    <row r="8517" spans="6:8">
      <c r="H8517" t="s">
        <v>20096</v>
      </c>
    </row>
    <row r="8518" spans="6:8">
      <c r="H8518" t="s">
        <v>20097</v>
      </c>
    </row>
    <row r="8519" spans="6:8">
      <c r="H8519" t="s">
        <v>20098</v>
      </c>
    </row>
    <row r="8520" spans="6:8">
      <c r="F8520" t="s">
        <v>11088</v>
      </c>
      <c r="G8520" t="s">
        <v>15479</v>
      </c>
      <c r="H8520" t="s">
        <v>20091</v>
      </c>
    </row>
    <row r="8521" spans="6:8">
      <c r="H8521" t="s">
        <v>19712</v>
      </c>
    </row>
    <row r="8522" spans="6:8">
      <c r="H8522" t="s">
        <v>20095</v>
      </c>
    </row>
    <row r="8523" spans="6:8">
      <c r="H8523" t="s">
        <v>20096</v>
      </c>
    </row>
    <row r="8524" spans="6:8">
      <c r="H8524" t="s">
        <v>20097</v>
      </c>
    </row>
    <row r="8525" spans="6:8">
      <c r="H8525" t="s">
        <v>20098</v>
      </c>
    </row>
    <row r="8526" spans="6:8">
      <c r="F8526" t="s">
        <v>11089</v>
      </c>
      <c r="G8526" t="s">
        <v>15480</v>
      </c>
      <c r="H8526" t="s">
        <v>20091</v>
      </c>
    </row>
    <row r="8527" spans="6:8">
      <c r="H8527" t="s">
        <v>19712</v>
      </c>
    </row>
    <row r="8528" spans="6:8">
      <c r="H8528" t="s">
        <v>19709</v>
      </c>
    </row>
    <row r="8529" spans="6:8">
      <c r="H8529" t="s">
        <v>19706</v>
      </c>
    </row>
    <row r="8530" spans="6:8">
      <c r="H8530" t="s">
        <v>20107</v>
      </c>
    </row>
    <row r="8531" spans="6:8">
      <c r="H8531" t="s">
        <v>20108</v>
      </c>
    </row>
    <row r="8532" spans="6:8">
      <c r="H8532" t="s">
        <v>19713</v>
      </c>
    </row>
    <row r="8533" spans="6:8">
      <c r="H8533" t="s">
        <v>19714</v>
      </c>
    </row>
    <row r="8534" spans="6:8">
      <c r="H8534" t="s">
        <v>20109</v>
      </c>
    </row>
    <row r="8535" spans="6:8">
      <c r="H8535" t="s">
        <v>20095</v>
      </c>
    </row>
    <row r="8536" spans="6:8">
      <c r="H8536" t="s">
        <v>20096</v>
      </c>
    </row>
    <row r="8537" spans="6:8">
      <c r="H8537" t="s">
        <v>20097</v>
      </c>
    </row>
    <row r="8538" spans="6:8">
      <c r="H8538" t="s">
        <v>20098</v>
      </c>
    </row>
    <row r="8539" spans="6:8">
      <c r="F8539" t="s">
        <v>11090</v>
      </c>
      <c r="G8539" t="s">
        <v>15481</v>
      </c>
      <c r="H8539" t="s">
        <v>20091</v>
      </c>
    </row>
    <row r="8540" spans="6:8">
      <c r="H8540" t="s">
        <v>19712</v>
      </c>
    </row>
    <row r="8541" spans="6:8">
      <c r="H8541" t="s">
        <v>19709</v>
      </c>
    </row>
    <row r="8542" spans="6:8">
      <c r="H8542" t="s">
        <v>19706</v>
      </c>
    </row>
    <row r="8543" spans="6:8">
      <c r="H8543" t="s">
        <v>19707</v>
      </c>
    </row>
    <row r="8544" spans="6:8">
      <c r="H8544" t="s">
        <v>20107</v>
      </c>
    </row>
    <row r="8545" spans="6:8">
      <c r="H8545" t="s">
        <v>20108</v>
      </c>
    </row>
    <row r="8546" spans="6:8">
      <c r="H8546" t="s">
        <v>20095</v>
      </c>
    </row>
    <row r="8547" spans="6:8">
      <c r="H8547" t="s">
        <v>20096</v>
      </c>
    </row>
    <row r="8548" spans="6:8">
      <c r="H8548" t="s">
        <v>20097</v>
      </c>
    </row>
    <row r="8549" spans="6:8">
      <c r="H8549" t="s">
        <v>20098</v>
      </c>
    </row>
    <row r="8550" spans="6:8">
      <c r="F8550" t="s">
        <v>11091</v>
      </c>
      <c r="G8550" t="s">
        <v>15482</v>
      </c>
      <c r="H8550" t="s">
        <v>20091</v>
      </c>
    </row>
    <row r="8551" spans="6:8">
      <c r="H8551" t="s">
        <v>19712</v>
      </c>
    </row>
    <row r="8552" spans="6:8">
      <c r="H8552" t="s">
        <v>19709</v>
      </c>
    </row>
    <row r="8553" spans="6:8">
      <c r="H8553" t="s">
        <v>20092</v>
      </c>
    </row>
    <row r="8554" spans="6:8">
      <c r="H8554" t="s">
        <v>20093</v>
      </c>
    </row>
    <row r="8555" spans="6:8">
      <c r="H8555" t="s">
        <v>20094</v>
      </c>
    </row>
    <row r="8556" spans="6:8">
      <c r="H8556" t="s">
        <v>20103</v>
      </c>
    </row>
    <row r="8557" spans="6:8">
      <c r="H8557" t="s">
        <v>20116</v>
      </c>
    </row>
    <row r="8558" spans="6:8">
      <c r="H8558" t="s">
        <v>20117</v>
      </c>
    </row>
    <row r="8559" spans="6:8">
      <c r="H8559" t="s">
        <v>20118</v>
      </c>
    </row>
    <row r="8560" spans="6:8">
      <c r="H8560" t="s">
        <v>19176</v>
      </c>
    </row>
    <row r="8561" spans="6:8">
      <c r="H8561" t="s">
        <v>20095</v>
      </c>
    </row>
    <row r="8562" spans="6:8">
      <c r="H8562" t="s">
        <v>20096</v>
      </c>
    </row>
    <row r="8563" spans="6:8">
      <c r="H8563" t="s">
        <v>20099</v>
      </c>
    </row>
    <row r="8564" spans="6:8">
      <c r="H8564" t="s">
        <v>20100</v>
      </c>
    </row>
    <row r="8565" spans="6:8">
      <c r="H8565" t="s">
        <v>20101</v>
      </c>
    </row>
    <row r="8566" spans="6:8">
      <c r="H8566" t="s">
        <v>20102</v>
      </c>
    </row>
    <row r="8567" spans="6:8">
      <c r="H8567" t="s">
        <v>20104</v>
      </c>
    </row>
    <row r="8568" spans="6:8">
      <c r="H8568" t="s">
        <v>20105</v>
      </c>
    </row>
    <row r="8569" spans="6:8">
      <c r="H8569" t="s">
        <v>20123</v>
      </c>
    </row>
    <row r="8570" spans="6:8">
      <c r="H8570" t="s">
        <v>20124</v>
      </c>
    </row>
    <row r="8571" spans="6:8">
      <c r="F8571" t="s">
        <v>11092</v>
      </c>
      <c r="G8571" t="s">
        <v>15483</v>
      </c>
      <c r="H8571" t="s">
        <v>20091</v>
      </c>
    </row>
    <row r="8572" spans="6:8">
      <c r="H8572" t="s">
        <v>19712</v>
      </c>
    </row>
    <row r="8573" spans="6:8">
      <c r="H8573" t="s">
        <v>19709</v>
      </c>
    </row>
    <row r="8574" spans="6:8">
      <c r="H8574" t="s">
        <v>19706</v>
      </c>
    </row>
    <row r="8575" spans="6:8">
      <c r="H8575" t="s">
        <v>19707</v>
      </c>
    </row>
    <row r="8576" spans="6:8">
      <c r="H8576" t="s">
        <v>19711</v>
      </c>
    </row>
    <row r="8577" spans="8:8">
      <c r="H8577" t="s">
        <v>19708</v>
      </c>
    </row>
    <row r="8578" spans="8:8">
      <c r="H8578" t="s">
        <v>19710</v>
      </c>
    </row>
    <row r="8579" spans="8:8">
      <c r="H8579" t="s">
        <v>20092</v>
      </c>
    </row>
    <row r="8580" spans="8:8">
      <c r="H8580" t="s">
        <v>20093</v>
      </c>
    </row>
    <row r="8581" spans="8:8">
      <c r="H8581" t="s">
        <v>20094</v>
      </c>
    </row>
    <row r="8582" spans="8:8">
      <c r="H8582" t="s">
        <v>20103</v>
      </c>
    </row>
    <row r="8583" spans="8:8">
      <c r="H8583" t="s">
        <v>20116</v>
      </c>
    </row>
    <row r="8584" spans="8:8">
      <c r="H8584" t="s">
        <v>20117</v>
      </c>
    </row>
    <row r="8585" spans="8:8">
      <c r="H8585" t="s">
        <v>20118</v>
      </c>
    </row>
    <row r="8586" spans="8:8">
      <c r="H8586" t="s">
        <v>20095</v>
      </c>
    </row>
    <row r="8587" spans="8:8">
      <c r="H8587" t="s">
        <v>20096</v>
      </c>
    </row>
    <row r="8588" spans="8:8">
      <c r="H8588" t="s">
        <v>20097</v>
      </c>
    </row>
    <row r="8589" spans="8:8">
      <c r="H8589" t="s">
        <v>20098</v>
      </c>
    </row>
    <row r="8590" spans="8:8">
      <c r="H8590" t="s">
        <v>20099</v>
      </c>
    </row>
    <row r="8591" spans="8:8">
      <c r="H8591" t="s">
        <v>20100</v>
      </c>
    </row>
    <row r="8592" spans="8:8">
      <c r="H8592" t="s">
        <v>20101</v>
      </c>
    </row>
    <row r="8593" spans="6:8">
      <c r="H8593" t="s">
        <v>20102</v>
      </c>
    </row>
    <row r="8594" spans="6:8">
      <c r="H8594" t="s">
        <v>20104</v>
      </c>
    </row>
    <row r="8595" spans="6:8">
      <c r="H8595" t="s">
        <v>20105</v>
      </c>
    </row>
    <row r="8596" spans="6:8">
      <c r="H8596" t="s">
        <v>20123</v>
      </c>
    </row>
    <row r="8597" spans="6:8">
      <c r="F8597" t="s">
        <v>11093</v>
      </c>
      <c r="G8597" t="s">
        <v>15104</v>
      </c>
      <c r="H8597" t="s">
        <v>20125</v>
      </c>
    </row>
    <row r="8598" spans="6:8">
      <c r="F8598" t="s">
        <v>11094</v>
      </c>
      <c r="G8598" t="s">
        <v>15484</v>
      </c>
      <c r="H8598" t="s">
        <v>20091</v>
      </c>
    </row>
    <row r="8599" spans="6:8">
      <c r="H8599" t="s">
        <v>19712</v>
      </c>
    </row>
    <row r="8600" spans="6:8">
      <c r="H8600" t="s">
        <v>19709</v>
      </c>
    </row>
    <row r="8601" spans="6:8">
      <c r="H8601" t="s">
        <v>19706</v>
      </c>
    </row>
    <row r="8602" spans="6:8">
      <c r="H8602" t="s">
        <v>19707</v>
      </c>
    </row>
    <row r="8603" spans="6:8">
      <c r="H8603" t="s">
        <v>19711</v>
      </c>
    </row>
    <row r="8604" spans="6:8">
      <c r="H8604" t="s">
        <v>20092</v>
      </c>
    </row>
    <row r="8605" spans="6:8">
      <c r="H8605" t="s">
        <v>20093</v>
      </c>
    </row>
    <row r="8606" spans="6:8">
      <c r="H8606" t="s">
        <v>20094</v>
      </c>
    </row>
    <row r="8607" spans="6:8">
      <c r="H8607" t="s">
        <v>20116</v>
      </c>
    </row>
    <row r="8608" spans="6:8">
      <c r="H8608" t="s">
        <v>20117</v>
      </c>
    </row>
    <row r="8609" spans="6:8">
      <c r="H8609" t="s">
        <v>20118</v>
      </c>
    </row>
    <row r="8610" spans="6:8">
      <c r="H8610" t="s">
        <v>19176</v>
      </c>
    </row>
    <row r="8611" spans="6:8">
      <c r="H8611" t="s">
        <v>20119</v>
      </c>
    </row>
    <row r="8612" spans="6:8">
      <c r="H8612" t="s">
        <v>20095</v>
      </c>
    </row>
    <row r="8613" spans="6:8">
      <c r="H8613" t="s">
        <v>20096</v>
      </c>
    </row>
    <row r="8614" spans="6:8">
      <c r="H8614" t="s">
        <v>20097</v>
      </c>
    </row>
    <row r="8615" spans="6:8">
      <c r="H8615" t="s">
        <v>20098</v>
      </c>
    </row>
    <row r="8616" spans="6:8">
      <c r="H8616" t="s">
        <v>20099</v>
      </c>
    </row>
    <row r="8617" spans="6:8">
      <c r="H8617" t="s">
        <v>20100</v>
      </c>
    </row>
    <row r="8618" spans="6:8">
      <c r="F8618" t="s">
        <v>11095</v>
      </c>
      <c r="G8618" t="s">
        <v>15485</v>
      </c>
      <c r="H8618" t="s">
        <v>20126</v>
      </c>
    </row>
    <row r="8619" spans="6:8">
      <c r="H8619" t="s">
        <v>20127</v>
      </c>
    </row>
    <row r="8620" spans="6:8">
      <c r="H8620" t="s">
        <v>20128</v>
      </c>
    </row>
    <row r="8621" spans="6:8">
      <c r="H8621" t="s">
        <v>20129</v>
      </c>
    </row>
    <row r="8622" spans="6:8">
      <c r="H8622" t="s">
        <v>20130</v>
      </c>
    </row>
    <row r="8623" spans="6:8">
      <c r="F8623" t="s">
        <v>11096</v>
      </c>
      <c r="G8623" t="s">
        <v>15486</v>
      </c>
      <c r="H8623" t="s">
        <v>20126</v>
      </c>
    </row>
    <row r="8624" spans="6:8">
      <c r="F8624" t="s">
        <v>11097</v>
      </c>
      <c r="G8624" t="s">
        <v>15487</v>
      </c>
      <c r="H8624" t="s">
        <v>20091</v>
      </c>
    </row>
    <row r="8625" spans="8:8">
      <c r="H8625" t="s">
        <v>19712</v>
      </c>
    </row>
    <row r="8626" spans="8:8">
      <c r="H8626" t="s">
        <v>19709</v>
      </c>
    </row>
    <row r="8627" spans="8:8">
      <c r="H8627" t="s">
        <v>19706</v>
      </c>
    </row>
    <row r="8628" spans="8:8">
      <c r="H8628" t="s">
        <v>19707</v>
      </c>
    </row>
    <row r="8629" spans="8:8">
      <c r="H8629" t="s">
        <v>19711</v>
      </c>
    </row>
    <row r="8630" spans="8:8">
      <c r="H8630" t="s">
        <v>20092</v>
      </c>
    </row>
    <row r="8631" spans="8:8">
      <c r="H8631" t="s">
        <v>20093</v>
      </c>
    </row>
    <row r="8632" spans="8:8">
      <c r="H8632" t="s">
        <v>20094</v>
      </c>
    </row>
    <row r="8633" spans="8:8">
      <c r="H8633" t="s">
        <v>20103</v>
      </c>
    </row>
    <row r="8634" spans="8:8">
      <c r="H8634" t="s">
        <v>20116</v>
      </c>
    </row>
    <row r="8635" spans="8:8">
      <c r="H8635" t="s">
        <v>20117</v>
      </c>
    </row>
    <row r="8636" spans="8:8">
      <c r="H8636" t="s">
        <v>20118</v>
      </c>
    </row>
    <row r="8637" spans="8:8">
      <c r="H8637" t="s">
        <v>19176</v>
      </c>
    </row>
    <row r="8638" spans="8:8">
      <c r="H8638" t="s">
        <v>20095</v>
      </c>
    </row>
    <row r="8639" spans="8:8">
      <c r="H8639" t="s">
        <v>20096</v>
      </c>
    </row>
    <row r="8640" spans="8:8">
      <c r="H8640" t="s">
        <v>20097</v>
      </c>
    </row>
    <row r="8641" spans="6:8">
      <c r="H8641" t="s">
        <v>20098</v>
      </c>
    </row>
    <row r="8642" spans="6:8">
      <c r="H8642" t="s">
        <v>20099</v>
      </c>
    </row>
    <row r="8643" spans="6:8">
      <c r="H8643" t="s">
        <v>20100</v>
      </c>
    </row>
    <row r="8644" spans="6:8">
      <c r="H8644" t="s">
        <v>20101</v>
      </c>
    </row>
    <row r="8645" spans="6:8">
      <c r="H8645" t="s">
        <v>20102</v>
      </c>
    </row>
    <row r="8646" spans="6:8">
      <c r="H8646" t="s">
        <v>20104</v>
      </c>
    </row>
    <row r="8647" spans="6:8">
      <c r="F8647" t="s">
        <v>11098</v>
      </c>
      <c r="G8647" t="s">
        <v>15488</v>
      </c>
      <c r="H8647" t="s">
        <v>20091</v>
      </c>
    </row>
    <row r="8648" spans="6:8">
      <c r="H8648" t="s">
        <v>19712</v>
      </c>
    </row>
    <row r="8649" spans="6:8">
      <c r="H8649" t="s">
        <v>19709</v>
      </c>
    </row>
    <row r="8650" spans="6:8">
      <c r="H8650" t="s">
        <v>20107</v>
      </c>
    </row>
    <row r="8651" spans="6:8">
      <c r="H8651" t="s">
        <v>20108</v>
      </c>
    </row>
    <row r="8652" spans="6:8">
      <c r="H8652" t="s">
        <v>20095</v>
      </c>
    </row>
    <row r="8653" spans="6:8">
      <c r="H8653" t="s">
        <v>20096</v>
      </c>
    </row>
    <row r="8654" spans="6:8">
      <c r="H8654" t="s">
        <v>20097</v>
      </c>
    </row>
    <row r="8655" spans="6:8">
      <c r="H8655" t="s">
        <v>20098</v>
      </c>
    </row>
    <row r="8656" spans="6:8">
      <c r="F8656" t="s">
        <v>11099</v>
      </c>
      <c r="G8656" t="s">
        <v>15489</v>
      </c>
      <c r="H8656" t="s">
        <v>20091</v>
      </c>
    </row>
    <row r="8657" spans="8:8">
      <c r="H8657" t="s">
        <v>19712</v>
      </c>
    </row>
    <row r="8658" spans="8:8">
      <c r="H8658" t="s">
        <v>19709</v>
      </c>
    </row>
    <row r="8659" spans="8:8">
      <c r="H8659" t="s">
        <v>19706</v>
      </c>
    </row>
    <row r="8660" spans="8:8">
      <c r="H8660" t="s">
        <v>19707</v>
      </c>
    </row>
    <row r="8661" spans="8:8">
      <c r="H8661" t="s">
        <v>19711</v>
      </c>
    </row>
    <row r="8662" spans="8:8">
      <c r="H8662" t="s">
        <v>20107</v>
      </c>
    </row>
    <row r="8663" spans="8:8">
      <c r="H8663" t="s">
        <v>20108</v>
      </c>
    </row>
    <row r="8664" spans="8:8">
      <c r="H8664" t="s">
        <v>19713</v>
      </c>
    </row>
    <row r="8665" spans="8:8">
      <c r="H8665" t="s">
        <v>19714</v>
      </c>
    </row>
    <row r="8666" spans="8:8">
      <c r="H8666" t="s">
        <v>20109</v>
      </c>
    </row>
    <row r="8667" spans="8:8">
      <c r="H8667" t="s">
        <v>20110</v>
      </c>
    </row>
    <row r="8668" spans="8:8">
      <c r="H8668" t="s">
        <v>20092</v>
      </c>
    </row>
    <row r="8669" spans="8:8">
      <c r="H8669" t="s">
        <v>20095</v>
      </c>
    </row>
    <row r="8670" spans="8:8">
      <c r="H8670" t="s">
        <v>20096</v>
      </c>
    </row>
    <row r="8671" spans="8:8">
      <c r="H8671" t="s">
        <v>20097</v>
      </c>
    </row>
    <row r="8672" spans="8:8">
      <c r="H8672" t="s">
        <v>20098</v>
      </c>
    </row>
    <row r="8673" spans="6:8">
      <c r="F8673" t="s">
        <v>11100</v>
      </c>
      <c r="G8673" t="s">
        <v>15490</v>
      </c>
      <c r="H8673" t="s">
        <v>20091</v>
      </c>
    </row>
    <row r="8674" spans="6:8">
      <c r="H8674" t="s">
        <v>19712</v>
      </c>
    </row>
    <row r="8675" spans="6:8">
      <c r="H8675" t="s">
        <v>19709</v>
      </c>
    </row>
    <row r="8676" spans="6:8">
      <c r="H8676" t="s">
        <v>20092</v>
      </c>
    </row>
    <row r="8677" spans="6:8">
      <c r="H8677" t="s">
        <v>20093</v>
      </c>
    </row>
    <row r="8678" spans="6:8">
      <c r="H8678" t="s">
        <v>20095</v>
      </c>
    </row>
    <row r="8679" spans="6:8">
      <c r="H8679" t="s">
        <v>20096</v>
      </c>
    </row>
    <row r="8680" spans="6:8">
      <c r="H8680" t="s">
        <v>20097</v>
      </c>
    </row>
    <row r="8681" spans="6:8">
      <c r="H8681" t="s">
        <v>20098</v>
      </c>
    </row>
    <row r="8682" spans="6:8">
      <c r="H8682" t="s">
        <v>20099</v>
      </c>
    </row>
    <row r="8683" spans="6:8">
      <c r="H8683" t="s">
        <v>20100</v>
      </c>
    </row>
    <row r="8684" spans="6:8">
      <c r="F8684" t="s">
        <v>11101</v>
      </c>
      <c r="G8684" t="s">
        <v>15491</v>
      </c>
      <c r="H8684" t="s">
        <v>20091</v>
      </c>
    </row>
    <row r="8685" spans="6:8">
      <c r="H8685" t="s">
        <v>19712</v>
      </c>
    </row>
    <row r="8686" spans="6:8">
      <c r="H8686" t="s">
        <v>19709</v>
      </c>
    </row>
    <row r="8687" spans="6:8">
      <c r="H8687" t="s">
        <v>19706</v>
      </c>
    </row>
    <row r="8688" spans="6:8">
      <c r="H8688" t="s">
        <v>19707</v>
      </c>
    </row>
    <row r="8689" spans="6:8">
      <c r="H8689" t="s">
        <v>20107</v>
      </c>
    </row>
    <row r="8690" spans="6:8">
      <c r="H8690" t="s">
        <v>20108</v>
      </c>
    </row>
    <row r="8691" spans="6:8">
      <c r="H8691" t="s">
        <v>19713</v>
      </c>
    </row>
    <row r="8692" spans="6:8">
      <c r="H8692" t="s">
        <v>19714</v>
      </c>
    </row>
    <row r="8693" spans="6:8">
      <c r="H8693" t="s">
        <v>20095</v>
      </c>
    </row>
    <row r="8694" spans="6:8">
      <c r="H8694" t="s">
        <v>20096</v>
      </c>
    </row>
    <row r="8695" spans="6:8">
      <c r="H8695" t="s">
        <v>20097</v>
      </c>
    </row>
    <row r="8696" spans="6:8">
      <c r="H8696" t="s">
        <v>20098</v>
      </c>
    </row>
    <row r="8697" spans="6:8">
      <c r="F8697" t="s">
        <v>11102</v>
      </c>
      <c r="G8697" t="s">
        <v>15492</v>
      </c>
      <c r="H8697" t="s">
        <v>20091</v>
      </c>
    </row>
    <row r="8698" spans="6:8">
      <c r="H8698" t="s">
        <v>19712</v>
      </c>
    </row>
    <row r="8699" spans="6:8">
      <c r="H8699" t="s">
        <v>19709</v>
      </c>
    </row>
    <row r="8700" spans="6:8">
      <c r="H8700" t="s">
        <v>19706</v>
      </c>
    </row>
    <row r="8701" spans="6:8">
      <c r="H8701" t="s">
        <v>19707</v>
      </c>
    </row>
    <row r="8702" spans="6:8">
      <c r="H8702" t="s">
        <v>20107</v>
      </c>
    </row>
    <row r="8703" spans="6:8">
      <c r="H8703" t="s">
        <v>20108</v>
      </c>
    </row>
    <row r="8704" spans="6:8">
      <c r="H8704" t="s">
        <v>19713</v>
      </c>
    </row>
    <row r="8705" spans="6:8">
      <c r="H8705" t="s">
        <v>19714</v>
      </c>
    </row>
    <row r="8706" spans="6:8">
      <c r="H8706" t="s">
        <v>20095</v>
      </c>
    </row>
    <row r="8707" spans="6:8">
      <c r="H8707" t="s">
        <v>20096</v>
      </c>
    </row>
    <row r="8708" spans="6:8">
      <c r="H8708" t="s">
        <v>20097</v>
      </c>
    </row>
    <row r="8709" spans="6:8">
      <c r="H8709" t="s">
        <v>20098</v>
      </c>
    </row>
    <row r="8710" spans="6:8">
      <c r="F8710" t="s">
        <v>11103</v>
      </c>
      <c r="G8710" t="s">
        <v>15493</v>
      </c>
      <c r="H8710" t="s">
        <v>20091</v>
      </c>
    </row>
    <row r="8711" spans="6:8">
      <c r="H8711" t="s">
        <v>19712</v>
      </c>
    </row>
    <row r="8712" spans="6:8">
      <c r="H8712" t="s">
        <v>20095</v>
      </c>
    </row>
    <row r="8713" spans="6:8">
      <c r="H8713" t="s">
        <v>20096</v>
      </c>
    </row>
    <row r="8714" spans="6:8">
      <c r="H8714" t="s">
        <v>20097</v>
      </c>
    </row>
    <row r="8715" spans="6:8">
      <c r="H8715" t="s">
        <v>19709</v>
      </c>
    </row>
    <row r="8716" spans="6:8">
      <c r="H8716" t="s">
        <v>19706</v>
      </c>
    </row>
    <row r="8717" spans="6:8">
      <c r="H8717" t="s">
        <v>20098</v>
      </c>
    </row>
    <row r="8718" spans="6:8">
      <c r="H8718" t="s">
        <v>20099</v>
      </c>
    </row>
    <row r="8719" spans="6:8">
      <c r="H8719" t="s">
        <v>20100</v>
      </c>
    </row>
    <row r="8720" spans="6:8">
      <c r="F8720" t="s">
        <v>11104</v>
      </c>
      <c r="G8720" t="s">
        <v>15494</v>
      </c>
      <c r="H8720" t="s">
        <v>20091</v>
      </c>
    </row>
    <row r="8721" spans="6:8">
      <c r="H8721" t="s">
        <v>19712</v>
      </c>
    </row>
    <row r="8722" spans="6:8">
      <c r="H8722" t="s">
        <v>20095</v>
      </c>
    </row>
    <row r="8723" spans="6:8">
      <c r="H8723" t="s">
        <v>20096</v>
      </c>
    </row>
    <row r="8724" spans="6:8">
      <c r="H8724" t="s">
        <v>20097</v>
      </c>
    </row>
    <row r="8725" spans="6:8">
      <c r="F8725" t="s">
        <v>11105</v>
      </c>
      <c r="G8725" t="s">
        <v>15495</v>
      </c>
      <c r="H8725" t="s">
        <v>20091</v>
      </c>
    </row>
    <row r="8726" spans="6:8">
      <c r="H8726" t="s">
        <v>19712</v>
      </c>
    </row>
    <row r="8727" spans="6:8">
      <c r="H8727" t="s">
        <v>20095</v>
      </c>
    </row>
    <row r="8728" spans="6:8">
      <c r="H8728" t="s">
        <v>20096</v>
      </c>
    </row>
    <row r="8729" spans="6:8">
      <c r="H8729" t="s">
        <v>20097</v>
      </c>
    </row>
    <row r="8730" spans="6:8">
      <c r="F8730" t="s">
        <v>11106</v>
      </c>
      <c r="G8730" t="s">
        <v>15496</v>
      </c>
      <c r="H8730" t="s">
        <v>20091</v>
      </c>
    </row>
    <row r="8731" spans="6:8">
      <c r="H8731" t="s">
        <v>19712</v>
      </c>
    </row>
    <row r="8732" spans="6:8">
      <c r="H8732" t="s">
        <v>20095</v>
      </c>
    </row>
    <row r="8733" spans="6:8">
      <c r="H8733" t="s">
        <v>20096</v>
      </c>
    </row>
    <row r="8734" spans="6:8">
      <c r="H8734" t="s">
        <v>20097</v>
      </c>
    </row>
    <row r="8735" spans="6:8">
      <c r="F8735" t="s">
        <v>11107</v>
      </c>
      <c r="G8735" t="s">
        <v>15497</v>
      </c>
      <c r="H8735" t="s">
        <v>20091</v>
      </c>
    </row>
    <row r="8736" spans="6:8">
      <c r="H8736" t="s">
        <v>19712</v>
      </c>
    </row>
    <row r="8737" spans="6:8">
      <c r="H8737" t="s">
        <v>20095</v>
      </c>
    </row>
    <row r="8738" spans="6:8">
      <c r="H8738" t="s">
        <v>20096</v>
      </c>
    </row>
    <row r="8739" spans="6:8">
      <c r="H8739" t="s">
        <v>20097</v>
      </c>
    </row>
    <row r="8740" spans="6:8">
      <c r="F8740" t="s">
        <v>11108</v>
      </c>
      <c r="G8740" t="s">
        <v>15498</v>
      </c>
      <c r="H8740" t="s">
        <v>20091</v>
      </c>
    </row>
    <row r="8741" spans="6:8">
      <c r="H8741" t="s">
        <v>19712</v>
      </c>
    </row>
    <row r="8742" spans="6:8">
      <c r="H8742" t="s">
        <v>19709</v>
      </c>
    </row>
    <row r="8743" spans="6:8">
      <c r="H8743" t="s">
        <v>19706</v>
      </c>
    </row>
    <row r="8744" spans="6:8">
      <c r="H8744" t="s">
        <v>20107</v>
      </c>
    </row>
    <row r="8745" spans="6:8">
      <c r="H8745" t="s">
        <v>20108</v>
      </c>
    </row>
    <row r="8746" spans="6:8">
      <c r="H8746" t="s">
        <v>19713</v>
      </c>
    </row>
    <row r="8747" spans="6:8">
      <c r="H8747" t="s">
        <v>19714</v>
      </c>
    </row>
    <row r="8748" spans="6:8">
      <c r="H8748" t="s">
        <v>20109</v>
      </c>
    </row>
    <row r="8749" spans="6:8">
      <c r="H8749" t="s">
        <v>20110</v>
      </c>
    </row>
    <row r="8750" spans="6:8">
      <c r="H8750" t="s">
        <v>20111</v>
      </c>
    </row>
    <row r="8751" spans="6:8">
      <c r="H8751" t="s">
        <v>20112</v>
      </c>
    </row>
    <row r="8752" spans="6:8">
      <c r="H8752" t="s">
        <v>20113</v>
      </c>
    </row>
    <row r="8753" spans="6:8">
      <c r="H8753" t="s">
        <v>20095</v>
      </c>
    </row>
    <row r="8754" spans="6:8">
      <c r="H8754" t="s">
        <v>20096</v>
      </c>
    </row>
    <row r="8755" spans="6:8">
      <c r="H8755" t="s">
        <v>20097</v>
      </c>
    </row>
    <row r="8756" spans="6:8">
      <c r="H8756" t="s">
        <v>20098</v>
      </c>
    </row>
    <row r="8757" spans="6:8">
      <c r="F8757" t="s">
        <v>11109</v>
      </c>
      <c r="G8757" t="s">
        <v>15499</v>
      </c>
      <c r="H8757" t="s">
        <v>20091</v>
      </c>
    </row>
    <row r="8758" spans="6:8">
      <c r="H8758" t="s">
        <v>19712</v>
      </c>
    </row>
    <row r="8759" spans="6:8">
      <c r="H8759" t="s">
        <v>19709</v>
      </c>
    </row>
    <row r="8760" spans="6:8">
      <c r="H8760" t="s">
        <v>19706</v>
      </c>
    </row>
    <row r="8761" spans="6:8">
      <c r="H8761" t="s">
        <v>19707</v>
      </c>
    </row>
    <row r="8762" spans="6:8">
      <c r="H8762" t="s">
        <v>20107</v>
      </c>
    </row>
    <row r="8763" spans="6:8">
      <c r="H8763" t="s">
        <v>20108</v>
      </c>
    </row>
    <row r="8764" spans="6:8">
      <c r="H8764" t="s">
        <v>19713</v>
      </c>
    </row>
    <row r="8765" spans="6:8">
      <c r="H8765" t="s">
        <v>19714</v>
      </c>
    </row>
    <row r="8766" spans="6:8">
      <c r="H8766" t="s">
        <v>20095</v>
      </c>
    </row>
    <row r="8767" spans="6:8">
      <c r="H8767" t="s">
        <v>20096</v>
      </c>
    </row>
    <row r="8768" spans="6:8">
      <c r="H8768" t="s">
        <v>20097</v>
      </c>
    </row>
    <row r="8769" spans="6:8">
      <c r="H8769" t="s">
        <v>20098</v>
      </c>
    </row>
    <row r="8770" spans="6:8">
      <c r="F8770" t="s">
        <v>11110</v>
      </c>
      <c r="G8770" t="s">
        <v>15500</v>
      </c>
      <c r="H8770" t="s">
        <v>20091</v>
      </c>
    </row>
    <row r="8771" spans="6:8">
      <c r="H8771" t="s">
        <v>19712</v>
      </c>
    </row>
    <row r="8772" spans="6:8">
      <c r="H8772" t="s">
        <v>19709</v>
      </c>
    </row>
    <row r="8773" spans="6:8">
      <c r="H8773" t="s">
        <v>20107</v>
      </c>
    </row>
    <row r="8774" spans="6:8">
      <c r="H8774" t="s">
        <v>20108</v>
      </c>
    </row>
    <row r="8775" spans="6:8">
      <c r="H8775" t="s">
        <v>20095</v>
      </c>
    </row>
    <row r="8776" spans="6:8">
      <c r="H8776" t="s">
        <v>20096</v>
      </c>
    </row>
    <row r="8777" spans="6:8">
      <c r="H8777" t="s">
        <v>20097</v>
      </c>
    </row>
    <row r="8778" spans="6:8">
      <c r="H8778" t="s">
        <v>20098</v>
      </c>
    </row>
    <row r="8779" spans="6:8">
      <c r="F8779" t="s">
        <v>11111</v>
      </c>
      <c r="G8779" t="s">
        <v>15501</v>
      </c>
      <c r="H8779" t="s">
        <v>20091</v>
      </c>
    </row>
    <row r="8780" spans="6:8">
      <c r="H8780" t="s">
        <v>19712</v>
      </c>
    </row>
    <row r="8781" spans="6:8">
      <c r="H8781" t="s">
        <v>20095</v>
      </c>
    </row>
    <row r="8782" spans="6:8">
      <c r="H8782" t="s">
        <v>20096</v>
      </c>
    </row>
    <row r="8783" spans="6:8">
      <c r="H8783" t="s">
        <v>20097</v>
      </c>
    </row>
    <row r="8784" spans="6:8">
      <c r="F8784" t="s">
        <v>11112</v>
      </c>
      <c r="G8784" t="s">
        <v>15502</v>
      </c>
      <c r="H8784" t="s">
        <v>20091</v>
      </c>
    </row>
    <row r="8785" spans="6:8">
      <c r="H8785" t="s">
        <v>19712</v>
      </c>
    </row>
    <row r="8786" spans="6:8">
      <c r="H8786" t="s">
        <v>20095</v>
      </c>
    </row>
    <row r="8787" spans="6:8">
      <c r="H8787" t="s">
        <v>20096</v>
      </c>
    </row>
    <row r="8788" spans="6:8">
      <c r="H8788" t="s">
        <v>20097</v>
      </c>
    </row>
    <row r="8789" spans="6:8">
      <c r="F8789" t="s">
        <v>11113</v>
      </c>
      <c r="G8789" t="s">
        <v>15503</v>
      </c>
      <c r="H8789" t="s">
        <v>20091</v>
      </c>
    </row>
    <row r="8790" spans="6:8">
      <c r="H8790" t="s">
        <v>19712</v>
      </c>
    </row>
    <row r="8791" spans="6:8">
      <c r="H8791" t="s">
        <v>19709</v>
      </c>
    </row>
    <row r="8792" spans="6:8">
      <c r="H8792" t="s">
        <v>20107</v>
      </c>
    </row>
    <row r="8793" spans="6:8">
      <c r="H8793" t="s">
        <v>20108</v>
      </c>
    </row>
    <row r="8794" spans="6:8">
      <c r="H8794" t="s">
        <v>19713</v>
      </c>
    </row>
    <row r="8795" spans="6:8">
      <c r="H8795" t="s">
        <v>20095</v>
      </c>
    </row>
    <row r="8796" spans="6:8">
      <c r="H8796" t="s">
        <v>20096</v>
      </c>
    </row>
    <row r="8797" spans="6:8">
      <c r="H8797" t="s">
        <v>20097</v>
      </c>
    </row>
    <row r="8798" spans="6:8">
      <c r="H8798" t="s">
        <v>20098</v>
      </c>
    </row>
    <row r="8799" spans="6:8">
      <c r="F8799" t="s">
        <v>11114</v>
      </c>
      <c r="G8799" t="s">
        <v>15504</v>
      </c>
      <c r="H8799" t="s">
        <v>20091</v>
      </c>
    </row>
    <row r="8800" spans="6:8">
      <c r="H8800" t="s">
        <v>19712</v>
      </c>
    </row>
    <row r="8801" spans="6:8">
      <c r="H8801" t="s">
        <v>19709</v>
      </c>
    </row>
    <row r="8802" spans="6:8">
      <c r="H8802" t="s">
        <v>20107</v>
      </c>
    </row>
    <row r="8803" spans="6:8">
      <c r="H8803" t="s">
        <v>20108</v>
      </c>
    </row>
    <row r="8804" spans="6:8">
      <c r="H8804" t="s">
        <v>19713</v>
      </c>
    </row>
    <row r="8805" spans="6:8">
      <c r="H8805" t="s">
        <v>20095</v>
      </c>
    </row>
    <row r="8806" spans="6:8">
      <c r="H8806" t="s">
        <v>20096</v>
      </c>
    </row>
    <row r="8807" spans="6:8">
      <c r="H8807" t="s">
        <v>20097</v>
      </c>
    </row>
    <row r="8808" spans="6:8">
      <c r="H8808" t="s">
        <v>20098</v>
      </c>
    </row>
    <row r="8809" spans="6:8">
      <c r="F8809" t="s">
        <v>11115</v>
      </c>
      <c r="G8809" t="s">
        <v>15505</v>
      </c>
      <c r="H8809" t="s">
        <v>20091</v>
      </c>
    </row>
    <row r="8810" spans="6:8">
      <c r="H8810" t="s">
        <v>19712</v>
      </c>
    </row>
    <row r="8811" spans="6:8">
      <c r="H8811" t="s">
        <v>19709</v>
      </c>
    </row>
    <row r="8812" spans="6:8">
      <c r="H8812" t="s">
        <v>19706</v>
      </c>
    </row>
    <row r="8813" spans="6:8">
      <c r="H8813" t="s">
        <v>20107</v>
      </c>
    </row>
    <row r="8814" spans="6:8">
      <c r="H8814" t="s">
        <v>20108</v>
      </c>
    </row>
    <row r="8815" spans="6:8">
      <c r="H8815" t="s">
        <v>19713</v>
      </c>
    </row>
    <row r="8816" spans="6:8">
      <c r="H8816" t="s">
        <v>20095</v>
      </c>
    </row>
    <row r="8817" spans="6:8">
      <c r="H8817" t="s">
        <v>20096</v>
      </c>
    </row>
    <row r="8818" spans="6:8">
      <c r="H8818" t="s">
        <v>20097</v>
      </c>
    </row>
    <row r="8819" spans="6:8">
      <c r="H8819" t="s">
        <v>20098</v>
      </c>
    </row>
    <row r="8820" spans="6:8">
      <c r="F8820" t="s">
        <v>11116</v>
      </c>
      <c r="G8820" t="s">
        <v>15506</v>
      </c>
      <c r="H8820" t="s">
        <v>20091</v>
      </c>
    </row>
    <row r="8821" spans="6:8">
      <c r="H8821" t="s">
        <v>19712</v>
      </c>
    </row>
    <row r="8822" spans="6:8">
      <c r="H8822" t="s">
        <v>19709</v>
      </c>
    </row>
    <row r="8823" spans="6:8">
      <c r="H8823" t="s">
        <v>20107</v>
      </c>
    </row>
    <row r="8824" spans="6:8">
      <c r="H8824" t="s">
        <v>20108</v>
      </c>
    </row>
    <row r="8825" spans="6:8">
      <c r="H8825" t="s">
        <v>19713</v>
      </c>
    </row>
    <row r="8826" spans="6:8">
      <c r="H8826" t="s">
        <v>19714</v>
      </c>
    </row>
    <row r="8827" spans="6:8">
      <c r="H8827" t="s">
        <v>20109</v>
      </c>
    </row>
    <row r="8828" spans="6:8">
      <c r="H8828" t="s">
        <v>20110</v>
      </c>
    </row>
    <row r="8829" spans="6:8">
      <c r="H8829" t="s">
        <v>20111</v>
      </c>
    </row>
    <row r="8830" spans="6:8">
      <c r="H8830" t="s">
        <v>20112</v>
      </c>
    </row>
    <row r="8831" spans="6:8">
      <c r="H8831" t="s">
        <v>20095</v>
      </c>
    </row>
    <row r="8832" spans="6:8">
      <c r="H8832" t="s">
        <v>20096</v>
      </c>
    </row>
    <row r="8833" spans="6:8">
      <c r="H8833" t="s">
        <v>20097</v>
      </c>
    </row>
    <row r="8834" spans="6:8">
      <c r="H8834" t="s">
        <v>20098</v>
      </c>
    </row>
    <row r="8835" spans="6:8">
      <c r="H8835" t="s">
        <v>20099</v>
      </c>
    </row>
    <row r="8836" spans="6:8">
      <c r="F8836" t="s">
        <v>11117</v>
      </c>
      <c r="G8836" t="s">
        <v>15507</v>
      </c>
      <c r="H8836" t="s">
        <v>20091</v>
      </c>
    </row>
    <row r="8837" spans="6:8">
      <c r="H8837" t="s">
        <v>19712</v>
      </c>
    </row>
    <row r="8838" spans="6:8">
      <c r="H8838" t="s">
        <v>20092</v>
      </c>
    </row>
    <row r="8839" spans="6:8">
      <c r="H8839" t="s">
        <v>20093</v>
      </c>
    </row>
    <row r="8840" spans="6:8">
      <c r="H8840" t="s">
        <v>20094</v>
      </c>
    </row>
    <row r="8841" spans="6:8">
      <c r="H8841" t="s">
        <v>20095</v>
      </c>
    </row>
    <row r="8842" spans="6:8">
      <c r="H8842" t="s">
        <v>20096</v>
      </c>
    </row>
    <row r="8843" spans="6:8">
      <c r="H8843" t="s">
        <v>20097</v>
      </c>
    </row>
    <row r="8844" spans="6:8">
      <c r="H8844" t="s">
        <v>20098</v>
      </c>
    </row>
    <row r="8845" spans="6:8">
      <c r="H8845" t="s">
        <v>20099</v>
      </c>
    </row>
    <row r="8846" spans="6:8">
      <c r="H8846" t="s">
        <v>20100</v>
      </c>
    </row>
    <row r="8847" spans="6:8">
      <c r="H8847" t="s">
        <v>20101</v>
      </c>
    </row>
    <row r="8848" spans="6:8">
      <c r="H8848" t="s">
        <v>20102</v>
      </c>
    </row>
    <row r="8849" spans="6:8">
      <c r="H8849" t="s">
        <v>20104</v>
      </c>
    </row>
    <row r="8850" spans="6:8">
      <c r="F8850" t="s">
        <v>11118</v>
      </c>
      <c r="G8850" t="s">
        <v>15508</v>
      </c>
      <c r="H8850" t="s">
        <v>20091</v>
      </c>
    </row>
    <row r="8851" spans="6:8">
      <c r="H8851" t="s">
        <v>19712</v>
      </c>
    </row>
    <row r="8852" spans="6:8">
      <c r="H8852" t="s">
        <v>19709</v>
      </c>
    </row>
    <row r="8853" spans="6:8">
      <c r="H8853" t="s">
        <v>20107</v>
      </c>
    </row>
    <row r="8854" spans="6:8">
      <c r="H8854" t="s">
        <v>20108</v>
      </c>
    </row>
    <row r="8855" spans="6:8">
      <c r="H8855" t="s">
        <v>20095</v>
      </c>
    </row>
    <row r="8856" spans="6:8">
      <c r="H8856" t="s">
        <v>20096</v>
      </c>
    </row>
    <row r="8857" spans="6:8">
      <c r="H8857" t="s">
        <v>20097</v>
      </c>
    </row>
    <row r="8858" spans="6:8">
      <c r="H8858" t="s">
        <v>20098</v>
      </c>
    </row>
    <row r="8859" spans="6:8">
      <c r="F8859" t="s">
        <v>11119</v>
      </c>
      <c r="G8859" t="s">
        <v>15509</v>
      </c>
      <c r="H8859" t="s">
        <v>20091</v>
      </c>
    </row>
    <row r="8860" spans="6:8">
      <c r="H8860" t="s">
        <v>19712</v>
      </c>
    </row>
    <row r="8861" spans="6:8">
      <c r="H8861" t="s">
        <v>20092</v>
      </c>
    </row>
    <row r="8862" spans="6:8">
      <c r="H8862" t="s">
        <v>20093</v>
      </c>
    </row>
    <row r="8863" spans="6:8">
      <c r="H8863" t="s">
        <v>20094</v>
      </c>
    </row>
    <row r="8864" spans="6:8">
      <c r="H8864" t="s">
        <v>20095</v>
      </c>
    </row>
    <row r="8865" spans="6:8">
      <c r="H8865" t="s">
        <v>20096</v>
      </c>
    </row>
    <row r="8866" spans="6:8">
      <c r="H8866" t="s">
        <v>20097</v>
      </c>
    </row>
    <row r="8867" spans="6:8">
      <c r="H8867" t="s">
        <v>20098</v>
      </c>
    </row>
    <row r="8868" spans="6:8">
      <c r="H8868" t="s">
        <v>20099</v>
      </c>
    </row>
    <row r="8869" spans="6:8">
      <c r="H8869" t="s">
        <v>20100</v>
      </c>
    </row>
    <row r="8870" spans="6:8">
      <c r="H8870" t="s">
        <v>20101</v>
      </c>
    </row>
    <row r="8871" spans="6:8">
      <c r="H8871" t="s">
        <v>20102</v>
      </c>
    </row>
    <row r="8872" spans="6:8">
      <c r="F8872" t="s">
        <v>11120</v>
      </c>
      <c r="G8872" t="s">
        <v>15510</v>
      </c>
      <c r="H8872" t="s">
        <v>20091</v>
      </c>
    </row>
    <row r="8873" spans="6:8">
      <c r="H8873" t="s">
        <v>19712</v>
      </c>
    </row>
    <row r="8874" spans="6:8">
      <c r="H8874" t="s">
        <v>19709</v>
      </c>
    </row>
    <row r="8875" spans="6:8">
      <c r="H8875" t="s">
        <v>20107</v>
      </c>
    </row>
    <row r="8876" spans="6:8">
      <c r="H8876" t="s">
        <v>20108</v>
      </c>
    </row>
    <row r="8877" spans="6:8">
      <c r="H8877" t="s">
        <v>19713</v>
      </c>
    </row>
    <row r="8878" spans="6:8">
      <c r="H8878" t="s">
        <v>19714</v>
      </c>
    </row>
    <row r="8879" spans="6:8">
      <c r="H8879" t="s">
        <v>20109</v>
      </c>
    </row>
    <row r="8880" spans="6:8">
      <c r="H8880" t="s">
        <v>20110</v>
      </c>
    </row>
    <row r="8881" spans="6:8">
      <c r="H8881" t="s">
        <v>20095</v>
      </c>
    </row>
    <row r="8882" spans="6:8">
      <c r="H8882" t="s">
        <v>20096</v>
      </c>
    </row>
    <row r="8883" spans="6:8">
      <c r="H8883" t="s">
        <v>20097</v>
      </c>
    </row>
    <row r="8884" spans="6:8">
      <c r="H8884" t="s">
        <v>20098</v>
      </c>
    </row>
    <row r="8885" spans="6:8">
      <c r="H8885" t="s">
        <v>20099</v>
      </c>
    </row>
    <row r="8886" spans="6:8">
      <c r="F8886" t="s">
        <v>11121</v>
      </c>
      <c r="G8886" t="s">
        <v>15511</v>
      </c>
      <c r="H8886" t="s">
        <v>20091</v>
      </c>
    </row>
    <row r="8887" spans="6:8">
      <c r="H8887" t="s">
        <v>20095</v>
      </c>
    </row>
    <row r="8888" spans="6:8">
      <c r="F8888" t="s">
        <v>11122</v>
      </c>
      <c r="G8888" t="s">
        <v>15512</v>
      </c>
      <c r="H8888" t="s">
        <v>20091</v>
      </c>
    </row>
    <row r="8889" spans="6:8">
      <c r="H8889" t="s">
        <v>20095</v>
      </c>
    </row>
    <row r="8890" spans="6:8">
      <c r="F8890" t="s">
        <v>11123</v>
      </c>
      <c r="G8890" t="s">
        <v>15513</v>
      </c>
      <c r="H8890" t="s">
        <v>20091</v>
      </c>
    </row>
    <row r="8891" spans="6:8">
      <c r="H8891" t="s">
        <v>19712</v>
      </c>
    </row>
    <row r="8892" spans="6:8">
      <c r="H8892" t="s">
        <v>19709</v>
      </c>
    </row>
    <row r="8893" spans="6:8">
      <c r="H8893" t="s">
        <v>20095</v>
      </c>
    </row>
    <row r="8894" spans="6:8">
      <c r="H8894" t="s">
        <v>20096</v>
      </c>
    </row>
    <row r="8895" spans="6:8">
      <c r="F8895" t="s">
        <v>11124</v>
      </c>
      <c r="G8895" t="s">
        <v>15514</v>
      </c>
      <c r="H8895" t="s">
        <v>20091</v>
      </c>
    </row>
    <row r="8896" spans="6:8">
      <c r="H8896" t="s">
        <v>19712</v>
      </c>
    </row>
    <row r="8897" spans="6:8">
      <c r="H8897" t="s">
        <v>20095</v>
      </c>
    </row>
    <row r="8898" spans="6:8">
      <c r="H8898" t="s">
        <v>20096</v>
      </c>
    </row>
    <row r="8899" spans="6:8">
      <c r="F8899" t="s">
        <v>11125</v>
      </c>
      <c r="G8899" t="s">
        <v>15515</v>
      </c>
      <c r="H8899" t="s">
        <v>20091</v>
      </c>
    </row>
    <row r="8900" spans="6:8">
      <c r="H8900" t="s">
        <v>19712</v>
      </c>
    </row>
    <row r="8901" spans="6:8">
      <c r="H8901" t="s">
        <v>20095</v>
      </c>
    </row>
    <row r="8902" spans="6:8">
      <c r="H8902" t="s">
        <v>20096</v>
      </c>
    </row>
    <row r="8903" spans="6:8">
      <c r="F8903" t="s">
        <v>11126</v>
      </c>
      <c r="G8903" t="s">
        <v>15516</v>
      </c>
      <c r="H8903" t="s">
        <v>20091</v>
      </c>
    </row>
    <row r="8904" spans="6:8">
      <c r="H8904" t="s">
        <v>19712</v>
      </c>
    </row>
    <row r="8905" spans="6:8">
      <c r="H8905" t="s">
        <v>19709</v>
      </c>
    </row>
    <row r="8906" spans="6:8">
      <c r="H8906" t="s">
        <v>19706</v>
      </c>
    </row>
    <row r="8907" spans="6:8">
      <c r="H8907" t="s">
        <v>19707</v>
      </c>
    </row>
    <row r="8908" spans="6:8">
      <c r="H8908" t="s">
        <v>19711</v>
      </c>
    </row>
    <row r="8909" spans="6:8">
      <c r="H8909" t="s">
        <v>20107</v>
      </c>
    </row>
    <row r="8910" spans="6:8">
      <c r="H8910" t="s">
        <v>20108</v>
      </c>
    </row>
    <row r="8911" spans="6:8">
      <c r="H8911" t="s">
        <v>19713</v>
      </c>
    </row>
    <row r="8912" spans="6:8">
      <c r="H8912" t="s">
        <v>19714</v>
      </c>
    </row>
    <row r="8913" spans="6:8">
      <c r="H8913" t="s">
        <v>20109</v>
      </c>
    </row>
    <row r="8914" spans="6:8">
      <c r="H8914" t="s">
        <v>20110</v>
      </c>
    </row>
    <row r="8915" spans="6:8">
      <c r="H8915" t="s">
        <v>20092</v>
      </c>
    </row>
    <row r="8916" spans="6:8">
      <c r="H8916" t="s">
        <v>20095</v>
      </c>
    </row>
    <row r="8917" spans="6:8">
      <c r="H8917" t="s">
        <v>20096</v>
      </c>
    </row>
    <row r="8918" spans="6:8">
      <c r="H8918" t="s">
        <v>20097</v>
      </c>
    </row>
    <row r="8919" spans="6:8">
      <c r="H8919" t="s">
        <v>20098</v>
      </c>
    </row>
    <row r="8920" spans="6:8">
      <c r="H8920" t="s">
        <v>20099</v>
      </c>
    </row>
    <row r="8921" spans="6:8">
      <c r="H8921" t="s">
        <v>20100</v>
      </c>
    </row>
    <row r="8922" spans="6:8">
      <c r="F8922" t="s">
        <v>11127</v>
      </c>
      <c r="G8922" t="s">
        <v>15517</v>
      </c>
      <c r="H8922" t="s">
        <v>20091</v>
      </c>
    </row>
    <row r="8923" spans="6:8">
      <c r="H8923" t="s">
        <v>19712</v>
      </c>
    </row>
    <row r="8924" spans="6:8">
      <c r="H8924" t="s">
        <v>20095</v>
      </c>
    </row>
    <row r="8925" spans="6:8">
      <c r="H8925" t="s">
        <v>20096</v>
      </c>
    </row>
    <row r="8926" spans="6:8">
      <c r="H8926" t="s">
        <v>20097</v>
      </c>
    </row>
    <row r="8927" spans="6:8">
      <c r="H8927" t="s">
        <v>20098</v>
      </c>
    </row>
    <row r="8928" spans="6:8">
      <c r="H8928" t="s">
        <v>19709</v>
      </c>
    </row>
    <row r="8929" spans="6:8">
      <c r="H8929" t="s">
        <v>19706</v>
      </c>
    </row>
    <row r="8930" spans="6:8">
      <c r="H8930" t="s">
        <v>20099</v>
      </c>
    </row>
    <row r="8931" spans="6:8">
      <c r="H8931" t="s">
        <v>20100</v>
      </c>
    </row>
    <row r="8932" spans="6:8">
      <c r="H8932" t="s">
        <v>20101</v>
      </c>
    </row>
    <row r="8933" spans="6:8">
      <c r="H8933" t="s">
        <v>20102</v>
      </c>
    </row>
    <row r="8934" spans="6:8">
      <c r="F8934" t="s">
        <v>11128</v>
      </c>
      <c r="G8934" t="s">
        <v>15518</v>
      </c>
      <c r="H8934" t="s">
        <v>20091</v>
      </c>
    </row>
    <row r="8935" spans="6:8">
      <c r="H8935" t="s">
        <v>19712</v>
      </c>
    </row>
    <row r="8936" spans="6:8">
      <c r="H8936" t="s">
        <v>20095</v>
      </c>
    </row>
    <row r="8937" spans="6:8">
      <c r="H8937" t="s">
        <v>20096</v>
      </c>
    </row>
    <row r="8938" spans="6:8">
      <c r="H8938" t="s">
        <v>20097</v>
      </c>
    </row>
    <row r="8939" spans="6:8">
      <c r="H8939" t="s">
        <v>20098</v>
      </c>
    </row>
    <row r="8940" spans="6:8">
      <c r="F8940" t="s">
        <v>11129</v>
      </c>
      <c r="G8940" t="s">
        <v>15519</v>
      </c>
      <c r="H8940" t="s">
        <v>20091</v>
      </c>
    </row>
    <row r="8941" spans="6:8">
      <c r="H8941" t="s">
        <v>19712</v>
      </c>
    </row>
    <row r="8942" spans="6:8">
      <c r="H8942" t="s">
        <v>20095</v>
      </c>
    </row>
    <row r="8943" spans="6:8">
      <c r="H8943" t="s">
        <v>20096</v>
      </c>
    </row>
    <row r="8944" spans="6:8">
      <c r="H8944" t="s">
        <v>20097</v>
      </c>
    </row>
    <row r="8945" spans="6:8">
      <c r="H8945" t="s">
        <v>20098</v>
      </c>
    </row>
    <row r="8946" spans="6:8">
      <c r="F8946" t="s">
        <v>11130</v>
      </c>
      <c r="G8946" t="s">
        <v>15520</v>
      </c>
      <c r="H8946" t="s">
        <v>20091</v>
      </c>
    </row>
    <row r="8947" spans="6:8">
      <c r="H8947" t="s">
        <v>19712</v>
      </c>
    </row>
    <row r="8948" spans="6:8">
      <c r="H8948" t="s">
        <v>20095</v>
      </c>
    </row>
    <row r="8949" spans="6:8">
      <c r="H8949" t="s">
        <v>20096</v>
      </c>
    </row>
    <row r="8950" spans="6:8">
      <c r="H8950" t="s">
        <v>20097</v>
      </c>
    </row>
    <row r="8951" spans="6:8">
      <c r="H8951" t="s">
        <v>20098</v>
      </c>
    </row>
    <row r="8952" spans="6:8">
      <c r="F8952" t="s">
        <v>11131</v>
      </c>
      <c r="G8952" t="s">
        <v>15521</v>
      </c>
      <c r="H8952" t="s">
        <v>20091</v>
      </c>
    </row>
    <row r="8953" spans="6:8">
      <c r="H8953" t="s">
        <v>19712</v>
      </c>
    </row>
    <row r="8954" spans="6:8">
      <c r="H8954" t="s">
        <v>20095</v>
      </c>
    </row>
    <row r="8955" spans="6:8">
      <c r="H8955" t="s">
        <v>20096</v>
      </c>
    </row>
    <row r="8956" spans="6:8">
      <c r="H8956" t="s">
        <v>20097</v>
      </c>
    </row>
    <row r="8957" spans="6:8">
      <c r="H8957" t="s">
        <v>20098</v>
      </c>
    </row>
    <row r="8958" spans="6:8">
      <c r="F8958" t="s">
        <v>11132</v>
      </c>
      <c r="G8958" t="s">
        <v>15522</v>
      </c>
      <c r="H8958" t="s">
        <v>20091</v>
      </c>
    </row>
    <row r="8959" spans="6:8">
      <c r="H8959" t="s">
        <v>19712</v>
      </c>
    </row>
    <row r="8960" spans="6:8">
      <c r="H8960" t="s">
        <v>19709</v>
      </c>
    </row>
    <row r="8961" spans="6:8">
      <c r="H8961" t="s">
        <v>20107</v>
      </c>
    </row>
    <row r="8962" spans="6:8">
      <c r="H8962" t="s">
        <v>20108</v>
      </c>
    </row>
    <row r="8963" spans="6:8">
      <c r="H8963" t="s">
        <v>19713</v>
      </c>
    </row>
    <row r="8964" spans="6:8">
      <c r="H8964" t="s">
        <v>19714</v>
      </c>
    </row>
    <row r="8965" spans="6:8">
      <c r="H8965" t="s">
        <v>20109</v>
      </c>
    </row>
    <row r="8966" spans="6:8">
      <c r="H8966" t="s">
        <v>20110</v>
      </c>
    </row>
    <row r="8967" spans="6:8">
      <c r="H8967" t="s">
        <v>20111</v>
      </c>
    </row>
    <row r="8968" spans="6:8">
      <c r="H8968" t="s">
        <v>20095</v>
      </c>
    </row>
    <row r="8969" spans="6:8">
      <c r="H8969" t="s">
        <v>20096</v>
      </c>
    </row>
    <row r="8970" spans="6:8">
      <c r="H8970" t="s">
        <v>20097</v>
      </c>
    </row>
    <row r="8971" spans="6:8">
      <c r="H8971" t="s">
        <v>20098</v>
      </c>
    </row>
    <row r="8972" spans="6:8">
      <c r="H8972" t="s">
        <v>20099</v>
      </c>
    </row>
    <row r="8973" spans="6:8">
      <c r="H8973" t="s">
        <v>20100</v>
      </c>
    </row>
    <row r="8974" spans="6:8">
      <c r="F8974" t="s">
        <v>11133</v>
      </c>
      <c r="G8974" t="s">
        <v>15523</v>
      </c>
      <c r="H8974" t="s">
        <v>20091</v>
      </c>
    </row>
    <row r="8975" spans="6:8">
      <c r="H8975" t="s">
        <v>19712</v>
      </c>
    </row>
    <row r="8976" spans="6:8">
      <c r="H8976" t="s">
        <v>19709</v>
      </c>
    </row>
    <row r="8977" spans="6:8">
      <c r="H8977" t="s">
        <v>19706</v>
      </c>
    </row>
    <row r="8978" spans="6:8">
      <c r="H8978" t="s">
        <v>20107</v>
      </c>
    </row>
    <row r="8979" spans="6:8">
      <c r="H8979" t="s">
        <v>20108</v>
      </c>
    </row>
    <row r="8980" spans="6:8">
      <c r="H8980" t="s">
        <v>19713</v>
      </c>
    </row>
    <row r="8981" spans="6:8">
      <c r="H8981" t="s">
        <v>20095</v>
      </c>
    </row>
    <row r="8982" spans="6:8">
      <c r="H8982" t="s">
        <v>20096</v>
      </c>
    </row>
    <row r="8983" spans="6:8">
      <c r="H8983" t="s">
        <v>20097</v>
      </c>
    </row>
    <row r="8984" spans="6:8">
      <c r="H8984" t="s">
        <v>20098</v>
      </c>
    </row>
    <row r="8985" spans="6:8">
      <c r="H8985" t="s">
        <v>20099</v>
      </c>
    </row>
    <row r="8986" spans="6:8">
      <c r="F8986" t="s">
        <v>11134</v>
      </c>
      <c r="G8986" t="s">
        <v>15524</v>
      </c>
      <c r="H8986" t="s">
        <v>20091</v>
      </c>
    </row>
    <row r="8987" spans="6:8">
      <c r="H8987" t="s">
        <v>20107</v>
      </c>
    </row>
    <row r="8988" spans="6:8">
      <c r="H8988" t="s">
        <v>20108</v>
      </c>
    </row>
    <row r="8989" spans="6:8">
      <c r="H8989" t="s">
        <v>20095</v>
      </c>
    </row>
    <row r="8990" spans="6:8">
      <c r="H8990" t="s">
        <v>20096</v>
      </c>
    </row>
    <row r="8991" spans="6:8">
      <c r="H8991" t="s">
        <v>20097</v>
      </c>
    </row>
    <row r="8992" spans="6:8">
      <c r="H8992" t="s">
        <v>20098</v>
      </c>
    </row>
    <row r="8993" spans="6:8">
      <c r="H8993" t="s">
        <v>20099</v>
      </c>
    </row>
    <row r="8994" spans="6:8">
      <c r="H8994" t="s">
        <v>20100</v>
      </c>
    </row>
    <row r="8995" spans="6:8">
      <c r="H8995" t="s">
        <v>20101</v>
      </c>
    </row>
    <row r="8996" spans="6:8">
      <c r="H8996" t="s">
        <v>20102</v>
      </c>
    </row>
    <row r="8997" spans="6:8">
      <c r="H8997" t="s">
        <v>20104</v>
      </c>
    </row>
    <row r="8998" spans="6:8">
      <c r="F8998" t="s">
        <v>11135</v>
      </c>
      <c r="G8998" t="s">
        <v>15525</v>
      </c>
      <c r="H8998" t="s">
        <v>20091</v>
      </c>
    </row>
    <row r="8999" spans="6:8">
      <c r="H8999" t="s">
        <v>19712</v>
      </c>
    </row>
    <row r="9000" spans="6:8">
      <c r="H9000" t="s">
        <v>19709</v>
      </c>
    </row>
    <row r="9001" spans="6:8">
      <c r="H9001" t="s">
        <v>20107</v>
      </c>
    </row>
    <row r="9002" spans="6:8">
      <c r="H9002" t="s">
        <v>20108</v>
      </c>
    </row>
    <row r="9003" spans="6:8">
      <c r="H9003" t="s">
        <v>20095</v>
      </c>
    </row>
    <row r="9004" spans="6:8">
      <c r="H9004" t="s">
        <v>20096</v>
      </c>
    </row>
    <row r="9005" spans="6:8">
      <c r="H9005" t="s">
        <v>20097</v>
      </c>
    </row>
    <row r="9006" spans="6:8">
      <c r="H9006" t="s">
        <v>20098</v>
      </c>
    </row>
    <row r="9007" spans="6:8">
      <c r="H9007" t="s">
        <v>20099</v>
      </c>
    </row>
    <row r="9008" spans="6:8">
      <c r="F9008" t="s">
        <v>11136</v>
      </c>
      <c r="G9008" t="s">
        <v>15526</v>
      </c>
      <c r="H9008" t="s">
        <v>20091</v>
      </c>
    </row>
    <row r="9009" spans="8:8">
      <c r="H9009" t="s">
        <v>19712</v>
      </c>
    </row>
    <row r="9010" spans="8:8">
      <c r="H9010" t="s">
        <v>19709</v>
      </c>
    </row>
    <row r="9011" spans="8:8">
      <c r="H9011" t="s">
        <v>19706</v>
      </c>
    </row>
    <row r="9012" spans="8:8">
      <c r="H9012" t="s">
        <v>19707</v>
      </c>
    </row>
    <row r="9013" spans="8:8">
      <c r="H9013" t="s">
        <v>19711</v>
      </c>
    </row>
    <row r="9014" spans="8:8">
      <c r="H9014" t="s">
        <v>20107</v>
      </c>
    </row>
    <row r="9015" spans="8:8">
      <c r="H9015" t="s">
        <v>20108</v>
      </c>
    </row>
    <row r="9016" spans="8:8">
      <c r="H9016" t="s">
        <v>19713</v>
      </c>
    </row>
    <row r="9017" spans="8:8">
      <c r="H9017" t="s">
        <v>19714</v>
      </c>
    </row>
    <row r="9018" spans="8:8">
      <c r="H9018" t="s">
        <v>20109</v>
      </c>
    </row>
    <row r="9019" spans="8:8">
      <c r="H9019" t="s">
        <v>20110</v>
      </c>
    </row>
    <row r="9020" spans="8:8">
      <c r="H9020" t="s">
        <v>20092</v>
      </c>
    </row>
    <row r="9021" spans="8:8">
      <c r="H9021" t="s">
        <v>20095</v>
      </c>
    </row>
    <row r="9022" spans="8:8">
      <c r="H9022" t="s">
        <v>20096</v>
      </c>
    </row>
    <row r="9023" spans="8:8">
      <c r="H9023" t="s">
        <v>20097</v>
      </c>
    </row>
    <row r="9024" spans="8:8">
      <c r="H9024" t="s">
        <v>20098</v>
      </c>
    </row>
    <row r="9025" spans="6:8">
      <c r="H9025" t="s">
        <v>20099</v>
      </c>
    </row>
    <row r="9026" spans="6:8">
      <c r="F9026" t="s">
        <v>11137</v>
      </c>
      <c r="G9026" t="s">
        <v>15527</v>
      </c>
      <c r="H9026" t="s">
        <v>20091</v>
      </c>
    </row>
    <row r="9027" spans="6:8">
      <c r="H9027" t="s">
        <v>19712</v>
      </c>
    </row>
    <row r="9028" spans="6:8">
      <c r="H9028" t="s">
        <v>19709</v>
      </c>
    </row>
    <row r="9029" spans="6:8">
      <c r="H9029" t="s">
        <v>20092</v>
      </c>
    </row>
    <row r="9030" spans="6:8">
      <c r="H9030" t="s">
        <v>20095</v>
      </c>
    </row>
    <row r="9031" spans="6:8">
      <c r="H9031" t="s">
        <v>20096</v>
      </c>
    </row>
    <row r="9032" spans="6:8">
      <c r="H9032" t="s">
        <v>20097</v>
      </c>
    </row>
    <row r="9033" spans="6:8">
      <c r="H9033" t="s">
        <v>20098</v>
      </c>
    </row>
    <row r="9034" spans="6:8">
      <c r="H9034" t="s">
        <v>20099</v>
      </c>
    </row>
    <row r="9035" spans="6:8">
      <c r="H9035" t="s">
        <v>20100</v>
      </c>
    </row>
    <row r="9036" spans="6:8">
      <c r="F9036" t="s">
        <v>11138</v>
      </c>
      <c r="G9036" t="s">
        <v>15528</v>
      </c>
      <c r="H9036" t="s">
        <v>20091</v>
      </c>
    </row>
    <row r="9037" spans="6:8">
      <c r="H9037" t="s">
        <v>19712</v>
      </c>
    </row>
    <row r="9038" spans="6:8">
      <c r="H9038" t="s">
        <v>19709</v>
      </c>
    </row>
    <row r="9039" spans="6:8">
      <c r="H9039" t="s">
        <v>19706</v>
      </c>
    </row>
    <row r="9040" spans="6:8">
      <c r="H9040" t="s">
        <v>19707</v>
      </c>
    </row>
    <row r="9041" spans="6:8">
      <c r="H9041" t="s">
        <v>20107</v>
      </c>
    </row>
    <row r="9042" spans="6:8">
      <c r="H9042" t="s">
        <v>20108</v>
      </c>
    </row>
    <row r="9043" spans="6:8">
      <c r="H9043" t="s">
        <v>19713</v>
      </c>
    </row>
    <row r="9044" spans="6:8">
      <c r="H9044" t="s">
        <v>19714</v>
      </c>
    </row>
    <row r="9045" spans="6:8">
      <c r="H9045" t="s">
        <v>20095</v>
      </c>
    </row>
    <row r="9046" spans="6:8">
      <c r="H9046" t="s">
        <v>20096</v>
      </c>
    </row>
    <row r="9047" spans="6:8">
      <c r="H9047" t="s">
        <v>20097</v>
      </c>
    </row>
    <row r="9048" spans="6:8">
      <c r="H9048" t="s">
        <v>20098</v>
      </c>
    </row>
    <row r="9049" spans="6:8">
      <c r="H9049" t="s">
        <v>20099</v>
      </c>
    </row>
    <row r="9050" spans="6:8">
      <c r="F9050" t="s">
        <v>11139</v>
      </c>
      <c r="G9050" t="s">
        <v>15529</v>
      </c>
      <c r="H9050" t="s">
        <v>20091</v>
      </c>
    </row>
    <row r="9051" spans="6:8">
      <c r="H9051" t="s">
        <v>19712</v>
      </c>
    </row>
    <row r="9052" spans="6:8">
      <c r="H9052" t="s">
        <v>19709</v>
      </c>
    </row>
    <row r="9053" spans="6:8">
      <c r="H9053" t="s">
        <v>19706</v>
      </c>
    </row>
    <row r="9054" spans="6:8">
      <c r="H9054" t="s">
        <v>19707</v>
      </c>
    </row>
    <row r="9055" spans="6:8">
      <c r="H9055" t="s">
        <v>20107</v>
      </c>
    </row>
    <row r="9056" spans="6:8">
      <c r="H9056" t="s">
        <v>20108</v>
      </c>
    </row>
    <row r="9057" spans="6:8">
      <c r="H9057" t="s">
        <v>19713</v>
      </c>
    </row>
    <row r="9058" spans="6:8">
      <c r="H9058" t="s">
        <v>19714</v>
      </c>
    </row>
    <row r="9059" spans="6:8">
      <c r="H9059" t="s">
        <v>20095</v>
      </c>
    </row>
    <row r="9060" spans="6:8">
      <c r="H9060" t="s">
        <v>20096</v>
      </c>
    </row>
    <row r="9061" spans="6:8">
      <c r="H9061" t="s">
        <v>20097</v>
      </c>
    </row>
    <row r="9062" spans="6:8">
      <c r="H9062" t="s">
        <v>20098</v>
      </c>
    </row>
    <row r="9063" spans="6:8">
      <c r="H9063" t="s">
        <v>20099</v>
      </c>
    </row>
    <row r="9064" spans="6:8">
      <c r="F9064" t="s">
        <v>11140</v>
      </c>
      <c r="G9064" t="s">
        <v>15530</v>
      </c>
      <c r="H9064" t="s">
        <v>20091</v>
      </c>
    </row>
    <row r="9065" spans="6:8">
      <c r="H9065" t="s">
        <v>19712</v>
      </c>
    </row>
    <row r="9066" spans="6:8">
      <c r="H9066" t="s">
        <v>20095</v>
      </c>
    </row>
    <row r="9067" spans="6:8">
      <c r="H9067" t="s">
        <v>20096</v>
      </c>
    </row>
    <row r="9068" spans="6:8">
      <c r="H9068" t="s">
        <v>20097</v>
      </c>
    </row>
    <row r="9069" spans="6:8">
      <c r="H9069" t="s">
        <v>20098</v>
      </c>
    </row>
    <row r="9070" spans="6:8">
      <c r="H9070" t="s">
        <v>19709</v>
      </c>
    </row>
    <row r="9071" spans="6:8">
      <c r="H9071" t="s">
        <v>19706</v>
      </c>
    </row>
    <row r="9072" spans="6:8">
      <c r="H9072" t="s">
        <v>20099</v>
      </c>
    </row>
    <row r="9073" spans="6:8">
      <c r="H9073" t="s">
        <v>20100</v>
      </c>
    </row>
    <row r="9074" spans="6:8">
      <c r="H9074" t="s">
        <v>20101</v>
      </c>
    </row>
    <row r="9075" spans="6:8">
      <c r="H9075" t="s">
        <v>20102</v>
      </c>
    </row>
    <row r="9076" spans="6:8">
      <c r="F9076" t="s">
        <v>11141</v>
      </c>
      <c r="G9076" t="s">
        <v>15531</v>
      </c>
      <c r="H9076" t="s">
        <v>20091</v>
      </c>
    </row>
    <row r="9077" spans="6:8">
      <c r="H9077" t="s">
        <v>19712</v>
      </c>
    </row>
    <row r="9078" spans="6:8">
      <c r="H9078" t="s">
        <v>20095</v>
      </c>
    </row>
    <row r="9079" spans="6:8">
      <c r="H9079" t="s">
        <v>20096</v>
      </c>
    </row>
    <row r="9080" spans="6:8">
      <c r="H9080" t="s">
        <v>20097</v>
      </c>
    </row>
    <row r="9081" spans="6:8">
      <c r="H9081" t="s">
        <v>20098</v>
      </c>
    </row>
    <row r="9082" spans="6:8">
      <c r="F9082" t="s">
        <v>11142</v>
      </c>
      <c r="G9082" t="s">
        <v>15532</v>
      </c>
      <c r="H9082" t="s">
        <v>20091</v>
      </c>
    </row>
    <row r="9083" spans="6:8">
      <c r="H9083" t="s">
        <v>19712</v>
      </c>
    </row>
    <row r="9084" spans="6:8">
      <c r="H9084" t="s">
        <v>20095</v>
      </c>
    </row>
    <row r="9085" spans="6:8">
      <c r="H9085" t="s">
        <v>20096</v>
      </c>
    </row>
    <row r="9086" spans="6:8">
      <c r="H9086" t="s">
        <v>20097</v>
      </c>
    </row>
    <row r="9087" spans="6:8">
      <c r="H9087" t="s">
        <v>20098</v>
      </c>
    </row>
    <row r="9088" spans="6:8">
      <c r="F9088" t="s">
        <v>11143</v>
      </c>
      <c r="G9088" t="s">
        <v>15533</v>
      </c>
      <c r="H9088" t="s">
        <v>20091</v>
      </c>
    </row>
    <row r="9089" spans="6:8">
      <c r="H9089" t="s">
        <v>19712</v>
      </c>
    </row>
    <row r="9090" spans="6:8">
      <c r="H9090" t="s">
        <v>20095</v>
      </c>
    </row>
    <row r="9091" spans="6:8">
      <c r="H9091" t="s">
        <v>20096</v>
      </c>
    </row>
    <row r="9092" spans="6:8">
      <c r="H9092" t="s">
        <v>20097</v>
      </c>
    </row>
    <row r="9093" spans="6:8">
      <c r="H9093" t="s">
        <v>20098</v>
      </c>
    </row>
    <row r="9094" spans="6:8">
      <c r="F9094" t="s">
        <v>11144</v>
      </c>
      <c r="G9094" t="s">
        <v>15534</v>
      </c>
      <c r="H9094" t="s">
        <v>20091</v>
      </c>
    </row>
    <row r="9095" spans="6:8">
      <c r="H9095" t="s">
        <v>19712</v>
      </c>
    </row>
    <row r="9096" spans="6:8">
      <c r="H9096" t="s">
        <v>20095</v>
      </c>
    </row>
    <row r="9097" spans="6:8">
      <c r="H9097" t="s">
        <v>20096</v>
      </c>
    </row>
    <row r="9098" spans="6:8">
      <c r="H9098" t="s">
        <v>20097</v>
      </c>
    </row>
    <row r="9099" spans="6:8">
      <c r="H9099" t="s">
        <v>20098</v>
      </c>
    </row>
    <row r="9100" spans="6:8">
      <c r="F9100" t="s">
        <v>11145</v>
      </c>
      <c r="G9100" t="s">
        <v>15535</v>
      </c>
      <c r="H9100" t="s">
        <v>20091</v>
      </c>
    </row>
    <row r="9101" spans="6:8">
      <c r="H9101" t="s">
        <v>19712</v>
      </c>
    </row>
    <row r="9102" spans="6:8">
      <c r="H9102" t="s">
        <v>19709</v>
      </c>
    </row>
    <row r="9103" spans="6:8">
      <c r="H9103" t="s">
        <v>20107</v>
      </c>
    </row>
    <row r="9104" spans="6:8">
      <c r="H9104" t="s">
        <v>20108</v>
      </c>
    </row>
    <row r="9105" spans="6:8">
      <c r="H9105" t="s">
        <v>19713</v>
      </c>
    </row>
    <row r="9106" spans="6:8">
      <c r="H9106" t="s">
        <v>19714</v>
      </c>
    </row>
    <row r="9107" spans="6:8">
      <c r="H9107" t="s">
        <v>20109</v>
      </c>
    </row>
    <row r="9108" spans="6:8">
      <c r="H9108" t="s">
        <v>20110</v>
      </c>
    </row>
    <row r="9109" spans="6:8">
      <c r="H9109" t="s">
        <v>20095</v>
      </c>
    </row>
    <row r="9110" spans="6:8">
      <c r="H9110" t="s">
        <v>20096</v>
      </c>
    </row>
    <row r="9111" spans="6:8">
      <c r="H9111" t="s">
        <v>20097</v>
      </c>
    </row>
    <row r="9112" spans="6:8">
      <c r="H9112" t="s">
        <v>20098</v>
      </c>
    </row>
    <row r="9113" spans="6:8">
      <c r="H9113" t="s">
        <v>20099</v>
      </c>
    </row>
    <row r="9114" spans="6:8">
      <c r="F9114" t="s">
        <v>11146</v>
      </c>
      <c r="G9114" t="s">
        <v>15536</v>
      </c>
      <c r="H9114" t="s">
        <v>20091</v>
      </c>
    </row>
    <row r="9115" spans="6:8">
      <c r="H9115" t="s">
        <v>19712</v>
      </c>
    </row>
    <row r="9116" spans="6:8">
      <c r="H9116" t="s">
        <v>19709</v>
      </c>
    </row>
    <row r="9117" spans="6:8">
      <c r="H9117" t="s">
        <v>19706</v>
      </c>
    </row>
    <row r="9118" spans="6:8">
      <c r="H9118" t="s">
        <v>19707</v>
      </c>
    </row>
    <row r="9119" spans="6:8">
      <c r="H9119" t="s">
        <v>19711</v>
      </c>
    </row>
    <row r="9120" spans="6:8">
      <c r="H9120" t="s">
        <v>20107</v>
      </c>
    </row>
    <row r="9121" spans="6:8">
      <c r="H9121" t="s">
        <v>20108</v>
      </c>
    </row>
    <row r="9122" spans="6:8">
      <c r="H9122" t="s">
        <v>19713</v>
      </c>
    </row>
    <row r="9123" spans="6:8">
      <c r="H9123" t="s">
        <v>19714</v>
      </c>
    </row>
    <row r="9124" spans="6:8">
      <c r="H9124" t="s">
        <v>20095</v>
      </c>
    </row>
    <row r="9125" spans="6:8">
      <c r="H9125" t="s">
        <v>20096</v>
      </c>
    </row>
    <row r="9126" spans="6:8">
      <c r="H9126" t="s">
        <v>20097</v>
      </c>
    </row>
    <row r="9127" spans="6:8">
      <c r="H9127" t="s">
        <v>20098</v>
      </c>
    </row>
    <row r="9128" spans="6:8">
      <c r="H9128" t="s">
        <v>20099</v>
      </c>
    </row>
    <row r="9129" spans="6:8">
      <c r="F9129" t="s">
        <v>11147</v>
      </c>
      <c r="G9129" t="s">
        <v>15537</v>
      </c>
      <c r="H9129" t="s">
        <v>20091</v>
      </c>
    </row>
    <row r="9130" spans="6:8">
      <c r="H9130" t="s">
        <v>19712</v>
      </c>
    </row>
    <row r="9131" spans="6:8">
      <c r="H9131" t="s">
        <v>19709</v>
      </c>
    </row>
    <row r="9132" spans="6:8">
      <c r="H9132" t="s">
        <v>20107</v>
      </c>
    </row>
    <row r="9133" spans="6:8">
      <c r="H9133" t="s">
        <v>20108</v>
      </c>
    </row>
    <row r="9134" spans="6:8">
      <c r="H9134" t="s">
        <v>19713</v>
      </c>
    </row>
    <row r="9135" spans="6:8">
      <c r="H9135" t="s">
        <v>20095</v>
      </c>
    </row>
    <row r="9136" spans="6:8">
      <c r="H9136" t="s">
        <v>20096</v>
      </c>
    </row>
    <row r="9137" spans="6:8">
      <c r="H9137" t="s">
        <v>20097</v>
      </c>
    </row>
    <row r="9138" spans="6:8">
      <c r="H9138" t="s">
        <v>20098</v>
      </c>
    </row>
    <row r="9139" spans="6:8">
      <c r="H9139" t="s">
        <v>20099</v>
      </c>
    </row>
    <row r="9140" spans="6:8">
      <c r="F9140" t="s">
        <v>11148</v>
      </c>
      <c r="G9140" t="s">
        <v>15538</v>
      </c>
      <c r="H9140" t="s">
        <v>20091</v>
      </c>
    </row>
    <row r="9141" spans="6:8">
      <c r="H9141" t="s">
        <v>19712</v>
      </c>
    </row>
    <row r="9142" spans="6:8">
      <c r="H9142" t="s">
        <v>20092</v>
      </c>
    </row>
    <row r="9143" spans="6:8">
      <c r="H9143" t="s">
        <v>20095</v>
      </c>
    </row>
    <row r="9144" spans="6:8">
      <c r="H9144" t="s">
        <v>20096</v>
      </c>
    </row>
    <row r="9145" spans="6:8">
      <c r="H9145" t="s">
        <v>20131</v>
      </c>
    </row>
    <row r="9146" spans="6:8">
      <c r="H9146" t="s">
        <v>18927</v>
      </c>
    </row>
    <row r="9147" spans="6:8">
      <c r="H9147" t="s">
        <v>20132</v>
      </c>
    </row>
    <row r="9148" spans="6:8">
      <c r="H9148" t="s">
        <v>18927</v>
      </c>
    </row>
    <row r="9149" spans="6:8">
      <c r="F9149" t="s">
        <v>11149</v>
      </c>
      <c r="G9149" t="s">
        <v>15539</v>
      </c>
      <c r="H9149" t="s">
        <v>20092</v>
      </c>
    </row>
    <row r="9150" spans="6:8">
      <c r="H9150" t="s">
        <v>20093</v>
      </c>
    </row>
    <row r="9151" spans="6:8">
      <c r="H9151" t="s">
        <v>20094</v>
      </c>
    </row>
    <row r="9152" spans="6:8">
      <c r="H9152" t="s">
        <v>20095</v>
      </c>
    </row>
    <row r="9153" spans="6:8">
      <c r="H9153" t="s">
        <v>20096</v>
      </c>
    </row>
    <row r="9154" spans="6:8">
      <c r="H9154" t="s">
        <v>20131</v>
      </c>
    </row>
    <row r="9155" spans="6:8">
      <c r="H9155" t="s">
        <v>18927</v>
      </c>
    </row>
    <row r="9156" spans="6:8">
      <c r="F9156" t="s">
        <v>11150</v>
      </c>
      <c r="G9156" t="s">
        <v>15540</v>
      </c>
      <c r="H9156" t="s">
        <v>20091</v>
      </c>
    </row>
    <row r="9157" spans="6:8">
      <c r="H9157" t="s">
        <v>19712</v>
      </c>
    </row>
    <row r="9158" spans="6:8">
      <c r="H9158" t="s">
        <v>19709</v>
      </c>
    </row>
    <row r="9159" spans="6:8">
      <c r="H9159" t="s">
        <v>20092</v>
      </c>
    </row>
    <row r="9160" spans="6:8">
      <c r="H9160" t="s">
        <v>20093</v>
      </c>
    </row>
    <row r="9161" spans="6:8">
      <c r="H9161" t="s">
        <v>20094</v>
      </c>
    </row>
    <row r="9162" spans="6:8">
      <c r="H9162" t="s">
        <v>20095</v>
      </c>
    </row>
    <row r="9163" spans="6:8">
      <c r="H9163" t="s">
        <v>20096</v>
      </c>
    </row>
    <row r="9164" spans="6:8">
      <c r="H9164" t="s">
        <v>20097</v>
      </c>
    </row>
    <row r="9165" spans="6:8">
      <c r="H9165" t="s">
        <v>20098</v>
      </c>
    </row>
    <row r="9166" spans="6:8">
      <c r="H9166" t="s">
        <v>20099</v>
      </c>
    </row>
    <row r="9167" spans="6:8">
      <c r="H9167" t="s">
        <v>20100</v>
      </c>
    </row>
    <row r="9168" spans="6:8">
      <c r="F9168" t="s">
        <v>11151</v>
      </c>
      <c r="G9168" t="s">
        <v>15541</v>
      </c>
      <c r="H9168" t="s">
        <v>20091</v>
      </c>
    </row>
    <row r="9169" spans="6:8">
      <c r="H9169" t="s">
        <v>19712</v>
      </c>
    </row>
    <row r="9170" spans="6:8">
      <c r="H9170" t="s">
        <v>20092</v>
      </c>
    </row>
    <row r="9171" spans="6:8">
      <c r="H9171" t="s">
        <v>20107</v>
      </c>
    </row>
    <row r="9172" spans="6:8">
      <c r="H9172" t="s">
        <v>20095</v>
      </c>
    </row>
    <row r="9173" spans="6:8">
      <c r="H9173" t="s">
        <v>20096</v>
      </c>
    </row>
    <row r="9174" spans="6:8">
      <c r="H9174" t="s">
        <v>20097</v>
      </c>
    </row>
    <row r="9175" spans="6:8">
      <c r="H9175" t="s">
        <v>20098</v>
      </c>
    </row>
    <row r="9176" spans="6:8">
      <c r="F9176" t="s">
        <v>11152</v>
      </c>
      <c r="G9176" t="s">
        <v>15542</v>
      </c>
      <c r="H9176" t="s">
        <v>20091</v>
      </c>
    </row>
    <row r="9177" spans="6:8">
      <c r="F9177" t="s">
        <v>11153</v>
      </c>
      <c r="G9177" t="s">
        <v>15543</v>
      </c>
      <c r="H9177" t="s">
        <v>20091</v>
      </c>
    </row>
    <row r="9178" spans="6:8">
      <c r="H9178" t="s">
        <v>19712</v>
      </c>
    </row>
    <row r="9179" spans="6:8">
      <c r="H9179" t="s">
        <v>19709</v>
      </c>
    </row>
    <row r="9180" spans="6:8">
      <c r="H9180" t="s">
        <v>20095</v>
      </c>
    </row>
    <row r="9181" spans="6:8">
      <c r="H9181" t="s">
        <v>20096</v>
      </c>
    </row>
    <row r="9182" spans="6:8">
      <c r="H9182" t="s">
        <v>20097</v>
      </c>
    </row>
    <row r="9183" spans="6:8">
      <c r="F9183" t="s">
        <v>11154</v>
      </c>
      <c r="G9183" t="s">
        <v>15544</v>
      </c>
      <c r="H9183" t="s">
        <v>20091</v>
      </c>
    </row>
    <row r="9184" spans="6:8">
      <c r="H9184" t="s">
        <v>19712</v>
      </c>
    </row>
    <row r="9185" spans="6:8">
      <c r="H9185" t="s">
        <v>19709</v>
      </c>
    </row>
    <row r="9186" spans="6:8">
      <c r="H9186" t="s">
        <v>19706</v>
      </c>
    </row>
    <row r="9187" spans="6:8">
      <c r="H9187" t="s">
        <v>20092</v>
      </c>
    </row>
    <row r="9188" spans="6:8">
      <c r="H9188" t="s">
        <v>20093</v>
      </c>
    </row>
    <row r="9189" spans="6:8">
      <c r="H9189" t="s">
        <v>20095</v>
      </c>
    </row>
    <row r="9190" spans="6:8">
      <c r="H9190" t="s">
        <v>20096</v>
      </c>
    </row>
    <row r="9191" spans="6:8">
      <c r="H9191" t="s">
        <v>20097</v>
      </c>
    </row>
    <row r="9192" spans="6:8">
      <c r="H9192" t="s">
        <v>20098</v>
      </c>
    </row>
    <row r="9193" spans="6:8">
      <c r="F9193" t="s">
        <v>11155</v>
      </c>
      <c r="G9193" t="s">
        <v>15545</v>
      </c>
      <c r="H9193" t="s">
        <v>20091</v>
      </c>
    </row>
    <row r="9194" spans="6:8">
      <c r="H9194" t="s">
        <v>20092</v>
      </c>
    </row>
    <row r="9195" spans="6:8">
      <c r="H9195" t="s">
        <v>20093</v>
      </c>
    </row>
    <row r="9196" spans="6:8">
      <c r="H9196" t="s">
        <v>20094</v>
      </c>
    </row>
    <row r="9197" spans="6:8">
      <c r="H9197" t="s">
        <v>20103</v>
      </c>
    </row>
    <row r="9198" spans="6:8">
      <c r="H9198" t="s">
        <v>20116</v>
      </c>
    </row>
    <row r="9199" spans="6:8">
      <c r="H9199" t="s">
        <v>20095</v>
      </c>
    </row>
    <row r="9200" spans="6:8">
      <c r="H9200" t="s">
        <v>20096</v>
      </c>
    </row>
    <row r="9201" spans="6:8">
      <c r="H9201" t="s">
        <v>20097</v>
      </c>
    </row>
    <row r="9202" spans="6:8">
      <c r="H9202" t="s">
        <v>20098</v>
      </c>
    </row>
    <row r="9203" spans="6:8">
      <c r="F9203" t="s">
        <v>11156</v>
      </c>
      <c r="G9203" t="s">
        <v>15104</v>
      </c>
      <c r="H9203" t="s">
        <v>20125</v>
      </c>
    </row>
    <row r="9204" spans="6:8">
      <c r="F9204" t="s">
        <v>11157</v>
      </c>
      <c r="G9204" t="s">
        <v>15546</v>
      </c>
      <c r="H9204" t="s">
        <v>20091</v>
      </c>
    </row>
    <row r="9205" spans="6:8">
      <c r="H9205" t="s">
        <v>19712</v>
      </c>
    </row>
    <row r="9206" spans="6:8">
      <c r="H9206" t="s">
        <v>20092</v>
      </c>
    </row>
    <row r="9207" spans="6:8">
      <c r="H9207" t="s">
        <v>20093</v>
      </c>
    </row>
    <row r="9208" spans="6:8">
      <c r="H9208" t="s">
        <v>20095</v>
      </c>
    </row>
    <row r="9209" spans="6:8">
      <c r="H9209" t="s">
        <v>20096</v>
      </c>
    </row>
    <row r="9210" spans="6:8">
      <c r="F9210" t="s">
        <v>11158</v>
      </c>
      <c r="G9210" t="s">
        <v>15547</v>
      </c>
      <c r="H9210" t="s">
        <v>20091</v>
      </c>
    </row>
    <row r="9211" spans="6:8">
      <c r="H9211" t="s">
        <v>19712</v>
      </c>
    </row>
    <row r="9212" spans="6:8">
      <c r="H9212" t="s">
        <v>20095</v>
      </c>
    </row>
    <row r="9213" spans="6:8">
      <c r="H9213" t="s">
        <v>20096</v>
      </c>
    </row>
    <row r="9214" spans="6:8">
      <c r="F9214" t="s">
        <v>11159</v>
      </c>
      <c r="G9214" t="s">
        <v>15548</v>
      </c>
      <c r="H9214" t="s">
        <v>20091</v>
      </c>
    </row>
    <row r="9215" spans="6:8">
      <c r="H9215" t="s">
        <v>19712</v>
      </c>
    </row>
    <row r="9216" spans="6:8">
      <c r="H9216" t="s">
        <v>20095</v>
      </c>
    </row>
    <row r="9217" spans="6:8">
      <c r="H9217" t="s">
        <v>20096</v>
      </c>
    </row>
    <row r="9218" spans="6:8">
      <c r="F9218" t="s">
        <v>11160</v>
      </c>
      <c r="G9218" t="s">
        <v>15549</v>
      </c>
      <c r="H9218" t="s">
        <v>20091</v>
      </c>
    </row>
    <row r="9219" spans="6:8">
      <c r="H9219" t="s">
        <v>19712</v>
      </c>
    </row>
    <row r="9220" spans="6:8">
      <c r="H9220" t="s">
        <v>19709</v>
      </c>
    </row>
    <row r="9221" spans="6:8">
      <c r="H9221" t="s">
        <v>19706</v>
      </c>
    </row>
    <row r="9222" spans="6:8">
      <c r="H9222" t="s">
        <v>19707</v>
      </c>
    </row>
    <row r="9223" spans="6:8">
      <c r="H9223" t="s">
        <v>19711</v>
      </c>
    </row>
    <row r="9224" spans="6:8">
      <c r="H9224" t="s">
        <v>20092</v>
      </c>
    </row>
    <row r="9225" spans="6:8">
      <c r="H9225" t="s">
        <v>20093</v>
      </c>
    </row>
    <row r="9226" spans="6:8">
      <c r="H9226" t="s">
        <v>20094</v>
      </c>
    </row>
    <row r="9227" spans="6:8">
      <c r="H9227" t="s">
        <v>20103</v>
      </c>
    </row>
    <row r="9228" spans="6:8">
      <c r="H9228" t="s">
        <v>20116</v>
      </c>
    </row>
    <row r="9229" spans="6:8">
      <c r="H9229" t="s">
        <v>20117</v>
      </c>
    </row>
    <row r="9230" spans="6:8">
      <c r="H9230" t="s">
        <v>20118</v>
      </c>
    </row>
    <row r="9231" spans="6:8">
      <c r="H9231" t="s">
        <v>20095</v>
      </c>
    </row>
    <row r="9232" spans="6:8">
      <c r="H9232" t="s">
        <v>20096</v>
      </c>
    </row>
    <row r="9233" spans="6:8">
      <c r="H9233" t="s">
        <v>20097</v>
      </c>
    </row>
    <row r="9234" spans="6:8">
      <c r="H9234" t="s">
        <v>20098</v>
      </c>
    </row>
    <row r="9235" spans="6:8">
      <c r="H9235" t="s">
        <v>20099</v>
      </c>
    </row>
    <row r="9236" spans="6:8">
      <c r="H9236" t="s">
        <v>20100</v>
      </c>
    </row>
    <row r="9237" spans="6:8">
      <c r="F9237" t="s">
        <v>11161</v>
      </c>
      <c r="G9237" t="s">
        <v>15550</v>
      </c>
      <c r="H9237" t="s">
        <v>20091</v>
      </c>
    </row>
    <row r="9238" spans="6:8">
      <c r="H9238" t="s">
        <v>19712</v>
      </c>
    </row>
    <row r="9239" spans="6:8">
      <c r="H9239" t="s">
        <v>19709</v>
      </c>
    </row>
    <row r="9240" spans="6:8">
      <c r="H9240" t="s">
        <v>19706</v>
      </c>
    </row>
    <row r="9241" spans="6:8">
      <c r="H9241" t="s">
        <v>19707</v>
      </c>
    </row>
    <row r="9242" spans="6:8">
      <c r="H9242" t="s">
        <v>20092</v>
      </c>
    </row>
    <row r="9243" spans="6:8">
      <c r="H9243" t="s">
        <v>20093</v>
      </c>
    </row>
    <row r="9244" spans="6:8">
      <c r="H9244" t="s">
        <v>20094</v>
      </c>
    </row>
    <row r="9245" spans="6:8">
      <c r="H9245" t="s">
        <v>20103</v>
      </c>
    </row>
    <row r="9246" spans="6:8">
      <c r="H9246" t="s">
        <v>20116</v>
      </c>
    </row>
    <row r="9247" spans="6:8">
      <c r="H9247" t="s">
        <v>20117</v>
      </c>
    </row>
    <row r="9248" spans="6:8">
      <c r="H9248" t="s">
        <v>20118</v>
      </c>
    </row>
    <row r="9249" spans="6:8">
      <c r="H9249" t="s">
        <v>20095</v>
      </c>
    </row>
    <row r="9250" spans="6:8">
      <c r="H9250" t="s">
        <v>20096</v>
      </c>
    </row>
    <row r="9251" spans="6:8">
      <c r="H9251" t="s">
        <v>20097</v>
      </c>
    </row>
    <row r="9252" spans="6:8">
      <c r="H9252" t="s">
        <v>20098</v>
      </c>
    </row>
    <row r="9253" spans="6:8">
      <c r="H9253" t="s">
        <v>20099</v>
      </c>
    </row>
    <row r="9254" spans="6:8">
      <c r="H9254" t="s">
        <v>20100</v>
      </c>
    </row>
    <row r="9255" spans="6:8">
      <c r="F9255" t="s">
        <v>11162</v>
      </c>
      <c r="G9255" t="s">
        <v>15551</v>
      </c>
      <c r="H9255" t="s">
        <v>20091</v>
      </c>
    </row>
    <row r="9256" spans="6:8">
      <c r="H9256" t="s">
        <v>20095</v>
      </c>
    </row>
    <row r="9257" spans="6:8">
      <c r="H9257" t="s">
        <v>20096</v>
      </c>
    </row>
    <row r="9258" spans="6:8">
      <c r="H9258" t="s">
        <v>20099</v>
      </c>
    </row>
    <row r="9259" spans="6:8">
      <c r="H9259" t="s">
        <v>20101</v>
      </c>
    </row>
    <row r="9260" spans="6:8">
      <c r="H9260" t="s">
        <v>19712</v>
      </c>
    </row>
    <row r="9261" spans="6:8">
      <c r="H9261" t="s">
        <v>20097</v>
      </c>
    </row>
    <row r="9262" spans="6:8">
      <c r="H9262" t="s">
        <v>20098</v>
      </c>
    </row>
    <row r="9263" spans="6:8">
      <c r="H9263" t="s">
        <v>20100</v>
      </c>
    </row>
    <row r="9264" spans="6:8">
      <c r="H9264" t="s">
        <v>20102</v>
      </c>
    </row>
    <row r="9265" spans="6:8">
      <c r="F9265" t="s">
        <v>11163</v>
      </c>
      <c r="G9265" t="s">
        <v>15552</v>
      </c>
      <c r="H9265" t="s">
        <v>20091</v>
      </c>
    </row>
    <row r="9266" spans="6:8">
      <c r="H9266" t="s">
        <v>19712</v>
      </c>
    </row>
    <row r="9267" spans="6:8">
      <c r="H9267" t="s">
        <v>20092</v>
      </c>
    </row>
    <row r="9268" spans="6:8">
      <c r="H9268" t="s">
        <v>20093</v>
      </c>
    </row>
    <row r="9269" spans="6:8">
      <c r="H9269" t="s">
        <v>20094</v>
      </c>
    </row>
    <row r="9270" spans="6:8">
      <c r="H9270" t="s">
        <v>20095</v>
      </c>
    </row>
    <row r="9271" spans="6:8">
      <c r="H9271" t="s">
        <v>20096</v>
      </c>
    </row>
    <row r="9272" spans="6:8">
      <c r="H9272" t="s">
        <v>20097</v>
      </c>
    </row>
    <row r="9273" spans="6:8">
      <c r="H9273" t="s">
        <v>20098</v>
      </c>
    </row>
    <row r="9274" spans="6:8">
      <c r="H9274" t="s">
        <v>20099</v>
      </c>
    </row>
    <row r="9275" spans="6:8">
      <c r="H9275" t="s">
        <v>20100</v>
      </c>
    </row>
    <row r="9276" spans="6:8">
      <c r="H9276" t="s">
        <v>20101</v>
      </c>
    </row>
    <row r="9277" spans="6:8">
      <c r="H9277" t="s">
        <v>20102</v>
      </c>
    </row>
    <row r="9278" spans="6:8">
      <c r="F9278" t="s">
        <v>11164</v>
      </c>
      <c r="G9278" t="s">
        <v>15553</v>
      </c>
      <c r="H9278" t="s">
        <v>20091</v>
      </c>
    </row>
    <row r="9279" spans="6:8">
      <c r="H9279" t="s">
        <v>19712</v>
      </c>
    </row>
    <row r="9280" spans="6:8">
      <c r="H9280" t="s">
        <v>20092</v>
      </c>
    </row>
    <row r="9281" spans="6:8">
      <c r="H9281" t="s">
        <v>20093</v>
      </c>
    </row>
    <row r="9282" spans="6:8">
      <c r="H9282" t="s">
        <v>20094</v>
      </c>
    </row>
    <row r="9283" spans="6:8">
      <c r="H9283" t="s">
        <v>20095</v>
      </c>
    </row>
    <row r="9284" spans="6:8">
      <c r="H9284" t="s">
        <v>20096</v>
      </c>
    </row>
    <row r="9285" spans="6:8">
      <c r="H9285" t="s">
        <v>20097</v>
      </c>
    </row>
    <row r="9286" spans="6:8">
      <c r="H9286" t="s">
        <v>20098</v>
      </c>
    </row>
    <row r="9287" spans="6:8">
      <c r="H9287" t="s">
        <v>20099</v>
      </c>
    </row>
    <row r="9288" spans="6:8">
      <c r="H9288" t="s">
        <v>20100</v>
      </c>
    </row>
    <row r="9289" spans="6:8">
      <c r="H9289" t="s">
        <v>20101</v>
      </c>
    </row>
    <row r="9290" spans="6:8">
      <c r="H9290" t="s">
        <v>20102</v>
      </c>
    </row>
    <row r="9291" spans="6:8">
      <c r="F9291" t="s">
        <v>11165</v>
      </c>
      <c r="G9291" t="s">
        <v>15554</v>
      </c>
      <c r="H9291" t="s">
        <v>20091</v>
      </c>
    </row>
    <row r="9292" spans="6:8">
      <c r="H9292" t="s">
        <v>20107</v>
      </c>
    </row>
    <row r="9293" spans="6:8">
      <c r="H9293" t="s">
        <v>20108</v>
      </c>
    </row>
    <row r="9294" spans="6:8">
      <c r="H9294" t="s">
        <v>20095</v>
      </c>
    </row>
    <row r="9295" spans="6:8">
      <c r="F9295" t="s">
        <v>11166</v>
      </c>
      <c r="G9295" t="s">
        <v>15555</v>
      </c>
      <c r="H9295" t="s">
        <v>20091</v>
      </c>
    </row>
    <row r="9296" spans="6:8">
      <c r="H9296" t="s">
        <v>19712</v>
      </c>
    </row>
    <row r="9297" spans="6:8">
      <c r="H9297" t="s">
        <v>19709</v>
      </c>
    </row>
    <row r="9298" spans="6:8">
      <c r="H9298" t="s">
        <v>19706</v>
      </c>
    </row>
    <row r="9299" spans="6:8">
      <c r="H9299" t="s">
        <v>20095</v>
      </c>
    </row>
    <row r="9300" spans="6:8">
      <c r="H9300" t="s">
        <v>20096</v>
      </c>
    </row>
    <row r="9301" spans="6:8">
      <c r="H9301" t="s">
        <v>20097</v>
      </c>
    </row>
    <row r="9302" spans="6:8">
      <c r="H9302" t="s">
        <v>20098</v>
      </c>
    </row>
    <row r="9303" spans="6:8">
      <c r="F9303" t="s">
        <v>11167</v>
      </c>
      <c r="G9303" t="s">
        <v>15556</v>
      </c>
      <c r="H9303" t="s">
        <v>20091</v>
      </c>
    </row>
    <row r="9304" spans="6:8">
      <c r="H9304" t="s">
        <v>20107</v>
      </c>
    </row>
    <row r="9305" spans="6:8">
      <c r="H9305" t="s">
        <v>20108</v>
      </c>
    </row>
    <row r="9306" spans="6:8">
      <c r="H9306" t="s">
        <v>20095</v>
      </c>
    </row>
    <row r="9307" spans="6:8">
      <c r="H9307" t="s">
        <v>20096</v>
      </c>
    </row>
    <row r="9308" spans="6:8">
      <c r="H9308" t="s">
        <v>20097</v>
      </c>
    </row>
    <row r="9309" spans="6:8">
      <c r="H9309" t="s">
        <v>20098</v>
      </c>
    </row>
    <row r="9310" spans="6:8">
      <c r="H9310" t="s">
        <v>20099</v>
      </c>
    </row>
    <row r="9311" spans="6:8">
      <c r="H9311" t="s">
        <v>20100</v>
      </c>
    </row>
    <row r="9312" spans="6:8">
      <c r="H9312" t="s">
        <v>20101</v>
      </c>
    </row>
    <row r="9313" spans="6:8">
      <c r="H9313" t="s">
        <v>20102</v>
      </c>
    </row>
    <row r="9314" spans="6:8">
      <c r="F9314" t="s">
        <v>11168</v>
      </c>
      <c r="G9314" t="s">
        <v>15557</v>
      </c>
      <c r="H9314" t="s">
        <v>20095</v>
      </c>
    </row>
    <row r="9315" spans="6:8">
      <c r="H9315" t="s">
        <v>20096</v>
      </c>
    </row>
    <row r="9316" spans="6:8">
      <c r="F9316" t="s">
        <v>11169</v>
      </c>
      <c r="G9316" t="s">
        <v>15558</v>
      </c>
      <c r="H9316" t="s">
        <v>20095</v>
      </c>
    </row>
    <row r="9317" spans="6:8">
      <c r="F9317" t="s">
        <v>11170</v>
      </c>
      <c r="G9317" t="s">
        <v>15559</v>
      </c>
      <c r="H9317" t="s">
        <v>20095</v>
      </c>
    </row>
    <row r="9318" spans="6:8">
      <c r="F9318" t="s">
        <v>11171</v>
      </c>
      <c r="G9318" t="s">
        <v>15560</v>
      </c>
      <c r="H9318" t="s">
        <v>20095</v>
      </c>
    </row>
    <row r="9319" spans="6:8">
      <c r="F9319" t="s">
        <v>11172</v>
      </c>
      <c r="G9319" t="s">
        <v>15561</v>
      </c>
      <c r="H9319" t="s">
        <v>20095</v>
      </c>
    </row>
    <row r="9320" spans="6:8">
      <c r="H9320" t="s">
        <v>20096</v>
      </c>
    </row>
    <row r="9321" spans="6:8">
      <c r="H9321" t="s">
        <v>20097</v>
      </c>
    </row>
    <row r="9322" spans="6:8">
      <c r="H9322" t="s">
        <v>20098</v>
      </c>
    </row>
    <row r="9323" spans="6:8">
      <c r="F9323" t="s">
        <v>11173</v>
      </c>
      <c r="G9323" t="s">
        <v>15562</v>
      </c>
      <c r="H9323" t="s">
        <v>20095</v>
      </c>
    </row>
    <row r="9324" spans="6:8">
      <c r="F9324" t="s">
        <v>11174</v>
      </c>
      <c r="G9324" t="s">
        <v>15563</v>
      </c>
      <c r="H9324" t="s">
        <v>20095</v>
      </c>
    </row>
    <row r="9325" spans="6:8">
      <c r="H9325" t="s">
        <v>20096</v>
      </c>
    </row>
    <row r="9326" spans="6:8">
      <c r="F9326" t="s">
        <v>11175</v>
      </c>
      <c r="G9326" t="s">
        <v>15564</v>
      </c>
      <c r="H9326" t="s">
        <v>20091</v>
      </c>
    </row>
    <row r="9327" spans="6:8">
      <c r="H9327" t="s">
        <v>20095</v>
      </c>
    </row>
    <row r="9328" spans="6:8">
      <c r="H9328" t="s">
        <v>20096</v>
      </c>
    </row>
    <row r="9329" spans="1:8">
      <c r="F9329" t="s">
        <v>11176</v>
      </c>
      <c r="G9329" t="s">
        <v>15565</v>
      </c>
      <c r="H9329" t="s">
        <v>20095</v>
      </c>
    </row>
    <row r="9330" spans="1:8">
      <c r="H9330" t="s">
        <v>20096</v>
      </c>
    </row>
    <row r="9331" spans="1:8">
      <c r="F9331" t="s">
        <v>11177</v>
      </c>
      <c r="G9331" t="s">
        <v>15566</v>
      </c>
      <c r="H9331" t="s">
        <v>20095</v>
      </c>
    </row>
    <row r="9332" spans="1:8">
      <c r="F9332" t="s">
        <v>11178</v>
      </c>
      <c r="G9332" t="s">
        <v>15567</v>
      </c>
      <c r="H9332" t="s">
        <v>20095</v>
      </c>
    </row>
    <row r="9333" spans="1:8">
      <c r="F9333" t="s">
        <v>11179</v>
      </c>
      <c r="G9333" t="s">
        <v>15568</v>
      </c>
      <c r="H9333" t="s">
        <v>20095</v>
      </c>
    </row>
    <row r="9334" spans="1:8">
      <c r="H9334" t="s">
        <v>20096</v>
      </c>
    </row>
    <row r="9335" spans="1:8">
      <c r="F9335" t="s">
        <v>11180</v>
      </c>
      <c r="G9335" t="s">
        <v>15569</v>
      </c>
      <c r="H9335" t="s">
        <v>20095</v>
      </c>
    </row>
    <row r="9336" spans="1:8">
      <c r="H9336" t="s">
        <v>20096</v>
      </c>
    </row>
    <row r="9337" spans="1:8">
      <c r="H9337" t="s">
        <v>20097</v>
      </c>
    </row>
    <row r="9338" spans="1:8">
      <c r="F9338" t="s">
        <v>11181</v>
      </c>
      <c r="G9338" t="s">
        <v>15570</v>
      </c>
      <c r="H9338" t="s">
        <v>20095</v>
      </c>
    </row>
    <row r="9339" spans="1:8">
      <c r="H9339" t="s">
        <v>20096</v>
      </c>
    </row>
    <row r="9340" spans="1:8">
      <c r="F9340" t="s">
        <v>11182</v>
      </c>
      <c r="G9340" t="s">
        <v>15571</v>
      </c>
      <c r="H9340" t="s">
        <v>20095</v>
      </c>
    </row>
    <row r="9341" spans="1:8">
      <c r="H9341" t="s">
        <v>20096</v>
      </c>
    </row>
    <row r="9342" spans="1:8">
      <c r="A9342" t="s">
        <v>324</v>
      </c>
      <c r="B9342">
        <f>HYPERLINK("https://android.googlesource.com/platform/cts/+/a78e3ec91fef1df8edbc4ae9ef6de182b309a13f", "a78e3ec91fef1df8edbc4ae9ef6de182b309a13f")</f>
        <v>0</v>
      </c>
      <c r="C9342">
        <f>HYPERLINK("https://android.googlesource.com/platform/cts/+/8649fcafc7881ee780fb1890a3c8088a3c34b635", "8649fcafc7881ee780fb1890a3c8088a3c34b635")</f>
        <v>0</v>
      </c>
      <c r="D9342" t="s">
        <v>4941</v>
      </c>
      <c r="E9342" t="s">
        <v>6119</v>
      </c>
      <c r="F9342" t="s">
        <v>11431</v>
      </c>
      <c r="G9342" t="s">
        <v>15671</v>
      </c>
      <c r="H9342" t="s">
        <v>20244</v>
      </c>
    </row>
    <row r="9343" spans="1:8">
      <c r="H9343" t="s">
        <v>18829</v>
      </c>
    </row>
    <row r="9344" spans="1:8">
      <c r="H9344" t="s">
        <v>18863</v>
      </c>
    </row>
    <row r="9345" spans="1:8">
      <c r="H9345" t="s">
        <v>20245</v>
      </c>
    </row>
    <row r="9346" spans="1:8">
      <c r="A9346" t="s">
        <v>325</v>
      </c>
      <c r="B9346">
        <f>HYPERLINK("https://android.googlesource.com/platform/cts/+/bc9b467765c6b77506b88dc8c6f3a5dd585d1055", "bc9b467765c6b77506b88dc8c6f3a5dd585d1055")</f>
        <v>0</v>
      </c>
      <c r="C9346">
        <f>HYPERLINK("https://android.googlesource.com/platform/cts/+/c7ca40ff7593edb1902b4802e6a4517be61b658a", "c7ca40ff7593edb1902b4802e6a4517be61b658a")</f>
        <v>0</v>
      </c>
      <c r="D9346" t="s">
        <v>4957</v>
      </c>
      <c r="E9346" t="s">
        <v>6120</v>
      </c>
      <c r="F9346" t="s">
        <v>11432</v>
      </c>
      <c r="G9346" t="s">
        <v>15672</v>
      </c>
      <c r="H9346" t="s">
        <v>20246</v>
      </c>
    </row>
    <row r="9347" spans="1:8">
      <c r="H9347" t="s">
        <v>20247</v>
      </c>
    </row>
    <row r="9348" spans="1:8">
      <c r="A9348" t="s">
        <v>326</v>
      </c>
      <c r="B9348">
        <f>HYPERLINK("https://android.googlesource.com/platform/cts/+/d5f04893f0c1a7663ff195a9b373d100e2741518", "d5f04893f0c1a7663ff195a9b373d100e2741518")</f>
        <v>0</v>
      </c>
      <c r="C9348">
        <f>HYPERLINK("https://android.googlesource.com/platform/cts/+/68b0d0be0cf57b8d2b1efb674f263a8a23a38055", "68b0d0be0cf57b8d2b1efb674f263a8a23a38055")</f>
        <v>0</v>
      </c>
      <c r="D9348" t="s">
        <v>4967</v>
      </c>
      <c r="E9348" t="s">
        <v>6121</v>
      </c>
      <c r="F9348" t="s">
        <v>11433</v>
      </c>
      <c r="G9348" t="s">
        <v>15673</v>
      </c>
      <c r="H9348" t="s">
        <v>20248</v>
      </c>
    </row>
    <row r="9349" spans="1:8">
      <c r="H9349" t="s">
        <v>20249</v>
      </c>
    </row>
    <row r="9350" spans="1:8">
      <c r="H9350" t="s">
        <v>20250</v>
      </c>
    </row>
    <row r="9351" spans="1:8">
      <c r="H9351" t="s">
        <v>20251</v>
      </c>
    </row>
    <row r="9352" spans="1:8">
      <c r="H9352" t="s">
        <v>20252</v>
      </c>
    </row>
    <row r="9353" spans="1:8">
      <c r="H9353" t="s">
        <v>20253</v>
      </c>
    </row>
    <row r="9354" spans="1:8">
      <c r="H9354" t="s">
        <v>20254</v>
      </c>
    </row>
    <row r="9355" spans="1:8">
      <c r="H9355" t="s">
        <v>20255</v>
      </c>
    </row>
    <row r="9356" spans="1:8">
      <c r="H9356" t="s">
        <v>20256</v>
      </c>
    </row>
    <row r="9357" spans="1:8">
      <c r="H9357" t="s">
        <v>20257</v>
      </c>
    </row>
    <row r="9358" spans="1:8">
      <c r="H9358" t="s">
        <v>20258</v>
      </c>
    </row>
    <row r="9359" spans="1:8">
      <c r="H9359" t="s">
        <v>20259</v>
      </c>
    </row>
    <row r="9360" spans="1:8">
      <c r="H9360" t="s">
        <v>20260</v>
      </c>
    </row>
    <row r="9361" spans="1:8">
      <c r="H9361" t="s">
        <v>18882</v>
      </c>
    </row>
    <row r="9362" spans="1:8">
      <c r="A9362" t="s">
        <v>327</v>
      </c>
      <c r="B9362">
        <f>HYPERLINK("https://android.googlesource.com/platform/cts/+/3620919a4e2f4b7d2801411fee1dc8b16c6c9344", "3620919a4e2f4b7d2801411fee1dc8b16c6c9344")</f>
        <v>0</v>
      </c>
      <c r="C9362">
        <f>HYPERLINK("https://android.googlesource.com/platform/cts/+/98439bb945e0d32ff42f5ab98618ff50859c0fb8", "98439bb945e0d32ff42f5ab98618ff50859c0fb8")</f>
        <v>0</v>
      </c>
      <c r="D9362" t="s">
        <v>4967</v>
      </c>
      <c r="E9362" t="s">
        <v>6122</v>
      </c>
      <c r="F9362" t="s">
        <v>10736</v>
      </c>
      <c r="G9362" t="s">
        <v>15135</v>
      </c>
      <c r="H9362" t="s">
        <v>20261</v>
      </c>
    </row>
    <row r="9363" spans="1:8">
      <c r="H9363" t="s">
        <v>20262</v>
      </c>
    </row>
    <row r="9364" spans="1:8">
      <c r="A9364" t="s">
        <v>328</v>
      </c>
      <c r="B9364">
        <f>HYPERLINK("https://android.googlesource.com/platform/cts/+/af31fd0dd392fea5451421d61a3f904f2b56c6bd", "af31fd0dd392fea5451421d61a3f904f2b56c6bd")</f>
        <v>0</v>
      </c>
      <c r="C9364">
        <f>HYPERLINK("https://android.googlesource.com/platform/cts/+/dc6eef954a66e71b84489734d930290f289aa2ed", "dc6eef954a66e71b84489734d930290f289aa2ed")</f>
        <v>0</v>
      </c>
      <c r="D9364" t="s">
        <v>4976</v>
      </c>
      <c r="E9364" t="s">
        <v>6123</v>
      </c>
      <c r="F9364" t="s">
        <v>11193</v>
      </c>
      <c r="G9364" t="s">
        <v>15582</v>
      </c>
      <c r="H9364" t="s">
        <v>20263</v>
      </c>
    </row>
    <row r="9365" spans="1:8">
      <c r="H9365" t="s">
        <v>20264</v>
      </c>
    </row>
    <row r="9366" spans="1:8">
      <c r="A9366" t="s">
        <v>329</v>
      </c>
      <c r="B9366">
        <f>HYPERLINK("https://android.googlesource.com/platform/cts/+/59da788bd879aad40821b50959a3a9b4581b9f59", "59da788bd879aad40821b50959a3a9b4581b9f59")</f>
        <v>0</v>
      </c>
      <c r="C9366">
        <f>HYPERLINK("https://android.googlesource.com/platform/cts/+/8bee7091794b728693fa454f42ca6a54b6f41fe2", "8bee7091794b728693fa454f42ca6a54b6f41fe2")</f>
        <v>0</v>
      </c>
      <c r="D9366" t="s">
        <v>4977</v>
      </c>
      <c r="E9366" t="s">
        <v>6124</v>
      </c>
      <c r="F9366" t="s">
        <v>11434</v>
      </c>
      <c r="G9366" t="s">
        <v>15674</v>
      </c>
      <c r="H9366" t="s">
        <v>20265</v>
      </c>
    </row>
    <row r="9367" spans="1:8">
      <c r="H9367" t="s">
        <v>20266</v>
      </c>
    </row>
    <row r="9368" spans="1:8">
      <c r="H9368" t="s">
        <v>20267</v>
      </c>
    </row>
    <row r="9369" spans="1:8">
      <c r="A9369" t="s">
        <v>330</v>
      </c>
      <c r="B9369">
        <f>HYPERLINK("https://android.googlesource.com/platform/cts/+/28ae149617c89a172128fcd314e8e70d719aa7bd", "28ae149617c89a172128fcd314e8e70d719aa7bd")</f>
        <v>0</v>
      </c>
      <c r="C9369">
        <f>HYPERLINK("https://android.googlesource.com/platform/cts/+/d95ad171495887f9012d3fb75cf78341f4d4db59", "d95ad171495887f9012d3fb75cf78341f4d4db59")</f>
        <v>0</v>
      </c>
      <c r="D9369" t="s">
        <v>4967</v>
      </c>
      <c r="E9369" t="s">
        <v>6125</v>
      </c>
      <c r="F9369" t="s">
        <v>11433</v>
      </c>
      <c r="G9369" t="s">
        <v>15673</v>
      </c>
      <c r="H9369" t="s">
        <v>20268</v>
      </c>
    </row>
    <row r="9370" spans="1:8">
      <c r="H9370" t="s">
        <v>20269</v>
      </c>
    </row>
    <row r="9371" spans="1:8">
      <c r="A9371" t="s">
        <v>331</v>
      </c>
      <c r="B9371">
        <f>HYPERLINK("https://android.googlesource.com/platform/cts/+/b6d00d345818c037a9d2e40c8207326a6931ce36", "b6d00d345818c037a9d2e40c8207326a6931ce36")</f>
        <v>0</v>
      </c>
      <c r="C9371">
        <f>HYPERLINK("https://android.googlesource.com/platform/cts/+/e259e04c163a34a536dc8bde625593d9c386e758", "e259e04c163a34a536dc8bde625593d9c386e758")</f>
        <v>0</v>
      </c>
      <c r="D9371" t="s">
        <v>4967</v>
      </c>
      <c r="E9371" t="s">
        <v>6126</v>
      </c>
      <c r="F9371" t="s">
        <v>11433</v>
      </c>
      <c r="G9371" t="s">
        <v>15673</v>
      </c>
      <c r="H9371" t="s">
        <v>20270</v>
      </c>
    </row>
    <row r="9372" spans="1:8">
      <c r="H9372" t="s">
        <v>20271</v>
      </c>
    </row>
    <row r="9373" spans="1:8">
      <c r="A9373" t="s">
        <v>332</v>
      </c>
      <c r="B9373">
        <f>HYPERLINK("https://android.googlesource.com/platform/cts/+/d33633fce01d2bf66ccb5d31b1722823936b1626", "d33633fce01d2bf66ccb5d31b1722823936b1626")</f>
        <v>0</v>
      </c>
      <c r="C9373">
        <f>HYPERLINK("https://android.googlesource.com/platform/cts/+/c2a0bf8150b2d072800a4c5b40f38c8cbe6eb395", "c2a0bf8150b2d072800a4c5b40f38c8cbe6eb395")</f>
        <v>0</v>
      </c>
      <c r="D9373" t="s">
        <v>4928</v>
      </c>
      <c r="E9373" t="s">
        <v>6127</v>
      </c>
      <c r="F9373" t="s">
        <v>11435</v>
      </c>
      <c r="G9373" t="s">
        <v>15093</v>
      </c>
      <c r="H9373" t="s">
        <v>20272</v>
      </c>
    </row>
    <row r="9374" spans="1:8">
      <c r="A9374" t="s">
        <v>333</v>
      </c>
      <c r="B9374">
        <f>HYPERLINK("https://android.googlesource.com/platform/cts/+/b803f80f0fa6680dd8fe7606e7d9b6a908ddaaf4", "b803f80f0fa6680dd8fe7606e7d9b6a908ddaaf4")</f>
        <v>0</v>
      </c>
      <c r="C9374">
        <f>HYPERLINK("https://android.googlesource.com/platform/cts/+/d95ad171495887f9012d3fb75cf78341f4d4db59", "d95ad171495887f9012d3fb75cf78341f4d4db59")</f>
        <v>0</v>
      </c>
      <c r="D9374" t="s">
        <v>4949</v>
      </c>
      <c r="E9374" t="s">
        <v>6128</v>
      </c>
      <c r="F9374" t="s">
        <v>11436</v>
      </c>
      <c r="G9374" t="s">
        <v>15675</v>
      </c>
      <c r="H9374" t="s">
        <v>20244</v>
      </c>
    </row>
    <row r="9375" spans="1:8">
      <c r="H9375" t="s">
        <v>18927</v>
      </c>
    </row>
    <row r="9376" spans="1:8">
      <c r="H9376" t="s">
        <v>20273</v>
      </c>
    </row>
    <row r="9377" spans="8:8">
      <c r="H9377" t="s">
        <v>20274</v>
      </c>
    </row>
    <row r="9378" spans="8:8">
      <c r="H9378" t="s">
        <v>20275</v>
      </c>
    </row>
    <row r="9379" spans="8:8">
      <c r="H9379" t="s">
        <v>20276</v>
      </c>
    </row>
    <row r="9380" spans="8:8">
      <c r="H9380" t="s">
        <v>20277</v>
      </c>
    </row>
    <row r="9381" spans="8:8">
      <c r="H9381" t="s">
        <v>20278</v>
      </c>
    </row>
    <row r="9382" spans="8:8">
      <c r="H9382" t="s">
        <v>20279</v>
      </c>
    </row>
    <row r="9383" spans="8:8">
      <c r="H9383" t="s">
        <v>20280</v>
      </c>
    </row>
    <row r="9384" spans="8:8">
      <c r="H9384" t="s">
        <v>20281</v>
      </c>
    </row>
    <row r="9385" spans="8:8">
      <c r="H9385" t="s">
        <v>20282</v>
      </c>
    </row>
    <row r="9386" spans="8:8">
      <c r="H9386" t="s">
        <v>19506</v>
      </c>
    </row>
    <row r="9387" spans="8:8">
      <c r="H9387" t="s">
        <v>20283</v>
      </c>
    </row>
    <row r="9388" spans="8:8">
      <c r="H9388" t="s">
        <v>20284</v>
      </c>
    </row>
    <row r="9389" spans="8:8">
      <c r="H9389" t="s">
        <v>20285</v>
      </c>
    </row>
    <row r="9390" spans="8:8">
      <c r="H9390" t="s">
        <v>20286</v>
      </c>
    </row>
    <row r="9391" spans="8:8">
      <c r="H9391" t="s">
        <v>20287</v>
      </c>
    </row>
    <row r="9392" spans="8:8">
      <c r="H9392" t="s">
        <v>20288</v>
      </c>
    </row>
    <row r="9393" spans="1:8">
      <c r="H9393" t="s">
        <v>20289</v>
      </c>
    </row>
    <row r="9394" spans="1:8">
      <c r="H9394" t="s">
        <v>20290</v>
      </c>
    </row>
    <row r="9395" spans="1:8">
      <c r="H9395" t="s">
        <v>20291</v>
      </c>
    </row>
    <row r="9396" spans="1:8">
      <c r="H9396" t="s">
        <v>20292</v>
      </c>
    </row>
    <row r="9397" spans="1:8">
      <c r="H9397" t="s">
        <v>20293</v>
      </c>
    </row>
    <row r="9398" spans="1:8">
      <c r="H9398" t="s">
        <v>20294</v>
      </c>
    </row>
    <row r="9399" spans="1:8">
      <c r="F9399" t="s">
        <v>10775</v>
      </c>
      <c r="G9399" t="s">
        <v>15171</v>
      </c>
      <c r="H9399" t="s">
        <v>20295</v>
      </c>
    </row>
    <row r="9400" spans="1:8">
      <c r="H9400" t="s">
        <v>20296</v>
      </c>
    </row>
    <row r="9401" spans="1:8">
      <c r="H9401" t="s">
        <v>20297</v>
      </c>
    </row>
    <row r="9402" spans="1:8">
      <c r="A9402" t="s">
        <v>334</v>
      </c>
      <c r="B9402">
        <f>HYPERLINK("https://android.googlesource.com/platform/cts/+/338761727cc9d31006799ac20dea186697170da1", "338761727cc9d31006799ac20dea186697170da1")</f>
        <v>0</v>
      </c>
      <c r="C9402">
        <f>HYPERLINK("https://android.googlesource.com/platform/cts/+/d68b31216fa778e746449428131846c5d5454995", "d68b31216fa778e746449428131846c5d5454995")</f>
        <v>0</v>
      </c>
      <c r="D9402" t="s">
        <v>4941</v>
      </c>
      <c r="E9402" t="s">
        <v>6129</v>
      </c>
      <c r="F9402" t="s">
        <v>10792</v>
      </c>
      <c r="G9402" t="s">
        <v>15676</v>
      </c>
      <c r="H9402" t="s">
        <v>20298</v>
      </c>
    </row>
    <row r="9403" spans="1:8">
      <c r="H9403" t="s">
        <v>20299</v>
      </c>
    </row>
    <row r="9404" spans="1:8">
      <c r="H9404" t="s">
        <v>20300</v>
      </c>
    </row>
    <row r="9405" spans="1:8">
      <c r="H9405" t="s">
        <v>20301</v>
      </c>
    </row>
    <row r="9406" spans="1:8">
      <c r="H9406" t="s">
        <v>20302</v>
      </c>
    </row>
    <row r="9407" spans="1:8">
      <c r="H9407" t="s">
        <v>20303</v>
      </c>
    </row>
    <row r="9408" spans="1:8">
      <c r="H9408" t="s">
        <v>20304</v>
      </c>
    </row>
    <row r="9409" spans="1:8">
      <c r="H9409" t="s">
        <v>20305</v>
      </c>
    </row>
    <row r="9410" spans="1:8">
      <c r="H9410" t="s">
        <v>20306</v>
      </c>
    </row>
    <row r="9411" spans="1:8">
      <c r="H9411" t="s">
        <v>20307</v>
      </c>
    </row>
    <row r="9412" spans="1:8">
      <c r="H9412" t="s">
        <v>20308</v>
      </c>
    </row>
    <row r="9413" spans="1:8">
      <c r="H9413" t="s">
        <v>20309</v>
      </c>
    </row>
    <row r="9414" spans="1:8">
      <c r="H9414" t="s">
        <v>20310</v>
      </c>
    </row>
    <row r="9415" spans="1:8">
      <c r="H9415" t="s">
        <v>19646</v>
      </c>
    </row>
    <row r="9416" spans="1:8">
      <c r="H9416" t="s">
        <v>19647</v>
      </c>
    </row>
    <row r="9417" spans="1:8">
      <c r="H9417" t="s">
        <v>19648</v>
      </c>
    </row>
    <row r="9418" spans="1:8">
      <c r="H9418" t="s">
        <v>19649</v>
      </c>
    </row>
    <row r="9419" spans="1:8">
      <c r="H9419" t="s">
        <v>19650</v>
      </c>
    </row>
    <row r="9420" spans="1:8">
      <c r="H9420" t="s">
        <v>19651</v>
      </c>
    </row>
    <row r="9421" spans="1:8">
      <c r="H9421" t="s">
        <v>19652</v>
      </c>
    </row>
    <row r="9422" spans="1:8">
      <c r="H9422" t="s">
        <v>20311</v>
      </c>
    </row>
    <row r="9423" spans="1:8">
      <c r="A9423" t="s">
        <v>335</v>
      </c>
      <c r="B9423">
        <f>HYPERLINK("https://android.googlesource.com/platform/cts/+/e3ef9ca96c914ce38da218166e3a45dffed20fcb", "e3ef9ca96c914ce38da218166e3a45dffed20fcb")</f>
        <v>0</v>
      </c>
      <c r="C9423">
        <f>HYPERLINK("https://android.googlesource.com/platform/cts/+/d68b31216fa778e746449428131846c5d5454995", "d68b31216fa778e746449428131846c5d5454995")</f>
        <v>0</v>
      </c>
      <c r="D9423" t="s">
        <v>4941</v>
      </c>
      <c r="E9423" t="s">
        <v>6130</v>
      </c>
      <c r="F9423" t="s">
        <v>11437</v>
      </c>
      <c r="G9423" t="s">
        <v>15677</v>
      </c>
      <c r="H9423" t="s">
        <v>20083</v>
      </c>
    </row>
    <row r="9424" spans="1:8">
      <c r="A9424" t="s">
        <v>336</v>
      </c>
      <c r="B9424">
        <f>HYPERLINK("https://android.googlesource.com/platform/cts/+/6d4ce28c63f71ada6f43c80fbf3132524b0b39d8", "6d4ce28c63f71ada6f43c80fbf3132524b0b39d8")</f>
        <v>0</v>
      </c>
      <c r="C9424">
        <f>HYPERLINK("https://android.googlesource.com/platform/cts/+/d84723162edeeeac743c3e831944a2136a06f99c", "d84723162edeeeac743c3e831944a2136a06f99c")</f>
        <v>0</v>
      </c>
      <c r="D9424" t="s">
        <v>4978</v>
      </c>
      <c r="E9424" t="s">
        <v>6131</v>
      </c>
      <c r="F9424" t="s">
        <v>10670</v>
      </c>
      <c r="G9424" t="s">
        <v>15029</v>
      </c>
      <c r="H9424" t="s">
        <v>20312</v>
      </c>
    </row>
    <row r="9425" spans="1:8">
      <c r="H9425" t="s">
        <v>20313</v>
      </c>
    </row>
    <row r="9426" spans="1:8">
      <c r="H9426" t="s">
        <v>20314</v>
      </c>
    </row>
    <row r="9427" spans="1:8">
      <c r="H9427" t="s">
        <v>20315</v>
      </c>
    </row>
    <row r="9428" spans="1:8">
      <c r="H9428" t="s">
        <v>20316</v>
      </c>
    </row>
    <row r="9429" spans="1:8">
      <c r="A9429" t="s">
        <v>337</v>
      </c>
      <c r="B9429">
        <f>HYPERLINK("https://android.googlesource.com/platform/cts/+/a5e07f729e8c21c643c6913fe86cd326239bb1c4", "a5e07f729e8c21c643c6913fe86cd326239bb1c4")</f>
        <v>0</v>
      </c>
      <c r="C9429">
        <f>HYPERLINK("https://android.googlesource.com/platform/cts/+/d84723162edeeeac743c3e831944a2136a06f99c", "d84723162edeeeac743c3e831944a2136a06f99c")</f>
        <v>0</v>
      </c>
      <c r="D9429" t="s">
        <v>4967</v>
      </c>
      <c r="E9429" t="s">
        <v>6132</v>
      </c>
      <c r="F9429" t="s">
        <v>10682</v>
      </c>
      <c r="G9429" t="s">
        <v>15082</v>
      </c>
      <c r="H9429" t="s">
        <v>20317</v>
      </c>
    </row>
    <row r="9430" spans="1:8">
      <c r="A9430" t="s">
        <v>338</v>
      </c>
      <c r="B9430">
        <f>HYPERLINK("https://android.googlesource.com/platform/cts/+/c05d6814751ce3291539822528e689390e69da8d", "c05d6814751ce3291539822528e689390e69da8d")</f>
        <v>0</v>
      </c>
      <c r="C9430">
        <f>HYPERLINK("https://android.googlesource.com/platform/cts/+/a5e07f729e8c21c643c6913fe86cd326239bb1c4", "a5e07f729e8c21c643c6913fe86cd326239bb1c4")</f>
        <v>0</v>
      </c>
      <c r="D9430" t="s">
        <v>4967</v>
      </c>
      <c r="E9430" t="s">
        <v>6133</v>
      </c>
      <c r="F9430" t="s">
        <v>11433</v>
      </c>
      <c r="G9430" t="s">
        <v>15673</v>
      </c>
      <c r="H9430" t="s">
        <v>20318</v>
      </c>
    </row>
    <row r="9431" spans="1:8">
      <c r="H9431" t="s">
        <v>20319</v>
      </c>
    </row>
    <row r="9432" spans="1:8">
      <c r="H9432" t="s">
        <v>20320</v>
      </c>
    </row>
    <row r="9433" spans="1:8">
      <c r="H9433" t="s">
        <v>20321</v>
      </c>
    </row>
    <row r="9434" spans="1:8">
      <c r="H9434" t="s">
        <v>20322</v>
      </c>
    </row>
    <row r="9435" spans="1:8">
      <c r="H9435" t="s">
        <v>20323</v>
      </c>
    </row>
    <row r="9436" spans="1:8">
      <c r="H9436" t="s">
        <v>20324</v>
      </c>
    </row>
    <row r="9437" spans="1:8">
      <c r="H9437" t="s">
        <v>20325</v>
      </c>
    </row>
    <row r="9438" spans="1:8">
      <c r="A9438" t="s">
        <v>339</v>
      </c>
      <c r="B9438">
        <f>HYPERLINK("https://android.googlesource.com/platform/cts/+/e1cafc03a8c2559371dc199b9ae96e10d443bae5", "e1cafc03a8c2559371dc199b9ae96e10d443bae5")</f>
        <v>0</v>
      </c>
      <c r="C9438">
        <f>HYPERLINK("https://android.googlesource.com/platform/cts/+/bb828157aef048a28edefc2796fa64b472ab3c32", "bb828157aef048a28edefc2796fa64b472ab3c32")</f>
        <v>0</v>
      </c>
      <c r="D9438" t="s">
        <v>4952</v>
      </c>
      <c r="E9438" t="s">
        <v>6134</v>
      </c>
      <c r="F9438" t="s">
        <v>11438</v>
      </c>
      <c r="G9438" t="s">
        <v>15678</v>
      </c>
      <c r="H9438" t="s">
        <v>18829</v>
      </c>
    </row>
    <row r="9439" spans="1:8">
      <c r="H9439" t="s">
        <v>20326</v>
      </c>
    </row>
    <row r="9440" spans="1:8">
      <c r="H9440" t="s">
        <v>20327</v>
      </c>
    </row>
    <row r="9441" spans="1:8">
      <c r="H9441" t="s">
        <v>20328</v>
      </c>
    </row>
    <row r="9442" spans="1:8">
      <c r="H9442" t="s">
        <v>20329</v>
      </c>
    </row>
    <row r="9443" spans="1:8">
      <c r="H9443" t="s">
        <v>20330</v>
      </c>
    </row>
    <row r="9444" spans="1:8">
      <c r="H9444" t="s">
        <v>20331</v>
      </c>
    </row>
    <row r="9445" spans="1:8">
      <c r="H9445" t="s">
        <v>20332</v>
      </c>
    </row>
    <row r="9446" spans="1:8">
      <c r="A9446" t="s">
        <v>340</v>
      </c>
      <c r="B9446">
        <f>HYPERLINK("https://android.googlesource.com/platform/cts/+/e1233dfb12fbfc0452d7680a161982577c7db106", "e1233dfb12fbfc0452d7680a161982577c7db106")</f>
        <v>0</v>
      </c>
      <c r="C9446">
        <f>HYPERLINK("https://android.googlesource.com/platform/cts/+/aa8a34fa7890e53181c72af3c43a4e290bb0e2e1", "aa8a34fa7890e53181c72af3c43a4e290bb0e2e1")</f>
        <v>0</v>
      </c>
      <c r="D9446" t="s">
        <v>4979</v>
      </c>
      <c r="E9446" t="s">
        <v>6135</v>
      </c>
      <c r="F9446" t="s">
        <v>10794</v>
      </c>
      <c r="G9446" t="s">
        <v>15189</v>
      </c>
      <c r="H9446" t="s">
        <v>20333</v>
      </c>
    </row>
    <row r="9447" spans="1:8">
      <c r="A9447" t="s">
        <v>341</v>
      </c>
      <c r="B9447">
        <f>HYPERLINK("https://android.googlesource.com/platform/cts/+/c1d6bd518413c29e41be79f7db5fbdfa92c41c69", "c1d6bd518413c29e41be79f7db5fbdfa92c41c69")</f>
        <v>0</v>
      </c>
      <c r="C9447">
        <f>HYPERLINK("https://android.googlesource.com/platform/cts/+/45b5750e31251c051ed6b3ae7ad33bae9d999899", "45b5750e31251c051ed6b3ae7ad33bae9d999899")</f>
        <v>0</v>
      </c>
      <c r="D9447" t="s">
        <v>4979</v>
      </c>
      <c r="E9447" t="s">
        <v>6136</v>
      </c>
      <c r="F9447" t="s">
        <v>11439</v>
      </c>
      <c r="G9447" t="s">
        <v>15679</v>
      </c>
      <c r="H9447" t="s">
        <v>18829</v>
      </c>
    </row>
    <row r="9448" spans="1:8">
      <c r="H9448" t="s">
        <v>20334</v>
      </c>
    </row>
    <row r="9449" spans="1:8">
      <c r="H9449" t="s">
        <v>20335</v>
      </c>
    </row>
    <row r="9450" spans="1:8">
      <c r="H9450" t="s">
        <v>20336</v>
      </c>
    </row>
    <row r="9451" spans="1:8">
      <c r="H9451" t="s">
        <v>20337</v>
      </c>
    </row>
    <row r="9452" spans="1:8">
      <c r="A9452" t="s">
        <v>342</v>
      </c>
      <c r="B9452">
        <f>HYPERLINK("https://android.googlesource.com/platform/cts/+/7bc0320b796fa52268a3866a66d88f69f0278175", "7bc0320b796fa52268a3866a66d88f69f0278175")</f>
        <v>0</v>
      </c>
      <c r="C9452">
        <f>HYPERLINK("https://android.googlesource.com/platform/cts/+/f26610714a631cc933da15e985a9400e7615ba47", "f26610714a631cc933da15e985a9400e7615ba47")</f>
        <v>0</v>
      </c>
      <c r="D9452" t="s">
        <v>4949</v>
      </c>
      <c r="E9452" t="s">
        <v>6137</v>
      </c>
      <c r="F9452" t="s">
        <v>10720</v>
      </c>
      <c r="G9452" t="s">
        <v>15119</v>
      </c>
      <c r="H9452" t="s">
        <v>19928</v>
      </c>
    </row>
    <row r="9453" spans="1:8">
      <c r="H9453" t="s">
        <v>20338</v>
      </c>
    </row>
    <row r="9454" spans="1:8">
      <c r="H9454" t="s">
        <v>20339</v>
      </c>
    </row>
    <row r="9455" spans="1:8">
      <c r="H9455" t="s">
        <v>20340</v>
      </c>
    </row>
    <row r="9456" spans="1:8">
      <c r="H9456" t="s">
        <v>18893</v>
      </c>
    </row>
    <row r="9457" spans="6:8">
      <c r="H9457" t="s">
        <v>20341</v>
      </c>
    </row>
    <row r="9458" spans="6:8">
      <c r="H9458" t="s">
        <v>20342</v>
      </c>
    </row>
    <row r="9459" spans="6:8">
      <c r="H9459" t="s">
        <v>19756</v>
      </c>
    </row>
    <row r="9460" spans="6:8">
      <c r="H9460" t="s">
        <v>19757</v>
      </c>
    </row>
    <row r="9461" spans="6:8">
      <c r="H9461" t="s">
        <v>20343</v>
      </c>
    </row>
    <row r="9462" spans="6:8">
      <c r="H9462" t="s">
        <v>20344</v>
      </c>
    </row>
    <row r="9463" spans="6:8">
      <c r="H9463" t="s">
        <v>20297</v>
      </c>
    </row>
    <row r="9464" spans="6:8">
      <c r="F9464" t="s">
        <v>11184</v>
      </c>
      <c r="G9464" t="s">
        <v>15573</v>
      </c>
      <c r="H9464" t="s">
        <v>20345</v>
      </c>
    </row>
    <row r="9465" spans="6:8">
      <c r="H9465" t="s">
        <v>18829</v>
      </c>
    </row>
    <row r="9466" spans="6:8">
      <c r="H9466" t="s">
        <v>20273</v>
      </c>
    </row>
    <row r="9467" spans="6:8">
      <c r="H9467" t="s">
        <v>20274</v>
      </c>
    </row>
    <row r="9468" spans="6:8">
      <c r="H9468" t="s">
        <v>20275</v>
      </c>
    </row>
    <row r="9469" spans="6:8">
      <c r="H9469" t="s">
        <v>20276</v>
      </c>
    </row>
    <row r="9470" spans="6:8">
      <c r="H9470" t="s">
        <v>20277</v>
      </c>
    </row>
    <row r="9471" spans="6:8">
      <c r="H9471" t="s">
        <v>20278</v>
      </c>
    </row>
    <row r="9472" spans="6:8">
      <c r="H9472" t="s">
        <v>20279</v>
      </c>
    </row>
    <row r="9473" spans="8:8">
      <c r="H9473" t="s">
        <v>20280</v>
      </c>
    </row>
    <row r="9474" spans="8:8">
      <c r="H9474" t="s">
        <v>20281</v>
      </c>
    </row>
    <row r="9475" spans="8:8">
      <c r="H9475" t="s">
        <v>20346</v>
      </c>
    </row>
    <row r="9476" spans="8:8">
      <c r="H9476" t="s">
        <v>20347</v>
      </c>
    </row>
    <row r="9477" spans="8:8">
      <c r="H9477" t="s">
        <v>20348</v>
      </c>
    </row>
    <row r="9478" spans="8:8">
      <c r="H9478" t="s">
        <v>20349</v>
      </c>
    </row>
    <row r="9479" spans="8:8">
      <c r="H9479" t="s">
        <v>20350</v>
      </c>
    </row>
    <row r="9480" spans="8:8">
      <c r="H9480" t="s">
        <v>19756</v>
      </c>
    </row>
    <row r="9481" spans="8:8">
      <c r="H9481" t="s">
        <v>19757</v>
      </c>
    </row>
    <row r="9482" spans="8:8">
      <c r="H9482" t="s">
        <v>20351</v>
      </c>
    </row>
    <row r="9483" spans="8:8">
      <c r="H9483" t="s">
        <v>20134</v>
      </c>
    </row>
    <row r="9484" spans="8:8">
      <c r="H9484" t="s">
        <v>20135</v>
      </c>
    </row>
    <row r="9485" spans="8:8">
      <c r="H9485" t="s">
        <v>19805</v>
      </c>
    </row>
    <row r="9486" spans="8:8">
      <c r="H9486" t="s">
        <v>20352</v>
      </c>
    </row>
    <row r="9487" spans="8:8">
      <c r="H9487" t="s">
        <v>20353</v>
      </c>
    </row>
    <row r="9488" spans="8:8">
      <c r="H9488" t="s">
        <v>20354</v>
      </c>
    </row>
    <row r="9489" spans="1:8">
      <c r="H9489" t="s">
        <v>20355</v>
      </c>
    </row>
    <row r="9490" spans="1:8">
      <c r="H9490" t="s">
        <v>18893</v>
      </c>
    </row>
    <row r="9491" spans="1:8">
      <c r="H9491" t="s">
        <v>20356</v>
      </c>
    </row>
    <row r="9492" spans="1:8">
      <c r="A9492" t="s">
        <v>343</v>
      </c>
      <c r="B9492">
        <f>HYPERLINK("https://android.googlesource.com/platform/cts/+/5947eefac18b736441c8a488b32727fc8f9f0811", "5947eefac18b736441c8a488b32727fc8f9f0811")</f>
        <v>0</v>
      </c>
      <c r="C9492">
        <f>HYPERLINK("https://android.googlesource.com/platform/cts/+/b75e6c7911492de9acb4120c62c0654064d10846", "b75e6c7911492de9acb4120c62c0654064d10846")</f>
        <v>0</v>
      </c>
      <c r="D9492" t="s">
        <v>4980</v>
      </c>
      <c r="E9492" t="s">
        <v>6138</v>
      </c>
      <c r="F9492" t="s">
        <v>11193</v>
      </c>
      <c r="G9492" t="s">
        <v>15582</v>
      </c>
      <c r="H9492" t="s">
        <v>20357</v>
      </c>
    </row>
    <row r="9493" spans="1:8">
      <c r="H9493" t="s">
        <v>20358</v>
      </c>
    </row>
    <row r="9494" spans="1:8">
      <c r="H9494" t="s">
        <v>20359</v>
      </c>
    </row>
    <row r="9495" spans="1:8">
      <c r="H9495" t="s">
        <v>20360</v>
      </c>
    </row>
    <row r="9496" spans="1:8">
      <c r="H9496" t="s">
        <v>20361</v>
      </c>
    </row>
    <row r="9497" spans="1:8">
      <c r="H9497" t="s">
        <v>20362</v>
      </c>
    </row>
    <row r="9498" spans="1:8">
      <c r="H9498" t="s">
        <v>20363</v>
      </c>
    </row>
    <row r="9499" spans="1:8">
      <c r="A9499" t="s">
        <v>344</v>
      </c>
      <c r="B9499">
        <f>HYPERLINK("https://android.googlesource.com/platform/cts/+/e470100fe5b2f3e07c72e62dfe8437c4f9668e65", "e470100fe5b2f3e07c72e62dfe8437c4f9668e65")</f>
        <v>0</v>
      </c>
      <c r="C9499">
        <f>HYPERLINK("https://android.googlesource.com/platform/cts/+/678ed973b614c9e717aaf7b6c3f11962860d317a", "678ed973b614c9e717aaf7b6c3f11962860d317a")</f>
        <v>0</v>
      </c>
      <c r="D9499" t="s">
        <v>4941</v>
      </c>
      <c r="E9499" t="s">
        <v>6139</v>
      </c>
      <c r="F9499" t="s">
        <v>10690</v>
      </c>
      <c r="G9499" t="s">
        <v>15090</v>
      </c>
      <c r="H9499" t="s">
        <v>20364</v>
      </c>
    </row>
    <row r="9500" spans="1:8">
      <c r="F9500" t="s">
        <v>11440</v>
      </c>
      <c r="G9500" t="s">
        <v>15680</v>
      </c>
      <c r="H9500" t="s">
        <v>18836</v>
      </c>
    </row>
    <row r="9501" spans="1:8">
      <c r="A9501" t="s">
        <v>345</v>
      </c>
      <c r="B9501">
        <f>HYPERLINK("https://android.googlesource.com/platform/cts/+/da34b0e4b53f910e01e80bd463bf63b2f0996600", "da34b0e4b53f910e01e80bd463bf63b2f0996600")</f>
        <v>0</v>
      </c>
      <c r="C9501">
        <f>HYPERLINK("https://android.googlesource.com/platform/cts/+/3273b8230a2ab5cbe318a282c6db1d46a719ad59", "3273b8230a2ab5cbe318a282c6db1d46a719ad59")</f>
        <v>0</v>
      </c>
      <c r="D9501" t="s">
        <v>4949</v>
      </c>
      <c r="E9501" t="s">
        <v>6140</v>
      </c>
      <c r="F9501" t="s">
        <v>11441</v>
      </c>
      <c r="G9501" t="s">
        <v>15681</v>
      </c>
      <c r="H9501" t="s">
        <v>20365</v>
      </c>
    </row>
    <row r="9502" spans="1:8">
      <c r="H9502" t="s">
        <v>20366</v>
      </c>
    </row>
    <row r="9503" spans="1:8">
      <c r="H9503" t="s">
        <v>20367</v>
      </c>
    </row>
    <row r="9504" spans="1:8">
      <c r="H9504" t="s">
        <v>20368</v>
      </c>
    </row>
    <row r="9505" spans="1:8">
      <c r="H9505" t="s">
        <v>20369</v>
      </c>
    </row>
    <row r="9506" spans="1:8">
      <c r="H9506" t="s">
        <v>20370</v>
      </c>
    </row>
    <row r="9507" spans="1:8">
      <c r="H9507" t="s">
        <v>20371</v>
      </c>
    </row>
    <row r="9508" spans="1:8">
      <c r="A9508" t="s">
        <v>346</v>
      </c>
      <c r="B9508">
        <f>HYPERLINK("https://android.googlesource.com/platform/cts/+/91b820c64092393a3c06d8cbf5cd5e90be4827d1", "91b820c64092393a3c06d8cbf5cd5e90be4827d1")</f>
        <v>0</v>
      </c>
      <c r="C9508">
        <f>HYPERLINK("https://android.googlesource.com/platform/cts/+/04e5d7861c5885e2f8f7cbcbe508ac3d5dfd90e6", "04e5d7861c5885e2f8f7cbcbe508ac3d5dfd90e6")</f>
        <v>0</v>
      </c>
      <c r="D9508" t="s">
        <v>4941</v>
      </c>
      <c r="E9508" t="s">
        <v>6141</v>
      </c>
      <c r="F9508" t="s">
        <v>11442</v>
      </c>
      <c r="G9508" t="s">
        <v>15682</v>
      </c>
      <c r="H9508" t="s">
        <v>20372</v>
      </c>
    </row>
    <row r="9509" spans="1:8">
      <c r="A9509" t="s">
        <v>347</v>
      </c>
      <c r="B9509">
        <f>HYPERLINK("https://android.googlesource.com/platform/cts/+/673cc33a3b7268920c31d662319043b898d3a79c", "673cc33a3b7268920c31d662319043b898d3a79c")</f>
        <v>0</v>
      </c>
      <c r="C9509">
        <f>HYPERLINK("https://android.googlesource.com/platform/cts/+/bd21bedd2816c47bfba9b4e205e2c3dd10ede310", "bd21bedd2816c47bfba9b4e205e2c3dd10ede310")</f>
        <v>0</v>
      </c>
      <c r="D9509" t="s">
        <v>4952</v>
      </c>
      <c r="E9509" t="s">
        <v>6142</v>
      </c>
      <c r="F9509" t="s">
        <v>11443</v>
      </c>
      <c r="G9509" t="s">
        <v>15683</v>
      </c>
      <c r="H9509" t="s">
        <v>20373</v>
      </c>
    </row>
    <row r="9510" spans="1:8">
      <c r="H9510" t="s">
        <v>20374</v>
      </c>
    </row>
    <row r="9511" spans="1:8">
      <c r="H9511" t="s">
        <v>20375</v>
      </c>
    </row>
    <row r="9512" spans="1:8">
      <c r="H9512" t="s">
        <v>20376</v>
      </c>
    </row>
    <row r="9513" spans="1:8">
      <c r="H9513" t="s">
        <v>20377</v>
      </c>
    </row>
    <row r="9514" spans="1:8">
      <c r="A9514" t="s">
        <v>348</v>
      </c>
      <c r="B9514">
        <f>HYPERLINK("https://android.googlesource.com/platform/cts/+/c7b1d2ec404eb57add0efa4121316c7f766dae79", "c7b1d2ec404eb57add0efa4121316c7f766dae79")</f>
        <v>0</v>
      </c>
      <c r="C9514">
        <f>HYPERLINK("https://android.googlesource.com/platform/cts/+/ffff412d5dbf789f2cd1b17c173c309157775a0d", "ffff412d5dbf789f2cd1b17c173c309157775a0d")</f>
        <v>0</v>
      </c>
      <c r="D9514" t="s">
        <v>4936</v>
      </c>
      <c r="E9514" t="s">
        <v>6143</v>
      </c>
      <c r="F9514" t="s">
        <v>11444</v>
      </c>
      <c r="G9514" t="s">
        <v>15684</v>
      </c>
      <c r="H9514" t="s">
        <v>20378</v>
      </c>
    </row>
    <row r="9515" spans="1:8">
      <c r="H9515" t="s">
        <v>20379</v>
      </c>
    </row>
    <row r="9516" spans="1:8">
      <c r="F9516" t="s">
        <v>11445</v>
      </c>
      <c r="G9516" t="s">
        <v>15685</v>
      </c>
      <c r="H9516" t="s">
        <v>20380</v>
      </c>
    </row>
    <row r="9517" spans="1:8">
      <c r="F9517" t="s">
        <v>11446</v>
      </c>
      <c r="G9517" t="s">
        <v>15686</v>
      </c>
      <c r="H9517" t="s">
        <v>20381</v>
      </c>
    </row>
    <row r="9518" spans="1:8">
      <c r="H9518" t="s">
        <v>20382</v>
      </c>
    </row>
    <row r="9519" spans="1:8">
      <c r="H9519" t="s">
        <v>20383</v>
      </c>
    </row>
    <row r="9520" spans="1:8">
      <c r="H9520" t="s">
        <v>20384</v>
      </c>
    </row>
    <row r="9521" spans="6:8">
      <c r="H9521" t="s">
        <v>20385</v>
      </c>
    </row>
    <row r="9522" spans="6:8">
      <c r="H9522" t="s">
        <v>20386</v>
      </c>
    </row>
    <row r="9523" spans="6:8">
      <c r="H9523" t="s">
        <v>20387</v>
      </c>
    </row>
    <row r="9524" spans="6:8">
      <c r="H9524" t="s">
        <v>20388</v>
      </c>
    </row>
    <row r="9525" spans="6:8">
      <c r="H9525" t="s">
        <v>20389</v>
      </c>
    </row>
    <row r="9526" spans="6:8">
      <c r="F9526" t="s">
        <v>10794</v>
      </c>
      <c r="G9526" t="s">
        <v>15189</v>
      </c>
      <c r="H9526" t="s">
        <v>20390</v>
      </c>
    </row>
    <row r="9527" spans="6:8">
      <c r="H9527" t="s">
        <v>20391</v>
      </c>
    </row>
    <row r="9528" spans="6:8">
      <c r="H9528" t="s">
        <v>20392</v>
      </c>
    </row>
    <row r="9529" spans="6:8">
      <c r="H9529" t="s">
        <v>20393</v>
      </c>
    </row>
    <row r="9530" spans="6:8">
      <c r="H9530" t="s">
        <v>20394</v>
      </c>
    </row>
    <row r="9531" spans="6:8">
      <c r="H9531" t="s">
        <v>20395</v>
      </c>
    </row>
    <row r="9532" spans="6:8">
      <c r="H9532" t="s">
        <v>20396</v>
      </c>
    </row>
    <row r="9533" spans="6:8">
      <c r="H9533" t="s">
        <v>20397</v>
      </c>
    </row>
    <row r="9534" spans="6:8">
      <c r="H9534" t="s">
        <v>20398</v>
      </c>
    </row>
    <row r="9535" spans="6:8">
      <c r="H9535" t="s">
        <v>20399</v>
      </c>
    </row>
    <row r="9536" spans="6:8">
      <c r="H9536" t="s">
        <v>20400</v>
      </c>
    </row>
    <row r="9537" spans="1:8">
      <c r="H9537" t="s">
        <v>20401</v>
      </c>
    </row>
    <row r="9538" spans="1:8">
      <c r="A9538" t="s">
        <v>349</v>
      </c>
      <c r="B9538">
        <f>HYPERLINK("https://android.googlesource.com/platform/cts/+/6b8b6db2396fe7f3736e4668e8a03cf6cdd1d60a", "6b8b6db2396fe7f3736e4668e8a03cf6cdd1d60a")</f>
        <v>0</v>
      </c>
      <c r="C9538">
        <f>HYPERLINK("https://android.googlesource.com/platform/cts/+/5ae4c7de3dae3e6446726138ea553f2099f67f84", "5ae4c7de3dae3e6446726138ea553f2099f67f84")</f>
        <v>0</v>
      </c>
      <c r="D9538" t="s">
        <v>4936</v>
      </c>
      <c r="E9538" t="s">
        <v>6144</v>
      </c>
      <c r="F9538" t="s">
        <v>10597</v>
      </c>
      <c r="G9538" t="s">
        <v>15000</v>
      </c>
      <c r="H9538" t="s">
        <v>20402</v>
      </c>
    </row>
    <row r="9539" spans="1:8">
      <c r="A9539" t="s">
        <v>350</v>
      </c>
      <c r="B9539">
        <f>HYPERLINK("https://android.googlesource.com/platform/cts/+/5d871c9620f1557105f1c5b5d82e9881b063e7b2", "5d871c9620f1557105f1c5b5d82e9881b063e7b2")</f>
        <v>0</v>
      </c>
      <c r="C9539">
        <f>HYPERLINK("https://android.googlesource.com/platform/cts/+/9fa4fbfaf28804b903f4a01765fbd69feb56afc2", "9fa4fbfaf28804b903f4a01765fbd69feb56afc2")</f>
        <v>0</v>
      </c>
      <c r="D9539" t="s">
        <v>4981</v>
      </c>
      <c r="E9539" t="s">
        <v>6145</v>
      </c>
      <c r="F9539" t="s">
        <v>11435</v>
      </c>
      <c r="G9539" t="s">
        <v>15093</v>
      </c>
      <c r="H9539" t="s">
        <v>20403</v>
      </c>
    </row>
    <row r="9540" spans="1:8">
      <c r="A9540" t="s">
        <v>351</v>
      </c>
      <c r="B9540">
        <f>HYPERLINK("https://android.googlesource.com/platform/cts/+/2ebcb4f47fa183cea52366d36c4ac76e8690f2ae", "2ebcb4f47fa183cea52366d36c4ac76e8690f2ae")</f>
        <v>0</v>
      </c>
      <c r="C9540">
        <f>HYPERLINK("https://android.googlesource.com/platform/cts/+/c4201329bf1833d3582bce81b080708a1b70de3e", "c4201329bf1833d3582bce81b080708a1b70de3e")</f>
        <v>0</v>
      </c>
      <c r="D9540" t="s">
        <v>4952</v>
      </c>
      <c r="E9540" t="s">
        <v>6146</v>
      </c>
      <c r="F9540" t="s">
        <v>11447</v>
      </c>
      <c r="G9540" t="s">
        <v>15687</v>
      </c>
      <c r="H9540" t="s">
        <v>20404</v>
      </c>
    </row>
    <row r="9541" spans="1:8">
      <c r="A9541" t="s">
        <v>352</v>
      </c>
      <c r="B9541">
        <f>HYPERLINK("https://android.googlesource.com/platform/cts/+/7dddfd11f7eea14a100bd60f6b6feb1c4e8d7007", "7dddfd11f7eea14a100bd60f6b6feb1c4e8d7007")</f>
        <v>0</v>
      </c>
      <c r="C9541">
        <f>HYPERLINK("https://android.googlesource.com/platform/cts/+/9891cebb67d3d07d19440c6c2c7913b0372000a4", "9891cebb67d3d07d19440c6c2c7913b0372000a4")</f>
        <v>0</v>
      </c>
      <c r="D9541" t="s">
        <v>4936</v>
      </c>
      <c r="E9541" t="s">
        <v>6147</v>
      </c>
      <c r="F9541" t="s">
        <v>10740</v>
      </c>
      <c r="G9541" t="s">
        <v>15139</v>
      </c>
      <c r="H9541" t="s">
        <v>20405</v>
      </c>
    </row>
    <row r="9542" spans="1:8">
      <c r="F9542" t="s">
        <v>11448</v>
      </c>
      <c r="G9542" t="s">
        <v>15688</v>
      </c>
      <c r="H9542" t="s">
        <v>20406</v>
      </c>
    </row>
    <row r="9543" spans="1:8">
      <c r="H9543" t="s">
        <v>20407</v>
      </c>
    </row>
    <row r="9544" spans="1:8">
      <c r="A9544" t="s">
        <v>353</v>
      </c>
      <c r="B9544">
        <f>HYPERLINK("https://android.googlesource.com/platform/cts/+/0b4aba1c1aaac41fefea01769c9d22c1c1c25b0d", "0b4aba1c1aaac41fefea01769c9d22c1c1c25b0d")</f>
        <v>0</v>
      </c>
      <c r="C9544">
        <f>HYPERLINK("https://android.googlesource.com/platform/cts/+/8b7eaf990ea0939780cbde3ba56623cc868f4487", "8b7eaf990ea0939780cbde3ba56623cc868f4487")</f>
        <v>0</v>
      </c>
      <c r="D9544" t="s">
        <v>4982</v>
      </c>
      <c r="E9544" t="s">
        <v>6148</v>
      </c>
      <c r="F9544" t="s">
        <v>11449</v>
      </c>
      <c r="G9544" t="s">
        <v>15689</v>
      </c>
      <c r="H9544" t="s">
        <v>20408</v>
      </c>
    </row>
    <row r="9545" spans="1:8">
      <c r="A9545" t="s">
        <v>354</v>
      </c>
      <c r="B9545">
        <f>HYPERLINK("https://android.googlesource.com/platform/cts/+/6a3ac6d97642168b9aa85b6ed774fbbdd836265d", "6a3ac6d97642168b9aa85b6ed774fbbdd836265d")</f>
        <v>0</v>
      </c>
      <c r="C9545">
        <f>HYPERLINK("https://android.googlesource.com/platform/cts/+/57933a04caa41c019e6b9c40b88954adbfb96dbb", "57933a04caa41c019e6b9c40b88954adbfb96dbb")</f>
        <v>0</v>
      </c>
      <c r="D9545" t="s">
        <v>4949</v>
      </c>
      <c r="E9545" t="s">
        <v>6149</v>
      </c>
      <c r="F9545" t="s">
        <v>11450</v>
      </c>
      <c r="G9545" t="s">
        <v>15690</v>
      </c>
      <c r="H9545" t="s">
        <v>20409</v>
      </c>
    </row>
    <row r="9546" spans="1:8">
      <c r="H9546" t="s">
        <v>20410</v>
      </c>
    </row>
    <row r="9547" spans="1:8">
      <c r="H9547" t="s">
        <v>20411</v>
      </c>
    </row>
    <row r="9548" spans="1:8">
      <c r="H9548" t="s">
        <v>20412</v>
      </c>
    </row>
    <row r="9549" spans="1:8">
      <c r="A9549" t="s">
        <v>355</v>
      </c>
      <c r="B9549">
        <f>HYPERLINK("https://android.googlesource.com/platform/cts/+/e7afa6d9943e8215036774b42d64bf5f8883c38c", "e7afa6d9943e8215036774b42d64bf5f8883c38c")</f>
        <v>0</v>
      </c>
      <c r="C9549">
        <f>HYPERLINK("https://android.googlesource.com/platform/cts/+/6a3ac6d97642168b9aa85b6ed774fbbdd836265d", "6a3ac6d97642168b9aa85b6ed774fbbdd836265d")</f>
        <v>0</v>
      </c>
      <c r="D9549" t="s">
        <v>4949</v>
      </c>
      <c r="E9549" t="s">
        <v>6150</v>
      </c>
      <c r="F9549" t="s">
        <v>11451</v>
      </c>
      <c r="G9549" t="s">
        <v>15691</v>
      </c>
      <c r="H9549" t="s">
        <v>20295</v>
      </c>
    </row>
    <row r="9550" spans="1:8">
      <c r="A9550" t="s">
        <v>356</v>
      </c>
      <c r="B9550">
        <f>HYPERLINK("https://android.googlesource.com/platform/cts/+/9f06ffe54756b4c51b26f970fa0cf86ebd274499", "9f06ffe54756b4c51b26f970fa0cf86ebd274499")</f>
        <v>0</v>
      </c>
      <c r="C9550">
        <f>HYPERLINK("https://android.googlesource.com/platform/cts/+/36eefd8eae7cb813ec49874356853edc776c673f", "36eefd8eae7cb813ec49874356853edc776c673f")</f>
        <v>0</v>
      </c>
      <c r="D9550" t="s">
        <v>4936</v>
      </c>
      <c r="E9550" t="s">
        <v>6151</v>
      </c>
      <c r="F9550" t="s">
        <v>10644</v>
      </c>
      <c r="G9550" t="s">
        <v>15045</v>
      </c>
      <c r="H9550" t="s">
        <v>20413</v>
      </c>
    </row>
    <row r="9551" spans="1:8">
      <c r="H9551" t="s">
        <v>20414</v>
      </c>
    </row>
    <row r="9552" spans="1:8">
      <c r="A9552" t="s">
        <v>357</v>
      </c>
      <c r="B9552">
        <f>HYPERLINK("https://android.googlesource.com/platform/cts/+/1ea506ee94dc3e8bfe48d6fd1ce663cacef38d91", "1ea506ee94dc3e8bfe48d6fd1ce663cacef38d91")</f>
        <v>0</v>
      </c>
      <c r="C9552">
        <f>HYPERLINK("https://android.googlesource.com/platform/cts/+/82b8e073159a404379be354b30ca75475abe181c", "82b8e073159a404379be354b30ca75475abe181c")</f>
        <v>0</v>
      </c>
      <c r="D9552" t="s">
        <v>4941</v>
      </c>
      <c r="E9552" t="s">
        <v>6152</v>
      </c>
      <c r="F9552" t="s">
        <v>11452</v>
      </c>
      <c r="G9552" t="s">
        <v>15692</v>
      </c>
      <c r="H9552" t="s">
        <v>18876</v>
      </c>
    </row>
    <row r="9553" spans="1:8">
      <c r="A9553" t="s">
        <v>358</v>
      </c>
      <c r="B9553">
        <f>HYPERLINK("https://android.googlesource.com/platform/cts/+/1ca738e9763fe55517591eaecea66c7c73e3445b", "1ca738e9763fe55517591eaecea66c7c73e3445b")</f>
        <v>0</v>
      </c>
      <c r="C9553">
        <f>HYPERLINK("https://android.googlesource.com/platform/cts/+/6b9fb8c3a69ef283d4e37acd106362e876668cab", "6b9fb8c3a69ef283d4e37acd106362e876668cab")</f>
        <v>0</v>
      </c>
      <c r="D9553" t="s">
        <v>4941</v>
      </c>
      <c r="E9553" t="s">
        <v>6153</v>
      </c>
      <c r="F9553" t="s">
        <v>11186</v>
      </c>
      <c r="G9553" t="s">
        <v>15575</v>
      </c>
      <c r="H9553" t="s">
        <v>20166</v>
      </c>
    </row>
    <row r="9554" spans="1:8">
      <c r="A9554" t="s">
        <v>359</v>
      </c>
      <c r="B9554">
        <f>HYPERLINK("https://android.googlesource.com/platform/cts/+/5b7fa1892268a96b1481de768cafe67ca6edfc9d", "5b7fa1892268a96b1481de768cafe67ca6edfc9d")</f>
        <v>0</v>
      </c>
      <c r="C9554">
        <f>HYPERLINK("https://android.googlesource.com/platform/cts/+/0dbe847037fc266152965a6ca3d4645036f9ef2e", "0dbe847037fc266152965a6ca3d4645036f9ef2e")</f>
        <v>0</v>
      </c>
      <c r="D9554" t="s">
        <v>4967</v>
      </c>
      <c r="E9554" t="s">
        <v>6154</v>
      </c>
      <c r="F9554" t="s">
        <v>11453</v>
      </c>
      <c r="G9554" t="s">
        <v>15693</v>
      </c>
      <c r="H9554" t="s">
        <v>20415</v>
      </c>
    </row>
    <row r="9555" spans="1:8">
      <c r="H9555" t="s">
        <v>20416</v>
      </c>
    </row>
    <row r="9556" spans="1:8">
      <c r="H9556" t="s">
        <v>20417</v>
      </c>
    </row>
    <row r="9557" spans="1:8">
      <c r="A9557" t="s">
        <v>360</v>
      </c>
      <c r="B9557">
        <f>HYPERLINK("https://android.googlesource.com/platform/cts/+/6f1d52dc65cedde69b339afca9612eeca9878912", "6f1d52dc65cedde69b339afca9612eeca9878912")</f>
        <v>0</v>
      </c>
      <c r="C9557">
        <f>HYPERLINK("https://android.googlesource.com/platform/cts/+/b5b2307fc7eb12c13209c929fac86b23252b78dc", "b5b2307fc7eb12c13209c929fac86b23252b78dc")</f>
        <v>0</v>
      </c>
      <c r="D9557" t="s">
        <v>4941</v>
      </c>
      <c r="E9557" t="s">
        <v>6155</v>
      </c>
      <c r="F9557" t="s">
        <v>11454</v>
      </c>
      <c r="G9557" t="s">
        <v>15694</v>
      </c>
      <c r="H9557" t="s">
        <v>18829</v>
      </c>
    </row>
    <row r="9558" spans="1:8">
      <c r="F9558" t="s">
        <v>11455</v>
      </c>
      <c r="G9558" t="s">
        <v>15695</v>
      </c>
      <c r="H9558" t="s">
        <v>18829</v>
      </c>
    </row>
    <row r="9559" spans="1:8">
      <c r="F9559" t="s">
        <v>11456</v>
      </c>
      <c r="G9559" t="s">
        <v>15696</v>
      </c>
      <c r="H9559" t="s">
        <v>18829</v>
      </c>
    </row>
    <row r="9560" spans="1:8">
      <c r="A9560" t="s">
        <v>361</v>
      </c>
      <c r="B9560">
        <f>HYPERLINK("https://android.googlesource.com/platform/cts/+/7ec2c07efaff213d010d350e7b2d1609c1d0c1d9", "7ec2c07efaff213d010d350e7b2d1609c1d0c1d9")</f>
        <v>0</v>
      </c>
      <c r="C9560">
        <f>HYPERLINK("https://android.googlesource.com/platform/cts/+/1143f896f5fc712fb2249f55ab20f3d4b887a166", "1143f896f5fc712fb2249f55ab20f3d4b887a166")</f>
        <v>0</v>
      </c>
      <c r="D9560" t="s">
        <v>4949</v>
      </c>
      <c r="E9560" t="s">
        <v>6156</v>
      </c>
      <c r="F9560" t="s">
        <v>11450</v>
      </c>
      <c r="G9560" t="s">
        <v>15690</v>
      </c>
      <c r="H9560" t="s">
        <v>20418</v>
      </c>
    </row>
    <row r="9561" spans="1:8">
      <c r="A9561" t="s">
        <v>362</v>
      </c>
      <c r="B9561">
        <f>HYPERLINK("https://android.googlesource.com/platform/cts/+/b4bca5bf45f8b907c6f71dcad8e9972016eeabb5", "b4bca5bf45f8b907c6f71dcad8e9972016eeabb5")</f>
        <v>0</v>
      </c>
      <c r="C9561">
        <f>HYPERLINK("https://android.googlesource.com/platform/cts/+/b5b2307fc7eb12c13209c929fac86b23252b78dc", "b5b2307fc7eb12c13209c929fac86b23252b78dc")</f>
        <v>0</v>
      </c>
      <c r="D9561" t="s">
        <v>4941</v>
      </c>
      <c r="E9561" t="s">
        <v>6157</v>
      </c>
      <c r="F9561" t="s">
        <v>11457</v>
      </c>
      <c r="G9561" t="s">
        <v>15697</v>
      </c>
      <c r="H9561" t="s">
        <v>20419</v>
      </c>
    </row>
    <row r="9562" spans="1:8">
      <c r="A9562" t="s">
        <v>363</v>
      </c>
      <c r="B9562">
        <f>HYPERLINK("https://android.googlesource.com/platform/cts/+/a6570dcfa4b86bd4d473dfd5aba8956ea3ef4a89", "a6570dcfa4b86bd4d473dfd5aba8956ea3ef4a89")</f>
        <v>0</v>
      </c>
      <c r="C9562">
        <f>HYPERLINK("https://android.googlesource.com/platform/cts/+/e0d6e0d1a9d3364f0410bcda9ab1b93f358f45f9", "e0d6e0d1a9d3364f0410bcda9ab1b93f358f45f9")</f>
        <v>0</v>
      </c>
      <c r="D9562" t="s">
        <v>4941</v>
      </c>
      <c r="E9562" t="s">
        <v>6158</v>
      </c>
      <c r="F9562" t="s">
        <v>11457</v>
      </c>
      <c r="G9562" t="s">
        <v>15697</v>
      </c>
      <c r="H9562" t="s">
        <v>20419</v>
      </c>
    </row>
    <row r="9563" spans="1:8">
      <c r="F9563" t="s">
        <v>11454</v>
      </c>
      <c r="G9563" t="s">
        <v>15694</v>
      </c>
      <c r="H9563" t="s">
        <v>18829</v>
      </c>
    </row>
    <row r="9564" spans="1:8">
      <c r="F9564" t="s">
        <v>11455</v>
      </c>
      <c r="G9564" t="s">
        <v>15695</v>
      </c>
      <c r="H9564" t="s">
        <v>18829</v>
      </c>
    </row>
    <row r="9565" spans="1:8">
      <c r="F9565" t="s">
        <v>11456</v>
      </c>
      <c r="G9565" t="s">
        <v>15696</v>
      </c>
      <c r="H9565" t="s">
        <v>18829</v>
      </c>
    </row>
    <row r="9566" spans="1:8">
      <c r="A9566" t="s">
        <v>364</v>
      </c>
      <c r="B9566">
        <f>HYPERLINK("https://android.googlesource.com/platform/cts/+/37bf373b98e7b516d2af7e03bc9b9804e9368142", "37bf373b98e7b516d2af7e03bc9b9804e9368142")</f>
        <v>0</v>
      </c>
      <c r="C9566">
        <f>HYPERLINK("https://android.googlesource.com/platform/cts/+/4c9583c1f12f50a19c1fbac3c0a0de54cd18a7d8", "4c9583c1f12f50a19c1fbac3c0a0de54cd18a7d8")</f>
        <v>0</v>
      </c>
      <c r="D9566" t="s">
        <v>4973</v>
      </c>
      <c r="E9566" t="s">
        <v>6159</v>
      </c>
      <c r="F9566" t="s">
        <v>11458</v>
      </c>
      <c r="G9566" t="s">
        <v>15698</v>
      </c>
      <c r="H9566" t="s">
        <v>20420</v>
      </c>
    </row>
    <row r="9567" spans="1:8">
      <c r="F9567" t="s">
        <v>11459</v>
      </c>
      <c r="G9567" t="s">
        <v>15699</v>
      </c>
      <c r="H9567" t="s">
        <v>20420</v>
      </c>
    </row>
    <row r="9568" spans="1:8">
      <c r="F9568" t="s">
        <v>11460</v>
      </c>
      <c r="G9568" t="s">
        <v>15700</v>
      </c>
      <c r="H9568" t="s">
        <v>20420</v>
      </c>
    </row>
    <row r="9569" spans="1:8">
      <c r="F9569" t="s">
        <v>11461</v>
      </c>
      <c r="G9569" t="s">
        <v>15701</v>
      </c>
      <c r="H9569" t="s">
        <v>20420</v>
      </c>
    </row>
    <row r="9570" spans="1:8">
      <c r="F9570" t="s">
        <v>11462</v>
      </c>
      <c r="G9570" t="s">
        <v>15702</v>
      </c>
      <c r="H9570" t="s">
        <v>20420</v>
      </c>
    </row>
    <row r="9571" spans="1:8">
      <c r="F9571" t="s">
        <v>11463</v>
      </c>
      <c r="G9571" t="s">
        <v>15703</v>
      </c>
      <c r="H9571" t="s">
        <v>20420</v>
      </c>
    </row>
    <row r="9572" spans="1:8">
      <c r="F9572" t="s">
        <v>11464</v>
      </c>
      <c r="G9572" t="s">
        <v>15704</v>
      </c>
      <c r="H9572" t="s">
        <v>20420</v>
      </c>
    </row>
    <row r="9573" spans="1:8">
      <c r="F9573" t="s">
        <v>11465</v>
      </c>
      <c r="G9573" t="s">
        <v>15705</v>
      </c>
      <c r="H9573" t="s">
        <v>20420</v>
      </c>
    </row>
    <row r="9574" spans="1:8">
      <c r="F9574" t="s">
        <v>11466</v>
      </c>
      <c r="G9574" t="s">
        <v>15706</v>
      </c>
      <c r="H9574" t="s">
        <v>20420</v>
      </c>
    </row>
    <row r="9575" spans="1:8">
      <c r="F9575" t="s">
        <v>11467</v>
      </c>
      <c r="G9575" t="s">
        <v>15707</v>
      </c>
      <c r="H9575" t="s">
        <v>20420</v>
      </c>
    </row>
    <row r="9576" spans="1:8">
      <c r="F9576" t="s">
        <v>11468</v>
      </c>
      <c r="G9576" t="s">
        <v>15708</v>
      </c>
      <c r="H9576" t="s">
        <v>20420</v>
      </c>
    </row>
    <row r="9577" spans="1:8">
      <c r="A9577" t="s">
        <v>365</v>
      </c>
      <c r="B9577">
        <f>HYPERLINK("https://android.googlesource.com/platform/cts/+/2c6d380e7d8206949e25b045653ce71c73663c55", "2c6d380e7d8206949e25b045653ce71c73663c55")</f>
        <v>0</v>
      </c>
      <c r="C9577">
        <f>HYPERLINK("https://android.googlesource.com/platform/cts/+/0f6a860f9fcba915cbf1801ddf97fdddd8785c2f", "0f6a860f9fcba915cbf1801ddf97fdddd8785c2f")</f>
        <v>0</v>
      </c>
      <c r="D9577" t="s">
        <v>4973</v>
      </c>
      <c r="E9577" t="s">
        <v>6160</v>
      </c>
      <c r="F9577" t="s">
        <v>11469</v>
      </c>
      <c r="G9577" t="s">
        <v>15709</v>
      </c>
      <c r="H9577" t="s">
        <v>20421</v>
      </c>
    </row>
    <row r="9578" spans="1:8">
      <c r="H9578" t="s">
        <v>20422</v>
      </c>
    </row>
    <row r="9579" spans="1:8">
      <c r="A9579" t="s">
        <v>366</v>
      </c>
      <c r="B9579">
        <f>HYPERLINK("https://android.googlesource.com/platform/cts/+/2504acc530674e50ddb4cb44cd32c1f7805fcd0b", "2504acc530674e50ddb4cb44cd32c1f7805fcd0b")</f>
        <v>0</v>
      </c>
      <c r="C9579">
        <f>HYPERLINK("https://android.googlesource.com/platform/cts/+/2c6d380e7d8206949e25b045653ce71c73663c55", "2c6d380e7d8206949e25b045653ce71c73663c55")</f>
        <v>0</v>
      </c>
      <c r="D9579" t="s">
        <v>4941</v>
      </c>
      <c r="E9579" t="s">
        <v>6161</v>
      </c>
      <c r="F9579" t="s">
        <v>11470</v>
      </c>
      <c r="G9579" t="s">
        <v>15710</v>
      </c>
      <c r="H9579" t="s">
        <v>20423</v>
      </c>
    </row>
    <row r="9580" spans="1:8">
      <c r="A9580" t="s">
        <v>367</v>
      </c>
      <c r="B9580">
        <f>HYPERLINK("https://android.googlesource.com/platform/cts/+/fbfb026c4deca937184f2bb14daea3405d7e004b", "fbfb026c4deca937184f2bb14daea3405d7e004b")</f>
        <v>0</v>
      </c>
      <c r="C9580">
        <f>HYPERLINK("https://android.googlesource.com/platform/cts/+/ad8f4d4562562b62cbe694c46f9e11850fe1c82f", "ad8f4d4562562b62cbe694c46f9e11850fe1c82f")</f>
        <v>0</v>
      </c>
      <c r="D9580" t="s">
        <v>4979</v>
      </c>
      <c r="E9580" t="s">
        <v>6162</v>
      </c>
      <c r="F9580" t="s">
        <v>11471</v>
      </c>
      <c r="G9580" t="s">
        <v>15711</v>
      </c>
      <c r="H9580" t="s">
        <v>20424</v>
      </c>
    </row>
    <row r="9581" spans="1:8">
      <c r="H9581" t="s">
        <v>20425</v>
      </c>
    </row>
    <row r="9582" spans="1:8">
      <c r="A9582" t="s">
        <v>368</v>
      </c>
      <c r="B9582">
        <f>HYPERLINK("https://android.googlesource.com/platform/cts/+/775d37162a287fb6d3838c92879bfa1f9d2c32c7", "775d37162a287fb6d3838c92879bfa1f9d2c32c7")</f>
        <v>0</v>
      </c>
      <c r="C9582">
        <f>HYPERLINK("https://android.googlesource.com/platform/cts/+/8fdfc653ff74c5cb03722f165db608b9f63be978", "8fdfc653ff74c5cb03722f165db608b9f63be978")</f>
        <v>0</v>
      </c>
      <c r="D9582" t="s">
        <v>4949</v>
      </c>
      <c r="E9582" t="s">
        <v>6163</v>
      </c>
      <c r="F9582" t="s">
        <v>11472</v>
      </c>
      <c r="G9582" t="s">
        <v>15712</v>
      </c>
      <c r="H9582" t="s">
        <v>20426</v>
      </c>
    </row>
    <row r="9583" spans="1:8">
      <c r="H9583" t="s">
        <v>20427</v>
      </c>
    </row>
    <row r="9584" spans="1:8">
      <c r="H9584" t="s">
        <v>20428</v>
      </c>
    </row>
    <row r="9585" spans="1:8">
      <c r="H9585" t="s">
        <v>20429</v>
      </c>
    </row>
    <row r="9586" spans="1:8">
      <c r="H9586" t="s">
        <v>20430</v>
      </c>
    </row>
    <row r="9587" spans="1:8">
      <c r="F9587" t="s">
        <v>10699</v>
      </c>
      <c r="G9587" t="s">
        <v>15099</v>
      </c>
      <c r="H9587" t="s">
        <v>20431</v>
      </c>
    </row>
    <row r="9588" spans="1:8">
      <c r="A9588" t="s">
        <v>369</v>
      </c>
      <c r="B9588">
        <f>HYPERLINK("https://android.googlesource.com/platform/cts/+/f34f531afb52bddffcb706d829740ea46044f50b", "f34f531afb52bddffcb706d829740ea46044f50b")</f>
        <v>0</v>
      </c>
      <c r="C9588">
        <f>HYPERLINK("https://android.googlesource.com/platform/cts/+/a9df97da8c7d6b547e1f1a55768a5a783ea58d2b", "a9df97da8c7d6b547e1f1a55768a5a783ea58d2b")</f>
        <v>0</v>
      </c>
      <c r="D9588" t="s">
        <v>4973</v>
      </c>
      <c r="E9588" t="s">
        <v>6164</v>
      </c>
      <c r="F9588" t="s">
        <v>11472</v>
      </c>
      <c r="G9588" t="s">
        <v>15712</v>
      </c>
      <c r="H9588" t="s">
        <v>20426</v>
      </c>
    </row>
    <row r="9589" spans="1:8">
      <c r="H9589" t="s">
        <v>20427</v>
      </c>
    </row>
    <row r="9590" spans="1:8">
      <c r="H9590" t="s">
        <v>20428</v>
      </c>
    </row>
    <row r="9591" spans="1:8">
      <c r="H9591" t="s">
        <v>20429</v>
      </c>
    </row>
    <row r="9592" spans="1:8">
      <c r="H9592" t="s">
        <v>20430</v>
      </c>
    </row>
    <row r="9593" spans="1:8">
      <c r="A9593" t="s">
        <v>370</v>
      </c>
      <c r="B9593">
        <f>HYPERLINK("https://android.googlesource.com/platform/cts/+/0b1b8b03b25e36a608517afe1037c42a4a804c18", "0b1b8b03b25e36a608517afe1037c42a4a804c18")</f>
        <v>0</v>
      </c>
      <c r="C9593">
        <f>HYPERLINK("https://android.googlesource.com/platform/cts/+/8c09b8c887cf10d71ede6f55d4b391edf1366c22", "8c09b8c887cf10d71ede6f55d4b391edf1366c22")</f>
        <v>0</v>
      </c>
      <c r="D9593" t="s">
        <v>4977</v>
      </c>
      <c r="E9593" t="s">
        <v>6165</v>
      </c>
      <c r="F9593" t="s">
        <v>11473</v>
      </c>
      <c r="G9593" t="s">
        <v>15713</v>
      </c>
      <c r="H9593" t="s">
        <v>20432</v>
      </c>
    </row>
    <row r="9594" spans="1:8">
      <c r="A9594" t="s">
        <v>371</v>
      </c>
      <c r="B9594">
        <f>HYPERLINK("https://android.googlesource.com/platform/cts/+/a21bd2a58a73b0aac2700a551e82824c7a44f42a", "a21bd2a58a73b0aac2700a551e82824c7a44f42a")</f>
        <v>0</v>
      </c>
      <c r="C9594">
        <f>HYPERLINK("https://android.googlesource.com/platform/cts/+/98a6d451be2559e03ba221fb382764f85e3c2038", "98a6d451be2559e03ba221fb382764f85e3c2038")</f>
        <v>0</v>
      </c>
      <c r="D9594" t="s">
        <v>4980</v>
      </c>
      <c r="E9594" t="s">
        <v>6166</v>
      </c>
      <c r="F9594" t="s">
        <v>11474</v>
      </c>
      <c r="G9594" t="s">
        <v>15714</v>
      </c>
      <c r="H9594" t="s">
        <v>20237</v>
      </c>
    </row>
    <row r="9595" spans="1:8">
      <c r="H9595" t="s">
        <v>20433</v>
      </c>
    </row>
    <row r="9596" spans="1:8">
      <c r="H9596" t="s">
        <v>20434</v>
      </c>
    </row>
    <row r="9597" spans="1:8">
      <c r="A9597" t="s">
        <v>372</v>
      </c>
      <c r="B9597">
        <f>HYPERLINK("https://android.googlesource.com/platform/cts/+/2e21839f3f1927d040a2a2ee2493d0a20bb3c3ef", "2e21839f3f1927d040a2a2ee2493d0a20bb3c3ef")</f>
        <v>0</v>
      </c>
      <c r="C9597">
        <f>HYPERLINK("https://android.googlesource.com/platform/cts/+/5b4f93248db549b7b0c10e8c5389107fb21be579", "5b4f93248db549b7b0c10e8c5389107fb21be579")</f>
        <v>0</v>
      </c>
      <c r="D9597" t="s">
        <v>4983</v>
      </c>
      <c r="E9597" t="s">
        <v>6166</v>
      </c>
      <c r="F9597" t="s">
        <v>11474</v>
      </c>
      <c r="G9597" t="s">
        <v>15714</v>
      </c>
      <c r="H9597" t="s">
        <v>20237</v>
      </c>
    </row>
    <row r="9598" spans="1:8">
      <c r="H9598" t="s">
        <v>20433</v>
      </c>
    </row>
    <row r="9599" spans="1:8">
      <c r="H9599" t="s">
        <v>20434</v>
      </c>
    </row>
    <row r="9600" spans="1:8">
      <c r="A9600" t="s">
        <v>373</v>
      </c>
      <c r="B9600">
        <f>HYPERLINK("https://android.googlesource.com/platform/cts/+/521d0c6b88e4c6531b6ec360e2c244c8d13d34ef", "521d0c6b88e4c6531b6ec360e2c244c8d13d34ef")</f>
        <v>0</v>
      </c>
      <c r="C9600">
        <f>HYPERLINK("https://android.googlesource.com/platform/cts/+/29a837278f7974b6004574c6deb86bef59a98928", "29a837278f7974b6004574c6deb86bef59a98928")</f>
        <v>0</v>
      </c>
      <c r="D9600" t="s">
        <v>4984</v>
      </c>
      <c r="E9600" t="s">
        <v>6167</v>
      </c>
      <c r="F9600" t="s">
        <v>10662</v>
      </c>
      <c r="G9600" t="s">
        <v>15063</v>
      </c>
      <c r="H9600" t="s">
        <v>19729</v>
      </c>
    </row>
    <row r="9601" spans="1:8">
      <c r="A9601" t="s">
        <v>374</v>
      </c>
      <c r="B9601">
        <f>HYPERLINK("https://android.googlesource.com/platform/cts/+/50455b3f14f3cd835150e63bea640cb76c7c2cb4", "50455b3f14f3cd835150e63bea640cb76c7c2cb4")</f>
        <v>0</v>
      </c>
      <c r="C9601">
        <f>HYPERLINK("https://android.googlesource.com/platform/cts/+/b6ea46e3f074720ddae5e018b80e616f72272ed0", "b6ea46e3f074720ddae5e018b80e616f72272ed0")</f>
        <v>0</v>
      </c>
      <c r="D9601" t="s">
        <v>4980</v>
      </c>
      <c r="E9601" t="s">
        <v>6168</v>
      </c>
      <c r="F9601" t="s">
        <v>11475</v>
      </c>
      <c r="G9601" t="s">
        <v>15715</v>
      </c>
      <c r="H9601" t="s">
        <v>18863</v>
      </c>
    </row>
    <row r="9602" spans="1:8">
      <c r="H9602" t="s">
        <v>20435</v>
      </c>
    </row>
    <row r="9603" spans="1:8">
      <c r="F9603" t="s">
        <v>11476</v>
      </c>
      <c r="G9603" t="s">
        <v>15716</v>
      </c>
      <c r="H9603" t="s">
        <v>18863</v>
      </c>
    </row>
    <row r="9604" spans="1:8">
      <c r="H9604" t="s">
        <v>20436</v>
      </c>
    </row>
    <row r="9605" spans="1:8">
      <c r="H9605" t="s">
        <v>20437</v>
      </c>
    </row>
    <row r="9606" spans="1:8">
      <c r="H9606" t="s">
        <v>20438</v>
      </c>
    </row>
    <row r="9607" spans="1:8">
      <c r="H9607" t="s">
        <v>20439</v>
      </c>
    </row>
    <row r="9608" spans="1:8">
      <c r="F9608" t="s">
        <v>11477</v>
      </c>
      <c r="G9608" t="s">
        <v>15717</v>
      </c>
      <c r="H9608" t="s">
        <v>18863</v>
      </c>
    </row>
    <row r="9609" spans="1:8">
      <c r="H9609" t="s">
        <v>20440</v>
      </c>
    </row>
    <row r="9610" spans="1:8">
      <c r="H9610" t="s">
        <v>20441</v>
      </c>
    </row>
    <row r="9611" spans="1:8">
      <c r="F9611" t="s">
        <v>11478</v>
      </c>
      <c r="G9611" t="s">
        <v>15718</v>
      </c>
      <c r="H9611" t="s">
        <v>20442</v>
      </c>
    </row>
    <row r="9612" spans="1:8">
      <c r="H9612" t="s">
        <v>18829</v>
      </c>
    </row>
    <row r="9613" spans="1:8">
      <c r="H9613" t="s">
        <v>18863</v>
      </c>
    </row>
    <row r="9614" spans="1:8">
      <c r="H9614" t="s">
        <v>20443</v>
      </c>
    </row>
    <row r="9615" spans="1:8">
      <c r="F9615" t="s">
        <v>10942</v>
      </c>
      <c r="G9615" t="s">
        <v>14991</v>
      </c>
      <c r="H9615" t="s">
        <v>20444</v>
      </c>
    </row>
    <row r="9616" spans="1:8">
      <c r="F9616" t="s">
        <v>11479</v>
      </c>
      <c r="G9616" t="s">
        <v>15719</v>
      </c>
      <c r="H9616" t="s">
        <v>20445</v>
      </c>
    </row>
    <row r="9617" spans="1:8">
      <c r="A9617" t="s">
        <v>375</v>
      </c>
      <c r="B9617">
        <f>HYPERLINK("https://android.googlesource.com/platform/cts/+/421962663686789e8c4f920b27514e2108902d33", "421962663686789e8c4f920b27514e2108902d33")</f>
        <v>0</v>
      </c>
      <c r="C9617">
        <f>HYPERLINK("https://android.googlesource.com/platform/cts/+/a0654af97f6f1d06f6f3a93612f076d5abe8239a", "a0654af97f6f1d06f6f3a93612f076d5abe8239a")</f>
        <v>0</v>
      </c>
      <c r="D9617" t="s">
        <v>4936</v>
      </c>
      <c r="E9617" t="s">
        <v>6169</v>
      </c>
      <c r="F9617" t="s">
        <v>11445</v>
      </c>
      <c r="G9617" t="s">
        <v>15685</v>
      </c>
      <c r="H9617" t="s">
        <v>20380</v>
      </c>
    </row>
    <row r="9618" spans="1:8">
      <c r="A9618" t="s">
        <v>376</v>
      </c>
      <c r="B9618">
        <f>HYPERLINK("https://android.googlesource.com/platform/cts/+/b9f6a071a4a8e22aa30fb302994762957d6a8f32", "b9f6a071a4a8e22aa30fb302994762957d6a8f32")</f>
        <v>0</v>
      </c>
      <c r="C9618">
        <f>HYPERLINK("https://android.googlesource.com/platform/cts/+/0f29e44ecc729201b10b3ea45533a7bae4ed65b6", "0f29e44ecc729201b10b3ea45533a7bae4ed65b6")</f>
        <v>0</v>
      </c>
      <c r="D9618" t="s">
        <v>4985</v>
      </c>
      <c r="E9618" t="s">
        <v>6170</v>
      </c>
      <c r="F9618" t="s">
        <v>10778</v>
      </c>
      <c r="G9618" t="s">
        <v>15174</v>
      </c>
      <c r="H9618" t="s">
        <v>18893</v>
      </c>
    </row>
    <row r="9619" spans="1:8">
      <c r="H9619" t="s">
        <v>20446</v>
      </c>
    </row>
    <row r="9620" spans="1:8">
      <c r="H9620" t="s">
        <v>20447</v>
      </c>
    </row>
    <row r="9621" spans="1:8">
      <c r="H9621" t="s">
        <v>19541</v>
      </c>
    </row>
    <row r="9622" spans="1:8">
      <c r="H9622" t="s">
        <v>20448</v>
      </c>
    </row>
    <row r="9623" spans="1:8">
      <c r="H9623" t="s">
        <v>19542</v>
      </c>
    </row>
    <row r="9624" spans="1:8">
      <c r="H9624" t="s">
        <v>19542</v>
      </c>
    </row>
    <row r="9625" spans="1:8">
      <c r="A9625" t="s">
        <v>377</v>
      </c>
      <c r="B9625">
        <f>HYPERLINK("https://android.googlesource.com/platform/cts/+/952eb5628458766f4f5778aaf467be6854b69767", "952eb5628458766f4f5778aaf467be6854b69767")</f>
        <v>0</v>
      </c>
      <c r="C9625">
        <f>HYPERLINK("https://android.googlesource.com/platform/cts/+/86033165713af249c1daa8a825d1a5e64acbc048", "86033165713af249c1daa8a825d1a5e64acbc048")</f>
        <v>0</v>
      </c>
      <c r="D9625" t="s">
        <v>4936</v>
      </c>
      <c r="E9625" t="s">
        <v>6171</v>
      </c>
      <c r="F9625" t="s">
        <v>10699</v>
      </c>
      <c r="G9625" t="s">
        <v>15099</v>
      </c>
      <c r="H9625" t="s">
        <v>20449</v>
      </c>
    </row>
    <row r="9626" spans="1:8">
      <c r="A9626" t="s">
        <v>378</v>
      </c>
      <c r="B9626">
        <f>HYPERLINK("https://android.googlesource.com/platform/cts/+/4403e508f7b79037cc2d97334e979b4c5b02d623", "4403e508f7b79037cc2d97334e979b4c5b02d623")</f>
        <v>0</v>
      </c>
      <c r="C9626">
        <f>HYPERLINK("https://android.googlesource.com/platform/cts/+/86033165713af249c1daa8a825d1a5e64acbc048", "86033165713af249c1daa8a825d1a5e64acbc048")</f>
        <v>0</v>
      </c>
      <c r="D9626" t="s">
        <v>4973</v>
      </c>
      <c r="E9626" t="s">
        <v>6172</v>
      </c>
      <c r="F9626" t="s">
        <v>11476</v>
      </c>
      <c r="G9626" t="s">
        <v>15720</v>
      </c>
      <c r="H9626" t="s">
        <v>18863</v>
      </c>
    </row>
    <row r="9627" spans="1:8">
      <c r="H9627" t="s">
        <v>20436</v>
      </c>
    </row>
    <row r="9628" spans="1:8">
      <c r="H9628" t="s">
        <v>20437</v>
      </c>
    </row>
    <row r="9629" spans="1:8">
      <c r="H9629" t="s">
        <v>20438</v>
      </c>
    </row>
    <row r="9630" spans="1:8">
      <c r="H9630" t="s">
        <v>20439</v>
      </c>
    </row>
    <row r="9631" spans="1:8">
      <c r="A9631" t="s">
        <v>379</v>
      </c>
      <c r="B9631">
        <f>HYPERLINK("https://android.googlesource.com/platform/cts/+/e900c2d5629ef151fd5cfcce83fa781c490d529c", "e900c2d5629ef151fd5cfcce83fa781c490d529c")</f>
        <v>0</v>
      </c>
      <c r="C9631">
        <f>HYPERLINK("https://android.googlesource.com/platform/cts/+/91245482a53a261c8a482de0e2a28bb8f4b5769e", "91245482a53a261c8a482de0e2a28bb8f4b5769e")</f>
        <v>0</v>
      </c>
      <c r="D9631" t="s">
        <v>4973</v>
      </c>
      <c r="E9631" t="s">
        <v>6173</v>
      </c>
      <c r="F9631" t="s">
        <v>11475</v>
      </c>
      <c r="G9631" t="s">
        <v>15715</v>
      </c>
      <c r="H9631" t="s">
        <v>18863</v>
      </c>
    </row>
    <row r="9632" spans="1:8">
      <c r="H9632" t="s">
        <v>20435</v>
      </c>
    </row>
    <row r="9633" spans="1:8">
      <c r="A9633" t="s">
        <v>380</v>
      </c>
      <c r="B9633">
        <f>HYPERLINK("https://android.googlesource.com/platform/cts/+/b043cccc87014cf79e7d37a29b73e46e5294815f", "b043cccc87014cf79e7d37a29b73e46e5294815f")</f>
        <v>0</v>
      </c>
      <c r="C9633">
        <f>HYPERLINK("https://android.googlesource.com/platform/cts/+/2ffddecc8c3ae8942982fa8e34c442d4183946df", "2ffddecc8c3ae8942982fa8e34c442d4183946df")</f>
        <v>0</v>
      </c>
      <c r="D9633" t="s">
        <v>4967</v>
      </c>
      <c r="E9633" t="s">
        <v>6174</v>
      </c>
      <c r="F9633" t="s">
        <v>11480</v>
      </c>
      <c r="G9633" t="s">
        <v>15721</v>
      </c>
      <c r="H9633" t="s">
        <v>20450</v>
      </c>
    </row>
    <row r="9634" spans="1:8">
      <c r="A9634" t="s">
        <v>381</v>
      </c>
      <c r="B9634">
        <f>HYPERLINK("https://android.googlesource.com/platform/cts/+/813d61ba2e01fb4c18ce5b08b58a98df750a1843", "813d61ba2e01fb4c18ce5b08b58a98df750a1843")</f>
        <v>0</v>
      </c>
      <c r="C9634">
        <f>HYPERLINK("https://android.googlesource.com/platform/cts/+/89e635a286b6ea918cf755e0eff8ba7e838a5d1e", "89e635a286b6ea918cf755e0eff8ba7e838a5d1e")</f>
        <v>0</v>
      </c>
      <c r="D9634" t="s">
        <v>4973</v>
      </c>
      <c r="E9634" t="s">
        <v>6175</v>
      </c>
      <c r="F9634" t="s">
        <v>11481</v>
      </c>
      <c r="G9634" t="s">
        <v>15722</v>
      </c>
      <c r="H9634" t="s">
        <v>20451</v>
      </c>
    </row>
    <row r="9635" spans="1:8">
      <c r="A9635" t="s">
        <v>382</v>
      </c>
      <c r="B9635">
        <f>HYPERLINK("https://android.googlesource.com/platform/cts/+/95fe67721579ade45132e5225b55f887a60f69a1", "95fe67721579ade45132e5225b55f887a60f69a1")</f>
        <v>0</v>
      </c>
      <c r="C9635">
        <f>HYPERLINK("https://android.googlesource.com/platform/cts/+/01dc6706b3485cdc50330d9b7529baf8e4d83602", "01dc6706b3485cdc50330d9b7529baf8e4d83602")</f>
        <v>0</v>
      </c>
      <c r="D9635" t="s">
        <v>4986</v>
      </c>
      <c r="E9635" t="s">
        <v>6176</v>
      </c>
      <c r="F9635" t="s">
        <v>10645</v>
      </c>
      <c r="G9635" t="s">
        <v>15046</v>
      </c>
      <c r="H9635" t="s">
        <v>18980</v>
      </c>
    </row>
    <row r="9636" spans="1:8">
      <c r="A9636" t="s">
        <v>383</v>
      </c>
      <c r="B9636">
        <f>HYPERLINK("https://android.googlesource.com/platform/cts/+/c0ef6f802bbc0d40b1dc8e7cefa360f7434a9299", "c0ef6f802bbc0d40b1dc8e7cefa360f7434a9299")</f>
        <v>0</v>
      </c>
      <c r="C9636">
        <f>HYPERLINK("https://android.googlesource.com/platform/cts/+/976971e382bbe4a0d6528bf5690baa449fde61ce", "976971e382bbe4a0d6528bf5690baa449fde61ce")</f>
        <v>0</v>
      </c>
      <c r="D9636" t="s">
        <v>4973</v>
      </c>
      <c r="E9636" t="s">
        <v>6177</v>
      </c>
      <c r="F9636" t="s">
        <v>11482</v>
      </c>
      <c r="G9636" t="s">
        <v>15723</v>
      </c>
      <c r="H9636" t="s">
        <v>20452</v>
      </c>
    </row>
    <row r="9637" spans="1:8">
      <c r="A9637" t="s">
        <v>384</v>
      </c>
      <c r="B9637">
        <f>HYPERLINK("https://android.googlesource.com/platform/cts/+/25665383264fbedfb22e801e6c631333a40b2a35", "25665383264fbedfb22e801e6c631333a40b2a35")</f>
        <v>0</v>
      </c>
      <c r="C9637">
        <f>HYPERLINK("https://android.googlesource.com/platform/cts/+/976971e382bbe4a0d6528bf5690baa449fde61ce", "976971e382bbe4a0d6528bf5690baa449fde61ce")</f>
        <v>0</v>
      </c>
      <c r="D9637" t="s">
        <v>4973</v>
      </c>
      <c r="E9637" t="s">
        <v>6178</v>
      </c>
      <c r="F9637" t="s">
        <v>11483</v>
      </c>
      <c r="G9637" t="s">
        <v>15724</v>
      </c>
      <c r="H9637" t="s">
        <v>20453</v>
      </c>
    </row>
    <row r="9638" spans="1:8">
      <c r="H9638" t="s">
        <v>18829</v>
      </c>
    </row>
    <row r="9639" spans="1:8">
      <c r="H9639" t="s">
        <v>18863</v>
      </c>
    </row>
    <row r="9640" spans="1:8">
      <c r="H9640" t="s">
        <v>20454</v>
      </c>
    </row>
    <row r="9641" spans="1:8">
      <c r="H9641" t="s">
        <v>19349</v>
      </c>
    </row>
    <row r="9642" spans="1:8">
      <c r="H9642" t="s">
        <v>20209</v>
      </c>
    </row>
    <row r="9643" spans="1:8">
      <c r="F9643" t="s">
        <v>11484</v>
      </c>
      <c r="G9643" t="s">
        <v>15725</v>
      </c>
      <c r="H9643" t="s">
        <v>20455</v>
      </c>
    </row>
    <row r="9644" spans="1:8">
      <c r="H9644" t="s">
        <v>18829</v>
      </c>
    </row>
    <row r="9645" spans="1:8">
      <c r="H9645" t="s">
        <v>18863</v>
      </c>
    </row>
    <row r="9646" spans="1:8">
      <c r="H9646" t="s">
        <v>20454</v>
      </c>
    </row>
    <row r="9647" spans="1:8">
      <c r="H9647" t="s">
        <v>19349</v>
      </c>
    </row>
    <row r="9648" spans="1:8">
      <c r="H9648" t="s">
        <v>20209</v>
      </c>
    </row>
    <row r="9649" spans="6:8">
      <c r="F9649" t="s">
        <v>11485</v>
      </c>
      <c r="G9649" t="s">
        <v>15726</v>
      </c>
      <c r="H9649" t="s">
        <v>20456</v>
      </c>
    </row>
    <row r="9650" spans="6:8">
      <c r="H9650" t="s">
        <v>18829</v>
      </c>
    </row>
    <row r="9651" spans="6:8">
      <c r="H9651" t="s">
        <v>18863</v>
      </c>
    </row>
    <row r="9652" spans="6:8">
      <c r="H9652" t="s">
        <v>20454</v>
      </c>
    </row>
    <row r="9653" spans="6:8">
      <c r="H9653" t="s">
        <v>19349</v>
      </c>
    </row>
    <row r="9654" spans="6:8">
      <c r="H9654" t="s">
        <v>20209</v>
      </c>
    </row>
    <row r="9655" spans="6:8">
      <c r="F9655" t="s">
        <v>11486</v>
      </c>
      <c r="G9655" t="s">
        <v>15727</v>
      </c>
      <c r="H9655" t="s">
        <v>20457</v>
      </c>
    </row>
    <row r="9656" spans="6:8">
      <c r="H9656" t="s">
        <v>18829</v>
      </c>
    </row>
    <row r="9657" spans="6:8">
      <c r="H9657" t="s">
        <v>18863</v>
      </c>
    </row>
    <row r="9658" spans="6:8">
      <c r="H9658" t="s">
        <v>20454</v>
      </c>
    </row>
    <row r="9659" spans="6:8">
      <c r="H9659" t="s">
        <v>19349</v>
      </c>
    </row>
    <row r="9660" spans="6:8">
      <c r="H9660" t="s">
        <v>20209</v>
      </c>
    </row>
    <row r="9661" spans="6:8">
      <c r="F9661" t="s">
        <v>11487</v>
      </c>
      <c r="G9661" t="s">
        <v>15728</v>
      </c>
      <c r="H9661" t="s">
        <v>20458</v>
      </c>
    </row>
    <row r="9662" spans="6:8">
      <c r="H9662" t="s">
        <v>18829</v>
      </c>
    </row>
    <row r="9663" spans="6:8">
      <c r="H9663" t="s">
        <v>18863</v>
      </c>
    </row>
    <row r="9664" spans="6:8">
      <c r="H9664" t="s">
        <v>20454</v>
      </c>
    </row>
    <row r="9665" spans="6:8">
      <c r="H9665" t="s">
        <v>19349</v>
      </c>
    </row>
    <row r="9666" spans="6:8">
      <c r="H9666" t="s">
        <v>20209</v>
      </c>
    </row>
    <row r="9667" spans="6:8">
      <c r="F9667" t="s">
        <v>11488</v>
      </c>
      <c r="G9667" t="s">
        <v>15729</v>
      </c>
      <c r="H9667" t="s">
        <v>20459</v>
      </c>
    </row>
    <row r="9668" spans="6:8">
      <c r="H9668" t="s">
        <v>18829</v>
      </c>
    </row>
    <row r="9669" spans="6:8">
      <c r="H9669" t="s">
        <v>18863</v>
      </c>
    </row>
    <row r="9670" spans="6:8">
      <c r="H9670" t="s">
        <v>20454</v>
      </c>
    </row>
    <row r="9671" spans="6:8">
      <c r="H9671" t="s">
        <v>19349</v>
      </c>
    </row>
    <row r="9672" spans="6:8">
      <c r="H9672" t="s">
        <v>20209</v>
      </c>
    </row>
    <row r="9673" spans="6:8">
      <c r="F9673" t="s">
        <v>11489</v>
      </c>
      <c r="G9673" t="s">
        <v>15730</v>
      </c>
      <c r="H9673" t="s">
        <v>20460</v>
      </c>
    </row>
    <row r="9674" spans="6:8">
      <c r="H9674" t="s">
        <v>18829</v>
      </c>
    </row>
    <row r="9675" spans="6:8">
      <c r="H9675" t="s">
        <v>18863</v>
      </c>
    </row>
    <row r="9676" spans="6:8">
      <c r="H9676" t="s">
        <v>20454</v>
      </c>
    </row>
    <row r="9677" spans="6:8">
      <c r="H9677" t="s">
        <v>19349</v>
      </c>
    </row>
    <row r="9678" spans="6:8">
      <c r="H9678" t="s">
        <v>20209</v>
      </c>
    </row>
    <row r="9679" spans="6:8">
      <c r="F9679" t="s">
        <v>11490</v>
      </c>
      <c r="G9679" t="s">
        <v>15731</v>
      </c>
      <c r="H9679" t="s">
        <v>20461</v>
      </c>
    </row>
    <row r="9680" spans="6:8">
      <c r="H9680" t="s">
        <v>18829</v>
      </c>
    </row>
    <row r="9681" spans="6:8">
      <c r="H9681" t="s">
        <v>18863</v>
      </c>
    </row>
    <row r="9682" spans="6:8">
      <c r="H9682" t="s">
        <v>20454</v>
      </c>
    </row>
    <row r="9683" spans="6:8">
      <c r="H9683" t="s">
        <v>19349</v>
      </c>
    </row>
    <row r="9684" spans="6:8">
      <c r="H9684" t="s">
        <v>20209</v>
      </c>
    </row>
    <row r="9685" spans="6:8">
      <c r="F9685" t="s">
        <v>11491</v>
      </c>
      <c r="G9685" t="s">
        <v>15732</v>
      </c>
      <c r="H9685" t="s">
        <v>20462</v>
      </c>
    </row>
    <row r="9686" spans="6:8">
      <c r="H9686" t="s">
        <v>18829</v>
      </c>
    </row>
    <row r="9687" spans="6:8">
      <c r="H9687" t="s">
        <v>18863</v>
      </c>
    </row>
    <row r="9688" spans="6:8">
      <c r="H9688" t="s">
        <v>20454</v>
      </c>
    </row>
    <row r="9689" spans="6:8">
      <c r="H9689" t="s">
        <v>19349</v>
      </c>
    </row>
    <row r="9690" spans="6:8">
      <c r="H9690" t="s">
        <v>20209</v>
      </c>
    </row>
    <row r="9691" spans="6:8">
      <c r="F9691" t="s">
        <v>11492</v>
      </c>
      <c r="G9691" t="s">
        <v>15733</v>
      </c>
      <c r="H9691" t="s">
        <v>20463</v>
      </c>
    </row>
    <row r="9692" spans="6:8">
      <c r="H9692" t="s">
        <v>18829</v>
      </c>
    </row>
    <row r="9693" spans="6:8">
      <c r="H9693" t="s">
        <v>18863</v>
      </c>
    </row>
    <row r="9694" spans="6:8">
      <c r="H9694" t="s">
        <v>20454</v>
      </c>
    </row>
    <row r="9695" spans="6:8">
      <c r="H9695" t="s">
        <v>19349</v>
      </c>
    </row>
    <row r="9696" spans="6:8">
      <c r="H9696" t="s">
        <v>20209</v>
      </c>
    </row>
    <row r="9697" spans="6:8">
      <c r="F9697" t="s">
        <v>11493</v>
      </c>
      <c r="G9697" t="s">
        <v>15734</v>
      </c>
      <c r="H9697" t="s">
        <v>20464</v>
      </c>
    </row>
    <row r="9698" spans="6:8">
      <c r="H9698" t="s">
        <v>18829</v>
      </c>
    </row>
    <row r="9699" spans="6:8">
      <c r="H9699" t="s">
        <v>18863</v>
      </c>
    </row>
    <row r="9700" spans="6:8">
      <c r="H9700" t="s">
        <v>20454</v>
      </c>
    </row>
    <row r="9701" spans="6:8">
      <c r="H9701" t="s">
        <v>19349</v>
      </c>
    </row>
    <row r="9702" spans="6:8">
      <c r="H9702" t="s">
        <v>20209</v>
      </c>
    </row>
    <row r="9703" spans="6:8">
      <c r="F9703" t="s">
        <v>11494</v>
      </c>
      <c r="G9703" t="s">
        <v>15735</v>
      </c>
      <c r="H9703" t="s">
        <v>20465</v>
      </c>
    </row>
    <row r="9704" spans="6:8">
      <c r="H9704" t="s">
        <v>18829</v>
      </c>
    </row>
    <row r="9705" spans="6:8">
      <c r="H9705" t="s">
        <v>18863</v>
      </c>
    </row>
    <row r="9706" spans="6:8">
      <c r="H9706" t="s">
        <v>20454</v>
      </c>
    </row>
    <row r="9707" spans="6:8">
      <c r="H9707" t="s">
        <v>19349</v>
      </c>
    </row>
    <row r="9708" spans="6:8">
      <c r="H9708" t="s">
        <v>20209</v>
      </c>
    </row>
    <row r="9709" spans="6:8">
      <c r="F9709" t="s">
        <v>11495</v>
      </c>
      <c r="G9709" t="s">
        <v>15736</v>
      </c>
      <c r="H9709" t="s">
        <v>20466</v>
      </c>
    </row>
    <row r="9710" spans="6:8">
      <c r="H9710" t="s">
        <v>18829</v>
      </c>
    </row>
    <row r="9711" spans="6:8">
      <c r="H9711" t="s">
        <v>18863</v>
      </c>
    </row>
    <row r="9712" spans="6:8">
      <c r="H9712" t="s">
        <v>20454</v>
      </c>
    </row>
    <row r="9713" spans="6:8">
      <c r="H9713" t="s">
        <v>19349</v>
      </c>
    </row>
    <row r="9714" spans="6:8">
      <c r="H9714" t="s">
        <v>20209</v>
      </c>
    </row>
    <row r="9715" spans="6:8">
      <c r="F9715" t="s">
        <v>11496</v>
      </c>
      <c r="G9715" t="s">
        <v>15737</v>
      </c>
      <c r="H9715" t="s">
        <v>20467</v>
      </c>
    </row>
    <row r="9716" spans="6:8">
      <c r="H9716" t="s">
        <v>18829</v>
      </c>
    </row>
    <row r="9717" spans="6:8">
      <c r="H9717" t="s">
        <v>18863</v>
      </c>
    </row>
    <row r="9718" spans="6:8">
      <c r="H9718" t="s">
        <v>20454</v>
      </c>
    </row>
    <row r="9719" spans="6:8">
      <c r="H9719" t="s">
        <v>19349</v>
      </c>
    </row>
    <row r="9720" spans="6:8">
      <c r="H9720" t="s">
        <v>20209</v>
      </c>
    </row>
    <row r="9721" spans="6:8">
      <c r="F9721" t="s">
        <v>11497</v>
      </c>
      <c r="G9721" t="s">
        <v>15738</v>
      </c>
      <c r="H9721" t="s">
        <v>20468</v>
      </c>
    </row>
    <row r="9722" spans="6:8">
      <c r="H9722" t="s">
        <v>18829</v>
      </c>
    </row>
    <row r="9723" spans="6:8">
      <c r="H9723" t="s">
        <v>18863</v>
      </c>
    </row>
    <row r="9724" spans="6:8">
      <c r="H9724" t="s">
        <v>20454</v>
      </c>
    </row>
    <row r="9725" spans="6:8">
      <c r="H9725" t="s">
        <v>19349</v>
      </c>
    </row>
    <row r="9726" spans="6:8">
      <c r="H9726" t="s">
        <v>20209</v>
      </c>
    </row>
    <row r="9727" spans="6:8">
      <c r="F9727" t="s">
        <v>11498</v>
      </c>
      <c r="G9727" t="s">
        <v>15739</v>
      </c>
      <c r="H9727" t="s">
        <v>20469</v>
      </c>
    </row>
    <row r="9728" spans="6:8">
      <c r="H9728" t="s">
        <v>18829</v>
      </c>
    </row>
    <row r="9729" spans="6:8">
      <c r="H9729" t="s">
        <v>18863</v>
      </c>
    </row>
    <row r="9730" spans="6:8">
      <c r="H9730" t="s">
        <v>20454</v>
      </c>
    </row>
    <row r="9731" spans="6:8">
      <c r="H9731" t="s">
        <v>19349</v>
      </c>
    </row>
    <row r="9732" spans="6:8">
      <c r="H9732" t="s">
        <v>20209</v>
      </c>
    </row>
    <row r="9733" spans="6:8">
      <c r="F9733" t="s">
        <v>11499</v>
      </c>
      <c r="G9733" t="s">
        <v>15740</v>
      </c>
      <c r="H9733" t="s">
        <v>20470</v>
      </c>
    </row>
    <row r="9734" spans="6:8">
      <c r="H9734" t="s">
        <v>18829</v>
      </c>
    </row>
    <row r="9735" spans="6:8">
      <c r="H9735" t="s">
        <v>18863</v>
      </c>
    </row>
    <row r="9736" spans="6:8">
      <c r="H9736" t="s">
        <v>20454</v>
      </c>
    </row>
    <row r="9737" spans="6:8">
      <c r="H9737" t="s">
        <v>19349</v>
      </c>
    </row>
    <row r="9738" spans="6:8">
      <c r="H9738" t="s">
        <v>20209</v>
      </c>
    </row>
    <row r="9739" spans="6:8">
      <c r="F9739" t="s">
        <v>11500</v>
      </c>
      <c r="G9739" t="s">
        <v>15741</v>
      </c>
      <c r="H9739" t="s">
        <v>20471</v>
      </c>
    </row>
    <row r="9740" spans="6:8">
      <c r="H9740" t="s">
        <v>18829</v>
      </c>
    </row>
    <row r="9741" spans="6:8">
      <c r="H9741" t="s">
        <v>18863</v>
      </c>
    </row>
    <row r="9742" spans="6:8">
      <c r="H9742" t="s">
        <v>20454</v>
      </c>
    </row>
    <row r="9743" spans="6:8">
      <c r="H9743" t="s">
        <v>19349</v>
      </c>
    </row>
    <row r="9744" spans="6:8">
      <c r="H9744" t="s">
        <v>20209</v>
      </c>
    </row>
    <row r="9745" spans="6:8">
      <c r="F9745" t="s">
        <v>11501</v>
      </c>
      <c r="G9745" t="s">
        <v>15742</v>
      </c>
      <c r="H9745" t="s">
        <v>20472</v>
      </c>
    </row>
    <row r="9746" spans="6:8">
      <c r="H9746" t="s">
        <v>18829</v>
      </c>
    </row>
    <row r="9747" spans="6:8">
      <c r="H9747" t="s">
        <v>18863</v>
      </c>
    </row>
    <row r="9748" spans="6:8">
      <c r="H9748" t="s">
        <v>20454</v>
      </c>
    </row>
    <row r="9749" spans="6:8">
      <c r="H9749" t="s">
        <v>19349</v>
      </c>
    </row>
    <row r="9750" spans="6:8">
      <c r="H9750" t="s">
        <v>20209</v>
      </c>
    </row>
    <row r="9751" spans="6:8">
      <c r="F9751" t="s">
        <v>11502</v>
      </c>
      <c r="G9751" t="s">
        <v>15743</v>
      </c>
      <c r="H9751" t="s">
        <v>20473</v>
      </c>
    </row>
    <row r="9752" spans="6:8">
      <c r="H9752" t="s">
        <v>18829</v>
      </c>
    </row>
    <row r="9753" spans="6:8">
      <c r="H9753" t="s">
        <v>18863</v>
      </c>
    </row>
    <row r="9754" spans="6:8">
      <c r="H9754" t="s">
        <v>20454</v>
      </c>
    </row>
    <row r="9755" spans="6:8">
      <c r="H9755" t="s">
        <v>19349</v>
      </c>
    </row>
    <row r="9756" spans="6:8">
      <c r="H9756" t="s">
        <v>20209</v>
      </c>
    </row>
    <row r="9757" spans="6:8">
      <c r="F9757" t="s">
        <v>11503</v>
      </c>
      <c r="G9757" t="s">
        <v>15744</v>
      </c>
      <c r="H9757" t="s">
        <v>20474</v>
      </c>
    </row>
    <row r="9758" spans="6:8">
      <c r="H9758" t="s">
        <v>18829</v>
      </c>
    </row>
    <row r="9759" spans="6:8">
      <c r="H9759" t="s">
        <v>18863</v>
      </c>
    </row>
    <row r="9760" spans="6:8">
      <c r="H9760" t="s">
        <v>20454</v>
      </c>
    </row>
    <row r="9761" spans="6:8">
      <c r="H9761" t="s">
        <v>19349</v>
      </c>
    </row>
    <row r="9762" spans="6:8">
      <c r="H9762" t="s">
        <v>20209</v>
      </c>
    </row>
    <row r="9763" spans="6:8">
      <c r="F9763" t="s">
        <v>11504</v>
      </c>
      <c r="G9763" t="s">
        <v>15745</v>
      </c>
      <c r="H9763" t="s">
        <v>20475</v>
      </c>
    </row>
    <row r="9764" spans="6:8">
      <c r="H9764" t="s">
        <v>18829</v>
      </c>
    </row>
    <row r="9765" spans="6:8">
      <c r="H9765" t="s">
        <v>18863</v>
      </c>
    </row>
    <row r="9766" spans="6:8">
      <c r="H9766" t="s">
        <v>20454</v>
      </c>
    </row>
    <row r="9767" spans="6:8">
      <c r="H9767" t="s">
        <v>19349</v>
      </c>
    </row>
    <row r="9768" spans="6:8">
      <c r="H9768" t="s">
        <v>20209</v>
      </c>
    </row>
    <row r="9769" spans="6:8">
      <c r="F9769" t="s">
        <v>11505</v>
      </c>
      <c r="G9769" t="s">
        <v>15746</v>
      </c>
      <c r="H9769" t="s">
        <v>20476</v>
      </c>
    </row>
    <row r="9770" spans="6:8">
      <c r="H9770" t="s">
        <v>18829</v>
      </c>
    </row>
    <row r="9771" spans="6:8">
      <c r="H9771" t="s">
        <v>18863</v>
      </c>
    </row>
    <row r="9772" spans="6:8">
      <c r="H9772" t="s">
        <v>20454</v>
      </c>
    </row>
    <row r="9773" spans="6:8">
      <c r="H9773" t="s">
        <v>19349</v>
      </c>
    </row>
    <row r="9774" spans="6:8">
      <c r="H9774" t="s">
        <v>20209</v>
      </c>
    </row>
    <row r="9775" spans="6:8">
      <c r="F9775" t="s">
        <v>11506</v>
      </c>
      <c r="G9775" t="s">
        <v>15747</v>
      </c>
      <c r="H9775" t="s">
        <v>20477</v>
      </c>
    </row>
    <row r="9776" spans="6:8">
      <c r="H9776" t="s">
        <v>18829</v>
      </c>
    </row>
    <row r="9777" spans="6:8">
      <c r="H9777" t="s">
        <v>18863</v>
      </c>
    </row>
    <row r="9778" spans="6:8">
      <c r="H9778" t="s">
        <v>20454</v>
      </c>
    </row>
    <row r="9779" spans="6:8">
      <c r="H9779" t="s">
        <v>19349</v>
      </c>
    </row>
    <row r="9780" spans="6:8">
      <c r="H9780" t="s">
        <v>20209</v>
      </c>
    </row>
    <row r="9781" spans="6:8">
      <c r="F9781" t="s">
        <v>11507</v>
      </c>
      <c r="G9781" t="s">
        <v>15748</v>
      </c>
      <c r="H9781" t="s">
        <v>20478</v>
      </c>
    </row>
    <row r="9782" spans="6:8">
      <c r="H9782" t="s">
        <v>18829</v>
      </c>
    </row>
    <row r="9783" spans="6:8">
      <c r="H9783" t="s">
        <v>18863</v>
      </c>
    </row>
    <row r="9784" spans="6:8">
      <c r="H9784" t="s">
        <v>20454</v>
      </c>
    </row>
    <row r="9785" spans="6:8">
      <c r="H9785" t="s">
        <v>19349</v>
      </c>
    </row>
    <row r="9786" spans="6:8">
      <c r="H9786" t="s">
        <v>20209</v>
      </c>
    </row>
    <row r="9787" spans="6:8">
      <c r="F9787" t="s">
        <v>11508</v>
      </c>
      <c r="G9787" t="s">
        <v>15749</v>
      </c>
      <c r="H9787" t="s">
        <v>20479</v>
      </c>
    </row>
    <row r="9788" spans="6:8">
      <c r="H9788" t="s">
        <v>18829</v>
      </c>
    </row>
    <row r="9789" spans="6:8">
      <c r="H9789" t="s">
        <v>18863</v>
      </c>
    </row>
    <row r="9790" spans="6:8">
      <c r="H9790" t="s">
        <v>20454</v>
      </c>
    </row>
    <row r="9791" spans="6:8">
      <c r="H9791" t="s">
        <v>19349</v>
      </c>
    </row>
    <row r="9792" spans="6:8">
      <c r="H9792" t="s">
        <v>20209</v>
      </c>
    </row>
    <row r="9793" spans="6:8">
      <c r="F9793" t="s">
        <v>11509</v>
      </c>
      <c r="G9793" t="s">
        <v>15750</v>
      </c>
      <c r="H9793" t="s">
        <v>20480</v>
      </c>
    </row>
    <row r="9794" spans="6:8">
      <c r="H9794" t="s">
        <v>18829</v>
      </c>
    </row>
    <row r="9795" spans="6:8">
      <c r="H9795" t="s">
        <v>18863</v>
      </c>
    </row>
    <row r="9796" spans="6:8">
      <c r="H9796" t="s">
        <v>20454</v>
      </c>
    </row>
    <row r="9797" spans="6:8">
      <c r="H9797" t="s">
        <v>19349</v>
      </c>
    </row>
    <row r="9798" spans="6:8">
      <c r="H9798" t="s">
        <v>20209</v>
      </c>
    </row>
    <row r="9799" spans="6:8">
      <c r="F9799" t="s">
        <v>11510</v>
      </c>
      <c r="G9799" t="s">
        <v>15751</v>
      </c>
      <c r="H9799" t="s">
        <v>20481</v>
      </c>
    </row>
    <row r="9800" spans="6:8">
      <c r="H9800" t="s">
        <v>18829</v>
      </c>
    </row>
    <row r="9801" spans="6:8">
      <c r="H9801" t="s">
        <v>18863</v>
      </c>
    </row>
    <row r="9802" spans="6:8">
      <c r="H9802" t="s">
        <v>20454</v>
      </c>
    </row>
    <row r="9803" spans="6:8">
      <c r="H9803" t="s">
        <v>19349</v>
      </c>
    </row>
    <row r="9804" spans="6:8">
      <c r="H9804" t="s">
        <v>20209</v>
      </c>
    </row>
    <row r="9805" spans="6:8">
      <c r="F9805" t="s">
        <v>11511</v>
      </c>
      <c r="G9805" t="s">
        <v>15752</v>
      </c>
      <c r="H9805" t="s">
        <v>20482</v>
      </c>
    </row>
    <row r="9806" spans="6:8">
      <c r="H9806" t="s">
        <v>18829</v>
      </c>
    </row>
    <row r="9807" spans="6:8">
      <c r="H9807" t="s">
        <v>18863</v>
      </c>
    </row>
    <row r="9808" spans="6:8">
      <c r="H9808" t="s">
        <v>20454</v>
      </c>
    </row>
    <row r="9809" spans="6:8">
      <c r="H9809" t="s">
        <v>19349</v>
      </c>
    </row>
    <row r="9810" spans="6:8">
      <c r="H9810" t="s">
        <v>20209</v>
      </c>
    </row>
    <row r="9811" spans="6:8">
      <c r="F9811" t="s">
        <v>11512</v>
      </c>
      <c r="G9811" t="s">
        <v>15753</v>
      </c>
      <c r="H9811" t="s">
        <v>20483</v>
      </c>
    </row>
    <row r="9812" spans="6:8">
      <c r="H9812" t="s">
        <v>18829</v>
      </c>
    </row>
    <row r="9813" spans="6:8">
      <c r="H9813" t="s">
        <v>18863</v>
      </c>
    </row>
    <row r="9814" spans="6:8">
      <c r="H9814" t="s">
        <v>20454</v>
      </c>
    </row>
    <row r="9815" spans="6:8">
      <c r="H9815" t="s">
        <v>19349</v>
      </c>
    </row>
    <row r="9816" spans="6:8">
      <c r="H9816" t="s">
        <v>20209</v>
      </c>
    </row>
    <row r="9817" spans="6:8">
      <c r="F9817" t="s">
        <v>11513</v>
      </c>
      <c r="G9817" t="s">
        <v>15754</v>
      </c>
      <c r="H9817" t="s">
        <v>20484</v>
      </c>
    </row>
    <row r="9818" spans="6:8">
      <c r="H9818" t="s">
        <v>18829</v>
      </c>
    </row>
    <row r="9819" spans="6:8">
      <c r="H9819" t="s">
        <v>18863</v>
      </c>
    </row>
    <row r="9820" spans="6:8">
      <c r="H9820" t="s">
        <v>20454</v>
      </c>
    </row>
    <row r="9821" spans="6:8">
      <c r="H9821" t="s">
        <v>19349</v>
      </c>
    </row>
    <row r="9822" spans="6:8">
      <c r="H9822" t="s">
        <v>20209</v>
      </c>
    </row>
    <row r="9823" spans="6:8">
      <c r="F9823" t="s">
        <v>11514</v>
      </c>
      <c r="G9823" t="s">
        <v>15755</v>
      </c>
      <c r="H9823" t="s">
        <v>20485</v>
      </c>
    </row>
    <row r="9824" spans="6:8">
      <c r="H9824" t="s">
        <v>18829</v>
      </c>
    </row>
    <row r="9825" spans="6:8">
      <c r="H9825" t="s">
        <v>18863</v>
      </c>
    </row>
    <row r="9826" spans="6:8">
      <c r="H9826" t="s">
        <v>20454</v>
      </c>
    </row>
    <row r="9827" spans="6:8">
      <c r="H9827" t="s">
        <v>19349</v>
      </c>
    </row>
    <row r="9828" spans="6:8">
      <c r="H9828" t="s">
        <v>20209</v>
      </c>
    </row>
    <row r="9829" spans="6:8">
      <c r="F9829" t="s">
        <v>11515</v>
      </c>
      <c r="G9829" t="s">
        <v>15756</v>
      </c>
      <c r="H9829" t="s">
        <v>20486</v>
      </c>
    </row>
    <row r="9830" spans="6:8">
      <c r="H9830" t="s">
        <v>18829</v>
      </c>
    </row>
    <row r="9831" spans="6:8">
      <c r="H9831" t="s">
        <v>18863</v>
      </c>
    </row>
    <row r="9832" spans="6:8">
      <c r="H9832" t="s">
        <v>20454</v>
      </c>
    </row>
    <row r="9833" spans="6:8">
      <c r="H9833" t="s">
        <v>19349</v>
      </c>
    </row>
    <row r="9834" spans="6:8">
      <c r="H9834" t="s">
        <v>20209</v>
      </c>
    </row>
    <row r="9835" spans="6:8">
      <c r="F9835" t="s">
        <v>11516</v>
      </c>
      <c r="G9835" t="s">
        <v>15757</v>
      </c>
      <c r="H9835" t="s">
        <v>20487</v>
      </c>
    </row>
    <row r="9836" spans="6:8">
      <c r="H9836" t="s">
        <v>18829</v>
      </c>
    </row>
    <row r="9837" spans="6:8">
      <c r="H9837" t="s">
        <v>18863</v>
      </c>
    </row>
    <row r="9838" spans="6:8">
      <c r="H9838" t="s">
        <v>20454</v>
      </c>
    </row>
    <row r="9839" spans="6:8">
      <c r="H9839" t="s">
        <v>19349</v>
      </c>
    </row>
    <row r="9840" spans="6:8">
      <c r="H9840" t="s">
        <v>20209</v>
      </c>
    </row>
    <row r="9841" spans="6:8">
      <c r="F9841" t="s">
        <v>11517</v>
      </c>
      <c r="G9841" t="s">
        <v>15758</v>
      </c>
      <c r="H9841" t="s">
        <v>20488</v>
      </c>
    </row>
    <row r="9842" spans="6:8">
      <c r="H9842" t="s">
        <v>18829</v>
      </c>
    </row>
    <row r="9843" spans="6:8">
      <c r="H9843" t="s">
        <v>18863</v>
      </c>
    </row>
    <row r="9844" spans="6:8">
      <c r="H9844" t="s">
        <v>20454</v>
      </c>
    </row>
    <row r="9845" spans="6:8">
      <c r="H9845" t="s">
        <v>19349</v>
      </c>
    </row>
    <row r="9846" spans="6:8">
      <c r="H9846" t="s">
        <v>20209</v>
      </c>
    </row>
    <row r="9847" spans="6:8">
      <c r="F9847" t="s">
        <v>11518</v>
      </c>
      <c r="G9847" t="s">
        <v>15759</v>
      </c>
      <c r="H9847" t="s">
        <v>20489</v>
      </c>
    </row>
    <row r="9848" spans="6:8">
      <c r="H9848" t="s">
        <v>18829</v>
      </c>
    </row>
    <row r="9849" spans="6:8">
      <c r="H9849" t="s">
        <v>18863</v>
      </c>
    </row>
    <row r="9850" spans="6:8">
      <c r="H9850" t="s">
        <v>20454</v>
      </c>
    </row>
    <row r="9851" spans="6:8">
      <c r="H9851" t="s">
        <v>19349</v>
      </c>
    </row>
    <row r="9852" spans="6:8">
      <c r="H9852" t="s">
        <v>20209</v>
      </c>
    </row>
    <row r="9853" spans="6:8">
      <c r="F9853" t="s">
        <v>11519</v>
      </c>
      <c r="G9853" t="s">
        <v>15760</v>
      </c>
      <c r="H9853" t="s">
        <v>20490</v>
      </c>
    </row>
    <row r="9854" spans="6:8">
      <c r="H9854" t="s">
        <v>18829</v>
      </c>
    </row>
    <row r="9855" spans="6:8">
      <c r="H9855" t="s">
        <v>18863</v>
      </c>
    </row>
    <row r="9856" spans="6:8">
      <c r="H9856" t="s">
        <v>20454</v>
      </c>
    </row>
    <row r="9857" spans="6:8">
      <c r="H9857" t="s">
        <v>19349</v>
      </c>
    </row>
    <row r="9858" spans="6:8">
      <c r="H9858" t="s">
        <v>20209</v>
      </c>
    </row>
    <row r="9859" spans="6:8">
      <c r="F9859" t="s">
        <v>11520</v>
      </c>
      <c r="G9859" t="s">
        <v>15761</v>
      </c>
      <c r="H9859" t="s">
        <v>20491</v>
      </c>
    </row>
    <row r="9860" spans="6:8">
      <c r="H9860" t="s">
        <v>18829</v>
      </c>
    </row>
    <row r="9861" spans="6:8">
      <c r="H9861" t="s">
        <v>18863</v>
      </c>
    </row>
    <row r="9862" spans="6:8">
      <c r="H9862" t="s">
        <v>20454</v>
      </c>
    </row>
    <row r="9863" spans="6:8">
      <c r="H9863" t="s">
        <v>19349</v>
      </c>
    </row>
    <row r="9864" spans="6:8">
      <c r="H9864" t="s">
        <v>20209</v>
      </c>
    </row>
    <row r="9865" spans="6:8">
      <c r="F9865" t="s">
        <v>11521</v>
      </c>
      <c r="G9865" t="s">
        <v>15762</v>
      </c>
      <c r="H9865" t="s">
        <v>20492</v>
      </c>
    </row>
    <row r="9866" spans="6:8">
      <c r="H9866" t="s">
        <v>18829</v>
      </c>
    </row>
    <row r="9867" spans="6:8">
      <c r="H9867" t="s">
        <v>18863</v>
      </c>
    </row>
    <row r="9868" spans="6:8">
      <c r="H9868" t="s">
        <v>20454</v>
      </c>
    </row>
    <row r="9869" spans="6:8">
      <c r="H9869" t="s">
        <v>19349</v>
      </c>
    </row>
    <row r="9870" spans="6:8">
      <c r="H9870" t="s">
        <v>20209</v>
      </c>
    </row>
    <row r="9871" spans="6:8">
      <c r="F9871" t="s">
        <v>11522</v>
      </c>
      <c r="G9871" t="s">
        <v>15763</v>
      </c>
      <c r="H9871" t="s">
        <v>20493</v>
      </c>
    </row>
    <row r="9872" spans="6:8">
      <c r="H9872" t="s">
        <v>18829</v>
      </c>
    </row>
    <row r="9873" spans="6:8">
      <c r="H9873" t="s">
        <v>18863</v>
      </c>
    </row>
    <row r="9874" spans="6:8">
      <c r="H9874" t="s">
        <v>20454</v>
      </c>
    </row>
    <row r="9875" spans="6:8">
      <c r="H9875" t="s">
        <v>19349</v>
      </c>
    </row>
    <row r="9876" spans="6:8">
      <c r="H9876" t="s">
        <v>20209</v>
      </c>
    </row>
    <row r="9877" spans="6:8">
      <c r="F9877" t="s">
        <v>11523</v>
      </c>
      <c r="G9877" t="s">
        <v>15764</v>
      </c>
      <c r="H9877" t="s">
        <v>20494</v>
      </c>
    </row>
    <row r="9878" spans="6:8">
      <c r="H9878" t="s">
        <v>18829</v>
      </c>
    </row>
    <row r="9879" spans="6:8">
      <c r="H9879" t="s">
        <v>18863</v>
      </c>
    </row>
    <row r="9880" spans="6:8">
      <c r="H9880" t="s">
        <v>20454</v>
      </c>
    </row>
    <row r="9881" spans="6:8">
      <c r="H9881" t="s">
        <v>19349</v>
      </c>
    </row>
    <row r="9882" spans="6:8">
      <c r="H9882" t="s">
        <v>20209</v>
      </c>
    </row>
    <row r="9883" spans="6:8">
      <c r="F9883" t="s">
        <v>11524</v>
      </c>
      <c r="G9883" t="s">
        <v>15765</v>
      </c>
      <c r="H9883" t="s">
        <v>20495</v>
      </c>
    </row>
    <row r="9884" spans="6:8">
      <c r="H9884" t="s">
        <v>18829</v>
      </c>
    </row>
    <row r="9885" spans="6:8">
      <c r="H9885" t="s">
        <v>18863</v>
      </c>
    </row>
    <row r="9886" spans="6:8">
      <c r="H9886" t="s">
        <v>20454</v>
      </c>
    </row>
    <row r="9887" spans="6:8">
      <c r="H9887" t="s">
        <v>19349</v>
      </c>
    </row>
    <row r="9888" spans="6:8">
      <c r="H9888" t="s">
        <v>20209</v>
      </c>
    </row>
    <row r="9889" spans="6:8">
      <c r="F9889" t="s">
        <v>11525</v>
      </c>
      <c r="G9889" t="s">
        <v>15766</v>
      </c>
      <c r="H9889" t="s">
        <v>20496</v>
      </c>
    </row>
    <row r="9890" spans="6:8">
      <c r="H9890" t="s">
        <v>18829</v>
      </c>
    </row>
    <row r="9891" spans="6:8">
      <c r="H9891" t="s">
        <v>18863</v>
      </c>
    </row>
    <row r="9892" spans="6:8">
      <c r="H9892" t="s">
        <v>20454</v>
      </c>
    </row>
    <row r="9893" spans="6:8">
      <c r="H9893" t="s">
        <v>19349</v>
      </c>
    </row>
    <row r="9894" spans="6:8">
      <c r="H9894" t="s">
        <v>20209</v>
      </c>
    </row>
    <row r="9895" spans="6:8">
      <c r="F9895" t="s">
        <v>11526</v>
      </c>
      <c r="G9895" t="s">
        <v>15767</v>
      </c>
      <c r="H9895" t="s">
        <v>20497</v>
      </c>
    </row>
    <row r="9896" spans="6:8">
      <c r="H9896" t="s">
        <v>18829</v>
      </c>
    </row>
    <row r="9897" spans="6:8">
      <c r="H9897" t="s">
        <v>18863</v>
      </c>
    </row>
    <row r="9898" spans="6:8">
      <c r="H9898" t="s">
        <v>20454</v>
      </c>
    </row>
    <row r="9899" spans="6:8">
      <c r="H9899" t="s">
        <v>19349</v>
      </c>
    </row>
    <row r="9900" spans="6:8">
      <c r="H9900" t="s">
        <v>20209</v>
      </c>
    </row>
    <row r="9901" spans="6:8">
      <c r="F9901" t="s">
        <v>11527</v>
      </c>
      <c r="G9901" t="s">
        <v>15768</v>
      </c>
      <c r="H9901" t="s">
        <v>20498</v>
      </c>
    </row>
    <row r="9902" spans="6:8">
      <c r="H9902" t="s">
        <v>18829</v>
      </c>
    </row>
    <row r="9903" spans="6:8">
      <c r="H9903" t="s">
        <v>18863</v>
      </c>
    </row>
    <row r="9904" spans="6:8">
      <c r="H9904" t="s">
        <v>20454</v>
      </c>
    </row>
    <row r="9905" spans="6:8">
      <c r="H9905" t="s">
        <v>19349</v>
      </c>
    </row>
    <row r="9906" spans="6:8">
      <c r="H9906" t="s">
        <v>20209</v>
      </c>
    </row>
    <row r="9907" spans="6:8">
      <c r="F9907" t="s">
        <v>11528</v>
      </c>
      <c r="G9907" t="s">
        <v>15769</v>
      </c>
      <c r="H9907" t="s">
        <v>20499</v>
      </c>
    </row>
    <row r="9908" spans="6:8">
      <c r="H9908" t="s">
        <v>18829</v>
      </c>
    </row>
    <row r="9909" spans="6:8">
      <c r="H9909" t="s">
        <v>18863</v>
      </c>
    </row>
    <row r="9910" spans="6:8">
      <c r="H9910" t="s">
        <v>20454</v>
      </c>
    </row>
    <row r="9911" spans="6:8">
      <c r="H9911" t="s">
        <v>19349</v>
      </c>
    </row>
    <row r="9912" spans="6:8">
      <c r="H9912" t="s">
        <v>20209</v>
      </c>
    </row>
    <row r="9913" spans="6:8">
      <c r="F9913" t="s">
        <v>11529</v>
      </c>
      <c r="G9913" t="s">
        <v>15770</v>
      </c>
      <c r="H9913" t="s">
        <v>20500</v>
      </c>
    </row>
    <row r="9914" spans="6:8">
      <c r="H9914" t="s">
        <v>18829</v>
      </c>
    </row>
    <row r="9915" spans="6:8">
      <c r="H9915" t="s">
        <v>18863</v>
      </c>
    </row>
    <row r="9916" spans="6:8">
      <c r="H9916" t="s">
        <v>20454</v>
      </c>
    </row>
    <row r="9917" spans="6:8">
      <c r="H9917" t="s">
        <v>19349</v>
      </c>
    </row>
    <row r="9918" spans="6:8">
      <c r="H9918" t="s">
        <v>20209</v>
      </c>
    </row>
    <row r="9919" spans="6:8">
      <c r="F9919" t="s">
        <v>11530</v>
      </c>
      <c r="G9919" t="s">
        <v>15771</v>
      </c>
      <c r="H9919" t="s">
        <v>20501</v>
      </c>
    </row>
    <row r="9920" spans="6:8">
      <c r="H9920" t="s">
        <v>18829</v>
      </c>
    </row>
    <row r="9921" spans="6:8">
      <c r="H9921" t="s">
        <v>18863</v>
      </c>
    </row>
    <row r="9922" spans="6:8">
      <c r="H9922" t="s">
        <v>20454</v>
      </c>
    </row>
    <row r="9923" spans="6:8">
      <c r="H9923" t="s">
        <v>19349</v>
      </c>
    </row>
    <row r="9924" spans="6:8">
      <c r="H9924" t="s">
        <v>20209</v>
      </c>
    </row>
    <row r="9925" spans="6:8">
      <c r="F9925" t="s">
        <v>11531</v>
      </c>
      <c r="G9925" t="s">
        <v>15772</v>
      </c>
      <c r="H9925" t="s">
        <v>20502</v>
      </c>
    </row>
    <row r="9926" spans="6:8">
      <c r="H9926" t="s">
        <v>18829</v>
      </c>
    </row>
    <row r="9927" spans="6:8">
      <c r="H9927" t="s">
        <v>18863</v>
      </c>
    </row>
    <row r="9928" spans="6:8">
      <c r="H9928" t="s">
        <v>20454</v>
      </c>
    </row>
    <row r="9929" spans="6:8">
      <c r="H9929" t="s">
        <v>19349</v>
      </c>
    </row>
    <row r="9930" spans="6:8">
      <c r="H9930" t="s">
        <v>20209</v>
      </c>
    </row>
    <row r="9931" spans="6:8">
      <c r="F9931" t="s">
        <v>11532</v>
      </c>
      <c r="G9931" t="s">
        <v>15773</v>
      </c>
      <c r="H9931" t="s">
        <v>20503</v>
      </c>
    </row>
    <row r="9932" spans="6:8">
      <c r="H9932" t="s">
        <v>18829</v>
      </c>
    </row>
    <row r="9933" spans="6:8">
      <c r="H9933" t="s">
        <v>18863</v>
      </c>
    </row>
    <row r="9934" spans="6:8">
      <c r="H9934" t="s">
        <v>20454</v>
      </c>
    </row>
    <row r="9935" spans="6:8">
      <c r="H9935" t="s">
        <v>19349</v>
      </c>
    </row>
    <row r="9936" spans="6:8">
      <c r="H9936" t="s">
        <v>20209</v>
      </c>
    </row>
    <row r="9937" spans="6:8">
      <c r="F9937" t="s">
        <v>11533</v>
      </c>
      <c r="G9937" t="s">
        <v>15774</v>
      </c>
      <c r="H9937" t="s">
        <v>20504</v>
      </c>
    </row>
    <row r="9938" spans="6:8">
      <c r="H9938" t="s">
        <v>18829</v>
      </c>
    </row>
    <row r="9939" spans="6:8">
      <c r="H9939" t="s">
        <v>18863</v>
      </c>
    </row>
    <row r="9940" spans="6:8">
      <c r="H9940" t="s">
        <v>20454</v>
      </c>
    </row>
    <row r="9941" spans="6:8">
      <c r="H9941" t="s">
        <v>19349</v>
      </c>
    </row>
    <row r="9942" spans="6:8">
      <c r="H9942" t="s">
        <v>20209</v>
      </c>
    </row>
    <row r="9943" spans="6:8">
      <c r="F9943" t="s">
        <v>11534</v>
      </c>
      <c r="G9943" t="s">
        <v>15775</v>
      </c>
      <c r="H9943" t="s">
        <v>20505</v>
      </c>
    </row>
    <row r="9944" spans="6:8">
      <c r="H9944" t="s">
        <v>18829</v>
      </c>
    </row>
    <row r="9945" spans="6:8">
      <c r="H9945" t="s">
        <v>18863</v>
      </c>
    </row>
    <row r="9946" spans="6:8">
      <c r="H9946" t="s">
        <v>20454</v>
      </c>
    </row>
    <row r="9947" spans="6:8">
      <c r="H9947" t="s">
        <v>19349</v>
      </c>
    </row>
    <row r="9948" spans="6:8">
      <c r="H9948" t="s">
        <v>20209</v>
      </c>
    </row>
    <row r="9949" spans="6:8">
      <c r="F9949" t="s">
        <v>11535</v>
      </c>
      <c r="G9949" t="s">
        <v>15776</v>
      </c>
      <c r="H9949" t="s">
        <v>20506</v>
      </c>
    </row>
    <row r="9950" spans="6:8">
      <c r="H9950" t="s">
        <v>18829</v>
      </c>
    </row>
    <row r="9951" spans="6:8">
      <c r="H9951" t="s">
        <v>18863</v>
      </c>
    </row>
    <row r="9952" spans="6:8">
      <c r="H9952" t="s">
        <v>20454</v>
      </c>
    </row>
    <row r="9953" spans="6:8">
      <c r="H9953" t="s">
        <v>19349</v>
      </c>
    </row>
    <row r="9954" spans="6:8">
      <c r="H9954" t="s">
        <v>20209</v>
      </c>
    </row>
    <row r="9955" spans="6:8">
      <c r="F9955" t="s">
        <v>11536</v>
      </c>
      <c r="G9955" t="s">
        <v>15777</v>
      </c>
      <c r="H9955" t="s">
        <v>20507</v>
      </c>
    </row>
    <row r="9956" spans="6:8">
      <c r="H9956" t="s">
        <v>18829</v>
      </c>
    </row>
    <row r="9957" spans="6:8">
      <c r="H9957" t="s">
        <v>18863</v>
      </c>
    </row>
    <row r="9958" spans="6:8">
      <c r="H9958" t="s">
        <v>20454</v>
      </c>
    </row>
    <row r="9959" spans="6:8">
      <c r="H9959" t="s">
        <v>19349</v>
      </c>
    </row>
    <row r="9960" spans="6:8">
      <c r="H9960" t="s">
        <v>20209</v>
      </c>
    </row>
    <row r="9961" spans="6:8">
      <c r="F9961" t="s">
        <v>11537</v>
      </c>
      <c r="G9961" t="s">
        <v>15778</v>
      </c>
      <c r="H9961" t="s">
        <v>20508</v>
      </c>
    </row>
    <row r="9962" spans="6:8">
      <c r="H9962" t="s">
        <v>18829</v>
      </c>
    </row>
    <row r="9963" spans="6:8">
      <c r="H9963" t="s">
        <v>18863</v>
      </c>
    </row>
    <row r="9964" spans="6:8">
      <c r="H9964" t="s">
        <v>20454</v>
      </c>
    </row>
    <row r="9965" spans="6:8">
      <c r="H9965" t="s">
        <v>19349</v>
      </c>
    </row>
    <row r="9966" spans="6:8">
      <c r="H9966" t="s">
        <v>20209</v>
      </c>
    </row>
    <row r="9967" spans="6:8">
      <c r="F9967" t="s">
        <v>11538</v>
      </c>
      <c r="G9967" t="s">
        <v>15779</v>
      </c>
      <c r="H9967" t="s">
        <v>20509</v>
      </c>
    </row>
    <row r="9968" spans="6:8">
      <c r="H9968" t="s">
        <v>18829</v>
      </c>
    </row>
    <row r="9969" spans="6:8">
      <c r="H9969" t="s">
        <v>18863</v>
      </c>
    </row>
    <row r="9970" spans="6:8">
      <c r="H9970" t="s">
        <v>20454</v>
      </c>
    </row>
    <row r="9971" spans="6:8">
      <c r="H9971" t="s">
        <v>19349</v>
      </c>
    </row>
    <row r="9972" spans="6:8">
      <c r="H9972" t="s">
        <v>20209</v>
      </c>
    </row>
    <row r="9973" spans="6:8">
      <c r="F9973" t="s">
        <v>11539</v>
      </c>
      <c r="G9973" t="s">
        <v>15780</v>
      </c>
      <c r="H9973" t="s">
        <v>20510</v>
      </c>
    </row>
    <row r="9974" spans="6:8">
      <c r="H9974" t="s">
        <v>18829</v>
      </c>
    </row>
    <row r="9975" spans="6:8">
      <c r="H9975" t="s">
        <v>18863</v>
      </c>
    </row>
    <row r="9976" spans="6:8">
      <c r="H9976" t="s">
        <v>20454</v>
      </c>
    </row>
    <row r="9977" spans="6:8">
      <c r="H9977" t="s">
        <v>19349</v>
      </c>
    </row>
    <row r="9978" spans="6:8">
      <c r="H9978" t="s">
        <v>20209</v>
      </c>
    </row>
    <row r="9979" spans="6:8">
      <c r="F9979" t="s">
        <v>11540</v>
      </c>
      <c r="G9979" t="s">
        <v>15781</v>
      </c>
      <c r="H9979" t="s">
        <v>20511</v>
      </c>
    </row>
    <row r="9980" spans="6:8">
      <c r="H9980" t="s">
        <v>18829</v>
      </c>
    </row>
    <row r="9981" spans="6:8">
      <c r="H9981" t="s">
        <v>18863</v>
      </c>
    </row>
    <row r="9982" spans="6:8">
      <c r="H9982" t="s">
        <v>20454</v>
      </c>
    </row>
    <row r="9983" spans="6:8">
      <c r="H9983" t="s">
        <v>19349</v>
      </c>
    </row>
    <row r="9984" spans="6:8">
      <c r="H9984" t="s">
        <v>20209</v>
      </c>
    </row>
    <row r="9985" spans="6:8">
      <c r="F9985" t="s">
        <v>11541</v>
      </c>
      <c r="G9985" t="s">
        <v>15782</v>
      </c>
      <c r="H9985" t="s">
        <v>20512</v>
      </c>
    </row>
    <row r="9986" spans="6:8">
      <c r="H9986" t="s">
        <v>18829</v>
      </c>
    </row>
    <row r="9987" spans="6:8">
      <c r="H9987" t="s">
        <v>18863</v>
      </c>
    </row>
    <row r="9988" spans="6:8">
      <c r="H9988" t="s">
        <v>20454</v>
      </c>
    </row>
    <row r="9989" spans="6:8">
      <c r="H9989" t="s">
        <v>19349</v>
      </c>
    </row>
    <row r="9990" spans="6:8">
      <c r="H9990" t="s">
        <v>20209</v>
      </c>
    </row>
    <row r="9991" spans="6:8">
      <c r="F9991" t="s">
        <v>11542</v>
      </c>
      <c r="G9991" t="s">
        <v>15783</v>
      </c>
      <c r="H9991" t="s">
        <v>20513</v>
      </c>
    </row>
    <row r="9992" spans="6:8">
      <c r="H9992" t="s">
        <v>18829</v>
      </c>
    </row>
    <row r="9993" spans="6:8">
      <c r="H9993" t="s">
        <v>18863</v>
      </c>
    </row>
    <row r="9994" spans="6:8">
      <c r="H9994" t="s">
        <v>20454</v>
      </c>
    </row>
    <row r="9995" spans="6:8">
      <c r="H9995" t="s">
        <v>19349</v>
      </c>
    </row>
    <row r="9996" spans="6:8">
      <c r="H9996" t="s">
        <v>20209</v>
      </c>
    </row>
    <row r="9997" spans="6:8">
      <c r="F9997" t="s">
        <v>11543</v>
      </c>
      <c r="G9997" t="s">
        <v>15784</v>
      </c>
      <c r="H9997" t="s">
        <v>20514</v>
      </c>
    </row>
    <row r="9998" spans="6:8">
      <c r="H9998" t="s">
        <v>18829</v>
      </c>
    </row>
    <row r="9999" spans="6:8">
      <c r="H9999" t="s">
        <v>18863</v>
      </c>
    </row>
    <row r="10000" spans="6:8">
      <c r="H10000" t="s">
        <v>20454</v>
      </c>
    </row>
    <row r="10001" spans="6:8">
      <c r="H10001" t="s">
        <v>19349</v>
      </c>
    </row>
    <row r="10002" spans="6:8">
      <c r="H10002" t="s">
        <v>20209</v>
      </c>
    </row>
    <row r="10003" spans="6:8">
      <c r="F10003" t="s">
        <v>11544</v>
      </c>
      <c r="G10003" t="s">
        <v>15785</v>
      </c>
      <c r="H10003" t="s">
        <v>20515</v>
      </c>
    </row>
    <row r="10004" spans="6:8">
      <c r="H10004" t="s">
        <v>18829</v>
      </c>
    </row>
    <row r="10005" spans="6:8">
      <c r="H10005" t="s">
        <v>18863</v>
      </c>
    </row>
    <row r="10006" spans="6:8">
      <c r="H10006" t="s">
        <v>20454</v>
      </c>
    </row>
    <row r="10007" spans="6:8">
      <c r="H10007" t="s">
        <v>19349</v>
      </c>
    </row>
    <row r="10008" spans="6:8">
      <c r="H10008" t="s">
        <v>20209</v>
      </c>
    </row>
    <row r="10009" spans="6:8">
      <c r="F10009" t="s">
        <v>11545</v>
      </c>
      <c r="G10009" t="s">
        <v>15786</v>
      </c>
      <c r="H10009" t="s">
        <v>20516</v>
      </c>
    </row>
    <row r="10010" spans="6:8">
      <c r="H10010" t="s">
        <v>18829</v>
      </c>
    </row>
    <row r="10011" spans="6:8">
      <c r="H10011" t="s">
        <v>18863</v>
      </c>
    </row>
    <row r="10012" spans="6:8">
      <c r="H10012" t="s">
        <v>20454</v>
      </c>
    </row>
    <row r="10013" spans="6:8">
      <c r="H10013" t="s">
        <v>19349</v>
      </c>
    </row>
    <row r="10014" spans="6:8">
      <c r="H10014" t="s">
        <v>20209</v>
      </c>
    </row>
    <row r="10015" spans="6:8">
      <c r="F10015" t="s">
        <v>11546</v>
      </c>
      <c r="G10015" t="s">
        <v>15787</v>
      </c>
      <c r="H10015" t="s">
        <v>20517</v>
      </c>
    </row>
    <row r="10016" spans="6:8">
      <c r="H10016" t="s">
        <v>18829</v>
      </c>
    </row>
    <row r="10017" spans="6:8">
      <c r="H10017" t="s">
        <v>18863</v>
      </c>
    </row>
    <row r="10018" spans="6:8">
      <c r="H10018" t="s">
        <v>20454</v>
      </c>
    </row>
    <row r="10019" spans="6:8">
      <c r="H10019" t="s">
        <v>19349</v>
      </c>
    </row>
    <row r="10020" spans="6:8">
      <c r="H10020" t="s">
        <v>20209</v>
      </c>
    </row>
    <row r="10021" spans="6:8">
      <c r="F10021" t="s">
        <v>11547</v>
      </c>
      <c r="G10021" t="s">
        <v>15788</v>
      </c>
      <c r="H10021" t="s">
        <v>20518</v>
      </c>
    </row>
    <row r="10022" spans="6:8">
      <c r="H10022" t="s">
        <v>18829</v>
      </c>
    </row>
    <row r="10023" spans="6:8">
      <c r="H10023" t="s">
        <v>18863</v>
      </c>
    </row>
    <row r="10024" spans="6:8">
      <c r="H10024" t="s">
        <v>20454</v>
      </c>
    </row>
    <row r="10025" spans="6:8">
      <c r="H10025" t="s">
        <v>19349</v>
      </c>
    </row>
    <row r="10026" spans="6:8">
      <c r="H10026" t="s">
        <v>20209</v>
      </c>
    </row>
    <row r="10027" spans="6:8">
      <c r="F10027" t="s">
        <v>11548</v>
      </c>
      <c r="G10027" t="s">
        <v>15789</v>
      </c>
      <c r="H10027" t="s">
        <v>20519</v>
      </c>
    </row>
    <row r="10028" spans="6:8">
      <c r="H10028" t="s">
        <v>18829</v>
      </c>
    </row>
    <row r="10029" spans="6:8">
      <c r="H10029" t="s">
        <v>18863</v>
      </c>
    </row>
    <row r="10030" spans="6:8">
      <c r="H10030" t="s">
        <v>20454</v>
      </c>
    </row>
    <row r="10031" spans="6:8">
      <c r="H10031" t="s">
        <v>19349</v>
      </c>
    </row>
    <row r="10032" spans="6:8">
      <c r="H10032" t="s">
        <v>20209</v>
      </c>
    </row>
    <row r="10033" spans="6:8">
      <c r="F10033" t="s">
        <v>11549</v>
      </c>
      <c r="G10033" t="s">
        <v>15790</v>
      </c>
      <c r="H10033" t="s">
        <v>20520</v>
      </c>
    </row>
    <row r="10034" spans="6:8">
      <c r="H10034" t="s">
        <v>18829</v>
      </c>
    </row>
    <row r="10035" spans="6:8">
      <c r="H10035" t="s">
        <v>18863</v>
      </c>
    </row>
    <row r="10036" spans="6:8">
      <c r="H10036" t="s">
        <v>20454</v>
      </c>
    </row>
    <row r="10037" spans="6:8">
      <c r="H10037" t="s">
        <v>19349</v>
      </c>
    </row>
    <row r="10038" spans="6:8">
      <c r="H10038" t="s">
        <v>20209</v>
      </c>
    </row>
    <row r="10039" spans="6:8">
      <c r="F10039" t="s">
        <v>11550</v>
      </c>
      <c r="G10039" t="s">
        <v>15791</v>
      </c>
      <c r="H10039" t="s">
        <v>20521</v>
      </c>
    </row>
    <row r="10040" spans="6:8">
      <c r="H10040" t="s">
        <v>18829</v>
      </c>
    </row>
    <row r="10041" spans="6:8">
      <c r="H10041" t="s">
        <v>18863</v>
      </c>
    </row>
    <row r="10042" spans="6:8">
      <c r="H10042" t="s">
        <v>20454</v>
      </c>
    </row>
    <row r="10043" spans="6:8">
      <c r="H10043" t="s">
        <v>19349</v>
      </c>
    </row>
    <row r="10044" spans="6:8">
      <c r="H10044" t="s">
        <v>20209</v>
      </c>
    </row>
    <row r="10045" spans="6:8">
      <c r="F10045" t="s">
        <v>11551</v>
      </c>
      <c r="G10045" t="s">
        <v>15792</v>
      </c>
      <c r="H10045" t="s">
        <v>20522</v>
      </c>
    </row>
    <row r="10046" spans="6:8">
      <c r="H10046" t="s">
        <v>18829</v>
      </c>
    </row>
    <row r="10047" spans="6:8">
      <c r="H10047" t="s">
        <v>18863</v>
      </c>
    </row>
    <row r="10048" spans="6:8">
      <c r="H10048" t="s">
        <v>20454</v>
      </c>
    </row>
    <row r="10049" spans="6:8">
      <c r="H10049" t="s">
        <v>19349</v>
      </c>
    </row>
    <row r="10050" spans="6:8">
      <c r="H10050" t="s">
        <v>20209</v>
      </c>
    </row>
    <row r="10051" spans="6:8">
      <c r="F10051" t="s">
        <v>11552</v>
      </c>
      <c r="G10051" t="s">
        <v>15793</v>
      </c>
      <c r="H10051" t="s">
        <v>20523</v>
      </c>
    </row>
    <row r="10052" spans="6:8">
      <c r="H10052" t="s">
        <v>18829</v>
      </c>
    </row>
    <row r="10053" spans="6:8">
      <c r="H10053" t="s">
        <v>18863</v>
      </c>
    </row>
    <row r="10054" spans="6:8">
      <c r="H10054" t="s">
        <v>20454</v>
      </c>
    </row>
    <row r="10055" spans="6:8">
      <c r="H10055" t="s">
        <v>19349</v>
      </c>
    </row>
    <row r="10056" spans="6:8">
      <c r="H10056" t="s">
        <v>20209</v>
      </c>
    </row>
    <row r="10057" spans="6:8">
      <c r="F10057" t="s">
        <v>11553</v>
      </c>
      <c r="G10057" t="s">
        <v>15794</v>
      </c>
      <c r="H10057" t="s">
        <v>20524</v>
      </c>
    </row>
    <row r="10058" spans="6:8">
      <c r="H10058" t="s">
        <v>18829</v>
      </c>
    </row>
    <row r="10059" spans="6:8">
      <c r="H10059" t="s">
        <v>18863</v>
      </c>
    </row>
    <row r="10060" spans="6:8">
      <c r="H10060" t="s">
        <v>20454</v>
      </c>
    </row>
    <row r="10061" spans="6:8">
      <c r="H10061" t="s">
        <v>19349</v>
      </c>
    </row>
    <row r="10062" spans="6:8">
      <c r="H10062" t="s">
        <v>20209</v>
      </c>
    </row>
    <row r="10063" spans="6:8">
      <c r="F10063" t="s">
        <v>11554</v>
      </c>
      <c r="G10063" t="s">
        <v>15795</v>
      </c>
      <c r="H10063" t="s">
        <v>20525</v>
      </c>
    </row>
    <row r="10064" spans="6:8">
      <c r="H10064" t="s">
        <v>18829</v>
      </c>
    </row>
    <row r="10065" spans="6:8">
      <c r="H10065" t="s">
        <v>18863</v>
      </c>
    </row>
    <row r="10066" spans="6:8">
      <c r="H10066" t="s">
        <v>20454</v>
      </c>
    </row>
    <row r="10067" spans="6:8">
      <c r="H10067" t="s">
        <v>19349</v>
      </c>
    </row>
    <row r="10068" spans="6:8">
      <c r="H10068" t="s">
        <v>20209</v>
      </c>
    </row>
    <row r="10069" spans="6:8">
      <c r="F10069" t="s">
        <v>11555</v>
      </c>
      <c r="G10069" t="s">
        <v>15796</v>
      </c>
      <c r="H10069" t="s">
        <v>20526</v>
      </c>
    </row>
    <row r="10070" spans="6:8">
      <c r="H10070" t="s">
        <v>18829</v>
      </c>
    </row>
    <row r="10071" spans="6:8">
      <c r="H10071" t="s">
        <v>18863</v>
      </c>
    </row>
    <row r="10072" spans="6:8">
      <c r="H10072" t="s">
        <v>20454</v>
      </c>
    </row>
    <row r="10073" spans="6:8">
      <c r="H10073" t="s">
        <v>19349</v>
      </c>
    </row>
    <row r="10074" spans="6:8">
      <c r="H10074" t="s">
        <v>20209</v>
      </c>
    </row>
    <row r="10075" spans="6:8">
      <c r="F10075" t="s">
        <v>11556</v>
      </c>
      <c r="G10075" t="s">
        <v>15797</v>
      </c>
      <c r="H10075" t="s">
        <v>20527</v>
      </c>
    </row>
    <row r="10076" spans="6:8">
      <c r="H10076" t="s">
        <v>18829</v>
      </c>
    </row>
    <row r="10077" spans="6:8">
      <c r="H10077" t="s">
        <v>18863</v>
      </c>
    </row>
    <row r="10078" spans="6:8">
      <c r="H10078" t="s">
        <v>20454</v>
      </c>
    </row>
    <row r="10079" spans="6:8">
      <c r="H10079" t="s">
        <v>19349</v>
      </c>
    </row>
    <row r="10080" spans="6:8">
      <c r="H10080" t="s">
        <v>20209</v>
      </c>
    </row>
    <row r="10081" spans="6:8">
      <c r="F10081" t="s">
        <v>11557</v>
      </c>
      <c r="G10081" t="s">
        <v>15798</v>
      </c>
      <c r="H10081" t="s">
        <v>20528</v>
      </c>
    </row>
    <row r="10082" spans="6:8">
      <c r="H10082" t="s">
        <v>18829</v>
      </c>
    </row>
    <row r="10083" spans="6:8">
      <c r="H10083" t="s">
        <v>18863</v>
      </c>
    </row>
    <row r="10084" spans="6:8">
      <c r="H10084" t="s">
        <v>20454</v>
      </c>
    </row>
    <row r="10085" spans="6:8">
      <c r="H10085" t="s">
        <v>19349</v>
      </c>
    </row>
    <row r="10086" spans="6:8">
      <c r="H10086" t="s">
        <v>20209</v>
      </c>
    </row>
    <row r="10087" spans="6:8">
      <c r="F10087" t="s">
        <v>11558</v>
      </c>
      <c r="G10087" t="s">
        <v>15799</v>
      </c>
      <c r="H10087" t="s">
        <v>20529</v>
      </c>
    </row>
    <row r="10088" spans="6:8">
      <c r="H10088" t="s">
        <v>18829</v>
      </c>
    </row>
    <row r="10089" spans="6:8">
      <c r="H10089" t="s">
        <v>18863</v>
      </c>
    </row>
    <row r="10090" spans="6:8">
      <c r="H10090" t="s">
        <v>20454</v>
      </c>
    </row>
    <row r="10091" spans="6:8">
      <c r="H10091" t="s">
        <v>19349</v>
      </c>
    </row>
    <row r="10092" spans="6:8">
      <c r="H10092" t="s">
        <v>20209</v>
      </c>
    </row>
    <row r="10093" spans="6:8">
      <c r="F10093" t="s">
        <v>11559</v>
      </c>
      <c r="G10093" t="s">
        <v>15800</v>
      </c>
      <c r="H10093" t="s">
        <v>20530</v>
      </c>
    </row>
    <row r="10094" spans="6:8">
      <c r="H10094" t="s">
        <v>18829</v>
      </c>
    </row>
    <row r="10095" spans="6:8">
      <c r="H10095" t="s">
        <v>18863</v>
      </c>
    </row>
    <row r="10096" spans="6:8">
      <c r="H10096" t="s">
        <v>20454</v>
      </c>
    </row>
    <row r="10097" spans="6:8">
      <c r="H10097" t="s">
        <v>19349</v>
      </c>
    </row>
    <row r="10098" spans="6:8">
      <c r="H10098" t="s">
        <v>20209</v>
      </c>
    </row>
    <row r="10099" spans="6:8">
      <c r="F10099" t="s">
        <v>11560</v>
      </c>
      <c r="G10099" t="s">
        <v>15801</v>
      </c>
      <c r="H10099" t="s">
        <v>20531</v>
      </c>
    </row>
    <row r="10100" spans="6:8">
      <c r="H10100" t="s">
        <v>18829</v>
      </c>
    </row>
    <row r="10101" spans="6:8">
      <c r="H10101" t="s">
        <v>18863</v>
      </c>
    </row>
    <row r="10102" spans="6:8">
      <c r="H10102" t="s">
        <v>20454</v>
      </c>
    </row>
    <row r="10103" spans="6:8">
      <c r="H10103" t="s">
        <v>19349</v>
      </c>
    </row>
    <row r="10104" spans="6:8">
      <c r="H10104" t="s">
        <v>20209</v>
      </c>
    </row>
    <row r="10105" spans="6:8">
      <c r="F10105" t="s">
        <v>11561</v>
      </c>
      <c r="G10105" t="s">
        <v>15802</v>
      </c>
      <c r="H10105" t="s">
        <v>20532</v>
      </c>
    </row>
    <row r="10106" spans="6:8">
      <c r="H10106" t="s">
        <v>18829</v>
      </c>
    </row>
    <row r="10107" spans="6:8">
      <c r="H10107" t="s">
        <v>18863</v>
      </c>
    </row>
    <row r="10108" spans="6:8">
      <c r="H10108" t="s">
        <v>20454</v>
      </c>
    </row>
    <row r="10109" spans="6:8">
      <c r="H10109" t="s">
        <v>19349</v>
      </c>
    </row>
    <row r="10110" spans="6:8">
      <c r="H10110" t="s">
        <v>20209</v>
      </c>
    </row>
    <row r="10111" spans="6:8">
      <c r="F10111" t="s">
        <v>11562</v>
      </c>
      <c r="G10111" t="s">
        <v>15803</v>
      </c>
      <c r="H10111" t="s">
        <v>20533</v>
      </c>
    </row>
    <row r="10112" spans="6:8">
      <c r="H10112" t="s">
        <v>18829</v>
      </c>
    </row>
    <row r="10113" spans="6:8">
      <c r="H10113" t="s">
        <v>18863</v>
      </c>
    </row>
    <row r="10114" spans="6:8">
      <c r="H10114" t="s">
        <v>20454</v>
      </c>
    </row>
    <row r="10115" spans="6:8">
      <c r="H10115" t="s">
        <v>19349</v>
      </c>
    </row>
    <row r="10116" spans="6:8">
      <c r="H10116" t="s">
        <v>20209</v>
      </c>
    </row>
    <row r="10117" spans="6:8">
      <c r="F10117" t="s">
        <v>11563</v>
      </c>
      <c r="G10117" t="s">
        <v>15804</v>
      </c>
      <c r="H10117" t="s">
        <v>20534</v>
      </c>
    </row>
    <row r="10118" spans="6:8">
      <c r="H10118" t="s">
        <v>18829</v>
      </c>
    </row>
    <row r="10119" spans="6:8">
      <c r="H10119" t="s">
        <v>18863</v>
      </c>
    </row>
    <row r="10120" spans="6:8">
      <c r="H10120" t="s">
        <v>20454</v>
      </c>
    </row>
    <row r="10121" spans="6:8">
      <c r="H10121" t="s">
        <v>19349</v>
      </c>
    </row>
    <row r="10122" spans="6:8">
      <c r="H10122" t="s">
        <v>20209</v>
      </c>
    </row>
    <row r="10123" spans="6:8">
      <c r="F10123" t="s">
        <v>11564</v>
      </c>
      <c r="G10123" t="s">
        <v>15805</v>
      </c>
      <c r="H10123" t="s">
        <v>20535</v>
      </c>
    </row>
    <row r="10124" spans="6:8">
      <c r="H10124" t="s">
        <v>18829</v>
      </c>
    </row>
    <row r="10125" spans="6:8">
      <c r="H10125" t="s">
        <v>18863</v>
      </c>
    </row>
    <row r="10126" spans="6:8">
      <c r="H10126" t="s">
        <v>20454</v>
      </c>
    </row>
    <row r="10127" spans="6:8">
      <c r="H10127" t="s">
        <v>19349</v>
      </c>
    </row>
    <row r="10128" spans="6:8">
      <c r="H10128" t="s">
        <v>20209</v>
      </c>
    </row>
    <row r="10129" spans="6:8">
      <c r="F10129" t="s">
        <v>11565</v>
      </c>
      <c r="G10129" t="s">
        <v>15806</v>
      </c>
      <c r="H10129" t="s">
        <v>20536</v>
      </c>
    </row>
    <row r="10130" spans="6:8">
      <c r="H10130" t="s">
        <v>18829</v>
      </c>
    </row>
    <row r="10131" spans="6:8">
      <c r="H10131" t="s">
        <v>18863</v>
      </c>
    </row>
    <row r="10132" spans="6:8">
      <c r="H10132" t="s">
        <v>20454</v>
      </c>
    </row>
    <row r="10133" spans="6:8">
      <c r="H10133" t="s">
        <v>19349</v>
      </c>
    </row>
    <row r="10134" spans="6:8">
      <c r="H10134" t="s">
        <v>20209</v>
      </c>
    </row>
    <row r="10135" spans="6:8">
      <c r="F10135" t="s">
        <v>11566</v>
      </c>
      <c r="G10135" t="s">
        <v>15807</v>
      </c>
      <c r="H10135" t="s">
        <v>20537</v>
      </c>
    </row>
    <row r="10136" spans="6:8">
      <c r="H10136" t="s">
        <v>18829</v>
      </c>
    </row>
    <row r="10137" spans="6:8">
      <c r="H10137" t="s">
        <v>18863</v>
      </c>
    </row>
    <row r="10138" spans="6:8">
      <c r="H10138" t="s">
        <v>20454</v>
      </c>
    </row>
    <row r="10139" spans="6:8">
      <c r="H10139" t="s">
        <v>19349</v>
      </c>
    </row>
    <row r="10140" spans="6:8">
      <c r="H10140" t="s">
        <v>20209</v>
      </c>
    </row>
    <row r="10141" spans="6:8">
      <c r="F10141" t="s">
        <v>11567</v>
      </c>
      <c r="G10141" t="s">
        <v>15808</v>
      </c>
      <c r="H10141" t="s">
        <v>20538</v>
      </c>
    </row>
    <row r="10142" spans="6:8">
      <c r="H10142" t="s">
        <v>18829</v>
      </c>
    </row>
    <row r="10143" spans="6:8">
      <c r="H10143" t="s">
        <v>18863</v>
      </c>
    </row>
    <row r="10144" spans="6:8">
      <c r="H10144" t="s">
        <v>20454</v>
      </c>
    </row>
    <row r="10145" spans="6:8">
      <c r="H10145" t="s">
        <v>19349</v>
      </c>
    </row>
    <row r="10146" spans="6:8">
      <c r="H10146" t="s">
        <v>20209</v>
      </c>
    </row>
    <row r="10147" spans="6:8">
      <c r="F10147" t="s">
        <v>11568</v>
      </c>
      <c r="G10147" t="s">
        <v>15809</v>
      </c>
      <c r="H10147" t="s">
        <v>20539</v>
      </c>
    </row>
    <row r="10148" spans="6:8">
      <c r="H10148" t="s">
        <v>18829</v>
      </c>
    </row>
    <row r="10149" spans="6:8">
      <c r="H10149" t="s">
        <v>18863</v>
      </c>
    </row>
    <row r="10150" spans="6:8">
      <c r="H10150" t="s">
        <v>20454</v>
      </c>
    </row>
    <row r="10151" spans="6:8">
      <c r="H10151" t="s">
        <v>19349</v>
      </c>
    </row>
    <row r="10152" spans="6:8">
      <c r="H10152" t="s">
        <v>20209</v>
      </c>
    </row>
    <row r="10153" spans="6:8">
      <c r="F10153" t="s">
        <v>11569</v>
      </c>
      <c r="G10153" t="s">
        <v>15810</v>
      </c>
      <c r="H10153" t="s">
        <v>20540</v>
      </c>
    </row>
    <row r="10154" spans="6:8">
      <c r="H10154" t="s">
        <v>18829</v>
      </c>
    </row>
    <row r="10155" spans="6:8">
      <c r="H10155" t="s">
        <v>18863</v>
      </c>
    </row>
    <row r="10156" spans="6:8">
      <c r="H10156" t="s">
        <v>20454</v>
      </c>
    </row>
    <row r="10157" spans="6:8">
      <c r="H10157" t="s">
        <v>19349</v>
      </c>
    </row>
    <row r="10158" spans="6:8">
      <c r="H10158" t="s">
        <v>20209</v>
      </c>
    </row>
    <row r="10159" spans="6:8">
      <c r="F10159" t="s">
        <v>11570</v>
      </c>
      <c r="G10159" t="s">
        <v>15811</v>
      </c>
      <c r="H10159" t="s">
        <v>20541</v>
      </c>
    </row>
    <row r="10160" spans="6:8">
      <c r="H10160" t="s">
        <v>18829</v>
      </c>
    </row>
    <row r="10161" spans="6:8">
      <c r="H10161" t="s">
        <v>18863</v>
      </c>
    </row>
    <row r="10162" spans="6:8">
      <c r="H10162" t="s">
        <v>20454</v>
      </c>
    </row>
    <row r="10163" spans="6:8">
      <c r="H10163" t="s">
        <v>19349</v>
      </c>
    </row>
    <row r="10164" spans="6:8">
      <c r="H10164" t="s">
        <v>20209</v>
      </c>
    </row>
    <row r="10165" spans="6:8">
      <c r="F10165" t="s">
        <v>11571</v>
      </c>
      <c r="G10165" t="s">
        <v>15812</v>
      </c>
      <c r="H10165" t="s">
        <v>20542</v>
      </c>
    </row>
    <row r="10166" spans="6:8">
      <c r="H10166" t="s">
        <v>18829</v>
      </c>
    </row>
    <row r="10167" spans="6:8">
      <c r="H10167" t="s">
        <v>18863</v>
      </c>
    </row>
    <row r="10168" spans="6:8">
      <c r="H10168" t="s">
        <v>20454</v>
      </c>
    </row>
    <row r="10169" spans="6:8">
      <c r="H10169" t="s">
        <v>19349</v>
      </c>
    </row>
    <row r="10170" spans="6:8">
      <c r="H10170" t="s">
        <v>20209</v>
      </c>
    </row>
    <row r="10171" spans="6:8">
      <c r="F10171" t="s">
        <v>11572</v>
      </c>
      <c r="G10171" t="s">
        <v>15813</v>
      </c>
      <c r="H10171" t="s">
        <v>20543</v>
      </c>
    </row>
    <row r="10172" spans="6:8">
      <c r="H10172" t="s">
        <v>18829</v>
      </c>
    </row>
    <row r="10173" spans="6:8">
      <c r="H10173" t="s">
        <v>18863</v>
      </c>
    </row>
    <row r="10174" spans="6:8">
      <c r="H10174" t="s">
        <v>20454</v>
      </c>
    </row>
    <row r="10175" spans="6:8">
      <c r="H10175" t="s">
        <v>19349</v>
      </c>
    </row>
    <row r="10176" spans="6:8">
      <c r="H10176" t="s">
        <v>20209</v>
      </c>
    </row>
    <row r="10177" spans="6:8">
      <c r="F10177" t="s">
        <v>11573</v>
      </c>
      <c r="G10177" t="s">
        <v>15814</v>
      </c>
      <c r="H10177" t="s">
        <v>20544</v>
      </c>
    </row>
    <row r="10178" spans="6:8">
      <c r="H10178" t="s">
        <v>18829</v>
      </c>
    </row>
    <row r="10179" spans="6:8">
      <c r="H10179" t="s">
        <v>18863</v>
      </c>
    </row>
    <row r="10180" spans="6:8">
      <c r="H10180" t="s">
        <v>20454</v>
      </c>
    </row>
    <row r="10181" spans="6:8">
      <c r="H10181" t="s">
        <v>19349</v>
      </c>
    </row>
    <row r="10182" spans="6:8">
      <c r="H10182" t="s">
        <v>20209</v>
      </c>
    </row>
    <row r="10183" spans="6:8">
      <c r="F10183" t="s">
        <v>11574</v>
      </c>
      <c r="G10183" t="s">
        <v>15815</v>
      </c>
      <c r="H10183" t="s">
        <v>20545</v>
      </c>
    </row>
    <row r="10184" spans="6:8">
      <c r="H10184" t="s">
        <v>18829</v>
      </c>
    </row>
    <row r="10185" spans="6:8">
      <c r="H10185" t="s">
        <v>18863</v>
      </c>
    </row>
    <row r="10186" spans="6:8">
      <c r="H10186" t="s">
        <v>20454</v>
      </c>
    </row>
    <row r="10187" spans="6:8">
      <c r="H10187" t="s">
        <v>19349</v>
      </c>
    </row>
    <row r="10188" spans="6:8">
      <c r="H10188" t="s">
        <v>20209</v>
      </c>
    </row>
    <row r="10189" spans="6:8">
      <c r="F10189" t="s">
        <v>11575</v>
      </c>
      <c r="G10189" t="s">
        <v>15816</v>
      </c>
      <c r="H10189" t="s">
        <v>20546</v>
      </c>
    </row>
    <row r="10190" spans="6:8">
      <c r="H10190" t="s">
        <v>18829</v>
      </c>
    </row>
    <row r="10191" spans="6:8">
      <c r="H10191" t="s">
        <v>18863</v>
      </c>
    </row>
    <row r="10192" spans="6:8">
      <c r="H10192" t="s">
        <v>20454</v>
      </c>
    </row>
    <row r="10193" spans="6:8">
      <c r="H10193" t="s">
        <v>19349</v>
      </c>
    </row>
    <row r="10194" spans="6:8">
      <c r="H10194" t="s">
        <v>20209</v>
      </c>
    </row>
    <row r="10195" spans="6:8">
      <c r="F10195" t="s">
        <v>11576</v>
      </c>
      <c r="G10195" t="s">
        <v>15817</v>
      </c>
      <c r="H10195" t="s">
        <v>20547</v>
      </c>
    </row>
    <row r="10196" spans="6:8">
      <c r="H10196" t="s">
        <v>18829</v>
      </c>
    </row>
    <row r="10197" spans="6:8">
      <c r="H10197" t="s">
        <v>18863</v>
      </c>
    </row>
    <row r="10198" spans="6:8">
      <c r="H10198" t="s">
        <v>20454</v>
      </c>
    </row>
    <row r="10199" spans="6:8">
      <c r="H10199" t="s">
        <v>19349</v>
      </c>
    </row>
    <row r="10200" spans="6:8">
      <c r="H10200" t="s">
        <v>20209</v>
      </c>
    </row>
    <row r="10201" spans="6:8">
      <c r="F10201" t="s">
        <v>11577</v>
      </c>
      <c r="G10201" t="s">
        <v>15818</v>
      </c>
      <c r="H10201" t="s">
        <v>20548</v>
      </c>
    </row>
    <row r="10202" spans="6:8">
      <c r="H10202" t="s">
        <v>18829</v>
      </c>
    </row>
    <row r="10203" spans="6:8">
      <c r="H10203" t="s">
        <v>18863</v>
      </c>
    </row>
    <row r="10204" spans="6:8">
      <c r="H10204" t="s">
        <v>20454</v>
      </c>
    </row>
    <row r="10205" spans="6:8">
      <c r="H10205" t="s">
        <v>19349</v>
      </c>
    </row>
    <row r="10206" spans="6:8">
      <c r="H10206" t="s">
        <v>20209</v>
      </c>
    </row>
    <row r="10207" spans="6:8">
      <c r="F10207" t="s">
        <v>11578</v>
      </c>
      <c r="G10207" t="s">
        <v>15819</v>
      </c>
      <c r="H10207" t="s">
        <v>20549</v>
      </c>
    </row>
    <row r="10208" spans="6:8">
      <c r="H10208" t="s">
        <v>18829</v>
      </c>
    </row>
    <row r="10209" spans="6:8">
      <c r="H10209" t="s">
        <v>18863</v>
      </c>
    </row>
    <row r="10210" spans="6:8">
      <c r="H10210" t="s">
        <v>20454</v>
      </c>
    </row>
    <row r="10211" spans="6:8">
      <c r="H10211" t="s">
        <v>19349</v>
      </c>
    </row>
    <row r="10212" spans="6:8">
      <c r="H10212" t="s">
        <v>20209</v>
      </c>
    </row>
    <row r="10213" spans="6:8">
      <c r="F10213" t="s">
        <v>11579</v>
      </c>
      <c r="G10213" t="s">
        <v>15820</v>
      </c>
      <c r="H10213" t="s">
        <v>20550</v>
      </c>
    </row>
    <row r="10214" spans="6:8">
      <c r="H10214" t="s">
        <v>18829</v>
      </c>
    </row>
    <row r="10215" spans="6:8">
      <c r="H10215" t="s">
        <v>18863</v>
      </c>
    </row>
    <row r="10216" spans="6:8">
      <c r="H10216" t="s">
        <v>20454</v>
      </c>
    </row>
    <row r="10217" spans="6:8">
      <c r="H10217" t="s">
        <v>19349</v>
      </c>
    </row>
    <row r="10218" spans="6:8">
      <c r="H10218" t="s">
        <v>20209</v>
      </c>
    </row>
    <row r="10219" spans="6:8">
      <c r="F10219" t="s">
        <v>11580</v>
      </c>
      <c r="G10219" t="s">
        <v>15821</v>
      </c>
      <c r="H10219" t="s">
        <v>20551</v>
      </c>
    </row>
    <row r="10220" spans="6:8">
      <c r="H10220" t="s">
        <v>18829</v>
      </c>
    </row>
    <row r="10221" spans="6:8">
      <c r="H10221" t="s">
        <v>18863</v>
      </c>
    </row>
    <row r="10222" spans="6:8">
      <c r="H10222" t="s">
        <v>20454</v>
      </c>
    </row>
    <row r="10223" spans="6:8">
      <c r="H10223" t="s">
        <v>19349</v>
      </c>
    </row>
    <row r="10224" spans="6:8">
      <c r="H10224" t="s">
        <v>20209</v>
      </c>
    </row>
    <row r="10225" spans="6:8">
      <c r="F10225" t="s">
        <v>11581</v>
      </c>
      <c r="G10225" t="s">
        <v>15822</v>
      </c>
      <c r="H10225" t="s">
        <v>20552</v>
      </c>
    </row>
    <row r="10226" spans="6:8">
      <c r="H10226" t="s">
        <v>18829</v>
      </c>
    </row>
    <row r="10227" spans="6:8">
      <c r="H10227" t="s">
        <v>18863</v>
      </c>
    </row>
    <row r="10228" spans="6:8">
      <c r="H10228" t="s">
        <v>20454</v>
      </c>
    </row>
    <row r="10229" spans="6:8">
      <c r="H10229" t="s">
        <v>19349</v>
      </c>
    </row>
    <row r="10230" spans="6:8">
      <c r="H10230" t="s">
        <v>20209</v>
      </c>
    </row>
    <row r="10231" spans="6:8">
      <c r="F10231" t="s">
        <v>11582</v>
      </c>
      <c r="G10231" t="s">
        <v>15823</v>
      </c>
      <c r="H10231" t="s">
        <v>20553</v>
      </c>
    </row>
    <row r="10232" spans="6:8">
      <c r="H10232" t="s">
        <v>18829</v>
      </c>
    </row>
    <row r="10233" spans="6:8">
      <c r="H10233" t="s">
        <v>18863</v>
      </c>
    </row>
    <row r="10234" spans="6:8">
      <c r="H10234" t="s">
        <v>20454</v>
      </c>
    </row>
    <row r="10235" spans="6:8">
      <c r="H10235" t="s">
        <v>19349</v>
      </c>
    </row>
    <row r="10236" spans="6:8">
      <c r="H10236" t="s">
        <v>20209</v>
      </c>
    </row>
    <row r="10237" spans="6:8">
      <c r="F10237" t="s">
        <v>11583</v>
      </c>
      <c r="G10237" t="s">
        <v>15824</v>
      </c>
      <c r="H10237" t="s">
        <v>20554</v>
      </c>
    </row>
    <row r="10238" spans="6:8">
      <c r="H10238" t="s">
        <v>18829</v>
      </c>
    </row>
    <row r="10239" spans="6:8">
      <c r="H10239" t="s">
        <v>18863</v>
      </c>
    </row>
    <row r="10240" spans="6:8">
      <c r="H10240" t="s">
        <v>20454</v>
      </c>
    </row>
    <row r="10241" spans="6:8">
      <c r="H10241" t="s">
        <v>19349</v>
      </c>
    </row>
    <row r="10242" spans="6:8">
      <c r="H10242" t="s">
        <v>20209</v>
      </c>
    </row>
    <row r="10243" spans="6:8">
      <c r="F10243" t="s">
        <v>11584</v>
      </c>
      <c r="G10243" t="s">
        <v>15825</v>
      </c>
      <c r="H10243" t="s">
        <v>20555</v>
      </c>
    </row>
    <row r="10244" spans="6:8">
      <c r="H10244" t="s">
        <v>18829</v>
      </c>
    </row>
    <row r="10245" spans="6:8">
      <c r="H10245" t="s">
        <v>18863</v>
      </c>
    </row>
    <row r="10246" spans="6:8">
      <c r="H10246" t="s">
        <v>20454</v>
      </c>
    </row>
    <row r="10247" spans="6:8">
      <c r="H10247" t="s">
        <v>19349</v>
      </c>
    </row>
    <row r="10248" spans="6:8">
      <c r="H10248" t="s">
        <v>20209</v>
      </c>
    </row>
    <row r="10249" spans="6:8">
      <c r="F10249" t="s">
        <v>11585</v>
      </c>
      <c r="G10249" t="s">
        <v>15826</v>
      </c>
      <c r="H10249" t="s">
        <v>20556</v>
      </c>
    </row>
    <row r="10250" spans="6:8">
      <c r="H10250" t="s">
        <v>18829</v>
      </c>
    </row>
    <row r="10251" spans="6:8">
      <c r="H10251" t="s">
        <v>18863</v>
      </c>
    </row>
    <row r="10252" spans="6:8">
      <c r="H10252" t="s">
        <v>20454</v>
      </c>
    </row>
    <row r="10253" spans="6:8">
      <c r="H10253" t="s">
        <v>19349</v>
      </c>
    </row>
    <row r="10254" spans="6:8">
      <c r="H10254" t="s">
        <v>20209</v>
      </c>
    </row>
    <row r="10255" spans="6:8">
      <c r="F10255" t="s">
        <v>11586</v>
      </c>
      <c r="G10255" t="s">
        <v>15827</v>
      </c>
      <c r="H10255" t="s">
        <v>20557</v>
      </c>
    </row>
    <row r="10256" spans="6:8">
      <c r="H10256" t="s">
        <v>18829</v>
      </c>
    </row>
    <row r="10257" spans="6:8">
      <c r="H10257" t="s">
        <v>18863</v>
      </c>
    </row>
    <row r="10258" spans="6:8">
      <c r="H10258" t="s">
        <v>20454</v>
      </c>
    </row>
    <row r="10259" spans="6:8">
      <c r="H10259" t="s">
        <v>19349</v>
      </c>
    </row>
    <row r="10260" spans="6:8">
      <c r="H10260" t="s">
        <v>20209</v>
      </c>
    </row>
    <row r="10261" spans="6:8">
      <c r="F10261" t="s">
        <v>11587</v>
      </c>
      <c r="G10261" t="s">
        <v>15828</v>
      </c>
      <c r="H10261" t="s">
        <v>20558</v>
      </c>
    </row>
    <row r="10262" spans="6:8">
      <c r="H10262" t="s">
        <v>18829</v>
      </c>
    </row>
    <row r="10263" spans="6:8">
      <c r="H10263" t="s">
        <v>18863</v>
      </c>
    </row>
    <row r="10264" spans="6:8">
      <c r="H10264" t="s">
        <v>20454</v>
      </c>
    </row>
    <row r="10265" spans="6:8">
      <c r="H10265" t="s">
        <v>19349</v>
      </c>
    </row>
    <row r="10266" spans="6:8">
      <c r="H10266" t="s">
        <v>20209</v>
      </c>
    </row>
    <row r="10267" spans="6:8">
      <c r="F10267" t="s">
        <v>11588</v>
      </c>
      <c r="G10267" t="s">
        <v>15829</v>
      </c>
      <c r="H10267" t="s">
        <v>20559</v>
      </c>
    </row>
    <row r="10268" spans="6:8">
      <c r="H10268" t="s">
        <v>18829</v>
      </c>
    </row>
    <row r="10269" spans="6:8">
      <c r="H10269" t="s">
        <v>18863</v>
      </c>
    </row>
    <row r="10270" spans="6:8">
      <c r="H10270" t="s">
        <v>20454</v>
      </c>
    </row>
    <row r="10271" spans="6:8">
      <c r="H10271" t="s">
        <v>19349</v>
      </c>
    </row>
    <row r="10272" spans="6:8">
      <c r="H10272" t="s">
        <v>20209</v>
      </c>
    </row>
    <row r="10273" spans="6:8">
      <c r="F10273" t="s">
        <v>11589</v>
      </c>
      <c r="G10273" t="s">
        <v>15830</v>
      </c>
      <c r="H10273" t="s">
        <v>20560</v>
      </c>
    </row>
    <row r="10274" spans="6:8">
      <c r="H10274" t="s">
        <v>18829</v>
      </c>
    </row>
    <row r="10275" spans="6:8">
      <c r="H10275" t="s">
        <v>18863</v>
      </c>
    </row>
    <row r="10276" spans="6:8">
      <c r="H10276" t="s">
        <v>20454</v>
      </c>
    </row>
    <row r="10277" spans="6:8">
      <c r="H10277" t="s">
        <v>19349</v>
      </c>
    </row>
    <row r="10278" spans="6:8">
      <c r="H10278" t="s">
        <v>20209</v>
      </c>
    </row>
    <row r="10279" spans="6:8">
      <c r="F10279" t="s">
        <v>11590</v>
      </c>
      <c r="G10279" t="s">
        <v>15831</v>
      </c>
      <c r="H10279" t="s">
        <v>20561</v>
      </c>
    </row>
    <row r="10280" spans="6:8">
      <c r="H10280" t="s">
        <v>18829</v>
      </c>
    </row>
    <row r="10281" spans="6:8">
      <c r="H10281" t="s">
        <v>18863</v>
      </c>
    </row>
    <row r="10282" spans="6:8">
      <c r="H10282" t="s">
        <v>20454</v>
      </c>
    </row>
    <row r="10283" spans="6:8">
      <c r="H10283" t="s">
        <v>19349</v>
      </c>
    </row>
    <row r="10284" spans="6:8">
      <c r="H10284" t="s">
        <v>20209</v>
      </c>
    </row>
    <row r="10285" spans="6:8">
      <c r="F10285" t="s">
        <v>11591</v>
      </c>
      <c r="G10285" t="s">
        <v>15832</v>
      </c>
      <c r="H10285" t="s">
        <v>20562</v>
      </c>
    </row>
    <row r="10286" spans="6:8">
      <c r="H10286" t="s">
        <v>18829</v>
      </c>
    </row>
    <row r="10287" spans="6:8">
      <c r="H10287" t="s">
        <v>18863</v>
      </c>
    </row>
    <row r="10288" spans="6:8">
      <c r="H10288" t="s">
        <v>20454</v>
      </c>
    </row>
    <row r="10289" spans="6:8">
      <c r="H10289" t="s">
        <v>19349</v>
      </c>
    </row>
    <row r="10290" spans="6:8">
      <c r="H10290" t="s">
        <v>20209</v>
      </c>
    </row>
    <row r="10291" spans="6:8">
      <c r="F10291" t="s">
        <v>11592</v>
      </c>
      <c r="G10291" t="s">
        <v>15833</v>
      </c>
      <c r="H10291" t="s">
        <v>20563</v>
      </c>
    </row>
    <row r="10292" spans="6:8">
      <c r="H10292" t="s">
        <v>18829</v>
      </c>
    </row>
    <row r="10293" spans="6:8">
      <c r="H10293" t="s">
        <v>18863</v>
      </c>
    </row>
    <row r="10294" spans="6:8">
      <c r="H10294" t="s">
        <v>20454</v>
      </c>
    </row>
    <row r="10295" spans="6:8">
      <c r="H10295" t="s">
        <v>19349</v>
      </c>
    </row>
    <row r="10296" spans="6:8">
      <c r="H10296" t="s">
        <v>20209</v>
      </c>
    </row>
    <row r="10297" spans="6:8">
      <c r="F10297" t="s">
        <v>11593</v>
      </c>
      <c r="G10297" t="s">
        <v>15834</v>
      </c>
      <c r="H10297" t="s">
        <v>20564</v>
      </c>
    </row>
    <row r="10298" spans="6:8">
      <c r="H10298" t="s">
        <v>18829</v>
      </c>
    </row>
    <row r="10299" spans="6:8">
      <c r="H10299" t="s">
        <v>18863</v>
      </c>
    </row>
    <row r="10300" spans="6:8">
      <c r="H10300" t="s">
        <v>20454</v>
      </c>
    </row>
    <row r="10301" spans="6:8">
      <c r="H10301" t="s">
        <v>19349</v>
      </c>
    </row>
    <row r="10302" spans="6:8">
      <c r="H10302" t="s">
        <v>20209</v>
      </c>
    </row>
    <row r="10303" spans="6:8">
      <c r="F10303" t="s">
        <v>11594</v>
      </c>
      <c r="G10303" t="s">
        <v>15835</v>
      </c>
      <c r="H10303" t="s">
        <v>20565</v>
      </c>
    </row>
    <row r="10304" spans="6:8">
      <c r="H10304" t="s">
        <v>18829</v>
      </c>
    </row>
    <row r="10305" spans="6:8">
      <c r="H10305" t="s">
        <v>18863</v>
      </c>
    </row>
    <row r="10306" spans="6:8">
      <c r="H10306" t="s">
        <v>20454</v>
      </c>
    </row>
    <row r="10307" spans="6:8">
      <c r="H10307" t="s">
        <v>19349</v>
      </c>
    </row>
    <row r="10308" spans="6:8">
      <c r="H10308" t="s">
        <v>20209</v>
      </c>
    </row>
    <row r="10309" spans="6:8">
      <c r="F10309" t="s">
        <v>11595</v>
      </c>
      <c r="G10309" t="s">
        <v>15836</v>
      </c>
      <c r="H10309" t="s">
        <v>20566</v>
      </c>
    </row>
    <row r="10310" spans="6:8">
      <c r="H10310" t="s">
        <v>18829</v>
      </c>
    </row>
    <row r="10311" spans="6:8">
      <c r="H10311" t="s">
        <v>18863</v>
      </c>
    </row>
    <row r="10312" spans="6:8">
      <c r="H10312" t="s">
        <v>20454</v>
      </c>
    </row>
    <row r="10313" spans="6:8">
      <c r="H10313" t="s">
        <v>19349</v>
      </c>
    </row>
    <row r="10314" spans="6:8">
      <c r="H10314" t="s">
        <v>20209</v>
      </c>
    </row>
    <row r="10315" spans="6:8">
      <c r="F10315" t="s">
        <v>11596</v>
      </c>
      <c r="G10315" t="s">
        <v>15837</v>
      </c>
      <c r="H10315" t="s">
        <v>20567</v>
      </c>
    </row>
    <row r="10316" spans="6:8">
      <c r="H10316" t="s">
        <v>18829</v>
      </c>
    </row>
    <row r="10317" spans="6:8">
      <c r="H10317" t="s">
        <v>18863</v>
      </c>
    </row>
    <row r="10318" spans="6:8">
      <c r="H10318" t="s">
        <v>20454</v>
      </c>
    </row>
    <row r="10319" spans="6:8">
      <c r="H10319" t="s">
        <v>19349</v>
      </c>
    </row>
    <row r="10320" spans="6:8">
      <c r="H10320" t="s">
        <v>20209</v>
      </c>
    </row>
    <row r="10321" spans="6:8">
      <c r="F10321" t="s">
        <v>11597</v>
      </c>
      <c r="G10321" t="s">
        <v>15838</v>
      </c>
      <c r="H10321" t="s">
        <v>20568</v>
      </c>
    </row>
    <row r="10322" spans="6:8">
      <c r="H10322" t="s">
        <v>18829</v>
      </c>
    </row>
    <row r="10323" spans="6:8">
      <c r="H10323" t="s">
        <v>18863</v>
      </c>
    </row>
    <row r="10324" spans="6:8">
      <c r="H10324" t="s">
        <v>20454</v>
      </c>
    </row>
    <row r="10325" spans="6:8">
      <c r="H10325" t="s">
        <v>19349</v>
      </c>
    </row>
    <row r="10326" spans="6:8">
      <c r="H10326" t="s">
        <v>20209</v>
      </c>
    </row>
    <row r="10327" spans="6:8">
      <c r="F10327" t="s">
        <v>11598</v>
      </c>
      <c r="G10327" t="s">
        <v>15839</v>
      </c>
      <c r="H10327" t="s">
        <v>20569</v>
      </c>
    </row>
    <row r="10328" spans="6:8">
      <c r="H10328" t="s">
        <v>18829</v>
      </c>
    </row>
    <row r="10329" spans="6:8">
      <c r="H10329" t="s">
        <v>18863</v>
      </c>
    </row>
    <row r="10330" spans="6:8">
      <c r="H10330" t="s">
        <v>20454</v>
      </c>
    </row>
    <row r="10331" spans="6:8">
      <c r="H10331" t="s">
        <v>19349</v>
      </c>
    </row>
    <row r="10332" spans="6:8">
      <c r="H10332" t="s">
        <v>20209</v>
      </c>
    </row>
    <row r="10333" spans="6:8">
      <c r="F10333" t="s">
        <v>11599</v>
      </c>
      <c r="G10333" t="s">
        <v>15840</v>
      </c>
      <c r="H10333" t="s">
        <v>20570</v>
      </c>
    </row>
    <row r="10334" spans="6:8">
      <c r="H10334" t="s">
        <v>18829</v>
      </c>
    </row>
    <row r="10335" spans="6:8">
      <c r="H10335" t="s">
        <v>18863</v>
      </c>
    </row>
    <row r="10336" spans="6:8">
      <c r="H10336" t="s">
        <v>20454</v>
      </c>
    </row>
    <row r="10337" spans="6:8">
      <c r="H10337" t="s">
        <v>19349</v>
      </c>
    </row>
    <row r="10338" spans="6:8">
      <c r="H10338" t="s">
        <v>20209</v>
      </c>
    </row>
    <row r="10339" spans="6:8">
      <c r="F10339" t="s">
        <v>11600</v>
      </c>
      <c r="G10339" t="s">
        <v>15841</v>
      </c>
      <c r="H10339" t="s">
        <v>20571</v>
      </c>
    </row>
    <row r="10340" spans="6:8">
      <c r="H10340" t="s">
        <v>18829</v>
      </c>
    </row>
    <row r="10341" spans="6:8">
      <c r="H10341" t="s">
        <v>18863</v>
      </c>
    </row>
    <row r="10342" spans="6:8">
      <c r="H10342" t="s">
        <v>20454</v>
      </c>
    </row>
    <row r="10343" spans="6:8">
      <c r="H10343" t="s">
        <v>19349</v>
      </c>
    </row>
    <row r="10344" spans="6:8">
      <c r="H10344" t="s">
        <v>20209</v>
      </c>
    </row>
    <row r="10345" spans="6:8">
      <c r="F10345" t="s">
        <v>11601</v>
      </c>
      <c r="G10345" t="s">
        <v>15842</v>
      </c>
      <c r="H10345" t="s">
        <v>20572</v>
      </c>
    </row>
    <row r="10346" spans="6:8">
      <c r="H10346" t="s">
        <v>18829</v>
      </c>
    </row>
    <row r="10347" spans="6:8">
      <c r="H10347" t="s">
        <v>18863</v>
      </c>
    </row>
    <row r="10348" spans="6:8">
      <c r="H10348" t="s">
        <v>20454</v>
      </c>
    </row>
    <row r="10349" spans="6:8">
      <c r="H10349" t="s">
        <v>19349</v>
      </c>
    </row>
    <row r="10350" spans="6:8">
      <c r="H10350" t="s">
        <v>20209</v>
      </c>
    </row>
    <row r="10351" spans="6:8">
      <c r="F10351" t="s">
        <v>11602</v>
      </c>
      <c r="G10351" t="s">
        <v>15843</v>
      </c>
      <c r="H10351" t="s">
        <v>20573</v>
      </c>
    </row>
    <row r="10352" spans="6:8">
      <c r="H10352" t="s">
        <v>18829</v>
      </c>
    </row>
    <row r="10353" spans="6:8">
      <c r="H10353" t="s">
        <v>18863</v>
      </c>
    </row>
    <row r="10354" spans="6:8">
      <c r="H10354" t="s">
        <v>20454</v>
      </c>
    </row>
    <row r="10355" spans="6:8">
      <c r="H10355" t="s">
        <v>19349</v>
      </c>
    </row>
    <row r="10356" spans="6:8">
      <c r="H10356" t="s">
        <v>20209</v>
      </c>
    </row>
    <row r="10357" spans="6:8">
      <c r="F10357" t="s">
        <v>11603</v>
      </c>
      <c r="G10357" t="s">
        <v>15844</v>
      </c>
      <c r="H10357" t="s">
        <v>20574</v>
      </c>
    </row>
    <row r="10358" spans="6:8">
      <c r="H10358" t="s">
        <v>18829</v>
      </c>
    </row>
    <row r="10359" spans="6:8">
      <c r="H10359" t="s">
        <v>18863</v>
      </c>
    </row>
    <row r="10360" spans="6:8">
      <c r="H10360" t="s">
        <v>20454</v>
      </c>
    </row>
    <row r="10361" spans="6:8">
      <c r="H10361" t="s">
        <v>19349</v>
      </c>
    </row>
    <row r="10362" spans="6:8">
      <c r="H10362" t="s">
        <v>20209</v>
      </c>
    </row>
    <row r="10363" spans="6:8">
      <c r="F10363" t="s">
        <v>11604</v>
      </c>
      <c r="G10363" t="s">
        <v>15845</v>
      </c>
      <c r="H10363" t="s">
        <v>20575</v>
      </c>
    </row>
    <row r="10364" spans="6:8">
      <c r="H10364" t="s">
        <v>18829</v>
      </c>
    </row>
    <row r="10365" spans="6:8">
      <c r="H10365" t="s">
        <v>18863</v>
      </c>
    </row>
    <row r="10366" spans="6:8">
      <c r="H10366" t="s">
        <v>20454</v>
      </c>
    </row>
    <row r="10367" spans="6:8">
      <c r="H10367" t="s">
        <v>19349</v>
      </c>
    </row>
    <row r="10368" spans="6:8">
      <c r="H10368" t="s">
        <v>20209</v>
      </c>
    </row>
    <row r="10369" spans="6:8">
      <c r="F10369" t="s">
        <v>11605</v>
      </c>
      <c r="G10369" t="s">
        <v>15846</v>
      </c>
      <c r="H10369" t="s">
        <v>20576</v>
      </c>
    </row>
    <row r="10370" spans="6:8">
      <c r="H10370" t="s">
        <v>18829</v>
      </c>
    </row>
    <row r="10371" spans="6:8">
      <c r="H10371" t="s">
        <v>18863</v>
      </c>
    </row>
    <row r="10372" spans="6:8">
      <c r="H10372" t="s">
        <v>20454</v>
      </c>
    </row>
    <row r="10373" spans="6:8">
      <c r="H10373" t="s">
        <v>19349</v>
      </c>
    </row>
    <row r="10374" spans="6:8">
      <c r="H10374" t="s">
        <v>20209</v>
      </c>
    </row>
    <row r="10375" spans="6:8">
      <c r="F10375" t="s">
        <v>11606</v>
      </c>
      <c r="G10375" t="s">
        <v>15847</v>
      </c>
      <c r="H10375" t="s">
        <v>20577</v>
      </c>
    </row>
    <row r="10376" spans="6:8">
      <c r="H10376" t="s">
        <v>18829</v>
      </c>
    </row>
    <row r="10377" spans="6:8">
      <c r="H10377" t="s">
        <v>18863</v>
      </c>
    </row>
    <row r="10378" spans="6:8">
      <c r="H10378" t="s">
        <v>20454</v>
      </c>
    </row>
    <row r="10379" spans="6:8">
      <c r="H10379" t="s">
        <v>19349</v>
      </c>
    </row>
    <row r="10380" spans="6:8">
      <c r="H10380" t="s">
        <v>20209</v>
      </c>
    </row>
    <row r="10381" spans="6:8">
      <c r="F10381" t="s">
        <v>11607</v>
      </c>
      <c r="G10381" t="s">
        <v>15848</v>
      </c>
      <c r="H10381" t="s">
        <v>20578</v>
      </c>
    </row>
    <row r="10382" spans="6:8">
      <c r="H10382" t="s">
        <v>18829</v>
      </c>
    </row>
    <row r="10383" spans="6:8">
      <c r="H10383" t="s">
        <v>18863</v>
      </c>
    </row>
    <row r="10384" spans="6:8">
      <c r="H10384" t="s">
        <v>20454</v>
      </c>
    </row>
    <row r="10385" spans="6:8">
      <c r="H10385" t="s">
        <v>19349</v>
      </c>
    </row>
    <row r="10386" spans="6:8">
      <c r="H10386" t="s">
        <v>20209</v>
      </c>
    </row>
    <row r="10387" spans="6:8">
      <c r="F10387" t="s">
        <v>11608</v>
      </c>
      <c r="G10387" t="s">
        <v>15849</v>
      </c>
      <c r="H10387" t="s">
        <v>20579</v>
      </c>
    </row>
    <row r="10388" spans="6:8">
      <c r="H10388" t="s">
        <v>18829</v>
      </c>
    </row>
    <row r="10389" spans="6:8">
      <c r="H10389" t="s">
        <v>18863</v>
      </c>
    </row>
    <row r="10390" spans="6:8">
      <c r="H10390" t="s">
        <v>20454</v>
      </c>
    </row>
    <row r="10391" spans="6:8">
      <c r="H10391" t="s">
        <v>19349</v>
      </c>
    </row>
    <row r="10392" spans="6:8">
      <c r="H10392" t="s">
        <v>20209</v>
      </c>
    </row>
    <row r="10393" spans="6:8">
      <c r="F10393" t="s">
        <v>11609</v>
      </c>
      <c r="G10393" t="s">
        <v>15850</v>
      </c>
      <c r="H10393" t="s">
        <v>20580</v>
      </c>
    </row>
    <row r="10394" spans="6:8">
      <c r="H10394" t="s">
        <v>18829</v>
      </c>
    </row>
    <row r="10395" spans="6:8">
      <c r="H10395" t="s">
        <v>18863</v>
      </c>
    </row>
    <row r="10396" spans="6:8">
      <c r="H10396" t="s">
        <v>20454</v>
      </c>
    </row>
    <row r="10397" spans="6:8">
      <c r="H10397" t="s">
        <v>19349</v>
      </c>
    </row>
    <row r="10398" spans="6:8">
      <c r="H10398" t="s">
        <v>20209</v>
      </c>
    </row>
    <row r="10399" spans="6:8">
      <c r="F10399" t="s">
        <v>11610</v>
      </c>
      <c r="G10399" t="s">
        <v>15851</v>
      </c>
      <c r="H10399" t="s">
        <v>20581</v>
      </c>
    </row>
    <row r="10400" spans="6:8">
      <c r="H10400" t="s">
        <v>18829</v>
      </c>
    </row>
    <row r="10401" spans="6:8">
      <c r="H10401" t="s">
        <v>18863</v>
      </c>
    </row>
    <row r="10402" spans="6:8">
      <c r="H10402" t="s">
        <v>20454</v>
      </c>
    </row>
    <row r="10403" spans="6:8">
      <c r="H10403" t="s">
        <v>19349</v>
      </c>
    </row>
    <row r="10404" spans="6:8">
      <c r="H10404" t="s">
        <v>20209</v>
      </c>
    </row>
    <row r="10405" spans="6:8">
      <c r="F10405" t="s">
        <v>11611</v>
      </c>
      <c r="G10405" t="s">
        <v>15852</v>
      </c>
      <c r="H10405" t="s">
        <v>20582</v>
      </c>
    </row>
    <row r="10406" spans="6:8">
      <c r="H10406" t="s">
        <v>18829</v>
      </c>
    </row>
    <row r="10407" spans="6:8">
      <c r="H10407" t="s">
        <v>18863</v>
      </c>
    </row>
    <row r="10408" spans="6:8">
      <c r="H10408" t="s">
        <v>20454</v>
      </c>
    </row>
    <row r="10409" spans="6:8">
      <c r="H10409" t="s">
        <v>19349</v>
      </c>
    </row>
    <row r="10410" spans="6:8">
      <c r="H10410" t="s">
        <v>20209</v>
      </c>
    </row>
    <row r="10411" spans="6:8">
      <c r="F10411" t="s">
        <v>11612</v>
      </c>
      <c r="G10411" t="s">
        <v>15853</v>
      </c>
      <c r="H10411" t="s">
        <v>20583</v>
      </c>
    </row>
    <row r="10412" spans="6:8">
      <c r="H10412" t="s">
        <v>18829</v>
      </c>
    </row>
    <row r="10413" spans="6:8">
      <c r="H10413" t="s">
        <v>18863</v>
      </c>
    </row>
    <row r="10414" spans="6:8">
      <c r="H10414" t="s">
        <v>20454</v>
      </c>
    </row>
    <row r="10415" spans="6:8">
      <c r="H10415" t="s">
        <v>19349</v>
      </c>
    </row>
    <row r="10416" spans="6:8">
      <c r="H10416" t="s">
        <v>20209</v>
      </c>
    </row>
    <row r="10417" spans="6:8">
      <c r="F10417" t="s">
        <v>11613</v>
      </c>
      <c r="G10417" t="s">
        <v>15854</v>
      </c>
      <c r="H10417" t="s">
        <v>20584</v>
      </c>
    </row>
    <row r="10418" spans="6:8">
      <c r="H10418" t="s">
        <v>18829</v>
      </c>
    </row>
    <row r="10419" spans="6:8">
      <c r="H10419" t="s">
        <v>18863</v>
      </c>
    </row>
    <row r="10420" spans="6:8">
      <c r="H10420" t="s">
        <v>20454</v>
      </c>
    </row>
    <row r="10421" spans="6:8">
      <c r="H10421" t="s">
        <v>19349</v>
      </c>
    </row>
    <row r="10422" spans="6:8">
      <c r="H10422" t="s">
        <v>20209</v>
      </c>
    </row>
    <row r="10423" spans="6:8">
      <c r="F10423" t="s">
        <v>11614</v>
      </c>
      <c r="G10423" t="s">
        <v>15855</v>
      </c>
      <c r="H10423" t="s">
        <v>20585</v>
      </c>
    </row>
    <row r="10424" spans="6:8">
      <c r="H10424" t="s">
        <v>18829</v>
      </c>
    </row>
    <row r="10425" spans="6:8">
      <c r="H10425" t="s">
        <v>18863</v>
      </c>
    </row>
    <row r="10426" spans="6:8">
      <c r="H10426" t="s">
        <v>20454</v>
      </c>
    </row>
    <row r="10427" spans="6:8">
      <c r="H10427" t="s">
        <v>19349</v>
      </c>
    </row>
    <row r="10428" spans="6:8">
      <c r="H10428" t="s">
        <v>20209</v>
      </c>
    </row>
    <row r="10429" spans="6:8">
      <c r="F10429" t="s">
        <v>11615</v>
      </c>
      <c r="G10429" t="s">
        <v>15856</v>
      </c>
      <c r="H10429" t="s">
        <v>20586</v>
      </c>
    </row>
    <row r="10430" spans="6:8">
      <c r="H10430" t="s">
        <v>18829</v>
      </c>
    </row>
    <row r="10431" spans="6:8">
      <c r="H10431" t="s">
        <v>18863</v>
      </c>
    </row>
    <row r="10432" spans="6:8">
      <c r="H10432" t="s">
        <v>20454</v>
      </c>
    </row>
    <row r="10433" spans="6:8">
      <c r="H10433" t="s">
        <v>19349</v>
      </c>
    </row>
    <row r="10434" spans="6:8">
      <c r="H10434" t="s">
        <v>20209</v>
      </c>
    </row>
    <row r="10435" spans="6:8">
      <c r="F10435" t="s">
        <v>11616</v>
      </c>
      <c r="G10435" t="s">
        <v>15857</v>
      </c>
      <c r="H10435" t="s">
        <v>20587</v>
      </c>
    </row>
    <row r="10436" spans="6:8">
      <c r="H10436" t="s">
        <v>18829</v>
      </c>
    </row>
    <row r="10437" spans="6:8">
      <c r="H10437" t="s">
        <v>18863</v>
      </c>
    </row>
    <row r="10438" spans="6:8">
      <c r="H10438" t="s">
        <v>20454</v>
      </c>
    </row>
    <row r="10439" spans="6:8">
      <c r="H10439" t="s">
        <v>19349</v>
      </c>
    </row>
    <row r="10440" spans="6:8">
      <c r="H10440" t="s">
        <v>20209</v>
      </c>
    </row>
    <row r="10441" spans="6:8">
      <c r="F10441" t="s">
        <v>11617</v>
      </c>
      <c r="G10441" t="s">
        <v>15858</v>
      </c>
      <c r="H10441" t="s">
        <v>20588</v>
      </c>
    </row>
    <row r="10442" spans="6:8">
      <c r="H10442" t="s">
        <v>18829</v>
      </c>
    </row>
    <row r="10443" spans="6:8">
      <c r="H10443" t="s">
        <v>18863</v>
      </c>
    </row>
    <row r="10444" spans="6:8">
      <c r="H10444" t="s">
        <v>20454</v>
      </c>
    </row>
    <row r="10445" spans="6:8">
      <c r="H10445" t="s">
        <v>19349</v>
      </c>
    </row>
    <row r="10446" spans="6:8">
      <c r="H10446" t="s">
        <v>20209</v>
      </c>
    </row>
    <row r="10447" spans="6:8">
      <c r="F10447" t="s">
        <v>11618</v>
      </c>
      <c r="G10447" t="s">
        <v>15859</v>
      </c>
      <c r="H10447" t="s">
        <v>20589</v>
      </c>
    </row>
    <row r="10448" spans="6:8">
      <c r="H10448" t="s">
        <v>18829</v>
      </c>
    </row>
    <row r="10449" spans="6:8">
      <c r="H10449" t="s">
        <v>18863</v>
      </c>
    </row>
    <row r="10450" spans="6:8">
      <c r="H10450" t="s">
        <v>20454</v>
      </c>
    </row>
    <row r="10451" spans="6:8">
      <c r="H10451" t="s">
        <v>19349</v>
      </c>
    </row>
    <row r="10452" spans="6:8">
      <c r="H10452" t="s">
        <v>20209</v>
      </c>
    </row>
    <row r="10453" spans="6:8">
      <c r="F10453" t="s">
        <v>11619</v>
      </c>
      <c r="G10453" t="s">
        <v>15860</v>
      </c>
      <c r="H10453" t="s">
        <v>20590</v>
      </c>
    </row>
    <row r="10454" spans="6:8">
      <c r="H10454" t="s">
        <v>18829</v>
      </c>
    </row>
    <row r="10455" spans="6:8">
      <c r="H10455" t="s">
        <v>18863</v>
      </c>
    </row>
    <row r="10456" spans="6:8">
      <c r="H10456" t="s">
        <v>20454</v>
      </c>
    </row>
    <row r="10457" spans="6:8">
      <c r="H10457" t="s">
        <v>19349</v>
      </c>
    </row>
    <row r="10458" spans="6:8">
      <c r="H10458" t="s">
        <v>20209</v>
      </c>
    </row>
    <row r="10459" spans="6:8">
      <c r="F10459" t="s">
        <v>11620</v>
      </c>
      <c r="G10459" t="s">
        <v>15861</v>
      </c>
      <c r="H10459" t="s">
        <v>20591</v>
      </c>
    </row>
    <row r="10460" spans="6:8">
      <c r="H10460" t="s">
        <v>18829</v>
      </c>
    </row>
    <row r="10461" spans="6:8">
      <c r="H10461" t="s">
        <v>18863</v>
      </c>
    </row>
    <row r="10462" spans="6:8">
      <c r="H10462" t="s">
        <v>20454</v>
      </c>
    </row>
    <row r="10463" spans="6:8">
      <c r="H10463" t="s">
        <v>19349</v>
      </c>
    </row>
    <row r="10464" spans="6:8">
      <c r="H10464" t="s">
        <v>20209</v>
      </c>
    </row>
    <row r="10465" spans="6:8">
      <c r="F10465" t="s">
        <v>11621</v>
      </c>
      <c r="G10465" t="s">
        <v>15862</v>
      </c>
      <c r="H10465" t="s">
        <v>20592</v>
      </c>
    </row>
    <row r="10466" spans="6:8">
      <c r="H10466" t="s">
        <v>18829</v>
      </c>
    </row>
    <row r="10467" spans="6:8">
      <c r="H10467" t="s">
        <v>18863</v>
      </c>
    </row>
    <row r="10468" spans="6:8">
      <c r="H10468" t="s">
        <v>20454</v>
      </c>
    </row>
    <row r="10469" spans="6:8">
      <c r="H10469" t="s">
        <v>19349</v>
      </c>
    </row>
    <row r="10470" spans="6:8">
      <c r="H10470" t="s">
        <v>20209</v>
      </c>
    </row>
    <row r="10471" spans="6:8">
      <c r="F10471" t="s">
        <v>11622</v>
      </c>
      <c r="G10471" t="s">
        <v>15863</v>
      </c>
      <c r="H10471" t="s">
        <v>20593</v>
      </c>
    </row>
    <row r="10472" spans="6:8">
      <c r="H10472" t="s">
        <v>18829</v>
      </c>
    </row>
    <row r="10473" spans="6:8">
      <c r="H10473" t="s">
        <v>18863</v>
      </c>
    </row>
    <row r="10474" spans="6:8">
      <c r="H10474" t="s">
        <v>20454</v>
      </c>
    </row>
    <row r="10475" spans="6:8">
      <c r="H10475" t="s">
        <v>19349</v>
      </c>
    </row>
    <row r="10476" spans="6:8">
      <c r="H10476" t="s">
        <v>20209</v>
      </c>
    </row>
    <row r="10477" spans="6:8">
      <c r="F10477" t="s">
        <v>11623</v>
      </c>
      <c r="G10477" t="s">
        <v>15864</v>
      </c>
      <c r="H10477" t="s">
        <v>20594</v>
      </c>
    </row>
    <row r="10478" spans="6:8">
      <c r="H10478" t="s">
        <v>18829</v>
      </c>
    </row>
    <row r="10479" spans="6:8">
      <c r="H10479" t="s">
        <v>18863</v>
      </c>
    </row>
    <row r="10480" spans="6:8">
      <c r="H10480" t="s">
        <v>20454</v>
      </c>
    </row>
    <row r="10481" spans="6:8">
      <c r="H10481" t="s">
        <v>19349</v>
      </c>
    </row>
    <row r="10482" spans="6:8">
      <c r="H10482" t="s">
        <v>20209</v>
      </c>
    </row>
    <row r="10483" spans="6:8">
      <c r="F10483" t="s">
        <v>11624</v>
      </c>
      <c r="G10483" t="s">
        <v>15865</v>
      </c>
      <c r="H10483" t="s">
        <v>20595</v>
      </c>
    </row>
    <row r="10484" spans="6:8">
      <c r="H10484" t="s">
        <v>18829</v>
      </c>
    </row>
    <row r="10485" spans="6:8">
      <c r="H10485" t="s">
        <v>18863</v>
      </c>
    </row>
    <row r="10486" spans="6:8">
      <c r="H10486" t="s">
        <v>20454</v>
      </c>
    </row>
    <row r="10487" spans="6:8">
      <c r="H10487" t="s">
        <v>19349</v>
      </c>
    </row>
    <row r="10488" spans="6:8">
      <c r="H10488" t="s">
        <v>20209</v>
      </c>
    </row>
    <row r="10489" spans="6:8">
      <c r="F10489" t="s">
        <v>11625</v>
      </c>
      <c r="G10489" t="s">
        <v>15866</v>
      </c>
      <c r="H10489" t="s">
        <v>20596</v>
      </c>
    </row>
    <row r="10490" spans="6:8">
      <c r="H10490" t="s">
        <v>18829</v>
      </c>
    </row>
    <row r="10491" spans="6:8">
      <c r="H10491" t="s">
        <v>18863</v>
      </c>
    </row>
    <row r="10492" spans="6:8">
      <c r="H10492" t="s">
        <v>20454</v>
      </c>
    </row>
    <row r="10493" spans="6:8">
      <c r="H10493" t="s">
        <v>19349</v>
      </c>
    </row>
    <row r="10494" spans="6:8">
      <c r="H10494" t="s">
        <v>20209</v>
      </c>
    </row>
    <row r="10495" spans="6:8">
      <c r="F10495" t="s">
        <v>11626</v>
      </c>
      <c r="G10495" t="s">
        <v>15867</v>
      </c>
      <c r="H10495" t="s">
        <v>20597</v>
      </c>
    </row>
    <row r="10496" spans="6:8">
      <c r="H10496" t="s">
        <v>18829</v>
      </c>
    </row>
    <row r="10497" spans="6:8">
      <c r="H10497" t="s">
        <v>18863</v>
      </c>
    </row>
    <row r="10498" spans="6:8">
      <c r="H10498" t="s">
        <v>20454</v>
      </c>
    </row>
    <row r="10499" spans="6:8">
      <c r="H10499" t="s">
        <v>19349</v>
      </c>
    </row>
    <row r="10500" spans="6:8">
      <c r="H10500" t="s">
        <v>20209</v>
      </c>
    </row>
    <row r="10501" spans="6:8">
      <c r="F10501" t="s">
        <v>11627</v>
      </c>
      <c r="G10501" t="s">
        <v>15868</v>
      </c>
      <c r="H10501" t="s">
        <v>20598</v>
      </c>
    </row>
    <row r="10502" spans="6:8">
      <c r="H10502" t="s">
        <v>18829</v>
      </c>
    </row>
    <row r="10503" spans="6:8">
      <c r="H10503" t="s">
        <v>18863</v>
      </c>
    </row>
    <row r="10504" spans="6:8">
      <c r="H10504" t="s">
        <v>20454</v>
      </c>
    </row>
    <row r="10505" spans="6:8">
      <c r="H10505" t="s">
        <v>19349</v>
      </c>
    </row>
    <row r="10506" spans="6:8">
      <c r="H10506" t="s">
        <v>20209</v>
      </c>
    </row>
    <row r="10507" spans="6:8">
      <c r="F10507" t="s">
        <v>11628</v>
      </c>
      <c r="G10507" t="s">
        <v>15869</v>
      </c>
      <c r="H10507" t="s">
        <v>20599</v>
      </c>
    </row>
    <row r="10508" spans="6:8">
      <c r="H10508" t="s">
        <v>18829</v>
      </c>
    </row>
    <row r="10509" spans="6:8">
      <c r="H10509" t="s">
        <v>18863</v>
      </c>
    </row>
    <row r="10510" spans="6:8">
      <c r="H10510" t="s">
        <v>20454</v>
      </c>
    </row>
    <row r="10511" spans="6:8">
      <c r="H10511" t="s">
        <v>19349</v>
      </c>
    </row>
    <row r="10512" spans="6:8">
      <c r="H10512" t="s">
        <v>20209</v>
      </c>
    </row>
    <row r="10513" spans="6:8">
      <c r="F10513" t="s">
        <v>11629</v>
      </c>
      <c r="G10513" t="s">
        <v>15870</v>
      </c>
      <c r="H10513" t="s">
        <v>20600</v>
      </c>
    </row>
    <row r="10514" spans="6:8">
      <c r="H10514" t="s">
        <v>18829</v>
      </c>
    </row>
    <row r="10515" spans="6:8">
      <c r="H10515" t="s">
        <v>18863</v>
      </c>
    </row>
    <row r="10516" spans="6:8">
      <c r="H10516" t="s">
        <v>20454</v>
      </c>
    </row>
    <row r="10517" spans="6:8">
      <c r="H10517" t="s">
        <v>19349</v>
      </c>
    </row>
    <row r="10518" spans="6:8">
      <c r="H10518" t="s">
        <v>20209</v>
      </c>
    </row>
    <row r="10519" spans="6:8">
      <c r="F10519" t="s">
        <v>11630</v>
      </c>
      <c r="G10519" t="s">
        <v>15871</v>
      </c>
      <c r="H10519" t="s">
        <v>20601</v>
      </c>
    </row>
    <row r="10520" spans="6:8">
      <c r="H10520" t="s">
        <v>18829</v>
      </c>
    </row>
    <row r="10521" spans="6:8">
      <c r="H10521" t="s">
        <v>18863</v>
      </c>
    </row>
    <row r="10522" spans="6:8">
      <c r="H10522" t="s">
        <v>20454</v>
      </c>
    </row>
    <row r="10523" spans="6:8">
      <c r="H10523" t="s">
        <v>19349</v>
      </c>
    </row>
    <row r="10524" spans="6:8">
      <c r="H10524" t="s">
        <v>20209</v>
      </c>
    </row>
    <row r="10525" spans="6:8">
      <c r="F10525" t="s">
        <v>11631</v>
      </c>
      <c r="G10525" t="s">
        <v>15872</v>
      </c>
      <c r="H10525" t="s">
        <v>20602</v>
      </c>
    </row>
    <row r="10526" spans="6:8">
      <c r="H10526" t="s">
        <v>18829</v>
      </c>
    </row>
    <row r="10527" spans="6:8">
      <c r="H10527" t="s">
        <v>18863</v>
      </c>
    </row>
    <row r="10528" spans="6:8">
      <c r="H10528" t="s">
        <v>20454</v>
      </c>
    </row>
    <row r="10529" spans="6:8">
      <c r="H10529" t="s">
        <v>19349</v>
      </c>
    </row>
    <row r="10530" spans="6:8">
      <c r="H10530" t="s">
        <v>20209</v>
      </c>
    </row>
    <row r="10531" spans="6:8">
      <c r="F10531" t="s">
        <v>11632</v>
      </c>
      <c r="G10531" t="s">
        <v>15873</v>
      </c>
      <c r="H10531" t="s">
        <v>20603</v>
      </c>
    </row>
    <row r="10532" spans="6:8">
      <c r="H10532" t="s">
        <v>18829</v>
      </c>
    </row>
    <row r="10533" spans="6:8">
      <c r="H10533" t="s">
        <v>18863</v>
      </c>
    </row>
    <row r="10534" spans="6:8">
      <c r="H10534" t="s">
        <v>20454</v>
      </c>
    </row>
    <row r="10535" spans="6:8">
      <c r="H10535" t="s">
        <v>19349</v>
      </c>
    </row>
    <row r="10536" spans="6:8">
      <c r="H10536" t="s">
        <v>20209</v>
      </c>
    </row>
    <row r="10537" spans="6:8">
      <c r="F10537" t="s">
        <v>11633</v>
      </c>
      <c r="G10537" t="s">
        <v>15874</v>
      </c>
      <c r="H10537" t="s">
        <v>20604</v>
      </c>
    </row>
    <row r="10538" spans="6:8">
      <c r="H10538" t="s">
        <v>18829</v>
      </c>
    </row>
    <row r="10539" spans="6:8">
      <c r="H10539" t="s">
        <v>18863</v>
      </c>
    </row>
    <row r="10540" spans="6:8">
      <c r="H10540" t="s">
        <v>20454</v>
      </c>
    </row>
    <row r="10541" spans="6:8">
      <c r="H10541" t="s">
        <v>19349</v>
      </c>
    </row>
    <row r="10542" spans="6:8">
      <c r="H10542" t="s">
        <v>20209</v>
      </c>
    </row>
    <row r="10543" spans="6:8">
      <c r="F10543" t="s">
        <v>11634</v>
      </c>
      <c r="G10543" t="s">
        <v>15875</v>
      </c>
      <c r="H10543" t="s">
        <v>20605</v>
      </c>
    </row>
    <row r="10544" spans="6:8">
      <c r="H10544" t="s">
        <v>18829</v>
      </c>
    </row>
    <row r="10545" spans="6:8">
      <c r="H10545" t="s">
        <v>18863</v>
      </c>
    </row>
    <row r="10546" spans="6:8">
      <c r="H10546" t="s">
        <v>20454</v>
      </c>
    </row>
    <row r="10547" spans="6:8">
      <c r="H10547" t="s">
        <v>19349</v>
      </c>
    </row>
    <row r="10548" spans="6:8">
      <c r="H10548" t="s">
        <v>20209</v>
      </c>
    </row>
    <row r="10549" spans="6:8">
      <c r="F10549" t="s">
        <v>11635</v>
      </c>
      <c r="G10549" t="s">
        <v>15876</v>
      </c>
      <c r="H10549" t="s">
        <v>20606</v>
      </c>
    </row>
    <row r="10550" spans="6:8">
      <c r="H10550" t="s">
        <v>18829</v>
      </c>
    </row>
    <row r="10551" spans="6:8">
      <c r="H10551" t="s">
        <v>18863</v>
      </c>
    </row>
    <row r="10552" spans="6:8">
      <c r="H10552" t="s">
        <v>20454</v>
      </c>
    </row>
    <row r="10553" spans="6:8">
      <c r="H10553" t="s">
        <v>19349</v>
      </c>
    </row>
    <row r="10554" spans="6:8">
      <c r="H10554" t="s">
        <v>20209</v>
      </c>
    </row>
    <row r="10555" spans="6:8">
      <c r="F10555" t="s">
        <v>11636</v>
      </c>
      <c r="G10555" t="s">
        <v>15877</v>
      </c>
      <c r="H10555" t="s">
        <v>20607</v>
      </c>
    </row>
    <row r="10556" spans="6:8">
      <c r="H10556" t="s">
        <v>18829</v>
      </c>
    </row>
    <row r="10557" spans="6:8">
      <c r="H10557" t="s">
        <v>18863</v>
      </c>
    </row>
    <row r="10558" spans="6:8">
      <c r="H10558" t="s">
        <v>20454</v>
      </c>
    </row>
    <row r="10559" spans="6:8">
      <c r="H10559" t="s">
        <v>19349</v>
      </c>
    </row>
    <row r="10560" spans="6:8">
      <c r="H10560" t="s">
        <v>20209</v>
      </c>
    </row>
    <row r="10561" spans="6:8">
      <c r="F10561" t="s">
        <v>11637</v>
      </c>
      <c r="G10561" t="s">
        <v>15878</v>
      </c>
      <c r="H10561" t="s">
        <v>20608</v>
      </c>
    </row>
    <row r="10562" spans="6:8">
      <c r="H10562" t="s">
        <v>18829</v>
      </c>
    </row>
    <row r="10563" spans="6:8">
      <c r="H10563" t="s">
        <v>18863</v>
      </c>
    </row>
    <row r="10564" spans="6:8">
      <c r="H10564" t="s">
        <v>20454</v>
      </c>
    </row>
    <row r="10565" spans="6:8">
      <c r="H10565" t="s">
        <v>19349</v>
      </c>
    </row>
    <row r="10566" spans="6:8">
      <c r="H10566" t="s">
        <v>20209</v>
      </c>
    </row>
    <row r="10567" spans="6:8">
      <c r="F10567" t="s">
        <v>11638</v>
      </c>
      <c r="G10567" t="s">
        <v>15879</v>
      </c>
      <c r="H10567" t="s">
        <v>20609</v>
      </c>
    </row>
    <row r="10568" spans="6:8">
      <c r="H10568" t="s">
        <v>18829</v>
      </c>
    </row>
    <row r="10569" spans="6:8">
      <c r="H10569" t="s">
        <v>18863</v>
      </c>
    </row>
    <row r="10570" spans="6:8">
      <c r="H10570" t="s">
        <v>20454</v>
      </c>
    </row>
    <row r="10571" spans="6:8">
      <c r="H10571" t="s">
        <v>19349</v>
      </c>
    </row>
    <row r="10572" spans="6:8">
      <c r="H10572" t="s">
        <v>20209</v>
      </c>
    </row>
    <row r="10573" spans="6:8">
      <c r="F10573" t="s">
        <v>11639</v>
      </c>
      <c r="G10573" t="s">
        <v>15880</v>
      </c>
      <c r="H10573" t="s">
        <v>20610</v>
      </c>
    </row>
    <row r="10574" spans="6:8">
      <c r="H10574" t="s">
        <v>18829</v>
      </c>
    </row>
    <row r="10575" spans="6:8">
      <c r="H10575" t="s">
        <v>18863</v>
      </c>
    </row>
    <row r="10576" spans="6:8">
      <c r="H10576" t="s">
        <v>20454</v>
      </c>
    </row>
    <row r="10577" spans="6:8">
      <c r="H10577" t="s">
        <v>19349</v>
      </c>
    </row>
    <row r="10578" spans="6:8">
      <c r="H10578" t="s">
        <v>20209</v>
      </c>
    </row>
    <row r="10579" spans="6:8">
      <c r="F10579" t="s">
        <v>11640</v>
      </c>
      <c r="G10579" t="s">
        <v>15881</v>
      </c>
      <c r="H10579" t="s">
        <v>20611</v>
      </c>
    </row>
    <row r="10580" spans="6:8">
      <c r="H10580" t="s">
        <v>18829</v>
      </c>
    </row>
    <row r="10581" spans="6:8">
      <c r="H10581" t="s">
        <v>18863</v>
      </c>
    </row>
    <row r="10582" spans="6:8">
      <c r="H10582" t="s">
        <v>20454</v>
      </c>
    </row>
    <row r="10583" spans="6:8">
      <c r="H10583" t="s">
        <v>19349</v>
      </c>
    </row>
    <row r="10584" spans="6:8">
      <c r="H10584" t="s">
        <v>20209</v>
      </c>
    </row>
    <row r="10585" spans="6:8">
      <c r="F10585" t="s">
        <v>11641</v>
      </c>
      <c r="G10585" t="s">
        <v>15882</v>
      </c>
      <c r="H10585" t="s">
        <v>20612</v>
      </c>
    </row>
    <row r="10586" spans="6:8">
      <c r="H10586" t="s">
        <v>18829</v>
      </c>
    </row>
    <row r="10587" spans="6:8">
      <c r="H10587" t="s">
        <v>18863</v>
      </c>
    </row>
    <row r="10588" spans="6:8">
      <c r="H10588" t="s">
        <v>20454</v>
      </c>
    </row>
    <row r="10589" spans="6:8">
      <c r="H10589" t="s">
        <v>19349</v>
      </c>
    </row>
    <row r="10590" spans="6:8">
      <c r="H10590" t="s">
        <v>20209</v>
      </c>
    </row>
    <row r="10591" spans="6:8">
      <c r="F10591" t="s">
        <v>11642</v>
      </c>
      <c r="G10591" t="s">
        <v>15883</v>
      </c>
      <c r="H10591" t="s">
        <v>20613</v>
      </c>
    </row>
    <row r="10592" spans="6:8">
      <c r="H10592" t="s">
        <v>18829</v>
      </c>
    </row>
    <row r="10593" spans="6:8">
      <c r="H10593" t="s">
        <v>18863</v>
      </c>
    </row>
    <row r="10594" spans="6:8">
      <c r="H10594" t="s">
        <v>20454</v>
      </c>
    </row>
    <row r="10595" spans="6:8">
      <c r="H10595" t="s">
        <v>19349</v>
      </c>
    </row>
    <row r="10596" spans="6:8">
      <c r="H10596" t="s">
        <v>20209</v>
      </c>
    </row>
    <row r="10597" spans="6:8">
      <c r="F10597" t="s">
        <v>11643</v>
      </c>
      <c r="G10597" t="s">
        <v>15884</v>
      </c>
      <c r="H10597" t="s">
        <v>20614</v>
      </c>
    </row>
    <row r="10598" spans="6:8">
      <c r="H10598" t="s">
        <v>18829</v>
      </c>
    </row>
    <row r="10599" spans="6:8">
      <c r="H10599" t="s">
        <v>18863</v>
      </c>
    </row>
    <row r="10600" spans="6:8">
      <c r="H10600" t="s">
        <v>20454</v>
      </c>
    </row>
    <row r="10601" spans="6:8">
      <c r="H10601" t="s">
        <v>19349</v>
      </c>
    </row>
    <row r="10602" spans="6:8">
      <c r="H10602" t="s">
        <v>20209</v>
      </c>
    </row>
    <row r="10603" spans="6:8">
      <c r="F10603" t="s">
        <v>11644</v>
      </c>
      <c r="G10603" t="s">
        <v>15885</v>
      </c>
      <c r="H10603" t="s">
        <v>20615</v>
      </c>
    </row>
    <row r="10604" spans="6:8">
      <c r="H10604" t="s">
        <v>18829</v>
      </c>
    </row>
    <row r="10605" spans="6:8">
      <c r="H10605" t="s">
        <v>18863</v>
      </c>
    </row>
    <row r="10606" spans="6:8">
      <c r="H10606" t="s">
        <v>20454</v>
      </c>
    </row>
    <row r="10607" spans="6:8">
      <c r="H10607" t="s">
        <v>19349</v>
      </c>
    </row>
    <row r="10608" spans="6:8">
      <c r="H10608" t="s">
        <v>20209</v>
      </c>
    </row>
    <row r="10609" spans="6:8">
      <c r="F10609" t="s">
        <v>11645</v>
      </c>
      <c r="G10609" t="s">
        <v>15886</v>
      </c>
      <c r="H10609" t="s">
        <v>20616</v>
      </c>
    </row>
    <row r="10610" spans="6:8">
      <c r="H10610" t="s">
        <v>18829</v>
      </c>
    </row>
    <row r="10611" spans="6:8">
      <c r="H10611" t="s">
        <v>18863</v>
      </c>
    </row>
    <row r="10612" spans="6:8">
      <c r="H10612" t="s">
        <v>20454</v>
      </c>
    </row>
    <row r="10613" spans="6:8">
      <c r="H10613" t="s">
        <v>19349</v>
      </c>
    </row>
    <row r="10614" spans="6:8">
      <c r="H10614" t="s">
        <v>20209</v>
      </c>
    </row>
    <row r="10615" spans="6:8">
      <c r="F10615" t="s">
        <v>11646</v>
      </c>
      <c r="G10615" t="s">
        <v>15887</v>
      </c>
      <c r="H10615" t="s">
        <v>20617</v>
      </c>
    </row>
    <row r="10616" spans="6:8">
      <c r="H10616" t="s">
        <v>18829</v>
      </c>
    </row>
    <row r="10617" spans="6:8">
      <c r="H10617" t="s">
        <v>18863</v>
      </c>
    </row>
    <row r="10618" spans="6:8">
      <c r="H10618" t="s">
        <v>20454</v>
      </c>
    </row>
    <row r="10619" spans="6:8">
      <c r="H10619" t="s">
        <v>19349</v>
      </c>
    </row>
    <row r="10620" spans="6:8">
      <c r="H10620" t="s">
        <v>20209</v>
      </c>
    </row>
    <row r="10621" spans="6:8">
      <c r="F10621" t="s">
        <v>11647</v>
      </c>
      <c r="G10621" t="s">
        <v>15888</v>
      </c>
      <c r="H10621" t="s">
        <v>20618</v>
      </c>
    </row>
    <row r="10622" spans="6:8">
      <c r="H10622" t="s">
        <v>18829</v>
      </c>
    </row>
    <row r="10623" spans="6:8">
      <c r="H10623" t="s">
        <v>18863</v>
      </c>
    </row>
    <row r="10624" spans="6:8">
      <c r="H10624" t="s">
        <v>20454</v>
      </c>
    </row>
    <row r="10625" spans="6:8">
      <c r="H10625" t="s">
        <v>19349</v>
      </c>
    </row>
    <row r="10626" spans="6:8">
      <c r="H10626" t="s">
        <v>20209</v>
      </c>
    </row>
    <row r="10627" spans="6:8">
      <c r="F10627" t="s">
        <v>11648</v>
      </c>
      <c r="G10627" t="s">
        <v>15889</v>
      </c>
      <c r="H10627" t="s">
        <v>20619</v>
      </c>
    </row>
    <row r="10628" spans="6:8">
      <c r="H10628" t="s">
        <v>18829</v>
      </c>
    </row>
    <row r="10629" spans="6:8">
      <c r="H10629" t="s">
        <v>18863</v>
      </c>
    </row>
    <row r="10630" spans="6:8">
      <c r="H10630" t="s">
        <v>20454</v>
      </c>
    </row>
    <row r="10631" spans="6:8">
      <c r="H10631" t="s">
        <v>19349</v>
      </c>
    </row>
    <row r="10632" spans="6:8">
      <c r="H10632" t="s">
        <v>20209</v>
      </c>
    </row>
    <row r="10633" spans="6:8">
      <c r="F10633" t="s">
        <v>11649</v>
      </c>
      <c r="G10633" t="s">
        <v>15890</v>
      </c>
      <c r="H10633" t="s">
        <v>20620</v>
      </c>
    </row>
    <row r="10634" spans="6:8">
      <c r="H10634" t="s">
        <v>18829</v>
      </c>
    </row>
    <row r="10635" spans="6:8">
      <c r="H10635" t="s">
        <v>18863</v>
      </c>
    </row>
    <row r="10636" spans="6:8">
      <c r="H10636" t="s">
        <v>20454</v>
      </c>
    </row>
    <row r="10637" spans="6:8">
      <c r="H10637" t="s">
        <v>19349</v>
      </c>
    </row>
    <row r="10638" spans="6:8">
      <c r="H10638" t="s">
        <v>20209</v>
      </c>
    </row>
    <row r="10639" spans="6:8">
      <c r="F10639" t="s">
        <v>11650</v>
      </c>
      <c r="G10639" t="s">
        <v>15891</v>
      </c>
      <c r="H10639" t="s">
        <v>20621</v>
      </c>
    </row>
    <row r="10640" spans="6:8">
      <c r="H10640" t="s">
        <v>18829</v>
      </c>
    </row>
    <row r="10641" spans="6:8">
      <c r="H10641" t="s">
        <v>18863</v>
      </c>
    </row>
    <row r="10642" spans="6:8">
      <c r="H10642" t="s">
        <v>20454</v>
      </c>
    </row>
    <row r="10643" spans="6:8">
      <c r="H10643" t="s">
        <v>19349</v>
      </c>
    </row>
    <row r="10644" spans="6:8">
      <c r="H10644" t="s">
        <v>20209</v>
      </c>
    </row>
    <row r="10645" spans="6:8">
      <c r="F10645" t="s">
        <v>11651</v>
      </c>
      <c r="G10645" t="s">
        <v>15892</v>
      </c>
      <c r="H10645" t="s">
        <v>20622</v>
      </c>
    </row>
    <row r="10646" spans="6:8">
      <c r="H10646" t="s">
        <v>18829</v>
      </c>
    </row>
    <row r="10647" spans="6:8">
      <c r="H10647" t="s">
        <v>18863</v>
      </c>
    </row>
    <row r="10648" spans="6:8">
      <c r="H10648" t="s">
        <v>20454</v>
      </c>
    </row>
    <row r="10649" spans="6:8">
      <c r="H10649" t="s">
        <v>19349</v>
      </c>
    </row>
    <row r="10650" spans="6:8">
      <c r="H10650" t="s">
        <v>20209</v>
      </c>
    </row>
    <row r="10651" spans="6:8">
      <c r="F10651" t="s">
        <v>11652</v>
      </c>
      <c r="G10651" t="s">
        <v>15893</v>
      </c>
      <c r="H10651" t="s">
        <v>20623</v>
      </c>
    </row>
    <row r="10652" spans="6:8">
      <c r="H10652" t="s">
        <v>18829</v>
      </c>
    </row>
    <row r="10653" spans="6:8">
      <c r="H10653" t="s">
        <v>18863</v>
      </c>
    </row>
    <row r="10654" spans="6:8">
      <c r="H10654" t="s">
        <v>20454</v>
      </c>
    </row>
    <row r="10655" spans="6:8">
      <c r="H10655" t="s">
        <v>19349</v>
      </c>
    </row>
    <row r="10656" spans="6:8">
      <c r="H10656" t="s">
        <v>20209</v>
      </c>
    </row>
    <row r="10657" spans="6:8">
      <c r="F10657" t="s">
        <v>11653</v>
      </c>
      <c r="G10657" t="s">
        <v>15894</v>
      </c>
      <c r="H10657" t="s">
        <v>20624</v>
      </c>
    </row>
    <row r="10658" spans="6:8">
      <c r="H10658" t="s">
        <v>18829</v>
      </c>
    </row>
    <row r="10659" spans="6:8">
      <c r="H10659" t="s">
        <v>18863</v>
      </c>
    </row>
    <row r="10660" spans="6:8">
      <c r="H10660" t="s">
        <v>20454</v>
      </c>
    </row>
    <row r="10661" spans="6:8">
      <c r="H10661" t="s">
        <v>19349</v>
      </c>
    </row>
    <row r="10662" spans="6:8">
      <c r="H10662" t="s">
        <v>20209</v>
      </c>
    </row>
    <row r="10663" spans="6:8">
      <c r="F10663" t="s">
        <v>11654</v>
      </c>
      <c r="G10663" t="s">
        <v>15895</v>
      </c>
      <c r="H10663" t="s">
        <v>20625</v>
      </c>
    </row>
    <row r="10664" spans="6:8">
      <c r="H10664" t="s">
        <v>18829</v>
      </c>
    </row>
    <row r="10665" spans="6:8">
      <c r="H10665" t="s">
        <v>18863</v>
      </c>
    </row>
    <row r="10666" spans="6:8">
      <c r="H10666" t="s">
        <v>20454</v>
      </c>
    </row>
    <row r="10667" spans="6:8">
      <c r="H10667" t="s">
        <v>19349</v>
      </c>
    </row>
    <row r="10668" spans="6:8">
      <c r="H10668" t="s">
        <v>20209</v>
      </c>
    </row>
    <row r="10669" spans="6:8">
      <c r="F10669" t="s">
        <v>11655</v>
      </c>
      <c r="G10669" t="s">
        <v>15896</v>
      </c>
      <c r="H10669" t="s">
        <v>20626</v>
      </c>
    </row>
    <row r="10670" spans="6:8">
      <c r="H10670" t="s">
        <v>18829</v>
      </c>
    </row>
    <row r="10671" spans="6:8">
      <c r="H10671" t="s">
        <v>18863</v>
      </c>
    </row>
    <row r="10672" spans="6:8">
      <c r="H10672" t="s">
        <v>20454</v>
      </c>
    </row>
    <row r="10673" spans="6:8">
      <c r="H10673" t="s">
        <v>19349</v>
      </c>
    </row>
    <row r="10674" spans="6:8">
      <c r="H10674" t="s">
        <v>20209</v>
      </c>
    </row>
    <row r="10675" spans="6:8">
      <c r="F10675" t="s">
        <v>11656</v>
      </c>
      <c r="G10675" t="s">
        <v>15897</v>
      </c>
      <c r="H10675" t="s">
        <v>20627</v>
      </c>
    </row>
    <row r="10676" spans="6:8">
      <c r="H10676" t="s">
        <v>18829</v>
      </c>
    </row>
    <row r="10677" spans="6:8">
      <c r="H10677" t="s">
        <v>18863</v>
      </c>
    </row>
    <row r="10678" spans="6:8">
      <c r="H10678" t="s">
        <v>20454</v>
      </c>
    </row>
    <row r="10679" spans="6:8">
      <c r="H10679" t="s">
        <v>19349</v>
      </c>
    </row>
    <row r="10680" spans="6:8">
      <c r="H10680" t="s">
        <v>20209</v>
      </c>
    </row>
    <row r="10681" spans="6:8">
      <c r="F10681" t="s">
        <v>11657</v>
      </c>
      <c r="G10681" t="s">
        <v>15898</v>
      </c>
      <c r="H10681" t="s">
        <v>20628</v>
      </c>
    </row>
    <row r="10682" spans="6:8">
      <c r="H10682" t="s">
        <v>18829</v>
      </c>
    </row>
    <row r="10683" spans="6:8">
      <c r="H10683" t="s">
        <v>18863</v>
      </c>
    </row>
    <row r="10684" spans="6:8">
      <c r="H10684" t="s">
        <v>20454</v>
      </c>
    </row>
    <row r="10685" spans="6:8">
      <c r="H10685" t="s">
        <v>19349</v>
      </c>
    </row>
    <row r="10686" spans="6:8">
      <c r="H10686" t="s">
        <v>20209</v>
      </c>
    </row>
    <row r="10687" spans="6:8">
      <c r="F10687" t="s">
        <v>11658</v>
      </c>
      <c r="G10687" t="s">
        <v>15899</v>
      </c>
      <c r="H10687" t="s">
        <v>20629</v>
      </c>
    </row>
    <row r="10688" spans="6:8">
      <c r="H10688" t="s">
        <v>18829</v>
      </c>
    </row>
    <row r="10689" spans="6:8">
      <c r="H10689" t="s">
        <v>18863</v>
      </c>
    </row>
    <row r="10690" spans="6:8">
      <c r="H10690" t="s">
        <v>20454</v>
      </c>
    </row>
    <row r="10691" spans="6:8">
      <c r="H10691" t="s">
        <v>19349</v>
      </c>
    </row>
    <row r="10692" spans="6:8">
      <c r="H10692" t="s">
        <v>20209</v>
      </c>
    </row>
    <row r="10693" spans="6:8">
      <c r="F10693" t="s">
        <v>11659</v>
      </c>
      <c r="G10693" t="s">
        <v>15900</v>
      </c>
      <c r="H10693" t="s">
        <v>20630</v>
      </c>
    </row>
    <row r="10694" spans="6:8">
      <c r="H10694" t="s">
        <v>18829</v>
      </c>
    </row>
    <row r="10695" spans="6:8">
      <c r="H10695" t="s">
        <v>18863</v>
      </c>
    </row>
    <row r="10696" spans="6:8">
      <c r="H10696" t="s">
        <v>20454</v>
      </c>
    </row>
    <row r="10697" spans="6:8">
      <c r="H10697" t="s">
        <v>19349</v>
      </c>
    </row>
    <row r="10698" spans="6:8">
      <c r="H10698" t="s">
        <v>20209</v>
      </c>
    </row>
    <row r="10699" spans="6:8">
      <c r="F10699" t="s">
        <v>11660</v>
      </c>
      <c r="G10699" t="s">
        <v>15901</v>
      </c>
      <c r="H10699" t="s">
        <v>20631</v>
      </c>
    </row>
    <row r="10700" spans="6:8">
      <c r="H10700" t="s">
        <v>18829</v>
      </c>
    </row>
    <row r="10701" spans="6:8">
      <c r="H10701" t="s">
        <v>18863</v>
      </c>
    </row>
    <row r="10702" spans="6:8">
      <c r="H10702" t="s">
        <v>20454</v>
      </c>
    </row>
    <row r="10703" spans="6:8">
      <c r="H10703" t="s">
        <v>19349</v>
      </c>
    </row>
    <row r="10704" spans="6:8">
      <c r="H10704" t="s">
        <v>20209</v>
      </c>
    </row>
    <row r="10705" spans="6:8">
      <c r="F10705" t="s">
        <v>11661</v>
      </c>
      <c r="G10705" t="s">
        <v>15902</v>
      </c>
      <c r="H10705" t="s">
        <v>20632</v>
      </c>
    </row>
    <row r="10706" spans="6:8">
      <c r="H10706" t="s">
        <v>18829</v>
      </c>
    </row>
    <row r="10707" spans="6:8">
      <c r="H10707" t="s">
        <v>18863</v>
      </c>
    </row>
    <row r="10708" spans="6:8">
      <c r="H10708" t="s">
        <v>20454</v>
      </c>
    </row>
    <row r="10709" spans="6:8">
      <c r="H10709" t="s">
        <v>19349</v>
      </c>
    </row>
    <row r="10710" spans="6:8">
      <c r="H10710" t="s">
        <v>20209</v>
      </c>
    </row>
    <row r="10711" spans="6:8">
      <c r="F10711" t="s">
        <v>11662</v>
      </c>
      <c r="G10711" t="s">
        <v>15903</v>
      </c>
      <c r="H10711" t="s">
        <v>20633</v>
      </c>
    </row>
    <row r="10712" spans="6:8">
      <c r="H10712" t="s">
        <v>18829</v>
      </c>
    </row>
    <row r="10713" spans="6:8">
      <c r="H10713" t="s">
        <v>18863</v>
      </c>
    </row>
    <row r="10714" spans="6:8">
      <c r="H10714" t="s">
        <v>20454</v>
      </c>
    </row>
    <row r="10715" spans="6:8">
      <c r="H10715" t="s">
        <v>19349</v>
      </c>
    </row>
    <row r="10716" spans="6:8">
      <c r="H10716" t="s">
        <v>20209</v>
      </c>
    </row>
    <row r="10717" spans="6:8">
      <c r="F10717" t="s">
        <v>11663</v>
      </c>
      <c r="G10717" t="s">
        <v>15904</v>
      </c>
      <c r="H10717" t="s">
        <v>20634</v>
      </c>
    </row>
    <row r="10718" spans="6:8">
      <c r="H10718" t="s">
        <v>18829</v>
      </c>
    </row>
    <row r="10719" spans="6:8">
      <c r="H10719" t="s">
        <v>18863</v>
      </c>
    </row>
    <row r="10720" spans="6:8">
      <c r="H10720" t="s">
        <v>20454</v>
      </c>
    </row>
    <row r="10721" spans="6:8">
      <c r="H10721" t="s">
        <v>19349</v>
      </c>
    </row>
    <row r="10722" spans="6:8">
      <c r="H10722" t="s">
        <v>20209</v>
      </c>
    </row>
    <row r="10723" spans="6:8">
      <c r="F10723" t="s">
        <v>11664</v>
      </c>
      <c r="G10723" t="s">
        <v>15905</v>
      </c>
      <c r="H10723" t="s">
        <v>20635</v>
      </c>
    </row>
    <row r="10724" spans="6:8">
      <c r="H10724" t="s">
        <v>18829</v>
      </c>
    </row>
    <row r="10725" spans="6:8">
      <c r="H10725" t="s">
        <v>18863</v>
      </c>
    </row>
    <row r="10726" spans="6:8">
      <c r="H10726" t="s">
        <v>20454</v>
      </c>
    </row>
    <row r="10727" spans="6:8">
      <c r="H10727" t="s">
        <v>19349</v>
      </c>
    </row>
    <row r="10728" spans="6:8">
      <c r="H10728" t="s">
        <v>20209</v>
      </c>
    </row>
    <row r="10729" spans="6:8">
      <c r="F10729" t="s">
        <v>11665</v>
      </c>
      <c r="G10729" t="s">
        <v>15906</v>
      </c>
      <c r="H10729" t="s">
        <v>20636</v>
      </c>
    </row>
    <row r="10730" spans="6:8">
      <c r="H10730" t="s">
        <v>18829</v>
      </c>
    </row>
    <row r="10731" spans="6:8">
      <c r="H10731" t="s">
        <v>18863</v>
      </c>
    </row>
    <row r="10732" spans="6:8">
      <c r="H10732" t="s">
        <v>20454</v>
      </c>
    </row>
    <row r="10733" spans="6:8">
      <c r="H10733" t="s">
        <v>19349</v>
      </c>
    </row>
    <row r="10734" spans="6:8">
      <c r="H10734" t="s">
        <v>20209</v>
      </c>
    </row>
    <row r="10735" spans="6:8">
      <c r="F10735" t="s">
        <v>11666</v>
      </c>
      <c r="G10735" t="s">
        <v>15907</v>
      </c>
      <c r="H10735" t="s">
        <v>20637</v>
      </c>
    </row>
    <row r="10736" spans="6:8">
      <c r="H10736" t="s">
        <v>18829</v>
      </c>
    </row>
    <row r="10737" spans="6:8">
      <c r="H10737" t="s">
        <v>18863</v>
      </c>
    </row>
    <row r="10738" spans="6:8">
      <c r="H10738" t="s">
        <v>20454</v>
      </c>
    </row>
    <row r="10739" spans="6:8">
      <c r="H10739" t="s">
        <v>19349</v>
      </c>
    </row>
    <row r="10740" spans="6:8">
      <c r="H10740" t="s">
        <v>20209</v>
      </c>
    </row>
    <row r="10741" spans="6:8">
      <c r="F10741" t="s">
        <v>11667</v>
      </c>
      <c r="G10741" t="s">
        <v>15908</v>
      </c>
      <c r="H10741" t="s">
        <v>20638</v>
      </c>
    </row>
    <row r="10742" spans="6:8">
      <c r="H10742" t="s">
        <v>18829</v>
      </c>
    </row>
    <row r="10743" spans="6:8">
      <c r="H10743" t="s">
        <v>18863</v>
      </c>
    </row>
    <row r="10744" spans="6:8">
      <c r="H10744" t="s">
        <v>20454</v>
      </c>
    </row>
    <row r="10745" spans="6:8">
      <c r="H10745" t="s">
        <v>19349</v>
      </c>
    </row>
    <row r="10746" spans="6:8">
      <c r="H10746" t="s">
        <v>20209</v>
      </c>
    </row>
    <row r="10747" spans="6:8">
      <c r="F10747" t="s">
        <v>11668</v>
      </c>
      <c r="G10747" t="s">
        <v>15909</v>
      </c>
      <c r="H10747" t="s">
        <v>20639</v>
      </c>
    </row>
    <row r="10748" spans="6:8">
      <c r="H10748" t="s">
        <v>18829</v>
      </c>
    </row>
    <row r="10749" spans="6:8">
      <c r="H10749" t="s">
        <v>18863</v>
      </c>
    </row>
    <row r="10750" spans="6:8">
      <c r="H10750" t="s">
        <v>20454</v>
      </c>
    </row>
    <row r="10751" spans="6:8">
      <c r="H10751" t="s">
        <v>19349</v>
      </c>
    </row>
    <row r="10752" spans="6:8">
      <c r="H10752" t="s">
        <v>20209</v>
      </c>
    </row>
    <row r="10753" spans="6:8">
      <c r="F10753" t="s">
        <v>11669</v>
      </c>
      <c r="G10753" t="s">
        <v>15910</v>
      </c>
      <c r="H10753" t="s">
        <v>20640</v>
      </c>
    </row>
    <row r="10754" spans="6:8">
      <c r="H10754" t="s">
        <v>18829</v>
      </c>
    </row>
    <row r="10755" spans="6:8">
      <c r="H10755" t="s">
        <v>18863</v>
      </c>
    </row>
    <row r="10756" spans="6:8">
      <c r="H10756" t="s">
        <v>20454</v>
      </c>
    </row>
    <row r="10757" spans="6:8">
      <c r="H10757" t="s">
        <v>19349</v>
      </c>
    </row>
    <row r="10758" spans="6:8">
      <c r="H10758" t="s">
        <v>20209</v>
      </c>
    </row>
    <row r="10759" spans="6:8">
      <c r="F10759" t="s">
        <v>11670</v>
      </c>
      <c r="G10759" t="s">
        <v>15911</v>
      </c>
      <c r="H10759" t="s">
        <v>20641</v>
      </c>
    </row>
    <row r="10760" spans="6:8">
      <c r="H10760" t="s">
        <v>18829</v>
      </c>
    </row>
    <row r="10761" spans="6:8">
      <c r="H10761" t="s">
        <v>18863</v>
      </c>
    </row>
    <row r="10762" spans="6:8">
      <c r="H10762" t="s">
        <v>20454</v>
      </c>
    </row>
    <row r="10763" spans="6:8">
      <c r="H10763" t="s">
        <v>19349</v>
      </c>
    </row>
    <row r="10764" spans="6:8">
      <c r="H10764" t="s">
        <v>20209</v>
      </c>
    </row>
    <row r="10765" spans="6:8">
      <c r="F10765" t="s">
        <v>11671</v>
      </c>
      <c r="G10765" t="s">
        <v>15912</v>
      </c>
      <c r="H10765" t="s">
        <v>20642</v>
      </c>
    </row>
    <row r="10766" spans="6:8">
      <c r="H10766" t="s">
        <v>18829</v>
      </c>
    </row>
    <row r="10767" spans="6:8">
      <c r="H10767" t="s">
        <v>18863</v>
      </c>
    </row>
    <row r="10768" spans="6:8">
      <c r="H10768" t="s">
        <v>20454</v>
      </c>
    </row>
    <row r="10769" spans="6:8">
      <c r="H10769" t="s">
        <v>19349</v>
      </c>
    </row>
    <row r="10770" spans="6:8">
      <c r="H10770" t="s">
        <v>20209</v>
      </c>
    </row>
    <row r="10771" spans="6:8">
      <c r="F10771" t="s">
        <v>11672</v>
      </c>
      <c r="G10771" t="s">
        <v>15913</v>
      </c>
      <c r="H10771" t="s">
        <v>20643</v>
      </c>
    </row>
    <row r="10772" spans="6:8">
      <c r="H10772" t="s">
        <v>18829</v>
      </c>
    </row>
    <row r="10773" spans="6:8">
      <c r="H10773" t="s">
        <v>18863</v>
      </c>
    </row>
    <row r="10774" spans="6:8">
      <c r="H10774" t="s">
        <v>20454</v>
      </c>
    </row>
    <row r="10775" spans="6:8">
      <c r="H10775" t="s">
        <v>19349</v>
      </c>
    </row>
    <row r="10776" spans="6:8">
      <c r="H10776" t="s">
        <v>20209</v>
      </c>
    </row>
    <row r="10777" spans="6:8">
      <c r="F10777" t="s">
        <v>11673</v>
      </c>
      <c r="G10777" t="s">
        <v>15914</v>
      </c>
      <c r="H10777" t="s">
        <v>20644</v>
      </c>
    </row>
    <row r="10778" spans="6:8">
      <c r="H10778" t="s">
        <v>18829</v>
      </c>
    </row>
    <row r="10779" spans="6:8">
      <c r="H10779" t="s">
        <v>18863</v>
      </c>
    </row>
    <row r="10780" spans="6:8">
      <c r="H10780" t="s">
        <v>20454</v>
      </c>
    </row>
    <row r="10781" spans="6:8">
      <c r="H10781" t="s">
        <v>19349</v>
      </c>
    </row>
    <row r="10782" spans="6:8">
      <c r="H10782" t="s">
        <v>20209</v>
      </c>
    </row>
    <row r="10783" spans="6:8">
      <c r="F10783" t="s">
        <v>11674</v>
      </c>
      <c r="G10783" t="s">
        <v>15915</v>
      </c>
      <c r="H10783" t="s">
        <v>20645</v>
      </c>
    </row>
    <row r="10784" spans="6:8">
      <c r="H10784" t="s">
        <v>18829</v>
      </c>
    </row>
    <row r="10785" spans="6:8">
      <c r="H10785" t="s">
        <v>18863</v>
      </c>
    </row>
    <row r="10786" spans="6:8">
      <c r="H10786" t="s">
        <v>20454</v>
      </c>
    </row>
    <row r="10787" spans="6:8">
      <c r="H10787" t="s">
        <v>19349</v>
      </c>
    </row>
    <row r="10788" spans="6:8">
      <c r="H10788" t="s">
        <v>20209</v>
      </c>
    </row>
    <row r="10789" spans="6:8">
      <c r="F10789" t="s">
        <v>11675</v>
      </c>
      <c r="G10789" t="s">
        <v>15916</v>
      </c>
      <c r="H10789" t="s">
        <v>20646</v>
      </c>
    </row>
    <row r="10790" spans="6:8">
      <c r="H10790" t="s">
        <v>18829</v>
      </c>
    </row>
    <row r="10791" spans="6:8">
      <c r="H10791" t="s">
        <v>18863</v>
      </c>
    </row>
    <row r="10792" spans="6:8">
      <c r="H10792" t="s">
        <v>20454</v>
      </c>
    </row>
    <row r="10793" spans="6:8">
      <c r="H10793" t="s">
        <v>19349</v>
      </c>
    </row>
    <row r="10794" spans="6:8">
      <c r="H10794" t="s">
        <v>20209</v>
      </c>
    </row>
    <row r="10795" spans="6:8">
      <c r="F10795" t="s">
        <v>11676</v>
      </c>
      <c r="G10795" t="s">
        <v>15917</v>
      </c>
      <c r="H10795" t="s">
        <v>20647</v>
      </c>
    </row>
    <row r="10796" spans="6:8">
      <c r="H10796" t="s">
        <v>18829</v>
      </c>
    </row>
    <row r="10797" spans="6:8">
      <c r="H10797" t="s">
        <v>18863</v>
      </c>
    </row>
    <row r="10798" spans="6:8">
      <c r="H10798" t="s">
        <v>20454</v>
      </c>
    </row>
    <row r="10799" spans="6:8">
      <c r="H10799" t="s">
        <v>19349</v>
      </c>
    </row>
    <row r="10800" spans="6:8">
      <c r="H10800" t="s">
        <v>20209</v>
      </c>
    </row>
    <row r="10801" spans="6:8">
      <c r="F10801" t="s">
        <v>11677</v>
      </c>
      <c r="G10801" t="s">
        <v>15918</v>
      </c>
      <c r="H10801" t="s">
        <v>20648</v>
      </c>
    </row>
    <row r="10802" spans="6:8">
      <c r="H10802" t="s">
        <v>18829</v>
      </c>
    </row>
    <row r="10803" spans="6:8">
      <c r="H10803" t="s">
        <v>18863</v>
      </c>
    </row>
    <row r="10804" spans="6:8">
      <c r="H10804" t="s">
        <v>20454</v>
      </c>
    </row>
    <row r="10805" spans="6:8">
      <c r="H10805" t="s">
        <v>19349</v>
      </c>
    </row>
    <row r="10806" spans="6:8">
      <c r="H10806" t="s">
        <v>20209</v>
      </c>
    </row>
    <row r="10807" spans="6:8">
      <c r="F10807" t="s">
        <v>11678</v>
      </c>
      <c r="G10807" t="s">
        <v>15919</v>
      </c>
      <c r="H10807" t="s">
        <v>20649</v>
      </c>
    </row>
    <row r="10808" spans="6:8">
      <c r="H10808" t="s">
        <v>18829</v>
      </c>
    </row>
    <row r="10809" spans="6:8">
      <c r="H10809" t="s">
        <v>18863</v>
      </c>
    </row>
    <row r="10810" spans="6:8">
      <c r="H10810" t="s">
        <v>20454</v>
      </c>
    </row>
    <row r="10811" spans="6:8">
      <c r="H10811" t="s">
        <v>19349</v>
      </c>
    </row>
    <row r="10812" spans="6:8">
      <c r="H10812" t="s">
        <v>20209</v>
      </c>
    </row>
    <row r="10813" spans="6:8">
      <c r="F10813" t="s">
        <v>11679</v>
      </c>
      <c r="G10813" t="s">
        <v>15920</v>
      </c>
      <c r="H10813" t="s">
        <v>20650</v>
      </c>
    </row>
    <row r="10814" spans="6:8">
      <c r="H10814" t="s">
        <v>18829</v>
      </c>
    </row>
    <row r="10815" spans="6:8">
      <c r="H10815" t="s">
        <v>18863</v>
      </c>
    </row>
    <row r="10816" spans="6:8">
      <c r="H10816" t="s">
        <v>20454</v>
      </c>
    </row>
    <row r="10817" spans="6:8">
      <c r="H10817" t="s">
        <v>19349</v>
      </c>
    </row>
    <row r="10818" spans="6:8">
      <c r="H10818" t="s">
        <v>20209</v>
      </c>
    </row>
    <row r="10819" spans="6:8">
      <c r="F10819" t="s">
        <v>11680</v>
      </c>
      <c r="G10819" t="s">
        <v>15921</v>
      </c>
      <c r="H10819" t="s">
        <v>20651</v>
      </c>
    </row>
    <row r="10820" spans="6:8">
      <c r="H10820" t="s">
        <v>18829</v>
      </c>
    </row>
    <row r="10821" spans="6:8">
      <c r="H10821" t="s">
        <v>18863</v>
      </c>
    </row>
    <row r="10822" spans="6:8">
      <c r="H10822" t="s">
        <v>20454</v>
      </c>
    </row>
    <row r="10823" spans="6:8">
      <c r="H10823" t="s">
        <v>19349</v>
      </c>
    </row>
    <row r="10824" spans="6:8">
      <c r="H10824" t="s">
        <v>20209</v>
      </c>
    </row>
    <row r="10825" spans="6:8">
      <c r="F10825" t="s">
        <v>11681</v>
      </c>
      <c r="G10825" t="s">
        <v>15922</v>
      </c>
      <c r="H10825" t="s">
        <v>20652</v>
      </c>
    </row>
    <row r="10826" spans="6:8">
      <c r="H10826" t="s">
        <v>18829</v>
      </c>
    </row>
    <row r="10827" spans="6:8">
      <c r="H10827" t="s">
        <v>18863</v>
      </c>
    </row>
    <row r="10828" spans="6:8">
      <c r="H10828" t="s">
        <v>20454</v>
      </c>
    </row>
    <row r="10829" spans="6:8">
      <c r="H10829" t="s">
        <v>19349</v>
      </c>
    </row>
    <row r="10830" spans="6:8">
      <c r="H10830" t="s">
        <v>20209</v>
      </c>
    </row>
    <row r="10831" spans="6:8">
      <c r="F10831" t="s">
        <v>11682</v>
      </c>
      <c r="G10831" t="s">
        <v>15923</v>
      </c>
      <c r="H10831" t="s">
        <v>20653</v>
      </c>
    </row>
    <row r="10832" spans="6:8">
      <c r="H10832" t="s">
        <v>18829</v>
      </c>
    </row>
    <row r="10833" spans="6:8">
      <c r="H10833" t="s">
        <v>18863</v>
      </c>
    </row>
    <row r="10834" spans="6:8">
      <c r="H10834" t="s">
        <v>20454</v>
      </c>
    </row>
    <row r="10835" spans="6:8">
      <c r="H10835" t="s">
        <v>19349</v>
      </c>
    </row>
    <row r="10836" spans="6:8">
      <c r="H10836" t="s">
        <v>20209</v>
      </c>
    </row>
    <row r="10837" spans="6:8">
      <c r="F10837" t="s">
        <v>11683</v>
      </c>
      <c r="G10837" t="s">
        <v>15924</v>
      </c>
      <c r="H10837" t="s">
        <v>20654</v>
      </c>
    </row>
    <row r="10838" spans="6:8">
      <c r="H10838" t="s">
        <v>18829</v>
      </c>
    </row>
    <row r="10839" spans="6:8">
      <c r="H10839" t="s">
        <v>18863</v>
      </c>
    </row>
    <row r="10840" spans="6:8">
      <c r="H10840" t="s">
        <v>20454</v>
      </c>
    </row>
    <row r="10841" spans="6:8">
      <c r="H10841" t="s">
        <v>19349</v>
      </c>
    </row>
    <row r="10842" spans="6:8">
      <c r="H10842" t="s">
        <v>20209</v>
      </c>
    </row>
    <row r="10843" spans="6:8">
      <c r="F10843" t="s">
        <v>11684</v>
      </c>
      <c r="G10843" t="s">
        <v>15925</v>
      </c>
      <c r="H10843" t="s">
        <v>20655</v>
      </c>
    </row>
    <row r="10844" spans="6:8">
      <c r="H10844" t="s">
        <v>18829</v>
      </c>
    </row>
    <row r="10845" spans="6:8">
      <c r="H10845" t="s">
        <v>18863</v>
      </c>
    </row>
    <row r="10846" spans="6:8">
      <c r="H10846" t="s">
        <v>20454</v>
      </c>
    </row>
    <row r="10847" spans="6:8">
      <c r="H10847" t="s">
        <v>19349</v>
      </c>
    </row>
    <row r="10848" spans="6:8">
      <c r="H10848" t="s">
        <v>20209</v>
      </c>
    </row>
    <row r="10849" spans="6:8">
      <c r="F10849" t="s">
        <v>11685</v>
      </c>
      <c r="G10849" t="s">
        <v>15926</v>
      </c>
      <c r="H10849" t="s">
        <v>20656</v>
      </c>
    </row>
    <row r="10850" spans="6:8">
      <c r="H10850" t="s">
        <v>18829</v>
      </c>
    </row>
    <row r="10851" spans="6:8">
      <c r="H10851" t="s">
        <v>18863</v>
      </c>
    </row>
    <row r="10852" spans="6:8">
      <c r="H10852" t="s">
        <v>20454</v>
      </c>
    </row>
    <row r="10853" spans="6:8">
      <c r="H10853" t="s">
        <v>19349</v>
      </c>
    </row>
    <row r="10854" spans="6:8">
      <c r="H10854" t="s">
        <v>20209</v>
      </c>
    </row>
    <row r="10855" spans="6:8">
      <c r="F10855" t="s">
        <v>11686</v>
      </c>
      <c r="G10855" t="s">
        <v>15927</v>
      </c>
      <c r="H10855" t="s">
        <v>20657</v>
      </c>
    </row>
    <row r="10856" spans="6:8">
      <c r="H10856" t="s">
        <v>18829</v>
      </c>
    </row>
    <row r="10857" spans="6:8">
      <c r="H10857" t="s">
        <v>18863</v>
      </c>
    </row>
    <row r="10858" spans="6:8">
      <c r="H10858" t="s">
        <v>20454</v>
      </c>
    </row>
    <row r="10859" spans="6:8">
      <c r="H10859" t="s">
        <v>19349</v>
      </c>
    </row>
    <row r="10860" spans="6:8">
      <c r="H10860" t="s">
        <v>20209</v>
      </c>
    </row>
    <row r="10861" spans="6:8">
      <c r="F10861" t="s">
        <v>11687</v>
      </c>
      <c r="G10861" t="s">
        <v>15928</v>
      </c>
      <c r="H10861" t="s">
        <v>20658</v>
      </c>
    </row>
    <row r="10862" spans="6:8">
      <c r="H10862" t="s">
        <v>18829</v>
      </c>
    </row>
    <row r="10863" spans="6:8">
      <c r="H10863" t="s">
        <v>18863</v>
      </c>
    </row>
    <row r="10864" spans="6:8">
      <c r="H10864" t="s">
        <v>20454</v>
      </c>
    </row>
    <row r="10865" spans="6:8">
      <c r="H10865" t="s">
        <v>19349</v>
      </c>
    </row>
    <row r="10866" spans="6:8">
      <c r="H10866" t="s">
        <v>20209</v>
      </c>
    </row>
    <row r="10867" spans="6:8">
      <c r="F10867" t="s">
        <v>11688</v>
      </c>
      <c r="G10867" t="s">
        <v>15929</v>
      </c>
      <c r="H10867" t="s">
        <v>20659</v>
      </c>
    </row>
    <row r="10868" spans="6:8">
      <c r="H10868" t="s">
        <v>18829</v>
      </c>
    </row>
    <row r="10869" spans="6:8">
      <c r="H10869" t="s">
        <v>18863</v>
      </c>
    </row>
    <row r="10870" spans="6:8">
      <c r="H10870" t="s">
        <v>20454</v>
      </c>
    </row>
    <row r="10871" spans="6:8">
      <c r="H10871" t="s">
        <v>19349</v>
      </c>
    </row>
    <row r="10872" spans="6:8">
      <c r="H10872" t="s">
        <v>20209</v>
      </c>
    </row>
    <row r="10873" spans="6:8">
      <c r="F10873" t="s">
        <v>11689</v>
      </c>
      <c r="G10873" t="s">
        <v>15930</v>
      </c>
      <c r="H10873" t="s">
        <v>20660</v>
      </c>
    </row>
    <row r="10874" spans="6:8">
      <c r="H10874" t="s">
        <v>18829</v>
      </c>
    </row>
    <row r="10875" spans="6:8">
      <c r="H10875" t="s">
        <v>18863</v>
      </c>
    </row>
    <row r="10876" spans="6:8">
      <c r="H10876" t="s">
        <v>20454</v>
      </c>
    </row>
    <row r="10877" spans="6:8">
      <c r="H10877" t="s">
        <v>19349</v>
      </c>
    </row>
    <row r="10878" spans="6:8">
      <c r="H10878" t="s">
        <v>20209</v>
      </c>
    </row>
    <row r="10879" spans="6:8">
      <c r="F10879" t="s">
        <v>11690</v>
      </c>
      <c r="G10879" t="s">
        <v>15931</v>
      </c>
      <c r="H10879" t="s">
        <v>20661</v>
      </c>
    </row>
    <row r="10880" spans="6:8">
      <c r="H10880" t="s">
        <v>18829</v>
      </c>
    </row>
    <row r="10881" spans="6:8">
      <c r="H10881" t="s">
        <v>18863</v>
      </c>
    </row>
    <row r="10882" spans="6:8">
      <c r="H10882" t="s">
        <v>20454</v>
      </c>
    </row>
    <row r="10883" spans="6:8">
      <c r="H10883" t="s">
        <v>19349</v>
      </c>
    </row>
    <row r="10884" spans="6:8">
      <c r="H10884" t="s">
        <v>20209</v>
      </c>
    </row>
    <row r="10885" spans="6:8">
      <c r="F10885" t="s">
        <v>11691</v>
      </c>
      <c r="G10885" t="s">
        <v>15932</v>
      </c>
      <c r="H10885" t="s">
        <v>20662</v>
      </c>
    </row>
    <row r="10886" spans="6:8">
      <c r="H10886" t="s">
        <v>18829</v>
      </c>
    </row>
    <row r="10887" spans="6:8">
      <c r="H10887" t="s">
        <v>18863</v>
      </c>
    </row>
    <row r="10888" spans="6:8">
      <c r="H10888" t="s">
        <v>20454</v>
      </c>
    </row>
    <row r="10889" spans="6:8">
      <c r="H10889" t="s">
        <v>19349</v>
      </c>
    </row>
    <row r="10890" spans="6:8">
      <c r="H10890" t="s">
        <v>20209</v>
      </c>
    </row>
    <row r="10891" spans="6:8">
      <c r="F10891" t="s">
        <v>11692</v>
      </c>
      <c r="G10891" t="s">
        <v>15933</v>
      </c>
      <c r="H10891" t="s">
        <v>20663</v>
      </c>
    </row>
    <row r="10892" spans="6:8">
      <c r="H10892" t="s">
        <v>18829</v>
      </c>
    </row>
    <row r="10893" spans="6:8">
      <c r="H10893" t="s">
        <v>18863</v>
      </c>
    </row>
    <row r="10894" spans="6:8">
      <c r="H10894" t="s">
        <v>20454</v>
      </c>
    </row>
    <row r="10895" spans="6:8">
      <c r="H10895" t="s">
        <v>19349</v>
      </c>
    </row>
    <row r="10896" spans="6:8">
      <c r="H10896" t="s">
        <v>20209</v>
      </c>
    </row>
    <row r="10897" spans="6:8">
      <c r="F10897" t="s">
        <v>11693</v>
      </c>
      <c r="G10897" t="s">
        <v>15934</v>
      </c>
      <c r="H10897" t="s">
        <v>20664</v>
      </c>
    </row>
    <row r="10898" spans="6:8">
      <c r="H10898" t="s">
        <v>18829</v>
      </c>
    </row>
    <row r="10899" spans="6:8">
      <c r="H10899" t="s">
        <v>18863</v>
      </c>
    </row>
    <row r="10900" spans="6:8">
      <c r="H10900" t="s">
        <v>20454</v>
      </c>
    </row>
    <row r="10901" spans="6:8">
      <c r="H10901" t="s">
        <v>19349</v>
      </c>
    </row>
    <row r="10902" spans="6:8">
      <c r="H10902" t="s">
        <v>20209</v>
      </c>
    </row>
    <row r="10903" spans="6:8">
      <c r="F10903" t="s">
        <v>11694</v>
      </c>
      <c r="G10903" t="s">
        <v>15935</v>
      </c>
      <c r="H10903" t="s">
        <v>20665</v>
      </c>
    </row>
    <row r="10904" spans="6:8">
      <c r="H10904" t="s">
        <v>18829</v>
      </c>
    </row>
    <row r="10905" spans="6:8">
      <c r="H10905" t="s">
        <v>18863</v>
      </c>
    </row>
    <row r="10906" spans="6:8">
      <c r="H10906" t="s">
        <v>20454</v>
      </c>
    </row>
    <row r="10907" spans="6:8">
      <c r="H10907" t="s">
        <v>19349</v>
      </c>
    </row>
    <row r="10908" spans="6:8">
      <c r="H10908" t="s">
        <v>20209</v>
      </c>
    </row>
    <row r="10909" spans="6:8">
      <c r="F10909" t="s">
        <v>11695</v>
      </c>
      <c r="G10909" t="s">
        <v>15936</v>
      </c>
      <c r="H10909" t="s">
        <v>20666</v>
      </c>
    </row>
    <row r="10910" spans="6:8">
      <c r="H10910" t="s">
        <v>18829</v>
      </c>
    </row>
    <row r="10911" spans="6:8">
      <c r="H10911" t="s">
        <v>18863</v>
      </c>
    </row>
    <row r="10912" spans="6:8">
      <c r="H10912" t="s">
        <v>20454</v>
      </c>
    </row>
    <row r="10913" spans="6:8">
      <c r="H10913" t="s">
        <v>19349</v>
      </c>
    </row>
    <row r="10914" spans="6:8">
      <c r="H10914" t="s">
        <v>20209</v>
      </c>
    </row>
    <row r="10915" spans="6:8">
      <c r="F10915" t="s">
        <v>11696</v>
      </c>
      <c r="G10915" t="s">
        <v>15937</v>
      </c>
      <c r="H10915" t="s">
        <v>20667</v>
      </c>
    </row>
    <row r="10916" spans="6:8">
      <c r="H10916" t="s">
        <v>18829</v>
      </c>
    </row>
    <row r="10917" spans="6:8">
      <c r="H10917" t="s">
        <v>18863</v>
      </c>
    </row>
    <row r="10918" spans="6:8">
      <c r="H10918" t="s">
        <v>20454</v>
      </c>
    </row>
    <row r="10919" spans="6:8">
      <c r="H10919" t="s">
        <v>19349</v>
      </c>
    </row>
    <row r="10920" spans="6:8">
      <c r="H10920" t="s">
        <v>20209</v>
      </c>
    </row>
    <row r="10921" spans="6:8">
      <c r="F10921" t="s">
        <v>11697</v>
      </c>
      <c r="G10921" t="s">
        <v>15938</v>
      </c>
      <c r="H10921" t="s">
        <v>20668</v>
      </c>
    </row>
    <row r="10922" spans="6:8">
      <c r="H10922" t="s">
        <v>18829</v>
      </c>
    </row>
    <row r="10923" spans="6:8">
      <c r="H10923" t="s">
        <v>18863</v>
      </c>
    </row>
    <row r="10924" spans="6:8">
      <c r="H10924" t="s">
        <v>20454</v>
      </c>
    </row>
    <row r="10925" spans="6:8">
      <c r="H10925" t="s">
        <v>19349</v>
      </c>
    </row>
    <row r="10926" spans="6:8">
      <c r="H10926" t="s">
        <v>20209</v>
      </c>
    </row>
    <row r="10927" spans="6:8">
      <c r="F10927" t="s">
        <v>11698</v>
      </c>
      <c r="G10927" t="s">
        <v>15939</v>
      </c>
      <c r="H10927" t="s">
        <v>20669</v>
      </c>
    </row>
    <row r="10928" spans="6:8">
      <c r="H10928" t="s">
        <v>18829</v>
      </c>
    </row>
    <row r="10929" spans="6:8">
      <c r="H10929" t="s">
        <v>18863</v>
      </c>
    </row>
    <row r="10930" spans="6:8">
      <c r="H10930" t="s">
        <v>20454</v>
      </c>
    </row>
    <row r="10931" spans="6:8">
      <c r="H10931" t="s">
        <v>19349</v>
      </c>
    </row>
    <row r="10932" spans="6:8">
      <c r="H10932" t="s">
        <v>20209</v>
      </c>
    </row>
    <row r="10933" spans="6:8">
      <c r="F10933" t="s">
        <v>11699</v>
      </c>
      <c r="G10933" t="s">
        <v>15940</v>
      </c>
      <c r="H10933" t="s">
        <v>20670</v>
      </c>
    </row>
    <row r="10934" spans="6:8">
      <c r="H10934" t="s">
        <v>18829</v>
      </c>
    </row>
    <row r="10935" spans="6:8">
      <c r="H10935" t="s">
        <v>18863</v>
      </c>
    </row>
    <row r="10936" spans="6:8">
      <c r="H10936" t="s">
        <v>20454</v>
      </c>
    </row>
    <row r="10937" spans="6:8">
      <c r="H10937" t="s">
        <v>19349</v>
      </c>
    </row>
    <row r="10938" spans="6:8">
      <c r="H10938" t="s">
        <v>20209</v>
      </c>
    </row>
    <row r="10939" spans="6:8">
      <c r="F10939" t="s">
        <v>11700</v>
      </c>
      <c r="G10939" t="s">
        <v>15941</v>
      </c>
      <c r="H10939" t="s">
        <v>20671</v>
      </c>
    </row>
    <row r="10940" spans="6:8">
      <c r="H10940" t="s">
        <v>18829</v>
      </c>
    </row>
    <row r="10941" spans="6:8">
      <c r="H10941" t="s">
        <v>18863</v>
      </c>
    </row>
    <row r="10942" spans="6:8">
      <c r="H10942" t="s">
        <v>20454</v>
      </c>
    </row>
    <row r="10943" spans="6:8">
      <c r="H10943" t="s">
        <v>19349</v>
      </c>
    </row>
    <row r="10944" spans="6:8">
      <c r="H10944" t="s">
        <v>20209</v>
      </c>
    </row>
    <row r="10945" spans="6:8">
      <c r="F10945" t="s">
        <v>11701</v>
      </c>
      <c r="G10945" t="s">
        <v>15942</v>
      </c>
      <c r="H10945" t="s">
        <v>20672</v>
      </c>
    </row>
    <row r="10946" spans="6:8">
      <c r="H10946" t="s">
        <v>18829</v>
      </c>
    </row>
    <row r="10947" spans="6:8">
      <c r="H10947" t="s">
        <v>18863</v>
      </c>
    </row>
    <row r="10948" spans="6:8">
      <c r="H10948" t="s">
        <v>20454</v>
      </c>
    </row>
    <row r="10949" spans="6:8">
      <c r="H10949" t="s">
        <v>19349</v>
      </c>
    </row>
    <row r="10950" spans="6:8">
      <c r="H10950" t="s">
        <v>20209</v>
      </c>
    </row>
    <row r="10951" spans="6:8">
      <c r="F10951" t="s">
        <v>11702</v>
      </c>
      <c r="G10951" t="s">
        <v>15943</v>
      </c>
      <c r="H10951" t="s">
        <v>20673</v>
      </c>
    </row>
    <row r="10952" spans="6:8">
      <c r="H10952" t="s">
        <v>18829</v>
      </c>
    </row>
    <row r="10953" spans="6:8">
      <c r="H10953" t="s">
        <v>18863</v>
      </c>
    </row>
    <row r="10954" spans="6:8">
      <c r="H10954" t="s">
        <v>20454</v>
      </c>
    </row>
    <row r="10955" spans="6:8">
      <c r="H10955" t="s">
        <v>19349</v>
      </c>
    </row>
    <row r="10956" spans="6:8">
      <c r="H10956" t="s">
        <v>20209</v>
      </c>
    </row>
    <row r="10957" spans="6:8">
      <c r="F10957" t="s">
        <v>11703</v>
      </c>
      <c r="G10957" t="s">
        <v>15944</v>
      </c>
      <c r="H10957" t="s">
        <v>20674</v>
      </c>
    </row>
    <row r="10958" spans="6:8">
      <c r="H10958" t="s">
        <v>18829</v>
      </c>
    </row>
    <row r="10959" spans="6:8">
      <c r="H10959" t="s">
        <v>18863</v>
      </c>
    </row>
    <row r="10960" spans="6:8">
      <c r="H10960" t="s">
        <v>20454</v>
      </c>
    </row>
    <row r="10961" spans="6:8">
      <c r="H10961" t="s">
        <v>19349</v>
      </c>
    </row>
    <row r="10962" spans="6:8">
      <c r="H10962" t="s">
        <v>20209</v>
      </c>
    </row>
    <row r="10963" spans="6:8">
      <c r="F10963" t="s">
        <v>11704</v>
      </c>
      <c r="G10963" t="s">
        <v>15945</v>
      </c>
      <c r="H10963" t="s">
        <v>20675</v>
      </c>
    </row>
    <row r="10964" spans="6:8">
      <c r="H10964" t="s">
        <v>18829</v>
      </c>
    </row>
    <row r="10965" spans="6:8">
      <c r="H10965" t="s">
        <v>18863</v>
      </c>
    </row>
    <row r="10966" spans="6:8">
      <c r="H10966" t="s">
        <v>20454</v>
      </c>
    </row>
    <row r="10967" spans="6:8">
      <c r="H10967" t="s">
        <v>19349</v>
      </c>
    </row>
    <row r="10968" spans="6:8">
      <c r="H10968" t="s">
        <v>20209</v>
      </c>
    </row>
    <row r="10969" spans="6:8">
      <c r="F10969" t="s">
        <v>11705</v>
      </c>
      <c r="G10969" t="s">
        <v>15946</v>
      </c>
      <c r="H10969" t="s">
        <v>20676</v>
      </c>
    </row>
    <row r="10970" spans="6:8">
      <c r="H10970" t="s">
        <v>18829</v>
      </c>
    </row>
    <row r="10971" spans="6:8">
      <c r="H10971" t="s">
        <v>18863</v>
      </c>
    </row>
    <row r="10972" spans="6:8">
      <c r="H10972" t="s">
        <v>20454</v>
      </c>
    </row>
    <row r="10973" spans="6:8">
      <c r="H10973" t="s">
        <v>19349</v>
      </c>
    </row>
    <row r="10974" spans="6:8">
      <c r="H10974" t="s">
        <v>20209</v>
      </c>
    </row>
    <row r="10975" spans="6:8">
      <c r="F10975" t="s">
        <v>11706</v>
      </c>
      <c r="G10975" t="s">
        <v>15947</v>
      </c>
      <c r="H10975" t="s">
        <v>20677</v>
      </c>
    </row>
    <row r="10976" spans="6:8">
      <c r="H10976" t="s">
        <v>18829</v>
      </c>
    </row>
    <row r="10977" spans="6:8">
      <c r="H10977" t="s">
        <v>18863</v>
      </c>
    </row>
    <row r="10978" spans="6:8">
      <c r="H10978" t="s">
        <v>20454</v>
      </c>
    </row>
    <row r="10979" spans="6:8">
      <c r="H10979" t="s">
        <v>19349</v>
      </c>
    </row>
    <row r="10980" spans="6:8">
      <c r="H10980" t="s">
        <v>20209</v>
      </c>
    </row>
    <row r="10981" spans="6:8">
      <c r="F10981" t="s">
        <v>11707</v>
      </c>
      <c r="G10981" t="s">
        <v>15948</v>
      </c>
      <c r="H10981" t="s">
        <v>20678</v>
      </c>
    </row>
    <row r="10982" spans="6:8">
      <c r="H10982" t="s">
        <v>18829</v>
      </c>
    </row>
    <row r="10983" spans="6:8">
      <c r="H10983" t="s">
        <v>18863</v>
      </c>
    </row>
    <row r="10984" spans="6:8">
      <c r="H10984" t="s">
        <v>20454</v>
      </c>
    </row>
    <row r="10985" spans="6:8">
      <c r="H10985" t="s">
        <v>19349</v>
      </c>
    </row>
    <row r="10986" spans="6:8">
      <c r="H10986" t="s">
        <v>20209</v>
      </c>
    </row>
    <row r="10987" spans="6:8">
      <c r="F10987" t="s">
        <v>11708</v>
      </c>
      <c r="G10987" t="s">
        <v>15949</v>
      </c>
      <c r="H10987" t="s">
        <v>20679</v>
      </c>
    </row>
    <row r="10988" spans="6:8">
      <c r="H10988" t="s">
        <v>18829</v>
      </c>
    </row>
    <row r="10989" spans="6:8">
      <c r="H10989" t="s">
        <v>18863</v>
      </c>
    </row>
    <row r="10990" spans="6:8">
      <c r="H10990" t="s">
        <v>20454</v>
      </c>
    </row>
    <row r="10991" spans="6:8">
      <c r="H10991" t="s">
        <v>19349</v>
      </c>
    </row>
    <row r="10992" spans="6:8">
      <c r="H10992" t="s">
        <v>20209</v>
      </c>
    </row>
    <row r="10993" spans="6:8">
      <c r="F10993" t="s">
        <v>11709</v>
      </c>
      <c r="G10993" t="s">
        <v>15950</v>
      </c>
      <c r="H10993" t="s">
        <v>20680</v>
      </c>
    </row>
    <row r="10994" spans="6:8">
      <c r="H10994" t="s">
        <v>18829</v>
      </c>
    </row>
    <row r="10995" spans="6:8">
      <c r="H10995" t="s">
        <v>18863</v>
      </c>
    </row>
    <row r="10996" spans="6:8">
      <c r="H10996" t="s">
        <v>20454</v>
      </c>
    </row>
    <row r="10997" spans="6:8">
      <c r="H10997" t="s">
        <v>19349</v>
      </c>
    </row>
    <row r="10998" spans="6:8">
      <c r="H10998" t="s">
        <v>20209</v>
      </c>
    </row>
    <row r="10999" spans="6:8">
      <c r="F10999" t="s">
        <v>11710</v>
      </c>
      <c r="G10999" t="s">
        <v>15951</v>
      </c>
      <c r="H10999" t="s">
        <v>20681</v>
      </c>
    </row>
    <row r="11000" spans="6:8">
      <c r="H11000" t="s">
        <v>18829</v>
      </c>
    </row>
    <row r="11001" spans="6:8">
      <c r="H11001" t="s">
        <v>18863</v>
      </c>
    </row>
    <row r="11002" spans="6:8">
      <c r="H11002" t="s">
        <v>20454</v>
      </c>
    </row>
    <row r="11003" spans="6:8">
      <c r="H11003" t="s">
        <v>19349</v>
      </c>
    </row>
    <row r="11004" spans="6:8">
      <c r="H11004" t="s">
        <v>20209</v>
      </c>
    </row>
    <row r="11005" spans="6:8">
      <c r="F11005" t="s">
        <v>11711</v>
      </c>
      <c r="G11005" t="s">
        <v>15952</v>
      </c>
      <c r="H11005" t="s">
        <v>20682</v>
      </c>
    </row>
    <row r="11006" spans="6:8">
      <c r="H11006" t="s">
        <v>18829</v>
      </c>
    </row>
    <row r="11007" spans="6:8">
      <c r="H11007" t="s">
        <v>18863</v>
      </c>
    </row>
    <row r="11008" spans="6:8">
      <c r="H11008" t="s">
        <v>20454</v>
      </c>
    </row>
    <row r="11009" spans="6:8">
      <c r="H11009" t="s">
        <v>19349</v>
      </c>
    </row>
    <row r="11010" spans="6:8">
      <c r="H11010" t="s">
        <v>20209</v>
      </c>
    </row>
    <row r="11011" spans="6:8">
      <c r="F11011" t="s">
        <v>11712</v>
      </c>
      <c r="G11011" t="s">
        <v>15953</v>
      </c>
      <c r="H11011" t="s">
        <v>20683</v>
      </c>
    </row>
    <row r="11012" spans="6:8">
      <c r="H11012" t="s">
        <v>18829</v>
      </c>
    </row>
    <row r="11013" spans="6:8">
      <c r="H11013" t="s">
        <v>18863</v>
      </c>
    </row>
    <row r="11014" spans="6:8">
      <c r="H11014" t="s">
        <v>20454</v>
      </c>
    </row>
    <row r="11015" spans="6:8">
      <c r="H11015" t="s">
        <v>19349</v>
      </c>
    </row>
    <row r="11016" spans="6:8">
      <c r="H11016" t="s">
        <v>20209</v>
      </c>
    </row>
    <row r="11017" spans="6:8">
      <c r="F11017" t="s">
        <v>11713</v>
      </c>
      <c r="G11017" t="s">
        <v>15954</v>
      </c>
      <c r="H11017" t="s">
        <v>20684</v>
      </c>
    </row>
    <row r="11018" spans="6:8">
      <c r="H11018" t="s">
        <v>18829</v>
      </c>
    </row>
    <row r="11019" spans="6:8">
      <c r="H11019" t="s">
        <v>18863</v>
      </c>
    </row>
    <row r="11020" spans="6:8">
      <c r="H11020" t="s">
        <v>20454</v>
      </c>
    </row>
    <row r="11021" spans="6:8">
      <c r="H11021" t="s">
        <v>19349</v>
      </c>
    </row>
    <row r="11022" spans="6:8">
      <c r="H11022" t="s">
        <v>20209</v>
      </c>
    </row>
    <row r="11023" spans="6:8">
      <c r="F11023" t="s">
        <v>11714</v>
      </c>
      <c r="G11023" t="s">
        <v>15955</v>
      </c>
      <c r="H11023" t="s">
        <v>20685</v>
      </c>
    </row>
    <row r="11024" spans="6:8">
      <c r="H11024" t="s">
        <v>18829</v>
      </c>
    </row>
    <row r="11025" spans="6:8">
      <c r="H11025" t="s">
        <v>18863</v>
      </c>
    </row>
    <row r="11026" spans="6:8">
      <c r="H11026" t="s">
        <v>20454</v>
      </c>
    </row>
    <row r="11027" spans="6:8">
      <c r="H11027" t="s">
        <v>19349</v>
      </c>
    </row>
    <row r="11028" spans="6:8">
      <c r="H11028" t="s">
        <v>20209</v>
      </c>
    </row>
    <row r="11029" spans="6:8">
      <c r="F11029" t="s">
        <v>11715</v>
      </c>
      <c r="G11029" t="s">
        <v>15956</v>
      </c>
      <c r="H11029" t="s">
        <v>20686</v>
      </c>
    </row>
    <row r="11030" spans="6:8">
      <c r="H11030" t="s">
        <v>18829</v>
      </c>
    </row>
    <row r="11031" spans="6:8">
      <c r="H11031" t="s">
        <v>18863</v>
      </c>
    </row>
    <row r="11032" spans="6:8">
      <c r="H11032" t="s">
        <v>20454</v>
      </c>
    </row>
    <row r="11033" spans="6:8">
      <c r="H11033" t="s">
        <v>19349</v>
      </c>
    </row>
    <row r="11034" spans="6:8">
      <c r="H11034" t="s">
        <v>20209</v>
      </c>
    </row>
    <row r="11035" spans="6:8">
      <c r="F11035" t="s">
        <v>11716</v>
      </c>
      <c r="G11035" t="s">
        <v>15957</v>
      </c>
      <c r="H11035" t="s">
        <v>20687</v>
      </c>
    </row>
    <row r="11036" spans="6:8">
      <c r="H11036" t="s">
        <v>18829</v>
      </c>
    </row>
    <row r="11037" spans="6:8">
      <c r="H11037" t="s">
        <v>18863</v>
      </c>
    </row>
    <row r="11038" spans="6:8">
      <c r="H11038" t="s">
        <v>20454</v>
      </c>
    </row>
    <row r="11039" spans="6:8">
      <c r="H11039" t="s">
        <v>19349</v>
      </c>
    </row>
    <row r="11040" spans="6:8">
      <c r="H11040" t="s">
        <v>20209</v>
      </c>
    </row>
    <row r="11041" spans="6:8">
      <c r="F11041" t="s">
        <v>11717</v>
      </c>
      <c r="G11041" t="s">
        <v>15958</v>
      </c>
      <c r="H11041" t="s">
        <v>20688</v>
      </c>
    </row>
    <row r="11042" spans="6:8">
      <c r="H11042" t="s">
        <v>18829</v>
      </c>
    </row>
    <row r="11043" spans="6:8">
      <c r="H11043" t="s">
        <v>18863</v>
      </c>
    </row>
    <row r="11044" spans="6:8">
      <c r="H11044" t="s">
        <v>20454</v>
      </c>
    </row>
    <row r="11045" spans="6:8">
      <c r="H11045" t="s">
        <v>19349</v>
      </c>
    </row>
    <row r="11046" spans="6:8">
      <c r="H11046" t="s">
        <v>20209</v>
      </c>
    </row>
    <row r="11047" spans="6:8">
      <c r="F11047" t="s">
        <v>11718</v>
      </c>
      <c r="G11047" t="s">
        <v>15959</v>
      </c>
      <c r="H11047" t="s">
        <v>20689</v>
      </c>
    </row>
    <row r="11048" spans="6:8">
      <c r="H11048" t="s">
        <v>18829</v>
      </c>
    </row>
    <row r="11049" spans="6:8">
      <c r="H11049" t="s">
        <v>18863</v>
      </c>
    </row>
    <row r="11050" spans="6:8">
      <c r="H11050" t="s">
        <v>20454</v>
      </c>
    </row>
    <row r="11051" spans="6:8">
      <c r="H11051" t="s">
        <v>19349</v>
      </c>
    </row>
    <row r="11052" spans="6:8">
      <c r="H11052" t="s">
        <v>20209</v>
      </c>
    </row>
    <row r="11053" spans="6:8">
      <c r="F11053" t="s">
        <v>11719</v>
      </c>
      <c r="G11053" t="s">
        <v>15960</v>
      </c>
      <c r="H11053" t="s">
        <v>20690</v>
      </c>
    </row>
    <row r="11054" spans="6:8">
      <c r="H11054" t="s">
        <v>18829</v>
      </c>
    </row>
    <row r="11055" spans="6:8">
      <c r="H11055" t="s">
        <v>18863</v>
      </c>
    </row>
    <row r="11056" spans="6:8">
      <c r="H11056" t="s">
        <v>20454</v>
      </c>
    </row>
    <row r="11057" spans="6:8">
      <c r="H11057" t="s">
        <v>19349</v>
      </c>
    </row>
    <row r="11058" spans="6:8">
      <c r="H11058" t="s">
        <v>20209</v>
      </c>
    </row>
    <row r="11059" spans="6:8">
      <c r="F11059" t="s">
        <v>11720</v>
      </c>
      <c r="G11059" t="s">
        <v>15961</v>
      </c>
      <c r="H11059" t="s">
        <v>20691</v>
      </c>
    </row>
    <row r="11060" spans="6:8">
      <c r="H11060" t="s">
        <v>18829</v>
      </c>
    </row>
    <row r="11061" spans="6:8">
      <c r="H11061" t="s">
        <v>18863</v>
      </c>
    </row>
    <row r="11062" spans="6:8">
      <c r="H11062" t="s">
        <v>20454</v>
      </c>
    </row>
    <row r="11063" spans="6:8">
      <c r="H11063" t="s">
        <v>19349</v>
      </c>
    </row>
    <row r="11064" spans="6:8">
      <c r="H11064" t="s">
        <v>20209</v>
      </c>
    </row>
    <row r="11065" spans="6:8">
      <c r="F11065" t="s">
        <v>11721</v>
      </c>
      <c r="G11065" t="s">
        <v>15962</v>
      </c>
      <c r="H11065" t="s">
        <v>20692</v>
      </c>
    </row>
    <row r="11066" spans="6:8">
      <c r="H11066" t="s">
        <v>18829</v>
      </c>
    </row>
    <row r="11067" spans="6:8">
      <c r="H11067" t="s">
        <v>18863</v>
      </c>
    </row>
    <row r="11068" spans="6:8">
      <c r="H11068" t="s">
        <v>20454</v>
      </c>
    </row>
    <row r="11069" spans="6:8">
      <c r="H11069" t="s">
        <v>19349</v>
      </c>
    </row>
    <row r="11070" spans="6:8">
      <c r="H11070" t="s">
        <v>20209</v>
      </c>
    </row>
    <row r="11071" spans="6:8">
      <c r="F11071" t="s">
        <v>11722</v>
      </c>
      <c r="G11071" t="s">
        <v>15963</v>
      </c>
      <c r="H11071" t="s">
        <v>20693</v>
      </c>
    </row>
    <row r="11072" spans="6:8">
      <c r="H11072" t="s">
        <v>18829</v>
      </c>
    </row>
    <row r="11073" spans="6:8">
      <c r="H11073" t="s">
        <v>18863</v>
      </c>
    </row>
    <row r="11074" spans="6:8">
      <c r="H11074" t="s">
        <v>20454</v>
      </c>
    </row>
    <row r="11075" spans="6:8">
      <c r="H11075" t="s">
        <v>19349</v>
      </c>
    </row>
    <row r="11076" spans="6:8">
      <c r="H11076" t="s">
        <v>20209</v>
      </c>
    </row>
    <row r="11077" spans="6:8">
      <c r="F11077" t="s">
        <v>11723</v>
      </c>
      <c r="G11077" t="s">
        <v>15964</v>
      </c>
      <c r="H11077" t="s">
        <v>20694</v>
      </c>
    </row>
    <row r="11078" spans="6:8">
      <c r="H11078" t="s">
        <v>18829</v>
      </c>
    </row>
    <row r="11079" spans="6:8">
      <c r="H11079" t="s">
        <v>18863</v>
      </c>
    </row>
    <row r="11080" spans="6:8">
      <c r="H11080" t="s">
        <v>20454</v>
      </c>
    </row>
    <row r="11081" spans="6:8">
      <c r="H11081" t="s">
        <v>19349</v>
      </c>
    </row>
    <row r="11082" spans="6:8">
      <c r="H11082" t="s">
        <v>20209</v>
      </c>
    </row>
    <row r="11083" spans="6:8">
      <c r="F11083" t="s">
        <v>11724</v>
      </c>
      <c r="G11083" t="s">
        <v>15965</v>
      </c>
      <c r="H11083" t="s">
        <v>20695</v>
      </c>
    </row>
    <row r="11084" spans="6:8">
      <c r="H11084" t="s">
        <v>18829</v>
      </c>
    </row>
    <row r="11085" spans="6:8">
      <c r="H11085" t="s">
        <v>18863</v>
      </c>
    </row>
    <row r="11086" spans="6:8">
      <c r="H11086" t="s">
        <v>20454</v>
      </c>
    </row>
    <row r="11087" spans="6:8">
      <c r="H11087" t="s">
        <v>19349</v>
      </c>
    </row>
    <row r="11088" spans="6:8">
      <c r="H11088" t="s">
        <v>20209</v>
      </c>
    </row>
    <row r="11089" spans="6:8">
      <c r="F11089" t="s">
        <v>11725</v>
      </c>
      <c r="G11089" t="s">
        <v>15966</v>
      </c>
      <c r="H11089" t="s">
        <v>20696</v>
      </c>
    </row>
    <row r="11090" spans="6:8">
      <c r="H11090" t="s">
        <v>18829</v>
      </c>
    </row>
    <row r="11091" spans="6:8">
      <c r="H11091" t="s">
        <v>18863</v>
      </c>
    </row>
    <row r="11092" spans="6:8">
      <c r="H11092" t="s">
        <v>20454</v>
      </c>
    </row>
    <row r="11093" spans="6:8">
      <c r="H11093" t="s">
        <v>19349</v>
      </c>
    </row>
    <row r="11094" spans="6:8">
      <c r="H11094" t="s">
        <v>20209</v>
      </c>
    </row>
    <row r="11095" spans="6:8">
      <c r="F11095" t="s">
        <v>11726</v>
      </c>
      <c r="G11095" t="s">
        <v>15967</v>
      </c>
      <c r="H11095" t="s">
        <v>20697</v>
      </c>
    </row>
    <row r="11096" spans="6:8">
      <c r="H11096" t="s">
        <v>18829</v>
      </c>
    </row>
    <row r="11097" spans="6:8">
      <c r="H11097" t="s">
        <v>18863</v>
      </c>
    </row>
    <row r="11098" spans="6:8">
      <c r="H11098" t="s">
        <v>20454</v>
      </c>
    </row>
    <row r="11099" spans="6:8">
      <c r="H11099" t="s">
        <v>19349</v>
      </c>
    </row>
    <row r="11100" spans="6:8">
      <c r="H11100" t="s">
        <v>20209</v>
      </c>
    </row>
    <row r="11101" spans="6:8">
      <c r="F11101" t="s">
        <v>11727</v>
      </c>
      <c r="G11101" t="s">
        <v>15968</v>
      </c>
      <c r="H11101" t="s">
        <v>20698</v>
      </c>
    </row>
    <row r="11102" spans="6:8">
      <c r="H11102" t="s">
        <v>18829</v>
      </c>
    </row>
    <row r="11103" spans="6:8">
      <c r="H11103" t="s">
        <v>18863</v>
      </c>
    </row>
    <row r="11104" spans="6:8">
      <c r="H11104" t="s">
        <v>20454</v>
      </c>
    </row>
    <row r="11105" spans="6:8">
      <c r="H11105" t="s">
        <v>19349</v>
      </c>
    </row>
    <row r="11106" spans="6:8">
      <c r="H11106" t="s">
        <v>20209</v>
      </c>
    </row>
    <row r="11107" spans="6:8">
      <c r="F11107" t="s">
        <v>11728</v>
      </c>
      <c r="G11107" t="s">
        <v>15969</v>
      </c>
      <c r="H11107" t="s">
        <v>20699</v>
      </c>
    </row>
    <row r="11108" spans="6:8">
      <c r="H11108" t="s">
        <v>18829</v>
      </c>
    </row>
    <row r="11109" spans="6:8">
      <c r="H11109" t="s">
        <v>18863</v>
      </c>
    </row>
    <row r="11110" spans="6:8">
      <c r="H11110" t="s">
        <v>20454</v>
      </c>
    </row>
    <row r="11111" spans="6:8">
      <c r="H11111" t="s">
        <v>19349</v>
      </c>
    </row>
    <row r="11112" spans="6:8">
      <c r="H11112" t="s">
        <v>20209</v>
      </c>
    </row>
    <row r="11113" spans="6:8">
      <c r="F11113" t="s">
        <v>11729</v>
      </c>
      <c r="G11113" t="s">
        <v>15970</v>
      </c>
      <c r="H11113" t="s">
        <v>20700</v>
      </c>
    </row>
    <row r="11114" spans="6:8">
      <c r="H11114" t="s">
        <v>18829</v>
      </c>
    </row>
    <row r="11115" spans="6:8">
      <c r="H11115" t="s">
        <v>18863</v>
      </c>
    </row>
    <row r="11116" spans="6:8">
      <c r="H11116" t="s">
        <v>20454</v>
      </c>
    </row>
    <row r="11117" spans="6:8">
      <c r="H11117" t="s">
        <v>19349</v>
      </c>
    </row>
    <row r="11118" spans="6:8">
      <c r="H11118" t="s">
        <v>20209</v>
      </c>
    </row>
    <row r="11119" spans="6:8">
      <c r="F11119" t="s">
        <v>11730</v>
      </c>
      <c r="G11119" t="s">
        <v>15971</v>
      </c>
      <c r="H11119" t="s">
        <v>20701</v>
      </c>
    </row>
    <row r="11120" spans="6:8">
      <c r="H11120" t="s">
        <v>18829</v>
      </c>
    </row>
    <row r="11121" spans="6:8">
      <c r="H11121" t="s">
        <v>18863</v>
      </c>
    </row>
    <row r="11122" spans="6:8">
      <c r="H11122" t="s">
        <v>20454</v>
      </c>
    </row>
    <row r="11123" spans="6:8">
      <c r="H11123" t="s">
        <v>19349</v>
      </c>
    </row>
    <row r="11124" spans="6:8">
      <c r="H11124" t="s">
        <v>20209</v>
      </c>
    </row>
    <row r="11125" spans="6:8">
      <c r="F11125" t="s">
        <v>11731</v>
      </c>
      <c r="G11125" t="s">
        <v>15972</v>
      </c>
      <c r="H11125" t="s">
        <v>20702</v>
      </c>
    </row>
    <row r="11126" spans="6:8">
      <c r="H11126" t="s">
        <v>18829</v>
      </c>
    </row>
    <row r="11127" spans="6:8">
      <c r="H11127" t="s">
        <v>18863</v>
      </c>
    </row>
    <row r="11128" spans="6:8">
      <c r="H11128" t="s">
        <v>20454</v>
      </c>
    </row>
    <row r="11129" spans="6:8">
      <c r="H11129" t="s">
        <v>19349</v>
      </c>
    </row>
    <row r="11130" spans="6:8">
      <c r="H11130" t="s">
        <v>20209</v>
      </c>
    </row>
    <row r="11131" spans="6:8">
      <c r="F11131" t="s">
        <v>11732</v>
      </c>
      <c r="G11131" t="s">
        <v>15973</v>
      </c>
      <c r="H11131" t="s">
        <v>20703</v>
      </c>
    </row>
    <row r="11132" spans="6:8">
      <c r="H11132" t="s">
        <v>18829</v>
      </c>
    </row>
    <row r="11133" spans="6:8">
      <c r="H11133" t="s">
        <v>18863</v>
      </c>
    </row>
    <row r="11134" spans="6:8">
      <c r="H11134" t="s">
        <v>20454</v>
      </c>
    </row>
    <row r="11135" spans="6:8">
      <c r="H11135" t="s">
        <v>19349</v>
      </c>
    </row>
    <row r="11136" spans="6:8">
      <c r="H11136" t="s">
        <v>20209</v>
      </c>
    </row>
    <row r="11137" spans="6:8">
      <c r="F11137" t="s">
        <v>11733</v>
      </c>
      <c r="G11137" t="s">
        <v>15974</v>
      </c>
      <c r="H11137" t="s">
        <v>20704</v>
      </c>
    </row>
    <row r="11138" spans="6:8">
      <c r="H11138" t="s">
        <v>18829</v>
      </c>
    </row>
    <row r="11139" spans="6:8">
      <c r="H11139" t="s">
        <v>18863</v>
      </c>
    </row>
    <row r="11140" spans="6:8">
      <c r="H11140" t="s">
        <v>20454</v>
      </c>
    </row>
    <row r="11141" spans="6:8">
      <c r="H11141" t="s">
        <v>19349</v>
      </c>
    </row>
    <row r="11142" spans="6:8">
      <c r="H11142" t="s">
        <v>20209</v>
      </c>
    </row>
    <row r="11143" spans="6:8">
      <c r="F11143" t="s">
        <v>11734</v>
      </c>
      <c r="G11143" t="s">
        <v>15975</v>
      </c>
      <c r="H11143" t="s">
        <v>20705</v>
      </c>
    </row>
    <row r="11144" spans="6:8">
      <c r="H11144" t="s">
        <v>18829</v>
      </c>
    </row>
    <row r="11145" spans="6:8">
      <c r="H11145" t="s">
        <v>18863</v>
      </c>
    </row>
    <row r="11146" spans="6:8">
      <c r="H11146" t="s">
        <v>20454</v>
      </c>
    </row>
    <row r="11147" spans="6:8">
      <c r="H11147" t="s">
        <v>19349</v>
      </c>
    </row>
    <row r="11148" spans="6:8">
      <c r="H11148" t="s">
        <v>20209</v>
      </c>
    </row>
    <row r="11149" spans="6:8">
      <c r="F11149" t="s">
        <v>11735</v>
      </c>
      <c r="G11149" t="s">
        <v>15976</v>
      </c>
      <c r="H11149" t="s">
        <v>20706</v>
      </c>
    </row>
    <row r="11150" spans="6:8">
      <c r="H11150" t="s">
        <v>18829</v>
      </c>
    </row>
    <row r="11151" spans="6:8">
      <c r="H11151" t="s">
        <v>18863</v>
      </c>
    </row>
    <row r="11152" spans="6:8">
      <c r="H11152" t="s">
        <v>20454</v>
      </c>
    </row>
    <row r="11153" spans="6:8">
      <c r="H11153" t="s">
        <v>19349</v>
      </c>
    </row>
    <row r="11154" spans="6:8">
      <c r="H11154" t="s">
        <v>20209</v>
      </c>
    </row>
    <row r="11155" spans="6:8">
      <c r="F11155" t="s">
        <v>11736</v>
      </c>
      <c r="G11155" t="s">
        <v>15977</v>
      </c>
      <c r="H11155" t="s">
        <v>20707</v>
      </c>
    </row>
    <row r="11156" spans="6:8">
      <c r="H11156" t="s">
        <v>18829</v>
      </c>
    </row>
    <row r="11157" spans="6:8">
      <c r="H11157" t="s">
        <v>18863</v>
      </c>
    </row>
    <row r="11158" spans="6:8">
      <c r="H11158" t="s">
        <v>20454</v>
      </c>
    </row>
    <row r="11159" spans="6:8">
      <c r="H11159" t="s">
        <v>19349</v>
      </c>
    </row>
    <row r="11160" spans="6:8">
      <c r="H11160" t="s">
        <v>20209</v>
      </c>
    </row>
    <row r="11161" spans="6:8">
      <c r="F11161" t="s">
        <v>11737</v>
      </c>
      <c r="G11161" t="s">
        <v>15978</v>
      </c>
      <c r="H11161" t="s">
        <v>20708</v>
      </c>
    </row>
    <row r="11162" spans="6:8">
      <c r="H11162" t="s">
        <v>18829</v>
      </c>
    </row>
    <row r="11163" spans="6:8">
      <c r="H11163" t="s">
        <v>18863</v>
      </c>
    </row>
    <row r="11164" spans="6:8">
      <c r="H11164" t="s">
        <v>20454</v>
      </c>
    </row>
    <row r="11165" spans="6:8">
      <c r="H11165" t="s">
        <v>19349</v>
      </c>
    </row>
    <row r="11166" spans="6:8">
      <c r="H11166" t="s">
        <v>20209</v>
      </c>
    </row>
    <row r="11167" spans="6:8">
      <c r="F11167" t="s">
        <v>11738</v>
      </c>
      <c r="G11167" t="s">
        <v>15979</v>
      </c>
      <c r="H11167" t="s">
        <v>20709</v>
      </c>
    </row>
    <row r="11168" spans="6:8">
      <c r="H11168" t="s">
        <v>18829</v>
      </c>
    </row>
    <row r="11169" spans="6:8">
      <c r="H11169" t="s">
        <v>18863</v>
      </c>
    </row>
    <row r="11170" spans="6:8">
      <c r="H11170" t="s">
        <v>20454</v>
      </c>
    </row>
    <row r="11171" spans="6:8">
      <c r="H11171" t="s">
        <v>19349</v>
      </c>
    </row>
    <row r="11172" spans="6:8">
      <c r="H11172" t="s">
        <v>20209</v>
      </c>
    </row>
    <row r="11173" spans="6:8">
      <c r="F11173" t="s">
        <v>11739</v>
      </c>
      <c r="G11173" t="s">
        <v>15980</v>
      </c>
      <c r="H11173" t="s">
        <v>20710</v>
      </c>
    </row>
    <row r="11174" spans="6:8">
      <c r="H11174" t="s">
        <v>18829</v>
      </c>
    </row>
    <row r="11175" spans="6:8">
      <c r="H11175" t="s">
        <v>18863</v>
      </c>
    </row>
    <row r="11176" spans="6:8">
      <c r="H11176" t="s">
        <v>20454</v>
      </c>
    </row>
    <row r="11177" spans="6:8">
      <c r="H11177" t="s">
        <v>19349</v>
      </c>
    </row>
    <row r="11178" spans="6:8">
      <c r="H11178" t="s">
        <v>20209</v>
      </c>
    </row>
    <row r="11179" spans="6:8">
      <c r="F11179" t="s">
        <v>11740</v>
      </c>
      <c r="G11179" t="s">
        <v>15981</v>
      </c>
      <c r="H11179" t="s">
        <v>20711</v>
      </c>
    </row>
    <row r="11180" spans="6:8">
      <c r="H11180" t="s">
        <v>18829</v>
      </c>
    </row>
    <row r="11181" spans="6:8">
      <c r="H11181" t="s">
        <v>18863</v>
      </c>
    </row>
    <row r="11182" spans="6:8">
      <c r="H11182" t="s">
        <v>20454</v>
      </c>
    </row>
    <row r="11183" spans="6:8">
      <c r="H11183" t="s">
        <v>19349</v>
      </c>
    </row>
    <row r="11184" spans="6:8">
      <c r="H11184" t="s">
        <v>20209</v>
      </c>
    </row>
    <row r="11185" spans="6:8">
      <c r="F11185" t="s">
        <v>11741</v>
      </c>
      <c r="G11185" t="s">
        <v>15982</v>
      </c>
      <c r="H11185" t="s">
        <v>20712</v>
      </c>
    </row>
    <row r="11186" spans="6:8">
      <c r="H11186" t="s">
        <v>18829</v>
      </c>
    </row>
    <row r="11187" spans="6:8">
      <c r="H11187" t="s">
        <v>18863</v>
      </c>
    </row>
    <row r="11188" spans="6:8">
      <c r="H11188" t="s">
        <v>20454</v>
      </c>
    </row>
    <row r="11189" spans="6:8">
      <c r="H11189" t="s">
        <v>19349</v>
      </c>
    </row>
    <row r="11190" spans="6:8">
      <c r="H11190" t="s">
        <v>20209</v>
      </c>
    </row>
    <row r="11191" spans="6:8">
      <c r="F11191" t="s">
        <v>11742</v>
      </c>
      <c r="G11191" t="s">
        <v>15983</v>
      </c>
      <c r="H11191" t="s">
        <v>20713</v>
      </c>
    </row>
    <row r="11192" spans="6:8">
      <c r="H11192" t="s">
        <v>18829</v>
      </c>
    </row>
    <row r="11193" spans="6:8">
      <c r="H11193" t="s">
        <v>18863</v>
      </c>
    </row>
    <row r="11194" spans="6:8">
      <c r="H11194" t="s">
        <v>20454</v>
      </c>
    </row>
    <row r="11195" spans="6:8">
      <c r="H11195" t="s">
        <v>19349</v>
      </c>
    </row>
    <row r="11196" spans="6:8">
      <c r="H11196" t="s">
        <v>20209</v>
      </c>
    </row>
    <row r="11197" spans="6:8">
      <c r="F11197" t="s">
        <v>11743</v>
      </c>
      <c r="G11197" t="s">
        <v>15984</v>
      </c>
      <c r="H11197" t="s">
        <v>20714</v>
      </c>
    </row>
    <row r="11198" spans="6:8">
      <c r="H11198" t="s">
        <v>18829</v>
      </c>
    </row>
    <row r="11199" spans="6:8">
      <c r="H11199" t="s">
        <v>18863</v>
      </c>
    </row>
    <row r="11200" spans="6:8">
      <c r="H11200" t="s">
        <v>20454</v>
      </c>
    </row>
    <row r="11201" spans="6:8">
      <c r="H11201" t="s">
        <v>19349</v>
      </c>
    </row>
    <row r="11202" spans="6:8">
      <c r="H11202" t="s">
        <v>20209</v>
      </c>
    </row>
    <row r="11203" spans="6:8">
      <c r="F11203" t="s">
        <v>11744</v>
      </c>
      <c r="G11203" t="s">
        <v>15985</v>
      </c>
      <c r="H11203" t="s">
        <v>20715</v>
      </c>
    </row>
    <row r="11204" spans="6:8">
      <c r="H11204" t="s">
        <v>18829</v>
      </c>
    </row>
    <row r="11205" spans="6:8">
      <c r="H11205" t="s">
        <v>18863</v>
      </c>
    </row>
    <row r="11206" spans="6:8">
      <c r="H11206" t="s">
        <v>20454</v>
      </c>
    </row>
    <row r="11207" spans="6:8">
      <c r="H11207" t="s">
        <v>19349</v>
      </c>
    </row>
    <row r="11208" spans="6:8">
      <c r="H11208" t="s">
        <v>20209</v>
      </c>
    </row>
    <row r="11209" spans="6:8">
      <c r="F11209" t="s">
        <v>11745</v>
      </c>
      <c r="G11209" t="s">
        <v>15986</v>
      </c>
      <c r="H11209" t="s">
        <v>20716</v>
      </c>
    </row>
    <row r="11210" spans="6:8">
      <c r="H11210" t="s">
        <v>18829</v>
      </c>
    </row>
    <row r="11211" spans="6:8">
      <c r="H11211" t="s">
        <v>18863</v>
      </c>
    </row>
    <row r="11212" spans="6:8">
      <c r="H11212" t="s">
        <v>20454</v>
      </c>
    </row>
    <row r="11213" spans="6:8">
      <c r="H11213" t="s">
        <v>19349</v>
      </c>
    </row>
    <row r="11214" spans="6:8">
      <c r="H11214" t="s">
        <v>20209</v>
      </c>
    </row>
    <row r="11215" spans="6:8">
      <c r="F11215" t="s">
        <v>11746</v>
      </c>
      <c r="G11215" t="s">
        <v>15987</v>
      </c>
      <c r="H11215" t="s">
        <v>20717</v>
      </c>
    </row>
    <row r="11216" spans="6:8">
      <c r="H11216" t="s">
        <v>18829</v>
      </c>
    </row>
    <row r="11217" spans="6:8">
      <c r="H11217" t="s">
        <v>18863</v>
      </c>
    </row>
    <row r="11218" spans="6:8">
      <c r="H11218" t="s">
        <v>20454</v>
      </c>
    </row>
    <row r="11219" spans="6:8">
      <c r="H11219" t="s">
        <v>19349</v>
      </c>
    </row>
    <row r="11220" spans="6:8">
      <c r="H11220" t="s">
        <v>20209</v>
      </c>
    </row>
    <row r="11221" spans="6:8">
      <c r="F11221" t="s">
        <v>11747</v>
      </c>
      <c r="G11221" t="s">
        <v>15988</v>
      </c>
      <c r="H11221" t="s">
        <v>20718</v>
      </c>
    </row>
    <row r="11222" spans="6:8">
      <c r="H11222" t="s">
        <v>18829</v>
      </c>
    </row>
    <row r="11223" spans="6:8">
      <c r="H11223" t="s">
        <v>18863</v>
      </c>
    </row>
    <row r="11224" spans="6:8">
      <c r="H11224" t="s">
        <v>20454</v>
      </c>
    </row>
    <row r="11225" spans="6:8">
      <c r="H11225" t="s">
        <v>19349</v>
      </c>
    </row>
    <row r="11226" spans="6:8">
      <c r="H11226" t="s">
        <v>20209</v>
      </c>
    </row>
    <row r="11227" spans="6:8">
      <c r="F11227" t="s">
        <v>11748</v>
      </c>
      <c r="G11227" t="s">
        <v>15989</v>
      </c>
      <c r="H11227" t="s">
        <v>20719</v>
      </c>
    </row>
    <row r="11228" spans="6:8">
      <c r="H11228" t="s">
        <v>18829</v>
      </c>
    </row>
    <row r="11229" spans="6:8">
      <c r="H11229" t="s">
        <v>18863</v>
      </c>
    </row>
    <row r="11230" spans="6:8">
      <c r="H11230" t="s">
        <v>20454</v>
      </c>
    </row>
    <row r="11231" spans="6:8">
      <c r="H11231" t="s">
        <v>19349</v>
      </c>
    </row>
    <row r="11232" spans="6:8">
      <c r="H11232" t="s">
        <v>20209</v>
      </c>
    </row>
    <row r="11233" spans="6:8">
      <c r="F11233" t="s">
        <v>11749</v>
      </c>
      <c r="G11233" t="s">
        <v>15990</v>
      </c>
      <c r="H11233" t="s">
        <v>20720</v>
      </c>
    </row>
    <row r="11234" spans="6:8">
      <c r="H11234" t="s">
        <v>18829</v>
      </c>
    </row>
    <row r="11235" spans="6:8">
      <c r="H11235" t="s">
        <v>18863</v>
      </c>
    </row>
    <row r="11236" spans="6:8">
      <c r="H11236" t="s">
        <v>20454</v>
      </c>
    </row>
    <row r="11237" spans="6:8">
      <c r="H11237" t="s">
        <v>19349</v>
      </c>
    </row>
    <row r="11238" spans="6:8">
      <c r="H11238" t="s">
        <v>20209</v>
      </c>
    </row>
    <row r="11239" spans="6:8">
      <c r="F11239" t="s">
        <v>11750</v>
      </c>
      <c r="G11239" t="s">
        <v>15991</v>
      </c>
      <c r="H11239" t="s">
        <v>20721</v>
      </c>
    </row>
    <row r="11240" spans="6:8">
      <c r="H11240" t="s">
        <v>18829</v>
      </c>
    </row>
    <row r="11241" spans="6:8">
      <c r="H11241" t="s">
        <v>18863</v>
      </c>
    </row>
    <row r="11242" spans="6:8">
      <c r="H11242" t="s">
        <v>20454</v>
      </c>
    </row>
    <row r="11243" spans="6:8">
      <c r="H11243" t="s">
        <v>19349</v>
      </c>
    </row>
    <row r="11244" spans="6:8">
      <c r="H11244" t="s">
        <v>20209</v>
      </c>
    </row>
    <row r="11245" spans="6:8">
      <c r="F11245" t="s">
        <v>11751</v>
      </c>
      <c r="G11245" t="s">
        <v>15992</v>
      </c>
      <c r="H11245" t="s">
        <v>20722</v>
      </c>
    </row>
    <row r="11246" spans="6:8">
      <c r="H11246" t="s">
        <v>18829</v>
      </c>
    </row>
    <row r="11247" spans="6:8">
      <c r="H11247" t="s">
        <v>18863</v>
      </c>
    </row>
    <row r="11248" spans="6:8">
      <c r="H11248" t="s">
        <v>20454</v>
      </c>
    </row>
    <row r="11249" spans="6:8">
      <c r="H11249" t="s">
        <v>19349</v>
      </c>
    </row>
    <row r="11250" spans="6:8">
      <c r="H11250" t="s">
        <v>20209</v>
      </c>
    </row>
    <row r="11251" spans="6:8">
      <c r="F11251" t="s">
        <v>11752</v>
      </c>
      <c r="G11251" t="s">
        <v>15993</v>
      </c>
      <c r="H11251" t="s">
        <v>20723</v>
      </c>
    </row>
    <row r="11252" spans="6:8">
      <c r="H11252" t="s">
        <v>18829</v>
      </c>
    </row>
    <row r="11253" spans="6:8">
      <c r="H11253" t="s">
        <v>18863</v>
      </c>
    </row>
    <row r="11254" spans="6:8">
      <c r="H11254" t="s">
        <v>20454</v>
      </c>
    </row>
    <row r="11255" spans="6:8">
      <c r="H11255" t="s">
        <v>19349</v>
      </c>
    </row>
    <row r="11256" spans="6:8">
      <c r="H11256" t="s">
        <v>20209</v>
      </c>
    </row>
    <row r="11257" spans="6:8">
      <c r="F11257" t="s">
        <v>11753</v>
      </c>
      <c r="G11257" t="s">
        <v>15994</v>
      </c>
      <c r="H11257" t="s">
        <v>20724</v>
      </c>
    </row>
    <row r="11258" spans="6:8">
      <c r="H11258" t="s">
        <v>18829</v>
      </c>
    </row>
    <row r="11259" spans="6:8">
      <c r="H11259" t="s">
        <v>18863</v>
      </c>
    </row>
    <row r="11260" spans="6:8">
      <c r="H11260" t="s">
        <v>20454</v>
      </c>
    </row>
    <row r="11261" spans="6:8">
      <c r="H11261" t="s">
        <v>19349</v>
      </c>
    </row>
    <row r="11262" spans="6:8">
      <c r="H11262" t="s">
        <v>20209</v>
      </c>
    </row>
    <row r="11263" spans="6:8">
      <c r="F11263" t="s">
        <v>11754</v>
      </c>
      <c r="G11263" t="s">
        <v>15995</v>
      </c>
      <c r="H11263" t="s">
        <v>20725</v>
      </c>
    </row>
    <row r="11264" spans="6:8">
      <c r="H11264" t="s">
        <v>18829</v>
      </c>
    </row>
    <row r="11265" spans="6:8">
      <c r="H11265" t="s">
        <v>18863</v>
      </c>
    </row>
    <row r="11266" spans="6:8">
      <c r="H11266" t="s">
        <v>20454</v>
      </c>
    </row>
    <row r="11267" spans="6:8">
      <c r="H11267" t="s">
        <v>19349</v>
      </c>
    </row>
    <row r="11268" spans="6:8">
      <c r="H11268" t="s">
        <v>20209</v>
      </c>
    </row>
    <row r="11269" spans="6:8">
      <c r="F11269" t="s">
        <v>11755</v>
      </c>
      <c r="G11269" t="s">
        <v>15996</v>
      </c>
      <c r="H11269" t="s">
        <v>20726</v>
      </c>
    </row>
    <row r="11270" spans="6:8">
      <c r="H11270" t="s">
        <v>18829</v>
      </c>
    </row>
    <row r="11271" spans="6:8">
      <c r="H11271" t="s">
        <v>18863</v>
      </c>
    </row>
    <row r="11272" spans="6:8">
      <c r="H11272" t="s">
        <v>20454</v>
      </c>
    </row>
    <row r="11273" spans="6:8">
      <c r="H11273" t="s">
        <v>19349</v>
      </c>
    </row>
    <row r="11274" spans="6:8">
      <c r="H11274" t="s">
        <v>20209</v>
      </c>
    </row>
    <row r="11275" spans="6:8">
      <c r="F11275" t="s">
        <v>11756</v>
      </c>
      <c r="G11275" t="s">
        <v>15997</v>
      </c>
      <c r="H11275" t="s">
        <v>20727</v>
      </c>
    </row>
    <row r="11276" spans="6:8">
      <c r="H11276" t="s">
        <v>18829</v>
      </c>
    </row>
    <row r="11277" spans="6:8">
      <c r="H11277" t="s">
        <v>18863</v>
      </c>
    </row>
    <row r="11278" spans="6:8">
      <c r="H11278" t="s">
        <v>20454</v>
      </c>
    </row>
    <row r="11279" spans="6:8">
      <c r="H11279" t="s">
        <v>19349</v>
      </c>
    </row>
    <row r="11280" spans="6:8">
      <c r="H11280" t="s">
        <v>20209</v>
      </c>
    </row>
    <row r="11281" spans="6:8">
      <c r="F11281" t="s">
        <v>11757</v>
      </c>
      <c r="G11281" t="s">
        <v>15998</v>
      </c>
      <c r="H11281" t="s">
        <v>20728</v>
      </c>
    </row>
    <row r="11282" spans="6:8">
      <c r="H11282" t="s">
        <v>18829</v>
      </c>
    </row>
    <row r="11283" spans="6:8">
      <c r="H11283" t="s">
        <v>18863</v>
      </c>
    </row>
    <row r="11284" spans="6:8">
      <c r="H11284" t="s">
        <v>20454</v>
      </c>
    </row>
    <row r="11285" spans="6:8">
      <c r="H11285" t="s">
        <v>19349</v>
      </c>
    </row>
    <row r="11286" spans="6:8">
      <c r="H11286" t="s">
        <v>20209</v>
      </c>
    </row>
    <row r="11287" spans="6:8">
      <c r="F11287" t="s">
        <v>11758</v>
      </c>
      <c r="G11287" t="s">
        <v>15999</v>
      </c>
      <c r="H11287" t="s">
        <v>20729</v>
      </c>
    </row>
    <row r="11288" spans="6:8">
      <c r="H11288" t="s">
        <v>18829</v>
      </c>
    </row>
    <row r="11289" spans="6:8">
      <c r="H11289" t="s">
        <v>18863</v>
      </c>
    </row>
    <row r="11290" spans="6:8">
      <c r="H11290" t="s">
        <v>20454</v>
      </c>
    </row>
    <row r="11291" spans="6:8">
      <c r="H11291" t="s">
        <v>19349</v>
      </c>
    </row>
    <row r="11292" spans="6:8">
      <c r="H11292" t="s">
        <v>20209</v>
      </c>
    </row>
    <row r="11293" spans="6:8">
      <c r="F11293" t="s">
        <v>11759</v>
      </c>
      <c r="G11293" t="s">
        <v>16000</v>
      </c>
      <c r="H11293" t="s">
        <v>20730</v>
      </c>
    </row>
    <row r="11294" spans="6:8">
      <c r="H11294" t="s">
        <v>18829</v>
      </c>
    </row>
    <row r="11295" spans="6:8">
      <c r="H11295" t="s">
        <v>18863</v>
      </c>
    </row>
    <row r="11296" spans="6:8">
      <c r="H11296" t="s">
        <v>20454</v>
      </c>
    </row>
    <row r="11297" spans="6:8">
      <c r="H11297" t="s">
        <v>19349</v>
      </c>
    </row>
    <row r="11298" spans="6:8">
      <c r="H11298" t="s">
        <v>20209</v>
      </c>
    </row>
    <row r="11299" spans="6:8">
      <c r="F11299" t="s">
        <v>11760</v>
      </c>
      <c r="G11299" t="s">
        <v>16001</v>
      </c>
      <c r="H11299" t="s">
        <v>20731</v>
      </c>
    </row>
    <row r="11300" spans="6:8">
      <c r="H11300" t="s">
        <v>18829</v>
      </c>
    </row>
    <row r="11301" spans="6:8">
      <c r="H11301" t="s">
        <v>18863</v>
      </c>
    </row>
    <row r="11302" spans="6:8">
      <c r="H11302" t="s">
        <v>20454</v>
      </c>
    </row>
    <row r="11303" spans="6:8">
      <c r="H11303" t="s">
        <v>19349</v>
      </c>
    </row>
    <row r="11304" spans="6:8">
      <c r="H11304" t="s">
        <v>20209</v>
      </c>
    </row>
    <row r="11305" spans="6:8">
      <c r="F11305" t="s">
        <v>11761</v>
      </c>
      <c r="G11305" t="s">
        <v>16002</v>
      </c>
      <c r="H11305" t="s">
        <v>20732</v>
      </c>
    </row>
    <row r="11306" spans="6:8">
      <c r="H11306" t="s">
        <v>18829</v>
      </c>
    </row>
    <row r="11307" spans="6:8">
      <c r="H11307" t="s">
        <v>18863</v>
      </c>
    </row>
    <row r="11308" spans="6:8">
      <c r="H11308" t="s">
        <v>20454</v>
      </c>
    </row>
    <row r="11309" spans="6:8">
      <c r="H11309" t="s">
        <v>19349</v>
      </c>
    </row>
    <row r="11310" spans="6:8">
      <c r="H11310" t="s">
        <v>20209</v>
      </c>
    </row>
    <row r="11311" spans="6:8">
      <c r="F11311" t="s">
        <v>11762</v>
      </c>
      <c r="G11311" t="s">
        <v>16003</v>
      </c>
      <c r="H11311" t="s">
        <v>20733</v>
      </c>
    </row>
    <row r="11312" spans="6:8">
      <c r="H11312" t="s">
        <v>18829</v>
      </c>
    </row>
    <row r="11313" spans="6:8">
      <c r="H11313" t="s">
        <v>18863</v>
      </c>
    </row>
    <row r="11314" spans="6:8">
      <c r="H11314" t="s">
        <v>20454</v>
      </c>
    </row>
    <row r="11315" spans="6:8">
      <c r="H11315" t="s">
        <v>19349</v>
      </c>
    </row>
    <row r="11316" spans="6:8">
      <c r="H11316" t="s">
        <v>20209</v>
      </c>
    </row>
    <row r="11317" spans="6:8">
      <c r="F11317" t="s">
        <v>11763</v>
      </c>
      <c r="G11317" t="s">
        <v>16004</v>
      </c>
      <c r="H11317" t="s">
        <v>20734</v>
      </c>
    </row>
    <row r="11318" spans="6:8">
      <c r="H11318" t="s">
        <v>18829</v>
      </c>
    </row>
    <row r="11319" spans="6:8">
      <c r="H11319" t="s">
        <v>18863</v>
      </c>
    </row>
    <row r="11320" spans="6:8">
      <c r="H11320" t="s">
        <v>20454</v>
      </c>
    </row>
    <row r="11321" spans="6:8">
      <c r="H11321" t="s">
        <v>19349</v>
      </c>
    </row>
    <row r="11322" spans="6:8">
      <c r="H11322" t="s">
        <v>20209</v>
      </c>
    </row>
    <row r="11323" spans="6:8">
      <c r="F11323" t="s">
        <v>11764</v>
      </c>
      <c r="G11323" t="s">
        <v>16005</v>
      </c>
      <c r="H11323" t="s">
        <v>20735</v>
      </c>
    </row>
    <row r="11324" spans="6:8">
      <c r="H11324" t="s">
        <v>18829</v>
      </c>
    </row>
    <row r="11325" spans="6:8">
      <c r="H11325" t="s">
        <v>18863</v>
      </c>
    </row>
    <row r="11326" spans="6:8">
      <c r="H11326" t="s">
        <v>20454</v>
      </c>
    </row>
    <row r="11327" spans="6:8">
      <c r="H11327" t="s">
        <v>19349</v>
      </c>
    </row>
    <row r="11328" spans="6:8">
      <c r="H11328" t="s">
        <v>20209</v>
      </c>
    </row>
    <row r="11329" spans="6:8">
      <c r="F11329" t="s">
        <v>11765</v>
      </c>
      <c r="G11329" t="s">
        <v>16006</v>
      </c>
      <c r="H11329" t="s">
        <v>20736</v>
      </c>
    </row>
    <row r="11330" spans="6:8">
      <c r="H11330" t="s">
        <v>18829</v>
      </c>
    </row>
    <row r="11331" spans="6:8">
      <c r="H11331" t="s">
        <v>18863</v>
      </c>
    </row>
    <row r="11332" spans="6:8">
      <c r="H11332" t="s">
        <v>20454</v>
      </c>
    </row>
    <row r="11333" spans="6:8">
      <c r="H11333" t="s">
        <v>19349</v>
      </c>
    </row>
    <row r="11334" spans="6:8">
      <c r="H11334" t="s">
        <v>20209</v>
      </c>
    </row>
    <row r="11335" spans="6:8">
      <c r="F11335" t="s">
        <v>11766</v>
      </c>
      <c r="G11335" t="s">
        <v>16007</v>
      </c>
      <c r="H11335" t="s">
        <v>20737</v>
      </c>
    </row>
    <row r="11336" spans="6:8">
      <c r="H11336" t="s">
        <v>18829</v>
      </c>
    </row>
    <row r="11337" spans="6:8">
      <c r="H11337" t="s">
        <v>18863</v>
      </c>
    </row>
    <row r="11338" spans="6:8">
      <c r="H11338" t="s">
        <v>20454</v>
      </c>
    </row>
    <row r="11339" spans="6:8">
      <c r="H11339" t="s">
        <v>19349</v>
      </c>
    </row>
    <row r="11340" spans="6:8">
      <c r="H11340" t="s">
        <v>20209</v>
      </c>
    </row>
    <row r="11341" spans="6:8">
      <c r="F11341" t="s">
        <v>11767</v>
      </c>
      <c r="G11341" t="s">
        <v>16008</v>
      </c>
      <c r="H11341" t="s">
        <v>20738</v>
      </c>
    </row>
    <row r="11342" spans="6:8">
      <c r="H11342" t="s">
        <v>18829</v>
      </c>
    </row>
    <row r="11343" spans="6:8">
      <c r="H11343" t="s">
        <v>18863</v>
      </c>
    </row>
    <row r="11344" spans="6:8">
      <c r="H11344" t="s">
        <v>20454</v>
      </c>
    </row>
    <row r="11345" spans="6:8">
      <c r="H11345" t="s">
        <v>19349</v>
      </c>
    </row>
    <row r="11346" spans="6:8">
      <c r="H11346" t="s">
        <v>20209</v>
      </c>
    </row>
    <row r="11347" spans="6:8">
      <c r="F11347" t="s">
        <v>11768</v>
      </c>
      <c r="G11347" t="s">
        <v>16009</v>
      </c>
      <c r="H11347" t="s">
        <v>20739</v>
      </c>
    </row>
    <row r="11348" spans="6:8">
      <c r="H11348" t="s">
        <v>18829</v>
      </c>
    </row>
    <row r="11349" spans="6:8">
      <c r="H11349" t="s">
        <v>18863</v>
      </c>
    </row>
    <row r="11350" spans="6:8">
      <c r="H11350" t="s">
        <v>20454</v>
      </c>
    </row>
    <row r="11351" spans="6:8">
      <c r="H11351" t="s">
        <v>19349</v>
      </c>
    </row>
    <row r="11352" spans="6:8">
      <c r="H11352" t="s">
        <v>20209</v>
      </c>
    </row>
    <row r="11353" spans="6:8">
      <c r="F11353" t="s">
        <v>11769</v>
      </c>
      <c r="G11353" t="s">
        <v>16010</v>
      </c>
      <c r="H11353" t="s">
        <v>20740</v>
      </c>
    </row>
    <row r="11354" spans="6:8">
      <c r="H11354" t="s">
        <v>18829</v>
      </c>
    </row>
    <row r="11355" spans="6:8">
      <c r="H11355" t="s">
        <v>18863</v>
      </c>
    </row>
    <row r="11356" spans="6:8">
      <c r="H11356" t="s">
        <v>20454</v>
      </c>
    </row>
    <row r="11357" spans="6:8">
      <c r="H11357" t="s">
        <v>19349</v>
      </c>
    </row>
    <row r="11358" spans="6:8">
      <c r="H11358" t="s">
        <v>20209</v>
      </c>
    </row>
    <row r="11359" spans="6:8">
      <c r="F11359" t="s">
        <v>11770</v>
      </c>
      <c r="G11359" t="s">
        <v>16011</v>
      </c>
      <c r="H11359" t="s">
        <v>20741</v>
      </c>
    </row>
    <row r="11360" spans="6:8">
      <c r="H11360" t="s">
        <v>18829</v>
      </c>
    </row>
    <row r="11361" spans="6:8">
      <c r="H11361" t="s">
        <v>18863</v>
      </c>
    </row>
    <row r="11362" spans="6:8">
      <c r="H11362" t="s">
        <v>20454</v>
      </c>
    </row>
    <row r="11363" spans="6:8">
      <c r="H11363" t="s">
        <v>19349</v>
      </c>
    </row>
    <row r="11364" spans="6:8">
      <c r="H11364" t="s">
        <v>20209</v>
      </c>
    </row>
    <row r="11365" spans="6:8">
      <c r="F11365" t="s">
        <v>11771</v>
      </c>
      <c r="G11365" t="s">
        <v>16012</v>
      </c>
      <c r="H11365" t="s">
        <v>20742</v>
      </c>
    </row>
    <row r="11366" spans="6:8">
      <c r="H11366" t="s">
        <v>18829</v>
      </c>
    </row>
    <row r="11367" spans="6:8">
      <c r="H11367" t="s">
        <v>18863</v>
      </c>
    </row>
    <row r="11368" spans="6:8">
      <c r="H11368" t="s">
        <v>20454</v>
      </c>
    </row>
    <row r="11369" spans="6:8">
      <c r="H11369" t="s">
        <v>19349</v>
      </c>
    </row>
    <row r="11370" spans="6:8">
      <c r="H11370" t="s">
        <v>20209</v>
      </c>
    </row>
    <row r="11371" spans="6:8">
      <c r="F11371" t="s">
        <v>11772</v>
      </c>
      <c r="G11371" t="s">
        <v>16013</v>
      </c>
      <c r="H11371" t="s">
        <v>20743</v>
      </c>
    </row>
    <row r="11372" spans="6:8">
      <c r="H11372" t="s">
        <v>18829</v>
      </c>
    </row>
    <row r="11373" spans="6:8">
      <c r="H11373" t="s">
        <v>18863</v>
      </c>
    </row>
    <row r="11374" spans="6:8">
      <c r="H11374" t="s">
        <v>20454</v>
      </c>
    </row>
    <row r="11375" spans="6:8">
      <c r="H11375" t="s">
        <v>19349</v>
      </c>
    </row>
    <row r="11376" spans="6:8">
      <c r="H11376" t="s">
        <v>20209</v>
      </c>
    </row>
    <row r="11377" spans="6:8">
      <c r="F11377" t="s">
        <v>11773</v>
      </c>
      <c r="G11377" t="s">
        <v>16014</v>
      </c>
      <c r="H11377" t="s">
        <v>20744</v>
      </c>
    </row>
    <row r="11378" spans="6:8">
      <c r="H11378" t="s">
        <v>18829</v>
      </c>
    </row>
    <row r="11379" spans="6:8">
      <c r="H11379" t="s">
        <v>18863</v>
      </c>
    </row>
    <row r="11380" spans="6:8">
      <c r="H11380" t="s">
        <v>20454</v>
      </c>
    </row>
    <row r="11381" spans="6:8">
      <c r="H11381" t="s">
        <v>19349</v>
      </c>
    </row>
    <row r="11382" spans="6:8">
      <c r="H11382" t="s">
        <v>20209</v>
      </c>
    </row>
    <row r="11383" spans="6:8">
      <c r="F11383" t="s">
        <v>11774</v>
      </c>
      <c r="G11383" t="s">
        <v>16015</v>
      </c>
      <c r="H11383" t="s">
        <v>20745</v>
      </c>
    </row>
    <row r="11384" spans="6:8">
      <c r="H11384" t="s">
        <v>18829</v>
      </c>
    </row>
    <row r="11385" spans="6:8">
      <c r="H11385" t="s">
        <v>18863</v>
      </c>
    </row>
    <row r="11386" spans="6:8">
      <c r="H11386" t="s">
        <v>20454</v>
      </c>
    </row>
    <row r="11387" spans="6:8">
      <c r="H11387" t="s">
        <v>19349</v>
      </c>
    </row>
    <row r="11388" spans="6:8">
      <c r="H11388" t="s">
        <v>20209</v>
      </c>
    </row>
    <row r="11389" spans="6:8">
      <c r="F11389" t="s">
        <v>11775</v>
      </c>
      <c r="G11389" t="s">
        <v>16016</v>
      </c>
      <c r="H11389" t="s">
        <v>20746</v>
      </c>
    </row>
    <row r="11390" spans="6:8">
      <c r="H11390" t="s">
        <v>18829</v>
      </c>
    </row>
    <row r="11391" spans="6:8">
      <c r="H11391" t="s">
        <v>18863</v>
      </c>
    </row>
    <row r="11392" spans="6:8">
      <c r="H11392" t="s">
        <v>20454</v>
      </c>
    </row>
    <row r="11393" spans="6:8">
      <c r="H11393" t="s">
        <v>19349</v>
      </c>
    </row>
    <row r="11394" spans="6:8">
      <c r="H11394" t="s">
        <v>20209</v>
      </c>
    </row>
    <row r="11395" spans="6:8">
      <c r="F11395" t="s">
        <v>11776</v>
      </c>
      <c r="G11395" t="s">
        <v>16017</v>
      </c>
      <c r="H11395" t="s">
        <v>20747</v>
      </c>
    </row>
    <row r="11396" spans="6:8">
      <c r="H11396" t="s">
        <v>18829</v>
      </c>
    </row>
    <row r="11397" spans="6:8">
      <c r="H11397" t="s">
        <v>18863</v>
      </c>
    </row>
    <row r="11398" spans="6:8">
      <c r="H11398" t="s">
        <v>20454</v>
      </c>
    </row>
    <row r="11399" spans="6:8">
      <c r="H11399" t="s">
        <v>19349</v>
      </c>
    </row>
    <row r="11400" spans="6:8">
      <c r="H11400" t="s">
        <v>20209</v>
      </c>
    </row>
    <row r="11401" spans="6:8">
      <c r="F11401" t="s">
        <v>11777</v>
      </c>
      <c r="G11401" t="s">
        <v>16018</v>
      </c>
      <c r="H11401" t="s">
        <v>20748</v>
      </c>
    </row>
    <row r="11402" spans="6:8">
      <c r="H11402" t="s">
        <v>18829</v>
      </c>
    </row>
    <row r="11403" spans="6:8">
      <c r="H11403" t="s">
        <v>18863</v>
      </c>
    </row>
    <row r="11404" spans="6:8">
      <c r="H11404" t="s">
        <v>20454</v>
      </c>
    </row>
    <row r="11405" spans="6:8">
      <c r="H11405" t="s">
        <v>19349</v>
      </c>
    </row>
    <row r="11406" spans="6:8">
      <c r="H11406" t="s">
        <v>20209</v>
      </c>
    </row>
    <row r="11407" spans="6:8">
      <c r="F11407" t="s">
        <v>11778</v>
      </c>
      <c r="G11407" t="s">
        <v>16019</v>
      </c>
      <c r="H11407" t="s">
        <v>20749</v>
      </c>
    </row>
    <row r="11408" spans="6:8">
      <c r="H11408" t="s">
        <v>18829</v>
      </c>
    </row>
    <row r="11409" spans="6:8">
      <c r="H11409" t="s">
        <v>18863</v>
      </c>
    </row>
    <row r="11410" spans="6:8">
      <c r="H11410" t="s">
        <v>20454</v>
      </c>
    </row>
    <row r="11411" spans="6:8">
      <c r="H11411" t="s">
        <v>19349</v>
      </c>
    </row>
    <row r="11412" spans="6:8">
      <c r="H11412" t="s">
        <v>20209</v>
      </c>
    </row>
    <row r="11413" spans="6:8">
      <c r="F11413" t="s">
        <v>11779</v>
      </c>
      <c r="G11413" t="s">
        <v>16020</v>
      </c>
      <c r="H11413" t="s">
        <v>20750</v>
      </c>
    </row>
    <row r="11414" spans="6:8">
      <c r="H11414" t="s">
        <v>18829</v>
      </c>
    </row>
    <row r="11415" spans="6:8">
      <c r="H11415" t="s">
        <v>18863</v>
      </c>
    </row>
    <row r="11416" spans="6:8">
      <c r="H11416" t="s">
        <v>20454</v>
      </c>
    </row>
    <row r="11417" spans="6:8">
      <c r="H11417" t="s">
        <v>19349</v>
      </c>
    </row>
    <row r="11418" spans="6:8">
      <c r="H11418" t="s">
        <v>20209</v>
      </c>
    </row>
    <row r="11419" spans="6:8">
      <c r="F11419" t="s">
        <v>11780</v>
      </c>
      <c r="G11419" t="s">
        <v>16021</v>
      </c>
      <c r="H11419" t="s">
        <v>20751</v>
      </c>
    </row>
    <row r="11420" spans="6:8">
      <c r="H11420" t="s">
        <v>18829</v>
      </c>
    </row>
    <row r="11421" spans="6:8">
      <c r="H11421" t="s">
        <v>18863</v>
      </c>
    </row>
    <row r="11422" spans="6:8">
      <c r="H11422" t="s">
        <v>20454</v>
      </c>
    </row>
    <row r="11423" spans="6:8">
      <c r="H11423" t="s">
        <v>19349</v>
      </c>
    </row>
    <row r="11424" spans="6:8">
      <c r="H11424" t="s">
        <v>20209</v>
      </c>
    </row>
    <row r="11425" spans="6:8">
      <c r="F11425" t="s">
        <v>11781</v>
      </c>
      <c r="G11425" t="s">
        <v>16022</v>
      </c>
      <c r="H11425" t="s">
        <v>20752</v>
      </c>
    </row>
    <row r="11426" spans="6:8">
      <c r="H11426" t="s">
        <v>18829</v>
      </c>
    </row>
    <row r="11427" spans="6:8">
      <c r="H11427" t="s">
        <v>18863</v>
      </c>
    </row>
    <row r="11428" spans="6:8">
      <c r="H11428" t="s">
        <v>20454</v>
      </c>
    </row>
    <row r="11429" spans="6:8">
      <c r="H11429" t="s">
        <v>19349</v>
      </c>
    </row>
    <row r="11430" spans="6:8">
      <c r="H11430" t="s">
        <v>20209</v>
      </c>
    </row>
    <row r="11431" spans="6:8">
      <c r="F11431" t="s">
        <v>11782</v>
      </c>
      <c r="G11431" t="s">
        <v>16023</v>
      </c>
      <c r="H11431" t="s">
        <v>20753</v>
      </c>
    </row>
    <row r="11432" spans="6:8">
      <c r="H11432" t="s">
        <v>18829</v>
      </c>
    </row>
    <row r="11433" spans="6:8">
      <c r="H11433" t="s">
        <v>18863</v>
      </c>
    </row>
    <row r="11434" spans="6:8">
      <c r="H11434" t="s">
        <v>20454</v>
      </c>
    </row>
    <row r="11435" spans="6:8">
      <c r="H11435" t="s">
        <v>19349</v>
      </c>
    </row>
    <row r="11436" spans="6:8">
      <c r="H11436" t="s">
        <v>20209</v>
      </c>
    </row>
    <row r="11437" spans="6:8">
      <c r="F11437" t="s">
        <v>11783</v>
      </c>
      <c r="G11437" t="s">
        <v>16024</v>
      </c>
      <c r="H11437" t="s">
        <v>20754</v>
      </c>
    </row>
    <row r="11438" spans="6:8">
      <c r="H11438" t="s">
        <v>18829</v>
      </c>
    </row>
    <row r="11439" spans="6:8">
      <c r="H11439" t="s">
        <v>18863</v>
      </c>
    </row>
    <row r="11440" spans="6:8">
      <c r="H11440" t="s">
        <v>20454</v>
      </c>
    </row>
    <row r="11441" spans="6:8">
      <c r="H11441" t="s">
        <v>19349</v>
      </c>
    </row>
    <row r="11442" spans="6:8">
      <c r="H11442" t="s">
        <v>20209</v>
      </c>
    </row>
    <row r="11443" spans="6:8">
      <c r="F11443" t="s">
        <v>11784</v>
      </c>
      <c r="G11443" t="s">
        <v>16025</v>
      </c>
      <c r="H11443" t="s">
        <v>20755</v>
      </c>
    </row>
    <row r="11444" spans="6:8">
      <c r="H11444" t="s">
        <v>18829</v>
      </c>
    </row>
    <row r="11445" spans="6:8">
      <c r="H11445" t="s">
        <v>18863</v>
      </c>
    </row>
    <row r="11446" spans="6:8">
      <c r="H11446" t="s">
        <v>20454</v>
      </c>
    </row>
    <row r="11447" spans="6:8">
      <c r="H11447" t="s">
        <v>19349</v>
      </c>
    </row>
    <row r="11448" spans="6:8">
      <c r="H11448" t="s">
        <v>20209</v>
      </c>
    </row>
    <row r="11449" spans="6:8">
      <c r="F11449" t="s">
        <v>11785</v>
      </c>
      <c r="G11449" t="s">
        <v>16026</v>
      </c>
      <c r="H11449" t="s">
        <v>20756</v>
      </c>
    </row>
    <row r="11450" spans="6:8">
      <c r="H11450" t="s">
        <v>18829</v>
      </c>
    </row>
    <row r="11451" spans="6:8">
      <c r="H11451" t="s">
        <v>18863</v>
      </c>
    </row>
    <row r="11452" spans="6:8">
      <c r="H11452" t="s">
        <v>20454</v>
      </c>
    </row>
    <row r="11453" spans="6:8">
      <c r="H11453" t="s">
        <v>19349</v>
      </c>
    </row>
    <row r="11454" spans="6:8">
      <c r="H11454" t="s">
        <v>20209</v>
      </c>
    </row>
    <row r="11455" spans="6:8">
      <c r="F11455" t="s">
        <v>11786</v>
      </c>
      <c r="G11455" t="s">
        <v>16027</v>
      </c>
      <c r="H11455" t="s">
        <v>20757</v>
      </c>
    </row>
    <row r="11456" spans="6:8">
      <c r="H11456" t="s">
        <v>18829</v>
      </c>
    </row>
    <row r="11457" spans="6:8">
      <c r="H11457" t="s">
        <v>18863</v>
      </c>
    </row>
    <row r="11458" spans="6:8">
      <c r="H11458" t="s">
        <v>20454</v>
      </c>
    </row>
    <row r="11459" spans="6:8">
      <c r="H11459" t="s">
        <v>19349</v>
      </c>
    </row>
    <row r="11460" spans="6:8">
      <c r="H11460" t="s">
        <v>20209</v>
      </c>
    </row>
    <row r="11461" spans="6:8">
      <c r="F11461" t="s">
        <v>11787</v>
      </c>
      <c r="G11461" t="s">
        <v>16028</v>
      </c>
      <c r="H11461" t="s">
        <v>20758</v>
      </c>
    </row>
    <row r="11462" spans="6:8">
      <c r="H11462" t="s">
        <v>18829</v>
      </c>
    </row>
    <row r="11463" spans="6:8">
      <c r="H11463" t="s">
        <v>18863</v>
      </c>
    </row>
    <row r="11464" spans="6:8">
      <c r="H11464" t="s">
        <v>20454</v>
      </c>
    </row>
    <row r="11465" spans="6:8">
      <c r="H11465" t="s">
        <v>19349</v>
      </c>
    </row>
    <row r="11466" spans="6:8">
      <c r="H11466" t="s">
        <v>20209</v>
      </c>
    </row>
    <row r="11467" spans="6:8">
      <c r="F11467" t="s">
        <v>11788</v>
      </c>
      <c r="G11467" t="s">
        <v>16029</v>
      </c>
      <c r="H11467" t="s">
        <v>20759</v>
      </c>
    </row>
    <row r="11468" spans="6:8">
      <c r="H11468" t="s">
        <v>18829</v>
      </c>
    </row>
    <row r="11469" spans="6:8">
      <c r="H11469" t="s">
        <v>18863</v>
      </c>
    </row>
    <row r="11470" spans="6:8">
      <c r="H11470" t="s">
        <v>20454</v>
      </c>
    </row>
    <row r="11471" spans="6:8">
      <c r="H11471" t="s">
        <v>19349</v>
      </c>
    </row>
    <row r="11472" spans="6:8">
      <c r="H11472" t="s">
        <v>20209</v>
      </c>
    </row>
    <row r="11473" spans="6:8">
      <c r="F11473" t="s">
        <v>11789</v>
      </c>
      <c r="G11473" t="s">
        <v>16030</v>
      </c>
      <c r="H11473" t="s">
        <v>20760</v>
      </c>
    </row>
    <row r="11474" spans="6:8">
      <c r="H11474" t="s">
        <v>18829</v>
      </c>
    </row>
    <row r="11475" spans="6:8">
      <c r="H11475" t="s">
        <v>18863</v>
      </c>
    </row>
    <row r="11476" spans="6:8">
      <c r="H11476" t="s">
        <v>20454</v>
      </c>
    </row>
    <row r="11477" spans="6:8">
      <c r="H11477" t="s">
        <v>19349</v>
      </c>
    </row>
    <row r="11478" spans="6:8">
      <c r="H11478" t="s">
        <v>20209</v>
      </c>
    </row>
    <row r="11479" spans="6:8">
      <c r="F11479" t="s">
        <v>11790</v>
      </c>
      <c r="G11479" t="s">
        <v>16031</v>
      </c>
      <c r="H11479" t="s">
        <v>20761</v>
      </c>
    </row>
    <row r="11480" spans="6:8">
      <c r="H11480" t="s">
        <v>18829</v>
      </c>
    </row>
    <row r="11481" spans="6:8">
      <c r="H11481" t="s">
        <v>18863</v>
      </c>
    </row>
    <row r="11482" spans="6:8">
      <c r="H11482" t="s">
        <v>20454</v>
      </c>
    </row>
    <row r="11483" spans="6:8">
      <c r="H11483" t="s">
        <v>19349</v>
      </c>
    </row>
    <row r="11484" spans="6:8">
      <c r="H11484" t="s">
        <v>20209</v>
      </c>
    </row>
    <row r="11485" spans="6:8">
      <c r="F11485" t="s">
        <v>11791</v>
      </c>
      <c r="G11485" t="s">
        <v>16032</v>
      </c>
      <c r="H11485" t="s">
        <v>20762</v>
      </c>
    </row>
    <row r="11486" spans="6:8">
      <c r="H11486" t="s">
        <v>18829</v>
      </c>
    </row>
    <row r="11487" spans="6:8">
      <c r="H11487" t="s">
        <v>18863</v>
      </c>
    </row>
    <row r="11488" spans="6:8">
      <c r="H11488" t="s">
        <v>20454</v>
      </c>
    </row>
    <row r="11489" spans="6:8">
      <c r="H11489" t="s">
        <v>19349</v>
      </c>
    </row>
    <row r="11490" spans="6:8">
      <c r="H11490" t="s">
        <v>20209</v>
      </c>
    </row>
    <row r="11491" spans="6:8">
      <c r="F11491" t="s">
        <v>11792</v>
      </c>
      <c r="G11491" t="s">
        <v>16033</v>
      </c>
      <c r="H11491" t="s">
        <v>20763</v>
      </c>
    </row>
    <row r="11492" spans="6:8">
      <c r="H11492" t="s">
        <v>18829</v>
      </c>
    </row>
    <row r="11493" spans="6:8">
      <c r="H11493" t="s">
        <v>18863</v>
      </c>
    </row>
    <row r="11494" spans="6:8">
      <c r="H11494" t="s">
        <v>20454</v>
      </c>
    </row>
    <row r="11495" spans="6:8">
      <c r="H11495" t="s">
        <v>19349</v>
      </c>
    </row>
    <row r="11496" spans="6:8">
      <c r="H11496" t="s">
        <v>20209</v>
      </c>
    </row>
    <row r="11497" spans="6:8">
      <c r="F11497" t="s">
        <v>11793</v>
      </c>
      <c r="G11497" t="s">
        <v>16034</v>
      </c>
      <c r="H11497" t="s">
        <v>20764</v>
      </c>
    </row>
    <row r="11498" spans="6:8">
      <c r="H11498" t="s">
        <v>18829</v>
      </c>
    </row>
    <row r="11499" spans="6:8">
      <c r="H11499" t="s">
        <v>18863</v>
      </c>
    </row>
    <row r="11500" spans="6:8">
      <c r="H11500" t="s">
        <v>20454</v>
      </c>
    </row>
    <row r="11501" spans="6:8">
      <c r="H11501" t="s">
        <v>19349</v>
      </c>
    </row>
    <row r="11502" spans="6:8">
      <c r="H11502" t="s">
        <v>20209</v>
      </c>
    </row>
    <row r="11503" spans="6:8">
      <c r="F11503" t="s">
        <v>11794</v>
      </c>
      <c r="G11503" t="s">
        <v>16035</v>
      </c>
      <c r="H11503" t="s">
        <v>20765</v>
      </c>
    </row>
    <row r="11504" spans="6:8">
      <c r="H11504" t="s">
        <v>18829</v>
      </c>
    </row>
    <row r="11505" spans="6:8">
      <c r="H11505" t="s">
        <v>18863</v>
      </c>
    </row>
    <row r="11506" spans="6:8">
      <c r="H11506" t="s">
        <v>20454</v>
      </c>
    </row>
    <row r="11507" spans="6:8">
      <c r="H11507" t="s">
        <v>19349</v>
      </c>
    </row>
    <row r="11508" spans="6:8">
      <c r="H11508" t="s">
        <v>20209</v>
      </c>
    </row>
    <row r="11509" spans="6:8">
      <c r="F11509" t="s">
        <v>11795</v>
      </c>
      <c r="G11509" t="s">
        <v>16036</v>
      </c>
      <c r="H11509" t="s">
        <v>20766</v>
      </c>
    </row>
    <row r="11510" spans="6:8">
      <c r="H11510" t="s">
        <v>18829</v>
      </c>
    </row>
    <row r="11511" spans="6:8">
      <c r="H11511" t="s">
        <v>18863</v>
      </c>
    </row>
    <row r="11512" spans="6:8">
      <c r="H11512" t="s">
        <v>20454</v>
      </c>
    </row>
    <row r="11513" spans="6:8">
      <c r="H11513" t="s">
        <v>19349</v>
      </c>
    </row>
    <row r="11514" spans="6:8">
      <c r="H11514" t="s">
        <v>20209</v>
      </c>
    </row>
    <row r="11515" spans="6:8">
      <c r="F11515" t="s">
        <v>11796</v>
      </c>
      <c r="G11515" t="s">
        <v>16037</v>
      </c>
      <c r="H11515" t="s">
        <v>20767</v>
      </c>
    </row>
    <row r="11516" spans="6:8">
      <c r="H11516" t="s">
        <v>18829</v>
      </c>
    </row>
    <row r="11517" spans="6:8">
      <c r="H11517" t="s">
        <v>18863</v>
      </c>
    </row>
    <row r="11518" spans="6:8">
      <c r="H11518" t="s">
        <v>20454</v>
      </c>
    </row>
    <row r="11519" spans="6:8">
      <c r="H11519" t="s">
        <v>19349</v>
      </c>
    </row>
    <row r="11520" spans="6:8">
      <c r="H11520" t="s">
        <v>20209</v>
      </c>
    </row>
    <row r="11521" spans="6:8">
      <c r="F11521" t="s">
        <v>11797</v>
      </c>
      <c r="G11521" t="s">
        <v>16038</v>
      </c>
      <c r="H11521" t="s">
        <v>20768</v>
      </c>
    </row>
    <row r="11522" spans="6:8">
      <c r="H11522" t="s">
        <v>18829</v>
      </c>
    </row>
    <row r="11523" spans="6:8">
      <c r="H11523" t="s">
        <v>18863</v>
      </c>
    </row>
    <row r="11524" spans="6:8">
      <c r="H11524" t="s">
        <v>20454</v>
      </c>
    </row>
    <row r="11525" spans="6:8">
      <c r="H11525" t="s">
        <v>19349</v>
      </c>
    </row>
    <row r="11526" spans="6:8">
      <c r="H11526" t="s">
        <v>20209</v>
      </c>
    </row>
    <row r="11527" spans="6:8">
      <c r="F11527" t="s">
        <v>11798</v>
      </c>
      <c r="G11527" t="s">
        <v>16039</v>
      </c>
      <c r="H11527" t="s">
        <v>20769</v>
      </c>
    </row>
    <row r="11528" spans="6:8">
      <c r="H11528" t="s">
        <v>18829</v>
      </c>
    </row>
    <row r="11529" spans="6:8">
      <c r="H11529" t="s">
        <v>18863</v>
      </c>
    </row>
    <row r="11530" spans="6:8">
      <c r="H11530" t="s">
        <v>20454</v>
      </c>
    </row>
    <row r="11531" spans="6:8">
      <c r="H11531" t="s">
        <v>19349</v>
      </c>
    </row>
    <row r="11532" spans="6:8">
      <c r="H11532" t="s">
        <v>20209</v>
      </c>
    </row>
    <row r="11533" spans="6:8">
      <c r="F11533" t="s">
        <v>11799</v>
      </c>
      <c r="G11533" t="s">
        <v>16040</v>
      </c>
      <c r="H11533" t="s">
        <v>20770</v>
      </c>
    </row>
    <row r="11534" spans="6:8">
      <c r="H11534" t="s">
        <v>18829</v>
      </c>
    </row>
    <row r="11535" spans="6:8">
      <c r="H11535" t="s">
        <v>18863</v>
      </c>
    </row>
    <row r="11536" spans="6:8">
      <c r="H11536" t="s">
        <v>20454</v>
      </c>
    </row>
    <row r="11537" spans="6:8">
      <c r="H11537" t="s">
        <v>19349</v>
      </c>
    </row>
    <row r="11538" spans="6:8">
      <c r="H11538" t="s">
        <v>20209</v>
      </c>
    </row>
    <row r="11539" spans="6:8">
      <c r="F11539" t="s">
        <v>11800</v>
      </c>
      <c r="G11539" t="s">
        <v>16041</v>
      </c>
      <c r="H11539" t="s">
        <v>20771</v>
      </c>
    </row>
    <row r="11540" spans="6:8">
      <c r="H11540" t="s">
        <v>18829</v>
      </c>
    </row>
    <row r="11541" spans="6:8">
      <c r="H11541" t="s">
        <v>18863</v>
      </c>
    </row>
    <row r="11542" spans="6:8">
      <c r="H11542" t="s">
        <v>20454</v>
      </c>
    </row>
    <row r="11543" spans="6:8">
      <c r="H11543" t="s">
        <v>19349</v>
      </c>
    </row>
    <row r="11544" spans="6:8">
      <c r="H11544" t="s">
        <v>20209</v>
      </c>
    </row>
    <row r="11545" spans="6:8">
      <c r="F11545" t="s">
        <v>11801</v>
      </c>
      <c r="G11545" t="s">
        <v>16042</v>
      </c>
      <c r="H11545" t="s">
        <v>20772</v>
      </c>
    </row>
    <row r="11546" spans="6:8">
      <c r="H11546" t="s">
        <v>18829</v>
      </c>
    </row>
    <row r="11547" spans="6:8">
      <c r="H11547" t="s">
        <v>18863</v>
      </c>
    </row>
    <row r="11548" spans="6:8">
      <c r="H11548" t="s">
        <v>20454</v>
      </c>
    </row>
    <row r="11549" spans="6:8">
      <c r="H11549" t="s">
        <v>19349</v>
      </c>
    </row>
    <row r="11550" spans="6:8">
      <c r="H11550" t="s">
        <v>20209</v>
      </c>
    </row>
    <row r="11551" spans="6:8">
      <c r="F11551" t="s">
        <v>11802</v>
      </c>
      <c r="G11551" t="s">
        <v>16043</v>
      </c>
      <c r="H11551" t="s">
        <v>20773</v>
      </c>
    </row>
    <row r="11552" spans="6:8">
      <c r="H11552" t="s">
        <v>18829</v>
      </c>
    </row>
    <row r="11553" spans="6:8">
      <c r="H11553" t="s">
        <v>18863</v>
      </c>
    </row>
    <row r="11554" spans="6:8">
      <c r="H11554" t="s">
        <v>20454</v>
      </c>
    </row>
    <row r="11555" spans="6:8">
      <c r="H11555" t="s">
        <v>19349</v>
      </c>
    </row>
    <row r="11556" spans="6:8">
      <c r="H11556" t="s">
        <v>20209</v>
      </c>
    </row>
    <row r="11557" spans="6:8">
      <c r="F11557" t="s">
        <v>11803</v>
      </c>
      <c r="G11557" t="s">
        <v>16044</v>
      </c>
      <c r="H11557" t="s">
        <v>20774</v>
      </c>
    </row>
    <row r="11558" spans="6:8">
      <c r="H11558" t="s">
        <v>18829</v>
      </c>
    </row>
    <row r="11559" spans="6:8">
      <c r="H11559" t="s">
        <v>18863</v>
      </c>
    </row>
    <row r="11560" spans="6:8">
      <c r="H11560" t="s">
        <v>20454</v>
      </c>
    </row>
    <row r="11561" spans="6:8">
      <c r="H11561" t="s">
        <v>19349</v>
      </c>
    </row>
    <row r="11562" spans="6:8">
      <c r="H11562" t="s">
        <v>20209</v>
      </c>
    </row>
    <row r="11563" spans="6:8">
      <c r="F11563" t="s">
        <v>11804</v>
      </c>
      <c r="G11563" t="s">
        <v>16045</v>
      </c>
      <c r="H11563" t="s">
        <v>20775</v>
      </c>
    </row>
    <row r="11564" spans="6:8">
      <c r="H11564" t="s">
        <v>18829</v>
      </c>
    </row>
    <row r="11565" spans="6:8">
      <c r="H11565" t="s">
        <v>18863</v>
      </c>
    </row>
    <row r="11566" spans="6:8">
      <c r="H11566" t="s">
        <v>20454</v>
      </c>
    </row>
    <row r="11567" spans="6:8">
      <c r="H11567" t="s">
        <v>19349</v>
      </c>
    </row>
    <row r="11568" spans="6:8">
      <c r="H11568" t="s">
        <v>20209</v>
      </c>
    </row>
    <row r="11569" spans="6:8">
      <c r="F11569" t="s">
        <v>11805</v>
      </c>
      <c r="G11569" t="s">
        <v>16046</v>
      </c>
      <c r="H11569" t="s">
        <v>20776</v>
      </c>
    </row>
    <row r="11570" spans="6:8">
      <c r="H11570" t="s">
        <v>18829</v>
      </c>
    </row>
    <row r="11571" spans="6:8">
      <c r="H11571" t="s">
        <v>18863</v>
      </c>
    </row>
    <row r="11572" spans="6:8">
      <c r="H11572" t="s">
        <v>20454</v>
      </c>
    </row>
    <row r="11573" spans="6:8">
      <c r="H11573" t="s">
        <v>19349</v>
      </c>
    </row>
    <row r="11574" spans="6:8">
      <c r="H11574" t="s">
        <v>20209</v>
      </c>
    </row>
    <row r="11575" spans="6:8">
      <c r="F11575" t="s">
        <v>11806</v>
      </c>
      <c r="G11575" t="s">
        <v>16047</v>
      </c>
      <c r="H11575" t="s">
        <v>20777</v>
      </c>
    </row>
    <row r="11576" spans="6:8">
      <c r="H11576" t="s">
        <v>18829</v>
      </c>
    </row>
    <row r="11577" spans="6:8">
      <c r="H11577" t="s">
        <v>18863</v>
      </c>
    </row>
    <row r="11578" spans="6:8">
      <c r="H11578" t="s">
        <v>20454</v>
      </c>
    </row>
    <row r="11579" spans="6:8">
      <c r="H11579" t="s">
        <v>19349</v>
      </c>
    </row>
    <row r="11580" spans="6:8">
      <c r="H11580" t="s">
        <v>20209</v>
      </c>
    </row>
    <row r="11581" spans="6:8">
      <c r="F11581" t="s">
        <v>11807</v>
      </c>
      <c r="G11581" t="s">
        <v>16048</v>
      </c>
      <c r="H11581" t="s">
        <v>20778</v>
      </c>
    </row>
    <row r="11582" spans="6:8">
      <c r="H11582" t="s">
        <v>18829</v>
      </c>
    </row>
    <row r="11583" spans="6:8">
      <c r="H11583" t="s">
        <v>18863</v>
      </c>
    </row>
    <row r="11584" spans="6:8">
      <c r="H11584" t="s">
        <v>20454</v>
      </c>
    </row>
    <row r="11585" spans="6:8">
      <c r="H11585" t="s">
        <v>19349</v>
      </c>
    </row>
    <row r="11586" spans="6:8">
      <c r="H11586" t="s">
        <v>20209</v>
      </c>
    </row>
    <row r="11587" spans="6:8">
      <c r="F11587" t="s">
        <v>11808</v>
      </c>
      <c r="G11587" t="s">
        <v>16049</v>
      </c>
      <c r="H11587" t="s">
        <v>20779</v>
      </c>
    </row>
    <row r="11588" spans="6:8">
      <c r="H11588" t="s">
        <v>18829</v>
      </c>
    </row>
    <row r="11589" spans="6:8">
      <c r="H11589" t="s">
        <v>18863</v>
      </c>
    </row>
    <row r="11590" spans="6:8">
      <c r="H11590" t="s">
        <v>20454</v>
      </c>
    </row>
    <row r="11591" spans="6:8">
      <c r="H11591" t="s">
        <v>19349</v>
      </c>
    </row>
    <row r="11592" spans="6:8">
      <c r="H11592" t="s">
        <v>20209</v>
      </c>
    </row>
    <row r="11593" spans="6:8">
      <c r="F11593" t="s">
        <v>11809</v>
      </c>
      <c r="G11593" t="s">
        <v>16050</v>
      </c>
      <c r="H11593" t="s">
        <v>20780</v>
      </c>
    </row>
    <row r="11594" spans="6:8">
      <c r="H11594" t="s">
        <v>18829</v>
      </c>
    </row>
    <row r="11595" spans="6:8">
      <c r="H11595" t="s">
        <v>18863</v>
      </c>
    </row>
    <row r="11596" spans="6:8">
      <c r="H11596" t="s">
        <v>20454</v>
      </c>
    </row>
    <row r="11597" spans="6:8">
      <c r="H11597" t="s">
        <v>19349</v>
      </c>
    </row>
    <row r="11598" spans="6:8">
      <c r="H11598" t="s">
        <v>20209</v>
      </c>
    </row>
    <row r="11599" spans="6:8">
      <c r="F11599" t="s">
        <v>11810</v>
      </c>
      <c r="G11599" t="s">
        <v>16051</v>
      </c>
      <c r="H11599" t="s">
        <v>20781</v>
      </c>
    </row>
    <row r="11600" spans="6:8">
      <c r="H11600" t="s">
        <v>18829</v>
      </c>
    </row>
    <row r="11601" spans="6:8">
      <c r="H11601" t="s">
        <v>18863</v>
      </c>
    </row>
    <row r="11602" spans="6:8">
      <c r="H11602" t="s">
        <v>20454</v>
      </c>
    </row>
    <row r="11603" spans="6:8">
      <c r="H11603" t="s">
        <v>19349</v>
      </c>
    </row>
    <row r="11604" spans="6:8">
      <c r="H11604" t="s">
        <v>20209</v>
      </c>
    </row>
    <row r="11605" spans="6:8">
      <c r="F11605" t="s">
        <v>11811</v>
      </c>
      <c r="G11605" t="s">
        <v>16052</v>
      </c>
      <c r="H11605" t="s">
        <v>20782</v>
      </c>
    </row>
    <row r="11606" spans="6:8">
      <c r="H11606" t="s">
        <v>18829</v>
      </c>
    </row>
    <row r="11607" spans="6:8">
      <c r="H11607" t="s">
        <v>18863</v>
      </c>
    </row>
    <row r="11608" spans="6:8">
      <c r="H11608" t="s">
        <v>20454</v>
      </c>
    </row>
    <row r="11609" spans="6:8">
      <c r="H11609" t="s">
        <v>19349</v>
      </c>
    </row>
    <row r="11610" spans="6:8">
      <c r="H11610" t="s">
        <v>20209</v>
      </c>
    </row>
    <row r="11611" spans="6:8">
      <c r="F11611" t="s">
        <v>11812</v>
      </c>
      <c r="G11611" t="s">
        <v>16053</v>
      </c>
      <c r="H11611" t="s">
        <v>20783</v>
      </c>
    </row>
    <row r="11612" spans="6:8">
      <c r="H11612" t="s">
        <v>18829</v>
      </c>
    </row>
    <row r="11613" spans="6:8">
      <c r="H11613" t="s">
        <v>18863</v>
      </c>
    </row>
    <row r="11614" spans="6:8">
      <c r="H11614" t="s">
        <v>20454</v>
      </c>
    </row>
    <row r="11615" spans="6:8">
      <c r="H11615" t="s">
        <v>19349</v>
      </c>
    </row>
    <row r="11616" spans="6:8">
      <c r="H11616" t="s">
        <v>20209</v>
      </c>
    </row>
    <row r="11617" spans="6:8">
      <c r="F11617" t="s">
        <v>11813</v>
      </c>
      <c r="G11617" t="s">
        <v>16054</v>
      </c>
      <c r="H11617" t="s">
        <v>20784</v>
      </c>
    </row>
    <row r="11618" spans="6:8">
      <c r="H11618" t="s">
        <v>18829</v>
      </c>
    </row>
    <row r="11619" spans="6:8">
      <c r="H11619" t="s">
        <v>18863</v>
      </c>
    </row>
    <row r="11620" spans="6:8">
      <c r="H11620" t="s">
        <v>20454</v>
      </c>
    </row>
    <row r="11621" spans="6:8">
      <c r="H11621" t="s">
        <v>19349</v>
      </c>
    </row>
    <row r="11622" spans="6:8">
      <c r="H11622" t="s">
        <v>20209</v>
      </c>
    </row>
    <row r="11623" spans="6:8">
      <c r="F11623" t="s">
        <v>11814</v>
      </c>
      <c r="G11623" t="s">
        <v>16055</v>
      </c>
      <c r="H11623" t="s">
        <v>20785</v>
      </c>
    </row>
    <row r="11624" spans="6:8">
      <c r="H11624" t="s">
        <v>18829</v>
      </c>
    </row>
    <row r="11625" spans="6:8">
      <c r="H11625" t="s">
        <v>18863</v>
      </c>
    </row>
    <row r="11626" spans="6:8">
      <c r="H11626" t="s">
        <v>20454</v>
      </c>
    </row>
    <row r="11627" spans="6:8">
      <c r="H11627" t="s">
        <v>19349</v>
      </c>
    </row>
    <row r="11628" spans="6:8">
      <c r="H11628" t="s">
        <v>20209</v>
      </c>
    </row>
    <row r="11629" spans="6:8">
      <c r="F11629" t="s">
        <v>11815</v>
      </c>
      <c r="G11629" t="s">
        <v>16056</v>
      </c>
      <c r="H11629" t="s">
        <v>20786</v>
      </c>
    </row>
    <row r="11630" spans="6:8">
      <c r="H11630" t="s">
        <v>18829</v>
      </c>
    </row>
    <row r="11631" spans="6:8">
      <c r="H11631" t="s">
        <v>18863</v>
      </c>
    </row>
    <row r="11632" spans="6:8">
      <c r="H11632" t="s">
        <v>20454</v>
      </c>
    </row>
    <row r="11633" spans="6:8">
      <c r="H11633" t="s">
        <v>19349</v>
      </c>
    </row>
    <row r="11634" spans="6:8">
      <c r="H11634" t="s">
        <v>20209</v>
      </c>
    </row>
    <row r="11635" spans="6:8">
      <c r="F11635" t="s">
        <v>11816</v>
      </c>
      <c r="G11635" t="s">
        <v>16057</v>
      </c>
      <c r="H11635" t="s">
        <v>20787</v>
      </c>
    </row>
    <row r="11636" spans="6:8">
      <c r="H11636" t="s">
        <v>18829</v>
      </c>
    </row>
    <row r="11637" spans="6:8">
      <c r="H11637" t="s">
        <v>18863</v>
      </c>
    </row>
    <row r="11638" spans="6:8">
      <c r="H11638" t="s">
        <v>20454</v>
      </c>
    </row>
    <row r="11639" spans="6:8">
      <c r="H11639" t="s">
        <v>19349</v>
      </c>
    </row>
    <row r="11640" spans="6:8">
      <c r="H11640" t="s">
        <v>20209</v>
      </c>
    </row>
    <row r="11641" spans="6:8">
      <c r="F11641" t="s">
        <v>11817</v>
      </c>
      <c r="G11641" t="s">
        <v>16058</v>
      </c>
      <c r="H11641" t="s">
        <v>20788</v>
      </c>
    </row>
    <row r="11642" spans="6:8">
      <c r="H11642" t="s">
        <v>18829</v>
      </c>
    </row>
    <row r="11643" spans="6:8">
      <c r="H11643" t="s">
        <v>18863</v>
      </c>
    </row>
    <row r="11644" spans="6:8">
      <c r="H11644" t="s">
        <v>20454</v>
      </c>
    </row>
    <row r="11645" spans="6:8">
      <c r="H11645" t="s">
        <v>19349</v>
      </c>
    </row>
    <row r="11646" spans="6:8">
      <c r="H11646" t="s">
        <v>20209</v>
      </c>
    </row>
    <row r="11647" spans="6:8">
      <c r="F11647" t="s">
        <v>11818</v>
      </c>
      <c r="G11647" t="s">
        <v>16059</v>
      </c>
      <c r="H11647" t="s">
        <v>20789</v>
      </c>
    </row>
    <row r="11648" spans="6:8">
      <c r="H11648" t="s">
        <v>18829</v>
      </c>
    </row>
    <row r="11649" spans="6:8">
      <c r="H11649" t="s">
        <v>18863</v>
      </c>
    </row>
    <row r="11650" spans="6:8">
      <c r="H11650" t="s">
        <v>20454</v>
      </c>
    </row>
    <row r="11651" spans="6:8">
      <c r="H11651" t="s">
        <v>19349</v>
      </c>
    </row>
    <row r="11652" spans="6:8">
      <c r="H11652" t="s">
        <v>20209</v>
      </c>
    </row>
    <row r="11653" spans="6:8">
      <c r="F11653" t="s">
        <v>11819</v>
      </c>
      <c r="G11653" t="s">
        <v>16060</v>
      </c>
      <c r="H11653" t="s">
        <v>20790</v>
      </c>
    </row>
    <row r="11654" spans="6:8">
      <c r="H11654" t="s">
        <v>18829</v>
      </c>
    </row>
    <row r="11655" spans="6:8">
      <c r="H11655" t="s">
        <v>18863</v>
      </c>
    </row>
    <row r="11656" spans="6:8">
      <c r="H11656" t="s">
        <v>20454</v>
      </c>
    </row>
    <row r="11657" spans="6:8">
      <c r="H11657" t="s">
        <v>19349</v>
      </c>
    </row>
    <row r="11658" spans="6:8">
      <c r="H11658" t="s">
        <v>20209</v>
      </c>
    </row>
    <row r="11659" spans="6:8">
      <c r="F11659" t="s">
        <v>11820</v>
      </c>
      <c r="G11659" t="s">
        <v>16061</v>
      </c>
      <c r="H11659" t="s">
        <v>20791</v>
      </c>
    </row>
    <row r="11660" spans="6:8">
      <c r="H11660" t="s">
        <v>18829</v>
      </c>
    </row>
    <row r="11661" spans="6:8">
      <c r="H11661" t="s">
        <v>18863</v>
      </c>
    </row>
    <row r="11662" spans="6:8">
      <c r="H11662" t="s">
        <v>20454</v>
      </c>
    </row>
    <row r="11663" spans="6:8">
      <c r="H11663" t="s">
        <v>19349</v>
      </c>
    </row>
    <row r="11664" spans="6:8">
      <c r="H11664" t="s">
        <v>20209</v>
      </c>
    </row>
    <row r="11665" spans="6:8">
      <c r="F11665" t="s">
        <v>11821</v>
      </c>
      <c r="G11665" t="s">
        <v>16062</v>
      </c>
      <c r="H11665" t="s">
        <v>20792</v>
      </c>
    </row>
    <row r="11666" spans="6:8">
      <c r="H11666" t="s">
        <v>18829</v>
      </c>
    </row>
    <row r="11667" spans="6:8">
      <c r="H11667" t="s">
        <v>18863</v>
      </c>
    </row>
    <row r="11668" spans="6:8">
      <c r="H11668" t="s">
        <v>20454</v>
      </c>
    </row>
    <row r="11669" spans="6:8">
      <c r="H11669" t="s">
        <v>19349</v>
      </c>
    </row>
    <row r="11670" spans="6:8">
      <c r="H11670" t="s">
        <v>20209</v>
      </c>
    </row>
    <row r="11671" spans="6:8">
      <c r="F11671" t="s">
        <v>11822</v>
      </c>
      <c r="G11671" t="s">
        <v>16063</v>
      </c>
      <c r="H11671" t="s">
        <v>20793</v>
      </c>
    </row>
    <row r="11672" spans="6:8">
      <c r="H11672" t="s">
        <v>18829</v>
      </c>
    </row>
    <row r="11673" spans="6:8">
      <c r="H11673" t="s">
        <v>18863</v>
      </c>
    </row>
    <row r="11674" spans="6:8">
      <c r="H11674" t="s">
        <v>20454</v>
      </c>
    </row>
    <row r="11675" spans="6:8">
      <c r="H11675" t="s">
        <v>19349</v>
      </c>
    </row>
    <row r="11676" spans="6:8">
      <c r="H11676" t="s">
        <v>20209</v>
      </c>
    </row>
    <row r="11677" spans="6:8">
      <c r="F11677" t="s">
        <v>11823</v>
      </c>
      <c r="G11677" t="s">
        <v>16064</v>
      </c>
      <c r="H11677" t="s">
        <v>20794</v>
      </c>
    </row>
    <row r="11678" spans="6:8">
      <c r="H11678" t="s">
        <v>18829</v>
      </c>
    </row>
    <row r="11679" spans="6:8">
      <c r="H11679" t="s">
        <v>18863</v>
      </c>
    </row>
    <row r="11680" spans="6:8">
      <c r="H11680" t="s">
        <v>20454</v>
      </c>
    </row>
    <row r="11681" spans="6:8">
      <c r="H11681" t="s">
        <v>19349</v>
      </c>
    </row>
    <row r="11682" spans="6:8">
      <c r="H11682" t="s">
        <v>20209</v>
      </c>
    </row>
    <row r="11683" spans="6:8">
      <c r="F11683" t="s">
        <v>11824</v>
      </c>
      <c r="G11683" t="s">
        <v>16065</v>
      </c>
      <c r="H11683" t="s">
        <v>20795</v>
      </c>
    </row>
    <row r="11684" spans="6:8">
      <c r="H11684" t="s">
        <v>18829</v>
      </c>
    </row>
    <row r="11685" spans="6:8">
      <c r="H11685" t="s">
        <v>18863</v>
      </c>
    </row>
    <row r="11686" spans="6:8">
      <c r="H11686" t="s">
        <v>20454</v>
      </c>
    </row>
    <row r="11687" spans="6:8">
      <c r="H11687" t="s">
        <v>19349</v>
      </c>
    </row>
    <row r="11688" spans="6:8">
      <c r="H11688" t="s">
        <v>20209</v>
      </c>
    </row>
    <row r="11689" spans="6:8">
      <c r="F11689" t="s">
        <v>11825</v>
      </c>
      <c r="G11689" t="s">
        <v>16066</v>
      </c>
      <c r="H11689" t="s">
        <v>20796</v>
      </c>
    </row>
    <row r="11690" spans="6:8">
      <c r="H11690" t="s">
        <v>18829</v>
      </c>
    </row>
    <row r="11691" spans="6:8">
      <c r="H11691" t="s">
        <v>18863</v>
      </c>
    </row>
    <row r="11692" spans="6:8">
      <c r="H11692" t="s">
        <v>20454</v>
      </c>
    </row>
    <row r="11693" spans="6:8">
      <c r="H11693" t="s">
        <v>19349</v>
      </c>
    </row>
    <row r="11694" spans="6:8">
      <c r="H11694" t="s">
        <v>20209</v>
      </c>
    </row>
    <row r="11695" spans="6:8">
      <c r="F11695" t="s">
        <v>11826</v>
      </c>
      <c r="G11695" t="s">
        <v>16067</v>
      </c>
      <c r="H11695" t="s">
        <v>20797</v>
      </c>
    </row>
    <row r="11696" spans="6:8">
      <c r="H11696" t="s">
        <v>18829</v>
      </c>
    </row>
    <row r="11697" spans="6:8">
      <c r="H11697" t="s">
        <v>18863</v>
      </c>
    </row>
    <row r="11698" spans="6:8">
      <c r="H11698" t="s">
        <v>20454</v>
      </c>
    </row>
    <row r="11699" spans="6:8">
      <c r="H11699" t="s">
        <v>19349</v>
      </c>
    </row>
    <row r="11700" spans="6:8">
      <c r="H11700" t="s">
        <v>20209</v>
      </c>
    </row>
    <row r="11701" spans="6:8">
      <c r="F11701" t="s">
        <v>11827</v>
      </c>
      <c r="G11701" t="s">
        <v>16068</v>
      </c>
      <c r="H11701" t="s">
        <v>20798</v>
      </c>
    </row>
    <row r="11702" spans="6:8">
      <c r="H11702" t="s">
        <v>18829</v>
      </c>
    </row>
    <row r="11703" spans="6:8">
      <c r="H11703" t="s">
        <v>18863</v>
      </c>
    </row>
    <row r="11704" spans="6:8">
      <c r="H11704" t="s">
        <v>20454</v>
      </c>
    </row>
    <row r="11705" spans="6:8">
      <c r="H11705" t="s">
        <v>19349</v>
      </c>
    </row>
    <row r="11706" spans="6:8">
      <c r="H11706" t="s">
        <v>20209</v>
      </c>
    </row>
    <row r="11707" spans="6:8">
      <c r="F11707" t="s">
        <v>11828</v>
      </c>
      <c r="G11707" t="s">
        <v>16069</v>
      </c>
      <c r="H11707" t="s">
        <v>20799</v>
      </c>
    </row>
    <row r="11708" spans="6:8">
      <c r="H11708" t="s">
        <v>18829</v>
      </c>
    </row>
    <row r="11709" spans="6:8">
      <c r="H11709" t="s">
        <v>18863</v>
      </c>
    </row>
    <row r="11710" spans="6:8">
      <c r="H11710" t="s">
        <v>20454</v>
      </c>
    </row>
    <row r="11711" spans="6:8">
      <c r="H11711" t="s">
        <v>19349</v>
      </c>
    </row>
    <row r="11712" spans="6:8">
      <c r="H11712" t="s">
        <v>20209</v>
      </c>
    </row>
    <row r="11713" spans="6:8">
      <c r="F11713" t="s">
        <v>11829</v>
      </c>
      <c r="G11713" t="s">
        <v>16070</v>
      </c>
      <c r="H11713" t="s">
        <v>20800</v>
      </c>
    </row>
    <row r="11714" spans="6:8">
      <c r="H11714" t="s">
        <v>18829</v>
      </c>
    </row>
    <row r="11715" spans="6:8">
      <c r="H11715" t="s">
        <v>18863</v>
      </c>
    </row>
    <row r="11716" spans="6:8">
      <c r="H11716" t="s">
        <v>20454</v>
      </c>
    </row>
    <row r="11717" spans="6:8">
      <c r="H11717" t="s">
        <v>19349</v>
      </c>
    </row>
    <row r="11718" spans="6:8">
      <c r="H11718" t="s">
        <v>20209</v>
      </c>
    </row>
    <row r="11719" spans="6:8">
      <c r="F11719" t="s">
        <v>11830</v>
      </c>
      <c r="G11719" t="s">
        <v>16071</v>
      </c>
      <c r="H11719" t="s">
        <v>20801</v>
      </c>
    </row>
    <row r="11720" spans="6:8">
      <c r="H11720" t="s">
        <v>18829</v>
      </c>
    </row>
    <row r="11721" spans="6:8">
      <c r="H11721" t="s">
        <v>18863</v>
      </c>
    </row>
    <row r="11722" spans="6:8">
      <c r="H11722" t="s">
        <v>20454</v>
      </c>
    </row>
    <row r="11723" spans="6:8">
      <c r="H11723" t="s">
        <v>19349</v>
      </c>
    </row>
    <row r="11724" spans="6:8">
      <c r="H11724" t="s">
        <v>20209</v>
      </c>
    </row>
    <row r="11725" spans="6:8">
      <c r="F11725" t="s">
        <v>11831</v>
      </c>
      <c r="G11725" t="s">
        <v>16072</v>
      </c>
      <c r="H11725" t="s">
        <v>20802</v>
      </c>
    </row>
    <row r="11726" spans="6:8">
      <c r="H11726" t="s">
        <v>18829</v>
      </c>
    </row>
    <row r="11727" spans="6:8">
      <c r="H11727" t="s">
        <v>18863</v>
      </c>
    </row>
    <row r="11728" spans="6:8">
      <c r="H11728" t="s">
        <v>20454</v>
      </c>
    </row>
    <row r="11729" spans="6:8">
      <c r="H11729" t="s">
        <v>19349</v>
      </c>
    </row>
    <row r="11730" spans="6:8">
      <c r="H11730" t="s">
        <v>20209</v>
      </c>
    </row>
    <row r="11731" spans="6:8">
      <c r="F11731" t="s">
        <v>11832</v>
      </c>
      <c r="G11731" t="s">
        <v>16073</v>
      </c>
      <c r="H11731" t="s">
        <v>20803</v>
      </c>
    </row>
    <row r="11732" spans="6:8">
      <c r="H11732" t="s">
        <v>18829</v>
      </c>
    </row>
    <row r="11733" spans="6:8">
      <c r="H11733" t="s">
        <v>18863</v>
      </c>
    </row>
    <row r="11734" spans="6:8">
      <c r="H11734" t="s">
        <v>20454</v>
      </c>
    </row>
    <row r="11735" spans="6:8">
      <c r="H11735" t="s">
        <v>19349</v>
      </c>
    </row>
    <row r="11736" spans="6:8">
      <c r="H11736" t="s">
        <v>20209</v>
      </c>
    </row>
    <row r="11737" spans="6:8">
      <c r="F11737" t="s">
        <v>11833</v>
      </c>
      <c r="G11737" t="s">
        <v>16074</v>
      </c>
      <c r="H11737" t="s">
        <v>20804</v>
      </c>
    </row>
    <row r="11738" spans="6:8">
      <c r="H11738" t="s">
        <v>18829</v>
      </c>
    </row>
    <row r="11739" spans="6:8">
      <c r="H11739" t="s">
        <v>18863</v>
      </c>
    </row>
    <row r="11740" spans="6:8">
      <c r="H11740" t="s">
        <v>20454</v>
      </c>
    </row>
    <row r="11741" spans="6:8">
      <c r="H11741" t="s">
        <v>19349</v>
      </c>
    </row>
    <row r="11742" spans="6:8">
      <c r="H11742" t="s">
        <v>20209</v>
      </c>
    </row>
    <row r="11743" spans="6:8">
      <c r="F11743" t="s">
        <v>11834</v>
      </c>
      <c r="G11743" t="s">
        <v>16075</v>
      </c>
      <c r="H11743" t="s">
        <v>20805</v>
      </c>
    </row>
    <row r="11744" spans="6:8">
      <c r="H11744" t="s">
        <v>18829</v>
      </c>
    </row>
    <row r="11745" spans="6:8">
      <c r="H11745" t="s">
        <v>18863</v>
      </c>
    </row>
    <row r="11746" spans="6:8">
      <c r="H11746" t="s">
        <v>20454</v>
      </c>
    </row>
    <row r="11747" spans="6:8">
      <c r="H11747" t="s">
        <v>19349</v>
      </c>
    </row>
    <row r="11748" spans="6:8">
      <c r="H11748" t="s">
        <v>20209</v>
      </c>
    </row>
    <row r="11749" spans="6:8">
      <c r="F11749" t="s">
        <v>11835</v>
      </c>
      <c r="G11749" t="s">
        <v>16076</v>
      </c>
      <c r="H11749" t="s">
        <v>20806</v>
      </c>
    </row>
    <row r="11750" spans="6:8">
      <c r="H11750" t="s">
        <v>18829</v>
      </c>
    </row>
    <row r="11751" spans="6:8">
      <c r="H11751" t="s">
        <v>18863</v>
      </c>
    </row>
    <row r="11752" spans="6:8">
      <c r="H11752" t="s">
        <v>20454</v>
      </c>
    </row>
    <row r="11753" spans="6:8">
      <c r="H11753" t="s">
        <v>19349</v>
      </c>
    </row>
    <row r="11754" spans="6:8">
      <c r="H11754" t="s">
        <v>20209</v>
      </c>
    </row>
    <row r="11755" spans="6:8">
      <c r="F11755" t="s">
        <v>11836</v>
      </c>
      <c r="G11755" t="s">
        <v>16077</v>
      </c>
      <c r="H11755" t="s">
        <v>20807</v>
      </c>
    </row>
    <row r="11756" spans="6:8">
      <c r="H11756" t="s">
        <v>18829</v>
      </c>
    </row>
    <row r="11757" spans="6:8">
      <c r="H11757" t="s">
        <v>18863</v>
      </c>
    </row>
    <row r="11758" spans="6:8">
      <c r="H11758" t="s">
        <v>20454</v>
      </c>
    </row>
    <row r="11759" spans="6:8">
      <c r="H11759" t="s">
        <v>19349</v>
      </c>
    </row>
    <row r="11760" spans="6:8">
      <c r="H11760" t="s">
        <v>20209</v>
      </c>
    </row>
    <row r="11761" spans="6:8">
      <c r="F11761" t="s">
        <v>11837</v>
      </c>
      <c r="G11761" t="s">
        <v>16078</v>
      </c>
      <c r="H11761" t="s">
        <v>20808</v>
      </c>
    </row>
    <row r="11762" spans="6:8">
      <c r="H11762" t="s">
        <v>18829</v>
      </c>
    </row>
    <row r="11763" spans="6:8">
      <c r="H11763" t="s">
        <v>18863</v>
      </c>
    </row>
    <row r="11764" spans="6:8">
      <c r="H11764" t="s">
        <v>20454</v>
      </c>
    </row>
    <row r="11765" spans="6:8">
      <c r="H11765" t="s">
        <v>19349</v>
      </c>
    </row>
    <row r="11766" spans="6:8">
      <c r="H11766" t="s">
        <v>20209</v>
      </c>
    </row>
    <row r="11767" spans="6:8">
      <c r="F11767" t="s">
        <v>11838</v>
      </c>
      <c r="G11767" t="s">
        <v>16079</v>
      </c>
      <c r="H11767" t="s">
        <v>20809</v>
      </c>
    </row>
    <row r="11768" spans="6:8">
      <c r="H11768" t="s">
        <v>18829</v>
      </c>
    </row>
    <row r="11769" spans="6:8">
      <c r="H11769" t="s">
        <v>18863</v>
      </c>
    </row>
    <row r="11770" spans="6:8">
      <c r="H11770" t="s">
        <v>20454</v>
      </c>
    </row>
    <row r="11771" spans="6:8">
      <c r="H11771" t="s">
        <v>19349</v>
      </c>
    </row>
    <row r="11772" spans="6:8">
      <c r="H11772" t="s">
        <v>20209</v>
      </c>
    </row>
    <row r="11773" spans="6:8">
      <c r="F11773" t="s">
        <v>11839</v>
      </c>
      <c r="G11773" t="s">
        <v>16080</v>
      </c>
      <c r="H11773" t="s">
        <v>20810</v>
      </c>
    </row>
    <row r="11774" spans="6:8">
      <c r="H11774" t="s">
        <v>18829</v>
      </c>
    </row>
    <row r="11775" spans="6:8">
      <c r="H11775" t="s">
        <v>18863</v>
      </c>
    </row>
    <row r="11776" spans="6:8">
      <c r="H11776" t="s">
        <v>20454</v>
      </c>
    </row>
    <row r="11777" spans="6:8">
      <c r="H11777" t="s">
        <v>19349</v>
      </c>
    </row>
    <row r="11778" spans="6:8">
      <c r="H11778" t="s">
        <v>20209</v>
      </c>
    </row>
    <row r="11779" spans="6:8">
      <c r="F11779" t="s">
        <v>11840</v>
      </c>
      <c r="G11779" t="s">
        <v>16081</v>
      </c>
      <c r="H11779" t="s">
        <v>20811</v>
      </c>
    </row>
    <row r="11780" spans="6:8">
      <c r="H11780" t="s">
        <v>18829</v>
      </c>
    </row>
    <row r="11781" spans="6:8">
      <c r="H11781" t="s">
        <v>18863</v>
      </c>
    </row>
    <row r="11782" spans="6:8">
      <c r="H11782" t="s">
        <v>20454</v>
      </c>
    </row>
    <row r="11783" spans="6:8">
      <c r="H11783" t="s">
        <v>19349</v>
      </c>
    </row>
    <row r="11784" spans="6:8">
      <c r="H11784" t="s">
        <v>20209</v>
      </c>
    </row>
    <row r="11785" spans="6:8">
      <c r="F11785" t="s">
        <v>11841</v>
      </c>
      <c r="G11785" t="s">
        <v>16082</v>
      </c>
      <c r="H11785" t="s">
        <v>20812</v>
      </c>
    </row>
    <row r="11786" spans="6:8">
      <c r="H11786" t="s">
        <v>18829</v>
      </c>
    </row>
    <row r="11787" spans="6:8">
      <c r="H11787" t="s">
        <v>18863</v>
      </c>
    </row>
    <row r="11788" spans="6:8">
      <c r="H11788" t="s">
        <v>20454</v>
      </c>
    </row>
    <row r="11789" spans="6:8">
      <c r="H11789" t="s">
        <v>19349</v>
      </c>
    </row>
    <row r="11790" spans="6:8">
      <c r="H11790" t="s">
        <v>20209</v>
      </c>
    </row>
    <row r="11791" spans="6:8">
      <c r="F11791" t="s">
        <v>11842</v>
      </c>
      <c r="G11791" t="s">
        <v>16083</v>
      </c>
      <c r="H11791" t="s">
        <v>20813</v>
      </c>
    </row>
    <row r="11792" spans="6:8">
      <c r="H11792" t="s">
        <v>18829</v>
      </c>
    </row>
    <row r="11793" spans="6:8">
      <c r="H11793" t="s">
        <v>18863</v>
      </c>
    </row>
    <row r="11794" spans="6:8">
      <c r="H11794" t="s">
        <v>20454</v>
      </c>
    </row>
    <row r="11795" spans="6:8">
      <c r="H11795" t="s">
        <v>19349</v>
      </c>
    </row>
    <row r="11796" spans="6:8">
      <c r="H11796" t="s">
        <v>20209</v>
      </c>
    </row>
    <row r="11797" spans="6:8">
      <c r="F11797" t="s">
        <v>11843</v>
      </c>
      <c r="G11797" t="s">
        <v>16084</v>
      </c>
      <c r="H11797" t="s">
        <v>20814</v>
      </c>
    </row>
    <row r="11798" spans="6:8">
      <c r="H11798" t="s">
        <v>18829</v>
      </c>
    </row>
    <row r="11799" spans="6:8">
      <c r="H11799" t="s">
        <v>18863</v>
      </c>
    </row>
    <row r="11800" spans="6:8">
      <c r="H11800" t="s">
        <v>20454</v>
      </c>
    </row>
    <row r="11801" spans="6:8">
      <c r="H11801" t="s">
        <v>19349</v>
      </c>
    </row>
    <row r="11802" spans="6:8">
      <c r="H11802" t="s">
        <v>20209</v>
      </c>
    </row>
    <row r="11803" spans="6:8">
      <c r="F11803" t="s">
        <v>11844</v>
      </c>
      <c r="G11803" t="s">
        <v>16085</v>
      </c>
      <c r="H11803" t="s">
        <v>20815</v>
      </c>
    </row>
    <row r="11804" spans="6:8">
      <c r="H11804" t="s">
        <v>18829</v>
      </c>
    </row>
    <row r="11805" spans="6:8">
      <c r="H11805" t="s">
        <v>18863</v>
      </c>
    </row>
    <row r="11806" spans="6:8">
      <c r="H11806" t="s">
        <v>20454</v>
      </c>
    </row>
    <row r="11807" spans="6:8">
      <c r="H11807" t="s">
        <v>19349</v>
      </c>
    </row>
    <row r="11808" spans="6:8">
      <c r="H11808" t="s">
        <v>20209</v>
      </c>
    </row>
    <row r="11809" spans="6:8">
      <c r="F11809" t="s">
        <v>11845</v>
      </c>
      <c r="G11809" t="s">
        <v>16086</v>
      </c>
      <c r="H11809" t="s">
        <v>20816</v>
      </c>
    </row>
    <row r="11810" spans="6:8">
      <c r="H11810" t="s">
        <v>18829</v>
      </c>
    </row>
    <row r="11811" spans="6:8">
      <c r="H11811" t="s">
        <v>18863</v>
      </c>
    </row>
    <row r="11812" spans="6:8">
      <c r="H11812" t="s">
        <v>20454</v>
      </c>
    </row>
    <row r="11813" spans="6:8">
      <c r="H11813" t="s">
        <v>19349</v>
      </c>
    </row>
    <row r="11814" spans="6:8">
      <c r="H11814" t="s">
        <v>20209</v>
      </c>
    </row>
    <row r="11815" spans="6:8">
      <c r="F11815" t="s">
        <v>11846</v>
      </c>
      <c r="G11815" t="s">
        <v>16087</v>
      </c>
      <c r="H11815" t="s">
        <v>20817</v>
      </c>
    </row>
    <row r="11816" spans="6:8">
      <c r="H11816" t="s">
        <v>18829</v>
      </c>
    </row>
    <row r="11817" spans="6:8">
      <c r="H11817" t="s">
        <v>18863</v>
      </c>
    </row>
    <row r="11818" spans="6:8">
      <c r="H11818" t="s">
        <v>20454</v>
      </c>
    </row>
    <row r="11819" spans="6:8">
      <c r="H11819" t="s">
        <v>19349</v>
      </c>
    </row>
    <row r="11820" spans="6:8">
      <c r="H11820" t="s">
        <v>20209</v>
      </c>
    </row>
    <row r="11821" spans="6:8">
      <c r="F11821" t="s">
        <v>11847</v>
      </c>
      <c r="G11821" t="s">
        <v>16088</v>
      </c>
      <c r="H11821" t="s">
        <v>20818</v>
      </c>
    </row>
    <row r="11822" spans="6:8">
      <c r="H11822" t="s">
        <v>18829</v>
      </c>
    </row>
    <row r="11823" spans="6:8">
      <c r="H11823" t="s">
        <v>18863</v>
      </c>
    </row>
    <row r="11824" spans="6:8">
      <c r="H11824" t="s">
        <v>20454</v>
      </c>
    </row>
    <row r="11825" spans="6:8">
      <c r="H11825" t="s">
        <v>19349</v>
      </c>
    </row>
    <row r="11826" spans="6:8">
      <c r="H11826" t="s">
        <v>20209</v>
      </c>
    </row>
    <row r="11827" spans="6:8">
      <c r="F11827" t="s">
        <v>11848</v>
      </c>
      <c r="G11827" t="s">
        <v>16089</v>
      </c>
      <c r="H11827" t="s">
        <v>20819</v>
      </c>
    </row>
    <row r="11828" spans="6:8">
      <c r="H11828" t="s">
        <v>18829</v>
      </c>
    </row>
    <row r="11829" spans="6:8">
      <c r="H11829" t="s">
        <v>18863</v>
      </c>
    </row>
    <row r="11830" spans="6:8">
      <c r="H11830" t="s">
        <v>20454</v>
      </c>
    </row>
    <row r="11831" spans="6:8">
      <c r="H11831" t="s">
        <v>19349</v>
      </c>
    </row>
    <row r="11832" spans="6:8">
      <c r="H11832" t="s">
        <v>20209</v>
      </c>
    </row>
    <row r="11833" spans="6:8">
      <c r="F11833" t="s">
        <v>11849</v>
      </c>
      <c r="G11833" t="s">
        <v>16090</v>
      </c>
      <c r="H11833" t="s">
        <v>20820</v>
      </c>
    </row>
    <row r="11834" spans="6:8">
      <c r="H11834" t="s">
        <v>18829</v>
      </c>
    </row>
    <row r="11835" spans="6:8">
      <c r="H11835" t="s">
        <v>18863</v>
      </c>
    </row>
    <row r="11836" spans="6:8">
      <c r="H11836" t="s">
        <v>20454</v>
      </c>
    </row>
    <row r="11837" spans="6:8">
      <c r="H11837" t="s">
        <v>19349</v>
      </c>
    </row>
    <row r="11838" spans="6:8">
      <c r="H11838" t="s">
        <v>20209</v>
      </c>
    </row>
    <row r="11839" spans="6:8">
      <c r="F11839" t="s">
        <v>11850</v>
      </c>
      <c r="G11839" t="s">
        <v>16091</v>
      </c>
      <c r="H11839" t="s">
        <v>20821</v>
      </c>
    </row>
    <row r="11840" spans="6:8">
      <c r="H11840" t="s">
        <v>18829</v>
      </c>
    </row>
    <row r="11841" spans="6:8">
      <c r="H11841" t="s">
        <v>18863</v>
      </c>
    </row>
    <row r="11842" spans="6:8">
      <c r="H11842" t="s">
        <v>20454</v>
      </c>
    </row>
    <row r="11843" spans="6:8">
      <c r="H11843" t="s">
        <v>19349</v>
      </c>
    </row>
    <row r="11844" spans="6:8">
      <c r="H11844" t="s">
        <v>20209</v>
      </c>
    </row>
    <row r="11845" spans="6:8">
      <c r="F11845" t="s">
        <v>11851</v>
      </c>
      <c r="G11845" t="s">
        <v>16092</v>
      </c>
      <c r="H11845" t="s">
        <v>20822</v>
      </c>
    </row>
    <row r="11846" spans="6:8">
      <c r="H11846" t="s">
        <v>18829</v>
      </c>
    </row>
    <row r="11847" spans="6:8">
      <c r="H11847" t="s">
        <v>18863</v>
      </c>
    </row>
    <row r="11848" spans="6:8">
      <c r="H11848" t="s">
        <v>20454</v>
      </c>
    </row>
    <row r="11849" spans="6:8">
      <c r="H11849" t="s">
        <v>19349</v>
      </c>
    </row>
    <row r="11850" spans="6:8">
      <c r="H11850" t="s">
        <v>20209</v>
      </c>
    </row>
    <row r="11851" spans="6:8">
      <c r="F11851" t="s">
        <v>11852</v>
      </c>
      <c r="G11851" t="s">
        <v>16093</v>
      </c>
      <c r="H11851" t="s">
        <v>20823</v>
      </c>
    </row>
    <row r="11852" spans="6:8">
      <c r="H11852" t="s">
        <v>18829</v>
      </c>
    </row>
    <row r="11853" spans="6:8">
      <c r="H11853" t="s">
        <v>18863</v>
      </c>
    </row>
    <row r="11854" spans="6:8">
      <c r="H11854" t="s">
        <v>20454</v>
      </c>
    </row>
    <row r="11855" spans="6:8">
      <c r="H11855" t="s">
        <v>19349</v>
      </c>
    </row>
    <row r="11856" spans="6:8">
      <c r="H11856" t="s">
        <v>20209</v>
      </c>
    </row>
    <row r="11857" spans="6:8">
      <c r="F11857" t="s">
        <v>11853</v>
      </c>
      <c r="G11857" t="s">
        <v>16094</v>
      </c>
      <c r="H11857" t="s">
        <v>20824</v>
      </c>
    </row>
    <row r="11858" spans="6:8">
      <c r="H11858" t="s">
        <v>18829</v>
      </c>
    </row>
    <row r="11859" spans="6:8">
      <c r="H11859" t="s">
        <v>18863</v>
      </c>
    </row>
    <row r="11860" spans="6:8">
      <c r="H11860" t="s">
        <v>20454</v>
      </c>
    </row>
    <row r="11861" spans="6:8">
      <c r="H11861" t="s">
        <v>19349</v>
      </c>
    </row>
    <row r="11862" spans="6:8">
      <c r="H11862" t="s">
        <v>20209</v>
      </c>
    </row>
    <row r="11863" spans="6:8">
      <c r="F11863" t="s">
        <v>11854</v>
      </c>
      <c r="G11863" t="s">
        <v>16095</v>
      </c>
      <c r="H11863" t="s">
        <v>20825</v>
      </c>
    </row>
    <row r="11864" spans="6:8">
      <c r="H11864" t="s">
        <v>18829</v>
      </c>
    </row>
    <row r="11865" spans="6:8">
      <c r="H11865" t="s">
        <v>18863</v>
      </c>
    </row>
    <row r="11866" spans="6:8">
      <c r="H11866" t="s">
        <v>20454</v>
      </c>
    </row>
    <row r="11867" spans="6:8">
      <c r="H11867" t="s">
        <v>19349</v>
      </c>
    </row>
    <row r="11868" spans="6:8">
      <c r="H11868" t="s">
        <v>20209</v>
      </c>
    </row>
    <row r="11869" spans="6:8">
      <c r="F11869" t="s">
        <v>11855</v>
      </c>
      <c r="G11869" t="s">
        <v>16096</v>
      </c>
      <c r="H11869" t="s">
        <v>20826</v>
      </c>
    </row>
    <row r="11870" spans="6:8">
      <c r="H11870" t="s">
        <v>18829</v>
      </c>
    </row>
    <row r="11871" spans="6:8">
      <c r="H11871" t="s">
        <v>18863</v>
      </c>
    </row>
    <row r="11872" spans="6:8">
      <c r="H11872" t="s">
        <v>20454</v>
      </c>
    </row>
    <row r="11873" spans="6:8">
      <c r="H11873" t="s">
        <v>19349</v>
      </c>
    </row>
    <row r="11874" spans="6:8">
      <c r="H11874" t="s">
        <v>20209</v>
      </c>
    </row>
    <row r="11875" spans="6:8">
      <c r="F11875" t="s">
        <v>11856</v>
      </c>
      <c r="G11875" t="s">
        <v>16097</v>
      </c>
      <c r="H11875" t="s">
        <v>20827</v>
      </c>
    </row>
    <row r="11876" spans="6:8">
      <c r="H11876" t="s">
        <v>18829</v>
      </c>
    </row>
    <row r="11877" spans="6:8">
      <c r="H11877" t="s">
        <v>18863</v>
      </c>
    </row>
    <row r="11878" spans="6:8">
      <c r="H11878" t="s">
        <v>20454</v>
      </c>
    </row>
    <row r="11879" spans="6:8">
      <c r="H11879" t="s">
        <v>19349</v>
      </c>
    </row>
    <row r="11880" spans="6:8">
      <c r="H11880" t="s">
        <v>20209</v>
      </c>
    </row>
    <row r="11881" spans="6:8">
      <c r="F11881" t="s">
        <v>11857</v>
      </c>
      <c r="G11881" t="s">
        <v>16098</v>
      </c>
      <c r="H11881" t="s">
        <v>20828</v>
      </c>
    </row>
    <row r="11882" spans="6:8">
      <c r="H11882" t="s">
        <v>18829</v>
      </c>
    </row>
    <row r="11883" spans="6:8">
      <c r="H11883" t="s">
        <v>18863</v>
      </c>
    </row>
    <row r="11884" spans="6:8">
      <c r="H11884" t="s">
        <v>20454</v>
      </c>
    </row>
    <row r="11885" spans="6:8">
      <c r="H11885" t="s">
        <v>19349</v>
      </c>
    </row>
    <row r="11886" spans="6:8">
      <c r="H11886" t="s">
        <v>20209</v>
      </c>
    </row>
    <row r="11887" spans="6:8">
      <c r="F11887" t="s">
        <v>11858</v>
      </c>
      <c r="G11887" t="s">
        <v>16099</v>
      </c>
      <c r="H11887" t="s">
        <v>20829</v>
      </c>
    </row>
    <row r="11888" spans="6:8">
      <c r="H11888" t="s">
        <v>18829</v>
      </c>
    </row>
    <row r="11889" spans="6:8">
      <c r="H11889" t="s">
        <v>18863</v>
      </c>
    </row>
    <row r="11890" spans="6:8">
      <c r="H11890" t="s">
        <v>20454</v>
      </c>
    </row>
    <row r="11891" spans="6:8">
      <c r="H11891" t="s">
        <v>19349</v>
      </c>
    </row>
    <row r="11892" spans="6:8">
      <c r="H11892" t="s">
        <v>20209</v>
      </c>
    </row>
    <row r="11893" spans="6:8">
      <c r="F11893" t="s">
        <v>11859</v>
      </c>
      <c r="G11893" t="s">
        <v>16100</v>
      </c>
      <c r="H11893" t="s">
        <v>20830</v>
      </c>
    </row>
    <row r="11894" spans="6:8">
      <c r="H11894" t="s">
        <v>18829</v>
      </c>
    </row>
    <row r="11895" spans="6:8">
      <c r="H11895" t="s">
        <v>18863</v>
      </c>
    </row>
    <row r="11896" spans="6:8">
      <c r="H11896" t="s">
        <v>20454</v>
      </c>
    </row>
    <row r="11897" spans="6:8">
      <c r="H11897" t="s">
        <v>19349</v>
      </c>
    </row>
    <row r="11898" spans="6:8">
      <c r="H11898" t="s">
        <v>20209</v>
      </c>
    </row>
    <row r="11899" spans="6:8">
      <c r="F11899" t="s">
        <v>11860</v>
      </c>
      <c r="G11899" t="s">
        <v>16101</v>
      </c>
      <c r="H11899" t="s">
        <v>20831</v>
      </c>
    </row>
    <row r="11900" spans="6:8">
      <c r="H11900" t="s">
        <v>18829</v>
      </c>
    </row>
    <row r="11901" spans="6:8">
      <c r="H11901" t="s">
        <v>18863</v>
      </c>
    </row>
    <row r="11902" spans="6:8">
      <c r="H11902" t="s">
        <v>20454</v>
      </c>
    </row>
    <row r="11903" spans="6:8">
      <c r="H11903" t="s">
        <v>19349</v>
      </c>
    </row>
    <row r="11904" spans="6:8">
      <c r="H11904" t="s">
        <v>20209</v>
      </c>
    </row>
    <row r="11905" spans="6:8">
      <c r="F11905" t="s">
        <v>11861</v>
      </c>
      <c r="G11905" t="s">
        <v>16102</v>
      </c>
      <c r="H11905" t="s">
        <v>20832</v>
      </c>
    </row>
    <row r="11906" spans="6:8">
      <c r="H11906" t="s">
        <v>18829</v>
      </c>
    </row>
    <row r="11907" spans="6:8">
      <c r="H11907" t="s">
        <v>18863</v>
      </c>
    </row>
    <row r="11908" spans="6:8">
      <c r="H11908" t="s">
        <v>20454</v>
      </c>
    </row>
    <row r="11909" spans="6:8">
      <c r="H11909" t="s">
        <v>19349</v>
      </c>
    </row>
    <row r="11910" spans="6:8">
      <c r="H11910" t="s">
        <v>20209</v>
      </c>
    </row>
    <row r="11911" spans="6:8">
      <c r="F11911" t="s">
        <v>11862</v>
      </c>
      <c r="G11911" t="s">
        <v>16103</v>
      </c>
      <c r="H11911" t="s">
        <v>20833</v>
      </c>
    </row>
    <row r="11912" spans="6:8">
      <c r="H11912" t="s">
        <v>18829</v>
      </c>
    </row>
    <row r="11913" spans="6:8">
      <c r="H11913" t="s">
        <v>18863</v>
      </c>
    </row>
    <row r="11914" spans="6:8">
      <c r="H11914" t="s">
        <v>20454</v>
      </c>
    </row>
    <row r="11915" spans="6:8">
      <c r="H11915" t="s">
        <v>19349</v>
      </c>
    </row>
    <row r="11916" spans="6:8">
      <c r="H11916" t="s">
        <v>20209</v>
      </c>
    </row>
    <row r="11917" spans="6:8">
      <c r="F11917" t="s">
        <v>11863</v>
      </c>
      <c r="G11917" t="s">
        <v>16104</v>
      </c>
      <c r="H11917" t="s">
        <v>20834</v>
      </c>
    </row>
    <row r="11918" spans="6:8">
      <c r="H11918" t="s">
        <v>18829</v>
      </c>
    </row>
    <row r="11919" spans="6:8">
      <c r="H11919" t="s">
        <v>18863</v>
      </c>
    </row>
    <row r="11920" spans="6:8">
      <c r="H11920" t="s">
        <v>20454</v>
      </c>
    </row>
    <row r="11921" spans="6:8">
      <c r="H11921" t="s">
        <v>19349</v>
      </c>
    </row>
    <row r="11922" spans="6:8">
      <c r="H11922" t="s">
        <v>20209</v>
      </c>
    </row>
    <row r="11923" spans="6:8">
      <c r="F11923" t="s">
        <v>11864</v>
      </c>
      <c r="G11923" t="s">
        <v>16105</v>
      </c>
      <c r="H11923" t="s">
        <v>20835</v>
      </c>
    </row>
    <row r="11924" spans="6:8">
      <c r="H11924" t="s">
        <v>18829</v>
      </c>
    </row>
    <row r="11925" spans="6:8">
      <c r="H11925" t="s">
        <v>18863</v>
      </c>
    </row>
    <row r="11926" spans="6:8">
      <c r="H11926" t="s">
        <v>20454</v>
      </c>
    </row>
    <row r="11927" spans="6:8">
      <c r="H11927" t="s">
        <v>19349</v>
      </c>
    </row>
    <row r="11928" spans="6:8">
      <c r="H11928" t="s">
        <v>20209</v>
      </c>
    </row>
    <row r="11929" spans="6:8">
      <c r="F11929" t="s">
        <v>11865</v>
      </c>
      <c r="G11929" t="s">
        <v>16106</v>
      </c>
      <c r="H11929" t="s">
        <v>20836</v>
      </c>
    </row>
    <row r="11930" spans="6:8">
      <c r="H11930" t="s">
        <v>18829</v>
      </c>
    </row>
    <row r="11931" spans="6:8">
      <c r="H11931" t="s">
        <v>18863</v>
      </c>
    </row>
    <row r="11932" spans="6:8">
      <c r="H11932" t="s">
        <v>20454</v>
      </c>
    </row>
    <row r="11933" spans="6:8">
      <c r="H11933" t="s">
        <v>19349</v>
      </c>
    </row>
    <row r="11934" spans="6:8">
      <c r="H11934" t="s">
        <v>20209</v>
      </c>
    </row>
    <row r="11935" spans="6:8">
      <c r="F11935" t="s">
        <v>11866</v>
      </c>
      <c r="G11935" t="s">
        <v>16107</v>
      </c>
      <c r="H11935" t="s">
        <v>20837</v>
      </c>
    </row>
    <row r="11936" spans="6:8">
      <c r="H11936" t="s">
        <v>18829</v>
      </c>
    </row>
    <row r="11937" spans="6:8">
      <c r="H11937" t="s">
        <v>18863</v>
      </c>
    </row>
    <row r="11938" spans="6:8">
      <c r="H11938" t="s">
        <v>20454</v>
      </c>
    </row>
    <row r="11939" spans="6:8">
      <c r="H11939" t="s">
        <v>19349</v>
      </c>
    </row>
    <row r="11940" spans="6:8">
      <c r="H11940" t="s">
        <v>20209</v>
      </c>
    </row>
    <row r="11941" spans="6:8">
      <c r="F11941" t="s">
        <v>11867</v>
      </c>
      <c r="G11941" t="s">
        <v>16108</v>
      </c>
      <c r="H11941" t="s">
        <v>20838</v>
      </c>
    </row>
    <row r="11942" spans="6:8">
      <c r="H11942" t="s">
        <v>18829</v>
      </c>
    </row>
    <row r="11943" spans="6:8">
      <c r="H11943" t="s">
        <v>18863</v>
      </c>
    </row>
    <row r="11944" spans="6:8">
      <c r="H11944" t="s">
        <v>20454</v>
      </c>
    </row>
    <row r="11945" spans="6:8">
      <c r="H11945" t="s">
        <v>19349</v>
      </c>
    </row>
    <row r="11946" spans="6:8">
      <c r="H11946" t="s">
        <v>20209</v>
      </c>
    </row>
    <row r="11947" spans="6:8">
      <c r="F11947" t="s">
        <v>11868</v>
      </c>
      <c r="G11947" t="s">
        <v>16109</v>
      </c>
      <c r="H11947" t="s">
        <v>20839</v>
      </c>
    </row>
    <row r="11948" spans="6:8">
      <c r="H11948" t="s">
        <v>18829</v>
      </c>
    </row>
    <row r="11949" spans="6:8">
      <c r="H11949" t="s">
        <v>18863</v>
      </c>
    </row>
    <row r="11950" spans="6:8">
      <c r="H11950" t="s">
        <v>20454</v>
      </c>
    </row>
    <row r="11951" spans="6:8">
      <c r="H11951" t="s">
        <v>19349</v>
      </c>
    </row>
    <row r="11952" spans="6:8">
      <c r="H11952" t="s">
        <v>20209</v>
      </c>
    </row>
    <row r="11953" spans="6:8">
      <c r="F11953" t="s">
        <v>11869</v>
      </c>
      <c r="G11953" t="s">
        <v>16110</v>
      </c>
      <c r="H11953" t="s">
        <v>20840</v>
      </c>
    </row>
    <row r="11954" spans="6:8">
      <c r="H11954" t="s">
        <v>18829</v>
      </c>
    </row>
    <row r="11955" spans="6:8">
      <c r="H11955" t="s">
        <v>18863</v>
      </c>
    </row>
    <row r="11956" spans="6:8">
      <c r="H11956" t="s">
        <v>20454</v>
      </c>
    </row>
    <row r="11957" spans="6:8">
      <c r="H11957" t="s">
        <v>19349</v>
      </c>
    </row>
    <row r="11958" spans="6:8">
      <c r="H11958" t="s">
        <v>20209</v>
      </c>
    </row>
    <row r="11959" spans="6:8">
      <c r="F11959" t="s">
        <v>11870</v>
      </c>
      <c r="G11959" t="s">
        <v>16111</v>
      </c>
      <c r="H11959" t="s">
        <v>20841</v>
      </c>
    </row>
    <row r="11960" spans="6:8">
      <c r="H11960" t="s">
        <v>18829</v>
      </c>
    </row>
    <row r="11961" spans="6:8">
      <c r="H11961" t="s">
        <v>18863</v>
      </c>
    </row>
    <row r="11962" spans="6:8">
      <c r="H11962" t="s">
        <v>20454</v>
      </c>
    </row>
    <row r="11963" spans="6:8">
      <c r="H11963" t="s">
        <v>19349</v>
      </c>
    </row>
    <row r="11964" spans="6:8">
      <c r="H11964" t="s">
        <v>20209</v>
      </c>
    </row>
    <row r="11965" spans="6:8">
      <c r="F11965" t="s">
        <v>11871</v>
      </c>
      <c r="G11965" t="s">
        <v>16112</v>
      </c>
      <c r="H11965" t="s">
        <v>20842</v>
      </c>
    </row>
    <row r="11966" spans="6:8">
      <c r="H11966" t="s">
        <v>18829</v>
      </c>
    </row>
    <row r="11967" spans="6:8">
      <c r="H11967" t="s">
        <v>18863</v>
      </c>
    </row>
    <row r="11968" spans="6:8">
      <c r="H11968" t="s">
        <v>20454</v>
      </c>
    </row>
    <row r="11969" spans="6:8">
      <c r="H11969" t="s">
        <v>19349</v>
      </c>
    </row>
    <row r="11970" spans="6:8">
      <c r="H11970" t="s">
        <v>20209</v>
      </c>
    </row>
    <row r="11971" spans="6:8">
      <c r="F11971" t="s">
        <v>11872</v>
      </c>
      <c r="G11971" t="s">
        <v>16113</v>
      </c>
      <c r="H11971" t="s">
        <v>20843</v>
      </c>
    </row>
    <row r="11972" spans="6:8">
      <c r="H11972" t="s">
        <v>18829</v>
      </c>
    </row>
    <row r="11973" spans="6:8">
      <c r="H11973" t="s">
        <v>18863</v>
      </c>
    </row>
    <row r="11974" spans="6:8">
      <c r="H11974" t="s">
        <v>20454</v>
      </c>
    </row>
    <row r="11975" spans="6:8">
      <c r="H11975" t="s">
        <v>19349</v>
      </c>
    </row>
    <row r="11976" spans="6:8">
      <c r="H11976" t="s">
        <v>20209</v>
      </c>
    </row>
    <row r="11977" spans="6:8">
      <c r="F11977" t="s">
        <v>11873</v>
      </c>
      <c r="G11977" t="s">
        <v>16114</v>
      </c>
      <c r="H11977" t="s">
        <v>20844</v>
      </c>
    </row>
    <row r="11978" spans="6:8">
      <c r="H11978" t="s">
        <v>18829</v>
      </c>
    </row>
    <row r="11979" spans="6:8">
      <c r="H11979" t="s">
        <v>18863</v>
      </c>
    </row>
    <row r="11980" spans="6:8">
      <c r="H11980" t="s">
        <v>20454</v>
      </c>
    </row>
    <row r="11981" spans="6:8">
      <c r="H11981" t="s">
        <v>19349</v>
      </c>
    </row>
    <row r="11982" spans="6:8">
      <c r="H11982" t="s">
        <v>20209</v>
      </c>
    </row>
    <row r="11983" spans="6:8">
      <c r="F11983" t="s">
        <v>11874</v>
      </c>
      <c r="G11983" t="s">
        <v>16115</v>
      </c>
      <c r="H11983" t="s">
        <v>20845</v>
      </c>
    </row>
    <row r="11984" spans="6:8">
      <c r="H11984" t="s">
        <v>18829</v>
      </c>
    </row>
    <row r="11985" spans="6:8">
      <c r="H11985" t="s">
        <v>18863</v>
      </c>
    </row>
    <row r="11986" spans="6:8">
      <c r="H11986" t="s">
        <v>20454</v>
      </c>
    </row>
    <row r="11987" spans="6:8">
      <c r="H11987" t="s">
        <v>19349</v>
      </c>
    </row>
    <row r="11988" spans="6:8">
      <c r="H11988" t="s">
        <v>20209</v>
      </c>
    </row>
    <row r="11989" spans="6:8">
      <c r="F11989" t="s">
        <v>11875</v>
      </c>
      <c r="G11989" t="s">
        <v>16116</v>
      </c>
      <c r="H11989" t="s">
        <v>20846</v>
      </c>
    </row>
    <row r="11990" spans="6:8">
      <c r="H11990" t="s">
        <v>18829</v>
      </c>
    </row>
    <row r="11991" spans="6:8">
      <c r="H11991" t="s">
        <v>18863</v>
      </c>
    </row>
    <row r="11992" spans="6:8">
      <c r="H11992" t="s">
        <v>20454</v>
      </c>
    </row>
    <row r="11993" spans="6:8">
      <c r="H11993" t="s">
        <v>19349</v>
      </c>
    </row>
    <row r="11994" spans="6:8">
      <c r="H11994" t="s">
        <v>20209</v>
      </c>
    </row>
    <row r="11995" spans="6:8">
      <c r="F11995" t="s">
        <v>11876</v>
      </c>
      <c r="G11995" t="s">
        <v>16117</v>
      </c>
      <c r="H11995" t="s">
        <v>20847</v>
      </c>
    </row>
    <row r="11996" spans="6:8">
      <c r="H11996" t="s">
        <v>18829</v>
      </c>
    </row>
    <row r="11997" spans="6:8">
      <c r="H11997" t="s">
        <v>18863</v>
      </c>
    </row>
    <row r="11998" spans="6:8">
      <c r="H11998" t="s">
        <v>20454</v>
      </c>
    </row>
    <row r="11999" spans="6:8">
      <c r="H11999" t="s">
        <v>19349</v>
      </c>
    </row>
    <row r="12000" spans="6:8">
      <c r="H12000" t="s">
        <v>20209</v>
      </c>
    </row>
    <row r="12001" spans="6:8">
      <c r="F12001" t="s">
        <v>11877</v>
      </c>
      <c r="G12001" t="s">
        <v>16118</v>
      </c>
      <c r="H12001" t="s">
        <v>20848</v>
      </c>
    </row>
    <row r="12002" spans="6:8">
      <c r="H12002" t="s">
        <v>18829</v>
      </c>
    </row>
    <row r="12003" spans="6:8">
      <c r="H12003" t="s">
        <v>18863</v>
      </c>
    </row>
    <row r="12004" spans="6:8">
      <c r="H12004" t="s">
        <v>20454</v>
      </c>
    </row>
    <row r="12005" spans="6:8">
      <c r="H12005" t="s">
        <v>19349</v>
      </c>
    </row>
    <row r="12006" spans="6:8">
      <c r="H12006" t="s">
        <v>20209</v>
      </c>
    </row>
    <row r="12007" spans="6:8">
      <c r="F12007" t="s">
        <v>11878</v>
      </c>
      <c r="G12007" t="s">
        <v>16119</v>
      </c>
      <c r="H12007" t="s">
        <v>20849</v>
      </c>
    </row>
    <row r="12008" spans="6:8">
      <c r="H12008" t="s">
        <v>18829</v>
      </c>
    </row>
    <row r="12009" spans="6:8">
      <c r="H12009" t="s">
        <v>18863</v>
      </c>
    </row>
    <row r="12010" spans="6:8">
      <c r="H12010" t="s">
        <v>20454</v>
      </c>
    </row>
    <row r="12011" spans="6:8">
      <c r="H12011" t="s">
        <v>19349</v>
      </c>
    </row>
    <row r="12012" spans="6:8">
      <c r="H12012" t="s">
        <v>20209</v>
      </c>
    </row>
    <row r="12013" spans="6:8">
      <c r="F12013" t="s">
        <v>11879</v>
      </c>
      <c r="G12013" t="s">
        <v>16120</v>
      </c>
      <c r="H12013" t="s">
        <v>20850</v>
      </c>
    </row>
    <row r="12014" spans="6:8">
      <c r="H12014" t="s">
        <v>18829</v>
      </c>
    </row>
    <row r="12015" spans="6:8">
      <c r="H12015" t="s">
        <v>18863</v>
      </c>
    </row>
    <row r="12016" spans="6:8">
      <c r="H12016" t="s">
        <v>20454</v>
      </c>
    </row>
    <row r="12017" spans="6:8">
      <c r="H12017" t="s">
        <v>19349</v>
      </c>
    </row>
    <row r="12018" spans="6:8">
      <c r="H12018" t="s">
        <v>20209</v>
      </c>
    </row>
    <row r="12019" spans="6:8">
      <c r="F12019" t="s">
        <v>11880</v>
      </c>
      <c r="G12019" t="s">
        <v>16121</v>
      </c>
      <c r="H12019" t="s">
        <v>20851</v>
      </c>
    </row>
    <row r="12020" spans="6:8">
      <c r="H12020" t="s">
        <v>18829</v>
      </c>
    </row>
    <row r="12021" spans="6:8">
      <c r="H12021" t="s">
        <v>18863</v>
      </c>
    </row>
    <row r="12022" spans="6:8">
      <c r="H12022" t="s">
        <v>20454</v>
      </c>
    </row>
    <row r="12023" spans="6:8">
      <c r="H12023" t="s">
        <v>19349</v>
      </c>
    </row>
    <row r="12024" spans="6:8">
      <c r="H12024" t="s">
        <v>20209</v>
      </c>
    </row>
    <row r="12025" spans="6:8">
      <c r="F12025" t="s">
        <v>11881</v>
      </c>
      <c r="G12025" t="s">
        <v>16122</v>
      </c>
      <c r="H12025" t="s">
        <v>20852</v>
      </c>
    </row>
    <row r="12026" spans="6:8">
      <c r="H12026" t="s">
        <v>18829</v>
      </c>
    </row>
    <row r="12027" spans="6:8">
      <c r="H12027" t="s">
        <v>18863</v>
      </c>
    </row>
    <row r="12028" spans="6:8">
      <c r="H12028" t="s">
        <v>20454</v>
      </c>
    </row>
    <row r="12029" spans="6:8">
      <c r="H12029" t="s">
        <v>19349</v>
      </c>
    </row>
    <row r="12030" spans="6:8">
      <c r="H12030" t="s">
        <v>20209</v>
      </c>
    </row>
    <row r="12031" spans="6:8">
      <c r="F12031" t="s">
        <v>11882</v>
      </c>
      <c r="G12031" t="s">
        <v>16123</v>
      </c>
      <c r="H12031" t="s">
        <v>20853</v>
      </c>
    </row>
    <row r="12032" spans="6:8">
      <c r="H12032" t="s">
        <v>18829</v>
      </c>
    </row>
    <row r="12033" spans="6:8">
      <c r="H12033" t="s">
        <v>18863</v>
      </c>
    </row>
    <row r="12034" spans="6:8">
      <c r="H12034" t="s">
        <v>20454</v>
      </c>
    </row>
    <row r="12035" spans="6:8">
      <c r="H12035" t="s">
        <v>19349</v>
      </c>
    </row>
    <row r="12036" spans="6:8">
      <c r="H12036" t="s">
        <v>20209</v>
      </c>
    </row>
    <row r="12037" spans="6:8">
      <c r="F12037" t="s">
        <v>11883</v>
      </c>
      <c r="G12037" t="s">
        <v>16124</v>
      </c>
      <c r="H12037" t="s">
        <v>20854</v>
      </c>
    </row>
    <row r="12038" spans="6:8">
      <c r="H12038" t="s">
        <v>18829</v>
      </c>
    </row>
    <row r="12039" spans="6:8">
      <c r="H12039" t="s">
        <v>18863</v>
      </c>
    </row>
    <row r="12040" spans="6:8">
      <c r="H12040" t="s">
        <v>20454</v>
      </c>
    </row>
    <row r="12041" spans="6:8">
      <c r="H12041" t="s">
        <v>19349</v>
      </c>
    </row>
    <row r="12042" spans="6:8">
      <c r="H12042" t="s">
        <v>20209</v>
      </c>
    </row>
    <row r="12043" spans="6:8">
      <c r="F12043" t="s">
        <v>11884</v>
      </c>
      <c r="G12043" t="s">
        <v>16125</v>
      </c>
      <c r="H12043" t="s">
        <v>20855</v>
      </c>
    </row>
    <row r="12044" spans="6:8">
      <c r="H12044" t="s">
        <v>18829</v>
      </c>
    </row>
    <row r="12045" spans="6:8">
      <c r="H12045" t="s">
        <v>18863</v>
      </c>
    </row>
    <row r="12046" spans="6:8">
      <c r="H12046" t="s">
        <v>20454</v>
      </c>
    </row>
    <row r="12047" spans="6:8">
      <c r="H12047" t="s">
        <v>19349</v>
      </c>
    </row>
    <row r="12048" spans="6:8">
      <c r="H12048" t="s">
        <v>20209</v>
      </c>
    </row>
    <row r="12049" spans="6:8">
      <c r="F12049" t="s">
        <v>11885</v>
      </c>
      <c r="G12049" t="s">
        <v>16126</v>
      </c>
      <c r="H12049" t="s">
        <v>20856</v>
      </c>
    </row>
    <row r="12050" spans="6:8">
      <c r="H12050" t="s">
        <v>18829</v>
      </c>
    </row>
    <row r="12051" spans="6:8">
      <c r="H12051" t="s">
        <v>18863</v>
      </c>
    </row>
    <row r="12052" spans="6:8">
      <c r="H12052" t="s">
        <v>20454</v>
      </c>
    </row>
    <row r="12053" spans="6:8">
      <c r="H12053" t="s">
        <v>19349</v>
      </c>
    </row>
    <row r="12054" spans="6:8">
      <c r="H12054" t="s">
        <v>20209</v>
      </c>
    </row>
    <row r="12055" spans="6:8">
      <c r="F12055" t="s">
        <v>11886</v>
      </c>
      <c r="G12055" t="s">
        <v>16127</v>
      </c>
      <c r="H12055" t="s">
        <v>20857</v>
      </c>
    </row>
    <row r="12056" spans="6:8">
      <c r="H12056" t="s">
        <v>18829</v>
      </c>
    </row>
    <row r="12057" spans="6:8">
      <c r="H12057" t="s">
        <v>18863</v>
      </c>
    </row>
    <row r="12058" spans="6:8">
      <c r="H12058" t="s">
        <v>20454</v>
      </c>
    </row>
    <row r="12059" spans="6:8">
      <c r="H12059" t="s">
        <v>19349</v>
      </c>
    </row>
    <row r="12060" spans="6:8">
      <c r="H12060" t="s">
        <v>20209</v>
      </c>
    </row>
    <row r="12061" spans="6:8">
      <c r="F12061" t="s">
        <v>11887</v>
      </c>
      <c r="G12061" t="s">
        <v>16128</v>
      </c>
      <c r="H12061" t="s">
        <v>20858</v>
      </c>
    </row>
    <row r="12062" spans="6:8">
      <c r="H12062" t="s">
        <v>18829</v>
      </c>
    </row>
    <row r="12063" spans="6:8">
      <c r="H12063" t="s">
        <v>18863</v>
      </c>
    </row>
    <row r="12064" spans="6:8">
      <c r="H12064" t="s">
        <v>20454</v>
      </c>
    </row>
    <row r="12065" spans="6:8">
      <c r="H12065" t="s">
        <v>19349</v>
      </c>
    </row>
    <row r="12066" spans="6:8">
      <c r="H12066" t="s">
        <v>20209</v>
      </c>
    </row>
    <row r="12067" spans="6:8">
      <c r="F12067" t="s">
        <v>11888</v>
      </c>
      <c r="G12067" t="s">
        <v>16129</v>
      </c>
      <c r="H12067" t="s">
        <v>20859</v>
      </c>
    </row>
    <row r="12068" spans="6:8">
      <c r="H12068" t="s">
        <v>18829</v>
      </c>
    </row>
    <row r="12069" spans="6:8">
      <c r="H12069" t="s">
        <v>18863</v>
      </c>
    </row>
    <row r="12070" spans="6:8">
      <c r="H12070" t="s">
        <v>20454</v>
      </c>
    </row>
    <row r="12071" spans="6:8">
      <c r="H12071" t="s">
        <v>19349</v>
      </c>
    </row>
    <row r="12072" spans="6:8">
      <c r="H12072" t="s">
        <v>20209</v>
      </c>
    </row>
    <row r="12073" spans="6:8">
      <c r="F12073" t="s">
        <v>11889</v>
      </c>
      <c r="G12073" t="s">
        <v>16130</v>
      </c>
      <c r="H12073" t="s">
        <v>20860</v>
      </c>
    </row>
    <row r="12074" spans="6:8">
      <c r="H12074" t="s">
        <v>18829</v>
      </c>
    </row>
    <row r="12075" spans="6:8">
      <c r="H12075" t="s">
        <v>18863</v>
      </c>
    </row>
    <row r="12076" spans="6:8">
      <c r="H12076" t="s">
        <v>20454</v>
      </c>
    </row>
    <row r="12077" spans="6:8">
      <c r="H12077" t="s">
        <v>19349</v>
      </c>
    </row>
    <row r="12078" spans="6:8">
      <c r="H12078" t="s">
        <v>20209</v>
      </c>
    </row>
    <row r="12079" spans="6:8">
      <c r="F12079" t="s">
        <v>11890</v>
      </c>
      <c r="G12079" t="s">
        <v>16131</v>
      </c>
      <c r="H12079" t="s">
        <v>20861</v>
      </c>
    </row>
    <row r="12080" spans="6:8">
      <c r="H12080" t="s">
        <v>18829</v>
      </c>
    </row>
    <row r="12081" spans="6:8">
      <c r="H12081" t="s">
        <v>18863</v>
      </c>
    </row>
    <row r="12082" spans="6:8">
      <c r="H12082" t="s">
        <v>20454</v>
      </c>
    </row>
    <row r="12083" spans="6:8">
      <c r="H12083" t="s">
        <v>19349</v>
      </c>
    </row>
    <row r="12084" spans="6:8">
      <c r="H12084" t="s">
        <v>20209</v>
      </c>
    </row>
    <row r="12085" spans="6:8">
      <c r="F12085" t="s">
        <v>11891</v>
      </c>
      <c r="G12085" t="s">
        <v>16132</v>
      </c>
      <c r="H12085" t="s">
        <v>20862</v>
      </c>
    </row>
    <row r="12086" spans="6:8">
      <c r="H12086" t="s">
        <v>18829</v>
      </c>
    </row>
    <row r="12087" spans="6:8">
      <c r="H12087" t="s">
        <v>18863</v>
      </c>
    </row>
    <row r="12088" spans="6:8">
      <c r="H12088" t="s">
        <v>20454</v>
      </c>
    </row>
    <row r="12089" spans="6:8">
      <c r="H12089" t="s">
        <v>19349</v>
      </c>
    </row>
    <row r="12090" spans="6:8">
      <c r="H12090" t="s">
        <v>20209</v>
      </c>
    </row>
    <row r="12091" spans="6:8">
      <c r="F12091" t="s">
        <v>11892</v>
      </c>
      <c r="G12091" t="s">
        <v>16133</v>
      </c>
      <c r="H12091" t="s">
        <v>20863</v>
      </c>
    </row>
    <row r="12092" spans="6:8">
      <c r="H12092" t="s">
        <v>18829</v>
      </c>
    </row>
    <row r="12093" spans="6:8">
      <c r="H12093" t="s">
        <v>18863</v>
      </c>
    </row>
    <row r="12094" spans="6:8">
      <c r="H12094" t="s">
        <v>20454</v>
      </c>
    </row>
    <row r="12095" spans="6:8">
      <c r="H12095" t="s">
        <v>19349</v>
      </c>
    </row>
    <row r="12096" spans="6:8">
      <c r="H12096" t="s">
        <v>20209</v>
      </c>
    </row>
    <row r="12097" spans="6:8">
      <c r="F12097" t="s">
        <v>11893</v>
      </c>
      <c r="G12097" t="s">
        <v>16134</v>
      </c>
      <c r="H12097" t="s">
        <v>20864</v>
      </c>
    </row>
    <row r="12098" spans="6:8">
      <c r="H12098" t="s">
        <v>18829</v>
      </c>
    </row>
    <row r="12099" spans="6:8">
      <c r="H12099" t="s">
        <v>18863</v>
      </c>
    </row>
    <row r="12100" spans="6:8">
      <c r="H12100" t="s">
        <v>20454</v>
      </c>
    </row>
    <row r="12101" spans="6:8">
      <c r="H12101" t="s">
        <v>19349</v>
      </c>
    </row>
    <row r="12102" spans="6:8">
      <c r="H12102" t="s">
        <v>20209</v>
      </c>
    </row>
    <row r="12103" spans="6:8">
      <c r="F12103" t="s">
        <v>11894</v>
      </c>
      <c r="G12103" t="s">
        <v>16135</v>
      </c>
      <c r="H12103" t="s">
        <v>20865</v>
      </c>
    </row>
    <row r="12104" spans="6:8">
      <c r="H12104" t="s">
        <v>18829</v>
      </c>
    </row>
    <row r="12105" spans="6:8">
      <c r="H12105" t="s">
        <v>18863</v>
      </c>
    </row>
    <row r="12106" spans="6:8">
      <c r="H12106" t="s">
        <v>20454</v>
      </c>
    </row>
    <row r="12107" spans="6:8">
      <c r="H12107" t="s">
        <v>19349</v>
      </c>
    </row>
    <row r="12108" spans="6:8">
      <c r="H12108" t="s">
        <v>20209</v>
      </c>
    </row>
    <row r="12109" spans="6:8">
      <c r="F12109" t="s">
        <v>11895</v>
      </c>
      <c r="G12109" t="s">
        <v>16136</v>
      </c>
      <c r="H12109" t="s">
        <v>20866</v>
      </c>
    </row>
    <row r="12110" spans="6:8">
      <c r="H12110" t="s">
        <v>18829</v>
      </c>
    </row>
    <row r="12111" spans="6:8">
      <c r="H12111" t="s">
        <v>18863</v>
      </c>
    </row>
    <row r="12112" spans="6:8">
      <c r="H12112" t="s">
        <v>20454</v>
      </c>
    </row>
    <row r="12113" spans="6:8">
      <c r="H12113" t="s">
        <v>19349</v>
      </c>
    </row>
    <row r="12114" spans="6:8">
      <c r="H12114" t="s">
        <v>20209</v>
      </c>
    </row>
    <row r="12115" spans="6:8">
      <c r="F12115" t="s">
        <v>11896</v>
      </c>
      <c r="G12115" t="s">
        <v>16137</v>
      </c>
      <c r="H12115" t="s">
        <v>20867</v>
      </c>
    </row>
    <row r="12116" spans="6:8">
      <c r="H12116" t="s">
        <v>18829</v>
      </c>
    </row>
    <row r="12117" spans="6:8">
      <c r="H12117" t="s">
        <v>18863</v>
      </c>
    </row>
    <row r="12118" spans="6:8">
      <c r="H12118" t="s">
        <v>20454</v>
      </c>
    </row>
    <row r="12119" spans="6:8">
      <c r="H12119" t="s">
        <v>19349</v>
      </c>
    </row>
    <row r="12120" spans="6:8">
      <c r="H12120" t="s">
        <v>20209</v>
      </c>
    </row>
    <row r="12121" spans="6:8">
      <c r="F12121" t="s">
        <v>11897</v>
      </c>
      <c r="G12121" t="s">
        <v>16138</v>
      </c>
      <c r="H12121" t="s">
        <v>20868</v>
      </c>
    </row>
    <row r="12122" spans="6:8">
      <c r="H12122" t="s">
        <v>18829</v>
      </c>
    </row>
    <row r="12123" spans="6:8">
      <c r="H12123" t="s">
        <v>18863</v>
      </c>
    </row>
    <row r="12124" spans="6:8">
      <c r="H12124" t="s">
        <v>20454</v>
      </c>
    </row>
    <row r="12125" spans="6:8">
      <c r="H12125" t="s">
        <v>19349</v>
      </c>
    </row>
    <row r="12126" spans="6:8">
      <c r="H12126" t="s">
        <v>20209</v>
      </c>
    </row>
    <row r="12127" spans="6:8">
      <c r="F12127" t="s">
        <v>11898</v>
      </c>
      <c r="G12127" t="s">
        <v>16139</v>
      </c>
      <c r="H12127" t="s">
        <v>20869</v>
      </c>
    </row>
    <row r="12128" spans="6:8">
      <c r="H12128" t="s">
        <v>18829</v>
      </c>
    </row>
    <row r="12129" spans="6:8">
      <c r="H12129" t="s">
        <v>18863</v>
      </c>
    </row>
    <row r="12130" spans="6:8">
      <c r="H12130" t="s">
        <v>20454</v>
      </c>
    </row>
    <row r="12131" spans="6:8">
      <c r="H12131" t="s">
        <v>19349</v>
      </c>
    </row>
    <row r="12132" spans="6:8">
      <c r="H12132" t="s">
        <v>20209</v>
      </c>
    </row>
    <row r="12133" spans="6:8">
      <c r="F12133" t="s">
        <v>11899</v>
      </c>
      <c r="G12133" t="s">
        <v>16140</v>
      </c>
      <c r="H12133" t="s">
        <v>20870</v>
      </c>
    </row>
    <row r="12134" spans="6:8">
      <c r="H12134" t="s">
        <v>18829</v>
      </c>
    </row>
    <row r="12135" spans="6:8">
      <c r="H12135" t="s">
        <v>18863</v>
      </c>
    </row>
    <row r="12136" spans="6:8">
      <c r="H12136" t="s">
        <v>20454</v>
      </c>
    </row>
    <row r="12137" spans="6:8">
      <c r="H12137" t="s">
        <v>19349</v>
      </c>
    </row>
    <row r="12138" spans="6:8">
      <c r="H12138" t="s">
        <v>20209</v>
      </c>
    </row>
    <row r="12139" spans="6:8">
      <c r="F12139" t="s">
        <v>11900</v>
      </c>
      <c r="G12139" t="s">
        <v>16141</v>
      </c>
      <c r="H12139" t="s">
        <v>20871</v>
      </c>
    </row>
    <row r="12140" spans="6:8">
      <c r="H12140" t="s">
        <v>18829</v>
      </c>
    </row>
    <row r="12141" spans="6:8">
      <c r="H12141" t="s">
        <v>18863</v>
      </c>
    </row>
    <row r="12142" spans="6:8">
      <c r="H12142" t="s">
        <v>20454</v>
      </c>
    </row>
    <row r="12143" spans="6:8">
      <c r="H12143" t="s">
        <v>19349</v>
      </c>
    </row>
    <row r="12144" spans="6:8">
      <c r="H12144" t="s">
        <v>20209</v>
      </c>
    </row>
    <row r="12145" spans="6:8">
      <c r="F12145" t="s">
        <v>11901</v>
      </c>
      <c r="G12145" t="s">
        <v>16142</v>
      </c>
      <c r="H12145" t="s">
        <v>20872</v>
      </c>
    </row>
    <row r="12146" spans="6:8">
      <c r="H12146" t="s">
        <v>18829</v>
      </c>
    </row>
    <row r="12147" spans="6:8">
      <c r="H12147" t="s">
        <v>18863</v>
      </c>
    </row>
    <row r="12148" spans="6:8">
      <c r="H12148" t="s">
        <v>20454</v>
      </c>
    </row>
    <row r="12149" spans="6:8">
      <c r="H12149" t="s">
        <v>19349</v>
      </c>
    </row>
    <row r="12150" spans="6:8">
      <c r="H12150" t="s">
        <v>20209</v>
      </c>
    </row>
    <row r="12151" spans="6:8">
      <c r="F12151" t="s">
        <v>11902</v>
      </c>
      <c r="G12151" t="s">
        <v>16143</v>
      </c>
      <c r="H12151" t="s">
        <v>20873</v>
      </c>
    </row>
    <row r="12152" spans="6:8">
      <c r="H12152" t="s">
        <v>18829</v>
      </c>
    </row>
    <row r="12153" spans="6:8">
      <c r="H12153" t="s">
        <v>18863</v>
      </c>
    </row>
    <row r="12154" spans="6:8">
      <c r="H12154" t="s">
        <v>20454</v>
      </c>
    </row>
    <row r="12155" spans="6:8">
      <c r="H12155" t="s">
        <v>19349</v>
      </c>
    </row>
    <row r="12156" spans="6:8">
      <c r="H12156" t="s">
        <v>20209</v>
      </c>
    </row>
    <row r="12157" spans="6:8">
      <c r="F12157" t="s">
        <v>11903</v>
      </c>
      <c r="G12157" t="s">
        <v>16144</v>
      </c>
      <c r="H12157" t="s">
        <v>20874</v>
      </c>
    </row>
    <row r="12158" spans="6:8">
      <c r="H12158" t="s">
        <v>18829</v>
      </c>
    </row>
    <row r="12159" spans="6:8">
      <c r="H12159" t="s">
        <v>18863</v>
      </c>
    </row>
    <row r="12160" spans="6:8">
      <c r="H12160" t="s">
        <v>20454</v>
      </c>
    </row>
    <row r="12161" spans="6:8">
      <c r="H12161" t="s">
        <v>19349</v>
      </c>
    </row>
    <row r="12162" spans="6:8">
      <c r="H12162" t="s">
        <v>20209</v>
      </c>
    </row>
    <row r="12163" spans="6:8">
      <c r="F12163" t="s">
        <v>11904</v>
      </c>
      <c r="G12163" t="s">
        <v>16145</v>
      </c>
      <c r="H12163" t="s">
        <v>20875</v>
      </c>
    </row>
    <row r="12164" spans="6:8">
      <c r="H12164" t="s">
        <v>18829</v>
      </c>
    </row>
    <row r="12165" spans="6:8">
      <c r="H12165" t="s">
        <v>18863</v>
      </c>
    </row>
    <row r="12166" spans="6:8">
      <c r="H12166" t="s">
        <v>20454</v>
      </c>
    </row>
    <row r="12167" spans="6:8">
      <c r="H12167" t="s">
        <v>19349</v>
      </c>
    </row>
    <row r="12168" spans="6:8">
      <c r="H12168" t="s">
        <v>20209</v>
      </c>
    </row>
    <row r="12169" spans="6:8">
      <c r="F12169" t="s">
        <v>11905</v>
      </c>
      <c r="G12169" t="s">
        <v>16146</v>
      </c>
      <c r="H12169" t="s">
        <v>20876</v>
      </c>
    </row>
    <row r="12170" spans="6:8">
      <c r="H12170" t="s">
        <v>18829</v>
      </c>
    </row>
    <row r="12171" spans="6:8">
      <c r="H12171" t="s">
        <v>18863</v>
      </c>
    </row>
    <row r="12172" spans="6:8">
      <c r="H12172" t="s">
        <v>20454</v>
      </c>
    </row>
    <row r="12173" spans="6:8">
      <c r="H12173" t="s">
        <v>19349</v>
      </c>
    </row>
    <row r="12174" spans="6:8">
      <c r="H12174" t="s">
        <v>20209</v>
      </c>
    </row>
    <row r="12175" spans="6:8">
      <c r="F12175" t="s">
        <v>11906</v>
      </c>
      <c r="G12175" t="s">
        <v>16147</v>
      </c>
      <c r="H12175" t="s">
        <v>20877</v>
      </c>
    </row>
    <row r="12176" spans="6:8">
      <c r="H12176" t="s">
        <v>18829</v>
      </c>
    </row>
    <row r="12177" spans="6:8">
      <c r="H12177" t="s">
        <v>18863</v>
      </c>
    </row>
    <row r="12178" spans="6:8">
      <c r="H12178" t="s">
        <v>20454</v>
      </c>
    </row>
    <row r="12179" spans="6:8">
      <c r="H12179" t="s">
        <v>19349</v>
      </c>
    </row>
    <row r="12180" spans="6:8">
      <c r="H12180" t="s">
        <v>20209</v>
      </c>
    </row>
    <row r="12181" spans="6:8">
      <c r="F12181" t="s">
        <v>11907</v>
      </c>
      <c r="G12181" t="s">
        <v>16148</v>
      </c>
      <c r="H12181" t="s">
        <v>20878</v>
      </c>
    </row>
    <row r="12182" spans="6:8">
      <c r="H12182" t="s">
        <v>18829</v>
      </c>
    </row>
    <row r="12183" spans="6:8">
      <c r="H12183" t="s">
        <v>18863</v>
      </c>
    </row>
    <row r="12184" spans="6:8">
      <c r="H12184" t="s">
        <v>20454</v>
      </c>
    </row>
    <row r="12185" spans="6:8">
      <c r="H12185" t="s">
        <v>19349</v>
      </c>
    </row>
    <row r="12186" spans="6:8">
      <c r="H12186" t="s">
        <v>20209</v>
      </c>
    </row>
    <row r="12187" spans="6:8">
      <c r="F12187" t="s">
        <v>11908</v>
      </c>
      <c r="G12187" t="s">
        <v>16149</v>
      </c>
      <c r="H12187" t="s">
        <v>20879</v>
      </c>
    </row>
    <row r="12188" spans="6:8">
      <c r="H12188" t="s">
        <v>18829</v>
      </c>
    </row>
    <row r="12189" spans="6:8">
      <c r="H12189" t="s">
        <v>18863</v>
      </c>
    </row>
    <row r="12190" spans="6:8">
      <c r="H12190" t="s">
        <v>20454</v>
      </c>
    </row>
    <row r="12191" spans="6:8">
      <c r="H12191" t="s">
        <v>19349</v>
      </c>
    </row>
    <row r="12192" spans="6:8">
      <c r="H12192" t="s">
        <v>20209</v>
      </c>
    </row>
    <row r="12193" spans="6:8">
      <c r="F12193" t="s">
        <v>11909</v>
      </c>
      <c r="G12193" t="s">
        <v>16150</v>
      </c>
      <c r="H12193" t="s">
        <v>20880</v>
      </c>
    </row>
    <row r="12194" spans="6:8">
      <c r="H12194" t="s">
        <v>18829</v>
      </c>
    </row>
    <row r="12195" spans="6:8">
      <c r="H12195" t="s">
        <v>18863</v>
      </c>
    </row>
    <row r="12196" spans="6:8">
      <c r="H12196" t="s">
        <v>20454</v>
      </c>
    </row>
    <row r="12197" spans="6:8">
      <c r="H12197" t="s">
        <v>19349</v>
      </c>
    </row>
    <row r="12198" spans="6:8">
      <c r="H12198" t="s">
        <v>20209</v>
      </c>
    </row>
    <row r="12199" spans="6:8">
      <c r="F12199" t="s">
        <v>11910</v>
      </c>
      <c r="G12199" t="s">
        <v>16151</v>
      </c>
      <c r="H12199" t="s">
        <v>20881</v>
      </c>
    </row>
    <row r="12200" spans="6:8">
      <c r="H12200" t="s">
        <v>18829</v>
      </c>
    </row>
    <row r="12201" spans="6:8">
      <c r="H12201" t="s">
        <v>18863</v>
      </c>
    </row>
    <row r="12202" spans="6:8">
      <c r="H12202" t="s">
        <v>20454</v>
      </c>
    </row>
    <row r="12203" spans="6:8">
      <c r="H12203" t="s">
        <v>19349</v>
      </c>
    </row>
    <row r="12204" spans="6:8">
      <c r="H12204" t="s">
        <v>20209</v>
      </c>
    </row>
    <row r="12205" spans="6:8">
      <c r="F12205" t="s">
        <v>11911</v>
      </c>
      <c r="G12205" t="s">
        <v>16152</v>
      </c>
      <c r="H12205" t="s">
        <v>20882</v>
      </c>
    </row>
    <row r="12206" spans="6:8">
      <c r="H12206" t="s">
        <v>18829</v>
      </c>
    </row>
    <row r="12207" spans="6:8">
      <c r="H12207" t="s">
        <v>18863</v>
      </c>
    </row>
    <row r="12208" spans="6:8">
      <c r="H12208" t="s">
        <v>20454</v>
      </c>
    </row>
    <row r="12209" spans="6:8">
      <c r="H12209" t="s">
        <v>19349</v>
      </c>
    </row>
    <row r="12210" spans="6:8">
      <c r="H12210" t="s">
        <v>20209</v>
      </c>
    </row>
    <row r="12211" spans="6:8">
      <c r="F12211" t="s">
        <v>11912</v>
      </c>
      <c r="G12211" t="s">
        <v>16153</v>
      </c>
      <c r="H12211" t="s">
        <v>20883</v>
      </c>
    </row>
    <row r="12212" spans="6:8">
      <c r="H12212" t="s">
        <v>18829</v>
      </c>
    </row>
    <row r="12213" spans="6:8">
      <c r="H12213" t="s">
        <v>18863</v>
      </c>
    </row>
    <row r="12214" spans="6:8">
      <c r="H12214" t="s">
        <v>20454</v>
      </c>
    </row>
    <row r="12215" spans="6:8">
      <c r="H12215" t="s">
        <v>19349</v>
      </c>
    </row>
    <row r="12216" spans="6:8">
      <c r="H12216" t="s">
        <v>20209</v>
      </c>
    </row>
    <row r="12217" spans="6:8">
      <c r="F12217" t="s">
        <v>11913</v>
      </c>
      <c r="G12217" t="s">
        <v>16154</v>
      </c>
      <c r="H12217" t="s">
        <v>20884</v>
      </c>
    </row>
    <row r="12218" spans="6:8">
      <c r="H12218" t="s">
        <v>18829</v>
      </c>
    </row>
    <row r="12219" spans="6:8">
      <c r="H12219" t="s">
        <v>18863</v>
      </c>
    </row>
    <row r="12220" spans="6:8">
      <c r="H12220" t="s">
        <v>20454</v>
      </c>
    </row>
    <row r="12221" spans="6:8">
      <c r="H12221" t="s">
        <v>19349</v>
      </c>
    </row>
    <row r="12222" spans="6:8">
      <c r="H12222" t="s">
        <v>20209</v>
      </c>
    </row>
    <row r="12223" spans="6:8">
      <c r="F12223" t="s">
        <v>11914</v>
      </c>
      <c r="G12223" t="s">
        <v>16155</v>
      </c>
      <c r="H12223" t="s">
        <v>20885</v>
      </c>
    </row>
    <row r="12224" spans="6:8">
      <c r="H12224" t="s">
        <v>18829</v>
      </c>
    </row>
    <row r="12225" spans="6:8">
      <c r="H12225" t="s">
        <v>18863</v>
      </c>
    </row>
    <row r="12226" spans="6:8">
      <c r="H12226" t="s">
        <v>20454</v>
      </c>
    </row>
    <row r="12227" spans="6:8">
      <c r="H12227" t="s">
        <v>19349</v>
      </c>
    </row>
    <row r="12228" spans="6:8">
      <c r="H12228" t="s">
        <v>20209</v>
      </c>
    </row>
    <row r="12229" spans="6:8">
      <c r="F12229" t="s">
        <v>11915</v>
      </c>
      <c r="G12229" t="s">
        <v>16156</v>
      </c>
      <c r="H12229" t="s">
        <v>20886</v>
      </c>
    </row>
    <row r="12230" spans="6:8">
      <c r="H12230" t="s">
        <v>18829</v>
      </c>
    </row>
    <row r="12231" spans="6:8">
      <c r="H12231" t="s">
        <v>18863</v>
      </c>
    </row>
    <row r="12232" spans="6:8">
      <c r="H12232" t="s">
        <v>20454</v>
      </c>
    </row>
    <row r="12233" spans="6:8">
      <c r="H12233" t="s">
        <v>19349</v>
      </c>
    </row>
    <row r="12234" spans="6:8">
      <c r="H12234" t="s">
        <v>20209</v>
      </c>
    </row>
    <row r="12235" spans="6:8">
      <c r="F12235" t="s">
        <v>11916</v>
      </c>
      <c r="G12235" t="s">
        <v>16157</v>
      </c>
      <c r="H12235" t="s">
        <v>20887</v>
      </c>
    </row>
    <row r="12236" spans="6:8">
      <c r="H12236" t="s">
        <v>18829</v>
      </c>
    </row>
    <row r="12237" spans="6:8">
      <c r="H12237" t="s">
        <v>18863</v>
      </c>
    </row>
    <row r="12238" spans="6:8">
      <c r="H12238" t="s">
        <v>20454</v>
      </c>
    </row>
    <row r="12239" spans="6:8">
      <c r="H12239" t="s">
        <v>19349</v>
      </c>
    </row>
    <row r="12240" spans="6:8">
      <c r="H12240" t="s">
        <v>20209</v>
      </c>
    </row>
    <row r="12241" spans="6:8">
      <c r="F12241" t="s">
        <v>11917</v>
      </c>
      <c r="G12241" t="s">
        <v>16158</v>
      </c>
      <c r="H12241" t="s">
        <v>20888</v>
      </c>
    </row>
    <row r="12242" spans="6:8">
      <c r="H12242" t="s">
        <v>18829</v>
      </c>
    </row>
    <row r="12243" spans="6:8">
      <c r="H12243" t="s">
        <v>18863</v>
      </c>
    </row>
    <row r="12244" spans="6:8">
      <c r="H12244" t="s">
        <v>20454</v>
      </c>
    </row>
    <row r="12245" spans="6:8">
      <c r="H12245" t="s">
        <v>19349</v>
      </c>
    </row>
    <row r="12246" spans="6:8">
      <c r="H12246" t="s">
        <v>20209</v>
      </c>
    </row>
    <row r="12247" spans="6:8">
      <c r="F12247" t="s">
        <v>11918</v>
      </c>
      <c r="G12247" t="s">
        <v>16159</v>
      </c>
      <c r="H12247" t="s">
        <v>20889</v>
      </c>
    </row>
    <row r="12248" spans="6:8">
      <c r="H12248" t="s">
        <v>18829</v>
      </c>
    </row>
    <row r="12249" spans="6:8">
      <c r="H12249" t="s">
        <v>18863</v>
      </c>
    </row>
    <row r="12250" spans="6:8">
      <c r="H12250" t="s">
        <v>20454</v>
      </c>
    </row>
    <row r="12251" spans="6:8">
      <c r="H12251" t="s">
        <v>19349</v>
      </c>
    </row>
    <row r="12252" spans="6:8">
      <c r="H12252" t="s">
        <v>20209</v>
      </c>
    </row>
    <row r="12253" spans="6:8">
      <c r="F12253" t="s">
        <v>11919</v>
      </c>
      <c r="G12253" t="s">
        <v>16160</v>
      </c>
      <c r="H12253" t="s">
        <v>20890</v>
      </c>
    </row>
    <row r="12254" spans="6:8">
      <c r="H12254" t="s">
        <v>18829</v>
      </c>
    </row>
    <row r="12255" spans="6:8">
      <c r="H12255" t="s">
        <v>18863</v>
      </c>
    </row>
    <row r="12256" spans="6:8">
      <c r="H12256" t="s">
        <v>20454</v>
      </c>
    </row>
    <row r="12257" spans="6:8">
      <c r="H12257" t="s">
        <v>19349</v>
      </c>
    </row>
    <row r="12258" spans="6:8">
      <c r="H12258" t="s">
        <v>20209</v>
      </c>
    </row>
    <row r="12259" spans="6:8">
      <c r="F12259" t="s">
        <v>11920</v>
      </c>
      <c r="G12259" t="s">
        <v>16161</v>
      </c>
      <c r="H12259" t="s">
        <v>20891</v>
      </c>
    </row>
    <row r="12260" spans="6:8">
      <c r="H12260" t="s">
        <v>18829</v>
      </c>
    </row>
    <row r="12261" spans="6:8">
      <c r="H12261" t="s">
        <v>18863</v>
      </c>
    </row>
    <row r="12262" spans="6:8">
      <c r="H12262" t="s">
        <v>20454</v>
      </c>
    </row>
    <row r="12263" spans="6:8">
      <c r="H12263" t="s">
        <v>19349</v>
      </c>
    </row>
    <row r="12264" spans="6:8">
      <c r="H12264" t="s">
        <v>20209</v>
      </c>
    </row>
    <row r="12265" spans="6:8">
      <c r="F12265" t="s">
        <v>11921</v>
      </c>
      <c r="G12265" t="s">
        <v>16162</v>
      </c>
      <c r="H12265" t="s">
        <v>20892</v>
      </c>
    </row>
    <row r="12266" spans="6:8">
      <c r="H12266" t="s">
        <v>18829</v>
      </c>
    </row>
    <row r="12267" spans="6:8">
      <c r="H12267" t="s">
        <v>18863</v>
      </c>
    </row>
    <row r="12268" spans="6:8">
      <c r="H12268" t="s">
        <v>20454</v>
      </c>
    </row>
    <row r="12269" spans="6:8">
      <c r="H12269" t="s">
        <v>19349</v>
      </c>
    </row>
    <row r="12270" spans="6:8">
      <c r="H12270" t="s">
        <v>20209</v>
      </c>
    </row>
    <row r="12271" spans="6:8">
      <c r="F12271" t="s">
        <v>11922</v>
      </c>
      <c r="G12271" t="s">
        <v>16163</v>
      </c>
      <c r="H12271" t="s">
        <v>20893</v>
      </c>
    </row>
    <row r="12272" spans="6:8">
      <c r="H12272" t="s">
        <v>18829</v>
      </c>
    </row>
    <row r="12273" spans="6:8">
      <c r="H12273" t="s">
        <v>18863</v>
      </c>
    </row>
    <row r="12274" spans="6:8">
      <c r="H12274" t="s">
        <v>20454</v>
      </c>
    </row>
    <row r="12275" spans="6:8">
      <c r="H12275" t="s">
        <v>19349</v>
      </c>
    </row>
    <row r="12276" spans="6:8">
      <c r="H12276" t="s">
        <v>20209</v>
      </c>
    </row>
    <row r="12277" spans="6:8">
      <c r="F12277" t="s">
        <v>11923</v>
      </c>
      <c r="G12277" t="s">
        <v>16164</v>
      </c>
      <c r="H12277" t="s">
        <v>20894</v>
      </c>
    </row>
    <row r="12278" spans="6:8">
      <c r="H12278" t="s">
        <v>18829</v>
      </c>
    </row>
    <row r="12279" spans="6:8">
      <c r="H12279" t="s">
        <v>18863</v>
      </c>
    </row>
    <row r="12280" spans="6:8">
      <c r="H12280" t="s">
        <v>20454</v>
      </c>
    </row>
    <row r="12281" spans="6:8">
      <c r="H12281" t="s">
        <v>19349</v>
      </c>
    </row>
    <row r="12282" spans="6:8">
      <c r="H12282" t="s">
        <v>20209</v>
      </c>
    </row>
    <row r="12283" spans="6:8">
      <c r="F12283" t="s">
        <v>11924</v>
      </c>
      <c r="G12283" t="s">
        <v>16165</v>
      </c>
      <c r="H12283" t="s">
        <v>20895</v>
      </c>
    </row>
    <row r="12284" spans="6:8">
      <c r="H12284" t="s">
        <v>18829</v>
      </c>
    </row>
    <row r="12285" spans="6:8">
      <c r="H12285" t="s">
        <v>18863</v>
      </c>
    </row>
    <row r="12286" spans="6:8">
      <c r="H12286" t="s">
        <v>20454</v>
      </c>
    </row>
    <row r="12287" spans="6:8">
      <c r="H12287" t="s">
        <v>19349</v>
      </c>
    </row>
    <row r="12288" spans="6:8">
      <c r="H12288" t="s">
        <v>20209</v>
      </c>
    </row>
    <row r="12289" spans="6:8">
      <c r="F12289" t="s">
        <v>11925</v>
      </c>
      <c r="G12289" t="s">
        <v>16166</v>
      </c>
      <c r="H12289" t="s">
        <v>20896</v>
      </c>
    </row>
    <row r="12290" spans="6:8">
      <c r="H12290" t="s">
        <v>18829</v>
      </c>
    </row>
    <row r="12291" spans="6:8">
      <c r="H12291" t="s">
        <v>18863</v>
      </c>
    </row>
    <row r="12292" spans="6:8">
      <c r="H12292" t="s">
        <v>20454</v>
      </c>
    </row>
    <row r="12293" spans="6:8">
      <c r="H12293" t="s">
        <v>19349</v>
      </c>
    </row>
    <row r="12294" spans="6:8">
      <c r="H12294" t="s">
        <v>20209</v>
      </c>
    </row>
    <row r="12295" spans="6:8">
      <c r="F12295" t="s">
        <v>11926</v>
      </c>
      <c r="G12295" t="s">
        <v>16167</v>
      </c>
      <c r="H12295" t="s">
        <v>20897</v>
      </c>
    </row>
    <row r="12296" spans="6:8">
      <c r="H12296" t="s">
        <v>18829</v>
      </c>
    </row>
    <row r="12297" spans="6:8">
      <c r="H12297" t="s">
        <v>18863</v>
      </c>
    </row>
    <row r="12298" spans="6:8">
      <c r="H12298" t="s">
        <v>20454</v>
      </c>
    </row>
    <row r="12299" spans="6:8">
      <c r="H12299" t="s">
        <v>19349</v>
      </c>
    </row>
    <row r="12300" spans="6:8">
      <c r="H12300" t="s">
        <v>20209</v>
      </c>
    </row>
    <row r="12301" spans="6:8">
      <c r="F12301" t="s">
        <v>11927</v>
      </c>
      <c r="G12301" t="s">
        <v>16168</v>
      </c>
      <c r="H12301" t="s">
        <v>20898</v>
      </c>
    </row>
    <row r="12302" spans="6:8">
      <c r="H12302" t="s">
        <v>18829</v>
      </c>
    </row>
    <row r="12303" spans="6:8">
      <c r="H12303" t="s">
        <v>18863</v>
      </c>
    </row>
    <row r="12304" spans="6:8">
      <c r="H12304" t="s">
        <v>20454</v>
      </c>
    </row>
    <row r="12305" spans="6:8">
      <c r="H12305" t="s">
        <v>19349</v>
      </c>
    </row>
    <row r="12306" spans="6:8">
      <c r="H12306" t="s">
        <v>20209</v>
      </c>
    </row>
    <row r="12307" spans="6:8">
      <c r="F12307" t="s">
        <v>11928</v>
      </c>
      <c r="G12307" t="s">
        <v>16169</v>
      </c>
      <c r="H12307" t="s">
        <v>20899</v>
      </c>
    </row>
    <row r="12308" spans="6:8">
      <c r="H12308" t="s">
        <v>18829</v>
      </c>
    </row>
    <row r="12309" spans="6:8">
      <c r="H12309" t="s">
        <v>18863</v>
      </c>
    </row>
    <row r="12310" spans="6:8">
      <c r="H12310" t="s">
        <v>20454</v>
      </c>
    </row>
    <row r="12311" spans="6:8">
      <c r="H12311" t="s">
        <v>19349</v>
      </c>
    </row>
    <row r="12312" spans="6:8">
      <c r="H12312" t="s">
        <v>20209</v>
      </c>
    </row>
    <row r="12313" spans="6:8">
      <c r="F12313" t="s">
        <v>11929</v>
      </c>
      <c r="G12313" t="s">
        <v>16170</v>
      </c>
      <c r="H12313" t="s">
        <v>20900</v>
      </c>
    </row>
    <row r="12314" spans="6:8">
      <c r="H12314" t="s">
        <v>18829</v>
      </c>
    </row>
    <row r="12315" spans="6:8">
      <c r="H12315" t="s">
        <v>18863</v>
      </c>
    </row>
    <row r="12316" spans="6:8">
      <c r="H12316" t="s">
        <v>20454</v>
      </c>
    </row>
    <row r="12317" spans="6:8">
      <c r="H12317" t="s">
        <v>19349</v>
      </c>
    </row>
    <row r="12318" spans="6:8">
      <c r="H12318" t="s">
        <v>20209</v>
      </c>
    </row>
    <row r="12319" spans="6:8">
      <c r="F12319" t="s">
        <v>11930</v>
      </c>
      <c r="G12319" t="s">
        <v>16171</v>
      </c>
      <c r="H12319" t="s">
        <v>20901</v>
      </c>
    </row>
    <row r="12320" spans="6:8">
      <c r="H12320" t="s">
        <v>18829</v>
      </c>
    </row>
    <row r="12321" spans="6:8">
      <c r="H12321" t="s">
        <v>18863</v>
      </c>
    </row>
    <row r="12322" spans="6:8">
      <c r="H12322" t="s">
        <v>20454</v>
      </c>
    </row>
    <row r="12323" spans="6:8">
      <c r="H12323" t="s">
        <v>19349</v>
      </c>
    </row>
    <row r="12324" spans="6:8">
      <c r="H12324" t="s">
        <v>20209</v>
      </c>
    </row>
    <row r="12325" spans="6:8">
      <c r="F12325" t="s">
        <v>11931</v>
      </c>
      <c r="G12325" t="s">
        <v>16172</v>
      </c>
      <c r="H12325" t="s">
        <v>20902</v>
      </c>
    </row>
    <row r="12326" spans="6:8">
      <c r="H12326" t="s">
        <v>18829</v>
      </c>
    </row>
    <row r="12327" spans="6:8">
      <c r="H12327" t="s">
        <v>18863</v>
      </c>
    </row>
    <row r="12328" spans="6:8">
      <c r="H12328" t="s">
        <v>20454</v>
      </c>
    </row>
    <row r="12329" spans="6:8">
      <c r="H12329" t="s">
        <v>19349</v>
      </c>
    </row>
    <row r="12330" spans="6:8">
      <c r="H12330" t="s">
        <v>20209</v>
      </c>
    </row>
    <row r="12331" spans="6:8">
      <c r="F12331" t="s">
        <v>11932</v>
      </c>
      <c r="G12331" t="s">
        <v>16173</v>
      </c>
      <c r="H12331" t="s">
        <v>20903</v>
      </c>
    </row>
    <row r="12332" spans="6:8">
      <c r="H12332" t="s">
        <v>18829</v>
      </c>
    </row>
    <row r="12333" spans="6:8">
      <c r="H12333" t="s">
        <v>18863</v>
      </c>
    </row>
    <row r="12334" spans="6:8">
      <c r="H12334" t="s">
        <v>20454</v>
      </c>
    </row>
    <row r="12335" spans="6:8">
      <c r="H12335" t="s">
        <v>19349</v>
      </c>
    </row>
    <row r="12336" spans="6:8">
      <c r="H12336" t="s">
        <v>20209</v>
      </c>
    </row>
    <row r="12337" spans="6:8">
      <c r="F12337" t="s">
        <v>11933</v>
      </c>
      <c r="G12337" t="s">
        <v>16174</v>
      </c>
      <c r="H12337" t="s">
        <v>20904</v>
      </c>
    </row>
    <row r="12338" spans="6:8">
      <c r="H12338" t="s">
        <v>18829</v>
      </c>
    </row>
    <row r="12339" spans="6:8">
      <c r="H12339" t="s">
        <v>18863</v>
      </c>
    </row>
    <row r="12340" spans="6:8">
      <c r="H12340" t="s">
        <v>20454</v>
      </c>
    </row>
    <row r="12341" spans="6:8">
      <c r="H12341" t="s">
        <v>19349</v>
      </c>
    </row>
    <row r="12342" spans="6:8">
      <c r="H12342" t="s">
        <v>20209</v>
      </c>
    </row>
    <row r="12343" spans="6:8">
      <c r="F12343" t="s">
        <v>11934</v>
      </c>
      <c r="G12343" t="s">
        <v>16175</v>
      </c>
      <c r="H12343" t="s">
        <v>20905</v>
      </c>
    </row>
    <row r="12344" spans="6:8">
      <c r="H12344" t="s">
        <v>18829</v>
      </c>
    </row>
    <row r="12345" spans="6:8">
      <c r="H12345" t="s">
        <v>18863</v>
      </c>
    </row>
    <row r="12346" spans="6:8">
      <c r="H12346" t="s">
        <v>20454</v>
      </c>
    </row>
    <row r="12347" spans="6:8">
      <c r="H12347" t="s">
        <v>19349</v>
      </c>
    </row>
    <row r="12348" spans="6:8">
      <c r="H12348" t="s">
        <v>20209</v>
      </c>
    </row>
    <row r="12349" spans="6:8">
      <c r="F12349" t="s">
        <v>11935</v>
      </c>
      <c r="G12349" t="s">
        <v>16176</v>
      </c>
      <c r="H12349" t="s">
        <v>20906</v>
      </c>
    </row>
    <row r="12350" spans="6:8">
      <c r="H12350" t="s">
        <v>18829</v>
      </c>
    </row>
    <row r="12351" spans="6:8">
      <c r="H12351" t="s">
        <v>18863</v>
      </c>
    </row>
    <row r="12352" spans="6:8">
      <c r="H12352" t="s">
        <v>20454</v>
      </c>
    </row>
    <row r="12353" spans="6:8">
      <c r="H12353" t="s">
        <v>19349</v>
      </c>
    </row>
    <row r="12354" spans="6:8">
      <c r="H12354" t="s">
        <v>20209</v>
      </c>
    </row>
    <row r="12355" spans="6:8">
      <c r="F12355" t="s">
        <v>11936</v>
      </c>
      <c r="G12355" t="s">
        <v>16177</v>
      </c>
      <c r="H12355" t="s">
        <v>20907</v>
      </c>
    </row>
    <row r="12356" spans="6:8">
      <c r="H12356" t="s">
        <v>18829</v>
      </c>
    </row>
    <row r="12357" spans="6:8">
      <c r="H12357" t="s">
        <v>18863</v>
      </c>
    </row>
    <row r="12358" spans="6:8">
      <c r="H12358" t="s">
        <v>20454</v>
      </c>
    </row>
    <row r="12359" spans="6:8">
      <c r="H12359" t="s">
        <v>19349</v>
      </c>
    </row>
    <row r="12360" spans="6:8">
      <c r="H12360" t="s">
        <v>20209</v>
      </c>
    </row>
    <row r="12361" spans="6:8">
      <c r="F12361" t="s">
        <v>11937</v>
      </c>
      <c r="G12361" t="s">
        <v>16178</v>
      </c>
      <c r="H12361" t="s">
        <v>20908</v>
      </c>
    </row>
    <row r="12362" spans="6:8">
      <c r="H12362" t="s">
        <v>18829</v>
      </c>
    </row>
    <row r="12363" spans="6:8">
      <c r="H12363" t="s">
        <v>18863</v>
      </c>
    </row>
    <row r="12364" spans="6:8">
      <c r="H12364" t="s">
        <v>20454</v>
      </c>
    </row>
    <row r="12365" spans="6:8">
      <c r="H12365" t="s">
        <v>19349</v>
      </c>
    </row>
    <row r="12366" spans="6:8">
      <c r="H12366" t="s">
        <v>20209</v>
      </c>
    </row>
    <row r="12367" spans="6:8">
      <c r="F12367" t="s">
        <v>11938</v>
      </c>
      <c r="G12367" t="s">
        <v>16179</v>
      </c>
      <c r="H12367" t="s">
        <v>20909</v>
      </c>
    </row>
    <row r="12368" spans="6:8">
      <c r="H12368" t="s">
        <v>18829</v>
      </c>
    </row>
    <row r="12369" spans="6:8">
      <c r="H12369" t="s">
        <v>18863</v>
      </c>
    </row>
    <row r="12370" spans="6:8">
      <c r="H12370" t="s">
        <v>20454</v>
      </c>
    </row>
    <row r="12371" spans="6:8">
      <c r="H12371" t="s">
        <v>19349</v>
      </c>
    </row>
    <row r="12372" spans="6:8">
      <c r="H12372" t="s">
        <v>20209</v>
      </c>
    </row>
    <row r="12373" spans="6:8">
      <c r="F12373" t="s">
        <v>11939</v>
      </c>
      <c r="G12373" t="s">
        <v>16180</v>
      </c>
      <c r="H12373" t="s">
        <v>20910</v>
      </c>
    </row>
    <row r="12374" spans="6:8">
      <c r="H12374" t="s">
        <v>18829</v>
      </c>
    </row>
    <row r="12375" spans="6:8">
      <c r="H12375" t="s">
        <v>18863</v>
      </c>
    </row>
    <row r="12376" spans="6:8">
      <c r="H12376" t="s">
        <v>20454</v>
      </c>
    </row>
    <row r="12377" spans="6:8">
      <c r="H12377" t="s">
        <v>19349</v>
      </c>
    </row>
    <row r="12378" spans="6:8">
      <c r="H12378" t="s">
        <v>20209</v>
      </c>
    </row>
    <row r="12379" spans="6:8">
      <c r="F12379" t="s">
        <v>11940</v>
      </c>
      <c r="G12379" t="s">
        <v>16181</v>
      </c>
      <c r="H12379" t="s">
        <v>20911</v>
      </c>
    </row>
    <row r="12380" spans="6:8">
      <c r="H12380" t="s">
        <v>18829</v>
      </c>
    </row>
    <row r="12381" spans="6:8">
      <c r="H12381" t="s">
        <v>18863</v>
      </c>
    </row>
    <row r="12382" spans="6:8">
      <c r="H12382" t="s">
        <v>20454</v>
      </c>
    </row>
    <row r="12383" spans="6:8">
      <c r="H12383" t="s">
        <v>19349</v>
      </c>
    </row>
    <row r="12384" spans="6:8">
      <c r="H12384" t="s">
        <v>20209</v>
      </c>
    </row>
    <row r="12385" spans="6:8">
      <c r="F12385" t="s">
        <v>11941</v>
      </c>
      <c r="G12385" t="s">
        <v>16182</v>
      </c>
      <c r="H12385" t="s">
        <v>20912</v>
      </c>
    </row>
    <row r="12386" spans="6:8">
      <c r="H12386" t="s">
        <v>18829</v>
      </c>
    </row>
    <row r="12387" spans="6:8">
      <c r="H12387" t="s">
        <v>18863</v>
      </c>
    </row>
    <row r="12388" spans="6:8">
      <c r="H12388" t="s">
        <v>20454</v>
      </c>
    </row>
    <row r="12389" spans="6:8">
      <c r="H12389" t="s">
        <v>19349</v>
      </c>
    </row>
    <row r="12390" spans="6:8">
      <c r="H12390" t="s">
        <v>20209</v>
      </c>
    </row>
    <row r="12391" spans="6:8">
      <c r="F12391" t="s">
        <v>11942</v>
      </c>
      <c r="G12391" t="s">
        <v>16183</v>
      </c>
      <c r="H12391" t="s">
        <v>20913</v>
      </c>
    </row>
    <row r="12392" spans="6:8">
      <c r="H12392" t="s">
        <v>18829</v>
      </c>
    </row>
    <row r="12393" spans="6:8">
      <c r="H12393" t="s">
        <v>18863</v>
      </c>
    </row>
    <row r="12394" spans="6:8">
      <c r="H12394" t="s">
        <v>20454</v>
      </c>
    </row>
    <row r="12395" spans="6:8">
      <c r="H12395" t="s">
        <v>19349</v>
      </c>
    </row>
    <row r="12396" spans="6:8">
      <c r="H12396" t="s">
        <v>20209</v>
      </c>
    </row>
    <row r="12397" spans="6:8">
      <c r="F12397" t="s">
        <v>11943</v>
      </c>
      <c r="G12397" t="s">
        <v>16184</v>
      </c>
      <c r="H12397" t="s">
        <v>20914</v>
      </c>
    </row>
    <row r="12398" spans="6:8">
      <c r="H12398" t="s">
        <v>18829</v>
      </c>
    </row>
    <row r="12399" spans="6:8">
      <c r="H12399" t="s">
        <v>18863</v>
      </c>
    </row>
    <row r="12400" spans="6:8">
      <c r="H12400" t="s">
        <v>20454</v>
      </c>
    </row>
    <row r="12401" spans="6:8">
      <c r="H12401" t="s">
        <v>19349</v>
      </c>
    </row>
    <row r="12402" spans="6:8">
      <c r="H12402" t="s">
        <v>20209</v>
      </c>
    </row>
    <row r="12403" spans="6:8">
      <c r="F12403" t="s">
        <v>11944</v>
      </c>
      <c r="G12403" t="s">
        <v>16185</v>
      </c>
      <c r="H12403" t="s">
        <v>20915</v>
      </c>
    </row>
    <row r="12404" spans="6:8">
      <c r="H12404" t="s">
        <v>18829</v>
      </c>
    </row>
    <row r="12405" spans="6:8">
      <c r="H12405" t="s">
        <v>18863</v>
      </c>
    </row>
    <row r="12406" spans="6:8">
      <c r="H12406" t="s">
        <v>20454</v>
      </c>
    </row>
    <row r="12407" spans="6:8">
      <c r="H12407" t="s">
        <v>19349</v>
      </c>
    </row>
    <row r="12408" spans="6:8">
      <c r="H12408" t="s">
        <v>20209</v>
      </c>
    </row>
    <row r="12409" spans="6:8">
      <c r="F12409" t="s">
        <v>11945</v>
      </c>
      <c r="G12409" t="s">
        <v>16186</v>
      </c>
      <c r="H12409" t="s">
        <v>20916</v>
      </c>
    </row>
    <row r="12410" spans="6:8">
      <c r="H12410" t="s">
        <v>18829</v>
      </c>
    </row>
    <row r="12411" spans="6:8">
      <c r="H12411" t="s">
        <v>18863</v>
      </c>
    </row>
    <row r="12412" spans="6:8">
      <c r="H12412" t="s">
        <v>20454</v>
      </c>
    </row>
    <row r="12413" spans="6:8">
      <c r="H12413" t="s">
        <v>19349</v>
      </c>
    </row>
    <row r="12414" spans="6:8">
      <c r="H12414" t="s">
        <v>20209</v>
      </c>
    </row>
    <row r="12415" spans="6:8">
      <c r="F12415" t="s">
        <v>11946</v>
      </c>
      <c r="G12415" t="s">
        <v>16187</v>
      </c>
      <c r="H12415" t="s">
        <v>20917</v>
      </c>
    </row>
    <row r="12416" spans="6:8">
      <c r="H12416" t="s">
        <v>18829</v>
      </c>
    </row>
    <row r="12417" spans="6:8">
      <c r="H12417" t="s">
        <v>18863</v>
      </c>
    </row>
    <row r="12418" spans="6:8">
      <c r="H12418" t="s">
        <v>20454</v>
      </c>
    </row>
    <row r="12419" spans="6:8">
      <c r="H12419" t="s">
        <v>19349</v>
      </c>
    </row>
    <row r="12420" spans="6:8">
      <c r="H12420" t="s">
        <v>20209</v>
      </c>
    </row>
    <row r="12421" spans="6:8">
      <c r="F12421" t="s">
        <v>11947</v>
      </c>
      <c r="G12421" t="s">
        <v>16188</v>
      </c>
      <c r="H12421" t="s">
        <v>20918</v>
      </c>
    </row>
    <row r="12422" spans="6:8">
      <c r="H12422" t="s">
        <v>18829</v>
      </c>
    </row>
    <row r="12423" spans="6:8">
      <c r="H12423" t="s">
        <v>18863</v>
      </c>
    </row>
    <row r="12424" spans="6:8">
      <c r="H12424" t="s">
        <v>20454</v>
      </c>
    </row>
    <row r="12425" spans="6:8">
      <c r="H12425" t="s">
        <v>19349</v>
      </c>
    </row>
    <row r="12426" spans="6:8">
      <c r="H12426" t="s">
        <v>20209</v>
      </c>
    </row>
    <row r="12427" spans="6:8">
      <c r="F12427" t="s">
        <v>11948</v>
      </c>
      <c r="G12427" t="s">
        <v>16189</v>
      </c>
      <c r="H12427" t="s">
        <v>20919</v>
      </c>
    </row>
    <row r="12428" spans="6:8">
      <c r="H12428" t="s">
        <v>18829</v>
      </c>
    </row>
    <row r="12429" spans="6:8">
      <c r="H12429" t="s">
        <v>18863</v>
      </c>
    </row>
    <row r="12430" spans="6:8">
      <c r="H12430" t="s">
        <v>20454</v>
      </c>
    </row>
    <row r="12431" spans="6:8">
      <c r="H12431" t="s">
        <v>19349</v>
      </c>
    </row>
    <row r="12432" spans="6:8">
      <c r="H12432" t="s">
        <v>20209</v>
      </c>
    </row>
    <row r="12433" spans="6:8">
      <c r="F12433" t="s">
        <v>11949</v>
      </c>
      <c r="G12433" t="s">
        <v>16190</v>
      </c>
      <c r="H12433" t="s">
        <v>20920</v>
      </c>
    </row>
    <row r="12434" spans="6:8">
      <c r="H12434" t="s">
        <v>18829</v>
      </c>
    </row>
    <row r="12435" spans="6:8">
      <c r="H12435" t="s">
        <v>18863</v>
      </c>
    </row>
    <row r="12436" spans="6:8">
      <c r="H12436" t="s">
        <v>20454</v>
      </c>
    </row>
    <row r="12437" spans="6:8">
      <c r="H12437" t="s">
        <v>19349</v>
      </c>
    </row>
    <row r="12438" spans="6:8">
      <c r="H12438" t="s">
        <v>20209</v>
      </c>
    </row>
    <row r="12439" spans="6:8">
      <c r="F12439" t="s">
        <v>11950</v>
      </c>
      <c r="G12439" t="s">
        <v>16191</v>
      </c>
      <c r="H12439" t="s">
        <v>20921</v>
      </c>
    </row>
    <row r="12440" spans="6:8">
      <c r="H12440" t="s">
        <v>18829</v>
      </c>
    </row>
    <row r="12441" spans="6:8">
      <c r="H12441" t="s">
        <v>18863</v>
      </c>
    </row>
    <row r="12442" spans="6:8">
      <c r="H12442" t="s">
        <v>20454</v>
      </c>
    </row>
    <row r="12443" spans="6:8">
      <c r="H12443" t="s">
        <v>19349</v>
      </c>
    </row>
    <row r="12444" spans="6:8">
      <c r="H12444" t="s">
        <v>20209</v>
      </c>
    </row>
    <row r="12445" spans="6:8">
      <c r="F12445" t="s">
        <v>11951</v>
      </c>
      <c r="G12445" t="s">
        <v>16192</v>
      </c>
      <c r="H12445" t="s">
        <v>20922</v>
      </c>
    </row>
    <row r="12446" spans="6:8">
      <c r="H12446" t="s">
        <v>18829</v>
      </c>
    </row>
    <row r="12447" spans="6:8">
      <c r="H12447" t="s">
        <v>18863</v>
      </c>
    </row>
    <row r="12448" spans="6:8">
      <c r="H12448" t="s">
        <v>20454</v>
      </c>
    </row>
    <row r="12449" spans="6:8">
      <c r="H12449" t="s">
        <v>19349</v>
      </c>
    </row>
    <row r="12450" spans="6:8">
      <c r="H12450" t="s">
        <v>20209</v>
      </c>
    </row>
    <row r="12451" spans="6:8">
      <c r="F12451" t="s">
        <v>11952</v>
      </c>
      <c r="G12451" t="s">
        <v>16193</v>
      </c>
      <c r="H12451" t="s">
        <v>20923</v>
      </c>
    </row>
    <row r="12452" spans="6:8">
      <c r="H12452" t="s">
        <v>18829</v>
      </c>
    </row>
    <row r="12453" spans="6:8">
      <c r="H12453" t="s">
        <v>18863</v>
      </c>
    </row>
    <row r="12454" spans="6:8">
      <c r="H12454" t="s">
        <v>20454</v>
      </c>
    </row>
    <row r="12455" spans="6:8">
      <c r="H12455" t="s">
        <v>19349</v>
      </c>
    </row>
    <row r="12456" spans="6:8">
      <c r="H12456" t="s">
        <v>20209</v>
      </c>
    </row>
    <row r="12457" spans="6:8">
      <c r="F12457" t="s">
        <v>11953</v>
      </c>
      <c r="G12457" t="s">
        <v>16194</v>
      </c>
      <c r="H12457" t="s">
        <v>20924</v>
      </c>
    </row>
    <row r="12458" spans="6:8">
      <c r="H12458" t="s">
        <v>18829</v>
      </c>
    </row>
    <row r="12459" spans="6:8">
      <c r="H12459" t="s">
        <v>18863</v>
      </c>
    </row>
    <row r="12460" spans="6:8">
      <c r="H12460" t="s">
        <v>20454</v>
      </c>
    </row>
    <row r="12461" spans="6:8">
      <c r="H12461" t="s">
        <v>19349</v>
      </c>
    </row>
    <row r="12462" spans="6:8">
      <c r="H12462" t="s">
        <v>20209</v>
      </c>
    </row>
    <row r="12463" spans="6:8">
      <c r="F12463" t="s">
        <v>11954</v>
      </c>
      <c r="G12463" t="s">
        <v>16195</v>
      </c>
      <c r="H12463" t="s">
        <v>20925</v>
      </c>
    </row>
    <row r="12464" spans="6:8">
      <c r="H12464" t="s">
        <v>18829</v>
      </c>
    </row>
    <row r="12465" spans="6:8">
      <c r="H12465" t="s">
        <v>18863</v>
      </c>
    </row>
    <row r="12466" spans="6:8">
      <c r="H12466" t="s">
        <v>20454</v>
      </c>
    </row>
    <row r="12467" spans="6:8">
      <c r="H12467" t="s">
        <v>19349</v>
      </c>
    </row>
    <row r="12468" spans="6:8">
      <c r="H12468" t="s">
        <v>20209</v>
      </c>
    </row>
    <row r="12469" spans="6:8">
      <c r="F12469" t="s">
        <v>11955</v>
      </c>
      <c r="G12469" t="s">
        <v>16196</v>
      </c>
      <c r="H12469" t="s">
        <v>20926</v>
      </c>
    </row>
    <row r="12470" spans="6:8">
      <c r="H12470" t="s">
        <v>18829</v>
      </c>
    </row>
    <row r="12471" spans="6:8">
      <c r="H12471" t="s">
        <v>18863</v>
      </c>
    </row>
    <row r="12472" spans="6:8">
      <c r="H12472" t="s">
        <v>20454</v>
      </c>
    </row>
    <row r="12473" spans="6:8">
      <c r="H12473" t="s">
        <v>19349</v>
      </c>
    </row>
    <row r="12474" spans="6:8">
      <c r="H12474" t="s">
        <v>20209</v>
      </c>
    </row>
    <row r="12475" spans="6:8">
      <c r="F12475" t="s">
        <v>11956</v>
      </c>
      <c r="G12475" t="s">
        <v>16197</v>
      </c>
      <c r="H12475" t="s">
        <v>20927</v>
      </c>
    </row>
    <row r="12476" spans="6:8">
      <c r="H12476" t="s">
        <v>18829</v>
      </c>
    </row>
    <row r="12477" spans="6:8">
      <c r="H12477" t="s">
        <v>18863</v>
      </c>
    </row>
    <row r="12478" spans="6:8">
      <c r="H12478" t="s">
        <v>20454</v>
      </c>
    </row>
    <row r="12479" spans="6:8">
      <c r="H12479" t="s">
        <v>19349</v>
      </c>
    </row>
    <row r="12480" spans="6:8">
      <c r="H12480" t="s">
        <v>20209</v>
      </c>
    </row>
    <row r="12481" spans="6:8">
      <c r="F12481" t="s">
        <v>11957</v>
      </c>
      <c r="G12481" t="s">
        <v>16198</v>
      </c>
      <c r="H12481" t="s">
        <v>20928</v>
      </c>
    </row>
    <row r="12482" spans="6:8">
      <c r="H12482" t="s">
        <v>18829</v>
      </c>
    </row>
    <row r="12483" spans="6:8">
      <c r="H12483" t="s">
        <v>18863</v>
      </c>
    </row>
    <row r="12484" spans="6:8">
      <c r="H12484" t="s">
        <v>20454</v>
      </c>
    </row>
    <row r="12485" spans="6:8">
      <c r="H12485" t="s">
        <v>19349</v>
      </c>
    </row>
    <row r="12486" spans="6:8">
      <c r="H12486" t="s">
        <v>20209</v>
      </c>
    </row>
    <row r="12487" spans="6:8">
      <c r="F12487" t="s">
        <v>11958</v>
      </c>
      <c r="G12487" t="s">
        <v>16199</v>
      </c>
      <c r="H12487" t="s">
        <v>20929</v>
      </c>
    </row>
    <row r="12488" spans="6:8">
      <c r="H12488" t="s">
        <v>18829</v>
      </c>
    </row>
    <row r="12489" spans="6:8">
      <c r="H12489" t="s">
        <v>18863</v>
      </c>
    </row>
    <row r="12490" spans="6:8">
      <c r="H12490" t="s">
        <v>20454</v>
      </c>
    </row>
    <row r="12491" spans="6:8">
      <c r="H12491" t="s">
        <v>19349</v>
      </c>
    </row>
    <row r="12492" spans="6:8">
      <c r="H12492" t="s">
        <v>20209</v>
      </c>
    </row>
    <row r="12493" spans="6:8">
      <c r="F12493" t="s">
        <v>11959</v>
      </c>
      <c r="G12493" t="s">
        <v>16200</v>
      </c>
      <c r="H12493" t="s">
        <v>20930</v>
      </c>
    </row>
    <row r="12494" spans="6:8">
      <c r="H12494" t="s">
        <v>18829</v>
      </c>
    </row>
    <row r="12495" spans="6:8">
      <c r="H12495" t="s">
        <v>18863</v>
      </c>
    </row>
    <row r="12496" spans="6:8">
      <c r="H12496" t="s">
        <v>20454</v>
      </c>
    </row>
    <row r="12497" spans="6:8">
      <c r="H12497" t="s">
        <v>19349</v>
      </c>
    </row>
    <row r="12498" spans="6:8">
      <c r="H12498" t="s">
        <v>20209</v>
      </c>
    </row>
    <row r="12499" spans="6:8">
      <c r="F12499" t="s">
        <v>11960</v>
      </c>
      <c r="G12499" t="s">
        <v>16201</v>
      </c>
      <c r="H12499" t="s">
        <v>20931</v>
      </c>
    </row>
    <row r="12500" spans="6:8">
      <c r="H12500" t="s">
        <v>18829</v>
      </c>
    </row>
    <row r="12501" spans="6:8">
      <c r="H12501" t="s">
        <v>18863</v>
      </c>
    </row>
    <row r="12502" spans="6:8">
      <c r="H12502" t="s">
        <v>20454</v>
      </c>
    </row>
    <row r="12503" spans="6:8">
      <c r="H12503" t="s">
        <v>19349</v>
      </c>
    </row>
    <row r="12504" spans="6:8">
      <c r="H12504" t="s">
        <v>20209</v>
      </c>
    </row>
    <row r="12505" spans="6:8">
      <c r="F12505" t="s">
        <v>11961</v>
      </c>
      <c r="G12505" t="s">
        <v>16202</v>
      </c>
      <c r="H12505" t="s">
        <v>20932</v>
      </c>
    </row>
    <row r="12506" spans="6:8">
      <c r="H12506" t="s">
        <v>18829</v>
      </c>
    </row>
    <row r="12507" spans="6:8">
      <c r="H12507" t="s">
        <v>18863</v>
      </c>
    </row>
    <row r="12508" spans="6:8">
      <c r="H12508" t="s">
        <v>20454</v>
      </c>
    </row>
    <row r="12509" spans="6:8">
      <c r="H12509" t="s">
        <v>19349</v>
      </c>
    </row>
    <row r="12510" spans="6:8">
      <c r="H12510" t="s">
        <v>20209</v>
      </c>
    </row>
    <row r="12511" spans="6:8">
      <c r="F12511" t="s">
        <v>11962</v>
      </c>
      <c r="G12511" t="s">
        <v>16203</v>
      </c>
      <c r="H12511" t="s">
        <v>20933</v>
      </c>
    </row>
    <row r="12512" spans="6:8">
      <c r="H12512" t="s">
        <v>18829</v>
      </c>
    </row>
    <row r="12513" spans="6:8">
      <c r="H12513" t="s">
        <v>18863</v>
      </c>
    </row>
    <row r="12514" spans="6:8">
      <c r="H12514" t="s">
        <v>20454</v>
      </c>
    </row>
    <row r="12515" spans="6:8">
      <c r="H12515" t="s">
        <v>19349</v>
      </c>
    </row>
    <row r="12516" spans="6:8">
      <c r="H12516" t="s">
        <v>20209</v>
      </c>
    </row>
    <row r="12517" spans="6:8">
      <c r="F12517" t="s">
        <v>11963</v>
      </c>
      <c r="G12517" t="s">
        <v>16204</v>
      </c>
      <c r="H12517" t="s">
        <v>20934</v>
      </c>
    </row>
    <row r="12518" spans="6:8">
      <c r="H12518" t="s">
        <v>18829</v>
      </c>
    </row>
    <row r="12519" spans="6:8">
      <c r="H12519" t="s">
        <v>18863</v>
      </c>
    </row>
    <row r="12520" spans="6:8">
      <c r="H12520" t="s">
        <v>20454</v>
      </c>
    </row>
    <row r="12521" spans="6:8">
      <c r="H12521" t="s">
        <v>19349</v>
      </c>
    </row>
    <row r="12522" spans="6:8">
      <c r="H12522" t="s">
        <v>20209</v>
      </c>
    </row>
    <row r="12523" spans="6:8">
      <c r="F12523" t="s">
        <v>11964</v>
      </c>
      <c r="G12523" t="s">
        <v>16205</v>
      </c>
      <c r="H12523" t="s">
        <v>20935</v>
      </c>
    </row>
    <row r="12524" spans="6:8">
      <c r="H12524" t="s">
        <v>18829</v>
      </c>
    </row>
    <row r="12525" spans="6:8">
      <c r="H12525" t="s">
        <v>18863</v>
      </c>
    </row>
    <row r="12526" spans="6:8">
      <c r="H12526" t="s">
        <v>20454</v>
      </c>
    </row>
    <row r="12527" spans="6:8">
      <c r="H12527" t="s">
        <v>19349</v>
      </c>
    </row>
    <row r="12528" spans="6:8">
      <c r="H12528" t="s">
        <v>20209</v>
      </c>
    </row>
    <row r="12529" spans="6:8">
      <c r="F12529" t="s">
        <v>11965</v>
      </c>
      <c r="G12529" t="s">
        <v>16206</v>
      </c>
      <c r="H12529" t="s">
        <v>20936</v>
      </c>
    </row>
    <row r="12530" spans="6:8">
      <c r="H12530" t="s">
        <v>18829</v>
      </c>
    </row>
    <row r="12531" spans="6:8">
      <c r="H12531" t="s">
        <v>18863</v>
      </c>
    </row>
    <row r="12532" spans="6:8">
      <c r="H12532" t="s">
        <v>20454</v>
      </c>
    </row>
    <row r="12533" spans="6:8">
      <c r="H12533" t="s">
        <v>19349</v>
      </c>
    </row>
    <row r="12534" spans="6:8">
      <c r="H12534" t="s">
        <v>20209</v>
      </c>
    </row>
    <row r="12535" spans="6:8">
      <c r="F12535" t="s">
        <v>11966</v>
      </c>
      <c r="G12535" t="s">
        <v>16207</v>
      </c>
      <c r="H12535" t="s">
        <v>20937</v>
      </c>
    </row>
    <row r="12536" spans="6:8">
      <c r="H12536" t="s">
        <v>18829</v>
      </c>
    </row>
    <row r="12537" spans="6:8">
      <c r="H12537" t="s">
        <v>18863</v>
      </c>
    </row>
    <row r="12538" spans="6:8">
      <c r="H12538" t="s">
        <v>20454</v>
      </c>
    </row>
    <row r="12539" spans="6:8">
      <c r="H12539" t="s">
        <v>19349</v>
      </c>
    </row>
    <row r="12540" spans="6:8">
      <c r="H12540" t="s">
        <v>20209</v>
      </c>
    </row>
    <row r="12541" spans="6:8">
      <c r="F12541" t="s">
        <v>11967</v>
      </c>
      <c r="G12541" t="s">
        <v>16208</v>
      </c>
      <c r="H12541" t="s">
        <v>20938</v>
      </c>
    </row>
    <row r="12542" spans="6:8">
      <c r="H12542" t="s">
        <v>18829</v>
      </c>
    </row>
    <row r="12543" spans="6:8">
      <c r="H12543" t="s">
        <v>18863</v>
      </c>
    </row>
    <row r="12544" spans="6:8">
      <c r="H12544" t="s">
        <v>20454</v>
      </c>
    </row>
    <row r="12545" spans="6:8">
      <c r="H12545" t="s">
        <v>19349</v>
      </c>
    </row>
    <row r="12546" spans="6:8">
      <c r="H12546" t="s">
        <v>20209</v>
      </c>
    </row>
    <row r="12547" spans="6:8">
      <c r="F12547" t="s">
        <v>11968</v>
      </c>
      <c r="G12547" t="s">
        <v>16209</v>
      </c>
      <c r="H12547" t="s">
        <v>20939</v>
      </c>
    </row>
    <row r="12548" spans="6:8">
      <c r="H12548" t="s">
        <v>18829</v>
      </c>
    </row>
    <row r="12549" spans="6:8">
      <c r="H12549" t="s">
        <v>18863</v>
      </c>
    </row>
    <row r="12550" spans="6:8">
      <c r="H12550" t="s">
        <v>20454</v>
      </c>
    </row>
    <row r="12551" spans="6:8">
      <c r="H12551" t="s">
        <v>19349</v>
      </c>
    </row>
    <row r="12552" spans="6:8">
      <c r="H12552" t="s">
        <v>20209</v>
      </c>
    </row>
    <row r="12553" spans="6:8">
      <c r="F12553" t="s">
        <v>11969</v>
      </c>
      <c r="G12553" t="s">
        <v>16210</v>
      </c>
      <c r="H12553" t="s">
        <v>20940</v>
      </c>
    </row>
    <row r="12554" spans="6:8">
      <c r="H12554" t="s">
        <v>18829</v>
      </c>
    </row>
    <row r="12555" spans="6:8">
      <c r="H12555" t="s">
        <v>18863</v>
      </c>
    </row>
    <row r="12556" spans="6:8">
      <c r="H12556" t="s">
        <v>20454</v>
      </c>
    </row>
    <row r="12557" spans="6:8">
      <c r="H12557" t="s">
        <v>19349</v>
      </c>
    </row>
    <row r="12558" spans="6:8">
      <c r="H12558" t="s">
        <v>20209</v>
      </c>
    </row>
    <row r="12559" spans="6:8">
      <c r="F12559" t="s">
        <v>11970</v>
      </c>
      <c r="G12559" t="s">
        <v>16211</v>
      </c>
      <c r="H12559" t="s">
        <v>20941</v>
      </c>
    </row>
    <row r="12560" spans="6:8">
      <c r="H12560" t="s">
        <v>18829</v>
      </c>
    </row>
    <row r="12561" spans="6:8">
      <c r="H12561" t="s">
        <v>18863</v>
      </c>
    </row>
    <row r="12562" spans="6:8">
      <c r="H12562" t="s">
        <v>20454</v>
      </c>
    </row>
    <row r="12563" spans="6:8">
      <c r="H12563" t="s">
        <v>19349</v>
      </c>
    </row>
    <row r="12564" spans="6:8">
      <c r="H12564" t="s">
        <v>20209</v>
      </c>
    </row>
    <row r="12565" spans="6:8">
      <c r="F12565" t="s">
        <v>11971</v>
      </c>
      <c r="G12565" t="s">
        <v>16212</v>
      </c>
      <c r="H12565" t="s">
        <v>20942</v>
      </c>
    </row>
    <row r="12566" spans="6:8">
      <c r="H12566" t="s">
        <v>18829</v>
      </c>
    </row>
    <row r="12567" spans="6:8">
      <c r="H12567" t="s">
        <v>18863</v>
      </c>
    </row>
    <row r="12568" spans="6:8">
      <c r="H12568" t="s">
        <v>20454</v>
      </c>
    </row>
    <row r="12569" spans="6:8">
      <c r="H12569" t="s">
        <v>19349</v>
      </c>
    </row>
    <row r="12570" spans="6:8">
      <c r="H12570" t="s">
        <v>20209</v>
      </c>
    </row>
    <row r="12571" spans="6:8">
      <c r="F12571" t="s">
        <v>11972</v>
      </c>
      <c r="G12571" t="s">
        <v>16213</v>
      </c>
      <c r="H12571" t="s">
        <v>20943</v>
      </c>
    </row>
    <row r="12572" spans="6:8">
      <c r="H12572" t="s">
        <v>18829</v>
      </c>
    </row>
    <row r="12573" spans="6:8">
      <c r="H12573" t="s">
        <v>18863</v>
      </c>
    </row>
    <row r="12574" spans="6:8">
      <c r="H12574" t="s">
        <v>20454</v>
      </c>
    </row>
    <row r="12575" spans="6:8">
      <c r="H12575" t="s">
        <v>19349</v>
      </c>
    </row>
    <row r="12576" spans="6:8">
      <c r="H12576" t="s">
        <v>20209</v>
      </c>
    </row>
    <row r="12577" spans="6:8">
      <c r="F12577" t="s">
        <v>11973</v>
      </c>
      <c r="G12577" t="s">
        <v>16214</v>
      </c>
      <c r="H12577" t="s">
        <v>20944</v>
      </c>
    </row>
    <row r="12578" spans="6:8">
      <c r="H12578" t="s">
        <v>18829</v>
      </c>
    </row>
    <row r="12579" spans="6:8">
      <c r="H12579" t="s">
        <v>18863</v>
      </c>
    </row>
    <row r="12580" spans="6:8">
      <c r="H12580" t="s">
        <v>20454</v>
      </c>
    </row>
    <row r="12581" spans="6:8">
      <c r="H12581" t="s">
        <v>19349</v>
      </c>
    </row>
    <row r="12582" spans="6:8">
      <c r="H12582" t="s">
        <v>20209</v>
      </c>
    </row>
    <row r="12583" spans="6:8">
      <c r="F12583" t="s">
        <v>11974</v>
      </c>
      <c r="G12583" t="s">
        <v>16215</v>
      </c>
      <c r="H12583" t="s">
        <v>20945</v>
      </c>
    </row>
    <row r="12584" spans="6:8">
      <c r="H12584" t="s">
        <v>18829</v>
      </c>
    </row>
    <row r="12585" spans="6:8">
      <c r="H12585" t="s">
        <v>18863</v>
      </c>
    </row>
    <row r="12586" spans="6:8">
      <c r="H12586" t="s">
        <v>20454</v>
      </c>
    </row>
    <row r="12587" spans="6:8">
      <c r="H12587" t="s">
        <v>19349</v>
      </c>
    </row>
    <row r="12588" spans="6:8">
      <c r="H12588" t="s">
        <v>20209</v>
      </c>
    </row>
    <row r="12589" spans="6:8">
      <c r="F12589" t="s">
        <v>11975</v>
      </c>
      <c r="G12589" t="s">
        <v>16216</v>
      </c>
      <c r="H12589" t="s">
        <v>20946</v>
      </c>
    </row>
    <row r="12590" spans="6:8">
      <c r="H12590" t="s">
        <v>18829</v>
      </c>
    </row>
    <row r="12591" spans="6:8">
      <c r="H12591" t="s">
        <v>18863</v>
      </c>
    </row>
    <row r="12592" spans="6:8">
      <c r="H12592" t="s">
        <v>20454</v>
      </c>
    </row>
    <row r="12593" spans="6:8">
      <c r="H12593" t="s">
        <v>19349</v>
      </c>
    </row>
    <row r="12594" spans="6:8">
      <c r="H12594" t="s">
        <v>20209</v>
      </c>
    </row>
    <row r="12595" spans="6:8">
      <c r="F12595" t="s">
        <v>11976</v>
      </c>
      <c r="G12595" t="s">
        <v>16217</v>
      </c>
      <c r="H12595" t="s">
        <v>20947</v>
      </c>
    </row>
    <row r="12596" spans="6:8">
      <c r="H12596" t="s">
        <v>18829</v>
      </c>
    </row>
    <row r="12597" spans="6:8">
      <c r="H12597" t="s">
        <v>18863</v>
      </c>
    </row>
    <row r="12598" spans="6:8">
      <c r="H12598" t="s">
        <v>20454</v>
      </c>
    </row>
    <row r="12599" spans="6:8">
      <c r="H12599" t="s">
        <v>19349</v>
      </c>
    </row>
    <row r="12600" spans="6:8">
      <c r="H12600" t="s">
        <v>20209</v>
      </c>
    </row>
    <row r="12601" spans="6:8">
      <c r="F12601" t="s">
        <v>11977</v>
      </c>
      <c r="G12601" t="s">
        <v>16218</v>
      </c>
      <c r="H12601" t="s">
        <v>20948</v>
      </c>
    </row>
    <row r="12602" spans="6:8">
      <c r="H12602" t="s">
        <v>18829</v>
      </c>
    </row>
    <row r="12603" spans="6:8">
      <c r="H12603" t="s">
        <v>18863</v>
      </c>
    </row>
    <row r="12604" spans="6:8">
      <c r="H12604" t="s">
        <v>20454</v>
      </c>
    </row>
    <row r="12605" spans="6:8">
      <c r="H12605" t="s">
        <v>19349</v>
      </c>
    </row>
    <row r="12606" spans="6:8">
      <c r="H12606" t="s">
        <v>20209</v>
      </c>
    </row>
    <row r="12607" spans="6:8">
      <c r="F12607" t="s">
        <v>11978</v>
      </c>
      <c r="G12607" t="s">
        <v>16219</v>
      </c>
      <c r="H12607" t="s">
        <v>20949</v>
      </c>
    </row>
    <row r="12608" spans="6:8">
      <c r="H12608" t="s">
        <v>18829</v>
      </c>
    </row>
    <row r="12609" spans="6:8">
      <c r="H12609" t="s">
        <v>18863</v>
      </c>
    </row>
    <row r="12610" spans="6:8">
      <c r="H12610" t="s">
        <v>20454</v>
      </c>
    </row>
    <row r="12611" spans="6:8">
      <c r="H12611" t="s">
        <v>19349</v>
      </c>
    </row>
    <row r="12612" spans="6:8">
      <c r="H12612" t="s">
        <v>20209</v>
      </c>
    </row>
    <row r="12613" spans="6:8">
      <c r="F12613" t="s">
        <v>11979</v>
      </c>
      <c r="G12613" t="s">
        <v>16220</v>
      </c>
      <c r="H12613" t="s">
        <v>20950</v>
      </c>
    </row>
    <row r="12614" spans="6:8">
      <c r="H12614" t="s">
        <v>18829</v>
      </c>
    </row>
    <row r="12615" spans="6:8">
      <c r="H12615" t="s">
        <v>18863</v>
      </c>
    </row>
    <row r="12616" spans="6:8">
      <c r="H12616" t="s">
        <v>20454</v>
      </c>
    </row>
    <row r="12617" spans="6:8">
      <c r="H12617" t="s">
        <v>19349</v>
      </c>
    </row>
    <row r="12618" spans="6:8">
      <c r="H12618" t="s">
        <v>20209</v>
      </c>
    </row>
    <row r="12619" spans="6:8">
      <c r="F12619" t="s">
        <v>11980</v>
      </c>
      <c r="G12619" t="s">
        <v>16221</v>
      </c>
      <c r="H12619" t="s">
        <v>20951</v>
      </c>
    </row>
    <row r="12620" spans="6:8">
      <c r="H12620" t="s">
        <v>18829</v>
      </c>
    </row>
    <row r="12621" spans="6:8">
      <c r="H12621" t="s">
        <v>18863</v>
      </c>
    </row>
    <row r="12622" spans="6:8">
      <c r="H12622" t="s">
        <v>20454</v>
      </c>
    </row>
    <row r="12623" spans="6:8">
      <c r="H12623" t="s">
        <v>19349</v>
      </c>
    </row>
    <row r="12624" spans="6:8">
      <c r="H12624" t="s">
        <v>20209</v>
      </c>
    </row>
    <row r="12625" spans="6:8">
      <c r="F12625" t="s">
        <v>11981</v>
      </c>
      <c r="G12625" t="s">
        <v>16222</v>
      </c>
      <c r="H12625" t="s">
        <v>20952</v>
      </c>
    </row>
    <row r="12626" spans="6:8">
      <c r="H12626" t="s">
        <v>18829</v>
      </c>
    </row>
    <row r="12627" spans="6:8">
      <c r="H12627" t="s">
        <v>18863</v>
      </c>
    </row>
    <row r="12628" spans="6:8">
      <c r="H12628" t="s">
        <v>20454</v>
      </c>
    </row>
    <row r="12629" spans="6:8">
      <c r="H12629" t="s">
        <v>19349</v>
      </c>
    </row>
    <row r="12630" spans="6:8">
      <c r="H12630" t="s">
        <v>20209</v>
      </c>
    </row>
    <row r="12631" spans="6:8">
      <c r="F12631" t="s">
        <v>11982</v>
      </c>
      <c r="G12631" t="s">
        <v>16223</v>
      </c>
      <c r="H12631" t="s">
        <v>20953</v>
      </c>
    </row>
    <row r="12632" spans="6:8">
      <c r="H12632" t="s">
        <v>18829</v>
      </c>
    </row>
    <row r="12633" spans="6:8">
      <c r="H12633" t="s">
        <v>18863</v>
      </c>
    </row>
    <row r="12634" spans="6:8">
      <c r="H12634" t="s">
        <v>20454</v>
      </c>
    </row>
    <row r="12635" spans="6:8">
      <c r="H12635" t="s">
        <v>19349</v>
      </c>
    </row>
    <row r="12636" spans="6:8">
      <c r="H12636" t="s">
        <v>20209</v>
      </c>
    </row>
    <row r="12637" spans="6:8">
      <c r="F12637" t="s">
        <v>11983</v>
      </c>
      <c r="G12637" t="s">
        <v>16224</v>
      </c>
      <c r="H12637" t="s">
        <v>20954</v>
      </c>
    </row>
    <row r="12638" spans="6:8">
      <c r="H12638" t="s">
        <v>18829</v>
      </c>
    </row>
    <row r="12639" spans="6:8">
      <c r="H12639" t="s">
        <v>18863</v>
      </c>
    </row>
    <row r="12640" spans="6:8">
      <c r="H12640" t="s">
        <v>20454</v>
      </c>
    </row>
    <row r="12641" spans="6:8">
      <c r="H12641" t="s">
        <v>19349</v>
      </c>
    </row>
    <row r="12642" spans="6:8">
      <c r="H12642" t="s">
        <v>20209</v>
      </c>
    </row>
    <row r="12643" spans="6:8">
      <c r="F12643" t="s">
        <v>11984</v>
      </c>
      <c r="G12643" t="s">
        <v>16225</v>
      </c>
      <c r="H12643" t="s">
        <v>20955</v>
      </c>
    </row>
    <row r="12644" spans="6:8">
      <c r="H12644" t="s">
        <v>18829</v>
      </c>
    </row>
    <row r="12645" spans="6:8">
      <c r="H12645" t="s">
        <v>18863</v>
      </c>
    </row>
    <row r="12646" spans="6:8">
      <c r="H12646" t="s">
        <v>20454</v>
      </c>
    </row>
    <row r="12647" spans="6:8">
      <c r="H12647" t="s">
        <v>19349</v>
      </c>
    </row>
    <row r="12648" spans="6:8">
      <c r="H12648" t="s">
        <v>20209</v>
      </c>
    </row>
    <row r="12649" spans="6:8">
      <c r="F12649" t="s">
        <v>11985</v>
      </c>
      <c r="G12649" t="s">
        <v>16226</v>
      </c>
      <c r="H12649" t="s">
        <v>20956</v>
      </c>
    </row>
    <row r="12650" spans="6:8">
      <c r="H12650" t="s">
        <v>18829</v>
      </c>
    </row>
    <row r="12651" spans="6:8">
      <c r="H12651" t="s">
        <v>18863</v>
      </c>
    </row>
    <row r="12652" spans="6:8">
      <c r="H12652" t="s">
        <v>20454</v>
      </c>
    </row>
    <row r="12653" spans="6:8">
      <c r="H12653" t="s">
        <v>19349</v>
      </c>
    </row>
    <row r="12654" spans="6:8">
      <c r="H12654" t="s">
        <v>20209</v>
      </c>
    </row>
    <row r="12655" spans="6:8">
      <c r="F12655" t="s">
        <v>11986</v>
      </c>
      <c r="G12655" t="s">
        <v>16227</v>
      </c>
      <c r="H12655" t="s">
        <v>20957</v>
      </c>
    </row>
    <row r="12656" spans="6:8">
      <c r="H12656" t="s">
        <v>18829</v>
      </c>
    </row>
    <row r="12657" spans="6:8">
      <c r="H12657" t="s">
        <v>18863</v>
      </c>
    </row>
    <row r="12658" spans="6:8">
      <c r="H12658" t="s">
        <v>20454</v>
      </c>
    </row>
    <row r="12659" spans="6:8">
      <c r="H12659" t="s">
        <v>19349</v>
      </c>
    </row>
    <row r="12660" spans="6:8">
      <c r="H12660" t="s">
        <v>20209</v>
      </c>
    </row>
    <row r="12661" spans="6:8">
      <c r="F12661" t="s">
        <v>11987</v>
      </c>
      <c r="G12661" t="s">
        <v>16228</v>
      </c>
      <c r="H12661" t="s">
        <v>20958</v>
      </c>
    </row>
    <row r="12662" spans="6:8">
      <c r="H12662" t="s">
        <v>18829</v>
      </c>
    </row>
    <row r="12663" spans="6:8">
      <c r="H12663" t="s">
        <v>18863</v>
      </c>
    </row>
    <row r="12664" spans="6:8">
      <c r="H12664" t="s">
        <v>20454</v>
      </c>
    </row>
    <row r="12665" spans="6:8">
      <c r="H12665" t="s">
        <v>19349</v>
      </c>
    </row>
    <row r="12666" spans="6:8">
      <c r="H12666" t="s">
        <v>20209</v>
      </c>
    </row>
    <row r="12667" spans="6:8">
      <c r="F12667" t="s">
        <v>11988</v>
      </c>
      <c r="G12667" t="s">
        <v>16229</v>
      </c>
      <c r="H12667" t="s">
        <v>20959</v>
      </c>
    </row>
    <row r="12668" spans="6:8">
      <c r="H12668" t="s">
        <v>18829</v>
      </c>
    </row>
    <row r="12669" spans="6:8">
      <c r="H12669" t="s">
        <v>18863</v>
      </c>
    </row>
    <row r="12670" spans="6:8">
      <c r="H12670" t="s">
        <v>20454</v>
      </c>
    </row>
    <row r="12671" spans="6:8">
      <c r="H12671" t="s">
        <v>19349</v>
      </c>
    </row>
    <row r="12672" spans="6:8">
      <c r="H12672" t="s">
        <v>20209</v>
      </c>
    </row>
    <row r="12673" spans="6:8">
      <c r="F12673" t="s">
        <v>11989</v>
      </c>
      <c r="G12673" t="s">
        <v>16230</v>
      </c>
      <c r="H12673" t="s">
        <v>20960</v>
      </c>
    </row>
    <row r="12674" spans="6:8">
      <c r="H12674" t="s">
        <v>18829</v>
      </c>
    </row>
    <row r="12675" spans="6:8">
      <c r="H12675" t="s">
        <v>18863</v>
      </c>
    </row>
    <row r="12676" spans="6:8">
      <c r="H12676" t="s">
        <v>20454</v>
      </c>
    </row>
    <row r="12677" spans="6:8">
      <c r="H12677" t="s">
        <v>19349</v>
      </c>
    </row>
    <row r="12678" spans="6:8">
      <c r="H12678" t="s">
        <v>20209</v>
      </c>
    </row>
    <row r="12679" spans="6:8">
      <c r="F12679" t="s">
        <v>11990</v>
      </c>
      <c r="G12679" t="s">
        <v>16231</v>
      </c>
      <c r="H12679" t="s">
        <v>20961</v>
      </c>
    </row>
    <row r="12680" spans="6:8">
      <c r="H12680" t="s">
        <v>18829</v>
      </c>
    </row>
    <row r="12681" spans="6:8">
      <c r="H12681" t="s">
        <v>18863</v>
      </c>
    </row>
    <row r="12682" spans="6:8">
      <c r="H12682" t="s">
        <v>20454</v>
      </c>
    </row>
    <row r="12683" spans="6:8">
      <c r="H12683" t="s">
        <v>19349</v>
      </c>
    </row>
    <row r="12684" spans="6:8">
      <c r="H12684" t="s">
        <v>20209</v>
      </c>
    </row>
    <row r="12685" spans="6:8">
      <c r="F12685" t="s">
        <v>11991</v>
      </c>
      <c r="G12685" t="s">
        <v>16232</v>
      </c>
      <c r="H12685" t="s">
        <v>20962</v>
      </c>
    </row>
    <row r="12686" spans="6:8">
      <c r="H12686" t="s">
        <v>18829</v>
      </c>
    </row>
    <row r="12687" spans="6:8">
      <c r="H12687" t="s">
        <v>18863</v>
      </c>
    </row>
    <row r="12688" spans="6:8">
      <c r="H12688" t="s">
        <v>20454</v>
      </c>
    </row>
    <row r="12689" spans="6:8">
      <c r="H12689" t="s">
        <v>19349</v>
      </c>
    </row>
    <row r="12690" spans="6:8">
      <c r="H12690" t="s">
        <v>20209</v>
      </c>
    </row>
    <row r="12691" spans="6:8">
      <c r="F12691" t="s">
        <v>11992</v>
      </c>
      <c r="G12691" t="s">
        <v>16233</v>
      </c>
      <c r="H12691" t="s">
        <v>20963</v>
      </c>
    </row>
    <row r="12692" spans="6:8">
      <c r="H12692" t="s">
        <v>18829</v>
      </c>
    </row>
    <row r="12693" spans="6:8">
      <c r="H12693" t="s">
        <v>18863</v>
      </c>
    </row>
    <row r="12694" spans="6:8">
      <c r="H12694" t="s">
        <v>20454</v>
      </c>
    </row>
    <row r="12695" spans="6:8">
      <c r="H12695" t="s">
        <v>19349</v>
      </c>
    </row>
    <row r="12696" spans="6:8">
      <c r="H12696" t="s">
        <v>20209</v>
      </c>
    </row>
    <row r="12697" spans="6:8">
      <c r="F12697" t="s">
        <v>11993</v>
      </c>
      <c r="G12697" t="s">
        <v>16234</v>
      </c>
      <c r="H12697" t="s">
        <v>20964</v>
      </c>
    </row>
    <row r="12698" spans="6:8">
      <c r="H12698" t="s">
        <v>18829</v>
      </c>
    </row>
    <row r="12699" spans="6:8">
      <c r="H12699" t="s">
        <v>18863</v>
      </c>
    </row>
    <row r="12700" spans="6:8">
      <c r="H12700" t="s">
        <v>20454</v>
      </c>
    </row>
    <row r="12701" spans="6:8">
      <c r="H12701" t="s">
        <v>19349</v>
      </c>
    </row>
    <row r="12702" spans="6:8">
      <c r="H12702" t="s">
        <v>20209</v>
      </c>
    </row>
    <row r="12703" spans="6:8">
      <c r="F12703" t="s">
        <v>11994</v>
      </c>
      <c r="G12703" t="s">
        <v>16235</v>
      </c>
      <c r="H12703" t="s">
        <v>20965</v>
      </c>
    </row>
    <row r="12704" spans="6:8">
      <c r="H12704" t="s">
        <v>18829</v>
      </c>
    </row>
    <row r="12705" spans="6:8">
      <c r="H12705" t="s">
        <v>18863</v>
      </c>
    </row>
    <row r="12706" spans="6:8">
      <c r="H12706" t="s">
        <v>20454</v>
      </c>
    </row>
    <row r="12707" spans="6:8">
      <c r="H12707" t="s">
        <v>19349</v>
      </c>
    </row>
    <row r="12708" spans="6:8">
      <c r="H12708" t="s">
        <v>20209</v>
      </c>
    </row>
    <row r="12709" spans="6:8">
      <c r="F12709" t="s">
        <v>11995</v>
      </c>
      <c r="G12709" t="s">
        <v>16236</v>
      </c>
      <c r="H12709" t="s">
        <v>20966</v>
      </c>
    </row>
    <row r="12710" spans="6:8">
      <c r="H12710" t="s">
        <v>18829</v>
      </c>
    </row>
    <row r="12711" spans="6:8">
      <c r="H12711" t="s">
        <v>18863</v>
      </c>
    </row>
    <row r="12712" spans="6:8">
      <c r="H12712" t="s">
        <v>20454</v>
      </c>
    </row>
    <row r="12713" spans="6:8">
      <c r="H12713" t="s">
        <v>19349</v>
      </c>
    </row>
    <row r="12714" spans="6:8">
      <c r="H12714" t="s">
        <v>20209</v>
      </c>
    </row>
    <row r="12715" spans="6:8">
      <c r="F12715" t="s">
        <v>11996</v>
      </c>
      <c r="G12715" t="s">
        <v>16237</v>
      </c>
      <c r="H12715" t="s">
        <v>20967</v>
      </c>
    </row>
    <row r="12716" spans="6:8">
      <c r="H12716" t="s">
        <v>18829</v>
      </c>
    </row>
    <row r="12717" spans="6:8">
      <c r="H12717" t="s">
        <v>18863</v>
      </c>
    </row>
    <row r="12718" spans="6:8">
      <c r="H12718" t="s">
        <v>20454</v>
      </c>
    </row>
    <row r="12719" spans="6:8">
      <c r="H12719" t="s">
        <v>19349</v>
      </c>
    </row>
    <row r="12720" spans="6:8">
      <c r="H12720" t="s">
        <v>20209</v>
      </c>
    </row>
    <row r="12721" spans="6:8">
      <c r="F12721" t="s">
        <v>11997</v>
      </c>
      <c r="G12721" t="s">
        <v>16238</v>
      </c>
      <c r="H12721" t="s">
        <v>20968</v>
      </c>
    </row>
    <row r="12722" spans="6:8">
      <c r="H12722" t="s">
        <v>18829</v>
      </c>
    </row>
    <row r="12723" spans="6:8">
      <c r="H12723" t="s">
        <v>18863</v>
      </c>
    </row>
    <row r="12724" spans="6:8">
      <c r="H12724" t="s">
        <v>20454</v>
      </c>
    </row>
    <row r="12725" spans="6:8">
      <c r="H12725" t="s">
        <v>19349</v>
      </c>
    </row>
    <row r="12726" spans="6:8">
      <c r="H12726" t="s">
        <v>20209</v>
      </c>
    </row>
    <row r="12727" spans="6:8">
      <c r="F12727" t="s">
        <v>11998</v>
      </c>
      <c r="G12727" t="s">
        <v>16239</v>
      </c>
      <c r="H12727" t="s">
        <v>20969</v>
      </c>
    </row>
    <row r="12728" spans="6:8">
      <c r="H12728" t="s">
        <v>18829</v>
      </c>
    </row>
    <row r="12729" spans="6:8">
      <c r="H12729" t="s">
        <v>18863</v>
      </c>
    </row>
    <row r="12730" spans="6:8">
      <c r="H12730" t="s">
        <v>20454</v>
      </c>
    </row>
    <row r="12731" spans="6:8">
      <c r="H12731" t="s">
        <v>19349</v>
      </c>
    </row>
    <row r="12732" spans="6:8">
      <c r="H12732" t="s">
        <v>20209</v>
      </c>
    </row>
    <row r="12733" spans="6:8">
      <c r="F12733" t="s">
        <v>11999</v>
      </c>
      <c r="G12733" t="s">
        <v>16240</v>
      </c>
      <c r="H12733" t="s">
        <v>20970</v>
      </c>
    </row>
    <row r="12734" spans="6:8">
      <c r="H12734" t="s">
        <v>18829</v>
      </c>
    </row>
    <row r="12735" spans="6:8">
      <c r="H12735" t="s">
        <v>18863</v>
      </c>
    </row>
    <row r="12736" spans="6:8">
      <c r="H12736" t="s">
        <v>20454</v>
      </c>
    </row>
    <row r="12737" spans="6:8">
      <c r="H12737" t="s">
        <v>19349</v>
      </c>
    </row>
    <row r="12738" spans="6:8">
      <c r="H12738" t="s">
        <v>20209</v>
      </c>
    </row>
    <row r="12739" spans="6:8">
      <c r="F12739" t="s">
        <v>12000</v>
      </c>
      <c r="G12739" t="s">
        <v>16241</v>
      </c>
      <c r="H12739" t="s">
        <v>20971</v>
      </c>
    </row>
    <row r="12740" spans="6:8">
      <c r="H12740" t="s">
        <v>18829</v>
      </c>
    </row>
    <row r="12741" spans="6:8">
      <c r="H12741" t="s">
        <v>18863</v>
      </c>
    </row>
    <row r="12742" spans="6:8">
      <c r="H12742" t="s">
        <v>20454</v>
      </c>
    </row>
    <row r="12743" spans="6:8">
      <c r="H12743" t="s">
        <v>19349</v>
      </c>
    </row>
    <row r="12744" spans="6:8">
      <c r="H12744" t="s">
        <v>20209</v>
      </c>
    </row>
    <row r="12745" spans="6:8">
      <c r="F12745" t="s">
        <v>12001</v>
      </c>
      <c r="G12745" t="s">
        <v>16242</v>
      </c>
      <c r="H12745" t="s">
        <v>20972</v>
      </c>
    </row>
    <row r="12746" spans="6:8">
      <c r="H12746" t="s">
        <v>18829</v>
      </c>
    </row>
    <row r="12747" spans="6:8">
      <c r="H12747" t="s">
        <v>18863</v>
      </c>
    </row>
    <row r="12748" spans="6:8">
      <c r="H12748" t="s">
        <v>20454</v>
      </c>
    </row>
    <row r="12749" spans="6:8">
      <c r="H12749" t="s">
        <v>19349</v>
      </c>
    </row>
    <row r="12750" spans="6:8">
      <c r="H12750" t="s">
        <v>20209</v>
      </c>
    </row>
    <row r="12751" spans="6:8">
      <c r="F12751" t="s">
        <v>12002</v>
      </c>
      <c r="G12751" t="s">
        <v>16243</v>
      </c>
      <c r="H12751" t="s">
        <v>20973</v>
      </c>
    </row>
    <row r="12752" spans="6:8">
      <c r="H12752" t="s">
        <v>18829</v>
      </c>
    </row>
    <row r="12753" spans="6:8">
      <c r="H12753" t="s">
        <v>18863</v>
      </c>
    </row>
    <row r="12754" spans="6:8">
      <c r="H12754" t="s">
        <v>20454</v>
      </c>
    </row>
    <row r="12755" spans="6:8">
      <c r="H12755" t="s">
        <v>19349</v>
      </c>
    </row>
    <row r="12756" spans="6:8">
      <c r="H12756" t="s">
        <v>20209</v>
      </c>
    </row>
    <row r="12757" spans="6:8">
      <c r="F12757" t="s">
        <v>12003</v>
      </c>
      <c r="G12757" t="s">
        <v>16244</v>
      </c>
      <c r="H12757" t="s">
        <v>20974</v>
      </c>
    </row>
    <row r="12758" spans="6:8">
      <c r="H12758" t="s">
        <v>18829</v>
      </c>
    </row>
    <row r="12759" spans="6:8">
      <c r="H12759" t="s">
        <v>18863</v>
      </c>
    </row>
    <row r="12760" spans="6:8">
      <c r="H12760" t="s">
        <v>20454</v>
      </c>
    </row>
    <row r="12761" spans="6:8">
      <c r="H12761" t="s">
        <v>19349</v>
      </c>
    </row>
    <row r="12762" spans="6:8">
      <c r="H12762" t="s">
        <v>20209</v>
      </c>
    </row>
    <row r="12763" spans="6:8">
      <c r="F12763" t="s">
        <v>12004</v>
      </c>
      <c r="G12763" t="s">
        <v>16245</v>
      </c>
      <c r="H12763" t="s">
        <v>20975</v>
      </c>
    </row>
    <row r="12764" spans="6:8">
      <c r="H12764" t="s">
        <v>18829</v>
      </c>
    </row>
    <row r="12765" spans="6:8">
      <c r="H12765" t="s">
        <v>18863</v>
      </c>
    </row>
    <row r="12766" spans="6:8">
      <c r="H12766" t="s">
        <v>20454</v>
      </c>
    </row>
    <row r="12767" spans="6:8">
      <c r="H12767" t="s">
        <v>19349</v>
      </c>
    </row>
    <row r="12768" spans="6:8">
      <c r="H12768" t="s">
        <v>20209</v>
      </c>
    </row>
    <row r="12769" spans="6:8">
      <c r="F12769" t="s">
        <v>12005</v>
      </c>
      <c r="G12769" t="s">
        <v>16246</v>
      </c>
      <c r="H12769" t="s">
        <v>20976</v>
      </c>
    </row>
    <row r="12770" spans="6:8">
      <c r="H12770" t="s">
        <v>18829</v>
      </c>
    </row>
    <row r="12771" spans="6:8">
      <c r="H12771" t="s">
        <v>18863</v>
      </c>
    </row>
    <row r="12772" spans="6:8">
      <c r="H12772" t="s">
        <v>20454</v>
      </c>
    </row>
    <row r="12773" spans="6:8">
      <c r="H12773" t="s">
        <v>19349</v>
      </c>
    </row>
    <row r="12774" spans="6:8">
      <c r="H12774" t="s">
        <v>20209</v>
      </c>
    </row>
    <row r="12775" spans="6:8">
      <c r="F12775" t="s">
        <v>12006</v>
      </c>
      <c r="G12775" t="s">
        <v>16247</v>
      </c>
      <c r="H12775" t="s">
        <v>20977</v>
      </c>
    </row>
    <row r="12776" spans="6:8">
      <c r="H12776" t="s">
        <v>18829</v>
      </c>
    </row>
    <row r="12777" spans="6:8">
      <c r="H12777" t="s">
        <v>18863</v>
      </c>
    </row>
    <row r="12778" spans="6:8">
      <c r="H12778" t="s">
        <v>20454</v>
      </c>
    </row>
    <row r="12779" spans="6:8">
      <c r="H12779" t="s">
        <v>19349</v>
      </c>
    </row>
    <row r="12780" spans="6:8">
      <c r="H12780" t="s">
        <v>20209</v>
      </c>
    </row>
    <row r="12781" spans="6:8">
      <c r="F12781" t="s">
        <v>12007</v>
      </c>
      <c r="G12781" t="s">
        <v>16248</v>
      </c>
      <c r="H12781" t="s">
        <v>20978</v>
      </c>
    </row>
    <row r="12782" spans="6:8">
      <c r="H12782" t="s">
        <v>18829</v>
      </c>
    </row>
    <row r="12783" spans="6:8">
      <c r="H12783" t="s">
        <v>18863</v>
      </c>
    </row>
    <row r="12784" spans="6:8">
      <c r="H12784" t="s">
        <v>20454</v>
      </c>
    </row>
    <row r="12785" spans="6:8">
      <c r="H12785" t="s">
        <v>19349</v>
      </c>
    </row>
    <row r="12786" spans="6:8">
      <c r="H12786" t="s">
        <v>20209</v>
      </c>
    </row>
    <row r="12787" spans="6:8">
      <c r="F12787" t="s">
        <v>12008</v>
      </c>
      <c r="G12787" t="s">
        <v>16249</v>
      </c>
      <c r="H12787" t="s">
        <v>20979</v>
      </c>
    </row>
    <row r="12788" spans="6:8">
      <c r="H12788" t="s">
        <v>18829</v>
      </c>
    </row>
    <row r="12789" spans="6:8">
      <c r="H12789" t="s">
        <v>18863</v>
      </c>
    </row>
    <row r="12790" spans="6:8">
      <c r="H12790" t="s">
        <v>20454</v>
      </c>
    </row>
    <row r="12791" spans="6:8">
      <c r="H12791" t="s">
        <v>19349</v>
      </c>
    </row>
    <row r="12792" spans="6:8">
      <c r="H12792" t="s">
        <v>20209</v>
      </c>
    </row>
    <row r="12793" spans="6:8">
      <c r="F12793" t="s">
        <v>12009</v>
      </c>
      <c r="G12793" t="s">
        <v>16250</v>
      </c>
      <c r="H12793" t="s">
        <v>20980</v>
      </c>
    </row>
    <row r="12794" spans="6:8">
      <c r="H12794" t="s">
        <v>18829</v>
      </c>
    </row>
    <row r="12795" spans="6:8">
      <c r="H12795" t="s">
        <v>18863</v>
      </c>
    </row>
    <row r="12796" spans="6:8">
      <c r="H12796" t="s">
        <v>20454</v>
      </c>
    </row>
    <row r="12797" spans="6:8">
      <c r="H12797" t="s">
        <v>19349</v>
      </c>
    </row>
    <row r="12798" spans="6:8">
      <c r="H12798" t="s">
        <v>20209</v>
      </c>
    </row>
    <row r="12799" spans="6:8">
      <c r="F12799" t="s">
        <v>12010</v>
      </c>
      <c r="G12799" t="s">
        <v>16251</v>
      </c>
      <c r="H12799" t="s">
        <v>20981</v>
      </c>
    </row>
    <row r="12800" spans="6:8">
      <c r="H12800" t="s">
        <v>18829</v>
      </c>
    </row>
    <row r="12801" spans="6:8">
      <c r="H12801" t="s">
        <v>18863</v>
      </c>
    </row>
    <row r="12802" spans="6:8">
      <c r="H12802" t="s">
        <v>20454</v>
      </c>
    </row>
    <row r="12803" spans="6:8">
      <c r="H12803" t="s">
        <v>19349</v>
      </c>
    </row>
    <row r="12804" spans="6:8">
      <c r="H12804" t="s">
        <v>20209</v>
      </c>
    </row>
    <row r="12805" spans="6:8">
      <c r="F12805" t="s">
        <v>12011</v>
      </c>
      <c r="G12805" t="s">
        <v>16252</v>
      </c>
      <c r="H12805" t="s">
        <v>20982</v>
      </c>
    </row>
    <row r="12806" spans="6:8">
      <c r="H12806" t="s">
        <v>18829</v>
      </c>
    </row>
    <row r="12807" spans="6:8">
      <c r="H12807" t="s">
        <v>18863</v>
      </c>
    </row>
    <row r="12808" spans="6:8">
      <c r="H12808" t="s">
        <v>20454</v>
      </c>
    </row>
    <row r="12809" spans="6:8">
      <c r="H12809" t="s">
        <v>19349</v>
      </c>
    </row>
    <row r="12810" spans="6:8">
      <c r="H12810" t="s">
        <v>20209</v>
      </c>
    </row>
    <row r="12811" spans="6:8">
      <c r="F12811" t="s">
        <v>12012</v>
      </c>
      <c r="G12811" t="s">
        <v>16253</v>
      </c>
      <c r="H12811" t="s">
        <v>20983</v>
      </c>
    </row>
    <row r="12812" spans="6:8">
      <c r="H12812" t="s">
        <v>18829</v>
      </c>
    </row>
    <row r="12813" spans="6:8">
      <c r="H12813" t="s">
        <v>18863</v>
      </c>
    </row>
    <row r="12814" spans="6:8">
      <c r="H12814" t="s">
        <v>20454</v>
      </c>
    </row>
    <row r="12815" spans="6:8">
      <c r="H12815" t="s">
        <v>19349</v>
      </c>
    </row>
    <row r="12816" spans="6:8">
      <c r="H12816" t="s">
        <v>20209</v>
      </c>
    </row>
    <row r="12817" spans="6:8">
      <c r="F12817" t="s">
        <v>12013</v>
      </c>
      <c r="G12817" t="s">
        <v>16254</v>
      </c>
      <c r="H12817" t="s">
        <v>20984</v>
      </c>
    </row>
    <row r="12818" spans="6:8">
      <c r="H12818" t="s">
        <v>18829</v>
      </c>
    </row>
    <row r="12819" spans="6:8">
      <c r="H12819" t="s">
        <v>18863</v>
      </c>
    </row>
    <row r="12820" spans="6:8">
      <c r="H12820" t="s">
        <v>20454</v>
      </c>
    </row>
    <row r="12821" spans="6:8">
      <c r="H12821" t="s">
        <v>19349</v>
      </c>
    </row>
    <row r="12822" spans="6:8">
      <c r="H12822" t="s">
        <v>20209</v>
      </c>
    </row>
    <row r="12823" spans="6:8">
      <c r="F12823" t="s">
        <v>12014</v>
      </c>
      <c r="G12823" t="s">
        <v>16255</v>
      </c>
      <c r="H12823" t="s">
        <v>20985</v>
      </c>
    </row>
    <row r="12824" spans="6:8">
      <c r="H12824" t="s">
        <v>18829</v>
      </c>
    </row>
    <row r="12825" spans="6:8">
      <c r="H12825" t="s">
        <v>18863</v>
      </c>
    </row>
    <row r="12826" spans="6:8">
      <c r="H12826" t="s">
        <v>20454</v>
      </c>
    </row>
    <row r="12827" spans="6:8">
      <c r="H12827" t="s">
        <v>19349</v>
      </c>
    </row>
    <row r="12828" spans="6:8">
      <c r="H12828" t="s">
        <v>20209</v>
      </c>
    </row>
    <row r="12829" spans="6:8">
      <c r="F12829" t="s">
        <v>12015</v>
      </c>
      <c r="G12829" t="s">
        <v>16256</v>
      </c>
      <c r="H12829" t="s">
        <v>20986</v>
      </c>
    </row>
    <row r="12830" spans="6:8">
      <c r="H12830" t="s">
        <v>18829</v>
      </c>
    </row>
    <row r="12831" spans="6:8">
      <c r="H12831" t="s">
        <v>18863</v>
      </c>
    </row>
    <row r="12832" spans="6:8">
      <c r="H12832" t="s">
        <v>20454</v>
      </c>
    </row>
    <row r="12833" spans="6:8">
      <c r="H12833" t="s">
        <v>19349</v>
      </c>
    </row>
    <row r="12834" spans="6:8">
      <c r="H12834" t="s">
        <v>20209</v>
      </c>
    </row>
    <row r="12835" spans="6:8">
      <c r="F12835" t="s">
        <v>12016</v>
      </c>
      <c r="G12835" t="s">
        <v>16257</v>
      </c>
      <c r="H12835" t="s">
        <v>20987</v>
      </c>
    </row>
    <row r="12836" spans="6:8">
      <c r="H12836" t="s">
        <v>18829</v>
      </c>
    </row>
    <row r="12837" spans="6:8">
      <c r="H12837" t="s">
        <v>18863</v>
      </c>
    </row>
    <row r="12838" spans="6:8">
      <c r="H12838" t="s">
        <v>20454</v>
      </c>
    </row>
    <row r="12839" spans="6:8">
      <c r="H12839" t="s">
        <v>19349</v>
      </c>
    </row>
    <row r="12840" spans="6:8">
      <c r="H12840" t="s">
        <v>20209</v>
      </c>
    </row>
    <row r="12841" spans="6:8">
      <c r="F12841" t="s">
        <v>12017</v>
      </c>
      <c r="G12841" t="s">
        <v>16258</v>
      </c>
      <c r="H12841" t="s">
        <v>20988</v>
      </c>
    </row>
    <row r="12842" spans="6:8">
      <c r="H12842" t="s">
        <v>18829</v>
      </c>
    </row>
    <row r="12843" spans="6:8">
      <c r="H12843" t="s">
        <v>18863</v>
      </c>
    </row>
    <row r="12844" spans="6:8">
      <c r="H12844" t="s">
        <v>20454</v>
      </c>
    </row>
    <row r="12845" spans="6:8">
      <c r="H12845" t="s">
        <v>19349</v>
      </c>
    </row>
    <row r="12846" spans="6:8">
      <c r="H12846" t="s">
        <v>20209</v>
      </c>
    </row>
    <row r="12847" spans="6:8">
      <c r="F12847" t="s">
        <v>12018</v>
      </c>
      <c r="G12847" t="s">
        <v>16259</v>
      </c>
      <c r="H12847" t="s">
        <v>20989</v>
      </c>
    </row>
    <row r="12848" spans="6:8">
      <c r="H12848" t="s">
        <v>18829</v>
      </c>
    </row>
    <row r="12849" spans="6:8">
      <c r="H12849" t="s">
        <v>18863</v>
      </c>
    </row>
    <row r="12850" spans="6:8">
      <c r="H12850" t="s">
        <v>20454</v>
      </c>
    </row>
    <row r="12851" spans="6:8">
      <c r="H12851" t="s">
        <v>19349</v>
      </c>
    </row>
    <row r="12852" spans="6:8">
      <c r="H12852" t="s">
        <v>20209</v>
      </c>
    </row>
    <row r="12853" spans="6:8">
      <c r="F12853" t="s">
        <v>12019</v>
      </c>
      <c r="G12853" t="s">
        <v>16260</v>
      </c>
      <c r="H12853" t="s">
        <v>20990</v>
      </c>
    </row>
    <row r="12854" spans="6:8">
      <c r="H12854" t="s">
        <v>18829</v>
      </c>
    </row>
    <row r="12855" spans="6:8">
      <c r="H12855" t="s">
        <v>18863</v>
      </c>
    </row>
    <row r="12856" spans="6:8">
      <c r="H12856" t="s">
        <v>20454</v>
      </c>
    </row>
    <row r="12857" spans="6:8">
      <c r="H12857" t="s">
        <v>19349</v>
      </c>
    </row>
    <row r="12858" spans="6:8">
      <c r="H12858" t="s">
        <v>20209</v>
      </c>
    </row>
    <row r="12859" spans="6:8">
      <c r="F12859" t="s">
        <v>12020</v>
      </c>
      <c r="G12859" t="s">
        <v>16261</v>
      </c>
      <c r="H12859" t="s">
        <v>20991</v>
      </c>
    </row>
    <row r="12860" spans="6:8">
      <c r="H12860" t="s">
        <v>18829</v>
      </c>
    </row>
    <row r="12861" spans="6:8">
      <c r="H12861" t="s">
        <v>18863</v>
      </c>
    </row>
    <row r="12862" spans="6:8">
      <c r="H12862" t="s">
        <v>20454</v>
      </c>
    </row>
    <row r="12863" spans="6:8">
      <c r="H12863" t="s">
        <v>19349</v>
      </c>
    </row>
    <row r="12864" spans="6:8">
      <c r="H12864" t="s">
        <v>20209</v>
      </c>
    </row>
    <row r="12865" spans="6:8">
      <c r="F12865" t="s">
        <v>12021</v>
      </c>
      <c r="G12865" t="s">
        <v>16262</v>
      </c>
      <c r="H12865" t="s">
        <v>20992</v>
      </c>
    </row>
    <row r="12866" spans="6:8">
      <c r="H12866" t="s">
        <v>18829</v>
      </c>
    </row>
    <row r="12867" spans="6:8">
      <c r="H12867" t="s">
        <v>18863</v>
      </c>
    </row>
    <row r="12868" spans="6:8">
      <c r="H12868" t="s">
        <v>20454</v>
      </c>
    </row>
    <row r="12869" spans="6:8">
      <c r="H12869" t="s">
        <v>19349</v>
      </c>
    </row>
    <row r="12870" spans="6:8">
      <c r="H12870" t="s">
        <v>20209</v>
      </c>
    </row>
    <row r="12871" spans="6:8">
      <c r="F12871" t="s">
        <v>12022</v>
      </c>
      <c r="G12871" t="s">
        <v>16263</v>
      </c>
      <c r="H12871" t="s">
        <v>20993</v>
      </c>
    </row>
    <row r="12872" spans="6:8">
      <c r="H12872" t="s">
        <v>18829</v>
      </c>
    </row>
    <row r="12873" spans="6:8">
      <c r="H12873" t="s">
        <v>18863</v>
      </c>
    </row>
    <row r="12874" spans="6:8">
      <c r="H12874" t="s">
        <v>20454</v>
      </c>
    </row>
    <row r="12875" spans="6:8">
      <c r="H12875" t="s">
        <v>19349</v>
      </c>
    </row>
    <row r="12876" spans="6:8">
      <c r="H12876" t="s">
        <v>20209</v>
      </c>
    </row>
    <row r="12877" spans="6:8">
      <c r="F12877" t="s">
        <v>12023</v>
      </c>
      <c r="G12877" t="s">
        <v>16264</v>
      </c>
      <c r="H12877" t="s">
        <v>20994</v>
      </c>
    </row>
    <row r="12878" spans="6:8">
      <c r="H12878" t="s">
        <v>18829</v>
      </c>
    </row>
    <row r="12879" spans="6:8">
      <c r="H12879" t="s">
        <v>18863</v>
      </c>
    </row>
    <row r="12880" spans="6:8">
      <c r="H12880" t="s">
        <v>20454</v>
      </c>
    </row>
    <row r="12881" spans="6:8">
      <c r="H12881" t="s">
        <v>19349</v>
      </c>
    </row>
    <row r="12882" spans="6:8">
      <c r="H12882" t="s">
        <v>20209</v>
      </c>
    </row>
    <row r="12883" spans="6:8">
      <c r="F12883" t="s">
        <v>12024</v>
      </c>
      <c r="G12883" t="s">
        <v>16265</v>
      </c>
      <c r="H12883" t="s">
        <v>20995</v>
      </c>
    </row>
    <row r="12884" spans="6:8">
      <c r="H12884" t="s">
        <v>18829</v>
      </c>
    </row>
    <row r="12885" spans="6:8">
      <c r="H12885" t="s">
        <v>18863</v>
      </c>
    </row>
    <row r="12886" spans="6:8">
      <c r="H12886" t="s">
        <v>20454</v>
      </c>
    </row>
    <row r="12887" spans="6:8">
      <c r="H12887" t="s">
        <v>19349</v>
      </c>
    </row>
    <row r="12888" spans="6:8">
      <c r="H12888" t="s">
        <v>20209</v>
      </c>
    </row>
    <row r="12889" spans="6:8">
      <c r="F12889" t="s">
        <v>12025</v>
      </c>
      <c r="G12889" t="s">
        <v>16266</v>
      </c>
      <c r="H12889" t="s">
        <v>20996</v>
      </c>
    </row>
    <row r="12890" spans="6:8">
      <c r="H12890" t="s">
        <v>18829</v>
      </c>
    </row>
    <row r="12891" spans="6:8">
      <c r="H12891" t="s">
        <v>18863</v>
      </c>
    </row>
    <row r="12892" spans="6:8">
      <c r="H12892" t="s">
        <v>20454</v>
      </c>
    </row>
    <row r="12893" spans="6:8">
      <c r="H12893" t="s">
        <v>19349</v>
      </c>
    </row>
    <row r="12894" spans="6:8">
      <c r="H12894" t="s">
        <v>20209</v>
      </c>
    </row>
    <row r="12895" spans="6:8">
      <c r="F12895" t="s">
        <v>12026</v>
      </c>
      <c r="G12895" t="s">
        <v>16267</v>
      </c>
      <c r="H12895" t="s">
        <v>20997</v>
      </c>
    </row>
    <row r="12896" spans="6:8">
      <c r="H12896" t="s">
        <v>18829</v>
      </c>
    </row>
    <row r="12897" spans="6:8">
      <c r="H12897" t="s">
        <v>18863</v>
      </c>
    </row>
    <row r="12898" spans="6:8">
      <c r="H12898" t="s">
        <v>20454</v>
      </c>
    </row>
    <row r="12899" spans="6:8">
      <c r="H12899" t="s">
        <v>19349</v>
      </c>
    </row>
    <row r="12900" spans="6:8">
      <c r="H12900" t="s">
        <v>20209</v>
      </c>
    </row>
    <row r="12901" spans="6:8">
      <c r="F12901" t="s">
        <v>12027</v>
      </c>
      <c r="G12901" t="s">
        <v>16268</v>
      </c>
      <c r="H12901" t="s">
        <v>20998</v>
      </c>
    </row>
    <row r="12902" spans="6:8">
      <c r="H12902" t="s">
        <v>18829</v>
      </c>
    </row>
    <row r="12903" spans="6:8">
      <c r="H12903" t="s">
        <v>18863</v>
      </c>
    </row>
    <row r="12904" spans="6:8">
      <c r="H12904" t="s">
        <v>20454</v>
      </c>
    </row>
    <row r="12905" spans="6:8">
      <c r="H12905" t="s">
        <v>19349</v>
      </c>
    </row>
    <row r="12906" spans="6:8">
      <c r="H12906" t="s">
        <v>20209</v>
      </c>
    </row>
    <row r="12907" spans="6:8">
      <c r="F12907" t="s">
        <v>12028</v>
      </c>
      <c r="G12907" t="s">
        <v>16269</v>
      </c>
      <c r="H12907" t="s">
        <v>20999</v>
      </c>
    </row>
    <row r="12908" spans="6:8">
      <c r="H12908" t="s">
        <v>18829</v>
      </c>
    </row>
    <row r="12909" spans="6:8">
      <c r="H12909" t="s">
        <v>18863</v>
      </c>
    </row>
    <row r="12910" spans="6:8">
      <c r="H12910" t="s">
        <v>20454</v>
      </c>
    </row>
    <row r="12911" spans="6:8">
      <c r="H12911" t="s">
        <v>19349</v>
      </c>
    </row>
    <row r="12912" spans="6:8">
      <c r="H12912" t="s">
        <v>20209</v>
      </c>
    </row>
    <row r="12913" spans="6:8">
      <c r="F12913" t="s">
        <v>12029</v>
      </c>
      <c r="G12913" t="s">
        <v>16270</v>
      </c>
      <c r="H12913" t="s">
        <v>21000</v>
      </c>
    </row>
    <row r="12914" spans="6:8">
      <c r="H12914" t="s">
        <v>18829</v>
      </c>
    </row>
    <row r="12915" spans="6:8">
      <c r="H12915" t="s">
        <v>18863</v>
      </c>
    </row>
    <row r="12916" spans="6:8">
      <c r="H12916" t="s">
        <v>20454</v>
      </c>
    </row>
    <row r="12917" spans="6:8">
      <c r="H12917" t="s">
        <v>19349</v>
      </c>
    </row>
    <row r="12918" spans="6:8">
      <c r="H12918" t="s">
        <v>20209</v>
      </c>
    </row>
    <row r="12919" spans="6:8">
      <c r="F12919" t="s">
        <v>12030</v>
      </c>
      <c r="G12919" t="s">
        <v>16271</v>
      </c>
      <c r="H12919" t="s">
        <v>21001</v>
      </c>
    </row>
    <row r="12920" spans="6:8">
      <c r="H12920" t="s">
        <v>18829</v>
      </c>
    </row>
    <row r="12921" spans="6:8">
      <c r="H12921" t="s">
        <v>18863</v>
      </c>
    </row>
    <row r="12922" spans="6:8">
      <c r="H12922" t="s">
        <v>20454</v>
      </c>
    </row>
    <row r="12923" spans="6:8">
      <c r="H12923" t="s">
        <v>19349</v>
      </c>
    </row>
    <row r="12924" spans="6:8">
      <c r="H12924" t="s">
        <v>20209</v>
      </c>
    </row>
    <row r="12925" spans="6:8">
      <c r="F12925" t="s">
        <v>12031</v>
      </c>
      <c r="G12925" t="s">
        <v>16272</v>
      </c>
      <c r="H12925" t="s">
        <v>21002</v>
      </c>
    </row>
    <row r="12926" spans="6:8">
      <c r="H12926" t="s">
        <v>18829</v>
      </c>
    </row>
    <row r="12927" spans="6:8">
      <c r="H12927" t="s">
        <v>18863</v>
      </c>
    </row>
    <row r="12928" spans="6:8">
      <c r="H12928" t="s">
        <v>20454</v>
      </c>
    </row>
    <row r="12929" spans="6:8">
      <c r="H12929" t="s">
        <v>19349</v>
      </c>
    </row>
    <row r="12930" spans="6:8">
      <c r="H12930" t="s">
        <v>20209</v>
      </c>
    </row>
    <row r="12931" spans="6:8">
      <c r="F12931" t="s">
        <v>12032</v>
      </c>
      <c r="G12931" t="s">
        <v>16273</v>
      </c>
      <c r="H12931" t="s">
        <v>21003</v>
      </c>
    </row>
    <row r="12932" spans="6:8">
      <c r="H12932" t="s">
        <v>18829</v>
      </c>
    </row>
    <row r="12933" spans="6:8">
      <c r="H12933" t="s">
        <v>18863</v>
      </c>
    </row>
    <row r="12934" spans="6:8">
      <c r="H12934" t="s">
        <v>20454</v>
      </c>
    </row>
    <row r="12935" spans="6:8">
      <c r="H12935" t="s">
        <v>19349</v>
      </c>
    </row>
    <row r="12936" spans="6:8">
      <c r="H12936" t="s">
        <v>20209</v>
      </c>
    </row>
    <row r="12937" spans="6:8">
      <c r="F12937" t="s">
        <v>12033</v>
      </c>
      <c r="G12937" t="s">
        <v>16274</v>
      </c>
      <c r="H12937" t="s">
        <v>21004</v>
      </c>
    </row>
    <row r="12938" spans="6:8">
      <c r="H12938" t="s">
        <v>18829</v>
      </c>
    </row>
    <row r="12939" spans="6:8">
      <c r="H12939" t="s">
        <v>18863</v>
      </c>
    </row>
    <row r="12940" spans="6:8">
      <c r="H12940" t="s">
        <v>20454</v>
      </c>
    </row>
    <row r="12941" spans="6:8">
      <c r="H12941" t="s">
        <v>19349</v>
      </c>
    </row>
    <row r="12942" spans="6:8">
      <c r="H12942" t="s">
        <v>20209</v>
      </c>
    </row>
    <row r="12943" spans="6:8">
      <c r="F12943" t="s">
        <v>12034</v>
      </c>
      <c r="G12943" t="s">
        <v>16275</v>
      </c>
      <c r="H12943" t="s">
        <v>21005</v>
      </c>
    </row>
    <row r="12944" spans="6:8">
      <c r="H12944" t="s">
        <v>18829</v>
      </c>
    </row>
    <row r="12945" spans="6:8">
      <c r="H12945" t="s">
        <v>18863</v>
      </c>
    </row>
    <row r="12946" spans="6:8">
      <c r="H12946" t="s">
        <v>20454</v>
      </c>
    </row>
    <row r="12947" spans="6:8">
      <c r="H12947" t="s">
        <v>19349</v>
      </c>
    </row>
    <row r="12948" spans="6:8">
      <c r="H12948" t="s">
        <v>20209</v>
      </c>
    </row>
    <row r="12949" spans="6:8">
      <c r="F12949" t="s">
        <v>12035</v>
      </c>
      <c r="G12949" t="s">
        <v>16276</v>
      </c>
      <c r="H12949" t="s">
        <v>21006</v>
      </c>
    </row>
    <row r="12950" spans="6:8">
      <c r="H12950" t="s">
        <v>18829</v>
      </c>
    </row>
    <row r="12951" spans="6:8">
      <c r="H12951" t="s">
        <v>18863</v>
      </c>
    </row>
    <row r="12952" spans="6:8">
      <c r="H12952" t="s">
        <v>20454</v>
      </c>
    </row>
    <row r="12953" spans="6:8">
      <c r="H12953" t="s">
        <v>19349</v>
      </c>
    </row>
    <row r="12954" spans="6:8">
      <c r="H12954" t="s">
        <v>20209</v>
      </c>
    </row>
    <row r="12955" spans="6:8">
      <c r="F12955" t="s">
        <v>12036</v>
      </c>
      <c r="G12955" t="s">
        <v>16277</v>
      </c>
      <c r="H12955" t="s">
        <v>21007</v>
      </c>
    </row>
    <row r="12956" spans="6:8">
      <c r="H12956" t="s">
        <v>18829</v>
      </c>
    </row>
    <row r="12957" spans="6:8">
      <c r="H12957" t="s">
        <v>18863</v>
      </c>
    </row>
    <row r="12958" spans="6:8">
      <c r="H12958" t="s">
        <v>20454</v>
      </c>
    </row>
    <row r="12959" spans="6:8">
      <c r="H12959" t="s">
        <v>19349</v>
      </c>
    </row>
    <row r="12960" spans="6:8">
      <c r="H12960" t="s">
        <v>20209</v>
      </c>
    </row>
    <row r="12961" spans="6:8">
      <c r="F12961" t="s">
        <v>12037</v>
      </c>
      <c r="G12961" t="s">
        <v>16278</v>
      </c>
      <c r="H12961" t="s">
        <v>21008</v>
      </c>
    </row>
    <row r="12962" spans="6:8">
      <c r="H12962" t="s">
        <v>18829</v>
      </c>
    </row>
    <row r="12963" spans="6:8">
      <c r="H12963" t="s">
        <v>18863</v>
      </c>
    </row>
    <row r="12964" spans="6:8">
      <c r="H12964" t="s">
        <v>20454</v>
      </c>
    </row>
    <row r="12965" spans="6:8">
      <c r="H12965" t="s">
        <v>19349</v>
      </c>
    </row>
    <row r="12966" spans="6:8">
      <c r="H12966" t="s">
        <v>20209</v>
      </c>
    </row>
    <row r="12967" spans="6:8">
      <c r="F12967" t="s">
        <v>12038</v>
      </c>
      <c r="G12967" t="s">
        <v>16279</v>
      </c>
      <c r="H12967" t="s">
        <v>21009</v>
      </c>
    </row>
    <row r="12968" spans="6:8">
      <c r="H12968" t="s">
        <v>18829</v>
      </c>
    </row>
    <row r="12969" spans="6:8">
      <c r="H12969" t="s">
        <v>18863</v>
      </c>
    </row>
    <row r="12970" spans="6:8">
      <c r="H12970" t="s">
        <v>20454</v>
      </c>
    </row>
    <row r="12971" spans="6:8">
      <c r="H12971" t="s">
        <v>19349</v>
      </c>
    </row>
    <row r="12972" spans="6:8">
      <c r="H12972" t="s">
        <v>20209</v>
      </c>
    </row>
    <row r="12973" spans="6:8">
      <c r="F12973" t="s">
        <v>12039</v>
      </c>
      <c r="G12973" t="s">
        <v>16280</v>
      </c>
      <c r="H12973" t="s">
        <v>21010</v>
      </c>
    </row>
    <row r="12974" spans="6:8">
      <c r="H12974" t="s">
        <v>18829</v>
      </c>
    </row>
    <row r="12975" spans="6:8">
      <c r="H12975" t="s">
        <v>18863</v>
      </c>
    </row>
    <row r="12976" spans="6:8">
      <c r="H12976" t="s">
        <v>20454</v>
      </c>
    </row>
    <row r="12977" spans="6:8">
      <c r="H12977" t="s">
        <v>19349</v>
      </c>
    </row>
    <row r="12978" spans="6:8">
      <c r="H12978" t="s">
        <v>20209</v>
      </c>
    </row>
    <row r="12979" spans="6:8">
      <c r="F12979" t="s">
        <v>12040</v>
      </c>
      <c r="G12979" t="s">
        <v>16281</v>
      </c>
      <c r="H12979" t="s">
        <v>21011</v>
      </c>
    </row>
    <row r="12980" spans="6:8">
      <c r="H12980" t="s">
        <v>18829</v>
      </c>
    </row>
    <row r="12981" spans="6:8">
      <c r="H12981" t="s">
        <v>18863</v>
      </c>
    </row>
    <row r="12982" spans="6:8">
      <c r="H12982" t="s">
        <v>20454</v>
      </c>
    </row>
    <row r="12983" spans="6:8">
      <c r="H12983" t="s">
        <v>19349</v>
      </c>
    </row>
    <row r="12984" spans="6:8">
      <c r="H12984" t="s">
        <v>20209</v>
      </c>
    </row>
    <row r="12985" spans="6:8">
      <c r="F12985" t="s">
        <v>12041</v>
      </c>
      <c r="G12985" t="s">
        <v>16282</v>
      </c>
      <c r="H12985" t="s">
        <v>21012</v>
      </c>
    </row>
    <row r="12986" spans="6:8">
      <c r="H12986" t="s">
        <v>18829</v>
      </c>
    </row>
    <row r="12987" spans="6:8">
      <c r="H12987" t="s">
        <v>18863</v>
      </c>
    </row>
    <row r="12988" spans="6:8">
      <c r="H12988" t="s">
        <v>20454</v>
      </c>
    </row>
    <row r="12989" spans="6:8">
      <c r="H12989" t="s">
        <v>19349</v>
      </c>
    </row>
    <row r="12990" spans="6:8">
      <c r="H12990" t="s">
        <v>20209</v>
      </c>
    </row>
    <row r="12991" spans="6:8">
      <c r="F12991" t="s">
        <v>12042</v>
      </c>
      <c r="G12991" t="s">
        <v>16283</v>
      </c>
      <c r="H12991" t="s">
        <v>21013</v>
      </c>
    </row>
    <row r="12992" spans="6:8">
      <c r="H12992" t="s">
        <v>18829</v>
      </c>
    </row>
    <row r="12993" spans="6:8">
      <c r="H12993" t="s">
        <v>18863</v>
      </c>
    </row>
    <row r="12994" spans="6:8">
      <c r="H12994" t="s">
        <v>20454</v>
      </c>
    </row>
    <row r="12995" spans="6:8">
      <c r="H12995" t="s">
        <v>19349</v>
      </c>
    </row>
    <row r="12996" spans="6:8">
      <c r="H12996" t="s">
        <v>20209</v>
      </c>
    </row>
    <row r="12997" spans="6:8">
      <c r="F12997" t="s">
        <v>12043</v>
      </c>
      <c r="G12997" t="s">
        <v>16284</v>
      </c>
      <c r="H12997" t="s">
        <v>21014</v>
      </c>
    </row>
    <row r="12998" spans="6:8">
      <c r="H12998" t="s">
        <v>18829</v>
      </c>
    </row>
    <row r="12999" spans="6:8">
      <c r="H12999" t="s">
        <v>18863</v>
      </c>
    </row>
    <row r="13000" spans="6:8">
      <c r="H13000" t="s">
        <v>20454</v>
      </c>
    </row>
    <row r="13001" spans="6:8">
      <c r="H13001" t="s">
        <v>19349</v>
      </c>
    </row>
    <row r="13002" spans="6:8">
      <c r="H13002" t="s">
        <v>20209</v>
      </c>
    </row>
    <row r="13003" spans="6:8">
      <c r="F13003" t="s">
        <v>12044</v>
      </c>
      <c r="G13003" t="s">
        <v>16285</v>
      </c>
      <c r="H13003" t="s">
        <v>21015</v>
      </c>
    </row>
    <row r="13004" spans="6:8">
      <c r="H13004" t="s">
        <v>18829</v>
      </c>
    </row>
    <row r="13005" spans="6:8">
      <c r="H13005" t="s">
        <v>18863</v>
      </c>
    </row>
    <row r="13006" spans="6:8">
      <c r="H13006" t="s">
        <v>20454</v>
      </c>
    </row>
    <row r="13007" spans="6:8">
      <c r="H13007" t="s">
        <v>19349</v>
      </c>
    </row>
    <row r="13008" spans="6:8">
      <c r="H13008" t="s">
        <v>20209</v>
      </c>
    </row>
    <row r="13009" spans="6:8">
      <c r="F13009" t="s">
        <v>12045</v>
      </c>
      <c r="G13009" t="s">
        <v>16286</v>
      </c>
      <c r="H13009" t="s">
        <v>21016</v>
      </c>
    </row>
    <row r="13010" spans="6:8">
      <c r="H13010" t="s">
        <v>18829</v>
      </c>
    </row>
    <row r="13011" spans="6:8">
      <c r="H13011" t="s">
        <v>18863</v>
      </c>
    </row>
    <row r="13012" spans="6:8">
      <c r="H13012" t="s">
        <v>20454</v>
      </c>
    </row>
    <row r="13013" spans="6:8">
      <c r="H13013" t="s">
        <v>19349</v>
      </c>
    </row>
    <row r="13014" spans="6:8">
      <c r="H13014" t="s">
        <v>20209</v>
      </c>
    </row>
    <row r="13015" spans="6:8">
      <c r="F13015" t="s">
        <v>12046</v>
      </c>
      <c r="G13015" t="s">
        <v>16287</v>
      </c>
      <c r="H13015" t="s">
        <v>21017</v>
      </c>
    </row>
    <row r="13016" spans="6:8">
      <c r="H13016" t="s">
        <v>18829</v>
      </c>
    </row>
    <row r="13017" spans="6:8">
      <c r="H13017" t="s">
        <v>18863</v>
      </c>
    </row>
    <row r="13018" spans="6:8">
      <c r="H13018" t="s">
        <v>20454</v>
      </c>
    </row>
    <row r="13019" spans="6:8">
      <c r="H13019" t="s">
        <v>19349</v>
      </c>
    </row>
    <row r="13020" spans="6:8">
      <c r="H13020" t="s">
        <v>20209</v>
      </c>
    </row>
    <row r="13021" spans="6:8">
      <c r="F13021" t="s">
        <v>12047</v>
      </c>
      <c r="G13021" t="s">
        <v>16288</v>
      </c>
      <c r="H13021" t="s">
        <v>21018</v>
      </c>
    </row>
    <row r="13022" spans="6:8">
      <c r="H13022" t="s">
        <v>18829</v>
      </c>
    </row>
    <row r="13023" spans="6:8">
      <c r="H13023" t="s">
        <v>18863</v>
      </c>
    </row>
    <row r="13024" spans="6:8">
      <c r="H13024" t="s">
        <v>20454</v>
      </c>
    </row>
    <row r="13025" spans="6:8">
      <c r="H13025" t="s">
        <v>19349</v>
      </c>
    </row>
    <row r="13026" spans="6:8">
      <c r="H13026" t="s">
        <v>20209</v>
      </c>
    </row>
    <row r="13027" spans="6:8">
      <c r="F13027" t="s">
        <v>12048</v>
      </c>
      <c r="G13027" t="s">
        <v>16289</v>
      </c>
      <c r="H13027" t="s">
        <v>21019</v>
      </c>
    </row>
    <row r="13028" spans="6:8">
      <c r="H13028" t="s">
        <v>18829</v>
      </c>
    </row>
    <row r="13029" spans="6:8">
      <c r="H13029" t="s">
        <v>18863</v>
      </c>
    </row>
    <row r="13030" spans="6:8">
      <c r="H13030" t="s">
        <v>20454</v>
      </c>
    </row>
    <row r="13031" spans="6:8">
      <c r="H13031" t="s">
        <v>19349</v>
      </c>
    </row>
    <row r="13032" spans="6:8">
      <c r="H13032" t="s">
        <v>20209</v>
      </c>
    </row>
    <row r="13033" spans="6:8">
      <c r="F13033" t="s">
        <v>12049</v>
      </c>
      <c r="G13033" t="s">
        <v>16290</v>
      </c>
      <c r="H13033" t="s">
        <v>21020</v>
      </c>
    </row>
    <row r="13034" spans="6:8">
      <c r="H13034" t="s">
        <v>18829</v>
      </c>
    </row>
    <row r="13035" spans="6:8">
      <c r="H13035" t="s">
        <v>18863</v>
      </c>
    </row>
    <row r="13036" spans="6:8">
      <c r="H13036" t="s">
        <v>20454</v>
      </c>
    </row>
    <row r="13037" spans="6:8">
      <c r="H13037" t="s">
        <v>19349</v>
      </c>
    </row>
    <row r="13038" spans="6:8">
      <c r="H13038" t="s">
        <v>20209</v>
      </c>
    </row>
    <row r="13039" spans="6:8">
      <c r="F13039" t="s">
        <v>12050</v>
      </c>
      <c r="G13039" t="s">
        <v>16291</v>
      </c>
      <c r="H13039" t="s">
        <v>21021</v>
      </c>
    </row>
    <row r="13040" spans="6:8">
      <c r="H13040" t="s">
        <v>18829</v>
      </c>
    </row>
    <row r="13041" spans="6:8">
      <c r="H13041" t="s">
        <v>18863</v>
      </c>
    </row>
    <row r="13042" spans="6:8">
      <c r="H13042" t="s">
        <v>20454</v>
      </c>
    </row>
    <row r="13043" spans="6:8">
      <c r="H13043" t="s">
        <v>19349</v>
      </c>
    </row>
    <row r="13044" spans="6:8">
      <c r="H13044" t="s">
        <v>20209</v>
      </c>
    </row>
    <row r="13045" spans="6:8">
      <c r="F13045" t="s">
        <v>12051</v>
      </c>
      <c r="G13045" t="s">
        <v>16292</v>
      </c>
      <c r="H13045" t="s">
        <v>21022</v>
      </c>
    </row>
    <row r="13046" spans="6:8">
      <c r="H13046" t="s">
        <v>18829</v>
      </c>
    </row>
    <row r="13047" spans="6:8">
      <c r="H13047" t="s">
        <v>18863</v>
      </c>
    </row>
    <row r="13048" spans="6:8">
      <c r="H13048" t="s">
        <v>20454</v>
      </c>
    </row>
    <row r="13049" spans="6:8">
      <c r="H13049" t="s">
        <v>19349</v>
      </c>
    </row>
    <row r="13050" spans="6:8">
      <c r="H13050" t="s">
        <v>20209</v>
      </c>
    </row>
    <row r="13051" spans="6:8">
      <c r="F13051" t="s">
        <v>12052</v>
      </c>
      <c r="G13051" t="s">
        <v>16293</v>
      </c>
      <c r="H13051" t="s">
        <v>21023</v>
      </c>
    </row>
    <row r="13052" spans="6:8">
      <c r="H13052" t="s">
        <v>18829</v>
      </c>
    </row>
    <row r="13053" spans="6:8">
      <c r="H13053" t="s">
        <v>18863</v>
      </c>
    </row>
    <row r="13054" spans="6:8">
      <c r="H13054" t="s">
        <v>20454</v>
      </c>
    </row>
    <row r="13055" spans="6:8">
      <c r="H13055" t="s">
        <v>19349</v>
      </c>
    </row>
    <row r="13056" spans="6:8">
      <c r="H13056" t="s">
        <v>20209</v>
      </c>
    </row>
    <row r="13057" spans="6:8">
      <c r="F13057" t="s">
        <v>12053</v>
      </c>
      <c r="G13057" t="s">
        <v>16294</v>
      </c>
      <c r="H13057" t="s">
        <v>21024</v>
      </c>
    </row>
    <row r="13058" spans="6:8">
      <c r="H13058" t="s">
        <v>18829</v>
      </c>
    </row>
    <row r="13059" spans="6:8">
      <c r="H13059" t="s">
        <v>18863</v>
      </c>
    </row>
    <row r="13060" spans="6:8">
      <c r="H13060" t="s">
        <v>20454</v>
      </c>
    </row>
    <row r="13061" spans="6:8">
      <c r="H13061" t="s">
        <v>19349</v>
      </c>
    </row>
    <row r="13062" spans="6:8">
      <c r="H13062" t="s">
        <v>20209</v>
      </c>
    </row>
    <row r="13063" spans="6:8">
      <c r="F13063" t="s">
        <v>12054</v>
      </c>
      <c r="G13063" t="s">
        <v>16295</v>
      </c>
      <c r="H13063" t="s">
        <v>21025</v>
      </c>
    </row>
    <row r="13064" spans="6:8">
      <c r="H13064" t="s">
        <v>18829</v>
      </c>
    </row>
    <row r="13065" spans="6:8">
      <c r="H13065" t="s">
        <v>18863</v>
      </c>
    </row>
    <row r="13066" spans="6:8">
      <c r="H13066" t="s">
        <v>20454</v>
      </c>
    </row>
    <row r="13067" spans="6:8">
      <c r="H13067" t="s">
        <v>19349</v>
      </c>
    </row>
    <row r="13068" spans="6:8">
      <c r="H13068" t="s">
        <v>20209</v>
      </c>
    </row>
    <row r="13069" spans="6:8">
      <c r="F13069" t="s">
        <v>12055</v>
      </c>
      <c r="G13069" t="s">
        <v>16296</v>
      </c>
      <c r="H13069" t="s">
        <v>21026</v>
      </c>
    </row>
    <row r="13070" spans="6:8">
      <c r="H13070" t="s">
        <v>18829</v>
      </c>
    </row>
    <row r="13071" spans="6:8">
      <c r="H13071" t="s">
        <v>18863</v>
      </c>
    </row>
    <row r="13072" spans="6:8">
      <c r="H13072" t="s">
        <v>20454</v>
      </c>
    </row>
    <row r="13073" spans="6:8">
      <c r="H13073" t="s">
        <v>19349</v>
      </c>
    </row>
    <row r="13074" spans="6:8">
      <c r="H13074" t="s">
        <v>20209</v>
      </c>
    </row>
    <row r="13075" spans="6:8">
      <c r="F13075" t="s">
        <v>12056</v>
      </c>
      <c r="G13075" t="s">
        <v>16297</v>
      </c>
      <c r="H13075" t="s">
        <v>21027</v>
      </c>
    </row>
    <row r="13076" spans="6:8">
      <c r="H13076" t="s">
        <v>18829</v>
      </c>
    </row>
    <row r="13077" spans="6:8">
      <c r="H13077" t="s">
        <v>18863</v>
      </c>
    </row>
    <row r="13078" spans="6:8">
      <c r="H13078" t="s">
        <v>20454</v>
      </c>
    </row>
    <row r="13079" spans="6:8">
      <c r="H13079" t="s">
        <v>19349</v>
      </c>
    </row>
    <row r="13080" spans="6:8">
      <c r="H13080" t="s">
        <v>20209</v>
      </c>
    </row>
    <row r="13081" spans="6:8">
      <c r="F13081" t="s">
        <v>12057</v>
      </c>
      <c r="G13081" t="s">
        <v>16298</v>
      </c>
      <c r="H13081" t="s">
        <v>21028</v>
      </c>
    </row>
    <row r="13082" spans="6:8">
      <c r="H13082" t="s">
        <v>18829</v>
      </c>
    </row>
    <row r="13083" spans="6:8">
      <c r="H13083" t="s">
        <v>18863</v>
      </c>
    </row>
    <row r="13084" spans="6:8">
      <c r="H13084" t="s">
        <v>20454</v>
      </c>
    </row>
    <row r="13085" spans="6:8">
      <c r="H13085" t="s">
        <v>19349</v>
      </c>
    </row>
    <row r="13086" spans="6:8">
      <c r="H13086" t="s">
        <v>20209</v>
      </c>
    </row>
    <row r="13087" spans="6:8">
      <c r="F13087" t="s">
        <v>12058</v>
      </c>
      <c r="G13087" t="s">
        <v>16299</v>
      </c>
      <c r="H13087" t="s">
        <v>21029</v>
      </c>
    </row>
    <row r="13088" spans="6:8">
      <c r="H13088" t="s">
        <v>18829</v>
      </c>
    </row>
    <row r="13089" spans="6:8">
      <c r="H13089" t="s">
        <v>18863</v>
      </c>
    </row>
    <row r="13090" spans="6:8">
      <c r="H13090" t="s">
        <v>20454</v>
      </c>
    </row>
    <row r="13091" spans="6:8">
      <c r="H13091" t="s">
        <v>19349</v>
      </c>
    </row>
    <row r="13092" spans="6:8">
      <c r="H13092" t="s">
        <v>20209</v>
      </c>
    </row>
    <row r="13093" spans="6:8">
      <c r="F13093" t="s">
        <v>12059</v>
      </c>
      <c r="G13093" t="s">
        <v>16300</v>
      </c>
      <c r="H13093" t="s">
        <v>21030</v>
      </c>
    </row>
    <row r="13094" spans="6:8">
      <c r="H13094" t="s">
        <v>18829</v>
      </c>
    </row>
    <row r="13095" spans="6:8">
      <c r="H13095" t="s">
        <v>18863</v>
      </c>
    </row>
    <row r="13096" spans="6:8">
      <c r="H13096" t="s">
        <v>20454</v>
      </c>
    </row>
    <row r="13097" spans="6:8">
      <c r="H13097" t="s">
        <v>19349</v>
      </c>
    </row>
    <row r="13098" spans="6:8">
      <c r="H13098" t="s">
        <v>20209</v>
      </c>
    </row>
    <row r="13099" spans="6:8">
      <c r="F13099" t="s">
        <v>12060</v>
      </c>
      <c r="G13099" t="s">
        <v>16301</v>
      </c>
      <c r="H13099" t="s">
        <v>21031</v>
      </c>
    </row>
    <row r="13100" spans="6:8">
      <c r="H13100" t="s">
        <v>18829</v>
      </c>
    </row>
    <row r="13101" spans="6:8">
      <c r="H13101" t="s">
        <v>18863</v>
      </c>
    </row>
    <row r="13102" spans="6:8">
      <c r="H13102" t="s">
        <v>20454</v>
      </c>
    </row>
    <row r="13103" spans="6:8">
      <c r="H13103" t="s">
        <v>19349</v>
      </c>
    </row>
    <row r="13104" spans="6:8">
      <c r="H13104" t="s">
        <v>20209</v>
      </c>
    </row>
    <row r="13105" spans="6:8">
      <c r="F13105" t="s">
        <v>12061</v>
      </c>
      <c r="G13105" t="s">
        <v>16302</v>
      </c>
      <c r="H13105" t="s">
        <v>21032</v>
      </c>
    </row>
    <row r="13106" spans="6:8">
      <c r="H13106" t="s">
        <v>18829</v>
      </c>
    </row>
    <row r="13107" spans="6:8">
      <c r="H13107" t="s">
        <v>18863</v>
      </c>
    </row>
    <row r="13108" spans="6:8">
      <c r="H13108" t="s">
        <v>20454</v>
      </c>
    </row>
    <row r="13109" spans="6:8">
      <c r="H13109" t="s">
        <v>19349</v>
      </c>
    </row>
    <row r="13110" spans="6:8">
      <c r="H13110" t="s">
        <v>20209</v>
      </c>
    </row>
    <row r="13111" spans="6:8">
      <c r="F13111" t="s">
        <v>12062</v>
      </c>
      <c r="G13111" t="s">
        <v>16303</v>
      </c>
      <c r="H13111" t="s">
        <v>21033</v>
      </c>
    </row>
    <row r="13112" spans="6:8">
      <c r="H13112" t="s">
        <v>18829</v>
      </c>
    </row>
    <row r="13113" spans="6:8">
      <c r="H13113" t="s">
        <v>18863</v>
      </c>
    </row>
    <row r="13114" spans="6:8">
      <c r="H13114" t="s">
        <v>20454</v>
      </c>
    </row>
    <row r="13115" spans="6:8">
      <c r="H13115" t="s">
        <v>19349</v>
      </c>
    </row>
    <row r="13116" spans="6:8">
      <c r="H13116" t="s">
        <v>20209</v>
      </c>
    </row>
    <row r="13117" spans="6:8">
      <c r="F13117" t="s">
        <v>12063</v>
      </c>
      <c r="G13117" t="s">
        <v>16304</v>
      </c>
      <c r="H13117" t="s">
        <v>21034</v>
      </c>
    </row>
    <row r="13118" spans="6:8">
      <c r="H13118" t="s">
        <v>18829</v>
      </c>
    </row>
    <row r="13119" spans="6:8">
      <c r="H13119" t="s">
        <v>18863</v>
      </c>
    </row>
    <row r="13120" spans="6:8">
      <c r="H13120" t="s">
        <v>20454</v>
      </c>
    </row>
    <row r="13121" spans="6:8">
      <c r="H13121" t="s">
        <v>19349</v>
      </c>
    </row>
    <row r="13122" spans="6:8">
      <c r="H13122" t="s">
        <v>20209</v>
      </c>
    </row>
    <row r="13123" spans="6:8">
      <c r="F13123" t="s">
        <v>12064</v>
      </c>
      <c r="G13123" t="s">
        <v>16305</v>
      </c>
      <c r="H13123" t="s">
        <v>21035</v>
      </c>
    </row>
    <row r="13124" spans="6:8">
      <c r="H13124" t="s">
        <v>18829</v>
      </c>
    </row>
    <row r="13125" spans="6:8">
      <c r="H13125" t="s">
        <v>18863</v>
      </c>
    </row>
    <row r="13126" spans="6:8">
      <c r="H13126" t="s">
        <v>20454</v>
      </c>
    </row>
    <row r="13127" spans="6:8">
      <c r="H13127" t="s">
        <v>19349</v>
      </c>
    </row>
    <row r="13128" spans="6:8">
      <c r="H13128" t="s">
        <v>20209</v>
      </c>
    </row>
    <row r="13129" spans="6:8">
      <c r="F13129" t="s">
        <v>12065</v>
      </c>
      <c r="G13129" t="s">
        <v>16306</v>
      </c>
      <c r="H13129" t="s">
        <v>21036</v>
      </c>
    </row>
    <row r="13130" spans="6:8">
      <c r="H13130" t="s">
        <v>18829</v>
      </c>
    </row>
    <row r="13131" spans="6:8">
      <c r="H13131" t="s">
        <v>18863</v>
      </c>
    </row>
    <row r="13132" spans="6:8">
      <c r="H13132" t="s">
        <v>20454</v>
      </c>
    </row>
    <row r="13133" spans="6:8">
      <c r="H13133" t="s">
        <v>19349</v>
      </c>
    </row>
    <row r="13134" spans="6:8">
      <c r="H13134" t="s">
        <v>20209</v>
      </c>
    </row>
    <row r="13135" spans="6:8">
      <c r="F13135" t="s">
        <v>12066</v>
      </c>
      <c r="G13135" t="s">
        <v>16307</v>
      </c>
      <c r="H13135" t="s">
        <v>21037</v>
      </c>
    </row>
    <row r="13136" spans="6:8">
      <c r="H13136" t="s">
        <v>18829</v>
      </c>
    </row>
    <row r="13137" spans="6:8">
      <c r="H13137" t="s">
        <v>18863</v>
      </c>
    </row>
    <row r="13138" spans="6:8">
      <c r="H13138" t="s">
        <v>20454</v>
      </c>
    </row>
    <row r="13139" spans="6:8">
      <c r="H13139" t="s">
        <v>19349</v>
      </c>
    </row>
    <row r="13140" spans="6:8">
      <c r="H13140" t="s">
        <v>20209</v>
      </c>
    </row>
    <row r="13141" spans="6:8">
      <c r="F13141" t="s">
        <v>12067</v>
      </c>
      <c r="G13141" t="s">
        <v>16308</v>
      </c>
      <c r="H13141" t="s">
        <v>21038</v>
      </c>
    </row>
    <row r="13142" spans="6:8">
      <c r="H13142" t="s">
        <v>18829</v>
      </c>
    </row>
    <row r="13143" spans="6:8">
      <c r="H13143" t="s">
        <v>18863</v>
      </c>
    </row>
    <row r="13144" spans="6:8">
      <c r="H13144" t="s">
        <v>20454</v>
      </c>
    </row>
    <row r="13145" spans="6:8">
      <c r="H13145" t="s">
        <v>19349</v>
      </c>
    </row>
    <row r="13146" spans="6:8">
      <c r="H13146" t="s">
        <v>20209</v>
      </c>
    </row>
    <row r="13147" spans="6:8">
      <c r="F13147" t="s">
        <v>12068</v>
      </c>
      <c r="G13147" t="s">
        <v>16309</v>
      </c>
      <c r="H13147" t="s">
        <v>21039</v>
      </c>
    </row>
    <row r="13148" spans="6:8">
      <c r="H13148" t="s">
        <v>18829</v>
      </c>
    </row>
    <row r="13149" spans="6:8">
      <c r="H13149" t="s">
        <v>18863</v>
      </c>
    </row>
    <row r="13150" spans="6:8">
      <c r="H13150" t="s">
        <v>20454</v>
      </c>
    </row>
    <row r="13151" spans="6:8">
      <c r="H13151" t="s">
        <v>19349</v>
      </c>
    </row>
    <row r="13152" spans="6:8">
      <c r="H13152" t="s">
        <v>20209</v>
      </c>
    </row>
    <row r="13153" spans="6:8">
      <c r="F13153" t="s">
        <v>12069</v>
      </c>
      <c r="G13153" t="s">
        <v>16310</v>
      </c>
      <c r="H13153" t="s">
        <v>21040</v>
      </c>
    </row>
    <row r="13154" spans="6:8">
      <c r="H13154" t="s">
        <v>18829</v>
      </c>
    </row>
    <row r="13155" spans="6:8">
      <c r="H13155" t="s">
        <v>18863</v>
      </c>
    </row>
    <row r="13156" spans="6:8">
      <c r="H13156" t="s">
        <v>20454</v>
      </c>
    </row>
    <row r="13157" spans="6:8">
      <c r="H13157" t="s">
        <v>19349</v>
      </c>
    </row>
    <row r="13158" spans="6:8">
      <c r="H13158" t="s">
        <v>20209</v>
      </c>
    </row>
    <row r="13159" spans="6:8">
      <c r="F13159" t="s">
        <v>12070</v>
      </c>
      <c r="G13159" t="s">
        <v>16311</v>
      </c>
      <c r="H13159" t="s">
        <v>21041</v>
      </c>
    </row>
    <row r="13160" spans="6:8">
      <c r="H13160" t="s">
        <v>18829</v>
      </c>
    </row>
    <row r="13161" spans="6:8">
      <c r="H13161" t="s">
        <v>18863</v>
      </c>
    </row>
    <row r="13162" spans="6:8">
      <c r="H13162" t="s">
        <v>20454</v>
      </c>
    </row>
    <row r="13163" spans="6:8">
      <c r="H13163" t="s">
        <v>19349</v>
      </c>
    </row>
    <row r="13164" spans="6:8">
      <c r="H13164" t="s">
        <v>20209</v>
      </c>
    </row>
    <row r="13165" spans="6:8">
      <c r="F13165" t="s">
        <v>12071</v>
      </c>
      <c r="G13165" t="s">
        <v>16312</v>
      </c>
      <c r="H13165" t="s">
        <v>21042</v>
      </c>
    </row>
    <row r="13166" spans="6:8">
      <c r="H13166" t="s">
        <v>18829</v>
      </c>
    </row>
    <row r="13167" spans="6:8">
      <c r="H13167" t="s">
        <v>18863</v>
      </c>
    </row>
    <row r="13168" spans="6:8">
      <c r="H13168" t="s">
        <v>20454</v>
      </c>
    </row>
    <row r="13169" spans="6:8">
      <c r="H13169" t="s">
        <v>19349</v>
      </c>
    </row>
    <row r="13170" spans="6:8">
      <c r="H13170" t="s">
        <v>20209</v>
      </c>
    </row>
    <row r="13171" spans="6:8">
      <c r="F13171" t="s">
        <v>12072</v>
      </c>
      <c r="G13171" t="s">
        <v>16313</v>
      </c>
      <c r="H13171" t="s">
        <v>21043</v>
      </c>
    </row>
    <row r="13172" spans="6:8">
      <c r="H13172" t="s">
        <v>18829</v>
      </c>
    </row>
    <row r="13173" spans="6:8">
      <c r="H13173" t="s">
        <v>18863</v>
      </c>
    </row>
    <row r="13174" spans="6:8">
      <c r="H13174" t="s">
        <v>20454</v>
      </c>
    </row>
    <row r="13175" spans="6:8">
      <c r="H13175" t="s">
        <v>19349</v>
      </c>
    </row>
    <row r="13176" spans="6:8">
      <c r="H13176" t="s">
        <v>20209</v>
      </c>
    </row>
    <row r="13177" spans="6:8">
      <c r="F13177" t="s">
        <v>12073</v>
      </c>
      <c r="G13177" t="s">
        <v>16314</v>
      </c>
      <c r="H13177" t="s">
        <v>21044</v>
      </c>
    </row>
    <row r="13178" spans="6:8">
      <c r="H13178" t="s">
        <v>18829</v>
      </c>
    </row>
    <row r="13179" spans="6:8">
      <c r="H13179" t="s">
        <v>18863</v>
      </c>
    </row>
    <row r="13180" spans="6:8">
      <c r="H13180" t="s">
        <v>20454</v>
      </c>
    </row>
    <row r="13181" spans="6:8">
      <c r="H13181" t="s">
        <v>19349</v>
      </c>
    </row>
    <row r="13182" spans="6:8">
      <c r="H13182" t="s">
        <v>20209</v>
      </c>
    </row>
    <row r="13183" spans="6:8">
      <c r="F13183" t="s">
        <v>12074</v>
      </c>
      <c r="G13183" t="s">
        <v>16315</v>
      </c>
      <c r="H13183" t="s">
        <v>21045</v>
      </c>
    </row>
    <row r="13184" spans="6:8">
      <c r="H13184" t="s">
        <v>18829</v>
      </c>
    </row>
    <row r="13185" spans="6:8">
      <c r="H13185" t="s">
        <v>18863</v>
      </c>
    </row>
    <row r="13186" spans="6:8">
      <c r="H13186" t="s">
        <v>20454</v>
      </c>
    </row>
    <row r="13187" spans="6:8">
      <c r="H13187" t="s">
        <v>19349</v>
      </c>
    </row>
    <row r="13188" spans="6:8">
      <c r="H13188" t="s">
        <v>20209</v>
      </c>
    </row>
    <row r="13189" spans="6:8">
      <c r="F13189" t="s">
        <v>12075</v>
      </c>
      <c r="G13189" t="s">
        <v>16316</v>
      </c>
      <c r="H13189" t="s">
        <v>21046</v>
      </c>
    </row>
    <row r="13190" spans="6:8">
      <c r="H13190" t="s">
        <v>18829</v>
      </c>
    </row>
    <row r="13191" spans="6:8">
      <c r="H13191" t="s">
        <v>18863</v>
      </c>
    </row>
    <row r="13192" spans="6:8">
      <c r="H13192" t="s">
        <v>20454</v>
      </c>
    </row>
    <row r="13193" spans="6:8">
      <c r="H13193" t="s">
        <v>19349</v>
      </c>
    </row>
    <row r="13194" spans="6:8">
      <c r="H13194" t="s">
        <v>20209</v>
      </c>
    </row>
    <row r="13195" spans="6:8">
      <c r="F13195" t="s">
        <v>12076</v>
      </c>
      <c r="G13195" t="s">
        <v>16317</v>
      </c>
      <c r="H13195" t="s">
        <v>21047</v>
      </c>
    </row>
    <row r="13196" spans="6:8">
      <c r="H13196" t="s">
        <v>18829</v>
      </c>
    </row>
    <row r="13197" spans="6:8">
      <c r="H13197" t="s">
        <v>18863</v>
      </c>
    </row>
    <row r="13198" spans="6:8">
      <c r="H13198" t="s">
        <v>20454</v>
      </c>
    </row>
    <row r="13199" spans="6:8">
      <c r="H13199" t="s">
        <v>19349</v>
      </c>
    </row>
    <row r="13200" spans="6:8">
      <c r="H13200" t="s">
        <v>20209</v>
      </c>
    </row>
    <row r="13201" spans="6:8">
      <c r="F13201" t="s">
        <v>12077</v>
      </c>
      <c r="G13201" t="s">
        <v>16318</v>
      </c>
      <c r="H13201" t="s">
        <v>21048</v>
      </c>
    </row>
    <row r="13202" spans="6:8">
      <c r="H13202" t="s">
        <v>18829</v>
      </c>
    </row>
    <row r="13203" spans="6:8">
      <c r="H13203" t="s">
        <v>18863</v>
      </c>
    </row>
    <row r="13204" spans="6:8">
      <c r="H13204" t="s">
        <v>20454</v>
      </c>
    </row>
    <row r="13205" spans="6:8">
      <c r="H13205" t="s">
        <v>19349</v>
      </c>
    </row>
    <row r="13206" spans="6:8">
      <c r="H13206" t="s">
        <v>20209</v>
      </c>
    </row>
    <row r="13207" spans="6:8">
      <c r="F13207" t="s">
        <v>12078</v>
      </c>
      <c r="G13207" t="s">
        <v>16319</v>
      </c>
      <c r="H13207" t="s">
        <v>21049</v>
      </c>
    </row>
    <row r="13208" spans="6:8">
      <c r="H13208" t="s">
        <v>18829</v>
      </c>
    </row>
    <row r="13209" spans="6:8">
      <c r="H13209" t="s">
        <v>18863</v>
      </c>
    </row>
    <row r="13210" spans="6:8">
      <c r="H13210" t="s">
        <v>20454</v>
      </c>
    </row>
    <row r="13211" spans="6:8">
      <c r="H13211" t="s">
        <v>19349</v>
      </c>
    </row>
    <row r="13212" spans="6:8">
      <c r="H13212" t="s">
        <v>20209</v>
      </c>
    </row>
    <row r="13213" spans="6:8">
      <c r="F13213" t="s">
        <v>12079</v>
      </c>
      <c r="G13213" t="s">
        <v>16320</v>
      </c>
      <c r="H13213" t="s">
        <v>21050</v>
      </c>
    </row>
    <row r="13214" spans="6:8">
      <c r="H13214" t="s">
        <v>18829</v>
      </c>
    </row>
    <row r="13215" spans="6:8">
      <c r="H13215" t="s">
        <v>18863</v>
      </c>
    </row>
    <row r="13216" spans="6:8">
      <c r="H13216" t="s">
        <v>20454</v>
      </c>
    </row>
    <row r="13217" spans="6:8">
      <c r="H13217" t="s">
        <v>19349</v>
      </c>
    </row>
    <row r="13218" spans="6:8">
      <c r="H13218" t="s">
        <v>20209</v>
      </c>
    </row>
    <row r="13219" spans="6:8">
      <c r="F13219" t="s">
        <v>12080</v>
      </c>
      <c r="G13219" t="s">
        <v>16321</v>
      </c>
      <c r="H13219" t="s">
        <v>21051</v>
      </c>
    </row>
    <row r="13220" spans="6:8">
      <c r="H13220" t="s">
        <v>18829</v>
      </c>
    </row>
    <row r="13221" spans="6:8">
      <c r="H13221" t="s">
        <v>18863</v>
      </c>
    </row>
    <row r="13222" spans="6:8">
      <c r="H13222" t="s">
        <v>20454</v>
      </c>
    </row>
    <row r="13223" spans="6:8">
      <c r="H13223" t="s">
        <v>19349</v>
      </c>
    </row>
    <row r="13224" spans="6:8">
      <c r="H13224" t="s">
        <v>20209</v>
      </c>
    </row>
    <row r="13225" spans="6:8">
      <c r="F13225" t="s">
        <v>12081</v>
      </c>
      <c r="G13225" t="s">
        <v>16322</v>
      </c>
      <c r="H13225" t="s">
        <v>21052</v>
      </c>
    </row>
    <row r="13226" spans="6:8">
      <c r="H13226" t="s">
        <v>18829</v>
      </c>
    </row>
    <row r="13227" spans="6:8">
      <c r="H13227" t="s">
        <v>18863</v>
      </c>
    </row>
    <row r="13228" spans="6:8">
      <c r="H13228" t="s">
        <v>20454</v>
      </c>
    </row>
    <row r="13229" spans="6:8">
      <c r="H13229" t="s">
        <v>19349</v>
      </c>
    </row>
    <row r="13230" spans="6:8">
      <c r="H13230" t="s">
        <v>20209</v>
      </c>
    </row>
    <row r="13231" spans="6:8">
      <c r="F13231" t="s">
        <v>12082</v>
      </c>
      <c r="G13231" t="s">
        <v>16323</v>
      </c>
      <c r="H13231" t="s">
        <v>21053</v>
      </c>
    </row>
    <row r="13232" spans="6:8">
      <c r="H13232" t="s">
        <v>18829</v>
      </c>
    </row>
    <row r="13233" spans="6:8">
      <c r="H13233" t="s">
        <v>18863</v>
      </c>
    </row>
    <row r="13234" spans="6:8">
      <c r="H13234" t="s">
        <v>20454</v>
      </c>
    </row>
    <row r="13235" spans="6:8">
      <c r="H13235" t="s">
        <v>19349</v>
      </c>
    </row>
    <row r="13236" spans="6:8">
      <c r="H13236" t="s">
        <v>20209</v>
      </c>
    </row>
    <row r="13237" spans="6:8">
      <c r="F13237" t="s">
        <v>12083</v>
      </c>
      <c r="G13237" t="s">
        <v>16324</v>
      </c>
      <c r="H13237" t="s">
        <v>21054</v>
      </c>
    </row>
    <row r="13238" spans="6:8">
      <c r="H13238" t="s">
        <v>18829</v>
      </c>
    </row>
    <row r="13239" spans="6:8">
      <c r="H13239" t="s">
        <v>18863</v>
      </c>
    </row>
    <row r="13240" spans="6:8">
      <c r="H13240" t="s">
        <v>20454</v>
      </c>
    </row>
    <row r="13241" spans="6:8">
      <c r="H13241" t="s">
        <v>19349</v>
      </c>
    </row>
    <row r="13242" spans="6:8">
      <c r="H13242" t="s">
        <v>20209</v>
      </c>
    </row>
    <row r="13243" spans="6:8">
      <c r="F13243" t="s">
        <v>12084</v>
      </c>
      <c r="G13243" t="s">
        <v>16325</v>
      </c>
      <c r="H13243" t="s">
        <v>21055</v>
      </c>
    </row>
    <row r="13244" spans="6:8">
      <c r="H13244" t="s">
        <v>18829</v>
      </c>
    </row>
    <row r="13245" spans="6:8">
      <c r="H13245" t="s">
        <v>18863</v>
      </c>
    </row>
    <row r="13246" spans="6:8">
      <c r="H13246" t="s">
        <v>20454</v>
      </c>
    </row>
    <row r="13247" spans="6:8">
      <c r="H13247" t="s">
        <v>19349</v>
      </c>
    </row>
    <row r="13248" spans="6:8">
      <c r="H13248" t="s">
        <v>20209</v>
      </c>
    </row>
    <row r="13249" spans="6:8">
      <c r="F13249" t="s">
        <v>12085</v>
      </c>
      <c r="G13249" t="s">
        <v>16326</v>
      </c>
      <c r="H13249" t="s">
        <v>21056</v>
      </c>
    </row>
    <row r="13250" spans="6:8">
      <c r="H13250" t="s">
        <v>18829</v>
      </c>
    </row>
    <row r="13251" spans="6:8">
      <c r="H13251" t="s">
        <v>18863</v>
      </c>
    </row>
    <row r="13252" spans="6:8">
      <c r="H13252" t="s">
        <v>20454</v>
      </c>
    </row>
    <row r="13253" spans="6:8">
      <c r="H13253" t="s">
        <v>19349</v>
      </c>
    </row>
    <row r="13254" spans="6:8">
      <c r="H13254" t="s">
        <v>20209</v>
      </c>
    </row>
    <row r="13255" spans="6:8">
      <c r="F13255" t="s">
        <v>12086</v>
      </c>
      <c r="G13255" t="s">
        <v>16327</v>
      </c>
      <c r="H13255" t="s">
        <v>21057</v>
      </c>
    </row>
    <row r="13256" spans="6:8">
      <c r="H13256" t="s">
        <v>18829</v>
      </c>
    </row>
    <row r="13257" spans="6:8">
      <c r="H13257" t="s">
        <v>18863</v>
      </c>
    </row>
    <row r="13258" spans="6:8">
      <c r="H13258" t="s">
        <v>20454</v>
      </c>
    </row>
    <row r="13259" spans="6:8">
      <c r="H13259" t="s">
        <v>19349</v>
      </c>
    </row>
    <row r="13260" spans="6:8">
      <c r="H13260" t="s">
        <v>20209</v>
      </c>
    </row>
    <row r="13261" spans="6:8">
      <c r="F13261" t="s">
        <v>12087</v>
      </c>
      <c r="G13261" t="s">
        <v>16328</v>
      </c>
      <c r="H13261" t="s">
        <v>21058</v>
      </c>
    </row>
    <row r="13262" spans="6:8">
      <c r="H13262" t="s">
        <v>18829</v>
      </c>
    </row>
    <row r="13263" spans="6:8">
      <c r="H13263" t="s">
        <v>18863</v>
      </c>
    </row>
    <row r="13264" spans="6:8">
      <c r="H13264" t="s">
        <v>20454</v>
      </c>
    </row>
    <row r="13265" spans="6:8">
      <c r="H13265" t="s">
        <v>19349</v>
      </c>
    </row>
    <row r="13266" spans="6:8">
      <c r="H13266" t="s">
        <v>20209</v>
      </c>
    </row>
    <row r="13267" spans="6:8">
      <c r="F13267" t="s">
        <v>12088</v>
      </c>
      <c r="G13267" t="s">
        <v>16329</v>
      </c>
      <c r="H13267" t="s">
        <v>21059</v>
      </c>
    </row>
    <row r="13268" spans="6:8">
      <c r="H13268" t="s">
        <v>18829</v>
      </c>
    </row>
    <row r="13269" spans="6:8">
      <c r="H13269" t="s">
        <v>18863</v>
      </c>
    </row>
    <row r="13270" spans="6:8">
      <c r="H13270" t="s">
        <v>20454</v>
      </c>
    </row>
    <row r="13271" spans="6:8">
      <c r="H13271" t="s">
        <v>19349</v>
      </c>
    </row>
    <row r="13272" spans="6:8">
      <c r="H13272" t="s">
        <v>20209</v>
      </c>
    </row>
    <row r="13273" spans="6:8">
      <c r="F13273" t="s">
        <v>12089</v>
      </c>
      <c r="G13273" t="s">
        <v>16330</v>
      </c>
      <c r="H13273" t="s">
        <v>21060</v>
      </c>
    </row>
    <row r="13274" spans="6:8">
      <c r="H13274" t="s">
        <v>18829</v>
      </c>
    </row>
    <row r="13275" spans="6:8">
      <c r="H13275" t="s">
        <v>18863</v>
      </c>
    </row>
    <row r="13276" spans="6:8">
      <c r="H13276" t="s">
        <v>20454</v>
      </c>
    </row>
    <row r="13277" spans="6:8">
      <c r="H13277" t="s">
        <v>19349</v>
      </c>
    </row>
    <row r="13278" spans="6:8">
      <c r="H13278" t="s">
        <v>20209</v>
      </c>
    </row>
    <row r="13279" spans="6:8">
      <c r="F13279" t="s">
        <v>12090</v>
      </c>
      <c r="G13279" t="s">
        <v>16331</v>
      </c>
      <c r="H13279" t="s">
        <v>21061</v>
      </c>
    </row>
    <row r="13280" spans="6:8">
      <c r="H13280" t="s">
        <v>18829</v>
      </c>
    </row>
    <row r="13281" spans="6:8">
      <c r="H13281" t="s">
        <v>18863</v>
      </c>
    </row>
    <row r="13282" spans="6:8">
      <c r="H13282" t="s">
        <v>20454</v>
      </c>
    </row>
    <row r="13283" spans="6:8">
      <c r="H13283" t="s">
        <v>19349</v>
      </c>
    </row>
    <row r="13284" spans="6:8">
      <c r="H13284" t="s">
        <v>20209</v>
      </c>
    </row>
    <row r="13285" spans="6:8">
      <c r="F13285" t="s">
        <v>12091</v>
      </c>
      <c r="G13285" t="s">
        <v>16332</v>
      </c>
      <c r="H13285" t="s">
        <v>21062</v>
      </c>
    </row>
    <row r="13286" spans="6:8">
      <c r="H13286" t="s">
        <v>18829</v>
      </c>
    </row>
    <row r="13287" spans="6:8">
      <c r="H13287" t="s">
        <v>18863</v>
      </c>
    </row>
    <row r="13288" spans="6:8">
      <c r="H13288" t="s">
        <v>20454</v>
      </c>
    </row>
    <row r="13289" spans="6:8">
      <c r="H13289" t="s">
        <v>19349</v>
      </c>
    </row>
    <row r="13290" spans="6:8">
      <c r="H13290" t="s">
        <v>20209</v>
      </c>
    </row>
    <row r="13291" spans="6:8">
      <c r="F13291" t="s">
        <v>12092</v>
      </c>
      <c r="G13291" t="s">
        <v>16333</v>
      </c>
      <c r="H13291" t="s">
        <v>21063</v>
      </c>
    </row>
    <row r="13292" spans="6:8">
      <c r="H13292" t="s">
        <v>18829</v>
      </c>
    </row>
    <row r="13293" spans="6:8">
      <c r="H13293" t="s">
        <v>18863</v>
      </c>
    </row>
    <row r="13294" spans="6:8">
      <c r="H13294" t="s">
        <v>20454</v>
      </c>
    </row>
    <row r="13295" spans="6:8">
      <c r="H13295" t="s">
        <v>19349</v>
      </c>
    </row>
    <row r="13296" spans="6:8">
      <c r="H13296" t="s">
        <v>20209</v>
      </c>
    </row>
    <row r="13297" spans="6:8">
      <c r="F13297" t="s">
        <v>12093</v>
      </c>
      <c r="G13297" t="s">
        <v>16334</v>
      </c>
      <c r="H13297" t="s">
        <v>21064</v>
      </c>
    </row>
    <row r="13298" spans="6:8">
      <c r="H13298" t="s">
        <v>18829</v>
      </c>
    </row>
    <row r="13299" spans="6:8">
      <c r="H13299" t="s">
        <v>18863</v>
      </c>
    </row>
    <row r="13300" spans="6:8">
      <c r="H13300" t="s">
        <v>20454</v>
      </c>
    </row>
    <row r="13301" spans="6:8">
      <c r="H13301" t="s">
        <v>19349</v>
      </c>
    </row>
    <row r="13302" spans="6:8">
      <c r="H13302" t="s">
        <v>20209</v>
      </c>
    </row>
    <row r="13303" spans="6:8">
      <c r="F13303" t="s">
        <v>12094</v>
      </c>
      <c r="G13303" t="s">
        <v>16335</v>
      </c>
      <c r="H13303" t="s">
        <v>21065</v>
      </c>
    </row>
    <row r="13304" spans="6:8">
      <c r="H13304" t="s">
        <v>18829</v>
      </c>
    </row>
    <row r="13305" spans="6:8">
      <c r="H13305" t="s">
        <v>18863</v>
      </c>
    </row>
    <row r="13306" spans="6:8">
      <c r="H13306" t="s">
        <v>20454</v>
      </c>
    </row>
    <row r="13307" spans="6:8">
      <c r="H13307" t="s">
        <v>19349</v>
      </c>
    </row>
    <row r="13308" spans="6:8">
      <c r="H13308" t="s">
        <v>20209</v>
      </c>
    </row>
    <row r="13309" spans="6:8">
      <c r="F13309" t="s">
        <v>12095</v>
      </c>
      <c r="G13309" t="s">
        <v>16336</v>
      </c>
      <c r="H13309" t="s">
        <v>21066</v>
      </c>
    </row>
    <row r="13310" spans="6:8">
      <c r="H13310" t="s">
        <v>18829</v>
      </c>
    </row>
    <row r="13311" spans="6:8">
      <c r="H13311" t="s">
        <v>18863</v>
      </c>
    </row>
    <row r="13312" spans="6:8">
      <c r="H13312" t="s">
        <v>20454</v>
      </c>
    </row>
    <row r="13313" spans="6:8">
      <c r="H13313" t="s">
        <v>19349</v>
      </c>
    </row>
    <row r="13314" spans="6:8">
      <c r="H13314" t="s">
        <v>20209</v>
      </c>
    </row>
    <row r="13315" spans="6:8">
      <c r="F13315" t="s">
        <v>12096</v>
      </c>
      <c r="G13315" t="s">
        <v>16337</v>
      </c>
      <c r="H13315" t="s">
        <v>21067</v>
      </c>
    </row>
    <row r="13316" spans="6:8">
      <c r="H13316" t="s">
        <v>18829</v>
      </c>
    </row>
    <row r="13317" spans="6:8">
      <c r="H13317" t="s">
        <v>18863</v>
      </c>
    </row>
    <row r="13318" spans="6:8">
      <c r="H13318" t="s">
        <v>20454</v>
      </c>
    </row>
    <row r="13319" spans="6:8">
      <c r="H13319" t="s">
        <v>19349</v>
      </c>
    </row>
    <row r="13320" spans="6:8">
      <c r="H13320" t="s">
        <v>20209</v>
      </c>
    </row>
    <row r="13321" spans="6:8">
      <c r="F13321" t="s">
        <v>12097</v>
      </c>
      <c r="G13321" t="s">
        <v>16338</v>
      </c>
      <c r="H13321" t="s">
        <v>21068</v>
      </c>
    </row>
    <row r="13322" spans="6:8">
      <c r="H13322" t="s">
        <v>18829</v>
      </c>
    </row>
    <row r="13323" spans="6:8">
      <c r="H13323" t="s">
        <v>18863</v>
      </c>
    </row>
    <row r="13324" spans="6:8">
      <c r="H13324" t="s">
        <v>20454</v>
      </c>
    </row>
    <row r="13325" spans="6:8">
      <c r="H13325" t="s">
        <v>19349</v>
      </c>
    </row>
    <row r="13326" spans="6:8">
      <c r="H13326" t="s">
        <v>20209</v>
      </c>
    </row>
    <row r="13327" spans="6:8">
      <c r="F13327" t="s">
        <v>12098</v>
      </c>
      <c r="G13327" t="s">
        <v>16339</v>
      </c>
      <c r="H13327" t="s">
        <v>21069</v>
      </c>
    </row>
    <row r="13328" spans="6:8">
      <c r="H13328" t="s">
        <v>18829</v>
      </c>
    </row>
    <row r="13329" spans="6:8">
      <c r="H13329" t="s">
        <v>18863</v>
      </c>
    </row>
    <row r="13330" spans="6:8">
      <c r="H13330" t="s">
        <v>20454</v>
      </c>
    </row>
    <row r="13331" spans="6:8">
      <c r="H13331" t="s">
        <v>19349</v>
      </c>
    </row>
    <row r="13332" spans="6:8">
      <c r="H13332" t="s">
        <v>20209</v>
      </c>
    </row>
    <row r="13333" spans="6:8">
      <c r="F13333" t="s">
        <v>12099</v>
      </c>
      <c r="G13333" t="s">
        <v>16340</v>
      </c>
      <c r="H13333" t="s">
        <v>21070</v>
      </c>
    </row>
    <row r="13334" spans="6:8">
      <c r="H13334" t="s">
        <v>18829</v>
      </c>
    </row>
    <row r="13335" spans="6:8">
      <c r="H13335" t="s">
        <v>18863</v>
      </c>
    </row>
    <row r="13336" spans="6:8">
      <c r="H13336" t="s">
        <v>20454</v>
      </c>
    </row>
    <row r="13337" spans="6:8">
      <c r="H13337" t="s">
        <v>19349</v>
      </c>
    </row>
    <row r="13338" spans="6:8">
      <c r="H13338" t="s">
        <v>20209</v>
      </c>
    </row>
    <row r="13339" spans="6:8">
      <c r="F13339" t="s">
        <v>12100</v>
      </c>
      <c r="G13339" t="s">
        <v>16341</v>
      </c>
      <c r="H13339" t="s">
        <v>21071</v>
      </c>
    </row>
    <row r="13340" spans="6:8">
      <c r="H13340" t="s">
        <v>18829</v>
      </c>
    </row>
    <row r="13341" spans="6:8">
      <c r="H13341" t="s">
        <v>18863</v>
      </c>
    </row>
    <row r="13342" spans="6:8">
      <c r="H13342" t="s">
        <v>20454</v>
      </c>
    </row>
    <row r="13343" spans="6:8">
      <c r="H13343" t="s">
        <v>19349</v>
      </c>
    </row>
    <row r="13344" spans="6:8">
      <c r="H13344" t="s">
        <v>20209</v>
      </c>
    </row>
    <row r="13345" spans="6:8">
      <c r="F13345" t="s">
        <v>12101</v>
      </c>
      <c r="G13345" t="s">
        <v>16342</v>
      </c>
      <c r="H13345" t="s">
        <v>21072</v>
      </c>
    </row>
    <row r="13346" spans="6:8">
      <c r="H13346" t="s">
        <v>18829</v>
      </c>
    </row>
    <row r="13347" spans="6:8">
      <c r="H13347" t="s">
        <v>18863</v>
      </c>
    </row>
    <row r="13348" spans="6:8">
      <c r="H13348" t="s">
        <v>20454</v>
      </c>
    </row>
    <row r="13349" spans="6:8">
      <c r="H13349" t="s">
        <v>19349</v>
      </c>
    </row>
    <row r="13350" spans="6:8">
      <c r="H13350" t="s">
        <v>20209</v>
      </c>
    </row>
    <row r="13351" spans="6:8">
      <c r="F13351" t="s">
        <v>12102</v>
      </c>
      <c r="G13351" t="s">
        <v>16343</v>
      </c>
      <c r="H13351" t="s">
        <v>21073</v>
      </c>
    </row>
    <row r="13352" spans="6:8">
      <c r="H13352" t="s">
        <v>18829</v>
      </c>
    </row>
    <row r="13353" spans="6:8">
      <c r="H13353" t="s">
        <v>18863</v>
      </c>
    </row>
    <row r="13354" spans="6:8">
      <c r="H13354" t="s">
        <v>20454</v>
      </c>
    </row>
    <row r="13355" spans="6:8">
      <c r="H13355" t="s">
        <v>19349</v>
      </c>
    </row>
    <row r="13356" spans="6:8">
      <c r="H13356" t="s">
        <v>20209</v>
      </c>
    </row>
    <row r="13357" spans="6:8">
      <c r="F13357" t="s">
        <v>12103</v>
      </c>
      <c r="G13357" t="s">
        <v>16344</v>
      </c>
      <c r="H13357" t="s">
        <v>21074</v>
      </c>
    </row>
    <row r="13358" spans="6:8">
      <c r="H13358" t="s">
        <v>18829</v>
      </c>
    </row>
    <row r="13359" spans="6:8">
      <c r="H13359" t="s">
        <v>18863</v>
      </c>
    </row>
    <row r="13360" spans="6:8">
      <c r="H13360" t="s">
        <v>20454</v>
      </c>
    </row>
    <row r="13361" spans="6:8">
      <c r="H13361" t="s">
        <v>19349</v>
      </c>
    </row>
    <row r="13362" spans="6:8">
      <c r="H13362" t="s">
        <v>20209</v>
      </c>
    </row>
    <row r="13363" spans="6:8">
      <c r="F13363" t="s">
        <v>12104</v>
      </c>
      <c r="G13363" t="s">
        <v>16345</v>
      </c>
      <c r="H13363" t="s">
        <v>21075</v>
      </c>
    </row>
    <row r="13364" spans="6:8">
      <c r="H13364" t="s">
        <v>18829</v>
      </c>
    </row>
    <row r="13365" spans="6:8">
      <c r="H13365" t="s">
        <v>18863</v>
      </c>
    </row>
    <row r="13366" spans="6:8">
      <c r="H13366" t="s">
        <v>20454</v>
      </c>
    </row>
    <row r="13367" spans="6:8">
      <c r="H13367" t="s">
        <v>19349</v>
      </c>
    </row>
    <row r="13368" spans="6:8">
      <c r="H13368" t="s">
        <v>20209</v>
      </c>
    </row>
    <row r="13369" spans="6:8">
      <c r="F13369" t="s">
        <v>12105</v>
      </c>
      <c r="G13369" t="s">
        <v>16346</v>
      </c>
      <c r="H13369" t="s">
        <v>21076</v>
      </c>
    </row>
    <row r="13370" spans="6:8">
      <c r="H13370" t="s">
        <v>18829</v>
      </c>
    </row>
    <row r="13371" spans="6:8">
      <c r="H13371" t="s">
        <v>18863</v>
      </c>
    </row>
    <row r="13372" spans="6:8">
      <c r="H13372" t="s">
        <v>20454</v>
      </c>
    </row>
    <row r="13373" spans="6:8">
      <c r="H13373" t="s">
        <v>19349</v>
      </c>
    </row>
    <row r="13374" spans="6:8">
      <c r="H13374" t="s">
        <v>20209</v>
      </c>
    </row>
    <row r="13375" spans="6:8">
      <c r="F13375" t="s">
        <v>12106</v>
      </c>
      <c r="G13375" t="s">
        <v>16347</v>
      </c>
      <c r="H13375" t="s">
        <v>21077</v>
      </c>
    </row>
    <row r="13376" spans="6:8">
      <c r="H13376" t="s">
        <v>18829</v>
      </c>
    </row>
    <row r="13377" spans="6:8">
      <c r="H13377" t="s">
        <v>18863</v>
      </c>
    </row>
    <row r="13378" spans="6:8">
      <c r="H13378" t="s">
        <v>20454</v>
      </c>
    </row>
    <row r="13379" spans="6:8">
      <c r="H13379" t="s">
        <v>19349</v>
      </c>
    </row>
    <row r="13380" spans="6:8">
      <c r="H13380" t="s">
        <v>20209</v>
      </c>
    </row>
    <row r="13381" spans="6:8">
      <c r="F13381" t="s">
        <v>12107</v>
      </c>
      <c r="G13381" t="s">
        <v>16348</v>
      </c>
      <c r="H13381" t="s">
        <v>21078</v>
      </c>
    </row>
    <row r="13382" spans="6:8">
      <c r="H13382" t="s">
        <v>18829</v>
      </c>
    </row>
    <row r="13383" spans="6:8">
      <c r="H13383" t="s">
        <v>18863</v>
      </c>
    </row>
    <row r="13384" spans="6:8">
      <c r="H13384" t="s">
        <v>20454</v>
      </c>
    </row>
    <row r="13385" spans="6:8">
      <c r="H13385" t="s">
        <v>19349</v>
      </c>
    </row>
    <row r="13386" spans="6:8">
      <c r="H13386" t="s">
        <v>20209</v>
      </c>
    </row>
    <row r="13387" spans="6:8">
      <c r="F13387" t="s">
        <v>12108</v>
      </c>
      <c r="G13387" t="s">
        <v>16349</v>
      </c>
      <c r="H13387" t="s">
        <v>21079</v>
      </c>
    </row>
    <row r="13388" spans="6:8">
      <c r="H13388" t="s">
        <v>18829</v>
      </c>
    </row>
    <row r="13389" spans="6:8">
      <c r="H13389" t="s">
        <v>18863</v>
      </c>
    </row>
    <row r="13390" spans="6:8">
      <c r="H13390" t="s">
        <v>20454</v>
      </c>
    </row>
    <row r="13391" spans="6:8">
      <c r="H13391" t="s">
        <v>19349</v>
      </c>
    </row>
    <row r="13392" spans="6:8">
      <c r="H13392" t="s">
        <v>20209</v>
      </c>
    </row>
    <row r="13393" spans="6:8">
      <c r="F13393" t="s">
        <v>12109</v>
      </c>
      <c r="G13393" t="s">
        <v>16350</v>
      </c>
      <c r="H13393" t="s">
        <v>21080</v>
      </c>
    </row>
    <row r="13394" spans="6:8">
      <c r="H13394" t="s">
        <v>18829</v>
      </c>
    </row>
    <row r="13395" spans="6:8">
      <c r="H13395" t="s">
        <v>18863</v>
      </c>
    </row>
    <row r="13396" spans="6:8">
      <c r="H13396" t="s">
        <v>20454</v>
      </c>
    </row>
    <row r="13397" spans="6:8">
      <c r="H13397" t="s">
        <v>19349</v>
      </c>
    </row>
    <row r="13398" spans="6:8">
      <c r="H13398" t="s">
        <v>20209</v>
      </c>
    </row>
    <row r="13399" spans="6:8">
      <c r="F13399" t="s">
        <v>12110</v>
      </c>
      <c r="G13399" t="s">
        <v>16351</v>
      </c>
      <c r="H13399" t="s">
        <v>21081</v>
      </c>
    </row>
    <row r="13400" spans="6:8">
      <c r="H13400" t="s">
        <v>18829</v>
      </c>
    </row>
    <row r="13401" spans="6:8">
      <c r="H13401" t="s">
        <v>18863</v>
      </c>
    </row>
    <row r="13402" spans="6:8">
      <c r="H13402" t="s">
        <v>20454</v>
      </c>
    </row>
    <row r="13403" spans="6:8">
      <c r="H13403" t="s">
        <v>19349</v>
      </c>
    </row>
    <row r="13404" spans="6:8">
      <c r="H13404" t="s">
        <v>20209</v>
      </c>
    </row>
    <row r="13405" spans="6:8">
      <c r="F13405" t="s">
        <v>12111</v>
      </c>
      <c r="G13405" t="s">
        <v>16352</v>
      </c>
      <c r="H13405" t="s">
        <v>21082</v>
      </c>
    </row>
    <row r="13406" spans="6:8">
      <c r="H13406" t="s">
        <v>18829</v>
      </c>
    </row>
    <row r="13407" spans="6:8">
      <c r="H13407" t="s">
        <v>18863</v>
      </c>
    </row>
    <row r="13408" spans="6:8">
      <c r="H13408" t="s">
        <v>20454</v>
      </c>
    </row>
    <row r="13409" spans="6:8">
      <c r="H13409" t="s">
        <v>19349</v>
      </c>
    </row>
    <row r="13410" spans="6:8">
      <c r="H13410" t="s">
        <v>20209</v>
      </c>
    </row>
    <row r="13411" spans="6:8">
      <c r="F13411" t="s">
        <v>12112</v>
      </c>
      <c r="G13411" t="s">
        <v>16353</v>
      </c>
      <c r="H13411" t="s">
        <v>21083</v>
      </c>
    </row>
    <row r="13412" spans="6:8">
      <c r="H13412" t="s">
        <v>18829</v>
      </c>
    </row>
    <row r="13413" spans="6:8">
      <c r="H13413" t="s">
        <v>18863</v>
      </c>
    </row>
    <row r="13414" spans="6:8">
      <c r="H13414" t="s">
        <v>20454</v>
      </c>
    </row>
    <row r="13415" spans="6:8">
      <c r="H13415" t="s">
        <v>19349</v>
      </c>
    </row>
    <row r="13416" spans="6:8">
      <c r="H13416" t="s">
        <v>20209</v>
      </c>
    </row>
    <row r="13417" spans="6:8">
      <c r="F13417" t="s">
        <v>12113</v>
      </c>
      <c r="G13417" t="s">
        <v>16354</v>
      </c>
      <c r="H13417" t="s">
        <v>21084</v>
      </c>
    </row>
    <row r="13418" spans="6:8">
      <c r="H13418" t="s">
        <v>18829</v>
      </c>
    </row>
    <row r="13419" spans="6:8">
      <c r="H13419" t="s">
        <v>18863</v>
      </c>
    </row>
    <row r="13420" spans="6:8">
      <c r="H13420" t="s">
        <v>20454</v>
      </c>
    </row>
    <row r="13421" spans="6:8">
      <c r="H13421" t="s">
        <v>19349</v>
      </c>
    </row>
    <row r="13422" spans="6:8">
      <c r="H13422" t="s">
        <v>20209</v>
      </c>
    </row>
    <row r="13423" spans="6:8">
      <c r="F13423" t="s">
        <v>12114</v>
      </c>
      <c r="G13423" t="s">
        <v>16355</v>
      </c>
      <c r="H13423" t="s">
        <v>21085</v>
      </c>
    </row>
    <row r="13424" spans="6:8">
      <c r="H13424" t="s">
        <v>18829</v>
      </c>
    </row>
    <row r="13425" spans="6:8">
      <c r="H13425" t="s">
        <v>18863</v>
      </c>
    </row>
    <row r="13426" spans="6:8">
      <c r="H13426" t="s">
        <v>20454</v>
      </c>
    </row>
    <row r="13427" spans="6:8">
      <c r="H13427" t="s">
        <v>19349</v>
      </c>
    </row>
    <row r="13428" spans="6:8">
      <c r="H13428" t="s">
        <v>20209</v>
      </c>
    </row>
    <row r="13429" spans="6:8">
      <c r="F13429" t="s">
        <v>12115</v>
      </c>
      <c r="G13429" t="s">
        <v>16356</v>
      </c>
      <c r="H13429" t="s">
        <v>21086</v>
      </c>
    </row>
    <row r="13430" spans="6:8">
      <c r="H13430" t="s">
        <v>18829</v>
      </c>
    </row>
    <row r="13431" spans="6:8">
      <c r="H13431" t="s">
        <v>18863</v>
      </c>
    </row>
    <row r="13432" spans="6:8">
      <c r="H13432" t="s">
        <v>20454</v>
      </c>
    </row>
    <row r="13433" spans="6:8">
      <c r="H13433" t="s">
        <v>19349</v>
      </c>
    </row>
    <row r="13434" spans="6:8">
      <c r="H13434" t="s">
        <v>20209</v>
      </c>
    </row>
    <row r="13435" spans="6:8">
      <c r="F13435" t="s">
        <v>12116</v>
      </c>
      <c r="G13435" t="s">
        <v>16357</v>
      </c>
      <c r="H13435" t="s">
        <v>21087</v>
      </c>
    </row>
    <row r="13436" spans="6:8">
      <c r="H13436" t="s">
        <v>18829</v>
      </c>
    </row>
    <row r="13437" spans="6:8">
      <c r="H13437" t="s">
        <v>18863</v>
      </c>
    </row>
    <row r="13438" spans="6:8">
      <c r="H13438" t="s">
        <v>20454</v>
      </c>
    </row>
    <row r="13439" spans="6:8">
      <c r="H13439" t="s">
        <v>19349</v>
      </c>
    </row>
    <row r="13440" spans="6:8">
      <c r="H13440" t="s">
        <v>20209</v>
      </c>
    </row>
    <row r="13441" spans="6:8">
      <c r="F13441" t="s">
        <v>12117</v>
      </c>
      <c r="G13441" t="s">
        <v>16358</v>
      </c>
      <c r="H13441" t="s">
        <v>21088</v>
      </c>
    </row>
    <row r="13442" spans="6:8">
      <c r="H13442" t="s">
        <v>18829</v>
      </c>
    </row>
    <row r="13443" spans="6:8">
      <c r="H13443" t="s">
        <v>18863</v>
      </c>
    </row>
    <row r="13444" spans="6:8">
      <c r="H13444" t="s">
        <v>20454</v>
      </c>
    </row>
    <row r="13445" spans="6:8">
      <c r="H13445" t="s">
        <v>19349</v>
      </c>
    </row>
    <row r="13446" spans="6:8">
      <c r="H13446" t="s">
        <v>20209</v>
      </c>
    </row>
    <row r="13447" spans="6:8">
      <c r="F13447" t="s">
        <v>12118</v>
      </c>
      <c r="G13447" t="s">
        <v>16359</v>
      </c>
      <c r="H13447" t="s">
        <v>21089</v>
      </c>
    </row>
    <row r="13448" spans="6:8">
      <c r="H13448" t="s">
        <v>18829</v>
      </c>
    </row>
    <row r="13449" spans="6:8">
      <c r="H13449" t="s">
        <v>18863</v>
      </c>
    </row>
    <row r="13450" spans="6:8">
      <c r="H13450" t="s">
        <v>20454</v>
      </c>
    </row>
    <row r="13451" spans="6:8">
      <c r="H13451" t="s">
        <v>19349</v>
      </c>
    </row>
    <row r="13452" spans="6:8">
      <c r="H13452" t="s">
        <v>20209</v>
      </c>
    </row>
    <row r="13453" spans="6:8">
      <c r="F13453" t="s">
        <v>12119</v>
      </c>
      <c r="G13453" t="s">
        <v>16360</v>
      </c>
      <c r="H13453" t="s">
        <v>21090</v>
      </c>
    </row>
    <row r="13454" spans="6:8">
      <c r="H13454" t="s">
        <v>18829</v>
      </c>
    </row>
    <row r="13455" spans="6:8">
      <c r="H13455" t="s">
        <v>18863</v>
      </c>
    </row>
    <row r="13456" spans="6:8">
      <c r="H13456" t="s">
        <v>20454</v>
      </c>
    </row>
    <row r="13457" spans="6:8">
      <c r="H13457" t="s">
        <v>19349</v>
      </c>
    </row>
    <row r="13458" spans="6:8">
      <c r="H13458" t="s">
        <v>20209</v>
      </c>
    </row>
    <row r="13459" spans="6:8">
      <c r="F13459" t="s">
        <v>12120</v>
      </c>
      <c r="G13459" t="s">
        <v>16361</v>
      </c>
      <c r="H13459" t="s">
        <v>21091</v>
      </c>
    </row>
    <row r="13460" spans="6:8">
      <c r="H13460" t="s">
        <v>18829</v>
      </c>
    </row>
    <row r="13461" spans="6:8">
      <c r="H13461" t="s">
        <v>18863</v>
      </c>
    </row>
    <row r="13462" spans="6:8">
      <c r="H13462" t="s">
        <v>20454</v>
      </c>
    </row>
    <row r="13463" spans="6:8">
      <c r="H13463" t="s">
        <v>19349</v>
      </c>
    </row>
    <row r="13464" spans="6:8">
      <c r="H13464" t="s">
        <v>20209</v>
      </c>
    </row>
    <row r="13465" spans="6:8">
      <c r="F13465" t="s">
        <v>12121</v>
      </c>
      <c r="G13465" t="s">
        <v>16362</v>
      </c>
      <c r="H13465" t="s">
        <v>21092</v>
      </c>
    </row>
    <row r="13466" spans="6:8">
      <c r="H13466" t="s">
        <v>18829</v>
      </c>
    </row>
    <row r="13467" spans="6:8">
      <c r="H13467" t="s">
        <v>18863</v>
      </c>
    </row>
    <row r="13468" spans="6:8">
      <c r="H13468" t="s">
        <v>20454</v>
      </c>
    </row>
    <row r="13469" spans="6:8">
      <c r="H13469" t="s">
        <v>19349</v>
      </c>
    </row>
    <row r="13470" spans="6:8">
      <c r="H13470" t="s">
        <v>20209</v>
      </c>
    </row>
    <row r="13471" spans="6:8">
      <c r="F13471" t="s">
        <v>12122</v>
      </c>
      <c r="G13471" t="s">
        <v>16363</v>
      </c>
      <c r="H13471" t="s">
        <v>21093</v>
      </c>
    </row>
    <row r="13472" spans="6:8">
      <c r="H13472" t="s">
        <v>18829</v>
      </c>
    </row>
    <row r="13473" spans="6:8">
      <c r="H13473" t="s">
        <v>18863</v>
      </c>
    </row>
    <row r="13474" spans="6:8">
      <c r="H13474" t="s">
        <v>20454</v>
      </c>
    </row>
    <row r="13475" spans="6:8">
      <c r="H13475" t="s">
        <v>19349</v>
      </c>
    </row>
    <row r="13476" spans="6:8">
      <c r="H13476" t="s">
        <v>20209</v>
      </c>
    </row>
    <row r="13477" spans="6:8">
      <c r="F13477" t="s">
        <v>12123</v>
      </c>
      <c r="G13477" t="s">
        <v>16364</v>
      </c>
      <c r="H13477" t="s">
        <v>21094</v>
      </c>
    </row>
    <row r="13478" spans="6:8">
      <c r="H13478" t="s">
        <v>18829</v>
      </c>
    </row>
    <row r="13479" spans="6:8">
      <c r="H13479" t="s">
        <v>18863</v>
      </c>
    </row>
    <row r="13480" spans="6:8">
      <c r="H13480" t="s">
        <v>20454</v>
      </c>
    </row>
    <row r="13481" spans="6:8">
      <c r="H13481" t="s">
        <v>19349</v>
      </c>
    </row>
    <row r="13482" spans="6:8">
      <c r="H13482" t="s">
        <v>20209</v>
      </c>
    </row>
    <row r="13483" spans="6:8">
      <c r="F13483" t="s">
        <v>12124</v>
      </c>
      <c r="G13483" t="s">
        <v>16365</v>
      </c>
      <c r="H13483" t="s">
        <v>21095</v>
      </c>
    </row>
    <row r="13484" spans="6:8">
      <c r="H13484" t="s">
        <v>18829</v>
      </c>
    </row>
    <row r="13485" spans="6:8">
      <c r="H13485" t="s">
        <v>18863</v>
      </c>
    </row>
    <row r="13486" spans="6:8">
      <c r="H13486" t="s">
        <v>20454</v>
      </c>
    </row>
    <row r="13487" spans="6:8">
      <c r="H13487" t="s">
        <v>19349</v>
      </c>
    </row>
    <row r="13488" spans="6:8">
      <c r="H13488" t="s">
        <v>20209</v>
      </c>
    </row>
    <row r="13489" spans="6:8">
      <c r="F13489" t="s">
        <v>12125</v>
      </c>
      <c r="G13489" t="s">
        <v>16366</v>
      </c>
      <c r="H13489" t="s">
        <v>21096</v>
      </c>
    </row>
    <row r="13490" spans="6:8">
      <c r="H13490" t="s">
        <v>18829</v>
      </c>
    </row>
    <row r="13491" spans="6:8">
      <c r="H13491" t="s">
        <v>18863</v>
      </c>
    </row>
    <row r="13492" spans="6:8">
      <c r="H13492" t="s">
        <v>20454</v>
      </c>
    </row>
    <row r="13493" spans="6:8">
      <c r="H13493" t="s">
        <v>19349</v>
      </c>
    </row>
    <row r="13494" spans="6:8">
      <c r="H13494" t="s">
        <v>20209</v>
      </c>
    </row>
    <row r="13495" spans="6:8">
      <c r="F13495" t="s">
        <v>12126</v>
      </c>
      <c r="G13495" t="s">
        <v>16367</v>
      </c>
      <c r="H13495" t="s">
        <v>21097</v>
      </c>
    </row>
    <row r="13496" spans="6:8">
      <c r="H13496" t="s">
        <v>18829</v>
      </c>
    </row>
    <row r="13497" spans="6:8">
      <c r="H13497" t="s">
        <v>18863</v>
      </c>
    </row>
    <row r="13498" spans="6:8">
      <c r="H13498" t="s">
        <v>20454</v>
      </c>
    </row>
    <row r="13499" spans="6:8">
      <c r="H13499" t="s">
        <v>19349</v>
      </c>
    </row>
    <row r="13500" spans="6:8">
      <c r="H13500" t="s">
        <v>20209</v>
      </c>
    </row>
    <row r="13501" spans="6:8">
      <c r="F13501" t="s">
        <v>12127</v>
      </c>
      <c r="G13501" t="s">
        <v>16368</v>
      </c>
      <c r="H13501" t="s">
        <v>21098</v>
      </c>
    </row>
    <row r="13502" spans="6:8">
      <c r="H13502" t="s">
        <v>18829</v>
      </c>
    </row>
    <row r="13503" spans="6:8">
      <c r="H13503" t="s">
        <v>18863</v>
      </c>
    </row>
    <row r="13504" spans="6:8">
      <c r="H13504" t="s">
        <v>20454</v>
      </c>
    </row>
    <row r="13505" spans="6:8">
      <c r="H13505" t="s">
        <v>19349</v>
      </c>
    </row>
    <row r="13506" spans="6:8">
      <c r="H13506" t="s">
        <v>20209</v>
      </c>
    </row>
    <row r="13507" spans="6:8">
      <c r="F13507" t="s">
        <v>12128</v>
      </c>
      <c r="G13507" t="s">
        <v>16369</v>
      </c>
      <c r="H13507" t="s">
        <v>21099</v>
      </c>
    </row>
    <row r="13508" spans="6:8">
      <c r="H13508" t="s">
        <v>18829</v>
      </c>
    </row>
    <row r="13509" spans="6:8">
      <c r="H13509" t="s">
        <v>18863</v>
      </c>
    </row>
    <row r="13510" spans="6:8">
      <c r="H13510" t="s">
        <v>20454</v>
      </c>
    </row>
    <row r="13511" spans="6:8">
      <c r="H13511" t="s">
        <v>19349</v>
      </c>
    </row>
    <row r="13512" spans="6:8">
      <c r="H13512" t="s">
        <v>20209</v>
      </c>
    </row>
    <row r="13513" spans="6:8">
      <c r="F13513" t="s">
        <v>12129</v>
      </c>
      <c r="G13513" t="s">
        <v>16370</v>
      </c>
      <c r="H13513" t="s">
        <v>21100</v>
      </c>
    </row>
    <row r="13514" spans="6:8">
      <c r="H13514" t="s">
        <v>18829</v>
      </c>
    </row>
    <row r="13515" spans="6:8">
      <c r="H13515" t="s">
        <v>18863</v>
      </c>
    </row>
    <row r="13516" spans="6:8">
      <c r="H13516" t="s">
        <v>20454</v>
      </c>
    </row>
    <row r="13517" spans="6:8">
      <c r="H13517" t="s">
        <v>19349</v>
      </c>
    </row>
    <row r="13518" spans="6:8">
      <c r="H13518" t="s">
        <v>20209</v>
      </c>
    </row>
    <row r="13519" spans="6:8">
      <c r="F13519" t="s">
        <v>12130</v>
      </c>
      <c r="G13519" t="s">
        <v>16371</v>
      </c>
      <c r="H13519" t="s">
        <v>21101</v>
      </c>
    </row>
    <row r="13520" spans="6:8">
      <c r="H13520" t="s">
        <v>18829</v>
      </c>
    </row>
    <row r="13521" spans="6:8">
      <c r="H13521" t="s">
        <v>18863</v>
      </c>
    </row>
    <row r="13522" spans="6:8">
      <c r="H13522" t="s">
        <v>20454</v>
      </c>
    </row>
    <row r="13523" spans="6:8">
      <c r="H13523" t="s">
        <v>19349</v>
      </c>
    </row>
    <row r="13524" spans="6:8">
      <c r="H13524" t="s">
        <v>20209</v>
      </c>
    </row>
    <row r="13525" spans="6:8">
      <c r="F13525" t="s">
        <v>12131</v>
      </c>
      <c r="G13525" t="s">
        <v>16372</v>
      </c>
      <c r="H13525" t="s">
        <v>21102</v>
      </c>
    </row>
    <row r="13526" spans="6:8">
      <c r="H13526" t="s">
        <v>18829</v>
      </c>
    </row>
    <row r="13527" spans="6:8">
      <c r="H13527" t="s">
        <v>18863</v>
      </c>
    </row>
    <row r="13528" spans="6:8">
      <c r="H13528" t="s">
        <v>20454</v>
      </c>
    </row>
    <row r="13529" spans="6:8">
      <c r="H13529" t="s">
        <v>19349</v>
      </c>
    </row>
    <row r="13530" spans="6:8">
      <c r="H13530" t="s">
        <v>20209</v>
      </c>
    </row>
    <row r="13531" spans="6:8">
      <c r="F13531" t="s">
        <v>12132</v>
      </c>
      <c r="G13531" t="s">
        <v>16373</v>
      </c>
      <c r="H13531" t="s">
        <v>21103</v>
      </c>
    </row>
    <row r="13532" spans="6:8">
      <c r="H13532" t="s">
        <v>18829</v>
      </c>
    </row>
    <row r="13533" spans="6:8">
      <c r="H13533" t="s">
        <v>18863</v>
      </c>
    </row>
    <row r="13534" spans="6:8">
      <c r="H13534" t="s">
        <v>20454</v>
      </c>
    </row>
    <row r="13535" spans="6:8">
      <c r="H13535" t="s">
        <v>19349</v>
      </c>
    </row>
    <row r="13536" spans="6:8">
      <c r="H13536" t="s">
        <v>20209</v>
      </c>
    </row>
    <row r="13537" spans="6:8">
      <c r="F13537" t="s">
        <v>12133</v>
      </c>
      <c r="G13537" t="s">
        <v>16374</v>
      </c>
      <c r="H13537" t="s">
        <v>21104</v>
      </c>
    </row>
    <row r="13538" spans="6:8">
      <c r="H13538" t="s">
        <v>18829</v>
      </c>
    </row>
    <row r="13539" spans="6:8">
      <c r="H13539" t="s">
        <v>18863</v>
      </c>
    </row>
    <row r="13540" spans="6:8">
      <c r="H13540" t="s">
        <v>20454</v>
      </c>
    </row>
    <row r="13541" spans="6:8">
      <c r="H13541" t="s">
        <v>19349</v>
      </c>
    </row>
    <row r="13542" spans="6:8">
      <c r="H13542" t="s">
        <v>20209</v>
      </c>
    </row>
    <row r="13543" spans="6:8">
      <c r="F13543" t="s">
        <v>12134</v>
      </c>
      <c r="G13543" t="s">
        <v>16375</v>
      </c>
      <c r="H13543" t="s">
        <v>21105</v>
      </c>
    </row>
    <row r="13544" spans="6:8">
      <c r="H13544" t="s">
        <v>18829</v>
      </c>
    </row>
    <row r="13545" spans="6:8">
      <c r="H13545" t="s">
        <v>18863</v>
      </c>
    </row>
    <row r="13546" spans="6:8">
      <c r="H13546" t="s">
        <v>20454</v>
      </c>
    </row>
    <row r="13547" spans="6:8">
      <c r="H13547" t="s">
        <v>19349</v>
      </c>
    </row>
    <row r="13548" spans="6:8">
      <c r="H13548" t="s">
        <v>20209</v>
      </c>
    </row>
    <row r="13549" spans="6:8">
      <c r="F13549" t="s">
        <v>12135</v>
      </c>
      <c r="G13549" t="s">
        <v>16376</v>
      </c>
      <c r="H13549" t="s">
        <v>21106</v>
      </c>
    </row>
    <row r="13550" spans="6:8">
      <c r="H13550" t="s">
        <v>18829</v>
      </c>
    </row>
    <row r="13551" spans="6:8">
      <c r="H13551" t="s">
        <v>18863</v>
      </c>
    </row>
    <row r="13552" spans="6:8">
      <c r="H13552" t="s">
        <v>20454</v>
      </c>
    </row>
    <row r="13553" spans="6:8">
      <c r="H13553" t="s">
        <v>19349</v>
      </c>
    </row>
    <row r="13554" spans="6:8">
      <c r="H13554" t="s">
        <v>20209</v>
      </c>
    </row>
    <row r="13555" spans="6:8">
      <c r="F13555" t="s">
        <v>12136</v>
      </c>
      <c r="G13555" t="s">
        <v>16377</v>
      </c>
      <c r="H13555" t="s">
        <v>21107</v>
      </c>
    </row>
    <row r="13556" spans="6:8">
      <c r="H13556" t="s">
        <v>18829</v>
      </c>
    </row>
    <row r="13557" spans="6:8">
      <c r="H13557" t="s">
        <v>18863</v>
      </c>
    </row>
    <row r="13558" spans="6:8">
      <c r="H13558" t="s">
        <v>20454</v>
      </c>
    </row>
    <row r="13559" spans="6:8">
      <c r="H13559" t="s">
        <v>19349</v>
      </c>
    </row>
    <row r="13560" spans="6:8">
      <c r="H13560" t="s">
        <v>20209</v>
      </c>
    </row>
    <row r="13561" spans="6:8">
      <c r="F13561" t="s">
        <v>12137</v>
      </c>
      <c r="G13561" t="s">
        <v>16378</v>
      </c>
      <c r="H13561" t="s">
        <v>21108</v>
      </c>
    </row>
    <row r="13562" spans="6:8">
      <c r="H13562" t="s">
        <v>18829</v>
      </c>
    </row>
    <row r="13563" spans="6:8">
      <c r="H13563" t="s">
        <v>18863</v>
      </c>
    </row>
    <row r="13564" spans="6:8">
      <c r="H13564" t="s">
        <v>20454</v>
      </c>
    </row>
    <row r="13565" spans="6:8">
      <c r="H13565" t="s">
        <v>19349</v>
      </c>
    </row>
    <row r="13566" spans="6:8">
      <c r="H13566" t="s">
        <v>20209</v>
      </c>
    </row>
    <row r="13567" spans="6:8">
      <c r="F13567" t="s">
        <v>12138</v>
      </c>
      <c r="G13567" t="s">
        <v>16379</v>
      </c>
      <c r="H13567" t="s">
        <v>21109</v>
      </c>
    </row>
    <row r="13568" spans="6:8">
      <c r="H13568" t="s">
        <v>18829</v>
      </c>
    </row>
    <row r="13569" spans="6:8">
      <c r="H13569" t="s">
        <v>18863</v>
      </c>
    </row>
    <row r="13570" spans="6:8">
      <c r="H13570" t="s">
        <v>20454</v>
      </c>
    </row>
    <row r="13571" spans="6:8">
      <c r="H13571" t="s">
        <v>19349</v>
      </c>
    </row>
    <row r="13572" spans="6:8">
      <c r="H13572" t="s">
        <v>20209</v>
      </c>
    </row>
    <row r="13573" spans="6:8">
      <c r="F13573" t="s">
        <v>12139</v>
      </c>
      <c r="G13573" t="s">
        <v>16380</v>
      </c>
      <c r="H13573" t="s">
        <v>21110</v>
      </c>
    </row>
    <row r="13574" spans="6:8">
      <c r="H13574" t="s">
        <v>18829</v>
      </c>
    </row>
    <row r="13575" spans="6:8">
      <c r="H13575" t="s">
        <v>18863</v>
      </c>
    </row>
    <row r="13576" spans="6:8">
      <c r="H13576" t="s">
        <v>20454</v>
      </c>
    </row>
    <row r="13577" spans="6:8">
      <c r="H13577" t="s">
        <v>19349</v>
      </c>
    </row>
    <row r="13578" spans="6:8">
      <c r="H13578" t="s">
        <v>20209</v>
      </c>
    </row>
    <row r="13579" spans="6:8">
      <c r="F13579" t="s">
        <v>12140</v>
      </c>
      <c r="G13579" t="s">
        <v>16381</v>
      </c>
      <c r="H13579" t="s">
        <v>21111</v>
      </c>
    </row>
    <row r="13580" spans="6:8">
      <c r="H13580" t="s">
        <v>18829</v>
      </c>
    </row>
    <row r="13581" spans="6:8">
      <c r="H13581" t="s">
        <v>18863</v>
      </c>
    </row>
    <row r="13582" spans="6:8">
      <c r="H13582" t="s">
        <v>20454</v>
      </c>
    </row>
    <row r="13583" spans="6:8">
      <c r="H13583" t="s">
        <v>19349</v>
      </c>
    </row>
    <row r="13584" spans="6:8">
      <c r="H13584" t="s">
        <v>20209</v>
      </c>
    </row>
    <row r="13585" spans="6:8">
      <c r="F13585" t="s">
        <v>12141</v>
      </c>
      <c r="G13585" t="s">
        <v>16382</v>
      </c>
      <c r="H13585" t="s">
        <v>21112</v>
      </c>
    </row>
    <row r="13586" spans="6:8">
      <c r="H13586" t="s">
        <v>18829</v>
      </c>
    </row>
    <row r="13587" spans="6:8">
      <c r="H13587" t="s">
        <v>18863</v>
      </c>
    </row>
    <row r="13588" spans="6:8">
      <c r="H13588" t="s">
        <v>20454</v>
      </c>
    </row>
    <row r="13589" spans="6:8">
      <c r="H13589" t="s">
        <v>19349</v>
      </c>
    </row>
    <row r="13590" spans="6:8">
      <c r="H13590" t="s">
        <v>20209</v>
      </c>
    </row>
    <row r="13591" spans="6:8">
      <c r="F13591" t="s">
        <v>12142</v>
      </c>
      <c r="G13591" t="s">
        <v>16383</v>
      </c>
      <c r="H13591" t="s">
        <v>21113</v>
      </c>
    </row>
    <row r="13592" spans="6:8">
      <c r="H13592" t="s">
        <v>18829</v>
      </c>
    </row>
    <row r="13593" spans="6:8">
      <c r="H13593" t="s">
        <v>18863</v>
      </c>
    </row>
    <row r="13594" spans="6:8">
      <c r="H13594" t="s">
        <v>20454</v>
      </c>
    </row>
    <row r="13595" spans="6:8">
      <c r="H13595" t="s">
        <v>19349</v>
      </c>
    </row>
    <row r="13596" spans="6:8">
      <c r="H13596" t="s">
        <v>20209</v>
      </c>
    </row>
    <row r="13597" spans="6:8">
      <c r="F13597" t="s">
        <v>12143</v>
      </c>
      <c r="G13597" t="s">
        <v>16384</v>
      </c>
      <c r="H13597" t="s">
        <v>21114</v>
      </c>
    </row>
    <row r="13598" spans="6:8">
      <c r="H13598" t="s">
        <v>18829</v>
      </c>
    </row>
    <row r="13599" spans="6:8">
      <c r="H13599" t="s">
        <v>18863</v>
      </c>
    </row>
    <row r="13600" spans="6:8">
      <c r="H13600" t="s">
        <v>20454</v>
      </c>
    </row>
    <row r="13601" spans="6:8">
      <c r="H13601" t="s">
        <v>19349</v>
      </c>
    </row>
    <row r="13602" spans="6:8">
      <c r="H13602" t="s">
        <v>20209</v>
      </c>
    </row>
    <row r="13603" spans="6:8">
      <c r="F13603" t="s">
        <v>12144</v>
      </c>
      <c r="G13603" t="s">
        <v>16385</v>
      </c>
      <c r="H13603" t="s">
        <v>21115</v>
      </c>
    </row>
    <row r="13604" spans="6:8">
      <c r="H13604" t="s">
        <v>18829</v>
      </c>
    </row>
    <row r="13605" spans="6:8">
      <c r="H13605" t="s">
        <v>18863</v>
      </c>
    </row>
    <row r="13606" spans="6:8">
      <c r="H13606" t="s">
        <v>20454</v>
      </c>
    </row>
    <row r="13607" spans="6:8">
      <c r="H13607" t="s">
        <v>19349</v>
      </c>
    </row>
    <row r="13608" spans="6:8">
      <c r="H13608" t="s">
        <v>20209</v>
      </c>
    </row>
    <row r="13609" spans="6:8">
      <c r="F13609" t="s">
        <v>12145</v>
      </c>
      <c r="G13609" t="s">
        <v>16386</v>
      </c>
      <c r="H13609" t="s">
        <v>21116</v>
      </c>
    </row>
    <row r="13610" spans="6:8">
      <c r="H13610" t="s">
        <v>18829</v>
      </c>
    </row>
    <row r="13611" spans="6:8">
      <c r="H13611" t="s">
        <v>18863</v>
      </c>
    </row>
    <row r="13612" spans="6:8">
      <c r="H13612" t="s">
        <v>20454</v>
      </c>
    </row>
    <row r="13613" spans="6:8">
      <c r="H13613" t="s">
        <v>19349</v>
      </c>
    </row>
    <row r="13614" spans="6:8">
      <c r="H13614" t="s">
        <v>20209</v>
      </c>
    </row>
    <row r="13615" spans="6:8">
      <c r="F13615" t="s">
        <v>12146</v>
      </c>
      <c r="G13615" t="s">
        <v>16387</v>
      </c>
      <c r="H13615" t="s">
        <v>21117</v>
      </c>
    </row>
    <row r="13616" spans="6:8">
      <c r="H13616" t="s">
        <v>18829</v>
      </c>
    </row>
    <row r="13617" spans="6:8">
      <c r="H13617" t="s">
        <v>18863</v>
      </c>
    </row>
    <row r="13618" spans="6:8">
      <c r="H13618" t="s">
        <v>20454</v>
      </c>
    </row>
    <row r="13619" spans="6:8">
      <c r="H13619" t="s">
        <v>19349</v>
      </c>
    </row>
    <row r="13620" spans="6:8">
      <c r="H13620" t="s">
        <v>20209</v>
      </c>
    </row>
    <row r="13621" spans="6:8">
      <c r="F13621" t="s">
        <v>12147</v>
      </c>
      <c r="G13621" t="s">
        <v>16388</v>
      </c>
      <c r="H13621" t="s">
        <v>21118</v>
      </c>
    </row>
    <row r="13622" spans="6:8">
      <c r="H13622" t="s">
        <v>18829</v>
      </c>
    </row>
    <row r="13623" spans="6:8">
      <c r="H13623" t="s">
        <v>18863</v>
      </c>
    </row>
    <row r="13624" spans="6:8">
      <c r="H13624" t="s">
        <v>20454</v>
      </c>
    </row>
    <row r="13625" spans="6:8">
      <c r="H13625" t="s">
        <v>19349</v>
      </c>
    </row>
    <row r="13626" spans="6:8">
      <c r="H13626" t="s">
        <v>20209</v>
      </c>
    </row>
    <row r="13627" spans="6:8">
      <c r="F13627" t="s">
        <v>12148</v>
      </c>
      <c r="G13627" t="s">
        <v>16389</v>
      </c>
      <c r="H13627" t="s">
        <v>21119</v>
      </c>
    </row>
    <row r="13628" spans="6:8">
      <c r="H13628" t="s">
        <v>18829</v>
      </c>
    </row>
    <row r="13629" spans="6:8">
      <c r="H13629" t="s">
        <v>18863</v>
      </c>
    </row>
    <row r="13630" spans="6:8">
      <c r="H13630" t="s">
        <v>20454</v>
      </c>
    </row>
    <row r="13631" spans="6:8">
      <c r="H13631" t="s">
        <v>19349</v>
      </c>
    </row>
    <row r="13632" spans="6:8">
      <c r="H13632" t="s">
        <v>20209</v>
      </c>
    </row>
    <row r="13633" spans="6:8">
      <c r="F13633" t="s">
        <v>12149</v>
      </c>
      <c r="G13633" t="s">
        <v>16390</v>
      </c>
      <c r="H13633" t="s">
        <v>21120</v>
      </c>
    </row>
    <row r="13634" spans="6:8">
      <c r="H13634" t="s">
        <v>18829</v>
      </c>
    </row>
    <row r="13635" spans="6:8">
      <c r="H13635" t="s">
        <v>18863</v>
      </c>
    </row>
    <row r="13636" spans="6:8">
      <c r="H13636" t="s">
        <v>20454</v>
      </c>
    </row>
    <row r="13637" spans="6:8">
      <c r="H13637" t="s">
        <v>19349</v>
      </c>
    </row>
    <row r="13638" spans="6:8">
      <c r="H13638" t="s">
        <v>20209</v>
      </c>
    </row>
    <row r="13639" spans="6:8">
      <c r="F13639" t="s">
        <v>12150</v>
      </c>
      <c r="G13639" t="s">
        <v>16391</v>
      </c>
      <c r="H13639" t="s">
        <v>21121</v>
      </c>
    </row>
    <row r="13640" spans="6:8">
      <c r="H13640" t="s">
        <v>18829</v>
      </c>
    </row>
    <row r="13641" spans="6:8">
      <c r="H13641" t="s">
        <v>18863</v>
      </c>
    </row>
    <row r="13642" spans="6:8">
      <c r="H13642" t="s">
        <v>20454</v>
      </c>
    </row>
    <row r="13643" spans="6:8">
      <c r="H13643" t="s">
        <v>19349</v>
      </c>
    </row>
    <row r="13644" spans="6:8">
      <c r="H13644" t="s">
        <v>20209</v>
      </c>
    </row>
    <row r="13645" spans="6:8">
      <c r="F13645" t="s">
        <v>12151</v>
      </c>
      <c r="G13645" t="s">
        <v>16392</v>
      </c>
      <c r="H13645" t="s">
        <v>21122</v>
      </c>
    </row>
    <row r="13646" spans="6:8">
      <c r="H13646" t="s">
        <v>18829</v>
      </c>
    </row>
    <row r="13647" spans="6:8">
      <c r="H13647" t="s">
        <v>18863</v>
      </c>
    </row>
    <row r="13648" spans="6:8">
      <c r="H13648" t="s">
        <v>20454</v>
      </c>
    </row>
    <row r="13649" spans="6:8">
      <c r="H13649" t="s">
        <v>19349</v>
      </c>
    </row>
    <row r="13650" spans="6:8">
      <c r="H13650" t="s">
        <v>20209</v>
      </c>
    </row>
    <row r="13651" spans="6:8">
      <c r="F13651" t="s">
        <v>12152</v>
      </c>
      <c r="G13651" t="s">
        <v>16393</v>
      </c>
      <c r="H13651" t="s">
        <v>21123</v>
      </c>
    </row>
    <row r="13652" spans="6:8">
      <c r="H13652" t="s">
        <v>18829</v>
      </c>
    </row>
    <row r="13653" spans="6:8">
      <c r="H13653" t="s">
        <v>18863</v>
      </c>
    </row>
    <row r="13654" spans="6:8">
      <c r="H13654" t="s">
        <v>20454</v>
      </c>
    </row>
    <row r="13655" spans="6:8">
      <c r="H13655" t="s">
        <v>19349</v>
      </c>
    </row>
    <row r="13656" spans="6:8">
      <c r="H13656" t="s">
        <v>20209</v>
      </c>
    </row>
    <row r="13657" spans="6:8">
      <c r="F13657" t="s">
        <v>12153</v>
      </c>
      <c r="G13657" t="s">
        <v>16394</v>
      </c>
      <c r="H13657" t="s">
        <v>21124</v>
      </c>
    </row>
    <row r="13658" spans="6:8">
      <c r="H13658" t="s">
        <v>18829</v>
      </c>
    </row>
    <row r="13659" spans="6:8">
      <c r="H13659" t="s">
        <v>18863</v>
      </c>
    </row>
    <row r="13660" spans="6:8">
      <c r="H13660" t="s">
        <v>20454</v>
      </c>
    </row>
    <row r="13661" spans="6:8">
      <c r="H13661" t="s">
        <v>19349</v>
      </c>
    </row>
    <row r="13662" spans="6:8">
      <c r="H13662" t="s">
        <v>20209</v>
      </c>
    </row>
    <row r="13663" spans="6:8">
      <c r="F13663" t="s">
        <v>12154</v>
      </c>
      <c r="G13663" t="s">
        <v>16395</v>
      </c>
      <c r="H13663" t="s">
        <v>21125</v>
      </c>
    </row>
    <row r="13664" spans="6:8">
      <c r="H13664" t="s">
        <v>18829</v>
      </c>
    </row>
    <row r="13665" spans="6:8">
      <c r="H13665" t="s">
        <v>18863</v>
      </c>
    </row>
    <row r="13666" spans="6:8">
      <c r="H13666" t="s">
        <v>20454</v>
      </c>
    </row>
    <row r="13667" spans="6:8">
      <c r="H13667" t="s">
        <v>19349</v>
      </c>
    </row>
    <row r="13668" spans="6:8">
      <c r="H13668" t="s">
        <v>20209</v>
      </c>
    </row>
    <row r="13669" spans="6:8">
      <c r="F13669" t="s">
        <v>12155</v>
      </c>
      <c r="G13669" t="s">
        <v>16396</v>
      </c>
      <c r="H13669" t="s">
        <v>21126</v>
      </c>
    </row>
    <row r="13670" spans="6:8">
      <c r="H13670" t="s">
        <v>18829</v>
      </c>
    </row>
    <row r="13671" spans="6:8">
      <c r="H13671" t="s">
        <v>18863</v>
      </c>
    </row>
    <row r="13672" spans="6:8">
      <c r="H13672" t="s">
        <v>20454</v>
      </c>
    </row>
    <row r="13673" spans="6:8">
      <c r="H13673" t="s">
        <v>19349</v>
      </c>
    </row>
    <row r="13674" spans="6:8">
      <c r="H13674" t="s">
        <v>20209</v>
      </c>
    </row>
    <row r="13675" spans="6:8">
      <c r="F13675" t="s">
        <v>12156</v>
      </c>
      <c r="G13675" t="s">
        <v>16397</v>
      </c>
      <c r="H13675" t="s">
        <v>21127</v>
      </c>
    </row>
    <row r="13676" spans="6:8">
      <c r="H13676" t="s">
        <v>18829</v>
      </c>
    </row>
    <row r="13677" spans="6:8">
      <c r="H13677" t="s">
        <v>18863</v>
      </c>
    </row>
    <row r="13678" spans="6:8">
      <c r="H13678" t="s">
        <v>20454</v>
      </c>
    </row>
    <row r="13679" spans="6:8">
      <c r="H13679" t="s">
        <v>19349</v>
      </c>
    </row>
    <row r="13680" spans="6:8">
      <c r="H13680" t="s">
        <v>20209</v>
      </c>
    </row>
    <row r="13681" spans="6:8">
      <c r="F13681" t="s">
        <v>12157</v>
      </c>
      <c r="G13681" t="s">
        <v>16398</v>
      </c>
      <c r="H13681" t="s">
        <v>21128</v>
      </c>
    </row>
    <row r="13682" spans="6:8">
      <c r="H13682" t="s">
        <v>18829</v>
      </c>
    </row>
    <row r="13683" spans="6:8">
      <c r="H13683" t="s">
        <v>18863</v>
      </c>
    </row>
    <row r="13684" spans="6:8">
      <c r="H13684" t="s">
        <v>20454</v>
      </c>
    </row>
    <row r="13685" spans="6:8">
      <c r="H13685" t="s">
        <v>19349</v>
      </c>
    </row>
    <row r="13686" spans="6:8">
      <c r="H13686" t="s">
        <v>20209</v>
      </c>
    </row>
    <row r="13687" spans="6:8">
      <c r="F13687" t="s">
        <v>12158</v>
      </c>
      <c r="G13687" t="s">
        <v>16399</v>
      </c>
      <c r="H13687" t="s">
        <v>21129</v>
      </c>
    </row>
    <row r="13688" spans="6:8">
      <c r="H13688" t="s">
        <v>18829</v>
      </c>
    </row>
    <row r="13689" spans="6:8">
      <c r="H13689" t="s">
        <v>18863</v>
      </c>
    </row>
    <row r="13690" spans="6:8">
      <c r="H13690" t="s">
        <v>20454</v>
      </c>
    </row>
    <row r="13691" spans="6:8">
      <c r="H13691" t="s">
        <v>19349</v>
      </c>
    </row>
    <row r="13692" spans="6:8">
      <c r="H13692" t="s">
        <v>20209</v>
      </c>
    </row>
    <row r="13693" spans="6:8">
      <c r="F13693" t="s">
        <v>12159</v>
      </c>
      <c r="G13693" t="s">
        <v>16400</v>
      </c>
      <c r="H13693" t="s">
        <v>21130</v>
      </c>
    </row>
    <row r="13694" spans="6:8">
      <c r="H13694" t="s">
        <v>18829</v>
      </c>
    </row>
    <row r="13695" spans="6:8">
      <c r="H13695" t="s">
        <v>18863</v>
      </c>
    </row>
    <row r="13696" spans="6:8">
      <c r="H13696" t="s">
        <v>20454</v>
      </c>
    </row>
    <row r="13697" spans="6:8">
      <c r="H13697" t="s">
        <v>19349</v>
      </c>
    </row>
    <row r="13698" spans="6:8">
      <c r="H13698" t="s">
        <v>20209</v>
      </c>
    </row>
    <row r="13699" spans="6:8">
      <c r="F13699" t="s">
        <v>12160</v>
      </c>
      <c r="G13699" t="s">
        <v>16401</v>
      </c>
      <c r="H13699" t="s">
        <v>21131</v>
      </c>
    </row>
    <row r="13700" spans="6:8">
      <c r="H13700" t="s">
        <v>18829</v>
      </c>
    </row>
    <row r="13701" spans="6:8">
      <c r="H13701" t="s">
        <v>18863</v>
      </c>
    </row>
    <row r="13702" spans="6:8">
      <c r="H13702" t="s">
        <v>20454</v>
      </c>
    </row>
    <row r="13703" spans="6:8">
      <c r="H13703" t="s">
        <v>19349</v>
      </c>
    </row>
    <row r="13704" spans="6:8">
      <c r="H13704" t="s">
        <v>20209</v>
      </c>
    </row>
    <row r="13705" spans="6:8">
      <c r="F13705" t="s">
        <v>12161</v>
      </c>
      <c r="G13705" t="s">
        <v>16402</v>
      </c>
      <c r="H13705" t="s">
        <v>21132</v>
      </c>
    </row>
    <row r="13706" spans="6:8">
      <c r="H13706" t="s">
        <v>18829</v>
      </c>
    </row>
    <row r="13707" spans="6:8">
      <c r="H13707" t="s">
        <v>18863</v>
      </c>
    </row>
    <row r="13708" spans="6:8">
      <c r="H13708" t="s">
        <v>20454</v>
      </c>
    </row>
    <row r="13709" spans="6:8">
      <c r="H13709" t="s">
        <v>19349</v>
      </c>
    </row>
    <row r="13710" spans="6:8">
      <c r="H13710" t="s">
        <v>20209</v>
      </c>
    </row>
    <row r="13711" spans="6:8">
      <c r="F13711" t="s">
        <v>12162</v>
      </c>
      <c r="G13711" t="s">
        <v>16403</v>
      </c>
      <c r="H13711" t="s">
        <v>21133</v>
      </c>
    </row>
    <row r="13712" spans="6:8">
      <c r="H13712" t="s">
        <v>18829</v>
      </c>
    </row>
    <row r="13713" spans="1:8">
      <c r="H13713" t="s">
        <v>18863</v>
      </c>
    </row>
    <row r="13714" spans="1:8">
      <c r="H13714" t="s">
        <v>20454</v>
      </c>
    </row>
    <row r="13715" spans="1:8">
      <c r="H13715" t="s">
        <v>19349</v>
      </c>
    </row>
    <row r="13716" spans="1:8">
      <c r="H13716" t="s">
        <v>20209</v>
      </c>
    </row>
    <row r="13717" spans="1:8">
      <c r="F13717" t="s">
        <v>12163</v>
      </c>
      <c r="G13717" t="s">
        <v>16404</v>
      </c>
      <c r="H13717" t="s">
        <v>21134</v>
      </c>
    </row>
    <row r="13718" spans="1:8">
      <c r="H13718" t="s">
        <v>18829</v>
      </c>
    </row>
    <row r="13719" spans="1:8">
      <c r="H13719" t="s">
        <v>18863</v>
      </c>
    </row>
    <row r="13720" spans="1:8">
      <c r="H13720" t="s">
        <v>20454</v>
      </c>
    </row>
    <row r="13721" spans="1:8">
      <c r="H13721" t="s">
        <v>19349</v>
      </c>
    </row>
    <row r="13722" spans="1:8">
      <c r="H13722" t="s">
        <v>20209</v>
      </c>
    </row>
    <row r="13723" spans="1:8">
      <c r="A13723" t="s">
        <v>385</v>
      </c>
      <c r="B13723">
        <f>HYPERLINK("https://android.googlesource.com/platform/cts/+/4e6d45f82b77da6b36998ddf51d628753867d137", "4e6d45f82b77da6b36998ddf51d628753867d137")</f>
        <v>0</v>
      </c>
      <c r="C13723">
        <f>HYPERLINK("https://android.googlesource.com/platform/cts/+/a0296d64c0c18e1a892d0ef770830624a8af0411", "a0296d64c0c18e1a892d0ef770830624a8af0411")</f>
        <v>0</v>
      </c>
      <c r="D13723" t="s">
        <v>4973</v>
      </c>
      <c r="E13723" t="s">
        <v>6179</v>
      </c>
      <c r="F13723" t="s">
        <v>11454</v>
      </c>
      <c r="G13723" t="s">
        <v>15694</v>
      </c>
      <c r="H13723" t="s">
        <v>21135</v>
      </c>
    </row>
    <row r="13724" spans="1:8">
      <c r="A13724" t="s">
        <v>386</v>
      </c>
      <c r="B13724">
        <f>HYPERLINK("https://android.googlesource.com/platform/cts/+/249fe05dbee3fcf67a1fcbb6c5371f833c606450", "249fe05dbee3fcf67a1fcbb6c5371f833c606450")</f>
        <v>0</v>
      </c>
      <c r="C13724">
        <f>HYPERLINK("https://android.googlesource.com/platform/cts/+/355ac7ba6634755553f607c6cce0fb623bea5519", "355ac7ba6634755553f607c6cce0fb623bea5519")</f>
        <v>0</v>
      </c>
      <c r="D13724" t="s">
        <v>4987</v>
      </c>
      <c r="E13724" t="s">
        <v>6180</v>
      </c>
      <c r="F13724" t="s">
        <v>10721</v>
      </c>
      <c r="G13724" t="s">
        <v>15120</v>
      </c>
      <c r="H13724" t="s">
        <v>21136</v>
      </c>
    </row>
    <row r="13725" spans="1:8">
      <c r="H13725" t="s">
        <v>18829</v>
      </c>
    </row>
    <row r="13726" spans="1:8">
      <c r="H13726" t="s">
        <v>18863</v>
      </c>
    </row>
    <row r="13727" spans="1:8">
      <c r="H13727" t="s">
        <v>21137</v>
      </c>
    </row>
    <row r="13728" spans="1:8">
      <c r="H13728" t="s">
        <v>21138</v>
      </c>
    </row>
    <row r="13729" spans="1:8">
      <c r="H13729" t="s">
        <v>21139</v>
      </c>
    </row>
    <row r="13730" spans="1:8">
      <c r="H13730" t="s">
        <v>19213</v>
      </c>
    </row>
    <row r="13731" spans="1:8">
      <c r="F13731" t="s">
        <v>11190</v>
      </c>
      <c r="G13731" t="s">
        <v>15579</v>
      </c>
      <c r="H13731" t="s">
        <v>21140</v>
      </c>
    </row>
    <row r="13732" spans="1:8">
      <c r="H13732" t="s">
        <v>18829</v>
      </c>
    </row>
    <row r="13733" spans="1:8">
      <c r="H13733" t="s">
        <v>18863</v>
      </c>
    </row>
    <row r="13734" spans="1:8">
      <c r="H13734" t="s">
        <v>21141</v>
      </c>
    </row>
    <row r="13735" spans="1:8">
      <c r="F13735" t="s">
        <v>10687</v>
      </c>
      <c r="G13735" t="s">
        <v>15087</v>
      </c>
      <c r="H13735" t="s">
        <v>21142</v>
      </c>
    </row>
    <row r="13736" spans="1:8">
      <c r="A13736" t="s">
        <v>387</v>
      </c>
      <c r="B13736">
        <f>HYPERLINK("https://android.googlesource.com/platform/cts/+/b1677ec3ffc62cc9ca67e57ce0eeefdd63d20c5d", "b1677ec3ffc62cc9ca67e57ce0eeefdd63d20c5d")</f>
        <v>0</v>
      </c>
      <c r="C13736">
        <f>HYPERLINK("https://android.googlesource.com/platform/cts/+/d747becc7c644563f8003a78ffb3442dc61f672b", "d747becc7c644563f8003a78ffb3442dc61f672b")</f>
        <v>0</v>
      </c>
      <c r="D13736" t="s">
        <v>4973</v>
      </c>
      <c r="E13736" t="s">
        <v>6181</v>
      </c>
      <c r="F13736" t="s">
        <v>12164</v>
      </c>
      <c r="G13736" t="s">
        <v>16405</v>
      </c>
      <c r="H13736" t="s">
        <v>21143</v>
      </c>
    </row>
    <row r="13737" spans="1:8">
      <c r="H13737" t="s">
        <v>21144</v>
      </c>
    </row>
    <row r="13738" spans="1:8">
      <c r="H13738" t="s">
        <v>21145</v>
      </c>
    </row>
    <row r="13739" spans="1:8">
      <c r="H13739" t="s">
        <v>21146</v>
      </c>
    </row>
    <row r="13740" spans="1:8">
      <c r="H13740" t="s">
        <v>21147</v>
      </c>
    </row>
    <row r="13741" spans="1:8">
      <c r="H13741" t="s">
        <v>21148</v>
      </c>
    </row>
    <row r="13742" spans="1:8">
      <c r="H13742" t="s">
        <v>21149</v>
      </c>
    </row>
    <row r="13743" spans="1:8">
      <c r="A13743" t="s">
        <v>388</v>
      </c>
      <c r="B13743">
        <f>HYPERLINK("https://android.googlesource.com/platform/cts/+/24428b818f44db5a242b3858bb97a15becad2318", "24428b818f44db5a242b3858bb97a15becad2318")</f>
        <v>0</v>
      </c>
      <c r="C13743">
        <f>HYPERLINK("https://android.googlesource.com/platform/cts/+/640916170fd94f52afc42e116f5086165136785d", "640916170fd94f52afc42e116f5086165136785d")</f>
        <v>0</v>
      </c>
      <c r="D13743" t="s">
        <v>4973</v>
      </c>
      <c r="E13743" t="s">
        <v>6182</v>
      </c>
      <c r="F13743" t="s">
        <v>11454</v>
      </c>
      <c r="G13743" t="s">
        <v>15694</v>
      </c>
      <c r="H13743" t="s">
        <v>21150</v>
      </c>
    </row>
    <row r="13744" spans="1:8">
      <c r="A13744" t="s">
        <v>389</v>
      </c>
      <c r="B13744">
        <f>HYPERLINK("https://android.googlesource.com/platform/cts/+/70d002367c94dae15fe19029f5f8dc13ed5054c0", "70d002367c94dae15fe19029f5f8dc13ed5054c0")</f>
        <v>0</v>
      </c>
      <c r="C13744">
        <f>HYPERLINK("https://android.googlesource.com/platform/cts/+/bdbb8113ca5973ab7c8ea0433a2bd877d15b6d23", "bdbb8113ca5973ab7c8ea0433a2bd877d15b6d23")</f>
        <v>0</v>
      </c>
      <c r="D13744" t="s">
        <v>4973</v>
      </c>
      <c r="E13744" t="s">
        <v>6183</v>
      </c>
      <c r="F13744" t="s">
        <v>12165</v>
      </c>
      <c r="G13744" t="s">
        <v>15676</v>
      </c>
      <c r="H13744" t="s">
        <v>20298</v>
      </c>
    </row>
    <row r="13745" spans="1:8">
      <c r="H13745" t="s">
        <v>20299</v>
      </c>
    </row>
    <row r="13746" spans="1:8">
      <c r="H13746" t="s">
        <v>20300</v>
      </c>
    </row>
    <row r="13747" spans="1:8">
      <c r="H13747" t="s">
        <v>20301</v>
      </c>
    </row>
    <row r="13748" spans="1:8">
      <c r="H13748" t="s">
        <v>20302</v>
      </c>
    </row>
    <row r="13749" spans="1:8">
      <c r="H13749" t="s">
        <v>20303</v>
      </c>
    </row>
    <row r="13750" spans="1:8">
      <c r="A13750" t="s">
        <v>390</v>
      </c>
      <c r="B13750">
        <f>HYPERLINK("https://android.googlesource.com/platform/cts/+/0ed72c72490f37a7d31643b459300e67fd3a5a1b", "0ed72c72490f37a7d31643b459300e67fd3a5a1b")</f>
        <v>0</v>
      </c>
      <c r="C13750">
        <f>HYPERLINK("https://android.googlesource.com/platform/cts/+/eec74668cf14293cd66968b73146cf4471fdfe47", "eec74668cf14293cd66968b73146cf4471fdfe47")</f>
        <v>0</v>
      </c>
      <c r="D13750" t="s">
        <v>4973</v>
      </c>
      <c r="E13750" t="s">
        <v>6184</v>
      </c>
      <c r="F13750" t="s">
        <v>11454</v>
      </c>
      <c r="G13750" t="s">
        <v>15694</v>
      </c>
      <c r="H13750" t="s">
        <v>21151</v>
      </c>
    </row>
    <row r="13751" spans="1:8">
      <c r="H13751" t="s">
        <v>21152</v>
      </c>
    </row>
    <row r="13752" spans="1:8">
      <c r="H13752" t="s">
        <v>21153</v>
      </c>
    </row>
    <row r="13753" spans="1:8">
      <c r="F13753" t="s">
        <v>11455</v>
      </c>
      <c r="G13753" t="s">
        <v>15695</v>
      </c>
      <c r="H13753" t="s">
        <v>21152</v>
      </c>
    </row>
    <row r="13754" spans="1:8">
      <c r="H13754" t="s">
        <v>21153</v>
      </c>
    </row>
    <row r="13755" spans="1:8">
      <c r="A13755" t="s">
        <v>391</v>
      </c>
      <c r="B13755">
        <f>HYPERLINK("https://android.googlesource.com/platform/cts/+/429cd4e77a27b07df65b3930bc19663ecdab1815", "429cd4e77a27b07df65b3930bc19663ecdab1815")</f>
        <v>0</v>
      </c>
      <c r="C13755">
        <f>HYPERLINK("https://android.googlesource.com/platform/cts/+/a0030efc8d69f281189d9dcae4e235883002f8f7", "a0030efc8d69f281189d9dcae4e235883002f8f7")</f>
        <v>0</v>
      </c>
      <c r="D13755" t="s">
        <v>4981</v>
      </c>
      <c r="E13755" t="s">
        <v>6185</v>
      </c>
      <c r="F13755" t="s">
        <v>12166</v>
      </c>
      <c r="G13755" t="s">
        <v>16406</v>
      </c>
      <c r="H13755" t="s">
        <v>21154</v>
      </c>
    </row>
    <row r="13756" spans="1:8">
      <c r="H13756" t="s">
        <v>21155</v>
      </c>
    </row>
    <row r="13757" spans="1:8">
      <c r="A13757" t="s">
        <v>392</v>
      </c>
      <c r="B13757">
        <f>HYPERLINK("https://android.googlesource.com/platform/cts/+/ade195341f22c03b3a1b2f29729bcb3dbca8710a", "ade195341f22c03b3a1b2f29729bcb3dbca8710a")</f>
        <v>0</v>
      </c>
      <c r="C13757">
        <f>HYPERLINK("https://android.googlesource.com/platform/cts/+/8d13f3f8cbf991832117a68053905df1659d71e0", "8d13f3f8cbf991832117a68053905df1659d71e0")</f>
        <v>0</v>
      </c>
      <c r="D13757" t="s">
        <v>4980</v>
      </c>
      <c r="E13757" t="s">
        <v>6186</v>
      </c>
      <c r="F13757" t="s">
        <v>10750</v>
      </c>
      <c r="G13757" t="s">
        <v>15148</v>
      </c>
      <c r="H13757" t="s">
        <v>21156</v>
      </c>
    </row>
    <row r="13758" spans="1:8">
      <c r="H13758" t="s">
        <v>21157</v>
      </c>
    </row>
    <row r="13759" spans="1:8">
      <c r="A13759" t="s">
        <v>393</v>
      </c>
      <c r="B13759">
        <f>HYPERLINK("https://android.googlesource.com/platform/cts/+/2e8627ac963a680c941f8147dca784a8d58a9b35", "2e8627ac963a680c941f8147dca784a8d58a9b35")</f>
        <v>0</v>
      </c>
      <c r="C13759">
        <f>HYPERLINK("https://android.googlesource.com/platform/cts/+/72ebb23ef0dd074e1852bc4e9d4ff75c59787b1f", "72ebb23ef0dd074e1852bc4e9d4ff75c59787b1f")</f>
        <v>0</v>
      </c>
      <c r="D13759" t="s">
        <v>4957</v>
      </c>
      <c r="E13759" t="s">
        <v>6187</v>
      </c>
      <c r="F13759" t="s">
        <v>12167</v>
      </c>
      <c r="G13759" t="s">
        <v>16407</v>
      </c>
      <c r="H13759" t="s">
        <v>21158</v>
      </c>
    </row>
    <row r="13760" spans="1:8">
      <c r="H13760" t="s">
        <v>21159</v>
      </c>
    </row>
    <row r="13761" spans="1:8">
      <c r="H13761" t="s">
        <v>21160</v>
      </c>
    </row>
    <row r="13762" spans="1:8">
      <c r="A13762" t="s">
        <v>394</v>
      </c>
      <c r="B13762">
        <f>HYPERLINK("https://android.googlesource.com/platform/cts/+/8cb5b6bbeeb0b59cd9a6cd3bf8c6161a22e7eae3", "8cb5b6bbeeb0b59cd9a6cd3bf8c6161a22e7eae3")</f>
        <v>0</v>
      </c>
      <c r="C13762">
        <f>HYPERLINK("https://android.googlesource.com/platform/cts/+/2a89c1e45aab107823c5b0f59f7ea21b36fcbe5e", "2a89c1e45aab107823c5b0f59f7ea21b36fcbe5e")</f>
        <v>0</v>
      </c>
      <c r="D13762" t="s">
        <v>4981</v>
      </c>
      <c r="E13762" t="s">
        <v>6188</v>
      </c>
      <c r="F13762" t="s">
        <v>12168</v>
      </c>
      <c r="G13762" t="s">
        <v>16408</v>
      </c>
      <c r="H13762" t="s">
        <v>21161</v>
      </c>
    </row>
    <row r="13763" spans="1:8">
      <c r="A13763" t="s">
        <v>395</v>
      </c>
      <c r="B13763">
        <f>HYPERLINK("https://android.googlesource.com/platform/cts/+/3fb1b91245e49887eec95f0daaaeef42766fc10b", "3fb1b91245e49887eec95f0daaaeef42766fc10b")</f>
        <v>0</v>
      </c>
      <c r="C13763">
        <f>HYPERLINK("https://android.googlesource.com/platform/cts/+/1060c8d576edb86f9df1f3f3ec178a0a0100c1e6", "1060c8d576edb86f9df1f3f3ec178a0a0100c1e6")</f>
        <v>0</v>
      </c>
      <c r="D13763" t="s">
        <v>4980</v>
      </c>
      <c r="E13763" t="s">
        <v>6189</v>
      </c>
      <c r="F13763" t="s">
        <v>12169</v>
      </c>
      <c r="G13763" t="s">
        <v>16409</v>
      </c>
      <c r="H13763" t="s">
        <v>21162</v>
      </c>
    </row>
    <row r="13764" spans="1:8">
      <c r="A13764" t="s">
        <v>396</v>
      </c>
      <c r="B13764">
        <f>HYPERLINK("https://android.googlesource.com/platform/cts/+/7e0ac86763565fa9d1d287932302f3e70064bc29", "7e0ac86763565fa9d1d287932302f3e70064bc29")</f>
        <v>0</v>
      </c>
      <c r="C13764">
        <f>HYPERLINK("https://android.googlesource.com/platform/cts/+/a33c105bb8396eac924e1c662ba1704ac40566e9", "a33c105bb8396eac924e1c662ba1704ac40566e9")</f>
        <v>0</v>
      </c>
      <c r="D13764" t="s">
        <v>4980</v>
      </c>
      <c r="E13764" t="s">
        <v>6190</v>
      </c>
      <c r="F13764" t="s">
        <v>10687</v>
      </c>
      <c r="G13764" t="s">
        <v>15087</v>
      </c>
      <c r="H13764" t="s">
        <v>21163</v>
      </c>
    </row>
    <row r="13765" spans="1:8">
      <c r="A13765" t="s">
        <v>397</v>
      </c>
      <c r="B13765">
        <f>HYPERLINK("https://android.googlesource.com/platform/cts/+/a8e522fe17e748294bcc5fe7bd69572ca3a417be", "a8e522fe17e748294bcc5fe7bd69572ca3a417be")</f>
        <v>0</v>
      </c>
      <c r="C13765">
        <f>HYPERLINK("https://android.googlesource.com/platform/cts/+/1824b0936b345c41e63200900cf2defa9440c0bf", "1824b0936b345c41e63200900cf2defa9440c0bf")</f>
        <v>0</v>
      </c>
      <c r="D13765" t="s">
        <v>4988</v>
      </c>
      <c r="E13765" t="s">
        <v>6191</v>
      </c>
      <c r="F13765" t="s">
        <v>12170</v>
      </c>
      <c r="G13765" t="s">
        <v>16410</v>
      </c>
      <c r="H13765" t="s">
        <v>21164</v>
      </c>
    </row>
    <row r="13766" spans="1:8">
      <c r="A13766" t="s">
        <v>398</v>
      </c>
      <c r="B13766">
        <f>HYPERLINK("https://android.googlesource.com/platform/cts/+/37eaaa0ac1ead9561a6af2a1cc5106efee5a0855", "37eaaa0ac1ead9561a6af2a1cc5106efee5a0855")</f>
        <v>0</v>
      </c>
      <c r="C13766">
        <f>HYPERLINK("https://android.googlesource.com/platform/cts/+/ce692966d5e59fe10027cbcd0298c91d4754cd63", "ce692966d5e59fe10027cbcd0298c91d4754cd63")</f>
        <v>0</v>
      </c>
      <c r="D13766" t="s">
        <v>4989</v>
      </c>
      <c r="E13766" t="s">
        <v>6192</v>
      </c>
      <c r="F13766" t="s">
        <v>12171</v>
      </c>
      <c r="G13766" t="s">
        <v>15008</v>
      </c>
      <c r="H13766" t="s">
        <v>21165</v>
      </c>
    </row>
    <row r="13767" spans="1:8">
      <c r="H13767" t="s">
        <v>21166</v>
      </c>
    </row>
    <row r="13768" spans="1:8">
      <c r="A13768" t="s">
        <v>399</v>
      </c>
      <c r="B13768">
        <f>HYPERLINK("https://android.googlesource.com/platform/cts/+/abd7f62560b53c40bc22f3a19630fe9b1dae95d2", "abd7f62560b53c40bc22f3a19630fe9b1dae95d2")</f>
        <v>0</v>
      </c>
      <c r="C13768">
        <f>HYPERLINK("https://android.googlesource.com/platform/cts/+/54ea8079237becd99105093d1daf70f04d12bd24", "54ea8079237becd99105093d1daf70f04d12bd24")</f>
        <v>0</v>
      </c>
      <c r="D13768" t="s">
        <v>4980</v>
      </c>
      <c r="E13768" t="s">
        <v>6193</v>
      </c>
      <c r="F13768" t="s">
        <v>10687</v>
      </c>
      <c r="G13768" t="s">
        <v>15087</v>
      </c>
      <c r="H13768" t="s">
        <v>21167</v>
      </c>
    </row>
    <row r="13769" spans="1:8">
      <c r="A13769" t="s">
        <v>400</v>
      </c>
      <c r="B13769">
        <f>HYPERLINK("https://android.googlesource.com/platform/cts/+/697f564baecbbf8d36cfb6897ebaf40ef7bc31b7", "697f564baecbbf8d36cfb6897ebaf40ef7bc31b7")</f>
        <v>0</v>
      </c>
      <c r="C13769">
        <f>HYPERLINK("https://android.googlesource.com/platform/cts/+/ce692966d5e59fe10027cbcd0298c91d4754cd63", "ce692966d5e59fe10027cbcd0298c91d4754cd63")</f>
        <v>0</v>
      </c>
      <c r="D13769" t="s">
        <v>4973</v>
      </c>
      <c r="E13769" t="s">
        <v>6194</v>
      </c>
      <c r="F13769" t="s">
        <v>12172</v>
      </c>
      <c r="G13769" t="s">
        <v>16411</v>
      </c>
      <c r="H13769" t="s">
        <v>21168</v>
      </c>
    </row>
    <row r="13770" spans="1:8">
      <c r="A13770" t="s">
        <v>401</v>
      </c>
      <c r="B13770">
        <f>HYPERLINK("https://android.googlesource.com/platform/cts/+/f1a472051e8c56ff7b2a017129b405be6e184b20", "f1a472051e8c56ff7b2a017129b405be6e184b20")</f>
        <v>0</v>
      </c>
      <c r="C13770">
        <f>HYPERLINK("https://android.googlesource.com/platform/cts/+/5ed832af05ab5f61ae45206ca1ac589f2ba7903b", "5ed832af05ab5f61ae45206ca1ac589f2ba7903b")</f>
        <v>0</v>
      </c>
      <c r="D13770" t="s">
        <v>4973</v>
      </c>
      <c r="E13770" t="s">
        <v>6195</v>
      </c>
      <c r="F13770" t="s">
        <v>11477</v>
      </c>
      <c r="G13770" t="s">
        <v>15717</v>
      </c>
      <c r="H13770" t="s">
        <v>20440</v>
      </c>
    </row>
    <row r="13771" spans="1:8">
      <c r="H13771" t="s">
        <v>20441</v>
      </c>
    </row>
    <row r="13772" spans="1:8">
      <c r="A13772" t="s">
        <v>402</v>
      </c>
      <c r="B13772">
        <f>HYPERLINK("https://android.googlesource.com/platform/cts/+/7993485b87a11657654a50e45be81cbeccd2f009", "7993485b87a11657654a50e45be81cbeccd2f009")</f>
        <v>0</v>
      </c>
      <c r="C13772">
        <f>HYPERLINK("https://android.googlesource.com/platform/cts/+/c7081bdb42feeea7c1cff5d023ac97f350a13903", "c7081bdb42feeea7c1cff5d023ac97f350a13903")</f>
        <v>0</v>
      </c>
      <c r="D13772" t="s">
        <v>4952</v>
      </c>
      <c r="E13772" t="s">
        <v>6196</v>
      </c>
      <c r="F13772" t="s">
        <v>12173</v>
      </c>
      <c r="G13772" t="s">
        <v>16412</v>
      </c>
      <c r="H13772" t="s">
        <v>21169</v>
      </c>
    </row>
    <row r="13773" spans="1:8">
      <c r="A13773" t="s">
        <v>403</v>
      </c>
      <c r="B13773">
        <f>HYPERLINK("https://android.googlesource.com/platform/cts/+/40a2d7e16acfe7180bbef0a4f3f7694d5008ea4f", "40a2d7e16acfe7180bbef0a4f3f7694d5008ea4f")</f>
        <v>0</v>
      </c>
      <c r="C13773">
        <f>HYPERLINK("https://android.googlesource.com/platform/cts/+/1922bf5e3d9fa47134747fcf28734e21cbe3ead4", "1922bf5e3d9fa47134747fcf28734e21cbe3ead4")</f>
        <v>0</v>
      </c>
      <c r="D13773" t="s">
        <v>4952</v>
      </c>
      <c r="E13773" t="s">
        <v>6197</v>
      </c>
      <c r="F13773" t="s">
        <v>12173</v>
      </c>
      <c r="G13773" t="s">
        <v>16412</v>
      </c>
      <c r="H13773" t="s">
        <v>21169</v>
      </c>
    </row>
    <row r="13774" spans="1:8">
      <c r="A13774" t="s">
        <v>404</v>
      </c>
      <c r="B13774">
        <f>HYPERLINK("https://android.googlesource.com/platform/cts/+/8f84783fb17b87f36473982b67bdc1a09c6997a7", "8f84783fb17b87f36473982b67bdc1a09c6997a7")</f>
        <v>0</v>
      </c>
      <c r="C13774">
        <f>HYPERLINK("https://android.googlesource.com/platform/cts/+/94d26b0c4352ae9b0c3f8d85df55c7ed20fb9f41", "94d26b0c4352ae9b0c3f8d85df55c7ed20fb9f41")</f>
        <v>0</v>
      </c>
      <c r="D13774" t="s">
        <v>4952</v>
      </c>
      <c r="E13774" t="s">
        <v>6198</v>
      </c>
      <c r="F13774" t="s">
        <v>12174</v>
      </c>
      <c r="G13774" t="s">
        <v>16413</v>
      </c>
      <c r="H13774" t="s">
        <v>21170</v>
      </c>
    </row>
    <row r="13775" spans="1:8">
      <c r="A13775" t="s">
        <v>405</v>
      </c>
      <c r="B13775">
        <f>HYPERLINK("https://android.googlesource.com/platform/cts/+/7432633be5569b9cd08480468e716d35baf7ecfc", "7432633be5569b9cd08480468e716d35baf7ecfc")</f>
        <v>0</v>
      </c>
      <c r="C13775">
        <f>HYPERLINK("https://android.googlesource.com/platform/cts/+/1922bf5e3d9fa47134747fcf28734e21cbe3ead4", "1922bf5e3d9fa47134747fcf28734e21cbe3ead4")</f>
        <v>0</v>
      </c>
      <c r="D13775" t="s">
        <v>4990</v>
      </c>
      <c r="E13775" t="s">
        <v>6199</v>
      </c>
      <c r="F13775" t="s">
        <v>12175</v>
      </c>
      <c r="G13775" t="s">
        <v>16414</v>
      </c>
      <c r="H13775" t="s">
        <v>21171</v>
      </c>
    </row>
    <row r="13776" spans="1:8">
      <c r="A13776" t="s">
        <v>406</v>
      </c>
      <c r="B13776">
        <f>HYPERLINK("https://android.googlesource.com/platform/cts/+/454631c5c6e4ee54ae67193c045b52463f7438e1", "454631c5c6e4ee54ae67193c045b52463f7438e1")</f>
        <v>0</v>
      </c>
      <c r="C13776">
        <f>HYPERLINK("https://android.googlesource.com/platform/cts/+/df312ed807e97e83aaf6bbd407d2a6480bcc0958", "df312ed807e97e83aaf6bbd407d2a6480bcc0958")</f>
        <v>0</v>
      </c>
      <c r="D13776" t="s">
        <v>4990</v>
      </c>
      <c r="E13776" t="s">
        <v>6200</v>
      </c>
      <c r="F13776" t="s">
        <v>12175</v>
      </c>
      <c r="G13776" t="s">
        <v>16414</v>
      </c>
      <c r="H13776" t="s">
        <v>21172</v>
      </c>
    </row>
    <row r="13777" spans="1:8">
      <c r="A13777" t="s">
        <v>407</v>
      </c>
      <c r="B13777">
        <f>HYPERLINK("https://android.googlesource.com/platform/cts/+/0235daf4e9e397fe2152b469530dc16ad86fbc3b", "0235daf4e9e397fe2152b469530dc16ad86fbc3b")</f>
        <v>0</v>
      </c>
      <c r="C13777">
        <f>HYPERLINK("https://android.googlesource.com/platform/cts/+/67beea30c970c2f3e07e1ef4ce12b70a66b6d7ed", "67beea30c970c2f3e07e1ef4ce12b70a66b6d7ed")</f>
        <v>0</v>
      </c>
      <c r="D13777" t="s">
        <v>4991</v>
      </c>
      <c r="E13777" t="s">
        <v>6201</v>
      </c>
      <c r="F13777" t="s">
        <v>11193</v>
      </c>
      <c r="G13777" t="s">
        <v>15582</v>
      </c>
      <c r="H13777" t="s">
        <v>21173</v>
      </c>
    </row>
    <row r="13778" spans="1:8">
      <c r="A13778" t="s">
        <v>408</v>
      </c>
      <c r="B13778">
        <f>HYPERLINK("https://android.googlesource.com/platform/cts/+/ec84c91ca2110ef00727f7dd24a8b0e02859c4fb", "ec84c91ca2110ef00727f7dd24a8b0e02859c4fb")</f>
        <v>0</v>
      </c>
      <c r="C13778">
        <f>HYPERLINK("https://android.googlesource.com/platform/cts/+/0d1f079da8d61874cbdb5418d933707a19125d4f", "0d1f079da8d61874cbdb5418d933707a19125d4f")</f>
        <v>0</v>
      </c>
      <c r="D13778" t="s">
        <v>4974</v>
      </c>
      <c r="E13778" t="s">
        <v>6202</v>
      </c>
      <c r="F13778" t="s">
        <v>12176</v>
      </c>
      <c r="G13778" t="s">
        <v>16415</v>
      </c>
      <c r="H13778" t="s">
        <v>19034</v>
      </c>
    </row>
    <row r="13779" spans="1:8">
      <c r="A13779" t="s">
        <v>409</v>
      </c>
      <c r="B13779">
        <f>HYPERLINK("https://android.googlesource.com/platform/cts/+/ed0cd10b3b1a78b7c146c3457f0e5d254af5e32f", "ed0cd10b3b1a78b7c146c3457f0e5d254af5e32f")</f>
        <v>0</v>
      </c>
      <c r="C13779">
        <f>HYPERLINK("https://android.googlesource.com/platform/cts/+/35936e7b7c30cc3755311cfd93e46e5d81c4c670", "35936e7b7c30cc3755311cfd93e46e5d81c4c670")</f>
        <v>0</v>
      </c>
      <c r="D13779" t="s">
        <v>4984</v>
      </c>
      <c r="E13779" t="s">
        <v>6203</v>
      </c>
      <c r="F13779" t="s">
        <v>11192</v>
      </c>
      <c r="G13779" t="s">
        <v>15581</v>
      </c>
      <c r="H13779" t="s">
        <v>21174</v>
      </c>
    </row>
    <row r="13780" spans="1:8">
      <c r="H13780" t="s">
        <v>21175</v>
      </c>
    </row>
    <row r="13781" spans="1:8">
      <c r="A13781" t="s">
        <v>410</v>
      </c>
      <c r="B13781">
        <f>HYPERLINK("https://android.googlesource.com/platform/cts/+/a7212deb6ccbfc5705a19fb1beebbf061fc3a007", "a7212deb6ccbfc5705a19fb1beebbf061fc3a007")</f>
        <v>0</v>
      </c>
      <c r="C13781">
        <f>HYPERLINK("https://android.googlesource.com/platform/cts/+/4f0d3b9d18388d010f15dd0bf0b0596886ff5c1e", "4f0d3b9d18388d010f15dd0bf0b0596886ff5c1e")</f>
        <v>0</v>
      </c>
      <c r="D13781" t="s">
        <v>4976</v>
      </c>
      <c r="E13781" t="s">
        <v>6204</v>
      </c>
      <c r="F13781" t="s">
        <v>11193</v>
      </c>
      <c r="G13781" t="s">
        <v>15582</v>
      </c>
      <c r="H13781" t="s">
        <v>21176</v>
      </c>
    </row>
    <row r="13782" spans="1:8">
      <c r="A13782" t="s">
        <v>411</v>
      </c>
      <c r="B13782">
        <f>HYPERLINK("https://android.googlesource.com/platform/cts/+/a15f67ae7c0361db2c4fc8bdf7b27cf9cb32a312", "a15f67ae7c0361db2c4fc8bdf7b27cf9cb32a312")</f>
        <v>0</v>
      </c>
      <c r="C13782">
        <f>HYPERLINK("https://android.googlesource.com/platform/cts/+/4f0d3b9d18388d010f15dd0bf0b0596886ff5c1e", "4f0d3b9d18388d010f15dd0bf0b0596886ff5c1e")</f>
        <v>0</v>
      </c>
      <c r="D13782" t="s">
        <v>4976</v>
      </c>
      <c r="E13782" t="s">
        <v>6205</v>
      </c>
      <c r="F13782" t="s">
        <v>11193</v>
      </c>
      <c r="G13782" t="s">
        <v>15582</v>
      </c>
      <c r="H13782" t="s">
        <v>21177</v>
      </c>
    </row>
    <row r="13783" spans="1:8">
      <c r="A13783" t="s">
        <v>412</v>
      </c>
      <c r="B13783">
        <f>HYPERLINK("https://android.googlesource.com/platform/cts/+/fb5798629739e3a0343f50418aec7beea3ddd6f5", "fb5798629739e3a0343f50418aec7beea3ddd6f5")</f>
        <v>0</v>
      </c>
      <c r="C13783">
        <f>HYPERLINK("https://android.googlesource.com/platform/cts/+/df45c01962a8deca614d1ec004220d975978b1c1", "df45c01962a8deca614d1ec004220d975978b1c1")</f>
        <v>0</v>
      </c>
      <c r="D13783" t="s">
        <v>4992</v>
      </c>
      <c r="E13783" t="s">
        <v>6206</v>
      </c>
      <c r="F13783" t="s">
        <v>10687</v>
      </c>
      <c r="G13783" t="s">
        <v>15087</v>
      </c>
      <c r="H13783" t="s">
        <v>21178</v>
      </c>
    </row>
    <row r="13784" spans="1:8">
      <c r="A13784" t="s">
        <v>413</v>
      </c>
      <c r="B13784">
        <f>HYPERLINK("https://android.googlesource.com/platform/cts/+/96b6e21011bee83ce54dd0aff3206847fd43a385", "96b6e21011bee83ce54dd0aff3206847fd43a385")</f>
        <v>0</v>
      </c>
      <c r="C13784">
        <f>HYPERLINK("https://android.googlesource.com/platform/cts/+/13f9624353332f4045b1bcf5dce9523e5f54c923", "13f9624353332f4045b1bcf5dce9523e5f54c923")</f>
        <v>0</v>
      </c>
      <c r="D13784" t="s">
        <v>4991</v>
      </c>
      <c r="E13784" t="s">
        <v>6207</v>
      </c>
      <c r="F13784" t="s">
        <v>11193</v>
      </c>
      <c r="G13784" t="s">
        <v>15582</v>
      </c>
      <c r="H13784" t="s">
        <v>21179</v>
      </c>
    </row>
    <row r="13785" spans="1:8">
      <c r="F13785" t="s">
        <v>10687</v>
      </c>
      <c r="G13785" t="s">
        <v>15087</v>
      </c>
      <c r="H13785" t="s">
        <v>21180</v>
      </c>
    </row>
    <row r="13786" spans="1:8">
      <c r="A13786" t="s">
        <v>414</v>
      </c>
      <c r="B13786">
        <f>HYPERLINK("https://android.googlesource.com/platform/cts/+/eef4c57eef34cd90794afb9165c071f6be6e1fcd", "eef4c57eef34cd90794afb9165c071f6be6e1fcd")</f>
        <v>0</v>
      </c>
      <c r="C13786">
        <f>HYPERLINK("https://android.googlesource.com/platform/cts/+/b2a4b59e58cce4e65c7c9347295007a735e995a7", "b2a4b59e58cce4e65c7c9347295007a735e995a7")</f>
        <v>0</v>
      </c>
      <c r="D13786" t="s">
        <v>4973</v>
      </c>
      <c r="E13786" t="s">
        <v>6208</v>
      </c>
      <c r="F13786" t="s">
        <v>12177</v>
      </c>
      <c r="G13786" t="s">
        <v>16416</v>
      </c>
      <c r="H13786" t="s">
        <v>18829</v>
      </c>
    </row>
    <row r="13787" spans="1:8">
      <c r="H13787" t="s">
        <v>18863</v>
      </c>
    </row>
    <row r="13788" spans="1:8">
      <c r="H13788" t="s">
        <v>21181</v>
      </c>
    </row>
    <row r="13789" spans="1:8">
      <c r="H13789" t="s">
        <v>21182</v>
      </c>
    </row>
    <row r="13790" spans="1:8">
      <c r="H13790" t="s">
        <v>21183</v>
      </c>
    </row>
    <row r="13791" spans="1:8">
      <c r="H13791" t="s">
        <v>21184</v>
      </c>
    </row>
    <row r="13792" spans="1:8">
      <c r="H13792" t="s">
        <v>20237</v>
      </c>
    </row>
    <row r="13793" spans="1:8">
      <c r="H13793" t="s">
        <v>19019</v>
      </c>
    </row>
    <row r="13794" spans="1:8">
      <c r="F13794" t="s">
        <v>12178</v>
      </c>
      <c r="G13794" t="s">
        <v>16417</v>
      </c>
      <c r="H13794" t="s">
        <v>20244</v>
      </c>
    </row>
    <row r="13795" spans="1:8">
      <c r="H13795" t="s">
        <v>18829</v>
      </c>
    </row>
    <row r="13796" spans="1:8">
      <c r="H13796" t="s">
        <v>18863</v>
      </c>
    </row>
    <row r="13797" spans="1:8">
      <c r="H13797" t="s">
        <v>21181</v>
      </c>
    </row>
    <row r="13798" spans="1:8">
      <c r="H13798" t="s">
        <v>21182</v>
      </c>
    </row>
    <row r="13799" spans="1:8">
      <c r="H13799" t="s">
        <v>21185</v>
      </c>
    </row>
    <row r="13800" spans="1:8">
      <c r="H13800" t="s">
        <v>21186</v>
      </c>
    </row>
    <row r="13801" spans="1:8">
      <c r="H13801" t="s">
        <v>21187</v>
      </c>
    </row>
    <row r="13802" spans="1:8">
      <c r="A13802" t="s">
        <v>415</v>
      </c>
      <c r="B13802">
        <f>HYPERLINK("https://android.googlesource.com/platform/cts/+/5a3302ab1fa404a673208b901b2b02274d211034", "5a3302ab1fa404a673208b901b2b02274d211034")</f>
        <v>0</v>
      </c>
      <c r="C13802">
        <f>HYPERLINK("https://android.googlesource.com/platform/cts/+/9e5dbc34a454643b61ff3065cc9e06860be1420c", "9e5dbc34a454643b61ff3065cc9e06860be1420c")</f>
        <v>0</v>
      </c>
      <c r="D13802" t="s">
        <v>4993</v>
      </c>
      <c r="E13802" t="s">
        <v>6209</v>
      </c>
      <c r="F13802" t="s">
        <v>12179</v>
      </c>
      <c r="G13802" t="s">
        <v>16418</v>
      </c>
      <c r="H13802" t="s">
        <v>18835</v>
      </c>
    </row>
    <row r="13803" spans="1:8">
      <c r="A13803" t="s">
        <v>416</v>
      </c>
      <c r="B13803">
        <f>HYPERLINK("https://android.googlesource.com/platform/cts/+/a4868789ce153b45e85cc1627181f57139e9a343", "a4868789ce153b45e85cc1627181f57139e9a343")</f>
        <v>0</v>
      </c>
      <c r="C13803">
        <f>HYPERLINK("https://android.googlesource.com/platform/cts/+/b04c81bfc2761b21293f9c095da38c757e570fd3", "b04c81bfc2761b21293f9c095da38c757e570fd3")</f>
        <v>0</v>
      </c>
      <c r="D13803" t="s">
        <v>4968</v>
      </c>
      <c r="E13803" t="s">
        <v>6210</v>
      </c>
      <c r="F13803" t="s">
        <v>12180</v>
      </c>
      <c r="G13803" t="s">
        <v>16419</v>
      </c>
      <c r="H13803" t="s">
        <v>21188</v>
      </c>
    </row>
    <row r="13804" spans="1:8">
      <c r="A13804" t="s">
        <v>417</v>
      </c>
      <c r="B13804">
        <f>HYPERLINK("https://android.googlesource.com/platform/cts/+/f4927387bdefd7fa465e05c02677759618ae162e", "f4927387bdefd7fa465e05c02677759618ae162e")</f>
        <v>0</v>
      </c>
      <c r="C13804">
        <f>HYPERLINK("https://android.googlesource.com/platform/cts/+/bd3a99dbc63532708241044fa22e09962e4deccd", "bd3a99dbc63532708241044fa22e09962e4deccd")</f>
        <v>0</v>
      </c>
      <c r="D13804" t="s">
        <v>4968</v>
      </c>
      <c r="E13804" t="s">
        <v>6211</v>
      </c>
      <c r="F13804" t="s">
        <v>12180</v>
      </c>
      <c r="G13804" t="s">
        <v>16419</v>
      </c>
      <c r="H13804" t="s">
        <v>21189</v>
      </c>
    </row>
    <row r="13805" spans="1:8">
      <c r="H13805" t="s">
        <v>21190</v>
      </c>
    </row>
    <row r="13806" spans="1:8">
      <c r="H13806" t="s">
        <v>20420</v>
      </c>
    </row>
    <row r="13807" spans="1:8">
      <c r="H13807" t="s">
        <v>21191</v>
      </c>
    </row>
    <row r="13808" spans="1:8">
      <c r="H13808" t="s">
        <v>21192</v>
      </c>
    </row>
    <row r="13809" spans="1:8">
      <c r="H13809" t="s">
        <v>21193</v>
      </c>
    </row>
    <row r="13810" spans="1:8">
      <c r="H13810" t="s">
        <v>21194</v>
      </c>
    </row>
    <row r="13811" spans="1:8">
      <c r="A13811" t="s">
        <v>418</v>
      </c>
      <c r="B13811">
        <f>HYPERLINK("https://android.googlesource.com/platform/cts/+/35b85b2499374e6f6514752c82bb1c2f0262090c", "35b85b2499374e6f6514752c82bb1c2f0262090c")</f>
        <v>0</v>
      </c>
      <c r="C13811">
        <f>HYPERLINK("https://android.googlesource.com/platform/cts/+/f79f408f0cb1d42fe2a8140694837a6617092c58", "f79f408f0cb1d42fe2a8140694837a6617092c58")</f>
        <v>0</v>
      </c>
      <c r="D13811" t="s">
        <v>4973</v>
      </c>
      <c r="E13811" t="s">
        <v>6212</v>
      </c>
      <c r="F13811" t="s">
        <v>12181</v>
      </c>
      <c r="G13811" t="s">
        <v>16420</v>
      </c>
      <c r="H13811" t="s">
        <v>21195</v>
      </c>
    </row>
    <row r="13812" spans="1:8">
      <c r="H13812" t="s">
        <v>21196</v>
      </c>
    </row>
    <row r="13813" spans="1:8">
      <c r="H13813" t="s">
        <v>21197</v>
      </c>
    </row>
    <row r="13814" spans="1:8">
      <c r="A13814" t="s">
        <v>419</v>
      </c>
      <c r="B13814">
        <f>HYPERLINK("https://android.googlesource.com/platform/cts/+/d0de47e2090b27c5c5615008215ea90c17aa0117", "d0de47e2090b27c5c5615008215ea90c17aa0117")</f>
        <v>0</v>
      </c>
      <c r="C13814">
        <f>HYPERLINK("https://android.googlesource.com/platform/cts/+/53cd5d0e366465d89a77f7ad871a5fe3f00f53a2", "53cd5d0e366465d89a77f7ad871a5fe3f00f53a2")</f>
        <v>0</v>
      </c>
      <c r="D13814" t="s">
        <v>4994</v>
      </c>
      <c r="E13814" t="s">
        <v>6213</v>
      </c>
      <c r="F13814" t="s">
        <v>11192</v>
      </c>
      <c r="G13814" t="s">
        <v>15581</v>
      </c>
      <c r="H13814" t="s">
        <v>21198</v>
      </c>
    </row>
    <row r="13815" spans="1:8">
      <c r="H13815" t="s">
        <v>21175</v>
      </c>
    </row>
    <row r="13816" spans="1:8">
      <c r="H13816" t="s">
        <v>21199</v>
      </c>
    </row>
    <row r="13817" spans="1:8">
      <c r="H13817" t="s">
        <v>21175</v>
      </c>
    </row>
    <row r="13818" spans="1:8">
      <c r="H13818" t="s">
        <v>21200</v>
      </c>
    </row>
    <row r="13819" spans="1:8">
      <c r="H13819" t="s">
        <v>21201</v>
      </c>
    </row>
    <row r="13820" spans="1:8">
      <c r="H13820" t="s">
        <v>21202</v>
      </c>
    </row>
    <row r="13821" spans="1:8">
      <c r="H13821" t="s">
        <v>21203</v>
      </c>
    </row>
    <row r="13822" spans="1:8">
      <c r="A13822" t="s">
        <v>420</v>
      </c>
      <c r="B13822">
        <f>HYPERLINK("https://android.googlesource.com/platform/cts/+/3f6180d7d497c36df426a61d4df9565cac65bde9", "3f6180d7d497c36df426a61d4df9565cac65bde9")</f>
        <v>0</v>
      </c>
      <c r="C13822">
        <f>HYPERLINK("https://android.googlesource.com/platform/cts/+/6d4810cb42976a96fa938fee8ebbb734dab0d520", "6d4810cb42976a96fa938fee8ebbb734dab0d520")</f>
        <v>0</v>
      </c>
      <c r="D13822" t="s">
        <v>4983</v>
      </c>
      <c r="E13822" t="s">
        <v>6213</v>
      </c>
      <c r="F13822" t="s">
        <v>11192</v>
      </c>
      <c r="G13822" t="s">
        <v>15581</v>
      </c>
      <c r="H13822" t="s">
        <v>21198</v>
      </c>
    </row>
    <row r="13823" spans="1:8">
      <c r="H13823" t="s">
        <v>21175</v>
      </c>
    </row>
    <row r="13824" spans="1:8">
      <c r="H13824" t="s">
        <v>21199</v>
      </c>
    </row>
    <row r="13825" spans="1:8">
      <c r="H13825" t="s">
        <v>21175</v>
      </c>
    </row>
    <row r="13826" spans="1:8">
      <c r="H13826" t="s">
        <v>21200</v>
      </c>
    </row>
    <row r="13827" spans="1:8">
      <c r="H13827" t="s">
        <v>21201</v>
      </c>
    </row>
    <row r="13828" spans="1:8">
      <c r="H13828" t="s">
        <v>21202</v>
      </c>
    </row>
    <row r="13829" spans="1:8">
      <c r="H13829" t="s">
        <v>21203</v>
      </c>
    </row>
    <row r="13830" spans="1:8">
      <c r="A13830" t="s">
        <v>421</v>
      </c>
      <c r="B13830">
        <f>HYPERLINK("https://android.googlesource.com/platform/cts/+/7929a713f8316c47b519f7d98a930ce7c2372e44", "7929a713f8316c47b519f7d98a930ce7c2372e44")</f>
        <v>0</v>
      </c>
      <c r="C13830">
        <f>HYPERLINK("https://android.googlesource.com/platform/cts/+/d8c93c14ede2cdca20e07af13de78ad533f8a3eb", "d8c93c14ede2cdca20e07af13de78ad533f8a3eb")</f>
        <v>0</v>
      </c>
      <c r="D13830" t="s">
        <v>4970</v>
      </c>
      <c r="E13830" t="s">
        <v>6214</v>
      </c>
      <c r="F13830" t="s">
        <v>12182</v>
      </c>
      <c r="G13830" t="s">
        <v>16421</v>
      </c>
      <c r="H13830" t="s">
        <v>21204</v>
      </c>
    </row>
    <row r="13831" spans="1:8">
      <c r="H13831" t="s">
        <v>21205</v>
      </c>
    </row>
    <row r="13832" spans="1:8">
      <c r="H13832" t="s">
        <v>21206</v>
      </c>
    </row>
    <row r="13833" spans="1:8">
      <c r="A13833" t="s">
        <v>422</v>
      </c>
      <c r="B13833">
        <f>HYPERLINK("https://android.googlesource.com/platform/cts/+/8669cace0433b06591a93136ecbdf4acafe6eaac", "8669cace0433b06591a93136ecbdf4acafe6eaac")</f>
        <v>0</v>
      </c>
      <c r="C13833">
        <f>HYPERLINK("https://android.googlesource.com/platform/cts/+/1de065b9156d171f13e2998f7a0c7dcaf29fbdd0", "1de065b9156d171f13e2998f7a0c7dcaf29fbdd0")</f>
        <v>0</v>
      </c>
      <c r="D13833" t="s">
        <v>4980</v>
      </c>
      <c r="E13833" t="s">
        <v>6215</v>
      </c>
      <c r="F13833" t="s">
        <v>11193</v>
      </c>
      <c r="G13833" t="s">
        <v>15582</v>
      </c>
      <c r="H13833" t="s">
        <v>21207</v>
      </c>
    </row>
    <row r="13834" spans="1:8">
      <c r="H13834" t="s">
        <v>21208</v>
      </c>
    </row>
    <row r="13835" spans="1:8">
      <c r="A13835" t="s">
        <v>423</v>
      </c>
      <c r="B13835">
        <f>HYPERLINK("https://android.googlesource.com/platform/cts/+/4dfaac64fc68ba57f5c4980ad8259fc776be4664", "4dfaac64fc68ba57f5c4980ad8259fc776be4664")</f>
        <v>0</v>
      </c>
      <c r="C13835">
        <f>HYPERLINK("https://android.googlesource.com/platform/cts/+/8e11d2db3c94c87b12b80062658792e4001c3502", "8e11d2db3c94c87b12b80062658792e4001c3502")</f>
        <v>0</v>
      </c>
      <c r="D13835" t="s">
        <v>4990</v>
      </c>
      <c r="E13835" t="s">
        <v>6216</v>
      </c>
      <c r="F13835" t="s">
        <v>12183</v>
      </c>
      <c r="G13835" t="s">
        <v>16422</v>
      </c>
      <c r="H13835" t="s">
        <v>21209</v>
      </c>
    </row>
    <row r="13836" spans="1:8">
      <c r="A13836" t="s">
        <v>424</v>
      </c>
      <c r="B13836">
        <f>HYPERLINK("https://android.googlesource.com/platform/cts/+/cbd961455ce8342d0d01558bf352fae6f7250a59", "cbd961455ce8342d0d01558bf352fae6f7250a59")</f>
        <v>0</v>
      </c>
      <c r="C13836">
        <f>HYPERLINK("https://android.googlesource.com/platform/cts/+/e5f03443d32567748927b3eecfafe5a5ae78fd29", "e5f03443d32567748927b3eecfafe5a5ae78fd29")</f>
        <v>0</v>
      </c>
      <c r="D13836" t="s">
        <v>4991</v>
      </c>
      <c r="E13836" t="s">
        <v>6217</v>
      </c>
      <c r="F13836" t="s">
        <v>11193</v>
      </c>
      <c r="G13836" t="s">
        <v>15582</v>
      </c>
      <c r="H13836" t="s">
        <v>21207</v>
      </c>
    </row>
    <row r="13837" spans="1:8">
      <c r="A13837" t="s">
        <v>425</v>
      </c>
      <c r="B13837">
        <f>HYPERLINK("https://android.googlesource.com/platform/cts/+/be8a59a596f7f72f26582f83f2430dac2f4f2578", "be8a59a596f7f72f26582f83f2430dac2f4f2578")</f>
        <v>0</v>
      </c>
      <c r="C13837">
        <f>HYPERLINK("https://android.googlesource.com/platform/cts/+/9b132549753631b4eb18a16c802efbf6c3b1ad79", "9b132549753631b4eb18a16c802efbf6c3b1ad79")</f>
        <v>0</v>
      </c>
      <c r="D13837" t="s">
        <v>4968</v>
      </c>
      <c r="E13837" t="s">
        <v>6218</v>
      </c>
      <c r="F13837" t="s">
        <v>12180</v>
      </c>
      <c r="G13837" t="s">
        <v>16419</v>
      </c>
      <c r="H13837" t="s">
        <v>21210</v>
      </c>
    </row>
    <row r="13838" spans="1:8">
      <c r="H13838" t="s">
        <v>21211</v>
      </c>
    </row>
    <row r="13839" spans="1:8">
      <c r="H13839" t="s">
        <v>21212</v>
      </c>
    </row>
    <row r="13840" spans="1:8">
      <c r="H13840" t="s">
        <v>21213</v>
      </c>
    </row>
    <row r="13841" spans="1:8">
      <c r="H13841" t="s">
        <v>21214</v>
      </c>
    </row>
    <row r="13842" spans="1:8">
      <c r="H13842" t="s">
        <v>21215</v>
      </c>
    </row>
    <row r="13843" spans="1:8">
      <c r="H13843" t="s">
        <v>21216</v>
      </c>
    </row>
    <row r="13844" spans="1:8">
      <c r="H13844" t="s">
        <v>21217</v>
      </c>
    </row>
    <row r="13845" spans="1:8">
      <c r="A13845" t="s">
        <v>426</v>
      </c>
      <c r="B13845">
        <f>HYPERLINK("https://android.googlesource.com/platform/cts/+/f3a5f8531b953c697a2eda26a91e5c633f1e26ea", "f3a5f8531b953c697a2eda26a91e5c633f1e26ea")</f>
        <v>0</v>
      </c>
      <c r="C13845">
        <f>HYPERLINK("https://android.googlesource.com/platform/cts/+/0dba1411477bd9224d6ec10da06c966469b1b77d", "0dba1411477bd9224d6ec10da06c966469b1b77d")</f>
        <v>0</v>
      </c>
      <c r="D13845" t="s">
        <v>4968</v>
      </c>
      <c r="E13845" t="s">
        <v>6219</v>
      </c>
      <c r="F13845" t="s">
        <v>12184</v>
      </c>
      <c r="G13845" t="s">
        <v>16423</v>
      </c>
      <c r="H13845" t="s">
        <v>21218</v>
      </c>
    </row>
    <row r="13846" spans="1:8">
      <c r="A13846" t="s">
        <v>427</v>
      </c>
      <c r="B13846">
        <f>HYPERLINK("https://android.googlesource.com/platform/cts/+/813027dfa9792bb83ea61240680305d6ba50d25a", "813027dfa9792bb83ea61240680305d6ba50d25a")</f>
        <v>0</v>
      </c>
      <c r="C13846">
        <f>HYPERLINK("https://android.googlesource.com/platform/cts/+/ba971d45ab4477a3647f6cfed79c2f74946e64d5", "ba971d45ab4477a3647f6cfed79c2f74946e64d5")</f>
        <v>0</v>
      </c>
      <c r="D13846" t="s">
        <v>4968</v>
      </c>
      <c r="E13846" t="s">
        <v>6220</v>
      </c>
      <c r="F13846" t="s">
        <v>12185</v>
      </c>
      <c r="G13846" t="s">
        <v>16424</v>
      </c>
      <c r="H13846" t="s">
        <v>21219</v>
      </c>
    </row>
    <row r="13847" spans="1:8">
      <c r="A13847" t="s">
        <v>428</v>
      </c>
      <c r="B13847">
        <f>HYPERLINK("https://android.googlesource.com/platform/cts/+/668b3b7f420974aee6f18f83e59c4c35da8e009d", "668b3b7f420974aee6f18f83e59c4c35da8e009d")</f>
        <v>0</v>
      </c>
      <c r="C13847">
        <f>HYPERLINK("https://android.googlesource.com/platform/cts/+/e15b00ae1fe1585a319d2326a3a9ef393760f5f7", "e15b00ae1fe1585a319d2326a3a9ef393760f5f7")</f>
        <v>0</v>
      </c>
      <c r="D13847" t="s">
        <v>4947</v>
      </c>
      <c r="E13847" t="s">
        <v>6221</v>
      </c>
      <c r="F13847" t="s">
        <v>10746</v>
      </c>
      <c r="G13847" t="s">
        <v>15145</v>
      </c>
      <c r="H13847" t="s">
        <v>21220</v>
      </c>
    </row>
    <row r="13848" spans="1:8">
      <c r="A13848" t="s">
        <v>429</v>
      </c>
      <c r="B13848">
        <f>HYPERLINK("https://android.googlesource.com/platform/cts/+/e9bce3561b3267a8b8e1e1eeae677191eec8532e", "e9bce3561b3267a8b8e1e1eeae677191eec8532e")</f>
        <v>0</v>
      </c>
      <c r="C13848">
        <f>HYPERLINK("https://android.googlesource.com/platform/cts/+/ca74206cf9b36881ef45ba30ce169dd8ad3659bb", "ca74206cf9b36881ef45ba30ce169dd8ad3659bb")</f>
        <v>0</v>
      </c>
      <c r="D13848" t="s">
        <v>4993</v>
      </c>
      <c r="E13848" t="s">
        <v>6222</v>
      </c>
      <c r="F13848" t="s">
        <v>12179</v>
      </c>
      <c r="G13848" t="s">
        <v>16418</v>
      </c>
      <c r="H13848" t="s">
        <v>18835</v>
      </c>
    </row>
    <row r="13849" spans="1:8">
      <c r="A13849" t="s">
        <v>430</v>
      </c>
      <c r="B13849">
        <f>HYPERLINK("https://android.googlesource.com/platform/cts/+/29d74173539baba0082dc6f78313f05151fb2cd5", "29d74173539baba0082dc6f78313f05151fb2cd5")</f>
        <v>0</v>
      </c>
      <c r="C13849">
        <f>HYPERLINK("https://android.googlesource.com/platform/cts/+/f84df7a15458ea2fb1c9e65cd18c2dfbaed31bbe", "f84df7a15458ea2fb1c9e65cd18c2dfbaed31bbe")</f>
        <v>0</v>
      </c>
      <c r="D13849" t="s">
        <v>4947</v>
      </c>
      <c r="E13849" t="s">
        <v>6223</v>
      </c>
      <c r="F13849" t="s">
        <v>12186</v>
      </c>
      <c r="G13849" t="s">
        <v>16425</v>
      </c>
      <c r="H13849" t="s">
        <v>21221</v>
      </c>
    </row>
    <row r="13850" spans="1:8">
      <c r="A13850" t="s">
        <v>431</v>
      </c>
      <c r="B13850">
        <f>HYPERLINK("https://android.googlesource.com/platform/cts/+/5f72216fd7f87d299537a778d88f4a5f15143db5", "5f72216fd7f87d299537a778d88f4a5f15143db5")</f>
        <v>0</v>
      </c>
      <c r="C13850">
        <f>HYPERLINK("https://android.googlesource.com/platform/cts/+/af108e4993183397d8ecd0671242a0ce0db19403", "af108e4993183397d8ecd0671242a0ce0db19403")</f>
        <v>0</v>
      </c>
      <c r="D13850" t="s">
        <v>4993</v>
      </c>
      <c r="E13850" t="s">
        <v>6224</v>
      </c>
      <c r="F13850" t="s">
        <v>12179</v>
      </c>
      <c r="G13850" t="s">
        <v>16418</v>
      </c>
      <c r="H13850" t="s">
        <v>18835</v>
      </c>
    </row>
    <row r="13851" spans="1:8">
      <c r="A13851" t="s">
        <v>432</v>
      </c>
      <c r="B13851">
        <f>HYPERLINK("https://android.googlesource.com/platform/cts/+/c271127437645cc5e2e5b50c57940cedd7642df6", "c271127437645cc5e2e5b50c57940cedd7642df6")</f>
        <v>0</v>
      </c>
      <c r="C13851">
        <f>HYPERLINK("https://android.googlesource.com/platform/cts/+/3372dbb28b630cb633f00a02339ca3c99f0b8a2d", "3372dbb28b630cb633f00a02339ca3c99f0b8a2d")</f>
        <v>0</v>
      </c>
      <c r="D13851" t="s">
        <v>4993</v>
      </c>
      <c r="E13851" t="s">
        <v>6225</v>
      </c>
      <c r="F13851" t="s">
        <v>12179</v>
      </c>
      <c r="G13851" t="s">
        <v>16418</v>
      </c>
      <c r="H13851" t="s">
        <v>18835</v>
      </c>
    </row>
    <row r="13852" spans="1:8">
      <c r="A13852" t="s">
        <v>433</v>
      </c>
      <c r="B13852">
        <f>HYPERLINK("https://android.googlesource.com/platform/cts/+/663a13cfa108afe02620403c87061b0ff22f08ed", "663a13cfa108afe02620403c87061b0ff22f08ed")</f>
        <v>0</v>
      </c>
      <c r="C13852">
        <f>HYPERLINK("https://android.googlesource.com/platform/cts/+/f736ec122c72be8429afdf6cc89b128f71668a3d", "f736ec122c72be8429afdf6cc89b128f71668a3d")</f>
        <v>0</v>
      </c>
      <c r="D13852" t="s">
        <v>4995</v>
      </c>
      <c r="E13852" t="s">
        <v>6226</v>
      </c>
      <c r="F13852" t="s">
        <v>12187</v>
      </c>
      <c r="G13852" t="s">
        <v>16426</v>
      </c>
      <c r="H13852" t="s">
        <v>18829</v>
      </c>
    </row>
    <row r="13853" spans="1:8">
      <c r="H13853" t="s">
        <v>21222</v>
      </c>
    </row>
    <row r="13854" spans="1:8">
      <c r="H13854" t="s">
        <v>21223</v>
      </c>
    </row>
    <row r="13855" spans="1:8">
      <c r="H13855" t="s">
        <v>21224</v>
      </c>
    </row>
    <row r="13856" spans="1:8">
      <c r="H13856" t="s">
        <v>21225</v>
      </c>
    </row>
    <row r="13857" spans="1:8">
      <c r="H13857" t="s">
        <v>21226</v>
      </c>
    </row>
    <row r="13858" spans="1:8">
      <c r="H13858" t="s">
        <v>21227</v>
      </c>
    </row>
    <row r="13859" spans="1:8">
      <c r="H13859" t="s">
        <v>21228</v>
      </c>
    </row>
    <row r="13860" spans="1:8">
      <c r="A13860" t="s">
        <v>434</v>
      </c>
      <c r="B13860">
        <f>HYPERLINK("https://android.googlesource.com/platform/cts/+/9e0e27eeda44f2eb94dea4a97a3faa3a01adabc3", "9e0e27eeda44f2eb94dea4a97a3faa3a01adabc3")</f>
        <v>0</v>
      </c>
      <c r="C13860">
        <f>HYPERLINK("https://android.googlesource.com/platform/cts/+/9de4863318f50b9123b5e8ac446ac82f2080fca7", "9de4863318f50b9123b5e8ac446ac82f2080fca7")</f>
        <v>0</v>
      </c>
      <c r="D13860" t="s">
        <v>4952</v>
      </c>
      <c r="E13860" t="s">
        <v>6227</v>
      </c>
      <c r="F13860" t="s">
        <v>12188</v>
      </c>
      <c r="G13860" t="s">
        <v>16427</v>
      </c>
      <c r="H13860" t="s">
        <v>21229</v>
      </c>
    </row>
    <row r="13861" spans="1:8">
      <c r="A13861" t="s">
        <v>435</v>
      </c>
      <c r="B13861">
        <f>HYPERLINK("https://android.googlesource.com/platform/cts/+/e0e57f5bae1b77826162cd5f6e78b7e75a348feb", "e0e57f5bae1b77826162cd5f6e78b7e75a348feb")</f>
        <v>0</v>
      </c>
      <c r="C13861">
        <f>HYPERLINK("https://android.googlesource.com/platform/cts/+/c88c34c94b067aedcd8140159644e6d1043a14cb", "c88c34c94b067aedcd8140159644e6d1043a14cb")</f>
        <v>0</v>
      </c>
      <c r="D13861" t="s">
        <v>4996</v>
      </c>
      <c r="E13861" t="s">
        <v>6228</v>
      </c>
      <c r="F13861" t="s">
        <v>11443</v>
      </c>
      <c r="G13861" t="s">
        <v>15683</v>
      </c>
      <c r="H13861" t="s">
        <v>21230</v>
      </c>
    </row>
    <row r="13862" spans="1:8">
      <c r="A13862" t="s">
        <v>436</v>
      </c>
      <c r="B13862">
        <f>HYPERLINK("https://android.googlesource.com/platform/cts/+/d173bbcb45446be72398be16ea9001b2bff9de95", "d173bbcb45446be72398be16ea9001b2bff9de95")</f>
        <v>0</v>
      </c>
      <c r="C13862">
        <f>HYPERLINK("https://android.googlesource.com/platform/cts/+/689a962fd6fb4ea4e5ac1343ff5ef21732cfcaee", "689a962fd6fb4ea4e5ac1343ff5ef21732cfcaee")</f>
        <v>0</v>
      </c>
      <c r="D13862" t="s">
        <v>4973</v>
      </c>
      <c r="E13862" t="s">
        <v>6229</v>
      </c>
      <c r="F13862" t="s">
        <v>12189</v>
      </c>
      <c r="G13862" t="s">
        <v>16428</v>
      </c>
      <c r="H13862" t="s">
        <v>21231</v>
      </c>
    </row>
    <row r="13863" spans="1:8">
      <c r="A13863" t="s">
        <v>437</v>
      </c>
      <c r="B13863">
        <f>HYPERLINK("https://android.googlesource.com/platform/cts/+/5427abe750ec97a3e7dda7e395a3b8da9c91a775", "5427abe750ec97a3e7dda7e395a3b8da9c91a775")</f>
        <v>0</v>
      </c>
      <c r="C13863">
        <f>HYPERLINK("https://android.googlesource.com/platform/cts/+/f1a493b1cc81290265571d65fd6ed96162b19bea", "f1a493b1cc81290265571d65fd6ed96162b19bea")</f>
        <v>0</v>
      </c>
      <c r="D13863" t="s">
        <v>4981</v>
      </c>
      <c r="E13863" t="s">
        <v>6230</v>
      </c>
      <c r="F13863" t="s">
        <v>10726</v>
      </c>
      <c r="G13863" t="s">
        <v>15125</v>
      </c>
      <c r="H13863" t="s">
        <v>21232</v>
      </c>
    </row>
    <row r="13864" spans="1:8">
      <c r="A13864" t="s">
        <v>438</v>
      </c>
      <c r="B13864">
        <f>HYPERLINK("https://android.googlesource.com/platform/cts/+/efa794f8232040c17318d07eec6c1ed0fac1739e", "efa794f8232040c17318d07eec6c1ed0fac1739e")</f>
        <v>0</v>
      </c>
      <c r="C13864">
        <f>HYPERLINK("https://android.googlesource.com/platform/cts/+/d173bbcb45446be72398be16ea9001b2bff9de95", "d173bbcb45446be72398be16ea9001b2bff9de95")</f>
        <v>0</v>
      </c>
      <c r="D13864" t="s">
        <v>4973</v>
      </c>
      <c r="E13864" t="s">
        <v>6231</v>
      </c>
      <c r="F13864" t="s">
        <v>12190</v>
      </c>
      <c r="G13864" t="s">
        <v>16429</v>
      </c>
      <c r="H13864" t="s">
        <v>18829</v>
      </c>
    </row>
    <row r="13865" spans="1:8">
      <c r="H13865" t="s">
        <v>18863</v>
      </c>
    </row>
    <row r="13866" spans="1:8">
      <c r="A13866" t="s">
        <v>439</v>
      </c>
      <c r="B13866">
        <f>HYPERLINK("https://android.googlesource.com/platform/cts/+/e5c0ac8950995e1bab72fa122d47f00e285dddf8", "e5c0ac8950995e1bab72fa122d47f00e285dddf8")</f>
        <v>0</v>
      </c>
      <c r="C13866">
        <f>HYPERLINK("https://android.googlesource.com/platform/cts/+/f01930f65b7a42246334649b09fa7b57f63e5c43", "f01930f65b7a42246334649b09fa7b57f63e5c43")</f>
        <v>0</v>
      </c>
      <c r="D13866" t="s">
        <v>4980</v>
      </c>
      <c r="E13866" t="s">
        <v>6232</v>
      </c>
      <c r="F13866" t="s">
        <v>11443</v>
      </c>
      <c r="G13866" t="s">
        <v>15683</v>
      </c>
      <c r="H13866" t="s">
        <v>21230</v>
      </c>
    </row>
    <row r="13867" spans="1:8">
      <c r="A13867" t="s">
        <v>440</v>
      </c>
      <c r="B13867">
        <f>HYPERLINK("https://android.googlesource.com/platform/cts/+/71df0d40e86e30dde9862134427b3f52040e5899", "71df0d40e86e30dde9862134427b3f52040e5899")</f>
        <v>0</v>
      </c>
      <c r="C13867">
        <f>HYPERLINK("https://android.googlesource.com/platform/cts/+/5d529caed64bf0cec2ef1eebb89284239ca382c0", "5d529caed64bf0cec2ef1eebb89284239ca382c0")</f>
        <v>0</v>
      </c>
      <c r="D13867" t="s">
        <v>4997</v>
      </c>
      <c r="E13867" t="s">
        <v>6233</v>
      </c>
      <c r="F13867" t="s">
        <v>12191</v>
      </c>
      <c r="G13867" t="s">
        <v>16430</v>
      </c>
      <c r="H13867" t="s">
        <v>21233</v>
      </c>
    </row>
    <row r="13868" spans="1:8">
      <c r="H13868" t="s">
        <v>21234</v>
      </c>
    </row>
    <row r="13869" spans="1:8">
      <c r="H13869" t="s">
        <v>21235</v>
      </c>
    </row>
    <row r="13870" spans="1:8">
      <c r="H13870" t="s">
        <v>21236</v>
      </c>
    </row>
    <row r="13871" spans="1:8">
      <c r="H13871" t="s">
        <v>21237</v>
      </c>
    </row>
    <row r="13872" spans="1:8">
      <c r="A13872" t="s">
        <v>441</v>
      </c>
      <c r="B13872">
        <f>HYPERLINK("https://android.googlesource.com/platform/cts/+/1b08aab7c7e60c56032229983bb9217f18fdbf07", "1b08aab7c7e60c56032229983bb9217f18fdbf07")</f>
        <v>0</v>
      </c>
      <c r="C13872">
        <f>HYPERLINK("https://android.googlesource.com/platform/cts/+/8391e6f817edb2adc3f7250650aef496843c0626", "8391e6f817edb2adc3f7250650aef496843c0626")</f>
        <v>0</v>
      </c>
      <c r="D13872" t="s">
        <v>4998</v>
      </c>
      <c r="E13872" t="s">
        <v>6234</v>
      </c>
      <c r="F13872" t="s">
        <v>11443</v>
      </c>
      <c r="G13872" t="s">
        <v>15683</v>
      </c>
      <c r="H13872" t="s">
        <v>21238</v>
      </c>
    </row>
    <row r="13873" spans="1:8">
      <c r="H13873" t="s">
        <v>21239</v>
      </c>
    </row>
    <row r="13874" spans="1:8">
      <c r="A13874" t="s">
        <v>442</v>
      </c>
      <c r="B13874">
        <f>HYPERLINK("https://android.googlesource.com/platform/cts/+/6cd9268a640074ec1ff5a1df0ee6aad9c9830caf", "6cd9268a640074ec1ff5a1df0ee6aad9c9830caf")</f>
        <v>0</v>
      </c>
      <c r="C13874">
        <f>HYPERLINK("https://android.googlesource.com/platform/cts/+/ce7ddc2becc214212893f6e20f0586d6d2d4b5e0", "ce7ddc2becc214212893f6e20f0586d6d2d4b5e0")</f>
        <v>0</v>
      </c>
      <c r="D13874" t="s">
        <v>4936</v>
      </c>
      <c r="E13874" t="s">
        <v>6235</v>
      </c>
      <c r="F13874" t="s">
        <v>12192</v>
      </c>
      <c r="G13874" t="s">
        <v>16431</v>
      </c>
      <c r="H13874" t="s">
        <v>21240</v>
      </c>
    </row>
    <row r="13875" spans="1:8">
      <c r="H13875" t="s">
        <v>21241</v>
      </c>
    </row>
    <row r="13876" spans="1:8">
      <c r="H13876" t="s">
        <v>21242</v>
      </c>
    </row>
    <row r="13877" spans="1:8">
      <c r="H13877" t="s">
        <v>21243</v>
      </c>
    </row>
    <row r="13878" spans="1:8">
      <c r="H13878" t="s">
        <v>21244</v>
      </c>
    </row>
    <row r="13879" spans="1:8">
      <c r="H13879" t="s">
        <v>21245</v>
      </c>
    </row>
    <row r="13880" spans="1:8">
      <c r="H13880" t="s">
        <v>21246</v>
      </c>
    </row>
    <row r="13881" spans="1:8">
      <c r="H13881" t="s">
        <v>21247</v>
      </c>
    </row>
    <row r="13882" spans="1:8">
      <c r="H13882" t="s">
        <v>21248</v>
      </c>
    </row>
    <row r="13883" spans="1:8">
      <c r="H13883" t="s">
        <v>21249</v>
      </c>
    </row>
    <row r="13884" spans="1:8">
      <c r="H13884" t="s">
        <v>21250</v>
      </c>
    </row>
    <row r="13885" spans="1:8">
      <c r="H13885" t="s">
        <v>21251</v>
      </c>
    </row>
    <row r="13886" spans="1:8">
      <c r="A13886" t="s">
        <v>443</v>
      </c>
      <c r="B13886">
        <f>HYPERLINK("https://android.googlesource.com/platform/cts/+/d131feadbf4f74bfafc256b7e7066085ddcfea27", "d131feadbf4f74bfafc256b7e7066085ddcfea27")</f>
        <v>0</v>
      </c>
      <c r="C13886">
        <f>HYPERLINK("https://android.googlesource.com/platform/cts/+/b97ab2e8640ece47c4233890cfb7c718a0c81c4d", "b97ab2e8640ece47c4233890cfb7c718a0c81c4d")</f>
        <v>0</v>
      </c>
      <c r="D13886" t="s">
        <v>4968</v>
      </c>
      <c r="E13886" t="s">
        <v>6236</v>
      </c>
      <c r="F13886" t="s">
        <v>12184</v>
      </c>
      <c r="G13886" t="s">
        <v>16423</v>
      </c>
      <c r="H13886" t="s">
        <v>21252</v>
      </c>
    </row>
    <row r="13887" spans="1:8">
      <c r="F13887" t="s">
        <v>12180</v>
      </c>
      <c r="G13887" t="s">
        <v>16419</v>
      </c>
      <c r="H13887" t="s">
        <v>21252</v>
      </c>
    </row>
    <row r="13888" spans="1:8">
      <c r="A13888" t="s">
        <v>444</v>
      </c>
      <c r="B13888">
        <f>HYPERLINK("https://android.googlesource.com/platform/cts/+/f428b3dd6d4f207b574b614f50ce2a2df7b273ec", "f428b3dd6d4f207b574b614f50ce2a2df7b273ec")</f>
        <v>0</v>
      </c>
      <c r="C13888">
        <f>HYPERLINK("https://android.googlesource.com/platform/cts/+/8e4d2d0317d0ddf376e010b1eb975bb9d3868317", "8e4d2d0317d0ddf376e010b1eb975bb9d3868317")</f>
        <v>0</v>
      </c>
      <c r="D13888" t="s">
        <v>4930</v>
      </c>
      <c r="E13888" t="s">
        <v>6237</v>
      </c>
      <c r="F13888" t="s">
        <v>10747</v>
      </c>
      <c r="G13888" t="s">
        <v>15129</v>
      </c>
      <c r="H13888" t="s">
        <v>21253</v>
      </c>
    </row>
    <row r="13889" spans="1:8">
      <c r="H13889" t="s">
        <v>21254</v>
      </c>
    </row>
    <row r="13890" spans="1:8">
      <c r="A13890" t="s">
        <v>445</v>
      </c>
      <c r="B13890">
        <f>HYPERLINK("https://android.googlesource.com/platform/cts/+/5a3b5953451d8dacc53bcb15e6a0fd955c7824cd", "5a3b5953451d8dacc53bcb15e6a0fd955c7824cd")</f>
        <v>0</v>
      </c>
      <c r="C13890">
        <f>HYPERLINK("https://android.googlesource.com/platform/cts/+/15ac8230207ac6e9060e6087abaf4a14cf47779c", "15ac8230207ac6e9060e6087abaf4a14cf47779c")</f>
        <v>0</v>
      </c>
      <c r="D13890" t="s">
        <v>4952</v>
      </c>
      <c r="E13890" t="s">
        <v>6238</v>
      </c>
      <c r="F13890" t="s">
        <v>11443</v>
      </c>
      <c r="G13890" t="s">
        <v>15683</v>
      </c>
      <c r="H13890" t="s">
        <v>21255</v>
      </c>
    </row>
    <row r="13891" spans="1:8">
      <c r="A13891" t="s">
        <v>446</v>
      </c>
      <c r="B13891">
        <f>HYPERLINK("https://android.googlesource.com/platform/cts/+/03adeb8a1b69e14c20854ac3a7ff60f17b8527d2", "03adeb8a1b69e14c20854ac3a7ff60f17b8527d2")</f>
        <v>0</v>
      </c>
      <c r="C13891">
        <f>HYPERLINK("https://android.googlesource.com/platform/cts/+/7cf81f86af29125b792e4f29aa0780298232d004", "7cf81f86af29125b792e4f29aa0780298232d004")</f>
        <v>0</v>
      </c>
      <c r="D13891" t="s">
        <v>4973</v>
      </c>
      <c r="E13891" t="s">
        <v>6239</v>
      </c>
      <c r="F13891" t="s">
        <v>12193</v>
      </c>
      <c r="G13891" t="s">
        <v>16432</v>
      </c>
      <c r="H13891" t="s">
        <v>18829</v>
      </c>
    </row>
    <row r="13892" spans="1:8">
      <c r="H13892" t="s">
        <v>18863</v>
      </c>
    </row>
    <row r="13893" spans="1:8">
      <c r="H13893" t="s">
        <v>21181</v>
      </c>
    </row>
    <row r="13894" spans="1:8">
      <c r="H13894" t="s">
        <v>19261</v>
      </c>
    </row>
    <row r="13895" spans="1:8">
      <c r="F13895" t="s">
        <v>12172</v>
      </c>
      <c r="G13895" t="s">
        <v>16411</v>
      </c>
      <c r="H13895" t="s">
        <v>18829</v>
      </c>
    </row>
    <row r="13896" spans="1:8">
      <c r="H13896" t="s">
        <v>21256</v>
      </c>
    </row>
    <row r="13897" spans="1:8">
      <c r="H13897" t="s">
        <v>21257</v>
      </c>
    </row>
    <row r="13898" spans="1:8">
      <c r="H13898" t="s">
        <v>21258</v>
      </c>
    </row>
    <row r="13899" spans="1:8">
      <c r="H13899" t="s">
        <v>21259</v>
      </c>
    </row>
    <row r="13900" spans="1:8">
      <c r="H13900" t="s">
        <v>21260</v>
      </c>
    </row>
    <row r="13901" spans="1:8">
      <c r="H13901" t="s">
        <v>21261</v>
      </c>
    </row>
    <row r="13902" spans="1:8">
      <c r="H13902" t="s">
        <v>21262</v>
      </c>
    </row>
    <row r="13903" spans="1:8">
      <c r="H13903" t="s">
        <v>21263</v>
      </c>
    </row>
    <row r="13904" spans="1:8">
      <c r="H13904" t="s">
        <v>21264</v>
      </c>
    </row>
    <row r="13905" spans="8:8">
      <c r="H13905" t="s">
        <v>21265</v>
      </c>
    </row>
    <row r="13906" spans="8:8">
      <c r="H13906" t="s">
        <v>21266</v>
      </c>
    </row>
    <row r="13907" spans="8:8">
      <c r="H13907" t="s">
        <v>21267</v>
      </c>
    </row>
    <row r="13908" spans="8:8">
      <c r="H13908" t="s">
        <v>21268</v>
      </c>
    </row>
    <row r="13909" spans="8:8">
      <c r="H13909" t="s">
        <v>21269</v>
      </c>
    </row>
    <row r="13910" spans="8:8">
      <c r="H13910" t="s">
        <v>21270</v>
      </c>
    </row>
    <row r="13911" spans="8:8">
      <c r="H13911" t="s">
        <v>21271</v>
      </c>
    </row>
    <row r="13912" spans="8:8">
      <c r="H13912" t="s">
        <v>21272</v>
      </c>
    </row>
    <row r="13913" spans="8:8">
      <c r="H13913" t="s">
        <v>21273</v>
      </c>
    </row>
    <row r="13914" spans="8:8">
      <c r="H13914" t="s">
        <v>21274</v>
      </c>
    </row>
    <row r="13915" spans="8:8">
      <c r="H13915" t="s">
        <v>21275</v>
      </c>
    </row>
    <row r="13916" spans="8:8">
      <c r="H13916" t="s">
        <v>21276</v>
      </c>
    </row>
    <row r="13917" spans="8:8">
      <c r="H13917" t="s">
        <v>21277</v>
      </c>
    </row>
    <row r="13918" spans="8:8">
      <c r="H13918" t="s">
        <v>21278</v>
      </c>
    </row>
    <row r="13919" spans="8:8">
      <c r="H13919" t="s">
        <v>21279</v>
      </c>
    </row>
    <row r="13920" spans="8:8">
      <c r="H13920" t="s">
        <v>21280</v>
      </c>
    </row>
    <row r="13921" spans="6:8">
      <c r="H13921" t="s">
        <v>21281</v>
      </c>
    </row>
    <row r="13922" spans="6:8">
      <c r="H13922" t="s">
        <v>21282</v>
      </c>
    </row>
    <row r="13923" spans="6:8">
      <c r="H13923" t="s">
        <v>21283</v>
      </c>
    </row>
    <row r="13924" spans="6:8">
      <c r="F13924" t="s">
        <v>12194</v>
      </c>
      <c r="G13924" t="s">
        <v>16433</v>
      </c>
      <c r="H13924" t="s">
        <v>21284</v>
      </c>
    </row>
    <row r="13925" spans="6:8">
      <c r="H13925" t="s">
        <v>18829</v>
      </c>
    </row>
    <row r="13926" spans="6:8">
      <c r="H13926" t="s">
        <v>18863</v>
      </c>
    </row>
    <row r="13927" spans="6:8">
      <c r="H13927" t="s">
        <v>21285</v>
      </c>
    </row>
    <row r="13928" spans="6:8">
      <c r="H13928" t="s">
        <v>21286</v>
      </c>
    </row>
    <row r="13929" spans="6:8">
      <c r="H13929" t="s">
        <v>21287</v>
      </c>
    </row>
    <row r="13930" spans="6:8">
      <c r="F13930" t="s">
        <v>12195</v>
      </c>
      <c r="G13930" t="s">
        <v>16434</v>
      </c>
      <c r="H13930" t="s">
        <v>18863</v>
      </c>
    </row>
    <row r="13931" spans="6:8">
      <c r="H13931" t="s">
        <v>21286</v>
      </c>
    </row>
    <row r="13932" spans="6:8">
      <c r="H13932" t="s">
        <v>21287</v>
      </c>
    </row>
    <row r="13933" spans="6:8">
      <c r="F13933" t="s">
        <v>12196</v>
      </c>
      <c r="G13933" t="s">
        <v>15720</v>
      </c>
      <c r="H13933" t="s">
        <v>18863</v>
      </c>
    </row>
    <row r="13934" spans="6:8">
      <c r="H13934" t="s">
        <v>20436</v>
      </c>
    </row>
    <row r="13935" spans="6:8">
      <c r="H13935" t="s">
        <v>20437</v>
      </c>
    </row>
    <row r="13936" spans="6:8">
      <c r="H13936" t="s">
        <v>20438</v>
      </c>
    </row>
    <row r="13937" spans="6:8">
      <c r="F13937" t="s">
        <v>11477</v>
      </c>
      <c r="G13937" t="s">
        <v>15717</v>
      </c>
      <c r="H13937" t="s">
        <v>18863</v>
      </c>
    </row>
    <row r="13938" spans="6:8">
      <c r="F13938" t="s">
        <v>12197</v>
      </c>
      <c r="G13938" t="s">
        <v>16435</v>
      </c>
      <c r="H13938" t="s">
        <v>18829</v>
      </c>
    </row>
    <row r="13939" spans="6:8">
      <c r="H13939" t="s">
        <v>21288</v>
      </c>
    </row>
    <row r="13940" spans="6:8">
      <c r="H13940" t="s">
        <v>21289</v>
      </c>
    </row>
    <row r="13941" spans="6:8">
      <c r="H13941" t="s">
        <v>21290</v>
      </c>
    </row>
    <row r="13942" spans="6:8">
      <c r="H13942" t="s">
        <v>21291</v>
      </c>
    </row>
    <row r="13943" spans="6:8">
      <c r="H13943" t="s">
        <v>21292</v>
      </c>
    </row>
    <row r="13944" spans="6:8">
      <c r="H13944" t="s">
        <v>21293</v>
      </c>
    </row>
    <row r="13945" spans="6:8">
      <c r="H13945" t="s">
        <v>21294</v>
      </c>
    </row>
    <row r="13946" spans="6:8">
      <c r="H13946" t="s">
        <v>21295</v>
      </c>
    </row>
    <row r="13947" spans="6:8">
      <c r="H13947" t="s">
        <v>21296</v>
      </c>
    </row>
    <row r="13948" spans="6:8">
      <c r="H13948" t="s">
        <v>21297</v>
      </c>
    </row>
    <row r="13949" spans="6:8">
      <c r="H13949" t="s">
        <v>21298</v>
      </c>
    </row>
    <row r="13950" spans="6:8">
      <c r="F13950" t="s">
        <v>12189</v>
      </c>
      <c r="G13950" t="s">
        <v>16428</v>
      </c>
      <c r="H13950" t="s">
        <v>21299</v>
      </c>
    </row>
    <row r="13951" spans="6:8">
      <c r="H13951" t="s">
        <v>18863</v>
      </c>
    </row>
    <row r="13952" spans="6:8">
      <c r="H13952" t="s">
        <v>21300</v>
      </c>
    </row>
    <row r="13953" spans="6:8">
      <c r="F13953" t="s">
        <v>11478</v>
      </c>
      <c r="G13953" t="s">
        <v>15718</v>
      </c>
      <c r="H13953" t="s">
        <v>20442</v>
      </c>
    </row>
    <row r="13954" spans="6:8">
      <c r="H13954" t="s">
        <v>18829</v>
      </c>
    </row>
    <row r="13955" spans="6:8">
      <c r="H13955" t="s">
        <v>18863</v>
      </c>
    </row>
    <row r="13956" spans="6:8">
      <c r="H13956" t="s">
        <v>20443</v>
      </c>
    </row>
    <row r="13957" spans="6:8">
      <c r="F13957" t="s">
        <v>12181</v>
      </c>
      <c r="G13957" t="s">
        <v>16420</v>
      </c>
      <c r="H13957" t="s">
        <v>18829</v>
      </c>
    </row>
    <row r="13958" spans="6:8">
      <c r="H13958" t="s">
        <v>18863</v>
      </c>
    </row>
    <row r="13959" spans="6:8">
      <c r="H13959" t="s">
        <v>21301</v>
      </c>
    </row>
    <row r="13960" spans="6:8">
      <c r="H13960" t="s">
        <v>21302</v>
      </c>
    </row>
    <row r="13961" spans="6:8">
      <c r="H13961" t="s">
        <v>21303</v>
      </c>
    </row>
    <row r="13962" spans="6:8">
      <c r="H13962" t="s">
        <v>21304</v>
      </c>
    </row>
    <row r="13963" spans="6:8">
      <c r="H13963" t="s">
        <v>21305</v>
      </c>
    </row>
    <row r="13964" spans="6:8">
      <c r="H13964" t="s">
        <v>19261</v>
      </c>
    </row>
    <row r="13965" spans="6:8">
      <c r="H13965" t="s">
        <v>21306</v>
      </c>
    </row>
    <row r="13966" spans="6:8">
      <c r="H13966" t="s">
        <v>21307</v>
      </c>
    </row>
    <row r="13967" spans="6:8">
      <c r="H13967" t="s">
        <v>21308</v>
      </c>
    </row>
    <row r="13968" spans="6:8">
      <c r="H13968" t="s">
        <v>21309</v>
      </c>
    </row>
    <row r="13969" spans="6:8">
      <c r="H13969" t="s">
        <v>21310</v>
      </c>
    </row>
    <row r="13970" spans="6:8">
      <c r="H13970" t="s">
        <v>21311</v>
      </c>
    </row>
    <row r="13971" spans="6:8">
      <c r="H13971" t="s">
        <v>21312</v>
      </c>
    </row>
    <row r="13972" spans="6:8">
      <c r="H13972" t="s">
        <v>21313</v>
      </c>
    </row>
    <row r="13973" spans="6:8">
      <c r="H13973" t="s">
        <v>21314</v>
      </c>
    </row>
    <row r="13974" spans="6:8">
      <c r="H13974" t="s">
        <v>21315</v>
      </c>
    </row>
    <row r="13975" spans="6:8">
      <c r="H13975" t="s">
        <v>21316</v>
      </c>
    </row>
    <row r="13976" spans="6:8">
      <c r="H13976" t="s">
        <v>21317</v>
      </c>
    </row>
    <row r="13977" spans="6:8">
      <c r="H13977" t="s">
        <v>21318</v>
      </c>
    </row>
    <row r="13978" spans="6:8">
      <c r="H13978" t="s">
        <v>21319</v>
      </c>
    </row>
    <row r="13979" spans="6:8">
      <c r="F13979" t="s">
        <v>12190</v>
      </c>
      <c r="G13979" t="s">
        <v>16429</v>
      </c>
      <c r="H13979" t="s">
        <v>21320</v>
      </c>
    </row>
    <row r="13980" spans="6:8">
      <c r="H13980" t="s">
        <v>21321</v>
      </c>
    </row>
    <row r="13981" spans="6:8">
      <c r="F13981" t="s">
        <v>12198</v>
      </c>
      <c r="G13981" t="s">
        <v>16436</v>
      </c>
      <c r="H13981" t="s">
        <v>18829</v>
      </c>
    </row>
    <row r="13982" spans="6:8">
      <c r="H13982" t="s">
        <v>18863</v>
      </c>
    </row>
    <row r="13983" spans="6:8">
      <c r="H13983" t="s">
        <v>21322</v>
      </c>
    </row>
    <row r="13984" spans="6:8">
      <c r="H13984" t="s">
        <v>21323</v>
      </c>
    </row>
    <row r="13985" spans="1:8">
      <c r="H13985" t="s">
        <v>20237</v>
      </c>
    </row>
    <row r="13986" spans="1:8">
      <c r="H13986" t="s">
        <v>19019</v>
      </c>
    </row>
    <row r="13987" spans="1:8">
      <c r="F13987" t="s">
        <v>12199</v>
      </c>
      <c r="G13987" t="s">
        <v>16437</v>
      </c>
      <c r="H13987" t="s">
        <v>20244</v>
      </c>
    </row>
    <row r="13988" spans="1:8">
      <c r="H13988" t="s">
        <v>18829</v>
      </c>
    </row>
    <row r="13989" spans="1:8">
      <c r="H13989" t="s">
        <v>18863</v>
      </c>
    </row>
    <row r="13990" spans="1:8">
      <c r="H13990" t="s">
        <v>21324</v>
      </c>
    </row>
    <row r="13991" spans="1:8">
      <c r="F13991" t="s">
        <v>12200</v>
      </c>
      <c r="G13991" t="s">
        <v>16438</v>
      </c>
      <c r="H13991" t="s">
        <v>20244</v>
      </c>
    </row>
    <row r="13992" spans="1:8">
      <c r="H13992" t="s">
        <v>18829</v>
      </c>
    </row>
    <row r="13993" spans="1:8">
      <c r="H13993" t="s">
        <v>18863</v>
      </c>
    </row>
    <row r="13994" spans="1:8">
      <c r="H13994" t="s">
        <v>21325</v>
      </c>
    </row>
    <row r="13995" spans="1:8">
      <c r="H13995" t="s">
        <v>21326</v>
      </c>
    </row>
    <row r="13996" spans="1:8">
      <c r="A13996" t="s">
        <v>447</v>
      </c>
      <c r="B13996">
        <f>HYPERLINK("https://android.googlesource.com/platform/cts/+/46bd645d356b166411f193220f0aa3026b706b14", "46bd645d356b166411f193220f0aa3026b706b14")</f>
        <v>0</v>
      </c>
      <c r="C13996">
        <f>HYPERLINK("https://android.googlesource.com/platform/cts/+/15ac8230207ac6e9060e6087abaf4a14cf47779c", "15ac8230207ac6e9060e6087abaf4a14cf47779c")</f>
        <v>0</v>
      </c>
      <c r="D13996" t="s">
        <v>4999</v>
      </c>
      <c r="E13996" t="s">
        <v>6240</v>
      </c>
      <c r="F13996" t="s">
        <v>12201</v>
      </c>
      <c r="G13996" t="s">
        <v>16439</v>
      </c>
      <c r="H13996" t="s">
        <v>21327</v>
      </c>
    </row>
    <row r="13997" spans="1:8">
      <c r="H13997" t="s">
        <v>21328</v>
      </c>
    </row>
    <row r="13998" spans="1:8">
      <c r="A13998" t="s">
        <v>448</v>
      </c>
      <c r="B13998">
        <f>HYPERLINK("https://android.googlesource.com/platform/cts/+/bb628a14a83f4c759117e92101e0e494f80dc838", "bb628a14a83f4c759117e92101e0e494f80dc838")</f>
        <v>0</v>
      </c>
      <c r="C13998">
        <f>HYPERLINK("https://android.googlesource.com/platform/cts/+/32bd694890ef7866f93c27df2d9090399491e471", "32bd694890ef7866f93c27df2d9090399491e471")</f>
        <v>0</v>
      </c>
      <c r="D13998" t="s">
        <v>4949</v>
      </c>
      <c r="E13998" t="s">
        <v>6241</v>
      </c>
      <c r="F13998" t="s">
        <v>12202</v>
      </c>
      <c r="G13998" t="s">
        <v>16440</v>
      </c>
      <c r="H13998" t="s">
        <v>21329</v>
      </c>
    </row>
    <row r="13999" spans="1:8">
      <c r="A13999" t="s">
        <v>449</v>
      </c>
      <c r="B13999">
        <f>HYPERLINK("https://android.googlesource.com/platform/cts/+/1e5e03eb4ff6e8acac339d4729d7866de7768ac6", "1e5e03eb4ff6e8acac339d4729d7866de7768ac6")</f>
        <v>0</v>
      </c>
      <c r="C13999">
        <f>HYPERLINK("https://android.googlesource.com/platform/cts/+/240d5843f8d56700c2e904c38facb7afbc308490", "240d5843f8d56700c2e904c38facb7afbc308490")</f>
        <v>0</v>
      </c>
      <c r="D13999" t="s">
        <v>4952</v>
      </c>
      <c r="E13999" t="s">
        <v>6242</v>
      </c>
      <c r="F13999" t="s">
        <v>11443</v>
      </c>
      <c r="G13999" t="s">
        <v>15683</v>
      </c>
      <c r="H13999" t="s">
        <v>21330</v>
      </c>
    </row>
    <row r="14000" spans="1:8">
      <c r="A14000" t="s">
        <v>450</v>
      </c>
      <c r="B14000">
        <f>HYPERLINK("https://android.googlesource.com/platform/cts/+/c6c3ab8b92a1d23197dda6f97f834f22953d8ab7", "c6c3ab8b92a1d23197dda6f97f834f22953d8ab7")</f>
        <v>0</v>
      </c>
      <c r="C14000">
        <f>HYPERLINK("https://android.googlesource.com/platform/cts/+/17ff2b465fa4a375ce54b006dfe8768af7044264", "17ff2b465fa4a375ce54b006dfe8768af7044264")</f>
        <v>0</v>
      </c>
      <c r="D14000" t="s">
        <v>4983</v>
      </c>
      <c r="E14000" t="s">
        <v>6240</v>
      </c>
      <c r="F14000" t="s">
        <v>12201</v>
      </c>
      <c r="G14000" t="s">
        <v>16439</v>
      </c>
      <c r="H14000" t="s">
        <v>21327</v>
      </c>
    </row>
    <row r="14001" spans="1:8">
      <c r="H14001" t="s">
        <v>21328</v>
      </c>
    </row>
    <row r="14002" spans="1:8">
      <c r="A14002" t="s">
        <v>451</v>
      </c>
      <c r="B14002">
        <f>HYPERLINK("https://android.googlesource.com/platform/cts/+/a90fb53676052e6661305dbd98340b0840850a83", "a90fb53676052e6661305dbd98340b0840850a83")</f>
        <v>0</v>
      </c>
      <c r="C14002">
        <f>HYPERLINK("https://android.googlesource.com/platform/cts/+/ee3927be9ea285a4c2096ddc975334fb55ec8fa9", "ee3927be9ea285a4c2096ddc975334fb55ec8fa9")</f>
        <v>0</v>
      </c>
      <c r="D14002" t="s">
        <v>5000</v>
      </c>
      <c r="E14002" t="s">
        <v>6243</v>
      </c>
      <c r="F14002" t="s">
        <v>10699</v>
      </c>
      <c r="G14002" t="s">
        <v>15099</v>
      </c>
      <c r="H14002" t="s">
        <v>21331</v>
      </c>
    </row>
    <row r="14003" spans="1:8">
      <c r="A14003" t="s">
        <v>452</v>
      </c>
      <c r="B14003">
        <f>HYPERLINK("https://android.googlesource.com/platform/cts/+/35773b44b85f7643dcbafa284c6623b05dfca64c", "35773b44b85f7643dcbafa284c6623b05dfca64c")</f>
        <v>0</v>
      </c>
      <c r="C14003">
        <f>HYPERLINK("https://android.googlesource.com/platform/cts/+/4b6589add5b641fadd4485445696eb4197da7c51", "4b6589add5b641fadd4485445696eb4197da7c51")</f>
        <v>0</v>
      </c>
      <c r="D14003" t="s">
        <v>4994</v>
      </c>
      <c r="E14003" t="s">
        <v>6244</v>
      </c>
      <c r="F14003" t="s">
        <v>10606</v>
      </c>
      <c r="G14003" t="s">
        <v>15009</v>
      </c>
      <c r="H14003" t="s">
        <v>21332</v>
      </c>
    </row>
    <row r="14004" spans="1:8">
      <c r="H14004" t="s">
        <v>21333</v>
      </c>
    </row>
    <row r="14005" spans="1:8">
      <c r="H14005" t="s">
        <v>21334</v>
      </c>
    </row>
    <row r="14006" spans="1:8">
      <c r="A14006" t="s">
        <v>453</v>
      </c>
      <c r="B14006">
        <f>HYPERLINK("https://android.googlesource.com/platform/cts/+/94165db4fbe29c734f5b86cb04ff7e5b4d154c4a", "94165db4fbe29c734f5b86cb04ff7e5b4d154c4a")</f>
        <v>0</v>
      </c>
      <c r="C14006">
        <f>HYPERLINK("https://android.googlesource.com/platform/cts/+/84f417ea17e15afde25eaed358dbf8e23fd5cbaf", "84f417ea17e15afde25eaed358dbf8e23fd5cbaf")</f>
        <v>0</v>
      </c>
      <c r="D14006" t="s">
        <v>5001</v>
      </c>
      <c r="E14006" t="s">
        <v>6245</v>
      </c>
      <c r="F14006" t="s">
        <v>12203</v>
      </c>
      <c r="G14006" t="s">
        <v>16441</v>
      </c>
      <c r="H14006" t="s">
        <v>21335</v>
      </c>
    </row>
    <row r="14007" spans="1:8">
      <c r="H14007" t="s">
        <v>18829</v>
      </c>
    </row>
    <row r="14008" spans="1:8">
      <c r="H14008" t="s">
        <v>21336</v>
      </c>
    </row>
    <row r="14009" spans="1:8">
      <c r="H14009" t="s">
        <v>21337</v>
      </c>
    </row>
    <row r="14010" spans="1:8">
      <c r="F14010" t="s">
        <v>12204</v>
      </c>
      <c r="G14010" t="s">
        <v>16442</v>
      </c>
      <c r="H14010" t="s">
        <v>21338</v>
      </c>
    </row>
    <row r="14011" spans="1:8">
      <c r="H14011" t="s">
        <v>18829</v>
      </c>
    </row>
    <row r="14012" spans="1:8">
      <c r="H14012" t="s">
        <v>21339</v>
      </c>
    </row>
    <row r="14013" spans="1:8">
      <c r="F14013" t="s">
        <v>12205</v>
      </c>
      <c r="G14013" t="s">
        <v>16443</v>
      </c>
      <c r="H14013" t="s">
        <v>21340</v>
      </c>
    </row>
    <row r="14014" spans="1:8">
      <c r="H14014" t="s">
        <v>18829</v>
      </c>
    </row>
    <row r="14015" spans="1:8">
      <c r="H14015" t="s">
        <v>21339</v>
      </c>
    </row>
    <row r="14016" spans="1:8">
      <c r="F14016" t="s">
        <v>12206</v>
      </c>
      <c r="G14016" t="s">
        <v>16444</v>
      </c>
      <c r="H14016" t="s">
        <v>21341</v>
      </c>
    </row>
    <row r="14017" spans="1:8">
      <c r="H14017" t="s">
        <v>18829</v>
      </c>
    </row>
    <row r="14018" spans="1:8">
      <c r="H14018" t="s">
        <v>21342</v>
      </c>
    </row>
    <row r="14019" spans="1:8">
      <c r="H14019" t="s">
        <v>21342</v>
      </c>
    </row>
    <row r="14020" spans="1:8">
      <c r="H14020" t="s">
        <v>21339</v>
      </c>
    </row>
    <row r="14021" spans="1:8">
      <c r="F14021" t="s">
        <v>10718</v>
      </c>
      <c r="G14021" t="s">
        <v>15117</v>
      </c>
      <c r="H14021" t="s">
        <v>21343</v>
      </c>
    </row>
    <row r="14022" spans="1:8">
      <c r="H14022" t="s">
        <v>18829</v>
      </c>
    </row>
    <row r="14023" spans="1:8">
      <c r="F14023" t="s">
        <v>12207</v>
      </c>
      <c r="G14023" t="s">
        <v>16445</v>
      </c>
      <c r="H14023" t="s">
        <v>21344</v>
      </c>
    </row>
    <row r="14024" spans="1:8">
      <c r="H14024" t="s">
        <v>18829</v>
      </c>
    </row>
    <row r="14025" spans="1:8">
      <c r="F14025" t="s">
        <v>10719</v>
      </c>
      <c r="G14025" t="s">
        <v>15118</v>
      </c>
      <c r="H14025" t="s">
        <v>21345</v>
      </c>
    </row>
    <row r="14026" spans="1:8">
      <c r="H14026" t="s">
        <v>18829</v>
      </c>
    </row>
    <row r="14027" spans="1:8">
      <c r="F14027" t="s">
        <v>10960</v>
      </c>
      <c r="G14027" t="s">
        <v>15352</v>
      </c>
      <c r="H14027" t="s">
        <v>21346</v>
      </c>
    </row>
    <row r="14028" spans="1:8">
      <c r="H14028" t="s">
        <v>18829</v>
      </c>
    </row>
    <row r="14029" spans="1:8">
      <c r="F14029" t="s">
        <v>12208</v>
      </c>
      <c r="G14029" t="s">
        <v>16446</v>
      </c>
      <c r="H14029" t="s">
        <v>21347</v>
      </c>
    </row>
    <row r="14030" spans="1:8">
      <c r="H14030" t="s">
        <v>18829</v>
      </c>
    </row>
    <row r="14031" spans="1:8">
      <c r="H14031" t="s">
        <v>21339</v>
      </c>
    </row>
    <row r="14032" spans="1:8">
      <c r="A14032" t="s">
        <v>454</v>
      </c>
      <c r="B14032">
        <f>HYPERLINK("https://android.googlesource.com/platform/cts/+/5ad500949841d429f31db0ddf1bcd2a9aa692012", "5ad500949841d429f31db0ddf1bcd2a9aa692012")</f>
        <v>0</v>
      </c>
      <c r="C14032">
        <f>HYPERLINK("https://android.googlesource.com/platform/cts/+/ac20e81bc597ce3d7c301f6059ca82c13d1c32df", "ac20e81bc597ce3d7c301f6059ca82c13d1c32df")</f>
        <v>0</v>
      </c>
      <c r="D14032" t="s">
        <v>5002</v>
      </c>
      <c r="E14032" t="s">
        <v>6246</v>
      </c>
      <c r="F14032" t="s">
        <v>12209</v>
      </c>
      <c r="G14032" t="s">
        <v>16447</v>
      </c>
      <c r="H14032" t="s">
        <v>21348</v>
      </c>
    </row>
    <row r="14033" spans="1:8">
      <c r="A14033" t="s">
        <v>455</v>
      </c>
      <c r="B14033">
        <f>HYPERLINK("https://android.googlesource.com/platform/cts/+/5e74e0acfd1b6785e3eb83fb3f58e6f338983271", "5e74e0acfd1b6785e3eb83fb3f58e6f338983271")</f>
        <v>0</v>
      </c>
      <c r="C14033">
        <f>HYPERLINK("https://android.googlesource.com/platform/cts/+/6ea76f81a49f537fb771d943d1c04350d78d9451", "6ea76f81a49f537fb771d943d1c04350d78d9451")</f>
        <v>0</v>
      </c>
      <c r="D14033" t="s">
        <v>5002</v>
      </c>
      <c r="E14033" t="s">
        <v>6247</v>
      </c>
      <c r="F14033" t="s">
        <v>12210</v>
      </c>
      <c r="G14033" t="s">
        <v>16448</v>
      </c>
      <c r="H14033" t="s">
        <v>21349</v>
      </c>
    </row>
    <row r="14034" spans="1:8">
      <c r="H14034" t="s">
        <v>21350</v>
      </c>
    </row>
    <row r="14035" spans="1:8">
      <c r="H14035" t="s">
        <v>21351</v>
      </c>
    </row>
    <row r="14036" spans="1:8">
      <c r="H14036" t="s">
        <v>21352</v>
      </c>
    </row>
    <row r="14037" spans="1:8">
      <c r="H14037" t="s">
        <v>21353</v>
      </c>
    </row>
    <row r="14038" spans="1:8">
      <c r="H14038" t="s">
        <v>21354</v>
      </c>
    </row>
    <row r="14039" spans="1:8">
      <c r="F14039" t="s">
        <v>12209</v>
      </c>
      <c r="G14039" t="s">
        <v>16447</v>
      </c>
      <c r="H14039" t="s">
        <v>21350</v>
      </c>
    </row>
    <row r="14040" spans="1:8">
      <c r="H14040" t="s">
        <v>21351</v>
      </c>
    </row>
    <row r="14041" spans="1:8">
      <c r="H14041" t="s">
        <v>21352</v>
      </c>
    </row>
    <row r="14042" spans="1:8">
      <c r="H14042" t="s">
        <v>21353</v>
      </c>
    </row>
    <row r="14043" spans="1:8">
      <c r="H14043" t="s">
        <v>21355</v>
      </c>
    </row>
    <row r="14044" spans="1:8">
      <c r="H14044" t="s">
        <v>21356</v>
      </c>
    </row>
    <row r="14045" spans="1:8">
      <c r="H14045" t="s">
        <v>21357</v>
      </c>
    </row>
    <row r="14046" spans="1:8">
      <c r="H14046" t="s">
        <v>18927</v>
      </c>
    </row>
    <row r="14047" spans="1:8">
      <c r="H14047" t="s">
        <v>20012</v>
      </c>
    </row>
    <row r="14048" spans="1:8">
      <c r="H14048" t="s">
        <v>21358</v>
      </c>
    </row>
    <row r="14049" spans="1:8">
      <c r="H14049" t="s">
        <v>21359</v>
      </c>
    </row>
    <row r="14050" spans="1:8">
      <c r="H14050" t="s">
        <v>21360</v>
      </c>
    </row>
    <row r="14051" spans="1:8">
      <c r="A14051" t="s">
        <v>456</v>
      </c>
      <c r="B14051">
        <f>HYPERLINK("https://android.googlesource.com/platform/cts/+/11a6875d8748fdc5514cfc49af182681a781f957", "11a6875d8748fdc5514cfc49af182681a781f957")</f>
        <v>0</v>
      </c>
      <c r="C14051">
        <f>HYPERLINK("https://android.googlesource.com/platform/cts/+/15e47193a78a260d87f820d6845d49ddaf5c91a1", "15e47193a78a260d87f820d6845d49ddaf5c91a1")</f>
        <v>0</v>
      </c>
      <c r="D14051" t="s">
        <v>4947</v>
      </c>
      <c r="E14051" t="s">
        <v>6248</v>
      </c>
      <c r="F14051" t="s">
        <v>10746</v>
      </c>
      <c r="G14051" t="s">
        <v>15145</v>
      </c>
      <c r="H14051" t="s">
        <v>21361</v>
      </c>
    </row>
    <row r="14052" spans="1:8">
      <c r="A14052" t="s">
        <v>457</v>
      </c>
      <c r="B14052">
        <f>HYPERLINK("https://android.googlesource.com/platform/cts/+/19dfe6fc5966bb9c1ceb0cf448b3a91737d5558f", "19dfe6fc5966bb9c1ceb0cf448b3a91737d5558f")</f>
        <v>0</v>
      </c>
      <c r="C14052">
        <f>HYPERLINK("https://android.googlesource.com/platform/cts/+/f8b53182ef88a5b0deaf1eb1d717152279f33280", "f8b53182ef88a5b0deaf1eb1d717152279f33280")</f>
        <v>0</v>
      </c>
      <c r="D14052" t="s">
        <v>5003</v>
      </c>
      <c r="E14052" t="s">
        <v>6249</v>
      </c>
      <c r="F14052" t="s">
        <v>12211</v>
      </c>
      <c r="G14052" t="s">
        <v>16449</v>
      </c>
      <c r="H14052" t="s">
        <v>21362</v>
      </c>
    </row>
    <row r="14053" spans="1:8">
      <c r="H14053" t="s">
        <v>21363</v>
      </c>
    </row>
    <row r="14054" spans="1:8">
      <c r="H14054" t="s">
        <v>21364</v>
      </c>
    </row>
    <row r="14055" spans="1:8">
      <c r="A14055" t="s">
        <v>458</v>
      </c>
      <c r="B14055">
        <f>HYPERLINK("https://android.googlesource.com/platform/cts/+/5d7cb1678cea7eaf44ec641900379031ea74b62a", "5d7cb1678cea7eaf44ec641900379031ea74b62a")</f>
        <v>0</v>
      </c>
      <c r="C14055">
        <f>HYPERLINK("https://android.googlesource.com/platform/cts/+/5a1f0b0fb3478b89e2c79c2ca2a2f0446f0c869f", "5a1f0b0fb3478b89e2c79c2ca2a2f0446f0c869f")</f>
        <v>0</v>
      </c>
      <c r="D14055" t="s">
        <v>4966</v>
      </c>
      <c r="E14055" t="s">
        <v>6250</v>
      </c>
      <c r="F14055" t="s">
        <v>10819</v>
      </c>
      <c r="G14055" t="s">
        <v>15214</v>
      </c>
      <c r="H14055" t="s">
        <v>20104</v>
      </c>
    </row>
    <row r="14056" spans="1:8">
      <c r="F14056" t="s">
        <v>10820</v>
      </c>
      <c r="G14056" t="s">
        <v>15215</v>
      </c>
      <c r="H14056" t="s">
        <v>20102</v>
      </c>
    </row>
    <row r="14057" spans="1:8">
      <c r="F14057" t="s">
        <v>10821</v>
      </c>
      <c r="G14057" t="s">
        <v>15216</v>
      </c>
      <c r="H14057" t="s">
        <v>20104</v>
      </c>
    </row>
    <row r="14058" spans="1:8">
      <c r="F14058" t="s">
        <v>10823</v>
      </c>
      <c r="G14058" t="s">
        <v>15218</v>
      </c>
      <c r="H14058" t="s">
        <v>20102</v>
      </c>
    </row>
    <row r="14059" spans="1:8">
      <c r="F14059" t="s">
        <v>12212</v>
      </c>
      <c r="G14059" t="s">
        <v>15614</v>
      </c>
      <c r="H14059" t="s">
        <v>20100</v>
      </c>
    </row>
    <row r="14060" spans="1:8">
      <c r="F14060" t="s">
        <v>12213</v>
      </c>
      <c r="G14060" t="s">
        <v>15615</v>
      </c>
      <c r="H14060" t="s">
        <v>20100</v>
      </c>
    </row>
    <row r="14061" spans="1:8">
      <c r="F14061" t="s">
        <v>12214</v>
      </c>
      <c r="G14061" t="s">
        <v>15616</v>
      </c>
      <c r="H14061" t="s">
        <v>20100</v>
      </c>
    </row>
    <row r="14062" spans="1:8">
      <c r="F14062" t="s">
        <v>12215</v>
      </c>
      <c r="G14062" t="s">
        <v>15618</v>
      </c>
      <c r="H14062" t="s">
        <v>20100</v>
      </c>
    </row>
    <row r="14063" spans="1:8">
      <c r="F14063" t="s">
        <v>12216</v>
      </c>
      <c r="G14063" t="s">
        <v>15649</v>
      </c>
      <c r="H14063" t="s">
        <v>20100</v>
      </c>
    </row>
    <row r="14064" spans="1:8">
      <c r="F14064" t="s">
        <v>12217</v>
      </c>
      <c r="G14064" t="s">
        <v>15650</v>
      </c>
      <c r="H14064" t="s">
        <v>20100</v>
      </c>
    </row>
    <row r="14065" spans="1:8">
      <c r="F14065" t="s">
        <v>12218</v>
      </c>
      <c r="G14065" t="s">
        <v>15651</v>
      </c>
      <c r="H14065" t="s">
        <v>20100</v>
      </c>
    </row>
    <row r="14066" spans="1:8">
      <c r="F14066" t="s">
        <v>12219</v>
      </c>
      <c r="G14066" t="s">
        <v>15653</v>
      </c>
      <c r="H14066" t="s">
        <v>20100</v>
      </c>
    </row>
    <row r="14067" spans="1:8">
      <c r="A14067" t="s">
        <v>459</v>
      </c>
      <c r="B14067">
        <f>HYPERLINK("https://android.googlesource.com/platform/cts/+/d503191ac4c105a7ba5896e72f76162b94100b31", "d503191ac4c105a7ba5896e72f76162b94100b31")</f>
        <v>0</v>
      </c>
      <c r="C14067">
        <f>HYPERLINK("https://android.googlesource.com/platform/cts/+/33bc7ecba27a1abf77352140be8e57f201068573", "33bc7ecba27a1abf77352140be8e57f201068573")</f>
        <v>0</v>
      </c>
      <c r="D14067" t="s">
        <v>4967</v>
      </c>
      <c r="E14067" t="s">
        <v>6251</v>
      </c>
      <c r="F14067" t="s">
        <v>12220</v>
      </c>
      <c r="G14067" t="s">
        <v>16450</v>
      </c>
      <c r="H14067" t="s">
        <v>21365</v>
      </c>
    </row>
    <row r="14068" spans="1:8">
      <c r="H14068" t="s">
        <v>21366</v>
      </c>
    </row>
    <row r="14069" spans="1:8">
      <c r="H14069" t="s">
        <v>21367</v>
      </c>
    </row>
    <row r="14070" spans="1:8">
      <c r="A14070" t="s">
        <v>460</v>
      </c>
      <c r="B14070">
        <f>HYPERLINK("https://android.googlesource.com/platform/cts/+/3cdd0d4a151b81a68af45366314a753a5dab98a2", "3cdd0d4a151b81a68af45366314a753a5dab98a2")</f>
        <v>0</v>
      </c>
      <c r="C14070">
        <f>HYPERLINK("https://android.googlesource.com/platform/cts/+/efc60de3235a12bfd6ba3ddb9fb3cc9a56a1bfdb", "efc60de3235a12bfd6ba3ddb9fb3cc9a56a1bfdb")</f>
        <v>0</v>
      </c>
      <c r="D14070" t="s">
        <v>5002</v>
      </c>
      <c r="E14070" t="s">
        <v>6252</v>
      </c>
      <c r="F14070" t="s">
        <v>12189</v>
      </c>
      <c r="G14070" t="s">
        <v>16428</v>
      </c>
      <c r="H14070" t="s">
        <v>21299</v>
      </c>
    </row>
    <row r="14071" spans="1:8">
      <c r="H14071" t="s">
        <v>18863</v>
      </c>
    </row>
    <row r="14072" spans="1:8">
      <c r="H14072" t="s">
        <v>21300</v>
      </c>
    </row>
    <row r="14073" spans="1:8">
      <c r="A14073" t="s">
        <v>461</v>
      </c>
      <c r="B14073">
        <f>HYPERLINK("https://android.googlesource.com/platform/cts/+/ce9cb7f81aafc8429095dba1e046cfb3f0df1f15", "ce9cb7f81aafc8429095dba1e046cfb3f0df1f15")</f>
        <v>0</v>
      </c>
      <c r="C14073">
        <f>HYPERLINK("https://android.googlesource.com/platform/cts/+/c1e7f652fef7c6f5c9d5c92481485e047ce18083", "c1e7f652fef7c6f5c9d5c92481485e047ce18083")</f>
        <v>0</v>
      </c>
      <c r="D14073" t="s">
        <v>4981</v>
      </c>
      <c r="E14073" t="s">
        <v>6253</v>
      </c>
      <c r="F14073" t="s">
        <v>10599</v>
      </c>
      <c r="G14073" t="s">
        <v>15002</v>
      </c>
      <c r="H14073" t="s">
        <v>21368</v>
      </c>
    </row>
    <row r="14074" spans="1:8">
      <c r="A14074" t="s">
        <v>462</v>
      </c>
      <c r="B14074">
        <f>HYPERLINK("https://android.googlesource.com/platform/cts/+/af24d26266225ba0769b2243bc8c607212914e3a", "af24d26266225ba0769b2243bc8c607212914e3a")</f>
        <v>0</v>
      </c>
      <c r="C14074">
        <f>HYPERLINK("https://android.googlesource.com/platform/cts/+/f4bf745d727abf46b5e6d756d01a056dc91eb372", "f4bf745d727abf46b5e6d756d01a056dc91eb372")</f>
        <v>0</v>
      </c>
      <c r="D14074" t="s">
        <v>5004</v>
      </c>
      <c r="E14074" t="s">
        <v>6254</v>
      </c>
      <c r="F14074" t="s">
        <v>12221</v>
      </c>
      <c r="G14074" t="s">
        <v>16451</v>
      </c>
      <c r="H14074" t="s">
        <v>21369</v>
      </c>
    </row>
    <row r="14075" spans="1:8">
      <c r="A14075" t="s">
        <v>463</v>
      </c>
      <c r="B14075">
        <f>HYPERLINK("https://android.googlesource.com/platform/cts/+/d37bc1981a1ee1ca1e36cede69ad46933dacc963", "d37bc1981a1ee1ca1e36cede69ad46933dacc963")</f>
        <v>0</v>
      </c>
      <c r="C14075">
        <f>HYPERLINK("https://android.googlesource.com/platform/cts/+/86f5853419163efea85e9e3e95c1fe0ce0b80b60", "86f5853419163efea85e9e3e95c1fe0ce0b80b60")</f>
        <v>0</v>
      </c>
      <c r="D14075" t="s">
        <v>4952</v>
      </c>
      <c r="E14075" t="s">
        <v>6255</v>
      </c>
      <c r="F14075" t="s">
        <v>12222</v>
      </c>
      <c r="G14075" t="s">
        <v>16452</v>
      </c>
      <c r="H14075" t="s">
        <v>21370</v>
      </c>
    </row>
    <row r="14076" spans="1:8">
      <c r="A14076" t="s">
        <v>464</v>
      </c>
      <c r="B14076">
        <f>HYPERLINK("https://android.googlesource.com/platform/cts/+/d64e65abba0f2ee9f992f429868324fa2c4acfda", "d64e65abba0f2ee9f992f429868324fa2c4acfda")</f>
        <v>0</v>
      </c>
      <c r="C14076">
        <f>HYPERLINK("https://android.googlesource.com/platform/cts/+/7889cbe790e86e9c02a0d77cb571ef5c9059b282", "7889cbe790e86e9c02a0d77cb571ef5c9059b282")</f>
        <v>0</v>
      </c>
      <c r="D14076" t="s">
        <v>4997</v>
      </c>
      <c r="E14076" t="s">
        <v>6256</v>
      </c>
      <c r="F14076" t="s">
        <v>12191</v>
      </c>
      <c r="G14076" t="s">
        <v>16430</v>
      </c>
      <c r="H14076" t="s">
        <v>21371</v>
      </c>
    </row>
    <row r="14077" spans="1:8">
      <c r="A14077" t="s">
        <v>465</v>
      </c>
      <c r="B14077">
        <f>HYPERLINK("https://android.googlesource.com/platform/cts/+/139d0a4fb780ce2cb46f56146ba32904c2373006", "139d0a4fb780ce2cb46f56146ba32904c2373006")</f>
        <v>0</v>
      </c>
      <c r="C14077">
        <f>HYPERLINK("https://android.googlesource.com/platform/cts/+/5b42ea303e612e44a7fb96b43db479b21a43992b", "5b42ea303e612e44a7fb96b43db479b21a43992b")</f>
        <v>0</v>
      </c>
      <c r="D14077" t="s">
        <v>4963</v>
      </c>
      <c r="E14077" t="s">
        <v>6257</v>
      </c>
      <c r="F14077" t="s">
        <v>12223</v>
      </c>
      <c r="G14077" t="s">
        <v>16453</v>
      </c>
      <c r="H14077" t="s">
        <v>21372</v>
      </c>
    </row>
    <row r="14078" spans="1:8">
      <c r="F14078" t="s">
        <v>12224</v>
      </c>
      <c r="G14078" t="s">
        <v>16454</v>
      </c>
      <c r="H14078" t="s">
        <v>21373</v>
      </c>
    </row>
    <row r="14079" spans="1:8">
      <c r="A14079" t="s">
        <v>466</v>
      </c>
      <c r="B14079">
        <f>HYPERLINK("https://android.googlesource.com/platform/cts/+/a6886a2276483a64cec469a04ed09873809a00e4", "a6886a2276483a64cec469a04ed09873809a00e4")</f>
        <v>0</v>
      </c>
      <c r="C14079">
        <f>HYPERLINK("https://android.googlesource.com/platform/cts/+/d6e20d8f8d6b2ff1bfba5464b7089ee6e6ae617f", "d6e20d8f8d6b2ff1bfba5464b7089ee6e6ae617f")</f>
        <v>0</v>
      </c>
      <c r="D14079" t="s">
        <v>4947</v>
      </c>
      <c r="E14079" t="s">
        <v>6258</v>
      </c>
      <c r="F14079" t="s">
        <v>10746</v>
      </c>
      <c r="G14079" t="s">
        <v>15145</v>
      </c>
      <c r="H14079" t="s">
        <v>21374</v>
      </c>
    </row>
    <row r="14080" spans="1:8">
      <c r="H14080" t="s">
        <v>21375</v>
      </c>
    </row>
    <row r="14081" spans="1:8">
      <c r="A14081" t="s">
        <v>467</v>
      </c>
      <c r="B14081">
        <f>HYPERLINK("https://android.googlesource.com/platform/cts/+/cb35803b31a8c0fe5e767e7a57632757c751346c", "cb35803b31a8c0fe5e767e7a57632757c751346c")</f>
        <v>0</v>
      </c>
      <c r="C14081">
        <f>HYPERLINK("https://android.googlesource.com/platform/cts/+/d6e20d8f8d6b2ff1bfba5464b7089ee6e6ae617f", "d6e20d8f8d6b2ff1bfba5464b7089ee6e6ae617f")</f>
        <v>0</v>
      </c>
      <c r="D14081" t="s">
        <v>4963</v>
      </c>
      <c r="E14081" t="s">
        <v>6259</v>
      </c>
      <c r="F14081" t="s">
        <v>11447</v>
      </c>
      <c r="G14081" t="s">
        <v>15687</v>
      </c>
      <c r="H14081" t="s">
        <v>21376</v>
      </c>
    </row>
    <row r="14082" spans="1:8">
      <c r="A14082" t="s">
        <v>468</v>
      </c>
      <c r="B14082">
        <f>HYPERLINK("https://android.googlesource.com/platform/cts/+/0af3a299287107db6a31b4815cefee951591f8be", "0af3a299287107db6a31b4815cefee951591f8be")</f>
        <v>0</v>
      </c>
      <c r="C14082">
        <f>HYPERLINK("https://android.googlesource.com/platform/cts/+/2fea03234b0374a4b55e39fe68294f63984ecadf", "2fea03234b0374a4b55e39fe68294f63984ecadf")</f>
        <v>0</v>
      </c>
      <c r="D14082" t="s">
        <v>4963</v>
      </c>
      <c r="E14082" t="s">
        <v>6260</v>
      </c>
      <c r="F14082" t="s">
        <v>11447</v>
      </c>
      <c r="G14082" t="s">
        <v>15687</v>
      </c>
      <c r="H14082" t="s">
        <v>21376</v>
      </c>
    </row>
    <row r="14083" spans="1:8">
      <c r="A14083" t="s">
        <v>469</v>
      </c>
      <c r="B14083">
        <f>HYPERLINK("https://android.googlesource.com/platform/cts/+/7772287ee149224ffcc934fb35702f63f54ccf29", "7772287ee149224ffcc934fb35702f63f54ccf29")</f>
        <v>0</v>
      </c>
      <c r="C14083">
        <f>HYPERLINK("https://android.googlesource.com/platform/cts/+/62552546ce41d2dc42a65fedfafefb2b58dac4d0", "62552546ce41d2dc42a65fedfafefb2b58dac4d0")</f>
        <v>0</v>
      </c>
      <c r="D14083" t="s">
        <v>5005</v>
      </c>
      <c r="E14083" t="s">
        <v>6261</v>
      </c>
      <c r="F14083" t="s">
        <v>12182</v>
      </c>
      <c r="G14083" t="s">
        <v>16421</v>
      </c>
      <c r="H14083" t="s">
        <v>21377</v>
      </c>
    </row>
    <row r="14084" spans="1:8">
      <c r="A14084" t="s">
        <v>470</v>
      </c>
      <c r="B14084">
        <f>HYPERLINK("https://android.googlesource.com/platform/cts/+/92f595c519f8c95b081f9cf2573df216876a8b3e", "92f595c519f8c95b081f9cf2573df216876a8b3e")</f>
        <v>0</v>
      </c>
      <c r="C14084">
        <f>HYPERLINK("https://android.googlesource.com/platform/cts/+/cf17d3237c4b2dd1e50a03d771781f6d0361f9d3", "cf17d3237c4b2dd1e50a03d771781f6d0361f9d3")</f>
        <v>0</v>
      </c>
      <c r="D14084" t="s">
        <v>4978</v>
      </c>
      <c r="E14084" t="s">
        <v>6262</v>
      </c>
      <c r="F14084" t="s">
        <v>12225</v>
      </c>
      <c r="G14084" t="s">
        <v>16455</v>
      </c>
      <c r="H14084" t="s">
        <v>21378</v>
      </c>
    </row>
    <row r="14085" spans="1:8">
      <c r="H14085" t="s">
        <v>21379</v>
      </c>
    </row>
    <row r="14086" spans="1:8">
      <c r="A14086" t="s">
        <v>471</v>
      </c>
      <c r="B14086">
        <f>HYPERLINK("https://android.googlesource.com/platform/cts/+/9cd57b6389dd8a4342c68951061d1807994c4e57", "9cd57b6389dd8a4342c68951061d1807994c4e57")</f>
        <v>0</v>
      </c>
      <c r="C14086">
        <f>HYPERLINK("https://android.googlesource.com/platform/cts/+/bc1cc90f39db26738cc7eacb0968b059a43aff7b", "bc1cc90f39db26738cc7eacb0968b059a43aff7b")</f>
        <v>0</v>
      </c>
      <c r="D14086" t="s">
        <v>4997</v>
      </c>
      <c r="E14086" t="s">
        <v>6263</v>
      </c>
      <c r="F14086" t="s">
        <v>12191</v>
      </c>
      <c r="G14086" t="s">
        <v>16430</v>
      </c>
      <c r="H14086" t="s">
        <v>21380</v>
      </c>
    </row>
    <row r="14087" spans="1:8">
      <c r="A14087" t="s">
        <v>472</v>
      </c>
      <c r="B14087">
        <f>HYPERLINK("https://android.googlesource.com/platform/cts/+/856e679dd8825d6347d881a2878089cb9af3e836", "856e679dd8825d6347d881a2878089cb9af3e836")</f>
        <v>0</v>
      </c>
      <c r="C14087">
        <f>HYPERLINK("https://android.googlesource.com/platform/cts/+/71cf2ec399af57d6750a822941c19aeb3d7c3b2c", "71cf2ec399af57d6750a822941c19aeb3d7c3b2c")</f>
        <v>0</v>
      </c>
      <c r="D14087" t="s">
        <v>4983</v>
      </c>
      <c r="E14087" t="s">
        <v>6263</v>
      </c>
      <c r="F14087" t="s">
        <v>12191</v>
      </c>
      <c r="G14087" t="s">
        <v>16430</v>
      </c>
      <c r="H14087" t="s">
        <v>21380</v>
      </c>
    </row>
    <row r="14088" spans="1:8">
      <c r="A14088" t="s">
        <v>473</v>
      </c>
      <c r="B14088">
        <f>HYPERLINK("https://android.googlesource.com/platform/cts/+/e3a79a8bdf322635c5634bd6ad41ab5e3c3b065a", "e3a79a8bdf322635c5634bd6ad41ab5e3c3b065a")</f>
        <v>0</v>
      </c>
      <c r="C14088">
        <f>HYPERLINK("https://android.googlesource.com/platform/cts/+/81616f80bd1b2af1e551f5a60d03a7a2f3345e5e", "81616f80bd1b2af1e551f5a60d03a7a2f3345e5e")</f>
        <v>0</v>
      </c>
      <c r="D14088" t="s">
        <v>5006</v>
      </c>
      <c r="E14088" t="s">
        <v>6264</v>
      </c>
      <c r="F14088" t="s">
        <v>10699</v>
      </c>
      <c r="G14088" t="s">
        <v>15099</v>
      </c>
      <c r="H14088" t="s">
        <v>21381</v>
      </c>
    </row>
    <row r="14089" spans="1:8">
      <c r="A14089" t="s">
        <v>474</v>
      </c>
      <c r="B14089">
        <f>HYPERLINK("https://android.googlesource.com/platform/cts/+/af23ba4a948e5da5f820fc640cd168346e4778a7", "af23ba4a948e5da5f820fc640cd168346e4778a7")</f>
        <v>0</v>
      </c>
      <c r="C14089">
        <f>HYPERLINK("https://android.googlesource.com/platform/cts/+/17af2e602886a8d33716a4c745f757db029e0901", "17af2e602886a8d33716a4c745f757db029e0901")</f>
        <v>0</v>
      </c>
      <c r="D14089" t="s">
        <v>5007</v>
      </c>
      <c r="E14089" t="s">
        <v>6265</v>
      </c>
      <c r="F14089" t="s">
        <v>12226</v>
      </c>
      <c r="G14089" t="s">
        <v>16456</v>
      </c>
      <c r="H14089" t="s">
        <v>21382</v>
      </c>
    </row>
    <row r="14090" spans="1:8">
      <c r="H14090" t="s">
        <v>21383</v>
      </c>
    </row>
    <row r="14091" spans="1:8">
      <c r="A14091" t="s">
        <v>475</v>
      </c>
      <c r="B14091">
        <f>HYPERLINK("https://android.googlesource.com/platform/cts/+/275cbc88ac41bf7e49309a99bde441d1c64fc077", "275cbc88ac41bf7e49309a99bde441d1c64fc077")</f>
        <v>0</v>
      </c>
      <c r="C14091">
        <f>HYPERLINK("https://android.googlesource.com/platform/cts/+/17af2e602886a8d33716a4c745f757db029e0901", "17af2e602886a8d33716a4c745f757db029e0901")</f>
        <v>0</v>
      </c>
      <c r="D14091" t="s">
        <v>5008</v>
      </c>
      <c r="E14091" t="s">
        <v>6266</v>
      </c>
      <c r="F14091" t="s">
        <v>12176</v>
      </c>
      <c r="G14091" t="s">
        <v>16415</v>
      </c>
      <c r="H14091" t="s">
        <v>21384</v>
      </c>
    </row>
    <row r="14092" spans="1:8">
      <c r="H14092" t="s">
        <v>21385</v>
      </c>
    </row>
    <row r="14093" spans="1:8">
      <c r="H14093" t="s">
        <v>21386</v>
      </c>
    </row>
    <row r="14094" spans="1:8">
      <c r="H14094" t="s">
        <v>21387</v>
      </c>
    </row>
    <row r="14095" spans="1:8">
      <c r="H14095" t="s">
        <v>21388</v>
      </c>
    </row>
    <row r="14096" spans="1:8">
      <c r="H14096" t="s">
        <v>21389</v>
      </c>
    </row>
    <row r="14097" spans="1:8">
      <c r="H14097" t="s">
        <v>21390</v>
      </c>
    </row>
    <row r="14098" spans="1:8">
      <c r="H14098" t="s">
        <v>21391</v>
      </c>
    </row>
    <row r="14099" spans="1:8">
      <c r="H14099" t="s">
        <v>21392</v>
      </c>
    </row>
    <row r="14100" spans="1:8">
      <c r="H14100" t="s">
        <v>21393</v>
      </c>
    </row>
    <row r="14101" spans="1:8">
      <c r="H14101" t="s">
        <v>21394</v>
      </c>
    </row>
    <row r="14102" spans="1:8">
      <c r="H14102" t="s">
        <v>21395</v>
      </c>
    </row>
    <row r="14103" spans="1:8">
      <c r="A14103" t="s">
        <v>476</v>
      </c>
      <c r="B14103">
        <f>HYPERLINK("https://android.googlesource.com/platform/cts/+/3bd4d67f3da67774db6a9a24ea77a7128591b232", "3bd4d67f3da67774db6a9a24ea77a7128591b232")</f>
        <v>0</v>
      </c>
      <c r="C14103">
        <f>HYPERLINK("https://android.googlesource.com/platform/cts/+/7e1eabf75371e5e4c3a0c444d019322c85e37373", "7e1eabf75371e5e4c3a0c444d019322c85e37373")</f>
        <v>0</v>
      </c>
      <c r="D14103" t="s">
        <v>5002</v>
      </c>
      <c r="E14103" t="s">
        <v>6267</v>
      </c>
      <c r="F14103" t="s">
        <v>10676</v>
      </c>
      <c r="G14103" t="s">
        <v>15076</v>
      </c>
      <c r="H14103" t="s">
        <v>21396</v>
      </c>
    </row>
    <row r="14104" spans="1:8">
      <c r="A14104" t="s">
        <v>477</v>
      </c>
      <c r="B14104">
        <f>HYPERLINK("https://android.googlesource.com/platform/cts/+/3740265ff4396d162dd427c63da9d1705e7ebbe8", "3740265ff4396d162dd427c63da9d1705e7ebbe8")</f>
        <v>0</v>
      </c>
      <c r="C14104">
        <f>HYPERLINK("https://android.googlesource.com/platform/cts/+/0c1bf5ffb33614cd3aa16d0c99bbbff230e0f402", "0c1bf5ffb33614cd3aa16d0c99bbbff230e0f402")</f>
        <v>0</v>
      </c>
      <c r="D14104" t="s">
        <v>4981</v>
      </c>
      <c r="E14104" t="s">
        <v>6268</v>
      </c>
      <c r="F14104" t="s">
        <v>12227</v>
      </c>
      <c r="G14104" t="s">
        <v>16457</v>
      </c>
      <c r="H14104" t="s">
        <v>21397</v>
      </c>
    </row>
    <row r="14105" spans="1:8">
      <c r="A14105" t="s">
        <v>478</v>
      </c>
      <c r="B14105">
        <f>HYPERLINK("https://android.googlesource.com/platform/cts/+/9053ec5e25e6b6bc27912804812ba2b37991829f", "9053ec5e25e6b6bc27912804812ba2b37991829f")</f>
        <v>0</v>
      </c>
      <c r="C14105">
        <f>HYPERLINK("https://android.googlesource.com/platform/cts/+/3740265ff4396d162dd427c63da9d1705e7ebbe8", "3740265ff4396d162dd427c63da9d1705e7ebbe8")</f>
        <v>0</v>
      </c>
      <c r="D14105" t="s">
        <v>4981</v>
      </c>
      <c r="E14105" t="s">
        <v>6269</v>
      </c>
      <c r="F14105" t="s">
        <v>10649</v>
      </c>
      <c r="G14105" t="s">
        <v>15050</v>
      </c>
      <c r="H14105" t="s">
        <v>21398</v>
      </c>
    </row>
    <row r="14106" spans="1:8">
      <c r="A14106" t="s">
        <v>479</v>
      </c>
      <c r="B14106">
        <f>HYPERLINK("https://android.googlesource.com/platform/cts/+/f012f361b67e121d80e54f90523e4e5ff8ba3144", "f012f361b67e121d80e54f90523e4e5ff8ba3144")</f>
        <v>0</v>
      </c>
      <c r="C14106">
        <f>HYPERLINK("https://android.googlesource.com/platform/cts/+/a9b79909a0632ef04f4a63e08ed6ba2130405585", "a9b79909a0632ef04f4a63e08ed6ba2130405585")</f>
        <v>0</v>
      </c>
      <c r="D14106" t="s">
        <v>4983</v>
      </c>
      <c r="E14106" t="s">
        <v>6267</v>
      </c>
      <c r="F14106" t="s">
        <v>10676</v>
      </c>
      <c r="G14106" t="s">
        <v>15076</v>
      </c>
      <c r="H14106" t="s">
        <v>21396</v>
      </c>
    </row>
    <row r="14107" spans="1:8">
      <c r="A14107" t="s">
        <v>480</v>
      </c>
      <c r="B14107">
        <f>HYPERLINK("https://android.googlesource.com/platform/cts/+/ad8714e35bf04ebd5cc45a15f9727b73e0ac877f", "ad8714e35bf04ebd5cc45a15f9727b73e0ac877f")</f>
        <v>0</v>
      </c>
      <c r="C14107">
        <f>HYPERLINK("https://android.googlesource.com/platform/cts/+/9a1e9f9ea34a4829116fd3be1b7d88f758f544d0", "9a1e9f9ea34a4829116fd3be1b7d88f758f544d0")</f>
        <v>0</v>
      </c>
      <c r="D14107" t="s">
        <v>5009</v>
      </c>
      <c r="E14107" t="s">
        <v>6267</v>
      </c>
      <c r="F14107" t="s">
        <v>10676</v>
      </c>
      <c r="G14107" t="s">
        <v>15076</v>
      </c>
      <c r="H14107" t="s">
        <v>21396</v>
      </c>
    </row>
    <row r="14108" spans="1:8">
      <c r="A14108" t="s">
        <v>480</v>
      </c>
      <c r="B14108">
        <f>HYPERLINK("https://android.googlesource.com/platform/cts/+/dea2acdb056ba3c198298814a71ae00fa92daa49", "dea2acdb056ba3c198298814a71ae00fa92daa49")</f>
        <v>0</v>
      </c>
      <c r="C14108">
        <f>HYPERLINK("https://android.googlesource.com/platform/cts/+/ad8714e35bf04ebd5cc45a15f9727b73e0ac877f", "ad8714e35bf04ebd5cc45a15f9727b73e0ac877f")</f>
        <v>0</v>
      </c>
      <c r="D14108" t="s">
        <v>5009</v>
      </c>
      <c r="E14108" t="s">
        <v>6268</v>
      </c>
      <c r="F14108" t="s">
        <v>12227</v>
      </c>
      <c r="G14108" t="s">
        <v>16457</v>
      </c>
      <c r="H14108" t="s">
        <v>21397</v>
      </c>
    </row>
    <row r="14109" spans="1:8">
      <c r="A14109" t="s">
        <v>481</v>
      </c>
      <c r="B14109">
        <f>HYPERLINK("https://android.googlesource.com/platform/cts/+/15e98cc5d8b00775b80e578f8735da8e1d9642e0", "15e98cc5d8b00775b80e578f8735da8e1d9642e0")</f>
        <v>0</v>
      </c>
      <c r="C14109">
        <f>HYPERLINK("https://android.googlesource.com/platform/cts/+/f012f361b67e121d80e54f90523e4e5ff8ba3144", "f012f361b67e121d80e54f90523e4e5ff8ba3144")</f>
        <v>0</v>
      </c>
      <c r="D14109" t="s">
        <v>4983</v>
      </c>
      <c r="E14109" t="s">
        <v>6268</v>
      </c>
      <c r="F14109" t="s">
        <v>12227</v>
      </c>
      <c r="G14109" t="s">
        <v>16457</v>
      </c>
      <c r="H14109" t="s">
        <v>21397</v>
      </c>
    </row>
    <row r="14110" spans="1:8">
      <c r="A14110" t="s">
        <v>482</v>
      </c>
      <c r="B14110">
        <f>HYPERLINK("https://android.googlesource.com/platform/cts/+/2aef7b8f8f9e75bd72fc5c75acc7dbca07659daf", "2aef7b8f8f9e75bd72fc5c75acc7dbca07659daf")</f>
        <v>0</v>
      </c>
      <c r="C14110">
        <f>HYPERLINK("https://android.googlesource.com/platform/cts/+/15e98cc5d8b00775b80e578f8735da8e1d9642e0", "15e98cc5d8b00775b80e578f8735da8e1d9642e0")</f>
        <v>0</v>
      </c>
      <c r="D14110" t="s">
        <v>4983</v>
      </c>
      <c r="E14110" t="s">
        <v>6269</v>
      </c>
      <c r="F14110" t="s">
        <v>10649</v>
      </c>
      <c r="G14110" t="s">
        <v>15050</v>
      </c>
      <c r="H14110" t="s">
        <v>21398</v>
      </c>
    </row>
    <row r="14111" spans="1:8">
      <c r="A14111" t="s">
        <v>483</v>
      </c>
      <c r="B14111">
        <f>HYPERLINK("https://android.googlesource.com/platform/cts/+/76ee5a0c579770d36d19468a169c5a07f00c7056", "76ee5a0c579770d36d19468a169c5a07f00c7056")</f>
        <v>0</v>
      </c>
      <c r="C14111">
        <f>HYPERLINK("https://android.googlesource.com/platform/cts/+/217c4eae7164b041a8600c939d4b3483a0aa9967", "217c4eae7164b041a8600c939d4b3483a0aa9967")</f>
        <v>0</v>
      </c>
      <c r="D14111" t="s">
        <v>4983</v>
      </c>
      <c r="E14111" t="s">
        <v>6270</v>
      </c>
      <c r="F14111" t="s">
        <v>12225</v>
      </c>
      <c r="G14111" t="s">
        <v>16455</v>
      </c>
      <c r="H14111" t="s">
        <v>21399</v>
      </c>
    </row>
    <row r="14112" spans="1:8">
      <c r="H14112" t="s">
        <v>21400</v>
      </c>
    </row>
    <row r="14113" spans="1:8">
      <c r="H14113" t="s">
        <v>21401</v>
      </c>
    </row>
    <row r="14114" spans="1:8">
      <c r="H14114" t="s">
        <v>21402</v>
      </c>
    </row>
    <row r="14115" spans="1:8">
      <c r="H14115" t="s">
        <v>21403</v>
      </c>
    </row>
    <row r="14116" spans="1:8">
      <c r="H14116" t="s">
        <v>21404</v>
      </c>
    </row>
    <row r="14117" spans="1:8">
      <c r="H14117" t="s">
        <v>21405</v>
      </c>
    </row>
    <row r="14118" spans="1:8">
      <c r="A14118" t="s">
        <v>484</v>
      </c>
      <c r="B14118">
        <f>HYPERLINK("https://android.googlesource.com/platform/cts/+/9d3287caee7f8ff847cd1748a968c535b2138120", "9d3287caee7f8ff847cd1748a968c535b2138120")</f>
        <v>0</v>
      </c>
      <c r="C14118">
        <f>HYPERLINK("https://android.googlesource.com/platform/cts/+/76ee5a0c579770d36d19468a169c5a07f00c7056", "76ee5a0c579770d36d19468a169c5a07f00c7056")</f>
        <v>0</v>
      </c>
      <c r="D14118" t="s">
        <v>4983</v>
      </c>
      <c r="E14118" t="s">
        <v>6271</v>
      </c>
      <c r="F14118" t="s">
        <v>12221</v>
      </c>
      <c r="G14118" t="s">
        <v>16451</v>
      </c>
      <c r="H14118" t="s">
        <v>21369</v>
      </c>
    </row>
    <row r="14119" spans="1:8">
      <c r="A14119" t="s">
        <v>485</v>
      </c>
      <c r="B14119">
        <f>HYPERLINK("https://android.googlesource.com/platform/cts/+/14b7a5e08fac86125cc0c6adff2b1eb8721ee71b", "14b7a5e08fac86125cc0c6adff2b1eb8721ee71b")</f>
        <v>0</v>
      </c>
      <c r="C14119">
        <f>HYPERLINK("https://android.googlesource.com/platform/cts/+/6338a97700f0b598d78860696c304a21d74592dc", "6338a97700f0b598d78860696c304a21d74592dc")</f>
        <v>0</v>
      </c>
      <c r="D14119" t="s">
        <v>5010</v>
      </c>
      <c r="E14119" t="s">
        <v>6272</v>
      </c>
      <c r="F14119" t="s">
        <v>12225</v>
      </c>
      <c r="G14119" t="s">
        <v>16455</v>
      </c>
      <c r="H14119" t="s">
        <v>21402</v>
      </c>
    </row>
    <row r="14120" spans="1:8">
      <c r="H14120" t="s">
        <v>21403</v>
      </c>
    </row>
    <row r="14121" spans="1:8">
      <c r="H14121" t="s">
        <v>21404</v>
      </c>
    </row>
    <row r="14122" spans="1:8">
      <c r="A14122" t="s">
        <v>486</v>
      </c>
      <c r="B14122">
        <f>HYPERLINK("https://android.googlesource.com/platform/cts/+/afce1a14850b9842aa05747152f9a7815f817149", "afce1a14850b9842aa05747152f9a7815f817149")</f>
        <v>0</v>
      </c>
      <c r="C14122">
        <f>HYPERLINK("https://android.googlesource.com/platform/cts/+/cdea4dd5f4e9940b28468e3251bcd93426180894", "cdea4dd5f4e9940b28468e3251bcd93426180894")</f>
        <v>0</v>
      </c>
      <c r="D14122" t="s">
        <v>5010</v>
      </c>
      <c r="E14122" t="s">
        <v>6273</v>
      </c>
      <c r="F14122" t="s">
        <v>12228</v>
      </c>
      <c r="G14122" t="s">
        <v>16458</v>
      </c>
      <c r="H14122" t="s">
        <v>19034</v>
      </c>
    </row>
    <row r="14123" spans="1:8">
      <c r="H14123" t="s">
        <v>18829</v>
      </c>
    </row>
    <row r="14124" spans="1:8">
      <c r="H14124" t="s">
        <v>18863</v>
      </c>
    </row>
    <row r="14125" spans="1:8">
      <c r="H14125" t="s">
        <v>21406</v>
      </c>
    </row>
    <row r="14126" spans="1:8">
      <c r="H14126" t="s">
        <v>21407</v>
      </c>
    </row>
    <row r="14127" spans="1:8">
      <c r="H14127" t="s">
        <v>21408</v>
      </c>
    </row>
    <row r="14128" spans="1:8">
      <c r="H14128" t="s">
        <v>21409</v>
      </c>
    </row>
    <row r="14129" spans="8:8">
      <c r="H14129" t="s">
        <v>21410</v>
      </c>
    </row>
    <row r="14130" spans="8:8">
      <c r="H14130" t="s">
        <v>21411</v>
      </c>
    </row>
    <row r="14131" spans="8:8">
      <c r="H14131" t="s">
        <v>21412</v>
      </c>
    </row>
    <row r="14132" spans="8:8">
      <c r="H14132" t="s">
        <v>21413</v>
      </c>
    </row>
    <row r="14133" spans="8:8">
      <c r="H14133" t="s">
        <v>21414</v>
      </c>
    </row>
    <row r="14134" spans="8:8">
      <c r="H14134" t="s">
        <v>21415</v>
      </c>
    </row>
    <row r="14135" spans="8:8">
      <c r="H14135" t="s">
        <v>21416</v>
      </c>
    </row>
    <row r="14136" spans="8:8">
      <c r="H14136" t="s">
        <v>21417</v>
      </c>
    </row>
    <row r="14137" spans="8:8">
      <c r="H14137" t="s">
        <v>21418</v>
      </c>
    </row>
    <row r="14138" spans="8:8">
      <c r="H14138" t="s">
        <v>21419</v>
      </c>
    </row>
    <row r="14139" spans="8:8">
      <c r="H14139" t="s">
        <v>21420</v>
      </c>
    </row>
    <row r="14140" spans="8:8">
      <c r="H14140" t="s">
        <v>21421</v>
      </c>
    </row>
    <row r="14141" spans="8:8">
      <c r="H14141" t="s">
        <v>21422</v>
      </c>
    </row>
    <row r="14142" spans="8:8">
      <c r="H14142" t="s">
        <v>21423</v>
      </c>
    </row>
    <row r="14143" spans="8:8">
      <c r="H14143" t="s">
        <v>21424</v>
      </c>
    </row>
    <row r="14144" spans="8:8">
      <c r="H14144" t="s">
        <v>21425</v>
      </c>
    </row>
    <row r="14145" spans="8:8">
      <c r="H14145" t="s">
        <v>21426</v>
      </c>
    </row>
    <row r="14146" spans="8:8">
      <c r="H14146" t="s">
        <v>21427</v>
      </c>
    </row>
    <row r="14147" spans="8:8">
      <c r="H14147" t="s">
        <v>21428</v>
      </c>
    </row>
    <row r="14148" spans="8:8">
      <c r="H14148" t="s">
        <v>21429</v>
      </c>
    </row>
    <row r="14149" spans="8:8">
      <c r="H14149" t="s">
        <v>21430</v>
      </c>
    </row>
    <row r="14150" spans="8:8">
      <c r="H14150" t="s">
        <v>21431</v>
      </c>
    </row>
    <row r="14151" spans="8:8">
      <c r="H14151" t="s">
        <v>21432</v>
      </c>
    </row>
    <row r="14152" spans="8:8">
      <c r="H14152" t="s">
        <v>21433</v>
      </c>
    </row>
    <row r="14153" spans="8:8">
      <c r="H14153" t="s">
        <v>21434</v>
      </c>
    </row>
    <row r="14154" spans="8:8">
      <c r="H14154" t="s">
        <v>21435</v>
      </c>
    </row>
    <row r="14155" spans="8:8">
      <c r="H14155" t="s">
        <v>21436</v>
      </c>
    </row>
    <row r="14156" spans="8:8">
      <c r="H14156" t="s">
        <v>21437</v>
      </c>
    </row>
    <row r="14157" spans="8:8">
      <c r="H14157" t="s">
        <v>21438</v>
      </c>
    </row>
    <row r="14158" spans="8:8">
      <c r="H14158" t="s">
        <v>21439</v>
      </c>
    </row>
    <row r="14159" spans="8:8">
      <c r="H14159" t="s">
        <v>21440</v>
      </c>
    </row>
    <row r="14160" spans="8:8">
      <c r="H14160" t="s">
        <v>21441</v>
      </c>
    </row>
    <row r="14161" spans="1:8">
      <c r="H14161" t="s">
        <v>21442</v>
      </c>
    </row>
    <row r="14162" spans="1:8">
      <c r="H14162" t="s">
        <v>21443</v>
      </c>
    </row>
    <row r="14163" spans="1:8">
      <c r="H14163" t="s">
        <v>21444</v>
      </c>
    </row>
    <row r="14164" spans="1:8">
      <c r="F14164" t="s">
        <v>12229</v>
      </c>
      <c r="G14164" t="s">
        <v>16459</v>
      </c>
      <c r="H14164" t="s">
        <v>21445</v>
      </c>
    </row>
    <row r="14165" spans="1:8">
      <c r="A14165" t="s">
        <v>487</v>
      </c>
      <c r="B14165">
        <f>HYPERLINK("https://android.googlesource.com/platform/cts/+/24294d74d0714a82bc51487202ae66d8bc66e036", "24294d74d0714a82bc51487202ae66d8bc66e036")</f>
        <v>0</v>
      </c>
      <c r="C14165">
        <f>HYPERLINK("https://android.googlesource.com/platform/cts/+/c7e76bfce7ebddc273087cd8808cccdba593e2ee", "c7e76bfce7ebddc273087cd8808cccdba593e2ee")</f>
        <v>0</v>
      </c>
      <c r="D14165" t="s">
        <v>5011</v>
      </c>
      <c r="E14165" t="s">
        <v>6274</v>
      </c>
      <c r="F14165" t="s">
        <v>12230</v>
      </c>
      <c r="G14165" t="s">
        <v>16460</v>
      </c>
      <c r="H14165" t="s">
        <v>18829</v>
      </c>
    </row>
    <row r="14166" spans="1:8">
      <c r="A14166" t="s">
        <v>488</v>
      </c>
      <c r="B14166">
        <f>HYPERLINK("https://android.googlesource.com/platform/cts/+/9dbe417023e71a298cb9cb729959453a96d8d907", "9dbe417023e71a298cb9cb729959453a96d8d907")</f>
        <v>0</v>
      </c>
      <c r="C14166">
        <f>HYPERLINK("https://android.googlesource.com/platform/cts/+/f6dfa9eb7807ded78f4e740686d629e7eb346d87", "f6dfa9eb7807ded78f4e740686d629e7eb346d87")</f>
        <v>0</v>
      </c>
      <c r="D14166" t="s">
        <v>5004</v>
      </c>
      <c r="E14166" t="s">
        <v>6275</v>
      </c>
      <c r="F14166" t="s">
        <v>12225</v>
      </c>
      <c r="G14166" t="s">
        <v>16455</v>
      </c>
      <c r="H14166" t="s">
        <v>21446</v>
      </c>
    </row>
    <row r="14167" spans="1:8">
      <c r="A14167" t="s">
        <v>489</v>
      </c>
      <c r="B14167">
        <f>HYPERLINK("https://android.googlesource.com/platform/cts/+/95988bdc4f6cad1662215bcc4ae5c27ef496a38c", "95988bdc4f6cad1662215bcc4ae5c27ef496a38c")</f>
        <v>0</v>
      </c>
      <c r="C14167">
        <f>HYPERLINK("https://android.googlesource.com/platform/cts/+/27bb29f13838fcdb7536848ab54b9afa2e5c1322", "27bb29f13838fcdb7536848ab54b9afa2e5c1322")</f>
        <v>0</v>
      </c>
      <c r="D14167" t="s">
        <v>5012</v>
      </c>
      <c r="E14167" t="s">
        <v>6276</v>
      </c>
      <c r="F14167" t="s">
        <v>12230</v>
      </c>
      <c r="G14167" t="s">
        <v>16460</v>
      </c>
      <c r="H14167" t="s">
        <v>21447</v>
      </c>
    </row>
    <row r="14168" spans="1:8">
      <c r="A14168" t="s">
        <v>490</v>
      </c>
      <c r="B14168">
        <f>HYPERLINK("https://android.googlesource.com/platform/cts/+/d5fb821449d0e610322f0a0c77b9150f12e09b10", "d5fb821449d0e610322f0a0c77b9150f12e09b10")</f>
        <v>0</v>
      </c>
      <c r="C14168">
        <f>HYPERLINK("https://android.googlesource.com/platform/cts/+/27bb29f13838fcdb7536848ab54b9afa2e5c1322", "27bb29f13838fcdb7536848ab54b9afa2e5c1322")</f>
        <v>0</v>
      </c>
      <c r="D14168" t="s">
        <v>4968</v>
      </c>
      <c r="E14168" t="s">
        <v>6277</v>
      </c>
      <c r="F14168" t="s">
        <v>12231</v>
      </c>
      <c r="G14168" t="s">
        <v>16461</v>
      </c>
      <c r="H14168" t="s">
        <v>21448</v>
      </c>
    </row>
    <row r="14169" spans="1:8">
      <c r="A14169" t="s">
        <v>491</v>
      </c>
      <c r="B14169">
        <f>HYPERLINK("https://android.googlesource.com/platform/cts/+/6111373c16ca2e3cd103c8870e24c7d4b7943755", "6111373c16ca2e3cd103c8870e24c7d4b7943755")</f>
        <v>0</v>
      </c>
      <c r="C14169">
        <f>HYPERLINK("https://android.googlesource.com/platform/cts/+/b8e81c9757d5c07e5a66af8f81b5a79f1298df74", "b8e81c9757d5c07e5a66af8f81b5a79f1298df74")</f>
        <v>0</v>
      </c>
      <c r="D14169" t="s">
        <v>5009</v>
      </c>
      <c r="E14169" t="s">
        <v>6277</v>
      </c>
      <c r="F14169" t="s">
        <v>12231</v>
      </c>
      <c r="G14169" t="s">
        <v>16461</v>
      </c>
      <c r="H14169" t="s">
        <v>21448</v>
      </c>
    </row>
    <row r="14170" spans="1:8">
      <c r="A14170" t="s">
        <v>492</v>
      </c>
      <c r="B14170">
        <f>HYPERLINK("https://android.googlesource.com/platform/cts/+/85fb765e613f03b51203a1384f5343394fb21d98", "85fb765e613f03b51203a1384f5343394fb21d98")</f>
        <v>0</v>
      </c>
      <c r="C14170">
        <f>HYPERLINK("https://android.googlesource.com/platform/cts/+/7d378bec4412e41b2ca0f1d99261fecf3cd27900", "7d378bec4412e41b2ca0f1d99261fecf3cd27900")</f>
        <v>0</v>
      </c>
      <c r="D14170" t="s">
        <v>4981</v>
      </c>
      <c r="E14170" t="s">
        <v>6278</v>
      </c>
      <c r="F14170" t="s">
        <v>12227</v>
      </c>
      <c r="G14170" t="s">
        <v>16457</v>
      </c>
      <c r="H14170" t="s">
        <v>21449</v>
      </c>
    </row>
    <row r="14171" spans="1:8">
      <c r="H14171" t="s">
        <v>21154</v>
      </c>
    </row>
    <row r="14172" spans="1:8">
      <c r="H14172" t="s">
        <v>21450</v>
      </c>
    </row>
    <row r="14173" spans="1:8">
      <c r="F14173" t="s">
        <v>12166</v>
      </c>
      <c r="G14173" t="s">
        <v>16406</v>
      </c>
      <c r="H14173" t="s">
        <v>21451</v>
      </c>
    </row>
    <row r="14174" spans="1:8">
      <c r="H14174" t="s">
        <v>21452</v>
      </c>
    </row>
    <row r="14175" spans="1:8">
      <c r="A14175" t="s">
        <v>493</v>
      </c>
      <c r="B14175">
        <f>HYPERLINK("https://android.googlesource.com/platform/cts/+/79fcc721bdbd0ef44b4c7a8b735b8f15e0faffb6", "79fcc721bdbd0ef44b4c7a8b735b8f15e0faffb6")</f>
        <v>0</v>
      </c>
      <c r="C14175">
        <f>HYPERLINK("https://android.googlesource.com/platform/cts/+/85fb765e613f03b51203a1384f5343394fb21d98", "85fb765e613f03b51203a1384f5343394fb21d98")</f>
        <v>0</v>
      </c>
      <c r="D14175" t="s">
        <v>4981</v>
      </c>
      <c r="E14175" t="s">
        <v>6279</v>
      </c>
      <c r="F14175" t="s">
        <v>12232</v>
      </c>
      <c r="G14175" t="s">
        <v>16462</v>
      </c>
      <c r="H14175" t="s">
        <v>21453</v>
      </c>
    </row>
    <row r="14176" spans="1:8">
      <c r="A14176" t="s">
        <v>494</v>
      </c>
      <c r="B14176">
        <f>HYPERLINK("https://android.googlesource.com/platform/cts/+/20ecc0e2eb094fa6cc6b27b5efeb9be3df3adb91", "20ecc0e2eb094fa6cc6b27b5efeb9be3df3adb91")</f>
        <v>0</v>
      </c>
      <c r="C14176">
        <f>HYPERLINK("https://android.googlesource.com/platform/cts/+/2b7ae5139a7ed7bfa158c6213906736431de12e5", "2b7ae5139a7ed7bfa158c6213906736431de12e5")</f>
        <v>0</v>
      </c>
      <c r="D14176" t="s">
        <v>4981</v>
      </c>
      <c r="E14176" t="s">
        <v>6280</v>
      </c>
      <c r="F14176" t="s">
        <v>12233</v>
      </c>
      <c r="G14176" t="s">
        <v>16463</v>
      </c>
      <c r="H14176" t="s">
        <v>21454</v>
      </c>
    </row>
    <row r="14177" spans="1:8">
      <c r="H14177" t="s">
        <v>21455</v>
      </c>
    </row>
    <row r="14178" spans="1:8">
      <c r="H14178" t="s">
        <v>21456</v>
      </c>
    </row>
    <row r="14179" spans="1:8">
      <c r="H14179" t="s">
        <v>21457</v>
      </c>
    </row>
    <row r="14180" spans="1:8">
      <c r="H14180" t="s">
        <v>21458</v>
      </c>
    </row>
    <row r="14181" spans="1:8">
      <c r="H14181" t="s">
        <v>21459</v>
      </c>
    </row>
    <row r="14182" spans="1:8">
      <c r="H14182" t="s">
        <v>21460</v>
      </c>
    </row>
    <row r="14183" spans="1:8">
      <c r="A14183" t="s">
        <v>495</v>
      </c>
      <c r="B14183">
        <f>HYPERLINK("https://android.googlesource.com/platform/cts/+/81bc303aa96f9f87fdc99e270a69ffa7ae9b5740", "81bc303aa96f9f87fdc99e270a69ffa7ae9b5740")</f>
        <v>0</v>
      </c>
      <c r="C14183">
        <f>HYPERLINK("https://android.googlesource.com/platform/cts/+/a9bfb656f9dd82ab51a45aa08c1cafbe00566038", "a9bfb656f9dd82ab51a45aa08c1cafbe00566038")</f>
        <v>0</v>
      </c>
      <c r="D14183" t="s">
        <v>4978</v>
      </c>
      <c r="E14183" t="s">
        <v>6281</v>
      </c>
      <c r="F14183" t="s">
        <v>12225</v>
      </c>
      <c r="G14183" t="s">
        <v>16455</v>
      </c>
      <c r="H14183" t="s">
        <v>21399</v>
      </c>
    </row>
    <row r="14184" spans="1:8">
      <c r="H14184" t="s">
        <v>21400</v>
      </c>
    </row>
    <row r="14185" spans="1:8">
      <c r="H14185" t="s">
        <v>21401</v>
      </c>
    </row>
    <row r="14186" spans="1:8">
      <c r="H14186" t="s">
        <v>21461</v>
      </c>
    </row>
    <row r="14187" spans="1:8">
      <c r="H14187" t="s">
        <v>21462</v>
      </c>
    </row>
    <row r="14188" spans="1:8">
      <c r="H14188" t="s">
        <v>20177</v>
      </c>
    </row>
    <row r="14189" spans="1:8">
      <c r="H14189" t="s">
        <v>21463</v>
      </c>
    </row>
    <row r="14190" spans="1:8">
      <c r="A14190" t="s">
        <v>496</v>
      </c>
      <c r="B14190">
        <f>HYPERLINK("https://android.googlesource.com/platform/cts/+/e69403f4663ecab20cfc80f42afc7247f3efc24b", "e69403f4663ecab20cfc80f42afc7247f3efc24b")</f>
        <v>0</v>
      </c>
      <c r="C14190">
        <f>HYPERLINK("https://android.googlesource.com/platform/cts/+/02519dac4380f1302aad40d2b96c08aa1fad52e1", "02519dac4380f1302aad40d2b96c08aa1fad52e1")</f>
        <v>0</v>
      </c>
      <c r="D14190" t="s">
        <v>5013</v>
      </c>
      <c r="E14190" t="s">
        <v>6282</v>
      </c>
      <c r="F14190" t="s">
        <v>12234</v>
      </c>
      <c r="G14190" t="s">
        <v>16464</v>
      </c>
      <c r="H14190" t="s">
        <v>21464</v>
      </c>
    </row>
    <row r="14191" spans="1:8">
      <c r="F14191" t="s">
        <v>12235</v>
      </c>
      <c r="G14191" t="s">
        <v>16465</v>
      </c>
      <c r="H14191" t="s">
        <v>21464</v>
      </c>
    </row>
    <row r="14192" spans="1:8">
      <c r="F14192" t="s">
        <v>12236</v>
      </c>
      <c r="G14192" t="s">
        <v>16466</v>
      </c>
      <c r="H14192" t="s">
        <v>21464</v>
      </c>
    </row>
    <row r="14193" spans="1:8">
      <c r="A14193" t="s">
        <v>497</v>
      </c>
      <c r="B14193">
        <f>HYPERLINK("https://android.googlesource.com/platform/cts/+/2b0131ca8b401d80531706a20ad358b9bf99d259", "2b0131ca8b401d80531706a20ad358b9bf99d259")</f>
        <v>0</v>
      </c>
      <c r="C14193">
        <f>HYPERLINK("https://android.googlesource.com/platform/cts/+/5c7773621b2f0760d8bb4163a2f73ac5ac545e78", "5c7773621b2f0760d8bb4163a2f73ac5ac545e78")</f>
        <v>0</v>
      </c>
      <c r="D14193" t="s">
        <v>5014</v>
      </c>
      <c r="E14193" t="s">
        <v>6283</v>
      </c>
      <c r="F14193" t="s">
        <v>12237</v>
      </c>
      <c r="G14193" t="s">
        <v>16467</v>
      </c>
      <c r="H14193" t="s">
        <v>21465</v>
      </c>
    </row>
    <row r="14194" spans="1:8">
      <c r="H14194" t="s">
        <v>21466</v>
      </c>
    </row>
    <row r="14195" spans="1:8">
      <c r="H14195" t="s">
        <v>21467</v>
      </c>
    </row>
    <row r="14196" spans="1:8">
      <c r="H14196" t="s">
        <v>21468</v>
      </c>
    </row>
    <row r="14197" spans="1:8">
      <c r="A14197" t="s">
        <v>498</v>
      </c>
      <c r="B14197">
        <f>HYPERLINK("https://android.googlesource.com/platform/cts/+/228d1b55ea6976e00c80372613511a6900c8ba4b", "228d1b55ea6976e00c80372613511a6900c8ba4b")</f>
        <v>0</v>
      </c>
      <c r="C14197">
        <f>HYPERLINK("https://android.googlesource.com/platform/cts/+/75eea801bf237975246f34c564725db3dde10b4c", "75eea801bf237975246f34c564725db3dde10b4c")</f>
        <v>0</v>
      </c>
      <c r="D14197" t="s">
        <v>5013</v>
      </c>
      <c r="E14197" t="s">
        <v>6284</v>
      </c>
      <c r="F14197" t="s">
        <v>12234</v>
      </c>
      <c r="G14197" t="s">
        <v>16464</v>
      </c>
      <c r="H14197" t="s">
        <v>21469</v>
      </c>
    </row>
    <row r="14198" spans="1:8">
      <c r="H14198" t="s">
        <v>21470</v>
      </c>
    </row>
    <row r="14199" spans="1:8">
      <c r="H14199" t="s">
        <v>21471</v>
      </c>
    </row>
    <row r="14200" spans="1:8">
      <c r="H14200" t="s">
        <v>21472</v>
      </c>
    </row>
    <row r="14201" spans="1:8">
      <c r="F14201" t="s">
        <v>12235</v>
      </c>
      <c r="G14201" t="s">
        <v>16465</v>
      </c>
      <c r="H14201" t="s">
        <v>21469</v>
      </c>
    </row>
    <row r="14202" spans="1:8">
      <c r="H14202" t="s">
        <v>21470</v>
      </c>
    </row>
    <row r="14203" spans="1:8">
      <c r="H14203" t="s">
        <v>21471</v>
      </c>
    </row>
    <row r="14204" spans="1:8">
      <c r="H14204" t="s">
        <v>21472</v>
      </c>
    </row>
    <row r="14205" spans="1:8">
      <c r="F14205" t="s">
        <v>12236</v>
      </c>
      <c r="G14205" t="s">
        <v>16466</v>
      </c>
      <c r="H14205" t="s">
        <v>21469</v>
      </c>
    </row>
    <row r="14206" spans="1:8">
      <c r="H14206" t="s">
        <v>21470</v>
      </c>
    </row>
    <row r="14207" spans="1:8">
      <c r="H14207" t="s">
        <v>21471</v>
      </c>
    </row>
    <row r="14208" spans="1:8">
      <c r="H14208" t="s">
        <v>21472</v>
      </c>
    </row>
    <row r="14209" spans="1:8">
      <c r="A14209" t="s">
        <v>499</v>
      </c>
      <c r="B14209">
        <f>HYPERLINK("https://android.googlesource.com/platform/cts/+/8f61b50e4dba5584e4796066bbb48637061d4b0b", "8f61b50e4dba5584e4796066bbb48637061d4b0b")</f>
        <v>0</v>
      </c>
      <c r="C14209">
        <f>HYPERLINK("https://android.googlesource.com/platform/cts/+/f2d8c5158a6e87900581ee26931ed7c315d62cd3", "f2d8c5158a6e87900581ee26931ed7c315d62cd3")</f>
        <v>0</v>
      </c>
      <c r="D14209" t="s">
        <v>4981</v>
      </c>
      <c r="E14209" t="s">
        <v>6285</v>
      </c>
      <c r="F14209" t="s">
        <v>12168</v>
      </c>
      <c r="G14209" t="s">
        <v>16408</v>
      </c>
      <c r="H14209" t="s">
        <v>21451</v>
      </c>
    </row>
    <row r="14210" spans="1:8">
      <c r="H14210" t="s">
        <v>21452</v>
      </c>
    </row>
    <row r="14211" spans="1:8">
      <c r="A14211" t="s">
        <v>500</v>
      </c>
      <c r="B14211">
        <f>HYPERLINK("https://android.googlesource.com/platform/cts/+/c3329438041a9514d308cc03dd3cfac75573c356", "c3329438041a9514d308cc03dd3cfac75573c356")</f>
        <v>0</v>
      </c>
      <c r="C14211">
        <f>HYPERLINK("https://android.googlesource.com/platform/cts/+/6dacad5cdac2f9c44ec672043aa67a5bce631c0a", "6dacad5cdac2f9c44ec672043aa67a5bce631c0a")</f>
        <v>0</v>
      </c>
      <c r="D14211" t="s">
        <v>5002</v>
      </c>
      <c r="E14211" t="s">
        <v>6286</v>
      </c>
      <c r="F14211" t="s">
        <v>12189</v>
      </c>
      <c r="G14211" t="s">
        <v>16428</v>
      </c>
      <c r="H14211" t="s">
        <v>21299</v>
      </c>
    </row>
    <row r="14212" spans="1:8">
      <c r="H14212" t="s">
        <v>18863</v>
      </c>
    </row>
    <row r="14213" spans="1:8">
      <c r="H14213" t="s">
        <v>21300</v>
      </c>
    </row>
    <row r="14214" spans="1:8">
      <c r="A14214" t="s">
        <v>501</v>
      </c>
      <c r="B14214">
        <f>HYPERLINK("https://android.googlesource.com/platform/cts/+/8569fef69488542b47233c8b15052ee3418c675f", "8569fef69488542b47233c8b15052ee3418c675f")</f>
        <v>0</v>
      </c>
      <c r="C14214">
        <f>HYPERLINK("https://android.googlesource.com/platform/cts/+/2c2d29aeb08de222be385736b30541e57c9238ab", "2c2d29aeb08de222be385736b30541e57c9238ab")</f>
        <v>0</v>
      </c>
      <c r="D14214" t="s">
        <v>4991</v>
      </c>
      <c r="E14214" t="s">
        <v>6287</v>
      </c>
      <c r="F14214" t="s">
        <v>10687</v>
      </c>
      <c r="G14214" t="s">
        <v>15087</v>
      </c>
      <c r="H14214" t="s">
        <v>21473</v>
      </c>
    </row>
    <row r="14215" spans="1:8">
      <c r="H14215" t="s">
        <v>21205</v>
      </c>
    </row>
    <row r="14216" spans="1:8">
      <c r="H14216" t="s">
        <v>21206</v>
      </c>
    </row>
    <row r="14217" spans="1:8">
      <c r="A14217" t="s">
        <v>502</v>
      </c>
      <c r="B14217">
        <f>HYPERLINK("https://android.googlesource.com/platform/cts/+/d9a21093d7cc38749a3013f9b0b011f6610be3b0", "d9a21093d7cc38749a3013f9b0b011f6610be3b0")</f>
        <v>0</v>
      </c>
      <c r="C14217">
        <f>HYPERLINK("https://android.googlesource.com/platform/cts/+/f3c7daee9db73999a26d817ae35868ea633ee7ee", "f3c7daee9db73999a26d817ae35868ea633ee7ee")</f>
        <v>0</v>
      </c>
      <c r="D14217" t="s">
        <v>5002</v>
      </c>
      <c r="E14217" t="s">
        <v>6288</v>
      </c>
      <c r="F14217" t="s">
        <v>12190</v>
      </c>
      <c r="G14217" t="s">
        <v>16429</v>
      </c>
      <c r="H14217" t="s">
        <v>21320</v>
      </c>
    </row>
    <row r="14218" spans="1:8">
      <c r="H14218" t="s">
        <v>21321</v>
      </c>
    </row>
    <row r="14219" spans="1:8">
      <c r="A14219" t="s">
        <v>503</v>
      </c>
      <c r="B14219">
        <f>HYPERLINK("https://android.googlesource.com/platform/cts/+/6ab5bad82445b81f833f16a5ec21ee2498d6422b", "6ab5bad82445b81f833f16a5ec21ee2498d6422b")</f>
        <v>0</v>
      </c>
      <c r="C14219">
        <f>HYPERLINK("https://android.googlesource.com/platform/cts/+/65c7cdb401ab923b50e0f59d32e166223c8ab089", "65c7cdb401ab923b50e0f59d32e166223c8ab089")</f>
        <v>0</v>
      </c>
      <c r="D14219" t="s">
        <v>5015</v>
      </c>
      <c r="E14219" t="s">
        <v>6289</v>
      </c>
      <c r="F14219" t="s">
        <v>12238</v>
      </c>
      <c r="G14219" t="s">
        <v>16468</v>
      </c>
      <c r="H14219" t="s">
        <v>20441</v>
      </c>
    </row>
    <row r="14220" spans="1:8">
      <c r="H14220" t="s">
        <v>21474</v>
      </c>
    </row>
    <row r="14221" spans="1:8">
      <c r="H14221" t="s">
        <v>21475</v>
      </c>
    </row>
    <row r="14222" spans="1:8">
      <c r="A14222" t="s">
        <v>504</v>
      </c>
      <c r="B14222">
        <f>HYPERLINK("https://android.googlesource.com/platform/cts/+/562ec52401a65facf4b5f1a7af06d66ac95c9022", "562ec52401a65facf4b5f1a7af06d66ac95c9022")</f>
        <v>0</v>
      </c>
      <c r="C14222">
        <f>HYPERLINK("https://android.googlesource.com/platform/cts/+/ef2d2fa944318a8973e50045051fb525ca29a81a", "ef2d2fa944318a8973e50045051fb525ca29a81a")</f>
        <v>0</v>
      </c>
      <c r="D14222" t="s">
        <v>4998</v>
      </c>
      <c r="E14222" t="s">
        <v>6290</v>
      </c>
      <c r="F14222" t="s">
        <v>12239</v>
      </c>
      <c r="G14222" t="s">
        <v>16469</v>
      </c>
      <c r="H14222" t="s">
        <v>21476</v>
      </c>
    </row>
    <row r="14223" spans="1:8">
      <c r="H14223" t="s">
        <v>21477</v>
      </c>
    </row>
    <row r="14224" spans="1:8">
      <c r="A14224" t="s">
        <v>505</v>
      </c>
      <c r="B14224">
        <f>HYPERLINK("https://android.googlesource.com/platform/cts/+/a132af6f95074f34298384b7b217afc42d76b30b", "a132af6f95074f34298384b7b217afc42d76b30b")</f>
        <v>0</v>
      </c>
      <c r="C14224">
        <f>HYPERLINK("https://android.googlesource.com/platform/cts/+/6ab5bad82445b81f833f16a5ec21ee2498d6422b", "6ab5bad82445b81f833f16a5ec21ee2498d6422b")</f>
        <v>0</v>
      </c>
      <c r="D14224" t="s">
        <v>5002</v>
      </c>
      <c r="E14224" t="s">
        <v>6291</v>
      </c>
      <c r="F14224" t="s">
        <v>12209</v>
      </c>
      <c r="G14224" t="s">
        <v>16470</v>
      </c>
      <c r="H14224" t="s">
        <v>21478</v>
      </c>
    </row>
    <row r="14225" spans="1:8">
      <c r="H14225" t="s">
        <v>20244</v>
      </c>
    </row>
    <row r="14226" spans="1:8">
      <c r="H14226" t="s">
        <v>18829</v>
      </c>
    </row>
    <row r="14227" spans="1:8">
      <c r="H14227" t="s">
        <v>18863</v>
      </c>
    </row>
    <row r="14228" spans="1:8">
      <c r="H14228" t="s">
        <v>21479</v>
      </c>
    </row>
    <row r="14229" spans="1:8">
      <c r="A14229" t="s">
        <v>506</v>
      </c>
      <c r="B14229">
        <f>HYPERLINK("https://android.googlesource.com/platform/cts/+/1e1a7d26cf5b992f4c65b32d34eb8a2f6c9772c9", "1e1a7d26cf5b992f4c65b32d34eb8a2f6c9772c9")</f>
        <v>0</v>
      </c>
      <c r="C14229">
        <f>HYPERLINK("https://android.googlesource.com/platform/cts/+/16be4106cf187c1a9002023b65ff653823c1c668", "16be4106cf187c1a9002023b65ff653823c1c668")</f>
        <v>0</v>
      </c>
      <c r="D14229" t="s">
        <v>4998</v>
      </c>
      <c r="E14229" t="s">
        <v>6292</v>
      </c>
      <c r="F14229" t="s">
        <v>12239</v>
      </c>
      <c r="G14229" t="s">
        <v>16469</v>
      </c>
      <c r="H14229" t="s">
        <v>21476</v>
      </c>
    </row>
    <row r="14230" spans="1:8">
      <c r="H14230" t="s">
        <v>21477</v>
      </c>
    </row>
    <row r="14231" spans="1:8">
      <c r="A14231" t="s">
        <v>507</v>
      </c>
      <c r="B14231">
        <f>HYPERLINK("https://android.googlesource.com/platform/cts/+/1a4b0ea6f68bd4d9ab31767fc3ac5a0b6ac0f3ca", "1a4b0ea6f68bd4d9ab31767fc3ac5a0b6ac0f3ca")</f>
        <v>0</v>
      </c>
      <c r="C14231">
        <f>HYPERLINK("https://android.googlesource.com/platform/cts/+/a861b9abc0ead1c6d54d4bb473169fa19d4cb33d", "a861b9abc0ead1c6d54d4bb473169fa19d4cb33d")</f>
        <v>0</v>
      </c>
      <c r="D14231" t="s">
        <v>5016</v>
      </c>
      <c r="E14231" t="s">
        <v>6293</v>
      </c>
      <c r="F14231" t="s">
        <v>12240</v>
      </c>
      <c r="G14231" t="s">
        <v>16471</v>
      </c>
      <c r="H14231" t="s">
        <v>21480</v>
      </c>
    </row>
    <row r="14232" spans="1:8">
      <c r="A14232" t="s">
        <v>508</v>
      </c>
      <c r="B14232">
        <f>HYPERLINK("https://android.googlesource.com/platform/cts/+/fa600c8143f25022160dd6046cb7fe6750d6d340", "fa600c8143f25022160dd6046cb7fe6750d6d340")</f>
        <v>0</v>
      </c>
      <c r="C14232">
        <f>HYPERLINK("https://android.googlesource.com/platform/cts/+/0a006b8ed35c78a3d615b67af5bc92cf4b271ca4", "0a006b8ed35c78a3d615b67af5bc92cf4b271ca4")</f>
        <v>0</v>
      </c>
      <c r="D14232" t="s">
        <v>4981</v>
      </c>
      <c r="E14232" t="s">
        <v>6294</v>
      </c>
      <c r="F14232" t="s">
        <v>12241</v>
      </c>
      <c r="G14232" t="s">
        <v>16472</v>
      </c>
      <c r="H14232" t="s">
        <v>21481</v>
      </c>
    </row>
    <row r="14233" spans="1:8">
      <c r="A14233" t="s">
        <v>509</v>
      </c>
      <c r="B14233">
        <f>HYPERLINK("https://android.googlesource.com/platform/cts/+/c09a2e0bfbc7d015dfddc41079d30d60ddf4b46c", "c09a2e0bfbc7d015dfddc41079d30d60ddf4b46c")</f>
        <v>0</v>
      </c>
      <c r="C14233">
        <f>HYPERLINK("https://android.googlesource.com/platform/cts/+/1437084725aa93716b6f5824ddce74c6add7af51", "1437084725aa93716b6f5824ddce74c6add7af51")</f>
        <v>0</v>
      </c>
      <c r="D14233" t="s">
        <v>5002</v>
      </c>
      <c r="E14233" t="s">
        <v>6295</v>
      </c>
      <c r="F14233" t="s">
        <v>10586</v>
      </c>
      <c r="G14233" t="s">
        <v>14989</v>
      </c>
      <c r="H14233" t="s">
        <v>21482</v>
      </c>
    </row>
    <row r="14234" spans="1:8">
      <c r="H14234" t="s">
        <v>19145</v>
      </c>
    </row>
    <row r="14235" spans="1:8">
      <c r="H14235" t="s">
        <v>21483</v>
      </c>
    </row>
    <row r="14236" spans="1:8">
      <c r="H14236" t="s">
        <v>21484</v>
      </c>
    </row>
    <row r="14237" spans="1:8">
      <c r="H14237" t="s">
        <v>21485</v>
      </c>
    </row>
    <row r="14238" spans="1:8">
      <c r="F14238" t="s">
        <v>12242</v>
      </c>
      <c r="G14238" t="s">
        <v>16473</v>
      </c>
      <c r="H14238" t="s">
        <v>21486</v>
      </c>
    </row>
    <row r="14239" spans="1:8">
      <c r="H14239" t="s">
        <v>18829</v>
      </c>
    </row>
    <row r="14240" spans="1:8">
      <c r="H14240" t="s">
        <v>19536</v>
      </c>
    </row>
    <row r="14241" spans="1:8">
      <c r="H14241" t="s">
        <v>21487</v>
      </c>
    </row>
    <row r="14242" spans="1:8">
      <c r="H14242" t="s">
        <v>19426</v>
      </c>
    </row>
    <row r="14243" spans="1:8">
      <c r="H14243" t="s">
        <v>21488</v>
      </c>
    </row>
    <row r="14244" spans="1:8">
      <c r="H14244" t="s">
        <v>21489</v>
      </c>
    </row>
    <row r="14245" spans="1:8">
      <c r="H14245" t="s">
        <v>21490</v>
      </c>
    </row>
    <row r="14246" spans="1:8">
      <c r="H14246" t="s">
        <v>21491</v>
      </c>
    </row>
    <row r="14247" spans="1:8">
      <c r="H14247" t="s">
        <v>21492</v>
      </c>
    </row>
    <row r="14248" spans="1:8">
      <c r="H14248" t="s">
        <v>21493</v>
      </c>
    </row>
    <row r="14249" spans="1:8">
      <c r="A14249" t="s">
        <v>510</v>
      </c>
      <c r="B14249">
        <f>HYPERLINK("https://android.googlesource.com/platform/cts/+/2567751603f86e69d22285066c877dd9fce2790d", "2567751603f86e69d22285066c877dd9fce2790d")</f>
        <v>0</v>
      </c>
      <c r="C14249">
        <f>HYPERLINK("https://android.googlesource.com/platform/cts/+/8c3b74bbeca085b0029191278707a29c6bc5aef1", "8c3b74bbeca085b0029191278707a29c6bc5aef1")</f>
        <v>0</v>
      </c>
      <c r="D14249" t="s">
        <v>4978</v>
      </c>
      <c r="E14249" t="s">
        <v>6296</v>
      </c>
      <c r="F14249" t="s">
        <v>10670</v>
      </c>
      <c r="G14249" t="s">
        <v>15029</v>
      </c>
      <c r="H14249" t="s">
        <v>21494</v>
      </c>
    </row>
    <row r="14250" spans="1:8">
      <c r="A14250" t="s">
        <v>511</v>
      </c>
      <c r="B14250">
        <f>HYPERLINK("https://android.googlesource.com/platform/cts/+/d6fe85283594f959ea11e7567f28a28837f191b9", "d6fe85283594f959ea11e7567f28a28837f191b9")</f>
        <v>0</v>
      </c>
      <c r="C14250">
        <f>HYPERLINK("https://android.googlesource.com/platform/cts/+/779cca73143371093f2d910f2d013e9dcc2142c8", "779cca73143371093f2d910f2d013e9dcc2142c8")</f>
        <v>0</v>
      </c>
      <c r="D14250" t="s">
        <v>4992</v>
      </c>
      <c r="E14250" t="s">
        <v>6297</v>
      </c>
      <c r="F14250" t="s">
        <v>10687</v>
      </c>
      <c r="G14250" t="s">
        <v>15087</v>
      </c>
      <c r="H14250" t="s">
        <v>21495</v>
      </c>
    </row>
    <row r="14251" spans="1:8">
      <c r="H14251" t="s">
        <v>21496</v>
      </c>
    </row>
    <row r="14252" spans="1:8">
      <c r="H14252" t="s">
        <v>21497</v>
      </c>
    </row>
    <row r="14253" spans="1:8">
      <c r="H14253" t="s">
        <v>21498</v>
      </c>
    </row>
    <row r="14254" spans="1:8">
      <c r="H14254" t="s">
        <v>21497</v>
      </c>
    </row>
    <row r="14255" spans="1:8">
      <c r="A14255" t="s">
        <v>512</v>
      </c>
      <c r="B14255">
        <f>HYPERLINK("https://android.googlesource.com/platform/cts/+/923ac68a526f638f67942f70fffecb4ebff392e9", "923ac68a526f638f67942f70fffecb4ebff392e9")</f>
        <v>0</v>
      </c>
      <c r="C14255">
        <f>HYPERLINK("https://android.googlesource.com/platform/cts/+/496f375f4f39faf4861023b4a2868d289b424c44", "496f375f4f39faf4861023b4a2868d289b424c44")</f>
        <v>0</v>
      </c>
      <c r="D14255" t="s">
        <v>4991</v>
      </c>
      <c r="E14255" t="s">
        <v>6298</v>
      </c>
      <c r="F14255" t="s">
        <v>10687</v>
      </c>
      <c r="G14255" t="s">
        <v>15087</v>
      </c>
      <c r="H14255" t="s">
        <v>21499</v>
      </c>
    </row>
    <row r="14256" spans="1:8">
      <c r="A14256" t="s">
        <v>513</v>
      </c>
      <c r="B14256">
        <f>HYPERLINK("https://android.googlesource.com/platform/cts/+/6d22bcaf77957a0bcab6293795769ad38557383a", "6d22bcaf77957a0bcab6293795769ad38557383a")</f>
        <v>0</v>
      </c>
      <c r="C14256">
        <f>HYPERLINK("https://android.googlesource.com/platform/cts/+/10020a8792533d82f2964c5ce5bded3d5195623b", "10020a8792533d82f2964c5ce5bded3d5195623b")</f>
        <v>0</v>
      </c>
      <c r="D14256" t="s">
        <v>4949</v>
      </c>
      <c r="E14256" t="s">
        <v>6299</v>
      </c>
      <c r="F14256" t="s">
        <v>12243</v>
      </c>
      <c r="G14256" t="s">
        <v>16474</v>
      </c>
      <c r="H14256" t="s">
        <v>18829</v>
      </c>
    </row>
    <row r="14257" spans="8:8">
      <c r="H14257" t="s">
        <v>18863</v>
      </c>
    </row>
    <row r="14258" spans="8:8">
      <c r="H14258" t="s">
        <v>21500</v>
      </c>
    </row>
    <row r="14259" spans="8:8">
      <c r="H14259" t="s">
        <v>19796</v>
      </c>
    </row>
    <row r="14260" spans="8:8">
      <c r="H14260" t="s">
        <v>21501</v>
      </c>
    </row>
    <row r="14261" spans="8:8">
      <c r="H14261" t="s">
        <v>21502</v>
      </c>
    </row>
    <row r="14262" spans="8:8">
      <c r="H14262" t="s">
        <v>21503</v>
      </c>
    </row>
    <row r="14263" spans="8:8">
      <c r="H14263" t="s">
        <v>21504</v>
      </c>
    </row>
    <row r="14264" spans="8:8">
      <c r="H14264" t="s">
        <v>21505</v>
      </c>
    </row>
    <row r="14265" spans="8:8">
      <c r="H14265" t="s">
        <v>21506</v>
      </c>
    </row>
    <row r="14266" spans="8:8">
      <c r="H14266" t="s">
        <v>21507</v>
      </c>
    </row>
    <row r="14267" spans="8:8">
      <c r="H14267" t="s">
        <v>21508</v>
      </c>
    </row>
    <row r="14268" spans="8:8">
      <c r="H14268" t="s">
        <v>21509</v>
      </c>
    </row>
    <row r="14269" spans="8:8">
      <c r="H14269" t="s">
        <v>21510</v>
      </c>
    </row>
    <row r="14270" spans="8:8">
      <c r="H14270" t="s">
        <v>21511</v>
      </c>
    </row>
    <row r="14271" spans="8:8">
      <c r="H14271" t="s">
        <v>21512</v>
      </c>
    </row>
    <row r="14272" spans="8:8">
      <c r="H14272" t="s">
        <v>21513</v>
      </c>
    </row>
    <row r="14273" spans="1:8">
      <c r="H14273" t="s">
        <v>21514</v>
      </c>
    </row>
    <row r="14274" spans="1:8">
      <c r="H14274" t="s">
        <v>21515</v>
      </c>
    </row>
    <row r="14275" spans="1:8">
      <c r="H14275" t="s">
        <v>21516</v>
      </c>
    </row>
    <row r="14276" spans="1:8">
      <c r="H14276" t="s">
        <v>21517</v>
      </c>
    </row>
    <row r="14277" spans="1:8">
      <c r="H14277" t="s">
        <v>21518</v>
      </c>
    </row>
    <row r="14278" spans="1:8">
      <c r="H14278" t="s">
        <v>21519</v>
      </c>
    </row>
    <row r="14279" spans="1:8">
      <c r="A14279" t="s">
        <v>514</v>
      </c>
      <c r="B14279">
        <f>HYPERLINK("https://android.googlesource.com/platform/cts/+/d35f8eb44fe78cb7bfc2f7d92cb64c5ed013abfd", "d35f8eb44fe78cb7bfc2f7d92cb64c5ed013abfd")</f>
        <v>0</v>
      </c>
      <c r="C14279">
        <f>HYPERLINK("https://android.googlesource.com/platform/cts/+/af052deac87840e2a3af6335376020adc0f0fde3", "af052deac87840e2a3af6335376020adc0f0fde3")</f>
        <v>0</v>
      </c>
      <c r="D14279" t="s">
        <v>5002</v>
      </c>
      <c r="E14279" t="s">
        <v>6300</v>
      </c>
      <c r="F14279" t="s">
        <v>12244</v>
      </c>
      <c r="G14279" t="s">
        <v>16475</v>
      </c>
      <c r="H14279" t="s">
        <v>21520</v>
      </c>
    </row>
    <row r="14280" spans="1:8">
      <c r="F14280" t="s">
        <v>12245</v>
      </c>
      <c r="G14280" t="s">
        <v>16476</v>
      </c>
      <c r="H14280" t="s">
        <v>21521</v>
      </c>
    </row>
    <row r="14281" spans="1:8">
      <c r="A14281" t="s">
        <v>515</v>
      </c>
      <c r="B14281">
        <f>HYPERLINK("https://android.googlesource.com/platform/cts/+/5c874325d5a5853373f9e36abdb4da1b1863b4f2", "5c874325d5a5853373f9e36abdb4da1b1863b4f2")</f>
        <v>0</v>
      </c>
      <c r="C14281">
        <f>HYPERLINK("https://android.googlesource.com/platform/cts/+/6d22bcaf77957a0bcab6293795769ad38557383a", "6d22bcaf77957a0bcab6293795769ad38557383a")</f>
        <v>0</v>
      </c>
      <c r="D14281" t="s">
        <v>4949</v>
      </c>
      <c r="E14281" t="s">
        <v>6301</v>
      </c>
      <c r="F14281" t="s">
        <v>12246</v>
      </c>
      <c r="G14281" t="s">
        <v>16477</v>
      </c>
      <c r="H14281" t="s">
        <v>21501</v>
      </c>
    </row>
    <row r="14282" spans="1:8">
      <c r="A14282" t="s">
        <v>516</v>
      </c>
      <c r="B14282">
        <f>HYPERLINK("https://android.googlesource.com/platform/cts/+/214b613d85dea5e8d3d7bcb89020282c11b46831", "214b613d85dea5e8d3d7bcb89020282c11b46831")</f>
        <v>0</v>
      </c>
      <c r="C14282">
        <f>HYPERLINK("https://android.googlesource.com/platform/cts/+/1677b409fb7562543499c3e3be29227801e296df", "1677b409fb7562543499c3e3be29227801e296df")</f>
        <v>0</v>
      </c>
      <c r="D14282" t="s">
        <v>5017</v>
      </c>
      <c r="E14282" t="s">
        <v>6302</v>
      </c>
      <c r="F14282" t="s">
        <v>12247</v>
      </c>
      <c r="G14282" t="s">
        <v>16478</v>
      </c>
      <c r="H14282" t="s">
        <v>21522</v>
      </c>
    </row>
    <row r="14283" spans="1:8">
      <c r="F14283" t="s">
        <v>12248</v>
      </c>
      <c r="G14283" t="s">
        <v>16479</v>
      </c>
      <c r="H14283" t="s">
        <v>21522</v>
      </c>
    </row>
    <row r="14284" spans="1:8">
      <c r="A14284" t="s">
        <v>517</v>
      </c>
      <c r="B14284">
        <f>HYPERLINK("https://android.googlesource.com/platform/cts/+/e86f98dd5468f8c4cfa59ebcd3ccb49e75311156", "e86f98dd5468f8c4cfa59ebcd3ccb49e75311156")</f>
        <v>0</v>
      </c>
      <c r="C14284">
        <f>HYPERLINK("https://android.googlesource.com/platform/cts/+/c74e235e0e1be734b22d27b5dc1696aa7836fb60", "c74e235e0e1be734b22d27b5dc1696aa7836fb60")</f>
        <v>0</v>
      </c>
      <c r="D14284" t="s">
        <v>4967</v>
      </c>
      <c r="E14284" t="s">
        <v>6303</v>
      </c>
      <c r="F14284" t="s">
        <v>12249</v>
      </c>
      <c r="G14284" t="s">
        <v>16480</v>
      </c>
      <c r="H14284" t="s">
        <v>21523</v>
      </c>
    </row>
    <row r="14285" spans="1:8">
      <c r="A14285" t="s">
        <v>518</v>
      </c>
      <c r="B14285">
        <f>HYPERLINK("https://android.googlesource.com/platform/cts/+/b21190dc4748538078b1a0420320f83d10a0aaa7", "b21190dc4748538078b1a0420320f83d10a0aaa7")</f>
        <v>0</v>
      </c>
      <c r="C14285">
        <f>HYPERLINK("https://android.googlesource.com/platform/cts/+/a0b1c0f952e8b9ea94a0aeaa31edf3159c714511", "a0b1c0f952e8b9ea94a0aeaa31edf3159c714511")</f>
        <v>0</v>
      </c>
      <c r="D14285" t="s">
        <v>5018</v>
      </c>
      <c r="E14285" t="s">
        <v>6304</v>
      </c>
      <c r="F14285" t="s">
        <v>12211</v>
      </c>
      <c r="G14285" t="s">
        <v>16449</v>
      </c>
      <c r="H14285" t="s">
        <v>21362</v>
      </c>
    </row>
    <row r="14286" spans="1:8">
      <c r="H14286" t="s">
        <v>21363</v>
      </c>
    </row>
    <row r="14287" spans="1:8">
      <c r="H14287" t="s">
        <v>21364</v>
      </c>
    </row>
    <row r="14288" spans="1:8">
      <c r="A14288" t="s">
        <v>519</v>
      </c>
      <c r="B14288">
        <f>HYPERLINK("https://android.googlesource.com/platform/cts/+/c5c1f068de4aac87595b4a3643f8a6c35dc9e854", "c5c1f068de4aac87595b4a3643f8a6c35dc9e854")</f>
        <v>0</v>
      </c>
      <c r="C14288">
        <f>HYPERLINK("https://android.googlesource.com/platform/cts/+/b21190dc4748538078b1a0420320f83d10a0aaa7", "b21190dc4748538078b1a0420320f83d10a0aaa7")</f>
        <v>0</v>
      </c>
      <c r="D14288" t="s">
        <v>5018</v>
      </c>
      <c r="E14288" t="s">
        <v>6305</v>
      </c>
      <c r="F14288" t="s">
        <v>12211</v>
      </c>
      <c r="G14288" t="s">
        <v>16449</v>
      </c>
      <c r="H14288" t="s">
        <v>21524</v>
      </c>
    </row>
    <row r="14289" spans="1:8">
      <c r="A14289" t="s">
        <v>520</v>
      </c>
      <c r="B14289">
        <f>HYPERLINK("https://android.googlesource.com/platform/cts/+/4eb76f6c17edc9bcc20856bcd54ede0228fb2e83", "4eb76f6c17edc9bcc20856bcd54ede0228fb2e83")</f>
        <v>0</v>
      </c>
      <c r="C14289">
        <f>HYPERLINK("https://android.googlesource.com/platform/cts/+/2739fb79501efbaa38175149262e322223346b55", "2739fb79501efbaa38175149262e322223346b55")</f>
        <v>0</v>
      </c>
      <c r="D14289" t="s">
        <v>5018</v>
      </c>
      <c r="E14289" t="s">
        <v>6306</v>
      </c>
      <c r="F14289" t="s">
        <v>12211</v>
      </c>
      <c r="G14289" t="s">
        <v>16449</v>
      </c>
      <c r="H14289" t="s">
        <v>21362</v>
      </c>
    </row>
    <row r="14290" spans="1:8">
      <c r="H14290" t="s">
        <v>21363</v>
      </c>
    </row>
    <row r="14291" spans="1:8">
      <c r="H14291" t="s">
        <v>21364</v>
      </c>
    </row>
    <row r="14292" spans="1:8">
      <c r="A14292" t="s">
        <v>521</v>
      </c>
      <c r="B14292">
        <f>HYPERLINK("https://android.googlesource.com/platform/cts/+/aee83a27e9f7ee3c770bd8f863bad68d5fb33be9", "aee83a27e9f7ee3c770bd8f863bad68d5fb33be9")</f>
        <v>0</v>
      </c>
      <c r="C14292">
        <f>HYPERLINK("https://android.googlesource.com/platform/cts/+/4c77c14ba0a97c5fdee364cb063e6a1e124612aa", "4c77c14ba0a97c5fdee364cb063e6a1e124612aa")</f>
        <v>0</v>
      </c>
      <c r="D14292" t="s">
        <v>5018</v>
      </c>
      <c r="E14292" t="s">
        <v>6307</v>
      </c>
      <c r="F14292" t="s">
        <v>12250</v>
      </c>
      <c r="G14292" t="s">
        <v>16481</v>
      </c>
      <c r="H14292" t="s">
        <v>19267</v>
      </c>
    </row>
    <row r="14293" spans="1:8">
      <c r="H14293" t="s">
        <v>18829</v>
      </c>
    </row>
    <row r="14294" spans="1:8">
      <c r="H14294" t="s">
        <v>21525</v>
      </c>
    </row>
    <row r="14295" spans="1:8">
      <c r="H14295" t="s">
        <v>21526</v>
      </c>
    </row>
    <row r="14296" spans="1:8">
      <c r="H14296" t="s">
        <v>21527</v>
      </c>
    </row>
    <row r="14297" spans="1:8">
      <c r="A14297" t="s">
        <v>522</v>
      </c>
      <c r="B14297">
        <f>HYPERLINK("https://android.googlesource.com/platform/cts/+/178f8818eb80316d16e3852b83bfdf14e1130407", "178f8818eb80316d16e3852b83bfdf14e1130407")</f>
        <v>0</v>
      </c>
      <c r="C14297">
        <f>HYPERLINK("https://android.googlesource.com/platform/cts/+/4adba5a0c2d6f14f1cda5589d7137be3107c6058", "4adba5a0c2d6f14f1cda5589d7137be3107c6058")</f>
        <v>0</v>
      </c>
      <c r="D14297" t="s">
        <v>5019</v>
      </c>
      <c r="E14297" t="s">
        <v>6308</v>
      </c>
      <c r="F14297" t="s">
        <v>10687</v>
      </c>
      <c r="G14297" t="s">
        <v>15087</v>
      </c>
      <c r="H14297" t="s">
        <v>21528</v>
      </c>
    </row>
    <row r="14298" spans="1:8">
      <c r="A14298" t="s">
        <v>523</v>
      </c>
      <c r="B14298">
        <f>HYPERLINK("https://android.googlesource.com/platform/cts/+/2830d721b4173ac7a91e4fc8b9cc0cafaaf86460", "2830d721b4173ac7a91e4fc8b9cc0cafaaf86460")</f>
        <v>0</v>
      </c>
      <c r="C14298">
        <f>HYPERLINK("https://android.googlesource.com/platform/cts/+/b24876794d9324ecc36b42a0c6d0b69690710afd", "b24876794d9324ecc36b42a0c6d0b69690710afd")</f>
        <v>0</v>
      </c>
      <c r="D14298" t="s">
        <v>5020</v>
      </c>
      <c r="E14298" t="s">
        <v>6309</v>
      </c>
      <c r="F14298" t="s">
        <v>12251</v>
      </c>
      <c r="G14298" t="s">
        <v>16482</v>
      </c>
      <c r="H14298" t="s">
        <v>21529</v>
      </c>
    </row>
    <row r="14299" spans="1:8">
      <c r="H14299" t="s">
        <v>21530</v>
      </c>
    </row>
    <row r="14300" spans="1:8">
      <c r="F14300" t="s">
        <v>12252</v>
      </c>
      <c r="G14300" t="s">
        <v>16483</v>
      </c>
      <c r="H14300" t="s">
        <v>21531</v>
      </c>
    </row>
    <row r="14301" spans="1:8">
      <c r="A14301" t="s">
        <v>524</v>
      </c>
      <c r="B14301">
        <f>HYPERLINK("https://android.googlesource.com/platform/cts/+/1781e39aae777152a097166996fc9d0ce45b533d", "1781e39aae777152a097166996fc9d0ce45b533d")</f>
        <v>0</v>
      </c>
      <c r="C14301">
        <f>HYPERLINK("https://android.googlesource.com/platform/cts/+/abdc4b1c9b38c129b9503ed122f00a168222216d", "abdc4b1c9b38c129b9503ed122f00a168222216d")</f>
        <v>0</v>
      </c>
      <c r="D14301" t="s">
        <v>5021</v>
      </c>
      <c r="E14301" t="s">
        <v>6310</v>
      </c>
      <c r="F14301" t="s">
        <v>10582</v>
      </c>
      <c r="G14301" t="s">
        <v>14985</v>
      </c>
      <c r="H14301" t="s">
        <v>21532</v>
      </c>
    </row>
    <row r="14302" spans="1:8">
      <c r="A14302" t="s">
        <v>525</v>
      </c>
      <c r="B14302">
        <f>HYPERLINK("https://android.googlesource.com/platform/cts/+/3d3e58536fc469ba8eeabb5f2f7334c6323b4f51", "3d3e58536fc469ba8eeabb5f2f7334c6323b4f51")</f>
        <v>0</v>
      </c>
      <c r="C14302">
        <f>HYPERLINK("https://android.googlesource.com/platform/cts/+/9e9c892a17fc1b5335e50601ee20884d2288b152", "9e9c892a17fc1b5335e50601ee20884d2288b152")</f>
        <v>0</v>
      </c>
      <c r="D14302" t="s">
        <v>5017</v>
      </c>
      <c r="E14302" t="s">
        <v>6311</v>
      </c>
      <c r="F14302" t="s">
        <v>12253</v>
      </c>
      <c r="G14302" t="s">
        <v>16484</v>
      </c>
      <c r="H14302" t="s">
        <v>18829</v>
      </c>
    </row>
    <row r="14303" spans="1:8">
      <c r="H14303" t="s">
        <v>21533</v>
      </c>
    </row>
    <row r="14304" spans="1:8">
      <c r="H14304" t="s">
        <v>21534</v>
      </c>
    </row>
    <row r="14305" spans="6:8">
      <c r="H14305" t="s">
        <v>21535</v>
      </c>
    </row>
    <row r="14306" spans="6:8">
      <c r="H14306" t="s">
        <v>21536</v>
      </c>
    </row>
    <row r="14307" spans="6:8">
      <c r="H14307" t="s">
        <v>21537</v>
      </c>
    </row>
    <row r="14308" spans="6:8">
      <c r="H14308" t="s">
        <v>21538</v>
      </c>
    </row>
    <row r="14309" spans="6:8">
      <c r="H14309" t="s">
        <v>21539</v>
      </c>
    </row>
    <row r="14310" spans="6:8">
      <c r="H14310" t="s">
        <v>21540</v>
      </c>
    </row>
    <row r="14311" spans="6:8">
      <c r="H14311" t="s">
        <v>21541</v>
      </c>
    </row>
    <row r="14312" spans="6:8">
      <c r="H14312" t="s">
        <v>21542</v>
      </c>
    </row>
    <row r="14313" spans="6:8">
      <c r="F14313" t="s">
        <v>12254</v>
      </c>
      <c r="G14313" t="s">
        <v>16485</v>
      </c>
      <c r="H14313" t="s">
        <v>18829</v>
      </c>
    </row>
    <row r="14314" spans="6:8">
      <c r="H14314" t="s">
        <v>21533</v>
      </c>
    </row>
    <row r="14315" spans="6:8">
      <c r="H14315" t="s">
        <v>21534</v>
      </c>
    </row>
    <row r="14316" spans="6:8">
      <c r="H14316" t="s">
        <v>21543</v>
      </c>
    </row>
    <row r="14317" spans="6:8">
      <c r="H14317" t="s">
        <v>21544</v>
      </c>
    </row>
    <row r="14318" spans="6:8">
      <c r="H14318" t="s">
        <v>21545</v>
      </c>
    </row>
    <row r="14319" spans="6:8">
      <c r="H14319" t="s">
        <v>21546</v>
      </c>
    </row>
    <row r="14320" spans="6:8">
      <c r="H14320" t="s">
        <v>21547</v>
      </c>
    </row>
    <row r="14321" spans="6:8">
      <c r="H14321" t="s">
        <v>21548</v>
      </c>
    </row>
    <row r="14322" spans="6:8">
      <c r="H14322" t="s">
        <v>21549</v>
      </c>
    </row>
    <row r="14323" spans="6:8">
      <c r="H14323" t="s">
        <v>21550</v>
      </c>
    </row>
    <row r="14324" spans="6:8">
      <c r="F14324" t="s">
        <v>12255</v>
      </c>
      <c r="G14324" t="s">
        <v>16486</v>
      </c>
      <c r="H14324" t="s">
        <v>18829</v>
      </c>
    </row>
    <row r="14325" spans="6:8">
      <c r="H14325" t="s">
        <v>21533</v>
      </c>
    </row>
    <row r="14326" spans="6:8">
      <c r="H14326" t="s">
        <v>21534</v>
      </c>
    </row>
    <row r="14327" spans="6:8">
      <c r="H14327" t="s">
        <v>21551</v>
      </c>
    </row>
    <row r="14328" spans="6:8">
      <c r="H14328" t="s">
        <v>21552</v>
      </c>
    </row>
    <row r="14329" spans="6:8">
      <c r="H14329" t="s">
        <v>21553</v>
      </c>
    </row>
    <row r="14330" spans="6:8">
      <c r="H14330" t="s">
        <v>21554</v>
      </c>
    </row>
    <row r="14331" spans="6:8">
      <c r="H14331" t="s">
        <v>21555</v>
      </c>
    </row>
    <row r="14332" spans="6:8">
      <c r="H14332" t="s">
        <v>21556</v>
      </c>
    </row>
    <row r="14333" spans="6:8">
      <c r="H14333" t="s">
        <v>21557</v>
      </c>
    </row>
    <row r="14334" spans="6:8">
      <c r="H14334" t="s">
        <v>21558</v>
      </c>
    </row>
    <row r="14335" spans="6:8">
      <c r="F14335" t="s">
        <v>12256</v>
      </c>
      <c r="G14335" t="s">
        <v>16487</v>
      </c>
      <c r="H14335" t="s">
        <v>18829</v>
      </c>
    </row>
    <row r="14336" spans="6:8">
      <c r="H14336" t="s">
        <v>21533</v>
      </c>
    </row>
    <row r="14337" spans="6:8">
      <c r="H14337" t="s">
        <v>21534</v>
      </c>
    </row>
    <row r="14338" spans="6:8">
      <c r="H14338" t="s">
        <v>21559</v>
      </c>
    </row>
    <row r="14339" spans="6:8">
      <c r="H14339" t="s">
        <v>21560</v>
      </c>
    </row>
    <row r="14340" spans="6:8">
      <c r="H14340" t="s">
        <v>21561</v>
      </c>
    </row>
    <row r="14341" spans="6:8">
      <c r="H14341" t="s">
        <v>21562</v>
      </c>
    </row>
    <row r="14342" spans="6:8">
      <c r="H14342" t="s">
        <v>21563</v>
      </c>
    </row>
    <row r="14343" spans="6:8">
      <c r="H14343" t="s">
        <v>21564</v>
      </c>
    </row>
    <row r="14344" spans="6:8">
      <c r="H14344" t="s">
        <v>21565</v>
      </c>
    </row>
    <row r="14345" spans="6:8">
      <c r="H14345" t="s">
        <v>21566</v>
      </c>
    </row>
    <row r="14346" spans="6:8">
      <c r="F14346" t="s">
        <v>12257</v>
      </c>
      <c r="G14346" t="s">
        <v>16488</v>
      </c>
      <c r="H14346" t="s">
        <v>18829</v>
      </c>
    </row>
    <row r="14347" spans="6:8">
      <c r="H14347" t="s">
        <v>21533</v>
      </c>
    </row>
    <row r="14348" spans="6:8">
      <c r="H14348" t="s">
        <v>21534</v>
      </c>
    </row>
    <row r="14349" spans="6:8">
      <c r="H14349" t="s">
        <v>21567</v>
      </c>
    </row>
    <row r="14350" spans="6:8">
      <c r="H14350" t="s">
        <v>21568</v>
      </c>
    </row>
    <row r="14351" spans="6:8">
      <c r="H14351" t="s">
        <v>21569</v>
      </c>
    </row>
    <row r="14352" spans="6:8">
      <c r="H14352" t="s">
        <v>21570</v>
      </c>
    </row>
    <row r="14353" spans="6:8">
      <c r="H14353" t="s">
        <v>21571</v>
      </c>
    </row>
    <row r="14354" spans="6:8">
      <c r="H14354" t="s">
        <v>21572</v>
      </c>
    </row>
    <row r="14355" spans="6:8">
      <c r="H14355" t="s">
        <v>21573</v>
      </c>
    </row>
    <row r="14356" spans="6:8">
      <c r="H14356" t="s">
        <v>21574</v>
      </c>
    </row>
    <row r="14357" spans="6:8">
      <c r="F14357" t="s">
        <v>12258</v>
      </c>
      <c r="G14357" t="s">
        <v>16489</v>
      </c>
      <c r="H14357" t="s">
        <v>18829</v>
      </c>
    </row>
    <row r="14358" spans="6:8">
      <c r="H14358" t="s">
        <v>21533</v>
      </c>
    </row>
    <row r="14359" spans="6:8">
      <c r="H14359" t="s">
        <v>21534</v>
      </c>
    </row>
    <row r="14360" spans="6:8">
      <c r="H14360" t="s">
        <v>21575</v>
      </c>
    </row>
    <row r="14361" spans="6:8">
      <c r="H14361" t="s">
        <v>21576</v>
      </c>
    </row>
    <row r="14362" spans="6:8">
      <c r="H14362" t="s">
        <v>21577</v>
      </c>
    </row>
    <row r="14363" spans="6:8">
      <c r="H14363" t="s">
        <v>21578</v>
      </c>
    </row>
    <row r="14364" spans="6:8">
      <c r="H14364" t="s">
        <v>21579</v>
      </c>
    </row>
    <row r="14365" spans="6:8">
      <c r="H14365" t="s">
        <v>21580</v>
      </c>
    </row>
    <row r="14366" spans="6:8">
      <c r="H14366" t="s">
        <v>21581</v>
      </c>
    </row>
    <row r="14367" spans="6:8">
      <c r="H14367" t="s">
        <v>21582</v>
      </c>
    </row>
    <row r="14368" spans="6:8">
      <c r="F14368" t="s">
        <v>12259</v>
      </c>
      <c r="G14368" t="s">
        <v>16490</v>
      </c>
      <c r="H14368" t="s">
        <v>18829</v>
      </c>
    </row>
    <row r="14369" spans="6:8">
      <c r="H14369" t="s">
        <v>21533</v>
      </c>
    </row>
    <row r="14370" spans="6:8">
      <c r="H14370" t="s">
        <v>21534</v>
      </c>
    </row>
    <row r="14371" spans="6:8">
      <c r="H14371" t="s">
        <v>21583</v>
      </c>
    </row>
    <row r="14372" spans="6:8">
      <c r="H14372" t="s">
        <v>21584</v>
      </c>
    </row>
    <row r="14373" spans="6:8">
      <c r="H14373" t="s">
        <v>21585</v>
      </c>
    </row>
    <row r="14374" spans="6:8">
      <c r="H14374" t="s">
        <v>21586</v>
      </c>
    </row>
    <row r="14375" spans="6:8">
      <c r="H14375" t="s">
        <v>21587</v>
      </c>
    </row>
    <row r="14376" spans="6:8">
      <c r="H14376" t="s">
        <v>21588</v>
      </c>
    </row>
    <row r="14377" spans="6:8">
      <c r="H14377" t="s">
        <v>21589</v>
      </c>
    </row>
    <row r="14378" spans="6:8">
      <c r="H14378" t="s">
        <v>21590</v>
      </c>
    </row>
    <row r="14379" spans="6:8">
      <c r="H14379" t="s">
        <v>21591</v>
      </c>
    </row>
    <row r="14380" spans="6:8">
      <c r="H14380" t="s">
        <v>21592</v>
      </c>
    </row>
    <row r="14381" spans="6:8">
      <c r="F14381" t="s">
        <v>12260</v>
      </c>
      <c r="G14381" t="s">
        <v>16491</v>
      </c>
      <c r="H14381" t="s">
        <v>18829</v>
      </c>
    </row>
    <row r="14382" spans="6:8">
      <c r="H14382" t="s">
        <v>21533</v>
      </c>
    </row>
    <row r="14383" spans="6:8">
      <c r="H14383" t="s">
        <v>21534</v>
      </c>
    </row>
    <row r="14384" spans="6:8">
      <c r="H14384" t="s">
        <v>21583</v>
      </c>
    </row>
    <row r="14385" spans="6:8">
      <c r="H14385" t="s">
        <v>21584</v>
      </c>
    </row>
    <row r="14386" spans="6:8">
      <c r="H14386" t="s">
        <v>21593</v>
      </c>
    </row>
    <row r="14387" spans="6:8">
      <c r="H14387" t="s">
        <v>21594</v>
      </c>
    </row>
    <row r="14388" spans="6:8">
      <c r="H14388" t="s">
        <v>21595</v>
      </c>
    </row>
    <row r="14389" spans="6:8">
      <c r="H14389" t="s">
        <v>21596</v>
      </c>
    </row>
    <row r="14390" spans="6:8">
      <c r="H14390" t="s">
        <v>21597</v>
      </c>
    </row>
    <row r="14391" spans="6:8">
      <c r="H14391" t="s">
        <v>21598</v>
      </c>
    </row>
    <row r="14392" spans="6:8">
      <c r="H14392" t="s">
        <v>21599</v>
      </c>
    </row>
    <row r="14393" spans="6:8">
      <c r="H14393" t="s">
        <v>21600</v>
      </c>
    </row>
    <row r="14394" spans="6:8">
      <c r="F14394" t="s">
        <v>12261</v>
      </c>
      <c r="G14394" t="s">
        <v>16492</v>
      </c>
      <c r="H14394" t="s">
        <v>18829</v>
      </c>
    </row>
    <row r="14395" spans="6:8">
      <c r="H14395" t="s">
        <v>21533</v>
      </c>
    </row>
    <row r="14396" spans="6:8">
      <c r="H14396" t="s">
        <v>21534</v>
      </c>
    </row>
    <row r="14397" spans="6:8">
      <c r="H14397" t="s">
        <v>21601</v>
      </c>
    </row>
    <row r="14398" spans="6:8">
      <c r="H14398" t="s">
        <v>21602</v>
      </c>
    </row>
    <row r="14399" spans="6:8">
      <c r="H14399" t="s">
        <v>21603</v>
      </c>
    </row>
    <row r="14400" spans="6:8">
      <c r="H14400" t="s">
        <v>21604</v>
      </c>
    </row>
    <row r="14401" spans="6:8">
      <c r="H14401" t="s">
        <v>21605</v>
      </c>
    </row>
    <row r="14402" spans="6:8">
      <c r="H14402" t="s">
        <v>21606</v>
      </c>
    </row>
    <row r="14403" spans="6:8">
      <c r="H14403" t="s">
        <v>21607</v>
      </c>
    </row>
    <row r="14404" spans="6:8">
      <c r="H14404" t="s">
        <v>21608</v>
      </c>
    </row>
    <row r="14405" spans="6:8">
      <c r="F14405" t="s">
        <v>12262</v>
      </c>
      <c r="G14405" t="s">
        <v>16493</v>
      </c>
      <c r="H14405" t="s">
        <v>18829</v>
      </c>
    </row>
    <row r="14406" spans="6:8">
      <c r="H14406" t="s">
        <v>21533</v>
      </c>
    </row>
    <row r="14407" spans="6:8">
      <c r="H14407" t="s">
        <v>21534</v>
      </c>
    </row>
    <row r="14408" spans="6:8">
      <c r="H14408" t="s">
        <v>21609</v>
      </c>
    </row>
    <row r="14409" spans="6:8">
      <c r="H14409" t="s">
        <v>21610</v>
      </c>
    </row>
    <row r="14410" spans="6:8">
      <c r="H14410" t="s">
        <v>21611</v>
      </c>
    </row>
    <row r="14411" spans="6:8">
      <c r="H14411" t="s">
        <v>21612</v>
      </c>
    </row>
    <row r="14412" spans="6:8">
      <c r="H14412" t="s">
        <v>21613</v>
      </c>
    </row>
    <row r="14413" spans="6:8">
      <c r="H14413" t="s">
        <v>21614</v>
      </c>
    </row>
    <row r="14414" spans="6:8">
      <c r="H14414" t="s">
        <v>21615</v>
      </c>
    </row>
    <row r="14415" spans="6:8">
      <c r="H14415" t="s">
        <v>21616</v>
      </c>
    </row>
    <row r="14416" spans="6:8">
      <c r="F14416" t="s">
        <v>12263</v>
      </c>
      <c r="G14416" t="s">
        <v>16494</v>
      </c>
      <c r="H14416" t="s">
        <v>18829</v>
      </c>
    </row>
    <row r="14417" spans="6:8">
      <c r="H14417" t="s">
        <v>21533</v>
      </c>
    </row>
    <row r="14418" spans="6:8">
      <c r="H14418" t="s">
        <v>21534</v>
      </c>
    </row>
    <row r="14419" spans="6:8">
      <c r="H14419" t="s">
        <v>21617</v>
      </c>
    </row>
    <row r="14420" spans="6:8">
      <c r="H14420" t="s">
        <v>21618</v>
      </c>
    </row>
    <row r="14421" spans="6:8">
      <c r="H14421" t="s">
        <v>21619</v>
      </c>
    </row>
    <row r="14422" spans="6:8">
      <c r="H14422" t="s">
        <v>21620</v>
      </c>
    </row>
    <row r="14423" spans="6:8">
      <c r="H14423" t="s">
        <v>21621</v>
      </c>
    </row>
    <row r="14424" spans="6:8">
      <c r="H14424" t="s">
        <v>21622</v>
      </c>
    </row>
    <row r="14425" spans="6:8">
      <c r="H14425" t="s">
        <v>21623</v>
      </c>
    </row>
    <row r="14426" spans="6:8">
      <c r="H14426" t="s">
        <v>21624</v>
      </c>
    </row>
    <row r="14427" spans="6:8">
      <c r="F14427" t="s">
        <v>12264</v>
      </c>
      <c r="G14427" t="s">
        <v>16495</v>
      </c>
      <c r="H14427" t="s">
        <v>18829</v>
      </c>
    </row>
    <row r="14428" spans="6:8">
      <c r="H14428" t="s">
        <v>21533</v>
      </c>
    </row>
    <row r="14429" spans="6:8">
      <c r="H14429" t="s">
        <v>21534</v>
      </c>
    </row>
    <row r="14430" spans="6:8">
      <c r="H14430" t="s">
        <v>21625</v>
      </c>
    </row>
    <row r="14431" spans="6:8">
      <c r="H14431" t="s">
        <v>21626</v>
      </c>
    </row>
    <row r="14432" spans="6:8">
      <c r="H14432" t="s">
        <v>21627</v>
      </c>
    </row>
    <row r="14433" spans="6:8">
      <c r="H14433" t="s">
        <v>21628</v>
      </c>
    </row>
    <row r="14434" spans="6:8">
      <c r="H14434" t="s">
        <v>21629</v>
      </c>
    </row>
    <row r="14435" spans="6:8">
      <c r="H14435" t="s">
        <v>21630</v>
      </c>
    </row>
    <row r="14436" spans="6:8">
      <c r="H14436" t="s">
        <v>21631</v>
      </c>
    </row>
    <row r="14437" spans="6:8">
      <c r="H14437" t="s">
        <v>21632</v>
      </c>
    </row>
    <row r="14438" spans="6:8">
      <c r="F14438" t="s">
        <v>12265</v>
      </c>
      <c r="G14438" t="s">
        <v>16496</v>
      </c>
      <c r="H14438" t="s">
        <v>18829</v>
      </c>
    </row>
    <row r="14439" spans="6:8">
      <c r="H14439" t="s">
        <v>21533</v>
      </c>
    </row>
    <row r="14440" spans="6:8">
      <c r="H14440" t="s">
        <v>21534</v>
      </c>
    </row>
    <row r="14441" spans="6:8">
      <c r="H14441" t="s">
        <v>21633</v>
      </c>
    </row>
    <row r="14442" spans="6:8">
      <c r="H14442" t="s">
        <v>21634</v>
      </c>
    </row>
    <row r="14443" spans="6:8">
      <c r="H14443" t="s">
        <v>21635</v>
      </c>
    </row>
    <row r="14444" spans="6:8">
      <c r="H14444" t="s">
        <v>21636</v>
      </c>
    </row>
    <row r="14445" spans="6:8">
      <c r="H14445" t="s">
        <v>21637</v>
      </c>
    </row>
    <row r="14446" spans="6:8">
      <c r="H14446" t="s">
        <v>21638</v>
      </c>
    </row>
    <row r="14447" spans="6:8">
      <c r="H14447" t="s">
        <v>21639</v>
      </c>
    </row>
    <row r="14448" spans="6:8">
      <c r="H14448" t="s">
        <v>21640</v>
      </c>
    </row>
    <row r="14449" spans="6:8">
      <c r="F14449" t="s">
        <v>11432</v>
      </c>
      <c r="G14449" t="s">
        <v>15672</v>
      </c>
      <c r="H14449" t="s">
        <v>21641</v>
      </c>
    </row>
    <row r="14450" spans="6:8">
      <c r="H14450" t="s">
        <v>21642</v>
      </c>
    </row>
    <row r="14451" spans="6:8">
      <c r="F14451" t="s">
        <v>12266</v>
      </c>
      <c r="G14451" t="s">
        <v>16497</v>
      </c>
      <c r="H14451" t="s">
        <v>18829</v>
      </c>
    </row>
    <row r="14452" spans="6:8">
      <c r="H14452" t="s">
        <v>21533</v>
      </c>
    </row>
    <row r="14453" spans="6:8">
      <c r="H14453" t="s">
        <v>21534</v>
      </c>
    </row>
    <row r="14454" spans="6:8">
      <c r="H14454" t="s">
        <v>21583</v>
      </c>
    </row>
    <row r="14455" spans="6:8">
      <c r="H14455" t="s">
        <v>21584</v>
      </c>
    </row>
    <row r="14456" spans="6:8">
      <c r="H14456" t="s">
        <v>21643</v>
      </c>
    </row>
    <row r="14457" spans="6:8">
      <c r="H14457" t="s">
        <v>21644</v>
      </c>
    </row>
    <row r="14458" spans="6:8">
      <c r="H14458" t="s">
        <v>21645</v>
      </c>
    </row>
    <row r="14459" spans="6:8">
      <c r="H14459" t="s">
        <v>21646</v>
      </c>
    </row>
    <row r="14460" spans="6:8">
      <c r="H14460" t="s">
        <v>21647</v>
      </c>
    </row>
    <row r="14461" spans="6:8">
      <c r="H14461" t="s">
        <v>21648</v>
      </c>
    </row>
    <row r="14462" spans="6:8">
      <c r="H14462" t="s">
        <v>21649</v>
      </c>
    </row>
    <row r="14463" spans="6:8">
      <c r="H14463" t="s">
        <v>21650</v>
      </c>
    </row>
    <row r="14464" spans="6:8">
      <c r="F14464" t="s">
        <v>12267</v>
      </c>
      <c r="G14464" t="s">
        <v>16498</v>
      </c>
      <c r="H14464" t="s">
        <v>18829</v>
      </c>
    </row>
    <row r="14465" spans="6:8">
      <c r="H14465" t="s">
        <v>21533</v>
      </c>
    </row>
    <row r="14466" spans="6:8">
      <c r="H14466" t="s">
        <v>21534</v>
      </c>
    </row>
    <row r="14467" spans="6:8">
      <c r="H14467" t="s">
        <v>21651</v>
      </c>
    </row>
    <row r="14468" spans="6:8">
      <c r="H14468" t="s">
        <v>21652</v>
      </c>
    </row>
    <row r="14469" spans="6:8">
      <c r="H14469" t="s">
        <v>21653</v>
      </c>
    </row>
    <row r="14470" spans="6:8">
      <c r="H14470" t="s">
        <v>21654</v>
      </c>
    </row>
    <row r="14471" spans="6:8">
      <c r="H14471" t="s">
        <v>21655</v>
      </c>
    </row>
    <row r="14472" spans="6:8">
      <c r="H14472" t="s">
        <v>21656</v>
      </c>
    </row>
    <row r="14473" spans="6:8">
      <c r="H14473" t="s">
        <v>21657</v>
      </c>
    </row>
    <row r="14474" spans="6:8">
      <c r="H14474" t="s">
        <v>21658</v>
      </c>
    </row>
    <row r="14475" spans="6:8">
      <c r="F14475" t="s">
        <v>12268</v>
      </c>
      <c r="G14475" t="s">
        <v>16499</v>
      </c>
      <c r="H14475" t="s">
        <v>18829</v>
      </c>
    </row>
    <row r="14476" spans="6:8">
      <c r="H14476" t="s">
        <v>21533</v>
      </c>
    </row>
    <row r="14477" spans="6:8">
      <c r="H14477" t="s">
        <v>21534</v>
      </c>
    </row>
    <row r="14478" spans="6:8">
      <c r="H14478" t="s">
        <v>21659</v>
      </c>
    </row>
    <row r="14479" spans="6:8">
      <c r="H14479" t="s">
        <v>21660</v>
      </c>
    </row>
    <row r="14480" spans="6:8">
      <c r="H14480" t="s">
        <v>21661</v>
      </c>
    </row>
    <row r="14481" spans="6:8">
      <c r="H14481" t="s">
        <v>21662</v>
      </c>
    </row>
    <row r="14482" spans="6:8">
      <c r="H14482" t="s">
        <v>21663</v>
      </c>
    </row>
    <row r="14483" spans="6:8">
      <c r="H14483" t="s">
        <v>21664</v>
      </c>
    </row>
    <row r="14484" spans="6:8">
      <c r="H14484" t="s">
        <v>21665</v>
      </c>
    </row>
    <row r="14485" spans="6:8">
      <c r="H14485" t="s">
        <v>21666</v>
      </c>
    </row>
    <row r="14486" spans="6:8">
      <c r="F14486" t="s">
        <v>12226</v>
      </c>
      <c r="G14486" t="s">
        <v>16456</v>
      </c>
      <c r="H14486" t="s">
        <v>18829</v>
      </c>
    </row>
    <row r="14487" spans="6:8">
      <c r="H14487" t="s">
        <v>21533</v>
      </c>
    </row>
    <row r="14488" spans="6:8">
      <c r="H14488" t="s">
        <v>21534</v>
      </c>
    </row>
    <row r="14489" spans="6:8">
      <c r="H14489" t="s">
        <v>21583</v>
      </c>
    </row>
    <row r="14490" spans="6:8">
      <c r="H14490" t="s">
        <v>21584</v>
      </c>
    </row>
    <row r="14491" spans="6:8">
      <c r="H14491" t="s">
        <v>21667</v>
      </c>
    </row>
    <row r="14492" spans="6:8">
      <c r="H14492" t="s">
        <v>21668</v>
      </c>
    </row>
    <row r="14493" spans="6:8">
      <c r="F14493" t="s">
        <v>12269</v>
      </c>
      <c r="G14493" t="s">
        <v>16500</v>
      </c>
      <c r="H14493" t="s">
        <v>18829</v>
      </c>
    </row>
    <row r="14494" spans="6:8">
      <c r="H14494" t="s">
        <v>21533</v>
      </c>
    </row>
    <row r="14495" spans="6:8">
      <c r="H14495" t="s">
        <v>21534</v>
      </c>
    </row>
    <row r="14496" spans="6:8">
      <c r="H14496" t="s">
        <v>21669</v>
      </c>
    </row>
    <row r="14497" spans="6:8">
      <c r="H14497" t="s">
        <v>21670</v>
      </c>
    </row>
    <row r="14498" spans="6:8">
      <c r="H14498" t="s">
        <v>21671</v>
      </c>
    </row>
    <row r="14499" spans="6:8">
      <c r="H14499" t="s">
        <v>21672</v>
      </c>
    </row>
    <row r="14500" spans="6:8">
      <c r="H14500" t="s">
        <v>21673</v>
      </c>
    </row>
    <row r="14501" spans="6:8">
      <c r="H14501" t="s">
        <v>21674</v>
      </c>
    </row>
    <row r="14502" spans="6:8">
      <c r="H14502" t="s">
        <v>21675</v>
      </c>
    </row>
    <row r="14503" spans="6:8">
      <c r="H14503" t="s">
        <v>21676</v>
      </c>
    </row>
    <row r="14504" spans="6:8">
      <c r="F14504" t="s">
        <v>12270</v>
      </c>
      <c r="G14504" t="s">
        <v>16501</v>
      </c>
      <c r="H14504" t="s">
        <v>18829</v>
      </c>
    </row>
    <row r="14505" spans="6:8">
      <c r="H14505" t="s">
        <v>21533</v>
      </c>
    </row>
    <row r="14506" spans="6:8">
      <c r="H14506" t="s">
        <v>21534</v>
      </c>
    </row>
    <row r="14507" spans="6:8">
      <c r="H14507" t="s">
        <v>21677</v>
      </c>
    </row>
    <row r="14508" spans="6:8">
      <c r="H14508" t="s">
        <v>21678</v>
      </c>
    </row>
    <row r="14509" spans="6:8">
      <c r="H14509" t="s">
        <v>21679</v>
      </c>
    </row>
    <row r="14510" spans="6:8">
      <c r="H14510" t="s">
        <v>21680</v>
      </c>
    </row>
    <row r="14511" spans="6:8">
      <c r="H14511" t="s">
        <v>21681</v>
      </c>
    </row>
    <row r="14512" spans="6:8">
      <c r="H14512" t="s">
        <v>21682</v>
      </c>
    </row>
    <row r="14513" spans="6:8">
      <c r="H14513" t="s">
        <v>21683</v>
      </c>
    </row>
    <row r="14514" spans="6:8">
      <c r="H14514" t="s">
        <v>21684</v>
      </c>
    </row>
    <row r="14515" spans="6:8">
      <c r="F14515" t="s">
        <v>12271</v>
      </c>
      <c r="G14515" t="s">
        <v>16502</v>
      </c>
      <c r="H14515" t="s">
        <v>18829</v>
      </c>
    </row>
    <row r="14516" spans="6:8">
      <c r="H14516" t="s">
        <v>21533</v>
      </c>
    </row>
    <row r="14517" spans="6:8">
      <c r="H14517" t="s">
        <v>21534</v>
      </c>
    </row>
    <row r="14518" spans="6:8">
      <c r="H14518" t="s">
        <v>21685</v>
      </c>
    </row>
    <row r="14519" spans="6:8">
      <c r="H14519" t="s">
        <v>21686</v>
      </c>
    </row>
    <row r="14520" spans="6:8">
      <c r="H14520" t="s">
        <v>21687</v>
      </c>
    </row>
    <row r="14521" spans="6:8">
      <c r="H14521" t="s">
        <v>21688</v>
      </c>
    </row>
    <row r="14522" spans="6:8">
      <c r="H14522" t="s">
        <v>21689</v>
      </c>
    </row>
    <row r="14523" spans="6:8">
      <c r="H14523" t="s">
        <v>21690</v>
      </c>
    </row>
    <row r="14524" spans="6:8">
      <c r="H14524" t="s">
        <v>21691</v>
      </c>
    </row>
    <row r="14525" spans="6:8">
      <c r="H14525" t="s">
        <v>21692</v>
      </c>
    </row>
    <row r="14526" spans="6:8">
      <c r="F14526" t="s">
        <v>12272</v>
      </c>
      <c r="G14526" t="s">
        <v>16503</v>
      </c>
      <c r="H14526" t="s">
        <v>18829</v>
      </c>
    </row>
    <row r="14527" spans="6:8">
      <c r="H14527" t="s">
        <v>21533</v>
      </c>
    </row>
    <row r="14528" spans="6:8">
      <c r="H14528" t="s">
        <v>21534</v>
      </c>
    </row>
    <row r="14529" spans="6:8">
      <c r="H14529" t="s">
        <v>21693</v>
      </c>
    </row>
    <row r="14530" spans="6:8">
      <c r="H14530" t="s">
        <v>21694</v>
      </c>
    </row>
    <row r="14531" spans="6:8">
      <c r="H14531" t="s">
        <v>21695</v>
      </c>
    </row>
    <row r="14532" spans="6:8">
      <c r="H14532" t="s">
        <v>21696</v>
      </c>
    </row>
    <row r="14533" spans="6:8">
      <c r="H14533" t="s">
        <v>21697</v>
      </c>
    </row>
    <row r="14534" spans="6:8">
      <c r="H14534" t="s">
        <v>21698</v>
      </c>
    </row>
    <row r="14535" spans="6:8">
      <c r="H14535" t="s">
        <v>21699</v>
      </c>
    </row>
    <row r="14536" spans="6:8">
      <c r="H14536" t="s">
        <v>21700</v>
      </c>
    </row>
    <row r="14537" spans="6:8">
      <c r="F14537" t="s">
        <v>12273</v>
      </c>
      <c r="G14537" t="s">
        <v>16504</v>
      </c>
      <c r="H14537" t="s">
        <v>18829</v>
      </c>
    </row>
    <row r="14538" spans="6:8">
      <c r="H14538" t="s">
        <v>21533</v>
      </c>
    </row>
    <row r="14539" spans="6:8">
      <c r="H14539" t="s">
        <v>21534</v>
      </c>
    </row>
    <row r="14540" spans="6:8">
      <c r="H14540" t="s">
        <v>21701</v>
      </c>
    </row>
    <row r="14541" spans="6:8">
      <c r="H14541" t="s">
        <v>21702</v>
      </c>
    </row>
    <row r="14542" spans="6:8">
      <c r="H14542" t="s">
        <v>21703</v>
      </c>
    </row>
    <row r="14543" spans="6:8">
      <c r="H14543" t="s">
        <v>21704</v>
      </c>
    </row>
    <row r="14544" spans="6:8">
      <c r="H14544" t="s">
        <v>21705</v>
      </c>
    </row>
    <row r="14545" spans="6:8">
      <c r="H14545" t="s">
        <v>21706</v>
      </c>
    </row>
    <row r="14546" spans="6:8">
      <c r="H14546" t="s">
        <v>21707</v>
      </c>
    </row>
    <row r="14547" spans="6:8">
      <c r="H14547" t="s">
        <v>21708</v>
      </c>
    </row>
    <row r="14548" spans="6:8">
      <c r="F14548" t="s">
        <v>12274</v>
      </c>
      <c r="G14548" t="s">
        <v>16505</v>
      </c>
      <c r="H14548" t="s">
        <v>18829</v>
      </c>
    </row>
    <row r="14549" spans="6:8">
      <c r="H14549" t="s">
        <v>21533</v>
      </c>
    </row>
    <row r="14550" spans="6:8">
      <c r="H14550" t="s">
        <v>21534</v>
      </c>
    </row>
    <row r="14551" spans="6:8">
      <c r="H14551" t="s">
        <v>21709</v>
      </c>
    </row>
    <row r="14552" spans="6:8">
      <c r="H14552" t="s">
        <v>21710</v>
      </c>
    </row>
    <row r="14553" spans="6:8">
      <c r="H14553" t="s">
        <v>21711</v>
      </c>
    </row>
    <row r="14554" spans="6:8">
      <c r="H14554" t="s">
        <v>21712</v>
      </c>
    </row>
    <row r="14555" spans="6:8">
      <c r="H14555" t="s">
        <v>21713</v>
      </c>
    </row>
    <row r="14556" spans="6:8">
      <c r="H14556" t="s">
        <v>21714</v>
      </c>
    </row>
    <row r="14557" spans="6:8">
      <c r="H14557" t="s">
        <v>21715</v>
      </c>
    </row>
    <row r="14558" spans="6:8">
      <c r="H14558" t="s">
        <v>21716</v>
      </c>
    </row>
    <row r="14559" spans="6:8">
      <c r="F14559" t="s">
        <v>12275</v>
      </c>
      <c r="G14559" t="s">
        <v>16506</v>
      </c>
      <c r="H14559" t="s">
        <v>18829</v>
      </c>
    </row>
    <row r="14560" spans="6:8">
      <c r="H14560" t="s">
        <v>21533</v>
      </c>
    </row>
    <row r="14561" spans="6:8">
      <c r="H14561" t="s">
        <v>21534</v>
      </c>
    </row>
    <row r="14562" spans="6:8">
      <c r="H14562" t="s">
        <v>21583</v>
      </c>
    </row>
    <row r="14563" spans="6:8">
      <c r="H14563" t="s">
        <v>21584</v>
      </c>
    </row>
    <row r="14564" spans="6:8">
      <c r="H14564" t="s">
        <v>21717</v>
      </c>
    </row>
    <row r="14565" spans="6:8">
      <c r="H14565" t="s">
        <v>21718</v>
      </c>
    </row>
    <row r="14566" spans="6:8">
      <c r="H14566" t="s">
        <v>21719</v>
      </c>
    </row>
    <row r="14567" spans="6:8">
      <c r="H14567" t="s">
        <v>21720</v>
      </c>
    </row>
    <row r="14568" spans="6:8">
      <c r="H14568" t="s">
        <v>21721</v>
      </c>
    </row>
    <row r="14569" spans="6:8">
      <c r="H14569" t="s">
        <v>21722</v>
      </c>
    </row>
    <row r="14570" spans="6:8">
      <c r="H14570" t="s">
        <v>21723</v>
      </c>
    </row>
    <row r="14571" spans="6:8">
      <c r="H14571" t="s">
        <v>21724</v>
      </c>
    </row>
    <row r="14572" spans="6:8">
      <c r="F14572" t="s">
        <v>12276</v>
      </c>
      <c r="G14572" t="s">
        <v>16507</v>
      </c>
      <c r="H14572" t="s">
        <v>18829</v>
      </c>
    </row>
    <row r="14573" spans="6:8">
      <c r="H14573" t="s">
        <v>21533</v>
      </c>
    </row>
    <row r="14574" spans="6:8">
      <c r="H14574" t="s">
        <v>21534</v>
      </c>
    </row>
    <row r="14575" spans="6:8">
      <c r="H14575" t="s">
        <v>21725</v>
      </c>
    </row>
    <row r="14576" spans="6:8">
      <c r="H14576" t="s">
        <v>21726</v>
      </c>
    </row>
    <row r="14577" spans="6:8">
      <c r="H14577" t="s">
        <v>21727</v>
      </c>
    </row>
    <row r="14578" spans="6:8">
      <c r="H14578" t="s">
        <v>21728</v>
      </c>
    </row>
    <row r="14579" spans="6:8">
      <c r="H14579" t="s">
        <v>21729</v>
      </c>
    </row>
    <row r="14580" spans="6:8">
      <c r="H14580" t="s">
        <v>21730</v>
      </c>
    </row>
    <row r="14581" spans="6:8">
      <c r="H14581" t="s">
        <v>21731</v>
      </c>
    </row>
    <row r="14582" spans="6:8">
      <c r="H14582" t="s">
        <v>21732</v>
      </c>
    </row>
    <row r="14583" spans="6:8">
      <c r="F14583" t="s">
        <v>12277</v>
      </c>
      <c r="G14583" t="s">
        <v>16508</v>
      </c>
      <c r="H14583" t="s">
        <v>18829</v>
      </c>
    </row>
    <row r="14584" spans="6:8">
      <c r="H14584" t="s">
        <v>21533</v>
      </c>
    </row>
    <row r="14585" spans="6:8">
      <c r="H14585" t="s">
        <v>21534</v>
      </c>
    </row>
    <row r="14586" spans="6:8">
      <c r="H14586" t="s">
        <v>21583</v>
      </c>
    </row>
    <row r="14587" spans="6:8">
      <c r="H14587" t="s">
        <v>21584</v>
      </c>
    </row>
    <row r="14588" spans="6:8">
      <c r="H14588" t="s">
        <v>21733</v>
      </c>
    </row>
    <row r="14589" spans="6:8">
      <c r="H14589" t="s">
        <v>21734</v>
      </c>
    </row>
    <row r="14590" spans="6:8">
      <c r="H14590" t="s">
        <v>21735</v>
      </c>
    </row>
    <row r="14591" spans="6:8">
      <c r="H14591" t="s">
        <v>21736</v>
      </c>
    </row>
    <row r="14592" spans="6:8">
      <c r="H14592" t="s">
        <v>21737</v>
      </c>
    </row>
    <row r="14593" spans="6:8">
      <c r="H14593" t="s">
        <v>21738</v>
      </c>
    </row>
    <row r="14594" spans="6:8">
      <c r="H14594" t="s">
        <v>21739</v>
      </c>
    </row>
    <row r="14595" spans="6:8">
      <c r="H14595" t="s">
        <v>21740</v>
      </c>
    </row>
    <row r="14596" spans="6:8">
      <c r="F14596" t="s">
        <v>12278</v>
      </c>
      <c r="G14596" t="s">
        <v>16509</v>
      </c>
      <c r="H14596" t="s">
        <v>18829</v>
      </c>
    </row>
    <row r="14597" spans="6:8">
      <c r="H14597" t="s">
        <v>21533</v>
      </c>
    </row>
    <row r="14598" spans="6:8">
      <c r="H14598" t="s">
        <v>21534</v>
      </c>
    </row>
    <row r="14599" spans="6:8">
      <c r="H14599" t="s">
        <v>21583</v>
      </c>
    </row>
    <row r="14600" spans="6:8">
      <c r="H14600" t="s">
        <v>21584</v>
      </c>
    </row>
    <row r="14601" spans="6:8">
      <c r="H14601" t="s">
        <v>21741</v>
      </c>
    </row>
    <row r="14602" spans="6:8">
      <c r="H14602" t="s">
        <v>21742</v>
      </c>
    </row>
    <row r="14603" spans="6:8">
      <c r="H14603" t="s">
        <v>21743</v>
      </c>
    </row>
    <row r="14604" spans="6:8">
      <c r="H14604" t="s">
        <v>21744</v>
      </c>
    </row>
    <row r="14605" spans="6:8">
      <c r="H14605" t="s">
        <v>21745</v>
      </c>
    </row>
    <row r="14606" spans="6:8">
      <c r="H14606" t="s">
        <v>21746</v>
      </c>
    </row>
    <row r="14607" spans="6:8">
      <c r="H14607" t="s">
        <v>21747</v>
      </c>
    </row>
    <row r="14608" spans="6:8">
      <c r="H14608" t="s">
        <v>21748</v>
      </c>
    </row>
    <row r="14609" spans="6:8">
      <c r="F14609" t="s">
        <v>12279</v>
      </c>
      <c r="G14609" t="s">
        <v>16510</v>
      </c>
      <c r="H14609" t="s">
        <v>18829</v>
      </c>
    </row>
    <row r="14610" spans="6:8">
      <c r="H14610" t="s">
        <v>21533</v>
      </c>
    </row>
    <row r="14611" spans="6:8">
      <c r="H14611" t="s">
        <v>21534</v>
      </c>
    </row>
    <row r="14612" spans="6:8">
      <c r="H14612" t="s">
        <v>21583</v>
      </c>
    </row>
    <row r="14613" spans="6:8">
      <c r="H14613" t="s">
        <v>21584</v>
      </c>
    </row>
    <row r="14614" spans="6:8">
      <c r="H14614" t="s">
        <v>21749</v>
      </c>
    </row>
    <row r="14615" spans="6:8">
      <c r="H14615" t="s">
        <v>21750</v>
      </c>
    </row>
    <row r="14616" spans="6:8">
      <c r="H14616" t="s">
        <v>21751</v>
      </c>
    </row>
    <row r="14617" spans="6:8">
      <c r="H14617" t="s">
        <v>21752</v>
      </c>
    </row>
    <row r="14618" spans="6:8">
      <c r="H14618" t="s">
        <v>21753</v>
      </c>
    </row>
    <row r="14619" spans="6:8">
      <c r="H14619" t="s">
        <v>21754</v>
      </c>
    </row>
    <row r="14620" spans="6:8">
      <c r="H14620" t="s">
        <v>21755</v>
      </c>
    </row>
    <row r="14621" spans="6:8">
      <c r="H14621" t="s">
        <v>21756</v>
      </c>
    </row>
    <row r="14622" spans="6:8">
      <c r="F14622" t="s">
        <v>12280</v>
      </c>
      <c r="G14622" t="s">
        <v>16511</v>
      </c>
      <c r="H14622" t="s">
        <v>18829</v>
      </c>
    </row>
    <row r="14623" spans="6:8">
      <c r="H14623" t="s">
        <v>21533</v>
      </c>
    </row>
    <row r="14624" spans="6:8">
      <c r="H14624" t="s">
        <v>21534</v>
      </c>
    </row>
    <row r="14625" spans="6:8">
      <c r="H14625" t="s">
        <v>21583</v>
      </c>
    </row>
    <row r="14626" spans="6:8">
      <c r="H14626" t="s">
        <v>21584</v>
      </c>
    </row>
    <row r="14627" spans="6:8">
      <c r="H14627" t="s">
        <v>21757</v>
      </c>
    </row>
    <row r="14628" spans="6:8">
      <c r="H14628" t="s">
        <v>21758</v>
      </c>
    </row>
    <row r="14629" spans="6:8">
      <c r="H14629" t="s">
        <v>21759</v>
      </c>
    </row>
    <row r="14630" spans="6:8">
      <c r="H14630" t="s">
        <v>21760</v>
      </c>
    </row>
    <row r="14631" spans="6:8">
      <c r="H14631" t="s">
        <v>21761</v>
      </c>
    </row>
    <row r="14632" spans="6:8">
      <c r="H14632" t="s">
        <v>21762</v>
      </c>
    </row>
    <row r="14633" spans="6:8">
      <c r="H14633" t="s">
        <v>21763</v>
      </c>
    </row>
    <row r="14634" spans="6:8">
      <c r="H14634" t="s">
        <v>21764</v>
      </c>
    </row>
    <row r="14635" spans="6:8">
      <c r="F14635" t="s">
        <v>12281</v>
      </c>
      <c r="G14635" t="s">
        <v>16512</v>
      </c>
      <c r="H14635" t="s">
        <v>18829</v>
      </c>
    </row>
    <row r="14636" spans="6:8">
      <c r="H14636" t="s">
        <v>21533</v>
      </c>
    </row>
    <row r="14637" spans="6:8">
      <c r="H14637" t="s">
        <v>21534</v>
      </c>
    </row>
    <row r="14638" spans="6:8">
      <c r="H14638" t="s">
        <v>21583</v>
      </c>
    </row>
    <row r="14639" spans="6:8">
      <c r="H14639" t="s">
        <v>21584</v>
      </c>
    </row>
    <row r="14640" spans="6:8">
      <c r="H14640" t="s">
        <v>21765</v>
      </c>
    </row>
    <row r="14641" spans="6:8">
      <c r="H14641" t="s">
        <v>21766</v>
      </c>
    </row>
    <row r="14642" spans="6:8">
      <c r="H14642" t="s">
        <v>21767</v>
      </c>
    </row>
    <row r="14643" spans="6:8">
      <c r="H14643" t="s">
        <v>21768</v>
      </c>
    </row>
    <row r="14644" spans="6:8">
      <c r="H14644" t="s">
        <v>21769</v>
      </c>
    </row>
    <row r="14645" spans="6:8">
      <c r="H14645" t="s">
        <v>21770</v>
      </c>
    </row>
    <row r="14646" spans="6:8">
      <c r="H14646" t="s">
        <v>21771</v>
      </c>
    </row>
    <row r="14647" spans="6:8">
      <c r="H14647" t="s">
        <v>21772</v>
      </c>
    </row>
    <row r="14648" spans="6:8">
      <c r="F14648" t="s">
        <v>12282</v>
      </c>
      <c r="G14648" t="s">
        <v>16513</v>
      </c>
      <c r="H14648" t="s">
        <v>18829</v>
      </c>
    </row>
    <row r="14649" spans="6:8">
      <c r="H14649" t="s">
        <v>21533</v>
      </c>
    </row>
    <row r="14650" spans="6:8">
      <c r="H14650" t="s">
        <v>21534</v>
      </c>
    </row>
    <row r="14651" spans="6:8">
      <c r="H14651" t="s">
        <v>21773</v>
      </c>
    </row>
    <row r="14652" spans="6:8">
      <c r="H14652" t="s">
        <v>21774</v>
      </c>
    </row>
    <row r="14653" spans="6:8">
      <c r="H14653" t="s">
        <v>21775</v>
      </c>
    </row>
    <row r="14654" spans="6:8">
      <c r="H14654" t="s">
        <v>21776</v>
      </c>
    </row>
    <row r="14655" spans="6:8">
      <c r="H14655" t="s">
        <v>21777</v>
      </c>
    </row>
    <row r="14656" spans="6:8">
      <c r="H14656" t="s">
        <v>21778</v>
      </c>
    </row>
    <row r="14657" spans="6:8">
      <c r="H14657" t="s">
        <v>21779</v>
      </c>
    </row>
    <row r="14658" spans="6:8">
      <c r="H14658" t="s">
        <v>21780</v>
      </c>
    </row>
    <row r="14659" spans="6:8">
      <c r="F14659" t="s">
        <v>12283</v>
      </c>
      <c r="G14659" t="s">
        <v>16514</v>
      </c>
      <c r="H14659" t="s">
        <v>18829</v>
      </c>
    </row>
    <row r="14660" spans="6:8">
      <c r="H14660" t="s">
        <v>21533</v>
      </c>
    </row>
    <row r="14661" spans="6:8">
      <c r="H14661" t="s">
        <v>21534</v>
      </c>
    </row>
    <row r="14662" spans="6:8">
      <c r="H14662" t="s">
        <v>21781</v>
      </c>
    </row>
    <row r="14663" spans="6:8">
      <c r="H14663" t="s">
        <v>21782</v>
      </c>
    </row>
    <row r="14664" spans="6:8">
      <c r="H14664" t="s">
        <v>21783</v>
      </c>
    </row>
    <row r="14665" spans="6:8">
      <c r="H14665" t="s">
        <v>21784</v>
      </c>
    </row>
    <row r="14666" spans="6:8">
      <c r="H14666" t="s">
        <v>21785</v>
      </c>
    </row>
    <row r="14667" spans="6:8">
      <c r="H14667" t="s">
        <v>21786</v>
      </c>
    </row>
    <row r="14668" spans="6:8">
      <c r="H14668" t="s">
        <v>21787</v>
      </c>
    </row>
    <row r="14669" spans="6:8">
      <c r="H14669" t="s">
        <v>21788</v>
      </c>
    </row>
    <row r="14670" spans="6:8">
      <c r="F14670" t="s">
        <v>12284</v>
      </c>
      <c r="G14670" t="s">
        <v>16515</v>
      </c>
      <c r="H14670" t="s">
        <v>18829</v>
      </c>
    </row>
    <row r="14671" spans="6:8">
      <c r="H14671" t="s">
        <v>21533</v>
      </c>
    </row>
    <row r="14672" spans="6:8">
      <c r="H14672" t="s">
        <v>21534</v>
      </c>
    </row>
    <row r="14673" spans="6:8">
      <c r="H14673" t="s">
        <v>21789</v>
      </c>
    </row>
    <row r="14674" spans="6:8">
      <c r="H14674" t="s">
        <v>21790</v>
      </c>
    </row>
    <row r="14675" spans="6:8">
      <c r="H14675" t="s">
        <v>21791</v>
      </c>
    </row>
    <row r="14676" spans="6:8">
      <c r="H14676" t="s">
        <v>21792</v>
      </c>
    </row>
    <row r="14677" spans="6:8">
      <c r="H14677" t="s">
        <v>21793</v>
      </c>
    </row>
    <row r="14678" spans="6:8">
      <c r="H14678" t="s">
        <v>21794</v>
      </c>
    </row>
    <row r="14679" spans="6:8">
      <c r="H14679" t="s">
        <v>21795</v>
      </c>
    </row>
    <row r="14680" spans="6:8">
      <c r="H14680" t="s">
        <v>21796</v>
      </c>
    </row>
    <row r="14681" spans="6:8">
      <c r="F14681" t="s">
        <v>12285</v>
      </c>
      <c r="G14681" t="s">
        <v>16516</v>
      </c>
      <c r="H14681" t="s">
        <v>18829</v>
      </c>
    </row>
    <row r="14682" spans="6:8">
      <c r="H14682" t="s">
        <v>21533</v>
      </c>
    </row>
    <row r="14683" spans="6:8">
      <c r="H14683" t="s">
        <v>21534</v>
      </c>
    </row>
    <row r="14684" spans="6:8">
      <c r="H14684" t="s">
        <v>21797</v>
      </c>
    </row>
    <row r="14685" spans="6:8">
      <c r="H14685" t="s">
        <v>21798</v>
      </c>
    </row>
    <row r="14686" spans="6:8">
      <c r="H14686" t="s">
        <v>21799</v>
      </c>
    </row>
    <row r="14687" spans="6:8">
      <c r="H14687" t="s">
        <v>21800</v>
      </c>
    </row>
    <row r="14688" spans="6:8">
      <c r="H14688" t="s">
        <v>21801</v>
      </c>
    </row>
    <row r="14689" spans="6:8">
      <c r="H14689" t="s">
        <v>21802</v>
      </c>
    </row>
    <row r="14690" spans="6:8">
      <c r="H14690" t="s">
        <v>21803</v>
      </c>
    </row>
    <row r="14691" spans="6:8">
      <c r="H14691" t="s">
        <v>21804</v>
      </c>
    </row>
    <row r="14692" spans="6:8">
      <c r="F14692" t="s">
        <v>12286</v>
      </c>
      <c r="G14692" t="s">
        <v>16517</v>
      </c>
      <c r="H14692" t="s">
        <v>18829</v>
      </c>
    </row>
    <row r="14693" spans="6:8">
      <c r="H14693" t="s">
        <v>21533</v>
      </c>
    </row>
    <row r="14694" spans="6:8">
      <c r="H14694" t="s">
        <v>21534</v>
      </c>
    </row>
    <row r="14695" spans="6:8">
      <c r="H14695" t="s">
        <v>21805</v>
      </c>
    </row>
    <row r="14696" spans="6:8">
      <c r="H14696" t="s">
        <v>21806</v>
      </c>
    </row>
    <row r="14697" spans="6:8">
      <c r="H14697" t="s">
        <v>21807</v>
      </c>
    </row>
    <row r="14698" spans="6:8">
      <c r="H14698" t="s">
        <v>21808</v>
      </c>
    </row>
    <row r="14699" spans="6:8">
      <c r="H14699" t="s">
        <v>21809</v>
      </c>
    </row>
    <row r="14700" spans="6:8">
      <c r="H14700" t="s">
        <v>21810</v>
      </c>
    </row>
    <row r="14701" spans="6:8">
      <c r="H14701" t="s">
        <v>21811</v>
      </c>
    </row>
    <row r="14702" spans="6:8">
      <c r="H14702" t="s">
        <v>21812</v>
      </c>
    </row>
    <row r="14703" spans="6:8">
      <c r="F14703" t="s">
        <v>12287</v>
      </c>
      <c r="G14703" t="s">
        <v>16518</v>
      </c>
      <c r="H14703" t="s">
        <v>18829</v>
      </c>
    </row>
    <row r="14704" spans="6:8">
      <c r="H14704" t="s">
        <v>21533</v>
      </c>
    </row>
    <row r="14705" spans="6:8">
      <c r="H14705" t="s">
        <v>21534</v>
      </c>
    </row>
    <row r="14706" spans="6:8">
      <c r="H14706" t="s">
        <v>21583</v>
      </c>
    </row>
    <row r="14707" spans="6:8">
      <c r="H14707" t="s">
        <v>21584</v>
      </c>
    </row>
    <row r="14708" spans="6:8">
      <c r="H14708" t="s">
        <v>21813</v>
      </c>
    </row>
    <row r="14709" spans="6:8">
      <c r="H14709" t="s">
        <v>21814</v>
      </c>
    </row>
    <row r="14710" spans="6:8">
      <c r="H14710" t="s">
        <v>21815</v>
      </c>
    </row>
    <row r="14711" spans="6:8">
      <c r="H14711" t="s">
        <v>21816</v>
      </c>
    </row>
    <row r="14712" spans="6:8">
      <c r="H14712" t="s">
        <v>21817</v>
      </c>
    </row>
    <row r="14713" spans="6:8">
      <c r="H14713" t="s">
        <v>21818</v>
      </c>
    </row>
    <row r="14714" spans="6:8">
      <c r="H14714" t="s">
        <v>21819</v>
      </c>
    </row>
    <row r="14715" spans="6:8">
      <c r="H14715" t="s">
        <v>21820</v>
      </c>
    </row>
    <row r="14716" spans="6:8">
      <c r="F14716" t="s">
        <v>12288</v>
      </c>
      <c r="G14716" t="s">
        <v>16519</v>
      </c>
      <c r="H14716" t="s">
        <v>18829</v>
      </c>
    </row>
    <row r="14717" spans="6:8">
      <c r="H14717" t="s">
        <v>21533</v>
      </c>
    </row>
    <row r="14718" spans="6:8">
      <c r="H14718" t="s">
        <v>21534</v>
      </c>
    </row>
    <row r="14719" spans="6:8">
      <c r="H14719" t="s">
        <v>21583</v>
      </c>
    </row>
    <row r="14720" spans="6:8">
      <c r="H14720" t="s">
        <v>21584</v>
      </c>
    </row>
    <row r="14721" spans="6:8">
      <c r="H14721" t="s">
        <v>21821</v>
      </c>
    </row>
    <row r="14722" spans="6:8">
      <c r="H14722" t="s">
        <v>21822</v>
      </c>
    </row>
    <row r="14723" spans="6:8">
      <c r="H14723" t="s">
        <v>21823</v>
      </c>
    </row>
    <row r="14724" spans="6:8">
      <c r="H14724" t="s">
        <v>21824</v>
      </c>
    </row>
    <row r="14725" spans="6:8">
      <c r="H14725" t="s">
        <v>21825</v>
      </c>
    </row>
    <row r="14726" spans="6:8">
      <c r="H14726" t="s">
        <v>21826</v>
      </c>
    </row>
    <row r="14727" spans="6:8">
      <c r="H14727" t="s">
        <v>21827</v>
      </c>
    </row>
    <row r="14728" spans="6:8">
      <c r="H14728" t="s">
        <v>21828</v>
      </c>
    </row>
    <row r="14729" spans="6:8">
      <c r="F14729" t="s">
        <v>12247</v>
      </c>
      <c r="G14729" t="s">
        <v>16478</v>
      </c>
      <c r="H14729" t="s">
        <v>18829</v>
      </c>
    </row>
    <row r="14730" spans="6:8">
      <c r="H14730" t="s">
        <v>21533</v>
      </c>
    </row>
    <row r="14731" spans="6:8">
      <c r="H14731" t="s">
        <v>21534</v>
      </c>
    </row>
    <row r="14732" spans="6:8">
      <c r="H14732" t="s">
        <v>21583</v>
      </c>
    </row>
    <row r="14733" spans="6:8">
      <c r="H14733" t="s">
        <v>21584</v>
      </c>
    </row>
    <row r="14734" spans="6:8">
      <c r="H14734" t="s">
        <v>21829</v>
      </c>
    </row>
    <row r="14735" spans="6:8">
      <c r="H14735" t="s">
        <v>21830</v>
      </c>
    </row>
    <row r="14736" spans="6:8">
      <c r="H14736" t="s">
        <v>21831</v>
      </c>
    </row>
    <row r="14737" spans="6:8">
      <c r="H14737" t="s">
        <v>21832</v>
      </c>
    </row>
    <row r="14738" spans="6:8">
      <c r="H14738" t="s">
        <v>21833</v>
      </c>
    </row>
    <row r="14739" spans="6:8">
      <c r="H14739" t="s">
        <v>21834</v>
      </c>
    </row>
    <row r="14740" spans="6:8">
      <c r="H14740" t="s">
        <v>21835</v>
      </c>
    </row>
    <row r="14741" spans="6:8">
      <c r="H14741" t="s">
        <v>21836</v>
      </c>
    </row>
    <row r="14742" spans="6:8">
      <c r="H14742" t="s">
        <v>21837</v>
      </c>
    </row>
    <row r="14743" spans="6:8">
      <c r="F14743" t="s">
        <v>12289</v>
      </c>
      <c r="G14743" t="s">
        <v>16520</v>
      </c>
      <c r="H14743" t="s">
        <v>18829</v>
      </c>
    </row>
    <row r="14744" spans="6:8">
      <c r="H14744" t="s">
        <v>21533</v>
      </c>
    </row>
    <row r="14745" spans="6:8">
      <c r="H14745" t="s">
        <v>21534</v>
      </c>
    </row>
    <row r="14746" spans="6:8">
      <c r="H14746" t="s">
        <v>21838</v>
      </c>
    </row>
    <row r="14747" spans="6:8">
      <c r="H14747" t="s">
        <v>21839</v>
      </c>
    </row>
    <row r="14748" spans="6:8">
      <c r="H14748" t="s">
        <v>21840</v>
      </c>
    </row>
    <row r="14749" spans="6:8">
      <c r="H14749" t="s">
        <v>21841</v>
      </c>
    </row>
    <row r="14750" spans="6:8">
      <c r="H14750" t="s">
        <v>21842</v>
      </c>
    </row>
    <row r="14751" spans="6:8">
      <c r="H14751" t="s">
        <v>21843</v>
      </c>
    </row>
    <row r="14752" spans="6:8">
      <c r="H14752" t="s">
        <v>21844</v>
      </c>
    </row>
    <row r="14753" spans="6:8">
      <c r="H14753" t="s">
        <v>21845</v>
      </c>
    </row>
    <row r="14754" spans="6:8">
      <c r="F14754" t="s">
        <v>12248</v>
      </c>
      <c r="G14754" t="s">
        <v>16479</v>
      </c>
      <c r="H14754" t="s">
        <v>18829</v>
      </c>
    </row>
    <row r="14755" spans="6:8">
      <c r="H14755" t="s">
        <v>21533</v>
      </c>
    </row>
    <row r="14756" spans="6:8">
      <c r="H14756" t="s">
        <v>21534</v>
      </c>
    </row>
    <row r="14757" spans="6:8">
      <c r="H14757" t="s">
        <v>21583</v>
      </c>
    </row>
    <row r="14758" spans="6:8">
      <c r="H14758" t="s">
        <v>21584</v>
      </c>
    </row>
    <row r="14759" spans="6:8">
      <c r="H14759" t="s">
        <v>21829</v>
      </c>
    </row>
    <row r="14760" spans="6:8">
      <c r="H14760" t="s">
        <v>21846</v>
      </c>
    </row>
    <row r="14761" spans="6:8">
      <c r="H14761" t="s">
        <v>21847</v>
      </c>
    </row>
    <row r="14762" spans="6:8">
      <c r="H14762" t="s">
        <v>21848</v>
      </c>
    </row>
    <row r="14763" spans="6:8">
      <c r="H14763" t="s">
        <v>21849</v>
      </c>
    </row>
    <row r="14764" spans="6:8">
      <c r="H14764" t="s">
        <v>21850</v>
      </c>
    </row>
    <row r="14765" spans="6:8">
      <c r="H14765" t="s">
        <v>21851</v>
      </c>
    </row>
    <row r="14766" spans="6:8">
      <c r="H14766" t="s">
        <v>21852</v>
      </c>
    </row>
    <row r="14767" spans="6:8">
      <c r="H14767" t="s">
        <v>21853</v>
      </c>
    </row>
    <row r="14768" spans="6:8">
      <c r="F14768" t="s">
        <v>12290</v>
      </c>
      <c r="G14768" t="s">
        <v>16521</v>
      </c>
      <c r="H14768" t="s">
        <v>18829</v>
      </c>
    </row>
    <row r="14769" spans="6:8">
      <c r="H14769" t="s">
        <v>21533</v>
      </c>
    </row>
    <row r="14770" spans="6:8">
      <c r="H14770" t="s">
        <v>21534</v>
      </c>
    </row>
    <row r="14771" spans="6:8">
      <c r="H14771" t="s">
        <v>21854</v>
      </c>
    </row>
    <row r="14772" spans="6:8">
      <c r="H14772" t="s">
        <v>21855</v>
      </c>
    </row>
    <row r="14773" spans="6:8">
      <c r="H14773" t="s">
        <v>21856</v>
      </c>
    </row>
    <row r="14774" spans="6:8">
      <c r="H14774" t="s">
        <v>21857</v>
      </c>
    </row>
    <row r="14775" spans="6:8">
      <c r="H14775" t="s">
        <v>21858</v>
      </c>
    </row>
    <row r="14776" spans="6:8">
      <c r="H14776" t="s">
        <v>21859</v>
      </c>
    </row>
    <row r="14777" spans="6:8">
      <c r="H14777" t="s">
        <v>21860</v>
      </c>
    </row>
    <row r="14778" spans="6:8">
      <c r="H14778" t="s">
        <v>21861</v>
      </c>
    </row>
    <row r="14779" spans="6:8">
      <c r="F14779" t="s">
        <v>12291</v>
      </c>
      <c r="G14779" t="s">
        <v>16522</v>
      </c>
      <c r="H14779" t="s">
        <v>18829</v>
      </c>
    </row>
    <row r="14780" spans="6:8">
      <c r="H14780" t="s">
        <v>21533</v>
      </c>
    </row>
    <row r="14781" spans="6:8">
      <c r="H14781" t="s">
        <v>21534</v>
      </c>
    </row>
    <row r="14782" spans="6:8">
      <c r="H14782" t="s">
        <v>21583</v>
      </c>
    </row>
    <row r="14783" spans="6:8">
      <c r="H14783" t="s">
        <v>21584</v>
      </c>
    </row>
    <row r="14784" spans="6:8">
      <c r="H14784" t="s">
        <v>21862</v>
      </c>
    </row>
    <row r="14785" spans="6:8">
      <c r="H14785" t="s">
        <v>21863</v>
      </c>
    </row>
    <row r="14786" spans="6:8">
      <c r="H14786" t="s">
        <v>21864</v>
      </c>
    </row>
    <row r="14787" spans="6:8">
      <c r="H14787" t="s">
        <v>21865</v>
      </c>
    </row>
    <row r="14788" spans="6:8">
      <c r="H14788" t="s">
        <v>21866</v>
      </c>
    </row>
    <row r="14789" spans="6:8">
      <c r="H14789" t="s">
        <v>21867</v>
      </c>
    </row>
    <row r="14790" spans="6:8">
      <c r="H14790" t="s">
        <v>21868</v>
      </c>
    </row>
    <row r="14791" spans="6:8">
      <c r="H14791" t="s">
        <v>21869</v>
      </c>
    </row>
    <row r="14792" spans="6:8">
      <c r="F14792" t="s">
        <v>12292</v>
      </c>
      <c r="G14792" t="s">
        <v>16523</v>
      </c>
      <c r="H14792" t="s">
        <v>18829</v>
      </c>
    </row>
    <row r="14793" spans="6:8">
      <c r="H14793" t="s">
        <v>21533</v>
      </c>
    </row>
    <row r="14794" spans="6:8">
      <c r="H14794" t="s">
        <v>21534</v>
      </c>
    </row>
    <row r="14795" spans="6:8">
      <c r="H14795" t="s">
        <v>21870</v>
      </c>
    </row>
    <row r="14796" spans="6:8">
      <c r="H14796" t="s">
        <v>21871</v>
      </c>
    </row>
    <row r="14797" spans="6:8">
      <c r="H14797" t="s">
        <v>21872</v>
      </c>
    </row>
    <row r="14798" spans="6:8">
      <c r="H14798" t="s">
        <v>21873</v>
      </c>
    </row>
    <row r="14799" spans="6:8">
      <c r="H14799" t="s">
        <v>21874</v>
      </c>
    </row>
    <row r="14800" spans="6:8">
      <c r="H14800" t="s">
        <v>21875</v>
      </c>
    </row>
    <row r="14801" spans="6:8">
      <c r="H14801" t="s">
        <v>21876</v>
      </c>
    </row>
    <row r="14802" spans="6:8">
      <c r="H14802" t="s">
        <v>21877</v>
      </c>
    </row>
    <row r="14803" spans="6:8">
      <c r="F14803" t="s">
        <v>12293</v>
      </c>
      <c r="G14803" t="s">
        <v>16524</v>
      </c>
      <c r="H14803" t="s">
        <v>18829</v>
      </c>
    </row>
    <row r="14804" spans="6:8">
      <c r="H14804" t="s">
        <v>21533</v>
      </c>
    </row>
    <row r="14805" spans="6:8">
      <c r="H14805" t="s">
        <v>21534</v>
      </c>
    </row>
    <row r="14806" spans="6:8">
      <c r="H14806" t="s">
        <v>21878</v>
      </c>
    </row>
    <row r="14807" spans="6:8">
      <c r="H14807" t="s">
        <v>21879</v>
      </c>
    </row>
    <row r="14808" spans="6:8">
      <c r="H14808" t="s">
        <v>21880</v>
      </c>
    </row>
    <row r="14809" spans="6:8">
      <c r="H14809" t="s">
        <v>21881</v>
      </c>
    </row>
    <row r="14810" spans="6:8">
      <c r="H14810" t="s">
        <v>21882</v>
      </c>
    </row>
    <row r="14811" spans="6:8">
      <c r="H14811" t="s">
        <v>21883</v>
      </c>
    </row>
    <row r="14812" spans="6:8">
      <c r="H14812" t="s">
        <v>21884</v>
      </c>
    </row>
    <row r="14813" spans="6:8">
      <c r="H14813" t="s">
        <v>21885</v>
      </c>
    </row>
    <row r="14814" spans="6:8">
      <c r="F14814" t="s">
        <v>12294</v>
      </c>
      <c r="G14814" t="s">
        <v>16525</v>
      </c>
      <c r="H14814" t="s">
        <v>18829</v>
      </c>
    </row>
    <row r="14815" spans="6:8">
      <c r="H14815" t="s">
        <v>21533</v>
      </c>
    </row>
    <row r="14816" spans="6:8">
      <c r="H14816" t="s">
        <v>21534</v>
      </c>
    </row>
    <row r="14817" spans="6:8">
      <c r="H14817" t="s">
        <v>21886</v>
      </c>
    </row>
    <row r="14818" spans="6:8">
      <c r="H14818" t="s">
        <v>21887</v>
      </c>
    </row>
    <row r="14819" spans="6:8">
      <c r="H14819" t="s">
        <v>21888</v>
      </c>
    </row>
    <row r="14820" spans="6:8">
      <c r="H14820" t="s">
        <v>21889</v>
      </c>
    </row>
    <row r="14821" spans="6:8">
      <c r="H14821" t="s">
        <v>21890</v>
      </c>
    </row>
    <row r="14822" spans="6:8">
      <c r="H14822" t="s">
        <v>21891</v>
      </c>
    </row>
    <row r="14823" spans="6:8">
      <c r="H14823" t="s">
        <v>21892</v>
      </c>
    </row>
    <row r="14824" spans="6:8">
      <c r="H14824" t="s">
        <v>21893</v>
      </c>
    </row>
    <row r="14825" spans="6:8">
      <c r="F14825" t="s">
        <v>12295</v>
      </c>
      <c r="G14825" t="s">
        <v>16526</v>
      </c>
      <c r="H14825" t="s">
        <v>21533</v>
      </c>
    </row>
    <row r="14826" spans="6:8">
      <c r="H14826" t="s">
        <v>21534</v>
      </c>
    </row>
    <row r="14827" spans="6:8">
      <c r="H14827" t="s">
        <v>21894</v>
      </c>
    </row>
    <row r="14828" spans="6:8">
      <c r="H14828" t="s">
        <v>21895</v>
      </c>
    </row>
    <row r="14829" spans="6:8">
      <c r="F14829" t="s">
        <v>12296</v>
      </c>
      <c r="G14829" t="s">
        <v>16527</v>
      </c>
      <c r="H14829" t="s">
        <v>18829</v>
      </c>
    </row>
    <row r="14830" spans="6:8">
      <c r="H14830" t="s">
        <v>21533</v>
      </c>
    </row>
    <row r="14831" spans="6:8">
      <c r="H14831" t="s">
        <v>21534</v>
      </c>
    </row>
    <row r="14832" spans="6:8">
      <c r="H14832" t="s">
        <v>21896</v>
      </c>
    </row>
    <row r="14833" spans="6:8">
      <c r="H14833" t="s">
        <v>21897</v>
      </c>
    </row>
    <row r="14834" spans="6:8">
      <c r="H14834" t="s">
        <v>21898</v>
      </c>
    </row>
    <row r="14835" spans="6:8">
      <c r="H14835" t="s">
        <v>21899</v>
      </c>
    </row>
    <row r="14836" spans="6:8">
      <c r="H14836" t="s">
        <v>21900</v>
      </c>
    </row>
    <row r="14837" spans="6:8">
      <c r="H14837" t="s">
        <v>21901</v>
      </c>
    </row>
    <row r="14838" spans="6:8">
      <c r="H14838" t="s">
        <v>21902</v>
      </c>
    </row>
    <row r="14839" spans="6:8">
      <c r="H14839" t="s">
        <v>21903</v>
      </c>
    </row>
    <row r="14840" spans="6:8">
      <c r="F14840" t="s">
        <v>12297</v>
      </c>
      <c r="G14840" t="s">
        <v>16528</v>
      </c>
      <c r="H14840" t="s">
        <v>18829</v>
      </c>
    </row>
    <row r="14841" spans="6:8">
      <c r="H14841" t="s">
        <v>21533</v>
      </c>
    </row>
    <row r="14842" spans="6:8">
      <c r="H14842" t="s">
        <v>21534</v>
      </c>
    </row>
    <row r="14843" spans="6:8">
      <c r="H14843" t="s">
        <v>21904</v>
      </c>
    </row>
    <row r="14844" spans="6:8">
      <c r="H14844" t="s">
        <v>21905</v>
      </c>
    </row>
    <row r="14845" spans="6:8">
      <c r="H14845" t="s">
        <v>21906</v>
      </c>
    </row>
    <row r="14846" spans="6:8">
      <c r="H14846" t="s">
        <v>21907</v>
      </c>
    </row>
    <row r="14847" spans="6:8">
      <c r="H14847" t="s">
        <v>21908</v>
      </c>
    </row>
    <row r="14848" spans="6:8">
      <c r="H14848" t="s">
        <v>21909</v>
      </c>
    </row>
    <row r="14849" spans="6:8">
      <c r="H14849" t="s">
        <v>21910</v>
      </c>
    </row>
    <row r="14850" spans="6:8">
      <c r="H14850" t="s">
        <v>21911</v>
      </c>
    </row>
    <row r="14851" spans="6:8">
      <c r="F14851" t="s">
        <v>12298</v>
      </c>
      <c r="G14851" t="s">
        <v>16529</v>
      </c>
      <c r="H14851" t="s">
        <v>18829</v>
      </c>
    </row>
    <row r="14852" spans="6:8">
      <c r="H14852" t="s">
        <v>21533</v>
      </c>
    </row>
    <row r="14853" spans="6:8">
      <c r="H14853" t="s">
        <v>21534</v>
      </c>
    </row>
    <row r="14854" spans="6:8">
      <c r="H14854" t="s">
        <v>21912</v>
      </c>
    </row>
    <row r="14855" spans="6:8">
      <c r="H14855" t="s">
        <v>21913</v>
      </c>
    </row>
    <row r="14856" spans="6:8">
      <c r="H14856" t="s">
        <v>21914</v>
      </c>
    </row>
    <row r="14857" spans="6:8">
      <c r="H14857" t="s">
        <v>21915</v>
      </c>
    </row>
    <row r="14858" spans="6:8">
      <c r="H14858" t="s">
        <v>21916</v>
      </c>
    </row>
    <row r="14859" spans="6:8">
      <c r="H14859" t="s">
        <v>21917</v>
      </c>
    </row>
    <row r="14860" spans="6:8">
      <c r="H14860" t="s">
        <v>21918</v>
      </c>
    </row>
    <row r="14861" spans="6:8">
      <c r="H14861" t="s">
        <v>21919</v>
      </c>
    </row>
    <row r="14862" spans="6:8">
      <c r="F14862" t="s">
        <v>12299</v>
      </c>
      <c r="G14862" t="s">
        <v>16530</v>
      </c>
      <c r="H14862" t="s">
        <v>18829</v>
      </c>
    </row>
    <row r="14863" spans="6:8">
      <c r="H14863" t="s">
        <v>21533</v>
      </c>
    </row>
    <row r="14864" spans="6:8">
      <c r="H14864" t="s">
        <v>21534</v>
      </c>
    </row>
    <row r="14865" spans="6:8">
      <c r="H14865" t="s">
        <v>21920</v>
      </c>
    </row>
    <row r="14866" spans="6:8">
      <c r="H14866" t="s">
        <v>21921</v>
      </c>
    </row>
    <row r="14867" spans="6:8">
      <c r="H14867" t="s">
        <v>21922</v>
      </c>
    </row>
    <row r="14868" spans="6:8">
      <c r="H14868" t="s">
        <v>21923</v>
      </c>
    </row>
    <row r="14869" spans="6:8">
      <c r="H14869" t="s">
        <v>21924</v>
      </c>
    </row>
    <row r="14870" spans="6:8">
      <c r="H14870" t="s">
        <v>21925</v>
      </c>
    </row>
    <row r="14871" spans="6:8">
      <c r="H14871" t="s">
        <v>21926</v>
      </c>
    </row>
    <row r="14872" spans="6:8">
      <c r="H14872" t="s">
        <v>21927</v>
      </c>
    </row>
    <row r="14873" spans="6:8">
      <c r="F14873" t="s">
        <v>12300</v>
      </c>
      <c r="G14873" t="s">
        <v>16531</v>
      </c>
      <c r="H14873" t="s">
        <v>18829</v>
      </c>
    </row>
    <row r="14874" spans="6:8">
      <c r="H14874" t="s">
        <v>21533</v>
      </c>
    </row>
    <row r="14875" spans="6:8">
      <c r="H14875" t="s">
        <v>21534</v>
      </c>
    </row>
    <row r="14876" spans="6:8">
      <c r="H14876" t="s">
        <v>21928</v>
      </c>
    </row>
    <row r="14877" spans="6:8">
      <c r="H14877" t="s">
        <v>21929</v>
      </c>
    </row>
    <row r="14878" spans="6:8">
      <c r="H14878" t="s">
        <v>21930</v>
      </c>
    </row>
    <row r="14879" spans="6:8">
      <c r="H14879" t="s">
        <v>21931</v>
      </c>
    </row>
    <row r="14880" spans="6:8">
      <c r="H14880" t="s">
        <v>21932</v>
      </c>
    </row>
    <row r="14881" spans="6:8">
      <c r="H14881" t="s">
        <v>21933</v>
      </c>
    </row>
    <row r="14882" spans="6:8">
      <c r="H14882" t="s">
        <v>21934</v>
      </c>
    </row>
    <row r="14883" spans="6:8">
      <c r="H14883" t="s">
        <v>21935</v>
      </c>
    </row>
    <row r="14884" spans="6:8">
      <c r="F14884" t="s">
        <v>12301</v>
      </c>
      <c r="G14884" t="s">
        <v>16532</v>
      </c>
      <c r="H14884" t="s">
        <v>18829</v>
      </c>
    </row>
    <row r="14885" spans="6:8">
      <c r="H14885" t="s">
        <v>21533</v>
      </c>
    </row>
    <row r="14886" spans="6:8">
      <c r="H14886" t="s">
        <v>21534</v>
      </c>
    </row>
    <row r="14887" spans="6:8">
      <c r="H14887" t="s">
        <v>21583</v>
      </c>
    </row>
    <row r="14888" spans="6:8">
      <c r="H14888" t="s">
        <v>21584</v>
      </c>
    </row>
    <row r="14889" spans="6:8">
      <c r="H14889" t="s">
        <v>21936</v>
      </c>
    </row>
    <row r="14890" spans="6:8">
      <c r="H14890" t="s">
        <v>21937</v>
      </c>
    </row>
    <row r="14891" spans="6:8">
      <c r="H14891" t="s">
        <v>21938</v>
      </c>
    </row>
    <row r="14892" spans="6:8">
      <c r="H14892" t="s">
        <v>21939</v>
      </c>
    </row>
    <row r="14893" spans="6:8">
      <c r="H14893" t="s">
        <v>21940</v>
      </c>
    </row>
    <row r="14894" spans="6:8">
      <c r="H14894" t="s">
        <v>21941</v>
      </c>
    </row>
    <row r="14895" spans="6:8">
      <c r="H14895" t="s">
        <v>21942</v>
      </c>
    </row>
    <row r="14896" spans="6:8">
      <c r="H14896" t="s">
        <v>21943</v>
      </c>
    </row>
    <row r="14897" spans="6:8">
      <c r="F14897" t="s">
        <v>12302</v>
      </c>
      <c r="G14897" t="s">
        <v>16533</v>
      </c>
      <c r="H14897" t="s">
        <v>18829</v>
      </c>
    </row>
    <row r="14898" spans="6:8">
      <c r="H14898" t="s">
        <v>21533</v>
      </c>
    </row>
    <row r="14899" spans="6:8">
      <c r="H14899" t="s">
        <v>21534</v>
      </c>
    </row>
    <row r="14900" spans="6:8">
      <c r="H14900" t="s">
        <v>21944</v>
      </c>
    </row>
    <row r="14901" spans="6:8">
      <c r="H14901" t="s">
        <v>21945</v>
      </c>
    </row>
    <row r="14902" spans="6:8">
      <c r="H14902" t="s">
        <v>21946</v>
      </c>
    </row>
    <row r="14903" spans="6:8">
      <c r="H14903" t="s">
        <v>21947</v>
      </c>
    </row>
    <row r="14904" spans="6:8">
      <c r="H14904" t="s">
        <v>21948</v>
      </c>
    </row>
    <row r="14905" spans="6:8">
      <c r="H14905" t="s">
        <v>21949</v>
      </c>
    </row>
    <row r="14906" spans="6:8">
      <c r="H14906" t="s">
        <v>21950</v>
      </c>
    </row>
    <row r="14907" spans="6:8">
      <c r="H14907" t="s">
        <v>21951</v>
      </c>
    </row>
    <row r="14908" spans="6:8">
      <c r="F14908" t="s">
        <v>12303</v>
      </c>
      <c r="G14908" t="s">
        <v>16534</v>
      </c>
      <c r="H14908" t="s">
        <v>18829</v>
      </c>
    </row>
    <row r="14909" spans="6:8">
      <c r="H14909" t="s">
        <v>21533</v>
      </c>
    </row>
    <row r="14910" spans="6:8">
      <c r="H14910" t="s">
        <v>21534</v>
      </c>
    </row>
    <row r="14911" spans="6:8">
      <c r="H14911" t="s">
        <v>21952</v>
      </c>
    </row>
    <row r="14912" spans="6:8">
      <c r="H14912" t="s">
        <v>21953</v>
      </c>
    </row>
    <row r="14913" spans="6:8">
      <c r="H14913" t="s">
        <v>21954</v>
      </c>
    </row>
    <row r="14914" spans="6:8">
      <c r="H14914" t="s">
        <v>21955</v>
      </c>
    </row>
    <row r="14915" spans="6:8">
      <c r="H14915" t="s">
        <v>21956</v>
      </c>
    </row>
    <row r="14916" spans="6:8">
      <c r="H14916" t="s">
        <v>21957</v>
      </c>
    </row>
    <row r="14917" spans="6:8">
      <c r="H14917" t="s">
        <v>21958</v>
      </c>
    </row>
    <row r="14918" spans="6:8">
      <c r="H14918" t="s">
        <v>21959</v>
      </c>
    </row>
    <row r="14919" spans="6:8">
      <c r="F14919" t="s">
        <v>12304</v>
      </c>
      <c r="G14919" t="s">
        <v>16535</v>
      </c>
      <c r="H14919" t="s">
        <v>18829</v>
      </c>
    </row>
    <row r="14920" spans="6:8">
      <c r="H14920" t="s">
        <v>21533</v>
      </c>
    </row>
    <row r="14921" spans="6:8">
      <c r="H14921" t="s">
        <v>21534</v>
      </c>
    </row>
    <row r="14922" spans="6:8">
      <c r="H14922" t="s">
        <v>21960</v>
      </c>
    </row>
    <row r="14923" spans="6:8">
      <c r="H14923" t="s">
        <v>21961</v>
      </c>
    </row>
    <row r="14924" spans="6:8">
      <c r="H14924" t="s">
        <v>21962</v>
      </c>
    </row>
    <row r="14925" spans="6:8">
      <c r="H14925" t="s">
        <v>21963</v>
      </c>
    </row>
    <row r="14926" spans="6:8">
      <c r="H14926" t="s">
        <v>21964</v>
      </c>
    </row>
    <row r="14927" spans="6:8">
      <c r="H14927" t="s">
        <v>21965</v>
      </c>
    </row>
    <row r="14928" spans="6:8">
      <c r="H14928" t="s">
        <v>21966</v>
      </c>
    </row>
    <row r="14929" spans="1:8">
      <c r="H14929" t="s">
        <v>21967</v>
      </c>
    </row>
    <row r="14930" spans="1:8">
      <c r="A14930" t="s">
        <v>526</v>
      </c>
      <c r="B14930">
        <f>HYPERLINK("https://android.googlesource.com/platform/cts/+/ff0a994dacffeee9c7918401bca7cdd6ae402707", "ff0a994dacffeee9c7918401bca7cdd6ae402707")</f>
        <v>0</v>
      </c>
      <c r="C14930">
        <f>HYPERLINK("https://android.googlesource.com/platform/cts/+/001664d27c8fedf061b5439cbf0c42c3e615bdcc", "001664d27c8fedf061b5439cbf0c42c3e615bdcc")</f>
        <v>0</v>
      </c>
      <c r="D14930" t="s">
        <v>5020</v>
      </c>
      <c r="E14930" t="s">
        <v>6312</v>
      </c>
      <c r="F14930" t="s">
        <v>12251</v>
      </c>
      <c r="G14930" t="s">
        <v>16482</v>
      </c>
      <c r="H14930" t="s">
        <v>21529</v>
      </c>
    </row>
    <row r="14931" spans="1:8">
      <c r="H14931" t="s">
        <v>21530</v>
      </c>
    </row>
    <row r="14932" spans="1:8">
      <c r="F14932" t="s">
        <v>12252</v>
      </c>
      <c r="G14932" t="s">
        <v>16483</v>
      </c>
      <c r="H14932" t="s">
        <v>21531</v>
      </c>
    </row>
    <row r="14933" spans="1:8">
      <c r="A14933" t="s">
        <v>527</v>
      </c>
      <c r="B14933">
        <f>HYPERLINK("https://android.googlesource.com/platform/cts/+/77f7b7a89e062dad33dbd5f09237d1106020c735", "77f7b7a89e062dad33dbd5f09237d1106020c735")</f>
        <v>0</v>
      </c>
      <c r="C14933">
        <f>HYPERLINK("https://android.googlesource.com/platform/cts/+/55b487e2c8568767d36e3fcaf64b7448af121b6a", "55b487e2c8568767d36e3fcaf64b7448af121b6a")</f>
        <v>0</v>
      </c>
      <c r="D14933" t="s">
        <v>5017</v>
      </c>
      <c r="E14933" t="s">
        <v>6313</v>
      </c>
      <c r="F14933" t="s">
        <v>12305</v>
      </c>
      <c r="G14933" t="s">
        <v>16536</v>
      </c>
      <c r="H14933" t="s">
        <v>21968</v>
      </c>
    </row>
    <row r="14934" spans="1:8">
      <c r="H14934" t="s">
        <v>21969</v>
      </c>
    </row>
    <row r="14935" spans="1:8">
      <c r="H14935" t="s">
        <v>21970</v>
      </c>
    </row>
    <row r="14936" spans="1:8">
      <c r="H14936" t="s">
        <v>21971</v>
      </c>
    </row>
    <row r="14937" spans="1:8">
      <c r="F14937" t="s">
        <v>12306</v>
      </c>
      <c r="G14937" t="s">
        <v>16537</v>
      </c>
      <c r="H14937" t="s">
        <v>21972</v>
      </c>
    </row>
    <row r="14938" spans="1:8">
      <c r="H14938" t="s">
        <v>21973</v>
      </c>
    </row>
    <row r="14939" spans="1:8">
      <c r="H14939" t="s">
        <v>21974</v>
      </c>
    </row>
    <row r="14940" spans="1:8">
      <c r="H14940" t="s">
        <v>21975</v>
      </c>
    </row>
    <row r="14941" spans="1:8">
      <c r="F14941" t="s">
        <v>12307</v>
      </c>
      <c r="G14941" t="s">
        <v>16538</v>
      </c>
      <c r="H14941" t="s">
        <v>21976</v>
      </c>
    </row>
    <row r="14942" spans="1:8">
      <c r="H14942" t="s">
        <v>21977</v>
      </c>
    </row>
    <row r="14943" spans="1:8">
      <c r="H14943" t="s">
        <v>21978</v>
      </c>
    </row>
    <row r="14944" spans="1:8">
      <c r="H14944" t="s">
        <v>21979</v>
      </c>
    </row>
    <row r="14945" spans="1:8">
      <c r="F14945" t="s">
        <v>12308</v>
      </c>
      <c r="G14945" t="s">
        <v>16539</v>
      </c>
      <c r="H14945" t="s">
        <v>21980</v>
      </c>
    </row>
    <row r="14946" spans="1:8">
      <c r="H14946" t="s">
        <v>21981</v>
      </c>
    </row>
    <row r="14947" spans="1:8">
      <c r="H14947" t="s">
        <v>21982</v>
      </c>
    </row>
    <row r="14948" spans="1:8">
      <c r="H14948" t="s">
        <v>21983</v>
      </c>
    </row>
    <row r="14949" spans="1:8">
      <c r="A14949" t="s">
        <v>528</v>
      </c>
      <c r="B14949">
        <f>HYPERLINK("https://android.googlesource.com/platform/cts/+/6efee00d6fb976bd616ea6c8fe91d4dadda12280", "6efee00d6fb976bd616ea6c8fe91d4dadda12280")</f>
        <v>0</v>
      </c>
      <c r="C14949">
        <f>HYPERLINK("https://android.googlesource.com/platform/cts/+/55b487e2c8568767d36e3fcaf64b7448af121b6a", "55b487e2c8568767d36e3fcaf64b7448af121b6a")</f>
        <v>0</v>
      </c>
      <c r="D14949" t="s">
        <v>5022</v>
      </c>
      <c r="E14949" t="s">
        <v>6314</v>
      </c>
      <c r="F14949" t="s">
        <v>12309</v>
      </c>
      <c r="G14949" t="s">
        <v>16540</v>
      </c>
      <c r="H14949" t="s">
        <v>21984</v>
      </c>
    </row>
    <row r="14950" spans="1:8">
      <c r="A14950" t="s">
        <v>529</v>
      </c>
      <c r="B14950">
        <f>HYPERLINK("https://android.googlesource.com/platform/cts/+/12ee8935b27621975674d8a3e6675c597af14783", "12ee8935b27621975674d8a3e6675c597af14783")</f>
        <v>0</v>
      </c>
      <c r="C14950">
        <f>HYPERLINK("https://android.googlesource.com/platform/cts/+/974c73e53e230096cbb2d14bbca7d57a6c90b8ad", "974c73e53e230096cbb2d14bbca7d57a6c90b8ad")</f>
        <v>0</v>
      </c>
      <c r="D14950" t="s">
        <v>4952</v>
      </c>
      <c r="E14950" t="s">
        <v>6315</v>
      </c>
      <c r="F14950" t="s">
        <v>12309</v>
      </c>
      <c r="G14950" t="s">
        <v>16540</v>
      </c>
      <c r="H14950" t="s">
        <v>21984</v>
      </c>
    </row>
    <row r="14951" spans="1:8">
      <c r="A14951" t="s">
        <v>530</v>
      </c>
      <c r="B14951">
        <f>HYPERLINK("https://android.googlesource.com/platform/cts/+/e364a32894a42656fe8d9a15637c5e4b0c58acbd", "e364a32894a42656fe8d9a15637c5e4b0c58acbd")</f>
        <v>0</v>
      </c>
      <c r="C14951">
        <f>HYPERLINK("https://android.googlesource.com/platform/cts/+/c6bb9a58592da7bdd897ce963d636e08d2336137", "c6bb9a58592da7bdd897ce963d636e08d2336137")</f>
        <v>0</v>
      </c>
      <c r="D14951" t="s">
        <v>4960</v>
      </c>
      <c r="E14951" t="s">
        <v>6316</v>
      </c>
      <c r="F14951" t="s">
        <v>12310</v>
      </c>
      <c r="G14951" t="s">
        <v>16541</v>
      </c>
      <c r="H14951" t="s">
        <v>21985</v>
      </c>
    </row>
    <row r="14952" spans="1:8">
      <c r="A14952" t="s">
        <v>531</v>
      </c>
      <c r="B14952">
        <f>HYPERLINK("https://android.googlesource.com/platform/cts/+/044a75f49b623677a8eb802a111e68c77c43f80e", "044a75f49b623677a8eb802a111e68c77c43f80e")</f>
        <v>0</v>
      </c>
      <c r="C14952">
        <f>HYPERLINK("https://android.googlesource.com/platform/cts/+/749debcec9f98cf742c0d69233915b3e3395fd41", "749debcec9f98cf742c0d69233915b3e3395fd41")</f>
        <v>0</v>
      </c>
      <c r="D14952" t="s">
        <v>4983</v>
      </c>
      <c r="E14952" t="s">
        <v>6316</v>
      </c>
      <c r="F14952" t="s">
        <v>12310</v>
      </c>
      <c r="G14952" t="s">
        <v>16541</v>
      </c>
      <c r="H14952" t="s">
        <v>21985</v>
      </c>
    </row>
    <row r="14953" spans="1:8">
      <c r="A14953" t="s">
        <v>532</v>
      </c>
      <c r="B14953">
        <f>HYPERLINK("https://android.googlesource.com/platform/cts/+/28f2b3e07fa21177afe9c0fee7ae2a9378b2ff04", "28f2b3e07fa21177afe9c0fee7ae2a9378b2ff04")</f>
        <v>0</v>
      </c>
      <c r="C14953">
        <f>HYPERLINK("https://android.googlesource.com/platform/cts/+/65f90b5d8f257c6ffd47265a2f23c23019954dc7", "65f90b5d8f257c6ffd47265a2f23c23019954dc7")</f>
        <v>0</v>
      </c>
      <c r="D14953" t="s">
        <v>5004</v>
      </c>
      <c r="E14953" t="s">
        <v>6317</v>
      </c>
      <c r="F14953" t="s">
        <v>12311</v>
      </c>
      <c r="G14953" t="s">
        <v>16542</v>
      </c>
      <c r="H14953" t="s">
        <v>21986</v>
      </c>
    </row>
    <row r="14954" spans="1:8">
      <c r="H14954" t="s">
        <v>21987</v>
      </c>
    </row>
    <row r="14955" spans="1:8">
      <c r="H14955" t="s">
        <v>21988</v>
      </c>
    </row>
    <row r="14956" spans="1:8">
      <c r="H14956" t="s">
        <v>21989</v>
      </c>
    </row>
    <row r="14957" spans="1:8">
      <c r="H14957" t="s">
        <v>21990</v>
      </c>
    </row>
    <row r="14958" spans="1:8">
      <c r="A14958" t="s">
        <v>533</v>
      </c>
      <c r="B14958">
        <f>HYPERLINK("https://android.googlesource.com/platform/cts/+/b9caa230fd4cd0648cb9dc2b521fa026294ab9c4", "b9caa230fd4cd0648cb9dc2b521fa026294ab9c4")</f>
        <v>0</v>
      </c>
      <c r="C14958">
        <f>HYPERLINK("https://android.googlesource.com/platform/cts/+/4d83439246ac67aff64a5102aaaa80fa39efd582", "4d83439246ac67aff64a5102aaaa80fa39efd582")</f>
        <v>0</v>
      </c>
      <c r="D14958" t="s">
        <v>5015</v>
      </c>
      <c r="E14958" t="s">
        <v>6318</v>
      </c>
      <c r="F14958" t="s">
        <v>10605</v>
      </c>
      <c r="G14958" t="s">
        <v>15008</v>
      </c>
      <c r="H14958" t="s">
        <v>21991</v>
      </c>
    </row>
    <row r="14959" spans="1:8">
      <c r="H14959" t="s">
        <v>21992</v>
      </c>
    </row>
    <row r="14960" spans="1:8">
      <c r="A14960" t="s">
        <v>534</v>
      </c>
      <c r="B14960">
        <f>HYPERLINK("https://android.googlesource.com/platform/cts/+/21c00dba3d00f5490ffa566e8231fec571bdfe96", "21c00dba3d00f5490ffa566e8231fec571bdfe96")</f>
        <v>0</v>
      </c>
      <c r="C14960">
        <f>HYPERLINK("https://android.googlesource.com/platform/cts/+/6dd4ab2e89426004f97244a43f8ed19df3aae971", "6dd4ab2e89426004f97244a43f8ed19df3aae971")</f>
        <v>0</v>
      </c>
      <c r="D14960" t="s">
        <v>5004</v>
      </c>
      <c r="E14960" t="s">
        <v>6319</v>
      </c>
      <c r="F14960" t="s">
        <v>12312</v>
      </c>
      <c r="G14960" t="s">
        <v>16543</v>
      </c>
      <c r="H14960" t="s">
        <v>21993</v>
      </c>
    </row>
    <row r="14961" spans="6:8">
      <c r="H14961" t="s">
        <v>21994</v>
      </c>
    </row>
    <row r="14962" spans="6:8">
      <c r="H14962" t="s">
        <v>21995</v>
      </c>
    </row>
    <row r="14963" spans="6:8">
      <c r="H14963" t="s">
        <v>21996</v>
      </c>
    </row>
    <row r="14964" spans="6:8">
      <c r="H14964" t="s">
        <v>21997</v>
      </c>
    </row>
    <row r="14965" spans="6:8">
      <c r="F14965" t="s">
        <v>12311</v>
      </c>
      <c r="G14965" t="s">
        <v>16544</v>
      </c>
      <c r="H14965" t="s">
        <v>19034</v>
      </c>
    </row>
    <row r="14966" spans="6:8">
      <c r="H14966" t="s">
        <v>18829</v>
      </c>
    </row>
    <row r="14967" spans="6:8">
      <c r="H14967" t="s">
        <v>18863</v>
      </c>
    </row>
    <row r="14968" spans="6:8">
      <c r="H14968" t="s">
        <v>21998</v>
      </c>
    </row>
    <row r="14969" spans="6:8">
      <c r="H14969" t="s">
        <v>21999</v>
      </c>
    </row>
    <row r="14970" spans="6:8">
      <c r="H14970" t="s">
        <v>22000</v>
      </c>
    </row>
    <row r="14971" spans="6:8">
      <c r="H14971" t="s">
        <v>22001</v>
      </c>
    </row>
    <row r="14972" spans="6:8">
      <c r="F14972" t="s">
        <v>12313</v>
      </c>
      <c r="G14972" t="s">
        <v>16545</v>
      </c>
      <c r="H14972" t="s">
        <v>22002</v>
      </c>
    </row>
    <row r="14973" spans="6:8">
      <c r="H14973" t="s">
        <v>18829</v>
      </c>
    </row>
    <row r="14974" spans="6:8">
      <c r="H14974" t="s">
        <v>18863</v>
      </c>
    </row>
    <row r="14975" spans="6:8">
      <c r="H14975" t="s">
        <v>22003</v>
      </c>
    </row>
    <row r="14976" spans="6:8">
      <c r="H14976" t="s">
        <v>22004</v>
      </c>
    </row>
    <row r="14977" spans="1:8">
      <c r="H14977" t="s">
        <v>21996</v>
      </c>
    </row>
    <row r="14978" spans="1:8">
      <c r="H14978" t="s">
        <v>21997</v>
      </c>
    </row>
    <row r="14979" spans="1:8">
      <c r="H14979" t="s">
        <v>22005</v>
      </c>
    </row>
    <row r="14980" spans="1:8">
      <c r="H14980" t="s">
        <v>22006</v>
      </c>
    </row>
    <row r="14981" spans="1:8">
      <c r="A14981" t="s">
        <v>535</v>
      </c>
      <c r="B14981">
        <f>HYPERLINK("https://android.googlesource.com/platform/cts/+/38db26307da6ad8e7b539037fed1559668154e68", "38db26307da6ad8e7b539037fed1559668154e68")</f>
        <v>0</v>
      </c>
      <c r="C14981">
        <f>HYPERLINK("https://android.googlesource.com/platform/cts/+/91911fcbb39f138d043a7142e3dae912c4e6d12b", "91911fcbb39f138d043a7142e3dae912c4e6d12b")</f>
        <v>0</v>
      </c>
      <c r="D14981" t="s">
        <v>5023</v>
      </c>
      <c r="E14981" t="s">
        <v>6320</v>
      </c>
      <c r="F14981" t="s">
        <v>12314</v>
      </c>
      <c r="G14981" t="s">
        <v>16546</v>
      </c>
      <c r="H14981" t="s">
        <v>22007</v>
      </c>
    </row>
    <row r="14982" spans="1:8">
      <c r="H14982" t="s">
        <v>22008</v>
      </c>
    </row>
    <row r="14983" spans="1:8">
      <c r="H14983" t="s">
        <v>22009</v>
      </c>
    </row>
    <row r="14984" spans="1:8">
      <c r="A14984" t="s">
        <v>536</v>
      </c>
      <c r="B14984">
        <f>HYPERLINK("https://android.googlesource.com/platform/cts/+/45bce9b369996703d4c8cebf60d98bb257ff465c", "45bce9b369996703d4c8cebf60d98bb257ff465c")</f>
        <v>0</v>
      </c>
      <c r="C14984">
        <f>HYPERLINK("https://android.googlesource.com/platform/cts/+/87241351c7ab0a48318325152e0b8213594fcead", "87241351c7ab0a48318325152e0b8213594fcead")</f>
        <v>0</v>
      </c>
      <c r="D14984" t="s">
        <v>5017</v>
      </c>
      <c r="E14984" t="s">
        <v>6321</v>
      </c>
      <c r="F14984" t="s">
        <v>12315</v>
      </c>
      <c r="G14984" t="s">
        <v>16547</v>
      </c>
      <c r="H14984" t="s">
        <v>22010</v>
      </c>
    </row>
    <row r="14985" spans="1:8">
      <c r="H14985" t="s">
        <v>22011</v>
      </c>
    </row>
    <row r="14986" spans="1:8">
      <c r="H14986" t="s">
        <v>22012</v>
      </c>
    </row>
    <row r="14987" spans="1:8">
      <c r="H14987" t="s">
        <v>22013</v>
      </c>
    </row>
    <row r="14988" spans="1:8">
      <c r="A14988" t="s">
        <v>537</v>
      </c>
      <c r="B14988">
        <f>HYPERLINK("https://android.googlesource.com/platform/cts/+/a6ea2481f93a3e703de11bb1f6c656827608cea3", "a6ea2481f93a3e703de11bb1f6c656827608cea3")</f>
        <v>0</v>
      </c>
      <c r="C14988">
        <f>HYPERLINK("https://android.googlesource.com/platform/cts/+/f6cf6d8170dec19b2f8ad29165abf2da02bbbd9b", "f6cf6d8170dec19b2f8ad29165abf2da02bbbd9b")</f>
        <v>0</v>
      </c>
      <c r="D14988" t="s">
        <v>4930</v>
      </c>
      <c r="E14988" t="s">
        <v>6322</v>
      </c>
      <c r="F14988" t="s">
        <v>12316</v>
      </c>
      <c r="G14988" t="s">
        <v>16548</v>
      </c>
      <c r="H14988" t="s">
        <v>18980</v>
      </c>
    </row>
    <row r="14989" spans="1:8">
      <c r="A14989" t="s">
        <v>538</v>
      </c>
      <c r="B14989">
        <f>HYPERLINK("https://android.googlesource.com/platform/cts/+/8354c8514204a73ed436c11078a91cb6c56bb6b7", "8354c8514204a73ed436c11078a91cb6c56bb6b7")</f>
        <v>0</v>
      </c>
      <c r="C14989">
        <f>HYPERLINK("https://android.googlesource.com/platform/cts/+/5f799ee6f3c1fa43e38a6081206c4e3b8c0f6138", "5f799ee6f3c1fa43e38a6081206c4e3b8c0f6138")</f>
        <v>0</v>
      </c>
      <c r="D14989" t="s">
        <v>5004</v>
      </c>
      <c r="E14989" t="s">
        <v>6323</v>
      </c>
      <c r="F14989" t="s">
        <v>12225</v>
      </c>
      <c r="G14989" t="s">
        <v>16455</v>
      </c>
      <c r="H14989" t="s">
        <v>22014</v>
      </c>
    </row>
    <row r="14990" spans="1:8">
      <c r="H14990" t="s">
        <v>22000</v>
      </c>
    </row>
    <row r="14991" spans="1:8">
      <c r="H14991" t="s">
        <v>22015</v>
      </c>
    </row>
    <row r="14992" spans="1:8">
      <c r="H14992" t="s">
        <v>22016</v>
      </c>
    </row>
    <row r="14993" spans="1:8">
      <c r="H14993" t="s">
        <v>22017</v>
      </c>
    </row>
    <row r="14994" spans="1:8">
      <c r="F14994" t="s">
        <v>12317</v>
      </c>
      <c r="G14994" t="s">
        <v>16544</v>
      </c>
      <c r="H14994" t="s">
        <v>22000</v>
      </c>
    </row>
    <row r="14995" spans="1:8">
      <c r="F14995" t="s">
        <v>12221</v>
      </c>
      <c r="G14995" t="s">
        <v>16451</v>
      </c>
      <c r="H14995" t="s">
        <v>22018</v>
      </c>
    </row>
    <row r="14996" spans="1:8">
      <c r="H14996" t="s">
        <v>22019</v>
      </c>
    </row>
    <row r="14997" spans="1:8">
      <c r="H14997" t="s">
        <v>22020</v>
      </c>
    </row>
    <row r="14998" spans="1:8">
      <c r="H14998" t="s">
        <v>22021</v>
      </c>
    </row>
    <row r="14999" spans="1:8">
      <c r="H14999" t="s">
        <v>22022</v>
      </c>
    </row>
    <row r="15000" spans="1:8">
      <c r="H15000" t="s">
        <v>21994</v>
      </c>
    </row>
    <row r="15001" spans="1:8">
      <c r="H15001" t="s">
        <v>21995</v>
      </c>
    </row>
    <row r="15002" spans="1:8">
      <c r="A15002" t="s">
        <v>539</v>
      </c>
      <c r="B15002">
        <f>HYPERLINK("https://android.googlesource.com/platform/cts/+/38271c76b0b254990b8f532d7851e3ac6c2b9715", "38271c76b0b254990b8f532d7851e3ac6c2b9715")</f>
        <v>0</v>
      </c>
      <c r="C15002">
        <f>HYPERLINK("https://android.googlesource.com/platform/cts/+/60234c98ef33b9a688e459a0d1816ce0b36be5fb", "60234c98ef33b9a688e459a0d1816ce0b36be5fb")</f>
        <v>0</v>
      </c>
      <c r="D15002" t="s">
        <v>5010</v>
      </c>
      <c r="E15002" t="s">
        <v>6324</v>
      </c>
      <c r="F15002" t="s">
        <v>12318</v>
      </c>
      <c r="G15002" t="s">
        <v>15148</v>
      </c>
      <c r="H15002" t="s">
        <v>22023</v>
      </c>
    </row>
    <row r="15003" spans="1:8">
      <c r="H15003" t="s">
        <v>22024</v>
      </c>
    </row>
    <row r="15004" spans="1:8">
      <c r="H15004" t="s">
        <v>22025</v>
      </c>
    </row>
    <row r="15005" spans="1:8">
      <c r="H15005" t="s">
        <v>22026</v>
      </c>
    </row>
    <row r="15006" spans="1:8">
      <c r="H15006" t="s">
        <v>22027</v>
      </c>
    </row>
    <row r="15007" spans="1:8">
      <c r="H15007" t="s">
        <v>22028</v>
      </c>
    </row>
    <row r="15008" spans="1:8">
      <c r="H15008" t="s">
        <v>22029</v>
      </c>
    </row>
    <row r="15009" spans="1:8">
      <c r="H15009" t="s">
        <v>22030</v>
      </c>
    </row>
    <row r="15010" spans="1:8">
      <c r="H15010" t="s">
        <v>22031</v>
      </c>
    </row>
    <row r="15011" spans="1:8">
      <c r="H15011" t="s">
        <v>22032</v>
      </c>
    </row>
    <row r="15012" spans="1:8">
      <c r="H15012" t="s">
        <v>22033</v>
      </c>
    </row>
    <row r="15013" spans="1:8">
      <c r="H15013" t="s">
        <v>22034</v>
      </c>
    </row>
    <row r="15014" spans="1:8">
      <c r="H15014" t="s">
        <v>22035</v>
      </c>
    </row>
    <row r="15015" spans="1:8">
      <c r="H15015" t="s">
        <v>22021</v>
      </c>
    </row>
    <row r="15016" spans="1:8">
      <c r="H15016" t="s">
        <v>21994</v>
      </c>
    </row>
    <row r="15017" spans="1:8">
      <c r="H15017" t="s">
        <v>21995</v>
      </c>
    </row>
    <row r="15018" spans="1:8">
      <c r="H15018" t="s">
        <v>22036</v>
      </c>
    </row>
    <row r="15019" spans="1:8">
      <c r="H15019" t="s">
        <v>22037</v>
      </c>
    </row>
    <row r="15020" spans="1:8">
      <c r="H15020" t="s">
        <v>22038</v>
      </c>
    </row>
    <row r="15021" spans="1:8">
      <c r="A15021" t="s">
        <v>540</v>
      </c>
      <c r="B15021">
        <f>HYPERLINK("https://android.googlesource.com/platform/cts/+/d51e0c83207dabadb0d64d86c2b4fff7ca9bef7f", "d51e0c83207dabadb0d64d86c2b4fff7ca9bef7f")</f>
        <v>0</v>
      </c>
      <c r="C15021">
        <f>HYPERLINK("https://android.googlesource.com/platform/cts/+/e32c995b1b14ea670626ebf651a0fc45ed2c8c00", "e32c995b1b14ea670626ebf651a0fc45ed2c8c00")</f>
        <v>0</v>
      </c>
      <c r="D15021" t="s">
        <v>4973</v>
      </c>
      <c r="E15021" t="s">
        <v>6325</v>
      </c>
      <c r="F15021" t="s">
        <v>12319</v>
      </c>
      <c r="G15021" t="s">
        <v>16549</v>
      </c>
      <c r="H15021" t="s">
        <v>18829</v>
      </c>
    </row>
    <row r="15022" spans="1:8">
      <c r="H15022" t="s">
        <v>22039</v>
      </c>
    </row>
    <row r="15023" spans="1:8">
      <c r="H15023" t="s">
        <v>22040</v>
      </c>
    </row>
    <row r="15024" spans="1:8">
      <c r="H15024" t="s">
        <v>22041</v>
      </c>
    </row>
    <row r="15025" spans="1:8">
      <c r="H15025" t="s">
        <v>22042</v>
      </c>
    </row>
    <row r="15026" spans="1:8">
      <c r="H15026" t="s">
        <v>20083</v>
      </c>
    </row>
    <row r="15027" spans="1:8">
      <c r="H15027" t="s">
        <v>22043</v>
      </c>
    </row>
    <row r="15028" spans="1:8">
      <c r="A15028" t="s">
        <v>541</v>
      </c>
      <c r="B15028">
        <f>HYPERLINK("https://android.googlesource.com/platform/cts/+/7b44fee3487ee84d9c10a51dddaac4dc95229ba7", "7b44fee3487ee84d9c10a51dddaac4dc95229ba7")</f>
        <v>0</v>
      </c>
      <c r="C15028">
        <f>HYPERLINK("https://android.googlesource.com/platform/cts/+/fd4862555abcc1d8aaf80ce112c2fcd9acd52ec9", "fd4862555abcc1d8aaf80ce112c2fcd9acd52ec9")</f>
        <v>0</v>
      </c>
      <c r="D15028" t="s">
        <v>5024</v>
      </c>
      <c r="E15028" t="s">
        <v>6326</v>
      </c>
      <c r="F15028" t="s">
        <v>12320</v>
      </c>
      <c r="G15028" t="s">
        <v>16550</v>
      </c>
      <c r="H15028" t="s">
        <v>22044</v>
      </c>
    </row>
    <row r="15029" spans="1:8">
      <c r="H15029" t="s">
        <v>22045</v>
      </c>
    </row>
    <row r="15030" spans="1:8">
      <c r="H15030" t="s">
        <v>22046</v>
      </c>
    </row>
    <row r="15031" spans="1:8">
      <c r="H15031" t="s">
        <v>22047</v>
      </c>
    </row>
    <row r="15032" spans="1:8">
      <c r="H15032" t="s">
        <v>22048</v>
      </c>
    </row>
    <row r="15033" spans="1:8">
      <c r="H15033" t="s">
        <v>22049</v>
      </c>
    </row>
    <row r="15034" spans="1:8">
      <c r="F15034" t="s">
        <v>12321</v>
      </c>
      <c r="G15034" t="s">
        <v>16551</v>
      </c>
      <c r="H15034" t="s">
        <v>22050</v>
      </c>
    </row>
    <row r="15035" spans="1:8">
      <c r="H15035" t="s">
        <v>22051</v>
      </c>
    </row>
    <row r="15036" spans="1:8">
      <c r="H15036" t="s">
        <v>22052</v>
      </c>
    </row>
    <row r="15037" spans="1:8">
      <c r="H15037" t="s">
        <v>22053</v>
      </c>
    </row>
    <row r="15038" spans="1:8">
      <c r="H15038" t="s">
        <v>22054</v>
      </c>
    </row>
    <row r="15039" spans="1:8">
      <c r="H15039" t="s">
        <v>22055</v>
      </c>
    </row>
    <row r="15040" spans="1:8">
      <c r="H15040" t="s">
        <v>22056</v>
      </c>
    </row>
    <row r="15041" spans="6:8">
      <c r="H15041" t="s">
        <v>22049</v>
      </c>
    </row>
    <row r="15042" spans="6:8">
      <c r="F15042" t="s">
        <v>12322</v>
      </c>
      <c r="G15042" t="s">
        <v>16552</v>
      </c>
      <c r="H15042" t="s">
        <v>22057</v>
      </c>
    </row>
    <row r="15043" spans="6:8">
      <c r="H15043" t="s">
        <v>22057</v>
      </c>
    </row>
    <row r="15044" spans="6:8">
      <c r="H15044" t="s">
        <v>22057</v>
      </c>
    </row>
    <row r="15045" spans="6:8">
      <c r="H15045" t="s">
        <v>22058</v>
      </c>
    </row>
    <row r="15046" spans="6:8">
      <c r="H15046" t="s">
        <v>22059</v>
      </c>
    </row>
    <row r="15047" spans="6:8">
      <c r="H15047" t="s">
        <v>22059</v>
      </c>
    </row>
    <row r="15048" spans="6:8">
      <c r="H15048" t="s">
        <v>22060</v>
      </c>
    </row>
    <row r="15049" spans="6:8">
      <c r="H15049" t="s">
        <v>21227</v>
      </c>
    </row>
    <row r="15050" spans="6:8">
      <c r="H15050" t="s">
        <v>21228</v>
      </c>
    </row>
    <row r="15051" spans="6:8">
      <c r="H15051" t="s">
        <v>22061</v>
      </c>
    </row>
    <row r="15052" spans="6:8">
      <c r="H15052" t="s">
        <v>22062</v>
      </c>
    </row>
    <row r="15053" spans="6:8">
      <c r="H15053" t="s">
        <v>22063</v>
      </c>
    </row>
    <row r="15054" spans="6:8">
      <c r="H15054" t="s">
        <v>22063</v>
      </c>
    </row>
    <row r="15055" spans="6:8">
      <c r="H15055" t="s">
        <v>22057</v>
      </c>
    </row>
    <row r="15056" spans="6:8">
      <c r="H15056" t="s">
        <v>22058</v>
      </c>
    </row>
    <row r="15057" spans="1:8">
      <c r="H15057" t="s">
        <v>22064</v>
      </c>
    </row>
    <row r="15058" spans="1:8">
      <c r="H15058" t="s">
        <v>22064</v>
      </c>
    </row>
    <row r="15059" spans="1:8">
      <c r="A15059" t="s">
        <v>542</v>
      </c>
      <c r="B15059">
        <f>HYPERLINK("https://android.googlesource.com/platform/cts/+/a8006db3b54d07318dbe593924267980c45d6876", "a8006db3b54d07318dbe593924267980c45d6876")</f>
        <v>0</v>
      </c>
      <c r="C15059">
        <f>HYPERLINK("https://android.googlesource.com/platform/cts/+/b445bf36cff59c9f237c6fc487435dd9f1ebbe31", "b445bf36cff59c9f237c6fc487435dd9f1ebbe31")</f>
        <v>0</v>
      </c>
      <c r="D15059" t="s">
        <v>5023</v>
      </c>
      <c r="E15059" t="s">
        <v>6327</v>
      </c>
      <c r="F15059" t="s">
        <v>12314</v>
      </c>
      <c r="G15059" t="s">
        <v>16546</v>
      </c>
      <c r="H15059" t="s">
        <v>19034</v>
      </c>
    </row>
    <row r="15060" spans="1:8">
      <c r="H15060" t="s">
        <v>22065</v>
      </c>
    </row>
    <row r="15061" spans="1:8">
      <c r="H15061" t="s">
        <v>22066</v>
      </c>
    </row>
    <row r="15062" spans="1:8">
      <c r="H15062" t="s">
        <v>22067</v>
      </c>
    </row>
    <row r="15063" spans="1:8">
      <c r="H15063" t="s">
        <v>22068</v>
      </c>
    </row>
    <row r="15064" spans="1:8">
      <c r="H15064" t="s">
        <v>22069</v>
      </c>
    </row>
    <row r="15065" spans="1:8">
      <c r="H15065" t="s">
        <v>22070</v>
      </c>
    </row>
    <row r="15066" spans="1:8">
      <c r="H15066" t="s">
        <v>22071</v>
      </c>
    </row>
    <row r="15067" spans="1:8">
      <c r="H15067" t="s">
        <v>22072</v>
      </c>
    </row>
    <row r="15068" spans="1:8">
      <c r="H15068" t="s">
        <v>22073</v>
      </c>
    </row>
    <row r="15069" spans="1:8">
      <c r="H15069" t="s">
        <v>22074</v>
      </c>
    </row>
    <row r="15070" spans="1:8">
      <c r="H15070" t="s">
        <v>22075</v>
      </c>
    </row>
    <row r="15071" spans="1:8">
      <c r="H15071" t="s">
        <v>22076</v>
      </c>
    </row>
    <row r="15072" spans="1:8">
      <c r="H15072" t="s">
        <v>22077</v>
      </c>
    </row>
    <row r="15073" spans="1:8">
      <c r="A15073" t="s">
        <v>543</v>
      </c>
      <c r="B15073">
        <f>HYPERLINK("https://android.googlesource.com/platform/cts/+/ea4bb059b8acefaec3bab9bb26c01a08586d160b", "ea4bb059b8acefaec3bab9bb26c01a08586d160b")</f>
        <v>0</v>
      </c>
      <c r="C15073">
        <f>HYPERLINK("https://android.googlesource.com/platform/cts/+/a40dc0b5fb7a54ccafd0555a1934dc2d6b3a267e", "a40dc0b5fb7a54ccafd0555a1934dc2d6b3a267e")</f>
        <v>0</v>
      </c>
      <c r="D15073" t="s">
        <v>5004</v>
      </c>
      <c r="E15073" t="s">
        <v>6328</v>
      </c>
      <c r="F15073" t="s">
        <v>12221</v>
      </c>
      <c r="G15073" t="s">
        <v>16451</v>
      </c>
      <c r="H15073" t="s">
        <v>22078</v>
      </c>
    </row>
    <row r="15074" spans="1:8">
      <c r="H15074" t="s">
        <v>22079</v>
      </c>
    </row>
    <row r="15075" spans="1:8">
      <c r="F15075" t="s">
        <v>12323</v>
      </c>
      <c r="G15075" t="s">
        <v>16553</v>
      </c>
      <c r="H15075" t="s">
        <v>22080</v>
      </c>
    </row>
    <row r="15076" spans="1:8">
      <c r="A15076" t="s">
        <v>544</v>
      </c>
      <c r="B15076">
        <f>HYPERLINK("https://android.googlesource.com/platform/cts/+/7b8cbb83ae12919c233925a0d94b0274b56e22ab", "7b8cbb83ae12919c233925a0d94b0274b56e22ab")</f>
        <v>0</v>
      </c>
      <c r="C15076">
        <f>HYPERLINK("https://android.googlesource.com/platform/cts/+/7841788129557bc18bc6a2c15ebedacceb731104", "7841788129557bc18bc6a2c15ebedacceb731104")</f>
        <v>0</v>
      </c>
      <c r="D15076" t="s">
        <v>5004</v>
      </c>
      <c r="E15076" t="s">
        <v>6329</v>
      </c>
      <c r="F15076" t="s">
        <v>12221</v>
      </c>
      <c r="G15076" t="s">
        <v>16451</v>
      </c>
      <c r="H15076" t="s">
        <v>22081</v>
      </c>
    </row>
    <row r="15077" spans="1:8">
      <c r="A15077" t="s">
        <v>545</v>
      </c>
      <c r="B15077">
        <f>HYPERLINK("https://android.googlesource.com/platform/cts/+/99211e46392ea3fcfc20685e36c709651aa9e6d3", "99211e46392ea3fcfc20685e36c709651aa9e6d3")</f>
        <v>0</v>
      </c>
      <c r="C15077">
        <f>HYPERLINK("https://android.googlesource.com/platform/cts/+/8906ad68996047981b432021e0963f02e7433115", "8906ad68996047981b432021e0963f02e7433115")</f>
        <v>0</v>
      </c>
      <c r="D15077" t="s">
        <v>5004</v>
      </c>
      <c r="E15077" t="s">
        <v>6330</v>
      </c>
      <c r="F15077" t="s">
        <v>12312</v>
      </c>
      <c r="G15077" t="s">
        <v>16543</v>
      </c>
      <c r="H15077" t="s">
        <v>22082</v>
      </c>
    </row>
    <row r="15078" spans="1:8">
      <c r="A15078" t="s">
        <v>546</v>
      </c>
      <c r="B15078">
        <f>HYPERLINK("https://android.googlesource.com/platform/cts/+/25c95b34af9b25a9935f9e2e8e6b455f5fb359c9", "25c95b34af9b25a9935f9e2e8e6b455f5fb359c9")</f>
        <v>0</v>
      </c>
      <c r="C15078">
        <f>HYPERLINK("https://android.googlesource.com/platform/cts/+/bdf643555822ec3023c4f71f421952e02a08e4f4", "bdf643555822ec3023c4f71f421952e02a08e4f4")</f>
        <v>0</v>
      </c>
      <c r="D15078" t="s">
        <v>5025</v>
      </c>
      <c r="E15078" t="s">
        <v>6331</v>
      </c>
      <c r="F15078" t="s">
        <v>12324</v>
      </c>
      <c r="G15078" t="s">
        <v>16554</v>
      </c>
      <c r="H15078" t="s">
        <v>22083</v>
      </c>
    </row>
    <row r="15079" spans="1:8">
      <c r="H15079" t="s">
        <v>22084</v>
      </c>
    </row>
    <row r="15080" spans="1:8">
      <c r="H15080" t="s">
        <v>22085</v>
      </c>
    </row>
    <row r="15081" spans="1:8">
      <c r="H15081" t="s">
        <v>22086</v>
      </c>
    </row>
    <row r="15082" spans="1:8">
      <c r="A15082" t="s">
        <v>547</v>
      </c>
      <c r="B15082">
        <f>HYPERLINK("https://android.googlesource.com/platform/cts/+/ccb3315b017c17710f0f190a50dbf9f92687aa87", "ccb3315b017c17710f0f190a50dbf9f92687aa87")</f>
        <v>0</v>
      </c>
      <c r="C15082">
        <f>HYPERLINK("https://android.googlesource.com/platform/cts/+/f5e85145970257730305e9f2681825e24100c4e7", "f5e85145970257730305e9f2681825e24100c4e7")</f>
        <v>0</v>
      </c>
      <c r="D15082" t="s">
        <v>5007</v>
      </c>
      <c r="E15082" t="s">
        <v>6332</v>
      </c>
      <c r="F15082" t="s">
        <v>12325</v>
      </c>
      <c r="G15082" t="s">
        <v>16555</v>
      </c>
      <c r="H15082" t="s">
        <v>22087</v>
      </c>
    </row>
    <row r="15083" spans="1:8">
      <c r="H15083" t="s">
        <v>22088</v>
      </c>
    </row>
    <row r="15084" spans="1:8">
      <c r="H15084" t="s">
        <v>22089</v>
      </c>
    </row>
    <row r="15085" spans="1:8">
      <c r="H15085" t="s">
        <v>22090</v>
      </c>
    </row>
    <row r="15086" spans="1:8">
      <c r="H15086" t="s">
        <v>22091</v>
      </c>
    </row>
    <row r="15087" spans="1:8">
      <c r="H15087" t="s">
        <v>22092</v>
      </c>
    </row>
    <row r="15088" spans="1:8">
      <c r="H15088" t="s">
        <v>22093</v>
      </c>
    </row>
    <row r="15089" spans="1:8">
      <c r="H15089" t="s">
        <v>22094</v>
      </c>
    </row>
    <row r="15090" spans="1:8">
      <c r="H15090" t="s">
        <v>22095</v>
      </c>
    </row>
    <row r="15091" spans="1:8">
      <c r="H15091" t="s">
        <v>22096</v>
      </c>
    </row>
    <row r="15092" spans="1:8">
      <c r="H15092" t="s">
        <v>22097</v>
      </c>
    </row>
    <row r="15093" spans="1:8">
      <c r="H15093" t="s">
        <v>22098</v>
      </c>
    </row>
    <row r="15094" spans="1:8">
      <c r="H15094" t="s">
        <v>22099</v>
      </c>
    </row>
    <row r="15095" spans="1:8">
      <c r="H15095" t="s">
        <v>22100</v>
      </c>
    </row>
    <row r="15096" spans="1:8">
      <c r="H15096" t="s">
        <v>22101</v>
      </c>
    </row>
    <row r="15097" spans="1:8">
      <c r="H15097" t="s">
        <v>22102</v>
      </c>
    </row>
    <row r="15098" spans="1:8">
      <c r="H15098" t="s">
        <v>22103</v>
      </c>
    </row>
    <row r="15099" spans="1:8">
      <c r="H15099" t="s">
        <v>22104</v>
      </c>
    </row>
    <row r="15100" spans="1:8">
      <c r="H15100" t="s">
        <v>22105</v>
      </c>
    </row>
    <row r="15101" spans="1:8">
      <c r="H15101" t="s">
        <v>22106</v>
      </c>
    </row>
    <row r="15102" spans="1:8">
      <c r="H15102" t="s">
        <v>22107</v>
      </c>
    </row>
    <row r="15103" spans="1:8">
      <c r="A15103" t="s">
        <v>548</v>
      </c>
      <c r="B15103">
        <f>HYPERLINK("https://android.googlesource.com/platform/cts/+/863fadbcff87c8809e9d9fae1c64a1fe692b2ea2", "863fadbcff87c8809e9d9fae1c64a1fe692b2ea2")</f>
        <v>0</v>
      </c>
      <c r="C15103">
        <f>HYPERLINK("https://android.googlesource.com/platform/cts/+/f09eb74555a4c8d46fa908fa83099a26a28d80eb", "f09eb74555a4c8d46fa908fa83099a26a28d80eb")</f>
        <v>0</v>
      </c>
      <c r="D15103" t="s">
        <v>5019</v>
      </c>
      <c r="E15103" t="s">
        <v>6333</v>
      </c>
      <c r="F15103" t="s">
        <v>12326</v>
      </c>
      <c r="G15103" t="s">
        <v>16556</v>
      </c>
      <c r="H15103" t="s">
        <v>22108</v>
      </c>
    </row>
    <row r="15104" spans="1:8">
      <c r="A15104" t="s">
        <v>549</v>
      </c>
      <c r="B15104">
        <f>HYPERLINK("https://android.googlesource.com/platform/cts/+/5b70b978e78d4731c66a0a4320984a69e4a88690", "5b70b978e78d4731c66a0a4320984a69e4a88690")</f>
        <v>0</v>
      </c>
      <c r="C15104">
        <f>HYPERLINK("https://android.googlesource.com/platform/cts/+/b7f71268276f56cd4b15ac51bffbb14e55480788", "b7f71268276f56cd4b15ac51bffbb14e55480788")</f>
        <v>0</v>
      </c>
      <c r="D15104" t="s">
        <v>5026</v>
      </c>
      <c r="E15104" t="s">
        <v>6334</v>
      </c>
      <c r="F15104" t="s">
        <v>12327</v>
      </c>
      <c r="G15104" t="s">
        <v>16557</v>
      </c>
      <c r="H15104" t="s">
        <v>22109</v>
      </c>
    </row>
    <row r="15105" spans="1:8">
      <c r="A15105" t="s">
        <v>550</v>
      </c>
      <c r="B15105">
        <f>HYPERLINK("https://android.googlesource.com/platform/cts/+/c9bccc623c3d30d2fed4d2bbe321765598801545", "c9bccc623c3d30d2fed4d2bbe321765598801545")</f>
        <v>0</v>
      </c>
      <c r="C15105">
        <f>HYPERLINK("https://android.googlesource.com/platform/cts/+/76a03019d359f0d2a11862d49d3fc2b9e99c9167", "76a03019d359f0d2a11862d49d3fc2b9e99c9167")</f>
        <v>0</v>
      </c>
      <c r="D15105" t="s">
        <v>5004</v>
      </c>
      <c r="E15105" t="s">
        <v>6335</v>
      </c>
      <c r="F15105" t="s">
        <v>12328</v>
      </c>
      <c r="G15105" t="s">
        <v>16458</v>
      </c>
      <c r="H15105" t="s">
        <v>22110</v>
      </c>
    </row>
    <row r="15106" spans="1:8">
      <c r="A15106" t="s">
        <v>551</v>
      </c>
      <c r="B15106">
        <f>HYPERLINK("https://android.googlesource.com/platform/cts/+/adabd173732bcfca0cae00e0f731099bf6a9a3f5", "adabd173732bcfca0cae00e0f731099bf6a9a3f5")</f>
        <v>0</v>
      </c>
      <c r="C15106">
        <f>HYPERLINK("https://android.googlesource.com/platform/cts/+/4c1012efc520064f0cf8318f8e245ce62b0fd843", "4c1012efc520064f0cf8318f8e245ce62b0fd843")</f>
        <v>0</v>
      </c>
      <c r="D15106" t="s">
        <v>5024</v>
      </c>
      <c r="E15106" t="s">
        <v>6326</v>
      </c>
      <c r="F15106" t="s">
        <v>12320</v>
      </c>
      <c r="G15106" t="s">
        <v>16550</v>
      </c>
      <c r="H15106" t="s">
        <v>22044</v>
      </c>
    </row>
    <row r="15107" spans="1:8">
      <c r="H15107" t="s">
        <v>22045</v>
      </c>
    </row>
    <row r="15108" spans="1:8">
      <c r="H15108" t="s">
        <v>22046</v>
      </c>
    </row>
    <row r="15109" spans="1:8">
      <c r="H15109" t="s">
        <v>22047</v>
      </c>
    </row>
    <row r="15110" spans="1:8">
      <c r="H15110" t="s">
        <v>22048</v>
      </c>
    </row>
    <row r="15111" spans="1:8">
      <c r="H15111" t="s">
        <v>22049</v>
      </c>
    </row>
    <row r="15112" spans="1:8">
      <c r="F15112" t="s">
        <v>12321</v>
      </c>
      <c r="G15112" t="s">
        <v>16551</v>
      </c>
      <c r="H15112" t="s">
        <v>22050</v>
      </c>
    </row>
    <row r="15113" spans="1:8">
      <c r="H15113" t="s">
        <v>22051</v>
      </c>
    </row>
    <row r="15114" spans="1:8">
      <c r="H15114" t="s">
        <v>22052</v>
      </c>
    </row>
    <row r="15115" spans="1:8">
      <c r="H15115" t="s">
        <v>22053</v>
      </c>
    </row>
    <row r="15116" spans="1:8">
      <c r="H15116" t="s">
        <v>22054</v>
      </c>
    </row>
    <row r="15117" spans="1:8">
      <c r="H15117" t="s">
        <v>22055</v>
      </c>
    </row>
    <row r="15118" spans="1:8">
      <c r="H15118" t="s">
        <v>22056</v>
      </c>
    </row>
    <row r="15119" spans="1:8">
      <c r="H15119" t="s">
        <v>22049</v>
      </c>
    </row>
    <row r="15120" spans="1:8">
      <c r="F15120" t="s">
        <v>12322</v>
      </c>
      <c r="G15120" t="s">
        <v>16552</v>
      </c>
      <c r="H15120" t="s">
        <v>22057</v>
      </c>
    </row>
    <row r="15121" spans="8:8">
      <c r="H15121" t="s">
        <v>22057</v>
      </c>
    </row>
    <row r="15122" spans="8:8">
      <c r="H15122" t="s">
        <v>22057</v>
      </c>
    </row>
    <row r="15123" spans="8:8">
      <c r="H15123" t="s">
        <v>22058</v>
      </c>
    </row>
    <row r="15124" spans="8:8">
      <c r="H15124" t="s">
        <v>22059</v>
      </c>
    </row>
    <row r="15125" spans="8:8">
      <c r="H15125" t="s">
        <v>22059</v>
      </c>
    </row>
    <row r="15126" spans="8:8">
      <c r="H15126" t="s">
        <v>22060</v>
      </c>
    </row>
    <row r="15127" spans="8:8">
      <c r="H15127" t="s">
        <v>21227</v>
      </c>
    </row>
    <row r="15128" spans="8:8">
      <c r="H15128" t="s">
        <v>21228</v>
      </c>
    </row>
    <row r="15129" spans="8:8">
      <c r="H15129" t="s">
        <v>22061</v>
      </c>
    </row>
    <row r="15130" spans="8:8">
      <c r="H15130" t="s">
        <v>22062</v>
      </c>
    </row>
    <row r="15131" spans="8:8">
      <c r="H15131" t="s">
        <v>22063</v>
      </c>
    </row>
    <row r="15132" spans="8:8">
      <c r="H15132" t="s">
        <v>22063</v>
      </c>
    </row>
    <row r="15133" spans="8:8">
      <c r="H15133" t="s">
        <v>22057</v>
      </c>
    </row>
    <row r="15134" spans="8:8">
      <c r="H15134" t="s">
        <v>22058</v>
      </c>
    </row>
    <row r="15135" spans="8:8">
      <c r="H15135" t="s">
        <v>22064</v>
      </c>
    </row>
    <row r="15136" spans="8:8">
      <c r="H15136" t="s">
        <v>22064</v>
      </c>
    </row>
    <row r="15137" spans="1:8">
      <c r="A15137" t="s">
        <v>552</v>
      </c>
      <c r="B15137">
        <f>HYPERLINK("https://android.googlesource.com/platform/cts/+/26eab6438226eeb4af8377e0c9fd6f631f1b150c", "26eab6438226eeb4af8377e0c9fd6f631f1b150c")</f>
        <v>0</v>
      </c>
      <c r="C15137">
        <f>HYPERLINK("https://android.googlesource.com/platform/cts/+/6360e58fba8f557874242c19bc9e558d00cefce4", "6360e58fba8f557874242c19bc9e558d00cefce4")</f>
        <v>0</v>
      </c>
      <c r="D15137" t="s">
        <v>5018</v>
      </c>
      <c r="E15137" t="s">
        <v>6336</v>
      </c>
      <c r="F15137" t="s">
        <v>12329</v>
      </c>
      <c r="G15137" t="s">
        <v>15331</v>
      </c>
      <c r="H15137" t="s">
        <v>19725</v>
      </c>
    </row>
    <row r="15138" spans="1:8">
      <c r="A15138" t="s">
        <v>553</v>
      </c>
      <c r="B15138">
        <f>HYPERLINK("https://android.googlesource.com/platform/cts/+/61dd5c68b6a7011a285d57c39f3b078c18cecda0", "61dd5c68b6a7011a285d57c39f3b078c18cecda0")</f>
        <v>0</v>
      </c>
      <c r="C15138">
        <f>HYPERLINK("https://android.googlesource.com/platform/cts/+/7ea8cec78201f6ef33ed0099ada6f8b60173ff63", "7ea8cec78201f6ef33ed0099ada6f8b60173ff63")</f>
        <v>0</v>
      </c>
      <c r="D15138" t="s">
        <v>5018</v>
      </c>
      <c r="E15138" t="s">
        <v>6337</v>
      </c>
      <c r="F15138" t="s">
        <v>10739</v>
      </c>
      <c r="G15138" t="s">
        <v>15138</v>
      </c>
      <c r="H15138" t="s">
        <v>22111</v>
      </c>
    </row>
    <row r="15139" spans="1:8">
      <c r="H15139" t="s">
        <v>22112</v>
      </c>
    </row>
    <row r="15140" spans="1:8">
      <c r="A15140" t="s">
        <v>554</v>
      </c>
      <c r="B15140">
        <f>HYPERLINK("https://android.googlesource.com/platform/cts/+/504fc8769168ed9519f5752748e50df4ecc2c885", "504fc8769168ed9519f5752748e50df4ecc2c885")</f>
        <v>0</v>
      </c>
      <c r="C15140">
        <f>HYPERLINK("https://android.googlesource.com/platform/cts/+/eb5c19a892b3c3599b423034357d6dce95e8207c", "eb5c19a892b3c3599b423034357d6dce95e8207c")</f>
        <v>0</v>
      </c>
      <c r="D15140" t="s">
        <v>5018</v>
      </c>
      <c r="E15140" t="s">
        <v>6338</v>
      </c>
      <c r="F15140" t="s">
        <v>12329</v>
      </c>
      <c r="G15140" t="s">
        <v>15331</v>
      </c>
      <c r="H15140" t="s">
        <v>19725</v>
      </c>
    </row>
    <row r="15141" spans="1:8">
      <c r="A15141" t="s">
        <v>555</v>
      </c>
      <c r="B15141">
        <f>HYPERLINK("https://android.googlesource.com/platform/cts/+/847f5c9273b29bf5f99ba716b50b64119ba38461", "847f5c9273b29bf5f99ba716b50b64119ba38461")</f>
        <v>0</v>
      </c>
      <c r="C15141">
        <f>HYPERLINK("https://android.googlesource.com/platform/cts/+/e98002608f8e8e61b9b8a86178a9eff41ef47554", "e98002608f8e8e61b9b8a86178a9eff41ef47554")</f>
        <v>0</v>
      </c>
      <c r="D15141" t="s">
        <v>5027</v>
      </c>
      <c r="E15141" t="s">
        <v>6339</v>
      </c>
      <c r="F15141" t="s">
        <v>12324</v>
      </c>
      <c r="G15141" t="s">
        <v>16554</v>
      </c>
      <c r="H15141" t="s">
        <v>22113</v>
      </c>
    </row>
    <row r="15142" spans="1:8">
      <c r="A15142" t="s">
        <v>556</v>
      </c>
      <c r="B15142">
        <f>HYPERLINK("https://android.googlesource.com/platform/cts/+/ebd15f5a37659ecb2ddacd979fa57924f5478394", "ebd15f5a37659ecb2ddacd979fa57924f5478394")</f>
        <v>0</v>
      </c>
      <c r="C15142">
        <f>HYPERLINK("https://android.googlesource.com/platform/cts/+/847f5c9273b29bf5f99ba716b50b64119ba38461", "847f5c9273b29bf5f99ba716b50b64119ba38461")</f>
        <v>0</v>
      </c>
      <c r="D15142" t="s">
        <v>5027</v>
      </c>
      <c r="E15142" t="s">
        <v>6340</v>
      </c>
      <c r="F15142" t="s">
        <v>12324</v>
      </c>
      <c r="G15142" t="s">
        <v>16554</v>
      </c>
      <c r="H15142" t="s">
        <v>20083</v>
      </c>
    </row>
    <row r="15143" spans="1:8">
      <c r="H15143" t="s">
        <v>22114</v>
      </c>
    </row>
    <row r="15144" spans="1:8">
      <c r="H15144" t="s">
        <v>22115</v>
      </c>
    </row>
    <row r="15145" spans="1:8">
      <c r="H15145" t="s">
        <v>22083</v>
      </c>
    </row>
    <row r="15146" spans="1:8">
      <c r="H15146" t="s">
        <v>22084</v>
      </c>
    </row>
    <row r="15147" spans="1:8">
      <c r="H15147" t="s">
        <v>22085</v>
      </c>
    </row>
    <row r="15148" spans="1:8">
      <c r="H15148" t="s">
        <v>22086</v>
      </c>
    </row>
    <row r="15149" spans="1:8">
      <c r="A15149" t="s">
        <v>557</v>
      </c>
      <c r="B15149">
        <f>HYPERLINK("https://android.googlesource.com/platform/cts/+/c7d2f628194c794cac832a74fe415a04d76b0c25", "c7d2f628194c794cac832a74fe415a04d76b0c25")</f>
        <v>0</v>
      </c>
      <c r="C15149">
        <f>HYPERLINK("https://android.googlesource.com/platform/cts/+/e100b5fc27a7af6fe0e895b9c1a026602edaeda5", "e100b5fc27a7af6fe0e895b9c1a026602edaeda5")</f>
        <v>0</v>
      </c>
      <c r="D15149" t="s">
        <v>5028</v>
      </c>
      <c r="E15149" t="s">
        <v>6341</v>
      </c>
      <c r="F15149" t="s">
        <v>12221</v>
      </c>
      <c r="G15149" t="s">
        <v>16451</v>
      </c>
      <c r="H15149" t="s">
        <v>22116</v>
      </c>
    </row>
    <row r="15150" spans="1:8">
      <c r="H15150" t="s">
        <v>22117</v>
      </c>
    </row>
    <row r="15151" spans="1:8">
      <c r="H15151" t="s">
        <v>22118</v>
      </c>
    </row>
    <row r="15152" spans="1:8">
      <c r="H15152" t="s">
        <v>22119</v>
      </c>
    </row>
    <row r="15153" spans="1:8">
      <c r="H15153" t="s">
        <v>22120</v>
      </c>
    </row>
    <row r="15154" spans="1:8">
      <c r="A15154" t="s">
        <v>558</v>
      </c>
      <c r="B15154">
        <f>HYPERLINK("https://android.googlesource.com/platform/cts/+/ffb1ee597d9fb627774c13e9b5c9c049d201aefd", "ffb1ee597d9fb627774c13e9b5c9c049d201aefd")</f>
        <v>0</v>
      </c>
      <c r="C15154">
        <f>HYPERLINK("https://android.googlesource.com/platform/cts/+/6e0ef8958e5d1ed0b880e8ec8004bcd40fc456dc", "6e0ef8958e5d1ed0b880e8ec8004bcd40fc456dc")</f>
        <v>0</v>
      </c>
      <c r="D15154" t="s">
        <v>5010</v>
      </c>
      <c r="E15154" t="s">
        <v>6342</v>
      </c>
      <c r="F15154" t="s">
        <v>12328</v>
      </c>
      <c r="G15154" t="s">
        <v>16458</v>
      </c>
      <c r="H15154" t="s">
        <v>22121</v>
      </c>
    </row>
    <row r="15155" spans="1:8">
      <c r="H15155" t="s">
        <v>22122</v>
      </c>
    </row>
    <row r="15156" spans="1:8">
      <c r="H15156" t="s">
        <v>22123</v>
      </c>
    </row>
    <row r="15157" spans="1:8">
      <c r="H15157" t="s">
        <v>22124</v>
      </c>
    </row>
    <row r="15158" spans="1:8">
      <c r="H15158" t="s">
        <v>22125</v>
      </c>
    </row>
    <row r="15159" spans="1:8">
      <c r="H15159" t="s">
        <v>22126</v>
      </c>
    </row>
    <row r="15160" spans="1:8">
      <c r="H15160" t="s">
        <v>22127</v>
      </c>
    </row>
    <row r="15161" spans="1:8">
      <c r="H15161" t="s">
        <v>22128</v>
      </c>
    </row>
    <row r="15162" spans="1:8">
      <c r="H15162" t="s">
        <v>22129</v>
      </c>
    </row>
    <row r="15163" spans="1:8">
      <c r="A15163" t="s">
        <v>559</v>
      </c>
      <c r="B15163">
        <f>HYPERLINK("https://android.googlesource.com/platform/cts/+/9de0160cc34cad014ad2b26f849c042b911e4680", "9de0160cc34cad014ad2b26f849c042b911e4680")</f>
        <v>0</v>
      </c>
      <c r="C15163">
        <f>HYPERLINK("https://android.googlesource.com/platform/cts/+/1ad2dfcc524463008a27bfc53f60a41a64620e27", "1ad2dfcc524463008a27bfc53f60a41a64620e27")</f>
        <v>0</v>
      </c>
      <c r="D15163" t="s">
        <v>5018</v>
      </c>
      <c r="E15163" t="s">
        <v>6343</v>
      </c>
      <c r="F15163" t="s">
        <v>12330</v>
      </c>
      <c r="G15163" t="s">
        <v>16558</v>
      </c>
      <c r="H15163" t="s">
        <v>22130</v>
      </c>
    </row>
    <row r="15164" spans="1:8">
      <c r="A15164" t="s">
        <v>560</v>
      </c>
      <c r="B15164">
        <f>HYPERLINK("https://android.googlesource.com/platform/cts/+/c7924612d5d22d4ed7169ca2897fcbc275918dea", "c7924612d5d22d4ed7169ca2897fcbc275918dea")</f>
        <v>0</v>
      </c>
      <c r="C15164">
        <f>HYPERLINK("https://android.googlesource.com/platform/cts/+/097fd5cc6743096bde7486c1f13d405c8aecdec0", "097fd5cc6743096bde7486c1f13d405c8aecdec0")</f>
        <v>0</v>
      </c>
      <c r="D15164" t="s">
        <v>5029</v>
      </c>
      <c r="E15164" t="s">
        <v>6344</v>
      </c>
      <c r="F15164" t="s">
        <v>12331</v>
      </c>
      <c r="G15164" t="s">
        <v>16559</v>
      </c>
      <c r="H15164" t="s">
        <v>22131</v>
      </c>
    </row>
    <row r="15165" spans="1:8">
      <c r="A15165" t="s">
        <v>561</v>
      </c>
      <c r="B15165">
        <f>HYPERLINK("https://android.googlesource.com/platform/cts/+/94399746c7dfbd36c947b3c3b47de8e2a0a97c63", "94399746c7dfbd36c947b3c3b47de8e2a0a97c63")</f>
        <v>0</v>
      </c>
      <c r="C15165">
        <f>HYPERLINK("https://android.googlesource.com/platform/cts/+/68809163646c6c437235723651915ba9056a1cfa", "68809163646c6c437235723651915ba9056a1cfa")</f>
        <v>0</v>
      </c>
      <c r="D15165" t="s">
        <v>5010</v>
      </c>
      <c r="E15165" t="s">
        <v>6345</v>
      </c>
      <c r="F15165" t="s">
        <v>12225</v>
      </c>
      <c r="G15165" t="s">
        <v>16455</v>
      </c>
      <c r="H15165" t="s">
        <v>22005</v>
      </c>
    </row>
    <row r="15166" spans="1:8">
      <c r="A15166" t="s">
        <v>562</v>
      </c>
      <c r="B15166">
        <f>HYPERLINK("https://android.googlesource.com/platform/cts/+/24bcfcded83c94beb7f5c5dc7cf9df3c233aa8f3", "24bcfcded83c94beb7f5c5dc7cf9df3c233aa8f3")</f>
        <v>0</v>
      </c>
      <c r="C15166">
        <f>HYPERLINK("https://android.googlesource.com/platform/cts/+/94399746c7dfbd36c947b3c3b47de8e2a0a97c63", "94399746c7dfbd36c947b3c3b47de8e2a0a97c63")</f>
        <v>0</v>
      </c>
      <c r="D15166" t="s">
        <v>5004</v>
      </c>
      <c r="E15166" t="s">
        <v>6346</v>
      </c>
      <c r="F15166" t="s">
        <v>12328</v>
      </c>
      <c r="G15166" t="s">
        <v>16458</v>
      </c>
      <c r="H15166" t="s">
        <v>22132</v>
      </c>
    </row>
    <row r="15167" spans="1:8">
      <c r="A15167" t="s">
        <v>563</v>
      </c>
      <c r="B15167">
        <f>HYPERLINK("https://android.googlesource.com/platform/cts/+/f18f2a212328ee84a1fe80767421888009a1f690", "f18f2a212328ee84a1fe80767421888009a1f690")</f>
        <v>0</v>
      </c>
      <c r="C15167">
        <f>HYPERLINK("https://android.googlesource.com/platform/cts/+/94399746c7dfbd36c947b3c3b47de8e2a0a97c63", "94399746c7dfbd36c947b3c3b47de8e2a0a97c63")</f>
        <v>0</v>
      </c>
      <c r="D15167" t="s">
        <v>5026</v>
      </c>
      <c r="E15167" t="s">
        <v>6347</v>
      </c>
      <c r="F15167" t="s">
        <v>12327</v>
      </c>
      <c r="G15167" t="s">
        <v>16557</v>
      </c>
      <c r="H15167" t="s">
        <v>18829</v>
      </c>
    </row>
    <row r="15168" spans="1:8">
      <c r="H15168" t="s">
        <v>22133</v>
      </c>
    </row>
    <row r="15169" spans="1:8">
      <c r="H15169" t="s">
        <v>22134</v>
      </c>
    </row>
    <row r="15170" spans="1:8">
      <c r="H15170" t="s">
        <v>22135</v>
      </c>
    </row>
    <row r="15171" spans="1:8">
      <c r="H15171" t="s">
        <v>22136</v>
      </c>
    </row>
    <row r="15172" spans="1:8">
      <c r="A15172" t="s">
        <v>564</v>
      </c>
      <c r="B15172">
        <f>HYPERLINK("https://android.googlesource.com/platform/cts/+/8c2da24389c4b868e8a91c052f85eca8f4dc4846", "8c2da24389c4b868e8a91c052f85eca8f4dc4846")</f>
        <v>0</v>
      </c>
      <c r="C15172">
        <f>HYPERLINK("https://android.googlesource.com/platform/cts/+/11741abf5c67ef97ec1a0457a690ed41ed7d0660", "11741abf5c67ef97ec1a0457a690ed41ed7d0660")</f>
        <v>0</v>
      </c>
      <c r="D15172" t="s">
        <v>4974</v>
      </c>
      <c r="E15172" t="s">
        <v>6348</v>
      </c>
      <c r="F15172" t="s">
        <v>12332</v>
      </c>
      <c r="G15172" t="s">
        <v>16560</v>
      </c>
      <c r="H15172" t="s">
        <v>22137</v>
      </c>
    </row>
    <row r="15173" spans="1:8">
      <c r="H15173" t="s">
        <v>22137</v>
      </c>
    </row>
    <row r="15174" spans="1:8">
      <c r="A15174" t="s">
        <v>565</v>
      </c>
      <c r="B15174">
        <f>HYPERLINK("https://android.googlesource.com/platform/cts/+/015ab0eb5461df156de94f61b28b58b45babace5", "015ab0eb5461df156de94f61b28b58b45babace5")</f>
        <v>0</v>
      </c>
      <c r="C15174">
        <f>HYPERLINK("https://android.googlesource.com/platform/cts/+/6e0bac587e3fd3b432ddc350dd0824b0d2da5013", "6e0bac587e3fd3b432ddc350dd0824b0d2da5013")</f>
        <v>0</v>
      </c>
      <c r="D15174" t="s">
        <v>5030</v>
      </c>
      <c r="E15174" t="s">
        <v>6349</v>
      </c>
      <c r="F15174" t="s">
        <v>12314</v>
      </c>
      <c r="G15174" t="s">
        <v>16546</v>
      </c>
      <c r="H15174" t="s">
        <v>22138</v>
      </c>
    </row>
    <row r="15175" spans="1:8">
      <c r="A15175" t="s">
        <v>566</v>
      </c>
      <c r="B15175">
        <f>HYPERLINK("https://android.googlesource.com/platform/cts/+/613d350d86ab99f42c4188cd423c9e23062f7484", "613d350d86ab99f42c4188cd423c9e23062f7484")</f>
        <v>0</v>
      </c>
      <c r="C15175">
        <f>HYPERLINK("https://android.googlesource.com/platform/cts/+/bead3a8ca7ab0c006ec3e47d89e6303eba01fe24", "bead3a8ca7ab0c006ec3e47d89e6303eba01fe24")</f>
        <v>0</v>
      </c>
      <c r="D15175" t="s">
        <v>4949</v>
      </c>
      <c r="E15175" t="s">
        <v>6350</v>
      </c>
      <c r="F15175" t="s">
        <v>12333</v>
      </c>
      <c r="G15175" t="s">
        <v>16561</v>
      </c>
      <c r="H15175" t="s">
        <v>22139</v>
      </c>
    </row>
    <row r="15176" spans="1:8">
      <c r="A15176" t="s">
        <v>567</v>
      </c>
      <c r="B15176">
        <f>HYPERLINK("https://android.googlesource.com/platform/cts/+/1cd3c6b2cd63b73a0a87a7cfb68fcadc577296fb", "1cd3c6b2cd63b73a0a87a7cfb68fcadc577296fb")</f>
        <v>0</v>
      </c>
      <c r="C15176">
        <f>HYPERLINK("https://android.googlesource.com/platform/cts/+/3da48980e4e30adb191235510def7b69b50b3b31", "3da48980e4e30adb191235510def7b69b50b3b31")</f>
        <v>0</v>
      </c>
      <c r="D15176" t="s">
        <v>4978</v>
      </c>
      <c r="E15176" t="s">
        <v>6351</v>
      </c>
      <c r="F15176" t="s">
        <v>12323</v>
      </c>
      <c r="G15176" t="s">
        <v>16553</v>
      </c>
      <c r="H15176" t="s">
        <v>22140</v>
      </c>
    </row>
    <row r="15177" spans="1:8">
      <c r="A15177" t="s">
        <v>567</v>
      </c>
      <c r="B15177">
        <f>HYPERLINK("https://android.googlesource.com/platform/cts/+/a6e6d53b82e90de1ff7a5f0849c52f65702816f3", "a6e6d53b82e90de1ff7a5f0849c52f65702816f3")</f>
        <v>0</v>
      </c>
      <c r="C15177">
        <f>HYPERLINK("https://android.googlesource.com/platform/cts/+/1cd3c6b2cd63b73a0a87a7cfb68fcadc577296fb", "1cd3c6b2cd63b73a0a87a7cfb68fcadc577296fb")</f>
        <v>0</v>
      </c>
      <c r="D15177" t="s">
        <v>4978</v>
      </c>
      <c r="E15177" t="s">
        <v>6352</v>
      </c>
      <c r="F15177" t="s">
        <v>12328</v>
      </c>
      <c r="G15177" t="s">
        <v>16458</v>
      </c>
      <c r="H15177" t="s">
        <v>22141</v>
      </c>
    </row>
    <row r="15178" spans="1:8">
      <c r="H15178" t="s">
        <v>22142</v>
      </c>
    </row>
    <row r="15179" spans="1:8">
      <c r="A15179" t="s">
        <v>568</v>
      </c>
      <c r="B15179">
        <f>HYPERLINK("https://android.googlesource.com/platform/cts/+/a47c85a90f67b953ff4fffb408d17ce47b6440a1", "a47c85a90f67b953ff4fffb408d17ce47b6440a1")</f>
        <v>0</v>
      </c>
      <c r="C15179">
        <f>HYPERLINK("https://android.googlesource.com/platform/cts/+/bb24757ddf2be5d5858e2e24382b7342119d9a85", "bb24757ddf2be5d5858e2e24382b7342119d9a85")</f>
        <v>0</v>
      </c>
      <c r="D15179" t="s">
        <v>4978</v>
      </c>
      <c r="E15179" t="s">
        <v>6353</v>
      </c>
      <c r="F15179" t="s">
        <v>12328</v>
      </c>
      <c r="G15179" t="s">
        <v>16458</v>
      </c>
      <c r="H15179" t="s">
        <v>22143</v>
      </c>
    </row>
    <row r="15180" spans="1:8">
      <c r="A15180" t="s">
        <v>569</v>
      </c>
      <c r="B15180">
        <f>HYPERLINK("https://android.googlesource.com/platform/cts/+/b3a6e408ed0196b0a825be2232742d88fcb8516b", "b3a6e408ed0196b0a825be2232742d88fcb8516b")</f>
        <v>0</v>
      </c>
      <c r="C15180">
        <f>HYPERLINK("https://android.googlesource.com/platform/cts/+/51c4608bd5dcb4662b5993d3609f895e4722ec55", "51c4608bd5dcb4662b5993d3609f895e4722ec55")</f>
        <v>0</v>
      </c>
      <c r="D15180" t="s">
        <v>5031</v>
      </c>
      <c r="E15180" t="s">
        <v>6354</v>
      </c>
      <c r="F15180" t="s">
        <v>11191</v>
      </c>
      <c r="G15180" t="s">
        <v>15580</v>
      </c>
      <c r="H15180" t="s">
        <v>22144</v>
      </c>
    </row>
    <row r="15181" spans="1:8">
      <c r="A15181" t="s">
        <v>570</v>
      </c>
      <c r="B15181">
        <f>HYPERLINK("https://android.googlesource.com/platform/cts/+/2e4413781d63eed21a6b7294a1aa1f2ab0d10336", "2e4413781d63eed21a6b7294a1aa1f2ab0d10336")</f>
        <v>0</v>
      </c>
      <c r="C15181">
        <f>HYPERLINK("https://android.googlesource.com/platform/cts/+/a8d8d6ede7725437ee09008ac5605e464159e231", "a8d8d6ede7725437ee09008ac5605e464159e231")</f>
        <v>0</v>
      </c>
      <c r="D15181" t="s">
        <v>5030</v>
      </c>
      <c r="E15181" t="s">
        <v>6355</v>
      </c>
      <c r="F15181" t="s">
        <v>12314</v>
      </c>
      <c r="G15181" t="s">
        <v>16546</v>
      </c>
      <c r="H15181" t="s">
        <v>22138</v>
      </c>
    </row>
    <row r="15182" spans="1:8">
      <c r="A15182" t="s">
        <v>571</v>
      </c>
      <c r="B15182">
        <f>HYPERLINK("https://android.googlesource.com/platform/cts/+/6e3dd2818f782221f2953d0aca445735c8dfdc6e", "6e3dd2818f782221f2953d0aca445735c8dfdc6e")</f>
        <v>0</v>
      </c>
      <c r="C15182">
        <f>HYPERLINK("https://android.googlesource.com/platform/cts/+/92b5677aa6248e59c327779a9585e724cb65e52a", "92b5677aa6248e59c327779a9585e724cb65e52a")</f>
        <v>0</v>
      </c>
      <c r="D15182" t="s">
        <v>5028</v>
      </c>
      <c r="E15182" t="s">
        <v>6356</v>
      </c>
      <c r="F15182" t="s">
        <v>12334</v>
      </c>
      <c r="G15182" t="s">
        <v>16562</v>
      </c>
      <c r="H15182" t="s">
        <v>22145</v>
      </c>
    </row>
    <row r="15183" spans="1:8">
      <c r="H15183" t="s">
        <v>22146</v>
      </c>
    </row>
    <row r="15184" spans="1:8">
      <c r="A15184" t="s">
        <v>572</v>
      </c>
      <c r="B15184">
        <f>HYPERLINK("https://android.googlesource.com/platform/cts/+/eb623d08ac67f6ebbc5aa2ece78eff874ea929f6", "eb623d08ac67f6ebbc5aa2ece78eff874ea929f6")</f>
        <v>0</v>
      </c>
      <c r="C15184">
        <f>HYPERLINK("https://android.googlesource.com/platform/cts/+/92b5677aa6248e59c327779a9585e724cb65e52a", "92b5677aa6248e59c327779a9585e724cb65e52a")</f>
        <v>0</v>
      </c>
      <c r="D15184" t="s">
        <v>4974</v>
      </c>
      <c r="E15184" t="s">
        <v>6357</v>
      </c>
      <c r="F15184" t="s">
        <v>12332</v>
      </c>
      <c r="G15184" t="s">
        <v>16560</v>
      </c>
      <c r="H15184" t="s">
        <v>22137</v>
      </c>
    </row>
    <row r="15185" spans="1:8">
      <c r="H15185" t="s">
        <v>22137</v>
      </c>
    </row>
    <row r="15186" spans="1:8">
      <c r="A15186" t="s">
        <v>573</v>
      </c>
      <c r="B15186">
        <f>HYPERLINK("https://android.googlesource.com/platform/cts/+/887b66fa88701f8b5aac65efc1d24aed3610a53a", "887b66fa88701f8b5aac65efc1d24aed3610a53a")</f>
        <v>0</v>
      </c>
      <c r="C15186">
        <f>HYPERLINK("https://android.googlesource.com/platform/cts/+/8d829f61cd17f1f0f8c022e2a71447b366189df9", "8d829f61cd17f1f0f8c022e2a71447b366189df9")</f>
        <v>0</v>
      </c>
      <c r="D15186" t="s">
        <v>5004</v>
      </c>
      <c r="E15186" t="s">
        <v>6358</v>
      </c>
      <c r="F15186" t="s">
        <v>12328</v>
      </c>
      <c r="G15186" t="s">
        <v>16458</v>
      </c>
      <c r="H15186" t="s">
        <v>22147</v>
      </c>
    </row>
    <row r="15187" spans="1:8">
      <c r="A15187" t="s">
        <v>574</v>
      </c>
      <c r="B15187">
        <f>HYPERLINK("https://android.googlesource.com/platform/cts/+/557301d95077750c30e308dc8c631eb314c711a0", "557301d95077750c30e308dc8c631eb314c711a0")</f>
        <v>0</v>
      </c>
      <c r="C15187">
        <f>HYPERLINK("https://android.googlesource.com/platform/cts/+/3b8578e49b159a0bb665afe7e2fa469159e38332", "3b8578e49b159a0bb665afe7e2fa469159e38332")</f>
        <v>0</v>
      </c>
      <c r="D15187" t="s">
        <v>4949</v>
      </c>
      <c r="E15187" t="s">
        <v>6359</v>
      </c>
      <c r="F15187" t="s">
        <v>12246</v>
      </c>
      <c r="G15187" t="s">
        <v>16477</v>
      </c>
      <c r="H15187" t="s">
        <v>21503</v>
      </c>
    </row>
    <row r="15188" spans="1:8">
      <c r="A15188" t="s">
        <v>575</v>
      </c>
      <c r="B15188">
        <f>HYPERLINK("https://android.googlesource.com/platform/cts/+/82ac6a26fb2bca781f40e02802ff8ed2a4460f1c", "82ac6a26fb2bca781f40e02802ff8ed2a4460f1c")</f>
        <v>0</v>
      </c>
      <c r="C15188">
        <f>HYPERLINK("https://android.googlesource.com/platform/cts/+/837ca9e66a79f5f5039d5fd45e02476a218ecb1e", "837ca9e66a79f5f5039d5fd45e02476a218ecb1e")</f>
        <v>0</v>
      </c>
      <c r="D15188" t="s">
        <v>5032</v>
      </c>
      <c r="E15188" t="s">
        <v>6360</v>
      </c>
      <c r="F15188" t="s">
        <v>10689</v>
      </c>
      <c r="G15188" t="s">
        <v>15089</v>
      </c>
      <c r="H15188" t="s">
        <v>22148</v>
      </c>
    </row>
    <row r="15189" spans="1:8">
      <c r="H15189" t="s">
        <v>22149</v>
      </c>
    </row>
    <row r="15190" spans="1:8">
      <c r="A15190" t="s">
        <v>576</v>
      </c>
      <c r="B15190">
        <f>HYPERLINK("https://android.googlesource.com/platform/cts/+/8fdacbecb39e320e56998d9d5513f831c852cfe1", "8fdacbecb39e320e56998d9d5513f831c852cfe1")</f>
        <v>0</v>
      </c>
      <c r="C15190">
        <f>HYPERLINK("https://android.googlesource.com/platform/cts/+/83c2b5de324e06b5206f8ebff39273ab0a20fc48", "83c2b5de324e06b5206f8ebff39273ab0a20fc48")</f>
        <v>0</v>
      </c>
      <c r="D15190" t="s">
        <v>5010</v>
      </c>
      <c r="E15190" t="s">
        <v>6361</v>
      </c>
      <c r="F15190" t="s">
        <v>12225</v>
      </c>
      <c r="G15190" t="s">
        <v>16455</v>
      </c>
      <c r="H15190" t="s">
        <v>22150</v>
      </c>
    </row>
    <row r="15191" spans="1:8">
      <c r="A15191" t="s">
        <v>577</v>
      </c>
      <c r="B15191">
        <f>HYPERLINK("https://android.googlesource.com/platform/cts/+/b3da24d0a95d74b18f7dea88d2aa11c493044bd4", "b3da24d0a95d74b18f7dea88d2aa11c493044bd4")</f>
        <v>0</v>
      </c>
      <c r="C15191">
        <f>HYPERLINK("https://android.googlesource.com/platform/cts/+/8386822c69457adddca52bc9b7146dde368fec9d", "8386822c69457adddca52bc9b7146dde368fec9d")</f>
        <v>0</v>
      </c>
      <c r="D15191" t="s">
        <v>4967</v>
      </c>
      <c r="E15191" t="s">
        <v>6362</v>
      </c>
      <c r="F15191" t="s">
        <v>12335</v>
      </c>
      <c r="G15191" t="s">
        <v>16563</v>
      </c>
      <c r="H15191" t="s">
        <v>22151</v>
      </c>
    </row>
    <row r="15192" spans="1:8">
      <c r="F15192" t="s">
        <v>12336</v>
      </c>
      <c r="G15192" t="s">
        <v>16564</v>
      </c>
      <c r="H15192" t="s">
        <v>22151</v>
      </c>
    </row>
    <row r="15193" spans="1:8">
      <c r="F15193" t="s">
        <v>10780</v>
      </c>
      <c r="G15193" t="s">
        <v>15176</v>
      </c>
      <c r="H15193" t="s">
        <v>22151</v>
      </c>
    </row>
    <row r="15194" spans="1:8">
      <c r="H15194" t="s">
        <v>22152</v>
      </c>
    </row>
    <row r="15195" spans="1:8">
      <c r="H15195" t="s">
        <v>22153</v>
      </c>
    </row>
    <row r="15196" spans="1:8">
      <c r="H15196" t="s">
        <v>22154</v>
      </c>
    </row>
    <row r="15197" spans="1:8">
      <c r="F15197" t="s">
        <v>12316</v>
      </c>
      <c r="G15197" t="s">
        <v>16548</v>
      </c>
      <c r="H15197" t="s">
        <v>22151</v>
      </c>
    </row>
    <row r="15198" spans="1:8">
      <c r="F15198" t="s">
        <v>10646</v>
      </c>
      <c r="G15198" t="s">
        <v>15047</v>
      </c>
      <c r="H15198" t="s">
        <v>22151</v>
      </c>
    </row>
    <row r="15199" spans="1:8">
      <c r="A15199" t="s">
        <v>578</v>
      </c>
      <c r="B15199">
        <f>HYPERLINK("https://android.googlesource.com/platform/cts/+/e32c8ecba4fb2c7ec0ab8112cd8977e2f876cf98", "e32c8ecba4fb2c7ec0ab8112cd8977e2f876cf98")</f>
        <v>0</v>
      </c>
      <c r="C15199">
        <f>HYPERLINK("https://android.googlesource.com/platform/cts/+/8688ecffd952e610f1ed4ad4228d66fffdd6cb4b", "8688ecffd952e610f1ed4ad4228d66fffdd6cb4b")</f>
        <v>0</v>
      </c>
      <c r="D15199" t="s">
        <v>5033</v>
      </c>
      <c r="E15199" t="s">
        <v>6363</v>
      </c>
      <c r="F15199" t="s">
        <v>12337</v>
      </c>
      <c r="G15199" t="s">
        <v>16565</v>
      </c>
      <c r="H15199" t="s">
        <v>22155</v>
      </c>
    </row>
    <row r="15200" spans="1:8">
      <c r="H15200" t="s">
        <v>22156</v>
      </c>
    </row>
    <row r="15201" spans="8:8">
      <c r="H15201" t="s">
        <v>22157</v>
      </c>
    </row>
    <row r="15202" spans="8:8">
      <c r="H15202" t="s">
        <v>22158</v>
      </c>
    </row>
    <row r="15203" spans="8:8">
      <c r="H15203" t="s">
        <v>22159</v>
      </c>
    </row>
    <row r="15204" spans="8:8">
      <c r="H15204" t="s">
        <v>22160</v>
      </c>
    </row>
    <row r="15205" spans="8:8">
      <c r="H15205" t="s">
        <v>22161</v>
      </c>
    </row>
    <row r="15206" spans="8:8">
      <c r="H15206" t="s">
        <v>22162</v>
      </c>
    </row>
    <row r="15207" spans="8:8">
      <c r="H15207" t="s">
        <v>22163</v>
      </c>
    </row>
    <row r="15208" spans="8:8">
      <c r="H15208" t="s">
        <v>22164</v>
      </c>
    </row>
    <row r="15209" spans="8:8">
      <c r="H15209" t="s">
        <v>22165</v>
      </c>
    </row>
    <row r="15210" spans="8:8">
      <c r="H15210" t="s">
        <v>22166</v>
      </c>
    </row>
    <row r="15211" spans="8:8">
      <c r="H15211" t="s">
        <v>22167</v>
      </c>
    </row>
    <row r="15212" spans="8:8">
      <c r="H15212" t="s">
        <v>22168</v>
      </c>
    </row>
    <row r="15213" spans="8:8">
      <c r="H15213" t="s">
        <v>22169</v>
      </c>
    </row>
    <row r="15214" spans="8:8">
      <c r="H15214" t="s">
        <v>22170</v>
      </c>
    </row>
    <row r="15215" spans="8:8">
      <c r="H15215" t="s">
        <v>22171</v>
      </c>
    </row>
    <row r="15216" spans="8:8">
      <c r="H15216" t="s">
        <v>22172</v>
      </c>
    </row>
    <row r="15217" spans="1:8">
      <c r="H15217" t="s">
        <v>22173</v>
      </c>
    </row>
    <row r="15218" spans="1:8">
      <c r="H15218" t="s">
        <v>22174</v>
      </c>
    </row>
    <row r="15219" spans="1:8">
      <c r="H15219" t="s">
        <v>22175</v>
      </c>
    </row>
    <row r="15220" spans="1:8">
      <c r="H15220" t="s">
        <v>22176</v>
      </c>
    </row>
    <row r="15221" spans="1:8">
      <c r="H15221" t="s">
        <v>22177</v>
      </c>
    </row>
    <row r="15222" spans="1:8">
      <c r="H15222" t="s">
        <v>22178</v>
      </c>
    </row>
    <row r="15223" spans="1:8">
      <c r="H15223" t="s">
        <v>22179</v>
      </c>
    </row>
    <row r="15224" spans="1:8">
      <c r="H15224" t="s">
        <v>20090</v>
      </c>
    </row>
    <row r="15225" spans="1:8">
      <c r="A15225" t="s">
        <v>579</v>
      </c>
      <c r="B15225">
        <f>HYPERLINK("https://android.googlesource.com/platform/cts/+/d8882878b5a28f9730a2a810812585645da5e983", "d8882878b5a28f9730a2a810812585645da5e983")</f>
        <v>0</v>
      </c>
      <c r="C15225">
        <f>HYPERLINK("https://android.googlesource.com/platform/cts/+/f9b62aaa3c171a5f6b0b3f6cbf9273c31a011fe4", "f9b62aaa3c171a5f6b0b3f6cbf9273c31a011fe4")</f>
        <v>0</v>
      </c>
      <c r="D15225" t="s">
        <v>4997</v>
      </c>
      <c r="E15225" t="s">
        <v>6364</v>
      </c>
      <c r="F15225" t="s">
        <v>12338</v>
      </c>
      <c r="G15225" t="s">
        <v>16566</v>
      </c>
      <c r="H15225" t="s">
        <v>22180</v>
      </c>
    </row>
    <row r="15226" spans="1:8">
      <c r="A15226" t="s">
        <v>580</v>
      </c>
      <c r="B15226">
        <f>HYPERLINK("https://android.googlesource.com/platform/cts/+/2a40eb9f66e54a22be7c0d045f04cc24db029e2a", "2a40eb9f66e54a22be7c0d045f04cc24db029e2a")</f>
        <v>0</v>
      </c>
      <c r="C15226">
        <f>HYPERLINK("https://android.googlesource.com/platform/cts/+/0eb98efc9081fec29cc91a5d137b9cec69072891", "0eb98efc9081fec29cc91a5d137b9cec69072891")</f>
        <v>0</v>
      </c>
      <c r="D15226" t="s">
        <v>5031</v>
      </c>
      <c r="E15226" t="s">
        <v>6365</v>
      </c>
      <c r="F15226" t="s">
        <v>12339</v>
      </c>
      <c r="G15226" t="s">
        <v>16567</v>
      </c>
      <c r="H15226" t="s">
        <v>22181</v>
      </c>
    </row>
    <row r="15227" spans="1:8">
      <c r="H15227" t="s">
        <v>22182</v>
      </c>
    </row>
    <row r="15228" spans="1:8">
      <c r="A15228" t="s">
        <v>581</v>
      </c>
      <c r="B15228">
        <f>HYPERLINK("https://android.googlesource.com/platform/cts/+/6b6a5feab14ec08b7faecfcdbeb9d47689496dda", "6b6a5feab14ec08b7faecfcdbeb9d47689496dda")</f>
        <v>0</v>
      </c>
      <c r="C15228">
        <f>HYPERLINK("https://android.googlesource.com/platform/cts/+/2b83b8dbb354eb0ced02f257898ecfc40619b1ca", "2b83b8dbb354eb0ced02f257898ecfc40619b1ca")</f>
        <v>0</v>
      </c>
      <c r="D15228" t="s">
        <v>5011</v>
      </c>
      <c r="E15228" t="s">
        <v>6366</v>
      </c>
      <c r="F15228" t="s">
        <v>12340</v>
      </c>
      <c r="G15228" t="s">
        <v>16568</v>
      </c>
      <c r="H15228" t="s">
        <v>22183</v>
      </c>
    </row>
    <row r="15229" spans="1:8">
      <c r="H15229" t="s">
        <v>22184</v>
      </c>
    </row>
    <row r="15230" spans="1:8">
      <c r="H15230" t="s">
        <v>22185</v>
      </c>
    </row>
    <row r="15231" spans="1:8">
      <c r="A15231" t="s">
        <v>582</v>
      </c>
      <c r="B15231">
        <f>HYPERLINK("https://android.googlesource.com/platform/cts/+/86905510ade6dfca1851c521103b529cf8aaff49", "86905510ade6dfca1851c521103b529cf8aaff49")</f>
        <v>0</v>
      </c>
      <c r="C15231">
        <f>HYPERLINK("https://android.googlesource.com/platform/cts/+/8d71331cf099f6ebfbe75bb8afdd232ed59a3002", "8d71331cf099f6ebfbe75bb8afdd232ed59a3002")</f>
        <v>0</v>
      </c>
      <c r="D15231" t="s">
        <v>5034</v>
      </c>
      <c r="E15231" t="s">
        <v>6367</v>
      </c>
      <c r="F15231" t="s">
        <v>12320</v>
      </c>
      <c r="G15231" t="s">
        <v>16550</v>
      </c>
      <c r="H15231" t="s">
        <v>22186</v>
      </c>
    </row>
    <row r="15232" spans="1:8">
      <c r="H15232" t="s">
        <v>22187</v>
      </c>
    </row>
    <row r="15233" spans="1:8">
      <c r="H15233" t="s">
        <v>22188</v>
      </c>
    </row>
    <row r="15234" spans="1:8">
      <c r="H15234" t="s">
        <v>22189</v>
      </c>
    </row>
    <row r="15235" spans="1:8">
      <c r="A15235" t="s">
        <v>583</v>
      </c>
      <c r="B15235">
        <f>HYPERLINK("https://android.googlesource.com/platform/cts/+/f2330d512c58e082c25c059fab340100bb6f8927", "f2330d512c58e082c25c059fab340100bb6f8927")</f>
        <v>0</v>
      </c>
      <c r="C15235">
        <f>HYPERLINK("https://android.googlesource.com/platform/cts/+/3de10fb26a45282983bda305e619cdcf85e73573", "3de10fb26a45282983bda305e619cdcf85e73573")</f>
        <v>0</v>
      </c>
      <c r="D15235" t="s">
        <v>5035</v>
      </c>
      <c r="E15235" t="s">
        <v>6368</v>
      </c>
      <c r="F15235" t="s">
        <v>12341</v>
      </c>
      <c r="G15235" t="s">
        <v>16569</v>
      </c>
      <c r="H15235" t="s">
        <v>22190</v>
      </c>
    </row>
    <row r="15236" spans="1:8">
      <c r="A15236" t="s">
        <v>584</v>
      </c>
      <c r="B15236">
        <f>HYPERLINK("https://android.googlesource.com/platform/cts/+/9530de4762034f40d9e6b23e506da38590c3559d", "9530de4762034f40d9e6b23e506da38590c3559d")</f>
        <v>0</v>
      </c>
      <c r="C15236">
        <f>HYPERLINK("https://android.googlesource.com/platform/cts/+/3a42b2c7400880a5e403b31ce05584c95fa95482", "3a42b2c7400880a5e403b31ce05584c95fa95482")</f>
        <v>0</v>
      </c>
      <c r="D15236" t="s">
        <v>5029</v>
      </c>
      <c r="E15236" t="s">
        <v>6369</v>
      </c>
      <c r="F15236" t="s">
        <v>10794</v>
      </c>
      <c r="G15236" t="s">
        <v>15189</v>
      </c>
      <c r="H15236" t="s">
        <v>22191</v>
      </c>
    </row>
    <row r="15237" spans="1:8">
      <c r="A15237" t="s">
        <v>585</v>
      </c>
      <c r="B15237">
        <f>HYPERLINK("https://android.googlesource.com/platform/cts/+/47678d04325a8777c175b446a1e0c1a284bfe0fc", "47678d04325a8777c175b446a1e0c1a284bfe0fc")</f>
        <v>0</v>
      </c>
      <c r="C15237">
        <f>HYPERLINK("https://android.googlesource.com/platform/cts/+/3a42b2c7400880a5e403b31ce05584c95fa95482", "3a42b2c7400880a5e403b31ce05584c95fa95482")</f>
        <v>0</v>
      </c>
      <c r="D15237" t="s">
        <v>4991</v>
      </c>
      <c r="E15237" t="s">
        <v>6370</v>
      </c>
      <c r="F15237" t="s">
        <v>10687</v>
      </c>
      <c r="G15237" t="s">
        <v>15087</v>
      </c>
      <c r="H15237" t="s">
        <v>22192</v>
      </c>
    </row>
    <row r="15238" spans="1:8">
      <c r="H15238" t="s">
        <v>22193</v>
      </c>
    </row>
    <row r="15239" spans="1:8">
      <c r="H15239" t="s">
        <v>22194</v>
      </c>
    </row>
    <row r="15240" spans="1:8">
      <c r="H15240" t="s">
        <v>22195</v>
      </c>
    </row>
    <row r="15241" spans="1:8">
      <c r="H15241" t="s">
        <v>22196</v>
      </c>
    </row>
    <row r="15242" spans="1:8">
      <c r="H15242" t="s">
        <v>22197</v>
      </c>
    </row>
    <row r="15243" spans="1:8">
      <c r="H15243" t="s">
        <v>22198</v>
      </c>
    </row>
    <row r="15244" spans="1:8">
      <c r="H15244" t="s">
        <v>22199</v>
      </c>
    </row>
    <row r="15245" spans="1:8">
      <c r="H15245" t="s">
        <v>22200</v>
      </c>
    </row>
    <row r="15246" spans="1:8">
      <c r="H15246" t="s">
        <v>22201</v>
      </c>
    </row>
    <row r="15247" spans="1:8">
      <c r="H15247" t="s">
        <v>22202</v>
      </c>
    </row>
    <row r="15248" spans="1:8">
      <c r="H15248" t="s">
        <v>22203</v>
      </c>
    </row>
    <row r="15249" spans="8:8">
      <c r="H15249" t="s">
        <v>22204</v>
      </c>
    </row>
    <row r="15250" spans="8:8">
      <c r="H15250" t="s">
        <v>22205</v>
      </c>
    </row>
    <row r="15251" spans="8:8">
      <c r="H15251" t="s">
        <v>22206</v>
      </c>
    </row>
    <row r="15252" spans="8:8">
      <c r="H15252" t="s">
        <v>22207</v>
      </c>
    </row>
    <row r="15253" spans="8:8">
      <c r="H15253" t="s">
        <v>22208</v>
      </c>
    </row>
    <row r="15254" spans="8:8">
      <c r="H15254" t="s">
        <v>22209</v>
      </c>
    </row>
    <row r="15255" spans="8:8">
      <c r="H15255" t="s">
        <v>22210</v>
      </c>
    </row>
    <row r="15256" spans="8:8">
      <c r="H15256" t="s">
        <v>19488</v>
      </c>
    </row>
    <row r="15257" spans="8:8">
      <c r="H15257" t="s">
        <v>22211</v>
      </c>
    </row>
    <row r="15258" spans="8:8">
      <c r="H15258" t="s">
        <v>22212</v>
      </c>
    </row>
    <row r="15259" spans="8:8">
      <c r="H15259" t="s">
        <v>22213</v>
      </c>
    </row>
    <row r="15260" spans="8:8">
      <c r="H15260" t="s">
        <v>22214</v>
      </c>
    </row>
    <row r="15261" spans="8:8">
      <c r="H15261" t="s">
        <v>22215</v>
      </c>
    </row>
    <row r="15262" spans="8:8">
      <c r="H15262" t="s">
        <v>22216</v>
      </c>
    </row>
    <row r="15263" spans="8:8">
      <c r="H15263" t="s">
        <v>22217</v>
      </c>
    </row>
    <row r="15264" spans="8:8">
      <c r="H15264" t="s">
        <v>22218</v>
      </c>
    </row>
    <row r="15265" spans="1:8">
      <c r="H15265" t="s">
        <v>22219</v>
      </c>
    </row>
    <row r="15266" spans="1:8">
      <c r="H15266" t="s">
        <v>22220</v>
      </c>
    </row>
    <row r="15267" spans="1:8">
      <c r="A15267" t="s">
        <v>586</v>
      </c>
      <c r="B15267">
        <f>HYPERLINK("https://android.googlesource.com/platform/cts/+/62e961bdb11353f4ddec77525bb7a0cea7df3bb4", "62e961bdb11353f4ddec77525bb7a0cea7df3bb4")</f>
        <v>0</v>
      </c>
      <c r="C15267">
        <f>HYPERLINK("https://android.googlesource.com/platform/cts/+/16d4ceba244a857e1be11c849bb345fd06297c92", "16d4ceba244a857e1be11c849bb345fd06297c92")</f>
        <v>0</v>
      </c>
      <c r="D15267" t="s">
        <v>5031</v>
      </c>
      <c r="E15267" t="s">
        <v>6371</v>
      </c>
      <c r="F15267" t="s">
        <v>11191</v>
      </c>
      <c r="G15267" t="s">
        <v>15580</v>
      </c>
      <c r="H15267" t="s">
        <v>22221</v>
      </c>
    </row>
    <row r="15268" spans="1:8">
      <c r="A15268" t="s">
        <v>587</v>
      </c>
      <c r="B15268">
        <f>HYPERLINK("https://android.googlesource.com/platform/cts/+/a45e9bbb2e9a6948e879c49cf0a521a022ec8f31", "a45e9bbb2e9a6948e879c49cf0a521a022ec8f31")</f>
        <v>0</v>
      </c>
      <c r="C15268">
        <f>HYPERLINK("https://android.googlesource.com/platform/cts/+/9e1c67acefa2f0e180218be2753ea2a353acc82a", "9e1c67acefa2f0e180218be2753ea2a353acc82a")</f>
        <v>0</v>
      </c>
      <c r="D15268" t="s">
        <v>4952</v>
      </c>
      <c r="E15268" t="s">
        <v>6372</v>
      </c>
      <c r="F15268" t="s">
        <v>12342</v>
      </c>
      <c r="G15268" t="s">
        <v>16570</v>
      </c>
      <c r="H15268" t="s">
        <v>22222</v>
      </c>
    </row>
    <row r="15269" spans="1:8">
      <c r="A15269" t="s">
        <v>588</v>
      </c>
      <c r="B15269">
        <f>HYPERLINK("https://android.googlesource.com/platform/cts/+/770349344fe104f5e50a44d9a71132c4fbdb122c", "770349344fe104f5e50a44d9a71132c4fbdb122c")</f>
        <v>0</v>
      </c>
      <c r="C15269">
        <f>HYPERLINK("https://android.googlesource.com/platform/cts/+/6ebfad551600ec100a47a6a196a06448c1844047", "6ebfad551600ec100a47a6a196a06448c1844047")</f>
        <v>0</v>
      </c>
      <c r="D15269" t="s">
        <v>5036</v>
      </c>
      <c r="E15269" t="s">
        <v>6373</v>
      </c>
      <c r="F15269" t="s">
        <v>12334</v>
      </c>
      <c r="G15269" t="s">
        <v>16562</v>
      </c>
      <c r="H15269" t="s">
        <v>22223</v>
      </c>
    </row>
    <row r="15270" spans="1:8">
      <c r="A15270" t="s">
        <v>589</v>
      </c>
      <c r="B15270">
        <f>HYPERLINK("https://android.googlesource.com/platform/cts/+/2b87267a0020d3cfd76df6cbf0d7a7d7e336802f", "2b87267a0020d3cfd76df6cbf0d7a7d7e336802f")</f>
        <v>0</v>
      </c>
      <c r="C15270">
        <f>HYPERLINK("https://android.googlesource.com/platform/cts/+/0543641a09e0ae35b30b453c4547ca22516f540d", "0543641a09e0ae35b30b453c4547ca22516f540d")</f>
        <v>0</v>
      </c>
      <c r="D15270" t="s">
        <v>5037</v>
      </c>
      <c r="E15270" t="s">
        <v>6374</v>
      </c>
      <c r="F15270" t="s">
        <v>12343</v>
      </c>
      <c r="G15270" t="s">
        <v>16571</v>
      </c>
      <c r="H15270" t="s">
        <v>22224</v>
      </c>
    </row>
    <row r="15271" spans="1:8">
      <c r="A15271" t="s">
        <v>590</v>
      </c>
      <c r="B15271">
        <f>HYPERLINK("https://android.googlesource.com/platform/cts/+/44bb161bd45d3d1a6c398e72078e4e73494e226a", "44bb161bd45d3d1a6c398e72078e4e73494e226a")</f>
        <v>0</v>
      </c>
      <c r="C15271">
        <f>HYPERLINK("https://android.googlesource.com/platform/cts/+/0543641a09e0ae35b30b453c4547ca22516f540d", "0543641a09e0ae35b30b453c4547ca22516f540d")</f>
        <v>0</v>
      </c>
      <c r="D15271" t="s">
        <v>5038</v>
      </c>
      <c r="E15271" t="s">
        <v>6375</v>
      </c>
      <c r="F15271" t="s">
        <v>11482</v>
      </c>
      <c r="G15271" t="s">
        <v>15723</v>
      </c>
      <c r="H15271" t="s">
        <v>22225</v>
      </c>
    </row>
    <row r="15272" spans="1:8">
      <c r="A15272" t="s">
        <v>591</v>
      </c>
      <c r="B15272">
        <f>HYPERLINK("https://android.googlesource.com/platform/cts/+/b6b04ed2c489cef628014e6c5971663dc3f79991", "b6b04ed2c489cef628014e6c5971663dc3f79991")</f>
        <v>0</v>
      </c>
      <c r="C15272">
        <f>HYPERLINK("https://android.googlesource.com/platform/cts/+/738a2c64aaca36394b578acb6cf8a5972205e721", "738a2c64aaca36394b578acb6cf8a5972205e721")</f>
        <v>0</v>
      </c>
      <c r="D15272" t="s">
        <v>5039</v>
      </c>
      <c r="E15272" t="s">
        <v>6376</v>
      </c>
      <c r="F15272" t="s">
        <v>12314</v>
      </c>
      <c r="G15272" t="s">
        <v>16546</v>
      </c>
      <c r="H15272" t="s">
        <v>22138</v>
      </c>
    </row>
    <row r="15273" spans="1:8">
      <c r="A15273" t="s">
        <v>592</v>
      </c>
      <c r="B15273">
        <f>HYPERLINK("https://android.googlesource.com/platform/cts/+/14186fad16ea1c121f91f8b62f2cae716e5fe47c", "14186fad16ea1c121f91f8b62f2cae716e5fe47c")</f>
        <v>0</v>
      </c>
      <c r="C15273">
        <f>HYPERLINK("https://android.googlesource.com/platform/cts/+/738a2c64aaca36394b578acb6cf8a5972205e721", "738a2c64aaca36394b578acb6cf8a5972205e721")</f>
        <v>0</v>
      </c>
      <c r="D15273" t="s">
        <v>5039</v>
      </c>
      <c r="E15273" t="s">
        <v>6377</v>
      </c>
      <c r="F15273" t="s">
        <v>12314</v>
      </c>
      <c r="G15273" t="s">
        <v>16546</v>
      </c>
      <c r="H15273" t="s">
        <v>22138</v>
      </c>
    </row>
    <row r="15274" spans="1:8">
      <c r="A15274" t="s">
        <v>593</v>
      </c>
      <c r="B15274">
        <f>HYPERLINK("https://android.googlesource.com/platform/cts/+/4045c904024bfc99e430601bddeba5c292aa8f2a", "4045c904024bfc99e430601bddeba5c292aa8f2a")</f>
        <v>0</v>
      </c>
      <c r="C15274">
        <f>HYPERLINK("https://android.googlesource.com/platform/cts/+/1b8fdca68a6af4ee2ccf48a3b7c39603f79762dc", "1b8fdca68a6af4ee2ccf48a3b7c39603f79762dc")</f>
        <v>0</v>
      </c>
      <c r="D15274" t="s">
        <v>5038</v>
      </c>
      <c r="E15274" t="s">
        <v>6378</v>
      </c>
      <c r="F15274" t="s">
        <v>11482</v>
      </c>
      <c r="G15274" t="s">
        <v>15723</v>
      </c>
      <c r="H15274" t="s">
        <v>22225</v>
      </c>
    </row>
    <row r="15275" spans="1:8">
      <c r="A15275" t="s">
        <v>594</v>
      </c>
      <c r="B15275">
        <f>HYPERLINK("https://android.googlesource.com/platform/cts/+/c132d4188f17b2e408907e059ab58f5ae6c3f292", "c132d4188f17b2e408907e059ab58f5ae6c3f292")</f>
        <v>0</v>
      </c>
      <c r="C15275">
        <f>HYPERLINK("https://android.googlesource.com/platform/cts/+/cc9e0d5f8f03d01d34211699d1edc2a03f93ee62", "cc9e0d5f8f03d01d34211699d1edc2a03f93ee62")</f>
        <v>0</v>
      </c>
      <c r="D15275" t="s">
        <v>5040</v>
      </c>
      <c r="E15275" t="s">
        <v>6379</v>
      </c>
      <c r="F15275" t="s">
        <v>12344</v>
      </c>
      <c r="G15275" t="s">
        <v>16572</v>
      </c>
      <c r="H15275" t="s">
        <v>22226</v>
      </c>
    </row>
    <row r="15276" spans="1:8">
      <c r="H15276" t="s">
        <v>22227</v>
      </c>
    </row>
    <row r="15277" spans="1:8">
      <c r="H15277" t="s">
        <v>22228</v>
      </c>
    </row>
    <row r="15278" spans="1:8">
      <c r="H15278" t="s">
        <v>22229</v>
      </c>
    </row>
    <row r="15279" spans="1:8">
      <c r="H15279" t="s">
        <v>22230</v>
      </c>
    </row>
    <row r="15280" spans="1:8">
      <c r="H15280" t="s">
        <v>22231</v>
      </c>
    </row>
    <row r="15281" spans="1:8">
      <c r="H15281" t="s">
        <v>22232</v>
      </c>
    </row>
    <row r="15282" spans="1:8">
      <c r="H15282" t="s">
        <v>22233</v>
      </c>
    </row>
    <row r="15283" spans="1:8">
      <c r="H15283" t="s">
        <v>22234</v>
      </c>
    </row>
    <row r="15284" spans="1:8">
      <c r="H15284" t="s">
        <v>22235</v>
      </c>
    </row>
    <row r="15285" spans="1:8">
      <c r="A15285" t="s">
        <v>595</v>
      </c>
      <c r="B15285">
        <f>HYPERLINK("https://android.googlesource.com/platform/cts/+/59330039ff3360509d66b17c21e732090f46d676", "59330039ff3360509d66b17c21e732090f46d676")</f>
        <v>0</v>
      </c>
      <c r="C15285">
        <f>HYPERLINK("https://android.googlesource.com/platform/cts/+/512201b9569e4b4b21be993523cac465ac4cf435", "512201b9569e4b4b21be993523cac465ac4cf435")</f>
        <v>0</v>
      </c>
      <c r="D15285" t="s">
        <v>5035</v>
      </c>
      <c r="E15285" t="s">
        <v>6380</v>
      </c>
      <c r="F15285" t="s">
        <v>12341</v>
      </c>
      <c r="G15285" t="s">
        <v>16569</v>
      </c>
      <c r="H15285" t="s">
        <v>22236</v>
      </c>
    </row>
    <row r="15286" spans="1:8">
      <c r="H15286" t="s">
        <v>22237</v>
      </c>
    </row>
    <row r="15287" spans="1:8">
      <c r="A15287" t="s">
        <v>596</v>
      </c>
      <c r="B15287">
        <f>HYPERLINK("https://android.googlesource.com/platform/cts/+/420fd9be8a2bad706e5286eacfc14710c42d1e8b", "420fd9be8a2bad706e5286eacfc14710c42d1e8b")</f>
        <v>0</v>
      </c>
      <c r="C15287">
        <f>HYPERLINK("https://android.googlesource.com/platform/cts/+/769f280530f261e8c000cb2bc9d21c5ee0e63bef", "769f280530f261e8c000cb2bc9d21c5ee0e63bef")</f>
        <v>0</v>
      </c>
      <c r="D15287" t="s">
        <v>5041</v>
      </c>
      <c r="E15287" t="s">
        <v>6381</v>
      </c>
      <c r="F15287" t="s">
        <v>11470</v>
      </c>
      <c r="G15287" t="s">
        <v>15710</v>
      </c>
      <c r="H15287" t="s">
        <v>22238</v>
      </c>
    </row>
    <row r="15288" spans="1:8">
      <c r="H15288" t="s">
        <v>22239</v>
      </c>
    </row>
    <row r="15289" spans="1:8">
      <c r="H15289" t="s">
        <v>22240</v>
      </c>
    </row>
    <row r="15290" spans="1:8">
      <c r="A15290" t="s">
        <v>597</v>
      </c>
      <c r="B15290">
        <f>HYPERLINK("https://android.googlesource.com/platform/cts/+/d00d9f1cc4efbfe5437f8ae6f10b9fff417d4cf0", "d00d9f1cc4efbfe5437f8ae6f10b9fff417d4cf0")</f>
        <v>0</v>
      </c>
      <c r="C15290">
        <f>HYPERLINK("https://android.googlesource.com/platform/cts/+/7674e9510329a83d8ca479c97b1a423e90d15b63", "7674e9510329a83d8ca479c97b1a423e90d15b63")</f>
        <v>0</v>
      </c>
      <c r="D15290" t="s">
        <v>5040</v>
      </c>
      <c r="E15290" t="s">
        <v>6382</v>
      </c>
      <c r="F15290" t="s">
        <v>12344</v>
      </c>
      <c r="G15290" t="s">
        <v>16572</v>
      </c>
      <c r="H15290" t="s">
        <v>22226</v>
      </c>
    </row>
    <row r="15291" spans="1:8">
      <c r="H15291" t="s">
        <v>22227</v>
      </c>
    </row>
    <row r="15292" spans="1:8">
      <c r="H15292" t="s">
        <v>22228</v>
      </c>
    </row>
    <row r="15293" spans="1:8">
      <c r="H15293" t="s">
        <v>22229</v>
      </c>
    </row>
    <row r="15294" spans="1:8">
      <c r="H15294" t="s">
        <v>22230</v>
      </c>
    </row>
    <row r="15295" spans="1:8">
      <c r="H15295" t="s">
        <v>22231</v>
      </c>
    </row>
    <row r="15296" spans="1:8">
      <c r="H15296" t="s">
        <v>22232</v>
      </c>
    </row>
    <row r="15297" spans="1:8">
      <c r="H15297" t="s">
        <v>22233</v>
      </c>
    </row>
    <row r="15298" spans="1:8">
      <c r="H15298" t="s">
        <v>22234</v>
      </c>
    </row>
    <row r="15299" spans="1:8">
      <c r="H15299" t="s">
        <v>22235</v>
      </c>
    </row>
    <row r="15300" spans="1:8">
      <c r="A15300" t="s">
        <v>598</v>
      </c>
      <c r="B15300">
        <f>HYPERLINK("https://android.googlesource.com/platform/cts/+/4d2d2509b4997e3d27de9ddfe1ad50774b4487c3", "4d2d2509b4997e3d27de9ddfe1ad50774b4487c3")</f>
        <v>0</v>
      </c>
      <c r="C15300">
        <f>HYPERLINK("https://android.googlesource.com/platform/cts/+/d4b40bae92e42c89744d6e1453927c3a5b0e89fd", "d4b40bae92e42c89744d6e1453927c3a5b0e89fd")</f>
        <v>0</v>
      </c>
      <c r="D15300" t="s">
        <v>4952</v>
      </c>
      <c r="E15300" t="s">
        <v>6383</v>
      </c>
      <c r="F15300" t="s">
        <v>12345</v>
      </c>
      <c r="G15300" t="s">
        <v>16573</v>
      </c>
      <c r="H15300" t="s">
        <v>18829</v>
      </c>
    </row>
    <row r="15301" spans="1:8">
      <c r="H15301" t="s">
        <v>22241</v>
      </c>
    </row>
    <row r="15302" spans="1:8">
      <c r="H15302" t="s">
        <v>22242</v>
      </c>
    </row>
    <row r="15303" spans="1:8">
      <c r="H15303" t="s">
        <v>22243</v>
      </c>
    </row>
    <row r="15304" spans="1:8">
      <c r="H15304" t="s">
        <v>22244</v>
      </c>
    </row>
    <row r="15305" spans="1:8">
      <c r="H15305" t="s">
        <v>22245</v>
      </c>
    </row>
    <row r="15306" spans="1:8">
      <c r="H15306" t="s">
        <v>22246</v>
      </c>
    </row>
    <row r="15307" spans="1:8">
      <c r="H15307" t="s">
        <v>22247</v>
      </c>
    </row>
    <row r="15308" spans="1:8">
      <c r="H15308" t="s">
        <v>22248</v>
      </c>
    </row>
    <row r="15309" spans="1:8">
      <c r="H15309" t="s">
        <v>22249</v>
      </c>
    </row>
    <row r="15310" spans="1:8">
      <c r="H15310" t="s">
        <v>22250</v>
      </c>
    </row>
    <row r="15311" spans="1:8">
      <c r="H15311" t="s">
        <v>22251</v>
      </c>
    </row>
    <row r="15312" spans="1:8">
      <c r="H15312" t="s">
        <v>22252</v>
      </c>
    </row>
    <row r="15313" spans="8:8">
      <c r="H15313" t="s">
        <v>22253</v>
      </c>
    </row>
    <row r="15314" spans="8:8">
      <c r="H15314" t="s">
        <v>22254</v>
      </c>
    </row>
    <row r="15315" spans="8:8">
      <c r="H15315" t="s">
        <v>22255</v>
      </c>
    </row>
    <row r="15316" spans="8:8">
      <c r="H15316" t="s">
        <v>22256</v>
      </c>
    </row>
    <row r="15317" spans="8:8">
      <c r="H15317" t="s">
        <v>22257</v>
      </c>
    </row>
    <row r="15318" spans="8:8">
      <c r="H15318" t="s">
        <v>22258</v>
      </c>
    </row>
    <row r="15319" spans="8:8">
      <c r="H15319" t="s">
        <v>22259</v>
      </c>
    </row>
    <row r="15320" spans="8:8">
      <c r="H15320" t="s">
        <v>22260</v>
      </c>
    </row>
    <row r="15321" spans="8:8">
      <c r="H15321" t="s">
        <v>22261</v>
      </c>
    </row>
    <row r="15322" spans="8:8">
      <c r="H15322" t="s">
        <v>22262</v>
      </c>
    </row>
    <row r="15323" spans="8:8">
      <c r="H15323" t="s">
        <v>22263</v>
      </c>
    </row>
    <row r="15324" spans="8:8">
      <c r="H15324" t="s">
        <v>22264</v>
      </c>
    </row>
    <row r="15325" spans="8:8">
      <c r="H15325" t="s">
        <v>22265</v>
      </c>
    </row>
    <row r="15326" spans="8:8">
      <c r="H15326" t="s">
        <v>22266</v>
      </c>
    </row>
    <row r="15327" spans="8:8">
      <c r="H15327" t="s">
        <v>22267</v>
      </c>
    </row>
    <row r="15328" spans="8:8">
      <c r="H15328" t="s">
        <v>22268</v>
      </c>
    </row>
    <row r="15329" spans="1:8">
      <c r="H15329" t="s">
        <v>22269</v>
      </c>
    </row>
    <row r="15330" spans="1:8">
      <c r="H15330" t="s">
        <v>22270</v>
      </c>
    </row>
    <row r="15331" spans="1:8">
      <c r="H15331" t="s">
        <v>22271</v>
      </c>
    </row>
    <row r="15332" spans="1:8">
      <c r="H15332" t="s">
        <v>22005</v>
      </c>
    </row>
    <row r="15333" spans="1:8">
      <c r="H15333" t="s">
        <v>22272</v>
      </c>
    </row>
    <row r="15334" spans="1:8">
      <c r="H15334" t="s">
        <v>22273</v>
      </c>
    </row>
    <row r="15335" spans="1:8">
      <c r="H15335" t="s">
        <v>22005</v>
      </c>
    </row>
    <row r="15336" spans="1:8">
      <c r="H15336" t="s">
        <v>22272</v>
      </c>
    </row>
    <row r="15337" spans="1:8">
      <c r="H15337" t="s">
        <v>22274</v>
      </c>
    </row>
    <row r="15338" spans="1:8">
      <c r="H15338" t="s">
        <v>22005</v>
      </c>
    </row>
    <row r="15339" spans="1:8">
      <c r="H15339" t="s">
        <v>22272</v>
      </c>
    </row>
    <row r="15340" spans="1:8">
      <c r="H15340" t="s">
        <v>22275</v>
      </c>
    </row>
    <row r="15341" spans="1:8">
      <c r="H15341" t="s">
        <v>22276</v>
      </c>
    </row>
    <row r="15342" spans="1:8">
      <c r="H15342" t="s">
        <v>22277</v>
      </c>
    </row>
    <row r="15343" spans="1:8">
      <c r="A15343" t="s">
        <v>599</v>
      </c>
      <c r="B15343">
        <f>HYPERLINK("https://android.googlesource.com/platform/cts/+/f394f7a5e939fd9b503c52bb28e3989d1554e117", "f394f7a5e939fd9b503c52bb28e3989d1554e117")</f>
        <v>0</v>
      </c>
      <c r="C15343">
        <f>HYPERLINK("https://android.googlesource.com/platform/cts/+/247ecfc0ddb8cf1487a8a36f93ceb84d7abbbfe6", "247ecfc0ddb8cf1487a8a36f93ceb84d7abbbfe6")</f>
        <v>0</v>
      </c>
      <c r="D15343" t="s">
        <v>5036</v>
      </c>
      <c r="E15343" t="s">
        <v>6384</v>
      </c>
      <c r="F15343" t="s">
        <v>12328</v>
      </c>
      <c r="G15343" t="s">
        <v>16458</v>
      </c>
      <c r="H15343" t="s">
        <v>22278</v>
      </c>
    </row>
    <row r="15344" spans="1:8">
      <c r="A15344" t="s">
        <v>600</v>
      </c>
      <c r="B15344">
        <f>HYPERLINK("https://android.googlesource.com/platform/cts/+/c8fe8ce718b5178c9a095ce031e81af735549990", "c8fe8ce718b5178c9a095ce031e81af735549990")</f>
        <v>0</v>
      </c>
      <c r="C15344">
        <f>HYPERLINK("https://android.googlesource.com/platform/cts/+/279092be5dc7e867acbee1ef8e24bc2284254ac0", "279092be5dc7e867acbee1ef8e24bc2284254ac0")</f>
        <v>0</v>
      </c>
      <c r="D15344" t="s">
        <v>4978</v>
      </c>
      <c r="E15344" t="s">
        <v>6385</v>
      </c>
      <c r="F15344" t="s">
        <v>12328</v>
      </c>
      <c r="G15344" t="s">
        <v>16458</v>
      </c>
      <c r="H15344" t="s">
        <v>22279</v>
      </c>
    </row>
    <row r="15345" spans="1:8">
      <c r="A15345" t="s">
        <v>601</v>
      </c>
      <c r="B15345">
        <f>HYPERLINK("https://android.googlesource.com/platform/cts/+/e8dafce124bed27ad116a7bfa713c376b793911a", "e8dafce124bed27ad116a7bfa713c376b793911a")</f>
        <v>0</v>
      </c>
      <c r="C15345">
        <f>HYPERLINK("https://android.googlesource.com/platform/cts/+/f1c6645984d9337622d98be5d2858d2483199a45", "f1c6645984d9337622d98be5d2858d2483199a45")</f>
        <v>0</v>
      </c>
      <c r="D15345" t="s">
        <v>5011</v>
      </c>
      <c r="E15345" t="s">
        <v>6386</v>
      </c>
      <c r="F15345" t="s">
        <v>12346</v>
      </c>
      <c r="G15345" t="s">
        <v>16574</v>
      </c>
      <c r="H15345" t="s">
        <v>18829</v>
      </c>
    </row>
    <row r="15346" spans="1:8">
      <c r="H15346" t="s">
        <v>18863</v>
      </c>
    </row>
    <row r="15347" spans="1:8">
      <c r="H15347" t="s">
        <v>22280</v>
      </c>
    </row>
    <row r="15348" spans="1:8">
      <c r="H15348" t="s">
        <v>22281</v>
      </c>
    </row>
    <row r="15349" spans="1:8">
      <c r="H15349" t="s">
        <v>22282</v>
      </c>
    </row>
    <row r="15350" spans="1:8">
      <c r="H15350" t="s">
        <v>22283</v>
      </c>
    </row>
    <row r="15351" spans="1:8">
      <c r="H15351" t="s">
        <v>22284</v>
      </c>
    </row>
    <row r="15352" spans="1:8">
      <c r="H15352" t="s">
        <v>22285</v>
      </c>
    </row>
    <row r="15353" spans="1:8">
      <c r="H15353" t="s">
        <v>22286</v>
      </c>
    </row>
    <row r="15354" spans="1:8">
      <c r="H15354" t="s">
        <v>22287</v>
      </c>
    </row>
    <row r="15355" spans="1:8">
      <c r="H15355" t="s">
        <v>22288</v>
      </c>
    </row>
    <row r="15356" spans="1:8">
      <c r="H15356" t="s">
        <v>22289</v>
      </c>
    </row>
    <row r="15357" spans="1:8">
      <c r="H15357" t="s">
        <v>22290</v>
      </c>
    </row>
    <row r="15358" spans="1:8">
      <c r="A15358" t="s">
        <v>602</v>
      </c>
      <c r="B15358">
        <f>HYPERLINK("https://android.googlesource.com/platform/cts/+/b80c661fd4eda66b0468b6acee747c3e6edf3db5", "b80c661fd4eda66b0468b6acee747c3e6edf3db5")</f>
        <v>0</v>
      </c>
      <c r="C15358">
        <f>HYPERLINK("https://android.googlesource.com/platform/cts/+/c2b441b9c6c793fc3db16f8179f6e84859ec4f57", "c2b441b9c6c793fc3db16f8179f6e84859ec4f57")</f>
        <v>0</v>
      </c>
      <c r="D15358" t="s">
        <v>4978</v>
      </c>
      <c r="E15358" t="s">
        <v>6387</v>
      </c>
      <c r="F15358" t="s">
        <v>12225</v>
      </c>
      <c r="G15358" t="s">
        <v>16455</v>
      </c>
      <c r="H15358" t="s">
        <v>22291</v>
      </c>
    </row>
    <row r="15359" spans="1:8">
      <c r="F15359" t="s">
        <v>12229</v>
      </c>
      <c r="G15359" t="s">
        <v>16459</v>
      </c>
      <c r="H15359" t="s">
        <v>22292</v>
      </c>
    </row>
    <row r="15360" spans="1:8">
      <c r="A15360" t="s">
        <v>603</v>
      </c>
      <c r="B15360">
        <f>HYPERLINK("https://android.googlesource.com/platform/cts/+/9195d41f05660cf67ca158332bdfa7a712c4afd4", "9195d41f05660cf67ca158332bdfa7a712c4afd4")</f>
        <v>0</v>
      </c>
      <c r="C15360">
        <f>HYPERLINK("https://android.googlesource.com/platform/cts/+/c9844285b022ebe514d3e7f2f0754284d5f8de22", "c9844285b022ebe514d3e7f2f0754284d5f8de22")</f>
        <v>0</v>
      </c>
      <c r="D15360" t="s">
        <v>5029</v>
      </c>
      <c r="E15360" t="s">
        <v>6388</v>
      </c>
      <c r="F15360" t="s">
        <v>10780</v>
      </c>
      <c r="G15360" t="s">
        <v>15176</v>
      </c>
      <c r="H15360" t="s">
        <v>22153</v>
      </c>
    </row>
    <row r="15361" spans="1:8">
      <c r="F15361" t="s">
        <v>10699</v>
      </c>
      <c r="G15361" t="s">
        <v>15099</v>
      </c>
      <c r="H15361" t="s">
        <v>22153</v>
      </c>
    </row>
    <row r="15362" spans="1:8">
      <c r="F15362" t="s">
        <v>10610</v>
      </c>
      <c r="G15362" t="s">
        <v>15013</v>
      </c>
      <c r="H15362" t="s">
        <v>22153</v>
      </c>
    </row>
    <row r="15363" spans="1:8">
      <c r="F15363" t="s">
        <v>12347</v>
      </c>
      <c r="G15363" t="s">
        <v>16575</v>
      </c>
      <c r="H15363" t="s">
        <v>22153</v>
      </c>
    </row>
    <row r="15364" spans="1:8">
      <c r="F15364" t="s">
        <v>12348</v>
      </c>
      <c r="G15364" t="s">
        <v>16576</v>
      </c>
      <c r="H15364" t="s">
        <v>22153</v>
      </c>
    </row>
    <row r="15365" spans="1:8">
      <c r="F15365" t="s">
        <v>11442</v>
      </c>
      <c r="G15365" t="s">
        <v>15682</v>
      </c>
      <c r="H15365" t="s">
        <v>22153</v>
      </c>
    </row>
    <row r="15366" spans="1:8">
      <c r="F15366" t="s">
        <v>10737</v>
      </c>
      <c r="G15366" t="s">
        <v>15136</v>
      </c>
      <c r="H15366" t="s">
        <v>22153</v>
      </c>
    </row>
    <row r="15367" spans="1:8">
      <c r="A15367" t="s">
        <v>604</v>
      </c>
      <c r="B15367">
        <f>HYPERLINK("https://android.googlesource.com/platform/cts/+/42fe88944b4ac0b78132744e389bdd44b4fa2ceb", "42fe88944b4ac0b78132744e389bdd44b4fa2ceb")</f>
        <v>0</v>
      </c>
      <c r="C15367">
        <f>HYPERLINK("https://android.googlesource.com/platform/cts/+/c2b441b9c6c793fc3db16f8179f6e84859ec4f57", "c2b441b9c6c793fc3db16f8179f6e84859ec4f57")</f>
        <v>0</v>
      </c>
      <c r="D15367" t="s">
        <v>5042</v>
      </c>
      <c r="E15367" t="s">
        <v>6389</v>
      </c>
      <c r="F15367" t="s">
        <v>12324</v>
      </c>
      <c r="G15367" t="s">
        <v>16554</v>
      </c>
      <c r="H15367" t="s">
        <v>22293</v>
      </c>
    </row>
    <row r="15368" spans="1:8">
      <c r="H15368" t="s">
        <v>19034</v>
      </c>
    </row>
    <row r="15369" spans="1:8">
      <c r="H15369" t="s">
        <v>18829</v>
      </c>
    </row>
    <row r="15370" spans="1:8">
      <c r="H15370" t="s">
        <v>18863</v>
      </c>
    </row>
    <row r="15371" spans="1:8">
      <c r="H15371" t="s">
        <v>22294</v>
      </c>
    </row>
    <row r="15372" spans="1:8">
      <c r="H15372" t="s">
        <v>22295</v>
      </c>
    </row>
    <row r="15373" spans="1:8">
      <c r="H15373" t="s">
        <v>22296</v>
      </c>
    </row>
    <row r="15374" spans="1:8">
      <c r="H15374" t="s">
        <v>22297</v>
      </c>
    </row>
    <row r="15375" spans="1:8">
      <c r="H15375" t="s">
        <v>22298</v>
      </c>
    </row>
    <row r="15376" spans="1:8">
      <c r="H15376" t="s">
        <v>22299</v>
      </c>
    </row>
    <row r="15377" spans="8:8">
      <c r="H15377" t="s">
        <v>22300</v>
      </c>
    </row>
    <row r="15378" spans="8:8">
      <c r="H15378" t="s">
        <v>22113</v>
      </c>
    </row>
    <row r="15379" spans="8:8">
      <c r="H15379" t="s">
        <v>22301</v>
      </c>
    </row>
    <row r="15380" spans="8:8">
      <c r="H15380" t="s">
        <v>20083</v>
      </c>
    </row>
    <row r="15381" spans="8:8">
      <c r="H15381" t="s">
        <v>22114</v>
      </c>
    </row>
    <row r="15382" spans="8:8">
      <c r="H15382" t="s">
        <v>22302</v>
      </c>
    </row>
    <row r="15383" spans="8:8">
      <c r="H15383" t="s">
        <v>22083</v>
      </c>
    </row>
    <row r="15384" spans="8:8">
      <c r="H15384" t="s">
        <v>22084</v>
      </c>
    </row>
    <row r="15385" spans="8:8">
      <c r="H15385" t="s">
        <v>22085</v>
      </c>
    </row>
    <row r="15386" spans="8:8">
      <c r="H15386" t="s">
        <v>22086</v>
      </c>
    </row>
    <row r="15387" spans="8:8">
      <c r="H15387" t="s">
        <v>20083</v>
      </c>
    </row>
    <row r="15388" spans="8:8">
      <c r="H15388" t="s">
        <v>22114</v>
      </c>
    </row>
    <row r="15389" spans="8:8">
      <c r="H15389" t="s">
        <v>22303</v>
      </c>
    </row>
    <row r="15390" spans="8:8">
      <c r="H15390" t="s">
        <v>22083</v>
      </c>
    </row>
    <row r="15391" spans="8:8">
      <c r="H15391" t="s">
        <v>22084</v>
      </c>
    </row>
    <row r="15392" spans="8:8">
      <c r="H15392" t="s">
        <v>22085</v>
      </c>
    </row>
    <row r="15393" spans="1:8">
      <c r="H15393" t="s">
        <v>22086</v>
      </c>
    </row>
    <row r="15394" spans="1:8">
      <c r="A15394" t="s">
        <v>605</v>
      </c>
      <c r="B15394">
        <f>HYPERLINK("https://android.googlesource.com/platform/cts/+/89e65a1ffc3a7da66922f2470b3bb3637188ec28", "89e65a1ffc3a7da66922f2470b3bb3637188ec28")</f>
        <v>0</v>
      </c>
      <c r="C15394">
        <f>HYPERLINK("https://android.googlesource.com/platform/cts/+/27484532f14e2e44f899982263489a5467d45956", "27484532f14e2e44f899982263489a5467d45956")</f>
        <v>0</v>
      </c>
      <c r="D15394" t="s">
        <v>5029</v>
      </c>
      <c r="E15394" t="s">
        <v>6390</v>
      </c>
      <c r="F15394" t="s">
        <v>10699</v>
      </c>
      <c r="G15394" t="s">
        <v>15099</v>
      </c>
      <c r="H15394" t="s">
        <v>22304</v>
      </c>
    </row>
    <row r="15395" spans="1:8">
      <c r="F15395" t="s">
        <v>10610</v>
      </c>
      <c r="G15395" t="s">
        <v>15013</v>
      </c>
      <c r="H15395" t="s">
        <v>22304</v>
      </c>
    </row>
    <row r="15396" spans="1:8">
      <c r="F15396" t="s">
        <v>12347</v>
      </c>
      <c r="G15396" t="s">
        <v>16575</v>
      </c>
      <c r="H15396" t="s">
        <v>22304</v>
      </c>
    </row>
    <row r="15397" spans="1:8">
      <c r="F15397" t="s">
        <v>12348</v>
      </c>
      <c r="G15397" t="s">
        <v>16576</v>
      </c>
      <c r="H15397" t="s">
        <v>22304</v>
      </c>
    </row>
    <row r="15398" spans="1:8">
      <c r="F15398" t="s">
        <v>11442</v>
      </c>
      <c r="G15398" t="s">
        <v>15682</v>
      </c>
      <c r="H15398" t="s">
        <v>22304</v>
      </c>
    </row>
    <row r="15399" spans="1:8">
      <c r="F15399" t="s">
        <v>10737</v>
      </c>
      <c r="G15399" t="s">
        <v>15136</v>
      </c>
      <c r="H15399" t="s">
        <v>22304</v>
      </c>
    </row>
    <row r="15400" spans="1:8">
      <c r="A15400" t="s">
        <v>606</v>
      </c>
      <c r="B15400">
        <f>HYPERLINK("https://android.googlesource.com/platform/cts/+/bc2bee43698344db51b2ee8383c5fbd18d99fe43", "bc2bee43698344db51b2ee8383c5fbd18d99fe43")</f>
        <v>0</v>
      </c>
      <c r="C15400">
        <f>HYPERLINK("https://android.googlesource.com/platform/cts/+/ed017f02bfdb1d6a1cc86d76144724e45c9f1b4b", "ed017f02bfdb1d6a1cc86d76144724e45c9f1b4b")</f>
        <v>0</v>
      </c>
      <c r="D15400" t="s">
        <v>5043</v>
      </c>
      <c r="E15400" t="s">
        <v>6391</v>
      </c>
      <c r="F15400" t="s">
        <v>11471</v>
      </c>
      <c r="G15400" t="s">
        <v>15711</v>
      </c>
      <c r="H15400" t="s">
        <v>22305</v>
      </c>
    </row>
    <row r="15401" spans="1:8">
      <c r="H15401" t="s">
        <v>22306</v>
      </c>
    </row>
    <row r="15402" spans="1:8">
      <c r="H15402" t="s">
        <v>22307</v>
      </c>
    </row>
    <row r="15403" spans="1:8">
      <c r="H15403" t="s">
        <v>22308</v>
      </c>
    </row>
    <row r="15404" spans="1:8">
      <c r="A15404" t="s">
        <v>607</v>
      </c>
      <c r="B15404">
        <f>HYPERLINK("https://android.googlesource.com/platform/cts/+/a8c7417df81be9716153639c5465c87cc61be6d0", "a8c7417df81be9716153639c5465c87cc61be6d0")</f>
        <v>0</v>
      </c>
      <c r="C15404">
        <f>HYPERLINK("https://android.googlesource.com/platform/cts/+/9d257f46c48d316819b3cd2e00891b261b608549", "9d257f46c48d316819b3cd2e00891b261b608549")</f>
        <v>0</v>
      </c>
      <c r="D15404" t="s">
        <v>5028</v>
      </c>
      <c r="E15404" t="s">
        <v>6392</v>
      </c>
      <c r="F15404" t="s">
        <v>12349</v>
      </c>
      <c r="G15404" t="s">
        <v>16577</v>
      </c>
      <c r="H15404" t="s">
        <v>22309</v>
      </c>
    </row>
    <row r="15405" spans="1:8">
      <c r="H15405" t="s">
        <v>22310</v>
      </c>
    </row>
    <row r="15406" spans="1:8">
      <c r="A15406" t="s">
        <v>608</v>
      </c>
      <c r="B15406">
        <f>HYPERLINK("https://android.googlesource.com/platform/cts/+/3797c659c9535f61becd0f83e66cb01b2e45f265", "3797c659c9535f61becd0f83e66cb01b2e45f265")</f>
        <v>0</v>
      </c>
      <c r="C15406">
        <f>HYPERLINK("https://android.googlesource.com/platform/cts/+/15679e5c59afd27f43ae5ad2f0a933c67f30ba2a", "15679e5c59afd27f43ae5ad2f0a933c67f30ba2a")</f>
        <v>0</v>
      </c>
      <c r="D15406" t="s">
        <v>4957</v>
      </c>
      <c r="E15406" t="s">
        <v>6393</v>
      </c>
      <c r="F15406" t="s">
        <v>12350</v>
      </c>
      <c r="G15406" t="s">
        <v>16578</v>
      </c>
      <c r="H15406" t="s">
        <v>22311</v>
      </c>
    </row>
    <row r="15407" spans="1:8">
      <c r="H15407" t="s">
        <v>22312</v>
      </c>
    </row>
    <row r="15408" spans="1:8">
      <c r="H15408" t="s">
        <v>22313</v>
      </c>
    </row>
    <row r="15409" spans="1:8">
      <c r="A15409" t="s">
        <v>609</v>
      </c>
      <c r="B15409">
        <f>HYPERLINK("https://android.googlesource.com/platform/cts/+/eefec815b730f8cf2cdc7b286c76eb57ce5b1cf9", "eefec815b730f8cf2cdc7b286c76eb57ce5b1cf9")</f>
        <v>0</v>
      </c>
      <c r="C15409">
        <f>HYPERLINK("https://android.googlesource.com/platform/cts/+/208674d4d1c134790aa100e045d72d9d40e7f485", "208674d4d1c134790aa100e045d72d9d40e7f485")</f>
        <v>0</v>
      </c>
      <c r="D15409" t="s">
        <v>4957</v>
      </c>
      <c r="E15409" t="s">
        <v>6394</v>
      </c>
      <c r="F15409" t="s">
        <v>12350</v>
      </c>
      <c r="G15409" t="s">
        <v>16578</v>
      </c>
      <c r="H15409" t="s">
        <v>22311</v>
      </c>
    </row>
    <row r="15410" spans="1:8">
      <c r="H15410" t="s">
        <v>22312</v>
      </c>
    </row>
    <row r="15411" spans="1:8">
      <c r="H15411" t="s">
        <v>22313</v>
      </c>
    </row>
    <row r="15412" spans="1:8">
      <c r="A15412" t="s">
        <v>610</v>
      </c>
      <c r="B15412">
        <f>HYPERLINK("https://android.googlesource.com/platform/cts/+/3efef9464cf9b08a4ff4f506e8a79a6ebd0166c2", "3efef9464cf9b08a4ff4f506e8a79a6ebd0166c2")</f>
        <v>0</v>
      </c>
      <c r="C15412">
        <f>HYPERLINK("https://android.googlesource.com/platform/cts/+/ed28817fbc2ce98ceba3e9997b375bff4492ae4b", "ed28817fbc2ce98ceba3e9997b375bff4492ae4b")</f>
        <v>0</v>
      </c>
      <c r="D15412" t="s">
        <v>5004</v>
      </c>
      <c r="E15412" t="s">
        <v>6395</v>
      </c>
      <c r="F15412" t="s">
        <v>12328</v>
      </c>
      <c r="G15412" t="s">
        <v>16458</v>
      </c>
      <c r="H15412" t="s">
        <v>22314</v>
      </c>
    </row>
    <row r="15413" spans="1:8">
      <c r="A15413" t="s">
        <v>611</v>
      </c>
      <c r="B15413">
        <f>HYPERLINK("https://android.googlesource.com/platform/cts/+/ae0e42d4d921f0cdc1aefd5a478c763ebfcad576", "ae0e42d4d921f0cdc1aefd5a478c763ebfcad576")</f>
        <v>0</v>
      </c>
      <c r="C15413">
        <f>HYPERLINK("https://android.googlesource.com/platform/cts/+/ed28817fbc2ce98ceba3e9997b375bff4492ae4b", "ed28817fbc2ce98ceba3e9997b375bff4492ae4b")</f>
        <v>0</v>
      </c>
      <c r="D15413" t="s">
        <v>5044</v>
      </c>
      <c r="E15413" t="s">
        <v>6396</v>
      </c>
      <c r="F15413" t="s">
        <v>11470</v>
      </c>
      <c r="G15413" t="s">
        <v>15710</v>
      </c>
      <c r="H15413" t="s">
        <v>22315</v>
      </c>
    </row>
    <row r="15414" spans="1:8">
      <c r="A15414" t="s">
        <v>612</v>
      </c>
      <c r="B15414">
        <f>HYPERLINK("https://android.googlesource.com/platform/cts/+/ae1f018a3e15c2ed946fe99526c56712b25003f9", "ae1f018a3e15c2ed946fe99526c56712b25003f9")</f>
        <v>0</v>
      </c>
      <c r="C15414">
        <f>HYPERLINK("https://android.googlesource.com/platform/cts/+/cf2912d66443f9ca7dbd1c951ba3518bf3f51b5a", "cf2912d66443f9ca7dbd1c951ba3518bf3f51b5a")</f>
        <v>0</v>
      </c>
      <c r="D15414" t="s">
        <v>5045</v>
      </c>
      <c r="E15414" t="s">
        <v>6397</v>
      </c>
      <c r="F15414" t="s">
        <v>12351</v>
      </c>
      <c r="G15414" t="s">
        <v>16579</v>
      </c>
      <c r="H15414" t="s">
        <v>22316</v>
      </c>
    </row>
    <row r="15415" spans="1:8">
      <c r="H15415" t="s">
        <v>22316</v>
      </c>
    </row>
    <row r="15416" spans="1:8">
      <c r="H15416" t="s">
        <v>22317</v>
      </c>
    </row>
    <row r="15417" spans="1:8">
      <c r="A15417" t="s">
        <v>613</v>
      </c>
      <c r="B15417">
        <f>HYPERLINK("https://android.googlesource.com/platform/cts/+/74236261a8f1205501845c5ed884e0d6f998a65f", "74236261a8f1205501845c5ed884e0d6f998a65f")</f>
        <v>0</v>
      </c>
      <c r="C15417">
        <f>HYPERLINK("https://android.googlesource.com/platform/cts/+/58bb90a9c0482b0cb89a809906cf44290acab91c", "58bb90a9c0482b0cb89a809906cf44290acab91c")</f>
        <v>0</v>
      </c>
      <c r="D15417" t="s">
        <v>4952</v>
      </c>
      <c r="E15417" t="s">
        <v>6398</v>
      </c>
      <c r="F15417" t="s">
        <v>12222</v>
      </c>
      <c r="G15417" t="s">
        <v>16452</v>
      </c>
      <c r="H15417" t="s">
        <v>22318</v>
      </c>
    </row>
    <row r="15418" spans="1:8">
      <c r="A15418" t="s">
        <v>614</v>
      </c>
      <c r="B15418">
        <f>HYPERLINK("https://android.googlesource.com/platform/cts/+/53a0d6735b1296938b0db2b70c66e7ab75a66e76", "53a0d6735b1296938b0db2b70c66e7ab75a66e76")</f>
        <v>0</v>
      </c>
      <c r="C15418">
        <f>HYPERLINK("https://android.googlesource.com/platform/cts/+/ae1f018a3e15c2ed946fe99526c56712b25003f9", "ae1f018a3e15c2ed946fe99526c56712b25003f9")</f>
        <v>0</v>
      </c>
      <c r="D15418" t="s">
        <v>5045</v>
      </c>
      <c r="E15418" t="s">
        <v>6399</v>
      </c>
      <c r="F15418" t="s">
        <v>12352</v>
      </c>
      <c r="G15418" t="s">
        <v>16580</v>
      </c>
      <c r="H15418" t="s">
        <v>22319</v>
      </c>
    </row>
    <row r="15419" spans="1:8">
      <c r="F15419" t="s">
        <v>12353</v>
      </c>
      <c r="G15419" t="s">
        <v>16581</v>
      </c>
      <c r="H15419" t="s">
        <v>22320</v>
      </c>
    </row>
    <row r="15420" spans="1:8">
      <c r="H15420" t="s">
        <v>18829</v>
      </c>
    </row>
    <row r="15421" spans="1:8">
      <c r="H15421" t="s">
        <v>18863</v>
      </c>
    </row>
    <row r="15422" spans="1:8">
      <c r="H15422" t="s">
        <v>22321</v>
      </c>
    </row>
    <row r="15423" spans="1:8">
      <c r="H15423" t="s">
        <v>22322</v>
      </c>
    </row>
    <row r="15424" spans="1:8">
      <c r="H15424" t="s">
        <v>22323</v>
      </c>
    </row>
    <row r="15425" spans="6:8">
      <c r="F15425" t="s">
        <v>12354</v>
      </c>
      <c r="G15425" t="s">
        <v>16582</v>
      </c>
      <c r="H15425" t="s">
        <v>22324</v>
      </c>
    </row>
    <row r="15426" spans="6:8">
      <c r="H15426" t="s">
        <v>22325</v>
      </c>
    </row>
    <row r="15427" spans="6:8">
      <c r="H15427" t="s">
        <v>22326</v>
      </c>
    </row>
    <row r="15428" spans="6:8">
      <c r="H15428" t="s">
        <v>22327</v>
      </c>
    </row>
    <row r="15429" spans="6:8">
      <c r="H15429" t="s">
        <v>22328</v>
      </c>
    </row>
    <row r="15430" spans="6:8">
      <c r="H15430" t="s">
        <v>22329</v>
      </c>
    </row>
    <row r="15431" spans="6:8">
      <c r="H15431" t="s">
        <v>22330</v>
      </c>
    </row>
    <row r="15432" spans="6:8">
      <c r="H15432" t="s">
        <v>22331</v>
      </c>
    </row>
    <row r="15433" spans="6:8">
      <c r="H15433" t="s">
        <v>22332</v>
      </c>
    </row>
    <row r="15434" spans="6:8">
      <c r="H15434" t="s">
        <v>22333</v>
      </c>
    </row>
    <row r="15435" spans="6:8">
      <c r="F15435" t="s">
        <v>12355</v>
      </c>
      <c r="G15435" t="s">
        <v>15153</v>
      </c>
      <c r="H15435" t="s">
        <v>22334</v>
      </c>
    </row>
    <row r="15436" spans="6:8">
      <c r="H15436" t="s">
        <v>22333</v>
      </c>
    </row>
    <row r="15437" spans="6:8">
      <c r="H15437" t="s">
        <v>22325</v>
      </c>
    </row>
    <row r="15438" spans="6:8">
      <c r="H15438" t="s">
        <v>22335</v>
      </c>
    </row>
    <row r="15439" spans="6:8">
      <c r="H15439" t="s">
        <v>22324</v>
      </c>
    </row>
    <row r="15440" spans="6:8">
      <c r="F15440" t="s">
        <v>12356</v>
      </c>
      <c r="G15440" t="s">
        <v>16583</v>
      </c>
      <c r="H15440" t="s">
        <v>18829</v>
      </c>
    </row>
    <row r="15441" spans="6:8">
      <c r="H15441" t="s">
        <v>22336</v>
      </c>
    </row>
    <row r="15442" spans="6:8">
      <c r="H15442" t="s">
        <v>22337</v>
      </c>
    </row>
    <row r="15443" spans="6:8">
      <c r="H15443" t="s">
        <v>22338</v>
      </c>
    </row>
    <row r="15444" spans="6:8">
      <c r="H15444" t="s">
        <v>22339</v>
      </c>
    </row>
    <row r="15445" spans="6:8">
      <c r="H15445" t="s">
        <v>22340</v>
      </c>
    </row>
    <row r="15446" spans="6:8">
      <c r="F15446" t="s">
        <v>12357</v>
      </c>
      <c r="G15446" t="s">
        <v>16584</v>
      </c>
      <c r="H15446" t="s">
        <v>18829</v>
      </c>
    </row>
    <row r="15447" spans="6:8">
      <c r="H15447" t="s">
        <v>18863</v>
      </c>
    </row>
    <row r="15448" spans="6:8">
      <c r="H15448" t="s">
        <v>22341</v>
      </c>
    </row>
    <row r="15449" spans="6:8">
      <c r="H15449" t="s">
        <v>22341</v>
      </c>
    </row>
    <row r="15450" spans="6:8">
      <c r="H15450" t="s">
        <v>22342</v>
      </c>
    </row>
    <row r="15451" spans="6:8">
      <c r="H15451" t="s">
        <v>22343</v>
      </c>
    </row>
    <row r="15452" spans="6:8">
      <c r="F15452" t="s">
        <v>12358</v>
      </c>
      <c r="G15452" t="s">
        <v>16585</v>
      </c>
      <c r="H15452" t="s">
        <v>18829</v>
      </c>
    </row>
    <row r="15453" spans="6:8">
      <c r="H15453" t="s">
        <v>18863</v>
      </c>
    </row>
    <row r="15454" spans="6:8">
      <c r="H15454" t="s">
        <v>22344</v>
      </c>
    </row>
    <row r="15455" spans="6:8">
      <c r="H15455" t="s">
        <v>22345</v>
      </c>
    </row>
    <row r="15456" spans="6:8">
      <c r="H15456" t="s">
        <v>22346</v>
      </c>
    </row>
    <row r="15457" spans="6:8">
      <c r="H15457" t="s">
        <v>22347</v>
      </c>
    </row>
    <row r="15458" spans="6:8">
      <c r="H15458" t="s">
        <v>22348</v>
      </c>
    </row>
    <row r="15459" spans="6:8">
      <c r="F15459" t="s">
        <v>12359</v>
      </c>
      <c r="G15459" t="s">
        <v>16586</v>
      </c>
      <c r="H15459" t="s">
        <v>22349</v>
      </c>
    </row>
    <row r="15460" spans="6:8">
      <c r="H15460" t="s">
        <v>22350</v>
      </c>
    </row>
    <row r="15461" spans="6:8">
      <c r="H15461" t="s">
        <v>22351</v>
      </c>
    </row>
    <row r="15462" spans="6:8">
      <c r="F15462" t="s">
        <v>12360</v>
      </c>
      <c r="G15462" t="s">
        <v>15150</v>
      </c>
      <c r="H15462" t="s">
        <v>22352</v>
      </c>
    </row>
    <row r="15463" spans="6:8">
      <c r="H15463" t="s">
        <v>22353</v>
      </c>
    </row>
    <row r="15464" spans="6:8">
      <c r="H15464" t="s">
        <v>22354</v>
      </c>
    </row>
    <row r="15465" spans="6:8">
      <c r="H15465" t="s">
        <v>22355</v>
      </c>
    </row>
    <row r="15466" spans="6:8">
      <c r="H15466" t="s">
        <v>22356</v>
      </c>
    </row>
    <row r="15467" spans="6:8">
      <c r="H15467" t="s">
        <v>22357</v>
      </c>
    </row>
    <row r="15468" spans="6:8">
      <c r="F15468" t="s">
        <v>12361</v>
      </c>
      <c r="G15468" t="s">
        <v>16587</v>
      </c>
      <c r="H15468" t="s">
        <v>18829</v>
      </c>
    </row>
    <row r="15469" spans="6:8">
      <c r="H15469" t="s">
        <v>18863</v>
      </c>
    </row>
    <row r="15470" spans="6:8">
      <c r="H15470" t="s">
        <v>22358</v>
      </c>
    </row>
    <row r="15471" spans="6:8">
      <c r="H15471" t="s">
        <v>22359</v>
      </c>
    </row>
    <row r="15472" spans="6:8">
      <c r="H15472" t="s">
        <v>22359</v>
      </c>
    </row>
    <row r="15473" spans="6:8">
      <c r="F15473" t="s">
        <v>12362</v>
      </c>
      <c r="G15473" t="s">
        <v>16588</v>
      </c>
      <c r="H15473" t="s">
        <v>18829</v>
      </c>
    </row>
    <row r="15474" spans="6:8">
      <c r="H15474" t="s">
        <v>18863</v>
      </c>
    </row>
    <row r="15475" spans="6:8">
      <c r="H15475" t="s">
        <v>22344</v>
      </c>
    </row>
    <row r="15476" spans="6:8">
      <c r="H15476" t="s">
        <v>22360</v>
      </c>
    </row>
    <row r="15477" spans="6:8">
      <c r="H15477" t="s">
        <v>22361</v>
      </c>
    </row>
    <row r="15478" spans="6:8">
      <c r="H15478" t="s">
        <v>22362</v>
      </c>
    </row>
    <row r="15479" spans="6:8">
      <c r="F15479" t="s">
        <v>12363</v>
      </c>
      <c r="G15479" t="s">
        <v>16589</v>
      </c>
      <c r="H15479" t="s">
        <v>22363</v>
      </c>
    </row>
    <row r="15480" spans="6:8">
      <c r="H15480" t="s">
        <v>22364</v>
      </c>
    </row>
    <row r="15481" spans="6:8">
      <c r="H15481" t="s">
        <v>22365</v>
      </c>
    </row>
    <row r="15482" spans="6:8">
      <c r="H15482" t="s">
        <v>22366</v>
      </c>
    </row>
    <row r="15483" spans="6:8">
      <c r="H15483" t="s">
        <v>22367</v>
      </c>
    </row>
    <row r="15484" spans="6:8">
      <c r="F15484" t="s">
        <v>12364</v>
      </c>
      <c r="G15484" t="s">
        <v>16590</v>
      </c>
      <c r="H15484" t="s">
        <v>22368</v>
      </c>
    </row>
    <row r="15485" spans="6:8">
      <c r="H15485" t="s">
        <v>22369</v>
      </c>
    </row>
    <row r="15486" spans="6:8">
      <c r="H15486" t="s">
        <v>18981</v>
      </c>
    </row>
    <row r="15487" spans="6:8">
      <c r="H15487" t="s">
        <v>22370</v>
      </c>
    </row>
    <row r="15488" spans="6:8">
      <c r="H15488" t="s">
        <v>22371</v>
      </c>
    </row>
    <row r="15489" spans="1:8">
      <c r="H15489" t="s">
        <v>22372</v>
      </c>
    </row>
    <row r="15490" spans="1:8">
      <c r="A15490" t="s">
        <v>615</v>
      </c>
      <c r="B15490">
        <f>HYPERLINK("https://android.googlesource.com/platform/cts/+/34f7c2db3ba3e696f4a2ecad0a7c860c389b91dd", "34f7c2db3ba3e696f4a2ecad0a7c860c389b91dd")</f>
        <v>0</v>
      </c>
      <c r="C15490">
        <f>HYPERLINK("https://android.googlesource.com/platform/cts/+/c3b4d18504bed2cf3e238ad28e5cee1c93dd7b73", "c3b4d18504bed2cf3e238ad28e5cee1c93dd7b73")</f>
        <v>0</v>
      </c>
      <c r="D15490" t="s">
        <v>5046</v>
      </c>
      <c r="E15490" t="s">
        <v>6400</v>
      </c>
      <c r="F15490" t="s">
        <v>10758</v>
      </c>
      <c r="G15490" t="s">
        <v>15156</v>
      </c>
      <c r="H15490" t="s">
        <v>22373</v>
      </c>
    </row>
    <row r="15491" spans="1:8">
      <c r="A15491" t="s">
        <v>616</v>
      </c>
      <c r="B15491">
        <f>HYPERLINK("https://android.googlesource.com/platform/cts/+/d2f312b7a752fb0b4f77ba8e2979132ff62abe9f", "d2f312b7a752fb0b4f77ba8e2979132ff62abe9f")</f>
        <v>0</v>
      </c>
      <c r="C15491">
        <f>HYPERLINK("https://android.googlesource.com/platform/cts/+/7ba45d63aa8e8098eb21fd4081b23f5d5267f8b6", "7ba45d63aa8e8098eb21fd4081b23f5d5267f8b6")</f>
        <v>0</v>
      </c>
      <c r="D15491" t="s">
        <v>5047</v>
      </c>
      <c r="E15491" t="s">
        <v>6401</v>
      </c>
      <c r="F15491" t="s">
        <v>12365</v>
      </c>
      <c r="G15491" t="s">
        <v>16591</v>
      </c>
      <c r="H15491" t="s">
        <v>20244</v>
      </c>
    </row>
    <row r="15492" spans="1:8">
      <c r="H15492" t="s">
        <v>18829</v>
      </c>
    </row>
    <row r="15493" spans="1:8">
      <c r="H15493" t="s">
        <v>18863</v>
      </c>
    </row>
    <row r="15494" spans="1:8">
      <c r="H15494" t="s">
        <v>22374</v>
      </c>
    </row>
    <row r="15495" spans="1:8">
      <c r="H15495" t="s">
        <v>22375</v>
      </c>
    </row>
    <row r="15496" spans="1:8">
      <c r="H15496" t="s">
        <v>22376</v>
      </c>
    </row>
    <row r="15497" spans="1:8">
      <c r="A15497" t="s">
        <v>617</v>
      </c>
      <c r="B15497">
        <f>HYPERLINK("https://android.googlesource.com/platform/cts/+/3986d5e3a1b71843a982ece781251f40ccdf840d", "3986d5e3a1b71843a982ece781251f40ccdf840d")</f>
        <v>0</v>
      </c>
      <c r="C15497">
        <f>HYPERLINK("https://android.googlesource.com/platform/cts/+/09eea44a5067f5eaa6233d771e607897c25823ca", "09eea44a5067f5eaa6233d771e607897c25823ca")</f>
        <v>0</v>
      </c>
      <c r="D15497" t="s">
        <v>5047</v>
      </c>
      <c r="E15497" t="s">
        <v>6402</v>
      </c>
      <c r="F15497" t="s">
        <v>12337</v>
      </c>
      <c r="G15497" t="s">
        <v>16565</v>
      </c>
      <c r="H15497" t="s">
        <v>22155</v>
      </c>
    </row>
    <row r="15498" spans="1:8">
      <c r="H15498" t="s">
        <v>22156</v>
      </c>
    </row>
    <row r="15499" spans="1:8">
      <c r="H15499" t="s">
        <v>22157</v>
      </c>
    </row>
    <row r="15500" spans="1:8">
      <c r="H15500" t="s">
        <v>22158</v>
      </c>
    </row>
    <row r="15501" spans="1:8">
      <c r="H15501" t="s">
        <v>22159</v>
      </c>
    </row>
    <row r="15502" spans="1:8">
      <c r="H15502" t="s">
        <v>22160</v>
      </c>
    </row>
    <row r="15503" spans="1:8">
      <c r="H15503" t="s">
        <v>22161</v>
      </c>
    </row>
    <row r="15504" spans="1:8">
      <c r="H15504" t="s">
        <v>22162</v>
      </c>
    </row>
    <row r="15505" spans="8:8">
      <c r="H15505" t="s">
        <v>22163</v>
      </c>
    </row>
    <row r="15506" spans="8:8">
      <c r="H15506" t="s">
        <v>22164</v>
      </c>
    </row>
    <row r="15507" spans="8:8">
      <c r="H15507" t="s">
        <v>22165</v>
      </c>
    </row>
    <row r="15508" spans="8:8">
      <c r="H15508" t="s">
        <v>22166</v>
      </c>
    </row>
    <row r="15509" spans="8:8">
      <c r="H15509" t="s">
        <v>22167</v>
      </c>
    </row>
    <row r="15510" spans="8:8">
      <c r="H15510" t="s">
        <v>22168</v>
      </c>
    </row>
    <row r="15511" spans="8:8">
      <c r="H15511" t="s">
        <v>22169</v>
      </c>
    </row>
    <row r="15512" spans="8:8">
      <c r="H15512" t="s">
        <v>22170</v>
      </c>
    </row>
    <row r="15513" spans="8:8">
      <c r="H15513" t="s">
        <v>22171</v>
      </c>
    </row>
    <row r="15514" spans="8:8">
      <c r="H15514" t="s">
        <v>22172</v>
      </c>
    </row>
    <row r="15515" spans="8:8">
      <c r="H15515" t="s">
        <v>22173</v>
      </c>
    </row>
    <row r="15516" spans="8:8">
      <c r="H15516" t="s">
        <v>22174</v>
      </c>
    </row>
    <row r="15517" spans="8:8">
      <c r="H15517" t="s">
        <v>22175</v>
      </c>
    </row>
    <row r="15518" spans="8:8">
      <c r="H15518" t="s">
        <v>22176</v>
      </c>
    </row>
    <row r="15519" spans="8:8">
      <c r="H15519" t="s">
        <v>22177</v>
      </c>
    </row>
    <row r="15520" spans="8:8">
      <c r="H15520" t="s">
        <v>22178</v>
      </c>
    </row>
    <row r="15521" spans="1:8">
      <c r="H15521" t="s">
        <v>22179</v>
      </c>
    </row>
    <row r="15522" spans="1:8">
      <c r="H15522" t="s">
        <v>20090</v>
      </c>
    </row>
    <row r="15523" spans="1:8">
      <c r="A15523" t="s">
        <v>618</v>
      </c>
      <c r="B15523">
        <f>HYPERLINK("https://android.googlesource.com/platform/cts/+/686bac0da7a991c902059018cc13b97f2ce379a7", "686bac0da7a991c902059018cc13b97f2ce379a7")</f>
        <v>0</v>
      </c>
      <c r="C15523">
        <f>HYPERLINK("https://android.googlesource.com/platform/cts/+/aca80ccfe5c0e2aaa0374282072261397835d841", "aca80ccfe5c0e2aaa0374282072261397835d841")</f>
        <v>0</v>
      </c>
      <c r="D15523" t="s">
        <v>4949</v>
      </c>
      <c r="E15523" t="s">
        <v>6403</v>
      </c>
      <c r="F15523" t="s">
        <v>12333</v>
      </c>
      <c r="G15523" t="s">
        <v>16561</v>
      </c>
      <c r="H15523" t="s">
        <v>22377</v>
      </c>
    </row>
    <row r="15524" spans="1:8">
      <c r="A15524" t="s">
        <v>619</v>
      </c>
      <c r="B15524">
        <f>HYPERLINK("https://android.googlesource.com/platform/cts/+/8bd84f742639deeac362f660f8d304a6d9cce34b", "8bd84f742639deeac362f660f8d304a6d9cce34b")</f>
        <v>0</v>
      </c>
      <c r="C15524">
        <f>HYPERLINK("https://android.googlesource.com/platform/cts/+/a97a16bee3277b96ba836a8f1b653d7d638a2b41", "a97a16bee3277b96ba836a8f1b653d7d638a2b41")</f>
        <v>0</v>
      </c>
      <c r="D15524" t="s">
        <v>5047</v>
      </c>
      <c r="E15524" t="s">
        <v>6404</v>
      </c>
      <c r="F15524" t="s">
        <v>12337</v>
      </c>
      <c r="G15524" t="s">
        <v>16565</v>
      </c>
      <c r="H15524" t="s">
        <v>22155</v>
      </c>
    </row>
    <row r="15525" spans="1:8">
      <c r="H15525" t="s">
        <v>22156</v>
      </c>
    </row>
    <row r="15526" spans="1:8">
      <c r="H15526" t="s">
        <v>22157</v>
      </c>
    </row>
    <row r="15527" spans="1:8">
      <c r="H15527" t="s">
        <v>22158</v>
      </c>
    </row>
    <row r="15528" spans="1:8">
      <c r="H15528" t="s">
        <v>22159</v>
      </c>
    </row>
    <row r="15529" spans="1:8">
      <c r="H15529" t="s">
        <v>22160</v>
      </c>
    </row>
    <row r="15530" spans="1:8">
      <c r="H15530" t="s">
        <v>22161</v>
      </c>
    </row>
    <row r="15531" spans="1:8">
      <c r="H15531" t="s">
        <v>22162</v>
      </c>
    </row>
    <row r="15532" spans="1:8">
      <c r="H15532" t="s">
        <v>22163</v>
      </c>
    </row>
    <row r="15533" spans="1:8">
      <c r="H15533" t="s">
        <v>22164</v>
      </c>
    </row>
    <row r="15534" spans="1:8">
      <c r="H15534" t="s">
        <v>22165</v>
      </c>
    </row>
    <row r="15535" spans="1:8">
      <c r="H15535" t="s">
        <v>22166</v>
      </c>
    </row>
    <row r="15536" spans="1:8">
      <c r="H15536" t="s">
        <v>22167</v>
      </c>
    </row>
    <row r="15537" spans="1:8">
      <c r="H15537" t="s">
        <v>22168</v>
      </c>
    </row>
    <row r="15538" spans="1:8">
      <c r="H15538" t="s">
        <v>22169</v>
      </c>
    </row>
    <row r="15539" spans="1:8">
      <c r="H15539" t="s">
        <v>22170</v>
      </c>
    </row>
    <row r="15540" spans="1:8">
      <c r="H15540" t="s">
        <v>22171</v>
      </c>
    </row>
    <row r="15541" spans="1:8">
      <c r="H15541" t="s">
        <v>22172</v>
      </c>
    </row>
    <row r="15542" spans="1:8">
      <c r="H15542" t="s">
        <v>22173</v>
      </c>
    </row>
    <row r="15543" spans="1:8">
      <c r="H15543" t="s">
        <v>22174</v>
      </c>
    </row>
    <row r="15544" spans="1:8">
      <c r="H15544" t="s">
        <v>22175</v>
      </c>
    </row>
    <row r="15545" spans="1:8">
      <c r="H15545" t="s">
        <v>22176</v>
      </c>
    </row>
    <row r="15546" spans="1:8">
      <c r="H15546" t="s">
        <v>22177</v>
      </c>
    </row>
    <row r="15547" spans="1:8">
      <c r="H15547" t="s">
        <v>22178</v>
      </c>
    </row>
    <row r="15548" spans="1:8">
      <c r="H15548" t="s">
        <v>22179</v>
      </c>
    </row>
    <row r="15549" spans="1:8">
      <c r="H15549" t="s">
        <v>20090</v>
      </c>
    </row>
    <row r="15550" spans="1:8">
      <c r="A15550" t="s">
        <v>620</v>
      </c>
      <c r="B15550">
        <f>HYPERLINK("https://android.googlesource.com/platform/cts/+/c8d1d101a6ea2e18576da17733e31a566a12d0e6", "c8d1d101a6ea2e18576da17733e31a566a12d0e6")</f>
        <v>0</v>
      </c>
      <c r="C15550">
        <f>HYPERLINK("https://android.googlesource.com/platform/cts/+/b014cf523a2b089b6f7082585d8bcae25a89af63", "b014cf523a2b089b6f7082585d8bcae25a89af63")</f>
        <v>0</v>
      </c>
      <c r="D15550" t="s">
        <v>5010</v>
      </c>
      <c r="E15550" t="s">
        <v>6405</v>
      </c>
      <c r="F15550" t="s">
        <v>12328</v>
      </c>
      <c r="G15550" t="s">
        <v>16458</v>
      </c>
      <c r="H15550" t="s">
        <v>19034</v>
      </c>
    </row>
    <row r="15551" spans="1:8">
      <c r="H15551" t="s">
        <v>18829</v>
      </c>
    </row>
    <row r="15552" spans="1:8">
      <c r="H15552" t="s">
        <v>18863</v>
      </c>
    </row>
    <row r="15553" spans="8:8">
      <c r="H15553" t="s">
        <v>22378</v>
      </c>
    </row>
    <row r="15554" spans="8:8">
      <c r="H15554" t="s">
        <v>22379</v>
      </c>
    </row>
    <row r="15555" spans="8:8">
      <c r="H15555" t="s">
        <v>22380</v>
      </c>
    </row>
    <row r="15556" spans="8:8">
      <c r="H15556" t="s">
        <v>22381</v>
      </c>
    </row>
    <row r="15557" spans="8:8">
      <c r="H15557" t="s">
        <v>22382</v>
      </c>
    </row>
    <row r="15558" spans="8:8">
      <c r="H15558" t="s">
        <v>22383</v>
      </c>
    </row>
    <row r="15559" spans="8:8">
      <c r="H15559" t="s">
        <v>22384</v>
      </c>
    </row>
    <row r="15560" spans="8:8">
      <c r="H15560" t="s">
        <v>22385</v>
      </c>
    </row>
    <row r="15561" spans="8:8">
      <c r="H15561" t="s">
        <v>22386</v>
      </c>
    </row>
    <row r="15562" spans="8:8">
      <c r="H15562" t="s">
        <v>22387</v>
      </c>
    </row>
    <row r="15563" spans="8:8">
      <c r="H15563" t="s">
        <v>22388</v>
      </c>
    </row>
    <row r="15564" spans="8:8">
      <c r="H15564" t="s">
        <v>22389</v>
      </c>
    </row>
    <row r="15565" spans="8:8">
      <c r="H15565" t="s">
        <v>22390</v>
      </c>
    </row>
    <row r="15566" spans="8:8">
      <c r="H15566" t="s">
        <v>22391</v>
      </c>
    </row>
    <row r="15567" spans="8:8">
      <c r="H15567" t="s">
        <v>22392</v>
      </c>
    </row>
    <row r="15568" spans="8:8">
      <c r="H15568" t="s">
        <v>22393</v>
      </c>
    </row>
    <row r="15569" spans="8:8">
      <c r="H15569" t="s">
        <v>22394</v>
      </c>
    </row>
    <row r="15570" spans="8:8">
      <c r="H15570" t="s">
        <v>22395</v>
      </c>
    </row>
    <row r="15571" spans="8:8">
      <c r="H15571" t="s">
        <v>22396</v>
      </c>
    </row>
    <row r="15572" spans="8:8">
      <c r="H15572" t="s">
        <v>22397</v>
      </c>
    </row>
    <row r="15573" spans="8:8">
      <c r="H15573" t="s">
        <v>22398</v>
      </c>
    </row>
    <row r="15574" spans="8:8">
      <c r="H15574" t="s">
        <v>22399</v>
      </c>
    </row>
    <row r="15575" spans="8:8">
      <c r="H15575" t="s">
        <v>22400</v>
      </c>
    </row>
    <row r="15576" spans="8:8">
      <c r="H15576" t="s">
        <v>22401</v>
      </c>
    </row>
    <row r="15577" spans="8:8">
      <c r="H15577" t="s">
        <v>22402</v>
      </c>
    </row>
    <row r="15578" spans="8:8">
      <c r="H15578" t="s">
        <v>22403</v>
      </c>
    </row>
    <row r="15579" spans="8:8">
      <c r="H15579" t="s">
        <v>22404</v>
      </c>
    </row>
    <row r="15580" spans="8:8">
      <c r="H15580" t="s">
        <v>22405</v>
      </c>
    </row>
    <row r="15581" spans="8:8">
      <c r="H15581" t="s">
        <v>22406</v>
      </c>
    </row>
    <row r="15582" spans="8:8">
      <c r="H15582" t="s">
        <v>22407</v>
      </c>
    </row>
    <row r="15583" spans="8:8">
      <c r="H15583" t="s">
        <v>22408</v>
      </c>
    </row>
    <row r="15584" spans="8:8">
      <c r="H15584" t="s">
        <v>22409</v>
      </c>
    </row>
    <row r="15585" spans="8:8">
      <c r="H15585" t="s">
        <v>22410</v>
      </c>
    </row>
    <row r="15586" spans="8:8">
      <c r="H15586" t="s">
        <v>22411</v>
      </c>
    </row>
    <row r="15587" spans="8:8">
      <c r="H15587" t="s">
        <v>22412</v>
      </c>
    </row>
    <row r="15588" spans="8:8">
      <c r="H15588" t="s">
        <v>22413</v>
      </c>
    </row>
    <row r="15589" spans="8:8">
      <c r="H15589" t="s">
        <v>22414</v>
      </c>
    </row>
    <row r="15590" spans="8:8">
      <c r="H15590" t="s">
        <v>22415</v>
      </c>
    </row>
    <row r="15591" spans="8:8">
      <c r="H15591" t="s">
        <v>22416</v>
      </c>
    </row>
    <row r="15592" spans="8:8">
      <c r="H15592" t="s">
        <v>22417</v>
      </c>
    </row>
    <row r="15593" spans="8:8">
      <c r="H15593" t="s">
        <v>22418</v>
      </c>
    </row>
    <row r="15594" spans="8:8">
      <c r="H15594" t="s">
        <v>22419</v>
      </c>
    </row>
    <row r="15595" spans="8:8">
      <c r="H15595" t="s">
        <v>22420</v>
      </c>
    </row>
    <row r="15596" spans="8:8">
      <c r="H15596" t="s">
        <v>22421</v>
      </c>
    </row>
    <row r="15597" spans="8:8">
      <c r="H15597" t="s">
        <v>22422</v>
      </c>
    </row>
    <row r="15598" spans="8:8">
      <c r="H15598" t="s">
        <v>22423</v>
      </c>
    </row>
    <row r="15599" spans="8:8">
      <c r="H15599" t="s">
        <v>22424</v>
      </c>
    </row>
    <row r="15600" spans="8:8">
      <c r="H15600" t="s">
        <v>22425</v>
      </c>
    </row>
    <row r="15601" spans="8:8">
      <c r="H15601" t="s">
        <v>22426</v>
      </c>
    </row>
    <row r="15602" spans="8:8">
      <c r="H15602" t="s">
        <v>22427</v>
      </c>
    </row>
    <row r="15603" spans="8:8">
      <c r="H15603" t="s">
        <v>22428</v>
      </c>
    </row>
    <row r="15604" spans="8:8">
      <c r="H15604" t="s">
        <v>22429</v>
      </c>
    </row>
    <row r="15605" spans="8:8">
      <c r="H15605" t="s">
        <v>22430</v>
      </c>
    </row>
    <row r="15606" spans="8:8">
      <c r="H15606" t="s">
        <v>22431</v>
      </c>
    </row>
    <row r="15607" spans="8:8">
      <c r="H15607" t="s">
        <v>22432</v>
      </c>
    </row>
    <row r="15608" spans="8:8">
      <c r="H15608" t="s">
        <v>22433</v>
      </c>
    </row>
    <row r="15609" spans="8:8">
      <c r="H15609" t="s">
        <v>22434</v>
      </c>
    </row>
    <row r="15610" spans="8:8">
      <c r="H15610" t="s">
        <v>22435</v>
      </c>
    </row>
    <row r="15611" spans="8:8">
      <c r="H15611" t="s">
        <v>22436</v>
      </c>
    </row>
    <row r="15612" spans="8:8">
      <c r="H15612" t="s">
        <v>22437</v>
      </c>
    </row>
    <row r="15613" spans="8:8">
      <c r="H15613" t="s">
        <v>22438</v>
      </c>
    </row>
    <row r="15614" spans="8:8">
      <c r="H15614" t="s">
        <v>22439</v>
      </c>
    </row>
    <row r="15615" spans="8:8">
      <c r="H15615" t="s">
        <v>22440</v>
      </c>
    </row>
    <row r="15616" spans="8:8">
      <c r="H15616" t="s">
        <v>22441</v>
      </c>
    </row>
    <row r="15617" spans="1:8">
      <c r="A15617" t="s">
        <v>621</v>
      </c>
      <c r="B15617">
        <f>HYPERLINK("https://android.googlesource.com/platform/cts/+/42aaa5c186ad6d8d539ad4862dd900ff89e67eb3", "42aaa5c186ad6d8d539ad4862dd900ff89e67eb3")</f>
        <v>0</v>
      </c>
      <c r="C15617">
        <f>HYPERLINK("https://android.googlesource.com/platform/cts/+/0fe77eeeb920b3b4a8719f1fd7635979339cc32c", "0fe77eeeb920b3b4a8719f1fd7635979339cc32c")</f>
        <v>0</v>
      </c>
      <c r="D15617" t="s">
        <v>5047</v>
      </c>
      <c r="E15617" t="s">
        <v>6406</v>
      </c>
      <c r="F15617" t="s">
        <v>12365</v>
      </c>
      <c r="G15617" t="s">
        <v>16592</v>
      </c>
      <c r="H15617" t="s">
        <v>20244</v>
      </c>
    </row>
    <row r="15618" spans="1:8">
      <c r="H15618" t="s">
        <v>18829</v>
      </c>
    </row>
    <row r="15619" spans="1:8">
      <c r="H15619" t="s">
        <v>18863</v>
      </c>
    </row>
    <row r="15620" spans="1:8">
      <c r="H15620" t="s">
        <v>22374</v>
      </c>
    </row>
    <row r="15621" spans="1:8">
      <c r="H15621" t="s">
        <v>22375</v>
      </c>
    </row>
    <row r="15622" spans="1:8">
      <c r="H15622" t="s">
        <v>22376</v>
      </c>
    </row>
    <row r="15623" spans="1:8">
      <c r="F15623" t="s">
        <v>12337</v>
      </c>
      <c r="G15623" t="s">
        <v>16565</v>
      </c>
      <c r="H15623" t="s">
        <v>22155</v>
      </c>
    </row>
    <row r="15624" spans="1:8">
      <c r="H15624" t="s">
        <v>22156</v>
      </c>
    </row>
    <row r="15625" spans="1:8">
      <c r="H15625" t="s">
        <v>22157</v>
      </c>
    </row>
    <row r="15626" spans="1:8">
      <c r="H15626" t="s">
        <v>22158</v>
      </c>
    </row>
    <row r="15627" spans="1:8">
      <c r="H15627" t="s">
        <v>22159</v>
      </c>
    </row>
    <row r="15628" spans="1:8">
      <c r="H15628" t="s">
        <v>22160</v>
      </c>
    </row>
    <row r="15629" spans="1:8">
      <c r="H15629" t="s">
        <v>22161</v>
      </c>
    </row>
    <row r="15630" spans="1:8">
      <c r="H15630" t="s">
        <v>22162</v>
      </c>
    </row>
    <row r="15631" spans="1:8">
      <c r="H15631" t="s">
        <v>22163</v>
      </c>
    </row>
    <row r="15632" spans="1:8">
      <c r="H15632" t="s">
        <v>22164</v>
      </c>
    </row>
    <row r="15633" spans="8:8">
      <c r="H15633" t="s">
        <v>22165</v>
      </c>
    </row>
    <row r="15634" spans="8:8">
      <c r="H15634" t="s">
        <v>22166</v>
      </c>
    </row>
    <row r="15635" spans="8:8">
      <c r="H15635" t="s">
        <v>22167</v>
      </c>
    </row>
    <row r="15636" spans="8:8">
      <c r="H15636" t="s">
        <v>22168</v>
      </c>
    </row>
    <row r="15637" spans="8:8">
      <c r="H15637" t="s">
        <v>22169</v>
      </c>
    </row>
    <row r="15638" spans="8:8">
      <c r="H15638" t="s">
        <v>22170</v>
      </c>
    </row>
    <row r="15639" spans="8:8">
      <c r="H15639" t="s">
        <v>22171</v>
      </c>
    </row>
    <row r="15640" spans="8:8">
      <c r="H15640" t="s">
        <v>22172</v>
      </c>
    </row>
    <row r="15641" spans="8:8">
      <c r="H15641" t="s">
        <v>22173</v>
      </c>
    </row>
    <row r="15642" spans="8:8">
      <c r="H15642" t="s">
        <v>22174</v>
      </c>
    </row>
    <row r="15643" spans="8:8">
      <c r="H15643" t="s">
        <v>22175</v>
      </c>
    </row>
    <row r="15644" spans="8:8">
      <c r="H15644" t="s">
        <v>22176</v>
      </c>
    </row>
    <row r="15645" spans="8:8">
      <c r="H15645" t="s">
        <v>22177</v>
      </c>
    </row>
    <row r="15646" spans="8:8">
      <c r="H15646" t="s">
        <v>22178</v>
      </c>
    </row>
    <row r="15647" spans="8:8">
      <c r="H15647" t="s">
        <v>22179</v>
      </c>
    </row>
    <row r="15648" spans="8:8">
      <c r="H15648" t="s">
        <v>20090</v>
      </c>
    </row>
    <row r="15649" spans="1:8">
      <c r="A15649" t="s">
        <v>622</v>
      </c>
      <c r="B15649">
        <f>HYPERLINK("https://android.googlesource.com/platform/cts/+/c0dd022fb07dc04bf910451706498d3674db66fd", "c0dd022fb07dc04bf910451706498d3674db66fd")</f>
        <v>0</v>
      </c>
      <c r="C15649">
        <f>HYPERLINK("https://android.googlesource.com/platform/cts/+/b3a935b7df3dcc97dbb143c32181bc2c526a914c", "b3a935b7df3dcc97dbb143c32181bc2c526a914c")</f>
        <v>0</v>
      </c>
      <c r="D15649" t="s">
        <v>4978</v>
      </c>
      <c r="E15649" t="s">
        <v>6407</v>
      </c>
      <c r="F15649" t="s">
        <v>12366</v>
      </c>
      <c r="G15649" t="s">
        <v>16593</v>
      </c>
      <c r="H15649" t="s">
        <v>22442</v>
      </c>
    </row>
    <row r="15650" spans="1:8">
      <c r="A15650" t="s">
        <v>623</v>
      </c>
      <c r="B15650">
        <f>HYPERLINK("https://android.googlesource.com/platform/cts/+/79833af64528af6e98c704b64536d741286fe814", "79833af64528af6e98c704b64536d741286fe814")</f>
        <v>0</v>
      </c>
      <c r="C15650">
        <f>HYPERLINK("https://android.googlesource.com/platform/cts/+/4dffb513a16dc6ad2d2b1d8042d4306ae96fb119", "4dffb513a16dc6ad2d2b1d8042d4306ae96fb119")</f>
        <v>0</v>
      </c>
      <c r="D15650" t="s">
        <v>5048</v>
      </c>
      <c r="E15650" t="s">
        <v>6408</v>
      </c>
      <c r="F15650" t="s">
        <v>12367</v>
      </c>
      <c r="G15650" t="s">
        <v>16594</v>
      </c>
      <c r="H15650" t="s">
        <v>22443</v>
      </c>
    </row>
    <row r="15651" spans="1:8">
      <c r="H15651" t="s">
        <v>22444</v>
      </c>
    </row>
    <row r="15652" spans="1:8">
      <c r="H15652" t="s">
        <v>22445</v>
      </c>
    </row>
    <row r="15653" spans="1:8">
      <c r="F15653" t="s">
        <v>12368</v>
      </c>
      <c r="G15653" t="s">
        <v>16595</v>
      </c>
      <c r="H15653" t="s">
        <v>22446</v>
      </c>
    </row>
    <row r="15654" spans="1:8">
      <c r="H15654" t="s">
        <v>22444</v>
      </c>
    </row>
    <row r="15655" spans="1:8">
      <c r="H15655" t="s">
        <v>22445</v>
      </c>
    </row>
    <row r="15656" spans="1:8">
      <c r="H15656" t="s">
        <v>22447</v>
      </c>
    </row>
    <row r="15657" spans="1:8">
      <c r="H15657" t="s">
        <v>22448</v>
      </c>
    </row>
    <row r="15658" spans="1:8">
      <c r="H15658" t="s">
        <v>22449</v>
      </c>
    </row>
    <row r="15659" spans="1:8">
      <c r="H15659" t="s">
        <v>22450</v>
      </c>
    </row>
    <row r="15660" spans="1:8">
      <c r="F15660" t="s">
        <v>12369</v>
      </c>
      <c r="G15660" t="s">
        <v>16596</v>
      </c>
      <c r="H15660" t="s">
        <v>22451</v>
      </c>
    </row>
    <row r="15661" spans="1:8">
      <c r="H15661" t="s">
        <v>22452</v>
      </c>
    </row>
    <row r="15662" spans="1:8">
      <c r="H15662" t="s">
        <v>22453</v>
      </c>
    </row>
    <row r="15663" spans="1:8">
      <c r="H15663" t="s">
        <v>22444</v>
      </c>
    </row>
    <row r="15664" spans="1:8">
      <c r="H15664" t="s">
        <v>22445</v>
      </c>
    </row>
    <row r="15665" spans="1:8">
      <c r="H15665" t="s">
        <v>22447</v>
      </c>
    </row>
    <row r="15666" spans="1:8">
      <c r="H15666" t="s">
        <v>22448</v>
      </c>
    </row>
    <row r="15667" spans="1:8">
      <c r="A15667" t="s">
        <v>624</v>
      </c>
      <c r="B15667">
        <f>HYPERLINK("https://android.googlesource.com/platform/cts/+/aa2be984e409f2b4dc4ccf8602decd8000fe30d4", "aa2be984e409f2b4dc4ccf8602decd8000fe30d4")</f>
        <v>0</v>
      </c>
      <c r="C15667">
        <f>HYPERLINK("https://android.googlesource.com/platform/cts/+/7581090d38826db254d5b6c222ba79381e104365", "7581090d38826db254d5b6c222ba79381e104365")</f>
        <v>0</v>
      </c>
      <c r="D15667" t="s">
        <v>5049</v>
      </c>
      <c r="E15667" t="s">
        <v>6409</v>
      </c>
      <c r="F15667" t="s">
        <v>12370</v>
      </c>
      <c r="G15667" t="s">
        <v>16597</v>
      </c>
      <c r="H15667" t="s">
        <v>22454</v>
      </c>
    </row>
    <row r="15668" spans="1:8">
      <c r="A15668" t="s">
        <v>625</v>
      </c>
      <c r="B15668">
        <f>HYPERLINK("https://android.googlesource.com/platform/cts/+/755a9597adbe56f8d80ab3943d28e0ed821b93f7", "755a9597adbe56f8d80ab3943d28e0ed821b93f7")</f>
        <v>0</v>
      </c>
      <c r="C15668">
        <f>HYPERLINK("https://android.googlesource.com/platform/cts/+/7581090d38826db254d5b6c222ba79381e104365", "7581090d38826db254d5b6c222ba79381e104365")</f>
        <v>0</v>
      </c>
      <c r="D15668" t="s">
        <v>5049</v>
      </c>
      <c r="E15668" t="s">
        <v>6410</v>
      </c>
      <c r="F15668" t="s">
        <v>12370</v>
      </c>
      <c r="G15668" t="s">
        <v>16597</v>
      </c>
      <c r="H15668" t="s">
        <v>22455</v>
      </c>
    </row>
    <row r="15669" spans="1:8">
      <c r="A15669" t="s">
        <v>626</v>
      </c>
      <c r="B15669">
        <f>HYPERLINK("https://android.googlesource.com/platform/cts/+/f2bee368d1e58d50027facfc6f2eff52206cc117", "f2bee368d1e58d50027facfc6f2eff52206cc117")</f>
        <v>0</v>
      </c>
      <c r="C15669">
        <f>HYPERLINK("https://android.googlesource.com/platform/cts/+/e45b4a5fba6c94e181f47e44a1c27696af4c42ef", "e45b4a5fba6c94e181f47e44a1c27696af4c42ef")</f>
        <v>0</v>
      </c>
      <c r="D15669" t="s">
        <v>5046</v>
      </c>
      <c r="E15669" t="s">
        <v>6411</v>
      </c>
      <c r="F15669" t="s">
        <v>10758</v>
      </c>
      <c r="G15669" t="s">
        <v>15156</v>
      </c>
      <c r="H15669" t="s">
        <v>22456</v>
      </c>
    </row>
    <row r="15670" spans="1:8">
      <c r="A15670" t="s">
        <v>627</v>
      </c>
      <c r="B15670">
        <f>HYPERLINK("https://android.googlesource.com/platform/cts/+/47172406f474366765c582e2272ff32cd0afbc2d", "47172406f474366765c582e2272ff32cd0afbc2d")</f>
        <v>0</v>
      </c>
      <c r="C15670">
        <f>HYPERLINK("https://android.googlesource.com/platform/cts/+/0c52cab4322df24ab30eccb75a3ced599431990c", "0c52cab4322df24ab30eccb75a3ced599431990c")</f>
        <v>0</v>
      </c>
      <c r="D15670" t="s">
        <v>5050</v>
      </c>
      <c r="E15670" t="s">
        <v>6412</v>
      </c>
      <c r="F15670" t="s">
        <v>12371</v>
      </c>
      <c r="G15670" t="s">
        <v>16598</v>
      </c>
      <c r="H15670" t="s">
        <v>22457</v>
      </c>
    </row>
    <row r="15671" spans="1:8">
      <c r="H15671" t="s">
        <v>22458</v>
      </c>
    </row>
    <row r="15672" spans="1:8">
      <c r="A15672" t="s">
        <v>628</v>
      </c>
      <c r="B15672">
        <f>HYPERLINK("https://android.googlesource.com/platform/cts/+/36fbe06aec51d2f0c9edec22f0d6903997ecf665", "36fbe06aec51d2f0c9edec22f0d6903997ecf665")</f>
        <v>0</v>
      </c>
      <c r="C15672">
        <f>HYPERLINK("https://android.googlesource.com/platform/cts/+/856b1cc7ef19414da9568447c4ed079a167b29db", "856b1cc7ef19414da9568447c4ed079a167b29db")</f>
        <v>0</v>
      </c>
      <c r="D15672" t="s">
        <v>4966</v>
      </c>
      <c r="E15672" t="s">
        <v>6413</v>
      </c>
      <c r="F15672" t="s">
        <v>12372</v>
      </c>
      <c r="G15672" t="s">
        <v>16599</v>
      </c>
      <c r="H15672" t="s">
        <v>18961</v>
      </c>
    </row>
    <row r="15673" spans="1:8">
      <c r="A15673" t="s">
        <v>629</v>
      </c>
      <c r="B15673">
        <f>HYPERLINK("https://android.googlesource.com/platform/cts/+/6b9fb05742aa05283e0eca98651743b564aea0b4", "6b9fb05742aa05283e0eca98651743b564aea0b4")</f>
        <v>0</v>
      </c>
      <c r="C15673">
        <f>HYPERLINK("https://android.googlesource.com/platform/cts/+/b356ae78745be1d70fd188578851b92aaec4dedb", "b356ae78745be1d70fd188578851b92aaec4dedb")</f>
        <v>0</v>
      </c>
      <c r="D15673" t="s">
        <v>5051</v>
      </c>
      <c r="E15673" t="s">
        <v>6414</v>
      </c>
      <c r="F15673" t="s">
        <v>12373</v>
      </c>
      <c r="G15673" t="s">
        <v>16600</v>
      </c>
      <c r="H15673" t="s">
        <v>22459</v>
      </c>
    </row>
    <row r="15674" spans="1:8">
      <c r="A15674" t="s">
        <v>630</v>
      </c>
      <c r="B15674">
        <f>HYPERLINK("https://android.googlesource.com/platform/cts/+/fef5e2c93f8f4371d52eec56dd8da7012e970da5", "fef5e2c93f8f4371d52eec56dd8da7012e970da5")</f>
        <v>0</v>
      </c>
      <c r="C15674">
        <f>HYPERLINK("https://android.googlesource.com/platform/cts/+/beb727c733565b48db1c3ee5ff3ca990b4682fc7", "beb727c733565b48db1c3ee5ff3ca990b4682fc7")</f>
        <v>0</v>
      </c>
      <c r="D15674" t="s">
        <v>5002</v>
      </c>
      <c r="E15674" t="s">
        <v>6415</v>
      </c>
      <c r="F15674" t="s">
        <v>12374</v>
      </c>
      <c r="G15674" t="s">
        <v>16601</v>
      </c>
      <c r="H15674" t="s">
        <v>20244</v>
      </c>
    </row>
    <row r="15675" spans="1:8">
      <c r="H15675" t="s">
        <v>22460</v>
      </c>
    </row>
    <row r="15676" spans="1:8">
      <c r="H15676" t="s">
        <v>18927</v>
      </c>
    </row>
    <row r="15677" spans="1:8">
      <c r="F15677" t="s">
        <v>10745</v>
      </c>
      <c r="G15677" t="s">
        <v>15144</v>
      </c>
      <c r="H15677" t="s">
        <v>22461</v>
      </c>
    </row>
    <row r="15678" spans="1:8">
      <c r="F15678" t="s">
        <v>12375</v>
      </c>
      <c r="G15678" t="s">
        <v>16602</v>
      </c>
      <c r="H15678" t="s">
        <v>22461</v>
      </c>
    </row>
    <row r="15679" spans="1:8">
      <c r="A15679" t="s">
        <v>631</v>
      </c>
      <c r="B15679">
        <f>HYPERLINK("https://android.googlesource.com/platform/cts/+/7e48d4c1959396d08a315a237a456442137d80a6", "7e48d4c1959396d08a315a237a456442137d80a6")</f>
        <v>0</v>
      </c>
      <c r="C15679">
        <f>HYPERLINK("https://android.googlesource.com/platform/cts/+/beb727c733565b48db1c3ee5ff3ca990b4682fc7", "beb727c733565b48db1c3ee5ff3ca990b4682fc7")</f>
        <v>0</v>
      </c>
      <c r="D15679" t="s">
        <v>4952</v>
      </c>
      <c r="E15679" t="s">
        <v>6416</v>
      </c>
      <c r="F15679" t="s">
        <v>12376</v>
      </c>
      <c r="G15679" t="s">
        <v>16603</v>
      </c>
      <c r="H15679" t="s">
        <v>22462</v>
      </c>
    </row>
    <row r="15680" spans="1:8">
      <c r="H15680" t="s">
        <v>22463</v>
      </c>
    </row>
    <row r="15681" spans="1:8">
      <c r="H15681" t="s">
        <v>22464</v>
      </c>
    </row>
    <row r="15682" spans="1:8">
      <c r="H15682" t="s">
        <v>22465</v>
      </c>
    </row>
    <row r="15683" spans="1:8">
      <c r="H15683" t="s">
        <v>22466</v>
      </c>
    </row>
    <row r="15684" spans="1:8">
      <c r="A15684" t="s">
        <v>632</v>
      </c>
      <c r="B15684">
        <f>HYPERLINK("https://android.googlesource.com/platform/cts/+/774c01574557a7b544f5d41473d3448a8d88581a", "774c01574557a7b544f5d41473d3448a8d88581a")</f>
        <v>0</v>
      </c>
      <c r="C15684">
        <f>HYPERLINK("https://android.googlesource.com/platform/cts/+/22d7ed486e3ae5294b51ef84b11aa11d295517f0", "22d7ed486e3ae5294b51ef84b11aa11d295517f0")</f>
        <v>0</v>
      </c>
      <c r="D15684" t="s">
        <v>5013</v>
      </c>
      <c r="E15684" t="s">
        <v>6417</v>
      </c>
      <c r="F15684" t="s">
        <v>12377</v>
      </c>
      <c r="G15684" t="s">
        <v>16604</v>
      </c>
      <c r="H15684" t="s">
        <v>22467</v>
      </c>
    </row>
    <row r="15685" spans="1:8">
      <c r="H15685" t="s">
        <v>22468</v>
      </c>
    </row>
    <row r="15686" spans="1:8">
      <c r="H15686" t="s">
        <v>22469</v>
      </c>
    </row>
    <row r="15687" spans="1:8">
      <c r="H15687" t="s">
        <v>22470</v>
      </c>
    </row>
    <row r="15688" spans="1:8">
      <c r="H15688" t="s">
        <v>22471</v>
      </c>
    </row>
    <row r="15689" spans="1:8">
      <c r="H15689" t="s">
        <v>22472</v>
      </c>
    </row>
    <row r="15690" spans="1:8">
      <c r="A15690" t="s">
        <v>633</v>
      </c>
      <c r="B15690">
        <f>HYPERLINK("https://android.googlesource.com/platform/cts/+/e00a2b8d92832236fc647d74acf21b7f4b35677b", "e00a2b8d92832236fc647d74acf21b7f4b35677b")</f>
        <v>0</v>
      </c>
      <c r="C15690">
        <f>HYPERLINK("https://android.googlesource.com/platform/cts/+/fef5e2c93f8f4371d52eec56dd8da7012e970da5", "fef5e2c93f8f4371d52eec56dd8da7012e970da5")</f>
        <v>0</v>
      </c>
      <c r="D15690" t="s">
        <v>5002</v>
      </c>
      <c r="E15690" t="s">
        <v>6418</v>
      </c>
      <c r="F15690" t="s">
        <v>11479</v>
      </c>
      <c r="G15690" t="s">
        <v>15719</v>
      </c>
      <c r="H15690" t="s">
        <v>22473</v>
      </c>
    </row>
    <row r="15691" spans="1:8">
      <c r="H15691" t="s">
        <v>22474</v>
      </c>
    </row>
    <row r="15692" spans="1:8">
      <c r="H15692" t="s">
        <v>20445</v>
      </c>
    </row>
    <row r="15693" spans="1:8">
      <c r="F15693" t="s">
        <v>10734</v>
      </c>
      <c r="G15693" t="s">
        <v>15133</v>
      </c>
      <c r="H15693" t="s">
        <v>22475</v>
      </c>
    </row>
    <row r="15694" spans="1:8">
      <c r="H15694" t="s">
        <v>22476</v>
      </c>
    </row>
    <row r="15695" spans="1:8">
      <c r="H15695" t="s">
        <v>22477</v>
      </c>
    </row>
    <row r="15696" spans="1:8">
      <c r="F15696" t="s">
        <v>12378</v>
      </c>
      <c r="G15696" t="s">
        <v>15334</v>
      </c>
      <c r="H15696" t="s">
        <v>19745</v>
      </c>
    </row>
    <row r="15697" spans="6:8">
      <c r="F15697" t="s">
        <v>12379</v>
      </c>
      <c r="G15697" t="s">
        <v>16605</v>
      </c>
      <c r="H15697" t="s">
        <v>19169</v>
      </c>
    </row>
    <row r="15698" spans="6:8">
      <c r="F15698" t="s">
        <v>12329</v>
      </c>
      <c r="G15698" t="s">
        <v>15331</v>
      </c>
      <c r="H15698" t="s">
        <v>19727</v>
      </c>
    </row>
    <row r="15699" spans="6:8">
      <c r="H15699" t="s">
        <v>19728</v>
      </c>
    </row>
    <row r="15700" spans="6:8">
      <c r="F15700" t="s">
        <v>12380</v>
      </c>
      <c r="G15700" t="s">
        <v>16606</v>
      </c>
      <c r="H15700" t="s">
        <v>18829</v>
      </c>
    </row>
    <row r="15701" spans="6:8">
      <c r="H15701" t="s">
        <v>22478</v>
      </c>
    </row>
    <row r="15702" spans="6:8">
      <c r="H15702" t="s">
        <v>22479</v>
      </c>
    </row>
    <row r="15703" spans="6:8">
      <c r="H15703" t="s">
        <v>22480</v>
      </c>
    </row>
    <row r="15704" spans="6:8">
      <c r="H15704" t="s">
        <v>22481</v>
      </c>
    </row>
    <row r="15705" spans="6:8">
      <c r="H15705" t="s">
        <v>22482</v>
      </c>
    </row>
    <row r="15706" spans="6:8">
      <c r="H15706" t="s">
        <v>22483</v>
      </c>
    </row>
    <row r="15707" spans="6:8">
      <c r="H15707" t="s">
        <v>22484</v>
      </c>
    </row>
    <row r="15708" spans="6:8">
      <c r="H15708" t="s">
        <v>22485</v>
      </c>
    </row>
    <row r="15709" spans="6:8">
      <c r="H15709" t="s">
        <v>22486</v>
      </c>
    </row>
    <row r="15710" spans="6:8">
      <c r="H15710" t="s">
        <v>22487</v>
      </c>
    </row>
    <row r="15711" spans="6:8">
      <c r="H15711" t="s">
        <v>22488</v>
      </c>
    </row>
    <row r="15712" spans="6:8">
      <c r="H15712" t="s">
        <v>22489</v>
      </c>
    </row>
    <row r="15713" spans="1:8">
      <c r="H15713" t="s">
        <v>22490</v>
      </c>
    </row>
    <row r="15714" spans="1:8">
      <c r="H15714" t="s">
        <v>22491</v>
      </c>
    </row>
    <row r="15715" spans="1:8">
      <c r="H15715" t="s">
        <v>22492</v>
      </c>
    </row>
    <row r="15716" spans="1:8">
      <c r="H15716" t="s">
        <v>22493</v>
      </c>
    </row>
    <row r="15717" spans="1:8">
      <c r="H15717" t="s">
        <v>22494</v>
      </c>
    </row>
    <row r="15718" spans="1:8">
      <c r="H15718" t="s">
        <v>22495</v>
      </c>
    </row>
    <row r="15719" spans="1:8">
      <c r="A15719" t="s">
        <v>634</v>
      </c>
      <c r="B15719">
        <f>HYPERLINK("https://android.googlesource.com/platform/cts/+/b7f8949d760eaa3d9af623f730f01b3cd72205c8", "b7f8949d760eaa3d9af623f730f01b3cd72205c8")</f>
        <v>0</v>
      </c>
      <c r="C15719">
        <f>HYPERLINK("https://android.googlesource.com/platform/cts/+/bf9021c60e54a6120acb9368c5cbd382f099fb16", "bf9021c60e54a6120acb9368c5cbd382f099fb16")</f>
        <v>0</v>
      </c>
      <c r="D15719" t="s">
        <v>5013</v>
      </c>
      <c r="E15719" t="s">
        <v>6419</v>
      </c>
      <c r="F15719" t="s">
        <v>12381</v>
      </c>
      <c r="G15719" t="s">
        <v>16607</v>
      </c>
      <c r="H15719" t="s">
        <v>22496</v>
      </c>
    </row>
    <row r="15720" spans="1:8">
      <c r="F15720" t="s">
        <v>12322</v>
      </c>
      <c r="G15720" t="s">
        <v>16552</v>
      </c>
      <c r="H15720" t="s">
        <v>22497</v>
      </c>
    </row>
    <row r="15721" spans="1:8">
      <c r="A15721" t="s">
        <v>635</v>
      </c>
      <c r="B15721">
        <f>HYPERLINK("https://android.googlesource.com/platform/cts/+/e0c56355cc48c33a0535850a6d75882aa80b0363", "e0c56355cc48c33a0535850a6d75882aa80b0363")</f>
        <v>0</v>
      </c>
      <c r="C15721">
        <f>HYPERLINK("https://android.googlesource.com/platform/cts/+/c354f8c661ad50aadd719de13d902ce7824f7aad", "c354f8c661ad50aadd719de13d902ce7824f7aad")</f>
        <v>0</v>
      </c>
      <c r="D15721" t="s">
        <v>5018</v>
      </c>
      <c r="E15721" t="s">
        <v>6420</v>
      </c>
      <c r="F15721" t="s">
        <v>12382</v>
      </c>
      <c r="G15721" t="s">
        <v>16608</v>
      </c>
      <c r="H15721" t="s">
        <v>22498</v>
      </c>
    </row>
    <row r="15722" spans="1:8">
      <c r="A15722" t="s">
        <v>636</v>
      </c>
      <c r="B15722">
        <f>HYPERLINK("https://android.googlesource.com/platform/cts/+/46f616f6f7fdd8195443acbdb5c09359ac203376", "46f616f6f7fdd8195443acbdb5c09359ac203376")</f>
        <v>0</v>
      </c>
      <c r="C15722">
        <f>HYPERLINK("https://android.googlesource.com/platform/cts/+/1b77bfc9258a8901f534c0d407959df15bfc11cd", "1b77bfc9258a8901f534c0d407959df15bfc11cd")</f>
        <v>0</v>
      </c>
      <c r="D15722" t="s">
        <v>5018</v>
      </c>
      <c r="E15722" t="s">
        <v>6421</v>
      </c>
      <c r="F15722" t="s">
        <v>12383</v>
      </c>
      <c r="G15722" t="s">
        <v>16609</v>
      </c>
      <c r="H15722" t="s">
        <v>18863</v>
      </c>
    </row>
    <row r="15723" spans="1:8">
      <c r="A15723" t="s">
        <v>637</v>
      </c>
      <c r="B15723">
        <f>HYPERLINK("https://android.googlesource.com/platform/cts/+/e337f8e68faf3222f4d8493e031ca33e055d266f", "e337f8e68faf3222f4d8493e031ca33e055d266f")</f>
        <v>0</v>
      </c>
      <c r="C15723">
        <f>HYPERLINK("https://android.googlesource.com/platform/cts/+/9afe698a2605aa52b25454fd740848ac2d097bcd", "9afe698a2605aa52b25454fd740848ac2d097bcd")</f>
        <v>0</v>
      </c>
      <c r="D15723" t="s">
        <v>4949</v>
      </c>
      <c r="E15723" t="s">
        <v>6422</v>
      </c>
      <c r="F15723" t="s">
        <v>12333</v>
      </c>
      <c r="G15723" t="s">
        <v>16561</v>
      </c>
      <c r="H15723" t="s">
        <v>22499</v>
      </c>
    </row>
    <row r="15724" spans="1:8">
      <c r="H15724" t="s">
        <v>22500</v>
      </c>
    </row>
    <row r="15725" spans="1:8">
      <c r="A15725" t="s">
        <v>638</v>
      </c>
      <c r="B15725">
        <f>HYPERLINK("https://android.googlesource.com/platform/cts/+/814b63f9b79f80195679e66fb40e256e3fec953a", "814b63f9b79f80195679e66fb40e256e3fec953a")</f>
        <v>0</v>
      </c>
      <c r="C15725">
        <f>HYPERLINK("https://android.googlesource.com/platform/cts/+/f69d80cb31c34c0de186f17de65b281a5b4298e3", "f69d80cb31c34c0de186f17de65b281a5b4298e3")</f>
        <v>0</v>
      </c>
      <c r="D15725" t="s">
        <v>5052</v>
      </c>
      <c r="E15725" t="s">
        <v>6423</v>
      </c>
      <c r="F15725" t="s">
        <v>12384</v>
      </c>
      <c r="G15725" t="s">
        <v>16610</v>
      </c>
      <c r="H15725" t="s">
        <v>22501</v>
      </c>
    </row>
    <row r="15726" spans="1:8">
      <c r="H15726" t="s">
        <v>22502</v>
      </c>
    </row>
    <row r="15727" spans="1:8">
      <c r="H15727" t="s">
        <v>22503</v>
      </c>
    </row>
    <row r="15728" spans="1:8">
      <c r="H15728" t="s">
        <v>22504</v>
      </c>
    </row>
    <row r="15729" spans="1:8">
      <c r="H15729" t="s">
        <v>22505</v>
      </c>
    </row>
    <row r="15730" spans="1:8">
      <c r="F15730" t="s">
        <v>12385</v>
      </c>
      <c r="G15730" t="s">
        <v>16600</v>
      </c>
      <c r="H15730" t="s">
        <v>22459</v>
      </c>
    </row>
    <row r="15731" spans="1:8">
      <c r="A15731" t="s">
        <v>639</v>
      </c>
      <c r="B15731">
        <f>HYPERLINK("https://android.googlesource.com/platform/cts/+/8eb978837675fb5f785f51c357e83c8032c8cfb9", "8eb978837675fb5f785f51c357e83c8032c8cfb9")</f>
        <v>0</v>
      </c>
      <c r="C15731">
        <f>HYPERLINK("https://android.googlesource.com/platform/cts/+/f2071f60a465485ca9fcd6286a378975a35fd827", "f2071f60a465485ca9fcd6286a378975a35fd827")</f>
        <v>0</v>
      </c>
      <c r="D15731" t="s">
        <v>4952</v>
      </c>
      <c r="E15731" t="s">
        <v>6424</v>
      </c>
      <c r="F15731" t="s">
        <v>10695</v>
      </c>
      <c r="G15731" t="s">
        <v>15095</v>
      </c>
      <c r="H15731" t="s">
        <v>22506</v>
      </c>
    </row>
    <row r="15732" spans="1:8">
      <c r="A15732" t="s">
        <v>640</v>
      </c>
      <c r="B15732">
        <f>HYPERLINK("https://android.googlesource.com/platform/cts/+/903ea27402939e0559c5be028b6dde2b64a8dae6", "903ea27402939e0559c5be028b6dde2b64a8dae6")</f>
        <v>0</v>
      </c>
      <c r="C15732">
        <f>HYPERLINK("https://android.googlesource.com/platform/cts/+/7dab75cc1d566395701cd3aa337600dbc2de9f15", "7dab75cc1d566395701cd3aa337600dbc2de9f15")</f>
        <v>0</v>
      </c>
      <c r="D15732" t="s">
        <v>5053</v>
      </c>
      <c r="E15732" t="s">
        <v>6425</v>
      </c>
      <c r="F15732" t="s">
        <v>12386</v>
      </c>
      <c r="G15732" t="s">
        <v>16611</v>
      </c>
      <c r="H15732" t="s">
        <v>22507</v>
      </c>
    </row>
    <row r="15733" spans="1:8">
      <c r="H15733" t="s">
        <v>22508</v>
      </c>
    </row>
    <row r="15734" spans="1:8">
      <c r="H15734" t="s">
        <v>22509</v>
      </c>
    </row>
    <row r="15735" spans="1:8">
      <c r="F15735" t="s">
        <v>12387</v>
      </c>
      <c r="G15735" t="s">
        <v>16612</v>
      </c>
      <c r="H15735" t="s">
        <v>22507</v>
      </c>
    </row>
    <row r="15736" spans="1:8">
      <c r="H15736" t="s">
        <v>22508</v>
      </c>
    </row>
    <row r="15737" spans="1:8">
      <c r="H15737" t="s">
        <v>22510</v>
      </c>
    </row>
    <row r="15738" spans="1:8">
      <c r="A15738" t="s">
        <v>641</v>
      </c>
      <c r="B15738">
        <f>HYPERLINK("https://android.googlesource.com/platform/cts/+/619b7e2a1d66b7deac94f546e1e1a1a0ced64cd1", "619b7e2a1d66b7deac94f546e1e1a1a0ced64cd1")</f>
        <v>0</v>
      </c>
      <c r="C15738">
        <f>HYPERLINK("https://android.googlesource.com/platform/cts/+/090352bd37f5c56a75d6d2141be39c6704443e9a", "090352bd37f5c56a75d6d2141be39c6704443e9a")</f>
        <v>0</v>
      </c>
      <c r="D15738" t="s">
        <v>5047</v>
      </c>
      <c r="E15738" t="s">
        <v>6426</v>
      </c>
      <c r="F15738" t="s">
        <v>12388</v>
      </c>
      <c r="G15738" t="s">
        <v>16613</v>
      </c>
      <c r="H15738" t="s">
        <v>22511</v>
      </c>
    </row>
    <row r="15739" spans="1:8">
      <c r="H15739" t="s">
        <v>18927</v>
      </c>
    </row>
    <row r="15740" spans="1:8">
      <c r="H15740" t="s">
        <v>18929</v>
      </c>
    </row>
    <row r="15741" spans="1:8">
      <c r="H15741" t="s">
        <v>22512</v>
      </c>
    </row>
    <row r="15742" spans="1:8">
      <c r="H15742" t="s">
        <v>22513</v>
      </c>
    </row>
    <row r="15743" spans="1:8">
      <c r="H15743" t="s">
        <v>22514</v>
      </c>
    </row>
    <row r="15744" spans="1:8">
      <c r="H15744" t="s">
        <v>22515</v>
      </c>
    </row>
    <row r="15745" spans="1:8">
      <c r="A15745" t="s">
        <v>642</v>
      </c>
      <c r="B15745">
        <f>HYPERLINK("https://android.googlesource.com/platform/cts/+/60aa6c0d72bccf01cfc6752160decf5940c0d605", "60aa6c0d72bccf01cfc6752160decf5940c0d605")</f>
        <v>0</v>
      </c>
      <c r="C15745">
        <f>HYPERLINK("https://android.googlesource.com/platform/cts/+/594bce789f06a1499b54246b108c066cb2252d01", "594bce789f06a1499b54246b108c066cb2252d01")</f>
        <v>0</v>
      </c>
      <c r="D15745" t="s">
        <v>5054</v>
      </c>
      <c r="E15745" t="s">
        <v>6427</v>
      </c>
      <c r="F15745" t="s">
        <v>12370</v>
      </c>
      <c r="G15745" t="s">
        <v>16597</v>
      </c>
      <c r="H15745" t="s">
        <v>22516</v>
      </c>
    </row>
    <row r="15746" spans="1:8">
      <c r="H15746" t="s">
        <v>22517</v>
      </c>
    </row>
    <row r="15747" spans="1:8">
      <c r="H15747" t="s">
        <v>22518</v>
      </c>
    </row>
    <row r="15748" spans="1:8">
      <c r="H15748" t="s">
        <v>22519</v>
      </c>
    </row>
    <row r="15749" spans="1:8">
      <c r="H15749" t="s">
        <v>22520</v>
      </c>
    </row>
    <row r="15750" spans="1:8">
      <c r="H15750" t="s">
        <v>22521</v>
      </c>
    </row>
    <row r="15751" spans="1:8">
      <c r="H15751" t="s">
        <v>22522</v>
      </c>
    </row>
    <row r="15752" spans="1:8">
      <c r="H15752" t="s">
        <v>22523</v>
      </c>
    </row>
    <row r="15753" spans="1:8">
      <c r="H15753" t="s">
        <v>22524</v>
      </c>
    </row>
    <row r="15754" spans="1:8">
      <c r="H15754" t="s">
        <v>22525</v>
      </c>
    </row>
    <row r="15755" spans="1:8">
      <c r="H15755" t="s">
        <v>22526</v>
      </c>
    </row>
    <row r="15756" spans="1:8">
      <c r="H15756" t="s">
        <v>22527</v>
      </c>
    </row>
    <row r="15757" spans="1:8">
      <c r="H15757" t="s">
        <v>22528</v>
      </c>
    </row>
    <row r="15758" spans="1:8">
      <c r="H15758" t="s">
        <v>22529</v>
      </c>
    </row>
    <row r="15759" spans="1:8">
      <c r="H15759" t="s">
        <v>22530</v>
      </c>
    </row>
    <row r="15760" spans="1:8">
      <c r="H15760" t="s">
        <v>22531</v>
      </c>
    </row>
    <row r="15761" spans="1:8">
      <c r="H15761" t="s">
        <v>22532</v>
      </c>
    </row>
    <row r="15762" spans="1:8">
      <c r="H15762" t="s">
        <v>22533</v>
      </c>
    </row>
    <row r="15763" spans="1:8">
      <c r="H15763" t="s">
        <v>22534</v>
      </c>
    </row>
    <row r="15764" spans="1:8">
      <c r="H15764" t="s">
        <v>22535</v>
      </c>
    </row>
    <row r="15765" spans="1:8">
      <c r="A15765" t="s">
        <v>643</v>
      </c>
      <c r="B15765">
        <f>HYPERLINK("https://android.googlesource.com/platform/cts/+/f797404407641c7105c863b7cb75cc93e5e6cb88", "f797404407641c7105c863b7cb75cc93e5e6cb88")</f>
        <v>0</v>
      </c>
      <c r="C15765">
        <f>HYPERLINK("https://android.googlesource.com/platform/cts/+/a0277538f0ef4eec3fc686c78fe99d8fac1a1f41", "a0277538f0ef4eec3fc686c78fe99d8fac1a1f41")</f>
        <v>0</v>
      </c>
      <c r="D15765" t="s">
        <v>5055</v>
      </c>
      <c r="E15765" t="s">
        <v>6428</v>
      </c>
      <c r="F15765" t="s">
        <v>12389</v>
      </c>
      <c r="G15765" t="s">
        <v>16614</v>
      </c>
      <c r="H15765" t="s">
        <v>22536</v>
      </c>
    </row>
    <row r="15766" spans="1:8">
      <c r="A15766" t="s">
        <v>644</v>
      </c>
      <c r="B15766">
        <f>HYPERLINK("https://android.googlesource.com/platform/cts/+/31f5743c5522820b490404f8026b8051368dc106", "31f5743c5522820b490404f8026b8051368dc106")</f>
        <v>0</v>
      </c>
      <c r="C15766">
        <f>HYPERLINK("https://android.googlesource.com/platform/cts/+/ba8be2ffd90af05cbc882a52e54db6a7bf5acc7c", "ba8be2ffd90af05cbc882a52e54db6a7bf5acc7c")</f>
        <v>0</v>
      </c>
      <c r="D15766" t="s">
        <v>5013</v>
      </c>
      <c r="E15766" t="s">
        <v>6429</v>
      </c>
      <c r="F15766" t="s">
        <v>12390</v>
      </c>
      <c r="G15766" t="s">
        <v>16615</v>
      </c>
      <c r="H15766" t="s">
        <v>22537</v>
      </c>
    </row>
    <row r="15767" spans="1:8">
      <c r="H15767" t="s">
        <v>22538</v>
      </c>
    </row>
    <row r="15768" spans="1:8">
      <c r="H15768" t="s">
        <v>22539</v>
      </c>
    </row>
    <row r="15769" spans="1:8">
      <c r="A15769" t="s">
        <v>645</v>
      </c>
      <c r="B15769">
        <f>HYPERLINK("https://android.googlesource.com/platform/cts/+/e9ec75e038faf78fbfa9a44fcac7b861c8473aa5", "e9ec75e038faf78fbfa9a44fcac7b861c8473aa5")</f>
        <v>0</v>
      </c>
      <c r="C15769">
        <f>HYPERLINK("https://android.googlesource.com/platform/cts/+/ba8be2ffd90af05cbc882a52e54db6a7bf5acc7c", "ba8be2ffd90af05cbc882a52e54db6a7bf5acc7c")</f>
        <v>0</v>
      </c>
      <c r="D15769" t="s">
        <v>5007</v>
      </c>
      <c r="E15769" t="s">
        <v>6430</v>
      </c>
      <c r="F15769" t="s">
        <v>12391</v>
      </c>
      <c r="G15769" t="s">
        <v>16616</v>
      </c>
      <c r="H15769" t="s">
        <v>22540</v>
      </c>
    </row>
    <row r="15770" spans="1:8">
      <c r="H15770" t="s">
        <v>22541</v>
      </c>
    </row>
    <row r="15771" spans="1:8">
      <c r="H15771" t="s">
        <v>22542</v>
      </c>
    </row>
    <row r="15772" spans="1:8">
      <c r="H15772" t="s">
        <v>22543</v>
      </c>
    </row>
    <row r="15773" spans="1:8">
      <c r="H15773" t="s">
        <v>22544</v>
      </c>
    </row>
    <row r="15774" spans="1:8">
      <c r="H15774" t="s">
        <v>22545</v>
      </c>
    </row>
    <row r="15775" spans="1:8">
      <c r="H15775" t="s">
        <v>22546</v>
      </c>
    </row>
    <row r="15776" spans="1:8">
      <c r="H15776" t="s">
        <v>22547</v>
      </c>
    </row>
    <row r="15777" spans="8:8">
      <c r="H15777" t="s">
        <v>22548</v>
      </c>
    </row>
    <row r="15778" spans="8:8">
      <c r="H15778" t="s">
        <v>22549</v>
      </c>
    </row>
    <row r="15779" spans="8:8">
      <c r="H15779" t="s">
        <v>22550</v>
      </c>
    </row>
    <row r="15780" spans="8:8">
      <c r="H15780" t="s">
        <v>22551</v>
      </c>
    </row>
    <row r="15781" spans="8:8">
      <c r="H15781" t="s">
        <v>22552</v>
      </c>
    </row>
    <row r="15782" spans="8:8">
      <c r="H15782" t="s">
        <v>22553</v>
      </c>
    </row>
    <row r="15783" spans="8:8">
      <c r="H15783" t="s">
        <v>22554</v>
      </c>
    </row>
    <row r="15784" spans="8:8">
      <c r="H15784" t="s">
        <v>22555</v>
      </c>
    </row>
    <row r="15785" spans="8:8">
      <c r="H15785" t="s">
        <v>22556</v>
      </c>
    </row>
    <row r="15786" spans="8:8">
      <c r="H15786" t="s">
        <v>22557</v>
      </c>
    </row>
    <row r="15787" spans="8:8">
      <c r="H15787" t="s">
        <v>22558</v>
      </c>
    </row>
    <row r="15788" spans="8:8">
      <c r="H15788" t="s">
        <v>22559</v>
      </c>
    </row>
    <row r="15789" spans="8:8">
      <c r="H15789" t="s">
        <v>22560</v>
      </c>
    </row>
    <row r="15790" spans="8:8">
      <c r="H15790" t="s">
        <v>22561</v>
      </c>
    </row>
    <row r="15791" spans="8:8">
      <c r="H15791" t="s">
        <v>22562</v>
      </c>
    </row>
    <row r="15792" spans="8:8">
      <c r="H15792" t="s">
        <v>22563</v>
      </c>
    </row>
    <row r="15793" spans="1:8">
      <c r="H15793" t="s">
        <v>22564</v>
      </c>
    </row>
    <row r="15794" spans="1:8">
      <c r="H15794" t="s">
        <v>22565</v>
      </c>
    </row>
    <row r="15795" spans="1:8">
      <c r="H15795" t="s">
        <v>22566</v>
      </c>
    </row>
    <row r="15796" spans="1:8">
      <c r="H15796" t="s">
        <v>22567</v>
      </c>
    </row>
    <row r="15797" spans="1:8">
      <c r="H15797" t="s">
        <v>22568</v>
      </c>
    </row>
    <row r="15798" spans="1:8">
      <c r="H15798" t="s">
        <v>22569</v>
      </c>
    </row>
    <row r="15799" spans="1:8">
      <c r="H15799" t="s">
        <v>22570</v>
      </c>
    </row>
    <row r="15800" spans="1:8">
      <c r="H15800" t="s">
        <v>22571</v>
      </c>
    </row>
    <row r="15801" spans="1:8">
      <c r="H15801" t="s">
        <v>22572</v>
      </c>
    </row>
    <row r="15802" spans="1:8">
      <c r="H15802" t="s">
        <v>22573</v>
      </c>
    </row>
    <row r="15803" spans="1:8">
      <c r="H15803" t="s">
        <v>22574</v>
      </c>
    </row>
    <row r="15804" spans="1:8">
      <c r="H15804" t="s">
        <v>22575</v>
      </c>
    </row>
    <row r="15805" spans="1:8">
      <c r="H15805" t="s">
        <v>22576</v>
      </c>
    </row>
    <row r="15806" spans="1:8">
      <c r="A15806" t="s">
        <v>646</v>
      </c>
      <c r="B15806">
        <f>HYPERLINK("https://android.googlesource.com/platform/cts/+/f67280f1c1b720c6e1f651e2092ccbb207539b4c", "f67280f1c1b720c6e1f651e2092ccbb207539b4c")</f>
        <v>0</v>
      </c>
      <c r="C15806">
        <f>HYPERLINK("https://android.googlesource.com/platform/cts/+/2635cc8e87289ee5d9e186ad3ee4699b34b48c20", "2635cc8e87289ee5d9e186ad3ee4699b34b48c20")</f>
        <v>0</v>
      </c>
      <c r="D15806" t="s">
        <v>5002</v>
      </c>
      <c r="E15806" t="s">
        <v>6431</v>
      </c>
      <c r="F15806" t="s">
        <v>10734</v>
      </c>
      <c r="G15806" t="s">
        <v>15133</v>
      </c>
      <c r="H15806" t="s">
        <v>22577</v>
      </c>
    </row>
    <row r="15807" spans="1:8">
      <c r="H15807" t="s">
        <v>22578</v>
      </c>
    </row>
    <row r="15808" spans="1:8">
      <c r="A15808" t="s">
        <v>647</v>
      </c>
      <c r="B15808">
        <f>HYPERLINK("https://android.googlesource.com/platform/cts/+/17aafef6b643b07102d9a7284eca3d4c3296021f", "17aafef6b643b07102d9a7284eca3d4c3296021f")</f>
        <v>0</v>
      </c>
      <c r="C15808">
        <f>HYPERLINK("https://android.googlesource.com/platform/cts/+/a7fc8dbfef73bebd77d53f9083bb17daddcafc2a", "a7fc8dbfef73bebd77d53f9083bb17daddcafc2a")</f>
        <v>0</v>
      </c>
      <c r="D15808" t="s">
        <v>5044</v>
      </c>
      <c r="E15808" t="s">
        <v>6432</v>
      </c>
      <c r="F15808" t="s">
        <v>12392</v>
      </c>
      <c r="G15808" t="s">
        <v>16617</v>
      </c>
      <c r="H15808" t="s">
        <v>18829</v>
      </c>
    </row>
    <row r="15809" spans="6:8">
      <c r="F15809" t="s">
        <v>12393</v>
      </c>
      <c r="G15809" t="s">
        <v>16618</v>
      </c>
      <c r="H15809" t="s">
        <v>22579</v>
      </c>
    </row>
    <row r="15810" spans="6:8">
      <c r="F15810" t="s">
        <v>12394</v>
      </c>
      <c r="G15810" t="s">
        <v>16619</v>
      </c>
      <c r="H15810" t="s">
        <v>20244</v>
      </c>
    </row>
    <row r="15811" spans="6:8">
      <c r="H15811" t="s">
        <v>18829</v>
      </c>
    </row>
    <row r="15812" spans="6:8">
      <c r="H15812" t="s">
        <v>22580</v>
      </c>
    </row>
    <row r="15813" spans="6:8">
      <c r="H15813" t="s">
        <v>18863</v>
      </c>
    </row>
    <row r="15814" spans="6:8">
      <c r="H15814" t="s">
        <v>22581</v>
      </c>
    </row>
    <row r="15815" spans="6:8">
      <c r="H15815" t="s">
        <v>22582</v>
      </c>
    </row>
    <row r="15816" spans="6:8">
      <c r="H15816" t="s">
        <v>22583</v>
      </c>
    </row>
    <row r="15817" spans="6:8">
      <c r="H15817" t="s">
        <v>22584</v>
      </c>
    </row>
    <row r="15818" spans="6:8">
      <c r="H15818" t="s">
        <v>22585</v>
      </c>
    </row>
    <row r="15819" spans="6:8">
      <c r="H15819" t="s">
        <v>22586</v>
      </c>
    </row>
    <row r="15820" spans="6:8">
      <c r="H15820" t="s">
        <v>22587</v>
      </c>
    </row>
    <row r="15821" spans="6:8">
      <c r="H15821" t="s">
        <v>22588</v>
      </c>
    </row>
    <row r="15822" spans="6:8">
      <c r="H15822" t="s">
        <v>22589</v>
      </c>
    </row>
    <row r="15823" spans="6:8">
      <c r="H15823" t="s">
        <v>22590</v>
      </c>
    </row>
    <row r="15824" spans="6:8">
      <c r="H15824" t="s">
        <v>22591</v>
      </c>
    </row>
    <row r="15825" spans="1:8">
      <c r="H15825" t="s">
        <v>22590</v>
      </c>
    </row>
    <row r="15826" spans="1:8">
      <c r="H15826" t="s">
        <v>22592</v>
      </c>
    </row>
    <row r="15827" spans="1:8">
      <c r="H15827" t="s">
        <v>22593</v>
      </c>
    </row>
    <row r="15828" spans="1:8">
      <c r="H15828" t="s">
        <v>22594</v>
      </c>
    </row>
    <row r="15829" spans="1:8">
      <c r="A15829" t="s">
        <v>648</v>
      </c>
      <c r="B15829">
        <f>HYPERLINK("https://android.googlesource.com/platform/cts/+/a5c70e1993d7dbf2bb1c12ac38a94b29c8529ec6", "a5c70e1993d7dbf2bb1c12ac38a94b29c8529ec6")</f>
        <v>0</v>
      </c>
      <c r="C15829">
        <f>HYPERLINK("https://android.googlesource.com/platform/cts/+/26215f546dd22c93b3cfd58f668ceead1ca0005f", "26215f546dd22c93b3cfd58f668ceead1ca0005f")</f>
        <v>0</v>
      </c>
      <c r="D15829" t="s">
        <v>5056</v>
      </c>
      <c r="E15829" t="s">
        <v>6433</v>
      </c>
      <c r="F15829" t="s">
        <v>12395</v>
      </c>
      <c r="G15829" t="s">
        <v>16620</v>
      </c>
      <c r="H15829" t="s">
        <v>22595</v>
      </c>
    </row>
    <row r="15830" spans="1:8">
      <c r="A15830" t="s">
        <v>649</v>
      </c>
      <c r="B15830">
        <f>HYPERLINK("https://android.googlesource.com/platform/cts/+/d82745ff4a8b174f7be1258fd329dedc52ce58bb", "d82745ff4a8b174f7be1258fd329dedc52ce58bb")</f>
        <v>0</v>
      </c>
      <c r="C15830">
        <f>HYPERLINK("https://android.googlesource.com/platform/cts/+/01a0abaa5d946965dd96c298dc31c7504dc844fe", "01a0abaa5d946965dd96c298dc31c7504dc844fe")</f>
        <v>0</v>
      </c>
      <c r="D15830" t="s">
        <v>5047</v>
      </c>
      <c r="E15830" t="s">
        <v>6434</v>
      </c>
      <c r="F15830" t="s">
        <v>12396</v>
      </c>
      <c r="G15830" t="s">
        <v>16613</v>
      </c>
      <c r="H15830" t="s">
        <v>22511</v>
      </c>
    </row>
    <row r="15831" spans="1:8">
      <c r="H15831" t="s">
        <v>18927</v>
      </c>
    </row>
    <row r="15832" spans="1:8">
      <c r="H15832" t="s">
        <v>18929</v>
      </c>
    </row>
    <row r="15833" spans="1:8">
      <c r="H15833" t="s">
        <v>22512</v>
      </c>
    </row>
    <row r="15834" spans="1:8">
      <c r="H15834" t="s">
        <v>22513</v>
      </c>
    </row>
    <row r="15835" spans="1:8">
      <c r="H15835" t="s">
        <v>22514</v>
      </c>
    </row>
    <row r="15836" spans="1:8">
      <c r="H15836" t="s">
        <v>22515</v>
      </c>
    </row>
    <row r="15837" spans="1:8">
      <c r="F15837" t="s">
        <v>12397</v>
      </c>
      <c r="G15837" t="s">
        <v>16613</v>
      </c>
      <c r="H15837" t="s">
        <v>22511</v>
      </c>
    </row>
    <row r="15838" spans="1:8">
      <c r="H15838" t="s">
        <v>18927</v>
      </c>
    </row>
    <row r="15839" spans="1:8">
      <c r="H15839" t="s">
        <v>18929</v>
      </c>
    </row>
    <row r="15840" spans="1:8">
      <c r="H15840" t="s">
        <v>22512</v>
      </c>
    </row>
    <row r="15841" spans="1:8">
      <c r="H15841" t="s">
        <v>22513</v>
      </c>
    </row>
    <row r="15842" spans="1:8">
      <c r="H15842" t="s">
        <v>22514</v>
      </c>
    </row>
    <row r="15843" spans="1:8">
      <c r="H15843" t="s">
        <v>22515</v>
      </c>
    </row>
    <row r="15844" spans="1:8">
      <c r="A15844" t="s">
        <v>650</v>
      </c>
      <c r="B15844">
        <f>HYPERLINK("https://android.googlesource.com/platform/cts/+/7defa712d3a9f54a52dece5ef7094f35f681e97e", "7defa712d3a9f54a52dece5ef7094f35f681e97e")</f>
        <v>0</v>
      </c>
      <c r="C15844">
        <f>HYPERLINK("https://android.googlesource.com/platform/cts/+/06f4097c1662191bb1bfd8eb28b907986ca839c8", "06f4097c1662191bb1bfd8eb28b907986ca839c8")</f>
        <v>0</v>
      </c>
      <c r="D15844" t="s">
        <v>5057</v>
      </c>
      <c r="E15844" t="s">
        <v>6435</v>
      </c>
      <c r="F15844" t="s">
        <v>12398</v>
      </c>
      <c r="G15844" t="s">
        <v>16621</v>
      </c>
      <c r="H15844" t="s">
        <v>22596</v>
      </c>
    </row>
    <row r="15845" spans="1:8">
      <c r="H15845" t="s">
        <v>22597</v>
      </c>
    </row>
    <row r="15846" spans="1:8">
      <c r="H15846" t="s">
        <v>22598</v>
      </c>
    </row>
    <row r="15847" spans="1:8">
      <c r="H15847" t="s">
        <v>22599</v>
      </c>
    </row>
    <row r="15848" spans="1:8">
      <c r="A15848" t="s">
        <v>651</v>
      </c>
      <c r="B15848">
        <f>HYPERLINK("https://android.googlesource.com/platform/cts/+/a8fe8f8bed94e10af6071c823c3dac99c957bda3", "a8fe8f8bed94e10af6071c823c3dac99c957bda3")</f>
        <v>0</v>
      </c>
      <c r="C15848">
        <f>HYPERLINK("https://android.googlesource.com/platform/cts/+/3924da3d4d4d1ce2a5329834a7a3f9e270aec892", "3924da3d4d4d1ce2a5329834a7a3f9e270aec892")</f>
        <v>0</v>
      </c>
      <c r="D15848" t="s">
        <v>5058</v>
      </c>
      <c r="E15848" t="s">
        <v>6436</v>
      </c>
      <c r="F15848" t="s">
        <v>12399</v>
      </c>
      <c r="G15848" t="s">
        <v>16606</v>
      </c>
      <c r="H15848" t="s">
        <v>22480</v>
      </c>
    </row>
    <row r="15849" spans="1:8">
      <c r="A15849" t="s">
        <v>652</v>
      </c>
      <c r="B15849">
        <f>HYPERLINK("https://android.googlesource.com/platform/cts/+/d1301be379b0090f9f39a25a69fd0e77c02ac944", "d1301be379b0090f9f39a25a69fd0e77c02ac944")</f>
        <v>0</v>
      </c>
      <c r="C15849">
        <f>HYPERLINK("https://android.googlesource.com/platform/cts/+/4aa17ebc9e4c4e2566500a5d5b33767abeaaf8aa", "4aa17ebc9e4c4e2566500a5d5b33767abeaaf8aa")</f>
        <v>0</v>
      </c>
      <c r="D15849" t="s">
        <v>5007</v>
      </c>
      <c r="E15849" t="s">
        <v>6437</v>
      </c>
      <c r="F15849" t="s">
        <v>12391</v>
      </c>
      <c r="G15849" t="s">
        <v>16616</v>
      </c>
      <c r="H15849" t="s">
        <v>22540</v>
      </c>
    </row>
    <row r="15850" spans="1:8">
      <c r="H15850" t="s">
        <v>22541</v>
      </c>
    </row>
    <row r="15851" spans="1:8">
      <c r="H15851" t="s">
        <v>22542</v>
      </c>
    </row>
    <row r="15852" spans="1:8">
      <c r="H15852" t="s">
        <v>22543</v>
      </c>
    </row>
    <row r="15853" spans="1:8">
      <c r="H15853" t="s">
        <v>22544</v>
      </c>
    </row>
    <row r="15854" spans="1:8">
      <c r="H15854" t="s">
        <v>22545</v>
      </c>
    </row>
    <row r="15855" spans="1:8">
      <c r="H15855" t="s">
        <v>22546</v>
      </c>
    </row>
    <row r="15856" spans="1:8">
      <c r="H15856" t="s">
        <v>22547</v>
      </c>
    </row>
    <row r="15857" spans="8:8">
      <c r="H15857" t="s">
        <v>22548</v>
      </c>
    </row>
    <row r="15858" spans="8:8">
      <c r="H15858" t="s">
        <v>22549</v>
      </c>
    </row>
    <row r="15859" spans="8:8">
      <c r="H15859" t="s">
        <v>22550</v>
      </c>
    </row>
    <row r="15860" spans="8:8">
      <c r="H15860" t="s">
        <v>22551</v>
      </c>
    </row>
    <row r="15861" spans="8:8">
      <c r="H15861" t="s">
        <v>22552</v>
      </c>
    </row>
    <row r="15862" spans="8:8">
      <c r="H15862" t="s">
        <v>22553</v>
      </c>
    </row>
    <row r="15863" spans="8:8">
      <c r="H15863" t="s">
        <v>22554</v>
      </c>
    </row>
    <row r="15864" spans="8:8">
      <c r="H15864" t="s">
        <v>22555</v>
      </c>
    </row>
    <row r="15865" spans="8:8">
      <c r="H15865" t="s">
        <v>22556</v>
      </c>
    </row>
    <row r="15866" spans="8:8">
      <c r="H15866" t="s">
        <v>22557</v>
      </c>
    </row>
    <row r="15867" spans="8:8">
      <c r="H15867" t="s">
        <v>22558</v>
      </c>
    </row>
    <row r="15868" spans="8:8">
      <c r="H15868" t="s">
        <v>22559</v>
      </c>
    </row>
    <row r="15869" spans="8:8">
      <c r="H15869" t="s">
        <v>22560</v>
      </c>
    </row>
    <row r="15870" spans="8:8">
      <c r="H15870" t="s">
        <v>22561</v>
      </c>
    </row>
    <row r="15871" spans="8:8">
      <c r="H15871" t="s">
        <v>22562</v>
      </c>
    </row>
    <row r="15872" spans="8:8">
      <c r="H15872" t="s">
        <v>22563</v>
      </c>
    </row>
    <row r="15873" spans="1:8">
      <c r="H15873" t="s">
        <v>22564</v>
      </c>
    </row>
    <row r="15874" spans="1:8">
      <c r="H15874" t="s">
        <v>22565</v>
      </c>
    </row>
    <row r="15875" spans="1:8">
      <c r="H15875" t="s">
        <v>22566</v>
      </c>
    </row>
    <row r="15876" spans="1:8">
      <c r="H15876" t="s">
        <v>22567</v>
      </c>
    </row>
    <row r="15877" spans="1:8">
      <c r="H15877" t="s">
        <v>22568</v>
      </c>
    </row>
    <row r="15878" spans="1:8">
      <c r="H15878" t="s">
        <v>22569</v>
      </c>
    </row>
    <row r="15879" spans="1:8">
      <c r="H15879" t="s">
        <v>22570</v>
      </c>
    </row>
    <row r="15880" spans="1:8">
      <c r="H15880" t="s">
        <v>22571</v>
      </c>
    </row>
    <row r="15881" spans="1:8">
      <c r="H15881" t="s">
        <v>22572</v>
      </c>
    </row>
    <row r="15882" spans="1:8">
      <c r="H15882" t="s">
        <v>22573</v>
      </c>
    </row>
    <row r="15883" spans="1:8">
      <c r="H15883" t="s">
        <v>22574</v>
      </c>
    </row>
    <row r="15884" spans="1:8">
      <c r="H15884" t="s">
        <v>22575</v>
      </c>
    </row>
    <row r="15885" spans="1:8">
      <c r="H15885" t="s">
        <v>22576</v>
      </c>
    </row>
    <row r="15886" spans="1:8">
      <c r="A15886" t="s">
        <v>653</v>
      </c>
      <c r="B15886">
        <f>HYPERLINK("https://android.googlesource.com/platform/cts/+/8d959c10e2f3eb9e85951e9348c869cb9ef1cefd", "8d959c10e2f3eb9e85951e9348c869cb9ef1cefd")</f>
        <v>0</v>
      </c>
      <c r="C15886">
        <f>HYPERLINK("https://android.googlesource.com/platform/cts/+/01c2b49b71b753c9dec109ba2419e5ae5d677ce0", "01c2b49b71b753c9dec109ba2419e5ae5d677ce0")</f>
        <v>0</v>
      </c>
      <c r="D15886" t="s">
        <v>4981</v>
      </c>
      <c r="E15886" t="s">
        <v>6438</v>
      </c>
      <c r="F15886" t="s">
        <v>12400</v>
      </c>
      <c r="G15886" t="s">
        <v>16622</v>
      </c>
      <c r="H15886" t="s">
        <v>22600</v>
      </c>
    </row>
    <row r="15887" spans="1:8">
      <c r="H15887" t="s">
        <v>18829</v>
      </c>
    </row>
    <row r="15888" spans="1:8">
      <c r="H15888" t="s">
        <v>18863</v>
      </c>
    </row>
    <row r="15889" spans="1:8">
      <c r="H15889" t="s">
        <v>22601</v>
      </c>
    </row>
    <row r="15890" spans="1:8">
      <c r="H15890" t="s">
        <v>22602</v>
      </c>
    </row>
    <row r="15891" spans="1:8">
      <c r="H15891" t="s">
        <v>22603</v>
      </c>
    </row>
    <row r="15892" spans="1:8">
      <c r="H15892" t="s">
        <v>22604</v>
      </c>
    </row>
    <row r="15893" spans="1:8">
      <c r="H15893" t="s">
        <v>22605</v>
      </c>
    </row>
    <row r="15894" spans="1:8">
      <c r="H15894" t="s">
        <v>22606</v>
      </c>
    </row>
    <row r="15895" spans="1:8">
      <c r="H15895" t="s">
        <v>22607</v>
      </c>
    </row>
    <row r="15896" spans="1:8">
      <c r="H15896" t="s">
        <v>22608</v>
      </c>
    </row>
    <row r="15897" spans="1:8">
      <c r="A15897" t="s">
        <v>654</v>
      </c>
      <c r="B15897">
        <f>HYPERLINK("https://android.googlesource.com/platform/cts/+/4458c69a44bade4f46c38222f3dfe1b582f4a33d", "4458c69a44bade4f46c38222f3dfe1b582f4a33d")</f>
        <v>0</v>
      </c>
      <c r="C15897">
        <f>HYPERLINK("https://android.googlesource.com/platform/cts/+/1c1ab4a091d264807670744d0f6e927312b51c50", "1c1ab4a091d264807670744d0f6e927312b51c50")</f>
        <v>0</v>
      </c>
      <c r="D15897" t="s">
        <v>5013</v>
      </c>
      <c r="E15897" t="s">
        <v>6439</v>
      </c>
      <c r="F15897" t="s">
        <v>12187</v>
      </c>
      <c r="G15897" t="s">
        <v>16426</v>
      </c>
      <c r="H15897" t="s">
        <v>22609</v>
      </c>
    </row>
    <row r="15898" spans="1:8">
      <c r="H15898" t="s">
        <v>21227</v>
      </c>
    </row>
    <row r="15899" spans="1:8">
      <c r="H15899" t="s">
        <v>22610</v>
      </c>
    </row>
    <row r="15900" spans="1:8">
      <c r="H15900" t="s">
        <v>21228</v>
      </c>
    </row>
    <row r="15901" spans="1:8">
      <c r="H15901" t="s">
        <v>22611</v>
      </c>
    </row>
    <row r="15902" spans="1:8">
      <c r="H15902" t="s">
        <v>22612</v>
      </c>
    </row>
    <row r="15903" spans="1:8">
      <c r="H15903" t="s">
        <v>22613</v>
      </c>
    </row>
    <row r="15904" spans="1:8">
      <c r="H15904" t="s">
        <v>21226</v>
      </c>
    </row>
    <row r="15905" spans="1:8">
      <c r="H15905" t="s">
        <v>21227</v>
      </c>
    </row>
    <row r="15906" spans="1:8">
      <c r="H15906" t="s">
        <v>21228</v>
      </c>
    </row>
    <row r="15907" spans="1:8">
      <c r="F15907" t="s">
        <v>12322</v>
      </c>
      <c r="G15907" t="s">
        <v>16552</v>
      </c>
      <c r="H15907" t="s">
        <v>22063</v>
      </c>
    </row>
    <row r="15908" spans="1:8">
      <c r="H15908" t="s">
        <v>22063</v>
      </c>
    </row>
    <row r="15909" spans="1:8">
      <c r="H15909" t="s">
        <v>22614</v>
      </c>
    </row>
    <row r="15910" spans="1:8">
      <c r="H15910" t="s">
        <v>22615</v>
      </c>
    </row>
    <row r="15911" spans="1:8">
      <c r="H15911" t="s">
        <v>22616</v>
      </c>
    </row>
    <row r="15912" spans="1:8">
      <c r="H15912" t="s">
        <v>22617</v>
      </c>
    </row>
    <row r="15913" spans="1:8">
      <c r="H15913" t="s">
        <v>22617</v>
      </c>
    </row>
    <row r="15914" spans="1:8">
      <c r="H15914" t="s">
        <v>22618</v>
      </c>
    </row>
    <row r="15915" spans="1:8">
      <c r="F15915" t="s">
        <v>12401</v>
      </c>
      <c r="G15915" t="s">
        <v>16623</v>
      </c>
      <c r="H15915" t="s">
        <v>22619</v>
      </c>
    </row>
    <row r="15916" spans="1:8">
      <c r="H15916" t="s">
        <v>22620</v>
      </c>
    </row>
    <row r="15917" spans="1:8">
      <c r="H15917" t="s">
        <v>22621</v>
      </c>
    </row>
    <row r="15918" spans="1:8">
      <c r="F15918" t="s">
        <v>12377</v>
      </c>
      <c r="G15918" t="s">
        <v>16604</v>
      </c>
      <c r="H15918" t="s">
        <v>22620</v>
      </c>
    </row>
    <row r="15919" spans="1:8">
      <c r="H15919" t="s">
        <v>22621</v>
      </c>
    </row>
    <row r="15920" spans="1:8">
      <c r="A15920" t="s">
        <v>655</v>
      </c>
      <c r="B15920">
        <f>HYPERLINK("https://android.googlesource.com/platform/cts/+/85211ebbcd2c14c3de8d14051e6f7144818f34c1", "85211ebbcd2c14c3de8d14051e6f7144818f34c1")</f>
        <v>0</v>
      </c>
      <c r="C15920">
        <f>HYPERLINK("https://android.googlesource.com/platform/cts/+/1d82a8f57f47f61e3cd87cb13121ff78d1ac1195", "1d82a8f57f47f61e3cd87cb13121ff78d1ac1195")</f>
        <v>0</v>
      </c>
      <c r="D15920" t="s">
        <v>4960</v>
      </c>
      <c r="E15920" t="s">
        <v>6440</v>
      </c>
      <c r="F15920" t="s">
        <v>12402</v>
      </c>
      <c r="G15920" t="s">
        <v>16624</v>
      </c>
      <c r="H15920" t="s">
        <v>22622</v>
      </c>
    </row>
    <row r="15921" spans="1:8">
      <c r="A15921" t="s">
        <v>656</v>
      </c>
      <c r="B15921">
        <f>HYPERLINK("https://android.googlesource.com/platform/cts/+/49a11da037dd2b7aa283b48039a1da1c82c260a1", "49a11da037dd2b7aa283b48039a1da1c82c260a1")</f>
        <v>0</v>
      </c>
      <c r="C15921">
        <f>HYPERLINK("https://android.googlesource.com/platform/cts/+/206fb1022448bdd1a6496d40c638732aa994c432", "206fb1022448bdd1a6496d40c638732aa994c432")</f>
        <v>0</v>
      </c>
      <c r="D15921" t="s">
        <v>5059</v>
      </c>
      <c r="E15921" t="s">
        <v>6441</v>
      </c>
      <c r="F15921" t="s">
        <v>12389</v>
      </c>
      <c r="G15921" t="s">
        <v>16614</v>
      </c>
      <c r="H15921" t="s">
        <v>22623</v>
      </c>
    </row>
    <row r="15922" spans="1:8">
      <c r="H15922" t="s">
        <v>22624</v>
      </c>
    </row>
    <row r="15923" spans="1:8">
      <c r="F15923" t="s">
        <v>12403</v>
      </c>
      <c r="G15923" t="s">
        <v>16625</v>
      </c>
      <c r="H15923" t="s">
        <v>22625</v>
      </c>
    </row>
    <row r="15924" spans="1:8">
      <c r="A15924" t="s">
        <v>657</v>
      </c>
      <c r="B15924">
        <f>HYPERLINK("https://android.googlesource.com/platform/cts/+/a2a23157acd87e8618b7e7158e3644750a779905", "a2a23157acd87e8618b7e7158e3644750a779905")</f>
        <v>0</v>
      </c>
      <c r="C15924">
        <f>HYPERLINK("https://android.googlesource.com/platform/cts/+/c189d58d586eb7ff467f9ed1276462828ad21b8e", "c189d58d586eb7ff467f9ed1276462828ad21b8e")</f>
        <v>0</v>
      </c>
      <c r="D15924" t="s">
        <v>4952</v>
      </c>
      <c r="E15924" t="s">
        <v>6442</v>
      </c>
      <c r="F15924" t="s">
        <v>12404</v>
      </c>
      <c r="G15924" t="s">
        <v>16626</v>
      </c>
      <c r="H15924" t="s">
        <v>22626</v>
      </c>
    </row>
    <row r="15925" spans="1:8">
      <c r="A15925" t="s">
        <v>658</v>
      </c>
      <c r="B15925">
        <f>HYPERLINK("https://android.googlesource.com/platform/cts/+/1e4bf6161c7e771c48540cd77d8e7ada69af8c95", "1e4bf6161c7e771c48540cd77d8e7ada69af8c95")</f>
        <v>0</v>
      </c>
      <c r="C15925">
        <f>HYPERLINK("https://android.googlesource.com/platform/cts/+/82d999a624995f3a52856493dab133ebf10d3d7e", "82d999a624995f3a52856493dab133ebf10d3d7e")</f>
        <v>0</v>
      </c>
      <c r="D15925" t="s">
        <v>5060</v>
      </c>
      <c r="E15925" t="s">
        <v>6443</v>
      </c>
      <c r="F15925" t="s">
        <v>12342</v>
      </c>
      <c r="G15925" t="s">
        <v>16570</v>
      </c>
      <c r="H15925" t="s">
        <v>22627</v>
      </c>
    </row>
    <row r="15926" spans="1:8">
      <c r="H15926" t="s">
        <v>22628</v>
      </c>
    </row>
    <row r="15927" spans="1:8">
      <c r="H15927" t="s">
        <v>22629</v>
      </c>
    </row>
    <row r="15928" spans="1:8">
      <c r="A15928" t="s">
        <v>659</v>
      </c>
      <c r="B15928">
        <f>HYPERLINK("https://android.googlesource.com/platform/cts/+/7580bc92a5b669c79bf27f9766f24cfd5c1b2009", "7580bc92a5b669c79bf27f9766f24cfd5c1b2009")</f>
        <v>0</v>
      </c>
      <c r="C15928">
        <f>HYPERLINK("https://android.googlesource.com/platform/cts/+/f8989ca1dcf700426cd805d384aee89b9ed709ba", "f8989ca1dcf700426cd805d384aee89b9ed709ba")</f>
        <v>0</v>
      </c>
      <c r="D15928" t="s">
        <v>5060</v>
      </c>
      <c r="E15928" t="s">
        <v>6444</v>
      </c>
      <c r="F15928" t="s">
        <v>12342</v>
      </c>
      <c r="G15928" t="s">
        <v>16570</v>
      </c>
      <c r="H15928" t="s">
        <v>22627</v>
      </c>
    </row>
    <row r="15929" spans="1:8">
      <c r="H15929" t="s">
        <v>22628</v>
      </c>
    </row>
    <row r="15930" spans="1:8">
      <c r="H15930" t="s">
        <v>22629</v>
      </c>
    </row>
    <row r="15931" spans="1:8">
      <c r="A15931" t="s">
        <v>660</v>
      </c>
      <c r="B15931">
        <f>HYPERLINK("https://android.googlesource.com/platform/cts/+/74486465410b6bc86beb8ac346ca3574c0a8790c", "74486465410b6bc86beb8ac346ca3574c0a8790c")</f>
        <v>0</v>
      </c>
      <c r="C15931">
        <f>HYPERLINK("https://android.googlesource.com/platform/cts/+/8c8aa2eae6198f3fea628806d65c7d3698746eab", "8c8aa2eae6198f3fea628806d65c7d3698746eab")</f>
        <v>0</v>
      </c>
      <c r="D15931" t="s">
        <v>5061</v>
      </c>
      <c r="E15931" t="s">
        <v>6445</v>
      </c>
      <c r="F15931" t="s">
        <v>11470</v>
      </c>
      <c r="G15931" t="s">
        <v>15710</v>
      </c>
      <c r="H15931" t="s">
        <v>22630</v>
      </c>
    </row>
    <row r="15932" spans="1:8">
      <c r="A15932" t="s">
        <v>661</v>
      </c>
      <c r="B15932">
        <f>HYPERLINK("https://android.googlesource.com/platform/cts/+/c176cac43bbed5bb27d0e89f16c109ff1f9b8ec3", "c176cac43bbed5bb27d0e89f16c109ff1f9b8ec3")</f>
        <v>0</v>
      </c>
      <c r="C15932">
        <f>HYPERLINK("https://android.googlesource.com/platform/cts/+/cd14265f18df8b1f46035d4d4673757206c388de", "cd14265f18df8b1f46035d4d4673757206c388de")</f>
        <v>0</v>
      </c>
      <c r="D15932" t="s">
        <v>5018</v>
      </c>
      <c r="E15932" t="s">
        <v>6446</v>
      </c>
      <c r="F15932" t="s">
        <v>10747</v>
      </c>
      <c r="G15932" t="s">
        <v>15129</v>
      </c>
      <c r="H15932" t="s">
        <v>22631</v>
      </c>
    </row>
    <row r="15933" spans="1:8">
      <c r="H15933" t="s">
        <v>22632</v>
      </c>
    </row>
    <row r="15934" spans="1:8">
      <c r="A15934" t="s">
        <v>662</v>
      </c>
      <c r="B15934">
        <f>HYPERLINK("https://android.googlesource.com/platform/cts/+/99f81251726e5ed294a723541b694d3a940138d4", "99f81251726e5ed294a723541b694d3a940138d4")</f>
        <v>0</v>
      </c>
      <c r="C15934">
        <f>HYPERLINK("https://android.googlesource.com/platform/cts/+/23a8f762e037f0c289154541fa07ce4545614a9b", "23a8f762e037f0c289154541fa07ce4545614a9b")</f>
        <v>0</v>
      </c>
      <c r="D15934" t="s">
        <v>5062</v>
      </c>
      <c r="E15934" t="s">
        <v>6447</v>
      </c>
      <c r="F15934" t="s">
        <v>12405</v>
      </c>
      <c r="G15934" t="s">
        <v>16627</v>
      </c>
      <c r="H15934" t="s">
        <v>18829</v>
      </c>
    </row>
    <row r="15935" spans="1:8">
      <c r="H15935" t="s">
        <v>18863</v>
      </c>
    </row>
    <row r="15936" spans="1:8">
      <c r="H15936" t="s">
        <v>22601</v>
      </c>
    </row>
    <row r="15937" spans="1:8">
      <c r="H15937" t="s">
        <v>22602</v>
      </c>
    </row>
    <row r="15938" spans="1:8">
      <c r="H15938" t="s">
        <v>22603</v>
      </c>
    </row>
    <row r="15939" spans="1:8">
      <c r="H15939" t="s">
        <v>22604</v>
      </c>
    </row>
    <row r="15940" spans="1:8">
      <c r="H15940" t="s">
        <v>22633</v>
      </c>
    </row>
    <row r="15941" spans="1:8">
      <c r="H15941" t="s">
        <v>22605</v>
      </c>
    </row>
    <row r="15942" spans="1:8">
      <c r="H15942" t="s">
        <v>22606</v>
      </c>
    </row>
    <row r="15943" spans="1:8">
      <c r="H15943" t="s">
        <v>22607</v>
      </c>
    </row>
    <row r="15944" spans="1:8">
      <c r="H15944" t="s">
        <v>22608</v>
      </c>
    </row>
    <row r="15945" spans="1:8">
      <c r="A15945" t="s">
        <v>663</v>
      </c>
      <c r="B15945">
        <f>HYPERLINK("https://android.googlesource.com/platform/cts/+/76ea6326e7728a6f1c27e8f32db2e16efaaf0a98", "76ea6326e7728a6f1c27e8f32db2e16efaaf0a98")</f>
        <v>0</v>
      </c>
      <c r="C15945">
        <f>HYPERLINK("https://android.googlesource.com/platform/cts/+/b56fc59d78e60c9a89fc711f79ebc0c0884514dc", "b56fc59d78e60c9a89fc711f79ebc0c0884514dc")</f>
        <v>0</v>
      </c>
      <c r="D15945" t="s">
        <v>5029</v>
      </c>
      <c r="E15945" t="s">
        <v>6448</v>
      </c>
      <c r="F15945" t="s">
        <v>10945</v>
      </c>
      <c r="G15945" t="s">
        <v>15338</v>
      </c>
      <c r="H15945" t="s">
        <v>19072</v>
      </c>
    </row>
    <row r="15946" spans="1:8">
      <c r="H15946" t="s">
        <v>19073</v>
      </c>
    </row>
    <row r="15947" spans="1:8">
      <c r="A15947" t="s">
        <v>664</v>
      </c>
      <c r="B15947">
        <f>HYPERLINK("https://android.googlesource.com/platform/cts/+/d8f368c35d1dcdba572de21888bfdac2ac7d408c", "d8f368c35d1dcdba572de21888bfdac2ac7d408c")</f>
        <v>0</v>
      </c>
      <c r="C15947">
        <f>HYPERLINK("https://android.googlesource.com/platform/cts/+/998968bb3045935d097d4b120759acda1e2fb772", "998968bb3045935d097d4b120759acda1e2fb772")</f>
        <v>0</v>
      </c>
      <c r="D15947" t="s">
        <v>5060</v>
      </c>
      <c r="E15947" t="s">
        <v>6449</v>
      </c>
      <c r="F15947" t="s">
        <v>12342</v>
      </c>
      <c r="G15947" t="s">
        <v>16570</v>
      </c>
      <c r="H15947" t="s">
        <v>22627</v>
      </c>
    </row>
    <row r="15948" spans="1:8">
      <c r="H15948" t="s">
        <v>22628</v>
      </c>
    </row>
    <row r="15949" spans="1:8">
      <c r="H15949" t="s">
        <v>22629</v>
      </c>
    </row>
    <row r="15950" spans="1:8">
      <c r="A15950" t="s">
        <v>665</v>
      </c>
      <c r="B15950">
        <f>HYPERLINK("https://android.googlesource.com/platform/cts/+/6396d2134c42d1841031a1ad40c1408d98494d03", "6396d2134c42d1841031a1ad40c1408d98494d03")</f>
        <v>0</v>
      </c>
      <c r="C15950">
        <f>HYPERLINK("https://android.googlesource.com/platform/cts/+/ec69fcc99f9e459fa6fe4ba8e9884600aa5c10ae", "ec69fcc99f9e459fa6fe4ba8e9884600aa5c10ae")</f>
        <v>0</v>
      </c>
      <c r="D15950" t="s">
        <v>5018</v>
      </c>
      <c r="E15950" t="s">
        <v>6450</v>
      </c>
      <c r="F15950" t="s">
        <v>10747</v>
      </c>
      <c r="G15950" t="s">
        <v>15129</v>
      </c>
      <c r="H15950" t="s">
        <v>22634</v>
      </c>
    </row>
    <row r="15951" spans="1:8">
      <c r="H15951" t="s">
        <v>22635</v>
      </c>
    </row>
    <row r="15952" spans="1:8">
      <c r="F15952" t="s">
        <v>10734</v>
      </c>
      <c r="G15952" t="s">
        <v>15133</v>
      </c>
      <c r="H15952" t="s">
        <v>22636</v>
      </c>
    </row>
    <row r="15953" spans="1:8">
      <c r="H15953" t="s">
        <v>22637</v>
      </c>
    </row>
    <row r="15954" spans="1:8">
      <c r="F15954" t="s">
        <v>12378</v>
      </c>
      <c r="G15954" t="s">
        <v>15334</v>
      </c>
      <c r="H15954" t="s">
        <v>20004</v>
      </c>
    </row>
    <row r="15955" spans="1:8">
      <c r="F15955" t="s">
        <v>10735</v>
      </c>
      <c r="G15955" t="s">
        <v>15134</v>
      </c>
      <c r="H15955" t="s">
        <v>22638</v>
      </c>
    </row>
    <row r="15956" spans="1:8">
      <c r="A15956" t="s">
        <v>666</v>
      </c>
      <c r="B15956">
        <f>HYPERLINK("https://android.googlesource.com/platform/cts/+/6340ecadcc0df9e3f658ef58cfac2cbc2da4dbef", "6340ecadcc0df9e3f658ef58cfac2cbc2da4dbef")</f>
        <v>0</v>
      </c>
      <c r="C15956">
        <f>HYPERLINK("https://android.googlesource.com/platform/cts/+/1b16d5ced284c1341c6bf3003f39027083053e30", "1b16d5ced284c1341c6bf3003f39027083053e30")</f>
        <v>0</v>
      </c>
      <c r="D15956" t="s">
        <v>5063</v>
      </c>
      <c r="E15956" t="s">
        <v>6451</v>
      </c>
      <c r="F15956" t="s">
        <v>12406</v>
      </c>
      <c r="G15956" t="s">
        <v>16628</v>
      </c>
      <c r="H15956" t="s">
        <v>22639</v>
      </c>
    </row>
    <row r="15957" spans="1:8">
      <c r="F15957" t="s">
        <v>12176</v>
      </c>
      <c r="G15957" t="s">
        <v>16415</v>
      </c>
      <c r="H15957" t="s">
        <v>22640</v>
      </c>
    </row>
    <row r="15958" spans="1:8">
      <c r="H15958" t="s">
        <v>22641</v>
      </c>
    </row>
    <row r="15959" spans="1:8">
      <c r="H15959" t="s">
        <v>22642</v>
      </c>
    </row>
    <row r="15960" spans="1:8">
      <c r="H15960" t="s">
        <v>22643</v>
      </c>
    </row>
    <row r="15961" spans="1:8">
      <c r="H15961" t="s">
        <v>22644</v>
      </c>
    </row>
    <row r="15962" spans="1:8">
      <c r="H15962" t="s">
        <v>22645</v>
      </c>
    </row>
    <row r="15963" spans="1:8">
      <c r="H15963" t="s">
        <v>22646</v>
      </c>
    </row>
    <row r="15964" spans="1:8">
      <c r="A15964" t="s">
        <v>667</v>
      </c>
      <c r="B15964">
        <f>HYPERLINK("https://android.googlesource.com/platform/cts/+/583d2d3f49ffacaff1e647e1d9ed59d459e7df3c", "583d2d3f49ffacaff1e647e1d9ed59d459e7df3c")</f>
        <v>0</v>
      </c>
      <c r="C15964">
        <f>HYPERLINK("https://android.googlesource.com/platform/cts/+/7b101b6bcf2ceb5469479fa4211074f463e039e7", "7b101b6bcf2ceb5469479fa4211074f463e039e7")</f>
        <v>0</v>
      </c>
      <c r="D15964" t="s">
        <v>5060</v>
      </c>
      <c r="E15964" t="s">
        <v>6452</v>
      </c>
      <c r="F15964" t="s">
        <v>12342</v>
      </c>
      <c r="G15964" t="s">
        <v>16570</v>
      </c>
      <c r="H15964" t="s">
        <v>22627</v>
      </c>
    </row>
    <row r="15965" spans="1:8">
      <c r="H15965" t="s">
        <v>22628</v>
      </c>
    </row>
    <row r="15966" spans="1:8">
      <c r="H15966" t="s">
        <v>22629</v>
      </c>
    </row>
    <row r="15967" spans="1:8">
      <c r="A15967" t="s">
        <v>668</v>
      </c>
      <c r="B15967">
        <f>HYPERLINK("https://android.googlesource.com/platform/cts/+/8e1f6e4a0868bb0bfce4341b068898ec615cd6b8", "8e1f6e4a0868bb0bfce4341b068898ec615cd6b8")</f>
        <v>0</v>
      </c>
      <c r="C15967">
        <f>HYPERLINK("https://android.googlesource.com/platform/cts/+/736f60e4ee34c9d9bf23f217c300545c67c3a065", "736f60e4ee34c9d9bf23f217c300545c67c3a065")</f>
        <v>0</v>
      </c>
      <c r="D15967" t="s">
        <v>5060</v>
      </c>
      <c r="E15967" t="s">
        <v>6453</v>
      </c>
      <c r="F15967" t="s">
        <v>12407</v>
      </c>
      <c r="G15967" t="s">
        <v>16629</v>
      </c>
      <c r="H15967" t="s">
        <v>22647</v>
      </c>
    </row>
    <row r="15968" spans="1:8">
      <c r="A15968" t="s">
        <v>669</v>
      </c>
      <c r="B15968">
        <f>HYPERLINK("https://android.googlesource.com/platform/cts/+/6fe901d4fa1107d4f104d1722e4814031f8545f5", "6fe901d4fa1107d4f104d1722e4814031f8545f5")</f>
        <v>0</v>
      </c>
      <c r="C15968">
        <f>HYPERLINK("https://android.googlesource.com/platform/cts/+/9caf39821afcc9433e8c196a8ad42eb63cea4692", "9caf39821afcc9433e8c196a8ad42eb63cea4692")</f>
        <v>0</v>
      </c>
      <c r="D15968" t="s">
        <v>5064</v>
      </c>
      <c r="E15968" t="s">
        <v>6454</v>
      </c>
      <c r="F15968" t="s">
        <v>12370</v>
      </c>
      <c r="G15968" t="s">
        <v>16597</v>
      </c>
      <c r="H15968" t="s">
        <v>22517</v>
      </c>
    </row>
    <row r="15969" spans="1:8">
      <c r="H15969" t="s">
        <v>22518</v>
      </c>
    </row>
    <row r="15970" spans="1:8">
      <c r="H15970" t="s">
        <v>22519</v>
      </c>
    </row>
    <row r="15971" spans="1:8">
      <c r="A15971" t="s">
        <v>670</v>
      </c>
      <c r="B15971">
        <f>HYPERLINK("https://android.googlesource.com/platform/cts/+/85bbb7c3d8c9e6e55c0147fd1627e4eefaf6b865", "85bbb7c3d8c9e6e55c0147fd1627e4eefaf6b865")</f>
        <v>0</v>
      </c>
      <c r="C15971">
        <f>HYPERLINK("https://android.googlesource.com/platform/cts/+/ffa07edf597da1451ddfd62e3ea0d0f4b4efbe19", "ffa07edf597da1451ddfd62e3ea0d0f4b4efbe19")</f>
        <v>0</v>
      </c>
      <c r="D15971" t="s">
        <v>5030</v>
      </c>
      <c r="E15971" t="s">
        <v>6455</v>
      </c>
      <c r="F15971" t="s">
        <v>12334</v>
      </c>
      <c r="G15971" t="s">
        <v>16562</v>
      </c>
      <c r="H15971" t="s">
        <v>22648</v>
      </c>
    </row>
    <row r="15972" spans="1:8">
      <c r="F15972" t="s">
        <v>12180</v>
      </c>
      <c r="G15972" t="s">
        <v>16419</v>
      </c>
      <c r="H15972" t="s">
        <v>22649</v>
      </c>
    </row>
    <row r="15973" spans="1:8">
      <c r="F15973" t="s">
        <v>12408</v>
      </c>
      <c r="G15973" t="s">
        <v>16630</v>
      </c>
      <c r="H15973" t="s">
        <v>22650</v>
      </c>
    </row>
    <row r="15974" spans="1:8">
      <c r="F15974" t="s">
        <v>12319</v>
      </c>
      <c r="G15974" t="s">
        <v>16549</v>
      </c>
      <c r="H15974" t="s">
        <v>22649</v>
      </c>
    </row>
    <row r="15975" spans="1:8">
      <c r="H15975" t="s">
        <v>22651</v>
      </c>
    </row>
    <row r="15976" spans="1:8">
      <c r="F15976" t="s">
        <v>12409</v>
      </c>
      <c r="G15976" t="s">
        <v>16631</v>
      </c>
      <c r="H15976" t="s">
        <v>22649</v>
      </c>
    </row>
    <row r="15977" spans="1:8">
      <c r="A15977" t="s">
        <v>671</v>
      </c>
      <c r="B15977">
        <f>HYPERLINK("https://android.googlesource.com/platform/cts/+/b34ae0b2998aa3ac14034b2a8e48b6d4e94f7605", "b34ae0b2998aa3ac14034b2a8e48b6d4e94f7605")</f>
        <v>0</v>
      </c>
      <c r="C15977">
        <f>HYPERLINK("https://android.googlesource.com/platform/cts/+/83a66c288f2665166724ab0b1a7fb3f89810fecb", "83a66c288f2665166724ab0b1a7fb3f89810fecb")</f>
        <v>0</v>
      </c>
      <c r="D15977" t="s">
        <v>5060</v>
      </c>
      <c r="E15977" t="s">
        <v>6453</v>
      </c>
      <c r="F15977" t="s">
        <v>12407</v>
      </c>
      <c r="G15977" t="s">
        <v>16629</v>
      </c>
      <c r="H15977" t="s">
        <v>22647</v>
      </c>
    </row>
    <row r="15978" spans="1:8">
      <c r="A15978" t="s">
        <v>672</v>
      </c>
      <c r="B15978">
        <f>HYPERLINK("https://android.googlesource.com/platform/cts/+/ba5cb90a0866f6036657d8ebe3fcc5a9483acfd7", "ba5cb90a0866f6036657d8ebe3fcc5a9483acfd7")</f>
        <v>0</v>
      </c>
      <c r="C15978">
        <f>HYPERLINK("https://android.googlesource.com/platform/cts/+/67341b969bc7fa1a505eb5b81bdabdf12692294a", "67341b969bc7fa1a505eb5b81bdabdf12692294a")</f>
        <v>0</v>
      </c>
      <c r="D15978" t="s">
        <v>5030</v>
      </c>
      <c r="E15978" t="s">
        <v>6455</v>
      </c>
      <c r="F15978" t="s">
        <v>12334</v>
      </c>
      <c r="G15978" t="s">
        <v>16562</v>
      </c>
      <c r="H15978" t="s">
        <v>22648</v>
      </c>
    </row>
    <row r="15979" spans="1:8">
      <c r="F15979" t="s">
        <v>12180</v>
      </c>
      <c r="G15979" t="s">
        <v>16419</v>
      </c>
      <c r="H15979" t="s">
        <v>22649</v>
      </c>
    </row>
    <row r="15980" spans="1:8">
      <c r="F15980" t="s">
        <v>12408</v>
      </c>
      <c r="G15980" t="s">
        <v>16630</v>
      </c>
      <c r="H15980" t="s">
        <v>22650</v>
      </c>
    </row>
    <row r="15981" spans="1:8">
      <c r="F15981" t="s">
        <v>12319</v>
      </c>
      <c r="G15981" t="s">
        <v>16549</v>
      </c>
      <c r="H15981" t="s">
        <v>22649</v>
      </c>
    </row>
    <row r="15982" spans="1:8">
      <c r="H15982" t="s">
        <v>22651</v>
      </c>
    </row>
    <row r="15983" spans="1:8">
      <c r="F15983" t="s">
        <v>12409</v>
      </c>
      <c r="G15983" t="s">
        <v>16631</v>
      </c>
      <c r="H15983" t="s">
        <v>22649</v>
      </c>
    </row>
    <row r="15984" spans="1:8">
      <c r="A15984" t="s">
        <v>673</v>
      </c>
      <c r="B15984">
        <f>HYPERLINK("https://android.googlesource.com/platform/cts/+/8143153cef876e2b14eb6d170cab85d6973349f1", "8143153cef876e2b14eb6d170cab85d6973349f1")</f>
        <v>0</v>
      </c>
      <c r="C15984">
        <f>HYPERLINK("https://android.googlesource.com/platform/cts/+/6e598db82d333af8a4108e22d335b8b34d35ce5e", "6e598db82d333af8a4108e22d335b8b34d35ce5e")</f>
        <v>0</v>
      </c>
      <c r="D15984" t="s">
        <v>5038</v>
      </c>
      <c r="E15984" t="s">
        <v>6456</v>
      </c>
      <c r="F15984" t="s">
        <v>12185</v>
      </c>
      <c r="G15984" t="s">
        <v>16424</v>
      </c>
      <c r="H15984" t="s">
        <v>22652</v>
      </c>
    </row>
    <row r="15985" spans="1:8">
      <c r="A15985" t="s">
        <v>674</v>
      </c>
      <c r="B15985">
        <f>HYPERLINK("https://android.googlesource.com/platform/cts/+/d2be1693f09bca8ce37f945f3e342eb37444d774", "d2be1693f09bca8ce37f945f3e342eb37444d774")</f>
        <v>0</v>
      </c>
      <c r="C15985">
        <f>HYPERLINK("https://android.googlesource.com/platform/cts/+/380a0c49847776707abc578cf9883441b898a00c", "380a0c49847776707abc578cf9883441b898a00c")</f>
        <v>0</v>
      </c>
      <c r="D15985" t="s">
        <v>5030</v>
      </c>
      <c r="E15985" t="s">
        <v>6457</v>
      </c>
      <c r="F15985" t="s">
        <v>12410</v>
      </c>
      <c r="G15985" t="s">
        <v>16632</v>
      </c>
      <c r="H15985" t="s">
        <v>22653</v>
      </c>
    </row>
    <row r="15986" spans="1:8">
      <c r="H15986" t="s">
        <v>22650</v>
      </c>
    </row>
    <row r="15987" spans="1:8">
      <c r="F15987" t="s">
        <v>12411</v>
      </c>
      <c r="G15987" t="s">
        <v>16633</v>
      </c>
      <c r="H15987" t="s">
        <v>22640</v>
      </c>
    </row>
    <row r="15988" spans="1:8">
      <c r="H15988" t="s">
        <v>22654</v>
      </c>
    </row>
    <row r="15989" spans="1:8">
      <c r="H15989" t="s">
        <v>22655</v>
      </c>
    </row>
    <row r="15990" spans="1:8">
      <c r="H15990" t="s">
        <v>22656</v>
      </c>
    </row>
    <row r="15991" spans="1:8">
      <c r="F15991" t="s">
        <v>12412</v>
      </c>
      <c r="G15991" t="s">
        <v>16634</v>
      </c>
      <c r="H15991" t="s">
        <v>22650</v>
      </c>
    </row>
    <row r="15992" spans="1:8">
      <c r="A15992" t="s">
        <v>675</v>
      </c>
      <c r="B15992">
        <f>HYPERLINK("https://android.googlesource.com/platform/cts/+/993e0e230f7d28a0889c83d17386ec21f9cf9c50", "993e0e230f7d28a0889c83d17386ec21f9cf9c50")</f>
        <v>0</v>
      </c>
      <c r="C15992">
        <f>HYPERLINK("https://android.googlesource.com/platform/cts/+/2568025d95587addc694660352f3ac7701bd6d8c", "2568025d95587addc694660352f3ac7701bd6d8c")</f>
        <v>0</v>
      </c>
      <c r="D15992" t="s">
        <v>5057</v>
      </c>
      <c r="E15992" t="s">
        <v>6458</v>
      </c>
      <c r="F15992" t="s">
        <v>12176</v>
      </c>
      <c r="G15992" t="s">
        <v>16415</v>
      </c>
      <c r="H15992" t="s">
        <v>22657</v>
      </c>
    </row>
    <row r="15993" spans="1:8">
      <c r="A15993" t="s">
        <v>676</v>
      </c>
      <c r="B15993">
        <f>HYPERLINK("https://android.googlesource.com/platform/cts/+/38414d5c426713a1ca2f642faeb3b7ca89881897", "38414d5c426713a1ca2f642faeb3b7ca89881897")</f>
        <v>0</v>
      </c>
      <c r="C15993">
        <f>HYPERLINK("https://android.googlesource.com/platform/cts/+/baf4543e8950c4430647ef65f62274eba121dd13", "baf4543e8950c4430647ef65f62274eba121dd13")</f>
        <v>0</v>
      </c>
      <c r="D15993" t="s">
        <v>5057</v>
      </c>
      <c r="E15993" t="s">
        <v>6459</v>
      </c>
      <c r="F15993" t="s">
        <v>12176</v>
      </c>
      <c r="G15993" t="s">
        <v>16415</v>
      </c>
      <c r="H15993" t="s">
        <v>22657</v>
      </c>
    </row>
    <row r="15994" spans="1:8">
      <c r="A15994" t="s">
        <v>677</v>
      </c>
      <c r="B15994">
        <f>HYPERLINK("https://android.googlesource.com/platform/cts/+/df1c6d45f64d6f7b33a84bc1b089754cdbeaa4d2", "df1c6d45f64d6f7b33a84bc1b089754cdbeaa4d2")</f>
        <v>0</v>
      </c>
      <c r="C15994">
        <f>HYPERLINK("https://android.googlesource.com/platform/cts/+/b732a7a8aad6a7c7dea47dee464a8fee183f851b", "b732a7a8aad6a7c7dea47dee464a8fee183f851b")</f>
        <v>0</v>
      </c>
      <c r="D15994" t="s">
        <v>5030</v>
      </c>
      <c r="E15994" t="s">
        <v>6460</v>
      </c>
      <c r="F15994" t="s">
        <v>12413</v>
      </c>
      <c r="G15994" t="s">
        <v>16635</v>
      </c>
      <c r="H15994" t="s">
        <v>22658</v>
      </c>
    </row>
    <row r="15995" spans="1:8">
      <c r="H15995" t="s">
        <v>22659</v>
      </c>
    </row>
    <row r="15996" spans="1:8">
      <c r="H15996" t="s">
        <v>22660</v>
      </c>
    </row>
    <row r="15997" spans="1:8">
      <c r="H15997" t="s">
        <v>22661</v>
      </c>
    </row>
    <row r="15998" spans="1:8">
      <c r="H15998" t="s">
        <v>22662</v>
      </c>
    </row>
    <row r="15999" spans="1:8">
      <c r="H15999" t="s">
        <v>22663</v>
      </c>
    </row>
    <row r="16000" spans="1:8">
      <c r="A16000" t="s">
        <v>678</v>
      </c>
      <c r="B16000">
        <f>HYPERLINK("https://android.googlesource.com/platform/cts/+/53e2937cdf8b78b3b3fa48c3f030049c3e3c7806", "53e2937cdf8b78b3b3fa48c3f030049c3e3c7806")</f>
        <v>0</v>
      </c>
      <c r="C16000">
        <f>HYPERLINK("https://android.googlesource.com/platform/cts/+/047dbd9300d8eb83461c0a0065da60c558ee03cf", "047dbd9300d8eb83461c0a0065da60c558ee03cf")</f>
        <v>0</v>
      </c>
      <c r="D16000" t="s">
        <v>4949</v>
      </c>
      <c r="E16000" t="s">
        <v>6461</v>
      </c>
      <c r="F16000" t="s">
        <v>11451</v>
      </c>
      <c r="G16000" t="s">
        <v>15691</v>
      </c>
      <c r="H16000" t="s">
        <v>22664</v>
      </c>
    </row>
    <row r="16001" spans="1:8">
      <c r="A16001" t="s">
        <v>679</v>
      </c>
      <c r="B16001">
        <f>HYPERLINK("https://android.googlesource.com/platform/cts/+/247db5d542a79888b85915cbe72958bc30136d14", "247db5d542a79888b85915cbe72958bc30136d14")</f>
        <v>0</v>
      </c>
      <c r="C16001">
        <f>HYPERLINK("https://android.googlesource.com/platform/cts/+/3551f488f171a868ce2c1d18dc1086f6cae2158f", "3551f488f171a868ce2c1d18dc1086f6cae2158f")</f>
        <v>0</v>
      </c>
      <c r="D16001" t="s">
        <v>5060</v>
      </c>
      <c r="E16001" t="s">
        <v>6462</v>
      </c>
      <c r="F16001" t="s">
        <v>12414</v>
      </c>
      <c r="G16001" t="s">
        <v>16636</v>
      </c>
      <c r="H16001" t="s">
        <v>22665</v>
      </c>
    </row>
    <row r="16002" spans="1:8">
      <c r="A16002" t="s">
        <v>680</v>
      </c>
      <c r="B16002">
        <f>HYPERLINK("https://android.googlesource.com/platform/cts/+/601e6332ed2286254a9940322ce97ab140241fa9", "601e6332ed2286254a9940322ce97ab140241fa9")</f>
        <v>0</v>
      </c>
      <c r="C16002">
        <f>HYPERLINK("https://android.googlesource.com/platform/cts/+/2caacd7b5f436b1a336e0696f8788c279ea2429c", "2caacd7b5f436b1a336e0696f8788c279ea2429c")</f>
        <v>0</v>
      </c>
      <c r="D16002" t="s">
        <v>5028</v>
      </c>
      <c r="E16002" t="s">
        <v>6463</v>
      </c>
      <c r="F16002" t="s">
        <v>12415</v>
      </c>
      <c r="G16002" t="s">
        <v>16637</v>
      </c>
      <c r="H16002" t="s">
        <v>22014</v>
      </c>
    </row>
    <row r="16003" spans="1:8">
      <c r="A16003" t="s">
        <v>681</v>
      </c>
      <c r="B16003">
        <f>HYPERLINK("https://android.googlesource.com/platform/cts/+/72cdd8ea759d0681042361faad31ed6a5ac3fbe7", "72cdd8ea759d0681042361faad31ed6a5ac3fbe7")</f>
        <v>0</v>
      </c>
      <c r="C16003">
        <f>HYPERLINK("https://android.googlesource.com/platform/cts/+/f102f2a4198651d876a8482fc683724b209e347a", "f102f2a4198651d876a8482fc683724b209e347a")</f>
        <v>0</v>
      </c>
      <c r="D16003" t="s">
        <v>5029</v>
      </c>
      <c r="E16003" t="s">
        <v>6464</v>
      </c>
      <c r="F16003" t="s">
        <v>10945</v>
      </c>
      <c r="G16003" t="s">
        <v>15338</v>
      </c>
      <c r="H16003" t="s">
        <v>22666</v>
      </c>
    </row>
    <row r="16004" spans="1:8">
      <c r="A16004" t="s">
        <v>682</v>
      </c>
      <c r="B16004">
        <f>HYPERLINK("https://android.googlesource.com/platform/cts/+/cbb8c0061e89d231ee6ddf98c6a4885f522b2dac", "cbb8c0061e89d231ee6ddf98c6a4885f522b2dac")</f>
        <v>0</v>
      </c>
      <c r="C16004">
        <f>HYPERLINK("https://android.googlesource.com/platform/cts/+/5be22b9e0a61f801a852ac2dd9a7148592256c7b", "5be22b9e0a61f801a852ac2dd9a7148592256c7b")</f>
        <v>0</v>
      </c>
      <c r="D16004" t="s">
        <v>5013</v>
      </c>
      <c r="E16004" t="s">
        <v>6465</v>
      </c>
      <c r="F16004" t="s">
        <v>12381</v>
      </c>
      <c r="G16004" t="s">
        <v>16607</v>
      </c>
      <c r="H16004" t="s">
        <v>22667</v>
      </c>
    </row>
    <row r="16005" spans="1:8">
      <c r="H16005" t="s">
        <v>22467</v>
      </c>
    </row>
    <row r="16006" spans="1:8">
      <c r="A16006" t="s">
        <v>683</v>
      </c>
      <c r="B16006">
        <f>HYPERLINK("https://android.googlesource.com/platform/cts/+/e18732741b68c4bc2d92141a2fbe6e33d46dc19b", "e18732741b68c4bc2d92141a2fbe6e33d46dc19b")</f>
        <v>0</v>
      </c>
      <c r="C16006">
        <f>HYPERLINK("https://android.googlesource.com/platform/cts/+/dac4e3f459cb23b12b4d5180e17c00208acdbb23", "dac4e3f459cb23b12b4d5180e17c00208acdbb23")</f>
        <v>0</v>
      </c>
      <c r="D16006" t="s">
        <v>4952</v>
      </c>
      <c r="E16006" t="s">
        <v>6466</v>
      </c>
      <c r="F16006" t="s">
        <v>12309</v>
      </c>
      <c r="G16006" t="s">
        <v>16540</v>
      </c>
      <c r="H16006" t="s">
        <v>22668</v>
      </c>
    </row>
    <row r="16007" spans="1:8">
      <c r="A16007" t="s">
        <v>684</v>
      </c>
      <c r="B16007">
        <f>HYPERLINK("https://android.googlesource.com/platform/cts/+/de851166ebacfe600884664c269c2d820563d3ff", "de851166ebacfe600884664c269c2d820563d3ff")</f>
        <v>0</v>
      </c>
      <c r="C16007">
        <f>HYPERLINK("https://android.googlesource.com/platform/cts/+/58236b6874c70063bba65dc79cc42268c6cfaa7a", "58236b6874c70063bba65dc79cc42268c6cfaa7a")</f>
        <v>0</v>
      </c>
      <c r="D16007" t="s">
        <v>5029</v>
      </c>
      <c r="E16007" t="s">
        <v>6467</v>
      </c>
      <c r="F16007" t="s">
        <v>10945</v>
      </c>
      <c r="G16007" t="s">
        <v>15338</v>
      </c>
      <c r="H16007" t="s">
        <v>22666</v>
      </c>
    </row>
    <row r="16008" spans="1:8">
      <c r="A16008" t="s">
        <v>685</v>
      </c>
      <c r="B16008">
        <f>HYPERLINK("https://android.googlesource.com/platform/cts/+/4cb525394d52ecce303c18590d9955e098a22696", "4cb525394d52ecce303c18590d9955e098a22696")</f>
        <v>0</v>
      </c>
      <c r="C16008">
        <f>HYPERLINK("https://android.googlesource.com/platform/cts/+/58236b6874c70063bba65dc79cc42268c6cfaa7a", "58236b6874c70063bba65dc79cc42268c6cfaa7a")</f>
        <v>0</v>
      </c>
      <c r="D16008" t="s">
        <v>5065</v>
      </c>
      <c r="E16008" t="s">
        <v>6468</v>
      </c>
      <c r="F16008" t="s">
        <v>12416</v>
      </c>
      <c r="G16008" t="s">
        <v>16638</v>
      </c>
      <c r="H16008" t="s">
        <v>22669</v>
      </c>
    </row>
    <row r="16009" spans="1:8">
      <c r="H16009" t="s">
        <v>22670</v>
      </c>
    </row>
    <row r="16010" spans="1:8">
      <c r="A16010" t="s">
        <v>686</v>
      </c>
      <c r="B16010">
        <f>HYPERLINK("https://android.googlesource.com/platform/cts/+/1ee86ea886a1617b8c716f7327cbd0b343181246", "1ee86ea886a1617b8c716f7327cbd0b343181246")</f>
        <v>0</v>
      </c>
      <c r="C16010">
        <f>HYPERLINK("https://android.googlesource.com/platform/cts/+/5734eb5493f4a36cd640b5320e28dee891e396cb", "5734eb5493f4a36cd640b5320e28dee891e396cb")</f>
        <v>0</v>
      </c>
      <c r="D16010" t="s">
        <v>5038</v>
      </c>
      <c r="E16010" t="s">
        <v>6469</v>
      </c>
      <c r="F16010" t="s">
        <v>12417</v>
      </c>
      <c r="G16010" t="s">
        <v>16639</v>
      </c>
      <c r="H16010" t="s">
        <v>18829</v>
      </c>
    </row>
    <row r="16011" spans="1:8">
      <c r="H16011" t="s">
        <v>18863</v>
      </c>
    </row>
    <row r="16012" spans="1:8">
      <c r="A16012" t="s">
        <v>687</v>
      </c>
      <c r="B16012">
        <f>HYPERLINK("https://android.googlesource.com/platform/cts/+/24289b529a367b22d0acf30dee33586f7dac1da4", "24289b529a367b22d0acf30dee33586f7dac1da4")</f>
        <v>0</v>
      </c>
      <c r="C16012">
        <f>HYPERLINK("https://android.googlesource.com/platform/cts/+/d32728fd9a5da80877148201938c74c4734a303f", "d32728fd9a5da80877148201938c74c4734a303f")</f>
        <v>0</v>
      </c>
      <c r="D16012" t="s">
        <v>5013</v>
      </c>
      <c r="E16012" t="s">
        <v>6470</v>
      </c>
      <c r="F16012" t="s">
        <v>12377</v>
      </c>
      <c r="G16012" t="s">
        <v>16604</v>
      </c>
      <c r="H16012" t="s">
        <v>22467</v>
      </c>
    </row>
    <row r="16013" spans="1:8">
      <c r="A16013" t="s">
        <v>688</v>
      </c>
      <c r="B16013">
        <f>HYPERLINK("https://android.googlesource.com/platform/cts/+/75e210ce59f34d0caf3c1c07bce933cb9ad6e4c9", "75e210ce59f34d0caf3c1c07bce933cb9ad6e4c9")</f>
        <v>0</v>
      </c>
      <c r="C16013">
        <f>HYPERLINK("https://android.googlesource.com/platform/cts/+/122af17e0c46dc39bc9d468b6e2c10794c5968fd", "122af17e0c46dc39bc9d468b6e2c10794c5968fd")</f>
        <v>0</v>
      </c>
      <c r="D16013" t="s">
        <v>5066</v>
      </c>
      <c r="E16013" t="s">
        <v>6471</v>
      </c>
      <c r="F16013" t="s">
        <v>12418</v>
      </c>
      <c r="G16013" t="s">
        <v>16640</v>
      </c>
      <c r="H16013" t="s">
        <v>22671</v>
      </c>
    </row>
    <row r="16014" spans="1:8">
      <c r="H16014" t="s">
        <v>18829</v>
      </c>
    </row>
    <row r="16015" spans="1:8">
      <c r="H16015" t="s">
        <v>22672</v>
      </c>
    </row>
    <row r="16016" spans="1:8">
      <c r="H16016" t="s">
        <v>22673</v>
      </c>
    </row>
    <row r="16017" spans="1:8">
      <c r="H16017" t="s">
        <v>22674</v>
      </c>
    </row>
    <row r="16018" spans="1:8">
      <c r="H16018" t="s">
        <v>22633</v>
      </c>
    </row>
    <row r="16019" spans="1:8">
      <c r="H16019" t="s">
        <v>22675</v>
      </c>
    </row>
    <row r="16020" spans="1:8">
      <c r="H16020" t="s">
        <v>22676</v>
      </c>
    </row>
    <row r="16021" spans="1:8">
      <c r="F16021" t="s">
        <v>12419</v>
      </c>
      <c r="G16021" t="s">
        <v>16641</v>
      </c>
      <c r="H16021" t="s">
        <v>22677</v>
      </c>
    </row>
    <row r="16022" spans="1:8">
      <c r="A16022" t="s">
        <v>689</v>
      </c>
      <c r="B16022">
        <f>HYPERLINK("https://android.googlesource.com/platform/cts/+/04a351f80782c25bae3511bd97e0283e3ccaa6b6", "04a351f80782c25bae3511bd97e0283e3ccaa6b6")</f>
        <v>0</v>
      </c>
      <c r="C16022">
        <f>HYPERLINK("https://android.googlesource.com/platform/cts/+/38f99e260a9cd80952e07b7f20b4cc2467f65c54", "38f99e260a9cd80952e07b7f20b4cc2467f65c54")</f>
        <v>0</v>
      </c>
      <c r="D16022" t="s">
        <v>4978</v>
      </c>
      <c r="E16022" t="s">
        <v>6472</v>
      </c>
      <c r="F16022" t="s">
        <v>12420</v>
      </c>
      <c r="G16022" t="s">
        <v>16642</v>
      </c>
      <c r="H16022" t="s">
        <v>22678</v>
      </c>
    </row>
    <row r="16023" spans="1:8">
      <c r="H16023" t="s">
        <v>22679</v>
      </c>
    </row>
    <row r="16024" spans="1:8">
      <c r="H16024" t="s">
        <v>22680</v>
      </c>
    </row>
    <row r="16025" spans="1:8">
      <c r="H16025" t="s">
        <v>22681</v>
      </c>
    </row>
    <row r="16026" spans="1:8">
      <c r="H16026" t="s">
        <v>22682</v>
      </c>
    </row>
    <row r="16027" spans="1:8">
      <c r="H16027" t="s">
        <v>22683</v>
      </c>
    </row>
    <row r="16028" spans="1:8">
      <c r="H16028" t="s">
        <v>22684</v>
      </c>
    </row>
    <row r="16029" spans="1:8">
      <c r="H16029" t="s">
        <v>22685</v>
      </c>
    </row>
    <row r="16030" spans="1:8">
      <c r="H16030" t="s">
        <v>22686</v>
      </c>
    </row>
    <row r="16031" spans="1:8">
      <c r="H16031" t="s">
        <v>18853</v>
      </c>
    </row>
    <row r="16032" spans="1:8">
      <c r="H16032" t="s">
        <v>18927</v>
      </c>
    </row>
    <row r="16033" spans="8:8">
      <c r="H16033" t="s">
        <v>22687</v>
      </c>
    </row>
    <row r="16034" spans="8:8">
      <c r="H16034" t="s">
        <v>20127</v>
      </c>
    </row>
    <row r="16035" spans="8:8">
      <c r="H16035" t="s">
        <v>22688</v>
      </c>
    </row>
    <row r="16036" spans="8:8">
      <c r="H16036" t="s">
        <v>22689</v>
      </c>
    </row>
    <row r="16037" spans="8:8">
      <c r="H16037" t="s">
        <v>22690</v>
      </c>
    </row>
    <row r="16038" spans="8:8">
      <c r="H16038" t="s">
        <v>22691</v>
      </c>
    </row>
    <row r="16039" spans="8:8">
      <c r="H16039" t="s">
        <v>22692</v>
      </c>
    </row>
    <row r="16040" spans="8:8">
      <c r="H16040" t="s">
        <v>22693</v>
      </c>
    </row>
    <row r="16041" spans="8:8">
      <c r="H16041" t="s">
        <v>22694</v>
      </c>
    </row>
    <row r="16042" spans="8:8">
      <c r="H16042" t="s">
        <v>22695</v>
      </c>
    </row>
    <row r="16043" spans="8:8">
      <c r="H16043" t="s">
        <v>22696</v>
      </c>
    </row>
    <row r="16044" spans="8:8">
      <c r="H16044" t="s">
        <v>22697</v>
      </c>
    </row>
    <row r="16045" spans="8:8">
      <c r="H16045" t="s">
        <v>22698</v>
      </c>
    </row>
    <row r="16046" spans="8:8">
      <c r="H16046" t="s">
        <v>22699</v>
      </c>
    </row>
    <row r="16047" spans="8:8">
      <c r="H16047" t="s">
        <v>22700</v>
      </c>
    </row>
    <row r="16048" spans="8:8">
      <c r="H16048" t="s">
        <v>22701</v>
      </c>
    </row>
    <row r="16049" spans="8:8">
      <c r="H16049" t="s">
        <v>22702</v>
      </c>
    </row>
    <row r="16050" spans="8:8">
      <c r="H16050" t="s">
        <v>22703</v>
      </c>
    </row>
    <row r="16051" spans="8:8">
      <c r="H16051" t="s">
        <v>22704</v>
      </c>
    </row>
    <row r="16052" spans="8:8">
      <c r="H16052" t="s">
        <v>22705</v>
      </c>
    </row>
    <row r="16053" spans="8:8">
      <c r="H16053" t="s">
        <v>21996</v>
      </c>
    </row>
    <row r="16054" spans="8:8">
      <c r="H16054" t="s">
        <v>22706</v>
      </c>
    </row>
    <row r="16055" spans="8:8">
      <c r="H16055" t="s">
        <v>22707</v>
      </c>
    </row>
    <row r="16056" spans="8:8">
      <c r="H16056" t="s">
        <v>22708</v>
      </c>
    </row>
    <row r="16057" spans="8:8">
      <c r="H16057" t="s">
        <v>22709</v>
      </c>
    </row>
    <row r="16058" spans="8:8">
      <c r="H16058" t="s">
        <v>22710</v>
      </c>
    </row>
    <row r="16059" spans="8:8">
      <c r="H16059" t="s">
        <v>22711</v>
      </c>
    </row>
    <row r="16060" spans="8:8">
      <c r="H16060" t="s">
        <v>22712</v>
      </c>
    </row>
    <row r="16061" spans="8:8">
      <c r="H16061" t="s">
        <v>22713</v>
      </c>
    </row>
    <row r="16062" spans="8:8">
      <c r="H16062" t="s">
        <v>22714</v>
      </c>
    </row>
    <row r="16063" spans="8:8">
      <c r="H16063" t="s">
        <v>22715</v>
      </c>
    </row>
    <row r="16064" spans="8:8">
      <c r="H16064" t="s">
        <v>22715</v>
      </c>
    </row>
    <row r="16065" spans="6:8">
      <c r="H16065" t="s">
        <v>19791</v>
      </c>
    </row>
    <row r="16066" spans="6:8">
      <c r="H16066" t="s">
        <v>22716</v>
      </c>
    </row>
    <row r="16067" spans="6:8">
      <c r="H16067" t="s">
        <v>22717</v>
      </c>
    </row>
    <row r="16068" spans="6:8">
      <c r="F16068" t="s">
        <v>12421</v>
      </c>
      <c r="G16068" t="s">
        <v>16643</v>
      </c>
      <c r="H16068" t="s">
        <v>22718</v>
      </c>
    </row>
    <row r="16069" spans="6:8">
      <c r="H16069" t="s">
        <v>22684</v>
      </c>
    </row>
    <row r="16070" spans="6:8">
      <c r="H16070" t="s">
        <v>22682</v>
      </c>
    </row>
    <row r="16071" spans="6:8">
      <c r="H16071" t="s">
        <v>22683</v>
      </c>
    </row>
    <row r="16072" spans="6:8">
      <c r="H16072" t="s">
        <v>18927</v>
      </c>
    </row>
    <row r="16073" spans="6:8">
      <c r="H16073" t="s">
        <v>22719</v>
      </c>
    </row>
    <row r="16074" spans="6:8">
      <c r="H16074" t="s">
        <v>22717</v>
      </c>
    </row>
    <row r="16075" spans="6:8">
      <c r="H16075" t="s">
        <v>22720</v>
      </c>
    </row>
    <row r="16076" spans="6:8">
      <c r="H16076" t="s">
        <v>19982</v>
      </c>
    </row>
    <row r="16077" spans="6:8">
      <c r="H16077" t="s">
        <v>22715</v>
      </c>
    </row>
    <row r="16078" spans="6:8">
      <c r="H16078" t="s">
        <v>22715</v>
      </c>
    </row>
    <row r="16079" spans="6:8">
      <c r="H16079" t="s">
        <v>19791</v>
      </c>
    </row>
    <row r="16080" spans="6:8">
      <c r="H16080" t="s">
        <v>22716</v>
      </c>
    </row>
    <row r="16081" spans="6:8">
      <c r="F16081" t="s">
        <v>12422</v>
      </c>
      <c r="G16081" t="s">
        <v>16644</v>
      </c>
      <c r="H16081" t="s">
        <v>22721</v>
      </c>
    </row>
    <row r="16082" spans="6:8">
      <c r="H16082" t="s">
        <v>22684</v>
      </c>
    </row>
    <row r="16083" spans="6:8">
      <c r="H16083" t="s">
        <v>22682</v>
      </c>
    </row>
    <row r="16084" spans="6:8">
      <c r="H16084" t="s">
        <v>22683</v>
      </c>
    </row>
    <row r="16085" spans="6:8">
      <c r="H16085" t="s">
        <v>18927</v>
      </c>
    </row>
    <row r="16086" spans="6:8">
      <c r="H16086" t="s">
        <v>22717</v>
      </c>
    </row>
    <row r="16087" spans="6:8">
      <c r="H16087" t="s">
        <v>22715</v>
      </c>
    </row>
    <row r="16088" spans="6:8">
      <c r="H16088" t="s">
        <v>19791</v>
      </c>
    </row>
    <row r="16089" spans="6:8">
      <c r="H16089" t="s">
        <v>22716</v>
      </c>
    </row>
    <row r="16090" spans="6:8">
      <c r="H16090" t="s">
        <v>22715</v>
      </c>
    </row>
    <row r="16091" spans="6:8">
      <c r="H16091" t="s">
        <v>22713</v>
      </c>
    </row>
    <row r="16092" spans="6:8">
      <c r="F16092" t="s">
        <v>12423</v>
      </c>
      <c r="G16092" t="s">
        <v>16645</v>
      </c>
      <c r="H16092" t="s">
        <v>22722</v>
      </c>
    </row>
    <row r="16093" spans="6:8">
      <c r="H16093" t="s">
        <v>22684</v>
      </c>
    </row>
    <row r="16094" spans="6:8">
      <c r="H16094" t="s">
        <v>22682</v>
      </c>
    </row>
    <row r="16095" spans="6:8">
      <c r="H16095" t="s">
        <v>22683</v>
      </c>
    </row>
    <row r="16096" spans="6:8">
      <c r="H16096" t="s">
        <v>18927</v>
      </c>
    </row>
    <row r="16097" spans="6:8">
      <c r="H16097" t="s">
        <v>22711</v>
      </c>
    </row>
    <row r="16098" spans="6:8">
      <c r="H16098" t="s">
        <v>22723</v>
      </c>
    </row>
    <row r="16099" spans="6:8">
      <c r="H16099" t="s">
        <v>22724</v>
      </c>
    </row>
    <row r="16100" spans="6:8">
      <c r="H16100" t="s">
        <v>22725</v>
      </c>
    </row>
    <row r="16101" spans="6:8">
      <c r="H16101" t="s">
        <v>22726</v>
      </c>
    </row>
    <row r="16102" spans="6:8">
      <c r="H16102" t="s">
        <v>22710</v>
      </c>
    </row>
    <row r="16103" spans="6:8">
      <c r="H16103" t="s">
        <v>22727</v>
      </c>
    </row>
    <row r="16104" spans="6:8">
      <c r="H16104" t="s">
        <v>22713</v>
      </c>
    </row>
    <row r="16105" spans="6:8">
      <c r="H16105" t="s">
        <v>22714</v>
      </c>
    </row>
    <row r="16106" spans="6:8">
      <c r="H16106" t="s">
        <v>22715</v>
      </c>
    </row>
    <row r="16107" spans="6:8">
      <c r="H16107" t="s">
        <v>22715</v>
      </c>
    </row>
    <row r="16108" spans="6:8">
      <c r="H16108" t="s">
        <v>19791</v>
      </c>
    </row>
    <row r="16109" spans="6:8">
      <c r="H16109" t="s">
        <v>22716</v>
      </c>
    </row>
    <row r="16110" spans="6:8">
      <c r="H16110" t="s">
        <v>22717</v>
      </c>
    </row>
    <row r="16111" spans="6:8">
      <c r="F16111" t="s">
        <v>12424</v>
      </c>
      <c r="G16111" t="s">
        <v>16646</v>
      </c>
      <c r="H16111" t="s">
        <v>22728</v>
      </c>
    </row>
    <row r="16112" spans="6:8">
      <c r="H16112" t="s">
        <v>22684</v>
      </c>
    </row>
    <row r="16113" spans="1:8">
      <c r="H16113" t="s">
        <v>22682</v>
      </c>
    </row>
    <row r="16114" spans="1:8">
      <c r="H16114" t="s">
        <v>22683</v>
      </c>
    </row>
    <row r="16115" spans="1:8">
      <c r="H16115" t="s">
        <v>22729</v>
      </c>
    </row>
    <row r="16116" spans="1:8">
      <c r="H16116" t="s">
        <v>22710</v>
      </c>
    </row>
    <row r="16117" spans="1:8">
      <c r="H16117" t="s">
        <v>18927</v>
      </c>
    </row>
    <row r="16118" spans="1:8">
      <c r="H16118" t="s">
        <v>22711</v>
      </c>
    </row>
    <row r="16119" spans="1:8">
      <c r="H16119" t="s">
        <v>22713</v>
      </c>
    </row>
    <row r="16120" spans="1:8">
      <c r="H16120" t="s">
        <v>22714</v>
      </c>
    </row>
    <row r="16121" spans="1:8">
      <c r="H16121" t="s">
        <v>22715</v>
      </c>
    </row>
    <row r="16122" spans="1:8">
      <c r="H16122" t="s">
        <v>22715</v>
      </c>
    </row>
    <row r="16123" spans="1:8">
      <c r="H16123" t="s">
        <v>19791</v>
      </c>
    </row>
    <row r="16124" spans="1:8">
      <c r="H16124" t="s">
        <v>22716</v>
      </c>
    </row>
    <row r="16125" spans="1:8">
      <c r="H16125" t="s">
        <v>22730</v>
      </c>
    </row>
    <row r="16126" spans="1:8">
      <c r="H16126" t="s">
        <v>22730</v>
      </c>
    </row>
    <row r="16127" spans="1:8">
      <c r="H16127" t="s">
        <v>22717</v>
      </c>
    </row>
    <row r="16128" spans="1:8">
      <c r="A16128" t="s">
        <v>690</v>
      </c>
      <c r="B16128">
        <f>HYPERLINK("https://android.googlesource.com/platform/cts/+/c0445a9e6aab6cf7f50fdb1c1525d77db739dbb6", "c0445a9e6aab6cf7f50fdb1c1525d77db739dbb6")</f>
        <v>0</v>
      </c>
      <c r="C16128">
        <f>HYPERLINK("https://android.googlesource.com/platform/cts/+/45f5a112f43e2377d3b0f3c532683f9e6b3d4418", "45f5a112f43e2377d3b0f3c532683f9e6b3d4418")</f>
        <v>0</v>
      </c>
      <c r="D16128" t="s">
        <v>5067</v>
      </c>
      <c r="E16128" t="s">
        <v>6473</v>
      </c>
      <c r="F16128" t="s">
        <v>12370</v>
      </c>
      <c r="G16128" t="s">
        <v>16597</v>
      </c>
      <c r="H16128" t="s">
        <v>22532</v>
      </c>
    </row>
    <row r="16129" spans="1:8">
      <c r="A16129" t="s">
        <v>691</v>
      </c>
      <c r="B16129">
        <f>HYPERLINK("https://android.googlesource.com/platform/cts/+/74c91f00988b6c536a6ed404a07873bc251f5fae", "74c91f00988b6c536a6ed404a07873bc251f5fae")</f>
        <v>0</v>
      </c>
      <c r="C16129">
        <f>HYPERLINK("https://android.googlesource.com/platform/cts/+/70876c3e81fee1635347d5c16b504ec45d5f86b0", "70876c3e81fee1635347d5c16b504ec45d5f86b0")</f>
        <v>0</v>
      </c>
      <c r="D16129" t="s">
        <v>5006</v>
      </c>
      <c r="E16129" t="s">
        <v>6474</v>
      </c>
      <c r="F16129" t="s">
        <v>10734</v>
      </c>
      <c r="G16129" t="s">
        <v>15133</v>
      </c>
      <c r="H16129" t="s">
        <v>22731</v>
      </c>
    </row>
    <row r="16130" spans="1:8">
      <c r="A16130" t="s">
        <v>692</v>
      </c>
      <c r="B16130">
        <f>HYPERLINK("https://android.googlesource.com/platform/cts/+/112f559433a19668cec5c8f7b9b0897af67c41b4", "112f559433a19668cec5c8f7b9b0897af67c41b4")</f>
        <v>0</v>
      </c>
      <c r="C16130">
        <f>HYPERLINK("https://android.googlesource.com/platform/cts/+/ba2f09ccd8b4b6e1c7a575d467ce2ac801775006", "ba2f09ccd8b4b6e1c7a575d467ce2ac801775006")</f>
        <v>0</v>
      </c>
      <c r="D16130" t="s">
        <v>5006</v>
      </c>
      <c r="E16130" t="s">
        <v>6475</v>
      </c>
      <c r="F16130" t="s">
        <v>12246</v>
      </c>
      <c r="G16130" t="s">
        <v>16477</v>
      </c>
      <c r="H16130" t="s">
        <v>21360</v>
      </c>
    </row>
    <row r="16131" spans="1:8">
      <c r="A16131" t="s">
        <v>693</v>
      </c>
      <c r="B16131">
        <f>HYPERLINK("https://android.googlesource.com/platform/cts/+/712bb78cb792948e9914f6d09637182533c5b918", "712bb78cb792948e9914f6d09637182533c5b918")</f>
        <v>0</v>
      </c>
      <c r="C16131">
        <f>HYPERLINK("https://android.googlesource.com/platform/cts/+/fb9023359a546eaa93d7753c0c1af37f8d859111", "fb9023359a546eaa93d7753c0c1af37f8d859111")</f>
        <v>0</v>
      </c>
      <c r="D16131" t="s">
        <v>5060</v>
      </c>
      <c r="E16131" t="s">
        <v>6476</v>
      </c>
      <c r="F16131" t="s">
        <v>12425</v>
      </c>
      <c r="G16131" t="s">
        <v>16647</v>
      </c>
      <c r="H16131" t="s">
        <v>22732</v>
      </c>
    </row>
    <row r="16132" spans="1:8">
      <c r="H16132" t="s">
        <v>22733</v>
      </c>
    </row>
    <row r="16133" spans="1:8">
      <c r="H16133" t="s">
        <v>22734</v>
      </c>
    </row>
    <row r="16134" spans="1:8">
      <c r="H16134" t="s">
        <v>22735</v>
      </c>
    </row>
    <row r="16135" spans="1:8">
      <c r="H16135" t="s">
        <v>22736</v>
      </c>
    </row>
    <row r="16136" spans="1:8">
      <c r="H16136" t="s">
        <v>22737</v>
      </c>
    </row>
    <row r="16137" spans="1:8">
      <c r="H16137" t="s">
        <v>22738</v>
      </c>
    </row>
    <row r="16138" spans="1:8">
      <c r="H16138" t="s">
        <v>22739</v>
      </c>
    </row>
    <row r="16139" spans="1:8">
      <c r="H16139" t="s">
        <v>22740</v>
      </c>
    </row>
    <row r="16140" spans="1:8">
      <c r="H16140" t="s">
        <v>22741</v>
      </c>
    </row>
    <row r="16141" spans="1:8">
      <c r="H16141" t="s">
        <v>22742</v>
      </c>
    </row>
    <row r="16142" spans="1:8">
      <c r="H16142" t="s">
        <v>22743</v>
      </c>
    </row>
    <row r="16143" spans="1:8">
      <c r="H16143" t="s">
        <v>22744</v>
      </c>
    </row>
    <row r="16144" spans="1:8">
      <c r="H16144" t="s">
        <v>22745</v>
      </c>
    </row>
    <row r="16145" spans="8:8">
      <c r="H16145" t="s">
        <v>22746</v>
      </c>
    </row>
    <row r="16146" spans="8:8">
      <c r="H16146" t="s">
        <v>22747</v>
      </c>
    </row>
    <row r="16147" spans="8:8">
      <c r="H16147" t="s">
        <v>22748</v>
      </c>
    </row>
    <row r="16148" spans="8:8">
      <c r="H16148" t="s">
        <v>22749</v>
      </c>
    </row>
    <row r="16149" spans="8:8">
      <c r="H16149" t="s">
        <v>22750</v>
      </c>
    </row>
    <row r="16150" spans="8:8">
      <c r="H16150" t="s">
        <v>22751</v>
      </c>
    </row>
    <row r="16151" spans="8:8">
      <c r="H16151" t="s">
        <v>22752</v>
      </c>
    </row>
    <row r="16152" spans="8:8">
      <c r="H16152" t="s">
        <v>22753</v>
      </c>
    </row>
    <row r="16153" spans="8:8">
      <c r="H16153" t="s">
        <v>22754</v>
      </c>
    </row>
    <row r="16154" spans="8:8">
      <c r="H16154" t="s">
        <v>22755</v>
      </c>
    </row>
    <row r="16155" spans="8:8">
      <c r="H16155" t="s">
        <v>22756</v>
      </c>
    </row>
    <row r="16156" spans="8:8">
      <c r="H16156" t="s">
        <v>22757</v>
      </c>
    </row>
    <row r="16157" spans="8:8">
      <c r="H16157" t="s">
        <v>22758</v>
      </c>
    </row>
    <row r="16158" spans="8:8">
      <c r="H16158" t="s">
        <v>18930</v>
      </c>
    </row>
    <row r="16159" spans="8:8">
      <c r="H16159" t="s">
        <v>22759</v>
      </c>
    </row>
    <row r="16160" spans="8:8">
      <c r="H16160" t="s">
        <v>22760</v>
      </c>
    </row>
    <row r="16161" spans="1:8">
      <c r="H16161" t="s">
        <v>22761</v>
      </c>
    </row>
    <row r="16162" spans="1:8">
      <c r="H16162" t="s">
        <v>22762</v>
      </c>
    </row>
    <row r="16163" spans="1:8">
      <c r="A16163" t="s">
        <v>694</v>
      </c>
      <c r="B16163">
        <f>HYPERLINK("https://android.googlesource.com/platform/cts/+/8e56bf2f1d4cae9182022d6ba0307fe4aec6ab2d", "8e56bf2f1d4cae9182022d6ba0307fe4aec6ab2d")</f>
        <v>0</v>
      </c>
      <c r="C16163">
        <f>HYPERLINK("https://android.googlesource.com/platform/cts/+/e556bba0bbc10b5ec75d1288cd8e54e5bc83e2aa", "e556bba0bbc10b5ec75d1288cd8e54e5bc83e2aa")</f>
        <v>0</v>
      </c>
      <c r="D16163" t="s">
        <v>5030</v>
      </c>
      <c r="E16163" t="s">
        <v>6477</v>
      </c>
      <c r="F16163" t="s">
        <v>12426</v>
      </c>
      <c r="G16163" t="s">
        <v>16648</v>
      </c>
      <c r="H16163" t="s">
        <v>22763</v>
      </c>
    </row>
    <row r="16164" spans="1:8">
      <c r="H16164" t="s">
        <v>22764</v>
      </c>
    </row>
    <row r="16165" spans="1:8">
      <c r="H16165" t="s">
        <v>22765</v>
      </c>
    </row>
    <row r="16166" spans="1:8">
      <c r="H16166" t="s">
        <v>22766</v>
      </c>
    </row>
    <row r="16167" spans="1:8">
      <c r="H16167" t="s">
        <v>22767</v>
      </c>
    </row>
    <row r="16168" spans="1:8">
      <c r="H16168" t="s">
        <v>22768</v>
      </c>
    </row>
    <row r="16169" spans="1:8">
      <c r="H16169" t="s">
        <v>22769</v>
      </c>
    </row>
    <row r="16170" spans="1:8">
      <c r="H16170" t="s">
        <v>22770</v>
      </c>
    </row>
    <row r="16171" spans="1:8">
      <c r="H16171" t="s">
        <v>22771</v>
      </c>
    </row>
    <row r="16172" spans="1:8">
      <c r="H16172" t="s">
        <v>22772</v>
      </c>
    </row>
    <row r="16173" spans="1:8">
      <c r="H16173" t="s">
        <v>22773</v>
      </c>
    </row>
    <row r="16174" spans="1:8">
      <c r="H16174" t="s">
        <v>22774</v>
      </c>
    </row>
    <row r="16175" spans="1:8">
      <c r="H16175" t="s">
        <v>22775</v>
      </c>
    </row>
    <row r="16176" spans="1:8">
      <c r="H16176" t="s">
        <v>22776</v>
      </c>
    </row>
    <row r="16177" spans="1:8">
      <c r="H16177" t="s">
        <v>22777</v>
      </c>
    </row>
    <row r="16178" spans="1:8">
      <c r="H16178" t="s">
        <v>22778</v>
      </c>
    </row>
    <row r="16179" spans="1:8">
      <c r="H16179" t="s">
        <v>22779</v>
      </c>
    </row>
    <row r="16180" spans="1:8">
      <c r="H16180" t="s">
        <v>22780</v>
      </c>
    </row>
    <row r="16181" spans="1:8">
      <c r="H16181" t="s">
        <v>22781</v>
      </c>
    </row>
    <row r="16182" spans="1:8">
      <c r="H16182" t="s">
        <v>22782</v>
      </c>
    </row>
    <row r="16183" spans="1:8">
      <c r="H16183" t="s">
        <v>22783</v>
      </c>
    </row>
    <row r="16184" spans="1:8">
      <c r="H16184" t="s">
        <v>22784</v>
      </c>
    </row>
    <row r="16185" spans="1:8">
      <c r="H16185" t="s">
        <v>22785</v>
      </c>
    </row>
    <row r="16186" spans="1:8">
      <c r="H16186" t="s">
        <v>22786</v>
      </c>
    </row>
    <row r="16187" spans="1:8">
      <c r="A16187" t="s">
        <v>695</v>
      </c>
      <c r="B16187">
        <f>HYPERLINK("https://android.googlesource.com/platform/cts/+/06496e5fbe0a1cee23cf1f2a2e1c7d1552910a9a", "06496e5fbe0a1cee23cf1f2a2e1c7d1552910a9a")</f>
        <v>0</v>
      </c>
      <c r="C16187">
        <f>HYPERLINK("https://android.googlesource.com/platform/cts/+/135b942522544e8df629074dd4a0a64ff5f3746d", "135b942522544e8df629074dd4a0a64ff5f3746d")</f>
        <v>0</v>
      </c>
      <c r="D16187" t="s">
        <v>5036</v>
      </c>
      <c r="E16187" t="s">
        <v>6478</v>
      </c>
      <c r="F16187" t="s">
        <v>12221</v>
      </c>
      <c r="G16187" t="s">
        <v>16451</v>
      </c>
      <c r="H16187" t="s">
        <v>22787</v>
      </c>
    </row>
    <row r="16188" spans="1:8">
      <c r="A16188" t="s">
        <v>696</v>
      </c>
      <c r="B16188">
        <f>HYPERLINK("https://android.googlesource.com/platform/cts/+/da65244c460e0c704fb1998b2235c4f14f291261", "da65244c460e0c704fb1998b2235c4f14f291261")</f>
        <v>0</v>
      </c>
      <c r="C16188">
        <f>HYPERLINK("https://android.googlesource.com/platform/cts/+/0dd5d9d93bda6f9fd30f2fe58e99812bc195a813", "0dd5d9d93bda6f9fd30f2fe58e99812bc195a813")</f>
        <v>0</v>
      </c>
      <c r="D16188" t="s">
        <v>5068</v>
      </c>
      <c r="E16188" t="s">
        <v>6479</v>
      </c>
      <c r="F16188" t="s">
        <v>12419</v>
      </c>
      <c r="G16188" t="s">
        <v>16641</v>
      </c>
      <c r="H16188" t="s">
        <v>22788</v>
      </c>
    </row>
    <row r="16189" spans="1:8">
      <c r="H16189" t="s">
        <v>22589</v>
      </c>
    </row>
    <row r="16190" spans="1:8">
      <c r="A16190" t="s">
        <v>697</v>
      </c>
      <c r="B16190">
        <f>HYPERLINK("https://android.googlesource.com/platform/cts/+/46389ea04b2d9a65f51db4ee45a4a4d24aa4c3bb", "46389ea04b2d9a65f51db4ee45a4a4d24aa4c3bb")</f>
        <v>0</v>
      </c>
      <c r="C16190">
        <f>HYPERLINK("https://android.googlesource.com/platform/cts/+/878a28e6fc23432eb00a44bbee4b57ffdb984298", "878a28e6fc23432eb00a44bbee4b57ffdb984298")</f>
        <v>0</v>
      </c>
      <c r="D16190" t="s">
        <v>5030</v>
      </c>
      <c r="E16190" t="s">
        <v>6480</v>
      </c>
      <c r="F16190" t="s">
        <v>12398</v>
      </c>
      <c r="G16190" t="s">
        <v>16621</v>
      </c>
      <c r="H16190" t="s">
        <v>22789</v>
      </c>
    </row>
    <row r="16191" spans="1:8">
      <c r="H16191" t="s">
        <v>22790</v>
      </c>
    </row>
    <row r="16192" spans="1:8">
      <c r="H16192" t="s">
        <v>22791</v>
      </c>
    </row>
    <row r="16193" spans="1:8">
      <c r="H16193" t="s">
        <v>22792</v>
      </c>
    </row>
    <row r="16194" spans="1:8">
      <c r="A16194" t="s">
        <v>698</v>
      </c>
      <c r="B16194">
        <f>HYPERLINK("https://android.googlesource.com/platform/cts/+/30044c619ab3fa1924f8909ed91a3f7c7ad0e896", "30044c619ab3fa1924f8909ed91a3f7c7ad0e896")</f>
        <v>0</v>
      </c>
      <c r="C16194">
        <f>HYPERLINK("https://android.googlesource.com/platform/cts/+/13eae907470271d41619140c16bc4be62379821f", "13eae907470271d41619140c16bc4be62379821f")</f>
        <v>0</v>
      </c>
      <c r="D16194" t="s">
        <v>5060</v>
      </c>
      <c r="E16194" t="s">
        <v>6481</v>
      </c>
      <c r="F16194" t="s">
        <v>12342</v>
      </c>
      <c r="G16194" t="s">
        <v>16570</v>
      </c>
      <c r="H16194" t="s">
        <v>22627</v>
      </c>
    </row>
    <row r="16195" spans="1:8">
      <c r="H16195" t="s">
        <v>22628</v>
      </c>
    </row>
    <row r="16196" spans="1:8">
      <c r="H16196" t="s">
        <v>22629</v>
      </c>
    </row>
    <row r="16197" spans="1:8">
      <c r="A16197" t="s">
        <v>699</v>
      </c>
      <c r="B16197">
        <f>HYPERLINK("https://android.googlesource.com/platform/cts/+/fb28897f87bf1da442ae589a198981a23b3b0a06", "fb28897f87bf1da442ae589a198981a23b3b0a06")</f>
        <v>0</v>
      </c>
      <c r="C16197">
        <f>HYPERLINK("https://android.googlesource.com/platform/cts/+/511af23079438ecdc02e245759defc9773d32172", "511af23079438ecdc02e245759defc9773d32172")</f>
        <v>0</v>
      </c>
      <c r="D16197" t="s">
        <v>5060</v>
      </c>
      <c r="E16197" t="s">
        <v>6482</v>
      </c>
      <c r="F16197" t="s">
        <v>12407</v>
      </c>
      <c r="G16197" t="s">
        <v>16629</v>
      </c>
      <c r="H16197" t="s">
        <v>22647</v>
      </c>
    </row>
    <row r="16198" spans="1:8">
      <c r="A16198" t="s">
        <v>700</v>
      </c>
      <c r="B16198">
        <f>HYPERLINK("https://android.googlesource.com/platform/cts/+/7e08ff86fd06d9fbe2cdbbf81672e2cf1a011304", "7e08ff86fd06d9fbe2cdbbf81672e2cf1a011304")</f>
        <v>0</v>
      </c>
      <c r="C16198">
        <f>HYPERLINK("https://android.googlesource.com/platform/cts/+/499109841b9f35e0d4f0a7f89c04266b4267819c", "499109841b9f35e0d4f0a7f89c04266b4267819c")</f>
        <v>0</v>
      </c>
      <c r="D16198" t="s">
        <v>4949</v>
      </c>
      <c r="E16198" t="s">
        <v>6483</v>
      </c>
      <c r="F16198" t="s">
        <v>12427</v>
      </c>
      <c r="G16198" t="s">
        <v>16649</v>
      </c>
      <c r="H16198" t="s">
        <v>22793</v>
      </c>
    </row>
    <row r="16199" spans="1:8">
      <c r="A16199" t="s">
        <v>701</v>
      </c>
      <c r="B16199">
        <f>HYPERLINK("https://android.googlesource.com/platform/cts/+/479d72c6b5406419282d7b0e1d6898334dba059f", "479d72c6b5406419282d7b0e1d6898334dba059f")</f>
        <v>0</v>
      </c>
      <c r="C16199">
        <f>HYPERLINK("https://android.googlesource.com/platform/cts/+/3d1db89f8d677d16aa383499e26d6fa11a3a1510", "3d1db89f8d677d16aa383499e26d6fa11a3a1510")</f>
        <v>0</v>
      </c>
      <c r="D16199" t="s">
        <v>5061</v>
      </c>
      <c r="E16199" t="s">
        <v>6484</v>
      </c>
      <c r="F16199" t="s">
        <v>12428</v>
      </c>
      <c r="G16199" t="s">
        <v>16619</v>
      </c>
      <c r="H16199" t="s">
        <v>22585</v>
      </c>
    </row>
    <row r="16200" spans="1:8">
      <c r="A16200" t="s">
        <v>702</v>
      </c>
      <c r="B16200">
        <f>HYPERLINK("https://android.googlesource.com/platform/cts/+/90fd37934108885c1c7596d2942f899fcdeeb391", "90fd37934108885c1c7596d2942f899fcdeeb391")</f>
        <v>0</v>
      </c>
      <c r="C16200">
        <f>HYPERLINK("https://android.googlesource.com/platform/cts/+/ba8d800b856cd04edf2437159868408695a9f90f", "ba8d800b856cd04edf2437159868408695a9f90f")</f>
        <v>0</v>
      </c>
      <c r="D16200" t="s">
        <v>5062</v>
      </c>
      <c r="E16200" t="s">
        <v>6485</v>
      </c>
      <c r="F16200" t="s">
        <v>12429</v>
      </c>
      <c r="G16200" t="s">
        <v>16650</v>
      </c>
      <c r="H16200" t="s">
        <v>22794</v>
      </c>
    </row>
    <row r="16201" spans="1:8">
      <c r="A16201" t="s">
        <v>703</v>
      </c>
      <c r="B16201">
        <f>HYPERLINK("https://android.googlesource.com/platform/cts/+/a68a0e4b2e2ccf3272c434a11c3d4c085b094ed0", "a68a0e4b2e2ccf3272c434a11c3d4c085b094ed0")</f>
        <v>0</v>
      </c>
      <c r="C16201">
        <f>HYPERLINK("https://android.googlesource.com/platform/cts/+/f7c53bd0bc9162cf4d44126c3ce39219bab1fb23", "f7c53bd0bc9162cf4d44126c3ce39219bab1fb23")</f>
        <v>0</v>
      </c>
      <c r="D16201" t="s">
        <v>4952</v>
      </c>
      <c r="E16201" t="s">
        <v>6486</v>
      </c>
      <c r="F16201" t="s">
        <v>11443</v>
      </c>
      <c r="G16201" t="s">
        <v>15683</v>
      </c>
      <c r="H16201" t="s">
        <v>22795</v>
      </c>
    </row>
    <row r="16202" spans="1:8">
      <c r="H16202" t="s">
        <v>22796</v>
      </c>
    </row>
    <row r="16203" spans="1:8">
      <c r="A16203" t="s">
        <v>704</v>
      </c>
      <c r="B16203">
        <f>HYPERLINK("https://android.googlesource.com/platform/cts/+/60fae26b58b0264669f6d03c3c91f0251d49b3d5", "60fae26b58b0264669f6d03c3c91f0251d49b3d5")</f>
        <v>0</v>
      </c>
      <c r="C16203">
        <f>HYPERLINK("https://android.googlesource.com/platform/cts/+/18bc3b8eef686e7c5d2ca984441b55be38679e0c", "18bc3b8eef686e7c5d2ca984441b55be38679e0c")</f>
        <v>0</v>
      </c>
      <c r="D16203" t="s">
        <v>5069</v>
      </c>
      <c r="E16203" t="s">
        <v>6487</v>
      </c>
      <c r="F16203" t="s">
        <v>10794</v>
      </c>
      <c r="G16203" t="s">
        <v>15189</v>
      </c>
      <c r="H16203" t="s">
        <v>22797</v>
      </c>
    </row>
    <row r="16204" spans="1:8">
      <c r="H16204" t="s">
        <v>22798</v>
      </c>
    </row>
    <row r="16205" spans="1:8">
      <c r="H16205" t="s">
        <v>22799</v>
      </c>
    </row>
    <row r="16206" spans="1:8">
      <c r="H16206" t="s">
        <v>22800</v>
      </c>
    </row>
    <row r="16207" spans="1:8">
      <c r="A16207" t="s">
        <v>705</v>
      </c>
      <c r="B16207">
        <f>HYPERLINK("https://android.googlesource.com/platform/cts/+/411a105cc5363c33e795d25ebd7d5d37ab79a9e7", "411a105cc5363c33e795d25ebd7d5d37ab79a9e7")</f>
        <v>0</v>
      </c>
      <c r="C16207">
        <f>HYPERLINK("https://android.googlesource.com/platform/cts/+/2cd14b39dcac4f4e994fd05a4f035051a7abcf67", "2cd14b39dcac4f4e994fd05a4f035051a7abcf67")</f>
        <v>0</v>
      </c>
      <c r="D16207" t="s">
        <v>5070</v>
      </c>
      <c r="E16207" t="s">
        <v>6488</v>
      </c>
      <c r="F16207" t="s">
        <v>10794</v>
      </c>
      <c r="G16207" t="s">
        <v>15189</v>
      </c>
      <c r="H16207" t="s">
        <v>22801</v>
      </c>
    </row>
    <row r="16208" spans="1:8">
      <c r="A16208" t="s">
        <v>706</v>
      </c>
      <c r="B16208">
        <f>HYPERLINK("https://android.googlesource.com/platform/cts/+/d1c66c1075f14daff2e7ac2264a9e88e4a2e21a8", "d1c66c1075f14daff2e7ac2264a9e88e4a2e21a8")</f>
        <v>0</v>
      </c>
      <c r="C16208">
        <f>HYPERLINK("https://android.googlesource.com/platform/cts/+/a725540bcb8a4a8e8a87173b4dd63a1243527f21", "a725540bcb8a4a8e8a87173b4dd63a1243527f21")</f>
        <v>0</v>
      </c>
      <c r="D16208" t="s">
        <v>4952</v>
      </c>
      <c r="E16208" t="s">
        <v>6489</v>
      </c>
      <c r="F16208" t="s">
        <v>11443</v>
      </c>
      <c r="G16208" t="s">
        <v>15683</v>
      </c>
      <c r="H16208" t="s">
        <v>22802</v>
      </c>
    </row>
    <row r="16209" spans="1:8">
      <c r="H16209" t="s">
        <v>22803</v>
      </c>
    </row>
    <row r="16210" spans="1:8">
      <c r="H16210" t="s">
        <v>22804</v>
      </c>
    </row>
    <row r="16211" spans="1:8">
      <c r="A16211" t="s">
        <v>707</v>
      </c>
      <c r="B16211">
        <f>HYPERLINK("https://android.googlesource.com/platform/cts/+/7afa91ecdd6ac31af479a49ceadd04c6f186c6f7", "7afa91ecdd6ac31af479a49ceadd04c6f186c6f7")</f>
        <v>0</v>
      </c>
      <c r="C16211">
        <f>HYPERLINK("https://android.googlesource.com/platform/cts/+/4b50be76f432caf3a0cb8303ed6692062bb6f498", "4b50be76f432caf3a0cb8303ed6692062bb6f498")</f>
        <v>0</v>
      </c>
      <c r="D16211" t="s">
        <v>5006</v>
      </c>
      <c r="E16211" t="s">
        <v>6490</v>
      </c>
      <c r="F16211" t="s">
        <v>12378</v>
      </c>
      <c r="G16211" t="s">
        <v>15334</v>
      </c>
      <c r="H16211" t="s">
        <v>19741</v>
      </c>
    </row>
    <row r="16212" spans="1:8">
      <c r="A16212" t="s">
        <v>708</v>
      </c>
      <c r="B16212">
        <f>HYPERLINK("https://android.googlesource.com/platform/cts/+/e2d58b18da97e826cb29fcff792227b3b1131b99", "e2d58b18da97e826cb29fcff792227b3b1131b99")</f>
        <v>0</v>
      </c>
      <c r="C16212">
        <f>HYPERLINK("https://android.googlesource.com/platform/cts/+/5a50430b5e5dbdca944faceab51ff95bfcc10f1f", "5a50430b5e5dbdca944faceab51ff95bfcc10f1f")</f>
        <v>0</v>
      </c>
      <c r="D16212" t="s">
        <v>5071</v>
      </c>
      <c r="E16212" t="s">
        <v>6491</v>
      </c>
      <c r="F16212" t="s">
        <v>12430</v>
      </c>
      <c r="G16212" t="s">
        <v>16651</v>
      </c>
      <c r="H16212" t="s">
        <v>22805</v>
      </c>
    </row>
    <row r="16213" spans="1:8">
      <c r="H16213" t="s">
        <v>22806</v>
      </c>
    </row>
    <row r="16214" spans="1:8">
      <c r="H16214" t="s">
        <v>22807</v>
      </c>
    </row>
    <row r="16215" spans="1:8">
      <c r="H16215" t="s">
        <v>22808</v>
      </c>
    </row>
    <row r="16216" spans="1:8">
      <c r="H16216" t="s">
        <v>22809</v>
      </c>
    </row>
    <row r="16217" spans="1:8">
      <c r="H16217" t="s">
        <v>22810</v>
      </c>
    </row>
    <row r="16218" spans="1:8">
      <c r="H16218" t="s">
        <v>22811</v>
      </c>
    </row>
    <row r="16219" spans="1:8">
      <c r="H16219" t="s">
        <v>22812</v>
      </c>
    </row>
    <row r="16220" spans="1:8">
      <c r="H16220" t="s">
        <v>22813</v>
      </c>
    </row>
    <row r="16221" spans="1:8">
      <c r="H16221" t="s">
        <v>22814</v>
      </c>
    </row>
    <row r="16222" spans="1:8">
      <c r="H16222" t="s">
        <v>22815</v>
      </c>
    </row>
    <row r="16223" spans="1:8">
      <c r="H16223" t="s">
        <v>22816</v>
      </c>
    </row>
    <row r="16224" spans="1:8">
      <c r="H16224" t="s">
        <v>22817</v>
      </c>
    </row>
    <row r="16225" spans="1:8">
      <c r="H16225" t="s">
        <v>22818</v>
      </c>
    </row>
    <row r="16226" spans="1:8">
      <c r="H16226" t="s">
        <v>22819</v>
      </c>
    </row>
    <row r="16227" spans="1:8">
      <c r="H16227" t="s">
        <v>22820</v>
      </c>
    </row>
    <row r="16228" spans="1:8">
      <c r="H16228" t="s">
        <v>22821</v>
      </c>
    </row>
    <row r="16229" spans="1:8">
      <c r="H16229" t="s">
        <v>22822</v>
      </c>
    </row>
    <row r="16230" spans="1:8">
      <c r="H16230" t="s">
        <v>22823</v>
      </c>
    </row>
    <row r="16231" spans="1:8">
      <c r="H16231" t="s">
        <v>22824</v>
      </c>
    </row>
    <row r="16232" spans="1:8">
      <c r="A16232" t="s">
        <v>709</v>
      </c>
      <c r="B16232">
        <f>HYPERLINK("https://android.googlesource.com/platform/cts/+/5140c5ad600527a436d78317ae3f242ec54ba174", "5140c5ad600527a436d78317ae3f242ec54ba174")</f>
        <v>0</v>
      </c>
      <c r="C16232">
        <f>HYPERLINK("https://android.googlesource.com/platform/cts/+/e40052544128b76a63bded1c2353d16c23dee264", "e40052544128b76a63bded1c2353d16c23dee264")</f>
        <v>0</v>
      </c>
      <c r="D16232" t="s">
        <v>4952</v>
      </c>
      <c r="E16232" t="s">
        <v>6492</v>
      </c>
      <c r="F16232" t="s">
        <v>11447</v>
      </c>
      <c r="G16232" t="s">
        <v>15687</v>
      </c>
      <c r="H16232" t="s">
        <v>22825</v>
      </c>
    </row>
    <row r="16233" spans="1:8">
      <c r="H16233" t="s">
        <v>22826</v>
      </c>
    </row>
    <row r="16234" spans="1:8">
      <c r="H16234" t="s">
        <v>22827</v>
      </c>
    </row>
    <row r="16235" spans="1:8">
      <c r="H16235" t="s">
        <v>22828</v>
      </c>
    </row>
    <row r="16236" spans="1:8">
      <c r="H16236" t="s">
        <v>22829</v>
      </c>
    </row>
    <row r="16237" spans="1:8">
      <c r="H16237" t="s">
        <v>22830</v>
      </c>
    </row>
    <row r="16238" spans="1:8">
      <c r="H16238" t="s">
        <v>22831</v>
      </c>
    </row>
    <row r="16239" spans="1:8">
      <c r="H16239" t="s">
        <v>22832</v>
      </c>
    </row>
    <row r="16240" spans="1:8">
      <c r="H16240" t="s">
        <v>22833</v>
      </c>
    </row>
    <row r="16241" spans="1:8">
      <c r="A16241" t="s">
        <v>710</v>
      </c>
      <c r="B16241">
        <f>HYPERLINK("https://android.googlesource.com/platform/cts/+/478800028cdb3c8080b0b1fb6b195b8c972688e0", "478800028cdb3c8080b0b1fb6b195b8c972688e0")</f>
        <v>0</v>
      </c>
      <c r="C16241">
        <f>HYPERLINK("https://android.googlesource.com/platform/cts/+/4049c5de179ae219e65c75cb0819f33b9088e87b", "4049c5de179ae219e65c75cb0819f33b9088e87b")</f>
        <v>0</v>
      </c>
      <c r="D16241" t="s">
        <v>5072</v>
      </c>
      <c r="E16241" t="s">
        <v>6493</v>
      </c>
      <c r="F16241" t="s">
        <v>12407</v>
      </c>
      <c r="G16241" t="s">
        <v>16629</v>
      </c>
      <c r="H16241" t="s">
        <v>22834</v>
      </c>
    </row>
    <row r="16242" spans="1:8">
      <c r="A16242" t="s">
        <v>711</v>
      </c>
      <c r="B16242">
        <f>HYPERLINK("https://android.googlesource.com/platform/cts/+/29dfebf7b40c2f1defbcf56878cc659c6e979a11", "29dfebf7b40c2f1defbcf56878cc659c6e979a11")</f>
        <v>0</v>
      </c>
      <c r="C16242">
        <f>HYPERLINK("https://android.googlesource.com/platform/cts/+/9251d4c05cbe7b9f2edb2071fcdd91e1679e80bc", "9251d4c05cbe7b9f2edb2071fcdd91e1679e80bc")</f>
        <v>0</v>
      </c>
      <c r="D16242" t="s">
        <v>5072</v>
      </c>
      <c r="E16242" t="s">
        <v>6494</v>
      </c>
      <c r="F16242" t="s">
        <v>12407</v>
      </c>
      <c r="G16242" t="s">
        <v>16629</v>
      </c>
      <c r="H16242" t="s">
        <v>22835</v>
      </c>
    </row>
    <row r="16243" spans="1:8">
      <c r="H16243" t="s">
        <v>22836</v>
      </c>
    </row>
    <row r="16244" spans="1:8">
      <c r="H16244" t="s">
        <v>22837</v>
      </c>
    </row>
    <row r="16245" spans="1:8">
      <c r="H16245" t="s">
        <v>22838</v>
      </c>
    </row>
    <row r="16246" spans="1:8">
      <c r="A16246" t="s">
        <v>712</v>
      </c>
      <c r="B16246">
        <f>HYPERLINK("https://android.googlesource.com/platform/cts/+/c1198c0aa7c7e9b52a32d9e2c0d663c69ee131c6", "c1198c0aa7c7e9b52a32d9e2c0d663c69ee131c6")</f>
        <v>0</v>
      </c>
      <c r="C16246">
        <f>HYPERLINK("https://android.googlesource.com/platform/cts/+/5e01fa965b9f518a6efb9a6c31bf0cd8167b5719", "5e01fa965b9f518a6efb9a6c31bf0cd8167b5719")</f>
        <v>0</v>
      </c>
      <c r="D16246" t="s">
        <v>5070</v>
      </c>
      <c r="E16246" t="s">
        <v>6495</v>
      </c>
      <c r="F16246" t="s">
        <v>10794</v>
      </c>
      <c r="G16246" t="s">
        <v>15189</v>
      </c>
      <c r="H16246" t="s">
        <v>22801</v>
      </c>
    </row>
    <row r="16247" spans="1:8">
      <c r="H16247" t="s">
        <v>22798</v>
      </c>
    </row>
    <row r="16248" spans="1:8">
      <c r="H16248" t="s">
        <v>22799</v>
      </c>
    </row>
    <row r="16249" spans="1:8">
      <c r="H16249" t="s">
        <v>22839</v>
      </c>
    </row>
    <row r="16250" spans="1:8">
      <c r="H16250" t="s">
        <v>22840</v>
      </c>
    </row>
    <row r="16251" spans="1:8">
      <c r="H16251" t="s">
        <v>22841</v>
      </c>
    </row>
    <row r="16252" spans="1:8">
      <c r="H16252" t="s">
        <v>22842</v>
      </c>
    </row>
    <row r="16253" spans="1:8">
      <c r="H16253" t="s">
        <v>22800</v>
      </c>
    </row>
    <row r="16254" spans="1:8">
      <c r="H16254" t="s">
        <v>22843</v>
      </c>
    </row>
    <row r="16255" spans="1:8">
      <c r="H16255" t="s">
        <v>22844</v>
      </c>
    </row>
    <row r="16256" spans="1:8">
      <c r="A16256" t="s">
        <v>713</v>
      </c>
      <c r="B16256">
        <f>HYPERLINK("https://android.googlesource.com/platform/cts/+/86d46afe064937dbec95d91e64e27baec141ae97", "86d46afe064937dbec95d91e64e27baec141ae97")</f>
        <v>0</v>
      </c>
      <c r="C16256">
        <f>HYPERLINK("https://android.googlesource.com/platform/cts/+/d6cc66a89811b7b9e843baf48860976a992c33f3", "d6cc66a89811b7b9e843baf48860976a992c33f3")</f>
        <v>0</v>
      </c>
      <c r="D16256" t="s">
        <v>4952</v>
      </c>
      <c r="E16256" t="s">
        <v>6496</v>
      </c>
      <c r="F16256" t="s">
        <v>12431</v>
      </c>
      <c r="G16256" t="s">
        <v>16652</v>
      </c>
      <c r="H16256" t="s">
        <v>22845</v>
      </c>
    </row>
    <row r="16257" spans="1:8">
      <c r="A16257" t="s">
        <v>714</v>
      </c>
      <c r="B16257">
        <f>HYPERLINK("https://android.googlesource.com/platform/cts/+/5adf9dc8394cff64d055aab018c72e407887c1ef", "5adf9dc8394cff64d055aab018c72e407887c1ef")</f>
        <v>0</v>
      </c>
      <c r="C16257">
        <f>HYPERLINK("https://android.googlesource.com/platform/cts/+/cd8879e7cff93dfe9408a4938c9e0129ebe1bae4", "cd8879e7cff93dfe9408a4938c9e0129ebe1bae4")</f>
        <v>0</v>
      </c>
      <c r="D16257" t="s">
        <v>5017</v>
      </c>
      <c r="E16257" t="s">
        <v>6497</v>
      </c>
      <c r="F16257" t="s">
        <v>12432</v>
      </c>
      <c r="G16257" t="s">
        <v>16653</v>
      </c>
      <c r="H16257" t="s">
        <v>18829</v>
      </c>
    </row>
    <row r="16258" spans="1:8">
      <c r="H16258" t="s">
        <v>22846</v>
      </c>
    </row>
    <row r="16259" spans="1:8">
      <c r="H16259" t="s">
        <v>22847</v>
      </c>
    </row>
    <row r="16260" spans="1:8">
      <c r="H16260" t="s">
        <v>20340</v>
      </c>
    </row>
    <row r="16261" spans="1:8">
      <c r="H16261" t="s">
        <v>20340</v>
      </c>
    </row>
    <row r="16262" spans="1:8">
      <c r="H16262" t="s">
        <v>20340</v>
      </c>
    </row>
    <row r="16263" spans="1:8">
      <c r="H16263" t="s">
        <v>20340</v>
      </c>
    </row>
    <row r="16264" spans="1:8">
      <c r="H16264" t="s">
        <v>20340</v>
      </c>
    </row>
    <row r="16265" spans="1:8">
      <c r="H16265" t="s">
        <v>20340</v>
      </c>
    </row>
    <row r="16266" spans="1:8">
      <c r="H16266" t="s">
        <v>22848</v>
      </c>
    </row>
    <row r="16267" spans="1:8">
      <c r="H16267" t="s">
        <v>22849</v>
      </c>
    </row>
    <row r="16268" spans="1:8">
      <c r="H16268" t="s">
        <v>22850</v>
      </c>
    </row>
    <row r="16269" spans="1:8">
      <c r="H16269" t="s">
        <v>22851</v>
      </c>
    </row>
    <row r="16270" spans="1:8">
      <c r="H16270" t="s">
        <v>22852</v>
      </c>
    </row>
    <row r="16271" spans="1:8">
      <c r="H16271" t="s">
        <v>22853</v>
      </c>
    </row>
    <row r="16272" spans="1:8">
      <c r="H16272" t="s">
        <v>22854</v>
      </c>
    </row>
    <row r="16273" spans="8:8">
      <c r="H16273" t="s">
        <v>22855</v>
      </c>
    </row>
    <row r="16274" spans="8:8">
      <c r="H16274" t="s">
        <v>22856</v>
      </c>
    </row>
    <row r="16275" spans="8:8">
      <c r="H16275" t="s">
        <v>22857</v>
      </c>
    </row>
    <row r="16276" spans="8:8">
      <c r="H16276" t="s">
        <v>22858</v>
      </c>
    </row>
    <row r="16277" spans="8:8">
      <c r="H16277" t="s">
        <v>22859</v>
      </c>
    </row>
    <row r="16278" spans="8:8">
      <c r="H16278" t="s">
        <v>22860</v>
      </c>
    </row>
    <row r="16279" spans="8:8">
      <c r="H16279" t="s">
        <v>22861</v>
      </c>
    </row>
    <row r="16280" spans="8:8">
      <c r="H16280" t="s">
        <v>22862</v>
      </c>
    </row>
    <row r="16281" spans="8:8">
      <c r="H16281" t="s">
        <v>22863</v>
      </c>
    </row>
    <row r="16282" spans="8:8">
      <c r="H16282" t="s">
        <v>22864</v>
      </c>
    </row>
    <row r="16283" spans="8:8">
      <c r="H16283" t="s">
        <v>22865</v>
      </c>
    </row>
    <row r="16284" spans="8:8">
      <c r="H16284" t="s">
        <v>22866</v>
      </c>
    </row>
    <row r="16285" spans="8:8">
      <c r="H16285" t="s">
        <v>22867</v>
      </c>
    </row>
    <row r="16286" spans="8:8">
      <c r="H16286" t="s">
        <v>22868</v>
      </c>
    </row>
    <row r="16287" spans="8:8">
      <c r="H16287" t="s">
        <v>22869</v>
      </c>
    </row>
    <row r="16288" spans="8:8">
      <c r="H16288" t="s">
        <v>22870</v>
      </c>
    </row>
    <row r="16289" spans="8:8">
      <c r="H16289" t="s">
        <v>22871</v>
      </c>
    </row>
    <row r="16290" spans="8:8">
      <c r="H16290" t="s">
        <v>22872</v>
      </c>
    </row>
    <row r="16291" spans="8:8">
      <c r="H16291" t="s">
        <v>22873</v>
      </c>
    </row>
    <row r="16292" spans="8:8">
      <c r="H16292" t="s">
        <v>22874</v>
      </c>
    </row>
    <row r="16293" spans="8:8">
      <c r="H16293" t="s">
        <v>22875</v>
      </c>
    </row>
    <row r="16294" spans="8:8">
      <c r="H16294" t="s">
        <v>22876</v>
      </c>
    </row>
    <row r="16295" spans="8:8">
      <c r="H16295" t="s">
        <v>22877</v>
      </c>
    </row>
    <row r="16296" spans="8:8">
      <c r="H16296" t="s">
        <v>22878</v>
      </c>
    </row>
    <row r="16297" spans="8:8">
      <c r="H16297" t="s">
        <v>22879</v>
      </c>
    </row>
    <row r="16298" spans="8:8">
      <c r="H16298" t="s">
        <v>22880</v>
      </c>
    </row>
    <row r="16299" spans="8:8">
      <c r="H16299" t="s">
        <v>22881</v>
      </c>
    </row>
    <row r="16300" spans="8:8">
      <c r="H16300" t="s">
        <v>22882</v>
      </c>
    </row>
    <row r="16301" spans="8:8">
      <c r="H16301" t="s">
        <v>22883</v>
      </c>
    </row>
    <row r="16302" spans="8:8">
      <c r="H16302" t="s">
        <v>22884</v>
      </c>
    </row>
    <row r="16303" spans="8:8">
      <c r="H16303" t="s">
        <v>22885</v>
      </c>
    </row>
    <row r="16304" spans="8:8">
      <c r="H16304" t="s">
        <v>22886</v>
      </c>
    </row>
    <row r="16305" spans="6:8">
      <c r="H16305" t="s">
        <v>22887</v>
      </c>
    </row>
    <row r="16306" spans="6:8">
      <c r="H16306" t="s">
        <v>22888</v>
      </c>
    </row>
    <row r="16307" spans="6:8">
      <c r="H16307" t="s">
        <v>22889</v>
      </c>
    </row>
    <row r="16308" spans="6:8">
      <c r="H16308" t="s">
        <v>22890</v>
      </c>
    </row>
    <row r="16309" spans="6:8">
      <c r="H16309" t="s">
        <v>22891</v>
      </c>
    </row>
    <row r="16310" spans="6:8">
      <c r="H16310" t="s">
        <v>22892</v>
      </c>
    </row>
    <row r="16311" spans="6:8">
      <c r="H16311" t="s">
        <v>22893</v>
      </c>
    </row>
    <row r="16312" spans="6:8">
      <c r="F16312" t="s">
        <v>12433</v>
      </c>
      <c r="G16312" t="s">
        <v>16654</v>
      </c>
      <c r="H16312" t="s">
        <v>18829</v>
      </c>
    </row>
    <row r="16313" spans="6:8">
      <c r="H16313" t="s">
        <v>22846</v>
      </c>
    </row>
    <row r="16314" spans="6:8">
      <c r="H16314" t="s">
        <v>22847</v>
      </c>
    </row>
    <row r="16315" spans="6:8">
      <c r="H16315" t="s">
        <v>20340</v>
      </c>
    </row>
    <row r="16316" spans="6:8">
      <c r="H16316" t="s">
        <v>20340</v>
      </c>
    </row>
    <row r="16317" spans="6:8">
      <c r="H16317" t="s">
        <v>20340</v>
      </c>
    </row>
    <row r="16318" spans="6:8">
      <c r="H16318" t="s">
        <v>20340</v>
      </c>
    </row>
    <row r="16319" spans="6:8">
      <c r="H16319" t="s">
        <v>20340</v>
      </c>
    </row>
    <row r="16320" spans="6:8">
      <c r="H16320" t="s">
        <v>20340</v>
      </c>
    </row>
    <row r="16321" spans="8:8">
      <c r="H16321" t="s">
        <v>22848</v>
      </c>
    </row>
    <row r="16322" spans="8:8">
      <c r="H16322" t="s">
        <v>22849</v>
      </c>
    </row>
    <row r="16323" spans="8:8">
      <c r="H16323" t="s">
        <v>22850</v>
      </c>
    </row>
    <row r="16324" spans="8:8">
      <c r="H16324" t="s">
        <v>22851</v>
      </c>
    </row>
    <row r="16325" spans="8:8">
      <c r="H16325" t="s">
        <v>22894</v>
      </c>
    </row>
    <row r="16326" spans="8:8">
      <c r="H16326" t="s">
        <v>22895</v>
      </c>
    </row>
    <row r="16327" spans="8:8">
      <c r="H16327" t="s">
        <v>22896</v>
      </c>
    </row>
    <row r="16328" spans="8:8">
      <c r="H16328" t="s">
        <v>22897</v>
      </c>
    </row>
    <row r="16329" spans="8:8">
      <c r="H16329" t="s">
        <v>22898</v>
      </c>
    </row>
    <row r="16330" spans="8:8">
      <c r="H16330" t="s">
        <v>22899</v>
      </c>
    </row>
    <row r="16331" spans="8:8">
      <c r="H16331" t="s">
        <v>22900</v>
      </c>
    </row>
    <row r="16332" spans="8:8">
      <c r="H16332" t="s">
        <v>22901</v>
      </c>
    </row>
    <row r="16333" spans="8:8">
      <c r="H16333" t="s">
        <v>22902</v>
      </c>
    </row>
    <row r="16334" spans="8:8">
      <c r="H16334" t="s">
        <v>22903</v>
      </c>
    </row>
    <row r="16335" spans="8:8">
      <c r="H16335" t="s">
        <v>22904</v>
      </c>
    </row>
    <row r="16336" spans="8:8">
      <c r="H16336" t="s">
        <v>22905</v>
      </c>
    </row>
    <row r="16337" spans="6:8">
      <c r="H16337" t="s">
        <v>22906</v>
      </c>
    </row>
    <row r="16338" spans="6:8">
      <c r="H16338" t="s">
        <v>22907</v>
      </c>
    </row>
    <row r="16339" spans="6:8">
      <c r="H16339" t="s">
        <v>22908</v>
      </c>
    </row>
    <row r="16340" spans="6:8">
      <c r="H16340" t="s">
        <v>22909</v>
      </c>
    </row>
    <row r="16341" spans="6:8">
      <c r="H16341" t="s">
        <v>22910</v>
      </c>
    </row>
    <row r="16342" spans="6:8">
      <c r="H16342" t="s">
        <v>22911</v>
      </c>
    </row>
    <row r="16343" spans="6:8">
      <c r="H16343" t="s">
        <v>22912</v>
      </c>
    </row>
    <row r="16344" spans="6:8">
      <c r="H16344" t="s">
        <v>22913</v>
      </c>
    </row>
    <row r="16345" spans="6:8">
      <c r="F16345" t="s">
        <v>12434</v>
      </c>
      <c r="G16345" t="s">
        <v>16655</v>
      </c>
      <c r="H16345" t="s">
        <v>18829</v>
      </c>
    </row>
    <row r="16346" spans="6:8">
      <c r="H16346" t="s">
        <v>22914</v>
      </c>
    </row>
    <row r="16347" spans="6:8">
      <c r="H16347" t="s">
        <v>22915</v>
      </c>
    </row>
    <row r="16348" spans="6:8">
      <c r="H16348" t="s">
        <v>22916</v>
      </c>
    </row>
    <row r="16349" spans="6:8">
      <c r="H16349" t="s">
        <v>22917</v>
      </c>
    </row>
    <row r="16350" spans="6:8">
      <c r="H16350" t="s">
        <v>22918</v>
      </c>
    </row>
    <row r="16351" spans="6:8">
      <c r="H16351" t="s">
        <v>22919</v>
      </c>
    </row>
    <row r="16352" spans="6:8">
      <c r="H16352" t="s">
        <v>22920</v>
      </c>
    </row>
    <row r="16353" spans="8:8">
      <c r="H16353" t="s">
        <v>22921</v>
      </c>
    </row>
    <row r="16354" spans="8:8">
      <c r="H16354" t="s">
        <v>22922</v>
      </c>
    </row>
    <row r="16355" spans="8:8">
      <c r="H16355" t="s">
        <v>22923</v>
      </c>
    </row>
    <row r="16356" spans="8:8">
      <c r="H16356" t="s">
        <v>22924</v>
      </c>
    </row>
    <row r="16357" spans="8:8">
      <c r="H16357" t="s">
        <v>22925</v>
      </c>
    </row>
    <row r="16358" spans="8:8">
      <c r="H16358" t="s">
        <v>22926</v>
      </c>
    </row>
    <row r="16359" spans="8:8">
      <c r="H16359" t="s">
        <v>22927</v>
      </c>
    </row>
    <row r="16360" spans="8:8">
      <c r="H16360" t="s">
        <v>22928</v>
      </c>
    </row>
    <row r="16361" spans="8:8">
      <c r="H16361" t="s">
        <v>22929</v>
      </c>
    </row>
    <row r="16362" spans="8:8">
      <c r="H16362" t="s">
        <v>22930</v>
      </c>
    </row>
    <row r="16363" spans="8:8">
      <c r="H16363" t="s">
        <v>22931</v>
      </c>
    </row>
    <row r="16364" spans="8:8">
      <c r="H16364" t="s">
        <v>22932</v>
      </c>
    </row>
    <row r="16365" spans="8:8">
      <c r="H16365" t="s">
        <v>22933</v>
      </c>
    </row>
    <row r="16366" spans="8:8">
      <c r="H16366" t="s">
        <v>22934</v>
      </c>
    </row>
    <row r="16367" spans="8:8">
      <c r="H16367" t="s">
        <v>22935</v>
      </c>
    </row>
    <row r="16368" spans="8:8">
      <c r="H16368" t="s">
        <v>22936</v>
      </c>
    </row>
    <row r="16369" spans="6:8">
      <c r="H16369" t="s">
        <v>22937</v>
      </c>
    </row>
    <row r="16370" spans="6:8">
      <c r="H16370" t="s">
        <v>22938</v>
      </c>
    </row>
    <row r="16371" spans="6:8">
      <c r="F16371" t="s">
        <v>12435</v>
      </c>
      <c r="G16371" t="s">
        <v>16656</v>
      </c>
      <c r="H16371" t="s">
        <v>18829</v>
      </c>
    </row>
    <row r="16372" spans="6:8">
      <c r="H16372" t="s">
        <v>22939</v>
      </c>
    </row>
    <row r="16373" spans="6:8">
      <c r="H16373" t="s">
        <v>22940</v>
      </c>
    </row>
    <row r="16374" spans="6:8">
      <c r="H16374" t="s">
        <v>22941</v>
      </c>
    </row>
    <row r="16375" spans="6:8">
      <c r="H16375" t="s">
        <v>22942</v>
      </c>
    </row>
    <row r="16376" spans="6:8">
      <c r="H16376" t="s">
        <v>22943</v>
      </c>
    </row>
    <row r="16377" spans="6:8">
      <c r="H16377" t="s">
        <v>22944</v>
      </c>
    </row>
    <row r="16378" spans="6:8">
      <c r="H16378" t="s">
        <v>22945</v>
      </c>
    </row>
    <row r="16379" spans="6:8">
      <c r="H16379" t="s">
        <v>22946</v>
      </c>
    </row>
    <row r="16380" spans="6:8">
      <c r="H16380" t="s">
        <v>22947</v>
      </c>
    </row>
    <row r="16381" spans="6:8">
      <c r="F16381" t="s">
        <v>12436</v>
      </c>
      <c r="G16381" t="s">
        <v>16657</v>
      </c>
      <c r="H16381" t="s">
        <v>18829</v>
      </c>
    </row>
    <row r="16382" spans="6:8">
      <c r="H16382" t="s">
        <v>22948</v>
      </c>
    </row>
    <row r="16383" spans="6:8">
      <c r="H16383" t="s">
        <v>22949</v>
      </c>
    </row>
    <row r="16384" spans="6:8">
      <c r="H16384" t="s">
        <v>22950</v>
      </c>
    </row>
    <row r="16385" spans="6:8">
      <c r="H16385" t="s">
        <v>22951</v>
      </c>
    </row>
    <row r="16386" spans="6:8">
      <c r="H16386" t="s">
        <v>22952</v>
      </c>
    </row>
    <row r="16387" spans="6:8">
      <c r="H16387" t="s">
        <v>22953</v>
      </c>
    </row>
    <row r="16388" spans="6:8">
      <c r="H16388" t="s">
        <v>22954</v>
      </c>
    </row>
    <row r="16389" spans="6:8">
      <c r="H16389" t="s">
        <v>22955</v>
      </c>
    </row>
    <row r="16390" spans="6:8">
      <c r="H16390" t="s">
        <v>22956</v>
      </c>
    </row>
    <row r="16391" spans="6:8">
      <c r="F16391" t="s">
        <v>12437</v>
      </c>
      <c r="G16391" t="s">
        <v>16658</v>
      </c>
      <c r="H16391" t="s">
        <v>18829</v>
      </c>
    </row>
    <row r="16392" spans="6:8">
      <c r="H16392" t="s">
        <v>22957</v>
      </c>
    </row>
    <row r="16393" spans="6:8">
      <c r="H16393" t="s">
        <v>22958</v>
      </c>
    </row>
    <row r="16394" spans="6:8">
      <c r="H16394" t="s">
        <v>22959</v>
      </c>
    </row>
    <row r="16395" spans="6:8">
      <c r="H16395" t="s">
        <v>22960</v>
      </c>
    </row>
    <row r="16396" spans="6:8">
      <c r="H16396" t="s">
        <v>22961</v>
      </c>
    </row>
    <row r="16397" spans="6:8">
      <c r="H16397" t="s">
        <v>22962</v>
      </c>
    </row>
    <row r="16398" spans="6:8">
      <c r="H16398" t="s">
        <v>22963</v>
      </c>
    </row>
    <row r="16399" spans="6:8">
      <c r="H16399" t="s">
        <v>22964</v>
      </c>
    </row>
    <row r="16400" spans="6:8">
      <c r="H16400" t="s">
        <v>22965</v>
      </c>
    </row>
    <row r="16401" spans="6:8">
      <c r="F16401" t="s">
        <v>12438</v>
      </c>
      <c r="G16401" t="s">
        <v>16659</v>
      </c>
      <c r="H16401" t="s">
        <v>18829</v>
      </c>
    </row>
    <row r="16402" spans="6:8">
      <c r="H16402" t="s">
        <v>22966</v>
      </c>
    </row>
    <row r="16403" spans="6:8">
      <c r="H16403" t="s">
        <v>22967</v>
      </c>
    </row>
    <row r="16404" spans="6:8">
      <c r="H16404" t="s">
        <v>22968</v>
      </c>
    </row>
    <row r="16405" spans="6:8">
      <c r="H16405" t="s">
        <v>22969</v>
      </c>
    </row>
    <row r="16406" spans="6:8">
      <c r="H16406" t="s">
        <v>22970</v>
      </c>
    </row>
    <row r="16407" spans="6:8">
      <c r="H16407" t="s">
        <v>22971</v>
      </c>
    </row>
    <row r="16408" spans="6:8">
      <c r="H16408" t="s">
        <v>22972</v>
      </c>
    </row>
    <row r="16409" spans="6:8">
      <c r="H16409" t="s">
        <v>22973</v>
      </c>
    </row>
    <row r="16410" spans="6:8">
      <c r="H16410" t="s">
        <v>22974</v>
      </c>
    </row>
    <row r="16411" spans="6:8">
      <c r="F16411" t="s">
        <v>12439</v>
      </c>
      <c r="G16411" t="s">
        <v>16660</v>
      </c>
      <c r="H16411" t="s">
        <v>18829</v>
      </c>
    </row>
    <row r="16412" spans="6:8">
      <c r="H16412" t="s">
        <v>22975</v>
      </c>
    </row>
    <row r="16413" spans="6:8">
      <c r="H16413" t="s">
        <v>22976</v>
      </c>
    </row>
    <row r="16414" spans="6:8">
      <c r="H16414" t="s">
        <v>22977</v>
      </c>
    </row>
    <row r="16415" spans="6:8">
      <c r="H16415" t="s">
        <v>22978</v>
      </c>
    </row>
    <row r="16416" spans="6:8">
      <c r="H16416" t="s">
        <v>22979</v>
      </c>
    </row>
    <row r="16417" spans="6:8">
      <c r="H16417" t="s">
        <v>22980</v>
      </c>
    </row>
    <row r="16418" spans="6:8">
      <c r="H16418" t="s">
        <v>22981</v>
      </c>
    </row>
    <row r="16419" spans="6:8">
      <c r="H16419" t="s">
        <v>22982</v>
      </c>
    </row>
    <row r="16420" spans="6:8">
      <c r="H16420" t="s">
        <v>22983</v>
      </c>
    </row>
    <row r="16421" spans="6:8">
      <c r="F16421" t="s">
        <v>12440</v>
      </c>
      <c r="G16421" t="s">
        <v>16661</v>
      </c>
      <c r="H16421" t="s">
        <v>18829</v>
      </c>
    </row>
    <row r="16422" spans="6:8">
      <c r="H16422" t="s">
        <v>22984</v>
      </c>
    </row>
    <row r="16423" spans="6:8">
      <c r="H16423" t="s">
        <v>22985</v>
      </c>
    </row>
    <row r="16424" spans="6:8">
      <c r="H16424" t="s">
        <v>22986</v>
      </c>
    </row>
    <row r="16425" spans="6:8">
      <c r="H16425" t="s">
        <v>22987</v>
      </c>
    </row>
    <row r="16426" spans="6:8">
      <c r="H16426" t="s">
        <v>22988</v>
      </c>
    </row>
    <row r="16427" spans="6:8">
      <c r="H16427" t="s">
        <v>22989</v>
      </c>
    </row>
    <row r="16428" spans="6:8">
      <c r="H16428" t="s">
        <v>22990</v>
      </c>
    </row>
    <row r="16429" spans="6:8">
      <c r="H16429" t="s">
        <v>22991</v>
      </c>
    </row>
    <row r="16430" spans="6:8">
      <c r="H16430" t="s">
        <v>22992</v>
      </c>
    </row>
    <row r="16431" spans="6:8">
      <c r="F16431" t="s">
        <v>12441</v>
      </c>
      <c r="G16431" t="s">
        <v>16662</v>
      </c>
      <c r="H16431" t="s">
        <v>18829</v>
      </c>
    </row>
    <row r="16432" spans="6:8">
      <c r="H16432" t="s">
        <v>22993</v>
      </c>
    </row>
    <row r="16433" spans="6:8">
      <c r="H16433" t="s">
        <v>22994</v>
      </c>
    </row>
    <row r="16434" spans="6:8">
      <c r="H16434" t="s">
        <v>22995</v>
      </c>
    </row>
    <row r="16435" spans="6:8">
      <c r="H16435" t="s">
        <v>22996</v>
      </c>
    </row>
    <row r="16436" spans="6:8">
      <c r="H16436" t="s">
        <v>22997</v>
      </c>
    </row>
    <row r="16437" spans="6:8">
      <c r="H16437" t="s">
        <v>22998</v>
      </c>
    </row>
    <row r="16438" spans="6:8">
      <c r="H16438" t="s">
        <v>22999</v>
      </c>
    </row>
    <row r="16439" spans="6:8">
      <c r="H16439" t="s">
        <v>23000</v>
      </c>
    </row>
    <row r="16440" spans="6:8">
      <c r="H16440" t="s">
        <v>23001</v>
      </c>
    </row>
    <row r="16441" spans="6:8">
      <c r="F16441" t="s">
        <v>12442</v>
      </c>
      <c r="G16441" t="s">
        <v>16663</v>
      </c>
      <c r="H16441" t="s">
        <v>18829</v>
      </c>
    </row>
    <row r="16442" spans="6:8">
      <c r="H16442" t="s">
        <v>23002</v>
      </c>
    </row>
    <row r="16443" spans="6:8">
      <c r="H16443" t="s">
        <v>23003</v>
      </c>
    </row>
    <row r="16444" spans="6:8">
      <c r="H16444" t="s">
        <v>23004</v>
      </c>
    </row>
    <row r="16445" spans="6:8">
      <c r="H16445" t="s">
        <v>23005</v>
      </c>
    </row>
    <row r="16446" spans="6:8">
      <c r="H16446" t="s">
        <v>23006</v>
      </c>
    </row>
    <row r="16447" spans="6:8">
      <c r="H16447" t="s">
        <v>23007</v>
      </c>
    </row>
    <row r="16448" spans="6:8">
      <c r="H16448" t="s">
        <v>23008</v>
      </c>
    </row>
    <row r="16449" spans="6:8">
      <c r="H16449" t="s">
        <v>23009</v>
      </c>
    </row>
    <row r="16450" spans="6:8">
      <c r="H16450" t="s">
        <v>23010</v>
      </c>
    </row>
    <row r="16451" spans="6:8">
      <c r="F16451" t="s">
        <v>12443</v>
      </c>
      <c r="G16451" t="s">
        <v>16664</v>
      </c>
      <c r="H16451" t="s">
        <v>18829</v>
      </c>
    </row>
    <row r="16452" spans="6:8">
      <c r="H16452" t="s">
        <v>23011</v>
      </c>
    </row>
    <row r="16453" spans="6:8">
      <c r="H16453" t="s">
        <v>23012</v>
      </c>
    </row>
    <row r="16454" spans="6:8">
      <c r="H16454" t="s">
        <v>23013</v>
      </c>
    </row>
    <row r="16455" spans="6:8">
      <c r="H16455" t="s">
        <v>23014</v>
      </c>
    </row>
    <row r="16456" spans="6:8">
      <c r="H16456" t="s">
        <v>23015</v>
      </c>
    </row>
    <row r="16457" spans="6:8">
      <c r="H16457" t="s">
        <v>23016</v>
      </c>
    </row>
    <row r="16458" spans="6:8">
      <c r="H16458" t="s">
        <v>23017</v>
      </c>
    </row>
    <row r="16459" spans="6:8">
      <c r="H16459" t="s">
        <v>23018</v>
      </c>
    </row>
    <row r="16460" spans="6:8">
      <c r="H16460" t="s">
        <v>23019</v>
      </c>
    </row>
    <row r="16461" spans="6:8">
      <c r="F16461" t="s">
        <v>12444</v>
      </c>
      <c r="G16461" t="s">
        <v>16665</v>
      </c>
      <c r="H16461" t="s">
        <v>18829</v>
      </c>
    </row>
    <row r="16462" spans="6:8">
      <c r="H16462" t="s">
        <v>23020</v>
      </c>
    </row>
    <row r="16463" spans="6:8">
      <c r="H16463" t="s">
        <v>23021</v>
      </c>
    </row>
    <row r="16464" spans="6:8">
      <c r="H16464" t="s">
        <v>23022</v>
      </c>
    </row>
    <row r="16465" spans="6:8">
      <c r="H16465" t="s">
        <v>23023</v>
      </c>
    </row>
    <row r="16466" spans="6:8">
      <c r="H16466" t="s">
        <v>23024</v>
      </c>
    </row>
    <row r="16467" spans="6:8">
      <c r="H16467" t="s">
        <v>23025</v>
      </c>
    </row>
    <row r="16468" spans="6:8">
      <c r="H16468" t="s">
        <v>23026</v>
      </c>
    </row>
    <row r="16469" spans="6:8">
      <c r="H16469" t="s">
        <v>23027</v>
      </c>
    </row>
    <row r="16470" spans="6:8">
      <c r="H16470" t="s">
        <v>23028</v>
      </c>
    </row>
    <row r="16471" spans="6:8">
      <c r="F16471" t="s">
        <v>12445</v>
      </c>
      <c r="G16471" t="s">
        <v>16666</v>
      </c>
      <c r="H16471" t="s">
        <v>18829</v>
      </c>
    </row>
    <row r="16472" spans="6:8">
      <c r="H16472" t="s">
        <v>23029</v>
      </c>
    </row>
    <row r="16473" spans="6:8">
      <c r="H16473" t="s">
        <v>23030</v>
      </c>
    </row>
    <row r="16474" spans="6:8">
      <c r="H16474" t="s">
        <v>23031</v>
      </c>
    </row>
    <row r="16475" spans="6:8">
      <c r="H16475" t="s">
        <v>23032</v>
      </c>
    </row>
    <row r="16476" spans="6:8">
      <c r="H16476" t="s">
        <v>23033</v>
      </c>
    </row>
    <row r="16477" spans="6:8">
      <c r="H16477" t="s">
        <v>23034</v>
      </c>
    </row>
    <row r="16478" spans="6:8">
      <c r="H16478" t="s">
        <v>23035</v>
      </c>
    </row>
    <row r="16479" spans="6:8">
      <c r="H16479" t="s">
        <v>23036</v>
      </c>
    </row>
    <row r="16480" spans="6:8">
      <c r="H16480" t="s">
        <v>23037</v>
      </c>
    </row>
    <row r="16481" spans="6:8">
      <c r="F16481" t="s">
        <v>12446</v>
      </c>
      <c r="G16481" t="s">
        <v>16667</v>
      </c>
      <c r="H16481" t="s">
        <v>18829</v>
      </c>
    </row>
    <row r="16482" spans="6:8">
      <c r="H16482" t="s">
        <v>23038</v>
      </c>
    </row>
    <row r="16483" spans="6:8">
      <c r="H16483" t="s">
        <v>23039</v>
      </c>
    </row>
    <row r="16484" spans="6:8">
      <c r="H16484" t="s">
        <v>23040</v>
      </c>
    </row>
    <row r="16485" spans="6:8">
      <c r="H16485" t="s">
        <v>23041</v>
      </c>
    </row>
    <row r="16486" spans="6:8">
      <c r="H16486" t="s">
        <v>23042</v>
      </c>
    </row>
    <row r="16487" spans="6:8">
      <c r="H16487" t="s">
        <v>23043</v>
      </c>
    </row>
    <row r="16488" spans="6:8">
      <c r="H16488" t="s">
        <v>23044</v>
      </c>
    </row>
    <row r="16489" spans="6:8">
      <c r="H16489" t="s">
        <v>23045</v>
      </c>
    </row>
    <row r="16490" spans="6:8">
      <c r="H16490" t="s">
        <v>23046</v>
      </c>
    </row>
    <row r="16491" spans="6:8">
      <c r="F16491" t="s">
        <v>12447</v>
      </c>
      <c r="G16491" t="s">
        <v>16668</v>
      </c>
      <c r="H16491" t="s">
        <v>18829</v>
      </c>
    </row>
    <row r="16492" spans="6:8">
      <c r="H16492" t="s">
        <v>23047</v>
      </c>
    </row>
    <row r="16493" spans="6:8">
      <c r="H16493" t="s">
        <v>23048</v>
      </c>
    </row>
    <row r="16494" spans="6:8">
      <c r="H16494" t="s">
        <v>23049</v>
      </c>
    </row>
    <row r="16495" spans="6:8">
      <c r="H16495" t="s">
        <v>23050</v>
      </c>
    </row>
    <row r="16496" spans="6:8">
      <c r="H16496" t="s">
        <v>23051</v>
      </c>
    </row>
    <row r="16497" spans="6:8">
      <c r="H16497" t="s">
        <v>23052</v>
      </c>
    </row>
    <row r="16498" spans="6:8">
      <c r="H16498" t="s">
        <v>23053</v>
      </c>
    </row>
    <row r="16499" spans="6:8">
      <c r="H16499" t="s">
        <v>23054</v>
      </c>
    </row>
    <row r="16500" spans="6:8">
      <c r="H16500" t="s">
        <v>23055</v>
      </c>
    </row>
    <row r="16501" spans="6:8">
      <c r="F16501" t="s">
        <v>12448</v>
      </c>
      <c r="G16501" t="s">
        <v>16669</v>
      </c>
      <c r="H16501" t="s">
        <v>18829</v>
      </c>
    </row>
    <row r="16502" spans="6:8">
      <c r="H16502" t="s">
        <v>23056</v>
      </c>
    </row>
    <row r="16503" spans="6:8">
      <c r="H16503" t="s">
        <v>23057</v>
      </c>
    </row>
    <row r="16504" spans="6:8">
      <c r="H16504" t="s">
        <v>23058</v>
      </c>
    </row>
    <row r="16505" spans="6:8">
      <c r="H16505" t="s">
        <v>23059</v>
      </c>
    </row>
    <row r="16506" spans="6:8">
      <c r="H16506" t="s">
        <v>23060</v>
      </c>
    </row>
    <row r="16507" spans="6:8">
      <c r="H16507" t="s">
        <v>23061</v>
      </c>
    </row>
    <row r="16508" spans="6:8">
      <c r="H16508" t="s">
        <v>23062</v>
      </c>
    </row>
    <row r="16509" spans="6:8">
      <c r="H16509" t="s">
        <v>23063</v>
      </c>
    </row>
    <row r="16510" spans="6:8">
      <c r="H16510" t="s">
        <v>23064</v>
      </c>
    </row>
    <row r="16511" spans="6:8">
      <c r="H16511" t="s">
        <v>23065</v>
      </c>
    </row>
    <row r="16512" spans="6:8">
      <c r="H16512" t="s">
        <v>23066</v>
      </c>
    </row>
    <row r="16513" spans="8:8">
      <c r="H16513" t="s">
        <v>23067</v>
      </c>
    </row>
    <row r="16514" spans="8:8">
      <c r="H16514" t="s">
        <v>23068</v>
      </c>
    </row>
    <row r="16515" spans="8:8">
      <c r="H16515" t="s">
        <v>23069</v>
      </c>
    </row>
    <row r="16516" spans="8:8">
      <c r="H16516" t="s">
        <v>23070</v>
      </c>
    </row>
    <row r="16517" spans="8:8">
      <c r="H16517" t="s">
        <v>23071</v>
      </c>
    </row>
    <row r="16518" spans="8:8">
      <c r="H16518" t="s">
        <v>23072</v>
      </c>
    </row>
    <row r="16519" spans="8:8">
      <c r="H16519" t="s">
        <v>23073</v>
      </c>
    </row>
    <row r="16520" spans="8:8">
      <c r="H16520" t="s">
        <v>23074</v>
      </c>
    </row>
    <row r="16521" spans="8:8">
      <c r="H16521" t="s">
        <v>23075</v>
      </c>
    </row>
    <row r="16522" spans="8:8">
      <c r="H16522" t="s">
        <v>23076</v>
      </c>
    </row>
    <row r="16523" spans="8:8">
      <c r="H16523" t="s">
        <v>23077</v>
      </c>
    </row>
    <row r="16524" spans="8:8">
      <c r="H16524" t="s">
        <v>23078</v>
      </c>
    </row>
    <row r="16525" spans="8:8">
      <c r="H16525" t="s">
        <v>23079</v>
      </c>
    </row>
    <row r="16526" spans="8:8">
      <c r="H16526" t="s">
        <v>23080</v>
      </c>
    </row>
    <row r="16527" spans="8:8">
      <c r="H16527" t="s">
        <v>23081</v>
      </c>
    </row>
    <row r="16528" spans="8:8">
      <c r="H16528" t="s">
        <v>23082</v>
      </c>
    </row>
    <row r="16529" spans="8:8">
      <c r="H16529" t="s">
        <v>23083</v>
      </c>
    </row>
    <row r="16530" spans="8:8">
      <c r="H16530" t="s">
        <v>23084</v>
      </c>
    </row>
    <row r="16531" spans="8:8">
      <c r="H16531" t="s">
        <v>23085</v>
      </c>
    </row>
    <row r="16532" spans="8:8">
      <c r="H16532" t="s">
        <v>23086</v>
      </c>
    </row>
    <row r="16533" spans="8:8">
      <c r="H16533" t="s">
        <v>23087</v>
      </c>
    </row>
    <row r="16534" spans="8:8">
      <c r="H16534" t="s">
        <v>23088</v>
      </c>
    </row>
    <row r="16535" spans="8:8">
      <c r="H16535" t="s">
        <v>23089</v>
      </c>
    </row>
    <row r="16536" spans="8:8">
      <c r="H16536" t="s">
        <v>23090</v>
      </c>
    </row>
    <row r="16537" spans="8:8">
      <c r="H16537" t="s">
        <v>23091</v>
      </c>
    </row>
    <row r="16538" spans="8:8">
      <c r="H16538" t="s">
        <v>23092</v>
      </c>
    </row>
    <row r="16539" spans="8:8">
      <c r="H16539" t="s">
        <v>23093</v>
      </c>
    </row>
    <row r="16540" spans="8:8">
      <c r="H16540" t="s">
        <v>23094</v>
      </c>
    </row>
    <row r="16541" spans="8:8">
      <c r="H16541" t="s">
        <v>23095</v>
      </c>
    </row>
    <row r="16542" spans="8:8">
      <c r="H16542" t="s">
        <v>23096</v>
      </c>
    </row>
    <row r="16543" spans="8:8">
      <c r="H16543" t="s">
        <v>23097</v>
      </c>
    </row>
    <row r="16544" spans="8:8">
      <c r="H16544" t="s">
        <v>23098</v>
      </c>
    </row>
    <row r="16545" spans="8:8">
      <c r="H16545" t="s">
        <v>23099</v>
      </c>
    </row>
    <row r="16546" spans="8:8">
      <c r="H16546" t="s">
        <v>23100</v>
      </c>
    </row>
    <row r="16547" spans="8:8">
      <c r="H16547" t="s">
        <v>23101</v>
      </c>
    </row>
    <row r="16548" spans="8:8">
      <c r="H16548" t="s">
        <v>23102</v>
      </c>
    </row>
    <row r="16549" spans="8:8">
      <c r="H16549" t="s">
        <v>23103</v>
      </c>
    </row>
    <row r="16550" spans="8:8">
      <c r="H16550" t="s">
        <v>23104</v>
      </c>
    </row>
    <row r="16551" spans="8:8">
      <c r="H16551" t="s">
        <v>23105</v>
      </c>
    </row>
    <row r="16552" spans="8:8">
      <c r="H16552" t="s">
        <v>23106</v>
      </c>
    </row>
    <row r="16553" spans="8:8">
      <c r="H16553" t="s">
        <v>23107</v>
      </c>
    </row>
    <row r="16554" spans="8:8">
      <c r="H16554" t="s">
        <v>23108</v>
      </c>
    </row>
    <row r="16555" spans="8:8">
      <c r="H16555" t="s">
        <v>23109</v>
      </c>
    </row>
    <row r="16556" spans="8:8">
      <c r="H16556" t="s">
        <v>23110</v>
      </c>
    </row>
    <row r="16557" spans="8:8">
      <c r="H16557" t="s">
        <v>23111</v>
      </c>
    </row>
    <row r="16558" spans="8:8">
      <c r="H16558" t="s">
        <v>23112</v>
      </c>
    </row>
    <row r="16559" spans="8:8">
      <c r="H16559" t="s">
        <v>23113</v>
      </c>
    </row>
    <row r="16560" spans="8:8">
      <c r="H16560" t="s">
        <v>23114</v>
      </c>
    </row>
    <row r="16561" spans="8:8">
      <c r="H16561" t="s">
        <v>23115</v>
      </c>
    </row>
    <row r="16562" spans="8:8">
      <c r="H16562" t="s">
        <v>23116</v>
      </c>
    </row>
    <row r="16563" spans="8:8">
      <c r="H16563" t="s">
        <v>23117</v>
      </c>
    </row>
    <row r="16564" spans="8:8">
      <c r="H16564" t="s">
        <v>23118</v>
      </c>
    </row>
    <row r="16565" spans="8:8">
      <c r="H16565" t="s">
        <v>23119</v>
      </c>
    </row>
    <row r="16566" spans="8:8">
      <c r="H16566" t="s">
        <v>23120</v>
      </c>
    </row>
    <row r="16567" spans="8:8">
      <c r="H16567" t="s">
        <v>23121</v>
      </c>
    </row>
    <row r="16568" spans="8:8">
      <c r="H16568" t="s">
        <v>23122</v>
      </c>
    </row>
    <row r="16569" spans="8:8">
      <c r="H16569" t="s">
        <v>23123</v>
      </c>
    </row>
    <row r="16570" spans="8:8">
      <c r="H16570" t="s">
        <v>23124</v>
      </c>
    </row>
    <row r="16571" spans="8:8">
      <c r="H16571" t="s">
        <v>23125</v>
      </c>
    </row>
    <row r="16572" spans="8:8">
      <c r="H16572" t="s">
        <v>23126</v>
      </c>
    </row>
    <row r="16573" spans="8:8">
      <c r="H16573" t="s">
        <v>23127</v>
      </c>
    </row>
    <row r="16574" spans="8:8">
      <c r="H16574" t="s">
        <v>23128</v>
      </c>
    </row>
    <row r="16575" spans="8:8">
      <c r="H16575" t="s">
        <v>23129</v>
      </c>
    </row>
    <row r="16576" spans="8:8">
      <c r="H16576" t="s">
        <v>23130</v>
      </c>
    </row>
    <row r="16577" spans="8:8">
      <c r="H16577" t="s">
        <v>23131</v>
      </c>
    </row>
    <row r="16578" spans="8:8">
      <c r="H16578" t="s">
        <v>23132</v>
      </c>
    </row>
    <row r="16579" spans="8:8">
      <c r="H16579" t="s">
        <v>23133</v>
      </c>
    </row>
    <row r="16580" spans="8:8">
      <c r="H16580" t="s">
        <v>23134</v>
      </c>
    </row>
    <row r="16581" spans="8:8">
      <c r="H16581" t="s">
        <v>23135</v>
      </c>
    </row>
    <row r="16582" spans="8:8">
      <c r="H16582" t="s">
        <v>23136</v>
      </c>
    </row>
    <row r="16583" spans="8:8">
      <c r="H16583" t="s">
        <v>23137</v>
      </c>
    </row>
    <row r="16584" spans="8:8">
      <c r="H16584" t="s">
        <v>23138</v>
      </c>
    </row>
    <row r="16585" spans="8:8">
      <c r="H16585" t="s">
        <v>23139</v>
      </c>
    </row>
    <row r="16586" spans="8:8">
      <c r="H16586" t="s">
        <v>23140</v>
      </c>
    </row>
    <row r="16587" spans="8:8">
      <c r="H16587" t="s">
        <v>23141</v>
      </c>
    </row>
    <row r="16588" spans="8:8">
      <c r="H16588" t="s">
        <v>23142</v>
      </c>
    </row>
    <row r="16589" spans="8:8">
      <c r="H16589" t="s">
        <v>23143</v>
      </c>
    </row>
    <row r="16590" spans="8:8">
      <c r="H16590" t="s">
        <v>23144</v>
      </c>
    </row>
    <row r="16591" spans="8:8">
      <c r="H16591" t="s">
        <v>23145</v>
      </c>
    </row>
    <row r="16592" spans="8:8">
      <c r="H16592" t="s">
        <v>23146</v>
      </c>
    </row>
    <row r="16593" spans="8:8">
      <c r="H16593" t="s">
        <v>23147</v>
      </c>
    </row>
    <row r="16594" spans="8:8">
      <c r="H16594" t="s">
        <v>23148</v>
      </c>
    </row>
    <row r="16595" spans="8:8">
      <c r="H16595" t="s">
        <v>23149</v>
      </c>
    </row>
    <row r="16596" spans="8:8">
      <c r="H16596" t="s">
        <v>23150</v>
      </c>
    </row>
    <row r="16597" spans="8:8">
      <c r="H16597" t="s">
        <v>23151</v>
      </c>
    </row>
    <row r="16598" spans="8:8">
      <c r="H16598" t="s">
        <v>23152</v>
      </c>
    </row>
    <row r="16599" spans="8:8">
      <c r="H16599" t="s">
        <v>23153</v>
      </c>
    </row>
    <row r="16600" spans="8:8">
      <c r="H16600" t="s">
        <v>23154</v>
      </c>
    </row>
    <row r="16601" spans="8:8">
      <c r="H16601" t="s">
        <v>23155</v>
      </c>
    </row>
    <row r="16602" spans="8:8">
      <c r="H16602" t="s">
        <v>23156</v>
      </c>
    </row>
    <row r="16603" spans="8:8">
      <c r="H16603" t="s">
        <v>23157</v>
      </c>
    </row>
    <row r="16604" spans="8:8">
      <c r="H16604" t="s">
        <v>23158</v>
      </c>
    </row>
    <row r="16605" spans="8:8">
      <c r="H16605" t="s">
        <v>23159</v>
      </c>
    </row>
    <row r="16606" spans="8:8">
      <c r="H16606" t="s">
        <v>23160</v>
      </c>
    </row>
    <row r="16607" spans="8:8">
      <c r="H16607" t="s">
        <v>23161</v>
      </c>
    </row>
    <row r="16608" spans="8:8">
      <c r="H16608" t="s">
        <v>23162</v>
      </c>
    </row>
    <row r="16609" spans="8:8">
      <c r="H16609" t="s">
        <v>23163</v>
      </c>
    </row>
    <row r="16610" spans="8:8">
      <c r="H16610" t="s">
        <v>23164</v>
      </c>
    </row>
    <row r="16611" spans="8:8">
      <c r="H16611" t="s">
        <v>23165</v>
      </c>
    </row>
    <row r="16612" spans="8:8">
      <c r="H16612" t="s">
        <v>23166</v>
      </c>
    </row>
    <row r="16613" spans="8:8">
      <c r="H16613" t="s">
        <v>23167</v>
      </c>
    </row>
    <row r="16614" spans="8:8">
      <c r="H16614" t="s">
        <v>23168</v>
      </c>
    </row>
    <row r="16615" spans="8:8">
      <c r="H16615" t="s">
        <v>23169</v>
      </c>
    </row>
    <row r="16616" spans="8:8">
      <c r="H16616" t="s">
        <v>23170</v>
      </c>
    </row>
    <row r="16617" spans="8:8">
      <c r="H16617" t="s">
        <v>23171</v>
      </c>
    </row>
    <row r="16618" spans="8:8">
      <c r="H16618" t="s">
        <v>23172</v>
      </c>
    </row>
    <row r="16619" spans="8:8">
      <c r="H16619" t="s">
        <v>23173</v>
      </c>
    </row>
    <row r="16620" spans="8:8">
      <c r="H16620" t="s">
        <v>23174</v>
      </c>
    </row>
    <row r="16621" spans="8:8">
      <c r="H16621" t="s">
        <v>23175</v>
      </c>
    </row>
    <row r="16622" spans="8:8">
      <c r="H16622" t="s">
        <v>23176</v>
      </c>
    </row>
    <row r="16623" spans="8:8">
      <c r="H16623" t="s">
        <v>23177</v>
      </c>
    </row>
    <row r="16624" spans="8:8">
      <c r="H16624" t="s">
        <v>23178</v>
      </c>
    </row>
    <row r="16625" spans="6:8">
      <c r="H16625" t="s">
        <v>23179</v>
      </c>
    </row>
    <row r="16626" spans="6:8">
      <c r="H16626" t="s">
        <v>23180</v>
      </c>
    </row>
    <row r="16627" spans="6:8">
      <c r="H16627" t="s">
        <v>23181</v>
      </c>
    </row>
    <row r="16628" spans="6:8">
      <c r="H16628" t="s">
        <v>21641</v>
      </c>
    </row>
    <row r="16629" spans="6:8">
      <c r="F16629" t="s">
        <v>12449</v>
      </c>
      <c r="G16629" t="s">
        <v>16670</v>
      </c>
      <c r="H16629" t="s">
        <v>18829</v>
      </c>
    </row>
    <row r="16630" spans="6:8">
      <c r="H16630" t="s">
        <v>23182</v>
      </c>
    </row>
    <row r="16631" spans="6:8">
      <c r="H16631" t="s">
        <v>23183</v>
      </c>
    </row>
    <row r="16632" spans="6:8">
      <c r="H16632" t="s">
        <v>23184</v>
      </c>
    </row>
    <row r="16633" spans="6:8">
      <c r="H16633" t="s">
        <v>23185</v>
      </c>
    </row>
    <row r="16634" spans="6:8">
      <c r="H16634" t="s">
        <v>23186</v>
      </c>
    </row>
    <row r="16635" spans="6:8">
      <c r="H16635" t="s">
        <v>23187</v>
      </c>
    </row>
    <row r="16636" spans="6:8">
      <c r="H16636" t="s">
        <v>23188</v>
      </c>
    </row>
    <row r="16637" spans="6:8">
      <c r="H16637" t="s">
        <v>23189</v>
      </c>
    </row>
    <row r="16638" spans="6:8">
      <c r="H16638" t="s">
        <v>23190</v>
      </c>
    </row>
    <row r="16639" spans="6:8">
      <c r="H16639" t="s">
        <v>23191</v>
      </c>
    </row>
    <row r="16640" spans="6:8">
      <c r="H16640" t="s">
        <v>23192</v>
      </c>
    </row>
    <row r="16641" spans="8:8">
      <c r="H16641" t="s">
        <v>23193</v>
      </c>
    </row>
    <row r="16642" spans="8:8">
      <c r="H16642" t="s">
        <v>23194</v>
      </c>
    </row>
    <row r="16643" spans="8:8">
      <c r="H16643" t="s">
        <v>23195</v>
      </c>
    </row>
    <row r="16644" spans="8:8">
      <c r="H16644" t="s">
        <v>23196</v>
      </c>
    </row>
    <row r="16645" spans="8:8">
      <c r="H16645" t="s">
        <v>23197</v>
      </c>
    </row>
    <row r="16646" spans="8:8">
      <c r="H16646" t="s">
        <v>23198</v>
      </c>
    </row>
    <row r="16647" spans="8:8">
      <c r="H16647" t="s">
        <v>23199</v>
      </c>
    </row>
    <row r="16648" spans="8:8">
      <c r="H16648" t="s">
        <v>23200</v>
      </c>
    </row>
    <row r="16649" spans="8:8">
      <c r="H16649" t="s">
        <v>23201</v>
      </c>
    </row>
    <row r="16650" spans="8:8">
      <c r="H16650" t="s">
        <v>23202</v>
      </c>
    </row>
    <row r="16651" spans="8:8">
      <c r="H16651" t="s">
        <v>23203</v>
      </c>
    </row>
    <row r="16652" spans="8:8">
      <c r="H16652" t="s">
        <v>23204</v>
      </c>
    </row>
    <row r="16653" spans="8:8">
      <c r="H16653" t="s">
        <v>23205</v>
      </c>
    </row>
    <row r="16654" spans="8:8">
      <c r="H16654" t="s">
        <v>23206</v>
      </c>
    </row>
    <row r="16655" spans="8:8">
      <c r="H16655" t="s">
        <v>23207</v>
      </c>
    </row>
    <row r="16656" spans="8:8">
      <c r="H16656" t="s">
        <v>23208</v>
      </c>
    </row>
    <row r="16657" spans="8:8">
      <c r="H16657" t="s">
        <v>23209</v>
      </c>
    </row>
    <row r="16658" spans="8:8">
      <c r="H16658" t="s">
        <v>23210</v>
      </c>
    </row>
    <row r="16659" spans="8:8">
      <c r="H16659" t="s">
        <v>23211</v>
      </c>
    </row>
    <row r="16660" spans="8:8">
      <c r="H16660" t="s">
        <v>23212</v>
      </c>
    </row>
    <row r="16661" spans="8:8">
      <c r="H16661" t="s">
        <v>23213</v>
      </c>
    </row>
    <row r="16662" spans="8:8">
      <c r="H16662" t="s">
        <v>23214</v>
      </c>
    </row>
    <row r="16663" spans="8:8">
      <c r="H16663" t="s">
        <v>23215</v>
      </c>
    </row>
    <row r="16664" spans="8:8">
      <c r="H16664" t="s">
        <v>23216</v>
      </c>
    </row>
    <row r="16665" spans="8:8">
      <c r="H16665" t="s">
        <v>23217</v>
      </c>
    </row>
    <row r="16666" spans="8:8">
      <c r="H16666" t="s">
        <v>23218</v>
      </c>
    </row>
    <row r="16667" spans="8:8">
      <c r="H16667" t="s">
        <v>23219</v>
      </c>
    </row>
    <row r="16668" spans="8:8">
      <c r="H16668" t="s">
        <v>23220</v>
      </c>
    </row>
    <row r="16669" spans="8:8">
      <c r="H16669" t="s">
        <v>23221</v>
      </c>
    </row>
    <row r="16670" spans="8:8">
      <c r="H16670" t="s">
        <v>23222</v>
      </c>
    </row>
    <row r="16671" spans="8:8">
      <c r="H16671" t="s">
        <v>23223</v>
      </c>
    </row>
    <row r="16672" spans="8:8">
      <c r="H16672" t="s">
        <v>23224</v>
      </c>
    </row>
    <row r="16673" spans="6:8">
      <c r="H16673" t="s">
        <v>23225</v>
      </c>
    </row>
    <row r="16674" spans="6:8">
      <c r="H16674" t="s">
        <v>23226</v>
      </c>
    </row>
    <row r="16675" spans="6:8">
      <c r="H16675" t="s">
        <v>23227</v>
      </c>
    </row>
    <row r="16676" spans="6:8">
      <c r="H16676" t="s">
        <v>23228</v>
      </c>
    </row>
    <row r="16677" spans="6:8">
      <c r="H16677" t="s">
        <v>23229</v>
      </c>
    </row>
    <row r="16678" spans="6:8">
      <c r="H16678" t="s">
        <v>23230</v>
      </c>
    </row>
    <row r="16679" spans="6:8">
      <c r="F16679" t="s">
        <v>12450</v>
      </c>
      <c r="G16679" t="s">
        <v>16671</v>
      </c>
      <c r="H16679" t="s">
        <v>18829</v>
      </c>
    </row>
    <row r="16680" spans="6:8">
      <c r="H16680" t="s">
        <v>23231</v>
      </c>
    </row>
    <row r="16681" spans="6:8">
      <c r="H16681" t="s">
        <v>23232</v>
      </c>
    </row>
    <row r="16682" spans="6:8">
      <c r="H16682" t="s">
        <v>23233</v>
      </c>
    </row>
    <row r="16683" spans="6:8">
      <c r="H16683" t="s">
        <v>23234</v>
      </c>
    </row>
    <row r="16684" spans="6:8">
      <c r="H16684" t="s">
        <v>23235</v>
      </c>
    </row>
    <row r="16685" spans="6:8">
      <c r="H16685" t="s">
        <v>23236</v>
      </c>
    </row>
    <row r="16686" spans="6:8">
      <c r="H16686" t="s">
        <v>23237</v>
      </c>
    </row>
    <row r="16687" spans="6:8">
      <c r="H16687" t="s">
        <v>23238</v>
      </c>
    </row>
    <row r="16688" spans="6:8">
      <c r="H16688" t="s">
        <v>23239</v>
      </c>
    </row>
    <row r="16689" spans="8:8">
      <c r="H16689" t="s">
        <v>23240</v>
      </c>
    </row>
    <row r="16690" spans="8:8">
      <c r="H16690" t="s">
        <v>23241</v>
      </c>
    </row>
    <row r="16691" spans="8:8">
      <c r="H16691" t="s">
        <v>23242</v>
      </c>
    </row>
    <row r="16692" spans="8:8">
      <c r="H16692" t="s">
        <v>23243</v>
      </c>
    </row>
    <row r="16693" spans="8:8">
      <c r="H16693" t="s">
        <v>23244</v>
      </c>
    </row>
    <row r="16694" spans="8:8">
      <c r="H16694" t="s">
        <v>23245</v>
      </c>
    </row>
    <row r="16695" spans="8:8">
      <c r="H16695" t="s">
        <v>23246</v>
      </c>
    </row>
    <row r="16696" spans="8:8">
      <c r="H16696" t="s">
        <v>23247</v>
      </c>
    </row>
    <row r="16697" spans="8:8">
      <c r="H16697" t="s">
        <v>23248</v>
      </c>
    </row>
    <row r="16698" spans="8:8">
      <c r="H16698" t="s">
        <v>23249</v>
      </c>
    </row>
    <row r="16699" spans="8:8">
      <c r="H16699" t="s">
        <v>23250</v>
      </c>
    </row>
    <row r="16700" spans="8:8">
      <c r="H16700" t="s">
        <v>23251</v>
      </c>
    </row>
    <row r="16701" spans="8:8">
      <c r="H16701" t="s">
        <v>23252</v>
      </c>
    </row>
    <row r="16702" spans="8:8">
      <c r="H16702" t="s">
        <v>23253</v>
      </c>
    </row>
    <row r="16703" spans="8:8">
      <c r="H16703" t="s">
        <v>23254</v>
      </c>
    </row>
    <row r="16704" spans="8:8">
      <c r="H16704" t="s">
        <v>23255</v>
      </c>
    </row>
    <row r="16705" spans="8:8">
      <c r="H16705" t="s">
        <v>23256</v>
      </c>
    </row>
    <row r="16706" spans="8:8">
      <c r="H16706" t="s">
        <v>23257</v>
      </c>
    </row>
    <row r="16707" spans="8:8">
      <c r="H16707" t="s">
        <v>23258</v>
      </c>
    </row>
    <row r="16708" spans="8:8">
      <c r="H16708" t="s">
        <v>23259</v>
      </c>
    </row>
    <row r="16709" spans="8:8">
      <c r="H16709" t="s">
        <v>23260</v>
      </c>
    </row>
    <row r="16710" spans="8:8">
      <c r="H16710" t="s">
        <v>23261</v>
      </c>
    </row>
    <row r="16711" spans="8:8">
      <c r="H16711" t="s">
        <v>23262</v>
      </c>
    </row>
    <row r="16712" spans="8:8">
      <c r="H16712" t="s">
        <v>23263</v>
      </c>
    </row>
    <row r="16713" spans="8:8">
      <c r="H16713" t="s">
        <v>23264</v>
      </c>
    </row>
    <row r="16714" spans="8:8">
      <c r="H16714" t="s">
        <v>23265</v>
      </c>
    </row>
    <row r="16715" spans="8:8">
      <c r="H16715" t="s">
        <v>23266</v>
      </c>
    </row>
    <row r="16716" spans="8:8">
      <c r="H16716" t="s">
        <v>23267</v>
      </c>
    </row>
    <row r="16717" spans="8:8">
      <c r="H16717" t="s">
        <v>23268</v>
      </c>
    </row>
    <row r="16718" spans="8:8">
      <c r="H16718" t="s">
        <v>23269</v>
      </c>
    </row>
    <row r="16719" spans="8:8">
      <c r="H16719" t="s">
        <v>23270</v>
      </c>
    </row>
    <row r="16720" spans="8:8">
      <c r="H16720" t="s">
        <v>23271</v>
      </c>
    </row>
    <row r="16721" spans="8:8">
      <c r="H16721" t="s">
        <v>23272</v>
      </c>
    </row>
    <row r="16722" spans="8:8">
      <c r="H16722" t="s">
        <v>23273</v>
      </c>
    </row>
    <row r="16723" spans="8:8">
      <c r="H16723" t="s">
        <v>23274</v>
      </c>
    </row>
    <row r="16724" spans="8:8">
      <c r="H16724" t="s">
        <v>23275</v>
      </c>
    </row>
    <row r="16725" spans="8:8">
      <c r="H16725" t="s">
        <v>23276</v>
      </c>
    </row>
    <row r="16726" spans="8:8">
      <c r="H16726" t="s">
        <v>23277</v>
      </c>
    </row>
    <row r="16727" spans="8:8">
      <c r="H16727" t="s">
        <v>23278</v>
      </c>
    </row>
    <row r="16728" spans="8:8">
      <c r="H16728" t="s">
        <v>23279</v>
      </c>
    </row>
    <row r="16729" spans="8:8">
      <c r="H16729" t="s">
        <v>23280</v>
      </c>
    </row>
    <row r="16730" spans="8:8">
      <c r="H16730" t="s">
        <v>23281</v>
      </c>
    </row>
    <row r="16731" spans="8:8">
      <c r="H16731" t="s">
        <v>23282</v>
      </c>
    </row>
    <row r="16732" spans="8:8">
      <c r="H16732" t="s">
        <v>23283</v>
      </c>
    </row>
    <row r="16733" spans="8:8">
      <c r="H16733" t="s">
        <v>23284</v>
      </c>
    </row>
    <row r="16734" spans="8:8">
      <c r="H16734" t="s">
        <v>23285</v>
      </c>
    </row>
    <row r="16735" spans="8:8">
      <c r="H16735" t="s">
        <v>23286</v>
      </c>
    </row>
    <row r="16736" spans="8:8">
      <c r="H16736" t="s">
        <v>23287</v>
      </c>
    </row>
    <row r="16737" spans="8:8">
      <c r="H16737" t="s">
        <v>23288</v>
      </c>
    </row>
    <row r="16738" spans="8:8">
      <c r="H16738" t="s">
        <v>23289</v>
      </c>
    </row>
    <row r="16739" spans="8:8">
      <c r="H16739" t="s">
        <v>23290</v>
      </c>
    </row>
    <row r="16740" spans="8:8">
      <c r="H16740" t="s">
        <v>23291</v>
      </c>
    </row>
    <row r="16741" spans="8:8">
      <c r="H16741" t="s">
        <v>23292</v>
      </c>
    </row>
    <row r="16742" spans="8:8">
      <c r="H16742" t="s">
        <v>23293</v>
      </c>
    </row>
    <row r="16743" spans="8:8">
      <c r="H16743" t="s">
        <v>23294</v>
      </c>
    </row>
    <row r="16744" spans="8:8">
      <c r="H16744" t="s">
        <v>23295</v>
      </c>
    </row>
    <row r="16745" spans="8:8">
      <c r="H16745" t="s">
        <v>23296</v>
      </c>
    </row>
    <row r="16746" spans="8:8">
      <c r="H16746" t="s">
        <v>23297</v>
      </c>
    </row>
    <row r="16747" spans="8:8">
      <c r="H16747" t="s">
        <v>23298</v>
      </c>
    </row>
    <row r="16748" spans="8:8">
      <c r="H16748" t="s">
        <v>23299</v>
      </c>
    </row>
    <row r="16749" spans="8:8">
      <c r="H16749" t="s">
        <v>23300</v>
      </c>
    </row>
    <row r="16750" spans="8:8">
      <c r="H16750" t="s">
        <v>23301</v>
      </c>
    </row>
    <row r="16751" spans="8:8">
      <c r="H16751" t="s">
        <v>23302</v>
      </c>
    </row>
    <row r="16752" spans="8:8">
      <c r="H16752" t="s">
        <v>23303</v>
      </c>
    </row>
    <row r="16753" spans="8:8">
      <c r="H16753" t="s">
        <v>23304</v>
      </c>
    </row>
    <row r="16754" spans="8:8">
      <c r="H16754" t="s">
        <v>23305</v>
      </c>
    </row>
    <row r="16755" spans="8:8">
      <c r="H16755" t="s">
        <v>23306</v>
      </c>
    </row>
    <row r="16756" spans="8:8">
      <c r="H16756" t="s">
        <v>23307</v>
      </c>
    </row>
    <row r="16757" spans="8:8">
      <c r="H16757" t="s">
        <v>23308</v>
      </c>
    </row>
    <row r="16758" spans="8:8">
      <c r="H16758" t="s">
        <v>23309</v>
      </c>
    </row>
    <row r="16759" spans="8:8">
      <c r="H16759" t="s">
        <v>23310</v>
      </c>
    </row>
    <row r="16760" spans="8:8">
      <c r="H16760" t="s">
        <v>23311</v>
      </c>
    </row>
    <row r="16761" spans="8:8">
      <c r="H16761" t="s">
        <v>23312</v>
      </c>
    </row>
    <row r="16762" spans="8:8">
      <c r="H16762" t="s">
        <v>23313</v>
      </c>
    </row>
    <row r="16763" spans="8:8">
      <c r="H16763" t="s">
        <v>23314</v>
      </c>
    </row>
    <row r="16764" spans="8:8">
      <c r="H16764" t="s">
        <v>23315</v>
      </c>
    </row>
    <row r="16765" spans="8:8">
      <c r="H16765" t="s">
        <v>23316</v>
      </c>
    </row>
    <row r="16766" spans="8:8">
      <c r="H16766" t="s">
        <v>23317</v>
      </c>
    </row>
    <row r="16767" spans="8:8">
      <c r="H16767" t="s">
        <v>23318</v>
      </c>
    </row>
    <row r="16768" spans="8:8">
      <c r="H16768" t="s">
        <v>23319</v>
      </c>
    </row>
    <row r="16769" spans="8:8">
      <c r="H16769" t="s">
        <v>23320</v>
      </c>
    </row>
    <row r="16770" spans="8:8">
      <c r="H16770" t="s">
        <v>23321</v>
      </c>
    </row>
    <row r="16771" spans="8:8">
      <c r="H16771" t="s">
        <v>23322</v>
      </c>
    </row>
    <row r="16772" spans="8:8">
      <c r="H16772" t="s">
        <v>23323</v>
      </c>
    </row>
    <row r="16773" spans="8:8">
      <c r="H16773" t="s">
        <v>23324</v>
      </c>
    </row>
    <row r="16774" spans="8:8">
      <c r="H16774" t="s">
        <v>23325</v>
      </c>
    </row>
    <row r="16775" spans="8:8">
      <c r="H16775" t="s">
        <v>23326</v>
      </c>
    </row>
    <row r="16776" spans="8:8">
      <c r="H16776" t="s">
        <v>23327</v>
      </c>
    </row>
    <row r="16777" spans="8:8">
      <c r="H16777" t="s">
        <v>23328</v>
      </c>
    </row>
    <row r="16778" spans="8:8">
      <c r="H16778" t="s">
        <v>23329</v>
      </c>
    </row>
    <row r="16779" spans="8:8">
      <c r="H16779" t="s">
        <v>23330</v>
      </c>
    </row>
    <row r="16780" spans="8:8">
      <c r="H16780" t="s">
        <v>23331</v>
      </c>
    </row>
    <row r="16781" spans="8:8">
      <c r="H16781" t="s">
        <v>23332</v>
      </c>
    </row>
    <row r="16782" spans="8:8">
      <c r="H16782" t="s">
        <v>23333</v>
      </c>
    </row>
    <row r="16783" spans="8:8">
      <c r="H16783" t="s">
        <v>23334</v>
      </c>
    </row>
    <row r="16784" spans="8:8">
      <c r="H16784" t="s">
        <v>23335</v>
      </c>
    </row>
    <row r="16785" spans="8:8">
      <c r="H16785" t="s">
        <v>23336</v>
      </c>
    </row>
    <row r="16786" spans="8:8">
      <c r="H16786" t="s">
        <v>23337</v>
      </c>
    </row>
    <row r="16787" spans="8:8">
      <c r="H16787" t="s">
        <v>23338</v>
      </c>
    </row>
    <row r="16788" spans="8:8">
      <c r="H16788" t="s">
        <v>23339</v>
      </c>
    </row>
    <row r="16789" spans="8:8">
      <c r="H16789" t="s">
        <v>23340</v>
      </c>
    </row>
    <row r="16790" spans="8:8">
      <c r="H16790" t="s">
        <v>23341</v>
      </c>
    </row>
    <row r="16791" spans="8:8">
      <c r="H16791" t="s">
        <v>23342</v>
      </c>
    </row>
    <row r="16792" spans="8:8">
      <c r="H16792" t="s">
        <v>23343</v>
      </c>
    </row>
    <row r="16793" spans="8:8">
      <c r="H16793" t="s">
        <v>23344</v>
      </c>
    </row>
    <row r="16794" spans="8:8">
      <c r="H16794" t="s">
        <v>23345</v>
      </c>
    </row>
    <row r="16795" spans="8:8">
      <c r="H16795" t="s">
        <v>23346</v>
      </c>
    </row>
    <row r="16796" spans="8:8">
      <c r="H16796" t="s">
        <v>23347</v>
      </c>
    </row>
    <row r="16797" spans="8:8">
      <c r="H16797" t="s">
        <v>23348</v>
      </c>
    </row>
    <row r="16798" spans="8:8">
      <c r="H16798" t="s">
        <v>23349</v>
      </c>
    </row>
    <row r="16799" spans="8:8">
      <c r="H16799" t="s">
        <v>23350</v>
      </c>
    </row>
    <row r="16800" spans="8:8">
      <c r="H16800" t="s">
        <v>23351</v>
      </c>
    </row>
    <row r="16801" spans="8:8">
      <c r="H16801" t="s">
        <v>23352</v>
      </c>
    </row>
    <row r="16802" spans="8:8">
      <c r="H16802" t="s">
        <v>23353</v>
      </c>
    </row>
    <row r="16803" spans="8:8">
      <c r="H16803" t="s">
        <v>23354</v>
      </c>
    </row>
    <row r="16804" spans="8:8">
      <c r="H16804" t="s">
        <v>23355</v>
      </c>
    </row>
    <row r="16805" spans="8:8">
      <c r="H16805" t="s">
        <v>23356</v>
      </c>
    </row>
    <row r="16806" spans="8:8">
      <c r="H16806" t="s">
        <v>23357</v>
      </c>
    </row>
    <row r="16807" spans="8:8">
      <c r="H16807" t="s">
        <v>23358</v>
      </c>
    </row>
    <row r="16808" spans="8:8">
      <c r="H16808" t="s">
        <v>23359</v>
      </c>
    </row>
    <row r="16809" spans="8:8">
      <c r="H16809" t="s">
        <v>23360</v>
      </c>
    </row>
    <row r="16810" spans="8:8">
      <c r="H16810" t="s">
        <v>23361</v>
      </c>
    </row>
    <row r="16811" spans="8:8">
      <c r="H16811" t="s">
        <v>23362</v>
      </c>
    </row>
    <row r="16812" spans="8:8">
      <c r="H16812" t="s">
        <v>23363</v>
      </c>
    </row>
    <row r="16813" spans="8:8">
      <c r="H16813" t="s">
        <v>23364</v>
      </c>
    </row>
    <row r="16814" spans="8:8">
      <c r="H16814" t="s">
        <v>23365</v>
      </c>
    </row>
    <row r="16815" spans="8:8">
      <c r="H16815" t="s">
        <v>23366</v>
      </c>
    </row>
    <row r="16816" spans="8:8">
      <c r="H16816" t="s">
        <v>23367</v>
      </c>
    </row>
    <row r="16817" spans="8:8">
      <c r="H16817" t="s">
        <v>23368</v>
      </c>
    </row>
    <row r="16818" spans="8:8">
      <c r="H16818" t="s">
        <v>23369</v>
      </c>
    </row>
    <row r="16819" spans="8:8">
      <c r="H16819" t="s">
        <v>23370</v>
      </c>
    </row>
    <row r="16820" spans="8:8">
      <c r="H16820" t="s">
        <v>23371</v>
      </c>
    </row>
    <row r="16821" spans="8:8">
      <c r="H16821" t="s">
        <v>23372</v>
      </c>
    </row>
    <row r="16822" spans="8:8">
      <c r="H16822" t="s">
        <v>23373</v>
      </c>
    </row>
    <row r="16823" spans="8:8">
      <c r="H16823" t="s">
        <v>23374</v>
      </c>
    </row>
    <row r="16824" spans="8:8">
      <c r="H16824" t="s">
        <v>23375</v>
      </c>
    </row>
    <row r="16825" spans="8:8">
      <c r="H16825" t="s">
        <v>23376</v>
      </c>
    </row>
    <row r="16826" spans="8:8">
      <c r="H16826" t="s">
        <v>23377</v>
      </c>
    </row>
    <row r="16827" spans="8:8">
      <c r="H16827" t="s">
        <v>23378</v>
      </c>
    </row>
    <row r="16828" spans="8:8">
      <c r="H16828" t="s">
        <v>23379</v>
      </c>
    </row>
    <row r="16829" spans="8:8">
      <c r="H16829" t="s">
        <v>23380</v>
      </c>
    </row>
    <row r="16830" spans="8:8">
      <c r="H16830" t="s">
        <v>23381</v>
      </c>
    </row>
    <row r="16831" spans="8:8">
      <c r="H16831" t="s">
        <v>23382</v>
      </c>
    </row>
    <row r="16832" spans="8:8">
      <c r="H16832" t="s">
        <v>23383</v>
      </c>
    </row>
    <row r="16833" spans="8:8">
      <c r="H16833" t="s">
        <v>23384</v>
      </c>
    </row>
    <row r="16834" spans="8:8">
      <c r="H16834" t="s">
        <v>23385</v>
      </c>
    </row>
    <row r="16835" spans="8:8">
      <c r="H16835" t="s">
        <v>23386</v>
      </c>
    </row>
    <row r="16836" spans="8:8">
      <c r="H16836" t="s">
        <v>23387</v>
      </c>
    </row>
    <row r="16837" spans="8:8">
      <c r="H16837" t="s">
        <v>23388</v>
      </c>
    </row>
    <row r="16838" spans="8:8">
      <c r="H16838" t="s">
        <v>23389</v>
      </c>
    </row>
    <row r="16839" spans="8:8">
      <c r="H16839" t="s">
        <v>23390</v>
      </c>
    </row>
    <row r="16840" spans="8:8">
      <c r="H16840" t="s">
        <v>23391</v>
      </c>
    </row>
    <row r="16841" spans="8:8">
      <c r="H16841" t="s">
        <v>23392</v>
      </c>
    </row>
    <row r="16842" spans="8:8">
      <c r="H16842" t="s">
        <v>23393</v>
      </c>
    </row>
    <row r="16843" spans="8:8">
      <c r="H16843" t="s">
        <v>23394</v>
      </c>
    </row>
    <row r="16844" spans="8:8">
      <c r="H16844" t="s">
        <v>23395</v>
      </c>
    </row>
    <row r="16845" spans="8:8">
      <c r="H16845" t="s">
        <v>23396</v>
      </c>
    </row>
    <row r="16846" spans="8:8">
      <c r="H16846" t="s">
        <v>23397</v>
      </c>
    </row>
    <row r="16847" spans="8:8">
      <c r="H16847" t="s">
        <v>23398</v>
      </c>
    </row>
    <row r="16848" spans="8:8">
      <c r="H16848" t="s">
        <v>23399</v>
      </c>
    </row>
    <row r="16849" spans="8:8">
      <c r="H16849" t="s">
        <v>23400</v>
      </c>
    </row>
    <row r="16850" spans="8:8">
      <c r="H16850" t="s">
        <v>23401</v>
      </c>
    </row>
    <row r="16851" spans="8:8">
      <c r="H16851" t="s">
        <v>23402</v>
      </c>
    </row>
    <row r="16852" spans="8:8">
      <c r="H16852" t="s">
        <v>23403</v>
      </c>
    </row>
    <row r="16853" spans="8:8">
      <c r="H16853" t="s">
        <v>23404</v>
      </c>
    </row>
    <row r="16854" spans="8:8">
      <c r="H16854" t="s">
        <v>23405</v>
      </c>
    </row>
    <row r="16855" spans="8:8">
      <c r="H16855" t="s">
        <v>23406</v>
      </c>
    </row>
    <row r="16856" spans="8:8">
      <c r="H16856" t="s">
        <v>23407</v>
      </c>
    </row>
    <row r="16857" spans="8:8">
      <c r="H16857" t="s">
        <v>23408</v>
      </c>
    </row>
    <row r="16858" spans="8:8">
      <c r="H16858" t="s">
        <v>23409</v>
      </c>
    </row>
    <row r="16859" spans="8:8">
      <c r="H16859" t="s">
        <v>23410</v>
      </c>
    </row>
    <row r="16860" spans="8:8">
      <c r="H16860" t="s">
        <v>23411</v>
      </c>
    </row>
    <row r="16861" spans="8:8">
      <c r="H16861" t="s">
        <v>23412</v>
      </c>
    </row>
    <row r="16862" spans="8:8">
      <c r="H16862" t="s">
        <v>23413</v>
      </c>
    </row>
    <row r="16863" spans="8:8">
      <c r="H16863" t="s">
        <v>23414</v>
      </c>
    </row>
    <row r="16864" spans="8:8">
      <c r="H16864" t="s">
        <v>23415</v>
      </c>
    </row>
    <row r="16865" spans="8:8">
      <c r="H16865" t="s">
        <v>23416</v>
      </c>
    </row>
    <row r="16866" spans="8:8">
      <c r="H16866" t="s">
        <v>23417</v>
      </c>
    </row>
    <row r="16867" spans="8:8">
      <c r="H16867" t="s">
        <v>23418</v>
      </c>
    </row>
    <row r="16868" spans="8:8">
      <c r="H16868" t="s">
        <v>23419</v>
      </c>
    </row>
    <row r="16869" spans="8:8">
      <c r="H16869" t="s">
        <v>23420</v>
      </c>
    </row>
    <row r="16870" spans="8:8">
      <c r="H16870" t="s">
        <v>23421</v>
      </c>
    </row>
    <row r="16871" spans="8:8">
      <c r="H16871" t="s">
        <v>23422</v>
      </c>
    </row>
    <row r="16872" spans="8:8">
      <c r="H16872" t="s">
        <v>23423</v>
      </c>
    </row>
    <row r="16873" spans="8:8">
      <c r="H16873" t="s">
        <v>23424</v>
      </c>
    </row>
    <row r="16874" spans="8:8">
      <c r="H16874" t="s">
        <v>23425</v>
      </c>
    </row>
    <row r="16875" spans="8:8">
      <c r="H16875" t="s">
        <v>23426</v>
      </c>
    </row>
    <row r="16876" spans="8:8">
      <c r="H16876" t="s">
        <v>23427</v>
      </c>
    </row>
    <row r="16877" spans="8:8">
      <c r="H16877" t="s">
        <v>23428</v>
      </c>
    </row>
    <row r="16878" spans="8:8">
      <c r="H16878" t="s">
        <v>23429</v>
      </c>
    </row>
    <row r="16879" spans="8:8">
      <c r="H16879" t="s">
        <v>23430</v>
      </c>
    </row>
    <row r="16880" spans="8:8">
      <c r="H16880" t="s">
        <v>23431</v>
      </c>
    </row>
    <row r="16881" spans="8:8">
      <c r="H16881" t="s">
        <v>23432</v>
      </c>
    </row>
    <row r="16882" spans="8:8">
      <c r="H16882" t="s">
        <v>23433</v>
      </c>
    </row>
    <row r="16883" spans="8:8">
      <c r="H16883" t="s">
        <v>23434</v>
      </c>
    </row>
    <row r="16884" spans="8:8">
      <c r="H16884" t="s">
        <v>23435</v>
      </c>
    </row>
    <row r="16885" spans="8:8">
      <c r="H16885" t="s">
        <v>23436</v>
      </c>
    </row>
    <row r="16886" spans="8:8">
      <c r="H16886" t="s">
        <v>23437</v>
      </c>
    </row>
    <row r="16887" spans="8:8">
      <c r="H16887" t="s">
        <v>23438</v>
      </c>
    </row>
    <row r="16888" spans="8:8">
      <c r="H16888" t="s">
        <v>23439</v>
      </c>
    </row>
    <row r="16889" spans="8:8">
      <c r="H16889" t="s">
        <v>23440</v>
      </c>
    </row>
    <row r="16890" spans="8:8">
      <c r="H16890" t="s">
        <v>23441</v>
      </c>
    </row>
    <row r="16891" spans="8:8">
      <c r="H16891" t="s">
        <v>23442</v>
      </c>
    </row>
    <row r="16892" spans="8:8">
      <c r="H16892" t="s">
        <v>23443</v>
      </c>
    </row>
    <row r="16893" spans="8:8">
      <c r="H16893" t="s">
        <v>23444</v>
      </c>
    </row>
    <row r="16894" spans="8:8">
      <c r="H16894" t="s">
        <v>23445</v>
      </c>
    </row>
    <row r="16895" spans="8:8">
      <c r="H16895" t="s">
        <v>23446</v>
      </c>
    </row>
    <row r="16896" spans="8:8">
      <c r="H16896" t="s">
        <v>23447</v>
      </c>
    </row>
    <row r="16897" spans="8:8">
      <c r="H16897" t="s">
        <v>23448</v>
      </c>
    </row>
    <row r="16898" spans="8:8">
      <c r="H16898" t="s">
        <v>23449</v>
      </c>
    </row>
    <row r="16899" spans="8:8">
      <c r="H16899" t="s">
        <v>23450</v>
      </c>
    </row>
    <row r="16900" spans="8:8">
      <c r="H16900" t="s">
        <v>23451</v>
      </c>
    </row>
    <row r="16901" spans="8:8">
      <c r="H16901" t="s">
        <v>23452</v>
      </c>
    </row>
    <row r="16902" spans="8:8">
      <c r="H16902" t="s">
        <v>23453</v>
      </c>
    </row>
    <row r="16903" spans="8:8">
      <c r="H16903" t="s">
        <v>23454</v>
      </c>
    </row>
    <row r="16904" spans="8:8">
      <c r="H16904" t="s">
        <v>23455</v>
      </c>
    </row>
    <row r="16905" spans="8:8">
      <c r="H16905" t="s">
        <v>23456</v>
      </c>
    </row>
    <row r="16906" spans="8:8">
      <c r="H16906" t="s">
        <v>23457</v>
      </c>
    </row>
    <row r="16907" spans="8:8">
      <c r="H16907" t="s">
        <v>23458</v>
      </c>
    </row>
    <row r="16908" spans="8:8">
      <c r="H16908" t="s">
        <v>23459</v>
      </c>
    </row>
    <row r="16909" spans="8:8">
      <c r="H16909" t="s">
        <v>23460</v>
      </c>
    </row>
    <row r="16910" spans="8:8">
      <c r="H16910" t="s">
        <v>23461</v>
      </c>
    </row>
    <row r="16911" spans="8:8">
      <c r="H16911" t="s">
        <v>23462</v>
      </c>
    </row>
    <row r="16912" spans="8:8">
      <c r="H16912" t="s">
        <v>23463</v>
      </c>
    </row>
    <row r="16913" spans="8:8">
      <c r="H16913" t="s">
        <v>23464</v>
      </c>
    </row>
    <row r="16914" spans="8:8">
      <c r="H16914" t="s">
        <v>23465</v>
      </c>
    </row>
    <row r="16915" spans="8:8">
      <c r="H16915" t="s">
        <v>23466</v>
      </c>
    </row>
    <row r="16916" spans="8:8">
      <c r="H16916" t="s">
        <v>23467</v>
      </c>
    </row>
    <row r="16917" spans="8:8">
      <c r="H16917" t="s">
        <v>23468</v>
      </c>
    </row>
    <row r="16918" spans="8:8">
      <c r="H16918" t="s">
        <v>23469</v>
      </c>
    </row>
    <row r="16919" spans="8:8">
      <c r="H16919" t="s">
        <v>23470</v>
      </c>
    </row>
    <row r="16920" spans="8:8">
      <c r="H16920" t="s">
        <v>23471</v>
      </c>
    </row>
    <row r="16921" spans="8:8">
      <c r="H16921" t="s">
        <v>23472</v>
      </c>
    </row>
    <row r="16922" spans="8:8">
      <c r="H16922" t="s">
        <v>23473</v>
      </c>
    </row>
    <row r="16923" spans="8:8">
      <c r="H16923" t="s">
        <v>23474</v>
      </c>
    </row>
    <row r="16924" spans="8:8">
      <c r="H16924" t="s">
        <v>23475</v>
      </c>
    </row>
    <row r="16925" spans="8:8">
      <c r="H16925" t="s">
        <v>23476</v>
      </c>
    </row>
    <row r="16926" spans="8:8">
      <c r="H16926" t="s">
        <v>23477</v>
      </c>
    </row>
    <row r="16927" spans="8:8">
      <c r="H16927" t="s">
        <v>23478</v>
      </c>
    </row>
    <row r="16928" spans="8:8">
      <c r="H16928" t="s">
        <v>23479</v>
      </c>
    </row>
    <row r="16929" spans="8:8">
      <c r="H16929" t="s">
        <v>23480</v>
      </c>
    </row>
    <row r="16930" spans="8:8">
      <c r="H16930" t="s">
        <v>23481</v>
      </c>
    </row>
    <row r="16931" spans="8:8">
      <c r="H16931" t="s">
        <v>23482</v>
      </c>
    </row>
    <row r="16932" spans="8:8">
      <c r="H16932" t="s">
        <v>23483</v>
      </c>
    </row>
    <row r="16933" spans="8:8">
      <c r="H16933" t="s">
        <v>23484</v>
      </c>
    </row>
    <row r="16934" spans="8:8">
      <c r="H16934" t="s">
        <v>23485</v>
      </c>
    </row>
    <row r="16935" spans="8:8">
      <c r="H16935" t="s">
        <v>23486</v>
      </c>
    </row>
    <row r="16936" spans="8:8">
      <c r="H16936" t="s">
        <v>23487</v>
      </c>
    </row>
    <row r="16937" spans="8:8">
      <c r="H16937" t="s">
        <v>23488</v>
      </c>
    </row>
    <row r="16938" spans="8:8">
      <c r="H16938" t="s">
        <v>23489</v>
      </c>
    </row>
    <row r="16939" spans="8:8">
      <c r="H16939" t="s">
        <v>23490</v>
      </c>
    </row>
    <row r="16940" spans="8:8">
      <c r="H16940" t="s">
        <v>23491</v>
      </c>
    </row>
    <row r="16941" spans="8:8">
      <c r="H16941" t="s">
        <v>23492</v>
      </c>
    </row>
    <row r="16942" spans="8:8">
      <c r="H16942" t="s">
        <v>23493</v>
      </c>
    </row>
    <row r="16943" spans="8:8">
      <c r="H16943" t="s">
        <v>23494</v>
      </c>
    </row>
    <row r="16944" spans="8:8">
      <c r="H16944" t="s">
        <v>23495</v>
      </c>
    </row>
    <row r="16945" spans="8:8">
      <c r="H16945" t="s">
        <v>23496</v>
      </c>
    </row>
    <row r="16946" spans="8:8">
      <c r="H16946" t="s">
        <v>23497</v>
      </c>
    </row>
    <row r="16947" spans="8:8">
      <c r="H16947" t="s">
        <v>23498</v>
      </c>
    </row>
    <row r="16948" spans="8:8">
      <c r="H16948" t="s">
        <v>23499</v>
      </c>
    </row>
    <row r="16949" spans="8:8">
      <c r="H16949" t="s">
        <v>23500</v>
      </c>
    </row>
    <row r="16950" spans="8:8">
      <c r="H16950" t="s">
        <v>23501</v>
      </c>
    </row>
    <row r="16951" spans="8:8">
      <c r="H16951" t="s">
        <v>23502</v>
      </c>
    </row>
    <row r="16952" spans="8:8">
      <c r="H16952" t="s">
        <v>23503</v>
      </c>
    </row>
    <row r="16953" spans="8:8">
      <c r="H16953" t="s">
        <v>23504</v>
      </c>
    </row>
    <row r="16954" spans="8:8">
      <c r="H16954" t="s">
        <v>23505</v>
      </c>
    </row>
    <row r="16955" spans="8:8">
      <c r="H16955" t="s">
        <v>23506</v>
      </c>
    </row>
    <row r="16956" spans="8:8">
      <c r="H16956" t="s">
        <v>23507</v>
      </c>
    </row>
    <row r="16957" spans="8:8">
      <c r="H16957" t="s">
        <v>23508</v>
      </c>
    </row>
    <row r="16958" spans="8:8">
      <c r="H16958" t="s">
        <v>23509</v>
      </c>
    </row>
    <row r="16959" spans="8:8">
      <c r="H16959" t="s">
        <v>23510</v>
      </c>
    </row>
    <row r="16960" spans="8:8">
      <c r="H16960" t="s">
        <v>23511</v>
      </c>
    </row>
    <row r="16961" spans="8:8">
      <c r="H16961" t="s">
        <v>23512</v>
      </c>
    </row>
    <row r="16962" spans="8:8">
      <c r="H16962" t="s">
        <v>23513</v>
      </c>
    </row>
    <row r="16963" spans="8:8">
      <c r="H16963" t="s">
        <v>23514</v>
      </c>
    </row>
    <row r="16964" spans="8:8">
      <c r="H16964" t="s">
        <v>23515</v>
      </c>
    </row>
    <row r="16965" spans="8:8">
      <c r="H16965" t="s">
        <v>23516</v>
      </c>
    </row>
    <row r="16966" spans="8:8">
      <c r="H16966" t="s">
        <v>23517</v>
      </c>
    </row>
    <row r="16967" spans="8:8">
      <c r="H16967" t="s">
        <v>23518</v>
      </c>
    </row>
    <row r="16968" spans="8:8">
      <c r="H16968" t="s">
        <v>23519</v>
      </c>
    </row>
    <row r="16969" spans="8:8">
      <c r="H16969" t="s">
        <v>23520</v>
      </c>
    </row>
    <row r="16970" spans="8:8">
      <c r="H16970" t="s">
        <v>23521</v>
      </c>
    </row>
    <row r="16971" spans="8:8">
      <c r="H16971" t="s">
        <v>23522</v>
      </c>
    </row>
    <row r="16972" spans="8:8">
      <c r="H16972" t="s">
        <v>23523</v>
      </c>
    </row>
    <row r="16973" spans="8:8">
      <c r="H16973" t="s">
        <v>23524</v>
      </c>
    </row>
    <row r="16974" spans="8:8">
      <c r="H16974" t="s">
        <v>23525</v>
      </c>
    </row>
    <row r="16975" spans="8:8">
      <c r="H16975" t="s">
        <v>23526</v>
      </c>
    </row>
    <row r="16976" spans="8:8">
      <c r="H16976" t="s">
        <v>23527</v>
      </c>
    </row>
    <row r="16977" spans="8:8">
      <c r="H16977" t="s">
        <v>23528</v>
      </c>
    </row>
    <row r="16978" spans="8:8">
      <c r="H16978" t="s">
        <v>23529</v>
      </c>
    </row>
    <row r="16979" spans="8:8">
      <c r="H16979" t="s">
        <v>23530</v>
      </c>
    </row>
    <row r="16980" spans="8:8">
      <c r="H16980" t="s">
        <v>23531</v>
      </c>
    </row>
    <row r="16981" spans="8:8">
      <c r="H16981" t="s">
        <v>23532</v>
      </c>
    </row>
    <row r="16982" spans="8:8">
      <c r="H16982" t="s">
        <v>23533</v>
      </c>
    </row>
    <row r="16983" spans="8:8">
      <c r="H16983" t="s">
        <v>23534</v>
      </c>
    </row>
    <row r="16984" spans="8:8">
      <c r="H16984" t="s">
        <v>23535</v>
      </c>
    </row>
    <row r="16985" spans="8:8">
      <c r="H16985" t="s">
        <v>23536</v>
      </c>
    </row>
    <row r="16986" spans="8:8">
      <c r="H16986" t="s">
        <v>23537</v>
      </c>
    </row>
    <row r="16987" spans="8:8">
      <c r="H16987" t="s">
        <v>23538</v>
      </c>
    </row>
    <row r="16988" spans="8:8">
      <c r="H16988" t="s">
        <v>23539</v>
      </c>
    </row>
    <row r="16989" spans="8:8">
      <c r="H16989" t="s">
        <v>23540</v>
      </c>
    </row>
    <row r="16990" spans="8:8">
      <c r="H16990" t="s">
        <v>23541</v>
      </c>
    </row>
    <row r="16991" spans="8:8">
      <c r="H16991" t="s">
        <v>23542</v>
      </c>
    </row>
    <row r="16992" spans="8:8">
      <c r="H16992" t="s">
        <v>23543</v>
      </c>
    </row>
    <row r="16993" spans="8:8">
      <c r="H16993" t="s">
        <v>23544</v>
      </c>
    </row>
    <row r="16994" spans="8:8">
      <c r="H16994" t="s">
        <v>23545</v>
      </c>
    </row>
    <row r="16995" spans="8:8">
      <c r="H16995" t="s">
        <v>23546</v>
      </c>
    </row>
    <row r="16996" spans="8:8">
      <c r="H16996" t="s">
        <v>23547</v>
      </c>
    </row>
    <row r="16997" spans="8:8">
      <c r="H16997" t="s">
        <v>23548</v>
      </c>
    </row>
    <row r="16998" spans="8:8">
      <c r="H16998" t="s">
        <v>23549</v>
      </c>
    </row>
    <row r="16999" spans="8:8">
      <c r="H16999" t="s">
        <v>23550</v>
      </c>
    </row>
    <row r="17000" spans="8:8">
      <c r="H17000" t="s">
        <v>23551</v>
      </c>
    </row>
    <row r="17001" spans="8:8">
      <c r="H17001" t="s">
        <v>23552</v>
      </c>
    </row>
    <row r="17002" spans="8:8">
      <c r="H17002" t="s">
        <v>23553</v>
      </c>
    </row>
    <row r="17003" spans="8:8">
      <c r="H17003" t="s">
        <v>23554</v>
      </c>
    </row>
    <row r="17004" spans="8:8">
      <c r="H17004" t="s">
        <v>23555</v>
      </c>
    </row>
    <row r="17005" spans="8:8">
      <c r="H17005" t="s">
        <v>23556</v>
      </c>
    </row>
    <row r="17006" spans="8:8">
      <c r="H17006" t="s">
        <v>23557</v>
      </c>
    </row>
    <row r="17007" spans="8:8">
      <c r="H17007" t="s">
        <v>23558</v>
      </c>
    </row>
    <row r="17008" spans="8:8">
      <c r="H17008" t="s">
        <v>23559</v>
      </c>
    </row>
    <row r="17009" spans="8:8">
      <c r="H17009" t="s">
        <v>23560</v>
      </c>
    </row>
    <row r="17010" spans="8:8">
      <c r="H17010" t="s">
        <v>23561</v>
      </c>
    </row>
    <row r="17011" spans="8:8">
      <c r="H17011" t="s">
        <v>23562</v>
      </c>
    </row>
    <row r="17012" spans="8:8">
      <c r="H17012" t="s">
        <v>23563</v>
      </c>
    </row>
    <row r="17013" spans="8:8">
      <c r="H17013" t="s">
        <v>23564</v>
      </c>
    </row>
    <row r="17014" spans="8:8">
      <c r="H17014" t="s">
        <v>23565</v>
      </c>
    </row>
    <row r="17015" spans="8:8">
      <c r="H17015" t="s">
        <v>23566</v>
      </c>
    </row>
    <row r="17016" spans="8:8">
      <c r="H17016" t="s">
        <v>23567</v>
      </c>
    </row>
    <row r="17017" spans="8:8">
      <c r="H17017" t="s">
        <v>23568</v>
      </c>
    </row>
    <row r="17018" spans="8:8">
      <c r="H17018" t="s">
        <v>23569</v>
      </c>
    </row>
    <row r="17019" spans="8:8">
      <c r="H17019" t="s">
        <v>23570</v>
      </c>
    </row>
    <row r="17020" spans="8:8">
      <c r="H17020" t="s">
        <v>23571</v>
      </c>
    </row>
    <row r="17021" spans="8:8">
      <c r="H17021" t="s">
        <v>23572</v>
      </c>
    </row>
    <row r="17022" spans="8:8">
      <c r="H17022" t="s">
        <v>23573</v>
      </c>
    </row>
    <row r="17023" spans="8:8">
      <c r="H17023" t="s">
        <v>23574</v>
      </c>
    </row>
    <row r="17024" spans="8:8">
      <c r="H17024" t="s">
        <v>23575</v>
      </c>
    </row>
    <row r="17025" spans="8:8">
      <c r="H17025" t="s">
        <v>23576</v>
      </c>
    </row>
    <row r="17026" spans="8:8">
      <c r="H17026" t="s">
        <v>23577</v>
      </c>
    </row>
    <row r="17027" spans="8:8">
      <c r="H17027" t="s">
        <v>23578</v>
      </c>
    </row>
    <row r="17028" spans="8:8">
      <c r="H17028" t="s">
        <v>23579</v>
      </c>
    </row>
    <row r="17029" spans="8:8">
      <c r="H17029" t="s">
        <v>23580</v>
      </c>
    </row>
    <row r="17030" spans="8:8">
      <c r="H17030" t="s">
        <v>23581</v>
      </c>
    </row>
    <row r="17031" spans="8:8">
      <c r="H17031" t="s">
        <v>23582</v>
      </c>
    </row>
    <row r="17032" spans="8:8">
      <c r="H17032" t="s">
        <v>23583</v>
      </c>
    </row>
    <row r="17033" spans="8:8">
      <c r="H17033" t="s">
        <v>23584</v>
      </c>
    </row>
    <row r="17034" spans="8:8">
      <c r="H17034" t="s">
        <v>23585</v>
      </c>
    </row>
    <row r="17035" spans="8:8">
      <c r="H17035" t="s">
        <v>23586</v>
      </c>
    </row>
    <row r="17036" spans="8:8">
      <c r="H17036" t="s">
        <v>23587</v>
      </c>
    </row>
    <row r="17037" spans="8:8">
      <c r="H17037" t="s">
        <v>23588</v>
      </c>
    </row>
    <row r="17038" spans="8:8">
      <c r="H17038" t="s">
        <v>23589</v>
      </c>
    </row>
    <row r="17039" spans="8:8">
      <c r="H17039" t="s">
        <v>23590</v>
      </c>
    </row>
    <row r="17040" spans="8:8">
      <c r="H17040" t="s">
        <v>23591</v>
      </c>
    </row>
    <row r="17041" spans="8:8">
      <c r="H17041" t="s">
        <v>23592</v>
      </c>
    </row>
    <row r="17042" spans="8:8">
      <c r="H17042" t="s">
        <v>23593</v>
      </c>
    </row>
    <row r="17043" spans="8:8">
      <c r="H17043" t="s">
        <v>23594</v>
      </c>
    </row>
    <row r="17044" spans="8:8">
      <c r="H17044" t="s">
        <v>23595</v>
      </c>
    </row>
    <row r="17045" spans="8:8">
      <c r="H17045" t="s">
        <v>23596</v>
      </c>
    </row>
    <row r="17046" spans="8:8">
      <c r="H17046" t="s">
        <v>23597</v>
      </c>
    </row>
    <row r="17047" spans="8:8">
      <c r="H17047" t="s">
        <v>23598</v>
      </c>
    </row>
    <row r="17048" spans="8:8">
      <c r="H17048" t="s">
        <v>23599</v>
      </c>
    </row>
    <row r="17049" spans="8:8">
      <c r="H17049" t="s">
        <v>23600</v>
      </c>
    </row>
    <row r="17050" spans="8:8">
      <c r="H17050" t="s">
        <v>23601</v>
      </c>
    </row>
    <row r="17051" spans="8:8">
      <c r="H17051" t="s">
        <v>23602</v>
      </c>
    </row>
    <row r="17052" spans="8:8">
      <c r="H17052" t="s">
        <v>23603</v>
      </c>
    </row>
    <row r="17053" spans="8:8">
      <c r="H17053" t="s">
        <v>23604</v>
      </c>
    </row>
    <row r="17054" spans="8:8">
      <c r="H17054" t="s">
        <v>23605</v>
      </c>
    </row>
    <row r="17055" spans="8:8">
      <c r="H17055" t="s">
        <v>23606</v>
      </c>
    </row>
    <row r="17056" spans="8:8">
      <c r="H17056" t="s">
        <v>23607</v>
      </c>
    </row>
    <row r="17057" spans="8:8">
      <c r="H17057" t="s">
        <v>23608</v>
      </c>
    </row>
    <row r="17058" spans="8:8">
      <c r="H17058" t="s">
        <v>23609</v>
      </c>
    </row>
    <row r="17059" spans="8:8">
      <c r="H17059" t="s">
        <v>23610</v>
      </c>
    </row>
    <row r="17060" spans="8:8">
      <c r="H17060" t="s">
        <v>23611</v>
      </c>
    </row>
    <row r="17061" spans="8:8">
      <c r="H17061" t="s">
        <v>23612</v>
      </c>
    </row>
    <row r="17062" spans="8:8">
      <c r="H17062" t="s">
        <v>23613</v>
      </c>
    </row>
    <row r="17063" spans="8:8">
      <c r="H17063" t="s">
        <v>23614</v>
      </c>
    </row>
    <row r="17064" spans="8:8">
      <c r="H17064" t="s">
        <v>23615</v>
      </c>
    </row>
    <row r="17065" spans="8:8">
      <c r="H17065" t="s">
        <v>23616</v>
      </c>
    </row>
    <row r="17066" spans="8:8">
      <c r="H17066" t="s">
        <v>23617</v>
      </c>
    </row>
    <row r="17067" spans="8:8">
      <c r="H17067" t="s">
        <v>23618</v>
      </c>
    </row>
    <row r="17068" spans="8:8">
      <c r="H17068" t="s">
        <v>23619</v>
      </c>
    </row>
    <row r="17069" spans="8:8">
      <c r="H17069" t="s">
        <v>23620</v>
      </c>
    </row>
    <row r="17070" spans="8:8">
      <c r="H17070" t="s">
        <v>23621</v>
      </c>
    </row>
    <row r="17071" spans="8:8">
      <c r="H17071" t="s">
        <v>23622</v>
      </c>
    </row>
    <row r="17072" spans="8:8">
      <c r="H17072" t="s">
        <v>23623</v>
      </c>
    </row>
    <row r="17073" spans="8:8">
      <c r="H17073" t="s">
        <v>23624</v>
      </c>
    </row>
    <row r="17074" spans="8:8">
      <c r="H17074" t="s">
        <v>23625</v>
      </c>
    </row>
    <row r="17075" spans="8:8">
      <c r="H17075" t="s">
        <v>23626</v>
      </c>
    </row>
    <row r="17076" spans="8:8">
      <c r="H17076" t="s">
        <v>23627</v>
      </c>
    </row>
    <row r="17077" spans="8:8">
      <c r="H17077" t="s">
        <v>23628</v>
      </c>
    </row>
    <row r="17078" spans="8:8">
      <c r="H17078" t="s">
        <v>23629</v>
      </c>
    </row>
    <row r="17079" spans="8:8">
      <c r="H17079" t="s">
        <v>23630</v>
      </c>
    </row>
    <row r="17080" spans="8:8">
      <c r="H17080" t="s">
        <v>23631</v>
      </c>
    </row>
    <row r="17081" spans="8:8">
      <c r="H17081" t="s">
        <v>23632</v>
      </c>
    </row>
    <row r="17082" spans="8:8">
      <c r="H17082" t="s">
        <v>23633</v>
      </c>
    </row>
    <row r="17083" spans="8:8">
      <c r="H17083" t="s">
        <v>23634</v>
      </c>
    </row>
    <row r="17084" spans="8:8">
      <c r="H17084" t="s">
        <v>23635</v>
      </c>
    </row>
    <row r="17085" spans="8:8">
      <c r="H17085" t="s">
        <v>23636</v>
      </c>
    </row>
    <row r="17086" spans="8:8">
      <c r="H17086" t="s">
        <v>23637</v>
      </c>
    </row>
    <row r="17087" spans="8:8">
      <c r="H17087" t="s">
        <v>23638</v>
      </c>
    </row>
    <row r="17088" spans="8:8">
      <c r="H17088" t="s">
        <v>23639</v>
      </c>
    </row>
    <row r="17089" spans="8:8">
      <c r="H17089" t="s">
        <v>23640</v>
      </c>
    </row>
    <row r="17090" spans="8:8">
      <c r="H17090" t="s">
        <v>23641</v>
      </c>
    </row>
    <row r="17091" spans="8:8">
      <c r="H17091" t="s">
        <v>23642</v>
      </c>
    </row>
    <row r="17092" spans="8:8">
      <c r="H17092" t="s">
        <v>23643</v>
      </c>
    </row>
    <row r="17093" spans="8:8">
      <c r="H17093" t="s">
        <v>23644</v>
      </c>
    </row>
    <row r="17094" spans="8:8">
      <c r="H17094" t="s">
        <v>23645</v>
      </c>
    </row>
    <row r="17095" spans="8:8">
      <c r="H17095" t="s">
        <v>23646</v>
      </c>
    </row>
    <row r="17096" spans="8:8">
      <c r="H17096" t="s">
        <v>23647</v>
      </c>
    </row>
    <row r="17097" spans="8:8">
      <c r="H17097" t="s">
        <v>23648</v>
      </c>
    </row>
    <row r="17098" spans="8:8">
      <c r="H17098" t="s">
        <v>23649</v>
      </c>
    </row>
    <row r="17099" spans="8:8">
      <c r="H17099" t="s">
        <v>23650</v>
      </c>
    </row>
    <row r="17100" spans="8:8">
      <c r="H17100" t="s">
        <v>23651</v>
      </c>
    </row>
    <row r="17101" spans="8:8">
      <c r="H17101" t="s">
        <v>23652</v>
      </c>
    </row>
    <row r="17102" spans="8:8">
      <c r="H17102" t="s">
        <v>23653</v>
      </c>
    </row>
    <row r="17103" spans="8:8">
      <c r="H17103" t="s">
        <v>23654</v>
      </c>
    </row>
    <row r="17104" spans="8:8">
      <c r="H17104" t="s">
        <v>23655</v>
      </c>
    </row>
    <row r="17105" spans="8:8">
      <c r="H17105" t="s">
        <v>23656</v>
      </c>
    </row>
    <row r="17106" spans="8:8">
      <c r="H17106" t="s">
        <v>23657</v>
      </c>
    </row>
    <row r="17107" spans="8:8">
      <c r="H17107" t="s">
        <v>23658</v>
      </c>
    </row>
    <row r="17108" spans="8:8">
      <c r="H17108" t="s">
        <v>23659</v>
      </c>
    </row>
    <row r="17109" spans="8:8">
      <c r="H17109" t="s">
        <v>23660</v>
      </c>
    </row>
    <row r="17110" spans="8:8">
      <c r="H17110" t="s">
        <v>23661</v>
      </c>
    </row>
    <row r="17111" spans="8:8">
      <c r="H17111" t="s">
        <v>23662</v>
      </c>
    </row>
    <row r="17112" spans="8:8">
      <c r="H17112" t="s">
        <v>23663</v>
      </c>
    </row>
    <row r="17113" spans="8:8">
      <c r="H17113" t="s">
        <v>23664</v>
      </c>
    </row>
    <row r="17114" spans="8:8">
      <c r="H17114" t="s">
        <v>23665</v>
      </c>
    </row>
    <row r="17115" spans="8:8">
      <c r="H17115" t="s">
        <v>23666</v>
      </c>
    </row>
    <row r="17116" spans="8:8">
      <c r="H17116" t="s">
        <v>23667</v>
      </c>
    </row>
    <row r="17117" spans="8:8">
      <c r="H17117" t="s">
        <v>23668</v>
      </c>
    </row>
    <row r="17118" spans="8:8">
      <c r="H17118" t="s">
        <v>23669</v>
      </c>
    </row>
    <row r="17119" spans="8:8">
      <c r="H17119" t="s">
        <v>23670</v>
      </c>
    </row>
    <row r="17120" spans="8:8">
      <c r="H17120" t="s">
        <v>23671</v>
      </c>
    </row>
    <row r="17121" spans="8:8">
      <c r="H17121" t="s">
        <v>23672</v>
      </c>
    </row>
    <row r="17122" spans="8:8">
      <c r="H17122" t="s">
        <v>23673</v>
      </c>
    </row>
    <row r="17123" spans="8:8">
      <c r="H17123" t="s">
        <v>23674</v>
      </c>
    </row>
    <row r="17124" spans="8:8">
      <c r="H17124" t="s">
        <v>23675</v>
      </c>
    </row>
    <row r="17125" spans="8:8">
      <c r="H17125" t="s">
        <v>23676</v>
      </c>
    </row>
    <row r="17126" spans="8:8">
      <c r="H17126" t="s">
        <v>23677</v>
      </c>
    </row>
    <row r="17127" spans="8:8">
      <c r="H17127" t="s">
        <v>23678</v>
      </c>
    </row>
    <row r="17128" spans="8:8">
      <c r="H17128" t="s">
        <v>23679</v>
      </c>
    </row>
    <row r="17129" spans="8:8">
      <c r="H17129" t="s">
        <v>23680</v>
      </c>
    </row>
    <row r="17130" spans="8:8">
      <c r="H17130" t="s">
        <v>23681</v>
      </c>
    </row>
    <row r="17131" spans="8:8">
      <c r="H17131" t="s">
        <v>23682</v>
      </c>
    </row>
    <row r="17132" spans="8:8">
      <c r="H17132" t="s">
        <v>23683</v>
      </c>
    </row>
    <row r="17133" spans="8:8">
      <c r="H17133" t="s">
        <v>23684</v>
      </c>
    </row>
    <row r="17134" spans="8:8">
      <c r="H17134" t="s">
        <v>23685</v>
      </c>
    </row>
    <row r="17135" spans="8:8">
      <c r="H17135" t="s">
        <v>23686</v>
      </c>
    </row>
    <row r="17136" spans="8:8">
      <c r="H17136" t="s">
        <v>23687</v>
      </c>
    </row>
    <row r="17137" spans="8:8">
      <c r="H17137" t="s">
        <v>23688</v>
      </c>
    </row>
    <row r="17138" spans="8:8">
      <c r="H17138" t="s">
        <v>23689</v>
      </c>
    </row>
    <row r="17139" spans="8:8">
      <c r="H17139" t="s">
        <v>23690</v>
      </c>
    </row>
    <row r="17140" spans="8:8">
      <c r="H17140" t="s">
        <v>23691</v>
      </c>
    </row>
    <row r="17141" spans="8:8">
      <c r="H17141" t="s">
        <v>23692</v>
      </c>
    </row>
    <row r="17142" spans="8:8">
      <c r="H17142" t="s">
        <v>23693</v>
      </c>
    </row>
    <row r="17143" spans="8:8">
      <c r="H17143" t="s">
        <v>23694</v>
      </c>
    </row>
    <row r="17144" spans="8:8">
      <c r="H17144" t="s">
        <v>23695</v>
      </c>
    </row>
    <row r="17145" spans="8:8">
      <c r="H17145" t="s">
        <v>23696</v>
      </c>
    </row>
    <row r="17146" spans="8:8">
      <c r="H17146" t="s">
        <v>23697</v>
      </c>
    </row>
    <row r="17147" spans="8:8">
      <c r="H17147" t="s">
        <v>23698</v>
      </c>
    </row>
    <row r="17148" spans="8:8">
      <c r="H17148" t="s">
        <v>23699</v>
      </c>
    </row>
    <row r="17149" spans="8:8">
      <c r="H17149" t="s">
        <v>23700</v>
      </c>
    </row>
    <row r="17150" spans="8:8">
      <c r="H17150" t="s">
        <v>23701</v>
      </c>
    </row>
    <row r="17151" spans="8:8">
      <c r="H17151" t="s">
        <v>23702</v>
      </c>
    </row>
    <row r="17152" spans="8:8">
      <c r="H17152" t="s">
        <v>23703</v>
      </c>
    </row>
    <row r="17153" spans="8:8">
      <c r="H17153" t="s">
        <v>23704</v>
      </c>
    </row>
    <row r="17154" spans="8:8">
      <c r="H17154" t="s">
        <v>23705</v>
      </c>
    </row>
    <row r="17155" spans="8:8">
      <c r="H17155" t="s">
        <v>23706</v>
      </c>
    </row>
    <row r="17156" spans="8:8">
      <c r="H17156" t="s">
        <v>23707</v>
      </c>
    </row>
    <row r="17157" spans="8:8">
      <c r="H17157" t="s">
        <v>23708</v>
      </c>
    </row>
    <row r="17158" spans="8:8">
      <c r="H17158" t="s">
        <v>23709</v>
      </c>
    </row>
    <row r="17159" spans="8:8">
      <c r="H17159" t="s">
        <v>23710</v>
      </c>
    </row>
    <row r="17160" spans="8:8">
      <c r="H17160" t="s">
        <v>23711</v>
      </c>
    </row>
    <row r="17161" spans="8:8">
      <c r="H17161" t="s">
        <v>23712</v>
      </c>
    </row>
    <row r="17162" spans="8:8">
      <c r="H17162" t="s">
        <v>23713</v>
      </c>
    </row>
    <row r="17163" spans="8:8">
      <c r="H17163" t="s">
        <v>23714</v>
      </c>
    </row>
    <row r="17164" spans="8:8">
      <c r="H17164" t="s">
        <v>23715</v>
      </c>
    </row>
    <row r="17165" spans="8:8">
      <c r="H17165" t="s">
        <v>23716</v>
      </c>
    </row>
    <row r="17166" spans="8:8">
      <c r="H17166" t="s">
        <v>23717</v>
      </c>
    </row>
    <row r="17167" spans="8:8">
      <c r="H17167" t="s">
        <v>23718</v>
      </c>
    </row>
    <row r="17168" spans="8:8">
      <c r="H17168" t="s">
        <v>23719</v>
      </c>
    </row>
    <row r="17169" spans="8:8">
      <c r="H17169" t="s">
        <v>23720</v>
      </c>
    </row>
    <row r="17170" spans="8:8">
      <c r="H17170" t="s">
        <v>23721</v>
      </c>
    </row>
    <row r="17171" spans="8:8">
      <c r="H17171" t="s">
        <v>23722</v>
      </c>
    </row>
    <row r="17172" spans="8:8">
      <c r="H17172" t="s">
        <v>23723</v>
      </c>
    </row>
    <row r="17173" spans="8:8">
      <c r="H17173" t="s">
        <v>23724</v>
      </c>
    </row>
    <row r="17174" spans="8:8">
      <c r="H17174" t="s">
        <v>23725</v>
      </c>
    </row>
    <row r="17175" spans="8:8">
      <c r="H17175" t="s">
        <v>23726</v>
      </c>
    </row>
    <row r="17176" spans="8:8">
      <c r="H17176" t="s">
        <v>23727</v>
      </c>
    </row>
    <row r="17177" spans="8:8">
      <c r="H17177" t="s">
        <v>23728</v>
      </c>
    </row>
    <row r="17178" spans="8:8">
      <c r="H17178" t="s">
        <v>23729</v>
      </c>
    </row>
    <row r="17179" spans="8:8">
      <c r="H17179" t="s">
        <v>23730</v>
      </c>
    </row>
    <row r="17180" spans="8:8">
      <c r="H17180" t="s">
        <v>23731</v>
      </c>
    </row>
    <row r="17181" spans="8:8">
      <c r="H17181" t="s">
        <v>23732</v>
      </c>
    </row>
    <row r="17182" spans="8:8">
      <c r="H17182" t="s">
        <v>23733</v>
      </c>
    </row>
    <row r="17183" spans="8:8">
      <c r="H17183" t="s">
        <v>23734</v>
      </c>
    </row>
    <row r="17184" spans="8:8">
      <c r="H17184" t="s">
        <v>23735</v>
      </c>
    </row>
    <row r="17185" spans="8:8">
      <c r="H17185" t="s">
        <v>23736</v>
      </c>
    </row>
    <row r="17186" spans="8:8">
      <c r="H17186" t="s">
        <v>23737</v>
      </c>
    </row>
    <row r="17187" spans="8:8">
      <c r="H17187" t="s">
        <v>23738</v>
      </c>
    </row>
    <row r="17188" spans="8:8">
      <c r="H17188" t="s">
        <v>23739</v>
      </c>
    </row>
    <row r="17189" spans="8:8">
      <c r="H17189" t="s">
        <v>23740</v>
      </c>
    </row>
    <row r="17190" spans="8:8">
      <c r="H17190" t="s">
        <v>23741</v>
      </c>
    </row>
    <row r="17191" spans="8:8">
      <c r="H17191" t="s">
        <v>23742</v>
      </c>
    </row>
    <row r="17192" spans="8:8">
      <c r="H17192" t="s">
        <v>23743</v>
      </c>
    </row>
    <row r="17193" spans="8:8">
      <c r="H17193" t="s">
        <v>23744</v>
      </c>
    </row>
    <row r="17194" spans="8:8">
      <c r="H17194" t="s">
        <v>23745</v>
      </c>
    </row>
    <row r="17195" spans="8:8">
      <c r="H17195" t="s">
        <v>23746</v>
      </c>
    </row>
    <row r="17196" spans="8:8">
      <c r="H17196" t="s">
        <v>23747</v>
      </c>
    </row>
    <row r="17197" spans="8:8">
      <c r="H17197" t="s">
        <v>23748</v>
      </c>
    </row>
    <row r="17198" spans="8:8">
      <c r="H17198" t="s">
        <v>23749</v>
      </c>
    </row>
    <row r="17199" spans="8:8">
      <c r="H17199" t="s">
        <v>23750</v>
      </c>
    </row>
    <row r="17200" spans="8:8">
      <c r="H17200" t="s">
        <v>23751</v>
      </c>
    </row>
    <row r="17201" spans="8:8">
      <c r="H17201" t="s">
        <v>23752</v>
      </c>
    </row>
    <row r="17202" spans="8:8">
      <c r="H17202" t="s">
        <v>23753</v>
      </c>
    </row>
    <row r="17203" spans="8:8">
      <c r="H17203" t="s">
        <v>23754</v>
      </c>
    </row>
    <row r="17204" spans="8:8">
      <c r="H17204" t="s">
        <v>23755</v>
      </c>
    </row>
    <row r="17205" spans="8:8">
      <c r="H17205" t="s">
        <v>23756</v>
      </c>
    </row>
    <row r="17206" spans="8:8">
      <c r="H17206" t="s">
        <v>23757</v>
      </c>
    </row>
    <row r="17207" spans="8:8">
      <c r="H17207" t="s">
        <v>23758</v>
      </c>
    </row>
    <row r="17208" spans="8:8">
      <c r="H17208" t="s">
        <v>23759</v>
      </c>
    </row>
    <row r="17209" spans="8:8">
      <c r="H17209" t="s">
        <v>23760</v>
      </c>
    </row>
    <row r="17210" spans="8:8">
      <c r="H17210" t="s">
        <v>23761</v>
      </c>
    </row>
    <row r="17211" spans="8:8">
      <c r="H17211" t="s">
        <v>23762</v>
      </c>
    </row>
    <row r="17212" spans="8:8">
      <c r="H17212" t="s">
        <v>23763</v>
      </c>
    </row>
    <row r="17213" spans="8:8">
      <c r="H17213" t="s">
        <v>23764</v>
      </c>
    </row>
    <row r="17214" spans="8:8">
      <c r="H17214" t="s">
        <v>23765</v>
      </c>
    </row>
    <row r="17215" spans="8:8">
      <c r="H17215" t="s">
        <v>23766</v>
      </c>
    </row>
    <row r="17216" spans="8:8">
      <c r="H17216" t="s">
        <v>23767</v>
      </c>
    </row>
    <row r="17217" spans="8:8">
      <c r="H17217" t="s">
        <v>23768</v>
      </c>
    </row>
    <row r="17218" spans="8:8">
      <c r="H17218" t="s">
        <v>23769</v>
      </c>
    </row>
    <row r="17219" spans="8:8">
      <c r="H17219" t="s">
        <v>23770</v>
      </c>
    </row>
    <row r="17220" spans="8:8">
      <c r="H17220" t="s">
        <v>23771</v>
      </c>
    </row>
    <row r="17221" spans="8:8">
      <c r="H17221" t="s">
        <v>23772</v>
      </c>
    </row>
    <row r="17222" spans="8:8">
      <c r="H17222" t="s">
        <v>23773</v>
      </c>
    </row>
    <row r="17223" spans="8:8">
      <c r="H17223" t="s">
        <v>23774</v>
      </c>
    </row>
    <row r="17224" spans="8:8">
      <c r="H17224" t="s">
        <v>23775</v>
      </c>
    </row>
    <row r="17225" spans="8:8">
      <c r="H17225" t="s">
        <v>23776</v>
      </c>
    </row>
    <row r="17226" spans="8:8">
      <c r="H17226" t="s">
        <v>23777</v>
      </c>
    </row>
    <row r="17227" spans="8:8">
      <c r="H17227" t="s">
        <v>23778</v>
      </c>
    </row>
    <row r="17228" spans="8:8">
      <c r="H17228" t="s">
        <v>23779</v>
      </c>
    </row>
    <row r="17229" spans="8:8">
      <c r="H17229" t="s">
        <v>23780</v>
      </c>
    </row>
    <row r="17230" spans="8:8">
      <c r="H17230" t="s">
        <v>23781</v>
      </c>
    </row>
    <row r="17231" spans="8:8">
      <c r="H17231" t="s">
        <v>23782</v>
      </c>
    </row>
    <row r="17232" spans="8:8">
      <c r="H17232" t="s">
        <v>23783</v>
      </c>
    </row>
    <row r="17233" spans="8:8">
      <c r="H17233" t="s">
        <v>23784</v>
      </c>
    </row>
    <row r="17234" spans="8:8">
      <c r="H17234" t="s">
        <v>23785</v>
      </c>
    </row>
    <row r="17235" spans="8:8">
      <c r="H17235" t="s">
        <v>23786</v>
      </c>
    </row>
    <row r="17236" spans="8:8">
      <c r="H17236" t="s">
        <v>23787</v>
      </c>
    </row>
    <row r="17237" spans="8:8">
      <c r="H17237" t="s">
        <v>23788</v>
      </c>
    </row>
    <row r="17238" spans="8:8">
      <c r="H17238" t="s">
        <v>23789</v>
      </c>
    </row>
    <row r="17239" spans="8:8">
      <c r="H17239" t="s">
        <v>23790</v>
      </c>
    </row>
    <row r="17240" spans="8:8">
      <c r="H17240" t="s">
        <v>23791</v>
      </c>
    </row>
    <row r="17241" spans="8:8">
      <c r="H17241" t="s">
        <v>23792</v>
      </c>
    </row>
    <row r="17242" spans="8:8">
      <c r="H17242" t="s">
        <v>23793</v>
      </c>
    </row>
    <row r="17243" spans="8:8">
      <c r="H17243" t="s">
        <v>23794</v>
      </c>
    </row>
    <row r="17244" spans="8:8">
      <c r="H17244" t="s">
        <v>23795</v>
      </c>
    </row>
    <row r="17245" spans="8:8">
      <c r="H17245" t="s">
        <v>23796</v>
      </c>
    </row>
    <row r="17246" spans="8:8">
      <c r="H17246" t="s">
        <v>23797</v>
      </c>
    </row>
    <row r="17247" spans="8:8">
      <c r="H17247" t="s">
        <v>23798</v>
      </c>
    </row>
    <row r="17248" spans="8:8">
      <c r="H17248" t="s">
        <v>23799</v>
      </c>
    </row>
    <row r="17249" spans="8:8">
      <c r="H17249" t="s">
        <v>23800</v>
      </c>
    </row>
    <row r="17250" spans="8:8">
      <c r="H17250" t="s">
        <v>23801</v>
      </c>
    </row>
    <row r="17251" spans="8:8">
      <c r="H17251" t="s">
        <v>23802</v>
      </c>
    </row>
    <row r="17252" spans="8:8">
      <c r="H17252" t="s">
        <v>23803</v>
      </c>
    </row>
    <row r="17253" spans="8:8">
      <c r="H17253" t="s">
        <v>23804</v>
      </c>
    </row>
    <row r="17254" spans="8:8">
      <c r="H17254" t="s">
        <v>23805</v>
      </c>
    </row>
    <row r="17255" spans="8:8">
      <c r="H17255" t="s">
        <v>23806</v>
      </c>
    </row>
    <row r="17256" spans="8:8">
      <c r="H17256" t="s">
        <v>23807</v>
      </c>
    </row>
    <row r="17257" spans="8:8">
      <c r="H17257" t="s">
        <v>23808</v>
      </c>
    </row>
    <row r="17258" spans="8:8">
      <c r="H17258" t="s">
        <v>23809</v>
      </c>
    </row>
    <row r="17259" spans="8:8">
      <c r="H17259" t="s">
        <v>23810</v>
      </c>
    </row>
    <row r="17260" spans="8:8">
      <c r="H17260" t="s">
        <v>23811</v>
      </c>
    </row>
    <row r="17261" spans="8:8">
      <c r="H17261" t="s">
        <v>23812</v>
      </c>
    </row>
    <row r="17262" spans="8:8">
      <c r="H17262" t="s">
        <v>23813</v>
      </c>
    </row>
    <row r="17263" spans="8:8">
      <c r="H17263" t="s">
        <v>23814</v>
      </c>
    </row>
    <row r="17264" spans="8:8">
      <c r="H17264" t="s">
        <v>23815</v>
      </c>
    </row>
    <row r="17265" spans="8:8">
      <c r="H17265" t="s">
        <v>23816</v>
      </c>
    </row>
    <row r="17266" spans="8:8">
      <c r="H17266" t="s">
        <v>23817</v>
      </c>
    </row>
    <row r="17267" spans="8:8">
      <c r="H17267" t="s">
        <v>23818</v>
      </c>
    </row>
    <row r="17268" spans="8:8">
      <c r="H17268" t="s">
        <v>23819</v>
      </c>
    </row>
    <row r="17269" spans="8:8">
      <c r="H17269" t="s">
        <v>23820</v>
      </c>
    </row>
    <row r="17270" spans="8:8">
      <c r="H17270" t="s">
        <v>23821</v>
      </c>
    </row>
    <row r="17271" spans="8:8">
      <c r="H17271" t="s">
        <v>23822</v>
      </c>
    </row>
    <row r="17272" spans="8:8">
      <c r="H17272" t="s">
        <v>23823</v>
      </c>
    </row>
    <row r="17273" spans="8:8">
      <c r="H17273" t="s">
        <v>23824</v>
      </c>
    </row>
    <row r="17274" spans="8:8">
      <c r="H17274" t="s">
        <v>23825</v>
      </c>
    </row>
    <row r="17275" spans="8:8">
      <c r="H17275" t="s">
        <v>23826</v>
      </c>
    </row>
    <row r="17276" spans="8:8">
      <c r="H17276" t="s">
        <v>23827</v>
      </c>
    </row>
    <row r="17277" spans="8:8">
      <c r="H17277" t="s">
        <v>23828</v>
      </c>
    </row>
    <row r="17278" spans="8:8">
      <c r="H17278" t="s">
        <v>23829</v>
      </c>
    </row>
    <row r="17279" spans="8:8">
      <c r="H17279" t="s">
        <v>23830</v>
      </c>
    </row>
    <row r="17280" spans="8:8">
      <c r="H17280" t="s">
        <v>23831</v>
      </c>
    </row>
    <row r="17281" spans="6:8">
      <c r="F17281" t="s">
        <v>12451</v>
      </c>
      <c r="G17281" t="s">
        <v>16672</v>
      </c>
      <c r="H17281" t="s">
        <v>18829</v>
      </c>
    </row>
    <row r="17282" spans="6:8">
      <c r="H17282" t="s">
        <v>23832</v>
      </c>
    </row>
    <row r="17283" spans="6:8">
      <c r="H17283" t="s">
        <v>23833</v>
      </c>
    </row>
    <row r="17284" spans="6:8">
      <c r="H17284" t="s">
        <v>23834</v>
      </c>
    </row>
    <row r="17285" spans="6:8">
      <c r="H17285" t="s">
        <v>23835</v>
      </c>
    </row>
    <row r="17286" spans="6:8">
      <c r="H17286" t="s">
        <v>23836</v>
      </c>
    </row>
    <row r="17287" spans="6:8">
      <c r="H17287" t="s">
        <v>23837</v>
      </c>
    </row>
    <row r="17288" spans="6:8">
      <c r="H17288" t="s">
        <v>23838</v>
      </c>
    </row>
    <row r="17289" spans="6:8">
      <c r="H17289" t="s">
        <v>23839</v>
      </c>
    </row>
    <row r="17290" spans="6:8">
      <c r="H17290" t="s">
        <v>23840</v>
      </c>
    </row>
    <row r="17291" spans="6:8">
      <c r="F17291" t="s">
        <v>12452</v>
      </c>
      <c r="G17291" t="s">
        <v>16673</v>
      </c>
      <c r="H17291" t="s">
        <v>18829</v>
      </c>
    </row>
    <row r="17292" spans="6:8">
      <c r="H17292" t="s">
        <v>23841</v>
      </c>
    </row>
    <row r="17293" spans="6:8">
      <c r="H17293" t="s">
        <v>23842</v>
      </c>
    </row>
    <row r="17294" spans="6:8">
      <c r="H17294" t="s">
        <v>23843</v>
      </c>
    </row>
    <row r="17295" spans="6:8">
      <c r="H17295" t="s">
        <v>23844</v>
      </c>
    </row>
    <row r="17296" spans="6:8">
      <c r="H17296" t="s">
        <v>23845</v>
      </c>
    </row>
    <row r="17297" spans="6:8">
      <c r="H17297" t="s">
        <v>23846</v>
      </c>
    </row>
    <row r="17298" spans="6:8">
      <c r="H17298" t="s">
        <v>23847</v>
      </c>
    </row>
    <row r="17299" spans="6:8">
      <c r="H17299" t="s">
        <v>23848</v>
      </c>
    </row>
    <row r="17300" spans="6:8">
      <c r="H17300" t="s">
        <v>23849</v>
      </c>
    </row>
    <row r="17301" spans="6:8">
      <c r="F17301" t="s">
        <v>12453</v>
      </c>
      <c r="G17301" t="s">
        <v>16674</v>
      </c>
      <c r="H17301" t="s">
        <v>18829</v>
      </c>
    </row>
    <row r="17302" spans="6:8">
      <c r="H17302" t="s">
        <v>23850</v>
      </c>
    </row>
    <row r="17303" spans="6:8">
      <c r="H17303" t="s">
        <v>23851</v>
      </c>
    </row>
    <row r="17304" spans="6:8">
      <c r="H17304" t="s">
        <v>23852</v>
      </c>
    </row>
    <row r="17305" spans="6:8">
      <c r="H17305" t="s">
        <v>23853</v>
      </c>
    </row>
    <row r="17306" spans="6:8">
      <c r="H17306" t="s">
        <v>23854</v>
      </c>
    </row>
    <row r="17307" spans="6:8">
      <c r="H17307" t="s">
        <v>23855</v>
      </c>
    </row>
    <row r="17308" spans="6:8">
      <c r="H17308" t="s">
        <v>23856</v>
      </c>
    </row>
    <row r="17309" spans="6:8">
      <c r="H17309" t="s">
        <v>23857</v>
      </c>
    </row>
    <row r="17310" spans="6:8">
      <c r="H17310" t="s">
        <v>23858</v>
      </c>
    </row>
    <row r="17311" spans="6:8">
      <c r="F17311" t="s">
        <v>12454</v>
      </c>
      <c r="G17311" t="s">
        <v>16675</v>
      </c>
      <c r="H17311" t="s">
        <v>18829</v>
      </c>
    </row>
    <row r="17312" spans="6:8">
      <c r="H17312" t="s">
        <v>23859</v>
      </c>
    </row>
    <row r="17313" spans="6:8">
      <c r="H17313" t="s">
        <v>23860</v>
      </c>
    </row>
    <row r="17314" spans="6:8">
      <c r="H17314" t="s">
        <v>23861</v>
      </c>
    </row>
    <row r="17315" spans="6:8">
      <c r="H17315" t="s">
        <v>23862</v>
      </c>
    </row>
    <row r="17316" spans="6:8">
      <c r="H17316" t="s">
        <v>23863</v>
      </c>
    </row>
    <row r="17317" spans="6:8">
      <c r="H17317" t="s">
        <v>23864</v>
      </c>
    </row>
    <row r="17318" spans="6:8">
      <c r="H17318" t="s">
        <v>23865</v>
      </c>
    </row>
    <row r="17319" spans="6:8">
      <c r="H17319" t="s">
        <v>23866</v>
      </c>
    </row>
    <row r="17320" spans="6:8">
      <c r="H17320" t="s">
        <v>23867</v>
      </c>
    </row>
    <row r="17321" spans="6:8">
      <c r="F17321" t="s">
        <v>12455</v>
      </c>
      <c r="G17321" t="s">
        <v>16676</v>
      </c>
      <c r="H17321" t="s">
        <v>18829</v>
      </c>
    </row>
    <row r="17322" spans="6:8">
      <c r="H17322" t="s">
        <v>23868</v>
      </c>
    </row>
    <row r="17323" spans="6:8">
      <c r="H17323" t="s">
        <v>23869</v>
      </c>
    </row>
    <row r="17324" spans="6:8">
      <c r="H17324" t="s">
        <v>23870</v>
      </c>
    </row>
    <row r="17325" spans="6:8">
      <c r="H17325" t="s">
        <v>23871</v>
      </c>
    </row>
    <row r="17326" spans="6:8">
      <c r="H17326" t="s">
        <v>23872</v>
      </c>
    </row>
    <row r="17327" spans="6:8">
      <c r="F17327" t="s">
        <v>12456</v>
      </c>
      <c r="G17327" t="s">
        <v>16677</v>
      </c>
      <c r="H17327" t="s">
        <v>18829</v>
      </c>
    </row>
    <row r="17328" spans="6:8">
      <c r="H17328" t="s">
        <v>23873</v>
      </c>
    </row>
    <row r="17329" spans="6:8">
      <c r="H17329" t="s">
        <v>23874</v>
      </c>
    </row>
    <row r="17330" spans="6:8">
      <c r="H17330" t="s">
        <v>23875</v>
      </c>
    </row>
    <row r="17331" spans="6:8">
      <c r="H17331" t="s">
        <v>23876</v>
      </c>
    </row>
    <row r="17332" spans="6:8">
      <c r="H17332" t="s">
        <v>23877</v>
      </c>
    </row>
    <row r="17333" spans="6:8">
      <c r="H17333" t="s">
        <v>23878</v>
      </c>
    </row>
    <row r="17334" spans="6:8">
      <c r="H17334" t="s">
        <v>23879</v>
      </c>
    </row>
    <row r="17335" spans="6:8">
      <c r="H17335" t="s">
        <v>23880</v>
      </c>
    </row>
    <row r="17336" spans="6:8">
      <c r="H17336" t="s">
        <v>23881</v>
      </c>
    </row>
    <row r="17337" spans="6:8">
      <c r="F17337" t="s">
        <v>12457</v>
      </c>
      <c r="G17337" t="s">
        <v>16678</v>
      </c>
      <c r="H17337" t="s">
        <v>18829</v>
      </c>
    </row>
    <row r="17338" spans="6:8">
      <c r="H17338" t="s">
        <v>23882</v>
      </c>
    </row>
    <row r="17339" spans="6:8">
      <c r="H17339" t="s">
        <v>23883</v>
      </c>
    </row>
    <row r="17340" spans="6:8">
      <c r="H17340" t="s">
        <v>23884</v>
      </c>
    </row>
    <row r="17341" spans="6:8">
      <c r="H17341" t="s">
        <v>23885</v>
      </c>
    </row>
    <row r="17342" spans="6:8">
      <c r="H17342" t="s">
        <v>23886</v>
      </c>
    </row>
    <row r="17343" spans="6:8">
      <c r="H17343" t="s">
        <v>23887</v>
      </c>
    </row>
    <row r="17344" spans="6:8">
      <c r="H17344" t="s">
        <v>23888</v>
      </c>
    </row>
    <row r="17345" spans="6:8">
      <c r="H17345" t="s">
        <v>23889</v>
      </c>
    </row>
    <row r="17346" spans="6:8">
      <c r="H17346" t="s">
        <v>23890</v>
      </c>
    </row>
    <row r="17347" spans="6:8">
      <c r="F17347" t="s">
        <v>12458</v>
      </c>
      <c r="G17347" t="s">
        <v>16679</v>
      </c>
      <c r="H17347" t="s">
        <v>18829</v>
      </c>
    </row>
    <row r="17348" spans="6:8">
      <c r="H17348" t="s">
        <v>23891</v>
      </c>
    </row>
    <row r="17349" spans="6:8">
      <c r="H17349" t="s">
        <v>23892</v>
      </c>
    </row>
    <row r="17350" spans="6:8">
      <c r="H17350" t="s">
        <v>23893</v>
      </c>
    </row>
    <row r="17351" spans="6:8">
      <c r="H17351" t="s">
        <v>23894</v>
      </c>
    </row>
    <row r="17352" spans="6:8">
      <c r="H17352" t="s">
        <v>23895</v>
      </c>
    </row>
    <row r="17353" spans="6:8">
      <c r="H17353" t="s">
        <v>23896</v>
      </c>
    </row>
    <row r="17354" spans="6:8">
      <c r="H17354" t="s">
        <v>23897</v>
      </c>
    </row>
    <row r="17355" spans="6:8">
      <c r="H17355" t="s">
        <v>23898</v>
      </c>
    </row>
    <row r="17356" spans="6:8">
      <c r="H17356" t="s">
        <v>23899</v>
      </c>
    </row>
    <row r="17357" spans="6:8">
      <c r="F17357" t="s">
        <v>12459</v>
      </c>
      <c r="G17357" t="s">
        <v>16680</v>
      </c>
      <c r="H17357" t="s">
        <v>18829</v>
      </c>
    </row>
    <row r="17358" spans="6:8">
      <c r="H17358" t="s">
        <v>23900</v>
      </c>
    </row>
    <row r="17359" spans="6:8">
      <c r="H17359" t="s">
        <v>23901</v>
      </c>
    </row>
    <row r="17360" spans="6:8">
      <c r="H17360" t="s">
        <v>23902</v>
      </c>
    </row>
    <row r="17361" spans="6:8">
      <c r="H17361" t="s">
        <v>23903</v>
      </c>
    </row>
    <row r="17362" spans="6:8">
      <c r="H17362" t="s">
        <v>23904</v>
      </c>
    </row>
    <row r="17363" spans="6:8">
      <c r="H17363" t="s">
        <v>23905</v>
      </c>
    </row>
    <row r="17364" spans="6:8">
      <c r="H17364" t="s">
        <v>23906</v>
      </c>
    </row>
    <row r="17365" spans="6:8">
      <c r="H17365" t="s">
        <v>23907</v>
      </c>
    </row>
    <row r="17366" spans="6:8">
      <c r="H17366" t="s">
        <v>23908</v>
      </c>
    </row>
    <row r="17367" spans="6:8">
      <c r="F17367" t="s">
        <v>12460</v>
      </c>
      <c r="G17367" t="s">
        <v>16681</v>
      </c>
      <c r="H17367" t="s">
        <v>18829</v>
      </c>
    </row>
    <row r="17368" spans="6:8">
      <c r="H17368" t="s">
        <v>23909</v>
      </c>
    </row>
    <row r="17369" spans="6:8">
      <c r="H17369" t="s">
        <v>23910</v>
      </c>
    </row>
    <row r="17370" spans="6:8">
      <c r="H17370" t="s">
        <v>23911</v>
      </c>
    </row>
    <row r="17371" spans="6:8">
      <c r="H17371" t="s">
        <v>23912</v>
      </c>
    </row>
    <row r="17372" spans="6:8">
      <c r="H17372" t="s">
        <v>23913</v>
      </c>
    </row>
    <row r="17373" spans="6:8">
      <c r="H17373" t="s">
        <v>23914</v>
      </c>
    </row>
    <row r="17374" spans="6:8">
      <c r="H17374" t="s">
        <v>23915</v>
      </c>
    </row>
    <row r="17375" spans="6:8">
      <c r="H17375" t="s">
        <v>23916</v>
      </c>
    </row>
    <row r="17376" spans="6:8">
      <c r="H17376" t="s">
        <v>23917</v>
      </c>
    </row>
    <row r="17377" spans="6:8">
      <c r="F17377" t="s">
        <v>12461</v>
      </c>
      <c r="G17377" t="s">
        <v>16682</v>
      </c>
      <c r="H17377" t="s">
        <v>18829</v>
      </c>
    </row>
    <row r="17378" spans="6:8">
      <c r="H17378" t="s">
        <v>23918</v>
      </c>
    </row>
    <row r="17379" spans="6:8">
      <c r="H17379" t="s">
        <v>23919</v>
      </c>
    </row>
    <row r="17380" spans="6:8">
      <c r="H17380" t="s">
        <v>23920</v>
      </c>
    </row>
    <row r="17381" spans="6:8">
      <c r="H17381" t="s">
        <v>23921</v>
      </c>
    </row>
    <row r="17382" spans="6:8">
      <c r="H17382" t="s">
        <v>23922</v>
      </c>
    </row>
    <row r="17383" spans="6:8">
      <c r="H17383" t="s">
        <v>23923</v>
      </c>
    </row>
    <row r="17384" spans="6:8">
      <c r="H17384" t="s">
        <v>23924</v>
      </c>
    </row>
    <row r="17385" spans="6:8">
      <c r="H17385" t="s">
        <v>23925</v>
      </c>
    </row>
    <row r="17386" spans="6:8">
      <c r="H17386" t="s">
        <v>23926</v>
      </c>
    </row>
    <row r="17387" spans="6:8">
      <c r="F17387" t="s">
        <v>12462</v>
      </c>
      <c r="G17387" t="s">
        <v>16536</v>
      </c>
      <c r="H17387" t="s">
        <v>18829</v>
      </c>
    </row>
    <row r="17388" spans="6:8">
      <c r="H17388" t="s">
        <v>23927</v>
      </c>
    </row>
    <row r="17389" spans="6:8">
      <c r="H17389" t="s">
        <v>21968</v>
      </c>
    </row>
    <row r="17390" spans="6:8">
      <c r="H17390" t="s">
        <v>23928</v>
      </c>
    </row>
    <row r="17391" spans="6:8">
      <c r="H17391" t="s">
        <v>21969</v>
      </c>
    </row>
    <row r="17392" spans="6:8">
      <c r="H17392" t="s">
        <v>23929</v>
      </c>
    </row>
    <row r="17393" spans="6:8">
      <c r="H17393" t="s">
        <v>21970</v>
      </c>
    </row>
    <row r="17394" spans="6:8">
      <c r="H17394" t="s">
        <v>23930</v>
      </c>
    </row>
    <row r="17395" spans="6:8">
      <c r="H17395" t="s">
        <v>21971</v>
      </c>
    </row>
    <row r="17396" spans="6:8">
      <c r="H17396" t="s">
        <v>23931</v>
      </c>
    </row>
    <row r="17397" spans="6:8">
      <c r="F17397" t="s">
        <v>12463</v>
      </c>
      <c r="G17397" t="s">
        <v>16683</v>
      </c>
      <c r="H17397" t="s">
        <v>18829</v>
      </c>
    </row>
    <row r="17398" spans="6:8">
      <c r="H17398" t="s">
        <v>23932</v>
      </c>
    </row>
    <row r="17399" spans="6:8">
      <c r="H17399" t="s">
        <v>23933</v>
      </c>
    </row>
    <row r="17400" spans="6:8">
      <c r="H17400" t="s">
        <v>23934</v>
      </c>
    </row>
    <row r="17401" spans="6:8">
      <c r="H17401" t="s">
        <v>23935</v>
      </c>
    </row>
    <row r="17402" spans="6:8">
      <c r="H17402" t="s">
        <v>23936</v>
      </c>
    </row>
    <row r="17403" spans="6:8">
      <c r="H17403" t="s">
        <v>23937</v>
      </c>
    </row>
    <row r="17404" spans="6:8">
      <c r="H17404" t="s">
        <v>23938</v>
      </c>
    </row>
    <row r="17405" spans="6:8">
      <c r="H17405" t="s">
        <v>23939</v>
      </c>
    </row>
    <row r="17406" spans="6:8">
      <c r="H17406" t="s">
        <v>23940</v>
      </c>
    </row>
    <row r="17407" spans="6:8">
      <c r="F17407" t="s">
        <v>12464</v>
      </c>
      <c r="G17407" t="s">
        <v>16684</v>
      </c>
      <c r="H17407" t="s">
        <v>18829</v>
      </c>
    </row>
    <row r="17408" spans="6:8">
      <c r="H17408" t="s">
        <v>23941</v>
      </c>
    </row>
    <row r="17409" spans="6:8">
      <c r="H17409" t="s">
        <v>23942</v>
      </c>
    </row>
    <row r="17410" spans="6:8">
      <c r="H17410" t="s">
        <v>23943</v>
      </c>
    </row>
    <row r="17411" spans="6:8">
      <c r="H17411" t="s">
        <v>23944</v>
      </c>
    </row>
    <row r="17412" spans="6:8">
      <c r="H17412" t="s">
        <v>23945</v>
      </c>
    </row>
    <row r="17413" spans="6:8">
      <c r="H17413" t="s">
        <v>23946</v>
      </c>
    </row>
    <row r="17414" spans="6:8">
      <c r="H17414" t="s">
        <v>23947</v>
      </c>
    </row>
    <row r="17415" spans="6:8">
      <c r="H17415" t="s">
        <v>23948</v>
      </c>
    </row>
    <row r="17416" spans="6:8">
      <c r="H17416" t="s">
        <v>23949</v>
      </c>
    </row>
    <row r="17417" spans="6:8">
      <c r="F17417" t="s">
        <v>12465</v>
      </c>
      <c r="G17417" t="s">
        <v>16685</v>
      </c>
      <c r="H17417" t="s">
        <v>18829</v>
      </c>
    </row>
    <row r="17418" spans="6:8">
      <c r="H17418" t="s">
        <v>23950</v>
      </c>
    </row>
    <row r="17419" spans="6:8">
      <c r="H17419" t="s">
        <v>23951</v>
      </c>
    </row>
    <row r="17420" spans="6:8">
      <c r="H17420" t="s">
        <v>23952</v>
      </c>
    </row>
    <row r="17421" spans="6:8">
      <c r="H17421" t="s">
        <v>23953</v>
      </c>
    </row>
    <row r="17422" spans="6:8">
      <c r="H17422" t="s">
        <v>23954</v>
      </c>
    </row>
    <row r="17423" spans="6:8">
      <c r="H17423" t="s">
        <v>23955</v>
      </c>
    </row>
    <row r="17424" spans="6:8">
      <c r="H17424" t="s">
        <v>23956</v>
      </c>
    </row>
    <row r="17425" spans="6:8">
      <c r="H17425" t="s">
        <v>23957</v>
      </c>
    </row>
    <row r="17426" spans="6:8">
      <c r="H17426" t="s">
        <v>23958</v>
      </c>
    </row>
    <row r="17427" spans="6:8">
      <c r="F17427" t="s">
        <v>12466</v>
      </c>
      <c r="G17427" t="s">
        <v>16686</v>
      </c>
      <c r="H17427" t="s">
        <v>18829</v>
      </c>
    </row>
    <row r="17428" spans="6:8">
      <c r="H17428" t="s">
        <v>23959</v>
      </c>
    </row>
    <row r="17429" spans="6:8">
      <c r="H17429" t="s">
        <v>23960</v>
      </c>
    </row>
    <row r="17430" spans="6:8">
      <c r="H17430" t="s">
        <v>23961</v>
      </c>
    </row>
    <row r="17431" spans="6:8">
      <c r="H17431" t="s">
        <v>23962</v>
      </c>
    </row>
    <row r="17432" spans="6:8">
      <c r="H17432" t="s">
        <v>23963</v>
      </c>
    </row>
    <row r="17433" spans="6:8">
      <c r="H17433" t="s">
        <v>23964</v>
      </c>
    </row>
    <row r="17434" spans="6:8">
      <c r="H17434" t="s">
        <v>23965</v>
      </c>
    </row>
    <row r="17435" spans="6:8">
      <c r="H17435" t="s">
        <v>23966</v>
      </c>
    </row>
    <row r="17436" spans="6:8">
      <c r="H17436" t="s">
        <v>23967</v>
      </c>
    </row>
    <row r="17437" spans="6:8">
      <c r="F17437" t="s">
        <v>12467</v>
      </c>
      <c r="G17437" t="s">
        <v>16687</v>
      </c>
      <c r="H17437" t="s">
        <v>18829</v>
      </c>
    </row>
    <row r="17438" spans="6:8">
      <c r="H17438" t="s">
        <v>23968</v>
      </c>
    </row>
    <row r="17439" spans="6:8">
      <c r="H17439" t="s">
        <v>23969</v>
      </c>
    </row>
    <row r="17440" spans="6:8">
      <c r="H17440" t="s">
        <v>23970</v>
      </c>
    </row>
    <row r="17441" spans="6:8">
      <c r="H17441" t="s">
        <v>23971</v>
      </c>
    </row>
    <row r="17442" spans="6:8">
      <c r="H17442" t="s">
        <v>23972</v>
      </c>
    </row>
    <row r="17443" spans="6:8">
      <c r="H17443" t="s">
        <v>23973</v>
      </c>
    </row>
    <row r="17444" spans="6:8">
      <c r="H17444" t="s">
        <v>23974</v>
      </c>
    </row>
    <row r="17445" spans="6:8">
      <c r="H17445" t="s">
        <v>23975</v>
      </c>
    </row>
    <row r="17446" spans="6:8">
      <c r="H17446" t="s">
        <v>23976</v>
      </c>
    </row>
    <row r="17447" spans="6:8">
      <c r="F17447" t="s">
        <v>12468</v>
      </c>
      <c r="G17447" t="s">
        <v>16688</v>
      </c>
      <c r="H17447" t="s">
        <v>18829</v>
      </c>
    </row>
    <row r="17448" spans="6:8">
      <c r="H17448" t="s">
        <v>23977</v>
      </c>
    </row>
    <row r="17449" spans="6:8">
      <c r="H17449" t="s">
        <v>23978</v>
      </c>
    </row>
    <row r="17450" spans="6:8">
      <c r="H17450" t="s">
        <v>23979</v>
      </c>
    </row>
    <row r="17451" spans="6:8">
      <c r="H17451" t="s">
        <v>23980</v>
      </c>
    </row>
    <row r="17452" spans="6:8">
      <c r="H17452" t="s">
        <v>23981</v>
      </c>
    </row>
    <row r="17453" spans="6:8">
      <c r="H17453" t="s">
        <v>23982</v>
      </c>
    </row>
    <row r="17454" spans="6:8">
      <c r="H17454" t="s">
        <v>23983</v>
      </c>
    </row>
    <row r="17455" spans="6:8">
      <c r="H17455" t="s">
        <v>23984</v>
      </c>
    </row>
    <row r="17456" spans="6:8">
      <c r="H17456" t="s">
        <v>23985</v>
      </c>
    </row>
    <row r="17457" spans="6:8">
      <c r="F17457" t="s">
        <v>12469</v>
      </c>
      <c r="G17457" t="s">
        <v>16689</v>
      </c>
      <c r="H17457" t="s">
        <v>18829</v>
      </c>
    </row>
    <row r="17458" spans="6:8">
      <c r="H17458" t="s">
        <v>23986</v>
      </c>
    </row>
    <row r="17459" spans="6:8">
      <c r="H17459" t="s">
        <v>23987</v>
      </c>
    </row>
    <row r="17460" spans="6:8">
      <c r="H17460" t="s">
        <v>23988</v>
      </c>
    </row>
    <row r="17461" spans="6:8">
      <c r="H17461" t="s">
        <v>23989</v>
      </c>
    </row>
    <row r="17462" spans="6:8">
      <c r="H17462" t="s">
        <v>23990</v>
      </c>
    </row>
    <row r="17463" spans="6:8">
      <c r="H17463" t="s">
        <v>23991</v>
      </c>
    </row>
    <row r="17464" spans="6:8">
      <c r="H17464" t="s">
        <v>23992</v>
      </c>
    </row>
    <row r="17465" spans="6:8">
      <c r="H17465" t="s">
        <v>23993</v>
      </c>
    </row>
    <row r="17466" spans="6:8">
      <c r="H17466" t="s">
        <v>23994</v>
      </c>
    </row>
    <row r="17467" spans="6:8">
      <c r="F17467" t="s">
        <v>12470</v>
      </c>
      <c r="G17467" t="s">
        <v>16690</v>
      </c>
      <c r="H17467" t="s">
        <v>18829</v>
      </c>
    </row>
    <row r="17468" spans="6:8">
      <c r="H17468" t="s">
        <v>23995</v>
      </c>
    </row>
    <row r="17469" spans="6:8">
      <c r="H17469" t="s">
        <v>23996</v>
      </c>
    </row>
    <row r="17470" spans="6:8">
      <c r="H17470" t="s">
        <v>23997</v>
      </c>
    </row>
    <row r="17471" spans="6:8">
      <c r="H17471" t="s">
        <v>23998</v>
      </c>
    </row>
    <row r="17472" spans="6:8">
      <c r="H17472" t="s">
        <v>23999</v>
      </c>
    </row>
    <row r="17473" spans="6:8">
      <c r="H17473" t="s">
        <v>24000</v>
      </c>
    </row>
    <row r="17474" spans="6:8">
      <c r="H17474" t="s">
        <v>24001</v>
      </c>
    </row>
    <row r="17475" spans="6:8">
      <c r="H17475" t="s">
        <v>24002</v>
      </c>
    </row>
    <row r="17476" spans="6:8">
      <c r="H17476" t="s">
        <v>24003</v>
      </c>
    </row>
    <row r="17477" spans="6:8">
      <c r="F17477" t="s">
        <v>12471</v>
      </c>
      <c r="G17477" t="s">
        <v>16691</v>
      </c>
      <c r="H17477" t="s">
        <v>18829</v>
      </c>
    </row>
    <row r="17478" spans="6:8">
      <c r="H17478" t="s">
        <v>24004</v>
      </c>
    </row>
    <row r="17479" spans="6:8">
      <c r="H17479" t="s">
        <v>24005</v>
      </c>
    </row>
    <row r="17480" spans="6:8">
      <c r="H17480" t="s">
        <v>24006</v>
      </c>
    </row>
    <row r="17481" spans="6:8">
      <c r="H17481" t="s">
        <v>24007</v>
      </c>
    </row>
    <row r="17482" spans="6:8">
      <c r="H17482" t="s">
        <v>24008</v>
      </c>
    </row>
    <row r="17483" spans="6:8">
      <c r="H17483" t="s">
        <v>24009</v>
      </c>
    </row>
    <row r="17484" spans="6:8">
      <c r="H17484" t="s">
        <v>24010</v>
      </c>
    </row>
    <row r="17485" spans="6:8">
      <c r="H17485" t="s">
        <v>24011</v>
      </c>
    </row>
    <row r="17486" spans="6:8">
      <c r="H17486" t="s">
        <v>24012</v>
      </c>
    </row>
    <row r="17487" spans="6:8">
      <c r="F17487" t="s">
        <v>12472</v>
      </c>
      <c r="G17487" t="s">
        <v>16692</v>
      </c>
      <c r="H17487" t="s">
        <v>18829</v>
      </c>
    </row>
    <row r="17488" spans="6:8">
      <c r="H17488" t="s">
        <v>24013</v>
      </c>
    </row>
    <row r="17489" spans="6:8">
      <c r="H17489" t="s">
        <v>24014</v>
      </c>
    </row>
    <row r="17490" spans="6:8">
      <c r="H17490" t="s">
        <v>24015</v>
      </c>
    </row>
    <row r="17491" spans="6:8">
      <c r="H17491" t="s">
        <v>24016</v>
      </c>
    </row>
    <row r="17492" spans="6:8">
      <c r="H17492" t="s">
        <v>24017</v>
      </c>
    </row>
    <row r="17493" spans="6:8">
      <c r="H17493" t="s">
        <v>24018</v>
      </c>
    </row>
    <row r="17494" spans="6:8">
      <c r="H17494" t="s">
        <v>24019</v>
      </c>
    </row>
    <row r="17495" spans="6:8">
      <c r="H17495" t="s">
        <v>24020</v>
      </c>
    </row>
    <row r="17496" spans="6:8">
      <c r="H17496" t="s">
        <v>24021</v>
      </c>
    </row>
    <row r="17497" spans="6:8">
      <c r="H17497" t="s">
        <v>24022</v>
      </c>
    </row>
    <row r="17498" spans="6:8">
      <c r="H17498" t="s">
        <v>24023</v>
      </c>
    </row>
    <row r="17499" spans="6:8">
      <c r="H17499" t="s">
        <v>24024</v>
      </c>
    </row>
    <row r="17500" spans="6:8">
      <c r="H17500" t="s">
        <v>24025</v>
      </c>
    </row>
    <row r="17501" spans="6:8">
      <c r="H17501" t="s">
        <v>24026</v>
      </c>
    </row>
    <row r="17502" spans="6:8">
      <c r="H17502" t="s">
        <v>24027</v>
      </c>
    </row>
    <row r="17503" spans="6:8">
      <c r="F17503" t="s">
        <v>12473</v>
      </c>
      <c r="G17503" t="s">
        <v>16693</v>
      </c>
      <c r="H17503" t="s">
        <v>18829</v>
      </c>
    </row>
    <row r="17504" spans="6:8">
      <c r="H17504" t="s">
        <v>24028</v>
      </c>
    </row>
    <row r="17505" spans="6:8">
      <c r="H17505" t="s">
        <v>24029</v>
      </c>
    </row>
    <row r="17506" spans="6:8">
      <c r="H17506" t="s">
        <v>24030</v>
      </c>
    </row>
    <row r="17507" spans="6:8">
      <c r="H17507" t="s">
        <v>24031</v>
      </c>
    </row>
    <row r="17508" spans="6:8">
      <c r="H17508" t="s">
        <v>24032</v>
      </c>
    </row>
    <row r="17509" spans="6:8">
      <c r="H17509" t="s">
        <v>24033</v>
      </c>
    </row>
    <row r="17510" spans="6:8">
      <c r="H17510" t="s">
        <v>24034</v>
      </c>
    </row>
    <row r="17511" spans="6:8">
      <c r="H17511" t="s">
        <v>24035</v>
      </c>
    </row>
    <row r="17512" spans="6:8">
      <c r="H17512" t="s">
        <v>24036</v>
      </c>
    </row>
    <row r="17513" spans="6:8">
      <c r="H17513" t="s">
        <v>24037</v>
      </c>
    </row>
    <row r="17514" spans="6:8">
      <c r="H17514" t="s">
        <v>24038</v>
      </c>
    </row>
    <row r="17515" spans="6:8">
      <c r="H17515" t="s">
        <v>24039</v>
      </c>
    </row>
    <row r="17516" spans="6:8">
      <c r="H17516" t="s">
        <v>24040</v>
      </c>
    </row>
    <row r="17517" spans="6:8">
      <c r="H17517" t="s">
        <v>24041</v>
      </c>
    </row>
    <row r="17518" spans="6:8">
      <c r="H17518" t="s">
        <v>24042</v>
      </c>
    </row>
    <row r="17519" spans="6:8">
      <c r="F17519" t="s">
        <v>12474</v>
      </c>
      <c r="G17519" t="s">
        <v>16694</v>
      </c>
      <c r="H17519" t="s">
        <v>18829</v>
      </c>
    </row>
    <row r="17520" spans="6:8">
      <c r="H17520" t="s">
        <v>24043</v>
      </c>
    </row>
    <row r="17521" spans="6:8">
      <c r="H17521" t="s">
        <v>24044</v>
      </c>
    </row>
    <row r="17522" spans="6:8">
      <c r="H17522" t="s">
        <v>24045</v>
      </c>
    </row>
    <row r="17523" spans="6:8">
      <c r="H17523" t="s">
        <v>24046</v>
      </c>
    </row>
    <row r="17524" spans="6:8">
      <c r="H17524" t="s">
        <v>24047</v>
      </c>
    </row>
    <row r="17525" spans="6:8">
      <c r="H17525" t="s">
        <v>24048</v>
      </c>
    </row>
    <row r="17526" spans="6:8">
      <c r="H17526" t="s">
        <v>24049</v>
      </c>
    </row>
    <row r="17527" spans="6:8">
      <c r="H17527" t="s">
        <v>24050</v>
      </c>
    </row>
    <row r="17528" spans="6:8">
      <c r="H17528" t="s">
        <v>24051</v>
      </c>
    </row>
    <row r="17529" spans="6:8">
      <c r="F17529" t="s">
        <v>12475</v>
      </c>
      <c r="G17529" t="s">
        <v>16695</v>
      </c>
      <c r="H17529" t="s">
        <v>18829</v>
      </c>
    </row>
    <row r="17530" spans="6:8">
      <c r="H17530" t="s">
        <v>24052</v>
      </c>
    </row>
    <row r="17531" spans="6:8">
      <c r="H17531" t="s">
        <v>24053</v>
      </c>
    </row>
    <row r="17532" spans="6:8">
      <c r="H17532" t="s">
        <v>24054</v>
      </c>
    </row>
    <row r="17533" spans="6:8">
      <c r="H17533" t="s">
        <v>24055</v>
      </c>
    </row>
    <row r="17534" spans="6:8">
      <c r="H17534" t="s">
        <v>24056</v>
      </c>
    </row>
    <row r="17535" spans="6:8">
      <c r="H17535" t="s">
        <v>24057</v>
      </c>
    </row>
    <row r="17536" spans="6:8">
      <c r="H17536" t="s">
        <v>24058</v>
      </c>
    </row>
    <row r="17537" spans="6:8">
      <c r="H17537" t="s">
        <v>24059</v>
      </c>
    </row>
    <row r="17538" spans="6:8">
      <c r="H17538" t="s">
        <v>24060</v>
      </c>
    </row>
    <row r="17539" spans="6:8">
      <c r="H17539" t="s">
        <v>24061</v>
      </c>
    </row>
    <row r="17540" spans="6:8">
      <c r="H17540" t="s">
        <v>24062</v>
      </c>
    </row>
    <row r="17541" spans="6:8">
      <c r="H17541" t="s">
        <v>24063</v>
      </c>
    </row>
    <row r="17542" spans="6:8">
      <c r="H17542" t="s">
        <v>24064</v>
      </c>
    </row>
    <row r="17543" spans="6:8">
      <c r="H17543" t="s">
        <v>24065</v>
      </c>
    </row>
    <row r="17544" spans="6:8">
      <c r="H17544" t="s">
        <v>24066</v>
      </c>
    </row>
    <row r="17545" spans="6:8">
      <c r="H17545" t="s">
        <v>24067</v>
      </c>
    </row>
    <row r="17546" spans="6:8">
      <c r="H17546" t="s">
        <v>24068</v>
      </c>
    </row>
    <row r="17547" spans="6:8">
      <c r="F17547" t="s">
        <v>12476</v>
      </c>
      <c r="G17547" t="s">
        <v>16696</v>
      </c>
      <c r="H17547" t="s">
        <v>18829</v>
      </c>
    </row>
    <row r="17548" spans="6:8">
      <c r="H17548" t="s">
        <v>24069</v>
      </c>
    </row>
    <row r="17549" spans="6:8">
      <c r="H17549" t="s">
        <v>24070</v>
      </c>
    </row>
    <row r="17550" spans="6:8">
      <c r="H17550" t="s">
        <v>24071</v>
      </c>
    </row>
    <row r="17551" spans="6:8">
      <c r="H17551" t="s">
        <v>24072</v>
      </c>
    </row>
    <row r="17552" spans="6:8">
      <c r="H17552" t="s">
        <v>24073</v>
      </c>
    </row>
    <row r="17553" spans="6:8">
      <c r="H17553" t="s">
        <v>24074</v>
      </c>
    </row>
    <row r="17554" spans="6:8">
      <c r="H17554" t="s">
        <v>24075</v>
      </c>
    </row>
    <row r="17555" spans="6:8">
      <c r="H17555" t="s">
        <v>24076</v>
      </c>
    </row>
    <row r="17556" spans="6:8">
      <c r="H17556" t="s">
        <v>24077</v>
      </c>
    </row>
    <row r="17557" spans="6:8">
      <c r="F17557" t="s">
        <v>12477</v>
      </c>
      <c r="G17557" t="s">
        <v>16697</v>
      </c>
      <c r="H17557" t="s">
        <v>18829</v>
      </c>
    </row>
    <row r="17558" spans="6:8">
      <c r="H17558" t="s">
        <v>24078</v>
      </c>
    </row>
    <row r="17559" spans="6:8">
      <c r="H17559" t="s">
        <v>24079</v>
      </c>
    </row>
    <row r="17560" spans="6:8">
      <c r="H17560" t="s">
        <v>24080</v>
      </c>
    </row>
    <row r="17561" spans="6:8">
      <c r="H17561" t="s">
        <v>24081</v>
      </c>
    </row>
    <row r="17562" spans="6:8">
      <c r="H17562" t="s">
        <v>24082</v>
      </c>
    </row>
    <row r="17563" spans="6:8">
      <c r="H17563" t="s">
        <v>24083</v>
      </c>
    </row>
    <row r="17564" spans="6:8">
      <c r="H17564" t="s">
        <v>24084</v>
      </c>
    </row>
    <row r="17565" spans="6:8">
      <c r="H17565" t="s">
        <v>24085</v>
      </c>
    </row>
    <row r="17566" spans="6:8">
      <c r="H17566" t="s">
        <v>24086</v>
      </c>
    </row>
    <row r="17567" spans="6:8">
      <c r="F17567" t="s">
        <v>12478</v>
      </c>
      <c r="G17567" t="s">
        <v>16698</v>
      </c>
      <c r="H17567" t="s">
        <v>18829</v>
      </c>
    </row>
    <row r="17568" spans="6:8">
      <c r="H17568" t="s">
        <v>24087</v>
      </c>
    </row>
    <row r="17569" spans="6:8">
      <c r="H17569" t="s">
        <v>24088</v>
      </c>
    </row>
    <row r="17570" spans="6:8">
      <c r="H17570" t="s">
        <v>24089</v>
      </c>
    </row>
    <row r="17571" spans="6:8">
      <c r="H17571" t="s">
        <v>24090</v>
      </c>
    </row>
    <row r="17572" spans="6:8">
      <c r="H17572" t="s">
        <v>24091</v>
      </c>
    </row>
    <row r="17573" spans="6:8">
      <c r="H17573" t="s">
        <v>24092</v>
      </c>
    </row>
    <row r="17574" spans="6:8">
      <c r="H17574" t="s">
        <v>24093</v>
      </c>
    </row>
    <row r="17575" spans="6:8">
      <c r="H17575" t="s">
        <v>24094</v>
      </c>
    </row>
    <row r="17576" spans="6:8">
      <c r="H17576" t="s">
        <v>24095</v>
      </c>
    </row>
    <row r="17577" spans="6:8">
      <c r="F17577" t="s">
        <v>12479</v>
      </c>
      <c r="G17577" t="s">
        <v>16699</v>
      </c>
      <c r="H17577" t="s">
        <v>18829</v>
      </c>
    </row>
    <row r="17578" spans="6:8">
      <c r="H17578" t="s">
        <v>24096</v>
      </c>
    </row>
    <row r="17579" spans="6:8">
      <c r="H17579" t="s">
        <v>24097</v>
      </c>
    </row>
    <row r="17580" spans="6:8">
      <c r="H17580" t="s">
        <v>24098</v>
      </c>
    </row>
    <row r="17581" spans="6:8">
      <c r="H17581" t="s">
        <v>24099</v>
      </c>
    </row>
    <row r="17582" spans="6:8">
      <c r="H17582" t="s">
        <v>24100</v>
      </c>
    </row>
    <row r="17583" spans="6:8">
      <c r="H17583" t="s">
        <v>24101</v>
      </c>
    </row>
    <row r="17584" spans="6:8">
      <c r="H17584" t="s">
        <v>24102</v>
      </c>
    </row>
    <row r="17585" spans="6:8">
      <c r="H17585" t="s">
        <v>24103</v>
      </c>
    </row>
    <row r="17586" spans="6:8">
      <c r="H17586" t="s">
        <v>24104</v>
      </c>
    </row>
    <row r="17587" spans="6:8">
      <c r="F17587" t="s">
        <v>12480</v>
      </c>
      <c r="G17587" t="s">
        <v>16700</v>
      </c>
      <c r="H17587" t="s">
        <v>18829</v>
      </c>
    </row>
    <row r="17588" spans="6:8">
      <c r="H17588" t="s">
        <v>24105</v>
      </c>
    </row>
    <row r="17589" spans="6:8">
      <c r="H17589" t="s">
        <v>24106</v>
      </c>
    </row>
    <row r="17590" spans="6:8">
      <c r="H17590" t="s">
        <v>24107</v>
      </c>
    </row>
    <row r="17591" spans="6:8">
      <c r="H17591" t="s">
        <v>24108</v>
      </c>
    </row>
    <row r="17592" spans="6:8">
      <c r="H17592" t="s">
        <v>24109</v>
      </c>
    </row>
    <row r="17593" spans="6:8">
      <c r="H17593" t="s">
        <v>24110</v>
      </c>
    </row>
    <row r="17594" spans="6:8">
      <c r="H17594" t="s">
        <v>24111</v>
      </c>
    </row>
    <row r="17595" spans="6:8">
      <c r="H17595" t="s">
        <v>24112</v>
      </c>
    </row>
    <row r="17596" spans="6:8">
      <c r="H17596" t="s">
        <v>24113</v>
      </c>
    </row>
    <row r="17597" spans="6:8">
      <c r="F17597" t="s">
        <v>12481</v>
      </c>
      <c r="G17597" t="s">
        <v>16537</v>
      </c>
      <c r="H17597" t="s">
        <v>18829</v>
      </c>
    </row>
    <row r="17598" spans="6:8">
      <c r="H17598" t="s">
        <v>24114</v>
      </c>
    </row>
    <row r="17599" spans="6:8">
      <c r="H17599" t="s">
        <v>21972</v>
      </c>
    </row>
    <row r="17600" spans="6:8">
      <c r="H17600" t="s">
        <v>24115</v>
      </c>
    </row>
    <row r="17601" spans="6:8">
      <c r="H17601" t="s">
        <v>21973</v>
      </c>
    </row>
    <row r="17602" spans="6:8">
      <c r="H17602" t="s">
        <v>24116</v>
      </c>
    </row>
    <row r="17603" spans="6:8">
      <c r="H17603" t="s">
        <v>21974</v>
      </c>
    </row>
    <row r="17604" spans="6:8">
      <c r="H17604" t="s">
        <v>24117</v>
      </c>
    </row>
    <row r="17605" spans="6:8">
      <c r="H17605" t="s">
        <v>21975</v>
      </c>
    </row>
    <row r="17606" spans="6:8">
      <c r="H17606" t="s">
        <v>24118</v>
      </c>
    </row>
    <row r="17607" spans="6:8">
      <c r="F17607" t="s">
        <v>12482</v>
      </c>
      <c r="G17607" t="s">
        <v>16701</v>
      </c>
      <c r="H17607" t="s">
        <v>18829</v>
      </c>
    </row>
    <row r="17608" spans="6:8">
      <c r="H17608" t="s">
        <v>24119</v>
      </c>
    </row>
    <row r="17609" spans="6:8">
      <c r="H17609" t="s">
        <v>24120</v>
      </c>
    </row>
    <row r="17610" spans="6:8">
      <c r="H17610" t="s">
        <v>24121</v>
      </c>
    </row>
    <row r="17611" spans="6:8">
      <c r="H17611" t="s">
        <v>24122</v>
      </c>
    </row>
    <row r="17612" spans="6:8">
      <c r="H17612" t="s">
        <v>24123</v>
      </c>
    </row>
    <row r="17613" spans="6:8">
      <c r="H17613" t="s">
        <v>24124</v>
      </c>
    </row>
    <row r="17614" spans="6:8">
      <c r="H17614" t="s">
        <v>24125</v>
      </c>
    </row>
    <row r="17615" spans="6:8">
      <c r="H17615" t="s">
        <v>24126</v>
      </c>
    </row>
    <row r="17616" spans="6:8">
      <c r="H17616" t="s">
        <v>24127</v>
      </c>
    </row>
    <row r="17617" spans="6:8">
      <c r="H17617" t="s">
        <v>24128</v>
      </c>
    </row>
    <row r="17618" spans="6:8">
      <c r="H17618" t="s">
        <v>24129</v>
      </c>
    </row>
    <row r="17619" spans="6:8">
      <c r="H17619" t="s">
        <v>24130</v>
      </c>
    </row>
    <row r="17620" spans="6:8">
      <c r="H17620" t="s">
        <v>24131</v>
      </c>
    </row>
    <row r="17621" spans="6:8">
      <c r="H17621" t="s">
        <v>24132</v>
      </c>
    </row>
    <row r="17622" spans="6:8">
      <c r="H17622" t="s">
        <v>24133</v>
      </c>
    </row>
    <row r="17623" spans="6:8">
      <c r="F17623" t="s">
        <v>12483</v>
      </c>
      <c r="G17623" t="s">
        <v>16702</v>
      </c>
      <c r="H17623" t="s">
        <v>18829</v>
      </c>
    </row>
    <row r="17624" spans="6:8">
      <c r="H17624" t="s">
        <v>24134</v>
      </c>
    </row>
    <row r="17625" spans="6:8">
      <c r="H17625" t="s">
        <v>24135</v>
      </c>
    </row>
    <row r="17626" spans="6:8">
      <c r="H17626" t="s">
        <v>24136</v>
      </c>
    </row>
    <row r="17627" spans="6:8">
      <c r="H17627" t="s">
        <v>24137</v>
      </c>
    </row>
    <row r="17628" spans="6:8">
      <c r="H17628" t="s">
        <v>24138</v>
      </c>
    </row>
    <row r="17629" spans="6:8">
      <c r="H17629" t="s">
        <v>24139</v>
      </c>
    </row>
    <row r="17630" spans="6:8">
      <c r="H17630" t="s">
        <v>24140</v>
      </c>
    </row>
    <row r="17631" spans="6:8">
      <c r="H17631" t="s">
        <v>24141</v>
      </c>
    </row>
    <row r="17632" spans="6:8">
      <c r="H17632" t="s">
        <v>24142</v>
      </c>
    </row>
    <row r="17633" spans="6:8">
      <c r="F17633" t="s">
        <v>12484</v>
      </c>
      <c r="G17633" t="s">
        <v>16703</v>
      </c>
      <c r="H17633" t="s">
        <v>18829</v>
      </c>
    </row>
    <row r="17634" spans="6:8">
      <c r="H17634" t="s">
        <v>24143</v>
      </c>
    </row>
    <row r="17635" spans="6:8">
      <c r="H17635" t="s">
        <v>24144</v>
      </c>
    </row>
    <row r="17636" spans="6:8">
      <c r="H17636" t="s">
        <v>24145</v>
      </c>
    </row>
    <row r="17637" spans="6:8">
      <c r="H17637" t="s">
        <v>24146</v>
      </c>
    </row>
    <row r="17638" spans="6:8">
      <c r="H17638" t="s">
        <v>24147</v>
      </c>
    </row>
    <row r="17639" spans="6:8">
      <c r="H17639" t="s">
        <v>24148</v>
      </c>
    </row>
    <row r="17640" spans="6:8">
      <c r="H17640" t="s">
        <v>24149</v>
      </c>
    </row>
    <row r="17641" spans="6:8">
      <c r="H17641" t="s">
        <v>24150</v>
      </c>
    </row>
    <row r="17642" spans="6:8">
      <c r="H17642" t="s">
        <v>24151</v>
      </c>
    </row>
    <row r="17643" spans="6:8">
      <c r="H17643" t="s">
        <v>24152</v>
      </c>
    </row>
    <row r="17644" spans="6:8">
      <c r="H17644" t="s">
        <v>24153</v>
      </c>
    </row>
    <row r="17645" spans="6:8">
      <c r="H17645" t="s">
        <v>24154</v>
      </c>
    </row>
    <row r="17646" spans="6:8">
      <c r="H17646" t="s">
        <v>24155</v>
      </c>
    </row>
    <row r="17647" spans="6:8">
      <c r="H17647" t="s">
        <v>24156</v>
      </c>
    </row>
    <row r="17648" spans="6:8">
      <c r="H17648" t="s">
        <v>24157</v>
      </c>
    </row>
    <row r="17649" spans="6:8">
      <c r="H17649" t="s">
        <v>24158</v>
      </c>
    </row>
    <row r="17650" spans="6:8">
      <c r="H17650" t="s">
        <v>24159</v>
      </c>
    </row>
    <row r="17651" spans="6:8">
      <c r="F17651" t="s">
        <v>12485</v>
      </c>
      <c r="G17651" t="s">
        <v>16704</v>
      </c>
      <c r="H17651" t="s">
        <v>18829</v>
      </c>
    </row>
    <row r="17652" spans="6:8">
      <c r="H17652" t="s">
        <v>24160</v>
      </c>
    </row>
    <row r="17653" spans="6:8">
      <c r="H17653" t="s">
        <v>24161</v>
      </c>
    </row>
    <row r="17654" spans="6:8">
      <c r="H17654" t="s">
        <v>24162</v>
      </c>
    </row>
    <row r="17655" spans="6:8">
      <c r="H17655" t="s">
        <v>24163</v>
      </c>
    </row>
    <row r="17656" spans="6:8">
      <c r="H17656" t="s">
        <v>24164</v>
      </c>
    </row>
    <row r="17657" spans="6:8">
      <c r="H17657" t="s">
        <v>24165</v>
      </c>
    </row>
    <row r="17658" spans="6:8">
      <c r="H17658" t="s">
        <v>24166</v>
      </c>
    </row>
    <row r="17659" spans="6:8">
      <c r="H17659" t="s">
        <v>24167</v>
      </c>
    </row>
    <row r="17660" spans="6:8">
      <c r="H17660" t="s">
        <v>24168</v>
      </c>
    </row>
    <row r="17661" spans="6:8">
      <c r="F17661" t="s">
        <v>12486</v>
      </c>
      <c r="G17661" t="s">
        <v>16705</v>
      </c>
      <c r="H17661" t="s">
        <v>18829</v>
      </c>
    </row>
    <row r="17662" spans="6:8">
      <c r="H17662" t="s">
        <v>24169</v>
      </c>
    </row>
    <row r="17663" spans="6:8">
      <c r="H17663" t="s">
        <v>24170</v>
      </c>
    </row>
    <row r="17664" spans="6:8">
      <c r="H17664" t="s">
        <v>24171</v>
      </c>
    </row>
    <row r="17665" spans="6:8">
      <c r="H17665" t="s">
        <v>24172</v>
      </c>
    </row>
    <row r="17666" spans="6:8">
      <c r="H17666" t="s">
        <v>24173</v>
      </c>
    </row>
    <row r="17667" spans="6:8">
      <c r="H17667" t="s">
        <v>24174</v>
      </c>
    </row>
    <row r="17668" spans="6:8">
      <c r="H17668" t="s">
        <v>24175</v>
      </c>
    </row>
    <row r="17669" spans="6:8">
      <c r="H17669" t="s">
        <v>24176</v>
      </c>
    </row>
    <row r="17670" spans="6:8">
      <c r="H17670" t="s">
        <v>24177</v>
      </c>
    </row>
    <row r="17671" spans="6:8">
      <c r="F17671" t="s">
        <v>12487</v>
      </c>
      <c r="G17671" t="s">
        <v>16706</v>
      </c>
      <c r="H17671" t="s">
        <v>18829</v>
      </c>
    </row>
    <row r="17672" spans="6:8">
      <c r="H17672" t="s">
        <v>24178</v>
      </c>
    </row>
    <row r="17673" spans="6:8">
      <c r="H17673" t="s">
        <v>24179</v>
      </c>
    </row>
    <row r="17674" spans="6:8">
      <c r="H17674" t="s">
        <v>24180</v>
      </c>
    </row>
    <row r="17675" spans="6:8">
      <c r="H17675" t="s">
        <v>24181</v>
      </c>
    </row>
    <row r="17676" spans="6:8">
      <c r="H17676" t="s">
        <v>24182</v>
      </c>
    </row>
    <row r="17677" spans="6:8">
      <c r="H17677" t="s">
        <v>24183</v>
      </c>
    </row>
    <row r="17678" spans="6:8">
      <c r="H17678" t="s">
        <v>24184</v>
      </c>
    </row>
    <row r="17679" spans="6:8">
      <c r="H17679" t="s">
        <v>24185</v>
      </c>
    </row>
    <row r="17680" spans="6:8">
      <c r="H17680" t="s">
        <v>24186</v>
      </c>
    </row>
    <row r="17681" spans="6:8">
      <c r="F17681" t="s">
        <v>12488</v>
      </c>
      <c r="G17681" t="s">
        <v>16707</v>
      </c>
      <c r="H17681" t="s">
        <v>18829</v>
      </c>
    </row>
    <row r="17682" spans="6:8">
      <c r="H17682" t="s">
        <v>24187</v>
      </c>
    </row>
    <row r="17683" spans="6:8">
      <c r="H17683" t="s">
        <v>24188</v>
      </c>
    </row>
    <row r="17684" spans="6:8">
      <c r="H17684" t="s">
        <v>24189</v>
      </c>
    </row>
    <row r="17685" spans="6:8">
      <c r="H17685" t="s">
        <v>24190</v>
      </c>
    </row>
    <row r="17686" spans="6:8">
      <c r="H17686" t="s">
        <v>24191</v>
      </c>
    </row>
    <row r="17687" spans="6:8">
      <c r="H17687" t="s">
        <v>24192</v>
      </c>
    </row>
    <row r="17688" spans="6:8">
      <c r="H17688" t="s">
        <v>24193</v>
      </c>
    </row>
    <row r="17689" spans="6:8">
      <c r="H17689" t="s">
        <v>24194</v>
      </c>
    </row>
    <row r="17690" spans="6:8">
      <c r="H17690" t="s">
        <v>24195</v>
      </c>
    </row>
    <row r="17691" spans="6:8">
      <c r="F17691" t="s">
        <v>12489</v>
      </c>
      <c r="G17691" t="s">
        <v>16538</v>
      </c>
      <c r="H17691" t="s">
        <v>18829</v>
      </c>
    </row>
    <row r="17692" spans="6:8">
      <c r="H17692" t="s">
        <v>24196</v>
      </c>
    </row>
    <row r="17693" spans="6:8">
      <c r="H17693" t="s">
        <v>21976</v>
      </c>
    </row>
    <row r="17694" spans="6:8">
      <c r="H17694" t="s">
        <v>24197</v>
      </c>
    </row>
    <row r="17695" spans="6:8">
      <c r="H17695" t="s">
        <v>21977</v>
      </c>
    </row>
    <row r="17696" spans="6:8">
      <c r="H17696" t="s">
        <v>24198</v>
      </c>
    </row>
    <row r="17697" spans="6:8">
      <c r="H17697" t="s">
        <v>21978</v>
      </c>
    </row>
    <row r="17698" spans="6:8">
      <c r="H17698" t="s">
        <v>24199</v>
      </c>
    </row>
    <row r="17699" spans="6:8">
      <c r="H17699" t="s">
        <v>21979</v>
      </c>
    </row>
    <row r="17700" spans="6:8">
      <c r="H17700" t="s">
        <v>24200</v>
      </c>
    </row>
    <row r="17701" spans="6:8">
      <c r="F17701" t="s">
        <v>12490</v>
      </c>
      <c r="G17701" t="s">
        <v>16708</v>
      </c>
      <c r="H17701" t="s">
        <v>18829</v>
      </c>
    </row>
    <row r="17702" spans="6:8">
      <c r="H17702" t="s">
        <v>24201</v>
      </c>
    </row>
    <row r="17703" spans="6:8">
      <c r="H17703" t="s">
        <v>24202</v>
      </c>
    </row>
    <row r="17704" spans="6:8">
      <c r="H17704" t="s">
        <v>24203</v>
      </c>
    </row>
    <row r="17705" spans="6:8">
      <c r="H17705" t="s">
        <v>24204</v>
      </c>
    </row>
    <row r="17706" spans="6:8">
      <c r="H17706" t="s">
        <v>24205</v>
      </c>
    </row>
    <row r="17707" spans="6:8">
      <c r="H17707" t="s">
        <v>24206</v>
      </c>
    </row>
    <row r="17708" spans="6:8">
      <c r="H17708" t="s">
        <v>24207</v>
      </c>
    </row>
    <row r="17709" spans="6:8">
      <c r="H17709" t="s">
        <v>24208</v>
      </c>
    </row>
    <row r="17710" spans="6:8">
      <c r="H17710" t="s">
        <v>24209</v>
      </c>
    </row>
    <row r="17711" spans="6:8">
      <c r="F17711" t="s">
        <v>12491</v>
      </c>
      <c r="G17711" t="s">
        <v>16709</v>
      </c>
      <c r="H17711" t="s">
        <v>18829</v>
      </c>
    </row>
    <row r="17712" spans="6:8">
      <c r="H17712" t="s">
        <v>24210</v>
      </c>
    </row>
    <row r="17713" spans="8:8">
      <c r="H17713" t="s">
        <v>24211</v>
      </c>
    </row>
    <row r="17714" spans="8:8">
      <c r="H17714" t="s">
        <v>24212</v>
      </c>
    </row>
    <row r="17715" spans="8:8">
      <c r="H17715" t="s">
        <v>24213</v>
      </c>
    </row>
    <row r="17716" spans="8:8">
      <c r="H17716" t="s">
        <v>24214</v>
      </c>
    </row>
    <row r="17717" spans="8:8">
      <c r="H17717" t="s">
        <v>24215</v>
      </c>
    </row>
    <row r="17718" spans="8:8">
      <c r="H17718" t="s">
        <v>24216</v>
      </c>
    </row>
    <row r="17719" spans="8:8">
      <c r="H17719" t="s">
        <v>24217</v>
      </c>
    </row>
    <row r="17720" spans="8:8">
      <c r="H17720" t="s">
        <v>24218</v>
      </c>
    </row>
    <row r="17721" spans="8:8">
      <c r="H17721" t="s">
        <v>24219</v>
      </c>
    </row>
    <row r="17722" spans="8:8">
      <c r="H17722" t="s">
        <v>24220</v>
      </c>
    </row>
    <row r="17723" spans="8:8">
      <c r="H17723" t="s">
        <v>24221</v>
      </c>
    </row>
    <row r="17724" spans="8:8">
      <c r="H17724" t="s">
        <v>24222</v>
      </c>
    </row>
    <row r="17725" spans="8:8">
      <c r="H17725" t="s">
        <v>24223</v>
      </c>
    </row>
    <row r="17726" spans="8:8">
      <c r="H17726" t="s">
        <v>24224</v>
      </c>
    </row>
    <row r="17727" spans="8:8">
      <c r="H17727" t="s">
        <v>24225</v>
      </c>
    </row>
    <row r="17728" spans="8:8">
      <c r="H17728" t="s">
        <v>24226</v>
      </c>
    </row>
    <row r="17729" spans="8:8">
      <c r="H17729" t="s">
        <v>24227</v>
      </c>
    </row>
    <row r="17730" spans="8:8">
      <c r="H17730" t="s">
        <v>24228</v>
      </c>
    </row>
    <row r="17731" spans="8:8">
      <c r="H17731" t="s">
        <v>24229</v>
      </c>
    </row>
    <row r="17732" spans="8:8">
      <c r="H17732" t="s">
        <v>24230</v>
      </c>
    </row>
    <row r="17733" spans="8:8">
      <c r="H17733" t="s">
        <v>24231</v>
      </c>
    </row>
    <row r="17734" spans="8:8">
      <c r="H17734" t="s">
        <v>24232</v>
      </c>
    </row>
    <row r="17735" spans="8:8">
      <c r="H17735" t="s">
        <v>24233</v>
      </c>
    </row>
    <row r="17736" spans="8:8">
      <c r="H17736" t="s">
        <v>24234</v>
      </c>
    </row>
    <row r="17737" spans="8:8">
      <c r="H17737" t="s">
        <v>24235</v>
      </c>
    </row>
    <row r="17738" spans="8:8">
      <c r="H17738" t="s">
        <v>24236</v>
      </c>
    </row>
    <row r="17739" spans="8:8">
      <c r="H17739" t="s">
        <v>24237</v>
      </c>
    </row>
    <row r="17740" spans="8:8">
      <c r="H17740" t="s">
        <v>24238</v>
      </c>
    </row>
    <row r="17741" spans="8:8">
      <c r="H17741" t="s">
        <v>24239</v>
      </c>
    </row>
    <row r="17742" spans="8:8">
      <c r="H17742" t="s">
        <v>24240</v>
      </c>
    </row>
    <row r="17743" spans="8:8">
      <c r="H17743" t="s">
        <v>24241</v>
      </c>
    </row>
    <row r="17744" spans="8:8">
      <c r="H17744" t="s">
        <v>24242</v>
      </c>
    </row>
    <row r="17745" spans="8:8">
      <c r="H17745" t="s">
        <v>24243</v>
      </c>
    </row>
    <row r="17746" spans="8:8">
      <c r="H17746" t="s">
        <v>24244</v>
      </c>
    </row>
    <row r="17747" spans="8:8">
      <c r="H17747" t="s">
        <v>24245</v>
      </c>
    </row>
    <row r="17748" spans="8:8">
      <c r="H17748" t="s">
        <v>24246</v>
      </c>
    </row>
    <row r="17749" spans="8:8">
      <c r="H17749" t="s">
        <v>24247</v>
      </c>
    </row>
    <row r="17750" spans="8:8">
      <c r="H17750" t="s">
        <v>24248</v>
      </c>
    </row>
    <row r="17751" spans="8:8">
      <c r="H17751" t="s">
        <v>24249</v>
      </c>
    </row>
    <row r="17752" spans="8:8">
      <c r="H17752" t="s">
        <v>24250</v>
      </c>
    </row>
    <row r="17753" spans="8:8">
      <c r="H17753" t="s">
        <v>24251</v>
      </c>
    </row>
    <row r="17754" spans="8:8">
      <c r="H17754" t="s">
        <v>24252</v>
      </c>
    </row>
    <row r="17755" spans="8:8">
      <c r="H17755" t="s">
        <v>24253</v>
      </c>
    </row>
    <row r="17756" spans="8:8">
      <c r="H17756" t="s">
        <v>24254</v>
      </c>
    </row>
    <row r="17757" spans="8:8">
      <c r="H17757" t="s">
        <v>24255</v>
      </c>
    </row>
    <row r="17758" spans="8:8">
      <c r="H17758" t="s">
        <v>24256</v>
      </c>
    </row>
    <row r="17759" spans="8:8">
      <c r="H17759" t="s">
        <v>24257</v>
      </c>
    </row>
    <row r="17760" spans="8:8">
      <c r="H17760" t="s">
        <v>24258</v>
      </c>
    </row>
    <row r="17761" spans="8:8">
      <c r="H17761" t="s">
        <v>24259</v>
      </c>
    </row>
    <row r="17762" spans="8:8">
      <c r="H17762" t="s">
        <v>24260</v>
      </c>
    </row>
    <row r="17763" spans="8:8">
      <c r="H17763" t="s">
        <v>24261</v>
      </c>
    </row>
    <row r="17764" spans="8:8">
      <c r="H17764" t="s">
        <v>24262</v>
      </c>
    </row>
    <row r="17765" spans="8:8">
      <c r="H17765" t="s">
        <v>24263</v>
      </c>
    </row>
    <row r="17766" spans="8:8">
      <c r="H17766" t="s">
        <v>24264</v>
      </c>
    </row>
    <row r="17767" spans="8:8">
      <c r="H17767" t="s">
        <v>24265</v>
      </c>
    </row>
    <row r="17768" spans="8:8">
      <c r="H17768" t="s">
        <v>24266</v>
      </c>
    </row>
    <row r="17769" spans="8:8">
      <c r="H17769" t="s">
        <v>24267</v>
      </c>
    </row>
    <row r="17770" spans="8:8">
      <c r="H17770" t="s">
        <v>24268</v>
      </c>
    </row>
    <row r="17771" spans="8:8">
      <c r="H17771" t="s">
        <v>24269</v>
      </c>
    </row>
    <row r="17772" spans="8:8">
      <c r="H17772" t="s">
        <v>24270</v>
      </c>
    </row>
    <row r="17773" spans="8:8">
      <c r="H17773" t="s">
        <v>24271</v>
      </c>
    </row>
    <row r="17774" spans="8:8">
      <c r="H17774" t="s">
        <v>24272</v>
      </c>
    </row>
    <row r="17775" spans="8:8">
      <c r="H17775" t="s">
        <v>24273</v>
      </c>
    </row>
    <row r="17776" spans="8:8">
      <c r="H17776" t="s">
        <v>24274</v>
      </c>
    </row>
    <row r="17777" spans="6:8">
      <c r="H17777" t="s">
        <v>24275</v>
      </c>
    </row>
    <row r="17778" spans="6:8">
      <c r="H17778" t="s">
        <v>24276</v>
      </c>
    </row>
    <row r="17779" spans="6:8">
      <c r="H17779" t="s">
        <v>24277</v>
      </c>
    </row>
    <row r="17780" spans="6:8">
      <c r="H17780" t="s">
        <v>24278</v>
      </c>
    </row>
    <row r="17781" spans="6:8">
      <c r="H17781" t="s">
        <v>24279</v>
      </c>
    </row>
    <row r="17782" spans="6:8">
      <c r="H17782" t="s">
        <v>24280</v>
      </c>
    </row>
    <row r="17783" spans="6:8">
      <c r="H17783" t="s">
        <v>24281</v>
      </c>
    </row>
    <row r="17784" spans="6:8">
      <c r="H17784" t="s">
        <v>24282</v>
      </c>
    </row>
    <row r="17785" spans="6:8">
      <c r="F17785" t="s">
        <v>12492</v>
      </c>
      <c r="G17785" t="s">
        <v>16710</v>
      </c>
      <c r="H17785" t="s">
        <v>18829</v>
      </c>
    </row>
    <row r="17786" spans="6:8">
      <c r="H17786" t="s">
        <v>24283</v>
      </c>
    </row>
    <row r="17787" spans="6:8">
      <c r="H17787" t="s">
        <v>24284</v>
      </c>
    </row>
    <row r="17788" spans="6:8">
      <c r="H17788" t="s">
        <v>24285</v>
      </c>
    </row>
    <row r="17789" spans="6:8">
      <c r="H17789" t="s">
        <v>24286</v>
      </c>
    </row>
    <row r="17790" spans="6:8">
      <c r="H17790" t="s">
        <v>24287</v>
      </c>
    </row>
    <row r="17791" spans="6:8">
      <c r="H17791" t="s">
        <v>24288</v>
      </c>
    </row>
    <row r="17792" spans="6:8">
      <c r="H17792" t="s">
        <v>24289</v>
      </c>
    </row>
    <row r="17793" spans="8:8">
      <c r="H17793" t="s">
        <v>24290</v>
      </c>
    </row>
    <row r="17794" spans="8:8">
      <c r="H17794" t="s">
        <v>24291</v>
      </c>
    </row>
    <row r="17795" spans="8:8">
      <c r="H17795" t="s">
        <v>24292</v>
      </c>
    </row>
    <row r="17796" spans="8:8">
      <c r="H17796" t="s">
        <v>24293</v>
      </c>
    </row>
    <row r="17797" spans="8:8">
      <c r="H17797" t="s">
        <v>24294</v>
      </c>
    </row>
    <row r="17798" spans="8:8">
      <c r="H17798" t="s">
        <v>24295</v>
      </c>
    </row>
    <row r="17799" spans="8:8">
      <c r="H17799" t="s">
        <v>24296</v>
      </c>
    </row>
    <row r="17800" spans="8:8">
      <c r="H17800" t="s">
        <v>24297</v>
      </c>
    </row>
    <row r="17801" spans="8:8">
      <c r="H17801" t="s">
        <v>24298</v>
      </c>
    </row>
    <row r="17802" spans="8:8">
      <c r="H17802" t="s">
        <v>24299</v>
      </c>
    </row>
    <row r="17803" spans="8:8">
      <c r="H17803" t="s">
        <v>24300</v>
      </c>
    </row>
    <row r="17804" spans="8:8">
      <c r="H17804" t="s">
        <v>24301</v>
      </c>
    </row>
    <row r="17805" spans="8:8">
      <c r="H17805" t="s">
        <v>24302</v>
      </c>
    </row>
    <row r="17806" spans="8:8">
      <c r="H17806" t="s">
        <v>24303</v>
      </c>
    </row>
    <row r="17807" spans="8:8">
      <c r="H17807" t="s">
        <v>24304</v>
      </c>
    </row>
    <row r="17808" spans="8:8">
      <c r="H17808" t="s">
        <v>24305</v>
      </c>
    </row>
    <row r="17809" spans="8:8">
      <c r="H17809" t="s">
        <v>24306</v>
      </c>
    </row>
    <row r="17810" spans="8:8">
      <c r="H17810" t="s">
        <v>24307</v>
      </c>
    </row>
    <row r="17811" spans="8:8">
      <c r="H17811" t="s">
        <v>24308</v>
      </c>
    </row>
    <row r="17812" spans="8:8">
      <c r="H17812" t="s">
        <v>24309</v>
      </c>
    </row>
    <row r="17813" spans="8:8">
      <c r="H17813" t="s">
        <v>24310</v>
      </c>
    </row>
    <row r="17814" spans="8:8">
      <c r="H17814" t="s">
        <v>24311</v>
      </c>
    </row>
    <row r="17815" spans="8:8">
      <c r="H17815" t="s">
        <v>24312</v>
      </c>
    </row>
    <row r="17816" spans="8:8">
      <c r="H17816" t="s">
        <v>24313</v>
      </c>
    </row>
    <row r="17817" spans="8:8">
      <c r="H17817" t="s">
        <v>24314</v>
      </c>
    </row>
    <row r="17818" spans="8:8">
      <c r="H17818" t="s">
        <v>24315</v>
      </c>
    </row>
    <row r="17819" spans="8:8">
      <c r="H17819" t="s">
        <v>24316</v>
      </c>
    </row>
    <row r="17820" spans="8:8">
      <c r="H17820" t="s">
        <v>24317</v>
      </c>
    </row>
    <row r="17821" spans="8:8">
      <c r="H17821" t="s">
        <v>24318</v>
      </c>
    </row>
    <row r="17822" spans="8:8">
      <c r="H17822" t="s">
        <v>24319</v>
      </c>
    </row>
    <row r="17823" spans="8:8">
      <c r="H17823" t="s">
        <v>24320</v>
      </c>
    </row>
    <row r="17824" spans="8:8">
      <c r="H17824" t="s">
        <v>24321</v>
      </c>
    </row>
    <row r="17825" spans="8:8">
      <c r="H17825" t="s">
        <v>24322</v>
      </c>
    </row>
    <row r="17826" spans="8:8">
      <c r="H17826" t="s">
        <v>24323</v>
      </c>
    </row>
    <row r="17827" spans="8:8">
      <c r="H17827" t="s">
        <v>24324</v>
      </c>
    </row>
    <row r="17828" spans="8:8">
      <c r="H17828" t="s">
        <v>24325</v>
      </c>
    </row>
    <row r="17829" spans="8:8">
      <c r="H17829" t="s">
        <v>24326</v>
      </c>
    </row>
    <row r="17830" spans="8:8">
      <c r="H17830" t="s">
        <v>24327</v>
      </c>
    </row>
    <row r="17831" spans="8:8">
      <c r="H17831" t="s">
        <v>24328</v>
      </c>
    </row>
    <row r="17832" spans="8:8">
      <c r="H17832" t="s">
        <v>24329</v>
      </c>
    </row>
    <row r="17833" spans="8:8">
      <c r="H17833" t="s">
        <v>24330</v>
      </c>
    </row>
    <row r="17834" spans="8:8">
      <c r="H17834" t="s">
        <v>24331</v>
      </c>
    </row>
    <row r="17835" spans="8:8">
      <c r="H17835" t="s">
        <v>24332</v>
      </c>
    </row>
    <row r="17836" spans="8:8">
      <c r="H17836" t="s">
        <v>24333</v>
      </c>
    </row>
    <row r="17837" spans="8:8">
      <c r="H17837" t="s">
        <v>24334</v>
      </c>
    </row>
    <row r="17838" spans="8:8">
      <c r="H17838" t="s">
        <v>24335</v>
      </c>
    </row>
    <row r="17839" spans="8:8">
      <c r="H17839" t="s">
        <v>24336</v>
      </c>
    </row>
    <row r="17840" spans="8:8">
      <c r="H17840" t="s">
        <v>24337</v>
      </c>
    </row>
    <row r="17841" spans="8:8">
      <c r="H17841" t="s">
        <v>24338</v>
      </c>
    </row>
    <row r="17842" spans="8:8">
      <c r="H17842" t="s">
        <v>24339</v>
      </c>
    </row>
    <row r="17843" spans="8:8">
      <c r="H17843" t="s">
        <v>24340</v>
      </c>
    </row>
    <row r="17844" spans="8:8">
      <c r="H17844" t="s">
        <v>24341</v>
      </c>
    </row>
    <row r="17845" spans="8:8">
      <c r="H17845" t="s">
        <v>24342</v>
      </c>
    </row>
    <row r="17846" spans="8:8">
      <c r="H17846" t="s">
        <v>24343</v>
      </c>
    </row>
    <row r="17847" spans="8:8">
      <c r="H17847" t="s">
        <v>24344</v>
      </c>
    </row>
    <row r="17848" spans="8:8">
      <c r="H17848" t="s">
        <v>24345</v>
      </c>
    </row>
    <row r="17849" spans="8:8">
      <c r="H17849" t="s">
        <v>24346</v>
      </c>
    </row>
    <row r="17850" spans="8:8">
      <c r="H17850" t="s">
        <v>24347</v>
      </c>
    </row>
    <row r="17851" spans="8:8">
      <c r="H17851" t="s">
        <v>24348</v>
      </c>
    </row>
    <row r="17852" spans="8:8">
      <c r="H17852" t="s">
        <v>24349</v>
      </c>
    </row>
    <row r="17853" spans="8:8">
      <c r="H17853" t="s">
        <v>24350</v>
      </c>
    </row>
    <row r="17854" spans="8:8">
      <c r="H17854" t="s">
        <v>24351</v>
      </c>
    </row>
    <row r="17855" spans="8:8">
      <c r="H17855" t="s">
        <v>24352</v>
      </c>
    </row>
    <row r="17856" spans="8:8">
      <c r="H17856" t="s">
        <v>24353</v>
      </c>
    </row>
    <row r="17857" spans="6:8">
      <c r="H17857" t="s">
        <v>24354</v>
      </c>
    </row>
    <row r="17858" spans="6:8">
      <c r="H17858" t="s">
        <v>24355</v>
      </c>
    </row>
    <row r="17859" spans="6:8">
      <c r="F17859" t="s">
        <v>12493</v>
      </c>
      <c r="G17859" t="s">
        <v>16711</v>
      </c>
      <c r="H17859" t="s">
        <v>18829</v>
      </c>
    </row>
    <row r="17860" spans="6:8">
      <c r="H17860" t="s">
        <v>24356</v>
      </c>
    </row>
    <row r="17861" spans="6:8">
      <c r="H17861" t="s">
        <v>24357</v>
      </c>
    </row>
    <row r="17862" spans="6:8">
      <c r="H17862" t="s">
        <v>24358</v>
      </c>
    </row>
    <row r="17863" spans="6:8">
      <c r="H17863" t="s">
        <v>24359</v>
      </c>
    </row>
    <row r="17864" spans="6:8">
      <c r="H17864" t="s">
        <v>24360</v>
      </c>
    </row>
    <row r="17865" spans="6:8">
      <c r="H17865" t="s">
        <v>24361</v>
      </c>
    </row>
    <row r="17866" spans="6:8">
      <c r="H17866" t="s">
        <v>24362</v>
      </c>
    </row>
    <row r="17867" spans="6:8">
      <c r="H17867" t="s">
        <v>24363</v>
      </c>
    </row>
    <row r="17868" spans="6:8">
      <c r="H17868" t="s">
        <v>24364</v>
      </c>
    </row>
    <row r="17869" spans="6:8">
      <c r="H17869" t="s">
        <v>24365</v>
      </c>
    </row>
    <row r="17870" spans="6:8">
      <c r="H17870" t="s">
        <v>24366</v>
      </c>
    </row>
    <row r="17871" spans="6:8">
      <c r="H17871" t="s">
        <v>24367</v>
      </c>
    </row>
    <row r="17872" spans="6:8">
      <c r="H17872" t="s">
        <v>24368</v>
      </c>
    </row>
    <row r="17873" spans="6:8">
      <c r="H17873" t="s">
        <v>24369</v>
      </c>
    </row>
    <row r="17874" spans="6:8">
      <c r="H17874" t="s">
        <v>24370</v>
      </c>
    </row>
    <row r="17875" spans="6:8">
      <c r="F17875" t="s">
        <v>12494</v>
      </c>
      <c r="G17875" t="s">
        <v>16712</v>
      </c>
      <c r="H17875" t="s">
        <v>18829</v>
      </c>
    </row>
    <row r="17876" spans="6:8">
      <c r="H17876" t="s">
        <v>24371</v>
      </c>
    </row>
    <row r="17877" spans="6:8">
      <c r="H17877" t="s">
        <v>24372</v>
      </c>
    </row>
    <row r="17878" spans="6:8">
      <c r="H17878" t="s">
        <v>24373</v>
      </c>
    </row>
    <row r="17879" spans="6:8">
      <c r="H17879" t="s">
        <v>24374</v>
      </c>
    </row>
    <row r="17880" spans="6:8">
      <c r="H17880" t="s">
        <v>24375</v>
      </c>
    </row>
    <row r="17881" spans="6:8">
      <c r="H17881" t="s">
        <v>24376</v>
      </c>
    </row>
    <row r="17882" spans="6:8">
      <c r="H17882" t="s">
        <v>24377</v>
      </c>
    </row>
    <row r="17883" spans="6:8">
      <c r="H17883" t="s">
        <v>24378</v>
      </c>
    </row>
    <row r="17884" spans="6:8">
      <c r="H17884" t="s">
        <v>24379</v>
      </c>
    </row>
    <row r="17885" spans="6:8">
      <c r="F17885" t="s">
        <v>12495</v>
      </c>
      <c r="G17885" t="s">
        <v>16713</v>
      </c>
      <c r="H17885" t="s">
        <v>18829</v>
      </c>
    </row>
    <row r="17886" spans="6:8">
      <c r="H17886" t="s">
        <v>24380</v>
      </c>
    </row>
    <row r="17887" spans="6:8">
      <c r="H17887" t="s">
        <v>24381</v>
      </c>
    </row>
    <row r="17888" spans="6:8">
      <c r="H17888" t="s">
        <v>24382</v>
      </c>
    </row>
    <row r="17889" spans="6:8">
      <c r="F17889" t="s">
        <v>12496</v>
      </c>
      <c r="G17889" t="s">
        <v>16714</v>
      </c>
      <c r="H17889" t="s">
        <v>18829</v>
      </c>
    </row>
    <row r="17890" spans="6:8">
      <c r="H17890" t="s">
        <v>24383</v>
      </c>
    </row>
    <row r="17891" spans="6:8">
      <c r="H17891" t="s">
        <v>24384</v>
      </c>
    </row>
    <row r="17892" spans="6:8">
      <c r="H17892" t="s">
        <v>24385</v>
      </c>
    </row>
    <row r="17893" spans="6:8">
      <c r="H17893" t="s">
        <v>24386</v>
      </c>
    </row>
    <row r="17894" spans="6:8">
      <c r="H17894" t="s">
        <v>24387</v>
      </c>
    </row>
    <row r="17895" spans="6:8">
      <c r="H17895" t="s">
        <v>24388</v>
      </c>
    </row>
    <row r="17896" spans="6:8">
      <c r="H17896" t="s">
        <v>24389</v>
      </c>
    </row>
    <row r="17897" spans="6:8">
      <c r="H17897" t="s">
        <v>24390</v>
      </c>
    </row>
    <row r="17898" spans="6:8">
      <c r="H17898" t="s">
        <v>24391</v>
      </c>
    </row>
    <row r="17899" spans="6:8">
      <c r="F17899" t="s">
        <v>12497</v>
      </c>
      <c r="G17899" t="s">
        <v>16715</v>
      </c>
      <c r="H17899" t="s">
        <v>18829</v>
      </c>
    </row>
    <row r="17900" spans="6:8">
      <c r="H17900" t="s">
        <v>24392</v>
      </c>
    </row>
    <row r="17901" spans="6:8">
      <c r="H17901" t="s">
        <v>24393</v>
      </c>
    </row>
    <row r="17902" spans="6:8">
      <c r="H17902" t="s">
        <v>24394</v>
      </c>
    </row>
    <row r="17903" spans="6:8">
      <c r="H17903" t="s">
        <v>24395</v>
      </c>
    </row>
    <row r="17904" spans="6:8">
      <c r="H17904" t="s">
        <v>24396</v>
      </c>
    </row>
    <row r="17905" spans="6:8">
      <c r="H17905" t="s">
        <v>24397</v>
      </c>
    </row>
    <row r="17906" spans="6:8">
      <c r="H17906" t="s">
        <v>24398</v>
      </c>
    </row>
    <row r="17907" spans="6:8">
      <c r="H17907" t="s">
        <v>24399</v>
      </c>
    </row>
    <row r="17908" spans="6:8">
      <c r="H17908" t="s">
        <v>24400</v>
      </c>
    </row>
    <row r="17909" spans="6:8">
      <c r="F17909" t="s">
        <v>12498</v>
      </c>
      <c r="G17909" t="s">
        <v>16716</v>
      </c>
      <c r="H17909" t="s">
        <v>18829</v>
      </c>
    </row>
    <row r="17910" spans="6:8">
      <c r="H17910" t="s">
        <v>24401</v>
      </c>
    </row>
    <row r="17911" spans="6:8">
      <c r="H17911" t="s">
        <v>24402</v>
      </c>
    </row>
    <row r="17912" spans="6:8">
      <c r="H17912" t="s">
        <v>24403</v>
      </c>
    </row>
    <row r="17913" spans="6:8">
      <c r="H17913" t="s">
        <v>24404</v>
      </c>
    </row>
    <row r="17914" spans="6:8">
      <c r="H17914" t="s">
        <v>24405</v>
      </c>
    </row>
    <row r="17915" spans="6:8">
      <c r="H17915" t="s">
        <v>24406</v>
      </c>
    </row>
    <row r="17916" spans="6:8">
      <c r="H17916" t="s">
        <v>24407</v>
      </c>
    </row>
    <row r="17917" spans="6:8">
      <c r="H17917" t="s">
        <v>24408</v>
      </c>
    </row>
    <row r="17918" spans="6:8">
      <c r="H17918" t="s">
        <v>24409</v>
      </c>
    </row>
    <row r="17919" spans="6:8">
      <c r="F17919" t="s">
        <v>12499</v>
      </c>
      <c r="G17919" t="s">
        <v>16717</v>
      </c>
      <c r="H17919" t="s">
        <v>18829</v>
      </c>
    </row>
    <row r="17920" spans="6:8">
      <c r="H17920" t="s">
        <v>24410</v>
      </c>
    </row>
    <row r="17921" spans="6:8">
      <c r="H17921" t="s">
        <v>24411</v>
      </c>
    </row>
    <row r="17922" spans="6:8">
      <c r="H17922" t="s">
        <v>24412</v>
      </c>
    </row>
    <row r="17923" spans="6:8">
      <c r="H17923" t="s">
        <v>24413</v>
      </c>
    </row>
    <row r="17924" spans="6:8">
      <c r="H17924" t="s">
        <v>24414</v>
      </c>
    </row>
    <row r="17925" spans="6:8">
      <c r="H17925" t="s">
        <v>24415</v>
      </c>
    </row>
    <row r="17926" spans="6:8">
      <c r="H17926" t="s">
        <v>24416</v>
      </c>
    </row>
    <row r="17927" spans="6:8">
      <c r="H17927" t="s">
        <v>24417</v>
      </c>
    </row>
    <row r="17928" spans="6:8">
      <c r="H17928" t="s">
        <v>24418</v>
      </c>
    </row>
    <row r="17929" spans="6:8">
      <c r="F17929" t="s">
        <v>12500</v>
      </c>
      <c r="G17929" t="s">
        <v>16718</v>
      </c>
      <c r="H17929" t="s">
        <v>18829</v>
      </c>
    </row>
    <row r="17930" spans="6:8">
      <c r="H17930" t="s">
        <v>24419</v>
      </c>
    </row>
    <row r="17931" spans="6:8">
      <c r="H17931" t="s">
        <v>24420</v>
      </c>
    </row>
    <row r="17932" spans="6:8">
      <c r="H17932" t="s">
        <v>24421</v>
      </c>
    </row>
    <row r="17933" spans="6:8">
      <c r="H17933" t="s">
        <v>24422</v>
      </c>
    </row>
    <row r="17934" spans="6:8">
      <c r="H17934" t="s">
        <v>24423</v>
      </c>
    </row>
    <row r="17935" spans="6:8">
      <c r="H17935" t="s">
        <v>24424</v>
      </c>
    </row>
    <row r="17936" spans="6:8">
      <c r="H17936" t="s">
        <v>24425</v>
      </c>
    </row>
    <row r="17937" spans="6:8">
      <c r="H17937" t="s">
        <v>24426</v>
      </c>
    </row>
    <row r="17938" spans="6:8">
      <c r="H17938" t="s">
        <v>24427</v>
      </c>
    </row>
    <row r="17939" spans="6:8">
      <c r="F17939" t="s">
        <v>12501</v>
      </c>
      <c r="G17939" t="s">
        <v>16719</v>
      </c>
      <c r="H17939" t="s">
        <v>18829</v>
      </c>
    </row>
    <row r="17940" spans="6:8">
      <c r="H17940" t="s">
        <v>24428</v>
      </c>
    </row>
    <row r="17941" spans="6:8">
      <c r="H17941" t="s">
        <v>24429</v>
      </c>
    </row>
    <row r="17942" spans="6:8">
      <c r="H17942" t="s">
        <v>24430</v>
      </c>
    </row>
    <row r="17943" spans="6:8">
      <c r="H17943" t="s">
        <v>24431</v>
      </c>
    </row>
    <row r="17944" spans="6:8">
      <c r="H17944" t="s">
        <v>24432</v>
      </c>
    </row>
    <row r="17945" spans="6:8">
      <c r="H17945" t="s">
        <v>24433</v>
      </c>
    </row>
    <row r="17946" spans="6:8">
      <c r="H17946" t="s">
        <v>24434</v>
      </c>
    </row>
    <row r="17947" spans="6:8">
      <c r="H17947" t="s">
        <v>24435</v>
      </c>
    </row>
    <row r="17948" spans="6:8">
      <c r="H17948" t="s">
        <v>24436</v>
      </c>
    </row>
    <row r="17949" spans="6:8">
      <c r="F17949" t="s">
        <v>12502</v>
      </c>
      <c r="G17949" t="s">
        <v>16720</v>
      </c>
      <c r="H17949" t="s">
        <v>18829</v>
      </c>
    </row>
    <row r="17950" spans="6:8">
      <c r="H17950" t="s">
        <v>24437</v>
      </c>
    </row>
    <row r="17951" spans="6:8">
      <c r="H17951" t="s">
        <v>24438</v>
      </c>
    </row>
    <row r="17952" spans="6:8">
      <c r="H17952" t="s">
        <v>24439</v>
      </c>
    </row>
    <row r="17953" spans="6:8">
      <c r="H17953" t="s">
        <v>24440</v>
      </c>
    </row>
    <row r="17954" spans="6:8">
      <c r="H17954" t="s">
        <v>24441</v>
      </c>
    </row>
    <row r="17955" spans="6:8">
      <c r="H17955" t="s">
        <v>24442</v>
      </c>
    </row>
    <row r="17956" spans="6:8">
      <c r="H17956" t="s">
        <v>24443</v>
      </c>
    </row>
    <row r="17957" spans="6:8">
      <c r="H17957" t="s">
        <v>24444</v>
      </c>
    </row>
    <row r="17958" spans="6:8">
      <c r="H17958" t="s">
        <v>24445</v>
      </c>
    </row>
    <row r="17959" spans="6:8">
      <c r="F17959" t="s">
        <v>12503</v>
      </c>
      <c r="G17959" t="s">
        <v>16721</v>
      </c>
      <c r="H17959" t="s">
        <v>18829</v>
      </c>
    </row>
    <row r="17960" spans="6:8">
      <c r="H17960" t="s">
        <v>24446</v>
      </c>
    </row>
    <row r="17961" spans="6:8">
      <c r="H17961" t="s">
        <v>24447</v>
      </c>
    </row>
    <row r="17962" spans="6:8">
      <c r="H17962" t="s">
        <v>24448</v>
      </c>
    </row>
    <row r="17963" spans="6:8">
      <c r="H17963" t="s">
        <v>24449</v>
      </c>
    </row>
    <row r="17964" spans="6:8">
      <c r="H17964" t="s">
        <v>24450</v>
      </c>
    </row>
    <row r="17965" spans="6:8">
      <c r="H17965" t="s">
        <v>24451</v>
      </c>
    </row>
    <row r="17966" spans="6:8">
      <c r="H17966" t="s">
        <v>24452</v>
      </c>
    </row>
    <row r="17967" spans="6:8">
      <c r="H17967" t="s">
        <v>24453</v>
      </c>
    </row>
    <row r="17968" spans="6:8">
      <c r="H17968" t="s">
        <v>24454</v>
      </c>
    </row>
    <row r="17969" spans="6:8">
      <c r="F17969" t="s">
        <v>12504</v>
      </c>
      <c r="G17969" t="s">
        <v>16722</v>
      </c>
      <c r="H17969" t="s">
        <v>18829</v>
      </c>
    </row>
    <row r="17970" spans="6:8">
      <c r="H17970" t="s">
        <v>24455</v>
      </c>
    </row>
    <row r="17971" spans="6:8">
      <c r="H17971" t="s">
        <v>24456</v>
      </c>
    </row>
    <row r="17972" spans="6:8">
      <c r="H17972" t="s">
        <v>24457</v>
      </c>
    </row>
    <row r="17973" spans="6:8">
      <c r="H17973" t="s">
        <v>24458</v>
      </c>
    </row>
    <row r="17974" spans="6:8">
      <c r="H17974" t="s">
        <v>24459</v>
      </c>
    </row>
    <row r="17975" spans="6:8">
      <c r="H17975" t="s">
        <v>24460</v>
      </c>
    </row>
    <row r="17976" spans="6:8">
      <c r="H17976" t="s">
        <v>24461</v>
      </c>
    </row>
    <row r="17977" spans="6:8">
      <c r="H17977" t="s">
        <v>24462</v>
      </c>
    </row>
    <row r="17978" spans="6:8">
      <c r="H17978" t="s">
        <v>24463</v>
      </c>
    </row>
    <row r="17979" spans="6:8">
      <c r="F17979" t="s">
        <v>12505</v>
      </c>
      <c r="G17979" t="s">
        <v>16723</v>
      </c>
      <c r="H17979" t="s">
        <v>18829</v>
      </c>
    </row>
    <row r="17980" spans="6:8">
      <c r="H17980" t="s">
        <v>24464</v>
      </c>
    </row>
    <row r="17981" spans="6:8">
      <c r="H17981" t="s">
        <v>24465</v>
      </c>
    </row>
    <row r="17982" spans="6:8">
      <c r="H17982" t="s">
        <v>24466</v>
      </c>
    </row>
    <row r="17983" spans="6:8">
      <c r="H17983" t="s">
        <v>24467</v>
      </c>
    </row>
    <row r="17984" spans="6:8">
      <c r="H17984" t="s">
        <v>24468</v>
      </c>
    </row>
    <row r="17985" spans="6:8">
      <c r="H17985" t="s">
        <v>24469</v>
      </c>
    </row>
    <row r="17986" spans="6:8">
      <c r="H17986" t="s">
        <v>24470</v>
      </c>
    </row>
    <row r="17987" spans="6:8">
      <c r="H17987" t="s">
        <v>24471</v>
      </c>
    </row>
    <row r="17988" spans="6:8">
      <c r="H17988" t="s">
        <v>24472</v>
      </c>
    </row>
    <row r="17989" spans="6:8">
      <c r="F17989" t="s">
        <v>12506</v>
      </c>
      <c r="G17989" t="s">
        <v>16724</v>
      </c>
      <c r="H17989" t="s">
        <v>18829</v>
      </c>
    </row>
    <row r="17990" spans="6:8">
      <c r="H17990" t="s">
        <v>24473</v>
      </c>
    </row>
    <row r="17991" spans="6:8">
      <c r="H17991" t="s">
        <v>24474</v>
      </c>
    </row>
    <row r="17992" spans="6:8">
      <c r="H17992" t="s">
        <v>24475</v>
      </c>
    </row>
    <row r="17993" spans="6:8">
      <c r="H17993" t="s">
        <v>24476</v>
      </c>
    </row>
    <row r="17994" spans="6:8">
      <c r="H17994" t="s">
        <v>24477</v>
      </c>
    </row>
    <row r="17995" spans="6:8">
      <c r="H17995" t="s">
        <v>24478</v>
      </c>
    </row>
    <row r="17996" spans="6:8">
      <c r="H17996" t="s">
        <v>24479</v>
      </c>
    </row>
    <row r="17997" spans="6:8">
      <c r="H17997" t="s">
        <v>24480</v>
      </c>
    </row>
    <row r="17998" spans="6:8">
      <c r="H17998" t="s">
        <v>24481</v>
      </c>
    </row>
    <row r="17999" spans="6:8">
      <c r="F17999" t="s">
        <v>12507</v>
      </c>
      <c r="G17999" t="s">
        <v>16725</v>
      </c>
      <c r="H17999" t="s">
        <v>18829</v>
      </c>
    </row>
    <row r="18000" spans="6:8">
      <c r="H18000" t="s">
        <v>24482</v>
      </c>
    </row>
    <row r="18001" spans="6:8">
      <c r="H18001" t="s">
        <v>24483</v>
      </c>
    </row>
    <row r="18002" spans="6:8">
      <c r="H18002" t="s">
        <v>24484</v>
      </c>
    </row>
    <row r="18003" spans="6:8">
      <c r="H18003" t="s">
        <v>24485</v>
      </c>
    </row>
    <row r="18004" spans="6:8">
      <c r="H18004" t="s">
        <v>24486</v>
      </c>
    </row>
    <row r="18005" spans="6:8">
      <c r="H18005" t="s">
        <v>24487</v>
      </c>
    </row>
    <row r="18006" spans="6:8">
      <c r="H18006" t="s">
        <v>24488</v>
      </c>
    </row>
    <row r="18007" spans="6:8">
      <c r="H18007" t="s">
        <v>24489</v>
      </c>
    </row>
    <row r="18008" spans="6:8">
      <c r="H18008" t="s">
        <v>24490</v>
      </c>
    </row>
    <row r="18009" spans="6:8">
      <c r="F18009" t="s">
        <v>12508</v>
      </c>
      <c r="G18009" t="s">
        <v>16726</v>
      </c>
      <c r="H18009" t="s">
        <v>18829</v>
      </c>
    </row>
    <row r="18010" spans="6:8">
      <c r="H18010" t="s">
        <v>24491</v>
      </c>
    </row>
    <row r="18011" spans="6:8">
      <c r="H18011" t="s">
        <v>24492</v>
      </c>
    </row>
    <row r="18012" spans="6:8">
      <c r="H18012" t="s">
        <v>24493</v>
      </c>
    </row>
    <row r="18013" spans="6:8">
      <c r="H18013" t="s">
        <v>24494</v>
      </c>
    </row>
    <row r="18014" spans="6:8">
      <c r="H18014" t="s">
        <v>24495</v>
      </c>
    </row>
    <row r="18015" spans="6:8">
      <c r="H18015" t="s">
        <v>24496</v>
      </c>
    </row>
    <row r="18016" spans="6:8">
      <c r="H18016" t="s">
        <v>24497</v>
      </c>
    </row>
    <row r="18017" spans="6:8">
      <c r="H18017" t="s">
        <v>24498</v>
      </c>
    </row>
    <row r="18018" spans="6:8">
      <c r="H18018" t="s">
        <v>24499</v>
      </c>
    </row>
    <row r="18019" spans="6:8">
      <c r="F18019" t="s">
        <v>12509</v>
      </c>
      <c r="G18019" t="s">
        <v>16727</v>
      </c>
      <c r="H18019" t="s">
        <v>18829</v>
      </c>
    </row>
    <row r="18020" spans="6:8">
      <c r="H18020" t="s">
        <v>24500</v>
      </c>
    </row>
    <row r="18021" spans="6:8">
      <c r="H18021" t="s">
        <v>24501</v>
      </c>
    </row>
    <row r="18022" spans="6:8">
      <c r="H18022" t="s">
        <v>24502</v>
      </c>
    </row>
    <row r="18023" spans="6:8">
      <c r="H18023" t="s">
        <v>24503</v>
      </c>
    </row>
    <row r="18024" spans="6:8">
      <c r="H18024" t="s">
        <v>24504</v>
      </c>
    </row>
    <row r="18025" spans="6:8">
      <c r="H18025" t="s">
        <v>24505</v>
      </c>
    </row>
    <row r="18026" spans="6:8">
      <c r="H18026" t="s">
        <v>24506</v>
      </c>
    </row>
    <row r="18027" spans="6:8">
      <c r="H18027" t="s">
        <v>24507</v>
      </c>
    </row>
    <row r="18028" spans="6:8">
      <c r="H18028" t="s">
        <v>24508</v>
      </c>
    </row>
    <row r="18029" spans="6:8">
      <c r="F18029" t="s">
        <v>12510</v>
      </c>
      <c r="G18029" t="s">
        <v>16728</v>
      </c>
      <c r="H18029" t="s">
        <v>18829</v>
      </c>
    </row>
    <row r="18030" spans="6:8">
      <c r="H18030" t="s">
        <v>24509</v>
      </c>
    </row>
    <row r="18031" spans="6:8">
      <c r="H18031" t="s">
        <v>24510</v>
      </c>
    </row>
    <row r="18032" spans="6:8">
      <c r="H18032" t="s">
        <v>24511</v>
      </c>
    </row>
    <row r="18033" spans="6:8">
      <c r="H18033" t="s">
        <v>24512</v>
      </c>
    </row>
    <row r="18034" spans="6:8">
      <c r="H18034" t="s">
        <v>24513</v>
      </c>
    </row>
    <row r="18035" spans="6:8">
      <c r="H18035" t="s">
        <v>24514</v>
      </c>
    </row>
    <row r="18036" spans="6:8">
      <c r="H18036" t="s">
        <v>24515</v>
      </c>
    </row>
    <row r="18037" spans="6:8">
      <c r="H18037" t="s">
        <v>24516</v>
      </c>
    </row>
    <row r="18038" spans="6:8">
      <c r="H18038" t="s">
        <v>24517</v>
      </c>
    </row>
    <row r="18039" spans="6:8">
      <c r="F18039" t="s">
        <v>12511</v>
      </c>
      <c r="G18039" t="s">
        <v>16729</v>
      </c>
      <c r="H18039" t="s">
        <v>18829</v>
      </c>
    </row>
    <row r="18040" spans="6:8">
      <c r="H18040" t="s">
        <v>24518</v>
      </c>
    </row>
    <row r="18041" spans="6:8">
      <c r="H18041" t="s">
        <v>24519</v>
      </c>
    </row>
    <row r="18042" spans="6:8">
      <c r="H18042" t="s">
        <v>24520</v>
      </c>
    </row>
    <row r="18043" spans="6:8">
      <c r="H18043" t="s">
        <v>24521</v>
      </c>
    </row>
    <row r="18044" spans="6:8">
      <c r="H18044" t="s">
        <v>24522</v>
      </c>
    </row>
    <row r="18045" spans="6:8">
      <c r="H18045" t="s">
        <v>24523</v>
      </c>
    </row>
    <row r="18046" spans="6:8">
      <c r="H18046" t="s">
        <v>24524</v>
      </c>
    </row>
    <row r="18047" spans="6:8">
      <c r="H18047" t="s">
        <v>24525</v>
      </c>
    </row>
    <row r="18048" spans="6:8">
      <c r="H18048" t="s">
        <v>24526</v>
      </c>
    </row>
    <row r="18049" spans="6:8">
      <c r="F18049" t="s">
        <v>12512</v>
      </c>
      <c r="G18049" t="s">
        <v>16730</v>
      </c>
      <c r="H18049" t="s">
        <v>18829</v>
      </c>
    </row>
    <row r="18050" spans="6:8">
      <c r="H18050" t="s">
        <v>24527</v>
      </c>
    </row>
    <row r="18051" spans="6:8">
      <c r="H18051" t="s">
        <v>24528</v>
      </c>
    </row>
    <row r="18052" spans="6:8">
      <c r="H18052" t="s">
        <v>24529</v>
      </c>
    </row>
    <row r="18053" spans="6:8">
      <c r="H18053" t="s">
        <v>24530</v>
      </c>
    </row>
    <row r="18054" spans="6:8">
      <c r="H18054" t="s">
        <v>24531</v>
      </c>
    </row>
    <row r="18055" spans="6:8">
      <c r="H18055" t="s">
        <v>24532</v>
      </c>
    </row>
    <row r="18056" spans="6:8">
      <c r="H18056" t="s">
        <v>24533</v>
      </c>
    </row>
    <row r="18057" spans="6:8">
      <c r="H18057" t="s">
        <v>24534</v>
      </c>
    </row>
    <row r="18058" spans="6:8">
      <c r="H18058" t="s">
        <v>24535</v>
      </c>
    </row>
    <row r="18059" spans="6:8">
      <c r="F18059" t="s">
        <v>12513</v>
      </c>
      <c r="G18059" t="s">
        <v>16731</v>
      </c>
      <c r="H18059" t="s">
        <v>18829</v>
      </c>
    </row>
    <row r="18060" spans="6:8">
      <c r="H18060" t="s">
        <v>24536</v>
      </c>
    </row>
    <row r="18061" spans="6:8">
      <c r="H18061" t="s">
        <v>24537</v>
      </c>
    </row>
    <row r="18062" spans="6:8">
      <c r="H18062" t="s">
        <v>24538</v>
      </c>
    </row>
    <row r="18063" spans="6:8">
      <c r="H18063" t="s">
        <v>24539</v>
      </c>
    </row>
    <row r="18064" spans="6:8">
      <c r="H18064" t="s">
        <v>24540</v>
      </c>
    </row>
    <row r="18065" spans="6:8">
      <c r="H18065" t="s">
        <v>24541</v>
      </c>
    </row>
    <row r="18066" spans="6:8">
      <c r="H18066" t="s">
        <v>24542</v>
      </c>
    </row>
    <row r="18067" spans="6:8">
      <c r="H18067" t="s">
        <v>24543</v>
      </c>
    </row>
    <row r="18068" spans="6:8">
      <c r="H18068" t="s">
        <v>24544</v>
      </c>
    </row>
    <row r="18069" spans="6:8">
      <c r="F18069" t="s">
        <v>12514</v>
      </c>
      <c r="G18069" t="s">
        <v>16732</v>
      </c>
      <c r="H18069" t="s">
        <v>18829</v>
      </c>
    </row>
    <row r="18070" spans="6:8">
      <c r="H18070" t="s">
        <v>24545</v>
      </c>
    </row>
    <row r="18071" spans="6:8">
      <c r="H18071" t="s">
        <v>24546</v>
      </c>
    </row>
    <row r="18072" spans="6:8">
      <c r="H18072" t="s">
        <v>24547</v>
      </c>
    </row>
    <row r="18073" spans="6:8">
      <c r="H18073" t="s">
        <v>24548</v>
      </c>
    </row>
    <row r="18074" spans="6:8">
      <c r="H18074" t="s">
        <v>24549</v>
      </c>
    </row>
    <row r="18075" spans="6:8">
      <c r="H18075" t="s">
        <v>24550</v>
      </c>
    </row>
    <row r="18076" spans="6:8">
      <c r="H18076" t="s">
        <v>24551</v>
      </c>
    </row>
    <row r="18077" spans="6:8">
      <c r="H18077" t="s">
        <v>24552</v>
      </c>
    </row>
    <row r="18078" spans="6:8">
      <c r="H18078" t="s">
        <v>24553</v>
      </c>
    </row>
    <row r="18079" spans="6:8">
      <c r="F18079" t="s">
        <v>12515</v>
      </c>
      <c r="G18079" t="s">
        <v>16733</v>
      </c>
      <c r="H18079" t="s">
        <v>18829</v>
      </c>
    </row>
    <row r="18080" spans="6:8">
      <c r="H18080" t="s">
        <v>24554</v>
      </c>
    </row>
    <row r="18081" spans="6:8">
      <c r="H18081" t="s">
        <v>24555</v>
      </c>
    </row>
    <row r="18082" spans="6:8">
      <c r="H18082" t="s">
        <v>24556</v>
      </c>
    </row>
    <row r="18083" spans="6:8">
      <c r="H18083" t="s">
        <v>24557</v>
      </c>
    </row>
    <row r="18084" spans="6:8">
      <c r="H18084" t="s">
        <v>24558</v>
      </c>
    </row>
    <row r="18085" spans="6:8">
      <c r="H18085" t="s">
        <v>24559</v>
      </c>
    </row>
    <row r="18086" spans="6:8">
      <c r="H18086" t="s">
        <v>24560</v>
      </c>
    </row>
    <row r="18087" spans="6:8">
      <c r="H18087" t="s">
        <v>24561</v>
      </c>
    </row>
    <row r="18088" spans="6:8">
      <c r="H18088" t="s">
        <v>24562</v>
      </c>
    </row>
    <row r="18089" spans="6:8">
      <c r="F18089" t="s">
        <v>12516</v>
      </c>
      <c r="G18089" t="s">
        <v>16734</v>
      </c>
      <c r="H18089" t="s">
        <v>18829</v>
      </c>
    </row>
    <row r="18090" spans="6:8">
      <c r="H18090" t="s">
        <v>24563</v>
      </c>
    </row>
    <row r="18091" spans="6:8">
      <c r="H18091" t="s">
        <v>24564</v>
      </c>
    </row>
    <row r="18092" spans="6:8">
      <c r="H18092" t="s">
        <v>24565</v>
      </c>
    </row>
    <row r="18093" spans="6:8">
      <c r="H18093" t="s">
        <v>24566</v>
      </c>
    </row>
    <row r="18094" spans="6:8">
      <c r="H18094" t="s">
        <v>24567</v>
      </c>
    </row>
    <row r="18095" spans="6:8">
      <c r="H18095" t="s">
        <v>24568</v>
      </c>
    </row>
    <row r="18096" spans="6:8">
      <c r="H18096" t="s">
        <v>24569</v>
      </c>
    </row>
    <row r="18097" spans="6:8">
      <c r="H18097" t="s">
        <v>24570</v>
      </c>
    </row>
    <row r="18098" spans="6:8">
      <c r="H18098" t="s">
        <v>24571</v>
      </c>
    </row>
    <row r="18099" spans="6:8">
      <c r="F18099" t="s">
        <v>12517</v>
      </c>
      <c r="G18099" t="s">
        <v>16735</v>
      </c>
      <c r="H18099" t="s">
        <v>18829</v>
      </c>
    </row>
    <row r="18100" spans="6:8">
      <c r="H18100" t="s">
        <v>24572</v>
      </c>
    </row>
    <row r="18101" spans="6:8">
      <c r="H18101" t="s">
        <v>24573</v>
      </c>
    </row>
    <row r="18102" spans="6:8">
      <c r="H18102" t="s">
        <v>24574</v>
      </c>
    </row>
    <row r="18103" spans="6:8">
      <c r="H18103" t="s">
        <v>24575</v>
      </c>
    </row>
    <row r="18104" spans="6:8">
      <c r="H18104" t="s">
        <v>24576</v>
      </c>
    </row>
    <row r="18105" spans="6:8">
      <c r="H18105" t="s">
        <v>24577</v>
      </c>
    </row>
    <row r="18106" spans="6:8">
      <c r="H18106" t="s">
        <v>24578</v>
      </c>
    </row>
    <row r="18107" spans="6:8">
      <c r="H18107" t="s">
        <v>24579</v>
      </c>
    </row>
    <row r="18108" spans="6:8">
      <c r="H18108" t="s">
        <v>24580</v>
      </c>
    </row>
    <row r="18109" spans="6:8">
      <c r="F18109" t="s">
        <v>12518</v>
      </c>
      <c r="G18109" t="s">
        <v>16736</v>
      </c>
      <c r="H18109" t="s">
        <v>18829</v>
      </c>
    </row>
    <row r="18110" spans="6:8">
      <c r="H18110" t="s">
        <v>24581</v>
      </c>
    </row>
    <row r="18111" spans="6:8">
      <c r="H18111" t="s">
        <v>24582</v>
      </c>
    </row>
    <row r="18112" spans="6:8">
      <c r="H18112" t="s">
        <v>24583</v>
      </c>
    </row>
    <row r="18113" spans="6:8">
      <c r="H18113" t="s">
        <v>24584</v>
      </c>
    </row>
    <row r="18114" spans="6:8">
      <c r="H18114" t="s">
        <v>24585</v>
      </c>
    </row>
    <row r="18115" spans="6:8">
      <c r="H18115" t="s">
        <v>24586</v>
      </c>
    </row>
    <row r="18116" spans="6:8">
      <c r="H18116" t="s">
        <v>24587</v>
      </c>
    </row>
    <row r="18117" spans="6:8">
      <c r="H18117" t="s">
        <v>24588</v>
      </c>
    </row>
    <row r="18118" spans="6:8">
      <c r="H18118" t="s">
        <v>24589</v>
      </c>
    </row>
    <row r="18119" spans="6:8">
      <c r="F18119" t="s">
        <v>12519</v>
      </c>
      <c r="G18119" t="s">
        <v>16737</v>
      </c>
      <c r="H18119" t="s">
        <v>18829</v>
      </c>
    </row>
    <row r="18120" spans="6:8">
      <c r="H18120" t="s">
        <v>24590</v>
      </c>
    </row>
    <row r="18121" spans="6:8">
      <c r="H18121" t="s">
        <v>24591</v>
      </c>
    </row>
    <row r="18122" spans="6:8">
      <c r="H18122" t="s">
        <v>24592</v>
      </c>
    </row>
    <row r="18123" spans="6:8">
      <c r="H18123" t="s">
        <v>24593</v>
      </c>
    </row>
    <row r="18124" spans="6:8">
      <c r="H18124" t="s">
        <v>24594</v>
      </c>
    </row>
    <row r="18125" spans="6:8">
      <c r="H18125" t="s">
        <v>24595</v>
      </c>
    </row>
    <row r="18126" spans="6:8">
      <c r="H18126" t="s">
        <v>24596</v>
      </c>
    </row>
    <row r="18127" spans="6:8">
      <c r="H18127" t="s">
        <v>24597</v>
      </c>
    </row>
    <row r="18128" spans="6:8">
      <c r="H18128" t="s">
        <v>24598</v>
      </c>
    </row>
    <row r="18129" spans="6:8">
      <c r="F18129" t="s">
        <v>12520</v>
      </c>
      <c r="G18129" t="s">
        <v>16738</v>
      </c>
      <c r="H18129" t="s">
        <v>18829</v>
      </c>
    </row>
    <row r="18130" spans="6:8">
      <c r="H18130" t="s">
        <v>24599</v>
      </c>
    </row>
    <row r="18131" spans="6:8">
      <c r="H18131" t="s">
        <v>24600</v>
      </c>
    </row>
    <row r="18132" spans="6:8">
      <c r="H18132" t="s">
        <v>24601</v>
      </c>
    </row>
    <row r="18133" spans="6:8">
      <c r="H18133" t="s">
        <v>24602</v>
      </c>
    </row>
    <row r="18134" spans="6:8">
      <c r="H18134" t="s">
        <v>24603</v>
      </c>
    </row>
    <row r="18135" spans="6:8">
      <c r="H18135" t="s">
        <v>24604</v>
      </c>
    </row>
    <row r="18136" spans="6:8">
      <c r="H18136" t="s">
        <v>24605</v>
      </c>
    </row>
    <row r="18137" spans="6:8">
      <c r="H18137" t="s">
        <v>24606</v>
      </c>
    </row>
    <row r="18138" spans="6:8">
      <c r="H18138" t="s">
        <v>24607</v>
      </c>
    </row>
    <row r="18139" spans="6:8">
      <c r="F18139" t="s">
        <v>12521</v>
      </c>
      <c r="G18139" t="s">
        <v>16739</v>
      </c>
      <c r="H18139" t="s">
        <v>18829</v>
      </c>
    </row>
    <row r="18140" spans="6:8">
      <c r="H18140" t="s">
        <v>24608</v>
      </c>
    </row>
    <row r="18141" spans="6:8">
      <c r="H18141" t="s">
        <v>24609</v>
      </c>
    </row>
    <row r="18142" spans="6:8">
      <c r="H18142" t="s">
        <v>24610</v>
      </c>
    </row>
    <row r="18143" spans="6:8">
      <c r="H18143" t="s">
        <v>24611</v>
      </c>
    </row>
    <row r="18144" spans="6:8">
      <c r="H18144" t="s">
        <v>24612</v>
      </c>
    </row>
    <row r="18145" spans="6:8">
      <c r="H18145" t="s">
        <v>24613</v>
      </c>
    </row>
    <row r="18146" spans="6:8">
      <c r="H18146" t="s">
        <v>24614</v>
      </c>
    </row>
    <row r="18147" spans="6:8">
      <c r="H18147" t="s">
        <v>24615</v>
      </c>
    </row>
    <row r="18148" spans="6:8">
      <c r="H18148" t="s">
        <v>24616</v>
      </c>
    </row>
    <row r="18149" spans="6:8">
      <c r="F18149" t="s">
        <v>12522</v>
      </c>
      <c r="G18149" t="s">
        <v>16740</v>
      </c>
      <c r="H18149" t="s">
        <v>18829</v>
      </c>
    </row>
    <row r="18150" spans="6:8">
      <c r="H18150" t="s">
        <v>24617</v>
      </c>
    </row>
    <row r="18151" spans="6:8">
      <c r="H18151" t="s">
        <v>24618</v>
      </c>
    </row>
    <row r="18152" spans="6:8">
      <c r="H18152" t="s">
        <v>24619</v>
      </c>
    </row>
    <row r="18153" spans="6:8">
      <c r="H18153" t="s">
        <v>24620</v>
      </c>
    </row>
    <row r="18154" spans="6:8">
      <c r="H18154" t="s">
        <v>24621</v>
      </c>
    </row>
    <row r="18155" spans="6:8">
      <c r="H18155" t="s">
        <v>24622</v>
      </c>
    </row>
    <row r="18156" spans="6:8">
      <c r="H18156" t="s">
        <v>24623</v>
      </c>
    </row>
    <row r="18157" spans="6:8">
      <c r="H18157" t="s">
        <v>24624</v>
      </c>
    </row>
    <row r="18158" spans="6:8">
      <c r="H18158" t="s">
        <v>24625</v>
      </c>
    </row>
    <row r="18159" spans="6:8">
      <c r="F18159" t="s">
        <v>12523</v>
      </c>
      <c r="G18159" t="s">
        <v>16741</v>
      </c>
      <c r="H18159" t="s">
        <v>18829</v>
      </c>
    </row>
    <row r="18160" spans="6:8">
      <c r="H18160" t="s">
        <v>24626</v>
      </c>
    </row>
    <row r="18161" spans="6:8">
      <c r="H18161" t="s">
        <v>24627</v>
      </c>
    </row>
    <row r="18162" spans="6:8">
      <c r="H18162" t="s">
        <v>24628</v>
      </c>
    </row>
    <row r="18163" spans="6:8">
      <c r="H18163" t="s">
        <v>24629</v>
      </c>
    </row>
    <row r="18164" spans="6:8">
      <c r="H18164" t="s">
        <v>24630</v>
      </c>
    </row>
    <row r="18165" spans="6:8">
      <c r="H18165" t="s">
        <v>24631</v>
      </c>
    </row>
    <row r="18166" spans="6:8">
      <c r="H18166" t="s">
        <v>24632</v>
      </c>
    </row>
    <row r="18167" spans="6:8">
      <c r="H18167" t="s">
        <v>24633</v>
      </c>
    </row>
    <row r="18168" spans="6:8">
      <c r="H18168" t="s">
        <v>24634</v>
      </c>
    </row>
    <row r="18169" spans="6:8">
      <c r="F18169" t="s">
        <v>12524</v>
      </c>
      <c r="G18169" t="s">
        <v>16742</v>
      </c>
      <c r="H18169" t="s">
        <v>18829</v>
      </c>
    </row>
    <row r="18170" spans="6:8">
      <c r="H18170" t="s">
        <v>24635</v>
      </c>
    </row>
    <row r="18171" spans="6:8">
      <c r="H18171" t="s">
        <v>24636</v>
      </c>
    </row>
    <row r="18172" spans="6:8">
      <c r="H18172" t="s">
        <v>24637</v>
      </c>
    </row>
    <row r="18173" spans="6:8">
      <c r="H18173" t="s">
        <v>24638</v>
      </c>
    </row>
    <row r="18174" spans="6:8">
      <c r="H18174" t="s">
        <v>24639</v>
      </c>
    </row>
    <row r="18175" spans="6:8">
      <c r="H18175" t="s">
        <v>24640</v>
      </c>
    </row>
    <row r="18176" spans="6:8">
      <c r="H18176" t="s">
        <v>24641</v>
      </c>
    </row>
    <row r="18177" spans="6:8">
      <c r="H18177" t="s">
        <v>24642</v>
      </c>
    </row>
    <row r="18178" spans="6:8">
      <c r="H18178" t="s">
        <v>24643</v>
      </c>
    </row>
    <row r="18179" spans="6:8">
      <c r="F18179" t="s">
        <v>12525</v>
      </c>
      <c r="G18179" t="s">
        <v>16743</v>
      </c>
      <c r="H18179" t="s">
        <v>18829</v>
      </c>
    </row>
    <row r="18180" spans="6:8">
      <c r="H18180" t="s">
        <v>24644</v>
      </c>
    </row>
    <row r="18181" spans="6:8">
      <c r="H18181" t="s">
        <v>24645</v>
      </c>
    </row>
    <row r="18182" spans="6:8">
      <c r="H18182" t="s">
        <v>24646</v>
      </c>
    </row>
    <row r="18183" spans="6:8">
      <c r="H18183" t="s">
        <v>24647</v>
      </c>
    </row>
    <row r="18184" spans="6:8">
      <c r="H18184" t="s">
        <v>24648</v>
      </c>
    </row>
    <row r="18185" spans="6:8">
      <c r="H18185" t="s">
        <v>24649</v>
      </c>
    </row>
    <row r="18186" spans="6:8">
      <c r="H18186" t="s">
        <v>24650</v>
      </c>
    </row>
    <row r="18187" spans="6:8">
      <c r="H18187" t="s">
        <v>24651</v>
      </c>
    </row>
    <row r="18188" spans="6:8">
      <c r="H18188" t="s">
        <v>24652</v>
      </c>
    </row>
    <row r="18189" spans="6:8">
      <c r="F18189" t="s">
        <v>12526</v>
      </c>
      <c r="G18189" t="s">
        <v>16744</v>
      </c>
      <c r="H18189" t="s">
        <v>18829</v>
      </c>
    </row>
    <row r="18190" spans="6:8">
      <c r="H18190" t="s">
        <v>24653</v>
      </c>
    </row>
    <row r="18191" spans="6:8">
      <c r="H18191" t="s">
        <v>24654</v>
      </c>
    </row>
    <row r="18192" spans="6:8">
      <c r="H18192" t="s">
        <v>24655</v>
      </c>
    </row>
    <row r="18193" spans="6:8">
      <c r="H18193" t="s">
        <v>24656</v>
      </c>
    </row>
    <row r="18194" spans="6:8">
      <c r="H18194" t="s">
        <v>24657</v>
      </c>
    </row>
    <row r="18195" spans="6:8">
      <c r="H18195" t="s">
        <v>24658</v>
      </c>
    </row>
    <row r="18196" spans="6:8">
      <c r="H18196" t="s">
        <v>24659</v>
      </c>
    </row>
    <row r="18197" spans="6:8">
      <c r="H18197" t="s">
        <v>24660</v>
      </c>
    </row>
    <row r="18198" spans="6:8">
      <c r="H18198" t="s">
        <v>24661</v>
      </c>
    </row>
    <row r="18199" spans="6:8">
      <c r="F18199" t="s">
        <v>12527</v>
      </c>
      <c r="G18199" t="s">
        <v>16745</v>
      </c>
      <c r="H18199" t="s">
        <v>18829</v>
      </c>
    </row>
    <row r="18200" spans="6:8">
      <c r="H18200" t="s">
        <v>24662</v>
      </c>
    </row>
    <row r="18201" spans="6:8">
      <c r="H18201" t="s">
        <v>24663</v>
      </c>
    </row>
    <row r="18202" spans="6:8">
      <c r="H18202" t="s">
        <v>24664</v>
      </c>
    </row>
    <row r="18203" spans="6:8">
      <c r="H18203" t="s">
        <v>24665</v>
      </c>
    </row>
    <row r="18204" spans="6:8">
      <c r="H18204" t="s">
        <v>24666</v>
      </c>
    </row>
    <row r="18205" spans="6:8">
      <c r="H18205" t="s">
        <v>24667</v>
      </c>
    </row>
    <row r="18206" spans="6:8">
      <c r="H18206" t="s">
        <v>24668</v>
      </c>
    </row>
    <row r="18207" spans="6:8">
      <c r="H18207" t="s">
        <v>24669</v>
      </c>
    </row>
    <row r="18208" spans="6:8">
      <c r="H18208" t="s">
        <v>24670</v>
      </c>
    </row>
    <row r="18209" spans="6:8">
      <c r="F18209" t="s">
        <v>12528</v>
      </c>
      <c r="G18209" t="s">
        <v>16746</v>
      </c>
      <c r="H18209" t="s">
        <v>18829</v>
      </c>
    </row>
    <row r="18210" spans="6:8">
      <c r="H18210" t="s">
        <v>24671</v>
      </c>
    </row>
    <row r="18211" spans="6:8">
      <c r="H18211" t="s">
        <v>24672</v>
      </c>
    </row>
    <row r="18212" spans="6:8">
      <c r="H18212" t="s">
        <v>24673</v>
      </c>
    </row>
    <row r="18213" spans="6:8">
      <c r="H18213" t="s">
        <v>24674</v>
      </c>
    </row>
    <row r="18214" spans="6:8">
      <c r="H18214" t="s">
        <v>24675</v>
      </c>
    </row>
    <row r="18215" spans="6:8">
      <c r="H18215" t="s">
        <v>24676</v>
      </c>
    </row>
    <row r="18216" spans="6:8">
      <c r="H18216" t="s">
        <v>24677</v>
      </c>
    </row>
    <row r="18217" spans="6:8">
      <c r="H18217" t="s">
        <v>24678</v>
      </c>
    </row>
    <row r="18218" spans="6:8">
      <c r="H18218" t="s">
        <v>24679</v>
      </c>
    </row>
    <row r="18219" spans="6:8">
      <c r="F18219" t="s">
        <v>12529</v>
      </c>
      <c r="G18219" t="s">
        <v>16747</v>
      </c>
      <c r="H18219" t="s">
        <v>18829</v>
      </c>
    </row>
    <row r="18220" spans="6:8">
      <c r="H18220" t="s">
        <v>24680</v>
      </c>
    </row>
    <row r="18221" spans="6:8">
      <c r="H18221" t="s">
        <v>24681</v>
      </c>
    </row>
    <row r="18222" spans="6:8">
      <c r="H18222" t="s">
        <v>24682</v>
      </c>
    </row>
    <row r="18223" spans="6:8">
      <c r="H18223" t="s">
        <v>24683</v>
      </c>
    </row>
    <row r="18224" spans="6:8">
      <c r="H18224" t="s">
        <v>24684</v>
      </c>
    </row>
    <row r="18225" spans="6:8">
      <c r="H18225" t="s">
        <v>24685</v>
      </c>
    </row>
    <row r="18226" spans="6:8">
      <c r="H18226" t="s">
        <v>24686</v>
      </c>
    </row>
    <row r="18227" spans="6:8">
      <c r="H18227" t="s">
        <v>24687</v>
      </c>
    </row>
    <row r="18228" spans="6:8">
      <c r="H18228" t="s">
        <v>24688</v>
      </c>
    </row>
    <row r="18229" spans="6:8">
      <c r="F18229" t="s">
        <v>12530</v>
      </c>
      <c r="G18229" t="s">
        <v>16748</v>
      </c>
      <c r="H18229" t="s">
        <v>18829</v>
      </c>
    </row>
    <row r="18230" spans="6:8">
      <c r="H18230" t="s">
        <v>24689</v>
      </c>
    </row>
    <row r="18231" spans="6:8">
      <c r="H18231" t="s">
        <v>24690</v>
      </c>
    </row>
    <row r="18232" spans="6:8">
      <c r="H18232" t="s">
        <v>24691</v>
      </c>
    </row>
    <row r="18233" spans="6:8">
      <c r="H18233" t="s">
        <v>24692</v>
      </c>
    </row>
    <row r="18234" spans="6:8">
      <c r="H18234" t="s">
        <v>24693</v>
      </c>
    </row>
    <row r="18235" spans="6:8">
      <c r="H18235" t="s">
        <v>24694</v>
      </c>
    </row>
    <row r="18236" spans="6:8">
      <c r="H18236" t="s">
        <v>24695</v>
      </c>
    </row>
    <row r="18237" spans="6:8">
      <c r="H18237" t="s">
        <v>24696</v>
      </c>
    </row>
    <row r="18238" spans="6:8">
      <c r="H18238" t="s">
        <v>24697</v>
      </c>
    </row>
    <row r="18239" spans="6:8">
      <c r="F18239" t="s">
        <v>12531</v>
      </c>
      <c r="G18239" t="s">
        <v>16749</v>
      </c>
      <c r="H18239" t="s">
        <v>18829</v>
      </c>
    </row>
    <row r="18240" spans="6:8">
      <c r="H18240" t="s">
        <v>24698</v>
      </c>
    </row>
    <row r="18241" spans="6:8">
      <c r="H18241" t="s">
        <v>24699</v>
      </c>
    </row>
    <row r="18242" spans="6:8">
      <c r="H18242" t="s">
        <v>24700</v>
      </c>
    </row>
    <row r="18243" spans="6:8">
      <c r="H18243" t="s">
        <v>24701</v>
      </c>
    </row>
    <row r="18244" spans="6:8">
      <c r="H18244" t="s">
        <v>24702</v>
      </c>
    </row>
    <row r="18245" spans="6:8">
      <c r="H18245" t="s">
        <v>24703</v>
      </c>
    </row>
    <row r="18246" spans="6:8">
      <c r="H18246" t="s">
        <v>24704</v>
      </c>
    </row>
    <row r="18247" spans="6:8">
      <c r="H18247" t="s">
        <v>24705</v>
      </c>
    </row>
    <row r="18248" spans="6:8">
      <c r="H18248" t="s">
        <v>24706</v>
      </c>
    </row>
    <row r="18249" spans="6:8">
      <c r="F18249" t="s">
        <v>12532</v>
      </c>
      <c r="G18249" t="s">
        <v>16750</v>
      </c>
      <c r="H18249" t="s">
        <v>18829</v>
      </c>
    </row>
    <row r="18250" spans="6:8">
      <c r="H18250" t="s">
        <v>24707</v>
      </c>
    </row>
    <row r="18251" spans="6:8">
      <c r="H18251" t="s">
        <v>24708</v>
      </c>
    </row>
    <row r="18252" spans="6:8">
      <c r="H18252" t="s">
        <v>24709</v>
      </c>
    </row>
    <row r="18253" spans="6:8">
      <c r="H18253" t="s">
        <v>24710</v>
      </c>
    </row>
    <row r="18254" spans="6:8">
      <c r="H18254" t="s">
        <v>24711</v>
      </c>
    </row>
    <row r="18255" spans="6:8">
      <c r="H18255" t="s">
        <v>24712</v>
      </c>
    </row>
    <row r="18256" spans="6:8">
      <c r="H18256" t="s">
        <v>24713</v>
      </c>
    </row>
    <row r="18257" spans="6:8">
      <c r="H18257" t="s">
        <v>24714</v>
      </c>
    </row>
    <row r="18258" spans="6:8">
      <c r="H18258" t="s">
        <v>24715</v>
      </c>
    </row>
    <row r="18259" spans="6:8">
      <c r="F18259" t="s">
        <v>12533</v>
      </c>
      <c r="G18259" t="s">
        <v>16751</v>
      </c>
      <c r="H18259" t="s">
        <v>18829</v>
      </c>
    </row>
    <row r="18260" spans="6:8">
      <c r="H18260" t="s">
        <v>24716</v>
      </c>
    </row>
    <row r="18261" spans="6:8">
      <c r="H18261" t="s">
        <v>24717</v>
      </c>
    </row>
    <row r="18262" spans="6:8">
      <c r="H18262" t="s">
        <v>24718</v>
      </c>
    </row>
    <row r="18263" spans="6:8">
      <c r="H18263" t="s">
        <v>24719</v>
      </c>
    </row>
    <row r="18264" spans="6:8">
      <c r="H18264" t="s">
        <v>24720</v>
      </c>
    </row>
    <row r="18265" spans="6:8">
      <c r="H18265" t="s">
        <v>24721</v>
      </c>
    </row>
    <row r="18266" spans="6:8">
      <c r="H18266" t="s">
        <v>24722</v>
      </c>
    </row>
    <row r="18267" spans="6:8">
      <c r="H18267" t="s">
        <v>24723</v>
      </c>
    </row>
    <row r="18268" spans="6:8">
      <c r="H18268" t="s">
        <v>24724</v>
      </c>
    </row>
    <row r="18269" spans="6:8">
      <c r="F18269" t="s">
        <v>12534</v>
      </c>
      <c r="G18269" t="s">
        <v>16752</v>
      </c>
      <c r="H18269" t="s">
        <v>18829</v>
      </c>
    </row>
    <row r="18270" spans="6:8">
      <c r="H18270" t="s">
        <v>24725</v>
      </c>
    </row>
    <row r="18271" spans="6:8">
      <c r="H18271" t="s">
        <v>24726</v>
      </c>
    </row>
    <row r="18272" spans="6:8">
      <c r="H18272" t="s">
        <v>24727</v>
      </c>
    </row>
    <row r="18273" spans="6:8">
      <c r="H18273" t="s">
        <v>24728</v>
      </c>
    </row>
    <row r="18274" spans="6:8">
      <c r="H18274" t="s">
        <v>24729</v>
      </c>
    </row>
    <row r="18275" spans="6:8">
      <c r="H18275" t="s">
        <v>24730</v>
      </c>
    </row>
    <row r="18276" spans="6:8">
      <c r="H18276" t="s">
        <v>24731</v>
      </c>
    </row>
    <row r="18277" spans="6:8">
      <c r="H18277" t="s">
        <v>24732</v>
      </c>
    </row>
    <row r="18278" spans="6:8">
      <c r="H18278" t="s">
        <v>24733</v>
      </c>
    </row>
    <row r="18279" spans="6:8">
      <c r="F18279" t="s">
        <v>12535</v>
      </c>
      <c r="G18279" t="s">
        <v>16753</v>
      </c>
      <c r="H18279" t="s">
        <v>18829</v>
      </c>
    </row>
    <row r="18280" spans="6:8">
      <c r="H18280" t="s">
        <v>24734</v>
      </c>
    </row>
    <row r="18281" spans="6:8">
      <c r="H18281" t="s">
        <v>24735</v>
      </c>
    </row>
    <row r="18282" spans="6:8">
      <c r="H18282" t="s">
        <v>24736</v>
      </c>
    </row>
    <row r="18283" spans="6:8">
      <c r="H18283" t="s">
        <v>24737</v>
      </c>
    </row>
    <row r="18284" spans="6:8">
      <c r="H18284" t="s">
        <v>24738</v>
      </c>
    </row>
    <row r="18285" spans="6:8">
      <c r="H18285" t="s">
        <v>24739</v>
      </c>
    </row>
    <row r="18286" spans="6:8">
      <c r="H18286" t="s">
        <v>24740</v>
      </c>
    </row>
    <row r="18287" spans="6:8">
      <c r="H18287" t="s">
        <v>24741</v>
      </c>
    </row>
    <row r="18288" spans="6:8">
      <c r="H18288" t="s">
        <v>24742</v>
      </c>
    </row>
    <row r="18289" spans="6:8">
      <c r="F18289" t="s">
        <v>12536</v>
      </c>
      <c r="G18289" t="s">
        <v>16754</v>
      </c>
      <c r="H18289" t="s">
        <v>18829</v>
      </c>
    </row>
    <row r="18290" spans="6:8">
      <c r="H18290" t="s">
        <v>24743</v>
      </c>
    </row>
    <row r="18291" spans="6:8">
      <c r="H18291" t="s">
        <v>24744</v>
      </c>
    </row>
    <row r="18292" spans="6:8">
      <c r="H18292" t="s">
        <v>24745</v>
      </c>
    </row>
    <row r="18293" spans="6:8">
      <c r="H18293" t="s">
        <v>24746</v>
      </c>
    </row>
    <row r="18294" spans="6:8">
      <c r="H18294" t="s">
        <v>24747</v>
      </c>
    </row>
    <row r="18295" spans="6:8">
      <c r="H18295" t="s">
        <v>24748</v>
      </c>
    </row>
    <row r="18296" spans="6:8">
      <c r="H18296" t="s">
        <v>24749</v>
      </c>
    </row>
    <row r="18297" spans="6:8">
      <c r="H18297" t="s">
        <v>24750</v>
      </c>
    </row>
    <row r="18298" spans="6:8">
      <c r="H18298" t="s">
        <v>24751</v>
      </c>
    </row>
    <row r="18299" spans="6:8">
      <c r="F18299" t="s">
        <v>12537</v>
      </c>
      <c r="G18299" t="s">
        <v>16755</v>
      </c>
      <c r="H18299" t="s">
        <v>18829</v>
      </c>
    </row>
    <row r="18300" spans="6:8">
      <c r="H18300" t="s">
        <v>24752</v>
      </c>
    </row>
    <row r="18301" spans="6:8">
      <c r="H18301" t="s">
        <v>24753</v>
      </c>
    </row>
    <row r="18302" spans="6:8">
      <c r="H18302" t="s">
        <v>24754</v>
      </c>
    </row>
    <row r="18303" spans="6:8">
      <c r="H18303" t="s">
        <v>24755</v>
      </c>
    </row>
    <row r="18304" spans="6:8">
      <c r="H18304" t="s">
        <v>24756</v>
      </c>
    </row>
    <row r="18305" spans="6:8">
      <c r="H18305" t="s">
        <v>24757</v>
      </c>
    </row>
    <row r="18306" spans="6:8">
      <c r="H18306" t="s">
        <v>24758</v>
      </c>
    </row>
    <row r="18307" spans="6:8">
      <c r="H18307" t="s">
        <v>24759</v>
      </c>
    </row>
    <row r="18308" spans="6:8">
      <c r="H18308" t="s">
        <v>20408</v>
      </c>
    </row>
    <row r="18309" spans="6:8">
      <c r="F18309" t="s">
        <v>12538</v>
      </c>
      <c r="G18309" t="s">
        <v>16756</v>
      </c>
      <c r="H18309" t="s">
        <v>18829</v>
      </c>
    </row>
    <row r="18310" spans="6:8">
      <c r="H18310" t="s">
        <v>24760</v>
      </c>
    </row>
    <row r="18311" spans="6:8">
      <c r="H18311" t="s">
        <v>24761</v>
      </c>
    </row>
    <row r="18312" spans="6:8">
      <c r="H18312" t="s">
        <v>24762</v>
      </c>
    </row>
    <row r="18313" spans="6:8">
      <c r="H18313" t="s">
        <v>24763</v>
      </c>
    </row>
    <row r="18314" spans="6:8">
      <c r="H18314" t="s">
        <v>24764</v>
      </c>
    </row>
    <row r="18315" spans="6:8">
      <c r="H18315" t="s">
        <v>24765</v>
      </c>
    </row>
    <row r="18316" spans="6:8">
      <c r="H18316" t="s">
        <v>24766</v>
      </c>
    </row>
    <row r="18317" spans="6:8">
      <c r="H18317" t="s">
        <v>24767</v>
      </c>
    </row>
    <row r="18318" spans="6:8">
      <c r="H18318" t="s">
        <v>24768</v>
      </c>
    </row>
    <row r="18319" spans="6:8">
      <c r="F18319" t="s">
        <v>12539</v>
      </c>
      <c r="G18319" t="s">
        <v>16539</v>
      </c>
      <c r="H18319" t="s">
        <v>18829</v>
      </c>
    </row>
    <row r="18320" spans="6:8">
      <c r="H18320" t="s">
        <v>24769</v>
      </c>
    </row>
    <row r="18321" spans="6:8">
      <c r="H18321" t="s">
        <v>21980</v>
      </c>
    </row>
    <row r="18322" spans="6:8">
      <c r="H18322" t="s">
        <v>24770</v>
      </c>
    </row>
    <row r="18323" spans="6:8">
      <c r="H18323" t="s">
        <v>21981</v>
      </c>
    </row>
    <row r="18324" spans="6:8">
      <c r="H18324" t="s">
        <v>24771</v>
      </c>
    </row>
    <row r="18325" spans="6:8">
      <c r="H18325" t="s">
        <v>21982</v>
      </c>
    </row>
    <row r="18326" spans="6:8">
      <c r="H18326" t="s">
        <v>24772</v>
      </c>
    </row>
    <row r="18327" spans="6:8">
      <c r="H18327" t="s">
        <v>21983</v>
      </c>
    </row>
    <row r="18328" spans="6:8">
      <c r="H18328" t="s">
        <v>24773</v>
      </c>
    </row>
    <row r="18329" spans="6:8">
      <c r="F18329" t="s">
        <v>12540</v>
      </c>
      <c r="G18329" t="s">
        <v>16757</v>
      </c>
      <c r="H18329" t="s">
        <v>18829</v>
      </c>
    </row>
    <row r="18330" spans="6:8">
      <c r="H18330" t="s">
        <v>24774</v>
      </c>
    </row>
    <row r="18331" spans="6:8">
      <c r="H18331" t="s">
        <v>24775</v>
      </c>
    </row>
    <row r="18332" spans="6:8">
      <c r="H18332" t="s">
        <v>24776</v>
      </c>
    </row>
    <row r="18333" spans="6:8">
      <c r="H18333" t="s">
        <v>24777</v>
      </c>
    </row>
    <row r="18334" spans="6:8">
      <c r="H18334" t="s">
        <v>24778</v>
      </c>
    </row>
    <row r="18335" spans="6:8">
      <c r="H18335" t="s">
        <v>24779</v>
      </c>
    </row>
    <row r="18336" spans="6:8">
      <c r="H18336" t="s">
        <v>24780</v>
      </c>
    </row>
    <row r="18337" spans="6:8">
      <c r="H18337" t="s">
        <v>24781</v>
      </c>
    </row>
    <row r="18338" spans="6:8">
      <c r="H18338" t="s">
        <v>24782</v>
      </c>
    </row>
    <row r="18339" spans="6:8">
      <c r="F18339" t="s">
        <v>12541</v>
      </c>
      <c r="G18339" t="s">
        <v>16758</v>
      </c>
      <c r="H18339" t="s">
        <v>18829</v>
      </c>
    </row>
    <row r="18340" spans="6:8">
      <c r="H18340" t="s">
        <v>24783</v>
      </c>
    </row>
    <row r="18341" spans="6:8">
      <c r="H18341" t="s">
        <v>24784</v>
      </c>
    </row>
    <row r="18342" spans="6:8">
      <c r="H18342" t="s">
        <v>24785</v>
      </c>
    </row>
    <row r="18343" spans="6:8">
      <c r="H18343" t="s">
        <v>24786</v>
      </c>
    </row>
    <row r="18344" spans="6:8">
      <c r="H18344" t="s">
        <v>24787</v>
      </c>
    </row>
    <row r="18345" spans="6:8">
      <c r="H18345" t="s">
        <v>24788</v>
      </c>
    </row>
    <row r="18346" spans="6:8">
      <c r="H18346" t="s">
        <v>24789</v>
      </c>
    </row>
    <row r="18347" spans="6:8">
      <c r="H18347" t="s">
        <v>24790</v>
      </c>
    </row>
    <row r="18348" spans="6:8">
      <c r="H18348" t="s">
        <v>24791</v>
      </c>
    </row>
    <row r="18349" spans="6:8">
      <c r="F18349" t="s">
        <v>12542</v>
      </c>
      <c r="G18349" t="s">
        <v>16759</v>
      </c>
      <c r="H18349" t="s">
        <v>18829</v>
      </c>
    </row>
    <row r="18350" spans="6:8">
      <c r="H18350" t="s">
        <v>24792</v>
      </c>
    </row>
    <row r="18351" spans="6:8">
      <c r="H18351" t="s">
        <v>24793</v>
      </c>
    </row>
    <row r="18352" spans="6:8">
      <c r="H18352" t="s">
        <v>24794</v>
      </c>
    </row>
    <row r="18353" spans="6:8">
      <c r="H18353" t="s">
        <v>24795</v>
      </c>
    </row>
    <row r="18354" spans="6:8">
      <c r="H18354" t="s">
        <v>24796</v>
      </c>
    </row>
    <row r="18355" spans="6:8">
      <c r="H18355" t="s">
        <v>24797</v>
      </c>
    </row>
    <row r="18356" spans="6:8">
      <c r="H18356" t="s">
        <v>24798</v>
      </c>
    </row>
    <row r="18357" spans="6:8">
      <c r="H18357" t="s">
        <v>24799</v>
      </c>
    </row>
    <row r="18358" spans="6:8">
      <c r="H18358" t="s">
        <v>24800</v>
      </c>
    </row>
    <row r="18359" spans="6:8">
      <c r="F18359" t="s">
        <v>12543</v>
      </c>
      <c r="G18359" t="s">
        <v>16760</v>
      </c>
      <c r="H18359" t="s">
        <v>18829</v>
      </c>
    </row>
    <row r="18360" spans="6:8">
      <c r="H18360" t="s">
        <v>24801</v>
      </c>
    </row>
    <row r="18361" spans="6:8">
      <c r="H18361" t="s">
        <v>24802</v>
      </c>
    </row>
    <row r="18362" spans="6:8">
      <c r="H18362" t="s">
        <v>24803</v>
      </c>
    </row>
    <row r="18363" spans="6:8">
      <c r="H18363" t="s">
        <v>24804</v>
      </c>
    </row>
    <row r="18364" spans="6:8">
      <c r="H18364" t="s">
        <v>24805</v>
      </c>
    </row>
    <row r="18365" spans="6:8">
      <c r="H18365" t="s">
        <v>24806</v>
      </c>
    </row>
    <row r="18366" spans="6:8">
      <c r="H18366" t="s">
        <v>24807</v>
      </c>
    </row>
    <row r="18367" spans="6:8">
      <c r="H18367" t="s">
        <v>24808</v>
      </c>
    </row>
    <row r="18368" spans="6:8">
      <c r="H18368" t="s">
        <v>24809</v>
      </c>
    </row>
    <row r="18369" spans="6:8">
      <c r="F18369" t="s">
        <v>12544</v>
      </c>
      <c r="G18369" t="s">
        <v>16761</v>
      </c>
      <c r="H18369" t="s">
        <v>18829</v>
      </c>
    </row>
    <row r="18370" spans="6:8">
      <c r="H18370" t="s">
        <v>24810</v>
      </c>
    </row>
    <row r="18371" spans="6:8">
      <c r="H18371" t="s">
        <v>24811</v>
      </c>
    </row>
    <row r="18372" spans="6:8">
      <c r="H18372" t="s">
        <v>24812</v>
      </c>
    </row>
    <row r="18373" spans="6:8">
      <c r="H18373" t="s">
        <v>24813</v>
      </c>
    </row>
    <row r="18374" spans="6:8">
      <c r="H18374" t="s">
        <v>24814</v>
      </c>
    </row>
    <row r="18375" spans="6:8">
      <c r="H18375" t="s">
        <v>24815</v>
      </c>
    </row>
    <row r="18376" spans="6:8">
      <c r="H18376" t="s">
        <v>24816</v>
      </c>
    </row>
    <row r="18377" spans="6:8">
      <c r="H18377" t="s">
        <v>24817</v>
      </c>
    </row>
    <row r="18378" spans="6:8">
      <c r="H18378" t="s">
        <v>24818</v>
      </c>
    </row>
    <row r="18379" spans="6:8">
      <c r="F18379" t="s">
        <v>12545</v>
      </c>
      <c r="G18379" t="s">
        <v>16547</v>
      </c>
      <c r="H18379" t="s">
        <v>18829</v>
      </c>
    </row>
    <row r="18380" spans="6:8">
      <c r="H18380" t="s">
        <v>24819</v>
      </c>
    </row>
    <row r="18381" spans="6:8">
      <c r="H18381" t="s">
        <v>22010</v>
      </c>
    </row>
    <row r="18382" spans="6:8">
      <c r="H18382" t="s">
        <v>24820</v>
      </c>
    </row>
    <row r="18383" spans="6:8">
      <c r="H18383" t="s">
        <v>22011</v>
      </c>
    </row>
    <row r="18384" spans="6:8">
      <c r="H18384" t="s">
        <v>24821</v>
      </c>
    </row>
    <row r="18385" spans="6:8">
      <c r="H18385" t="s">
        <v>22012</v>
      </c>
    </row>
    <row r="18386" spans="6:8">
      <c r="H18386" t="s">
        <v>24822</v>
      </c>
    </row>
    <row r="18387" spans="6:8">
      <c r="H18387" t="s">
        <v>22013</v>
      </c>
    </row>
    <row r="18388" spans="6:8">
      <c r="H18388" t="s">
        <v>24823</v>
      </c>
    </row>
    <row r="18389" spans="6:8">
      <c r="F18389" t="s">
        <v>12546</v>
      </c>
      <c r="G18389" t="s">
        <v>16762</v>
      </c>
      <c r="H18389" t="s">
        <v>18829</v>
      </c>
    </row>
    <row r="18390" spans="6:8">
      <c r="H18390" t="s">
        <v>24824</v>
      </c>
    </row>
    <row r="18391" spans="6:8">
      <c r="H18391" t="s">
        <v>24825</v>
      </c>
    </row>
    <row r="18392" spans="6:8">
      <c r="H18392" t="s">
        <v>24826</v>
      </c>
    </row>
    <row r="18393" spans="6:8">
      <c r="H18393" t="s">
        <v>24827</v>
      </c>
    </row>
    <row r="18394" spans="6:8">
      <c r="H18394" t="s">
        <v>24828</v>
      </c>
    </row>
    <row r="18395" spans="6:8">
      <c r="H18395" t="s">
        <v>24829</v>
      </c>
    </row>
    <row r="18396" spans="6:8">
      <c r="H18396" t="s">
        <v>24830</v>
      </c>
    </row>
    <row r="18397" spans="6:8">
      <c r="H18397" t="s">
        <v>24831</v>
      </c>
    </row>
    <row r="18398" spans="6:8">
      <c r="H18398" t="s">
        <v>24832</v>
      </c>
    </row>
    <row r="18399" spans="6:8">
      <c r="F18399" t="s">
        <v>12547</v>
      </c>
      <c r="G18399" t="s">
        <v>16763</v>
      </c>
      <c r="H18399" t="s">
        <v>18829</v>
      </c>
    </row>
    <row r="18400" spans="6:8">
      <c r="H18400" t="s">
        <v>24833</v>
      </c>
    </row>
    <row r="18401" spans="6:8">
      <c r="H18401" t="s">
        <v>24834</v>
      </c>
    </row>
    <row r="18402" spans="6:8">
      <c r="H18402" t="s">
        <v>24835</v>
      </c>
    </row>
    <row r="18403" spans="6:8">
      <c r="H18403" t="s">
        <v>24836</v>
      </c>
    </row>
    <row r="18404" spans="6:8">
      <c r="H18404" t="s">
        <v>24837</v>
      </c>
    </row>
    <row r="18405" spans="6:8">
      <c r="H18405" t="s">
        <v>24838</v>
      </c>
    </row>
    <row r="18406" spans="6:8">
      <c r="H18406" t="s">
        <v>24839</v>
      </c>
    </row>
    <row r="18407" spans="6:8">
      <c r="H18407" t="s">
        <v>24840</v>
      </c>
    </row>
    <row r="18408" spans="6:8">
      <c r="H18408" t="s">
        <v>24841</v>
      </c>
    </row>
    <row r="18409" spans="6:8">
      <c r="F18409" t="s">
        <v>12548</v>
      </c>
      <c r="G18409" t="s">
        <v>16764</v>
      </c>
      <c r="H18409" t="s">
        <v>18829</v>
      </c>
    </row>
    <row r="18410" spans="6:8">
      <c r="H18410" t="s">
        <v>24842</v>
      </c>
    </row>
    <row r="18411" spans="6:8">
      <c r="H18411" t="s">
        <v>24843</v>
      </c>
    </row>
    <row r="18412" spans="6:8">
      <c r="H18412" t="s">
        <v>24844</v>
      </c>
    </row>
    <row r="18413" spans="6:8">
      <c r="H18413" t="s">
        <v>24845</v>
      </c>
    </row>
    <row r="18414" spans="6:8">
      <c r="H18414" t="s">
        <v>24846</v>
      </c>
    </row>
    <row r="18415" spans="6:8">
      <c r="H18415" t="s">
        <v>24847</v>
      </c>
    </row>
    <row r="18416" spans="6:8">
      <c r="H18416" t="s">
        <v>24848</v>
      </c>
    </row>
    <row r="18417" spans="6:8">
      <c r="H18417" t="s">
        <v>24849</v>
      </c>
    </row>
    <row r="18418" spans="6:8">
      <c r="H18418" t="s">
        <v>24850</v>
      </c>
    </row>
    <row r="18419" spans="6:8">
      <c r="F18419" t="s">
        <v>12549</v>
      </c>
      <c r="G18419" t="s">
        <v>16765</v>
      </c>
      <c r="H18419" t="s">
        <v>18829</v>
      </c>
    </row>
    <row r="18420" spans="6:8">
      <c r="H18420" t="s">
        <v>24851</v>
      </c>
    </row>
    <row r="18421" spans="6:8">
      <c r="H18421" t="s">
        <v>24852</v>
      </c>
    </row>
    <row r="18422" spans="6:8">
      <c r="H18422" t="s">
        <v>24853</v>
      </c>
    </row>
    <row r="18423" spans="6:8">
      <c r="H18423" t="s">
        <v>24854</v>
      </c>
    </row>
    <row r="18424" spans="6:8">
      <c r="H18424" t="s">
        <v>24855</v>
      </c>
    </row>
    <row r="18425" spans="6:8">
      <c r="H18425" t="s">
        <v>24856</v>
      </c>
    </row>
    <row r="18426" spans="6:8">
      <c r="H18426" t="s">
        <v>24857</v>
      </c>
    </row>
    <row r="18427" spans="6:8">
      <c r="H18427" t="s">
        <v>24858</v>
      </c>
    </row>
    <row r="18428" spans="6:8">
      <c r="H18428" t="s">
        <v>24859</v>
      </c>
    </row>
    <row r="18429" spans="6:8">
      <c r="F18429" t="s">
        <v>12550</v>
      </c>
      <c r="G18429" t="s">
        <v>16766</v>
      </c>
      <c r="H18429" t="s">
        <v>18829</v>
      </c>
    </row>
    <row r="18430" spans="6:8">
      <c r="H18430" t="s">
        <v>24860</v>
      </c>
    </row>
    <row r="18431" spans="6:8">
      <c r="H18431" t="s">
        <v>24861</v>
      </c>
    </row>
    <row r="18432" spans="6:8">
      <c r="H18432" t="s">
        <v>24862</v>
      </c>
    </row>
    <row r="18433" spans="6:8">
      <c r="H18433" t="s">
        <v>24863</v>
      </c>
    </row>
    <row r="18434" spans="6:8">
      <c r="H18434" t="s">
        <v>24864</v>
      </c>
    </row>
    <row r="18435" spans="6:8">
      <c r="H18435" t="s">
        <v>24865</v>
      </c>
    </row>
    <row r="18436" spans="6:8">
      <c r="H18436" t="s">
        <v>24866</v>
      </c>
    </row>
    <row r="18437" spans="6:8">
      <c r="H18437" t="s">
        <v>24867</v>
      </c>
    </row>
    <row r="18438" spans="6:8">
      <c r="H18438" t="s">
        <v>24868</v>
      </c>
    </row>
    <row r="18439" spans="6:8">
      <c r="F18439" t="s">
        <v>12551</v>
      </c>
      <c r="G18439" t="s">
        <v>16767</v>
      </c>
      <c r="H18439" t="s">
        <v>18829</v>
      </c>
    </row>
    <row r="18440" spans="6:8">
      <c r="H18440" t="s">
        <v>24869</v>
      </c>
    </row>
    <row r="18441" spans="6:8">
      <c r="H18441" t="s">
        <v>24870</v>
      </c>
    </row>
    <row r="18442" spans="6:8">
      <c r="H18442" t="s">
        <v>24871</v>
      </c>
    </row>
    <row r="18443" spans="6:8">
      <c r="H18443" t="s">
        <v>24872</v>
      </c>
    </row>
    <row r="18444" spans="6:8">
      <c r="H18444" t="s">
        <v>24873</v>
      </c>
    </row>
    <row r="18445" spans="6:8">
      <c r="H18445" t="s">
        <v>24874</v>
      </c>
    </row>
    <row r="18446" spans="6:8">
      <c r="H18446" t="s">
        <v>24875</v>
      </c>
    </row>
    <row r="18447" spans="6:8">
      <c r="H18447" t="s">
        <v>24876</v>
      </c>
    </row>
    <row r="18448" spans="6:8">
      <c r="H18448" t="s">
        <v>24877</v>
      </c>
    </row>
    <row r="18449" spans="6:8">
      <c r="F18449" t="s">
        <v>12552</v>
      </c>
      <c r="G18449" t="s">
        <v>16768</v>
      </c>
      <c r="H18449" t="s">
        <v>18829</v>
      </c>
    </row>
    <row r="18450" spans="6:8">
      <c r="H18450" t="s">
        <v>24878</v>
      </c>
    </row>
    <row r="18451" spans="6:8">
      <c r="H18451" t="s">
        <v>24879</v>
      </c>
    </row>
    <row r="18452" spans="6:8">
      <c r="H18452" t="s">
        <v>24880</v>
      </c>
    </row>
    <row r="18453" spans="6:8">
      <c r="H18453" t="s">
        <v>24881</v>
      </c>
    </row>
    <row r="18454" spans="6:8">
      <c r="H18454" t="s">
        <v>24882</v>
      </c>
    </row>
    <row r="18455" spans="6:8">
      <c r="H18455" t="s">
        <v>24883</v>
      </c>
    </row>
    <row r="18456" spans="6:8">
      <c r="H18456" t="s">
        <v>24884</v>
      </c>
    </row>
    <row r="18457" spans="6:8">
      <c r="H18457" t="s">
        <v>24885</v>
      </c>
    </row>
    <row r="18458" spans="6:8">
      <c r="H18458" t="s">
        <v>24886</v>
      </c>
    </row>
    <row r="18459" spans="6:8">
      <c r="F18459" t="s">
        <v>12553</v>
      </c>
      <c r="G18459" t="s">
        <v>16769</v>
      </c>
      <c r="H18459" t="s">
        <v>18829</v>
      </c>
    </row>
    <row r="18460" spans="6:8">
      <c r="H18460" t="s">
        <v>24887</v>
      </c>
    </row>
    <row r="18461" spans="6:8">
      <c r="H18461" t="s">
        <v>24888</v>
      </c>
    </row>
    <row r="18462" spans="6:8">
      <c r="H18462" t="s">
        <v>24889</v>
      </c>
    </row>
    <row r="18463" spans="6:8">
      <c r="H18463" t="s">
        <v>24890</v>
      </c>
    </row>
    <row r="18464" spans="6:8">
      <c r="H18464" t="s">
        <v>24891</v>
      </c>
    </row>
    <row r="18465" spans="6:8">
      <c r="H18465" t="s">
        <v>24892</v>
      </c>
    </row>
    <row r="18466" spans="6:8">
      <c r="H18466" t="s">
        <v>24893</v>
      </c>
    </row>
    <row r="18467" spans="6:8">
      <c r="H18467" t="s">
        <v>24894</v>
      </c>
    </row>
    <row r="18468" spans="6:8">
      <c r="H18468" t="s">
        <v>24895</v>
      </c>
    </row>
    <row r="18469" spans="6:8">
      <c r="F18469" t="s">
        <v>12554</v>
      </c>
      <c r="G18469" t="s">
        <v>16770</v>
      </c>
      <c r="H18469" t="s">
        <v>18829</v>
      </c>
    </row>
    <row r="18470" spans="6:8">
      <c r="H18470" t="s">
        <v>24896</v>
      </c>
    </row>
    <row r="18471" spans="6:8">
      <c r="H18471" t="s">
        <v>24897</v>
      </c>
    </row>
    <row r="18472" spans="6:8">
      <c r="H18472" t="s">
        <v>24898</v>
      </c>
    </row>
    <row r="18473" spans="6:8">
      <c r="H18473" t="s">
        <v>24899</v>
      </c>
    </row>
    <row r="18474" spans="6:8">
      <c r="H18474" t="s">
        <v>24900</v>
      </c>
    </row>
    <row r="18475" spans="6:8">
      <c r="H18475" t="s">
        <v>24901</v>
      </c>
    </row>
    <row r="18476" spans="6:8">
      <c r="H18476" t="s">
        <v>24902</v>
      </c>
    </row>
    <row r="18477" spans="6:8">
      <c r="H18477" t="s">
        <v>24903</v>
      </c>
    </row>
    <row r="18478" spans="6:8">
      <c r="H18478" t="s">
        <v>24904</v>
      </c>
    </row>
    <row r="18479" spans="6:8">
      <c r="H18479" t="s">
        <v>24905</v>
      </c>
    </row>
    <row r="18480" spans="6:8">
      <c r="H18480" t="s">
        <v>24906</v>
      </c>
    </row>
    <row r="18481" spans="6:8">
      <c r="H18481" t="s">
        <v>24907</v>
      </c>
    </row>
    <row r="18482" spans="6:8">
      <c r="H18482" t="s">
        <v>24908</v>
      </c>
    </row>
    <row r="18483" spans="6:8">
      <c r="H18483" t="s">
        <v>24909</v>
      </c>
    </row>
    <row r="18484" spans="6:8">
      <c r="H18484" t="s">
        <v>24910</v>
      </c>
    </row>
    <row r="18485" spans="6:8">
      <c r="H18485" t="s">
        <v>24911</v>
      </c>
    </row>
    <row r="18486" spans="6:8">
      <c r="H18486" t="s">
        <v>24912</v>
      </c>
    </row>
    <row r="18487" spans="6:8">
      <c r="H18487" t="s">
        <v>24913</v>
      </c>
    </row>
    <row r="18488" spans="6:8">
      <c r="H18488" t="s">
        <v>24914</v>
      </c>
    </row>
    <row r="18489" spans="6:8">
      <c r="H18489" t="s">
        <v>24915</v>
      </c>
    </row>
    <row r="18490" spans="6:8">
      <c r="H18490" t="s">
        <v>24916</v>
      </c>
    </row>
    <row r="18491" spans="6:8">
      <c r="F18491" t="s">
        <v>12555</v>
      </c>
      <c r="G18491" t="s">
        <v>16771</v>
      </c>
      <c r="H18491" t="s">
        <v>18829</v>
      </c>
    </row>
    <row r="18492" spans="6:8">
      <c r="H18492" t="s">
        <v>24917</v>
      </c>
    </row>
    <row r="18493" spans="6:8">
      <c r="H18493" t="s">
        <v>24918</v>
      </c>
    </row>
    <row r="18494" spans="6:8">
      <c r="H18494" t="s">
        <v>24919</v>
      </c>
    </row>
    <row r="18495" spans="6:8">
      <c r="H18495" t="s">
        <v>24920</v>
      </c>
    </row>
    <row r="18496" spans="6:8">
      <c r="H18496" t="s">
        <v>24921</v>
      </c>
    </row>
    <row r="18497" spans="6:8">
      <c r="H18497" t="s">
        <v>24922</v>
      </c>
    </row>
    <row r="18498" spans="6:8">
      <c r="H18498" t="s">
        <v>24923</v>
      </c>
    </row>
    <row r="18499" spans="6:8">
      <c r="H18499" t="s">
        <v>24924</v>
      </c>
    </row>
    <row r="18500" spans="6:8">
      <c r="H18500" t="s">
        <v>24925</v>
      </c>
    </row>
    <row r="18501" spans="6:8">
      <c r="F18501" t="s">
        <v>12556</v>
      </c>
      <c r="G18501" t="s">
        <v>16772</v>
      </c>
      <c r="H18501" t="s">
        <v>18829</v>
      </c>
    </row>
    <row r="18502" spans="6:8">
      <c r="H18502" t="s">
        <v>24926</v>
      </c>
    </row>
    <row r="18503" spans="6:8">
      <c r="H18503" t="s">
        <v>24927</v>
      </c>
    </row>
    <row r="18504" spans="6:8">
      <c r="H18504" t="s">
        <v>24928</v>
      </c>
    </row>
    <row r="18505" spans="6:8">
      <c r="H18505" t="s">
        <v>24929</v>
      </c>
    </row>
    <row r="18506" spans="6:8">
      <c r="H18506" t="s">
        <v>24930</v>
      </c>
    </row>
    <row r="18507" spans="6:8">
      <c r="H18507" t="s">
        <v>24931</v>
      </c>
    </row>
    <row r="18508" spans="6:8">
      <c r="H18508" t="s">
        <v>24932</v>
      </c>
    </row>
    <row r="18509" spans="6:8">
      <c r="H18509" t="s">
        <v>24933</v>
      </c>
    </row>
    <row r="18510" spans="6:8">
      <c r="H18510" t="s">
        <v>24934</v>
      </c>
    </row>
    <row r="18511" spans="6:8">
      <c r="F18511" t="s">
        <v>12557</v>
      </c>
      <c r="G18511" t="s">
        <v>16773</v>
      </c>
      <c r="H18511" t="s">
        <v>18829</v>
      </c>
    </row>
    <row r="18512" spans="6:8">
      <c r="H18512" t="s">
        <v>24935</v>
      </c>
    </row>
    <row r="18513" spans="6:8">
      <c r="H18513" t="s">
        <v>24936</v>
      </c>
    </row>
    <row r="18514" spans="6:8">
      <c r="H18514" t="s">
        <v>24937</v>
      </c>
    </row>
    <row r="18515" spans="6:8">
      <c r="H18515" t="s">
        <v>24938</v>
      </c>
    </row>
    <row r="18516" spans="6:8">
      <c r="H18516" t="s">
        <v>24939</v>
      </c>
    </row>
    <row r="18517" spans="6:8">
      <c r="H18517" t="s">
        <v>24940</v>
      </c>
    </row>
    <row r="18518" spans="6:8">
      <c r="H18518" t="s">
        <v>24941</v>
      </c>
    </row>
    <row r="18519" spans="6:8">
      <c r="H18519" t="s">
        <v>24942</v>
      </c>
    </row>
    <row r="18520" spans="6:8">
      <c r="H18520" t="s">
        <v>24943</v>
      </c>
    </row>
    <row r="18521" spans="6:8">
      <c r="F18521" t="s">
        <v>12558</v>
      </c>
      <c r="G18521" t="s">
        <v>16774</v>
      </c>
      <c r="H18521" t="s">
        <v>18829</v>
      </c>
    </row>
    <row r="18522" spans="6:8">
      <c r="H18522" t="s">
        <v>24944</v>
      </c>
    </row>
    <row r="18523" spans="6:8">
      <c r="H18523" t="s">
        <v>24945</v>
      </c>
    </row>
    <row r="18524" spans="6:8">
      <c r="H18524" t="s">
        <v>24946</v>
      </c>
    </row>
    <row r="18525" spans="6:8">
      <c r="H18525" t="s">
        <v>24947</v>
      </c>
    </row>
    <row r="18526" spans="6:8">
      <c r="H18526" t="s">
        <v>24948</v>
      </c>
    </row>
    <row r="18527" spans="6:8">
      <c r="H18527" t="s">
        <v>24949</v>
      </c>
    </row>
    <row r="18528" spans="6:8">
      <c r="H18528" t="s">
        <v>24950</v>
      </c>
    </row>
    <row r="18529" spans="1:8">
      <c r="H18529" t="s">
        <v>24951</v>
      </c>
    </row>
    <row r="18530" spans="1:8">
      <c r="H18530" t="s">
        <v>24952</v>
      </c>
    </row>
    <row r="18531" spans="1:8">
      <c r="F18531" t="s">
        <v>12559</v>
      </c>
      <c r="G18531" t="s">
        <v>16775</v>
      </c>
      <c r="H18531" t="s">
        <v>18829</v>
      </c>
    </row>
    <row r="18532" spans="1:8">
      <c r="H18532" t="s">
        <v>24953</v>
      </c>
    </row>
    <row r="18533" spans="1:8">
      <c r="H18533" t="s">
        <v>24954</v>
      </c>
    </row>
    <row r="18534" spans="1:8">
      <c r="H18534" t="s">
        <v>24955</v>
      </c>
    </row>
    <row r="18535" spans="1:8">
      <c r="H18535" t="s">
        <v>24956</v>
      </c>
    </row>
    <row r="18536" spans="1:8">
      <c r="H18536" t="s">
        <v>24957</v>
      </c>
    </row>
    <row r="18537" spans="1:8">
      <c r="H18537" t="s">
        <v>24958</v>
      </c>
    </row>
    <row r="18538" spans="1:8">
      <c r="H18538" t="s">
        <v>24959</v>
      </c>
    </row>
    <row r="18539" spans="1:8">
      <c r="H18539" t="s">
        <v>24960</v>
      </c>
    </row>
    <row r="18540" spans="1:8">
      <c r="H18540" t="s">
        <v>24961</v>
      </c>
    </row>
    <row r="18541" spans="1:8">
      <c r="A18541" t="s">
        <v>715</v>
      </c>
      <c r="B18541">
        <f>HYPERLINK("https://android.googlesource.com/platform/cts/+/9149014c530500b65c6257bcf7f079a13f00476d", "9149014c530500b65c6257bcf7f079a13f00476d")</f>
        <v>0</v>
      </c>
      <c r="C18541">
        <f>HYPERLINK("https://android.googlesource.com/platform/cts/+/b264fc84918d8fce6de4ee8ba2609fb26052ec8f", "b264fc84918d8fce6de4ee8ba2609fb26052ec8f")</f>
        <v>0</v>
      </c>
      <c r="D18541" t="s">
        <v>5004</v>
      </c>
      <c r="E18541" t="s">
        <v>6498</v>
      </c>
      <c r="F18541" t="s">
        <v>12560</v>
      </c>
      <c r="G18541" t="s">
        <v>16776</v>
      </c>
      <c r="H18541" t="s">
        <v>24962</v>
      </c>
    </row>
    <row r="18542" spans="1:8">
      <c r="F18542" t="s">
        <v>12221</v>
      </c>
      <c r="G18542" t="s">
        <v>16451</v>
      </c>
      <c r="H18542" t="s">
        <v>22034</v>
      </c>
    </row>
    <row r="18543" spans="1:8">
      <c r="H18543" t="s">
        <v>24962</v>
      </c>
    </row>
    <row r="18544" spans="1:8">
      <c r="A18544" t="s">
        <v>716</v>
      </c>
      <c r="B18544">
        <f>HYPERLINK("https://android.googlesource.com/platform/cts/+/8c86d0a83653ef765f5ec6261bdb71c91a49e9c9", "8c86d0a83653ef765f5ec6261bdb71c91a49e9c9")</f>
        <v>0</v>
      </c>
      <c r="C18544">
        <f>HYPERLINK("https://android.googlesource.com/platform/cts/+/bdc053301f49d89004bff0db8a0c1500bec5dbef", "bdc053301f49d89004bff0db8a0c1500bec5dbef")</f>
        <v>0</v>
      </c>
      <c r="D18544" t="s">
        <v>5038</v>
      </c>
      <c r="E18544" t="s">
        <v>6499</v>
      </c>
      <c r="F18544" t="s">
        <v>12417</v>
      </c>
      <c r="G18544" t="s">
        <v>16639</v>
      </c>
      <c r="H18544" t="s">
        <v>19397</v>
      </c>
    </row>
    <row r="18545" spans="1:8">
      <c r="H18545" t="s">
        <v>24963</v>
      </c>
    </row>
    <row r="18546" spans="1:8">
      <c r="H18546" t="s">
        <v>24964</v>
      </c>
    </row>
    <row r="18547" spans="1:8">
      <c r="H18547" t="s">
        <v>24965</v>
      </c>
    </row>
    <row r="18548" spans="1:8">
      <c r="H18548" t="s">
        <v>19830</v>
      </c>
    </row>
    <row r="18549" spans="1:8">
      <c r="H18549" t="s">
        <v>24966</v>
      </c>
    </row>
    <row r="18550" spans="1:8">
      <c r="H18550" t="s">
        <v>24967</v>
      </c>
    </row>
    <row r="18551" spans="1:8">
      <c r="H18551" t="s">
        <v>24968</v>
      </c>
    </row>
    <row r="18552" spans="1:8">
      <c r="H18552" t="s">
        <v>24969</v>
      </c>
    </row>
    <row r="18553" spans="1:8">
      <c r="A18553" t="s">
        <v>717</v>
      </c>
      <c r="B18553">
        <f>HYPERLINK("https://android.googlesource.com/platform/cts/+/bfe1405befe2138259d2fdcbd93a6011620b7a89", "bfe1405befe2138259d2fdcbd93a6011620b7a89")</f>
        <v>0</v>
      </c>
      <c r="C18553">
        <f>HYPERLINK("https://android.googlesource.com/platform/cts/+/a207e44bb79d528a361586fc14af4f27d12eee7b", "a207e44bb79d528a361586fc14af4f27d12eee7b")</f>
        <v>0</v>
      </c>
      <c r="D18553" t="s">
        <v>5073</v>
      </c>
      <c r="E18553" t="s">
        <v>6500</v>
      </c>
      <c r="F18553" t="s">
        <v>12561</v>
      </c>
      <c r="G18553" t="s">
        <v>16777</v>
      </c>
      <c r="H18553" t="s">
        <v>24970</v>
      </c>
    </row>
    <row r="18554" spans="1:8">
      <c r="A18554" t="s">
        <v>718</v>
      </c>
      <c r="B18554">
        <f>HYPERLINK("https://android.googlesource.com/platform/cts/+/8ea3666ae94ac8f4b9b9c4bdbbf0695561d978cb", "8ea3666ae94ac8f4b9b9c4bdbbf0695561d978cb")</f>
        <v>0</v>
      </c>
      <c r="C18554">
        <f>HYPERLINK("https://android.googlesource.com/platform/cts/+/bfe1405befe2138259d2fdcbd93a6011620b7a89", "bfe1405befe2138259d2fdcbd93a6011620b7a89")</f>
        <v>0</v>
      </c>
      <c r="D18554" t="s">
        <v>5073</v>
      </c>
      <c r="E18554" t="s">
        <v>6501</v>
      </c>
      <c r="F18554" t="s">
        <v>12561</v>
      </c>
      <c r="G18554" t="s">
        <v>16777</v>
      </c>
      <c r="H18554" t="s">
        <v>24971</v>
      </c>
    </row>
    <row r="18555" spans="1:8">
      <c r="H18555" t="s">
        <v>24972</v>
      </c>
    </row>
    <row r="18556" spans="1:8">
      <c r="H18556" t="s">
        <v>24973</v>
      </c>
    </row>
    <row r="18557" spans="1:8">
      <c r="H18557" t="s">
        <v>24974</v>
      </c>
    </row>
    <row r="18558" spans="1:8">
      <c r="H18558" t="s">
        <v>24975</v>
      </c>
    </row>
    <row r="18559" spans="1:8">
      <c r="H18559" t="s">
        <v>24976</v>
      </c>
    </row>
    <row r="18560" spans="1:8">
      <c r="A18560" t="s">
        <v>719</v>
      </c>
      <c r="B18560">
        <f>HYPERLINK("https://android.googlesource.com/platform/cts/+/23a0fcc7a513d23d47e92f3ac6741a5a3c166f0d", "23a0fcc7a513d23d47e92f3ac6741a5a3c166f0d")</f>
        <v>0</v>
      </c>
      <c r="C18560">
        <f>HYPERLINK("https://android.googlesource.com/platform/cts/+/db3ab841b1a273aabcea7cebc8af7e02babf91ce", "db3ab841b1a273aabcea7cebc8af7e02babf91ce")</f>
        <v>0</v>
      </c>
      <c r="D18560" t="s">
        <v>5029</v>
      </c>
      <c r="E18560" t="s">
        <v>6502</v>
      </c>
      <c r="F18560" t="s">
        <v>10781</v>
      </c>
      <c r="G18560" t="s">
        <v>15177</v>
      </c>
      <c r="H18560" t="s">
        <v>24977</v>
      </c>
    </row>
    <row r="18561" spans="1:8">
      <c r="H18561" t="s">
        <v>18984</v>
      </c>
    </row>
    <row r="18562" spans="1:8">
      <c r="H18562" t="s">
        <v>18983</v>
      </c>
    </row>
    <row r="18563" spans="1:8">
      <c r="H18563" t="s">
        <v>24978</v>
      </c>
    </row>
    <row r="18564" spans="1:8">
      <c r="H18564" t="s">
        <v>24979</v>
      </c>
    </row>
    <row r="18565" spans="1:8">
      <c r="H18565" t="s">
        <v>18986</v>
      </c>
    </row>
    <row r="18566" spans="1:8">
      <c r="H18566" t="s">
        <v>18985</v>
      </c>
    </row>
    <row r="18567" spans="1:8">
      <c r="H18567" t="s">
        <v>24980</v>
      </c>
    </row>
    <row r="18568" spans="1:8">
      <c r="H18568" t="s">
        <v>18893</v>
      </c>
    </row>
    <row r="18569" spans="1:8">
      <c r="A18569" t="s">
        <v>720</v>
      </c>
      <c r="B18569">
        <f>HYPERLINK("https://android.googlesource.com/platform/cts/+/8ea2becef97509aef884c82cff8d794714ea9a25", "8ea2becef97509aef884c82cff8d794714ea9a25")</f>
        <v>0</v>
      </c>
      <c r="C18569">
        <f>HYPERLINK("https://android.googlesource.com/platform/cts/+/e64a5aa37a56a2bc67d48e0f0d3ca29567ebc0ac", "e64a5aa37a56a2bc67d48e0f0d3ca29567ebc0ac")</f>
        <v>0</v>
      </c>
      <c r="D18569" t="s">
        <v>5074</v>
      </c>
      <c r="E18569" t="s">
        <v>6503</v>
      </c>
      <c r="F18569" t="s">
        <v>12407</v>
      </c>
      <c r="G18569" t="s">
        <v>16629</v>
      </c>
      <c r="H18569" t="s">
        <v>24981</v>
      </c>
    </row>
    <row r="18570" spans="1:8">
      <c r="H18570" t="s">
        <v>24982</v>
      </c>
    </row>
    <row r="18571" spans="1:8">
      <c r="H18571" t="s">
        <v>24983</v>
      </c>
    </row>
    <row r="18572" spans="1:8">
      <c r="H18572" t="s">
        <v>24984</v>
      </c>
    </row>
    <row r="18573" spans="1:8">
      <c r="H18573" t="s">
        <v>24985</v>
      </c>
    </row>
    <row r="18574" spans="1:8">
      <c r="H18574" t="s">
        <v>24986</v>
      </c>
    </row>
    <row r="18575" spans="1:8">
      <c r="H18575" t="s">
        <v>24987</v>
      </c>
    </row>
    <row r="18576" spans="1:8">
      <c r="H18576" t="s">
        <v>24988</v>
      </c>
    </row>
    <row r="18577" spans="8:8">
      <c r="H18577" t="s">
        <v>24989</v>
      </c>
    </row>
    <row r="18578" spans="8:8">
      <c r="H18578" t="s">
        <v>24990</v>
      </c>
    </row>
    <row r="18579" spans="8:8">
      <c r="H18579" t="s">
        <v>24991</v>
      </c>
    </row>
    <row r="18580" spans="8:8">
      <c r="H18580" t="s">
        <v>24992</v>
      </c>
    </row>
    <row r="18581" spans="8:8">
      <c r="H18581" t="s">
        <v>22732</v>
      </c>
    </row>
    <row r="18582" spans="8:8">
      <c r="H18582" t="s">
        <v>22733</v>
      </c>
    </row>
    <row r="18583" spans="8:8">
      <c r="H18583" t="s">
        <v>22734</v>
      </c>
    </row>
    <row r="18584" spans="8:8">
      <c r="H18584" t="s">
        <v>22735</v>
      </c>
    </row>
    <row r="18585" spans="8:8">
      <c r="H18585" t="s">
        <v>22736</v>
      </c>
    </row>
    <row r="18586" spans="8:8">
      <c r="H18586" t="s">
        <v>22737</v>
      </c>
    </row>
    <row r="18587" spans="8:8">
      <c r="H18587" t="s">
        <v>22738</v>
      </c>
    </row>
    <row r="18588" spans="8:8">
      <c r="H18588" t="s">
        <v>22739</v>
      </c>
    </row>
    <row r="18589" spans="8:8">
      <c r="H18589" t="s">
        <v>22740</v>
      </c>
    </row>
    <row r="18590" spans="8:8">
      <c r="H18590" t="s">
        <v>22741</v>
      </c>
    </row>
    <row r="18591" spans="8:8">
      <c r="H18591" t="s">
        <v>22742</v>
      </c>
    </row>
    <row r="18592" spans="8:8">
      <c r="H18592" t="s">
        <v>22743</v>
      </c>
    </row>
    <row r="18593" spans="8:8">
      <c r="H18593" t="s">
        <v>22744</v>
      </c>
    </row>
    <row r="18594" spans="8:8">
      <c r="H18594" t="s">
        <v>22745</v>
      </c>
    </row>
    <row r="18595" spans="8:8">
      <c r="H18595" t="s">
        <v>22746</v>
      </c>
    </row>
    <row r="18596" spans="8:8">
      <c r="H18596" t="s">
        <v>22747</v>
      </c>
    </row>
    <row r="18597" spans="8:8">
      <c r="H18597" t="s">
        <v>22748</v>
      </c>
    </row>
    <row r="18598" spans="8:8">
      <c r="H18598" t="s">
        <v>22749</v>
      </c>
    </row>
    <row r="18599" spans="8:8">
      <c r="H18599" t="s">
        <v>22750</v>
      </c>
    </row>
    <row r="18600" spans="8:8">
      <c r="H18600" t="s">
        <v>22751</v>
      </c>
    </row>
    <row r="18601" spans="8:8">
      <c r="H18601" t="s">
        <v>22752</v>
      </c>
    </row>
    <row r="18602" spans="8:8">
      <c r="H18602" t="s">
        <v>22753</v>
      </c>
    </row>
    <row r="18603" spans="8:8">
      <c r="H18603" t="s">
        <v>22754</v>
      </c>
    </row>
    <row r="18604" spans="8:8">
      <c r="H18604" t="s">
        <v>22755</v>
      </c>
    </row>
    <row r="18605" spans="8:8">
      <c r="H18605" t="s">
        <v>22756</v>
      </c>
    </row>
    <row r="18606" spans="8:8">
      <c r="H18606" t="s">
        <v>22757</v>
      </c>
    </row>
    <row r="18607" spans="8:8">
      <c r="H18607" t="s">
        <v>22758</v>
      </c>
    </row>
    <row r="18608" spans="8:8">
      <c r="H18608" t="s">
        <v>18930</v>
      </c>
    </row>
    <row r="18609" spans="6:8">
      <c r="H18609" t="s">
        <v>24993</v>
      </c>
    </row>
    <row r="18610" spans="6:8">
      <c r="H18610" t="s">
        <v>24994</v>
      </c>
    </row>
    <row r="18611" spans="6:8">
      <c r="H18611" t="s">
        <v>22759</v>
      </c>
    </row>
    <row r="18612" spans="6:8">
      <c r="F18612" t="s">
        <v>12562</v>
      </c>
      <c r="G18612" t="s">
        <v>16778</v>
      </c>
      <c r="H18612" t="s">
        <v>22186</v>
      </c>
    </row>
    <row r="18613" spans="6:8">
      <c r="H18613" t="s">
        <v>22187</v>
      </c>
    </row>
    <row r="18614" spans="6:8">
      <c r="H18614" t="s">
        <v>22188</v>
      </c>
    </row>
    <row r="18615" spans="6:8">
      <c r="H18615" t="s">
        <v>22189</v>
      </c>
    </row>
    <row r="18616" spans="6:8">
      <c r="F18616" t="s">
        <v>12224</v>
      </c>
      <c r="G18616" t="s">
        <v>16454</v>
      </c>
      <c r="H18616" t="s">
        <v>24995</v>
      </c>
    </row>
    <row r="18617" spans="6:8">
      <c r="F18617" t="s">
        <v>12176</v>
      </c>
      <c r="G18617" t="s">
        <v>16415</v>
      </c>
      <c r="H18617" t="s">
        <v>24996</v>
      </c>
    </row>
    <row r="18618" spans="6:8">
      <c r="F18618" t="s">
        <v>12563</v>
      </c>
      <c r="G18618" t="s">
        <v>16779</v>
      </c>
      <c r="H18618" t="s">
        <v>18829</v>
      </c>
    </row>
    <row r="18619" spans="6:8">
      <c r="H18619" t="s">
        <v>18863</v>
      </c>
    </row>
    <row r="18620" spans="6:8">
      <c r="H18620" t="s">
        <v>24997</v>
      </c>
    </row>
    <row r="18621" spans="6:8">
      <c r="H18621" t="s">
        <v>24998</v>
      </c>
    </row>
    <row r="18622" spans="6:8">
      <c r="H18622" t="s">
        <v>24999</v>
      </c>
    </row>
    <row r="18623" spans="6:8">
      <c r="H18623" t="s">
        <v>25000</v>
      </c>
    </row>
    <row r="18624" spans="6:8">
      <c r="H18624" t="s">
        <v>25001</v>
      </c>
    </row>
    <row r="18625" spans="6:8">
      <c r="H18625" t="s">
        <v>25002</v>
      </c>
    </row>
    <row r="18626" spans="6:8">
      <c r="H18626" t="s">
        <v>25003</v>
      </c>
    </row>
    <row r="18627" spans="6:8">
      <c r="H18627" t="s">
        <v>25004</v>
      </c>
    </row>
    <row r="18628" spans="6:8">
      <c r="H18628" t="s">
        <v>25005</v>
      </c>
    </row>
    <row r="18629" spans="6:8">
      <c r="F18629" t="s">
        <v>12564</v>
      </c>
      <c r="G18629" t="s">
        <v>16780</v>
      </c>
      <c r="H18629" t="s">
        <v>18829</v>
      </c>
    </row>
    <row r="18630" spans="6:8">
      <c r="H18630" t="s">
        <v>25006</v>
      </c>
    </row>
    <row r="18631" spans="6:8">
      <c r="F18631" t="s">
        <v>12434</v>
      </c>
      <c r="G18631" t="s">
        <v>16655</v>
      </c>
      <c r="H18631" t="s">
        <v>18829</v>
      </c>
    </row>
    <row r="18632" spans="6:8">
      <c r="H18632" t="s">
        <v>22914</v>
      </c>
    </row>
    <row r="18633" spans="6:8">
      <c r="H18633" t="s">
        <v>22915</v>
      </c>
    </row>
    <row r="18634" spans="6:8">
      <c r="H18634" t="s">
        <v>22916</v>
      </c>
    </row>
    <row r="18635" spans="6:8">
      <c r="H18635" t="s">
        <v>22917</v>
      </c>
    </row>
    <row r="18636" spans="6:8">
      <c r="H18636" t="s">
        <v>22918</v>
      </c>
    </row>
    <row r="18637" spans="6:8">
      <c r="H18637" t="s">
        <v>22919</v>
      </c>
    </row>
    <row r="18638" spans="6:8">
      <c r="H18638" t="s">
        <v>22920</v>
      </c>
    </row>
    <row r="18639" spans="6:8">
      <c r="H18639" t="s">
        <v>22921</v>
      </c>
    </row>
    <row r="18640" spans="6:8">
      <c r="H18640" t="s">
        <v>22922</v>
      </c>
    </row>
    <row r="18641" spans="8:8">
      <c r="H18641" t="s">
        <v>22923</v>
      </c>
    </row>
    <row r="18642" spans="8:8">
      <c r="H18642" t="s">
        <v>22924</v>
      </c>
    </row>
    <row r="18643" spans="8:8">
      <c r="H18643" t="s">
        <v>22925</v>
      </c>
    </row>
    <row r="18644" spans="8:8">
      <c r="H18644" t="s">
        <v>22926</v>
      </c>
    </row>
    <row r="18645" spans="8:8">
      <c r="H18645" t="s">
        <v>22927</v>
      </c>
    </row>
    <row r="18646" spans="8:8">
      <c r="H18646" t="s">
        <v>22928</v>
      </c>
    </row>
    <row r="18647" spans="8:8">
      <c r="H18647" t="s">
        <v>22929</v>
      </c>
    </row>
    <row r="18648" spans="8:8">
      <c r="H18648" t="s">
        <v>22930</v>
      </c>
    </row>
    <row r="18649" spans="8:8">
      <c r="H18649" t="s">
        <v>22931</v>
      </c>
    </row>
    <row r="18650" spans="8:8">
      <c r="H18650" t="s">
        <v>22932</v>
      </c>
    </row>
    <row r="18651" spans="8:8">
      <c r="H18651" t="s">
        <v>22933</v>
      </c>
    </row>
    <row r="18652" spans="8:8">
      <c r="H18652" t="s">
        <v>22934</v>
      </c>
    </row>
    <row r="18653" spans="8:8">
      <c r="H18653" t="s">
        <v>22935</v>
      </c>
    </row>
    <row r="18654" spans="8:8">
      <c r="H18654" t="s">
        <v>22936</v>
      </c>
    </row>
    <row r="18655" spans="8:8">
      <c r="H18655" t="s">
        <v>22937</v>
      </c>
    </row>
    <row r="18656" spans="8:8">
      <c r="H18656" t="s">
        <v>22938</v>
      </c>
    </row>
    <row r="18657" spans="6:8">
      <c r="F18657" t="s">
        <v>12435</v>
      </c>
      <c r="G18657" t="s">
        <v>16656</v>
      </c>
      <c r="H18657" t="s">
        <v>18829</v>
      </c>
    </row>
    <row r="18658" spans="6:8">
      <c r="H18658" t="s">
        <v>22939</v>
      </c>
    </row>
    <row r="18659" spans="6:8">
      <c r="H18659" t="s">
        <v>22940</v>
      </c>
    </row>
    <row r="18660" spans="6:8">
      <c r="H18660" t="s">
        <v>22941</v>
      </c>
    </row>
    <row r="18661" spans="6:8">
      <c r="H18661" t="s">
        <v>22942</v>
      </c>
    </row>
    <row r="18662" spans="6:8">
      <c r="H18662" t="s">
        <v>22943</v>
      </c>
    </row>
    <row r="18663" spans="6:8">
      <c r="H18663" t="s">
        <v>22944</v>
      </c>
    </row>
    <row r="18664" spans="6:8">
      <c r="H18664" t="s">
        <v>22945</v>
      </c>
    </row>
    <row r="18665" spans="6:8">
      <c r="H18665" t="s">
        <v>22946</v>
      </c>
    </row>
    <row r="18666" spans="6:8">
      <c r="H18666" t="s">
        <v>22947</v>
      </c>
    </row>
    <row r="18667" spans="6:8">
      <c r="F18667" t="s">
        <v>12436</v>
      </c>
      <c r="G18667" t="s">
        <v>16657</v>
      </c>
      <c r="H18667" t="s">
        <v>18829</v>
      </c>
    </row>
    <row r="18668" spans="6:8">
      <c r="H18668" t="s">
        <v>22948</v>
      </c>
    </row>
    <row r="18669" spans="6:8">
      <c r="H18669" t="s">
        <v>22949</v>
      </c>
    </row>
    <row r="18670" spans="6:8">
      <c r="H18670" t="s">
        <v>22950</v>
      </c>
    </row>
    <row r="18671" spans="6:8">
      <c r="H18671" t="s">
        <v>22951</v>
      </c>
    </row>
    <row r="18672" spans="6:8">
      <c r="H18672" t="s">
        <v>22952</v>
      </c>
    </row>
    <row r="18673" spans="6:8">
      <c r="H18673" t="s">
        <v>22953</v>
      </c>
    </row>
    <row r="18674" spans="6:8">
      <c r="H18674" t="s">
        <v>22954</v>
      </c>
    </row>
    <row r="18675" spans="6:8">
      <c r="H18675" t="s">
        <v>22955</v>
      </c>
    </row>
    <row r="18676" spans="6:8">
      <c r="H18676" t="s">
        <v>22956</v>
      </c>
    </row>
    <row r="18677" spans="6:8">
      <c r="F18677" t="s">
        <v>12437</v>
      </c>
      <c r="G18677" t="s">
        <v>16658</v>
      </c>
      <c r="H18677" t="s">
        <v>18829</v>
      </c>
    </row>
    <row r="18678" spans="6:8">
      <c r="H18678" t="s">
        <v>22957</v>
      </c>
    </row>
    <row r="18679" spans="6:8">
      <c r="H18679" t="s">
        <v>22958</v>
      </c>
    </row>
    <row r="18680" spans="6:8">
      <c r="H18680" t="s">
        <v>22959</v>
      </c>
    </row>
    <row r="18681" spans="6:8">
      <c r="H18681" t="s">
        <v>22960</v>
      </c>
    </row>
    <row r="18682" spans="6:8">
      <c r="H18682" t="s">
        <v>22961</v>
      </c>
    </row>
    <row r="18683" spans="6:8">
      <c r="H18683" t="s">
        <v>22962</v>
      </c>
    </row>
    <row r="18684" spans="6:8">
      <c r="H18684" t="s">
        <v>22963</v>
      </c>
    </row>
    <row r="18685" spans="6:8">
      <c r="H18685" t="s">
        <v>22964</v>
      </c>
    </row>
    <row r="18686" spans="6:8">
      <c r="H18686" t="s">
        <v>22965</v>
      </c>
    </row>
    <row r="18687" spans="6:8">
      <c r="F18687" t="s">
        <v>12438</v>
      </c>
      <c r="G18687" t="s">
        <v>16659</v>
      </c>
      <c r="H18687" t="s">
        <v>18829</v>
      </c>
    </row>
    <row r="18688" spans="6:8">
      <c r="H18688" t="s">
        <v>22966</v>
      </c>
    </row>
    <row r="18689" spans="6:8">
      <c r="H18689" t="s">
        <v>22967</v>
      </c>
    </row>
    <row r="18690" spans="6:8">
      <c r="H18690" t="s">
        <v>22968</v>
      </c>
    </row>
    <row r="18691" spans="6:8">
      <c r="H18691" t="s">
        <v>22969</v>
      </c>
    </row>
    <row r="18692" spans="6:8">
      <c r="H18692" t="s">
        <v>22970</v>
      </c>
    </row>
    <row r="18693" spans="6:8">
      <c r="H18693" t="s">
        <v>22971</v>
      </c>
    </row>
    <row r="18694" spans="6:8">
      <c r="H18694" t="s">
        <v>22972</v>
      </c>
    </row>
    <row r="18695" spans="6:8">
      <c r="H18695" t="s">
        <v>22973</v>
      </c>
    </row>
    <row r="18696" spans="6:8">
      <c r="H18696" t="s">
        <v>22974</v>
      </c>
    </row>
    <row r="18697" spans="6:8">
      <c r="F18697" t="s">
        <v>12439</v>
      </c>
      <c r="G18697" t="s">
        <v>16660</v>
      </c>
      <c r="H18697" t="s">
        <v>18829</v>
      </c>
    </row>
    <row r="18698" spans="6:8">
      <c r="H18698" t="s">
        <v>22975</v>
      </c>
    </row>
    <row r="18699" spans="6:8">
      <c r="H18699" t="s">
        <v>22976</v>
      </c>
    </row>
    <row r="18700" spans="6:8">
      <c r="H18700" t="s">
        <v>22977</v>
      </c>
    </row>
    <row r="18701" spans="6:8">
      <c r="H18701" t="s">
        <v>22978</v>
      </c>
    </row>
    <row r="18702" spans="6:8">
      <c r="H18702" t="s">
        <v>22979</v>
      </c>
    </row>
    <row r="18703" spans="6:8">
      <c r="H18703" t="s">
        <v>22980</v>
      </c>
    </row>
    <row r="18704" spans="6:8">
      <c r="H18704" t="s">
        <v>22981</v>
      </c>
    </row>
    <row r="18705" spans="6:8">
      <c r="H18705" t="s">
        <v>22982</v>
      </c>
    </row>
    <row r="18706" spans="6:8">
      <c r="H18706" t="s">
        <v>22983</v>
      </c>
    </row>
    <row r="18707" spans="6:8">
      <c r="F18707" t="s">
        <v>12440</v>
      </c>
      <c r="G18707" t="s">
        <v>16661</v>
      </c>
      <c r="H18707" t="s">
        <v>18829</v>
      </c>
    </row>
    <row r="18708" spans="6:8">
      <c r="H18708" t="s">
        <v>22984</v>
      </c>
    </row>
    <row r="18709" spans="6:8">
      <c r="H18709" t="s">
        <v>22985</v>
      </c>
    </row>
    <row r="18710" spans="6:8">
      <c r="H18710" t="s">
        <v>22986</v>
      </c>
    </row>
    <row r="18711" spans="6:8">
      <c r="H18711" t="s">
        <v>22987</v>
      </c>
    </row>
    <row r="18712" spans="6:8">
      <c r="H18712" t="s">
        <v>22988</v>
      </c>
    </row>
    <row r="18713" spans="6:8">
      <c r="H18713" t="s">
        <v>22989</v>
      </c>
    </row>
    <row r="18714" spans="6:8">
      <c r="H18714" t="s">
        <v>22990</v>
      </c>
    </row>
    <row r="18715" spans="6:8">
      <c r="H18715" t="s">
        <v>22991</v>
      </c>
    </row>
    <row r="18716" spans="6:8">
      <c r="H18716" t="s">
        <v>22992</v>
      </c>
    </row>
    <row r="18717" spans="6:8">
      <c r="F18717" t="s">
        <v>12441</v>
      </c>
      <c r="G18717" t="s">
        <v>16662</v>
      </c>
      <c r="H18717" t="s">
        <v>18829</v>
      </c>
    </row>
    <row r="18718" spans="6:8">
      <c r="H18718" t="s">
        <v>22993</v>
      </c>
    </row>
    <row r="18719" spans="6:8">
      <c r="H18719" t="s">
        <v>22994</v>
      </c>
    </row>
    <row r="18720" spans="6:8">
      <c r="H18720" t="s">
        <v>22995</v>
      </c>
    </row>
    <row r="18721" spans="6:8">
      <c r="H18721" t="s">
        <v>22996</v>
      </c>
    </row>
    <row r="18722" spans="6:8">
      <c r="H18722" t="s">
        <v>22997</v>
      </c>
    </row>
    <row r="18723" spans="6:8">
      <c r="H18723" t="s">
        <v>22998</v>
      </c>
    </row>
    <row r="18724" spans="6:8">
      <c r="H18724" t="s">
        <v>22999</v>
      </c>
    </row>
    <row r="18725" spans="6:8">
      <c r="H18725" t="s">
        <v>23000</v>
      </c>
    </row>
    <row r="18726" spans="6:8">
      <c r="H18726" t="s">
        <v>23001</v>
      </c>
    </row>
    <row r="18727" spans="6:8">
      <c r="F18727" t="s">
        <v>12442</v>
      </c>
      <c r="G18727" t="s">
        <v>16663</v>
      </c>
      <c r="H18727" t="s">
        <v>18829</v>
      </c>
    </row>
    <row r="18728" spans="6:8">
      <c r="H18728" t="s">
        <v>23002</v>
      </c>
    </row>
    <row r="18729" spans="6:8">
      <c r="H18729" t="s">
        <v>23003</v>
      </c>
    </row>
    <row r="18730" spans="6:8">
      <c r="H18730" t="s">
        <v>23004</v>
      </c>
    </row>
    <row r="18731" spans="6:8">
      <c r="H18731" t="s">
        <v>23005</v>
      </c>
    </row>
    <row r="18732" spans="6:8">
      <c r="H18732" t="s">
        <v>23006</v>
      </c>
    </row>
    <row r="18733" spans="6:8">
      <c r="H18733" t="s">
        <v>23007</v>
      </c>
    </row>
    <row r="18734" spans="6:8">
      <c r="H18734" t="s">
        <v>23008</v>
      </c>
    </row>
    <row r="18735" spans="6:8">
      <c r="H18735" t="s">
        <v>23009</v>
      </c>
    </row>
    <row r="18736" spans="6:8">
      <c r="H18736" t="s">
        <v>23010</v>
      </c>
    </row>
    <row r="18737" spans="6:8">
      <c r="F18737" t="s">
        <v>12443</v>
      </c>
      <c r="G18737" t="s">
        <v>16664</v>
      </c>
      <c r="H18737" t="s">
        <v>18829</v>
      </c>
    </row>
    <row r="18738" spans="6:8">
      <c r="H18738" t="s">
        <v>23011</v>
      </c>
    </row>
    <row r="18739" spans="6:8">
      <c r="H18739" t="s">
        <v>23012</v>
      </c>
    </row>
    <row r="18740" spans="6:8">
      <c r="H18740" t="s">
        <v>23013</v>
      </c>
    </row>
    <row r="18741" spans="6:8">
      <c r="H18741" t="s">
        <v>23014</v>
      </c>
    </row>
    <row r="18742" spans="6:8">
      <c r="H18742" t="s">
        <v>23015</v>
      </c>
    </row>
    <row r="18743" spans="6:8">
      <c r="H18743" t="s">
        <v>23016</v>
      </c>
    </row>
    <row r="18744" spans="6:8">
      <c r="H18744" t="s">
        <v>23017</v>
      </c>
    </row>
    <row r="18745" spans="6:8">
      <c r="H18745" t="s">
        <v>23018</v>
      </c>
    </row>
    <row r="18746" spans="6:8">
      <c r="H18746" t="s">
        <v>23019</v>
      </c>
    </row>
    <row r="18747" spans="6:8">
      <c r="F18747" t="s">
        <v>12444</v>
      </c>
      <c r="G18747" t="s">
        <v>16665</v>
      </c>
      <c r="H18747" t="s">
        <v>18829</v>
      </c>
    </row>
    <row r="18748" spans="6:8">
      <c r="H18748" t="s">
        <v>23020</v>
      </c>
    </row>
    <row r="18749" spans="6:8">
      <c r="H18749" t="s">
        <v>23021</v>
      </c>
    </row>
    <row r="18750" spans="6:8">
      <c r="H18750" t="s">
        <v>23022</v>
      </c>
    </row>
    <row r="18751" spans="6:8">
      <c r="H18751" t="s">
        <v>23023</v>
      </c>
    </row>
    <row r="18752" spans="6:8">
      <c r="H18752" t="s">
        <v>23024</v>
      </c>
    </row>
    <row r="18753" spans="6:8">
      <c r="H18753" t="s">
        <v>23025</v>
      </c>
    </row>
    <row r="18754" spans="6:8">
      <c r="H18754" t="s">
        <v>23026</v>
      </c>
    </row>
    <row r="18755" spans="6:8">
      <c r="H18755" t="s">
        <v>23027</v>
      </c>
    </row>
    <row r="18756" spans="6:8">
      <c r="H18756" t="s">
        <v>23028</v>
      </c>
    </row>
    <row r="18757" spans="6:8">
      <c r="F18757" t="s">
        <v>12445</v>
      </c>
      <c r="G18757" t="s">
        <v>16666</v>
      </c>
      <c r="H18757" t="s">
        <v>18829</v>
      </c>
    </row>
    <row r="18758" spans="6:8">
      <c r="H18758" t="s">
        <v>23029</v>
      </c>
    </row>
    <row r="18759" spans="6:8">
      <c r="H18759" t="s">
        <v>23030</v>
      </c>
    </row>
    <row r="18760" spans="6:8">
      <c r="H18760" t="s">
        <v>23031</v>
      </c>
    </row>
    <row r="18761" spans="6:8">
      <c r="H18761" t="s">
        <v>23032</v>
      </c>
    </row>
    <row r="18762" spans="6:8">
      <c r="H18762" t="s">
        <v>23033</v>
      </c>
    </row>
    <row r="18763" spans="6:8">
      <c r="H18763" t="s">
        <v>23034</v>
      </c>
    </row>
    <row r="18764" spans="6:8">
      <c r="H18764" t="s">
        <v>23035</v>
      </c>
    </row>
    <row r="18765" spans="6:8">
      <c r="H18765" t="s">
        <v>23036</v>
      </c>
    </row>
    <row r="18766" spans="6:8">
      <c r="H18766" t="s">
        <v>23037</v>
      </c>
    </row>
    <row r="18767" spans="6:8">
      <c r="F18767" t="s">
        <v>12446</v>
      </c>
      <c r="G18767" t="s">
        <v>16667</v>
      </c>
      <c r="H18767" t="s">
        <v>18829</v>
      </c>
    </row>
    <row r="18768" spans="6:8">
      <c r="H18768" t="s">
        <v>23038</v>
      </c>
    </row>
    <row r="18769" spans="6:8">
      <c r="H18769" t="s">
        <v>23039</v>
      </c>
    </row>
    <row r="18770" spans="6:8">
      <c r="H18770" t="s">
        <v>23040</v>
      </c>
    </row>
    <row r="18771" spans="6:8">
      <c r="H18771" t="s">
        <v>23041</v>
      </c>
    </row>
    <row r="18772" spans="6:8">
      <c r="H18772" t="s">
        <v>23042</v>
      </c>
    </row>
    <row r="18773" spans="6:8">
      <c r="H18773" t="s">
        <v>23043</v>
      </c>
    </row>
    <row r="18774" spans="6:8">
      <c r="H18774" t="s">
        <v>23044</v>
      </c>
    </row>
    <row r="18775" spans="6:8">
      <c r="H18775" t="s">
        <v>23045</v>
      </c>
    </row>
    <row r="18776" spans="6:8">
      <c r="H18776" t="s">
        <v>23046</v>
      </c>
    </row>
    <row r="18777" spans="6:8">
      <c r="F18777" t="s">
        <v>12447</v>
      </c>
      <c r="G18777" t="s">
        <v>16668</v>
      </c>
      <c r="H18777" t="s">
        <v>18829</v>
      </c>
    </row>
    <row r="18778" spans="6:8">
      <c r="H18778" t="s">
        <v>23047</v>
      </c>
    </row>
    <row r="18779" spans="6:8">
      <c r="H18779" t="s">
        <v>23048</v>
      </c>
    </row>
    <row r="18780" spans="6:8">
      <c r="H18780" t="s">
        <v>23049</v>
      </c>
    </row>
    <row r="18781" spans="6:8">
      <c r="H18781" t="s">
        <v>23050</v>
      </c>
    </row>
    <row r="18782" spans="6:8">
      <c r="H18782" t="s">
        <v>23051</v>
      </c>
    </row>
    <row r="18783" spans="6:8">
      <c r="H18783" t="s">
        <v>23052</v>
      </c>
    </row>
    <row r="18784" spans="6:8">
      <c r="H18784" t="s">
        <v>23053</v>
      </c>
    </row>
    <row r="18785" spans="6:8">
      <c r="H18785" t="s">
        <v>23054</v>
      </c>
    </row>
    <row r="18786" spans="6:8">
      <c r="H18786" t="s">
        <v>23055</v>
      </c>
    </row>
    <row r="18787" spans="6:8">
      <c r="F18787" t="s">
        <v>12448</v>
      </c>
      <c r="G18787" t="s">
        <v>16669</v>
      </c>
      <c r="H18787" t="s">
        <v>18829</v>
      </c>
    </row>
    <row r="18788" spans="6:8">
      <c r="H18788" t="s">
        <v>23056</v>
      </c>
    </row>
    <row r="18789" spans="6:8">
      <c r="H18789" t="s">
        <v>23057</v>
      </c>
    </row>
    <row r="18790" spans="6:8">
      <c r="H18790" t="s">
        <v>23058</v>
      </c>
    </row>
    <row r="18791" spans="6:8">
      <c r="H18791" t="s">
        <v>23059</v>
      </c>
    </row>
    <row r="18792" spans="6:8">
      <c r="H18792" t="s">
        <v>23060</v>
      </c>
    </row>
    <row r="18793" spans="6:8">
      <c r="H18793" t="s">
        <v>23061</v>
      </c>
    </row>
    <row r="18794" spans="6:8">
      <c r="H18794" t="s">
        <v>23062</v>
      </c>
    </row>
    <row r="18795" spans="6:8">
      <c r="H18795" t="s">
        <v>23063</v>
      </c>
    </row>
    <row r="18796" spans="6:8">
      <c r="H18796" t="s">
        <v>23064</v>
      </c>
    </row>
    <row r="18797" spans="6:8">
      <c r="H18797" t="s">
        <v>23065</v>
      </c>
    </row>
    <row r="18798" spans="6:8">
      <c r="H18798" t="s">
        <v>23066</v>
      </c>
    </row>
    <row r="18799" spans="6:8">
      <c r="H18799" t="s">
        <v>23067</v>
      </c>
    </row>
    <row r="18800" spans="6:8">
      <c r="H18800" t="s">
        <v>23068</v>
      </c>
    </row>
    <row r="18801" spans="8:8">
      <c r="H18801" t="s">
        <v>23069</v>
      </c>
    </row>
    <row r="18802" spans="8:8">
      <c r="H18802" t="s">
        <v>23070</v>
      </c>
    </row>
    <row r="18803" spans="8:8">
      <c r="H18803" t="s">
        <v>23071</v>
      </c>
    </row>
    <row r="18804" spans="8:8">
      <c r="H18804" t="s">
        <v>23072</v>
      </c>
    </row>
    <row r="18805" spans="8:8">
      <c r="H18805" t="s">
        <v>23073</v>
      </c>
    </row>
    <row r="18806" spans="8:8">
      <c r="H18806" t="s">
        <v>23074</v>
      </c>
    </row>
    <row r="18807" spans="8:8">
      <c r="H18807" t="s">
        <v>23075</v>
      </c>
    </row>
    <row r="18808" spans="8:8">
      <c r="H18808" t="s">
        <v>23076</v>
      </c>
    </row>
    <row r="18809" spans="8:8">
      <c r="H18809" t="s">
        <v>23077</v>
      </c>
    </row>
    <row r="18810" spans="8:8">
      <c r="H18810" t="s">
        <v>23078</v>
      </c>
    </row>
    <row r="18811" spans="8:8">
      <c r="H18811" t="s">
        <v>23079</v>
      </c>
    </row>
    <row r="18812" spans="8:8">
      <c r="H18812" t="s">
        <v>23080</v>
      </c>
    </row>
    <row r="18813" spans="8:8">
      <c r="H18813" t="s">
        <v>23081</v>
      </c>
    </row>
    <row r="18814" spans="8:8">
      <c r="H18814" t="s">
        <v>23082</v>
      </c>
    </row>
    <row r="18815" spans="8:8">
      <c r="H18815" t="s">
        <v>23083</v>
      </c>
    </row>
    <row r="18816" spans="8:8">
      <c r="H18816" t="s">
        <v>23084</v>
      </c>
    </row>
    <row r="18817" spans="8:8">
      <c r="H18817" t="s">
        <v>23085</v>
      </c>
    </row>
    <row r="18818" spans="8:8">
      <c r="H18818" t="s">
        <v>23086</v>
      </c>
    </row>
    <row r="18819" spans="8:8">
      <c r="H18819" t="s">
        <v>23087</v>
      </c>
    </row>
    <row r="18820" spans="8:8">
      <c r="H18820" t="s">
        <v>23088</v>
      </c>
    </row>
    <row r="18821" spans="8:8">
      <c r="H18821" t="s">
        <v>23089</v>
      </c>
    </row>
    <row r="18822" spans="8:8">
      <c r="H18822" t="s">
        <v>23090</v>
      </c>
    </row>
    <row r="18823" spans="8:8">
      <c r="H18823" t="s">
        <v>23091</v>
      </c>
    </row>
    <row r="18824" spans="8:8">
      <c r="H18824" t="s">
        <v>23092</v>
      </c>
    </row>
    <row r="18825" spans="8:8">
      <c r="H18825" t="s">
        <v>23093</v>
      </c>
    </row>
    <row r="18826" spans="8:8">
      <c r="H18826" t="s">
        <v>23094</v>
      </c>
    </row>
    <row r="18827" spans="8:8">
      <c r="H18827" t="s">
        <v>23095</v>
      </c>
    </row>
    <row r="18828" spans="8:8">
      <c r="H18828" t="s">
        <v>23096</v>
      </c>
    </row>
    <row r="18829" spans="8:8">
      <c r="H18829" t="s">
        <v>23097</v>
      </c>
    </row>
    <row r="18830" spans="8:8">
      <c r="H18830" t="s">
        <v>23098</v>
      </c>
    </row>
    <row r="18831" spans="8:8">
      <c r="H18831" t="s">
        <v>23099</v>
      </c>
    </row>
    <row r="18832" spans="8:8">
      <c r="H18832" t="s">
        <v>23100</v>
      </c>
    </row>
    <row r="18833" spans="8:8">
      <c r="H18833" t="s">
        <v>23101</v>
      </c>
    </row>
    <row r="18834" spans="8:8">
      <c r="H18834" t="s">
        <v>23102</v>
      </c>
    </row>
    <row r="18835" spans="8:8">
      <c r="H18835" t="s">
        <v>23103</v>
      </c>
    </row>
    <row r="18836" spans="8:8">
      <c r="H18836" t="s">
        <v>23104</v>
      </c>
    </row>
    <row r="18837" spans="8:8">
      <c r="H18837" t="s">
        <v>23105</v>
      </c>
    </row>
    <row r="18838" spans="8:8">
      <c r="H18838" t="s">
        <v>23106</v>
      </c>
    </row>
    <row r="18839" spans="8:8">
      <c r="H18839" t="s">
        <v>23107</v>
      </c>
    </row>
    <row r="18840" spans="8:8">
      <c r="H18840" t="s">
        <v>23108</v>
      </c>
    </row>
    <row r="18841" spans="8:8">
      <c r="H18841" t="s">
        <v>23109</v>
      </c>
    </row>
    <row r="18842" spans="8:8">
      <c r="H18842" t="s">
        <v>23110</v>
      </c>
    </row>
    <row r="18843" spans="8:8">
      <c r="H18843" t="s">
        <v>23111</v>
      </c>
    </row>
    <row r="18844" spans="8:8">
      <c r="H18844" t="s">
        <v>23112</v>
      </c>
    </row>
    <row r="18845" spans="8:8">
      <c r="H18845" t="s">
        <v>23113</v>
      </c>
    </row>
    <row r="18846" spans="8:8">
      <c r="H18846" t="s">
        <v>23114</v>
      </c>
    </row>
    <row r="18847" spans="8:8">
      <c r="H18847" t="s">
        <v>23115</v>
      </c>
    </row>
    <row r="18848" spans="8:8">
      <c r="H18848" t="s">
        <v>23116</v>
      </c>
    </row>
    <row r="18849" spans="8:8">
      <c r="H18849" t="s">
        <v>23117</v>
      </c>
    </row>
    <row r="18850" spans="8:8">
      <c r="H18850" t="s">
        <v>23118</v>
      </c>
    </row>
    <row r="18851" spans="8:8">
      <c r="H18851" t="s">
        <v>23119</v>
      </c>
    </row>
    <row r="18852" spans="8:8">
      <c r="H18852" t="s">
        <v>23120</v>
      </c>
    </row>
    <row r="18853" spans="8:8">
      <c r="H18853" t="s">
        <v>23121</v>
      </c>
    </row>
    <row r="18854" spans="8:8">
      <c r="H18854" t="s">
        <v>23122</v>
      </c>
    </row>
    <row r="18855" spans="8:8">
      <c r="H18855" t="s">
        <v>23123</v>
      </c>
    </row>
    <row r="18856" spans="8:8">
      <c r="H18856" t="s">
        <v>23124</v>
      </c>
    </row>
    <row r="18857" spans="8:8">
      <c r="H18857" t="s">
        <v>23125</v>
      </c>
    </row>
    <row r="18858" spans="8:8">
      <c r="H18858" t="s">
        <v>23126</v>
      </c>
    </row>
    <row r="18859" spans="8:8">
      <c r="H18859" t="s">
        <v>23127</v>
      </c>
    </row>
    <row r="18860" spans="8:8">
      <c r="H18860" t="s">
        <v>23128</v>
      </c>
    </row>
    <row r="18861" spans="8:8">
      <c r="H18861" t="s">
        <v>23129</v>
      </c>
    </row>
    <row r="18862" spans="8:8">
      <c r="H18862" t="s">
        <v>23130</v>
      </c>
    </row>
    <row r="18863" spans="8:8">
      <c r="H18863" t="s">
        <v>23131</v>
      </c>
    </row>
    <row r="18864" spans="8:8">
      <c r="H18864" t="s">
        <v>23132</v>
      </c>
    </row>
    <row r="18865" spans="8:8">
      <c r="H18865" t="s">
        <v>23133</v>
      </c>
    </row>
    <row r="18866" spans="8:8">
      <c r="H18866" t="s">
        <v>23134</v>
      </c>
    </row>
    <row r="18867" spans="8:8">
      <c r="H18867" t="s">
        <v>23135</v>
      </c>
    </row>
    <row r="18868" spans="8:8">
      <c r="H18868" t="s">
        <v>23136</v>
      </c>
    </row>
    <row r="18869" spans="8:8">
      <c r="H18869" t="s">
        <v>23137</v>
      </c>
    </row>
    <row r="18870" spans="8:8">
      <c r="H18870" t="s">
        <v>23138</v>
      </c>
    </row>
    <row r="18871" spans="8:8">
      <c r="H18871" t="s">
        <v>23139</v>
      </c>
    </row>
    <row r="18872" spans="8:8">
      <c r="H18872" t="s">
        <v>23140</v>
      </c>
    </row>
    <row r="18873" spans="8:8">
      <c r="H18873" t="s">
        <v>23141</v>
      </c>
    </row>
    <row r="18874" spans="8:8">
      <c r="H18874" t="s">
        <v>23142</v>
      </c>
    </row>
    <row r="18875" spans="8:8">
      <c r="H18875" t="s">
        <v>23143</v>
      </c>
    </row>
    <row r="18876" spans="8:8">
      <c r="H18876" t="s">
        <v>23144</v>
      </c>
    </row>
    <row r="18877" spans="8:8">
      <c r="H18877" t="s">
        <v>23145</v>
      </c>
    </row>
    <row r="18878" spans="8:8">
      <c r="H18878" t="s">
        <v>23146</v>
      </c>
    </row>
    <row r="18879" spans="8:8">
      <c r="H18879" t="s">
        <v>23147</v>
      </c>
    </row>
    <row r="18880" spans="8:8">
      <c r="H18880" t="s">
        <v>23148</v>
      </c>
    </row>
    <row r="18881" spans="8:8">
      <c r="H18881" t="s">
        <v>23149</v>
      </c>
    </row>
    <row r="18882" spans="8:8">
      <c r="H18882" t="s">
        <v>23150</v>
      </c>
    </row>
    <row r="18883" spans="8:8">
      <c r="H18883" t="s">
        <v>23151</v>
      </c>
    </row>
    <row r="18884" spans="8:8">
      <c r="H18884" t="s">
        <v>23152</v>
      </c>
    </row>
    <row r="18885" spans="8:8">
      <c r="H18885" t="s">
        <v>23153</v>
      </c>
    </row>
    <row r="18886" spans="8:8">
      <c r="H18886" t="s">
        <v>23154</v>
      </c>
    </row>
    <row r="18887" spans="8:8">
      <c r="H18887" t="s">
        <v>23155</v>
      </c>
    </row>
    <row r="18888" spans="8:8">
      <c r="H18888" t="s">
        <v>23156</v>
      </c>
    </row>
    <row r="18889" spans="8:8">
      <c r="H18889" t="s">
        <v>23157</v>
      </c>
    </row>
    <row r="18890" spans="8:8">
      <c r="H18890" t="s">
        <v>23158</v>
      </c>
    </row>
    <row r="18891" spans="8:8">
      <c r="H18891" t="s">
        <v>23159</v>
      </c>
    </row>
    <row r="18892" spans="8:8">
      <c r="H18892" t="s">
        <v>23160</v>
      </c>
    </row>
    <row r="18893" spans="8:8">
      <c r="H18893" t="s">
        <v>23161</v>
      </c>
    </row>
    <row r="18894" spans="8:8">
      <c r="H18894" t="s">
        <v>23162</v>
      </c>
    </row>
    <row r="18895" spans="8:8">
      <c r="H18895" t="s">
        <v>23163</v>
      </c>
    </row>
    <row r="18896" spans="8:8">
      <c r="H18896" t="s">
        <v>23164</v>
      </c>
    </row>
    <row r="18897" spans="8:8">
      <c r="H18897" t="s">
        <v>23165</v>
      </c>
    </row>
    <row r="18898" spans="8:8">
      <c r="H18898" t="s">
        <v>23166</v>
      </c>
    </row>
    <row r="18899" spans="8:8">
      <c r="H18899" t="s">
        <v>23167</v>
      </c>
    </row>
    <row r="18900" spans="8:8">
      <c r="H18900" t="s">
        <v>23168</v>
      </c>
    </row>
    <row r="18901" spans="8:8">
      <c r="H18901" t="s">
        <v>23169</v>
      </c>
    </row>
    <row r="18902" spans="8:8">
      <c r="H18902" t="s">
        <v>23170</v>
      </c>
    </row>
    <row r="18903" spans="8:8">
      <c r="H18903" t="s">
        <v>23171</v>
      </c>
    </row>
    <row r="18904" spans="8:8">
      <c r="H18904" t="s">
        <v>23172</v>
      </c>
    </row>
    <row r="18905" spans="8:8">
      <c r="H18905" t="s">
        <v>23173</v>
      </c>
    </row>
    <row r="18906" spans="8:8">
      <c r="H18906" t="s">
        <v>23174</v>
      </c>
    </row>
    <row r="18907" spans="8:8">
      <c r="H18907" t="s">
        <v>23175</v>
      </c>
    </row>
    <row r="18908" spans="8:8">
      <c r="H18908" t="s">
        <v>23176</v>
      </c>
    </row>
    <row r="18909" spans="8:8">
      <c r="H18909" t="s">
        <v>23177</v>
      </c>
    </row>
    <row r="18910" spans="8:8">
      <c r="H18910" t="s">
        <v>23178</v>
      </c>
    </row>
    <row r="18911" spans="8:8">
      <c r="H18911" t="s">
        <v>23179</v>
      </c>
    </row>
    <row r="18912" spans="8:8">
      <c r="H18912" t="s">
        <v>23180</v>
      </c>
    </row>
    <row r="18913" spans="6:8">
      <c r="H18913" t="s">
        <v>23181</v>
      </c>
    </row>
    <row r="18914" spans="6:8">
      <c r="H18914" t="s">
        <v>21641</v>
      </c>
    </row>
    <row r="18915" spans="6:8">
      <c r="F18915" t="s">
        <v>12449</v>
      </c>
      <c r="G18915" t="s">
        <v>16670</v>
      </c>
      <c r="H18915" t="s">
        <v>18829</v>
      </c>
    </row>
    <row r="18916" spans="6:8">
      <c r="H18916" t="s">
        <v>23182</v>
      </c>
    </row>
    <row r="18917" spans="6:8">
      <c r="H18917" t="s">
        <v>23183</v>
      </c>
    </row>
    <row r="18918" spans="6:8">
      <c r="H18918" t="s">
        <v>23184</v>
      </c>
    </row>
    <row r="18919" spans="6:8">
      <c r="H18919" t="s">
        <v>23185</v>
      </c>
    </row>
    <row r="18920" spans="6:8">
      <c r="H18920" t="s">
        <v>23186</v>
      </c>
    </row>
    <row r="18921" spans="6:8">
      <c r="H18921" t="s">
        <v>23187</v>
      </c>
    </row>
    <row r="18922" spans="6:8">
      <c r="H18922" t="s">
        <v>23188</v>
      </c>
    </row>
    <row r="18923" spans="6:8">
      <c r="H18923" t="s">
        <v>23189</v>
      </c>
    </row>
    <row r="18924" spans="6:8">
      <c r="H18924" t="s">
        <v>23190</v>
      </c>
    </row>
    <row r="18925" spans="6:8">
      <c r="H18925" t="s">
        <v>23191</v>
      </c>
    </row>
    <row r="18926" spans="6:8">
      <c r="H18926" t="s">
        <v>23192</v>
      </c>
    </row>
    <row r="18927" spans="6:8">
      <c r="H18927" t="s">
        <v>23193</v>
      </c>
    </row>
    <row r="18928" spans="6:8">
      <c r="H18928" t="s">
        <v>23194</v>
      </c>
    </row>
    <row r="18929" spans="8:8">
      <c r="H18929" t="s">
        <v>23195</v>
      </c>
    </row>
    <row r="18930" spans="8:8">
      <c r="H18930" t="s">
        <v>23196</v>
      </c>
    </row>
    <row r="18931" spans="8:8">
      <c r="H18931" t="s">
        <v>23197</v>
      </c>
    </row>
    <row r="18932" spans="8:8">
      <c r="H18932" t="s">
        <v>23198</v>
      </c>
    </row>
    <row r="18933" spans="8:8">
      <c r="H18933" t="s">
        <v>23199</v>
      </c>
    </row>
    <row r="18934" spans="8:8">
      <c r="H18934" t="s">
        <v>23200</v>
      </c>
    </row>
    <row r="18935" spans="8:8">
      <c r="H18935" t="s">
        <v>23201</v>
      </c>
    </row>
    <row r="18936" spans="8:8">
      <c r="H18936" t="s">
        <v>23202</v>
      </c>
    </row>
    <row r="18937" spans="8:8">
      <c r="H18937" t="s">
        <v>23203</v>
      </c>
    </row>
    <row r="18938" spans="8:8">
      <c r="H18938" t="s">
        <v>23204</v>
      </c>
    </row>
    <row r="18939" spans="8:8">
      <c r="H18939" t="s">
        <v>23205</v>
      </c>
    </row>
    <row r="18940" spans="8:8">
      <c r="H18940" t="s">
        <v>23206</v>
      </c>
    </row>
    <row r="18941" spans="8:8">
      <c r="H18941" t="s">
        <v>23207</v>
      </c>
    </row>
    <row r="18942" spans="8:8">
      <c r="H18942" t="s">
        <v>23208</v>
      </c>
    </row>
    <row r="18943" spans="8:8">
      <c r="H18943" t="s">
        <v>23209</v>
      </c>
    </row>
    <row r="18944" spans="8:8">
      <c r="H18944" t="s">
        <v>23210</v>
      </c>
    </row>
    <row r="18945" spans="8:8">
      <c r="H18945" t="s">
        <v>23211</v>
      </c>
    </row>
    <row r="18946" spans="8:8">
      <c r="H18946" t="s">
        <v>23212</v>
      </c>
    </row>
    <row r="18947" spans="8:8">
      <c r="H18947" t="s">
        <v>23213</v>
      </c>
    </row>
    <row r="18948" spans="8:8">
      <c r="H18948" t="s">
        <v>23214</v>
      </c>
    </row>
    <row r="18949" spans="8:8">
      <c r="H18949" t="s">
        <v>23215</v>
      </c>
    </row>
    <row r="18950" spans="8:8">
      <c r="H18950" t="s">
        <v>23216</v>
      </c>
    </row>
    <row r="18951" spans="8:8">
      <c r="H18951" t="s">
        <v>23217</v>
      </c>
    </row>
    <row r="18952" spans="8:8">
      <c r="H18952" t="s">
        <v>23218</v>
      </c>
    </row>
    <row r="18953" spans="8:8">
      <c r="H18953" t="s">
        <v>23219</v>
      </c>
    </row>
    <row r="18954" spans="8:8">
      <c r="H18954" t="s">
        <v>23220</v>
      </c>
    </row>
    <row r="18955" spans="8:8">
      <c r="H18955" t="s">
        <v>23221</v>
      </c>
    </row>
    <row r="18956" spans="8:8">
      <c r="H18956" t="s">
        <v>23222</v>
      </c>
    </row>
    <row r="18957" spans="8:8">
      <c r="H18957" t="s">
        <v>23223</v>
      </c>
    </row>
    <row r="18958" spans="8:8">
      <c r="H18958" t="s">
        <v>23224</v>
      </c>
    </row>
    <row r="18959" spans="8:8">
      <c r="H18959" t="s">
        <v>23225</v>
      </c>
    </row>
    <row r="18960" spans="8:8">
      <c r="H18960" t="s">
        <v>23226</v>
      </c>
    </row>
    <row r="18961" spans="6:8">
      <c r="H18961" t="s">
        <v>23227</v>
      </c>
    </row>
    <row r="18962" spans="6:8">
      <c r="H18962" t="s">
        <v>23228</v>
      </c>
    </row>
    <row r="18963" spans="6:8">
      <c r="H18963" t="s">
        <v>23229</v>
      </c>
    </row>
    <row r="18964" spans="6:8">
      <c r="H18964" t="s">
        <v>23230</v>
      </c>
    </row>
    <row r="18965" spans="6:8">
      <c r="F18965" t="s">
        <v>12450</v>
      </c>
      <c r="G18965" t="s">
        <v>16671</v>
      </c>
      <c r="H18965" t="s">
        <v>18829</v>
      </c>
    </row>
    <row r="18966" spans="6:8">
      <c r="H18966" t="s">
        <v>23231</v>
      </c>
    </row>
    <row r="18967" spans="6:8">
      <c r="H18967" t="s">
        <v>23232</v>
      </c>
    </row>
    <row r="18968" spans="6:8">
      <c r="H18968" t="s">
        <v>23233</v>
      </c>
    </row>
    <row r="18969" spans="6:8">
      <c r="H18969" t="s">
        <v>23234</v>
      </c>
    </row>
    <row r="18970" spans="6:8">
      <c r="H18970" t="s">
        <v>23235</v>
      </c>
    </row>
    <row r="18971" spans="6:8">
      <c r="H18971" t="s">
        <v>23236</v>
      </c>
    </row>
    <row r="18972" spans="6:8">
      <c r="H18972" t="s">
        <v>23237</v>
      </c>
    </row>
    <row r="18973" spans="6:8">
      <c r="H18973" t="s">
        <v>23238</v>
      </c>
    </row>
    <row r="18974" spans="6:8">
      <c r="H18974" t="s">
        <v>23239</v>
      </c>
    </row>
    <row r="18975" spans="6:8">
      <c r="H18975" t="s">
        <v>23240</v>
      </c>
    </row>
    <row r="18976" spans="6:8">
      <c r="H18976" t="s">
        <v>23241</v>
      </c>
    </row>
    <row r="18977" spans="8:8">
      <c r="H18977" t="s">
        <v>23242</v>
      </c>
    </row>
    <row r="18978" spans="8:8">
      <c r="H18978" t="s">
        <v>23243</v>
      </c>
    </row>
    <row r="18979" spans="8:8">
      <c r="H18979" t="s">
        <v>23244</v>
      </c>
    </row>
    <row r="18980" spans="8:8">
      <c r="H18980" t="s">
        <v>23245</v>
      </c>
    </row>
    <row r="18981" spans="8:8">
      <c r="H18981" t="s">
        <v>23246</v>
      </c>
    </row>
    <row r="18982" spans="8:8">
      <c r="H18982" t="s">
        <v>23247</v>
      </c>
    </row>
    <row r="18983" spans="8:8">
      <c r="H18983" t="s">
        <v>23248</v>
      </c>
    </row>
    <row r="18984" spans="8:8">
      <c r="H18984" t="s">
        <v>23249</v>
      </c>
    </row>
    <row r="18985" spans="8:8">
      <c r="H18985" t="s">
        <v>23250</v>
      </c>
    </row>
    <row r="18986" spans="8:8">
      <c r="H18986" t="s">
        <v>23251</v>
      </c>
    </row>
    <row r="18987" spans="8:8">
      <c r="H18987" t="s">
        <v>23252</v>
      </c>
    </row>
    <row r="18988" spans="8:8">
      <c r="H18988" t="s">
        <v>23253</v>
      </c>
    </row>
    <row r="18989" spans="8:8">
      <c r="H18989" t="s">
        <v>23254</v>
      </c>
    </row>
    <row r="18990" spans="8:8">
      <c r="H18990" t="s">
        <v>23255</v>
      </c>
    </row>
    <row r="18991" spans="8:8">
      <c r="H18991" t="s">
        <v>23256</v>
      </c>
    </row>
    <row r="18992" spans="8:8">
      <c r="H18992" t="s">
        <v>23257</v>
      </c>
    </row>
    <row r="18993" spans="8:8">
      <c r="H18993" t="s">
        <v>23258</v>
      </c>
    </row>
    <row r="18994" spans="8:8">
      <c r="H18994" t="s">
        <v>23259</v>
      </c>
    </row>
    <row r="18995" spans="8:8">
      <c r="H18995" t="s">
        <v>23260</v>
      </c>
    </row>
    <row r="18996" spans="8:8">
      <c r="H18996" t="s">
        <v>23261</v>
      </c>
    </row>
    <row r="18997" spans="8:8">
      <c r="H18997" t="s">
        <v>23262</v>
      </c>
    </row>
    <row r="18998" spans="8:8">
      <c r="H18998" t="s">
        <v>23263</v>
      </c>
    </row>
    <row r="18999" spans="8:8">
      <c r="H18999" t="s">
        <v>23264</v>
      </c>
    </row>
    <row r="19000" spans="8:8">
      <c r="H19000" t="s">
        <v>23265</v>
      </c>
    </row>
    <row r="19001" spans="8:8">
      <c r="H19001" t="s">
        <v>23266</v>
      </c>
    </row>
    <row r="19002" spans="8:8">
      <c r="H19002" t="s">
        <v>23267</v>
      </c>
    </row>
    <row r="19003" spans="8:8">
      <c r="H19003" t="s">
        <v>23268</v>
      </c>
    </row>
    <row r="19004" spans="8:8">
      <c r="H19004" t="s">
        <v>23269</v>
      </c>
    </row>
    <row r="19005" spans="8:8">
      <c r="H19005" t="s">
        <v>23270</v>
      </c>
    </row>
    <row r="19006" spans="8:8">
      <c r="H19006" t="s">
        <v>23271</v>
      </c>
    </row>
    <row r="19007" spans="8:8">
      <c r="H19007" t="s">
        <v>23272</v>
      </c>
    </row>
    <row r="19008" spans="8:8">
      <c r="H19008" t="s">
        <v>23273</v>
      </c>
    </row>
    <row r="19009" spans="8:8">
      <c r="H19009" t="s">
        <v>23274</v>
      </c>
    </row>
    <row r="19010" spans="8:8">
      <c r="H19010" t="s">
        <v>23275</v>
      </c>
    </row>
    <row r="19011" spans="8:8">
      <c r="H19011" t="s">
        <v>23276</v>
      </c>
    </row>
    <row r="19012" spans="8:8">
      <c r="H19012" t="s">
        <v>23277</v>
      </c>
    </row>
    <row r="19013" spans="8:8">
      <c r="H19013" t="s">
        <v>23278</v>
      </c>
    </row>
    <row r="19014" spans="8:8">
      <c r="H19014" t="s">
        <v>23279</v>
      </c>
    </row>
    <row r="19015" spans="8:8">
      <c r="H19015" t="s">
        <v>23280</v>
      </c>
    </row>
    <row r="19016" spans="8:8">
      <c r="H19016" t="s">
        <v>23281</v>
      </c>
    </row>
    <row r="19017" spans="8:8">
      <c r="H19017" t="s">
        <v>23282</v>
      </c>
    </row>
    <row r="19018" spans="8:8">
      <c r="H19018" t="s">
        <v>23283</v>
      </c>
    </row>
    <row r="19019" spans="8:8">
      <c r="H19019" t="s">
        <v>23284</v>
      </c>
    </row>
    <row r="19020" spans="8:8">
      <c r="H19020" t="s">
        <v>23285</v>
      </c>
    </row>
    <row r="19021" spans="8:8">
      <c r="H19021" t="s">
        <v>23286</v>
      </c>
    </row>
    <row r="19022" spans="8:8">
      <c r="H19022" t="s">
        <v>23287</v>
      </c>
    </row>
    <row r="19023" spans="8:8">
      <c r="H19023" t="s">
        <v>23288</v>
      </c>
    </row>
    <row r="19024" spans="8:8">
      <c r="H19024" t="s">
        <v>23289</v>
      </c>
    </row>
    <row r="19025" spans="8:8">
      <c r="H19025" t="s">
        <v>23290</v>
      </c>
    </row>
    <row r="19026" spans="8:8">
      <c r="H19026" t="s">
        <v>23291</v>
      </c>
    </row>
    <row r="19027" spans="8:8">
      <c r="H19027" t="s">
        <v>23292</v>
      </c>
    </row>
    <row r="19028" spans="8:8">
      <c r="H19028" t="s">
        <v>23293</v>
      </c>
    </row>
    <row r="19029" spans="8:8">
      <c r="H19029" t="s">
        <v>23294</v>
      </c>
    </row>
    <row r="19030" spans="8:8">
      <c r="H19030" t="s">
        <v>23295</v>
      </c>
    </row>
    <row r="19031" spans="8:8">
      <c r="H19031" t="s">
        <v>23296</v>
      </c>
    </row>
    <row r="19032" spans="8:8">
      <c r="H19032" t="s">
        <v>23297</v>
      </c>
    </row>
    <row r="19033" spans="8:8">
      <c r="H19033" t="s">
        <v>23298</v>
      </c>
    </row>
    <row r="19034" spans="8:8">
      <c r="H19034" t="s">
        <v>23299</v>
      </c>
    </row>
    <row r="19035" spans="8:8">
      <c r="H19035" t="s">
        <v>23300</v>
      </c>
    </row>
    <row r="19036" spans="8:8">
      <c r="H19036" t="s">
        <v>23301</v>
      </c>
    </row>
    <row r="19037" spans="8:8">
      <c r="H19037" t="s">
        <v>23302</v>
      </c>
    </row>
    <row r="19038" spans="8:8">
      <c r="H19038" t="s">
        <v>23303</v>
      </c>
    </row>
    <row r="19039" spans="8:8">
      <c r="H19039" t="s">
        <v>23304</v>
      </c>
    </row>
    <row r="19040" spans="8:8">
      <c r="H19040" t="s">
        <v>23305</v>
      </c>
    </row>
    <row r="19041" spans="8:8">
      <c r="H19041" t="s">
        <v>23306</v>
      </c>
    </row>
    <row r="19042" spans="8:8">
      <c r="H19042" t="s">
        <v>23307</v>
      </c>
    </row>
    <row r="19043" spans="8:8">
      <c r="H19043" t="s">
        <v>23308</v>
      </c>
    </row>
    <row r="19044" spans="8:8">
      <c r="H19044" t="s">
        <v>23309</v>
      </c>
    </row>
    <row r="19045" spans="8:8">
      <c r="H19045" t="s">
        <v>23310</v>
      </c>
    </row>
    <row r="19046" spans="8:8">
      <c r="H19046" t="s">
        <v>23311</v>
      </c>
    </row>
    <row r="19047" spans="8:8">
      <c r="H19047" t="s">
        <v>23312</v>
      </c>
    </row>
    <row r="19048" spans="8:8">
      <c r="H19048" t="s">
        <v>23313</v>
      </c>
    </row>
    <row r="19049" spans="8:8">
      <c r="H19049" t="s">
        <v>23314</v>
      </c>
    </row>
    <row r="19050" spans="8:8">
      <c r="H19050" t="s">
        <v>23315</v>
      </c>
    </row>
    <row r="19051" spans="8:8">
      <c r="H19051" t="s">
        <v>23316</v>
      </c>
    </row>
    <row r="19052" spans="8:8">
      <c r="H19052" t="s">
        <v>23317</v>
      </c>
    </row>
    <row r="19053" spans="8:8">
      <c r="H19053" t="s">
        <v>23318</v>
      </c>
    </row>
    <row r="19054" spans="8:8">
      <c r="H19054" t="s">
        <v>23319</v>
      </c>
    </row>
    <row r="19055" spans="8:8">
      <c r="H19055" t="s">
        <v>23320</v>
      </c>
    </row>
    <row r="19056" spans="8:8">
      <c r="H19056" t="s">
        <v>23321</v>
      </c>
    </row>
    <row r="19057" spans="8:8">
      <c r="H19057" t="s">
        <v>23322</v>
      </c>
    </row>
    <row r="19058" spans="8:8">
      <c r="H19058" t="s">
        <v>23323</v>
      </c>
    </row>
    <row r="19059" spans="8:8">
      <c r="H19059" t="s">
        <v>23324</v>
      </c>
    </row>
    <row r="19060" spans="8:8">
      <c r="H19060" t="s">
        <v>23325</v>
      </c>
    </row>
    <row r="19061" spans="8:8">
      <c r="H19061" t="s">
        <v>23326</v>
      </c>
    </row>
    <row r="19062" spans="8:8">
      <c r="H19062" t="s">
        <v>23327</v>
      </c>
    </row>
    <row r="19063" spans="8:8">
      <c r="H19063" t="s">
        <v>23328</v>
      </c>
    </row>
    <row r="19064" spans="8:8">
      <c r="H19064" t="s">
        <v>23329</v>
      </c>
    </row>
    <row r="19065" spans="8:8">
      <c r="H19065" t="s">
        <v>23330</v>
      </c>
    </row>
    <row r="19066" spans="8:8">
      <c r="H19066" t="s">
        <v>23331</v>
      </c>
    </row>
    <row r="19067" spans="8:8">
      <c r="H19067" t="s">
        <v>23332</v>
      </c>
    </row>
    <row r="19068" spans="8:8">
      <c r="H19068" t="s">
        <v>23333</v>
      </c>
    </row>
    <row r="19069" spans="8:8">
      <c r="H19069" t="s">
        <v>23334</v>
      </c>
    </row>
    <row r="19070" spans="8:8">
      <c r="H19070" t="s">
        <v>23335</v>
      </c>
    </row>
    <row r="19071" spans="8:8">
      <c r="H19071" t="s">
        <v>23336</v>
      </c>
    </row>
    <row r="19072" spans="8:8">
      <c r="H19072" t="s">
        <v>23337</v>
      </c>
    </row>
    <row r="19073" spans="8:8">
      <c r="H19073" t="s">
        <v>23338</v>
      </c>
    </row>
    <row r="19074" spans="8:8">
      <c r="H19074" t="s">
        <v>23339</v>
      </c>
    </row>
    <row r="19075" spans="8:8">
      <c r="H19075" t="s">
        <v>23340</v>
      </c>
    </row>
    <row r="19076" spans="8:8">
      <c r="H19076" t="s">
        <v>23341</v>
      </c>
    </row>
    <row r="19077" spans="8:8">
      <c r="H19077" t="s">
        <v>23342</v>
      </c>
    </row>
    <row r="19078" spans="8:8">
      <c r="H19078" t="s">
        <v>23343</v>
      </c>
    </row>
    <row r="19079" spans="8:8">
      <c r="H19079" t="s">
        <v>23344</v>
      </c>
    </row>
    <row r="19080" spans="8:8">
      <c r="H19080" t="s">
        <v>23345</v>
      </c>
    </row>
    <row r="19081" spans="8:8">
      <c r="H19081" t="s">
        <v>23346</v>
      </c>
    </row>
    <row r="19082" spans="8:8">
      <c r="H19082" t="s">
        <v>23347</v>
      </c>
    </row>
    <row r="19083" spans="8:8">
      <c r="H19083" t="s">
        <v>23348</v>
      </c>
    </row>
    <row r="19084" spans="8:8">
      <c r="H19084" t="s">
        <v>23349</v>
      </c>
    </row>
    <row r="19085" spans="8:8">
      <c r="H19085" t="s">
        <v>23350</v>
      </c>
    </row>
    <row r="19086" spans="8:8">
      <c r="H19086" t="s">
        <v>23351</v>
      </c>
    </row>
    <row r="19087" spans="8:8">
      <c r="H19087" t="s">
        <v>23352</v>
      </c>
    </row>
    <row r="19088" spans="8:8">
      <c r="H19088" t="s">
        <v>23353</v>
      </c>
    </row>
    <row r="19089" spans="8:8">
      <c r="H19089" t="s">
        <v>23354</v>
      </c>
    </row>
    <row r="19090" spans="8:8">
      <c r="H19090" t="s">
        <v>23355</v>
      </c>
    </row>
    <row r="19091" spans="8:8">
      <c r="H19091" t="s">
        <v>23356</v>
      </c>
    </row>
    <row r="19092" spans="8:8">
      <c r="H19092" t="s">
        <v>23357</v>
      </c>
    </row>
    <row r="19093" spans="8:8">
      <c r="H19093" t="s">
        <v>23358</v>
      </c>
    </row>
    <row r="19094" spans="8:8">
      <c r="H19094" t="s">
        <v>23359</v>
      </c>
    </row>
    <row r="19095" spans="8:8">
      <c r="H19095" t="s">
        <v>23360</v>
      </c>
    </row>
    <row r="19096" spans="8:8">
      <c r="H19096" t="s">
        <v>23361</v>
      </c>
    </row>
    <row r="19097" spans="8:8">
      <c r="H19097" t="s">
        <v>23362</v>
      </c>
    </row>
    <row r="19098" spans="8:8">
      <c r="H19098" t="s">
        <v>23363</v>
      </c>
    </row>
    <row r="19099" spans="8:8">
      <c r="H19099" t="s">
        <v>23364</v>
      </c>
    </row>
    <row r="19100" spans="8:8">
      <c r="H19100" t="s">
        <v>23365</v>
      </c>
    </row>
    <row r="19101" spans="8:8">
      <c r="H19101" t="s">
        <v>23366</v>
      </c>
    </row>
    <row r="19102" spans="8:8">
      <c r="H19102" t="s">
        <v>23367</v>
      </c>
    </row>
    <row r="19103" spans="8:8">
      <c r="H19103" t="s">
        <v>23368</v>
      </c>
    </row>
    <row r="19104" spans="8:8">
      <c r="H19104" t="s">
        <v>23369</v>
      </c>
    </row>
    <row r="19105" spans="8:8">
      <c r="H19105" t="s">
        <v>23370</v>
      </c>
    </row>
    <row r="19106" spans="8:8">
      <c r="H19106" t="s">
        <v>23371</v>
      </c>
    </row>
    <row r="19107" spans="8:8">
      <c r="H19107" t="s">
        <v>23372</v>
      </c>
    </row>
    <row r="19108" spans="8:8">
      <c r="H19108" t="s">
        <v>23373</v>
      </c>
    </row>
    <row r="19109" spans="8:8">
      <c r="H19109" t="s">
        <v>23374</v>
      </c>
    </row>
    <row r="19110" spans="8:8">
      <c r="H19110" t="s">
        <v>23375</v>
      </c>
    </row>
    <row r="19111" spans="8:8">
      <c r="H19111" t="s">
        <v>23376</v>
      </c>
    </row>
    <row r="19112" spans="8:8">
      <c r="H19112" t="s">
        <v>23377</v>
      </c>
    </row>
    <row r="19113" spans="8:8">
      <c r="H19113" t="s">
        <v>23378</v>
      </c>
    </row>
    <row r="19114" spans="8:8">
      <c r="H19114" t="s">
        <v>23379</v>
      </c>
    </row>
    <row r="19115" spans="8:8">
      <c r="H19115" t="s">
        <v>23380</v>
      </c>
    </row>
    <row r="19116" spans="8:8">
      <c r="H19116" t="s">
        <v>23381</v>
      </c>
    </row>
    <row r="19117" spans="8:8">
      <c r="H19117" t="s">
        <v>23382</v>
      </c>
    </row>
    <row r="19118" spans="8:8">
      <c r="H19118" t="s">
        <v>23383</v>
      </c>
    </row>
    <row r="19119" spans="8:8">
      <c r="H19119" t="s">
        <v>23384</v>
      </c>
    </row>
    <row r="19120" spans="8:8">
      <c r="H19120" t="s">
        <v>23385</v>
      </c>
    </row>
    <row r="19121" spans="8:8">
      <c r="H19121" t="s">
        <v>23386</v>
      </c>
    </row>
    <row r="19122" spans="8:8">
      <c r="H19122" t="s">
        <v>23387</v>
      </c>
    </row>
    <row r="19123" spans="8:8">
      <c r="H19123" t="s">
        <v>23388</v>
      </c>
    </row>
    <row r="19124" spans="8:8">
      <c r="H19124" t="s">
        <v>23389</v>
      </c>
    </row>
    <row r="19125" spans="8:8">
      <c r="H19125" t="s">
        <v>23390</v>
      </c>
    </row>
    <row r="19126" spans="8:8">
      <c r="H19126" t="s">
        <v>23391</v>
      </c>
    </row>
    <row r="19127" spans="8:8">
      <c r="H19127" t="s">
        <v>23392</v>
      </c>
    </row>
    <row r="19128" spans="8:8">
      <c r="H19128" t="s">
        <v>23393</v>
      </c>
    </row>
    <row r="19129" spans="8:8">
      <c r="H19129" t="s">
        <v>23394</v>
      </c>
    </row>
    <row r="19130" spans="8:8">
      <c r="H19130" t="s">
        <v>23395</v>
      </c>
    </row>
    <row r="19131" spans="8:8">
      <c r="H19131" t="s">
        <v>23396</v>
      </c>
    </row>
    <row r="19132" spans="8:8">
      <c r="H19132" t="s">
        <v>23397</v>
      </c>
    </row>
    <row r="19133" spans="8:8">
      <c r="H19133" t="s">
        <v>23398</v>
      </c>
    </row>
    <row r="19134" spans="8:8">
      <c r="H19134" t="s">
        <v>23399</v>
      </c>
    </row>
    <row r="19135" spans="8:8">
      <c r="H19135" t="s">
        <v>23400</v>
      </c>
    </row>
    <row r="19136" spans="8:8">
      <c r="H19136" t="s">
        <v>23401</v>
      </c>
    </row>
    <row r="19137" spans="8:8">
      <c r="H19137" t="s">
        <v>23402</v>
      </c>
    </row>
    <row r="19138" spans="8:8">
      <c r="H19138" t="s">
        <v>23403</v>
      </c>
    </row>
    <row r="19139" spans="8:8">
      <c r="H19139" t="s">
        <v>23404</v>
      </c>
    </row>
    <row r="19140" spans="8:8">
      <c r="H19140" t="s">
        <v>23405</v>
      </c>
    </row>
    <row r="19141" spans="8:8">
      <c r="H19141" t="s">
        <v>23406</v>
      </c>
    </row>
    <row r="19142" spans="8:8">
      <c r="H19142" t="s">
        <v>23407</v>
      </c>
    </row>
    <row r="19143" spans="8:8">
      <c r="H19143" t="s">
        <v>23408</v>
      </c>
    </row>
    <row r="19144" spans="8:8">
      <c r="H19144" t="s">
        <v>23409</v>
      </c>
    </row>
    <row r="19145" spans="8:8">
      <c r="H19145" t="s">
        <v>23410</v>
      </c>
    </row>
    <row r="19146" spans="8:8">
      <c r="H19146" t="s">
        <v>23411</v>
      </c>
    </row>
    <row r="19147" spans="8:8">
      <c r="H19147" t="s">
        <v>23412</v>
      </c>
    </row>
    <row r="19148" spans="8:8">
      <c r="H19148" t="s">
        <v>23413</v>
      </c>
    </row>
    <row r="19149" spans="8:8">
      <c r="H19149" t="s">
        <v>23414</v>
      </c>
    </row>
    <row r="19150" spans="8:8">
      <c r="H19150" t="s">
        <v>23415</v>
      </c>
    </row>
    <row r="19151" spans="8:8">
      <c r="H19151" t="s">
        <v>23416</v>
      </c>
    </row>
    <row r="19152" spans="8:8">
      <c r="H19152" t="s">
        <v>23417</v>
      </c>
    </row>
    <row r="19153" spans="8:8">
      <c r="H19153" t="s">
        <v>23418</v>
      </c>
    </row>
    <row r="19154" spans="8:8">
      <c r="H19154" t="s">
        <v>23419</v>
      </c>
    </row>
    <row r="19155" spans="8:8">
      <c r="H19155" t="s">
        <v>23420</v>
      </c>
    </row>
    <row r="19156" spans="8:8">
      <c r="H19156" t="s">
        <v>23421</v>
      </c>
    </row>
    <row r="19157" spans="8:8">
      <c r="H19157" t="s">
        <v>23422</v>
      </c>
    </row>
    <row r="19158" spans="8:8">
      <c r="H19158" t="s">
        <v>23423</v>
      </c>
    </row>
    <row r="19159" spans="8:8">
      <c r="H19159" t="s">
        <v>23424</v>
      </c>
    </row>
    <row r="19160" spans="8:8">
      <c r="H19160" t="s">
        <v>23425</v>
      </c>
    </row>
    <row r="19161" spans="8:8">
      <c r="H19161" t="s">
        <v>23426</v>
      </c>
    </row>
    <row r="19162" spans="8:8">
      <c r="H19162" t="s">
        <v>23427</v>
      </c>
    </row>
    <row r="19163" spans="8:8">
      <c r="H19163" t="s">
        <v>23428</v>
      </c>
    </row>
    <row r="19164" spans="8:8">
      <c r="H19164" t="s">
        <v>23429</v>
      </c>
    </row>
    <row r="19165" spans="8:8">
      <c r="H19165" t="s">
        <v>23430</v>
      </c>
    </row>
    <row r="19166" spans="8:8">
      <c r="H19166" t="s">
        <v>23431</v>
      </c>
    </row>
    <row r="19167" spans="8:8">
      <c r="H19167" t="s">
        <v>23432</v>
      </c>
    </row>
    <row r="19168" spans="8:8">
      <c r="H19168" t="s">
        <v>23433</v>
      </c>
    </row>
    <row r="19169" spans="8:8">
      <c r="H19169" t="s">
        <v>23434</v>
      </c>
    </row>
    <row r="19170" spans="8:8">
      <c r="H19170" t="s">
        <v>23435</v>
      </c>
    </row>
    <row r="19171" spans="8:8">
      <c r="H19171" t="s">
        <v>23436</v>
      </c>
    </row>
    <row r="19172" spans="8:8">
      <c r="H19172" t="s">
        <v>23437</v>
      </c>
    </row>
    <row r="19173" spans="8:8">
      <c r="H19173" t="s">
        <v>23438</v>
      </c>
    </row>
    <row r="19174" spans="8:8">
      <c r="H19174" t="s">
        <v>23439</v>
      </c>
    </row>
    <row r="19175" spans="8:8">
      <c r="H19175" t="s">
        <v>23440</v>
      </c>
    </row>
    <row r="19176" spans="8:8">
      <c r="H19176" t="s">
        <v>23441</v>
      </c>
    </row>
    <row r="19177" spans="8:8">
      <c r="H19177" t="s">
        <v>23442</v>
      </c>
    </row>
    <row r="19178" spans="8:8">
      <c r="H19178" t="s">
        <v>23443</v>
      </c>
    </row>
    <row r="19179" spans="8:8">
      <c r="H19179" t="s">
        <v>23444</v>
      </c>
    </row>
    <row r="19180" spans="8:8">
      <c r="H19180" t="s">
        <v>23445</v>
      </c>
    </row>
    <row r="19181" spans="8:8">
      <c r="H19181" t="s">
        <v>23446</v>
      </c>
    </row>
    <row r="19182" spans="8:8">
      <c r="H19182" t="s">
        <v>23447</v>
      </c>
    </row>
    <row r="19183" spans="8:8">
      <c r="H19183" t="s">
        <v>23448</v>
      </c>
    </row>
    <row r="19184" spans="8:8">
      <c r="H19184" t="s">
        <v>23449</v>
      </c>
    </row>
    <row r="19185" spans="8:8">
      <c r="H19185" t="s">
        <v>23450</v>
      </c>
    </row>
    <row r="19186" spans="8:8">
      <c r="H19186" t="s">
        <v>23451</v>
      </c>
    </row>
    <row r="19187" spans="8:8">
      <c r="H19187" t="s">
        <v>23452</v>
      </c>
    </row>
    <row r="19188" spans="8:8">
      <c r="H19188" t="s">
        <v>23453</v>
      </c>
    </row>
    <row r="19189" spans="8:8">
      <c r="H19189" t="s">
        <v>23454</v>
      </c>
    </row>
    <row r="19190" spans="8:8">
      <c r="H19190" t="s">
        <v>23455</v>
      </c>
    </row>
    <row r="19191" spans="8:8">
      <c r="H19191" t="s">
        <v>23456</v>
      </c>
    </row>
    <row r="19192" spans="8:8">
      <c r="H19192" t="s">
        <v>23457</v>
      </c>
    </row>
    <row r="19193" spans="8:8">
      <c r="H19193" t="s">
        <v>23458</v>
      </c>
    </row>
    <row r="19194" spans="8:8">
      <c r="H19194" t="s">
        <v>23459</v>
      </c>
    </row>
    <row r="19195" spans="8:8">
      <c r="H19195" t="s">
        <v>23460</v>
      </c>
    </row>
    <row r="19196" spans="8:8">
      <c r="H19196" t="s">
        <v>23461</v>
      </c>
    </row>
    <row r="19197" spans="8:8">
      <c r="H19197" t="s">
        <v>23462</v>
      </c>
    </row>
    <row r="19198" spans="8:8">
      <c r="H19198" t="s">
        <v>23463</v>
      </c>
    </row>
    <row r="19199" spans="8:8">
      <c r="H19199" t="s">
        <v>23464</v>
      </c>
    </row>
    <row r="19200" spans="8:8">
      <c r="H19200" t="s">
        <v>23465</v>
      </c>
    </row>
    <row r="19201" spans="8:8">
      <c r="H19201" t="s">
        <v>23466</v>
      </c>
    </row>
    <row r="19202" spans="8:8">
      <c r="H19202" t="s">
        <v>23467</v>
      </c>
    </row>
    <row r="19203" spans="8:8">
      <c r="H19203" t="s">
        <v>23468</v>
      </c>
    </row>
    <row r="19204" spans="8:8">
      <c r="H19204" t="s">
        <v>23469</v>
      </c>
    </row>
    <row r="19205" spans="8:8">
      <c r="H19205" t="s">
        <v>23470</v>
      </c>
    </row>
    <row r="19206" spans="8:8">
      <c r="H19206" t="s">
        <v>23471</v>
      </c>
    </row>
    <row r="19207" spans="8:8">
      <c r="H19207" t="s">
        <v>23472</v>
      </c>
    </row>
    <row r="19208" spans="8:8">
      <c r="H19208" t="s">
        <v>23473</v>
      </c>
    </row>
    <row r="19209" spans="8:8">
      <c r="H19209" t="s">
        <v>23474</v>
      </c>
    </row>
    <row r="19210" spans="8:8">
      <c r="H19210" t="s">
        <v>23475</v>
      </c>
    </row>
    <row r="19211" spans="8:8">
      <c r="H19211" t="s">
        <v>23476</v>
      </c>
    </row>
    <row r="19212" spans="8:8">
      <c r="H19212" t="s">
        <v>23477</v>
      </c>
    </row>
    <row r="19213" spans="8:8">
      <c r="H19213" t="s">
        <v>23478</v>
      </c>
    </row>
    <row r="19214" spans="8:8">
      <c r="H19214" t="s">
        <v>23479</v>
      </c>
    </row>
    <row r="19215" spans="8:8">
      <c r="H19215" t="s">
        <v>23480</v>
      </c>
    </row>
    <row r="19216" spans="8:8">
      <c r="H19216" t="s">
        <v>23481</v>
      </c>
    </row>
    <row r="19217" spans="8:8">
      <c r="H19217" t="s">
        <v>23482</v>
      </c>
    </row>
    <row r="19218" spans="8:8">
      <c r="H19218" t="s">
        <v>23483</v>
      </c>
    </row>
    <row r="19219" spans="8:8">
      <c r="H19219" t="s">
        <v>23484</v>
      </c>
    </row>
    <row r="19220" spans="8:8">
      <c r="H19220" t="s">
        <v>23485</v>
      </c>
    </row>
    <row r="19221" spans="8:8">
      <c r="H19221" t="s">
        <v>23486</v>
      </c>
    </row>
    <row r="19222" spans="8:8">
      <c r="H19222" t="s">
        <v>23487</v>
      </c>
    </row>
    <row r="19223" spans="8:8">
      <c r="H19223" t="s">
        <v>23488</v>
      </c>
    </row>
    <row r="19224" spans="8:8">
      <c r="H19224" t="s">
        <v>23489</v>
      </c>
    </row>
    <row r="19225" spans="8:8">
      <c r="H19225" t="s">
        <v>23490</v>
      </c>
    </row>
    <row r="19226" spans="8:8">
      <c r="H19226" t="s">
        <v>23491</v>
      </c>
    </row>
    <row r="19227" spans="8:8">
      <c r="H19227" t="s">
        <v>23492</v>
      </c>
    </row>
    <row r="19228" spans="8:8">
      <c r="H19228" t="s">
        <v>23493</v>
      </c>
    </row>
    <row r="19229" spans="8:8">
      <c r="H19229" t="s">
        <v>23494</v>
      </c>
    </row>
    <row r="19230" spans="8:8">
      <c r="H19230" t="s">
        <v>23495</v>
      </c>
    </row>
    <row r="19231" spans="8:8">
      <c r="H19231" t="s">
        <v>23496</v>
      </c>
    </row>
    <row r="19232" spans="8:8">
      <c r="H19232" t="s">
        <v>23497</v>
      </c>
    </row>
    <row r="19233" spans="8:8">
      <c r="H19233" t="s">
        <v>23498</v>
      </c>
    </row>
    <row r="19234" spans="8:8">
      <c r="H19234" t="s">
        <v>23499</v>
      </c>
    </row>
    <row r="19235" spans="8:8">
      <c r="H19235" t="s">
        <v>23500</v>
      </c>
    </row>
    <row r="19236" spans="8:8">
      <c r="H19236" t="s">
        <v>23501</v>
      </c>
    </row>
    <row r="19237" spans="8:8">
      <c r="H19237" t="s">
        <v>23502</v>
      </c>
    </row>
    <row r="19238" spans="8:8">
      <c r="H19238" t="s">
        <v>23503</v>
      </c>
    </row>
    <row r="19239" spans="8:8">
      <c r="H19239" t="s">
        <v>23504</v>
      </c>
    </row>
    <row r="19240" spans="8:8">
      <c r="H19240" t="s">
        <v>23505</v>
      </c>
    </row>
    <row r="19241" spans="8:8">
      <c r="H19241" t="s">
        <v>23506</v>
      </c>
    </row>
    <row r="19242" spans="8:8">
      <c r="H19242" t="s">
        <v>23507</v>
      </c>
    </row>
    <row r="19243" spans="8:8">
      <c r="H19243" t="s">
        <v>23508</v>
      </c>
    </row>
    <row r="19244" spans="8:8">
      <c r="H19244" t="s">
        <v>23509</v>
      </c>
    </row>
    <row r="19245" spans="8:8">
      <c r="H19245" t="s">
        <v>23510</v>
      </c>
    </row>
    <row r="19246" spans="8:8">
      <c r="H19246" t="s">
        <v>23511</v>
      </c>
    </row>
    <row r="19247" spans="8:8">
      <c r="H19247" t="s">
        <v>23512</v>
      </c>
    </row>
    <row r="19248" spans="8:8">
      <c r="H19248" t="s">
        <v>23513</v>
      </c>
    </row>
    <row r="19249" spans="8:8">
      <c r="H19249" t="s">
        <v>23514</v>
      </c>
    </row>
    <row r="19250" spans="8:8">
      <c r="H19250" t="s">
        <v>23515</v>
      </c>
    </row>
    <row r="19251" spans="8:8">
      <c r="H19251" t="s">
        <v>23516</v>
      </c>
    </row>
    <row r="19252" spans="8:8">
      <c r="H19252" t="s">
        <v>23517</v>
      </c>
    </row>
    <row r="19253" spans="8:8">
      <c r="H19253" t="s">
        <v>23518</v>
      </c>
    </row>
    <row r="19254" spans="8:8">
      <c r="H19254" t="s">
        <v>23519</v>
      </c>
    </row>
    <row r="19255" spans="8:8">
      <c r="H19255" t="s">
        <v>23520</v>
      </c>
    </row>
    <row r="19256" spans="8:8">
      <c r="H19256" t="s">
        <v>23521</v>
      </c>
    </row>
    <row r="19257" spans="8:8">
      <c r="H19257" t="s">
        <v>23522</v>
      </c>
    </row>
    <row r="19258" spans="8:8">
      <c r="H19258" t="s">
        <v>23523</v>
      </c>
    </row>
    <row r="19259" spans="8:8">
      <c r="H19259" t="s">
        <v>23524</v>
      </c>
    </row>
    <row r="19260" spans="8:8">
      <c r="H19260" t="s">
        <v>23525</v>
      </c>
    </row>
    <row r="19261" spans="8:8">
      <c r="H19261" t="s">
        <v>23526</v>
      </c>
    </row>
    <row r="19262" spans="8:8">
      <c r="H19262" t="s">
        <v>23527</v>
      </c>
    </row>
    <row r="19263" spans="8:8">
      <c r="H19263" t="s">
        <v>23528</v>
      </c>
    </row>
    <row r="19264" spans="8:8">
      <c r="H19264" t="s">
        <v>23529</v>
      </c>
    </row>
    <row r="19265" spans="8:8">
      <c r="H19265" t="s">
        <v>23530</v>
      </c>
    </row>
    <row r="19266" spans="8:8">
      <c r="H19266" t="s">
        <v>23531</v>
      </c>
    </row>
    <row r="19267" spans="8:8">
      <c r="H19267" t="s">
        <v>23532</v>
      </c>
    </row>
    <row r="19268" spans="8:8">
      <c r="H19268" t="s">
        <v>23533</v>
      </c>
    </row>
    <row r="19269" spans="8:8">
      <c r="H19269" t="s">
        <v>23534</v>
      </c>
    </row>
    <row r="19270" spans="8:8">
      <c r="H19270" t="s">
        <v>23535</v>
      </c>
    </row>
    <row r="19271" spans="8:8">
      <c r="H19271" t="s">
        <v>23536</v>
      </c>
    </row>
    <row r="19272" spans="8:8">
      <c r="H19272" t="s">
        <v>23537</v>
      </c>
    </row>
    <row r="19273" spans="8:8">
      <c r="H19273" t="s">
        <v>23538</v>
      </c>
    </row>
    <row r="19274" spans="8:8">
      <c r="H19274" t="s">
        <v>23539</v>
      </c>
    </row>
    <row r="19275" spans="8:8">
      <c r="H19275" t="s">
        <v>23540</v>
      </c>
    </row>
    <row r="19276" spans="8:8">
      <c r="H19276" t="s">
        <v>23541</v>
      </c>
    </row>
    <row r="19277" spans="8:8">
      <c r="H19277" t="s">
        <v>23542</v>
      </c>
    </row>
    <row r="19278" spans="8:8">
      <c r="H19278" t="s">
        <v>23543</v>
      </c>
    </row>
    <row r="19279" spans="8:8">
      <c r="H19279" t="s">
        <v>23544</v>
      </c>
    </row>
    <row r="19280" spans="8:8">
      <c r="H19280" t="s">
        <v>23545</v>
      </c>
    </row>
    <row r="19281" spans="8:8">
      <c r="H19281" t="s">
        <v>23546</v>
      </c>
    </row>
    <row r="19282" spans="8:8">
      <c r="H19282" t="s">
        <v>23547</v>
      </c>
    </row>
    <row r="19283" spans="8:8">
      <c r="H19283" t="s">
        <v>23548</v>
      </c>
    </row>
    <row r="19284" spans="8:8">
      <c r="H19284" t="s">
        <v>23549</v>
      </c>
    </row>
    <row r="19285" spans="8:8">
      <c r="H19285" t="s">
        <v>23550</v>
      </c>
    </row>
    <row r="19286" spans="8:8">
      <c r="H19286" t="s">
        <v>23551</v>
      </c>
    </row>
    <row r="19287" spans="8:8">
      <c r="H19287" t="s">
        <v>23552</v>
      </c>
    </row>
    <row r="19288" spans="8:8">
      <c r="H19288" t="s">
        <v>23553</v>
      </c>
    </row>
    <row r="19289" spans="8:8">
      <c r="H19289" t="s">
        <v>23554</v>
      </c>
    </row>
    <row r="19290" spans="8:8">
      <c r="H19290" t="s">
        <v>23555</v>
      </c>
    </row>
    <row r="19291" spans="8:8">
      <c r="H19291" t="s">
        <v>23556</v>
      </c>
    </row>
    <row r="19292" spans="8:8">
      <c r="H19292" t="s">
        <v>23557</v>
      </c>
    </row>
    <row r="19293" spans="8:8">
      <c r="H19293" t="s">
        <v>23558</v>
      </c>
    </row>
    <row r="19294" spans="8:8">
      <c r="H19294" t="s">
        <v>23559</v>
      </c>
    </row>
    <row r="19295" spans="8:8">
      <c r="H19295" t="s">
        <v>23560</v>
      </c>
    </row>
    <row r="19296" spans="8:8">
      <c r="H19296" t="s">
        <v>23561</v>
      </c>
    </row>
    <row r="19297" spans="8:8">
      <c r="H19297" t="s">
        <v>23562</v>
      </c>
    </row>
    <row r="19298" spans="8:8">
      <c r="H19298" t="s">
        <v>23563</v>
      </c>
    </row>
    <row r="19299" spans="8:8">
      <c r="H19299" t="s">
        <v>23564</v>
      </c>
    </row>
    <row r="19300" spans="8:8">
      <c r="H19300" t="s">
        <v>23565</v>
      </c>
    </row>
    <row r="19301" spans="8:8">
      <c r="H19301" t="s">
        <v>23566</v>
      </c>
    </row>
    <row r="19302" spans="8:8">
      <c r="H19302" t="s">
        <v>23567</v>
      </c>
    </row>
    <row r="19303" spans="8:8">
      <c r="H19303" t="s">
        <v>23568</v>
      </c>
    </row>
    <row r="19304" spans="8:8">
      <c r="H19304" t="s">
        <v>23569</v>
      </c>
    </row>
    <row r="19305" spans="8:8">
      <c r="H19305" t="s">
        <v>23570</v>
      </c>
    </row>
    <row r="19306" spans="8:8">
      <c r="H19306" t="s">
        <v>23571</v>
      </c>
    </row>
    <row r="19307" spans="8:8">
      <c r="H19307" t="s">
        <v>23572</v>
      </c>
    </row>
    <row r="19308" spans="8:8">
      <c r="H19308" t="s">
        <v>23573</v>
      </c>
    </row>
    <row r="19309" spans="8:8">
      <c r="H19309" t="s">
        <v>23574</v>
      </c>
    </row>
    <row r="19310" spans="8:8">
      <c r="H19310" t="s">
        <v>23575</v>
      </c>
    </row>
    <row r="19311" spans="8:8">
      <c r="H19311" t="s">
        <v>23576</v>
      </c>
    </row>
    <row r="19312" spans="8:8">
      <c r="H19312" t="s">
        <v>23577</v>
      </c>
    </row>
    <row r="19313" spans="8:8">
      <c r="H19313" t="s">
        <v>23578</v>
      </c>
    </row>
    <row r="19314" spans="8:8">
      <c r="H19314" t="s">
        <v>23579</v>
      </c>
    </row>
    <row r="19315" spans="8:8">
      <c r="H19315" t="s">
        <v>23580</v>
      </c>
    </row>
    <row r="19316" spans="8:8">
      <c r="H19316" t="s">
        <v>23581</v>
      </c>
    </row>
    <row r="19317" spans="8:8">
      <c r="H19317" t="s">
        <v>23582</v>
      </c>
    </row>
    <row r="19318" spans="8:8">
      <c r="H19318" t="s">
        <v>23583</v>
      </c>
    </row>
    <row r="19319" spans="8:8">
      <c r="H19319" t="s">
        <v>23584</v>
      </c>
    </row>
    <row r="19320" spans="8:8">
      <c r="H19320" t="s">
        <v>23585</v>
      </c>
    </row>
    <row r="19321" spans="8:8">
      <c r="H19321" t="s">
        <v>23586</v>
      </c>
    </row>
    <row r="19322" spans="8:8">
      <c r="H19322" t="s">
        <v>23587</v>
      </c>
    </row>
    <row r="19323" spans="8:8">
      <c r="H19323" t="s">
        <v>23588</v>
      </c>
    </row>
    <row r="19324" spans="8:8">
      <c r="H19324" t="s">
        <v>23589</v>
      </c>
    </row>
    <row r="19325" spans="8:8">
      <c r="H19325" t="s">
        <v>23590</v>
      </c>
    </row>
    <row r="19326" spans="8:8">
      <c r="H19326" t="s">
        <v>23591</v>
      </c>
    </row>
    <row r="19327" spans="8:8">
      <c r="H19327" t="s">
        <v>23592</v>
      </c>
    </row>
    <row r="19328" spans="8:8">
      <c r="H19328" t="s">
        <v>23593</v>
      </c>
    </row>
    <row r="19329" spans="8:8">
      <c r="H19329" t="s">
        <v>23594</v>
      </c>
    </row>
    <row r="19330" spans="8:8">
      <c r="H19330" t="s">
        <v>23595</v>
      </c>
    </row>
    <row r="19331" spans="8:8">
      <c r="H19331" t="s">
        <v>23596</v>
      </c>
    </row>
    <row r="19332" spans="8:8">
      <c r="H19332" t="s">
        <v>23597</v>
      </c>
    </row>
    <row r="19333" spans="8:8">
      <c r="H19333" t="s">
        <v>23598</v>
      </c>
    </row>
    <row r="19334" spans="8:8">
      <c r="H19334" t="s">
        <v>23599</v>
      </c>
    </row>
    <row r="19335" spans="8:8">
      <c r="H19335" t="s">
        <v>23600</v>
      </c>
    </row>
    <row r="19336" spans="8:8">
      <c r="H19336" t="s">
        <v>23601</v>
      </c>
    </row>
    <row r="19337" spans="8:8">
      <c r="H19337" t="s">
        <v>23602</v>
      </c>
    </row>
    <row r="19338" spans="8:8">
      <c r="H19338" t="s">
        <v>23603</v>
      </c>
    </row>
    <row r="19339" spans="8:8">
      <c r="H19339" t="s">
        <v>23604</v>
      </c>
    </row>
    <row r="19340" spans="8:8">
      <c r="H19340" t="s">
        <v>23605</v>
      </c>
    </row>
    <row r="19341" spans="8:8">
      <c r="H19341" t="s">
        <v>23606</v>
      </c>
    </row>
    <row r="19342" spans="8:8">
      <c r="H19342" t="s">
        <v>23607</v>
      </c>
    </row>
    <row r="19343" spans="8:8">
      <c r="H19343" t="s">
        <v>23608</v>
      </c>
    </row>
    <row r="19344" spans="8:8">
      <c r="H19344" t="s">
        <v>23609</v>
      </c>
    </row>
    <row r="19345" spans="8:8">
      <c r="H19345" t="s">
        <v>23610</v>
      </c>
    </row>
    <row r="19346" spans="8:8">
      <c r="H19346" t="s">
        <v>23611</v>
      </c>
    </row>
    <row r="19347" spans="8:8">
      <c r="H19347" t="s">
        <v>23612</v>
      </c>
    </row>
    <row r="19348" spans="8:8">
      <c r="H19348" t="s">
        <v>23613</v>
      </c>
    </row>
    <row r="19349" spans="8:8">
      <c r="H19349" t="s">
        <v>23614</v>
      </c>
    </row>
    <row r="19350" spans="8:8">
      <c r="H19350" t="s">
        <v>23615</v>
      </c>
    </row>
    <row r="19351" spans="8:8">
      <c r="H19351" t="s">
        <v>23616</v>
      </c>
    </row>
    <row r="19352" spans="8:8">
      <c r="H19352" t="s">
        <v>23617</v>
      </c>
    </row>
    <row r="19353" spans="8:8">
      <c r="H19353" t="s">
        <v>23618</v>
      </c>
    </row>
    <row r="19354" spans="8:8">
      <c r="H19354" t="s">
        <v>23619</v>
      </c>
    </row>
    <row r="19355" spans="8:8">
      <c r="H19355" t="s">
        <v>23620</v>
      </c>
    </row>
    <row r="19356" spans="8:8">
      <c r="H19356" t="s">
        <v>23621</v>
      </c>
    </row>
    <row r="19357" spans="8:8">
      <c r="H19357" t="s">
        <v>23622</v>
      </c>
    </row>
    <row r="19358" spans="8:8">
      <c r="H19358" t="s">
        <v>23623</v>
      </c>
    </row>
    <row r="19359" spans="8:8">
      <c r="H19359" t="s">
        <v>23624</v>
      </c>
    </row>
    <row r="19360" spans="8:8">
      <c r="H19360" t="s">
        <v>23625</v>
      </c>
    </row>
    <row r="19361" spans="8:8">
      <c r="H19361" t="s">
        <v>23626</v>
      </c>
    </row>
    <row r="19362" spans="8:8">
      <c r="H19362" t="s">
        <v>23627</v>
      </c>
    </row>
    <row r="19363" spans="8:8">
      <c r="H19363" t="s">
        <v>23628</v>
      </c>
    </row>
    <row r="19364" spans="8:8">
      <c r="H19364" t="s">
        <v>23629</v>
      </c>
    </row>
    <row r="19365" spans="8:8">
      <c r="H19365" t="s">
        <v>23630</v>
      </c>
    </row>
    <row r="19366" spans="8:8">
      <c r="H19366" t="s">
        <v>23631</v>
      </c>
    </row>
    <row r="19367" spans="8:8">
      <c r="H19367" t="s">
        <v>23632</v>
      </c>
    </row>
    <row r="19368" spans="8:8">
      <c r="H19368" t="s">
        <v>23633</v>
      </c>
    </row>
    <row r="19369" spans="8:8">
      <c r="H19369" t="s">
        <v>23634</v>
      </c>
    </row>
    <row r="19370" spans="8:8">
      <c r="H19370" t="s">
        <v>23635</v>
      </c>
    </row>
    <row r="19371" spans="8:8">
      <c r="H19371" t="s">
        <v>23636</v>
      </c>
    </row>
    <row r="19372" spans="8:8">
      <c r="H19372" t="s">
        <v>23637</v>
      </c>
    </row>
    <row r="19373" spans="8:8">
      <c r="H19373" t="s">
        <v>23638</v>
      </c>
    </row>
    <row r="19374" spans="8:8">
      <c r="H19374" t="s">
        <v>23639</v>
      </c>
    </row>
    <row r="19375" spans="8:8">
      <c r="H19375" t="s">
        <v>23640</v>
      </c>
    </row>
    <row r="19376" spans="8:8">
      <c r="H19376" t="s">
        <v>23641</v>
      </c>
    </row>
    <row r="19377" spans="8:8">
      <c r="H19377" t="s">
        <v>23642</v>
      </c>
    </row>
    <row r="19378" spans="8:8">
      <c r="H19378" t="s">
        <v>23643</v>
      </c>
    </row>
    <row r="19379" spans="8:8">
      <c r="H19379" t="s">
        <v>23644</v>
      </c>
    </row>
    <row r="19380" spans="8:8">
      <c r="H19380" t="s">
        <v>23645</v>
      </c>
    </row>
    <row r="19381" spans="8:8">
      <c r="H19381" t="s">
        <v>23646</v>
      </c>
    </row>
    <row r="19382" spans="8:8">
      <c r="H19382" t="s">
        <v>23647</v>
      </c>
    </row>
    <row r="19383" spans="8:8">
      <c r="H19383" t="s">
        <v>23648</v>
      </c>
    </row>
    <row r="19384" spans="8:8">
      <c r="H19384" t="s">
        <v>23649</v>
      </c>
    </row>
    <row r="19385" spans="8:8">
      <c r="H19385" t="s">
        <v>23650</v>
      </c>
    </row>
    <row r="19386" spans="8:8">
      <c r="H19386" t="s">
        <v>23651</v>
      </c>
    </row>
    <row r="19387" spans="8:8">
      <c r="H19387" t="s">
        <v>23652</v>
      </c>
    </row>
    <row r="19388" spans="8:8">
      <c r="H19388" t="s">
        <v>23653</v>
      </c>
    </row>
    <row r="19389" spans="8:8">
      <c r="H19389" t="s">
        <v>23654</v>
      </c>
    </row>
    <row r="19390" spans="8:8">
      <c r="H19390" t="s">
        <v>23655</v>
      </c>
    </row>
    <row r="19391" spans="8:8">
      <c r="H19391" t="s">
        <v>23656</v>
      </c>
    </row>
    <row r="19392" spans="8:8">
      <c r="H19392" t="s">
        <v>23657</v>
      </c>
    </row>
    <row r="19393" spans="8:8">
      <c r="H19393" t="s">
        <v>23658</v>
      </c>
    </row>
    <row r="19394" spans="8:8">
      <c r="H19394" t="s">
        <v>23659</v>
      </c>
    </row>
    <row r="19395" spans="8:8">
      <c r="H19395" t="s">
        <v>23660</v>
      </c>
    </row>
    <row r="19396" spans="8:8">
      <c r="H19396" t="s">
        <v>23661</v>
      </c>
    </row>
    <row r="19397" spans="8:8">
      <c r="H19397" t="s">
        <v>23662</v>
      </c>
    </row>
    <row r="19398" spans="8:8">
      <c r="H19398" t="s">
        <v>23663</v>
      </c>
    </row>
    <row r="19399" spans="8:8">
      <c r="H19399" t="s">
        <v>23664</v>
      </c>
    </row>
    <row r="19400" spans="8:8">
      <c r="H19400" t="s">
        <v>23665</v>
      </c>
    </row>
    <row r="19401" spans="8:8">
      <c r="H19401" t="s">
        <v>23666</v>
      </c>
    </row>
    <row r="19402" spans="8:8">
      <c r="H19402" t="s">
        <v>23667</v>
      </c>
    </row>
    <row r="19403" spans="8:8">
      <c r="H19403" t="s">
        <v>23668</v>
      </c>
    </row>
    <row r="19404" spans="8:8">
      <c r="H19404" t="s">
        <v>23669</v>
      </c>
    </row>
    <row r="19405" spans="8:8">
      <c r="H19405" t="s">
        <v>23670</v>
      </c>
    </row>
    <row r="19406" spans="8:8">
      <c r="H19406" t="s">
        <v>23671</v>
      </c>
    </row>
    <row r="19407" spans="8:8">
      <c r="H19407" t="s">
        <v>23672</v>
      </c>
    </row>
    <row r="19408" spans="8:8">
      <c r="H19408" t="s">
        <v>23673</v>
      </c>
    </row>
    <row r="19409" spans="8:8">
      <c r="H19409" t="s">
        <v>23674</v>
      </c>
    </row>
    <row r="19410" spans="8:8">
      <c r="H19410" t="s">
        <v>23675</v>
      </c>
    </row>
    <row r="19411" spans="8:8">
      <c r="H19411" t="s">
        <v>23676</v>
      </c>
    </row>
    <row r="19412" spans="8:8">
      <c r="H19412" t="s">
        <v>23677</v>
      </c>
    </row>
    <row r="19413" spans="8:8">
      <c r="H19413" t="s">
        <v>23678</v>
      </c>
    </row>
    <row r="19414" spans="8:8">
      <c r="H19414" t="s">
        <v>23679</v>
      </c>
    </row>
    <row r="19415" spans="8:8">
      <c r="H19415" t="s">
        <v>23680</v>
      </c>
    </row>
    <row r="19416" spans="8:8">
      <c r="H19416" t="s">
        <v>23681</v>
      </c>
    </row>
    <row r="19417" spans="8:8">
      <c r="H19417" t="s">
        <v>23682</v>
      </c>
    </row>
    <row r="19418" spans="8:8">
      <c r="H19418" t="s">
        <v>23683</v>
      </c>
    </row>
    <row r="19419" spans="8:8">
      <c r="H19419" t="s">
        <v>23684</v>
      </c>
    </row>
    <row r="19420" spans="8:8">
      <c r="H19420" t="s">
        <v>23685</v>
      </c>
    </row>
    <row r="19421" spans="8:8">
      <c r="H19421" t="s">
        <v>23686</v>
      </c>
    </row>
    <row r="19422" spans="8:8">
      <c r="H19422" t="s">
        <v>23687</v>
      </c>
    </row>
    <row r="19423" spans="8:8">
      <c r="H19423" t="s">
        <v>23688</v>
      </c>
    </row>
    <row r="19424" spans="8:8">
      <c r="H19424" t="s">
        <v>23689</v>
      </c>
    </row>
    <row r="19425" spans="8:8">
      <c r="H19425" t="s">
        <v>23690</v>
      </c>
    </row>
    <row r="19426" spans="8:8">
      <c r="H19426" t="s">
        <v>23691</v>
      </c>
    </row>
    <row r="19427" spans="8:8">
      <c r="H19427" t="s">
        <v>23692</v>
      </c>
    </row>
    <row r="19428" spans="8:8">
      <c r="H19428" t="s">
        <v>23693</v>
      </c>
    </row>
    <row r="19429" spans="8:8">
      <c r="H19429" t="s">
        <v>23694</v>
      </c>
    </row>
    <row r="19430" spans="8:8">
      <c r="H19430" t="s">
        <v>23695</v>
      </c>
    </row>
    <row r="19431" spans="8:8">
      <c r="H19431" t="s">
        <v>23696</v>
      </c>
    </row>
    <row r="19432" spans="8:8">
      <c r="H19432" t="s">
        <v>23697</v>
      </c>
    </row>
    <row r="19433" spans="8:8">
      <c r="H19433" t="s">
        <v>23698</v>
      </c>
    </row>
    <row r="19434" spans="8:8">
      <c r="H19434" t="s">
        <v>23699</v>
      </c>
    </row>
    <row r="19435" spans="8:8">
      <c r="H19435" t="s">
        <v>23700</v>
      </c>
    </row>
    <row r="19436" spans="8:8">
      <c r="H19436" t="s">
        <v>23701</v>
      </c>
    </row>
    <row r="19437" spans="8:8">
      <c r="H19437" t="s">
        <v>23702</v>
      </c>
    </row>
    <row r="19438" spans="8:8">
      <c r="H19438" t="s">
        <v>23703</v>
      </c>
    </row>
    <row r="19439" spans="8:8">
      <c r="H19439" t="s">
        <v>23704</v>
      </c>
    </row>
    <row r="19440" spans="8:8">
      <c r="H19440" t="s">
        <v>23705</v>
      </c>
    </row>
    <row r="19441" spans="8:8">
      <c r="H19441" t="s">
        <v>23706</v>
      </c>
    </row>
    <row r="19442" spans="8:8">
      <c r="H19442" t="s">
        <v>23707</v>
      </c>
    </row>
    <row r="19443" spans="8:8">
      <c r="H19443" t="s">
        <v>23708</v>
      </c>
    </row>
    <row r="19444" spans="8:8">
      <c r="H19444" t="s">
        <v>23709</v>
      </c>
    </row>
    <row r="19445" spans="8:8">
      <c r="H19445" t="s">
        <v>23710</v>
      </c>
    </row>
    <row r="19446" spans="8:8">
      <c r="H19446" t="s">
        <v>23711</v>
      </c>
    </row>
    <row r="19447" spans="8:8">
      <c r="H19447" t="s">
        <v>23712</v>
      </c>
    </row>
    <row r="19448" spans="8:8">
      <c r="H19448" t="s">
        <v>23713</v>
      </c>
    </row>
    <row r="19449" spans="8:8">
      <c r="H19449" t="s">
        <v>23714</v>
      </c>
    </row>
    <row r="19450" spans="8:8">
      <c r="H19450" t="s">
        <v>23715</v>
      </c>
    </row>
    <row r="19451" spans="8:8">
      <c r="H19451" t="s">
        <v>23716</v>
      </c>
    </row>
    <row r="19452" spans="8:8">
      <c r="H19452" t="s">
        <v>23717</v>
      </c>
    </row>
    <row r="19453" spans="8:8">
      <c r="H19453" t="s">
        <v>23718</v>
      </c>
    </row>
    <row r="19454" spans="8:8">
      <c r="H19454" t="s">
        <v>23719</v>
      </c>
    </row>
    <row r="19455" spans="8:8">
      <c r="H19455" t="s">
        <v>23720</v>
      </c>
    </row>
    <row r="19456" spans="8:8">
      <c r="H19456" t="s">
        <v>23721</v>
      </c>
    </row>
    <row r="19457" spans="8:8">
      <c r="H19457" t="s">
        <v>23722</v>
      </c>
    </row>
    <row r="19458" spans="8:8">
      <c r="H19458" t="s">
        <v>23723</v>
      </c>
    </row>
    <row r="19459" spans="8:8">
      <c r="H19459" t="s">
        <v>23724</v>
      </c>
    </row>
    <row r="19460" spans="8:8">
      <c r="H19460" t="s">
        <v>23725</v>
      </c>
    </row>
    <row r="19461" spans="8:8">
      <c r="H19461" t="s">
        <v>23726</v>
      </c>
    </row>
    <row r="19462" spans="8:8">
      <c r="H19462" t="s">
        <v>23727</v>
      </c>
    </row>
    <row r="19463" spans="8:8">
      <c r="H19463" t="s">
        <v>23728</v>
      </c>
    </row>
    <row r="19464" spans="8:8">
      <c r="H19464" t="s">
        <v>23729</v>
      </c>
    </row>
    <row r="19465" spans="8:8">
      <c r="H19465" t="s">
        <v>23730</v>
      </c>
    </row>
    <row r="19466" spans="8:8">
      <c r="H19466" t="s">
        <v>23731</v>
      </c>
    </row>
    <row r="19467" spans="8:8">
      <c r="H19467" t="s">
        <v>23732</v>
      </c>
    </row>
    <row r="19468" spans="8:8">
      <c r="H19468" t="s">
        <v>23733</v>
      </c>
    </row>
    <row r="19469" spans="8:8">
      <c r="H19469" t="s">
        <v>23734</v>
      </c>
    </row>
    <row r="19470" spans="8:8">
      <c r="H19470" t="s">
        <v>23735</v>
      </c>
    </row>
    <row r="19471" spans="8:8">
      <c r="H19471" t="s">
        <v>23736</v>
      </c>
    </row>
    <row r="19472" spans="8:8">
      <c r="H19472" t="s">
        <v>23737</v>
      </c>
    </row>
    <row r="19473" spans="8:8">
      <c r="H19473" t="s">
        <v>23738</v>
      </c>
    </row>
    <row r="19474" spans="8:8">
      <c r="H19474" t="s">
        <v>23739</v>
      </c>
    </row>
    <row r="19475" spans="8:8">
      <c r="H19475" t="s">
        <v>23740</v>
      </c>
    </row>
    <row r="19476" spans="8:8">
      <c r="H19476" t="s">
        <v>23741</v>
      </c>
    </row>
    <row r="19477" spans="8:8">
      <c r="H19477" t="s">
        <v>23742</v>
      </c>
    </row>
    <row r="19478" spans="8:8">
      <c r="H19478" t="s">
        <v>23743</v>
      </c>
    </row>
    <row r="19479" spans="8:8">
      <c r="H19479" t="s">
        <v>23744</v>
      </c>
    </row>
    <row r="19480" spans="8:8">
      <c r="H19480" t="s">
        <v>23745</v>
      </c>
    </row>
    <row r="19481" spans="8:8">
      <c r="H19481" t="s">
        <v>23746</v>
      </c>
    </row>
    <row r="19482" spans="8:8">
      <c r="H19482" t="s">
        <v>23747</v>
      </c>
    </row>
    <row r="19483" spans="8:8">
      <c r="H19483" t="s">
        <v>23748</v>
      </c>
    </row>
    <row r="19484" spans="8:8">
      <c r="H19484" t="s">
        <v>23749</v>
      </c>
    </row>
    <row r="19485" spans="8:8">
      <c r="H19485" t="s">
        <v>23750</v>
      </c>
    </row>
    <row r="19486" spans="8:8">
      <c r="H19486" t="s">
        <v>23751</v>
      </c>
    </row>
    <row r="19487" spans="8:8">
      <c r="H19487" t="s">
        <v>23752</v>
      </c>
    </row>
    <row r="19488" spans="8:8">
      <c r="H19488" t="s">
        <v>23753</v>
      </c>
    </row>
    <row r="19489" spans="8:8">
      <c r="H19489" t="s">
        <v>23754</v>
      </c>
    </row>
    <row r="19490" spans="8:8">
      <c r="H19490" t="s">
        <v>23755</v>
      </c>
    </row>
    <row r="19491" spans="8:8">
      <c r="H19491" t="s">
        <v>23756</v>
      </c>
    </row>
    <row r="19492" spans="8:8">
      <c r="H19492" t="s">
        <v>23757</v>
      </c>
    </row>
    <row r="19493" spans="8:8">
      <c r="H19493" t="s">
        <v>23758</v>
      </c>
    </row>
    <row r="19494" spans="8:8">
      <c r="H19494" t="s">
        <v>23759</v>
      </c>
    </row>
    <row r="19495" spans="8:8">
      <c r="H19495" t="s">
        <v>23760</v>
      </c>
    </row>
    <row r="19496" spans="8:8">
      <c r="H19496" t="s">
        <v>23761</v>
      </c>
    </row>
    <row r="19497" spans="8:8">
      <c r="H19497" t="s">
        <v>23762</v>
      </c>
    </row>
    <row r="19498" spans="8:8">
      <c r="H19498" t="s">
        <v>23763</v>
      </c>
    </row>
    <row r="19499" spans="8:8">
      <c r="H19499" t="s">
        <v>23764</v>
      </c>
    </row>
    <row r="19500" spans="8:8">
      <c r="H19500" t="s">
        <v>23765</v>
      </c>
    </row>
    <row r="19501" spans="8:8">
      <c r="H19501" t="s">
        <v>23766</v>
      </c>
    </row>
    <row r="19502" spans="8:8">
      <c r="H19502" t="s">
        <v>23767</v>
      </c>
    </row>
    <row r="19503" spans="8:8">
      <c r="H19503" t="s">
        <v>23768</v>
      </c>
    </row>
    <row r="19504" spans="8:8">
      <c r="H19504" t="s">
        <v>23769</v>
      </c>
    </row>
    <row r="19505" spans="8:8">
      <c r="H19505" t="s">
        <v>23770</v>
      </c>
    </row>
    <row r="19506" spans="8:8">
      <c r="H19506" t="s">
        <v>23771</v>
      </c>
    </row>
    <row r="19507" spans="8:8">
      <c r="H19507" t="s">
        <v>23772</v>
      </c>
    </row>
    <row r="19508" spans="8:8">
      <c r="H19508" t="s">
        <v>23773</v>
      </c>
    </row>
    <row r="19509" spans="8:8">
      <c r="H19509" t="s">
        <v>23774</v>
      </c>
    </row>
    <row r="19510" spans="8:8">
      <c r="H19510" t="s">
        <v>23775</v>
      </c>
    </row>
    <row r="19511" spans="8:8">
      <c r="H19511" t="s">
        <v>23776</v>
      </c>
    </row>
    <row r="19512" spans="8:8">
      <c r="H19512" t="s">
        <v>23777</v>
      </c>
    </row>
    <row r="19513" spans="8:8">
      <c r="H19513" t="s">
        <v>23778</v>
      </c>
    </row>
    <row r="19514" spans="8:8">
      <c r="H19514" t="s">
        <v>23779</v>
      </c>
    </row>
    <row r="19515" spans="8:8">
      <c r="H19515" t="s">
        <v>23780</v>
      </c>
    </row>
    <row r="19516" spans="8:8">
      <c r="H19516" t="s">
        <v>23781</v>
      </c>
    </row>
    <row r="19517" spans="8:8">
      <c r="H19517" t="s">
        <v>23782</v>
      </c>
    </row>
    <row r="19518" spans="8:8">
      <c r="H19518" t="s">
        <v>23783</v>
      </c>
    </row>
    <row r="19519" spans="8:8">
      <c r="H19519" t="s">
        <v>23784</v>
      </c>
    </row>
    <row r="19520" spans="8:8">
      <c r="H19520" t="s">
        <v>23785</v>
      </c>
    </row>
    <row r="19521" spans="8:8">
      <c r="H19521" t="s">
        <v>23786</v>
      </c>
    </row>
    <row r="19522" spans="8:8">
      <c r="H19522" t="s">
        <v>23787</v>
      </c>
    </row>
    <row r="19523" spans="8:8">
      <c r="H19523" t="s">
        <v>23788</v>
      </c>
    </row>
    <row r="19524" spans="8:8">
      <c r="H19524" t="s">
        <v>23789</v>
      </c>
    </row>
    <row r="19525" spans="8:8">
      <c r="H19525" t="s">
        <v>23790</v>
      </c>
    </row>
    <row r="19526" spans="8:8">
      <c r="H19526" t="s">
        <v>23791</v>
      </c>
    </row>
    <row r="19527" spans="8:8">
      <c r="H19527" t="s">
        <v>23792</v>
      </c>
    </row>
    <row r="19528" spans="8:8">
      <c r="H19528" t="s">
        <v>23793</v>
      </c>
    </row>
    <row r="19529" spans="8:8">
      <c r="H19529" t="s">
        <v>23794</v>
      </c>
    </row>
    <row r="19530" spans="8:8">
      <c r="H19530" t="s">
        <v>23795</v>
      </c>
    </row>
    <row r="19531" spans="8:8">
      <c r="H19531" t="s">
        <v>23796</v>
      </c>
    </row>
    <row r="19532" spans="8:8">
      <c r="H19532" t="s">
        <v>23797</v>
      </c>
    </row>
    <row r="19533" spans="8:8">
      <c r="H19533" t="s">
        <v>23798</v>
      </c>
    </row>
    <row r="19534" spans="8:8">
      <c r="H19534" t="s">
        <v>23799</v>
      </c>
    </row>
    <row r="19535" spans="8:8">
      <c r="H19535" t="s">
        <v>23800</v>
      </c>
    </row>
    <row r="19536" spans="8:8">
      <c r="H19536" t="s">
        <v>23801</v>
      </c>
    </row>
    <row r="19537" spans="8:8">
      <c r="H19537" t="s">
        <v>23802</v>
      </c>
    </row>
    <row r="19538" spans="8:8">
      <c r="H19538" t="s">
        <v>23803</v>
      </c>
    </row>
    <row r="19539" spans="8:8">
      <c r="H19539" t="s">
        <v>23804</v>
      </c>
    </row>
    <row r="19540" spans="8:8">
      <c r="H19540" t="s">
        <v>23805</v>
      </c>
    </row>
    <row r="19541" spans="8:8">
      <c r="H19541" t="s">
        <v>23806</v>
      </c>
    </row>
    <row r="19542" spans="8:8">
      <c r="H19542" t="s">
        <v>23807</v>
      </c>
    </row>
    <row r="19543" spans="8:8">
      <c r="H19543" t="s">
        <v>23808</v>
      </c>
    </row>
    <row r="19544" spans="8:8">
      <c r="H19544" t="s">
        <v>23809</v>
      </c>
    </row>
    <row r="19545" spans="8:8">
      <c r="H19545" t="s">
        <v>23810</v>
      </c>
    </row>
    <row r="19546" spans="8:8">
      <c r="H19546" t="s">
        <v>23811</v>
      </c>
    </row>
    <row r="19547" spans="8:8">
      <c r="H19547" t="s">
        <v>23812</v>
      </c>
    </row>
    <row r="19548" spans="8:8">
      <c r="H19548" t="s">
        <v>23813</v>
      </c>
    </row>
    <row r="19549" spans="8:8">
      <c r="H19549" t="s">
        <v>23814</v>
      </c>
    </row>
    <row r="19550" spans="8:8">
      <c r="H19550" t="s">
        <v>23815</v>
      </c>
    </row>
    <row r="19551" spans="8:8">
      <c r="H19551" t="s">
        <v>23816</v>
      </c>
    </row>
    <row r="19552" spans="8:8">
      <c r="H19552" t="s">
        <v>23817</v>
      </c>
    </row>
    <row r="19553" spans="6:8">
      <c r="H19553" t="s">
        <v>23818</v>
      </c>
    </row>
    <row r="19554" spans="6:8">
      <c r="H19554" t="s">
        <v>23819</v>
      </c>
    </row>
    <row r="19555" spans="6:8">
      <c r="H19555" t="s">
        <v>23820</v>
      </c>
    </row>
    <row r="19556" spans="6:8">
      <c r="H19556" t="s">
        <v>23821</v>
      </c>
    </row>
    <row r="19557" spans="6:8">
      <c r="H19557" t="s">
        <v>23822</v>
      </c>
    </row>
    <row r="19558" spans="6:8">
      <c r="H19558" t="s">
        <v>23823</v>
      </c>
    </row>
    <row r="19559" spans="6:8">
      <c r="H19559" t="s">
        <v>23824</v>
      </c>
    </row>
    <row r="19560" spans="6:8">
      <c r="H19560" t="s">
        <v>23825</v>
      </c>
    </row>
    <row r="19561" spans="6:8">
      <c r="H19561" t="s">
        <v>23826</v>
      </c>
    </row>
    <row r="19562" spans="6:8">
      <c r="H19562" t="s">
        <v>23827</v>
      </c>
    </row>
    <row r="19563" spans="6:8">
      <c r="H19563" t="s">
        <v>23828</v>
      </c>
    </row>
    <row r="19564" spans="6:8">
      <c r="H19564" t="s">
        <v>23829</v>
      </c>
    </row>
    <row r="19565" spans="6:8">
      <c r="H19565" t="s">
        <v>23830</v>
      </c>
    </row>
    <row r="19566" spans="6:8">
      <c r="H19566" t="s">
        <v>23831</v>
      </c>
    </row>
    <row r="19567" spans="6:8">
      <c r="F19567" t="s">
        <v>12451</v>
      </c>
      <c r="G19567" t="s">
        <v>16672</v>
      </c>
      <c r="H19567" t="s">
        <v>18829</v>
      </c>
    </row>
    <row r="19568" spans="6:8">
      <c r="H19568" t="s">
        <v>23832</v>
      </c>
    </row>
    <row r="19569" spans="6:8">
      <c r="H19569" t="s">
        <v>23833</v>
      </c>
    </row>
    <row r="19570" spans="6:8">
      <c r="H19570" t="s">
        <v>23834</v>
      </c>
    </row>
    <row r="19571" spans="6:8">
      <c r="H19571" t="s">
        <v>23835</v>
      </c>
    </row>
    <row r="19572" spans="6:8">
      <c r="H19572" t="s">
        <v>23836</v>
      </c>
    </row>
    <row r="19573" spans="6:8">
      <c r="H19573" t="s">
        <v>23837</v>
      </c>
    </row>
    <row r="19574" spans="6:8">
      <c r="H19574" t="s">
        <v>23838</v>
      </c>
    </row>
    <row r="19575" spans="6:8">
      <c r="H19575" t="s">
        <v>23839</v>
      </c>
    </row>
    <row r="19576" spans="6:8">
      <c r="H19576" t="s">
        <v>23840</v>
      </c>
    </row>
    <row r="19577" spans="6:8">
      <c r="F19577" t="s">
        <v>12452</v>
      </c>
      <c r="G19577" t="s">
        <v>16673</v>
      </c>
      <c r="H19577" t="s">
        <v>18829</v>
      </c>
    </row>
    <row r="19578" spans="6:8">
      <c r="H19578" t="s">
        <v>23841</v>
      </c>
    </row>
    <row r="19579" spans="6:8">
      <c r="H19579" t="s">
        <v>23842</v>
      </c>
    </row>
    <row r="19580" spans="6:8">
      <c r="H19580" t="s">
        <v>23843</v>
      </c>
    </row>
    <row r="19581" spans="6:8">
      <c r="H19581" t="s">
        <v>23844</v>
      </c>
    </row>
    <row r="19582" spans="6:8">
      <c r="H19582" t="s">
        <v>23845</v>
      </c>
    </row>
    <row r="19583" spans="6:8">
      <c r="H19583" t="s">
        <v>23846</v>
      </c>
    </row>
    <row r="19584" spans="6:8">
      <c r="H19584" t="s">
        <v>23847</v>
      </c>
    </row>
    <row r="19585" spans="6:8">
      <c r="H19585" t="s">
        <v>23848</v>
      </c>
    </row>
    <row r="19586" spans="6:8">
      <c r="H19586" t="s">
        <v>23849</v>
      </c>
    </row>
    <row r="19587" spans="6:8">
      <c r="F19587" t="s">
        <v>12453</v>
      </c>
      <c r="G19587" t="s">
        <v>16674</v>
      </c>
      <c r="H19587" t="s">
        <v>18829</v>
      </c>
    </row>
    <row r="19588" spans="6:8">
      <c r="H19588" t="s">
        <v>23850</v>
      </c>
    </row>
    <row r="19589" spans="6:8">
      <c r="H19589" t="s">
        <v>23851</v>
      </c>
    </row>
    <row r="19590" spans="6:8">
      <c r="H19590" t="s">
        <v>23852</v>
      </c>
    </row>
    <row r="19591" spans="6:8">
      <c r="H19591" t="s">
        <v>23853</v>
      </c>
    </row>
    <row r="19592" spans="6:8">
      <c r="H19592" t="s">
        <v>23854</v>
      </c>
    </row>
    <row r="19593" spans="6:8">
      <c r="H19593" t="s">
        <v>23855</v>
      </c>
    </row>
    <row r="19594" spans="6:8">
      <c r="H19594" t="s">
        <v>23856</v>
      </c>
    </row>
    <row r="19595" spans="6:8">
      <c r="H19595" t="s">
        <v>23857</v>
      </c>
    </row>
    <row r="19596" spans="6:8">
      <c r="H19596" t="s">
        <v>23858</v>
      </c>
    </row>
    <row r="19597" spans="6:8">
      <c r="F19597" t="s">
        <v>12454</v>
      </c>
      <c r="G19597" t="s">
        <v>16675</v>
      </c>
      <c r="H19597" t="s">
        <v>18829</v>
      </c>
    </row>
    <row r="19598" spans="6:8">
      <c r="H19598" t="s">
        <v>23859</v>
      </c>
    </row>
    <row r="19599" spans="6:8">
      <c r="H19599" t="s">
        <v>23860</v>
      </c>
    </row>
    <row r="19600" spans="6:8">
      <c r="H19600" t="s">
        <v>23861</v>
      </c>
    </row>
    <row r="19601" spans="6:8">
      <c r="H19601" t="s">
        <v>23862</v>
      </c>
    </row>
    <row r="19602" spans="6:8">
      <c r="H19602" t="s">
        <v>23863</v>
      </c>
    </row>
    <row r="19603" spans="6:8">
      <c r="H19603" t="s">
        <v>23864</v>
      </c>
    </row>
    <row r="19604" spans="6:8">
      <c r="H19604" t="s">
        <v>23865</v>
      </c>
    </row>
    <row r="19605" spans="6:8">
      <c r="H19605" t="s">
        <v>23866</v>
      </c>
    </row>
    <row r="19606" spans="6:8">
      <c r="H19606" t="s">
        <v>23867</v>
      </c>
    </row>
    <row r="19607" spans="6:8">
      <c r="F19607" t="s">
        <v>12455</v>
      </c>
      <c r="G19607" t="s">
        <v>16676</v>
      </c>
      <c r="H19607" t="s">
        <v>18829</v>
      </c>
    </row>
    <row r="19608" spans="6:8">
      <c r="H19608" t="s">
        <v>23868</v>
      </c>
    </row>
    <row r="19609" spans="6:8">
      <c r="H19609" t="s">
        <v>23869</v>
      </c>
    </row>
    <row r="19610" spans="6:8">
      <c r="H19610" t="s">
        <v>23870</v>
      </c>
    </row>
    <row r="19611" spans="6:8">
      <c r="H19611" t="s">
        <v>23871</v>
      </c>
    </row>
    <row r="19612" spans="6:8">
      <c r="H19612" t="s">
        <v>23872</v>
      </c>
    </row>
    <row r="19613" spans="6:8">
      <c r="F19613" t="s">
        <v>12456</v>
      </c>
      <c r="G19613" t="s">
        <v>16677</v>
      </c>
      <c r="H19613" t="s">
        <v>18829</v>
      </c>
    </row>
    <row r="19614" spans="6:8">
      <c r="H19614" t="s">
        <v>23873</v>
      </c>
    </row>
    <row r="19615" spans="6:8">
      <c r="H19615" t="s">
        <v>23874</v>
      </c>
    </row>
    <row r="19616" spans="6:8">
      <c r="H19616" t="s">
        <v>23875</v>
      </c>
    </row>
    <row r="19617" spans="6:8">
      <c r="H19617" t="s">
        <v>23876</v>
      </c>
    </row>
    <row r="19618" spans="6:8">
      <c r="H19618" t="s">
        <v>23877</v>
      </c>
    </row>
    <row r="19619" spans="6:8">
      <c r="H19619" t="s">
        <v>23878</v>
      </c>
    </row>
    <row r="19620" spans="6:8">
      <c r="H19620" t="s">
        <v>23879</v>
      </c>
    </row>
    <row r="19621" spans="6:8">
      <c r="H19621" t="s">
        <v>23880</v>
      </c>
    </row>
    <row r="19622" spans="6:8">
      <c r="H19622" t="s">
        <v>23881</v>
      </c>
    </row>
    <row r="19623" spans="6:8">
      <c r="F19623" t="s">
        <v>12457</v>
      </c>
      <c r="G19623" t="s">
        <v>16678</v>
      </c>
      <c r="H19623" t="s">
        <v>18829</v>
      </c>
    </row>
    <row r="19624" spans="6:8">
      <c r="H19624" t="s">
        <v>23882</v>
      </c>
    </row>
    <row r="19625" spans="6:8">
      <c r="H19625" t="s">
        <v>23883</v>
      </c>
    </row>
    <row r="19626" spans="6:8">
      <c r="H19626" t="s">
        <v>23884</v>
      </c>
    </row>
    <row r="19627" spans="6:8">
      <c r="H19627" t="s">
        <v>23885</v>
      </c>
    </row>
    <row r="19628" spans="6:8">
      <c r="H19628" t="s">
        <v>23886</v>
      </c>
    </row>
    <row r="19629" spans="6:8">
      <c r="H19629" t="s">
        <v>23887</v>
      </c>
    </row>
    <row r="19630" spans="6:8">
      <c r="H19630" t="s">
        <v>23888</v>
      </c>
    </row>
    <row r="19631" spans="6:8">
      <c r="H19631" t="s">
        <v>23889</v>
      </c>
    </row>
    <row r="19632" spans="6:8">
      <c r="H19632" t="s">
        <v>23890</v>
      </c>
    </row>
    <row r="19633" spans="6:8">
      <c r="F19633" t="s">
        <v>12458</v>
      </c>
      <c r="G19633" t="s">
        <v>16679</v>
      </c>
      <c r="H19633" t="s">
        <v>18829</v>
      </c>
    </row>
    <row r="19634" spans="6:8">
      <c r="H19634" t="s">
        <v>23891</v>
      </c>
    </row>
    <row r="19635" spans="6:8">
      <c r="H19635" t="s">
        <v>23892</v>
      </c>
    </row>
    <row r="19636" spans="6:8">
      <c r="H19636" t="s">
        <v>23893</v>
      </c>
    </row>
    <row r="19637" spans="6:8">
      <c r="H19637" t="s">
        <v>23894</v>
      </c>
    </row>
    <row r="19638" spans="6:8">
      <c r="H19638" t="s">
        <v>23895</v>
      </c>
    </row>
    <row r="19639" spans="6:8">
      <c r="H19639" t="s">
        <v>23896</v>
      </c>
    </row>
    <row r="19640" spans="6:8">
      <c r="H19640" t="s">
        <v>23897</v>
      </c>
    </row>
    <row r="19641" spans="6:8">
      <c r="H19641" t="s">
        <v>23898</v>
      </c>
    </row>
    <row r="19642" spans="6:8">
      <c r="H19642" t="s">
        <v>23899</v>
      </c>
    </row>
    <row r="19643" spans="6:8">
      <c r="F19643" t="s">
        <v>12459</v>
      </c>
      <c r="G19643" t="s">
        <v>16680</v>
      </c>
      <c r="H19643" t="s">
        <v>18829</v>
      </c>
    </row>
    <row r="19644" spans="6:8">
      <c r="H19644" t="s">
        <v>23900</v>
      </c>
    </row>
    <row r="19645" spans="6:8">
      <c r="H19645" t="s">
        <v>23901</v>
      </c>
    </row>
    <row r="19646" spans="6:8">
      <c r="H19646" t="s">
        <v>23902</v>
      </c>
    </row>
    <row r="19647" spans="6:8">
      <c r="H19647" t="s">
        <v>23903</v>
      </c>
    </row>
    <row r="19648" spans="6:8">
      <c r="H19648" t="s">
        <v>23904</v>
      </c>
    </row>
    <row r="19649" spans="6:8">
      <c r="H19649" t="s">
        <v>23905</v>
      </c>
    </row>
    <row r="19650" spans="6:8">
      <c r="H19650" t="s">
        <v>23906</v>
      </c>
    </row>
    <row r="19651" spans="6:8">
      <c r="H19651" t="s">
        <v>23907</v>
      </c>
    </row>
    <row r="19652" spans="6:8">
      <c r="H19652" t="s">
        <v>23908</v>
      </c>
    </row>
    <row r="19653" spans="6:8">
      <c r="F19653" t="s">
        <v>12460</v>
      </c>
      <c r="G19653" t="s">
        <v>16681</v>
      </c>
      <c r="H19653" t="s">
        <v>18829</v>
      </c>
    </row>
    <row r="19654" spans="6:8">
      <c r="H19654" t="s">
        <v>23909</v>
      </c>
    </row>
    <row r="19655" spans="6:8">
      <c r="H19655" t="s">
        <v>23910</v>
      </c>
    </row>
    <row r="19656" spans="6:8">
      <c r="H19656" t="s">
        <v>23911</v>
      </c>
    </row>
    <row r="19657" spans="6:8">
      <c r="H19657" t="s">
        <v>23912</v>
      </c>
    </row>
    <row r="19658" spans="6:8">
      <c r="H19658" t="s">
        <v>23913</v>
      </c>
    </row>
    <row r="19659" spans="6:8">
      <c r="H19659" t="s">
        <v>23914</v>
      </c>
    </row>
    <row r="19660" spans="6:8">
      <c r="H19660" t="s">
        <v>23915</v>
      </c>
    </row>
    <row r="19661" spans="6:8">
      <c r="H19661" t="s">
        <v>23916</v>
      </c>
    </row>
    <row r="19662" spans="6:8">
      <c r="H19662" t="s">
        <v>23917</v>
      </c>
    </row>
    <row r="19663" spans="6:8">
      <c r="F19663" t="s">
        <v>12461</v>
      </c>
      <c r="G19663" t="s">
        <v>16682</v>
      </c>
      <c r="H19663" t="s">
        <v>18829</v>
      </c>
    </row>
    <row r="19664" spans="6:8">
      <c r="H19664" t="s">
        <v>23918</v>
      </c>
    </row>
    <row r="19665" spans="6:8">
      <c r="H19665" t="s">
        <v>23919</v>
      </c>
    </row>
    <row r="19666" spans="6:8">
      <c r="H19666" t="s">
        <v>23920</v>
      </c>
    </row>
    <row r="19667" spans="6:8">
      <c r="H19667" t="s">
        <v>23921</v>
      </c>
    </row>
    <row r="19668" spans="6:8">
      <c r="H19668" t="s">
        <v>23922</v>
      </c>
    </row>
    <row r="19669" spans="6:8">
      <c r="H19669" t="s">
        <v>23923</v>
      </c>
    </row>
    <row r="19670" spans="6:8">
      <c r="H19670" t="s">
        <v>23924</v>
      </c>
    </row>
    <row r="19671" spans="6:8">
      <c r="H19671" t="s">
        <v>23925</v>
      </c>
    </row>
    <row r="19672" spans="6:8">
      <c r="H19672" t="s">
        <v>23926</v>
      </c>
    </row>
    <row r="19673" spans="6:8">
      <c r="F19673" t="s">
        <v>12462</v>
      </c>
      <c r="G19673" t="s">
        <v>16536</v>
      </c>
      <c r="H19673" t="s">
        <v>18829</v>
      </c>
    </row>
    <row r="19674" spans="6:8">
      <c r="H19674" t="s">
        <v>23927</v>
      </c>
    </row>
    <row r="19675" spans="6:8">
      <c r="H19675" t="s">
        <v>21968</v>
      </c>
    </row>
    <row r="19676" spans="6:8">
      <c r="H19676" t="s">
        <v>23928</v>
      </c>
    </row>
    <row r="19677" spans="6:8">
      <c r="H19677" t="s">
        <v>21969</v>
      </c>
    </row>
    <row r="19678" spans="6:8">
      <c r="H19678" t="s">
        <v>23929</v>
      </c>
    </row>
    <row r="19679" spans="6:8">
      <c r="H19679" t="s">
        <v>21970</v>
      </c>
    </row>
    <row r="19680" spans="6:8">
      <c r="H19680" t="s">
        <v>23930</v>
      </c>
    </row>
    <row r="19681" spans="6:8">
      <c r="H19681" t="s">
        <v>21971</v>
      </c>
    </row>
    <row r="19682" spans="6:8">
      <c r="H19682" t="s">
        <v>23931</v>
      </c>
    </row>
    <row r="19683" spans="6:8">
      <c r="F19683" t="s">
        <v>12463</v>
      </c>
      <c r="G19683" t="s">
        <v>16683</v>
      </c>
      <c r="H19683" t="s">
        <v>18829</v>
      </c>
    </row>
    <row r="19684" spans="6:8">
      <c r="H19684" t="s">
        <v>23932</v>
      </c>
    </row>
    <row r="19685" spans="6:8">
      <c r="H19685" t="s">
        <v>23933</v>
      </c>
    </row>
    <row r="19686" spans="6:8">
      <c r="H19686" t="s">
        <v>23934</v>
      </c>
    </row>
    <row r="19687" spans="6:8">
      <c r="H19687" t="s">
        <v>23935</v>
      </c>
    </row>
    <row r="19688" spans="6:8">
      <c r="H19688" t="s">
        <v>23936</v>
      </c>
    </row>
    <row r="19689" spans="6:8">
      <c r="H19689" t="s">
        <v>23937</v>
      </c>
    </row>
    <row r="19690" spans="6:8">
      <c r="H19690" t="s">
        <v>23938</v>
      </c>
    </row>
    <row r="19691" spans="6:8">
      <c r="H19691" t="s">
        <v>23939</v>
      </c>
    </row>
    <row r="19692" spans="6:8">
      <c r="H19692" t="s">
        <v>23940</v>
      </c>
    </row>
    <row r="19693" spans="6:8">
      <c r="F19693" t="s">
        <v>12464</v>
      </c>
      <c r="G19693" t="s">
        <v>16684</v>
      </c>
      <c r="H19693" t="s">
        <v>18829</v>
      </c>
    </row>
    <row r="19694" spans="6:8">
      <c r="H19694" t="s">
        <v>23941</v>
      </c>
    </row>
    <row r="19695" spans="6:8">
      <c r="H19695" t="s">
        <v>23942</v>
      </c>
    </row>
    <row r="19696" spans="6:8">
      <c r="H19696" t="s">
        <v>23943</v>
      </c>
    </row>
    <row r="19697" spans="6:8">
      <c r="H19697" t="s">
        <v>23944</v>
      </c>
    </row>
    <row r="19698" spans="6:8">
      <c r="H19698" t="s">
        <v>23945</v>
      </c>
    </row>
    <row r="19699" spans="6:8">
      <c r="H19699" t="s">
        <v>23946</v>
      </c>
    </row>
    <row r="19700" spans="6:8">
      <c r="H19700" t="s">
        <v>23947</v>
      </c>
    </row>
    <row r="19701" spans="6:8">
      <c r="H19701" t="s">
        <v>23948</v>
      </c>
    </row>
    <row r="19702" spans="6:8">
      <c r="H19702" t="s">
        <v>23949</v>
      </c>
    </row>
    <row r="19703" spans="6:8">
      <c r="F19703" t="s">
        <v>12465</v>
      </c>
      <c r="G19703" t="s">
        <v>16685</v>
      </c>
      <c r="H19703" t="s">
        <v>18829</v>
      </c>
    </row>
    <row r="19704" spans="6:8">
      <c r="H19704" t="s">
        <v>23950</v>
      </c>
    </row>
    <row r="19705" spans="6:8">
      <c r="H19705" t="s">
        <v>23951</v>
      </c>
    </row>
    <row r="19706" spans="6:8">
      <c r="H19706" t="s">
        <v>23952</v>
      </c>
    </row>
    <row r="19707" spans="6:8">
      <c r="H19707" t="s">
        <v>23953</v>
      </c>
    </row>
    <row r="19708" spans="6:8">
      <c r="H19708" t="s">
        <v>23954</v>
      </c>
    </row>
    <row r="19709" spans="6:8">
      <c r="H19709" t="s">
        <v>23955</v>
      </c>
    </row>
    <row r="19710" spans="6:8">
      <c r="H19710" t="s">
        <v>23956</v>
      </c>
    </row>
    <row r="19711" spans="6:8">
      <c r="H19711" t="s">
        <v>23957</v>
      </c>
    </row>
    <row r="19712" spans="6:8">
      <c r="H19712" t="s">
        <v>23958</v>
      </c>
    </row>
    <row r="19713" spans="6:8">
      <c r="F19713" t="s">
        <v>12466</v>
      </c>
      <c r="G19713" t="s">
        <v>16686</v>
      </c>
      <c r="H19713" t="s">
        <v>18829</v>
      </c>
    </row>
    <row r="19714" spans="6:8">
      <c r="H19714" t="s">
        <v>23959</v>
      </c>
    </row>
    <row r="19715" spans="6:8">
      <c r="H19715" t="s">
        <v>23960</v>
      </c>
    </row>
    <row r="19716" spans="6:8">
      <c r="H19716" t="s">
        <v>23961</v>
      </c>
    </row>
    <row r="19717" spans="6:8">
      <c r="H19717" t="s">
        <v>23962</v>
      </c>
    </row>
    <row r="19718" spans="6:8">
      <c r="H19718" t="s">
        <v>23963</v>
      </c>
    </row>
    <row r="19719" spans="6:8">
      <c r="H19719" t="s">
        <v>23964</v>
      </c>
    </row>
    <row r="19720" spans="6:8">
      <c r="H19720" t="s">
        <v>23965</v>
      </c>
    </row>
    <row r="19721" spans="6:8">
      <c r="H19721" t="s">
        <v>23966</v>
      </c>
    </row>
    <row r="19722" spans="6:8">
      <c r="H19722" t="s">
        <v>23967</v>
      </c>
    </row>
    <row r="19723" spans="6:8">
      <c r="F19723" t="s">
        <v>12467</v>
      </c>
      <c r="G19723" t="s">
        <v>16687</v>
      </c>
      <c r="H19723" t="s">
        <v>18829</v>
      </c>
    </row>
    <row r="19724" spans="6:8">
      <c r="H19724" t="s">
        <v>23968</v>
      </c>
    </row>
    <row r="19725" spans="6:8">
      <c r="H19725" t="s">
        <v>23969</v>
      </c>
    </row>
    <row r="19726" spans="6:8">
      <c r="H19726" t="s">
        <v>23970</v>
      </c>
    </row>
    <row r="19727" spans="6:8">
      <c r="H19727" t="s">
        <v>23971</v>
      </c>
    </row>
    <row r="19728" spans="6:8">
      <c r="H19728" t="s">
        <v>23972</v>
      </c>
    </row>
    <row r="19729" spans="6:8">
      <c r="H19729" t="s">
        <v>23973</v>
      </c>
    </row>
    <row r="19730" spans="6:8">
      <c r="H19730" t="s">
        <v>23974</v>
      </c>
    </row>
    <row r="19731" spans="6:8">
      <c r="H19731" t="s">
        <v>23975</v>
      </c>
    </row>
    <row r="19732" spans="6:8">
      <c r="H19732" t="s">
        <v>23976</v>
      </c>
    </row>
    <row r="19733" spans="6:8">
      <c r="F19733" t="s">
        <v>12468</v>
      </c>
      <c r="G19733" t="s">
        <v>16688</v>
      </c>
      <c r="H19733" t="s">
        <v>18829</v>
      </c>
    </row>
    <row r="19734" spans="6:8">
      <c r="H19734" t="s">
        <v>23977</v>
      </c>
    </row>
    <row r="19735" spans="6:8">
      <c r="H19735" t="s">
        <v>23978</v>
      </c>
    </row>
    <row r="19736" spans="6:8">
      <c r="H19736" t="s">
        <v>23979</v>
      </c>
    </row>
    <row r="19737" spans="6:8">
      <c r="H19737" t="s">
        <v>23980</v>
      </c>
    </row>
    <row r="19738" spans="6:8">
      <c r="H19738" t="s">
        <v>23981</v>
      </c>
    </row>
    <row r="19739" spans="6:8">
      <c r="H19739" t="s">
        <v>23982</v>
      </c>
    </row>
    <row r="19740" spans="6:8">
      <c r="H19740" t="s">
        <v>23983</v>
      </c>
    </row>
    <row r="19741" spans="6:8">
      <c r="H19741" t="s">
        <v>23984</v>
      </c>
    </row>
    <row r="19742" spans="6:8">
      <c r="H19742" t="s">
        <v>23985</v>
      </c>
    </row>
    <row r="19743" spans="6:8">
      <c r="F19743" t="s">
        <v>12469</v>
      </c>
      <c r="G19743" t="s">
        <v>16689</v>
      </c>
      <c r="H19743" t="s">
        <v>18829</v>
      </c>
    </row>
    <row r="19744" spans="6:8">
      <c r="H19744" t="s">
        <v>23986</v>
      </c>
    </row>
    <row r="19745" spans="6:8">
      <c r="H19745" t="s">
        <v>23987</v>
      </c>
    </row>
    <row r="19746" spans="6:8">
      <c r="H19746" t="s">
        <v>23988</v>
      </c>
    </row>
    <row r="19747" spans="6:8">
      <c r="H19747" t="s">
        <v>23989</v>
      </c>
    </row>
    <row r="19748" spans="6:8">
      <c r="H19748" t="s">
        <v>23990</v>
      </c>
    </row>
    <row r="19749" spans="6:8">
      <c r="H19749" t="s">
        <v>23991</v>
      </c>
    </row>
    <row r="19750" spans="6:8">
      <c r="H19750" t="s">
        <v>23992</v>
      </c>
    </row>
    <row r="19751" spans="6:8">
      <c r="H19751" t="s">
        <v>23993</v>
      </c>
    </row>
    <row r="19752" spans="6:8">
      <c r="H19752" t="s">
        <v>23994</v>
      </c>
    </row>
    <row r="19753" spans="6:8">
      <c r="F19753" t="s">
        <v>12470</v>
      </c>
      <c r="G19753" t="s">
        <v>16690</v>
      </c>
      <c r="H19753" t="s">
        <v>18829</v>
      </c>
    </row>
    <row r="19754" spans="6:8">
      <c r="H19754" t="s">
        <v>23995</v>
      </c>
    </row>
    <row r="19755" spans="6:8">
      <c r="H19755" t="s">
        <v>23996</v>
      </c>
    </row>
    <row r="19756" spans="6:8">
      <c r="H19756" t="s">
        <v>23997</v>
      </c>
    </row>
    <row r="19757" spans="6:8">
      <c r="H19757" t="s">
        <v>23998</v>
      </c>
    </row>
    <row r="19758" spans="6:8">
      <c r="H19758" t="s">
        <v>23999</v>
      </c>
    </row>
    <row r="19759" spans="6:8">
      <c r="H19759" t="s">
        <v>24000</v>
      </c>
    </row>
    <row r="19760" spans="6:8">
      <c r="H19760" t="s">
        <v>24001</v>
      </c>
    </row>
    <row r="19761" spans="6:8">
      <c r="H19761" t="s">
        <v>24002</v>
      </c>
    </row>
    <row r="19762" spans="6:8">
      <c r="H19762" t="s">
        <v>24003</v>
      </c>
    </row>
    <row r="19763" spans="6:8">
      <c r="F19763" t="s">
        <v>12471</v>
      </c>
      <c r="G19763" t="s">
        <v>16691</v>
      </c>
      <c r="H19763" t="s">
        <v>18829</v>
      </c>
    </row>
    <row r="19764" spans="6:8">
      <c r="H19764" t="s">
        <v>24004</v>
      </c>
    </row>
    <row r="19765" spans="6:8">
      <c r="H19765" t="s">
        <v>24005</v>
      </c>
    </row>
    <row r="19766" spans="6:8">
      <c r="H19766" t="s">
        <v>24006</v>
      </c>
    </row>
    <row r="19767" spans="6:8">
      <c r="H19767" t="s">
        <v>24007</v>
      </c>
    </row>
    <row r="19768" spans="6:8">
      <c r="H19768" t="s">
        <v>24008</v>
      </c>
    </row>
    <row r="19769" spans="6:8">
      <c r="H19769" t="s">
        <v>24009</v>
      </c>
    </row>
    <row r="19770" spans="6:8">
      <c r="H19770" t="s">
        <v>24010</v>
      </c>
    </row>
    <row r="19771" spans="6:8">
      <c r="H19771" t="s">
        <v>24011</v>
      </c>
    </row>
    <row r="19772" spans="6:8">
      <c r="H19772" t="s">
        <v>24012</v>
      </c>
    </row>
    <row r="19773" spans="6:8">
      <c r="F19773" t="s">
        <v>12472</v>
      </c>
      <c r="G19773" t="s">
        <v>16692</v>
      </c>
      <c r="H19773" t="s">
        <v>18829</v>
      </c>
    </row>
    <row r="19774" spans="6:8">
      <c r="H19774" t="s">
        <v>24013</v>
      </c>
    </row>
    <row r="19775" spans="6:8">
      <c r="H19775" t="s">
        <v>24014</v>
      </c>
    </row>
    <row r="19776" spans="6:8">
      <c r="H19776" t="s">
        <v>24015</v>
      </c>
    </row>
    <row r="19777" spans="6:8">
      <c r="H19777" t="s">
        <v>24016</v>
      </c>
    </row>
    <row r="19778" spans="6:8">
      <c r="H19778" t="s">
        <v>24017</v>
      </c>
    </row>
    <row r="19779" spans="6:8">
      <c r="H19779" t="s">
        <v>24018</v>
      </c>
    </row>
    <row r="19780" spans="6:8">
      <c r="H19780" t="s">
        <v>24019</v>
      </c>
    </row>
    <row r="19781" spans="6:8">
      <c r="H19781" t="s">
        <v>24020</v>
      </c>
    </row>
    <row r="19782" spans="6:8">
      <c r="H19782" t="s">
        <v>24021</v>
      </c>
    </row>
    <row r="19783" spans="6:8">
      <c r="H19783" t="s">
        <v>24022</v>
      </c>
    </row>
    <row r="19784" spans="6:8">
      <c r="H19784" t="s">
        <v>24023</v>
      </c>
    </row>
    <row r="19785" spans="6:8">
      <c r="H19785" t="s">
        <v>24024</v>
      </c>
    </row>
    <row r="19786" spans="6:8">
      <c r="H19786" t="s">
        <v>24025</v>
      </c>
    </row>
    <row r="19787" spans="6:8">
      <c r="H19787" t="s">
        <v>24026</v>
      </c>
    </row>
    <row r="19788" spans="6:8">
      <c r="H19788" t="s">
        <v>24027</v>
      </c>
    </row>
    <row r="19789" spans="6:8">
      <c r="F19789" t="s">
        <v>12473</v>
      </c>
      <c r="G19789" t="s">
        <v>16693</v>
      </c>
      <c r="H19789" t="s">
        <v>18829</v>
      </c>
    </row>
    <row r="19790" spans="6:8">
      <c r="H19790" t="s">
        <v>24028</v>
      </c>
    </row>
    <row r="19791" spans="6:8">
      <c r="H19791" t="s">
        <v>24029</v>
      </c>
    </row>
    <row r="19792" spans="6:8">
      <c r="H19792" t="s">
        <v>24030</v>
      </c>
    </row>
    <row r="19793" spans="6:8">
      <c r="H19793" t="s">
        <v>24031</v>
      </c>
    </row>
    <row r="19794" spans="6:8">
      <c r="H19794" t="s">
        <v>24032</v>
      </c>
    </row>
    <row r="19795" spans="6:8">
      <c r="H19795" t="s">
        <v>24033</v>
      </c>
    </row>
    <row r="19796" spans="6:8">
      <c r="H19796" t="s">
        <v>24034</v>
      </c>
    </row>
    <row r="19797" spans="6:8">
      <c r="H19797" t="s">
        <v>24035</v>
      </c>
    </row>
    <row r="19798" spans="6:8">
      <c r="H19798" t="s">
        <v>24036</v>
      </c>
    </row>
    <row r="19799" spans="6:8">
      <c r="H19799" t="s">
        <v>24037</v>
      </c>
    </row>
    <row r="19800" spans="6:8">
      <c r="H19800" t="s">
        <v>24038</v>
      </c>
    </row>
    <row r="19801" spans="6:8">
      <c r="H19801" t="s">
        <v>24039</v>
      </c>
    </row>
    <row r="19802" spans="6:8">
      <c r="H19802" t="s">
        <v>24040</v>
      </c>
    </row>
    <row r="19803" spans="6:8">
      <c r="H19803" t="s">
        <v>24041</v>
      </c>
    </row>
    <row r="19804" spans="6:8">
      <c r="H19804" t="s">
        <v>24042</v>
      </c>
    </row>
    <row r="19805" spans="6:8">
      <c r="F19805" t="s">
        <v>12474</v>
      </c>
      <c r="G19805" t="s">
        <v>16694</v>
      </c>
      <c r="H19805" t="s">
        <v>18829</v>
      </c>
    </row>
    <row r="19806" spans="6:8">
      <c r="H19806" t="s">
        <v>24043</v>
      </c>
    </row>
    <row r="19807" spans="6:8">
      <c r="H19807" t="s">
        <v>24044</v>
      </c>
    </row>
    <row r="19808" spans="6:8">
      <c r="H19808" t="s">
        <v>24045</v>
      </c>
    </row>
    <row r="19809" spans="6:8">
      <c r="H19809" t="s">
        <v>24046</v>
      </c>
    </row>
    <row r="19810" spans="6:8">
      <c r="H19810" t="s">
        <v>24047</v>
      </c>
    </row>
    <row r="19811" spans="6:8">
      <c r="H19811" t="s">
        <v>24048</v>
      </c>
    </row>
    <row r="19812" spans="6:8">
      <c r="H19812" t="s">
        <v>24049</v>
      </c>
    </row>
    <row r="19813" spans="6:8">
      <c r="H19813" t="s">
        <v>24050</v>
      </c>
    </row>
    <row r="19814" spans="6:8">
      <c r="H19814" t="s">
        <v>24051</v>
      </c>
    </row>
    <row r="19815" spans="6:8">
      <c r="F19815" t="s">
        <v>12475</v>
      </c>
      <c r="G19815" t="s">
        <v>16695</v>
      </c>
      <c r="H19815" t="s">
        <v>18829</v>
      </c>
    </row>
    <row r="19816" spans="6:8">
      <c r="H19816" t="s">
        <v>24052</v>
      </c>
    </row>
    <row r="19817" spans="6:8">
      <c r="H19817" t="s">
        <v>24053</v>
      </c>
    </row>
    <row r="19818" spans="6:8">
      <c r="H19818" t="s">
        <v>24054</v>
      </c>
    </row>
    <row r="19819" spans="6:8">
      <c r="H19819" t="s">
        <v>24055</v>
      </c>
    </row>
    <row r="19820" spans="6:8">
      <c r="H19820" t="s">
        <v>24056</v>
      </c>
    </row>
    <row r="19821" spans="6:8">
      <c r="H19821" t="s">
        <v>24057</v>
      </c>
    </row>
    <row r="19822" spans="6:8">
      <c r="H19822" t="s">
        <v>24058</v>
      </c>
    </row>
    <row r="19823" spans="6:8">
      <c r="H19823" t="s">
        <v>24059</v>
      </c>
    </row>
    <row r="19824" spans="6:8">
      <c r="H19824" t="s">
        <v>24060</v>
      </c>
    </row>
    <row r="19825" spans="6:8">
      <c r="H19825" t="s">
        <v>24061</v>
      </c>
    </row>
    <row r="19826" spans="6:8">
      <c r="H19826" t="s">
        <v>24062</v>
      </c>
    </row>
    <row r="19827" spans="6:8">
      <c r="H19827" t="s">
        <v>24063</v>
      </c>
    </row>
    <row r="19828" spans="6:8">
      <c r="H19828" t="s">
        <v>24064</v>
      </c>
    </row>
    <row r="19829" spans="6:8">
      <c r="H19829" t="s">
        <v>24065</v>
      </c>
    </row>
    <row r="19830" spans="6:8">
      <c r="H19830" t="s">
        <v>24066</v>
      </c>
    </row>
    <row r="19831" spans="6:8">
      <c r="H19831" t="s">
        <v>24067</v>
      </c>
    </row>
    <row r="19832" spans="6:8">
      <c r="H19832" t="s">
        <v>24068</v>
      </c>
    </row>
    <row r="19833" spans="6:8">
      <c r="F19833" t="s">
        <v>12476</v>
      </c>
      <c r="G19833" t="s">
        <v>16696</v>
      </c>
      <c r="H19833" t="s">
        <v>18829</v>
      </c>
    </row>
    <row r="19834" spans="6:8">
      <c r="H19834" t="s">
        <v>24069</v>
      </c>
    </row>
    <row r="19835" spans="6:8">
      <c r="H19835" t="s">
        <v>24070</v>
      </c>
    </row>
    <row r="19836" spans="6:8">
      <c r="H19836" t="s">
        <v>24071</v>
      </c>
    </row>
    <row r="19837" spans="6:8">
      <c r="H19837" t="s">
        <v>24072</v>
      </c>
    </row>
    <row r="19838" spans="6:8">
      <c r="H19838" t="s">
        <v>24073</v>
      </c>
    </row>
    <row r="19839" spans="6:8">
      <c r="H19839" t="s">
        <v>24074</v>
      </c>
    </row>
    <row r="19840" spans="6:8">
      <c r="H19840" t="s">
        <v>24075</v>
      </c>
    </row>
    <row r="19841" spans="6:8">
      <c r="H19841" t="s">
        <v>24076</v>
      </c>
    </row>
    <row r="19842" spans="6:8">
      <c r="H19842" t="s">
        <v>24077</v>
      </c>
    </row>
    <row r="19843" spans="6:8">
      <c r="F19843" t="s">
        <v>12477</v>
      </c>
      <c r="G19843" t="s">
        <v>16697</v>
      </c>
      <c r="H19843" t="s">
        <v>18829</v>
      </c>
    </row>
    <row r="19844" spans="6:8">
      <c r="H19844" t="s">
        <v>24078</v>
      </c>
    </row>
    <row r="19845" spans="6:8">
      <c r="H19845" t="s">
        <v>24079</v>
      </c>
    </row>
    <row r="19846" spans="6:8">
      <c r="H19846" t="s">
        <v>24080</v>
      </c>
    </row>
    <row r="19847" spans="6:8">
      <c r="H19847" t="s">
        <v>24081</v>
      </c>
    </row>
    <row r="19848" spans="6:8">
      <c r="H19848" t="s">
        <v>24082</v>
      </c>
    </row>
    <row r="19849" spans="6:8">
      <c r="H19849" t="s">
        <v>24083</v>
      </c>
    </row>
    <row r="19850" spans="6:8">
      <c r="H19850" t="s">
        <v>24084</v>
      </c>
    </row>
    <row r="19851" spans="6:8">
      <c r="H19851" t="s">
        <v>24085</v>
      </c>
    </row>
    <row r="19852" spans="6:8">
      <c r="H19852" t="s">
        <v>24086</v>
      </c>
    </row>
    <row r="19853" spans="6:8">
      <c r="F19853" t="s">
        <v>12478</v>
      </c>
      <c r="G19853" t="s">
        <v>16698</v>
      </c>
      <c r="H19853" t="s">
        <v>18829</v>
      </c>
    </row>
    <row r="19854" spans="6:8">
      <c r="H19854" t="s">
        <v>24087</v>
      </c>
    </row>
    <row r="19855" spans="6:8">
      <c r="H19855" t="s">
        <v>24088</v>
      </c>
    </row>
    <row r="19856" spans="6:8">
      <c r="H19856" t="s">
        <v>24089</v>
      </c>
    </row>
    <row r="19857" spans="6:8">
      <c r="H19857" t="s">
        <v>24090</v>
      </c>
    </row>
    <row r="19858" spans="6:8">
      <c r="H19858" t="s">
        <v>24091</v>
      </c>
    </row>
    <row r="19859" spans="6:8">
      <c r="H19859" t="s">
        <v>24092</v>
      </c>
    </row>
    <row r="19860" spans="6:8">
      <c r="H19860" t="s">
        <v>24093</v>
      </c>
    </row>
    <row r="19861" spans="6:8">
      <c r="H19861" t="s">
        <v>24094</v>
      </c>
    </row>
    <row r="19862" spans="6:8">
      <c r="H19862" t="s">
        <v>24095</v>
      </c>
    </row>
    <row r="19863" spans="6:8">
      <c r="F19863" t="s">
        <v>12479</v>
      </c>
      <c r="G19863" t="s">
        <v>16699</v>
      </c>
      <c r="H19863" t="s">
        <v>18829</v>
      </c>
    </row>
    <row r="19864" spans="6:8">
      <c r="H19864" t="s">
        <v>24096</v>
      </c>
    </row>
    <row r="19865" spans="6:8">
      <c r="H19865" t="s">
        <v>24097</v>
      </c>
    </row>
    <row r="19866" spans="6:8">
      <c r="H19866" t="s">
        <v>24098</v>
      </c>
    </row>
    <row r="19867" spans="6:8">
      <c r="H19867" t="s">
        <v>24099</v>
      </c>
    </row>
    <row r="19868" spans="6:8">
      <c r="H19868" t="s">
        <v>24100</v>
      </c>
    </row>
    <row r="19869" spans="6:8">
      <c r="H19869" t="s">
        <v>24101</v>
      </c>
    </row>
    <row r="19870" spans="6:8">
      <c r="H19870" t="s">
        <v>24102</v>
      </c>
    </row>
    <row r="19871" spans="6:8">
      <c r="H19871" t="s">
        <v>24103</v>
      </c>
    </row>
    <row r="19872" spans="6:8">
      <c r="H19872" t="s">
        <v>24104</v>
      </c>
    </row>
    <row r="19873" spans="6:8">
      <c r="F19873" t="s">
        <v>12480</v>
      </c>
      <c r="G19873" t="s">
        <v>16700</v>
      </c>
      <c r="H19873" t="s">
        <v>18829</v>
      </c>
    </row>
    <row r="19874" spans="6:8">
      <c r="H19874" t="s">
        <v>24105</v>
      </c>
    </row>
    <row r="19875" spans="6:8">
      <c r="H19875" t="s">
        <v>24106</v>
      </c>
    </row>
    <row r="19876" spans="6:8">
      <c r="H19876" t="s">
        <v>24107</v>
      </c>
    </row>
    <row r="19877" spans="6:8">
      <c r="H19877" t="s">
        <v>24108</v>
      </c>
    </row>
    <row r="19878" spans="6:8">
      <c r="H19878" t="s">
        <v>24109</v>
      </c>
    </row>
    <row r="19879" spans="6:8">
      <c r="H19879" t="s">
        <v>24110</v>
      </c>
    </row>
    <row r="19880" spans="6:8">
      <c r="H19880" t="s">
        <v>24111</v>
      </c>
    </row>
    <row r="19881" spans="6:8">
      <c r="H19881" t="s">
        <v>24112</v>
      </c>
    </row>
    <row r="19882" spans="6:8">
      <c r="H19882" t="s">
        <v>24113</v>
      </c>
    </row>
    <row r="19883" spans="6:8">
      <c r="F19883" t="s">
        <v>12481</v>
      </c>
      <c r="G19883" t="s">
        <v>16537</v>
      </c>
      <c r="H19883" t="s">
        <v>18829</v>
      </c>
    </row>
    <row r="19884" spans="6:8">
      <c r="H19884" t="s">
        <v>24114</v>
      </c>
    </row>
    <row r="19885" spans="6:8">
      <c r="H19885" t="s">
        <v>21972</v>
      </c>
    </row>
    <row r="19886" spans="6:8">
      <c r="H19886" t="s">
        <v>24115</v>
      </c>
    </row>
    <row r="19887" spans="6:8">
      <c r="H19887" t="s">
        <v>21973</v>
      </c>
    </row>
    <row r="19888" spans="6:8">
      <c r="H19888" t="s">
        <v>24116</v>
      </c>
    </row>
    <row r="19889" spans="6:8">
      <c r="H19889" t="s">
        <v>21974</v>
      </c>
    </row>
    <row r="19890" spans="6:8">
      <c r="H19890" t="s">
        <v>24117</v>
      </c>
    </row>
    <row r="19891" spans="6:8">
      <c r="H19891" t="s">
        <v>21975</v>
      </c>
    </row>
    <row r="19892" spans="6:8">
      <c r="H19892" t="s">
        <v>24118</v>
      </c>
    </row>
    <row r="19893" spans="6:8">
      <c r="F19893" t="s">
        <v>12482</v>
      </c>
      <c r="G19893" t="s">
        <v>16701</v>
      </c>
      <c r="H19893" t="s">
        <v>18829</v>
      </c>
    </row>
    <row r="19894" spans="6:8">
      <c r="H19894" t="s">
        <v>24119</v>
      </c>
    </row>
    <row r="19895" spans="6:8">
      <c r="H19895" t="s">
        <v>24120</v>
      </c>
    </row>
    <row r="19896" spans="6:8">
      <c r="H19896" t="s">
        <v>24121</v>
      </c>
    </row>
    <row r="19897" spans="6:8">
      <c r="H19897" t="s">
        <v>24122</v>
      </c>
    </row>
    <row r="19898" spans="6:8">
      <c r="H19898" t="s">
        <v>24123</v>
      </c>
    </row>
    <row r="19899" spans="6:8">
      <c r="H19899" t="s">
        <v>24124</v>
      </c>
    </row>
    <row r="19900" spans="6:8">
      <c r="H19900" t="s">
        <v>24125</v>
      </c>
    </row>
    <row r="19901" spans="6:8">
      <c r="H19901" t="s">
        <v>24126</v>
      </c>
    </row>
    <row r="19902" spans="6:8">
      <c r="H19902" t="s">
        <v>24127</v>
      </c>
    </row>
    <row r="19903" spans="6:8">
      <c r="H19903" t="s">
        <v>24128</v>
      </c>
    </row>
    <row r="19904" spans="6:8">
      <c r="H19904" t="s">
        <v>24129</v>
      </c>
    </row>
    <row r="19905" spans="6:8">
      <c r="H19905" t="s">
        <v>24130</v>
      </c>
    </row>
    <row r="19906" spans="6:8">
      <c r="H19906" t="s">
        <v>24131</v>
      </c>
    </row>
    <row r="19907" spans="6:8">
      <c r="H19907" t="s">
        <v>24132</v>
      </c>
    </row>
    <row r="19908" spans="6:8">
      <c r="H19908" t="s">
        <v>24133</v>
      </c>
    </row>
    <row r="19909" spans="6:8">
      <c r="F19909" t="s">
        <v>12483</v>
      </c>
      <c r="G19909" t="s">
        <v>16702</v>
      </c>
      <c r="H19909" t="s">
        <v>18829</v>
      </c>
    </row>
    <row r="19910" spans="6:8">
      <c r="H19910" t="s">
        <v>24134</v>
      </c>
    </row>
    <row r="19911" spans="6:8">
      <c r="H19911" t="s">
        <v>24135</v>
      </c>
    </row>
    <row r="19912" spans="6:8">
      <c r="H19912" t="s">
        <v>24136</v>
      </c>
    </row>
    <row r="19913" spans="6:8">
      <c r="H19913" t="s">
        <v>24137</v>
      </c>
    </row>
    <row r="19914" spans="6:8">
      <c r="H19914" t="s">
        <v>24138</v>
      </c>
    </row>
    <row r="19915" spans="6:8">
      <c r="H19915" t="s">
        <v>24139</v>
      </c>
    </row>
    <row r="19916" spans="6:8">
      <c r="H19916" t="s">
        <v>24140</v>
      </c>
    </row>
    <row r="19917" spans="6:8">
      <c r="H19917" t="s">
        <v>24141</v>
      </c>
    </row>
    <row r="19918" spans="6:8">
      <c r="H19918" t="s">
        <v>24142</v>
      </c>
    </row>
    <row r="19919" spans="6:8">
      <c r="F19919" t="s">
        <v>12484</v>
      </c>
      <c r="G19919" t="s">
        <v>16703</v>
      </c>
      <c r="H19919" t="s">
        <v>18829</v>
      </c>
    </row>
    <row r="19920" spans="6:8">
      <c r="H19920" t="s">
        <v>24143</v>
      </c>
    </row>
    <row r="19921" spans="8:8">
      <c r="H19921" t="s">
        <v>24144</v>
      </c>
    </row>
    <row r="19922" spans="8:8">
      <c r="H19922" t="s">
        <v>24145</v>
      </c>
    </row>
    <row r="19923" spans="8:8">
      <c r="H19923" t="s">
        <v>24146</v>
      </c>
    </row>
    <row r="19924" spans="8:8">
      <c r="H19924" t="s">
        <v>24147</v>
      </c>
    </row>
    <row r="19925" spans="8:8">
      <c r="H19925" t="s">
        <v>24148</v>
      </c>
    </row>
    <row r="19926" spans="8:8">
      <c r="H19926" t="s">
        <v>24149</v>
      </c>
    </row>
    <row r="19927" spans="8:8">
      <c r="H19927" t="s">
        <v>24150</v>
      </c>
    </row>
    <row r="19928" spans="8:8">
      <c r="H19928" t="s">
        <v>24151</v>
      </c>
    </row>
    <row r="19929" spans="8:8">
      <c r="H19929" t="s">
        <v>24152</v>
      </c>
    </row>
    <row r="19930" spans="8:8">
      <c r="H19930" t="s">
        <v>24153</v>
      </c>
    </row>
    <row r="19931" spans="8:8">
      <c r="H19931" t="s">
        <v>24154</v>
      </c>
    </row>
    <row r="19932" spans="8:8">
      <c r="H19932" t="s">
        <v>24155</v>
      </c>
    </row>
    <row r="19933" spans="8:8">
      <c r="H19933" t="s">
        <v>24156</v>
      </c>
    </row>
    <row r="19934" spans="8:8">
      <c r="H19934" t="s">
        <v>24157</v>
      </c>
    </row>
    <row r="19935" spans="8:8">
      <c r="H19935" t="s">
        <v>24158</v>
      </c>
    </row>
    <row r="19936" spans="8:8">
      <c r="H19936" t="s">
        <v>24159</v>
      </c>
    </row>
    <row r="19937" spans="6:8">
      <c r="F19937" t="s">
        <v>12485</v>
      </c>
      <c r="G19937" t="s">
        <v>16704</v>
      </c>
      <c r="H19937" t="s">
        <v>18829</v>
      </c>
    </row>
    <row r="19938" spans="6:8">
      <c r="H19938" t="s">
        <v>24160</v>
      </c>
    </row>
    <row r="19939" spans="6:8">
      <c r="H19939" t="s">
        <v>24161</v>
      </c>
    </row>
    <row r="19940" spans="6:8">
      <c r="H19940" t="s">
        <v>24162</v>
      </c>
    </row>
    <row r="19941" spans="6:8">
      <c r="H19941" t="s">
        <v>24163</v>
      </c>
    </row>
    <row r="19942" spans="6:8">
      <c r="H19942" t="s">
        <v>24164</v>
      </c>
    </row>
    <row r="19943" spans="6:8">
      <c r="H19943" t="s">
        <v>24165</v>
      </c>
    </row>
    <row r="19944" spans="6:8">
      <c r="H19944" t="s">
        <v>24166</v>
      </c>
    </row>
    <row r="19945" spans="6:8">
      <c r="H19945" t="s">
        <v>24167</v>
      </c>
    </row>
    <row r="19946" spans="6:8">
      <c r="H19946" t="s">
        <v>24168</v>
      </c>
    </row>
    <row r="19947" spans="6:8">
      <c r="F19947" t="s">
        <v>12486</v>
      </c>
      <c r="G19947" t="s">
        <v>16705</v>
      </c>
      <c r="H19947" t="s">
        <v>18829</v>
      </c>
    </row>
    <row r="19948" spans="6:8">
      <c r="H19948" t="s">
        <v>24169</v>
      </c>
    </row>
    <row r="19949" spans="6:8">
      <c r="H19949" t="s">
        <v>24170</v>
      </c>
    </row>
    <row r="19950" spans="6:8">
      <c r="H19950" t="s">
        <v>24171</v>
      </c>
    </row>
    <row r="19951" spans="6:8">
      <c r="H19951" t="s">
        <v>24172</v>
      </c>
    </row>
    <row r="19952" spans="6:8">
      <c r="H19952" t="s">
        <v>24173</v>
      </c>
    </row>
    <row r="19953" spans="6:8">
      <c r="H19953" t="s">
        <v>24174</v>
      </c>
    </row>
    <row r="19954" spans="6:8">
      <c r="H19954" t="s">
        <v>24175</v>
      </c>
    </row>
    <row r="19955" spans="6:8">
      <c r="H19955" t="s">
        <v>24176</v>
      </c>
    </row>
    <row r="19956" spans="6:8">
      <c r="H19956" t="s">
        <v>24177</v>
      </c>
    </row>
    <row r="19957" spans="6:8">
      <c r="F19957" t="s">
        <v>12487</v>
      </c>
      <c r="G19957" t="s">
        <v>16706</v>
      </c>
      <c r="H19957" t="s">
        <v>18829</v>
      </c>
    </row>
    <row r="19958" spans="6:8">
      <c r="H19958" t="s">
        <v>24178</v>
      </c>
    </row>
    <row r="19959" spans="6:8">
      <c r="H19959" t="s">
        <v>24179</v>
      </c>
    </row>
    <row r="19960" spans="6:8">
      <c r="H19960" t="s">
        <v>24180</v>
      </c>
    </row>
    <row r="19961" spans="6:8">
      <c r="H19961" t="s">
        <v>24181</v>
      </c>
    </row>
    <row r="19962" spans="6:8">
      <c r="H19962" t="s">
        <v>24182</v>
      </c>
    </row>
    <row r="19963" spans="6:8">
      <c r="H19963" t="s">
        <v>24183</v>
      </c>
    </row>
    <row r="19964" spans="6:8">
      <c r="H19964" t="s">
        <v>24184</v>
      </c>
    </row>
    <row r="19965" spans="6:8">
      <c r="H19965" t="s">
        <v>24185</v>
      </c>
    </row>
    <row r="19966" spans="6:8">
      <c r="H19966" t="s">
        <v>24186</v>
      </c>
    </row>
    <row r="19967" spans="6:8">
      <c r="F19967" t="s">
        <v>12488</v>
      </c>
      <c r="G19967" t="s">
        <v>16707</v>
      </c>
      <c r="H19967" t="s">
        <v>18829</v>
      </c>
    </row>
    <row r="19968" spans="6:8">
      <c r="H19968" t="s">
        <v>24187</v>
      </c>
    </row>
    <row r="19969" spans="6:8">
      <c r="H19969" t="s">
        <v>24188</v>
      </c>
    </row>
    <row r="19970" spans="6:8">
      <c r="H19970" t="s">
        <v>24189</v>
      </c>
    </row>
    <row r="19971" spans="6:8">
      <c r="H19971" t="s">
        <v>24190</v>
      </c>
    </row>
    <row r="19972" spans="6:8">
      <c r="H19972" t="s">
        <v>24191</v>
      </c>
    </row>
    <row r="19973" spans="6:8">
      <c r="H19973" t="s">
        <v>24192</v>
      </c>
    </row>
    <row r="19974" spans="6:8">
      <c r="H19974" t="s">
        <v>24193</v>
      </c>
    </row>
    <row r="19975" spans="6:8">
      <c r="H19975" t="s">
        <v>24194</v>
      </c>
    </row>
    <row r="19976" spans="6:8">
      <c r="H19976" t="s">
        <v>24195</v>
      </c>
    </row>
    <row r="19977" spans="6:8">
      <c r="F19977" t="s">
        <v>12489</v>
      </c>
      <c r="G19977" t="s">
        <v>16538</v>
      </c>
      <c r="H19977" t="s">
        <v>18829</v>
      </c>
    </row>
    <row r="19978" spans="6:8">
      <c r="H19978" t="s">
        <v>24196</v>
      </c>
    </row>
    <row r="19979" spans="6:8">
      <c r="H19979" t="s">
        <v>21976</v>
      </c>
    </row>
    <row r="19980" spans="6:8">
      <c r="H19980" t="s">
        <v>24197</v>
      </c>
    </row>
    <row r="19981" spans="6:8">
      <c r="H19981" t="s">
        <v>21977</v>
      </c>
    </row>
    <row r="19982" spans="6:8">
      <c r="H19982" t="s">
        <v>24198</v>
      </c>
    </row>
    <row r="19983" spans="6:8">
      <c r="H19983" t="s">
        <v>21978</v>
      </c>
    </row>
    <row r="19984" spans="6:8">
      <c r="H19984" t="s">
        <v>24199</v>
      </c>
    </row>
    <row r="19985" spans="6:8">
      <c r="H19985" t="s">
        <v>21979</v>
      </c>
    </row>
    <row r="19986" spans="6:8">
      <c r="H19986" t="s">
        <v>24200</v>
      </c>
    </row>
    <row r="19987" spans="6:8">
      <c r="F19987" t="s">
        <v>12490</v>
      </c>
      <c r="G19987" t="s">
        <v>16708</v>
      </c>
      <c r="H19987" t="s">
        <v>18829</v>
      </c>
    </row>
    <row r="19988" spans="6:8">
      <c r="H19988" t="s">
        <v>24201</v>
      </c>
    </row>
    <row r="19989" spans="6:8">
      <c r="H19989" t="s">
        <v>24202</v>
      </c>
    </row>
    <row r="19990" spans="6:8">
      <c r="H19990" t="s">
        <v>24203</v>
      </c>
    </row>
    <row r="19991" spans="6:8">
      <c r="H19991" t="s">
        <v>24204</v>
      </c>
    </row>
    <row r="19992" spans="6:8">
      <c r="H19992" t="s">
        <v>24205</v>
      </c>
    </row>
    <row r="19993" spans="6:8">
      <c r="H19993" t="s">
        <v>24206</v>
      </c>
    </row>
    <row r="19994" spans="6:8">
      <c r="H19994" t="s">
        <v>24207</v>
      </c>
    </row>
    <row r="19995" spans="6:8">
      <c r="H19995" t="s">
        <v>24208</v>
      </c>
    </row>
    <row r="19996" spans="6:8">
      <c r="H19996" t="s">
        <v>24209</v>
      </c>
    </row>
    <row r="19997" spans="6:8">
      <c r="F19997" t="s">
        <v>12491</v>
      </c>
      <c r="G19997" t="s">
        <v>16709</v>
      </c>
      <c r="H19997" t="s">
        <v>18829</v>
      </c>
    </row>
    <row r="19998" spans="6:8">
      <c r="H19998" t="s">
        <v>24210</v>
      </c>
    </row>
    <row r="19999" spans="6:8">
      <c r="H19999" t="s">
        <v>24211</v>
      </c>
    </row>
    <row r="20000" spans="6:8">
      <c r="H20000" t="s">
        <v>24212</v>
      </c>
    </row>
    <row r="20001" spans="8:8">
      <c r="H20001" t="s">
        <v>24213</v>
      </c>
    </row>
    <row r="20002" spans="8:8">
      <c r="H20002" t="s">
        <v>24214</v>
      </c>
    </row>
    <row r="20003" spans="8:8">
      <c r="H20003" t="s">
        <v>24215</v>
      </c>
    </row>
    <row r="20004" spans="8:8">
      <c r="H20004" t="s">
        <v>24216</v>
      </c>
    </row>
    <row r="20005" spans="8:8">
      <c r="H20005" t="s">
        <v>24217</v>
      </c>
    </row>
    <row r="20006" spans="8:8">
      <c r="H20006" t="s">
        <v>24218</v>
      </c>
    </row>
    <row r="20007" spans="8:8">
      <c r="H20007" t="s">
        <v>24219</v>
      </c>
    </row>
    <row r="20008" spans="8:8">
      <c r="H20008" t="s">
        <v>24220</v>
      </c>
    </row>
    <row r="20009" spans="8:8">
      <c r="H20009" t="s">
        <v>24221</v>
      </c>
    </row>
    <row r="20010" spans="8:8">
      <c r="H20010" t="s">
        <v>24222</v>
      </c>
    </row>
    <row r="20011" spans="8:8">
      <c r="H20011" t="s">
        <v>24223</v>
      </c>
    </row>
    <row r="20012" spans="8:8">
      <c r="H20012" t="s">
        <v>24224</v>
      </c>
    </row>
    <row r="20013" spans="8:8">
      <c r="H20013" t="s">
        <v>24225</v>
      </c>
    </row>
    <row r="20014" spans="8:8">
      <c r="H20014" t="s">
        <v>24226</v>
      </c>
    </row>
    <row r="20015" spans="8:8">
      <c r="H20015" t="s">
        <v>24227</v>
      </c>
    </row>
    <row r="20016" spans="8:8">
      <c r="H20016" t="s">
        <v>24228</v>
      </c>
    </row>
    <row r="20017" spans="8:8">
      <c r="H20017" t="s">
        <v>24229</v>
      </c>
    </row>
    <row r="20018" spans="8:8">
      <c r="H20018" t="s">
        <v>24230</v>
      </c>
    </row>
    <row r="20019" spans="8:8">
      <c r="H20019" t="s">
        <v>24231</v>
      </c>
    </row>
    <row r="20020" spans="8:8">
      <c r="H20020" t="s">
        <v>24232</v>
      </c>
    </row>
    <row r="20021" spans="8:8">
      <c r="H20021" t="s">
        <v>24233</v>
      </c>
    </row>
    <row r="20022" spans="8:8">
      <c r="H20022" t="s">
        <v>24234</v>
      </c>
    </row>
    <row r="20023" spans="8:8">
      <c r="H20023" t="s">
        <v>24235</v>
      </c>
    </row>
    <row r="20024" spans="8:8">
      <c r="H20024" t="s">
        <v>24236</v>
      </c>
    </row>
    <row r="20025" spans="8:8">
      <c r="H20025" t="s">
        <v>24237</v>
      </c>
    </row>
    <row r="20026" spans="8:8">
      <c r="H20026" t="s">
        <v>24238</v>
      </c>
    </row>
    <row r="20027" spans="8:8">
      <c r="H20027" t="s">
        <v>24239</v>
      </c>
    </row>
    <row r="20028" spans="8:8">
      <c r="H20028" t="s">
        <v>24240</v>
      </c>
    </row>
    <row r="20029" spans="8:8">
      <c r="H20029" t="s">
        <v>24241</v>
      </c>
    </row>
    <row r="20030" spans="8:8">
      <c r="H20030" t="s">
        <v>24242</v>
      </c>
    </row>
    <row r="20031" spans="8:8">
      <c r="H20031" t="s">
        <v>24243</v>
      </c>
    </row>
    <row r="20032" spans="8:8">
      <c r="H20032" t="s">
        <v>24244</v>
      </c>
    </row>
    <row r="20033" spans="8:8">
      <c r="H20033" t="s">
        <v>24245</v>
      </c>
    </row>
    <row r="20034" spans="8:8">
      <c r="H20034" t="s">
        <v>24246</v>
      </c>
    </row>
    <row r="20035" spans="8:8">
      <c r="H20035" t="s">
        <v>24247</v>
      </c>
    </row>
    <row r="20036" spans="8:8">
      <c r="H20036" t="s">
        <v>24248</v>
      </c>
    </row>
    <row r="20037" spans="8:8">
      <c r="H20037" t="s">
        <v>24249</v>
      </c>
    </row>
    <row r="20038" spans="8:8">
      <c r="H20038" t="s">
        <v>24250</v>
      </c>
    </row>
    <row r="20039" spans="8:8">
      <c r="H20039" t="s">
        <v>24251</v>
      </c>
    </row>
    <row r="20040" spans="8:8">
      <c r="H20040" t="s">
        <v>24252</v>
      </c>
    </row>
    <row r="20041" spans="8:8">
      <c r="H20041" t="s">
        <v>24253</v>
      </c>
    </row>
    <row r="20042" spans="8:8">
      <c r="H20042" t="s">
        <v>24254</v>
      </c>
    </row>
    <row r="20043" spans="8:8">
      <c r="H20043" t="s">
        <v>24255</v>
      </c>
    </row>
    <row r="20044" spans="8:8">
      <c r="H20044" t="s">
        <v>24256</v>
      </c>
    </row>
    <row r="20045" spans="8:8">
      <c r="H20045" t="s">
        <v>24257</v>
      </c>
    </row>
    <row r="20046" spans="8:8">
      <c r="H20046" t="s">
        <v>24258</v>
      </c>
    </row>
    <row r="20047" spans="8:8">
      <c r="H20047" t="s">
        <v>24259</v>
      </c>
    </row>
    <row r="20048" spans="8:8">
      <c r="H20048" t="s">
        <v>24260</v>
      </c>
    </row>
    <row r="20049" spans="8:8">
      <c r="H20049" t="s">
        <v>24261</v>
      </c>
    </row>
    <row r="20050" spans="8:8">
      <c r="H20050" t="s">
        <v>24262</v>
      </c>
    </row>
    <row r="20051" spans="8:8">
      <c r="H20051" t="s">
        <v>24263</v>
      </c>
    </row>
    <row r="20052" spans="8:8">
      <c r="H20052" t="s">
        <v>24264</v>
      </c>
    </row>
    <row r="20053" spans="8:8">
      <c r="H20053" t="s">
        <v>24265</v>
      </c>
    </row>
    <row r="20054" spans="8:8">
      <c r="H20054" t="s">
        <v>24266</v>
      </c>
    </row>
    <row r="20055" spans="8:8">
      <c r="H20055" t="s">
        <v>24267</v>
      </c>
    </row>
    <row r="20056" spans="8:8">
      <c r="H20056" t="s">
        <v>24268</v>
      </c>
    </row>
    <row r="20057" spans="8:8">
      <c r="H20057" t="s">
        <v>24269</v>
      </c>
    </row>
    <row r="20058" spans="8:8">
      <c r="H20058" t="s">
        <v>24270</v>
      </c>
    </row>
    <row r="20059" spans="8:8">
      <c r="H20059" t="s">
        <v>24271</v>
      </c>
    </row>
    <row r="20060" spans="8:8">
      <c r="H20060" t="s">
        <v>24272</v>
      </c>
    </row>
    <row r="20061" spans="8:8">
      <c r="H20061" t="s">
        <v>24273</v>
      </c>
    </row>
    <row r="20062" spans="8:8">
      <c r="H20062" t="s">
        <v>24274</v>
      </c>
    </row>
    <row r="20063" spans="8:8">
      <c r="H20063" t="s">
        <v>24275</v>
      </c>
    </row>
    <row r="20064" spans="8:8">
      <c r="H20064" t="s">
        <v>24276</v>
      </c>
    </row>
    <row r="20065" spans="6:8">
      <c r="H20065" t="s">
        <v>24277</v>
      </c>
    </row>
    <row r="20066" spans="6:8">
      <c r="H20066" t="s">
        <v>24278</v>
      </c>
    </row>
    <row r="20067" spans="6:8">
      <c r="H20067" t="s">
        <v>24279</v>
      </c>
    </row>
    <row r="20068" spans="6:8">
      <c r="H20068" t="s">
        <v>24280</v>
      </c>
    </row>
    <row r="20069" spans="6:8">
      <c r="H20069" t="s">
        <v>24281</v>
      </c>
    </row>
    <row r="20070" spans="6:8">
      <c r="H20070" t="s">
        <v>24282</v>
      </c>
    </row>
    <row r="20071" spans="6:8">
      <c r="F20071" t="s">
        <v>12492</v>
      </c>
      <c r="G20071" t="s">
        <v>16710</v>
      </c>
      <c r="H20071" t="s">
        <v>18829</v>
      </c>
    </row>
    <row r="20072" spans="6:8">
      <c r="H20072" t="s">
        <v>24283</v>
      </c>
    </row>
    <row r="20073" spans="6:8">
      <c r="H20073" t="s">
        <v>24284</v>
      </c>
    </row>
    <row r="20074" spans="6:8">
      <c r="H20074" t="s">
        <v>24285</v>
      </c>
    </row>
    <row r="20075" spans="6:8">
      <c r="H20075" t="s">
        <v>24286</v>
      </c>
    </row>
    <row r="20076" spans="6:8">
      <c r="H20076" t="s">
        <v>24287</v>
      </c>
    </row>
    <row r="20077" spans="6:8">
      <c r="H20077" t="s">
        <v>24288</v>
      </c>
    </row>
    <row r="20078" spans="6:8">
      <c r="H20078" t="s">
        <v>24289</v>
      </c>
    </row>
    <row r="20079" spans="6:8">
      <c r="H20079" t="s">
        <v>24290</v>
      </c>
    </row>
    <row r="20080" spans="6:8">
      <c r="H20080" t="s">
        <v>24291</v>
      </c>
    </row>
    <row r="20081" spans="8:8">
      <c r="H20081" t="s">
        <v>24292</v>
      </c>
    </row>
    <row r="20082" spans="8:8">
      <c r="H20082" t="s">
        <v>24293</v>
      </c>
    </row>
    <row r="20083" spans="8:8">
      <c r="H20083" t="s">
        <v>24294</v>
      </c>
    </row>
    <row r="20084" spans="8:8">
      <c r="H20084" t="s">
        <v>24295</v>
      </c>
    </row>
    <row r="20085" spans="8:8">
      <c r="H20085" t="s">
        <v>24296</v>
      </c>
    </row>
    <row r="20086" spans="8:8">
      <c r="H20086" t="s">
        <v>24297</v>
      </c>
    </row>
    <row r="20087" spans="8:8">
      <c r="H20087" t="s">
        <v>24298</v>
      </c>
    </row>
    <row r="20088" spans="8:8">
      <c r="H20088" t="s">
        <v>24299</v>
      </c>
    </row>
    <row r="20089" spans="8:8">
      <c r="H20089" t="s">
        <v>24300</v>
      </c>
    </row>
    <row r="20090" spans="8:8">
      <c r="H20090" t="s">
        <v>24301</v>
      </c>
    </row>
    <row r="20091" spans="8:8">
      <c r="H20091" t="s">
        <v>24302</v>
      </c>
    </row>
    <row r="20092" spans="8:8">
      <c r="H20092" t="s">
        <v>24303</v>
      </c>
    </row>
    <row r="20093" spans="8:8">
      <c r="H20093" t="s">
        <v>24304</v>
      </c>
    </row>
    <row r="20094" spans="8:8">
      <c r="H20094" t="s">
        <v>24305</v>
      </c>
    </row>
    <row r="20095" spans="8:8">
      <c r="H20095" t="s">
        <v>24306</v>
      </c>
    </row>
    <row r="20096" spans="8:8">
      <c r="H20096" t="s">
        <v>24307</v>
      </c>
    </row>
    <row r="20097" spans="8:8">
      <c r="H20097" t="s">
        <v>24308</v>
      </c>
    </row>
    <row r="20098" spans="8:8">
      <c r="H20098" t="s">
        <v>24309</v>
      </c>
    </row>
    <row r="20099" spans="8:8">
      <c r="H20099" t="s">
        <v>24310</v>
      </c>
    </row>
    <row r="20100" spans="8:8">
      <c r="H20100" t="s">
        <v>24311</v>
      </c>
    </row>
    <row r="20101" spans="8:8">
      <c r="H20101" t="s">
        <v>24312</v>
      </c>
    </row>
    <row r="20102" spans="8:8">
      <c r="H20102" t="s">
        <v>24313</v>
      </c>
    </row>
    <row r="20103" spans="8:8">
      <c r="H20103" t="s">
        <v>24314</v>
      </c>
    </row>
    <row r="20104" spans="8:8">
      <c r="H20104" t="s">
        <v>24315</v>
      </c>
    </row>
    <row r="20105" spans="8:8">
      <c r="H20105" t="s">
        <v>24316</v>
      </c>
    </row>
    <row r="20106" spans="8:8">
      <c r="H20106" t="s">
        <v>24317</v>
      </c>
    </row>
    <row r="20107" spans="8:8">
      <c r="H20107" t="s">
        <v>24318</v>
      </c>
    </row>
    <row r="20108" spans="8:8">
      <c r="H20108" t="s">
        <v>24319</v>
      </c>
    </row>
    <row r="20109" spans="8:8">
      <c r="H20109" t="s">
        <v>24320</v>
      </c>
    </row>
    <row r="20110" spans="8:8">
      <c r="H20110" t="s">
        <v>24321</v>
      </c>
    </row>
    <row r="20111" spans="8:8">
      <c r="H20111" t="s">
        <v>24322</v>
      </c>
    </row>
    <row r="20112" spans="8:8">
      <c r="H20112" t="s">
        <v>24323</v>
      </c>
    </row>
    <row r="20113" spans="8:8">
      <c r="H20113" t="s">
        <v>24324</v>
      </c>
    </row>
    <row r="20114" spans="8:8">
      <c r="H20114" t="s">
        <v>24325</v>
      </c>
    </row>
    <row r="20115" spans="8:8">
      <c r="H20115" t="s">
        <v>24326</v>
      </c>
    </row>
    <row r="20116" spans="8:8">
      <c r="H20116" t="s">
        <v>24327</v>
      </c>
    </row>
    <row r="20117" spans="8:8">
      <c r="H20117" t="s">
        <v>24328</v>
      </c>
    </row>
    <row r="20118" spans="8:8">
      <c r="H20118" t="s">
        <v>24329</v>
      </c>
    </row>
    <row r="20119" spans="8:8">
      <c r="H20119" t="s">
        <v>24330</v>
      </c>
    </row>
    <row r="20120" spans="8:8">
      <c r="H20120" t="s">
        <v>24331</v>
      </c>
    </row>
    <row r="20121" spans="8:8">
      <c r="H20121" t="s">
        <v>24332</v>
      </c>
    </row>
    <row r="20122" spans="8:8">
      <c r="H20122" t="s">
        <v>24333</v>
      </c>
    </row>
    <row r="20123" spans="8:8">
      <c r="H20123" t="s">
        <v>24334</v>
      </c>
    </row>
    <row r="20124" spans="8:8">
      <c r="H20124" t="s">
        <v>24335</v>
      </c>
    </row>
    <row r="20125" spans="8:8">
      <c r="H20125" t="s">
        <v>24336</v>
      </c>
    </row>
    <row r="20126" spans="8:8">
      <c r="H20126" t="s">
        <v>24337</v>
      </c>
    </row>
    <row r="20127" spans="8:8">
      <c r="H20127" t="s">
        <v>24338</v>
      </c>
    </row>
    <row r="20128" spans="8:8">
      <c r="H20128" t="s">
        <v>24339</v>
      </c>
    </row>
    <row r="20129" spans="8:8">
      <c r="H20129" t="s">
        <v>24340</v>
      </c>
    </row>
    <row r="20130" spans="8:8">
      <c r="H20130" t="s">
        <v>24341</v>
      </c>
    </row>
    <row r="20131" spans="8:8">
      <c r="H20131" t="s">
        <v>24342</v>
      </c>
    </row>
    <row r="20132" spans="8:8">
      <c r="H20132" t="s">
        <v>24343</v>
      </c>
    </row>
    <row r="20133" spans="8:8">
      <c r="H20133" t="s">
        <v>24344</v>
      </c>
    </row>
    <row r="20134" spans="8:8">
      <c r="H20134" t="s">
        <v>24345</v>
      </c>
    </row>
    <row r="20135" spans="8:8">
      <c r="H20135" t="s">
        <v>24346</v>
      </c>
    </row>
    <row r="20136" spans="8:8">
      <c r="H20136" t="s">
        <v>24347</v>
      </c>
    </row>
    <row r="20137" spans="8:8">
      <c r="H20137" t="s">
        <v>24348</v>
      </c>
    </row>
    <row r="20138" spans="8:8">
      <c r="H20138" t="s">
        <v>24349</v>
      </c>
    </row>
    <row r="20139" spans="8:8">
      <c r="H20139" t="s">
        <v>24350</v>
      </c>
    </row>
    <row r="20140" spans="8:8">
      <c r="H20140" t="s">
        <v>24351</v>
      </c>
    </row>
    <row r="20141" spans="8:8">
      <c r="H20141" t="s">
        <v>24352</v>
      </c>
    </row>
    <row r="20142" spans="8:8">
      <c r="H20142" t="s">
        <v>24353</v>
      </c>
    </row>
    <row r="20143" spans="8:8">
      <c r="H20143" t="s">
        <v>24354</v>
      </c>
    </row>
    <row r="20144" spans="8:8">
      <c r="H20144" t="s">
        <v>24355</v>
      </c>
    </row>
    <row r="20145" spans="6:8">
      <c r="F20145" t="s">
        <v>12493</v>
      </c>
      <c r="G20145" t="s">
        <v>16711</v>
      </c>
      <c r="H20145" t="s">
        <v>18829</v>
      </c>
    </row>
    <row r="20146" spans="6:8">
      <c r="H20146" t="s">
        <v>24356</v>
      </c>
    </row>
    <row r="20147" spans="6:8">
      <c r="H20147" t="s">
        <v>24357</v>
      </c>
    </row>
    <row r="20148" spans="6:8">
      <c r="H20148" t="s">
        <v>24358</v>
      </c>
    </row>
    <row r="20149" spans="6:8">
      <c r="H20149" t="s">
        <v>24359</v>
      </c>
    </row>
    <row r="20150" spans="6:8">
      <c r="H20150" t="s">
        <v>24360</v>
      </c>
    </row>
    <row r="20151" spans="6:8">
      <c r="H20151" t="s">
        <v>24361</v>
      </c>
    </row>
    <row r="20152" spans="6:8">
      <c r="H20152" t="s">
        <v>24362</v>
      </c>
    </row>
    <row r="20153" spans="6:8">
      <c r="H20153" t="s">
        <v>24363</v>
      </c>
    </row>
    <row r="20154" spans="6:8">
      <c r="H20154" t="s">
        <v>24364</v>
      </c>
    </row>
    <row r="20155" spans="6:8">
      <c r="H20155" t="s">
        <v>24365</v>
      </c>
    </row>
    <row r="20156" spans="6:8">
      <c r="H20156" t="s">
        <v>24366</v>
      </c>
    </row>
    <row r="20157" spans="6:8">
      <c r="H20157" t="s">
        <v>24367</v>
      </c>
    </row>
    <row r="20158" spans="6:8">
      <c r="H20158" t="s">
        <v>24368</v>
      </c>
    </row>
    <row r="20159" spans="6:8">
      <c r="H20159" t="s">
        <v>24369</v>
      </c>
    </row>
    <row r="20160" spans="6:8">
      <c r="H20160" t="s">
        <v>24370</v>
      </c>
    </row>
    <row r="20161" spans="6:8">
      <c r="F20161" t="s">
        <v>12494</v>
      </c>
      <c r="G20161" t="s">
        <v>16712</v>
      </c>
      <c r="H20161" t="s">
        <v>18829</v>
      </c>
    </row>
    <row r="20162" spans="6:8">
      <c r="H20162" t="s">
        <v>24371</v>
      </c>
    </row>
    <row r="20163" spans="6:8">
      <c r="H20163" t="s">
        <v>24372</v>
      </c>
    </row>
    <row r="20164" spans="6:8">
      <c r="H20164" t="s">
        <v>24373</v>
      </c>
    </row>
    <row r="20165" spans="6:8">
      <c r="H20165" t="s">
        <v>24374</v>
      </c>
    </row>
    <row r="20166" spans="6:8">
      <c r="H20166" t="s">
        <v>24375</v>
      </c>
    </row>
    <row r="20167" spans="6:8">
      <c r="H20167" t="s">
        <v>24376</v>
      </c>
    </row>
    <row r="20168" spans="6:8">
      <c r="H20168" t="s">
        <v>24377</v>
      </c>
    </row>
    <row r="20169" spans="6:8">
      <c r="H20169" t="s">
        <v>24378</v>
      </c>
    </row>
    <row r="20170" spans="6:8">
      <c r="H20170" t="s">
        <v>24379</v>
      </c>
    </row>
    <row r="20171" spans="6:8">
      <c r="F20171" t="s">
        <v>12495</v>
      </c>
      <c r="G20171" t="s">
        <v>16713</v>
      </c>
      <c r="H20171" t="s">
        <v>18829</v>
      </c>
    </row>
    <row r="20172" spans="6:8">
      <c r="H20172" t="s">
        <v>24380</v>
      </c>
    </row>
    <row r="20173" spans="6:8">
      <c r="H20173" t="s">
        <v>24381</v>
      </c>
    </row>
    <row r="20174" spans="6:8">
      <c r="H20174" t="s">
        <v>24382</v>
      </c>
    </row>
    <row r="20175" spans="6:8">
      <c r="F20175" t="s">
        <v>12496</v>
      </c>
      <c r="G20175" t="s">
        <v>16714</v>
      </c>
      <c r="H20175" t="s">
        <v>18829</v>
      </c>
    </row>
    <row r="20176" spans="6:8">
      <c r="H20176" t="s">
        <v>24383</v>
      </c>
    </row>
    <row r="20177" spans="6:8">
      <c r="H20177" t="s">
        <v>24384</v>
      </c>
    </row>
    <row r="20178" spans="6:8">
      <c r="H20178" t="s">
        <v>24385</v>
      </c>
    </row>
    <row r="20179" spans="6:8">
      <c r="H20179" t="s">
        <v>24386</v>
      </c>
    </row>
    <row r="20180" spans="6:8">
      <c r="H20180" t="s">
        <v>24387</v>
      </c>
    </row>
    <row r="20181" spans="6:8">
      <c r="H20181" t="s">
        <v>24388</v>
      </c>
    </row>
    <row r="20182" spans="6:8">
      <c r="H20182" t="s">
        <v>24389</v>
      </c>
    </row>
    <row r="20183" spans="6:8">
      <c r="H20183" t="s">
        <v>24390</v>
      </c>
    </row>
    <row r="20184" spans="6:8">
      <c r="H20184" t="s">
        <v>24391</v>
      </c>
    </row>
    <row r="20185" spans="6:8">
      <c r="F20185" t="s">
        <v>12497</v>
      </c>
      <c r="G20185" t="s">
        <v>16715</v>
      </c>
      <c r="H20185" t="s">
        <v>18829</v>
      </c>
    </row>
    <row r="20186" spans="6:8">
      <c r="H20186" t="s">
        <v>24392</v>
      </c>
    </row>
    <row r="20187" spans="6:8">
      <c r="H20187" t="s">
        <v>24393</v>
      </c>
    </row>
    <row r="20188" spans="6:8">
      <c r="H20188" t="s">
        <v>24394</v>
      </c>
    </row>
    <row r="20189" spans="6:8">
      <c r="H20189" t="s">
        <v>24395</v>
      </c>
    </row>
    <row r="20190" spans="6:8">
      <c r="H20190" t="s">
        <v>24396</v>
      </c>
    </row>
    <row r="20191" spans="6:8">
      <c r="H20191" t="s">
        <v>24397</v>
      </c>
    </row>
    <row r="20192" spans="6:8">
      <c r="H20192" t="s">
        <v>24398</v>
      </c>
    </row>
    <row r="20193" spans="6:8">
      <c r="H20193" t="s">
        <v>24399</v>
      </c>
    </row>
    <row r="20194" spans="6:8">
      <c r="H20194" t="s">
        <v>24400</v>
      </c>
    </row>
    <row r="20195" spans="6:8">
      <c r="F20195" t="s">
        <v>12498</v>
      </c>
      <c r="G20195" t="s">
        <v>16716</v>
      </c>
      <c r="H20195" t="s">
        <v>18829</v>
      </c>
    </row>
    <row r="20196" spans="6:8">
      <c r="H20196" t="s">
        <v>24401</v>
      </c>
    </row>
    <row r="20197" spans="6:8">
      <c r="H20197" t="s">
        <v>24402</v>
      </c>
    </row>
    <row r="20198" spans="6:8">
      <c r="H20198" t="s">
        <v>24403</v>
      </c>
    </row>
    <row r="20199" spans="6:8">
      <c r="H20199" t="s">
        <v>24404</v>
      </c>
    </row>
    <row r="20200" spans="6:8">
      <c r="H20200" t="s">
        <v>24405</v>
      </c>
    </row>
    <row r="20201" spans="6:8">
      <c r="H20201" t="s">
        <v>24406</v>
      </c>
    </row>
    <row r="20202" spans="6:8">
      <c r="H20202" t="s">
        <v>24407</v>
      </c>
    </row>
    <row r="20203" spans="6:8">
      <c r="H20203" t="s">
        <v>24408</v>
      </c>
    </row>
    <row r="20204" spans="6:8">
      <c r="H20204" t="s">
        <v>24409</v>
      </c>
    </row>
    <row r="20205" spans="6:8">
      <c r="F20205" t="s">
        <v>12499</v>
      </c>
      <c r="G20205" t="s">
        <v>16717</v>
      </c>
      <c r="H20205" t="s">
        <v>18829</v>
      </c>
    </row>
    <row r="20206" spans="6:8">
      <c r="H20206" t="s">
        <v>24410</v>
      </c>
    </row>
    <row r="20207" spans="6:8">
      <c r="H20207" t="s">
        <v>24411</v>
      </c>
    </row>
    <row r="20208" spans="6:8">
      <c r="H20208" t="s">
        <v>24412</v>
      </c>
    </row>
    <row r="20209" spans="6:8">
      <c r="H20209" t="s">
        <v>24413</v>
      </c>
    </row>
    <row r="20210" spans="6:8">
      <c r="H20210" t="s">
        <v>24414</v>
      </c>
    </row>
    <row r="20211" spans="6:8">
      <c r="H20211" t="s">
        <v>24415</v>
      </c>
    </row>
    <row r="20212" spans="6:8">
      <c r="H20212" t="s">
        <v>24416</v>
      </c>
    </row>
    <row r="20213" spans="6:8">
      <c r="H20213" t="s">
        <v>24417</v>
      </c>
    </row>
    <row r="20214" spans="6:8">
      <c r="H20214" t="s">
        <v>24418</v>
      </c>
    </row>
    <row r="20215" spans="6:8">
      <c r="F20215" t="s">
        <v>12500</v>
      </c>
      <c r="G20215" t="s">
        <v>16718</v>
      </c>
      <c r="H20215" t="s">
        <v>18829</v>
      </c>
    </row>
    <row r="20216" spans="6:8">
      <c r="H20216" t="s">
        <v>24419</v>
      </c>
    </row>
    <row r="20217" spans="6:8">
      <c r="H20217" t="s">
        <v>24420</v>
      </c>
    </row>
    <row r="20218" spans="6:8">
      <c r="H20218" t="s">
        <v>24421</v>
      </c>
    </row>
    <row r="20219" spans="6:8">
      <c r="H20219" t="s">
        <v>24422</v>
      </c>
    </row>
    <row r="20220" spans="6:8">
      <c r="H20220" t="s">
        <v>24423</v>
      </c>
    </row>
    <row r="20221" spans="6:8">
      <c r="H20221" t="s">
        <v>24424</v>
      </c>
    </row>
    <row r="20222" spans="6:8">
      <c r="H20222" t="s">
        <v>24425</v>
      </c>
    </row>
    <row r="20223" spans="6:8">
      <c r="H20223" t="s">
        <v>24426</v>
      </c>
    </row>
    <row r="20224" spans="6:8">
      <c r="H20224" t="s">
        <v>24427</v>
      </c>
    </row>
    <row r="20225" spans="6:8">
      <c r="F20225" t="s">
        <v>12501</v>
      </c>
      <c r="G20225" t="s">
        <v>16719</v>
      </c>
      <c r="H20225" t="s">
        <v>18829</v>
      </c>
    </row>
    <row r="20226" spans="6:8">
      <c r="H20226" t="s">
        <v>24428</v>
      </c>
    </row>
    <row r="20227" spans="6:8">
      <c r="H20227" t="s">
        <v>24429</v>
      </c>
    </row>
    <row r="20228" spans="6:8">
      <c r="H20228" t="s">
        <v>24430</v>
      </c>
    </row>
    <row r="20229" spans="6:8">
      <c r="H20229" t="s">
        <v>24431</v>
      </c>
    </row>
    <row r="20230" spans="6:8">
      <c r="H20230" t="s">
        <v>24432</v>
      </c>
    </row>
    <row r="20231" spans="6:8">
      <c r="H20231" t="s">
        <v>24433</v>
      </c>
    </row>
    <row r="20232" spans="6:8">
      <c r="H20232" t="s">
        <v>24434</v>
      </c>
    </row>
    <row r="20233" spans="6:8">
      <c r="H20233" t="s">
        <v>24435</v>
      </c>
    </row>
    <row r="20234" spans="6:8">
      <c r="H20234" t="s">
        <v>24436</v>
      </c>
    </row>
    <row r="20235" spans="6:8">
      <c r="F20235" t="s">
        <v>12502</v>
      </c>
      <c r="G20235" t="s">
        <v>16720</v>
      </c>
      <c r="H20235" t="s">
        <v>18829</v>
      </c>
    </row>
    <row r="20236" spans="6:8">
      <c r="H20236" t="s">
        <v>24437</v>
      </c>
    </row>
    <row r="20237" spans="6:8">
      <c r="H20237" t="s">
        <v>24438</v>
      </c>
    </row>
    <row r="20238" spans="6:8">
      <c r="H20238" t="s">
        <v>24439</v>
      </c>
    </row>
    <row r="20239" spans="6:8">
      <c r="H20239" t="s">
        <v>24440</v>
      </c>
    </row>
    <row r="20240" spans="6:8">
      <c r="H20240" t="s">
        <v>24441</v>
      </c>
    </row>
    <row r="20241" spans="6:8">
      <c r="H20241" t="s">
        <v>24442</v>
      </c>
    </row>
    <row r="20242" spans="6:8">
      <c r="H20242" t="s">
        <v>24443</v>
      </c>
    </row>
    <row r="20243" spans="6:8">
      <c r="H20243" t="s">
        <v>24444</v>
      </c>
    </row>
    <row r="20244" spans="6:8">
      <c r="H20244" t="s">
        <v>24445</v>
      </c>
    </row>
    <row r="20245" spans="6:8">
      <c r="F20245" t="s">
        <v>12503</v>
      </c>
      <c r="G20245" t="s">
        <v>16721</v>
      </c>
      <c r="H20245" t="s">
        <v>18829</v>
      </c>
    </row>
    <row r="20246" spans="6:8">
      <c r="H20246" t="s">
        <v>24446</v>
      </c>
    </row>
    <row r="20247" spans="6:8">
      <c r="H20247" t="s">
        <v>24447</v>
      </c>
    </row>
    <row r="20248" spans="6:8">
      <c r="H20248" t="s">
        <v>24448</v>
      </c>
    </row>
    <row r="20249" spans="6:8">
      <c r="H20249" t="s">
        <v>24449</v>
      </c>
    </row>
    <row r="20250" spans="6:8">
      <c r="H20250" t="s">
        <v>24450</v>
      </c>
    </row>
    <row r="20251" spans="6:8">
      <c r="H20251" t="s">
        <v>24451</v>
      </c>
    </row>
    <row r="20252" spans="6:8">
      <c r="H20252" t="s">
        <v>24452</v>
      </c>
    </row>
    <row r="20253" spans="6:8">
      <c r="H20253" t="s">
        <v>24453</v>
      </c>
    </row>
    <row r="20254" spans="6:8">
      <c r="H20254" t="s">
        <v>24454</v>
      </c>
    </row>
    <row r="20255" spans="6:8">
      <c r="F20255" t="s">
        <v>12504</v>
      </c>
      <c r="G20255" t="s">
        <v>16722</v>
      </c>
      <c r="H20255" t="s">
        <v>18829</v>
      </c>
    </row>
    <row r="20256" spans="6:8">
      <c r="H20256" t="s">
        <v>24455</v>
      </c>
    </row>
    <row r="20257" spans="6:8">
      <c r="H20257" t="s">
        <v>24456</v>
      </c>
    </row>
    <row r="20258" spans="6:8">
      <c r="H20258" t="s">
        <v>24457</v>
      </c>
    </row>
    <row r="20259" spans="6:8">
      <c r="H20259" t="s">
        <v>24458</v>
      </c>
    </row>
    <row r="20260" spans="6:8">
      <c r="H20260" t="s">
        <v>24459</v>
      </c>
    </row>
    <row r="20261" spans="6:8">
      <c r="H20261" t="s">
        <v>24460</v>
      </c>
    </row>
    <row r="20262" spans="6:8">
      <c r="H20262" t="s">
        <v>24461</v>
      </c>
    </row>
    <row r="20263" spans="6:8">
      <c r="H20263" t="s">
        <v>24462</v>
      </c>
    </row>
    <row r="20264" spans="6:8">
      <c r="H20264" t="s">
        <v>24463</v>
      </c>
    </row>
    <row r="20265" spans="6:8">
      <c r="F20265" t="s">
        <v>12505</v>
      </c>
      <c r="G20265" t="s">
        <v>16723</v>
      </c>
      <c r="H20265" t="s">
        <v>18829</v>
      </c>
    </row>
    <row r="20266" spans="6:8">
      <c r="H20266" t="s">
        <v>24464</v>
      </c>
    </row>
    <row r="20267" spans="6:8">
      <c r="H20267" t="s">
        <v>24465</v>
      </c>
    </row>
    <row r="20268" spans="6:8">
      <c r="H20268" t="s">
        <v>24466</v>
      </c>
    </row>
    <row r="20269" spans="6:8">
      <c r="H20269" t="s">
        <v>24467</v>
      </c>
    </row>
    <row r="20270" spans="6:8">
      <c r="H20270" t="s">
        <v>24468</v>
      </c>
    </row>
    <row r="20271" spans="6:8">
      <c r="H20271" t="s">
        <v>24469</v>
      </c>
    </row>
    <row r="20272" spans="6:8">
      <c r="H20272" t="s">
        <v>24470</v>
      </c>
    </row>
    <row r="20273" spans="6:8">
      <c r="H20273" t="s">
        <v>24471</v>
      </c>
    </row>
    <row r="20274" spans="6:8">
      <c r="H20274" t="s">
        <v>24472</v>
      </c>
    </row>
    <row r="20275" spans="6:8">
      <c r="F20275" t="s">
        <v>12506</v>
      </c>
      <c r="G20275" t="s">
        <v>16724</v>
      </c>
      <c r="H20275" t="s">
        <v>18829</v>
      </c>
    </row>
    <row r="20276" spans="6:8">
      <c r="H20276" t="s">
        <v>24473</v>
      </c>
    </row>
    <row r="20277" spans="6:8">
      <c r="H20277" t="s">
        <v>24474</v>
      </c>
    </row>
    <row r="20278" spans="6:8">
      <c r="H20278" t="s">
        <v>24475</v>
      </c>
    </row>
    <row r="20279" spans="6:8">
      <c r="H20279" t="s">
        <v>24476</v>
      </c>
    </row>
    <row r="20280" spans="6:8">
      <c r="H20280" t="s">
        <v>24477</v>
      </c>
    </row>
    <row r="20281" spans="6:8">
      <c r="H20281" t="s">
        <v>24478</v>
      </c>
    </row>
    <row r="20282" spans="6:8">
      <c r="H20282" t="s">
        <v>24479</v>
      </c>
    </row>
    <row r="20283" spans="6:8">
      <c r="H20283" t="s">
        <v>24480</v>
      </c>
    </row>
    <row r="20284" spans="6:8">
      <c r="H20284" t="s">
        <v>24481</v>
      </c>
    </row>
    <row r="20285" spans="6:8">
      <c r="F20285" t="s">
        <v>12507</v>
      </c>
      <c r="G20285" t="s">
        <v>16725</v>
      </c>
      <c r="H20285" t="s">
        <v>18829</v>
      </c>
    </row>
    <row r="20286" spans="6:8">
      <c r="H20286" t="s">
        <v>24482</v>
      </c>
    </row>
    <row r="20287" spans="6:8">
      <c r="H20287" t="s">
        <v>24483</v>
      </c>
    </row>
    <row r="20288" spans="6:8">
      <c r="H20288" t="s">
        <v>24484</v>
      </c>
    </row>
    <row r="20289" spans="6:8">
      <c r="H20289" t="s">
        <v>24485</v>
      </c>
    </row>
    <row r="20290" spans="6:8">
      <c r="H20290" t="s">
        <v>24486</v>
      </c>
    </row>
    <row r="20291" spans="6:8">
      <c r="H20291" t="s">
        <v>24487</v>
      </c>
    </row>
    <row r="20292" spans="6:8">
      <c r="H20292" t="s">
        <v>24488</v>
      </c>
    </row>
    <row r="20293" spans="6:8">
      <c r="H20293" t="s">
        <v>24489</v>
      </c>
    </row>
    <row r="20294" spans="6:8">
      <c r="H20294" t="s">
        <v>24490</v>
      </c>
    </row>
    <row r="20295" spans="6:8">
      <c r="F20295" t="s">
        <v>12508</v>
      </c>
      <c r="G20295" t="s">
        <v>16726</v>
      </c>
      <c r="H20295" t="s">
        <v>18829</v>
      </c>
    </row>
    <row r="20296" spans="6:8">
      <c r="H20296" t="s">
        <v>24491</v>
      </c>
    </row>
    <row r="20297" spans="6:8">
      <c r="H20297" t="s">
        <v>24492</v>
      </c>
    </row>
    <row r="20298" spans="6:8">
      <c r="H20298" t="s">
        <v>24493</v>
      </c>
    </row>
    <row r="20299" spans="6:8">
      <c r="H20299" t="s">
        <v>24494</v>
      </c>
    </row>
    <row r="20300" spans="6:8">
      <c r="H20300" t="s">
        <v>24495</v>
      </c>
    </row>
    <row r="20301" spans="6:8">
      <c r="H20301" t="s">
        <v>24496</v>
      </c>
    </row>
    <row r="20302" spans="6:8">
      <c r="H20302" t="s">
        <v>24497</v>
      </c>
    </row>
    <row r="20303" spans="6:8">
      <c r="H20303" t="s">
        <v>24498</v>
      </c>
    </row>
    <row r="20304" spans="6:8">
      <c r="H20304" t="s">
        <v>24499</v>
      </c>
    </row>
    <row r="20305" spans="6:8">
      <c r="F20305" t="s">
        <v>12509</v>
      </c>
      <c r="G20305" t="s">
        <v>16727</v>
      </c>
      <c r="H20305" t="s">
        <v>18829</v>
      </c>
    </row>
    <row r="20306" spans="6:8">
      <c r="H20306" t="s">
        <v>24500</v>
      </c>
    </row>
    <row r="20307" spans="6:8">
      <c r="H20307" t="s">
        <v>24501</v>
      </c>
    </row>
    <row r="20308" spans="6:8">
      <c r="H20308" t="s">
        <v>24502</v>
      </c>
    </row>
    <row r="20309" spans="6:8">
      <c r="H20309" t="s">
        <v>24503</v>
      </c>
    </row>
    <row r="20310" spans="6:8">
      <c r="H20310" t="s">
        <v>24504</v>
      </c>
    </row>
    <row r="20311" spans="6:8">
      <c r="H20311" t="s">
        <v>24505</v>
      </c>
    </row>
    <row r="20312" spans="6:8">
      <c r="H20312" t="s">
        <v>24506</v>
      </c>
    </row>
    <row r="20313" spans="6:8">
      <c r="H20313" t="s">
        <v>24507</v>
      </c>
    </row>
    <row r="20314" spans="6:8">
      <c r="H20314" t="s">
        <v>24508</v>
      </c>
    </row>
    <row r="20315" spans="6:8">
      <c r="F20315" t="s">
        <v>12510</v>
      </c>
      <c r="G20315" t="s">
        <v>16728</v>
      </c>
      <c r="H20315" t="s">
        <v>18829</v>
      </c>
    </row>
    <row r="20316" spans="6:8">
      <c r="H20316" t="s">
        <v>24509</v>
      </c>
    </row>
    <row r="20317" spans="6:8">
      <c r="H20317" t="s">
        <v>24510</v>
      </c>
    </row>
    <row r="20318" spans="6:8">
      <c r="H20318" t="s">
        <v>24511</v>
      </c>
    </row>
    <row r="20319" spans="6:8">
      <c r="H20319" t="s">
        <v>24512</v>
      </c>
    </row>
    <row r="20320" spans="6:8">
      <c r="H20320" t="s">
        <v>24513</v>
      </c>
    </row>
    <row r="20321" spans="6:8">
      <c r="H20321" t="s">
        <v>24514</v>
      </c>
    </row>
    <row r="20322" spans="6:8">
      <c r="H20322" t="s">
        <v>24515</v>
      </c>
    </row>
    <row r="20323" spans="6:8">
      <c r="H20323" t="s">
        <v>24516</v>
      </c>
    </row>
    <row r="20324" spans="6:8">
      <c r="H20324" t="s">
        <v>24517</v>
      </c>
    </row>
    <row r="20325" spans="6:8">
      <c r="F20325" t="s">
        <v>12511</v>
      </c>
      <c r="G20325" t="s">
        <v>16729</v>
      </c>
      <c r="H20325" t="s">
        <v>18829</v>
      </c>
    </row>
    <row r="20326" spans="6:8">
      <c r="H20326" t="s">
        <v>24518</v>
      </c>
    </row>
    <row r="20327" spans="6:8">
      <c r="H20327" t="s">
        <v>24519</v>
      </c>
    </row>
    <row r="20328" spans="6:8">
      <c r="H20328" t="s">
        <v>24520</v>
      </c>
    </row>
    <row r="20329" spans="6:8">
      <c r="H20329" t="s">
        <v>24521</v>
      </c>
    </row>
    <row r="20330" spans="6:8">
      <c r="H20330" t="s">
        <v>24522</v>
      </c>
    </row>
    <row r="20331" spans="6:8">
      <c r="H20331" t="s">
        <v>24523</v>
      </c>
    </row>
    <row r="20332" spans="6:8">
      <c r="H20332" t="s">
        <v>24524</v>
      </c>
    </row>
    <row r="20333" spans="6:8">
      <c r="H20333" t="s">
        <v>24525</v>
      </c>
    </row>
    <row r="20334" spans="6:8">
      <c r="H20334" t="s">
        <v>24526</v>
      </c>
    </row>
    <row r="20335" spans="6:8">
      <c r="F20335" t="s">
        <v>12512</v>
      </c>
      <c r="G20335" t="s">
        <v>16730</v>
      </c>
      <c r="H20335" t="s">
        <v>18829</v>
      </c>
    </row>
    <row r="20336" spans="6:8">
      <c r="H20336" t="s">
        <v>24527</v>
      </c>
    </row>
    <row r="20337" spans="6:8">
      <c r="H20337" t="s">
        <v>24528</v>
      </c>
    </row>
    <row r="20338" spans="6:8">
      <c r="H20338" t="s">
        <v>24529</v>
      </c>
    </row>
    <row r="20339" spans="6:8">
      <c r="H20339" t="s">
        <v>24530</v>
      </c>
    </row>
    <row r="20340" spans="6:8">
      <c r="H20340" t="s">
        <v>24531</v>
      </c>
    </row>
    <row r="20341" spans="6:8">
      <c r="H20341" t="s">
        <v>24532</v>
      </c>
    </row>
    <row r="20342" spans="6:8">
      <c r="H20342" t="s">
        <v>24533</v>
      </c>
    </row>
    <row r="20343" spans="6:8">
      <c r="H20343" t="s">
        <v>24534</v>
      </c>
    </row>
    <row r="20344" spans="6:8">
      <c r="H20344" t="s">
        <v>24535</v>
      </c>
    </row>
    <row r="20345" spans="6:8">
      <c r="F20345" t="s">
        <v>12513</v>
      </c>
      <c r="G20345" t="s">
        <v>16731</v>
      </c>
      <c r="H20345" t="s">
        <v>18829</v>
      </c>
    </row>
    <row r="20346" spans="6:8">
      <c r="H20346" t="s">
        <v>24536</v>
      </c>
    </row>
    <row r="20347" spans="6:8">
      <c r="H20347" t="s">
        <v>24537</v>
      </c>
    </row>
    <row r="20348" spans="6:8">
      <c r="H20348" t="s">
        <v>24538</v>
      </c>
    </row>
    <row r="20349" spans="6:8">
      <c r="H20349" t="s">
        <v>24539</v>
      </c>
    </row>
    <row r="20350" spans="6:8">
      <c r="H20350" t="s">
        <v>24540</v>
      </c>
    </row>
    <row r="20351" spans="6:8">
      <c r="H20351" t="s">
        <v>24541</v>
      </c>
    </row>
    <row r="20352" spans="6:8">
      <c r="H20352" t="s">
        <v>24542</v>
      </c>
    </row>
    <row r="20353" spans="6:8">
      <c r="H20353" t="s">
        <v>24543</v>
      </c>
    </row>
    <row r="20354" spans="6:8">
      <c r="H20354" t="s">
        <v>24544</v>
      </c>
    </row>
    <row r="20355" spans="6:8">
      <c r="F20355" t="s">
        <v>12514</v>
      </c>
      <c r="G20355" t="s">
        <v>16732</v>
      </c>
      <c r="H20355" t="s">
        <v>18829</v>
      </c>
    </row>
    <row r="20356" spans="6:8">
      <c r="H20356" t="s">
        <v>24545</v>
      </c>
    </row>
    <row r="20357" spans="6:8">
      <c r="H20357" t="s">
        <v>24546</v>
      </c>
    </row>
    <row r="20358" spans="6:8">
      <c r="H20358" t="s">
        <v>24547</v>
      </c>
    </row>
    <row r="20359" spans="6:8">
      <c r="H20359" t="s">
        <v>24548</v>
      </c>
    </row>
    <row r="20360" spans="6:8">
      <c r="H20360" t="s">
        <v>24549</v>
      </c>
    </row>
    <row r="20361" spans="6:8">
      <c r="H20361" t="s">
        <v>24550</v>
      </c>
    </row>
    <row r="20362" spans="6:8">
      <c r="H20362" t="s">
        <v>24551</v>
      </c>
    </row>
    <row r="20363" spans="6:8">
      <c r="H20363" t="s">
        <v>24552</v>
      </c>
    </row>
    <row r="20364" spans="6:8">
      <c r="H20364" t="s">
        <v>24553</v>
      </c>
    </row>
    <row r="20365" spans="6:8">
      <c r="F20365" t="s">
        <v>12515</v>
      </c>
      <c r="G20365" t="s">
        <v>16733</v>
      </c>
      <c r="H20365" t="s">
        <v>18829</v>
      </c>
    </row>
    <row r="20366" spans="6:8">
      <c r="H20366" t="s">
        <v>24554</v>
      </c>
    </row>
    <row r="20367" spans="6:8">
      <c r="H20367" t="s">
        <v>24555</v>
      </c>
    </row>
    <row r="20368" spans="6:8">
      <c r="H20368" t="s">
        <v>24556</v>
      </c>
    </row>
    <row r="20369" spans="6:8">
      <c r="H20369" t="s">
        <v>24557</v>
      </c>
    </row>
    <row r="20370" spans="6:8">
      <c r="H20370" t="s">
        <v>24558</v>
      </c>
    </row>
    <row r="20371" spans="6:8">
      <c r="H20371" t="s">
        <v>24559</v>
      </c>
    </row>
    <row r="20372" spans="6:8">
      <c r="H20372" t="s">
        <v>24560</v>
      </c>
    </row>
    <row r="20373" spans="6:8">
      <c r="H20373" t="s">
        <v>24561</v>
      </c>
    </row>
    <row r="20374" spans="6:8">
      <c r="H20374" t="s">
        <v>24562</v>
      </c>
    </row>
    <row r="20375" spans="6:8">
      <c r="F20375" t="s">
        <v>12516</v>
      </c>
      <c r="G20375" t="s">
        <v>16734</v>
      </c>
      <c r="H20375" t="s">
        <v>18829</v>
      </c>
    </row>
    <row r="20376" spans="6:8">
      <c r="H20376" t="s">
        <v>24563</v>
      </c>
    </row>
    <row r="20377" spans="6:8">
      <c r="H20377" t="s">
        <v>24564</v>
      </c>
    </row>
    <row r="20378" spans="6:8">
      <c r="H20378" t="s">
        <v>24565</v>
      </c>
    </row>
    <row r="20379" spans="6:8">
      <c r="H20379" t="s">
        <v>24566</v>
      </c>
    </row>
    <row r="20380" spans="6:8">
      <c r="H20380" t="s">
        <v>24567</v>
      </c>
    </row>
    <row r="20381" spans="6:8">
      <c r="H20381" t="s">
        <v>24568</v>
      </c>
    </row>
    <row r="20382" spans="6:8">
      <c r="H20382" t="s">
        <v>24569</v>
      </c>
    </row>
    <row r="20383" spans="6:8">
      <c r="H20383" t="s">
        <v>24570</v>
      </c>
    </row>
    <row r="20384" spans="6:8">
      <c r="H20384" t="s">
        <v>24571</v>
      </c>
    </row>
    <row r="20385" spans="6:8">
      <c r="F20385" t="s">
        <v>12517</v>
      </c>
      <c r="G20385" t="s">
        <v>16735</v>
      </c>
      <c r="H20385" t="s">
        <v>18829</v>
      </c>
    </row>
    <row r="20386" spans="6:8">
      <c r="H20386" t="s">
        <v>24572</v>
      </c>
    </row>
    <row r="20387" spans="6:8">
      <c r="H20387" t="s">
        <v>24573</v>
      </c>
    </row>
    <row r="20388" spans="6:8">
      <c r="H20388" t="s">
        <v>24574</v>
      </c>
    </row>
    <row r="20389" spans="6:8">
      <c r="H20389" t="s">
        <v>24575</v>
      </c>
    </row>
    <row r="20390" spans="6:8">
      <c r="H20390" t="s">
        <v>24576</v>
      </c>
    </row>
    <row r="20391" spans="6:8">
      <c r="H20391" t="s">
        <v>24577</v>
      </c>
    </row>
    <row r="20392" spans="6:8">
      <c r="H20392" t="s">
        <v>24578</v>
      </c>
    </row>
    <row r="20393" spans="6:8">
      <c r="H20393" t="s">
        <v>24579</v>
      </c>
    </row>
    <row r="20394" spans="6:8">
      <c r="H20394" t="s">
        <v>24580</v>
      </c>
    </row>
    <row r="20395" spans="6:8">
      <c r="F20395" t="s">
        <v>12518</v>
      </c>
      <c r="G20395" t="s">
        <v>16736</v>
      </c>
      <c r="H20395" t="s">
        <v>18829</v>
      </c>
    </row>
    <row r="20396" spans="6:8">
      <c r="H20396" t="s">
        <v>24581</v>
      </c>
    </row>
    <row r="20397" spans="6:8">
      <c r="H20397" t="s">
        <v>24582</v>
      </c>
    </row>
    <row r="20398" spans="6:8">
      <c r="H20398" t="s">
        <v>24583</v>
      </c>
    </row>
    <row r="20399" spans="6:8">
      <c r="H20399" t="s">
        <v>24584</v>
      </c>
    </row>
    <row r="20400" spans="6:8">
      <c r="H20400" t="s">
        <v>24585</v>
      </c>
    </row>
    <row r="20401" spans="6:8">
      <c r="H20401" t="s">
        <v>24586</v>
      </c>
    </row>
    <row r="20402" spans="6:8">
      <c r="H20402" t="s">
        <v>24587</v>
      </c>
    </row>
    <row r="20403" spans="6:8">
      <c r="H20403" t="s">
        <v>24588</v>
      </c>
    </row>
    <row r="20404" spans="6:8">
      <c r="H20404" t="s">
        <v>24589</v>
      </c>
    </row>
    <row r="20405" spans="6:8">
      <c r="F20405" t="s">
        <v>12519</v>
      </c>
      <c r="G20405" t="s">
        <v>16737</v>
      </c>
      <c r="H20405" t="s">
        <v>18829</v>
      </c>
    </row>
    <row r="20406" spans="6:8">
      <c r="H20406" t="s">
        <v>24590</v>
      </c>
    </row>
    <row r="20407" spans="6:8">
      <c r="H20407" t="s">
        <v>24591</v>
      </c>
    </row>
    <row r="20408" spans="6:8">
      <c r="H20408" t="s">
        <v>24592</v>
      </c>
    </row>
    <row r="20409" spans="6:8">
      <c r="H20409" t="s">
        <v>24593</v>
      </c>
    </row>
    <row r="20410" spans="6:8">
      <c r="H20410" t="s">
        <v>24594</v>
      </c>
    </row>
    <row r="20411" spans="6:8">
      <c r="H20411" t="s">
        <v>24595</v>
      </c>
    </row>
    <row r="20412" spans="6:8">
      <c r="H20412" t="s">
        <v>24596</v>
      </c>
    </row>
    <row r="20413" spans="6:8">
      <c r="H20413" t="s">
        <v>24597</v>
      </c>
    </row>
    <row r="20414" spans="6:8">
      <c r="H20414" t="s">
        <v>24598</v>
      </c>
    </row>
    <row r="20415" spans="6:8">
      <c r="F20415" t="s">
        <v>12520</v>
      </c>
      <c r="G20415" t="s">
        <v>16738</v>
      </c>
      <c r="H20415" t="s">
        <v>18829</v>
      </c>
    </row>
    <row r="20416" spans="6:8">
      <c r="H20416" t="s">
        <v>24599</v>
      </c>
    </row>
    <row r="20417" spans="6:8">
      <c r="H20417" t="s">
        <v>24600</v>
      </c>
    </row>
    <row r="20418" spans="6:8">
      <c r="H20418" t="s">
        <v>24601</v>
      </c>
    </row>
    <row r="20419" spans="6:8">
      <c r="H20419" t="s">
        <v>24602</v>
      </c>
    </row>
    <row r="20420" spans="6:8">
      <c r="H20420" t="s">
        <v>24603</v>
      </c>
    </row>
    <row r="20421" spans="6:8">
      <c r="H20421" t="s">
        <v>24604</v>
      </c>
    </row>
    <row r="20422" spans="6:8">
      <c r="H20422" t="s">
        <v>24605</v>
      </c>
    </row>
    <row r="20423" spans="6:8">
      <c r="H20423" t="s">
        <v>24606</v>
      </c>
    </row>
    <row r="20424" spans="6:8">
      <c r="H20424" t="s">
        <v>24607</v>
      </c>
    </row>
    <row r="20425" spans="6:8">
      <c r="F20425" t="s">
        <v>12521</v>
      </c>
      <c r="G20425" t="s">
        <v>16739</v>
      </c>
      <c r="H20425" t="s">
        <v>18829</v>
      </c>
    </row>
    <row r="20426" spans="6:8">
      <c r="H20426" t="s">
        <v>24608</v>
      </c>
    </row>
    <row r="20427" spans="6:8">
      <c r="H20427" t="s">
        <v>24609</v>
      </c>
    </row>
    <row r="20428" spans="6:8">
      <c r="H20428" t="s">
        <v>24610</v>
      </c>
    </row>
    <row r="20429" spans="6:8">
      <c r="H20429" t="s">
        <v>24611</v>
      </c>
    </row>
    <row r="20430" spans="6:8">
      <c r="H20430" t="s">
        <v>24612</v>
      </c>
    </row>
    <row r="20431" spans="6:8">
      <c r="H20431" t="s">
        <v>24613</v>
      </c>
    </row>
    <row r="20432" spans="6:8">
      <c r="H20432" t="s">
        <v>24614</v>
      </c>
    </row>
    <row r="20433" spans="6:8">
      <c r="H20433" t="s">
        <v>24615</v>
      </c>
    </row>
    <row r="20434" spans="6:8">
      <c r="H20434" t="s">
        <v>24616</v>
      </c>
    </row>
    <row r="20435" spans="6:8">
      <c r="F20435" t="s">
        <v>12522</v>
      </c>
      <c r="G20435" t="s">
        <v>16740</v>
      </c>
      <c r="H20435" t="s">
        <v>18829</v>
      </c>
    </row>
    <row r="20436" spans="6:8">
      <c r="H20436" t="s">
        <v>24617</v>
      </c>
    </row>
    <row r="20437" spans="6:8">
      <c r="H20437" t="s">
        <v>24618</v>
      </c>
    </row>
    <row r="20438" spans="6:8">
      <c r="H20438" t="s">
        <v>24619</v>
      </c>
    </row>
    <row r="20439" spans="6:8">
      <c r="H20439" t="s">
        <v>24620</v>
      </c>
    </row>
    <row r="20440" spans="6:8">
      <c r="H20440" t="s">
        <v>24621</v>
      </c>
    </row>
    <row r="20441" spans="6:8">
      <c r="H20441" t="s">
        <v>24622</v>
      </c>
    </row>
    <row r="20442" spans="6:8">
      <c r="H20442" t="s">
        <v>24623</v>
      </c>
    </row>
    <row r="20443" spans="6:8">
      <c r="H20443" t="s">
        <v>24624</v>
      </c>
    </row>
    <row r="20444" spans="6:8">
      <c r="H20444" t="s">
        <v>24625</v>
      </c>
    </row>
    <row r="20445" spans="6:8">
      <c r="F20445" t="s">
        <v>12523</v>
      </c>
      <c r="G20445" t="s">
        <v>16741</v>
      </c>
      <c r="H20445" t="s">
        <v>18829</v>
      </c>
    </row>
    <row r="20446" spans="6:8">
      <c r="H20446" t="s">
        <v>24626</v>
      </c>
    </row>
    <row r="20447" spans="6:8">
      <c r="H20447" t="s">
        <v>24627</v>
      </c>
    </row>
    <row r="20448" spans="6:8">
      <c r="H20448" t="s">
        <v>24628</v>
      </c>
    </row>
    <row r="20449" spans="6:8">
      <c r="H20449" t="s">
        <v>24629</v>
      </c>
    </row>
    <row r="20450" spans="6:8">
      <c r="H20450" t="s">
        <v>24630</v>
      </c>
    </row>
    <row r="20451" spans="6:8">
      <c r="H20451" t="s">
        <v>24631</v>
      </c>
    </row>
    <row r="20452" spans="6:8">
      <c r="H20452" t="s">
        <v>24632</v>
      </c>
    </row>
    <row r="20453" spans="6:8">
      <c r="H20453" t="s">
        <v>24633</v>
      </c>
    </row>
    <row r="20454" spans="6:8">
      <c r="H20454" t="s">
        <v>24634</v>
      </c>
    </row>
    <row r="20455" spans="6:8">
      <c r="F20455" t="s">
        <v>12524</v>
      </c>
      <c r="G20455" t="s">
        <v>16742</v>
      </c>
      <c r="H20455" t="s">
        <v>18829</v>
      </c>
    </row>
    <row r="20456" spans="6:8">
      <c r="H20456" t="s">
        <v>24635</v>
      </c>
    </row>
    <row r="20457" spans="6:8">
      <c r="H20457" t="s">
        <v>24636</v>
      </c>
    </row>
    <row r="20458" spans="6:8">
      <c r="H20458" t="s">
        <v>24637</v>
      </c>
    </row>
    <row r="20459" spans="6:8">
      <c r="H20459" t="s">
        <v>24638</v>
      </c>
    </row>
    <row r="20460" spans="6:8">
      <c r="H20460" t="s">
        <v>24639</v>
      </c>
    </row>
    <row r="20461" spans="6:8">
      <c r="H20461" t="s">
        <v>24640</v>
      </c>
    </row>
    <row r="20462" spans="6:8">
      <c r="H20462" t="s">
        <v>24641</v>
      </c>
    </row>
    <row r="20463" spans="6:8">
      <c r="H20463" t="s">
        <v>24642</v>
      </c>
    </row>
    <row r="20464" spans="6:8">
      <c r="H20464" t="s">
        <v>24643</v>
      </c>
    </row>
    <row r="20465" spans="6:8">
      <c r="F20465" t="s">
        <v>12525</v>
      </c>
      <c r="G20465" t="s">
        <v>16743</v>
      </c>
      <c r="H20465" t="s">
        <v>18829</v>
      </c>
    </row>
    <row r="20466" spans="6:8">
      <c r="H20466" t="s">
        <v>24644</v>
      </c>
    </row>
    <row r="20467" spans="6:8">
      <c r="H20467" t="s">
        <v>24645</v>
      </c>
    </row>
    <row r="20468" spans="6:8">
      <c r="H20468" t="s">
        <v>24646</v>
      </c>
    </row>
    <row r="20469" spans="6:8">
      <c r="H20469" t="s">
        <v>24647</v>
      </c>
    </row>
    <row r="20470" spans="6:8">
      <c r="H20470" t="s">
        <v>24648</v>
      </c>
    </row>
    <row r="20471" spans="6:8">
      <c r="H20471" t="s">
        <v>24649</v>
      </c>
    </row>
    <row r="20472" spans="6:8">
      <c r="H20472" t="s">
        <v>24650</v>
      </c>
    </row>
    <row r="20473" spans="6:8">
      <c r="H20473" t="s">
        <v>24651</v>
      </c>
    </row>
    <row r="20474" spans="6:8">
      <c r="H20474" t="s">
        <v>24652</v>
      </c>
    </row>
    <row r="20475" spans="6:8">
      <c r="F20475" t="s">
        <v>12526</v>
      </c>
      <c r="G20475" t="s">
        <v>16744</v>
      </c>
      <c r="H20475" t="s">
        <v>18829</v>
      </c>
    </row>
    <row r="20476" spans="6:8">
      <c r="H20476" t="s">
        <v>24653</v>
      </c>
    </row>
    <row r="20477" spans="6:8">
      <c r="H20477" t="s">
        <v>24654</v>
      </c>
    </row>
    <row r="20478" spans="6:8">
      <c r="H20478" t="s">
        <v>24655</v>
      </c>
    </row>
    <row r="20479" spans="6:8">
      <c r="H20479" t="s">
        <v>24656</v>
      </c>
    </row>
    <row r="20480" spans="6:8">
      <c r="H20480" t="s">
        <v>24657</v>
      </c>
    </row>
    <row r="20481" spans="6:8">
      <c r="H20481" t="s">
        <v>24658</v>
      </c>
    </row>
    <row r="20482" spans="6:8">
      <c r="H20482" t="s">
        <v>24659</v>
      </c>
    </row>
    <row r="20483" spans="6:8">
      <c r="H20483" t="s">
        <v>24660</v>
      </c>
    </row>
    <row r="20484" spans="6:8">
      <c r="H20484" t="s">
        <v>24661</v>
      </c>
    </row>
    <row r="20485" spans="6:8">
      <c r="F20485" t="s">
        <v>12527</v>
      </c>
      <c r="G20485" t="s">
        <v>16745</v>
      </c>
      <c r="H20485" t="s">
        <v>18829</v>
      </c>
    </row>
    <row r="20486" spans="6:8">
      <c r="H20486" t="s">
        <v>24662</v>
      </c>
    </row>
    <row r="20487" spans="6:8">
      <c r="H20487" t="s">
        <v>24663</v>
      </c>
    </row>
    <row r="20488" spans="6:8">
      <c r="H20488" t="s">
        <v>24664</v>
      </c>
    </row>
    <row r="20489" spans="6:8">
      <c r="H20489" t="s">
        <v>24665</v>
      </c>
    </row>
    <row r="20490" spans="6:8">
      <c r="H20490" t="s">
        <v>24666</v>
      </c>
    </row>
    <row r="20491" spans="6:8">
      <c r="H20491" t="s">
        <v>24667</v>
      </c>
    </row>
    <row r="20492" spans="6:8">
      <c r="H20492" t="s">
        <v>24668</v>
      </c>
    </row>
    <row r="20493" spans="6:8">
      <c r="H20493" t="s">
        <v>24669</v>
      </c>
    </row>
    <row r="20494" spans="6:8">
      <c r="H20494" t="s">
        <v>24670</v>
      </c>
    </row>
    <row r="20495" spans="6:8">
      <c r="F20495" t="s">
        <v>12528</v>
      </c>
      <c r="G20495" t="s">
        <v>16746</v>
      </c>
      <c r="H20495" t="s">
        <v>18829</v>
      </c>
    </row>
    <row r="20496" spans="6:8">
      <c r="H20496" t="s">
        <v>24671</v>
      </c>
    </row>
    <row r="20497" spans="6:8">
      <c r="H20497" t="s">
        <v>24672</v>
      </c>
    </row>
    <row r="20498" spans="6:8">
      <c r="H20498" t="s">
        <v>24673</v>
      </c>
    </row>
    <row r="20499" spans="6:8">
      <c r="H20499" t="s">
        <v>24674</v>
      </c>
    </row>
    <row r="20500" spans="6:8">
      <c r="H20500" t="s">
        <v>24675</v>
      </c>
    </row>
    <row r="20501" spans="6:8">
      <c r="H20501" t="s">
        <v>24676</v>
      </c>
    </row>
    <row r="20502" spans="6:8">
      <c r="H20502" t="s">
        <v>24677</v>
      </c>
    </row>
    <row r="20503" spans="6:8">
      <c r="H20503" t="s">
        <v>24678</v>
      </c>
    </row>
    <row r="20504" spans="6:8">
      <c r="H20504" t="s">
        <v>24679</v>
      </c>
    </row>
    <row r="20505" spans="6:8">
      <c r="F20505" t="s">
        <v>12529</v>
      </c>
      <c r="G20505" t="s">
        <v>16747</v>
      </c>
      <c r="H20505" t="s">
        <v>18829</v>
      </c>
    </row>
    <row r="20506" spans="6:8">
      <c r="H20506" t="s">
        <v>24680</v>
      </c>
    </row>
    <row r="20507" spans="6:8">
      <c r="H20507" t="s">
        <v>24681</v>
      </c>
    </row>
    <row r="20508" spans="6:8">
      <c r="H20508" t="s">
        <v>24682</v>
      </c>
    </row>
    <row r="20509" spans="6:8">
      <c r="H20509" t="s">
        <v>24683</v>
      </c>
    </row>
    <row r="20510" spans="6:8">
      <c r="H20510" t="s">
        <v>24684</v>
      </c>
    </row>
    <row r="20511" spans="6:8">
      <c r="H20511" t="s">
        <v>24685</v>
      </c>
    </row>
    <row r="20512" spans="6:8">
      <c r="H20512" t="s">
        <v>24686</v>
      </c>
    </row>
    <row r="20513" spans="6:8">
      <c r="H20513" t="s">
        <v>24687</v>
      </c>
    </row>
    <row r="20514" spans="6:8">
      <c r="H20514" t="s">
        <v>24688</v>
      </c>
    </row>
    <row r="20515" spans="6:8">
      <c r="F20515" t="s">
        <v>12530</v>
      </c>
      <c r="G20515" t="s">
        <v>16748</v>
      </c>
      <c r="H20515" t="s">
        <v>18829</v>
      </c>
    </row>
    <row r="20516" spans="6:8">
      <c r="H20516" t="s">
        <v>24689</v>
      </c>
    </row>
    <row r="20517" spans="6:8">
      <c r="H20517" t="s">
        <v>24690</v>
      </c>
    </row>
    <row r="20518" spans="6:8">
      <c r="H20518" t="s">
        <v>24691</v>
      </c>
    </row>
    <row r="20519" spans="6:8">
      <c r="H20519" t="s">
        <v>24692</v>
      </c>
    </row>
    <row r="20520" spans="6:8">
      <c r="H20520" t="s">
        <v>24693</v>
      </c>
    </row>
    <row r="20521" spans="6:8">
      <c r="H20521" t="s">
        <v>24694</v>
      </c>
    </row>
    <row r="20522" spans="6:8">
      <c r="H20522" t="s">
        <v>24695</v>
      </c>
    </row>
    <row r="20523" spans="6:8">
      <c r="H20523" t="s">
        <v>24696</v>
      </c>
    </row>
    <row r="20524" spans="6:8">
      <c r="H20524" t="s">
        <v>24697</v>
      </c>
    </row>
    <row r="20525" spans="6:8">
      <c r="F20525" t="s">
        <v>12531</v>
      </c>
      <c r="G20525" t="s">
        <v>16749</v>
      </c>
      <c r="H20525" t="s">
        <v>18829</v>
      </c>
    </row>
    <row r="20526" spans="6:8">
      <c r="H20526" t="s">
        <v>24698</v>
      </c>
    </row>
    <row r="20527" spans="6:8">
      <c r="H20527" t="s">
        <v>24699</v>
      </c>
    </row>
    <row r="20528" spans="6:8">
      <c r="H20528" t="s">
        <v>24700</v>
      </c>
    </row>
    <row r="20529" spans="6:8">
      <c r="H20529" t="s">
        <v>24701</v>
      </c>
    </row>
    <row r="20530" spans="6:8">
      <c r="H20530" t="s">
        <v>24702</v>
      </c>
    </row>
    <row r="20531" spans="6:8">
      <c r="H20531" t="s">
        <v>24703</v>
      </c>
    </row>
    <row r="20532" spans="6:8">
      <c r="H20532" t="s">
        <v>24704</v>
      </c>
    </row>
    <row r="20533" spans="6:8">
      <c r="H20533" t="s">
        <v>24705</v>
      </c>
    </row>
    <row r="20534" spans="6:8">
      <c r="H20534" t="s">
        <v>24706</v>
      </c>
    </row>
    <row r="20535" spans="6:8">
      <c r="F20535" t="s">
        <v>12532</v>
      </c>
      <c r="G20535" t="s">
        <v>16750</v>
      </c>
      <c r="H20535" t="s">
        <v>18829</v>
      </c>
    </row>
    <row r="20536" spans="6:8">
      <c r="H20536" t="s">
        <v>24707</v>
      </c>
    </row>
    <row r="20537" spans="6:8">
      <c r="H20537" t="s">
        <v>24708</v>
      </c>
    </row>
    <row r="20538" spans="6:8">
      <c r="H20538" t="s">
        <v>24709</v>
      </c>
    </row>
    <row r="20539" spans="6:8">
      <c r="H20539" t="s">
        <v>24710</v>
      </c>
    </row>
    <row r="20540" spans="6:8">
      <c r="H20540" t="s">
        <v>24711</v>
      </c>
    </row>
    <row r="20541" spans="6:8">
      <c r="H20541" t="s">
        <v>24712</v>
      </c>
    </row>
    <row r="20542" spans="6:8">
      <c r="H20542" t="s">
        <v>24713</v>
      </c>
    </row>
    <row r="20543" spans="6:8">
      <c r="H20543" t="s">
        <v>24714</v>
      </c>
    </row>
    <row r="20544" spans="6:8">
      <c r="H20544" t="s">
        <v>24715</v>
      </c>
    </row>
    <row r="20545" spans="6:8">
      <c r="F20545" t="s">
        <v>12533</v>
      </c>
      <c r="G20545" t="s">
        <v>16751</v>
      </c>
      <c r="H20545" t="s">
        <v>18829</v>
      </c>
    </row>
    <row r="20546" spans="6:8">
      <c r="H20546" t="s">
        <v>24716</v>
      </c>
    </row>
    <row r="20547" spans="6:8">
      <c r="H20547" t="s">
        <v>24717</v>
      </c>
    </row>
    <row r="20548" spans="6:8">
      <c r="H20548" t="s">
        <v>24718</v>
      </c>
    </row>
    <row r="20549" spans="6:8">
      <c r="H20549" t="s">
        <v>24719</v>
      </c>
    </row>
    <row r="20550" spans="6:8">
      <c r="H20550" t="s">
        <v>24720</v>
      </c>
    </row>
    <row r="20551" spans="6:8">
      <c r="H20551" t="s">
        <v>24721</v>
      </c>
    </row>
    <row r="20552" spans="6:8">
      <c r="H20552" t="s">
        <v>24722</v>
      </c>
    </row>
    <row r="20553" spans="6:8">
      <c r="H20553" t="s">
        <v>24723</v>
      </c>
    </row>
    <row r="20554" spans="6:8">
      <c r="H20554" t="s">
        <v>24724</v>
      </c>
    </row>
    <row r="20555" spans="6:8">
      <c r="F20555" t="s">
        <v>12534</v>
      </c>
      <c r="G20555" t="s">
        <v>16752</v>
      </c>
      <c r="H20555" t="s">
        <v>18829</v>
      </c>
    </row>
    <row r="20556" spans="6:8">
      <c r="H20556" t="s">
        <v>24725</v>
      </c>
    </row>
    <row r="20557" spans="6:8">
      <c r="H20557" t="s">
        <v>24726</v>
      </c>
    </row>
    <row r="20558" spans="6:8">
      <c r="H20558" t="s">
        <v>24727</v>
      </c>
    </row>
    <row r="20559" spans="6:8">
      <c r="H20559" t="s">
        <v>24728</v>
      </c>
    </row>
    <row r="20560" spans="6:8">
      <c r="H20560" t="s">
        <v>24729</v>
      </c>
    </row>
    <row r="20561" spans="6:8">
      <c r="H20561" t="s">
        <v>24730</v>
      </c>
    </row>
    <row r="20562" spans="6:8">
      <c r="H20562" t="s">
        <v>24731</v>
      </c>
    </row>
    <row r="20563" spans="6:8">
      <c r="H20563" t="s">
        <v>24732</v>
      </c>
    </row>
    <row r="20564" spans="6:8">
      <c r="H20564" t="s">
        <v>24733</v>
      </c>
    </row>
    <row r="20565" spans="6:8">
      <c r="F20565" t="s">
        <v>12535</v>
      </c>
      <c r="G20565" t="s">
        <v>16753</v>
      </c>
      <c r="H20565" t="s">
        <v>18829</v>
      </c>
    </row>
    <row r="20566" spans="6:8">
      <c r="H20566" t="s">
        <v>24734</v>
      </c>
    </row>
    <row r="20567" spans="6:8">
      <c r="H20567" t="s">
        <v>24735</v>
      </c>
    </row>
    <row r="20568" spans="6:8">
      <c r="H20568" t="s">
        <v>24736</v>
      </c>
    </row>
    <row r="20569" spans="6:8">
      <c r="H20569" t="s">
        <v>24737</v>
      </c>
    </row>
    <row r="20570" spans="6:8">
      <c r="H20570" t="s">
        <v>24738</v>
      </c>
    </row>
    <row r="20571" spans="6:8">
      <c r="H20571" t="s">
        <v>24739</v>
      </c>
    </row>
    <row r="20572" spans="6:8">
      <c r="H20572" t="s">
        <v>24740</v>
      </c>
    </row>
    <row r="20573" spans="6:8">
      <c r="H20573" t="s">
        <v>24741</v>
      </c>
    </row>
    <row r="20574" spans="6:8">
      <c r="H20574" t="s">
        <v>24742</v>
      </c>
    </row>
    <row r="20575" spans="6:8">
      <c r="F20575" t="s">
        <v>12536</v>
      </c>
      <c r="G20575" t="s">
        <v>16754</v>
      </c>
      <c r="H20575" t="s">
        <v>18829</v>
      </c>
    </row>
    <row r="20576" spans="6:8">
      <c r="H20576" t="s">
        <v>24743</v>
      </c>
    </row>
    <row r="20577" spans="6:8">
      <c r="H20577" t="s">
        <v>24744</v>
      </c>
    </row>
    <row r="20578" spans="6:8">
      <c r="H20578" t="s">
        <v>24745</v>
      </c>
    </row>
    <row r="20579" spans="6:8">
      <c r="H20579" t="s">
        <v>24746</v>
      </c>
    </row>
    <row r="20580" spans="6:8">
      <c r="H20580" t="s">
        <v>24747</v>
      </c>
    </row>
    <row r="20581" spans="6:8">
      <c r="H20581" t="s">
        <v>24748</v>
      </c>
    </row>
    <row r="20582" spans="6:8">
      <c r="H20582" t="s">
        <v>24749</v>
      </c>
    </row>
    <row r="20583" spans="6:8">
      <c r="H20583" t="s">
        <v>24750</v>
      </c>
    </row>
    <row r="20584" spans="6:8">
      <c r="H20584" t="s">
        <v>24751</v>
      </c>
    </row>
    <row r="20585" spans="6:8">
      <c r="F20585" t="s">
        <v>12537</v>
      </c>
      <c r="G20585" t="s">
        <v>16755</v>
      </c>
      <c r="H20585" t="s">
        <v>18829</v>
      </c>
    </row>
    <row r="20586" spans="6:8">
      <c r="H20586" t="s">
        <v>24752</v>
      </c>
    </row>
    <row r="20587" spans="6:8">
      <c r="H20587" t="s">
        <v>24753</v>
      </c>
    </row>
    <row r="20588" spans="6:8">
      <c r="H20588" t="s">
        <v>24754</v>
      </c>
    </row>
    <row r="20589" spans="6:8">
      <c r="H20589" t="s">
        <v>24755</v>
      </c>
    </row>
    <row r="20590" spans="6:8">
      <c r="H20590" t="s">
        <v>24756</v>
      </c>
    </row>
    <row r="20591" spans="6:8">
      <c r="H20591" t="s">
        <v>24757</v>
      </c>
    </row>
    <row r="20592" spans="6:8">
      <c r="H20592" t="s">
        <v>24758</v>
      </c>
    </row>
    <row r="20593" spans="6:8">
      <c r="H20593" t="s">
        <v>24759</v>
      </c>
    </row>
    <row r="20594" spans="6:8">
      <c r="H20594" t="s">
        <v>20408</v>
      </c>
    </row>
    <row r="20595" spans="6:8">
      <c r="F20595" t="s">
        <v>12538</v>
      </c>
      <c r="G20595" t="s">
        <v>16756</v>
      </c>
      <c r="H20595" t="s">
        <v>18829</v>
      </c>
    </row>
    <row r="20596" spans="6:8">
      <c r="H20596" t="s">
        <v>24760</v>
      </c>
    </row>
    <row r="20597" spans="6:8">
      <c r="H20597" t="s">
        <v>24761</v>
      </c>
    </row>
    <row r="20598" spans="6:8">
      <c r="H20598" t="s">
        <v>24762</v>
      </c>
    </row>
    <row r="20599" spans="6:8">
      <c r="H20599" t="s">
        <v>24763</v>
      </c>
    </row>
    <row r="20600" spans="6:8">
      <c r="H20600" t="s">
        <v>24764</v>
      </c>
    </row>
    <row r="20601" spans="6:8">
      <c r="H20601" t="s">
        <v>24765</v>
      </c>
    </row>
    <row r="20602" spans="6:8">
      <c r="H20602" t="s">
        <v>24766</v>
      </c>
    </row>
    <row r="20603" spans="6:8">
      <c r="H20603" t="s">
        <v>24767</v>
      </c>
    </row>
    <row r="20604" spans="6:8">
      <c r="H20604" t="s">
        <v>24768</v>
      </c>
    </row>
    <row r="20605" spans="6:8">
      <c r="F20605" t="s">
        <v>12539</v>
      </c>
      <c r="G20605" t="s">
        <v>16539</v>
      </c>
      <c r="H20605" t="s">
        <v>18829</v>
      </c>
    </row>
    <row r="20606" spans="6:8">
      <c r="H20606" t="s">
        <v>24769</v>
      </c>
    </row>
    <row r="20607" spans="6:8">
      <c r="H20607" t="s">
        <v>21980</v>
      </c>
    </row>
    <row r="20608" spans="6:8">
      <c r="H20608" t="s">
        <v>24770</v>
      </c>
    </row>
    <row r="20609" spans="6:8">
      <c r="H20609" t="s">
        <v>21981</v>
      </c>
    </row>
    <row r="20610" spans="6:8">
      <c r="H20610" t="s">
        <v>24771</v>
      </c>
    </row>
    <row r="20611" spans="6:8">
      <c r="H20611" t="s">
        <v>21982</v>
      </c>
    </row>
    <row r="20612" spans="6:8">
      <c r="H20612" t="s">
        <v>24772</v>
      </c>
    </row>
    <row r="20613" spans="6:8">
      <c r="H20613" t="s">
        <v>21983</v>
      </c>
    </row>
    <row r="20614" spans="6:8">
      <c r="H20614" t="s">
        <v>24773</v>
      </c>
    </row>
    <row r="20615" spans="6:8">
      <c r="F20615" t="s">
        <v>12540</v>
      </c>
      <c r="G20615" t="s">
        <v>16757</v>
      </c>
      <c r="H20615" t="s">
        <v>18829</v>
      </c>
    </row>
    <row r="20616" spans="6:8">
      <c r="H20616" t="s">
        <v>24774</v>
      </c>
    </row>
    <row r="20617" spans="6:8">
      <c r="H20617" t="s">
        <v>24775</v>
      </c>
    </row>
    <row r="20618" spans="6:8">
      <c r="H20618" t="s">
        <v>24776</v>
      </c>
    </row>
    <row r="20619" spans="6:8">
      <c r="H20619" t="s">
        <v>24777</v>
      </c>
    </row>
    <row r="20620" spans="6:8">
      <c r="H20620" t="s">
        <v>24778</v>
      </c>
    </row>
    <row r="20621" spans="6:8">
      <c r="H20621" t="s">
        <v>24779</v>
      </c>
    </row>
    <row r="20622" spans="6:8">
      <c r="H20622" t="s">
        <v>24780</v>
      </c>
    </row>
    <row r="20623" spans="6:8">
      <c r="H20623" t="s">
        <v>24781</v>
      </c>
    </row>
    <row r="20624" spans="6:8">
      <c r="H20624" t="s">
        <v>24782</v>
      </c>
    </row>
    <row r="20625" spans="6:8">
      <c r="F20625" t="s">
        <v>12541</v>
      </c>
      <c r="G20625" t="s">
        <v>16758</v>
      </c>
      <c r="H20625" t="s">
        <v>18829</v>
      </c>
    </row>
    <row r="20626" spans="6:8">
      <c r="H20626" t="s">
        <v>24783</v>
      </c>
    </row>
    <row r="20627" spans="6:8">
      <c r="H20627" t="s">
        <v>24784</v>
      </c>
    </row>
    <row r="20628" spans="6:8">
      <c r="H20628" t="s">
        <v>24785</v>
      </c>
    </row>
    <row r="20629" spans="6:8">
      <c r="H20629" t="s">
        <v>24786</v>
      </c>
    </row>
    <row r="20630" spans="6:8">
      <c r="H20630" t="s">
        <v>24787</v>
      </c>
    </row>
    <row r="20631" spans="6:8">
      <c r="H20631" t="s">
        <v>24788</v>
      </c>
    </row>
    <row r="20632" spans="6:8">
      <c r="H20632" t="s">
        <v>24789</v>
      </c>
    </row>
    <row r="20633" spans="6:8">
      <c r="H20633" t="s">
        <v>24790</v>
      </c>
    </row>
    <row r="20634" spans="6:8">
      <c r="H20634" t="s">
        <v>24791</v>
      </c>
    </row>
    <row r="20635" spans="6:8">
      <c r="F20635" t="s">
        <v>12542</v>
      </c>
      <c r="G20635" t="s">
        <v>16759</v>
      </c>
      <c r="H20635" t="s">
        <v>18829</v>
      </c>
    </row>
    <row r="20636" spans="6:8">
      <c r="H20636" t="s">
        <v>24792</v>
      </c>
    </row>
    <row r="20637" spans="6:8">
      <c r="H20637" t="s">
        <v>24793</v>
      </c>
    </row>
    <row r="20638" spans="6:8">
      <c r="H20638" t="s">
        <v>24794</v>
      </c>
    </row>
    <row r="20639" spans="6:8">
      <c r="H20639" t="s">
        <v>24795</v>
      </c>
    </row>
    <row r="20640" spans="6:8">
      <c r="H20640" t="s">
        <v>24796</v>
      </c>
    </row>
    <row r="20641" spans="6:8">
      <c r="H20641" t="s">
        <v>24797</v>
      </c>
    </row>
    <row r="20642" spans="6:8">
      <c r="H20642" t="s">
        <v>24798</v>
      </c>
    </row>
    <row r="20643" spans="6:8">
      <c r="H20643" t="s">
        <v>24799</v>
      </c>
    </row>
    <row r="20644" spans="6:8">
      <c r="H20644" t="s">
        <v>24800</v>
      </c>
    </row>
    <row r="20645" spans="6:8">
      <c r="F20645" t="s">
        <v>12543</v>
      </c>
      <c r="G20645" t="s">
        <v>16760</v>
      </c>
      <c r="H20645" t="s">
        <v>18829</v>
      </c>
    </row>
    <row r="20646" spans="6:8">
      <c r="H20646" t="s">
        <v>24801</v>
      </c>
    </row>
    <row r="20647" spans="6:8">
      <c r="H20647" t="s">
        <v>24802</v>
      </c>
    </row>
    <row r="20648" spans="6:8">
      <c r="H20648" t="s">
        <v>24803</v>
      </c>
    </row>
    <row r="20649" spans="6:8">
      <c r="H20649" t="s">
        <v>24804</v>
      </c>
    </row>
    <row r="20650" spans="6:8">
      <c r="H20650" t="s">
        <v>24805</v>
      </c>
    </row>
    <row r="20651" spans="6:8">
      <c r="H20651" t="s">
        <v>24806</v>
      </c>
    </row>
    <row r="20652" spans="6:8">
      <c r="H20652" t="s">
        <v>24807</v>
      </c>
    </row>
    <row r="20653" spans="6:8">
      <c r="H20653" t="s">
        <v>24808</v>
      </c>
    </row>
    <row r="20654" spans="6:8">
      <c r="H20654" t="s">
        <v>24809</v>
      </c>
    </row>
    <row r="20655" spans="6:8">
      <c r="F20655" t="s">
        <v>12544</v>
      </c>
      <c r="G20655" t="s">
        <v>16761</v>
      </c>
      <c r="H20655" t="s">
        <v>18829</v>
      </c>
    </row>
    <row r="20656" spans="6:8">
      <c r="H20656" t="s">
        <v>24810</v>
      </c>
    </row>
    <row r="20657" spans="6:8">
      <c r="H20657" t="s">
        <v>24811</v>
      </c>
    </row>
    <row r="20658" spans="6:8">
      <c r="H20658" t="s">
        <v>24812</v>
      </c>
    </row>
    <row r="20659" spans="6:8">
      <c r="H20659" t="s">
        <v>24813</v>
      </c>
    </row>
    <row r="20660" spans="6:8">
      <c r="H20660" t="s">
        <v>24814</v>
      </c>
    </row>
    <row r="20661" spans="6:8">
      <c r="H20661" t="s">
        <v>24815</v>
      </c>
    </row>
    <row r="20662" spans="6:8">
      <c r="H20662" t="s">
        <v>24816</v>
      </c>
    </row>
    <row r="20663" spans="6:8">
      <c r="H20663" t="s">
        <v>24817</v>
      </c>
    </row>
    <row r="20664" spans="6:8">
      <c r="H20664" t="s">
        <v>24818</v>
      </c>
    </row>
    <row r="20665" spans="6:8">
      <c r="F20665" t="s">
        <v>12545</v>
      </c>
      <c r="G20665" t="s">
        <v>16547</v>
      </c>
      <c r="H20665" t="s">
        <v>18829</v>
      </c>
    </row>
    <row r="20666" spans="6:8">
      <c r="H20666" t="s">
        <v>24819</v>
      </c>
    </row>
    <row r="20667" spans="6:8">
      <c r="H20667" t="s">
        <v>22010</v>
      </c>
    </row>
    <row r="20668" spans="6:8">
      <c r="H20668" t="s">
        <v>24820</v>
      </c>
    </row>
    <row r="20669" spans="6:8">
      <c r="H20669" t="s">
        <v>22011</v>
      </c>
    </row>
    <row r="20670" spans="6:8">
      <c r="H20670" t="s">
        <v>24821</v>
      </c>
    </row>
    <row r="20671" spans="6:8">
      <c r="H20671" t="s">
        <v>22012</v>
      </c>
    </row>
    <row r="20672" spans="6:8">
      <c r="H20672" t="s">
        <v>24822</v>
      </c>
    </row>
    <row r="20673" spans="6:8">
      <c r="H20673" t="s">
        <v>22013</v>
      </c>
    </row>
    <row r="20674" spans="6:8">
      <c r="H20674" t="s">
        <v>24823</v>
      </c>
    </row>
    <row r="20675" spans="6:8">
      <c r="F20675" t="s">
        <v>12546</v>
      </c>
      <c r="G20675" t="s">
        <v>16762</v>
      </c>
      <c r="H20675" t="s">
        <v>18829</v>
      </c>
    </row>
    <row r="20676" spans="6:8">
      <c r="H20676" t="s">
        <v>24824</v>
      </c>
    </row>
    <row r="20677" spans="6:8">
      <c r="H20677" t="s">
        <v>24825</v>
      </c>
    </row>
    <row r="20678" spans="6:8">
      <c r="H20678" t="s">
        <v>24826</v>
      </c>
    </row>
    <row r="20679" spans="6:8">
      <c r="H20679" t="s">
        <v>24827</v>
      </c>
    </row>
    <row r="20680" spans="6:8">
      <c r="H20680" t="s">
        <v>24828</v>
      </c>
    </row>
    <row r="20681" spans="6:8">
      <c r="H20681" t="s">
        <v>24829</v>
      </c>
    </row>
    <row r="20682" spans="6:8">
      <c r="H20682" t="s">
        <v>24830</v>
      </c>
    </row>
    <row r="20683" spans="6:8">
      <c r="H20683" t="s">
        <v>24831</v>
      </c>
    </row>
    <row r="20684" spans="6:8">
      <c r="H20684" t="s">
        <v>24832</v>
      </c>
    </row>
    <row r="20685" spans="6:8">
      <c r="F20685" t="s">
        <v>12547</v>
      </c>
      <c r="G20685" t="s">
        <v>16763</v>
      </c>
      <c r="H20685" t="s">
        <v>18829</v>
      </c>
    </row>
    <row r="20686" spans="6:8">
      <c r="H20686" t="s">
        <v>24833</v>
      </c>
    </row>
    <row r="20687" spans="6:8">
      <c r="H20687" t="s">
        <v>24834</v>
      </c>
    </row>
    <row r="20688" spans="6:8">
      <c r="H20688" t="s">
        <v>24835</v>
      </c>
    </row>
    <row r="20689" spans="6:8">
      <c r="H20689" t="s">
        <v>24836</v>
      </c>
    </row>
    <row r="20690" spans="6:8">
      <c r="H20690" t="s">
        <v>24837</v>
      </c>
    </row>
    <row r="20691" spans="6:8">
      <c r="H20691" t="s">
        <v>24838</v>
      </c>
    </row>
    <row r="20692" spans="6:8">
      <c r="H20692" t="s">
        <v>24839</v>
      </c>
    </row>
    <row r="20693" spans="6:8">
      <c r="H20693" t="s">
        <v>24840</v>
      </c>
    </row>
    <row r="20694" spans="6:8">
      <c r="H20694" t="s">
        <v>24841</v>
      </c>
    </row>
    <row r="20695" spans="6:8">
      <c r="F20695" t="s">
        <v>12548</v>
      </c>
      <c r="G20695" t="s">
        <v>16764</v>
      </c>
      <c r="H20695" t="s">
        <v>18829</v>
      </c>
    </row>
    <row r="20696" spans="6:8">
      <c r="H20696" t="s">
        <v>24842</v>
      </c>
    </row>
    <row r="20697" spans="6:8">
      <c r="H20697" t="s">
        <v>24843</v>
      </c>
    </row>
    <row r="20698" spans="6:8">
      <c r="H20698" t="s">
        <v>24844</v>
      </c>
    </row>
    <row r="20699" spans="6:8">
      <c r="H20699" t="s">
        <v>24845</v>
      </c>
    </row>
    <row r="20700" spans="6:8">
      <c r="H20700" t="s">
        <v>24846</v>
      </c>
    </row>
    <row r="20701" spans="6:8">
      <c r="H20701" t="s">
        <v>24847</v>
      </c>
    </row>
    <row r="20702" spans="6:8">
      <c r="H20702" t="s">
        <v>24848</v>
      </c>
    </row>
    <row r="20703" spans="6:8">
      <c r="H20703" t="s">
        <v>24849</v>
      </c>
    </row>
    <row r="20704" spans="6:8">
      <c r="H20704" t="s">
        <v>24850</v>
      </c>
    </row>
    <row r="20705" spans="6:8">
      <c r="F20705" t="s">
        <v>12549</v>
      </c>
      <c r="G20705" t="s">
        <v>16765</v>
      </c>
      <c r="H20705" t="s">
        <v>18829</v>
      </c>
    </row>
    <row r="20706" spans="6:8">
      <c r="H20706" t="s">
        <v>24851</v>
      </c>
    </row>
    <row r="20707" spans="6:8">
      <c r="H20707" t="s">
        <v>24852</v>
      </c>
    </row>
    <row r="20708" spans="6:8">
      <c r="H20708" t="s">
        <v>24853</v>
      </c>
    </row>
    <row r="20709" spans="6:8">
      <c r="H20709" t="s">
        <v>24854</v>
      </c>
    </row>
    <row r="20710" spans="6:8">
      <c r="H20710" t="s">
        <v>24855</v>
      </c>
    </row>
    <row r="20711" spans="6:8">
      <c r="H20711" t="s">
        <v>24856</v>
      </c>
    </row>
    <row r="20712" spans="6:8">
      <c r="H20712" t="s">
        <v>24857</v>
      </c>
    </row>
    <row r="20713" spans="6:8">
      <c r="H20713" t="s">
        <v>24858</v>
      </c>
    </row>
    <row r="20714" spans="6:8">
      <c r="H20714" t="s">
        <v>24859</v>
      </c>
    </row>
    <row r="20715" spans="6:8">
      <c r="F20715" t="s">
        <v>12550</v>
      </c>
      <c r="G20715" t="s">
        <v>16766</v>
      </c>
      <c r="H20715" t="s">
        <v>18829</v>
      </c>
    </row>
    <row r="20716" spans="6:8">
      <c r="H20716" t="s">
        <v>24860</v>
      </c>
    </row>
    <row r="20717" spans="6:8">
      <c r="H20717" t="s">
        <v>24861</v>
      </c>
    </row>
    <row r="20718" spans="6:8">
      <c r="H20718" t="s">
        <v>24862</v>
      </c>
    </row>
    <row r="20719" spans="6:8">
      <c r="H20719" t="s">
        <v>24863</v>
      </c>
    </row>
    <row r="20720" spans="6:8">
      <c r="H20720" t="s">
        <v>24864</v>
      </c>
    </row>
    <row r="20721" spans="6:8">
      <c r="H20721" t="s">
        <v>24865</v>
      </c>
    </row>
    <row r="20722" spans="6:8">
      <c r="H20722" t="s">
        <v>24866</v>
      </c>
    </row>
    <row r="20723" spans="6:8">
      <c r="H20723" t="s">
        <v>24867</v>
      </c>
    </row>
    <row r="20724" spans="6:8">
      <c r="H20724" t="s">
        <v>24868</v>
      </c>
    </row>
    <row r="20725" spans="6:8">
      <c r="F20725" t="s">
        <v>12551</v>
      </c>
      <c r="G20725" t="s">
        <v>16767</v>
      </c>
      <c r="H20725" t="s">
        <v>18829</v>
      </c>
    </row>
    <row r="20726" spans="6:8">
      <c r="H20726" t="s">
        <v>24869</v>
      </c>
    </row>
    <row r="20727" spans="6:8">
      <c r="H20727" t="s">
        <v>24870</v>
      </c>
    </row>
    <row r="20728" spans="6:8">
      <c r="H20728" t="s">
        <v>24871</v>
      </c>
    </row>
    <row r="20729" spans="6:8">
      <c r="H20729" t="s">
        <v>24872</v>
      </c>
    </row>
    <row r="20730" spans="6:8">
      <c r="H20730" t="s">
        <v>24873</v>
      </c>
    </row>
    <row r="20731" spans="6:8">
      <c r="H20731" t="s">
        <v>24874</v>
      </c>
    </row>
    <row r="20732" spans="6:8">
      <c r="H20732" t="s">
        <v>24875</v>
      </c>
    </row>
    <row r="20733" spans="6:8">
      <c r="H20733" t="s">
        <v>24876</v>
      </c>
    </row>
    <row r="20734" spans="6:8">
      <c r="H20734" t="s">
        <v>24877</v>
      </c>
    </row>
    <row r="20735" spans="6:8">
      <c r="F20735" t="s">
        <v>12552</v>
      </c>
      <c r="G20735" t="s">
        <v>16768</v>
      </c>
      <c r="H20735" t="s">
        <v>18829</v>
      </c>
    </row>
    <row r="20736" spans="6:8">
      <c r="H20736" t="s">
        <v>24878</v>
      </c>
    </row>
    <row r="20737" spans="6:8">
      <c r="H20737" t="s">
        <v>24879</v>
      </c>
    </row>
    <row r="20738" spans="6:8">
      <c r="H20738" t="s">
        <v>24880</v>
      </c>
    </row>
    <row r="20739" spans="6:8">
      <c r="H20739" t="s">
        <v>24881</v>
      </c>
    </row>
    <row r="20740" spans="6:8">
      <c r="H20740" t="s">
        <v>24882</v>
      </c>
    </row>
    <row r="20741" spans="6:8">
      <c r="H20741" t="s">
        <v>24883</v>
      </c>
    </row>
    <row r="20742" spans="6:8">
      <c r="H20742" t="s">
        <v>24884</v>
      </c>
    </row>
    <row r="20743" spans="6:8">
      <c r="H20743" t="s">
        <v>24885</v>
      </c>
    </row>
    <row r="20744" spans="6:8">
      <c r="H20744" t="s">
        <v>24886</v>
      </c>
    </row>
    <row r="20745" spans="6:8">
      <c r="F20745" t="s">
        <v>12553</v>
      </c>
      <c r="G20745" t="s">
        <v>16769</v>
      </c>
      <c r="H20745" t="s">
        <v>18829</v>
      </c>
    </row>
    <row r="20746" spans="6:8">
      <c r="H20746" t="s">
        <v>24887</v>
      </c>
    </row>
    <row r="20747" spans="6:8">
      <c r="H20747" t="s">
        <v>24888</v>
      </c>
    </row>
    <row r="20748" spans="6:8">
      <c r="H20748" t="s">
        <v>24889</v>
      </c>
    </row>
    <row r="20749" spans="6:8">
      <c r="H20749" t="s">
        <v>24890</v>
      </c>
    </row>
    <row r="20750" spans="6:8">
      <c r="H20750" t="s">
        <v>24891</v>
      </c>
    </row>
    <row r="20751" spans="6:8">
      <c r="H20751" t="s">
        <v>24892</v>
      </c>
    </row>
    <row r="20752" spans="6:8">
      <c r="H20752" t="s">
        <v>24893</v>
      </c>
    </row>
    <row r="20753" spans="6:8">
      <c r="H20753" t="s">
        <v>24894</v>
      </c>
    </row>
    <row r="20754" spans="6:8">
      <c r="H20754" t="s">
        <v>24895</v>
      </c>
    </row>
    <row r="20755" spans="6:8">
      <c r="F20755" t="s">
        <v>12554</v>
      </c>
      <c r="G20755" t="s">
        <v>16770</v>
      </c>
      <c r="H20755" t="s">
        <v>18829</v>
      </c>
    </row>
    <row r="20756" spans="6:8">
      <c r="H20756" t="s">
        <v>24896</v>
      </c>
    </row>
    <row r="20757" spans="6:8">
      <c r="H20757" t="s">
        <v>24897</v>
      </c>
    </row>
    <row r="20758" spans="6:8">
      <c r="H20758" t="s">
        <v>24898</v>
      </c>
    </row>
    <row r="20759" spans="6:8">
      <c r="H20759" t="s">
        <v>24899</v>
      </c>
    </row>
    <row r="20760" spans="6:8">
      <c r="H20760" t="s">
        <v>24900</v>
      </c>
    </row>
    <row r="20761" spans="6:8">
      <c r="H20761" t="s">
        <v>24901</v>
      </c>
    </row>
    <row r="20762" spans="6:8">
      <c r="H20762" t="s">
        <v>24902</v>
      </c>
    </row>
    <row r="20763" spans="6:8">
      <c r="H20763" t="s">
        <v>24903</v>
      </c>
    </row>
    <row r="20764" spans="6:8">
      <c r="H20764" t="s">
        <v>24904</v>
      </c>
    </row>
    <row r="20765" spans="6:8">
      <c r="H20765" t="s">
        <v>24905</v>
      </c>
    </row>
    <row r="20766" spans="6:8">
      <c r="H20766" t="s">
        <v>24906</v>
      </c>
    </row>
    <row r="20767" spans="6:8">
      <c r="H20767" t="s">
        <v>24907</v>
      </c>
    </row>
    <row r="20768" spans="6:8">
      <c r="H20768" t="s">
        <v>24908</v>
      </c>
    </row>
    <row r="20769" spans="6:8">
      <c r="H20769" t="s">
        <v>24909</v>
      </c>
    </row>
    <row r="20770" spans="6:8">
      <c r="H20770" t="s">
        <v>24910</v>
      </c>
    </row>
    <row r="20771" spans="6:8">
      <c r="H20771" t="s">
        <v>24911</v>
      </c>
    </row>
    <row r="20772" spans="6:8">
      <c r="H20772" t="s">
        <v>24912</v>
      </c>
    </row>
    <row r="20773" spans="6:8">
      <c r="H20773" t="s">
        <v>24913</v>
      </c>
    </row>
    <row r="20774" spans="6:8">
      <c r="H20774" t="s">
        <v>24914</v>
      </c>
    </row>
    <row r="20775" spans="6:8">
      <c r="H20775" t="s">
        <v>24915</v>
      </c>
    </row>
    <row r="20776" spans="6:8">
      <c r="H20776" t="s">
        <v>24916</v>
      </c>
    </row>
    <row r="20777" spans="6:8">
      <c r="F20777" t="s">
        <v>12555</v>
      </c>
      <c r="G20777" t="s">
        <v>16771</v>
      </c>
      <c r="H20777" t="s">
        <v>18829</v>
      </c>
    </row>
    <row r="20778" spans="6:8">
      <c r="H20778" t="s">
        <v>24917</v>
      </c>
    </row>
    <row r="20779" spans="6:8">
      <c r="H20779" t="s">
        <v>24918</v>
      </c>
    </row>
    <row r="20780" spans="6:8">
      <c r="H20780" t="s">
        <v>24919</v>
      </c>
    </row>
    <row r="20781" spans="6:8">
      <c r="H20781" t="s">
        <v>24920</v>
      </c>
    </row>
    <row r="20782" spans="6:8">
      <c r="H20782" t="s">
        <v>24921</v>
      </c>
    </row>
    <row r="20783" spans="6:8">
      <c r="H20783" t="s">
        <v>24922</v>
      </c>
    </row>
    <row r="20784" spans="6:8">
      <c r="H20784" t="s">
        <v>24923</v>
      </c>
    </row>
    <row r="20785" spans="6:8">
      <c r="H20785" t="s">
        <v>24924</v>
      </c>
    </row>
    <row r="20786" spans="6:8">
      <c r="H20786" t="s">
        <v>24925</v>
      </c>
    </row>
    <row r="20787" spans="6:8">
      <c r="F20787" t="s">
        <v>12556</v>
      </c>
      <c r="G20787" t="s">
        <v>16772</v>
      </c>
      <c r="H20787" t="s">
        <v>18829</v>
      </c>
    </row>
    <row r="20788" spans="6:8">
      <c r="H20788" t="s">
        <v>24926</v>
      </c>
    </row>
    <row r="20789" spans="6:8">
      <c r="H20789" t="s">
        <v>24927</v>
      </c>
    </row>
    <row r="20790" spans="6:8">
      <c r="H20790" t="s">
        <v>24928</v>
      </c>
    </row>
    <row r="20791" spans="6:8">
      <c r="H20791" t="s">
        <v>24929</v>
      </c>
    </row>
    <row r="20792" spans="6:8">
      <c r="H20792" t="s">
        <v>24930</v>
      </c>
    </row>
    <row r="20793" spans="6:8">
      <c r="H20793" t="s">
        <v>24931</v>
      </c>
    </row>
    <row r="20794" spans="6:8">
      <c r="H20794" t="s">
        <v>24932</v>
      </c>
    </row>
    <row r="20795" spans="6:8">
      <c r="H20795" t="s">
        <v>24933</v>
      </c>
    </row>
    <row r="20796" spans="6:8">
      <c r="H20796" t="s">
        <v>24934</v>
      </c>
    </row>
    <row r="20797" spans="6:8">
      <c r="F20797" t="s">
        <v>12557</v>
      </c>
      <c r="G20797" t="s">
        <v>16773</v>
      </c>
      <c r="H20797" t="s">
        <v>18829</v>
      </c>
    </row>
    <row r="20798" spans="6:8">
      <c r="H20798" t="s">
        <v>24935</v>
      </c>
    </row>
    <row r="20799" spans="6:8">
      <c r="H20799" t="s">
        <v>24936</v>
      </c>
    </row>
    <row r="20800" spans="6:8">
      <c r="H20800" t="s">
        <v>24937</v>
      </c>
    </row>
    <row r="20801" spans="6:8">
      <c r="H20801" t="s">
        <v>24938</v>
      </c>
    </row>
    <row r="20802" spans="6:8">
      <c r="H20802" t="s">
        <v>24939</v>
      </c>
    </row>
    <row r="20803" spans="6:8">
      <c r="H20803" t="s">
        <v>24940</v>
      </c>
    </row>
    <row r="20804" spans="6:8">
      <c r="H20804" t="s">
        <v>24941</v>
      </c>
    </row>
    <row r="20805" spans="6:8">
      <c r="H20805" t="s">
        <v>24942</v>
      </c>
    </row>
    <row r="20806" spans="6:8">
      <c r="H20806" t="s">
        <v>24943</v>
      </c>
    </row>
    <row r="20807" spans="6:8">
      <c r="F20807" t="s">
        <v>12558</v>
      </c>
      <c r="G20807" t="s">
        <v>16774</v>
      </c>
      <c r="H20807" t="s">
        <v>18829</v>
      </c>
    </row>
    <row r="20808" spans="6:8">
      <c r="H20808" t="s">
        <v>24944</v>
      </c>
    </row>
    <row r="20809" spans="6:8">
      <c r="H20809" t="s">
        <v>24945</v>
      </c>
    </row>
    <row r="20810" spans="6:8">
      <c r="H20810" t="s">
        <v>24946</v>
      </c>
    </row>
    <row r="20811" spans="6:8">
      <c r="H20811" t="s">
        <v>24947</v>
      </c>
    </row>
    <row r="20812" spans="6:8">
      <c r="H20812" t="s">
        <v>24948</v>
      </c>
    </row>
    <row r="20813" spans="6:8">
      <c r="H20813" t="s">
        <v>24949</v>
      </c>
    </row>
    <row r="20814" spans="6:8">
      <c r="H20814" t="s">
        <v>24950</v>
      </c>
    </row>
    <row r="20815" spans="6:8">
      <c r="H20815" t="s">
        <v>24951</v>
      </c>
    </row>
    <row r="20816" spans="6:8">
      <c r="H20816" t="s">
        <v>24952</v>
      </c>
    </row>
    <row r="20817" spans="6:8">
      <c r="F20817" t="s">
        <v>12559</v>
      </c>
      <c r="G20817" t="s">
        <v>16775</v>
      </c>
      <c r="H20817" t="s">
        <v>18829</v>
      </c>
    </row>
    <row r="20818" spans="6:8">
      <c r="H20818" t="s">
        <v>24953</v>
      </c>
    </row>
    <row r="20819" spans="6:8">
      <c r="H20819" t="s">
        <v>24954</v>
      </c>
    </row>
    <row r="20820" spans="6:8">
      <c r="H20820" t="s">
        <v>24955</v>
      </c>
    </row>
    <row r="20821" spans="6:8">
      <c r="H20821" t="s">
        <v>24956</v>
      </c>
    </row>
    <row r="20822" spans="6:8">
      <c r="H20822" t="s">
        <v>24957</v>
      </c>
    </row>
    <row r="20823" spans="6:8">
      <c r="H20823" t="s">
        <v>24958</v>
      </c>
    </row>
    <row r="20824" spans="6:8">
      <c r="H20824" t="s">
        <v>24959</v>
      </c>
    </row>
    <row r="20825" spans="6:8">
      <c r="H20825" t="s">
        <v>24960</v>
      </c>
    </row>
    <row r="20826" spans="6:8">
      <c r="H20826" t="s">
        <v>24961</v>
      </c>
    </row>
    <row r="20827" spans="6:8">
      <c r="F20827" t="s">
        <v>12565</v>
      </c>
      <c r="G20827" t="s">
        <v>16781</v>
      </c>
      <c r="H20827" t="s">
        <v>25007</v>
      </c>
    </row>
    <row r="20828" spans="6:8">
      <c r="H20828" t="s">
        <v>25008</v>
      </c>
    </row>
    <row r="20829" spans="6:8">
      <c r="H20829" t="s">
        <v>25009</v>
      </c>
    </row>
    <row r="20830" spans="6:8">
      <c r="F20830" t="s">
        <v>12566</v>
      </c>
      <c r="G20830" t="s">
        <v>16782</v>
      </c>
      <c r="H20830" t="s">
        <v>25010</v>
      </c>
    </row>
    <row r="20831" spans="6:8">
      <c r="F20831" t="s">
        <v>12342</v>
      </c>
      <c r="G20831" t="s">
        <v>16570</v>
      </c>
      <c r="H20831" t="s">
        <v>25011</v>
      </c>
    </row>
    <row r="20832" spans="6:8">
      <c r="F20832" t="s">
        <v>12567</v>
      </c>
      <c r="G20832" t="s">
        <v>16783</v>
      </c>
      <c r="H20832" t="s">
        <v>25012</v>
      </c>
    </row>
    <row r="20833" spans="1:8">
      <c r="F20833" t="s">
        <v>12344</v>
      </c>
      <c r="G20833" t="s">
        <v>16572</v>
      </c>
      <c r="H20833" t="s">
        <v>25013</v>
      </c>
    </row>
    <row r="20834" spans="1:8">
      <c r="A20834" t="s">
        <v>721</v>
      </c>
      <c r="B20834">
        <f>HYPERLINK("https://android.googlesource.com/platform/cts/+/5e6ec40ad0f0a6996c63770def2aac83f69dea91", "5e6ec40ad0f0a6996c63770def2aac83f69dea91")</f>
        <v>0</v>
      </c>
      <c r="C20834">
        <f>HYPERLINK("https://android.googlesource.com/platform/cts/+/db3ab841b1a273aabcea7cebc8af7e02babf91ce", "db3ab841b1a273aabcea7cebc8af7e02babf91ce")</f>
        <v>0</v>
      </c>
      <c r="D20834" t="s">
        <v>5073</v>
      </c>
      <c r="E20834" t="s">
        <v>6504</v>
      </c>
      <c r="F20834" t="s">
        <v>12561</v>
      </c>
      <c r="G20834" t="s">
        <v>16777</v>
      </c>
      <c r="H20834" t="s">
        <v>24970</v>
      </c>
    </row>
    <row r="20835" spans="1:8">
      <c r="A20835" t="s">
        <v>722</v>
      </c>
      <c r="B20835">
        <f>HYPERLINK("https://android.googlesource.com/platform/cts/+/cc9af6e6ffb2bef2cd094795c738ae2b10624dea", "cc9af6e6ffb2bef2cd094795c738ae2b10624dea")</f>
        <v>0</v>
      </c>
      <c r="C20835">
        <f>HYPERLINK("https://android.googlesource.com/platform/cts/+/3dd9f1ec1a97905ea1901d9450cfddb48966a382", "3dd9f1ec1a97905ea1901d9450cfddb48966a382")</f>
        <v>0</v>
      </c>
      <c r="D20835" t="s">
        <v>5075</v>
      </c>
      <c r="E20835" t="s">
        <v>6505</v>
      </c>
      <c r="F20835" t="s">
        <v>12568</v>
      </c>
      <c r="G20835" t="s">
        <v>16784</v>
      </c>
      <c r="H20835" t="s">
        <v>18829</v>
      </c>
    </row>
    <row r="20836" spans="1:8">
      <c r="H20836" t="s">
        <v>25014</v>
      </c>
    </row>
    <row r="20837" spans="1:8">
      <c r="H20837" t="s">
        <v>25015</v>
      </c>
    </row>
    <row r="20838" spans="1:8">
      <c r="H20838" t="s">
        <v>25016</v>
      </c>
    </row>
    <row r="20839" spans="1:8">
      <c r="H20839" t="s">
        <v>25017</v>
      </c>
    </row>
    <row r="20840" spans="1:8">
      <c r="H20840" t="s">
        <v>25018</v>
      </c>
    </row>
    <row r="20841" spans="1:8">
      <c r="H20841" t="s">
        <v>25019</v>
      </c>
    </row>
    <row r="20842" spans="1:8">
      <c r="A20842" t="s">
        <v>723</v>
      </c>
      <c r="B20842">
        <f>HYPERLINK("https://android.googlesource.com/platform/cts/+/0830ac38a433e25dc5d32ee6aad28ec40f5a651e", "0830ac38a433e25dc5d32ee6aad28ec40f5a651e")</f>
        <v>0</v>
      </c>
      <c r="C20842">
        <f>HYPERLINK("https://android.googlesource.com/platform/cts/+/735358c6e5b9dacb51756eda8e663371126d685b", "735358c6e5b9dacb51756eda8e663371126d685b")</f>
        <v>0</v>
      </c>
      <c r="D20842" t="s">
        <v>5038</v>
      </c>
      <c r="E20842" t="s">
        <v>6506</v>
      </c>
      <c r="F20842" t="s">
        <v>12569</v>
      </c>
      <c r="G20842" t="s">
        <v>16785</v>
      </c>
      <c r="H20842" t="s">
        <v>25020</v>
      </c>
    </row>
    <row r="20843" spans="1:8">
      <c r="H20843" t="s">
        <v>25021</v>
      </c>
    </row>
    <row r="20844" spans="1:8">
      <c r="H20844" t="s">
        <v>25022</v>
      </c>
    </row>
    <row r="20845" spans="1:8">
      <c r="H20845" t="s">
        <v>25023</v>
      </c>
    </row>
    <row r="20846" spans="1:8">
      <c r="A20846" t="s">
        <v>724</v>
      </c>
      <c r="B20846">
        <f>HYPERLINK("https://android.googlesource.com/platform/cts/+/3b5af16f8a21e9ce5de57b7c748d8eda1b0bdbec", "3b5af16f8a21e9ce5de57b7c748d8eda1b0bdbec")</f>
        <v>0</v>
      </c>
      <c r="C20846">
        <f>HYPERLINK("https://android.googlesource.com/platform/cts/+/80b92d0b32aa5a9d6c18e04ee325b9e3f95e1bae", "80b92d0b32aa5a9d6c18e04ee325b9e3f95e1bae")</f>
        <v>0</v>
      </c>
      <c r="D20846" t="s">
        <v>5076</v>
      </c>
      <c r="E20846" t="s">
        <v>6507</v>
      </c>
      <c r="F20846" t="s">
        <v>12570</v>
      </c>
      <c r="G20846" t="s">
        <v>16786</v>
      </c>
      <c r="H20846" t="s">
        <v>25024</v>
      </c>
    </row>
    <row r="20847" spans="1:8">
      <c r="F20847" t="s">
        <v>10778</v>
      </c>
      <c r="G20847" t="s">
        <v>15174</v>
      </c>
      <c r="H20847" t="s">
        <v>25025</v>
      </c>
    </row>
    <row r="20848" spans="1:8">
      <c r="A20848" t="s">
        <v>725</v>
      </c>
      <c r="B20848">
        <f>HYPERLINK("https://android.googlesource.com/platform/cts/+/4b7f7c01129b624947d9f9a84e9e851a2761fed7", "4b7f7c01129b624947d9f9a84e9e851a2761fed7")</f>
        <v>0</v>
      </c>
      <c r="C20848">
        <f>HYPERLINK("https://android.googlesource.com/platform/cts/+/9306115a474168ff12dd5312c5820e9c54134e9c", "9306115a474168ff12dd5312c5820e9c54134e9c")</f>
        <v>0</v>
      </c>
      <c r="D20848" t="s">
        <v>5018</v>
      </c>
      <c r="E20848" t="s">
        <v>6508</v>
      </c>
      <c r="F20848" t="s">
        <v>12571</v>
      </c>
      <c r="G20848" t="s">
        <v>16787</v>
      </c>
      <c r="H20848" t="s">
        <v>25026</v>
      </c>
    </row>
    <row r="20849" spans="1:8">
      <c r="H20849" t="s">
        <v>25027</v>
      </c>
    </row>
    <row r="20850" spans="1:8">
      <c r="A20850" t="s">
        <v>726</v>
      </c>
      <c r="B20850">
        <f>HYPERLINK("https://android.googlesource.com/platform/cts/+/0408b17d15c515c251c3544104112f859168c9d3", "0408b17d15c515c251c3544104112f859168c9d3")</f>
        <v>0</v>
      </c>
      <c r="C20850">
        <f>HYPERLINK("https://android.googlesource.com/platform/cts/+/7082fb8c9cc97300f36b714efe4f6d99c344fd6d", "7082fb8c9cc97300f36b714efe4f6d99c344fd6d")</f>
        <v>0</v>
      </c>
      <c r="D20850" t="s">
        <v>5077</v>
      </c>
      <c r="E20850" t="s">
        <v>6509</v>
      </c>
      <c r="F20850" t="s">
        <v>12223</v>
      </c>
      <c r="G20850" t="s">
        <v>16453</v>
      </c>
      <c r="H20850" t="s">
        <v>25028</v>
      </c>
    </row>
    <row r="20851" spans="1:8">
      <c r="H20851" t="s">
        <v>25029</v>
      </c>
    </row>
    <row r="20852" spans="1:8">
      <c r="H20852" t="s">
        <v>25030</v>
      </c>
    </row>
    <row r="20853" spans="1:8">
      <c r="F20853" t="s">
        <v>12224</v>
      </c>
      <c r="G20853" t="s">
        <v>16454</v>
      </c>
      <c r="H20853" t="s">
        <v>25031</v>
      </c>
    </row>
    <row r="20854" spans="1:8">
      <c r="H20854" t="s">
        <v>25032</v>
      </c>
    </row>
    <row r="20855" spans="1:8">
      <c r="A20855" t="s">
        <v>727</v>
      </c>
      <c r="B20855">
        <f>HYPERLINK("https://android.googlesource.com/platform/cts/+/ba9da1b9432671d4405054462b863ed63a46af7f", "ba9da1b9432671d4405054462b863ed63a46af7f")</f>
        <v>0</v>
      </c>
      <c r="C20855">
        <f>HYPERLINK("https://android.googlesource.com/platform/cts/+/45ffab2bf010922764619f5f7dd379dc2c1bdf99", "45ffab2bf010922764619f5f7dd379dc2c1bdf99")</f>
        <v>0</v>
      </c>
      <c r="D20855" t="s">
        <v>5078</v>
      </c>
      <c r="E20855" t="s">
        <v>6510</v>
      </c>
      <c r="F20855" t="s">
        <v>12572</v>
      </c>
      <c r="G20855" t="s">
        <v>16788</v>
      </c>
      <c r="H20855" t="s">
        <v>25033</v>
      </c>
    </row>
    <row r="20856" spans="1:8">
      <c r="A20856" t="s">
        <v>728</v>
      </c>
      <c r="B20856">
        <f>HYPERLINK("https://android.googlesource.com/platform/cts/+/cb67c1d20b8f739cb7e11e6b5905739e015dfd27", "cb67c1d20b8f739cb7e11e6b5905739e015dfd27")</f>
        <v>0</v>
      </c>
      <c r="C20856">
        <f>HYPERLINK("https://android.googlesource.com/platform/cts/+/1eddd75307154218fb897e0fb3dee3e3166014c7", "1eddd75307154218fb897e0fb3dee3e3166014c7")</f>
        <v>0</v>
      </c>
      <c r="D20856" t="s">
        <v>5004</v>
      </c>
      <c r="E20856" t="s">
        <v>6511</v>
      </c>
      <c r="F20856" t="s">
        <v>12221</v>
      </c>
      <c r="G20856" t="s">
        <v>16451</v>
      </c>
      <c r="H20856" t="s">
        <v>25034</v>
      </c>
    </row>
    <row r="20857" spans="1:8">
      <c r="A20857" t="s">
        <v>729</v>
      </c>
      <c r="B20857">
        <f>HYPERLINK("https://android.googlesource.com/platform/cts/+/f5fc7f7dedbe5085ba9621bae0868141e5dcaa1f", "f5fc7f7dedbe5085ba9621bae0868141e5dcaa1f")</f>
        <v>0</v>
      </c>
      <c r="C20857">
        <f>HYPERLINK("https://android.googlesource.com/platform/cts/+/8dc44abd2f63ebb3f64a640004deec7a916a20c1", "8dc44abd2f63ebb3f64a640004deec7a916a20c1")</f>
        <v>0</v>
      </c>
      <c r="D20857" t="s">
        <v>5057</v>
      </c>
      <c r="E20857" t="s">
        <v>6512</v>
      </c>
      <c r="F20857" t="s">
        <v>12573</v>
      </c>
      <c r="G20857" t="s">
        <v>16789</v>
      </c>
      <c r="H20857" t="s">
        <v>25035</v>
      </c>
    </row>
    <row r="20858" spans="1:8">
      <c r="F20858" t="s">
        <v>12574</v>
      </c>
      <c r="G20858" t="s">
        <v>16790</v>
      </c>
      <c r="H20858" t="s">
        <v>25036</v>
      </c>
    </row>
    <row r="20859" spans="1:8">
      <c r="F20859" t="s">
        <v>12575</v>
      </c>
      <c r="G20859" t="s">
        <v>16791</v>
      </c>
      <c r="H20859" t="s">
        <v>25037</v>
      </c>
    </row>
    <row r="20860" spans="1:8">
      <c r="F20860" t="s">
        <v>12576</v>
      </c>
      <c r="G20860" t="s">
        <v>16792</v>
      </c>
      <c r="H20860" t="s">
        <v>25038</v>
      </c>
    </row>
    <row r="20861" spans="1:8">
      <c r="F20861" t="s">
        <v>12577</v>
      </c>
      <c r="G20861" t="s">
        <v>16793</v>
      </c>
      <c r="H20861" t="s">
        <v>25039</v>
      </c>
    </row>
    <row r="20862" spans="1:8">
      <c r="F20862" t="s">
        <v>12578</v>
      </c>
      <c r="G20862" t="s">
        <v>16794</v>
      </c>
      <c r="H20862" t="s">
        <v>25040</v>
      </c>
    </row>
    <row r="20863" spans="1:8">
      <c r="F20863" t="s">
        <v>12579</v>
      </c>
      <c r="G20863" t="s">
        <v>16795</v>
      </c>
      <c r="H20863" t="s">
        <v>25041</v>
      </c>
    </row>
    <row r="20864" spans="1:8">
      <c r="F20864" t="s">
        <v>12580</v>
      </c>
      <c r="G20864" t="s">
        <v>16796</v>
      </c>
      <c r="H20864" t="s">
        <v>25042</v>
      </c>
    </row>
    <row r="20865" spans="1:8">
      <c r="F20865" t="s">
        <v>12581</v>
      </c>
      <c r="G20865" t="s">
        <v>16797</v>
      </c>
      <c r="H20865" t="s">
        <v>25043</v>
      </c>
    </row>
    <row r="20866" spans="1:8">
      <c r="F20866" t="s">
        <v>11469</v>
      </c>
      <c r="G20866" t="s">
        <v>15709</v>
      </c>
      <c r="H20866" t="s">
        <v>25044</v>
      </c>
    </row>
    <row r="20867" spans="1:8">
      <c r="F20867" t="s">
        <v>12582</v>
      </c>
      <c r="G20867" t="s">
        <v>16798</v>
      </c>
      <c r="H20867" t="s">
        <v>25045</v>
      </c>
    </row>
    <row r="20868" spans="1:8">
      <c r="F20868" t="s">
        <v>12583</v>
      </c>
      <c r="G20868" t="s">
        <v>16799</v>
      </c>
      <c r="H20868" t="s">
        <v>25046</v>
      </c>
    </row>
    <row r="20869" spans="1:8">
      <c r="F20869" t="s">
        <v>12584</v>
      </c>
      <c r="G20869" t="s">
        <v>16800</v>
      </c>
      <c r="H20869" t="s">
        <v>25047</v>
      </c>
    </row>
    <row r="20870" spans="1:8">
      <c r="F20870" t="s">
        <v>12585</v>
      </c>
      <c r="G20870" t="s">
        <v>16801</v>
      </c>
      <c r="H20870" t="s">
        <v>25048</v>
      </c>
    </row>
    <row r="20871" spans="1:8">
      <c r="F20871" t="s">
        <v>12586</v>
      </c>
      <c r="G20871" t="s">
        <v>16802</v>
      </c>
      <c r="H20871" t="s">
        <v>25049</v>
      </c>
    </row>
    <row r="20872" spans="1:8">
      <c r="F20872" t="s">
        <v>12587</v>
      </c>
      <c r="G20872" t="s">
        <v>16803</v>
      </c>
      <c r="H20872" t="s">
        <v>25050</v>
      </c>
    </row>
    <row r="20873" spans="1:8">
      <c r="F20873" t="s">
        <v>12588</v>
      </c>
      <c r="G20873" t="s">
        <v>16804</v>
      </c>
      <c r="H20873" t="s">
        <v>25051</v>
      </c>
    </row>
    <row r="20874" spans="1:8">
      <c r="F20874" t="s">
        <v>12589</v>
      </c>
      <c r="G20874" t="s">
        <v>16805</v>
      </c>
      <c r="H20874" t="s">
        <v>25052</v>
      </c>
    </row>
    <row r="20875" spans="1:8">
      <c r="F20875" t="s">
        <v>11187</v>
      </c>
      <c r="G20875" t="s">
        <v>15576</v>
      </c>
      <c r="H20875" t="s">
        <v>25053</v>
      </c>
    </row>
    <row r="20876" spans="1:8">
      <c r="H20876" t="s">
        <v>25053</v>
      </c>
    </row>
    <row r="20877" spans="1:8">
      <c r="F20877" t="s">
        <v>12590</v>
      </c>
      <c r="G20877" t="s">
        <v>16806</v>
      </c>
      <c r="H20877" t="s">
        <v>25054</v>
      </c>
    </row>
    <row r="20878" spans="1:8">
      <c r="F20878" t="s">
        <v>12591</v>
      </c>
      <c r="G20878" t="s">
        <v>16807</v>
      </c>
      <c r="H20878" t="s">
        <v>25055</v>
      </c>
    </row>
    <row r="20879" spans="1:8">
      <c r="A20879" t="s">
        <v>730</v>
      </c>
      <c r="B20879">
        <f>HYPERLINK("https://android.googlesource.com/platform/cts/+/ac8d674e13b3eaf97990cc3e6aa86de86155a6cd", "ac8d674e13b3eaf97990cc3e6aa86de86155a6cd")</f>
        <v>0</v>
      </c>
      <c r="C20879">
        <f>HYPERLINK("https://android.googlesource.com/platform/cts/+/82f583a8b9e5608f36d08d5add3880db2b8c512e", "82f583a8b9e5608f36d08d5add3880db2b8c512e")</f>
        <v>0</v>
      </c>
      <c r="D20879" t="s">
        <v>5002</v>
      </c>
      <c r="E20879" t="s">
        <v>6513</v>
      </c>
      <c r="F20879" t="s">
        <v>12592</v>
      </c>
      <c r="G20879" t="s">
        <v>16808</v>
      </c>
      <c r="H20879" t="s">
        <v>25056</v>
      </c>
    </row>
    <row r="20880" spans="1:8">
      <c r="H20880" t="s">
        <v>25057</v>
      </c>
    </row>
    <row r="20881" spans="6:8">
      <c r="H20881" t="s">
        <v>25058</v>
      </c>
    </row>
    <row r="20882" spans="6:8">
      <c r="H20882" t="s">
        <v>25059</v>
      </c>
    </row>
    <row r="20883" spans="6:8">
      <c r="F20883" t="s">
        <v>12593</v>
      </c>
      <c r="G20883" t="s">
        <v>16809</v>
      </c>
      <c r="H20883" t="s">
        <v>25060</v>
      </c>
    </row>
    <row r="20884" spans="6:8">
      <c r="H20884" t="s">
        <v>25061</v>
      </c>
    </row>
    <row r="20885" spans="6:8">
      <c r="H20885" t="s">
        <v>25062</v>
      </c>
    </row>
    <row r="20886" spans="6:8">
      <c r="F20886" t="s">
        <v>12594</v>
      </c>
      <c r="G20886" t="s">
        <v>14991</v>
      </c>
      <c r="H20886" t="s">
        <v>19364</v>
      </c>
    </row>
    <row r="20887" spans="6:8">
      <c r="H20887" t="s">
        <v>18931</v>
      </c>
    </row>
    <row r="20888" spans="6:8">
      <c r="F20888" t="s">
        <v>12595</v>
      </c>
      <c r="G20888" t="s">
        <v>14992</v>
      </c>
      <c r="H20888" t="s">
        <v>18924</v>
      </c>
    </row>
    <row r="20889" spans="6:8">
      <c r="H20889" t="s">
        <v>18961</v>
      </c>
    </row>
    <row r="20890" spans="6:8">
      <c r="H20890" t="s">
        <v>18931</v>
      </c>
    </row>
    <row r="20891" spans="6:8">
      <c r="H20891" t="s">
        <v>19230</v>
      </c>
    </row>
    <row r="20892" spans="6:8">
      <c r="F20892" t="s">
        <v>12596</v>
      </c>
      <c r="G20892" t="s">
        <v>16810</v>
      </c>
      <c r="H20892" t="s">
        <v>25063</v>
      </c>
    </row>
    <row r="20893" spans="6:8">
      <c r="H20893" t="s">
        <v>19740</v>
      </c>
    </row>
    <row r="20894" spans="6:8">
      <c r="F20894" t="s">
        <v>12597</v>
      </c>
      <c r="G20894" t="s">
        <v>14995</v>
      </c>
      <c r="H20894" t="s">
        <v>18960</v>
      </c>
    </row>
    <row r="20895" spans="6:8">
      <c r="H20895" t="s">
        <v>25064</v>
      </c>
    </row>
    <row r="20896" spans="6:8">
      <c r="H20896" t="s">
        <v>19788</v>
      </c>
    </row>
    <row r="20897" spans="1:8">
      <c r="H20897" t="s">
        <v>18962</v>
      </c>
    </row>
    <row r="20898" spans="1:8">
      <c r="H20898" t="s">
        <v>20040</v>
      </c>
    </row>
    <row r="20899" spans="1:8">
      <c r="H20899" t="s">
        <v>18931</v>
      </c>
    </row>
    <row r="20900" spans="1:8">
      <c r="H20900" t="s">
        <v>19949</v>
      </c>
    </row>
    <row r="20901" spans="1:8">
      <c r="H20901" t="s">
        <v>20042</v>
      </c>
    </row>
    <row r="20902" spans="1:8">
      <c r="F20902" t="s">
        <v>12598</v>
      </c>
      <c r="G20902" t="s">
        <v>16811</v>
      </c>
      <c r="H20902" t="s">
        <v>25065</v>
      </c>
    </row>
    <row r="20903" spans="1:8">
      <c r="H20903" t="s">
        <v>25066</v>
      </c>
    </row>
    <row r="20904" spans="1:8">
      <c r="H20904" t="s">
        <v>25067</v>
      </c>
    </row>
    <row r="20905" spans="1:8">
      <c r="H20905" t="s">
        <v>25068</v>
      </c>
    </row>
    <row r="20906" spans="1:8">
      <c r="H20906" t="s">
        <v>25069</v>
      </c>
    </row>
    <row r="20907" spans="1:8">
      <c r="H20907" t="s">
        <v>25070</v>
      </c>
    </row>
    <row r="20908" spans="1:8">
      <c r="H20908" t="s">
        <v>25071</v>
      </c>
    </row>
    <row r="20909" spans="1:8">
      <c r="H20909" t="s">
        <v>25072</v>
      </c>
    </row>
    <row r="20910" spans="1:8">
      <c r="A20910" t="s">
        <v>731</v>
      </c>
      <c r="B20910">
        <f>HYPERLINK("https://android.googlesource.com/platform/cts/+/ea04cb95ba4c78cda9e197228803f75ab90efa00", "ea04cb95ba4c78cda9e197228803f75ab90efa00")</f>
        <v>0</v>
      </c>
      <c r="C20910">
        <f>HYPERLINK("https://android.googlesource.com/platform/cts/+/1ab85bf4c6456cac2b45930421eab914c33cbf45", "1ab85bf4c6456cac2b45930421eab914c33cbf45")</f>
        <v>0</v>
      </c>
      <c r="D20910" t="s">
        <v>5004</v>
      </c>
      <c r="E20910" t="s">
        <v>6514</v>
      </c>
      <c r="F20910" t="s">
        <v>12312</v>
      </c>
      <c r="G20910" t="s">
        <v>16543</v>
      </c>
      <c r="H20910" t="s">
        <v>25073</v>
      </c>
    </row>
    <row r="20911" spans="1:8">
      <c r="A20911" t="s">
        <v>732</v>
      </c>
      <c r="B20911">
        <f>HYPERLINK("https://android.googlesource.com/platform/cts/+/cbade83fee83f8205885f1a62838adaf57b1c4d2", "cbade83fee83f8205885f1a62838adaf57b1c4d2")</f>
        <v>0</v>
      </c>
      <c r="C20911">
        <f>HYPERLINK("https://android.googlesource.com/platform/cts/+/4e0c54f4becf7dd0f15ee0f5a91d997e86b67118", "4e0c54f4becf7dd0f15ee0f5a91d997e86b67118")</f>
        <v>0</v>
      </c>
      <c r="D20911" t="s">
        <v>5038</v>
      </c>
      <c r="E20911" t="s">
        <v>6515</v>
      </c>
      <c r="F20911" t="s">
        <v>12569</v>
      </c>
      <c r="G20911" t="s">
        <v>16785</v>
      </c>
      <c r="H20911" t="s">
        <v>25074</v>
      </c>
    </row>
    <row r="20912" spans="1:8">
      <c r="A20912" t="s">
        <v>733</v>
      </c>
      <c r="B20912">
        <f>HYPERLINK("https://android.googlesource.com/platform/cts/+/e4db5e3e8c4b742b6b1ded94000fcc8b861d8c70", "e4db5e3e8c4b742b6b1ded94000fcc8b861d8c70")</f>
        <v>0</v>
      </c>
      <c r="C20912">
        <f>HYPERLINK("https://android.googlesource.com/platform/cts/+/df18bbda3f6d24d077209b611735975e21fae093", "df18bbda3f6d24d077209b611735975e21fae093")</f>
        <v>0</v>
      </c>
      <c r="D20912" t="s">
        <v>4960</v>
      </c>
      <c r="E20912" t="s">
        <v>6516</v>
      </c>
      <c r="F20912" t="s">
        <v>11443</v>
      </c>
      <c r="G20912" t="s">
        <v>15683</v>
      </c>
      <c r="H20912" t="s">
        <v>25075</v>
      </c>
    </row>
    <row r="20913" spans="1:8">
      <c r="A20913" t="s">
        <v>734</v>
      </c>
      <c r="B20913">
        <f>HYPERLINK("https://android.googlesource.com/platform/cts/+/695af1faf3b540695a87ef2ae27c1a5081e1f010", "695af1faf3b540695a87ef2ae27c1a5081e1f010")</f>
        <v>0</v>
      </c>
      <c r="C20913">
        <f>HYPERLINK("https://android.googlesource.com/platform/cts/+/44204f68a59c6a0c9cd8544a9cafb120839a1bc1", "44204f68a59c6a0c9cd8544a9cafb120839a1bc1")</f>
        <v>0</v>
      </c>
      <c r="D20913" t="s">
        <v>5079</v>
      </c>
      <c r="E20913" t="s">
        <v>6517</v>
      </c>
      <c r="F20913" t="s">
        <v>12571</v>
      </c>
      <c r="G20913" t="s">
        <v>16787</v>
      </c>
      <c r="H20913" t="s">
        <v>25026</v>
      </c>
    </row>
    <row r="20914" spans="1:8">
      <c r="H20914" t="s">
        <v>25027</v>
      </c>
    </row>
    <row r="20915" spans="1:8">
      <c r="A20915" t="s">
        <v>735</v>
      </c>
      <c r="B20915">
        <f>HYPERLINK("https://android.googlesource.com/platform/cts/+/20815e69e7d5c7f62b190b7ef337a1dd6ec3df83", "20815e69e7d5c7f62b190b7ef337a1dd6ec3df83")</f>
        <v>0</v>
      </c>
      <c r="C20915">
        <f>HYPERLINK("https://android.googlesource.com/platform/cts/+/8e7fb5257401578e6eb5aac7194be991831bd619", "8e7fb5257401578e6eb5aac7194be991831bd619")</f>
        <v>0</v>
      </c>
      <c r="D20915" t="s">
        <v>5077</v>
      </c>
      <c r="E20915" t="s">
        <v>6518</v>
      </c>
      <c r="F20915" t="s">
        <v>12599</v>
      </c>
      <c r="G20915" t="s">
        <v>16812</v>
      </c>
      <c r="H20915" t="s">
        <v>25076</v>
      </c>
    </row>
    <row r="20916" spans="1:8">
      <c r="H20916" t="s">
        <v>25077</v>
      </c>
    </row>
    <row r="20917" spans="1:8">
      <c r="H20917" t="s">
        <v>25078</v>
      </c>
    </row>
    <row r="20918" spans="1:8">
      <c r="H20918" t="s">
        <v>25079</v>
      </c>
    </row>
    <row r="20919" spans="1:8">
      <c r="A20919" t="s">
        <v>736</v>
      </c>
      <c r="B20919">
        <f>HYPERLINK("https://android.googlesource.com/platform/cts/+/ae1b0a05ef46def6e5e68849a4b6b7e226fac72c", "ae1b0a05ef46def6e5e68849a4b6b7e226fac72c")</f>
        <v>0</v>
      </c>
      <c r="C20919">
        <f>HYPERLINK("https://android.googlesource.com/platform/cts/+/695af1faf3b540695a87ef2ae27c1a5081e1f010", "695af1faf3b540695a87ef2ae27c1a5081e1f010")</f>
        <v>0</v>
      </c>
      <c r="D20919" t="s">
        <v>5079</v>
      </c>
      <c r="E20919" t="s">
        <v>6519</v>
      </c>
      <c r="F20919" t="s">
        <v>12573</v>
      </c>
      <c r="G20919" t="s">
        <v>16789</v>
      </c>
      <c r="H20919" t="s">
        <v>25035</v>
      </c>
    </row>
    <row r="20920" spans="1:8">
      <c r="F20920" t="s">
        <v>12574</v>
      </c>
      <c r="G20920" t="s">
        <v>16790</v>
      </c>
      <c r="H20920" t="s">
        <v>25036</v>
      </c>
    </row>
    <row r="20921" spans="1:8">
      <c r="F20921" t="s">
        <v>12575</v>
      </c>
      <c r="G20921" t="s">
        <v>16791</v>
      </c>
      <c r="H20921" t="s">
        <v>25037</v>
      </c>
    </row>
    <row r="20922" spans="1:8">
      <c r="F20922" t="s">
        <v>12576</v>
      </c>
      <c r="G20922" t="s">
        <v>16792</v>
      </c>
      <c r="H20922" t="s">
        <v>25038</v>
      </c>
    </row>
    <row r="20923" spans="1:8">
      <c r="F20923" t="s">
        <v>12577</v>
      </c>
      <c r="G20923" t="s">
        <v>16793</v>
      </c>
      <c r="H20923" t="s">
        <v>25039</v>
      </c>
    </row>
    <row r="20924" spans="1:8">
      <c r="F20924" t="s">
        <v>12578</v>
      </c>
      <c r="G20924" t="s">
        <v>16794</v>
      </c>
      <c r="H20924" t="s">
        <v>25040</v>
      </c>
    </row>
    <row r="20925" spans="1:8">
      <c r="F20925" t="s">
        <v>12579</v>
      </c>
      <c r="G20925" t="s">
        <v>16795</v>
      </c>
      <c r="H20925" t="s">
        <v>25041</v>
      </c>
    </row>
    <row r="20926" spans="1:8">
      <c r="F20926" t="s">
        <v>12580</v>
      </c>
      <c r="G20926" t="s">
        <v>16796</v>
      </c>
      <c r="H20926" t="s">
        <v>25042</v>
      </c>
    </row>
    <row r="20927" spans="1:8">
      <c r="F20927" t="s">
        <v>12581</v>
      </c>
      <c r="G20927" t="s">
        <v>16797</v>
      </c>
      <c r="H20927" t="s">
        <v>25043</v>
      </c>
    </row>
    <row r="20928" spans="1:8">
      <c r="F20928" t="s">
        <v>11469</v>
      </c>
      <c r="G20928" t="s">
        <v>15709</v>
      </c>
      <c r="H20928" t="s">
        <v>25044</v>
      </c>
    </row>
    <row r="20929" spans="1:8">
      <c r="F20929" t="s">
        <v>12582</v>
      </c>
      <c r="G20929" t="s">
        <v>16798</v>
      </c>
      <c r="H20929" t="s">
        <v>25045</v>
      </c>
    </row>
    <row r="20930" spans="1:8">
      <c r="F20930" t="s">
        <v>12583</v>
      </c>
      <c r="G20930" t="s">
        <v>16799</v>
      </c>
      <c r="H20930" t="s">
        <v>25046</v>
      </c>
    </row>
    <row r="20931" spans="1:8">
      <c r="F20931" t="s">
        <v>12584</v>
      </c>
      <c r="G20931" t="s">
        <v>16800</v>
      </c>
      <c r="H20931" t="s">
        <v>25047</v>
      </c>
    </row>
    <row r="20932" spans="1:8">
      <c r="F20932" t="s">
        <v>12585</v>
      </c>
      <c r="G20932" t="s">
        <v>16801</v>
      </c>
      <c r="H20932" t="s">
        <v>25048</v>
      </c>
    </row>
    <row r="20933" spans="1:8">
      <c r="F20933" t="s">
        <v>12586</v>
      </c>
      <c r="G20933" t="s">
        <v>16802</v>
      </c>
      <c r="H20933" t="s">
        <v>25049</v>
      </c>
    </row>
    <row r="20934" spans="1:8">
      <c r="F20934" t="s">
        <v>12587</v>
      </c>
      <c r="G20934" t="s">
        <v>16803</v>
      </c>
      <c r="H20934" t="s">
        <v>25050</v>
      </c>
    </row>
    <row r="20935" spans="1:8">
      <c r="F20935" t="s">
        <v>12588</v>
      </c>
      <c r="G20935" t="s">
        <v>16804</v>
      </c>
      <c r="H20935" t="s">
        <v>25051</v>
      </c>
    </row>
    <row r="20936" spans="1:8">
      <c r="F20936" t="s">
        <v>12589</v>
      </c>
      <c r="G20936" t="s">
        <v>16805</v>
      </c>
      <c r="H20936" t="s">
        <v>25052</v>
      </c>
    </row>
    <row r="20937" spans="1:8">
      <c r="F20937" t="s">
        <v>11187</v>
      </c>
      <c r="G20937" t="s">
        <v>15576</v>
      </c>
      <c r="H20937" t="s">
        <v>25053</v>
      </c>
    </row>
    <row r="20938" spans="1:8">
      <c r="H20938" t="s">
        <v>25053</v>
      </c>
    </row>
    <row r="20939" spans="1:8">
      <c r="F20939" t="s">
        <v>12590</v>
      </c>
      <c r="G20939" t="s">
        <v>16806</v>
      </c>
      <c r="H20939" t="s">
        <v>25054</v>
      </c>
    </row>
    <row r="20940" spans="1:8">
      <c r="F20940" t="s">
        <v>12591</v>
      </c>
      <c r="G20940" t="s">
        <v>16807</v>
      </c>
      <c r="H20940" t="s">
        <v>25055</v>
      </c>
    </row>
    <row r="20941" spans="1:8">
      <c r="A20941" t="s">
        <v>737</v>
      </c>
      <c r="B20941">
        <f>HYPERLINK("https://android.googlesource.com/platform/cts/+/909359995d48d51c1a14f616f8a0bb774f732997", "909359995d48d51c1a14f616f8a0bb774f732997")</f>
        <v>0</v>
      </c>
      <c r="C20941">
        <f>HYPERLINK("https://android.googlesource.com/platform/cts/+/695af1faf3b540695a87ef2ae27c1a5081e1f010", "695af1faf3b540695a87ef2ae27c1a5081e1f010")</f>
        <v>0</v>
      </c>
      <c r="D20941" t="s">
        <v>5079</v>
      </c>
      <c r="E20941" t="s">
        <v>6520</v>
      </c>
      <c r="F20941" t="s">
        <v>12185</v>
      </c>
      <c r="G20941" t="s">
        <v>16424</v>
      </c>
      <c r="H20941" t="s">
        <v>22652</v>
      </c>
    </row>
    <row r="20942" spans="1:8">
      <c r="A20942" t="s">
        <v>738</v>
      </c>
      <c r="B20942">
        <f>HYPERLINK("https://android.googlesource.com/platform/cts/+/fab5b16079aa549caaf65f1b95ff98c3edbd98ec", "fab5b16079aa549caaf65f1b95ff98c3edbd98ec")</f>
        <v>0</v>
      </c>
      <c r="C20942">
        <f>HYPERLINK("https://android.googlesource.com/platform/cts/+/0b23c39fd161b04c7f2008b0b245542c3ba8aba0", "0b23c39fd161b04c7f2008b0b245542c3ba8aba0")</f>
        <v>0</v>
      </c>
      <c r="D20942" t="s">
        <v>5038</v>
      </c>
      <c r="E20942" t="s">
        <v>6521</v>
      </c>
      <c r="F20942" t="s">
        <v>12600</v>
      </c>
      <c r="G20942" t="s">
        <v>16813</v>
      </c>
      <c r="H20942" t="s">
        <v>25080</v>
      </c>
    </row>
    <row r="20943" spans="1:8">
      <c r="A20943" t="s">
        <v>739</v>
      </c>
      <c r="B20943">
        <f>HYPERLINK("https://android.googlesource.com/platform/cts/+/bfe21539f8796fecab7ebc52e69fbad415466876", "bfe21539f8796fecab7ebc52e69fbad415466876")</f>
        <v>0</v>
      </c>
      <c r="C20943">
        <f>HYPERLINK("https://android.googlesource.com/platform/cts/+/d36d7bbfe4041684772d97a41e024d18034f0fb1", "d36d7bbfe4041684772d97a41e024d18034f0fb1")</f>
        <v>0</v>
      </c>
      <c r="D20943" t="s">
        <v>5057</v>
      </c>
      <c r="E20943" t="s">
        <v>6522</v>
      </c>
      <c r="F20943" t="s">
        <v>12601</v>
      </c>
      <c r="G20943" t="s">
        <v>16420</v>
      </c>
      <c r="H20943" t="s">
        <v>21301</v>
      </c>
    </row>
    <row r="20944" spans="1:8">
      <c r="H20944" t="s">
        <v>21302</v>
      </c>
    </row>
    <row r="20945" spans="1:8">
      <c r="H20945" t="s">
        <v>21303</v>
      </c>
    </row>
    <row r="20946" spans="1:8">
      <c r="H20946" t="s">
        <v>21304</v>
      </c>
    </row>
    <row r="20947" spans="1:8">
      <c r="H20947" t="s">
        <v>21305</v>
      </c>
    </row>
    <row r="20948" spans="1:8">
      <c r="A20948" t="s">
        <v>740</v>
      </c>
      <c r="B20948">
        <f>HYPERLINK("https://android.googlesource.com/platform/cts/+/92b89af07ac9f528228d44b71ce6131e5d36dc13", "92b89af07ac9f528228d44b71ce6131e5d36dc13")</f>
        <v>0</v>
      </c>
      <c r="C20948">
        <f>HYPERLINK("https://android.googlesource.com/platform/cts/+/00d083abecc0d0671ff6e71bf3664fd4e825e52f", "00d083abecc0d0671ff6e71bf3664fd4e825e52f")</f>
        <v>0</v>
      </c>
      <c r="D20948" t="s">
        <v>5040</v>
      </c>
      <c r="E20948" t="s">
        <v>6523</v>
      </c>
      <c r="F20948" t="s">
        <v>12602</v>
      </c>
      <c r="G20948" t="s">
        <v>16814</v>
      </c>
      <c r="H20948" t="s">
        <v>25081</v>
      </c>
    </row>
    <row r="20949" spans="1:8">
      <c r="A20949" t="s">
        <v>741</v>
      </c>
      <c r="B20949">
        <f>HYPERLINK("https://android.googlesource.com/platform/cts/+/007eba931a2995cb28b5ee902db1de20e0af30bd", "007eba931a2995cb28b5ee902db1de20e0af30bd")</f>
        <v>0</v>
      </c>
      <c r="C20949">
        <f>HYPERLINK("https://android.googlesource.com/platform/cts/+/769e48db74612b80c294b96d1a2286888d2da6b6", "769e48db74612b80c294b96d1a2286888d2da6b6")</f>
        <v>0</v>
      </c>
      <c r="D20949" t="s">
        <v>5004</v>
      </c>
      <c r="E20949" t="s">
        <v>6524</v>
      </c>
      <c r="F20949" t="s">
        <v>12603</v>
      </c>
      <c r="G20949" t="s">
        <v>16815</v>
      </c>
      <c r="H20949" t="s">
        <v>25082</v>
      </c>
    </row>
    <row r="20950" spans="1:8">
      <c r="A20950" t="s">
        <v>742</v>
      </c>
      <c r="B20950">
        <f>HYPERLINK("https://android.googlesource.com/platform/cts/+/e523556a72ecf97c782354c95b2c018981a31e62", "e523556a72ecf97c782354c95b2c018981a31e62")</f>
        <v>0</v>
      </c>
      <c r="C20950">
        <f>HYPERLINK("https://android.googlesource.com/platform/cts/+/769e48db74612b80c294b96d1a2286888d2da6b6", "769e48db74612b80c294b96d1a2286888d2da6b6")</f>
        <v>0</v>
      </c>
      <c r="D20950" t="s">
        <v>5057</v>
      </c>
      <c r="E20950" t="s">
        <v>6525</v>
      </c>
      <c r="F20950" t="s">
        <v>12601</v>
      </c>
      <c r="G20950" t="s">
        <v>16420</v>
      </c>
      <c r="H20950" t="s">
        <v>25083</v>
      </c>
    </row>
    <row r="20951" spans="1:8">
      <c r="H20951" t="s">
        <v>25084</v>
      </c>
    </row>
    <row r="20952" spans="1:8">
      <c r="H20952" t="s">
        <v>25085</v>
      </c>
    </row>
    <row r="20953" spans="1:8">
      <c r="H20953" t="s">
        <v>25086</v>
      </c>
    </row>
    <row r="20954" spans="1:8">
      <c r="H20954" t="s">
        <v>25087</v>
      </c>
    </row>
    <row r="20955" spans="1:8">
      <c r="H20955" t="s">
        <v>25088</v>
      </c>
    </row>
    <row r="20956" spans="1:8">
      <c r="A20956" t="s">
        <v>743</v>
      </c>
      <c r="B20956">
        <f>HYPERLINK("https://android.googlesource.com/platform/cts/+/64c494af71f3907cac19d2101032420000a7e8d7", "64c494af71f3907cac19d2101032420000a7e8d7")</f>
        <v>0</v>
      </c>
      <c r="C20956">
        <f>HYPERLINK("https://android.googlesource.com/platform/cts/+/aefcae4de7db38bf091921a0827c8c44cbeb8d9b", "aefcae4de7db38bf091921a0827c8c44cbeb8d9b")</f>
        <v>0</v>
      </c>
      <c r="D20956" t="s">
        <v>5080</v>
      </c>
      <c r="E20956" t="s">
        <v>6526</v>
      </c>
      <c r="F20956" t="s">
        <v>12604</v>
      </c>
      <c r="G20956" t="s">
        <v>16816</v>
      </c>
      <c r="H20956" t="s">
        <v>25089</v>
      </c>
    </row>
    <row r="20957" spans="1:8">
      <c r="H20957" t="s">
        <v>25090</v>
      </c>
    </row>
    <row r="20958" spans="1:8">
      <c r="A20958" t="s">
        <v>744</v>
      </c>
      <c r="B20958">
        <f>HYPERLINK("https://android.googlesource.com/platform/cts/+/a6883759ffb4a19fc6ea6aae2d47cc9c60930a0f", "a6883759ffb4a19fc6ea6aae2d47cc9c60930a0f")</f>
        <v>0</v>
      </c>
      <c r="C20958">
        <f>HYPERLINK("https://android.googlesource.com/platform/cts/+/d9d3edb70a92b538694ba534cc46c3ecdae5c23a", "d9d3edb70a92b538694ba534cc46c3ecdae5c23a")</f>
        <v>0</v>
      </c>
      <c r="D20958" t="s">
        <v>5078</v>
      </c>
      <c r="E20958" t="s">
        <v>6527</v>
      </c>
      <c r="F20958" t="s">
        <v>12605</v>
      </c>
      <c r="G20958" t="s">
        <v>16817</v>
      </c>
      <c r="H20958" t="s">
        <v>25091</v>
      </c>
    </row>
    <row r="20959" spans="1:8">
      <c r="H20959" t="s">
        <v>25092</v>
      </c>
    </row>
    <row r="20960" spans="1:8">
      <c r="A20960" t="s">
        <v>745</v>
      </c>
      <c r="B20960">
        <f>HYPERLINK("https://android.googlesource.com/platform/cts/+/e4b9293da1a463f1ab623db7f960a35c54e18ec1", "e4b9293da1a463f1ab623db7f960a35c54e18ec1")</f>
        <v>0</v>
      </c>
      <c r="C20960">
        <f>HYPERLINK("https://android.googlesource.com/platform/cts/+/6fd2a43158d2cb4fc0f662b7575baeae65286f64", "6fd2a43158d2cb4fc0f662b7575baeae65286f64")</f>
        <v>0</v>
      </c>
      <c r="D20960" t="s">
        <v>5077</v>
      </c>
      <c r="E20960" t="s">
        <v>6528</v>
      </c>
      <c r="F20960" t="s">
        <v>12599</v>
      </c>
      <c r="G20960" t="s">
        <v>16812</v>
      </c>
      <c r="H20960" t="s">
        <v>25093</v>
      </c>
    </row>
    <row r="20961" spans="1:8">
      <c r="H20961" t="s">
        <v>25094</v>
      </c>
    </row>
    <row r="20962" spans="1:8">
      <c r="H20962" t="s">
        <v>25095</v>
      </c>
    </row>
    <row r="20963" spans="1:8">
      <c r="H20963" t="s">
        <v>25096</v>
      </c>
    </row>
    <row r="20964" spans="1:8">
      <c r="A20964" t="s">
        <v>746</v>
      </c>
      <c r="B20964">
        <f>HYPERLINK("https://android.googlesource.com/platform/cts/+/c68f28d8cb2083860bf04a6263c3a7745a671c66", "c68f28d8cb2083860bf04a6263c3a7745a671c66")</f>
        <v>0</v>
      </c>
      <c r="C20964">
        <f>HYPERLINK("https://android.googlesource.com/platform/cts/+/6fd2a43158d2cb4fc0f662b7575baeae65286f64", "6fd2a43158d2cb4fc0f662b7575baeae65286f64")</f>
        <v>0</v>
      </c>
      <c r="D20964" t="s">
        <v>5004</v>
      </c>
      <c r="E20964" t="s">
        <v>6529</v>
      </c>
      <c r="F20964" t="s">
        <v>12572</v>
      </c>
      <c r="G20964" t="s">
        <v>16788</v>
      </c>
      <c r="H20964" t="s">
        <v>25097</v>
      </c>
    </row>
    <row r="20965" spans="1:8">
      <c r="A20965" t="s">
        <v>747</v>
      </c>
      <c r="B20965">
        <f>HYPERLINK("https://android.googlesource.com/platform/cts/+/34a0f63071d5ee96f8db3fa02f672fd6081eb4ef", "34a0f63071d5ee96f8db3fa02f672fd6081eb4ef")</f>
        <v>0</v>
      </c>
      <c r="C20965">
        <f>HYPERLINK("https://android.googlesource.com/platform/cts/+/010adaca67b8fa1a9af744782e840a7142ab5b7d", "010adaca67b8fa1a9af744782e840a7142ab5b7d")</f>
        <v>0</v>
      </c>
      <c r="D20965" t="s">
        <v>5030</v>
      </c>
      <c r="E20965" t="s">
        <v>6530</v>
      </c>
      <c r="F20965" t="s">
        <v>12606</v>
      </c>
      <c r="G20965" t="s">
        <v>16818</v>
      </c>
      <c r="H20965" t="s">
        <v>25098</v>
      </c>
    </row>
    <row r="20966" spans="1:8">
      <c r="H20966" t="s">
        <v>25099</v>
      </c>
    </row>
    <row r="20967" spans="1:8">
      <c r="A20967" t="s">
        <v>748</v>
      </c>
      <c r="B20967">
        <f>HYPERLINK("https://android.googlesource.com/platform/cts/+/faacd3e9325c6c32fceaf777a945a21007b59a16", "faacd3e9325c6c32fceaf777a945a21007b59a16")</f>
        <v>0</v>
      </c>
      <c r="C20967">
        <f>HYPERLINK("https://android.googlesource.com/platform/cts/+/0dccfe2f8ee2dc3197ca72a3f37d412dd491c99b", "0dccfe2f8ee2dc3197ca72a3f37d412dd491c99b")</f>
        <v>0</v>
      </c>
      <c r="D20967" t="s">
        <v>5081</v>
      </c>
      <c r="E20967" t="s">
        <v>6531</v>
      </c>
      <c r="F20967" t="s">
        <v>12607</v>
      </c>
      <c r="G20967" t="s">
        <v>16819</v>
      </c>
      <c r="H20967" t="s">
        <v>18829</v>
      </c>
    </row>
    <row r="20968" spans="1:8">
      <c r="H20968" t="s">
        <v>18863</v>
      </c>
    </row>
    <row r="20969" spans="1:8">
      <c r="H20969" t="s">
        <v>25100</v>
      </c>
    </row>
    <row r="20970" spans="1:8">
      <c r="H20970" t="s">
        <v>25101</v>
      </c>
    </row>
    <row r="20971" spans="1:8">
      <c r="H20971" t="s">
        <v>25102</v>
      </c>
    </row>
    <row r="20972" spans="1:8">
      <c r="H20972" t="s">
        <v>25103</v>
      </c>
    </row>
    <row r="20973" spans="1:8">
      <c r="H20973" t="s">
        <v>25104</v>
      </c>
    </row>
    <row r="20974" spans="1:8">
      <c r="A20974" t="s">
        <v>749</v>
      </c>
      <c r="B20974">
        <f>HYPERLINK("https://android.googlesource.com/platform/cts/+/0369e341c58ce683714a4ce2181dad0755e9f4f9", "0369e341c58ce683714a4ce2181dad0755e9f4f9")</f>
        <v>0</v>
      </c>
      <c r="C20974">
        <f>HYPERLINK("https://android.googlesource.com/platform/cts/+/7ade97ba3fd19737b64c4fc6aef6497a4eb5fb7b", "7ade97ba3fd19737b64c4fc6aef6497a4eb5fb7b")</f>
        <v>0</v>
      </c>
      <c r="D20974" t="s">
        <v>4997</v>
      </c>
      <c r="E20974" t="s">
        <v>6532</v>
      </c>
      <c r="F20974" t="s">
        <v>12191</v>
      </c>
      <c r="G20974" t="s">
        <v>16430</v>
      </c>
      <c r="H20974" t="s">
        <v>25105</v>
      </c>
    </row>
    <row r="20975" spans="1:8">
      <c r="A20975" t="s">
        <v>750</v>
      </c>
      <c r="B20975">
        <f>HYPERLINK("https://android.googlesource.com/platform/cts/+/781c7b570e1f37b38489a85dbe470e6287fd24af", "781c7b570e1f37b38489a85dbe470e6287fd24af")</f>
        <v>0</v>
      </c>
      <c r="C20975">
        <f>HYPERLINK("https://android.googlesource.com/platform/cts/+/581ea15d6b917d99c210ce592333f42df8d26080", "581ea15d6b917d99c210ce592333f42df8d26080")</f>
        <v>0</v>
      </c>
      <c r="D20975" t="s">
        <v>5038</v>
      </c>
      <c r="E20975" t="s">
        <v>6533</v>
      </c>
      <c r="F20975" t="s">
        <v>11482</v>
      </c>
      <c r="G20975" t="s">
        <v>15723</v>
      </c>
      <c r="H20975" t="s">
        <v>25106</v>
      </c>
    </row>
    <row r="20976" spans="1:8">
      <c r="H20976" t="s">
        <v>25107</v>
      </c>
    </row>
    <row r="20977" spans="1:8">
      <c r="H20977" t="s">
        <v>25108</v>
      </c>
    </row>
    <row r="20978" spans="1:8">
      <c r="H20978" t="s">
        <v>25106</v>
      </c>
    </row>
    <row r="20979" spans="1:8">
      <c r="H20979" t="s">
        <v>25107</v>
      </c>
    </row>
    <row r="20980" spans="1:8">
      <c r="H20980" t="s">
        <v>25108</v>
      </c>
    </row>
    <row r="20981" spans="1:8">
      <c r="A20981" t="s">
        <v>751</v>
      </c>
      <c r="B20981">
        <f>HYPERLINK("https://android.googlesource.com/platform/cts/+/c30bdbc6e992b53a9f12d50c5659a776e2da5a02", "c30bdbc6e992b53a9f12d50c5659a776e2da5a02")</f>
        <v>0</v>
      </c>
      <c r="C20981">
        <f>HYPERLINK("https://android.googlesource.com/platform/cts/+/fd61f1805c374867db63678062fec3c17d0ab956", "fd61f1805c374867db63678062fec3c17d0ab956")</f>
        <v>0</v>
      </c>
      <c r="D20981" t="s">
        <v>4987</v>
      </c>
      <c r="E20981" t="s">
        <v>6534</v>
      </c>
      <c r="F20981" t="s">
        <v>12371</v>
      </c>
      <c r="G20981" t="s">
        <v>16598</v>
      </c>
      <c r="H20981" t="s">
        <v>25109</v>
      </c>
    </row>
    <row r="20982" spans="1:8">
      <c r="H20982" t="s">
        <v>18829</v>
      </c>
    </row>
    <row r="20983" spans="1:8">
      <c r="H20983" t="s">
        <v>18863</v>
      </c>
    </row>
    <row r="20984" spans="1:8">
      <c r="H20984" t="s">
        <v>19261</v>
      </c>
    </row>
    <row r="20985" spans="1:8">
      <c r="H20985" t="s">
        <v>25110</v>
      </c>
    </row>
    <row r="20986" spans="1:8">
      <c r="H20986" t="s">
        <v>25111</v>
      </c>
    </row>
    <row r="20987" spans="1:8">
      <c r="H20987" t="s">
        <v>25112</v>
      </c>
    </row>
    <row r="20988" spans="1:8">
      <c r="H20988" t="s">
        <v>25113</v>
      </c>
    </row>
    <row r="20989" spans="1:8">
      <c r="H20989" t="s">
        <v>25114</v>
      </c>
    </row>
    <row r="20990" spans="1:8">
      <c r="H20990" t="s">
        <v>25115</v>
      </c>
    </row>
    <row r="20991" spans="1:8">
      <c r="H20991" t="s">
        <v>25116</v>
      </c>
    </row>
    <row r="20992" spans="1:8">
      <c r="H20992" t="s">
        <v>25117</v>
      </c>
    </row>
    <row r="20993" spans="8:8">
      <c r="H20993" t="s">
        <v>25118</v>
      </c>
    </row>
    <row r="20994" spans="8:8">
      <c r="H20994" t="s">
        <v>25119</v>
      </c>
    </row>
    <row r="20995" spans="8:8">
      <c r="H20995" t="s">
        <v>25120</v>
      </c>
    </row>
    <row r="20996" spans="8:8">
      <c r="H20996" t="s">
        <v>25121</v>
      </c>
    </row>
    <row r="20997" spans="8:8">
      <c r="H20997" t="s">
        <v>25122</v>
      </c>
    </row>
    <row r="20998" spans="8:8">
      <c r="H20998" t="s">
        <v>25123</v>
      </c>
    </row>
    <row r="20999" spans="8:8">
      <c r="H20999" t="s">
        <v>25124</v>
      </c>
    </row>
    <row r="21000" spans="8:8">
      <c r="H21000" t="s">
        <v>25125</v>
      </c>
    </row>
    <row r="21001" spans="8:8">
      <c r="H21001" t="s">
        <v>25126</v>
      </c>
    </row>
    <row r="21002" spans="8:8">
      <c r="H21002" t="s">
        <v>25127</v>
      </c>
    </row>
    <row r="21003" spans="8:8">
      <c r="H21003" t="s">
        <v>25128</v>
      </c>
    </row>
    <row r="21004" spans="8:8">
      <c r="H21004" t="s">
        <v>25129</v>
      </c>
    </row>
    <row r="21005" spans="8:8">
      <c r="H21005" t="s">
        <v>25130</v>
      </c>
    </row>
    <row r="21006" spans="8:8">
      <c r="H21006" t="s">
        <v>25131</v>
      </c>
    </row>
    <row r="21007" spans="8:8">
      <c r="H21007" t="s">
        <v>25132</v>
      </c>
    </row>
    <row r="21008" spans="8:8">
      <c r="H21008" t="s">
        <v>25133</v>
      </c>
    </row>
    <row r="21009" spans="8:8">
      <c r="H21009" t="s">
        <v>25134</v>
      </c>
    </row>
    <row r="21010" spans="8:8">
      <c r="H21010" t="s">
        <v>25135</v>
      </c>
    </row>
    <row r="21011" spans="8:8">
      <c r="H21011" t="s">
        <v>25136</v>
      </c>
    </row>
    <row r="21012" spans="8:8">
      <c r="H21012" t="s">
        <v>25137</v>
      </c>
    </row>
    <row r="21013" spans="8:8">
      <c r="H21013" t="s">
        <v>25138</v>
      </c>
    </row>
    <row r="21014" spans="8:8">
      <c r="H21014" t="s">
        <v>25139</v>
      </c>
    </row>
    <row r="21015" spans="8:8">
      <c r="H21015" t="s">
        <v>25140</v>
      </c>
    </row>
    <row r="21016" spans="8:8">
      <c r="H21016" t="s">
        <v>25141</v>
      </c>
    </row>
    <row r="21017" spans="8:8">
      <c r="H21017" t="s">
        <v>25142</v>
      </c>
    </row>
    <row r="21018" spans="8:8">
      <c r="H21018" t="s">
        <v>25143</v>
      </c>
    </row>
    <row r="21019" spans="8:8">
      <c r="H21019" t="s">
        <v>25144</v>
      </c>
    </row>
    <row r="21020" spans="8:8">
      <c r="H21020" t="s">
        <v>25145</v>
      </c>
    </row>
    <row r="21021" spans="8:8">
      <c r="H21021" t="s">
        <v>25146</v>
      </c>
    </row>
    <row r="21022" spans="8:8">
      <c r="H21022" t="s">
        <v>25147</v>
      </c>
    </row>
    <row r="21023" spans="8:8">
      <c r="H21023" t="s">
        <v>25148</v>
      </c>
    </row>
    <row r="21024" spans="8:8">
      <c r="H21024" t="s">
        <v>25149</v>
      </c>
    </row>
    <row r="21025" spans="8:8">
      <c r="H21025" t="s">
        <v>25150</v>
      </c>
    </row>
    <row r="21026" spans="8:8">
      <c r="H21026" t="s">
        <v>25151</v>
      </c>
    </row>
    <row r="21027" spans="8:8">
      <c r="H21027" t="s">
        <v>25152</v>
      </c>
    </row>
    <row r="21028" spans="8:8">
      <c r="H21028" t="s">
        <v>25153</v>
      </c>
    </row>
    <row r="21029" spans="8:8">
      <c r="H21029" t="s">
        <v>25154</v>
      </c>
    </row>
    <row r="21030" spans="8:8">
      <c r="H21030" t="s">
        <v>25155</v>
      </c>
    </row>
    <row r="21031" spans="8:8">
      <c r="H21031" t="s">
        <v>25156</v>
      </c>
    </row>
    <row r="21032" spans="8:8">
      <c r="H21032" t="s">
        <v>25157</v>
      </c>
    </row>
    <row r="21033" spans="8:8">
      <c r="H21033" t="s">
        <v>25158</v>
      </c>
    </row>
    <row r="21034" spans="8:8">
      <c r="H21034" t="s">
        <v>25159</v>
      </c>
    </row>
    <row r="21035" spans="8:8">
      <c r="H21035" t="s">
        <v>25160</v>
      </c>
    </row>
    <row r="21036" spans="8:8">
      <c r="H21036" t="s">
        <v>25161</v>
      </c>
    </row>
    <row r="21037" spans="8:8">
      <c r="H21037" t="s">
        <v>25162</v>
      </c>
    </row>
    <row r="21038" spans="8:8">
      <c r="H21038" t="s">
        <v>25163</v>
      </c>
    </row>
    <row r="21039" spans="8:8">
      <c r="H21039" t="s">
        <v>25164</v>
      </c>
    </row>
    <row r="21040" spans="8:8">
      <c r="H21040" t="s">
        <v>25165</v>
      </c>
    </row>
    <row r="21041" spans="8:8">
      <c r="H21041" t="s">
        <v>25166</v>
      </c>
    </row>
    <row r="21042" spans="8:8">
      <c r="H21042" t="s">
        <v>25167</v>
      </c>
    </row>
    <row r="21043" spans="8:8">
      <c r="H21043" t="s">
        <v>25168</v>
      </c>
    </row>
    <row r="21044" spans="8:8">
      <c r="H21044" t="s">
        <v>25169</v>
      </c>
    </row>
    <row r="21045" spans="8:8">
      <c r="H21045" t="s">
        <v>25170</v>
      </c>
    </row>
    <row r="21046" spans="8:8">
      <c r="H21046" t="s">
        <v>25171</v>
      </c>
    </row>
    <row r="21047" spans="8:8">
      <c r="H21047" t="s">
        <v>25172</v>
      </c>
    </row>
    <row r="21048" spans="8:8">
      <c r="H21048" t="s">
        <v>25173</v>
      </c>
    </row>
    <row r="21049" spans="8:8">
      <c r="H21049" t="s">
        <v>25174</v>
      </c>
    </row>
    <row r="21050" spans="8:8">
      <c r="H21050" t="s">
        <v>25175</v>
      </c>
    </row>
    <row r="21051" spans="8:8">
      <c r="H21051" t="s">
        <v>25176</v>
      </c>
    </row>
    <row r="21052" spans="8:8">
      <c r="H21052" t="s">
        <v>25177</v>
      </c>
    </row>
    <row r="21053" spans="8:8">
      <c r="H21053" t="s">
        <v>25178</v>
      </c>
    </row>
    <row r="21054" spans="8:8">
      <c r="H21054" t="s">
        <v>25179</v>
      </c>
    </row>
    <row r="21055" spans="8:8">
      <c r="H21055" t="s">
        <v>25180</v>
      </c>
    </row>
    <row r="21056" spans="8:8">
      <c r="H21056" t="s">
        <v>25181</v>
      </c>
    </row>
    <row r="21057" spans="8:8">
      <c r="H21057" t="s">
        <v>25182</v>
      </c>
    </row>
    <row r="21058" spans="8:8">
      <c r="H21058" t="s">
        <v>25183</v>
      </c>
    </row>
    <row r="21059" spans="8:8">
      <c r="H21059" t="s">
        <v>25184</v>
      </c>
    </row>
    <row r="21060" spans="8:8">
      <c r="H21060" t="s">
        <v>25185</v>
      </c>
    </row>
    <row r="21061" spans="8:8">
      <c r="H21061" t="s">
        <v>25186</v>
      </c>
    </row>
    <row r="21062" spans="8:8">
      <c r="H21062" t="s">
        <v>25187</v>
      </c>
    </row>
    <row r="21063" spans="8:8">
      <c r="H21063" t="s">
        <v>25188</v>
      </c>
    </row>
    <row r="21064" spans="8:8">
      <c r="H21064" t="s">
        <v>25189</v>
      </c>
    </row>
    <row r="21065" spans="8:8">
      <c r="H21065" t="s">
        <v>25190</v>
      </c>
    </row>
    <row r="21066" spans="8:8">
      <c r="H21066" t="s">
        <v>25191</v>
      </c>
    </row>
    <row r="21067" spans="8:8">
      <c r="H21067" t="s">
        <v>25192</v>
      </c>
    </row>
    <row r="21068" spans="8:8">
      <c r="H21068" t="s">
        <v>25193</v>
      </c>
    </row>
    <row r="21069" spans="8:8">
      <c r="H21069" t="s">
        <v>25194</v>
      </c>
    </row>
    <row r="21070" spans="8:8">
      <c r="H21070" t="s">
        <v>25195</v>
      </c>
    </row>
    <row r="21071" spans="8:8">
      <c r="H21071" t="s">
        <v>25196</v>
      </c>
    </row>
    <row r="21072" spans="8:8">
      <c r="H21072" t="s">
        <v>25197</v>
      </c>
    </row>
    <row r="21073" spans="8:8">
      <c r="H21073" t="s">
        <v>25198</v>
      </c>
    </row>
    <row r="21074" spans="8:8">
      <c r="H21074" t="s">
        <v>25199</v>
      </c>
    </row>
    <row r="21075" spans="8:8">
      <c r="H21075" t="s">
        <v>25200</v>
      </c>
    </row>
    <row r="21076" spans="8:8">
      <c r="H21076" t="s">
        <v>25201</v>
      </c>
    </row>
    <row r="21077" spans="8:8">
      <c r="H21077" t="s">
        <v>25202</v>
      </c>
    </row>
    <row r="21078" spans="8:8">
      <c r="H21078" t="s">
        <v>25203</v>
      </c>
    </row>
    <row r="21079" spans="8:8">
      <c r="H21079" t="s">
        <v>25204</v>
      </c>
    </row>
    <row r="21080" spans="8:8">
      <c r="H21080" t="s">
        <v>25205</v>
      </c>
    </row>
    <row r="21081" spans="8:8">
      <c r="H21081" t="s">
        <v>25206</v>
      </c>
    </row>
    <row r="21082" spans="8:8">
      <c r="H21082" t="s">
        <v>25207</v>
      </c>
    </row>
    <row r="21083" spans="8:8">
      <c r="H21083" t="s">
        <v>25208</v>
      </c>
    </row>
    <row r="21084" spans="8:8">
      <c r="H21084" t="s">
        <v>25209</v>
      </c>
    </row>
    <row r="21085" spans="8:8">
      <c r="H21085" t="s">
        <v>25210</v>
      </c>
    </row>
    <row r="21086" spans="8:8">
      <c r="H21086" t="s">
        <v>25211</v>
      </c>
    </row>
    <row r="21087" spans="8:8">
      <c r="H21087" t="s">
        <v>25212</v>
      </c>
    </row>
    <row r="21088" spans="8:8">
      <c r="H21088" t="s">
        <v>25213</v>
      </c>
    </row>
    <row r="21089" spans="8:8">
      <c r="H21089" t="s">
        <v>25214</v>
      </c>
    </row>
    <row r="21090" spans="8:8">
      <c r="H21090" t="s">
        <v>25215</v>
      </c>
    </row>
    <row r="21091" spans="8:8">
      <c r="H21091" t="s">
        <v>25216</v>
      </c>
    </row>
    <row r="21092" spans="8:8">
      <c r="H21092" t="s">
        <v>25217</v>
      </c>
    </row>
    <row r="21093" spans="8:8">
      <c r="H21093" t="s">
        <v>25218</v>
      </c>
    </row>
    <row r="21094" spans="8:8">
      <c r="H21094" t="s">
        <v>25219</v>
      </c>
    </row>
    <row r="21095" spans="8:8">
      <c r="H21095" t="s">
        <v>25220</v>
      </c>
    </row>
    <row r="21096" spans="8:8">
      <c r="H21096" t="s">
        <v>25221</v>
      </c>
    </row>
    <row r="21097" spans="8:8">
      <c r="H21097" t="s">
        <v>25222</v>
      </c>
    </row>
    <row r="21098" spans="8:8">
      <c r="H21098" t="s">
        <v>25223</v>
      </c>
    </row>
    <row r="21099" spans="8:8">
      <c r="H21099" t="s">
        <v>25224</v>
      </c>
    </row>
    <row r="21100" spans="8:8">
      <c r="H21100" t="s">
        <v>25225</v>
      </c>
    </row>
    <row r="21101" spans="8:8">
      <c r="H21101" t="s">
        <v>25226</v>
      </c>
    </row>
    <row r="21102" spans="8:8">
      <c r="H21102" t="s">
        <v>25227</v>
      </c>
    </row>
    <row r="21103" spans="8:8">
      <c r="H21103" t="s">
        <v>25228</v>
      </c>
    </row>
    <row r="21104" spans="8:8">
      <c r="H21104" t="s">
        <v>25229</v>
      </c>
    </row>
    <row r="21105" spans="8:8">
      <c r="H21105" t="s">
        <v>25230</v>
      </c>
    </row>
    <row r="21106" spans="8:8">
      <c r="H21106" t="s">
        <v>25231</v>
      </c>
    </row>
    <row r="21107" spans="8:8">
      <c r="H21107" t="s">
        <v>25232</v>
      </c>
    </row>
    <row r="21108" spans="8:8">
      <c r="H21108" t="s">
        <v>25233</v>
      </c>
    </row>
    <row r="21109" spans="8:8">
      <c r="H21109" t="s">
        <v>25234</v>
      </c>
    </row>
    <row r="21110" spans="8:8">
      <c r="H21110" t="s">
        <v>25235</v>
      </c>
    </row>
    <row r="21111" spans="8:8">
      <c r="H21111" t="s">
        <v>25236</v>
      </c>
    </row>
    <row r="21112" spans="8:8">
      <c r="H21112" t="s">
        <v>25237</v>
      </c>
    </row>
    <row r="21113" spans="8:8">
      <c r="H21113" t="s">
        <v>25238</v>
      </c>
    </row>
    <row r="21114" spans="8:8">
      <c r="H21114" t="s">
        <v>25239</v>
      </c>
    </row>
    <row r="21115" spans="8:8">
      <c r="H21115" t="s">
        <v>25240</v>
      </c>
    </row>
    <row r="21116" spans="8:8">
      <c r="H21116" t="s">
        <v>25241</v>
      </c>
    </row>
    <row r="21117" spans="8:8">
      <c r="H21117" t="s">
        <v>25242</v>
      </c>
    </row>
    <row r="21118" spans="8:8">
      <c r="H21118" t="s">
        <v>25243</v>
      </c>
    </row>
    <row r="21119" spans="8:8">
      <c r="H21119" t="s">
        <v>25244</v>
      </c>
    </row>
    <row r="21120" spans="8:8">
      <c r="H21120" t="s">
        <v>25245</v>
      </c>
    </row>
    <row r="21121" spans="8:8">
      <c r="H21121" t="s">
        <v>25246</v>
      </c>
    </row>
    <row r="21122" spans="8:8">
      <c r="H21122" t="s">
        <v>25247</v>
      </c>
    </row>
    <row r="21123" spans="8:8">
      <c r="H21123" t="s">
        <v>25248</v>
      </c>
    </row>
    <row r="21124" spans="8:8">
      <c r="H21124" t="s">
        <v>25249</v>
      </c>
    </row>
    <row r="21125" spans="8:8">
      <c r="H21125" t="s">
        <v>25250</v>
      </c>
    </row>
    <row r="21126" spans="8:8">
      <c r="H21126" t="s">
        <v>25251</v>
      </c>
    </row>
    <row r="21127" spans="8:8">
      <c r="H21127" t="s">
        <v>25252</v>
      </c>
    </row>
    <row r="21128" spans="8:8">
      <c r="H21128" t="s">
        <v>25253</v>
      </c>
    </row>
    <row r="21129" spans="8:8">
      <c r="H21129" t="s">
        <v>25254</v>
      </c>
    </row>
    <row r="21130" spans="8:8">
      <c r="H21130" t="s">
        <v>25255</v>
      </c>
    </row>
    <row r="21131" spans="8:8">
      <c r="H21131" t="s">
        <v>25256</v>
      </c>
    </row>
    <row r="21132" spans="8:8">
      <c r="H21132" t="s">
        <v>25257</v>
      </c>
    </row>
    <row r="21133" spans="8:8">
      <c r="H21133" t="s">
        <v>25258</v>
      </c>
    </row>
    <row r="21134" spans="8:8">
      <c r="H21134" t="s">
        <v>25259</v>
      </c>
    </row>
    <row r="21135" spans="8:8">
      <c r="H21135" t="s">
        <v>25260</v>
      </c>
    </row>
    <row r="21136" spans="8:8">
      <c r="H21136" t="s">
        <v>25261</v>
      </c>
    </row>
    <row r="21137" spans="8:8">
      <c r="H21137" t="s">
        <v>25262</v>
      </c>
    </row>
    <row r="21138" spans="8:8">
      <c r="H21138" t="s">
        <v>25263</v>
      </c>
    </row>
    <row r="21139" spans="8:8">
      <c r="H21139" t="s">
        <v>25264</v>
      </c>
    </row>
    <row r="21140" spans="8:8">
      <c r="H21140" t="s">
        <v>25265</v>
      </c>
    </row>
    <row r="21141" spans="8:8">
      <c r="H21141" t="s">
        <v>25266</v>
      </c>
    </row>
    <row r="21142" spans="8:8">
      <c r="H21142" t="s">
        <v>25267</v>
      </c>
    </row>
    <row r="21143" spans="8:8">
      <c r="H21143" t="s">
        <v>25268</v>
      </c>
    </row>
    <row r="21144" spans="8:8">
      <c r="H21144" t="s">
        <v>25269</v>
      </c>
    </row>
    <row r="21145" spans="8:8">
      <c r="H21145" t="s">
        <v>25270</v>
      </c>
    </row>
    <row r="21146" spans="8:8">
      <c r="H21146" t="s">
        <v>25271</v>
      </c>
    </row>
    <row r="21147" spans="8:8">
      <c r="H21147" t="s">
        <v>25272</v>
      </c>
    </row>
    <row r="21148" spans="8:8">
      <c r="H21148" t="s">
        <v>25273</v>
      </c>
    </row>
    <row r="21149" spans="8:8">
      <c r="H21149" t="s">
        <v>25274</v>
      </c>
    </row>
    <row r="21150" spans="8:8">
      <c r="H21150" t="s">
        <v>25275</v>
      </c>
    </row>
    <row r="21151" spans="8:8">
      <c r="H21151" t="s">
        <v>25276</v>
      </c>
    </row>
    <row r="21152" spans="8:8">
      <c r="H21152" t="s">
        <v>25277</v>
      </c>
    </row>
    <row r="21153" spans="8:8">
      <c r="H21153" t="s">
        <v>25278</v>
      </c>
    </row>
    <row r="21154" spans="8:8">
      <c r="H21154" t="s">
        <v>25279</v>
      </c>
    </row>
    <row r="21155" spans="8:8">
      <c r="H21155" t="s">
        <v>25280</v>
      </c>
    </row>
    <row r="21156" spans="8:8">
      <c r="H21156" t="s">
        <v>25281</v>
      </c>
    </row>
    <row r="21157" spans="8:8">
      <c r="H21157" t="s">
        <v>25282</v>
      </c>
    </row>
    <row r="21158" spans="8:8">
      <c r="H21158" t="s">
        <v>25283</v>
      </c>
    </row>
    <row r="21159" spans="8:8">
      <c r="H21159" t="s">
        <v>25284</v>
      </c>
    </row>
    <row r="21160" spans="8:8">
      <c r="H21160" t="s">
        <v>25285</v>
      </c>
    </row>
    <row r="21161" spans="8:8">
      <c r="H21161" t="s">
        <v>25286</v>
      </c>
    </row>
    <row r="21162" spans="8:8">
      <c r="H21162" t="s">
        <v>25287</v>
      </c>
    </row>
    <row r="21163" spans="8:8">
      <c r="H21163" t="s">
        <v>25288</v>
      </c>
    </row>
    <row r="21164" spans="8:8">
      <c r="H21164" t="s">
        <v>25289</v>
      </c>
    </row>
    <row r="21165" spans="8:8">
      <c r="H21165" t="s">
        <v>25290</v>
      </c>
    </row>
    <row r="21166" spans="8:8">
      <c r="H21166" t="s">
        <v>25291</v>
      </c>
    </row>
    <row r="21167" spans="8:8">
      <c r="H21167" t="s">
        <v>25292</v>
      </c>
    </row>
    <row r="21168" spans="8:8">
      <c r="H21168" t="s">
        <v>25293</v>
      </c>
    </row>
    <row r="21169" spans="8:8">
      <c r="H21169" t="s">
        <v>25294</v>
      </c>
    </row>
    <row r="21170" spans="8:8">
      <c r="H21170" t="s">
        <v>25295</v>
      </c>
    </row>
    <row r="21171" spans="8:8">
      <c r="H21171" t="s">
        <v>25296</v>
      </c>
    </row>
    <row r="21172" spans="8:8">
      <c r="H21172" t="s">
        <v>25297</v>
      </c>
    </row>
    <row r="21173" spans="8:8">
      <c r="H21173" t="s">
        <v>25298</v>
      </c>
    </row>
    <row r="21174" spans="8:8">
      <c r="H21174" t="s">
        <v>25299</v>
      </c>
    </row>
    <row r="21175" spans="8:8">
      <c r="H21175" t="s">
        <v>25300</v>
      </c>
    </row>
    <row r="21176" spans="8:8">
      <c r="H21176" t="s">
        <v>25301</v>
      </c>
    </row>
    <row r="21177" spans="8:8">
      <c r="H21177" t="s">
        <v>25302</v>
      </c>
    </row>
    <row r="21178" spans="8:8">
      <c r="H21178" t="s">
        <v>25303</v>
      </c>
    </row>
    <row r="21179" spans="8:8">
      <c r="H21179" t="s">
        <v>25304</v>
      </c>
    </row>
    <row r="21180" spans="8:8">
      <c r="H21180" t="s">
        <v>25305</v>
      </c>
    </row>
    <row r="21181" spans="8:8">
      <c r="H21181" t="s">
        <v>25306</v>
      </c>
    </row>
    <row r="21182" spans="8:8">
      <c r="H21182" t="s">
        <v>25307</v>
      </c>
    </row>
    <row r="21183" spans="8:8">
      <c r="H21183" t="s">
        <v>25308</v>
      </c>
    </row>
    <row r="21184" spans="8:8">
      <c r="H21184" t="s">
        <v>25309</v>
      </c>
    </row>
    <row r="21185" spans="8:8">
      <c r="H21185" t="s">
        <v>25310</v>
      </c>
    </row>
    <row r="21186" spans="8:8">
      <c r="H21186" t="s">
        <v>25311</v>
      </c>
    </row>
    <row r="21187" spans="8:8">
      <c r="H21187" t="s">
        <v>25312</v>
      </c>
    </row>
    <row r="21188" spans="8:8">
      <c r="H21188" t="s">
        <v>25313</v>
      </c>
    </row>
    <row r="21189" spans="8:8">
      <c r="H21189" t="s">
        <v>25314</v>
      </c>
    </row>
    <row r="21190" spans="8:8">
      <c r="H21190" t="s">
        <v>25315</v>
      </c>
    </row>
    <row r="21191" spans="8:8">
      <c r="H21191" t="s">
        <v>25316</v>
      </c>
    </row>
    <row r="21192" spans="8:8">
      <c r="H21192" t="s">
        <v>25317</v>
      </c>
    </row>
    <row r="21193" spans="8:8">
      <c r="H21193" t="s">
        <v>25318</v>
      </c>
    </row>
    <row r="21194" spans="8:8">
      <c r="H21194" t="s">
        <v>25319</v>
      </c>
    </row>
    <row r="21195" spans="8:8">
      <c r="H21195" t="s">
        <v>25320</v>
      </c>
    </row>
    <row r="21196" spans="8:8">
      <c r="H21196" t="s">
        <v>25321</v>
      </c>
    </row>
    <row r="21197" spans="8:8">
      <c r="H21197" t="s">
        <v>25322</v>
      </c>
    </row>
    <row r="21198" spans="8:8">
      <c r="H21198" t="s">
        <v>25323</v>
      </c>
    </row>
    <row r="21199" spans="8:8">
      <c r="H21199" t="s">
        <v>25324</v>
      </c>
    </row>
    <row r="21200" spans="8:8">
      <c r="H21200" t="s">
        <v>25325</v>
      </c>
    </row>
    <row r="21201" spans="8:8">
      <c r="H21201" t="s">
        <v>25326</v>
      </c>
    </row>
    <row r="21202" spans="8:8">
      <c r="H21202" t="s">
        <v>25327</v>
      </c>
    </row>
    <row r="21203" spans="8:8">
      <c r="H21203" t="s">
        <v>25328</v>
      </c>
    </row>
    <row r="21204" spans="8:8">
      <c r="H21204" t="s">
        <v>25329</v>
      </c>
    </row>
    <row r="21205" spans="8:8">
      <c r="H21205" t="s">
        <v>25330</v>
      </c>
    </row>
    <row r="21206" spans="8:8">
      <c r="H21206" t="s">
        <v>25331</v>
      </c>
    </row>
    <row r="21207" spans="8:8">
      <c r="H21207" t="s">
        <v>25332</v>
      </c>
    </row>
    <row r="21208" spans="8:8">
      <c r="H21208" t="s">
        <v>25333</v>
      </c>
    </row>
    <row r="21209" spans="8:8">
      <c r="H21209" t="s">
        <v>25334</v>
      </c>
    </row>
    <row r="21210" spans="8:8">
      <c r="H21210" t="s">
        <v>25335</v>
      </c>
    </row>
    <row r="21211" spans="8:8">
      <c r="H21211" t="s">
        <v>25336</v>
      </c>
    </row>
    <row r="21212" spans="8:8">
      <c r="H21212" t="s">
        <v>25337</v>
      </c>
    </row>
    <row r="21213" spans="8:8">
      <c r="H21213" t="s">
        <v>25338</v>
      </c>
    </row>
    <row r="21214" spans="8:8">
      <c r="H21214" t="s">
        <v>25339</v>
      </c>
    </row>
    <row r="21215" spans="8:8">
      <c r="H21215" t="s">
        <v>25340</v>
      </c>
    </row>
    <row r="21216" spans="8:8">
      <c r="H21216" t="s">
        <v>25341</v>
      </c>
    </row>
    <row r="21217" spans="8:8">
      <c r="H21217" t="s">
        <v>25342</v>
      </c>
    </row>
    <row r="21218" spans="8:8">
      <c r="H21218" t="s">
        <v>25343</v>
      </c>
    </row>
    <row r="21219" spans="8:8">
      <c r="H21219" t="s">
        <v>25344</v>
      </c>
    </row>
    <row r="21220" spans="8:8">
      <c r="H21220" t="s">
        <v>25345</v>
      </c>
    </row>
    <row r="21221" spans="8:8">
      <c r="H21221" t="s">
        <v>25346</v>
      </c>
    </row>
    <row r="21222" spans="8:8">
      <c r="H21222" t="s">
        <v>25347</v>
      </c>
    </row>
    <row r="21223" spans="8:8">
      <c r="H21223" t="s">
        <v>25348</v>
      </c>
    </row>
    <row r="21224" spans="8:8">
      <c r="H21224" t="s">
        <v>25349</v>
      </c>
    </row>
    <row r="21225" spans="8:8">
      <c r="H21225" t="s">
        <v>25350</v>
      </c>
    </row>
    <row r="21226" spans="8:8">
      <c r="H21226" t="s">
        <v>25351</v>
      </c>
    </row>
    <row r="21227" spans="8:8">
      <c r="H21227" t="s">
        <v>25352</v>
      </c>
    </row>
    <row r="21228" spans="8:8">
      <c r="H21228" t="s">
        <v>25353</v>
      </c>
    </row>
    <row r="21229" spans="8:8">
      <c r="H21229" t="s">
        <v>25354</v>
      </c>
    </row>
    <row r="21230" spans="8:8">
      <c r="H21230" t="s">
        <v>25355</v>
      </c>
    </row>
    <row r="21231" spans="8:8">
      <c r="H21231" t="s">
        <v>25356</v>
      </c>
    </row>
    <row r="21232" spans="8:8">
      <c r="H21232" t="s">
        <v>25357</v>
      </c>
    </row>
    <row r="21233" spans="8:8">
      <c r="H21233" t="s">
        <v>25358</v>
      </c>
    </row>
    <row r="21234" spans="8:8">
      <c r="H21234" t="s">
        <v>25359</v>
      </c>
    </row>
    <row r="21235" spans="8:8">
      <c r="H21235" t="s">
        <v>25360</v>
      </c>
    </row>
    <row r="21236" spans="8:8">
      <c r="H21236" t="s">
        <v>25361</v>
      </c>
    </row>
    <row r="21237" spans="8:8">
      <c r="H21237" t="s">
        <v>25362</v>
      </c>
    </row>
    <row r="21238" spans="8:8">
      <c r="H21238" t="s">
        <v>25363</v>
      </c>
    </row>
    <row r="21239" spans="8:8">
      <c r="H21239" t="s">
        <v>25364</v>
      </c>
    </row>
    <row r="21240" spans="8:8">
      <c r="H21240" t="s">
        <v>25365</v>
      </c>
    </row>
    <row r="21241" spans="8:8">
      <c r="H21241" t="s">
        <v>25366</v>
      </c>
    </row>
    <row r="21242" spans="8:8">
      <c r="H21242" t="s">
        <v>25367</v>
      </c>
    </row>
    <row r="21243" spans="8:8">
      <c r="H21243" t="s">
        <v>25368</v>
      </c>
    </row>
    <row r="21244" spans="8:8">
      <c r="H21244" t="s">
        <v>25369</v>
      </c>
    </row>
    <row r="21245" spans="8:8">
      <c r="H21245" t="s">
        <v>25370</v>
      </c>
    </row>
    <row r="21246" spans="8:8">
      <c r="H21246" t="s">
        <v>25371</v>
      </c>
    </row>
    <row r="21247" spans="8:8">
      <c r="H21247" t="s">
        <v>25372</v>
      </c>
    </row>
    <row r="21248" spans="8:8">
      <c r="H21248" t="s">
        <v>25373</v>
      </c>
    </row>
    <row r="21249" spans="8:8">
      <c r="H21249" t="s">
        <v>25374</v>
      </c>
    </row>
    <row r="21250" spans="8:8">
      <c r="H21250" t="s">
        <v>25375</v>
      </c>
    </row>
    <row r="21251" spans="8:8">
      <c r="H21251" t="s">
        <v>25376</v>
      </c>
    </row>
    <row r="21252" spans="8:8">
      <c r="H21252" t="s">
        <v>25377</v>
      </c>
    </row>
    <row r="21253" spans="8:8">
      <c r="H21253" t="s">
        <v>25378</v>
      </c>
    </row>
    <row r="21254" spans="8:8">
      <c r="H21254" t="s">
        <v>25379</v>
      </c>
    </row>
    <row r="21255" spans="8:8">
      <c r="H21255" t="s">
        <v>25380</v>
      </c>
    </row>
    <row r="21256" spans="8:8">
      <c r="H21256" t="s">
        <v>25381</v>
      </c>
    </row>
    <row r="21257" spans="8:8">
      <c r="H21257" t="s">
        <v>25382</v>
      </c>
    </row>
    <row r="21258" spans="8:8">
      <c r="H21258" t="s">
        <v>25383</v>
      </c>
    </row>
    <row r="21259" spans="8:8">
      <c r="H21259" t="s">
        <v>25384</v>
      </c>
    </row>
    <row r="21260" spans="8:8">
      <c r="H21260" t="s">
        <v>25385</v>
      </c>
    </row>
    <row r="21261" spans="8:8">
      <c r="H21261" t="s">
        <v>25386</v>
      </c>
    </row>
    <row r="21262" spans="8:8">
      <c r="H21262" t="s">
        <v>25387</v>
      </c>
    </row>
    <row r="21263" spans="8:8">
      <c r="H21263" t="s">
        <v>25388</v>
      </c>
    </row>
    <row r="21264" spans="8:8">
      <c r="H21264" t="s">
        <v>25389</v>
      </c>
    </row>
    <row r="21265" spans="8:8">
      <c r="H21265" t="s">
        <v>25390</v>
      </c>
    </row>
    <row r="21266" spans="8:8">
      <c r="H21266" t="s">
        <v>25391</v>
      </c>
    </row>
    <row r="21267" spans="8:8">
      <c r="H21267" t="s">
        <v>25392</v>
      </c>
    </row>
    <row r="21268" spans="8:8">
      <c r="H21268" t="s">
        <v>25393</v>
      </c>
    </row>
    <row r="21269" spans="8:8">
      <c r="H21269" t="s">
        <v>25394</v>
      </c>
    </row>
    <row r="21270" spans="8:8">
      <c r="H21270" t="s">
        <v>25395</v>
      </c>
    </row>
    <row r="21271" spans="8:8">
      <c r="H21271" t="s">
        <v>25396</v>
      </c>
    </row>
    <row r="21272" spans="8:8">
      <c r="H21272" t="s">
        <v>25397</v>
      </c>
    </row>
    <row r="21273" spans="8:8">
      <c r="H21273" t="s">
        <v>25398</v>
      </c>
    </row>
    <row r="21274" spans="8:8">
      <c r="H21274" t="s">
        <v>25399</v>
      </c>
    </row>
    <row r="21275" spans="8:8">
      <c r="H21275" t="s">
        <v>25400</v>
      </c>
    </row>
    <row r="21276" spans="8:8">
      <c r="H21276" t="s">
        <v>25401</v>
      </c>
    </row>
    <row r="21277" spans="8:8">
      <c r="H21277" t="s">
        <v>25402</v>
      </c>
    </row>
    <row r="21278" spans="8:8">
      <c r="H21278" t="s">
        <v>25403</v>
      </c>
    </row>
    <row r="21279" spans="8:8">
      <c r="H21279" t="s">
        <v>25404</v>
      </c>
    </row>
    <row r="21280" spans="8:8">
      <c r="H21280" t="s">
        <v>25405</v>
      </c>
    </row>
    <row r="21281" spans="8:8">
      <c r="H21281" t="s">
        <v>25406</v>
      </c>
    </row>
    <row r="21282" spans="8:8">
      <c r="H21282" t="s">
        <v>25407</v>
      </c>
    </row>
    <row r="21283" spans="8:8">
      <c r="H21283" t="s">
        <v>25408</v>
      </c>
    </row>
    <row r="21284" spans="8:8">
      <c r="H21284" t="s">
        <v>25409</v>
      </c>
    </row>
    <row r="21285" spans="8:8">
      <c r="H21285" t="s">
        <v>25410</v>
      </c>
    </row>
    <row r="21286" spans="8:8">
      <c r="H21286" t="s">
        <v>25411</v>
      </c>
    </row>
    <row r="21287" spans="8:8">
      <c r="H21287" t="s">
        <v>25412</v>
      </c>
    </row>
    <row r="21288" spans="8:8">
      <c r="H21288" t="s">
        <v>25413</v>
      </c>
    </row>
    <row r="21289" spans="8:8">
      <c r="H21289" t="s">
        <v>25414</v>
      </c>
    </row>
    <row r="21290" spans="8:8">
      <c r="H21290" t="s">
        <v>25415</v>
      </c>
    </row>
    <row r="21291" spans="8:8">
      <c r="H21291" t="s">
        <v>25416</v>
      </c>
    </row>
    <row r="21292" spans="8:8">
      <c r="H21292" t="s">
        <v>25417</v>
      </c>
    </row>
    <row r="21293" spans="8:8">
      <c r="H21293" t="s">
        <v>25418</v>
      </c>
    </row>
    <row r="21294" spans="8:8">
      <c r="H21294" t="s">
        <v>25419</v>
      </c>
    </row>
    <row r="21295" spans="8:8">
      <c r="H21295" t="s">
        <v>25420</v>
      </c>
    </row>
    <row r="21296" spans="8:8">
      <c r="H21296" t="s">
        <v>25421</v>
      </c>
    </row>
    <row r="21297" spans="8:8">
      <c r="H21297" t="s">
        <v>25422</v>
      </c>
    </row>
    <row r="21298" spans="8:8">
      <c r="H21298" t="s">
        <v>25423</v>
      </c>
    </row>
    <row r="21299" spans="8:8">
      <c r="H21299" t="s">
        <v>25424</v>
      </c>
    </row>
    <row r="21300" spans="8:8">
      <c r="H21300" t="s">
        <v>25425</v>
      </c>
    </row>
    <row r="21301" spans="8:8">
      <c r="H21301" t="s">
        <v>25426</v>
      </c>
    </row>
    <row r="21302" spans="8:8">
      <c r="H21302" t="s">
        <v>25427</v>
      </c>
    </row>
    <row r="21303" spans="8:8">
      <c r="H21303" t="s">
        <v>25428</v>
      </c>
    </row>
    <row r="21304" spans="8:8">
      <c r="H21304" t="s">
        <v>25429</v>
      </c>
    </row>
    <row r="21305" spans="8:8">
      <c r="H21305" t="s">
        <v>25430</v>
      </c>
    </row>
    <row r="21306" spans="8:8">
      <c r="H21306" t="s">
        <v>25431</v>
      </c>
    </row>
    <row r="21307" spans="8:8">
      <c r="H21307" t="s">
        <v>25432</v>
      </c>
    </row>
    <row r="21308" spans="8:8">
      <c r="H21308" t="s">
        <v>25433</v>
      </c>
    </row>
    <row r="21309" spans="8:8">
      <c r="H21309" t="s">
        <v>25434</v>
      </c>
    </row>
    <row r="21310" spans="8:8">
      <c r="H21310" t="s">
        <v>25435</v>
      </c>
    </row>
    <row r="21311" spans="8:8">
      <c r="H21311" t="s">
        <v>25436</v>
      </c>
    </row>
    <row r="21312" spans="8:8">
      <c r="H21312" t="s">
        <v>25437</v>
      </c>
    </row>
    <row r="21313" spans="8:8">
      <c r="H21313" t="s">
        <v>25438</v>
      </c>
    </row>
    <row r="21314" spans="8:8">
      <c r="H21314" t="s">
        <v>25439</v>
      </c>
    </row>
    <row r="21315" spans="8:8">
      <c r="H21315" t="s">
        <v>25440</v>
      </c>
    </row>
    <row r="21316" spans="8:8">
      <c r="H21316" t="s">
        <v>25441</v>
      </c>
    </row>
    <row r="21317" spans="8:8">
      <c r="H21317" t="s">
        <v>25442</v>
      </c>
    </row>
    <row r="21318" spans="8:8">
      <c r="H21318" t="s">
        <v>25443</v>
      </c>
    </row>
    <row r="21319" spans="8:8">
      <c r="H21319" t="s">
        <v>25444</v>
      </c>
    </row>
    <row r="21320" spans="8:8">
      <c r="H21320" t="s">
        <v>25445</v>
      </c>
    </row>
    <row r="21321" spans="8:8">
      <c r="H21321" t="s">
        <v>25446</v>
      </c>
    </row>
    <row r="21322" spans="8:8">
      <c r="H21322" t="s">
        <v>25447</v>
      </c>
    </row>
    <row r="21323" spans="8:8">
      <c r="H21323" t="s">
        <v>25448</v>
      </c>
    </row>
    <row r="21324" spans="8:8">
      <c r="H21324" t="s">
        <v>25449</v>
      </c>
    </row>
    <row r="21325" spans="8:8">
      <c r="H21325" t="s">
        <v>25450</v>
      </c>
    </row>
    <row r="21326" spans="8:8">
      <c r="H21326" t="s">
        <v>25451</v>
      </c>
    </row>
    <row r="21327" spans="8:8">
      <c r="H21327" t="s">
        <v>25452</v>
      </c>
    </row>
    <row r="21328" spans="8:8">
      <c r="H21328" t="s">
        <v>25453</v>
      </c>
    </row>
    <row r="21329" spans="1:8">
      <c r="H21329" t="s">
        <v>25454</v>
      </c>
    </row>
    <row r="21330" spans="1:8">
      <c r="H21330" t="s">
        <v>25455</v>
      </c>
    </row>
    <row r="21331" spans="1:8">
      <c r="H21331" t="s">
        <v>25456</v>
      </c>
    </row>
    <row r="21332" spans="1:8">
      <c r="H21332" t="s">
        <v>25457</v>
      </c>
    </row>
    <row r="21333" spans="1:8">
      <c r="H21333" t="s">
        <v>25458</v>
      </c>
    </row>
    <row r="21334" spans="1:8">
      <c r="H21334" t="s">
        <v>25459</v>
      </c>
    </row>
    <row r="21335" spans="1:8">
      <c r="H21335" t="s">
        <v>25460</v>
      </c>
    </row>
    <row r="21336" spans="1:8">
      <c r="H21336" t="s">
        <v>25461</v>
      </c>
    </row>
    <row r="21337" spans="1:8">
      <c r="A21337" t="s">
        <v>752</v>
      </c>
      <c r="B21337">
        <f>HYPERLINK("https://android.googlesource.com/platform/cts/+/cba454795e4c233d82b7aec02b96bc259d0de86f", "cba454795e4c233d82b7aec02b96bc259d0de86f")</f>
        <v>0</v>
      </c>
      <c r="C21337">
        <f>HYPERLINK("https://android.googlesource.com/platform/cts/+/66f2eb8da0252e2a18ae78b405ee99c1b6fc1f45", "66f2eb8da0252e2a18ae78b405ee99c1b6fc1f45")</f>
        <v>0</v>
      </c>
      <c r="D21337" t="s">
        <v>5082</v>
      </c>
      <c r="E21337" t="s">
        <v>6535</v>
      </c>
      <c r="F21337" t="s">
        <v>12608</v>
      </c>
      <c r="G21337" t="s">
        <v>16820</v>
      </c>
      <c r="H21337" t="s">
        <v>25462</v>
      </c>
    </row>
    <row r="21338" spans="1:8">
      <c r="H21338" t="s">
        <v>25463</v>
      </c>
    </row>
    <row r="21339" spans="1:8">
      <c r="H21339" t="s">
        <v>25464</v>
      </c>
    </row>
    <row r="21340" spans="1:8">
      <c r="H21340" t="s">
        <v>25465</v>
      </c>
    </row>
    <row r="21341" spans="1:8">
      <c r="A21341" t="s">
        <v>753</v>
      </c>
      <c r="B21341">
        <f>HYPERLINK("https://android.googlesource.com/platform/cts/+/91611e14f0e94c819be7490997c2ee15da62b609", "91611e14f0e94c819be7490997c2ee15da62b609")</f>
        <v>0</v>
      </c>
      <c r="C21341">
        <f>HYPERLINK("https://android.googlesource.com/platform/cts/+/6f810d464adad59709687428546b53a7784b92ec", "6f810d464adad59709687428546b53a7784b92ec")</f>
        <v>0</v>
      </c>
      <c r="D21341" t="s">
        <v>5083</v>
      </c>
      <c r="E21341" t="s">
        <v>6536</v>
      </c>
      <c r="F21341" t="s">
        <v>12419</v>
      </c>
      <c r="G21341" t="s">
        <v>16641</v>
      </c>
      <c r="H21341" t="s">
        <v>25466</v>
      </c>
    </row>
    <row r="21342" spans="1:8">
      <c r="A21342" t="s">
        <v>754</v>
      </c>
      <c r="B21342">
        <f>HYPERLINK("https://android.googlesource.com/platform/cts/+/eb92bb2fdf14b51e08057f2f26bce601dfe88326", "eb92bb2fdf14b51e08057f2f26bce601dfe88326")</f>
        <v>0</v>
      </c>
      <c r="C21342">
        <f>HYPERLINK("https://android.googlesource.com/platform/cts/+/d8f754a0bf23a8e58e14b58b93e753cfe7e2de97", "d8f754a0bf23a8e58e14b58b93e753cfe7e2de97")</f>
        <v>0</v>
      </c>
      <c r="D21342" t="s">
        <v>5084</v>
      </c>
      <c r="E21342" t="s">
        <v>6537</v>
      </c>
      <c r="F21342" t="s">
        <v>12368</v>
      </c>
      <c r="G21342" t="s">
        <v>16595</v>
      </c>
      <c r="H21342" t="s">
        <v>25467</v>
      </c>
    </row>
    <row r="21343" spans="1:8">
      <c r="A21343" t="s">
        <v>755</v>
      </c>
      <c r="B21343">
        <f>HYPERLINK("https://android.googlesource.com/platform/cts/+/c489ac1ff6818cb1078d0178b812712ed5020afe", "c489ac1ff6818cb1078d0178b812712ed5020afe")</f>
        <v>0</v>
      </c>
      <c r="C21343">
        <f>HYPERLINK("https://android.googlesource.com/platform/cts/+/515ad7f7ab52ff3740670783aec30156ad2f0b31", "515ad7f7ab52ff3740670783aec30156ad2f0b31")</f>
        <v>0</v>
      </c>
      <c r="D21343" t="s">
        <v>5084</v>
      </c>
      <c r="E21343" t="s">
        <v>6538</v>
      </c>
      <c r="F21343" t="s">
        <v>12609</v>
      </c>
      <c r="G21343" t="s">
        <v>16554</v>
      </c>
      <c r="H21343" t="s">
        <v>25468</v>
      </c>
    </row>
    <row r="21344" spans="1:8">
      <c r="A21344" t="s">
        <v>756</v>
      </c>
      <c r="B21344">
        <f>HYPERLINK("https://android.googlesource.com/platform/cts/+/b75fb1a671e8da16d620fa628b7f7a4361524a1c", "b75fb1a671e8da16d620fa628b7f7a4361524a1c")</f>
        <v>0</v>
      </c>
      <c r="C21344">
        <f>HYPERLINK("https://android.googlesource.com/platform/cts/+/efba26263e9af226a929f1ca6e82994061149d2f", "efba26263e9af226a929f1ca6e82994061149d2f")</f>
        <v>0</v>
      </c>
      <c r="D21344" t="s">
        <v>5028</v>
      </c>
      <c r="E21344" t="s">
        <v>6539</v>
      </c>
      <c r="F21344" t="s">
        <v>12312</v>
      </c>
      <c r="G21344" t="s">
        <v>16543</v>
      </c>
      <c r="H21344" t="s">
        <v>25469</v>
      </c>
    </row>
    <row r="21345" spans="1:8">
      <c r="A21345" t="s">
        <v>757</v>
      </c>
      <c r="B21345">
        <f>HYPERLINK("https://android.googlesource.com/platform/cts/+/0e380fe74ca77952ed922f5f2e47e499378a4507", "0e380fe74ca77952ed922f5f2e47e499378a4507")</f>
        <v>0</v>
      </c>
      <c r="C21345">
        <f>HYPERLINK("https://android.googlesource.com/platform/cts/+/71a8a6d73a8132d33fab9824a3c7bae954ede4ec", "71a8a6d73a8132d33fab9824a3c7bae954ede4ec")</f>
        <v>0</v>
      </c>
      <c r="D21345" t="s">
        <v>5027</v>
      </c>
      <c r="E21345" t="s">
        <v>6540</v>
      </c>
      <c r="F21345" t="s">
        <v>12610</v>
      </c>
      <c r="G21345" t="s">
        <v>16821</v>
      </c>
      <c r="H21345" t="s">
        <v>25470</v>
      </c>
    </row>
    <row r="21346" spans="1:8">
      <c r="A21346" t="s">
        <v>758</v>
      </c>
      <c r="B21346">
        <f>HYPERLINK("https://android.googlesource.com/platform/cts/+/c2c580f3b45fe2cfb63d698941ac5870176f0ce7", "c2c580f3b45fe2cfb63d698941ac5870176f0ce7")</f>
        <v>0</v>
      </c>
      <c r="C21346">
        <f>HYPERLINK("https://android.googlesource.com/platform/cts/+/f3e13db68b92e0f551c87b1e7a753e301141aa20", "f3e13db68b92e0f551c87b1e7a753e301141aa20")</f>
        <v>0</v>
      </c>
      <c r="D21346" t="s">
        <v>5085</v>
      </c>
      <c r="E21346" t="s">
        <v>6541</v>
      </c>
      <c r="F21346" t="s">
        <v>12608</v>
      </c>
      <c r="G21346" t="s">
        <v>16820</v>
      </c>
      <c r="H21346" t="s">
        <v>25471</v>
      </c>
    </row>
    <row r="21347" spans="1:8">
      <c r="A21347" t="s">
        <v>759</v>
      </c>
      <c r="B21347">
        <f>HYPERLINK("https://android.googlesource.com/platform/cts/+/4cdc5be3ab10d195e640c59add4bfbb6fd292f9a", "4cdc5be3ab10d195e640c59add4bfbb6fd292f9a")</f>
        <v>0</v>
      </c>
      <c r="C21347">
        <f>HYPERLINK("https://android.googlesource.com/platform/cts/+/38bdf246551608dbe9b9cdd0c36f3af0370b502b", "38bdf246551608dbe9b9cdd0c36f3af0370b502b")</f>
        <v>0</v>
      </c>
      <c r="D21347" t="s">
        <v>5073</v>
      </c>
      <c r="E21347" t="s">
        <v>6542</v>
      </c>
      <c r="F21347" t="s">
        <v>12611</v>
      </c>
      <c r="G21347" t="s">
        <v>16822</v>
      </c>
      <c r="H21347" t="s">
        <v>25472</v>
      </c>
    </row>
    <row r="21348" spans="1:8">
      <c r="A21348" t="s">
        <v>760</v>
      </c>
      <c r="B21348">
        <f>HYPERLINK("https://android.googlesource.com/platform/cts/+/5b52e8466acbf5977ae9c40c8524bcd17047f984", "5b52e8466acbf5977ae9c40c8524bcd17047f984")</f>
        <v>0</v>
      </c>
      <c r="C21348">
        <f>HYPERLINK("https://android.googlesource.com/platform/cts/+/2250bec8042813b6336ae1507e1fad9dc606baa3", "2250bec8042813b6336ae1507e1fad9dc606baa3")</f>
        <v>0</v>
      </c>
      <c r="D21348" t="s">
        <v>5073</v>
      </c>
      <c r="E21348" t="s">
        <v>6542</v>
      </c>
      <c r="F21348" t="s">
        <v>12611</v>
      </c>
      <c r="G21348" t="s">
        <v>16822</v>
      </c>
      <c r="H21348" t="s">
        <v>25472</v>
      </c>
    </row>
    <row r="21349" spans="1:8">
      <c r="A21349" t="s">
        <v>761</v>
      </c>
      <c r="B21349">
        <f>HYPERLINK("https://android.googlesource.com/platform/cts/+/1b210a331cb9602e6be6b94c8e24dd474de2b564", "1b210a331cb9602e6be6b94c8e24dd474de2b564")</f>
        <v>0</v>
      </c>
      <c r="C21349">
        <f>HYPERLINK("https://android.googlesource.com/platform/cts/+/b8ae56db34b60a8a94ab7bee316be9a16181f830", "b8ae56db34b60a8a94ab7bee316be9a16181f830")</f>
        <v>0</v>
      </c>
      <c r="D21349" t="s">
        <v>5086</v>
      </c>
      <c r="E21349" t="s">
        <v>6543</v>
      </c>
      <c r="F21349" t="s">
        <v>12612</v>
      </c>
      <c r="G21349" t="s">
        <v>16823</v>
      </c>
      <c r="H21349" t="s">
        <v>25473</v>
      </c>
    </row>
    <row r="21350" spans="1:8">
      <c r="H21350" t="s">
        <v>25474</v>
      </c>
    </row>
    <row r="21351" spans="1:8">
      <c r="A21351" t="s">
        <v>762</v>
      </c>
      <c r="B21351">
        <f>HYPERLINK("https://android.googlesource.com/platform/cts/+/db3fca79716980fd615bba2619cfd5dd3b6267ef", "db3fca79716980fd615bba2619cfd5dd3b6267ef")</f>
        <v>0</v>
      </c>
      <c r="C21351">
        <f>HYPERLINK("https://android.googlesource.com/platform/cts/+/0bf361fb27fc216b05fa285a8e1d1b9e7551b08e", "0bf361fb27fc216b05fa285a8e1d1b9e7551b08e")</f>
        <v>0</v>
      </c>
      <c r="D21351" t="s">
        <v>5087</v>
      </c>
      <c r="E21351" t="s">
        <v>6544</v>
      </c>
      <c r="F21351" t="s">
        <v>12613</v>
      </c>
      <c r="G21351" t="s">
        <v>16824</v>
      </c>
      <c r="H21351" t="s">
        <v>19019</v>
      </c>
    </row>
    <row r="21352" spans="1:8">
      <c r="H21352" t="s">
        <v>25475</v>
      </c>
    </row>
    <row r="21353" spans="1:8">
      <c r="A21353" t="s">
        <v>763</v>
      </c>
      <c r="B21353">
        <f>HYPERLINK("https://android.googlesource.com/platform/cts/+/76f0d6d67fa01d4d0355fdab09429f7363c95c88", "76f0d6d67fa01d4d0355fdab09429f7363c95c88")</f>
        <v>0</v>
      </c>
      <c r="C21353">
        <f>HYPERLINK("https://android.googlesource.com/platform/cts/+/f1210482f999d58dc442d8d0717b3dfee4fcd386", "f1210482f999d58dc442d8d0717b3dfee4fcd386")</f>
        <v>0</v>
      </c>
      <c r="D21353" t="s">
        <v>5002</v>
      </c>
      <c r="E21353" t="s">
        <v>6545</v>
      </c>
      <c r="F21353" t="s">
        <v>12614</v>
      </c>
      <c r="G21353" t="s">
        <v>16825</v>
      </c>
      <c r="H21353" t="s">
        <v>25476</v>
      </c>
    </row>
    <row r="21354" spans="1:8">
      <c r="F21354" t="s">
        <v>12615</v>
      </c>
      <c r="G21354" t="s">
        <v>16826</v>
      </c>
      <c r="H21354" t="s">
        <v>25477</v>
      </c>
    </row>
    <row r="21355" spans="1:8">
      <c r="A21355" t="s">
        <v>764</v>
      </c>
      <c r="B21355">
        <f>HYPERLINK("https://android.googlesource.com/platform/cts/+/7542792ad70438fe0d518f55f6a69120d7c97aee", "7542792ad70438fe0d518f55f6a69120d7c97aee")</f>
        <v>0</v>
      </c>
      <c r="C21355">
        <f>HYPERLINK("https://android.googlesource.com/platform/cts/+/5ac9f6cd4fc3210b32c05ad32d7f28665a90c674", "5ac9f6cd4fc3210b32c05ad32d7f28665a90c674")</f>
        <v>0</v>
      </c>
      <c r="D21355" t="s">
        <v>5088</v>
      </c>
      <c r="E21355" t="s">
        <v>6546</v>
      </c>
      <c r="F21355" t="s">
        <v>12187</v>
      </c>
      <c r="G21355" t="s">
        <v>16426</v>
      </c>
      <c r="H21355" t="s">
        <v>22609</v>
      </c>
    </row>
    <row r="21356" spans="1:8">
      <c r="H21356" t="s">
        <v>21227</v>
      </c>
    </row>
    <row r="21357" spans="1:8">
      <c r="H21357" t="s">
        <v>22610</v>
      </c>
    </row>
    <row r="21358" spans="1:8">
      <c r="H21358" t="s">
        <v>21228</v>
      </c>
    </row>
    <row r="21359" spans="1:8">
      <c r="H21359" t="s">
        <v>22611</v>
      </c>
    </row>
    <row r="21360" spans="1:8">
      <c r="H21360" t="s">
        <v>22612</v>
      </c>
    </row>
    <row r="21361" spans="6:8">
      <c r="H21361" t="s">
        <v>22613</v>
      </c>
    </row>
    <row r="21362" spans="6:8">
      <c r="H21362" t="s">
        <v>25478</v>
      </c>
    </row>
    <row r="21363" spans="6:8">
      <c r="H21363" t="s">
        <v>21226</v>
      </c>
    </row>
    <row r="21364" spans="6:8">
      <c r="H21364" t="s">
        <v>21227</v>
      </c>
    </row>
    <row r="21365" spans="6:8">
      <c r="H21365" t="s">
        <v>21228</v>
      </c>
    </row>
    <row r="21366" spans="6:8">
      <c r="F21366" t="s">
        <v>12381</v>
      </c>
      <c r="G21366" t="s">
        <v>16607</v>
      </c>
      <c r="H21366" t="s">
        <v>22667</v>
      </c>
    </row>
    <row r="21367" spans="6:8">
      <c r="H21367" t="s">
        <v>22467</v>
      </c>
    </row>
    <row r="21368" spans="6:8">
      <c r="F21368" t="s">
        <v>12322</v>
      </c>
      <c r="G21368" t="s">
        <v>16552</v>
      </c>
      <c r="H21368" t="s">
        <v>22063</v>
      </c>
    </row>
    <row r="21369" spans="6:8">
      <c r="H21369" t="s">
        <v>22063</v>
      </c>
    </row>
    <row r="21370" spans="6:8">
      <c r="H21370" t="s">
        <v>22614</v>
      </c>
    </row>
    <row r="21371" spans="6:8">
      <c r="H21371" t="s">
        <v>22615</v>
      </c>
    </row>
    <row r="21372" spans="6:8">
      <c r="H21372" t="s">
        <v>22616</v>
      </c>
    </row>
    <row r="21373" spans="6:8">
      <c r="H21373" t="s">
        <v>22617</v>
      </c>
    </row>
    <row r="21374" spans="6:8">
      <c r="H21374" t="s">
        <v>22617</v>
      </c>
    </row>
    <row r="21375" spans="6:8">
      <c r="H21375" t="s">
        <v>22618</v>
      </c>
    </row>
    <row r="21376" spans="6:8">
      <c r="F21376" t="s">
        <v>12401</v>
      </c>
      <c r="G21376" t="s">
        <v>16623</v>
      </c>
      <c r="H21376" t="s">
        <v>22619</v>
      </c>
    </row>
    <row r="21377" spans="1:8">
      <c r="H21377" t="s">
        <v>22620</v>
      </c>
    </row>
    <row r="21378" spans="1:8">
      <c r="H21378" t="s">
        <v>22621</v>
      </c>
    </row>
    <row r="21379" spans="1:8">
      <c r="F21379" t="s">
        <v>12377</v>
      </c>
      <c r="G21379" t="s">
        <v>16604</v>
      </c>
      <c r="H21379" t="s">
        <v>22620</v>
      </c>
    </row>
    <row r="21380" spans="1:8">
      <c r="H21380" t="s">
        <v>22621</v>
      </c>
    </row>
    <row r="21381" spans="1:8">
      <c r="A21381" t="s">
        <v>765</v>
      </c>
      <c r="B21381">
        <f>HYPERLINK("https://android.googlesource.com/platform/cts/+/0c8aadfc3a80e2df2a4b7f1c32e52ee5d4cb3441", "0c8aadfc3a80e2df2a4b7f1c32e52ee5d4cb3441")</f>
        <v>0</v>
      </c>
      <c r="C21381">
        <f>HYPERLINK("https://android.googlesource.com/platform/cts/+/5f2f1a16fd7d7dfd5dbe23792ecb52775ae78e3f", "5f2f1a16fd7d7dfd5dbe23792ecb52775ae78e3f")</f>
        <v>0</v>
      </c>
      <c r="D21381" t="s">
        <v>5088</v>
      </c>
      <c r="E21381" t="s">
        <v>6547</v>
      </c>
      <c r="F21381" t="s">
        <v>12187</v>
      </c>
      <c r="G21381" t="s">
        <v>16426</v>
      </c>
      <c r="H21381" t="s">
        <v>25478</v>
      </c>
    </row>
    <row r="21382" spans="1:8">
      <c r="A21382" t="s">
        <v>766</v>
      </c>
      <c r="B21382">
        <f>HYPERLINK("https://android.googlesource.com/platform/cts/+/547d09cf0b2f1497596de0399a795004c57192cc", "547d09cf0b2f1497596de0399a795004c57192cc")</f>
        <v>0</v>
      </c>
      <c r="C21382">
        <f>HYPERLINK("https://android.googlesource.com/platform/cts/+/170a77d4f0ea812abe92f8c0741c370b84af068b", "170a77d4f0ea812abe92f8c0741c370b84af068b")</f>
        <v>0</v>
      </c>
      <c r="D21382" t="s">
        <v>5088</v>
      </c>
      <c r="E21382" t="s">
        <v>6548</v>
      </c>
      <c r="F21382" t="s">
        <v>12187</v>
      </c>
      <c r="G21382" t="s">
        <v>16426</v>
      </c>
      <c r="H21382" t="s">
        <v>25478</v>
      </c>
    </row>
    <row r="21383" spans="1:8">
      <c r="A21383" t="s">
        <v>767</v>
      </c>
      <c r="B21383">
        <f>HYPERLINK("https://android.googlesource.com/platform/cts/+/09733d96396e748c213c02b379417c1a3eb7d45c", "09733d96396e748c213c02b379417c1a3eb7d45c")</f>
        <v>0</v>
      </c>
      <c r="C21383">
        <f>HYPERLINK("https://android.googlesource.com/platform/cts/+/53dc715ef23ffbeb4a9d116c58035ab862e22600", "53dc715ef23ffbeb4a9d116c58035ab862e22600")</f>
        <v>0</v>
      </c>
      <c r="D21383" t="s">
        <v>5078</v>
      </c>
      <c r="E21383" t="s">
        <v>6549</v>
      </c>
      <c r="F21383" t="s">
        <v>12323</v>
      </c>
      <c r="G21383" t="s">
        <v>16553</v>
      </c>
      <c r="H21383" t="s">
        <v>25479</v>
      </c>
    </row>
    <row r="21384" spans="1:8">
      <c r="H21384" t="s">
        <v>25480</v>
      </c>
    </row>
    <row r="21385" spans="1:8">
      <c r="H21385" t="s">
        <v>25481</v>
      </c>
    </row>
    <row r="21386" spans="1:8">
      <c r="H21386" t="s">
        <v>25482</v>
      </c>
    </row>
    <row r="21387" spans="1:8">
      <c r="H21387" t="s">
        <v>25483</v>
      </c>
    </row>
    <row r="21388" spans="1:8">
      <c r="H21388" t="s">
        <v>25484</v>
      </c>
    </row>
    <row r="21389" spans="1:8">
      <c r="H21389" t="s">
        <v>25485</v>
      </c>
    </row>
    <row r="21390" spans="1:8">
      <c r="H21390" t="s">
        <v>25486</v>
      </c>
    </row>
    <row r="21391" spans="1:8">
      <c r="A21391" t="s">
        <v>768</v>
      </c>
      <c r="B21391">
        <f>HYPERLINK("https://android.googlesource.com/platform/cts/+/fbdb8cba50e12f2c4a55ddde3dfb77262233b28d", "fbdb8cba50e12f2c4a55ddde3dfb77262233b28d")</f>
        <v>0</v>
      </c>
      <c r="C21391">
        <f>HYPERLINK("https://android.googlesource.com/platform/cts/+/3364cf1e0a6beaf89067a654ffc3745af31c6acd", "3364cf1e0a6beaf89067a654ffc3745af31c6acd")</f>
        <v>0</v>
      </c>
      <c r="D21391" t="s">
        <v>5026</v>
      </c>
      <c r="E21391" t="s">
        <v>6550</v>
      </c>
      <c r="F21391" t="s">
        <v>12616</v>
      </c>
      <c r="G21391" t="s">
        <v>16827</v>
      </c>
      <c r="H21391" t="s">
        <v>25487</v>
      </c>
    </row>
    <row r="21392" spans="1:8">
      <c r="H21392" t="s">
        <v>25488</v>
      </c>
    </row>
    <row r="21393" spans="1:8">
      <c r="H21393" t="s">
        <v>25489</v>
      </c>
    </row>
    <row r="21394" spans="1:8">
      <c r="H21394" t="s">
        <v>25490</v>
      </c>
    </row>
    <row r="21395" spans="1:8">
      <c r="H21395" t="s">
        <v>25491</v>
      </c>
    </row>
    <row r="21396" spans="1:8">
      <c r="H21396" t="s">
        <v>25492</v>
      </c>
    </row>
    <row r="21397" spans="1:8">
      <c r="A21397" t="s">
        <v>769</v>
      </c>
      <c r="B21397">
        <f>HYPERLINK("https://android.googlesource.com/platform/cts/+/e9c7d2e58715dc315afae4328683cde601b68639", "e9c7d2e58715dc315afae4328683cde601b68639")</f>
        <v>0</v>
      </c>
      <c r="C21397">
        <f>HYPERLINK("https://android.googlesource.com/platform/cts/+/5ac9f6cd4fc3210b32c05ad32d7f28665a90c674", "5ac9f6cd4fc3210b32c05ad32d7f28665a90c674")</f>
        <v>0</v>
      </c>
      <c r="D21397" t="s">
        <v>5027</v>
      </c>
      <c r="E21397" t="s">
        <v>6551</v>
      </c>
      <c r="F21397" t="s">
        <v>12617</v>
      </c>
      <c r="G21397" t="s">
        <v>15155</v>
      </c>
      <c r="H21397" t="s">
        <v>25493</v>
      </c>
    </row>
    <row r="21398" spans="1:8">
      <c r="A21398" t="s">
        <v>770</v>
      </c>
      <c r="B21398">
        <f>HYPERLINK("https://android.googlesource.com/platform/cts/+/6639933dab8372af0687f2e8d2ffef85e318166e", "6639933dab8372af0687f2e8d2ffef85e318166e")</f>
        <v>0</v>
      </c>
      <c r="C21398">
        <f>HYPERLINK("https://android.googlesource.com/platform/cts/+/4aea9d6d61db7fb53625e7c89d7362b9181725b2", "4aea9d6d61db7fb53625e7c89d7362b9181725b2")</f>
        <v>0</v>
      </c>
      <c r="D21398" t="s">
        <v>4994</v>
      </c>
      <c r="E21398" t="s">
        <v>6552</v>
      </c>
      <c r="F21398" t="s">
        <v>12618</v>
      </c>
      <c r="G21398" t="s">
        <v>16828</v>
      </c>
      <c r="H21398" t="s">
        <v>18829</v>
      </c>
    </row>
    <row r="21399" spans="1:8">
      <c r="A21399" t="s">
        <v>771</v>
      </c>
      <c r="B21399">
        <f>HYPERLINK("https://android.googlesource.com/platform/cts/+/9db219d0cd071d9955fba1f195c2fae9ed561b56", "9db219d0cd071d9955fba1f195c2fae9ed561b56")</f>
        <v>0</v>
      </c>
      <c r="C21399">
        <f>HYPERLINK("https://android.googlesource.com/platform/cts/+/28a108a98c743d1bed0d04cdffd089ef55c6cd4b", "28a108a98c743d1bed0d04cdffd089ef55c6cd4b")</f>
        <v>0</v>
      </c>
      <c r="D21399" t="s">
        <v>5089</v>
      </c>
      <c r="E21399" t="s">
        <v>6553</v>
      </c>
      <c r="F21399" t="s">
        <v>10668</v>
      </c>
      <c r="G21399" t="s">
        <v>15069</v>
      </c>
      <c r="H21399" t="s">
        <v>25494</v>
      </c>
    </row>
    <row r="21400" spans="1:8">
      <c r="H21400" t="s">
        <v>25495</v>
      </c>
    </row>
    <row r="21401" spans="1:8">
      <c r="H21401" t="s">
        <v>25496</v>
      </c>
    </row>
    <row r="21402" spans="1:8">
      <c r="A21402" t="s">
        <v>772</v>
      </c>
      <c r="B21402">
        <f>HYPERLINK("https://android.googlesource.com/platform/cts/+/5ae19e157ee023aa6ed2af8bb88e3dafb30efd27", "5ae19e157ee023aa6ed2af8bb88e3dafb30efd27")</f>
        <v>0</v>
      </c>
      <c r="C21402">
        <f>HYPERLINK("https://android.googlesource.com/platform/cts/+/d4f6589de0cd5a2bf21bcfdbedd40ad90c2de41e", "d4f6589de0cd5a2bf21bcfdbedd40ad90c2de41e")</f>
        <v>0</v>
      </c>
      <c r="D21402" t="s">
        <v>5002</v>
      </c>
      <c r="E21402" t="s">
        <v>6554</v>
      </c>
      <c r="F21402" t="s">
        <v>12619</v>
      </c>
      <c r="G21402" t="s">
        <v>16829</v>
      </c>
      <c r="H21402" t="s">
        <v>25497</v>
      </c>
    </row>
    <row r="21403" spans="1:8">
      <c r="H21403" t="s">
        <v>20244</v>
      </c>
    </row>
    <row r="21404" spans="1:8">
      <c r="H21404" t="s">
        <v>18829</v>
      </c>
    </row>
    <row r="21405" spans="1:8">
      <c r="H21405" t="s">
        <v>18863</v>
      </c>
    </row>
    <row r="21406" spans="1:8">
      <c r="F21406" t="s">
        <v>12620</v>
      </c>
      <c r="G21406" t="s">
        <v>16830</v>
      </c>
      <c r="H21406" t="s">
        <v>25498</v>
      </c>
    </row>
    <row r="21407" spans="1:8">
      <c r="H21407" t="s">
        <v>25499</v>
      </c>
    </row>
    <row r="21408" spans="1:8">
      <c r="H21408" t="s">
        <v>25500</v>
      </c>
    </row>
    <row r="21409" spans="1:8">
      <c r="H21409" t="s">
        <v>25501</v>
      </c>
    </row>
    <row r="21410" spans="1:8">
      <c r="H21410" t="s">
        <v>18929</v>
      </c>
    </row>
    <row r="21411" spans="1:8">
      <c r="A21411" t="s">
        <v>773</v>
      </c>
      <c r="B21411">
        <f>HYPERLINK("https://android.googlesource.com/platform/cts/+/f4fcb4238d797f6eb7d1e5db79429f02ad9e9f56", "f4fcb4238d797f6eb7d1e5db79429f02ad9e9f56")</f>
        <v>0</v>
      </c>
      <c r="C21411">
        <f>HYPERLINK("https://android.googlesource.com/platform/cts/+/c1c8530a258267d3ab52e802294f75f1bebf7c8a", "c1c8530a258267d3ab52e802294f75f1bebf7c8a")</f>
        <v>0</v>
      </c>
      <c r="D21411" t="s">
        <v>5011</v>
      </c>
      <c r="E21411" t="s">
        <v>6555</v>
      </c>
      <c r="F21411" t="s">
        <v>12621</v>
      </c>
      <c r="G21411" t="s">
        <v>16831</v>
      </c>
      <c r="H21411" t="s">
        <v>18896</v>
      </c>
    </row>
    <row r="21412" spans="1:8">
      <c r="H21412" t="s">
        <v>25502</v>
      </c>
    </row>
    <row r="21413" spans="1:8">
      <c r="H21413" t="s">
        <v>25503</v>
      </c>
    </row>
    <row r="21414" spans="1:8">
      <c r="H21414" t="s">
        <v>25504</v>
      </c>
    </row>
    <row r="21415" spans="1:8">
      <c r="H21415" t="s">
        <v>25505</v>
      </c>
    </row>
    <row r="21416" spans="1:8">
      <c r="H21416" t="s">
        <v>25506</v>
      </c>
    </row>
    <row r="21417" spans="1:8">
      <c r="H21417" t="s">
        <v>25507</v>
      </c>
    </row>
    <row r="21418" spans="1:8">
      <c r="H21418" t="s">
        <v>25508</v>
      </c>
    </row>
    <row r="21419" spans="1:8">
      <c r="H21419" t="s">
        <v>25508</v>
      </c>
    </row>
    <row r="21420" spans="1:8">
      <c r="H21420" t="s">
        <v>25509</v>
      </c>
    </row>
    <row r="21421" spans="1:8">
      <c r="H21421" t="s">
        <v>25509</v>
      </c>
    </row>
    <row r="21422" spans="1:8">
      <c r="H21422" t="s">
        <v>25510</v>
      </c>
    </row>
    <row r="21423" spans="1:8">
      <c r="H21423" t="s">
        <v>25511</v>
      </c>
    </row>
    <row r="21424" spans="1:8">
      <c r="H21424" t="s">
        <v>25512</v>
      </c>
    </row>
    <row r="21425" spans="1:8">
      <c r="A21425" t="s">
        <v>774</v>
      </c>
      <c r="B21425">
        <f>HYPERLINK("https://android.googlesource.com/platform/cts/+/2a311ecf8307a9b3ca0b73ab27fe09821092035e", "2a311ecf8307a9b3ca0b73ab27fe09821092035e")</f>
        <v>0</v>
      </c>
      <c r="C21425">
        <f>HYPERLINK("https://android.googlesource.com/platform/cts/+/f4fcb4238d797f6eb7d1e5db79429f02ad9e9f56", "f4fcb4238d797f6eb7d1e5db79429f02ad9e9f56")</f>
        <v>0</v>
      </c>
      <c r="D21425" t="s">
        <v>5011</v>
      </c>
      <c r="E21425" t="s">
        <v>6556</v>
      </c>
      <c r="F21425" t="s">
        <v>12622</v>
      </c>
      <c r="G21425" t="s">
        <v>16832</v>
      </c>
      <c r="H21425" t="s">
        <v>18829</v>
      </c>
    </row>
    <row r="21426" spans="1:8">
      <c r="A21426" t="s">
        <v>775</v>
      </c>
      <c r="B21426">
        <f>HYPERLINK("https://android.googlesource.com/platform/cts/+/5fbf3724d112898002730fffbaf6ea382ba66e88", "5fbf3724d112898002730fffbaf6ea382ba66e88")</f>
        <v>0</v>
      </c>
      <c r="C21426">
        <f>HYPERLINK("https://android.googlesource.com/platform/cts/+/9db219d0cd071d9955fba1f195c2fae9ed561b56", "9db219d0cd071d9955fba1f195c2fae9ed561b56")</f>
        <v>0</v>
      </c>
      <c r="D21426" t="s">
        <v>5086</v>
      </c>
      <c r="E21426" t="s">
        <v>6557</v>
      </c>
      <c r="F21426" t="s">
        <v>12612</v>
      </c>
      <c r="G21426" t="s">
        <v>16823</v>
      </c>
      <c r="H21426" t="s">
        <v>25513</v>
      </c>
    </row>
    <row r="21427" spans="1:8">
      <c r="A21427" t="s">
        <v>776</v>
      </c>
      <c r="B21427">
        <f>HYPERLINK("https://android.googlesource.com/platform/cts/+/2d42dbc7f6d47315dfd60db6e68d6f71717978d8", "2d42dbc7f6d47315dfd60db6e68d6f71717978d8")</f>
        <v>0</v>
      </c>
      <c r="C21427">
        <f>HYPERLINK("https://android.googlesource.com/platform/cts/+/ee9451080c90ced53e83e8e08a77009030e5a681", "ee9451080c90ced53e83e8e08a77009030e5a681")</f>
        <v>0</v>
      </c>
      <c r="D21427" t="s">
        <v>5090</v>
      </c>
      <c r="E21427" t="s">
        <v>6558</v>
      </c>
      <c r="F21427" t="s">
        <v>10740</v>
      </c>
      <c r="G21427" t="s">
        <v>15139</v>
      </c>
      <c r="H21427" t="s">
        <v>25514</v>
      </c>
    </row>
    <row r="21428" spans="1:8">
      <c r="A21428" t="s">
        <v>777</v>
      </c>
      <c r="B21428">
        <f>HYPERLINK("https://android.googlesource.com/platform/cts/+/0f50331cee4e3974ebfb3fafabe4a0ee545b5087", "0f50331cee4e3974ebfb3fafabe4a0ee545b5087")</f>
        <v>0</v>
      </c>
      <c r="C21428">
        <f>HYPERLINK("https://android.googlesource.com/platform/cts/+/9ec8a506b394d983d9b68bd2fb8c37e2abeb4a5c", "9ec8a506b394d983d9b68bd2fb8c37e2abeb4a5c")</f>
        <v>0</v>
      </c>
      <c r="D21428" t="s">
        <v>5091</v>
      </c>
      <c r="E21428" t="s">
        <v>6559</v>
      </c>
      <c r="F21428" t="s">
        <v>12370</v>
      </c>
      <c r="G21428" t="s">
        <v>16597</v>
      </c>
      <c r="H21428" t="s">
        <v>25515</v>
      </c>
    </row>
    <row r="21429" spans="1:8">
      <c r="A21429" t="s">
        <v>778</v>
      </c>
      <c r="B21429">
        <f>HYPERLINK("https://android.googlesource.com/platform/cts/+/0530c03dda2a512e0db9bd3f95b43cdd0b4b0bdf", "0530c03dda2a512e0db9bd3f95b43cdd0b4b0bdf")</f>
        <v>0</v>
      </c>
      <c r="C21429">
        <f>HYPERLINK("https://android.googlesource.com/platform/cts/+/38c5c12a603bde1591134eab42d6b6295a48bb86", "38c5c12a603bde1591134eab42d6b6295a48bb86")</f>
        <v>0</v>
      </c>
      <c r="D21429" t="s">
        <v>4967</v>
      </c>
      <c r="E21429" t="s">
        <v>6560</v>
      </c>
      <c r="F21429" t="s">
        <v>11429</v>
      </c>
      <c r="G21429" t="s">
        <v>15669</v>
      </c>
      <c r="H21429" t="s">
        <v>25516</v>
      </c>
    </row>
    <row r="21430" spans="1:8">
      <c r="A21430" t="s">
        <v>779</v>
      </c>
      <c r="B21430">
        <f>HYPERLINK("https://android.googlesource.com/platform/cts/+/80eab506acc00fbc185c351db2d59703619b315e", "80eab506acc00fbc185c351db2d59703619b315e")</f>
        <v>0</v>
      </c>
      <c r="C21430">
        <f>HYPERLINK("https://android.googlesource.com/platform/cts/+/f62da83791dc668f8e222dd05e077b7e61154d3a", "f62da83791dc668f8e222dd05e077b7e61154d3a")</f>
        <v>0</v>
      </c>
      <c r="D21430" t="s">
        <v>5011</v>
      </c>
      <c r="E21430" t="s">
        <v>6561</v>
      </c>
      <c r="F21430" t="s">
        <v>12623</v>
      </c>
      <c r="G21430" t="s">
        <v>16833</v>
      </c>
      <c r="H21430" t="s">
        <v>25517</v>
      </c>
    </row>
    <row r="21431" spans="1:8">
      <c r="H21431" t="s">
        <v>25518</v>
      </c>
    </row>
    <row r="21432" spans="1:8">
      <c r="H21432" t="s">
        <v>25519</v>
      </c>
    </row>
    <row r="21433" spans="1:8">
      <c r="H21433" t="s">
        <v>25520</v>
      </c>
    </row>
    <row r="21434" spans="1:8">
      <c r="H21434" t="s">
        <v>25521</v>
      </c>
    </row>
    <row r="21435" spans="1:8">
      <c r="A21435" t="s">
        <v>780</v>
      </c>
      <c r="B21435">
        <f>HYPERLINK("https://android.googlesource.com/platform/cts/+/e4ea56b1f2f3d591ae05cc8cd70f047e047be677", "e4ea56b1f2f3d591ae05cc8cd70f047e047be677")</f>
        <v>0</v>
      </c>
      <c r="C21435">
        <f>HYPERLINK("https://android.googlesource.com/platform/cts/+/b2a0c9e915ced04790655910a17cd06645312ac1", "b2a0c9e915ced04790655910a17cd06645312ac1")</f>
        <v>0</v>
      </c>
      <c r="D21435" t="s">
        <v>5011</v>
      </c>
      <c r="E21435" t="s">
        <v>6562</v>
      </c>
      <c r="F21435" t="s">
        <v>12621</v>
      </c>
      <c r="G21435" t="s">
        <v>16831</v>
      </c>
      <c r="H21435" t="s">
        <v>18829</v>
      </c>
    </row>
    <row r="21436" spans="1:8">
      <c r="H21436" t="s">
        <v>18863</v>
      </c>
    </row>
    <row r="21437" spans="1:8">
      <c r="H21437" t="s">
        <v>25522</v>
      </c>
    </row>
    <row r="21438" spans="1:8">
      <c r="H21438" t="s">
        <v>25523</v>
      </c>
    </row>
    <row r="21439" spans="1:8">
      <c r="H21439" t="s">
        <v>25524</v>
      </c>
    </row>
    <row r="21440" spans="1:8">
      <c r="H21440" t="s">
        <v>25525</v>
      </c>
    </row>
    <row r="21441" spans="1:8">
      <c r="H21441" t="s">
        <v>25526</v>
      </c>
    </row>
    <row r="21442" spans="1:8">
      <c r="F21442" t="s">
        <v>12622</v>
      </c>
      <c r="G21442" t="s">
        <v>16832</v>
      </c>
      <c r="H21442" t="s">
        <v>18863</v>
      </c>
    </row>
    <row r="21443" spans="1:8">
      <c r="F21443" t="s">
        <v>12624</v>
      </c>
      <c r="G21443" t="s">
        <v>16834</v>
      </c>
      <c r="H21443" t="s">
        <v>18863</v>
      </c>
    </row>
    <row r="21444" spans="1:8">
      <c r="A21444" t="s">
        <v>781</v>
      </c>
      <c r="B21444">
        <f>HYPERLINK("https://android.googlesource.com/platform/cts/+/82396dfe4a8743748207c380ebf4a08cd9bebe29", "82396dfe4a8743748207c380ebf4a08cd9bebe29")</f>
        <v>0</v>
      </c>
      <c r="C21444">
        <f>HYPERLINK("https://android.googlesource.com/platform/cts/+/42d6f25df59b1790bcdae68ecb3b9ff90ff32c9e", "42d6f25df59b1790bcdae68ecb3b9ff90ff32c9e")</f>
        <v>0</v>
      </c>
      <c r="D21444" t="s">
        <v>4949</v>
      </c>
      <c r="E21444" t="s">
        <v>6563</v>
      </c>
      <c r="F21444" t="s">
        <v>10624</v>
      </c>
      <c r="G21444" t="s">
        <v>15027</v>
      </c>
      <c r="H21444" t="s">
        <v>25527</v>
      </c>
    </row>
    <row r="21445" spans="1:8">
      <c r="H21445" t="s">
        <v>25528</v>
      </c>
    </row>
    <row r="21446" spans="1:8">
      <c r="H21446" t="s">
        <v>25529</v>
      </c>
    </row>
    <row r="21447" spans="1:8">
      <c r="H21447" t="s">
        <v>25530</v>
      </c>
    </row>
    <row r="21448" spans="1:8">
      <c r="A21448" t="s">
        <v>782</v>
      </c>
      <c r="B21448">
        <f>HYPERLINK("https://android.googlesource.com/platform/cts/+/0c456de8db8f4f357369a3bffae46cc259a20f7d", "0c456de8db8f4f357369a3bffae46cc259a20f7d")</f>
        <v>0</v>
      </c>
      <c r="C21448">
        <f>HYPERLINK("https://android.googlesource.com/platform/cts/+/605cfcf37b2f3e5572d491f72644741a7e2bd18d", "605cfcf37b2f3e5572d491f72644741a7e2bd18d")</f>
        <v>0</v>
      </c>
      <c r="D21448" t="s">
        <v>5092</v>
      </c>
      <c r="E21448" t="s">
        <v>6564</v>
      </c>
      <c r="F21448" t="s">
        <v>10687</v>
      </c>
      <c r="G21448" t="s">
        <v>15087</v>
      </c>
      <c r="H21448" t="s">
        <v>25531</v>
      </c>
    </row>
    <row r="21449" spans="1:8">
      <c r="A21449" t="s">
        <v>783</v>
      </c>
      <c r="B21449">
        <f>HYPERLINK("https://android.googlesource.com/platform/cts/+/237718628c30e3ec499cecffe63fb9994afe8121", "237718628c30e3ec499cecffe63fb9994afe8121")</f>
        <v>0</v>
      </c>
      <c r="C21449">
        <f>HYPERLINK("https://android.googlesource.com/platform/cts/+/3870203c78f8c4f9c55ba0b675d52eea9880aceb", "3870203c78f8c4f9c55ba0b675d52eea9880aceb")</f>
        <v>0</v>
      </c>
      <c r="D21449" t="s">
        <v>5093</v>
      </c>
      <c r="E21449" t="s">
        <v>6565</v>
      </c>
      <c r="F21449" t="s">
        <v>12625</v>
      </c>
      <c r="G21449" t="s">
        <v>16835</v>
      </c>
      <c r="H21449" t="s">
        <v>25532</v>
      </c>
    </row>
    <row r="21450" spans="1:8">
      <c r="H21450" t="s">
        <v>25533</v>
      </c>
    </row>
    <row r="21451" spans="1:8">
      <c r="H21451" t="s">
        <v>25534</v>
      </c>
    </row>
    <row r="21452" spans="1:8">
      <c r="H21452" t="s">
        <v>25535</v>
      </c>
    </row>
    <row r="21453" spans="1:8">
      <c r="H21453" t="s">
        <v>18829</v>
      </c>
    </row>
    <row r="21454" spans="1:8">
      <c r="H21454" t="s">
        <v>18863</v>
      </c>
    </row>
    <row r="21455" spans="1:8">
      <c r="H21455" t="s">
        <v>25536</v>
      </c>
    </row>
    <row r="21456" spans="1:8">
      <c r="H21456" t="s">
        <v>19753</v>
      </c>
    </row>
    <row r="21457" spans="1:8">
      <c r="H21457" t="s">
        <v>25537</v>
      </c>
    </row>
    <row r="21458" spans="1:8">
      <c r="H21458" t="s">
        <v>19754</v>
      </c>
    </row>
    <row r="21459" spans="1:8">
      <c r="H21459" t="s">
        <v>25538</v>
      </c>
    </row>
    <row r="21460" spans="1:8">
      <c r="H21460" t="s">
        <v>25539</v>
      </c>
    </row>
    <row r="21461" spans="1:8">
      <c r="A21461" t="s">
        <v>784</v>
      </c>
      <c r="B21461">
        <f>HYPERLINK("https://android.googlesource.com/platform/cts/+/3f6dec1e99e8ec3d67c524215ec21afb50c56f27", "3f6dec1e99e8ec3d67c524215ec21afb50c56f27")</f>
        <v>0</v>
      </c>
      <c r="C21461">
        <f>HYPERLINK("https://android.googlesource.com/platform/cts/+/a1cedf3a159c7a8f7803063e3e3a699c45021252", "a1cedf3a159c7a8f7803063e3e3a699c45021252")</f>
        <v>0</v>
      </c>
      <c r="D21461" t="s">
        <v>5061</v>
      </c>
      <c r="E21461" t="s">
        <v>6566</v>
      </c>
      <c r="F21461" t="s">
        <v>12626</v>
      </c>
      <c r="G21461" t="s">
        <v>16836</v>
      </c>
      <c r="H21461" t="s">
        <v>18863</v>
      </c>
    </row>
    <row r="21462" spans="1:8">
      <c r="A21462" t="s">
        <v>785</v>
      </c>
      <c r="B21462">
        <f>HYPERLINK("https://android.googlesource.com/platform/cts/+/4bd0ad8697cb789d227561b861c1176908de122d", "4bd0ad8697cb789d227561b861c1176908de122d")</f>
        <v>0</v>
      </c>
      <c r="C21462">
        <f>HYPERLINK("https://android.googlesource.com/platform/cts/+/d20715e02e83b45ecef83279de6a5ab321fad79b", "d20715e02e83b45ecef83279de6a5ab321fad79b")</f>
        <v>0</v>
      </c>
      <c r="D21462" t="s">
        <v>4949</v>
      </c>
      <c r="E21462" t="s">
        <v>6567</v>
      </c>
      <c r="F21462" t="s">
        <v>12627</v>
      </c>
      <c r="G21462" t="s">
        <v>16417</v>
      </c>
      <c r="H21462" t="s">
        <v>25540</v>
      </c>
    </row>
    <row r="21463" spans="1:8">
      <c r="H21463" t="s">
        <v>18829</v>
      </c>
    </row>
    <row r="21464" spans="1:8">
      <c r="H21464" t="s">
        <v>18863</v>
      </c>
    </row>
    <row r="21465" spans="1:8">
      <c r="H21465" t="s">
        <v>25541</v>
      </c>
    </row>
    <row r="21466" spans="1:8">
      <c r="H21466" t="s">
        <v>25542</v>
      </c>
    </row>
    <row r="21467" spans="1:8">
      <c r="H21467" t="s">
        <v>25543</v>
      </c>
    </row>
    <row r="21468" spans="1:8">
      <c r="H21468" t="s">
        <v>25544</v>
      </c>
    </row>
    <row r="21469" spans="1:8">
      <c r="H21469" t="s">
        <v>25545</v>
      </c>
    </row>
    <row r="21470" spans="1:8">
      <c r="H21470" t="s">
        <v>25546</v>
      </c>
    </row>
    <row r="21471" spans="1:8">
      <c r="H21471" t="s">
        <v>25547</v>
      </c>
    </row>
    <row r="21472" spans="1:8">
      <c r="H21472" t="s">
        <v>25548</v>
      </c>
    </row>
    <row r="21473" spans="1:8">
      <c r="H21473" t="s">
        <v>25549</v>
      </c>
    </row>
    <row r="21474" spans="1:8">
      <c r="H21474" t="s">
        <v>25550</v>
      </c>
    </row>
    <row r="21475" spans="1:8">
      <c r="H21475" t="s">
        <v>25551</v>
      </c>
    </row>
    <row r="21476" spans="1:8">
      <c r="H21476" t="s">
        <v>25552</v>
      </c>
    </row>
    <row r="21477" spans="1:8">
      <c r="A21477" t="s">
        <v>786</v>
      </c>
      <c r="B21477">
        <f>HYPERLINK("https://android.googlesource.com/platform/cts/+/0f75cae59927d3c2ad509f7d55e16d229cf0dc6e", "0f75cae59927d3c2ad509f7d55e16d229cf0dc6e")</f>
        <v>0</v>
      </c>
      <c r="C21477">
        <f>HYPERLINK("https://android.googlesource.com/platform/cts/+/5733c43ed4546187058aba32edd7b27a89a13745", "5733c43ed4546187058aba32edd7b27a89a13745")</f>
        <v>0</v>
      </c>
      <c r="D21477" t="s">
        <v>5029</v>
      </c>
      <c r="E21477" t="s">
        <v>6568</v>
      </c>
      <c r="F21477" t="s">
        <v>10781</v>
      </c>
      <c r="G21477" t="s">
        <v>15177</v>
      </c>
      <c r="H21477" t="s">
        <v>25553</v>
      </c>
    </row>
    <row r="21478" spans="1:8">
      <c r="A21478" t="s">
        <v>787</v>
      </c>
      <c r="B21478">
        <f>HYPERLINK("https://android.googlesource.com/platform/cts/+/b568bfcab520d1129c314481aef2c1fb37d6ea10", "b568bfcab520d1129c314481aef2c1fb37d6ea10")</f>
        <v>0</v>
      </c>
      <c r="C21478">
        <f>HYPERLINK("https://android.googlesource.com/platform/cts/+/5f3dfe8a0fbffea5f935d0378daf3f55df1a5ade", "5f3dfe8a0fbffea5f935d0378daf3f55df1a5ade")</f>
        <v>0</v>
      </c>
      <c r="D21478" t="s">
        <v>5077</v>
      </c>
      <c r="E21478" t="s">
        <v>6569</v>
      </c>
      <c r="F21478" t="s">
        <v>12223</v>
      </c>
      <c r="G21478" t="s">
        <v>16453</v>
      </c>
      <c r="H21478" t="s">
        <v>25554</v>
      </c>
    </row>
    <row r="21479" spans="1:8">
      <c r="H21479" t="s">
        <v>25555</v>
      </c>
    </row>
    <row r="21480" spans="1:8">
      <c r="H21480" t="s">
        <v>25556</v>
      </c>
    </row>
    <row r="21481" spans="1:8">
      <c r="H21481" t="s">
        <v>25557</v>
      </c>
    </row>
    <row r="21482" spans="1:8">
      <c r="H21482" t="s">
        <v>25558</v>
      </c>
    </row>
    <row r="21483" spans="1:8">
      <c r="H21483" t="s">
        <v>25559</v>
      </c>
    </row>
    <row r="21484" spans="1:8">
      <c r="H21484" t="s">
        <v>25560</v>
      </c>
    </row>
    <row r="21485" spans="1:8">
      <c r="H21485" t="s">
        <v>25561</v>
      </c>
    </row>
    <row r="21486" spans="1:8">
      <c r="H21486" t="s">
        <v>25562</v>
      </c>
    </row>
    <row r="21487" spans="1:8">
      <c r="H21487" t="s">
        <v>25563</v>
      </c>
    </row>
    <row r="21488" spans="1:8">
      <c r="H21488" t="s">
        <v>25564</v>
      </c>
    </row>
    <row r="21489" spans="1:8">
      <c r="H21489" t="s">
        <v>25565</v>
      </c>
    </row>
    <row r="21490" spans="1:8">
      <c r="A21490" t="s">
        <v>788</v>
      </c>
      <c r="B21490">
        <f>HYPERLINK("https://android.googlesource.com/platform/cts/+/032503cf437400f0371ebc5775104cec9e67ec15", "032503cf437400f0371ebc5775104cec9e67ec15")</f>
        <v>0</v>
      </c>
      <c r="C21490">
        <f>HYPERLINK("https://android.googlesource.com/platform/cts/+/5742d8c67eb1ec5ccdc06ff74d14ecd6ad173fd0", "5742d8c67eb1ec5ccdc06ff74d14ecd6ad173fd0")</f>
        <v>0</v>
      </c>
      <c r="D21490" t="s">
        <v>5069</v>
      </c>
      <c r="E21490" t="s">
        <v>6570</v>
      </c>
      <c r="F21490" t="s">
        <v>10794</v>
      </c>
      <c r="G21490" t="s">
        <v>15189</v>
      </c>
      <c r="H21490" t="s">
        <v>25566</v>
      </c>
    </row>
    <row r="21491" spans="1:8">
      <c r="A21491" t="s">
        <v>789</v>
      </c>
      <c r="B21491">
        <f>HYPERLINK("https://android.googlesource.com/platform/cts/+/929a33641980c9bcbca3d20cd0eb4a51c1318a37", "929a33641980c9bcbca3d20cd0eb4a51c1318a37")</f>
        <v>0</v>
      </c>
      <c r="C21491">
        <f>HYPERLINK("https://android.googlesource.com/platform/cts/+/a1cedf3a159c7a8f7803063e3e3a699c45021252", "a1cedf3a159c7a8f7803063e3e3a699c45021252")</f>
        <v>0</v>
      </c>
      <c r="D21491" t="s">
        <v>5086</v>
      </c>
      <c r="E21491" t="s">
        <v>6571</v>
      </c>
      <c r="F21491" t="s">
        <v>12628</v>
      </c>
      <c r="G21491" t="s">
        <v>16837</v>
      </c>
      <c r="H21491" t="s">
        <v>22678</v>
      </c>
    </row>
    <row r="21492" spans="1:8">
      <c r="H21492" t="s">
        <v>18829</v>
      </c>
    </row>
    <row r="21493" spans="1:8">
      <c r="H21493" t="s">
        <v>18863</v>
      </c>
    </row>
    <row r="21494" spans="1:8">
      <c r="H21494" t="s">
        <v>25567</v>
      </c>
    </row>
    <row r="21495" spans="1:8">
      <c r="H21495" t="s">
        <v>25568</v>
      </c>
    </row>
    <row r="21496" spans="1:8">
      <c r="H21496" t="s">
        <v>25569</v>
      </c>
    </row>
    <row r="21497" spans="1:8">
      <c r="H21497" t="s">
        <v>25570</v>
      </c>
    </row>
    <row r="21498" spans="1:8">
      <c r="F21498" t="s">
        <v>12629</v>
      </c>
      <c r="G21498" t="s">
        <v>16838</v>
      </c>
      <c r="H21498" t="s">
        <v>25571</v>
      </c>
    </row>
    <row r="21499" spans="1:8">
      <c r="A21499" t="s">
        <v>790</v>
      </c>
      <c r="B21499">
        <f>HYPERLINK("https://android.googlesource.com/platform/cts/+/ba48b31882d682925b5d92fe1e7a11de34430fdb", "ba48b31882d682925b5d92fe1e7a11de34430fdb")</f>
        <v>0</v>
      </c>
      <c r="C21499">
        <f>HYPERLINK("https://android.googlesource.com/platform/cts/+/fe05bba4695faad83fa5b10749edf8c6aea5ad61", "fe05bba4695faad83fa5b10749edf8c6aea5ad61")</f>
        <v>0</v>
      </c>
      <c r="D21499" t="s">
        <v>5011</v>
      </c>
      <c r="E21499" t="s">
        <v>6572</v>
      </c>
      <c r="F21499" t="s">
        <v>12630</v>
      </c>
      <c r="G21499" t="s">
        <v>16839</v>
      </c>
      <c r="H21499" t="s">
        <v>18829</v>
      </c>
    </row>
    <row r="21500" spans="1:8">
      <c r="F21500" t="s">
        <v>12631</v>
      </c>
      <c r="G21500" t="s">
        <v>16840</v>
      </c>
      <c r="H21500" t="s">
        <v>18829</v>
      </c>
    </row>
    <row r="21501" spans="1:8">
      <c r="H21501" t="s">
        <v>18863</v>
      </c>
    </row>
    <row r="21502" spans="1:8">
      <c r="H21502" t="s">
        <v>25572</v>
      </c>
    </row>
    <row r="21503" spans="1:8">
      <c r="H21503" t="s">
        <v>25573</v>
      </c>
    </row>
    <row r="21504" spans="1:8">
      <c r="H21504" t="s">
        <v>25574</v>
      </c>
    </row>
    <row r="21505" spans="1:8">
      <c r="A21505" t="s">
        <v>791</v>
      </c>
      <c r="B21505">
        <f>HYPERLINK("https://android.googlesource.com/platform/cts/+/8bdb1a928dfc9a029aed1f7b754324ea2eddebf4", "8bdb1a928dfc9a029aed1f7b754324ea2eddebf4")</f>
        <v>0</v>
      </c>
      <c r="C21505">
        <f>HYPERLINK("https://android.googlesource.com/platform/cts/+/c224f518096a0e83d361b856397db3602db1932e", "c224f518096a0e83d361b856397db3602db1932e")</f>
        <v>0</v>
      </c>
      <c r="D21505" t="s">
        <v>5077</v>
      </c>
      <c r="E21505" t="s">
        <v>6573</v>
      </c>
      <c r="F21505" t="s">
        <v>12223</v>
      </c>
      <c r="G21505" t="s">
        <v>16841</v>
      </c>
      <c r="H21505" t="s">
        <v>18829</v>
      </c>
    </row>
    <row r="21506" spans="1:8">
      <c r="H21506" t="s">
        <v>25575</v>
      </c>
    </row>
    <row r="21507" spans="1:8">
      <c r="H21507" t="s">
        <v>25576</v>
      </c>
    </row>
    <row r="21508" spans="1:8">
      <c r="H21508" t="s">
        <v>25577</v>
      </c>
    </row>
    <row r="21509" spans="1:8">
      <c r="H21509" t="s">
        <v>25578</v>
      </c>
    </row>
    <row r="21510" spans="1:8">
      <c r="H21510" t="s">
        <v>25579</v>
      </c>
    </row>
    <row r="21511" spans="1:8">
      <c r="H21511" t="s">
        <v>25580</v>
      </c>
    </row>
    <row r="21512" spans="1:8">
      <c r="H21512" t="s">
        <v>25581</v>
      </c>
    </row>
    <row r="21513" spans="1:8">
      <c r="H21513" t="s">
        <v>25582</v>
      </c>
    </row>
    <row r="21514" spans="1:8">
      <c r="H21514" t="s">
        <v>25583</v>
      </c>
    </row>
    <row r="21515" spans="1:8">
      <c r="H21515" t="s">
        <v>25584</v>
      </c>
    </row>
    <row r="21516" spans="1:8">
      <c r="H21516" t="s">
        <v>25585</v>
      </c>
    </row>
    <row r="21517" spans="1:8">
      <c r="H21517" t="s">
        <v>25586</v>
      </c>
    </row>
    <row r="21518" spans="1:8">
      <c r="H21518" t="s">
        <v>25587</v>
      </c>
    </row>
    <row r="21519" spans="1:8">
      <c r="H21519" t="s">
        <v>25588</v>
      </c>
    </row>
    <row r="21520" spans="1:8">
      <c r="H21520" t="s">
        <v>25589</v>
      </c>
    </row>
    <row r="21521" spans="8:8">
      <c r="H21521" t="s">
        <v>25590</v>
      </c>
    </row>
    <row r="21522" spans="8:8">
      <c r="H21522" t="s">
        <v>25591</v>
      </c>
    </row>
    <row r="21523" spans="8:8">
      <c r="H21523" t="s">
        <v>25592</v>
      </c>
    </row>
    <row r="21524" spans="8:8">
      <c r="H21524" t="s">
        <v>25593</v>
      </c>
    </row>
    <row r="21525" spans="8:8">
      <c r="H21525" t="s">
        <v>25594</v>
      </c>
    </row>
    <row r="21526" spans="8:8">
      <c r="H21526" t="s">
        <v>25595</v>
      </c>
    </row>
    <row r="21527" spans="8:8">
      <c r="H21527" t="s">
        <v>25596</v>
      </c>
    </row>
    <row r="21528" spans="8:8">
      <c r="H21528" t="s">
        <v>25597</v>
      </c>
    </row>
    <row r="21529" spans="8:8">
      <c r="H21529" t="s">
        <v>25598</v>
      </c>
    </row>
    <row r="21530" spans="8:8">
      <c r="H21530" t="s">
        <v>25599</v>
      </c>
    </row>
    <row r="21531" spans="8:8">
      <c r="H21531" t="s">
        <v>25600</v>
      </c>
    </row>
    <row r="21532" spans="8:8">
      <c r="H21532" t="s">
        <v>25601</v>
      </c>
    </row>
    <row r="21533" spans="8:8">
      <c r="H21533" t="s">
        <v>25602</v>
      </c>
    </row>
    <row r="21534" spans="8:8">
      <c r="H21534" t="s">
        <v>25601</v>
      </c>
    </row>
    <row r="21535" spans="8:8">
      <c r="H21535" t="s">
        <v>25603</v>
      </c>
    </row>
    <row r="21536" spans="8:8">
      <c r="H21536" t="s">
        <v>25604</v>
      </c>
    </row>
    <row r="21537" spans="1:8">
      <c r="H21537" t="s">
        <v>25605</v>
      </c>
    </row>
    <row r="21538" spans="1:8">
      <c r="H21538" t="s">
        <v>25606</v>
      </c>
    </row>
    <row r="21539" spans="1:8">
      <c r="H21539" t="s">
        <v>25607</v>
      </c>
    </row>
    <row r="21540" spans="1:8">
      <c r="H21540" t="s">
        <v>25608</v>
      </c>
    </row>
    <row r="21541" spans="1:8">
      <c r="H21541" t="s">
        <v>25609</v>
      </c>
    </row>
    <row r="21542" spans="1:8">
      <c r="H21542" t="s">
        <v>25610</v>
      </c>
    </row>
    <row r="21543" spans="1:8">
      <c r="H21543" t="s">
        <v>25611</v>
      </c>
    </row>
    <row r="21544" spans="1:8">
      <c r="H21544" t="s">
        <v>25612</v>
      </c>
    </row>
    <row r="21545" spans="1:8">
      <c r="H21545" t="s">
        <v>25613</v>
      </c>
    </row>
    <row r="21546" spans="1:8">
      <c r="H21546" t="s">
        <v>25614</v>
      </c>
    </row>
    <row r="21547" spans="1:8">
      <c r="H21547" t="s">
        <v>25614</v>
      </c>
    </row>
    <row r="21548" spans="1:8">
      <c r="H21548" t="s">
        <v>25615</v>
      </c>
    </row>
    <row r="21549" spans="1:8">
      <c r="H21549" t="s">
        <v>25616</v>
      </c>
    </row>
    <row r="21550" spans="1:8">
      <c r="H21550" t="s">
        <v>25617</v>
      </c>
    </row>
    <row r="21551" spans="1:8">
      <c r="H21551" t="s">
        <v>25617</v>
      </c>
    </row>
    <row r="21552" spans="1:8">
      <c r="A21552" t="s">
        <v>792</v>
      </c>
      <c r="B21552">
        <f>HYPERLINK("https://android.googlesource.com/platform/cts/+/fedb39dc0f97de7f90a7925318e951e254d97afd", "fedb39dc0f97de7f90a7925318e951e254d97afd")</f>
        <v>0</v>
      </c>
      <c r="C21552">
        <f>HYPERLINK("https://android.googlesource.com/platform/cts/+/51e36fced5d4b82ab7a9cf4b36ac1896a1d0a4f5", "51e36fced5d4b82ab7a9cf4b36ac1896a1d0a4f5")</f>
        <v>0</v>
      </c>
      <c r="D21552" t="s">
        <v>5040</v>
      </c>
      <c r="E21552" t="s">
        <v>6574</v>
      </c>
      <c r="F21552" t="s">
        <v>12632</v>
      </c>
      <c r="G21552" t="s">
        <v>16842</v>
      </c>
      <c r="H21552" t="s">
        <v>25618</v>
      </c>
    </row>
    <row r="21553" spans="1:8">
      <c r="H21553" t="s">
        <v>25619</v>
      </c>
    </row>
    <row r="21554" spans="1:8">
      <c r="H21554" t="s">
        <v>25620</v>
      </c>
    </row>
    <row r="21555" spans="1:8">
      <c r="H21555" t="s">
        <v>25621</v>
      </c>
    </row>
    <row r="21556" spans="1:8">
      <c r="H21556" t="s">
        <v>25622</v>
      </c>
    </row>
    <row r="21557" spans="1:8">
      <c r="H21557" t="s">
        <v>19019</v>
      </c>
    </row>
    <row r="21558" spans="1:8">
      <c r="H21558" t="s">
        <v>22505</v>
      </c>
    </row>
    <row r="21559" spans="1:8">
      <c r="H21559" t="s">
        <v>25623</v>
      </c>
    </row>
    <row r="21560" spans="1:8">
      <c r="A21560" t="s">
        <v>793</v>
      </c>
      <c r="B21560">
        <f>HYPERLINK("https://android.googlesource.com/platform/cts/+/7b113c86a64aeb7060ff35882a2f2def97cd0484", "7b113c86a64aeb7060ff35882a2f2def97cd0484")</f>
        <v>0</v>
      </c>
      <c r="C21560">
        <f>HYPERLINK("https://android.googlesource.com/platform/cts/+/a47d5d6948f50f3bbc8300b8656bb426edc2c746", "a47d5d6948f50f3bbc8300b8656bb426edc2c746")</f>
        <v>0</v>
      </c>
      <c r="D21560" t="s">
        <v>5077</v>
      </c>
      <c r="E21560" t="s">
        <v>6575</v>
      </c>
      <c r="F21560" t="s">
        <v>12633</v>
      </c>
      <c r="G21560" t="s">
        <v>16841</v>
      </c>
      <c r="H21560" t="s">
        <v>25589</v>
      </c>
    </row>
    <row r="21561" spans="1:8">
      <c r="H21561" t="s">
        <v>25590</v>
      </c>
    </row>
    <row r="21562" spans="1:8">
      <c r="H21562" t="s">
        <v>25591</v>
      </c>
    </row>
    <row r="21563" spans="1:8">
      <c r="H21563" t="s">
        <v>25592</v>
      </c>
    </row>
    <row r="21564" spans="1:8">
      <c r="A21564" t="s">
        <v>794</v>
      </c>
      <c r="B21564">
        <f>HYPERLINK("https://android.googlesource.com/platform/cts/+/33f60d42ba2f49b684ee571abeb8e04eedea896c", "33f60d42ba2f49b684ee571abeb8e04eedea896c")</f>
        <v>0</v>
      </c>
      <c r="C21564">
        <f>HYPERLINK("https://android.googlesource.com/platform/cts/+/d6da57796270da3500f13d2c9a25d4dc10d56ba6", "d6da57796270da3500f13d2c9a25d4dc10d56ba6")</f>
        <v>0</v>
      </c>
      <c r="D21564" t="s">
        <v>5078</v>
      </c>
      <c r="E21564" t="s">
        <v>6576</v>
      </c>
      <c r="F21564" t="s">
        <v>12415</v>
      </c>
      <c r="G21564" t="s">
        <v>16637</v>
      </c>
      <c r="H21564" t="s">
        <v>25624</v>
      </c>
    </row>
    <row r="21565" spans="1:8">
      <c r="H21565" t="s">
        <v>25625</v>
      </c>
    </row>
    <row r="21566" spans="1:8">
      <c r="A21566" t="s">
        <v>795</v>
      </c>
      <c r="B21566">
        <f>HYPERLINK("https://android.googlesource.com/platform/cts/+/66476a95a70d3f73320b82edf33ea76a3f0df7ac", "66476a95a70d3f73320b82edf33ea76a3f0df7ac")</f>
        <v>0</v>
      </c>
      <c r="C21566">
        <f>HYPERLINK("https://android.googlesource.com/platform/cts/+/dea56337c8a5ee10af912938f8a625bd9c21306f", "dea56337c8a5ee10af912938f8a625bd9c21306f")</f>
        <v>0</v>
      </c>
      <c r="D21566" t="s">
        <v>5002</v>
      </c>
      <c r="E21566" t="s">
        <v>6577</v>
      </c>
      <c r="F21566" t="s">
        <v>12634</v>
      </c>
      <c r="G21566" t="s">
        <v>16843</v>
      </c>
      <c r="H21566" t="s">
        <v>25626</v>
      </c>
    </row>
    <row r="21567" spans="1:8">
      <c r="F21567" t="s">
        <v>12635</v>
      </c>
      <c r="G21567" t="s">
        <v>15331</v>
      </c>
      <c r="H21567" t="s">
        <v>25627</v>
      </c>
    </row>
    <row r="21568" spans="1:8">
      <c r="H21568" t="s">
        <v>25627</v>
      </c>
    </row>
    <row r="21569" spans="1:8">
      <c r="H21569" t="s">
        <v>18931</v>
      </c>
    </row>
    <row r="21570" spans="1:8">
      <c r="H21570" t="s">
        <v>25628</v>
      </c>
    </row>
    <row r="21571" spans="1:8">
      <c r="H21571" t="s">
        <v>25629</v>
      </c>
    </row>
    <row r="21572" spans="1:8">
      <c r="H21572" t="s">
        <v>25630</v>
      </c>
    </row>
    <row r="21573" spans="1:8">
      <c r="F21573" t="s">
        <v>12636</v>
      </c>
      <c r="G21573" t="s">
        <v>16844</v>
      </c>
      <c r="H21573" t="s">
        <v>25631</v>
      </c>
    </row>
    <row r="21574" spans="1:8">
      <c r="F21574" t="s">
        <v>12637</v>
      </c>
      <c r="G21574" t="s">
        <v>16845</v>
      </c>
      <c r="H21574" t="s">
        <v>25632</v>
      </c>
    </row>
    <row r="21575" spans="1:8">
      <c r="A21575" t="s">
        <v>796</v>
      </c>
      <c r="B21575">
        <f>HYPERLINK("https://android.googlesource.com/platform/cts/+/cb59a502afba73e207420190fba0d9c8494a2763", "cb59a502afba73e207420190fba0d9c8494a2763")</f>
        <v>0</v>
      </c>
      <c r="C21575">
        <f>HYPERLINK("https://android.googlesource.com/platform/cts/+/85e7ffbf4b693bdea9403c116e17ce97e25795ec", "85e7ffbf4b693bdea9403c116e17ce97e25795ec")</f>
        <v>0</v>
      </c>
      <c r="D21575" t="s">
        <v>4949</v>
      </c>
      <c r="E21575" t="s">
        <v>6578</v>
      </c>
      <c r="F21575" t="s">
        <v>12638</v>
      </c>
      <c r="G21575" t="s">
        <v>16846</v>
      </c>
      <c r="H21575" t="s">
        <v>18829</v>
      </c>
    </row>
    <row r="21576" spans="1:8">
      <c r="H21576" t="s">
        <v>25633</v>
      </c>
    </row>
    <row r="21577" spans="1:8">
      <c r="H21577" t="s">
        <v>25634</v>
      </c>
    </row>
    <row r="21578" spans="1:8">
      <c r="H21578" t="s">
        <v>25635</v>
      </c>
    </row>
    <row r="21579" spans="1:8">
      <c r="H21579" t="s">
        <v>25636</v>
      </c>
    </row>
    <row r="21580" spans="1:8">
      <c r="F21580" t="s">
        <v>12639</v>
      </c>
      <c r="G21580" t="s">
        <v>16847</v>
      </c>
      <c r="H21580" t="s">
        <v>18829</v>
      </c>
    </row>
    <row r="21581" spans="1:8">
      <c r="H21581" t="s">
        <v>25637</v>
      </c>
    </row>
    <row r="21582" spans="1:8">
      <c r="H21582" t="s">
        <v>25638</v>
      </c>
    </row>
    <row r="21583" spans="1:8">
      <c r="A21583" t="s">
        <v>797</v>
      </c>
      <c r="B21583">
        <f>HYPERLINK("https://android.googlesource.com/platform/cts/+/e195d6834e63268748583b0f198220b7bd9788ae", "e195d6834e63268748583b0f198220b7bd9788ae")</f>
        <v>0</v>
      </c>
      <c r="C21583">
        <f>HYPERLINK("https://android.googlesource.com/platform/cts/+/297d1d6bb7143dc0f78e472a6939275270d5f38b", "297d1d6bb7143dc0f78e472a6939275270d5f38b")</f>
        <v>0</v>
      </c>
      <c r="D21583" t="s">
        <v>5029</v>
      </c>
      <c r="E21583" t="s">
        <v>6579</v>
      </c>
      <c r="F21583" t="s">
        <v>12335</v>
      </c>
      <c r="G21583" t="s">
        <v>16563</v>
      </c>
      <c r="H21583" t="s">
        <v>25639</v>
      </c>
    </row>
    <row r="21584" spans="1:8">
      <c r="F21584" t="s">
        <v>10780</v>
      </c>
      <c r="G21584" t="s">
        <v>15176</v>
      </c>
      <c r="H21584" t="s">
        <v>25639</v>
      </c>
    </row>
    <row r="21585" spans="1:8">
      <c r="F21585" t="s">
        <v>10644</v>
      </c>
      <c r="G21585" t="s">
        <v>15045</v>
      </c>
      <c r="H21585" t="s">
        <v>25639</v>
      </c>
    </row>
    <row r="21586" spans="1:8">
      <c r="F21586" t="s">
        <v>10645</v>
      </c>
      <c r="G21586" t="s">
        <v>15046</v>
      </c>
      <c r="H21586" t="s">
        <v>25639</v>
      </c>
    </row>
    <row r="21587" spans="1:8">
      <c r="F21587" t="s">
        <v>10781</v>
      </c>
      <c r="G21587" t="s">
        <v>15177</v>
      </c>
      <c r="H21587" t="s">
        <v>25639</v>
      </c>
    </row>
    <row r="21588" spans="1:8">
      <c r="H21588" t="s">
        <v>25640</v>
      </c>
    </row>
    <row r="21589" spans="1:8">
      <c r="F21589" t="s">
        <v>12316</v>
      </c>
      <c r="G21589" t="s">
        <v>16548</v>
      </c>
      <c r="H21589" t="s">
        <v>25639</v>
      </c>
    </row>
    <row r="21590" spans="1:8">
      <c r="F21590" t="s">
        <v>10646</v>
      </c>
      <c r="G21590" t="s">
        <v>15047</v>
      </c>
      <c r="H21590" t="s">
        <v>25639</v>
      </c>
    </row>
    <row r="21591" spans="1:8">
      <c r="A21591" t="s">
        <v>798</v>
      </c>
      <c r="B21591">
        <f>HYPERLINK("https://android.googlesource.com/platform/cts/+/a98f8da6829f6f2a8c1d8e680fd1791a4ad25ef5", "a98f8da6829f6f2a8c1d8e680fd1791a4ad25ef5")</f>
        <v>0</v>
      </c>
      <c r="C21591">
        <f>HYPERLINK("https://android.googlesource.com/platform/cts/+/297d1d6bb7143dc0f78e472a6939275270d5f38b", "297d1d6bb7143dc0f78e472a6939275270d5f38b")</f>
        <v>0</v>
      </c>
      <c r="D21591" t="s">
        <v>5094</v>
      </c>
      <c r="E21591" t="s">
        <v>6580</v>
      </c>
      <c r="F21591" t="s">
        <v>12640</v>
      </c>
      <c r="G21591" t="s">
        <v>16848</v>
      </c>
      <c r="H21591" t="s">
        <v>25641</v>
      </c>
    </row>
    <row r="21592" spans="1:8">
      <c r="A21592" t="s">
        <v>799</v>
      </c>
      <c r="B21592">
        <f>HYPERLINK("https://android.googlesource.com/platform/cts/+/48d0713d2102b38e54d91a622c72a9b210fe215d", "48d0713d2102b38e54d91a622c72a9b210fe215d")</f>
        <v>0</v>
      </c>
      <c r="C21592">
        <f>HYPERLINK("https://android.googlesource.com/platform/cts/+/1bd444a2cb59b61f362b5a4e020b6e297814335e", "1bd444a2cb59b61f362b5a4e020b6e297814335e")</f>
        <v>0</v>
      </c>
      <c r="D21592" t="s">
        <v>5095</v>
      </c>
      <c r="E21592" t="s">
        <v>6581</v>
      </c>
      <c r="F21592" t="s">
        <v>12641</v>
      </c>
      <c r="G21592" t="s">
        <v>16849</v>
      </c>
      <c r="H21592" t="s">
        <v>25642</v>
      </c>
    </row>
    <row r="21593" spans="1:8">
      <c r="H21593" t="s">
        <v>25643</v>
      </c>
    </row>
    <row r="21594" spans="1:8">
      <c r="H21594" t="s">
        <v>25644</v>
      </c>
    </row>
    <row r="21595" spans="1:8">
      <c r="H21595" t="s">
        <v>25645</v>
      </c>
    </row>
    <row r="21596" spans="1:8">
      <c r="A21596" t="s">
        <v>800</v>
      </c>
      <c r="B21596">
        <f>HYPERLINK("https://android.googlesource.com/platform/cts/+/948eda6f30123df653c313b24677543c994ab490", "948eda6f30123df653c313b24677543c994ab490")</f>
        <v>0</v>
      </c>
      <c r="C21596">
        <f>HYPERLINK("https://android.googlesource.com/platform/cts/+/f67a438341ae19fe7288be0cd85d9b13345e96a5", "f67a438341ae19fe7288be0cd85d9b13345e96a5")</f>
        <v>0</v>
      </c>
      <c r="D21596" t="s">
        <v>5096</v>
      </c>
      <c r="E21596" t="s">
        <v>6582</v>
      </c>
      <c r="F21596" t="s">
        <v>12642</v>
      </c>
      <c r="G21596" t="s">
        <v>16850</v>
      </c>
      <c r="H21596" t="s">
        <v>25646</v>
      </c>
    </row>
    <row r="21597" spans="1:8">
      <c r="A21597" t="s">
        <v>801</v>
      </c>
      <c r="B21597">
        <f>HYPERLINK("https://android.googlesource.com/platform/cts/+/f3b6b6771bfd40c4e27f5a48d1296da3b03008b6", "f3b6b6771bfd40c4e27f5a48d1296da3b03008b6")</f>
        <v>0</v>
      </c>
      <c r="C21597">
        <f>HYPERLINK("https://android.googlesource.com/platform/cts/+/8188149eacbc02670152d42d7417c116efff614f", "8188149eacbc02670152d42d7417c116efff614f")</f>
        <v>0</v>
      </c>
      <c r="D21597" t="s">
        <v>5097</v>
      </c>
      <c r="E21597" t="s">
        <v>6583</v>
      </c>
      <c r="F21597" t="s">
        <v>10668</v>
      </c>
      <c r="G21597" t="s">
        <v>15069</v>
      </c>
      <c r="H21597" t="s">
        <v>25647</v>
      </c>
    </row>
    <row r="21598" spans="1:8">
      <c r="A21598" t="s">
        <v>802</v>
      </c>
      <c r="B21598">
        <f>HYPERLINK("https://android.googlesource.com/platform/cts/+/17f1800667e726853dd987b94c2cf36d11cf9369", "17f1800667e726853dd987b94c2cf36d11cf9369")</f>
        <v>0</v>
      </c>
      <c r="C21598">
        <f>HYPERLINK("https://android.googlesource.com/platform/cts/+/948eda6f30123df653c313b24677543c994ab490", "948eda6f30123df653c313b24677543c994ab490")</f>
        <v>0</v>
      </c>
      <c r="D21598" t="s">
        <v>5098</v>
      </c>
      <c r="E21598" t="s">
        <v>6584</v>
      </c>
      <c r="F21598" t="s">
        <v>12642</v>
      </c>
      <c r="G21598" t="s">
        <v>16850</v>
      </c>
      <c r="H21598" t="s">
        <v>25648</v>
      </c>
    </row>
    <row r="21599" spans="1:8">
      <c r="H21599" t="s">
        <v>25649</v>
      </c>
    </row>
    <row r="21600" spans="1:8">
      <c r="A21600" t="s">
        <v>803</v>
      </c>
      <c r="B21600">
        <f>HYPERLINK("https://android.googlesource.com/platform/cts/+/b67e5b4b46c5b873e9d4287694e0e38cf58c2d7e", "b67e5b4b46c5b873e9d4287694e0e38cf58c2d7e")</f>
        <v>0</v>
      </c>
      <c r="C21600">
        <f>HYPERLINK("https://android.googlesource.com/platform/cts/+/fcc5aea0474bea66dc5b9d39498522a4128e01f3", "fcc5aea0474bea66dc5b9d39498522a4128e01f3")</f>
        <v>0</v>
      </c>
      <c r="D21600" t="s">
        <v>5011</v>
      </c>
      <c r="E21600" t="s">
        <v>6585</v>
      </c>
      <c r="F21600" t="s">
        <v>12642</v>
      </c>
      <c r="G21600" t="s">
        <v>16850</v>
      </c>
      <c r="H21600" t="s">
        <v>25646</v>
      </c>
    </row>
    <row r="21601" spans="1:8">
      <c r="A21601" t="s">
        <v>804</v>
      </c>
      <c r="B21601">
        <f>HYPERLINK("https://android.googlesource.com/platform/cts/+/fe8fbf78494d523803777f8d677fd98e658992ea", "fe8fbf78494d523803777f8d677fd98e658992ea")</f>
        <v>0</v>
      </c>
      <c r="C21601">
        <f>HYPERLINK("https://android.googlesource.com/platform/cts/+/e7ecc2972ddbd1570c5092e1b5f3c40a5e70a781", "e7ecc2972ddbd1570c5092e1b5f3c40a5e70a781")</f>
        <v>0</v>
      </c>
      <c r="D21601" t="s">
        <v>5029</v>
      </c>
      <c r="E21601" t="s">
        <v>6586</v>
      </c>
      <c r="F21601" t="s">
        <v>12643</v>
      </c>
      <c r="G21601" t="s">
        <v>15001</v>
      </c>
      <c r="H21601" t="s">
        <v>18856</v>
      </c>
    </row>
    <row r="21602" spans="1:8">
      <c r="A21602" t="s">
        <v>805</v>
      </c>
      <c r="B21602">
        <f>HYPERLINK("https://android.googlesource.com/platform/cts/+/4ed3b6c02b917394dfc68c4d421c4b935a3325c8", "4ed3b6c02b917394dfc68c4d421c4b935a3325c8")</f>
        <v>0</v>
      </c>
      <c r="C21602">
        <f>HYPERLINK("https://android.googlesource.com/platform/cts/+/95ee48203ed2c4dd64a5364fed26ae626a33c481", "95ee48203ed2c4dd64a5364fed26ae626a33c481")</f>
        <v>0</v>
      </c>
      <c r="D21602" t="s">
        <v>5069</v>
      </c>
      <c r="E21602" t="s">
        <v>6587</v>
      </c>
      <c r="F21602" t="s">
        <v>12644</v>
      </c>
      <c r="G21602" t="s">
        <v>16851</v>
      </c>
      <c r="H21602" t="s">
        <v>19010</v>
      </c>
    </row>
    <row r="21603" spans="1:8">
      <c r="H21603" t="s">
        <v>18835</v>
      </c>
    </row>
    <row r="21604" spans="1:8">
      <c r="H21604" t="s">
        <v>25650</v>
      </c>
    </row>
    <row r="21605" spans="1:8">
      <c r="A21605" t="s">
        <v>806</v>
      </c>
      <c r="B21605">
        <f>HYPERLINK("https://android.googlesource.com/platform/cts/+/1a073be447b96901937855af7fc944598f1f06bf", "1a073be447b96901937855af7fc944598f1f06bf")</f>
        <v>0</v>
      </c>
      <c r="C21605">
        <f>HYPERLINK("https://android.googlesource.com/platform/cts/+/fcc5aea0474bea66dc5b9d39498522a4128e01f3", "fcc5aea0474bea66dc5b9d39498522a4128e01f3")</f>
        <v>0</v>
      </c>
      <c r="D21605" t="s">
        <v>5084</v>
      </c>
      <c r="E21605" t="s">
        <v>6588</v>
      </c>
      <c r="F21605" t="s">
        <v>12645</v>
      </c>
      <c r="G21605" t="s">
        <v>16852</v>
      </c>
      <c r="H21605" t="s">
        <v>18829</v>
      </c>
    </row>
    <row r="21606" spans="1:8">
      <c r="H21606" t="s">
        <v>18863</v>
      </c>
    </row>
    <row r="21607" spans="1:8">
      <c r="H21607" t="s">
        <v>25651</v>
      </c>
    </row>
    <row r="21608" spans="1:8">
      <c r="H21608" t="s">
        <v>25652</v>
      </c>
    </row>
    <row r="21609" spans="1:8">
      <c r="H21609" t="s">
        <v>25653</v>
      </c>
    </row>
    <row r="21610" spans="1:8">
      <c r="H21610" t="s">
        <v>25654</v>
      </c>
    </row>
    <row r="21611" spans="1:8">
      <c r="H21611" t="s">
        <v>25655</v>
      </c>
    </row>
    <row r="21612" spans="1:8">
      <c r="H21612" t="s">
        <v>25656</v>
      </c>
    </row>
    <row r="21613" spans="1:8">
      <c r="H21613" t="s">
        <v>25657</v>
      </c>
    </row>
    <row r="21614" spans="1:8">
      <c r="H21614" t="s">
        <v>25658</v>
      </c>
    </row>
    <row r="21615" spans="1:8">
      <c r="H21615" t="s">
        <v>25659</v>
      </c>
    </row>
    <row r="21616" spans="1:8">
      <c r="H21616" t="s">
        <v>25660</v>
      </c>
    </row>
    <row r="21617" spans="1:8">
      <c r="H21617" t="s">
        <v>25661</v>
      </c>
    </row>
    <row r="21618" spans="1:8">
      <c r="H21618" t="s">
        <v>25662</v>
      </c>
    </row>
    <row r="21619" spans="1:8">
      <c r="A21619" t="s">
        <v>807</v>
      </c>
      <c r="B21619">
        <f>HYPERLINK("https://android.googlesource.com/platform/cts/+/779eb03ca895dcf46dae4b1033da5e1e423591d2", "779eb03ca895dcf46dae4b1033da5e1e423591d2")</f>
        <v>0</v>
      </c>
      <c r="C21619">
        <f>HYPERLINK("https://android.googlesource.com/platform/cts/+/c90f606f964330d75f6080d4cb389e6cc633dd88", "c90f606f964330d75f6080d4cb389e6cc633dd88")</f>
        <v>0</v>
      </c>
      <c r="D21619" t="s">
        <v>5077</v>
      </c>
      <c r="E21619" t="s">
        <v>6589</v>
      </c>
      <c r="F21619" t="s">
        <v>12646</v>
      </c>
      <c r="G21619" t="s">
        <v>14989</v>
      </c>
      <c r="H21619" t="s">
        <v>25663</v>
      </c>
    </row>
    <row r="21620" spans="1:8">
      <c r="A21620" t="s">
        <v>808</v>
      </c>
      <c r="B21620">
        <f>HYPERLINK("https://android.googlesource.com/platform/cts/+/4621783a3e991184481bc8f2f853c4888fa78bdb", "4621783a3e991184481bc8f2f853c4888fa78bdb")</f>
        <v>0</v>
      </c>
      <c r="C21620">
        <f>HYPERLINK("https://android.googlesource.com/platform/cts/+/73965a872d2e4748f11ecec99f7bdb803226e21e", "73965a872d2e4748f11ecec99f7bdb803226e21e")</f>
        <v>0</v>
      </c>
      <c r="D21620" t="s">
        <v>5099</v>
      </c>
      <c r="E21620" t="s">
        <v>6590</v>
      </c>
      <c r="F21620" t="s">
        <v>11188</v>
      </c>
      <c r="G21620" t="s">
        <v>15577</v>
      </c>
      <c r="H21620" t="s">
        <v>20181</v>
      </c>
    </row>
    <row r="21621" spans="1:8">
      <c r="A21621" t="s">
        <v>809</v>
      </c>
      <c r="B21621">
        <f>HYPERLINK("https://android.googlesource.com/platform/cts/+/dd68739a3062ffff7159a2342a31d85557364f89", "dd68739a3062ffff7159a2342a31d85557364f89")</f>
        <v>0</v>
      </c>
      <c r="C21621">
        <f>HYPERLINK("https://android.googlesource.com/platform/cts/+/44657d4fcbc722bafa2129d76aa1e40de82c8361", "44657d4fcbc722bafa2129d76aa1e40de82c8361")</f>
        <v>0</v>
      </c>
      <c r="D21621" t="s">
        <v>5094</v>
      </c>
      <c r="E21621" t="s">
        <v>6591</v>
      </c>
      <c r="F21621" t="s">
        <v>12647</v>
      </c>
      <c r="G21621" t="s">
        <v>16853</v>
      </c>
      <c r="H21621" t="s">
        <v>25664</v>
      </c>
    </row>
    <row r="21622" spans="1:8">
      <c r="H21622" t="s">
        <v>25665</v>
      </c>
    </row>
    <row r="21623" spans="1:8">
      <c r="H21623" t="s">
        <v>25666</v>
      </c>
    </row>
    <row r="21624" spans="1:8">
      <c r="H21624" t="s">
        <v>25667</v>
      </c>
    </row>
    <row r="21625" spans="1:8">
      <c r="A21625" t="s">
        <v>810</v>
      </c>
      <c r="B21625">
        <f>HYPERLINK("https://android.googlesource.com/platform/cts/+/8fabf134e6971e2d2e756dab2386a3ab752e0adb", "8fabf134e6971e2d2e756dab2386a3ab752e0adb")</f>
        <v>0</v>
      </c>
      <c r="C21625">
        <f>HYPERLINK("https://android.googlesource.com/platform/cts/+/f2812948ac52dd0fe854492e4201841abc61eaa1", "f2812948ac52dd0fe854492e4201841abc61eaa1")</f>
        <v>0</v>
      </c>
      <c r="D21625" t="s">
        <v>5029</v>
      </c>
      <c r="E21625" t="s">
        <v>6592</v>
      </c>
      <c r="F21625" t="s">
        <v>10740</v>
      </c>
      <c r="G21625" t="s">
        <v>15139</v>
      </c>
      <c r="H21625" t="s">
        <v>19691</v>
      </c>
    </row>
    <row r="21626" spans="1:8">
      <c r="H21626" t="s">
        <v>25668</v>
      </c>
    </row>
    <row r="21627" spans="1:8">
      <c r="F21627" t="s">
        <v>10699</v>
      </c>
      <c r="G21627" t="s">
        <v>15099</v>
      </c>
      <c r="H21627" t="s">
        <v>25669</v>
      </c>
    </row>
    <row r="21628" spans="1:8">
      <c r="H21628" t="s">
        <v>25670</v>
      </c>
    </row>
    <row r="21629" spans="1:8">
      <c r="H21629" t="s">
        <v>25671</v>
      </c>
    </row>
    <row r="21630" spans="1:8">
      <c r="F21630" t="s">
        <v>11183</v>
      </c>
      <c r="G21630" t="s">
        <v>15572</v>
      </c>
      <c r="H21630" t="s">
        <v>25672</v>
      </c>
    </row>
    <row r="21631" spans="1:8">
      <c r="H21631" t="s">
        <v>25673</v>
      </c>
    </row>
    <row r="21632" spans="1:8">
      <c r="H21632" t="s">
        <v>25674</v>
      </c>
    </row>
    <row r="21633" spans="1:8">
      <c r="A21633" t="s">
        <v>811</v>
      </c>
      <c r="B21633">
        <f>HYPERLINK("https://android.googlesource.com/platform/cts/+/71862d1d0fe88bf924c0ed3263b5c109cb24fb9a", "71862d1d0fe88bf924c0ed3263b5c109cb24fb9a")</f>
        <v>0</v>
      </c>
      <c r="C21633">
        <f>HYPERLINK("https://android.googlesource.com/platform/cts/+/ecab77f1f4e09ca23d2b40e54a64b809513372c3", "ecab77f1f4e09ca23d2b40e54a64b809513372c3")</f>
        <v>0</v>
      </c>
      <c r="D21633" t="s">
        <v>5029</v>
      </c>
      <c r="E21633" t="s">
        <v>6593</v>
      </c>
      <c r="F21633" t="s">
        <v>10676</v>
      </c>
      <c r="G21633" t="s">
        <v>15076</v>
      </c>
      <c r="H21633" t="s">
        <v>25675</v>
      </c>
    </row>
    <row r="21634" spans="1:8">
      <c r="F21634" t="s">
        <v>12648</v>
      </c>
      <c r="G21634" t="s">
        <v>16854</v>
      </c>
      <c r="H21634" t="s">
        <v>25676</v>
      </c>
    </row>
    <row r="21635" spans="1:8">
      <c r="F21635" t="s">
        <v>12649</v>
      </c>
      <c r="G21635" t="s">
        <v>16855</v>
      </c>
      <c r="H21635" t="s">
        <v>18829</v>
      </c>
    </row>
    <row r="21636" spans="1:8">
      <c r="H21636" t="s">
        <v>25677</v>
      </c>
    </row>
    <row r="21637" spans="1:8">
      <c r="H21637" t="s">
        <v>25678</v>
      </c>
    </row>
    <row r="21638" spans="1:8">
      <c r="H21638" t="s">
        <v>25679</v>
      </c>
    </row>
    <row r="21639" spans="1:8">
      <c r="H21639" t="s">
        <v>25680</v>
      </c>
    </row>
    <row r="21640" spans="1:8">
      <c r="H21640" t="s">
        <v>25680</v>
      </c>
    </row>
    <row r="21641" spans="1:8">
      <c r="H21641" t="s">
        <v>20086</v>
      </c>
    </row>
    <row r="21642" spans="1:8">
      <c r="A21642" t="s">
        <v>812</v>
      </c>
      <c r="B21642">
        <f>HYPERLINK("https://android.googlesource.com/platform/cts/+/94ff9acb48eed2d6f26a82dba135db26302119dc", "94ff9acb48eed2d6f26a82dba135db26302119dc")</f>
        <v>0</v>
      </c>
      <c r="C21642">
        <f>HYPERLINK("https://android.googlesource.com/platform/cts/+/e61750ede37975a61e9053f7139e36223d721c77", "e61750ede37975a61e9053f7139e36223d721c77")</f>
        <v>0</v>
      </c>
      <c r="D21642" t="s">
        <v>5029</v>
      </c>
      <c r="E21642" t="s">
        <v>6593</v>
      </c>
      <c r="F21642" t="s">
        <v>10676</v>
      </c>
      <c r="G21642" t="s">
        <v>15076</v>
      </c>
      <c r="H21642" t="s">
        <v>25675</v>
      </c>
    </row>
    <row r="21643" spans="1:8">
      <c r="F21643" t="s">
        <v>12648</v>
      </c>
      <c r="G21643" t="s">
        <v>16854</v>
      </c>
      <c r="H21643" t="s">
        <v>25676</v>
      </c>
    </row>
    <row r="21644" spans="1:8">
      <c r="F21644" t="s">
        <v>12649</v>
      </c>
      <c r="G21644" t="s">
        <v>16855</v>
      </c>
      <c r="H21644" t="s">
        <v>18829</v>
      </c>
    </row>
    <row r="21645" spans="1:8">
      <c r="H21645" t="s">
        <v>25677</v>
      </c>
    </row>
    <row r="21646" spans="1:8">
      <c r="H21646" t="s">
        <v>25678</v>
      </c>
    </row>
    <row r="21647" spans="1:8">
      <c r="H21647" t="s">
        <v>25679</v>
      </c>
    </row>
    <row r="21648" spans="1:8">
      <c r="H21648" t="s">
        <v>25680</v>
      </c>
    </row>
    <row r="21649" spans="1:8">
      <c r="H21649" t="s">
        <v>25680</v>
      </c>
    </row>
    <row r="21650" spans="1:8">
      <c r="H21650" t="s">
        <v>20086</v>
      </c>
    </row>
    <row r="21651" spans="1:8">
      <c r="A21651" t="s">
        <v>813</v>
      </c>
      <c r="B21651">
        <f>HYPERLINK("https://android.googlesource.com/platform/cts/+/b054026b4d0347f958de7c4b3eaa6a52ff3d20cd", "b054026b4d0347f958de7c4b3eaa6a52ff3d20cd")</f>
        <v>0</v>
      </c>
      <c r="C21651">
        <f>HYPERLINK("https://android.googlesource.com/platform/cts/+/329f4b93faf91fcd62f4cbfd93a29221c3768ebc", "329f4b93faf91fcd62f4cbfd93a29221c3768ebc")</f>
        <v>0</v>
      </c>
      <c r="D21651" t="s">
        <v>5002</v>
      </c>
      <c r="E21651" t="s">
        <v>6594</v>
      </c>
      <c r="F21651" t="s">
        <v>12562</v>
      </c>
      <c r="G21651" t="s">
        <v>16778</v>
      </c>
      <c r="H21651" t="s">
        <v>22186</v>
      </c>
    </row>
    <row r="21652" spans="1:8">
      <c r="H21652" t="s">
        <v>22187</v>
      </c>
    </row>
    <row r="21653" spans="1:8">
      <c r="H21653" t="s">
        <v>22188</v>
      </c>
    </row>
    <row r="21654" spans="1:8">
      <c r="H21654" t="s">
        <v>22189</v>
      </c>
    </row>
    <row r="21655" spans="1:8">
      <c r="F21655" t="s">
        <v>10942</v>
      </c>
      <c r="G21655" t="s">
        <v>14991</v>
      </c>
      <c r="H21655" t="s">
        <v>25681</v>
      </c>
    </row>
    <row r="21656" spans="1:8">
      <c r="H21656" t="s">
        <v>25682</v>
      </c>
    </row>
    <row r="21657" spans="1:8">
      <c r="H21657" t="s">
        <v>25683</v>
      </c>
    </row>
    <row r="21658" spans="1:8">
      <c r="H21658" t="s">
        <v>25684</v>
      </c>
    </row>
    <row r="21659" spans="1:8">
      <c r="H21659" t="s">
        <v>19747</v>
      </c>
    </row>
    <row r="21660" spans="1:8">
      <c r="H21660" t="s">
        <v>25685</v>
      </c>
    </row>
    <row r="21661" spans="1:8">
      <c r="A21661" t="s">
        <v>814</v>
      </c>
      <c r="B21661">
        <f>HYPERLINK("https://android.googlesource.com/platform/cts/+/992b459293c4dcae2a12cdf5923e3e26a476bd1a", "992b459293c4dcae2a12cdf5923e3e26a476bd1a")</f>
        <v>0</v>
      </c>
      <c r="C21661">
        <f>HYPERLINK("https://android.googlesource.com/platform/cts/+/b054026b4d0347f958de7c4b3eaa6a52ff3d20cd", "b054026b4d0347f958de7c4b3eaa6a52ff3d20cd")</f>
        <v>0</v>
      </c>
      <c r="D21661" t="s">
        <v>5100</v>
      </c>
      <c r="E21661" t="s">
        <v>6595</v>
      </c>
      <c r="F21661" t="s">
        <v>12650</v>
      </c>
      <c r="G21661" t="s">
        <v>16856</v>
      </c>
      <c r="H21661" t="s">
        <v>22186</v>
      </c>
    </row>
    <row r="21662" spans="1:8">
      <c r="H21662" t="s">
        <v>25686</v>
      </c>
    </row>
    <row r="21663" spans="1:8">
      <c r="H21663" t="s">
        <v>22189</v>
      </c>
    </row>
    <row r="21664" spans="1:8">
      <c r="F21664" t="s">
        <v>10942</v>
      </c>
      <c r="G21664" t="s">
        <v>14991</v>
      </c>
      <c r="H21664" t="s">
        <v>25687</v>
      </c>
    </row>
    <row r="21665" spans="1:8">
      <c r="H21665" t="s">
        <v>25688</v>
      </c>
    </row>
    <row r="21666" spans="1:8">
      <c r="A21666" t="s">
        <v>815</v>
      </c>
      <c r="B21666">
        <f>HYPERLINK("https://android.googlesource.com/platform/cts/+/92423df543c8e11070c57585a6450e7f4e9a1a42", "92423df543c8e11070c57585a6450e7f4e9a1a42")</f>
        <v>0</v>
      </c>
      <c r="C21666">
        <f>HYPERLINK("https://android.googlesource.com/platform/cts/+/1b545b6700621d46c4c85a83c39706e9f9a2b8af", "1b545b6700621d46c4c85a83c39706e9f9a2b8af")</f>
        <v>0</v>
      </c>
      <c r="D21666" t="s">
        <v>5002</v>
      </c>
      <c r="E21666" t="s">
        <v>6596</v>
      </c>
      <c r="F21666" t="s">
        <v>12562</v>
      </c>
      <c r="G21666" t="s">
        <v>16778</v>
      </c>
      <c r="H21666" t="s">
        <v>22186</v>
      </c>
    </row>
    <row r="21667" spans="1:8">
      <c r="H21667" t="s">
        <v>22187</v>
      </c>
    </row>
    <row r="21668" spans="1:8">
      <c r="H21668" t="s">
        <v>22188</v>
      </c>
    </row>
    <row r="21669" spans="1:8">
      <c r="H21669" t="s">
        <v>22189</v>
      </c>
    </row>
    <row r="21670" spans="1:8">
      <c r="F21670" t="s">
        <v>10942</v>
      </c>
      <c r="G21670" t="s">
        <v>14991</v>
      </c>
      <c r="H21670" t="s">
        <v>25681</v>
      </c>
    </row>
    <row r="21671" spans="1:8">
      <c r="H21671" t="s">
        <v>25682</v>
      </c>
    </row>
    <row r="21672" spans="1:8">
      <c r="H21672" t="s">
        <v>25683</v>
      </c>
    </row>
    <row r="21673" spans="1:8">
      <c r="H21673" t="s">
        <v>25684</v>
      </c>
    </row>
    <row r="21674" spans="1:8">
      <c r="H21674" t="s">
        <v>19747</v>
      </c>
    </row>
    <row r="21675" spans="1:8">
      <c r="H21675" t="s">
        <v>25685</v>
      </c>
    </row>
    <row r="21676" spans="1:8">
      <c r="A21676" t="s">
        <v>816</v>
      </c>
      <c r="B21676">
        <f>HYPERLINK("https://android.googlesource.com/platform/cts/+/707b5430004bfc7e59cd418262196a88754f7114", "707b5430004bfc7e59cd418262196a88754f7114")</f>
        <v>0</v>
      </c>
      <c r="C21676">
        <f>HYPERLINK("https://android.googlesource.com/platform/cts/+/9a3e1c7df595c35c338c43511d2568c1209d965b", "9a3e1c7df595c35c338c43511d2568c1209d965b")</f>
        <v>0</v>
      </c>
      <c r="D21676" t="s">
        <v>5002</v>
      </c>
      <c r="E21676" t="s">
        <v>6597</v>
      </c>
      <c r="F21676" t="s">
        <v>12651</v>
      </c>
      <c r="G21676" t="s">
        <v>16857</v>
      </c>
      <c r="H21676" t="s">
        <v>25689</v>
      </c>
    </row>
    <row r="21677" spans="1:8">
      <c r="A21677" t="s">
        <v>817</v>
      </c>
      <c r="B21677">
        <f>HYPERLINK("https://android.googlesource.com/platform/cts/+/ae663de2120beb9de33d57e2c0ebfa6662e1d9f8", "ae663de2120beb9de33d57e2c0ebfa6662e1d9f8")</f>
        <v>0</v>
      </c>
      <c r="C21677">
        <f>HYPERLINK("https://android.googlesource.com/platform/cts/+/84ed05f1db7927e492773055445cc180cf590f1c", "84ed05f1db7927e492773055445cc180cf590f1c")</f>
        <v>0</v>
      </c>
      <c r="D21677" t="s">
        <v>5029</v>
      </c>
      <c r="E21677" t="s">
        <v>6598</v>
      </c>
      <c r="F21677" t="s">
        <v>10674</v>
      </c>
      <c r="G21677" t="s">
        <v>15074</v>
      </c>
      <c r="H21677" t="s">
        <v>25690</v>
      </c>
    </row>
    <row r="21678" spans="1:8">
      <c r="H21678" t="s">
        <v>25691</v>
      </c>
    </row>
    <row r="21679" spans="1:8">
      <c r="H21679" t="s">
        <v>25691</v>
      </c>
    </row>
    <row r="21680" spans="1:8">
      <c r="H21680" t="s">
        <v>25692</v>
      </c>
    </row>
    <row r="21681" spans="8:8">
      <c r="H21681" t="s">
        <v>25692</v>
      </c>
    </row>
    <row r="21682" spans="8:8">
      <c r="H21682" t="s">
        <v>25693</v>
      </c>
    </row>
    <row r="21683" spans="8:8">
      <c r="H21683" t="s">
        <v>25694</v>
      </c>
    </row>
    <row r="21684" spans="8:8">
      <c r="H21684" t="s">
        <v>19397</v>
      </c>
    </row>
    <row r="21685" spans="8:8">
      <c r="H21685" t="s">
        <v>19397</v>
      </c>
    </row>
    <row r="21686" spans="8:8">
      <c r="H21686" t="s">
        <v>19397</v>
      </c>
    </row>
    <row r="21687" spans="8:8">
      <c r="H21687" t="s">
        <v>19397</v>
      </c>
    </row>
    <row r="21688" spans="8:8">
      <c r="H21688" t="s">
        <v>25695</v>
      </c>
    </row>
    <row r="21689" spans="8:8">
      <c r="H21689" t="s">
        <v>25695</v>
      </c>
    </row>
    <row r="21690" spans="8:8">
      <c r="H21690" t="s">
        <v>25695</v>
      </c>
    </row>
    <row r="21691" spans="8:8">
      <c r="H21691" t="s">
        <v>25695</v>
      </c>
    </row>
    <row r="21692" spans="8:8">
      <c r="H21692" t="s">
        <v>25696</v>
      </c>
    </row>
    <row r="21693" spans="8:8">
      <c r="H21693" t="s">
        <v>25697</v>
      </c>
    </row>
    <row r="21694" spans="8:8">
      <c r="H21694" t="s">
        <v>25698</v>
      </c>
    </row>
    <row r="21695" spans="8:8">
      <c r="H21695" t="s">
        <v>19333</v>
      </c>
    </row>
    <row r="21696" spans="8:8">
      <c r="H21696" t="s">
        <v>25699</v>
      </c>
    </row>
    <row r="21697" spans="1:8">
      <c r="H21697" t="s">
        <v>25700</v>
      </c>
    </row>
    <row r="21698" spans="1:8">
      <c r="H21698" t="s">
        <v>25701</v>
      </c>
    </row>
    <row r="21699" spans="1:8">
      <c r="H21699" t="s">
        <v>25702</v>
      </c>
    </row>
    <row r="21700" spans="1:8">
      <c r="H21700" t="s">
        <v>25703</v>
      </c>
    </row>
    <row r="21701" spans="1:8">
      <c r="H21701" t="s">
        <v>19831</v>
      </c>
    </row>
    <row r="21702" spans="1:8">
      <c r="H21702" t="s">
        <v>19133</v>
      </c>
    </row>
    <row r="21703" spans="1:8">
      <c r="H21703" t="s">
        <v>25704</v>
      </c>
    </row>
    <row r="21704" spans="1:8">
      <c r="H21704" t="s">
        <v>25705</v>
      </c>
    </row>
    <row r="21705" spans="1:8">
      <c r="H21705" t="s">
        <v>25706</v>
      </c>
    </row>
    <row r="21706" spans="1:8">
      <c r="H21706" t="s">
        <v>25707</v>
      </c>
    </row>
    <row r="21707" spans="1:8">
      <c r="H21707" t="s">
        <v>25708</v>
      </c>
    </row>
    <row r="21708" spans="1:8">
      <c r="H21708" t="s">
        <v>25709</v>
      </c>
    </row>
    <row r="21709" spans="1:8">
      <c r="H21709" t="s">
        <v>25710</v>
      </c>
    </row>
    <row r="21710" spans="1:8">
      <c r="H21710" t="s">
        <v>19687</v>
      </c>
    </row>
    <row r="21711" spans="1:8">
      <c r="A21711" t="s">
        <v>818</v>
      </c>
      <c r="B21711">
        <f>HYPERLINK("https://android.googlesource.com/platform/cts/+/b107f79e3b190540cee21986d458226d3e2f338c", "b107f79e3b190540cee21986d458226d3e2f338c")</f>
        <v>0</v>
      </c>
      <c r="C21711">
        <f>HYPERLINK("https://android.googlesource.com/platform/cts/+/f62da83791dc668f8e222dd05e077b7e61154d3a", "f62da83791dc668f8e222dd05e077b7e61154d3a")</f>
        <v>0</v>
      </c>
      <c r="D21711" t="s">
        <v>5101</v>
      </c>
      <c r="E21711" t="s">
        <v>6599</v>
      </c>
      <c r="F21711" t="s">
        <v>12399</v>
      </c>
      <c r="G21711" t="s">
        <v>16606</v>
      </c>
      <c r="H21711" t="s">
        <v>25711</v>
      </c>
    </row>
    <row r="21712" spans="1:8">
      <c r="A21712" t="s">
        <v>819</v>
      </c>
      <c r="B21712">
        <f>HYPERLINK("https://android.googlesource.com/platform/cts/+/1743a5db4b49e43e3c52a768eef6ec2fa54eb940", "1743a5db4b49e43e3c52a768eef6ec2fa54eb940")</f>
        <v>0</v>
      </c>
      <c r="C21712">
        <f>HYPERLINK("https://android.googlesource.com/platform/cts/+/1674b99db40fdebf9faa2cbdc7f64152ab15537a", "1674b99db40fdebf9faa2cbdc7f64152ab15537a")</f>
        <v>0</v>
      </c>
      <c r="D21712" t="s">
        <v>5077</v>
      </c>
      <c r="E21712" t="s">
        <v>6600</v>
      </c>
      <c r="F21712" t="s">
        <v>12652</v>
      </c>
      <c r="G21712" t="s">
        <v>16858</v>
      </c>
      <c r="H21712" t="s">
        <v>25712</v>
      </c>
    </row>
    <row r="21713" spans="1:8">
      <c r="H21713" t="s">
        <v>25713</v>
      </c>
    </row>
    <row r="21714" spans="1:8">
      <c r="F21714" t="s">
        <v>12646</v>
      </c>
      <c r="G21714" t="s">
        <v>14989</v>
      </c>
      <c r="H21714" t="s">
        <v>25712</v>
      </c>
    </row>
    <row r="21715" spans="1:8">
      <c r="H21715" t="s">
        <v>25714</v>
      </c>
    </row>
    <row r="21716" spans="1:8">
      <c r="A21716" t="s">
        <v>820</v>
      </c>
      <c r="B21716">
        <f>HYPERLINK("https://android.googlesource.com/platform/cts/+/6006a91403f6e633e243728ea0531f9e47e47483", "6006a91403f6e633e243728ea0531f9e47e47483")</f>
        <v>0</v>
      </c>
      <c r="C21716">
        <f>HYPERLINK("https://android.googlesource.com/platform/cts/+/cb7962c01f5b5f48874e75de9787962151470e26", "cb7962c01f5b5f48874e75de9787962151470e26")</f>
        <v>0</v>
      </c>
      <c r="D21716" t="s">
        <v>5057</v>
      </c>
      <c r="E21716" t="s">
        <v>6601</v>
      </c>
      <c r="F21716" t="s">
        <v>12653</v>
      </c>
      <c r="G21716" t="s">
        <v>16859</v>
      </c>
      <c r="H21716" t="s">
        <v>25715</v>
      </c>
    </row>
    <row r="21717" spans="1:8">
      <c r="A21717" t="s">
        <v>821</v>
      </c>
      <c r="B21717">
        <f>HYPERLINK("https://android.googlesource.com/platform/cts/+/dca453b6e0aaaf16b2af6662a7da4f8f92726fee", "dca453b6e0aaaf16b2af6662a7da4f8f92726fee")</f>
        <v>0</v>
      </c>
      <c r="C21717">
        <f>HYPERLINK("https://android.googlesource.com/platform/cts/+/2e51868a583d523cfbbb5e6a243a86be02ec19e3", "2e51868a583d523cfbbb5e6a243a86be02ec19e3")</f>
        <v>0</v>
      </c>
      <c r="D21717" t="s">
        <v>5002</v>
      </c>
      <c r="E21717" t="s">
        <v>6602</v>
      </c>
      <c r="F21717" t="s">
        <v>12654</v>
      </c>
      <c r="G21717" t="s">
        <v>16860</v>
      </c>
      <c r="H21717" t="s">
        <v>18829</v>
      </c>
    </row>
    <row r="21718" spans="1:8">
      <c r="H21718" t="s">
        <v>18863</v>
      </c>
    </row>
    <row r="21719" spans="1:8">
      <c r="H21719" t="s">
        <v>25716</v>
      </c>
    </row>
    <row r="21720" spans="1:8">
      <c r="H21720" t="s">
        <v>25717</v>
      </c>
    </row>
    <row r="21721" spans="1:8">
      <c r="H21721" t="s">
        <v>25718</v>
      </c>
    </row>
    <row r="21722" spans="1:8">
      <c r="H21722" t="s">
        <v>25719</v>
      </c>
    </row>
    <row r="21723" spans="1:8">
      <c r="F21723" t="s">
        <v>12655</v>
      </c>
      <c r="G21723" t="s">
        <v>15044</v>
      </c>
      <c r="H21723" t="s">
        <v>25720</v>
      </c>
    </row>
    <row r="21724" spans="1:8">
      <c r="H21724" t="s">
        <v>18931</v>
      </c>
    </row>
    <row r="21725" spans="1:8">
      <c r="H21725" t="s">
        <v>25721</v>
      </c>
    </row>
    <row r="21726" spans="1:8">
      <c r="H21726" t="s">
        <v>25722</v>
      </c>
    </row>
    <row r="21727" spans="1:8">
      <c r="H21727" t="s">
        <v>25723</v>
      </c>
    </row>
    <row r="21728" spans="1:8">
      <c r="H21728" t="s">
        <v>20444</v>
      </c>
    </row>
    <row r="21729" spans="1:8">
      <c r="H21729" t="s">
        <v>19792</v>
      </c>
    </row>
    <row r="21730" spans="1:8">
      <c r="H21730" t="s">
        <v>19794</v>
      </c>
    </row>
    <row r="21731" spans="1:8">
      <c r="H21731" t="s">
        <v>19793</v>
      </c>
    </row>
    <row r="21732" spans="1:8">
      <c r="H21732" t="s">
        <v>19795</v>
      </c>
    </row>
    <row r="21733" spans="1:8">
      <c r="H21733" t="s">
        <v>18820</v>
      </c>
    </row>
    <row r="21734" spans="1:8">
      <c r="H21734" t="s">
        <v>18824</v>
      </c>
    </row>
    <row r="21735" spans="1:8">
      <c r="H21735" t="s">
        <v>25687</v>
      </c>
    </row>
    <row r="21736" spans="1:8">
      <c r="H21736" t="s">
        <v>25688</v>
      </c>
    </row>
    <row r="21737" spans="1:8">
      <c r="H21737" t="s">
        <v>25724</v>
      </c>
    </row>
    <row r="21738" spans="1:8">
      <c r="H21738" t="s">
        <v>25725</v>
      </c>
    </row>
    <row r="21739" spans="1:8">
      <c r="H21739" t="s">
        <v>25726</v>
      </c>
    </row>
    <row r="21740" spans="1:8">
      <c r="H21740" t="s">
        <v>25727</v>
      </c>
    </row>
    <row r="21741" spans="1:8">
      <c r="H21741" t="s">
        <v>25728</v>
      </c>
    </row>
    <row r="21742" spans="1:8">
      <c r="H21742" t="s">
        <v>19735</v>
      </c>
    </row>
    <row r="21743" spans="1:8">
      <c r="A21743" t="s">
        <v>822</v>
      </c>
      <c r="B21743">
        <f>HYPERLINK("https://android.googlesource.com/platform/cts/+/555c73ad80728deb5c867d052423bb0c9f7d3235", "555c73ad80728deb5c867d052423bb0c9f7d3235")</f>
        <v>0</v>
      </c>
      <c r="C21743">
        <f>HYPERLINK("https://android.googlesource.com/platform/cts/+/0dc51bf02ef3fb6a152464888946493bffa92194", "0dc51bf02ef3fb6a152464888946493bffa92194")</f>
        <v>0</v>
      </c>
      <c r="D21743" t="s">
        <v>5084</v>
      </c>
      <c r="E21743" t="s">
        <v>6603</v>
      </c>
      <c r="F21743" t="s">
        <v>12645</v>
      </c>
      <c r="G21743" t="s">
        <v>16852</v>
      </c>
      <c r="H21743" t="s">
        <v>25651</v>
      </c>
    </row>
    <row r="21744" spans="1:8">
      <c r="H21744" t="s">
        <v>25655</v>
      </c>
    </row>
    <row r="21745" spans="1:8">
      <c r="H21745" t="s">
        <v>25659</v>
      </c>
    </row>
    <row r="21746" spans="1:8">
      <c r="A21746" t="s">
        <v>823</v>
      </c>
      <c r="B21746">
        <f>HYPERLINK("https://android.googlesource.com/platform/cts/+/7c0cc59cbe56d1ea48f346cf20c56cfe45705422", "7c0cc59cbe56d1ea48f346cf20c56cfe45705422")</f>
        <v>0</v>
      </c>
      <c r="C21746">
        <f>HYPERLINK("https://android.googlesource.com/platform/cts/+/66f5dec2becfa4dd81ccefc30d5422654dc8a33b", "66f5dec2becfa4dd81ccefc30d5422654dc8a33b")</f>
        <v>0</v>
      </c>
      <c r="D21746" t="s">
        <v>5057</v>
      </c>
      <c r="E21746" t="s">
        <v>6604</v>
      </c>
      <c r="F21746" t="s">
        <v>12656</v>
      </c>
      <c r="G21746" t="s">
        <v>16861</v>
      </c>
      <c r="H21746" t="s">
        <v>18863</v>
      </c>
    </row>
    <row r="21747" spans="1:8">
      <c r="A21747" t="s">
        <v>824</v>
      </c>
      <c r="B21747">
        <f>HYPERLINK("https://android.googlesource.com/platform/cts/+/778c37cff4fa34f27451a2c5eae6788fa2aeced9", "778c37cff4fa34f27451a2c5eae6788fa2aeced9")</f>
        <v>0</v>
      </c>
      <c r="C21747">
        <f>HYPERLINK("https://android.googlesource.com/platform/cts/+/99628d75564d5e89a8a05e599260f3e5b50430fd", "99628d75564d5e89a8a05e599260f3e5b50430fd")</f>
        <v>0</v>
      </c>
      <c r="D21747" t="s">
        <v>5100</v>
      </c>
      <c r="E21747" t="s">
        <v>6605</v>
      </c>
      <c r="F21747" t="s">
        <v>12656</v>
      </c>
      <c r="G21747" t="s">
        <v>16861</v>
      </c>
      <c r="H21747" t="s">
        <v>18863</v>
      </c>
    </row>
    <row r="21748" spans="1:8">
      <c r="A21748" t="s">
        <v>825</v>
      </c>
      <c r="B21748">
        <f>HYPERLINK("https://android.googlesource.com/platform/cts/+/78066c63e227ef9ecc0075fe5d1d5ad4a6209270", "78066c63e227ef9ecc0075fe5d1d5ad4a6209270")</f>
        <v>0</v>
      </c>
      <c r="C21748">
        <f>HYPERLINK("https://android.googlesource.com/platform/cts/+/4621783a3e991184481bc8f2f853c4888fa78bdb", "4621783a3e991184481bc8f2f853c4888fa78bdb")</f>
        <v>0</v>
      </c>
      <c r="D21748" t="s">
        <v>5028</v>
      </c>
      <c r="E21748" t="s">
        <v>6606</v>
      </c>
      <c r="F21748" t="s">
        <v>10670</v>
      </c>
      <c r="G21748" t="s">
        <v>15029</v>
      </c>
      <c r="H21748" t="s">
        <v>25729</v>
      </c>
    </row>
    <row r="21749" spans="1:8">
      <c r="A21749" t="s">
        <v>826</v>
      </c>
      <c r="B21749">
        <f>HYPERLINK("https://android.googlesource.com/platform/cts/+/d4fde18d4c00d4b0fe34331c4d69c3c366adb295", "d4fde18d4c00d4b0fe34331c4d69c3c366adb295")</f>
        <v>0</v>
      </c>
      <c r="C21749">
        <f>HYPERLINK("https://android.googlesource.com/platform/cts/+/85d33ed5f2dc092e9e0bff4f7ab847a03fd36890", "85d33ed5f2dc092e9e0bff4f7ab847a03fd36890")</f>
        <v>0</v>
      </c>
      <c r="D21749" t="s">
        <v>5077</v>
      </c>
      <c r="E21749" t="s">
        <v>6607</v>
      </c>
      <c r="F21749" t="s">
        <v>12657</v>
      </c>
      <c r="G21749" t="s">
        <v>16862</v>
      </c>
      <c r="H21749" t="s">
        <v>25730</v>
      </c>
    </row>
    <row r="21750" spans="1:8">
      <c r="F21750" t="s">
        <v>12633</v>
      </c>
      <c r="G21750" t="s">
        <v>16841</v>
      </c>
      <c r="H21750" t="s">
        <v>25730</v>
      </c>
    </row>
    <row r="21751" spans="1:8">
      <c r="A21751" t="s">
        <v>827</v>
      </c>
      <c r="B21751">
        <f>HYPERLINK("https://android.googlesource.com/platform/cts/+/6f05e5e6bcd17fa067f6f4a278bc863235be20e1", "6f05e5e6bcd17fa067f6f4a278bc863235be20e1")</f>
        <v>0</v>
      </c>
      <c r="C21751">
        <f>HYPERLINK("https://android.googlesource.com/platform/cts/+/781c5be79d48b603760746ab9e2e75151e3c7ea5", "781c5be79d48b603760746ab9e2e75151e3c7ea5")</f>
        <v>0</v>
      </c>
      <c r="D21751" t="s">
        <v>5077</v>
      </c>
      <c r="E21751" t="s">
        <v>6608</v>
      </c>
      <c r="F21751" t="s">
        <v>12646</v>
      </c>
      <c r="G21751" t="s">
        <v>14989</v>
      </c>
      <c r="H21751" t="s">
        <v>25731</v>
      </c>
    </row>
    <row r="21752" spans="1:8">
      <c r="H21752" t="s">
        <v>25732</v>
      </c>
    </row>
    <row r="21753" spans="1:8">
      <c r="H21753" t="s">
        <v>25733</v>
      </c>
    </row>
    <row r="21754" spans="1:8">
      <c r="H21754" t="s">
        <v>25734</v>
      </c>
    </row>
    <row r="21755" spans="1:8">
      <c r="H21755" t="s">
        <v>25735</v>
      </c>
    </row>
    <row r="21756" spans="1:8">
      <c r="H21756" t="s">
        <v>25736</v>
      </c>
    </row>
    <row r="21757" spans="1:8">
      <c r="F21757" t="s">
        <v>12658</v>
      </c>
      <c r="G21757" t="s">
        <v>16863</v>
      </c>
      <c r="H21757" t="s">
        <v>25737</v>
      </c>
    </row>
    <row r="21758" spans="1:8">
      <c r="A21758" t="s">
        <v>828</v>
      </c>
      <c r="B21758">
        <f>HYPERLINK("https://android.googlesource.com/platform/cts/+/51a6899f797ff4bec862e2c2b5755c19b49bf129", "51a6899f797ff4bec862e2c2b5755c19b49bf129")</f>
        <v>0</v>
      </c>
      <c r="C21758">
        <f>HYPERLINK("https://android.googlesource.com/platform/cts/+/8dcb307f9847ccaad06fbb858c0fcd4709612c0d", "8dcb307f9847ccaad06fbb858c0fcd4709612c0d")</f>
        <v>0</v>
      </c>
      <c r="D21758" t="s">
        <v>5077</v>
      </c>
      <c r="E21758" t="s">
        <v>6609</v>
      </c>
      <c r="F21758" t="s">
        <v>12659</v>
      </c>
      <c r="G21758" t="s">
        <v>16864</v>
      </c>
      <c r="H21758" t="s">
        <v>25738</v>
      </c>
    </row>
    <row r="21759" spans="1:8">
      <c r="H21759" t="s">
        <v>25739</v>
      </c>
    </row>
    <row r="21760" spans="1:8">
      <c r="H21760" t="s">
        <v>25740</v>
      </c>
    </row>
    <row r="21761" spans="1:8">
      <c r="H21761" t="s">
        <v>25741</v>
      </c>
    </row>
    <row r="21762" spans="1:8">
      <c r="H21762" t="s">
        <v>25733</v>
      </c>
    </row>
    <row r="21763" spans="1:8">
      <c r="H21763" t="s">
        <v>25734</v>
      </c>
    </row>
    <row r="21764" spans="1:8">
      <c r="H21764" t="s">
        <v>25742</v>
      </c>
    </row>
    <row r="21765" spans="1:8">
      <c r="H21765" t="s">
        <v>25743</v>
      </c>
    </row>
    <row r="21766" spans="1:8">
      <c r="A21766" t="s">
        <v>829</v>
      </c>
      <c r="B21766">
        <f>HYPERLINK("https://android.googlesource.com/platform/cts/+/233c38d4c89fb6cb65a6e6bdd48847ae2f9f7a2b", "233c38d4c89fb6cb65a6e6bdd48847ae2f9f7a2b")</f>
        <v>0</v>
      </c>
      <c r="C21766">
        <f>HYPERLINK("https://android.googlesource.com/platform/cts/+/2f73496079817471850f1dc77320f7f0be7e34fa", "2f73496079817471850f1dc77320f7f0be7e34fa")</f>
        <v>0</v>
      </c>
      <c r="D21766" t="s">
        <v>5102</v>
      </c>
      <c r="E21766" t="s">
        <v>6610</v>
      </c>
      <c r="F21766" t="s">
        <v>12660</v>
      </c>
      <c r="G21766" t="s">
        <v>16865</v>
      </c>
      <c r="H21766" t="s">
        <v>25744</v>
      </c>
    </row>
    <row r="21767" spans="1:8">
      <c r="A21767" t="s">
        <v>830</v>
      </c>
      <c r="B21767">
        <f>HYPERLINK("https://android.googlesource.com/platform/cts/+/c10f3a4fed39569b19d815f85f05bae8cb5858d9", "c10f3a4fed39569b19d815f85f05bae8cb5858d9")</f>
        <v>0</v>
      </c>
      <c r="C21767">
        <f>HYPERLINK("https://android.googlesource.com/platform/cts/+/18f21297e63d345973e46dd806d633ada6edda12", "18f21297e63d345973e46dd806d633ada6edda12")</f>
        <v>0</v>
      </c>
      <c r="D21767" t="s">
        <v>4949</v>
      </c>
      <c r="E21767" t="s">
        <v>6611</v>
      </c>
      <c r="F21767" t="s">
        <v>12246</v>
      </c>
      <c r="G21767" t="s">
        <v>16477</v>
      </c>
      <c r="H21767" t="s">
        <v>25745</v>
      </c>
    </row>
    <row r="21768" spans="1:8">
      <c r="H21768" t="s">
        <v>25746</v>
      </c>
    </row>
    <row r="21769" spans="1:8">
      <c r="H21769" t="s">
        <v>25747</v>
      </c>
    </row>
    <row r="21770" spans="1:8">
      <c r="A21770" t="s">
        <v>831</v>
      </c>
      <c r="B21770">
        <f>HYPERLINK("https://android.googlesource.com/platform/cts/+/81bf0890f40cd953967dbf31d66408adb4012f0c", "81bf0890f40cd953967dbf31d66408adb4012f0c")</f>
        <v>0</v>
      </c>
      <c r="C21770">
        <f>HYPERLINK("https://android.googlesource.com/platform/cts/+/e50cdc49a139830766ab7f02145338e21c227089", "e50cdc49a139830766ab7f02145338e21c227089")</f>
        <v>0</v>
      </c>
      <c r="D21770" t="s">
        <v>4981</v>
      </c>
      <c r="E21770" t="s">
        <v>6612</v>
      </c>
      <c r="F21770" t="s">
        <v>12227</v>
      </c>
      <c r="G21770" t="s">
        <v>16457</v>
      </c>
      <c r="H21770" t="s">
        <v>25748</v>
      </c>
    </row>
    <row r="21771" spans="1:8">
      <c r="F21771" t="s">
        <v>12168</v>
      </c>
      <c r="G21771" t="s">
        <v>16408</v>
      </c>
      <c r="H21771" t="s">
        <v>25749</v>
      </c>
    </row>
    <row r="21772" spans="1:8">
      <c r="H21772" t="s">
        <v>25750</v>
      </c>
    </row>
    <row r="21773" spans="1:8">
      <c r="H21773" t="s">
        <v>25751</v>
      </c>
    </row>
    <row r="21774" spans="1:8">
      <c r="H21774" t="s">
        <v>25752</v>
      </c>
    </row>
    <row r="21775" spans="1:8">
      <c r="H21775" t="s">
        <v>25753</v>
      </c>
    </row>
    <row r="21776" spans="1:8">
      <c r="H21776" t="s">
        <v>25754</v>
      </c>
    </row>
    <row r="21777" spans="1:8">
      <c r="F21777" t="s">
        <v>12661</v>
      </c>
      <c r="G21777" t="s">
        <v>16866</v>
      </c>
      <c r="H21777" t="s">
        <v>25748</v>
      </c>
    </row>
    <row r="21778" spans="1:8">
      <c r="F21778" t="s">
        <v>12166</v>
      </c>
      <c r="G21778" t="s">
        <v>16406</v>
      </c>
      <c r="H21778" t="s">
        <v>25755</v>
      </c>
    </row>
    <row r="21779" spans="1:8">
      <c r="A21779" t="s">
        <v>832</v>
      </c>
      <c r="B21779">
        <f>HYPERLINK("https://android.googlesource.com/platform/cts/+/3272ea6b27b39a78e3e1dd72b0486d48f21f3cb2", "3272ea6b27b39a78e3e1dd72b0486d48f21f3cb2")</f>
        <v>0</v>
      </c>
      <c r="C21779">
        <f>HYPERLINK("https://android.googlesource.com/platform/cts/+/27eff0c17a6733a3fdf8129b9c821b72025dcebb", "27eff0c17a6733a3fdf8129b9c821b72025dcebb")</f>
        <v>0</v>
      </c>
      <c r="D21779" t="s">
        <v>5002</v>
      </c>
      <c r="E21779" t="s">
        <v>6613</v>
      </c>
      <c r="F21779" t="s">
        <v>12662</v>
      </c>
      <c r="G21779" t="s">
        <v>16867</v>
      </c>
      <c r="H21779" t="s">
        <v>25756</v>
      </c>
    </row>
    <row r="21780" spans="1:8">
      <c r="F21780" t="s">
        <v>12663</v>
      </c>
      <c r="G21780" t="s">
        <v>16868</v>
      </c>
      <c r="H21780" t="s">
        <v>25757</v>
      </c>
    </row>
    <row r="21781" spans="1:8">
      <c r="F21781" t="s">
        <v>12664</v>
      </c>
      <c r="G21781" t="s">
        <v>16869</v>
      </c>
      <c r="H21781" t="s">
        <v>25758</v>
      </c>
    </row>
    <row r="21782" spans="1:8">
      <c r="H21782" t="s">
        <v>25759</v>
      </c>
    </row>
    <row r="21783" spans="1:8">
      <c r="H21783" t="s">
        <v>25760</v>
      </c>
    </row>
    <row r="21784" spans="1:8">
      <c r="H21784" t="s">
        <v>25761</v>
      </c>
    </row>
    <row r="21785" spans="1:8">
      <c r="H21785" t="s">
        <v>25762</v>
      </c>
    </row>
    <row r="21786" spans="1:8">
      <c r="H21786" t="s">
        <v>25763</v>
      </c>
    </row>
    <row r="21787" spans="1:8">
      <c r="H21787" t="s">
        <v>25764</v>
      </c>
    </row>
    <row r="21788" spans="1:8">
      <c r="H21788" t="s">
        <v>25765</v>
      </c>
    </row>
    <row r="21789" spans="1:8">
      <c r="H21789" t="s">
        <v>25766</v>
      </c>
    </row>
    <row r="21790" spans="1:8">
      <c r="H21790" t="s">
        <v>25767</v>
      </c>
    </row>
    <row r="21791" spans="1:8">
      <c r="H21791" t="s">
        <v>25768</v>
      </c>
    </row>
    <row r="21792" spans="1:8">
      <c r="H21792" t="s">
        <v>25769</v>
      </c>
    </row>
    <row r="21793" spans="1:8">
      <c r="H21793" t="s">
        <v>25770</v>
      </c>
    </row>
    <row r="21794" spans="1:8">
      <c r="H21794" t="s">
        <v>25771</v>
      </c>
    </row>
    <row r="21795" spans="1:8">
      <c r="H21795" t="s">
        <v>25772</v>
      </c>
    </row>
    <row r="21796" spans="1:8">
      <c r="H21796" t="s">
        <v>25773</v>
      </c>
    </row>
    <row r="21797" spans="1:8">
      <c r="A21797" t="s">
        <v>833</v>
      </c>
      <c r="B21797">
        <f>HYPERLINK("https://android.googlesource.com/platform/cts/+/ac45aaf8f6a9955af5dd17cded9b280b95449797", "ac45aaf8f6a9955af5dd17cded9b280b95449797")</f>
        <v>0</v>
      </c>
      <c r="C21797">
        <f>HYPERLINK("https://android.googlesource.com/platform/cts/+/322ac31215e70820d23deeda0eca7acd0d1aaf2d", "322ac31215e70820d23deeda0eca7acd0d1aaf2d")</f>
        <v>0</v>
      </c>
      <c r="D21797" t="s">
        <v>5086</v>
      </c>
      <c r="E21797" t="s">
        <v>6614</v>
      </c>
      <c r="F21797" t="s">
        <v>12665</v>
      </c>
      <c r="G21797" t="s">
        <v>16870</v>
      </c>
      <c r="H21797" t="s">
        <v>25774</v>
      </c>
    </row>
    <row r="21798" spans="1:8">
      <c r="A21798" t="s">
        <v>834</v>
      </c>
      <c r="B21798">
        <f>HYPERLINK("https://android.googlesource.com/platform/cts/+/7530eed68f92aacb835a76f641669e6ed139b738", "7530eed68f92aacb835a76f641669e6ed139b738")</f>
        <v>0</v>
      </c>
      <c r="C21798">
        <f>HYPERLINK("https://android.googlesource.com/platform/cts/+/d95b38b71f2edd18ce635cb6f7db7cb8a480f6db", "d95b38b71f2edd18ce635cb6f7db7cb8a480f6db")</f>
        <v>0</v>
      </c>
      <c r="D21798" t="s">
        <v>4981</v>
      </c>
      <c r="E21798" t="s">
        <v>6615</v>
      </c>
      <c r="F21798" t="s">
        <v>12666</v>
      </c>
      <c r="G21798" t="s">
        <v>16871</v>
      </c>
      <c r="H21798" t="s">
        <v>25497</v>
      </c>
    </row>
    <row r="21799" spans="1:8">
      <c r="H21799" t="s">
        <v>20244</v>
      </c>
    </row>
    <row r="21800" spans="1:8">
      <c r="H21800" t="s">
        <v>18829</v>
      </c>
    </row>
    <row r="21801" spans="1:8">
      <c r="H21801" t="s">
        <v>18863</v>
      </c>
    </row>
    <row r="21802" spans="1:8">
      <c r="H21802" t="s">
        <v>25775</v>
      </c>
    </row>
    <row r="21803" spans="1:8">
      <c r="H21803" t="s">
        <v>25776</v>
      </c>
    </row>
    <row r="21804" spans="1:8">
      <c r="A21804" t="s">
        <v>835</v>
      </c>
      <c r="B21804">
        <f>HYPERLINK("https://android.googlesource.com/platform/cts/+/55cf974acfbd9ad29cc65e0ea961cb07ba124ef4", "55cf974acfbd9ad29cc65e0ea961cb07ba124ef4")</f>
        <v>0</v>
      </c>
      <c r="C21804">
        <f>HYPERLINK("https://android.googlesource.com/platform/cts/+/0f19d7f64134ddeb14bcc9c5289179dabbf678bb", "0f19d7f64134ddeb14bcc9c5289179dabbf678bb")</f>
        <v>0</v>
      </c>
      <c r="D21804" t="s">
        <v>5086</v>
      </c>
      <c r="E21804" t="s">
        <v>6616</v>
      </c>
      <c r="F21804" t="s">
        <v>12629</v>
      </c>
      <c r="G21804" t="s">
        <v>16838</v>
      </c>
      <c r="H21804" t="s">
        <v>25777</v>
      </c>
    </row>
    <row r="21805" spans="1:8">
      <c r="F21805" t="s">
        <v>12419</v>
      </c>
      <c r="G21805" t="s">
        <v>16641</v>
      </c>
      <c r="H21805" t="s">
        <v>25778</v>
      </c>
    </row>
    <row r="21806" spans="1:8">
      <c r="H21806" t="s">
        <v>25779</v>
      </c>
    </row>
    <row r="21807" spans="1:8">
      <c r="H21807" t="s">
        <v>25780</v>
      </c>
    </row>
    <row r="21808" spans="1:8">
      <c r="H21808" t="s">
        <v>25781</v>
      </c>
    </row>
    <row r="21809" spans="1:8">
      <c r="H21809" t="s">
        <v>25782</v>
      </c>
    </row>
    <row r="21810" spans="1:8">
      <c r="H21810" t="s">
        <v>25783</v>
      </c>
    </row>
    <row r="21811" spans="1:8">
      <c r="A21811" t="s">
        <v>836</v>
      </c>
      <c r="B21811">
        <f>HYPERLINK("https://android.googlesource.com/platform/cts/+/c397e8e5defd0e273e76848af63e40c80d396da9", "c397e8e5defd0e273e76848af63e40c80d396da9")</f>
        <v>0</v>
      </c>
      <c r="C21811">
        <f>HYPERLINK("https://android.googlesource.com/platform/cts/+/2f73496079817471850f1dc77320f7f0be7e34fa", "2f73496079817471850f1dc77320f7f0be7e34fa")</f>
        <v>0</v>
      </c>
      <c r="D21811" t="s">
        <v>4937</v>
      </c>
      <c r="E21811" t="s">
        <v>6617</v>
      </c>
      <c r="F21811" t="s">
        <v>12667</v>
      </c>
      <c r="G21811" t="s">
        <v>16872</v>
      </c>
      <c r="H21811" t="s">
        <v>25784</v>
      </c>
    </row>
    <row r="21812" spans="1:8">
      <c r="H21812" t="s">
        <v>18829</v>
      </c>
    </row>
    <row r="21813" spans="1:8">
      <c r="H21813" t="s">
        <v>18863</v>
      </c>
    </row>
    <row r="21814" spans="1:8">
      <c r="H21814" t="s">
        <v>25785</v>
      </c>
    </row>
    <row r="21815" spans="1:8">
      <c r="H21815" t="s">
        <v>25786</v>
      </c>
    </row>
    <row r="21816" spans="1:8">
      <c r="H21816" t="s">
        <v>25787</v>
      </c>
    </row>
    <row r="21817" spans="1:8">
      <c r="H21817" t="s">
        <v>25788</v>
      </c>
    </row>
    <row r="21818" spans="1:8">
      <c r="H21818" t="s">
        <v>25789</v>
      </c>
    </row>
    <row r="21819" spans="1:8">
      <c r="H21819" t="s">
        <v>19019</v>
      </c>
    </row>
    <row r="21820" spans="1:8">
      <c r="H21820" t="s">
        <v>25790</v>
      </c>
    </row>
    <row r="21821" spans="1:8">
      <c r="H21821" t="s">
        <v>25790</v>
      </c>
    </row>
    <row r="21822" spans="1:8">
      <c r="H21822" t="s">
        <v>18930</v>
      </c>
    </row>
    <row r="21823" spans="1:8">
      <c r="F21823" t="s">
        <v>12668</v>
      </c>
      <c r="G21823" t="s">
        <v>16873</v>
      </c>
      <c r="H21823" t="s">
        <v>20083</v>
      </c>
    </row>
    <row r="21824" spans="1:8">
      <c r="H21824" t="s">
        <v>25791</v>
      </c>
    </row>
    <row r="21825" spans="1:8">
      <c r="H21825" t="s">
        <v>19426</v>
      </c>
    </row>
    <row r="21826" spans="1:8">
      <c r="H21826" t="s">
        <v>25792</v>
      </c>
    </row>
    <row r="21827" spans="1:8">
      <c r="H21827" t="s">
        <v>25793</v>
      </c>
    </row>
    <row r="21828" spans="1:8">
      <c r="H21828" t="s">
        <v>25794</v>
      </c>
    </row>
    <row r="21829" spans="1:8">
      <c r="A21829" t="s">
        <v>837</v>
      </c>
      <c r="B21829">
        <f>HYPERLINK("https://android.googlesource.com/platform/cts/+/f877c5a0f71713a6118f00af11744bed1540a802", "f877c5a0f71713a6118f00af11744bed1540a802")</f>
        <v>0</v>
      </c>
      <c r="C21829">
        <f>HYPERLINK("https://android.googlesource.com/platform/cts/+/5b5fb5e6be49bd395266ff003783ecfdf37cfb95", "5b5fb5e6be49bd395266ff003783ecfdf37cfb95")</f>
        <v>0</v>
      </c>
      <c r="D21829" t="s">
        <v>5086</v>
      </c>
      <c r="E21829" t="s">
        <v>6618</v>
      </c>
      <c r="F21829" t="s">
        <v>12629</v>
      </c>
      <c r="G21829" t="s">
        <v>16838</v>
      </c>
      <c r="H21829" t="s">
        <v>25795</v>
      </c>
    </row>
    <row r="21830" spans="1:8">
      <c r="A21830" t="s">
        <v>838</v>
      </c>
      <c r="B21830">
        <f>HYPERLINK("https://android.googlesource.com/platform/cts/+/1db396d56ceb9ab23937d3c833c8678ff9e9628a", "1db396d56ceb9ab23937d3c833c8678ff9e9628a")</f>
        <v>0</v>
      </c>
      <c r="C21830">
        <f>HYPERLINK("https://android.googlesource.com/platform/cts/+/f877c5a0f71713a6118f00af11744bed1540a802", "f877c5a0f71713a6118f00af11744bed1540a802")</f>
        <v>0</v>
      </c>
      <c r="D21830" t="s">
        <v>5086</v>
      </c>
      <c r="E21830" t="s">
        <v>6619</v>
      </c>
      <c r="F21830" t="s">
        <v>12669</v>
      </c>
      <c r="G21830" t="s">
        <v>16874</v>
      </c>
      <c r="H21830" t="s">
        <v>25796</v>
      </c>
    </row>
    <row r="21831" spans="1:8">
      <c r="H21831" t="s">
        <v>25797</v>
      </c>
    </row>
    <row r="21832" spans="1:8">
      <c r="H21832" t="s">
        <v>25798</v>
      </c>
    </row>
    <row r="21833" spans="1:8">
      <c r="H21833" t="s">
        <v>25799</v>
      </c>
    </row>
    <row r="21834" spans="1:8">
      <c r="F21834" t="s">
        <v>12629</v>
      </c>
      <c r="G21834" t="s">
        <v>16838</v>
      </c>
      <c r="H21834" t="s">
        <v>25800</v>
      </c>
    </row>
    <row r="21835" spans="1:8">
      <c r="A21835" t="s">
        <v>839</v>
      </c>
      <c r="B21835">
        <f>HYPERLINK("https://android.googlesource.com/platform/cts/+/e772d86ec7215f6976e8ff0418b70bc40f0dd327", "e772d86ec7215f6976e8ff0418b70bc40f0dd327")</f>
        <v>0</v>
      </c>
      <c r="C21835">
        <f>HYPERLINK("https://android.googlesource.com/platform/cts/+/1db396d56ceb9ab23937d3c833c8678ff9e9628a", "1db396d56ceb9ab23937d3c833c8678ff9e9628a")</f>
        <v>0</v>
      </c>
      <c r="D21835" t="s">
        <v>5086</v>
      </c>
      <c r="E21835" t="s">
        <v>6620</v>
      </c>
      <c r="F21835" t="s">
        <v>12629</v>
      </c>
      <c r="G21835" t="s">
        <v>16838</v>
      </c>
      <c r="H21835" t="s">
        <v>25801</v>
      </c>
    </row>
    <row r="21836" spans="1:8">
      <c r="A21836" t="s">
        <v>840</v>
      </c>
      <c r="B21836">
        <f>HYPERLINK("https://android.googlesource.com/platform/cts/+/84d67ea320b2ca5458c020bf2d68833b44f01e6b", "84d67ea320b2ca5458c020bf2d68833b44f01e6b")</f>
        <v>0</v>
      </c>
      <c r="C21836">
        <f>HYPERLINK("https://android.googlesource.com/platform/cts/+/3016c3204e8434e461c85cb9a8e6fb6cf37c0dbf", "3016c3204e8434e461c85cb9a8e6fb6cf37c0dbf")</f>
        <v>0</v>
      </c>
      <c r="D21836" t="s">
        <v>5103</v>
      </c>
      <c r="E21836" t="s">
        <v>6621</v>
      </c>
      <c r="F21836" t="s">
        <v>12399</v>
      </c>
      <c r="G21836" t="s">
        <v>16606</v>
      </c>
      <c r="H21836" t="s">
        <v>25802</v>
      </c>
    </row>
    <row r="21837" spans="1:8">
      <c r="H21837" t="s">
        <v>25803</v>
      </c>
    </row>
    <row r="21838" spans="1:8">
      <c r="H21838" t="s">
        <v>25804</v>
      </c>
    </row>
    <row r="21839" spans="1:8">
      <c r="A21839" t="s">
        <v>841</v>
      </c>
      <c r="B21839">
        <f>HYPERLINK("https://android.googlesource.com/platform/cts/+/63073b9181c2df218fbbc28ad5196c9b547ac814", "63073b9181c2df218fbbc28ad5196c9b547ac814")</f>
        <v>0</v>
      </c>
      <c r="C21839">
        <f>HYPERLINK("https://android.googlesource.com/platform/cts/+/750082e838885e25a566021578998f2bd1a265a6", "750082e838885e25a566021578998f2bd1a265a6")</f>
        <v>0</v>
      </c>
      <c r="D21839" t="s">
        <v>5104</v>
      </c>
      <c r="E21839" t="s">
        <v>6622</v>
      </c>
      <c r="F21839" t="s">
        <v>10700</v>
      </c>
      <c r="G21839" t="s">
        <v>15100</v>
      </c>
      <c r="H21839" t="s">
        <v>25805</v>
      </c>
    </row>
    <row r="21840" spans="1:8">
      <c r="A21840" t="s">
        <v>842</v>
      </c>
      <c r="B21840">
        <f>HYPERLINK("https://android.googlesource.com/platform/cts/+/682a07b9399f7fc80a025753884b6b621da96328", "682a07b9399f7fc80a025753884b6b621da96328")</f>
        <v>0</v>
      </c>
      <c r="C21840">
        <f>HYPERLINK("https://android.googlesource.com/platform/cts/+/e6b2323cee0957b36631473b3138de780b687e8a", "e6b2323cee0957b36631473b3138de780b687e8a")</f>
        <v>0</v>
      </c>
      <c r="D21840" t="s">
        <v>5105</v>
      </c>
      <c r="E21840" t="s">
        <v>6623</v>
      </c>
      <c r="F21840" t="s">
        <v>12670</v>
      </c>
      <c r="G21840" t="s">
        <v>16875</v>
      </c>
      <c r="H21840" t="s">
        <v>25806</v>
      </c>
    </row>
    <row r="21841" spans="1:8">
      <c r="A21841" t="s">
        <v>843</v>
      </c>
      <c r="B21841">
        <f>HYPERLINK("https://android.googlesource.com/platform/cts/+/7ffe1affde8af674c875fed310757c70c44e8339", "7ffe1affde8af674c875fed310757c70c44e8339")</f>
        <v>0</v>
      </c>
      <c r="C21841">
        <f>HYPERLINK("https://android.googlesource.com/platform/cts/+/4d478a45fc29d2a8edc81665a165610f9cf1a7d1", "4d478a45fc29d2a8edc81665a165610f9cf1a7d1")</f>
        <v>0</v>
      </c>
      <c r="D21841" t="s">
        <v>5057</v>
      </c>
      <c r="E21841" t="s">
        <v>6624</v>
      </c>
      <c r="F21841" t="s">
        <v>12656</v>
      </c>
      <c r="G21841" t="s">
        <v>16861</v>
      </c>
      <c r="H21841" t="s">
        <v>25807</v>
      </c>
    </row>
    <row r="21842" spans="1:8">
      <c r="H21842" t="s">
        <v>25808</v>
      </c>
    </row>
    <row r="21843" spans="1:8">
      <c r="H21843" t="s">
        <v>25809</v>
      </c>
    </row>
    <row r="21844" spans="1:8">
      <c r="H21844" t="s">
        <v>25810</v>
      </c>
    </row>
    <row r="21845" spans="1:8">
      <c r="H21845" t="s">
        <v>25811</v>
      </c>
    </row>
    <row r="21846" spans="1:8">
      <c r="H21846" t="s">
        <v>25812</v>
      </c>
    </row>
    <row r="21847" spans="1:8">
      <c r="H21847" t="s">
        <v>25813</v>
      </c>
    </row>
    <row r="21848" spans="1:8">
      <c r="H21848" t="s">
        <v>25814</v>
      </c>
    </row>
    <row r="21849" spans="1:8">
      <c r="H21849" t="s">
        <v>25815</v>
      </c>
    </row>
    <row r="21850" spans="1:8">
      <c r="H21850" t="s">
        <v>25816</v>
      </c>
    </row>
    <row r="21851" spans="1:8">
      <c r="H21851" t="s">
        <v>25817</v>
      </c>
    </row>
    <row r="21852" spans="1:8">
      <c r="H21852" t="s">
        <v>25818</v>
      </c>
    </row>
    <row r="21853" spans="1:8">
      <c r="H21853" t="s">
        <v>25819</v>
      </c>
    </row>
    <row r="21854" spans="1:8">
      <c r="H21854" t="s">
        <v>25820</v>
      </c>
    </row>
    <row r="21855" spans="1:8">
      <c r="H21855" t="s">
        <v>25821</v>
      </c>
    </row>
    <row r="21856" spans="1:8">
      <c r="H21856" t="s">
        <v>25822</v>
      </c>
    </row>
    <row r="21857" spans="1:8">
      <c r="H21857" t="s">
        <v>25823</v>
      </c>
    </row>
    <row r="21858" spans="1:8">
      <c r="H21858" t="s">
        <v>25824</v>
      </c>
    </row>
    <row r="21859" spans="1:8">
      <c r="H21859" t="s">
        <v>25825</v>
      </c>
    </row>
    <row r="21860" spans="1:8">
      <c r="H21860" t="s">
        <v>25826</v>
      </c>
    </row>
    <row r="21861" spans="1:8">
      <c r="H21861" t="s">
        <v>25827</v>
      </c>
    </row>
    <row r="21862" spans="1:8">
      <c r="H21862" t="s">
        <v>25828</v>
      </c>
    </row>
    <row r="21863" spans="1:8">
      <c r="A21863" t="s">
        <v>844</v>
      </c>
      <c r="B21863">
        <f>HYPERLINK("https://android.googlesource.com/platform/cts/+/56d285ace4137dc9a3a00093322638631fa0bd05", "56d285ace4137dc9a3a00093322638631fa0bd05")</f>
        <v>0</v>
      </c>
      <c r="C21863">
        <f>HYPERLINK("https://android.googlesource.com/platform/cts/+/4a768873731f2a3300a7937131307a71f429e3ca", "4a768873731f2a3300a7937131307a71f429e3ca")</f>
        <v>0</v>
      </c>
      <c r="D21863" t="s">
        <v>5089</v>
      </c>
      <c r="E21863" t="s">
        <v>6625</v>
      </c>
      <c r="F21863" t="s">
        <v>12671</v>
      </c>
      <c r="G21863" t="s">
        <v>15069</v>
      </c>
      <c r="H21863" t="s">
        <v>18829</v>
      </c>
    </row>
    <row r="21864" spans="1:8">
      <c r="H21864" t="s">
        <v>25829</v>
      </c>
    </row>
    <row r="21865" spans="1:8">
      <c r="H21865" t="s">
        <v>25830</v>
      </c>
    </row>
    <row r="21866" spans="1:8">
      <c r="H21866" t="s">
        <v>25831</v>
      </c>
    </row>
    <row r="21867" spans="1:8">
      <c r="A21867" t="s">
        <v>845</v>
      </c>
      <c r="B21867">
        <f>HYPERLINK("https://android.googlesource.com/platform/cts/+/112b1bee3d670bd08caf4b644eca5b898b75d9ea", "112b1bee3d670bd08caf4b644eca5b898b75d9ea")</f>
        <v>0</v>
      </c>
      <c r="C21867">
        <f>HYPERLINK("https://android.googlesource.com/platform/cts/+/e6b2323cee0957b36631473b3138de780b687e8a", "e6b2323cee0957b36631473b3138de780b687e8a")</f>
        <v>0</v>
      </c>
      <c r="D21867" t="s">
        <v>5106</v>
      </c>
      <c r="E21867" t="s">
        <v>6626</v>
      </c>
      <c r="F21867" t="s">
        <v>12672</v>
      </c>
      <c r="G21867" t="s">
        <v>16876</v>
      </c>
      <c r="H21867" t="s">
        <v>25832</v>
      </c>
    </row>
    <row r="21868" spans="1:8">
      <c r="A21868" t="s">
        <v>846</v>
      </c>
      <c r="B21868">
        <f>HYPERLINK("https://android.googlesource.com/platform/cts/+/b9ee1f9683356a1edcd32bca59ac16f78f1927e5", "b9ee1f9683356a1edcd32bca59ac16f78f1927e5")</f>
        <v>0</v>
      </c>
      <c r="C21868">
        <f>HYPERLINK("https://android.googlesource.com/platform/cts/+/6ae0bcd2944168838f86df6279abaa8b1bbf734c", "6ae0bcd2944168838f86df6279abaa8b1bbf734c")</f>
        <v>0</v>
      </c>
      <c r="D21868" t="s">
        <v>5092</v>
      </c>
      <c r="E21868" t="s">
        <v>6627</v>
      </c>
      <c r="F21868" t="s">
        <v>12627</v>
      </c>
      <c r="G21868" t="s">
        <v>16417</v>
      </c>
      <c r="H21868" t="s">
        <v>25540</v>
      </c>
    </row>
    <row r="21869" spans="1:8">
      <c r="H21869" t="s">
        <v>18829</v>
      </c>
    </row>
    <row r="21870" spans="1:8">
      <c r="H21870" t="s">
        <v>18863</v>
      </c>
    </row>
    <row r="21871" spans="1:8">
      <c r="H21871" t="s">
        <v>25541</v>
      </c>
    </row>
    <row r="21872" spans="1:8">
      <c r="H21872" t="s">
        <v>25542</v>
      </c>
    </row>
    <row r="21873" spans="1:8">
      <c r="H21873" t="s">
        <v>25543</v>
      </c>
    </row>
    <row r="21874" spans="1:8">
      <c r="H21874" t="s">
        <v>25544</v>
      </c>
    </row>
    <row r="21875" spans="1:8">
      <c r="H21875" t="s">
        <v>25545</v>
      </c>
    </row>
    <row r="21876" spans="1:8">
      <c r="H21876" t="s">
        <v>25546</v>
      </c>
    </row>
    <row r="21877" spans="1:8">
      <c r="H21877" t="s">
        <v>25547</v>
      </c>
    </row>
    <row r="21878" spans="1:8">
      <c r="H21878" t="s">
        <v>25548</v>
      </c>
    </row>
    <row r="21879" spans="1:8">
      <c r="H21879" t="s">
        <v>25549</v>
      </c>
    </row>
    <row r="21880" spans="1:8">
      <c r="H21880" t="s">
        <v>25550</v>
      </c>
    </row>
    <row r="21881" spans="1:8">
      <c r="H21881" t="s">
        <v>25551</v>
      </c>
    </row>
    <row r="21882" spans="1:8">
      <c r="H21882" t="s">
        <v>25552</v>
      </c>
    </row>
    <row r="21883" spans="1:8">
      <c r="A21883" t="s">
        <v>847</v>
      </c>
      <c r="B21883">
        <f>HYPERLINK("https://android.googlesource.com/platform/cts/+/6189630a7b3f0e682da973f46880961fcf95b650", "6189630a7b3f0e682da973f46880961fcf95b650")</f>
        <v>0</v>
      </c>
      <c r="C21883">
        <f>HYPERLINK("https://android.googlesource.com/platform/cts/+/c143ec0cf42ecabec121b1e6c4107b2df14aabd2", "c143ec0cf42ecabec121b1e6c4107b2df14aabd2")</f>
        <v>0</v>
      </c>
      <c r="D21883" t="s">
        <v>5057</v>
      </c>
      <c r="E21883" t="s">
        <v>6628</v>
      </c>
      <c r="F21883" t="s">
        <v>12410</v>
      </c>
      <c r="G21883" t="s">
        <v>16632</v>
      </c>
      <c r="H21883" t="s">
        <v>25833</v>
      </c>
    </row>
    <row r="21884" spans="1:8">
      <c r="A21884" t="s">
        <v>848</v>
      </c>
      <c r="B21884">
        <f>HYPERLINK("https://android.googlesource.com/platform/cts/+/69f4ec4191166d198355a77e5622aeae6f50cb94", "69f4ec4191166d198355a77e5622aeae6f50cb94")</f>
        <v>0</v>
      </c>
      <c r="C21884">
        <f>HYPERLINK("https://android.googlesource.com/platform/cts/+/b32579835faa095c1e068132252596c8fb62c12a", "b32579835faa095c1e068132252596c8fb62c12a")</f>
        <v>0</v>
      </c>
      <c r="D21884" t="s">
        <v>5107</v>
      </c>
      <c r="E21884" t="s">
        <v>6629</v>
      </c>
      <c r="F21884" t="s">
        <v>12673</v>
      </c>
      <c r="G21884" t="s">
        <v>16877</v>
      </c>
      <c r="H21884" t="s">
        <v>25834</v>
      </c>
    </row>
    <row r="21885" spans="1:8">
      <c r="F21885" t="s">
        <v>12674</v>
      </c>
      <c r="G21885" t="s">
        <v>16878</v>
      </c>
      <c r="H21885" t="s">
        <v>25835</v>
      </c>
    </row>
    <row r="21886" spans="1:8">
      <c r="H21886" t="s">
        <v>25834</v>
      </c>
    </row>
    <row r="21887" spans="1:8">
      <c r="A21887" t="s">
        <v>849</v>
      </c>
      <c r="B21887">
        <f>HYPERLINK("https://android.googlesource.com/platform/cts/+/86b43e543f42aef87699a9bf62a7a201c977276b", "86b43e543f42aef87699a9bf62a7a201c977276b")</f>
        <v>0</v>
      </c>
      <c r="C21887">
        <f>HYPERLINK("https://android.googlesource.com/platform/cts/+/48e3c76c29a0f444dda22d0f39b60553ad94788a", "48e3c76c29a0f444dda22d0f39b60553ad94788a")</f>
        <v>0</v>
      </c>
      <c r="D21887" t="s">
        <v>5065</v>
      </c>
      <c r="E21887" t="s">
        <v>6630</v>
      </c>
      <c r="F21887" t="s">
        <v>10700</v>
      </c>
      <c r="G21887" t="s">
        <v>15100</v>
      </c>
      <c r="H21887" t="s">
        <v>25836</v>
      </c>
    </row>
    <row r="21888" spans="1:8">
      <c r="H21888" t="s">
        <v>25837</v>
      </c>
    </row>
    <row r="21889" spans="1:8">
      <c r="A21889" t="s">
        <v>850</v>
      </c>
      <c r="B21889">
        <f>HYPERLINK("https://android.googlesource.com/platform/cts/+/981f93347987e0f7f7955e40222e9f3826b7d5dd", "981f93347987e0f7f7955e40222e9f3826b7d5dd")</f>
        <v>0</v>
      </c>
      <c r="C21889">
        <f>HYPERLINK("https://android.googlesource.com/platform/cts/+/c1c1a48e5544e2524c7477021fa6cb40ceb01939", "c1c1a48e5544e2524c7477021fa6cb40ceb01939")</f>
        <v>0</v>
      </c>
      <c r="D21889" t="s">
        <v>4931</v>
      </c>
      <c r="E21889" t="s">
        <v>6631</v>
      </c>
      <c r="F21889" t="s">
        <v>10744</v>
      </c>
      <c r="G21889" t="s">
        <v>15143</v>
      </c>
      <c r="H21889" t="s">
        <v>18863</v>
      </c>
    </row>
    <row r="21890" spans="1:8">
      <c r="A21890" t="s">
        <v>851</v>
      </c>
      <c r="B21890">
        <f>HYPERLINK("https://android.googlesource.com/platform/cts/+/f556d7da13e9a6332558f99582c3285d61d615e0", "f556d7da13e9a6332558f99582c3285d61d615e0")</f>
        <v>0</v>
      </c>
      <c r="C21890">
        <f>HYPERLINK("https://android.googlesource.com/platform/cts/+/90a0691d5a39ce82bf1f8c76d4feb083e2178f47", "90a0691d5a39ce82bf1f8c76d4feb083e2178f47")</f>
        <v>0</v>
      </c>
      <c r="D21890" t="s">
        <v>5065</v>
      </c>
      <c r="E21890" t="s">
        <v>6632</v>
      </c>
      <c r="F21890" t="s">
        <v>12387</v>
      </c>
      <c r="G21890" t="s">
        <v>16612</v>
      </c>
      <c r="H21890" t="s">
        <v>25838</v>
      </c>
    </row>
    <row r="21891" spans="1:8">
      <c r="H21891" t="s">
        <v>25839</v>
      </c>
    </row>
    <row r="21892" spans="1:8">
      <c r="A21892" t="s">
        <v>852</v>
      </c>
      <c r="B21892">
        <f>HYPERLINK("https://android.googlesource.com/platform/cts/+/7cac2e6a081e4b8c3d232291d69bfff1683b9a0c", "7cac2e6a081e4b8c3d232291d69bfff1683b9a0c")</f>
        <v>0</v>
      </c>
      <c r="C21892">
        <f>HYPERLINK("https://android.googlesource.com/platform/cts/+/16adf601b94734ce74deeadc0c9340e603f35726", "16adf601b94734ce74deeadc0c9340e603f35726")</f>
        <v>0</v>
      </c>
      <c r="D21892" t="s">
        <v>5040</v>
      </c>
      <c r="E21892" t="s">
        <v>6633</v>
      </c>
      <c r="F21892" t="s">
        <v>12675</v>
      </c>
      <c r="G21892" t="s">
        <v>16879</v>
      </c>
      <c r="H21892" t="s">
        <v>25840</v>
      </c>
    </row>
    <row r="21893" spans="1:8">
      <c r="H21893" t="s">
        <v>25841</v>
      </c>
    </row>
    <row r="21894" spans="1:8">
      <c r="F21894" t="s">
        <v>12676</v>
      </c>
      <c r="G21894" t="s">
        <v>16880</v>
      </c>
      <c r="H21894" t="s">
        <v>25842</v>
      </c>
    </row>
    <row r="21895" spans="1:8">
      <c r="H21895" t="s">
        <v>25843</v>
      </c>
    </row>
    <row r="21896" spans="1:8">
      <c r="H21896" t="s">
        <v>25844</v>
      </c>
    </row>
    <row r="21897" spans="1:8">
      <c r="H21897" t="s">
        <v>25845</v>
      </c>
    </row>
    <row r="21898" spans="1:8">
      <c r="H21898" t="s">
        <v>25846</v>
      </c>
    </row>
    <row r="21899" spans="1:8">
      <c r="H21899" t="s">
        <v>25847</v>
      </c>
    </row>
    <row r="21900" spans="1:8">
      <c r="H21900" t="s">
        <v>25848</v>
      </c>
    </row>
    <row r="21901" spans="1:8">
      <c r="H21901" t="s">
        <v>25849</v>
      </c>
    </row>
    <row r="21902" spans="1:8">
      <c r="H21902" t="s">
        <v>25850</v>
      </c>
    </row>
    <row r="21903" spans="1:8">
      <c r="H21903" t="s">
        <v>25851</v>
      </c>
    </row>
    <row r="21904" spans="1:8">
      <c r="H21904" t="s">
        <v>25852</v>
      </c>
    </row>
    <row r="21905" spans="6:8">
      <c r="H21905" t="s">
        <v>25853</v>
      </c>
    </row>
    <row r="21906" spans="6:8">
      <c r="H21906" t="s">
        <v>25854</v>
      </c>
    </row>
    <row r="21907" spans="6:8">
      <c r="H21907" t="s">
        <v>25855</v>
      </c>
    </row>
    <row r="21908" spans="6:8">
      <c r="H21908" t="s">
        <v>25856</v>
      </c>
    </row>
    <row r="21909" spans="6:8">
      <c r="H21909" t="s">
        <v>25857</v>
      </c>
    </row>
    <row r="21910" spans="6:8">
      <c r="H21910" t="s">
        <v>25858</v>
      </c>
    </row>
    <row r="21911" spans="6:8">
      <c r="H21911" t="s">
        <v>25859</v>
      </c>
    </row>
    <row r="21912" spans="6:8">
      <c r="H21912" t="s">
        <v>25860</v>
      </c>
    </row>
    <row r="21913" spans="6:8">
      <c r="F21913" t="s">
        <v>12677</v>
      </c>
      <c r="G21913" t="s">
        <v>16881</v>
      </c>
      <c r="H21913" t="s">
        <v>25861</v>
      </c>
    </row>
    <row r="21914" spans="6:8">
      <c r="H21914" t="s">
        <v>25862</v>
      </c>
    </row>
    <row r="21915" spans="6:8">
      <c r="H21915" t="s">
        <v>25863</v>
      </c>
    </row>
    <row r="21916" spans="6:8">
      <c r="H21916" t="s">
        <v>25864</v>
      </c>
    </row>
    <row r="21917" spans="6:8">
      <c r="F21917" t="s">
        <v>12678</v>
      </c>
      <c r="G21917" t="s">
        <v>16882</v>
      </c>
      <c r="H21917" t="s">
        <v>25865</v>
      </c>
    </row>
    <row r="21918" spans="6:8">
      <c r="H21918" t="s">
        <v>19371</v>
      </c>
    </row>
    <row r="21919" spans="6:8">
      <c r="H21919" t="s">
        <v>25866</v>
      </c>
    </row>
    <row r="21920" spans="6:8">
      <c r="H21920" t="s">
        <v>25867</v>
      </c>
    </row>
    <row r="21921" spans="6:8">
      <c r="F21921" t="s">
        <v>12679</v>
      </c>
      <c r="G21921" t="s">
        <v>16883</v>
      </c>
      <c r="H21921" t="s">
        <v>25868</v>
      </c>
    </row>
    <row r="21922" spans="6:8">
      <c r="H21922" t="s">
        <v>25869</v>
      </c>
    </row>
    <row r="21923" spans="6:8">
      <c r="H21923" t="s">
        <v>25870</v>
      </c>
    </row>
    <row r="21924" spans="6:8">
      <c r="H21924" t="s">
        <v>25871</v>
      </c>
    </row>
    <row r="21925" spans="6:8">
      <c r="H21925" t="s">
        <v>25872</v>
      </c>
    </row>
    <row r="21926" spans="6:8">
      <c r="H21926" t="s">
        <v>25873</v>
      </c>
    </row>
    <row r="21927" spans="6:8">
      <c r="H21927" t="s">
        <v>25874</v>
      </c>
    </row>
    <row r="21928" spans="6:8">
      <c r="H21928" t="s">
        <v>25875</v>
      </c>
    </row>
    <row r="21929" spans="6:8">
      <c r="H21929" t="s">
        <v>25876</v>
      </c>
    </row>
    <row r="21930" spans="6:8">
      <c r="H21930" t="s">
        <v>25877</v>
      </c>
    </row>
    <row r="21931" spans="6:8">
      <c r="H21931" t="s">
        <v>25878</v>
      </c>
    </row>
    <row r="21932" spans="6:8">
      <c r="H21932" t="s">
        <v>25879</v>
      </c>
    </row>
    <row r="21933" spans="6:8">
      <c r="H21933" t="s">
        <v>25880</v>
      </c>
    </row>
    <row r="21934" spans="6:8">
      <c r="H21934" t="s">
        <v>25881</v>
      </c>
    </row>
    <row r="21935" spans="6:8">
      <c r="H21935" t="s">
        <v>25882</v>
      </c>
    </row>
    <row r="21936" spans="6:8">
      <c r="H21936" t="s">
        <v>25883</v>
      </c>
    </row>
    <row r="21937" spans="6:8">
      <c r="H21937" t="s">
        <v>25884</v>
      </c>
    </row>
    <row r="21938" spans="6:8">
      <c r="H21938" t="s">
        <v>25885</v>
      </c>
    </row>
    <row r="21939" spans="6:8">
      <c r="H21939" t="s">
        <v>25886</v>
      </c>
    </row>
    <row r="21940" spans="6:8">
      <c r="H21940" t="s">
        <v>25887</v>
      </c>
    </row>
    <row r="21941" spans="6:8">
      <c r="H21941" t="s">
        <v>25888</v>
      </c>
    </row>
    <row r="21942" spans="6:8">
      <c r="H21942" t="s">
        <v>25889</v>
      </c>
    </row>
    <row r="21943" spans="6:8">
      <c r="H21943" t="s">
        <v>25890</v>
      </c>
    </row>
    <row r="21944" spans="6:8">
      <c r="H21944" t="s">
        <v>25891</v>
      </c>
    </row>
    <row r="21945" spans="6:8">
      <c r="F21945" t="s">
        <v>12680</v>
      </c>
      <c r="G21945" t="s">
        <v>16884</v>
      </c>
      <c r="H21945" t="s">
        <v>25892</v>
      </c>
    </row>
    <row r="21946" spans="6:8">
      <c r="H21946" t="s">
        <v>25893</v>
      </c>
    </row>
    <row r="21947" spans="6:8">
      <c r="H21947" t="s">
        <v>25894</v>
      </c>
    </row>
    <row r="21948" spans="6:8">
      <c r="H21948" t="s">
        <v>25895</v>
      </c>
    </row>
    <row r="21949" spans="6:8">
      <c r="H21949" t="s">
        <v>25896</v>
      </c>
    </row>
    <row r="21950" spans="6:8">
      <c r="H21950" t="s">
        <v>25897</v>
      </c>
    </row>
    <row r="21951" spans="6:8">
      <c r="H21951" t="s">
        <v>25898</v>
      </c>
    </row>
    <row r="21952" spans="6:8">
      <c r="H21952" t="s">
        <v>25899</v>
      </c>
    </row>
    <row r="21953" spans="8:8">
      <c r="H21953" t="s">
        <v>25900</v>
      </c>
    </row>
    <row r="21954" spans="8:8">
      <c r="H21954" t="s">
        <v>25901</v>
      </c>
    </row>
    <row r="21955" spans="8:8">
      <c r="H21955" t="s">
        <v>25902</v>
      </c>
    </row>
    <row r="21956" spans="8:8">
      <c r="H21956" t="s">
        <v>25903</v>
      </c>
    </row>
    <row r="21957" spans="8:8">
      <c r="H21957" t="s">
        <v>25904</v>
      </c>
    </row>
    <row r="21958" spans="8:8">
      <c r="H21958" t="s">
        <v>25905</v>
      </c>
    </row>
    <row r="21959" spans="8:8">
      <c r="H21959" t="s">
        <v>25906</v>
      </c>
    </row>
    <row r="21960" spans="8:8">
      <c r="H21960" t="s">
        <v>25907</v>
      </c>
    </row>
    <row r="21961" spans="8:8">
      <c r="H21961" t="s">
        <v>25908</v>
      </c>
    </row>
    <row r="21962" spans="8:8">
      <c r="H21962" t="s">
        <v>25909</v>
      </c>
    </row>
    <row r="21963" spans="8:8">
      <c r="H21963" t="s">
        <v>25910</v>
      </c>
    </row>
    <row r="21964" spans="8:8">
      <c r="H21964" t="s">
        <v>25911</v>
      </c>
    </row>
    <row r="21965" spans="8:8">
      <c r="H21965" t="s">
        <v>25912</v>
      </c>
    </row>
    <row r="21966" spans="8:8">
      <c r="H21966" t="s">
        <v>25913</v>
      </c>
    </row>
    <row r="21967" spans="8:8">
      <c r="H21967" t="s">
        <v>25914</v>
      </c>
    </row>
    <row r="21968" spans="8:8">
      <c r="H21968" t="s">
        <v>25915</v>
      </c>
    </row>
    <row r="21969" spans="6:8">
      <c r="H21969" t="s">
        <v>25916</v>
      </c>
    </row>
    <row r="21970" spans="6:8">
      <c r="H21970" t="s">
        <v>25917</v>
      </c>
    </row>
    <row r="21971" spans="6:8">
      <c r="H21971" t="s">
        <v>25918</v>
      </c>
    </row>
    <row r="21972" spans="6:8">
      <c r="H21972" t="s">
        <v>25919</v>
      </c>
    </row>
    <row r="21973" spans="6:8">
      <c r="H21973" t="s">
        <v>25920</v>
      </c>
    </row>
    <row r="21974" spans="6:8">
      <c r="H21974" t="s">
        <v>25921</v>
      </c>
    </row>
    <row r="21975" spans="6:8">
      <c r="H21975" t="s">
        <v>25922</v>
      </c>
    </row>
    <row r="21976" spans="6:8">
      <c r="H21976" t="s">
        <v>25923</v>
      </c>
    </row>
    <row r="21977" spans="6:8">
      <c r="H21977" t="s">
        <v>25924</v>
      </c>
    </row>
    <row r="21978" spans="6:8">
      <c r="F21978" t="s">
        <v>12681</v>
      </c>
      <c r="G21978" t="s">
        <v>16885</v>
      </c>
      <c r="H21978" t="s">
        <v>25925</v>
      </c>
    </row>
    <row r="21979" spans="6:8">
      <c r="H21979" t="s">
        <v>25926</v>
      </c>
    </row>
    <row r="21980" spans="6:8">
      <c r="H21980" t="s">
        <v>25927</v>
      </c>
    </row>
    <row r="21981" spans="6:8">
      <c r="H21981" t="s">
        <v>25928</v>
      </c>
    </row>
    <row r="21982" spans="6:8">
      <c r="F21982" t="s">
        <v>12682</v>
      </c>
      <c r="G21982" t="s">
        <v>16886</v>
      </c>
      <c r="H21982" t="s">
        <v>25929</v>
      </c>
    </row>
    <row r="21983" spans="6:8">
      <c r="H21983" t="s">
        <v>25930</v>
      </c>
    </row>
    <row r="21984" spans="6:8">
      <c r="H21984" t="s">
        <v>25931</v>
      </c>
    </row>
    <row r="21985" spans="6:8">
      <c r="F21985" t="s">
        <v>12683</v>
      </c>
      <c r="G21985" t="s">
        <v>16887</v>
      </c>
      <c r="H21985" t="s">
        <v>25932</v>
      </c>
    </row>
    <row r="21986" spans="6:8">
      <c r="H21986" t="s">
        <v>25933</v>
      </c>
    </row>
    <row r="21987" spans="6:8">
      <c r="H21987" t="s">
        <v>25934</v>
      </c>
    </row>
    <row r="21988" spans="6:8">
      <c r="H21988" t="s">
        <v>25935</v>
      </c>
    </row>
    <row r="21989" spans="6:8">
      <c r="H21989" t="s">
        <v>25936</v>
      </c>
    </row>
    <row r="21990" spans="6:8">
      <c r="F21990" t="s">
        <v>12684</v>
      </c>
      <c r="G21990" t="s">
        <v>16888</v>
      </c>
      <c r="H21990" t="s">
        <v>25937</v>
      </c>
    </row>
    <row r="21991" spans="6:8">
      <c r="H21991" t="s">
        <v>25938</v>
      </c>
    </row>
    <row r="21992" spans="6:8">
      <c r="H21992" t="s">
        <v>25939</v>
      </c>
    </row>
    <row r="21993" spans="6:8">
      <c r="H21993" t="s">
        <v>25940</v>
      </c>
    </row>
    <row r="21994" spans="6:8">
      <c r="H21994" t="s">
        <v>25941</v>
      </c>
    </row>
    <row r="21995" spans="6:8">
      <c r="H21995" t="s">
        <v>25942</v>
      </c>
    </row>
    <row r="21996" spans="6:8">
      <c r="H21996" t="s">
        <v>25943</v>
      </c>
    </row>
    <row r="21997" spans="6:8">
      <c r="H21997" t="s">
        <v>25944</v>
      </c>
    </row>
    <row r="21998" spans="6:8">
      <c r="F21998" t="s">
        <v>12685</v>
      </c>
      <c r="G21998" t="s">
        <v>16889</v>
      </c>
      <c r="H21998" t="s">
        <v>25945</v>
      </c>
    </row>
    <row r="21999" spans="6:8">
      <c r="H21999" t="s">
        <v>25933</v>
      </c>
    </row>
    <row r="22000" spans="6:8">
      <c r="F22000" t="s">
        <v>12686</v>
      </c>
      <c r="G22000" t="s">
        <v>16890</v>
      </c>
      <c r="H22000" t="s">
        <v>25946</v>
      </c>
    </row>
    <row r="22001" spans="1:8">
      <c r="F22001" t="s">
        <v>12687</v>
      </c>
      <c r="G22001" t="s">
        <v>16891</v>
      </c>
      <c r="H22001" t="s">
        <v>25947</v>
      </c>
    </row>
    <row r="22002" spans="1:8">
      <c r="H22002" t="s">
        <v>25948</v>
      </c>
    </row>
    <row r="22003" spans="1:8">
      <c r="H22003" t="s">
        <v>25949</v>
      </c>
    </row>
    <row r="22004" spans="1:8">
      <c r="H22004" t="s">
        <v>25950</v>
      </c>
    </row>
    <row r="22005" spans="1:8">
      <c r="H22005" t="s">
        <v>25951</v>
      </c>
    </row>
    <row r="22006" spans="1:8">
      <c r="H22006" t="s">
        <v>25952</v>
      </c>
    </row>
    <row r="22007" spans="1:8">
      <c r="F22007" t="s">
        <v>12688</v>
      </c>
      <c r="G22007" t="s">
        <v>16892</v>
      </c>
      <c r="H22007" t="s">
        <v>25953</v>
      </c>
    </row>
    <row r="22008" spans="1:8">
      <c r="H22008" t="s">
        <v>25952</v>
      </c>
    </row>
    <row r="22009" spans="1:8">
      <c r="F22009" t="s">
        <v>12689</v>
      </c>
      <c r="G22009" t="s">
        <v>16893</v>
      </c>
      <c r="H22009" t="s">
        <v>25953</v>
      </c>
    </row>
    <row r="22010" spans="1:8">
      <c r="H22010" t="s">
        <v>25954</v>
      </c>
    </row>
    <row r="22011" spans="1:8">
      <c r="A22011" t="s">
        <v>853</v>
      </c>
      <c r="B22011">
        <f>HYPERLINK("https://android.googlesource.com/platform/cts/+/cdd549d382c1b8a27cfaf0daf048b493713ffe2e", "cdd549d382c1b8a27cfaf0daf048b493713ffe2e")</f>
        <v>0</v>
      </c>
      <c r="C22011">
        <f>HYPERLINK("https://android.googlesource.com/platform/cts/+/5eb0beea1659a29d1a0d8bff4e6ee2d583c860d3", "5eb0beea1659a29d1a0d8bff4e6ee2d583c860d3")</f>
        <v>0</v>
      </c>
      <c r="D22011" t="s">
        <v>5002</v>
      </c>
      <c r="E22011" t="s">
        <v>6634</v>
      </c>
      <c r="F22011" t="s">
        <v>12690</v>
      </c>
      <c r="G22011" t="s">
        <v>16894</v>
      </c>
      <c r="H22011" t="s">
        <v>18829</v>
      </c>
    </row>
    <row r="22012" spans="1:8">
      <c r="H22012" t="s">
        <v>18863</v>
      </c>
    </row>
    <row r="22013" spans="1:8">
      <c r="H22013" t="s">
        <v>25955</v>
      </c>
    </row>
    <row r="22014" spans="1:8">
      <c r="H22014" t="s">
        <v>25956</v>
      </c>
    </row>
    <row r="22015" spans="1:8">
      <c r="H22015" t="s">
        <v>25957</v>
      </c>
    </row>
    <row r="22016" spans="1:8">
      <c r="H22016" t="s">
        <v>25716</v>
      </c>
    </row>
    <row r="22017" spans="1:8">
      <c r="F22017" t="s">
        <v>12615</v>
      </c>
      <c r="G22017" t="s">
        <v>16826</v>
      </c>
      <c r="H22017" t="s">
        <v>18829</v>
      </c>
    </row>
    <row r="22018" spans="1:8">
      <c r="H22018" t="s">
        <v>18863</v>
      </c>
    </row>
    <row r="22019" spans="1:8">
      <c r="H22019" t="s">
        <v>25958</v>
      </c>
    </row>
    <row r="22020" spans="1:8">
      <c r="H22020" t="s">
        <v>25959</v>
      </c>
    </row>
    <row r="22021" spans="1:8">
      <c r="H22021" t="s">
        <v>25960</v>
      </c>
    </row>
    <row r="22022" spans="1:8">
      <c r="A22022" t="s">
        <v>854</v>
      </c>
      <c r="B22022">
        <f>HYPERLINK("https://android.googlesource.com/platform/cts/+/6ef453ef95a6c3af1e375123fe0cdf610ca937c7", "6ef453ef95a6c3af1e375123fe0cdf610ca937c7")</f>
        <v>0</v>
      </c>
      <c r="C22022">
        <f>HYPERLINK("https://android.googlesource.com/platform/cts/+/78de670d18349d6757631d66c32c8c14ca7f73f3", "78de670d18349d6757631d66c32c8c14ca7f73f3")</f>
        <v>0</v>
      </c>
      <c r="D22022" t="s">
        <v>5083</v>
      </c>
      <c r="E22022" t="s">
        <v>6635</v>
      </c>
      <c r="F22022" t="s">
        <v>12691</v>
      </c>
      <c r="G22022" t="s">
        <v>16895</v>
      </c>
      <c r="H22022" t="s">
        <v>25961</v>
      </c>
    </row>
    <row r="22023" spans="1:8">
      <c r="A22023" t="s">
        <v>855</v>
      </c>
      <c r="B22023">
        <f>HYPERLINK("https://android.googlesource.com/platform/cts/+/a0d8825e41cd41d4175aa01438471efeb546cf4b", "a0d8825e41cd41d4175aa01438471efeb546cf4b")</f>
        <v>0</v>
      </c>
      <c r="C22023">
        <f>HYPERLINK("https://android.googlesource.com/platform/cts/+/2268f4383ad786467f790fe0bda5fe2fa77e5ede", "2268f4383ad786467f790fe0bda5fe2fa77e5ede")</f>
        <v>0</v>
      </c>
      <c r="D22023" t="s">
        <v>4978</v>
      </c>
      <c r="E22023" t="s">
        <v>6636</v>
      </c>
      <c r="F22023" t="s">
        <v>12225</v>
      </c>
      <c r="G22023" t="s">
        <v>16455</v>
      </c>
      <c r="H22023" t="s">
        <v>22035</v>
      </c>
    </row>
    <row r="22024" spans="1:8">
      <c r="H22024" t="s">
        <v>25962</v>
      </c>
    </row>
    <row r="22025" spans="1:8">
      <c r="H22025" t="s">
        <v>25963</v>
      </c>
    </row>
    <row r="22026" spans="1:8">
      <c r="H22026" t="s">
        <v>25964</v>
      </c>
    </row>
    <row r="22027" spans="1:8">
      <c r="H22027" t="s">
        <v>25965</v>
      </c>
    </row>
    <row r="22028" spans="1:8">
      <c r="H22028" t="s">
        <v>22006</v>
      </c>
    </row>
    <row r="22029" spans="1:8">
      <c r="H22029" t="s">
        <v>25966</v>
      </c>
    </row>
    <row r="22030" spans="1:8">
      <c r="H22030" t="s">
        <v>25967</v>
      </c>
    </row>
    <row r="22031" spans="1:8">
      <c r="H22031" t="s">
        <v>25968</v>
      </c>
    </row>
    <row r="22032" spans="1:8">
      <c r="H22032" t="s">
        <v>25969</v>
      </c>
    </row>
    <row r="22033" spans="1:8">
      <c r="H22033" t="s">
        <v>25970</v>
      </c>
    </row>
    <row r="22034" spans="1:8">
      <c r="H22034" t="s">
        <v>25971</v>
      </c>
    </row>
    <row r="22035" spans="1:8">
      <c r="H22035" t="s">
        <v>25972</v>
      </c>
    </row>
    <row r="22036" spans="1:8">
      <c r="H22036" t="s">
        <v>25973</v>
      </c>
    </row>
    <row r="22037" spans="1:8">
      <c r="H22037" t="s">
        <v>25974</v>
      </c>
    </row>
    <row r="22038" spans="1:8">
      <c r="H22038" t="s">
        <v>25975</v>
      </c>
    </row>
    <row r="22039" spans="1:8">
      <c r="H22039" t="s">
        <v>25976</v>
      </c>
    </row>
    <row r="22040" spans="1:8">
      <c r="H22040" t="s">
        <v>25977</v>
      </c>
    </row>
    <row r="22041" spans="1:8">
      <c r="H22041" t="s">
        <v>25978</v>
      </c>
    </row>
    <row r="22042" spans="1:8">
      <c r="H22042" t="s">
        <v>25979</v>
      </c>
    </row>
    <row r="22043" spans="1:8">
      <c r="A22043" t="s">
        <v>856</v>
      </c>
      <c r="B22043">
        <f>HYPERLINK("https://android.googlesource.com/platform/cts/+/b58cd0172405a7ee4ebf8e620ab1db549f790ea7", "b58cd0172405a7ee4ebf8e620ab1db549f790ea7")</f>
        <v>0</v>
      </c>
      <c r="C22043">
        <f>HYPERLINK("https://android.googlesource.com/platform/cts/+/1cd85c855a22021c3777ae3b14b4bace10acb39d", "1cd85c855a22021c3777ae3b14b4bace10acb39d")</f>
        <v>0</v>
      </c>
      <c r="D22043" t="s">
        <v>5077</v>
      </c>
      <c r="E22043" t="s">
        <v>6637</v>
      </c>
      <c r="F22043" t="s">
        <v>12692</v>
      </c>
      <c r="G22043" t="s">
        <v>16896</v>
      </c>
      <c r="H22043" t="s">
        <v>25980</v>
      </c>
    </row>
    <row r="22044" spans="1:8">
      <c r="A22044" t="s">
        <v>857</v>
      </c>
      <c r="B22044">
        <f>HYPERLINK("https://android.googlesource.com/platform/cts/+/1c28c69c33fd2e8b84b22b240ca96c1df105e2fd", "1c28c69c33fd2e8b84b22b240ca96c1df105e2fd")</f>
        <v>0</v>
      </c>
      <c r="C22044">
        <f>HYPERLINK("https://android.googlesource.com/platform/cts/+/cdd549d382c1b8a27cfaf0daf048b493713ffe2e", "cdd549d382c1b8a27cfaf0daf048b493713ffe2e")</f>
        <v>0</v>
      </c>
      <c r="D22044" t="s">
        <v>5002</v>
      </c>
      <c r="E22044" t="s">
        <v>6638</v>
      </c>
      <c r="F22044" t="s">
        <v>12693</v>
      </c>
      <c r="G22044" t="s">
        <v>16897</v>
      </c>
      <c r="H22044" t="s">
        <v>18829</v>
      </c>
    </row>
    <row r="22045" spans="1:8">
      <c r="H22045" t="s">
        <v>18863</v>
      </c>
    </row>
    <row r="22046" spans="1:8">
      <c r="H22046" t="s">
        <v>25955</v>
      </c>
    </row>
    <row r="22047" spans="1:8">
      <c r="H22047" t="s">
        <v>25958</v>
      </c>
    </row>
    <row r="22048" spans="1:8">
      <c r="H22048" t="s">
        <v>25959</v>
      </c>
    </row>
    <row r="22049" spans="1:8">
      <c r="H22049" t="s">
        <v>25956</v>
      </c>
    </row>
    <row r="22050" spans="1:8">
      <c r="H22050" t="s">
        <v>25957</v>
      </c>
    </row>
    <row r="22051" spans="1:8">
      <c r="H22051" t="s">
        <v>25960</v>
      </c>
    </row>
    <row r="22052" spans="1:8">
      <c r="A22052" t="s">
        <v>858</v>
      </c>
      <c r="B22052">
        <f>HYPERLINK("https://android.googlesource.com/platform/cts/+/0ce632b8a1c66dc41690aec328f086eeda429768", "0ce632b8a1c66dc41690aec328f086eeda429768")</f>
        <v>0</v>
      </c>
      <c r="C22052">
        <f>HYPERLINK("https://android.googlesource.com/platform/cts/+/1c28c69c33fd2e8b84b22b240ca96c1df105e2fd", "1c28c69c33fd2e8b84b22b240ca96c1df105e2fd")</f>
        <v>0</v>
      </c>
      <c r="D22052" t="s">
        <v>5002</v>
      </c>
      <c r="E22052" t="s">
        <v>6639</v>
      </c>
      <c r="F22052" t="s">
        <v>12690</v>
      </c>
      <c r="G22052" t="s">
        <v>16894</v>
      </c>
      <c r="H22052" t="s">
        <v>18829</v>
      </c>
    </row>
    <row r="22053" spans="1:8">
      <c r="H22053" t="s">
        <v>18863</v>
      </c>
    </row>
    <row r="22054" spans="1:8">
      <c r="H22054" t="s">
        <v>25955</v>
      </c>
    </row>
    <row r="22055" spans="1:8">
      <c r="H22055" t="s">
        <v>25956</v>
      </c>
    </row>
    <row r="22056" spans="1:8">
      <c r="H22056" t="s">
        <v>25957</v>
      </c>
    </row>
    <row r="22057" spans="1:8">
      <c r="H22057" t="s">
        <v>25716</v>
      </c>
    </row>
    <row r="22058" spans="1:8">
      <c r="F22058" t="s">
        <v>12615</v>
      </c>
      <c r="G22058" t="s">
        <v>16826</v>
      </c>
      <c r="H22058" t="s">
        <v>18829</v>
      </c>
    </row>
    <row r="22059" spans="1:8">
      <c r="H22059" t="s">
        <v>18863</v>
      </c>
    </row>
    <row r="22060" spans="1:8">
      <c r="H22060" t="s">
        <v>25958</v>
      </c>
    </row>
    <row r="22061" spans="1:8">
      <c r="H22061" t="s">
        <v>25959</v>
      </c>
    </row>
    <row r="22062" spans="1:8">
      <c r="H22062" t="s">
        <v>25960</v>
      </c>
    </row>
    <row r="22063" spans="1:8">
      <c r="A22063" t="s">
        <v>859</v>
      </c>
      <c r="B22063">
        <f>HYPERLINK("https://android.googlesource.com/platform/cts/+/6cbd55d1b3a7fcb8b61ffee0dd735c6a96a81609", "6cbd55d1b3a7fcb8b61ffee0dd735c6a96a81609")</f>
        <v>0</v>
      </c>
      <c r="C22063">
        <f>HYPERLINK("https://android.googlesource.com/platform/cts/+/48e65a5010671dd41f03bbe15b99985d47f0feff", "48e65a5010671dd41f03bbe15b99985d47f0feff")</f>
        <v>0</v>
      </c>
      <c r="D22063" t="s">
        <v>5032</v>
      </c>
      <c r="E22063" t="s">
        <v>6640</v>
      </c>
      <c r="F22063" t="s">
        <v>12694</v>
      </c>
      <c r="G22063" t="s">
        <v>16898</v>
      </c>
      <c r="H22063" t="s">
        <v>25981</v>
      </c>
    </row>
    <row r="22064" spans="1:8">
      <c r="A22064" t="s">
        <v>860</v>
      </c>
      <c r="B22064">
        <f>HYPERLINK("https://android.googlesource.com/platform/cts/+/08e1d86a1a28344fb66c9275bf9e7aae13976852", "08e1d86a1a28344fb66c9275bf9e7aae13976852")</f>
        <v>0</v>
      </c>
      <c r="C22064">
        <f>HYPERLINK("https://android.googlesource.com/platform/cts/+/a7db12072db8cf07e44d70c85ca49a2660cf94c0", "a7db12072db8cf07e44d70c85ca49a2660cf94c0")</f>
        <v>0</v>
      </c>
      <c r="D22064" t="s">
        <v>5086</v>
      </c>
      <c r="E22064" t="s">
        <v>6641</v>
      </c>
      <c r="F22064" t="s">
        <v>12695</v>
      </c>
      <c r="G22064" t="s">
        <v>16899</v>
      </c>
      <c r="H22064" t="s">
        <v>25982</v>
      </c>
    </row>
    <row r="22065" spans="1:8">
      <c r="F22065" t="s">
        <v>12696</v>
      </c>
      <c r="G22065" t="s">
        <v>16900</v>
      </c>
      <c r="H22065" t="s">
        <v>18829</v>
      </c>
    </row>
    <row r="22066" spans="1:8">
      <c r="A22066" t="s">
        <v>861</v>
      </c>
      <c r="B22066">
        <f>HYPERLINK("https://android.googlesource.com/platform/cts/+/08a4a4925e01ae94aed94fca0f12d23838f8ba35", "08a4a4925e01ae94aed94fca0f12d23838f8ba35")</f>
        <v>0</v>
      </c>
      <c r="C22066">
        <f>HYPERLINK("https://android.googlesource.com/platform/cts/+/717e7ad397bc69da4f2eba4d4a30da23f3ec96f2", "717e7ad397bc69da4f2eba4d4a30da23f3ec96f2")</f>
        <v>0</v>
      </c>
      <c r="D22066" t="s">
        <v>4994</v>
      </c>
      <c r="E22066" t="s">
        <v>6642</v>
      </c>
      <c r="F22066" t="s">
        <v>12618</v>
      </c>
      <c r="G22066" t="s">
        <v>16828</v>
      </c>
      <c r="H22066" t="s">
        <v>25983</v>
      </c>
    </row>
    <row r="22067" spans="1:8">
      <c r="A22067" t="s">
        <v>862</v>
      </c>
      <c r="B22067">
        <f>HYPERLINK("https://android.googlesource.com/platform/cts/+/c944a87836179e2879139a2d866452a1272a1c0f", "c944a87836179e2879139a2d866452a1272a1c0f")</f>
        <v>0</v>
      </c>
      <c r="C22067">
        <f>HYPERLINK("https://android.googlesource.com/platform/cts/+/a60d59bb635710fa57b4c405183d44df530d5557", "a60d59bb635710fa57b4c405183d44df530d5557")</f>
        <v>0</v>
      </c>
      <c r="D22067" t="s">
        <v>5108</v>
      </c>
      <c r="E22067" t="s">
        <v>6643</v>
      </c>
      <c r="F22067" t="s">
        <v>12419</v>
      </c>
      <c r="G22067" t="s">
        <v>16641</v>
      </c>
      <c r="H22067" t="s">
        <v>25984</v>
      </c>
    </row>
    <row r="22068" spans="1:8">
      <c r="A22068" t="s">
        <v>863</v>
      </c>
      <c r="B22068">
        <f>HYPERLINK("https://android.googlesource.com/platform/cts/+/785dd11b446ed22370e5eaa31ad7ac4011b382a6", "785dd11b446ed22370e5eaa31ad7ac4011b382a6")</f>
        <v>0</v>
      </c>
      <c r="C22068">
        <f>HYPERLINK("https://android.googlesource.com/platform/cts/+/d38938f0eae6f69e10f25f3e39d95bb2b69f685a", "d38938f0eae6f69e10f25f3e39d95bb2b69f685a")</f>
        <v>0</v>
      </c>
      <c r="D22068" t="s">
        <v>5109</v>
      </c>
      <c r="E22068" t="s">
        <v>6644</v>
      </c>
      <c r="F22068" t="s">
        <v>12619</v>
      </c>
      <c r="G22068" t="s">
        <v>16829</v>
      </c>
      <c r="H22068" t="s">
        <v>25985</v>
      </c>
    </row>
    <row r="22069" spans="1:8">
      <c r="F22069" t="s">
        <v>12697</v>
      </c>
      <c r="G22069" t="s">
        <v>16901</v>
      </c>
      <c r="H22069" t="s">
        <v>25985</v>
      </c>
    </row>
    <row r="22070" spans="1:8">
      <c r="A22070" t="s">
        <v>864</v>
      </c>
      <c r="B22070">
        <f>HYPERLINK("https://android.googlesource.com/platform/cts/+/c15ea9f9eedc62d1c92511409b53e57f1691e249", "c15ea9f9eedc62d1c92511409b53e57f1691e249")</f>
        <v>0</v>
      </c>
      <c r="C22070">
        <f>HYPERLINK("https://android.googlesource.com/platform/cts/+/4db04227c052aaec075dd89a5483ebc27da47ad9", "4db04227c052aaec075dd89a5483ebc27da47ad9")</f>
        <v>0</v>
      </c>
      <c r="D22070" t="s">
        <v>5029</v>
      </c>
      <c r="E22070" t="s">
        <v>6645</v>
      </c>
      <c r="F22070" t="s">
        <v>12698</v>
      </c>
      <c r="G22070" t="s">
        <v>16591</v>
      </c>
      <c r="H22070" t="s">
        <v>22374</v>
      </c>
    </row>
    <row r="22071" spans="1:8">
      <c r="H22071" t="s">
        <v>22375</v>
      </c>
    </row>
    <row r="22072" spans="1:8">
      <c r="H22072" t="s">
        <v>22376</v>
      </c>
    </row>
    <row r="22073" spans="1:8">
      <c r="A22073" t="s">
        <v>865</v>
      </c>
      <c r="B22073">
        <f>HYPERLINK("https://android.googlesource.com/platform/cts/+/0cad7a117c1af817f125db2f31177e198d4feec4", "0cad7a117c1af817f125db2f31177e198d4feec4")</f>
        <v>0</v>
      </c>
      <c r="C22073">
        <f>HYPERLINK("https://android.googlesource.com/platform/cts/+/225b9a1c7b67366701e3c26ddc2593d4428660ff", "225b9a1c7b67366701e3c26ddc2593d4428660ff")</f>
        <v>0</v>
      </c>
      <c r="D22073" t="s">
        <v>5107</v>
      </c>
      <c r="E22073" t="s">
        <v>6646</v>
      </c>
      <c r="F22073" t="s">
        <v>12699</v>
      </c>
      <c r="G22073" t="s">
        <v>16902</v>
      </c>
      <c r="H22073" t="s">
        <v>25986</v>
      </c>
    </row>
    <row r="22074" spans="1:8">
      <c r="A22074" t="s">
        <v>866</v>
      </c>
      <c r="B22074">
        <f>HYPERLINK("https://android.googlesource.com/platform/cts/+/03abf5215a1b6d7c1d1394ed8e221adedd690c7a", "03abf5215a1b6d7c1d1394ed8e221adedd690c7a")</f>
        <v>0</v>
      </c>
      <c r="C22074">
        <f>HYPERLINK("https://android.googlesource.com/platform/cts/+/7273bd72c2ee52e05a692595022c6a223594b97c", "7273bd72c2ee52e05a692595022c6a223594b97c")</f>
        <v>0</v>
      </c>
      <c r="D22074" t="s">
        <v>5028</v>
      </c>
      <c r="E22074" t="s">
        <v>6647</v>
      </c>
      <c r="F22074" t="s">
        <v>12334</v>
      </c>
      <c r="G22074" t="s">
        <v>16562</v>
      </c>
      <c r="H22074" t="s">
        <v>25987</v>
      </c>
    </row>
    <row r="22075" spans="1:8">
      <c r="A22075" t="s">
        <v>867</v>
      </c>
      <c r="B22075">
        <f>HYPERLINK("https://android.googlesource.com/platform/cts/+/ff15fe978799fa9e23ba4f31a73f2ba84899bab6", "ff15fe978799fa9e23ba4f31a73f2ba84899bab6")</f>
        <v>0</v>
      </c>
      <c r="C22075">
        <f>HYPERLINK("https://android.googlesource.com/platform/cts/+/02ada350f9e21da49f78e8c485e991f2e71109ee", "02ada350f9e21da49f78e8c485e991f2e71109ee")</f>
        <v>0</v>
      </c>
      <c r="D22075" t="s">
        <v>5002</v>
      </c>
      <c r="E22075" t="s">
        <v>6648</v>
      </c>
      <c r="F22075" t="s">
        <v>12693</v>
      </c>
      <c r="G22075" t="s">
        <v>16894</v>
      </c>
      <c r="H22075" t="s">
        <v>25958</v>
      </c>
    </row>
    <row r="22076" spans="1:8">
      <c r="F22076" t="s">
        <v>12700</v>
      </c>
      <c r="G22076" t="s">
        <v>16903</v>
      </c>
      <c r="H22076" t="s">
        <v>25988</v>
      </c>
    </row>
    <row r="22077" spans="1:8">
      <c r="A22077" t="s">
        <v>868</v>
      </c>
      <c r="B22077">
        <f>HYPERLINK("https://android.googlesource.com/platform/cts/+/8b5df142344dadbf0ad0eb51952d0498eccf2eea", "8b5df142344dadbf0ad0eb51952d0498eccf2eea")</f>
        <v>0</v>
      </c>
      <c r="C22077">
        <f>HYPERLINK("https://android.googlesource.com/platform/cts/+/7ce4c33e68dad02c2db78b210f4dc7f1e87e4d9e", "7ce4c33e68dad02c2db78b210f4dc7f1e87e4d9e")</f>
        <v>0</v>
      </c>
      <c r="D22077" t="s">
        <v>5110</v>
      </c>
      <c r="E22077" t="s">
        <v>6649</v>
      </c>
      <c r="F22077" t="s">
        <v>12701</v>
      </c>
      <c r="G22077" t="s">
        <v>16904</v>
      </c>
      <c r="H22077" t="s">
        <v>22678</v>
      </c>
    </row>
    <row r="22078" spans="1:8">
      <c r="H22078" t="s">
        <v>18829</v>
      </c>
    </row>
    <row r="22079" spans="1:8">
      <c r="H22079" t="s">
        <v>18863</v>
      </c>
    </row>
    <row r="22080" spans="1:8">
      <c r="H22080" t="s">
        <v>25567</v>
      </c>
    </row>
    <row r="22081" spans="1:8">
      <c r="H22081" t="s">
        <v>25989</v>
      </c>
    </row>
    <row r="22082" spans="1:8">
      <c r="H22082" t="s">
        <v>25990</v>
      </c>
    </row>
    <row r="22083" spans="1:8">
      <c r="H22083" t="s">
        <v>25991</v>
      </c>
    </row>
    <row r="22084" spans="1:8">
      <c r="H22084" t="s">
        <v>25568</v>
      </c>
    </row>
    <row r="22085" spans="1:8">
      <c r="H22085" t="s">
        <v>25569</v>
      </c>
    </row>
    <row r="22086" spans="1:8">
      <c r="H22086" t="s">
        <v>25570</v>
      </c>
    </row>
    <row r="22087" spans="1:8">
      <c r="F22087" t="s">
        <v>12629</v>
      </c>
      <c r="G22087" t="s">
        <v>16838</v>
      </c>
      <c r="H22087" t="s">
        <v>25992</v>
      </c>
    </row>
    <row r="22088" spans="1:8">
      <c r="A22088" t="s">
        <v>869</v>
      </c>
      <c r="B22088">
        <f>HYPERLINK("https://android.googlesource.com/platform/cts/+/e65428769e4a484882f1f5ad4c002f53f8fff984", "e65428769e4a484882f1f5ad4c002f53f8fff984")</f>
        <v>0</v>
      </c>
      <c r="C22088">
        <f>HYPERLINK("https://android.googlesource.com/platform/cts/+/58581c3d1286052a6552c8c9c180f0fff89c3dad", "58581c3d1286052a6552c8c9c180f0fff89c3dad")</f>
        <v>0</v>
      </c>
      <c r="D22088" t="s">
        <v>5096</v>
      </c>
      <c r="E22088" t="s">
        <v>6650</v>
      </c>
      <c r="F22088" t="s">
        <v>12702</v>
      </c>
      <c r="G22088" t="s">
        <v>16905</v>
      </c>
      <c r="H22088" t="s">
        <v>25993</v>
      </c>
    </row>
    <row r="22089" spans="1:8">
      <c r="F22089" t="s">
        <v>12622</v>
      </c>
      <c r="G22089" t="s">
        <v>16832</v>
      </c>
      <c r="H22089" t="s">
        <v>25994</v>
      </c>
    </row>
    <row r="22090" spans="1:8">
      <c r="H22090" t="s">
        <v>25995</v>
      </c>
    </row>
    <row r="22091" spans="1:8">
      <c r="F22091" t="s">
        <v>12703</v>
      </c>
      <c r="G22091" t="s">
        <v>16906</v>
      </c>
      <c r="H22091" t="s">
        <v>18863</v>
      </c>
    </row>
    <row r="22092" spans="1:8">
      <c r="A22092" t="s">
        <v>870</v>
      </c>
      <c r="B22092">
        <f>HYPERLINK("https://android.googlesource.com/platform/cts/+/d8b2afae65d0b261d6ff3aaa77863a32adea6aa7", "d8b2afae65d0b261d6ff3aaa77863a32adea6aa7")</f>
        <v>0</v>
      </c>
      <c r="C22092">
        <f>HYPERLINK("https://android.googlesource.com/platform/cts/+/be10ebbd9d0fa1e05bbb1b654f4ee539b29e2869", "be10ebbd9d0fa1e05bbb1b654f4ee539b29e2869")</f>
        <v>0</v>
      </c>
      <c r="D22092" t="s">
        <v>5065</v>
      </c>
      <c r="E22092" t="s">
        <v>6651</v>
      </c>
      <c r="F22092" t="s">
        <v>12386</v>
      </c>
      <c r="G22092" t="s">
        <v>16611</v>
      </c>
      <c r="H22092" t="s">
        <v>25839</v>
      </c>
    </row>
    <row r="22093" spans="1:8">
      <c r="A22093" t="s">
        <v>871</v>
      </c>
      <c r="B22093">
        <f>HYPERLINK("https://android.googlesource.com/platform/cts/+/e4036feb8e016e46ab0391350e52172d1ea6bc54", "e4036feb8e016e46ab0391350e52172d1ea6bc54")</f>
        <v>0</v>
      </c>
      <c r="C22093">
        <f>HYPERLINK("https://android.googlesource.com/platform/cts/+/aca7e8c8473d45e9349caca76a686c5e3db2179b", "aca7e8c8473d45e9349caca76a686c5e3db2179b")</f>
        <v>0</v>
      </c>
      <c r="D22093" t="s">
        <v>5002</v>
      </c>
      <c r="E22093" t="s">
        <v>6652</v>
      </c>
      <c r="F22093" t="s">
        <v>12704</v>
      </c>
      <c r="G22093" t="s">
        <v>15717</v>
      </c>
      <c r="H22093" t="s">
        <v>18863</v>
      </c>
    </row>
    <row r="22094" spans="1:8">
      <c r="A22094" t="s">
        <v>872</v>
      </c>
      <c r="B22094">
        <f>HYPERLINK("https://android.googlesource.com/platform/cts/+/a99ccd9b2069ad63a404c8fe6b613fa37fd908c8", "a99ccd9b2069ad63a404c8fe6b613fa37fd908c8")</f>
        <v>0</v>
      </c>
      <c r="C22094">
        <f>HYPERLINK("https://android.googlesource.com/platform/cts/+/0bad9e7cd049ef3379708d030a19ce355cc3472d", "0bad9e7cd049ef3379708d030a19ce355cc3472d")</f>
        <v>0</v>
      </c>
      <c r="D22094" t="s">
        <v>5111</v>
      </c>
      <c r="E22094" t="s">
        <v>6653</v>
      </c>
      <c r="F22094" t="s">
        <v>12705</v>
      </c>
      <c r="G22094" t="s">
        <v>16907</v>
      </c>
      <c r="H22094" t="s">
        <v>25996</v>
      </c>
    </row>
    <row r="22095" spans="1:8">
      <c r="F22095" t="s">
        <v>12706</v>
      </c>
      <c r="G22095" t="s">
        <v>16908</v>
      </c>
      <c r="H22095" t="s">
        <v>25997</v>
      </c>
    </row>
    <row r="22096" spans="1:8">
      <c r="H22096" t="s">
        <v>25998</v>
      </c>
    </row>
    <row r="22097" spans="1:8">
      <c r="A22097" t="s">
        <v>873</v>
      </c>
      <c r="B22097">
        <f>HYPERLINK("https://android.googlesource.com/platform/cts/+/b36d21caa07701fab51142ee3880406402b3a9d2", "b36d21caa07701fab51142ee3880406402b3a9d2")</f>
        <v>0</v>
      </c>
      <c r="C22097">
        <f>HYPERLINK("https://android.googlesource.com/platform/cts/+/f5f73c32459a18fc8809c3f13603b86db7e3d2ea", "f5f73c32459a18fc8809c3f13603b86db7e3d2ea")</f>
        <v>0</v>
      </c>
      <c r="D22097" t="s">
        <v>5111</v>
      </c>
      <c r="E22097" t="s">
        <v>6654</v>
      </c>
      <c r="F22097" t="s">
        <v>12705</v>
      </c>
      <c r="G22097" t="s">
        <v>16907</v>
      </c>
      <c r="H22097" t="s">
        <v>25996</v>
      </c>
    </row>
    <row r="22098" spans="1:8">
      <c r="F22098" t="s">
        <v>12706</v>
      </c>
      <c r="G22098" t="s">
        <v>16908</v>
      </c>
      <c r="H22098" t="s">
        <v>25997</v>
      </c>
    </row>
    <row r="22099" spans="1:8">
      <c r="H22099" t="s">
        <v>25998</v>
      </c>
    </row>
    <row r="22100" spans="1:8">
      <c r="A22100" t="s">
        <v>874</v>
      </c>
      <c r="B22100">
        <f>HYPERLINK("https://android.googlesource.com/platform/cts/+/d1ade0d6ffd35a923bed0ef31ed90a16296f8ac3", "d1ade0d6ffd35a923bed0ef31ed90a16296f8ac3")</f>
        <v>0</v>
      </c>
      <c r="C22100">
        <f>HYPERLINK("https://android.googlesource.com/platform/cts/+/28330115cf93ec16b0b257b4d819f3238e7e4323", "28330115cf93ec16b0b257b4d819f3238e7e4323")</f>
        <v>0</v>
      </c>
      <c r="D22100" t="s">
        <v>5088</v>
      </c>
      <c r="E22100" t="s">
        <v>6655</v>
      </c>
      <c r="F22100" t="s">
        <v>12707</v>
      </c>
      <c r="G22100" t="s">
        <v>16909</v>
      </c>
      <c r="H22100" t="s">
        <v>25999</v>
      </c>
    </row>
    <row r="22101" spans="1:8">
      <c r="A22101" t="s">
        <v>875</v>
      </c>
      <c r="B22101">
        <f>HYPERLINK("https://android.googlesource.com/platform/cts/+/310169f190fc6257d8510c8cdcd718d85526d901", "310169f190fc6257d8510c8cdcd718d85526d901")</f>
        <v>0</v>
      </c>
      <c r="C22101">
        <f>HYPERLINK("https://android.googlesource.com/platform/cts/+/976b651ad07903d8a6f2b055c387ad48d6aa3411", "976b651ad07903d8a6f2b055c387ad48d6aa3411")</f>
        <v>0</v>
      </c>
      <c r="D22101" t="s">
        <v>5088</v>
      </c>
      <c r="E22101" t="s">
        <v>6656</v>
      </c>
      <c r="F22101" t="s">
        <v>12707</v>
      </c>
      <c r="G22101" t="s">
        <v>16909</v>
      </c>
      <c r="H22101" t="s">
        <v>25999</v>
      </c>
    </row>
    <row r="22102" spans="1:8">
      <c r="A22102" t="s">
        <v>876</v>
      </c>
      <c r="B22102">
        <f>HYPERLINK("https://android.googlesource.com/platform/cts/+/bc5ba005bebb8d0521356031076a8ee34d19d140", "bc5ba005bebb8d0521356031076a8ee34d19d140")</f>
        <v>0</v>
      </c>
      <c r="C22102">
        <f>HYPERLINK("https://android.googlesource.com/platform/cts/+/3d045942c8af49cb0d72d808698823876220ad7f", "3d045942c8af49cb0d72d808698823876220ad7f")</f>
        <v>0</v>
      </c>
      <c r="D22102" t="s">
        <v>5002</v>
      </c>
      <c r="E22102" t="s">
        <v>6657</v>
      </c>
      <c r="F22102" t="s">
        <v>12651</v>
      </c>
      <c r="G22102" t="s">
        <v>16857</v>
      </c>
      <c r="H22102" t="s">
        <v>20077</v>
      </c>
    </row>
    <row r="22103" spans="1:8">
      <c r="A22103" t="s">
        <v>877</v>
      </c>
      <c r="B22103">
        <f>HYPERLINK("https://android.googlesource.com/platform/cts/+/30c9cb82e7f598da54beecb9f587e1a21338fef2", "30c9cb82e7f598da54beecb9f587e1a21338fef2")</f>
        <v>0</v>
      </c>
      <c r="C22103">
        <f>HYPERLINK("https://android.googlesource.com/platform/cts/+/bc5ba005bebb8d0521356031076a8ee34d19d140", "bc5ba005bebb8d0521356031076a8ee34d19d140")</f>
        <v>0</v>
      </c>
      <c r="D22103" t="s">
        <v>5002</v>
      </c>
      <c r="E22103" t="s">
        <v>6658</v>
      </c>
      <c r="F22103" t="s">
        <v>12708</v>
      </c>
      <c r="G22103" t="s">
        <v>15044</v>
      </c>
      <c r="H22103" t="s">
        <v>19792</v>
      </c>
    </row>
    <row r="22104" spans="1:8">
      <c r="H22104" t="s">
        <v>19794</v>
      </c>
    </row>
    <row r="22105" spans="1:8">
      <c r="H22105" t="s">
        <v>19793</v>
      </c>
    </row>
    <row r="22106" spans="1:8">
      <c r="H22106" t="s">
        <v>19795</v>
      </c>
    </row>
    <row r="22107" spans="1:8">
      <c r="F22107" t="s">
        <v>12709</v>
      </c>
      <c r="G22107" t="s">
        <v>16910</v>
      </c>
      <c r="H22107" t="s">
        <v>18829</v>
      </c>
    </row>
    <row r="22108" spans="1:8">
      <c r="H22108" t="s">
        <v>18863</v>
      </c>
    </row>
    <row r="22109" spans="1:8">
      <c r="H22109" t="s">
        <v>26000</v>
      </c>
    </row>
    <row r="22110" spans="1:8">
      <c r="H22110" t="s">
        <v>26001</v>
      </c>
    </row>
    <row r="22111" spans="1:8">
      <c r="H22111" t="s">
        <v>26002</v>
      </c>
    </row>
    <row r="22112" spans="1:8">
      <c r="A22112" t="s">
        <v>878</v>
      </c>
      <c r="B22112">
        <f>HYPERLINK("https://android.googlesource.com/platform/cts/+/21a4341dddd8ec6529fcb9350fe465a57806216c", "21a4341dddd8ec6529fcb9350fe465a57806216c")</f>
        <v>0</v>
      </c>
      <c r="C22112">
        <f>HYPERLINK("https://android.googlesource.com/platform/cts/+/610aa6b0486b9a7ee5b17b5682520444c9d6dcef", "610aa6b0486b9a7ee5b17b5682520444c9d6dcef")</f>
        <v>0</v>
      </c>
      <c r="D22112" t="s">
        <v>5112</v>
      </c>
      <c r="E22112" t="s">
        <v>6659</v>
      </c>
      <c r="F22112" t="s">
        <v>12710</v>
      </c>
      <c r="G22112" t="s">
        <v>16911</v>
      </c>
      <c r="H22112" t="s">
        <v>26003</v>
      </c>
    </row>
    <row r="22113" spans="1:8">
      <c r="A22113" t="s">
        <v>879</v>
      </c>
      <c r="B22113">
        <f>HYPERLINK("https://android.googlesource.com/platform/cts/+/6085547eed5ccd4982a2ed0fa9ea69bbf620f435", "6085547eed5ccd4982a2ed0fa9ea69bbf620f435")</f>
        <v>0</v>
      </c>
      <c r="C22113">
        <f>HYPERLINK("https://android.googlesource.com/platform/cts/+/79ed2fbc34e4c1c740e5ceb8f9aaef164d8cbe7c", "79ed2fbc34e4c1c740e5ceb8f9aaef164d8cbe7c")</f>
        <v>0</v>
      </c>
      <c r="D22113" t="s">
        <v>5011</v>
      </c>
      <c r="E22113" t="s">
        <v>6660</v>
      </c>
      <c r="F22113" t="s">
        <v>12703</v>
      </c>
      <c r="G22113" t="s">
        <v>16906</v>
      </c>
      <c r="H22113" t="s">
        <v>26004</v>
      </c>
    </row>
    <row r="22114" spans="1:8">
      <c r="A22114" t="s">
        <v>880</v>
      </c>
      <c r="B22114">
        <f>HYPERLINK("https://android.googlesource.com/platform/cts/+/2046baee21708f108cdb1bbc9032877f60012ccd", "2046baee21708f108cdb1bbc9032877f60012ccd")</f>
        <v>0</v>
      </c>
      <c r="C22114">
        <f>HYPERLINK("https://android.googlesource.com/platform/cts/+/30c9cb82e7f598da54beecb9f587e1a21338fef2", "30c9cb82e7f598da54beecb9f587e1a21338fef2")</f>
        <v>0</v>
      </c>
      <c r="D22114" t="s">
        <v>5002</v>
      </c>
      <c r="E22114" t="s">
        <v>6661</v>
      </c>
      <c r="F22114" t="s">
        <v>12711</v>
      </c>
      <c r="G22114" t="s">
        <v>16912</v>
      </c>
      <c r="H22114" t="s">
        <v>18829</v>
      </c>
    </row>
    <row r="22115" spans="1:8">
      <c r="H22115" t="s">
        <v>18863</v>
      </c>
    </row>
    <row r="22116" spans="1:8">
      <c r="H22116" t="s">
        <v>26000</v>
      </c>
    </row>
    <row r="22117" spans="1:8">
      <c r="H22117" t="s">
        <v>26001</v>
      </c>
    </row>
    <row r="22118" spans="1:8">
      <c r="H22118" t="s">
        <v>26002</v>
      </c>
    </row>
    <row r="22119" spans="1:8">
      <c r="A22119" t="s">
        <v>881</v>
      </c>
      <c r="B22119">
        <f>HYPERLINK("https://android.googlesource.com/platform/cts/+/20e0771ee7b4a7612593cf0fb077b5b5636236e7", "20e0771ee7b4a7612593cf0fb077b5b5636236e7")</f>
        <v>0</v>
      </c>
      <c r="C22119">
        <f>HYPERLINK("https://android.googlesource.com/platform/cts/+/8d98451a68a4c21af5ecceb182033a949a6a4418", "8d98451a68a4c21af5ecceb182033a949a6a4418")</f>
        <v>0</v>
      </c>
      <c r="D22119" t="s">
        <v>5002</v>
      </c>
      <c r="E22119" t="s">
        <v>6662</v>
      </c>
      <c r="F22119" t="s">
        <v>12708</v>
      </c>
      <c r="G22119" t="s">
        <v>15044</v>
      </c>
      <c r="H22119" t="s">
        <v>19792</v>
      </c>
    </row>
    <row r="22120" spans="1:8">
      <c r="H22120" t="s">
        <v>19794</v>
      </c>
    </row>
    <row r="22121" spans="1:8">
      <c r="H22121" t="s">
        <v>19793</v>
      </c>
    </row>
    <row r="22122" spans="1:8">
      <c r="H22122" t="s">
        <v>19795</v>
      </c>
    </row>
    <row r="22123" spans="1:8">
      <c r="F22123" t="s">
        <v>12709</v>
      </c>
      <c r="G22123" t="s">
        <v>16910</v>
      </c>
      <c r="H22123" t="s">
        <v>18829</v>
      </c>
    </row>
    <row r="22124" spans="1:8">
      <c r="H22124" t="s">
        <v>18863</v>
      </c>
    </row>
    <row r="22125" spans="1:8">
      <c r="H22125" t="s">
        <v>26000</v>
      </c>
    </row>
    <row r="22126" spans="1:8">
      <c r="H22126" t="s">
        <v>26001</v>
      </c>
    </row>
    <row r="22127" spans="1:8">
      <c r="H22127" t="s">
        <v>26002</v>
      </c>
    </row>
    <row r="22128" spans="1:8">
      <c r="A22128" t="s">
        <v>882</v>
      </c>
      <c r="B22128">
        <f>HYPERLINK("https://android.googlesource.com/platform/cts/+/bb212349dbfd131dd771f01f27db542d67fbedba", "bb212349dbfd131dd771f01f27db542d67fbedba")</f>
        <v>0</v>
      </c>
      <c r="C22128">
        <f>HYPERLINK("https://android.googlesource.com/platform/cts/+/6baa9b58986a85dd76c4ca837a0c83c60d497914", "6baa9b58986a85dd76c4ca837a0c83c60d497914")</f>
        <v>0</v>
      </c>
      <c r="D22128" t="s">
        <v>5002</v>
      </c>
      <c r="E22128" t="s">
        <v>6663</v>
      </c>
      <c r="F22128" t="s">
        <v>12712</v>
      </c>
      <c r="G22128" t="s">
        <v>16913</v>
      </c>
      <c r="H22128" t="s">
        <v>18829</v>
      </c>
    </row>
    <row r="22129" spans="1:8">
      <c r="H22129" t="s">
        <v>18863</v>
      </c>
    </row>
    <row r="22130" spans="1:8">
      <c r="H22130" t="s">
        <v>21322</v>
      </c>
    </row>
    <row r="22131" spans="1:8">
      <c r="H22131" t="s">
        <v>21323</v>
      </c>
    </row>
    <row r="22132" spans="1:8">
      <c r="H22132" t="s">
        <v>20237</v>
      </c>
    </row>
    <row r="22133" spans="1:8">
      <c r="H22133" t="s">
        <v>19019</v>
      </c>
    </row>
    <row r="22134" spans="1:8">
      <c r="F22134" t="s">
        <v>12713</v>
      </c>
      <c r="G22134" t="s">
        <v>16438</v>
      </c>
      <c r="H22134" t="s">
        <v>21325</v>
      </c>
    </row>
    <row r="22135" spans="1:8">
      <c r="A22135" t="s">
        <v>883</v>
      </c>
      <c r="B22135">
        <f>HYPERLINK("https://android.googlesource.com/platform/cts/+/6b345c6f97dcc722caa93454db51f79417bfa07f", "6b345c6f97dcc722caa93454db51f79417bfa07f")</f>
        <v>0</v>
      </c>
      <c r="C22135">
        <f>HYPERLINK("https://android.googlesource.com/platform/cts/+/0e9f6c97bd7c7b514c0ff491ea9b0b7700db9da8", "0e9f6c97bd7c7b514c0ff491ea9b0b7700db9da8")</f>
        <v>0</v>
      </c>
      <c r="D22135" t="s">
        <v>4997</v>
      </c>
      <c r="E22135" t="s">
        <v>6664</v>
      </c>
      <c r="F22135" t="s">
        <v>12714</v>
      </c>
      <c r="G22135" t="s">
        <v>16914</v>
      </c>
      <c r="H22135" t="s">
        <v>26005</v>
      </c>
    </row>
    <row r="22136" spans="1:8">
      <c r="H22136" t="s">
        <v>26006</v>
      </c>
    </row>
    <row r="22137" spans="1:8">
      <c r="H22137" t="s">
        <v>26007</v>
      </c>
    </row>
    <row r="22138" spans="1:8">
      <c r="H22138" t="s">
        <v>26008</v>
      </c>
    </row>
    <row r="22139" spans="1:8">
      <c r="H22139" t="s">
        <v>26009</v>
      </c>
    </row>
    <row r="22140" spans="1:8">
      <c r="A22140" t="s">
        <v>884</v>
      </c>
      <c r="B22140">
        <f>HYPERLINK("https://android.googlesource.com/platform/cts/+/a0c6f39a65e5db0a01ef1216447e5ca838032aef", "a0c6f39a65e5db0a01ef1216447e5ca838032aef")</f>
        <v>0</v>
      </c>
      <c r="C22140">
        <f>HYPERLINK("https://android.googlesource.com/platform/cts/+/7f5422a0771a47a2a4c589e0eb6b63cb0839ead6", "7f5422a0771a47a2a4c589e0eb6b63cb0839ead6")</f>
        <v>0</v>
      </c>
      <c r="D22140" t="s">
        <v>5002</v>
      </c>
      <c r="E22140" t="s">
        <v>6665</v>
      </c>
      <c r="F22140" t="s">
        <v>12694</v>
      </c>
      <c r="G22140" t="s">
        <v>16898</v>
      </c>
      <c r="H22140" t="s">
        <v>20244</v>
      </c>
    </row>
    <row r="22141" spans="1:8">
      <c r="H22141" t="s">
        <v>18863</v>
      </c>
    </row>
    <row r="22142" spans="1:8">
      <c r="A22142" t="s">
        <v>885</v>
      </c>
      <c r="B22142">
        <f>HYPERLINK("https://android.googlesource.com/platform/cts/+/7ee56dc03b50548897453f0f0f9d97e19910673c", "7ee56dc03b50548897453f0f0f9d97e19910673c")</f>
        <v>0</v>
      </c>
      <c r="C22142">
        <f>HYPERLINK("https://android.googlesource.com/platform/cts/+/c27314324d6809533ab47e7bfe52efa484189e11", "c27314324d6809533ab47e7bfe52efa484189e11")</f>
        <v>0</v>
      </c>
      <c r="D22142" t="s">
        <v>5002</v>
      </c>
      <c r="E22142" t="s">
        <v>6666</v>
      </c>
      <c r="F22142" t="s">
        <v>12175</v>
      </c>
      <c r="G22142" t="s">
        <v>16915</v>
      </c>
      <c r="H22142" t="s">
        <v>18829</v>
      </c>
    </row>
    <row r="22143" spans="1:8">
      <c r="H22143" t="s">
        <v>21360</v>
      </c>
    </row>
    <row r="22144" spans="1:8">
      <c r="H22144" t="s">
        <v>26010</v>
      </c>
    </row>
    <row r="22145" spans="8:8">
      <c r="H22145" t="s">
        <v>26011</v>
      </c>
    </row>
    <row r="22146" spans="8:8">
      <c r="H22146" t="s">
        <v>26012</v>
      </c>
    </row>
    <row r="22147" spans="8:8">
      <c r="H22147" t="s">
        <v>26013</v>
      </c>
    </row>
    <row r="22148" spans="8:8">
      <c r="H22148" t="s">
        <v>26014</v>
      </c>
    </row>
    <row r="22149" spans="8:8">
      <c r="H22149" t="s">
        <v>26015</v>
      </c>
    </row>
    <row r="22150" spans="8:8">
      <c r="H22150" t="s">
        <v>26016</v>
      </c>
    </row>
    <row r="22151" spans="8:8">
      <c r="H22151" t="s">
        <v>26017</v>
      </c>
    </row>
    <row r="22152" spans="8:8">
      <c r="H22152" t="s">
        <v>26018</v>
      </c>
    </row>
    <row r="22153" spans="8:8">
      <c r="H22153" t="s">
        <v>26019</v>
      </c>
    </row>
    <row r="22154" spans="8:8">
      <c r="H22154" t="s">
        <v>26020</v>
      </c>
    </row>
    <row r="22155" spans="8:8">
      <c r="H22155" t="s">
        <v>26021</v>
      </c>
    </row>
    <row r="22156" spans="8:8">
      <c r="H22156" t="s">
        <v>26022</v>
      </c>
    </row>
    <row r="22157" spans="8:8">
      <c r="H22157" t="s">
        <v>26023</v>
      </c>
    </row>
    <row r="22158" spans="8:8">
      <c r="H22158" t="s">
        <v>26024</v>
      </c>
    </row>
    <row r="22159" spans="8:8">
      <c r="H22159" t="s">
        <v>26025</v>
      </c>
    </row>
    <row r="22160" spans="8:8">
      <c r="H22160" t="s">
        <v>26026</v>
      </c>
    </row>
    <row r="22161" spans="8:8">
      <c r="H22161" t="s">
        <v>26027</v>
      </c>
    </row>
    <row r="22162" spans="8:8">
      <c r="H22162" t="s">
        <v>26028</v>
      </c>
    </row>
    <row r="22163" spans="8:8">
      <c r="H22163" t="s">
        <v>26029</v>
      </c>
    </row>
    <row r="22164" spans="8:8">
      <c r="H22164" t="s">
        <v>26030</v>
      </c>
    </row>
    <row r="22165" spans="8:8">
      <c r="H22165" t="s">
        <v>26031</v>
      </c>
    </row>
    <row r="22166" spans="8:8">
      <c r="H22166" t="s">
        <v>26032</v>
      </c>
    </row>
    <row r="22167" spans="8:8">
      <c r="H22167" t="s">
        <v>26033</v>
      </c>
    </row>
    <row r="22168" spans="8:8">
      <c r="H22168" t="s">
        <v>26034</v>
      </c>
    </row>
    <row r="22169" spans="8:8">
      <c r="H22169" t="s">
        <v>26035</v>
      </c>
    </row>
    <row r="22170" spans="8:8">
      <c r="H22170" t="s">
        <v>26036</v>
      </c>
    </row>
    <row r="22171" spans="8:8">
      <c r="H22171" t="s">
        <v>26037</v>
      </c>
    </row>
    <row r="22172" spans="8:8">
      <c r="H22172" t="s">
        <v>26038</v>
      </c>
    </row>
    <row r="22173" spans="8:8">
      <c r="H22173" t="s">
        <v>26039</v>
      </c>
    </row>
    <row r="22174" spans="8:8">
      <c r="H22174" t="s">
        <v>26040</v>
      </c>
    </row>
    <row r="22175" spans="8:8">
      <c r="H22175" t="s">
        <v>26041</v>
      </c>
    </row>
    <row r="22176" spans="8:8">
      <c r="H22176" t="s">
        <v>26042</v>
      </c>
    </row>
    <row r="22177" spans="8:8">
      <c r="H22177" t="s">
        <v>26043</v>
      </c>
    </row>
    <row r="22178" spans="8:8">
      <c r="H22178" t="s">
        <v>26044</v>
      </c>
    </row>
    <row r="22179" spans="8:8">
      <c r="H22179" t="s">
        <v>26045</v>
      </c>
    </row>
    <row r="22180" spans="8:8">
      <c r="H22180" t="s">
        <v>26046</v>
      </c>
    </row>
    <row r="22181" spans="8:8">
      <c r="H22181" t="s">
        <v>26047</v>
      </c>
    </row>
    <row r="22182" spans="8:8">
      <c r="H22182" t="s">
        <v>26048</v>
      </c>
    </row>
    <row r="22183" spans="8:8">
      <c r="H22183" t="s">
        <v>26049</v>
      </c>
    </row>
    <row r="22184" spans="8:8">
      <c r="H22184" t="s">
        <v>26050</v>
      </c>
    </row>
    <row r="22185" spans="8:8">
      <c r="H22185" t="s">
        <v>26051</v>
      </c>
    </row>
    <row r="22186" spans="8:8">
      <c r="H22186" t="s">
        <v>26052</v>
      </c>
    </row>
    <row r="22187" spans="8:8">
      <c r="H22187" t="s">
        <v>26053</v>
      </c>
    </row>
    <row r="22188" spans="8:8">
      <c r="H22188" t="s">
        <v>26054</v>
      </c>
    </row>
    <row r="22189" spans="8:8">
      <c r="H22189" t="s">
        <v>26055</v>
      </c>
    </row>
    <row r="22190" spans="8:8">
      <c r="H22190" t="s">
        <v>26056</v>
      </c>
    </row>
    <row r="22191" spans="8:8">
      <c r="H22191" t="s">
        <v>26057</v>
      </c>
    </row>
    <row r="22192" spans="8:8">
      <c r="H22192" t="s">
        <v>26058</v>
      </c>
    </row>
    <row r="22193" spans="1:8">
      <c r="H22193" t="s">
        <v>26059</v>
      </c>
    </row>
    <row r="22194" spans="1:8">
      <c r="H22194" t="s">
        <v>26060</v>
      </c>
    </row>
    <row r="22195" spans="1:8">
      <c r="H22195" t="s">
        <v>26061</v>
      </c>
    </row>
    <row r="22196" spans="1:8">
      <c r="H22196" t="s">
        <v>26062</v>
      </c>
    </row>
    <row r="22197" spans="1:8">
      <c r="A22197" t="s">
        <v>886</v>
      </c>
      <c r="B22197">
        <f>HYPERLINK("https://android.googlesource.com/platform/cts/+/7f70ff05c578db6bf7ef6d51563a440d9afe6a91", "7f70ff05c578db6bf7ef6d51563a440d9afe6a91")</f>
        <v>0</v>
      </c>
      <c r="C22197">
        <f>HYPERLINK("https://android.googlesource.com/platform/cts/+/88137b334ea55a358860a470da58b0b8989acc3a", "88137b334ea55a358860a470da58b0b8989acc3a")</f>
        <v>0</v>
      </c>
      <c r="D22197" t="s">
        <v>5113</v>
      </c>
      <c r="E22197" t="s">
        <v>6667</v>
      </c>
      <c r="F22197" t="s">
        <v>12173</v>
      </c>
      <c r="G22197" t="s">
        <v>16412</v>
      </c>
      <c r="H22197" t="s">
        <v>26063</v>
      </c>
    </row>
    <row r="22198" spans="1:8">
      <c r="A22198" t="s">
        <v>887</v>
      </c>
      <c r="B22198">
        <f>HYPERLINK("https://android.googlesource.com/platform/cts/+/720504c7f1b8135bb4a37e2e7d2be1d3fef98654", "720504c7f1b8135bb4a37e2e7d2be1d3fef98654")</f>
        <v>0</v>
      </c>
      <c r="C22198">
        <f>HYPERLINK("https://android.googlesource.com/platform/cts/+/7f70ff05c578db6bf7ef6d51563a440d9afe6a91", "7f70ff05c578db6bf7ef6d51563a440d9afe6a91")</f>
        <v>0</v>
      </c>
      <c r="D22198" t="s">
        <v>5113</v>
      </c>
      <c r="E22198" t="s">
        <v>6668</v>
      </c>
      <c r="F22198" t="s">
        <v>12173</v>
      </c>
      <c r="G22198" t="s">
        <v>16412</v>
      </c>
      <c r="H22198" t="s">
        <v>26064</v>
      </c>
    </row>
    <row r="22199" spans="1:8">
      <c r="A22199" t="s">
        <v>888</v>
      </c>
      <c r="B22199">
        <f>HYPERLINK("https://android.googlesource.com/platform/cts/+/ac512edf60522e34d086398a773c02d1383bd07e", "ac512edf60522e34d086398a773c02d1383bd07e")</f>
        <v>0</v>
      </c>
      <c r="C22199">
        <f>HYPERLINK("https://android.googlesource.com/platform/cts/+/666fd82bed2f774757b4b706d2b4878d2a425a08", "666fd82bed2f774757b4b706d2b4878d2a425a08")</f>
        <v>0</v>
      </c>
      <c r="D22199" t="s">
        <v>5002</v>
      </c>
      <c r="E22199" t="s">
        <v>6669</v>
      </c>
      <c r="F22199" t="s">
        <v>12715</v>
      </c>
      <c r="G22199" t="s">
        <v>15144</v>
      </c>
      <c r="H22199" t="s">
        <v>20244</v>
      </c>
    </row>
    <row r="22200" spans="1:8">
      <c r="H22200" t="s">
        <v>26065</v>
      </c>
    </row>
    <row r="22201" spans="1:8">
      <c r="A22201" t="s">
        <v>889</v>
      </c>
      <c r="B22201">
        <f>HYPERLINK("https://android.googlesource.com/platform/cts/+/53d2671f2aac00abddd5648d8c4e1c29ee00efc5", "53d2671f2aac00abddd5648d8c4e1c29ee00efc5")</f>
        <v>0</v>
      </c>
      <c r="C22201">
        <f>HYPERLINK("https://android.googlesource.com/platform/cts/+/b08f69d66e75e14842bdcbdede68bff3bdd908b0", "b08f69d66e75e14842bdcbdede68bff3bdd908b0")</f>
        <v>0</v>
      </c>
      <c r="D22201" t="s">
        <v>5094</v>
      </c>
      <c r="E22201" t="s">
        <v>6670</v>
      </c>
      <c r="F22201" t="s">
        <v>12716</v>
      </c>
      <c r="G22201" t="s">
        <v>16916</v>
      </c>
      <c r="H22201" t="s">
        <v>26066</v>
      </c>
    </row>
    <row r="22202" spans="1:8">
      <c r="H22202" t="s">
        <v>26067</v>
      </c>
    </row>
    <row r="22203" spans="1:8">
      <c r="A22203" t="s">
        <v>890</v>
      </c>
      <c r="B22203">
        <f>HYPERLINK("https://android.googlesource.com/platform/cts/+/921cc7713ca69796cd8249e063298956ad9c7fd4", "921cc7713ca69796cd8249e063298956ad9c7fd4")</f>
        <v>0</v>
      </c>
      <c r="C22203">
        <f>HYPERLINK("https://android.googlesource.com/platform/cts/+/2984e627bed0bb9e27da6c3cb89180ae7bbab759", "2984e627bed0bb9e27da6c3cb89180ae7bbab759")</f>
        <v>0</v>
      </c>
      <c r="D22203" t="s">
        <v>5114</v>
      </c>
      <c r="E22203" t="s">
        <v>6671</v>
      </c>
      <c r="F22203" t="s">
        <v>12717</v>
      </c>
      <c r="G22203" t="s">
        <v>16917</v>
      </c>
      <c r="H22203" t="s">
        <v>26068</v>
      </c>
    </row>
    <row r="22204" spans="1:8">
      <c r="A22204" t="s">
        <v>891</v>
      </c>
      <c r="B22204">
        <f>HYPERLINK("https://android.googlesource.com/platform/cts/+/fb9c06c26aab7ed684b97767ae7290aa8ee63fea", "fb9c06c26aab7ed684b97767ae7290aa8ee63fea")</f>
        <v>0</v>
      </c>
      <c r="C22204">
        <f>HYPERLINK("https://android.googlesource.com/platform/cts/+/f7d279345d2a97e638b25a8975f05984b1ac8726", "f7d279345d2a97e638b25a8975f05984b1ac8726")</f>
        <v>0</v>
      </c>
      <c r="D22204" t="s">
        <v>5115</v>
      </c>
      <c r="E22204" t="s">
        <v>6672</v>
      </c>
      <c r="F22204" t="s">
        <v>12718</v>
      </c>
      <c r="G22204" t="s">
        <v>16918</v>
      </c>
      <c r="H22204" t="s">
        <v>18829</v>
      </c>
    </row>
    <row r="22205" spans="1:8">
      <c r="H22205" t="s">
        <v>26069</v>
      </c>
    </row>
    <row r="22206" spans="1:8">
      <c r="H22206" t="s">
        <v>26070</v>
      </c>
    </row>
    <row r="22207" spans="1:8">
      <c r="H22207" t="s">
        <v>26071</v>
      </c>
    </row>
    <row r="22208" spans="1:8">
      <c r="H22208" t="s">
        <v>26072</v>
      </c>
    </row>
    <row r="22209" spans="1:8">
      <c r="F22209" t="s">
        <v>12719</v>
      </c>
      <c r="G22209" t="s">
        <v>16919</v>
      </c>
      <c r="H22209" t="s">
        <v>18829</v>
      </c>
    </row>
    <row r="22210" spans="1:8">
      <c r="H22210" t="s">
        <v>26073</v>
      </c>
    </row>
    <row r="22211" spans="1:8">
      <c r="A22211" t="s">
        <v>892</v>
      </c>
      <c r="B22211">
        <f>HYPERLINK("https://android.googlesource.com/platform/cts/+/cdff076b35898bc9649f3fe4fcafc265022b4acb", "cdff076b35898bc9649f3fe4fcafc265022b4acb")</f>
        <v>0</v>
      </c>
      <c r="C22211">
        <f>HYPERLINK("https://android.googlesource.com/platform/cts/+/c87c845e78c253d88ce4fbac03d9bc62b6bd056d", "c87c845e78c253d88ce4fbac03d9bc62b6bd056d")</f>
        <v>0</v>
      </c>
      <c r="D22211" t="s">
        <v>5115</v>
      </c>
      <c r="E22211" t="s">
        <v>6673</v>
      </c>
      <c r="F22211" t="s">
        <v>12720</v>
      </c>
      <c r="G22211" t="s">
        <v>16920</v>
      </c>
      <c r="H22211" t="s">
        <v>26074</v>
      </c>
    </row>
    <row r="22212" spans="1:8">
      <c r="F22212" t="s">
        <v>12721</v>
      </c>
      <c r="G22212" t="s">
        <v>16920</v>
      </c>
      <c r="H22212" t="s">
        <v>26074</v>
      </c>
    </row>
    <row r="22213" spans="1:8">
      <c r="F22213" t="s">
        <v>12722</v>
      </c>
      <c r="G22213" t="s">
        <v>16920</v>
      </c>
      <c r="H22213" t="s">
        <v>26074</v>
      </c>
    </row>
    <row r="22214" spans="1:8">
      <c r="F22214" t="s">
        <v>12723</v>
      </c>
      <c r="G22214" t="s">
        <v>16920</v>
      </c>
      <c r="H22214" t="s">
        <v>26074</v>
      </c>
    </row>
    <row r="22215" spans="1:8">
      <c r="F22215" t="s">
        <v>12724</v>
      </c>
      <c r="G22215" t="s">
        <v>16920</v>
      </c>
      <c r="H22215" t="s">
        <v>26074</v>
      </c>
    </row>
    <row r="22216" spans="1:8">
      <c r="A22216" t="s">
        <v>893</v>
      </c>
      <c r="B22216">
        <f>HYPERLINK("https://android.googlesource.com/platform/cts/+/71ba78d1aa3f3f9ff87ba98f1534a375fafa2eb4", "71ba78d1aa3f3f9ff87ba98f1534a375fafa2eb4")</f>
        <v>0</v>
      </c>
      <c r="C22216">
        <f>HYPERLINK("https://android.googlesource.com/platform/cts/+/269497c34fdbf59a131021367d723f5548c16b0f", "269497c34fdbf59a131021367d723f5548c16b0f")</f>
        <v>0</v>
      </c>
      <c r="D22216" t="s">
        <v>5116</v>
      </c>
      <c r="E22216" t="s">
        <v>6674</v>
      </c>
      <c r="F22216" t="s">
        <v>12725</v>
      </c>
      <c r="G22216" t="s">
        <v>16825</v>
      </c>
      <c r="H22216" t="s">
        <v>26075</v>
      </c>
    </row>
    <row r="22217" spans="1:8">
      <c r="H22217" t="s">
        <v>18829</v>
      </c>
    </row>
    <row r="22218" spans="1:8">
      <c r="H22218" t="s">
        <v>18863</v>
      </c>
    </row>
    <row r="22219" spans="1:8">
      <c r="H22219" t="s">
        <v>26076</v>
      </c>
    </row>
    <row r="22220" spans="1:8">
      <c r="H22220" t="s">
        <v>25644</v>
      </c>
    </row>
    <row r="22221" spans="1:8">
      <c r="F22221" t="s">
        <v>12726</v>
      </c>
      <c r="G22221" t="s">
        <v>16921</v>
      </c>
      <c r="H22221" t="s">
        <v>20083</v>
      </c>
    </row>
    <row r="22222" spans="1:8">
      <c r="A22222" t="s">
        <v>894</v>
      </c>
      <c r="B22222">
        <f>HYPERLINK("https://android.googlesource.com/platform/cts/+/bf2b39b52934c754024d426b069ace1719d4f7ce", "bf2b39b52934c754024d426b069ace1719d4f7ce")</f>
        <v>0</v>
      </c>
      <c r="C22222">
        <f>HYPERLINK("https://android.googlesource.com/platform/cts/+/a36acb55ca5a134b3bbae31d74b524ce0272dbdf", "a36acb55ca5a134b3bbae31d74b524ce0272dbdf")</f>
        <v>0</v>
      </c>
      <c r="D22222" t="s">
        <v>5115</v>
      </c>
      <c r="E22222" t="s">
        <v>6675</v>
      </c>
      <c r="F22222" t="s">
        <v>12727</v>
      </c>
      <c r="G22222" t="s">
        <v>16922</v>
      </c>
      <c r="H22222" t="s">
        <v>18829</v>
      </c>
    </row>
    <row r="22223" spans="1:8">
      <c r="H22223" t="s">
        <v>26077</v>
      </c>
    </row>
    <row r="22224" spans="1:8">
      <c r="H22224" t="s">
        <v>26078</v>
      </c>
    </row>
    <row r="22225" spans="1:8">
      <c r="H22225" t="s">
        <v>26079</v>
      </c>
    </row>
    <row r="22226" spans="1:8">
      <c r="H22226" t="s">
        <v>26080</v>
      </c>
    </row>
    <row r="22227" spans="1:8">
      <c r="F22227" t="s">
        <v>12728</v>
      </c>
      <c r="G22227" t="s">
        <v>16923</v>
      </c>
      <c r="H22227" t="s">
        <v>18829</v>
      </c>
    </row>
    <row r="22228" spans="1:8">
      <c r="H22228" t="s">
        <v>26081</v>
      </c>
    </row>
    <row r="22229" spans="1:8">
      <c r="H22229" t="s">
        <v>26082</v>
      </c>
    </row>
    <row r="22230" spans="1:8">
      <c r="H22230" t="s">
        <v>26083</v>
      </c>
    </row>
    <row r="22231" spans="1:8">
      <c r="H22231" t="s">
        <v>26084</v>
      </c>
    </row>
    <row r="22232" spans="1:8">
      <c r="A22232" t="s">
        <v>895</v>
      </c>
      <c r="B22232">
        <f>HYPERLINK("https://android.googlesource.com/platform/cts/+/a41d49723a200eec6af9c9504a961cb2df306295", "a41d49723a200eec6af9c9504a961cb2df306295")</f>
        <v>0</v>
      </c>
      <c r="C22232">
        <f>HYPERLINK("https://android.googlesource.com/platform/cts/+/b54aa51c35a40855fd6fae092a831a7807f39ea2", "b54aa51c35a40855fd6fae092a831a7807f39ea2")</f>
        <v>0</v>
      </c>
      <c r="D22232" t="s">
        <v>5079</v>
      </c>
      <c r="E22232" t="s">
        <v>6676</v>
      </c>
      <c r="F22232" t="s">
        <v>12716</v>
      </c>
      <c r="G22232" t="s">
        <v>16916</v>
      </c>
      <c r="H22232" t="s">
        <v>26066</v>
      </c>
    </row>
    <row r="22233" spans="1:8">
      <c r="H22233" t="s">
        <v>26067</v>
      </c>
    </row>
    <row r="22234" spans="1:8">
      <c r="F22234" t="s">
        <v>12701</v>
      </c>
      <c r="G22234" t="s">
        <v>16904</v>
      </c>
      <c r="H22234" t="s">
        <v>22678</v>
      </c>
    </row>
    <row r="22235" spans="1:8">
      <c r="H22235" t="s">
        <v>18829</v>
      </c>
    </row>
    <row r="22236" spans="1:8">
      <c r="H22236" t="s">
        <v>18863</v>
      </c>
    </row>
    <row r="22237" spans="1:8">
      <c r="H22237" t="s">
        <v>25567</v>
      </c>
    </row>
    <row r="22238" spans="1:8">
      <c r="H22238" t="s">
        <v>25989</v>
      </c>
    </row>
    <row r="22239" spans="1:8">
      <c r="H22239" t="s">
        <v>25990</v>
      </c>
    </row>
    <row r="22240" spans="1:8">
      <c r="H22240" t="s">
        <v>25991</v>
      </c>
    </row>
    <row r="22241" spans="1:8">
      <c r="H22241" t="s">
        <v>25568</v>
      </c>
    </row>
    <row r="22242" spans="1:8">
      <c r="H22242" t="s">
        <v>25569</v>
      </c>
    </row>
    <row r="22243" spans="1:8">
      <c r="H22243" t="s">
        <v>25570</v>
      </c>
    </row>
    <row r="22244" spans="1:8">
      <c r="F22244" t="s">
        <v>12629</v>
      </c>
      <c r="G22244" t="s">
        <v>16838</v>
      </c>
      <c r="H22244" t="s">
        <v>25992</v>
      </c>
    </row>
    <row r="22245" spans="1:8">
      <c r="F22245" t="s">
        <v>12707</v>
      </c>
      <c r="G22245" t="s">
        <v>16909</v>
      </c>
      <c r="H22245" t="s">
        <v>25999</v>
      </c>
    </row>
    <row r="22246" spans="1:8">
      <c r="F22246" t="s">
        <v>12386</v>
      </c>
      <c r="G22246" t="s">
        <v>16611</v>
      </c>
      <c r="H22246" t="s">
        <v>25839</v>
      </c>
    </row>
    <row r="22247" spans="1:8">
      <c r="F22247" t="s">
        <v>12702</v>
      </c>
      <c r="G22247" t="s">
        <v>16905</v>
      </c>
      <c r="H22247" t="s">
        <v>25993</v>
      </c>
    </row>
    <row r="22248" spans="1:8">
      <c r="F22248" t="s">
        <v>12622</v>
      </c>
      <c r="G22248" t="s">
        <v>16832</v>
      </c>
      <c r="H22248" t="s">
        <v>25994</v>
      </c>
    </row>
    <row r="22249" spans="1:8">
      <c r="H22249" t="s">
        <v>25995</v>
      </c>
    </row>
    <row r="22250" spans="1:8">
      <c r="F22250" t="s">
        <v>12703</v>
      </c>
      <c r="G22250" t="s">
        <v>16906</v>
      </c>
      <c r="H22250" t="s">
        <v>18863</v>
      </c>
    </row>
    <row r="22251" spans="1:8">
      <c r="H22251" t="s">
        <v>26004</v>
      </c>
    </row>
    <row r="22252" spans="1:8">
      <c r="A22252" t="s">
        <v>896</v>
      </c>
      <c r="B22252">
        <f>HYPERLINK("https://android.googlesource.com/platform/cts/+/bb53f6fc166a61239c16d1038210e58eb2f8263e", "bb53f6fc166a61239c16d1038210e58eb2f8263e")</f>
        <v>0</v>
      </c>
      <c r="C22252">
        <f>HYPERLINK("https://android.googlesource.com/platform/cts/+/17a7df949cb7288fe9cf52b89e371d0fc802c65f", "17a7df949cb7288fe9cf52b89e371d0fc802c65f")</f>
        <v>0</v>
      </c>
      <c r="D22252" t="s">
        <v>5029</v>
      </c>
      <c r="E22252" t="s">
        <v>6677</v>
      </c>
      <c r="F22252" t="s">
        <v>12327</v>
      </c>
      <c r="G22252" t="s">
        <v>16557</v>
      </c>
      <c r="H22252" t="s">
        <v>19075</v>
      </c>
    </row>
    <row r="22253" spans="1:8">
      <c r="A22253" t="s">
        <v>897</v>
      </c>
      <c r="B22253">
        <f>HYPERLINK("https://android.googlesource.com/platform/cts/+/c12f929f29d662edf9cdaf54fc692c117c891e06", "c12f929f29d662edf9cdaf54fc692c117c891e06")</f>
        <v>0</v>
      </c>
      <c r="C22253">
        <f>HYPERLINK("https://android.googlesource.com/platform/cts/+/0689c24229072071cfe5c4fa89e27b815e506523", "0689c24229072071cfe5c4fa89e27b815e506523")</f>
        <v>0</v>
      </c>
      <c r="D22253" t="s">
        <v>5002</v>
      </c>
      <c r="E22253" t="s">
        <v>6678</v>
      </c>
      <c r="F22253" t="s">
        <v>12634</v>
      </c>
      <c r="G22253" t="s">
        <v>16843</v>
      </c>
      <c r="H22253" t="s">
        <v>26085</v>
      </c>
    </row>
    <row r="22254" spans="1:8">
      <c r="F22254" t="s">
        <v>12662</v>
      </c>
      <c r="G22254" t="s">
        <v>16867</v>
      </c>
      <c r="H22254" t="s">
        <v>26086</v>
      </c>
    </row>
    <row r="22255" spans="1:8">
      <c r="H22255" t="s">
        <v>26087</v>
      </c>
    </row>
    <row r="22256" spans="1:8">
      <c r="H22256" t="s">
        <v>26088</v>
      </c>
    </row>
    <row r="22257" spans="1:8">
      <c r="H22257" t="s">
        <v>26089</v>
      </c>
    </row>
    <row r="22258" spans="1:8">
      <c r="H22258" t="s">
        <v>21326</v>
      </c>
    </row>
    <row r="22259" spans="1:8">
      <c r="H22259" t="s">
        <v>26090</v>
      </c>
    </row>
    <row r="22260" spans="1:8">
      <c r="H22260" t="s">
        <v>21254</v>
      </c>
    </row>
    <row r="22261" spans="1:8">
      <c r="H22261" t="s">
        <v>26091</v>
      </c>
    </row>
    <row r="22262" spans="1:8">
      <c r="H22262" t="s">
        <v>26092</v>
      </c>
    </row>
    <row r="22263" spans="1:8">
      <c r="H22263" t="s">
        <v>26093</v>
      </c>
    </row>
    <row r="22264" spans="1:8">
      <c r="H22264" t="s">
        <v>26094</v>
      </c>
    </row>
    <row r="22265" spans="1:8">
      <c r="H22265" t="s">
        <v>25681</v>
      </c>
    </row>
    <row r="22266" spans="1:8">
      <c r="H22266" t="s">
        <v>26095</v>
      </c>
    </row>
    <row r="22267" spans="1:8">
      <c r="H22267" t="s">
        <v>26096</v>
      </c>
    </row>
    <row r="22268" spans="1:8">
      <c r="H22268" t="s">
        <v>24168</v>
      </c>
    </row>
    <row r="22269" spans="1:8">
      <c r="A22269" t="s">
        <v>898</v>
      </c>
      <c r="B22269">
        <f>HYPERLINK("https://android.googlesource.com/platform/cts/+/5cea83fde63e8dd77b79d5675e9ab719321f0d95", "5cea83fde63e8dd77b79d5675e9ab719321f0d95")</f>
        <v>0</v>
      </c>
      <c r="C22269">
        <f>HYPERLINK("https://android.googlesource.com/platform/cts/+/91c8fc48eaaae4cc3179f581bf12cc3ca8790584", "91c8fc48eaaae4cc3179f581bf12cc3ca8790584")</f>
        <v>0</v>
      </c>
      <c r="D22269" t="s">
        <v>5117</v>
      </c>
      <c r="E22269" t="s">
        <v>6679</v>
      </c>
      <c r="F22269" t="s">
        <v>12246</v>
      </c>
      <c r="G22269" t="s">
        <v>16477</v>
      </c>
      <c r="H22269" t="s">
        <v>26097</v>
      </c>
    </row>
    <row r="22270" spans="1:8">
      <c r="H22270" t="s">
        <v>26098</v>
      </c>
    </row>
    <row r="22271" spans="1:8">
      <c r="A22271" t="s">
        <v>899</v>
      </c>
      <c r="B22271">
        <f>HYPERLINK("https://android.googlesource.com/platform/cts/+/afa94ea2a9c9e1bd2db4e9c3536821eee79dee6c", "afa94ea2a9c9e1bd2db4e9c3536821eee79dee6c")</f>
        <v>0</v>
      </c>
      <c r="C22271">
        <f>HYPERLINK("https://android.googlesource.com/platform/cts/+/eefc845878e8586207a84257a72e37e4ef4e295f", "eefc845878e8586207a84257a72e37e4ef4e295f")</f>
        <v>0</v>
      </c>
      <c r="D22271" t="s">
        <v>5002</v>
      </c>
      <c r="E22271" t="s">
        <v>6680</v>
      </c>
      <c r="F22271" t="s">
        <v>12729</v>
      </c>
      <c r="G22271" t="s">
        <v>16924</v>
      </c>
      <c r="H22271" t="s">
        <v>26099</v>
      </c>
    </row>
    <row r="22272" spans="1:8">
      <c r="H22272" t="s">
        <v>26100</v>
      </c>
    </row>
    <row r="22273" spans="1:8">
      <c r="F22273" t="s">
        <v>12708</v>
      </c>
      <c r="G22273" t="s">
        <v>15044</v>
      </c>
      <c r="H22273" t="s">
        <v>26101</v>
      </c>
    </row>
    <row r="22274" spans="1:8">
      <c r="A22274" t="s">
        <v>900</v>
      </c>
      <c r="B22274">
        <f>HYPERLINK("https://android.googlesource.com/platform/cts/+/86e075d2d4634e583f62d7e0722235600439050e", "86e075d2d4634e583f62d7e0722235600439050e")</f>
        <v>0</v>
      </c>
      <c r="C22274">
        <f>HYPERLINK("https://android.googlesource.com/platform/cts/+/a91da6c8f35258c7f03957f298d8b0a1d1f4264e", "a91da6c8f35258c7f03957f298d8b0a1d1f4264e")</f>
        <v>0</v>
      </c>
      <c r="D22274" t="s">
        <v>5117</v>
      </c>
      <c r="E22274" t="s">
        <v>6681</v>
      </c>
      <c r="F22274" t="s">
        <v>12246</v>
      </c>
      <c r="G22274" t="s">
        <v>16477</v>
      </c>
      <c r="H22274" t="s">
        <v>26102</v>
      </c>
    </row>
    <row r="22275" spans="1:8">
      <c r="A22275" t="s">
        <v>901</v>
      </c>
      <c r="B22275">
        <f>HYPERLINK("https://android.googlesource.com/platform/cts/+/e989c0c16d0ff19ee509c994d0099181117ae3db", "e989c0c16d0ff19ee509c994d0099181117ae3db")</f>
        <v>0</v>
      </c>
      <c r="C22275">
        <f>HYPERLINK("https://android.googlesource.com/platform/cts/+/d8972ff406ad5af7c281ba88c184690aaf6e43c6", "d8972ff406ad5af7c281ba88c184690aaf6e43c6")</f>
        <v>0</v>
      </c>
      <c r="D22275" t="s">
        <v>5115</v>
      </c>
      <c r="E22275" t="s">
        <v>6682</v>
      </c>
      <c r="F22275" t="s">
        <v>12730</v>
      </c>
      <c r="G22275" t="s">
        <v>16925</v>
      </c>
      <c r="H22275" t="s">
        <v>18829</v>
      </c>
    </row>
    <row r="22276" spans="1:8">
      <c r="H22276" t="s">
        <v>26103</v>
      </c>
    </row>
    <row r="22277" spans="1:8">
      <c r="H22277" t="s">
        <v>26104</v>
      </c>
    </row>
    <row r="22278" spans="1:8">
      <c r="H22278" t="s">
        <v>26105</v>
      </c>
    </row>
    <row r="22279" spans="1:8">
      <c r="H22279" t="s">
        <v>26106</v>
      </c>
    </row>
    <row r="22280" spans="1:8">
      <c r="H22280" t="s">
        <v>26074</v>
      </c>
    </row>
    <row r="22281" spans="1:8">
      <c r="H22281" t="s">
        <v>26107</v>
      </c>
    </row>
    <row r="22282" spans="1:8">
      <c r="H22282" t="s">
        <v>26108</v>
      </c>
    </row>
    <row r="22283" spans="1:8">
      <c r="H22283" t="s">
        <v>26109</v>
      </c>
    </row>
    <row r="22284" spans="1:8">
      <c r="H22284" t="s">
        <v>26110</v>
      </c>
    </row>
    <row r="22285" spans="1:8">
      <c r="H22285" t="s">
        <v>26111</v>
      </c>
    </row>
    <row r="22286" spans="1:8">
      <c r="H22286" t="s">
        <v>26112</v>
      </c>
    </row>
    <row r="22287" spans="1:8">
      <c r="H22287" t="s">
        <v>26113</v>
      </c>
    </row>
    <row r="22288" spans="1:8">
      <c r="H22288" t="s">
        <v>26114</v>
      </c>
    </row>
    <row r="22289" spans="1:8">
      <c r="A22289" t="s">
        <v>902</v>
      </c>
      <c r="B22289">
        <f>HYPERLINK("https://android.googlesource.com/platform/cts/+/92eba402188adeefdcc42c0c0724b359cb8a3f52", "92eba402188adeefdcc42c0c0724b359cb8a3f52")</f>
        <v>0</v>
      </c>
      <c r="C22289">
        <f>HYPERLINK("https://android.googlesource.com/platform/cts/+/b9ac18d7a2bb7775816d265ee33eef636b79a99a", "b9ac18d7a2bb7775816d265ee33eef636b79a99a")</f>
        <v>0</v>
      </c>
      <c r="D22289" t="s">
        <v>5079</v>
      </c>
      <c r="E22289" t="s">
        <v>6683</v>
      </c>
      <c r="F22289" t="s">
        <v>12731</v>
      </c>
      <c r="G22289" t="s">
        <v>16920</v>
      </c>
      <c r="H22289" t="s">
        <v>26115</v>
      </c>
    </row>
    <row r="22290" spans="1:8">
      <c r="H22290" t="s">
        <v>26116</v>
      </c>
    </row>
    <row r="22291" spans="1:8">
      <c r="A22291" t="s">
        <v>903</v>
      </c>
      <c r="B22291">
        <f>HYPERLINK("https://android.googlesource.com/platform/cts/+/be782e94eed4d3892f3b74446a2b4d16a92ec2e6", "be782e94eed4d3892f3b74446a2b4d16a92ec2e6")</f>
        <v>0</v>
      </c>
      <c r="C22291">
        <f>HYPERLINK("https://android.googlesource.com/platform/cts/+/d9efe7ad69a351621f1e0e8282bc182d4b789ca2", "d9efe7ad69a351621f1e0e8282bc182d4b789ca2")</f>
        <v>0</v>
      </c>
      <c r="D22291" t="s">
        <v>4949</v>
      </c>
      <c r="E22291" t="s">
        <v>6684</v>
      </c>
      <c r="F22291" t="s">
        <v>12732</v>
      </c>
      <c r="G22291" t="s">
        <v>16926</v>
      </c>
      <c r="H22291" t="s">
        <v>26117</v>
      </c>
    </row>
    <row r="22292" spans="1:8">
      <c r="A22292" t="s">
        <v>904</v>
      </c>
      <c r="B22292">
        <f>HYPERLINK("https://android.googlesource.com/platform/cts/+/2783f4edc7ad5a05354d02d103b4476387a9ff4a", "2783f4edc7ad5a05354d02d103b4476387a9ff4a")</f>
        <v>0</v>
      </c>
      <c r="C22292">
        <f>HYPERLINK("https://android.googlesource.com/platform/cts/+/4cba52d3b3dd25c247fb2e9210776cdecb05898f", "4cba52d3b3dd25c247fb2e9210776cdecb05898f")</f>
        <v>0</v>
      </c>
      <c r="D22292" t="s">
        <v>5077</v>
      </c>
      <c r="E22292" t="s">
        <v>6685</v>
      </c>
      <c r="F22292" t="s">
        <v>12646</v>
      </c>
      <c r="G22292" t="s">
        <v>14989</v>
      </c>
      <c r="H22292" t="s">
        <v>26118</v>
      </c>
    </row>
    <row r="22293" spans="1:8">
      <c r="A22293" t="s">
        <v>905</v>
      </c>
      <c r="B22293">
        <f>HYPERLINK("https://android.googlesource.com/platform/cts/+/7c62a9afbf1b04af0d63bc6e89fb3bec582fc7ad", "7c62a9afbf1b04af0d63bc6e89fb3bec582fc7ad")</f>
        <v>0</v>
      </c>
      <c r="C22293">
        <f>HYPERLINK("https://android.googlesource.com/platform/cts/+/c623453648faea09d8a9a211672ba868298d8387", "c623453648faea09d8a9a211672ba868298d8387")</f>
        <v>0</v>
      </c>
      <c r="D22293" t="s">
        <v>5118</v>
      </c>
      <c r="E22293" t="s">
        <v>6686</v>
      </c>
      <c r="F22293" t="s">
        <v>12733</v>
      </c>
      <c r="G22293" t="s">
        <v>16854</v>
      </c>
      <c r="H22293" t="s">
        <v>26119</v>
      </c>
    </row>
    <row r="22294" spans="1:8">
      <c r="A22294" t="s">
        <v>906</v>
      </c>
      <c r="B22294">
        <f>HYPERLINK("https://android.googlesource.com/platform/cts/+/e3950f885a38e3dcbe9f81f316a318da083027b4", "e3950f885a38e3dcbe9f81f316a318da083027b4")</f>
        <v>0</v>
      </c>
      <c r="C22294">
        <f>HYPERLINK("https://android.googlesource.com/platform/cts/+/54d0125def33f4a1eff5a1315190de1c2a90d6f6", "54d0125def33f4a1eff5a1315190de1c2a90d6f6")</f>
        <v>0</v>
      </c>
      <c r="D22294" t="s">
        <v>5029</v>
      </c>
      <c r="E22294" t="s">
        <v>6687</v>
      </c>
      <c r="F22294" t="s">
        <v>12734</v>
      </c>
      <c r="G22294" t="s">
        <v>16927</v>
      </c>
      <c r="H22294" t="s">
        <v>26120</v>
      </c>
    </row>
    <row r="22295" spans="1:8">
      <c r="H22295" t="s">
        <v>26121</v>
      </c>
    </row>
    <row r="22296" spans="1:8">
      <c r="A22296" t="s">
        <v>907</v>
      </c>
      <c r="B22296">
        <f>HYPERLINK("https://android.googlesource.com/platform/cts/+/bd78e4da745776d9db0931c82a6c6b6e0a74e566", "bd78e4da745776d9db0931c82a6c6b6e0a74e566")</f>
        <v>0</v>
      </c>
      <c r="C22296">
        <f>HYPERLINK("https://android.googlesource.com/platform/cts/+/53c38327cf3094e650df9293f34571c395c53235", "53c38327cf3094e650df9293f34571c395c53235")</f>
        <v>0</v>
      </c>
      <c r="D22296" t="s">
        <v>5029</v>
      </c>
      <c r="E22296" t="s">
        <v>6688</v>
      </c>
      <c r="F22296" t="s">
        <v>10675</v>
      </c>
      <c r="G22296" t="s">
        <v>15075</v>
      </c>
      <c r="H22296" t="s">
        <v>26122</v>
      </c>
    </row>
    <row r="22297" spans="1:8">
      <c r="H22297" t="s">
        <v>26120</v>
      </c>
    </row>
    <row r="22298" spans="1:8">
      <c r="H22298" t="s">
        <v>26123</v>
      </c>
    </row>
    <row r="22299" spans="1:8">
      <c r="H22299" t="s">
        <v>26124</v>
      </c>
    </row>
    <row r="22300" spans="1:8">
      <c r="H22300" t="s">
        <v>26125</v>
      </c>
    </row>
    <row r="22301" spans="1:8">
      <c r="H22301" t="s">
        <v>26126</v>
      </c>
    </row>
    <row r="22302" spans="1:8">
      <c r="H22302" t="s">
        <v>26127</v>
      </c>
    </row>
    <row r="22303" spans="1:8">
      <c r="H22303" t="s">
        <v>26128</v>
      </c>
    </row>
    <row r="22304" spans="1:8">
      <c r="A22304" t="s">
        <v>908</v>
      </c>
      <c r="B22304">
        <f>HYPERLINK("https://android.googlesource.com/platform/cts/+/a99b6475960cda24ae831596381ef0865622cadd", "a99b6475960cda24ae831596381ef0865622cadd")</f>
        <v>0</v>
      </c>
      <c r="C22304">
        <f>HYPERLINK("https://android.googlesource.com/platform/cts/+/8e430c171911042e8af97fe382169f8a604ff96e", "8e430c171911042e8af97fe382169f8a604ff96e")</f>
        <v>0</v>
      </c>
      <c r="D22304" t="s">
        <v>5085</v>
      </c>
      <c r="E22304" t="s">
        <v>6689</v>
      </c>
      <c r="F22304" t="s">
        <v>12735</v>
      </c>
      <c r="G22304" t="s">
        <v>16928</v>
      </c>
      <c r="H22304" t="s">
        <v>26129</v>
      </c>
    </row>
    <row r="22305" spans="1:8">
      <c r="A22305" t="s">
        <v>909</v>
      </c>
      <c r="B22305">
        <f>HYPERLINK("https://android.googlesource.com/platform/cts/+/9fa97c2663726a5dd1b6ad923baa84be97b3416b", "9fa97c2663726a5dd1b6ad923baa84be97b3416b")</f>
        <v>0</v>
      </c>
      <c r="C22305">
        <f>HYPERLINK("https://android.googlesource.com/platform/cts/+/d1b93e3750f3c23f337473f90c93a9d43aab5443", "d1b93e3750f3c23f337473f90c93a9d43aab5443")</f>
        <v>0</v>
      </c>
      <c r="D22305" t="s">
        <v>5119</v>
      </c>
      <c r="E22305" t="s">
        <v>6690</v>
      </c>
      <c r="F22305" t="s">
        <v>12736</v>
      </c>
      <c r="G22305" t="s">
        <v>16929</v>
      </c>
      <c r="H22305" t="s">
        <v>26130</v>
      </c>
    </row>
    <row r="22306" spans="1:8">
      <c r="A22306" t="s">
        <v>910</v>
      </c>
      <c r="B22306">
        <f>HYPERLINK("https://android.googlesource.com/platform/cts/+/648ca45b75df760f716707b1ecbdd43ab1be221b", "648ca45b75df760f716707b1ecbdd43ab1be221b")</f>
        <v>0</v>
      </c>
      <c r="C22306">
        <f>HYPERLINK("https://android.googlesource.com/platform/cts/+/3d9381b5f96638e447812b312e2fce6b5a7198ca", "3d9381b5f96638e447812b312e2fce6b5a7198ca")</f>
        <v>0</v>
      </c>
      <c r="D22306" t="s">
        <v>5084</v>
      </c>
      <c r="E22306" t="s">
        <v>6691</v>
      </c>
      <c r="F22306" t="s">
        <v>12737</v>
      </c>
      <c r="G22306" t="s">
        <v>16930</v>
      </c>
      <c r="H22306" t="s">
        <v>26131</v>
      </c>
    </row>
    <row r="22307" spans="1:8">
      <c r="A22307" t="s">
        <v>911</v>
      </c>
      <c r="B22307">
        <f>HYPERLINK("https://android.googlesource.com/platform/cts/+/b0c1112c5cbcb837943e0b060f2c8a0400b2158a", "b0c1112c5cbcb837943e0b060f2c8a0400b2158a")</f>
        <v>0</v>
      </c>
      <c r="C22307">
        <f>HYPERLINK("https://android.googlesource.com/platform/cts/+/13c1585464a6ba445180e4d0d7d20aaaa418fcee", "13c1585464a6ba445180e4d0d7d20aaaa418fcee")</f>
        <v>0</v>
      </c>
      <c r="D22307" t="s">
        <v>5120</v>
      </c>
      <c r="E22307" t="s">
        <v>6692</v>
      </c>
      <c r="F22307" t="s">
        <v>12570</v>
      </c>
      <c r="G22307" t="s">
        <v>16786</v>
      </c>
      <c r="H22307" t="s">
        <v>26132</v>
      </c>
    </row>
    <row r="22308" spans="1:8">
      <c r="A22308" t="s">
        <v>912</v>
      </c>
      <c r="B22308">
        <f>HYPERLINK("https://android.googlesource.com/platform/cts/+/326bd0aad9db82b8d867364ad45d09a3968ea635", "326bd0aad9db82b8d867364ad45d09a3968ea635")</f>
        <v>0</v>
      </c>
      <c r="C22308">
        <f>HYPERLINK("https://android.googlesource.com/platform/cts/+/209cd9857903dfd589e1870e37d16917983476eb", "209cd9857903dfd589e1870e37d16917983476eb")</f>
        <v>0</v>
      </c>
      <c r="D22308" t="s">
        <v>4971</v>
      </c>
      <c r="E22308" t="s">
        <v>6693</v>
      </c>
      <c r="F22308" t="s">
        <v>12738</v>
      </c>
      <c r="G22308" t="s">
        <v>16931</v>
      </c>
      <c r="H22308" t="s">
        <v>26133</v>
      </c>
    </row>
    <row r="22309" spans="1:8">
      <c r="H22309" t="s">
        <v>18829</v>
      </c>
    </row>
    <row r="22310" spans="1:8">
      <c r="H22310" t="s">
        <v>26134</v>
      </c>
    </row>
    <row r="22311" spans="1:8">
      <c r="H22311" t="s">
        <v>26135</v>
      </c>
    </row>
    <row r="22312" spans="1:8">
      <c r="H22312" t="s">
        <v>26136</v>
      </c>
    </row>
    <row r="22313" spans="1:8">
      <c r="H22313" t="s">
        <v>26137</v>
      </c>
    </row>
    <row r="22314" spans="1:8">
      <c r="H22314" t="s">
        <v>26138</v>
      </c>
    </row>
    <row r="22315" spans="1:8">
      <c r="H22315" t="s">
        <v>26139</v>
      </c>
    </row>
    <row r="22316" spans="1:8">
      <c r="H22316" t="s">
        <v>26140</v>
      </c>
    </row>
    <row r="22317" spans="1:8">
      <c r="H22317" t="s">
        <v>26141</v>
      </c>
    </row>
    <row r="22318" spans="1:8">
      <c r="H22318" t="s">
        <v>26142</v>
      </c>
    </row>
    <row r="22319" spans="1:8">
      <c r="H22319" t="s">
        <v>26143</v>
      </c>
    </row>
    <row r="22320" spans="1:8">
      <c r="H22320" t="s">
        <v>26144</v>
      </c>
    </row>
    <row r="22321" spans="1:8">
      <c r="H22321" t="s">
        <v>26145</v>
      </c>
    </row>
    <row r="22322" spans="1:8">
      <c r="A22322" t="s">
        <v>913</v>
      </c>
      <c r="B22322">
        <f>HYPERLINK("https://android.googlesource.com/platform/cts/+/3a156530ee9bbaf4bff55580615787bf82761900", "3a156530ee9bbaf4bff55580615787bf82761900")</f>
        <v>0</v>
      </c>
      <c r="C22322">
        <f>HYPERLINK("https://android.googlesource.com/platform/cts/+/3f879d9ba78b6ef520c613166adb6f9640b13df1", "3f879d9ba78b6ef520c613166adb6f9640b13df1")</f>
        <v>0</v>
      </c>
      <c r="D22322" t="s">
        <v>5028</v>
      </c>
      <c r="E22322" t="s">
        <v>6694</v>
      </c>
      <c r="F22322" t="s">
        <v>10701</v>
      </c>
      <c r="G22322" t="s">
        <v>15101</v>
      </c>
      <c r="H22322" t="s">
        <v>26146</v>
      </c>
    </row>
    <row r="22323" spans="1:8">
      <c r="H22323" t="s">
        <v>26147</v>
      </c>
    </row>
    <row r="22324" spans="1:8">
      <c r="A22324" t="s">
        <v>914</v>
      </c>
      <c r="B22324">
        <f>HYPERLINK("https://android.googlesource.com/platform/cts/+/7c035f32a12b27b326c096b8dba1f6296d195ec2", "7c035f32a12b27b326c096b8dba1f6296d195ec2")</f>
        <v>0</v>
      </c>
      <c r="C22324">
        <f>HYPERLINK("https://android.googlesource.com/platform/cts/+/cc7738ed56f9086a6c0e14ae3b6654a38be633ae", "cc7738ed56f9086a6c0e14ae3b6654a38be633ae")</f>
        <v>0</v>
      </c>
      <c r="D22324" t="s">
        <v>5084</v>
      </c>
      <c r="E22324" t="s">
        <v>6691</v>
      </c>
      <c r="F22324" t="s">
        <v>12737</v>
      </c>
      <c r="G22324" t="s">
        <v>16930</v>
      </c>
      <c r="H22324" t="s">
        <v>26131</v>
      </c>
    </row>
    <row r="22325" spans="1:8">
      <c r="A22325" t="s">
        <v>915</v>
      </c>
      <c r="B22325">
        <f>HYPERLINK("https://android.googlesource.com/platform/cts/+/6490c5eb73f40afae5859996c3e0e24dfc6dee65", "6490c5eb73f40afae5859996c3e0e24dfc6dee65")</f>
        <v>0</v>
      </c>
      <c r="C22325">
        <f>HYPERLINK("https://android.googlesource.com/platform/cts/+/63bdefc50570e73db0ce9fef0aa06a0151aa5b78", "63bdefc50570e73db0ce9fef0aa06a0151aa5b78")</f>
        <v>0</v>
      </c>
      <c r="D22325" t="s">
        <v>5121</v>
      </c>
      <c r="E22325" t="s">
        <v>6695</v>
      </c>
      <c r="F22325" t="s">
        <v>10684</v>
      </c>
      <c r="G22325" t="s">
        <v>15084</v>
      </c>
      <c r="H22325" t="s">
        <v>26148</v>
      </c>
    </row>
    <row r="22326" spans="1:8">
      <c r="H22326" t="s">
        <v>26148</v>
      </c>
    </row>
    <row r="22327" spans="1:8">
      <c r="A22327" t="s">
        <v>916</v>
      </c>
      <c r="B22327">
        <f>HYPERLINK("https://android.googlesource.com/platform/cts/+/111872ef1f645a97d88ad3eea750adf05968d5cb", "111872ef1f645a97d88ad3eea750adf05968d5cb")</f>
        <v>0</v>
      </c>
      <c r="C22327">
        <f>HYPERLINK("https://android.googlesource.com/platform/cts/+/455f3da79f8a9ac48e0949bbce9d8f043a16f145", "455f3da79f8a9ac48e0949bbce9d8f043a16f145")</f>
        <v>0</v>
      </c>
      <c r="D22327" t="s">
        <v>5100</v>
      </c>
      <c r="E22327" t="s">
        <v>6696</v>
      </c>
      <c r="F22327" t="s">
        <v>12739</v>
      </c>
      <c r="G22327" t="s">
        <v>15083</v>
      </c>
      <c r="H22327" t="s">
        <v>26148</v>
      </c>
    </row>
    <row r="22328" spans="1:8">
      <c r="H22328" t="s">
        <v>26148</v>
      </c>
    </row>
    <row r="22329" spans="1:8">
      <c r="A22329" t="s">
        <v>917</v>
      </c>
      <c r="B22329">
        <f>HYPERLINK("https://android.googlesource.com/platform/cts/+/dfdf8cc8346b53c22b2980c8275a42660d760164", "dfdf8cc8346b53c22b2980c8275a42660d760164")</f>
        <v>0</v>
      </c>
      <c r="C22329">
        <f>HYPERLINK("https://android.googlesource.com/platform/cts/+/a52bce87a005d089f985262f2cf70d707b7bb18f", "a52bce87a005d089f985262f2cf70d707b7bb18f")</f>
        <v>0</v>
      </c>
      <c r="D22329" t="s">
        <v>5114</v>
      </c>
      <c r="E22329" t="s">
        <v>6697</v>
      </c>
      <c r="F22329" t="s">
        <v>10699</v>
      </c>
      <c r="G22329" t="s">
        <v>15099</v>
      </c>
      <c r="H22329" t="s">
        <v>26149</v>
      </c>
    </row>
    <row r="22330" spans="1:8">
      <c r="A22330" t="s">
        <v>918</v>
      </c>
      <c r="B22330">
        <f>HYPERLINK("https://android.googlesource.com/platform/cts/+/5d26815acc84f83bb9e357bc2b8fc358e7a0baae", "5d26815acc84f83bb9e357bc2b8fc358e7a0baae")</f>
        <v>0</v>
      </c>
      <c r="C22330">
        <f>HYPERLINK("https://android.googlesource.com/platform/cts/+/a124d6aebc5df90e1ac3cea75bafa078d10ca545", "a124d6aebc5df90e1ac3cea75bafa078d10ca545")</f>
        <v>0</v>
      </c>
      <c r="D22330" t="s">
        <v>5040</v>
      </c>
      <c r="E22330" t="s">
        <v>6698</v>
      </c>
      <c r="F22330" t="s">
        <v>12740</v>
      </c>
      <c r="G22330" t="s">
        <v>16932</v>
      </c>
      <c r="H22330" t="s">
        <v>26150</v>
      </c>
    </row>
    <row r="22331" spans="1:8">
      <c r="A22331" t="s">
        <v>919</v>
      </c>
      <c r="B22331">
        <f>HYPERLINK("https://android.googlesource.com/platform/cts/+/227bf2637d48c121b44836d9d10971c05430d804", "227bf2637d48c121b44836d9d10971c05430d804")</f>
        <v>0</v>
      </c>
      <c r="C22331">
        <f>HYPERLINK("https://android.googlesource.com/platform/cts/+/25893824f1793f56c5856807f9f0d5837b5d42bf", "25893824f1793f56c5856807f9f0d5837b5d42bf")</f>
        <v>0</v>
      </c>
      <c r="D22331" t="s">
        <v>5069</v>
      </c>
      <c r="E22331" t="s">
        <v>6699</v>
      </c>
      <c r="F22331" t="s">
        <v>10794</v>
      </c>
      <c r="G22331" t="s">
        <v>15189</v>
      </c>
      <c r="H22331" t="s">
        <v>26151</v>
      </c>
    </row>
    <row r="22332" spans="1:8">
      <c r="A22332" t="s">
        <v>920</v>
      </c>
      <c r="B22332">
        <f>HYPERLINK("https://android.googlesource.com/platform/cts/+/b91667c7cd21ec4c109aac2bf3e0e1e1bd49a4b6", "b91667c7cd21ec4c109aac2bf3e0e1e1bd49a4b6")</f>
        <v>0</v>
      </c>
      <c r="C22332">
        <f>HYPERLINK("https://android.googlesource.com/platform/cts/+/c4366a43ba1f3c90681681b9f998ae66ed705b78", "c4366a43ba1f3c90681681b9f998ae66ed705b78")</f>
        <v>0</v>
      </c>
      <c r="D22332" t="s">
        <v>4981</v>
      </c>
      <c r="E22332" t="s">
        <v>6700</v>
      </c>
      <c r="F22332" t="s">
        <v>12232</v>
      </c>
      <c r="G22332" t="s">
        <v>16462</v>
      </c>
      <c r="H22332" t="s">
        <v>26152</v>
      </c>
    </row>
    <row r="22333" spans="1:8">
      <c r="A22333" t="s">
        <v>921</v>
      </c>
      <c r="B22333">
        <f>HYPERLINK("https://android.googlesource.com/platform/cts/+/12b468097bd98b8bfb2760e5260372bccd59d906", "12b468097bd98b8bfb2760e5260372bccd59d906")</f>
        <v>0</v>
      </c>
      <c r="C22333">
        <f>HYPERLINK("https://android.googlesource.com/platform/cts/+/11078b5bc1c37844626df23b1ab221923779d9af", "11078b5bc1c37844626df23b1ab221923779d9af")</f>
        <v>0</v>
      </c>
      <c r="D22333" t="s">
        <v>5069</v>
      </c>
      <c r="E22333" t="s">
        <v>6699</v>
      </c>
      <c r="F22333" t="s">
        <v>10794</v>
      </c>
      <c r="G22333" t="s">
        <v>15189</v>
      </c>
      <c r="H22333" t="s">
        <v>26151</v>
      </c>
    </row>
    <row r="22334" spans="1:8">
      <c r="A22334" t="s">
        <v>922</v>
      </c>
      <c r="B22334">
        <f>HYPERLINK("https://android.googlesource.com/platform/cts/+/f042961722904f40be676c70d7037c659dc324f9", "f042961722904f40be676c70d7037c659dc324f9")</f>
        <v>0</v>
      </c>
      <c r="C22334">
        <f>HYPERLINK("https://android.googlesource.com/platform/cts/+/74f72b8075f4f8700aebfee6acccde5f36965d1f", "74f72b8075f4f8700aebfee6acccde5f36965d1f")</f>
        <v>0</v>
      </c>
      <c r="D22334" t="s">
        <v>5057</v>
      </c>
      <c r="E22334" t="s">
        <v>6701</v>
      </c>
      <c r="F22334" t="s">
        <v>12176</v>
      </c>
      <c r="G22334" t="s">
        <v>16415</v>
      </c>
      <c r="H22334" t="s">
        <v>26153</v>
      </c>
    </row>
    <row r="22335" spans="1:8">
      <c r="F22335" t="s">
        <v>12656</v>
      </c>
      <c r="G22335" t="s">
        <v>16861</v>
      </c>
      <c r="H22335" t="s">
        <v>26154</v>
      </c>
    </row>
    <row r="22336" spans="1:8">
      <c r="H22336" t="s">
        <v>26155</v>
      </c>
    </row>
    <row r="22337" spans="1:8">
      <c r="A22337" t="s">
        <v>923</v>
      </c>
      <c r="B22337">
        <f>HYPERLINK("https://android.googlesource.com/platform/cts/+/65db2da69693e5b80cf7cee06d3a398c9a56f07a", "65db2da69693e5b80cf7cee06d3a398c9a56f07a")</f>
        <v>0</v>
      </c>
      <c r="C22337">
        <f>HYPERLINK("https://android.googlesource.com/platform/cts/+/c4366a43ba1f3c90681681b9f998ae66ed705b78", "c4366a43ba1f3c90681681b9f998ae66ed705b78")</f>
        <v>0</v>
      </c>
      <c r="D22337" t="s">
        <v>5094</v>
      </c>
      <c r="E22337" t="s">
        <v>6702</v>
      </c>
      <c r="F22337" t="s">
        <v>12640</v>
      </c>
      <c r="G22337" t="s">
        <v>16848</v>
      </c>
      <c r="H22337" t="s">
        <v>26156</v>
      </c>
    </row>
    <row r="22338" spans="1:8">
      <c r="A22338" t="s">
        <v>924</v>
      </c>
      <c r="B22338">
        <f>HYPERLINK("https://android.googlesource.com/platform/cts/+/8f8fd3e55348b19c110a54f95d5ae15a315380fe", "8f8fd3e55348b19c110a54f95d5ae15a315380fe")</f>
        <v>0</v>
      </c>
      <c r="C22338">
        <f>HYPERLINK("https://android.googlesource.com/platform/cts/+/ecf8ee4a234b511e4abef4d265d2187bb98b495d", "ecf8ee4a234b511e4abef4d265d2187bb98b495d")</f>
        <v>0</v>
      </c>
      <c r="D22338" t="s">
        <v>5029</v>
      </c>
      <c r="E22338" t="s">
        <v>6703</v>
      </c>
      <c r="F22338" t="s">
        <v>10610</v>
      </c>
      <c r="G22338" t="s">
        <v>15013</v>
      </c>
      <c r="H22338" t="s">
        <v>26157</v>
      </c>
    </row>
    <row r="22339" spans="1:8">
      <c r="A22339" t="s">
        <v>925</v>
      </c>
      <c r="B22339">
        <f>HYPERLINK("https://android.googlesource.com/platform/cts/+/644e30575e0bfd0b0972346059e76d5f16e4c564", "644e30575e0bfd0b0972346059e76d5f16e4c564")</f>
        <v>0</v>
      </c>
      <c r="C22339">
        <f>HYPERLINK("https://android.googlesource.com/platform/cts/+/ecf8ee4a234b511e4abef4d265d2187bb98b495d", "ecf8ee4a234b511e4abef4d265d2187bb98b495d")</f>
        <v>0</v>
      </c>
      <c r="D22339" t="s">
        <v>4973</v>
      </c>
      <c r="E22339" t="s">
        <v>6704</v>
      </c>
      <c r="F22339" t="s">
        <v>12741</v>
      </c>
      <c r="G22339" t="s">
        <v>16933</v>
      </c>
      <c r="H22339" t="s">
        <v>26158</v>
      </c>
    </row>
    <row r="22340" spans="1:8">
      <c r="H22340" t="s">
        <v>26159</v>
      </c>
    </row>
    <row r="22341" spans="1:8">
      <c r="H22341" t="s">
        <v>26160</v>
      </c>
    </row>
    <row r="22342" spans="1:8">
      <c r="A22342" t="s">
        <v>926</v>
      </c>
      <c r="B22342">
        <f>HYPERLINK("https://android.googlesource.com/platform/cts/+/55c7c7f2cea318c56ebe3194708909fbde20e3e6", "55c7c7f2cea318c56ebe3194708909fbde20e3e6")</f>
        <v>0</v>
      </c>
      <c r="C22342">
        <f>HYPERLINK("https://android.googlesource.com/platform/cts/+/75a542318ed766f6d2b651306f4a1d041fa85ee1", "75a542318ed766f6d2b651306f4a1d041fa85ee1")</f>
        <v>0</v>
      </c>
      <c r="D22342" t="s">
        <v>5018</v>
      </c>
      <c r="E22342" t="s">
        <v>6705</v>
      </c>
      <c r="F22342" t="s">
        <v>12619</v>
      </c>
      <c r="G22342" t="s">
        <v>16829</v>
      </c>
      <c r="H22342" t="s">
        <v>26161</v>
      </c>
    </row>
    <row r="22343" spans="1:8">
      <c r="F22343" t="s">
        <v>12697</v>
      </c>
      <c r="G22343" t="s">
        <v>16901</v>
      </c>
      <c r="H22343" t="s">
        <v>26161</v>
      </c>
    </row>
    <row r="22344" spans="1:8">
      <c r="A22344" t="s">
        <v>927</v>
      </c>
      <c r="B22344">
        <f>HYPERLINK("https://android.googlesource.com/platform/cts/+/d711e3d97912467a49915fea4ca0d1a44e9b2b0c", "d711e3d97912467a49915fea4ca0d1a44e9b2b0c")</f>
        <v>0</v>
      </c>
      <c r="C22344">
        <f>HYPERLINK("https://android.googlesource.com/platform/cts/+/4a262f5b34bab95a1b7037dc536126b35471a2ff", "4a262f5b34bab95a1b7037dc536126b35471a2ff")</f>
        <v>0</v>
      </c>
      <c r="D22344" t="s">
        <v>5122</v>
      </c>
      <c r="E22344" t="s">
        <v>6706</v>
      </c>
      <c r="F22344" t="s">
        <v>12608</v>
      </c>
      <c r="G22344" t="s">
        <v>16820</v>
      </c>
      <c r="H22344" t="s">
        <v>26162</v>
      </c>
    </row>
    <row r="22345" spans="1:8">
      <c r="H22345" t="s">
        <v>26163</v>
      </c>
    </row>
    <row r="22346" spans="1:8">
      <c r="H22346" t="s">
        <v>26164</v>
      </c>
    </row>
    <row r="22347" spans="1:8">
      <c r="H22347" t="s">
        <v>26165</v>
      </c>
    </row>
    <row r="22348" spans="1:8">
      <c r="H22348" t="s">
        <v>26166</v>
      </c>
    </row>
    <row r="22349" spans="1:8">
      <c r="H22349" t="s">
        <v>26167</v>
      </c>
    </row>
    <row r="22350" spans="1:8">
      <c r="H22350" t="s">
        <v>26168</v>
      </c>
    </row>
    <row r="22351" spans="1:8">
      <c r="H22351" t="s">
        <v>26169</v>
      </c>
    </row>
    <row r="22352" spans="1:8">
      <c r="H22352" t="s">
        <v>26170</v>
      </c>
    </row>
    <row r="22353" spans="1:8">
      <c r="H22353" t="s">
        <v>26171</v>
      </c>
    </row>
    <row r="22354" spans="1:8">
      <c r="A22354" t="s">
        <v>928</v>
      </c>
      <c r="B22354">
        <f>HYPERLINK("https://android.googlesource.com/platform/cts/+/fca666e9af8d4d98e63cb4d391f27c362bd454a8", "fca666e9af8d4d98e63cb4d391f27c362bd454a8")</f>
        <v>0</v>
      </c>
      <c r="C22354">
        <f>HYPERLINK("https://android.googlesource.com/platform/cts/+/d711e3d97912467a49915fea4ca0d1a44e9b2b0c", "d711e3d97912467a49915fea4ca0d1a44e9b2b0c")</f>
        <v>0</v>
      </c>
      <c r="D22354" t="s">
        <v>5018</v>
      </c>
      <c r="E22354" t="s">
        <v>6707</v>
      </c>
      <c r="F22354" t="s">
        <v>12619</v>
      </c>
      <c r="G22354" t="s">
        <v>16829</v>
      </c>
      <c r="H22354" t="s">
        <v>26172</v>
      </c>
    </row>
    <row r="22355" spans="1:8">
      <c r="F22355" t="s">
        <v>12697</v>
      </c>
      <c r="G22355" t="s">
        <v>16901</v>
      </c>
      <c r="H22355" t="s">
        <v>26172</v>
      </c>
    </row>
    <row r="22356" spans="1:8">
      <c r="A22356" t="s">
        <v>929</v>
      </c>
      <c r="B22356">
        <f>HYPERLINK("https://android.googlesource.com/platform/cts/+/0e4f87371722474b2f74854c2cee1b8359dec6c0", "0e4f87371722474b2f74854c2cee1b8359dec6c0")</f>
        <v>0</v>
      </c>
      <c r="C22356">
        <f>HYPERLINK("https://android.googlesource.com/platform/cts/+/2ea6404f987026d4ded8eedc948ed40a010bc614", "2ea6404f987026d4ded8eedc948ed40a010bc614")</f>
        <v>0</v>
      </c>
      <c r="D22356" t="s">
        <v>5086</v>
      </c>
      <c r="E22356" t="s">
        <v>6708</v>
      </c>
      <c r="F22356" t="s">
        <v>12742</v>
      </c>
      <c r="G22356" t="s">
        <v>16934</v>
      </c>
      <c r="H22356" t="s">
        <v>26173</v>
      </c>
    </row>
    <row r="22357" spans="1:8">
      <c r="H22357" t="s">
        <v>26174</v>
      </c>
    </row>
    <row r="22358" spans="1:8">
      <c r="H22358" t="s">
        <v>26175</v>
      </c>
    </row>
    <row r="22359" spans="1:8">
      <c r="F22359" t="s">
        <v>12695</v>
      </c>
      <c r="G22359" t="s">
        <v>16899</v>
      </c>
      <c r="H22359" t="s">
        <v>18829</v>
      </c>
    </row>
    <row r="22360" spans="1:8">
      <c r="H22360" t="s">
        <v>18863</v>
      </c>
    </row>
    <row r="22361" spans="1:8">
      <c r="H22361" t="s">
        <v>26176</v>
      </c>
    </row>
    <row r="22362" spans="1:8">
      <c r="H22362" t="s">
        <v>26177</v>
      </c>
    </row>
    <row r="22363" spans="1:8">
      <c r="H22363" t="s">
        <v>26178</v>
      </c>
    </row>
    <row r="22364" spans="1:8">
      <c r="H22364" t="s">
        <v>26179</v>
      </c>
    </row>
    <row r="22365" spans="1:8">
      <c r="H22365" t="s">
        <v>26180</v>
      </c>
    </row>
    <row r="22366" spans="1:8">
      <c r="H22366" t="s">
        <v>26181</v>
      </c>
    </row>
    <row r="22367" spans="1:8">
      <c r="F22367" t="s">
        <v>12743</v>
      </c>
      <c r="G22367" t="s">
        <v>16935</v>
      </c>
      <c r="H22367" t="s">
        <v>26182</v>
      </c>
    </row>
    <row r="22368" spans="1:8">
      <c r="A22368" t="s">
        <v>930</v>
      </c>
      <c r="B22368">
        <f>HYPERLINK("https://android.googlesource.com/platform/cts/+/4dff480ff7b745c6e39da6559b5ab95f26e01ebb", "4dff480ff7b745c6e39da6559b5ab95f26e01ebb")</f>
        <v>0</v>
      </c>
      <c r="C22368">
        <f>HYPERLINK("https://android.googlesource.com/platform/cts/+/529bf964a2c298ba89a4342aaa28cd276fbe10be", "529bf964a2c298ba89a4342aaa28cd276fbe10be")</f>
        <v>0</v>
      </c>
      <c r="D22368" t="s">
        <v>5029</v>
      </c>
      <c r="E22368" t="s">
        <v>6709</v>
      </c>
      <c r="F22368" t="s">
        <v>10610</v>
      </c>
      <c r="G22368" t="s">
        <v>15013</v>
      </c>
      <c r="H22368" t="s">
        <v>26183</v>
      </c>
    </row>
    <row r="22369" spans="1:8">
      <c r="A22369" t="s">
        <v>931</v>
      </c>
      <c r="B22369">
        <f>HYPERLINK("https://android.googlesource.com/platform/cts/+/745b4d9fbe962ba5a7d3b4e289773ab133723498", "745b4d9fbe962ba5a7d3b4e289773ab133723498")</f>
        <v>0</v>
      </c>
      <c r="C22369">
        <f>HYPERLINK("https://android.googlesource.com/platform/cts/+/e6572c08c3bf2061cd81a333bb78f189e2db4a6b", "e6572c08c3bf2061cd81a333bb78f189e2db4a6b")</f>
        <v>0</v>
      </c>
      <c r="D22369" t="s">
        <v>5123</v>
      </c>
      <c r="E22369" t="s">
        <v>6710</v>
      </c>
      <c r="F22369" t="s">
        <v>10668</v>
      </c>
      <c r="G22369" t="s">
        <v>15069</v>
      </c>
      <c r="H22369" t="s">
        <v>26184</v>
      </c>
    </row>
    <row r="22370" spans="1:8">
      <c r="H22370" t="s">
        <v>26185</v>
      </c>
    </row>
    <row r="22371" spans="1:8">
      <c r="H22371" t="s">
        <v>26186</v>
      </c>
    </row>
    <row r="22372" spans="1:8">
      <c r="H22372" t="s">
        <v>26187</v>
      </c>
    </row>
    <row r="22373" spans="1:8">
      <c r="H22373" t="s">
        <v>26188</v>
      </c>
    </row>
    <row r="22374" spans="1:8">
      <c r="H22374" t="s">
        <v>26189</v>
      </c>
    </row>
    <row r="22375" spans="1:8">
      <c r="H22375" t="s">
        <v>26190</v>
      </c>
    </row>
    <row r="22376" spans="1:8">
      <c r="H22376" t="s">
        <v>26191</v>
      </c>
    </row>
    <row r="22377" spans="1:8">
      <c r="H22377" t="s">
        <v>26192</v>
      </c>
    </row>
    <row r="22378" spans="1:8">
      <c r="H22378" t="s">
        <v>26193</v>
      </c>
    </row>
    <row r="22379" spans="1:8">
      <c r="H22379" t="s">
        <v>26194</v>
      </c>
    </row>
    <row r="22380" spans="1:8">
      <c r="H22380" t="s">
        <v>26195</v>
      </c>
    </row>
    <row r="22381" spans="1:8">
      <c r="H22381" t="s">
        <v>26196</v>
      </c>
    </row>
    <row r="22382" spans="1:8">
      <c r="H22382" t="s">
        <v>26197</v>
      </c>
    </row>
    <row r="22383" spans="1:8">
      <c r="H22383" t="s">
        <v>26198</v>
      </c>
    </row>
    <row r="22384" spans="1:8">
      <c r="H22384" t="s">
        <v>26199</v>
      </c>
    </row>
    <row r="22385" spans="1:8">
      <c r="H22385" t="s">
        <v>26200</v>
      </c>
    </row>
    <row r="22386" spans="1:8">
      <c r="H22386" t="s">
        <v>26197</v>
      </c>
    </row>
    <row r="22387" spans="1:8">
      <c r="H22387" t="s">
        <v>26198</v>
      </c>
    </row>
    <row r="22388" spans="1:8">
      <c r="H22388" t="s">
        <v>26199</v>
      </c>
    </row>
    <row r="22389" spans="1:8">
      <c r="H22389" t="s">
        <v>26200</v>
      </c>
    </row>
    <row r="22390" spans="1:8">
      <c r="H22390" t="s">
        <v>26201</v>
      </c>
    </row>
    <row r="22391" spans="1:8">
      <c r="H22391" t="s">
        <v>26202</v>
      </c>
    </row>
    <row r="22392" spans="1:8">
      <c r="A22392" t="s">
        <v>932</v>
      </c>
      <c r="B22392">
        <f>HYPERLINK("https://android.googlesource.com/platform/cts/+/afed489c8b5d045e533efee015a9030b49a30c75", "afed489c8b5d045e533efee015a9030b49a30c75")</f>
        <v>0</v>
      </c>
      <c r="C22392">
        <f>HYPERLINK("https://android.googlesource.com/platform/cts/+/6f8eea9229412914ecd90f8840da2d8eb06634cc", "6f8eea9229412914ecd90f8840da2d8eb06634cc")</f>
        <v>0</v>
      </c>
      <c r="D22392" t="s">
        <v>5123</v>
      </c>
      <c r="E22392" t="s">
        <v>6711</v>
      </c>
      <c r="F22392" t="s">
        <v>10668</v>
      </c>
      <c r="G22392" t="s">
        <v>15069</v>
      </c>
      <c r="H22392" t="s">
        <v>26203</v>
      </c>
    </row>
    <row r="22393" spans="1:8">
      <c r="H22393" t="s">
        <v>26204</v>
      </c>
    </row>
    <row r="22394" spans="1:8">
      <c r="H22394" t="s">
        <v>26205</v>
      </c>
    </row>
    <row r="22395" spans="1:8">
      <c r="H22395" t="s">
        <v>26206</v>
      </c>
    </row>
    <row r="22396" spans="1:8">
      <c r="H22396" t="s">
        <v>26207</v>
      </c>
    </row>
    <row r="22397" spans="1:8">
      <c r="H22397" t="s">
        <v>26208</v>
      </c>
    </row>
    <row r="22398" spans="1:8">
      <c r="H22398" t="s">
        <v>26209</v>
      </c>
    </row>
    <row r="22399" spans="1:8">
      <c r="H22399" t="s">
        <v>26210</v>
      </c>
    </row>
    <row r="22400" spans="1:8">
      <c r="H22400" t="s">
        <v>26211</v>
      </c>
    </row>
    <row r="22401" spans="1:8">
      <c r="H22401" t="s">
        <v>26212</v>
      </c>
    </row>
    <row r="22402" spans="1:8">
      <c r="H22402" t="s">
        <v>26209</v>
      </c>
    </row>
    <row r="22403" spans="1:8">
      <c r="H22403" t="s">
        <v>26210</v>
      </c>
    </row>
    <row r="22404" spans="1:8">
      <c r="H22404" t="s">
        <v>26211</v>
      </c>
    </row>
    <row r="22405" spans="1:8">
      <c r="H22405" t="s">
        <v>26212</v>
      </c>
    </row>
    <row r="22406" spans="1:8">
      <c r="H22406" t="s">
        <v>26213</v>
      </c>
    </row>
    <row r="22407" spans="1:8">
      <c r="H22407" t="s">
        <v>26214</v>
      </c>
    </row>
    <row r="22408" spans="1:8">
      <c r="A22408" t="s">
        <v>933</v>
      </c>
      <c r="B22408">
        <f>HYPERLINK("https://android.googlesource.com/platform/cts/+/41db3385f518722e12a9b95a470f629b5715a902", "41db3385f518722e12a9b95a470f629b5715a902")</f>
        <v>0</v>
      </c>
      <c r="C22408">
        <f>HYPERLINK("https://android.googlesource.com/platform/cts/+/13e033da3568e4897c6df9c41225e92e85e8fde3", "13e033da3568e4897c6df9c41225e92e85e8fde3")</f>
        <v>0</v>
      </c>
      <c r="D22408" t="s">
        <v>5123</v>
      </c>
      <c r="E22408" t="s">
        <v>6712</v>
      </c>
      <c r="F22408" t="s">
        <v>10668</v>
      </c>
      <c r="G22408" t="s">
        <v>15069</v>
      </c>
      <c r="H22408" t="s">
        <v>26215</v>
      </c>
    </row>
    <row r="22409" spans="1:8">
      <c r="H22409" t="s">
        <v>26216</v>
      </c>
    </row>
    <row r="22410" spans="1:8">
      <c r="H22410" t="s">
        <v>26217</v>
      </c>
    </row>
    <row r="22411" spans="1:8">
      <c r="H22411" t="s">
        <v>26218</v>
      </c>
    </row>
    <row r="22412" spans="1:8">
      <c r="H22412" t="s">
        <v>26219</v>
      </c>
    </row>
    <row r="22413" spans="1:8">
      <c r="H22413" t="s">
        <v>26220</v>
      </c>
    </row>
    <row r="22414" spans="1:8">
      <c r="H22414" t="s">
        <v>26221</v>
      </c>
    </row>
    <row r="22415" spans="1:8">
      <c r="H22415" t="s">
        <v>26222</v>
      </c>
    </row>
    <row r="22416" spans="1:8">
      <c r="H22416" t="s">
        <v>26223</v>
      </c>
    </row>
    <row r="22417" spans="1:8">
      <c r="H22417" t="s">
        <v>26224</v>
      </c>
    </row>
    <row r="22418" spans="1:8">
      <c r="H22418" t="s">
        <v>26225</v>
      </c>
    </row>
    <row r="22419" spans="1:8">
      <c r="H22419" t="s">
        <v>26222</v>
      </c>
    </row>
    <row r="22420" spans="1:8">
      <c r="H22420" t="s">
        <v>26223</v>
      </c>
    </row>
    <row r="22421" spans="1:8">
      <c r="H22421" t="s">
        <v>26224</v>
      </c>
    </row>
    <row r="22422" spans="1:8">
      <c r="H22422" t="s">
        <v>26225</v>
      </c>
    </row>
    <row r="22423" spans="1:8">
      <c r="H22423" t="s">
        <v>26226</v>
      </c>
    </row>
    <row r="22424" spans="1:8">
      <c r="H22424" t="s">
        <v>26227</v>
      </c>
    </row>
    <row r="22425" spans="1:8">
      <c r="H22425" t="s">
        <v>26228</v>
      </c>
    </row>
    <row r="22426" spans="1:8">
      <c r="A22426" t="s">
        <v>934</v>
      </c>
      <c r="B22426">
        <f>HYPERLINK("https://android.googlesource.com/platform/cts/+/3f51455dc25c8e5582bb6981a0f6737d1f058c1a", "3f51455dc25c8e5582bb6981a0f6737d1f058c1a")</f>
        <v>0</v>
      </c>
      <c r="C22426">
        <f>HYPERLINK("https://android.googlesource.com/platform/cts/+/4fa953d62f751214b5f7563c83414a017ab67d27", "4fa953d62f751214b5f7563c83414a017ab67d27")</f>
        <v>0</v>
      </c>
      <c r="D22426" t="s">
        <v>5079</v>
      </c>
      <c r="E22426" t="s">
        <v>6713</v>
      </c>
      <c r="F22426" t="s">
        <v>12705</v>
      </c>
      <c r="G22426" t="s">
        <v>16907</v>
      </c>
      <c r="H22426" t="s">
        <v>25996</v>
      </c>
    </row>
    <row r="22427" spans="1:8">
      <c r="A22427" t="s">
        <v>935</v>
      </c>
      <c r="B22427">
        <f>HYPERLINK("https://android.googlesource.com/platform/cts/+/f2a9041ae33281e005cb6a22fc6e82b00cdcfe76", "f2a9041ae33281e005cb6a22fc6e82b00cdcfe76")</f>
        <v>0</v>
      </c>
      <c r="C22427">
        <f>HYPERLINK("https://android.googlesource.com/platform/cts/+/bcb4ec196a099ade361c718d9c9e290f29c563bf", "bcb4ec196a099ade361c718d9c9e290f29c563bf")</f>
        <v>0</v>
      </c>
      <c r="D22427" t="s">
        <v>5124</v>
      </c>
      <c r="E22427" t="s">
        <v>6714</v>
      </c>
      <c r="F22427" t="s">
        <v>12419</v>
      </c>
      <c r="G22427" t="s">
        <v>16641</v>
      </c>
      <c r="H22427" t="s">
        <v>26229</v>
      </c>
    </row>
    <row r="22428" spans="1:8">
      <c r="A22428" t="s">
        <v>936</v>
      </c>
      <c r="B22428">
        <f>HYPERLINK("https://android.googlesource.com/platform/cts/+/3b86bfabaf83e9757e9680826ccdba009721b6c1", "3b86bfabaf83e9757e9680826ccdba009721b6c1")</f>
        <v>0</v>
      </c>
      <c r="C22428">
        <f>HYPERLINK("https://android.googlesource.com/platform/cts/+/fa133cfcbb9d492411f77732e374cb84b136952a", "fa133cfcbb9d492411f77732e374cb84b136952a")</f>
        <v>0</v>
      </c>
      <c r="D22428" t="s">
        <v>5042</v>
      </c>
      <c r="E22428" t="s">
        <v>6715</v>
      </c>
      <c r="F22428" t="s">
        <v>12409</v>
      </c>
      <c r="G22428" t="s">
        <v>16631</v>
      </c>
      <c r="H22428" t="s">
        <v>26230</v>
      </c>
    </row>
    <row r="22429" spans="1:8">
      <c r="A22429" t="s">
        <v>937</v>
      </c>
      <c r="B22429">
        <f>HYPERLINK("https://android.googlesource.com/platform/cts/+/b5039461c45e0a6d99ef5e9be58b7ab6081197a5", "b5039461c45e0a6d99ef5e9be58b7ab6081197a5")</f>
        <v>0</v>
      </c>
      <c r="C22429">
        <f>HYPERLINK("https://android.googlesource.com/platform/cts/+/789a22e064f86eded58183ab2caecd40045d7b1c", "789a22e064f86eded58183ab2caecd40045d7b1c")</f>
        <v>0</v>
      </c>
      <c r="D22429" t="s">
        <v>5029</v>
      </c>
      <c r="E22429" t="s">
        <v>6716</v>
      </c>
      <c r="F22429" t="s">
        <v>10699</v>
      </c>
      <c r="G22429" t="s">
        <v>15099</v>
      </c>
      <c r="H22429" t="s">
        <v>26231</v>
      </c>
    </row>
    <row r="22430" spans="1:8">
      <c r="H22430" t="s">
        <v>26232</v>
      </c>
    </row>
    <row r="22431" spans="1:8">
      <c r="H22431" t="s">
        <v>26233</v>
      </c>
    </row>
    <row r="22432" spans="1:8">
      <c r="H22432" t="s">
        <v>26234</v>
      </c>
    </row>
    <row r="22433" spans="1:8">
      <c r="H22433" t="s">
        <v>26235</v>
      </c>
    </row>
    <row r="22434" spans="1:8">
      <c r="A22434" t="s">
        <v>938</v>
      </c>
      <c r="B22434">
        <f>HYPERLINK("https://android.googlesource.com/platform/cts/+/20bf624c17e25d1d98af47e26905bc288587ff1f", "20bf624c17e25d1d98af47e26905bc288587ff1f")</f>
        <v>0</v>
      </c>
      <c r="C22434">
        <f>HYPERLINK("https://android.googlesource.com/platform/cts/+/91f61b6cb1ebfeda88b506e55188681f582a88d7", "91f61b6cb1ebfeda88b506e55188681f582a88d7")</f>
        <v>0</v>
      </c>
      <c r="D22434" t="s">
        <v>5125</v>
      </c>
      <c r="E22434" t="s">
        <v>6717</v>
      </c>
      <c r="F22434" t="s">
        <v>10664</v>
      </c>
      <c r="G22434" t="s">
        <v>15065</v>
      </c>
      <c r="H22434" t="s">
        <v>26236</v>
      </c>
    </row>
    <row r="22435" spans="1:8">
      <c r="H22435" t="s">
        <v>26237</v>
      </c>
    </row>
    <row r="22436" spans="1:8">
      <c r="H22436" t="s">
        <v>26238</v>
      </c>
    </row>
    <row r="22437" spans="1:8">
      <c r="H22437" t="s">
        <v>26239</v>
      </c>
    </row>
    <row r="22438" spans="1:8">
      <c r="H22438" t="s">
        <v>26240</v>
      </c>
    </row>
    <row r="22439" spans="1:8">
      <c r="H22439" t="s">
        <v>26241</v>
      </c>
    </row>
    <row r="22440" spans="1:8">
      <c r="A22440" t="s">
        <v>939</v>
      </c>
      <c r="B22440">
        <f>HYPERLINK("https://android.googlesource.com/platform/cts/+/a92af14ce02ef622421c1a08f566dc4de8e6f535", "a92af14ce02ef622421c1a08f566dc4de8e6f535")</f>
        <v>0</v>
      </c>
      <c r="C22440">
        <f>HYPERLINK("https://android.googlesource.com/platform/cts/+/e507fc6e816e706187e7f09bce1281e19e3f02c1", "e507fc6e816e706187e7f09bce1281e19e3f02c1")</f>
        <v>0</v>
      </c>
      <c r="D22440" t="s">
        <v>5122</v>
      </c>
      <c r="E22440" t="s">
        <v>6718</v>
      </c>
      <c r="F22440" t="s">
        <v>12608</v>
      </c>
      <c r="G22440" t="s">
        <v>16820</v>
      </c>
      <c r="H22440" t="s">
        <v>26242</v>
      </c>
    </row>
    <row r="22441" spans="1:8">
      <c r="A22441" t="s">
        <v>940</v>
      </c>
      <c r="B22441">
        <f>HYPERLINK("https://android.googlesource.com/platform/cts/+/c07a541758271bf7c222ac946a0abf3631d6e37a", "c07a541758271bf7c222ac946a0abf3631d6e37a")</f>
        <v>0</v>
      </c>
      <c r="C22441">
        <f>HYPERLINK("https://android.googlesource.com/platform/cts/+/b48ad8c4ef8be3bbc4749585e526bed51158ac37", "b48ad8c4ef8be3bbc4749585e526bed51158ac37")</f>
        <v>0</v>
      </c>
      <c r="D22441" t="s">
        <v>5122</v>
      </c>
      <c r="E22441" t="s">
        <v>6719</v>
      </c>
      <c r="F22441" t="s">
        <v>12608</v>
      </c>
      <c r="G22441" t="s">
        <v>16820</v>
      </c>
      <c r="H22441" t="s">
        <v>26243</v>
      </c>
    </row>
    <row r="22442" spans="1:8">
      <c r="A22442" t="s">
        <v>941</v>
      </c>
      <c r="B22442">
        <f>HYPERLINK("https://android.googlesource.com/platform/cts/+/055d2f3e3e44e6723422368d4fa14a77c6022207", "055d2f3e3e44e6723422368d4fa14a77c6022207")</f>
        <v>0</v>
      </c>
      <c r="C22442">
        <f>HYPERLINK("https://android.googlesource.com/platform/cts/+/c07a541758271bf7c222ac946a0abf3631d6e37a", "c07a541758271bf7c222ac946a0abf3631d6e37a")</f>
        <v>0</v>
      </c>
      <c r="D22442" t="s">
        <v>5122</v>
      </c>
      <c r="E22442" t="s">
        <v>6720</v>
      </c>
      <c r="F22442" t="s">
        <v>12608</v>
      </c>
      <c r="G22442" t="s">
        <v>16820</v>
      </c>
      <c r="H22442" t="s">
        <v>26244</v>
      </c>
    </row>
    <row r="22443" spans="1:8">
      <c r="A22443" t="s">
        <v>942</v>
      </c>
      <c r="B22443">
        <f>HYPERLINK("https://android.googlesource.com/platform/cts/+/3fb5b364028955b4f4a76dee45cd15843ca088de", "3fb5b364028955b4f4a76dee45cd15843ca088de")</f>
        <v>0</v>
      </c>
      <c r="C22443">
        <f>HYPERLINK("https://android.googlesource.com/platform/cts/+/0f21d01fe7a282a1ccbc4f7a42970a6c9a9d73c3", "0f21d01fe7a282a1ccbc4f7a42970a6c9a9d73c3")</f>
        <v>0</v>
      </c>
      <c r="D22443" t="s">
        <v>5126</v>
      </c>
      <c r="E22443" t="s">
        <v>6721</v>
      </c>
      <c r="F22443" t="s">
        <v>12744</v>
      </c>
      <c r="G22443" t="s">
        <v>16936</v>
      </c>
      <c r="H22443" t="s">
        <v>26245</v>
      </c>
    </row>
    <row r="22444" spans="1:8">
      <c r="H22444" t="s">
        <v>26246</v>
      </c>
    </row>
    <row r="22445" spans="1:8">
      <c r="H22445" t="s">
        <v>26247</v>
      </c>
    </row>
    <row r="22446" spans="1:8">
      <c r="A22446" t="s">
        <v>943</v>
      </c>
      <c r="B22446">
        <f>HYPERLINK("https://android.googlesource.com/platform/cts/+/3c4645b36804bb1df84b3ade84cbe65d92617bd6", "3c4645b36804bb1df84b3ade84cbe65d92617bd6")</f>
        <v>0</v>
      </c>
      <c r="C22446">
        <f>HYPERLINK("https://android.googlesource.com/platform/cts/+/02c5493e279d70bc3cde45011ac472d3dd2c4470", "02c5493e279d70bc3cde45011ac472d3dd2c4470")</f>
        <v>0</v>
      </c>
      <c r="D22446" t="s">
        <v>5085</v>
      </c>
      <c r="E22446" t="s">
        <v>6722</v>
      </c>
      <c r="F22446" t="s">
        <v>12745</v>
      </c>
      <c r="G22446" t="s">
        <v>16937</v>
      </c>
      <c r="H22446" t="s">
        <v>26248</v>
      </c>
    </row>
    <row r="22447" spans="1:8">
      <c r="A22447" t="s">
        <v>944</v>
      </c>
      <c r="B22447">
        <f>HYPERLINK("https://android.googlesource.com/platform/cts/+/1238dde6693360b12f64233f0684b6013d9146be", "1238dde6693360b12f64233f0684b6013d9146be")</f>
        <v>0</v>
      </c>
      <c r="C22447">
        <f>HYPERLINK("https://android.googlesource.com/platform/cts/+/f10cf5284d1c6fd39c16851244df965026631552", "f10cf5284d1c6fd39c16851244df965026631552")</f>
        <v>0</v>
      </c>
      <c r="D22447" t="s">
        <v>5127</v>
      </c>
      <c r="E22447" t="s">
        <v>6723</v>
      </c>
      <c r="F22447" t="s">
        <v>12746</v>
      </c>
      <c r="G22447" t="s">
        <v>16938</v>
      </c>
      <c r="H22447" t="s">
        <v>26249</v>
      </c>
    </row>
    <row r="22448" spans="1:8">
      <c r="A22448" t="s">
        <v>945</v>
      </c>
      <c r="B22448">
        <f>HYPERLINK("https://android.googlesource.com/platform/cts/+/b617aceda80553cb25e7221e226d8a414f11c5c9", "b617aceda80553cb25e7221e226d8a414f11c5c9")</f>
        <v>0</v>
      </c>
      <c r="C22448">
        <f>HYPERLINK("https://android.googlesource.com/platform/cts/+/bb20ec7c6dedbbc59c1a099ae26cb16c332932d1", "bb20ec7c6dedbbc59c1a099ae26cb16c332932d1")</f>
        <v>0</v>
      </c>
      <c r="D22448" t="s">
        <v>5128</v>
      </c>
      <c r="E22448" t="s">
        <v>6724</v>
      </c>
      <c r="F22448" t="s">
        <v>12747</v>
      </c>
      <c r="G22448" t="s">
        <v>16863</v>
      </c>
      <c r="H22448" t="s">
        <v>26250</v>
      </c>
    </row>
    <row r="22449" spans="1:8">
      <c r="H22449" t="s">
        <v>26251</v>
      </c>
    </row>
    <row r="22450" spans="1:8">
      <c r="H22450" t="s">
        <v>26252</v>
      </c>
    </row>
    <row r="22451" spans="1:8">
      <c r="H22451" t="s">
        <v>26253</v>
      </c>
    </row>
    <row r="22452" spans="1:8">
      <c r="A22452" t="s">
        <v>946</v>
      </c>
      <c r="B22452">
        <f>HYPERLINK("https://android.googlesource.com/platform/cts/+/9ac9de3913248ec7b43aefcc62411205b2dba975", "9ac9de3913248ec7b43aefcc62411205b2dba975")</f>
        <v>0</v>
      </c>
      <c r="C22452">
        <f>HYPERLINK("https://android.googlesource.com/platform/cts/+/d10406fde2679d377a896953adea750c731f9f1e", "d10406fde2679d377a896953adea750c731f9f1e")</f>
        <v>0</v>
      </c>
      <c r="D22452" t="s">
        <v>5084</v>
      </c>
      <c r="E22452" t="s">
        <v>6725</v>
      </c>
      <c r="F22452" t="s">
        <v>12368</v>
      </c>
      <c r="G22452" t="s">
        <v>16595</v>
      </c>
      <c r="H22452" t="s">
        <v>26254</v>
      </c>
    </row>
    <row r="22453" spans="1:8">
      <c r="A22453" t="s">
        <v>947</v>
      </c>
      <c r="B22453">
        <f>HYPERLINK("https://android.googlesource.com/platform/cts/+/91a42b6b6329b2e65886bb99f0731a56ce947b2d", "91a42b6b6329b2e65886bb99f0731a56ce947b2d")</f>
        <v>0</v>
      </c>
      <c r="C22453">
        <f>HYPERLINK("https://android.googlesource.com/platform/cts/+/3feb77eaae0e114f6ae67578997ac741512cbf77", "3feb77eaae0e114f6ae67578997ac741512cbf77")</f>
        <v>0</v>
      </c>
      <c r="D22453" t="s">
        <v>5129</v>
      </c>
      <c r="E22453" t="s">
        <v>6726</v>
      </c>
      <c r="F22453" t="s">
        <v>12748</v>
      </c>
      <c r="G22453" t="s">
        <v>16939</v>
      </c>
      <c r="H22453" t="s">
        <v>26255</v>
      </c>
    </row>
    <row r="22454" spans="1:8">
      <c r="H22454" t="s">
        <v>26256</v>
      </c>
    </row>
    <row r="22455" spans="1:8">
      <c r="A22455" t="s">
        <v>948</v>
      </c>
      <c r="B22455">
        <f>HYPERLINK("https://android.googlesource.com/platform/cts/+/38fe68d06418803c0a3f2f276e1e39efce33546d", "38fe68d06418803c0a3f2f276e1e39efce33546d")</f>
        <v>0</v>
      </c>
      <c r="C22455">
        <f>HYPERLINK("https://android.googlesource.com/platform/cts/+/4283155acb654265037459489ac1a829c01d07d3", "4283155acb654265037459489ac1a829c01d07d3")</f>
        <v>0</v>
      </c>
      <c r="D22455" t="s">
        <v>5085</v>
      </c>
      <c r="E22455" t="s">
        <v>6727</v>
      </c>
      <c r="F22455" t="s">
        <v>12749</v>
      </c>
      <c r="G22455" t="s">
        <v>16940</v>
      </c>
      <c r="H22455" t="s">
        <v>26257</v>
      </c>
    </row>
    <row r="22456" spans="1:8">
      <c r="F22456" t="s">
        <v>12750</v>
      </c>
      <c r="G22456" t="s">
        <v>16941</v>
      </c>
      <c r="H22456" t="s">
        <v>26257</v>
      </c>
    </row>
    <row r="22457" spans="1:8">
      <c r="A22457" t="s">
        <v>949</v>
      </c>
      <c r="B22457">
        <f>HYPERLINK("https://android.googlesource.com/platform/cts/+/0a75dcb34c4fa2410820ba9ad1ca1276ba52d35e", "0a75dcb34c4fa2410820ba9ad1ca1276ba52d35e")</f>
        <v>0</v>
      </c>
      <c r="C22457">
        <f>HYPERLINK("https://android.googlesource.com/platform/cts/+/2d58eb573bb573c55ea97f8cc65ae9267f70cc1c", "2d58eb573bb573c55ea97f8cc65ae9267f70cc1c")</f>
        <v>0</v>
      </c>
      <c r="D22457" t="s">
        <v>5130</v>
      </c>
      <c r="E22457" t="s">
        <v>6728</v>
      </c>
      <c r="F22457" t="s">
        <v>10684</v>
      </c>
      <c r="G22457" t="s">
        <v>15084</v>
      </c>
      <c r="H22457" t="s">
        <v>26258</v>
      </c>
    </row>
    <row r="22458" spans="1:8">
      <c r="A22458" t="s">
        <v>950</v>
      </c>
      <c r="B22458">
        <f>HYPERLINK("https://android.googlesource.com/platform/cts/+/2db6ad170c94f0849862e61206e874abe8bc47d1", "2db6ad170c94f0849862e61206e874abe8bc47d1")</f>
        <v>0</v>
      </c>
      <c r="C22458">
        <f>HYPERLINK("https://android.googlesource.com/platform/cts/+/1f700ccb4ce83c46ca573c10d8125d739a52ea4c", "1f700ccb4ce83c46ca573c10d8125d739a52ea4c")</f>
        <v>0</v>
      </c>
      <c r="D22458" t="s">
        <v>5044</v>
      </c>
      <c r="E22458" t="s">
        <v>6729</v>
      </c>
      <c r="F22458" t="s">
        <v>12751</v>
      </c>
      <c r="G22458" t="s">
        <v>16942</v>
      </c>
      <c r="H22458" t="s">
        <v>26259</v>
      </c>
    </row>
    <row r="22459" spans="1:8">
      <c r="H22459" t="s">
        <v>26260</v>
      </c>
    </row>
    <row r="22460" spans="1:8">
      <c r="H22460" t="s">
        <v>20012</v>
      </c>
    </row>
    <row r="22461" spans="1:8">
      <c r="A22461" t="s">
        <v>951</v>
      </c>
      <c r="B22461">
        <f>HYPERLINK("https://android.googlesource.com/platform/cts/+/cb76377cef1653c62955555aff1f13f5c30c7480", "cb76377cef1653c62955555aff1f13f5c30c7480")</f>
        <v>0</v>
      </c>
      <c r="C22461">
        <f>HYPERLINK("https://android.googlesource.com/platform/cts/+/952879d26caf5afe9bc56d87608fc4f88d253347", "952879d26caf5afe9bc56d87608fc4f88d253347")</f>
        <v>0</v>
      </c>
      <c r="D22461" t="s">
        <v>5131</v>
      </c>
      <c r="E22461" t="s">
        <v>6730</v>
      </c>
      <c r="F22461" t="s">
        <v>12752</v>
      </c>
      <c r="G22461" t="s">
        <v>16943</v>
      </c>
      <c r="H22461" t="s">
        <v>26261</v>
      </c>
    </row>
    <row r="22462" spans="1:8">
      <c r="H22462" t="s">
        <v>19019</v>
      </c>
    </row>
    <row r="22463" spans="1:8">
      <c r="F22463" t="s">
        <v>12753</v>
      </c>
      <c r="G22463" t="s">
        <v>16944</v>
      </c>
      <c r="H22463" t="s">
        <v>20083</v>
      </c>
    </row>
    <row r="22464" spans="1:8">
      <c r="H22464" t="s">
        <v>26262</v>
      </c>
    </row>
    <row r="22465" spans="6:8">
      <c r="H22465" t="s">
        <v>26261</v>
      </c>
    </row>
    <row r="22466" spans="6:8">
      <c r="H22466" t="s">
        <v>26263</v>
      </c>
    </row>
    <row r="22467" spans="6:8">
      <c r="H22467" t="s">
        <v>26264</v>
      </c>
    </row>
    <row r="22468" spans="6:8">
      <c r="H22468" t="s">
        <v>26265</v>
      </c>
    </row>
    <row r="22469" spans="6:8">
      <c r="H22469" t="s">
        <v>26266</v>
      </c>
    </row>
    <row r="22470" spans="6:8">
      <c r="H22470" t="s">
        <v>26267</v>
      </c>
    </row>
    <row r="22471" spans="6:8">
      <c r="H22471" t="s">
        <v>26268</v>
      </c>
    </row>
    <row r="22472" spans="6:8">
      <c r="H22472" t="s">
        <v>26269</v>
      </c>
    </row>
    <row r="22473" spans="6:8">
      <c r="H22473" t="s">
        <v>19692</v>
      </c>
    </row>
    <row r="22474" spans="6:8">
      <c r="H22474" t="s">
        <v>22678</v>
      </c>
    </row>
    <row r="22475" spans="6:8">
      <c r="F22475" t="s">
        <v>12754</v>
      </c>
      <c r="G22475" t="s">
        <v>16945</v>
      </c>
      <c r="H22475" t="s">
        <v>26270</v>
      </c>
    </row>
    <row r="22476" spans="6:8">
      <c r="H22476" t="s">
        <v>26271</v>
      </c>
    </row>
    <row r="22477" spans="6:8">
      <c r="H22477" t="s">
        <v>26272</v>
      </c>
    </row>
    <row r="22478" spans="6:8">
      <c r="H22478" t="s">
        <v>26273</v>
      </c>
    </row>
    <row r="22479" spans="6:8">
      <c r="F22479" t="s">
        <v>12755</v>
      </c>
      <c r="G22479" t="s">
        <v>16946</v>
      </c>
      <c r="H22479" t="s">
        <v>26274</v>
      </c>
    </row>
    <row r="22480" spans="6:8">
      <c r="H22480" t="s">
        <v>18829</v>
      </c>
    </row>
    <row r="22481" spans="6:8">
      <c r="H22481" t="s">
        <v>18863</v>
      </c>
    </row>
    <row r="22482" spans="6:8">
      <c r="H22482" t="s">
        <v>26275</v>
      </c>
    </row>
    <row r="22483" spans="6:8">
      <c r="H22483" t="s">
        <v>26276</v>
      </c>
    </row>
    <row r="22484" spans="6:8">
      <c r="H22484" t="s">
        <v>26277</v>
      </c>
    </row>
    <row r="22485" spans="6:8">
      <c r="H22485" t="s">
        <v>26278</v>
      </c>
    </row>
    <row r="22486" spans="6:8">
      <c r="H22486" t="s">
        <v>26279</v>
      </c>
    </row>
    <row r="22487" spans="6:8">
      <c r="H22487" t="s">
        <v>26280</v>
      </c>
    </row>
    <row r="22488" spans="6:8">
      <c r="H22488" t="s">
        <v>26281</v>
      </c>
    </row>
    <row r="22489" spans="6:8">
      <c r="H22489" t="s">
        <v>22470</v>
      </c>
    </row>
    <row r="22490" spans="6:8">
      <c r="H22490" t="s">
        <v>26282</v>
      </c>
    </row>
    <row r="22491" spans="6:8">
      <c r="H22491" t="s">
        <v>26283</v>
      </c>
    </row>
    <row r="22492" spans="6:8">
      <c r="H22492" t="s">
        <v>26284</v>
      </c>
    </row>
    <row r="22493" spans="6:8">
      <c r="F22493" t="s">
        <v>12756</v>
      </c>
      <c r="G22493" t="s">
        <v>16947</v>
      </c>
      <c r="H22493" t="s">
        <v>26285</v>
      </c>
    </row>
    <row r="22494" spans="6:8">
      <c r="H22494" t="s">
        <v>26286</v>
      </c>
    </row>
    <row r="22495" spans="6:8">
      <c r="H22495" t="s">
        <v>26287</v>
      </c>
    </row>
    <row r="22496" spans="6:8">
      <c r="H22496" t="s">
        <v>26288</v>
      </c>
    </row>
    <row r="22497" spans="1:8">
      <c r="H22497" t="s">
        <v>26289</v>
      </c>
    </row>
    <row r="22498" spans="1:8">
      <c r="H22498" t="s">
        <v>26290</v>
      </c>
    </row>
    <row r="22499" spans="1:8">
      <c r="H22499" t="s">
        <v>26273</v>
      </c>
    </row>
    <row r="22500" spans="1:8">
      <c r="H22500" t="s">
        <v>26291</v>
      </c>
    </row>
    <row r="22501" spans="1:8">
      <c r="H22501" t="s">
        <v>26292</v>
      </c>
    </row>
    <row r="22502" spans="1:8">
      <c r="A22502" t="s">
        <v>952</v>
      </c>
      <c r="B22502">
        <f>HYPERLINK("https://android.googlesource.com/platform/cts/+/32afcaf2dfcc1bd52c952b1fc654123a7ba6f22e", "32afcaf2dfcc1bd52c952b1fc654123a7ba6f22e")</f>
        <v>0</v>
      </c>
      <c r="C22502">
        <f>HYPERLINK("https://android.googlesource.com/platform/cts/+/0d87f33eab8ab831019a3fb615aff0506e9c736c", "0d87f33eab8ab831019a3fb615aff0506e9c736c")</f>
        <v>0</v>
      </c>
      <c r="D22502" t="s">
        <v>5046</v>
      </c>
      <c r="E22502" t="s">
        <v>6731</v>
      </c>
      <c r="F22502" t="s">
        <v>12757</v>
      </c>
      <c r="G22502" t="s">
        <v>16948</v>
      </c>
      <c r="H22502" t="s">
        <v>26293</v>
      </c>
    </row>
    <row r="22503" spans="1:8">
      <c r="A22503" t="s">
        <v>953</v>
      </c>
      <c r="B22503">
        <f>HYPERLINK("https://android.googlesource.com/platform/cts/+/5295b42262329fc6e642eacf53d44456404933e4", "5295b42262329fc6e642eacf53d44456404933e4")</f>
        <v>0</v>
      </c>
      <c r="C22503">
        <f>HYPERLINK("https://android.googlesource.com/platform/cts/+/0d87f33eab8ab831019a3fb615aff0506e9c736c", "0d87f33eab8ab831019a3fb615aff0506e9c736c")</f>
        <v>0</v>
      </c>
      <c r="D22503" t="s">
        <v>5046</v>
      </c>
      <c r="E22503" t="s">
        <v>6732</v>
      </c>
      <c r="F22503" t="s">
        <v>12758</v>
      </c>
      <c r="G22503" t="s">
        <v>16949</v>
      </c>
      <c r="H22503" t="s">
        <v>26294</v>
      </c>
    </row>
    <row r="22504" spans="1:8">
      <c r="A22504" t="s">
        <v>954</v>
      </c>
      <c r="B22504">
        <f>HYPERLINK("https://android.googlesource.com/platform/cts/+/dc7e6f841006bd45e17fd3e9a0321e89e1849dbd", "dc7e6f841006bd45e17fd3e9a0321e89e1849dbd")</f>
        <v>0</v>
      </c>
      <c r="C22504">
        <f>HYPERLINK("https://android.googlesource.com/platform/cts/+/9c8a63587008c75a494531b6a747c76cf5cbbc33", "9c8a63587008c75a494531b6a747c76cf5cbbc33")</f>
        <v>0</v>
      </c>
      <c r="D22504" t="s">
        <v>5060</v>
      </c>
      <c r="E22504" t="s">
        <v>6733</v>
      </c>
      <c r="F22504" t="s">
        <v>12714</v>
      </c>
      <c r="G22504" t="s">
        <v>16914</v>
      </c>
      <c r="H22504" t="s">
        <v>26005</v>
      </c>
    </row>
    <row r="22505" spans="1:8">
      <c r="H22505" t="s">
        <v>26006</v>
      </c>
    </row>
    <row r="22506" spans="1:8">
      <c r="H22506" t="s">
        <v>26007</v>
      </c>
    </row>
    <row r="22507" spans="1:8">
      <c r="H22507" t="s">
        <v>26008</v>
      </c>
    </row>
    <row r="22508" spans="1:8">
      <c r="H22508" t="s">
        <v>26009</v>
      </c>
    </row>
    <row r="22509" spans="1:8">
      <c r="A22509" t="s">
        <v>955</v>
      </c>
      <c r="B22509">
        <f>HYPERLINK("https://android.googlesource.com/platform/cts/+/663bd12dc4f64ca00b26dd1d72f3a2f0b34b84d4", "663bd12dc4f64ca00b26dd1d72f3a2f0b34b84d4")</f>
        <v>0</v>
      </c>
      <c r="C22509">
        <f>HYPERLINK("https://android.googlesource.com/platform/cts/+/dc7e6f841006bd45e17fd3e9a0321e89e1849dbd", "dc7e6f841006bd45e17fd3e9a0321e89e1849dbd")</f>
        <v>0</v>
      </c>
      <c r="D22509" t="s">
        <v>5060</v>
      </c>
      <c r="E22509" t="s">
        <v>6734</v>
      </c>
      <c r="F22509" t="s">
        <v>12759</v>
      </c>
      <c r="G22509" t="s">
        <v>16950</v>
      </c>
      <c r="H22509" t="s">
        <v>26295</v>
      </c>
    </row>
    <row r="22510" spans="1:8">
      <c r="A22510" t="s">
        <v>956</v>
      </c>
      <c r="B22510">
        <f>HYPERLINK("https://android.googlesource.com/platform/cts/+/c769941fca4e88e0091415433091c4c34c2037ed", "c769941fca4e88e0091415433091c4c34c2037ed")</f>
        <v>0</v>
      </c>
      <c r="C22510">
        <f>HYPERLINK("https://android.googlesource.com/platform/cts/+/84ce9cb7baee483fe4e779724d18e3c0c9f544b2", "84ce9cb7baee483fe4e779724d18e3c0c9f544b2")</f>
        <v>0</v>
      </c>
      <c r="D22510" t="s">
        <v>5085</v>
      </c>
      <c r="E22510" t="s">
        <v>6735</v>
      </c>
      <c r="F22510" t="s">
        <v>12760</v>
      </c>
      <c r="G22510" t="s">
        <v>16951</v>
      </c>
      <c r="H22510" t="s">
        <v>18829</v>
      </c>
    </row>
    <row r="22511" spans="1:8">
      <c r="H22511" t="s">
        <v>18863</v>
      </c>
    </row>
    <row r="22512" spans="1:8">
      <c r="H22512" t="s">
        <v>26296</v>
      </c>
    </row>
    <row r="22513" spans="1:8">
      <c r="H22513" t="s">
        <v>26297</v>
      </c>
    </row>
    <row r="22514" spans="1:8">
      <c r="H22514" t="s">
        <v>26298</v>
      </c>
    </row>
    <row r="22515" spans="1:8">
      <c r="H22515" t="s">
        <v>26298</v>
      </c>
    </row>
    <row r="22516" spans="1:8">
      <c r="A22516" t="s">
        <v>957</v>
      </c>
      <c r="B22516">
        <f>HYPERLINK("https://android.googlesource.com/platform/cts/+/5523779ef190699cbd2e2415764a34666f658086", "5523779ef190699cbd2e2415764a34666f658086")</f>
        <v>0</v>
      </c>
      <c r="C22516">
        <f>HYPERLINK("https://android.googlesource.com/platform/cts/+/62d12955cc9b142d2e9724ece031589ef3cd7737", "62d12955cc9b142d2e9724ece031589ef3cd7737")</f>
        <v>0</v>
      </c>
      <c r="D22516" t="s">
        <v>5132</v>
      </c>
      <c r="E22516" t="s">
        <v>6736</v>
      </c>
      <c r="F22516" t="s">
        <v>10794</v>
      </c>
      <c r="G22516" t="s">
        <v>15189</v>
      </c>
      <c r="H22516" t="s">
        <v>26299</v>
      </c>
    </row>
    <row r="22517" spans="1:8">
      <c r="A22517" t="s">
        <v>958</v>
      </c>
      <c r="B22517">
        <f>HYPERLINK("https://android.googlesource.com/platform/cts/+/0fc33180d15abf5efff5e1327a696f1a2d748247", "0fc33180d15abf5efff5e1327a696f1a2d748247")</f>
        <v>0</v>
      </c>
      <c r="C22517">
        <f>HYPERLINK("https://android.googlesource.com/platform/cts/+/1784dee4390648dce2e5603e6576dd4e5db2ff32", "1784dee4390648dce2e5603e6576dd4e5db2ff32")</f>
        <v>0</v>
      </c>
      <c r="D22517" t="s">
        <v>5085</v>
      </c>
      <c r="E22517" t="s">
        <v>6737</v>
      </c>
      <c r="F22517" t="s">
        <v>12761</v>
      </c>
      <c r="G22517" t="s">
        <v>16952</v>
      </c>
      <c r="H22517" t="s">
        <v>26300</v>
      </c>
    </row>
    <row r="22518" spans="1:8">
      <c r="H22518" t="s">
        <v>26301</v>
      </c>
    </row>
    <row r="22519" spans="1:8">
      <c r="H22519" t="s">
        <v>26302</v>
      </c>
    </row>
    <row r="22520" spans="1:8">
      <c r="H22520" t="s">
        <v>26303</v>
      </c>
    </row>
    <row r="22521" spans="1:8">
      <c r="F22521" t="s">
        <v>12762</v>
      </c>
      <c r="G22521" t="s">
        <v>16953</v>
      </c>
      <c r="H22521" t="s">
        <v>26304</v>
      </c>
    </row>
    <row r="22522" spans="1:8">
      <c r="H22522" t="s">
        <v>26296</v>
      </c>
    </row>
    <row r="22523" spans="1:8">
      <c r="A22523" t="s">
        <v>959</v>
      </c>
      <c r="B22523">
        <f>HYPERLINK("https://android.googlesource.com/platform/cts/+/fc82ab789d348595a03e1a457bb4d6363c2fb4d7", "fc82ab789d348595a03e1a457bb4d6363c2fb4d7")</f>
        <v>0</v>
      </c>
      <c r="C22523">
        <f>HYPERLINK("https://android.googlesource.com/platform/cts/+/1784dee4390648dce2e5603e6576dd4e5db2ff32", "1784dee4390648dce2e5603e6576dd4e5db2ff32")</f>
        <v>0</v>
      </c>
      <c r="D22523" t="s">
        <v>5002</v>
      </c>
      <c r="E22523" t="s">
        <v>6738</v>
      </c>
      <c r="F22523" t="s">
        <v>12726</v>
      </c>
      <c r="G22523" t="s">
        <v>16921</v>
      </c>
      <c r="H22523" t="s">
        <v>26305</v>
      </c>
    </row>
    <row r="22524" spans="1:8">
      <c r="A22524" t="s">
        <v>960</v>
      </c>
      <c r="B22524">
        <f>HYPERLINK("https://android.googlesource.com/platform/cts/+/894124d8564b9ad349952bd1ef16eb9f3ab7b1a6", "894124d8564b9ad349952bd1ef16eb9f3ab7b1a6")</f>
        <v>0</v>
      </c>
      <c r="C22524">
        <f>HYPERLINK("https://android.googlesource.com/platform/cts/+/374fe02fe198fc3b8127a38fe3831c6e7ecb3835", "374fe02fe198fc3b8127a38fe3831c6e7ecb3835")</f>
        <v>0</v>
      </c>
      <c r="D22524" t="s">
        <v>5124</v>
      </c>
      <c r="E22524" t="s">
        <v>6739</v>
      </c>
      <c r="F22524" t="s">
        <v>12608</v>
      </c>
      <c r="G22524" t="s">
        <v>16820</v>
      </c>
      <c r="H22524" t="s">
        <v>26306</v>
      </c>
    </row>
    <row r="22525" spans="1:8">
      <c r="H22525" t="s">
        <v>26307</v>
      </c>
    </row>
    <row r="22526" spans="1:8">
      <c r="H22526" t="s">
        <v>26308</v>
      </c>
    </row>
    <row r="22527" spans="1:8">
      <c r="H22527" t="s">
        <v>26309</v>
      </c>
    </row>
    <row r="22528" spans="1:8">
      <c r="A22528" t="s">
        <v>961</v>
      </c>
      <c r="B22528">
        <f>HYPERLINK("https://android.googlesource.com/platform/cts/+/7aa3f53e295adc5d0e4da9d7b14ad6fcfd4a76d6", "7aa3f53e295adc5d0e4da9d7b14ad6fcfd4a76d6")</f>
        <v>0</v>
      </c>
      <c r="C22528">
        <f>HYPERLINK("https://android.googlesource.com/platform/cts/+/374fe02fe198fc3b8127a38fe3831c6e7ecb3835", "374fe02fe198fc3b8127a38fe3831c6e7ecb3835")</f>
        <v>0</v>
      </c>
      <c r="D22528" t="s">
        <v>5044</v>
      </c>
      <c r="E22528" t="s">
        <v>6740</v>
      </c>
      <c r="F22528" t="s">
        <v>12763</v>
      </c>
      <c r="G22528" t="s">
        <v>16940</v>
      </c>
      <c r="H22528" t="s">
        <v>26257</v>
      </c>
    </row>
    <row r="22529" spans="1:8">
      <c r="F22529" t="s">
        <v>12764</v>
      </c>
      <c r="G22529" t="s">
        <v>16940</v>
      </c>
      <c r="H22529" t="s">
        <v>26257</v>
      </c>
    </row>
    <row r="22530" spans="1:8">
      <c r="A22530" t="s">
        <v>962</v>
      </c>
      <c r="B22530">
        <f>HYPERLINK("https://android.googlesource.com/platform/cts/+/baeafb8c1c7feacfa0fd684d38646ac24d642e34", "baeafb8c1c7feacfa0fd684d38646ac24d642e34")</f>
        <v>0</v>
      </c>
      <c r="C22530">
        <f>HYPERLINK("https://android.googlesource.com/platform/cts/+/c4973ac6c983a44855a91010031c518e6841f3f3", "c4973ac6c983a44855a91010031c518e6841f3f3")</f>
        <v>0</v>
      </c>
      <c r="D22530" t="s">
        <v>5132</v>
      </c>
      <c r="E22530" t="s">
        <v>6736</v>
      </c>
      <c r="F22530" t="s">
        <v>10794</v>
      </c>
      <c r="G22530" t="s">
        <v>15189</v>
      </c>
      <c r="H22530" t="s">
        <v>26299</v>
      </c>
    </row>
    <row r="22531" spans="1:8">
      <c r="A22531" t="s">
        <v>963</v>
      </c>
      <c r="B22531">
        <f>HYPERLINK("https://android.googlesource.com/platform/cts/+/3ffafb155266d939633f72ce82bbfb5c53c7c9fc", "3ffafb155266d939633f72ce82bbfb5c53c7c9fc")</f>
        <v>0</v>
      </c>
      <c r="C22531">
        <f>HYPERLINK("https://android.googlesource.com/platform/cts/+/45930ac8c84fa422dd4e821c657862ece997c4ef", "45930ac8c84fa422dd4e821c657862ece997c4ef")</f>
        <v>0</v>
      </c>
      <c r="D22531" t="s">
        <v>5048</v>
      </c>
      <c r="E22531" t="s">
        <v>6741</v>
      </c>
      <c r="F22531" t="s">
        <v>12368</v>
      </c>
      <c r="G22531" t="s">
        <v>16595</v>
      </c>
      <c r="H22531" t="s">
        <v>26310</v>
      </c>
    </row>
    <row r="22532" spans="1:8">
      <c r="H22532" t="s">
        <v>26311</v>
      </c>
    </row>
    <row r="22533" spans="1:8">
      <c r="H22533" t="s">
        <v>26312</v>
      </c>
    </row>
    <row r="22534" spans="1:8">
      <c r="H22534" t="s">
        <v>26313</v>
      </c>
    </row>
    <row r="22535" spans="1:8">
      <c r="H22535" t="s">
        <v>26314</v>
      </c>
    </row>
    <row r="22536" spans="1:8">
      <c r="H22536" t="s">
        <v>26315</v>
      </c>
    </row>
    <row r="22537" spans="1:8">
      <c r="H22537" t="s">
        <v>26316</v>
      </c>
    </row>
    <row r="22538" spans="1:8">
      <c r="H22538" t="s">
        <v>21462</v>
      </c>
    </row>
    <row r="22539" spans="1:8">
      <c r="H22539" t="s">
        <v>26317</v>
      </c>
    </row>
    <row r="22540" spans="1:8">
      <c r="A22540" t="s">
        <v>964</v>
      </c>
      <c r="B22540">
        <f>HYPERLINK("https://android.googlesource.com/platform/cts/+/d012d2f8b50f9c336c3dd9b1be4e3acb01fa1fe8", "d012d2f8b50f9c336c3dd9b1be4e3acb01fa1fe8")</f>
        <v>0</v>
      </c>
      <c r="C22540">
        <f>HYPERLINK("https://android.googlesource.com/platform/cts/+/f15cf53fd0180c60b538e56a47f30ef12db91ca6", "f15cf53fd0180c60b538e56a47f30ef12db91ca6")</f>
        <v>0</v>
      </c>
      <c r="D22540" t="s">
        <v>5133</v>
      </c>
      <c r="E22540" t="s">
        <v>6742</v>
      </c>
      <c r="F22540" t="s">
        <v>12765</v>
      </c>
      <c r="G22540" t="s">
        <v>16954</v>
      </c>
      <c r="H22540" t="s">
        <v>26318</v>
      </c>
    </row>
    <row r="22541" spans="1:8">
      <c r="H22541" t="s">
        <v>26319</v>
      </c>
    </row>
    <row r="22542" spans="1:8">
      <c r="H22542" t="s">
        <v>26320</v>
      </c>
    </row>
    <row r="22543" spans="1:8">
      <c r="H22543" t="s">
        <v>26321</v>
      </c>
    </row>
    <row r="22544" spans="1:8">
      <c r="A22544" t="s">
        <v>965</v>
      </c>
      <c r="B22544">
        <f>HYPERLINK("https://android.googlesource.com/platform/cts/+/64c80f861acfc6b626c07f010ac06fcbd36a9ae3", "64c80f861acfc6b626c07f010ac06fcbd36a9ae3")</f>
        <v>0</v>
      </c>
      <c r="C22544">
        <f>HYPERLINK("https://android.googlesource.com/platform/cts/+/a135c2488a04f6d15d7aa801fb1c5b01b47b2cc2", "a135c2488a04f6d15d7aa801fb1c5b01b47b2cc2")</f>
        <v>0</v>
      </c>
      <c r="D22544" t="s">
        <v>5126</v>
      </c>
      <c r="E22544" t="s">
        <v>6743</v>
      </c>
      <c r="F22544" t="s">
        <v>12744</v>
      </c>
      <c r="G22544" t="s">
        <v>16936</v>
      </c>
      <c r="H22544" t="s">
        <v>26322</v>
      </c>
    </row>
    <row r="22545" spans="1:8">
      <c r="A22545" t="s">
        <v>966</v>
      </c>
      <c r="B22545">
        <f>HYPERLINK("https://android.googlesource.com/platform/cts/+/3732f6692eab24553b62b81b762e45e1e187061b", "3732f6692eab24553b62b81b762e45e1e187061b")</f>
        <v>0</v>
      </c>
      <c r="C22545">
        <f>HYPERLINK("https://android.googlesource.com/platform/cts/+/4a4ac91534edc4304a0eb6bdabcfba60fa7ec652", "4a4ac91534edc4304a0eb6bdabcfba60fa7ec652")</f>
        <v>0</v>
      </c>
      <c r="D22545" t="s">
        <v>5085</v>
      </c>
      <c r="E22545" t="s">
        <v>6744</v>
      </c>
      <c r="F22545" t="s">
        <v>12766</v>
      </c>
      <c r="G22545" t="s">
        <v>16940</v>
      </c>
      <c r="H22545" t="s">
        <v>26323</v>
      </c>
    </row>
    <row r="22546" spans="1:8">
      <c r="F22546" t="s">
        <v>12767</v>
      </c>
      <c r="G22546" t="s">
        <v>16955</v>
      </c>
      <c r="H22546" t="s">
        <v>26302</v>
      </c>
    </row>
    <row r="22547" spans="1:8">
      <c r="F22547" t="s">
        <v>12761</v>
      </c>
      <c r="G22547" t="s">
        <v>16952</v>
      </c>
      <c r="H22547" t="s">
        <v>26324</v>
      </c>
    </row>
    <row r="22548" spans="1:8">
      <c r="H22548" t="s">
        <v>26325</v>
      </c>
    </row>
    <row r="22549" spans="1:8">
      <c r="H22549" t="s">
        <v>26326</v>
      </c>
    </row>
    <row r="22550" spans="1:8">
      <c r="H22550" t="s">
        <v>26327</v>
      </c>
    </row>
    <row r="22551" spans="1:8">
      <c r="H22551" t="s">
        <v>26328</v>
      </c>
    </row>
    <row r="22552" spans="1:8">
      <c r="H22552" t="s">
        <v>26329</v>
      </c>
    </row>
    <row r="22553" spans="1:8">
      <c r="H22553" t="s">
        <v>26330</v>
      </c>
    </row>
    <row r="22554" spans="1:8">
      <c r="H22554" t="s">
        <v>26331</v>
      </c>
    </row>
    <row r="22555" spans="1:8">
      <c r="F22555" t="s">
        <v>12762</v>
      </c>
      <c r="G22555" t="s">
        <v>16953</v>
      </c>
      <c r="H22555" t="s">
        <v>26332</v>
      </c>
    </row>
    <row r="22556" spans="1:8">
      <c r="F22556" t="s">
        <v>12768</v>
      </c>
      <c r="G22556" t="s">
        <v>15710</v>
      </c>
      <c r="H22556" t="s">
        <v>18863</v>
      </c>
    </row>
    <row r="22557" spans="1:8">
      <c r="H22557" t="s">
        <v>26333</v>
      </c>
    </row>
    <row r="22558" spans="1:8">
      <c r="H22558" t="s">
        <v>26334</v>
      </c>
    </row>
    <row r="22559" spans="1:8">
      <c r="H22559" t="s">
        <v>26335</v>
      </c>
    </row>
    <row r="22560" spans="1:8">
      <c r="H22560" t="s">
        <v>26336</v>
      </c>
    </row>
    <row r="22561" spans="1:8">
      <c r="H22561" t="s">
        <v>26337</v>
      </c>
    </row>
    <row r="22562" spans="1:8">
      <c r="H22562" t="s">
        <v>26338</v>
      </c>
    </row>
    <row r="22563" spans="1:8">
      <c r="H22563" t="s">
        <v>26339</v>
      </c>
    </row>
    <row r="22564" spans="1:8">
      <c r="H22564" t="s">
        <v>26340</v>
      </c>
    </row>
    <row r="22565" spans="1:8">
      <c r="H22565" t="s">
        <v>26341</v>
      </c>
    </row>
    <row r="22566" spans="1:8">
      <c r="H22566" t="s">
        <v>26342</v>
      </c>
    </row>
    <row r="22567" spans="1:8">
      <c r="H22567" t="s">
        <v>26343</v>
      </c>
    </row>
    <row r="22568" spans="1:8">
      <c r="H22568" t="s">
        <v>26344</v>
      </c>
    </row>
    <row r="22569" spans="1:8">
      <c r="H22569" t="s">
        <v>26345</v>
      </c>
    </row>
    <row r="22570" spans="1:8">
      <c r="H22570" t="s">
        <v>26346</v>
      </c>
    </row>
    <row r="22571" spans="1:8">
      <c r="H22571" t="s">
        <v>26347</v>
      </c>
    </row>
    <row r="22572" spans="1:8">
      <c r="H22572" t="s">
        <v>26348</v>
      </c>
    </row>
    <row r="22573" spans="1:8">
      <c r="H22573" t="s">
        <v>26349</v>
      </c>
    </row>
    <row r="22574" spans="1:8">
      <c r="A22574" t="s">
        <v>967</v>
      </c>
      <c r="B22574">
        <f>HYPERLINK("https://android.googlesource.com/platform/cts/+/4614db983abe4cf67777fc131bb61684fbdd2524", "4614db983abe4cf67777fc131bb61684fbdd2524")</f>
        <v>0</v>
      </c>
      <c r="C22574">
        <f>HYPERLINK("https://android.googlesource.com/platform/cts/+/bc5a3c673daff6d6b5a844251bf6f64477492723", "bc5a3c673daff6d6b5a844251bf6f64477492723")</f>
        <v>0</v>
      </c>
      <c r="D22574" t="s">
        <v>5048</v>
      </c>
      <c r="E22574" t="s">
        <v>6745</v>
      </c>
      <c r="F22574" t="s">
        <v>12609</v>
      </c>
      <c r="G22574" t="s">
        <v>16554</v>
      </c>
      <c r="H22574" t="s">
        <v>26350</v>
      </c>
    </row>
    <row r="22575" spans="1:8">
      <c r="H22575" t="s">
        <v>26351</v>
      </c>
    </row>
    <row r="22576" spans="1:8">
      <c r="H22576" t="s">
        <v>26352</v>
      </c>
    </row>
    <row r="22577" spans="1:8">
      <c r="A22577" t="s">
        <v>968</v>
      </c>
      <c r="B22577">
        <f>HYPERLINK("https://android.googlesource.com/platform/cts/+/396ce25e4cbab2e177c08338c64b9c11ea6b7147", "396ce25e4cbab2e177c08338c64b9c11ea6b7147")</f>
        <v>0</v>
      </c>
      <c r="C22577">
        <f>HYPERLINK("https://android.googlesource.com/platform/cts/+/ac4b112b96e40eedc480a1685876d5c4c985ff2d", "ac4b112b96e40eedc480a1685876d5c4c985ff2d")</f>
        <v>0</v>
      </c>
      <c r="D22577" t="s">
        <v>4971</v>
      </c>
      <c r="E22577" t="s">
        <v>6746</v>
      </c>
      <c r="F22577" t="s">
        <v>12769</v>
      </c>
      <c r="G22577" t="s">
        <v>16956</v>
      </c>
      <c r="H22577" t="s">
        <v>26353</v>
      </c>
    </row>
    <row r="22578" spans="1:8">
      <c r="A22578" t="s">
        <v>969</v>
      </c>
      <c r="B22578">
        <f>HYPERLINK("https://android.googlesource.com/platform/cts/+/2d29cb1b4eeda1593d1f5f5f1785ceb1a8219ee1", "2d29cb1b4eeda1593d1f5f5f1785ceb1a8219ee1")</f>
        <v>0</v>
      </c>
      <c r="C22578">
        <f>HYPERLINK("https://android.googlesource.com/platform/cts/+/788182e37e833ee51428846029143a0e1392824d", "788182e37e833ee51428846029143a0e1392824d")</f>
        <v>0</v>
      </c>
      <c r="D22578" t="s">
        <v>5122</v>
      </c>
      <c r="E22578" t="s">
        <v>6747</v>
      </c>
      <c r="F22578" t="s">
        <v>12770</v>
      </c>
      <c r="G22578" t="s">
        <v>16957</v>
      </c>
      <c r="H22578" t="s">
        <v>26354</v>
      </c>
    </row>
    <row r="22579" spans="1:8">
      <c r="A22579" t="s">
        <v>970</v>
      </c>
      <c r="B22579">
        <f>HYPERLINK("https://android.googlesource.com/platform/cts/+/daffcecfeebd53e06e4e43dfe6905a84742a16e7", "daffcecfeebd53e06e4e43dfe6905a84742a16e7")</f>
        <v>0</v>
      </c>
      <c r="C22579">
        <f>HYPERLINK("https://android.googlesource.com/platform/cts/+/a3f94678cb10cbb9b1ad997591c98c22c7e71358", "a3f94678cb10cbb9b1ad997591c98c22c7e71358")</f>
        <v>0</v>
      </c>
      <c r="D22579" t="s">
        <v>5134</v>
      </c>
      <c r="E22579" t="s">
        <v>6748</v>
      </c>
      <c r="F22579" t="s">
        <v>12771</v>
      </c>
      <c r="G22579" t="s">
        <v>16958</v>
      </c>
      <c r="H22579" t="s">
        <v>26355</v>
      </c>
    </row>
    <row r="22580" spans="1:8">
      <c r="A22580" t="s">
        <v>971</v>
      </c>
      <c r="B22580">
        <f>HYPERLINK("https://android.googlesource.com/platform/cts/+/19dd977c92c89d3b2702ecabfd9d2d48c5bdd070", "19dd977c92c89d3b2702ecabfd9d2d48c5bdd070")</f>
        <v>0</v>
      </c>
      <c r="C22580">
        <f>HYPERLINK("https://android.googlesource.com/platform/cts/+/b1b723186902c71913b16ca2d6daae77b700bf36", "b1b723186902c71913b16ca2d6daae77b700bf36")</f>
        <v>0</v>
      </c>
      <c r="D22580" t="s">
        <v>5118</v>
      </c>
      <c r="E22580" t="s">
        <v>6749</v>
      </c>
      <c r="F22580" t="s">
        <v>12733</v>
      </c>
      <c r="G22580" t="s">
        <v>16854</v>
      </c>
      <c r="H22580" t="s">
        <v>26356</v>
      </c>
    </row>
    <row r="22581" spans="1:8">
      <c r="A22581" t="s">
        <v>972</v>
      </c>
      <c r="B22581">
        <f>HYPERLINK("https://android.googlesource.com/platform/cts/+/d07b043eaf456c7dd596bb4d79eee4add9a438e1", "d07b043eaf456c7dd596bb4d79eee4add9a438e1")</f>
        <v>0</v>
      </c>
      <c r="C22581">
        <f>HYPERLINK("https://android.googlesource.com/platform/cts/+/23d775efe9a874e8d98a750855ee9abfcdb61f34", "23d775efe9a874e8d98a750855ee9abfcdb61f34")</f>
        <v>0</v>
      </c>
      <c r="D22581" t="s">
        <v>5135</v>
      </c>
      <c r="E22581" t="s">
        <v>6750</v>
      </c>
      <c r="F22581" t="s">
        <v>12772</v>
      </c>
      <c r="G22581" t="s">
        <v>16543</v>
      </c>
      <c r="H22581" t="s">
        <v>26357</v>
      </c>
    </row>
    <row r="22582" spans="1:8">
      <c r="A22582" t="s">
        <v>973</v>
      </c>
      <c r="B22582">
        <f>HYPERLINK("https://android.googlesource.com/platform/cts/+/50a0db7e76e2380940e5ec1cf7fafd9592a062f5", "50a0db7e76e2380940e5ec1cf7fafd9592a062f5")</f>
        <v>0</v>
      </c>
      <c r="C22582">
        <f>HYPERLINK("https://android.googlesource.com/platform/cts/+/98c5cb02cc2f63cb403e83c38afb37736780a897", "98c5cb02cc2f63cb403e83c38afb37736780a897")</f>
        <v>0</v>
      </c>
      <c r="D22582" t="s">
        <v>5060</v>
      </c>
      <c r="E22582" t="s">
        <v>6751</v>
      </c>
      <c r="F22582" t="s">
        <v>12342</v>
      </c>
      <c r="G22582" t="s">
        <v>16570</v>
      </c>
      <c r="H22582" t="s">
        <v>24992</v>
      </c>
    </row>
    <row r="22583" spans="1:8">
      <c r="A22583" t="s">
        <v>974</v>
      </c>
      <c r="B22583">
        <f>HYPERLINK("https://android.googlesource.com/platform/cts/+/ae4a5536526101acf98eea60db85536d1819b203", "ae4a5536526101acf98eea60db85536d1819b203")</f>
        <v>0</v>
      </c>
      <c r="C22583">
        <f>HYPERLINK("https://android.googlesource.com/platform/cts/+/e4ba0dcedf949349880eb547b90ca878c66a375e", "e4ba0dcedf949349880eb547b90ca878c66a375e")</f>
        <v>0</v>
      </c>
      <c r="D22583" t="s">
        <v>5060</v>
      </c>
      <c r="E22583" t="s">
        <v>6752</v>
      </c>
      <c r="F22583" t="s">
        <v>12342</v>
      </c>
      <c r="G22583" t="s">
        <v>16570</v>
      </c>
      <c r="H22583" t="s">
        <v>24992</v>
      </c>
    </row>
    <row r="22584" spans="1:8">
      <c r="A22584" t="s">
        <v>975</v>
      </c>
      <c r="B22584">
        <f>HYPERLINK("https://android.googlesource.com/platform/cts/+/d1f30c0fa73e0918ec7040072a91f34fb9cd0777", "d1f30c0fa73e0918ec7040072a91f34fb9cd0777")</f>
        <v>0</v>
      </c>
      <c r="C22584">
        <f>HYPERLINK("https://android.googlesource.com/platform/cts/+/0ecaf158c14f75560d9b78fbd8a06d88e118b9da", "0ecaf158c14f75560d9b78fbd8a06d88e118b9da")</f>
        <v>0</v>
      </c>
      <c r="D22584" t="s">
        <v>5136</v>
      </c>
      <c r="E22584" t="s">
        <v>6753</v>
      </c>
      <c r="F22584" t="s">
        <v>10778</v>
      </c>
      <c r="G22584" t="s">
        <v>15174</v>
      </c>
      <c r="H22584" t="s">
        <v>26358</v>
      </c>
    </row>
    <row r="22585" spans="1:8">
      <c r="H22585" t="s">
        <v>26359</v>
      </c>
    </row>
    <row r="22586" spans="1:8">
      <c r="A22586" t="s">
        <v>976</v>
      </c>
      <c r="B22586">
        <f>HYPERLINK("https://android.googlesource.com/platform/cts/+/286f6fcd85c64eac9bb778303d114f5eb8bc46d1", "286f6fcd85c64eac9bb778303d114f5eb8bc46d1")</f>
        <v>0</v>
      </c>
      <c r="C22586">
        <f>HYPERLINK("https://android.googlesource.com/platform/cts/+/7c1d6150506403cb33e0f0f7d593789acfdaa628", "7c1d6150506403cb33e0f0f7d593789acfdaa628")</f>
        <v>0</v>
      </c>
      <c r="D22586" t="s">
        <v>5134</v>
      </c>
      <c r="E22586" t="s">
        <v>6754</v>
      </c>
      <c r="F22586" t="s">
        <v>12773</v>
      </c>
      <c r="G22586" t="s">
        <v>15100</v>
      </c>
      <c r="H22586" t="s">
        <v>26360</v>
      </c>
    </row>
    <row r="22587" spans="1:8">
      <c r="H22587" t="s">
        <v>26361</v>
      </c>
    </row>
    <row r="22588" spans="1:8">
      <c r="H22588" t="s">
        <v>26362</v>
      </c>
    </row>
    <row r="22589" spans="1:8">
      <c r="H22589" t="s">
        <v>26363</v>
      </c>
    </row>
    <row r="22590" spans="1:8">
      <c r="A22590" t="s">
        <v>977</v>
      </c>
      <c r="B22590">
        <f>HYPERLINK("https://android.googlesource.com/platform/cts/+/71a1a7085bb98d48ea9f10347d0c7f714a7c6e0c", "71a1a7085bb98d48ea9f10347d0c7f714a7c6e0c")</f>
        <v>0</v>
      </c>
      <c r="C22590">
        <f>HYPERLINK("https://android.googlesource.com/platform/cts/+/180f7fd154eada6fa82bf13b36bd392f349a6c61", "180f7fd154eada6fa82bf13b36bd392f349a6c61")</f>
        <v>0</v>
      </c>
      <c r="D22590" t="s">
        <v>5137</v>
      </c>
      <c r="E22590" t="s">
        <v>6755</v>
      </c>
      <c r="F22590" t="s">
        <v>12768</v>
      </c>
      <c r="G22590" t="s">
        <v>15710</v>
      </c>
      <c r="H22590" t="s">
        <v>26364</v>
      </c>
    </row>
    <row r="22591" spans="1:8">
      <c r="H22591" t="s">
        <v>26365</v>
      </c>
    </row>
    <row r="22592" spans="1:8">
      <c r="A22592" t="s">
        <v>978</v>
      </c>
      <c r="B22592">
        <f>HYPERLINK("https://android.googlesource.com/platform/cts/+/4fd3ca36abd6437ff8bf4d4ff24ffe1321413d0a", "4fd3ca36abd6437ff8bf4d4ff24ffe1321413d0a")</f>
        <v>0</v>
      </c>
      <c r="C22592">
        <f>HYPERLINK("https://android.googlesource.com/platform/cts/+/dc7d94929e909289731a833df59e39a5d5daab1f", "dc7d94929e909289731a833df59e39a5d5daab1f")</f>
        <v>0</v>
      </c>
      <c r="D22592" t="s">
        <v>5085</v>
      </c>
      <c r="E22592" t="s">
        <v>6756</v>
      </c>
      <c r="F22592" t="s">
        <v>12745</v>
      </c>
      <c r="G22592" t="s">
        <v>16937</v>
      </c>
      <c r="H22592" t="s">
        <v>25782</v>
      </c>
    </row>
    <row r="22593" spans="1:8">
      <c r="H22593" t="s">
        <v>25781</v>
      </c>
    </row>
    <row r="22594" spans="1:8">
      <c r="A22594" t="s">
        <v>979</v>
      </c>
      <c r="B22594">
        <f>HYPERLINK("https://android.googlesource.com/platform/cts/+/16ba4191c26aa4fdd28209465d4401c6ff35b436", "16ba4191c26aa4fdd28209465d4401c6ff35b436")</f>
        <v>0</v>
      </c>
      <c r="C22594">
        <f>HYPERLINK("https://android.googlesource.com/platform/cts/+/da0eb3ed691079232921e799b502c29073745112", "da0eb3ed691079232921e799b502c29073745112")</f>
        <v>0</v>
      </c>
      <c r="D22594" t="s">
        <v>5029</v>
      </c>
      <c r="E22594" t="s">
        <v>6757</v>
      </c>
      <c r="F22594" t="s">
        <v>12327</v>
      </c>
      <c r="G22594" t="s">
        <v>16557</v>
      </c>
      <c r="H22594" t="s">
        <v>22136</v>
      </c>
    </row>
    <row r="22595" spans="1:8">
      <c r="A22595" t="s">
        <v>980</v>
      </c>
      <c r="B22595">
        <f>HYPERLINK("https://android.googlesource.com/platform/cts/+/f09a96c482f265efc8b3d1f11f0eee91055e7ab4", "f09a96c482f265efc8b3d1f11f0eee91055e7ab4")</f>
        <v>0</v>
      </c>
      <c r="C22595">
        <f>HYPERLINK("https://android.googlesource.com/platform/cts/+/9db4f84a2599bfacf719050bc5ea5a6785387085", "9db4f84a2599bfacf719050bc5ea5a6785387085")</f>
        <v>0</v>
      </c>
      <c r="D22595" t="s">
        <v>5059</v>
      </c>
      <c r="E22595" t="s">
        <v>6758</v>
      </c>
      <c r="F22595" t="s">
        <v>12774</v>
      </c>
      <c r="G22595" t="s">
        <v>16959</v>
      </c>
      <c r="H22595" t="s">
        <v>26366</v>
      </c>
    </row>
    <row r="22596" spans="1:8">
      <c r="A22596" t="s">
        <v>981</v>
      </c>
      <c r="B22596">
        <f>HYPERLINK("https://android.googlesource.com/platform/cts/+/6b548d68a1357e3c568d805688134ab7fbe4e509", "6b548d68a1357e3c568d805688134ab7fbe4e509")</f>
        <v>0</v>
      </c>
      <c r="C22596">
        <f>HYPERLINK("https://android.googlesource.com/platform/cts/+/bd4dd355f09455d7092208c95738a4b31588b2ba", "bd4dd355f09455d7092208c95738a4b31588b2ba")</f>
        <v>0</v>
      </c>
      <c r="D22596" t="s">
        <v>5127</v>
      </c>
      <c r="E22596" t="s">
        <v>6759</v>
      </c>
      <c r="F22596" t="s">
        <v>12629</v>
      </c>
      <c r="G22596" t="s">
        <v>16838</v>
      </c>
      <c r="H22596" t="s">
        <v>26367</v>
      </c>
    </row>
    <row r="22597" spans="1:8">
      <c r="A22597" t="s">
        <v>982</v>
      </c>
      <c r="B22597">
        <f>HYPERLINK("https://android.googlesource.com/platform/cts/+/364fd16016b96162ce055395bab59b70621ecb0f", "364fd16016b96162ce055395bab59b70621ecb0f")</f>
        <v>0</v>
      </c>
      <c r="C22597">
        <f>HYPERLINK("https://android.googlesource.com/platform/cts/+/c07b74e0c83a1a6d35acd541c10abf81012f53c3", "c07b74e0c83a1a6d35acd541c10abf81012f53c3")</f>
        <v>0</v>
      </c>
      <c r="D22597" t="s">
        <v>4991</v>
      </c>
      <c r="E22597" t="s">
        <v>6760</v>
      </c>
      <c r="F22597" t="s">
        <v>12775</v>
      </c>
      <c r="G22597" t="s">
        <v>16960</v>
      </c>
      <c r="H22597" t="s">
        <v>26368</v>
      </c>
    </row>
    <row r="22598" spans="1:8">
      <c r="H22598" t="s">
        <v>18829</v>
      </c>
    </row>
    <row r="22599" spans="1:8">
      <c r="H22599" t="s">
        <v>18863</v>
      </c>
    </row>
    <row r="22600" spans="1:8">
      <c r="H22600" t="s">
        <v>26369</v>
      </c>
    </row>
    <row r="22601" spans="1:8">
      <c r="A22601" t="s">
        <v>983</v>
      </c>
      <c r="B22601">
        <f>HYPERLINK("https://android.googlesource.com/platform/cts/+/987019298727695c2b202081153a2bd67de1b063", "987019298727695c2b202081153a2bd67de1b063")</f>
        <v>0</v>
      </c>
      <c r="C22601">
        <f>HYPERLINK("https://android.googlesource.com/platform/cts/+/f480e061734cc4f08aa141a18b0985fbcc2e4f5b", "f480e061734cc4f08aa141a18b0985fbcc2e4f5b")</f>
        <v>0</v>
      </c>
      <c r="D22601" t="s">
        <v>5073</v>
      </c>
      <c r="E22601" t="s">
        <v>6761</v>
      </c>
      <c r="F22601" t="s">
        <v>12776</v>
      </c>
      <c r="G22601" t="s">
        <v>16961</v>
      </c>
      <c r="H22601" t="s">
        <v>26370</v>
      </c>
    </row>
    <row r="22602" spans="1:8">
      <c r="A22602" t="s">
        <v>984</v>
      </c>
      <c r="B22602">
        <f>HYPERLINK("https://android.googlesource.com/platform/cts/+/0f095ca986d7558f9f5260c71a12cef4474d9da3", "0f095ca986d7558f9f5260c71a12cef4474d9da3")</f>
        <v>0</v>
      </c>
      <c r="C22602">
        <f>HYPERLINK("https://android.googlesource.com/platform/cts/+/d8232b1acfa2fafb2329f4ac70015d2411fa862f", "d8232b1acfa2fafb2329f4ac70015d2411fa862f")</f>
        <v>0</v>
      </c>
      <c r="D22602" t="s">
        <v>5132</v>
      </c>
      <c r="E22602" t="s">
        <v>6762</v>
      </c>
      <c r="F22602" t="s">
        <v>10794</v>
      </c>
      <c r="G22602" t="s">
        <v>15189</v>
      </c>
      <c r="H22602" t="s">
        <v>26371</v>
      </c>
    </row>
    <row r="22603" spans="1:8">
      <c r="A22603" t="s">
        <v>985</v>
      </c>
      <c r="B22603">
        <f>HYPERLINK("https://android.googlesource.com/platform/cts/+/219c1171cf01c735ee805132084e79add5c5aa7e", "219c1171cf01c735ee805132084e79add5c5aa7e")</f>
        <v>0</v>
      </c>
      <c r="C22603">
        <f>HYPERLINK("https://android.googlesource.com/platform/cts/+/931d2695337f70f1abf31253c42e3bdf6eb338e2", "931d2695337f70f1abf31253c42e3bdf6eb338e2")</f>
        <v>0</v>
      </c>
      <c r="D22603" t="s">
        <v>4997</v>
      </c>
      <c r="E22603" t="s">
        <v>6763</v>
      </c>
      <c r="F22603" t="s">
        <v>12714</v>
      </c>
      <c r="G22603" t="s">
        <v>16914</v>
      </c>
      <c r="H22603" t="s">
        <v>26005</v>
      </c>
    </row>
    <row r="22604" spans="1:8">
      <c r="H22604" t="s">
        <v>26006</v>
      </c>
    </row>
    <row r="22605" spans="1:8">
      <c r="H22605" t="s">
        <v>26007</v>
      </c>
    </row>
    <row r="22606" spans="1:8">
      <c r="H22606" t="s">
        <v>26008</v>
      </c>
    </row>
    <row r="22607" spans="1:8">
      <c r="H22607" t="s">
        <v>26009</v>
      </c>
    </row>
    <row r="22608" spans="1:8">
      <c r="A22608" t="s">
        <v>986</v>
      </c>
      <c r="B22608">
        <f>HYPERLINK("https://android.googlesource.com/platform/cts/+/eb7db9c2a20f5067d031f97da49bd0028ed23232", "eb7db9c2a20f5067d031f97da49bd0028ed23232")</f>
        <v>0</v>
      </c>
      <c r="C22608">
        <f>HYPERLINK("https://android.googlesource.com/platform/cts/+/65731297b87192084b78cf884593f3cc81ffe419", "65731297b87192084b78cf884593f3cc81ffe419")</f>
        <v>0</v>
      </c>
      <c r="D22608" t="s">
        <v>5138</v>
      </c>
      <c r="E22608" t="s">
        <v>6764</v>
      </c>
      <c r="F22608" t="s">
        <v>12777</v>
      </c>
      <c r="G22608" t="s">
        <v>16962</v>
      </c>
      <c r="H22608" t="s">
        <v>26372</v>
      </c>
    </row>
    <row r="22609" spans="1:8">
      <c r="H22609" t="s">
        <v>26373</v>
      </c>
    </row>
    <row r="22610" spans="1:8">
      <c r="H22610" t="s">
        <v>26374</v>
      </c>
    </row>
    <row r="22611" spans="1:8">
      <c r="H22611" t="s">
        <v>26375</v>
      </c>
    </row>
    <row r="22612" spans="1:8">
      <c r="H22612" t="s">
        <v>26376</v>
      </c>
    </row>
    <row r="22613" spans="1:8">
      <c r="H22613" t="s">
        <v>26377</v>
      </c>
    </row>
    <row r="22614" spans="1:8">
      <c r="H22614" t="s">
        <v>26378</v>
      </c>
    </row>
    <row r="22615" spans="1:8">
      <c r="A22615" t="s">
        <v>987</v>
      </c>
      <c r="B22615">
        <f>HYPERLINK("https://android.googlesource.com/platform/cts/+/e5955cd84c0af809e11d232b1d1139cbfc3b4e6e", "e5955cd84c0af809e11d232b1d1139cbfc3b4e6e")</f>
        <v>0</v>
      </c>
      <c r="C22615">
        <f>HYPERLINK("https://android.googlesource.com/platform/cts/+/dbdf5086ddaa5bdc6d4793a930bc05f9fdba3609", "dbdf5086ddaa5bdc6d4793a930bc05f9fdba3609")</f>
        <v>0</v>
      </c>
      <c r="D22615" t="s">
        <v>5028</v>
      </c>
      <c r="E22615" t="s">
        <v>6765</v>
      </c>
      <c r="F22615" t="s">
        <v>12778</v>
      </c>
      <c r="G22615" t="s">
        <v>16963</v>
      </c>
      <c r="H22615" t="s">
        <v>18829</v>
      </c>
    </row>
    <row r="22616" spans="1:8">
      <c r="H22616" t="s">
        <v>18863</v>
      </c>
    </row>
    <row r="22617" spans="1:8">
      <c r="H22617" t="s">
        <v>26379</v>
      </c>
    </row>
    <row r="22618" spans="1:8">
      <c r="H22618" t="s">
        <v>26380</v>
      </c>
    </row>
    <row r="22619" spans="1:8">
      <c r="H22619" t="s">
        <v>26381</v>
      </c>
    </row>
    <row r="22620" spans="1:8">
      <c r="H22620" t="s">
        <v>26382</v>
      </c>
    </row>
    <row r="22621" spans="1:8">
      <c r="H22621" t="s">
        <v>26383</v>
      </c>
    </row>
    <row r="22622" spans="1:8">
      <c r="H22622" t="s">
        <v>26384</v>
      </c>
    </row>
    <row r="22623" spans="1:8">
      <c r="H22623" t="s">
        <v>26385</v>
      </c>
    </row>
    <row r="22624" spans="1:8">
      <c r="A22624" t="s">
        <v>988</v>
      </c>
      <c r="B22624">
        <f>HYPERLINK("https://android.googlesource.com/platform/cts/+/8a31c4c3b9340dceca107ad21496b913b4bd9b0f", "8a31c4c3b9340dceca107ad21496b913b4bd9b0f")</f>
        <v>0</v>
      </c>
      <c r="C22624">
        <f>HYPERLINK("https://android.googlesource.com/platform/cts/+/f8febd4813fa9ce637ddaa6b6ce7cd9b56e1a142", "f8febd4813fa9ce637ddaa6b6ce7cd9b56e1a142")</f>
        <v>0</v>
      </c>
      <c r="D22624" t="s">
        <v>5044</v>
      </c>
      <c r="E22624" t="s">
        <v>6766</v>
      </c>
      <c r="F22624" t="s">
        <v>12428</v>
      </c>
      <c r="G22624" t="s">
        <v>16619</v>
      </c>
      <c r="H22624" t="s">
        <v>22592</v>
      </c>
    </row>
    <row r="22625" spans="1:8">
      <c r="H22625" t="s">
        <v>22593</v>
      </c>
    </row>
    <row r="22626" spans="1:8">
      <c r="A22626" t="s">
        <v>989</v>
      </c>
      <c r="B22626">
        <f>HYPERLINK("https://android.googlesource.com/platform/cts/+/b928f9754c106b29b5e813b876509e1bd036430d", "b928f9754c106b29b5e813b876509e1bd036430d")</f>
        <v>0</v>
      </c>
      <c r="C22626">
        <f>HYPERLINK("https://android.googlesource.com/platform/cts/+/8a31c4c3b9340dceca107ad21496b913b4bd9b0f", "8a31c4c3b9340dceca107ad21496b913b4bd9b0f")</f>
        <v>0</v>
      </c>
      <c r="D22626" t="s">
        <v>5139</v>
      </c>
      <c r="E22626" t="s">
        <v>6767</v>
      </c>
      <c r="F22626" t="s">
        <v>12779</v>
      </c>
      <c r="G22626" t="s">
        <v>16964</v>
      </c>
      <c r="H22626" t="s">
        <v>26386</v>
      </c>
    </row>
    <row r="22627" spans="1:8">
      <c r="H22627" t="s">
        <v>26387</v>
      </c>
    </row>
    <row r="22628" spans="1:8">
      <c r="H22628" t="s">
        <v>26388</v>
      </c>
    </row>
    <row r="22629" spans="1:8">
      <c r="A22629" t="s">
        <v>990</v>
      </c>
      <c r="B22629">
        <f>HYPERLINK("https://android.googlesource.com/platform/cts/+/e38cc07991aa324da41bd0028c7342cc911fd1a9", "e38cc07991aa324da41bd0028c7342cc911fd1a9")</f>
        <v>0</v>
      </c>
      <c r="C22629">
        <f>HYPERLINK("https://android.googlesource.com/platform/cts/+/fd7bb14b9bb3c792635f448c25527587a01898af", "fd7bb14b9bb3c792635f448c25527587a01898af")</f>
        <v>0</v>
      </c>
      <c r="D22629" t="s">
        <v>5002</v>
      </c>
      <c r="E22629" t="s">
        <v>6768</v>
      </c>
      <c r="F22629" t="s">
        <v>12780</v>
      </c>
      <c r="G22629" t="s">
        <v>16965</v>
      </c>
      <c r="H22629" t="s">
        <v>20244</v>
      </c>
    </row>
    <row r="22630" spans="1:8">
      <c r="H22630" t="s">
        <v>18829</v>
      </c>
    </row>
    <row r="22631" spans="1:8">
      <c r="H22631" t="s">
        <v>18863</v>
      </c>
    </row>
    <row r="22632" spans="1:8">
      <c r="A22632" t="s">
        <v>991</v>
      </c>
      <c r="B22632">
        <f>HYPERLINK("https://android.googlesource.com/platform/cts/+/e472f22bd4ececc38235f791093e50e8954dbcb0", "e472f22bd4ececc38235f791093e50e8954dbcb0")</f>
        <v>0</v>
      </c>
      <c r="C22632">
        <f>HYPERLINK("https://android.googlesource.com/platform/cts/+/34278d0b58fd608a64f1e6aec57c531bd0290d49", "34278d0b58fd608a64f1e6aec57c531bd0290d49")</f>
        <v>0</v>
      </c>
      <c r="D22632" t="s">
        <v>5140</v>
      </c>
      <c r="E22632" t="s">
        <v>6769</v>
      </c>
      <c r="F22632" t="s">
        <v>12428</v>
      </c>
      <c r="G22632" t="s">
        <v>16619</v>
      </c>
      <c r="H22632" t="s">
        <v>22586</v>
      </c>
    </row>
    <row r="22633" spans="1:8">
      <c r="H22633" t="s">
        <v>22590</v>
      </c>
    </row>
    <row r="22634" spans="1:8">
      <c r="A22634" t="s">
        <v>992</v>
      </c>
      <c r="B22634">
        <f>HYPERLINK("https://android.googlesource.com/platform/cts/+/4767e57cc2cd10c648ef9c6cdab8d72c17410021", "4767e57cc2cd10c648ef9c6cdab8d72c17410021")</f>
        <v>0</v>
      </c>
      <c r="C22634">
        <f>HYPERLINK("https://android.googlesource.com/platform/cts/+/f0fd1a60a6f389bed1eaf2959d581506de8d84dc", "f0fd1a60a6f389bed1eaf2959d581506de8d84dc")</f>
        <v>0</v>
      </c>
      <c r="D22634" t="s">
        <v>4973</v>
      </c>
      <c r="E22634" t="s">
        <v>6770</v>
      </c>
      <c r="F22634" t="s">
        <v>12781</v>
      </c>
      <c r="G22634" t="s">
        <v>16966</v>
      </c>
      <c r="H22634" t="s">
        <v>26389</v>
      </c>
    </row>
    <row r="22635" spans="1:8">
      <c r="H22635" t="s">
        <v>26390</v>
      </c>
    </row>
    <row r="22636" spans="1:8">
      <c r="H22636" t="s">
        <v>26316</v>
      </c>
    </row>
    <row r="22637" spans="1:8">
      <c r="H22637" t="s">
        <v>21462</v>
      </c>
    </row>
    <row r="22638" spans="1:8">
      <c r="H22638" t="s">
        <v>25805</v>
      </c>
    </row>
    <row r="22639" spans="1:8">
      <c r="H22639" t="s">
        <v>26391</v>
      </c>
    </row>
    <row r="22640" spans="1:8">
      <c r="A22640" t="s">
        <v>993</v>
      </c>
      <c r="B22640">
        <f>HYPERLINK("https://android.googlesource.com/platform/cts/+/a600a0ec71f2243786795e7860360dd8c205dbe0", "a600a0ec71f2243786795e7860360dd8c205dbe0")</f>
        <v>0</v>
      </c>
      <c r="C22640">
        <f>HYPERLINK("https://android.googlesource.com/platform/cts/+/5a01b6c8bc3167159f9f347c0ecef4b97966ef25", "5a01b6c8bc3167159f9f347c0ecef4b97966ef25")</f>
        <v>0</v>
      </c>
      <c r="D22640" t="s">
        <v>5030</v>
      </c>
      <c r="E22640" t="s">
        <v>6771</v>
      </c>
      <c r="F22640" t="s">
        <v>12782</v>
      </c>
      <c r="G22640" t="s">
        <v>16420</v>
      </c>
      <c r="H22640" t="s">
        <v>26392</v>
      </c>
    </row>
    <row r="22641" spans="1:8">
      <c r="H22641" t="s">
        <v>26393</v>
      </c>
    </row>
    <row r="22642" spans="1:8">
      <c r="H22642" t="s">
        <v>19296</v>
      </c>
    </row>
    <row r="22643" spans="1:8">
      <c r="H22643" t="s">
        <v>19297</v>
      </c>
    </row>
    <row r="22644" spans="1:8">
      <c r="H22644" t="s">
        <v>26394</v>
      </c>
    </row>
    <row r="22645" spans="1:8">
      <c r="H22645" t="s">
        <v>26395</v>
      </c>
    </row>
    <row r="22646" spans="1:8">
      <c r="H22646" t="s">
        <v>25704</v>
      </c>
    </row>
    <row r="22647" spans="1:8">
      <c r="H22647" t="s">
        <v>26396</v>
      </c>
    </row>
    <row r="22648" spans="1:8">
      <c r="H22648" t="s">
        <v>26397</v>
      </c>
    </row>
    <row r="22649" spans="1:8">
      <c r="H22649" t="s">
        <v>26398</v>
      </c>
    </row>
    <row r="22650" spans="1:8">
      <c r="H22650" t="s">
        <v>26399</v>
      </c>
    </row>
    <row r="22651" spans="1:8">
      <c r="A22651" t="s">
        <v>994</v>
      </c>
      <c r="B22651">
        <f>HYPERLINK("https://android.googlesource.com/platform/cts/+/c264313c6594455bc9e670390acdabe500bf22a1", "c264313c6594455bc9e670390acdabe500bf22a1")</f>
        <v>0</v>
      </c>
      <c r="C22651">
        <f>HYPERLINK("https://android.googlesource.com/platform/cts/+/8787eb060bd8b8b1d09afc8bcf7882353264a9ee", "8787eb060bd8b8b1d09afc8bcf7882353264a9ee")</f>
        <v>0</v>
      </c>
      <c r="D22651" t="s">
        <v>5059</v>
      </c>
      <c r="E22651" t="s">
        <v>6772</v>
      </c>
      <c r="F22651" t="s">
        <v>12774</v>
      </c>
      <c r="G22651" t="s">
        <v>16967</v>
      </c>
      <c r="H22651" t="s">
        <v>18829</v>
      </c>
    </row>
    <row r="22652" spans="1:8">
      <c r="H22652" t="s">
        <v>18863</v>
      </c>
    </row>
    <row r="22653" spans="1:8">
      <c r="H22653" t="s">
        <v>26400</v>
      </c>
    </row>
    <row r="22654" spans="1:8">
      <c r="H22654" t="s">
        <v>26401</v>
      </c>
    </row>
    <row r="22655" spans="1:8">
      <c r="H22655" t="s">
        <v>18893</v>
      </c>
    </row>
    <row r="22656" spans="1:8">
      <c r="H22656" t="s">
        <v>26402</v>
      </c>
    </row>
    <row r="22657" spans="1:8">
      <c r="H22657" t="s">
        <v>26403</v>
      </c>
    </row>
    <row r="22658" spans="1:8">
      <c r="H22658" t="s">
        <v>26404</v>
      </c>
    </row>
    <row r="22659" spans="1:8">
      <c r="H22659" t="s">
        <v>26405</v>
      </c>
    </row>
    <row r="22660" spans="1:8">
      <c r="H22660" t="s">
        <v>25729</v>
      </c>
    </row>
    <row r="22661" spans="1:8">
      <c r="A22661" t="s">
        <v>995</v>
      </c>
      <c r="B22661">
        <f>HYPERLINK("https://android.googlesource.com/platform/cts/+/2ea427ae912c3e37a149b5069fc6e85c240fd982", "2ea427ae912c3e37a149b5069fc6e85c240fd982")</f>
        <v>0</v>
      </c>
      <c r="C22661">
        <f>HYPERLINK("https://android.googlesource.com/platform/cts/+/281beebb3d1b5d794e71c801c27297f73c3ac902", "281beebb3d1b5d794e71c801c27297f73c3ac902")</f>
        <v>0</v>
      </c>
      <c r="D22661" t="s">
        <v>5029</v>
      </c>
      <c r="E22661" t="s">
        <v>6773</v>
      </c>
      <c r="F22661" t="s">
        <v>10604</v>
      </c>
      <c r="G22661" t="s">
        <v>15007</v>
      </c>
      <c r="H22661" t="s">
        <v>18882</v>
      </c>
    </row>
    <row r="22662" spans="1:8">
      <c r="H22662" t="s">
        <v>26406</v>
      </c>
    </row>
    <row r="22663" spans="1:8">
      <c r="H22663" t="s">
        <v>18893</v>
      </c>
    </row>
    <row r="22664" spans="1:8">
      <c r="A22664" t="s">
        <v>996</v>
      </c>
      <c r="B22664">
        <f>HYPERLINK("https://android.googlesource.com/platform/cts/+/c65fc930b0d82ed2836c3c869a8c8123299ad877", "c65fc930b0d82ed2836c3c869a8c8123299ad877")</f>
        <v>0</v>
      </c>
      <c r="C22664">
        <f>HYPERLINK("https://android.googlesource.com/platform/cts/+/0e478bc1c528df4d395557d077c4f3a7e0291105", "0e478bc1c528df4d395557d077c4f3a7e0291105")</f>
        <v>0</v>
      </c>
      <c r="D22664" t="s">
        <v>5114</v>
      </c>
      <c r="E22664" t="s">
        <v>6774</v>
      </c>
      <c r="F22664" t="s">
        <v>12783</v>
      </c>
      <c r="G22664" t="s">
        <v>16968</v>
      </c>
      <c r="H22664" t="s">
        <v>26407</v>
      </c>
    </row>
    <row r="22665" spans="1:8">
      <c r="F22665" t="s">
        <v>12784</v>
      </c>
      <c r="G22665" t="s">
        <v>16969</v>
      </c>
      <c r="H22665" t="s">
        <v>26407</v>
      </c>
    </row>
    <row r="22666" spans="1:8">
      <c r="F22666" t="s">
        <v>12785</v>
      </c>
      <c r="G22666" t="s">
        <v>16970</v>
      </c>
      <c r="H22666" t="s">
        <v>26407</v>
      </c>
    </row>
    <row r="22667" spans="1:8">
      <c r="A22667" t="s">
        <v>997</v>
      </c>
      <c r="B22667">
        <f>HYPERLINK("https://android.googlesource.com/platform/cts/+/7f12f24c7c13b55dd591a4338f375d0eca55dc3e", "7f12f24c7c13b55dd591a4338f375d0eca55dc3e")</f>
        <v>0</v>
      </c>
      <c r="C22667">
        <f>HYPERLINK("https://android.googlesource.com/platform/cts/+/dfa0578a219053951774fc5dcf91c7c19572f3f9", "dfa0578a219053951774fc5dcf91c7c19572f3f9")</f>
        <v>0</v>
      </c>
      <c r="D22667" t="s">
        <v>5131</v>
      </c>
      <c r="E22667" t="s">
        <v>6775</v>
      </c>
      <c r="F22667" t="s">
        <v>12786</v>
      </c>
      <c r="G22667" t="s">
        <v>16946</v>
      </c>
      <c r="H22667" t="s">
        <v>20244</v>
      </c>
    </row>
    <row r="22668" spans="1:8">
      <c r="A22668" t="s">
        <v>998</v>
      </c>
      <c r="B22668">
        <f>HYPERLINK("https://android.googlesource.com/platform/cts/+/fd971c7298d41260e7f3764d3d490eacc6bdecc6", "fd971c7298d41260e7f3764d3d490eacc6bdecc6")</f>
        <v>0</v>
      </c>
      <c r="C22668">
        <f>HYPERLINK("https://android.googlesource.com/platform/cts/+/7faf69ef025d577f2a7d29d63d278f4517ac5b51", "7faf69ef025d577f2a7d29d63d278f4517ac5b51")</f>
        <v>0</v>
      </c>
      <c r="D22668" t="s">
        <v>5141</v>
      </c>
      <c r="E22668" t="s">
        <v>6776</v>
      </c>
      <c r="F22668" t="s">
        <v>12203</v>
      </c>
      <c r="G22668" t="s">
        <v>16441</v>
      </c>
      <c r="H22668" t="s">
        <v>26408</v>
      </c>
    </row>
    <row r="22669" spans="1:8">
      <c r="A22669" t="s">
        <v>999</v>
      </c>
      <c r="B22669">
        <f>HYPERLINK("https://android.googlesource.com/platform/cts/+/5da72853ae42b0443c57bad37d543d5f02d40f81", "5da72853ae42b0443c57bad37d543d5f02d40f81")</f>
        <v>0</v>
      </c>
      <c r="C22669">
        <f>HYPERLINK("https://android.googlesource.com/platform/cts/+/3b62e6a7073fae56b662ba813cfe04dab6bd2c51", "3b62e6a7073fae56b662ba813cfe04dab6bd2c51")</f>
        <v>0</v>
      </c>
      <c r="D22669" t="s">
        <v>5029</v>
      </c>
      <c r="E22669" t="s">
        <v>6777</v>
      </c>
      <c r="F22669" t="s">
        <v>10645</v>
      </c>
      <c r="G22669" t="s">
        <v>15046</v>
      </c>
      <c r="H22669" t="s">
        <v>26409</v>
      </c>
    </row>
    <row r="22670" spans="1:8">
      <c r="H22670" t="s">
        <v>26410</v>
      </c>
    </row>
    <row r="22671" spans="1:8">
      <c r="A22671" t="s">
        <v>1000</v>
      </c>
      <c r="B22671">
        <f>HYPERLINK("https://android.googlesource.com/platform/cts/+/62a8f5963039a89980f1d24374f514872cc5bf43", "62a8f5963039a89980f1d24374f514872cc5bf43")</f>
        <v>0</v>
      </c>
      <c r="C22671">
        <f>HYPERLINK("https://android.googlesource.com/platform/cts/+/3b62e6a7073fae56b662ba813cfe04dab6bd2c51", "3b62e6a7073fae56b662ba813cfe04dab6bd2c51")</f>
        <v>0</v>
      </c>
      <c r="D22671" t="s">
        <v>5029</v>
      </c>
      <c r="E22671" t="s">
        <v>6778</v>
      </c>
      <c r="F22671" t="s">
        <v>10644</v>
      </c>
      <c r="G22671" t="s">
        <v>15045</v>
      </c>
      <c r="H22671" t="s">
        <v>26411</v>
      </c>
    </row>
    <row r="22672" spans="1:8">
      <c r="H22672" t="s">
        <v>26412</v>
      </c>
    </row>
    <row r="22673" spans="1:8">
      <c r="H22673" t="s">
        <v>26413</v>
      </c>
    </row>
    <row r="22674" spans="1:8">
      <c r="F22674" t="s">
        <v>10781</v>
      </c>
      <c r="G22674" t="s">
        <v>15177</v>
      </c>
      <c r="H22674" t="s">
        <v>18982</v>
      </c>
    </row>
    <row r="22675" spans="1:8">
      <c r="H22675" t="s">
        <v>18980</v>
      </c>
    </row>
    <row r="22676" spans="1:8">
      <c r="A22676" t="s">
        <v>1001</v>
      </c>
      <c r="B22676">
        <f>HYPERLINK("https://android.googlesource.com/platform/cts/+/85796c9e16247c52c124455ee00ec3428bc73ee8", "85796c9e16247c52c124455ee00ec3428bc73ee8")</f>
        <v>0</v>
      </c>
      <c r="C22676">
        <f>HYPERLINK("https://android.googlesource.com/platform/cts/+/9c37f34b9e938847b70ca93a7c59b6053731ea81", "9c37f34b9e938847b70ca93a7c59b6053731ea81")</f>
        <v>0</v>
      </c>
      <c r="D22676" t="s">
        <v>5128</v>
      </c>
      <c r="E22676" t="s">
        <v>6779</v>
      </c>
      <c r="F22676" t="s">
        <v>12747</v>
      </c>
      <c r="G22676" t="s">
        <v>16863</v>
      </c>
      <c r="H22676" t="s">
        <v>26250</v>
      </c>
    </row>
    <row r="22677" spans="1:8">
      <c r="H22677" t="s">
        <v>26251</v>
      </c>
    </row>
    <row r="22678" spans="1:8">
      <c r="H22678" t="s">
        <v>26252</v>
      </c>
    </row>
    <row r="22679" spans="1:8">
      <c r="H22679" t="s">
        <v>26253</v>
      </c>
    </row>
    <row r="22680" spans="1:8">
      <c r="A22680" t="s">
        <v>1002</v>
      </c>
      <c r="B22680">
        <f>HYPERLINK("https://android.googlesource.com/platform/cts/+/85e84e10a7e43781308daaef20ddd23aa1a45402", "85e84e10a7e43781308daaef20ddd23aa1a45402")</f>
        <v>0</v>
      </c>
      <c r="C22680">
        <f>HYPERLINK("https://android.googlesource.com/platform/cts/+/ab40eeae6b40445a4293cd385b5b7e4815b281b2", "ab40eeae6b40445a4293cd385b5b7e4815b281b2")</f>
        <v>0</v>
      </c>
      <c r="D22680" t="s">
        <v>5142</v>
      </c>
      <c r="E22680" t="s">
        <v>6780</v>
      </c>
      <c r="F22680" t="s">
        <v>12787</v>
      </c>
      <c r="G22680" t="s">
        <v>16971</v>
      </c>
      <c r="H22680" t="s">
        <v>20244</v>
      </c>
    </row>
    <row r="22681" spans="1:8">
      <c r="H22681" t="s">
        <v>18829</v>
      </c>
    </row>
    <row r="22682" spans="1:8">
      <c r="H22682" t="s">
        <v>18863</v>
      </c>
    </row>
    <row r="22683" spans="1:8">
      <c r="A22683" t="s">
        <v>1003</v>
      </c>
      <c r="B22683">
        <f>HYPERLINK("https://android.googlesource.com/platform/cts/+/f4123ebeae35f72e006c8695ed891787a5bccf79", "f4123ebeae35f72e006c8695ed891787a5bccf79")</f>
        <v>0</v>
      </c>
      <c r="C22683">
        <f>HYPERLINK("https://android.googlesource.com/platform/cts/+/9bb7bd4725dd8253745486b6a81cf8afd25c2f83", "9bb7bd4725dd8253745486b6a81cf8afd25c2f83")</f>
        <v>0</v>
      </c>
      <c r="D22683" t="s">
        <v>5143</v>
      </c>
      <c r="E22683" t="s">
        <v>6781</v>
      </c>
      <c r="F22683" t="s">
        <v>12788</v>
      </c>
      <c r="G22683" t="s">
        <v>15076</v>
      </c>
      <c r="H22683" t="s">
        <v>26414</v>
      </c>
    </row>
    <row r="22684" spans="1:8">
      <c r="H22684" t="s">
        <v>26415</v>
      </c>
    </row>
    <row r="22685" spans="1:8">
      <c r="H22685" t="s">
        <v>26416</v>
      </c>
    </row>
    <row r="22686" spans="1:8">
      <c r="H22686" t="s">
        <v>26417</v>
      </c>
    </row>
    <row r="22687" spans="1:8">
      <c r="H22687" t="s">
        <v>26418</v>
      </c>
    </row>
    <row r="22688" spans="1:8">
      <c r="A22688" t="s">
        <v>1004</v>
      </c>
      <c r="B22688">
        <f>HYPERLINK("https://android.googlesource.com/platform/cts/+/7ac81e5517486a0b57a0882e5fbbc30d26c5cd34", "7ac81e5517486a0b57a0882e5fbbc30d26c5cd34")</f>
        <v>0</v>
      </c>
      <c r="C22688">
        <f>HYPERLINK("https://android.googlesource.com/platform/cts/+/a8c33dfd623fc76e9f568e91f8d39549aae95222", "a8c33dfd623fc76e9f568e91f8d39549aae95222")</f>
        <v>0</v>
      </c>
      <c r="D22688" t="s">
        <v>5144</v>
      </c>
      <c r="E22688" t="s">
        <v>6782</v>
      </c>
      <c r="F22688" t="s">
        <v>12789</v>
      </c>
      <c r="G22688" t="s">
        <v>16972</v>
      </c>
      <c r="H22688" t="s">
        <v>26419</v>
      </c>
    </row>
    <row r="22689" spans="1:8">
      <c r="F22689" t="s">
        <v>12790</v>
      </c>
      <c r="G22689" t="s">
        <v>16973</v>
      </c>
      <c r="H22689" t="s">
        <v>19183</v>
      </c>
    </row>
    <row r="22690" spans="1:8">
      <c r="H22690" t="s">
        <v>19184</v>
      </c>
    </row>
    <row r="22691" spans="1:8">
      <c r="F22691" t="s">
        <v>12791</v>
      </c>
      <c r="G22691" t="s">
        <v>16974</v>
      </c>
      <c r="H22691" t="s">
        <v>26420</v>
      </c>
    </row>
    <row r="22692" spans="1:8">
      <c r="H22692" t="s">
        <v>26421</v>
      </c>
    </row>
    <row r="22693" spans="1:8">
      <c r="A22693" t="s">
        <v>1005</v>
      </c>
      <c r="B22693">
        <f>HYPERLINK("https://android.googlesource.com/platform/cts/+/24a93beaf560304efdf54cd5c9f70b3f3793b765", "24a93beaf560304efdf54cd5c9f70b3f3793b765")</f>
        <v>0</v>
      </c>
      <c r="C22693">
        <f>HYPERLINK("https://android.googlesource.com/platform/cts/+/b0a710c741649aed4d243a1621f5ff42577b5f10", "b0a710c741649aed4d243a1621f5ff42577b5f10")</f>
        <v>0</v>
      </c>
      <c r="D22693" t="s">
        <v>5143</v>
      </c>
      <c r="E22693" t="s">
        <v>6783</v>
      </c>
      <c r="F22693" t="s">
        <v>12792</v>
      </c>
      <c r="G22693" t="s">
        <v>16975</v>
      </c>
      <c r="H22693" t="s">
        <v>18856</v>
      </c>
    </row>
    <row r="22694" spans="1:8">
      <c r="H22694" t="s">
        <v>26122</v>
      </c>
    </row>
    <row r="22695" spans="1:8">
      <c r="H22695" t="s">
        <v>26120</v>
      </c>
    </row>
    <row r="22696" spans="1:8">
      <c r="H22696" t="s">
        <v>26422</v>
      </c>
    </row>
    <row r="22697" spans="1:8">
      <c r="H22697" t="s">
        <v>26423</v>
      </c>
    </row>
    <row r="22698" spans="1:8">
      <c r="A22698" t="s">
        <v>1006</v>
      </c>
      <c r="B22698">
        <f>HYPERLINK("https://android.googlesource.com/platform/cts/+/ffe206d0fa6f5aab66da6af8d74714b2ea6fbca8", "ffe206d0fa6f5aab66da6af8d74714b2ea6fbca8")</f>
        <v>0</v>
      </c>
      <c r="C22698">
        <f>HYPERLINK("https://android.googlesource.com/platform/cts/+/79d03fac83c57fb659ba628a6375a8a8c3b28f07", "79d03fac83c57fb659ba628a6375a8a8c3b28f07")</f>
        <v>0</v>
      </c>
      <c r="D22698" t="s">
        <v>5029</v>
      </c>
      <c r="E22698" t="s">
        <v>6784</v>
      </c>
      <c r="F22698" t="s">
        <v>12793</v>
      </c>
      <c r="G22698" t="s">
        <v>16976</v>
      </c>
      <c r="H22698" t="s">
        <v>26424</v>
      </c>
    </row>
    <row r="22699" spans="1:8">
      <c r="F22699" t="s">
        <v>12794</v>
      </c>
      <c r="G22699" t="s">
        <v>16977</v>
      </c>
      <c r="H22699" t="s">
        <v>26424</v>
      </c>
    </row>
    <row r="22700" spans="1:8">
      <c r="A22700" t="s">
        <v>1007</v>
      </c>
      <c r="B22700">
        <f>HYPERLINK("https://android.googlesource.com/platform/cts/+/dcb9d13a2f91974edd8f7d8d105d795c5029ef0e", "dcb9d13a2f91974edd8f7d8d105d795c5029ef0e")</f>
        <v>0</v>
      </c>
      <c r="C22700">
        <f>HYPERLINK("https://android.googlesource.com/platform/cts/+/8cd6a9187ed3f9689f9e71d15df8a232c09721c6", "8cd6a9187ed3f9689f9e71d15df8a232c09721c6")</f>
        <v>0</v>
      </c>
      <c r="D22700" t="s">
        <v>5143</v>
      </c>
      <c r="E22700" t="s">
        <v>6785</v>
      </c>
      <c r="F22700" t="s">
        <v>12795</v>
      </c>
      <c r="G22700" t="s">
        <v>15113</v>
      </c>
      <c r="H22700" t="s">
        <v>26425</v>
      </c>
    </row>
    <row r="22701" spans="1:8">
      <c r="A22701" t="s">
        <v>1008</v>
      </c>
      <c r="B22701">
        <f>HYPERLINK("https://android.googlesource.com/platform/cts/+/2486f332e5c1eb702e324d4d38d80c9a83f2f8d5", "2486f332e5c1eb702e324d4d38d80c9a83f2f8d5")</f>
        <v>0</v>
      </c>
      <c r="C22701">
        <f>HYPERLINK("https://android.googlesource.com/platform/cts/+/d35ee758e9b6090d643f5cb85daabfabf56775fd", "d35ee758e9b6090d643f5cb85daabfabf56775fd")</f>
        <v>0</v>
      </c>
      <c r="D22701" t="s">
        <v>4971</v>
      </c>
      <c r="E22701" t="s">
        <v>6786</v>
      </c>
      <c r="F22701" t="s">
        <v>12796</v>
      </c>
      <c r="G22701" t="s">
        <v>16978</v>
      </c>
      <c r="H22701" t="s">
        <v>26426</v>
      </c>
    </row>
    <row r="22702" spans="1:8">
      <c r="F22702" t="s">
        <v>12797</v>
      </c>
      <c r="G22702" t="s">
        <v>16979</v>
      </c>
      <c r="H22702" t="s">
        <v>26427</v>
      </c>
    </row>
    <row r="22703" spans="1:8">
      <c r="A22703" t="s">
        <v>1009</v>
      </c>
      <c r="B22703">
        <f>HYPERLINK("https://android.googlesource.com/platform/cts/+/dc7920db557edae6f3ce67918995d2216efb6942", "dc7920db557edae6f3ce67918995d2216efb6942")</f>
        <v>0</v>
      </c>
      <c r="C22703">
        <f>HYPERLINK("https://android.googlesource.com/platform/cts/+/ceceb252dd6a5102144373bd5aebef6fcb962b20", "ceceb252dd6a5102144373bd5aebef6fcb962b20")</f>
        <v>0</v>
      </c>
      <c r="D22703" t="s">
        <v>5141</v>
      </c>
      <c r="E22703" t="s">
        <v>6787</v>
      </c>
      <c r="F22703" t="s">
        <v>12798</v>
      </c>
      <c r="G22703" t="s">
        <v>16980</v>
      </c>
      <c r="H22703" t="s">
        <v>26428</v>
      </c>
    </row>
    <row r="22704" spans="1:8">
      <c r="H22704" t="s">
        <v>26429</v>
      </c>
    </row>
    <row r="22705" spans="1:8">
      <c r="F22705" t="s">
        <v>12799</v>
      </c>
      <c r="G22705" t="s">
        <v>16981</v>
      </c>
      <c r="H22705" t="s">
        <v>26430</v>
      </c>
    </row>
    <row r="22706" spans="1:8">
      <c r="H22706" t="s">
        <v>26429</v>
      </c>
    </row>
    <row r="22707" spans="1:8">
      <c r="A22707" t="s">
        <v>1010</v>
      </c>
      <c r="B22707">
        <f>HYPERLINK("https://android.googlesource.com/platform/cts/+/88e3b22925216a9916d38e9ec67a2911699fd207", "88e3b22925216a9916d38e9ec67a2911699fd207")</f>
        <v>0</v>
      </c>
      <c r="C22707">
        <f>HYPERLINK("https://android.googlesource.com/platform/cts/+/ceceb252dd6a5102144373bd5aebef6fcb962b20", "ceceb252dd6a5102144373bd5aebef6fcb962b20")</f>
        <v>0</v>
      </c>
      <c r="D22707" t="s">
        <v>5145</v>
      </c>
      <c r="E22707" t="s">
        <v>6788</v>
      </c>
      <c r="F22707" t="s">
        <v>12800</v>
      </c>
      <c r="G22707" t="s">
        <v>16982</v>
      </c>
      <c r="H22707" t="s">
        <v>26431</v>
      </c>
    </row>
    <row r="22708" spans="1:8">
      <c r="A22708" t="s">
        <v>1011</v>
      </c>
      <c r="B22708">
        <f>HYPERLINK("https://android.googlesource.com/platform/cts/+/db006ec1c828f532a84c5015e45dd9313324bc80", "db006ec1c828f532a84c5015e45dd9313324bc80")</f>
        <v>0</v>
      </c>
      <c r="C22708">
        <f>HYPERLINK("https://android.googlesource.com/platform/cts/+/b12e1a10acae150e4d9c4fe8083fe2c069a0f96d", "b12e1a10acae150e4d9c4fe8083fe2c069a0f96d")</f>
        <v>0</v>
      </c>
      <c r="D22708" t="s">
        <v>5029</v>
      </c>
      <c r="E22708" t="s">
        <v>6789</v>
      </c>
      <c r="F22708" t="s">
        <v>12801</v>
      </c>
      <c r="G22708" t="s">
        <v>16983</v>
      </c>
      <c r="H22708" t="s">
        <v>26432</v>
      </c>
    </row>
    <row r="22709" spans="1:8">
      <c r="F22709" t="s">
        <v>12802</v>
      </c>
      <c r="G22709" t="s">
        <v>16984</v>
      </c>
      <c r="H22709" t="s">
        <v>26433</v>
      </c>
    </row>
    <row r="22710" spans="1:8">
      <c r="A22710" t="s">
        <v>1012</v>
      </c>
      <c r="B22710">
        <f>HYPERLINK("https://android.googlesource.com/platform/cts/+/5dc81d40436e0fb9ede9be31083f86277fc8e44c", "5dc81d40436e0fb9ede9be31083f86277fc8e44c")</f>
        <v>0</v>
      </c>
      <c r="C22710">
        <f>HYPERLINK("https://android.googlesource.com/platform/cts/+/ac1382972eee3fae451f0e2b455a0ca2afe851af", "ac1382972eee3fae451f0e2b455a0ca2afe851af")</f>
        <v>0</v>
      </c>
      <c r="D22710" t="s">
        <v>5143</v>
      </c>
      <c r="E22710" t="s">
        <v>6790</v>
      </c>
      <c r="F22710" t="s">
        <v>12788</v>
      </c>
      <c r="G22710" t="s">
        <v>15076</v>
      </c>
      <c r="H22710" t="s">
        <v>26434</v>
      </c>
    </row>
    <row r="22711" spans="1:8">
      <c r="H22711" t="s">
        <v>26435</v>
      </c>
    </row>
    <row r="22712" spans="1:8">
      <c r="H22712" t="s">
        <v>26436</v>
      </c>
    </row>
    <row r="22713" spans="1:8">
      <c r="H22713" t="s">
        <v>26437</v>
      </c>
    </row>
    <row r="22714" spans="1:8">
      <c r="A22714" t="s">
        <v>1013</v>
      </c>
      <c r="B22714">
        <f>HYPERLINK("https://android.googlesource.com/platform/cts/+/adca35a2393600069563826b6f7fc23fe2be929d", "adca35a2393600069563826b6f7fc23fe2be929d")</f>
        <v>0</v>
      </c>
      <c r="C22714">
        <f>HYPERLINK("https://android.googlesource.com/platform/cts/+/427501f4c2964b0b6e1d84a2ccf450830c3b8d9a", "427501f4c2964b0b6e1d84a2ccf450830c3b8d9a")</f>
        <v>0</v>
      </c>
      <c r="D22714" t="s">
        <v>5143</v>
      </c>
      <c r="E22714" t="s">
        <v>6791</v>
      </c>
      <c r="F22714" t="s">
        <v>12734</v>
      </c>
      <c r="G22714" t="s">
        <v>16927</v>
      </c>
      <c r="H22714" t="s">
        <v>26438</v>
      </c>
    </row>
    <row r="22715" spans="1:8">
      <c r="A22715" t="s">
        <v>1014</v>
      </c>
      <c r="B22715">
        <f>HYPERLINK("https://android.googlesource.com/platform/cts/+/5bd64517bf00af002c4c5febb6cdce7fb62a5b16", "5bd64517bf00af002c4c5febb6cdce7fb62a5b16")</f>
        <v>0</v>
      </c>
      <c r="C22715">
        <f>HYPERLINK("https://android.googlesource.com/platform/cts/+/3ccbf12472866c72a393ea42838213c292db37d1", "3ccbf12472866c72a393ea42838213c292db37d1")</f>
        <v>0</v>
      </c>
      <c r="D22715" t="s">
        <v>5146</v>
      </c>
      <c r="E22715" t="s">
        <v>6792</v>
      </c>
      <c r="F22715" t="s">
        <v>12803</v>
      </c>
      <c r="G22715" t="s">
        <v>16985</v>
      </c>
      <c r="H22715" t="s">
        <v>26439</v>
      </c>
    </row>
    <row r="22716" spans="1:8">
      <c r="H22716" t="s">
        <v>26440</v>
      </c>
    </row>
    <row r="22717" spans="1:8">
      <c r="H22717" t="s">
        <v>26441</v>
      </c>
    </row>
    <row r="22718" spans="1:8">
      <c r="H22718" t="s">
        <v>26442</v>
      </c>
    </row>
    <row r="22719" spans="1:8">
      <c r="H22719" t="s">
        <v>26443</v>
      </c>
    </row>
    <row r="22720" spans="1:8">
      <c r="H22720" t="s">
        <v>26444</v>
      </c>
    </row>
    <row r="22721" spans="1:8">
      <c r="H22721" t="s">
        <v>26445</v>
      </c>
    </row>
    <row r="22722" spans="1:8">
      <c r="H22722" t="s">
        <v>26446</v>
      </c>
    </row>
    <row r="22723" spans="1:8">
      <c r="H22723" t="s">
        <v>26447</v>
      </c>
    </row>
    <row r="22724" spans="1:8">
      <c r="H22724" t="s">
        <v>26448</v>
      </c>
    </row>
    <row r="22725" spans="1:8">
      <c r="H22725" t="s">
        <v>26449</v>
      </c>
    </row>
    <row r="22726" spans="1:8">
      <c r="H22726" t="s">
        <v>26450</v>
      </c>
    </row>
    <row r="22727" spans="1:8">
      <c r="H22727" t="s">
        <v>26451</v>
      </c>
    </row>
    <row r="22728" spans="1:8">
      <c r="H22728" t="s">
        <v>26452</v>
      </c>
    </row>
    <row r="22729" spans="1:8">
      <c r="H22729" t="s">
        <v>26453</v>
      </c>
    </row>
    <row r="22730" spans="1:8">
      <c r="H22730" t="s">
        <v>26454</v>
      </c>
    </row>
    <row r="22731" spans="1:8">
      <c r="H22731" t="s">
        <v>26455</v>
      </c>
    </row>
    <row r="22732" spans="1:8">
      <c r="H22732" t="s">
        <v>26456</v>
      </c>
    </row>
    <row r="22733" spans="1:8">
      <c r="A22733" t="s">
        <v>1015</v>
      </c>
      <c r="B22733">
        <f>HYPERLINK("https://android.googlesource.com/platform/cts/+/7b6cd266cc67dc7b6972c9fd1e3586071648bcdb", "7b6cd266cc67dc7b6972c9fd1e3586071648bcdb")</f>
        <v>0</v>
      </c>
      <c r="C22733">
        <f>HYPERLINK("https://android.googlesource.com/platform/cts/+/e38e6229bfe5502698b5d51f5beff3a1b179b4e8", "e38e6229bfe5502698b5d51f5beff3a1b179b4e8")</f>
        <v>0</v>
      </c>
      <c r="D22733" t="s">
        <v>5147</v>
      </c>
      <c r="E22733" t="s">
        <v>6793</v>
      </c>
      <c r="F22733" t="s">
        <v>12804</v>
      </c>
      <c r="G22733" t="s">
        <v>16986</v>
      </c>
      <c r="H22733" t="s">
        <v>26457</v>
      </c>
    </row>
    <row r="22734" spans="1:8">
      <c r="A22734" t="s">
        <v>1016</v>
      </c>
      <c r="B22734">
        <f>HYPERLINK("https://android.googlesource.com/platform/cts/+/204c5d8b265fe52bd714697bfd3fc4a83bf85333", "204c5d8b265fe52bd714697bfd3fc4a83bf85333")</f>
        <v>0</v>
      </c>
      <c r="C22734">
        <f>HYPERLINK("https://android.googlesource.com/platform/cts/+/c789147d7dbc233829eced7ea79a02a5df544e19", "c789147d7dbc233829eced7ea79a02a5df544e19")</f>
        <v>0</v>
      </c>
      <c r="D22734" t="s">
        <v>5118</v>
      </c>
      <c r="E22734" t="s">
        <v>6794</v>
      </c>
      <c r="F22734" t="s">
        <v>10744</v>
      </c>
      <c r="G22734" t="s">
        <v>15143</v>
      </c>
      <c r="H22734" t="s">
        <v>26458</v>
      </c>
    </row>
    <row r="22735" spans="1:8">
      <c r="A22735" t="s">
        <v>1017</v>
      </c>
      <c r="B22735">
        <f>HYPERLINK("https://android.googlesource.com/platform/cts/+/eceb394dd7385ab944b1e775b90a7dedafe0377a", "eceb394dd7385ab944b1e775b90a7dedafe0377a")</f>
        <v>0</v>
      </c>
      <c r="C22735">
        <f>HYPERLINK("https://android.googlesource.com/platform/cts/+/0f12ecebb5b1b8cf2969ded238bb3e3b5c63976e", "0f12ecebb5b1b8cf2969ded238bb3e3b5c63976e")</f>
        <v>0</v>
      </c>
      <c r="D22735" t="s">
        <v>5108</v>
      </c>
      <c r="E22735" t="s">
        <v>6795</v>
      </c>
      <c r="F22735" t="s">
        <v>12805</v>
      </c>
      <c r="G22735" t="s">
        <v>16987</v>
      </c>
      <c r="H22735" t="s">
        <v>26459</v>
      </c>
    </row>
    <row r="22736" spans="1:8">
      <c r="H22736" t="s">
        <v>26460</v>
      </c>
    </row>
    <row r="22737" spans="1:8">
      <c r="H22737" t="s">
        <v>26461</v>
      </c>
    </row>
    <row r="22738" spans="1:8">
      <c r="H22738" t="s">
        <v>26462</v>
      </c>
    </row>
    <row r="22739" spans="1:8">
      <c r="F22739" t="s">
        <v>12629</v>
      </c>
      <c r="G22739" t="s">
        <v>16838</v>
      </c>
      <c r="H22739" t="s">
        <v>26463</v>
      </c>
    </row>
    <row r="22740" spans="1:8">
      <c r="H22740" t="s">
        <v>26464</v>
      </c>
    </row>
    <row r="22741" spans="1:8">
      <c r="F22741" t="s">
        <v>12768</v>
      </c>
      <c r="G22741" t="s">
        <v>15710</v>
      </c>
      <c r="H22741" t="s">
        <v>26465</v>
      </c>
    </row>
    <row r="22742" spans="1:8">
      <c r="H22742" t="s">
        <v>26466</v>
      </c>
    </row>
    <row r="22743" spans="1:8">
      <c r="H22743" t="s">
        <v>26467</v>
      </c>
    </row>
    <row r="22744" spans="1:8">
      <c r="H22744" t="s">
        <v>26468</v>
      </c>
    </row>
    <row r="22745" spans="1:8">
      <c r="A22745" t="s">
        <v>1018</v>
      </c>
      <c r="B22745">
        <f>HYPERLINK("https://android.googlesource.com/platform/cts/+/bebcbf909d03f2975cd01fa28e9b5ea483a892c1", "bebcbf909d03f2975cd01fa28e9b5ea483a892c1")</f>
        <v>0</v>
      </c>
      <c r="C22745">
        <f>HYPERLINK("https://android.googlesource.com/platform/cts/+/95e713f5bae4829b1b92ee2dd0c8db42c056a5a6", "95e713f5bae4829b1b92ee2dd0c8db42c056a5a6")</f>
        <v>0</v>
      </c>
      <c r="D22745" t="s">
        <v>5026</v>
      </c>
      <c r="E22745" t="s">
        <v>6796</v>
      </c>
      <c r="F22745" t="s">
        <v>12327</v>
      </c>
      <c r="G22745" t="s">
        <v>16557</v>
      </c>
      <c r="H22745" t="s">
        <v>22133</v>
      </c>
    </row>
    <row r="22746" spans="1:8">
      <c r="A22746" t="s">
        <v>1019</v>
      </c>
      <c r="B22746">
        <f>HYPERLINK("https://android.googlesource.com/platform/cts/+/c53695b1358dd6807fe2d7398b298ebd90620e27", "c53695b1358dd6807fe2d7398b298ebd90620e27")</f>
        <v>0</v>
      </c>
      <c r="C22746">
        <f>HYPERLINK("https://android.googlesource.com/platform/cts/+/6b9f290d20b320dcd4ece0fdf24428357cd371c6", "6b9f290d20b320dcd4ece0fdf24428357cd371c6")</f>
        <v>0</v>
      </c>
      <c r="D22746" t="s">
        <v>5148</v>
      </c>
      <c r="E22746" t="s">
        <v>6797</v>
      </c>
      <c r="F22746" t="s">
        <v>12806</v>
      </c>
      <c r="G22746" t="s">
        <v>15054</v>
      </c>
      <c r="H22746" t="s">
        <v>19016</v>
      </c>
    </row>
    <row r="22747" spans="1:8">
      <c r="A22747" t="s">
        <v>1020</v>
      </c>
      <c r="B22747">
        <f>HYPERLINK("https://android.googlesource.com/platform/cts/+/b94e0ec10073287283b579424cc2a2de80295984", "b94e0ec10073287283b579424cc2a2de80295984")</f>
        <v>0</v>
      </c>
      <c r="C22747">
        <f>HYPERLINK("https://android.googlesource.com/platform/cts/+/ceceb252dd6a5102144373bd5aebef6fcb962b20", "ceceb252dd6a5102144373bd5aebef6fcb962b20")</f>
        <v>0</v>
      </c>
      <c r="D22747" t="s">
        <v>5145</v>
      </c>
      <c r="E22747" t="s">
        <v>6798</v>
      </c>
      <c r="F22747" t="s">
        <v>12800</v>
      </c>
      <c r="G22747" t="s">
        <v>16982</v>
      </c>
      <c r="H22747" t="s">
        <v>26431</v>
      </c>
    </row>
    <row r="22748" spans="1:8">
      <c r="A22748" t="s">
        <v>1021</v>
      </c>
      <c r="B22748">
        <f>HYPERLINK("https://android.googlesource.com/platform/cts/+/9ab6d91d753a810ef631a7270b85879a4700249b", "9ab6d91d753a810ef631a7270b85879a4700249b")</f>
        <v>0</v>
      </c>
      <c r="C22748">
        <f>HYPERLINK("https://android.googlesource.com/platform/cts/+/a0bc424cb4bbe4924a7e33fbbc27f6c4cc36ca68", "a0bc424cb4bbe4924a7e33fbbc27f6c4cc36ca68")</f>
        <v>0</v>
      </c>
      <c r="D22748" t="s">
        <v>5149</v>
      </c>
      <c r="E22748" t="s">
        <v>6799</v>
      </c>
      <c r="F22748" t="s">
        <v>12807</v>
      </c>
      <c r="G22748" t="s">
        <v>16988</v>
      </c>
      <c r="H22748" t="s">
        <v>26469</v>
      </c>
    </row>
    <row r="22749" spans="1:8">
      <c r="H22749" t="s">
        <v>26470</v>
      </c>
    </row>
    <row r="22750" spans="1:8">
      <c r="H22750" t="s">
        <v>26471</v>
      </c>
    </row>
    <row r="22751" spans="1:8">
      <c r="H22751" t="s">
        <v>26472</v>
      </c>
    </row>
    <row r="22752" spans="1:8">
      <c r="H22752" t="s">
        <v>26473</v>
      </c>
    </row>
    <row r="22753" spans="1:8">
      <c r="H22753" t="s">
        <v>26474</v>
      </c>
    </row>
    <row r="22754" spans="1:8">
      <c r="H22754" t="s">
        <v>26472</v>
      </c>
    </row>
    <row r="22755" spans="1:8">
      <c r="H22755" t="s">
        <v>26475</v>
      </c>
    </row>
    <row r="22756" spans="1:8">
      <c r="H22756" t="s">
        <v>26474</v>
      </c>
    </row>
    <row r="22757" spans="1:8">
      <c r="H22757" t="s">
        <v>26476</v>
      </c>
    </row>
    <row r="22758" spans="1:8">
      <c r="A22758" t="s">
        <v>1022</v>
      </c>
      <c r="B22758">
        <f>HYPERLINK("https://android.googlesource.com/platform/cts/+/2330f4564c94283c21eaf5461baa987cc68556c8", "2330f4564c94283c21eaf5461baa987cc68556c8")</f>
        <v>0</v>
      </c>
      <c r="C22758">
        <f>HYPERLINK("https://android.googlesource.com/platform/cts/+/75b1984a8a84243bc3b3aa2ccdf563fa33200af2", "75b1984a8a84243bc3b3aa2ccdf563fa33200af2")</f>
        <v>0</v>
      </c>
      <c r="D22758" t="s">
        <v>5118</v>
      </c>
      <c r="E22758" t="s">
        <v>6800</v>
      </c>
      <c r="F22758" t="s">
        <v>10744</v>
      </c>
      <c r="G22758" t="s">
        <v>15143</v>
      </c>
      <c r="H22758" t="s">
        <v>26477</v>
      </c>
    </row>
    <row r="22759" spans="1:8">
      <c r="H22759" t="s">
        <v>26478</v>
      </c>
    </row>
    <row r="22760" spans="1:8">
      <c r="H22760" t="s">
        <v>26479</v>
      </c>
    </row>
    <row r="22761" spans="1:8">
      <c r="A22761" t="s">
        <v>1023</v>
      </c>
      <c r="B22761">
        <f>HYPERLINK("https://android.googlesource.com/platform/cts/+/f99c78fa6a4b5f2304bb7eff93c0572153e17420", "f99c78fa6a4b5f2304bb7eff93c0572153e17420")</f>
        <v>0</v>
      </c>
      <c r="C22761">
        <f>HYPERLINK("https://android.googlesource.com/platform/cts/+/127ad892d1eb789b5ed6065b6b68f45259686777", "127ad892d1eb789b5ed6065b6b68f45259686777")</f>
        <v>0</v>
      </c>
      <c r="D22761" t="s">
        <v>4981</v>
      </c>
      <c r="E22761" t="s">
        <v>6801</v>
      </c>
      <c r="F22761" t="s">
        <v>12808</v>
      </c>
      <c r="G22761" t="s">
        <v>16989</v>
      </c>
      <c r="H22761" t="s">
        <v>26480</v>
      </c>
    </row>
    <row r="22762" spans="1:8">
      <c r="H22762" t="s">
        <v>26481</v>
      </c>
    </row>
    <row r="22763" spans="1:8">
      <c r="H22763" t="s">
        <v>26482</v>
      </c>
    </row>
    <row r="22764" spans="1:8">
      <c r="A22764" t="s">
        <v>1024</v>
      </c>
      <c r="B22764">
        <f>HYPERLINK("https://android.googlesource.com/platform/cts/+/9c554114f599ad3389a15a3e110d4b025bd2c176", "9c554114f599ad3389a15a3e110d4b025bd2c176")</f>
        <v>0</v>
      </c>
      <c r="C22764">
        <f>HYPERLINK("https://android.googlesource.com/platform/cts/+/698fa4179f45c705a790e91ceaf5a7b01966e67d", "698fa4179f45c705a790e91ceaf5a7b01966e67d")</f>
        <v>0</v>
      </c>
      <c r="D22764" t="s">
        <v>5057</v>
      </c>
      <c r="E22764" t="s">
        <v>6802</v>
      </c>
      <c r="F22764" t="s">
        <v>12412</v>
      </c>
      <c r="G22764" t="s">
        <v>16634</v>
      </c>
      <c r="H22764" t="s">
        <v>26483</v>
      </c>
    </row>
    <row r="22765" spans="1:8">
      <c r="A22765" t="s">
        <v>1025</v>
      </c>
      <c r="B22765">
        <f>HYPERLINK("https://android.googlesource.com/platform/cts/+/2a855feb22706cf2e757938e19bd9cf9f4c749c2", "2a855feb22706cf2e757938e19bd9cf9f4c749c2")</f>
        <v>0</v>
      </c>
      <c r="C22765">
        <f>HYPERLINK("https://android.googlesource.com/platform/cts/+/2cae0e6925eb37e78c3697b0b8fa9a3c0d30992b", "2cae0e6925eb37e78c3697b0b8fa9a3c0d30992b")</f>
        <v>0</v>
      </c>
      <c r="D22765" t="s">
        <v>5134</v>
      </c>
      <c r="E22765" t="s">
        <v>6803</v>
      </c>
      <c r="F22765" t="s">
        <v>12809</v>
      </c>
      <c r="G22765" t="s">
        <v>16990</v>
      </c>
      <c r="H22765" t="s">
        <v>25497</v>
      </c>
    </row>
    <row r="22766" spans="1:8">
      <c r="H22766" t="s">
        <v>20244</v>
      </c>
    </row>
    <row r="22767" spans="1:8">
      <c r="H22767" t="s">
        <v>26484</v>
      </c>
    </row>
    <row r="22768" spans="1:8">
      <c r="H22768" t="s">
        <v>26485</v>
      </c>
    </row>
    <row r="22769" spans="6:8">
      <c r="H22769" t="s">
        <v>26486</v>
      </c>
    </row>
    <row r="22770" spans="6:8">
      <c r="H22770" t="s">
        <v>26487</v>
      </c>
    </row>
    <row r="22771" spans="6:8">
      <c r="H22771" t="s">
        <v>26488</v>
      </c>
    </row>
    <row r="22772" spans="6:8">
      <c r="H22772" t="s">
        <v>26489</v>
      </c>
    </row>
    <row r="22773" spans="6:8">
      <c r="H22773" t="s">
        <v>26490</v>
      </c>
    </row>
    <row r="22774" spans="6:8">
      <c r="H22774" t="s">
        <v>22590</v>
      </c>
    </row>
    <row r="22775" spans="6:8">
      <c r="F22775" t="s">
        <v>12771</v>
      </c>
      <c r="G22775" t="s">
        <v>16958</v>
      </c>
      <c r="H22775" t="s">
        <v>18829</v>
      </c>
    </row>
    <row r="22776" spans="6:8">
      <c r="H22776" t="s">
        <v>18863</v>
      </c>
    </row>
    <row r="22777" spans="6:8">
      <c r="H22777" t="s">
        <v>26484</v>
      </c>
    </row>
    <row r="22778" spans="6:8">
      <c r="H22778" t="s">
        <v>26485</v>
      </c>
    </row>
    <row r="22779" spans="6:8">
      <c r="H22779" t="s">
        <v>26486</v>
      </c>
    </row>
    <row r="22780" spans="6:8">
      <c r="H22780" t="s">
        <v>26487</v>
      </c>
    </row>
    <row r="22781" spans="6:8">
      <c r="H22781" t="s">
        <v>26488</v>
      </c>
    </row>
    <row r="22782" spans="6:8">
      <c r="H22782" t="s">
        <v>26489</v>
      </c>
    </row>
    <row r="22783" spans="6:8">
      <c r="H22783" t="s">
        <v>26491</v>
      </c>
    </row>
    <row r="22784" spans="6:8">
      <c r="H22784" t="s">
        <v>26492</v>
      </c>
    </row>
    <row r="22785" spans="1:8">
      <c r="H22785" t="s">
        <v>26493</v>
      </c>
    </row>
    <row r="22786" spans="1:8">
      <c r="H22786" t="s">
        <v>26494</v>
      </c>
    </row>
    <row r="22787" spans="1:8">
      <c r="H22787" t="s">
        <v>26493</v>
      </c>
    </row>
    <row r="22788" spans="1:8">
      <c r="H22788" t="s">
        <v>26495</v>
      </c>
    </row>
    <row r="22789" spans="1:8">
      <c r="H22789" t="s">
        <v>26496</v>
      </c>
    </row>
    <row r="22790" spans="1:8">
      <c r="H22790" t="s">
        <v>26497</v>
      </c>
    </row>
    <row r="22791" spans="1:8">
      <c r="H22791" t="s">
        <v>26498</v>
      </c>
    </row>
    <row r="22792" spans="1:8">
      <c r="H22792" t="s">
        <v>26499</v>
      </c>
    </row>
    <row r="22793" spans="1:8">
      <c r="H22793" t="s">
        <v>26500</v>
      </c>
    </row>
    <row r="22794" spans="1:8">
      <c r="H22794" t="s">
        <v>26501</v>
      </c>
    </row>
    <row r="22795" spans="1:8">
      <c r="H22795" t="s">
        <v>26502</v>
      </c>
    </row>
    <row r="22796" spans="1:8">
      <c r="H22796" t="s">
        <v>26503</v>
      </c>
    </row>
    <row r="22797" spans="1:8">
      <c r="H22797" t="s">
        <v>26504</v>
      </c>
    </row>
    <row r="22798" spans="1:8">
      <c r="H22798" t="s">
        <v>26505</v>
      </c>
    </row>
    <row r="22799" spans="1:8">
      <c r="H22799" t="s">
        <v>26506</v>
      </c>
    </row>
    <row r="22800" spans="1:8">
      <c r="A22800" t="s">
        <v>1026</v>
      </c>
      <c r="B22800">
        <f>HYPERLINK("https://android.googlesource.com/platform/cts/+/54a180c2a8c899ac9c3e89d22279c3c196aac60b", "54a180c2a8c899ac9c3e89d22279c3c196aac60b")</f>
        <v>0</v>
      </c>
      <c r="C22800">
        <f>HYPERLINK("https://android.googlesource.com/platform/cts/+/d0d4955c581c7a3f98661f215d2fd6f1b90f1a58", "d0d4955c581c7a3f98661f215d2fd6f1b90f1a58")</f>
        <v>0</v>
      </c>
      <c r="D22800" t="s">
        <v>5150</v>
      </c>
      <c r="E22800" t="s">
        <v>6804</v>
      </c>
      <c r="F22800" t="s">
        <v>10724</v>
      </c>
      <c r="G22800" t="s">
        <v>15123</v>
      </c>
      <c r="H22800" t="s">
        <v>26507</v>
      </c>
    </row>
    <row r="22801" spans="1:8">
      <c r="A22801" t="s">
        <v>1027</v>
      </c>
      <c r="B22801">
        <f>HYPERLINK("https://android.googlesource.com/platform/cts/+/c2b73ac4c3401bc6014a2d67e2d3da1f4da679e5", "c2b73ac4c3401bc6014a2d67e2d3da1f4da679e5")</f>
        <v>0</v>
      </c>
      <c r="C22801">
        <f>HYPERLINK("https://android.googlesource.com/platform/cts/+/0776744dad5c12b1dfa7e2b8b18a11322428e0a9", "0776744dad5c12b1dfa7e2b8b18a11322428e0a9")</f>
        <v>0</v>
      </c>
      <c r="D22801" t="s">
        <v>5021</v>
      </c>
      <c r="E22801" t="s">
        <v>6805</v>
      </c>
      <c r="F22801" t="s">
        <v>12810</v>
      </c>
      <c r="G22801" t="s">
        <v>16991</v>
      </c>
      <c r="H22801" t="s">
        <v>26508</v>
      </c>
    </row>
    <row r="22802" spans="1:8">
      <c r="H22802" t="s">
        <v>19813</v>
      </c>
    </row>
    <row r="22803" spans="1:8">
      <c r="H22803" t="s">
        <v>18927</v>
      </c>
    </row>
    <row r="22804" spans="1:8">
      <c r="H22804" t="s">
        <v>26509</v>
      </c>
    </row>
    <row r="22805" spans="1:8">
      <c r="H22805" t="s">
        <v>26510</v>
      </c>
    </row>
    <row r="22806" spans="1:8">
      <c r="H22806" t="s">
        <v>25728</v>
      </c>
    </row>
    <row r="22807" spans="1:8">
      <c r="F22807" t="s">
        <v>12811</v>
      </c>
      <c r="G22807" t="s">
        <v>16992</v>
      </c>
      <c r="H22807" t="s">
        <v>26511</v>
      </c>
    </row>
    <row r="22808" spans="1:8">
      <c r="H22808" t="s">
        <v>26512</v>
      </c>
    </row>
    <row r="22809" spans="1:8">
      <c r="H22809" t="s">
        <v>19430</v>
      </c>
    </row>
    <row r="22810" spans="1:8">
      <c r="H22810" t="s">
        <v>26513</v>
      </c>
    </row>
    <row r="22811" spans="1:8">
      <c r="H22811" t="s">
        <v>26514</v>
      </c>
    </row>
    <row r="22812" spans="1:8">
      <c r="H22812" t="s">
        <v>26515</v>
      </c>
    </row>
    <row r="22813" spans="1:8">
      <c r="H22813" t="s">
        <v>26516</v>
      </c>
    </row>
    <row r="22814" spans="1:8">
      <c r="H22814" t="s">
        <v>26517</v>
      </c>
    </row>
    <row r="22815" spans="1:8">
      <c r="H22815" t="s">
        <v>26518</v>
      </c>
    </row>
    <row r="22816" spans="1:8">
      <c r="A22816" t="s">
        <v>1028</v>
      </c>
      <c r="B22816">
        <f>HYPERLINK("https://android.googlesource.com/platform/cts/+/8f9c5318b57196ac7d2df256f8ecc757ca87733f", "8f9c5318b57196ac7d2df256f8ecc757ca87733f")</f>
        <v>0</v>
      </c>
      <c r="C22816">
        <f>HYPERLINK("https://android.googlesource.com/platform/cts/+/b8d88313e62b5ea6036e34a77e603c6505fea4a5", "b8d88313e62b5ea6036e34a77e603c6505fea4a5")</f>
        <v>0</v>
      </c>
      <c r="D22816" t="s">
        <v>5151</v>
      </c>
      <c r="E22816" t="s">
        <v>6806</v>
      </c>
      <c r="F22816" t="s">
        <v>12812</v>
      </c>
      <c r="G22816" t="s">
        <v>16993</v>
      </c>
      <c r="H22816" t="s">
        <v>26519</v>
      </c>
    </row>
    <row r="22817" spans="1:8">
      <c r="A22817" t="s">
        <v>1029</v>
      </c>
      <c r="B22817">
        <f>HYPERLINK("https://android.googlesource.com/platform/cts/+/9f4b899f3edb63c5ab362fea428797c745c7f68d", "9f4b899f3edb63c5ab362fea428797c745c7f68d")</f>
        <v>0</v>
      </c>
      <c r="C22817">
        <f>HYPERLINK("https://android.googlesource.com/platform/cts/+/353437ac6232cbe248f9692cb9b23f87bd5fe299", "353437ac6232cbe248f9692cb9b23f87bd5fe299")</f>
        <v>0</v>
      </c>
      <c r="D22817" t="s">
        <v>5143</v>
      </c>
      <c r="E22817" t="s">
        <v>6807</v>
      </c>
      <c r="F22817" t="s">
        <v>12813</v>
      </c>
      <c r="G22817" t="s">
        <v>16994</v>
      </c>
      <c r="H22817" t="s">
        <v>26520</v>
      </c>
    </row>
    <row r="22818" spans="1:8">
      <c r="H22818" t="s">
        <v>18893</v>
      </c>
    </row>
    <row r="22819" spans="1:8">
      <c r="H22819" t="s">
        <v>26521</v>
      </c>
    </row>
    <row r="22820" spans="1:8">
      <c r="A22820" t="s">
        <v>1030</v>
      </c>
      <c r="B22820">
        <f>HYPERLINK("https://android.googlesource.com/platform/cts/+/545a9d771dc758bac9863a06db922e3f0356c230", "545a9d771dc758bac9863a06db922e3f0356c230")</f>
        <v>0</v>
      </c>
      <c r="C22820">
        <f>HYPERLINK("https://android.googlesource.com/platform/cts/+/aa8ed1d506635768dc1f45b4e95f636341844d75", "aa8ed1d506635768dc1f45b4e95f636341844d75")</f>
        <v>0</v>
      </c>
      <c r="D22820" t="s">
        <v>5152</v>
      </c>
      <c r="E22820" t="s">
        <v>6808</v>
      </c>
      <c r="F22820" t="s">
        <v>12714</v>
      </c>
      <c r="G22820" t="s">
        <v>16914</v>
      </c>
      <c r="H22820" t="s">
        <v>26005</v>
      </c>
    </row>
    <row r="22821" spans="1:8">
      <c r="H22821" t="s">
        <v>26006</v>
      </c>
    </row>
    <row r="22822" spans="1:8">
      <c r="H22822" t="s">
        <v>26007</v>
      </c>
    </row>
    <row r="22823" spans="1:8">
      <c r="H22823" t="s">
        <v>26008</v>
      </c>
    </row>
    <row r="22824" spans="1:8">
      <c r="H22824" t="s">
        <v>26009</v>
      </c>
    </row>
    <row r="22825" spans="1:8">
      <c r="A22825" t="s">
        <v>1031</v>
      </c>
      <c r="B22825">
        <f>HYPERLINK("https://android.googlesource.com/platform/cts/+/2c827e25615d6503ec00c2c058dd1aec03d8a80b", "2c827e25615d6503ec00c2c058dd1aec03d8a80b")</f>
        <v>0</v>
      </c>
      <c r="C22825">
        <f>HYPERLINK("https://android.googlesource.com/platform/cts/+/9928412d6e106946df4fd1eb5494075345b7bbd7", "9928412d6e106946df4fd1eb5494075345b7bbd7")</f>
        <v>0</v>
      </c>
      <c r="D22825" t="s">
        <v>4971</v>
      </c>
      <c r="E22825" t="s">
        <v>6809</v>
      </c>
      <c r="F22825" t="s">
        <v>12814</v>
      </c>
      <c r="G22825" t="s">
        <v>16995</v>
      </c>
      <c r="H22825" t="s">
        <v>26522</v>
      </c>
    </row>
    <row r="22826" spans="1:8">
      <c r="H22826" t="s">
        <v>26523</v>
      </c>
    </row>
    <row r="22827" spans="1:8">
      <c r="F22827" t="s">
        <v>12815</v>
      </c>
      <c r="G22827" t="s">
        <v>16996</v>
      </c>
      <c r="H22827" t="s">
        <v>26522</v>
      </c>
    </row>
    <row r="22828" spans="1:8">
      <c r="H22828" t="s">
        <v>26524</v>
      </c>
    </row>
    <row r="22829" spans="1:8">
      <c r="H22829" t="s">
        <v>26525</v>
      </c>
    </row>
    <row r="22830" spans="1:8">
      <c r="H22830" t="s">
        <v>26526</v>
      </c>
    </row>
    <row r="22831" spans="1:8">
      <c r="A22831" t="s">
        <v>1032</v>
      </c>
      <c r="B22831">
        <f>HYPERLINK("https://android.googlesource.com/platform/cts/+/9627ae1f87de6c555dc8df5333ffacbf825d1dae", "9627ae1f87de6c555dc8df5333ffacbf825d1dae")</f>
        <v>0</v>
      </c>
      <c r="C22831">
        <f>HYPERLINK("https://android.googlesource.com/platform/cts/+/c5dbd0de50fb37273032d7992816cc11a2d64c85", "c5dbd0de50fb37273032d7992816cc11a2d64c85")</f>
        <v>0</v>
      </c>
      <c r="D22831" t="s">
        <v>5026</v>
      </c>
      <c r="E22831" t="s">
        <v>6810</v>
      </c>
      <c r="F22831" t="s">
        <v>12616</v>
      </c>
      <c r="G22831" t="s">
        <v>16827</v>
      </c>
      <c r="H22831" t="s">
        <v>26527</v>
      </c>
    </row>
    <row r="22832" spans="1:8">
      <c r="A22832" t="s">
        <v>1033</v>
      </c>
      <c r="B22832">
        <f>HYPERLINK("https://android.googlesource.com/platform/cts/+/bc3fe68ead36060deb5c730bcae87eb4ab582517", "bc3fe68ead36060deb5c730bcae87eb4ab582517")</f>
        <v>0</v>
      </c>
      <c r="C22832">
        <f>HYPERLINK("https://android.googlesource.com/platform/cts/+/95fbb17bbf1d600fe04d5b8848d4ca1d7833cc90", "95fbb17bbf1d600fe04d5b8848d4ca1d7833cc90")</f>
        <v>0</v>
      </c>
      <c r="D22832" t="s">
        <v>5153</v>
      </c>
      <c r="E22832" t="s">
        <v>6811</v>
      </c>
      <c r="F22832" t="s">
        <v>12816</v>
      </c>
      <c r="G22832" t="s">
        <v>16997</v>
      </c>
      <c r="H22832" t="s">
        <v>26528</v>
      </c>
    </row>
    <row r="22833" spans="1:8">
      <c r="A22833" t="s">
        <v>1034</v>
      </c>
      <c r="B22833">
        <f>HYPERLINK("https://android.googlesource.com/platform/cts/+/2d82709451bda4243a2b542e69f61c09423ec248", "2d82709451bda4243a2b542e69f61c09423ec248")</f>
        <v>0</v>
      </c>
      <c r="C22833">
        <f>HYPERLINK("https://android.googlesource.com/platform/cts/+/0f31c5a7aaf741612ec159d58e8246a611bf6f2f", "0f31c5a7aaf741612ec159d58e8246a611bf6f2f")</f>
        <v>0</v>
      </c>
      <c r="D22833" t="s">
        <v>4952</v>
      </c>
      <c r="E22833" t="s">
        <v>6812</v>
      </c>
      <c r="F22833" t="s">
        <v>12817</v>
      </c>
      <c r="G22833" t="s">
        <v>16629</v>
      </c>
      <c r="H22833" t="s">
        <v>22747</v>
      </c>
    </row>
    <row r="22834" spans="1:8">
      <c r="A22834" t="s">
        <v>1035</v>
      </c>
      <c r="B22834">
        <f>HYPERLINK("https://android.googlesource.com/platform/cts/+/b5c11f23c012175eaa4608b8e5bc72c1f66bfc73", "b5c11f23c012175eaa4608b8e5bc72c1f66bfc73")</f>
        <v>0</v>
      </c>
      <c r="C22834">
        <f>HYPERLINK("https://android.googlesource.com/platform/cts/+/75e21eda18cc2a3f28a2cb392a63d03f1480afcb", "75e21eda18cc2a3f28a2cb392a63d03f1480afcb")</f>
        <v>0</v>
      </c>
      <c r="D22834" t="s">
        <v>5006</v>
      </c>
      <c r="E22834" t="s">
        <v>6813</v>
      </c>
      <c r="F22834" t="s">
        <v>12818</v>
      </c>
      <c r="G22834" t="s">
        <v>16470</v>
      </c>
      <c r="H22834" t="s">
        <v>26529</v>
      </c>
    </row>
    <row r="22835" spans="1:8">
      <c r="H22835" t="s">
        <v>25497</v>
      </c>
    </row>
    <row r="22836" spans="1:8">
      <c r="H22836" t="s">
        <v>20244</v>
      </c>
    </row>
    <row r="22837" spans="1:8">
      <c r="H22837" t="s">
        <v>19233</v>
      </c>
    </row>
    <row r="22838" spans="1:8">
      <c r="H22838" t="s">
        <v>19232</v>
      </c>
    </row>
    <row r="22839" spans="1:8">
      <c r="H22839" t="s">
        <v>18829</v>
      </c>
    </row>
    <row r="22840" spans="1:8">
      <c r="H22840" t="s">
        <v>18863</v>
      </c>
    </row>
    <row r="22841" spans="1:8">
      <c r="H22841" t="s">
        <v>21479</v>
      </c>
    </row>
    <row r="22842" spans="1:8">
      <c r="A22842" t="s">
        <v>1036</v>
      </c>
      <c r="B22842">
        <f>HYPERLINK("https://android.googlesource.com/platform/cts/+/bbcc0f185fd3b2cd6faeea1b4a8bbb885628d9b5", "bbcc0f185fd3b2cd6faeea1b4a8bbb885628d9b5")</f>
        <v>0</v>
      </c>
      <c r="C22842">
        <f>HYPERLINK("https://android.googlesource.com/platform/cts/+/c9acf324cd32f7bc7668b428927f21c67ad1c765", "c9acf324cd32f7bc7668b428927f21c67ad1c765")</f>
        <v>0</v>
      </c>
      <c r="D22842" t="s">
        <v>5143</v>
      </c>
      <c r="E22842" t="s">
        <v>6814</v>
      </c>
      <c r="F22842" t="s">
        <v>11442</v>
      </c>
      <c r="G22842" t="s">
        <v>15682</v>
      </c>
      <c r="H22842" t="s">
        <v>26530</v>
      </c>
    </row>
    <row r="22843" spans="1:8">
      <c r="H22843" t="s">
        <v>18981</v>
      </c>
    </row>
    <row r="22844" spans="1:8">
      <c r="H22844" t="s">
        <v>26531</v>
      </c>
    </row>
    <row r="22845" spans="1:8">
      <c r="H22845" t="s">
        <v>26532</v>
      </c>
    </row>
    <row r="22846" spans="1:8">
      <c r="H22846" t="s">
        <v>18893</v>
      </c>
    </row>
    <row r="22847" spans="1:8">
      <c r="H22847" t="s">
        <v>26533</v>
      </c>
    </row>
    <row r="22848" spans="1:8">
      <c r="H22848" t="s">
        <v>26534</v>
      </c>
    </row>
    <row r="22849" spans="1:8">
      <c r="H22849" t="s">
        <v>19078</v>
      </c>
    </row>
    <row r="22850" spans="1:8">
      <c r="H22850" t="s">
        <v>19080</v>
      </c>
    </row>
    <row r="22851" spans="1:8">
      <c r="H22851" t="s">
        <v>26535</v>
      </c>
    </row>
    <row r="22852" spans="1:8">
      <c r="H22852" t="s">
        <v>19081</v>
      </c>
    </row>
    <row r="22853" spans="1:8">
      <c r="H22853" t="s">
        <v>19079</v>
      </c>
    </row>
    <row r="22854" spans="1:8">
      <c r="H22854" t="s">
        <v>26536</v>
      </c>
    </row>
    <row r="22855" spans="1:8">
      <c r="H22855" t="s">
        <v>26537</v>
      </c>
    </row>
    <row r="22856" spans="1:8">
      <c r="H22856" t="s">
        <v>26538</v>
      </c>
    </row>
    <row r="22857" spans="1:8">
      <c r="H22857" t="s">
        <v>18893</v>
      </c>
    </row>
    <row r="22858" spans="1:8">
      <c r="A22858" t="s">
        <v>1037</v>
      </c>
      <c r="B22858">
        <f>HYPERLINK("https://android.googlesource.com/platform/cts/+/9f97cc6f8143226099357c75f3f1b889483be3f7", "9f97cc6f8143226099357c75f3f1b889483be3f7")</f>
        <v>0</v>
      </c>
      <c r="C22858">
        <f>HYPERLINK("https://android.googlesource.com/platform/cts/+/7bcbb0db4ac8fdc505c8b95ad72bfa85b8c981de", "7bcbb0db4ac8fdc505c8b95ad72bfa85b8c981de")</f>
        <v>0</v>
      </c>
      <c r="D22858" t="s">
        <v>5143</v>
      </c>
      <c r="E22858" t="s">
        <v>6815</v>
      </c>
      <c r="F22858" t="s">
        <v>10604</v>
      </c>
      <c r="G22858" t="s">
        <v>15007</v>
      </c>
      <c r="H22858" t="s">
        <v>26539</v>
      </c>
    </row>
    <row r="22859" spans="1:8">
      <c r="H22859" t="s">
        <v>19135</v>
      </c>
    </row>
    <row r="22860" spans="1:8">
      <c r="H22860" t="s">
        <v>26540</v>
      </c>
    </row>
    <row r="22861" spans="1:8">
      <c r="H22861" t="s">
        <v>26541</v>
      </c>
    </row>
    <row r="22862" spans="1:8">
      <c r="A22862" t="s">
        <v>1038</v>
      </c>
      <c r="B22862">
        <f>HYPERLINK("https://android.googlesource.com/platform/cts/+/24ee87792fac4a1ec104a3ccb283b0c14c9038f3", "24ee87792fac4a1ec104a3ccb283b0c14c9038f3")</f>
        <v>0</v>
      </c>
      <c r="C22862">
        <f>HYPERLINK("https://android.googlesource.com/platform/cts/+/b670c009e93964d933a299a026a2615d71d872c8", "b670c009e93964d933a299a026a2615d71d872c8")</f>
        <v>0</v>
      </c>
      <c r="D22862" t="s">
        <v>5090</v>
      </c>
      <c r="E22862" t="s">
        <v>6816</v>
      </c>
      <c r="F22862" t="s">
        <v>10684</v>
      </c>
      <c r="G22862" t="s">
        <v>15084</v>
      </c>
      <c r="H22862" t="s">
        <v>26542</v>
      </c>
    </row>
    <row r="22863" spans="1:8">
      <c r="A22863" t="s">
        <v>1039</v>
      </c>
      <c r="B22863">
        <f>HYPERLINK("https://android.googlesource.com/platform/cts/+/a42b7b4142cda75ed37ef6cc5f3e84f5aa07797c", "a42b7b4142cda75ed37ef6cc5f3e84f5aa07797c")</f>
        <v>0</v>
      </c>
      <c r="C22863">
        <f>HYPERLINK("https://android.googlesource.com/platform/cts/+/2a445cb1df8840f90ec49b1d08b8c1a2661250b9", "2a445cb1df8840f90ec49b1d08b8c1a2661250b9")</f>
        <v>0</v>
      </c>
      <c r="D22863" t="s">
        <v>5152</v>
      </c>
      <c r="E22863" t="s">
        <v>6817</v>
      </c>
      <c r="F22863" t="s">
        <v>12759</v>
      </c>
      <c r="G22863" t="s">
        <v>16950</v>
      </c>
      <c r="H22863" t="s">
        <v>26295</v>
      </c>
    </row>
    <row r="22864" spans="1:8">
      <c r="A22864" t="s">
        <v>1040</v>
      </c>
      <c r="B22864">
        <f>HYPERLINK("https://android.googlesource.com/platform/cts/+/b5c120319e432d648fa8283d7a53e6fab7df8406", "b5c120319e432d648fa8283d7a53e6fab7df8406")</f>
        <v>0</v>
      </c>
      <c r="C22864">
        <f>HYPERLINK("https://android.googlesource.com/platform/cts/+/3880a690e443eda634809278994e7380e2dd6dff", "3880a690e443eda634809278994e7380e2dd6dff")</f>
        <v>0</v>
      </c>
      <c r="D22864" t="s">
        <v>5143</v>
      </c>
      <c r="E22864" t="s">
        <v>6818</v>
      </c>
      <c r="F22864" t="s">
        <v>12734</v>
      </c>
      <c r="G22864" t="s">
        <v>16927</v>
      </c>
      <c r="H22864" t="s">
        <v>26543</v>
      </c>
    </row>
    <row r="22865" spans="1:8">
      <c r="A22865" t="s">
        <v>1041</v>
      </c>
      <c r="B22865">
        <f>HYPERLINK("https://android.googlesource.com/platform/cts/+/214d1783cfc2e92fda792511f6bf61d7a34c2b7b", "214d1783cfc2e92fda792511f6bf61d7a34c2b7b")</f>
        <v>0</v>
      </c>
      <c r="C22865">
        <f>HYPERLINK("https://android.googlesource.com/platform/cts/+/faf5bfa76238ae24448e6e91b9c3145d95d59a4a", "faf5bfa76238ae24448e6e91b9c3145d95d59a4a")</f>
        <v>0</v>
      </c>
      <c r="D22865" t="s">
        <v>5150</v>
      </c>
      <c r="E22865" t="s">
        <v>6819</v>
      </c>
      <c r="F22865" t="s">
        <v>10724</v>
      </c>
      <c r="G22865" t="s">
        <v>15123</v>
      </c>
      <c r="H22865" t="s">
        <v>26507</v>
      </c>
    </row>
    <row r="22866" spans="1:8">
      <c r="A22866" t="s">
        <v>1042</v>
      </c>
      <c r="B22866">
        <f>HYPERLINK("https://android.googlesource.com/platform/cts/+/69450017d6b490cd931186e99cea6454319ca6c2", "69450017d6b490cd931186e99cea6454319ca6c2")</f>
        <v>0</v>
      </c>
      <c r="C22866">
        <f>HYPERLINK("https://android.googlesource.com/platform/cts/+/f106a95f3bfab6aa78b098c5a8d73445f03ab8de", "f106a95f3bfab6aa78b098c5a8d73445f03ab8de")</f>
        <v>0</v>
      </c>
      <c r="D22866" t="s">
        <v>5150</v>
      </c>
      <c r="E22866" t="s">
        <v>6819</v>
      </c>
      <c r="F22866" t="s">
        <v>10724</v>
      </c>
      <c r="G22866" t="s">
        <v>15123</v>
      </c>
      <c r="H22866" t="s">
        <v>26507</v>
      </c>
    </row>
    <row r="22867" spans="1:8">
      <c r="A22867" t="s">
        <v>1043</v>
      </c>
      <c r="B22867">
        <f>HYPERLINK("https://android.googlesource.com/platform/cts/+/9cc53801f585d5ff945abb55b3402d4a6eed14dc", "9cc53801f585d5ff945abb55b3402d4a6eed14dc")</f>
        <v>0</v>
      </c>
      <c r="C22867">
        <f>HYPERLINK("https://android.googlesource.com/platform/cts/+/57c3c87b0aec7f4b881ee04bca5af2e08d967103", "57c3c87b0aec7f4b881ee04bca5af2e08d967103")</f>
        <v>0</v>
      </c>
      <c r="D22867" t="s">
        <v>5154</v>
      </c>
      <c r="E22867" t="s">
        <v>6820</v>
      </c>
      <c r="F22867" t="s">
        <v>12819</v>
      </c>
      <c r="G22867" t="s">
        <v>16998</v>
      </c>
      <c r="H22867" t="s">
        <v>26544</v>
      </c>
    </row>
    <row r="22868" spans="1:8">
      <c r="H22868" t="s">
        <v>26545</v>
      </c>
    </row>
    <row r="22869" spans="1:8">
      <c r="H22869" t="s">
        <v>26546</v>
      </c>
    </row>
    <row r="22870" spans="1:8">
      <c r="A22870" t="s">
        <v>1044</v>
      </c>
      <c r="B22870">
        <f>HYPERLINK("https://android.googlesource.com/platform/cts/+/6fe236d475d1c81b28c05e5ae4fcb1c7de158980", "6fe236d475d1c81b28c05e5ae4fcb1c7de158980")</f>
        <v>0</v>
      </c>
      <c r="C22870">
        <f>HYPERLINK("https://android.googlesource.com/platform/cts/+/072f06260dd186996e0eac572b7fe3bae359480b", "072f06260dd186996e0eac572b7fe3bae359480b")</f>
        <v>0</v>
      </c>
      <c r="D22870" t="s">
        <v>4985</v>
      </c>
      <c r="E22870" t="s">
        <v>6821</v>
      </c>
      <c r="F22870" t="s">
        <v>12820</v>
      </c>
      <c r="G22870" t="s">
        <v>16999</v>
      </c>
      <c r="H22870" t="s">
        <v>26547</v>
      </c>
    </row>
    <row r="22871" spans="1:8">
      <c r="H22871" t="s">
        <v>26548</v>
      </c>
    </row>
    <row r="22872" spans="1:8">
      <c r="H22872" t="s">
        <v>26549</v>
      </c>
    </row>
    <row r="22873" spans="1:8">
      <c r="A22873" t="s">
        <v>1045</v>
      </c>
      <c r="B22873">
        <f>HYPERLINK("https://android.googlesource.com/platform/cts/+/40537e42de582523aed2d341eef650ea81c44dfc", "40537e42de582523aed2d341eef650ea81c44dfc")</f>
        <v>0</v>
      </c>
      <c r="C22873">
        <f>HYPERLINK("https://android.googlesource.com/platform/cts/+/e40e26fdccb1280594e5461ed1409627e3d477cc", "e40e26fdccb1280594e5461ed1409627e3d477cc")</f>
        <v>0</v>
      </c>
      <c r="D22873" t="s">
        <v>5143</v>
      </c>
      <c r="E22873" t="s">
        <v>6822</v>
      </c>
      <c r="F22873" t="s">
        <v>12792</v>
      </c>
      <c r="G22873" t="s">
        <v>16975</v>
      </c>
      <c r="H22873" t="s">
        <v>26550</v>
      </c>
    </row>
    <row r="22874" spans="1:8">
      <c r="A22874" t="s">
        <v>1046</v>
      </c>
      <c r="B22874">
        <f>HYPERLINK("https://android.googlesource.com/platform/cts/+/f4c87b375f2a449978ba0774098075f2aa069aa1", "f4c87b375f2a449978ba0774098075f2aa069aa1")</f>
        <v>0</v>
      </c>
      <c r="C22874">
        <f>HYPERLINK("https://android.googlesource.com/platform/cts/+/287defcf10255049d984ed7e3702ec7e120f8fc4", "287defcf10255049d984ed7e3702ec7e120f8fc4")</f>
        <v>0</v>
      </c>
      <c r="D22874" t="s">
        <v>5060</v>
      </c>
      <c r="E22874" t="s">
        <v>6823</v>
      </c>
      <c r="F22874" t="s">
        <v>12817</v>
      </c>
      <c r="G22874" t="s">
        <v>16629</v>
      </c>
      <c r="H22874" t="s">
        <v>26551</v>
      </c>
    </row>
    <row r="22875" spans="1:8">
      <c r="A22875" t="s">
        <v>1047</v>
      </c>
      <c r="B22875">
        <f>HYPERLINK("https://android.googlesource.com/platform/cts/+/7e31de6819e21b1289ae95be76b71d749581bc59", "7e31de6819e21b1289ae95be76b71d749581bc59")</f>
        <v>0</v>
      </c>
      <c r="C22875">
        <f>HYPERLINK("https://android.googlesource.com/platform/cts/+/2e5afb3fe448dd27c03a933a3861e3fc357f85d3", "2e5afb3fe448dd27c03a933a3861e3fc357f85d3")</f>
        <v>0</v>
      </c>
      <c r="D22875" t="s">
        <v>5060</v>
      </c>
      <c r="E22875" t="s">
        <v>6824</v>
      </c>
      <c r="F22875" t="s">
        <v>12407</v>
      </c>
      <c r="G22875" t="s">
        <v>16629</v>
      </c>
      <c r="H22875" t="s">
        <v>26551</v>
      </c>
    </row>
    <row r="22876" spans="1:8">
      <c r="A22876" t="s">
        <v>1048</v>
      </c>
      <c r="B22876">
        <f>HYPERLINK("https://android.googlesource.com/platform/cts/+/79ac43af49e57aa22ee4a09da648a5a56fa3f6ed", "79ac43af49e57aa22ee4a09da648a5a56fa3f6ed")</f>
        <v>0</v>
      </c>
      <c r="C22876">
        <f>HYPERLINK("https://android.googlesource.com/platform/cts/+/3880a690e443eda634809278994e7380e2dd6dff", "3880a690e443eda634809278994e7380e2dd6dff")</f>
        <v>0</v>
      </c>
      <c r="D22876" t="s">
        <v>5029</v>
      </c>
      <c r="E22876" t="s">
        <v>6825</v>
      </c>
      <c r="F22876" t="s">
        <v>12821</v>
      </c>
      <c r="G22876" t="s">
        <v>17000</v>
      </c>
      <c r="H22876" t="s">
        <v>26552</v>
      </c>
    </row>
    <row r="22877" spans="1:8">
      <c r="H22877" t="s">
        <v>26553</v>
      </c>
    </row>
    <row r="22878" spans="1:8">
      <c r="A22878" t="s">
        <v>1049</v>
      </c>
      <c r="B22878">
        <f>HYPERLINK("https://android.googlesource.com/platform/cts/+/de7b341676df03d53c3f7086d87a84f408144b89", "de7b341676df03d53c3f7086d87a84f408144b89")</f>
        <v>0</v>
      </c>
      <c r="C22878">
        <f>HYPERLINK("https://android.googlesource.com/platform/cts/+/8ef8b153002ad04917cf23834a482596314a50e3", "8ef8b153002ad04917cf23834a482596314a50e3")</f>
        <v>0</v>
      </c>
      <c r="D22878" t="s">
        <v>4971</v>
      </c>
      <c r="E22878" t="s">
        <v>6826</v>
      </c>
      <c r="F22878" t="s">
        <v>12717</v>
      </c>
      <c r="G22878" t="s">
        <v>16917</v>
      </c>
      <c r="H22878" t="s">
        <v>26554</v>
      </c>
    </row>
    <row r="22879" spans="1:8">
      <c r="A22879" t="s">
        <v>1050</v>
      </c>
      <c r="B22879">
        <f>HYPERLINK("https://android.googlesource.com/platform/cts/+/138e9354ea132b5fb306a43082647756a4e08c6c", "138e9354ea132b5fb306a43082647756a4e08c6c")</f>
        <v>0</v>
      </c>
      <c r="C22879">
        <f>HYPERLINK("https://android.googlesource.com/platform/cts/+/51582c8246fc590d03de88c94d6797307050ccaa", "51582c8246fc590d03de88c94d6797307050ccaa")</f>
        <v>0</v>
      </c>
      <c r="D22879" t="s">
        <v>5155</v>
      </c>
      <c r="E22879" t="s">
        <v>6827</v>
      </c>
      <c r="F22879" t="s">
        <v>12822</v>
      </c>
      <c r="G22879" t="s">
        <v>17001</v>
      </c>
      <c r="H22879" t="s">
        <v>26555</v>
      </c>
    </row>
    <row r="22880" spans="1:8">
      <c r="H22880" t="s">
        <v>26556</v>
      </c>
    </row>
    <row r="22881" spans="1:8">
      <c r="H22881" t="s">
        <v>26557</v>
      </c>
    </row>
    <row r="22882" spans="1:8">
      <c r="A22882" t="s">
        <v>1051</v>
      </c>
      <c r="B22882">
        <f>HYPERLINK("https://android.googlesource.com/platform/cts/+/48dd482d96342aca1dae697fbc41bc08c5febd36", "48dd482d96342aca1dae697fbc41bc08c5febd36")</f>
        <v>0</v>
      </c>
      <c r="C22882">
        <f>HYPERLINK("https://android.googlesource.com/platform/cts/+/15b8cacd08113d43814ff635cbc6b9b6e4e272d9", "15b8cacd08113d43814ff635cbc6b9b6e4e272d9")</f>
        <v>0</v>
      </c>
      <c r="D22882" t="s">
        <v>5117</v>
      </c>
      <c r="E22882" t="s">
        <v>6828</v>
      </c>
      <c r="F22882" t="s">
        <v>12823</v>
      </c>
      <c r="G22882" t="s">
        <v>17002</v>
      </c>
      <c r="H22882" t="s">
        <v>18929</v>
      </c>
    </row>
    <row r="22883" spans="1:8">
      <c r="A22883" t="s">
        <v>1052</v>
      </c>
      <c r="B22883">
        <f>HYPERLINK("https://android.googlesource.com/platform/cts/+/d31f7df59f21c51b7bf2abaeb415292ace61fb76", "d31f7df59f21c51b7bf2abaeb415292ace61fb76")</f>
        <v>0</v>
      </c>
      <c r="C22883">
        <f>HYPERLINK("https://android.googlesource.com/platform/cts/+/b5daad8c1685e65d4af2197a496a2cd39fe1872e", "b5daad8c1685e65d4af2197a496a2cd39fe1872e")</f>
        <v>0</v>
      </c>
      <c r="D22883" t="s">
        <v>5132</v>
      </c>
      <c r="E22883" t="s">
        <v>6829</v>
      </c>
      <c r="F22883" t="s">
        <v>10794</v>
      </c>
      <c r="G22883" t="s">
        <v>15189</v>
      </c>
      <c r="H22883" t="s">
        <v>26558</v>
      </c>
    </row>
    <row r="22884" spans="1:8">
      <c r="H22884" t="s">
        <v>26559</v>
      </c>
    </row>
    <row r="22885" spans="1:8">
      <c r="H22885" t="s">
        <v>26560</v>
      </c>
    </row>
    <row r="22886" spans="1:8">
      <c r="A22886" t="s">
        <v>1053</v>
      </c>
      <c r="B22886">
        <f>HYPERLINK("https://android.googlesource.com/platform/cts/+/a7fa4dceead8b1aa1db479d431b1ffdfdbcf641c", "a7fa4dceead8b1aa1db479d431b1ffdfdbcf641c")</f>
        <v>0</v>
      </c>
      <c r="C22886">
        <f>HYPERLINK("https://android.googlesource.com/platform/cts/+/b4a8b9914a77bfd58a5a42c930ae7ae89215f1ea", "b4a8b9914a77bfd58a5a42c930ae7ae89215f1ea")</f>
        <v>0</v>
      </c>
      <c r="D22886" t="s">
        <v>5156</v>
      </c>
      <c r="E22886" t="s">
        <v>6830</v>
      </c>
      <c r="F22886" t="s">
        <v>10684</v>
      </c>
      <c r="G22886" t="s">
        <v>15084</v>
      </c>
      <c r="H22886" t="s">
        <v>26561</v>
      </c>
    </row>
    <row r="22887" spans="1:8">
      <c r="A22887" t="s">
        <v>1054</v>
      </c>
      <c r="B22887">
        <f>HYPERLINK("https://android.googlesource.com/platform/cts/+/6c4b47cd022d9d2fdadbca2716fea168245bdff2", "6c4b47cd022d9d2fdadbca2716fea168245bdff2")</f>
        <v>0</v>
      </c>
      <c r="C22887">
        <f>HYPERLINK("https://android.googlesource.com/platform/cts/+/f986270bdc2fc78fec95a8f9e6e886d829846433", "f986270bdc2fc78fec95a8f9e6e886d829846433")</f>
        <v>0</v>
      </c>
      <c r="D22887" t="s">
        <v>5006</v>
      </c>
      <c r="E22887" t="s">
        <v>6831</v>
      </c>
      <c r="F22887" t="s">
        <v>12824</v>
      </c>
      <c r="G22887" t="s">
        <v>17003</v>
      </c>
      <c r="H22887" t="s">
        <v>26562</v>
      </c>
    </row>
    <row r="22888" spans="1:8">
      <c r="H22888" t="s">
        <v>20083</v>
      </c>
    </row>
    <row r="22889" spans="1:8">
      <c r="H22889" t="s">
        <v>26563</v>
      </c>
    </row>
    <row r="22890" spans="1:8">
      <c r="F22890" t="s">
        <v>12825</v>
      </c>
      <c r="G22890" t="s">
        <v>16422</v>
      </c>
      <c r="H22890" t="s">
        <v>26564</v>
      </c>
    </row>
    <row r="22891" spans="1:8">
      <c r="H22891" t="s">
        <v>20083</v>
      </c>
    </row>
    <row r="22892" spans="1:8">
      <c r="H22892" t="s">
        <v>26565</v>
      </c>
    </row>
    <row r="22893" spans="1:8">
      <c r="H22893" t="s">
        <v>26566</v>
      </c>
    </row>
    <row r="22894" spans="1:8">
      <c r="H22894" t="s">
        <v>26563</v>
      </c>
    </row>
    <row r="22895" spans="1:8">
      <c r="F22895" t="s">
        <v>12826</v>
      </c>
      <c r="G22895" t="s">
        <v>17004</v>
      </c>
      <c r="H22895" t="s">
        <v>26567</v>
      </c>
    </row>
    <row r="22896" spans="1:8">
      <c r="H22896" t="s">
        <v>20083</v>
      </c>
    </row>
    <row r="22897" spans="6:8">
      <c r="H22897" t="s">
        <v>26565</v>
      </c>
    </row>
    <row r="22898" spans="6:8">
      <c r="H22898" t="s">
        <v>26566</v>
      </c>
    </row>
    <row r="22899" spans="6:8">
      <c r="H22899" t="s">
        <v>26568</v>
      </c>
    </row>
    <row r="22900" spans="6:8">
      <c r="H22900" t="s">
        <v>26569</v>
      </c>
    </row>
    <row r="22901" spans="6:8">
      <c r="H22901" t="s">
        <v>26563</v>
      </c>
    </row>
    <row r="22902" spans="6:8">
      <c r="F22902" t="s">
        <v>12827</v>
      </c>
      <c r="G22902" t="s">
        <v>17005</v>
      </c>
      <c r="H22902" t="s">
        <v>26570</v>
      </c>
    </row>
    <row r="22903" spans="6:8">
      <c r="H22903" t="s">
        <v>20083</v>
      </c>
    </row>
    <row r="22904" spans="6:8">
      <c r="H22904" t="s">
        <v>26571</v>
      </c>
    </row>
    <row r="22905" spans="6:8">
      <c r="H22905" t="s">
        <v>26563</v>
      </c>
    </row>
    <row r="22906" spans="6:8">
      <c r="H22906" t="s">
        <v>26572</v>
      </c>
    </row>
    <row r="22907" spans="6:8">
      <c r="H22907" t="s">
        <v>26573</v>
      </c>
    </row>
    <row r="22908" spans="6:8">
      <c r="H22908" t="s">
        <v>26574</v>
      </c>
    </row>
    <row r="22909" spans="6:8">
      <c r="H22909" t="s">
        <v>26575</v>
      </c>
    </row>
    <row r="22910" spans="6:8">
      <c r="H22910" t="s">
        <v>19133</v>
      </c>
    </row>
    <row r="22911" spans="6:8">
      <c r="H22911" t="s">
        <v>19132</v>
      </c>
    </row>
    <row r="22912" spans="6:8">
      <c r="H22912" t="s">
        <v>26576</v>
      </c>
    </row>
    <row r="22913" spans="6:8">
      <c r="H22913" t="s">
        <v>26577</v>
      </c>
    </row>
    <row r="22914" spans="6:8">
      <c r="H22914" t="s">
        <v>26563</v>
      </c>
    </row>
    <row r="22915" spans="6:8">
      <c r="F22915" t="s">
        <v>12828</v>
      </c>
      <c r="G22915" t="s">
        <v>17006</v>
      </c>
      <c r="H22915" t="s">
        <v>26578</v>
      </c>
    </row>
    <row r="22916" spans="6:8">
      <c r="H22916" t="s">
        <v>20083</v>
      </c>
    </row>
    <row r="22917" spans="6:8">
      <c r="H22917" t="s">
        <v>26563</v>
      </c>
    </row>
    <row r="22918" spans="6:8">
      <c r="H22918" t="s">
        <v>26579</v>
      </c>
    </row>
    <row r="22919" spans="6:8">
      <c r="H22919" t="s">
        <v>26580</v>
      </c>
    </row>
    <row r="22920" spans="6:8">
      <c r="H22920" t="s">
        <v>26581</v>
      </c>
    </row>
    <row r="22921" spans="6:8">
      <c r="H22921" t="s">
        <v>26582</v>
      </c>
    </row>
    <row r="22922" spans="6:8">
      <c r="F22922" t="s">
        <v>12829</v>
      </c>
      <c r="G22922" t="s">
        <v>17007</v>
      </c>
      <c r="H22922" t="s">
        <v>26583</v>
      </c>
    </row>
    <row r="22923" spans="6:8">
      <c r="H22923" t="s">
        <v>20083</v>
      </c>
    </row>
    <row r="22924" spans="6:8">
      <c r="H22924" t="s">
        <v>26563</v>
      </c>
    </row>
    <row r="22925" spans="6:8">
      <c r="F22925" t="s">
        <v>12830</v>
      </c>
      <c r="G22925" t="s">
        <v>17008</v>
      </c>
      <c r="H22925" t="s">
        <v>26584</v>
      </c>
    </row>
    <row r="22926" spans="6:8">
      <c r="H22926" t="s">
        <v>20083</v>
      </c>
    </row>
    <row r="22927" spans="6:8">
      <c r="H22927" t="s">
        <v>26563</v>
      </c>
    </row>
    <row r="22928" spans="6:8">
      <c r="H22928" t="s">
        <v>26579</v>
      </c>
    </row>
    <row r="22929" spans="6:8">
      <c r="H22929" t="s">
        <v>26580</v>
      </c>
    </row>
    <row r="22930" spans="6:8">
      <c r="H22930" t="s">
        <v>26581</v>
      </c>
    </row>
    <row r="22931" spans="6:8">
      <c r="H22931" t="s">
        <v>26582</v>
      </c>
    </row>
    <row r="22932" spans="6:8">
      <c r="H22932" t="s">
        <v>26585</v>
      </c>
    </row>
    <row r="22933" spans="6:8">
      <c r="H22933" t="s">
        <v>26586</v>
      </c>
    </row>
    <row r="22934" spans="6:8">
      <c r="F22934" t="s">
        <v>12831</v>
      </c>
      <c r="G22934" t="s">
        <v>17009</v>
      </c>
      <c r="H22934" t="s">
        <v>26587</v>
      </c>
    </row>
    <row r="22935" spans="6:8">
      <c r="H22935" t="s">
        <v>18930</v>
      </c>
    </row>
    <row r="22936" spans="6:8">
      <c r="H22936" t="s">
        <v>26588</v>
      </c>
    </row>
    <row r="22937" spans="6:8">
      <c r="H22937" t="s">
        <v>19230</v>
      </c>
    </row>
    <row r="22938" spans="6:8">
      <c r="H22938" t="s">
        <v>26589</v>
      </c>
    </row>
    <row r="22939" spans="6:8">
      <c r="H22939" t="s">
        <v>26589</v>
      </c>
    </row>
    <row r="22940" spans="6:8">
      <c r="H22940" t="s">
        <v>26590</v>
      </c>
    </row>
    <row r="22941" spans="6:8">
      <c r="F22941" t="s">
        <v>12832</v>
      </c>
      <c r="G22941" t="s">
        <v>17010</v>
      </c>
      <c r="H22941" t="s">
        <v>26591</v>
      </c>
    </row>
    <row r="22942" spans="6:8">
      <c r="H22942" t="s">
        <v>26592</v>
      </c>
    </row>
    <row r="22943" spans="6:8">
      <c r="H22943" t="s">
        <v>20083</v>
      </c>
    </row>
    <row r="22944" spans="6:8">
      <c r="H22944" t="s">
        <v>26593</v>
      </c>
    </row>
    <row r="22945" spans="6:8">
      <c r="H22945" t="s">
        <v>26594</v>
      </c>
    </row>
    <row r="22946" spans="6:8">
      <c r="H22946" t="s">
        <v>26595</v>
      </c>
    </row>
    <row r="22947" spans="6:8">
      <c r="H22947" t="s">
        <v>19654</v>
      </c>
    </row>
    <row r="22948" spans="6:8">
      <c r="H22948" t="s">
        <v>21209</v>
      </c>
    </row>
    <row r="22949" spans="6:8">
      <c r="H22949" t="s">
        <v>26596</v>
      </c>
    </row>
    <row r="22950" spans="6:8">
      <c r="H22950" t="s">
        <v>26597</v>
      </c>
    </row>
    <row r="22951" spans="6:8">
      <c r="F22951" t="s">
        <v>12833</v>
      </c>
      <c r="G22951" t="s">
        <v>16915</v>
      </c>
      <c r="H22951" t="s">
        <v>18829</v>
      </c>
    </row>
    <row r="22952" spans="6:8">
      <c r="H22952" t="s">
        <v>21360</v>
      </c>
    </row>
    <row r="22953" spans="6:8">
      <c r="H22953" t="s">
        <v>26010</v>
      </c>
    </row>
    <row r="22954" spans="6:8">
      <c r="H22954" t="s">
        <v>26011</v>
      </c>
    </row>
    <row r="22955" spans="6:8">
      <c r="H22955" t="s">
        <v>26012</v>
      </c>
    </row>
    <row r="22956" spans="6:8">
      <c r="H22956" t="s">
        <v>26013</v>
      </c>
    </row>
    <row r="22957" spans="6:8">
      <c r="H22957" t="s">
        <v>26014</v>
      </c>
    </row>
    <row r="22958" spans="6:8">
      <c r="H22958" t="s">
        <v>26015</v>
      </c>
    </row>
    <row r="22959" spans="6:8">
      <c r="H22959" t="s">
        <v>26016</v>
      </c>
    </row>
    <row r="22960" spans="6:8">
      <c r="H22960" t="s">
        <v>26017</v>
      </c>
    </row>
    <row r="22961" spans="8:8">
      <c r="H22961" t="s">
        <v>26018</v>
      </c>
    </row>
    <row r="22962" spans="8:8">
      <c r="H22962" t="s">
        <v>26019</v>
      </c>
    </row>
    <row r="22963" spans="8:8">
      <c r="H22963" t="s">
        <v>26020</v>
      </c>
    </row>
    <row r="22964" spans="8:8">
      <c r="H22964" t="s">
        <v>26021</v>
      </c>
    </row>
    <row r="22965" spans="8:8">
      <c r="H22965" t="s">
        <v>26022</v>
      </c>
    </row>
    <row r="22966" spans="8:8">
      <c r="H22966" t="s">
        <v>26023</v>
      </c>
    </row>
    <row r="22967" spans="8:8">
      <c r="H22967" t="s">
        <v>26024</v>
      </c>
    </row>
    <row r="22968" spans="8:8">
      <c r="H22968" t="s">
        <v>26025</v>
      </c>
    </row>
    <row r="22969" spans="8:8">
      <c r="H22969" t="s">
        <v>26026</v>
      </c>
    </row>
    <row r="22970" spans="8:8">
      <c r="H22970" t="s">
        <v>26027</v>
      </c>
    </row>
    <row r="22971" spans="8:8">
      <c r="H22971" t="s">
        <v>26028</v>
      </c>
    </row>
    <row r="22972" spans="8:8">
      <c r="H22972" t="s">
        <v>26029</v>
      </c>
    </row>
    <row r="22973" spans="8:8">
      <c r="H22973" t="s">
        <v>26030</v>
      </c>
    </row>
    <row r="22974" spans="8:8">
      <c r="H22974" t="s">
        <v>26031</v>
      </c>
    </row>
    <row r="22975" spans="8:8">
      <c r="H22975" t="s">
        <v>26032</v>
      </c>
    </row>
    <row r="22976" spans="8:8">
      <c r="H22976" t="s">
        <v>26033</v>
      </c>
    </row>
    <row r="22977" spans="8:8">
      <c r="H22977" t="s">
        <v>26034</v>
      </c>
    </row>
    <row r="22978" spans="8:8">
      <c r="H22978" t="s">
        <v>26035</v>
      </c>
    </row>
    <row r="22979" spans="8:8">
      <c r="H22979" t="s">
        <v>26036</v>
      </c>
    </row>
    <row r="22980" spans="8:8">
      <c r="H22980" t="s">
        <v>26037</v>
      </c>
    </row>
    <row r="22981" spans="8:8">
      <c r="H22981" t="s">
        <v>26038</v>
      </c>
    </row>
    <row r="22982" spans="8:8">
      <c r="H22982" t="s">
        <v>26039</v>
      </c>
    </row>
    <row r="22983" spans="8:8">
      <c r="H22983" t="s">
        <v>26040</v>
      </c>
    </row>
    <row r="22984" spans="8:8">
      <c r="H22984" t="s">
        <v>26041</v>
      </c>
    </row>
    <row r="22985" spans="8:8">
      <c r="H22985" t="s">
        <v>26042</v>
      </c>
    </row>
    <row r="22986" spans="8:8">
      <c r="H22986" t="s">
        <v>26043</v>
      </c>
    </row>
    <row r="22987" spans="8:8">
      <c r="H22987" t="s">
        <v>26044</v>
      </c>
    </row>
    <row r="22988" spans="8:8">
      <c r="H22988" t="s">
        <v>26045</v>
      </c>
    </row>
    <row r="22989" spans="8:8">
      <c r="H22989" t="s">
        <v>26046</v>
      </c>
    </row>
    <row r="22990" spans="8:8">
      <c r="H22990" t="s">
        <v>26047</v>
      </c>
    </row>
    <row r="22991" spans="8:8">
      <c r="H22991" t="s">
        <v>26048</v>
      </c>
    </row>
    <row r="22992" spans="8:8">
      <c r="H22992" t="s">
        <v>26049</v>
      </c>
    </row>
    <row r="22993" spans="6:8">
      <c r="H22993" t="s">
        <v>26050</v>
      </c>
    </row>
    <row r="22994" spans="6:8">
      <c r="H22994" t="s">
        <v>26051</v>
      </c>
    </row>
    <row r="22995" spans="6:8">
      <c r="H22995" t="s">
        <v>26052</v>
      </c>
    </row>
    <row r="22996" spans="6:8">
      <c r="H22996" t="s">
        <v>26053</v>
      </c>
    </row>
    <row r="22997" spans="6:8">
      <c r="H22997" t="s">
        <v>26054</v>
      </c>
    </row>
    <row r="22998" spans="6:8">
      <c r="H22998" t="s">
        <v>26055</v>
      </c>
    </row>
    <row r="22999" spans="6:8">
      <c r="H22999" t="s">
        <v>26056</v>
      </c>
    </row>
    <row r="23000" spans="6:8">
      <c r="H23000" t="s">
        <v>26057</v>
      </c>
    </row>
    <row r="23001" spans="6:8">
      <c r="H23001" t="s">
        <v>26058</v>
      </c>
    </row>
    <row r="23002" spans="6:8">
      <c r="H23002" t="s">
        <v>26059</v>
      </c>
    </row>
    <row r="23003" spans="6:8">
      <c r="H23003" t="s">
        <v>26060</v>
      </c>
    </row>
    <row r="23004" spans="6:8">
      <c r="H23004" t="s">
        <v>26061</v>
      </c>
    </row>
    <row r="23005" spans="6:8">
      <c r="H23005" t="s">
        <v>26062</v>
      </c>
    </row>
    <row r="23006" spans="6:8">
      <c r="F23006" t="s">
        <v>10734</v>
      </c>
      <c r="G23006" t="s">
        <v>15133</v>
      </c>
      <c r="H23006" t="s">
        <v>26598</v>
      </c>
    </row>
    <row r="23007" spans="6:8">
      <c r="F23007" t="s">
        <v>12834</v>
      </c>
      <c r="G23007" t="s">
        <v>17011</v>
      </c>
      <c r="H23007" t="s">
        <v>20244</v>
      </c>
    </row>
    <row r="23008" spans="6:8">
      <c r="H23008" t="s">
        <v>26599</v>
      </c>
    </row>
    <row r="23009" spans="1:8">
      <c r="H23009" t="s">
        <v>18927</v>
      </c>
    </row>
    <row r="23010" spans="1:8">
      <c r="H23010" t="s">
        <v>26600</v>
      </c>
    </row>
    <row r="23011" spans="1:8">
      <c r="H23011" t="s">
        <v>26601</v>
      </c>
    </row>
    <row r="23012" spans="1:8">
      <c r="A23012" t="s">
        <v>1055</v>
      </c>
      <c r="B23012">
        <f>HYPERLINK("https://android.googlesource.com/platform/cts/+/f190d0c3c43c1f863c0dd159025f034b4a3dc47a", "f190d0c3c43c1f863c0dd159025f034b4a3dc47a")</f>
        <v>0</v>
      </c>
      <c r="C23012">
        <f>HYPERLINK("https://android.googlesource.com/platform/cts/+/51b4700619a513a4d8158e6b67a9d238787f8c43", "51b4700619a513a4d8158e6b67a9d238787f8c43")</f>
        <v>0</v>
      </c>
      <c r="D23012" t="s">
        <v>5029</v>
      </c>
      <c r="E23012" t="s">
        <v>6832</v>
      </c>
      <c r="F23012" t="s">
        <v>12698</v>
      </c>
      <c r="G23012" t="s">
        <v>16591</v>
      </c>
      <c r="H23012" t="s">
        <v>26602</v>
      </c>
    </row>
    <row r="23013" spans="1:8">
      <c r="H23013" t="s">
        <v>18927</v>
      </c>
    </row>
    <row r="23014" spans="1:8">
      <c r="H23014" t="s">
        <v>26603</v>
      </c>
    </row>
    <row r="23015" spans="1:8">
      <c r="A23015" t="s">
        <v>1056</v>
      </c>
      <c r="B23015">
        <f>HYPERLINK("https://android.googlesource.com/platform/cts/+/f86bd21bff5fa4e967dcc0dacd2bdc8d11cbf651", "f86bd21bff5fa4e967dcc0dacd2bdc8d11cbf651")</f>
        <v>0</v>
      </c>
      <c r="C23015">
        <f>HYPERLINK("https://android.googlesource.com/platform/cts/+/caf1c9b00ace75735ab7fb09629894f0d0664118", "caf1c9b00ace75735ab7fb09629894f0d0664118")</f>
        <v>0</v>
      </c>
      <c r="D23015" t="s">
        <v>4981</v>
      </c>
      <c r="E23015" t="s">
        <v>6833</v>
      </c>
      <c r="F23015" t="s">
        <v>12835</v>
      </c>
      <c r="G23015" t="s">
        <v>16417</v>
      </c>
      <c r="H23015" t="s">
        <v>26604</v>
      </c>
    </row>
    <row r="23016" spans="1:8">
      <c r="A23016" t="s">
        <v>1057</v>
      </c>
      <c r="B23016">
        <f>HYPERLINK("https://android.googlesource.com/platform/cts/+/556f884bd4aa1d2528d310b9b5d7a0f7e12e7c64", "556f884bd4aa1d2528d310b9b5d7a0f7e12e7c64")</f>
        <v>0</v>
      </c>
      <c r="C23016">
        <f>HYPERLINK("https://android.googlesource.com/platform/cts/+/7bedd0760d1f9bc0ebdb5a91d34548ffd53bff77", "7bedd0760d1f9bc0ebdb5a91d34548ffd53bff77")</f>
        <v>0</v>
      </c>
      <c r="D23016" t="s">
        <v>5117</v>
      </c>
      <c r="E23016" t="s">
        <v>6834</v>
      </c>
      <c r="F23016" t="s">
        <v>12836</v>
      </c>
      <c r="G23016" t="s">
        <v>17012</v>
      </c>
      <c r="H23016" t="s">
        <v>26605</v>
      </c>
    </row>
    <row r="23017" spans="1:8">
      <c r="A23017" t="s">
        <v>1058</v>
      </c>
      <c r="B23017">
        <f>HYPERLINK("https://android.googlesource.com/platform/cts/+/5c0b38c9edc00956e45918c568e454f38e40364d", "5c0b38c9edc00956e45918c568e454f38e40364d")</f>
        <v>0</v>
      </c>
      <c r="C23017">
        <f>HYPERLINK("https://android.googlesource.com/platform/cts/+/6decc874bcdb349d62e9fcd970b0aaf60f7011b0", "6decc874bcdb349d62e9fcd970b0aaf60f7011b0")</f>
        <v>0</v>
      </c>
      <c r="D23017" t="s">
        <v>5077</v>
      </c>
      <c r="E23017" t="s">
        <v>6835</v>
      </c>
      <c r="F23017" t="s">
        <v>12239</v>
      </c>
      <c r="G23017" t="s">
        <v>16469</v>
      </c>
      <c r="H23017" t="s">
        <v>26606</v>
      </c>
    </row>
    <row r="23018" spans="1:8">
      <c r="A23018" t="s">
        <v>1059</v>
      </c>
      <c r="B23018">
        <f>HYPERLINK("https://android.googlesource.com/platform/cts/+/0355f69ecbf9fa1be305abb4c833167094fc5ab3", "0355f69ecbf9fa1be305abb4c833167094fc5ab3")</f>
        <v>0</v>
      </c>
      <c r="C23018">
        <f>HYPERLINK("https://android.googlesource.com/platform/cts/+/e3ef037b2daae00d747f6a11d9cb9ad4a765083c", "e3ef037b2daae00d747f6a11d9cb9ad4a765083c")</f>
        <v>0</v>
      </c>
      <c r="D23018" t="s">
        <v>5157</v>
      </c>
      <c r="E23018" t="s">
        <v>6836</v>
      </c>
      <c r="F23018" t="s">
        <v>12837</v>
      </c>
      <c r="G23018" t="s">
        <v>17013</v>
      </c>
      <c r="H23018" t="s">
        <v>26607</v>
      </c>
    </row>
    <row r="23019" spans="1:8">
      <c r="H23019" t="s">
        <v>26608</v>
      </c>
    </row>
    <row r="23020" spans="1:8">
      <c r="F23020" t="s">
        <v>12620</v>
      </c>
      <c r="G23020" t="s">
        <v>16830</v>
      </c>
      <c r="H23020" t="s">
        <v>26607</v>
      </c>
    </row>
    <row r="23021" spans="1:8">
      <c r="H23021" t="s">
        <v>26608</v>
      </c>
    </row>
    <row r="23022" spans="1:8">
      <c r="A23022" t="s">
        <v>1060</v>
      </c>
      <c r="B23022">
        <f>HYPERLINK("https://android.googlesource.com/platform/cts/+/a3ea7e5808a0fceb6fcc5dbc7cf3ed02c5078f87", "a3ea7e5808a0fceb6fcc5dbc7cf3ed02c5078f87")</f>
        <v>0</v>
      </c>
      <c r="C23022">
        <f>HYPERLINK("https://android.googlesource.com/platform/cts/+/34fd9933dc125479b802cd2ae9b35317d245bcac", "34fd9933dc125479b802cd2ae9b35317d245bcac")</f>
        <v>0</v>
      </c>
      <c r="D23022" t="s">
        <v>5059</v>
      </c>
      <c r="E23022" t="s">
        <v>6837</v>
      </c>
      <c r="F23022" t="s">
        <v>12838</v>
      </c>
      <c r="G23022" t="s">
        <v>16967</v>
      </c>
      <c r="H23022" t="s">
        <v>26403</v>
      </c>
    </row>
    <row r="23023" spans="1:8">
      <c r="A23023" t="s">
        <v>1061</v>
      </c>
      <c r="B23023">
        <f>HYPERLINK("https://android.googlesource.com/platform/cts/+/eda2399b30a1c67fad8bdcceea2beca987834ff1", "eda2399b30a1c67fad8bdcceea2beca987834ff1")</f>
        <v>0</v>
      </c>
      <c r="C23023">
        <f>HYPERLINK("https://android.googlesource.com/platform/cts/+/c543c1f0e0ed134fc09363c116ebbd220904f886", "c543c1f0e0ed134fc09363c116ebbd220904f886")</f>
        <v>0</v>
      </c>
      <c r="D23023" t="s">
        <v>5158</v>
      </c>
      <c r="E23023" t="s">
        <v>6838</v>
      </c>
      <c r="F23023" t="s">
        <v>12839</v>
      </c>
      <c r="G23023" t="s">
        <v>17014</v>
      </c>
      <c r="H23023" t="s">
        <v>26609</v>
      </c>
    </row>
    <row r="23024" spans="1:8">
      <c r="H23024" t="s">
        <v>26610</v>
      </c>
    </row>
    <row r="23025" spans="1:8">
      <c r="A23025" t="s">
        <v>1062</v>
      </c>
      <c r="B23025">
        <f>HYPERLINK("https://android.googlesource.com/platform/cts/+/a23bb8c6b9ce153e5be73168fd153dc1b3004ea9", "a23bb8c6b9ce153e5be73168fd153dc1b3004ea9")</f>
        <v>0</v>
      </c>
      <c r="C23025">
        <f>HYPERLINK("https://android.googlesource.com/platform/cts/+/bab3e3b57d481b40f5e602a6b5ebfabdbeffc27d", "bab3e3b57d481b40f5e602a6b5ebfabdbeffc27d")</f>
        <v>0</v>
      </c>
      <c r="D23025" t="s">
        <v>5146</v>
      </c>
      <c r="E23025" t="s">
        <v>6839</v>
      </c>
      <c r="F23025" t="s">
        <v>12840</v>
      </c>
      <c r="G23025" t="s">
        <v>17015</v>
      </c>
      <c r="H23025" t="s">
        <v>18863</v>
      </c>
    </row>
    <row r="23026" spans="1:8">
      <c r="F23026" t="s">
        <v>12841</v>
      </c>
      <c r="G23026" t="s">
        <v>15119</v>
      </c>
      <c r="H23026" t="s">
        <v>18863</v>
      </c>
    </row>
    <row r="23027" spans="1:8">
      <c r="F23027" t="s">
        <v>12842</v>
      </c>
      <c r="G23027" t="s">
        <v>15690</v>
      </c>
      <c r="H23027" t="s">
        <v>18863</v>
      </c>
    </row>
    <row r="23028" spans="1:8">
      <c r="F23028" t="s">
        <v>12839</v>
      </c>
      <c r="G23028" t="s">
        <v>17014</v>
      </c>
      <c r="H23028" t="s">
        <v>26611</v>
      </c>
    </row>
    <row r="23029" spans="1:8">
      <c r="H23029" t="s">
        <v>19905</v>
      </c>
    </row>
    <row r="23030" spans="1:8">
      <c r="H23030" t="s">
        <v>26612</v>
      </c>
    </row>
    <row r="23031" spans="1:8">
      <c r="F23031" t="s">
        <v>12843</v>
      </c>
      <c r="G23031" t="s">
        <v>16556</v>
      </c>
      <c r="H23031" t="s">
        <v>18863</v>
      </c>
    </row>
    <row r="23032" spans="1:8">
      <c r="F23032" t="s">
        <v>12844</v>
      </c>
      <c r="G23032" t="s">
        <v>17016</v>
      </c>
      <c r="H23032" t="s">
        <v>18863</v>
      </c>
    </row>
    <row r="23033" spans="1:8">
      <c r="F23033" t="s">
        <v>12845</v>
      </c>
      <c r="G23033" t="s">
        <v>16561</v>
      </c>
      <c r="H23033" t="s">
        <v>18863</v>
      </c>
    </row>
    <row r="23034" spans="1:8">
      <c r="F23034" t="s">
        <v>12846</v>
      </c>
      <c r="G23034" t="s">
        <v>17017</v>
      </c>
      <c r="H23034" t="s">
        <v>26613</v>
      </c>
    </row>
    <row r="23035" spans="1:8">
      <c r="A23035" t="s">
        <v>1063</v>
      </c>
      <c r="B23035">
        <f>HYPERLINK("https://android.googlesource.com/platform/cts/+/1c5601985db0b6619d3a4ecaa3f16ea93bec0c30", "1c5601985db0b6619d3a4ecaa3f16ea93bec0c30")</f>
        <v>0</v>
      </c>
      <c r="C23035">
        <f>HYPERLINK("https://android.googlesource.com/platform/cts/+/e0c40d7cb975abc73eb2c3210e2d29cb48d5fa6b", "e0c40d7cb975abc73eb2c3210e2d29cb48d5fa6b")</f>
        <v>0</v>
      </c>
      <c r="D23035" t="s">
        <v>5021</v>
      </c>
      <c r="E23035" t="s">
        <v>6840</v>
      </c>
      <c r="F23035" t="s">
        <v>12847</v>
      </c>
      <c r="G23035" t="s">
        <v>16868</v>
      </c>
      <c r="H23035" t="s">
        <v>26614</v>
      </c>
    </row>
    <row r="23036" spans="1:8">
      <c r="H23036" t="s">
        <v>26615</v>
      </c>
    </row>
    <row r="23037" spans="1:8">
      <c r="H23037" t="s">
        <v>26616</v>
      </c>
    </row>
    <row r="23038" spans="1:8">
      <c r="H23038" t="s">
        <v>26617</v>
      </c>
    </row>
    <row r="23039" spans="1:8">
      <c r="F23039" t="s">
        <v>12848</v>
      </c>
      <c r="G23039" t="s">
        <v>17018</v>
      </c>
      <c r="H23039" t="s">
        <v>26618</v>
      </c>
    </row>
    <row r="23040" spans="1:8">
      <c r="H23040" t="s">
        <v>26619</v>
      </c>
    </row>
    <row r="23041" spans="1:8">
      <c r="H23041" t="s">
        <v>26065</v>
      </c>
    </row>
    <row r="23042" spans="1:8">
      <c r="H23042" t="s">
        <v>26620</v>
      </c>
    </row>
    <row r="23043" spans="1:8">
      <c r="H23043" t="s">
        <v>26621</v>
      </c>
    </row>
    <row r="23044" spans="1:8">
      <c r="H23044" t="s">
        <v>26622</v>
      </c>
    </row>
    <row r="23045" spans="1:8">
      <c r="A23045" t="s">
        <v>1064</v>
      </c>
      <c r="B23045">
        <f>HYPERLINK("https://android.googlesource.com/platform/cts/+/2037e79742e618fd3e35163165398ac8c57fe012", "2037e79742e618fd3e35163165398ac8c57fe012")</f>
        <v>0</v>
      </c>
      <c r="C23045">
        <f>HYPERLINK("https://android.googlesource.com/platform/cts/+/1e33d3d5406db08edc3fa43c62d8b4a77a541732", "1e33d3d5406db08edc3fa43c62d8b4a77a541732")</f>
        <v>0</v>
      </c>
      <c r="D23045" t="s">
        <v>5060</v>
      </c>
      <c r="E23045" t="s">
        <v>6841</v>
      </c>
      <c r="F23045" t="s">
        <v>12849</v>
      </c>
      <c r="G23045" t="s">
        <v>17019</v>
      </c>
      <c r="H23045" t="s">
        <v>26623</v>
      </c>
    </row>
    <row r="23046" spans="1:8">
      <c r="H23046" t="s">
        <v>26624</v>
      </c>
    </row>
    <row r="23047" spans="1:8">
      <c r="F23047" t="s">
        <v>12850</v>
      </c>
      <c r="G23047" t="s">
        <v>17020</v>
      </c>
      <c r="H23047" t="s">
        <v>26625</v>
      </c>
    </row>
    <row r="23048" spans="1:8">
      <c r="H23048" t="s">
        <v>26626</v>
      </c>
    </row>
    <row r="23049" spans="1:8">
      <c r="H23049" t="s">
        <v>26627</v>
      </c>
    </row>
    <row r="23050" spans="1:8">
      <c r="H23050" t="s">
        <v>26628</v>
      </c>
    </row>
    <row r="23051" spans="1:8">
      <c r="H23051" t="s">
        <v>26629</v>
      </c>
    </row>
    <row r="23052" spans="1:8">
      <c r="H23052" t="s">
        <v>26630</v>
      </c>
    </row>
    <row r="23053" spans="1:8">
      <c r="F23053" t="s">
        <v>12705</v>
      </c>
      <c r="G23053" t="s">
        <v>16907</v>
      </c>
      <c r="H23053" t="s">
        <v>26631</v>
      </c>
    </row>
    <row r="23054" spans="1:8">
      <c r="H23054" t="s">
        <v>26632</v>
      </c>
    </row>
    <row r="23055" spans="1:8">
      <c r="H23055" t="s">
        <v>26633</v>
      </c>
    </row>
    <row r="23056" spans="1:8">
      <c r="H23056" t="s">
        <v>26634</v>
      </c>
    </row>
    <row r="23057" spans="1:8">
      <c r="H23057" t="s">
        <v>25996</v>
      </c>
    </row>
    <row r="23058" spans="1:8">
      <c r="H23058" t="s">
        <v>26635</v>
      </c>
    </row>
    <row r="23059" spans="1:8">
      <c r="F23059" t="s">
        <v>12851</v>
      </c>
      <c r="G23059" t="s">
        <v>17021</v>
      </c>
      <c r="H23059" t="s">
        <v>26636</v>
      </c>
    </row>
    <row r="23060" spans="1:8">
      <c r="H23060" t="s">
        <v>26637</v>
      </c>
    </row>
    <row r="23061" spans="1:8">
      <c r="F23061" t="s">
        <v>12852</v>
      </c>
      <c r="G23061" t="s">
        <v>17022</v>
      </c>
      <c r="H23061" t="s">
        <v>26638</v>
      </c>
    </row>
    <row r="23062" spans="1:8">
      <c r="F23062" t="s">
        <v>12706</v>
      </c>
      <c r="G23062" t="s">
        <v>16908</v>
      </c>
      <c r="H23062" t="s">
        <v>25997</v>
      </c>
    </row>
    <row r="23063" spans="1:8">
      <c r="H23063" t="s">
        <v>25998</v>
      </c>
    </row>
    <row r="23064" spans="1:8">
      <c r="A23064" t="s">
        <v>1065</v>
      </c>
      <c r="B23064">
        <f>HYPERLINK("https://android.googlesource.com/platform/cts/+/ae4f67349084889d26e1260c1b0fbe0aa992408a", "ae4f67349084889d26e1260c1b0fbe0aa992408a")</f>
        <v>0</v>
      </c>
      <c r="C23064">
        <f>HYPERLINK("https://android.googlesource.com/platform/cts/+/42585fd1a00443bc286f00b8863d02ff0bf623d2", "42585fd1a00443bc286f00b8863d02ff0bf623d2")</f>
        <v>0</v>
      </c>
      <c r="D23064" t="s">
        <v>5018</v>
      </c>
      <c r="E23064" t="s">
        <v>6842</v>
      </c>
      <c r="F23064" t="s">
        <v>12402</v>
      </c>
      <c r="G23064" t="s">
        <v>16624</v>
      </c>
      <c r="H23064" t="s">
        <v>26639</v>
      </c>
    </row>
    <row r="23065" spans="1:8">
      <c r="H23065" t="s">
        <v>26640</v>
      </c>
    </row>
    <row r="23066" spans="1:8">
      <c r="H23066" t="s">
        <v>26641</v>
      </c>
    </row>
    <row r="23067" spans="1:8">
      <c r="A23067" t="s">
        <v>1066</v>
      </c>
      <c r="B23067">
        <f>HYPERLINK("https://android.googlesource.com/platform/cts/+/ee2588bbc0bdb2cf2f755327fcd3acffe0473206", "ee2588bbc0bdb2cf2f755327fcd3acffe0473206")</f>
        <v>0</v>
      </c>
      <c r="C23067">
        <f>HYPERLINK("https://android.googlesource.com/platform/cts/+/c2f9d8f3db67f3802ed9a2cd0e91575674b12d58", "c2f9d8f3db67f3802ed9a2cd0e91575674b12d58")</f>
        <v>0</v>
      </c>
      <c r="D23067" t="s">
        <v>5145</v>
      </c>
      <c r="E23067" t="s">
        <v>6843</v>
      </c>
      <c r="F23067" t="s">
        <v>12853</v>
      </c>
      <c r="G23067" t="s">
        <v>17023</v>
      </c>
      <c r="H23067" t="s">
        <v>26642</v>
      </c>
    </row>
    <row r="23068" spans="1:8">
      <c r="F23068" t="s">
        <v>12854</v>
      </c>
      <c r="G23068" t="s">
        <v>17024</v>
      </c>
      <c r="H23068" t="s">
        <v>19013</v>
      </c>
    </row>
    <row r="23069" spans="1:8">
      <c r="H23069" t="s">
        <v>18835</v>
      </c>
    </row>
    <row r="23070" spans="1:8">
      <c r="F23070" t="s">
        <v>10605</v>
      </c>
      <c r="G23070" t="s">
        <v>15008</v>
      </c>
      <c r="H23070" t="s">
        <v>26643</v>
      </c>
    </row>
    <row r="23071" spans="1:8">
      <c r="A23071" t="s">
        <v>1067</v>
      </c>
      <c r="B23071">
        <f>HYPERLINK("https://android.googlesource.com/platform/cts/+/05b3b03b4d262d3868cde3cf4b8260405506734a", "05b3b03b4d262d3868cde3cf4b8260405506734a")</f>
        <v>0</v>
      </c>
      <c r="C23071">
        <f>HYPERLINK("https://android.googlesource.com/platform/cts/+/9ab4d52013d3e426eb61631db3dcc4775524b3f8", "9ab4d52013d3e426eb61631db3dcc4775524b3f8")</f>
        <v>0</v>
      </c>
      <c r="D23071" t="s">
        <v>5159</v>
      </c>
      <c r="E23071" t="s">
        <v>6844</v>
      </c>
      <c r="F23071" t="s">
        <v>12850</v>
      </c>
      <c r="G23071" t="s">
        <v>17020</v>
      </c>
      <c r="H23071" t="s">
        <v>26628</v>
      </c>
    </row>
    <row r="23072" spans="1:8">
      <c r="A23072" t="s">
        <v>1068</v>
      </c>
      <c r="B23072">
        <f>HYPERLINK("https://android.googlesource.com/platform/cts/+/777c02a15053aa69b4e9db0537bb8346a5c9a4e8", "777c02a15053aa69b4e9db0537bb8346a5c9a4e8")</f>
        <v>0</v>
      </c>
      <c r="C23072">
        <f>HYPERLINK("https://android.googlesource.com/platform/cts/+/fb3029b1f071f17594a9f8d50e00acebbc4b2db1", "fb3029b1f071f17594a9f8d50e00acebbc4b2db1")</f>
        <v>0</v>
      </c>
      <c r="D23072" t="s">
        <v>5143</v>
      </c>
      <c r="E23072" t="s">
        <v>6845</v>
      </c>
      <c r="F23072" t="s">
        <v>10657</v>
      </c>
      <c r="G23072" t="s">
        <v>15058</v>
      </c>
      <c r="H23072" t="s">
        <v>18855</v>
      </c>
    </row>
    <row r="23073" spans="1:8">
      <c r="H23073" t="s">
        <v>26644</v>
      </c>
    </row>
    <row r="23074" spans="1:8">
      <c r="H23074" t="s">
        <v>26645</v>
      </c>
    </row>
    <row r="23075" spans="1:8">
      <c r="H23075" t="s">
        <v>26646</v>
      </c>
    </row>
    <row r="23076" spans="1:8">
      <c r="A23076" t="s">
        <v>1069</v>
      </c>
      <c r="B23076">
        <f>HYPERLINK("https://android.googlesource.com/platform/cts/+/4f6c30d1fb50043bcbc4ee94799ebe8dbeabf334", "4f6c30d1fb50043bcbc4ee94799ebe8dbeabf334")</f>
        <v>0</v>
      </c>
      <c r="C23076">
        <f>HYPERLINK("https://android.googlesource.com/platform/cts/+/dccba47f570a23f7b49f3515b8e1b432a686bfa5", "dccba47f570a23f7b49f3515b8e1b432a686bfa5")</f>
        <v>0</v>
      </c>
      <c r="D23076" t="s">
        <v>5152</v>
      </c>
      <c r="E23076" t="s">
        <v>6846</v>
      </c>
      <c r="F23076" t="s">
        <v>12342</v>
      </c>
      <c r="G23076" t="s">
        <v>16570</v>
      </c>
      <c r="H23076" t="s">
        <v>26647</v>
      </c>
    </row>
    <row r="23077" spans="1:8">
      <c r="H23077" t="s">
        <v>26648</v>
      </c>
    </row>
    <row r="23078" spans="1:8">
      <c r="H23078" t="s">
        <v>26649</v>
      </c>
    </row>
    <row r="23079" spans="1:8">
      <c r="H23079" t="s">
        <v>26650</v>
      </c>
    </row>
    <row r="23080" spans="1:8">
      <c r="H23080" t="s">
        <v>26651</v>
      </c>
    </row>
    <row r="23081" spans="1:8">
      <c r="A23081" t="s">
        <v>1070</v>
      </c>
      <c r="B23081">
        <f>HYPERLINK("https://android.googlesource.com/platform/cts/+/a17215a6bd14edeeb26cf52e013c411e18803525", "a17215a6bd14edeeb26cf52e013c411e18803525")</f>
        <v>0</v>
      </c>
      <c r="C23081">
        <f>HYPERLINK("https://android.googlesource.com/platform/cts/+/abc2bd7c73c9ddb3a9ccc1d76f2faf065455aaea", "abc2bd7c73c9ddb3a9ccc1d76f2faf065455aaea")</f>
        <v>0</v>
      </c>
      <c r="D23081" t="s">
        <v>5115</v>
      </c>
      <c r="E23081" t="s">
        <v>6847</v>
      </c>
      <c r="F23081" t="s">
        <v>12855</v>
      </c>
      <c r="G23081" t="s">
        <v>17025</v>
      </c>
      <c r="H23081" t="s">
        <v>25497</v>
      </c>
    </row>
    <row r="23082" spans="1:8">
      <c r="H23082" t="s">
        <v>20244</v>
      </c>
    </row>
    <row r="23083" spans="1:8">
      <c r="H23083" t="s">
        <v>19233</v>
      </c>
    </row>
    <row r="23084" spans="1:8">
      <c r="H23084" t="s">
        <v>19232</v>
      </c>
    </row>
    <row r="23085" spans="1:8">
      <c r="H23085" t="s">
        <v>26652</v>
      </c>
    </row>
    <row r="23086" spans="1:8">
      <c r="H23086" t="s">
        <v>26653</v>
      </c>
    </row>
    <row r="23087" spans="1:8">
      <c r="H23087" t="s">
        <v>26654</v>
      </c>
    </row>
    <row r="23088" spans="1:8">
      <c r="H23088" t="s">
        <v>26655</v>
      </c>
    </row>
    <row r="23089" spans="1:8">
      <c r="H23089" t="s">
        <v>26656</v>
      </c>
    </row>
    <row r="23090" spans="1:8">
      <c r="H23090" t="s">
        <v>18927</v>
      </c>
    </row>
    <row r="23091" spans="1:8">
      <c r="H23091" t="s">
        <v>26657</v>
      </c>
    </row>
    <row r="23092" spans="1:8">
      <c r="H23092" t="s">
        <v>26658</v>
      </c>
    </row>
    <row r="23093" spans="1:8">
      <c r="H23093" t="s">
        <v>19743</v>
      </c>
    </row>
    <row r="23094" spans="1:8">
      <c r="A23094" t="s">
        <v>1071</v>
      </c>
      <c r="B23094">
        <f>HYPERLINK("https://android.googlesource.com/platform/cts/+/551c7913ec661fcd4d883dbf1259b275f4a200b7", "551c7913ec661fcd4d883dbf1259b275f4a200b7")</f>
        <v>0</v>
      </c>
      <c r="C23094">
        <f>HYPERLINK("https://android.googlesource.com/platform/cts/+/33caf82ccf75749eabf9461064a90c9c7e9ffd1d", "33caf82ccf75749eabf9461064a90c9c7e9ffd1d")</f>
        <v>0</v>
      </c>
      <c r="D23094" t="s">
        <v>5143</v>
      </c>
      <c r="E23094" t="s">
        <v>6848</v>
      </c>
      <c r="F23094" t="s">
        <v>10584</v>
      </c>
      <c r="G23094" t="s">
        <v>14987</v>
      </c>
      <c r="H23094" t="s">
        <v>26659</v>
      </c>
    </row>
    <row r="23095" spans="1:8">
      <c r="H23095" t="s">
        <v>26660</v>
      </c>
    </row>
    <row r="23096" spans="1:8">
      <c r="H23096" t="s">
        <v>18888</v>
      </c>
    </row>
    <row r="23097" spans="1:8">
      <c r="H23097" t="s">
        <v>26661</v>
      </c>
    </row>
    <row r="23098" spans="1:8">
      <c r="H23098" t="s">
        <v>26539</v>
      </c>
    </row>
    <row r="23099" spans="1:8">
      <c r="H23099" t="s">
        <v>26662</v>
      </c>
    </row>
    <row r="23100" spans="1:8">
      <c r="H23100" t="s">
        <v>26663</v>
      </c>
    </row>
    <row r="23101" spans="1:8">
      <c r="H23101" t="s">
        <v>26664</v>
      </c>
    </row>
    <row r="23102" spans="1:8">
      <c r="H23102" t="s">
        <v>26665</v>
      </c>
    </row>
    <row r="23103" spans="1:8">
      <c r="H23103" t="s">
        <v>26666</v>
      </c>
    </row>
    <row r="23104" spans="1:8">
      <c r="H23104" t="s">
        <v>19690</v>
      </c>
    </row>
    <row r="23105" spans="1:8">
      <c r="H23105" t="s">
        <v>26667</v>
      </c>
    </row>
    <row r="23106" spans="1:8">
      <c r="H23106" t="s">
        <v>26668</v>
      </c>
    </row>
    <row r="23107" spans="1:8">
      <c r="H23107" t="s">
        <v>26669</v>
      </c>
    </row>
    <row r="23108" spans="1:8">
      <c r="H23108" t="s">
        <v>26670</v>
      </c>
    </row>
    <row r="23109" spans="1:8">
      <c r="H23109" t="s">
        <v>26671</v>
      </c>
    </row>
    <row r="23110" spans="1:8">
      <c r="H23110" t="s">
        <v>26672</v>
      </c>
    </row>
    <row r="23111" spans="1:8">
      <c r="H23111" t="s">
        <v>26673</v>
      </c>
    </row>
    <row r="23112" spans="1:8">
      <c r="A23112" t="s">
        <v>1072</v>
      </c>
      <c r="B23112">
        <f>HYPERLINK("https://android.googlesource.com/platform/cts/+/10f95d0e476defb89b5513c630949b6016eea231", "10f95d0e476defb89b5513c630949b6016eea231")</f>
        <v>0</v>
      </c>
      <c r="C23112">
        <f>HYPERLINK("https://android.googlesource.com/platform/cts/+/551c7913ec661fcd4d883dbf1259b275f4a200b7", "551c7913ec661fcd4d883dbf1259b275f4a200b7")</f>
        <v>0</v>
      </c>
      <c r="D23112" t="s">
        <v>5143</v>
      </c>
      <c r="E23112" t="s">
        <v>6849</v>
      </c>
      <c r="F23112" t="s">
        <v>10584</v>
      </c>
      <c r="G23112" t="s">
        <v>14987</v>
      </c>
      <c r="H23112" t="s">
        <v>26674</v>
      </c>
    </row>
    <row r="23113" spans="1:8">
      <c r="A23113" t="s">
        <v>1073</v>
      </c>
      <c r="B23113">
        <f>HYPERLINK("https://android.googlesource.com/platform/cts/+/47d10e11a948ab1d45782c22708c74e585f40d94", "47d10e11a948ab1d45782c22708c74e585f40d94")</f>
        <v>0</v>
      </c>
      <c r="C23113">
        <f>HYPERLINK("https://android.googlesource.com/platform/cts/+/d226d3e27f541c423955d8f79f1181abec9689f1", "d226d3e27f541c423955d8f79f1181abec9689f1")</f>
        <v>0</v>
      </c>
      <c r="D23113" t="s">
        <v>5160</v>
      </c>
      <c r="E23113" t="s">
        <v>6850</v>
      </c>
      <c r="F23113" t="s">
        <v>12368</v>
      </c>
      <c r="G23113" t="s">
        <v>16595</v>
      </c>
      <c r="H23113" t="s">
        <v>26675</v>
      </c>
    </row>
    <row r="23114" spans="1:8">
      <c r="H23114" t="s">
        <v>26676</v>
      </c>
    </row>
    <row r="23115" spans="1:8">
      <c r="H23115" t="s">
        <v>22086</v>
      </c>
    </row>
    <row r="23116" spans="1:8">
      <c r="H23116" t="s">
        <v>26677</v>
      </c>
    </row>
    <row r="23117" spans="1:8">
      <c r="H23117" t="s">
        <v>26678</v>
      </c>
    </row>
    <row r="23118" spans="1:8">
      <c r="H23118" t="s">
        <v>22083</v>
      </c>
    </row>
    <row r="23119" spans="1:8">
      <c r="F23119" t="s">
        <v>12369</v>
      </c>
      <c r="G23119" t="s">
        <v>16596</v>
      </c>
      <c r="H23119" t="s">
        <v>26679</v>
      </c>
    </row>
    <row r="23120" spans="1:8">
      <c r="A23120" t="s">
        <v>1074</v>
      </c>
      <c r="B23120">
        <f>HYPERLINK("https://android.googlesource.com/platform/cts/+/a4ad1a40e3fb65d8eb21816009b08fd2129c6aed", "a4ad1a40e3fb65d8eb21816009b08fd2129c6aed")</f>
        <v>0</v>
      </c>
      <c r="C23120">
        <f>HYPERLINK("https://android.googlesource.com/platform/cts/+/ee869092e862e5ade5a519e8cc702b53ba2d8649", "ee869092e862e5ade5a519e8cc702b53ba2d8649")</f>
        <v>0</v>
      </c>
      <c r="D23120" t="s">
        <v>5143</v>
      </c>
      <c r="E23120" t="s">
        <v>6851</v>
      </c>
      <c r="F23120" t="s">
        <v>12382</v>
      </c>
      <c r="G23120" t="s">
        <v>16608</v>
      </c>
      <c r="H23120" t="s">
        <v>26680</v>
      </c>
    </row>
    <row r="23121" spans="1:8">
      <c r="A23121" t="s">
        <v>1075</v>
      </c>
      <c r="B23121">
        <f>HYPERLINK("https://android.googlesource.com/platform/cts/+/2e31d2f5c5aaab42aebecea4d23c4f106ee92eac", "2e31d2f5c5aaab42aebecea4d23c4f106ee92eac")</f>
        <v>0</v>
      </c>
      <c r="C23121">
        <f>HYPERLINK("https://android.googlesource.com/platform/cts/+/c4e72cac789a30dd6cd5853b466b8d79c4f7d474", "c4e72cac789a30dd6cd5853b466b8d79c4f7d474")</f>
        <v>0</v>
      </c>
      <c r="D23121" t="s">
        <v>5143</v>
      </c>
      <c r="E23121" t="s">
        <v>6852</v>
      </c>
      <c r="F23121" t="s">
        <v>10584</v>
      </c>
      <c r="G23121" t="s">
        <v>14987</v>
      </c>
      <c r="H23121" t="s">
        <v>18887</v>
      </c>
    </row>
    <row r="23122" spans="1:8">
      <c r="A23122" t="s">
        <v>1076</v>
      </c>
      <c r="B23122">
        <f>HYPERLINK("https://android.googlesource.com/platform/cts/+/ee9cfbc0b46a07d24a6caec5c98c3652c3b77f84", "ee9cfbc0b46a07d24a6caec5c98c3652c3b77f84")</f>
        <v>0</v>
      </c>
      <c r="C23122">
        <f>HYPERLINK("https://android.googlesource.com/platform/cts/+/f98aaf2bd1e7a2dd9d7b8b5603a9293ba6c2f215", "f98aaf2bd1e7a2dd9d7b8b5603a9293ba6c2f215")</f>
        <v>0</v>
      </c>
      <c r="D23122" t="s">
        <v>5143</v>
      </c>
      <c r="E23122" t="s">
        <v>6853</v>
      </c>
      <c r="F23122" t="s">
        <v>12856</v>
      </c>
      <c r="G23122" t="s">
        <v>17026</v>
      </c>
      <c r="H23122" t="s">
        <v>26681</v>
      </c>
    </row>
    <row r="23123" spans="1:8">
      <c r="H23123" t="s">
        <v>26682</v>
      </c>
    </row>
    <row r="23124" spans="1:8">
      <c r="A23124" t="s">
        <v>1077</v>
      </c>
      <c r="B23124">
        <f>HYPERLINK("https://android.googlesource.com/platform/cts/+/93f3f6838de0c518413a677fe7b72facbcb8183d", "93f3f6838de0c518413a677fe7b72facbcb8183d")</f>
        <v>0</v>
      </c>
      <c r="C23124">
        <f>HYPERLINK("https://android.googlesource.com/platform/cts/+/ee9cfbc0b46a07d24a6caec5c98c3652c3b77f84", "ee9cfbc0b46a07d24a6caec5c98c3652c3b77f84")</f>
        <v>0</v>
      </c>
      <c r="D23124" t="s">
        <v>5132</v>
      </c>
      <c r="E23124" t="s">
        <v>6854</v>
      </c>
      <c r="F23124" t="s">
        <v>12857</v>
      </c>
      <c r="G23124" t="s">
        <v>17027</v>
      </c>
      <c r="H23124" t="s">
        <v>26683</v>
      </c>
    </row>
    <row r="23125" spans="1:8">
      <c r="A23125" t="s">
        <v>1078</v>
      </c>
      <c r="B23125">
        <f>HYPERLINK("https://android.googlesource.com/platform/cts/+/0a745cedb5e2eb6e8b354790ee891f66a3706f55", "0a745cedb5e2eb6e8b354790ee891f66a3706f55")</f>
        <v>0</v>
      </c>
      <c r="C23125">
        <f>HYPERLINK("https://android.googlesource.com/platform/cts/+/f4c71606249348ea9adbead686a7687d3fd20ff7", "f4c71606249348ea9adbead686a7687d3fd20ff7")</f>
        <v>0</v>
      </c>
      <c r="D23125" t="s">
        <v>5051</v>
      </c>
      <c r="E23125" t="s">
        <v>6855</v>
      </c>
      <c r="F23125" t="s">
        <v>12642</v>
      </c>
      <c r="G23125" t="s">
        <v>16850</v>
      </c>
      <c r="H23125" t="s">
        <v>26684</v>
      </c>
    </row>
    <row r="23126" spans="1:8">
      <c r="H23126" t="s">
        <v>26685</v>
      </c>
    </row>
    <row r="23127" spans="1:8">
      <c r="A23127" t="s">
        <v>1079</v>
      </c>
      <c r="B23127">
        <f>HYPERLINK("https://android.googlesource.com/platform/cts/+/3e9b72da290e46048cdb8630d9a99b3536a1d59d", "3e9b72da290e46048cdb8630d9a99b3536a1d59d")</f>
        <v>0</v>
      </c>
      <c r="C23127">
        <f>HYPERLINK("https://android.googlesource.com/platform/cts/+/0df7eb7d8987e89987b85118e765699f8fab981e", "0df7eb7d8987e89987b85118e765699f8fab981e")</f>
        <v>0</v>
      </c>
      <c r="D23127" t="s">
        <v>5143</v>
      </c>
      <c r="E23127" t="s">
        <v>6856</v>
      </c>
      <c r="F23127" t="s">
        <v>12792</v>
      </c>
      <c r="G23127" t="s">
        <v>16975</v>
      </c>
      <c r="H23127" t="s">
        <v>26686</v>
      </c>
    </row>
    <row r="23128" spans="1:8">
      <c r="A23128" t="s">
        <v>1080</v>
      </c>
      <c r="B23128">
        <f>HYPERLINK("https://android.googlesource.com/platform/cts/+/78325983804f239b217ff5eb607039a57462f4d9", "78325983804f239b217ff5eb607039a57462f4d9")</f>
        <v>0</v>
      </c>
      <c r="C23128">
        <f>HYPERLINK("https://android.googlesource.com/platform/cts/+/454cca0c08d2a93d69ed3605e29ca062c13ce7c7", "454cca0c08d2a93d69ed3605e29ca062c13ce7c7")</f>
        <v>0</v>
      </c>
      <c r="D23128" t="s">
        <v>5143</v>
      </c>
      <c r="E23128" t="s">
        <v>6857</v>
      </c>
      <c r="F23128" t="s">
        <v>12858</v>
      </c>
      <c r="G23128" t="s">
        <v>17026</v>
      </c>
      <c r="H23128" t="s">
        <v>26687</v>
      </c>
    </row>
    <row r="23129" spans="1:8">
      <c r="H23129" t="s">
        <v>26688</v>
      </c>
    </row>
    <row r="23130" spans="1:8">
      <c r="A23130" t="s">
        <v>1081</v>
      </c>
      <c r="B23130">
        <f>HYPERLINK("https://android.googlesource.com/platform/cts/+/dc782f228cd376fe8e20e7762402bc859164a6e1", "dc782f228cd376fe8e20e7762402bc859164a6e1")</f>
        <v>0</v>
      </c>
      <c r="C23130">
        <f>HYPERLINK("https://android.googlesource.com/platform/cts/+/5a1cbf9b51eaa72e7269fc0354b9eb7b13b15cc4", "5a1cbf9b51eaa72e7269fc0354b9eb7b13b15cc4")</f>
        <v>0</v>
      </c>
      <c r="D23130" t="s">
        <v>5117</v>
      </c>
      <c r="E23130" t="s">
        <v>6858</v>
      </c>
      <c r="F23130" t="s">
        <v>12859</v>
      </c>
      <c r="G23130" t="s">
        <v>17028</v>
      </c>
      <c r="H23130" t="s">
        <v>26689</v>
      </c>
    </row>
    <row r="23131" spans="1:8">
      <c r="F23131" t="s">
        <v>12836</v>
      </c>
      <c r="G23131" t="s">
        <v>17012</v>
      </c>
      <c r="H23131" t="s">
        <v>26690</v>
      </c>
    </row>
    <row r="23132" spans="1:8">
      <c r="A23132" t="s">
        <v>1082</v>
      </c>
      <c r="B23132">
        <f>HYPERLINK("https://android.googlesource.com/platform/cts/+/4720cbd4fdfc6bce9311eddf2dd081e454db7c53", "4720cbd4fdfc6bce9311eddf2dd081e454db7c53")</f>
        <v>0</v>
      </c>
      <c r="C23132">
        <f>HYPERLINK("https://android.googlesource.com/platform/cts/+/7b3ee108ce80c23f99fc5120a762ac93ad8e708a", "7b3ee108ce80c23f99fc5120a762ac93ad8e708a")</f>
        <v>0</v>
      </c>
      <c r="D23132" t="s">
        <v>4949</v>
      </c>
      <c r="E23132" t="s">
        <v>6859</v>
      </c>
      <c r="F23132" t="s">
        <v>12860</v>
      </c>
      <c r="G23132" t="s">
        <v>17029</v>
      </c>
      <c r="H23132" t="s">
        <v>26691</v>
      </c>
    </row>
    <row r="23133" spans="1:8">
      <c r="A23133" t="s">
        <v>1083</v>
      </c>
      <c r="B23133">
        <f>HYPERLINK("https://android.googlesource.com/platform/cts/+/b112f44e5dde4e2c37968c0d4b45b86e28e5fb84", "b112f44e5dde4e2c37968c0d4b45b86e28e5fb84")</f>
        <v>0</v>
      </c>
      <c r="C23133">
        <f>HYPERLINK("https://android.googlesource.com/platform/cts/+/baafc246e58bf2ca31f58af51efc9564db45fa80", "baafc246e58bf2ca31f58af51efc9564db45fa80")</f>
        <v>0</v>
      </c>
      <c r="D23133" t="s">
        <v>5051</v>
      </c>
      <c r="E23133" t="s">
        <v>6860</v>
      </c>
      <c r="F23133" t="s">
        <v>12642</v>
      </c>
      <c r="G23133" t="s">
        <v>16850</v>
      </c>
      <c r="H23133" t="s">
        <v>26692</v>
      </c>
    </row>
    <row r="23134" spans="1:8">
      <c r="H23134" t="s">
        <v>26693</v>
      </c>
    </row>
    <row r="23135" spans="1:8">
      <c r="H23135" t="s">
        <v>26694</v>
      </c>
    </row>
    <row r="23136" spans="1:8">
      <c r="H23136" t="s">
        <v>26695</v>
      </c>
    </row>
    <row r="23137" spans="6:8">
      <c r="H23137" t="s">
        <v>26696</v>
      </c>
    </row>
    <row r="23138" spans="6:8">
      <c r="H23138" t="s">
        <v>26697</v>
      </c>
    </row>
    <row r="23139" spans="6:8">
      <c r="F23139" t="s">
        <v>12861</v>
      </c>
      <c r="G23139" t="s">
        <v>17030</v>
      </c>
      <c r="H23139" t="s">
        <v>26698</v>
      </c>
    </row>
    <row r="23140" spans="6:8">
      <c r="H23140" t="s">
        <v>26699</v>
      </c>
    </row>
    <row r="23141" spans="6:8">
      <c r="H23141" t="s">
        <v>26700</v>
      </c>
    </row>
    <row r="23142" spans="6:8">
      <c r="H23142" t="s">
        <v>26701</v>
      </c>
    </row>
    <row r="23143" spans="6:8">
      <c r="F23143" t="s">
        <v>12862</v>
      </c>
      <c r="G23143" t="s">
        <v>16610</v>
      </c>
      <c r="H23143" t="s">
        <v>26702</v>
      </c>
    </row>
    <row r="23144" spans="6:8">
      <c r="H23144" t="s">
        <v>26703</v>
      </c>
    </row>
    <row r="23145" spans="6:8">
      <c r="H23145" t="s">
        <v>26704</v>
      </c>
    </row>
    <row r="23146" spans="6:8">
      <c r="H23146" t="s">
        <v>26705</v>
      </c>
    </row>
    <row r="23147" spans="6:8">
      <c r="H23147" t="s">
        <v>26706</v>
      </c>
    </row>
    <row r="23148" spans="6:8">
      <c r="F23148" t="s">
        <v>12863</v>
      </c>
      <c r="G23148" t="s">
        <v>17031</v>
      </c>
      <c r="H23148" t="s">
        <v>18829</v>
      </c>
    </row>
    <row r="23149" spans="6:8">
      <c r="H23149" t="s">
        <v>26684</v>
      </c>
    </row>
    <row r="23150" spans="6:8">
      <c r="H23150" t="s">
        <v>26707</v>
      </c>
    </row>
    <row r="23151" spans="6:8">
      <c r="F23151" t="s">
        <v>12864</v>
      </c>
      <c r="G23151" t="s">
        <v>17032</v>
      </c>
      <c r="H23151" t="s">
        <v>26708</v>
      </c>
    </row>
    <row r="23152" spans="6:8">
      <c r="F23152" t="s">
        <v>12865</v>
      </c>
      <c r="G23152" t="s">
        <v>17033</v>
      </c>
      <c r="H23152" t="s">
        <v>26709</v>
      </c>
    </row>
    <row r="23153" spans="1:8">
      <c r="H23153" t="s">
        <v>26710</v>
      </c>
    </row>
    <row r="23154" spans="1:8">
      <c r="H23154" t="s">
        <v>26711</v>
      </c>
    </row>
    <row r="23155" spans="1:8">
      <c r="A23155" t="s">
        <v>1084</v>
      </c>
      <c r="B23155">
        <f>HYPERLINK("https://android.googlesource.com/platform/cts/+/d8d087329468ef6f31cdff517167af1adc1c9bf2", "d8d087329468ef6f31cdff517167af1adc1c9bf2")</f>
        <v>0</v>
      </c>
      <c r="C23155">
        <f>HYPERLINK("https://android.googlesource.com/platform/cts/+/b8adcb8153f944be7e814898fd12bd9815ef86c8", "b8adcb8153f944be7e814898fd12bd9815ef86c8")</f>
        <v>0</v>
      </c>
      <c r="D23155" t="s">
        <v>5046</v>
      </c>
      <c r="E23155" t="s">
        <v>6861</v>
      </c>
      <c r="F23155" t="s">
        <v>10699</v>
      </c>
      <c r="G23155" t="s">
        <v>15099</v>
      </c>
      <c r="H23155" t="s">
        <v>26712</v>
      </c>
    </row>
    <row r="23156" spans="1:8">
      <c r="H23156" t="s">
        <v>26713</v>
      </c>
    </row>
    <row r="23157" spans="1:8">
      <c r="H23157" t="s">
        <v>26714</v>
      </c>
    </row>
    <row r="23158" spans="1:8">
      <c r="H23158" t="s">
        <v>26715</v>
      </c>
    </row>
    <row r="23159" spans="1:8">
      <c r="H23159" t="s">
        <v>26716</v>
      </c>
    </row>
    <row r="23160" spans="1:8">
      <c r="H23160" t="s">
        <v>26717</v>
      </c>
    </row>
    <row r="23161" spans="1:8">
      <c r="H23161" t="s">
        <v>18893</v>
      </c>
    </row>
    <row r="23162" spans="1:8">
      <c r="H23162" t="s">
        <v>26718</v>
      </c>
    </row>
    <row r="23163" spans="1:8">
      <c r="H23163" t="s">
        <v>19132</v>
      </c>
    </row>
    <row r="23164" spans="1:8">
      <c r="H23164" t="s">
        <v>19134</v>
      </c>
    </row>
    <row r="23165" spans="1:8">
      <c r="H23165" t="s">
        <v>19135</v>
      </c>
    </row>
    <row r="23166" spans="1:8">
      <c r="A23166" t="s">
        <v>1085</v>
      </c>
      <c r="B23166">
        <f>HYPERLINK("https://android.googlesource.com/platform/cts/+/fe9883f2e9025d8f86982749e631bbef14b10361", "fe9883f2e9025d8f86982749e631bbef14b10361")</f>
        <v>0</v>
      </c>
      <c r="C23166">
        <f>HYPERLINK("https://android.googlesource.com/platform/cts/+/9adcd0087f4103298af0f3d9031353bca92d6b22", "9adcd0087f4103298af0f3d9031353bca92d6b22")</f>
        <v>0</v>
      </c>
      <c r="D23166" t="s">
        <v>5128</v>
      </c>
      <c r="E23166" t="s">
        <v>6862</v>
      </c>
      <c r="F23166" t="s">
        <v>12866</v>
      </c>
      <c r="G23166" t="s">
        <v>17034</v>
      </c>
      <c r="H23166" t="s">
        <v>26719</v>
      </c>
    </row>
    <row r="23167" spans="1:8">
      <c r="A23167" t="s">
        <v>1086</v>
      </c>
      <c r="B23167">
        <f>HYPERLINK("https://android.googlesource.com/platform/cts/+/7a9c0418f5153976aa47177ed928289d0804dc29", "7a9c0418f5153976aa47177ed928289d0804dc29")</f>
        <v>0</v>
      </c>
      <c r="C23167">
        <f>HYPERLINK("https://android.googlesource.com/platform/cts/+/00d829ce1ded1682d95ea781a52d96b0f19dda11", "00d829ce1ded1682d95ea781a52d96b0f19dda11")</f>
        <v>0</v>
      </c>
      <c r="D23167" t="s">
        <v>5161</v>
      </c>
      <c r="E23167" t="s">
        <v>6863</v>
      </c>
      <c r="F23167" t="s">
        <v>11443</v>
      </c>
      <c r="G23167" t="s">
        <v>15683</v>
      </c>
      <c r="H23167" t="s">
        <v>26720</v>
      </c>
    </row>
    <row r="23168" spans="1:8">
      <c r="A23168" t="s">
        <v>1087</v>
      </c>
      <c r="B23168">
        <f>HYPERLINK("https://android.googlesource.com/platform/cts/+/ca3e9d13bfb15a8b94584549da8a4e23132e719f", "ca3e9d13bfb15a8b94584549da8a4e23132e719f")</f>
        <v>0</v>
      </c>
      <c r="C23168">
        <f>HYPERLINK("https://android.googlesource.com/platform/cts/+/248e1c8c79560e9344cf6efaf7f4a0e328b06b0d", "248e1c8c79560e9344cf6efaf7f4a0e328b06b0d")</f>
        <v>0</v>
      </c>
      <c r="D23168" t="s">
        <v>5143</v>
      </c>
      <c r="E23168" t="s">
        <v>6864</v>
      </c>
      <c r="F23168" t="s">
        <v>12867</v>
      </c>
      <c r="G23168" t="s">
        <v>17035</v>
      </c>
      <c r="H23168" t="s">
        <v>26721</v>
      </c>
    </row>
    <row r="23169" spans="1:8">
      <c r="A23169" t="s">
        <v>1088</v>
      </c>
      <c r="B23169">
        <f>HYPERLINK("https://android.googlesource.com/platform/cts/+/5c7da2012ca43a5a4e7b6936c8edd034729922bb", "5c7da2012ca43a5a4e7b6936c8edd034729922bb")</f>
        <v>0</v>
      </c>
      <c r="C23169">
        <f>HYPERLINK("https://android.googlesource.com/platform/cts/+/248e1c8c79560e9344cf6efaf7f4a0e328b06b0d", "248e1c8c79560e9344cf6efaf7f4a0e328b06b0d")</f>
        <v>0</v>
      </c>
      <c r="D23169" t="s">
        <v>5143</v>
      </c>
      <c r="E23169" t="s">
        <v>6865</v>
      </c>
      <c r="F23169" t="s">
        <v>12868</v>
      </c>
      <c r="G23169" t="s">
        <v>17036</v>
      </c>
      <c r="H23169" t="s">
        <v>20372</v>
      </c>
    </row>
    <row r="23170" spans="1:8">
      <c r="A23170" t="s">
        <v>1089</v>
      </c>
      <c r="B23170">
        <f>HYPERLINK("https://android.googlesource.com/platform/cts/+/1f86ab8d816d9356091e11da2b2f9383c40207a0", "1f86ab8d816d9356091e11da2b2f9383c40207a0")</f>
        <v>0</v>
      </c>
      <c r="C23170">
        <f>HYPERLINK("https://android.googlesource.com/platform/cts/+/e4d763b548cb3619771a0db63da12bc2f2901140", "e4d763b548cb3619771a0db63da12bc2f2901140")</f>
        <v>0</v>
      </c>
      <c r="D23170" t="s">
        <v>4994</v>
      </c>
      <c r="E23170" t="s">
        <v>6866</v>
      </c>
      <c r="F23170" t="s">
        <v>12869</v>
      </c>
      <c r="G23170" t="s">
        <v>17037</v>
      </c>
      <c r="H23170" t="s">
        <v>26722</v>
      </c>
    </row>
    <row r="23171" spans="1:8">
      <c r="F23171" t="s">
        <v>12870</v>
      </c>
      <c r="G23171" t="s">
        <v>17038</v>
      </c>
      <c r="H23171" t="s">
        <v>26723</v>
      </c>
    </row>
    <row r="23172" spans="1:8">
      <c r="A23172" t="s">
        <v>1090</v>
      </c>
      <c r="B23172">
        <f>HYPERLINK("https://android.googlesource.com/platform/cts/+/6b15fbbd5b6fa35ba9daf8229ffdfb126d694703", "6b15fbbd5b6fa35ba9daf8229ffdfb126d694703")</f>
        <v>0</v>
      </c>
      <c r="C23172">
        <f>HYPERLINK("https://android.googlesource.com/platform/cts/+/ab72e386268e871c8aca4c364c382f6c970adb4b", "ab72e386268e871c8aca4c364c382f6c970adb4b")</f>
        <v>0</v>
      </c>
      <c r="D23172" t="s">
        <v>5162</v>
      </c>
      <c r="E23172" t="s">
        <v>6867</v>
      </c>
      <c r="F23172" t="s">
        <v>12871</v>
      </c>
      <c r="G23172" t="s">
        <v>17039</v>
      </c>
      <c r="H23172" t="s">
        <v>26724</v>
      </c>
    </row>
    <row r="23173" spans="1:8">
      <c r="A23173" t="s">
        <v>1091</v>
      </c>
      <c r="B23173">
        <f>HYPERLINK("https://android.googlesource.com/platform/cts/+/d024365293b05aaa94b9015a27702b7d1ce7a0c6", "d024365293b05aaa94b9015a27702b7d1ce7a0c6")</f>
        <v>0</v>
      </c>
      <c r="C23173">
        <f>HYPERLINK("https://android.googlesource.com/platform/cts/+/8de4a1468f121bf1befe0eb9ac695499ba0243d7", "8de4a1468f121bf1befe0eb9ac695499ba0243d7")</f>
        <v>0</v>
      </c>
      <c r="D23173" t="s">
        <v>5163</v>
      </c>
      <c r="E23173" t="s">
        <v>6868</v>
      </c>
      <c r="F23173" t="s">
        <v>12872</v>
      </c>
      <c r="G23173" t="s">
        <v>17040</v>
      </c>
      <c r="H23173" t="s">
        <v>26725</v>
      </c>
    </row>
    <row r="23174" spans="1:8">
      <c r="H23174" t="s">
        <v>26726</v>
      </c>
    </row>
    <row r="23175" spans="1:8">
      <c r="H23175" t="s">
        <v>26727</v>
      </c>
    </row>
    <row r="23176" spans="1:8">
      <c r="F23176" t="s">
        <v>12629</v>
      </c>
      <c r="G23176" t="s">
        <v>16838</v>
      </c>
      <c r="H23176" t="s">
        <v>26728</v>
      </c>
    </row>
    <row r="23177" spans="1:8">
      <c r="A23177" t="s">
        <v>1092</v>
      </c>
      <c r="B23177">
        <f>HYPERLINK("https://android.googlesource.com/platform/cts/+/c4fa4dbd5a83c10d33021d9c8dfaa56c82248087", "c4fa4dbd5a83c10d33021d9c8dfaa56c82248087")</f>
        <v>0</v>
      </c>
      <c r="C23177">
        <f>HYPERLINK("https://android.googlesource.com/platform/cts/+/9a70fff3358270d42595c2f0106cedd777213b33", "9a70fff3358270d42595c2f0106cedd777213b33")</f>
        <v>0</v>
      </c>
      <c r="D23177" t="s">
        <v>5143</v>
      </c>
      <c r="E23177" t="s">
        <v>6869</v>
      </c>
      <c r="F23177" t="s">
        <v>12873</v>
      </c>
      <c r="G23177" t="s">
        <v>17041</v>
      </c>
      <c r="H23177" t="s">
        <v>18877</v>
      </c>
    </row>
    <row r="23178" spans="1:8">
      <c r="H23178" t="s">
        <v>26729</v>
      </c>
    </row>
    <row r="23179" spans="1:8">
      <c r="H23179" t="s">
        <v>26730</v>
      </c>
    </row>
    <row r="23180" spans="1:8">
      <c r="H23180" t="s">
        <v>26731</v>
      </c>
    </row>
    <row r="23181" spans="1:8">
      <c r="H23181" t="s">
        <v>26732</v>
      </c>
    </row>
    <row r="23182" spans="1:8">
      <c r="H23182" t="s">
        <v>18893</v>
      </c>
    </row>
    <row r="23183" spans="1:8">
      <c r="A23183" t="s">
        <v>1093</v>
      </c>
      <c r="B23183">
        <f>HYPERLINK("https://android.googlesource.com/platform/cts/+/3f071d64780d4598023a4fcbd3b695c8e814a979", "3f071d64780d4598023a4fcbd3b695c8e814a979")</f>
        <v>0</v>
      </c>
      <c r="C23183">
        <f>HYPERLINK("https://android.googlesource.com/platform/cts/+/fd8c5bdace0a311ff5271f03507dceb93c9110de", "fd8c5bdace0a311ff5271f03507dceb93c9110de")</f>
        <v>0</v>
      </c>
      <c r="D23183" t="s">
        <v>5163</v>
      </c>
      <c r="E23183" t="s">
        <v>6870</v>
      </c>
      <c r="F23183" t="s">
        <v>12874</v>
      </c>
      <c r="G23183" t="s">
        <v>17042</v>
      </c>
      <c r="H23183" t="s">
        <v>26733</v>
      </c>
    </row>
    <row r="23184" spans="1:8">
      <c r="A23184" t="s">
        <v>1094</v>
      </c>
      <c r="B23184">
        <f>HYPERLINK("https://android.googlesource.com/platform/cts/+/abe323d0355523f8feae3f53f9ef2000255fc45d", "abe323d0355523f8feae3f53f9ef2000255fc45d")</f>
        <v>0</v>
      </c>
      <c r="C23184">
        <f>HYPERLINK("https://android.googlesource.com/platform/cts/+/f995e9586cd0aa878e1e9a0bbb89971b69db0d65", "f995e9586cd0aa878e1e9a0bbb89971b69db0d65")</f>
        <v>0</v>
      </c>
      <c r="D23184" t="s">
        <v>4960</v>
      </c>
      <c r="E23184" t="s">
        <v>6871</v>
      </c>
      <c r="F23184" t="s">
        <v>12875</v>
      </c>
      <c r="G23184" t="s">
        <v>17043</v>
      </c>
      <c r="H23184" t="s">
        <v>25497</v>
      </c>
    </row>
    <row r="23185" spans="1:8">
      <c r="H23185" t="s">
        <v>19232</v>
      </c>
    </row>
    <row r="23186" spans="1:8">
      <c r="H23186" t="s">
        <v>19233</v>
      </c>
    </row>
    <row r="23187" spans="1:8">
      <c r="H23187" t="s">
        <v>26734</v>
      </c>
    </row>
    <row r="23188" spans="1:8">
      <c r="H23188" t="s">
        <v>26735</v>
      </c>
    </row>
    <row r="23189" spans="1:8">
      <c r="H23189" t="s">
        <v>26736</v>
      </c>
    </row>
    <row r="23190" spans="1:8">
      <c r="H23190" t="s">
        <v>19230</v>
      </c>
    </row>
    <row r="23191" spans="1:8">
      <c r="H23191" t="s">
        <v>18927</v>
      </c>
    </row>
    <row r="23192" spans="1:8">
      <c r="H23192" t="s">
        <v>26737</v>
      </c>
    </row>
    <row r="23193" spans="1:8">
      <c r="H23193" t="s">
        <v>26738</v>
      </c>
    </row>
    <row r="23194" spans="1:8">
      <c r="H23194" t="s">
        <v>20244</v>
      </c>
    </row>
    <row r="23195" spans="1:8">
      <c r="H23195" t="s">
        <v>26739</v>
      </c>
    </row>
    <row r="23196" spans="1:8">
      <c r="H23196" t="s">
        <v>26740</v>
      </c>
    </row>
    <row r="23197" spans="1:8">
      <c r="H23197" t="s">
        <v>26741</v>
      </c>
    </row>
    <row r="23198" spans="1:8">
      <c r="A23198" t="s">
        <v>1095</v>
      </c>
      <c r="B23198">
        <f>HYPERLINK("https://android.googlesource.com/platform/cts/+/05d4d4b42c1ca3916494f3be0b7783c5405a51ec", "05d4d4b42c1ca3916494f3be0b7783c5405a51ec")</f>
        <v>0</v>
      </c>
      <c r="C23198">
        <f>HYPERLINK("https://android.googlesource.com/platform/cts/+/a3566abb9a888a8fac82e636acb93665737be332", "a3566abb9a888a8fac82e636acb93665737be332")</f>
        <v>0</v>
      </c>
      <c r="D23198" t="s">
        <v>5046</v>
      </c>
      <c r="E23198" t="s">
        <v>6872</v>
      </c>
      <c r="F23198" t="s">
        <v>10604</v>
      </c>
      <c r="G23198" t="s">
        <v>15007</v>
      </c>
      <c r="H23198" t="s">
        <v>26742</v>
      </c>
    </row>
    <row r="23199" spans="1:8">
      <c r="A23199" t="s">
        <v>1096</v>
      </c>
      <c r="B23199">
        <f>HYPERLINK("https://android.googlesource.com/platform/cts/+/1f2cd960c6503c7f0c1b8e540a2df4a2c38c3351", "1f2cd960c6503c7f0c1b8e540a2df4a2c38c3351")</f>
        <v>0</v>
      </c>
      <c r="C23199">
        <f>HYPERLINK("https://android.googlesource.com/platform/cts/+/9828ff9738239467a638dd5a9fec7da0ab717595", "9828ff9738239467a638dd5a9fec7da0ab717595")</f>
        <v>0</v>
      </c>
      <c r="D23199" t="s">
        <v>5118</v>
      </c>
      <c r="E23199" t="s">
        <v>6873</v>
      </c>
      <c r="F23199" t="s">
        <v>10744</v>
      </c>
      <c r="G23199" t="s">
        <v>15143</v>
      </c>
      <c r="H23199" t="s">
        <v>26458</v>
      </c>
    </row>
    <row r="23200" spans="1:8">
      <c r="A23200" t="s">
        <v>1097</v>
      </c>
      <c r="B23200">
        <f>HYPERLINK("https://android.googlesource.com/platform/cts/+/067e9dcaac6c422116eb42b5deaac86d0fbd0e5b", "067e9dcaac6c422116eb42b5deaac86d0fbd0e5b")</f>
        <v>0</v>
      </c>
      <c r="C23200">
        <f>HYPERLINK("https://android.googlesource.com/platform/cts/+/58d6687efe9cc26126d2dd1ffd4299c53b576edb", "58d6687efe9cc26126d2dd1ffd4299c53b576edb")</f>
        <v>0</v>
      </c>
      <c r="D23200" t="s">
        <v>5146</v>
      </c>
      <c r="E23200" t="s">
        <v>6874</v>
      </c>
      <c r="F23200" t="s">
        <v>12803</v>
      </c>
      <c r="G23200" t="s">
        <v>16985</v>
      </c>
      <c r="H23200" t="s">
        <v>26743</v>
      </c>
    </row>
    <row r="23201" spans="1:8">
      <c r="A23201" t="s">
        <v>1098</v>
      </c>
      <c r="B23201">
        <f>HYPERLINK("https://android.googlesource.com/platform/cts/+/acccd2a2f455e6216e14f5730e1d35f399bb9a11", "acccd2a2f455e6216e14f5730e1d35f399bb9a11")</f>
        <v>0</v>
      </c>
      <c r="C23201">
        <f>HYPERLINK("https://android.googlesource.com/platform/cts/+/f3ade32f6f48ce3ae5bff75a42b18ef40173441d", "f3ade32f6f48ce3ae5bff75a42b18ef40173441d")</f>
        <v>0</v>
      </c>
      <c r="D23201" t="s">
        <v>5157</v>
      </c>
      <c r="E23201" t="s">
        <v>6875</v>
      </c>
      <c r="F23201" t="s">
        <v>12651</v>
      </c>
      <c r="G23201" t="s">
        <v>16857</v>
      </c>
      <c r="H23201" t="s">
        <v>26744</v>
      </c>
    </row>
    <row r="23202" spans="1:8">
      <c r="A23202" t="s">
        <v>1099</v>
      </c>
      <c r="B23202">
        <f>HYPERLINK("https://android.googlesource.com/platform/cts/+/3d867083902fce9517a0f4b8190e36b5e037f059", "3d867083902fce9517a0f4b8190e36b5e037f059")</f>
        <v>0</v>
      </c>
      <c r="C23202">
        <f>HYPERLINK("https://android.googlesource.com/platform/cts/+/b737f5e327aa9315a8b576bb363b5ead3d0ca19d", "b737f5e327aa9315a8b576bb363b5ead3d0ca19d")</f>
        <v>0</v>
      </c>
      <c r="D23202" t="s">
        <v>5018</v>
      </c>
      <c r="E23202" t="s">
        <v>6876</v>
      </c>
      <c r="F23202" t="s">
        <v>12876</v>
      </c>
      <c r="G23202" t="s">
        <v>17018</v>
      </c>
      <c r="H23202" t="s">
        <v>26618</v>
      </c>
    </row>
    <row r="23203" spans="1:8">
      <c r="H23203" t="s">
        <v>26745</v>
      </c>
    </row>
    <row r="23204" spans="1:8">
      <c r="A23204" t="s">
        <v>1100</v>
      </c>
      <c r="B23204">
        <f>HYPERLINK("https://android.googlesource.com/platform/cts/+/9023598e21e3972f6deb58fcf9864a853ca38766", "9023598e21e3972f6deb58fcf9864a853ca38766")</f>
        <v>0</v>
      </c>
      <c r="C23204">
        <f>HYPERLINK("https://android.googlesource.com/platform/cts/+/a96231f250be67dccd12c1cf2049014f55ab6194", "a96231f250be67dccd12c1cf2049014f55ab6194")</f>
        <v>0</v>
      </c>
      <c r="D23204" t="s">
        <v>5060</v>
      </c>
      <c r="E23204" t="s">
        <v>6877</v>
      </c>
      <c r="F23204" t="s">
        <v>11443</v>
      </c>
      <c r="G23204" t="s">
        <v>15683</v>
      </c>
      <c r="H23204" t="s">
        <v>21238</v>
      </c>
    </row>
    <row r="23205" spans="1:8">
      <c r="A23205" t="s">
        <v>1101</v>
      </c>
      <c r="B23205">
        <f>HYPERLINK("https://android.googlesource.com/platform/cts/+/9209cad77e695d57dfff4cce26d8b8d9c1b614cc", "9209cad77e695d57dfff4cce26d8b8d9c1b614cc")</f>
        <v>0</v>
      </c>
      <c r="C23205">
        <f>HYPERLINK("https://android.googlesource.com/platform/cts/+/054bec79abb50148dc59ef558e86686c153e3a50", "054bec79abb50148dc59ef558e86686c153e3a50")</f>
        <v>0</v>
      </c>
      <c r="D23205" t="s">
        <v>5046</v>
      </c>
      <c r="E23205" t="s">
        <v>6878</v>
      </c>
      <c r="F23205" t="s">
        <v>12877</v>
      </c>
      <c r="G23205" t="s">
        <v>17044</v>
      </c>
      <c r="H23205" t="s">
        <v>18829</v>
      </c>
    </row>
    <row r="23206" spans="1:8">
      <c r="H23206" t="s">
        <v>18863</v>
      </c>
    </row>
    <row r="23207" spans="1:8">
      <c r="H23207" t="s">
        <v>26746</v>
      </c>
    </row>
    <row r="23208" spans="1:8">
      <c r="H23208" t="s">
        <v>26747</v>
      </c>
    </row>
    <row r="23209" spans="1:8">
      <c r="H23209" t="s">
        <v>26748</v>
      </c>
    </row>
    <row r="23210" spans="1:8">
      <c r="A23210" t="s">
        <v>1102</v>
      </c>
      <c r="B23210">
        <f>HYPERLINK("https://android.googlesource.com/platform/cts/+/457d865d31014f84d4f0e332fe901abc8473b765", "457d865d31014f84d4f0e332fe901abc8473b765")</f>
        <v>0</v>
      </c>
      <c r="C23210">
        <f>HYPERLINK("https://android.googlesource.com/platform/cts/+/118fc1920a914be614f6144c5eaa56619173f373", "118fc1920a914be614f6144c5eaa56619173f373")</f>
        <v>0</v>
      </c>
      <c r="D23210" t="s">
        <v>5018</v>
      </c>
      <c r="E23210" t="s">
        <v>6879</v>
      </c>
      <c r="F23210" t="s">
        <v>12878</v>
      </c>
      <c r="G23210" t="s">
        <v>17045</v>
      </c>
      <c r="H23210" t="s">
        <v>26749</v>
      </c>
    </row>
    <row r="23211" spans="1:8">
      <c r="A23211" t="s">
        <v>1103</v>
      </c>
      <c r="B23211">
        <f>HYPERLINK("https://android.googlesource.com/platform/cts/+/4397789dd4476992249665c39b31353a3d79cd9b", "4397789dd4476992249665c39b31353a3d79cd9b")</f>
        <v>0</v>
      </c>
      <c r="C23211">
        <f>HYPERLINK("https://android.googlesource.com/platform/cts/+/44c41dbdeda175dc559c14f534d232119463989f", "44c41dbdeda175dc559c14f534d232119463989f")</f>
        <v>0</v>
      </c>
      <c r="D23211" t="s">
        <v>5164</v>
      </c>
      <c r="E23211" t="s">
        <v>6880</v>
      </c>
      <c r="F23211" t="s">
        <v>12710</v>
      </c>
      <c r="G23211" t="s">
        <v>16911</v>
      </c>
      <c r="H23211" t="s">
        <v>26750</v>
      </c>
    </row>
    <row r="23212" spans="1:8">
      <c r="A23212" t="s">
        <v>1104</v>
      </c>
      <c r="B23212">
        <f>HYPERLINK("https://android.googlesource.com/platform/cts/+/1a761d37d96c42714a2f758f5194c3da836e4619", "1a761d37d96c42714a2f758f5194c3da836e4619")</f>
        <v>0</v>
      </c>
      <c r="C23212">
        <f>HYPERLINK("https://android.googlesource.com/platform/cts/+/dc5f5356758fe292c570e7d25c01cf65111c71d8", "dc5f5356758fe292c570e7d25c01cf65111c71d8")</f>
        <v>0</v>
      </c>
      <c r="D23212" t="s">
        <v>4949</v>
      </c>
      <c r="E23212" t="s">
        <v>6881</v>
      </c>
      <c r="F23212" t="s">
        <v>12879</v>
      </c>
      <c r="G23212" t="s">
        <v>17046</v>
      </c>
      <c r="H23212" t="s">
        <v>26751</v>
      </c>
    </row>
    <row r="23213" spans="1:8">
      <c r="H23213" t="s">
        <v>26752</v>
      </c>
    </row>
    <row r="23214" spans="1:8">
      <c r="H23214" t="s">
        <v>26753</v>
      </c>
    </row>
    <row r="23215" spans="1:8">
      <c r="H23215" t="s">
        <v>26754</v>
      </c>
    </row>
    <row r="23216" spans="1:8">
      <c r="H23216" t="s">
        <v>26755</v>
      </c>
    </row>
    <row r="23217" spans="1:8">
      <c r="H23217" t="s">
        <v>26756</v>
      </c>
    </row>
    <row r="23218" spans="1:8">
      <c r="H23218" t="s">
        <v>26757</v>
      </c>
    </row>
    <row r="23219" spans="1:8">
      <c r="H23219" t="s">
        <v>26758</v>
      </c>
    </row>
    <row r="23220" spans="1:8">
      <c r="H23220" t="s">
        <v>26759</v>
      </c>
    </row>
    <row r="23221" spans="1:8">
      <c r="H23221" t="s">
        <v>26760</v>
      </c>
    </row>
    <row r="23222" spans="1:8">
      <c r="H23222" t="s">
        <v>26761</v>
      </c>
    </row>
    <row r="23223" spans="1:8">
      <c r="F23223" t="s">
        <v>12880</v>
      </c>
      <c r="G23223" t="s">
        <v>17047</v>
      </c>
      <c r="H23223" t="s">
        <v>20441</v>
      </c>
    </row>
    <row r="23224" spans="1:8">
      <c r="H23224" t="s">
        <v>26762</v>
      </c>
    </row>
    <row r="23225" spans="1:8">
      <c r="H23225" t="s">
        <v>26751</v>
      </c>
    </row>
    <row r="23226" spans="1:8">
      <c r="H23226" t="s">
        <v>26752</v>
      </c>
    </row>
    <row r="23227" spans="1:8">
      <c r="H23227" t="s">
        <v>26753</v>
      </c>
    </row>
    <row r="23228" spans="1:8">
      <c r="H23228" t="s">
        <v>26754</v>
      </c>
    </row>
    <row r="23229" spans="1:8">
      <c r="H23229" t="s">
        <v>26755</v>
      </c>
    </row>
    <row r="23230" spans="1:8">
      <c r="F23230" t="s">
        <v>12881</v>
      </c>
      <c r="G23230" t="s">
        <v>17048</v>
      </c>
      <c r="H23230" t="s">
        <v>26756</v>
      </c>
    </row>
    <row r="23231" spans="1:8">
      <c r="H23231" t="s">
        <v>26757</v>
      </c>
    </row>
    <row r="23232" spans="1:8">
      <c r="A23232" t="s">
        <v>1105</v>
      </c>
      <c r="B23232">
        <f>HYPERLINK("https://android.googlesource.com/platform/cts/+/a6e9a933aa7dbcc139959bed43f8d2b486d7e6d7", "a6e9a933aa7dbcc139959bed43f8d2b486d7e6d7")</f>
        <v>0</v>
      </c>
      <c r="C23232">
        <f>HYPERLINK("https://android.googlesource.com/platform/cts/+/ab6a2f58761e479429b7fe04ecf977e2112e7257", "ab6a2f58761e479429b7fe04ecf977e2112e7257")</f>
        <v>0</v>
      </c>
      <c r="D23232" t="s">
        <v>5143</v>
      </c>
      <c r="E23232" t="s">
        <v>6882</v>
      </c>
      <c r="F23232" t="s">
        <v>12882</v>
      </c>
      <c r="G23232" t="s">
        <v>17049</v>
      </c>
      <c r="H23232" t="s">
        <v>26763</v>
      </c>
    </row>
    <row r="23233" spans="1:8">
      <c r="A23233" t="s">
        <v>1106</v>
      </c>
      <c r="B23233">
        <f>HYPERLINK("https://android.googlesource.com/platform/cts/+/b9baf3c299f438a2a5124c71cde23c6a53e2f519", "b9baf3c299f438a2a5124c71cde23c6a53e2f519")</f>
        <v>0</v>
      </c>
      <c r="C23233">
        <f>HYPERLINK("https://android.googlesource.com/platform/cts/+/fa6888bc1d53d2f041be010b0fbba089a9966226", "fa6888bc1d53d2f041be010b0fbba089a9966226")</f>
        <v>0</v>
      </c>
      <c r="D23233" t="s">
        <v>5098</v>
      </c>
      <c r="E23233" t="s">
        <v>6883</v>
      </c>
      <c r="F23233" t="s">
        <v>12883</v>
      </c>
      <c r="G23233" t="s">
        <v>17050</v>
      </c>
      <c r="H23233" t="s">
        <v>26764</v>
      </c>
    </row>
    <row r="23234" spans="1:8">
      <c r="A23234" t="s">
        <v>1107</v>
      </c>
      <c r="B23234">
        <f>HYPERLINK("https://android.googlesource.com/platform/cts/+/68de967aa4b55a550db4e20401d30c48e671b597", "68de967aa4b55a550db4e20401d30c48e671b597")</f>
        <v>0</v>
      </c>
      <c r="C23234">
        <f>HYPERLINK("https://android.googlesource.com/platform/cts/+/be5bc373a6117cfcc2efd691d7ed08f4e10290d2", "be5bc373a6117cfcc2efd691d7ed08f4e10290d2")</f>
        <v>0</v>
      </c>
      <c r="D23234" t="s">
        <v>5098</v>
      </c>
      <c r="E23234" t="s">
        <v>6884</v>
      </c>
      <c r="F23234" t="s">
        <v>12884</v>
      </c>
      <c r="G23234" t="s">
        <v>17051</v>
      </c>
      <c r="H23234" t="s">
        <v>26765</v>
      </c>
    </row>
    <row r="23235" spans="1:8">
      <c r="H23235" t="s">
        <v>26766</v>
      </c>
    </row>
    <row r="23236" spans="1:8">
      <c r="H23236" t="s">
        <v>26767</v>
      </c>
    </row>
    <row r="23237" spans="1:8">
      <c r="A23237" t="s">
        <v>1108</v>
      </c>
      <c r="B23237">
        <f>HYPERLINK("https://android.googlesource.com/platform/cts/+/728765e79f277f54b4ec152ae407434477e8f1f8", "728765e79f277f54b4ec152ae407434477e8f1f8")</f>
        <v>0</v>
      </c>
      <c r="C23237">
        <f>HYPERLINK("https://android.googlesource.com/platform/cts/+/fe6dc2b966686da65dae3e0766e56bf25844500c", "fe6dc2b966686da65dae3e0766e56bf25844500c")</f>
        <v>0</v>
      </c>
      <c r="D23237" t="s">
        <v>5098</v>
      </c>
      <c r="E23237" t="s">
        <v>6883</v>
      </c>
      <c r="F23237" t="s">
        <v>12883</v>
      </c>
      <c r="G23237" t="s">
        <v>17050</v>
      </c>
      <c r="H23237" t="s">
        <v>26764</v>
      </c>
    </row>
    <row r="23238" spans="1:8">
      <c r="A23238" t="s">
        <v>1109</v>
      </c>
      <c r="B23238">
        <f>HYPERLINK("https://android.googlesource.com/platform/cts/+/b0ab4e1de182aa6dcc7f07c561b378f18a70f0dd", "b0ab4e1de182aa6dcc7f07c561b378f18a70f0dd")</f>
        <v>0</v>
      </c>
      <c r="C23238">
        <f>HYPERLINK("https://android.googlesource.com/platform/cts/+/fe6dc2b966686da65dae3e0766e56bf25844500c", "fe6dc2b966686da65dae3e0766e56bf25844500c")</f>
        <v>0</v>
      </c>
      <c r="D23238" t="s">
        <v>5098</v>
      </c>
      <c r="E23238" t="s">
        <v>6884</v>
      </c>
      <c r="F23238" t="s">
        <v>12884</v>
      </c>
      <c r="G23238" t="s">
        <v>17051</v>
      </c>
      <c r="H23238" t="s">
        <v>26765</v>
      </c>
    </row>
    <row r="23239" spans="1:8">
      <c r="H23239" t="s">
        <v>26766</v>
      </c>
    </row>
    <row r="23240" spans="1:8">
      <c r="H23240" t="s">
        <v>26767</v>
      </c>
    </row>
    <row r="23241" spans="1:8">
      <c r="A23241" t="s">
        <v>1110</v>
      </c>
      <c r="B23241">
        <f>HYPERLINK("https://android.googlesource.com/platform/cts/+/e91f1a61e8f1cede1cc994c9e9477f4700a3c1c4", "e91f1a61e8f1cede1cc994c9e9477f4700a3c1c4")</f>
        <v>0</v>
      </c>
      <c r="C23241">
        <f>HYPERLINK("https://android.googlesource.com/platform/cts/+/ceeb146d581f8c81d46a964c1909adc345ada9df", "ceeb146d581f8c81d46a964c1909adc345ada9df")</f>
        <v>0</v>
      </c>
      <c r="D23241" t="s">
        <v>5068</v>
      </c>
      <c r="E23241" t="s">
        <v>6885</v>
      </c>
      <c r="F23241" t="s">
        <v>12766</v>
      </c>
      <c r="G23241" t="s">
        <v>16940</v>
      </c>
      <c r="H23241" t="s">
        <v>26768</v>
      </c>
    </row>
    <row r="23242" spans="1:8">
      <c r="F23242" t="s">
        <v>12749</v>
      </c>
      <c r="G23242" t="s">
        <v>16940</v>
      </c>
      <c r="H23242" t="s">
        <v>18863</v>
      </c>
    </row>
    <row r="23243" spans="1:8">
      <c r="H23243" t="s">
        <v>26769</v>
      </c>
    </row>
    <row r="23244" spans="1:8">
      <c r="F23244" t="s">
        <v>12750</v>
      </c>
      <c r="G23244" t="s">
        <v>16941</v>
      </c>
      <c r="H23244" t="s">
        <v>18863</v>
      </c>
    </row>
    <row r="23245" spans="1:8">
      <c r="H23245" t="s">
        <v>26770</v>
      </c>
    </row>
    <row r="23246" spans="1:8">
      <c r="F23246" t="s">
        <v>12763</v>
      </c>
      <c r="G23246" t="s">
        <v>16940</v>
      </c>
      <c r="H23246" t="s">
        <v>18863</v>
      </c>
    </row>
    <row r="23247" spans="1:8">
      <c r="H23247" t="s">
        <v>26769</v>
      </c>
    </row>
    <row r="23248" spans="1:8">
      <c r="H23248" t="s">
        <v>26771</v>
      </c>
    </row>
    <row r="23249" spans="1:8">
      <c r="F23249" t="s">
        <v>12762</v>
      </c>
      <c r="G23249" t="s">
        <v>16953</v>
      </c>
      <c r="H23249" t="s">
        <v>26772</v>
      </c>
    </row>
    <row r="23250" spans="1:8">
      <c r="A23250" t="s">
        <v>1111</v>
      </c>
      <c r="B23250">
        <f>HYPERLINK("https://android.googlesource.com/platform/cts/+/204e44d213093f8eb813540f7e9f4fb40a7cb15e", "204e44d213093f8eb813540f7e9f4fb40a7cb15e")</f>
        <v>0</v>
      </c>
      <c r="C23250">
        <f>HYPERLINK("https://android.googlesource.com/platform/cts/+/567b1c7ef109afd60beb011693d1fa370bea0e50", "567b1c7ef109afd60beb011693d1fa370bea0e50")</f>
        <v>0</v>
      </c>
      <c r="D23250" t="s">
        <v>5146</v>
      </c>
      <c r="E23250" t="s">
        <v>6886</v>
      </c>
      <c r="F23250" t="s">
        <v>12845</v>
      </c>
      <c r="G23250" t="s">
        <v>16561</v>
      </c>
      <c r="H23250" t="s">
        <v>26773</v>
      </c>
    </row>
    <row r="23251" spans="1:8">
      <c r="H23251" t="s">
        <v>26774</v>
      </c>
    </row>
    <row r="23252" spans="1:8">
      <c r="H23252" t="s">
        <v>26775</v>
      </c>
    </row>
    <row r="23253" spans="1:8">
      <c r="H23253" t="s">
        <v>26776</v>
      </c>
    </row>
    <row r="23254" spans="1:8">
      <c r="H23254" t="s">
        <v>26777</v>
      </c>
    </row>
    <row r="23255" spans="1:8">
      <c r="H23255" t="s">
        <v>26778</v>
      </c>
    </row>
    <row r="23256" spans="1:8">
      <c r="A23256" t="s">
        <v>1112</v>
      </c>
      <c r="B23256">
        <f>HYPERLINK("https://android.googlesource.com/platform/cts/+/5e051e4ecce662083562475ce77272a15a01b88c", "5e051e4ecce662083562475ce77272a15a01b88c")</f>
        <v>0</v>
      </c>
      <c r="C23256">
        <f>HYPERLINK("https://android.googlesource.com/platform/cts/+/cdb30f18e44f14b32cfe76c572af22f82a816a00", "cdb30f18e44f14b32cfe76c572af22f82a816a00")</f>
        <v>0</v>
      </c>
      <c r="D23256" t="s">
        <v>4949</v>
      </c>
      <c r="E23256" t="s">
        <v>6887</v>
      </c>
      <c r="F23256" t="s">
        <v>12879</v>
      </c>
      <c r="G23256" t="s">
        <v>17046</v>
      </c>
      <c r="H23256" t="s">
        <v>26779</v>
      </c>
    </row>
    <row r="23257" spans="1:8">
      <c r="A23257" t="s">
        <v>1113</v>
      </c>
      <c r="B23257">
        <f>HYPERLINK("https://android.googlesource.com/platform/cts/+/e0c8636a09e79dcf07a5c56b54d87a9eb26d8320", "e0c8636a09e79dcf07a5c56b54d87a9eb26d8320")</f>
        <v>0</v>
      </c>
      <c r="C23257">
        <f>HYPERLINK("https://android.googlesource.com/platform/cts/+/9e077dd6f6733a15b38ead82b3b26b4d6890d460", "9e077dd6f6733a15b38ead82b3b26b4d6890d460")</f>
        <v>0</v>
      </c>
      <c r="D23257" t="s">
        <v>5126</v>
      </c>
      <c r="E23257" t="s">
        <v>6888</v>
      </c>
      <c r="F23257" t="s">
        <v>12744</v>
      </c>
      <c r="G23257" t="s">
        <v>16936</v>
      </c>
      <c r="H23257" t="s">
        <v>26780</v>
      </c>
    </row>
    <row r="23258" spans="1:8">
      <c r="A23258" t="s">
        <v>1114</v>
      </c>
      <c r="B23258">
        <f>HYPERLINK("https://android.googlesource.com/platform/cts/+/13f91d9c0761388b58426f7022b42ad504048c4c", "13f91d9c0761388b58426f7022b42ad504048c4c")</f>
        <v>0</v>
      </c>
      <c r="C23258">
        <f>HYPERLINK("https://android.googlesource.com/platform/cts/+/d2ef643f7a3a1f12e35d23545cc63dbfe277f084", "d2ef643f7a3a1f12e35d23545cc63dbfe277f084")</f>
        <v>0</v>
      </c>
      <c r="D23258" t="s">
        <v>5059</v>
      </c>
      <c r="E23258" t="s">
        <v>6889</v>
      </c>
      <c r="F23258" t="s">
        <v>12885</v>
      </c>
      <c r="G23258" t="s">
        <v>17052</v>
      </c>
      <c r="H23258" t="s">
        <v>26781</v>
      </c>
    </row>
    <row r="23259" spans="1:8">
      <c r="A23259" t="s">
        <v>1115</v>
      </c>
      <c r="B23259">
        <f>HYPERLINK("https://android.googlesource.com/platform/cts/+/6a836e7dbca236c907863da4eecc67f00856c58c", "6a836e7dbca236c907863da4eecc67f00856c58c")</f>
        <v>0</v>
      </c>
      <c r="C23259">
        <f>HYPERLINK("https://android.googlesource.com/platform/cts/+/1bdc00624f128efb0c4895b8fa621d0b181472c1", "1bdc00624f128efb0c4895b8fa621d0b181472c1")</f>
        <v>0</v>
      </c>
      <c r="D23259" t="s">
        <v>5059</v>
      </c>
      <c r="E23259" t="s">
        <v>6890</v>
      </c>
      <c r="F23259" t="s">
        <v>12885</v>
      </c>
      <c r="G23259" t="s">
        <v>17052</v>
      </c>
      <c r="H23259" t="s">
        <v>26782</v>
      </c>
    </row>
    <row r="23260" spans="1:8">
      <c r="H23260" t="s">
        <v>26783</v>
      </c>
    </row>
    <row r="23261" spans="1:8">
      <c r="H23261" t="s">
        <v>26784</v>
      </c>
    </row>
    <row r="23262" spans="1:8">
      <c r="A23262" t="s">
        <v>1116</v>
      </c>
      <c r="B23262">
        <f>HYPERLINK("https://android.googlesource.com/platform/cts/+/672aadc118d9e05538bf5ab919926634481f34c9", "672aadc118d9e05538bf5ab919926634481f34c9")</f>
        <v>0</v>
      </c>
      <c r="C23262">
        <f>HYPERLINK("https://android.googlesource.com/platform/cts/+/f7842fcc312d0dea6fadfac940a53ec6c793625a", "f7842fcc312d0dea6fadfac940a53ec6c793625a")</f>
        <v>0</v>
      </c>
      <c r="D23262" t="s">
        <v>5165</v>
      </c>
      <c r="E23262" t="s">
        <v>6891</v>
      </c>
      <c r="F23262" t="s">
        <v>10604</v>
      </c>
      <c r="G23262" t="s">
        <v>15007</v>
      </c>
      <c r="H23262" t="s">
        <v>26785</v>
      </c>
    </row>
    <row r="23263" spans="1:8">
      <c r="H23263" t="s">
        <v>26786</v>
      </c>
    </row>
    <row r="23264" spans="1:8">
      <c r="H23264" t="s">
        <v>18891</v>
      </c>
    </row>
    <row r="23265" spans="1:8">
      <c r="H23265" t="s">
        <v>26787</v>
      </c>
    </row>
    <row r="23266" spans="1:8">
      <c r="H23266" t="s">
        <v>19132</v>
      </c>
    </row>
    <row r="23267" spans="1:8">
      <c r="H23267" t="s">
        <v>19133</v>
      </c>
    </row>
    <row r="23268" spans="1:8">
      <c r="H23268" t="s">
        <v>19134</v>
      </c>
    </row>
    <row r="23269" spans="1:8">
      <c r="H23269" t="s">
        <v>19135</v>
      </c>
    </row>
    <row r="23270" spans="1:8">
      <c r="A23270" t="s">
        <v>1117</v>
      </c>
      <c r="B23270">
        <f>HYPERLINK("https://android.googlesource.com/platform/cts/+/de50080008f733baf2c87b4384ac823731ea11f3", "de50080008f733baf2c87b4384ac823731ea11f3")</f>
        <v>0</v>
      </c>
      <c r="C23270">
        <f>HYPERLINK("https://android.googlesource.com/platform/cts/+/b621e74e87636961f61bc2366f65a2626cb0f40c", "b621e74e87636961f61bc2366f65a2626cb0f40c")</f>
        <v>0</v>
      </c>
      <c r="D23270" t="s">
        <v>4991</v>
      </c>
      <c r="E23270" t="s">
        <v>6892</v>
      </c>
      <c r="F23270" t="s">
        <v>12886</v>
      </c>
      <c r="G23270" t="s">
        <v>16432</v>
      </c>
      <c r="H23270" t="s">
        <v>18829</v>
      </c>
    </row>
    <row r="23271" spans="1:8">
      <c r="H23271" t="s">
        <v>18863</v>
      </c>
    </row>
    <row r="23272" spans="1:8">
      <c r="H23272" t="s">
        <v>21181</v>
      </c>
    </row>
    <row r="23273" spans="1:8">
      <c r="H23273" t="s">
        <v>19261</v>
      </c>
    </row>
    <row r="23274" spans="1:8">
      <c r="H23274" t="s">
        <v>26788</v>
      </c>
    </row>
    <row r="23275" spans="1:8">
      <c r="A23275" t="s">
        <v>1118</v>
      </c>
      <c r="B23275">
        <f>HYPERLINK("https://android.googlesource.com/platform/cts/+/93b72fd0a567552f45575ea066a7ed04d65b24f1", "93b72fd0a567552f45575ea066a7ed04d65b24f1")</f>
        <v>0</v>
      </c>
      <c r="C23275">
        <f>HYPERLINK("https://android.googlesource.com/platform/cts/+/4880a1efe0e27bb369be7749edec6de06637517d", "4880a1efe0e27bb369be7749edec6de06637517d")</f>
        <v>0</v>
      </c>
      <c r="D23275" t="s">
        <v>5085</v>
      </c>
      <c r="E23275" t="s">
        <v>6893</v>
      </c>
      <c r="F23275" t="s">
        <v>12887</v>
      </c>
      <c r="G23275" t="s">
        <v>17053</v>
      </c>
      <c r="H23275" t="s">
        <v>26789</v>
      </c>
    </row>
    <row r="23276" spans="1:8">
      <c r="H23276" t="s">
        <v>26790</v>
      </c>
    </row>
    <row r="23277" spans="1:8">
      <c r="F23277" t="s">
        <v>12888</v>
      </c>
      <c r="G23277" t="s">
        <v>17054</v>
      </c>
      <c r="H23277" t="s">
        <v>18829</v>
      </c>
    </row>
    <row r="23278" spans="1:8">
      <c r="H23278" t="s">
        <v>18863</v>
      </c>
    </row>
    <row r="23279" spans="1:8">
      <c r="H23279" t="s">
        <v>26789</v>
      </c>
    </row>
    <row r="23280" spans="1:8">
      <c r="H23280" t="s">
        <v>26791</v>
      </c>
    </row>
    <row r="23281" spans="6:8">
      <c r="H23281" t="s">
        <v>26792</v>
      </c>
    </row>
    <row r="23282" spans="6:8">
      <c r="H23282" t="s">
        <v>26793</v>
      </c>
    </row>
    <row r="23283" spans="6:8">
      <c r="F23283" t="s">
        <v>12889</v>
      </c>
      <c r="G23283" t="s">
        <v>17055</v>
      </c>
      <c r="H23283" t="s">
        <v>26789</v>
      </c>
    </row>
    <row r="23284" spans="6:8">
      <c r="H23284" t="s">
        <v>26794</v>
      </c>
    </row>
    <row r="23285" spans="6:8">
      <c r="H23285" t="s">
        <v>26795</v>
      </c>
    </row>
    <row r="23286" spans="6:8">
      <c r="H23286" t="s">
        <v>26796</v>
      </c>
    </row>
    <row r="23287" spans="6:8">
      <c r="F23287" t="s">
        <v>12890</v>
      </c>
      <c r="G23287" t="s">
        <v>17056</v>
      </c>
      <c r="H23287" t="s">
        <v>26789</v>
      </c>
    </row>
    <row r="23288" spans="6:8">
      <c r="H23288" t="s">
        <v>26797</v>
      </c>
    </row>
    <row r="23289" spans="6:8">
      <c r="H23289" t="s">
        <v>26798</v>
      </c>
    </row>
    <row r="23290" spans="6:8">
      <c r="H23290" t="s">
        <v>26799</v>
      </c>
    </row>
    <row r="23291" spans="6:8">
      <c r="H23291" t="s">
        <v>26800</v>
      </c>
    </row>
    <row r="23292" spans="6:8">
      <c r="H23292" t="s">
        <v>26801</v>
      </c>
    </row>
    <row r="23293" spans="6:8">
      <c r="H23293" t="s">
        <v>26802</v>
      </c>
    </row>
    <row r="23294" spans="6:8">
      <c r="H23294" t="s">
        <v>26803</v>
      </c>
    </row>
    <row r="23295" spans="6:8">
      <c r="H23295" t="s">
        <v>26804</v>
      </c>
    </row>
    <row r="23296" spans="6:8">
      <c r="H23296" t="s">
        <v>26805</v>
      </c>
    </row>
    <row r="23297" spans="1:8">
      <c r="H23297" t="s">
        <v>26806</v>
      </c>
    </row>
    <row r="23298" spans="1:8">
      <c r="A23298" t="s">
        <v>1119</v>
      </c>
      <c r="B23298">
        <f>HYPERLINK("https://android.googlesource.com/platform/cts/+/ab72229a262299424b09feaa613c1ab7aa829a14", "ab72229a262299424b09feaa613c1ab7aa829a14")</f>
        <v>0</v>
      </c>
      <c r="C23298">
        <f>HYPERLINK("https://android.googlesource.com/platform/cts/+/14dbee391ef44cd8ea9371d28ebb0f4675eabd7f", "14dbee391ef44cd8ea9371d28ebb0f4675eabd7f")</f>
        <v>0</v>
      </c>
      <c r="D23298" t="s">
        <v>5166</v>
      </c>
      <c r="E23298" t="s">
        <v>6894</v>
      </c>
      <c r="F23298" t="s">
        <v>12314</v>
      </c>
      <c r="G23298" t="s">
        <v>17057</v>
      </c>
      <c r="H23298" t="s">
        <v>26807</v>
      </c>
    </row>
    <row r="23299" spans="1:8">
      <c r="H23299" t="s">
        <v>22138</v>
      </c>
    </row>
    <row r="23300" spans="1:8">
      <c r="H23300" t="s">
        <v>26808</v>
      </c>
    </row>
    <row r="23301" spans="1:8">
      <c r="H23301" t="s">
        <v>26809</v>
      </c>
    </row>
    <row r="23302" spans="1:8">
      <c r="H23302" t="s">
        <v>26810</v>
      </c>
    </row>
    <row r="23303" spans="1:8">
      <c r="H23303" t="s">
        <v>26811</v>
      </c>
    </row>
    <row r="23304" spans="1:8">
      <c r="A23304" t="s">
        <v>1120</v>
      </c>
      <c r="B23304">
        <f>HYPERLINK("https://android.googlesource.com/platform/cts/+/b835b21675bf4a6a0ef67f9c2817ce22c6b4a0c8", "b835b21675bf4a6a0ef67f9c2817ce22c6b4a0c8")</f>
        <v>0</v>
      </c>
      <c r="C23304">
        <f>HYPERLINK("https://android.googlesource.com/platform/cts/+/41f5c3808f443bd507c1c018805a0dc57ec3e08d", "41f5c3808f443bd507c1c018805a0dc57ec3e08d")</f>
        <v>0</v>
      </c>
      <c r="D23304" t="s">
        <v>5167</v>
      </c>
      <c r="E23304" t="s">
        <v>6895</v>
      </c>
      <c r="F23304" t="s">
        <v>12891</v>
      </c>
      <c r="G23304" t="s">
        <v>17058</v>
      </c>
      <c r="H23304" t="s">
        <v>26812</v>
      </c>
    </row>
    <row r="23305" spans="1:8">
      <c r="A23305" t="s">
        <v>1121</v>
      </c>
      <c r="B23305">
        <f>HYPERLINK("https://android.googlesource.com/platform/cts/+/34c10c16614ff6d4a5e2b50aeb86ed1d1fc603ec", "34c10c16614ff6d4a5e2b50aeb86ed1d1fc603ec")</f>
        <v>0</v>
      </c>
      <c r="C23305">
        <f>HYPERLINK("https://android.googlesource.com/platform/cts/+/e249caf4b8025d42dc5b8430b5930076c69c5d9e", "e249caf4b8025d42dc5b8430b5930076c69c5d9e")</f>
        <v>0</v>
      </c>
      <c r="D23305" t="s">
        <v>5168</v>
      </c>
      <c r="E23305" t="s">
        <v>6896</v>
      </c>
      <c r="F23305" t="s">
        <v>12892</v>
      </c>
      <c r="G23305" t="s">
        <v>17059</v>
      </c>
      <c r="H23305" t="s">
        <v>26813</v>
      </c>
    </row>
    <row r="23306" spans="1:8">
      <c r="H23306" t="s">
        <v>26814</v>
      </c>
    </row>
    <row r="23307" spans="1:8">
      <c r="H23307" t="s">
        <v>26815</v>
      </c>
    </row>
    <row r="23308" spans="1:8">
      <c r="H23308" t="s">
        <v>26816</v>
      </c>
    </row>
    <row r="23309" spans="1:8">
      <c r="H23309" t="s">
        <v>18863</v>
      </c>
    </row>
    <row r="23310" spans="1:8">
      <c r="H23310" t="s">
        <v>19019</v>
      </c>
    </row>
    <row r="23311" spans="1:8">
      <c r="A23311" t="s">
        <v>1122</v>
      </c>
      <c r="B23311">
        <f>HYPERLINK("https://android.googlesource.com/platform/cts/+/d2273c475c9b659c8545de4ae5742bf18309d3d8", "d2273c475c9b659c8545de4ae5742bf18309d3d8")</f>
        <v>0</v>
      </c>
      <c r="C23311">
        <f>HYPERLINK("https://android.googlesource.com/platform/cts/+/af7b2bd63d5e169e8a7630f36190c4c91b9eedcb", "af7b2bd63d5e169e8a7630f36190c4c91b9eedcb")</f>
        <v>0</v>
      </c>
      <c r="D23311" t="s">
        <v>5168</v>
      </c>
      <c r="E23311" t="s">
        <v>6897</v>
      </c>
      <c r="F23311" t="s">
        <v>12892</v>
      </c>
      <c r="G23311" t="s">
        <v>17059</v>
      </c>
      <c r="H23311" t="s">
        <v>26813</v>
      </c>
    </row>
    <row r="23312" spans="1:8">
      <c r="H23312" t="s">
        <v>26814</v>
      </c>
    </row>
    <row r="23313" spans="1:8">
      <c r="H23313" t="s">
        <v>26815</v>
      </c>
    </row>
    <row r="23314" spans="1:8">
      <c r="H23314" t="s">
        <v>26816</v>
      </c>
    </row>
    <row r="23315" spans="1:8">
      <c r="H23315" t="s">
        <v>18863</v>
      </c>
    </row>
    <row r="23316" spans="1:8">
      <c r="H23316" t="s">
        <v>19019</v>
      </c>
    </row>
    <row r="23317" spans="1:8">
      <c r="A23317" t="s">
        <v>1123</v>
      </c>
      <c r="B23317">
        <f>HYPERLINK("https://android.googlesource.com/platform/cts/+/75a5fda08f732fc68c9b5faba82c13a589cc5193", "75a5fda08f732fc68c9b5faba82c13a589cc5193")</f>
        <v>0</v>
      </c>
      <c r="C23317">
        <f>HYPERLINK("https://android.googlesource.com/platform/cts/+/5e4ff5b38f61908a1a7c52fddb5b1115b378c9bc", "5e4ff5b38f61908a1a7c52fddb5b1115b378c9bc")</f>
        <v>0</v>
      </c>
      <c r="D23317" t="s">
        <v>5168</v>
      </c>
      <c r="E23317" t="s">
        <v>6898</v>
      </c>
      <c r="F23317" t="s">
        <v>12892</v>
      </c>
      <c r="G23317" t="s">
        <v>17059</v>
      </c>
      <c r="H23317" t="s">
        <v>26813</v>
      </c>
    </row>
    <row r="23318" spans="1:8">
      <c r="H23318" t="s">
        <v>26814</v>
      </c>
    </row>
    <row r="23319" spans="1:8">
      <c r="H23319" t="s">
        <v>26815</v>
      </c>
    </row>
    <row r="23320" spans="1:8">
      <c r="H23320" t="s">
        <v>26816</v>
      </c>
    </row>
    <row r="23321" spans="1:8">
      <c r="H23321" t="s">
        <v>18863</v>
      </c>
    </row>
    <row r="23322" spans="1:8">
      <c r="H23322" t="s">
        <v>19019</v>
      </c>
    </row>
    <row r="23323" spans="1:8">
      <c r="A23323" t="s">
        <v>1124</v>
      </c>
      <c r="B23323">
        <f>HYPERLINK("https://android.googlesource.com/platform/cts/+/e0ab22a0d53e8d9a15f6652609f0e3fa2d5c64b5", "e0ab22a0d53e8d9a15f6652609f0e3fa2d5c64b5")</f>
        <v>0</v>
      </c>
      <c r="C23323">
        <f>HYPERLINK("https://android.googlesource.com/platform/cts/+/f797b06d8882ad81bfa03bc206d9c783a2bf54aa", "f797b06d8882ad81bfa03bc206d9c783a2bf54aa")</f>
        <v>0</v>
      </c>
      <c r="D23323" t="s">
        <v>5134</v>
      </c>
      <c r="E23323" t="s">
        <v>6899</v>
      </c>
      <c r="F23323" t="s">
        <v>12893</v>
      </c>
      <c r="G23323" t="s">
        <v>17060</v>
      </c>
      <c r="H23323" t="s">
        <v>18829</v>
      </c>
    </row>
    <row r="23324" spans="1:8">
      <c r="H23324" t="s">
        <v>18863</v>
      </c>
    </row>
    <row r="23325" spans="1:8">
      <c r="H23325" t="s">
        <v>26817</v>
      </c>
    </row>
    <row r="23326" spans="1:8">
      <c r="H23326" t="s">
        <v>26818</v>
      </c>
    </row>
    <row r="23327" spans="1:8">
      <c r="H23327" t="s">
        <v>26819</v>
      </c>
    </row>
    <row r="23328" spans="1:8">
      <c r="A23328" t="s">
        <v>1125</v>
      </c>
      <c r="B23328">
        <f>HYPERLINK("https://android.googlesource.com/platform/cts/+/0066d7f57205e2a818c356e140dbe7bd6a4ad5a4", "0066d7f57205e2a818c356e140dbe7bd6a4ad5a4")</f>
        <v>0</v>
      </c>
      <c r="C23328">
        <f>HYPERLINK("https://android.googlesource.com/platform/cts/+/f797b06d8882ad81bfa03bc206d9c783a2bf54aa", "f797b06d8882ad81bfa03bc206d9c783a2bf54aa")</f>
        <v>0</v>
      </c>
      <c r="D23328" t="s">
        <v>5018</v>
      </c>
      <c r="E23328" t="s">
        <v>6900</v>
      </c>
      <c r="F23328" t="s">
        <v>12894</v>
      </c>
      <c r="G23328" t="s">
        <v>17061</v>
      </c>
      <c r="H23328" t="s">
        <v>18829</v>
      </c>
    </row>
    <row r="23329" spans="1:8">
      <c r="H23329" t="s">
        <v>26820</v>
      </c>
    </row>
    <row r="23330" spans="1:8">
      <c r="H23330" t="s">
        <v>26821</v>
      </c>
    </row>
    <row r="23331" spans="1:8">
      <c r="H23331" t="s">
        <v>26822</v>
      </c>
    </row>
    <row r="23332" spans="1:8">
      <c r="A23332" t="s">
        <v>1126</v>
      </c>
      <c r="B23332">
        <f>HYPERLINK("https://android.googlesource.com/platform/cts/+/d65fda34d9ddff1f5c660f4a2a2064ca07f6aade", "d65fda34d9ddff1f5c660f4a2a2064ca07f6aade")</f>
        <v>0</v>
      </c>
      <c r="C23332">
        <f>HYPERLINK("https://android.googlesource.com/platform/cts/+/41f5c3808f443bd507c1c018805a0dc57ec3e08d", "41f5c3808f443bd507c1c018805a0dc57ec3e08d")</f>
        <v>0</v>
      </c>
      <c r="D23332" t="s">
        <v>5169</v>
      </c>
      <c r="E23332" t="s">
        <v>6901</v>
      </c>
      <c r="F23332" t="s">
        <v>12895</v>
      </c>
      <c r="G23332" t="s">
        <v>17062</v>
      </c>
      <c r="H23332" t="s">
        <v>26823</v>
      </c>
    </row>
    <row r="23333" spans="1:8">
      <c r="H23333" t="s">
        <v>26824</v>
      </c>
    </row>
    <row r="23334" spans="1:8">
      <c r="H23334" t="s">
        <v>26825</v>
      </c>
    </row>
    <row r="23335" spans="1:8">
      <c r="H23335" t="s">
        <v>26826</v>
      </c>
    </row>
    <row r="23336" spans="1:8">
      <c r="H23336" t="s">
        <v>26827</v>
      </c>
    </row>
    <row r="23337" spans="1:8">
      <c r="H23337" t="s">
        <v>26828</v>
      </c>
    </row>
    <row r="23338" spans="1:8">
      <c r="H23338" t="s">
        <v>26829</v>
      </c>
    </row>
    <row r="23339" spans="1:8">
      <c r="H23339" t="s">
        <v>26830</v>
      </c>
    </row>
    <row r="23340" spans="1:8">
      <c r="H23340" t="s">
        <v>26831</v>
      </c>
    </row>
    <row r="23341" spans="1:8">
      <c r="H23341" t="s">
        <v>26832</v>
      </c>
    </row>
    <row r="23342" spans="1:8">
      <c r="H23342" t="s">
        <v>26833</v>
      </c>
    </row>
    <row r="23343" spans="1:8">
      <c r="A23343" t="s">
        <v>1127</v>
      </c>
      <c r="B23343">
        <f>HYPERLINK("https://android.googlesource.com/platform/cts/+/51759978839bab562fe92594562814c82a33013a", "51759978839bab562fe92594562814c82a33013a")</f>
        <v>0</v>
      </c>
      <c r="C23343">
        <f>HYPERLINK("https://android.googlesource.com/platform/cts/+/cea90b5de4bd499d7c25e34c5377d36870f8f2bf", "cea90b5de4bd499d7c25e34c5377d36870f8f2bf")</f>
        <v>0</v>
      </c>
      <c r="D23343" t="s">
        <v>5000</v>
      </c>
      <c r="E23343" t="s">
        <v>6902</v>
      </c>
      <c r="F23343" t="s">
        <v>10699</v>
      </c>
      <c r="G23343" t="s">
        <v>15099</v>
      </c>
      <c r="H23343" t="s">
        <v>26834</v>
      </c>
    </row>
    <row r="23344" spans="1:8">
      <c r="A23344" t="s">
        <v>1128</v>
      </c>
      <c r="B23344">
        <f>HYPERLINK("https://android.googlesource.com/platform/cts/+/9bcd39d84ee7e9c9194125b0402feb761a3bfb54", "9bcd39d84ee7e9c9194125b0402feb761a3bfb54")</f>
        <v>0</v>
      </c>
      <c r="C23344">
        <f>HYPERLINK("https://android.googlesource.com/platform/cts/+/51759978839bab562fe92594562814c82a33013a", "51759978839bab562fe92594562814c82a33013a")</f>
        <v>0</v>
      </c>
      <c r="D23344" t="s">
        <v>5000</v>
      </c>
      <c r="E23344" t="s">
        <v>6903</v>
      </c>
      <c r="F23344" t="s">
        <v>10699</v>
      </c>
      <c r="G23344" t="s">
        <v>15099</v>
      </c>
      <c r="H23344" t="s">
        <v>26835</v>
      </c>
    </row>
    <row r="23345" spans="1:8">
      <c r="A23345" t="s">
        <v>1129</v>
      </c>
      <c r="B23345">
        <f>HYPERLINK("https://android.googlesource.com/platform/cts/+/22f4e0e92c6192f633c2829ca175f5730440fc98", "22f4e0e92c6192f633c2829ca175f5730440fc98")</f>
        <v>0</v>
      </c>
      <c r="C23345">
        <f>HYPERLINK("https://android.googlesource.com/platform/cts/+/cea90b5de4bd499d7c25e34c5377d36870f8f2bf", "cea90b5de4bd499d7c25e34c5377d36870f8f2bf")</f>
        <v>0</v>
      </c>
      <c r="D23345" t="s">
        <v>5018</v>
      </c>
      <c r="E23345" t="s">
        <v>6904</v>
      </c>
      <c r="F23345" t="s">
        <v>12896</v>
      </c>
      <c r="G23345" t="s">
        <v>17063</v>
      </c>
      <c r="H23345" t="s">
        <v>26836</v>
      </c>
    </row>
    <row r="23346" spans="1:8">
      <c r="H23346" t="s">
        <v>26837</v>
      </c>
    </row>
    <row r="23347" spans="1:8">
      <c r="A23347" t="s">
        <v>1130</v>
      </c>
      <c r="B23347">
        <f>HYPERLINK("https://android.googlesource.com/platform/cts/+/56f2c0ce80abffb87dcd44d318de31711f3ae8c5", "56f2c0ce80abffb87dcd44d318de31711f3ae8c5")</f>
        <v>0</v>
      </c>
      <c r="C23347">
        <f>HYPERLINK("https://android.googlesource.com/platform/cts/+/96f13bbf7e8123da8c3b048dd3d16a0044810e51", "96f13bbf7e8123da8c3b048dd3d16a0044810e51")</f>
        <v>0</v>
      </c>
      <c r="D23347" t="s">
        <v>5146</v>
      </c>
      <c r="E23347" t="s">
        <v>6905</v>
      </c>
      <c r="F23347" t="s">
        <v>10700</v>
      </c>
      <c r="G23347" t="s">
        <v>15100</v>
      </c>
      <c r="H23347" t="s">
        <v>26838</v>
      </c>
    </row>
    <row r="23348" spans="1:8">
      <c r="A23348" t="s">
        <v>1131</v>
      </c>
      <c r="B23348">
        <f>HYPERLINK("https://android.googlesource.com/platform/cts/+/b95d14358ff33f73d5bfc7e2a232af3a38a6abe6", "b95d14358ff33f73d5bfc7e2a232af3a38a6abe6")</f>
        <v>0</v>
      </c>
      <c r="C23348">
        <f>HYPERLINK("https://android.googlesource.com/platform/cts/+/cea90b5de4bd499d7c25e34c5377d36870f8f2bf", "cea90b5de4bd499d7c25e34c5377d36870f8f2bf")</f>
        <v>0</v>
      </c>
      <c r="D23348" t="s">
        <v>5018</v>
      </c>
      <c r="E23348" t="s">
        <v>6906</v>
      </c>
      <c r="F23348" t="s">
        <v>12897</v>
      </c>
      <c r="G23348" t="s">
        <v>16824</v>
      </c>
      <c r="H23348" t="s">
        <v>26839</v>
      </c>
    </row>
    <row r="23349" spans="1:8">
      <c r="A23349" t="s">
        <v>1132</v>
      </c>
      <c r="B23349">
        <f>HYPERLINK("https://android.googlesource.com/platform/cts/+/779b1d4c9b2ddd8068bceb72e30a0107c96befb9", "779b1d4c9b2ddd8068bceb72e30a0107c96befb9")</f>
        <v>0</v>
      </c>
      <c r="C23349">
        <f>HYPERLINK("https://android.googlesource.com/platform/cts/+/77951c3f110e67dc163b43ad703fff78c1558f39", "77951c3f110e67dc163b43ad703fff78c1558f39")</f>
        <v>0</v>
      </c>
      <c r="D23349" t="s">
        <v>5143</v>
      </c>
      <c r="E23349" t="s">
        <v>6907</v>
      </c>
      <c r="F23349" t="s">
        <v>12348</v>
      </c>
      <c r="G23349" t="s">
        <v>16576</v>
      </c>
      <c r="H23349" t="s">
        <v>19078</v>
      </c>
    </row>
    <row r="23350" spans="1:8">
      <c r="H23350" t="s">
        <v>19080</v>
      </c>
    </row>
    <row r="23351" spans="1:8">
      <c r="H23351" t="s">
        <v>19081</v>
      </c>
    </row>
    <row r="23352" spans="1:8">
      <c r="H23352" t="s">
        <v>26537</v>
      </c>
    </row>
    <row r="23353" spans="1:8">
      <c r="H23353" t="s">
        <v>19079</v>
      </c>
    </row>
    <row r="23354" spans="1:8">
      <c r="H23354" t="s">
        <v>26538</v>
      </c>
    </row>
    <row r="23355" spans="1:8">
      <c r="H23355" t="s">
        <v>18893</v>
      </c>
    </row>
    <row r="23356" spans="1:8">
      <c r="A23356" t="s">
        <v>1133</v>
      </c>
      <c r="B23356">
        <f>HYPERLINK("https://android.googlesource.com/platform/cts/+/e61e8812d89d1c311da94faee92417ee46c04cc8", "e61e8812d89d1c311da94faee92417ee46c04cc8")</f>
        <v>0</v>
      </c>
      <c r="C23356">
        <f>HYPERLINK("https://android.googlesource.com/platform/cts/+/bf19348cb7b9c69216df689ca343e71dd2b4a0a2", "bf19348cb7b9c69216df689ca343e71dd2b4a0a2")</f>
        <v>0</v>
      </c>
      <c r="D23356" t="s">
        <v>5167</v>
      </c>
      <c r="E23356" t="s">
        <v>6908</v>
      </c>
      <c r="F23356" t="s">
        <v>12891</v>
      </c>
      <c r="G23356" t="s">
        <v>17064</v>
      </c>
      <c r="H23356" t="s">
        <v>26840</v>
      </c>
    </row>
    <row r="23357" spans="1:8">
      <c r="H23357" t="s">
        <v>26841</v>
      </c>
    </row>
    <row r="23358" spans="1:8">
      <c r="H23358" t="s">
        <v>26842</v>
      </c>
    </row>
    <row r="23359" spans="1:8">
      <c r="H23359" t="s">
        <v>18829</v>
      </c>
    </row>
    <row r="23360" spans="1:8">
      <c r="H23360" t="s">
        <v>18863</v>
      </c>
    </row>
    <row r="23361" spans="1:8">
      <c r="H23361" t="s">
        <v>26843</v>
      </c>
    </row>
    <row r="23362" spans="1:8">
      <c r="H23362" t="s">
        <v>26844</v>
      </c>
    </row>
    <row r="23363" spans="1:8">
      <c r="H23363" t="s">
        <v>26845</v>
      </c>
    </row>
    <row r="23364" spans="1:8">
      <c r="H23364" t="s">
        <v>26846</v>
      </c>
    </row>
    <row r="23365" spans="1:8">
      <c r="H23365" t="s">
        <v>26847</v>
      </c>
    </row>
    <row r="23366" spans="1:8">
      <c r="H23366" t="s">
        <v>26848</v>
      </c>
    </row>
    <row r="23367" spans="1:8">
      <c r="H23367" t="s">
        <v>26849</v>
      </c>
    </row>
    <row r="23368" spans="1:8">
      <c r="H23368" t="s">
        <v>26850</v>
      </c>
    </row>
    <row r="23369" spans="1:8">
      <c r="H23369" t="s">
        <v>26851</v>
      </c>
    </row>
    <row r="23370" spans="1:8">
      <c r="H23370" t="s">
        <v>26852</v>
      </c>
    </row>
    <row r="23371" spans="1:8">
      <c r="H23371" t="s">
        <v>26853</v>
      </c>
    </row>
    <row r="23372" spans="1:8">
      <c r="H23372" t="s">
        <v>26854</v>
      </c>
    </row>
    <row r="23373" spans="1:8">
      <c r="H23373" t="s">
        <v>26854</v>
      </c>
    </row>
    <row r="23374" spans="1:8">
      <c r="H23374" t="s">
        <v>26855</v>
      </c>
    </row>
    <row r="23375" spans="1:8">
      <c r="A23375" t="s">
        <v>1134</v>
      </c>
      <c r="B23375">
        <f>HYPERLINK("https://android.googlesource.com/platform/cts/+/98cadfed66275a39752d0cfb2ef520e0eb41944c", "98cadfed66275a39752d0cfb2ef520e0eb41944c")</f>
        <v>0</v>
      </c>
      <c r="C23375">
        <f>HYPERLINK("https://android.googlesource.com/platform/cts/+/77951c3f110e67dc163b43ad703fff78c1558f39", "77951c3f110e67dc163b43ad703fff78c1558f39")</f>
        <v>0</v>
      </c>
      <c r="D23375" t="s">
        <v>5143</v>
      </c>
      <c r="E23375" t="s">
        <v>6909</v>
      </c>
      <c r="F23375" t="s">
        <v>10673</v>
      </c>
      <c r="G23375" t="s">
        <v>15073</v>
      </c>
      <c r="H23375" t="s">
        <v>26856</v>
      </c>
    </row>
    <row r="23376" spans="1:8">
      <c r="H23376" t="s">
        <v>26857</v>
      </c>
    </row>
    <row r="23377" spans="1:8">
      <c r="H23377" t="s">
        <v>18893</v>
      </c>
    </row>
    <row r="23378" spans="1:8">
      <c r="H23378" t="s">
        <v>26858</v>
      </c>
    </row>
    <row r="23379" spans="1:8">
      <c r="H23379" t="s">
        <v>19678</v>
      </c>
    </row>
    <row r="23380" spans="1:8">
      <c r="H23380" t="s">
        <v>18885</v>
      </c>
    </row>
    <row r="23381" spans="1:8">
      <c r="H23381" t="s">
        <v>26859</v>
      </c>
    </row>
    <row r="23382" spans="1:8">
      <c r="H23382" t="s">
        <v>26860</v>
      </c>
    </row>
    <row r="23383" spans="1:8">
      <c r="H23383" t="s">
        <v>18893</v>
      </c>
    </row>
    <row r="23384" spans="1:8">
      <c r="A23384" t="s">
        <v>1135</v>
      </c>
      <c r="B23384">
        <f>HYPERLINK("https://android.googlesource.com/platform/cts/+/ca4b8720e05e4ff652e56a9682cfcc2abb7ffe1f", "ca4b8720e05e4ff652e56a9682cfcc2abb7ffe1f")</f>
        <v>0</v>
      </c>
      <c r="C23384">
        <f>HYPERLINK("https://android.googlesource.com/platform/cts/+/77951c3f110e67dc163b43ad703fff78c1558f39", "77951c3f110e67dc163b43ad703fff78c1558f39")</f>
        <v>0</v>
      </c>
      <c r="D23384" t="s">
        <v>5143</v>
      </c>
      <c r="E23384" t="s">
        <v>6910</v>
      </c>
      <c r="F23384" t="s">
        <v>12898</v>
      </c>
      <c r="G23384" t="s">
        <v>17065</v>
      </c>
      <c r="H23384" t="s">
        <v>26861</v>
      </c>
    </row>
    <row r="23385" spans="1:8">
      <c r="H23385" t="s">
        <v>19814</v>
      </c>
    </row>
    <row r="23386" spans="1:8">
      <c r="H23386" t="s">
        <v>26862</v>
      </c>
    </row>
    <row r="23387" spans="1:8">
      <c r="A23387" t="s">
        <v>1136</v>
      </c>
      <c r="B23387">
        <f>HYPERLINK("https://android.googlesource.com/platform/cts/+/1d9207f4426374749088757954df80562efbb254", "1d9207f4426374749088757954df80562efbb254")</f>
        <v>0</v>
      </c>
      <c r="C23387">
        <f>HYPERLINK("https://android.googlesource.com/platform/cts/+/24e4936458d92528733f6692df9233e74e254e0c", "24e4936458d92528733f6692df9233e74e254e0c")</f>
        <v>0</v>
      </c>
      <c r="D23387" t="s">
        <v>5170</v>
      </c>
      <c r="E23387" t="s">
        <v>6911</v>
      </c>
      <c r="F23387" t="s">
        <v>12899</v>
      </c>
      <c r="G23387" t="s">
        <v>17066</v>
      </c>
      <c r="H23387" t="s">
        <v>26863</v>
      </c>
    </row>
    <row r="23388" spans="1:8">
      <c r="H23388" t="s">
        <v>18927</v>
      </c>
    </row>
    <row r="23389" spans="1:8">
      <c r="H23389" t="s">
        <v>26864</v>
      </c>
    </row>
    <row r="23390" spans="1:8">
      <c r="H23390" t="s">
        <v>26865</v>
      </c>
    </row>
    <row r="23391" spans="1:8">
      <c r="H23391" t="s">
        <v>26866</v>
      </c>
    </row>
    <row r="23392" spans="1:8">
      <c r="A23392" t="s">
        <v>1137</v>
      </c>
      <c r="B23392">
        <f>HYPERLINK("https://android.googlesource.com/platform/cts/+/2349d88103b1f0b8dc515dd3dc0b981226215336", "2349d88103b1f0b8dc515dd3dc0b981226215336")</f>
        <v>0</v>
      </c>
      <c r="C23392">
        <f>HYPERLINK("https://android.googlesource.com/platform/cts/+/39181956664b201d22dc935c9c2c4c57db9233cf", "39181956664b201d22dc935c9c2c4c57db9233cf")</f>
        <v>0</v>
      </c>
      <c r="D23392" t="s">
        <v>5085</v>
      </c>
      <c r="E23392" t="s">
        <v>6912</v>
      </c>
      <c r="F23392" t="s">
        <v>12743</v>
      </c>
      <c r="G23392" t="s">
        <v>16935</v>
      </c>
      <c r="H23392" t="s">
        <v>25781</v>
      </c>
    </row>
    <row r="23393" spans="1:8">
      <c r="A23393" t="s">
        <v>1138</v>
      </c>
      <c r="B23393">
        <f>HYPERLINK("https://android.googlesource.com/platform/cts/+/30ce86edf0015c61799bfc43e8fdf1a3993e1f72", "30ce86edf0015c61799bfc43e8fdf1a3993e1f72")</f>
        <v>0</v>
      </c>
      <c r="C23393">
        <f>HYPERLINK("https://android.googlesource.com/platform/cts/+/59a1301f9e2b824fa0a8c93cee08b835f975263b", "59a1301f9e2b824fa0a8c93cee08b835f975263b")</f>
        <v>0</v>
      </c>
      <c r="D23393" t="s">
        <v>5009</v>
      </c>
      <c r="E23393" t="s">
        <v>6912</v>
      </c>
      <c r="F23393" t="s">
        <v>12743</v>
      </c>
      <c r="G23393" t="s">
        <v>16935</v>
      </c>
      <c r="H23393" t="s">
        <v>25781</v>
      </c>
    </row>
    <row r="23394" spans="1:8">
      <c r="A23394" t="s">
        <v>1139</v>
      </c>
      <c r="B23394">
        <f>HYPERLINK("https://android.googlesource.com/platform/cts/+/62ce8e98ee142432879185a1ba9052bf4aa9aa05", "62ce8e98ee142432879185a1ba9052bf4aa9aa05")</f>
        <v>0</v>
      </c>
      <c r="C23394">
        <f>HYPERLINK("https://android.googlesource.com/platform/cts/+/cf4047f982062307852cbec418e937c11473e29f", "cf4047f982062307852cbec418e937c11473e29f")</f>
        <v>0</v>
      </c>
      <c r="D23394" t="s">
        <v>5171</v>
      </c>
      <c r="E23394" t="s">
        <v>6913</v>
      </c>
      <c r="F23394" t="s">
        <v>12900</v>
      </c>
      <c r="G23394" t="s">
        <v>17067</v>
      </c>
      <c r="H23394" t="s">
        <v>26867</v>
      </c>
    </row>
    <row r="23395" spans="1:8">
      <c r="H23395" t="s">
        <v>26868</v>
      </c>
    </row>
    <row r="23396" spans="1:8">
      <c r="H23396" t="s">
        <v>26869</v>
      </c>
    </row>
    <row r="23397" spans="1:8">
      <c r="H23397" t="s">
        <v>26870</v>
      </c>
    </row>
    <row r="23398" spans="1:8">
      <c r="H23398" t="s">
        <v>20177</v>
      </c>
    </row>
    <row r="23399" spans="1:8">
      <c r="H23399" t="s">
        <v>18829</v>
      </c>
    </row>
    <row r="23400" spans="1:8">
      <c r="H23400" t="s">
        <v>26871</v>
      </c>
    </row>
    <row r="23401" spans="1:8">
      <c r="H23401" t="s">
        <v>18863</v>
      </c>
    </row>
    <row r="23402" spans="1:8">
      <c r="A23402" t="s">
        <v>1140</v>
      </c>
      <c r="B23402">
        <f>HYPERLINK("https://android.googlesource.com/platform/cts/+/052d6b3abf977c965adda4cab23e96e702f1fb30", "052d6b3abf977c965adda4cab23e96e702f1fb30")</f>
        <v>0</v>
      </c>
      <c r="C23402">
        <f>HYPERLINK("https://android.googlesource.com/platform/cts/+/ee02528887017f098597d109bed9ba8f037f39fb", "ee02528887017f098597d109bed9ba8f037f39fb")</f>
        <v>0</v>
      </c>
      <c r="D23402" t="s">
        <v>5009</v>
      </c>
      <c r="E23402" t="s">
        <v>6903</v>
      </c>
      <c r="F23402" t="s">
        <v>10699</v>
      </c>
      <c r="G23402" t="s">
        <v>15099</v>
      </c>
      <c r="H23402" t="s">
        <v>26835</v>
      </c>
    </row>
    <row r="23403" spans="1:8">
      <c r="A23403" t="s">
        <v>1141</v>
      </c>
      <c r="B23403">
        <f>HYPERLINK("https://android.googlesource.com/platform/cts/+/4ace7a6f4e116f801c9b8691952a860fe2f193fe", "4ace7a6f4e116f801c9b8691952a860fe2f193fe")</f>
        <v>0</v>
      </c>
      <c r="C23403">
        <f>HYPERLINK("https://android.googlesource.com/platform/cts/+/50a0214fbe219f12405c01fcf8bf7f213996d39e", "50a0214fbe219f12405c01fcf8bf7f213996d39e")</f>
        <v>0</v>
      </c>
      <c r="D23403" t="s">
        <v>5164</v>
      </c>
      <c r="E23403" t="s">
        <v>6914</v>
      </c>
      <c r="F23403" t="s">
        <v>12900</v>
      </c>
      <c r="G23403" t="s">
        <v>17067</v>
      </c>
      <c r="H23403" t="s">
        <v>26867</v>
      </c>
    </row>
    <row r="23404" spans="1:8">
      <c r="H23404" t="s">
        <v>26868</v>
      </c>
    </row>
    <row r="23405" spans="1:8">
      <c r="H23405" t="s">
        <v>26869</v>
      </c>
    </row>
    <row r="23406" spans="1:8">
      <c r="H23406" t="s">
        <v>26870</v>
      </c>
    </row>
    <row r="23407" spans="1:8">
      <c r="H23407" t="s">
        <v>20177</v>
      </c>
    </row>
    <row r="23408" spans="1:8">
      <c r="H23408" t="s">
        <v>18829</v>
      </c>
    </row>
    <row r="23409" spans="1:8">
      <c r="H23409" t="s">
        <v>26871</v>
      </c>
    </row>
    <row r="23410" spans="1:8">
      <c r="H23410" t="s">
        <v>18863</v>
      </c>
    </row>
    <row r="23411" spans="1:8">
      <c r="A23411" t="s">
        <v>1142</v>
      </c>
      <c r="B23411">
        <f>HYPERLINK("https://android.googlesource.com/platform/cts/+/c84c2fbc89b2208775b9cadba2f6e8f0153a47af", "c84c2fbc89b2208775b9cadba2f6e8f0153a47af")</f>
        <v>0</v>
      </c>
      <c r="C23411">
        <f>HYPERLINK("https://android.googlesource.com/platform/cts/+/c0850410102620f5961facaebc7440ba4499aa4d", "c0850410102620f5961facaebc7440ba4499aa4d")</f>
        <v>0</v>
      </c>
      <c r="D23411" t="s">
        <v>5085</v>
      </c>
      <c r="E23411" t="s">
        <v>6915</v>
      </c>
      <c r="F23411" t="s">
        <v>12901</v>
      </c>
      <c r="G23411" t="s">
        <v>17068</v>
      </c>
      <c r="H23411" t="s">
        <v>18829</v>
      </c>
    </row>
    <row r="23412" spans="1:8">
      <c r="H23412" t="s">
        <v>18863</v>
      </c>
    </row>
    <row r="23413" spans="1:8">
      <c r="H23413" t="s">
        <v>26872</v>
      </c>
    </row>
    <row r="23414" spans="1:8">
      <c r="H23414" t="s">
        <v>26873</v>
      </c>
    </row>
    <row r="23415" spans="1:8">
      <c r="H23415" t="s">
        <v>26874</v>
      </c>
    </row>
    <row r="23416" spans="1:8">
      <c r="H23416" t="s">
        <v>26875</v>
      </c>
    </row>
    <row r="23417" spans="1:8">
      <c r="H23417" t="s">
        <v>26876</v>
      </c>
    </row>
    <row r="23418" spans="1:8">
      <c r="H23418" t="s">
        <v>26877</v>
      </c>
    </row>
    <row r="23419" spans="1:8">
      <c r="H23419" t="s">
        <v>26878</v>
      </c>
    </row>
    <row r="23420" spans="1:8">
      <c r="H23420" t="s">
        <v>26879</v>
      </c>
    </row>
    <row r="23421" spans="1:8">
      <c r="H23421" t="s">
        <v>26880</v>
      </c>
    </row>
    <row r="23422" spans="1:8">
      <c r="H23422" t="s">
        <v>26881</v>
      </c>
    </row>
    <row r="23423" spans="1:8">
      <c r="A23423" t="s">
        <v>1143</v>
      </c>
      <c r="B23423">
        <f>HYPERLINK("https://android.googlesource.com/platform/cts/+/89ab1d4a7a140736aaa8f53ac211ebd8b0a3b4b9", "89ab1d4a7a140736aaa8f53ac211ebd8b0a3b4b9")</f>
        <v>0</v>
      </c>
      <c r="C23423">
        <f>HYPERLINK("https://android.googlesource.com/platform/cts/+/e7114fdc88400aad8480d376a6d95bc1924cd1fc", "e7114fdc88400aad8480d376a6d95bc1924cd1fc")</f>
        <v>0</v>
      </c>
      <c r="D23423" t="s">
        <v>4991</v>
      </c>
      <c r="E23423" t="s">
        <v>6916</v>
      </c>
      <c r="F23423" t="s">
        <v>12902</v>
      </c>
      <c r="G23423" t="s">
        <v>17069</v>
      </c>
      <c r="H23423" t="s">
        <v>20244</v>
      </c>
    </row>
    <row r="23424" spans="1:8">
      <c r="H23424" t="s">
        <v>18829</v>
      </c>
    </row>
    <row r="23425" spans="1:8">
      <c r="H23425" t="s">
        <v>26882</v>
      </c>
    </row>
    <row r="23426" spans="1:8">
      <c r="A23426" t="s">
        <v>1144</v>
      </c>
      <c r="B23426">
        <f>HYPERLINK("https://android.googlesource.com/platform/cts/+/9d3de9076844ce66be815cb335026233b6fa4f8b", "9d3de9076844ce66be815cb335026233b6fa4f8b")</f>
        <v>0</v>
      </c>
      <c r="C23426">
        <f>HYPERLINK("https://android.googlesource.com/platform/cts/+/bf1667dd5bd7f6fb01c3a1baec8058cdb1f24f2b", "bf1667dd5bd7f6fb01c3a1baec8058cdb1f24f2b")</f>
        <v>0</v>
      </c>
      <c r="D23426" t="s">
        <v>5167</v>
      </c>
      <c r="E23426" t="s">
        <v>6917</v>
      </c>
      <c r="F23426" t="s">
        <v>12903</v>
      </c>
      <c r="G23426" t="s">
        <v>17064</v>
      </c>
      <c r="H23426" t="s">
        <v>26843</v>
      </c>
    </row>
    <row r="23427" spans="1:8">
      <c r="H23427" t="s">
        <v>26844</v>
      </c>
    </row>
    <row r="23428" spans="1:8">
      <c r="H23428" t="s">
        <v>26845</v>
      </c>
    </row>
    <row r="23429" spans="1:8">
      <c r="H23429" t="s">
        <v>26846</v>
      </c>
    </row>
    <row r="23430" spans="1:8">
      <c r="H23430" t="s">
        <v>26855</v>
      </c>
    </row>
    <row r="23431" spans="1:8">
      <c r="A23431" t="s">
        <v>1145</v>
      </c>
      <c r="B23431">
        <f>HYPERLINK("https://android.googlesource.com/platform/cts/+/f13cf4947850b3aad778ac8ea4b81477e23d352a", "f13cf4947850b3aad778ac8ea4b81477e23d352a")</f>
        <v>0</v>
      </c>
      <c r="C23431">
        <f>HYPERLINK("https://android.googlesource.com/platform/cts/+/890e3e23c801bdca308698f83b6cf6d50d0b3088", "890e3e23c801bdca308698f83b6cf6d50d0b3088")</f>
        <v>0</v>
      </c>
      <c r="D23431" t="s">
        <v>5137</v>
      </c>
      <c r="E23431" t="s">
        <v>6918</v>
      </c>
      <c r="F23431" t="s">
        <v>12629</v>
      </c>
      <c r="G23431" t="s">
        <v>16838</v>
      </c>
      <c r="H23431" t="s">
        <v>26876</v>
      </c>
    </row>
    <row r="23432" spans="1:8">
      <c r="H23432" t="s">
        <v>26883</v>
      </c>
    </row>
    <row r="23433" spans="1:8">
      <c r="H23433" t="s">
        <v>26878</v>
      </c>
    </row>
    <row r="23434" spans="1:8">
      <c r="H23434" t="s">
        <v>26879</v>
      </c>
    </row>
    <row r="23435" spans="1:8">
      <c r="H23435" t="s">
        <v>26880</v>
      </c>
    </row>
    <row r="23436" spans="1:8">
      <c r="H23436" t="s">
        <v>26881</v>
      </c>
    </row>
    <row r="23437" spans="1:8">
      <c r="A23437" t="s">
        <v>1146</v>
      </c>
      <c r="B23437">
        <f>HYPERLINK("https://android.googlesource.com/platform/cts/+/a909221fee3cf9192c7a9a656d736a64932ca150", "a909221fee3cf9192c7a9a656d736a64932ca150")</f>
        <v>0</v>
      </c>
      <c r="C23437">
        <f>HYPERLINK("https://android.googlesource.com/platform/cts/+/57b8deb9d49b902da3e69dd3b2fed9943ebe7e2c", "57b8deb9d49b902da3e69dd3b2fed9943ebe7e2c")</f>
        <v>0</v>
      </c>
      <c r="D23437" t="s">
        <v>5126</v>
      </c>
      <c r="E23437" t="s">
        <v>6919</v>
      </c>
      <c r="F23437" t="s">
        <v>12744</v>
      </c>
      <c r="G23437" t="s">
        <v>16936</v>
      </c>
      <c r="H23437" t="s">
        <v>18829</v>
      </c>
    </row>
    <row r="23438" spans="1:8">
      <c r="H23438" t="s">
        <v>26884</v>
      </c>
    </row>
    <row r="23439" spans="1:8">
      <c r="H23439" t="s">
        <v>26885</v>
      </c>
    </row>
    <row r="23440" spans="1:8">
      <c r="H23440" t="s">
        <v>26886</v>
      </c>
    </row>
    <row r="23441" spans="8:8">
      <c r="H23441" t="s">
        <v>26887</v>
      </c>
    </row>
    <row r="23442" spans="8:8">
      <c r="H23442" t="s">
        <v>26888</v>
      </c>
    </row>
    <row r="23443" spans="8:8">
      <c r="H23443" t="s">
        <v>26889</v>
      </c>
    </row>
    <row r="23444" spans="8:8">
      <c r="H23444" t="s">
        <v>26890</v>
      </c>
    </row>
    <row r="23445" spans="8:8">
      <c r="H23445" t="s">
        <v>26891</v>
      </c>
    </row>
    <row r="23446" spans="8:8">
      <c r="H23446" t="s">
        <v>19195</v>
      </c>
    </row>
    <row r="23447" spans="8:8">
      <c r="H23447" t="s">
        <v>26892</v>
      </c>
    </row>
    <row r="23448" spans="8:8">
      <c r="H23448" t="s">
        <v>26893</v>
      </c>
    </row>
    <row r="23449" spans="8:8">
      <c r="H23449" t="s">
        <v>26894</v>
      </c>
    </row>
    <row r="23450" spans="8:8">
      <c r="H23450" t="s">
        <v>26895</v>
      </c>
    </row>
    <row r="23451" spans="8:8">
      <c r="H23451" t="s">
        <v>26896</v>
      </c>
    </row>
    <row r="23452" spans="8:8">
      <c r="H23452" t="s">
        <v>26897</v>
      </c>
    </row>
    <row r="23453" spans="8:8">
      <c r="H23453" t="s">
        <v>26898</v>
      </c>
    </row>
    <row r="23454" spans="8:8">
      <c r="H23454" t="s">
        <v>26899</v>
      </c>
    </row>
    <row r="23455" spans="8:8">
      <c r="H23455" t="s">
        <v>26900</v>
      </c>
    </row>
    <row r="23456" spans="8:8">
      <c r="H23456" t="s">
        <v>26901</v>
      </c>
    </row>
    <row r="23457" spans="1:8">
      <c r="H23457" t="s">
        <v>26902</v>
      </c>
    </row>
    <row r="23458" spans="1:8">
      <c r="H23458" t="s">
        <v>26903</v>
      </c>
    </row>
    <row r="23459" spans="1:8">
      <c r="H23459" t="s">
        <v>26904</v>
      </c>
    </row>
    <row r="23460" spans="1:8">
      <c r="A23460" t="s">
        <v>1147</v>
      </c>
      <c r="B23460">
        <f>HYPERLINK("https://android.googlesource.com/platform/cts/+/7f98b2f76a1f3918cd7a36c5a5ac175ce033daa7", "7f98b2f76a1f3918cd7a36c5a5ac175ce033daa7")</f>
        <v>0</v>
      </c>
      <c r="C23460">
        <f>HYPERLINK("https://android.googlesource.com/platform/cts/+/27560ecc239d041cf5c6d55416199d422f9488af", "27560ecc239d041cf5c6d55416199d422f9488af")</f>
        <v>0</v>
      </c>
      <c r="D23460" t="s">
        <v>5000</v>
      </c>
      <c r="E23460" t="s">
        <v>6920</v>
      </c>
      <c r="F23460" t="s">
        <v>10699</v>
      </c>
      <c r="G23460" t="s">
        <v>15099</v>
      </c>
      <c r="H23460" t="s">
        <v>26834</v>
      </c>
    </row>
    <row r="23461" spans="1:8">
      <c r="A23461" t="s">
        <v>1148</v>
      </c>
      <c r="B23461">
        <f>HYPERLINK("https://android.googlesource.com/platform/cts/+/fefafa8d37f6c4fe6a18280243580cec7fb35716", "fefafa8d37f6c4fe6a18280243580cec7fb35716")</f>
        <v>0</v>
      </c>
      <c r="C23461">
        <f>HYPERLINK("https://android.googlesource.com/platform/cts/+/ca80941a5f81ec8e035e94a379b486042ac00336", "ca80941a5f81ec8e035e94a379b486042ac00336")</f>
        <v>0</v>
      </c>
      <c r="D23461" t="s">
        <v>5019</v>
      </c>
      <c r="E23461" t="s">
        <v>6921</v>
      </c>
      <c r="F23461" t="s">
        <v>12904</v>
      </c>
      <c r="G23461" t="s">
        <v>17070</v>
      </c>
      <c r="H23461" t="s">
        <v>26905</v>
      </c>
    </row>
    <row r="23462" spans="1:8">
      <c r="A23462" t="s">
        <v>1149</v>
      </c>
      <c r="B23462">
        <f>HYPERLINK("https://android.googlesource.com/platform/cts/+/d105427337086371c08b7f89f3e88c7a8f425dd5", "d105427337086371c08b7f89f3e88c7a8f425dd5")</f>
        <v>0</v>
      </c>
      <c r="C23462">
        <f>HYPERLINK("https://android.googlesource.com/platform/cts/+/023a728b2d838e61fb49c255f251b7e0b57eeb26", "023a728b2d838e61fb49c255f251b7e0b57eeb26")</f>
        <v>0</v>
      </c>
      <c r="D23462" t="s">
        <v>5172</v>
      </c>
      <c r="E23462" t="s">
        <v>6922</v>
      </c>
      <c r="F23462" t="s">
        <v>12176</v>
      </c>
      <c r="G23462" t="s">
        <v>16415</v>
      </c>
      <c r="H23462" t="s">
        <v>26906</v>
      </c>
    </row>
    <row r="23463" spans="1:8">
      <c r="H23463" t="s">
        <v>26907</v>
      </c>
    </row>
    <row r="23464" spans="1:8">
      <c r="A23464" t="s">
        <v>1150</v>
      </c>
      <c r="B23464">
        <f>HYPERLINK("https://android.googlesource.com/platform/cts/+/4d1c7f14f1ca857c554bcb2eb94823af7765a43f", "4d1c7f14f1ca857c554bcb2eb94823af7765a43f")</f>
        <v>0</v>
      </c>
      <c r="C23464">
        <f>HYPERLINK("https://android.googlesource.com/platform/cts/+/21464c8370f1f19ea935bb9046414f05706fbd0c", "21464c8370f1f19ea935bb9046414f05706fbd0c")</f>
        <v>0</v>
      </c>
      <c r="D23464" t="s">
        <v>5000</v>
      </c>
      <c r="E23464" t="s">
        <v>6923</v>
      </c>
      <c r="F23464" t="s">
        <v>10699</v>
      </c>
      <c r="G23464" t="s">
        <v>15099</v>
      </c>
      <c r="H23464" t="s">
        <v>26835</v>
      </c>
    </row>
    <row r="23465" spans="1:8">
      <c r="A23465" t="s">
        <v>1151</v>
      </c>
      <c r="B23465">
        <f>HYPERLINK("https://android.googlesource.com/platform/cts/+/56823a3629575d8b12cda6f4e60ab9d80c735ae0", "56823a3629575d8b12cda6f4e60ab9d80c735ae0")</f>
        <v>0</v>
      </c>
      <c r="C23465">
        <f>HYPERLINK("https://android.googlesource.com/platform/cts/+/4a2e4fad32fffc6f4a82c5008b46758a929cd5bd", "4a2e4fad32fffc6f4a82c5008b46758a929cd5bd")</f>
        <v>0</v>
      </c>
      <c r="D23465" t="s">
        <v>5030</v>
      </c>
      <c r="E23465" t="s">
        <v>6924</v>
      </c>
      <c r="F23465" t="s">
        <v>12332</v>
      </c>
      <c r="G23465" t="s">
        <v>16560</v>
      </c>
      <c r="H23465" t="s">
        <v>26908</v>
      </c>
    </row>
    <row r="23466" spans="1:8">
      <c r="A23466" t="s">
        <v>1152</v>
      </c>
      <c r="B23466">
        <f>HYPERLINK("https://android.googlesource.com/platform/cts/+/15936e7aa4b1fa198a38e9b72ad5d727d28abf0e", "15936e7aa4b1fa198a38e9b72ad5d727d28abf0e")</f>
        <v>0</v>
      </c>
      <c r="C23466">
        <f>HYPERLINK("https://android.googlesource.com/platform/cts/+/a033493d99f21e504b4cd170ac79991a6df053a2", "a033493d99f21e504b4cd170ac79991a6df053a2")</f>
        <v>0</v>
      </c>
      <c r="D23466" t="s">
        <v>5117</v>
      </c>
      <c r="E23466" t="s">
        <v>6925</v>
      </c>
      <c r="F23466" t="s">
        <v>12905</v>
      </c>
      <c r="G23466" t="s">
        <v>17071</v>
      </c>
      <c r="H23466" t="s">
        <v>26909</v>
      </c>
    </row>
    <row r="23467" spans="1:8">
      <c r="H23467" t="s">
        <v>18829</v>
      </c>
    </row>
    <row r="23468" spans="1:8">
      <c r="H23468" t="s">
        <v>26910</v>
      </c>
    </row>
    <row r="23469" spans="1:8">
      <c r="H23469" t="s">
        <v>26911</v>
      </c>
    </row>
    <row r="23470" spans="1:8">
      <c r="H23470" t="s">
        <v>26912</v>
      </c>
    </row>
    <row r="23471" spans="1:8">
      <c r="H23471" t="s">
        <v>26913</v>
      </c>
    </row>
    <row r="23472" spans="1:8">
      <c r="H23472" t="s">
        <v>26914</v>
      </c>
    </row>
    <row r="23473" spans="8:8">
      <c r="H23473" t="s">
        <v>26915</v>
      </c>
    </row>
    <row r="23474" spans="8:8">
      <c r="H23474" t="s">
        <v>26916</v>
      </c>
    </row>
    <row r="23475" spans="8:8">
      <c r="H23475" t="s">
        <v>26917</v>
      </c>
    </row>
    <row r="23476" spans="8:8">
      <c r="H23476" t="s">
        <v>26918</v>
      </c>
    </row>
    <row r="23477" spans="8:8">
      <c r="H23477" t="s">
        <v>26919</v>
      </c>
    </row>
    <row r="23478" spans="8:8">
      <c r="H23478" t="s">
        <v>26920</v>
      </c>
    </row>
    <row r="23479" spans="8:8">
      <c r="H23479" t="s">
        <v>26921</v>
      </c>
    </row>
    <row r="23480" spans="8:8">
      <c r="H23480" t="s">
        <v>26922</v>
      </c>
    </row>
    <row r="23481" spans="8:8">
      <c r="H23481" t="s">
        <v>26923</v>
      </c>
    </row>
    <row r="23482" spans="8:8">
      <c r="H23482" t="s">
        <v>26924</v>
      </c>
    </row>
    <row r="23483" spans="8:8">
      <c r="H23483" t="s">
        <v>26925</v>
      </c>
    </row>
    <row r="23484" spans="8:8">
      <c r="H23484" t="s">
        <v>26926</v>
      </c>
    </row>
    <row r="23485" spans="8:8">
      <c r="H23485" t="s">
        <v>26927</v>
      </c>
    </row>
    <row r="23486" spans="8:8">
      <c r="H23486" t="s">
        <v>26928</v>
      </c>
    </row>
    <row r="23487" spans="8:8">
      <c r="H23487" t="s">
        <v>26929</v>
      </c>
    </row>
    <row r="23488" spans="8:8">
      <c r="H23488" t="s">
        <v>26930</v>
      </c>
    </row>
    <row r="23489" spans="8:8">
      <c r="H23489" t="s">
        <v>26931</v>
      </c>
    </row>
    <row r="23490" spans="8:8">
      <c r="H23490" t="s">
        <v>26932</v>
      </c>
    </row>
    <row r="23491" spans="8:8">
      <c r="H23491" t="s">
        <v>26933</v>
      </c>
    </row>
    <row r="23492" spans="8:8">
      <c r="H23492" t="s">
        <v>26934</v>
      </c>
    </row>
    <row r="23493" spans="8:8">
      <c r="H23493" t="s">
        <v>26935</v>
      </c>
    </row>
    <row r="23494" spans="8:8">
      <c r="H23494" t="s">
        <v>26936</v>
      </c>
    </row>
    <row r="23495" spans="8:8">
      <c r="H23495" t="s">
        <v>26937</v>
      </c>
    </row>
    <row r="23496" spans="8:8">
      <c r="H23496" t="s">
        <v>26938</v>
      </c>
    </row>
    <row r="23497" spans="8:8">
      <c r="H23497" t="s">
        <v>26939</v>
      </c>
    </row>
    <row r="23498" spans="8:8">
      <c r="H23498" t="s">
        <v>26940</v>
      </c>
    </row>
    <row r="23499" spans="8:8">
      <c r="H23499" t="s">
        <v>26941</v>
      </c>
    </row>
    <row r="23500" spans="8:8">
      <c r="H23500" t="s">
        <v>26942</v>
      </c>
    </row>
    <row r="23501" spans="8:8">
      <c r="H23501" t="s">
        <v>26943</v>
      </c>
    </row>
    <row r="23502" spans="8:8">
      <c r="H23502" t="s">
        <v>26944</v>
      </c>
    </row>
    <row r="23503" spans="8:8">
      <c r="H23503" t="s">
        <v>26945</v>
      </c>
    </row>
    <row r="23504" spans="8:8">
      <c r="H23504" t="s">
        <v>26946</v>
      </c>
    </row>
    <row r="23505" spans="1:8">
      <c r="H23505" t="s">
        <v>26947</v>
      </c>
    </row>
    <row r="23506" spans="1:8">
      <c r="A23506" t="s">
        <v>1153</v>
      </c>
      <c r="B23506">
        <f>HYPERLINK("https://android.googlesource.com/platform/cts/+/8cf1a0f0257c2528c54c002ef4733d5e1362d549", "8cf1a0f0257c2528c54c002ef4733d5e1362d549")</f>
        <v>0</v>
      </c>
      <c r="C23506">
        <f>HYPERLINK("https://android.googlesource.com/platform/cts/+/44c8e95cf7ee3c4ea8c4b6b60bf14ce27bad75df", "44c8e95cf7ee3c4ea8c4b6b60bf14ce27bad75df")</f>
        <v>0</v>
      </c>
      <c r="D23506" t="s">
        <v>5173</v>
      </c>
      <c r="E23506" t="s">
        <v>6926</v>
      </c>
      <c r="F23506" t="s">
        <v>12717</v>
      </c>
      <c r="G23506" t="s">
        <v>16917</v>
      </c>
      <c r="H23506" t="s">
        <v>26948</v>
      </c>
    </row>
    <row r="23507" spans="1:8">
      <c r="A23507" t="s">
        <v>1154</v>
      </c>
      <c r="B23507">
        <f>HYPERLINK("https://android.googlesource.com/platform/cts/+/3567d303d1f1a7ff1468c17ec4aa5a6d92770a05", "3567d303d1f1a7ff1468c17ec4aa5a6d92770a05")</f>
        <v>0</v>
      </c>
      <c r="C23507">
        <f>HYPERLINK("https://android.googlesource.com/platform/cts/+/3c50727634c4cfcb7da6e20351c058e37f50b1c9", "3c50727634c4cfcb7da6e20351c058e37f50b1c9")</f>
        <v>0</v>
      </c>
      <c r="D23507" t="s">
        <v>5143</v>
      </c>
      <c r="E23507" t="s">
        <v>6927</v>
      </c>
      <c r="F23507" t="s">
        <v>12906</v>
      </c>
      <c r="G23507" t="s">
        <v>17072</v>
      </c>
      <c r="H23507" t="s">
        <v>26949</v>
      </c>
    </row>
    <row r="23508" spans="1:8">
      <c r="H23508" t="s">
        <v>26950</v>
      </c>
    </row>
    <row r="23509" spans="1:8">
      <c r="H23509" t="s">
        <v>26951</v>
      </c>
    </row>
    <row r="23510" spans="1:8">
      <c r="H23510" t="s">
        <v>26952</v>
      </c>
    </row>
    <row r="23511" spans="1:8">
      <c r="H23511" t="s">
        <v>26953</v>
      </c>
    </row>
    <row r="23512" spans="1:8">
      <c r="H23512" t="s">
        <v>26954</v>
      </c>
    </row>
    <row r="23513" spans="1:8">
      <c r="A23513" t="s">
        <v>1155</v>
      </c>
      <c r="B23513">
        <f>HYPERLINK("https://android.googlesource.com/platform/cts/+/299464294bc77b78433a0a0581a7656cdd6a496f", "299464294bc77b78433a0a0581a7656cdd6a496f")</f>
        <v>0</v>
      </c>
      <c r="C23513">
        <f>HYPERLINK("https://android.googlesource.com/platform/cts/+/3c50727634c4cfcb7da6e20351c058e37f50b1c9", "3c50727634c4cfcb7da6e20351c058e37f50b1c9")</f>
        <v>0</v>
      </c>
      <c r="D23513" t="s">
        <v>5143</v>
      </c>
      <c r="E23513" t="s">
        <v>6928</v>
      </c>
      <c r="F23513" t="s">
        <v>12907</v>
      </c>
      <c r="G23513" t="s">
        <v>17073</v>
      </c>
      <c r="H23513" t="s">
        <v>26955</v>
      </c>
    </row>
    <row r="23514" spans="1:8">
      <c r="H23514" t="s">
        <v>26956</v>
      </c>
    </row>
    <row r="23515" spans="1:8">
      <c r="H23515" t="s">
        <v>18893</v>
      </c>
    </row>
    <row r="23516" spans="1:8">
      <c r="H23516" t="s">
        <v>26957</v>
      </c>
    </row>
    <row r="23517" spans="1:8">
      <c r="H23517" t="s">
        <v>26958</v>
      </c>
    </row>
    <row r="23518" spans="1:8">
      <c r="H23518" t="s">
        <v>18893</v>
      </c>
    </row>
    <row r="23519" spans="1:8">
      <c r="H23519" t="s">
        <v>26539</v>
      </c>
    </row>
    <row r="23520" spans="1:8">
      <c r="H23520" t="s">
        <v>26959</v>
      </c>
    </row>
    <row r="23521" spans="1:8">
      <c r="H23521" t="s">
        <v>26960</v>
      </c>
    </row>
    <row r="23522" spans="1:8">
      <c r="H23522" t="s">
        <v>26961</v>
      </c>
    </row>
    <row r="23523" spans="1:8">
      <c r="H23523" t="s">
        <v>26962</v>
      </c>
    </row>
    <row r="23524" spans="1:8">
      <c r="A23524" t="s">
        <v>1156</v>
      </c>
      <c r="B23524">
        <f>HYPERLINK("https://android.googlesource.com/platform/cts/+/96a6b7efe1df9fa02ded5ae8454d734244d19332", "96a6b7efe1df9fa02ded5ae8454d734244d19332")</f>
        <v>0</v>
      </c>
      <c r="C23524">
        <f>HYPERLINK("https://android.googlesource.com/platform/cts/+/fb1864028bb8160360c149cc174d1dae824be92f", "fb1864028bb8160360c149cc174d1dae824be92f")</f>
        <v>0</v>
      </c>
      <c r="D23524" t="s">
        <v>5143</v>
      </c>
      <c r="E23524" t="s">
        <v>6929</v>
      </c>
      <c r="F23524" t="s">
        <v>12908</v>
      </c>
      <c r="G23524" t="s">
        <v>17074</v>
      </c>
      <c r="H23524" t="s">
        <v>26539</v>
      </c>
    </row>
    <row r="23525" spans="1:8">
      <c r="H23525" t="s">
        <v>26963</v>
      </c>
    </row>
    <row r="23526" spans="1:8">
      <c r="H23526" t="s">
        <v>26964</v>
      </c>
    </row>
    <row r="23527" spans="1:8">
      <c r="H23527" t="s">
        <v>26963</v>
      </c>
    </row>
    <row r="23528" spans="1:8">
      <c r="H23528" t="s">
        <v>26664</v>
      </c>
    </row>
    <row r="23529" spans="1:8">
      <c r="H23529" t="s">
        <v>26665</v>
      </c>
    </row>
    <row r="23530" spans="1:8">
      <c r="H23530" t="s">
        <v>26965</v>
      </c>
    </row>
    <row r="23531" spans="1:8">
      <c r="H23531" t="s">
        <v>26966</v>
      </c>
    </row>
    <row r="23532" spans="1:8">
      <c r="A23532" t="s">
        <v>1157</v>
      </c>
      <c r="B23532">
        <f>HYPERLINK("https://android.googlesource.com/platform/cts/+/86394041978113e596212eae6da62642dfc91c71", "86394041978113e596212eae6da62642dfc91c71")</f>
        <v>0</v>
      </c>
      <c r="C23532">
        <f>HYPERLINK("https://android.googlesource.com/platform/cts/+/8cd88929b2a726ea27eaae32d9baab545c626143", "8cd88929b2a726ea27eaae32d9baab545c626143")</f>
        <v>0</v>
      </c>
      <c r="D23532" t="s">
        <v>5115</v>
      </c>
      <c r="E23532" t="s">
        <v>6930</v>
      </c>
      <c r="F23532" t="s">
        <v>12662</v>
      </c>
      <c r="G23532" t="s">
        <v>16867</v>
      </c>
      <c r="H23532" t="s">
        <v>26967</v>
      </c>
    </row>
    <row r="23533" spans="1:8">
      <c r="A23533" t="s">
        <v>1158</v>
      </c>
      <c r="B23533">
        <f>HYPERLINK("https://android.googlesource.com/platform/cts/+/cfd9f2f6ae34f7cd2f4a4ee91afc67b558c75efa", "cfd9f2f6ae34f7cd2f4a4ee91afc67b558c75efa")</f>
        <v>0</v>
      </c>
      <c r="C23533">
        <f>HYPERLINK("https://android.googlesource.com/platform/cts/+/c80ea7b46c845c8ea41b5bf186d7c42b7fb32851", "c80ea7b46c845c8ea41b5bf186d7c42b7fb32851")</f>
        <v>0</v>
      </c>
      <c r="D23533" t="s">
        <v>5174</v>
      </c>
      <c r="E23533" t="s">
        <v>6931</v>
      </c>
      <c r="F23533" t="s">
        <v>12909</v>
      </c>
      <c r="G23533" t="s">
        <v>17075</v>
      </c>
      <c r="H23533" t="s">
        <v>26968</v>
      </c>
    </row>
    <row r="23534" spans="1:8">
      <c r="A23534" t="s">
        <v>1159</v>
      </c>
      <c r="B23534">
        <f>HYPERLINK("https://android.googlesource.com/platform/cts/+/2773547b152e8955272afa9a261d9a047b8c1c87", "2773547b152e8955272afa9a261d9a047b8c1c87")</f>
        <v>0</v>
      </c>
      <c r="C23534">
        <f>HYPERLINK("https://android.googlesource.com/platform/cts/+/4191d285d6d7e3caa760413f9fae91dcb0e8d0b0", "4191d285d6d7e3caa760413f9fae91dcb0e8d0b0")</f>
        <v>0</v>
      </c>
      <c r="D23534" t="s">
        <v>5143</v>
      </c>
      <c r="E23534" t="s">
        <v>6932</v>
      </c>
      <c r="F23534" t="s">
        <v>10658</v>
      </c>
      <c r="G23534" t="s">
        <v>15059</v>
      </c>
      <c r="H23534" t="s">
        <v>26969</v>
      </c>
    </row>
    <row r="23535" spans="1:8">
      <c r="H23535" t="s">
        <v>26970</v>
      </c>
    </row>
    <row r="23536" spans="1:8">
      <c r="H23536" t="s">
        <v>26971</v>
      </c>
    </row>
    <row r="23537" spans="1:8">
      <c r="H23537" t="s">
        <v>26972</v>
      </c>
    </row>
    <row r="23538" spans="1:8">
      <c r="H23538" t="s">
        <v>18893</v>
      </c>
    </row>
    <row r="23539" spans="1:8">
      <c r="H23539" t="s">
        <v>26973</v>
      </c>
    </row>
    <row r="23540" spans="1:8">
      <c r="A23540" t="s">
        <v>1160</v>
      </c>
      <c r="B23540">
        <f>HYPERLINK("https://android.googlesource.com/platform/cts/+/938e01e2ecbc870a6de7296ea3cbb1550404439d", "938e01e2ecbc870a6de7296ea3cbb1550404439d")</f>
        <v>0</v>
      </c>
      <c r="C23540">
        <f>HYPERLINK("https://android.googlesource.com/platform/cts/+/35184059cfb5db0ec557889218068db8bd835ee0", "35184059cfb5db0ec557889218068db8bd835ee0")</f>
        <v>0</v>
      </c>
      <c r="D23540" t="s">
        <v>5143</v>
      </c>
      <c r="E23540" t="s">
        <v>6933</v>
      </c>
      <c r="F23540" t="s">
        <v>10794</v>
      </c>
      <c r="G23540" t="s">
        <v>15189</v>
      </c>
      <c r="H23540" t="s">
        <v>26974</v>
      </c>
    </row>
    <row r="23541" spans="1:8">
      <c r="H23541" t="s">
        <v>26975</v>
      </c>
    </row>
    <row r="23542" spans="1:8">
      <c r="H23542" t="s">
        <v>26976</v>
      </c>
    </row>
    <row r="23543" spans="1:8">
      <c r="H23543" t="s">
        <v>26977</v>
      </c>
    </row>
    <row r="23544" spans="1:8">
      <c r="H23544" t="s">
        <v>25709</v>
      </c>
    </row>
    <row r="23545" spans="1:8">
      <c r="H23545" t="s">
        <v>18893</v>
      </c>
    </row>
    <row r="23546" spans="1:8">
      <c r="H23546" t="s">
        <v>19687</v>
      </c>
    </row>
    <row r="23547" spans="1:8">
      <c r="A23547" t="s">
        <v>1161</v>
      </c>
      <c r="B23547">
        <f>HYPERLINK("https://android.googlesource.com/platform/cts/+/98d000ba45f2a9485e391b8a8abff1d891ea4dbb", "98d000ba45f2a9485e391b8a8abff1d891ea4dbb")</f>
        <v>0</v>
      </c>
      <c r="C23547">
        <f>HYPERLINK("https://android.googlesource.com/platform/cts/+/938e01e2ecbc870a6de7296ea3cbb1550404439d", "938e01e2ecbc870a6de7296ea3cbb1550404439d")</f>
        <v>0</v>
      </c>
      <c r="D23547" t="s">
        <v>5143</v>
      </c>
      <c r="E23547" t="s">
        <v>6934</v>
      </c>
      <c r="F23547" t="s">
        <v>10794</v>
      </c>
      <c r="G23547" t="s">
        <v>15189</v>
      </c>
      <c r="H23547" t="s">
        <v>26978</v>
      </c>
    </row>
    <row r="23548" spans="1:8">
      <c r="H23548" t="s">
        <v>26979</v>
      </c>
    </row>
    <row r="23549" spans="1:8">
      <c r="H23549" t="s">
        <v>26980</v>
      </c>
    </row>
    <row r="23550" spans="1:8">
      <c r="H23550" t="s">
        <v>26981</v>
      </c>
    </row>
    <row r="23551" spans="1:8">
      <c r="H23551" t="s">
        <v>26982</v>
      </c>
    </row>
    <row r="23552" spans="1:8">
      <c r="H23552" t="s">
        <v>26983</v>
      </c>
    </row>
    <row r="23553" spans="1:8">
      <c r="H23553" t="s">
        <v>26984</v>
      </c>
    </row>
    <row r="23554" spans="1:8">
      <c r="H23554" t="s">
        <v>26985</v>
      </c>
    </row>
    <row r="23555" spans="1:8">
      <c r="H23555" t="s">
        <v>26986</v>
      </c>
    </row>
    <row r="23556" spans="1:8">
      <c r="H23556" t="s">
        <v>26987</v>
      </c>
    </row>
    <row r="23557" spans="1:8">
      <c r="H23557" t="s">
        <v>26988</v>
      </c>
    </row>
    <row r="23558" spans="1:8">
      <c r="H23558" t="s">
        <v>26989</v>
      </c>
    </row>
    <row r="23559" spans="1:8">
      <c r="H23559" t="s">
        <v>26990</v>
      </c>
    </row>
    <row r="23560" spans="1:8">
      <c r="H23560" t="s">
        <v>18893</v>
      </c>
    </row>
    <row r="23561" spans="1:8">
      <c r="H23561" t="s">
        <v>20354</v>
      </c>
    </row>
    <row r="23562" spans="1:8">
      <c r="H23562" t="s">
        <v>26991</v>
      </c>
    </row>
    <row r="23563" spans="1:8">
      <c r="H23563" t="s">
        <v>26992</v>
      </c>
    </row>
    <row r="23564" spans="1:8">
      <c r="H23564" t="s">
        <v>18893</v>
      </c>
    </row>
    <row r="23565" spans="1:8">
      <c r="H23565" t="s">
        <v>20354</v>
      </c>
    </row>
    <row r="23566" spans="1:8">
      <c r="H23566" t="s">
        <v>26993</v>
      </c>
    </row>
    <row r="23567" spans="1:8">
      <c r="A23567" t="s">
        <v>1162</v>
      </c>
      <c r="B23567">
        <f>HYPERLINK("https://android.googlesource.com/platform/cts/+/843836cb8ae821c853b0bac0bfed30961192d016", "843836cb8ae821c853b0bac0bfed30961192d016")</f>
        <v>0</v>
      </c>
      <c r="C23567">
        <f>HYPERLINK("https://android.googlesource.com/platform/cts/+/2699fd0c97994d0ed01f8e0bdecb1f92353ff697", "2699fd0c97994d0ed01f8e0bdecb1f92353ff697")</f>
        <v>0</v>
      </c>
      <c r="D23567" t="s">
        <v>5046</v>
      </c>
      <c r="E23567" t="s">
        <v>6935</v>
      </c>
      <c r="F23567" t="s">
        <v>10758</v>
      </c>
      <c r="G23567" t="s">
        <v>15156</v>
      </c>
      <c r="H23567" t="s">
        <v>26994</v>
      </c>
    </row>
    <row r="23568" spans="1:8">
      <c r="A23568" t="s">
        <v>1163</v>
      </c>
      <c r="B23568">
        <f>HYPERLINK("https://android.googlesource.com/platform/cts/+/9f67f0f2c239330040323010aece57fa9e1263ee", "9f67f0f2c239330040323010aece57fa9e1263ee")</f>
        <v>0</v>
      </c>
      <c r="C23568">
        <f>HYPERLINK("https://android.googlesource.com/platform/cts/+/d1c476b38fd560e462d5c7b0e898670b26ffbe46", "d1c476b38fd560e462d5c7b0e898670b26ffbe46")</f>
        <v>0</v>
      </c>
      <c r="D23568" t="s">
        <v>5030</v>
      </c>
      <c r="E23568" t="s">
        <v>6936</v>
      </c>
      <c r="F23568" t="s">
        <v>12176</v>
      </c>
      <c r="G23568" t="s">
        <v>16415</v>
      </c>
      <c r="H23568" t="s">
        <v>26995</v>
      </c>
    </row>
    <row r="23569" spans="1:8">
      <c r="F23569" t="s">
        <v>12910</v>
      </c>
      <c r="G23569" t="s">
        <v>17076</v>
      </c>
      <c r="H23569" t="s">
        <v>26996</v>
      </c>
    </row>
    <row r="23570" spans="1:8">
      <c r="F23570" t="s">
        <v>12656</v>
      </c>
      <c r="G23570" t="s">
        <v>16861</v>
      </c>
      <c r="H23570" t="s">
        <v>26997</v>
      </c>
    </row>
    <row r="23571" spans="1:8">
      <c r="F23571" t="s">
        <v>12782</v>
      </c>
      <c r="G23571" t="s">
        <v>16420</v>
      </c>
      <c r="H23571" t="s">
        <v>26998</v>
      </c>
    </row>
    <row r="23572" spans="1:8">
      <c r="H23572" t="s">
        <v>26997</v>
      </c>
    </row>
    <row r="23573" spans="1:8">
      <c r="H23573" t="s">
        <v>26999</v>
      </c>
    </row>
    <row r="23574" spans="1:8">
      <c r="H23574" t="s">
        <v>26998</v>
      </c>
    </row>
    <row r="23575" spans="1:8">
      <c r="H23575" t="s">
        <v>26997</v>
      </c>
    </row>
    <row r="23576" spans="1:8">
      <c r="H23576" t="s">
        <v>26999</v>
      </c>
    </row>
    <row r="23577" spans="1:8">
      <c r="A23577" t="s">
        <v>1164</v>
      </c>
      <c r="B23577">
        <f>HYPERLINK("https://android.googlesource.com/platform/cts/+/de5aea800f94d6709489721d38ec10851f6ce79a", "de5aea800f94d6709489721d38ec10851f6ce79a")</f>
        <v>0</v>
      </c>
      <c r="C23577">
        <f>HYPERLINK("https://android.googlesource.com/platform/cts/+/5ef048c114075fcda76190a29f3571ac228465a6", "5ef048c114075fcda76190a29f3571ac228465a6")</f>
        <v>0</v>
      </c>
      <c r="D23577" t="s">
        <v>5018</v>
      </c>
      <c r="E23577" t="s">
        <v>6937</v>
      </c>
      <c r="F23577" t="s">
        <v>12787</v>
      </c>
      <c r="G23577" t="s">
        <v>16971</v>
      </c>
      <c r="H23577" t="s">
        <v>27000</v>
      </c>
    </row>
    <row r="23578" spans="1:8">
      <c r="A23578" t="s">
        <v>1165</v>
      </c>
      <c r="B23578">
        <f>HYPERLINK("https://android.googlesource.com/platform/cts/+/4d48fa2917d59a56c65d54e1931e6b90545dd4a1", "4d48fa2917d59a56c65d54e1931e6b90545dd4a1")</f>
        <v>0</v>
      </c>
      <c r="C23578">
        <f>HYPERLINK("https://android.googlesource.com/platform/cts/+/10f180031a50c7cfe09fdb6460705ce303d97211", "10f180031a50c7cfe09fdb6460705ce303d97211")</f>
        <v>0</v>
      </c>
      <c r="D23578" t="s">
        <v>5030</v>
      </c>
      <c r="E23578" t="s">
        <v>6938</v>
      </c>
      <c r="F23578" t="s">
        <v>12656</v>
      </c>
      <c r="G23578" t="s">
        <v>16861</v>
      </c>
      <c r="H23578" t="s">
        <v>27001</v>
      </c>
    </row>
    <row r="23579" spans="1:8">
      <c r="H23579" t="s">
        <v>27002</v>
      </c>
    </row>
    <row r="23580" spans="1:8">
      <c r="H23580" t="s">
        <v>27003</v>
      </c>
    </row>
    <row r="23581" spans="1:8">
      <c r="H23581" t="s">
        <v>27004</v>
      </c>
    </row>
    <row r="23582" spans="1:8">
      <c r="H23582" t="s">
        <v>27005</v>
      </c>
    </row>
    <row r="23583" spans="1:8">
      <c r="H23583" t="s">
        <v>27006</v>
      </c>
    </row>
    <row r="23584" spans="1:8">
      <c r="H23584" t="s">
        <v>27007</v>
      </c>
    </row>
    <row r="23585" spans="8:8">
      <c r="H23585" t="s">
        <v>27008</v>
      </c>
    </row>
    <row r="23586" spans="8:8">
      <c r="H23586" t="s">
        <v>27009</v>
      </c>
    </row>
    <row r="23587" spans="8:8">
      <c r="H23587" t="s">
        <v>27010</v>
      </c>
    </row>
    <row r="23588" spans="8:8">
      <c r="H23588" t="s">
        <v>27011</v>
      </c>
    </row>
    <row r="23589" spans="8:8">
      <c r="H23589" t="s">
        <v>27012</v>
      </c>
    </row>
    <row r="23590" spans="8:8">
      <c r="H23590" t="s">
        <v>27013</v>
      </c>
    </row>
    <row r="23591" spans="8:8">
      <c r="H23591" t="s">
        <v>27014</v>
      </c>
    </row>
    <row r="23592" spans="8:8">
      <c r="H23592" t="s">
        <v>27015</v>
      </c>
    </row>
    <row r="23593" spans="8:8">
      <c r="H23593" t="s">
        <v>27016</v>
      </c>
    </row>
    <row r="23594" spans="8:8">
      <c r="H23594" t="s">
        <v>27017</v>
      </c>
    </row>
    <row r="23595" spans="8:8">
      <c r="H23595" t="s">
        <v>27018</v>
      </c>
    </row>
    <row r="23596" spans="8:8">
      <c r="H23596" t="s">
        <v>27019</v>
      </c>
    </row>
    <row r="23597" spans="8:8">
      <c r="H23597" t="s">
        <v>27020</v>
      </c>
    </row>
    <row r="23598" spans="8:8">
      <c r="H23598" t="s">
        <v>27021</v>
      </c>
    </row>
    <row r="23599" spans="8:8">
      <c r="H23599" t="s">
        <v>27022</v>
      </c>
    </row>
    <row r="23600" spans="8:8">
      <c r="H23600" t="s">
        <v>27023</v>
      </c>
    </row>
    <row r="23601" spans="8:8">
      <c r="H23601" t="s">
        <v>27024</v>
      </c>
    </row>
    <row r="23602" spans="8:8">
      <c r="H23602" t="s">
        <v>27025</v>
      </c>
    </row>
    <row r="23603" spans="8:8">
      <c r="H23603" t="s">
        <v>27026</v>
      </c>
    </row>
    <row r="23604" spans="8:8">
      <c r="H23604" t="s">
        <v>27027</v>
      </c>
    </row>
    <row r="23605" spans="8:8">
      <c r="H23605" t="s">
        <v>27028</v>
      </c>
    </row>
    <row r="23606" spans="8:8">
      <c r="H23606" t="s">
        <v>27029</v>
      </c>
    </row>
    <row r="23607" spans="8:8">
      <c r="H23607" t="s">
        <v>27030</v>
      </c>
    </row>
    <row r="23608" spans="8:8">
      <c r="H23608" t="s">
        <v>27031</v>
      </c>
    </row>
    <row r="23609" spans="8:8">
      <c r="H23609" t="s">
        <v>27032</v>
      </c>
    </row>
    <row r="23610" spans="8:8">
      <c r="H23610" t="s">
        <v>27033</v>
      </c>
    </row>
    <row r="23611" spans="8:8">
      <c r="H23611" t="s">
        <v>27034</v>
      </c>
    </row>
    <row r="23612" spans="8:8">
      <c r="H23612" t="s">
        <v>27035</v>
      </c>
    </row>
    <row r="23613" spans="8:8">
      <c r="H23613" t="s">
        <v>27036</v>
      </c>
    </row>
    <row r="23614" spans="8:8">
      <c r="H23614" t="s">
        <v>27037</v>
      </c>
    </row>
    <row r="23615" spans="8:8">
      <c r="H23615" t="s">
        <v>27038</v>
      </c>
    </row>
    <row r="23616" spans="8:8">
      <c r="H23616" t="s">
        <v>27039</v>
      </c>
    </row>
    <row r="23617" spans="6:8">
      <c r="H23617" t="s">
        <v>27040</v>
      </c>
    </row>
    <row r="23618" spans="6:8">
      <c r="H23618" t="s">
        <v>27041</v>
      </c>
    </row>
    <row r="23619" spans="6:8">
      <c r="H23619" t="s">
        <v>27042</v>
      </c>
    </row>
    <row r="23620" spans="6:8">
      <c r="H23620" t="s">
        <v>27043</v>
      </c>
    </row>
    <row r="23621" spans="6:8">
      <c r="H23621" t="s">
        <v>27044</v>
      </c>
    </row>
    <row r="23622" spans="6:8">
      <c r="H23622" t="s">
        <v>27045</v>
      </c>
    </row>
    <row r="23623" spans="6:8">
      <c r="H23623" t="s">
        <v>27046</v>
      </c>
    </row>
    <row r="23624" spans="6:8">
      <c r="F23624" t="s">
        <v>12782</v>
      </c>
      <c r="G23624" t="s">
        <v>16420</v>
      </c>
      <c r="H23624" t="s">
        <v>21301</v>
      </c>
    </row>
    <row r="23625" spans="6:8">
      <c r="H23625" t="s">
        <v>21302</v>
      </c>
    </row>
    <row r="23626" spans="6:8">
      <c r="H23626" t="s">
        <v>21303</v>
      </c>
    </row>
    <row r="23627" spans="6:8">
      <c r="H23627" t="s">
        <v>21304</v>
      </c>
    </row>
    <row r="23628" spans="6:8">
      <c r="H23628" t="s">
        <v>21305</v>
      </c>
    </row>
    <row r="23629" spans="6:8">
      <c r="H23629" t="s">
        <v>27047</v>
      </c>
    </row>
    <row r="23630" spans="6:8">
      <c r="H23630" t="s">
        <v>27048</v>
      </c>
    </row>
    <row r="23631" spans="6:8">
      <c r="H23631" t="s">
        <v>27049</v>
      </c>
    </row>
    <row r="23632" spans="6:8">
      <c r="H23632" t="s">
        <v>27050</v>
      </c>
    </row>
    <row r="23633" spans="8:8">
      <c r="H23633" t="s">
        <v>27051</v>
      </c>
    </row>
    <row r="23634" spans="8:8">
      <c r="H23634" t="s">
        <v>27052</v>
      </c>
    </row>
    <row r="23635" spans="8:8">
      <c r="H23635" t="s">
        <v>27053</v>
      </c>
    </row>
    <row r="23636" spans="8:8">
      <c r="H23636" t="s">
        <v>27054</v>
      </c>
    </row>
    <row r="23637" spans="8:8">
      <c r="H23637" t="s">
        <v>27055</v>
      </c>
    </row>
    <row r="23638" spans="8:8">
      <c r="H23638" t="s">
        <v>27056</v>
      </c>
    </row>
    <row r="23639" spans="8:8">
      <c r="H23639" t="s">
        <v>27057</v>
      </c>
    </row>
    <row r="23640" spans="8:8">
      <c r="H23640" t="s">
        <v>27058</v>
      </c>
    </row>
    <row r="23641" spans="8:8">
      <c r="H23641" t="s">
        <v>27059</v>
      </c>
    </row>
    <row r="23642" spans="8:8">
      <c r="H23642" t="s">
        <v>27060</v>
      </c>
    </row>
    <row r="23643" spans="8:8">
      <c r="H23643" t="s">
        <v>27061</v>
      </c>
    </row>
    <row r="23644" spans="8:8">
      <c r="H23644" t="s">
        <v>27062</v>
      </c>
    </row>
    <row r="23645" spans="8:8">
      <c r="H23645" t="s">
        <v>27037</v>
      </c>
    </row>
    <row r="23646" spans="8:8">
      <c r="H23646" t="s">
        <v>27038</v>
      </c>
    </row>
    <row r="23647" spans="8:8">
      <c r="H23647" t="s">
        <v>27039</v>
      </c>
    </row>
    <row r="23648" spans="8:8">
      <c r="H23648" t="s">
        <v>27040</v>
      </c>
    </row>
    <row r="23649" spans="8:8">
      <c r="H23649" t="s">
        <v>27063</v>
      </c>
    </row>
    <row r="23650" spans="8:8">
      <c r="H23650" t="s">
        <v>27064</v>
      </c>
    </row>
    <row r="23651" spans="8:8">
      <c r="H23651" t="s">
        <v>27065</v>
      </c>
    </row>
    <row r="23652" spans="8:8">
      <c r="H23652" t="s">
        <v>27066</v>
      </c>
    </row>
    <row r="23653" spans="8:8">
      <c r="H23653" t="s">
        <v>27067</v>
      </c>
    </row>
    <row r="23654" spans="8:8">
      <c r="H23654" t="s">
        <v>27068</v>
      </c>
    </row>
    <row r="23655" spans="8:8">
      <c r="H23655" t="s">
        <v>27069</v>
      </c>
    </row>
    <row r="23656" spans="8:8">
      <c r="H23656" t="s">
        <v>27070</v>
      </c>
    </row>
    <row r="23657" spans="8:8">
      <c r="H23657" t="s">
        <v>27071</v>
      </c>
    </row>
    <row r="23658" spans="8:8">
      <c r="H23658" t="s">
        <v>27072</v>
      </c>
    </row>
    <row r="23659" spans="8:8">
      <c r="H23659" t="s">
        <v>27073</v>
      </c>
    </row>
    <row r="23660" spans="8:8">
      <c r="H23660" t="s">
        <v>27074</v>
      </c>
    </row>
    <row r="23661" spans="8:8">
      <c r="H23661" t="s">
        <v>27075</v>
      </c>
    </row>
    <row r="23662" spans="8:8">
      <c r="H23662" t="s">
        <v>27076</v>
      </c>
    </row>
    <row r="23663" spans="8:8">
      <c r="H23663" t="s">
        <v>27077</v>
      </c>
    </row>
    <row r="23664" spans="8:8">
      <c r="H23664" t="s">
        <v>27078</v>
      </c>
    </row>
    <row r="23665" spans="1:8">
      <c r="H23665" t="s">
        <v>27079</v>
      </c>
    </row>
    <row r="23666" spans="1:8">
      <c r="H23666" t="s">
        <v>27080</v>
      </c>
    </row>
    <row r="23667" spans="1:8">
      <c r="H23667" t="s">
        <v>27081</v>
      </c>
    </row>
    <row r="23668" spans="1:8">
      <c r="H23668" t="s">
        <v>27082</v>
      </c>
    </row>
    <row r="23669" spans="1:8">
      <c r="H23669" t="s">
        <v>27083</v>
      </c>
    </row>
    <row r="23670" spans="1:8">
      <c r="H23670" t="s">
        <v>27084</v>
      </c>
    </row>
    <row r="23671" spans="1:8">
      <c r="A23671" t="s">
        <v>1166</v>
      </c>
      <c r="B23671">
        <f>HYPERLINK("https://android.googlesource.com/platform/cts/+/163676a464f8e1063b3729db7442be05e6474370", "163676a464f8e1063b3729db7442be05e6474370")</f>
        <v>0</v>
      </c>
      <c r="C23671">
        <f>HYPERLINK("https://android.googlesource.com/platform/cts/+/fe47a6a1de0fbc1a7826ea575507d5d182d735bd", "fe47a6a1de0fbc1a7826ea575507d5d182d735bd")</f>
        <v>0</v>
      </c>
      <c r="D23671" t="s">
        <v>5030</v>
      </c>
      <c r="E23671" t="s">
        <v>6939</v>
      </c>
      <c r="F23671" t="s">
        <v>12176</v>
      </c>
      <c r="G23671" t="s">
        <v>16415</v>
      </c>
      <c r="H23671" t="s">
        <v>27085</v>
      </c>
    </row>
    <row r="23672" spans="1:8">
      <c r="A23672" t="s">
        <v>1166</v>
      </c>
      <c r="B23672">
        <f>HYPERLINK("https://android.googlesource.com/platform/cts/+/aff93003f17a39087f011615d5ac2828a78716e7", "aff93003f17a39087f011615d5ac2828a78716e7")</f>
        <v>0</v>
      </c>
      <c r="C23672">
        <f>HYPERLINK("https://android.googlesource.com/platform/cts/+/06190f46835af928293eff2ed529c5490fee45cb", "06190f46835af928293eff2ed529c5490fee45cb")</f>
        <v>0</v>
      </c>
      <c r="D23672" t="s">
        <v>5030</v>
      </c>
      <c r="E23672" t="s">
        <v>6940</v>
      </c>
      <c r="F23672" t="s">
        <v>12176</v>
      </c>
      <c r="G23672" t="s">
        <v>16415</v>
      </c>
      <c r="H23672" t="s">
        <v>27086</v>
      </c>
    </row>
    <row r="23673" spans="1:8">
      <c r="A23673" t="s">
        <v>1167</v>
      </c>
      <c r="B23673">
        <f>HYPERLINK("https://android.googlesource.com/platform/cts/+/0dc0e1cdaa4aa164214a1be8a86107e7311bd597", "0dc0e1cdaa4aa164214a1be8a86107e7311bd597")</f>
        <v>0</v>
      </c>
      <c r="C23673">
        <f>HYPERLINK("https://android.googlesource.com/platform/cts/+/178278260ae4a970e5694a9863d169b4dfc37345", "178278260ae4a970e5694a9863d169b4dfc37345")</f>
        <v>0</v>
      </c>
      <c r="D23673" t="s">
        <v>5030</v>
      </c>
      <c r="E23673" t="s">
        <v>6941</v>
      </c>
      <c r="F23673" t="s">
        <v>12176</v>
      </c>
      <c r="G23673" t="s">
        <v>16415</v>
      </c>
      <c r="H23673" t="s">
        <v>27087</v>
      </c>
    </row>
    <row r="23674" spans="1:8">
      <c r="F23674" t="s">
        <v>12656</v>
      </c>
      <c r="G23674" t="s">
        <v>16861</v>
      </c>
      <c r="H23674" t="s">
        <v>27088</v>
      </c>
    </row>
    <row r="23675" spans="1:8">
      <c r="H23675" t="s">
        <v>27089</v>
      </c>
    </row>
    <row r="23676" spans="1:8">
      <c r="H23676" t="s">
        <v>27090</v>
      </c>
    </row>
    <row r="23677" spans="1:8">
      <c r="H23677" t="s">
        <v>27091</v>
      </c>
    </row>
    <row r="23678" spans="1:8">
      <c r="A23678" t="s">
        <v>1168</v>
      </c>
      <c r="B23678">
        <f>HYPERLINK("https://android.googlesource.com/platform/cts/+/99bd2de15b70c988973157fdbbeb8bdf58fe36fd", "99bd2de15b70c988973157fdbbeb8bdf58fe36fd")</f>
        <v>0</v>
      </c>
      <c r="C23678">
        <f>HYPERLINK("https://android.googlesource.com/platform/cts/+/6d97e3759cd1e5dc8759cbfd0c44d2382bcb88b4", "6d97e3759cd1e5dc8759cbfd0c44d2382bcb88b4")</f>
        <v>0</v>
      </c>
      <c r="D23678" t="s">
        <v>5030</v>
      </c>
      <c r="E23678" t="s">
        <v>6942</v>
      </c>
      <c r="F23678" t="s">
        <v>12176</v>
      </c>
      <c r="G23678" t="s">
        <v>16415</v>
      </c>
      <c r="H23678" t="s">
        <v>27092</v>
      </c>
    </row>
    <row r="23679" spans="1:8">
      <c r="F23679" t="s">
        <v>12656</v>
      </c>
      <c r="G23679" t="s">
        <v>16861</v>
      </c>
      <c r="H23679" t="s">
        <v>27093</v>
      </c>
    </row>
    <row r="23680" spans="1:8">
      <c r="H23680" t="s">
        <v>27094</v>
      </c>
    </row>
    <row r="23681" spans="1:8">
      <c r="H23681" t="s">
        <v>27095</v>
      </c>
    </row>
    <row r="23682" spans="1:8">
      <c r="H23682" t="s">
        <v>27096</v>
      </c>
    </row>
    <row r="23683" spans="1:8">
      <c r="H23683" t="s">
        <v>27097</v>
      </c>
    </row>
    <row r="23684" spans="1:8">
      <c r="H23684" t="s">
        <v>27098</v>
      </c>
    </row>
    <row r="23685" spans="1:8">
      <c r="A23685" t="s">
        <v>1169</v>
      </c>
      <c r="B23685">
        <f>HYPERLINK("https://android.googlesource.com/platform/cts/+/341ef0ed1753b304dcea0050a3a0ebda93f5df1f", "341ef0ed1753b304dcea0050a3a0ebda93f5df1f")</f>
        <v>0</v>
      </c>
      <c r="C23685">
        <f>HYPERLINK("https://android.googlesource.com/platform/cts/+/ef06d8de0e087c60de60ee53b756cf5078fb4a5c", "ef06d8de0e087c60de60ee53b756cf5078fb4a5c")</f>
        <v>0</v>
      </c>
      <c r="D23685" t="s">
        <v>5030</v>
      </c>
      <c r="E23685" t="s">
        <v>6943</v>
      </c>
      <c r="F23685" t="s">
        <v>12176</v>
      </c>
      <c r="G23685" t="s">
        <v>16415</v>
      </c>
      <c r="H23685" t="s">
        <v>27099</v>
      </c>
    </row>
    <row r="23686" spans="1:8">
      <c r="A23686" t="s">
        <v>1170</v>
      </c>
      <c r="B23686">
        <f>HYPERLINK("https://android.googlesource.com/platform/cts/+/354a3744faf4006b2d997ca71ffedef1da823c5e", "354a3744faf4006b2d997ca71ffedef1da823c5e")</f>
        <v>0</v>
      </c>
      <c r="C23686">
        <f>HYPERLINK("https://android.googlesource.com/platform/cts/+/a8d728bc7aca7aa34b192e0cbe10b96a38e8217c", "a8d728bc7aca7aa34b192e0cbe10b96a38e8217c")</f>
        <v>0</v>
      </c>
      <c r="D23686" t="s">
        <v>5143</v>
      </c>
      <c r="E23686" t="s">
        <v>6944</v>
      </c>
      <c r="F23686" t="s">
        <v>10794</v>
      </c>
      <c r="G23686" t="s">
        <v>15189</v>
      </c>
      <c r="H23686" t="s">
        <v>27100</v>
      </c>
    </row>
    <row r="23687" spans="1:8">
      <c r="H23687" t="s">
        <v>27101</v>
      </c>
    </row>
    <row r="23688" spans="1:8">
      <c r="A23688" t="s">
        <v>1171</v>
      </c>
      <c r="B23688">
        <f>HYPERLINK("https://android.googlesource.com/platform/cts/+/5c14d158346be1d61524875a01c62f52379b2fb4", "5c14d158346be1d61524875a01c62f52379b2fb4")</f>
        <v>0</v>
      </c>
      <c r="C23688">
        <f>HYPERLINK("https://android.googlesource.com/platform/cts/+/a8d728bc7aca7aa34b192e0cbe10b96a38e8217c", "a8d728bc7aca7aa34b192e0cbe10b96a38e8217c")</f>
        <v>0</v>
      </c>
      <c r="D23688" t="s">
        <v>5143</v>
      </c>
      <c r="E23688" t="s">
        <v>6945</v>
      </c>
      <c r="F23688" t="s">
        <v>12911</v>
      </c>
      <c r="G23688" t="s">
        <v>17077</v>
      </c>
      <c r="H23688" t="s">
        <v>27102</v>
      </c>
    </row>
    <row r="23689" spans="1:8">
      <c r="H23689" t="s">
        <v>27103</v>
      </c>
    </row>
    <row r="23690" spans="1:8">
      <c r="H23690" t="s">
        <v>27104</v>
      </c>
    </row>
    <row r="23691" spans="1:8">
      <c r="H23691" t="s">
        <v>18893</v>
      </c>
    </row>
    <row r="23692" spans="1:8">
      <c r="H23692" t="s">
        <v>19490</v>
      </c>
    </row>
    <row r="23693" spans="1:8">
      <c r="H23693" t="s">
        <v>27105</v>
      </c>
    </row>
    <row r="23694" spans="1:8">
      <c r="H23694" t="s">
        <v>27106</v>
      </c>
    </row>
    <row r="23695" spans="1:8">
      <c r="A23695" t="s">
        <v>1172</v>
      </c>
      <c r="B23695">
        <f>HYPERLINK("https://android.googlesource.com/platform/cts/+/f520f93dc4f0fb9e78e2d0af54c1fb9d1d16b8e1", "f520f93dc4f0fb9e78e2d0af54c1fb9d1d16b8e1")</f>
        <v>0</v>
      </c>
      <c r="C23695">
        <f>HYPERLINK("https://android.googlesource.com/platform/cts/+/46e06084c56019021aa7d6559596f5fab65b9a4d", "46e06084c56019021aa7d6559596f5fab65b9a4d")</f>
        <v>0</v>
      </c>
      <c r="D23695" t="s">
        <v>5094</v>
      </c>
      <c r="E23695" t="s">
        <v>6946</v>
      </c>
      <c r="F23695" t="s">
        <v>12629</v>
      </c>
      <c r="G23695" t="s">
        <v>16838</v>
      </c>
      <c r="H23695" t="s">
        <v>27107</v>
      </c>
    </row>
    <row r="23696" spans="1:8">
      <c r="A23696" t="s">
        <v>1173</v>
      </c>
      <c r="B23696">
        <f>HYPERLINK("https://android.googlesource.com/platform/cts/+/e2784be7dd616af44b2058b76e701e74ed41961b", "e2784be7dd616af44b2058b76e701e74ed41961b")</f>
        <v>0</v>
      </c>
      <c r="C23696">
        <f>HYPERLINK("https://android.googlesource.com/platform/cts/+/dec771a026285784ff5c82ad975de3964bd50f91", "dec771a026285784ff5c82ad975de3964bd50f91")</f>
        <v>0</v>
      </c>
      <c r="D23696" t="s">
        <v>4994</v>
      </c>
      <c r="E23696" t="s">
        <v>6947</v>
      </c>
      <c r="F23696" t="s">
        <v>10634</v>
      </c>
      <c r="G23696" t="s">
        <v>15037</v>
      </c>
      <c r="H23696" t="s">
        <v>27108</v>
      </c>
    </row>
    <row r="23697" spans="1:8">
      <c r="H23697" t="s">
        <v>27109</v>
      </c>
    </row>
    <row r="23698" spans="1:8">
      <c r="H23698" t="s">
        <v>27110</v>
      </c>
    </row>
    <row r="23699" spans="1:8">
      <c r="H23699" t="s">
        <v>27111</v>
      </c>
    </row>
    <row r="23700" spans="1:8">
      <c r="A23700" t="s">
        <v>1174</v>
      </c>
      <c r="B23700">
        <f>HYPERLINK("https://android.googlesource.com/platform/cts/+/0a304b0786021b6bba39b170e3193f56f0d0d244", "0a304b0786021b6bba39b170e3193f56f0d0d244")</f>
        <v>0</v>
      </c>
      <c r="C23700">
        <f>HYPERLINK("https://android.googlesource.com/platform/cts/+/dec771a026285784ff5c82ad975de3964bd50f91", "dec771a026285784ff5c82ad975de3964bd50f91")</f>
        <v>0</v>
      </c>
      <c r="D23700" t="s">
        <v>4994</v>
      </c>
      <c r="E23700" t="s">
        <v>6948</v>
      </c>
      <c r="F23700" t="s">
        <v>12912</v>
      </c>
      <c r="G23700" t="s">
        <v>17078</v>
      </c>
      <c r="H23700" t="s">
        <v>27112</v>
      </c>
    </row>
    <row r="23701" spans="1:8">
      <c r="A23701" t="s">
        <v>1175</v>
      </c>
      <c r="B23701">
        <f>HYPERLINK("https://android.googlesource.com/platform/cts/+/f92fb0b81547e780896b00e3c2198a1e133f36e7", "f92fb0b81547e780896b00e3c2198a1e133f36e7")</f>
        <v>0</v>
      </c>
      <c r="C23701">
        <f>HYPERLINK("https://android.googlesource.com/platform/cts/+/68e28793a646128d60b0d0976ee07e0fe82ab943", "68e28793a646128d60b0d0976ee07e0fe82ab943")</f>
        <v>0</v>
      </c>
      <c r="D23701" t="s">
        <v>4991</v>
      </c>
      <c r="E23701" t="s">
        <v>6949</v>
      </c>
      <c r="F23701" t="s">
        <v>12913</v>
      </c>
      <c r="G23701" t="s">
        <v>16432</v>
      </c>
      <c r="H23701" t="s">
        <v>18829</v>
      </c>
    </row>
    <row r="23702" spans="1:8">
      <c r="H23702" t="s">
        <v>18863</v>
      </c>
    </row>
    <row r="23703" spans="1:8">
      <c r="H23703" t="s">
        <v>21181</v>
      </c>
    </row>
    <row r="23704" spans="1:8">
      <c r="H23704" t="s">
        <v>19261</v>
      </c>
    </row>
    <row r="23705" spans="1:8">
      <c r="H23705" t="s">
        <v>26788</v>
      </c>
    </row>
    <row r="23706" spans="1:8">
      <c r="A23706" t="s">
        <v>1176</v>
      </c>
      <c r="B23706">
        <f>HYPERLINK("https://android.googlesource.com/platform/cts/+/4ecdf19f17c95c39189797cae19d99c5078f9f29", "4ecdf19f17c95c39189797cae19d99c5078f9f29")</f>
        <v>0</v>
      </c>
      <c r="C23706">
        <f>HYPERLINK("https://android.googlesource.com/platform/cts/+/a8d728bc7aca7aa34b192e0cbe10b96a38e8217c", "a8d728bc7aca7aa34b192e0cbe10b96a38e8217c")</f>
        <v>0</v>
      </c>
      <c r="D23706" t="s">
        <v>5143</v>
      </c>
      <c r="E23706" t="s">
        <v>6950</v>
      </c>
      <c r="F23706" t="s">
        <v>12914</v>
      </c>
      <c r="G23706" t="s">
        <v>17079</v>
      </c>
      <c r="H23706" t="s">
        <v>27113</v>
      </c>
    </row>
    <row r="23707" spans="1:8">
      <c r="H23707" t="s">
        <v>26266</v>
      </c>
    </row>
    <row r="23708" spans="1:8">
      <c r="A23708" t="s">
        <v>1177</v>
      </c>
      <c r="B23708">
        <f>HYPERLINK("https://android.googlesource.com/platform/cts/+/d1d1e73dd21846d44ffb8251743326a1bc19a43f", "d1d1e73dd21846d44ffb8251743326a1bc19a43f")</f>
        <v>0</v>
      </c>
      <c r="C23708">
        <f>HYPERLINK("https://android.googlesource.com/platform/cts/+/30040010201c5e25b0343f4d3290f18c90786771", "30040010201c5e25b0343f4d3290f18c90786771")</f>
        <v>0</v>
      </c>
      <c r="D23708" t="s">
        <v>5143</v>
      </c>
      <c r="E23708" t="s">
        <v>6951</v>
      </c>
      <c r="F23708" t="s">
        <v>10725</v>
      </c>
      <c r="G23708" t="s">
        <v>15124</v>
      </c>
      <c r="H23708" t="s">
        <v>27114</v>
      </c>
    </row>
    <row r="23709" spans="1:8">
      <c r="H23709" t="s">
        <v>27115</v>
      </c>
    </row>
    <row r="23710" spans="1:8">
      <c r="H23710" t="s">
        <v>27116</v>
      </c>
    </row>
    <row r="23711" spans="1:8">
      <c r="H23711" t="s">
        <v>27115</v>
      </c>
    </row>
    <row r="23712" spans="1:8">
      <c r="H23712" t="s">
        <v>27117</v>
      </c>
    </row>
    <row r="23713" spans="1:8">
      <c r="H23713" t="s">
        <v>27118</v>
      </c>
    </row>
    <row r="23714" spans="1:8">
      <c r="H23714" t="s">
        <v>19678</v>
      </c>
    </row>
    <row r="23715" spans="1:8">
      <c r="H23715" t="s">
        <v>19705</v>
      </c>
    </row>
    <row r="23716" spans="1:8">
      <c r="H23716" t="s">
        <v>27119</v>
      </c>
    </row>
    <row r="23717" spans="1:8">
      <c r="H23717" t="s">
        <v>19684</v>
      </c>
    </row>
    <row r="23718" spans="1:8">
      <c r="H23718" t="s">
        <v>18885</v>
      </c>
    </row>
    <row r="23719" spans="1:8">
      <c r="H23719" t="s">
        <v>27120</v>
      </c>
    </row>
    <row r="23720" spans="1:8">
      <c r="H23720" t="s">
        <v>18893</v>
      </c>
    </row>
    <row r="23721" spans="1:8">
      <c r="H23721" t="s">
        <v>26539</v>
      </c>
    </row>
    <row r="23722" spans="1:8">
      <c r="A23722" t="s">
        <v>1178</v>
      </c>
      <c r="B23722">
        <f>HYPERLINK("https://android.googlesource.com/platform/cts/+/54334b2902e19f4984726b52758c705f1d7c676d", "54334b2902e19f4984726b52758c705f1d7c676d")</f>
        <v>0</v>
      </c>
      <c r="C23722">
        <f>HYPERLINK("https://android.googlesource.com/platform/cts/+/e15787fa0620cebc5ed3506040a847f4e9a28872", "e15787fa0620cebc5ed3506040a847f4e9a28872")</f>
        <v>0</v>
      </c>
      <c r="D23722" t="s">
        <v>5143</v>
      </c>
      <c r="E23722" t="s">
        <v>6952</v>
      </c>
      <c r="F23722" t="s">
        <v>10610</v>
      </c>
      <c r="G23722" t="s">
        <v>15013</v>
      </c>
      <c r="H23722" t="s">
        <v>27121</v>
      </c>
    </row>
    <row r="23723" spans="1:8">
      <c r="H23723" t="s">
        <v>27122</v>
      </c>
    </row>
    <row r="23724" spans="1:8">
      <c r="H23724" t="s">
        <v>27123</v>
      </c>
    </row>
    <row r="23725" spans="1:8">
      <c r="H23725" t="s">
        <v>19078</v>
      </c>
    </row>
    <row r="23726" spans="1:8">
      <c r="H23726" t="s">
        <v>18893</v>
      </c>
    </row>
    <row r="23727" spans="1:8">
      <c r="H23727" t="s">
        <v>19079</v>
      </c>
    </row>
    <row r="23728" spans="1:8">
      <c r="H23728" t="s">
        <v>19080</v>
      </c>
    </row>
    <row r="23729" spans="1:8">
      <c r="H23729" t="s">
        <v>26535</v>
      </c>
    </row>
    <row r="23730" spans="1:8">
      <c r="H23730" t="s">
        <v>19081</v>
      </c>
    </row>
    <row r="23731" spans="1:8">
      <c r="H23731" t="s">
        <v>26537</v>
      </c>
    </row>
    <row r="23732" spans="1:8">
      <c r="H23732" t="s">
        <v>26538</v>
      </c>
    </row>
    <row r="23733" spans="1:8">
      <c r="A23733" t="s">
        <v>1179</v>
      </c>
      <c r="B23733">
        <f>HYPERLINK("https://android.googlesource.com/platform/cts/+/f0f8db454b980d4de8ab0cb7bcf091f5368bfb1b", "f0f8db454b980d4de8ab0cb7bcf091f5368bfb1b")</f>
        <v>0</v>
      </c>
      <c r="C23733">
        <f>HYPERLINK("https://android.googlesource.com/platform/cts/+/aa7b5a1c609bdeca7284ed0ab2e3f4b0e8ff39ac", "aa7b5a1c609bdeca7284ed0ab2e3f4b0e8ff39ac")</f>
        <v>0</v>
      </c>
      <c r="D23733" t="s">
        <v>5175</v>
      </c>
      <c r="E23733" t="s">
        <v>6953</v>
      </c>
      <c r="F23733" t="s">
        <v>10593</v>
      </c>
      <c r="G23733" t="s">
        <v>14996</v>
      </c>
      <c r="H23733" t="s">
        <v>27124</v>
      </c>
    </row>
    <row r="23734" spans="1:8">
      <c r="A23734" t="s">
        <v>1180</v>
      </c>
      <c r="B23734">
        <f>HYPERLINK("https://android.googlesource.com/platform/cts/+/d7e1292ea59b3e9e783b637b2d2a5ea7f05eff2d", "d7e1292ea59b3e9e783b637b2d2a5ea7f05eff2d")</f>
        <v>0</v>
      </c>
      <c r="C23734">
        <f>HYPERLINK("https://android.googlesource.com/platform/cts/+/f563004303232d068794d5126a48da0d183c9227", "f563004303232d068794d5126a48da0d183c9227")</f>
        <v>0</v>
      </c>
      <c r="D23734" t="s">
        <v>5176</v>
      </c>
      <c r="E23734" t="s">
        <v>6954</v>
      </c>
      <c r="F23734" t="s">
        <v>10604</v>
      </c>
      <c r="G23734" t="s">
        <v>15007</v>
      </c>
      <c r="H23734" t="s">
        <v>27125</v>
      </c>
    </row>
    <row r="23735" spans="1:8">
      <c r="A23735" t="s">
        <v>1181</v>
      </c>
      <c r="B23735">
        <f>HYPERLINK("https://android.googlesource.com/platform/cts/+/6a7d70f520117b679dc0e8af433e4241b47fe8b6", "6a7d70f520117b679dc0e8af433e4241b47fe8b6")</f>
        <v>0</v>
      </c>
      <c r="C23735">
        <f>HYPERLINK("https://android.googlesource.com/platform/cts/+/10c23a76924810fc364c9f0f8a9898a546d856c7", "10c23a76924810fc364c9f0f8a9898a546d856c7")</f>
        <v>0</v>
      </c>
      <c r="D23735" t="s">
        <v>5132</v>
      </c>
      <c r="E23735" t="s">
        <v>6955</v>
      </c>
      <c r="F23735" t="s">
        <v>10794</v>
      </c>
      <c r="G23735" t="s">
        <v>15189</v>
      </c>
      <c r="H23735" t="s">
        <v>27126</v>
      </c>
    </row>
    <row r="23736" spans="1:8">
      <c r="H23736" t="s">
        <v>27127</v>
      </c>
    </row>
    <row r="23737" spans="1:8">
      <c r="A23737" t="s">
        <v>1182</v>
      </c>
      <c r="B23737">
        <f>HYPERLINK("https://android.googlesource.com/platform/cts/+/86c506935f7de28ce9219c4f8b85bcef26f3badf", "86c506935f7de28ce9219c4f8b85bcef26f3badf")</f>
        <v>0</v>
      </c>
      <c r="C23737">
        <f>HYPERLINK("https://android.googlesource.com/platform/cts/+/e21e37d0fb59ca38ee669363d2d8bac15d051c14", "e21e37d0fb59ca38ee669363d2d8bac15d051c14")</f>
        <v>0</v>
      </c>
      <c r="D23737" t="s">
        <v>5124</v>
      </c>
      <c r="E23737" t="s">
        <v>6956</v>
      </c>
      <c r="F23737" t="s">
        <v>12915</v>
      </c>
      <c r="G23737" t="s">
        <v>17080</v>
      </c>
      <c r="H23737" t="s">
        <v>27128</v>
      </c>
    </row>
    <row r="23738" spans="1:8">
      <c r="H23738" t="s">
        <v>27129</v>
      </c>
    </row>
    <row r="23739" spans="1:8">
      <c r="H23739" t="s">
        <v>27130</v>
      </c>
    </row>
    <row r="23740" spans="1:8">
      <c r="H23740" t="s">
        <v>27131</v>
      </c>
    </row>
    <row r="23741" spans="1:8">
      <c r="A23741" t="s">
        <v>1183</v>
      </c>
      <c r="B23741">
        <f>HYPERLINK("https://android.googlesource.com/platform/cts/+/04966c40bf0859aeca842cc10da3e7a790b10a52", "04966c40bf0859aeca842cc10da3e7a790b10a52")</f>
        <v>0</v>
      </c>
      <c r="C23741">
        <f>HYPERLINK("https://android.googlesource.com/platform/cts/+/382b1555f06db0fce066af6dae40261609a5ee57", "382b1555f06db0fce066af6dae40261609a5ee57")</f>
        <v>0</v>
      </c>
      <c r="D23741" t="s">
        <v>5143</v>
      </c>
      <c r="E23741" t="s">
        <v>6957</v>
      </c>
      <c r="F23741" t="s">
        <v>12347</v>
      </c>
      <c r="G23741" t="s">
        <v>16575</v>
      </c>
      <c r="H23741" t="s">
        <v>19078</v>
      </c>
    </row>
    <row r="23742" spans="1:8">
      <c r="H23742" t="s">
        <v>19080</v>
      </c>
    </row>
    <row r="23743" spans="1:8">
      <c r="H23743" t="s">
        <v>19081</v>
      </c>
    </row>
    <row r="23744" spans="1:8">
      <c r="H23744" t="s">
        <v>26537</v>
      </c>
    </row>
    <row r="23745" spans="6:8">
      <c r="H23745" t="s">
        <v>19079</v>
      </c>
    </row>
    <row r="23746" spans="6:8">
      <c r="H23746" t="s">
        <v>26538</v>
      </c>
    </row>
    <row r="23747" spans="6:8">
      <c r="H23747" t="s">
        <v>18893</v>
      </c>
    </row>
    <row r="23748" spans="6:8">
      <c r="H23748" t="s">
        <v>27132</v>
      </c>
    </row>
    <row r="23749" spans="6:8">
      <c r="H23749" t="s">
        <v>27133</v>
      </c>
    </row>
    <row r="23750" spans="6:8">
      <c r="H23750" t="s">
        <v>27134</v>
      </c>
    </row>
    <row r="23751" spans="6:8">
      <c r="H23751" t="s">
        <v>27135</v>
      </c>
    </row>
    <row r="23752" spans="6:8">
      <c r="H23752" t="s">
        <v>18893</v>
      </c>
    </row>
    <row r="23753" spans="6:8">
      <c r="F23753" t="s">
        <v>10737</v>
      </c>
      <c r="G23753" t="s">
        <v>15136</v>
      </c>
      <c r="H23753" t="s">
        <v>19078</v>
      </c>
    </row>
    <row r="23754" spans="6:8">
      <c r="H23754" t="s">
        <v>19079</v>
      </c>
    </row>
    <row r="23755" spans="6:8">
      <c r="H23755" t="s">
        <v>19080</v>
      </c>
    </row>
    <row r="23756" spans="6:8">
      <c r="H23756" t="s">
        <v>19081</v>
      </c>
    </row>
    <row r="23757" spans="6:8">
      <c r="H23757" t="s">
        <v>26537</v>
      </c>
    </row>
    <row r="23758" spans="6:8">
      <c r="H23758" t="s">
        <v>26538</v>
      </c>
    </row>
    <row r="23759" spans="6:8">
      <c r="H23759" t="s">
        <v>26157</v>
      </c>
    </row>
    <row r="23760" spans="6:8">
      <c r="H23760" t="s">
        <v>18893</v>
      </c>
    </row>
    <row r="23761" spans="1:8">
      <c r="H23761" t="s">
        <v>18884</v>
      </c>
    </row>
    <row r="23762" spans="1:8">
      <c r="H23762" t="s">
        <v>18885</v>
      </c>
    </row>
    <row r="23763" spans="1:8">
      <c r="H23763" t="s">
        <v>18882</v>
      </c>
    </row>
    <row r="23764" spans="1:8">
      <c r="H23764" t="s">
        <v>18881</v>
      </c>
    </row>
    <row r="23765" spans="1:8">
      <c r="H23765" t="s">
        <v>27136</v>
      </c>
    </row>
    <row r="23766" spans="1:8">
      <c r="H23766" t="s">
        <v>27136</v>
      </c>
    </row>
    <row r="23767" spans="1:8">
      <c r="H23767" t="s">
        <v>27137</v>
      </c>
    </row>
    <row r="23768" spans="1:8">
      <c r="H23768" t="s">
        <v>18893</v>
      </c>
    </row>
    <row r="23769" spans="1:8">
      <c r="A23769" t="s">
        <v>1184</v>
      </c>
      <c r="B23769">
        <f>HYPERLINK("https://android.googlesource.com/platform/cts/+/5cf8f7dbe912ca3d4b88fe4e599e4268668c43c3", "5cf8f7dbe912ca3d4b88fe4e599e4268668c43c3")</f>
        <v>0</v>
      </c>
      <c r="C23769">
        <f>HYPERLINK("https://android.googlesource.com/platform/cts/+/d34c9a36230e6ae4136e8c2cdeb57842d955141d", "d34c9a36230e6ae4136e8c2cdeb57842d955141d")</f>
        <v>0</v>
      </c>
      <c r="D23769" t="s">
        <v>5157</v>
      </c>
      <c r="E23769" t="s">
        <v>6958</v>
      </c>
      <c r="F23769" t="s">
        <v>12916</v>
      </c>
      <c r="G23769" t="s">
        <v>17081</v>
      </c>
      <c r="H23769" t="s">
        <v>18829</v>
      </c>
    </row>
    <row r="23770" spans="1:8">
      <c r="H23770" t="s">
        <v>27138</v>
      </c>
    </row>
    <row r="23771" spans="1:8">
      <c r="A23771" t="s">
        <v>1185</v>
      </c>
      <c r="B23771">
        <f>HYPERLINK("https://android.googlesource.com/platform/cts/+/39fddc362dbbcb1876d6ae58aecf55d1adbe51cc", "39fddc362dbbcb1876d6ae58aecf55d1adbe51cc")</f>
        <v>0</v>
      </c>
      <c r="C23771">
        <f>HYPERLINK("https://android.googlesource.com/platform/cts/+/909228941c074db41bb99328ed815db60b5b344a", "909228941c074db41bb99328ed815db60b5b344a")</f>
        <v>0</v>
      </c>
      <c r="D23771" t="s">
        <v>5029</v>
      </c>
      <c r="E23771" t="s">
        <v>6959</v>
      </c>
      <c r="F23771" t="s">
        <v>12917</v>
      </c>
      <c r="G23771" t="s">
        <v>17082</v>
      </c>
      <c r="H23771" t="s">
        <v>18829</v>
      </c>
    </row>
    <row r="23772" spans="1:8">
      <c r="F23772" t="s">
        <v>12918</v>
      </c>
      <c r="G23772" t="s">
        <v>17083</v>
      </c>
      <c r="H23772" t="s">
        <v>18829</v>
      </c>
    </row>
    <row r="23773" spans="1:8">
      <c r="F23773" t="s">
        <v>12919</v>
      </c>
      <c r="G23773" t="s">
        <v>17084</v>
      </c>
      <c r="H23773" t="s">
        <v>18829</v>
      </c>
    </row>
    <row r="23774" spans="1:8">
      <c r="A23774" t="s">
        <v>1186</v>
      </c>
      <c r="B23774">
        <f>HYPERLINK("https://android.googlesource.com/platform/cts/+/2ecc93edcf13ec84e8504e6359fd1865e6d6f312", "2ecc93edcf13ec84e8504e6359fd1865e6d6f312")</f>
        <v>0</v>
      </c>
      <c r="C23774">
        <f>HYPERLINK("https://android.googlesource.com/platform/cts/+/909228941c074db41bb99328ed815db60b5b344a", "909228941c074db41bb99328ed815db60b5b344a")</f>
        <v>0</v>
      </c>
      <c r="D23774" t="s">
        <v>5029</v>
      </c>
      <c r="E23774" t="s">
        <v>6960</v>
      </c>
      <c r="F23774" t="s">
        <v>12920</v>
      </c>
      <c r="G23774" t="s">
        <v>17085</v>
      </c>
      <c r="H23774" t="s">
        <v>27139</v>
      </c>
    </row>
    <row r="23775" spans="1:8">
      <c r="H23775" t="s">
        <v>27140</v>
      </c>
    </row>
    <row r="23776" spans="1:8">
      <c r="H23776" t="s">
        <v>27140</v>
      </c>
    </row>
    <row r="23777" spans="1:8">
      <c r="H23777" t="s">
        <v>18990</v>
      </c>
    </row>
    <row r="23778" spans="1:8">
      <c r="H23778" t="s">
        <v>18991</v>
      </c>
    </row>
    <row r="23779" spans="1:8">
      <c r="H23779" t="s">
        <v>27141</v>
      </c>
    </row>
    <row r="23780" spans="1:8">
      <c r="H23780" t="s">
        <v>27142</v>
      </c>
    </row>
    <row r="23781" spans="1:8">
      <c r="A23781" t="s">
        <v>1187</v>
      </c>
      <c r="B23781">
        <f>HYPERLINK("https://android.googlesource.com/platform/cts/+/d4e65786f2389adf6d6cfc600d04efb0f9736400", "d4e65786f2389adf6d6cfc600d04efb0f9736400")</f>
        <v>0</v>
      </c>
      <c r="C23781">
        <f>HYPERLINK("https://android.googlesource.com/platform/cts/+/cae9af05cf6ce84a473394eed4b1c9ff56a0ad2b", "cae9af05cf6ce84a473394eed4b1c9ff56a0ad2b")</f>
        <v>0</v>
      </c>
      <c r="D23781" t="s">
        <v>4971</v>
      </c>
      <c r="E23781" t="s">
        <v>6961</v>
      </c>
      <c r="F23781" t="s">
        <v>12921</v>
      </c>
      <c r="G23781" t="s">
        <v>17086</v>
      </c>
      <c r="H23781" t="s">
        <v>27143</v>
      </c>
    </row>
    <row r="23782" spans="1:8">
      <c r="A23782" t="s">
        <v>1188</v>
      </c>
      <c r="B23782">
        <f>HYPERLINK("https://android.googlesource.com/platform/cts/+/91048540b3ac76f1ca6f2fd2b541a49b530bea05", "91048540b3ac76f1ca6f2fd2b541a49b530bea05")</f>
        <v>0</v>
      </c>
      <c r="C23782">
        <f>HYPERLINK("https://android.googlesource.com/platform/cts/+/76ccc07da0da845affc45b5569837aba65cae8df", "76ccc07da0da845affc45b5569837aba65cae8df")</f>
        <v>0</v>
      </c>
      <c r="D23782" t="s">
        <v>5143</v>
      </c>
      <c r="E23782" t="s">
        <v>6962</v>
      </c>
      <c r="F23782" t="s">
        <v>10732</v>
      </c>
      <c r="G23782" t="s">
        <v>15131</v>
      </c>
      <c r="H23782" t="s">
        <v>26183</v>
      </c>
    </row>
    <row r="23783" spans="1:8">
      <c r="H23783" t="s">
        <v>27144</v>
      </c>
    </row>
    <row r="23784" spans="1:8">
      <c r="H23784" t="s">
        <v>27145</v>
      </c>
    </row>
    <row r="23785" spans="1:8">
      <c r="H23785" t="s">
        <v>27146</v>
      </c>
    </row>
    <row r="23786" spans="1:8">
      <c r="H23786" t="s">
        <v>19135</v>
      </c>
    </row>
    <row r="23787" spans="1:8">
      <c r="H23787" t="s">
        <v>27147</v>
      </c>
    </row>
    <row r="23788" spans="1:8">
      <c r="H23788" t="s">
        <v>27148</v>
      </c>
    </row>
    <row r="23789" spans="1:8">
      <c r="H23789" t="s">
        <v>27149</v>
      </c>
    </row>
    <row r="23790" spans="1:8">
      <c r="H23790" t="s">
        <v>27150</v>
      </c>
    </row>
    <row r="23791" spans="1:8">
      <c r="H23791" t="s">
        <v>27151</v>
      </c>
    </row>
    <row r="23792" spans="1:8">
      <c r="H23792" t="s">
        <v>27152</v>
      </c>
    </row>
    <row r="23793" spans="1:8">
      <c r="H23793" t="s">
        <v>18893</v>
      </c>
    </row>
    <row r="23794" spans="1:8">
      <c r="H23794" t="s">
        <v>27153</v>
      </c>
    </row>
    <row r="23795" spans="1:8">
      <c r="H23795" t="s">
        <v>27154</v>
      </c>
    </row>
    <row r="23796" spans="1:8">
      <c r="H23796" t="s">
        <v>19135</v>
      </c>
    </row>
    <row r="23797" spans="1:8">
      <c r="H23797" t="s">
        <v>26964</v>
      </c>
    </row>
    <row r="23798" spans="1:8">
      <c r="H23798" t="s">
        <v>19805</v>
      </c>
    </row>
    <row r="23799" spans="1:8">
      <c r="H23799" t="s">
        <v>19135</v>
      </c>
    </row>
    <row r="23800" spans="1:8">
      <c r="H23800" t="s">
        <v>26540</v>
      </c>
    </row>
    <row r="23801" spans="1:8">
      <c r="H23801" t="s">
        <v>26541</v>
      </c>
    </row>
    <row r="23802" spans="1:8">
      <c r="A23802" t="s">
        <v>1189</v>
      </c>
      <c r="B23802">
        <f>HYPERLINK("https://android.googlesource.com/platform/cts/+/4e47d86641f4cbf8269723cca1a2ca1250f9aa02", "4e47d86641f4cbf8269723cca1a2ca1250f9aa02")</f>
        <v>0</v>
      </c>
      <c r="C23802">
        <f>HYPERLINK("https://android.googlesource.com/platform/cts/+/aca09c2b05c77ad9841af3f2dce2db2b42b82395", "aca09c2b05c77ad9841af3f2dce2db2b42b82395")</f>
        <v>0</v>
      </c>
      <c r="D23802" t="s">
        <v>5143</v>
      </c>
      <c r="E23802" t="s">
        <v>6963</v>
      </c>
      <c r="F23802" t="s">
        <v>12922</v>
      </c>
      <c r="G23802" t="s">
        <v>17087</v>
      </c>
      <c r="H23802" t="s">
        <v>26953</v>
      </c>
    </row>
    <row r="23803" spans="1:8">
      <c r="H23803" t="s">
        <v>27155</v>
      </c>
    </row>
    <row r="23804" spans="1:8">
      <c r="H23804" t="s">
        <v>26954</v>
      </c>
    </row>
    <row r="23805" spans="1:8">
      <c r="H23805" t="s">
        <v>27156</v>
      </c>
    </row>
    <row r="23806" spans="1:8">
      <c r="H23806" t="s">
        <v>18893</v>
      </c>
    </row>
    <row r="23807" spans="1:8">
      <c r="F23807" t="s">
        <v>12923</v>
      </c>
      <c r="G23807" t="s">
        <v>17088</v>
      </c>
      <c r="H23807" t="s">
        <v>26953</v>
      </c>
    </row>
    <row r="23808" spans="1:8">
      <c r="H23808" t="s">
        <v>27155</v>
      </c>
    </row>
    <row r="23809" spans="6:8">
      <c r="H23809" t="s">
        <v>26954</v>
      </c>
    </row>
    <row r="23810" spans="6:8">
      <c r="H23810" t="s">
        <v>27156</v>
      </c>
    </row>
    <row r="23811" spans="6:8">
      <c r="H23811" t="s">
        <v>18893</v>
      </c>
    </row>
    <row r="23812" spans="6:8">
      <c r="F23812" t="s">
        <v>10611</v>
      </c>
      <c r="G23812" t="s">
        <v>15014</v>
      </c>
      <c r="H23812" t="s">
        <v>27157</v>
      </c>
    </row>
    <row r="23813" spans="6:8">
      <c r="H23813" t="s">
        <v>27158</v>
      </c>
    </row>
    <row r="23814" spans="6:8">
      <c r="H23814" t="s">
        <v>18893</v>
      </c>
    </row>
    <row r="23815" spans="6:8">
      <c r="F23815" t="s">
        <v>12924</v>
      </c>
      <c r="G23815" t="s">
        <v>17089</v>
      </c>
      <c r="H23815" t="s">
        <v>26953</v>
      </c>
    </row>
    <row r="23816" spans="6:8">
      <c r="H23816" t="s">
        <v>26954</v>
      </c>
    </row>
    <row r="23817" spans="6:8">
      <c r="H23817" t="s">
        <v>27155</v>
      </c>
    </row>
    <row r="23818" spans="6:8">
      <c r="H23818" t="s">
        <v>27156</v>
      </c>
    </row>
    <row r="23819" spans="6:8">
      <c r="H23819" t="s">
        <v>18893</v>
      </c>
    </row>
    <row r="23820" spans="6:8">
      <c r="F23820" t="s">
        <v>12643</v>
      </c>
      <c r="G23820" t="s">
        <v>15001</v>
      </c>
      <c r="H23820" t="s">
        <v>27159</v>
      </c>
    </row>
    <row r="23821" spans="6:8">
      <c r="F23821" t="s">
        <v>12925</v>
      </c>
      <c r="G23821" t="s">
        <v>17090</v>
      </c>
      <c r="H23821" t="s">
        <v>26667</v>
      </c>
    </row>
    <row r="23822" spans="6:8">
      <c r="H23822" t="s">
        <v>27160</v>
      </c>
    </row>
    <row r="23823" spans="6:8">
      <c r="F23823" t="s">
        <v>10674</v>
      </c>
      <c r="G23823" t="s">
        <v>15074</v>
      </c>
      <c r="H23823" t="s">
        <v>26965</v>
      </c>
    </row>
    <row r="23824" spans="6:8">
      <c r="H23824" t="s">
        <v>27161</v>
      </c>
    </row>
    <row r="23825" spans="6:8">
      <c r="H23825" t="s">
        <v>27162</v>
      </c>
    </row>
    <row r="23826" spans="6:8">
      <c r="H23826" t="s">
        <v>18893</v>
      </c>
    </row>
    <row r="23827" spans="6:8">
      <c r="H23827" t="s">
        <v>26664</v>
      </c>
    </row>
    <row r="23828" spans="6:8">
      <c r="H23828" t="s">
        <v>26665</v>
      </c>
    </row>
    <row r="23829" spans="6:8">
      <c r="F23829" t="s">
        <v>12926</v>
      </c>
      <c r="G23829" t="s">
        <v>17091</v>
      </c>
      <c r="H23829" t="s">
        <v>26953</v>
      </c>
    </row>
    <row r="23830" spans="6:8">
      <c r="H23830" t="s">
        <v>26954</v>
      </c>
    </row>
    <row r="23831" spans="6:8">
      <c r="F23831" t="s">
        <v>10757</v>
      </c>
      <c r="G23831" t="s">
        <v>15155</v>
      </c>
      <c r="H23831" t="s">
        <v>27113</v>
      </c>
    </row>
    <row r="23832" spans="6:8">
      <c r="H23832" t="s">
        <v>26266</v>
      </c>
    </row>
    <row r="23833" spans="6:8">
      <c r="F23833" t="s">
        <v>12927</v>
      </c>
      <c r="G23833" t="s">
        <v>17092</v>
      </c>
      <c r="H23833" t="s">
        <v>27163</v>
      </c>
    </row>
    <row r="23834" spans="6:8">
      <c r="H23834" t="s">
        <v>27164</v>
      </c>
    </row>
    <row r="23835" spans="6:8">
      <c r="H23835" t="s">
        <v>27165</v>
      </c>
    </row>
    <row r="23836" spans="6:8">
      <c r="H23836" t="s">
        <v>27166</v>
      </c>
    </row>
    <row r="23837" spans="6:8">
      <c r="H23837" t="s">
        <v>27167</v>
      </c>
    </row>
    <row r="23838" spans="6:8">
      <c r="H23838" t="s">
        <v>27168</v>
      </c>
    </row>
    <row r="23839" spans="6:8">
      <c r="H23839" t="s">
        <v>27169</v>
      </c>
    </row>
    <row r="23840" spans="6:8">
      <c r="H23840" t="s">
        <v>27170</v>
      </c>
    </row>
    <row r="23841" spans="6:8">
      <c r="H23841" t="s">
        <v>27171</v>
      </c>
    </row>
    <row r="23842" spans="6:8">
      <c r="F23842" t="s">
        <v>10760</v>
      </c>
      <c r="G23842" t="s">
        <v>15158</v>
      </c>
      <c r="H23842" t="s">
        <v>27172</v>
      </c>
    </row>
    <row r="23843" spans="6:8">
      <c r="H23843" t="s">
        <v>27173</v>
      </c>
    </row>
    <row r="23844" spans="6:8">
      <c r="H23844" t="s">
        <v>27174</v>
      </c>
    </row>
    <row r="23845" spans="6:8">
      <c r="H23845" t="s">
        <v>27175</v>
      </c>
    </row>
    <row r="23846" spans="6:8">
      <c r="H23846" t="s">
        <v>27176</v>
      </c>
    </row>
    <row r="23847" spans="6:8">
      <c r="H23847" t="s">
        <v>18893</v>
      </c>
    </row>
    <row r="23848" spans="6:8">
      <c r="F23848" t="s">
        <v>12928</v>
      </c>
      <c r="G23848" t="s">
        <v>17093</v>
      </c>
      <c r="H23848" t="s">
        <v>27173</v>
      </c>
    </row>
    <row r="23849" spans="6:8">
      <c r="H23849" t="s">
        <v>27174</v>
      </c>
    </row>
    <row r="23850" spans="6:8">
      <c r="H23850" t="s">
        <v>27175</v>
      </c>
    </row>
    <row r="23851" spans="6:8">
      <c r="H23851" t="s">
        <v>27176</v>
      </c>
    </row>
    <row r="23852" spans="6:8">
      <c r="H23852" t="s">
        <v>18893</v>
      </c>
    </row>
    <row r="23853" spans="6:8">
      <c r="F23853" t="s">
        <v>10761</v>
      </c>
      <c r="G23853" t="s">
        <v>15159</v>
      </c>
      <c r="H23853" t="s">
        <v>26868</v>
      </c>
    </row>
    <row r="23854" spans="6:8">
      <c r="H23854" t="s">
        <v>26869</v>
      </c>
    </row>
    <row r="23855" spans="6:8">
      <c r="H23855" t="s">
        <v>26870</v>
      </c>
    </row>
    <row r="23856" spans="6:8">
      <c r="H23856" t="s">
        <v>27177</v>
      </c>
    </row>
    <row r="23857" spans="1:8">
      <c r="H23857" t="s">
        <v>20177</v>
      </c>
    </row>
    <row r="23858" spans="1:8">
      <c r="H23858" t="s">
        <v>27178</v>
      </c>
    </row>
    <row r="23859" spans="1:8">
      <c r="A23859" t="s">
        <v>1190</v>
      </c>
      <c r="B23859">
        <f>HYPERLINK("https://android.googlesource.com/platform/cts/+/b7311448c4a7c637e14aec1d4de3a78cceb10cce", "b7311448c4a7c637e14aec1d4de3a78cceb10cce")</f>
        <v>0</v>
      </c>
      <c r="C23859">
        <f>HYPERLINK("https://android.googlesource.com/platform/cts/+/1b7b94d98c0fa9c12182b6edaa932f27a35dff2e", "1b7b94d98c0fa9c12182b6edaa932f27a35dff2e")</f>
        <v>0</v>
      </c>
      <c r="D23859" t="s">
        <v>5173</v>
      </c>
      <c r="E23859" t="s">
        <v>6964</v>
      </c>
      <c r="F23859" t="s">
        <v>12929</v>
      </c>
      <c r="G23859" t="s">
        <v>17094</v>
      </c>
      <c r="H23859" t="s">
        <v>27179</v>
      </c>
    </row>
    <row r="23860" spans="1:8">
      <c r="A23860" t="s">
        <v>1191</v>
      </c>
      <c r="B23860">
        <f>HYPERLINK("https://android.googlesource.com/platform/cts/+/3e171ee627440299c8b1f7a544e00ceefc3330be", "3e171ee627440299c8b1f7a544e00ceefc3330be")</f>
        <v>0</v>
      </c>
      <c r="C23860">
        <f>HYPERLINK("https://android.googlesource.com/platform/cts/+/18781f81bd0eed56e97abb7c49bed1caf1278720", "18781f81bd0eed56e97abb7c49bed1caf1278720")</f>
        <v>0</v>
      </c>
      <c r="D23860" t="s">
        <v>4971</v>
      </c>
      <c r="E23860" t="s">
        <v>6965</v>
      </c>
      <c r="F23860" t="s">
        <v>12930</v>
      </c>
      <c r="G23860" t="s">
        <v>17095</v>
      </c>
      <c r="H23860" t="s">
        <v>27180</v>
      </c>
    </row>
    <row r="23861" spans="1:8">
      <c r="A23861" t="s">
        <v>1192</v>
      </c>
      <c r="B23861">
        <f>HYPERLINK("https://android.googlesource.com/platform/cts/+/8cb17c4476640323883be925aca42adf0d721b7f", "8cb17c4476640323883be925aca42adf0d721b7f")</f>
        <v>0</v>
      </c>
      <c r="C23861">
        <f>HYPERLINK("https://android.googlesource.com/platform/cts/+/064188951c3adcd8a3e777660b74a32a4ff8f238", "064188951c3adcd8a3e777660b74a32a4ff8f238")</f>
        <v>0</v>
      </c>
      <c r="D23861" t="s">
        <v>5143</v>
      </c>
      <c r="E23861" t="s">
        <v>6966</v>
      </c>
      <c r="F23861" t="s">
        <v>10611</v>
      </c>
      <c r="G23861" t="s">
        <v>15014</v>
      </c>
      <c r="H23861" t="s">
        <v>26183</v>
      </c>
    </row>
    <row r="23862" spans="1:8">
      <c r="A23862" t="s">
        <v>1193</v>
      </c>
      <c r="B23862">
        <f>HYPERLINK("https://android.googlesource.com/platform/cts/+/e493cde8b5f861930a1aaa2f93908cd5ea2d68bf", "e493cde8b5f861930a1aaa2f93908cd5ea2d68bf")</f>
        <v>0</v>
      </c>
      <c r="C23862">
        <f>HYPERLINK("https://android.googlesource.com/platform/cts/+/064188951c3adcd8a3e777660b74a32a4ff8f238", "064188951c3adcd8a3e777660b74a32a4ff8f238")</f>
        <v>0</v>
      </c>
      <c r="D23862" t="s">
        <v>5143</v>
      </c>
      <c r="E23862" t="s">
        <v>6967</v>
      </c>
      <c r="F23862" t="s">
        <v>12931</v>
      </c>
      <c r="G23862" t="s">
        <v>17096</v>
      </c>
      <c r="H23862" t="s">
        <v>27181</v>
      </c>
    </row>
    <row r="23863" spans="1:8">
      <c r="A23863" t="s">
        <v>1194</v>
      </c>
      <c r="B23863">
        <f>HYPERLINK("https://android.googlesource.com/platform/cts/+/a82283fc3d03aadf14baa7e731bd43ab744e732a", "a82283fc3d03aadf14baa7e731bd43ab744e732a")</f>
        <v>0</v>
      </c>
      <c r="C23863">
        <f>HYPERLINK("https://android.googlesource.com/platform/cts/+/a376c2fc679145fb3596b02324ca1b73344711ce", "a376c2fc679145fb3596b02324ca1b73344711ce")</f>
        <v>0</v>
      </c>
      <c r="D23863" t="s">
        <v>5143</v>
      </c>
      <c r="E23863" t="s">
        <v>6968</v>
      </c>
      <c r="F23863" t="s">
        <v>10794</v>
      </c>
      <c r="G23863" t="s">
        <v>15189</v>
      </c>
      <c r="H23863" t="s">
        <v>27182</v>
      </c>
    </row>
    <row r="23864" spans="1:8">
      <c r="H23864" t="s">
        <v>27183</v>
      </c>
    </row>
    <row r="23865" spans="1:8">
      <c r="H23865" t="s">
        <v>27184</v>
      </c>
    </row>
    <row r="23866" spans="1:8">
      <c r="H23866" t="s">
        <v>27185</v>
      </c>
    </row>
    <row r="23867" spans="1:8">
      <c r="A23867" t="s">
        <v>1195</v>
      </c>
      <c r="B23867">
        <f>HYPERLINK("https://android.googlesource.com/platform/cts/+/1620b3168ccc56f971120f8b2e8efd50e4b418f0", "1620b3168ccc56f971120f8b2e8efd50e4b418f0")</f>
        <v>0</v>
      </c>
      <c r="C23867">
        <f>HYPERLINK("https://android.googlesource.com/platform/cts/+/d17c93c60bb345f22e580c01574cddf6e15971fb", "d17c93c60bb345f22e580c01574cddf6e15971fb")</f>
        <v>0</v>
      </c>
      <c r="D23867" t="s">
        <v>5117</v>
      </c>
      <c r="E23867" t="s">
        <v>6969</v>
      </c>
      <c r="F23867" t="s">
        <v>12932</v>
      </c>
      <c r="G23867" t="s">
        <v>17097</v>
      </c>
      <c r="H23867" t="s">
        <v>27186</v>
      </c>
    </row>
    <row r="23868" spans="1:8">
      <c r="A23868" t="s">
        <v>1196</v>
      </c>
      <c r="B23868">
        <f>HYPERLINK("https://android.googlesource.com/platform/cts/+/0d347eb38e9735b08a6d21c30fd9ae0db568ecb4", "0d347eb38e9735b08a6d21c30fd9ae0db568ecb4")</f>
        <v>0</v>
      </c>
      <c r="C23868">
        <f>HYPERLINK("https://android.googlesource.com/platform/cts/+/09aed9330ec55a7f96bf96811f1016cb6e22dc8b", "09aed9330ec55a7f96bf96811f1016cb6e22dc8b")</f>
        <v>0</v>
      </c>
      <c r="D23868" t="s">
        <v>5090</v>
      </c>
      <c r="E23868" t="s">
        <v>6970</v>
      </c>
      <c r="F23868" t="s">
        <v>12933</v>
      </c>
      <c r="G23868" t="s">
        <v>17098</v>
      </c>
      <c r="H23868" t="s">
        <v>19656</v>
      </c>
    </row>
    <row r="23869" spans="1:8">
      <c r="A23869" t="s">
        <v>1197</v>
      </c>
      <c r="B23869">
        <f>HYPERLINK("https://android.googlesource.com/platform/cts/+/4d1e771123df1c446f0450f143f7d44625329651", "4d1e771123df1c446f0450f143f7d44625329651")</f>
        <v>0</v>
      </c>
      <c r="C23869">
        <f>HYPERLINK("https://android.googlesource.com/platform/cts/+/bfcd19392ce230c53fb4714250fbeccc0efe6ce8", "bfcd19392ce230c53fb4714250fbeccc0efe6ce8")</f>
        <v>0</v>
      </c>
      <c r="D23869" t="s">
        <v>5117</v>
      </c>
      <c r="E23869" t="s">
        <v>6971</v>
      </c>
      <c r="F23869" t="s">
        <v>12934</v>
      </c>
      <c r="G23869" t="s">
        <v>17099</v>
      </c>
      <c r="H23869" t="s">
        <v>26909</v>
      </c>
    </row>
    <row r="23870" spans="1:8">
      <c r="A23870" t="s">
        <v>1198</v>
      </c>
      <c r="B23870">
        <f>HYPERLINK("https://android.googlesource.com/platform/cts/+/7d078faf421ff1584c72e90f1d1a79863f26b312", "7d078faf421ff1584c72e90f1d1a79863f26b312")</f>
        <v>0</v>
      </c>
      <c r="C23870">
        <f>HYPERLINK("https://android.googlesource.com/platform/cts/+/fe57ad24e0a2a101663d7f726b72a0471694efd6", "fe57ad24e0a2a101663d7f726b72a0471694efd6")</f>
        <v>0</v>
      </c>
      <c r="D23870" t="s">
        <v>5117</v>
      </c>
      <c r="E23870" t="s">
        <v>6972</v>
      </c>
      <c r="F23870" t="s">
        <v>12935</v>
      </c>
      <c r="G23870" t="s">
        <v>17100</v>
      </c>
      <c r="H23870" t="s">
        <v>26909</v>
      </c>
    </row>
    <row r="23871" spans="1:8">
      <c r="A23871" t="s">
        <v>1199</v>
      </c>
      <c r="B23871">
        <f>HYPERLINK("https://android.googlesource.com/platform/cts/+/e82b1139c966bca13052529c630322ffcc5e9265", "e82b1139c966bca13052529c630322ffcc5e9265")</f>
        <v>0</v>
      </c>
      <c r="C23871">
        <f>HYPERLINK("https://android.googlesource.com/platform/cts/+/822f3ee5037adbf95790a5f9fe2943f028d0fc86", "822f3ee5037adbf95790a5f9fe2943f028d0fc86")</f>
        <v>0</v>
      </c>
      <c r="D23871" t="s">
        <v>5132</v>
      </c>
      <c r="E23871" t="s">
        <v>6973</v>
      </c>
      <c r="F23871" t="s">
        <v>12936</v>
      </c>
      <c r="G23871" t="s">
        <v>17101</v>
      </c>
      <c r="H23871" t="s">
        <v>27187</v>
      </c>
    </row>
    <row r="23872" spans="1:8">
      <c r="H23872" t="s">
        <v>27188</v>
      </c>
    </row>
    <row r="23873" spans="6:8">
      <c r="F23873" t="s">
        <v>12937</v>
      </c>
      <c r="G23873" t="s">
        <v>17102</v>
      </c>
      <c r="H23873" t="s">
        <v>27189</v>
      </c>
    </row>
    <row r="23874" spans="6:8">
      <c r="H23874" t="s">
        <v>27189</v>
      </c>
    </row>
    <row r="23875" spans="6:8">
      <c r="H23875" t="s">
        <v>27190</v>
      </c>
    </row>
    <row r="23876" spans="6:8">
      <c r="H23876" t="s">
        <v>27191</v>
      </c>
    </row>
    <row r="23877" spans="6:8">
      <c r="H23877" t="s">
        <v>27192</v>
      </c>
    </row>
    <row r="23878" spans="6:8">
      <c r="H23878" t="s">
        <v>27193</v>
      </c>
    </row>
    <row r="23879" spans="6:8">
      <c r="H23879" t="s">
        <v>20166</v>
      </c>
    </row>
    <row r="23880" spans="6:8">
      <c r="H23880" t="s">
        <v>27194</v>
      </c>
    </row>
    <row r="23881" spans="6:8">
      <c r="H23881" t="s">
        <v>18893</v>
      </c>
    </row>
    <row r="23882" spans="6:8">
      <c r="F23882" t="s">
        <v>10596</v>
      </c>
      <c r="G23882" t="s">
        <v>14999</v>
      </c>
      <c r="H23882" t="s">
        <v>19078</v>
      </c>
    </row>
    <row r="23883" spans="6:8">
      <c r="H23883" t="s">
        <v>27195</v>
      </c>
    </row>
    <row r="23884" spans="6:8">
      <c r="F23884" t="s">
        <v>12938</v>
      </c>
      <c r="G23884" t="s">
        <v>17103</v>
      </c>
      <c r="H23884" t="s">
        <v>19021</v>
      </c>
    </row>
    <row r="23885" spans="6:8">
      <c r="H23885" t="s">
        <v>18893</v>
      </c>
    </row>
    <row r="23886" spans="6:8">
      <c r="F23886" t="s">
        <v>12939</v>
      </c>
      <c r="G23886" t="s">
        <v>17104</v>
      </c>
      <c r="H23886" t="s">
        <v>27196</v>
      </c>
    </row>
    <row r="23887" spans="6:8">
      <c r="F23887" t="s">
        <v>12940</v>
      </c>
      <c r="G23887" t="s">
        <v>17105</v>
      </c>
      <c r="H23887" t="s">
        <v>27197</v>
      </c>
    </row>
    <row r="23888" spans="6:8">
      <c r="H23888" t="s">
        <v>27198</v>
      </c>
    </row>
    <row r="23889" spans="1:8">
      <c r="H23889" t="s">
        <v>19688</v>
      </c>
    </row>
    <row r="23890" spans="1:8">
      <c r="H23890" t="s">
        <v>19690</v>
      </c>
    </row>
    <row r="23891" spans="1:8">
      <c r="H23891" t="s">
        <v>27199</v>
      </c>
    </row>
    <row r="23892" spans="1:8">
      <c r="H23892" t="s">
        <v>19679</v>
      </c>
    </row>
    <row r="23893" spans="1:8">
      <c r="H23893" t="s">
        <v>27200</v>
      </c>
    </row>
    <row r="23894" spans="1:8">
      <c r="H23894" t="s">
        <v>19677</v>
      </c>
    </row>
    <row r="23895" spans="1:8">
      <c r="H23895" t="s">
        <v>18893</v>
      </c>
    </row>
    <row r="23896" spans="1:8">
      <c r="F23896" t="s">
        <v>10960</v>
      </c>
      <c r="G23896" t="s">
        <v>15352</v>
      </c>
      <c r="H23896" t="s">
        <v>27201</v>
      </c>
    </row>
    <row r="23897" spans="1:8">
      <c r="H23897" t="s">
        <v>27202</v>
      </c>
    </row>
    <row r="23898" spans="1:8">
      <c r="H23898" t="s">
        <v>27203</v>
      </c>
    </row>
    <row r="23899" spans="1:8">
      <c r="F23899" t="s">
        <v>12941</v>
      </c>
      <c r="G23899" t="s">
        <v>16863</v>
      </c>
      <c r="H23899" t="s">
        <v>27204</v>
      </c>
    </row>
    <row r="23900" spans="1:8">
      <c r="H23900" t="s">
        <v>27205</v>
      </c>
    </row>
    <row r="23901" spans="1:8">
      <c r="A23901" t="s">
        <v>1200</v>
      </c>
      <c r="B23901">
        <f>HYPERLINK("https://android.googlesource.com/platform/cts/+/0faec7b0a56b21623cfed09db04b076141214d74", "0faec7b0a56b21623cfed09db04b076141214d74")</f>
        <v>0</v>
      </c>
      <c r="C23901">
        <f>HYPERLINK("https://android.googlesource.com/platform/cts/+/7e586d7e84f428156269db193dd45699ef823048", "7e586d7e84f428156269db193dd45699ef823048")</f>
        <v>0</v>
      </c>
      <c r="D23901" t="s">
        <v>5117</v>
      </c>
      <c r="E23901" t="s">
        <v>6974</v>
      </c>
      <c r="F23901" t="s">
        <v>12243</v>
      </c>
      <c r="G23901" t="s">
        <v>16474</v>
      </c>
      <c r="H23901" t="s">
        <v>27206</v>
      </c>
    </row>
    <row r="23902" spans="1:8">
      <c r="A23902" t="s">
        <v>1201</v>
      </c>
      <c r="B23902">
        <f>HYPERLINK("https://android.googlesource.com/platform/cts/+/2480dba2994720953e1820ca83859bade90fbe84", "2480dba2994720953e1820ca83859bade90fbe84")</f>
        <v>0</v>
      </c>
      <c r="C23902">
        <f>HYPERLINK("https://android.googlesource.com/platform/cts/+/17bd4264056026891f2595b9777944a7a3e3f815", "17bd4264056026891f2595b9777944a7a3e3f815")</f>
        <v>0</v>
      </c>
      <c r="D23902" t="s">
        <v>5117</v>
      </c>
      <c r="E23902" t="s">
        <v>6975</v>
      </c>
      <c r="F23902" t="s">
        <v>12935</v>
      </c>
      <c r="G23902" t="s">
        <v>17100</v>
      </c>
      <c r="H23902" t="s">
        <v>27207</v>
      </c>
    </row>
    <row r="23903" spans="1:8">
      <c r="A23903" t="s">
        <v>1202</v>
      </c>
      <c r="B23903">
        <f>HYPERLINK("https://android.googlesource.com/platform/cts/+/e85701a1a3de334ab86dc05e178f55fa8d33e7dd", "e85701a1a3de334ab86dc05e178f55fa8d33e7dd")</f>
        <v>0</v>
      </c>
      <c r="C23903">
        <f>HYPERLINK("https://android.googlesource.com/platform/cts/+/db95d972791b0f1cafa497ca15fa687a67c34c5b", "db95d972791b0f1cafa497ca15fa687a67c34c5b")</f>
        <v>0</v>
      </c>
      <c r="D23903" t="s">
        <v>5117</v>
      </c>
      <c r="E23903" t="s">
        <v>6976</v>
      </c>
      <c r="F23903" t="s">
        <v>12246</v>
      </c>
      <c r="G23903" t="s">
        <v>16477</v>
      </c>
      <c r="H23903" t="s">
        <v>27186</v>
      </c>
    </row>
    <row r="23904" spans="1:8">
      <c r="A23904" t="s">
        <v>1203</v>
      </c>
      <c r="B23904">
        <f>HYPERLINK("https://android.googlesource.com/platform/cts/+/3b417f1e9a13439bc0aa7bf179df452fe52a904c", "3b417f1e9a13439bc0aa7bf179df452fe52a904c")</f>
        <v>0</v>
      </c>
      <c r="C23904">
        <f>HYPERLINK("https://android.googlesource.com/platform/cts/+/080c78a675451bba620cd961bbde34a569fc9e04", "080c78a675451bba620cd961bbde34a569fc9e04")</f>
        <v>0</v>
      </c>
      <c r="D23904" t="s">
        <v>5143</v>
      </c>
      <c r="E23904" t="s">
        <v>6977</v>
      </c>
      <c r="F23904" t="s">
        <v>12931</v>
      </c>
      <c r="G23904" t="s">
        <v>17096</v>
      </c>
      <c r="H23904" t="s">
        <v>27208</v>
      </c>
    </row>
    <row r="23905" spans="1:8">
      <c r="H23905" t="s">
        <v>18829</v>
      </c>
    </row>
    <row r="23906" spans="1:8">
      <c r="A23906" t="s">
        <v>1204</v>
      </c>
      <c r="B23906">
        <f>HYPERLINK("https://android.googlesource.com/platform/cts/+/8db78ceddbc85b5a5f1ab1e15c9c2f54bfffcf07", "8db78ceddbc85b5a5f1ab1e15c9c2f54bfffcf07")</f>
        <v>0</v>
      </c>
      <c r="C23906">
        <f>HYPERLINK("https://android.googlesource.com/platform/cts/+/03f89858c0b3ebf06af5de35b00baf7debf80535", "03f89858c0b3ebf06af5de35b00baf7debf80535")</f>
        <v>0</v>
      </c>
      <c r="D23906" t="s">
        <v>5117</v>
      </c>
      <c r="E23906" t="s">
        <v>6978</v>
      </c>
      <c r="F23906" t="s">
        <v>12942</v>
      </c>
      <c r="G23906" t="s">
        <v>17106</v>
      </c>
      <c r="H23906" t="s">
        <v>27209</v>
      </c>
    </row>
    <row r="23907" spans="1:8">
      <c r="F23907" t="s">
        <v>12943</v>
      </c>
      <c r="G23907" t="s">
        <v>17107</v>
      </c>
      <c r="H23907" t="s">
        <v>27210</v>
      </c>
    </row>
    <row r="23908" spans="1:8">
      <c r="H23908" t="s">
        <v>27211</v>
      </c>
    </row>
    <row r="23909" spans="1:8">
      <c r="A23909" t="s">
        <v>1205</v>
      </c>
      <c r="B23909">
        <f>HYPERLINK("https://android.googlesource.com/platform/cts/+/5537dd5c790e9b223226b1bc370c2f34e69917da", "5537dd5c790e9b223226b1bc370c2f34e69917da")</f>
        <v>0</v>
      </c>
      <c r="C23909">
        <f>HYPERLINK("https://android.googlesource.com/platform/cts/+/9716730b0cb34c7c37ecb4144e37b9977ebb8f79", "9716730b0cb34c7c37ecb4144e37b9977ebb8f79")</f>
        <v>0</v>
      </c>
      <c r="D23909" t="s">
        <v>5177</v>
      </c>
      <c r="E23909" t="s">
        <v>6979</v>
      </c>
      <c r="F23909" t="s">
        <v>12567</v>
      </c>
      <c r="G23909" t="s">
        <v>16783</v>
      </c>
      <c r="H23909" t="s">
        <v>25012</v>
      </c>
    </row>
    <row r="23910" spans="1:8">
      <c r="A23910" t="s">
        <v>1206</v>
      </c>
      <c r="B23910">
        <f>HYPERLINK("https://android.googlesource.com/platform/cts/+/38d1340b0dfd57ba0448257682f1c2eadfec08dd", "38d1340b0dfd57ba0448257682f1c2eadfec08dd")</f>
        <v>0</v>
      </c>
      <c r="C23910">
        <f>HYPERLINK("https://android.googlesource.com/platform/cts/+/0a0f260eccdcfffd07ad0bed93dd6986051c6756", "0a0f260eccdcfffd07ad0bed93dd6986051c6756")</f>
        <v>0</v>
      </c>
      <c r="D23910" t="s">
        <v>5143</v>
      </c>
      <c r="E23910" t="s">
        <v>6980</v>
      </c>
      <c r="F23910" t="s">
        <v>10732</v>
      </c>
      <c r="G23910" t="s">
        <v>15131</v>
      </c>
      <c r="H23910" t="s">
        <v>27212</v>
      </c>
    </row>
    <row r="23911" spans="1:8">
      <c r="H23911" t="s">
        <v>18829</v>
      </c>
    </row>
    <row r="23912" spans="1:8">
      <c r="H23912" t="s">
        <v>18836</v>
      </c>
    </row>
    <row r="23913" spans="1:8">
      <c r="H23913" t="s">
        <v>18979</v>
      </c>
    </row>
    <row r="23914" spans="1:8">
      <c r="H23914" t="s">
        <v>27213</v>
      </c>
    </row>
    <row r="23915" spans="1:8">
      <c r="A23915" t="s">
        <v>1207</v>
      </c>
      <c r="B23915">
        <f>HYPERLINK("https://android.googlesource.com/platform/cts/+/ac4a179b41e459af392d08ccf47d919d12af2560", "ac4a179b41e459af392d08ccf47d919d12af2560")</f>
        <v>0</v>
      </c>
      <c r="C23915">
        <f>HYPERLINK("https://android.googlesource.com/platform/cts/+/0a0f260eccdcfffd07ad0bed93dd6986051c6756", "0a0f260eccdcfffd07ad0bed93dd6986051c6756")</f>
        <v>0</v>
      </c>
      <c r="D23915" t="s">
        <v>5117</v>
      </c>
      <c r="E23915" t="s">
        <v>6981</v>
      </c>
      <c r="F23915" t="s">
        <v>12246</v>
      </c>
      <c r="G23915" t="s">
        <v>16477</v>
      </c>
      <c r="H23915" t="s">
        <v>27214</v>
      </c>
    </row>
    <row r="23916" spans="1:8">
      <c r="H23916" t="s">
        <v>27215</v>
      </c>
    </row>
    <row r="23917" spans="1:8">
      <c r="F23917" t="s">
        <v>12859</v>
      </c>
      <c r="G23917" t="s">
        <v>17028</v>
      </c>
      <c r="H23917" t="s">
        <v>27216</v>
      </c>
    </row>
    <row r="23918" spans="1:8">
      <c r="F23918" t="s">
        <v>12942</v>
      </c>
      <c r="G23918" t="s">
        <v>17108</v>
      </c>
      <c r="H23918" t="s">
        <v>27217</v>
      </c>
    </row>
    <row r="23919" spans="1:8">
      <c r="H23919" t="s">
        <v>19796</v>
      </c>
    </row>
    <row r="23920" spans="1:8">
      <c r="H23920" t="s">
        <v>21513</v>
      </c>
    </row>
    <row r="23921" spans="6:8">
      <c r="H23921" t="s">
        <v>27210</v>
      </c>
    </row>
    <row r="23922" spans="6:8">
      <c r="H23922" t="s">
        <v>27211</v>
      </c>
    </row>
    <row r="23923" spans="6:8">
      <c r="H23923" t="s">
        <v>27218</v>
      </c>
    </row>
    <row r="23924" spans="6:8">
      <c r="H23924" t="s">
        <v>27219</v>
      </c>
    </row>
    <row r="23925" spans="6:8">
      <c r="H23925" t="s">
        <v>27220</v>
      </c>
    </row>
    <row r="23926" spans="6:8">
      <c r="H23926" t="s">
        <v>27221</v>
      </c>
    </row>
    <row r="23927" spans="6:8">
      <c r="H23927" t="s">
        <v>27222</v>
      </c>
    </row>
    <row r="23928" spans="6:8">
      <c r="H23928" t="s">
        <v>27223</v>
      </c>
    </row>
    <row r="23929" spans="6:8">
      <c r="H23929" t="s">
        <v>27224</v>
      </c>
    </row>
    <row r="23930" spans="6:8">
      <c r="H23930" t="s">
        <v>27225</v>
      </c>
    </row>
    <row r="23931" spans="6:8">
      <c r="H23931" t="s">
        <v>27226</v>
      </c>
    </row>
    <row r="23932" spans="6:8">
      <c r="F23932" t="s">
        <v>12944</v>
      </c>
      <c r="G23932" t="s">
        <v>17109</v>
      </c>
      <c r="H23932" t="s">
        <v>27227</v>
      </c>
    </row>
    <row r="23933" spans="6:8">
      <c r="F23933" t="s">
        <v>12932</v>
      </c>
      <c r="G23933" t="s">
        <v>17097</v>
      </c>
      <c r="H23933" t="s">
        <v>21513</v>
      </c>
    </row>
    <row r="23934" spans="6:8">
      <c r="F23934" t="s">
        <v>12943</v>
      </c>
      <c r="G23934" t="s">
        <v>17107</v>
      </c>
      <c r="H23934" t="s">
        <v>21513</v>
      </c>
    </row>
    <row r="23935" spans="6:8">
      <c r="F23935" t="s">
        <v>12945</v>
      </c>
      <c r="G23935" t="s">
        <v>17110</v>
      </c>
      <c r="H23935" t="s">
        <v>26909</v>
      </c>
    </row>
    <row r="23936" spans="6:8">
      <c r="F23936" t="s">
        <v>12946</v>
      </c>
      <c r="G23936" t="s">
        <v>17111</v>
      </c>
      <c r="H23936" t="s">
        <v>21513</v>
      </c>
    </row>
    <row r="23937" spans="1:8">
      <c r="F23937" t="s">
        <v>12947</v>
      </c>
      <c r="G23937" t="s">
        <v>17112</v>
      </c>
      <c r="H23937" t="s">
        <v>21513</v>
      </c>
    </row>
    <row r="23938" spans="1:8">
      <c r="A23938" t="s">
        <v>1208</v>
      </c>
      <c r="B23938">
        <f>HYPERLINK("https://android.googlesource.com/platform/cts/+/9057fc3d529012d2317c769ae468137c6645b628", "9057fc3d529012d2317c769ae468137c6645b628")</f>
        <v>0</v>
      </c>
      <c r="C23938">
        <f>HYPERLINK("https://android.googlesource.com/platform/cts/+/e2992eb261dd1644d2d85be1deda3b704ee1445e", "e2992eb261dd1644d2d85be1deda3b704ee1445e")</f>
        <v>0</v>
      </c>
      <c r="D23938" t="s">
        <v>4973</v>
      </c>
      <c r="E23938" t="s">
        <v>6982</v>
      </c>
      <c r="F23938" t="s">
        <v>12819</v>
      </c>
      <c r="G23938" t="s">
        <v>16998</v>
      </c>
      <c r="H23938" t="s">
        <v>18829</v>
      </c>
    </row>
    <row r="23939" spans="1:8">
      <c r="H23939" t="s">
        <v>27228</v>
      </c>
    </row>
    <row r="23940" spans="1:8">
      <c r="H23940" t="s">
        <v>27229</v>
      </c>
    </row>
    <row r="23941" spans="1:8">
      <c r="H23941" t="s">
        <v>26389</v>
      </c>
    </row>
    <row r="23942" spans="1:8">
      <c r="H23942" t="s">
        <v>27230</v>
      </c>
    </row>
    <row r="23943" spans="1:8">
      <c r="H23943" t="s">
        <v>27231</v>
      </c>
    </row>
    <row r="23944" spans="1:8">
      <c r="H23944" t="s">
        <v>27232</v>
      </c>
    </row>
    <row r="23945" spans="1:8">
      <c r="H23945" t="s">
        <v>27233</v>
      </c>
    </row>
    <row r="23946" spans="1:8">
      <c r="H23946" t="s">
        <v>26545</v>
      </c>
    </row>
    <row r="23947" spans="1:8">
      <c r="H23947" t="s">
        <v>26546</v>
      </c>
    </row>
    <row r="23948" spans="1:8">
      <c r="A23948" t="s">
        <v>1209</v>
      </c>
      <c r="B23948">
        <f>HYPERLINK("https://android.googlesource.com/platform/cts/+/5c57bbdf5ddcff4c2fd66ec51f3e6744478c750a", "5c57bbdf5ddcff4c2fd66ec51f3e6744478c750a")</f>
        <v>0</v>
      </c>
      <c r="C23948">
        <f>HYPERLINK("https://android.googlesource.com/platform/cts/+/f0f4ee250d2599515eedfe3a81d4d0892efd4f80", "f0f4ee250d2599515eedfe3a81d4d0892efd4f80")</f>
        <v>0</v>
      </c>
      <c r="D23948" t="s">
        <v>5147</v>
      </c>
      <c r="E23948" t="s">
        <v>6983</v>
      </c>
      <c r="F23948" t="s">
        <v>11443</v>
      </c>
      <c r="G23948" t="s">
        <v>15683</v>
      </c>
      <c r="H23948" t="s">
        <v>27234</v>
      </c>
    </row>
    <row r="23949" spans="1:8">
      <c r="A23949" t="s">
        <v>1210</v>
      </c>
      <c r="B23949">
        <f>HYPERLINK("https://android.googlesource.com/platform/cts/+/62277f51d453e7dd38828d01ff7146055296418e", "62277f51d453e7dd38828d01ff7146055296418e")</f>
        <v>0</v>
      </c>
      <c r="C23949">
        <f>HYPERLINK("https://android.googlesource.com/platform/cts/+/741a685f14117f040c5afad35014f630e926ff40", "741a685f14117f040c5afad35014f630e926ff40")</f>
        <v>0</v>
      </c>
      <c r="D23949" t="s">
        <v>5143</v>
      </c>
      <c r="E23949" t="s">
        <v>6984</v>
      </c>
      <c r="F23949" t="s">
        <v>12948</v>
      </c>
      <c r="G23949" t="s">
        <v>17113</v>
      </c>
      <c r="H23949" t="s">
        <v>18829</v>
      </c>
    </row>
    <row r="23950" spans="1:8">
      <c r="F23950" t="s">
        <v>10610</v>
      </c>
      <c r="G23950" t="s">
        <v>15013</v>
      </c>
      <c r="H23950" t="s">
        <v>27235</v>
      </c>
    </row>
    <row r="23951" spans="1:8">
      <c r="H23951" t="s">
        <v>18829</v>
      </c>
    </row>
    <row r="23952" spans="1:8">
      <c r="F23952" t="s">
        <v>12949</v>
      </c>
      <c r="G23952" t="s">
        <v>17114</v>
      </c>
      <c r="H23952" t="s">
        <v>27236</v>
      </c>
    </row>
    <row r="23953" spans="6:8">
      <c r="H23953" t="s">
        <v>18829</v>
      </c>
    </row>
    <row r="23954" spans="6:8">
      <c r="H23954" t="s">
        <v>27237</v>
      </c>
    </row>
    <row r="23955" spans="6:8">
      <c r="H23955" t="s">
        <v>18878</v>
      </c>
    </row>
    <row r="23956" spans="6:8">
      <c r="F23956" t="s">
        <v>12950</v>
      </c>
      <c r="G23956" t="s">
        <v>17115</v>
      </c>
      <c r="H23956" t="s">
        <v>27238</v>
      </c>
    </row>
    <row r="23957" spans="6:8">
      <c r="H23957" t="s">
        <v>18829</v>
      </c>
    </row>
    <row r="23958" spans="6:8">
      <c r="H23958" t="s">
        <v>18878</v>
      </c>
    </row>
    <row r="23959" spans="6:8">
      <c r="H23959" t="s">
        <v>26680</v>
      </c>
    </row>
    <row r="23960" spans="6:8">
      <c r="F23960" t="s">
        <v>12951</v>
      </c>
      <c r="G23960" t="s">
        <v>17116</v>
      </c>
      <c r="H23960" t="s">
        <v>27239</v>
      </c>
    </row>
    <row r="23961" spans="6:8">
      <c r="H23961" t="s">
        <v>18829</v>
      </c>
    </row>
    <row r="23962" spans="6:8">
      <c r="F23962" t="s">
        <v>12908</v>
      </c>
      <c r="G23962" t="s">
        <v>17074</v>
      </c>
      <c r="H23962" t="s">
        <v>27240</v>
      </c>
    </row>
    <row r="23963" spans="6:8">
      <c r="H23963" t="s">
        <v>18829</v>
      </c>
    </row>
    <row r="23964" spans="6:8">
      <c r="H23964" t="s">
        <v>27241</v>
      </c>
    </row>
    <row r="23965" spans="6:8">
      <c r="H23965" t="s">
        <v>26680</v>
      </c>
    </row>
    <row r="23966" spans="6:8">
      <c r="F23966" t="s">
        <v>12952</v>
      </c>
      <c r="G23966" t="s">
        <v>17117</v>
      </c>
      <c r="H23966" t="s">
        <v>27242</v>
      </c>
    </row>
    <row r="23967" spans="6:8">
      <c r="H23967" t="s">
        <v>18829</v>
      </c>
    </row>
    <row r="23968" spans="6:8">
      <c r="H23968" t="s">
        <v>18878</v>
      </c>
    </row>
    <row r="23969" spans="6:8">
      <c r="H23969" t="s">
        <v>18879</v>
      </c>
    </row>
    <row r="23970" spans="6:8">
      <c r="H23970" t="s">
        <v>18877</v>
      </c>
    </row>
    <row r="23971" spans="6:8">
      <c r="H23971" t="s">
        <v>18888</v>
      </c>
    </row>
    <row r="23972" spans="6:8">
      <c r="H23972" t="s">
        <v>26659</v>
      </c>
    </row>
    <row r="23973" spans="6:8">
      <c r="F23973" t="s">
        <v>12906</v>
      </c>
      <c r="G23973" t="s">
        <v>17072</v>
      </c>
      <c r="H23973" t="s">
        <v>18829</v>
      </c>
    </row>
    <row r="23974" spans="6:8">
      <c r="H23974" t="s">
        <v>27243</v>
      </c>
    </row>
    <row r="23975" spans="6:8">
      <c r="F23975" t="s">
        <v>10584</v>
      </c>
      <c r="G23975" t="s">
        <v>14987</v>
      </c>
      <c r="H23975" t="s">
        <v>27244</v>
      </c>
    </row>
    <row r="23976" spans="6:8">
      <c r="H23976" t="s">
        <v>18829</v>
      </c>
    </row>
    <row r="23977" spans="6:8">
      <c r="F23977" t="s">
        <v>12953</v>
      </c>
      <c r="G23977" t="s">
        <v>17118</v>
      </c>
      <c r="H23977" t="s">
        <v>27245</v>
      </c>
    </row>
    <row r="23978" spans="6:8">
      <c r="H23978" t="s">
        <v>18829</v>
      </c>
    </row>
    <row r="23979" spans="6:8">
      <c r="F23979" t="s">
        <v>12954</v>
      </c>
      <c r="G23979" t="s">
        <v>17119</v>
      </c>
      <c r="H23979" t="s">
        <v>27246</v>
      </c>
    </row>
    <row r="23980" spans="6:8">
      <c r="H23980" t="s">
        <v>18829</v>
      </c>
    </row>
    <row r="23981" spans="6:8">
      <c r="F23981" t="s">
        <v>12873</v>
      </c>
      <c r="G23981" t="s">
        <v>17041</v>
      </c>
      <c r="H23981" t="s">
        <v>27247</v>
      </c>
    </row>
    <row r="23982" spans="6:8">
      <c r="H23982" t="s">
        <v>18829</v>
      </c>
    </row>
    <row r="23983" spans="6:8">
      <c r="F23983" t="s">
        <v>10611</v>
      </c>
      <c r="G23983" t="s">
        <v>15014</v>
      </c>
      <c r="H23983" t="s">
        <v>27248</v>
      </c>
    </row>
    <row r="23984" spans="6:8">
      <c r="H23984" t="s">
        <v>18829</v>
      </c>
    </row>
    <row r="23985" spans="1:8">
      <c r="F23985" t="s">
        <v>12347</v>
      </c>
      <c r="G23985" t="s">
        <v>16575</v>
      </c>
      <c r="H23985" t="s">
        <v>18829</v>
      </c>
    </row>
    <row r="23986" spans="1:8">
      <c r="F23986" t="s">
        <v>12643</v>
      </c>
      <c r="G23986" t="s">
        <v>15001</v>
      </c>
      <c r="H23986" t="s">
        <v>19215</v>
      </c>
    </row>
    <row r="23987" spans="1:8">
      <c r="H23987" t="s">
        <v>18829</v>
      </c>
    </row>
    <row r="23988" spans="1:8">
      <c r="H23988" t="s">
        <v>27249</v>
      </c>
    </row>
    <row r="23989" spans="1:8">
      <c r="A23989" t="s">
        <v>1211</v>
      </c>
      <c r="B23989">
        <f>HYPERLINK("https://android.googlesource.com/platform/cts/+/bc4b9b212df04f087df3a6439b85111c4c258d7d", "bc4b9b212df04f087df3a6439b85111c4c258d7d")</f>
        <v>0</v>
      </c>
      <c r="C23989">
        <f>HYPERLINK("https://android.googlesource.com/platform/cts/+/625870aa7a66d23975d03264304cdd563c84249a", "625870aa7a66d23975d03264304cdd563c84249a")</f>
        <v>0</v>
      </c>
      <c r="D23989" t="s">
        <v>5178</v>
      </c>
      <c r="E23989" t="s">
        <v>6985</v>
      </c>
      <c r="F23989" t="s">
        <v>12955</v>
      </c>
      <c r="G23989" t="s">
        <v>16873</v>
      </c>
      <c r="H23989" t="s">
        <v>27250</v>
      </c>
    </row>
    <row r="23990" spans="1:8">
      <c r="A23990" t="s">
        <v>1212</v>
      </c>
      <c r="B23990">
        <f>HYPERLINK("https://android.googlesource.com/platform/cts/+/2fe4fb6e7ef6fd85a34e70fab683d074a57ee230", "2fe4fb6e7ef6fd85a34e70fab683d074a57ee230")</f>
        <v>0</v>
      </c>
      <c r="C23990">
        <f>HYPERLINK("https://android.googlesource.com/platform/cts/+/3d333ccb68f0634c9f0f82c4666532fb20e71a73", "3d333ccb68f0634c9f0f82c4666532fb20e71a73")</f>
        <v>0</v>
      </c>
      <c r="D23990" t="s">
        <v>5176</v>
      </c>
      <c r="E23990" t="s">
        <v>6986</v>
      </c>
      <c r="F23990" t="s">
        <v>10658</v>
      </c>
      <c r="G23990" t="s">
        <v>15059</v>
      </c>
      <c r="H23990" t="s">
        <v>27251</v>
      </c>
    </row>
    <row r="23991" spans="1:8">
      <c r="A23991" t="s">
        <v>1213</v>
      </c>
      <c r="B23991">
        <f>HYPERLINK("https://android.googlesource.com/platform/cts/+/6031df7acadcd35236309edcbb046847735bda65", "6031df7acadcd35236309edcbb046847735bda65")</f>
        <v>0</v>
      </c>
      <c r="C23991">
        <f>HYPERLINK("https://android.googlesource.com/platform/cts/+/ba0bba0b62d27d4716d674e9ae1c9b36724f5705", "ba0bba0b62d27d4716d674e9ae1c9b36724f5705")</f>
        <v>0</v>
      </c>
      <c r="D23991" t="s">
        <v>5132</v>
      </c>
      <c r="E23991" t="s">
        <v>6987</v>
      </c>
      <c r="F23991" t="s">
        <v>10794</v>
      </c>
      <c r="G23991" t="s">
        <v>15189</v>
      </c>
      <c r="H23991" t="s">
        <v>27252</v>
      </c>
    </row>
    <row r="23992" spans="1:8">
      <c r="A23992" t="s">
        <v>1214</v>
      </c>
      <c r="B23992">
        <f>HYPERLINK("https://android.googlesource.com/platform/cts/+/05e7888ffbc73e998caf30eb7729f4a81b41df9c", "05e7888ffbc73e998caf30eb7729f4a81b41df9c")</f>
        <v>0</v>
      </c>
      <c r="C23992">
        <f>HYPERLINK("https://android.googlesource.com/platform/cts/+/a622b07cb4607287fa00bcd32c485b53b04fb669", "a622b07cb4607287fa00bcd32c485b53b04fb669")</f>
        <v>0</v>
      </c>
      <c r="D23992" t="s">
        <v>5143</v>
      </c>
      <c r="E23992" t="s">
        <v>6988</v>
      </c>
      <c r="F23992" t="s">
        <v>10732</v>
      </c>
      <c r="G23992" t="s">
        <v>15131</v>
      </c>
      <c r="H23992" t="s">
        <v>27253</v>
      </c>
    </row>
    <row r="23993" spans="1:8">
      <c r="H23993" t="s">
        <v>27146</v>
      </c>
    </row>
    <row r="23994" spans="1:8">
      <c r="H23994" t="s">
        <v>27145</v>
      </c>
    </row>
    <row r="23995" spans="1:8">
      <c r="H23995" t="s">
        <v>27254</v>
      </c>
    </row>
    <row r="23996" spans="1:8">
      <c r="H23996" t="s">
        <v>27255</v>
      </c>
    </row>
    <row r="23997" spans="1:8">
      <c r="H23997" t="s">
        <v>27256</v>
      </c>
    </row>
    <row r="23998" spans="1:8">
      <c r="A23998" t="s">
        <v>1215</v>
      </c>
      <c r="B23998">
        <f>HYPERLINK("https://android.googlesource.com/platform/cts/+/b6d441382890b4cd603124ee8dd0e7af3dca5454", "b6d441382890b4cd603124ee8dd0e7af3dca5454")</f>
        <v>0</v>
      </c>
      <c r="C23998">
        <f>HYPERLINK("https://android.googlesource.com/platform/cts/+/b66aa7e7fb6bf1b2814d0b7976324904e37905f2", "b66aa7e7fb6bf1b2814d0b7976324904e37905f2")</f>
        <v>0</v>
      </c>
      <c r="D23998" t="s">
        <v>5176</v>
      </c>
      <c r="E23998" t="s">
        <v>6989</v>
      </c>
      <c r="F23998" t="s">
        <v>12203</v>
      </c>
      <c r="G23998" t="s">
        <v>16441</v>
      </c>
      <c r="H23998" t="s">
        <v>18829</v>
      </c>
    </row>
    <row r="23999" spans="1:8">
      <c r="H23999" t="s">
        <v>27257</v>
      </c>
    </row>
    <row r="24000" spans="1:8">
      <c r="F24000" t="s">
        <v>12204</v>
      </c>
      <c r="G24000" t="s">
        <v>16442</v>
      </c>
      <c r="H24000" t="s">
        <v>18829</v>
      </c>
    </row>
    <row r="24001" spans="1:8">
      <c r="F24001" t="s">
        <v>12205</v>
      </c>
      <c r="G24001" t="s">
        <v>16443</v>
      </c>
      <c r="H24001" t="s">
        <v>18829</v>
      </c>
    </row>
    <row r="24002" spans="1:8">
      <c r="F24002" t="s">
        <v>12206</v>
      </c>
      <c r="G24002" t="s">
        <v>16444</v>
      </c>
      <c r="H24002" t="s">
        <v>18829</v>
      </c>
    </row>
    <row r="24003" spans="1:8">
      <c r="F24003" t="s">
        <v>12207</v>
      </c>
      <c r="G24003" t="s">
        <v>16445</v>
      </c>
      <c r="H24003" t="s">
        <v>18829</v>
      </c>
    </row>
    <row r="24004" spans="1:8">
      <c r="F24004" t="s">
        <v>10960</v>
      </c>
      <c r="G24004" t="s">
        <v>15352</v>
      </c>
      <c r="H24004" t="s">
        <v>18829</v>
      </c>
    </row>
    <row r="24005" spans="1:8">
      <c r="F24005" t="s">
        <v>12208</v>
      </c>
      <c r="G24005" t="s">
        <v>16446</v>
      </c>
      <c r="H24005" t="s">
        <v>18829</v>
      </c>
    </row>
    <row r="24006" spans="1:8">
      <c r="A24006" t="s">
        <v>1216</v>
      </c>
      <c r="B24006">
        <f>HYPERLINK("https://android.googlesource.com/platform/cts/+/09e7fe030a1d5f72a4e593017be9943c0b73651e", "09e7fe030a1d5f72a4e593017be9943c0b73651e")</f>
        <v>0</v>
      </c>
      <c r="C24006">
        <f>HYPERLINK("https://android.googlesource.com/platform/cts/+/36951ce4bd1b58915031daf98ec1921a7f01e072", "36951ce4bd1b58915031daf98ec1921a7f01e072")</f>
        <v>0</v>
      </c>
      <c r="D24006" t="s">
        <v>5085</v>
      </c>
      <c r="E24006" t="s">
        <v>6990</v>
      </c>
      <c r="F24006" t="s">
        <v>12887</v>
      </c>
      <c r="G24006" t="s">
        <v>17053</v>
      </c>
      <c r="H24006" t="s">
        <v>26789</v>
      </c>
    </row>
    <row r="24007" spans="1:8">
      <c r="H24007" t="s">
        <v>26790</v>
      </c>
    </row>
    <row r="24008" spans="1:8">
      <c r="F24008" t="s">
        <v>12888</v>
      </c>
      <c r="G24008" t="s">
        <v>17054</v>
      </c>
      <c r="H24008" t="s">
        <v>18829</v>
      </c>
    </row>
    <row r="24009" spans="1:8">
      <c r="H24009" t="s">
        <v>18863</v>
      </c>
    </row>
    <row r="24010" spans="1:8">
      <c r="H24010" t="s">
        <v>26789</v>
      </c>
    </row>
    <row r="24011" spans="1:8">
      <c r="H24011" t="s">
        <v>26791</v>
      </c>
    </row>
    <row r="24012" spans="1:8">
      <c r="A24012" t="s">
        <v>1217</v>
      </c>
      <c r="B24012">
        <f>HYPERLINK("https://android.googlesource.com/platform/cts/+/ab716dca257f9d22dd5ed844ff33f0e94eceebfd", "ab716dca257f9d22dd5ed844ff33f0e94eceebfd")</f>
        <v>0</v>
      </c>
      <c r="C24012">
        <f>HYPERLINK("https://android.googlesource.com/platform/cts/+/26dd268476311f024bdd2ff1f15464b76c0854a0", "26dd268476311f024bdd2ff1f15464b76c0854a0")</f>
        <v>0</v>
      </c>
      <c r="D24012" t="s">
        <v>5143</v>
      </c>
      <c r="E24012" t="s">
        <v>6991</v>
      </c>
      <c r="F24012" t="s">
        <v>10674</v>
      </c>
      <c r="G24012" t="s">
        <v>15074</v>
      </c>
      <c r="H24012" t="s">
        <v>27258</v>
      </c>
    </row>
    <row r="24013" spans="1:8">
      <c r="H24013" t="s">
        <v>18829</v>
      </c>
    </row>
    <row r="24014" spans="1:8">
      <c r="H24014" t="s">
        <v>27259</v>
      </c>
    </row>
    <row r="24015" spans="1:8">
      <c r="H24015" t="s">
        <v>26183</v>
      </c>
    </row>
    <row r="24016" spans="1:8">
      <c r="H24016" t="s">
        <v>27260</v>
      </c>
    </row>
    <row r="24017" spans="1:8">
      <c r="H24017" t="s">
        <v>27261</v>
      </c>
    </row>
    <row r="24018" spans="1:8">
      <c r="F24018" t="s">
        <v>12956</v>
      </c>
      <c r="G24018" t="s">
        <v>17120</v>
      </c>
      <c r="H24018" t="s">
        <v>27262</v>
      </c>
    </row>
    <row r="24019" spans="1:8">
      <c r="H24019" t="s">
        <v>18829</v>
      </c>
    </row>
    <row r="24020" spans="1:8">
      <c r="H24020" t="s">
        <v>20126</v>
      </c>
    </row>
    <row r="24021" spans="1:8">
      <c r="F24021" t="s">
        <v>10725</v>
      </c>
      <c r="G24021" t="s">
        <v>15124</v>
      </c>
      <c r="H24021" t="s">
        <v>27263</v>
      </c>
    </row>
    <row r="24022" spans="1:8">
      <c r="H24022" t="s">
        <v>18829</v>
      </c>
    </row>
    <row r="24023" spans="1:8">
      <c r="H24023" t="s">
        <v>18878</v>
      </c>
    </row>
    <row r="24024" spans="1:8">
      <c r="H24024" t="s">
        <v>27264</v>
      </c>
    </row>
    <row r="24025" spans="1:8">
      <c r="H24025" t="s">
        <v>27265</v>
      </c>
    </row>
    <row r="24026" spans="1:8">
      <c r="H24026" t="s">
        <v>27266</v>
      </c>
    </row>
    <row r="24027" spans="1:8">
      <c r="A24027" t="s">
        <v>1218</v>
      </c>
      <c r="B24027">
        <f>HYPERLINK("https://android.googlesource.com/platform/cts/+/5fae2c3104aa04ab14e2273cca8398c991ff34cd", "5fae2c3104aa04ab14e2273cca8398c991ff34cd")</f>
        <v>0</v>
      </c>
      <c r="C24027">
        <f>HYPERLINK("https://android.googlesource.com/platform/cts/+/c5d853c1932eb4cd202824983c69f94f8691cab6", "c5d853c1932eb4cd202824983c69f94f8691cab6")</f>
        <v>0</v>
      </c>
      <c r="D24027" t="s">
        <v>5143</v>
      </c>
      <c r="E24027" t="s">
        <v>6992</v>
      </c>
      <c r="F24027" t="s">
        <v>10657</v>
      </c>
      <c r="G24027" t="s">
        <v>15058</v>
      </c>
      <c r="H24027" t="s">
        <v>27267</v>
      </c>
    </row>
    <row r="24028" spans="1:8">
      <c r="F24028" t="s">
        <v>12957</v>
      </c>
      <c r="G24028" t="s">
        <v>17121</v>
      </c>
      <c r="H24028" t="s">
        <v>27268</v>
      </c>
    </row>
    <row r="24029" spans="1:8">
      <c r="H24029" t="s">
        <v>18829</v>
      </c>
    </row>
    <row r="24030" spans="1:8">
      <c r="H24030" t="s">
        <v>27269</v>
      </c>
    </row>
    <row r="24031" spans="1:8">
      <c r="H24031" t="s">
        <v>27270</v>
      </c>
    </row>
    <row r="24032" spans="1:8">
      <c r="H24032" t="s">
        <v>27271</v>
      </c>
    </row>
    <row r="24033" spans="6:8">
      <c r="H24033" t="s">
        <v>27272</v>
      </c>
    </row>
    <row r="24034" spans="6:8">
      <c r="H24034" t="s">
        <v>27198</v>
      </c>
    </row>
    <row r="24035" spans="6:8">
      <c r="H24035" t="s">
        <v>19690</v>
      </c>
    </row>
    <row r="24036" spans="6:8">
      <c r="H24036" t="s">
        <v>27197</v>
      </c>
    </row>
    <row r="24037" spans="6:8">
      <c r="H24037" t="s">
        <v>27273</v>
      </c>
    </row>
    <row r="24038" spans="6:8">
      <c r="F24038" t="s">
        <v>12958</v>
      </c>
      <c r="G24038" t="s">
        <v>17122</v>
      </c>
      <c r="H24038" t="s">
        <v>27274</v>
      </c>
    </row>
    <row r="24039" spans="6:8">
      <c r="H24039" t="s">
        <v>18829</v>
      </c>
    </row>
    <row r="24040" spans="6:8">
      <c r="F24040" t="s">
        <v>12959</v>
      </c>
      <c r="G24040" t="s">
        <v>17123</v>
      </c>
      <c r="H24040" t="s">
        <v>18829</v>
      </c>
    </row>
    <row r="24041" spans="6:8">
      <c r="H24041" t="s">
        <v>27275</v>
      </c>
    </row>
    <row r="24042" spans="6:8">
      <c r="F24042" t="s">
        <v>12960</v>
      </c>
      <c r="G24042" t="s">
        <v>17124</v>
      </c>
      <c r="H24042" t="s">
        <v>27276</v>
      </c>
    </row>
    <row r="24043" spans="6:8">
      <c r="H24043" t="s">
        <v>18829</v>
      </c>
    </row>
    <row r="24044" spans="6:8">
      <c r="F24044" t="s">
        <v>12907</v>
      </c>
      <c r="G24044" t="s">
        <v>17073</v>
      </c>
      <c r="H24044" t="s">
        <v>27277</v>
      </c>
    </row>
    <row r="24045" spans="6:8">
      <c r="H24045" t="s">
        <v>18829</v>
      </c>
    </row>
    <row r="24046" spans="6:8">
      <c r="H24046" t="s">
        <v>27278</v>
      </c>
    </row>
    <row r="24047" spans="6:8">
      <c r="F24047" t="s">
        <v>12961</v>
      </c>
      <c r="G24047" t="s">
        <v>17125</v>
      </c>
      <c r="H24047" t="s">
        <v>27279</v>
      </c>
    </row>
    <row r="24048" spans="6:8">
      <c r="H24048" t="s">
        <v>18829</v>
      </c>
    </row>
    <row r="24049" spans="1:8">
      <c r="F24049" t="s">
        <v>12925</v>
      </c>
      <c r="G24049" t="s">
        <v>17090</v>
      </c>
      <c r="H24049" t="s">
        <v>27280</v>
      </c>
    </row>
    <row r="24050" spans="1:8">
      <c r="F24050" t="s">
        <v>12348</v>
      </c>
      <c r="G24050" t="s">
        <v>16576</v>
      </c>
      <c r="H24050" t="s">
        <v>27281</v>
      </c>
    </row>
    <row r="24051" spans="1:8">
      <c r="H24051" t="s">
        <v>18829</v>
      </c>
    </row>
    <row r="24052" spans="1:8">
      <c r="H24052" t="s">
        <v>27282</v>
      </c>
    </row>
    <row r="24053" spans="1:8">
      <c r="H24053" t="s">
        <v>27283</v>
      </c>
    </row>
    <row r="24054" spans="1:8">
      <c r="H24054" t="s">
        <v>26680</v>
      </c>
    </row>
    <row r="24055" spans="1:8">
      <c r="H24055" t="s">
        <v>18878</v>
      </c>
    </row>
    <row r="24056" spans="1:8">
      <c r="H24056" t="s">
        <v>18879</v>
      </c>
    </row>
    <row r="24057" spans="1:8">
      <c r="A24057" t="s">
        <v>1219</v>
      </c>
      <c r="B24057">
        <f>HYPERLINK("https://android.googlesource.com/platform/cts/+/499c3d43f20d3ea1044c7bfc992df9833bb375d8", "499c3d43f20d3ea1044c7bfc992df9833bb375d8")</f>
        <v>0</v>
      </c>
      <c r="C24057">
        <f>HYPERLINK("https://android.googlesource.com/platform/cts/+/6c7f090fea84d2d3ec33bd45c6f9c11e0a70f07a", "6c7f090fea84d2d3ec33bd45c6f9c11e0a70f07a")</f>
        <v>0</v>
      </c>
      <c r="D24057" t="s">
        <v>5143</v>
      </c>
      <c r="E24057" t="s">
        <v>6993</v>
      </c>
      <c r="F24057" t="s">
        <v>12926</v>
      </c>
      <c r="G24057" t="s">
        <v>17091</v>
      </c>
      <c r="H24057" t="s">
        <v>18829</v>
      </c>
    </row>
    <row r="24058" spans="1:8">
      <c r="F24058" t="s">
        <v>10946</v>
      </c>
      <c r="G24058" t="s">
        <v>15339</v>
      </c>
      <c r="H24058" t="s">
        <v>27284</v>
      </c>
    </row>
    <row r="24059" spans="1:8">
      <c r="H24059" t="s">
        <v>18829</v>
      </c>
    </row>
    <row r="24060" spans="1:8">
      <c r="H24060" t="s">
        <v>26680</v>
      </c>
    </row>
    <row r="24061" spans="1:8">
      <c r="H24061" t="s">
        <v>18878</v>
      </c>
    </row>
    <row r="24062" spans="1:8">
      <c r="H24062" t="s">
        <v>27285</v>
      </c>
    </row>
    <row r="24063" spans="1:8">
      <c r="H24063" t="s">
        <v>27286</v>
      </c>
    </row>
    <row r="24064" spans="1:8">
      <c r="H24064" t="s">
        <v>18879</v>
      </c>
    </row>
    <row r="24065" spans="1:8">
      <c r="H24065" t="s">
        <v>19335</v>
      </c>
    </row>
    <row r="24066" spans="1:8">
      <c r="H24066" t="s">
        <v>27287</v>
      </c>
    </row>
    <row r="24067" spans="1:8">
      <c r="H24067" t="s">
        <v>18876</v>
      </c>
    </row>
    <row r="24068" spans="1:8">
      <c r="H24068" t="s">
        <v>19164</v>
      </c>
    </row>
    <row r="24069" spans="1:8">
      <c r="F24069" t="s">
        <v>12868</v>
      </c>
      <c r="G24069" t="s">
        <v>17036</v>
      </c>
      <c r="H24069" t="s">
        <v>27288</v>
      </c>
    </row>
    <row r="24070" spans="1:8">
      <c r="H24070" t="s">
        <v>18829</v>
      </c>
    </row>
    <row r="24071" spans="1:8">
      <c r="F24071" t="s">
        <v>11442</v>
      </c>
      <c r="G24071" t="s">
        <v>15682</v>
      </c>
      <c r="H24071" t="s">
        <v>27289</v>
      </c>
    </row>
    <row r="24072" spans="1:8">
      <c r="H24072" t="s">
        <v>18829</v>
      </c>
    </row>
    <row r="24073" spans="1:8">
      <c r="H24073" t="s">
        <v>27290</v>
      </c>
    </row>
    <row r="24074" spans="1:8">
      <c r="A24074" t="s">
        <v>1220</v>
      </c>
      <c r="B24074">
        <f>HYPERLINK("https://android.googlesource.com/platform/cts/+/153c8a3b82f994b5fc05806ff67c011f859d07d6", "153c8a3b82f994b5fc05806ff67c011f859d07d6")</f>
        <v>0</v>
      </c>
      <c r="C24074">
        <f>HYPERLINK("https://android.googlesource.com/platform/cts/+/6c7f090fea84d2d3ec33bd45c6f9c11e0a70f07a", "6c7f090fea84d2d3ec33bd45c6f9c11e0a70f07a")</f>
        <v>0</v>
      </c>
      <c r="D24074" t="s">
        <v>5143</v>
      </c>
      <c r="E24074" t="s">
        <v>6994</v>
      </c>
      <c r="F24074" t="s">
        <v>11446</v>
      </c>
      <c r="G24074" t="s">
        <v>15686</v>
      </c>
      <c r="H24074" t="s">
        <v>20381</v>
      </c>
    </row>
    <row r="24075" spans="1:8">
      <c r="H24075" t="s">
        <v>20384</v>
      </c>
    </row>
    <row r="24076" spans="1:8">
      <c r="H24076" t="s">
        <v>20386</v>
      </c>
    </row>
    <row r="24077" spans="1:8">
      <c r="H24077" t="s">
        <v>20388</v>
      </c>
    </row>
    <row r="24078" spans="1:8">
      <c r="F24078" t="s">
        <v>12962</v>
      </c>
      <c r="G24078" t="s">
        <v>17126</v>
      </c>
      <c r="H24078" t="s">
        <v>27291</v>
      </c>
    </row>
    <row r="24079" spans="1:8">
      <c r="H24079" t="s">
        <v>18829</v>
      </c>
    </row>
    <row r="24080" spans="1:8">
      <c r="H24080" t="s">
        <v>27292</v>
      </c>
    </row>
    <row r="24081" spans="6:8">
      <c r="F24081" t="s">
        <v>12792</v>
      </c>
      <c r="G24081" t="s">
        <v>16975</v>
      </c>
      <c r="H24081" t="s">
        <v>27293</v>
      </c>
    </row>
    <row r="24082" spans="6:8">
      <c r="H24082" t="s">
        <v>18829</v>
      </c>
    </row>
    <row r="24083" spans="6:8">
      <c r="H24083" t="s">
        <v>18863</v>
      </c>
    </row>
    <row r="24084" spans="6:8">
      <c r="F24084" t="s">
        <v>10604</v>
      </c>
      <c r="G24084" t="s">
        <v>15007</v>
      </c>
      <c r="H24084" t="s">
        <v>27294</v>
      </c>
    </row>
    <row r="24085" spans="6:8">
      <c r="H24085" t="s">
        <v>18829</v>
      </c>
    </row>
    <row r="24086" spans="6:8">
      <c r="H24086" t="s">
        <v>27295</v>
      </c>
    </row>
    <row r="24087" spans="6:8">
      <c r="H24087" t="s">
        <v>18876</v>
      </c>
    </row>
    <row r="24088" spans="6:8">
      <c r="H24088" t="s">
        <v>19051</v>
      </c>
    </row>
    <row r="24089" spans="6:8">
      <c r="H24089" t="s">
        <v>27213</v>
      </c>
    </row>
    <row r="24090" spans="6:8">
      <c r="H24090" t="s">
        <v>27269</v>
      </c>
    </row>
    <row r="24091" spans="6:8">
      <c r="H24091" t="s">
        <v>27270</v>
      </c>
    </row>
    <row r="24092" spans="6:8">
      <c r="H24092" t="s">
        <v>18878</v>
      </c>
    </row>
    <row r="24093" spans="6:8">
      <c r="H24093" t="s">
        <v>26718</v>
      </c>
    </row>
    <row r="24094" spans="6:8">
      <c r="H24094" t="s">
        <v>19135</v>
      </c>
    </row>
    <row r="24095" spans="6:8">
      <c r="F24095" t="s">
        <v>10757</v>
      </c>
      <c r="G24095" t="s">
        <v>15155</v>
      </c>
      <c r="H24095" t="s">
        <v>27296</v>
      </c>
    </row>
    <row r="24096" spans="6:8">
      <c r="H24096" t="s">
        <v>18829</v>
      </c>
    </row>
    <row r="24097" spans="1:8">
      <c r="H24097" t="s">
        <v>27297</v>
      </c>
    </row>
    <row r="24098" spans="1:8">
      <c r="A24098" t="s">
        <v>1221</v>
      </c>
      <c r="B24098">
        <f>HYPERLINK("https://android.googlesource.com/platform/cts/+/070bd2c60ecb566ee1ff1097bd22c743ff25f39c", "070bd2c60ecb566ee1ff1097bd22c743ff25f39c")</f>
        <v>0</v>
      </c>
      <c r="C24098">
        <f>HYPERLINK("https://android.googlesource.com/platform/cts/+/8997149778741c16c35e386a62379dfb86ec5c19", "8997149778741c16c35e386a62379dfb86ec5c19")</f>
        <v>0</v>
      </c>
      <c r="D24098" t="s">
        <v>5143</v>
      </c>
      <c r="E24098" t="s">
        <v>6995</v>
      </c>
      <c r="F24098" t="s">
        <v>12898</v>
      </c>
      <c r="G24098" t="s">
        <v>17065</v>
      </c>
      <c r="H24098" t="s">
        <v>27298</v>
      </c>
    </row>
    <row r="24099" spans="1:8">
      <c r="H24099" t="s">
        <v>18829</v>
      </c>
    </row>
    <row r="24100" spans="1:8">
      <c r="F24100" t="s">
        <v>12963</v>
      </c>
      <c r="G24100" t="s">
        <v>17127</v>
      </c>
      <c r="H24100" t="s">
        <v>18829</v>
      </c>
    </row>
    <row r="24101" spans="1:8">
      <c r="F24101" t="s">
        <v>12858</v>
      </c>
      <c r="G24101" t="s">
        <v>17026</v>
      </c>
      <c r="H24101" t="s">
        <v>27299</v>
      </c>
    </row>
    <row r="24102" spans="1:8">
      <c r="H24102" t="s">
        <v>18829</v>
      </c>
    </row>
    <row r="24103" spans="1:8">
      <c r="F24103" t="s">
        <v>12734</v>
      </c>
      <c r="G24103" t="s">
        <v>16927</v>
      </c>
      <c r="H24103" t="s">
        <v>27300</v>
      </c>
    </row>
    <row r="24104" spans="1:8">
      <c r="H24104" t="s">
        <v>18829</v>
      </c>
    </row>
    <row r="24105" spans="1:8">
      <c r="H24105" t="s">
        <v>18863</v>
      </c>
    </row>
    <row r="24106" spans="1:8">
      <c r="F24106" t="s">
        <v>10675</v>
      </c>
      <c r="G24106" t="s">
        <v>15075</v>
      </c>
      <c r="H24106" t="s">
        <v>27301</v>
      </c>
    </row>
    <row r="24107" spans="1:8">
      <c r="H24107" t="s">
        <v>18829</v>
      </c>
    </row>
    <row r="24108" spans="1:8">
      <c r="H24108" t="s">
        <v>27302</v>
      </c>
    </row>
    <row r="24109" spans="1:8">
      <c r="H24109" t="s">
        <v>27302</v>
      </c>
    </row>
    <row r="24110" spans="1:8">
      <c r="H24110" t="s">
        <v>27303</v>
      </c>
    </row>
    <row r="24111" spans="1:8">
      <c r="H24111" t="s">
        <v>27304</v>
      </c>
    </row>
    <row r="24112" spans="1:8">
      <c r="F24112" t="s">
        <v>10737</v>
      </c>
      <c r="G24112" t="s">
        <v>15136</v>
      </c>
      <c r="H24112" t="s">
        <v>27305</v>
      </c>
    </row>
    <row r="24113" spans="1:8">
      <c r="H24113" t="s">
        <v>18829</v>
      </c>
    </row>
    <row r="24114" spans="1:8">
      <c r="H24114" t="s">
        <v>18877</v>
      </c>
    </row>
    <row r="24115" spans="1:8">
      <c r="H24115" t="s">
        <v>18878</v>
      </c>
    </row>
    <row r="24116" spans="1:8">
      <c r="H24116" t="s">
        <v>27306</v>
      </c>
    </row>
    <row r="24117" spans="1:8">
      <c r="H24117" t="s">
        <v>27283</v>
      </c>
    </row>
    <row r="24118" spans="1:8">
      <c r="F24118" t="s">
        <v>12867</v>
      </c>
      <c r="G24118" t="s">
        <v>17035</v>
      </c>
      <c r="H24118" t="s">
        <v>27307</v>
      </c>
    </row>
    <row r="24119" spans="1:8">
      <c r="H24119" t="s">
        <v>18829</v>
      </c>
    </row>
    <row r="24120" spans="1:8">
      <c r="F24120" t="s">
        <v>12964</v>
      </c>
      <c r="G24120" t="s">
        <v>17128</v>
      </c>
      <c r="H24120" t="s">
        <v>18829</v>
      </c>
    </row>
    <row r="24121" spans="1:8">
      <c r="H24121" t="s">
        <v>27308</v>
      </c>
    </row>
    <row r="24122" spans="1:8">
      <c r="F24122" t="s">
        <v>12965</v>
      </c>
      <c r="G24122" t="s">
        <v>17129</v>
      </c>
      <c r="H24122" t="s">
        <v>18829</v>
      </c>
    </row>
    <row r="24123" spans="1:8">
      <c r="A24123" t="s">
        <v>1222</v>
      </c>
      <c r="B24123">
        <f>HYPERLINK("https://android.googlesource.com/platform/cts/+/7c00e3017424ff1c3eeb22236fea3607ee8a3843", "7c00e3017424ff1c3eeb22236fea3607ee8a3843")</f>
        <v>0</v>
      </c>
      <c r="C24123">
        <f>HYPERLINK("https://android.googlesource.com/platform/cts/+/8997149778741c16c35e386a62379dfb86ec5c19", "8997149778741c16c35e386a62379dfb86ec5c19")</f>
        <v>0</v>
      </c>
      <c r="D24123" t="s">
        <v>5143</v>
      </c>
      <c r="E24123" t="s">
        <v>6996</v>
      </c>
      <c r="F24123" t="s">
        <v>10673</v>
      </c>
      <c r="G24123" t="s">
        <v>15073</v>
      </c>
      <c r="H24123" t="s">
        <v>27309</v>
      </c>
    </row>
    <row r="24124" spans="1:8">
      <c r="H24124" t="s">
        <v>18829</v>
      </c>
    </row>
    <row r="24125" spans="1:8">
      <c r="F24125" t="s">
        <v>12882</v>
      </c>
      <c r="G24125" t="s">
        <v>17049</v>
      </c>
      <c r="H24125" t="s">
        <v>27310</v>
      </c>
    </row>
    <row r="24126" spans="1:8">
      <c r="H24126" t="s">
        <v>18829</v>
      </c>
    </row>
    <row r="24127" spans="1:8">
      <c r="H24127" t="s">
        <v>18878</v>
      </c>
    </row>
    <row r="24128" spans="1:8">
      <c r="H24128" t="s">
        <v>26680</v>
      </c>
    </row>
    <row r="24129" spans="6:8">
      <c r="F24129" t="s">
        <v>12966</v>
      </c>
      <c r="G24129" t="s">
        <v>17130</v>
      </c>
      <c r="H24129" t="s">
        <v>27311</v>
      </c>
    </row>
    <row r="24130" spans="6:8">
      <c r="H24130" t="s">
        <v>18829</v>
      </c>
    </row>
    <row r="24131" spans="6:8">
      <c r="H24131" t="s">
        <v>27312</v>
      </c>
    </row>
    <row r="24132" spans="6:8">
      <c r="H24132" t="s">
        <v>27313</v>
      </c>
    </row>
    <row r="24133" spans="6:8">
      <c r="F24133" t="s">
        <v>12967</v>
      </c>
      <c r="G24133" t="s">
        <v>17131</v>
      </c>
      <c r="H24133" t="s">
        <v>27314</v>
      </c>
    </row>
    <row r="24134" spans="6:8">
      <c r="H24134" t="s">
        <v>18829</v>
      </c>
    </row>
    <row r="24135" spans="6:8">
      <c r="F24135" t="s">
        <v>10947</v>
      </c>
      <c r="G24135" t="s">
        <v>15340</v>
      </c>
      <c r="H24135" t="s">
        <v>27315</v>
      </c>
    </row>
    <row r="24136" spans="6:8">
      <c r="H24136" t="s">
        <v>18829</v>
      </c>
    </row>
    <row r="24137" spans="6:8">
      <c r="H24137" t="s">
        <v>26680</v>
      </c>
    </row>
    <row r="24138" spans="6:8">
      <c r="H24138" t="s">
        <v>18878</v>
      </c>
    </row>
    <row r="24139" spans="6:8">
      <c r="H24139" t="s">
        <v>27285</v>
      </c>
    </row>
    <row r="24140" spans="6:8">
      <c r="H24140" t="s">
        <v>27286</v>
      </c>
    </row>
    <row r="24141" spans="6:8">
      <c r="H24141" t="s">
        <v>18879</v>
      </c>
    </row>
    <row r="24142" spans="6:8">
      <c r="H24142" t="s">
        <v>19335</v>
      </c>
    </row>
    <row r="24143" spans="6:8">
      <c r="H24143" t="s">
        <v>27287</v>
      </c>
    </row>
    <row r="24144" spans="6:8">
      <c r="H24144" t="s">
        <v>18876</v>
      </c>
    </row>
    <row r="24145" spans="1:8">
      <c r="H24145" t="s">
        <v>19164</v>
      </c>
    </row>
    <row r="24146" spans="1:8">
      <c r="F24146" t="s">
        <v>12968</v>
      </c>
      <c r="G24146" t="s">
        <v>17132</v>
      </c>
      <c r="H24146" t="s">
        <v>18829</v>
      </c>
    </row>
    <row r="24147" spans="1:8">
      <c r="A24147" t="s">
        <v>1223</v>
      </c>
      <c r="B24147">
        <f>HYPERLINK("https://android.googlesource.com/platform/cts/+/748ef71cd450ae0e4bdefa5e311c49fd7801589b", "748ef71cd450ae0e4bdefa5e311c49fd7801589b")</f>
        <v>0</v>
      </c>
      <c r="C24147">
        <f>HYPERLINK("https://android.googlesource.com/platform/cts/+/6229ca67116093f61b98099d1f3b28718d05b62c", "6229ca67116093f61b98099d1f3b28718d05b62c")</f>
        <v>0</v>
      </c>
      <c r="D24147" t="s">
        <v>5179</v>
      </c>
      <c r="E24147" t="s">
        <v>6997</v>
      </c>
      <c r="F24147" t="s">
        <v>12969</v>
      </c>
      <c r="G24147" t="s">
        <v>17133</v>
      </c>
      <c r="H24147" t="s">
        <v>27316</v>
      </c>
    </row>
    <row r="24148" spans="1:8">
      <c r="A24148" t="s">
        <v>1224</v>
      </c>
      <c r="B24148">
        <f>HYPERLINK("https://android.googlesource.com/platform/cts/+/068461843e9fef9d9559f4ebdc59d5ca6edaec3c", "068461843e9fef9d9559f4ebdc59d5ca6edaec3c")</f>
        <v>0</v>
      </c>
      <c r="C24148">
        <f>HYPERLINK("https://android.googlesource.com/platform/cts/+/8997149778741c16c35e386a62379dfb86ec5c19", "8997149778741c16c35e386a62379dfb86ec5c19")</f>
        <v>0</v>
      </c>
      <c r="D24148" t="s">
        <v>5143</v>
      </c>
      <c r="E24148" t="s">
        <v>6998</v>
      </c>
      <c r="F24148" t="s">
        <v>12927</v>
      </c>
      <c r="G24148" t="s">
        <v>17092</v>
      </c>
      <c r="H24148" t="s">
        <v>27317</v>
      </c>
    </row>
    <row r="24149" spans="1:8">
      <c r="H24149" t="s">
        <v>18829</v>
      </c>
    </row>
    <row r="24150" spans="1:8">
      <c r="H24150" t="s">
        <v>26680</v>
      </c>
    </row>
    <row r="24151" spans="1:8">
      <c r="H24151" t="s">
        <v>18878</v>
      </c>
    </row>
    <row r="24152" spans="1:8">
      <c r="H24152" t="s">
        <v>27269</v>
      </c>
    </row>
    <row r="24153" spans="1:8">
      <c r="H24153" t="s">
        <v>19051</v>
      </c>
    </row>
    <row r="24154" spans="1:8">
      <c r="H24154" t="s">
        <v>27287</v>
      </c>
    </row>
    <row r="24155" spans="1:8">
      <c r="H24155" t="s">
        <v>18876</v>
      </c>
    </row>
    <row r="24156" spans="1:8">
      <c r="F24156" t="s">
        <v>12382</v>
      </c>
      <c r="G24156" t="s">
        <v>16608</v>
      </c>
      <c r="H24156" t="s">
        <v>27318</v>
      </c>
    </row>
    <row r="24157" spans="1:8">
      <c r="H24157" t="s">
        <v>18829</v>
      </c>
    </row>
    <row r="24158" spans="1:8">
      <c r="F24158" t="s">
        <v>12970</v>
      </c>
      <c r="G24158" t="s">
        <v>17134</v>
      </c>
      <c r="H24158" t="s">
        <v>27319</v>
      </c>
    </row>
    <row r="24159" spans="1:8">
      <c r="H24159" t="s">
        <v>18829</v>
      </c>
    </row>
    <row r="24160" spans="1:8">
      <c r="F24160" t="s">
        <v>12813</v>
      </c>
      <c r="G24160" t="s">
        <v>16994</v>
      </c>
      <c r="H24160" t="s">
        <v>27320</v>
      </c>
    </row>
    <row r="24161" spans="1:8">
      <c r="H24161" t="s">
        <v>18829</v>
      </c>
    </row>
    <row r="24162" spans="1:8">
      <c r="H24162" t="s">
        <v>27321</v>
      </c>
    </row>
    <row r="24163" spans="1:8">
      <c r="H24163" t="s">
        <v>19335</v>
      </c>
    </row>
    <row r="24164" spans="1:8">
      <c r="H24164" t="s">
        <v>27322</v>
      </c>
    </row>
    <row r="24165" spans="1:8">
      <c r="H24165" t="s">
        <v>27323</v>
      </c>
    </row>
    <row r="24166" spans="1:8">
      <c r="F24166" t="s">
        <v>12971</v>
      </c>
      <c r="G24166" t="s">
        <v>17135</v>
      </c>
      <c r="H24166" t="s">
        <v>27324</v>
      </c>
    </row>
    <row r="24167" spans="1:8">
      <c r="H24167" t="s">
        <v>18829</v>
      </c>
    </row>
    <row r="24168" spans="1:8">
      <c r="A24168" t="s">
        <v>1225</v>
      </c>
      <c r="B24168">
        <f>HYPERLINK("https://android.googlesource.com/platform/cts/+/81337931b3489990e2bb365cf957668a80f72a46", "81337931b3489990e2bb365cf957668a80f72a46")</f>
        <v>0</v>
      </c>
      <c r="C24168">
        <f>HYPERLINK("https://android.googlesource.com/platform/cts/+/c6449b572003bf1b2871b0b12f7640501b65f7be", "c6449b572003bf1b2871b0b12f7640501b65f7be")</f>
        <v>0</v>
      </c>
      <c r="D24168" t="s">
        <v>5115</v>
      </c>
      <c r="E24168" t="s">
        <v>6999</v>
      </c>
      <c r="F24168" t="s">
        <v>12708</v>
      </c>
      <c r="G24168" t="s">
        <v>15044</v>
      </c>
      <c r="H24168" t="s">
        <v>27325</v>
      </c>
    </row>
    <row r="24169" spans="1:8">
      <c r="A24169" t="s">
        <v>1226</v>
      </c>
      <c r="B24169">
        <f>HYPERLINK("https://android.googlesource.com/platform/cts/+/ba8cb022e8e6ed64563f491466173cc68056bc6d", "ba8cb022e8e6ed64563f491466173cc68056bc6d")</f>
        <v>0</v>
      </c>
      <c r="C24169">
        <f>HYPERLINK("https://android.googlesource.com/platform/cts/+/76f9bb1ed7632c415bffe7d5fb10ce3ca7ca550c", "76f9bb1ed7632c415bffe7d5fb10ce3ca7ca550c")</f>
        <v>0</v>
      </c>
      <c r="D24169" t="s">
        <v>5143</v>
      </c>
      <c r="E24169" t="s">
        <v>7000</v>
      </c>
      <c r="F24169" t="s">
        <v>12972</v>
      </c>
      <c r="G24169" t="s">
        <v>17136</v>
      </c>
      <c r="H24169" t="s">
        <v>18829</v>
      </c>
    </row>
    <row r="24170" spans="1:8">
      <c r="H24170" t="s">
        <v>18863</v>
      </c>
    </row>
    <row r="24171" spans="1:8">
      <c r="F24171" t="s">
        <v>12924</v>
      </c>
      <c r="G24171" t="s">
        <v>17089</v>
      </c>
      <c r="H24171" t="s">
        <v>18829</v>
      </c>
    </row>
    <row r="24172" spans="1:8">
      <c r="H24172" t="s">
        <v>18863</v>
      </c>
    </row>
    <row r="24173" spans="1:8">
      <c r="F24173" t="s">
        <v>12973</v>
      </c>
      <c r="G24173" t="s">
        <v>17137</v>
      </c>
      <c r="H24173" t="s">
        <v>18829</v>
      </c>
    </row>
    <row r="24174" spans="1:8">
      <c r="F24174" t="s">
        <v>12974</v>
      </c>
      <c r="G24174" t="s">
        <v>17138</v>
      </c>
      <c r="H24174" t="s">
        <v>18829</v>
      </c>
    </row>
    <row r="24175" spans="1:8">
      <c r="A24175" t="s">
        <v>1227</v>
      </c>
      <c r="B24175">
        <f>HYPERLINK("https://android.googlesource.com/platform/cts/+/9ca93a3566485d3063021e0f2f71c1faaf888fe2", "9ca93a3566485d3063021e0f2f71c1faaf888fe2")</f>
        <v>0</v>
      </c>
      <c r="C24175">
        <f>HYPERLINK("https://android.googlesource.com/platform/cts/+/76f9bb1ed7632c415bffe7d5fb10ce3ca7ca550c", "76f9bb1ed7632c415bffe7d5fb10ce3ca7ca550c")</f>
        <v>0</v>
      </c>
      <c r="D24175" t="s">
        <v>5143</v>
      </c>
      <c r="E24175" t="s">
        <v>7001</v>
      </c>
      <c r="F24175" t="s">
        <v>12975</v>
      </c>
      <c r="G24175" t="s">
        <v>17139</v>
      </c>
      <c r="H24175" t="s">
        <v>27326</v>
      </c>
    </row>
    <row r="24176" spans="1:8">
      <c r="H24176" t="s">
        <v>18829</v>
      </c>
    </row>
    <row r="24177" spans="6:8">
      <c r="F24177" t="s">
        <v>12976</v>
      </c>
      <c r="G24177" t="s">
        <v>17140</v>
      </c>
      <c r="H24177" t="s">
        <v>27327</v>
      </c>
    </row>
    <row r="24178" spans="6:8">
      <c r="H24178" t="s">
        <v>18829</v>
      </c>
    </row>
    <row r="24179" spans="6:8">
      <c r="F24179" t="s">
        <v>12911</v>
      </c>
      <c r="G24179" t="s">
        <v>17077</v>
      </c>
      <c r="H24179" t="s">
        <v>27328</v>
      </c>
    </row>
    <row r="24180" spans="6:8">
      <c r="H24180" t="s">
        <v>18829</v>
      </c>
    </row>
    <row r="24181" spans="6:8">
      <c r="F24181" t="s">
        <v>12977</v>
      </c>
      <c r="G24181" t="s">
        <v>17141</v>
      </c>
      <c r="H24181" t="s">
        <v>18829</v>
      </c>
    </row>
    <row r="24182" spans="6:8">
      <c r="H24182" t="s">
        <v>27329</v>
      </c>
    </row>
    <row r="24183" spans="6:8">
      <c r="H24183" t="s">
        <v>18893</v>
      </c>
    </row>
    <row r="24184" spans="6:8">
      <c r="H24184" t="s">
        <v>27330</v>
      </c>
    </row>
    <row r="24185" spans="6:8">
      <c r="H24185" t="s">
        <v>27331</v>
      </c>
    </row>
    <row r="24186" spans="6:8">
      <c r="F24186" t="s">
        <v>12978</v>
      </c>
      <c r="G24186" t="s">
        <v>17142</v>
      </c>
      <c r="H24186" t="s">
        <v>18829</v>
      </c>
    </row>
    <row r="24187" spans="6:8">
      <c r="H24187" t="s">
        <v>27329</v>
      </c>
    </row>
    <row r="24188" spans="6:8">
      <c r="H24188" t="s">
        <v>18893</v>
      </c>
    </row>
    <row r="24189" spans="6:8">
      <c r="H24189" t="s">
        <v>27332</v>
      </c>
    </row>
    <row r="24190" spans="6:8">
      <c r="H24190" t="s">
        <v>27331</v>
      </c>
    </row>
    <row r="24191" spans="6:8">
      <c r="H24191" t="s">
        <v>27333</v>
      </c>
    </row>
    <row r="24192" spans="6:8">
      <c r="H24192" t="s">
        <v>18893</v>
      </c>
    </row>
    <row r="24193" spans="1:8">
      <c r="H24193" t="s">
        <v>27334</v>
      </c>
    </row>
    <row r="24194" spans="1:8">
      <c r="F24194" t="s">
        <v>12979</v>
      </c>
      <c r="G24194" t="s">
        <v>17143</v>
      </c>
      <c r="H24194" t="s">
        <v>18829</v>
      </c>
    </row>
    <row r="24195" spans="1:8">
      <c r="F24195" t="s">
        <v>12980</v>
      </c>
      <c r="G24195" t="s">
        <v>17144</v>
      </c>
      <c r="H24195" t="s">
        <v>18829</v>
      </c>
    </row>
    <row r="24196" spans="1:8">
      <c r="A24196" t="s">
        <v>1228</v>
      </c>
      <c r="B24196">
        <f>HYPERLINK("https://android.googlesource.com/platform/cts/+/0cc855fc64390a8b64b863dfe1946a0f28a70f07", "0cc855fc64390a8b64b863dfe1946a0f28a70f07")</f>
        <v>0</v>
      </c>
      <c r="C24196">
        <f>HYPERLINK("https://android.googlesource.com/platform/cts/+/d6cac1346df7e2788fb5c7fc0969000551449530", "d6cac1346df7e2788fb5c7fc0969000551449530")</f>
        <v>0</v>
      </c>
      <c r="D24196" t="s">
        <v>5143</v>
      </c>
      <c r="E24196" t="s">
        <v>7002</v>
      </c>
      <c r="F24196" t="s">
        <v>10760</v>
      </c>
      <c r="G24196" t="s">
        <v>15158</v>
      </c>
      <c r="H24196" t="s">
        <v>27335</v>
      </c>
    </row>
    <row r="24197" spans="1:8">
      <c r="H24197" t="s">
        <v>18829</v>
      </c>
    </row>
    <row r="24198" spans="1:8">
      <c r="H24198" t="s">
        <v>27336</v>
      </c>
    </row>
    <row r="24199" spans="1:8">
      <c r="H24199" t="s">
        <v>27337</v>
      </c>
    </row>
    <row r="24200" spans="1:8">
      <c r="H24200" t="s">
        <v>27338</v>
      </c>
    </row>
    <row r="24201" spans="1:8">
      <c r="H24201" t="s">
        <v>27339</v>
      </c>
    </row>
    <row r="24202" spans="1:8">
      <c r="H24202" t="s">
        <v>27340</v>
      </c>
    </row>
    <row r="24203" spans="1:8">
      <c r="H24203" t="s">
        <v>27341</v>
      </c>
    </row>
    <row r="24204" spans="1:8">
      <c r="F24204" t="s">
        <v>12981</v>
      </c>
      <c r="G24204" t="s">
        <v>17145</v>
      </c>
      <c r="H24204" t="s">
        <v>18829</v>
      </c>
    </row>
    <row r="24205" spans="1:8">
      <c r="F24205" t="s">
        <v>12928</v>
      </c>
      <c r="G24205" t="s">
        <v>17093</v>
      </c>
      <c r="H24205" t="s">
        <v>27342</v>
      </c>
    </row>
    <row r="24206" spans="1:8">
      <c r="H24206" t="s">
        <v>18829</v>
      </c>
    </row>
    <row r="24207" spans="1:8">
      <c r="H24207" t="s">
        <v>27343</v>
      </c>
    </row>
    <row r="24208" spans="1:8">
      <c r="H24208" t="s">
        <v>27341</v>
      </c>
    </row>
    <row r="24209" spans="1:8">
      <c r="A24209" t="s">
        <v>1229</v>
      </c>
      <c r="B24209">
        <f>HYPERLINK("https://android.googlesource.com/platform/cts/+/df781a95c2570e6b0fb107b2b2092360e3a272c2", "df781a95c2570e6b0fb107b2b2092360e3a272c2")</f>
        <v>0</v>
      </c>
      <c r="C24209">
        <f>HYPERLINK("https://android.googlesource.com/platform/cts/+/60a3dec13c8c7a09614aa65e6d3cf5baf87914c9", "60a3dec13c8c7a09614aa65e6d3cf5baf87914c9")</f>
        <v>0</v>
      </c>
      <c r="D24209" t="s">
        <v>5143</v>
      </c>
      <c r="E24209" t="s">
        <v>7003</v>
      </c>
      <c r="F24209" t="s">
        <v>10732</v>
      </c>
      <c r="G24209" t="s">
        <v>15131</v>
      </c>
      <c r="H24209" t="s">
        <v>27344</v>
      </c>
    </row>
    <row r="24210" spans="1:8">
      <c r="A24210" t="s">
        <v>1230</v>
      </c>
      <c r="B24210">
        <f>HYPERLINK("https://android.googlesource.com/platform/cts/+/9c5916d01b6a6c78e9432e7536b0b790567eea7d", "9c5916d01b6a6c78e9432e7536b0b790567eea7d")</f>
        <v>0</v>
      </c>
      <c r="C24210">
        <f>HYPERLINK("https://android.googlesource.com/platform/cts/+/aa45bac7a5ce788fc541504d4d7ff12d9ebc5725", "aa45bac7a5ce788fc541504d4d7ff12d9ebc5725")</f>
        <v>0</v>
      </c>
      <c r="D24210" t="s">
        <v>5176</v>
      </c>
      <c r="E24210" t="s">
        <v>7004</v>
      </c>
      <c r="F24210" t="s">
        <v>10658</v>
      </c>
      <c r="G24210" t="s">
        <v>15059</v>
      </c>
      <c r="H24210" t="s">
        <v>27345</v>
      </c>
    </row>
    <row r="24211" spans="1:8">
      <c r="H24211" t="s">
        <v>27346</v>
      </c>
    </row>
    <row r="24212" spans="1:8">
      <c r="A24212" t="s">
        <v>1231</v>
      </c>
      <c r="B24212">
        <f>HYPERLINK("https://android.googlesource.com/platform/cts/+/8200730442e9d7104e6aea4819b2f935c1fb3858", "8200730442e9d7104e6aea4819b2f935c1fb3858")</f>
        <v>0</v>
      </c>
      <c r="C24212">
        <f>HYPERLINK("https://android.googlesource.com/platform/cts/+/1debc5ae7441f649b5b0f89bfc7353b75e285455", "1debc5ae7441f649b5b0f89bfc7353b75e285455")</f>
        <v>0</v>
      </c>
      <c r="D24212" t="s">
        <v>5143</v>
      </c>
      <c r="E24212" t="s">
        <v>7005</v>
      </c>
      <c r="F24212" t="s">
        <v>12950</v>
      </c>
      <c r="G24212" t="s">
        <v>17115</v>
      </c>
      <c r="H24212" t="s">
        <v>27340</v>
      </c>
    </row>
    <row r="24213" spans="1:8">
      <c r="H24213" t="s">
        <v>27341</v>
      </c>
    </row>
    <row r="24214" spans="1:8">
      <c r="A24214" t="s">
        <v>1232</v>
      </c>
      <c r="B24214">
        <f>HYPERLINK("https://android.googlesource.com/platform/cts/+/a75fb03266b58562af9ed30eff91f2a67d177adc", "a75fb03266b58562af9ed30eff91f2a67d177adc")</f>
        <v>0</v>
      </c>
      <c r="C24214">
        <f>HYPERLINK("https://android.googlesource.com/platform/cts/+/1debc5ae7441f649b5b0f89bfc7353b75e285455", "1debc5ae7441f649b5b0f89bfc7353b75e285455")</f>
        <v>0</v>
      </c>
      <c r="D24214" t="s">
        <v>5143</v>
      </c>
      <c r="E24214" t="s">
        <v>7006</v>
      </c>
      <c r="F24214" t="s">
        <v>12982</v>
      </c>
      <c r="G24214" t="s">
        <v>17146</v>
      </c>
      <c r="H24214" t="s">
        <v>27347</v>
      </c>
    </row>
    <row r="24215" spans="1:8">
      <c r="H24215" t="s">
        <v>18829</v>
      </c>
    </row>
    <row r="24216" spans="1:8">
      <c r="H24216" t="s">
        <v>19051</v>
      </c>
    </row>
    <row r="24217" spans="1:8">
      <c r="H24217" t="s">
        <v>27348</v>
      </c>
    </row>
    <row r="24218" spans="1:8">
      <c r="H24218" t="s">
        <v>18879</v>
      </c>
    </row>
    <row r="24219" spans="1:8">
      <c r="F24219" t="s">
        <v>12983</v>
      </c>
      <c r="G24219" t="s">
        <v>17147</v>
      </c>
      <c r="H24219" t="s">
        <v>27349</v>
      </c>
    </row>
    <row r="24220" spans="1:8">
      <c r="H24220" t="s">
        <v>18829</v>
      </c>
    </row>
    <row r="24221" spans="1:8">
      <c r="F24221" t="s">
        <v>10794</v>
      </c>
      <c r="G24221" t="s">
        <v>15189</v>
      </c>
      <c r="H24221" t="s">
        <v>27350</v>
      </c>
    </row>
    <row r="24222" spans="1:8">
      <c r="H24222" t="s">
        <v>18829</v>
      </c>
    </row>
    <row r="24223" spans="1:8">
      <c r="H24223" t="s">
        <v>27351</v>
      </c>
    </row>
    <row r="24224" spans="1:8">
      <c r="H24224" t="s">
        <v>19053</v>
      </c>
    </row>
    <row r="24225" spans="1:8">
      <c r="H24225" t="s">
        <v>18876</v>
      </c>
    </row>
    <row r="24226" spans="1:8">
      <c r="H24226" t="s">
        <v>19363</v>
      </c>
    </row>
    <row r="24227" spans="1:8">
      <c r="H24227" t="s">
        <v>27352</v>
      </c>
    </row>
    <row r="24228" spans="1:8">
      <c r="H24228" t="s">
        <v>27353</v>
      </c>
    </row>
    <row r="24229" spans="1:8">
      <c r="H24229" t="s">
        <v>27354</v>
      </c>
    </row>
    <row r="24230" spans="1:8">
      <c r="H24230" t="s">
        <v>27355</v>
      </c>
    </row>
    <row r="24231" spans="1:8">
      <c r="H24231" t="s">
        <v>18888</v>
      </c>
    </row>
    <row r="24232" spans="1:8">
      <c r="H24232" t="s">
        <v>18877</v>
      </c>
    </row>
    <row r="24233" spans="1:8">
      <c r="H24233" t="s">
        <v>27270</v>
      </c>
    </row>
    <row r="24234" spans="1:8">
      <c r="H24234" t="s">
        <v>18878</v>
      </c>
    </row>
    <row r="24235" spans="1:8">
      <c r="H24235" t="s">
        <v>27356</v>
      </c>
    </row>
    <row r="24236" spans="1:8">
      <c r="H24236" t="s">
        <v>19163</v>
      </c>
    </row>
    <row r="24237" spans="1:8">
      <c r="H24237" t="s">
        <v>27357</v>
      </c>
    </row>
    <row r="24238" spans="1:8">
      <c r="H24238" t="s">
        <v>26183</v>
      </c>
    </row>
    <row r="24239" spans="1:8">
      <c r="A24239" t="s">
        <v>1233</v>
      </c>
      <c r="B24239">
        <f>HYPERLINK("https://android.googlesource.com/platform/cts/+/5129ad2e8340004b04bf5d49ceb73f4a5803531f", "5129ad2e8340004b04bf5d49ceb73f4a5803531f")</f>
        <v>0</v>
      </c>
      <c r="C24239">
        <f>HYPERLINK("https://android.googlesource.com/platform/cts/+/1debc5ae7441f649b5b0f89bfc7353b75e285455", "1debc5ae7441f649b5b0f89bfc7353b75e285455")</f>
        <v>0</v>
      </c>
      <c r="D24239" t="s">
        <v>5143</v>
      </c>
      <c r="E24239" t="s">
        <v>7007</v>
      </c>
      <c r="F24239" t="s">
        <v>10658</v>
      </c>
      <c r="G24239" t="s">
        <v>15059</v>
      </c>
      <c r="H24239" t="s">
        <v>27358</v>
      </c>
    </row>
    <row r="24240" spans="1:8">
      <c r="H24240" t="s">
        <v>18829</v>
      </c>
    </row>
    <row r="24241" spans="6:8">
      <c r="F24241" t="s">
        <v>12984</v>
      </c>
      <c r="G24241" t="s">
        <v>17148</v>
      </c>
      <c r="H24241" t="s">
        <v>27359</v>
      </c>
    </row>
    <row r="24242" spans="6:8">
      <c r="H24242" t="s">
        <v>18829</v>
      </c>
    </row>
    <row r="24243" spans="6:8">
      <c r="H24243" t="s">
        <v>27360</v>
      </c>
    </row>
    <row r="24244" spans="6:8">
      <c r="H24244" t="s">
        <v>27361</v>
      </c>
    </row>
    <row r="24245" spans="6:8">
      <c r="H24245" t="s">
        <v>27362</v>
      </c>
    </row>
    <row r="24246" spans="6:8">
      <c r="H24246" t="s">
        <v>27363</v>
      </c>
    </row>
    <row r="24247" spans="6:8">
      <c r="F24247" t="s">
        <v>12985</v>
      </c>
      <c r="G24247" t="s">
        <v>17149</v>
      </c>
      <c r="H24247" t="s">
        <v>27364</v>
      </c>
    </row>
    <row r="24248" spans="6:8">
      <c r="H24248" t="s">
        <v>18829</v>
      </c>
    </row>
    <row r="24249" spans="6:8">
      <c r="F24249" t="s">
        <v>12986</v>
      </c>
      <c r="G24249" t="s">
        <v>17150</v>
      </c>
      <c r="H24249" t="s">
        <v>27365</v>
      </c>
    </row>
    <row r="24250" spans="6:8">
      <c r="H24250" t="s">
        <v>18829</v>
      </c>
    </row>
    <row r="24251" spans="6:8">
      <c r="F24251" t="s">
        <v>12987</v>
      </c>
      <c r="G24251" t="s">
        <v>17151</v>
      </c>
      <c r="H24251" t="s">
        <v>27366</v>
      </c>
    </row>
    <row r="24252" spans="6:8">
      <c r="H24252" t="s">
        <v>18829</v>
      </c>
    </row>
    <row r="24253" spans="6:8">
      <c r="F24253" t="s">
        <v>10761</v>
      </c>
      <c r="G24253" t="s">
        <v>15159</v>
      </c>
      <c r="H24253" t="s">
        <v>27367</v>
      </c>
    </row>
    <row r="24254" spans="6:8">
      <c r="H24254" t="s">
        <v>27368</v>
      </c>
    </row>
    <row r="24255" spans="6:8">
      <c r="H24255" t="s">
        <v>27369</v>
      </c>
    </row>
    <row r="24256" spans="6:8">
      <c r="H24256" t="s">
        <v>18829</v>
      </c>
    </row>
    <row r="24257" spans="1:8">
      <c r="H24257" t="s">
        <v>27370</v>
      </c>
    </row>
    <row r="24258" spans="1:8">
      <c r="A24258" t="s">
        <v>1234</v>
      </c>
      <c r="B24258">
        <f>HYPERLINK("https://android.googlesource.com/platform/cts/+/46fe04bdbe926961c24d7a7919ba2eec2fd28f60", "46fe04bdbe926961c24d7a7919ba2eec2fd28f60")</f>
        <v>0</v>
      </c>
      <c r="C24258">
        <f>HYPERLINK("https://android.googlesource.com/platform/cts/+/816b5243faf117ef5a18ae7c923341d8a50348f6", "816b5243faf117ef5a18ae7c923341d8a50348f6")</f>
        <v>0</v>
      </c>
      <c r="D24258" t="s">
        <v>5170</v>
      </c>
      <c r="E24258" t="s">
        <v>7008</v>
      </c>
      <c r="F24258" t="s">
        <v>11443</v>
      </c>
      <c r="G24258" t="s">
        <v>15683</v>
      </c>
      <c r="H24258" t="s">
        <v>27371</v>
      </c>
    </row>
    <row r="24259" spans="1:8">
      <c r="A24259" t="s">
        <v>1235</v>
      </c>
      <c r="B24259">
        <f>HYPERLINK("https://android.googlesource.com/platform/cts/+/81cdbecce93d53fbdbc89e4f6f16721d0e9e79d3", "81cdbecce93d53fbdbc89e4f6f16721d0e9e79d3")</f>
        <v>0</v>
      </c>
      <c r="C24259">
        <f>HYPERLINK("https://android.googlesource.com/platform/cts/+/838417eb912600a0177b910449400c08288b34eb", "838417eb912600a0177b910449400c08288b34eb")</f>
        <v>0</v>
      </c>
      <c r="D24259" t="s">
        <v>5143</v>
      </c>
      <c r="E24259" t="s">
        <v>7009</v>
      </c>
      <c r="F24259" t="s">
        <v>12988</v>
      </c>
      <c r="G24259" t="s">
        <v>17152</v>
      </c>
      <c r="H24259" t="s">
        <v>27372</v>
      </c>
    </row>
    <row r="24260" spans="1:8">
      <c r="H24260" t="s">
        <v>18829</v>
      </c>
    </row>
    <row r="24261" spans="1:8">
      <c r="F24261" t="s">
        <v>12989</v>
      </c>
      <c r="G24261" t="s">
        <v>17153</v>
      </c>
      <c r="H24261" t="s">
        <v>27373</v>
      </c>
    </row>
    <row r="24262" spans="1:8">
      <c r="H24262" t="s">
        <v>18829</v>
      </c>
    </row>
    <row r="24263" spans="1:8">
      <c r="H24263" t="s">
        <v>27374</v>
      </c>
    </row>
    <row r="24264" spans="1:8">
      <c r="F24264" t="s">
        <v>12990</v>
      </c>
      <c r="G24264" t="s">
        <v>17154</v>
      </c>
      <c r="H24264" t="s">
        <v>18829</v>
      </c>
    </row>
    <row r="24265" spans="1:8">
      <c r="F24265" t="s">
        <v>12914</v>
      </c>
      <c r="G24265" t="s">
        <v>17079</v>
      </c>
      <c r="H24265" t="s">
        <v>27375</v>
      </c>
    </row>
    <row r="24266" spans="1:8">
      <c r="H24266" t="s">
        <v>18829</v>
      </c>
    </row>
    <row r="24267" spans="1:8">
      <c r="H24267" t="s">
        <v>18876</v>
      </c>
    </row>
    <row r="24268" spans="1:8">
      <c r="H24268" t="s">
        <v>27376</v>
      </c>
    </row>
    <row r="24269" spans="1:8">
      <c r="F24269" t="s">
        <v>10654</v>
      </c>
      <c r="G24269" t="s">
        <v>15055</v>
      </c>
      <c r="H24269" t="s">
        <v>18829</v>
      </c>
    </row>
    <row r="24270" spans="1:8">
      <c r="H24270" t="s">
        <v>26266</v>
      </c>
    </row>
    <row r="24271" spans="1:8">
      <c r="H24271" t="s">
        <v>18876</v>
      </c>
    </row>
    <row r="24272" spans="1:8">
      <c r="A24272" t="s">
        <v>1236</v>
      </c>
      <c r="B24272">
        <f>HYPERLINK("https://android.googlesource.com/platform/cts/+/e6ded0fa8cca4fc81feb23a50113848afe430698", "e6ded0fa8cca4fc81feb23a50113848afe430698")</f>
        <v>0</v>
      </c>
      <c r="C24272">
        <f>HYPERLINK("https://android.googlesource.com/platform/cts/+/3763966148d1d014b62a1bd27a68021c5ca17240", "3763966148d1d014b62a1bd27a68021c5ca17240")</f>
        <v>0</v>
      </c>
      <c r="D24272" t="s">
        <v>5143</v>
      </c>
      <c r="E24272" t="s">
        <v>7010</v>
      </c>
      <c r="F24272" t="s">
        <v>12991</v>
      </c>
      <c r="G24272" t="s">
        <v>17155</v>
      </c>
      <c r="H24272" t="s">
        <v>27377</v>
      </c>
    </row>
    <row r="24273" spans="6:8">
      <c r="H24273" t="s">
        <v>18829</v>
      </c>
    </row>
    <row r="24274" spans="6:8">
      <c r="H24274" t="s">
        <v>27378</v>
      </c>
    </row>
    <row r="24275" spans="6:8">
      <c r="H24275" t="s">
        <v>27379</v>
      </c>
    </row>
    <row r="24276" spans="6:8">
      <c r="F24276" t="s">
        <v>12992</v>
      </c>
      <c r="G24276" t="s">
        <v>17156</v>
      </c>
      <c r="H24276" t="s">
        <v>18903</v>
      </c>
    </row>
    <row r="24277" spans="6:8">
      <c r="F24277" t="s">
        <v>10758</v>
      </c>
      <c r="G24277" t="s">
        <v>15156</v>
      </c>
      <c r="H24277" t="s">
        <v>27380</v>
      </c>
    </row>
    <row r="24278" spans="6:8">
      <c r="H24278" t="s">
        <v>27381</v>
      </c>
    </row>
    <row r="24279" spans="6:8">
      <c r="H24279" t="s">
        <v>27382</v>
      </c>
    </row>
    <row r="24280" spans="6:8">
      <c r="H24280" t="s">
        <v>27383</v>
      </c>
    </row>
    <row r="24281" spans="6:8">
      <c r="H24281" t="s">
        <v>27384</v>
      </c>
    </row>
    <row r="24282" spans="6:8">
      <c r="H24282" t="s">
        <v>27385</v>
      </c>
    </row>
    <row r="24283" spans="6:8">
      <c r="H24283" t="s">
        <v>27386</v>
      </c>
    </row>
    <row r="24284" spans="6:8">
      <c r="H24284" t="s">
        <v>27387</v>
      </c>
    </row>
    <row r="24285" spans="6:8">
      <c r="H24285" t="s">
        <v>27388</v>
      </c>
    </row>
    <row r="24286" spans="6:8">
      <c r="H24286" t="s">
        <v>27389</v>
      </c>
    </row>
    <row r="24287" spans="6:8">
      <c r="H24287" t="s">
        <v>27390</v>
      </c>
    </row>
    <row r="24288" spans="6:8">
      <c r="H24288" t="s">
        <v>27391</v>
      </c>
    </row>
    <row r="24289" spans="6:8">
      <c r="H24289" t="s">
        <v>27392</v>
      </c>
    </row>
    <row r="24290" spans="6:8">
      <c r="H24290" t="s">
        <v>27393</v>
      </c>
    </row>
    <row r="24291" spans="6:8">
      <c r="H24291" t="s">
        <v>27394</v>
      </c>
    </row>
    <row r="24292" spans="6:8">
      <c r="H24292" t="s">
        <v>27395</v>
      </c>
    </row>
    <row r="24293" spans="6:8">
      <c r="H24293" t="s">
        <v>27396</v>
      </c>
    </row>
    <row r="24294" spans="6:8">
      <c r="H24294" t="s">
        <v>27397</v>
      </c>
    </row>
    <row r="24295" spans="6:8">
      <c r="H24295" t="s">
        <v>27398</v>
      </c>
    </row>
    <row r="24296" spans="6:8">
      <c r="H24296" t="s">
        <v>27399</v>
      </c>
    </row>
    <row r="24297" spans="6:8">
      <c r="H24297" t="s">
        <v>27400</v>
      </c>
    </row>
    <row r="24298" spans="6:8">
      <c r="H24298" t="s">
        <v>27401</v>
      </c>
    </row>
    <row r="24299" spans="6:8">
      <c r="H24299" t="s">
        <v>27402</v>
      </c>
    </row>
    <row r="24300" spans="6:8">
      <c r="H24300" t="s">
        <v>27403</v>
      </c>
    </row>
    <row r="24301" spans="6:8">
      <c r="H24301" t="s">
        <v>22686</v>
      </c>
    </row>
    <row r="24302" spans="6:8">
      <c r="H24302" t="s">
        <v>27404</v>
      </c>
    </row>
    <row r="24303" spans="6:8">
      <c r="F24303" t="s">
        <v>12993</v>
      </c>
      <c r="G24303" t="s">
        <v>17157</v>
      </c>
      <c r="H24303" t="s">
        <v>27405</v>
      </c>
    </row>
    <row r="24304" spans="6:8">
      <c r="H24304" t="s">
        <v>27406</v>
      </c>
    </row>
    <row r="24305" spans="1:8">
      <c r="F24305" t="s">
        <v>12179</v>
      </c>
      <c r="G24305" t="s">
        <v>16418</v>
      </c>
      <c r="H24305" t="s">
        <v>18829</v>
      </c>
    </row>
    <row r="24306" spans="1:8">
      <c r="H24306" t="s">
        <v>18903</v>
      </c>
    </row>
    <row r="24307" spans="1:8">
      <c r="F24307" t="s">
        <v>12994</v>
      </c>
      <c r="G24307" t="s">
        <v>17158</v>
      </c>
      <c r="H24307" t="s">
        <v>27407</v>
      </c>
    </row>
    <row r="24308" spans="1:8">
      <c r="H24308" t="s">
        <v>18829</v>
      </c>
    </row>
    <row r="24309" spans="1:8">
      <c r="H24309" t="s">
        <v>18863</v>
      </c>
    </row>
    <row r="24310" spans="1:8">
      <c r="A24310" t="s">
        <v>1237</v>
      </c>
      <c r="B24310">
        <f>HYPERLINK("https://android.googlesource.com/platform/cts/+/ea0e21920e0672078c7a12ced0c9d49785c7f1e4", "ea0e21920e0672078c7a12ced0c9d49785c7f1e4")</f>
        <v>0</v>
      </c>
      <c r="C24310">
        <f>HYPERLINK("https://android.googlesource.com/platform/cts/+/12c8f4a04d4676c71caa6a72d04e024b17ea6005", "12c8f4a04d4676c71caa6a72d04e024b17ea6005")</f>
        <v>0</v>
      </c>
      <c r="D24310" t="s">
        <v>5143</v>
      </c>
      <c r="E24310" t="s">
        <v>7011</v>
      </c>
      <c r="F24310" t="s">
        <v>12995</v>
      </c>
      <c r="G24310" t="s">
        <v>17159</v>
      </c>
      <c r="H24310" t="s">
        <v>27408</v>
      </c>
    </row>
    <row r="24311" spans="1:8">
      <c r="H24311" t="s">
        <v>18829</v>
      </c>
    </row>
    <row r="24312" spans="1:8">
      <c r="F24312" t="s">
        <v>12996</v>
      </c>
      <c r="G24312" t="s">
        <v>17160</v>
      </c>
      <c r="H24312" t="s">
        <v>18829</v>
      </c>
    </row>
    <row r="24313" spans="1:8">
      <c r="A24313" t="s">
        <v>1238</v>
      </c>
      <c r="B24313">
        <f>HYPERLINK("https://android.googlesource.com/platform/cts/+/d3fdf015276a074c96d71cf5255f756b761cd7bb", "d3fdf015276a074c96d71cf5255f756b761cd7bb")</f>
        <v>0</v>
      </c>
      <c r="C24313">
        <f>HYPERLINK("https://android.googlesource.com/platform/cts/+/86af933a388ec4591f879449cb7758b356d951e1", "86af933a388ec4591f879449cb7758b356d951e1")</f>
        <v>0</v>
      </c>
      <c r="D24313" t="s">
        <v>5143</v>
      </c>
      <c r="E24313" t="s">
        <v>7012</v>
      </c>
      <c r="F24313" t="s">
        <v>12997</v>
      </c>
      <c r="G24313" t="s">
        <v>17161</v>
      </c>
      <c r="H24313" t="s">
        <v>27409</v>
      </c>
    </row>
    <row r="24314" spans="1:8">
      <c r="H24314" t="s">
        <v>18829</v>
      </c>
    </row>
    <row r="24315" spans="1:8">
      <c r="F24315" t="s">
        <v>12998</v>
      </c>
      <c r="G24315" t="s">
        <v>17162</v>
      </c>
      <c r="H24315" t="s">
        <v>27410</v>
      </c>
    </row>
    <row r="24316" spans="1:8">
      <c r="H24316" t="s">
        <v>18829</v>
      </c>
    </row>
    <row r="24317" spans="1:8">
      <c r="F24317" t="s">
        <v>12999</v>
      </c>
      <c r="G24317" t="s">
        <v>17163</v>
      </c>
      <c r="H24317" t="s">
        <v>27411</v>
      </c>
    </row>
    <row r="24318" spans="1:8">
      <c r="H24318" t="s">
        <v>18829</v>
      </c>
    </row>
    <row r="24319" spans="1:8">
      <c r="F24319" t="s">
        <v>13000</v>
      </c>
      <c r="G24319" t="s">
        <v>17164</v>
      </c>
      <c r="H24319" t="s">
        <v>27412</v>
      </c>
    </row>
    <row r="24320" spans="1:8">
      <c r="H24320" t="s">
        <v>18829</v>
      </c>
    </row>
    <row r="24321" spans="6:8">
      <c r="F24321" t="s">
        <v>13001</v>
      </c>
      <c r="G24321" t="s">
        <v>17165</v>
      </c>
      <c r="H24321" t="s">
        <v>27413</v>
      </c>
    </row>
    <row r="24322" spans="6:8">
      <c r="H24322" t="s">
        <v>18829</v>
      </c>
    </row>
    <row r="24323" spans="6:8">
      <c r="F24323" t="s">
        <v>13002</v>
      </c>
      <c r="G24323" t="s">
        <v>17166</v>
      </c>
      <c r="H24323" t="s">
        <v>27414</v>
      </c>
    </row>
    <row r="24324" spans="6:8">
      <c r="H24324" t="s">
        <v>27415</v>
      </c>
    </row>
    <row r="24325" spans="6:8">
      <c r="F24325" t="s">
        <v>13003</v>
      </c>
      <c r="G24325" t="s">
        <v>17167</v>
      </c>
      <c r="H24325" t="s">
        <v>27416</v>
      </c>
    </row>
    <row r="24326" spans="6:8">
      <c r="H24326" t="s">
        <v>18829</v>
      </c>
    </row>
    <row r="24327" spans="6:8">
      <c r="H24327" t="s">
        <v>27417</v>
      </c>
    </row>
    <row r="24328" spans="6:8">
      <c r="F24328" t="s">
        <v>13004</v>
      </c>
      <c r="G24328" t="s">
        <v>17168</v>
      </c>
      <c r="H24328" t="s">
        <v>27418</v>
      </c>
    </row>
    <row r="24329" spans="6:8">
      <c r="H24329" t="s">
        <v>18829</v>
      </c>
    </row>
    <row r="24330" spans="6:8">
      <c r="F24330" t="s">
        <v>13005</v>
      </c>
      <c r="G24330" t="s">
        <v>17169</v>
      </c>
      <c r="H24330" t="s">
        <v>27419</v>
      </c>
    </row>
    <row r="24331" spans="6:8">
      <c r="H24331" t="s">
        <v>18829</v>
      </c>
    </row>
    <row r="24332" spans="6:8">
      <c r="F24332" t="s">
        <v>13006</v>
      </c>
      <c r="G24332" t="s">
        <v>17170</v>
      </c>
      <c r="H24332" t="s">
        <v>27420</v>
      </c>
    </row>
    <row r="24333" spans="6:8">
      <c r="H24333" t="s">
        <v>18829</v>
      </c>
    </row>
    <row r="24334" spans="6:8">
      <c r="F24334" t="s">
        <v>13007</v>
      </c>
      <c r="G24334" t="s">
        <v>17171</v>
      </c>
      <c r="H24334" t="s">
        <v>27421</v>
      </c>
    </row>
    <row r="24335" spans="6:8">
      <c r="H24335" t="s">
        <v>18829</v>
      </c>
    </row>
    <row r="24336" spans="6:8">
      <c r="F24336" t="s">
        <v>13008</v>
      </c>
      <c r="G24336" t="s">
        <v>17172</v>
      </c>
      <c r="H24336" t="s">
        <v>27422</v>
      </c>
    </row>
    <row r="24337" spans="1:8">
      <c r="H24337" t="s">
        <v>18829</v>
      </c>
    </row>
    <row r="24338" spans="1:8">
      <c r="F24338" t="s">
        <v>13009</v>
      </c>
      <c r="G24338" t="s">
        <v>17173</v>
      </c>
      <c r="H24338" t="s">
        <v>27423</v>
      </c>
    </row>
    <row r="24339" spans="1:8">
      <c r="H24339" t="s">
        <v>18829</v>
      </c>
    </row>
    <row r="24340" spans="1:8">
      <c r="F24340" t="s">
        <v>13010</v>
      </c>
      <c r="G24340" t="s">
        <v>17174</v>
      </c>
      <c r="H24340" t="s">
        <v>27424</v>
      </c>
    </row>
    <row r="24341" spans="1:8">
      <c r="H24341" t="s">
        <v>18829</v>
      </c>
    </row>
    <row r="24342" spans="1:8">
      <c r="F24342" t="s">
        <v>13011</v>
      </c>
      <c r="G24342" t="s">
        <v>17175</v>
      </c>
      <c r="H24342" t="s">
        <v>27425</v>
      </c>
    </row>
    <row r="24343" spans="1:8">
      <c r="H24343" t="s">
        <v>18829</v>
      </c>
    </row>
    <row r="24344" spans="1:8">
      <c r="A24344" t="s">
        <v>1239</v>
      </c>
      <c r="B24344">
        <f>HYPERLINK("https://android.googlesource.com/platform/cts/+/71762feb5610142e29ee6266ce4edf7bcdbb8aee", "71762feb5610142e29ee6266ce4edf7bcdbb8aee")</f>
        <v>0</v>
      </c>
      <c r="C24344">
        <f>HYPERLINK("https://android.googlesource.com/platform/cts/+/86af933a388ec4591f879449cb7758b356d951e1", "86af933a388ec4591f879449cb7758b356d951e1")</f>
        <v>0</v>
      </c>
      <c r="D24344" t="s">
        <v>5143</v>
      </c>
      <c r="E24344" t="s">
        <v>7013</v>
      </c>
      <c r="F24344" t="s">
        <v>13012</v>
      </c>
      <c r="G24344" t="s">
        <v>17176</v>
      </c>
      <c r="H24344" t="s">
        <v>27426</v>
      </c>
    </row>
    <row r="24345" spans="1:8">
      <c r="H24345" t="s">
        <v>27427</v>
      </c>
    </row>
    <row r="24346" spans="1:8">
      <c r="H24346" t="s">
        <v>27428</v>
      </c>
    </row>
    <row r="24347" spans="1:8">
      <c r="F24347" t="s">
        <v>11183</v>
      </c>
      <c r="G24347" t="s">
        <v>15572</v>
      </c>
      <c r="H24347" t="s">
        <v>18829</v>
      </c>
    </row>
    <row r="24348" spans="1:8">
      <c r="H24348" t="s">
        <v>27429</v>
      </c>
    </row>
    <row r="24349" spans="1:8">
      <c r="H24349" t="s">
        <v>27430</v>
      </c>
    </row>
    <row r="24350" spans="1:8">
      <c r="H24350" t="s">
        <v>27431</v>
      </c>
    </row>
    <row r="24351" spans="1:8">
      <c r="H24351" t="s">
        <v>27432</v>
      </c>
    </row>
    <row r="24352" spans="1:8">
      <c r="H24352" t="s">
        <v>27433</v>
      </c>
    </row>
    <row r="24353" spans="1:8">
      <c r="H24353" t="s">
        <v>18893</v>
      </c>
    </row>
    <row r="24354" spans="1:8">
      <c r="H24354" t="s">
        <v>27434</v>
      </c>
    </row>
    <row r="24355" spans="1:8">
      <c r="H24355" t="s">
        <v>27435</v>
      </c>
    </row>
    <row r="24356" spans="1:8">
      <c r="H24356" t="s">
        <v>18893</v>
      </c>
    </row>
    <row r="24357" spans="1:8">
      <c r="H24357" t="s">
        <v>27436</v>
      </c>
    </row>
    <row r="24358" spans="1:8">
      <c r="H24358" t="s">
        <v>27437</v>
      </c>
    </row>
    <row r="24359" spans="1:8">
      <c r="H24359" t="s">
        <v>18893</v>
      </c>
    </row>
    <row r="24360" spans="1:8">
      <c r="H24360" t="s">
        <v>27438</v>
      </c>
    </row>
    <row r="24361" spans="1:8">
      <c r="H24361" t="s">
        <v>27439</v>
      </c>
    </row>
    <row r="24362" spans="1:8">
      <c r="H24362" t="s">
        <v>27440</v>
      </c>
    </row>
    <row r="24363" spans="1:8">
      <c r="H24363" t="s">
        <v>27441</v>
      </c>
    </row>
    <row r="24364" spans="1:8">
      <c r="H24364" t="s">
        <v>18893</v>
      </c>
    </row>
    <row r="24365" spans="1:8">
      <c r="F24365" t="s">
        <v>12941</v>
      </c>
      <c r="G24365" t="s">
        <v>16863</v>
      </c>
      <c r="H24365" t="s">
        <v>27442</v>
      </c>
    </row>
    <row r="24366" spans="1:8">
      <c r="A24366" t="s">
        <v>1240</v>
      </c>
      <c r="B24366">
        <f>HYPERLINK("https://android.googlesource.com/platform/cts/+/d3fe2916af45dd3f0ab3b404bcb6ecc6453efe4e", "d3fe2916af45dd3f0ab3b404bcb6ecc6453efe4e")</f>
        <v>0</v>
      </c>
      <c r="C24366">
        <f>HYPERLINK("https://android.googlesource.com/platform/cts/+/1dc269dd661ed94e150625f19acd7fec3ed82d33", "1dc269dd661ed94e150625f19acd7fec3ed82d33")</f>
        <v>0</v>
      </c>
      <c r="D24366" t="s">
        <v>5143</v>
      </c>
      <c r="E24366" t="s">
        <v>7014</v>
      </c>
      <c r="F24366" t="s">
        <v>13013</v>
      </c>
      <c r="G24366" t="s">
        <v>17177</v>
      </c>
      <c r="H24366" t="s">
        <v>27443</v>
      </c>
    </row>
    <row r="24367" spans="1:8">
      <c r="H24367" t="s">
        <v>26986</v>
      </c>
    </row>
    <row r="24368" spans="1:8">
      <c r="H24368" t="s">
        <v>26984</v>
      </c>
    </row>
    <row r="24369" spans="1:8">
      <c r="H24369" t="s">
        <v>26987</v>
      </c>
    </row>
    <row r="24370" spans="1:8">
      <c r="H24370" t="s">
        <v>26985</v>
      </c>
    </row>
    <row r="24371" spans="1:8">
      <c r="H24371" t="s">
        <v>27444</v>
      </c>
    </row>
    <row r="24372" spans="1:8">
      <c r="A24372" t="s">
        <v>1241</v>
      </c>
      <c r="B24372">
        <f>HYPERLINK("https://android.googlesource.com/platform/cts/+/301504c388a5c0f37bfc4e2328e15ba5aae69389", "301504c388a5c0f37bfc4e2328e15ba5aae69389")</f>
        <v>0</v>
      </c>
      <c r="C24372">
        <f>HYPERLINK("https://android.googlesource.com/platform/cts/+/1dc269dd661ed94e150625f19acd7fec3ed82d33", "1dc269dd661ed94e150625f19acd7fec3ed82d33")</f>
        <v>0</v>
      </c>
      <c r="D24372" t="s">
        <v>5143</v>
      </c>
      <c r="E24372" t="s">
        <v>7015</v>
      </c>
      <c r="F24372" t="s">
        <v>13014</v>
      </c>
      <c r="G24372" t="s">
        <v>17178</v>
      </c>
      <c r="H24372" t="s">
        <v>27445</v>
      </c>
    </row>
    <row r="24373" spans="1:8">
      <c r="H24373" t="s">
        <v>18829</v>
      </c>
    </row>
    <row r="24374" spans="1:8">
      <c r="F24374" t="s">
        <v>13015</v>
      </c>
      <c r="G24374" t="s">
        <v>17179</v>
      </c>
      <c r="H24374" t="s">
        <v>21510</v>
      </c>
    </row>
    <row r="24375" spans="1:8">
      <c r="F24375" t="s">
        <v>13016</v>
      </c>
      <c r="G24375" t="s">
        <v>17180</v>
      </c>
      <c r="H24375" t="s">
        <v>27446</v>
      </c>
    </row>
    <row r="24376" spans="1:8">
      <c r="H24376" t="s">
        <v>18829</v>
      </c>
    </row>
    <row r="24377" spans="1:8">
      <c r="A24377" t="s">
        <v>1242</v>
      </c>
      <c r="B24377">
        <f>HYPERLINK("https://android.googlesource.com/platform/cts/+/437a0d948cf623dcc632e0f9df04e06e56d8e383", "437a0d948cf623dcc632e0f9df04e06e56d8e383")</f>
        <v>0</v>
      </c>
      <c r="C24377">
        <f>HYPERLINK("https://android.googlesource.com/platform/cts/+/1dc269dd661ed94e150625f19acd7fec3ed82d33", "1dc269dd661ed94e150625f19acd7fec3ed82d33")</f>
        <v>0</v>
      </c>
      <c r="D24377" t="s">
        <v>5143</v>
      </c>
      <c r="E24377" t="s">
        <v>7016</v>
      </c>
      <c r="F24377" t="s">
        <v>13017</v>
      </c>
      <c r="G24377" t="s">
        <v>17181</v>
      </c>
      <c r="H24377" t="s">
        <v>27447</v>
      </c>
    </row>
    <row r="24378" spans="1:8">
      <c r="H24378" t="s">
        <v>27448</v>
      </c>
    </row>
    <row r="24379" spans="1:8">
      <c r="H24379" t="s">
        <v>18829</v>
      </c>
    </row>
    <row r="24380" spans="1:8">
      <c r="H24380" t="s">
        <v>27449</v>
      </c>
    </row>
    <row r="24381" spans="1:8">
      <c r="H24381" t="s">
        <v>27450</v>
      </c>
    </row>
    <row r="24382" spans="1:8">
      <c r="H24382" t="s">
        <v>27451</v>
      </c>
    </row>
    <row r="24383" spans="1:8">
      <c r="F24383" t="s">
        <v>13018</v>
      </c>
      <c r="G24383" t="s">
        <v>17182</v>
      </c>
      <c r="H24383" t="s">
        <v>27452</v>
      </c>
    </row>
    <row r="24384" spans="1:8">
      <c r="H24384" t="s">
        <v>18829</v>
      </c>
    </row>
    <row r="24385" spans="1:8">
      <c r="H24385" t="s">
        <v>27453</v>
      </c>
    </row>
    <row r="24386" spans="1:8">
      <c r="H24386" t="s">
        <v>27454</v>
      </c>
    </row>
    <row r="24387" spans="1:8">
      <c r="H24387" t="s">
        <v>27455</v>
      </c>
    </row>
    <row r="24388" spans="1:8">
      <c r="F24388" t="s">
        <v>10756</v>
      </c>
      <c r="G24388" t="s">
        <v>15154</v>
      </c>
      <c r="H24388" t="s">
        <v>27456</v>
      </c>
    </row>
    <row r="24389" spans="1:8">
      <c r="H24389" t="s">
        <v>18829</v>
      </c>
    </row>
    <row r="24390" spans="1:8">
      <c r="H24390" t="s">
        <v>27457</v>
      </c>
    </row>
    <row r="24391" spans="1:8">
      <c r="H24391" t="s">
        <v>27458</v>
      </c>
    </row>
    <row r="24392" spans="1:8">
      <c r="F24392" t="s">
        <v>11453</v>
      </c>
      <c r="G24392" t="s">
        <v>15693</v>
      </c>
      <c r="H24392" t="s">
        <v>18829</v>
      </c>
    </row>
    <row r="24393" spans="1:8">
      <c r="H24393" t="s">
        <v>18863</v>
      </c>
    </row>
    <row r="24394" spans="1:8">
      <c r="A24394" t="s">
        <v>1243</v>
      </c>
      <c r="B24394">
        <f>HYPERLINK("https://android.googlesource.com/platform/cts/+/480a3a50174befdcf57de666587a8e1b4267d7f3", "480a3a50174befdcf57de666587a8e1b4267d7f3")</f>
        <v>0</v>
      </c>
      <c r="C24394">
        <f>HYPERLINK("https://android.googlesource.com/platform/cts/+/9dfbc395958780704bd8f65e7bd8cdc635033d04", "9dfbc395958780704bd8f65e7bd8cdc635033d04")</f>
        <v>0</v>
      </c>
      <c r="D24394" t="s">
        <v>5079</v>
      </c>
      <c r="E24394" t="s">
        <v>7017</v>
      </c>
      <c r="F24394" t="s">
        <v>13019</v>
      </c>
      <c r="G24394" t="s">
        <v>17183</v>
      </c>
      <c r="H24394" t="s">
        <v>27459</v>
      </c>
    </row>
    <row r="24395" spans="1:8">
      <c r="A24395" t="s">
        <v>1244</v>
      </c>
      <c r="B24395">
        <f>HYPERLINK("https://android.googlesource.com/platform/cts/+/4d96e9a80e80397328edc921e92059a3185bc8c7", "4d96e9a80e80397328edc921e92059a3185bc8c7")</f>
        <v>0</v>
      </c>
      <c r="C24395">
        <f>HYPERLINK("https://android.googlesource.com/platform/cts/+/fda12d2da96b9422f48be13c72343b9a31783b1b", "fda12d2da96b9422f48be13c72343b9a31783b1b")</f>
        <v>0</v>
      </c>
      <c r="D24395" t="s">
        <v>5143</v>
      </c>
      <c r="E24395" t="s">
        <v>7018</v>
      </c>
      <c r="F24395" t="s">
        <v>13020</v>
      </c>
      <c r="G24395" t="s">
        <v>17184</v>
      </c>
      <c r="H24395" t="s">
        <v>27460</v>
      </c>
    </row>
    <row r="24396" spans="1:8">
      <c r="F24396" t="s">
        <v>13021</v>
      </c>
      <c r="G24396" t="s">
        <v>17185</v>
      </c>
      <c r="H24396" t="s">
        <v>27461</v>
      </c>
    </row>
    <row r="24397" spans="1:8">
      <c r="H24397" t="s">
        <v>18829</v>
      </c>
    </row>
    <row r="24398" spans="1:8">
      <c r="H24398" t="s">
        <v>27462</v>
      </c>
    </row>
    <row r="24399" spans="1:8">
      <c r="H24399" t="s">
        <v>27463</v>
      </c>
    </row>
    <row r="24400" spans="1:8">
      <c r="F24400" t="s">
        <v>13022</v>
      </c>
      <c r="G24400" t="s">
        <v>17186</v>
      </c>
      <c r="H24400" t="s">
        <v>27464</v>
      </c>
    </row>
    <row r="24401" spans="1:8">
      <c r="H24401" t="s">
        <v>18829</v>
      </c>
    </row>
    <row r="24402" spans="1:8">
      <c r="F24402" t="s">
        <v>11452</v>
      </c>
      <c r="G24402" t="s">
        <v>15692</v>
      </c>
      <c r="H24402" t="s">
        <v>27465</v>
      </c>
    </row>
    <row r="24403" spans="1:8">
      <c r="H24403" t="s">
        <v>18829</v>
      </c>
    </row>
    <row r="24404" spans="1:8">
      <c r="A24404" t="s">
        <v>1245</v>
      </c>
      <c r="B24404">
        <f>HYPERLINK("https://android.googlesource.com/platform/cts/+/2ff3e016655b94de327766b57d0db1e026db49e0", "2ff3e016655b94de327766b57d0db1e026db49e0")</f>
        <v>0</v>
      </c>
      <c r="C24404">
        <f>HYPERLINK("https://android.googlesource.com/platform/cts/+/86af933a388ec4591f879449cb7758b356d951e1", "86af933a388ec4591f879449cb7758b356d951e1")</f>
        <v>0</v>
      </c>
      <c r="D24404" t="s">
        <v>5180</v>
      </c>
      <c r="E24404" t="s">
        <v>7019</v>
      </c>
      <c r="F24404" t="s">
        <v>13023</v>
      </c>
      <c r="G24404" t="s">
        <v>17187</v>
      </c>
      <c r="H24404" t="s">
        <v>27466</v>
      </c>
    </row>
    <row r="24405" spans="1:8">
      <c r="A24405" t="s">
        <v>1246</v>
      </c>
      <c r="B24405">
        <f>HYPERLINK("https://android.googlesource.com/platform/cts/+/b7bd8e54530c8586dca663708bd6c236643ed44c", "b7bd8e54530c8586dca663708bd6c236643ed44c")</f>
        <v>0</v>
      </c>
      <c r="C24405">
        <f>HYPERLINK("https://android.googlesource.com/platform/cts/+/34d5bfc81470b14c8c8c862bd1ae14ed6c5804c4", "34d5bfc81470b14c8c8c862bd1ae14ed6c5804c4")</f>
        <v>0</v>
      </c>
      <c r="D24405" t="s">
        <v>5181</v>
      </c>
      <c r="E24405" t="s">
        <v>7020</v>
      </c>
      <c r="F24405" t="s">
        <v>13024</v>
      </c>
      <c r="G24405" t="s">
        <v>17188</v>
      </c>
      <c r="H24405" t="s">
        <v>27467</v>
      </c>
    </row>
    <row r="24406" spans="1:8">
      <c r="A24406" t="s">
        <v>1247</v>
      </c>
      <c r="B24406">
        <f>HYPERLINK("https://android.googlesource.com/platform/cts/+/e13e14add99479d0b24325d632d0b9ace62e3e0f", "e13e14add99479d0b24325d632d0b9ace62e3e0f")</f>
        <v>0</v>
      </c>
      <c r="C24406">
        <f>HYPERLINK("https://android.googlesource.com/platform/cts/+/f6fba7a67b60792b0032f0fc3a0053d5724ec5bd", "f6fba7a67b60792b0032f0fc3a0053d5724ec5bd")</f>
        <v>0</v>
      </c>
      <c r="D24406" t="s">
        <v>5143</v>
      </c>
      <c r="E24406" t="s">
        <v>7021</v>
      </c>
      <c r="F24406" t="s">
        <v>11444</v>
      </c>
      <c r="G24406" t="s">
        <v>15684</v>
      </c>
      <c r="H24406" t="s">
        <v>18829</v>
      </c>
    </row>
    <row r="24407" spans="1:8">
      <c r="H24407" t="s">
        <v>20379</v>
      </c>
    </row>
    <row r="24408" spans="1:8">
      <c r="F24408" t="s">
        <v>13025</v>
      </c>
      <c r="G24408" t="s">
        <v>17189</v>
      </c>
      <c r="H24408" t="s">
        <v>18829</v>
      </c>
    </row>
    <row r="24409" spans="1:8">
      <c r="H24409" t="s">
        <v>27468</v>
      </c>
    </row>
    <row r="24410" spans="1:8">
      <c r="H24410" t="s">
        <v>19043</v>
      </c>
    </row>
    <row r="24411" spans="1:8">
      <c r="F24411" t="s">
        <v>10667</v>
      </c>
      <c r="G24411" t="s">
        <v>15068</v>
      </c>
      <c r="H24411" t="s">
        <v>18829</v>
      </c>
    </row>
    <row r="24412" spans="1:8">
      <c r="H24412" t="s">
        <v>27469</v>
      </c>
    </row>
    <row r="24413" spans="1:8">
      <c r="H24413" t="s">
        <v>27470</v>
      </c>
    </row>
    <row r="24414" spans="1:8">
      <c r="H24414" t="s">
        <v>27471</v>
      </c>
    </row>
    <row r="24415" spans="1:8">
      <c r="H24415" t="s">
        <v>27472</v>
      </c>
    </row>
    <row r="24416" spans="1:8">
      <c r="H24416" t="s">
        <v>27473</v>
      </c>
    </row>
    <row r="24417" spans="1:8">
      <c r="H24417" t="s">
        <v>19132</v>
      </c>
    </row>
    <row r="24418" spans="1:8">
      <c r="H24418" t="s">
        <v>18893</v>
      </c>
    </row>
    <row r="24419" spans="1:8">
      <c r="H24419" t="s">
        <v>27474</v>
      </c>
    </row>
    <row r="24420" spans="1:8">
      <c r="H24420" t="s">
        <v>27475</v>
      </c>
    </row>
    <row r="24421" spans="1:8">
      <c r="H24421" t="s">
        <v>19689</v>
      </c>
    </row>
    <row r="24422" spans="1:8">
      <c r="H24422" t="s">
        <v>27476</v>
      </c>
    </row>
    <row r="24423" spans="1:8">
      <c r="F24423" t="s">
        <v>13026</v>
      </c>
      <c r="G24423" t="s">
        <v>17190</v>
      </c>
      <c r="H24423" t="s">
        <v>18829</v>
      </c>
    </row>
    <row r="24424" spans="1:8">
      <c r="H24424" t="s">
        <v>18863</v>
      </c>
    </row>
    <row r="24425" spans="1:8">
      <c r="F24425" t="s">
        <v>13027</v>
      </c>
      <c r="G24425" t="s">
        <v>17191</v>
      </c>
      <c r="H24425" t="s">
        <v>27477</v>
      </c>
    </row>
    <row r="24426" spans="1:8">
      <c r="H24426" t="s">
        <v>27478</v>
      </c>
    </row>
    <row r="24427" spans="1:8">
      <c r="H24427" t="s">
        <v>18829</v>
      </c>
    </row>
    <row r="24428" spans="1:8">
      <c r="H24428" t="s">
        <v>27479</v>
      </c>
    </row>
    <row r="24429" spans="1:8">
      <c r="A24429" t="s">
        <v>1248</v>
      </c>
      <c r="B24429">
        <f>HYPERLINK("https://android.googlesource.com/platform/cts/+/157cea9e79dc71f14a15f0a9f6d5722fa61fef04", "157cea9e79dc71f14a15f0a9f6d5722fa61fef04")</f>
        <v>0</v>
      </c>
      <c r="C24429">
        <f>HYPERLINK("https://android.googlesource.com/platform/cts/+/018093626cfaaadebd4fb1e8d17c0ec992961d48", "018093626cfaaadebd4fb1e8d17c0ec992961d48")</f>
        <v>0</v>
      </c>
      <c r="D24429" t="s">
        <v>5143</v>
      </c>
      <c r="E24429" t="s">
        <v>7022</v>
      </c>
      <c r="F24429" t="s">
        <v>13028</v>
      </c>
      <c r="G24429" t="s">
        <v>17192</v>
      </c>
      <c r="H24429" t="s">
        <v>27480</v>
      </c>
    </row>
    <row r="24430" spans="1:8">
      <c r="H24430" t="s">
        <v>27480</v>
      </c>
    </row>
    <row r="24431" spans="1:8">
      <c r="H24431" t="s">
        <v>27481</v>
      </c>
    </row>
    <row r="24432" spans="1:8">
      <c r="F24432" t="s">
        <v>11430</v>
      </c>
      <c r="G24432" t="s">
        <v>15670</v>
      </c>
      <c r="H24432" t="s">
        <v>18829</v>
      </c>
    </row>
    <row r="24433" spans="6:8">
      <c r="H24433" t="s">
        <v>27482</v>
      </c>
    </row>
    <row r="24434" spans="6:8">
      <c r="H24434" t="s">
        <v>18893</v>
      </c>
    </row>
    <row r="24435" spans="6:8">
      <c r="F24435" t="s">
        <v>13029</v>
      </c>
      <c r="G24435" t="s">
        <v>17193</v>
      </c>
      <c r="H24435" t="s">
        <v>27483</v>
      </c>
    </row>
    <row r="24436" spans="6:8">
      <c r="H24436" t="s">
        <v>18829</v>
      </c>
    </row>
    <row r="24437" spans="6:8">
      <c r="F24437" t="s">
        <v>13030</v>
      </c>
      <c r="G24437" t="s">
        <v>17194</v>
      </c>
      <c r="H24437" t="s">
        <v>18829</v>
      </c>
    </row>
    <row r="24438" spans="6:8">
      <c r="H24438" t="s">
        <v>27484</v>
      </c>
    </row>
    <row r="24439" spans="6:8">
      <c r="F24439" t="s">
        <v>13031</v>
      </c>
      <c r="G24439" t="s">
        <v>17195</v>
      </c>
      <c r="H24439" t="s">
        <v>18829</v>
      </c>
    </row>
    <row r="24440" spans="6:8">
      <c r="F24440" t="s">
        <v>11448</v>
      </c>
      <c r="G24440" t="s">
        <v>15688</v>
      </c>
      <c r="H24440" t="s">
        <v>18829</v>
      </c>
    </row>
    <row r="24441" spans="6:8">
      <c r="F24441" t="s">
        <v>13032</v>
      </c>
      <c r="G24441" t="s">
        <v>17196</v>
      </c>
      <c r="H24441" t="s">
        <v>27485</v>
      </c>
    </row>
    <row r="24442" spans="6:8">
      <c r="F24442" t="s">
        <v>13033</v>
      </c>
      <c r="G24442" t="s">
        <v>17197</v>
      </c>
      <c r="H24442" t="s">
        <v>27486</v>
      </c>
    </row>
    <row r="24443" spans="6:8">
      <c r="F24443" t="s">
        <v>13034</v>
      </c>
      <c r="G24443" t="s">
        <v>17198</v>
      </c>
      <c r="H24443" t="s">
        <v>27487</v>
      </c>
    </row>
    <row r="24444" spans="6:8">
      <c r="H24444" t="s">
        <v>18829</v>
      </c>
    </row>
    <row r="24445" spans="6:8">
      <c r="F24445" t="s">
        <v>13035</v>
      </c>
      <c r="G24445" t="s">
        <v>17199</v>
      </c>
      <c r="H24445" t="s">
        <v>18829</v>
      </c>
    </row>
    <row r="24446" spans="6:8">
      <c r="H24446" t="s">
        <v>18836</v>
      </c>
    </row>
    <row r="24447" spans="6:8">
      <c r="F24447" t="s">
        <v>13036</v>
      </c>
      <c r="G24447" t="s">
        <v>17200</v>
      </c>
      <c r="H24447" t="s">
        <v>27488</v>
      </c>
    </row>
    <row r="24448" spans="6:8">
      <c r="H24448" t="s">
        <v>18829</v>
      </c>
    </row>
    <row r="24449" spans="1:8">
      <c r="H24449" t="s">
        <v>27489</v>
      </c>
    </row>
    <row r="24450" spans="1:8">
      <c r="H24450" t="s">
        <v>27490</v>
      </c>
    </row>
    <row r="24451" spans="1:8">
      <c r="H24451" t="s">
        <v>27113</v>
      </c>
    </row>
    <row r="24452" spans="1:8">
      <c r="H24452" t="s">
        <v>18893</v>
      </c>
    </row>
    <row r="24453" spans="1:8">
      <c r="H24453" t="s">
        <v>26266</v>
      </c>
    </row>
    <row r="24454" spans="1:8">
      <c r="H24454" t="s">
        <v>27113</v>
      </c>
    </row>
    <row r="24455" spans="1:8">
      <c r="H24455" t="s">
        <v>18893</v>
      </c>
    </row>
    <row r="24456" spans="1:8">
      <c r="H24456" t="s">
        <v>26976</v>
      </c>
    </row>
    <row r="24457" spans="1:8">
      <c r="H24457" t="s">
        <v>27491</v>
      </c>
    </row>
    <row r="24458" spans="1:8">
      <c r="H24458" t="s">
        <v>19135</v>
      </c>
    </row>
    <row r="24459" spans="1:8">
      <c r="A24459" t="s">
        <v>1249</v>
      </c>
      <c r="B24459">
        <f>HYPERLINK("https://android.googlesource.com/platform/cts/+/dcf7a6566c079bcb03d9946ed0080a4a4f1100db", "dcf7a6566c079bcb03d9946ed0080a4a4f1100db")</f>
        <v>0</v>
      </c>
      <c r="C24459">
        <f>HYPERLINK("https://android.googlesource.com/platform/cts/+/af8d162c45b96676eeecc32c5448e0ed315a67b2", "af8d162c45b96676eeecc32c5448e0ed315a67b2")</f>
        <v>0</v>
      </c>
      <c r="D24459" t="s">
        <v>5143</v>
      </c>
      <c r="E24459" t="s">
        <v>7023</v>
      </c>
      <c r="F24459" t="s">
        <v>13037</v>
      </c>
      <c r="G24459" t="s">
        <v>17201</v>
      </c>
      <c r="H24459" t="s">
        <v>18829</v>
      </c>
    </row>
    <row r="24460" spans="1:8">
      <c r="F24460" t="s">
        <v>11433</v>
      </c>
      <c r="G24460" t="s">
        <v>15673</v>
      </c>
      <c r="H24460" t="s">
        <v>18829</v>
      </c>
    </row>
    <row r="24461" spans="1:8">
      <c r="H24461" t="s">
        <v>18896</v>
      </c>
    </row>
    <row r="24462" spans="1:8">
      <c r="H24462" t="s">
        <v>18927</v>
      </c>
    </row>
    <row r="24463" spans="1:8">
      <c r="H24463" t="s">
        <v>27492</v>
      </c>
    </row>
    <row r="24464" spans="1:8">
      <c r="F24464" t="s">
        <v>13038</v>
      </c>
      <c r="G24464" t="s">
        <v>17202</v>
      </c>
      <c r="H24464" t="s">
        <v>19663</v>
      </c>
    </row>
    <row r="24465" spans="6:8">
      <c r="H24465" t="s">
        <v>27493</v>
      </c>
    </row>
    <row r="24466" spans="6:8">
      <c r="H24466" t="s">
        <v>27494</v>
      </c>
    </row>
    <row r="24467" spans="6:8">
      <c r="H24467" t="s">
        <v>27495</v>
      </c>
    </row>
    <row r="24468" spans="6:8">
      <c r="H24468" t="s">
        <v>27496</v>
      </c>
    </row>
    <row r="24469" spans="6:8">
      <c r="H24469" t="s">
        <v>27497</v>
      </c>
    </row>
    <row r="24470" spans="6:8">
      <c r="H24470" t="s">
        <v>20420</v>
      </c>
    </row>
    <row r="24471" spans="6:8">
      <c r="H24471" t="s">
        <v>27498</v>
      </c>
    </row>
    <row r="24472" spans="6:8">
      <c r="H24472" t="s">
        <v>21191</v>
      </c>
    </row>
    <row r="24473" spans="6:8">
      <c r="H24473" t="s">
        <v>27499</v>
      </c>
    </row>
    <row r="24474" spans="6:8">
      <c r="H24474" t="s">
        <v>18829</v>
      </c>
    </row>
    <row r="24475" spans="6:8">
      <c r="F24475" t="s">
        <v>13039</v>
      </c>
      <c r="G24475" t="s">
        <v>17203</v>
      </c>
      <c r="H24475" t="s">
        <v>18829</v>
      </c>
    </row>
    <row r="24476" spans="6:8">
      <c r="H24476" t="s">
        <v>27500</v>
      </c>
    </row>
    <row r="24477" spans="6:8">
      <c r="H24477" t="s">
        <v>27501</v>
      </c>
    </row>
    <row r="24478" spans="6:8">
      <c r="H24478" t="s">
        <v>27502</v>
      </c>
    </row>
    <row r="24479" spans="6:8">
      <c r="H24479" t="s">
        <v>27503</v>
      </c>
    </row>
    <row r="24480" spans="6:8">
      <c r="H24480" t="s">
        <v>27504</v>
      </c>
    </row>
    <row r="24481" spans="1:8">
      <c r="H24481" t="s">
        <v>27504</v>
      </c>
    </row>
    <row r="24482" spans="1:8">
      <c r="H24482" t="s">
        <v>27505</v>
      </c>
    </row>
    <row r="24483" spans="1:8">
      <c r="H24483" t="s">
        <v>27506</v>
      </c>
    </row>
    <row r="24484" spans="1:8">
      <c r="H24484" t="s">
        <v>21191</v>
      </c>
    </row>
    <row r="24485" spans="1:8">
      <c r="H24485" t="s">
        <v>27498</v>
      </c>
    </row>
    <row r="24486" spans="1:8">
      <c r="H24486" t="s">
        <v>20420</v>
      </c>
    </row>
    <row r="24487" spans="1:8">
      <c r="H24487" t="s">
        <v>27507</v>
      </c>
    </row>
    <row r="24488" spans="1:8">
      <c r="H24488" t="s">
        <v>27508</v>
      </c>
    </row>
    <row r="24489" spans="1:8">
      <c r="H24489" t="s">
        <v>27508</v>
      </c>
    </row>
    <row r="24490" spans="1:8">
      <c r="H24490" t="s">
        <v>27509</v>
      </c>
    </row>
    <row r="24491" spans="1:8">
      <c r="H24491" t="s">
        <v>27510</v>
      </c>
    </row>
    <row r="24492" spans="1:8">
      <c r="A24492" t="s">
        <v>1250</v>
      </c>
      <c r="B24492">
        <f>HYPERLINK("https://android.googlesource.com/platform/cts/+/770a3306d7699e4ec97f076971874974bf130cae", "770a3306d7699e4ec97f076971874974bf130cae")</f>
        <v>0</v>
      </c>
      <c r="C24492">
        <f>HYPERLINK("https://android.googlesource.com/platform/cts/+/ccf75895d9f04c3fd783b2eec94ab42aa51b90d4", "ccf75895d9f04c3fd783b2eec94ab42aa51b90d4")</f>
        <v>0</v>
      </c>
      <c r="D24492" t="s">
        <v>5143</v>
      </c>
      <c r="E24492" t="s">
        <v>7024</v>
      </c>
      <c r="F24492" t="s">
        <v>13040</v>
      </c>
      <c r="G24492" t="s">
        <v>17204</v>
      </c>
      <c r="H24492" t="s">
        <v>27511</v>
      </c>
    </row>
    <row r="24493" spans="1:8">
      <c r="H24493" t="s">
        <v>18829</v>
      </c>
    </row>
    <row r="24494" spans="1:8">
      <c r="H24494" t="s">
        <v>27512</v>
      </c>
    </row>
    <row r="24495" spans="1:8">
      <c r="F24495" t="s">
        <v>13041</v>
      </c>
      <c r="G24495" t="s">
        <v>17205</v>
      </c>
      <c r="H24495" t="s">
        <v>27513</v>
      </c>
    </row>
    <row r="24496" spans="1:8">
      <c r="H24496" t="s">
        <v>18829</v>
      </c>
    </row>
    <row r="24497" spans="6:8">
      <c r="F24497" t="s">
        <v>13042</v>
      </c>
      <c r="G24497" t="s">
        <v>17206</v>
      </c>
      <c r="H24497" t="s">
        <v>27514</v>
      </c>
    </row>
    <row r="24498" spans="6:8">
      <c r="H24498" t="s">
        <v>18829</v>
      </c>
    </row>
    <row r="24499" spans="6:8">
      <c r="H24499" t="s">
        <v>27515</v>
      </c>
    </row>
    <row r="24500" spans="6:8">
      <c r="F24500" t="s">
        <v>13043</v>
      </c>
      <c r="G24500" t="s">
        <v>17207</v>
      </c>
      <c r="H24500" t="s">
        <v>27516</v>
      </c>
    </row>
    <row r="24501" spans="6:8">
      <c r="F24501" t="s">
        <v>13044</v>
      </c>
      <c r="G24501" t="s">
        <v>17208</v>
      </c>
      <c r="H24501" t="s">
        <v>27517</v>
      </c>
    </row>
    <row r="24502" spans="6:8">
      <c r="H24502" t="s">
        <v>18829</v>
      </c>
    </row>
    <row r="24503" spans="6:8">
      <c r="F24503" t="s">
        <v>11457</v>
      </c>
      <c r="G24503" t="s">
        <v>15697</v>
      </c>
      <c r="H24503" t="s">
        <v>27518</v>
      </c>
    </row>
    <row r="24504" spans="6:8">
      <c r="H24504" t="s">
        <v>18829</v>
      </c>
    </row>
    <row r="24505" spans="6:8">
      <c r="F24505" t="s">
        <v>12929</v>
      </c>
      <c r="G24505" t="s">
        <v>17094</v>
      </c>
      <c r="H24505" t="s">
        <v>27519</v>
      </c>
    </row>
    <row r="24506" spans="6:8">
      <c r="H24506" t="s">
        <v>18829</v>
      </c>
    </row>
    <row r="24507" spans="6:8">
      <c r="F24507" t="s">
        <v>12717</v>
      </c>
      <c r="G24507" t="s">
        <v>16917</v>
      </c>
      <c r="H24507" t="s">
        <v>27520</v>
      </c>
    </row>
    <row r="24508" spans="6:8">
      <c r="H24508" t="s">
        <v>18829</v>
      </c>
    </row>
    <row r="24509" spans="6:8">
      <c r="H24509" t="s">
        <v>27515</v>
      </c>
    </row>
    <row r="24510" spans="6:8">
      <c r="H24510" t="s">
        <v>25489</v>
      </c>
    </row>
    <row r="24511" spans="6:8">
      <c r="H24511" t="s">
        <v>25490</v>
      </c>
    </row>
    <row r="24512" spans="6:8">
      <c r="H24512" t="s">
        <v>25491</v>
      </c>
    </row>
    <row r="24513" spans="1:8">
      <c r="H24513" t="s">
        <v>25492</v>
      </c>
    </row>
    <row r="24514" spans="1:8">
      <c r="A24514" t="s">
        <v>1251</v>
      </c>
      <c r="B24514">
        <f>HYPERLINK("https://android.googlesource.com/platform/cts/+/1763ba33ceeedcbaefb8de8a0554c3bfffa1afb2", "1763ba33ceeedcbaefb8de8a0554c3bfffa1afb2")</f>
        <v>0</v>
      </c>
      <c r="C24514">
        <f>HYPERLINK("https://android.googlesource.com/platform/cts/+/7235b2427b2ccbca14181806b14f46154587dcb2", "7235b2427b2ccbca14181806b14f46154587dcb2")</f>
        <v>0</v>
      </c>
      <c r="D24514" t="s">
        <v>5143</v>
      </c>
      <c r="E24514" t="s">
        <v>7025</v>
      </c>
      <c r="F24514" t="s">
        <v>13045</v>
      </c>
      <c r="G24514" t="s">
        <v>17209</v>
      </c>
      <c r="H24514" t="s">
        <v>18829</v>
      </c>
    </row>
    <row r="24515" spans="1:8">
      <c r="H24515" t="s">
        <v>21510</v>
      </c>
    </row>
    <row r="24516" spans="1:8">
      <c r="H24516" t="s">
        <v>27521</v>
      </c>
    </row>
    <row r="24517" spans="1:8">
      <c r="H24517" t="s">
        <v>27522</v>
      </c>
    </row>
    <row r="24518" spans="1:8">
      <c r="H24518" t="s">
        <v>27523</v>
      </c>
    </row>
    <row r="24519" spans="1:8">
      <c r="H24519" t="s">
        <v>27524</v>
      </c>
    </row>
    <row r="24520" spans="1:8">
      <c r="H24520" t="s">
        <v>27525</v>
      </c>
    </row>
    <row r="24521" spans="1:8">
      <c r="H24521" t="s">
        <v>27526</v>
      </c>
    </row>
    <row r="24522" spans="1:8">
      <c r="H24522" t="s">
        <v>27527</v>
      </c>
    </row>
    <row r="24523" spans="1:8">
      <c r="H24523" t="s">
        <v>27528</v>
      </c>
    </row>
    <row r="24524" spans="1:8">
      <c r="H24524" t="s">
        <v>27529</v>
      </c>
    </row>
    <row r="24525" spans="1:8">
      <c r="H24525" t="s">
        <v>27530</v>
      </c>
    </row>
    <row r="24526" spans="1:8">
      <c r="F24526" t="s">
        <v>13046</v>
      </c>
      <c r="G24526" t="s">
        <v>17210</v>
      </c>
      <c r="H24526" t="s">
        <v>27531</v>
      </c>
    </row>
    <row r="24527" spans="1:8">
      <c r="H24527" t="s">
        <v>18829</v>
      </c>
    </row>
    <row r="24528" spans="1:8">
      <c r="H24528" t="s">
        <v>18896</v>
      </c>
    </row>
    <row r="24529" spans="6:8">
      <c r="F24529" t="s">
        <v>13047</v>
      </c>
      <c r="G24529" t="s">
        <v>17211</v>
      </c>
      <c r="H24529" t="s">
        <v>18829</v>
      </c>
    </row>
    <row r="24530" spans="6:8">
      <c r="F24530" t="s">
        <v>10672</v>
      </c>
      <c r="G24530" t="s">
        <v>15072</v>
      </c>
      <c r="H24530" t="s">
        <v>27532</v>
      </c>
    </row>
    <row r="24531" spans="6:8">
      <c r="H24531" t="s">
        <v>18829</v>
      </c>
    </row>
    <row r="24532" spans="6:8">
      <c r="H24532" t="s">
        <v>27533</v>
      </c>
    </row>
    <row r="24533" spans="6:8">
      <c r="H24533" t="s">
        <v>27534</v>
      </c>
    </row>
    <row r="24534" spans="6:8">
      <c r="H24534" t="s">
        <v>27535</v>
      </c>
    </row>
    <row r="24535" spans="6:8">
      <c r="H24535" t="s">
        <v>18893</v>
      </c>
    </row>
    <row r="24536" spans="6:8">
      <c r="F24536" t="s">
        <v>13048</v>
      </c>
      <c r="G24536" t="s">
        <v>17212</v>
      </c>
      <c r="H24536" t="s">
        <v>27536</v>
      </c>
    </row>
    <row r="24537" spans="6:8">
      <c r="F24537" t="s">
        <v>10684</v>
      </c>
      <c r="G24537" t="s">
        <v>15084</v>
      </c>
      <c r="H24537" t="s">
        <v>27537</v>
      </c>
    </row>
    <row r="24538" spans="6:8">
      <c r="H24538" t="s">
        <v>18829</v>
      </c>
    </row>
    <row r="24539" spans="6:8">
      <c r="H24539" t="s">
        <v>18863</v>
      </c>
    </row>
    <row r="24540" spans="6:8">
      <c r="H24540" t="s">
        <v>27538</v>
      </c>
    </row>
    <row r="24541" spans="6:8">
      <c r="H24541" t="s">
        <v>27539</v>
      </c>
    </row>
    <row r="24542" spans="6:8">
      <c r="H24542" t="s">
        <v>27540</v>
      </c>
    </row>
    <row r="24543" spans="6:8">
      <c r="H24543" t="s">
        <v>27541</v>
      </c>
    </row>
    <row r="24544" spans="6:8">
      <c r="H24544" t="s">
        <v>27542</v>
      </c>
    </row>
    <row r="24545" spans="8:8">
      <c r="H24545" t="s">
        <v>27543</v>
      </c>
    </row>
    <row r="24546" spans="8:8">
      <c r="H24546" t="s">
        <v>27544</v>
      </c>
    </row>
    <row r="24547" spans="8:8">
      <c r="H24547" t="s">
        <v>27545</v>
      </c>
    </row>
    <row r="24548" spans="8:8">
      <c r="H24548" t="s">
        <v>27546</v>
      </c>
    </row>
    <row r="24549" spans="8:8">
      <c r="H24549" t="s">
        <v>27547</v>
      </c>
    </row>
    <row r="24550" spans="8:8">
      <c r="H24550" t="s">
        <v>27548</v>
      </c>
    </row>
    <row r="24551" spans="8:8">
      <c r="H24551" t="s">
        <v>27549</v>
      </c>
    </row>
    <row r="24552" spans="8:8">
      <c r="H24552" t="s">
        <v>27550</v>
      </c>
    </row>
    <row r="24553" spans="8:8">
      <c r="H24553" t="s">
        <v>27551</v>
      </c>
    </row>
    <row r="24554" spans="8:8">
      <c r="H24554" t="s">
        <v>27552</v>
      </c>
    </row>
    <row r="24555" spans="8:8">
      <c r="H24555" t="s">
        <v>27553</v>
      </c>
    </row>
    <row r="24556" spans="8:8">
      <c r="H24556" t="s">
        <v>27554</v>
      </c>
    </row>
    <row r="24557" spans="8:8">
      <c r="H24557" t="s">
        <v>27555</v>
      </c>
    </row>
    <row r="24558" spans="8:8">
      <c r="H24558" t="s">
        <v>27556</v>
      </c>
    </row>
    <row r="24559" spans="8:8">
      <c r="H24559" t="s">
        <v>27557</v>
      </c>
    </row>
    <row r="24560" spans="8:8">
      <c r="H24560" t="s">
        <v>27558</v>
      </c>
    </row>
    <row r="24561" spans="1:8">
      <c r="H24561" t="s">
        <v>27559</v>
      </c>
    </row>
    <row r="24562" spans="1:8">
      <c r="H24562" t="s">
        <v>27560</v>
      </c>
    </row>
    <row r="24563" spans="1:8">
      <c r="H24563" t="s">
        <v>27561</v>
      </c>
    </row>
    <row r="24564" spans="1:8">
      <c r="H24564" t="s">
        <v>19692</v>
      </c>
    </row>
    <row r="24565" spans="1:8">
      <c r="H24565" t="s">
        <v>18891</v>
      </c>
    </row>
    <row r="24566" spans="1:8">
      <c r="H24566" t="s">
        <v>26786</v>
      </c>
    </row>
    <row r="24567" spans="1:8">
      <c r="H24567" t="s">
        <v>27562</v>
      </c>
    </row>
    <row r="24568" spans="1:8">
      <c r="H24568" t="s">
        <v>27563</v>
      </c>
    </row>
    <row r="24569" spans="1:8">
      <c r="H24569" t="s">
        <v>27564</v>
      </c>
    </row>
    <row r="24570" spans="1:8">
      <c r="H24570" t="s">
        <v>27564</v>
      </c>
    </row>
    <row r="24571" spans="1:8">
      <c r="H24571" t="s">
        <v>27565</v>
      </c>
    </row>
    <row r="24572" spans="1:8">
      <c r="H24572" t="s">
        <v>27565</v>
      </c>
    </row>
    <row r="24573" spans="1:8">
      <c r="H24573" t="s">
        <v>27566</v>
      </c>
    </row>
    <row r="24574" spans="1:8">
      <c r="H24574" t="s">
        <v>27567</v>
      </c>
    </row>
    <row r="24575" spans="1:8">
      <c r="H24575" t="s">
        <v>27568</v>
      </c>
    </row>
    <row r="24576" spans="1:8">
      <c r="A24576" t="s">
        <v>1252</v>
      </c>
      <c r="B24576">
        <f>HYPERLINK("https://android.googlesource.com/platform/cts/+/0245fbe94eab50ca9cc1e9e4569353a1c9a0aba7", "0245fbe94eab50ca9cc1e9e4569353a1c9a0aba7")</f>
        <v>0</v>
      </c>
      <c r="C24576">
        <f>HYPERLINK("https://android.googlesource.com/platform/cts/+/e736ee5b1dd4d0db3c27a1630aa93574c38d8ce3", "e736ee5b1dd4d0db3c27a1630aa93574c38d8ce3")</f>
        <v>0</v>
      </c>
      <c r="D24576" t="s">
        <v>5143</v>
      </c>
      <c r="E24576" t="s">
        <v>7026</v>
      </c>
      <c r="F24576" t="s">
        <v>10740</v>
      </c>
      <c r="G24576" t="s">
        <v>15139</v>
      </c>
      <c r="H24576" t="s">
        <v>18829</v>
      </c>
    </row>
    <row r="24577" spans="1:8">
      <c r="H24577" t="s">
        <v>27569</v>
      </c>
    </row>
    <row r="24578" spans="1:8">
      <c r="H24578" t="s">
        <v>27173</v>
      </c>
    </row>
    <row r="24579" spans="1:8">
      <c r="H24579" t="s">
        <v>27174</v>
      </c>
    </row>
    <row r="24580" spans="1:8">
      <c r="H24580" t="s">
        <v>27570</v>
      </c>
    </row>
    <row r="24581" spans="1:8">
      <c r="H24581" t="s">
        <v>19426</v>
      </c>
    </row>
    <row r="24582" spans="1:8">
      <c r="A24582" t="s">
        <v>1253</v>
      </c>
      <c r="B24582">
        <f>HYPERLINK("https://android.googlesource.com/platform/cts/+/6adcaba10b92ddc83476478d64fe9604a0bc5816", "6adcaba10b92ddc83476478d64fe9604a0bc5816")</f>
        <v>0</v>
      </c>
      <c r="C24582">
        <f>HYPERLINK("https://android.googlesource.com/platform/cts/+/8770be349e17ce4c758ab04f6bf286569354ea37", "8770be349e17ce4c758ab04f6bf286569354ea37")</f>
        <v>0</v>
      </c>
      <c r="D24582" t="s">
        <v>5143</v>
      </c>
      <c r="E24582" t="s">
        <v>7027</v>
      </c>
      <c r="F24582" t="s">
        <v>10699</v>
      </c>
      <c r="G24582" t="s">
        <v>15099</v>
      </c>
      <c r="H24582" t="s">
        <v>27571</v>
      </c>
    </row>
    <row r="24583" spans="1:8">
      <c r="H24583" t="s">
        <v>18829</v>
      </c>
    </row>
    <row r="24584" spans="1:8">
      <c r="H24584" t="s">
        <v>27572</v>
      </c>
    </row>
    <row r="24585" spans="1:8">
      <c r="H24585" t="s">
        <v>19687</v>
      </c>
    </row>
    <row r="24586" spans="1:8">
      <c r="H24586" t="s">
        <v>27573</v>
      </c>
    </row>
    <row r="24587" spans="1:8">
      <c r="H24587" t="s">
        <v>18893</v>
      </c>
    </row>
    <row r="24588" spans="1:8">
      <c r="H24588" t="s">
        <v>26266</v>
      </c>
    </row>
    <row r="24589" spans="1:8">
      <c r="H24589" t="s">
        <v>27574</v>
      </c>
    </row>
    <row r="24590" spans="1:8">
      <c r="H24590" t="s">
        <v>18893</v>
      </c>
    </row>
    <row r="24591" spans="1:8">
      <c r="H24591" t="s">
        <v>27575</v>
      </c>
    </row>
    <row r="24592" spans="1:8">
      <c r="H24592" t="s">
        <v>18893</v>
      </c>
    </row>
    <row r="24593" spans="8:8">
      <c r="H24593" t="s">
        <v>26976</v>
      </c>
    </row>
    <row r="24594" spans="8:8">
      <c r="H24594" t="s">
        <v>27576</v>
      </c>
    </row>
    <row r="24595" spans="8:8">
      <c r="H24595" t="s">
        <v>18893</v>
      </c>
    </row>
    <row r="24596" spans="8:8">
      <c r="H24596" t="s">
        <v>27577</v>
      </c>
    </row>
    <row r="24597" spans="8:8">
      <c r="H24597" t="s">
        <v>27578</v>
      </c>
    </row>
    <row r="24598" spans="8:8">
      <c r="H24598" t="s">
        <v>27489</v>
      </c>
    </row>
    <row r="24599" spans="8:8">
      <c r="H24599" t="s">
        <v>27579</v>
      </c>
    </row>
    <row r="24600" spans="8:8">
      <c r="H24600" t="s">
        <v>18893</v>
      </c>
    </row>
    <row r="24601" spans="8:8">
      <c r="H24601" t="s">
        <v>27580</v>
      </c>
    </row>
    <row r="24602" spans="8:8">
      <c r="H24602" t="s">
        <v>18893</v>
      </c>
    </row>
    <row r="24603" spans="8:8">
      <c r="H24603" t="s">
        <v>27581</v>
      </c>
    </row>
    <row r="24604" spans="8:8">
      <c r="H24604" t="s">
        <v>26124</v>
      </c>
    </row>
    <row r="24605" spans="8:8">
      <c r="H24605" t="s">
        <v>18893</v>
      </c>
    </row>
    <row r="24606" spans="8:8">
      <c r="H24606" t="s">
        <v>27582</v>
      </c>
    </row>
    <row r="24607" spans="8:8">
      <c r="H24607" t="s">
        <v>27457</v>
      </c>
    </row>
    <row r="24608" spans="8:8">
      <c r="H24608" t="s">
        <v>27458</v>
      </c>
    </row>
    <row r="24609" spans="1:8">
      <c r="H24609" t="s">
        <v>27583</v>
      </c>
    </row>
    <row r="24610" spans="1:8">
      <c r="H24610" t="s">
        <v>18893</v>
      </c>
    </row>
    <row r="24611" spans="1:8">
      <c r="H24611" t="s">
        <v>18927</v>
      </c>
    </row>
    <row r="24612" spans="1:8">
      <c r="A24612" t="s">
        <v>1254</v>
      </c>
      <c r="B24612">
        <f>HYPERLINK("https://android.googlesource.com/platform/cts/+/9560fd0bff8ebc15f71898067d514cf1e2d3ad09", "9560fd0bff8ebc15f71898067d514cf1e2d3ad09")</f>
        <v>0</v>
      </c>
      <c r="C24612">
        <f>HYPERLINK("https://android.googlesource.com/platform/cts/+/2efab840f6039ccf78497cea813df73631c6137b", "2efab840f6039ccf78497cea813df73631c6137b")</f>
        <v>0</v>
      </c>
      <c r="D24612" t="s">
        <v>5176</v>
      </c>
      <c r="E24612" t="s">
        <v>7028</v>
      </c>
      <c r="F24612" t="s">
        <v>10794</v>
      </c>
      <c r="G24612" t="s">
        <v>15189</v>
      </c>
      <c r="H24612" t="s">
        <v>27584</v>
      </c>
    </row>
    <row r="24613" spans="1:8">
      <c r="H24613" t="s">
        <v>27585</v>
      </c>
    </row>
    <row r="24614" spans="1:8">
      <c r="H24614" t="s">
        <v>27586</v>
      </c>
    </row>
    <row r="24615" spans="1:8">
      <c r="H24615" t="s">
        <v>27587</v>
      </c>
    </row>
    <row r="24616" spans="1:8">
      <c r="H24616" t="s">
        <v>27588</v>
      </c>
    </row>
    <row r="24617" spans="1:8">
      <c r="H24617" t="s">
        <v>27589</v>
      </c>
    </row>
    <row r="24618" spans="1:8">
      <c r="A24618" t="s">
        <v>1255</v>
      </c>
      <c r="B24618">
        <f>HYPERLINK("https://android.googlesource.com/platform/cts/+/0544ac91f67c413d9261f15ea1c24a757ab7a8e6", "0544ac91f67c413d9261f15ea1c24a757ab7a8e6")</f>
        <v>0</v>
      </c>
      <c r="C24618">
        <f>HYPERLINK("https://android.googlesource.com/platform/cts/+/66b3c5ec4e0431f525038e0de8851440e98554c9", "66b3c5ec4e0431f525038e0de8851440e98554c9")</f>
        <v>0</v>
      </c>
      <c r="D24618" t="s">
        <v>5114</v>
      </c>
      <c r="E24618" t="s">
        <v>7029</v>
      </c>
      <c r="F24618" t="s">
        <v>13040</v>
      </c>
      <c r="G24618" t="s">
        <v>17204</v>
      </c>
      <c r="H24618" t="s">
        <v>27590</v>
      </c>
    </row>
    <row r="24619" spans="1:8">
      <c r="A24619" t="s">
        <v>1256</v>
      </c>
      <c r="B24619">
        <f>HYPERLINK("https://android.googlesource.com/platform/cts/+/bc9d98bfe6b1c1ad4dcfcf109200c96cca5fd4d5", "bc9d98bfe6b1c1ad4dcfcf109200c96cca5fd4d5")</f>
        <v>0</v>
      </c>
      <c r="C24619">
        <f>HYPERLINK("https://android.googlesource.com/platform/cts/+/3e6e41d1018c050b745986503f4d3acf0539a6da", "3e6e41d1018c050b745986503f4d3acf0539a6da")</f>
        <v>0</v>
      </c>
      <c r="D24619" t="s">
        <v>5143</v>
      </c>
      <c r="E24619" t="s">
        <v>7030</v>
      </c>
      <c r="F24619" t="s">
        <v>13000</v>
      </c>
      <c r="G24619" t="s">
        <v>17164</v>
      </c>
      <c r="H24619" t="s">
        <v>25492</v>
      </c>
    </row>
    <row r="24620" spans="1:8">
      <c r="H24620" t="s">
        <v>25490</v>
      </c>
    </row>
    <row r="24621" spans="1:8">
      <c r="H24621" t="s">
        <v>25491</v>
      </c>
    </row>
    <row r="24622" spans="1:8">
      <c r="H24622" t="s">
        <v>27591</v>
      </c>
    </row>
    <row r="24623" spans="1:8">
      <c r="H24623" t="s">
        <v>27592</v>
      </c>
    </row>
    <row r="24624" spans="1:8">
      <c r="H24624" t="s">
        <v>27593</v>
      </c>
    </row>
    <row r="24625" spans="1:8">
      <c r="H24625" t="s">
        <v>18893</v>
      </c>
    </row>
    <row r="24626" spans="1:8">
      <c r="A24626" t="s">
        <v>1257</v>
      </c>
      <c r="B24626">
        <f>HYPERLINK("https://android.googlesource.com/platform/cts/+/b23b2283696a9be0c6add4231ba1c928ec36f999", "b23b2283696a9be0c6add4231ba1c928ec36f999")</f>
        <v>0</v>
      </c>
      <c r="C24626">
        <f>HYPERLINK("https://android.googlesource.com/platform/cts/+/9136b1033036ef9ef51b829de940f414548a7ecc", "9136b1033036ef9ef51b829de940f414548a7ecc")</f>
        <v>0</v>
      </c>
      <c r="D24626" t="s">
        <v>5134</v>
      </c>
      <c r="E24626" t="s">
        <v>7031</v>
      </c>
      <c r="F24626" t="s">
        <v>13049</v>
      </c>
      <c r="G24626" t="s">
        <v>17213</v>
      </c>
      <c r="H24626" t="s">
        <v>26491</v>
      </c>
    </row>
    <row r="24627" spans="1:8">
      <c r="A24627" t="s">
        <v>1258</v>
      </c>
      <c r="B24627">
        <f>HYPERLINK("https://android.googlesource.com/platform/cts/+/dab78b32d253aedf7e1344b16d1f690364aa5b12", "dab78b32d253aedf7e1344b16d1f690364aa5b12")</f>
        <v>0</v>
      </c>
      <c r="C24627">
        <f>HYPERLINK("https://android.googlesource.com/platform/cts/+/5119c548fc28e70ea216393ba882d06af7f5d648", "5119c548fc28e70ea216393ba882d06af7f5d648")</f>
        <v>0</v>
      </c>
      <c r="D24627" t="s">
        <v>5134</v>
      </c>
      <c r="E24627" t="s">
        <v>7032</v>
      </c>
      <c r="F24627" t="s">
        <v>13049</v>
      </c>
      <c r="G24627" t="s">
        <v>17213</v>
      </c>
      <c r="H24627" t="s">
        <v>26491</v>
      </c>
    </row>
    <row r="24628" spans="1:8">
      <c r="A24628" t="s">
        <v>1259</v>
      </c>
      <c r="B24628">
        <f>HYPERLINK("https://android.googlesource.com/platform/cts/+/ef5c50f96a4b6a08e1cb55eed7b1c0a54fa89f58", "ef5c50f96a4b6a08e1cb55eed7b1c0a54fa89f58")</f>
        <v>0</v>
      </c>
      <c r="C24628">
        <f>HYPERLINK("https://android.googlesource.com/platform/cts/+/3e6e41d1018c050b745986503f4d3acf0539a6da", "3e6e41d1018c050b745986503f4d3acf0539a6da")</f>
        <v>0</v>
      </c>
      <c r="D24628" t="s">
        <v>5143</v>
      </c>
      <c r="E24628" t="s">
        <v>7033</v>
      </c>
      <c r="F24628" t="s">
        <v>12797</v>
      </c>
      <c r="G24628" t="s">
        <v>16979</v>
      </c>
      <c r="H24628" t="s">
        <v>27594</v>
      </c>
    </row>
    <row r="24629" spans="1:8">
      <c r="H24629" t="s">
        <v>18829</v>
      </c>
    </row>
    <row r="24630" spans="1:8">
      <c r="F24630" t="s">
        <v>13050</v>
      </c>
      <c r="G24630" t="s">
        <v>17214</v>
      </c>
      <c r="H24630" t="s">
        <v>27595</v>
      </c>
    </row>
    <row r="24631" spans="1:8">
      <c r="F24631" t="s">
        <v>13051</v>
      </c>
      <c r="G24631" t="s">
        <v>17215</v>
      </c>
      <c r="H24631" t="s">
        <v>27596</v>
      </c>
    </row>
    <row r="24632" spans="1:8">
      <c r="H24632" t="s">
        <v>18829</v>
      </c>
    </row>
    <row r="24633" spans="1:8">
      <c r="F24633" t="s">
        <v>13052</v>
      </c>
      <c r="G24633" t="s">
        <v>17216</v>
      </c>
      <c r="H24633" t="s">
        <v>27597</v>
      </c>
    </row>
    <row r="24634" spans="1:8">
      <c r="H24634" t="s">
        <v>18829</v>
      </c>
    </row>
    <row r="24635" spans="1:8">
      <c r="F24635" t="s">
        <v>13053</v>
      </c>
      <c r="G24635" t="s">
        <v>17217</v>
      </c>
      <c r="H24635" t="s">
        <v>18829</v>
      </c>
    </row>
    <row r="24636" spans="1:8">
      <c r="H24636" t="s">
        <v>27598</v>
      </c>
    </row>
    <row r="24637" spans="1:8">
      <c r="F24637" t="s">
        <v>13054</v>
      </c>
      <c r="G24637" t="s">
        <v>17218</v>
      </c>
      <c r="H24637" t="s">
        <v>27599</v>
      </c>
    </row>
    <row r="24638" spans="1:8">
      <c r="H24638" t="s">
        <v>18829</v>
      </c>
    </row>
    <row r="24639" spans="1:8">
      <c r="F24639" t="s">
        <v>13055</v>
      </c>
      <c r="G24639" t="s">
        <v>17219</v>
      </c>
      <c r="H24639" t="s">
        <v>18829</v>
      </c>
    </row>
    <row r="24640" spans="1:8">
      <c r="F24640" t="s">
        <v>13056</v>
      </c>
      <c r="G24640" t="s">
        <v>17220</v>
      </c>
      <c r="H24640" t="s">
        <v>18829</v>
      </c>
    </row>
    <row r="24641" spans="6:8">
      <c r="H24641" t="s">
        <v>27600</v>
      </c>
    </row>
    <row r="24642" spans="6:8">
      <c r="H24642" t="s">
        <v>27601</v>
      </c>
    </row>
    <row r="24643" spans="6:8">
      <c r="F24643" t="s">
        <v>13057</v>
      </c>
      <c r="G24643" t="s">
        <v>17221</v>
      </c>
      <c r="H24643" t="s">
        <v>18829</v>
      </c>
    </row>
    <row r="24644" spans="6:8">
      <c r="F24644" t="s">
        <v>12921</v>
      </c>
      <c r="G24644" t="s">
        <v>17086</v>
      </c>
      <c r="H24644" t="s">
        <v>18927</v>
      </c>
    </row>
    <row r="24645" spans="6:8">
      <c r="F24645" t="s">
        <v>12815</v>
      </c>
      <c r="G24645" t="s">
        <v>16996</v>
      </c>
      <c r="H24645" t="s">
        <v>27602</v>
      </c>
    </row>
    <row r="24646" spans="6:8">
      <c r="H24646" t="s">
        <v>27600</v>
      </c>
    </row>
    <row r="24647" spans="6:8">
      <c r="H24647" t="s">
        <v>27601</v>
      </c>
    </row>
    <row r="24648" spans="6:8">
      <c r="F24648" t="s">
        <v>13058</v>
      </c>
      <c r="G24648" t="s">
        <v>17222</v>
      </c>
      <c r="H24648" t="s">
        <v>27603</v>
      </c>
    </row>
    <row r="24649" spans="6:8">
      <c r="H24649" t="s">
        <v>27604</v>
      </c>
    </row>
    <row r="24650" spans="6:8">
      <c r="H24650" t="s">
        <v>27605</v>
      </c>
    </row>
    <row r="24651" spans="6:8">
      <c r="H24651" t="s">
        <v>27606</v>
      </c>
    </row>
    <row r="24652" spans="6:8">
      <c r="H24652" t="s">
        <v>27607</v>
      </c>
    </row>
    <row r="24653" spans="6:8">
      <c r="H24653" t="s">
        <v>27608</v>
      </c>
    </row>
    <row r="24654" spans="6:8">
      <c r="H24654" t="s">
        <v>27609</v>
      </c>
    </row>
    <row r="24655" spans="6:8">
      <c r="H24655" t="s">
        <v>27610</v>
      </c>
    </row>
    <row r="24656" spans="6:8">
      <c r="H24656" t="s">
        <v>27611</v>
      </c>
    </row>
    <row r="24657" spans="1:8">
      <c r="H24657" t="s">
        <v>27612</v>
      </c>
    </row>
    <row r="24658" spans="1:8">
      <c r="H24658" t="s">
        <v>27613</v>
      </c>
    </row>
    <row r="24659" spans="1:8">
      <c r="H24659" t="s">
        <v>27614</v>
      </c>
    </row>
    <row r="24660" spans="1:8">
      <c r="H24660" t="s">
        <v>27615</v>
      </c>
    </row>
    <row r="24661" spans="1:8">
      <c r="H24661" t="s">
        <v>27616</v>
      </c>
    </row>
    <row r="24662" spans="1:8">
      <c r="H24662" t="s">
        <v>27617</v>
      </c>
    </row>
    <row r="24663" spans="1:8">
      <c r="H24663" t="s">
        <v>27618</v>
      </c>
    </row>
    <row r="24664" spans="1:8">
      <c r="H24664" t="s">
        <v>27619</v>
      </c>
    </row>
    <row r="24665" spans="1:8">
      <c r="F24665" t="s">
        <v>13059</v>
      </c>
      <c r="G24665" t="s">
        <v>17223</v>
      </c>
      <c r="H24665" t="s">
        <v>27620</v>
      </c>
    </row>
    <row r="24666" spans="1:8">
      <c r="F24666" t="s">
        <v>13060</v>
      </c>
      <c r="G24666" t="s">
        <v>17224</v>
      </c>
      <c r="H24666" t="s">
        <v>27621</v>
      </c>
    </row>
    <row r="24667" spans="1:8">
      <c r="F24667" t="s">
        <v>13061</v>
      </c>
      <c r="G24667" t="s">
        <v>17225</v>
      </c>
      <c r="H24667" t="s">
        <v>27622</v>
      </c>
    </row>
    <row r="24668" spans="1:8">
      <c r="H24668" t="s">
        <v>18829</v>
      </c>
    </row>
    <row r="24669" spans="1:8">
      <c r="A24669" t="s">
        <v>1260</v>
      </c>
      <c r="B24669">
        <f>HYPERLINK("https://android.googlesource.com/platform/cts/+/8434bc28e852bbf68b5b81322b22598f0b177070", "8434bc28e852bbf68b5b81322b22598f0b177070")</f>
        <v>0</v>
      </c>
      <c r="C24669">
        <f>HYPERLINK("https://android.googlesource.com/platform/cts/+/3e6e41d1018c050b745986503f4d3acf0539a6da", "3e6e41d1018c050b745986503f4d3acf0539a6da")</f>
        <v>0</v>
      </c>
      <c r="D24669" t="s">
        <v>5117</v>
      </c>
      <c r="E24669" t="s">
        <v>7034</v>
      </c>
      <c r="F24669" t="s">
        <v>12246</v>
      </c>
      <c r="G24669" t="s">
        <v>16477</v>
      </c>
      <c r="H24669" t="s">
        <v>18929</v>
      </c>
    </row>
    <row r="24670" spans="1:8">
      <c r="H24670" t="s">
        <v>27623</v>
      </c>
    </row>
    <row r="24671" spans="1:8">
      <c r="F24671" t="s">
        <v>12935</v>
      </c>
      <c r="G24671" t="s">
        <v>17100</v>
      </c>
      <c r="H24671" t="s">
        <v>27624</v>
      </c>
    </row>
    <row r="24672" spans="1:8">
      <c r="H24672" t="s">
        <v>27625</v>
      </c>
    </row>
    <row r="24673" spans="6:8">
      <c r="H24673" t="s">
        <v>27626</v>
      </c>
    </row>
    <row r="24674" spans="6:8">
      <c r="H24674" t="s">
        <v>27627</v>
      </c>
    </row>
    <row r="24675" spans="6:8">
      <c r="H24675" t="s">
        <v>27628</v>
      </c>
    </row>
    <row r="24676" spans="6:8">
      <c r="H24676" t="s">
        <v>27629</v>
      </c>
    </row>
    <row r="24677" spans="6:8">
      <c r="H24677" t="s">
        <v>27630</v>
      </c>
    </row>
    <row r="24678" spans="6:8">
      <c r="H24678" t="s">
        <v>27631</v>
      </c>
    </row>
    <row r="24679" spans="6:8">
      <c r="F24679" t="s">
        <v>12859</v>
      </c>
      <c r="G24679" t="s">
        <v>17028</v>
      </c>
      <c r="H24679" t="s">
        <v>27632</v>
      </c>
    </row>
    <row r="24680" spans="6:8">
      <c r="H24680" t="s">
        <v>27633</v>
      </c>
    </row>
    <row r="24681" spans="6:8">
      <c r="H24681" t="s">
        <v>27634</v>
      </c>
    </row>
    <row r="24682" spans="6:8">
      <c r="H24682" t="s">
        <v>27635</v>
      </c>
    </row>
    <row r="24683" spans="6:8">
      <c r="H24683" t="s">
        <v>27636</v>
      </c>
    </row>
    <row r="24684" spans="6:8">
      <c r="H24684" t="s">
        <v>27637</v>
      </c>
    </row>
    <row r="24685" spans="6:8">
      <c r="H24685" t="s">
        <v>27638</v>
      </c>
    </row>
    <row r="24686" spans="6:8">
      <c r="H24686" t="s">
        <v>27639</v>
      </c>
    </row>
    <row r="24687" spans="6:8">
      <c r="H24687" t="s">
        <v>27640</v>
      </c>
    </row>
    <row r="24688" spans="6:8">
      <c r="H24688" t="s">
        <v>27641</v>
      </c>
    </row>
    <row r="24689" spans="6:8">
      <c r="F24689" t="s">
        <v>13062</v>
      </c>
      <c r="G24689" t="s">
        <v>17108</v>
      </c>
      <c r="H24689" t="s">
        <v>27220</v>
      </c>
    </row>
    <row r="24690" spans="6:8">
      <c r="H24690" t="s">
        <v>27221</v>
      </c>
    </row>
    <row r="24691" spans="6:8">
      <c r="H24691" t="s">
        <v>27222</v>
      </c>
    </row>
    <row r="24692" spans="6:8">
      <c r="H24692" t="s">
        <v>27223</v>
      </c>
    </row>
    <row r="24693" spans="6:8">
      <c r="H24693" t="s">
        <v>27224</v>
      </c>
    </row>
    <row r="24694" spans="6:8">
      <c r="H24694" t="s">
        <v>27225</v>
      </c>
    </row>
    <row r="24695" spans="6:8">
      <c r="H24695" t="s">
        <v>27226</v>
      </c>
    </row>
    <row r="24696" spans="6:8">
      <c r="F24696" t="s">
        <v>12944</v>
      </c>
      <c r="G24696" t="s">
        <v>17109</v>
      </c>
      <c r="H24696" t="s">
        <v>27642</v>
      </c>
    </row>
    <row r="24697" spans="6:8">
      <c r="H24697" t="s">
        <v>27643</v>
      </c>
    </row>
    <row r="24698" spans="6:8">
      <c r="H24698" t="s">
        <v>27644</v>
      </c>
    </row>
    <row r="24699" spans="6:8">
      <c r="H24699" t="s">
        <v>27645</v>
      </c>
    </row>
    <row r="24700" spans="6:8">
      <c r="H24700" t="s">
        <v>27646</v>
      </c>
    </row>
    <row r="24701" spans="6:8">
      <c r="F24701" t="s">
        <v>12836</v>
      </c>
      <c r="G24701" t="s">
        <v>17012</v>
      </c>
      <c r="H24701" t="s">
        <v>27647</v>
      </c>
    </row>
    <row r="24702" spans="6:8">
      <c r="H24702" t="s">
        <v>27648</v>
      </c>
    </row>
    <row r="24703" spans="6:8">
      <c r="H24703" t="s">
        <v>27649</v>
      </c>
    </row>
    <row r="24704" spans="6:8">
      <c r="H24704" t="s">
        <v>27650</v>
      </c>
    </row>
    <row r="24705" spans="6:8">
      <c r="H24705" t="s">
        <v>27651</v>
      </c>
    </row>
    <row r="24706" spans="6:8">
      <c r="H24706" t="s">
        <v>27652</v>
      </c>
    </row>
    <row r="24707" spans="6:8">
      <c r="H24707" t="s">
        <v>27653</v>
      </c>
    </row>
    <row r="24708" spans="6:8">
      <c r="H24708" t="s">
        <v>27654</v>
      </c>
    </row>
    <row r="24709" spans="6:8">
      <c r="H24709" t="s">
        <v>27655</v>
      </c>
    </row>
    <row r="24710" spans="6:8">
      <c r="H24710" t="s">
        <v>27656</v>
      </c>
    </row>
    <row r="24711" spans="6:8">
      <c r="H24711" t="s">
        <v>27657</v>
      </c>
    </row>
    <row r="24712" spans="6:8">
      <c r="H24712" t="s">
        <v>27658</v>
      </c>
    </row>
    <row r="24713" spans="6:8">
      <c r="H24713" t="s">
        <v>27659</v>
      </c>
    </row>
    <row r="24714" spans="6:8">
      <c r="F24714" t="s">
        <v>12243</v>
      </c>
      <c r="G24714" t="s">
        <v>16474</v>
      </c>
      <c r="H24714" t="s">
        <v>27660</v>
      </c>
    </row>
    <row r="24715" spans="6:8">
      <c r="H24715" t="s">
        <v>27661</v>
      </c>
    </row>
    <row r="24716" spans="6:8">
      <c r="H24716" t="s">
        <v>27662</v>
      </c>
    </row>
    <row r="24717" spans="6:8">
      <c r="H24717" t="s">
        <v>27663</v>
      </c>
    </row>
    <row r="24718" spans="6:8">
      <c r="H24718" t="s">
        <v>27664</v>
      </c>
    </row>
    <row r="24719" spans="6:8">
      <c r="H24719" t="s">
        <v>27665</v>
      </c>
    </row>
    <row r="24720" spans="6:8">
      <c r="H24720" t="s">
        <v>27666</v>
      </c>
    </row>
    <row r="24721" spans="8:8">
      <c r="H24721" t="s">
        <v>27667</v>
      </c>
    </row>
    <row r="24722" spans="8:8">
      <c r="H24722" t="s">
        <v>27668</v>
      </c>
    </row>
    <row r="24723" spans="8:8">
      <c r="H24723" t="s">
        <v>27669</v>
      </c>
    </row>
    <row r="24724" spans="8:8">
      <c r="H24724" t="s">
        <v>27670</v>
      </c>
    </row>
    <row r="24725" spans="8:8">
      <c r="H24725" t="s">
        <v>27671</v>
      </c>
    </row>
    <row r="24726" spans="8:8">
      <c r="H24726" t="s">
        <v>27672</v>
      </c>
    </row>
    <row r="24727" spans="8:8">
      <c r="H24727" t="s">
        <v>27673</v>
      </c>
    </row>
    <row r="24728" spans="8:8">
      <c r="H24728" t="s">
        <v>27674</v>
      </c>
    </row>
    <row r="24729" spans="8:8">
      <c r="H24729" t="s">
        <v>27675</v>
      </c>
    </row>
    <row r="24730" spans="8:8">
      <c r="H24730" t="s">
        <v>27676</v>
      </c>
    </row>
    <row r="24731" spans="8:8">
      <c r="H24731" t="s">
        <v>27677</v>
      </c>
    </row>
    <row r="24732" spans="8:8">
      <c r="H24732" t="s">
        <v>27678</v>
      </c>
    </row>
    <row r="24733" spans="8:8">
      <c r="H24733" t="s">
        <v>27679</v>
      </c>
    </row>
    <row r="24734" spans="8:8">
      <c r="H24734" t="s">
        <v>27680</v>
      </c>
    </row>
    <row r="24735" spans="8:8">
      <c r="H24735" t="s">
        <v>27681</v>
      </c>
    </row>
    <row r="24736" spans="8:8">
      <c r="H24736" t="s">
        <v>27682</v>
      </c>
    </row>
    <row r="24737" spans="6:8">
      <c r="H24737" t="s">
        <v>27683</v>
      </c>
    </row>
    <row r="24738" spans="6:8">
      <c r="H24738" t="s">
        <v>27684</v>
      </c>
    </row>
    <row r="24739" spans="6:8">
      <c r="H24739" t="s">
        <v>27685</v>
      </c>
    </row>
    <row r="24740" spans="6:8">
      <c r="H24740" t="s">
        <v>27686</v>
      </c>
    </row>
    <row r="24741" spans="6:8">
      <c r="H24741" t="s">
        <v>27687</v>
      </c>
    </row>
    <row r="24742" spans="6:8">
      <c r="H24742" t="s">
        <v>27688</v>
      </c>
    </row>
    <row r="24743" spans="6:8">
      <c r="F24743" t="s">
        <v>12932</v>
      </c>
      <c r="G24743" t="s">
        <v>17097</v>
      </c>
      <c r="H24743" t="s">
        <v>27689</v>
      </c>
    </row>
    <row r="24744" spans="6:8">
      <c r="H24744" t="s">
        <v>27690</v>
      </c>
    </row>
    <row r="24745" spans="6:8">
      <c r="H24745" t="s">
        <v>27691</v>
      </c>
    </row>
    <row r="24746" spans="6:8">
      <c r="H24746" t="s">
        <v>27692</v>
      </c>
    </row>
    <row r="24747" spans="6:8">
      <c r="H24747" t="s">
        <v>27693</v>
      </c>
    </row>
    <row r="24748" spans="6:8">
      <c r="H24748" t="s">
        <v>27694</v>
      </c>
    </row>
    <row r="24749" spans="6:8">
      <c r="H24749" t="s">
        <v>27695</v>
      </c>
    </row>
    <row r="24750" spans="6:8">
      <c r="H24750" t="s">
        <v>27696</v>
      </c>
    </row>
    <row r="24751" spans="6:8">
      <c r="H24751" t="s">
        <v>27697</v>
      </c>
    </row>
    <row r="24752" spans="6:8">
      <c r="F24752" t="s">
        <v>12943</v>
      </c>
      <c r="G24752" t="s">
        <v>17107</v>
      </c>
      <c r="H24752" t="s">
        <v>27698</v>
      </c>
    </row>
    <row r="24753" spans="6:8">
      <c r="H24753" t="s">
        <v>27699</v>
      </c>
    </row>
    <row r="24754" spans="6:8">
      <c r="H24754" t="s">
        <v>27700</v>
      </c>
    </row>
    <row r="24755" spans="6:8">
      <c r="H24755" t="s">
        <v>27701</v>
      </c>
    </row>
    <row r="24756" spans="6:8">
      <c r="F24756" t="s">
        <v>12945</v>
      </c>
      <c r="G24756" t="s">
        <v>17110</v>
      </c>
      <c r="H24756" t="s">
        <v>27702</v>
      </c>
    </row>
    <row r="24757" spans="6:8">
      <c r="H24757" t="s">
        <v>27703</v>
      </c>
    </row>
    <row r="24758" spans="6:8">
      <c r="H24758" t="s">
        <v>27704</v>
      </c>
    </row>
    <row r="24759" spans="6:8">
      <c r="H24759" t="s">
        <v>27705</v>
      </c>
    </row>
    <row r="24760" spans="6:8">
      <c r="H24760" t="s">
        <v>27706</v>
      </c>
    </row>
    <row r="24761" spans="6:8">
      <c r="H24761" t="s">
        <v>27707</v>
      </c>
    </row>
    <row r="24762" spans="6:8">
      <c r="H24762" t="s">
        <v>27708</v>
      </c>
    </row>
    <row r="24763" spans="6:8">
      <c r="H24763" t="s">
        <v>27709</v>
      </c>
    </row>
    <row r="24764" spans="6:8">
      <c r="H24764" t="s">
        <v>27710</v>
      </c>
    </row>
    <row r="24765" spans="6:8">
      <c r="H24765" t="s">
        <v>27711</v>
      </c>
    </row>
    <row r="24766" spans="6:8">
      <c r="F24766" t="s">
        <v>12946</v>
      </c>
      <c r="G24766" t="s">
        <v>17111</v>
      </c>
      <c r="H24766" t="s">
        <v>27712</v>
      </c>
    </row>
    <row r="24767" spans="6:8">
      <c r="H24767" t="s">
        <v>27713</v>
      </c>
    </row>
    <row r="24768" spans="6:8">
      <c r="H24768" t="s">
        <v>27714</v>
      </c>
    </row>
    <row r="24769" spans="1:8">
      <c r="H24769" t="s">
        <v>27715</v>
      </c>
    </row>
    <row r="24770" spans="1:8">
      <c r="F24770" t="s">
        <v>12947</v>
      </c>
      <c r="G24770" t="s">
        <v>17112</v>
      </c>
      <c r="H24770" t="s">
        <v>27716</v>
      </c>
    </row>
    <row r="24771" spans="1:8">
      <c r="A24771" t="s">
        <v>1261</v>
      </c>
      <c r="B24771">
        <f>HYPERLINK("https://android.googlesource.com/platform/cts/+/3f891457b26f937f27f883cbf8000876fb6dbd47", "3f891457b26f937f27f883cbf8000876fb6dbd47")</f>
        <v>0</v>
      </c>
      <c r="C24771">
        <f>HYPERLINK("https://android.googlesource.com/platform/cts/+/e52cb13a84e8301f06106e97eb37ef19374a11b3", "e52cb13a84e8301f06106e97eb37ef19374a11b3")</f>
        <v>0</v>
      </c>
      <c r="D24771" t="s">
        <v>5143</v>
      </c>
      <c r="E24771" t="s">
        <v>7035</v>
      </c>
      <c r="F24771" t="s">
        <v>13060</v>
      </c>
      <c r="G24771" t="s">
        <v>17224</v>
      </c>
      <c r="H24771" t="s">
        <v>25492</v>
      </c>
    </row>
    <row r="24772" spans="1:8">
      <c r="A24772" t="s">
        <v>1262</v>
      </c>
      <c r="B24772">
        <f>HYPERLINK("https://android.googlesource.com/platform/cts/+/11132f1649446181c32f0887b3a1d948ef91bdb8", "11132f1649446181c32f0887b3a1d948ef91bdb8")</f>
        <v>0</v>
      </c>
      <c r="C24772">
        <f>HYPERLINK("https://android.googlesource.com/platform/cts/+/3e6e41d1018c050b745986503f4d3acf0539a6da", "3e6e41d1018c050b745986503f4d3acf0539a6da")</f>
        <v>0</v>
      </c>
      <c r="D24772" t="s">
        <v>5182</v>
      </c>
      <c r="E24772" t="s">
        <v>7036</v>
      </c>
      <c r="F24772" t="s">
        <v>12820</v>
      </c>
      <c r="G24772" t="s">
        <v>16999</v>
      </c>
      <c r="H24772" t="s">
        <v>18829</v>
      </c>
    </row>
    <row r="24773" spans="1:8">
      <c r="H24773" t="s">
        <v>18863</v>
      </c>
    </row>
    <row r="24774" spans="1:8">
      <c r="H24774" t="s">
        <v>27717</v>
      </c>
    </row>
    <row r="24775" spans="1:8">
      <c r="A24775" t="s">
        <v>1263</v>
      </c>
      <c r="B24775">
        <f>HYPERLINK("https://android.googlesource.com/platform/cts/+/6828f2e7323dd14481977986bf98be47f9b6069f", "6828f2e7323dd14481977986bf98be47f9b6069f")</f>
        <v>0</v>
      </c>
      <c r="C24775">
        <f>HYPERLINK("https://android.googlesource.com/platform/cts/+/6b1b1ae5068fc009f44c191b17b14288822f8f82", "6b1b1ae5068fc009f44c191b17b14288822f8f82")</f>
        <v>0</v>
      </c>
      <c r="D24775" t="s">
        <v>5143</v>
      </c>
      <c r="E24775" t="s">
        <v>7037</v>
      </c>
      <c r="F24775" t="s">
        <v>10749</v>
      </c>
      <c r="G24775" t="s">
        <v>15147</v>
      </c>
      <c r="H24775" t="s">
        <v>27718</v>
      </c>
    </row>
    <row r="24776" spans="1:8">
      <c r="H24776" t="s">
        <v>27719</v>
      </c>
    </row>
    <row r="24777" spans="1:8">
      <c r="F24777" t="s">
        <v>12310</v>
      </c>
      <c r="G24777" t="s">
        <v>16541</v>
      </c>
      <c r="H24777" t="s">
        <v>27720</v>
      </c>
    </row>
    <row r="24778" spans="1:8">
      <c r="H24778" t="s">
        <v>27721</v>
      </c>
    </row>
    <row r="24779" spans="1:8">
      <c r="F24779" t="s">
        <v>13063</v>
      </c>
      <c r="G24779" t="s">
        <v>17226</v>
      </c>
      <c r="H24779" t="s">
        <v>18829</v>
      </c>
    </row>
    <row r="24780" spans="1:8">
      <c r="F24780" t="s">
        <v>13064</v>
      </c>
      <c r="G24780" t="s">
        <v>17227</v>
      </c>
      <c r="H24780" t="s">
        <v>18829</v>
      </c>
    </row>
    <row r="24781" spans="1:8">
      <c r="H24781" t="s">
        <v>27722</v>
      </c>
    </row>
    <row r="24782" spans="1:8">
      <c r="F24782" t="s">
        <v>13065</v>
      </c>
      <c r="G24782" t="s">
        <v>17228</v>
      </c>
      <c r="H24782" t="s">
        <v>18829</v>
      </c>
    </row>
    <row r="24783" spans="1:8">
      <c r="H24783" t="s">
        <v>18863</v>
      </c>
    </row>
    <row r="24784" spans="1:8">
      <c r="F24784" t="s">
        <v>13066</v>
      </c>
      <c r="G24784" t="s">
        <v>17229</v>
      </c>
      <c r="H24784" t="s">
        <v>18829</v>
      </c>
    </row>
    <row r="24785" spans="6:8">
      <c r="H24785" t="s">
        <v>18863</v>
      </c>
    </row>
    <row r="24786" spans="6:8">
      <c r="F24786" t="s">
        <v>13067</v>
      </c>
      <c r="G24786" t="s">
        <v>17230</v>
      </c>
      <c r="H24786" t="s">
        <v>27723</v>
      </c>
    </row>
    <row r="24787" spans="6:8">
      <c r="H24787" t="s">
        <v>22023</v>
      </c>
    </row>
    <row r="24788" spans="6:8">
      <c r="H24788" t="s">
        <v>27724</v>
      </c>
    </row>
    <row r="24789" spans="6:8">
      <c r="H24789" t="s">
        <v>27725</v>
      </c>
    </row>
    <row r="24790" spans="6:8">
      <c r="H24790" t="s">
        <v>27726</v>
      </c>
    </row>
    <row r="24791" spans="6:8">
      <c r="H24791" t="s">
        <v>27727</v>
      </c>
    </row>
    <row r="24792" spans="6:8">
      <c r="H24792" t="s">
        <v>27727</v>
      </c>
    </row>
    <row r="24793" spans="6:8">
      <c r="H24793" t="s">
        <v>27728</v>
      </c>
    </row>
    <row r="24794" spans="6:8">
      <c r="F24794" t="s">
        <v>13068</v>
      </c>
      <c r="G24794" t="s">
        <v>17231</v>
      </c>
      <c r="H24794" t="s">
        <v>27729</v>
      </c>
    </row>
    <row r="24795" spans="6:8">
      <c r="H24795" t="s">
        <v>27729</v>
      </c>
    </row>
    <row r="24796" spans="6:8">
      <c r="H24796" t="s">
        <v>27729</v>
      </c>
    </row>
    <row r="24797" spans="6:8">
      <c r="H24797" t="s">
        <v>27729</v>
      </c>
    </row>
    <row r="24798" spans="6:8">
      <c r="H24798" t="s">
        <v>27729</v>
      </c>
    </row>
    <row r="24799" spans="6:8">
      <c r="H24799" t="s">
        <v>27730</v>
      </c>
    </row>
    <row r="24800" spans="6:8">
      <c r="H24800" t="s">
        <v>27731</v>
      </c>
    </row>
    <row r="24801" spans="1:8">
      <c r="H24801" t="s">
        <v>27732</v>
      </c>
    </row>
    <row r="24802" spans="1:8">
      <c r="H24802" t="s">
        <v>27733</v>
      </c>
    </row>
    <row r="24803" spans="1:8">
      <c r="H24803" t="s">
        <v>27727</v>
      </c>
    </row>
    <row r="24804" spans="1:8">
      <c r="H24804" t="s">
        <v>27734</v>
      </c>
    </row>
    <row r="24805" spans="1:8">
      <c r="H24805" t="s">
        <v>27735</v>
      </c>
    </row>
    <row r="24806" spans="1:8">
      <c r="H24806" t="s">
        <v>27736</v>
      </c>
    </row>
    <row r="24807" spans="1:8">
      <c r="H24807" t="s">
        <v>27737</v>
      </c>
    </row>
    <row r="24808" spans="1:8">
      <c r="F24808" t="s">
        <v>13069</v>
      </c>
      <c r="G24808" t="s">
        <v>17232</v>
      </c>
      <c r="H24808" t="s">
        <v>18829</v>
      </c>
    </row>
    <row r="24809" spans="1:8">
      <c r="F24809" t="s">
        <v>13070</v>
      </c>
      <c r="G24809" t="s">
        <v>17233</v>
      </c>
      <c r="H24809" t="s">
        <v>18829</v>
      </c>
    </row>
    <row r="24810" spans="1:8">
      <c r="F24810" t="s">
        <v>13071</v>
      </c>
      <c r="G24810" t="s">
        <v>17234</v>
      </c>
      <c r="H24810" t="s">
        <v>18829</v>
      </c>
    </row>
    <row r="24811" spans="1:8">
      <c r="F24811" t="s">
        <v>13072</v>
      </c>
      <c r="G24811" t="s">
        <v>17235</v>
      </c>
      <c r="H24811" t="s">
        <v>18829</v>
      </c>
    </row>
    <row r="24812" spans="1:8">
      <c r="H24812" t="s">
        <v>27738</v>
      </c>
    </row>
    <row r="24813" spans="1:8">
      <c r="A24813" t="s">
        <v>1264</v>
      </c>
      <c r="B24813">
        <f>HYPERLINK("https://android.googlesource.com/platform/cts/+/4495565d1c6a2a979937006e6d452b3b4deeef4c", "4495565d1c6a2a979937006e6d452b3b4deeef4c")</f>
        <v>0</v>
      </c>
      <c r="C24813">
        <f>HYPERLINK("https://android.googlesource.com/platform/cts/+/4c7b18e85be78095069bbfb59c6ecf4046dce466", "4c7b18e85be78095069bbfb59c6ecf4046dce466")</f>
        <v>0</v>
      </c>
      <c r="D24813" t="s">
        <v>5085</v>
      </c>
      <c r="E24813" t="s">
        <v>7038</v>
      </c>
      <c r="F24813" t="s">
        <v>13073</v>
      </c>
      <c r="G24813" t="s">
        <v>17056</v>
      </c>
      <c r="H24813" t="s">
        <v>27739</v>
      </c>
    </row>
    <row r="24814" spans="1:8">
      <c r="A24814" t="s">
        <v>1265</v>
      </c>
      <c r="B24814">
        <f>HYPERLINK("https://android.googlesource.com/platform/cts/+/0adb9d13b173219730eec4e9a07b9f68c3964fcc", "0adb9d13b173219730eec4e9a07b9f68c3964fcc")</f>
        <v>0</v>
      </c>
      <c r="C24814">
        <f>HYPERLINK("https://android.googlesource.com/platform/cts/+/6b1b1ae5068fc009f44c191b17b14288822f8f82", "6b1b1ae5068fc009f44c191b17b14288822f8f82")</f>
        <v>0</v>
      </c>
      <c r="D24814" t="s">
        <v>5143</v>
      </c>
      <c r="E24814" t="s">
        <v>7039</v>
      </c>
      <c r="F24814" t="s">
        <v>12186</v>
      </c>
      <c r="G24814" t="s">
        <v>16425</v>
      </c>
      <c r="H24814" t="s">
        <v>18829</v>
      </c>
    </row>
    <row r="24815" spans="1:8">
      <c r="H24815" t="s">
        <v>18863</v>
      </c>
    </row>
    <row r="24816" spans="1:8">
      <c r="F24816" t="s">
        <v>10746</v>
      </c>
      <c r="G24816" t="s">
        <v>15145</v>
      </c>
      <c r="H24816" t="s">
        <v>18829</v>
      </c>
    </row>
    <row r="24817" spans="6:8">
      <c r="F24817" t="s">
        <v>12344</v>
      </c>
      <c r="G24817" t="s">
        <v>16572</v>
      </c>
      <c r="H24817" t="s">
        <v>18829</v>
      </c>
    </row>
    <row r="24818" spans="6:8">
      <c r="H24818" t="s">
        <v>18863</v>
      </c>
    </row>
    <row r="24819" spans="6:8">
      <c r="H24819" t="s">
        <v>27740</v>
      </c>
    </row>
    <row r="24820" spans="6:8">
      <c r="H24820" t="s">
        <v>27741</v>
      </c>
    </row>
    <row r="24821" spans="6:8">
      <c r="H24821" t="s">
        <v>27742</v>
      </c>
    </row>
    <row r="24822" spans="6:8">
      <c r="H24822" t="s">
        <v>27743</v>
      </c>
    </row>
    <row r="24823" spans="6:8">
      <c r="H24823" t="s">
        <v>27744</v>
      </c>
    </row>
    <row r="24824" spans="6:8">
      <c r="H24824" t="s">
        <v>27745</v>
      </c>
    </row>
    <row r="24825" spans="6:8">
      <c r="H24825" t="s">
        <v>27746</v>
      </c>
    </row>
    <row r="24826" spans="6:8">
      <c r="H24826" t="s">
        <v>27747</v>
      </c>
    </row>
    <row r="24827" spans="6:8">
      <c r="H24827" t="s">
        <v>27748</v>
      </c>
    </row>
    <row r="24828" spans="6:8">
      <c r="H24828" t="s">
        <v>27749</v>
      </c>
    </row>
    <row r="24829" spans="6:8">
      <c r="H24829" t="s">
        <v>27750</v>
      </c>
    </row>
    <row r="24830" spans="6:8">
      <c r="H24830" t="s">
        <v>27751</v>
      </c>
    </row>
    <row r="24831" spans="6:8">
      <c r="H24831" t="s">
        <v>27751</v>
      </c>
    </row>
    <row r="24832" spans="6:8">
      <c r="H24832" t="s">
        <v>27751</v>
      </c>
    </row>
    <row r="24833" spans="6:8">
      <c r="H24833" t="s">
        <v>27751</v>
      </c>
    </row>
    <row r="24834" spans="6:8">
      <c r="F24834" t="s">
        <v>12857</v>
      </c>
      <c r="G24834" t="s">
        <v>17027</v>
      </c>
      <c r="H24834" t="s">
        <v>27752</v>
      </c>
    </row>
    <row r="24835" spans="6:8">
      <c r="H24835" t="s">
        <v>27753</v>
      </c>
    </row>
    <row r="24836" spans="6:8">
      <c r="H24836" t="s">
        <v>27754</v>
      </c>
    </row>
    <row r="24837" spans="6:8">
      <c r="H24837" t="s">
        <v>27755</v>
      </c>
    </row>
    <row r="24838" spans="6:8">
      <c r="H24838" t="s">
        <v>27756</v>
      </c>
    </row>
    <row r="24839" spans="6:8">
      <c r="H24839" t="s">
        <v>27757</v>
      </c>
    </row>
    <row r="24840" spans="6:8">
      <c r="H24840" t="s">
        <v>27758</v>
      </c>
    </row>
    <row r="24841" spans="6:8">
      <c r="H24841" t="s">
        <v>27759</v>
      </c>
    </row>
    <row r="24842" spans="6:8">
      <c r="H24842" t="s">
        <v>27760</v>
      </c>
    </row>
    <row r="24843" spans="6:8">
      <c r="H24843" t="s">
        <v>27761</v>
      </c>
    </row>
    <row r="24844" spans="6:8">
      <c r="H24844" t="s">
        <v>27762</v>
      </c>
    </row>
    <row r="24845" spans="6:8">
      <c r="H24845" t="s">
        <v>27763</v>
      </c>
    </row>
    <row r="24846" spans="6:8">
      <c r="H24846" t="s">
        <v>27764</v>
      </c>
    </row>
    <row r="24847" spans="6:8">
      <c r="H24847" t="s">
        <v>27765</v>
      </c>
    </row>
    <row r="24848" spans="6:8">
      <c r="H24848" t="s">
        <v>27766</v>
      </c>
    </row>
    <row r="24849" spans="1:8">
      <c r="H24849" t="s">
        <v>27767</v>
      </c>
    </row>
    <row r="24850" spans="1:8">
      <c r="H24850" t="s">
        <v>27768</v>
      </c>
    </row>
    <row r="24851" spans="1:8">
      <c r="H24851" t="s">
        <v>27769</v>
      </c>
    </row>
    <row r="24852" spans="1:8">
      <c r="F24852" t="s">
        <v>13074</v>
      </c>
      <c r="G24852" t="s">
        <v>17236</v>
      </c>
      <c r="H24852" t="s">
        <v>27770</v>
      </c>
    </row>
    <row r="24853" spans="1:8">
      <c r="A24853" t="s">
        <v>1266</v>
      </c>
      <c r="B24853">
        <f>HYPERLINK("https://android.googlesource.com/platform/cts/+/4b87605eb5dda80fad0c770b46342cdfbae44fd4", "4b87605eb5dda80fad0c770b46342cdfbae44fd4")</f>
        <v>0</v>
      </c>
      <c r="C24853">
        <f>HYPERLINK("https://android.googlesource.com/platform/cts/+/4c7b18e85be78095069bbfb59c6ecf4046dce466", "4c7b18e85be78095069bbfb59c6ecf4046dce466")</f>
        <v>0</v>
      </c>
      <c r="D24853" t="s">
        <v>5143</v>
      </c>
      <c r="E24853" t="s">
        <v>7040</v>
      </c>
      <c r="F24853" t="s">
        <v>13075</v>
      </c>
      <c r="G24853" t="s">
        <v>17237</v>
      </c>
      <c r="H24853" t="s">
        <v>18829</v>
      </c>
    </row>
    <row r="24854" spans="1:8">
      <c r="F24854" t="s">
        <v>13076</v>
      </c>
      <c r="G24854" t="s">
        <v>17238</v>
      </c>
      <c r="H24854" t="s">
        <v>27771</v>
      </c>
    </row>
    <row r="24855" spans="1:8">
      <c r="H24855" t="s">
        <v>18829</v>
      </c>
    </row>
    <row r="24856" spans="1:8">
      <c r="H24856" t="s">
        <v>27772</v>
      </c>
    </row>
    <row r="24857" spans="1:8">
      <c r="F24857" t="s">
        <v>12938</v>
      </c>
      <c r="G24857" t="s">
        <v>17103</v>
      </c>
      <c r="H24857" t="s">
        <v>27773</v>
      </c>
    </row>
    <row r="24858" spans="1:8">
      <c r="H24858" t="s">
        <v>18829</v>
      </c>
    </row>
    <row r="24859" spans="1:8">
      <c r="F24859" t="s">
        <v>12940</v>
      </c>
      <c r="G24859" t="s">
        <v>17105</v>
      </c>
      <c r="H24859" t="s">
        <v>27774</v>
      </c>
    </row>
    <row r="24860" spans="1:8">
      <c r="H24860" t="s">
        <v>18829</v>
      </c>
    </row>
    <row r="24861" spans="1:8">
      <c r="H24861" t="s">
        <v>18863</v>
      </c>
    </row>
    <row r="24862" spans="1:8">
      <c r="F24862" t="s">
        <v>13077</v>
      </c>
      <c r="G24862" t="s">
        <v>17239</v>
      </c>
      <c r="H24862" t="s">
        <v>27775</v>
      </c>
    </row>
    <row r="24863" spans="1:8">
      <c r="H24863" t="s">
        <v>18829</v>
      </c>
    </row>
    <row r="24864" spans="1:8">
      <c r="H24864" t="s">
        <v>27776</v>
      </c>
    </row>
    <row r="24865" spans="1:8">
      <c r="F24865" t="s">
        <v>13078</v>
      </c>
      <c r="G24865" t="s">
        <v>17240</v>
      </c>
      <c r="H24865" t="s">
        <v>27777</v>
      </c>
    </row>
    <row r="24866" spans="1:8">
      <c r="H24866" t="s">
        <v>18829</v>
      </c>
    </row>
    <row r="24867" spans="1:8">
      <c r="H24867" t="s">
        <v>27778</v>
      </c>
    </row>
    <row r="24868" spans="1:8">
      <c r="F24868" t="s">
        <v>13079</v>
      </c>
      <c r="G24868" t="s">
        <v>17241</v>
      </c>
      <c r="H24868" t="s">
        <v>27779</v>
      </c>
    </row>
    <row r="24869" spans="1:8">
      <c r="F24869" t="s">
        <v>13080</v>
      </c>
      <c r="G24869" t="s">
        <v>17242</v>
      </c>
      <c r="H24869" t="s">
        <v>27780</v>
      </c>
    </row>
    <row r="24870" spans="1:8">
      <c r="H24870" t="s">
        <v>18829</v>
      </c>
    </row>
    <row r="24871" spans="1:8">
      <c r="F24871" t="s">
        <v>13081</v>
      </c>
      <c r="G24871" t="s">
        <v>17243</v>
      </c>
      <c r="H24871" t="s">
        <v>27781</v>
      </c>
    </row>
    <row r="24872" spans="1:8">
      <c r="H24872" t="s">
        <v>27782</v>
      </c>
    </row>
    <row r="24873" spans="1:8">
      <c r="H24873" t="s">
        <v>27783</v>
      </c>
    </row>
    <row r="24874" spans="1:8">
      <c r="A24874" t="s">
        <v>1267</v>
      </c>
      <c r="B24874">
        <f>HYPERLINK("https://android.googlesource.com/platform/cts/+/77bf127037cf0245b224277ca7e9aab232cd9224", "77bf127037cf0245b224277ca7e9aab232cd9224")</f>
        <v>0</v>
      </c>
      <c r="C24874">
        <f>HYPERLINK("https://android.googlesource.com/platform/cts/+/4ae020cf4c653de69ab4c216dd10fc44b8a099e5", "4ae020cf4c653de69ab4c216dd10fc44b8a099e5")</f>
        <v>0</v>
      </c>
      <c r="D24874" t="s">
        <v>5143</v>
      </c>
      <c r="E24874" t="s">
        <v>7041</v>
      </c>
      <c r="F24874" t="s">
        <v>10733</v>
      </c>
      <c r="G24874" t="s">
        <v>15132</v>
      </c>
      <c r="H24874" t="s">
        <v>27784</v>
      </c>
    </row>
    <row r="24875" spans="1:8">
      <c r="H24875" t="s">
        <v>18829</v>
      </c>
    </row>
    <row r="24876" spans="1:8">
      <c r="H24876" t="s">
        <v>27785</v>
      </c>
    </row>
    <row r="24877" spans="1:8">
      <c r="H24877" t="s">
        <v>27786</v>
      </c>
    </row>
    <row r="24878" spans="1:8">
      <c r="H24878" t="s">
        <v>27787</v>
      </c>
    </row>
    <row r="24879" spans="1:8">
      <c r="H24879" t="s">
        <v>27788</v>
      </c>
    </row>
    <row r="24880" spans="1:8">
      <c r="H24880" t="s">
        <v>27789</v>
      </c>
    </row>
    <row r="24881" spans="1:8">
      <c r="H24881" t="s">
        <v>27789</v>
      </c>
    </row>
    <row r="24882" spans="1:8">
      <c r="H24882" t="s">
        <v>27790</v>
      </c>
    </row>
    <row r="24883" spans="1:8">
      <c r="H24883" t="s">
        <v>27791</v>
      </c>
    </row>
    <row r="24884" spans="1:8">
      <c r="H24884" t="s">
        <v>27792</v>
      </c>
    </row>
    <row r="24885" spans="1:8">
      <c r="F24885" t="s">
        <v>12203</v>
      </c>
      <c r="G24885" t="s">
        <v>16441</v>
      </c>
      <c r="H24885" t="s">
        <v>27793</v>
      </c>
    </row>
    <row r="24886" spans="1:8">
      <c r="F24886" t="s">
        <v>10718</v>
      </c>
      <c r="G24886" t="s">
        <v>15117</v>
      </c>
      <c r="H24886" t="s">
        <v>27794</v>
      </c>
    </row>
    <row r="24887" spans="1:8">
      <c r="H24887" t="s">
        <v>27202</v>
      </c>
    </row>
    <row r="24888" spans="1:8">
      <c r="H24888" t="s">
        <v>27203</v>
      </c>
    </row>
    <row r="24889" spans="1:8">
      <c r="A24889" t="s">
        <v>1268</v>
      </c>
      <c r="B24889">
        <f>HYPERLINK("https://android.googlesource.com/platform/cts/+/7c83e14b70e7a87e2331fb9d7d6a390c848db51d", "7c83e14b70e7a87e2331fb9d7d6a390c848db51d")</f>
        <v>0</v>
      </c>
      <c r="C24889">
        <f>HYPERLINK("https://android.googlesource.com/platform/cts/+/4ae020cf4c653de69ab4c216dd10fc44b8a099e5", "4ae020cf4c653de69ab4c216dd10fc44b8a099e5")</f>
        <v>0</v>
      </c>
      <c r="D24889" t="s">
        <v>5143</v>
      </c>
      <c r="E24889" t="s">
        <v>7042</v>
      </c>
      <c r="F24889" t="s">
        <v>13082</v>
      </c>
      <c r="G24889" t="s">
        <v>17244</v>
      </c>
      <c r="H24889" t="s">
        <v>27795</v>
      </c>
    </row>
    <row r="24890" spans="1:8">
      <c r="F24890" t="s">
        <v>12757</v>
      </c>
      <c r="G24890" t="s">
        <v>16948</v>
      </c>
      <c r="H24890" t="s">
        <v>27796</v>
      </c>
    </row>
    <row r="24891" spans="1:8">
      <c r="F24891" t="s">
        <v>12758</v>
      </c>
      <c r="G24891" t="s">
        <v>16949</v>
      </c>
      <c r="H24891" t="s">
        <v>27797</v>
      </c>
    </row>
    <row r="24892" spans="1:8">
      <c r="F24892" t="s">
        <v>13083</v>
      </c>
      <c r="G24892" t="s">
        <v>17245</v>
      </c>
      <c r="H24892" t="s">
        <v>18829</v>
      </c>
    </row>
    <row r="24893" spans="1:8">
      <c r="F24893" t="s">
        <v>13084</v>
      </c>
      <c r="G24893" t="s">
        <v>17246</v>
      </c>
      <c r="H24893" t="s">
        <v>27798</v>
      </c>
    </row>
    <row r="24894" spans="1:8">
      <c r="H24894" t="s">
        <v>18829</v>
      </c>
    </row>
    <row r="24895" spans="1:8">
      <c r="A24895" t="s">
        <v>1269</v>
      </c>
      <c r="B24895">
        <f>HYPERLINK("https://android.googlesource.com/platform/cts/+/5c2e80fb5930c72fbe18a16972df16283995f9e8", "5c2e80fb5930c72fbe18a16972df16283995f9e8")</f>
        <v>0</v>
      </c>
      <c r="C24895">
        <f>HYPERLINK("https://android.googlesource.com/platform/cts/+/77bf127037cf0245b224277ca7e9aab232cd9224", "77bf127037cf0245b224277ca7e9aab232cd9224")</f>
        <v>0</v>
      </c>
      <c r="D24895" t="s">
        <v>5143</v>
      </c>
      <c r="E24895" t="s">
        <v>7043</v>
      </c>
      <c r="F24895" t="s">
        <v>13085</v>
      </c>
      <c r="G24895" t="s">
        <v>17247</v>
      </c>
      <c r="H24895" t="s">
        <v>18829</v>
      </c>
    </row>
    <row r="24896" spans="1:8">
      <c r="F24896" t="s">
        <v>12936</v>
      </c>
      <c r="G24896" t="s">
        <v>17101</v>
      </c>
      <c r="H24896" t="s">
        <v>18829</v>
      </c>
    </row>
    <row r="24897" spans="6:8">
      <c r="F24897" t="s">
        <v>13086</v>
      </c>
      <c r="G24897" t="s">
        <v>17248</v>
      </c>
      <c r="H24897" t="s">
        <v>18829</v>
      </c>
    </row>
    <row r="24898" spans="6:8">
      <c r="F24898" t="s">
        <v>13087</v>
      </c>
      <c r="G24898" t="s">
        <v>17249</v>
      </c>
      <c r="H24898" t="s">
        <v>18829</v>
      </c>
    </row>
    <row r="24899" spans="6:8">
      <c r="F24899" t="s">
        <v>13088</v>
      </c>
      <c r="G24899" t="s">
        <v>17250</v>
      </c>
      <c r="H24899" t="s">
        <v>27799</v>
      </c>
    </row>
    <row r="24900" spans="6:8">
      <c r="H24900" t="s">
        <v>27800</v>
      </c>
    </row>
    <row r="24901" spans="6:8">
      <c r="F24901" t="s">
        <v>10722</v>
      </c>
      <c r="G24901" t="s">
        <v>15121</v>
      </c>
      <c r="H24901" t="s">
        <v>18829</v>
      </c>
    </row>
    <row r="24902" spans="6:8">
      <c r="F24902" t="s">
        <v>12937</v>
      </c>
      <c r="G24902" t="s">
        <v>17102</v>
      </c>
      <c r="H24902" t="s">
        <v>18829</v>
      </c>
    </row>
    <row r="24903" spans="6:8">
      <c r="F24903" t="s">
        <v>13089</v>
      </c>
      <c r="G24903" t="s">
        <v>17251</v>
      </c>
      <c r="H24903" t="s">
        <v>27801</v>
      </c>
    </row>
    <row r="24904" spans="6:8">
      <c r="H24904" t="s">
        <v>18829</v>
      </c>
    </row>
    <row r="24905" spans="6:8">
      <c r="H24905" t="s">
        <v>18863</v>
      </c>
    </row>
    <row r="24906" spans="6:8">
      <c r="F24906" t="s">
        <v>11439</v>
      </c>
      <c r="G24906" t="s">
        <v>15679</v>
      </c>
      <c r="H24906" t="s">
        <v>27802</v>
      </c>
    </row>
    <row r="24907" spans="6:8">
      <c r="H24907" t="s">
        <v>27803</v>
      </c>
    </row>
    <row r="24908" spans="6:8">
      <c r="H24908" t="s">
        <v>27804</v>
      </c>
    </row>
    <row r="24909" spans="6:8">
      <c r="H24909" t="s">
        <v>27805</v>
      </c>
    </row>
    <row r="24910" spans="6:8">
      <c r="H24910" t="s">
        <v>27806</v>
      </c>
    </row>
    <row r="24911" spans="6:8">
      <c r="H24911" t="s">
        <v>27807</v>
      </c>
    </row>
    <row r="24912" spans="6:8">
      <c r="F24912" t="s">
        <v>13090</v>
      </c>
      <c r="G24912" t="s">
        <v>17252</v>
      </c>
      <c r="H24912" t="s">
        <v>18829</v>
      </c>
    </row>
    <row r="24913" spans="1:8">
      <c r="H24913" t="s">
        <v>27808</v>
      </c>
    </row>
    <row r="24914" spans="1:8">
      <c r="H24914" t="s">
        <v>27809</v>
      </c>
    </row>
    <row r="24915" spans="1:8">
      <c r="F24915" t="s">
        <v>11471</v>
      </c>
      <c r="G24915" t="s">
        <v>15711</v>
      </c>
      <c r="H24915" t="s">
        <v>27810</v>
      </c>
    </row>
    <row r="24916" spans="1:8">
      <c r="H24916" t="s">
        <v>27811</v>
      </c>
    </row>
    <row r="24917" spans="1:8">
      <c r="H24917" t="s">
        <v>27812</v>
      </c>
    </row>
    <row r="24918" spans="1:8">
      <c r="F24918" t="s">
        <v>13091</v>
      </c>
      <c r="G24918" t="s">
        <v>17253</v>
      </c>
      <c r="H24918" t="s">
        <v>18829</v>
      </c>
    </row>
    <row r="24919" spans="1:8">
      <c r="H24919" t="s">
        <v>27813</v>
      </c>
    </row>
    <row r="24920" spans="1:8">
      <c r="F24920" t="s">
        <v>10596</v>
      </c>
      <c r="G24920" t="s">
        <v>14999</v>
      </c>
      <c r="H24920" t="s">
        <v>18829</v>
      </c>
    </row>
    <row r="24921" spans="1:8">
      <c r="H24921" t="s">
        <v>27814</v>
      </c>
    </row>
    <row r="24922" spans="1:8">
      <c r="H24922" t="s">
        <v>27815</v>
      </c>
    </row>
    <row r="24923" spans="1:8">
      <c r="A24923" t="s">
        <v>1270</v>
      </c>
      <c r="B24923">
        <f>HYPERLINK("https://android.googlesource.com/platform/cts/+/cb78d3922e94a86d54fe3920b4d13d387fce441a", "cb78d3922e94a86d54fe3920b4d13d387fce441a")</f>
        <v>0</v>
      </c>
      <c r="C24923">
        <f>HYPERLINK("https://android.googlesource.com/platform/cts/+/43b85ed018f27c930d9d799f32bcee09af428eb1", "43b85ed018f27c930d9d799f32bcee09af428eb1")</f>
        <v>0</v>
      </c>
      <c r="D24923" t="s">
        <v>5173</v>
      </c>
      <c r="E24923" t="s">
        <v>7044</v>
      </c>
      <c r="F24923" t="s">
        <v>12616</v>
      </c>
      <c r="G24923" t="s">
        <v>16827</v>
      </c>
      <c r="H24923" t="s">
        <v>27816</v>
      </c>
    </row>
    <row r="24924" spans="1:8">
      <c r="H24924" t="s">
        <v>18829</v>
      </c>
    </row>
    <row r="24925" spans="1:8">
      <c r="H24925" t="s">
        <v>27817</v>
      </c>
    </row>
    <row r="24926" spans="1:8">
      <c r="H24926" t="s">
        <v>27818</v>
      </c>
    </row>
    <row r="24927" spans="1:8">
      <c r="H24927" t="s">
        <v>27819</v>
      </c>
    </row>
    <row r="24928" spans="1:8">
      <c r="A24928" t="s">
        <v>1271</v>
      </c>
      <c r="B24928">
        <f>HYPERLINK("https://android.googlesource.com/platform/cts/+/110122e5b456f95d55fcead2a483611bb4d9dca1", "110122e5b456f95d55fcead2a483611bb4d9dca1")</f>
        <v>0</v>
      </c>
      <c r="C24928">
        <f>HYPERLINK("https://android.googlesource.com/platform/cts/+/2687d31f04b3676b2d8a6f999028099d124f4261", "2687d31f04b3676b2d8a6f999028099d124f4261")</f>
        <v>0</v>
      </c>
      <c r="D24928" t="s">
        <v>5143</v>
      </c>
      <c r="E24928" t="s">
        <v>7045</v>
      </c>
      <c r="F24928" t="s">
        <v>13092</v>
      </c>
      <c r="G24928" t="s">
        <v>17254</v>
      </c>
      <c r="H24928" t="s">
        <v>27820</v>
      </c>
    </row>
    <row r="24929" spans="1:8">
      <c r="H24929" t="s">
        <v>18829</v>
      </c>
    </row>
    <row r="24930" spans="1:8">
      <c r="H24930" t="s">
        <v>18863</v>
      </c>
    </row>
    <row r="24931" spans="1:8">
      <c r="A24931" t="s">
        <v>1272</v>
      </c>
      <c r="B24931">
        <f>HYPERLINK("https://android.googlesource.com/platform/cts/+/c5790b39b8ea5b37984750011e9fbe207a64a890", "c5790b39b8ea5b37984750011e9fbe207a64a890")</f>
        <v>0</v>
      </c>
      <c r="C24931">
        <f>HYPERLINK("https://android.googlesource.com/platform/cts/+/2687d31f04b3676b2d8a6f999028099d124f4261", "2687d31f04b3676b2d8a6f999028099d124f4261")</f>
        <v>0</v>
      </c>
      <c r="D24931" t="s">
        <v>5143</v>
      </c>
      <c r="E24931" t="s">
        <v>7046</v>
      </c>
      <c r="F24931" t="s">
        <v>13093</v>
      </c>
      <c r="G24931" t="s">
        <v>17255</v>
      </c>
      <c r="H24931" t="s">
        <v>27821</v>
      </c>
    </row>
    <row r="24932" spans="1:8">
      <c r="F24932" t="s">
        <v>13094</v>
      </c>
      <c r="G24932" t="s">
        <v>17256</v>
      </c>
      <c r="H24932" t="s">
        <v>27822</v>
      </c>
    </row>
    <row r="24933" spans="1:8">
      <c r="H24933" t="s">
        <v>18829</v>
      </c>
    </row>
    <row r="24934" spans="1:8">
      <c r="F24934" t="s">
        <v>13095</v>
      </c>
      <c r="G24934" t="s">
        <v>17257</v>
      </c>
      <c r="H24934" t="s">
        <v>27823</v>
      </c>
    </row>
    <row r="24935" spans="1:8">
      <c r="F24935" t="s">
        <v>13096</v>
      </c>
      <c r="G24935" t="s">
        <v>17258</v>
      </c>
      <c r="H24935" t="s">
        <v>27824</v>
      </c>
    </row>
    <row r="24936" spans="1:8">
      <c r="H24936" t="s">
        <v>18829</v>
      </c>
    </row>
    <row r="24937" spans="1:8">
      <c r="F24937" t="s">
        <v>12343</v>
      </c>
      <c r="G24937" t="s">
        <v>16571</v>
      </c>
      <c r="H24937" t="s">
        <v>27825</v>
      </c>
    </row>
    <row r="24938" spans="1:8">
      <c r="H24938" t="s">
        <v>18829</v>
      </c>
    </row>
    <row r="24939" spans="1:8">
      <c r="H24939" t="s">
        <v>27826</v>
      </c>
    </row>
    <row r="24940" spans="1:8">
      <c r="A24940" t="s">
        <v>1273</v>
      </c>
      <c r="B24940">
        <f>HYPERLINK("https://android.googlesource.com/platform/cts/+/5bc11e8dbafdbd7e367f85c7c85fc662c5d4656f", "5bc11e8dbafdbd7e367f85c7c85fc662c5d4656f")</f>
        <v>0</v>
      </c>
      <c r="C24940">
        <f>HYPERLINK("https://android.googlesource.com/platform/cts/+/2687d31f04b3676b2d8a6f999028099d124f4261", "2687d31f04b3676b2d8a6f999028099d124f4261")</f>
        <v>0</v>
      </c>
      <c r="D24940" t="s">
        <v>5143</v>
      </c>
      <c r="E24940" t="s">
        <v>7047</v>
      </c>
      <c r="F24940" t="s">
        <v>13097</v>
      </c>
      <c r="G24940" t="s">
        <v>17259</v>
      </c>
      <c r="H24940" t="s">
        <v>27827</v>
      </c>
    </row>
    <row r="24941" spans="1:8">
      <c r="F24941" t="s">
        <v>13098</v>
      </c>
      <c r="G24941" t="s">
        <v>17260</v>
      </c>
      <c r="H24941" t="s">
        <v>18829</v>
      </c>
    </row>
    <row r="24942" spans="1:8">
      <c r="F24942" t="s">
        <v>12934</v>
      </c>
      <c r="G24942" t="s">
        <v>17099</v>
      </c>
      <c r="H24942" t="s">
        <v>18829</v>
      </c>
    </row>
    <row r="24943" spans="1:8">
      <c r="F24943" t="s">
        <v>13099</v>
      </c>
      <c r="G24943" t="s">
        <v>17261</v>
      </c>
      <c r="H24943" t="s">
        <v>18829</v>
      </c>
    </row>
    <row r="24944" spans="1:8">
      <c r="A24944" t="s">
        <v>1274</v>
      </c>
      <c r="B24944">
        <f>HYPERLINK("https://android.googlesource.com/platform/cts/+/9aa6451ba5b071f40b4c38d05858203696284eff", "9aa6451ba5b071f40b4c38d05858203696284eff")</f>
        <v>0</v>
      </c>
      <c r="C24944">
        <f>HYPERLINK("https://android.googlesource.com/platform/cts/+/e9766ec7a3bfd338e1865ecf8700d7d196206312", "e9766ec7a3bfd338e1865ecf8700d7d196206312")</f>
        <v>0</v>
      </c>
      <c r="D24944" t="s">
        <v>5143</v>
      </c>
      <c r="E24944" t="s">
        <v>7048</v>
      </c>
      <c r="F24944" t="s">
        <v>13100</v>
      </c>
      <c r="G24944" t="s">
        <v>17262</v>
      </c>
      <c r="H24944" t="s">
        <v>18829</v>
      </c>
    </row>
    <row r="24945" spans="6:8">
      <c r="F24945" t="s">
        <v>10945</v>
      </c>
      <c r="G24945" t="s">
        <v>15338</v>
      </c>
      <c r="H24945" t="s">
        <v>27828</v>
      </c>
    </row>
    <row r="24946" spans="6:8">
      <c r="H24946" t="s">
        <v>18829</v>
      </c>
    </row>
    <row r="24947" spans="6:8">
      <c r="H24947" t="s">
        <v>27829</v>
      </c>
    </row>
    <row r="24948" spans="6:8">
      <c r="F24948" t="s">
        <v>12335</v>
      </c>
      <c r="G24948" t="s">
        <v>16563</v>
      </c>
      <c r="H24948" t="s">
        <v>18829</v>
      </c>
    </row>
    <row r="24949" spans="6:8">
      <c r="H24949" t="s">
        <v>18983</v>
      </c>
    </row>
    <row r="24950" spans="6:8">
      <c r="H24950" t="s">
        <v>27830</v>
      </c>
    </row>
    <row r="24951" spans="6:8">
      <c r="F24951" t="s">
        <v>10779</v>
      </c>
      <c r="G24951" t="s">
        <v>15175</v>
      </c>
      <c r="H24951" t="s">
        <v>27831</v>
      </c>
    </row>
    <row r="24952" spans="6:8">
      <c r="H24952" t="s">
        <v>19078</v>
      </c>
    </row>
    <row r="24953" spans="6:8">
      <c r="H24953" t="s">
        <v>19080</v>
      </c>
    </row>
    <row r="24954" spans="6:8">
      <c r="H24954" t="s">
        <v>26535</v>
      </c>
    </row>
    <row r="24955" spans="6:8">
      <c r="H24955" t="s">
        <v>19081</v>
      </c>
    </row>
    <row r="24956" spans="6:8">
      <c r="H24956" t="s">
        <v>26534</v>
      </c>
    </row>
    <row r="24957" spans="6:8">
      <c r="H24957" t="s">
        <v>19079</v>
      </c>
    </row>
    <row r="24958" spans="6:8">
      <c r="H24958" t="s">
        <v>27832</v>
      </c>
    </row>
    <row r="24959" spans="6:8">
      <c r="H24959" t="s">
        <v>18985</v>
      </c>
    </row>
    <row r="24960" spans="6:8">
      <c r="H24960" t="s">
        <v>18986</v>
      </c>
    </row>
    <row r="24961" spans="1:8">
      <c r="H24961" t="s">
        <v>24979</v>
      </c>
    </row>
    <row r="24962" spans="1:8">
      <c r="H24962" t="s">
        <v>27833</v>
      </c>
    </row>
    <row r="24963" spans="1:8">
      <c r="H24963" t="s">
        <v>27834</v>
      </c>
    </row>
    <row r="24964" spans="1:8">
      <c r="H24964" t="s">
        <v>27835</v>
      </c>
    </row>
    <row r="24965" spans="1:8">
      <c r="H24965" t="s">
        <v>27836</v>
      </c>
    </row>
    <row r="24966" spans="1:8">
      <c r="H24966" t="s">
        <v>27837</v>
      </c>
    </row>
    <row r="24967" spans="1:8">
      <c r="H24967" t="s">
        <v>27838</v>
      </c>
    </row>
    <row r="24968" spans="1:8">
      <c r="H24968" t="s">
        <v>27839</v>
      </c>
    </row>
    <row r="24969" spans="1:8">
      <c r="H24969" t="s">
        <v>27840</v>
      </c>
    </row>
    <row r="24970" spans="1:8">
      <c r="H24970" t="s">
        <v>27841</v>
      </c>
    </row>
    <row r="24971" spans="1:8">
      <c r="H24971" t="s">
        <v>20414</v>
      </c>
    </row>
    <row r="24972" spans="1:8">
      <c r="A24972" t="s">
        <v>1275</v>
      </c>
      <c r="B24972">
        <f>HYPERLINK("https://android.googlesource.com/platform/cts/+/24fee45e900df980543f9248238b3854ad2a258d", "24fee45e900df980543f9248238b3854ad2a258d")</f>
        <v>0</v>
      </c>
      <c r="C24972">
        <f>HYPERLINK("https://android.googlesource.com/platform/cts/+/330dd441bc45b601749c1dd3c3a3595d1b1267f5", "330dd441bc45b601749c1dd3c3a3595d1b1267f5")</f>
        <v>0</v>
      </c>
      <c r="D24972" t="s">
        <v>5085</v>
      </c>
      <c r="E24972" t="s">
        <v>7049</v>
      </c>
      <c r="F24972" t="s">
        <v>13073</v>
      </c>
      <c r="G24972" t="s">
        <v>17056</v>
      </c>
      <c r="H24972" t="s">
        <v>27739</v>
      </c>
    </row>
    <row r="24973" spans="1:8">
      <c r="A24973" t="s">
        <v>1276</v>
      </c>
      <c r="B24973">
        <f>HYPERLINK("https://android.googlesource.com/platform/cts/+/047c430fa4b8c5dfb7735fe32b8a3d5abf8bbbaf", "047c430fa4b8c5dfb7735fe32b8a3d5abf8bbbaf")</f>
        <v>0</v>
      </c>
      <c r="C24973">
        <f>HYPERLINK("https://android.googlesource.com/platform/cts/+/4d75b7492d1eb9ee3fb705e45f56db6209ee8881", "4d75b7492d1eb9ee3fb705e45f56db6209ee8881")</f>
        <v>0</v>
      </c>
      <c r="D24973" t="s">
        <v>5176</v>
      </c>
      <c r="E24973" t="s">
        <v>7050</v>
      </c>
      <c r="F24973" t="s">
        <v>10794</v>
      </c>
      <c r="G24973" t="s">
        <v>15189</v>
      </c>
      <c r="H24973" t="s">
        <v>18836</v>
      </c>
    </row>
    <row r="24974" spans="1:8">
      <c r="A24974" t="s">
        <v>1277</v>
      </c>
      <c r="B24974">
        <f>HYPERLINK("https://android.googlesource.com/platform/cts/+/e6006b05281094c1af1c2f33e2c5add08242bc5d", "e6006b05281094c1af1c2f33e2c5add08242bc5d")</f>
        <v>0</v>
      </c>
      <c r="C24974">
        <f>HYPERLINK("https://android.googlesource.com/platform/cts/+/407aa46e8970ee92de7ba3cbbb3f7617e6e386cb", "407aa46e8970ee92de7ba3cbbb3f7617e6e386cb")</f>
        <v>0</v>
      </c>
      <c r="D24974" t="s">
        <v>5143</v>
      </c>
      <c r="E24974" t="s">
        <v>7051</v>
      </c>
      <c r="F24974" t="s">
        <v>12793</v>
      </c>
      <c r="G24974" t="s">
        <v>16976</v>
      </c>
      <c r="H24974" t="s">
        <v>18829</v>
      </c>
    </row>
    <row r="24975" spans="1:8">
      <c r="H24975" t="s">
        <v>27842</v>
      </c>
    </row>
    <row r="24976" spans="1:8">
      <c r="H24976" t="s">
        <v>19078</v>
      </c>
    </row>
    <row r="24977" spans="8:8">
      <c r="H24977" t="s">
        <v>19079</v>
      </c>
    </row>
    <row r="24978" spans="8:8">
      <c r="H24978" t="s">
        <v>19080</v>
      </c>
    </row>
    <row r="24979" spans="8:8">
      <c r="H24979" t="s">
        <v>19081</v>
      </c>
    </row>
    <row r="24980" spans="8:8">
      <c r="H24980" t="s">
        <v>26536</v>
      </c>
    </row>
    <row r="24981" spans="8:8">
      <c r="H24981" t="s">
        <v>27843</v>
      </c>
    </row>
    <row r="24982" spans="8:8">
      <c r="H24982" t="s">
        <v>27844</v>
      </c>
    </row>
    <row r="24983" spans="8:8">
      <c r="H24983" t="s">
        <v>27845</v>
      </c>
    </row>
    <row r="24984" spans="8:8">
      <c r="H24984" t="s">
        <v>19083</v>
      </c>
    </row>
    <row r="24985" spans="8:8">
      <c r="H24985" t="s">
        <v>27846</v>
      </c>
    </row>
    <row r="24986" spans="8:8">
      <c r="H24986" t="s">
        <v>19082</v>
      </c>
    </row>
    <row r="24987" spans="8:8">
      <c r="H24987" t="s">
        <v>27847</v>
      </c>
    </row>
    <row r="24988" spans="8:8">
      <c r="H24988" t="s">
        <v>27848</v>
      </c>
    </row>
    <row r="24989" spans="8:8">
      <c r="H24989" t="s">
        <v>27849</v>
      </c>
    </row>
    <row r="24990" spans="8:8">
      <c r="H24990" t="s">
        <v>27850</v>
      </c>
    </row>
    <row r="24991" spans="8:8">
      <c r="H24991" t="s">
        <v>27851</v>
      </c>
    </row>
    <row r="24992" spans="8:8">
      <c r="H24992" t="s">
        <v>27832</v>
      </c>
    </row>
    <row r="24993" spans="6:8">
      <c r="F24993" t="s">
        <v>10780</v>
      </c>
      <c r="G24993" t="s">
        <v>15176</v>
      </c>
      <c r="H24993" t="s">
        <v>18829</v>
      </c>
    </row>
    <row r="24994" spans="6:8">
      <c r="H24994" t="s">
        <v>27852</v>
      </c>
    </row>
    <row r="24995" spans="6:8">
      <c r="H24995" t="s">
        <v>27853</v>
      </c>
    </row>
    <row r="24996" spans="6:8">
      <c r="H24996" t="s">
        <v>27854</v>
      </c>
    </row>
    <row r="24997" spans="6:8">
      <c r="H24997" t="s">
        <v>27855</v>
      </c>
    </row>
    <row r="24998" spans="6:8">
      <c r="H24998" t="s">
        <v>26536</v>
      </c>
    </row>
    <row r="24999" spans="6:8">
      <c r="H24999" t="s">
        <v>27843</v>
      </c>
    </row>
    <row r="25000" spans="6:8">
      <c r="H25000" t="s">
        <v>22152</v>
      </c>
    </row>
    <row r="25001" spans="6:8">
      <c r="H25001" t="s">
        <v>27844</v>
      </c>
    </row>
    <row r="25002" spans="6:8">
      <c r="H25002" t="s">
        <v>27845</v>
      </c>
    </row>
    <row r="25003" spans="6:8">
      <c r="H25003" t="s">
        <v>19083</v>
      </c>
    </row>
    <row r="25004" spans="6:8">
      <c r="H25004" t="s">
        <v>27846</v>
      </c>
    </row>
    <row r="25005" spans="6:8">
      <c r="H25005" t="s">
        <v>19082</v>
      </c>
    </row>
    <row r="25006" spans="6:8">
      <c r="H25006" t="s">
        <v>27847</v>
      </c>
    </row>
    <row r="25007" spans="6:8">
      <c r="H25007" t="s">
        <v>27856</v>
      </c>
    </row>
    <row r="25008" spans="6:8">
      <c r="H25008" t="s">
        <v>27857</v>
      </c>
    </row>
    <row r="25009" spans="8:8">
      <c r="H25009" t="s">
        <v>27848</v>
      </c>
    </row>
    <row r="25010" spans="8:8">
      <c r="H25010" t="s">
        <v>27849</v>
      </c>
    </row>
    <row r="25011" spans="8:8">
      <c r="H25011" t="s">
        <v>27850</v>
      </c>
    </row>
    <row r="25012" spans="8:8">
      <c r="H25012" t="s">
        <v>27851</v>
      </c>
    </row>
    <row r="25013" spans="8:8">
      <c r="H25013" t="s">
        <v>27832</v>
      </c>
    </row>
    <row r="25014" spans="8:8">
      <c r="H25014" t="s">
        <v>26533</v>
      </c>
    </row>
    <row r="25015" spans="8:8">
      <c r="H25015" t="s">
        <v>27858</v>
      </c>
    </row>
    <row r="25016" spans="8:8">
      <c r="H25016" t="s">
        <v>27859</v>
      </c>
    </row>
    <row r="25017" spans="8:8">
      <c r="H25017" t="s">
        <v>27860</v>
      </c>
    </row>
    <row r="25018" spans="8:8">
      <c r="H25018" t="s">
        <v>22154</v>
      </c>
    </row>
    <row r="25019" spans="8:8">
      <c r="H25019" t="s">
        <v>27861</v>
      </c>
    </row>
    <row r="25020" spans="8:8">
      <c r="H25020" t="s">
        <v>27862</v>
      </c>
    </row>
    <row r="25021" spans="8:8">
      <c r="H25021" t="s">
        <v>27863</v>
      </c>
    </row>
    <row r="25022" spans="8:8">
      <c r="H25022" t="s">
        <v>27864</v>
      </c>
    </row>
    <row r="25023" spans="8:8">
      <c r="H25023" t="s">
        <v>27865</v>
      </c>
    </row>
    <row r="25024" spans="8:8">
      <c r="H25024" t="s">
        <v>18893</v>
      </c>
    </row>
    <row r="25025" spans="1:8">
      <c r="H25025" t="s">
        <v>27839</v>
      </c>
    </row>
    <row r="25026" spans="1:8">
      <c r="H25026" t="s">
        <v>27840</v>
      </c>
    </row>
    <row r="25027" spans="1:8">
      <c r="H25027" t="s">
        <v>27841</v>
      </c>
    </row>
    <row r="25028" spans="1:8">
      <c r="H25028" t="s">
        <v>20414</v>
      </c>
    </row>
    <row r="25029" spans="1:8">
      <c r="F25029" t="s">
        <v>10644</v>
      </c>
      <c r="G25029" t="s">
        <v>15045</v>
      </c>
      <c r="H25029" t="s">
        <v>18829</v>
      </c>
    </row>
    <row r="25030" spans="1:8">
      <c r="H25030" t="s">
        <v>27866</v>
      </c>
    </row>
    <row r="25031" spans="1:8">
      <c r="H25031" t="s">
        <v>27835</v>
      </c>
    </row>
    <row r="25032" spans="1:8">
      <c r="H25032" t="s">
        <v>27836</v>
      </c>
    </row>
    <row r="25033" spans="1:8">
      <c r="H25033" t="s">
        <v>27837</v>
      </c>
    </row>
    <row r="25034" spans="1:8">
      <c r="H25034" t="s">
        <v>27838</v>
      </c>
    </row>
    <row r="25035" spans="1:8">
      <c r="H25035" t="s">
        <v>27839</v>
      </c>
    </row>
    <row r="25036" spans="1:8">
      <c r="H25036" t="s">
        <v>27840</v>
      </c>
    </row>
    <row r="25037" spans="1:8">
      <c r="H25037" t="s">
        <v>27841</v>
      </c>
    </row>
    <row r="25038" spans="1:8">
      <c r="F25038" t="s">
        <v>12794</v>
      </c>
      <c r="G25038" t="s">
        <v>16977</v>
      </c>
      <c r="H25038" t="s">
        <v>27867</v>
      </c>
    </row>
    <row r="25039" spans="1:8">
      <c r="H25039" t="s">
        <v>18893</v>
      </c>
    </row>
    <row r="25040" spans="1:8">
      <c r="A25040" t="s">
        <v>1278</v>
      </c>
      <c r="B25040">
        <f>HYPERLINK("https://android.googlesource.com/platform/cts/+/f2c0f4bdb245a805552f40039f0c5256df029547", "f2c0f4bdb245a805552f40039f0c5256df029547")</f>
        <v>0</v>
      </c>
      <c r="C25040">
        <f>HYPERLINK("https://android.googlesource.com/platform/cts/+/ef1a6197a0994cbc10807e85d4a196d17e86ebe1", "ef1a6197a0994cbc10807e85d4a196d17e86ebe1")</f>
        <v>0</v>
      </c>
      <c r="D25040" t="s">
        <v>5143</v>
      </c>
      <c r="E25040" t="s">
        <v>7052</v>
      </c>
      <c r="F25040" t="s">
        <v>13101</v>
      </c>
      <c r="G25040" t="s">
        <v>17263</v>
      </c>
      <c r="H25040" t="s">
        <v>18829</v>
      </c>
    </row>
    <row r="25041" spans="6:8">
      <c r="H25041" t="s">
        <v>19073</v>
      </c>
    </row>
    <row r="25042" spans="6:8">
      <c r="H25042" t="s">
        <v>19078</v>
      </c>
    </row>
    <row r="25043" spans="6:8">
      <c r="H25043" t="s">
        <v>19079</v>
      </c>
    </row>
    <row r="25044" spans="6:8">
      <c r="H25044" t="s">
        <v>19080</v>
      </c>
    </row>
    <row r="25045" spans="6:8">
      <c r="H25045" t="s">
        <v>19081</v>
      </c>
    </row>
    <row r="25046" spans="6:8">
      <c r="F25046" t="s">
        <v>12316</v>
      </c>
      <c r="G25046" t="s">
        <v>16548</v>
      </c>
      <c r="H25046" t="s">
        <v>18829</v>
      </c>
    </row>
    <row r="25047" spans="6:8">
      <c r="H25047" t="s">
        <v>18980</v>
      </c>
    </row>
    <row r="25048" spans="6:8">
      <c r="H25048" t="s">
        <v>27868</v>
      </c>
    </row>
    <row r="25049" spans="6:8">
      <c r="H25049" t="s">
        <v>27869</v>
      </c>
    </row>
    <row r="25050" spans="6:8">
      <c r="H25050" t="s">
        <v>27830</v>
      </c>
    </row>
    <row r="25051" spans="6:8">
      <c r="H25051" t="s">
        <v>27870</v>
      </c>
    </row>
    <row r="25052" spans="6:8">
      <c r="H25052" t="s">
        <v>27871</v>
      </c>
    </row>
    <row r="25053" spans="6:8">
      <c r="F25053" t="s">
        <v>13102</v>
      </c>
      <c r="G25053" t="s">
        <v>17264</v>
      </c>
      <c r="H25053" t="s">
        <v>27872</v>
      </c>
    </row>
    <row r="25054" spans="6:8">
      <c r="F25054" t="s">
        <v>13103</v>
      </c>
      <c r="G25054" t="s">
        <v>17265</v>
      </c>
      <c r="H25054" t="s">
        <v>27830</v>
      </c>
    </row>
    <row r="25055" spans="6:8">
      <c r="F25055" t="s">
        <v>10782</v>
      </c>
      <c r="G25055" t="s">
        <v>15178</v>
      </c>
      <c r="H25055" t="s">
        <v>18829</v>
      </c>
    </row>
    <row r="25056" spans="6:8">
      <c r="H25056" t="s">
        <v>26410</v>
      </c>
    </row>
    <row r="25057" spans="6:8">
      <c r="H25057" t="s">
        <v>27839</v>
      </c>
    </row>
    <row r="25058" spans="6:8">
      <c r="H25058" t="s">
        <v>27840</v>
      </c>
    </row>
    <row r="25059" spans="6:8">
      <c r="H25059" t="s">
        <v>27841</v>
      </c>
    </row>
    <row r="25060" spans="6:8">
      <c r="H25060" t="s">
        <v>27137</v>
      </c>
    </row>
    <row r="25061" spans="6:8">
      <c r="H25061" t="s">
        <v>27873</v>
      </c>
    </row>
    <row r="25062" spans="6:8">
      <c r="H25062" t="s">
        <v>27874</v>
      </c>
    </row>
    <row r="25063" spans="6:8">
      <c r="H25063" t="s">
        <v>20414</v>
      </c>
    </row>
    <row r="25064" spans="6:8">
      <c r="H25064" t="s">
        <v>18893</v>
      </c>
    </row>
    <row r="25065" spans="6:8">
      <c r="F25065" t="s">
        <v>10783</v>
      </c>
      <c r="G25065" t="s">
        <v>15179</v>
      </c>
      <c r="H25065" t="s">
        <v>27839</v>
      </c>
    </row>
    <row r="25066" spans="6:8">
      <c r="H25066" t="s">
        <v>27840</v>
      </c>
    </row>
    <row r="25067" spans="6:8">
      <c r="H25067" t="s">
        <v>27841</v>
      </c>
    </row>
    <row r="25068" spans="6:8">
      <c r="H25068" t="s">
        <v>27137</v>
      </c>
    </row>
    <row r="25069" spans="6:8">
      <c r="H25069" t="s">
        <v>27873</v>
      </c>
    </row>
    <row r="25070" spans="6:8">
      <c r="H25070" t="s">
        <v>27874</v>
      </c>
    </row>
    <row r="25071" spans="6:8">
      <c r="H25071" t="s">
        <v>20414</v>
      </c>
    </row>
    <row r="25072" spans="6:8">
      <c r="H25072" t="s">
        <v>18893</v>
      </c>
    </row>
    <row r="25073" spans="8:8">
      <c r="H25073" t="s">
        <v>27845</v>
      </c>
    </row>
    <row r="25074" spans="8:8">
      <c r="H25074" t="s">
        <v>27875</v>
      </c>
    </row>
    <row r="25075" spans="8:8">
      <c r="H25075" t="s">
        <v>26536</v>
      </c>
    </row>
    <row r="25076" spans="8:8">
      <c r="H25076" t="s">
        <v>27847</v>
      </c>
    </row>
    <row r="25077" spans="8:8">
      <c r="H25077" t="s">
        <v>19082</v>
      </c>
    </row>
    <row r="25078" spans="8:8">
      <c r="H25078" t="s">
        <v>27689</v>
      </c>
    </row>
    <row r="25079" spans="8:8">
      <c r="H25079" t="s">
        <v>26157</v>
      </c>
    </row>
    <row r="25080" spans="8:8">
      <c r="H25080" t="s">
        <v>27876</v>
      </c>
    </row>
    <row r="25081" spans="8:8">
      <c r="H25081" t="s">
        <v>27877</v>
      </c>
    </row>
    <row r="25082" spans="8:8">
      <c r="H25082" t="s">
        <v>27878</v>
      </c>
    </row>
    <row r="25083" spans="8:8">
      <c r="H25083" t="s">
        <v>27879</v>
      </c>
    </row>
    <row r="25084" spans="8:8">
      <c r="H25084" t="s">
        <v>27880</v>
      </c>
    </row>
    <row r="25085" spans="8:8">
      <c r="H25085" t="s">
        <v>27881</v>
      </c>
    </row>
    <row r="25086" spans="8:8">
      <c r="H25086" t="s">
        <v>27882</v>
      </c>
    </row>
    <row r="25087" spans="8:8">
      <c r="H25087" t="s">
        <v>27883</v>
      </c>
    </row>
    <row r="25088" spans="8:8">
      <c r="H25088" t="s">
        <v>27884</v>
      </c>
    </row>
    <row r="25089" spans="1:8">
      <c r="F25089" t="s">
        <v>10646</v>
      </c>
      <c r="G25089" t="s">
        <v>15047</v>
      </c>
      <c r="H25089" t="s">
        <v>18983</v>
      </c>
    </row>
    <row r="25090" spans="1:8">
      <c r="H25090" t="s">
        <v>26533</v>
      </c>
    </row>
    <row r="25091" spans="1:8">
      <c r="H25091" t="s">
        <v>18893</v>
      </c>
    </row>
    <row r="25092" spans="1:8">
      <c r="H25092" t="s">
        <v>19074</v>
      </c>
    </row>
    <row r="25093" spans="1:8">
      <c r="F25093" t="s">
        <v>13104</v>
      </c>
      <c r="G25093" t="s">
        <v>17266</v>
      </c>
      <c r="H25093" t="s">
        <v>18829</v>
      </c>
    </row>
    <row r="25094" spans="1:8">
      <c r="H25094" t="s">
        <v>27885</v>
      </c>
    </row>
    <row r="25095" spans="1:8">
      <c r="H25095" t="s">
        <v>27886</v>
      </c>
    </row>
    <row r="25096" spans="1:8">
      <c r="H25096" t="s">
        <v>19073</v>
      </c>
    </row>
    <row r="25097" spans="1:8">
      <c r="H25097" t="s">
        <v>19078</v>
      </c>
    </row>
    <row r="25098" spans="1:8">
      <c r="H25098" t="s">
        <v>19079</v>
      </c>
    </row>
    <row r="25099" spans="1:8">
      <c r="H25099" t="s">
        <v>19080</v>
      </c>
    </row>
    <row r="25100" spans="1:8">
      <c r="H25100" t="s">
        <v>19081</v>
      </c>
    </row>
    <row r="25101" spans="1:8">
      <c r="A25101" t="s">
        <v>1279</v>
      </c>
      <c r="B25101">
        <f>HYPERLINK("https://android.googlesource.com/platform/cts/+/f3758dd8f19df415349232783138dbda32cb6b48", "f3758dd8f19df415349232783138dbda32cb6b48")</f>
        <v>0</v>
      </c>
      <c r="C25101">
        <f>HYPERLINK("https://android.googlesource.com/platform/cts/+/ef1a6197a0994cbc10807e85d4a196d17e86ebe1", "ef1a6197a0994cbc10807e85d4a196d17e86ebe1")</f>
        <v>0</v>
      </c>
      <c r="D25101" t="s">
        <v>5143</v>
      </c>
      <c r="E25101" t="s">
        <v>7053</v>
      </c>
      <c r="F25101" t="s">
        <v>12331</v>
      </c>
      <c r="G25101" t="s">
        <v>16559</v>
      </c>
      <c r="H25101" t="s">
        <v>18829</v>
      </c>
    </row>
    <row r="25102" spans="1:8">
      <c r="H25102" t="s">
        <v>27887</v>
      </c>
    </row>
    <row r="25103" spans="1:8">
      <c r="H25103" t="s">
        <v>27888</v>
      </c>
    </row>
    <row r="25104" spans="1:8">
      <c r="F25104" t="s">
        <v>10647</v>
      </c>
      <c r="G25104" t="s">
        <v>15048</v>
      </c>
      <c r="H25104" t="s">
        <v>18829</v>
      </c>
    </row>
    <row r="25105" spans="1:8">
      <c r="H25105" t="s">
        <v>27889</v>
      </c>
    </row>
    <row r="25106" spans="1:8">
      <c r="H25106" t="s">
        <v>27890</v>
      </c>
    </row>
    <row r="25107" spans="1:8">
      <c r="H25107" t="s">
        <v>27891</v>
      </c>
    </row>
    <row r="25108" spans="1:8">
      <c r="H25108" t="s">
        <v>27892</v>
      </c>
    </row>
    <row r="25109" spans="1:8">
      <c r="H25109" t="s">
        <v>27893</v>
      </c>
    </row>
    <row r="25110" spans="1:8">
      <c r="H25110" t="s">
        <v>27871</v>
      </c>
    </row>
    <row r="25111" spans="1:8">
      <c r="H25111" t="s">
        <v>27894</v>
      </c>
    </row>
    <row r="25112" spans="1:8">
      <c r="H25112" t="s">
        <v>27895</v>
      </c>
    </row>
    <row r="25113" spans="1:8">
      <c r="H25113" t="s">
        <v>18893</v>
      </c>
    </row>
    <row r="25114" spans="1:8">
      <c r="H25114" t="s">
        <v>27839</v>
      </c>
    </row>
    <row r="25115" spans="1:8">
      <c r="H25115" t="s">
        <v>27840</v>
      </c>
    </row>
    <row r="25116" spans="1:8">
      <c r="H25116" t="s">
        <v>27841</v>
      </c>
    </row>
    <row r="25117" spans="1:8">
      <c r="H25117" t="s">
        <v>20414</v>
      </c>
    </row>
    <row r="25118" spans="1:8">
      <c r="F25118" t="s">
        <v>12327</v>
      </c>
      <c r="G25118" t="s">
        <v>16557</v>
      </c>
      <c r="H25118" t="s">
        <v>18829</v>
      </c>
    </row>
    <row r="25119" spans="1:8">
      <c r="H25119" t="s">
        <v>27830</v>
      </c>
    </row>
    <row r="25120" spans="1:8">
      <c r="A25120" t="s">
        <v>1280</v>
      </c>
      <c r="B25120">
        <f>HYPERLINK("https://android.googlesource.com/platform/cts/+/614d1ea50c6b5b00f54e09d3643482ee87452c9e", "614d1ea50c6b5b00f54e09d3643482ee87452c9e")</f>
        <v>0</v>
      </c>
      <c r="C25120">
        <f>HYPERLINK("https://android.googlesource.com/platform/cts/+/ef1a6197a0994cbc10807e85d4a196d17e86ebe1", "ef1a6197a0994cbc10807e85d4a196d17e86ebe1")</f>
        <v>0</v>
      </c>
      <c r="D25120" t="s">
        <v>5143</v>
      </c>
      <c r="E25120" t="s">
        <v>7054</v>
      </c>
      <c r="F25120" t="s">
        <v>10606</v>
      </c>
      <c r="G25120" t="s">
        <v>15009</v>
      </c>
      <c r="H25120" t="s">
        <v>18829</v>
      </c>
    </row>
    <row r="25121" spans="1:8">
      <c r="F25121" t="s">
        <v>10785</v>
      </c>
      <c r="G25121" t="s">
        <v>15181</v>
      </c>
      <c r="H25121" t="s">
        <v>18829</v>
      </c>
    </row>
    <row r="25122" spans="1:8">
      <c r="H25122" t="s">
        <v>18863</v>
      </c>
    </row>
    <row r="25123" spans="1:8">
      <c r="F25123" t="s">
        <v>13105</v>
      </c>
      <c r="G25123" t="s">
        <v>17267</v>
      </c>
      <c r="H25123" t="s">
        <v>27896</v>
      </c>
    </row>
    <row r="25124" spans="1:8">
      <c r="H25124" t="s">
        <v>27897</v>
      </c>
    </row>
    <row r="25125" spans="1:8">
      <c r="F25125" t="s">
        <v>10625</v>
      </c>
      <c r="G25125" t="s">
        <v>15028</v>
      </c>
      <c r="H25125" t="s">
        <v>18829</v>
      </c>
    </row>
    <row r="25126" spans="1:8">
      <c r="H25126" t="s">
        <v>27898</v>
      </c>
    </row>
    <row r="25127" spans="1:8">
      <c r="H25127" t="s">
        <v>27899</v>
      </c>
    </row>
    <row r="25128" spans="1:8">
      <c r="H25128" t="s">
        <v>27900</v>
      </c>
    </row>
    <row r="25129" spans="1:8">
      <c r="H25129" t="s">
        <v>27901</v>
      </c>
    </row>
    <row r="25130" spans="1:8">
      <c r="A25130" t="s">
        <v>1281</v>
      </c>
      <c r="B25130">
        <f>HYPERLINK("https://android.googlesource.com/platform/cts/+/b4be6a5eb49690759c8a6c921050909a178bb880", "b4be6a5eb49690759c8a6c921050909a178bb880")</f>
        <v>0</v>
      </c>
      <c r="C25130">
        <f>HYPERLINK("https://android.googlesource.com/platform/cts/+/d51ba4034a02227b21a6326b04f874420d842aed", "d51ba4034a02227b21a6326b04f874420d842aed")</f>
        <v>0</v>
      </c>
      <c r="D25130" t="s">
        <v>5085</v>
      </c>
      <c r="E25130" t="s">
        <v>7055</v>
      </c>
      <c r="F25130" t="s">
        <v>13073</v>
      </c>
      <c r="G25130" t="s">
        <v>17056</v>
      </c>
      <c r="H25130" t="s">
        <v>27739</v>
      </c>
    </row>
    <row r="25131" spans="1:8">
      <c r="A25131" t="s">
        <v>1282</v>
      </c>
      <c r="B25131">
        <f>HYPERLINK("https://android.googlesource.com/platform/cts/+/a958c078213fdb0829c4c92663380c9c0525bbac", "a958c078213fdb0829c4c92663380c9c0525bbac")</f>
        <v>0</v>
      </c>
      <c r="C25131">
        <f>HYPERLINK("https://android.googlesource.com/platform/cts/+/5528c25898146c749688f893f5610ac301a56625", "5528c25898146c749688f893f5610ac301a56625")</f>
        <v>0</v>
      </c>
      <c r="D25131" t="s">
        <v>5143</v>
      </c>
      <c r="E25131" t="s">
        <v>7056</v>
      </c>
      <c r="F25131" t="s">
        <v>13106</v>
      </c>
      <c r="G25131" t="s">
        <v>17268</v>
      </c>
      <c r="H25131" t="s">
        <v>27839</v>
      </c>
    </row>
    <row r="25132" spans="1:8">
      <c r="H25132" t="s">
        <v>27840</v>
      </c>
    </row>
    <row r="25133" spans="1:8">
      <c r="H25133" t="s">
        <v>27841</v>
      </c>
    </row>
    <row r="25134" spans="1:8">
      <c r="H25134" t="s">
        <v>27137</v>
      </c>
    </row>
    <row r="25135" spans="1:8">
      <c r="H25135" t="s">
        <v>27873</v>
      </c>
    </row>
    <row r="25136" spans="1:8">
      <c r="H25136" t="s">
        <v>27874</v>
      </c>
    </row>
    <row r="25137" spans="8:8">
      <c r="H25137" t="s">
        <v>20414</v>
      </c>
    </row>
    <row r="25138" spans="8:8">
      <c r="H25138" t="s">
        <v>18893</v>
      </c>
    </row>
    <row r="25139" spans="8:8">
      <c r="H25139" t="s">
        <v>27845</v>
      </c>
    </row>
    <row r="25140" spans="8:8">
      <c r="H25140" t="s">
        <v>27875</v>
      </c>
    </row>
    <row r="25141" spans="8:8">
      <c r="H25141" t="s">
        <v>26536</v>
      </c>
    </row>
    <row r="25142" spans="8:8">
      <c r="H25142" t="s">
        <v>27847</v>
      </c>
    </row>
    <row r="25143" spans="8:8">
      <c r="H25143" t="s">
        <v>19082</v>
      </c>
    </row>
    <row r="25144" spans="8:8">
      <c r="H25144" t="s">
        <v>27689</v>
      </c>
    </row>
    <row r="25145" spans="8:8">
      <c r="H25145" t="s">
        <v>26157</v>
      </c>
    </row>
    <row r="25146" spans="8:8">
      <c r="H25146" t="s">
        <v>27876</v>
      </c>
    </row>
    <row r="25147" spans="8:8">
      <c r="H25147" t="s">
        <v>27877</v>
      </c>
    </row>
    <row r="25148" spans="8:8">
      <c r="H25148" t="s">
        <v>27878</v>
      </c>
    </row>
    <row r="25149" spans="8:8">
      <c r="H25149" t="s">
        <v>27879</v>
      </c>
    </row>
    <row r="25150" spans="8:8">
      <c r="H25150" t="s">
        <v>27880</v>
      </c>
    </row>
    <row r="25151" spans="8:8">
      <c r="H25151" t="s">
        <v>27881</v>
      </c>
    </row>
    <row r="25152" spans="8:8">
      <c r="H25152" t="s">
        <v>27882</v>
      </c>
    </row>
    <row r="25153" spans="6:8">
      <c r="H25153" t="s">
        <v>27883</v>
      </c>
    </row>
    <row r="25154" spans="6:8">
      <c r="H25154" t="s">
        <v>27884</v>
      </c>
    </row>
    <row r="25155" spans="6:8">
      <c r="H25155" t="s">
        <v>24980</v>
      </c>
    </row>
    <row r="25156" spans="6:8">
      <c r="H25156" t="s">
        <v>18893</v>
      </c>
    </row>
    <row r="25157" spans="6:8">
      <c r="F25157" t="s">
        <v>10645</v>
      </c>
      <c r="G25157" t="s">
        <v>15046</v>
      </c>
      <c r="H25157" t="s">
        <v>27902</v>
      </c>
    </row>
    <row r="25158" spans="6:8">
      <c r="H25158" t="s">
        <v>27903</v>
      </c>
    </row>
    <row r="25159" spans="6:8">
      <c r="H25159" t="s">
        <v>27904</v>
      </c>
    </row>
    <row r="25160" spans="6:8">
      <c r="H25160" t="s">
        <v>27905</v>
      </c>
    </row>
    <row r="25161" spans="6:8">
      <c r="H25161" t="s">
        <v>27830</v>
      </c>
    </row>
    <row r="25162" spans="6:8">
      <c r="F25162" t="s">
        <v>13107</v>
      </c>
      <c r="G25162" t="s">
        <v>17269</v>
      </c>
      <c r="H25162" t="s">
        <v>27906</v>
      </c>
    </row>
    <row r="25163" spans="6:8">
      <c r="H25163" t="s">
        <v>18829</v>
      </c>
    </row>
    <row r="25164" spans="6:8">
      <c r="H25164" t="s">
        <v>27907</v>
      </c>
    </row>
    <row r="25165" spans="6:8">
      <c r="H25165" t="s">
        <v>27908</v>
      </c>
    </row>
    <row r="25166" spans="6:8">
      <c r="H25166" t="s">
        <v>18927</v>
      </c>
    </row>
    <row r="25167" spans="6:8">
      <c r="H25167" t="s">
        <v>27909</v>
      </c>
    </row>
    <row r="25168" spans="6:8">
      <c r="H25168" t="s">
        <v>18896</v>
      </c>
    </row>
    <row r="25169" spans="6:8">
      <c r="H25169" t="s">
        <v>27910</v>
      </c>
    </row>
    <row r="25170" spans="6:8">
      <c r="F25170" t="s">
        <v>10727</v>
      </c>
      <c r="G25170" t="s">
        <v>15126</v>
      </c>
      <c r="H25170" t="s">
        <v>27830</v>
      </c>
    </row>
    <row r="25171" spans="6:8">
      <c r="F25171" t="s">
        <v>10781</v>
      </c>
      <c r="G25171" t="s">
        <v>15177</v>
      </c>
      <c r="H25171" t="s">
        <v>27839</v>
      </c>
    </row>
    <row r="25172" spans="6:8">
      <c r="H25172" t="s">
        <v>27840</v>
      </c>
    </row>
    <row r="25173" spans="6:8">
      <c r="H25173" t="s">
        <v>27841</v>
      </c>
    </row>
    <row r="25174" spans="6:8">
      <c r="H25174" t="s">
        <v>27137</v>
      </c>
    </row>
    <row r="25175" spans="6:8">
      <c r="H25175" t="s">
        <v>27873</v>
      </c>
    </row>
    <row r="25176" spans="6:8">
      <c r="H25176" t="s">
        <v>27874</v>
      </c>
    </row>
    <row r="25177" spans="6:8">
      <c r="H25177" t="s">
        <v>20414</v>
      </c>
    </row>
    <row r="25178" spans="6:8">
      <c r="H25178" t="s">
        <v>18893</v>
      </c>
    </row>
    <row r="25179" spans="6:8">
      <c r="H25179" t="s">
        <v>26157</v>
      </c>
    </row>
    <row r="25180" spans="6:8">
      <c r="H25180" t="s">
        <v>27832</v>
      </c>
    </row>
    <row r="25181" spans="6:8">
      <c r="H25181" t="s">
        <v>27862</v>
      </c>
    </row>
    <row r="25182" spans="6:8">
      <c r="H25182" t="s">
        <v>27911</v>
      </c>
    </row>
    <row r="25183" spans="6:8">
      <c r="H25183" t="s">
        <v>27847</v>
      </c>
    </row>
    <row r="25184" spans="6:8">
      <c r="H25184" t="s">
        <v>19082</v>
      </c>
    </row>
    <row r="25185" spans="1:8">
      <c r="H25185" t="s">
        <v>27912</v>
      </c>
    </row>
    <row r="25186" spans="1:8">
      <c r="H25186" t="s">
        <v>27878</v>
      </c>
    </row>
    <row r="25187" spans="1:8">
      <c r="H25187" t="s">
        <v>27913</v>
      </c>
    </row>
    <row r="25188" spans="1:8">
      <c r="H25188" t="s">
        <v>27914</v>
      </c>
    </row>
    <row r="25189" spans="1:8">
      <c r="H25189" t="s">
        <v>27915</v>
      </c>
    </row>
    <row r="25190" spans="1:8">
      <c r="H25190" t="s">
        <v>27830</v>
      </c>
    </row>
    <row r="25191" spans="1:8">
      <c r="A25191" t="s">
        <v>1283</v>
      </c>
      <c r="B25191">
        <f>HYPERLINK("https://android.googlesource.com/platform/cts/+/0ca4f08cf337e15452e8c5ce23ea49837f6346b2", "0ca4f08cf337e15452e8c5ce23ea49837f6346b2")</f>
        <v>0</v>
      </c>
      <c r="C25191">
        <f>HYPERLINK("https://android.googlesource.com/platform/cts/+/5a8f0d5cdbf2af65e8613f6431c71ea882539a31", "5a8f0d5cdbf2af65e8613f6431c71ea882539a31")</f>
        <v>0</v>
      </c>
      <c r="D25191" t="s">
        <v>5143</v>
      </c>
      <c r="E25191" t="s">
        <v>7057</v>
      </c>
      <c r="F25191" t="s">
        <v>13108</v>
      </c>
      <c r="G25191" t="s">
        <v>17270</v>
      </c>
      <c r="H25191" t="s">
        <v>27897</v>
      </c>
    </row>
    <row r="25192" spans="1:8">
      <c r="H25192" t="s">
        <v>27897</v>
      </c>
    </row>
    <row r="25193" spans="1:8">
      <c r="F25193" t="s">
        <v>13109</v>
      </c>
      <c r="G25193" t="s">
        <v>17271</v>
      </c>
      <c r="H25193" t="s">
        <v>18829</v>
      </c>
    </row>
    <row r="25194" spans="1:8">
      <c r="F25194" t="s">
        <v>13110</v>
      </c>
      <c r="G25194" t="s">
        <v>17272</v>
      </c>
      <c r="H25194" t="s">
        <v>27916</v>
      </c>
    </row>
    <row r="25195" spans="1:8">
      <c r="H25195" t="s">
        <v>27917</v>
      </c>
    </row>
    <row r="25196" spans="1:8">
      <c r="A25196" t="s">
        <v>1284</v>
      </c>
      <c r="B25196">
        <f>HYPERLINK("https://android.googlesource.com/platform/cts/+/596d54378d303231a330fcbbc8bc247e6955d310", "596d54378d303231a330fcbbc8bc247e6955d310")</f>
        <v>0</v>
      </c>
      <c r="C25196">
        <f>HYPERLINK("https://android.googlesource.com/platform/cts/+/122d6247c4ce509ad1189fc3f2505bd2d3b846b0", "122d6247c4ce509ad1189fc3f2505bd2d3b846b0")</f>
        <v>0</v>
      </c>
      <c r="D25196" t="s">
        <v>5179</v>
      </c>
      <c r="E25196" t="s">
        <v>6997</v>
      </c>
      <c r="F25196" t="s">
        <v>12969</v>
      </c>
      <c r="G25196" t="s">
        <v>17133</v>
      </c>
      <c r="H25196" t="s">
        <v>27316</v>
      </c>
    </row>
    <row r="25197" spans="1:8">
      <c r="A25197" t="s">
        <v>1285</v>
      </c>
      <c r="B25197">
        <f>HYPERLINK("https://android.googlesource.com/platform/cts/+/b3f0a0aff12a1d24b3c570286c059c3f0d22fc03", "b3f0a0aff12a1d24b3c570286c059c3f0d22fc03")</f>
        <v>0</v>
      </c>
      <c r="C25197">
        <f>HYPERLINK("https://android.googlesource.com/platform/cts/+/0ca4f08cf337e15452e8c5ce23ea49837f6346b2", "0ca4f08cf337e15452e8c5ce23ea49837f6346b2")</f>
        <v>0</v>
      </c>
      <c r="D25197" t="s">
        <v>5143</v>
      </c>
      <c r="E25197" t="s">
        <v>7058</v>
      </c>
      <c r="F25197" t="s">
        <v>13111</v>
      </c>
      <c r="G25197" t="s">
        <v>17273</v>
      </c>
      <c r="H25197" t="s">
        <v>27918</v>
      </c>
    </row>
    <row r="25198" spans="1:8">
      <c r="H25198" t="s">
        <v>27919</v>
      </c>
    </row>
    <row r="25199" spans="1:8">
      <c r="F25199" t="s">
        <v>10626</v>
      </c>
      <c r="G25199" t="s">
        <v>15029</v>
      </c>
      <c r="H25199" t="s">
        <v>18829</v>
      </c>
    </row>
    <row r="25200" spans="1:8">
      <c r="H25200" t="s">
        <v>27920</v>
      </c>
    </row>
    <row r="25201" spans="6:8">
      <c r="F25201" t="s">
        <v>10627</v>
      </c>
      <c r="G25201" t="s">
        <v>15030</v>
      </c>
      <c r="H25201" t="s">
        <v>18829</v>
      </c>
    </row>
    <row r="25202" spans="6:8">
      <c r="H25202" t="s">
        <v>27921</v>
      </c>
    </row>
    <row r="25203" spans="6:8">
      <c r="H25203" t="s">
        <v>27922</v>
      </c>
    </row>
    <row r="25204" spans="6:8">
      <c r="H25204" t="s">
        <v>27923</v>
      </c>
    </row>
    <row r="25205" spans="6:8">
      <c r="H25205" t="s">
        <v>27924</v>
      </c>
    </row>
    <row r="25206" spans="6:8">
      <c r="H25206" t="s">
        <v>27925</v>
      </c>
    </row>
    <row r="25207" spans="6:8">
      <c r="H25207" t="s">
        <v>27926</v>
      </c>
    </row>
    <row r="25208" spans="6:8">
      <c r="H25208" t="s">
        <v>27927</v>
      </c>
    </row>
    <row r="25209" spans="6:8">
      <c r="H25209" t="s">
        <v>27928</v>
      </c>
    </row>
    <row r="25210" spans="6:8">
      <c r="H25210" t="s">
        <v>27929</v>
      </c>
    </row>
    <row r="25211" spans="6:8">
      <c r="H25211" t="s">
        <v>27930</v>
      </c>
    </row>
    <row r="25212" spans="6:8">
      <c r="H25212" t="s">
        <v>27931</v>
      </c>
    </row>
    <row r="25213" spans="6:8">
      <c r="H25213" t="s">
        <v>27932</v>
      </c>
    </row>
    <row r="25214" spans="6:8">
      <c r="H25214" t="s">
        <v>27933</v>
      </c>
    </row>
    <row r="25215" spans="6:8">
      <c r="H25215" t="s">
        <v>27934</v>
      </c>
    </row>
    <row r="25216" spans="6:8">
      <c r="H25216" t="s">
        <v>27935</v>
      </c>
    </row>
    <row r="25217" spans="1:8">
      <c r="H25217" t="s">
        <v>27936</v>
      </c>
    </row>
    <row r="25218" spans="1:8">
      <c r="H25218" t="s">
        <v>27937</v>
      </c>
    </row>
    <row r="25219" spans="1:8">
      <c r="H25219" t="s">
        <v>27938</v>
      </c>
    </row>
    <row r="25220" spans="1:8">
      <c r="A25220" t="s">
        <v>1286</v>
      </c>
      <c r="B25220">
        <f>HYPERLINK("https://android.googlesource.com/platform/cts/+/6c6ebc13b2a14a7eb141ddbd9fbcc3e8279acec7", "6c6ebc13b2a14a7eb141ddbd9fbcc3e8279acec7")</f>
        <v>0</v>
      </c>
      <c r="C25220">
        <f>HYPERLINK("https://android.googlesource.com/platform/cts/+/0ca4f08cf337e15452e8c5ce23ea49837f6346b2", "0ca4f08cf337e15452e8c5ce23ea49837f6346b2")</f>
        <v>0</v>
      </c>
      <c r="D25220" t="s">
        <v>5143</v>
      </c>
      <c r="E25220" t="s">
        <v>7059</v>
      </c>
      <c r="F25220" t="s">
        <v>13112</v>
      </c>
      <c r="G25220" t="s">
        <v>17274</v>
      </c>
      <c r="H25220" t="s">
        <v>18829</v>
      </c>
    </row>
    <row r="25221" spans="1:8">
      <c r="F25221" t="s">
        <v>10583</v>
      </c>
      <c r="G25221" t="s">
        <v>14986</v>
      </c>
      <c r="H25221" t="s">
        <v>27939</v>
      </c>
    </row>
    <row r="25222" spans="1:8">
      <c r="H25222" t="s">
        <v>27940</v>
      </c>
    </row>
    <row r="25223" spans="1:8">
      <c r="H25223" t="s">
        <v>27939</v>
      </c>
    </row>
    <row r="25224" spans="1:8">
      <c r="H25224" t="s">
        <v>27941</v>
      </c>
    </row>
    <row r="25225" spans="1:8">
      <c r="F25225" t="s">
        <v>13113</v>
      </c>
      <c r="G25225" t="s">
        <v>17275</v>
      </c>
      <c r="H25225" t="s">
        <v>27897</v>
      </c>
    </row>
    <row r="25226" spans="1:8">
      <c r="F25226" t="s">
        <v>12912</v>
      </c>
      <c r="G25226" t="s">
        <v>17078</v>
      </c>
      <c r="H25226" t="s">
        <v>18829</v>
      </c>
    </row>
    <row r="25227" spans="1:8">
      <c r="H25227" t="s">
        <v>27942</v>
      </c>
    </row>
    <row r="25228" spans="1:8">
      <c r="H25228" t="s">
        <v>27943</v>
      </c>
    </row>
    <row r="25229" spans="1:8">
      <c r="H25229" t="s">
        <v>27944</v>
      </c>
    </row>
    <row r="25230" spans="1:8">
      <c r="H25230" t="s">
        <v>27945</v>
      </c>
    </row>
    <row r="25231" spans="1:8">
      <c r="H25231" t="s">
        <v>27946</v>
      </c>
    </row>
    <row r="25232" spans="1:8">
      <c r="A25232" t="s">
        <v>1287</v>
      </c>
      <c r="B25232">
        <f>HYPERLINK("https://android.googlesource.com/platform/cts/+/edb8aec92abd43a13f7982844c0d53cac681f580", "edb8aec92abd43a13f7982844c0d53cac681f580")</f>
        <v>0</v>
      </c>
      <c r="C25232">
        <f>HYPERLINK("https://android.googlesource.com/platform/cts/+/0ca4f08cf337e15452e8c5ce23ea49837f6346b2", "0ca4f08cf337e15452e8c5ce23ea49837f6346b2")</f>
        <v>0</v>
      </c>
      <c r="D25232" t="s">
        <v>5143</v>
      </c>
      <c r="E25232" t="s">
        <v>7060</v>
      </c>
      <c r="F25232" t="s">
        <v>13114</v>
      </c>
      <c r="G25232" t="s">
        <v>17276</v>
      </c>
      <c r="H25232" t="s">
        <v>27947</v>
      </c>
    </row>
    <row r="25233" spans="6:8">
      <c r="H25233" t="s">
        <v>18829</v>
      </c>
    </row>
    <row r="25234" spans="6:8">
      <c r="F25234" t="s">
        <v>13115</v>
      </c>
      <c r="G25234" t="s">
        <v>17277</v>
      </c>
      <c r="H25234" t="s">
        <v>18829</v>
      </c>
    </row>
    <row r="25235" spans="6:8">
      <c r="H25235" t="s">
        <v>27948</v>
      </c>
    </row>
    <row r="25236" spans="6:8">
      <c r="H25236" t="s">
        <v>27949</v>
      </c>
    </row>
    <row r="25237" spans="6:8">
      <c r="F25237" t="s">
        <v>13116</v>
      </c>
      <c r="G25237" t="s">
        <v>17278</v>
      </c>
      <c r="H25237" t="s">
        <v>18829</v>
      </c>
    </row>
    <row r="25238" spans="6:8">
      <c r="H25238" t="s">
        <v>27950</v>
      </c>
    </row>
    <row r="25239" spans="6:8">
      <c r="H25239" t="s">
        <v>27951</v>
      </c>
    </row>
    <row r="25240" spans="6:8">
      <c r="H25240" t="s">
        <v>27952</v>
      </c>
    </row>
    <row r="25241" spans="6:8">
      <c r="F25241" t="s">
        <v>10597</v>
      </c>
      <c r="G25241" t="s">
        <v>15000</v>
      </c>
      <c r="H25241" t="s">
        <v>27953</v>
      </c>
    </row>
    <row r="25242" spans="6:8">
      <c r="H25242" t="s">
        <v>27954</v>
      </c>
    </row>
    <row r="25243" spans="6:8">
      <c r="H25243" t="s">
        <v>27955</v>
      </c>
    </row>
    <row r="25244" spans="6:8">
      <c r="H25244" t="s">
        <v>27956</v>
      </c>
    </row>
    <row r="25245" spans="6:8">
      <c r="H25245" t="s">
        <v>27957</v>
      </c>
    </row>
    <row r="25246" spans="6:8">
      <c r="H25246" t="s">
        <v>27958</v>
      </c>
    </row>
    <row r="25247" spans="6:8">
      <c r="H25247" t="s">
        <v>27959</v>
      </c>
    </row>
    <row r="25248" spans="6:8">
      <c r="H25248" t="s">
        <v>27960</v>
      </c>
    </row>
    <row r="25249" spans="1:8">
      <c r="A25249" t="s">
        <v>1288</v>
      </c>
      <c r="B25249">
        <f>HYPERLINK("https://android.googlesource.com/platform/cts/+/31758c5853246db35cf44e1cf837210612d936f6", "31758c5853246db35cf44e1cf837210612d936f6")</f>
        <v>0</v>
      </c>
      <c r="C25249">
        <f>HYPERLINK("https://android.googlesource.com/platform/cts/+/f49ff4fd1ba6c741f7435d7c39772b87e66d89a9", "f49ff4fd1ba6c741f7435d7c39772b87e66d89a9")</f>
        <v>0</v>
      </c>
      <c r="D25249" t="s">
        <v>5143</v>
      </c>
      <c r="E25249" t="s">
        <v>7061</v>
      </c>
      <c r="F25249" t="s">
        <v>10607</v>
      </c>
      <c r="G25249" t="s">
        <v>15010</v>
      </c>
      <c r="H25249" t="s">
        <v>18829</v>
      </c>
    </row>
    <row r="25250" spans="1:8">
      <c r="F25250" t="s">
        <v>10634</v>
      </c>
      <c r="G25250" t="s">
        <v>15037</v>
      </c>
      <c r="H25250" t="s">
        <v>27961</v>
      </c>
    </row>
    <row r="25251" spans="1:8">
      <c r="H25251" t="s">
        <v>27962</v>
      </c>
    </row>
    <row r="25252" spans="1:8">
      <c r="F25252" t="s">
        <v>13117</v>
      </c>
      <c r="G25252" t="s">
        <v>17279</v>
      </c>
      <c r="H25252" t="s">
        <v>27963</v>
      </c>
    </row>
    <row r="25253" spans="1:8">
      <c r="H25253" t="s">
        <v>27964</v>
      </c>
    </row>
    <row r="25254" spans="1:8">
      <c r="H25254" t="s">
        <v>27965</v>
      </c>
    </row>
    <row r="25255" spans="1:8">
      <c r="F25255" t="s">
        <v>13118</v>
      </c>
      <c r="G25255" t="s">
        <v>17280</v>
      </c>
      <c r="H25255" t="s">
        <v>18829</v>
      </c>
    </row>
    <row r="25256" spans="1:8">
      <c r="F25256" t="s">
        <v>13119</v>
      </c>
      <c r="G25256" t="s">
        <v>17281</v>
      </c>
      <c r="H25256" t="s">
        <v>18829</v>
      </c>
    </row>
    <row r="25257" spans="1:8">
      <c r="A25257" t="s">
        <v>1289</v>
      </c>
      <c r="B25257">
        <f>HYPERLINK("https://android.googlesource.com/platform/cts/+/15e8f60a46b91864e039f608f5df8098b4483203", "15e8f60a46b91864e039f608f5df8098b4483203")</f>
        <v>0</v>
      </c>
      <c r="C25257">
        <f>HYPERLINK("https://android.googlesource.com/platform/cts/+/f49ff4fd1ba6c741f7435d7c39772b87e66d89a9", "f49ff4fd1ba6c741f7435d7c39772b87e66d89a9")</f>
        <v>0</v>
      </c>
      <c r="D25257" t="s">
        <v>5143</v>
      </c>
      <c r="E25257" t="s">
        <v>7062</v>
      </c>
      <c r="F25257" t="s">
        <v>10639</v>
      </c>
      <c r="G25257" t="s">
        <v>15042</v>
      </c>
      <c r="H25257" t="s">
        <v>27966</v>
      </c>
    </row>
    <row r="25258" spans="1:8">
      <c r="H25258" t="s">
        <v>27967</v>
      </c>
    </row>
    <row r="25259" spans="1:8">
      <c r="H25259" t="s">
        <v>27968</v>
      </c>
    </row>
    <row r="25260" spans="1:8">
      <c r="H25260" t="s">
        <v>27969</v>
      </c>
    </row>
    <row r="25261" spans="1:8">
      <c r="H25261" t="s">
        <v>27970</v>
      </c>
    </row>
    <row r="25262" spans="1:8">
      <c r="H25262" t="s">
        <v>27971</v>
      </c>
    </row>
    <row r="25263" spans="1:8">
      <c r="H25263" t="s">
        <v>27972</v>
      </c>
    </row>
    <row r="25264" spans="1:8">
      <c r="H25264" t="s">
        <v>27973</v>
      </c>
    </row>
    <row r="25265" spans="8:8">
      <c r="H25265" t="s">
        <v>27974</v>
      </c>
    </row>
    <row r="25266" spans="8:8">
      <c r="H25266" t="s">
        <v>27975</v>
      </c>
    </row>
    <row r="25267" spans="8:8">
      <c r="H25267" t="s">
        <v>27976</v>
      </c>
    </row>
    <row r="25268" spans="8:8">
      <c r="H25268" t="s">
        <v>27977</v>
      </c>
    </row>
    <row r="25269" spans="8:8">
      <c r="H25269" t="s">
        <v>27978</v>
      </c>
    </row>
    <row r="25270" spans="8:8">
      <c r="H25270" t="s">
        <v>27979</v>
      </c>
    </row>
    <row r="25271" spans="8:8">
      <c r="H25271" t="s">
        <v>27980</v>
      </c>
    </row>
    <row r="25272" spans="8:8">
      <c r="H25272" t="s">
        <v>27981</v>
      </c>
    </row>
    <row r="25273" spans="8:8">
      <c r="H25273" t="s">
        <v>27982</v>
      </c>
    </row>
    <row r="25274" spans="8:8">
      <c r="H25274" t="s">
        <v>27983</v>
      </c>
    </row>
    <row r="25275" spans="8:8">
      <c r="H25275" t="s">
        <v>27984</v>
      </c>
    </row>
    <row r="25276" spans="8:8">
      <c r="H25276" t="s">
        <v>27985</v>
      </c>
    </row>
    <row r="25277" spans="8:8">
      <c r="H25277" t="s">
        <v>27986</v>
      </c>
    </row>
    <row r="25278" spans="8:8">
      <c r="H25278" t="s">
        <v>27987</v>
      </c>
    </row>
    <row r="25279" spans="8:8">
      <c r="H25279" t="s">
        <v>27988</v>
      </c>
    </row>
    <row r="25280" spans="8:8">
      <c r="H25280" t="s">
        <v>27989</v>
      </c>
    </row>
    <row r="25281" spans="6:8">
      <c r="H25281" t="s">
        <v>27990</v>
      </c>
    </row>
    <row r="25282" spans="6:8">
      <c r="H25282" t="s">
        <v>27991</v>
      </c>
    </row>
    <row r="25283" spans="6:8">
      <c r="H25283" t="s">
        <v>27992</v>
      </c>
    </row>
    <row r="25284" spans="6:8">
      <c r="H25284" t="s">
        <v>27993</v>
      </c>
    </row>
    <row r="25285" spans="6:8">
      <c r="H25285" t="s">
        <v>27994</v>
      </c>
    </row>
    <row r="25286" spans="6:8">
      <c r="H25286" t="s">
        <v>27995</v>
      </c>
    </row>
    <row r="25287" spans="6:8">
      <c r="H25287" t="s">
        <v>27996</v>
      </c>
    </row>
    <row r="25288" spans="6:8">
      <c r="H25288" t="s">
        <v>27997</v>
      </c>
    </row>
    <row r="25289" spans="6:8">
      <c r="H25289" t="s">
        <v>27998</v>
      </c>
    </row>
    <row r="25290" spans="6:8">
      <c r="H25290" t="s">
        <v>27999</v>
      </c>
    </row>
    <row r="25291" spans="6:8">
      <c r="H25291" t="s">
        <v>28000</v>
      </c>
    </row>
    <row r="25292" spans="6:8">
      <c r="H25292" t="s">
        <v>28001</v>
      </c>
    </row>
    <row r="25293" spans="6:8">
      <c r="H25293" t="s">
        <v>28002</v>
      </c>
    </row>
    <row r="25294" spans="6:8">
      <c r="F25294" t="s">
        <v>13120</v>
      </c>
      <c r="G25294" t="s">
        <v>17282</v>
      </c>
      <c r="H25294" t="s">
        <v>18829</v>
      </c>
    </row>
    <row r="25295" spans="6:8">
      <c r="H25295" t="s">
        <v>28003</v>
      </c>
    </row>
    <row r="25296" spans="6:8">
      <c r="F25296" t="s">
        <v>13121</v>
      </c>
      <c r="G25296" t="s">
        <v>17283</v>
      </c>
      <c r="H25296" t="s">
        <v>28004</v>
      </c>
    </row>
    <row r="25297" spans="1:8">
      <c r="H25297" t="s">
        <v>28005</v>
      </c>
    </row>
    <row r="25298" spans="1:8">
      <c r="F25298" t="s">
        <v>13122</v>
      </c>
      <c r="G25298" t="s">
        <v>17284</v>
      </c>
      <c r="H25298" t="s">
        <v>28006</v>
      </c>
    </row>
    <row r="25299" spans="1:8">
      <c r="H25299" t="s">
        <v>18829</v>
      </c>
    </row>
    <row r="25300" spans="1:8">
      <c r="F25300" t="s">
        <v>13123</v>
      </c>
      <c r="G25300" t="s">
        <v>17285</v>
      </c>
      <c r="H25300" t="s">
        <v>18829</v>
      </c>
    </row>
    <row r="25301" spans="1:8">
      <c r="H25301" t="s">
        <v>28007</v>
      </c>
    </row>
    <row r="25302" spans="1:8">
      <c r="A25302" t="s">
        <v>1290</v>
      </c>
      <c r="B25302">
        <f>HYPERLINK("https://android.googlesource.com/platform/cts/+/01208f4de3714bd88f62aac0c3fc4d4511deb1b1", "01208f4de3714bd88f62aac0c3fc4d4511deb1b1")</f>
        <v>0</v>
      </c>
      <c r="C25302">
        <f>HYPERLINK("https://android.googlesource.com/platform/cts/+/17a3a6d38d435b6c08b3ccc8e88fcb61a40f1398", "17a3a6d38d435b6c08b3ccc8e88fcb61a40f1398")</f>
        <v>0</v>
      </c>
      <c r="D25302" t="s">
        <v>5115</v>
      </c>
      <c r="E25302" t="s">
        <v>7063</v>
      </c>
      <c r="F25302" t="s">
        <v>12708</v>
      </c>
      <c r="G25302" t="s">
        <v>15044</v>
      </c>
      <c r="H25302" t="s">
        <v>27325</v>
      </c>
    </row>
    <row r="25303" spans="1:8">
      <c r="A25303" t="s">
        <v>1291</v>
      </c>
      <c r="B25303">
        <f>HYPERLINK("https://android.googlesource.com/platform/cts/+/e9318bebca6df0b7e672ece6d4e5f4da9fdcd46c", "e9318bebca6df0b7e672ece6d4e5f4da9fdcd46c")</f>
        <v>0</v>
      </c>
      <c r="C25303">
        <f>HYPERLINK("https://android.googlesource.com/platform/cts/+/bd5cfb5a1b66120bc3a6d10b37af563d5a8aa641", "bd5cfb5a1b66120bc3a6d10b37af563d5a8aa641")</f>
        <v>0</v>
      </c>
      <c r="D25303" t="s">
        <v>5143</v>
      </c>
      <c r="E25303" t="s">
        <v>7064</v>
      </c>
      <c r="F25303" t="s">
        <v>13124</v>
      </c>
      <c r="G25303" t="s">
        <v>17211</v>
      </c>
      <c r="H25303" t="s">
        <v>28008</v>
      </c>
    </row>
    <row r="25304" spans="1:8">
      <c r="H25304" t="s">
        <v>18829</v>
      </c>
    </row>
    <row r="25305" spans="1:8">
      <c r="A25305" t="s">
        <v>1292</v>
      </c>
      <c r="B25305">
        <f>HYPERLINK("https://android.googlesource.com/platform/cts/+/3c987ef05601f9a3043c90032fe42fb3dae8152a", "3c987ef05601f9a3043c90032fe42fb3dae8152a")</f>
        <v>0</v>
      </c>
      <c r="C25305">
        <f>HYPERLINK("https://android.googlesource.com/platform/cts/+/7c5ec7561d3cf6f57219ae3fb30e997bf4303825", "7c5ec7561d3cf6f57219ae3fb30e997bf4303825")</f>
        <v>0</v>
      </c>
      <c r="D25305" t="s">
        <v>5018</v>
      </c>
      <c r="E25305" t="s">
        <v>7065</v>
      </c>
      <c r="F25305" t="s">
        <v>13125</v>
      </c>
      <c r="G25305" t="s">
        <v>14989</v>
      </c>
      <c r="H25305" t="s">
        <v>21488</v>
      </c>
    </row>
    <row r="25306" spans="1:8">
      <c r="H25306" t="s">
        <v>21489</v>
      </c>
    </row>
    <row r="25307" spans="1:8">
      <c r="H25307" t="s">
        <v>21490</v>
      </c>
    </row>
    <row r="25308" spans="1:8">
      <c r="H25308" t="s">
        <v>21491</v>
      </c>
    </row>
    <row r="25309" spans="1:8">
      <c r="H25309" t="s">
        <v>21492</v>
      </c>
    </row>
    <row r="25310" spans="1:8">
      <c r="H25310" t="s">
        <v>21493</v>
      </c>
    </row>
    <row r="25311" spans="1:8">
      <c r="A25311" t="s">
        <v>1293</v>
      </c>
      <c r="B25311">
        <f>HYPERLINK("https://android.googlesource.com/platform/cts/+/ca3ca9ea0521383b863cb0a963429cd381b6cdca", "ca3ca9ea0521383b863cb0a963429cd381b6cdca")</f>
        <v>0</v>
      </c>
      <c r="C25311">
        <f>HYPERLINK("https://android.googlesource.com/platform/cts/+/c5e7d8cbd760e7c6715a964ca4bcf2eecb591d59", "c5e7d8cbd760e7c6715a964ca4bcf2eecb591d59")</f>
        <v>0</v>
      </c>
      <c r="D25311" t="s">
        <v>5021</v>
      </c>
      <c r="E25311" t="s">
        <v>7066</v>
      </c>
      <c r="F25311" t="s">
        <v>13126</v>
      </c>
      <c r="G25311" t="s">
        <v>17286</v>
      </c>
      <c r="H25311" t="s">
        <v>28009</v>
      </c>
    </row>
    <row r="25312" spans="1:8">
      <c r="A25312" t="s">
        <v>1294</v>
      </c>
      <c r="B25312">
        <f>HYPERLINK("https://android.googlesource.com/platform/cts/+/66fe1509996c1e502fe306cd90cdccf512deaacc", "66fe1509996c1e502fe306cd90cdccf512deaacc")</f>
        <v>0</v>
      </c>
      <c r="C25312">
        <f>HYPERLINK("https://android.googlesource.com/platform/cts/+/90b60f9f09df1a72566ae19db1987575179ae2c9", "90b60f9f09df1a72566ae19db1987575179ae2c9")</f>
        <v>0</v>
      </c>
      <c r="D25312" t="s">
        <v>4965</v>
      </c>
      <c r="E25312" t="s">
        <v>7067</v>
      </c>
      <c r="F25312" t="s">
        <v>13127</v>
      </c>
      <c r="G25312" t="s">
        <v>17203</v>
      </c>
      <c r="H25312" t="s">
        <v>27500</v>
      </c>
    </row>
    <row r="25313" spans="1:8">
      <c r="H25313" t="s">
        <v>27501</v>
      </c>
    </row>
    <row r="25314" spans="1:8">
      <c r="A25314" t="s">
        <v>1295</v>
      </c>
      <c r="B25314">
        <f>HYPERLINK("https://android.googlesource.com/platform/cts/+/5c2437cdb9b66d8443af20f4ae0e2a92b8545b7c", "5c2437cdb9b66d8443af20f4ae0e2a92b8545b7c")</f>
        <v>0</v>
      </c>
      <c r="C25314">
        <f>HYPERLINK("https://android.googlesource.com/platform/cts/+/e5193e3730e2c9e1d1aa3b30c6ce5ed16ec98275", "e5193e3730e2c9e1d1aa3b30c6ce5ed16ec98275")</f>
        <v>0</v>
      </c>
      <c r="D25314" t="s">
        <v>5180</v>
      </c>
      <c r="E25314" t="s">
        <v>7068</v>
      </c>
      <c r="F25314" t="s">
        <v>12617</v>
      </c>
      <c r="G25314" t="s">
        <v>15155</v>
      </c>
      <c r="H25314" t="s">
        <v>28010</v>
      </c>
    </row>
    <row r="25315" spans="1:8">
      <c r="A25315" t="s">
        <v>1296</v>
      </c>
      <c r="B25315">
        <f>HYPERLINK("https://android.googlesource.com/platform/cts/+/767d645f06defd335d7d4696d4639e7e0b6808bc", "767d645f06defd335d7d4696d4639e7e0b6808bc")</f>
        <v>0</v>
      </c>
      <c r="C25315">
        <f>HYPERLINK("https://android.googlesource.com/platform/cts/+/d8c0a46fb7b3085fc579312b64f595ed09a58a92", "d8c0a46fb7b3085fc579312b64f595ed09a58a92")</f>
        <v>0</v>
      </c>
      <c r="D25315" t="s">
        <v>5143</v>
      </c>
      <c r="E25315" t="s">
        <v>7069</v>
      </c>
      <c r="F25315" t="s">
        <v>13026</v>
      </c>
      <c r="G25315" t="s">
        <v>17190</v>
      </c>
      <c r="H25315" t="s">
        <v>28011</v>
      </c>
    </row>
    <row r="25316" spans="1:8">
      <c r="H25316" t="s">
        <v>28012</v>
      </c>
    </row>
    <row r="25317" spans="1:8">
      <c r="H25317" t="s">
        <v>28013</v>
      </c>
    </row>
    <row r="25318" spans="1:8">
      <c r="H25318" t="s">
        <v>28014</v>
      </c>
    </row>
    <row r="25319" spans="1:8">
      <c r="H25319" t="s">
        <v>28015</v>
      </c>
    </row>
    <row r="25320" spans="1:8">
      <c r="H25320" t="s">
        <v>28016</v>
      </c>
    </row>
    <row r="25321" spans="1:8">
      <c r="A25321" t="s">
        <v>1297</v>
      </c>
      <c r="B25321">
        <f>HYPERLINK("https://android.googlesource.com/platform/cts/+/14ecabbe034e96ce69982dcfaa74cd8000a1af7e", "14ecabbe034e96ce69982dcfaa74cd8000a1af7e")</f>
        <v>0</v>
      </c>
      <c r="C25321">
        <f>HYPERLINK("https://android.googlesource.com/platform/cts/+/9febfc5680056d8f2a186fdc1c731edf8c230d79", "9febfc5680056d8f2a186fdc1c731edf8c230d79")</f>
        <v>0</v>
      </c>
      <c r="D25321" t="s">
        <v>5115</v>
      </c>
      <c r="E25321" t="s">
        <v>7070</v>
      </c>
      <c r="F25321" t="s">
        <v>13128</v>
      </c>
      <c r="G25321" t="s">
        <v>17287</v>
      </c>
      <c r="H25321" t="s">
        <v>26000</v>
      </c>
    </row>
    <row r="25322" spans="1:8">
      <c r="H25322" t="s">
        <v>26001</v>
      </c>
    </row>
    <row r="25323" spans="1:8">
      <c r="H25323" t="s">
        <v>28017</v>
      </c>
    </row>
    <row r="25324" spans="1:8">
      <c r="H25324" t="s">
        <v>28018</v>
      </c>
    </row>
    <row r="25325" spans="1:8">
      <c r="A25325" t="s">
        <v>1298</v>
      </c>
      <c r="B25325">
        <f>HYPERLINK("https://android.googlesource.com/platform/cts/+/43f1bfdde935f7178b907950b45e33b5082e55ab", "43f1bfdde935f7178b907950b45e33b5082e55ab")</f>
        <v>0</v>
      </c>
      <c r="C25325">
        <f>HYPERLINK("https://android.googlesource.com/platform/cts/+/767d645f06defd335d7d4696d4639e7e0b6808bc", "767d645f06defd335d7d4696d4639e7e0b6808bc")</f>
        <v>0</v>
      </c>
      <c r="D25325" t="s">
        <v>5143</v>
      </c>
      <c r="E25325" t="s">
        <v>7071</v>
      </c>
      <c r="F25325" t="s">
        <v>13026</v>
      </c>
      <c r="G25325" t="s">
        <v>17190</v>
      </c>
      <c r="H25325" t="s">
        <v>28019</v>
      </c>
    </row>
    <row r="25326" spans="1:8">
      <c r="H25326" t="s">
        <v>28020</v>
      </c>
    </row>
    <row r="25327" spans="1:8">
      <c r="H25327" t="s">
        <v>28021</v>
      </c>
    </row>
    <row r="25328" spans="1:8">
      <c r="A25328" t="s">
        <v>1299</v>
      </c>
      <c r="B25328">
        <f>HYPERLINK("https://android.googlesource.com/platform/cts/+/f684504f461432b3688cd61350765ff48754d65e", "f684504f461432b3688cd61350765ff48754d65e")</f>
        <v>0</v>
      </c>
      <c r="C25328">
        <f>HYPERLINK("https://android.googlesource.com/platform/cts/+/f97935a20e2cfedc2a4e79cf4c0bb3efce1faa89", "f97935a20e2cfedc2a4e79cf4c0bb3efce1faa89")</f>
        <v>0</v>
      </c>
      <c r="D25328" t="s">
        <v>5183</v>
      </c>
      <c r="E25328" t="s">
        <v>7072</v>
      </c>
      <c r="F25328" t="s">
        <v>13129</v>
      </c>
      <c r="G25328" t="s">
        <v>17288</v>
      </c>
      <c r="H25328" t="s">
        <v>28022</v>
      </c>
    </row>
    <row r="25329" spans="1:8">
      <c r="H25329" t="s">
        <v>28023</v>
      </c>
    </row>
    <row r="25330" spans="1:8">
      <c r="H25330" t="s">
        <v>28024</v>
      </c>
    </row>
    <row r="25331" spans="1:8">
      <c r="H25331" t="s">
        <v>28025</v>
      </c>
    </row>
    <row r="25332" spans="1:8">
      <c r="H25332" t="s">
        <v>28026</v>
      </c>
    </row>
    <row r="25333" spans="1:8">
      <c r="A25333" t="s">
        <v>1300</v>
      </c>
      <c r="B25333">
        <f>HYPERLINK("https://android.googlesource.com/platform/cts/+/d9006caf57db7fe3a5f563d70ef60169d07e7ff7", "d9006caf57db7fe3a5f563d70ef60169d07e7ff7")</f>
        <v>0</v>
      </c>
      <c r="C25333">
        <f>HYPERLINK("https://android.googlesource.com/platform/cts/+/1192f209d52a9efd25d56a72a4805b61df9f3b24", "1192f209d52a9efd25d56a72a4805b61df9f3b24")</f>
        <v>0</v>
      </c>
      <c r="D25333" t="s">
        <v>5184</v>
      </c>
      <c r="E25333" t="s">
        <v>7073</v>
      </c>
      <c r="F25333" t="s">
        <v>13130</v>
      </c>
      <c r="G25333" t="s">
        <v>17289</v>
      </c>
      <c r="H25333" t="s">
        <v>28027</v>
      </c>
    </row>
    <row r="25334" spans="1:8">
      <c r="H25334" t="s">
        <v>19264</v>
      </c>
    </row>
    <row r="25335" spans="1:8">
      <c r="H25335" t="s">
        <v>28028</v>
      </c>
    </row>
    <row r="25336" spans="1:8">
      <c r="H25336" t="s">
        <v>28028</v>
      </c>
    </row>
    <row r="25337" spans="1:8">
      <c r="F25337" t="s">
        <v>13131</v>
      </c>
      <c r="G25337" t="s">
        <v>15683</v>
      </c>
      <c r="H25337" t="s">
        <v>18829</v>
      </c>
    </row>
    <row r="25338" spans="1:8">
      <c r="H25338" t="s">
        <v>26720</v>
      </c>
    </row>
    <row r="25339" spans="1:8">
      <c r="H25339" t="s">
        <v>21238</v>
      </c>
    </row>
    <row r="25340" spans="1:8">
      <c r="H25340" t="s">
        <v>27234</v>
      </c>
    </row>
    <row r="25341" spans="1:8">
      <c r="H25341" t="s">
        <v>28029</v>
      </c>
    </row>
    <row r="25342" spans="1:8">
      <c r="F25342" t="s">
        <v>13132</v>
      </c>
      <c r="G25342" t="s">
        <v>17290</v>
      </c>
      <c r="H25342" t="s">
        <v>18863</v>
      </c>
    </row>
    <row r="25343" spans="1:8">
      <c r="H25343" t="s">
        <v>28030</v>
      </c>
    </row>
    <row r="25344" spans="1:8">
      <c r="H25344" t="s">
        <v>28031</v>
      </c>
    </row>
    <row r="25345" spans="6:8">
      <c r="H25345" t="s">
        <v>28032</v>
      </c>
    </row>
    <row r="25346" spans="6:8">
      <c r="H25346" t="s">
        <v>28033</v>
      </c>
    </row>
    <row r="25347" spans="6:8">
      <c r="H25347" t="s">
        <v>28034</v>
      </c>
    </row>
    <row r="25348" spans="6:8">
      <c r="H25348" t="s">
        <v>28035</v>
      </c>
    </row>
    <row r="25349" spans="6:8">
      <c r="H25349" t="s">
        <v>28036</v>
      </c>
    </row>
    <row r="25350" spans="6:8">
      <c r="H25350" t="s">
        <v>28037</v>
      </c>
    </row>
    <row r="25351" spans="6:8">
      <c r="H25351" t="s">
        <v>28038</v>
      </c>
    </row>
    <row r="25352" spans="6:8">
      <c r="H25352" t="s">
        <v>28039</v>
      </c>
    </row>
    <row r="25353" spans="6:8">
      <c r="H25353" t="s">
        <v>26815</v>
      </c>
    </row>
    <row r="25354" spans="6:8">
      <c r="H25354" t="s">
        <v>26816</v>
      </c>
    </row>
    <row r="25355" spans="6:8">
      <c r="H25355" t="s">
        <v>28040</v>
      </c>
    </row>
    <row r="25356" spans="6:8">
      <c r="H25356" t="s">
        <v>19019</v>
      </c>
    </row>
    <row r="25357" spans="6:8">
      <c r="F25357" t="s">
        <v>13133</v>
      </c>
      <c r="G25357" t="s">
        <v>17291</v>
      </c>
      <c r="H25357" t="s">
        <v>28041</v>
      </c>
    </row>
    <row r="25358" spans="6:8">
      <c r="H25358" t="s">
        <v>28042</v>
      </c>
    </row>
    <row r="25359" spans="6:8">
      <c r="H25359" t="s">
        <v>25720</v>
      </c>
    </row>
    <row r="25360" spans="6:8">
      <c r="H25360" t="s">
        <v>28043</v>
      </c>
    </row>
    <row r="25361" spans="1:8">
      <c r="H25361" t="s">
        <v>28044</v>
      </c>
    </row>
    <row r="25362" spans="1:8">
      <c r="H25362" t="s">
        <v>28045</v>
      </c>
    </row>
    <row r="25363" spans="1:8">
      <c r="H25363" t="s">
        <v>28046</v>
      </c>
    </row>
    <row r="25364" spans="1:8">
      <c r="H25364" t="s">
        <v>28047</v>
      </c>
    </row>
    <row r="25365" spans="1:8">
      <c r="H25365" t="s">
        <v>28048</v>
      </c>
    </row>
    <row r="25366" spans="1:8">
      <c r="H25366" t="s">
        <v>25704</v>
      </c>
    </row>
    <row r="25367" spans="1:8">
      <c r="A25367" t="s">
        <v>1301</v>
      </c>
      <c r="B25367">
        <f>HYPERLINK("https://android.googlesource.com/platform/cts/+/e4200e69813353bfb78c36075139d6be646b40cb", "e4200e69813353bfb78c36075139d6be646b40cb")</f>
        <v>0</v>
      </c>
      <c r="C25367">
        <f>HYPERLINK("https://android.googlesource.com/platform/cts/+/e3d4bc066071c3e875896a4b224c7685d7160a12", "e3d4bc066071c3e875896a4b224c7685d7160a12")</f>
        <v>0</v>
      </c>
      <c r="D25367" t="s">
        <v>5042</v>
      </c>
      <c r="E25367" t="s">
        <v>7074</v>
      </c>
      <c r="F25367" t="s">
        <v>13134</v>
      </c>
      <c r="G25367" t="s">
        <v>17292</v>
      </c>
      <c r="H25367" t="s">
        <v>28049</v>
      </c>
    </row>
    <row r="25368" spans="1:8">
      <c r="H25368" t="s">
        <v>28050</v>
      </c>
    </row>
    <row r="25369" spans="1:8">
      <c r="A25369" t="s">
        <v>1302</v>
      </c>
      <c r="B25369">
        <f>HYPERLINK("https://android.googlesource.com/platform/cts/+/e08a3556e1504cac23582e36e597ce483a2e037d", "e08a3556e1504cac23582e36e597ce483a2e037d")</f>
        <v>0</v>
      </c>
      <c r="C25369">
        <f>HYPERLINK("https://android.googlesource.com/platform/cts/+/0353d7942878b3b398e24a971ec33a600820bd48", "0353d7942878b3b398e24a971ec33a600820bd48")</f>
        <v>0</v>
      </c>
      <c r="D25369" t="s">
        <v>5185</v>
      </c>
      <c r="E25369" t="s">
        <v>7075</v>
      </c>
      <c r="F25369" t="s">
        <v>11443</v>
      </c>
      <c r="G25369" t="s">
        <v>15683</v>
      </c>
      <c r="H25369" t="s">
        <v>21238</v>
      </c>
    </row>
    <row r="25370" spans="1:8">
      <c r="H25370" t="s">
        <v>26720</v>
      </c>
    </row>
    <row r="25371" spans="1:8">
      <c r="H25371" t="s">
        <v>27234</v>
      </c>
    </row>
    <row r="25372" spans="1:8">
      <c r="A25372" t="s">
        <v>1303</v>
      </c>
      <c r="B25372">
        <f>HYPERLINK("https://android.googlesource.com/platform/cts/+/c598218f80e43220a271bd7045b930b49463cdc7", "c598218f80e43220a271bd7045b930b49463cdc7")</f>
        <v>0</v>
      </c>
      <c r="C25372">
        <f>HYPERLINK("https://android.googlesource.com/platform/cts/+/d76a3854b924e87d95e7283b583a6bfc9b84b03b", "d76a3854b924e87d95e7283b583a6bfc9b84b03b")</f>
        <v>0</v>
      </c>
      <c r="D25372" t="s">
        <v>5122</v>
      </c>
      <c r="E25372" t="s">
        <v>7076</v>
      </c>
      <c r="F25372" t="s">
        <v>13135</v>
      </c>
      <c r="G25372" t="s">
        <v>16874</v>
      </c>
      <c r="H25372" t="s">
        <v>18829</v>
      </c>
    </row>
    <row r="25373" spans="1:8">
      <c r="H25373" t="s">
        <v>18863</v>
      </c>
    </row>
    <row r="25374" spans="1:8">
      <c r="H25374" t="s">
        <v>28051</v>
      </c>
    </row>
    <row r="25375" spans="1:8">
      <c r="H25375" t="s">
        <v>19019</v>
      </c>
    </row>
    <row r="25376" spans="1:8">
      <c r="H25376" t="s">
        <v>20237</v>
      </c>
    </row>
    <row r="25377" spans="1:8">
      <c r="F25377" t="s">
        <v>13136</v>
      </c>
      <c r="G25377" t="s">
        <v>17293</v>
      </c>
      <c r="H25377" t="s">
        <v>28052</v>
      </c>
    </row>
    <row r="25378" spans="1:8">
      <c r="A25378" t="s">
        <v>1304</v>
      </c>
      <c r="B25378">
        <f>HYPERLINK("https://android.googlesource.com/platform/cts/+/77219490638c8c0f2250abd8816d2737a4da31f9", "77219490638c8c0f2250abd8816d2737a4da31f9")</f>
        <v>0</v>
      </c>
      <c r="C25378">
        <f>HYPERLINK("https://android.googlesource.com/platform/cts/+/dcae3872d845b3041d7eedf944391aa79ab028c6", "dcae3872d845b3041d7eedf944391aa79ab028c6")</f>
        <v>0</v>
      </c>
      <c r="D25378" t="s">
        <v>5143</v>
      </c>
      <c r="E25378" t="s">
        <v>7077</v>
      </c>
      <c r="F25378" t="s">
        <v>13026</v>
      </c>
      <c r="G25378" t="s">
        <v>17190</v>
      </c>
      <c r="H25378" t="s">
        <v>28053</v>
      </c>
    </row>
    <row r="25379" spans="1:8">
      <c r="H25379" t="s">
        <v>28054</v>
      </c>
    </row>
    <row r="25380" spans="1:8">
      <c r="H25380" t="s">
        <v>20014</v>
      </c>
    </row>
    <row r="25381" spans="1:8">
      <c r="H25381" t="s">
        <v>28055</v>
      </c>
    </row>
    <row r="25382" spans="1:8">
      <c r="H25382" t="s">
        <v>28056</v>
      </c>
    </row>
    <row r="25383" spans="1:8">
      <c r="H25383" t="s">
        <v>28057</v>
      </c>
    </row>
    <row r="25384" spans="1:8">
      <c r="H25384" t="s">
        <v>28058</v>
      </c>
    </row>
    <row r="25385" spans="1:8">
      <c r="H25385" t="s">
        <v>28059</v>
      </c>
    </row>
    <row r="25386" spans="1:8">
      <c r="H25386" t="s">
        <v>28060</v>
      </c>
    </row>
    <row r="25387" spans="1:8">
      <c r="H25387" t="s">
        <v>28061</v>
      </c>
    </row>
    <row r="25388" spans="1:8">
      <c r="H25388" t="s">
        <v>20014</v>
      </c>
    </row>
    <row r="25389" spans="1:8">
      <c r="H25389" t="s">
        <v>28055</v>
      </c>
    </row>
    <row r="25390" spans="1:8">
      <c r="H25390" t="s">
        <v>28055</v>
      </c>
    </row>
    <row r="25391" spans="1:8">
      <c r="H25391" t="s">
        <v>28062</v>
      </c>
    </row>
    <row r="25392" spans="1:8">
      <c r="H25392" t="s">
        <v>28062</v>
      </c>
    </row>
    <row r="25393" spans="1:8">
      <c r="H25393" t="s">
        <v>28063</v>
      </c>
    </row>
    <row r="25394" spans="1:8">
      <c r="H25394" t="s">
        <v>28063</v>
      </c>
    </row>
    <row r="25395" spans="1:8">
      <c r="H25395" t="s">
        <v>28064</v>
      </c>
    </row>
    <row r="25396" spans="1:8">
      <c r="A25396" t="s">
        <v>1305</v>
      </c>
      <c r="B25396">
        <f>HYPERLINK("https://android.googlesource.com/platform/cts/+/5e6da147809b4593f59c427b5205257e39e29f8e", "5e6da147809b4593f59c427b5205257e39e29f8e")</f>
        <v>0</v>
      </c>
      <c r="C25396">
        <f>HYPERLINK("https://android.googlesource.com/platform/cts/+/32971863a54533aa511889ae226e0a6fd9b0da8c", "32971863a54533aa511889ae226e0a6fd9b0da8c")</f>
        <v>0</v>
      </c>
      <c r="D25396" t="s">
        <v>5143</v>
      </c>
      <c r="E25396" t="s">
        <v>7078</v>
      </c>
      <c r="F25396" t="s">
        <v>10667</v>
      </c>
      <c r="G25396" t="s">
        <v>15068</v>
      </c>
      <c r="H25396" t="s">
        <v>28065</v>
      </c>
    </row>
    <row r="25397" spans="1:8">
      <c r="H25397" t="s">
        <v>28066</v>
      </c>
    </row>
    <row r="25398" spans="1:8">
      <c r="H25398" t="s">
        <v>28067</v>
      </c>
    </row>
    <row r="25399" spans="1:8">
      <c r="H25399" t="s">
        <v>27468</v>
      </c>
    </row>
    <row r="25400" spans="1:8">
      <c r="A25400" t="s">
        <v>1306</v>
      </c>
      <c r="B25400">
        <f>HYPERLINK("https://android.googlesource.com/platform/cts/+/616c3c4ff953538324d3b85b2f3d682a0bfd1cdb", "616c3c4ff953538324d3b85b2f3d682a0bfd1cdb")</f>
        <v>0</v>
      </c>
      <c r="C25400">
        <f>HYPERLINK("https://android.googlesource.com/platform/cts/+/58d4c3540bdd76be6ddef3118bf52a2bca8bb6eb", "58d4c3540bdd76be6ddef3118bf52a2bca8bb6eb")</f>
        <v>0</v>
      </c>
      <c r="D25400" t="s">
        <v>5085</v>
      </c>
      <c r="E25400" t="s">
        <v>7079</v>
      </c>
      <c r="F25400" t="s">
        <v>12394</v>
      </c>
      <c r="G25400" t="s">
        <v>17294</v>
      </c>
      <c r="H25400" t="s">
        <v>28068</v>
      </c>
    </row>
    <row r="25401" spans="1:8">
      <c r="A25401" t="s">
        <v>1307</v>
      </c>
      <c r="B25401">
        <f>HYPERLINK("https://android.googlesource.com/platform/cts/+/b5432229f136c3b78042ef73e8aa0c14511688a2", "b5432229f136c3b78042ef73e8aa0c14511688a2")</f>
        <v>0</v>
      </c>
      <c r="C25401">
        <f>HYPERLINK("https://android.googlesource.com/platform/cts/+/14995f2984f14e0163d80b3265e56f9ea222c18d", "14995f2984f14e0163d80b3265e56f9ea222c18d")</f>
        <v>0</v>
      </c>
      <c r="D25401" t="s">
        <v>5122</v>
      </c>
      <c r="E25401" t="s">
        <v>7080</v>
      </c>
      <c r="F25401" t="s">
        <v>13135</v>
      </c>
      <c r="G25401" t="s">
        <v>16874</v>
      </c>
      <c r="H25401" t="s">
        <v>18829</v>
      </c>
    </row>
    <row r="25402" spans="1:8">
      <c r="H25402" t="s">
        <v>18863</v>
      </c>
    </row>
    <row r="25403" spans="1:8">
      <c r="H25403" t="s">
        <v>28051</v>
      </c>
    </row>
    <row r="25404" spans="1:8">
      <c r="H25404" t="s">
        <v>19019</v>
      </c>
    </row>
    <row r="25405" spans="1:8">
      <c r="H25405" t="s">
        <v>20237</v>
      </c>
    </row>
    <row r="25406" spans="1:8">
      <c r="F25406" t="s">
        <v>13136</v>
      </c>
      <c r="G25406" t="s">
        <v>17293</v>
      </c>
      <c r="H25406" t="s">
        <v>28052</v>
      </c>
    </row>
    <row r="25407" spans="1:8">
      <c r="A25407" t="s">
        <v>1308</v>
      </c>
      <c r="B25407">
        <f>HYPERLINK("https://android.googlesource.com/platform/cts/+/5b9ad98f81b3da14f5c2ca21722cd730d1a240fc", "5b9ad98f81b3da14f5c2ca21722cd730d1a240fc")</f>
        <v>0</v>
      </c>
      <c r="C25407">
        <f>HYPERLINK("https://android.googlesource.com/platform/cts/+/28df8eb84cc7779570cdaa39997bf65914472912", "28df8eb84cc7779570cdaa39997bf65914472912")</f>
        <v>0</v>
      </c>
      <c r="D25407" t="s">
        <v>4991</v>
      </c>
      <c r="E25407" t="s">
        <v>7081</v>
      </c>
      <c r="F25407" t="s">
        <v>10687</v>
      </c>
      <c r="G25407" t="s">
        <v>15087</v>
      </c>
      <c r="H25407" t="s">
        <v>28069</v>
      </c>
    </row>
    <row r="25408" spans="1:8">
      <c r="A25408" t="s">
        <v>1309</v>
      </c>
      <c r="B25408">
        <f>HYPERLINK("https://android.googlesource.com/platform/cts/+/167f23b4b7d966d9f5ac20b09a11e043f2e89a2e", "167f23b4b7d966d9f5ac20b09a11e043f2e89a2e")</f>
        <v>0</v>
      </c>
      <c r="C25408">
        <f>HYPERLINK("https://android.googlesource.com/platform/cts/+/622a9d6b2ca1c9d989c9eaeafbb41ac2dea07eb0", "622a9d6b2ca1c9d989c9eaeafbb41ac2dea07eb0")</f>
        <v>0</v>
      </c>
      <c r="D25408" t="s">
        <v>5186</v>
      </c>
      <c r="E25408" t="s">
        <v>7082</v>
      </c>
      <c r="F25408" t="s">
        <v>12743</v>
      </c>
      <c r="G25408" t="s">
        <v>16935</v>
      </c>
      <c r="H25408" t="s">
        <v>28070</v>
      </c>
    </row>
    <row r="25409" spans="1:8">
      <c r="A25409" t="s">
        <v>1310</v>
      </c>
      <c r="B25409">
        <f>HYPERLINK("https://android.googlesource.com/platform/cts/+/1418a40f30d0316108794a8acd8da82a8b4b3b03", "1418a40f30d0316108794a8acd8da82a8b4b3b03")</f>
        <v>0</v>
      </c>
      <c r="C25409">
        <f>HYPERLINK("https://android.googlesource.com/platform/cts/+/ea04caf88fad4addb8cbf7e7ff2bb3d020f96272", "ea04caf88fad4addb8cbf7e7ff2bb3d020f96272")</f>
        <v>0</v>
      </c>
      <c r="D25409" t="s">
        <v>5006</v>
      </c>
      <c r="E25409" t="s">
        <v>7083</v>
      </c>
      <c r="F25409" t="s">
        <v>10942</v>
      </c>
      <c r="G25409" t="s">
        <v>14991</v>
      </c>
      <c r="H25409" t="s">
        <v>19364</v>
      </c>
    </row>
    <row r="25410" spans="1:8">
      <c r="H25410" t="s">
        <v>19364</v>
      </c>
    </row>
    <row r="25411" spans="1:8">
      <c r="H25411" t="s">
        <v>28071</v>
      </c>
    </row>
    <row r="25412" spans="1:8">
      <c r="H25412" t="s">
        <v>18932</v>
      </c>
    </row>
    <row r="25413" spans="1:8">
      <c r="H25413" t="s">
        <v>18931</v>
      </c>
    </row>
    <row r="25414" spans="1:8">
      <c r="H25414" t="s">
        <v>19791</v>
      </c>
    </row>
    <row r="25415" spans="1:8">
      <c r="H25415" t="s">
        <v>25723</v>
      </c>
    </row>
    <row r="25416" spans="1:8">
      <c r="H25416" t="s">
        <v>20444</v>
      </c>
    </row>
    <row r="25417" spans="1:8">
      <c r="H25417" t="s">
        <v>19794</v>
      </c>
    </row>
    <row r="25418" spans="1:8">
      <c r="H25418" t="s">
        <v>19795</v>
      </c>
    </row>
    <row r="25419" spans="1:8">
      <c r="H25419" t="s">
        <v>18820</v>
      </c>
    </row>
    <row r="25420" spans="1:8">
      <c r="H25420" t="s">
        <v>18824</v>
      </c>
    </row>
    <row r="25421" spans="1:8">
      <c r="H25421" t="s">
        <v>25687</v>
      </c>
    </row>
    <row r="25422" spans="1:8">
      <c r="H25422" t="s">
        <v>25688</v>
      </c>
    </row>
    <row r="25423" spans="1:8">
      <c r="H25423" t="s">
        <v>28072</v>
      </c>
    </row>
    <row r="25424" spans="1:8">
      <c r="H25424" t="s">
        <v>25722</v>
      </c>
    </row>
    <row r="25425" spans="6:8">
      <c r="H25425" t="s">
        <v>20024</v>
      </c>
    </row>
    <row r="25426" spans="6:8">
      <c r="H25426" t="s">
        <v>19735</v>
      </c>
    </row>
    <row r="25427" spans="6:8">
      <c r="H25427" t="s">
        <v>19736</v>
      </c>
    </row>
    <row r="25428" spans="6:8">
      <c r="H25428" t="s">
        <v>19740</v>
      </c>
    </row>
    <row r="25429" spans="6:8">
      <c r="H25429" t="s">
        <v>28073</v>
      </c>
    </row>
    <row r="25430" spans="6:8">
      <c r="H25430" t="s">
        <v>28074</v>
      </c>
    </row>
    <row r="25431" spans="6:8">
      <c r="H25431" t="s">
        <v>28075</v>
      </c>
    </row>
    <row r="25432" spans="6:8">
      <c r="F25432" t="s">
        <v>10938</v>
      </c>
      <c r="G25432" t="s">
        <v>14992</v>
      </c>
      <c r="H25432" t="s">
        <v>18924</v>
      </c>
    </row>
    <row r="25433" spans="6:8">
      <c r="H25433" t="s">
        <v>18924</v>
      </c>
    </row>
    <row r="25434" spans="6:8">
      <c r="H25434" t="s">
        <v>18932</v>
      </c>
    </row>
    <row r="25435" spans="6:8">
      <c r="H25435" t="s">
        <v>18931</v>
      </c>
    </row>
    <row r="25436" spans="6:8">
      <c r="H25436" t="s">
        <v>19230</v>
      </c>
    </row>
    <row r="25437" spans="6:8">
      <c r="H25437" t="s">
        <v>28076</v>
      </c>
    </row>
    <row r="25438" spans="6:8">
      <c r="H25438" t="s">
        <v>20024</v>
      </c>
    </row>
    <row r="25439" spans="6:8">
      <c r="H25439" t="s">
        <v>19740</v>
      </c>
    </row>
    <row r="25440" spans="6:8">
      <c r="H25440" t="s">
        <v>28077</v>
      </c>
    </row>
    <row r="25441" spans="6:8">
      <c r="H25441" t="s">
        <v>28078</v>
      </c>
    </row>
    <row r="25442" spans="6:8">
      <c r="F25442" t="s">
        <v>13137</v>
      </c>
      <c r="G25442" t="s">
        <v>16704</v>
      </c>
      <c r="H25442" t="s">
        <v>28079</v>
      </c>
    </row>
    <row r="25443" spans="6:8">
      <c r="H25443" t="s">
        <v>28080</v>
      </c>
    </row>
    <row r="25444" spans="6:8">
      <c r="H25444" t="s">
        <v>28081</v>
      </c>
    </row>
    <row r="25445" spans="6:8">
      <c r="H25445" t="s">
        <v>28079</v>
      </c>
    </row>
    <row r="25446" spans="6:8">
      <c r="H25446" t="s">
        <v>28082</v>
      </c>
    </row>
    <row r="25447" spans="6:8">
      <c r="H25447" t="s">
        <v>28083</v>
      </c>
    </row>
    <row r="25448" spans="6:8">
      <c r="H25448" t="s">
        <v>28084</v>
      </c>
    </row>
    <row r="25449" spans="6:8">
      <c r="H25449" t="s">
        <v>28085</v>
      </c>
    </row>
    <row r="25450" spans="6:8">
      <c r="H25450" t="s">
        <v>19347</v>
      </c>
    </row>
    <row r="25451" spans="6:8">
      <c r="H25451" t="s">
        <v>20024</v>
      </c>
    </row>
    <row r="25452" spans="6:8">
      <c r="H25452" t="s">
        <v>28086</v>
      </c>
    </row>
    <row r="25453" spans="6:8">
      <c r="F25453" t="s">
        <v>11479</v>
      </c>
      <c r="G25453" t="s">
        <v>15719</v>
      </c>
      <c r="H25453" t="s">
        <v>28087</v>
      </c>
    </row>
    <row r="25454" spans="6:8">
      <c r="H25454" t="s">
        <v>28088</v>
      </c>
    </row>
    <row r="25455" spans="6:8">
      <c r="H25455" t="s">
        <v>19998</v>
      </c>
    </row>
    <row r="25456" spans="6:8">
      <c r="H25456" t="s">
        <v>28089</v>
      </c>
    </row>
    <row r="25457" spans="8:8">
      <c r="H25457" t="s">
        <v>19947</v>
      </c>
    </row>
    <row r="25458" spans="8:8">
      <c r="H25458" t="s">
        <v>18932</v>
      </c>
    </row>
    <row r="25459" spans="8:8">
      <c r="H25459" t="s">
        <v>18931</v>
      </c>
    </row>
    <row r="25460" spans="8:8">
      <c r="H25460" t="s">
        <v>25497</v>
      </c>
    </row>
    <row r="25461" spans="8:8">
      <c r="H25461" t="s">
        <v>28090</v>
      </c>
    </row>
    <row r="25462" spans="8:8">
      <c r="H25462" t="s">
        <v>28091</v>
      </c>
    </row>
    <row r="25463" spans="8:8">
      <c r="H25463" t="s">
        <v>28092</v>
      </c>
    </row>
    <row r="25464" spans="8:8">
      <c r="H25464" t="s">
        <v>19949</v>
      </c>
    </row>
    <row r="25465" spans="8:8">
      <c r="H25465" t="s">
        <v>19738</v>
      </c>
    </row>
    <row r="25466" spans="8:8">
      <c r="H25466" t="s">
        <v>28076</v>
      </c>
    </row>
    <row r="25467" spans="8:8">
      <c r="H25467" t="s">
        <v>28076</v>
      </c>
    </row>
    <row r="25468" spans="8:8">
      <c r="H25468" t="s">
        <v>20024</v>
      </c>
    </row>
    <row r="25469" spans="8:8">
      <c r="H25469" t="s">
        <v>28093</v>
      </c>
    </row>
    <row r="25470" spans="8:8">
      <c r="H25470" t="s">
        <v>19740</v>
      </c>
    </row>
    <row r="25471" spans="8:8">
      <c r="H25471" t="s">
        <v>28094</v>
      </c>
    </row>
    <row r="25472" spans="8:8">
      <c r="H25472" t="s">
        <v>28095</v>
      </c>
    </row>
    <row r="25473" spans="6:8">
      <c r="H25473" t="s">
        <v>28096</v>
      </c>
    </row>
    <row r="25474" spans="6:8">
      <c r="H25474" t="s">
        <v>28097</v>
      </c>
    </row>
    <row r="25475" spans="6:8">
      <c r="H25475" t="s">
        <v>28078</v>
      </c>
    </row>
    <row r="25476" spans="6:8">
      <c r="H25476" t="s">
        <v>28098</v>
      </c>
    </row>
    <row r="25477" spans="6:8">
      <c r="F25477" t="s">
        <v>10941</v>
      </c>
      <c r="G25477" t="s">
        <v>15336</v>
      </c>
      <c r="H25477" t="s">
        <v>28099</v>
      </c>
    </row>
    <row r="25478" spans="6:8">
      <c r="H25478" t="s">
        <v>28100</v>
      </c>
    </row>
    <row r="25479" spans="6:8">
      <c r="H25479" t="s">
        <v>19747</v>
      </c>
    </row>
    <row r="25480" spans="6:8">
      <c r="H25480" t="s">
        <v>28101</v>
      </c>
    </row>
    <row r="25481" spans="6:8">
      <c r="H25481" t="s">
        <v>19791</v>
      </c>
    </row>
    <row r="25482" spans="6:8">
      <c r="H25482" t="s">
        <v>19743</v>
      </c>
    </row>
    <row r="25483" spans="6:8">
      <c r="H25483" t="s">
        <v>19371</v>
      </c>
    </row>
    <row r="25484" spans="6:8">
      <c r="F25484" t="s">
        <v>10944</v>
      </c>
      <c r="G25484" t="s">
        <v>15337</v>
      </c>
      <c r="H25484" t="s">
        <v>19740</v>
      </c>
    </row>
    <row r="25485" spans="6:8">
      <c r="H25485" t="s">
        <v>28102</v>
      </c>
    </row>
    <row r="25486" spans="6:8">
      <c r="H25486" t="s">
        <v>28078</v>
      </c>
    </row>
    <row r="25487" spans="6:8">
      <c r="H25487" t="s">
        <v>20024</v>
      </c>
    </row>
    <row r="25488" spans="6:8">
      <c r="H25488" t="s">
        <v>28103</v>
      </c>
    </row>
    <row r="25489" spans="6:8">
      <c r="H25489" t="s">
        <v>28104</v>
      </c>
    </row>
    <row r="25490" spans="6:8">
      <c r="H25490" t="s">
        <v>19371</v>
      </c>
    </row>
    <row r="25491" spans="6:8">
      <c r="H25491" t="s">
        <v>28105</v>
      </c>
    </row>
    <row r="25492" spans="6:8">
      <c r="H25492" t="s">
        <v>28106</v>
      </c>
    </row>
    <row r="25493" spans="6:8">
      <c r="F25493" t="s">
        <v>10943</v>
      </c>
      <c r="G25493" t="s">
        <v>14995</v>
      </c>
      <c r="H25493" t="s">
        <v>18960</v>
      </c>
    </row>
    <row r="25494" spans="6:8">
      <c r="H25494" t="s">
        <v>18960</v>
      </c>
    </row>
    <row r="25495" spans="6:8">
      <c r="H25495" t="s">
        <v>18931</v>
      </c>
    </row>
    <row r="25496" spans="6:8">
      <c r="H25496" t="s">
        <v>18932</v>
      </c>
    </row>
    <row r="25497" spans="6:8">
      <c r="H25497" t="s">
        <v>28076</v>
      </c>
    </row>
    <row r="25498" spans="6:8">
      <c r="H25498" t="s">
        <v>19949</v>
      </c>
    </row>
    <row r="25499" spans="6:8">
      <c r="H25499" t="s">
        <v>20042</v>
      </c>
    </row>
    <row r="25500" spans="6:8">
      <c r="H25500" t="s">
        <v>19788</v>
      </c>
    </row>
    <row r="25501" spans="6:8">
      <c r="H25501" t="s">
        <v>19787</v>
      </c>
    </row>
    <row r="25502" spans="6:8">
      <c r="H25502" t="s">
        <v>20024</v>
      </c>
    </row>
    <row r="25503" spans="6:8">
      <c r="H25503" t="s">
        <v>19740</v>
      </c>
    </row>
    <row r="25504" spans="6:8">
      <c r="H25504" t="s">
        <v>28107</v>
      </c>
    </row>
    <row r="25505" spans="6:8">
      <c r="H25505" t="s">
        <v>28108</v>
      </c>
    </row>
    <row r="25506" spans="6:8">
      <c r="H25506" t="s">
        <v>28077</v>
      </c>
    </row>
    <row r="25507" spans="6:8">
      <c r="H25507" t="s">
        <v>28078</v>
      </c>
    </row>
    <row r="25508" spans="6:8">
      <c r="F25508" t="s">
        <v>10940</v>
      </c>
      <c r="G25508" t="s">
        <v>15335</v>
      </c>
      <c r="H25508" t="s">
        <v>28109</v>
      </c>
    </row>
    <row r="25509" spans="6:8">
      <c r="H25509" t="s">
        <v>19998</v>
      </c>
    </row>
    <row r="25510" spans="6:8">
      <c r="H25510" t="s">
        <v>26394</v>
      </c>
    </row>
    <row r="25511" spans="6:8">
      <c r="H25511" t="s">
        <v>28110</v>
      </c>
    </row>
    <row r="25512" spans="6:8">
      <c r="H25512" t="s">
        <v>28111</v>
      </c>
    </row>
    <row r="25513" spans="6:8">
      <c r="H25513" t="s">
        <v>28112</v>
      </c>
    </row>
    <row r="25514" spans="6:8">
      <c r="H25514" t="s">
        <v>28113</v>
      </c>
    </row>
    <row r="25515" spans="6:8">
      <c r="H25515" t="s">
        <v>19740</v>
      </c>
    </row>
    <row r="25516" spans="6:8">
      <c r="H25516" t="s">
        <v>19794</v>
      </c>
    </row>
    <row r="25517" spans="6:8">
      <c r="H25517" t="s">
        <v>28114</v>
      </c>
    </row>
    <row r="25518" spans="6:8">
      <c r="F25518" t="s">
        <v>13138</v>
      </c>
      <c r="G25518" t="s">
        <v>16601</v>
      </c>
      <c r="H25518" t="s">
        <v>25497</v>
      </c>
    </row>
    <row r="25519" spans="6:8">
      <c r="H25519" t="s">
        <v>20244</v>
      </c>
    </row>
    <row r="25520" spans="6:8">
      <c r="H25520" t="s">
        <v>22460</v>
      </c>
    </row>
    <row r="25521" spans="6:8">
      <c r="H25521" t="s">
        <v>18927</v>
      </c>
    </row>
    <row r="25522" spans="6:8">
      <c r="F25522" t="s">
        <v>10747</v>
      </c>
      <c r="G25522" t="s">
        <v>15129</v>
      </c>
      <c r="H25522" t="s">
        <v>19946</v>
      </c>
    </row>
    <row r="25523" spans="6:8">
      <c r="H25523" t="s">
        <v>19671</v>
      </c>
    </row>
    <row r="25524" spans="6:8">
      <c r="H25524" t="s">
        <v>19672</v>
      </c>
    </row>
    <row r="25525" spans="6:8">
      <c r="H25525" t="s">
        <v>19673</v>
      </c>
    </row>
    <row r="25526" spans="6:8">
      <c r="H25526" t="s">
        <v>28115</v>
      </c>
    </row>
    <row r="25527" spans="6:8">
      <c r="H25527" t="s">
        <v>28090</v>
      </c>
    </row>
    <row r="25528" spans="6:8">
      <c r="H25528" t="s">
        <v>28116</v>
      </c>
    </row>
    <row r="25529" spans="6:8">
      <c r="H25529" t="s">
        <v>21254</v>
      </c>
    </row>
    <row r="25530" spans="6:8">
      <c r="H25530" t="s">
        <v>28117</v>
      </c>
    </row>
    <row r="25531" spans="6:8">
      <c r="H25531" t="s">
        <v>21254</v>
      </c>
    </row>
    <row r="25532" spans="6:8">
      <c r="H25532" t="s">
        <v>28118</v>
      </c>
    </row>
    <row r="25533" spans="6:8">
      <c r="H25533" t="s">
        <v>21254</v>
      </c>
    </row>
    <row r="25534" spans="6:8">
      <c r="H25534" t="s">
        <v>28119</v>
      </c>
    </row>
    <row r="25535" spans="6:8">
      <c r="H25535" t="s">
        <v>28119</v>
      </c>
    </row>
    <row r="25536" spans="6:8">
      <c r="H25536" t="s">
        <v>19232</v>
      </c>
    </row>
    <row r="25537" spans="8:8">
      <c r="H25537" t="s">
        <v>19233</v>
      </c>
    </row>
    <row r="25538" spans="8:8">
      <c r="H25538" t="s">
        <v>19236</v>
      </c>
    </row>
    <row r="25539" spans="8:8">
      <c r="H25539" t="s">
        <v>28120</v>
      </c>
    </row>
    <row r="25540" spans="8:8">
      <c r="H25540" t="s">
        <v>28121</v>
      </c>
    </row>
    <row r="25541" spans="8:8">
      <c r="H25541" t="s">
        <v>28122</v>
      </c>
    </row>
    <row r="25542" spans="8:8">
      <c r="H25542" t="s">
        <v>28123</v>
      </c>
    </row>
    <row r="25543" spans="8:8">
      <c r="H25543" t="s">
        <v>28124</v>
      </c>
    </row>
    <row r="25544" spans="8:8">
      <c r="H25544" t="s">
        <v>28125</v>
      </c>
    </row>
    <row r="25545" spans="8:8">
      <c r="H25545" t="s">
        <v>28126</v>
      </c>
    </row>
    <row r="25546" spans="8:8">
      <c r="H25546" t="s">
        <v>28127</v>
      </c>
    </row>
    <row r="25547" spans="8:8">
      <c r="H25547" t="s">
        <v>20244</v>
      </c>
    </row>
    <row r="25548" spans="8:8">
      <c r="H25548" t="s">
        <v>28128</v>
      </c>
    </row>
    <row r="25549" spans="8:8">
      <c r="H25549" t="s">
        <v>18927</v>
      </c>
    </row>
    <row r="25550" spans="8:8">
      <c r="H25550" t="s">
        <v>28129</v>
      </c>
    </row>
    <row r="25551" spans="8:8">
      <c r="H25551" t="s">
        <v>28130</v>
      </c>
    </row>
    <row r="25552" spans="8:8">
      <c r="H25552" t="s">
        <v>24969</v>
      </c>
    </row>
    <row r="25553" spans="8:8">
      <c r="H25553" t="s">
        <v>28131</v>
      </c>
    </row>
    <row r="25554" spans="8:8">
      <c r="H25554" t="s">
        <v>28132</v>
      </c>
    </row>
    <row r="25555" spans="8:8">
      <c r="H25555" t="s">
        <v>28133</v>
      </c>
    </row>
    <row r="25556" spans="8:8">
      <c r="H25556" t="s">
        <v>21321</v>
      </c>
    </row>
    <row r="25557" spans="8:8">
      <c r="H25557" t="s">
        <v>28134</v>
      </c>
    </row>
    <row r="25558" spans="8:8">
      <c r="H25558" t="s">
        <v>28135</v>
      </c>
    </row>
    <row r="25559" spans="8:8">
      <c r="H25559" t="s">
        <v>28136</v>
      </c>
    </row>
    <row r="25560" spans="8:8">
      <c r="H25560" t="s">
        <v>28137</v>
      </c>
    </row>
    <row r="25561" spans="8:8">
      <c r="H25561" t="s">
        <v>28138</v>
      </c>
    </row>
    <row r="25562" spans="8:8">
      <c r="H25562" t="s">
        <v>28139</v>
      </c>
    </row>
    <row r="25563" spans="8:8">
      <c r="H25563" t="s">
        <v>28140</v>
      </c>
    </row>
    <row r="25564" spans="8:8">
      <c r="H25564" t="s">
        <v>28141</v>
      </c>
    </row>
    <row r="25565" spans="8:8">
      <c r="H25565" t="s">
        <v>26657</v>
      </c>
    </row>
    <row r="25566" spans="8:8">
      <c r="H25566" t="s">
        <v>19237</v>
      </c>
    </row>
    <row r="25567" spans="8:8">
      <c r="H25567" t="s">
        <v>28142</v>
      </c>
    </row>
    <row r="25568" spans="8:8">
      <c r="H25568" t="s">
        <v>28143</v>
      </c>
    </row>
    <row r="25569" spans="6:8">
      <c r="H25569" t="s">
        <v>19238</v>
      </c>
    </row>
    <row r="25570" spans="6:8">
      <c r="H25570" t="s">
        <v>28144</v>
      </c>
    </row>
    <row r="25571" spans="6:8">
      <c r="H25571" t="s">
        <v>28145</v>
      </c>
    </row>
    <row r="25572" spans="6:8">
      <c r="H25572" t="s">
        <v>28144</v>
      </c>
    </row>
    <row r="25573" spans="6:8">
      <c r="H25573" t="s">
        <v>19240</v>
      </c>
    </row>
    <row r="25574" spans="6:8">
      <c r="H25574" t="s">
        <v>26739</v>
      </c>
    </row>
    <row r="25575" spans="6:8">
      <c r="H25575" t="s">
        <v>28146</v>
      </c>
    </row>
    <row r="25576" spans="6:8">
      <c r="H25576" t="s">
        <v>28147</v>
      </c>
    </row>
    <row r="25577" spans="6:8">
      <c r="F25577" t="s">
        <v>13139</v>
      </c>
      <c r="G25577" t="s">
        <v>17295</v>
      </c>
      <c r="H25577" t="s">
        <v>28148</v>
      </c>
    </row>
    <row r="25578" spans="6:8">
      <c r="H25578" t="s">
        <v>28149</v>
      </c>
    </row>
    <row r="25579" spans="6:8">
      <c r="H25579" t="s">
        <v>28150</v>
      </c>
    </row>
    <row r="25580" spans="6:8">
      <c r="H25580" t="s">
        <v>28151</v>
      </c>
    </row>
    <row r="25581" spans="6:8">
      <c r="H25581" t="s">
        <v>25497</v>
      </c>
    </row>
    <row r="25582" spans="6:8">
      <c r="H25582" t="s">
        <v>18927</v>
      </c>
    </row>
    <row r="25583" spans="6:8">
      <c r="H25583" t="s">
        <v>28152</v>
      </c>
    </row>
    <row r="25584" spans="6:8">
      <c r="H25584" t="s">
        <v>28153</v>
      </c>
    </row>
    <row r="25585" spans="6:8">
      <c r="H25585" t="s">
        <v>18929</v>
      </c>
    </row>
    <row r="25586" spans="6:8">
      <c r="H25586" t="s">
        <v>20244</v>
      </c>
    </row>
    <row r="25587" spans="6:8">
      <c r="H25587" t="s">
        <v>19233</v>
      </c>
    </row>
    <row r="25588" spans="6:8">
      <c r="H25588" t="s">
        <v>19232</v>
      </c>
    </row>
    <row r="25589" spans="6:8">
      <c r="F25589" t="s">
        <v>13140</v>
      </c>
      <c r="G25589" t="s">
        <v>17296</v>
      </c>
      <c r="H25589" t="s">
        <v>25497</v>
      </c>
    </row>
    <row r="25590" spans="6:8">
      <c r="H25590" t="s">
        <v>19232</v>
      </c>
    </row>
    <row r="25591" spans="6:8">
      <c r="H25591" t="s">
        <v>19233</v>
      </c>
    </row>
    <row r="25592" spans="6:8">
      <c r="H25592" t="s">
        <v>26734</v>
      </c>
    </row>
    <row r="25593" spans="6:8">
      <c r="H25593" t="s">
        <v>26735</v>
      </c>
    </row>
    <row r="25594" spans="6:8">
      <c r="H25594" t="s">
        <v>26736</v>
      </c>
    </row>
    <row r="25595" spans="6:8">
      <c r="H25595" t="s">
        <v>19230</v>
      </c>
    </row>
    <row r="25596" spans="6:8">
      <c r="H25596" t="s">
        <v>18927</v>
      </c>
    </row>
    <row r="25597" spans="6:8">
      <c r="H25597" t="s">
        <v>26737</v>
      </c>
    </row>
    <row r="25598" spans="6:8">
      <c r="H25598" t="s">
        <v>26738</v>
      </c>
    </row>
    <row r="25599" spans="6:8">
      <c r="H25599" t="s">
        <v>20244</v>
      </c>
    </row>
    <row r="25600" spans="6:8">
      <c r="H25600" t="s">
        <v>26739</v>
      </c>
    </row>
    <row r="25601" spans="6:8">
      <c r="H25601" t="s">
        <v>26740</v>
      </c>
    </row>
    <row r="25602" spans="6:8">
      <c r="F25602" t="s">
        <v>10745</v>
      </c>
      <c r="G25602" t="s">
        <v>15144</v>
      </c>
      <c r="H25602" t="s">
        <v>25497</v>
      </c>
    </row>
    <row r="25603" spans="6:8">
      <c r="H25603" t="s">
        <v>20244</v>
      </c>
    </row>
    <row r="25604" spans="6:8">
      <c r="H25604" t="s">
        <v>28128</v>
      </c>
    </row>
    <row r="25605" spans="6:8">
      <c r="H25605" t="s">
        <v>28154</v>
      </c>
    </row>
    <row r="25606" spans="6:8">
      <c r="H25606" t="s">
        <v>28155</v>
      </c>
    </row>
    <row r="25607" spans="6:8">
      <c r="H25607" t="s">
        <v>28156</v>
      </c>
    </row>
    <row r="25608" spans="6:8">
      <c r="H25608" t="s">
        <v>26736</v>
      </c>
    </row>
    <row r="25609" spans="6:8">
      <c r="H25609" t="s">
        <v>19230</v>
      </c>
    </row>
    <row r="25610" spans="6:8">
      <c r="H25610" t="s">
        <v>28157</v>
      </c>
    </row>
    <row r="25611" spans="6:8">
      <c r="H25611" t="s">
        <v>26735</v>
      </c>
    </row>
    <row r="25612" spans="6:8">
      <c r="H25612" t="s">
        <v>19232</v>
      </c>
    </row>
    <row r="25613" spans="6:8">
      <c r="H25613" t="s">
        <v>19233</v>
      </c>
    </row>
    <row r="25614" spans="6:8">
      <c r="H25614" t="s">
        <v>18927</v>
      </c>
    </row>
    <row r="25615" spans="6:8">
      <c r="H25615" t="s">
        <v>18927</v>
      </c>
    </row>
    <row r="25616" spans="6:8">
      <c r="H25616" t="s">
        <v>18929</v>
      </c>
    </row>
    <row r="25617" spans="6:8">
      <c r="H25617" t="s">
        <v>20131</v>
      </c>
    </row>
    <row r="25618" spans="6:8">
      <c r="H25618" t="s">
        <v>18927</v>
      </c>
    </row>
    <row r="25619" spans="6:8">
      <c r="H25619" t="s">
        <v>28158</v>
      </c>
    </row>
    <row r="25620" spans="6:8">
      <c r="H25620" t="s">
        <v>26603</v>
      </c>
    </row>
    <row r="25621" spans="6:8">
      <c r="H25621" t="s">
        <v>20020</v>
      </c>
    </row>
    <row r="25622" spans="6:8">
      <c r="H25622" t="s">
        <v>28159</v>
      </c>
    </row>
    <row r="25623" spans="6:8">
      <c r="H25623" t="s">
        <v>28159</v>
      </c>
    </row>
    <row r="25624" spans="6:8">
      <c r="H25624" t="s">
        <v>28160</v>
      </c>
    </row>
    <row r="25625" spans="6:8">
      <c r="H25625" t="s">
        <v>26739</v>
      </c>
    </row>
    <row r="25626" spans="6:8">
      <c r="H25626" t="s">
        <v>18925</v>
      </c>
    </row>
    <row r="25627" spans="6:8">
      <c r="F25627" t="s">
        <v>13141</v>
      </c>
      <c r="G25627" t="s">
        <v>16868</v>
      </c>
      <c r="H25627" t="s">
        <v>28161</v>
      </c>
    </row>
    <row r="25628" spans="6:8">
      <c r="H25628" t="s">
        <v>28162</v>
      </c>
    </row>
    <row r="25629" spans="6:8">
      <c r="H25629" t="s">
        <v>28163</v>
      </c>
    </row>
    <row r="25630" spans="6:8">
      <c r="H25630" t="s">
        <v>28164</v>
      </c>
    </row>
    <row r="25631" spans="6:8">
      <c r="H25631" t="s">
        <v>28165</v>
      </c>
    </row>
    <row r="25632" spans="6:8">
      <c r="H25632" t="s">
        <v>28166</v>
      </c>
    </row>
    <row r="25633" spans="6:8">
      <c r="H25633" t="s">
        <v>28167</v>
      </c>
    </row>
    <row r="25634" spans="6:8">
      <c r="H25634" t="s">
        <v>28168</v>
      </c>
    </row>
    <row r="25635" spans="6:8">
      <c r="H25635" t="s">
        <v>28169</v>
      </c>
    </row>
    <row r="25636" spans="6:8">
      <c r="H25636" t="s">
        <v>28170</v>
      </c>
    </row>
    <row r="25637" spans="6:8">
      <c r="H25637" t="s">
        <v>28171</v>
      </c>
    </row>
    <row r="25638" spans="6:8">
      <c r="H25638" t="s">
        <v>28172</v>
      </c>
    </row>
    <row r="25639" spans="6:8">
      <c r="H25639" t="s">
        <v>28173</v>
      </c>
    </row>
    <row r="25640" spans="6:8">
      <c r="H25640" t="s">
        <v>19371</v>
      </c>
    </row>
    <row r="25641" spans="6:8">
      <c r="F25641" t="s">
        <v>12875</v>
      </c>
      <c r="G25641" t="s">
        <v>17043</v>
      </c>
      <c r="H25641" t="s">
        <v>25497</v>
      </c>
    </row>
    <row r="25642" spans="6:8">
      <c r="H25642" t="s">
        <v>19232</v>
      </c>
    </row>
    <row r="25643" spans="6:8">
      <c r="H25643" t="s">
        <v>19233</v>
      </c>
    </row>
    <row r="25644" spans="6:8">
      <c r="H25644" t="s">
        <v>26734</v>
      </c>
    </row>
    <row r="25645" spans="6:8">
      <c r="H25645" t="s">
        <v>26735</v>
      </c>
    </row>
    <row r="25646" spans="6:8">
      <c r="H25646" t="s">
        <v>26736</v>
      </c>
    </row>
    <row r="25647" spans="6:8">
      <c r="H25647" t="s">
        <v>19230</v>
      </c>
    </row>
    <row r="25648" spans="6:8">
      <c r="H25648" t="s">
        <v>18927</v>
      </c>
    </row>
    <row r="25649" spans="6:8">
      <c r="H25649" t="s">
        <v>26737</v>
      </c>
    </row>
    <row r="25650" spans="6:8">
      <c r="H25650" t="s">
        <v>26738</v>
      </c>
    </row>
    <row r="25651" spans="6:8">
      <c r="H25651" t="s">
        <v>20244</v>
      </c>
    </row>
    <row r="25652" spans="6:8">
      <c r="H25652" t="s">
        <v>26739</v>
      </c>
    </row>
    <row r="25653" spans="6:8">
      <c r="H25653" t="s">
        <v>26740</v>
      </c>
    </row>
    <row r="25654" spans="6:8">
      <c r="H25654" t="s">
        <v>26741</v>
      </c>
    </row>
    <row r="25655" spans="6:8">
      <c r="F25655" t="s">
        <v>10734</v>
      </c>
      <c r="G25655" t="s">
        <v>15133</v>
      </c>
      <c r="H25655" t="s">
        <v>28090</v>
      </c>
    </row>
    <row r="25656" spans="6:8">
      <c r="H25656" t="s">
        <v>25497</v>
      </c>
    </row>
    <row r="25657" spans="6:8">
      <c r="H25657" t="s">
        <v>19998</v>
      </c>
    </row>
    <row r="25658" spans="6:8">
      <c r="H25658" t="s">
        <v>28089</v>
      </c>
    </row>
    <row r="25659" spans="6:8">
      <c r="H25659" t="s">
        <v>19947</v>
      </c>
    </row>
    <row r="25660" spans="6:8">
      <c r="H25660" t="s">
        <v>28174</v>
      </c>
    </row>
    <row r="25661" spans="6:8">
      <c r="H25661" t="s">
        <v>28175</v>
      </c>
    </row>
    <row r="25662" spans="6:8">
      <c r="H25662" t="s">
        <v>19789</v>
      </c>
    </row>
    <row r="25663" spans="6:8">
      <c r="H25663" t="s">
        <v>18932</v>
      </c>
    </row>
    <row r="25664" spans="6:8">
      <c r="H25664" t="s">
        <v>18931</v>
      </c>
    </row>
    <row r="25665" spans="8:8">
      <c r="H25665" t="s">
        <v>28176</v>
      </c>
    </row>
    <row r="25666" spans="8:8">
      <c r="H25666" t="s">
        <v>28177</v>
      </c>
    </row>
    <row r="25667" spans="8:8">
      <c r="H25667" t="s">
        <v>28178</v>
      </c>
    </row>
    <row r="25668" spans="8:8">
      <c r="H25668" t="s">
        <v>28179</v>
      </c>
    </row>
    <row r="25669" spans="8:8">
      <c r="H25669" t="s">
        <v>28180</v>
      </c>
    </row>
    <row r="25670" spans="8:8">
      <c r="H25670" t="s">
        <v>19811</v>
      </c>
    </row>
    <row r="25671" spans="8:8">
      <c r="H25671" t="s">
        <v>28181</v>
      </c>
    </row>
    <row r="25672" spans="8:8">
      <c r="H25672" t="s">
        <v>28182</v>
      </c>
    </row>
    <row r="25673" spans="8:8">
      <c r="H25673" t="s">
        <v>28183</v>
      </c>
    </row>
    <row r="25674" spans="8:8">
      <c r="H25674" t="s">
        <v>28184</v>
      </c>
    </row>
    <row r="25675" spans="8:8">
      <c r="H25675" t="s">
        <v>28185</v>
      </c>
    </row>
    <row r="25676" spans="8:8">
      <c r="H25676" t="s">
        <v>28186</v>
      </c>
    </row>
    <row r="25677" spans="8:8">
      <c r="H25677" t="s">
        <v>28123</v>
      </c>
    </row>
    <row r="25678" spans="8:8">
      <c r="H25678" t="s">
        <v>28187</v>
      </c>
    </row>
    <row r="25679" spans="8:8">
      <c r="H25679" t="s">
        <v>28188</v>
      </c>
    </row>
    <row r="25680" spans="8:8">
      <c r="H25680" t="s">
        <v>18956</v>
      </c>
    </row>
    <row r="25681" spans="6:8">
      <c r="H25681" t="s">
        <v>28189</v>
      </c>
    </row>
    <row r="25682" spans="6:8">
      <c r="H25682" t="s">
        <v>28190</v>
      </c>
    </row>
    <row r="25683" spans="6:8">
      <c r="H25683" t="s">
        <v>28191</v>
      </c>
    </row>
    <row r="25684" spans="6:8">
      <c r="H25684" t="s">
        <v>18961</v>
      </c>
    </row>
    <row r="25685" spans="6:8">
      <c r="H25685" t="s">
        <v>28192</v>
      </c>
    </row>
    <row r="25686" spans="6:8">
      <c r="H25686" t="s">
        <v>19230</v>
      </c>
    </row>
    <row r="25687" spans="6:8">
      <c r="H25687" t="s">
        <v>28193</v>
      </c>
    </row>
    <row r="25688" spans="6:8">
      <c r="H25688" t="s">
        <v>28092</v>
      </c>
    </row>
    <row r="25689" spans="6:8">
      <c r="H25689" t="s">
        <v>28194</v>
      </c>
    </row>
    <row r="25690" spans="6:8">
      <c r="H25690" t="s">
        <v>28195</v>
      </c>
    </row>
    <row r="25691" spans="6:8">
      <c r="H25691" t="s">
        <v>19289</v>
      </c>
    </row>
    <row r="25692" spans="6:8">
      <c r="H25692" t="s">
        <v>25728</v>
      </c>
    </row>
    <row r="25693" spans="6:8">
      <c r="F25693" t="s">
        <v>12378</v>
      </c>
      <c r="G25693" t="s">
        <v>15334</v>
      </c>
      <c r="H25693" t="s">
        <v>28196</v>
      </c>
    </row>
    <row r="25694" spans="6:8">
      <c r="H25694" t="s">
        <v>19740</v>
      </c>
    </row>
    <row r="25695" spans="6:8">
      <c r="H25695" t="s">
        <v>28197</v>
      </c>
    </row>
    <row r="25696" spans="6:8">
      <c r="H25696" t="s">
        <v>28198</v>
      </c>
    </row>
    <row r="25697" spans="6:8">
      <c r="H25697" t="s">
        <v>19742</v>
      </c>
    </row>
    <row r="25698" spans="6:8">
      <c r="H25698" t="s">
        <v>19743</v>
      </c>
    </row>
    <row r="25699" spans="6:8">
      <c r="H25699" t="s">
        <v>19744</v>
      </c>
    </row>
    <row r="25700" spans="6:8">
      <c r="H25700" t="s">
        <v>28199</v>
      </c>
    </row>
    <row r="25701" spans="6:8">
      <c r="H25701" t="s">
        <v>19746</v>
      </c>
    </row>
    <row r="25702" spans="6:8">
      <c r="H25702" t="s">
        <v>28200</v>
      </c>
    </row>
    <row r="25703" spans="6:8">
      <c r="H25703" t="s">
        <v>28201</v>
      </c>
    </row>
    <row r="25704" spans="6:8">
      <c r="F25704" t="s">
        <v>12379</v>
      </c>
      <c r="G25704" t="s">
        <v>16605</v>
      </c>
      <c r="H25704" t="s">
        <v>28202</v>
      </c>
    </row>
    <row r="25705" spans="6:8">
      <c r="H25705" t="s">
        <v>19166</v>
      </c>
    </row>
    <row r="25706" spans="6:8">
      <c r="H25706" t="s">
        <v>28179</v>
      </c>
    </row>
    <row r="25707" spans="6:8">
      <c r="H25707" t="s">
        <v>28203</v>
      </c>
    </row>
    <row r="25708" spans="6:8">
      <c r="H25708" t="s">
        <v>19167</v>
      </c>
    </row>
    <row r="25709" spans="6:8">
      <c r="H25709" t="s">
        <v>28204</v>
      </c>
    </row>
    <row r="25710" spans="6:8">
      <c r="H25710" t="s">
        <v>19168</v>
      </c>
    </row>
    <row r="25711" spans="6:8">
      <c r="H25711" t="s">
        <v>28205</v>
      </c>
    </row>
    <row r="25712" spans="6:8">
      <c r="F25712" t="s">
        <v>12329</v>
      </c>
      <c r="G25712" t="s">
        <v>15331</v>
      </c>
      <c r="H25712" t="s">
        <v>19166</v>
      </c>
    </row>
    <row r="25713" spans="6:8">
      <c r="H25713" t="s">
        <v>28206</v>
      </c>
    </row>
    <row r="25714" spans="6:8">
      <c r="H25714" t="s">
        <v>25627</v>
      </c>
    </row>
    <row r="25715" spans="6:8">
      <c r="H25715" t="s">
        <v>18931</v>
      </c>
    </row>
    <row r="25716" spans="6:8">
      <c r="H25716" t="s">
        <v>28207</v>
      </c>
    </row>
    <row r="25717" spans="6:8">
      <c r="H25717" t="s">
        <v>19957</v>
      </c>
    </row>
    <row r="25718" spans="6:8">
      <c r="H25718" t="s">
        <v>28208</v>
      </c>
    </row>
    <row r="25719" spans="6:8">
      <c r="H25719" t="s">
        <v>19924</v>
      </c>
    </row>
    <row r="25720" spans="6:8">
      <c r="H25720" t="s">
        <v>19168</v>
      </c>
    </row>
    <row r="25721" spans="6:8">
      <c r="H25721" t="s">
        <v>28163</v>
      </c>
    </row>
    <row r="25722" spans="6:8">
      <c r="H25722" t="s">
        <v>28209</v>
      </c>
    </row>
    <row r="25723" spans="6:8">
      <c r="H25723" t="s">
        <v>20024</v>
      </c>
    </row>
    <row r="25724" spans="6:8">
      <c r="H25724" t="s">
        <v>28210</v>
      </c>
    </row>
    <row r="25725" spans="6:8">
      <c r="F25725" t="s">
        <v>12375</v>
      </c>
      <c r="G25725" t="s">
        <v>16602</v>
      </c>
      <c r="H25725" t="s">
        <v>18927</v>
      </c>
    </row>
    <row r="25726" spans="6:8">
      <c r="H25726" t="s">
        <v>28211</v>
      </c>
    </row>
    <row r="25727" spans="6:8">
      <c r="H25727" t="s">
        <v>28212</v>
      </c>
    </row>
    <row r="25728" spans="6:8">
      <c r="H25728" t="s">
        <v>28153</v>
      </c>
    </row>
    <row r="25729" spans="6:8">
      <c r="F25729" t="s">
        <v>13142</v>
      </c>
      <c r="G25729" t="s">
        <v>17297</v>
      </c>
      <c r="H25729" t="s">
        <v>28213</v>
      </c>
    </row>
    <row r="25730" spans="6:8">
      <c r="H25730" t="s">
        <v>25497</v>
      </c>
    </row>
    <row r="25731" spans="6:8">
      <c r="H25731" t="s">
        <v>20244</v>
      </c>
    </row>
    <row r="25732" spans="6:8">
      <c r="H25732" t="s">
        <v>19233</v>
      </c>
    </row>
    <row r="25733" spans="6:8">
      <c r="H25733" t="s">
        <v>19232</v>
      </c>
    </row>
    <row r="25734" spans="6:8">
      <c r="H25734" t="s">
        <v>18927</v>
      </c>
    </row>
    <row r="25735" spans="6:8">
      <c r="H25735" t="s">
        <v>28152</v>
      </c>
    </row>
    <row r="25736" spans="6:8">
      <c r="H25736" t="s">
        <v>18929</v>
      </c>
    </row>
    <row r="25737" spans="6:8">
      <c r="H25737" t="s">
        <v>28214</v>
      </c>
    </row>
    <row r="25738" spans="6:8">
      <c r="F25738" t="s">
        <v>13143</v>
      </c>
      <c r="G25738" t="s">
        <v>17298</v>
      </c>
      <c r="H25738" t="s">
        <v>18829</v>
      </c>
    </row>
    <row r="25739" spans="6:8">
      <c r="H25739" t="s">
        <v>28215</v>
      </c>
    </row>
    <row r="25740" spans="6:8">
      <c r="H25740" t="s">
        <v>28216</v>
      </c>
    </row>
    <row r="25741" spans="6:8">
      <c r="H25741" t="s">
        <v>28217</v>
      </c>
    </row>
    <row r="25742" spans="6:8">
      <c r="F25742" t="s">
        <v>13144</v>
      </c>
      <c r="G25742" t="s">
        <v>17299</v>
      </c>
      <c r="H25742" t="s">
        <v>18829</v>
      </c>
    </row>
    <row r="25743" spans="6:8">
      <c r="H25743" t="s">
        <v>18863</v>
      </c>
    </row>
    <row r="25744" spans="6:8">
      <c r="H25744" t="s">
        <v>28218</v>
      </c>
    </row>
    <row r="25745" spans="6:8">
      <c r="H25745" t="s">
        <v>28219</v>
      </c>
    </row>
    <row r="25746" spans="6:8">
      <c r="H25746" t="s">
        <v>28220</v>
      </c>
    </row>
    <row r="25747" spans="6:8">
      <c r="H25747" t="s">
        <v>28221</v>
      </c>
    </row>
    <row r="25748" spans="6:8">
      <c r="H25748" t="s">
        <v>28222</v>
      </c>
    </row>
    <row r="25749" spans="6:8">
      <c r="H25749" t="s">
        <v>28223</v>
      </c>
    </row>
    <row r="25750" spans="6:8">
      <c r="F25750" t="s">
        <v>11424</v>
      </c>
      <c r="G25750" t="s">
        <v>15665</v>
      </c>
      <c r="H25750" t="s">
        <v>18829</v>
      </c>
    </row>
    <row r="25751" spans="6:8">
      <c r="H25751" t="s">
        <v>28224</v>
      </c>
    </row>
    <row r="25752" spans="6:8">
      <c r="H25752" t="s">
        <v>28225</v>
      </c>
    </row>
    <row r="25753" spans="6:8">
      <c r="H25753" t="s">
        <v>28226</v>
      </c>
    </row>
    <row r="25754" spans="6:8">
      <c r="H25754" t="s">
        <v>28227</v>
      </c>
    </row>
    <row r="25755" spans="6:8">
      <c r="H25755" t="s">
        <v>28228</v>
      </c>
    </row>
    <row r="25756" spans="6:8">
      <c r="H25756" t="s">
        <v>28229</v>
      </c>
    </row>
    <row r="25757" spans="6:8">
      <c r="H25757" t="s">
        <v>28230</v>
      </c>
    </row>
    <row r="25758" spans="6:8">
      <c r="H25758" t="s">
        <v>28231</v>
      </c>
    </row>
    <row r="25759" spans="6:8">
      <c r="H25759" t="s">
        <v>20024</v>
      </c>
    </row>
    <row r="25760" spans="6:8">
      <c r="F25760" t="s">
        <v>13145</v>
      </c>
      <c r="G25760" t="s">
        <v>17300</v>
      </c>
      <c r="H25760" t="s">
        <v>28232</v>
      </c>
    </row>
    <row r="25761" spans="6:8">
      <c r="H25761" t="s">
        <v>28233</v>
      </c>
    </row>
    <row r="25762" spans="6:8">
      <c r="H25762" t="s">
        <v>28234</v>
      </c>
    </row>
    <row r="25763" spans="6:8">
      <c r="H25763" t="s">
        <v>28235</v>
      </c>
    </row>
    <row r="25764" spans="6:8">
      <c r="H25764" t="s">
        <v>28236</v>
      </c>
    </row>
    <row r="25765" spans="6:8">
      <c r="H25765" t="s">
        <v>28237</v>
      </c>
    </row>
    <row r="25766" spans="6:8">
      <c r="H25766" t="s">
        <v>28238</v>
      </c>
    </row>
    <row r="25767" spans="6:8">
      <c r="H25767" t="s">
        <v>28239</v>
      </c>
    </row>
    <row r="25768" spans="6:8">
      <c r="H25768" t="s">
        <v>28240</v>
      </c>
    </row>
    <row r="25769" spans="6:8">
      <c r="H25769" t="s">
        <v>28241</v>
      </c>
    </row>
    <row r="25770" spans="6:8">
      <c r="H25770" t="s">
        <v>28242</v>
      </c>
    </row>
    <row r="25771" spans="6:8">
      <c r="H25771" t="s">
        <v>28243</v>
      </c>
    </row>
    <row r="25772" spans="6:8">
      <c r="H25772" t="s">
        <v>20077</v>
      </c>
    </row>
    <row r="25773" spans="6:8">
      <c r="H25773" t="s">
        <v>28244</v>
      </c>
    </row>
    <row r="25774" spans="6:8">
      <c r="H25774" t="s">
        <v>28245</v>
      </c>
    </row>
    <row r="25775" spans="6:8">
      <c r="F25775" t="s">
        <v>13146</v>
      </c>
      <c r="G25775" t="s">
        <v>17301</v>
      </c>
      <c r="H25775" t="s">
        <v>28246</v>
      </c>
    </row>
    <row r="25776" spans="6:8">
      <c r="F25776" t="s">
        <v>13147</v>
      </c>
      <c r="G25776" t="s">
        <v>17302</v>
      </c>
      <c r="H25776" t="s">
        <v>28247</v>
      </c>
    </row>
    <row r="25777" spans="6:8">
      <c r="H25777" t="s">
        <v>28248</v>
      </c>
    </row>
    <row r="25778" spans="6:8">
      <c r="H25778" t="s">
        <v>28249</v>
      </c>
    </row>
    <row r="25779" spans="6:8">
      <c r="H25779" t="s">
        <v>28250</v>
      </c>
    </row>
    <row r="25780" spans="6:8">
      <c r="F25780" t="s">
        <v>13148</v>
      </c>
      <c r="G25780" t="s">
        <v>17303</v>
      </c>
      <c r="H25780" t="s">
        <v>18836</v>
      </c>
    </row>
    <row r="25781" spans="6:8">
      <c r="H25781" t="s">
        <v>19729</v>
      </c>
    </row>
    <row r="25782" spans="6:8">
      <c r="H25782" t="s">
        <v>28251</v>
      </c>
    </row>
    <row r="25783" spans="6:8">
      <c r="H25783" t="s">
        <v>28252</v>
      </c>
    </row>
    <row r="25784" spans="6:8">
      <c r="F25784" t="s">
        <v>13149</v>
      </c>
      <c r="G25784" t="s">
        <v>15717</v>
      </c>
      <c r="H25784" t="s">
        <v>28253</v>
      </c>
    </row>
    <row r="25785" spans="6:8">
      <c r="H25785" t="s">
        <v>28254</v>
      </c>
    </row>
    <row r="25786" spans="6:8">
      <c r="H25786" t="s">
        <v>28255</v>
      </c>
    </row>
    <row r="25787" spans="6:8">
      <c r="H25787" t="s">
        <v>28256</v>
      </c>
    </row>
    <row r="25788" spans="6:8">
      <c r="H25788" t="s">
        <v>28257</v>
      </c>
    </row>
    <row r="25789" spans="6:8">
      <c r="F25789" t="s">
        <v>10735</v>
      </c>
      <c r="G25789" t="s">
        <v>15134</v>
      </c>
      <c r="H25789" t="s">
        <v>18829</v>
      </c>
    </row>
    <row r="25790" spans="6:8">
      <c r="H25790" t="s">
        <v>28258</v>
      </c>
    </row>
    <row r="25791" spans="6:8">
      <c r="H25791" t="s">
        <v>28259</v>
      </c>
    </row>
    <row r="25792" spans="6:8">
      <c r="H25792" t="s">
        <v>28260</v>
      </c>
    </row>
    <row r="25793" spans="8:8">
      <c r="H25793" t="s">
        <v>28261</v>
      </c>
    </row>
    <row r="25794" spans="8:8">
      <c r="H25794" t="s">
        <v>28262</v>
      </c>
    </row>
    <row r="25795" spans="8:8">
      <c r="H25795" t="s">
        <v>28263</v>
      </c>
    </row>
    <row r="25796" spans="8:8">
      <c r="H25796" t="s">
        <v>28264</v>
      </c>
    </row>
    <row r="25797" spans="8:8">
      <c r="H25797" t="s">
        <v>28265</v>
      </c>
    </row>
    <row r="25798" spans="8:8">
      <c r="H25798" t="s">
        <v>28266</v>
      </c>
    </row>
    <row r="25799" spans="8:8">
      <c r="H25799" t="s">
        <v>28267</v>
      </c>
    </row>
    <row r="25800" spans="8:8">
      <c r="H25800" t="s">
        <v>28268</v>
      </c>
    </row>
    <row r="25801" spans="8:8">
      <c r="H25801" t="s">
        <v>28269</v>
      </c>
    </row>
    <row r="25802" spans="8:8">
      <c r="H25802" t="s">
        <v>28270</v>
      </c>
    </row>
    <row r="25803" spans="8:8">
      <c r="H25803" t="s">
        <v>28271</v>
      </c>
    </row>
    <row r="25804" spans="8:8">
      <c r="H25804" t="s">
        <v>28272</v>
      </c>
    </row>
    <row r="25805" spans="8:8">
      <c r="H25805" t="s">
        <v>28273</v>
      </c>
    </row>
    <row r="25806" spans="8:8">
      <c r="H25806" t="s">
        <v>28274</v>
      </c>
    </row>
    <row r="25807" spans="8:8">
      <c r="H25807" t="s">
        <v>28275</v>
      </c>
    </row>
    <row r="25808" spans="8:8">
      <c r="H25808" t="s">
        <v>19242</v>
      </c>
    </row>
    <row r="25809" spans="6:8">
      <c r="H25809" t="s">
        <v>19243</v>
      </c>
    </row>
    <row r="25810" spans="6:8">
      <c r="F25810" t="s">
        <v>12399</v>
      </c>
      <c r="G25810" t="s">
        <v>16606</v>
      </c>
      <c r="H25810" t="s">
        <v>28276</v>
      </c>
    </row>
    <row r="25811" spans="6:8">
      <c r="H25811" t="s">
        <v>19233</v>
      </c>
    </row>
    <row r="25812" spans="6:8">
      <c r="H25812" t="s">
        <v>28277</v>
      </c>
    </row>
    <row r="25813" spans="6:8">
      <c r="H25813" t="s">
        <v>28278</v>
      </c>
    </row>
    <row r="25814" spans="6:8">
      <c r="H25814" t="s">
        <v>25711</v>
      </c>
    </row>
    <row r="25815" spans="6:8">
      <c r="H25815" t="s">
        <v>18829</v>
      </c>
    </row>
    <row r="25816" spans="6:8">
      <c r="H25816" t="s">
        <v>22478</v>
      </c>
    </row>
    <row r="25817" spans="6:8">
      <c r="H25817" t="s">
        <v>28279</v>
      </c>
    </row>
    <row r="25818" spans="6:8">
      <c r="H25818" t="s">
        <v>28279</v>
      </c>
    </row>
    <row r="25819" spans="6:8">
      <c r="H25819" t="s">
        <v>28280</v>
      </c>
    </row>
    <row r="25820" spans="6:8">
      <c r="H25820" t="s">
        <v>22479</v>
      </c>
    </row>
    <row r="25821" spans="6:8">
      <c r="H25821" t="s">
        <v>28281</v>
      </c>
    </row>
    <row r="25822" spans="6:8">
      <c r="H25822" t="s">
        <v>28282</v>
      </c>
    </row>
    <row r="25823" spans="6:8">
      <c r="H25823" t="s">
        <v>28283</v>
      </c>
    </row>
    <row r="25824" spans="6:8">
      <c r="H25824" t="s">
        <v>28284</v>
      </c>
    </row>
    <row r="25825" spans="8:8">
      <c r="H25825" t="s">
        <v>28285</v>
      </c>
    </row>
    <row r="25826" spans="8:8">
      <c r="H25826" t="s">
        <v>22481</v>
      </c>
    </row>
    <row r="25827" spans="8:8">
      <c r="H25827" t="s">
        <v>22482</v>
      </c>
    </row>
    <row r="25828" spans="8:8">
      <c r="H25828" t="s">
        <v>22483</v>
      </c>
    </row>
    <row r="25829" spans="8:8">
      <c r="H25829" t="s">
        <v>22484</v>
      </c>
    </row>
    <row r="25830" spans="8:8">
      <c r="H25830" t="s">
        <v>22485</v>
      </c>
    </row>
    <row r="25831" spans="8:8">
      <c r="H25831" t="s">
        <v>22486</v>
      </c>
    </row>
    <row r="25832" spans="8:8">
      <c r="H25832" t="s">
        <v>22487</v>
      </c>
    </row>
    <row r="25833" spans="8:8">
      <c r="H25833" t="s">
        <v>22488</v>
      </c>
    </row>
    <row r="25834" spans="8:8">
      <c r="H25834" t="s">
        <v>22489</v>
      </c>
    </row>
    <row r="25835" spans="8:8">
      <c r="H25835" t="s">
        <v>22490</v>
      </c>
    </row>
    <row r="25836" spans="8:8">
      <c r="H25836" t="s">
        <v>22491</v>
      </c>
    </row>
    <row r="25837" spans="8:8">
      <c r="H25837" t="s">
        <v>22492</v>
      </c>
    </row>
    <row r="25838" spans="8:8">
      <c r="H25838" t="s">
        <v>22493</v>
      </c>
    </row>
    <row r="25839" spans="8:8">
      <c r="H25839" t="s">
        <v>22494</v>
      </c>
    </row>
    <row r="25840" spans="8:8">
      <c r="H25840" t="s">
        <v>22495</v>
      </c>
    </row>
    <row r="25841" spans="8:8">
      <c r="H25841" t="s">
        <v>28286</v>
      </c>
    </row>
    <row r="25842" spans="8:8">
      <c r="H25842" t="s">
        <v>28287</v>
      </c>
    </row>
    <row r="25843" spans="8:8">
      <c r="H25843" t="s">
        <v>28288</v>
      </c>
    </row>
    <row r="25844" spans="8:8">
      <c r="H25844" t="s">
        <v>28289</v>
      </c>
    </row>
    <row r="25845" spans="8:8">
      <c r="H25845" t="s">
        <v>28290</v>
      </c>
    </row>
    <row r="25846" spans="8:8">
      <c r="H25846" t="s">
        <v>28291</v>
      </c>
    </row>
    <row r="25847" spans="8:8">
      <c r="H25847" t="s">
        <v>28292</v>
      </c>
    </row>
    <row r="25848" spans="8:8">
      <c r="H25848" t="s">
        <v>28293</v>
      </c>
    </row>
    <row r="25849" spans="8:8">
      <c r="H25849" t="s">
        <v>28294</v>
      </c>
    </row>
    <row r="25850" spans="8:8">
      <c r="H25850" t="s">
        <v>28295</v>
      </c>
    </row>
    <row r="25851" spans="8:8">
      <c r="H25851" t="s">
        <v>28296</v>
      </c>
    </row>
    <row r="25852" spans="8:8">
      <c r="H25852" t="s">
        <v>28297</v>
      </c>
    </row>
    <row r="25853" spans="8:8">
      <c r="H25853" t="s">
        <v>28298</v>
      </c>
    </row>
    <row r="25854" spans="8:8">
      <c r="H25854" t="s">
        <v>28299</v>
      </c>
    </row>
    <row r="25855" spans="8:8">
      <c r="H25855" t="s">
        <v>28300</v>
      </c>
    </row>
    <row r="25856" spans="8:8">
      <c r="H25856" t="s">
        <v>28301</v>
      </c>
    </row>
    <row r="25857" spans="8:8">
      <c r="H25857" t="s">
        <v>28302</v>
      </c>
    </row>
    <row r="25858" spans="8:8">
      <c r="H25858" t="s">
        <v>28303</v>
      </c>
    </row>
    <row r="25859" spans="8:8">
      <c r="H25859" t="s">
        <v>28304</v>
      </c>
    </row>
    <row r="25860" spans="8:8">
      <c r="H25860" t="s">
        <v>28305</v>
      </c>
    </row>
    <row r="25861" spans="8:8">
      <c r="H25861" t="s">
        <v>28306</v>
      </c>
    </row>
    <row r="25862" spans="8:8">
      <c r="H25862" t="s">
        <v>28307</v>
      </c>
    </row>
    <row r="25863" spans="8:8">
      <c r="H25863" t="s">
        <v>28308</v>
      </c>
    </row>
    <row r="25864" spans="8:8">
      <c r="H25864" t="s">
        <v>28309</v>
      </c>
    </row>
    <row r="25865" spans="8:8">
      <c r="H25865" t="s">
        <v>28310</v>
      </c>
    </row>
    <row r="25866" spans="8:8">
      <c r="H25866" t="s">
        <v>28311</v>
      </c>
    </row>
    <row r="25867" spans="8:8">
      <c r="H25867" t="s">
        <v>28312</v>
      </c>
    </row>
    <row r="25868" spans="8:8">
      <c r="H25868" t="s">
        <v>28313</v>
      </c>
    </row>
    <row r="25869" spans="8:8">
      <c r="H25869" t="s">
        <v>28314</v>
      </c>
    </row>
    <row r="25870" spans="8:8">
      <c r="H25870" t="s">
        <v>28315</v>
      </c>
    </row>
    <row r="25871" spans="8:8">
      <c r="H25871" t="s">
        <v>28316</v>
      </c>
    </row>
    <row r="25872" spans="8:8">
      <c r="H25872" t="s">
        <v>28317</v>
      </c>
    </row>
    <row r="25873" spans="8:8">
      <c r="H25873" t="s">
        <v>28318</v>
      </c>
    </row>
    <row r="25874" spans="8:8">
      <c r="H25874" t="s">
        <v>28319</v>
      </c>
    </row>
    <row r="25875" spans="8:8">
      <c r="H25875" t="s">
        <v>28320</v>
      </c>
    </row>
    <row r="25876" spans="8:8">
      <c r="H25876" t="s">
        <v>28321</v>
      </c>
    </row>
    <row r="25877" spans="8:8">
      <c r="H25877" t="s">
        <v>28322</v>
      </c>
    </row>
    <row r="25878" spans="8:8">
      <c r="H25878" t="s">
        <v>28323</v>
      </c>
    </row>
    <row r="25879" spans="8:8">
      <c r="H25879" t="s">
        <v>28324</v>
      </c>
    </row>
    <row r="25880" spans="8:8">
      <c r="H25880" t="s">
        <v>28325</v>
      </c>
    </row>
    <row r="25881" spans="8:8">
      <c r="H25881" t="s">
        <v>28326</v>
      </c>
    </row>
    <row r="25882" spans="8:8">
      <c r="H25882" t="s">
        <v>28327</v>
      </c>
    </row>
    <row r="25883" spans="8:8">
      <c r="H25883" t="s">
        <v>28328</v>
      </c>
    </row>
    <row r="25884" spans="8:8">
      <c r="H25884" t="s">
        <v>28329</v>
      </c>
    </row>
    <row r="25885" spans="8:8">
      <c r="H25885" t="s">
        <v>28330</v>
      </c>
    </row>
    <row r="25886" spans="8:8">
      <c r="H25886" t="s">
        <v>28331</v>
      </c>
    </row>
    <row r="25887" spans="8:8">
      <c r="H25887" t="s">
        <v>28332</v>
      </c>
    </row>
    <row r="25888" spans="8:8">
      <c r="H25888" t="s">
        <v>28333</v>
      </c>
    </row>
    <row r="25889" spans="6:8">
      <c r="F25889" t="s">
        <v>13150</v>
      </c>
      <c r="G25889" t="s">
        <v>17304</v>
      </c>
      <c r="H25889" t="s">
        <v>18829</v>
      </c>
    </row>
    <row r="25890" spans="6:8">
      <c r="H25890" t="s">
        <v>28334</v>
      </c>
    </row>
    <row r="25891" spans="6:8">
      <c r="H25891" t="s">
        <v>28335</v>
      </c>
    </row>
    <row r="25892" spans="6:8">
      <c r="H25892" t="s">
        <v>28336</v>
      </c>
    </row>
    <row r="25893" spans="6:8">
      <c r="H25893" t="s">
        <v>28337</v>
      </c>
    </row>
    <row r="25894" spans="6:8">
      <c r="F25894" t="s">
        <v>13151</v>
      </c>
      <c r="G25894" t="s">
        <v>17305</v>
      </c>
      <c r="H25894" t="s">
        <v>18829</v>
      </c>
    </row>
    <row r="25895" spans="6:8">
      <c r="H25895" t="s">
        <v>28338</v>
      </c>
    </row>
    <row r="25896" spans="6:8">
      <c r="H25896" t="s">
        <v>28338</v>
      </c>
    </row>
    <row r="25897" spans="6:8">
      <c r="H25897" t="s">
        <v>26183</v>
      </c>
    </row>
    <row r="25898" spans="6:8">
      <c r="H25898" t="s">
        <v>19241</v>
      </c>
    </row>
    <row r="25899" spans="6:8">
      <c r="F25899" t="s">
        <v>13152</v>
      </c>
      <c r="G25899" t="s">
        <v>16869</v>
      </c>
      <c r="H25899" t="s">
        <v>18829</v>
      </c>
    </row>
    <row r="25900" spans="6:8">
      <c r="H25900" t="s">
        <v>28339</v>
      </c>
    </row>
    <row r="25901" spans="6:8">
      <c r="H25901" t="s">
        <v>28340</v>
      </c>
    </row>
    <row r="25902" spans="6:8">
      <c r="H25902" t="s">
        <v>28341</v>
      </c>
    </row>
    <row r="25903" spans="6:8">
      <c r="H25903" t="s">
        <v>28342</v>
      </c>
    </row>
    <row r="25904" spans="6:8">
      <c r="H25904" t="s">
        <v>28343</v>
      </c>
    </row>
    <row r="25905" spans="6:8">
      <c r="H25905" t="s">
        <v>28344</v>
      </c>
    </row>
    <row r="25906" spans="6:8">
      <c r="H25906" t="s">
        <v>28345</v>
      </c>
    </row>
    <row r="25907" spans="6:8">
      <c r="H25907" t="s">
        <v>28346</v>
      </c>
    </row>
    <row r="25908" spans="6:8">
      <c r="H25908" t="s">
        <v>28347</v>
      </c>
    </row>
    <row r="25909" spans="6:8">
      <c r="H25909" t="s">
        <v>28348</v>
      </c>
    </row>
    <row r="25910" spans="6:8">
      <c r="H25910" t="s">
        <v>28349</v>
      </c>
    </row>
    <row r="25911" spans="6:8">
      <c r="H25911" t="s">
        <v>28350</v>
      </c>
    </row>
    <row r="25912" spans="6:8">
      <c r="F25912" t="s">
        <v>13153</v>
      </c>
      <c r="G25912" t="s">
        <v>17306</v>
      </c>
      <c r="H25912" t="s">
        <v>28351</v>
      </c>
    </row>
    <row r="25913" spans="6:8">
      <c r="F25913" t="s">
        <v>13154</v>
      </c>
      <c r="G25913" t="s">
        <v>15103</v>
      </c>
      <c r="H25913" t="s">
        <v>19170</v>
      </c>
    </row>
    <row r="25914" spans="6:8">
      <c r="H25914" t="s">
        <v>19171</v>
      </c>
    </row>
    <row r="25915" spans="6:8">
      <c r="H25915" t="s">
        <v>28352</v>
      </c>
    </row>
    <row r="25916" spans="6:8">
      <c r="H25916" t="s">
        <v>19172</v>
      </c>
    </row>
    <row r="25917" spans="6:8">
      <c r="H25917" t="s">
        <v>28353</v>
      </c>
    </row>
    <row r="25918" spans="6:8">
      <c r="H25918" t="s">
        <v>28354</v>
      </c>
    </row>
    <row r="25919" spans="6:8">
      <c r="H25919" t="s">
        <v>28355</v>
      </c>
    </row>
    <row r="25920" spans="6:8">
      <c r="H25920" t="s">
        <v>19173</v>
      </c>
    </row>
    <row r="25921" spans="6:8">
      <c r="H25921" t="s">
        <v>28356</v>
      </c>
    </row>
    <row r="25922" spans="6:8">
      <c r="H25922" t="s">
        <v>28357</v>
      </c>
    </row>
    <row r="25923" spans="6:8">
      <c r="H25923" t="s">
        <v>28358</v>
      </c>
    </row>
    <row r="25924" spans="6:8">
      <c r="H25924" t="s">
        <v>28359</v>
      </c>
    </row>
    <row r="25925" spans="6:8">
      <c r="H25925" t="s">
        <v>19174</v>
      </c>
    </row>
    <row r="25926" spans="6:8">
      <c r="F25926" t="s">
        <v>13155</v>
      </c>
      <c r="G25926" t="s">
        <v>15332</v>
      </c>
      <c r="H25926" t="s">
        <v>18829</v>
      </c>
    </row>
    <row r="25927" spans="6:8">
      <c r="H25927" t="s">
        <v>19729</v>
      </c>
    </row>
    <row r="25928" spans="6:8">
      <c r="H25928" t="s">
        <v>28360</v>
      </c>
    </row>
    <row r="25929" spans="6:8">
      <c r="H25929" t="s">
        <v>19730</v>
      </c>
    </row>
    <row r="25930" spans="6:8">
      <c r="H25930" t="s">
        <v>19731</v>
      </c>
    </row>
    <row r="25931" spans="6:8">
      <c r="H25931" t="s">
        <v>28361</v>
      </c>
    </row>
    <row r="25932" spans="6:8">
      <c r="H25932" t="s">
        <v>19732</v>
      </c>
    </row>
    <row r="25933" spans="6:8">
      <c r="H25933" t="s">
        <v>28362</v>
      </c>
    </row>
    <row r="25934" spans="6:8">
      <c r="H25934" t="s">
        <v>28363</v>
      </c>
    </row>
    <row r="25935" spans="6:8">
      <c r="H25935" t="s">
        <v>28364</v>
      </c>
    </row>
    <row r="25936" spans="6:8">
      <c r="H25936" t="s">
        <v>19174</v>
      </c>
    </row>
    <row r="25937" spans="1:8">
      <c r="F25937" t="s">
        <v>13156</v>
      </c>
      <c r="G25937" t="s">
        <v>17307</v>
      </c>
      <c r="H25937" t="s">
        <v>18829</v>
      </c>
    </row>
    <row r="25938" spans="1:8">
      <c r="H25938" t="s">
        <v>28365</v>
      </c>
    </row>
    <row r="25939" spans="1:8">
      <c r="H25939" t="s">
        <v>28366</v>
      </c>
    </row>
    <row r="25940" spans="1:8">
      <c r="H25940" t="s">
        <v>28367</v>
      </c>
    </row>
    <row r="25941" spans="1:8">
      <c r="A25941" t="s">
        <v>1311</v>
      </c>
      <c r="B25941">
        <f>HYPERLINK("https://android.googlesource.com/platform/cts/+/3bf0f595735ee81b57ccfddbcc42031d73c941a4", "3bf0f595735ee81b57ccfddbcc42031d73c941a4")</f>
        <v>0</v>
      </c>
      <c r="C25941">
        <f>HYPERLINK("https://android.googlesource.com/platform/cts/+/e44ae0a4c65529a312a4f8f794612d0e59997979", "e44ae0a4c65529a312a4f8f794612d0e59997979")</f>
        <v>0</v>
      </c>
      <c r="D25941" t="s">
        <v>5040</v>
      </c>
      <c r="E25941" t="s">
        <v>7084</v>
      </c>
      <c r="F25941" t="s">
        <v>10746</v>
      </c>
      <c r="G25941" t="s">
        <v>15145</v>
      </c>
      <c r="H25941" t="s">
        <v>28368</v>
      </c>
    </row>
    <row r="25942" spans="1:8">
      <c r="A25942" t="s">
        <v>1312</v>
      </c>
      <c r="B25942">
        <f>HYPERLINK("https://android.googlesource.com/platform/cts/+/2426c02fc99c3797264cd870051d9c34999e737a", "2426c02fc99c3797264cd870051d9c34999e737a")</f>
        <v>0</v>
      </c>
      <c r="C25942">
        <f>HYPERLINK("https://android.googlesource.com/platform/cts/+/369cae2a8b5cdef671ad514eebfa274c881356dc", "369cae2a8b5cdef671ad514eebfa274c881356dc")</f>
        <v>0</v>
      </c>
      <c r="D25942" t="s">
        <v>5006</v>
      </c>
      <c r="E25942" t="s">
        <v>7085</v>
      </c>
      <c r="F25942" t="s">
        <v>10942</v>
      </c>
      <c r="G25942" t="s">
        <v>14991</v>
      </c>
      <c r="H25942" t="s">
        <v>19364</v>
      </c>
    </row>
    <row r="25943" spans="1:8">
      <c r="H25943" t="s">
        <v>19364</v>
      </c>
    </row>
    <row r="25944" spans="1:8">
      <c r="H25944" t="s">
        <v>28071</v>
      </c>
    </row>
    <row r="25945" spans="1:8">
      <c r="H25945" t="s">
        <v>18932</v>
      </c>
    </row>
    <row r="25946" spans="1:8">
      <c r="H25946" t="s">
        <v>18931</v>
      </c>
    </row>
    <row r="25947" spans="1:8">
      <c r="H25947" t="s">
        <v>19791</v>
      </c>
    </row>
    <row r="25948" spans="1:8">
      <c r="H25948" t="s">
        <v>25723</v>
      </c>
    </row>
    <row r="25949" spans="1:8">
      <c r="H25949" t="s">
        <v>20444</v>
      </c>
    </row>
    <row r="25950" spans="1:8">
      <c r="H25950" t="s">
        <v>19794</v>
      </c>
    </row>
    <row r="25951" spans="1:8">
      <c r="H25951" t="s">
        <v>19795</v>
      </c>
    </row>
    <row r="25952" spans="1:8">
      <c r="H25952" t="s">
        <v>18820</v>
      </c>
    </row>
    <row r="25953" spans="6:8">
      <c r="H25953" t="s">
        <v>18824</v>
      </c>
    </row>
    <row r="25954" spans="6:8">
      <c r="H25954" t="s">
        <v>25687</v>
      </c>
    </row>
    <row r="25955" spans="6:8">
      <c r="H25955" t="s">
        <v>25688</v>
      </c>
    </row>
    <row r="25956" spans="6:8">
      <c r="H25956" t="s">
        <v>28072</v>
      </c>
    </row>
    <row r="25957" spans="6:8">
      <c r="H25957" t="s">
        <v>25722</v>
      </c>
    </row>
    <row r="25958" spans="6:8">
      <c r="H25958" t="s">
        <v>20024</v>
      </c>
    </row>
    <row r="25959" spans="6:8">
      <c r="H25959" t="s">
        <v>19735</v>
      </c>
    </row>
    <row r="25960" spans="6:8">
      <c r="H25960" t="s">
        <v>19736</v>
      </c>
    </row>
    <row r="25961" spans="6:8">
      <c r="H25961" t="s">
        <v>19740</v>
      </c>
    </row>
    <row r="25962" spans="6:8">
      <c r="H25962" t="s">
        <v>28073</v>
      </c>
    </row>
    <row r="25963" spans="6:8">
      <c r="H25963" t="s">
        <v>28074</v>
      </c>
    </row>
    <row r="25964" spans="6:8">
      <c r="H25964" t="s">
        <v>28075</v>
      </c>
    </row>
    <row r="25965" spans="6:8">
      <c r="F25965" t="s">
        <v>10938</v>
      </c>
      <c r="G25965" t="s">
        <v>14992</v>
      </c>
      <c r="H25965" t="s">
        <v>18924</v>
      </c>
    </row>
    <row r="25966" spans="6:8">
      <c r="H25966" t="s">
        <v>18924</v>
      </c>
    </row>
    <row r="25967" spans="6:8">
      <c r="H25967" t="s">
        <v>18932</v>
      </c>
    </row>
    <row r="25968" spans="6:8">
      <c r="H25968" t="s">
        <v>18931</v>
      </c>
    </row>
    <row r="25969" spans="6:8">
      <c r="H25969" t="s">
        <v>19230</v>
      </c>
    </row>
    <row r="25970" spans="6:8">
      <c r="H25970" t="s">
        <v>28076</v>
      </c>
    </row>
    <row r="25971" spans="6:8">
      <c r="H25971" t="s">
        <v>20024</v>
      </c>
    </row>
    <row r="25972" spans="6:8">
      <c r="H25972" t="s">
        <v>19740</v>
      </c>
    </row>
    <row r="25973" spans="6:8">
      <c r="H25973" t="s">
        <v>28077</v>
      </c>
    </row>
    <row r="25974" spans="6:8">
      <c r="H25974" t="s">
        <v>28078</v>
      </c>
    </row>
    <row r="25975" spans="6:8">
      <c r="F25975" t="s">
        <v>13137</v>
      </c>
      <c r="G25975" t="s">
        <v>16704</v>
      </c>
      <c r="H25975" t="s">
        <v>28079</v>
      </c>
    </row>
    <row r="25976" spans="6:8">
      <c r="H25976" t="s">
        <v>28080</v>
      </c>
    </row>
    <row r="25977" spans="6:8">
      <c r="H25977" t="s">
        <v>28081</v>
      </c>
    </row>
    <row r="25978" spans="6:8">
      <c r="H25978" t="s">
        <v>28079</v>
      </c>
    </row>
    <row r="25979" spans="6:8">
      <c r="H25979" t="s">
        <v>28082</v>
      </c>
    </row>
    <row r="25980" spans="6:8">
      <c r="H25980" t="s">
        <v>28083</v>
      </c>
    </row>
    <row r="25981" spans="6:8">
      <c r="H25981" t="s">
        <v>28084</v>
      </c>
    </row>
    <row r="25982" spans="6:8">
      <c r="H25982" t="s">
        <v>28085</v>
      </c>
    </row>
    <row r="25983" spans="6:8">
      <c r="H25983" t="s">
        <v>19347</v>
      </c>
    </row>
    <row r="25984" spans="6:8">
      <c r="H25984" t="s">
        <v>20024</v>
      </c>
    </row>
    <row r="25985" spans="6:8">
      <c r="H25985" t="s">
        <v>28086</v>
      </c>
    </row>
    <row r="25986" spans="6:8">
      <c r="F25986" t="s">
        <v>11479</v>
      </c>
      <c r="G25986" t="s">
        <v>15719</v>
      </c>
      <c r="H25986" t="s">
        <v>28087</v>
      </c>
    </row>
    <row r="25987" spans="6:8">
      <c r="H25987" t="s">
        <v>28088</v>
      </c>
    </row>
    <row r="25988" spans="6:8">
      <c r="H25988" t="s">
        <v>19998</v>
      </c>
    </row>
    <row r="25989" spans="6:8">
      <c r="H25989" t="s">
        <v>28089</v>
      </c>
    </row>
    <row r="25990" spans="6:8">
      <c r="H25990" t="s">
        <v>19947</v>
      </c>
    </row>
    <row r="25991" spans="6:8">
      <c r="H25991" t="s">
        <v>18932</v>
      </c>
    </row>
    <row r="25992" spans="6:8">
      <c r="H25992" t="s">
        <v>18931</v>
      </c>
    </row>
    <row r="25993" spans="6:8">
      <c r="H25993" t="s">
        <v>25497</v>
      </c>
    </row>
    <row r="25994" spans="6:8">
      <c r="H25994" t="s">
        <v>28090</v>
      </c>
    </row>
    <row r="25995" spans="6:8">
      <c r="H25995" t="s">
        <v>28091</v>
      </c>
    </row>
    <row r="25996" spans="6:8">
      <c r="H25996" t="s">
        <v>28092</v>
      </c>
    </row>
    <row r="25997" spans="6:8">
      <c r="H25997" t="s">
        <v>19949</v>
      </c>
    </row>
    <row r="25998" spans="6:8">
      <c r="H25998" t="s">
        <v>19738</v>
      </c>
    </row>
    <row r="25999" spans="6:8">
      <c r="H25999" t="s">
        <v>28076</v>
      </c>
    </row>
    <row r="26000" spans="6:8">
      <c r="H26000" t="s">
        <v>28076</v>
      </c>
    </row>
    <row r="26001" spans="6:8">
      <c r="H26001" t="s">
        <v>20024</v>
      </c>
    </row>
    <row r="26002" spans="6:8">
      <c r="H26002" t="s">
        <v>28093</v>
      </c>
    </row>
    <row r="26003" spans="6:8">
      <c r="H26003" t="s">
        <v>19740</v>
      </c>
    </row>
    <row r="26004" spans="6:8">
      <c r="H26004" t="s">
        <v>28094</v>
      </c>
    </row>
    <row r="26005" spans="6:8">
      <c r="H26005" t="s">
        <v>28095</v>
      </c>
    </row>
    <row r="26006" spans="6:8">
      <c r="H26006" t="s">
        <v>28096</v>
      </c>
    </row>
    <row r="26007" spans="6:8">
      <c r="H26007" t="s">
        <v>28097</v>
      </c>
    </row>
    <row r="26008" spans="6:8">
      <c r="H26008" t="s">
        <v>28078</v>
      </c>
    </row>
    <row r="26009" spans="6:8">
      <c r="H26009" t="s">
        <v>28098</v>
      </c>
    </row>
    <row r="26010" spans="6:8">
      <c r="F26010" t="s">
        <v>10941</v>
      </c>
      <c r="G26010" t="s">
        <v>15336</v>
      </c>
      <c r="H26010" t="s">
        <v>28099</v>
      </c>
    </row>
    <row r="26011" spans="6:8">
      <c r="H26011" t="s">
        <v>28100</v>
      </c>
    </row>
    <row r="26012" spans="6:8">
      <c r="H26012" t="s">
        <v>19747</v>
      </c>
    </row>
    <row r="26013" spans="6:8">
      <c r="H26013" t="s">
        <v>28101</v>
      </c>
    </row>
    <row r="26014" spans="6:8">
      <c r="H26014" t="s">
        <v>19791</v>
      </c>
    </row>
    <row r="26015" spans="6:8">
      <c r="H26015" t="s">
        <v>19743</v>
      </c>
    </row>
    <row r="26016" spans="6:8">
      <c r="H26016" t="s">
        <v>19371</v>
      </c>
    </row>
    <row r="26017" spans="6:8">
      <c r="F26017" t="s">
        <v>10944</v>
      </c>
      <c r="G26017" t="s">
        <v>15337</v>
      </c>
      <c r="H26017" t="s">
        <v>19740</v>
      </c>
    </row>
    <row r="26018" spans="6:8">
      <c r="H26018" t="s">
        <v>28102</v>
      </c>
    </row>
    <row r="26019" spans="6:8">
      <c r="H26019" t="s">
        <v>28078</v>
      </c>
    </row>
    <row r="26020" spans="6:8">
      <c r="H26020" t="s">
        <v>20024</v>
      </c>
    </row>
    <row r="26021" spans="6:8">
      <c r="H26021" t="s">
        <v>28103</v>
      </c>
    </row>
    <row r="26022" spans="6:8">
      <c r="H26022" t="s">
        <v>28104</v>
      </c>
    </row>
    <row r="26023" spans="6:8">
      <c r="H26023" t="s">
        <v>19371</v>
      </c>
    </row>
    <row r="26024" spans="6:8">
      <c r="H26024" t="s">
        <v>28105</v>
      </c>
    </row>
    <row r="26025" spans="6:8">
      <c r="H26025" t="s">
        <v>28106</v>
      </c>
    </row>
    <row r="26026" spans="6:8">
      <c r="F26026" t="s">
        <v>10943</v>
      </c>
      <c r="G26026" t="s">
        <v>14995</v>
      </c>
      <c r="H26026" t="s">
        <v>18960</v>
      </c>
    </row>
    <row r="26027" spans="6:8">
      <c r="H26027" t="s">
        <v>18960</v>
      </c>
    </row>
    <row r="26028" spans="6:8">
      <c r="H26028" t="s">
        <v>18931</v>
      </c>
    </row>
    <row r="26029" spans="6:8">
      <c r="H26029" t="s">
        <v>18932</v>
      </c>
    </row>
    <row r="26030" spans="6:8">
      <c r="H26030" t="s">
        <v>28076</v>
      </c>
    </row>
    <row r="26031" spans="6:8">
      <c r="H26031" t="s">
        <v>19949</v>
      </c>
    </row>
    <row r="26032" spans="6:8">
      <c r="H26032" t="s">
        <v>20042</v>
      </c>
    </row>
    <row r="26033" spans="6:8">
      <c r="H26033" t="s">
        <v>19788</v>
      </c>
    </row>
    <row r="26034" spans="6:8">
      <c r="H26034" t="s">
        <v>19787</v>
      </c>
    </row>
    <row r="26035" spans="6:8">
      <c r="H26035" t="s">
        <v>20024</v>
      </c>
    </row>
    <row r="26036" spans="6:8">
      <c r="H26036" t="s">
        <v>19740</v>
      </c>
    </row>
    <row r="26037" spans="6:8">
      <c r="H26037" t="s">
        <v>28107</v>
      </c>
    </row>
    <row r="26038" spans="6:8">
      <c r="H26038" t="s">
        <v>28108</v>
      </c>
    </row>
    <row r="26039" spans="6:8">
      <c r="H26039" t="s">
        <v>28077</v>
      </c>
    </row>
    <row r="26040" spans="6:8">
      <c r="H26040" t="s">
        <v>28078</v>
      </c>
    </row>
    <row r="26041" spans="6:8">
      <c r="F26041" t="s">
        <v>10940</v>
      </c>
      <c r="G26041" t="s">
        <v>15335</v>
      </c>
      <c r="H26041" t="s">
        <v>28109</v>
      </c>
    </row>
    <row r="26042" spans="6:8">
      <c r="H26042" t="s">
        <v>19998</v>
      </c>
    </row>
    <row r="26043" spans="6:8">
      <c r="H26043" t="s">
        <v>26394</v>
      </c>
    </row>
    <row r="26044" spans="6:8">
      <c r="H26044" t="s">
        <v>28110</v>
      </c>
    </row>
    <row r="26045" spans="6:8">
      <c r="H26045" t="s">
        <v>28111</v>
      </c>
    </row>
    <row r="26046" spans="6:8">
      <c r="H26046" t="s">
        <v>28112</v>
      </c>
    </row>
    <row r="26047" spans="6:8">
      <c r="H26047" t="s">
        <v>28113</v>
      </c>
    </row>
    <row r="26048" spans="6:8">
      <c r="H26048" t="s">
        <v>19740</v>
      </c>
    </row>
    <row r="26049" spans="6:8">
      <c r="H26049" t="s">
        <v>19794</v>
      </c>
    </row>
    <row r="26050" spans="6:8">
      <c r="H26050" t="s">
        <v>28114</v>
      </c>
    </row>
    <row r="26051" spans="6:8">
      <c r="F26051" t="s">
        <v>13138</v>
      </c>
      <c r="G26051" t="s">
        <v>16601</v>
      </c>
      <c r="H26051" t="s">
        <v>25497</v>
      </c>
    </row>
    <row r="26052" spans="6:8">
      <c r="H26052" t="s">
        <v>20244</v>
      </c>
    </row>
    <row r="26053" spans="6:8">
      <c r="H26053" t="s">
        <v>22460</v>
      </c>
    </row>
    <row r="26054" spans="6:8">
      <c r="H26054" t="s">
        <v>18927</v>
      </c>
    </row>
    <row r="26055" spans="6:8">
      <c r="F26055" t="s">
        <v>10747</v>
      </c>
      <c r="G26055" t="s">
        <v>15129</v>
      </c>
      <c r="H26055" t="s">
        <v>19946</v>
      </c>
    </row>
    <row r="26056" spans="6:8">
      <c r="H26056" t="s">
        <v>19671</v>
      </c>
    </row>
    <row r="26057" spans="6:8">
      <c r="H26057" t="s">
        <v>19672</v>
      </c>
    </row>
    <row r="26058" spans="6:8">
      <c r="H26058" t="s">
        <v>19673</v>
      </c>
    </row>
    <row r="26059" spans="6:8">
      <c r="H26059" t="s">
        <v>28115</v>
      </c>
    </row>
    <row r="26060" spans="6:8">
      <c r="H26060" t="s">
        <v>28090</v>
      </c>
    </row>
    <row r="26061" spans="6:8">
      <c r="H26061" t="s">
        <v>28116</v>
      </c>
    </row>
    <row r="26062" spans="6:8">
      <c r="H26062" t="s">
        <v>21254</v>
      </c>
    </row>
    <row r="26063" spans="6:8">
      <c r="H26063" t="s">
        <v>28117</v>
      </c>
    </row>
    <row r="26064" spans="6:8">
      <c r="H26064" t="s">
        <v>21254</v>
      </c>
    </row>
    <row r="26065" spans="8:8">
      <c r="H26065" t="s">
        <v>28118</v>
      </c>
    </row>
    <row r="26066" spans="8:8">
      <c r="H26066" t="s">
        <v>21254</v>
      </c>
    </row>
    <row r="26067" spans="8:8">
      <c r="H26067" t="s">
        <v>28119</v>
      </c>
    </row>
    <row r="26068" spans="8:8">
      <c r="H26068" t="s">
        <v>28119</v>
      </c>
    </row>
    <row r="26069" spans="8:8">
      <c r="H26069" t="s">
        <v>19232</v>
      </c>
    </row>
    <row r="26070" spans="8:8">
      <c r="H26070" t="s">
        <v>19233</v>
      </c>
    </row>
    <row r="26071" spans="8:8">
      <c r="H26071" t="s">
        <v>19236</v>
      </c>
    </row>
    <row r="26072" spans="8:8">
      <c r="H26072" t="s">
        <v>28120</v>
      </c>
    </row>
    <row r="26073" spans="8:8">
      <c r="H26073" t="s">
        <v>28121</v>
      </c>
    </row>
    <row r="26074" spans="8:8">
      <c r="H26074" t="s">
        <v>28122</v>
      </c>
    </row>
    <row r="26075" spans="8:8">
      <c r="H26075" t="s">
        <v>28123</v>
      </c>
    </row>
    <row r="26076" spans="8:8">
      <c r="H26076" t="s">
        <v>28124</v>
      </c>
    </row>
    <row r="26077" spans="8:8">
      <c r="H26077" t="s">
        <v>28125</v>
      </c>
    </row>
    <row r="26078" spans="8:8">
      <c r="H26078" t="s">
        <v>28126</v>
      </c>
    </row>
    <row r="26079" spans="8:8">
      <c r="H26079" t="s">
        <v>28127</v>
      </c>
    </row>
    <row r="26080" spans="8:8">
      <c r="H26080" t="s">
        <v>20244</v>
      </c>
    </row>
    <row r="26081" spans="8:8">
      <c r="H26081" t="s">
        <v>28128</v>
      </c>
    </row>
    <row r="26082" spans="8:8">
      <c r="H26082" t="s">
        <v>18927</v>
      </c>
    </row>
    <row r="26083" spans="8:8">
      <c r="H26083" t="s">
        <v>28129</v>
      </c>
    </row>
    <row r="26084" spans="8:8">
      <c r="H26084" t="s">
        <v>28130</v>
      </c>
    </row>
    <row r="26085" spans="8:8">
      <c r="H26085" t="s">
        <v>24969</v>
      </c>
    </row>
    <row r="26086" spans="8:8">
      <c r="H26086" t="s">
        <v>28131</v>
      </c>
    </row>
    <row r="26087" spans="8:8">
      <c r="H26087" t="s">
        <v>28132</v>
      </c>
    </row>
    <row r="26088" spans="8:8">
      <c r="H26088" t="s">
        <v>28133</v>
      </c>
    </row>
    <row r="26089" spans="8:8">
      <c r="H26089" t="s">
        <v>21321</v>
      </c>
    </row>
    <row r="26090" spans="8:8">
      <c r="H26090" t="s">
        <v>28134</v>
      </c>
    </row>
    <row r="26091" spans="8:8">
      <c r="H26091" t="s">
        <v>28135</v>
      </c>
    </row>
    <row r="26092" spans="8:8">
      <c r="H26092" t="s">
        <v>28136</v>
      </c>
    </row>
    <row r="26093" spans="8:8">
      <c r="H26093" t="s">
        <v>28137</v>
      </c>
    </row>
    <row r="26094" spans="8:8">
      <c r="H26094" t="s">
        <v>28138</v>
      </c>
    </row>
    <row r="26095" spans="8:8">
      <c r="H26095" t="s">
        <v>28139</v>
      </c>
    </row>
    <row r="26096" spans="8:8">
      <c r="H26096" t="s">
        <v>28140</v>
      </c>
    </row>
    <row r="26097" spans="6:8">
      <c r="H26097" t="s">
        <v>28141</v>
      </c>
    </row>
    <row r="26098" spans="6:8">
      <c r="H26098" t="s">
        <v>26657</v>
      </c>
    </row>
    <row r="26099" spans="6:8">
      <c r="H26099" t="s">
        <v>19237</v>
      </c>
    </row>
    <row r="26100" spans="6:8">
      <c r="H26100" t="s">
        <v>28142</v>
      </c>
    </row>
    <row r="26101" spans="6:8">
      <c r="H26101" t="s">
        <v>28143</v>
      </c>
    </row>
    <row r="26102" spans="6:8">
      <c r="H26102" t="s">
        <v>19238</v>
      </c>
    </row>
    <row r="26103" spans="6:8">
      <c r="H26103" t="s">
        <v>28144</v>
      </c>
    </row>
    <row r="26104" spans="6:8">
      <c r="H26104" t="s">
        <v>28145</v>
      </c>
    </row>
    <row r="26105" spans="6:8">
      <c r="H26105" t="s">
        <v>28144</v>
      </c>
    </row>
    <row r="26106" spans="6:8">
      <c r="H26106" t="s">
        <v>19240</v>
      </c>
    </row>
    <row r="26107" spans="6:8">
      <c r="H26107" t="s">
        <v>26739</v>
      </c>
    </row>
    <row r="26108" spans="6:8">
      <c r="H26108" t="s">
        <v>28146</v>
      </c>
    </row>
    <row r="26109" spans="6:8">
      <c r="H26109" t="s">
        <v>28147</v>
      </c>
    </row>
    <row r="26110" spans="6:8">
      <c r="F26110" t="s">
        <v>13139</v>
      </c>
      <c r="G26110" t="s">
        <v>17295</v>
      </c>
      <c r="H26110" t="s">
        <v>28148</v>
      </c>
    </row>
    <row r="26111" spans="6:8">
      <c r="H26111" t="s">
        <v>28149</v>
      </c>
    </row>
    <row r="26112" spans="6:8">
      <c r="H26112" t="s">
        <v>28150</v>
      </c>
    </row>
    <row r="26113" spans="6:8">
      <c r="H26113" t="s">
        <v>28151</v>
      </c>
    </row>
    <row r="26114" spans="6:8">
      <c r="H26114" t="s">
        <v>25497</v>
      </c>
    </row>
    <row r="26115" spans="6:8">
      <c r="H26115" t="s">
        <v>18927</v>
      </c>
    </row>
    <row r="26116" spans="6:8">
      <c r="H26116" t="s">
        <v>28152</v>
      </c>
    </row>
    <row r="26117" spans="6:8">
      <c r="H26117" t="s">
        <v>28153</v>
      </c>
    </row>
    <row r="26118" spans="6:8">
      <c r="H26118" t="s">
        <v>18929</v>
      </c>
    </row>
    <row r="26119" spans="6:8">
      <c r="H26119" t="s">
        <v>20244</v>
      </c>
    </row>
    <row r="26120" spans="6:8">
      <c r="H26120" t="s">
        <v>19233</v>
      </c>
    </row>
    <row r="26121" spans="6:8">
      <c r="H26121" t="s">
        <v>19232</v>
      </c>
    </row>
    <row r="26122" spans="6:8">
      <c r="F26122" t="s">
        <v>13140</v>
      </c>
      <c r="G26122" t="s">
        <v>17296</v>
      </c>
      <c r="H26122" t="s">
        <v>25497</v>
      </c>
    </row>
    <row r="26123" spans="6:8">
      <c r="H26123" t="s">
        <v>19232</v>
      </c>
    </row>
    <row r="26124" spans="6:8">
      <c r="H26124" t="s">
        <v>19233</v>
      </c>
    </row>
    <row r="26125" spans="6:8">
      <c r="H26125" t="s">
        <v>26734</v>
      </c>
    </row>
    <row r="26126" spans="6:8">
      <c r="H26126" t="s">
        <v>26735</v>
      </c>
    </row>
    <row r="26127" spans="6:8">
      <c r="H26127" t="s">
        <v>26736</v>
      </c>
    </row>
    <row r="26128" spans="6:8">
      <c r="H26128" t="s">
        <v>19230</v>
      </c>
    </row>
    <row r="26129" spans="6:8">
      <c r="H26129" t="s">
        <v>18927</v>
      </c>
    </row>
    <row r="26130" spans="6:8">
      <c r="H26130" t="s">
        <v>26737</v>
      </c>
    </row>
    <row r="26131" spans="6:8">
      <c r="H26131" t="s">
        <v>26738</v>
      </c>
    </row>
    <row r="26132" spans="6:8">
      <c r="H26132" t="s">
        <v>20244</v>
      </c>
    </row>
    <row r="26133" spans="6:8">
      <c r="H26133" t="s">
        <v>26739</v>
      </c>
    </row>
    <row r="26134" spans="6:8">
      <c r="H26134" t="s">
        <v>26740</v>
      </c>
    </row>
    <row r="26135" spans="6:8">
      <c r="F26135" t="s">
        <v>10745</v>
      </c>
      <c r="G26135" t="s">
        <v>15144</v>
      </c>
      <c r="H26135" t="s">
        <v>25497</v>
      </c>
    </row>
    <row r="26136" spans="6:8">
      <c r="H26136" t="s">
        <v>20244</v>
      </c>
    </row>
    <row r="26137" spans="6:8">
      <c r="H26137" t="s">
        <v>28128</v>
      </c>
    </row>
    <row r="26138" spans="6:8">
      <c r="H26138" t="s">
        <v>28154</v>
      </c>
    </row>
    <row r="26139" spans="6:8">
      <c r="H26139" t="s">
        <v>28155</v>
      </c>
    </row>
    <row r="26140" spans="6:8">
      <c r="H26140" t="s">
        <v>28156</v>
      </c>
    </row>
    <row r="26141" spans="6:8">
      <c r="H26141" t="s">
        <v>26736</v>
      </c>
    </row>
    <row r="26142" spans="6:8">
      <c r="H26142" t="s">
        <v>19230</v>
      </c>
    </row>
    <row r="26143" spans="6:8">
      <c r="H26143" t="s">
        <v>28157</v>
      </c>
    </row>
    <row r="26144" spans="6:8">
      <c r="H26144" t="s">
        <v>26735</v>
      </c>
    </row>
    <row r="26145" spans="6:8">
      <c r="H26145" t="s">
        <v>19232</v>
      </c>
    </row>
    <row r="26146" spans="6:8">
      <c r="H26146" t="s">
        <v>19233</v>
      </c>
    </row>
    <row r="26147" spans="6:8">
      <c r="H26147" t="s">
        <v>18927</v>
      </c>
    </row>
    <row r="26148" spans="6:8">
      <c r="H26148" t="s">
        <v>18927</v>
      </c>
    </row>
    <row r="26149" spans="6:8">
      <c r="H26149" t="s">
        <v>18929</v>
      </c>
    </row>
    <row r="26150" spans="6:8">
      <c r="H26150" t="s">
        <v>20131</v>
      </c>
    </row>
    <row r="26151" spans="6:8">
      <c r="H26151" t="s">
        <v>18927</v>
      </c>
    </row>
    <row r="26152" spans="6:8">
      <c r="H26152" t="s">
        <v>28158</v>
      </c>
    </row>
    <row r="26153" spans="6:8">
      <c r="H26153" t="s">
        <v>26603</v>
      </c>
    </row>
    <row r="26154" spans="6:8">
      <c r="H26154" t="s">
        <v>20020</v>
      </c>
    </row>
    <row r="26155" spans="6:8">
      <c r="H26155" t="s">
        <v>28159</v>
      </c>
    </row>
    <row r="26156" spans="6:8">
      <c r="H26156" t="s">
        <v>28159</v>
      </c>
    </row>
    <row r="26157" spans="6:8">
      <c r="H26157" t="s">
        <v>28160</v>
      </c>
    </row>
    <row r="26158" spans="6:8">
      <c r="H26158" t="s">
        <v>26739</v>
      </c>
    </row>
    <row r="26159" spans="6:8">
      <c r="H26159" t="s">
        <v>18925</v>
      </c>
    </row>
    <row r="26160" spans="6:8">
      <c r="F26160" t="s">
        <v>13141</v>
      </c>
      <c r="G26160" t="s">
        <v>16868</v>
      </c>
      <c r="H26160" t="s">
        <v>28161</v>
      </c>
    </row>
    <row r="26161" spans="6:8">
      <c r="H26161" t="s">
        <v>28162</v>
      </c>
    </row>
    <row r="26162" spans="6:8">
      <c r="H26162" t="s">
        <v>28163</v>
      </c>
    </row>
    <row r="26163" spans="6:8">
      <c r="H26163" t="s">
        <v>28164</v>
      </c>
    </row>
    <row r="26164" spans="6:8">
      <c r="H26164" t="s">
        <v>28165</v>
      </c>
    </row>
    <row r="26165" spans="6:8">
      <c r="H26165" t="s">
        <v>28166</v>
      </c>
    </row>
    <row r="26166" spans="6:8">
      <c r="H26166" t="s">
        <v>28167</v>
      </c>
    </row>
    <row r="26167" spans="6:8">
      <c r="H26167" t="s">
        <v>28168</v>
      </c>
    </row>
    <row r="26168" spans="6:8">
      <c r="H26168" t="s">
        <v>28169</v>
      </c>
    </row>
    <row r="26169" spans="6:8">
      <c r="H26169" t="s">
        <v>28170</v>
      </c>
    </row>
    <row r="26170" spans="6:8">
      <c r="H26170" t="s">
        <v>28171</v>
      </c>
    </row>
    <row r="26171" spans="6:8">
      <c r="H26171" t="s">
        <v>28172</v>
      </c>
    </row>
    <row r="26172" spans="6:8">
      <c r="H26172" t="s">
        <v>28173</v>
      </c>
    </row>
    <row r="26173" spans="6:8">
      <c r="H26173" t="s">
        <v>19371</v>
      </c>
    </row>
    <row r="26174" spans="6:8">
      <c r="F26174" t="s">
        <v>12875</v>
      </c>
      <c r="G26174" t="s">
        <v>17043</v>
      </c>
      <c r="H26174" t="s">
        <v>25497</v>
      </c>
    </row>
    <row r="26175" spans="6:8">
      <c r="H26175" t="s">
        <v>19232</v>
      </c>
    </row>
    <row r="26176" spans="6:8">
      <c r="H26176" t="s">
        <v>19233</v>
      </c>
    </row>
    <row r="26177" spans="6:8">
      <c r="H26177" t="s">
        <v>26734</v>
      </c>
    </row>
    <row r="26178" spans="6:8">
      <c r="H26178" t="s">
        <v>26735</v>
      </c>
    </row>
    <row r="26179" spans="6:8">
      <c r="H26179" t="s">
        <v>26736</v>
      </c>
    </row>
    <row r="26180" spans="6:8">
      <c r="H26180" t="s">
        <v>19230</v>
      </c>
    </row>
    <row r="26181" spans="6:8">
      <c r="H26181" t="s">
        <v>18927</v>
      </c>
    </row>
    <row r="26182" spans="6:8">
      <c r="H26182" t="s">
        <v>26737</v>
      </c>
    </row>
    <row r="26183" spans="6:8">
      <c r="H26183" t="s">
        <v>26738</v>
      </c>
    </row>
    <row r="26184" spans="6:8">
      <c r="H26184" t="s">
        <v>20244</v>
      </c>
    </row>
    <row r="26185" spans="6:8">
      <c r="H26185" t="s">
        <v>26739</v>
      </c>
    </row>
    <row r="26186" spans="6:8">
      <c r="H26186" t="s">
        <v>26740</v>
      </c>
    </row>
    <row r="26187" spans="6:8">
      <c r="H26187" t="s">
        <v>26741</v>
      </c>
    </row>
    <row r="26188" spans="6:8">
      <c r="F26188" t="s">
        <v>10734</v>
      </c>
      <c r="G26188" t="s">
        <v>15133</v>
      </c>
      <c r="H26188" t="s">
        <v>28090</v>
      </c>
    </row>
    <row r="26189" spans="6:8">
      <c r="H26189" t="s">
        <v>25497</v>
      </c>
    </row>
    <row r="26190" spans="6:8">
      <c r="H26190" t="s">
        <v>19998</v>
      </c>
    </row>
    <row r="26191" spans="6:8">
      <c r="H26191" t="s">
        <v>28089</v>
      </c>
    </row>
    <row r="26192" spans="6:8">
      <c r="H26192" t="s">
        <v>19947</v>
      </c>
    </row>
    <row r="26193" spans="8:8">
      <c r="H26193" t="s">
        <v>28174</v>
      </c>
    </row>
    <row r="26194" spans="8:8">
      <c r="H26194" t="s">
        <v>28175</v>
      </c>
    </row>
    <row r="26195" spans="8:8">
      <c r="H26195" t="s">
        <v>19789</v>
      </c>
    </row>
    <row r="26196" spans="8:8">
      <c r="H26196" t="s">
        <v>18932</v>
      </c>
    </row>
    <row r="26197" spans="8:8">
      <c r="H26197" t="s">
        <v>18931</v>
      </c>
    </row>
    <row r="26198" spans="8:8">
      <c r="H26198" t="s">
        <v>28176</v>
      </c>
    </row>
    <row r="26199" spans="8:8">
      <c r="H26199" t="s">
        <v>28177</v>
      </c>
    </row>
    <row r="26200" spans="8:8">
      <c r="H26200" t="s">
        <v>28178</v>
      </c>
    </row>
    <row r="26201" spans="8:8">
      <c r="H26201" t="s">
        <v>28179</v>
      </c>
    </row>
    <row r="26202" spans="8:8">
      <c r="H26202" t="s">
        <v>28180</v>
      </c>
    </row>
    <row r="26203" spans="8:8">
      <c r="H26203" t="s">
        <v>19811</v>
      </c>
    </row>
    <row r="26204" spans="8:8">
      <c r="H26204" t="s">
        <v>28181</v>
      </c>
    </row>
    <row r="26205" spans="8:8">
      <c r="H26205" t="s">
        <v>28182</v>
      </c>
    </row>
    <row r="26206" spans="8:8">
      <c r="H26206" t="s">
        <v>28183</v>
      </c>
    </row>
    <row r="26207" spans="8:8">
      <c r="H26207" t="s">
        <v>28184</v>
      </c>
    </row>
    <row r="26208" spans="8:8">
      <c r="H26208" t="s">
        <v>28185</v>
      </c>
    </row>
    <row r="26209" spans="8:8">
      <c r="H26209" t="s">
        <v>28186</v>
      </c>
    </row>
    <row r="26210" spans="8:8">
      <c r="H26210" t="s">
        <v>28123</v>
      </c>
    </row>
    <row r="26211" spans="8:8">
      <c r="H26211" t="s">
        <v>28187</v>
      </c>
    </row>
    <row r="26212" spans="8:8">
      <c r="H26212" t="s">
        <v>28188</v>
      </c>
    </row>
    <row r="26213" spans="8:8">
      <c r="H26213" t="s">
        <v>18956</v>
      </c>
    </row>
    <row r="26214" spans="8:8">
      <c r="H26214" t="s">
        <v>28189</v>
      </c>
    </row>
    <row r="26215" spans="8:8">
      <c r="H26215" t="s">
        <v>28190</v>
      </c>
    </row>
    <row r="26216" spans="8:8">
      <c r="H26216" t="s">
        <v>28191</v>
      </c>
    </row>
    <row r="26217" spans="8:8">
      <c r="H26217" t="s">
        <v>18961</v>
      </c>
    </row>
    <row r="26218" spans="8:8">
      <c r="H26218" t="s">
        <v>28192</v>
      </c>
    </row>
    <row r="26219" spans="8:8">
      <c r="H26219" t="s">
        <v>19230</v>
      </c>
    </row>
    <row r="26220" spans="8:8">
      <c r="H26220" t="s">
        <v>28193</v>
      </c>
    </row>
    <row r="26221" spans="8:8">
      <c r="H26221" t="s">
        <v>28092</v>
      </c>
    </row>
    <row r="26222" spans="8:8">
      <c r="H26222" t="s">
        <v>28194</v>
      </c>
    </row>
    <row r="26223" spans="8:8">
      <c r="H26223" t="s">
        <v>28195</v>
      </c>
    </row>
    <row r="26224" spans="8:8">
      <c r="H26224" t="s">
        <v>19289</v>
      </c>
    </row>
    <row r="26225" spans="6:8">
      <c r="H26225" t="s">
        <v>25728</v>
      </c>
    </row>
    <row r="26226" spans="6:8">
      <c r="F26226" t="s">
        <v>12378</v>
      </c>
      <c r="G26226" t="s">
        <v>15334</v>
      </c>
      <c r="H26226" t="s">
        <v>28196</v>
      </c>
    </row>
    <row r="26227" spans="6:8">
      <c r="H26227" t="s">
        <v>19740</v>
      </c>
    </row>
    <row r="26228" spans="6:8">
      <c r="H26228" t="s">
        <v>28197</v>
      </c>
    </row>
    <row r="26229" spans="6:8">
      <c r="H26229" t="s">
        <v>28198</v>
      </c>
    </row>
    <row r="26230" spans="6:8">
      <c r="H26230" t="s">
        <v>19742</v>
      </c>
    </row>
    <row r="26231" spans="6:8">
      <c r="H26231" t="s">
        <v>19743</v>
      </c>
    </row>
    <row r="26232" spans="6:8">
      <c r="H26232" t="s">
        <v>19744</v>
      </c>
    </row>
    <row r="26233" spans="6:8">
      <c r="H26233" t="s">
        <v>28199</v>
      </c>
    </row>
    <row r="26234" spans="6:8">
      <c r="H26234" t="s">
        <v>19746</v>
      </c>
    </row>
    <row r="26235" spans="6:8">
      <c r="H26235" t="s">
        <v>28200</v>
      </c>
    </row>
    <row r="26236" spans="6:8">
      <c r="H26236" t="s">
        <v>28201</v>
      </c>
    </row>
    <row r="26237" spans="6:8">
      <c r="F26237" t="s">
        <v>12379</v>
      </c>
      <c r="G26237" t="s">
        <v>16605</v>
      </c>
      <c r="H26237" t="s">
        <v>28202</v>
      </c>
    </row>
    <row r="26238" spans="6:8">
      <c r="H26238" t="s">
        <v>19166</v>
      </c>
    </row>
    <row r="26239" spans="6:8">
      <c r="H26239" t="s">
        <v>28179</v>
      </c>
    </row>
    <row r="26240" spans="6:8">
      <c r="H26240" t="s">
        <v>28203</v>
      </c>
    </row>
    <row r="26241" spans="6:8">
      <c r="H26241" t="s">
        <v>19167</v>
      </c>
    </row>
    <row r="26242" spans="6:8">
      <c r="H26242" t="s">
        <v>28204</v>
      </c>
    </row>
    <row r="26243" spans="6:8">
      <c r="H26243" t="s">
        <v>19168</v>
      </c>
    </row>
    <row r="26244" spans="6:8">
      <c r="H26244" t="s">
        <v>28205</v>
      </c>
    </row>
    <row r="26245" spans="6:8">
      <c r="F26245" t="s">
        <v>12329</v>
      </c>
      <c r="G26245" t="s">
        <v>15331</v>
      </c>
      <c r="H26245" t="s">
        <v>19166</v>
      </c>
    </row>
    <row r="26246" spans="6:8">
      <c r="H26246" t="s">
        <v>28206</v>
      </c>
    </row>
    <row r="26247" spans="6:8">
      <c r="H26247" t="s">
        <v>25627</v>
      </c>
    </row>
    <row r="26248" spans="6:8">
      <c r="H26248" t="s">
        <v>18931</v>
      </c>
    </row>
    <row r="26249" spans="6:8">
      <c r="H26249" t="s">
        <v>28207</v>
      </c>
    </row>
    <row r="26250" spans="6:8">
      <c r="H26250" t="s">
        <v>19957</v>
      </c>
    </row>
    <row r="26251" spans="6:8">
      <c r="H26251" t="s">
        <v>28208</v>
      </c>
    </row>
    <row r="26252" spans="6:8">
      <c r="H26252" t="s">
        <v>19924</v>
      </c>
    </row>
    <row r="26253" spans="6:8">
      <c r="H26253" t="s">
        <v>19168</v>
      </c>
    </row>
    <row r="26254" spans="6:8">
      <c r="H26254" t="s">
        <v>28163</v>
      </c>
    </row>
    <row r="26255" spans="6:8">
      <c r="H26255" t="s">
        <v>28209</v>
      </c>
    </row>
    <row r="26256" spans="6:8">
      <c r="H26256" t="s">
        <v>20024</v>
      </c>
    </row>
    <row r="26257" spans="6:8">
      <c r="H26257" t="s">
        <v>28210</v>
      </c>
    </row>
    <row r="26258" spans="6:8">
      <c r="F26258" t="s">
        <v>12375</v>
      </c>
      <c r="G26258" t="s">
        <v>16602</v>
      </c>
      <c r="H26258" t="s">
        <v>18927</v>
      </c>
    </row>
    <row r="26259" spans="6:8">
      <c r="H26259" t="s">
        <v>28211</v>
      </c>
    </row>
    <row r="26260" spans="6:8">
      <c r="H26260" t="s">
        <v>28212</v>
      </c>
    </row>
    <row r="26261" spans="6:8">
      <c r="H26261" t="s">
        <v>28153</v>
      </c>
    </row>
    <row r="26262" spans="6:8">
      <c r="F26262" t="s">
        <v>13142</v>
      </c>
      <c r="G26262" t="s">
        <v>17297</v>
      </c>
      <c r="H26262" t="s">
        <v>28213</v>
      </c>
    </row>
    <row r="26263" spans="6:8">
      <c r="H26263" t="s">
        <v>25497</v>
      </c>
    </row>
    <row r="26264" spans="6:8">
      <c r="H26264" t="s">
        <v>20244</v>
      </c>
    </row>
    <row r="26265" spans="6:8">
      <c r="H26265" t="s">
        <v>19233</v>
      </c>
    </row>
    <row r="26266" spans="6:8">
      <c r="H26266" t="s">
        <v>19232</v>
      </c>
    </row>
    <row r="26267" spans="6:8">
      <c r="H26267" t="s">
        <v>18927</v>
      </c>
    </row>
    <row r="26268" spans="6:8">
      <c r="H26268" t="s">
        <v>28152</v>
      </c>
    </row>
    <row r="26269" spans="6:8">
      <c r="H26269" t="s">
        <v>18929</v>
      </c>
    </row>
    <row r="26270" spans="6:8">
      <c r="H26270" t="s">
        <v>28214</v>
      </c>
    </row>
    <row r="26271" spans="6:8">
      <c r="F26271" t="s">
        <v>13143</v>
      </c>
      <c r="G26271" t="s">
        <v>17298</v>
      </c>
      <c r="H26271" t="s">
        <v>18829</v>
      </c>
    </row>
    <row r="26272" spans="6:8">
      <c r="H26272" t="s">
        <v>28215</v>
      </c>
    </row>
    <row r="26273" spans="6:8">
      <c r="H26273" t="s">
        <v>28216</v>
      </c>
    </row>
    <row r="26274" spans="6:8">
      <c r="H26274" t="s">
        <v>28217</v>
      </c>
    </row>
    <row r="26275" spans="6:8">
      <c r="F26275" t="s">
        <v>13144</v>
      </c>
      <c r="G26275" t="s">
        <v>17299</v>
      </c>
      <c r="H26275" t="s">
        <v>18829</v>
      </c>
    </row>
    <row r="26276" spans="6:8">
      <c r="H26276" t="s">
        <v>18863</v>
      </c>
    </row>
    <row r="26277" spans="6:8">
      <c r="H26277" t="s">
        <v>28218</v>
      </c>
    </row>
    <row r="26278" spans="6:8">
      <c r="H26278" t="s">
        <v>28219</v>
      </c>
    </row>
    <row r="26279" spans="6:8">
      <c r="H26279" t="s">
        <v>28220</v>
      </c>
    </row>
    <row r="26280" spans="6:8">
      <c r="H26280" t="s">
        <v>28221</v>
      </c>
    </row>
    <row r="26281" spans="6:8">
      <c r="H26281" t="s">
        <v>28222</v>
      </c>
    </row>
    <row r="26282" spans="6:8">
      <c r="H26282" t="s">
        <v>28223</v>
      </c>
    </row>
    <row r="26283" spans="6:8">
      <c r="F26283" t="s">
        <v>11424</v>
      </c>
      <c r="G26283" t="s">
        <v>15665</v>
      </c>
      <c r="H26283" t="s">
        <v>18829</v>
      </c>
    </row>
    <row r="26284" spans="6:8">
      <c r="H26284" t="s">
        <v>28224</v>
      </c>
    </row>
    <row r="26285" spans="6:8">
      <c r="H26285" t="s">
        <v>28225</v>
      </c>
    </row>
    <row r="26286" spans="6:8">
      <c r="H26286" t="s">
        <v>28226</v>
      </c>
    </row>
    <row r="26287" spans="6:8">
      <c r="H26287" t="s">
        <v>28227</v>
      </c>
    </row>
    <row r="26288" spans="6:8">
      <c r="H26288" t="s">
        <v>28228</v>
      </c>
    </row>
    <row r="26289" spans="6:8">
      <c r="H26289" t="s">
        <v>28229</v>
      </c>
    </row>
    <row r="26290" spans="6:8">
      <c r="H26290" t="s">
        <v>28230</v>
      </c>
    </row>
    <row r="26291" spans="6:8">
      <c r="H26291" t="s">
        <v>28231</v>
      </c>
    </row>
    <row r="26292" spans="6:8">
      <c r="H26292" t="s">
        <v>20024</v>
      </c>
    </row>
    <row r="26293" spans="6:8">
      <c r="F26293" t="s">
        <v>13145</v>
      </c>
      <c r="G26293" t="s">
        <v>17300</v>
      </c>
      <c r="H26293" t="s">
        <v>28232</v>
      </c>
    </row>
    <row r="26294" spans="6:8">
      <c r="H26294" t="s">
        <v>28233</v>
      </c>
    </row>
    <row r="26295" spans="6:8">
      <c r="H26295" t="s">
        <v>28234</v>
      </c>
    </row>
    <row r="26296" spans="6:8">
      <c r="H26296" t="s">
        <v>28235</v>
      </c>
    </row>
    <row r="26297" spans="6:8">
      <c r="H26297" t="s">
        <v>28236</v>
      </c>
    </row>
    <row r="26298" spans="6:8">
      <c r="H26298" t="s">
        <v>28237</v>
      </c>
    </row>
    <row r="26299" spans="6:8">
      <c r="H26299" t="s">
        <v>28238</v>
      </c>
    </row>
    <row r="26300" spans="6:8">
      <c r="H26300" t="s">
        <v>28239</v>
      </c>
    </row>
    <row r="26301" spans="6:8">
      <c r="H26301" t="s">
        <v>28240</v>
      </c>
    </row>
    <row r="26302" spans="6:8">
      <c r="H26302" t="s">
        <v>28241</v>
      </c>
    </row>
    <row r="26303" spans="6:8">
      <c r="H26303" t="s">
        <v>28242</v>
      </c>
    </row>
    <row r="26304" spans="6:8">
      <c r="H26304" t="s">
        <v>28243</v>
      </c>
    </row>
    <row r="26305" spans="6:8">
      <c r="H26305" t="s">
        <v>20077</v>
      </c>
    </row>
    <row r="26306" spans="6:8">
      <c r="H26306" t="s">
        <v>28244</v>
      </c>
    </row>
    <row r="26307" spans="6:8">
      <c r="H26307" t="s">
        <v>28245</v>
      </c>
    </row>
    <row r="26308" spans="6:8">
      <c r="F26308" t="s">
        <v>13146</v>
      </c>
      <c r="G26308" t="s">
        <v>17301</v>
      </c>
      <c r="H26308" t="s">
        <v>28246</v>
      </c>
    </row>
    <row r="26309" spans="6:8">
      <c r="F26309" t="s">
        <v>13147</v>
      </c>
      <c r="G26309" t="s">
        <v>17302</v>
      </c>
      <c r="H26309" t="s">
        <v>28247</v>
      </c>
    </row>
    <row r="26310" spans="6:8">
      <c r="H26310" t="s">
        <v>28248</v>
      </c>
    </row>
    <row r="26311" spans="6:8">
      <c r="H26311" t="s">
        <v>28249</v>
      </c>
    </row>
    <row r="26312" spans="6:8">
      <c r="H26312" t="s">
        <v>28250</v>
      </c>
    </row>
    <row r="26313" spans="6:8">
      <c r="F26313" t="s">
        <v>13148</v>
      </c>
      <c r="G26313" t="s">
        <v>17303</v>
      </c>
      <c r="H26313" t="s">
        <v>18836</v>
      </c>
    </row>
    <row r="26314" spans="6:8">
      <c r="H26314" t="s">
        <v>19729</v>
      </c>
    </row>
    <row r="26315" spans="6:8">
      <c r="H26315" t="s">
        <v>28251</v>
      </c>
    </row>
    <row r="26316" spans="6:8">
      <c r="H26316" t="s">
        <v>28252</v>
      </c>
    </row>
    <row r="26317" spans="6:8">
      <c r="F26317" t="s">
        <v>13149</v>
      </c>
      <c r="G26317" t="s">
        <v>15717</v>
      </c>
      <c r="H26317" t="s">
        <v>28253</v>
      </c>
    </row>
    <row r="26318" spans="6:8">
      <c r="H26318" t="s">
        <v>28254</v>
      </c>
    </row>
    <row r="26319" spans="6:8">
      <c r="H26319" t="s">
        <v>28255</v>
      </c>
    </row>
    <row r="26320" spans="6:8">
      <c r="H26320" t="s">
        <v>28256</v>
      </c>
    </row>
    <row r="26321" spans="6:8">
      <c r="H26321" t="s">
        <v>28257</v>
      </c>
    </row>
    <row r="26322" spans="6:8">
      <c r="F26322" t="s">
        <v>10735</v>
      </c>
      <c r="G26322" t="s">
        <v>15134</v>
      </c>
      <c r="H26322" t="s">
        <v>18829</v>
      </c>
    </row>
    <row r="26323" spans="6:8">
      <c r="H26323" t="s">
        <v>28258</v>
      </c>
    </row>
    <row r="26324" spans="6:8">
      <c r="H26324" t="s">
        <v>28259</v>
      </c>
    </row>
    <row r="26325" spans="6:8">
      <c r="H26325" t="s">
        <v>28260</v>
      </c>
    </row>
    <row r="26326" spans="6:8">
      <c r="H26326" t="s">
        <v>28261</v>
      </c>
    </row>
    <row r="26327" spans="6:8">
      <c r="H26327" t="s">
        <v>28262</v>
      </c>
    </row>
    <row r="26328" spans="6:8">
      <c r="H26328" t="s">
        <v>28263</v>
      </c>
    </row>
    <row r="26329" spans="6:8">
      <c r="H26329" t="s">
        <v>28264</v>
      </c>
    </row>
    <row r="26330" spans="6:8">
      <c r="H26330" t="s">
        <v>28265</v>
      </c>
    </row>
    <row r="26331" spans="6:8">
      <c r="H26331" t="s">
        <v>28266</v>
      </c>
    </row>
    <row r="26332" spans="6:8">
      <c r="H26332" t="s">
        <v>28267</v>
      </c>
    </row>
    <row r="26333" spans="6:8">
      <c r="H26333" t="s">
        <v>28268</v>
      </c>
    </row>
    <row r="26334" spans="6:8">
      <c r="H26334" t="s">
        <v>28269</v>
      </c>
    </row>
    <row r="26335" spans="6:8">
      <c r="H26335" t="s">
        <v>28270</v>
      </c>
    </row>
    <row r="26336" spans="6:8">
      <c r="H26336" t="s">
        <v>28271</v>
      </c>
    </row>
    <row r="26337" spans="6:8">
      <c r="H26337" t="s">
        <v>28272</v>
      </c>
    </row>
    <row r="26338" spans="6:8">
      <c r="H26338" t="s">
        <v>28273</v>
      </c>
    </row>
    <row r="26339" spans="6:8">
      <c r="H26339" t="s">
        <v>28274</v>
      </c>
    </row>
    <row r="26340" spans="6:8">
      <c r="H26340" t="s">
        <v>28275</v>
      </c>
    </row>
    <row r="26341" spans="6:8">
      <c r="H26341" t="s">
        <v>19242</v>
      </c>
    </row>
    <row r="26342" spans="6:8">
      <c r="H26342" t="s">
        <v>19243</v>
      </c>
    </row>
    <row r="26343" spans="6:8">
      <c r="F26343" t="s">
        <v>12399</v>
      </c>
      <c r="G26343" t="s">
        <v>16606</v>
      </c>
      <c r="H26343" t="s">
        <v>28276</v>
      </c>
    </row>
    <row r="26344" spans="6:8">
      <c r="H26344" t="s">
        <v>19233</v>
      </c>
    </row>
    <row r="26345" spans="6:8">
      <c r="H26345" t="s">
        <v>28277</v>
      </c>
    </row>
    <row r="26346" spans="6:8">
      <c r="H26346" t="s">
        <v>28278</v>
      </c>
    </row>
    <row r="26347" spans="6:8">
      <c r="H26347" t="s">
        <v>25711</v>
      </c>
    </row>
    <row r="26348" spans="6:8">
      <c r="H26348" t="s">
        <v>18829</v>
      </c>
    </row>
    <row r="26349" spans="6:8">
      <c r="H26349" t="s">
        <v>22478</v>
      </c>
    </row>
    <row r="26350" spans="6:8">
      <c r="H26350" t="s">
        <v>28279</v>
      </c>
    </row>
    <row r="26351" spans="6:8">
      <c r="H26351" t="s">
        <v>28279</v>
      </c>
    </row>
    <row r="26352" spans="6:8">
      <c r="H26352" t="s">
        <v>28280</v>
      </c>
    </row>
    <row r="26353" spans="8:8">
      <c r="H26353" t="s">
        <v>22479</v>
      </c>
    </row>
    <row r="26354" spans="8:8">
      <c r="H26354" t="s">
        <v>28281</v>
      </c>
    </row>
    <row r="26355" spans="8:8">
      <c r="H26355" t="s">
        <v>28282</v>
      </c>
    </row>
    <row r="26356" spans="8:8">
      <c r="H26356" t="s">
        <v>28283</v>
      </c>
    </row>
    <row r="26357" spans="8:8">
      <c r="H26357" t="s">
        <v>28284</v>
      </c>
    </row>
    <row r="26358" spans="8:8">
      <c r="H26358" t="s">
        <v>28285</v>
      </c>
    </row>
    <row r="26359" spans="8:8">
      <c r="H26359" t="s">
        <v>22481</v>
      </c>
    </row>
    <row r="26360" spans="8:8">
      <c r="H26360" t="s">
        <v>22482</v>
      </c>
    </row>
    <row r="26361" spans="8:8">
      <c r="H26361" t="s">
        <v>22483</v>
      </c>
    </row>
    <row r="26362" spans="8:8">
      <c r="H26362" t="s">
        <v>22484</v>
      </c>
    </row>
    <row r="26363" spans="8:8">
      <c r="H26363" t="s">
        <v>22485</v>
      </c>
    </row>
    <row r="26364" spans="8:8">
      <c r="H26364" t="s">
        <v>22486</v>
      </c>
    </row>
    <row r="26365" spans="8:8">
      <c r="H26365" t="s">
        <v>22487</v>
      </c>
    </row>
    <row r="26366" spans="8:8">
      <c r="H26366" t="s">
        <v>22488</v>
      </c>
    </row>
    <row r="26367" spans="8:8">
      <c r="H26367" t="s">
        <v>22489</v>
      </c>
    </row>
    <row r="26368" spans="8:8">
      <c r="H26368" t="s">
        <v>22490</v>
      </c>
    </row>
    <row r="26369" spans="8:8">
      <c r="H26369" t="s">
        <v>22491</v>
      </c>
    </row>
    <row r="26370" spans="8:8">
      <c r="H26370" t="s">
        <v>22492</v>
      </c>
    </row>
    <row r="26371" spans="8:8">
      <c r="H26371" t="s">
        <v>22493</v>
      </c>
    </row>
    <row r="26372" spans="8:8">
      <c r="H26372" t="s">
        <v>22494</v>
      </c>
    </row>
    <row r="26373" spans="8:8">
      <c r="H26373" t="s">
        <v>22495</v>
      </c>
    </row>
    <row r="26374" spans="8:8">
      <c r="H26374" t="s">
        <v>28286</v>
      </c>
    </row>
    <row r="26375" spans="8:8">
      <c r="H26375" t="s">
        <v>28287</v>
      </c>
    </row>
    <row r="26376" spans="8:8">
      <c r="H26376" t="s">
        <v>28288</v>
      </c>
    </row>
    <row r="26377" spans="8:8">
      <c r="H26377" t="s">
        <v>28289</v>
      </c>
    </row>
    <row r="26378" spans="8:8">
      <c r="H26378" t="s">
        <v>28290</v>
      </c>
    </row>
    <row r="26379" spans="8:8">
      <c r="H26379" t="s">
        <v>28291</v>
      </c>
    </row>
    <row r="26380" spans="8:8">
      <c r="H26380" t="s">
        <v>28292</v>
      </c>
    </row>
    <row r="26381" spans="8:8">
      <c r="H26381" t="s">
        <v>28293</v>
      </c>
    </row>
    <row r="26382" spans="8:8">
      <c r="H26382" t="s">
        <v>28294</v>
      </c>
    </row>
    <row r="26383" spans="8:8">
      <c r="H26383" t="s">
        <v>28295</v>
      </c>
    </row>
    <row r="26384" spans="8:8">
      <c r="H26384" t="s">
        <v>28296</v>
      </c>
    </row>
    <row r="26385" spans="8:8">
      <c r="H26385" t="s">
        <v>28297</v>
      </c>
    </row>
    <row r="26386" spans="8:8">
      <c r="H26386" t="s">
        <v>28298</v>
      </c>
    </row>
    <row r="26387" spans="8:8">
      <c r="H26387" t="s">
        <v>28299</v>
      </c>
    </row>
    <row r="26388" spans="8:8">
      <c r="H26388" t="s">
        <v>28300</v>
      </c>
    </row>
    <row r="26389" spans="8:8">
      <c r="H26389" t="s">
        <v>28301</v>
      </c>
    </row>
    <row r="26390" spans="8:8">
      <c r="H26390" t="s">
        <v>28302</v>
      </c>
    </row>
    <row r="26391" spans="8:8">
      <c r="H26391" t="s">
        <v>28303</v>
      </c>
    </row>
    <row r="26392" spans="8:8">
      <c r="H26392" t="s">
        <v>28304</v>
      </c>
    </row>
    <row r="26393" spans="8:8">
      <c r="H26393" t="s">
        <v>28305</v>
      </c>
    </row>
    <row r="26394" spans="8:8">
      <c r="H26394" t="s">
        <v>28306</v>
      </c>
    </row>
    <row r="26395" spans="8:8">
      <c r="H26395" t="s">
        <v>28307</v>
      </c>
    </row>
    <row r="26396" spans="8:8">
      <c r="H26396" t="s">
        <v>28308</v>
      </c>
    </row>
    <row r="26397" spans="8:8">
      <c r="H26397" t="s">
        <v>28309</v>
      </c>
    </row>
    <row r="26398" spans="8:8">
      <c r="H26398" t="s">
        <v>28310</v>
      </c>
    </row>
    <row r="26399" spans="8:8">
      <c r="H26399" t="s">
        <v>28311</v>
      </c>
    </row>
    <row r="26400" spans="8:8">
      <c r="H26400" t="s">
        <v>28312</v>
      </c>
    </row>
    <row r="26401" spans="8:8">
      <c r="H26401" t="s">
        <v>28313</v>
      </c>
    </row>
    <row r="26402" spans="8:8">
      <c r="H26402" t="s">
        <v>28314</v>
      </c>
    </row>
    <row r="26403" spans="8:8">
      <c r="H26403" t="s">
        <v>28315</v>
      </c>
    </row>
    <row r="26404" spans="8:8">
      <c r="H26404" t="s">
        <v>28316</v>
      </c>
    </row>
    <row r="26405" spans="8:8">
      <c r="H26405" t="s">
        <v>28317</v>
      </c>
    </row>
    <row r="26406" spans="8:8">
      <c r="H26406" t="s">
        <v>28318</v>
      </c>
    </row>
    <row r="26407" spans="8:8">
      <c r="H26407" t="s">
        <v>28319</v>
      </c>
    </row>
    <row r="26408" spans="8:8">
      <c r="H26408" t="s">
        <v>28320</v>
      </c>
    </row>
    <row r="26409" spans="8:8">
      <c r="H26409" t="s">
        <v>28321</v>
      </c>
    </row>
    <row r="26410" spans="8:8">
      <c r="H26410" t="s">
        <v>28322</v>
      </c>
    </row>
    <row r="26411" spans="8:8">
      <c r="H26411" t="s">
        <v>28323</v>
      </c>
    </row>
    <row r="26412" spans="8:8">
      <c r="H26412" t="s">
        <v>28324</v>
      </c>
    </row>
    <row r="26413" spans="8:8">
      <c r="H26413" t="s">
        <v>28325</v>
      </c>
    </row>
    <row r="26414" spans="8:8">
      <c r="H26414" t="s">
        <v>28326</v>
      </c>
    </row>
    <row r="26415" spans="8:8">
      <c r="H26415" t="s">
        <v>28327</v>
      </c>
    </row>
    <row r="26416" spans="8:8">
      <c r="H26416" t="s">
        <v>28328</v>
      </c>
    </row>
    <row r="26417" spans="6:8">
      <c r="H26417" t="s">
        <v>28329</v>
      </c>
    </row>
    <row r="26418" spans="6:8">
      <c r="H26418" t="s">
        <v>28330</v>
      </c>
    </row>
    <row r="26419" spans="6:8">
      <c r="H26419" t="s">
        <v>28331</v>
      </c>
    </row>
    <row r="26420" spans="6:8">
      <c r="H26420" t="s">
        <v>28332</v>
      </c>
    </row>
    <row r="26421" spans="6:8">
      <c r="H26421" t="s">
        <v>28333</v>
      </c>
    </row>
    <row r="26422" spans="6:8">
      <c r="F26422" t="s">
        <v>13150</v>
      </c>
      <c r="G26422" t="s">
        <v>17304</v>
      </c>
      <c r="H26422" t="s">
        <v>18829</v>
      </c>
    </row>
    <row r="26423" spans="6:8">
      <c r="H26423" t="s">
        <v>28334</v>
      </c>
    </row>
    <row r="26424" spans="6:8">
      <c r="H26424" t="s">
        <v>28335</v>
      </c>
    </row>
    <row r="26425" spans="6:8">
      <c r="H26425" t="s">
        <v>28336</v>
      </c>
    </row>
    <row r="26426" spans="6:8">
      <c r="H26426" t="s">
        <v>28337</v>
      </c>
    </row>
    <row r="26427" spans="6:8">
      <c r="F26427" t="s">
        <v>13151</v>
      </c>
      <c r="G26427" t="s">
        <v>17305</v>
      </c>
      <c r="H26427" t="s">
        <v>18829</v>
      </c>
    </row>
    <row r="26428" spans="6:8">
      <c r="H26428" t="s">
        <v>28338</v>
      </c>
    </row>
    <row r="26429" spans="6:8">
      <c r="H26429" t="s">
        <v>28338</v>
      </c>
    </row>
    <row r="26430" spans="6:8">
      <c r="H26430" t="s">
        <v>26183</v>
      </c>
    </row>
    <row r="26431" spans="6:8">
      <c r="H26431" t="s">
        <v>19241</v>
      </c>
    </row>
    <row r="26432" spans="6:8">
      <c r="F26432" t="s">
        <v>13152</v>
      </c>
      <c r="G26432" t="s">
        <v>16869</v>
      </c>
      <c r="H26432" t="s">
        <v>18829</v>
      </c>
    </row>
    <row r="26433" spans="6:8">
      <c r="H26433" t="s">
        <v>28339</v>
      </c>
    </row>
    <row r="26434" spans="6:8">
      <c r="H26434" t="s">
        <v>28340</v>
      </c>
    </row>
    <row r="26435" spans="6:8">
      <c r="H26435" t="s">
        <v>28341</v>
      </c>
    </row>
    <row r="26436" spans="6:8">
      <c r="H26436" t="s">
        <v>28342</v>
      </c>
    </row>
    <row r="26437" spans="6:8">
      <c r="H26437" t="s">
        <v>28343</v>
      </c>
    </row>
    <row r="26438" spans="6:8">
      <c r="H26438" t="s">
        <v>28344</v>
      </c>
    </row>
    <row r="26439" spans="6:8">
      <c r="H26439" t="s">
        <v>28345</v>
      </c>
    </row>
    <row r="26440" spans="6:8">
      <c r="H26440" t="s">
        <v>28346</v>
      </c>
    </row>
    <row r="26441" spans="6:8">
      <c r="H26441" t="s">
        <v>28347</v>
      </c>
    </row>
    <row r="26442" spans="6:8">
      <c r="H26442" t="s">
        <v>28348</v>
      </c>
    </row>
    <row r="26443" spans="6:8">
      <c r="H26443" t="s">
        <v>28349</v>
      </c>
    </row>
    <row r="26444" spans="6:8">
      <c r="H26444" t="s">
        <v>28350</v>
      </c>
    </row>
    <row r="26445" spans="6:8">
      <c r="F26445" t="s">
        <v>13153</v>
      </c>
      <c r="G26445" t="s">
        <v>17306</v>
      </c>
      <c r="H26445" t="s">
        <v>28351</v>
      </c>
    </row>
    <row r="26446" spans="6:8">
      <c r="F26446" t="s">
        <v>13154</v>
      </c>
      <c r="G26446" t="s">
        <v>15103</v>
      </c>
      <c r="H26446" t="s">
        <v>19170</v>
      </c>
    </row>
    <row r="26447" spans="6:8">
      <c r="H26447" t="s">
        <v>19171</v>
      </c>
    </row>
    <row r="26448" spans="6:8">
      <c r="H26448" t="s">
        <v>28352</v>
      </c>
    </row>
    <row r="26449" spans="6:8">
      <c r="H26449" t="s">
        <v>19172</v>
      </c>
    </row>
    <row r="26450" spans="6:8">
      <c r="H26450" t="s">
        <v>28353</v>
      </c>
    </row>
    <row r="26451" spans="6:8">
      <c r="H26451" t="s">
        <v>28354</v>
      </c>
    </row>
    <row r="26452" spans="6:8">
      <c r="H26452" t="s">
        <v>28355</v>
      </c>
    </row>
    <row r="26453" spans="6:8">
      <c r="H26453" t="s">
        <v>19173</v>
      </c>
    </row>
    <row r="26454" spans="6:8">
      <c r="H26454" t="s">
        <v>28356</v>
      </c>
    </row>
    <row r="26455" spans="6:8">
      <c r="H26455" t="s">
        <v>28357</v>
      </c>
    </row>
    <row r="26456" spans="6:8">
      <c r="H26456" t="s">
        <v>28358</v>
      </c>
    </row>
    <row r="26457" spans="6:8">
      <c r="H26457" t="s">
        <v>28359</v>
      </c>
    </row>
    <row r="26458" spans="6:8">
      <c r="H26458" t="s">
        <v>19174</v>
      </c>
    </row>
    <row r="26459" spans="6:8">
      <c r="F26459" t="s">
        <v>13155</v>
      </c>
      <c r="G26459" t="s">
        <v>15332</v>
      </c>
      <c r="H26459" t="s">
        <v>18829</v>
      </c>
    </row>
    <row r="26460" spans="6:8">
      <c r="H26460" t="s">
        <v>19729</v>
      </c>
    </row>
    <row r="26461" spans="6:8">
      <c r="H26461" t="s">
        <v>28360</v>
      </c>
    </row>
    <row r="26462" spans="6:8">
      <c r="H26462" t="s">
        <v>19730</v>
      </c>
    </row>
    <row r="26463" spans="6:8">
      <c r="H26463" t="s">
        <v>19731</v>
      </c>
    </row>
    <row r="26464" spans="6:8">
      <c r="H26464" t="s">
        <v>28361</v>
      </c>
    </row>
    <row r="26465" spans="1:8">
      <c r="H26465" t="s">
        <v>19732</v>
      </c>
    </row>
    <row r="26466" spans="1:8">
      <c r="H26466" t="s">
        <v>28362</v>
      </c>
    </row>
    <row r="26467" spans="1:8">
      <c r="H26467" t="s">
        <v>28363</v>
      </c>
    </row>
    <row r="26468" spans="1:8">
      <c r="H26468" t="s">
        <v>28364</v>
      </c>
    </row>
    <row r="26469" spans="1:8">
      <c r="H26469" t="s">
        <v>19174</v>
      </c>
    </row>
    <row r="26470" spans="1:8">
      <c r="F26470" t="s">
        <v>13156</v>
      </c>
      <c r="G26470" t="s">
        <v>17307</v>
      </c>
      <c r="H26470" t="s">
        <v>18829</v>
      </c>
    </row>
    <row r="26471" spans="1:8">
      <c r="H26471" t="s">
        <v>28365</v>
      </c>
    </row>
    <row r="26472" spans="1:8">
      <c r="H26472" t="s">
        <v>28366</v>
      </c>
    </row>
    <row r="26473" spans="1:8">
      <c r="H26473" t="s">
        <v>28367</v>
      </c>
    </row>
    <row r="26474" spans="1:8">
      <c r="A26474" t="s">
        <v>1313</v>
      </c>
      <c r="B26474">
        <f>HYPERLINK("https://android.googlesource.com/platform/cts/+/d7d521b441b48761eed81d47224e03e77bc80005", "d7d521b441b48761eed81d47224e03e77bc80005")</f>
        <v>0</v>
      </c>
      <c r="C26474">
        <f>HYPERLINK("https://android.googlesource.com/platform/cts/+/467b960629f49b3aa73eefbcb7fd60bd7adb0b39", "467b960629f49b3aa73eefbcb7fd60bd7adb0b39")</f>
        <v>0</v>
      </c>
      <c r="D26474" t="s">
        <v>5122</v>
      </c>
      <c r="E26474" t="s">
        <v>7086</v>
      </c>
      <c r="F26474" t="s">
        <v>13157</v>
      </c>
      <c r="G26474" t="s">
        <v>17308</v>
      </c>
      <c r="H26474" t="s">
        <v>28369</v>
      </c>
    </row>
    <row r="26475" spans="1:8">
      <c r="A26475" t="s">
        <v>1314</v>
      </c>
      <c r="B26475">
        <f>HYPERLINK("https://android.googlesource.com/platform/cts/+/03072b376deffd4953ec4487e133ee1ec3e33428", "03072b376deffd4953ec4487e133ee1ec3e33428")</f>
        <v>0</v>
      </c>
      <c r="C26475">
        <f>HYPERLINK("https://android.googlesource.com/platform/cts/+/e56fe3ca0e098885581ef6e53a8fd28280ffc00a", "e56fe3ca0e098885581ef6e53a8fd28280ffc00a")</f>
        <v>0</v>
      </c>
      <c r="D26475" t="s">
        <v>4973</v>
      </c>
      <c r="E26475" t="s">
        <v>7087</v>
      </c>
      <c r="F26475" t="s">
        <v>13158</v>
      </c>
      <c r="G26475" t="s">
        <v>17309</v>
      </c>
      <c r="H26475" t="s">
        <v>28370</v>
      </c>
    </row>
    <row r="26476" spans="1:8">
      <c r="H26476" t="s">
        <v>18893</v>
      </c>
    </row>
    <row r="26477" spans="1:8">
      <c r="H26477" t="s">
        <v>28371</v>
      </c>
    </row>
    <row r="26478" spans="1:8">
      <c r="H26478" t="s">
        <v>26545</v>
      </c>
    </row>
    <row r="26479" spans="1:8">
      <c r="H26479" t="s">
        <v>28372</v>
      </c>
    </row>
    <row r="26480" spans="1:8">
      <c r="F26480" t="s">
        <v>13159</v>
      </c>
      <c r="G26480" t="s">
        <v>17310</v>
      </c>
      <c r="H26480" t="s">
        <v>28373</v>
      </c>
    </row>
    <row r="26481" spans="1:8">
      <c r="A26481" t="s">
        <v>1315</v>
      </c>
      <c r="B26481">
        <f>HYPERLINK("https://android.googlesource.com/platform/cts/+/8ec14850a3cbf38f61136c875d8d21add3c95762", "8ec14850a3cbf38f61136c875d8d21add3c95762")</f>
        <v>0</v>
      </c>
      <c r="C26481">
        <f>HYPERLINK("https://android.googlesource.com/platform/cts/+/9962828b47084765294108b370d0e2cb829a32f6", "9962828b47084765294108b370d0e2cb829a32f6")</f>
        <v>0</v>
      </c>
      <c r="D26481" t="s">
        <v>4973</v>
      </c>
      <c r="E26481" t="s">
        <v>7088</v>
      </c>
      <c r="F26481" t="s">
        <v>13158</v>
      </c>
      <c r="G26481" t="s">
        <v>17309</v>
      </c>
      <c r="H26481" t="s">
        <v>26545</v>
      </c>
    </row>
    <row r="26482" spans="1:8">
      <c r="H26482" t="s">
        <v>28374</v>
      </c>
    </row>
    <row r="26483" spans="1:8">
      <c r="A26483" t="s">
        <v>1316</v>
      </c>
      <c r="B26483">
        <f>HYPERLINK("https://android.googlesource.com/platform/cts/+/6bc778960e5b34c8a362607c2848426a3f5c91d5", "6bc778960e5b34c8a362607c2848426a3f5c91d5")</f>
        <v>0</v>
      </c>
      <c r="C26483">
        <f>HYPERLINK("https://android.googlesource.com/platform/cts/+/8ec14850a3cbf38f61136c875d8d21add3c95762", "8ec14850a3cbf38f61136c875d8d21add3c95762")</f>
        <v>0</v>
      </c>
      <c r="D26483" t="s">
        <v>4973</v>
      </c>
      <c r="E26483" t="s">
        <v>7089</v>
      </c>
      <c r="F26483" t="s">
        <v>13160</v>
      </c>
      <c r="G26483" t="s">
        <v>17311</v>
      </c>
      <c r="H26483" t="s">
        <v>28375</v>
      </c>
    </row>
    <row r="26484" spans="1:8">
      <c r="H26484" t="s">
        <v>28376</v>
      </c>
    </row>
    <row r="26485" spans="1:8">
      <c r="A26485" t="s">
        <v>1317</v>
      </c>
      <c r="B26485">
        <f>HYPERLINK("https://android.googlesource.com/platform/cts/+/930b4affd802a0cd38ea93a2ba596f245dc8aea3", "930b4affd802a0cd38ea93a2ba596f245dc8aea3")</f>
        <v>0</v>
      </c>
      <c r="C26485">
        <f>HYPERLINK("https://android.googlesource.com/platform/cts/+/9ec99cbbf731d68a2512b6ebb490a333802287a4", "9ec99cbbf731d68a2512b6ebb490a333802287a4")</f>
        <v>0</v>
      </c>
      <c r="D26485" t="s">
        <v>4971</v>
      </c>
      <c r="E26485" t="s">
        <v>7090</v>
      </c>
      <c r="F26485" t="s">
        <v>13161</v>
      </c>
      <c r="G26485" t="s">
        <v>17312</v>
      </c>
      <c r="H26485" t="s">
        <v>28377</v>
      </c>
    </row>
    <row r="26486" spans="1:8">
      <c r="H26486" t="s">
        <v>18829</v>
      </c>
    </row>
    <row r="26487" spans="1:8">
      <c r="H26487" t="s">
        <v>28378</v>
      </c>
    </row>
    <row r="26488" spans="1:8">
      <c r="F26488" t="s">
        <v>12738</v>
      </c>
      <c r="G26488" t="s">
        <v>16931</v>
      </c>
      <c r="H26488" t="s">
        <v>26133</v>
      </c>
    </row>
    <row r="26489" spans="1:8">
      <c r="H26489" t="s">
        <v>18829</v>
      </c>
    </row>
    <row r="26490" spans="1:8">
      <c r="H26490" t="s">
        <v>26134</v>
      </c>
    </row>
    <row r="26491" spans="1:8">
      <c r="H26491" t="s">
        <v>26135</v>
      </c>
    </row>
    <row r="26492" spans="1:8">
      <c r="H26492" t="s">
        <v>26136</v>
      </c>
    </row>
    <row r="26493" spans="1:8">
      <c r="H26493" t="s">
        <v>26137</v>
      </c>
    </row>
    <row r="26494" spans="1:8">
      <c r="H26494" t="s">
        <v>26138</v>
      </c>
    </row>
    <row r="26495" spans="1:8">
      <c r="H26495" t="s">
        <v>26139</v>
      </c>
    </row>
    <row r="26496" spans="1:8">
      <c r="H26496" t="s">
        <v>26140</v>
      </c>
    </row>
    <row r="26497" spans="1:8">
      <c r="H26497" t="s">
        <v>26141</v>
      </c>
    </row>
    <row r="26498" spans="1:8">
      <c r="H26498" t="s">
        <v>26142</v>
      </c>
    </row>
    <row r="26499" spans="1:8">
      <c r="H26499" t="s">
        <v>26143</v>
      </c>
    </row>
    <row r="26500" spans="1:8">
      <c r="H26500" t="s">
        <v>26144</v>
      </c>
    </row>
    <row r="26501" spans="1:8">
      <c r="H26501" t="s">
        <v>26145</v>
      </c>
    </row>
    <row r="26502" spans="1:8">
      <c r="A26502" t="s">
        <v>1318</v>
      </c>
      <c r="B26502">
        <f>HYPERLINK("https://android.googlesource.com/platform/cts/+/eef1d8627fd4cdf7180b03054e2c115960f74827", "eef1d8627fd4cdf7180b03054e2c115960f74827")</f>
        <v>0</v>
      </c>
      <c r="C26502">
        <f>HYPERLINK("https://android.googlesource.com/platform/cts/+/610aba30fb5f81269083b574969034454bee958b", "610aba30fb5f81269083b574969034454bee958b")</f>
        <v>0</v>
      </c>
      <c r="D26502" t="s">
        <v>5187</v>
      </c>
      <c r="E26502" t="s">
        <v>7091</v>
      </c>
      <c r="F26502" t="s">
        <v>12176</v>
      </c>
      <c r="G26502" t="s">
        <v>16415</v>
      </c>
      <c r="H26502" t="s">
        <v>28379</v>
      </c>
    </row>
    <row r="26503" spans="1:8">
      <c r="H26503" t="s">
        <v>18927</v>
      </c>
    </row>
    <row r="26504" spans="1:8">
      <c r="H26504" t="s">
        <v>28380</v>
      </c>
    </row>
    <row r="26505" spans="1:8">
      <c r="H26505" t="s">
        <v>28381</v>
      </c>
    </row>
    <row r="26506" spans="1:8">
      <c r="H26506" t="s">
        <v>28382</v>
      </c>
    </row>
    <row r="26507" spans="1:8">
      <c r="A26507" t="s">
        <v>1319</v>
      </c>
      <c r="B26507">
        <f>HYPERLINK("https://android.googlesource.com/platform/cts/+/0cf7d3844f602ad43bab0ea745a40393b14618c7", "0cf7d3844f602ad43bab0ea745a40393b14618c7")</f>
        <v>0</v>
      </c>
      <c r="C26507">
        <f>HYPERLINK("https://android.googlesource.com/platform/cts/+/699995dbc5b6aea838609ff6d747ac7b5907bc92", "699995dbc5b6aea838609ff6d747ac7b5907bc92")</f>
        <v>0</v>
      </c>
      <c r="D26507" t="s">
        <v>5181</v>
      </c>
      <c r="E26507" t="s">
        <v>7092</v>
      </c>
      <c r="F26507" t="s">
        <v>13024</v>
      </c>
      <c r="G26507" t="s">
        <v>17188</v>
      </c>
      <c r="H26507" t="s">
        <v>27467</v>
      </c>
    </row>
    <row r="26508" spans="1:8">
      <c r="A26508" t="s">
        <v>1320</v>
      </c>
      <c r="B26508">
        <f>HYPERLINK("https://android.googlesource.com/platform/cts/+/e4401438629e0d9871d1d0c4584300fb683b722d", "e4401438629e0d9871d1d0c4584300fb683b722d")</f>
        <v>0</v>
      </c>
      <c r="C26508">
        <f>HYPERLINK("https://android.googlesource.com/platform/cts/+/6fcc55c5549261f0a65f246f6256821d17db4577", "6fcc55c5549261f0a65f246f6256821d17db4577")</f>
        <v>0</v>
      </c>
      <c r="D26508" t="s">
        <v>5188</v>
      </c>
      <c r="E26508" t="s">
        <v>7093</v>
      </c>
      <c r="F26508" t="s">
        <v>12176</v>
      </c>
      <c r="G26508" t="s">
        <v>16415</v>
      </c>
      <c r="H26508" t="s">
        <v>28379</v>
      </c>
    </row>
    <row r="26509" spans="1:8">
      <c r="H26509" t="s">
        <v>18927</v>
      </c>
    </row>
    <row r="26510" spans="1:8">
      <c r="H26510" t="s">
        <v>28380</v>
      </c>
    </row>
    <row r="26511" spans="1:8">
      <c r="H26511" t="s">
        <v>28381</v>
      </c>
    </row>
    <row r="26512" spans="1:8">
      <c r="H26512" t="s">
        <v>28382</v>
      </c>
    </row>
    <row r="26513" spans="1:8">
      <c r="A26513" t="s">
        <v>1321</v>
      </c>
      <c r="B26513">
        <f>HYPERLINK("https://android.googlesource.com/platform/cts/+/863072887beb3170fbfb71e9a9a2d7c785fd8b61", "863072887beb3170fbfb71e9a9a2d7c785fd8b61")</f>
        <v>0</v>
      </c>
      <c r="C26513">
        <f>HYPERLINK("https://android.googlesource.com/platform/cts/+/b6170ba8053533da1c2273f0c1c8c4cd7505be9a", "b6170ba8053533da1c2273f0c1c8c4cd7505be9a")</f>
        <v>0</v>
      </c>
      <c r="D26513" t="s">
        <v>5188</v>
      </c>
      <c r="E26513" t="s">
        <v>7093</v>
      </c>
      <c r="F26513" t="s">
        <v>12176</v>
      </c>
      <c r="G26513" t="s">
        <v>16415</v>
      </c>
      <c r="H26513" t="s">
        <v>28379</v>
      </c>
    </row>
    <row r="26514" spans="1:8">
      <c r="H26514" t="s">
        <v>18927</v>
      </c>
    </row>
    <row r="26515" spans="1:8">
      <c r="H26515" t="s">
        <v>28380</v>
      </c>
    </row>
    <row r="26516" spans="1:8">
      <c r="H26516" t="s">
        <v>28381</v>
      </c>
    </row>
    <row r="26517" spans="1:8">
      <c r="H26517" t="s">
        <v>28382</v>
      </c>
    </row>
    <row r="26518" spans="1:8">
      <c r="A26518" t="s">
        <v>1322</v>
      </c>
      <c r="B26518">
        <f>HYPERLINK("https://android.googlesource.com/platform/cts/+/d176fe21490de004b3b080080370e6e041807a33", "d176fe21490de004b3b080080370e6e041807a33")</f>
        <v>0</v>
      </c>
      <c r="C26518">
        <f>HYPERLINK("https://android.googlesource.com/platform/cts/+/f80b4ff00b65b00b7aa7b39d8020c2e2f28639b7", "f80b4ff00b65b00b7aa7b39d8020c2e2f28639b7")</f>
        <v>0</v>
      </c>
      <c r="D26518" t="s">
        <v>5112</v>
      </c>
      <c r="E26518" t="s">
        <v>7094</v>
      </c>
      <c r="F26518" t="s">
        <v>10732</v>
      </c>
      <c r="G26518" t="s">
        <v>15131</v>
      </c>
      <c r="H26518" t="s">
        <v>28383</v>
      </c>
    </row>
    <row r="26519" spans="1:8">
      <c r="H26519" t="s">
        <v>28384</v>
      </c>
    </row>
    <row r="26520" spans="1:8">
      <c r="A26520" t="s">
        <v>1323</v>
      </c>
      <c r="B26520">
        <f>HYPERLINK("https://android.googlesource.com/platform/cts/+/bb6f8c5bb585c4df1f036e3855636e2bfda34245", "bb6f8c5bb585c4df1f036e3855636e2bfda34245")</f>
        <v>0</v>
      </c>
      <c r="C26520">
        <f>HYPERLINK("https://android.googlesource.com/platform/cts/+/8721e7cfe4d131a9fb26c357efea65d9c0955ba3", "8721e7cfe4d131a9fb26c357efea65d9c0955ba3")</f>
        <v>0</v>
      </c>
      <c r="D26520" t="s">
        <v>5189</v>
      </c>
      <c r="E26520" t="s">
        <v>7095</v>
      </c>
      <c r="F26520" t="s">
        <v>13162</v>
      </c>
      <c r="G26520" t="s">
        <v>16987</v>
      </c>
      <c r="H26520" t="s">
        <v>28385</v>
      </c>
    </row>
    <row r="26521" spans="1:8">
      <c r="A26521" t="s">
        <v>1324</v>
      </c>
      <c r="B26521">
        <f>HYPERLINK("https://android.googlesource.com/platform/cts/+/bf1605d391ba80e4a942e779b604fd0177724e83", "bf1605d391ba80e4a942e779b604fd0177724e83")</f>
        <v>0</v>
      </c>
      <c r="C26521">
        <f>HYPERLINK("https://android.googlesource.com/platform/cts/+/0e71b18cb619be99e01aaf64fa3f913370254ece", "0e71b18cb619be99e01aaf64fa3f913370254ece")</f>
        <v>0</v>
      </c>
      <c r="D26521" t="s">
        <v>5146</v>
      </c>
      <c r="E26521" t="s">
        <v>7096</v>
      </c>
      <c r="F26521" t="s">
        <v>12839</v>
      </c>
      <c r="G26521" t="s">
        <v>17014</v>
      </c>
      <c r="H26521" t="s">
        <v>28386</v>
      </c>
    </row>
    <row r="26522" spans="1:8">
      <c r="H26522" t="s">
        <v>28387</v>
      </c>
    </row>
    <row r="26523" spans="1:8">
      <c r="H26523" t="s">
        <v>28388</v>
      </c>
    </row>
    <row r="26524" spans="1:8">
      <c r="H26524" t="s">
        <v>21400</v>
      </c>
    </row>
    <row r="26525" spans="1:8">
      <c r="A26525" t="s">
        <v>1325</v>
      </c>
      <c r="B26525">
        <f>HYPERLINK("https://android.googlesource.com/platform/cts/+/92cd9119d1dbcb9664a830f216920d5bbde961a1", "92cd9119d1dbcb9664a830f216920d5bbde961a1")</f>
        <v>0</v>
      </c>
      <c r="C26525">
        <f>HYPERLINK("https://android.googlesource.com/platform/cts/+/ea862a6bd2f49df4bc0204743f955749b0230c26", "ea862a6bd2f49df4bc0204743f955749b0230c26")</f>
        <v>0</v>
      </c>
      <c r="D26525" t="s">
        <v>5132</v>
      </c>
      <c r="E26525" t="s">
        <v>7097</v>
      </c>
      <c r="F26525" t="s">
        <v>10794</v>
      </c>
      <c r="G26525" t="s">
        <v>15189</v>
      </c>
      <c r="H26525" t="s">
        <v>28389</v>
      </c>
    </row>
    <row r="26526" spans="1:8">
      <c r="H26526" t="s">
        <v>28390</v>
      </c>
    </row>
    <row r="26527" spans="1:8">
      <c r="A26527" t="s">
        <v>1326</v>
      </c>
      <c r="B26527">
        <f>HYPERLINK("https://android.googlesource.com/platform/cts/+/ed85533fa030ca397a36a0b8bac3189eae9d23c9", "ed85533fa030ca397a36a0b8bac3189eae9d23c9")</f>
        <v>0</v>
      </c>
      <c r="C26527">
        <f>HYPERLINK("https://android.googlesource.com/platform/cts/+/50d641d9ce7db1f7f7b7c2c945525026d8f07e1c", "50d641d9ce7db1f7f7b7c2c945525026d8f07e1c")</f>
        <v>0</v>
      </c>
      <c r="D26527" t="s">
        <v>5186</v>
      </c>
      <c r="E26527" t="s">
        <v>7098</v>
      </c>
      <c r="F26527" t="s">
        <v>13136</v>
      </c>
      <c r="G26527" t="s">
        <v>17293</v>
      </c>
      <c r="H26527" t="s">
        <v>25984</v>
      </c>
    </row>
    <row r="26528" spans="1:8">
      <c r="A26528" t="s">
        <v>1327</v>
      </c>
      <c r="B26528">
        <f>HYPERLINK("https://android.googlesource.com/platform/cts/+/2d25bb5e6456032f9838b4ff6b3621632591a5b5", "2d25bb5e6456032f9838b4ff6b3621632591a5b5")</f>
        <v>0</v>
      </c>
      <c r="C26528">
        <f>HYPERLINK("https://android.googlesource.com/platform/cts/+/995490cad52cb0aa0bce45724da9a1a366d798b2", "995490cad52cb0aa0bce45724da9a1a366d798b2")</f>
        <v>0</v>
      </c>
      <c r="D26528" t="s">
        <v>5190</v>
      </c>
      <c r="E26528" t="s">
        <v>7099</v>
      </c>
      <c r="F26528" t="s">
        <v>13163</v>
      </c>
      <c r="G26528" t="s">
        <v>17313</v>
      </c>
      <c r="H26528" t="s">
        <v>28391</v>
      </c>
    </row>
    <row r="26529" spans="1:8">
      <c r="A26529" t="s">
        <v>1328</v>
      </c>
      <c r="B26529">
        <f>HYPERLINK("https://android.googlesource.com/platform/cts/+/52781c7c29f20abd6b9a1c49a67aebf1e2592014", "52781c7c29f20abd6b9a1c49a67aebf1e2592014")</f>
        <v>0</v>
      </c>
      <c r="C26529">
        <f>HYPERLINK("https://android.googlesource.com/platform/cts/+/2eb66d66b0f2a6bfc71c217e12bcb6f002ecf336", "2eb66d66b0f2a6bfc71c217e12bcb6f002ecf336")</f>
        <v>0</v>
      </c>
      <c r="D26529" t="s">
        <v>4986</v>
      </c>
      <c r="E26529" t="s">
        <v>7100</v>
      </c>
      <c r="F26529" t="s">
        <v>13164</v>
      </c>
      <c r="G26529" t="s">
        <v>17314</v>
      </c>
      <c r="H26529" t="s">
        <v>28392</v>
      </c>
    </row>
    <row r="26530" spans="1:8">
      <c r="H26530" t="s">
        <v>28392</v>
      </c>
    </row>
    <row r="26531" spans="1:8">
      <c r="H26531" t="s">
        <v>28393</v>
      </c>
    </row>
    <row r="26532" spans="1:8">
      <c r="H26532" t="s">
        <v>28394</v>
      </c>
    </row>
    <row r="26533" spans="1:8">
      <c r="H26533" t="s">
        <v>28395</v>
      </c>
    </row>
    <row r="26534" spans="1:8">
      <c r="H26534" t="s">
        <v>28396</v>
      </c>
    </row>
    <row r="26535" spans="1:8">
      <c r="A26535" t="s">
        <v>1329</v>
      </c>
      <c r="B26535">
        <f>HYPERLINK("https://android.googlesource.com/platform/cts/+/529ae6fc49e8c27b14af459fc3af9dece68cdd93", "529ae6fc49e8c27b14af459fc3af9dece68cdd93")</f>
        <v>0</v>
      </c>
      <c r="C26535">
        <f>HYPERLINK("https://android.googlesource.com/platform/cts/+/a59e0e520934ffdc3b67f169eaffed4b3f6a7930", "a59e0e520934ffdc3b67f169eaffed4b3f6a7930")</f>
        <v>0</v>
      </c>
      <c r="D26535" t="s">
        <v>4965</v>
      </c>
      <c r="E26535" t="s">
        <v>7101</v>
      </c>
      <c r="F26535" t="s">
        <v>13127</v>
      </c>
      <c r="G26535" t="s">
        <v>17203</v>
      </c>
      <c r="H26535" t="s">
        <v>27508</v>
      </c>
    </row>
    <row r="26536" spans="1:8">
      <c r="H26536" t="s">
        <v>27508</v>
      </c>
    </row>
    <row r="26537" spans="1:8">
      <c r="H26537" t="s">
        <v>27508</v>
      </c>
    </row>
    <row r="26538" spans="1:8">
      <c r="H26538" t="s">
        <v>27508</v>
      </c>
    </row>
    <row r="26539" spans="1:8">
      <c r="H26539" t="s">
        <v>27508</v>
      </c>
    </row>
    <row r="26540" spans="1:8">
      <c r="H26540" t="s">
        <v>27508</v>
      </c>
    </row>
    <row r="26541" spans="1:8">
      <c r="H26541" t="s">
        <v>27509</v>
      </c>
    </row>
    <row r="26542" spans="1:8">
      <c r="H26542" t="s">
        <v>27510</v>
      </c>
    </row>
    <row r="26543" spans="1:8">
      <c r="A26543" t="s">
        <v>1330</v>
      </c>
      <c r="B26543">
        <f>HYPERLINK("https://android.googlesource.com/platform/cts/+/eba4da29339b68bcf5049d2382f6a2f79b05f66e", "eba4da29339b68bcf5049d2382f6a2f79b05f66e")</f>
        <v>0</v>
      </c>
      <c r="C26543">
        <f>HYPERLINK("https://android.googlesource.com/platform/cts/+/ed5f855f5a888399e2f0eed3639e95ae1af04fdf", "ed5f855f5a888399e2f0eed3639e95ae1af04fdf")</f>
        <v>0</v>
      </c>
      <c r="D26543" t="s">
        <v>5118</v>
      </c>
      <c r="E26543" t="s">
        <v>7102</v>
      </c>
      <c r="F26543" t="s">
        <v>13165</v>
      </c>
      <c r="G26543" t="s">
        <v>17315</v>
      </c>
      <c r="H26543" t="s">
        <v>28397</v>
      </c>
    </row>
    <row r="26544" spans="1:8">
      <c r="H26544" t="s">
        <v>28398</v>
      </c>
    </row>
    <row r="26545" spans="1:8">
      <c r="A26545" t="s">
        <v>1331</v>
      </c>
      <c r="B26545">
        <f>HYPERLINK("https://android.googlesource.com/platform/cts/+/ef6033e792d96dd9ebcb01849d579c483240dfa2", "ef6033e792d96dd9ebcb01849d579c483240dfa2")</f>
        <v>0</v>
      </c>
      <c r="C26545">
        <f>HYPERLINK("https://android.googlesource.com/platform/cts/+/e0761dc1fbfed28a5b058c945cc0ce4d7344b62b", "e0761dc1fbfed28a5b058c945cc0ce4d7344b62b")</f>
        <v>0</v>
      </c>
      <c r="D26545" t="s">
        <v>5111</v>
      </c>
      <c r="E26545" t="s">
        <v>7103</v>
      </c>
      <c r="F26545" t="s">
        <v>10778</v>
      </c>
      <c r="G26545" t="s">
        <v>15174</v>
      </c>
      <c r="H26545" t="s">
        <v>28399</v>
      </c>
    </row>
    <row r="26546" spans="1:8">
      <c r="A26546" t="s">
        <v>1332</v>
      </c>
      <c r="B26546">
        <f>HYPERLINK("https://android.googlesource.com/platform/cts/+/74802bc44d838e503dd364b8a3ab6d3d2536f944", "74802bc44d838e503dd364b8a3ab6d3d2536f944")</f>
        <v>0</v>
      </c>
      <c r="C26546">
        <f>HYPERLINK("https://android.googlesource.com/platform/cts/+/9c2a0fa5dd28e0a1fddbdd531626c795102dd9d9", "9c2a0fa5dd28e0a1fddbdd531626c795102dd9d9")</f>
        <v>0</v>
      </c>
      <c r="D26546" t="s">
        <v>5170</v>
      </c>
      <c r="E26546" t="s">
        <v>7104</v>
      </c>
      <c r="F26546" t="s">
        <v>11443</v>
      </c>
      <c r="G26546" t="s">
        <v>15683</v>
      </c>
      <c r="H26546" t="s">
        <v>27371</v>
      </c>
    </row>
    <row r="26547" spans="1:8">
      <c r="A26547" t="s">
        <v>1333</v>
      </c>
      <c r="B26547">
        <f>HYPERLINK("https://android.googlesource.com/platform/cts/+/229afe3d739e3aa68893134024a860705375870b", "229afe3d739e3aa68893134024a860705375870b")</f>
        <v>0</v>
      </c>
      <c r="C26547">
        <f>HYPERLINK("https://android.googlesource.com/platform/cts/+/1682a8a3423ac44101af4cf27d1550ed5cd82b03", "1682a8a3423ac44101af4cf27d1550ed5cd82b03")</f>
        <v>0</v>
      </c>
      <c r="D26547" t="s">
        <v>5122</v>
      </c>
      <c r="E26547" t="s">
        <v>7105</v>
      </c>
      <c r="F26547" t="s">
        <v>12428</v>
      </c>
      <c r="G26547" t="s">
        <v>16619</v>
      </c>
      <c r="H26547" t="s">
        <v>22594</v>
      </c>
    </row>
    <row r="26548" spans="1:8">
      <c r="A26548" t="s">
        <v>1334</v>
      </c>
      <c r="B26548">
        <f>HYPERLINK("https://android.googlesource.com/platform/cts/+/9add87488a153d2c18bdcd1b42b09d893dedfcbd", "9add87488a153d2c18bdcd1b42b09d893dedfcbd")</f>
        <v>0</v>
      </c>
      <c r="C26548">
        <f>HYPERLINK("https://android.googlesource.com/platform/cts/+/229afe3d739e3aa68893134024a860705375870b", "229afe3d739e3aa68893134024a860705375870b")</f>
        <v>0</v>
      </c>
      <c r="D26548" t="s">
        <v>5122</v>
      </c>
      <c r="E26548" t="s">
        <v>7106</v>
      </c>
      <c r="F26548" t="s">
        <v>12419</v>
      </c>
      <c r="G26548" t="s">
        <v>16641</v>
      </c>
      <c r="H26548" t="s">
        <v>28400</v>
      </c>
    </row>
    <row r="26549" spans="1:8">
      <c r="A26549" t="s">
        <v>1335</v>
      </c>
      <c r="B26549">
        <f>HYPERLINK("https://android.googlesource.com/platform/cts/+/b08615e2a82d34e9d30b5878c103ce5098eac2a9", "b08615e2a82d34e9d30b5878c103ce5098eac2a9")</f>
        <v>0</v>
      </c>
      <c r="C26549">
        <f>HYPERLINK("https://android.googlesource.com/platform/cts/+/68a73ec79d2dabf69b83f4e16239989f2833693c", "68a73ec79d2dabf69b83f4e16239989f2833693c")</f>
        <v>0</v>
      </c>
      <c r="D26549" t="s">
        <v>4986</v>
      </c>
      <c r="E26549" t="s">
        <v>7107</v>
      </c>
      <c r="F26549" t="s">
        <v>13164</v>
      </c>
      <c r="G26549" t="s">
        <v>17314</v>
      </c>
      <c r="H26549" t="s">
        <v>28393</v>
      </c>
    </row>
    <row r="26550" spans="1:8">
      <c r="H26550" t="s">
        <v>28394</v>
      </c>
    </row>
    <row r="26551" spans="1:8">
      <c r="H26551" t="s">
        <v>28395</v>
      </c>
    </row>
    <row r="26552" spans="1:8">
      <c r="H26552" t="s">
        <v>28396</v>
      </c>
    </row>
    <row r="26553" spans="1:8">
      <c r="A26553" t="s">
        <v>1336</v>
      </c>
      <c r="B26553">
        <f>HYPERLINK("https://android.googlesource.com/platform/cts/+/a0c06bf4366b220f2dcce0cfbeaa1c7a6404371d", "a0c06bf4366b220f2dcce0cfbeaa1c7a6404371d")</f>
        <v>0</v>
      </c>
      <c r="C26553">
        <f>HYPERLINK("https://android.googlesource.com/platform/cts/+/50d641d9ce7db1f7f7b7c2c945525026d8f07e1c", "50d641d9ce7db1f7f7b7c2c945525026d8f07e1c")</f>
        <v>0</v>
      </c>
      <c r="D26553" t="s">
        <v>5179</v>
      </c>
      <c r="E26553" t="s">
        <v>7108</v>
      </c>
      <c r="F26553" t="s">
        <v>12969</v>
      </c>
      <c r="G26553" t="s">
        <v>17316</v>
      </c>
      <c r="H26553" t="s">
        <v>28401</v>
      </c>
    </row>
    <row r="26554" spans="1:8">
      <c r="H26554" t="s">
        <v>18829</v>
      </c>
    </row>
    <row r="26555" spans="1:8">
      <c r="H26555" t="s">
        <v>28402</v>
      </c>
    </row>
    <row r="26556" spans="1:8">
      <c r="A26556" t="s">
        <v>1337</v>
      </c>
      <c r="B26556">
        <f>HYPERLINK("https://android.googlesource.com/platform/cts/+/048475048be8820e538e1dffc3b0e06468d97969", "048475048be8820e538e1dffc3b0e06468d97969")</f>
        <v>0</v>
      </c>
      <c r="C26556">
        <f>HYPERLINK("https://android.googlesource.com/platform/cts/+/e3eee99b576e4418ccfcd172b9a989fc79d683f4", "e3eee99b576e4418ccfcd172b9a989fc79d683f4")</f>
        <v>0</v>
      </c>
      <c r="D26556" t="s">
        <v>5019</v>
      </c>
      <c r="E26556" t="s">
        <v>7109</v>
      </c>
      <c r="F26556" t="s">
        <v>13166</v>
      </c>
      <c r="G26556" t="s">
        <v>17317</v>
      </c>
      <c r="H26556" t="s">
        <v>28403</v>
      </c>
    </row>
    <row r="26557" spans="1:8">
      <c r="A26557" t="s">
        <v>1338</v>
      </c>
      <c r="B26557">
        <f>HYPERLINK("https://android.googlesource.com/platform/cts/+/181571db8be69346bc31e443ee31ae1c12269fd5", "181571db8be69346bc31e443ee31ae1c12269fd5")</f>
        <v>0</v>
      </c>
      <c r="C26557">
        <f>HYPERLINK("https://android.googlesource.com/platform/cts/+/fa7ffbbd61315c849834f00e49517f25af9db1a7", "fa7ffbbd61315c849834f00e49517f25af9db1a7")</f>
        <v>0</v>
      </c>
      <c r="D26557" t="s">
        <v>5191</v>
      </c>
      <c r="E26557" t="s">
        <v>7110</v>
      </c>
      <c r="F26557" t="s">
        <v>13167</v>
      </c>
      <c r="G26557" t="s">
        <v>16845</v>
      </c>
      <c r="H26557" t="s">
        <v>18863</v>
      </c>
    </row>
    <row r="26558" spans="1:8">
      <c r="A26558" t="s">
        <v>1339</v>
      </c>
      <c r="B26558">
        <f>HYPERLINK("https://android.googlesource.com/platform/cts/+/a31bbcbe0ea164da7441d59586b4ec0acf47fb65", "a31bbcbe0ea164da7441d59586b4ec0acf47fb65")</f>
        <v>0</v>
      </c>
      <c r="C26558">
        <f>HYPERLINK("https://android.googlesource.com/platform/cts/+/c49577f658a04fdf9f441b4b5cba145a9c716533", "c49577f658a04fdf9f441b4b5cba145a9c716533")</f>
        <v>0</v>
      </c>
      <c r="D26558" t="s">
        <v>5192</v>
      </c>
      <c r="E26558" t="s">
        <v>7111</v>
      </c>
      <c r="F26558" t="s">
        <v>13168</v>
      </c>
      <c r="G26558" t="s">
        <v>15071</v>
      </c>
      <c r="H26558" t="s">
        <v>28404</v>
      </c>
    </row>
    <row r="26559" spans="1:8">
      <c r="A26559" t="s">
        <v>1340</v>
      </c>
      <c r="B26559">
        <f>HYPERLINK("https://android.googlesource.com/platform/cts/+/21d2b0f9ffe0085edd2882d5e10d2069b5d7af13", "21d2b0f9ffe0085edd2882d5e10d2069b5d7af13")</f>
        <v>0</v>
      </c>
      <c r="C26559">
        <f>HYPERLINK("https://android.googlesource.com/platform/cts/+/e63db3ba06062b65b6b97737737e5be3114cf265", "e63db3ba06062b65b6b97737737e5be3114cf265")</f>
        <v>0</v>
      </c>
      <c r="D26559" t="s">
        <v>5193</v>
      </c>
      <c r="E26559" t="s">
        <v>7112</v>
      </c>
      <c r="F26559" t="s">
        <v>13168</v>
      </c>
      <c r="G26559" t="s">
        <v>15071</v>
      </c>
      <c r="H26559" t="s">
        <v>28405</v>
      </c>
    </row>
    <row r="26560" spans="1:8">
      <c r="A26560" t="s">
        <v>1341</v>
      </c>
      <c r="B26560">
        <f>HYPERLINK("https://android.googlesource.com/platform/cts/+/391b7662497f86bc38c0104282795eb6b74d79b5", "391b7662497f86bc38c0104282795eb6b74d79b5")</f>
        <v>0</v>
      </c>
      <c r="C26560">
        <f>HYPERLINK("https://android.googlesource.com/platform/cts/+/838061500a278383552e8e26f2addac4c1e9215a", "838061500a278383552e8e26f2addac4c1e9215a")</f>
        <v>0</v>
      </c>
      <c r="D26560" t="s">
        <v>5115</v>
      </c>
      <c r="E26560" t="s">
        <v>7113</v>
      </c>
      <c r="F26560" t="s">
        <v>12715</v>
      </c>
      <c r="G26560" t="s">
        <v>15144</v>
      </c>
      <c r="H26560" t="s">
        <v>25497</v>
      </c>
    </row>
    <row r="26561" spans="1:8">
      <c r="H26561" t="s">
        <v>20244</v>
      </c>
    </row>
    <row r="26562" spans="1:8">
      <c r="H26562" t="s">
        <v>28406</v>
      </c>
    </row>
    <row r="26563" spans="1:8">
      <c r="A26563" t="s">
        <v>1342</v>
      </c>
      <c r="B26563">
        <f>HYPERLINK("https://android.googlesource.com/platform/cts/+/384e10f51994798cf22ccc6e81c6c43ca0be4c4a", "384e10f51994798cf22ccc6e81c6c43ca0be4c4a")</f>
        <v>0</v>
      </c>
      <c r="C26563">
        <f>HYPERLINK("https://android.googlesource.com/platform/cts/+/248420dcbf65c1e279eac73db06b1841901877d6", "248420dcbf65c1e279eac73db06b1841901877d6")</f>
        <v>0</v>
      </c>
      <c r="D26563" t="s">
        <v>5000</v>
      </c>
      <c r="E26563" t="s">
        <v>7114</v>
      </c>
      <c r="F26563" t="s">
        <v>13169</v>
      </c>
      <c r="G26563" t="s">
        <v>17318</v>
      </c>
      <c r="H26563" t="s">
        <v>28407</v>
      </c>
    </row>
    <row r="26564" spans="1:8">
      <c r="A26564" t="s">
        <v>1343</v>
      </c>
      <c r="B26564">
        <f>HYPERLINK("https://android.googlesource.com/platform/cts/+/fc47e20cdfdbc53af890799cbd60bc97801b4e40", "fc47e20cdfdbc53af890799cbd60bc97801b4e40")</f>
        <v>0</v>
      </c>
      <c r="C26564">
        <f>HYPERLINK("https://android.googlesource.com/platform/cts/+/02aaa0c7a1ef11fefd5f0c83f7f90ba4dd2c88be", "02aaa0c7a1ef11fefd5f0c83f7f90ba4dd2c88be")</f>
        <v>0</v>
      </c>
      <c r="D26564" t="s">
        <v>5194</v>
      </c>
      <c r="E26564" t="s">
        <v>7115</v>
      </c>
      <c r="F26564" t="s">
        <v>12647</v>
      </c>
      <c r="G26564" t="s">
        <v>16853</v>
      </c>
      <c r="H26564" t="s">
        <v>25667</v>
      </c>
    </row>
    <row r="26565" spans="1:8">
      <c r="A26565" t="s">
        <v>1344</v>
      </c>
      <c r="B26565">
        <f>HYPERLINK("https://android.googlesource.com/platform/cts/+/b495ca4d06ce0fa665638b4f77c03c6a786e11e3", "b495ca4d06ce0fa665638b4f77c03c6a786e11e3")</f>
        <v>0</v>
      </c>
      <c r="C26565">
        <f>HYPERLINK("https://android.googlesource.com/platform/cts/+/46ee8141f4f1a17fb0c2f1768e3c1e3e79e8c3e0", "46ee8141f4f1a17fb0c2f1768e3c1e3e79e8c3e0")</f>
        <v>0</v>
      </c>
      <c r="D26565" t="s">
        <v>5195</v>
      </c>
      <c r="E26565" t="s">
        <v>7116</v>
      </c>
      <c r="F26565" t="s">
        <v>12703</v>
      </c>
      <c r="G26565" t="s">
        <v>16906</v>
      </c>
      <c r="H26565" t="s">
        <v>28408</v>
      </c>
    </row>
    <row r="26566" spans="1:8">
      <c r="H26566" t="s">
        <v>28409</v>
      </c>
    </row>
    <row r="26567" spans="1:8">
      <c r="A26567" t="s">
        <v>1345</v>
      </c>
      <c r="B26567">
        <f>HYPERLINK("https://android.googlesource.com/platform/cts/+/11a3fe766d7e32f24517010c34e3e1d137a4d44d", "11a3fe766d7e32f24517010c34e3e1d137a4d44d")</f>
        <v>0</v>
      </c>
      <c r="C26567">
        <f>HYPERLINK("https://android.googlesource.com/platform/cts/+/513afa272a34a98d89f85c4fd00996240f7a659a", "513afa272a34a98d89f85c4fd00996240f7a659a")</f>
        <v>0</v>
      </c>
      <c r="D26567" t="s">
        <v>5196</v>
      </c>
      <c r="E26567" t="s">
        <v>7079</v>
      </c>
      <c r="F26567" t="s">
        <v>12394</v>
      </c>
      <c r="G26567" t="s">
        <v>17294</v>
      </c>
      <c r="H26567" t="s">
        <v>28068</v>
      </c>
    </row>
    <row r="26568" spans="1:8">
      <c r="A26568" t="s">
        <v>1346</v>
      </c>
      <c r="B26568">
        <f>HYPERLINK("https://android.googlesource.com/platform/cts/+/bdb3f8fa73e225b08b6b23f1d15e24e6307d0fe6", "bdb3f8fa73e225b08b6b23f1d15e24e6307d0fe6")</f>
        <v>0</v>
      </c>
      <c r="C26568">
        <f>HYPERLINK("https://android.googlesource.com/platform/cts/+/c907604e98f78cd50cebd1a6f6125973a84e0948", "c907604e98f78cd50cebd1a6f6125973a84e0948")</f>
        <v>0</v>
      </c>
      <c r="D26568" t="s">
        <v>5197</v>
      </c>
      <c r="E26568" t="s">
        <v>7117</v>
      </c>
      <c r="F26568" t="s">
        <v>13170</v>
      </c>
      <c r="G26568" t="s">
        <v>17319</v>
      </c>
      <c r="H26568" t="s">
        <v>28410</v>
      </c>
    </row>
    <row r="26569" spans="1:8">
      <c r="A26569" t="s">
        <v>1347</v>
      </c>
      <c r="B26569">
        <f>HYPERLINK("https://android.googlesource.com/platform/cts/+/1cf5c9afda9d3ed2c5f85f6040633932a0325630", "1cf5c9afda9d3ed2c5f85f6040633932a0325630")</f>
        <v>0</v>
      </c>
      <c r="C26569">
        <f>HYPERLINK("https://android.googlesource.com/platform/cts/+/d2c04c8a8a1c6d9a177aef91895f9c88dee5fd69", "d2c04c8a8a1c6d9a177aef91895f9c88dee5fd69")</f>
        <v>0</v>
      </c>
      <c r="D26569" t="s">
        <v>5156</v>
      </c>
      <c r="E26569" t="s">
        <v>7118</v>
      </c>
      <c r="F26569" t="s">
        <v>13171</v>
      </c>
      <c r="G26569" t="s">
        <v>16410</v>
      </c>
      <c r="H26569" t="s">
        <v>28411</v>
      </c>
    </row>
    <row r="26570" spans="1:8">
      <c r="A26570" t="s">
        <v>1348</v>
      </c>
      <c r="B26570">
        <f>HYPERLINK("https://android.googlesource.com/platform/cts/+/b3c3c63ac070777e45a8d39a27e017a28e72b2bc", "b3c3c63ac070777e45a8d39a27e017a28e72b2bc")</f>
        <v>0</v>
      </c>
      <c r="C26570">
        <f>HYPERLINK("https://android.googlesource.com/platform/cts/+/d2c04c8a8a1c6d9a177aef91895f9c88dee5fd69", "d2c04c8a8a1c6d9a177aef91895f9c88dee5fd69")</f>
        <v>0</v>
      </c>
      <c r="D26570" t="s">
        <v>5156</v>
      </c>
      <c r="E26570" t="s">
        <v>7119</v>
      </c>
      <c r="F26570" t="s">
        <v>13171</v>
      </c>
      <c r="G26570" t="s">
        <v>16410</v>
      </c>
      <c r="H26570" t="s">
        <v>28412</v>
      </c>
    </row>
    <row r="26571" spans="1:8">
      <c r="A26571" t="s">
        <v>1349</v>
      </c>
      <c r="B26571">
        <f>HYPERLINK("https://android.googlesource.com/platform/cts/+/dd6d39740513b4814212d6c02cb10fa9e3e5d1be", "dd6d39740513b4814212d6c02cb10fa9e3e5d1be")</f>
        <v>0</v>
      </c>
      <c r="C26571">
        <f>HYPERLINK("https://android.googlesource.com/platform/cts/+/36fb37540948ab6784216c84e063064afecd2b72", "36fb37540948ab6784216c84e063064afecd2b72")</f>
        <v>0</v>
      </c>
      <c r="D26571" t="s">
        <v>5122</v>
      </c>
      <c r="E26571" t="s">
        <v>7120</v>
      </c>
      <c r="F26571" t="s">
        <v>12428</v>
      </c>
      <c r="G26571" t="s">
        <v>16619</v>
      </c>
      <c r="H26571" t="s">
        <v>28413</v>
      </c>
    </row>
    <row r="26572" spans="1:8">
      <c r="H26572" t="s">
        <v>28414</v>
      </c>
    </row>
    <row r="26573" spans="1:8">
      <c r="A26573" t="s">
        <v>1350</v>
      </c>
      <c r="B26573">
        <f>HYPERLINK("https://android.googlesource.com/platform/cts/+/7b1462fa47277d2451dd45a8f8d9116e06509102", "7b1462fa47277d2451dd45a8f8d9116e06509102")</f>
        <v>0</v>
      </c>
      <c r="C26573">
        <f>HYPERLINK("https://android.googlesource.com/platform/cts/+/b080702ad7f5e61e3793cc4335e55b6bec128975", "b080702ad7f5e61e3793cc4335e55b6bec128975")</f>
        <v>0</v>
      </c>
      <c r="D26573" t="s">
        <v>5191</v>
      </c>
      <c r="E26573" t="s">
        <v>7121</v>
      </c>
      <c r="F26573" t="s">
        <v>13172</v>
      </c>
      <c r="G26573" t="s">
        <v>17320</v>
      </c>
      <c r="H26573" t="s">
        <v>28415</v>
      </c>
    </row>
    <row r="26574" spans="1:8">
      <c r="H26574" t="s">
        <v>28416</v>
      </c>
    </row>
    <row r="26575" spans="1:8">
      <c r="A26575" t="s">
        <v>1351</v>
      </c>
      <c r="B26575">
        <f>HYPERLINK("https://android.googlesource.com/platform/cts/+/4637c8a2e6eae35cf7991e5e8ef84a2793dacf20", "4637c8a2e6eae35cf7991e5e8ef84a2793dacf20")</f>
        <v>0</v>
      </c>
      <c r="C26575">
        <f>HYPERLINK("https://android.googlesource.com/platform/cts/+/1a9df8652c87f94d4ecab7e6e98c9c2b6d475afb", "1a9df8652c87f94d4ecab7e6e98c9c2b6d475afb")</f>
        <v>0</v>
      </c>
      <c r="D26575" t="s">
        <v>4986</v>
      </c>
      <c r="E26575" t="s">
        <v>7122</v>
      </c>
      <c r="F26575" t="s">
        <v>13095</v>
      </c>
      <c r="G26575" t="s">
        <v>17257</v>
      </c>
      <c r="H26575" t="s">
        <v>28417</v>
      </c>
    </row>
    <row r="26576" spans="1:8">
      <c r="H26576" t="s">
        <v>28418</v>
      </c>
    </row>
    <row r="26577" spans="1:8">
      <c r="H26577" t="s">
        <v>28419</v>
      </c>
    </row>
    <row r="26578" spans="1:8">
      <c r="H26578" t="s">
        <v>28420</v>
      </c>
    </row>
    <row r="26579" spans="1:8">
      <c r="H26579" t="s">
        <v>21194</v>
      </c>
    </row>
    <row r="26580" spans="1:8">
      <c r="A26580" t="s">
        <v>1352</v>
      </c>
      <c r="B26580">
        <f>HYPERLINK("https://android.googlesource.com/platform/cts/+/9a71b9b416f3d1e10e60e8b4ff1a9c248c98e418", "9a71b9b416f3d1e10e60e8b4ff1a9c248c98e418")</f>
        <v>0</v>
      </c>
      <c r="C26580">
        <f>HYPERLINK("https://android.googlesource.com/platform/cts/+/71397289505aeec5f2dd9f4ab83086a1dd155633", "71397289505aeec5f2dd9f4ab83086a1dd155633")</f>
        <v>0</v>
      </c>
      <c r="D26580" t="s">
        <v>5029</v>
      </c>
      <c r="E26580" t="s">
        <v>7123</v>
      </c>
      <c r="F26580" t="s">
        <v>10675</v>
      </c>
      <c r="G26580" t="s">
        <v>15075</v>
      </c>
      <c r="H26580" t="s">
        <v>28421</v>
      </c>
    </row>
    <row r="26581" spans="1:8">
      <c r="A26581" t="s">
        <v>1353</v>
      </c>
      <c r="B26581">
        <f>HYPERLINK("https://android.googlesource.com/platform/cts/+/76d27ce7c94d7559716fa779051f3cdc1af488b0", "76d27ce7c94d7559716fa779051f3cdc1af488b0")</f>
        <v>0</v>
      </c>
      <c r="C26581">
        <f>HYPERLINK("https://android.googlesource.com/platform/cts/+/2d3020b24fbc9db60e3fc94a075a9dce0ff9d4d6", "2d3020b24fbc9db60e3fc94a075a9dce0ff9d4d6")</f>
        <v>0</v>
      </c>
      <c r="D26581" t="s">
        <v>5127</v>
      </c>
      <c r="E26581" t="s">
        <v>7124</v>
      </c>
      <c r="F26581" t="s">
        <v>13173</v>
      </c>
      <c r="G26581" t="s">
        <v>17321</v>
      </c>
      <c r="H26581" t="s">
        <v>18829</v>
      </c>
    </row>
    <row r="26582" spans="1:8">
      <c r="H26582" t="s">
        <v>18863</v>
      </c>
    </row>
    <row r="26583" spans="1:8">
      <c r="H26583" t="s">
        <v>28422</v>
      </c>
    </row>
    <row r="26584" spans="1:8">
      <c r="H26584" t="s">
        <v>28423</v>
      </c>
    </row>
    <row r="26585" spans="1:8">
      <c r="H26585" t="s">
        <v>28424</v>
      </c>
    </row>
    <row r="26586" spans="1:8">
      <c r="H26586" t="s">
        <v>28425</v>
      </c>
    </row>
    <row r="26587" spans="1:8">
      <c r="H26587" t="s">
        <v>28426</v>
      </c>
    </row>
    <row r="26588" spans="1:8">
      <c r="H26588" t="s">
        <v>28427</v>
      </c>
    </row>
    <row r="26589" spans="1:8">
      <c r="H26589" t="s">
        <v>28428</v>
      </c>
    </row>
    <row r="26590" spans="1:8">
      <c r="H26590" t="s">
        <v>18896</v>
      </c>
    </row>
    <row r="26591" spans="1:8">
      <c r="F26591" t="s">
        <v>12629</v>
      </c>
      <c r="G26591" t="s">
        <v>16838</v>
      </c>
      <c r="H26591" t="s">
        <v>28429</v>
      </c>
    </row>
    <row r="26592" spans="1:8">
      <c r="A26592" t="s">
        <v>1354</v>
      </c>
      <c r="B26592">
        <f>HYPERLINK("https://android.googlesource.com/platform/cts/+/547798b36723c4f3c85f404133d316dd57039ce4", "547798b36723c4f3c85f404133d316dd57039ce4")</f>
        <v>0</v>
      </c>
      <c r="C26592">
        <f>HYPERLINK("https://android.googlesource.com/platform/cts/+/0888c63949b5f310bf46a38e3b4819ca9dc31304", "0888c63949b5f310bf46a38e3b4819ca9dc31304")</f>
        <v>0</v>
      </c>
      <c r="D26592" t="s">
        <v>5146</v>
      </c>
      <c r="E26592" t="s">
        <v>7125</v>
      </c>
      <c r="F26592" t="s">
        <v>12821</v>
      </c>
      <c r="G26592" t="s">
        <v>17000</v>
      </c>
      <c r="H26592" t="s">
        <v>28430</v>
      </c>
    </row>
    <row r="26593" spans="1:8">
      <c r="H26593" t="s">
        <v>28431</v>
      </c>
    </row>
    <row r="26594" spans="1:8">
      <c r="H26594" t="s">
        <v>28432</v>
      </c>
    </row>
    <row r="26595" spans="1:8">
      <c r="H26595" t="s">
        <v>28433</v>
      </c>
    </row>
    <row r="26596" spans="1:8">
      <c r="A26596" t="s">
        <v>1355</v>
      </c>
      <c r="B26596">
        <f>HYPERLINK("https://android.googlesource.com/platform/cts/+/483ab8e405360430b806b04aee51fedc32c4a34f", "483ab8e405360430b806b04aee51fedc32c4a34f")</f>
        <v>0</v>
      </c>
      <c r="C26596">
        <f>HYPERLINK("https://android.googlesource.com/platform/cts/+/00d2bbc0310e81973f5a9e9f37d3159ee3361c91", "00d2bbc0310e81973f5a9e9f37d3159ee3361c91")</f>
        <v>0</v>
      </c>
      <c r="D26596" t="s">
        <v>5198</v>
      </c>
      <c r="E26596" t="s">
        <v>7126</v>
      </c>
      <c r="F26596" t="s">
        <v>10668</v>
      </c>
      <c r="G26596" t="s">
        <v>15069</v>
      </c>
      <c r="H26596" t="s">
        <v>28434</v>
      </c>
    </row>
    <row r="26597" spans="1:8">
      <c r="A26597" t="s">
        <v>1356</v>
      </c>
      <c r="B26597">
        <f>HYPERLINK("https://android.googlesource.com/platform/cts/+/2fbc4fb2fec3bd955d6933feb5d4d63e357bc55b", "2fbc4fb2fec3bd955d6933feb5d4d63e357bc55b")</f>
        <v>0</v>
      </c>
      <c r="C26597">
        <f>HYPERLINK("https://android.googlesource.com/platform/cts/+/a57f7aacff3602f8a26ca01e300cf3a6965adcf3", "a57f7aacff3602f8a26ca01e300cf3a6965adcf3")</f>
        <v>0</v>
      </c>
      <c r="D26597" t="s">
        <v>5002</v>
      </c>
      <c r="E26597" t="s">
        <v>7127</v>
      </c>
      <c r="F26597" t="s">
        <v>12251</v>
      </c>
      <c r="G26597" t="s">
        <v>16482</v>
      </c>
      <c r="H26597" t="s">
        <v>28435</v>
      </c>
    </row>
    <row r="26598" spans="1:8">
      <c r="H26598" t="s">
        <v>19957</v>
      </c>
    </row>
    <row r="26599" spans="1:8">
      <c r="F26599" t="s">
        <v>12252</v>
      </c>
      <c r="G26599" t="s">
        <v>16483</v>
      </c>
      <c r="H26599" t="s">
        <v>25060</v>
      </c>
    </row>
    <row r="26600" spans="1:8">
      <c r="H26600" t="s">
        <v>25061</v>
      </c>
    </row>
    <row r="26601" spans="1:8">
      <c r="H26601" t="s">
        <v>25062</v>
      </c>
    </row>
    <row r="26602" spans="1:8">
      <c r="F26602" t="s">
        <v>13174</v>
      </c>
      <c r="G26602" t="s">
        <v>14991</v>
      </c>
      <c r="H26602" t="s">
        <v>19364</v>
      </c>
    </row>
    <row r="26603" spans="1:8">
      <c r="H26603" t="s">
        <v>18931</v>
      </c>
    </row>
    <row r="26604" spans="1:8">
      <c r="H26604" t="s">
        <v>28436</v>
      </c>
    </row>
    <row r="26605" spans="1:8">
      <c r="H26605" t="s">
        <v>25728</v>
      </c>
    </row>
    <row r="26606" spans="1:8">
      <c r="F26606" t="s">
        <v>13175</v>
      </c>
      <c r="G26606" t="s">
        <v>14992</v>
      </c>
      <c r="H26606" t="s">
        <v>18924</v>
      </c>
    </row>
    <row r="26607" spans="1:8">
      <c r="H26607" t="s">
        <v>18931</v>
      </c>
    </row>
    <row r="26608" spans="1:8">
      <c r="H26608" t="s">
        <v>18961</v>
      </c>
    </row>
    <row r="26609" spans="6:8">
      <c r="H26609" t="s">
        <v>19230</v>
      </c>
    </row>
    <row r="26610" spans="6:8">
      <c r="H26610" t="s">
        <v>25728</v>
      </c>
    </row>
    <row r="26611" spans="6:8">
      <c r="H26611" t="s">
        <v>28078</v>
      </c>
    </row>
    <row r="26612" spans="6:8">
      <c r="F26612" t="s">
        <v>13176</v>
      </c>
      <c r="G26612" t="s">
        <v>16810</v>
      </c>
      <c r="H26612" t="s">
        <v>19740</v>
      </c>
    </row>
    <row r="26613" spans="6:8">
      <c r="H26613" t="s">
        <v>28437</v>
      </c>
    </row>
    <row r="26614" spans="6:8">
      <c r="H26614" t="s">
        <v>28438</v>
      </c>
    </row>
    <row r="26615" spans="6:8">
      <c r="H26615" t="s">
        <v>28439</v>
      </c>
    </row>
    <row r="26616" spans="6:8">
      <c r="F26616" t="s">
        <v>13177</v>
      </c>
      <c r="G26616" t="s">
        <v>14995</v>
      </c>
      <c r="H26616" t="s">
        <v>18960</v>
      </c>
    </row>
    <row r="26617" spans="6:8">
      <c r="H26617" t="s">
        <v>18931</v>
      </c>
    </row>
    <row r="26618" spans="6:8">
      <c r="H26618" t="s">
        <v>28440</v>
      </c>
    </row>
    <row r="26619" spans="6:8">
      <c r="H26619" t="s">
        <v>28441</v>
      </c>
    </row>
    <row r="26620" spans="6:8">
      <c r="H26620" t="s">
        <v>28442</v>
      </c>
    </row>
    <row r="26621" spans="6:8">
      <c r="H26621" t="s">
        <v>28443</v>
      </c>
    </row>
    <row r="26622" spans="6:8">
      <c r="H26622" t="s">
        <v>28444</v>
      </c>
    </row>
    <row r="26623" spans="6:8">
      <c r="H26623" t="s">
        <v>28445</v>
      </c>
    </row>
    <row r="26624" spans="6:8">
      <c r="H26624" t="s">
        <v>25728</v>
      </c>
    </row>
    <row r="26625" spans="1:8">
      <c r="H26625" t="s">
        <v>28078</v>
      </c>
    </row>
    <row r="26626" spans="1:8">
      <c r="A26626" t="s">
        <v>1357</v>
      </c>
      <c r="B26626">
        <f>HYPERLINK("https://android.googlesource.com/platform/cts/+/8ab04d76cdd0b3c57ea2b94f9819c5ba1dc35525", "8ab04d76cdd0b3c57ea2b94f9819c5ba1dc35525")</f>
        <v>0</v>
      </c>
      <c r="C26626">
        <f>HYPERLINK("https://android.googlesource.com/platform/cts/+/69f13316b8c6b44e6f14593db351d9a2d878e338", "69f13316b8c6b44e6f14593db351d9a2d878e338")</f>
        <v>0</v>
      </c>
      <c r="D26626" t="s">
        <v>5021</v>
      </c>
      <c r="E26626" t="s">
        <v>7128</v>
      </c>
      <c r="F26626" t="s">
        <v>12251</v>
      </c>
      <c r="G26626" t="s">
        <v>16482</v>
      </c>
      <c r="H26626" t="s">
        <v>28435</v>
      </c>
    </row>
    <row r="26627" spans="1:8">
      <c r="H26627" t="s">
        <v>19957</v>
      </c>
    </row>
    <row r="26628" spans="1:8">
      <c r="F26628" t="s">
        <v>12252</v>
      </c>
      <c r="G26628" t="s">
        <v>16483</v>
      </c>
      <c r="H26628" t="s">
        <v>25060</v>
      </c>
    </row>
    <row r="26629" spans="1:8">
      <c r="H26629" t="s">
        <v>25061</v>
      </c>
    </row>
    <row r="26630" spans="1:8">
      <c r="H26630" t="s">
        <v>25062</v>
      </c>
    </row>
    <row r="26631" spans="1:8">
      <c r="F26631" t="s">
        <v>13174</v>
      </c>
      <c r="G26631" t="s">
        <v>14991</v>
      </c>
      <c r="H26631" t="s">
        <v>19364</v>
      </c>
    </row>
    <row r="26632" spans="1:8">
      <c r="H26632" t="s">
        <v>18931</v>
      </c>
    </row>
    <row r="26633" spans="1:8">
      <c r="H26633" t="s">
        <v>28436</v>
      </c>
    </row>
    <row r="26634" spans="1:8">
      <c r="H26634" t="s">
        <v>25728</v>
      </c>
    </row>
    <row r="26635" spans="1:8">
      <c r="F26635" t="s">
        <v>13175</v>
      </c>
      <c r="G26635" t="s">
        <v>14992</v>
      </c>
      <c r="H26635" t="s">
        <v>18924</v>
      </c>
    </row>
    <row r="26636" spans="1:8">
      <c r="H26636" t="s">
        <v>18931</v>
      </c>
    </row>
    <row r="26637" spans="1:8">
      <c r="H26637" t="s">
        <v>18961</v>
      </c>
    </row>
    <row r="26638" spans="1:8">
      <c r="H26638" t="s">
        <v>19230</v>
      </c>
    </row>
    <row r="26639" spans="1:8">
      <c r="H26639" t="s">
        <v>25728</v>
      </c>
    </row>
    <row r="26640" spans="1:8">
      <c r="H26640" t="s">
        <v>28078</v>
      </c>
    </row>
    <row r="26641" spans="1:8">
      <c r="F26641" t="s">
        <v>13176</v>
      </c>
      <c r="G26641" t="s">
        <v>16810</v>
      </c>
      <c r="H26641" t="s">
        <v>19740</v>
      </c>
    </row>
    <row r="26642" spans="1:8">
      <c r="H26642" t="s">
        <v>28437</v>
      </c>
    </row>
    <row r="26643" spans="1:8">
      <c r="H26643" t="s">
        <v>28438</v>
      </c>
    </row>
    <row r="26644" spans="1:8">
      <c r="H26644" t="s">
        <v>28439</v>
      </c>
    </row>
    <row r="26645" spans="1:8">
      <c r="F26645" t="s">
        <v>13177</v>
      </c>
      <c r="G26645" t="s">
        <v>14995</v>
      </c>
      <c r="H26645" t="s">
        <v>18960</v>
      </c>
    </row>
    <row r="26646" spans="1:8">
      <c r="H26646" t="s">
        <v>18931</v>
      </c>
    </row>
    <row r="26647" spans="1:8">
      <c r="H26647" t="s">
        <v>28440</v>
      </c>
    </row>
    <row r="26648" spans="1:8">
      <c r="H26648" t="s">
        <v>28441</v>
      </c>
    </row>
    <row r="26649" spans="1:8">
      <c r="H26649" t="s">
        <v>28442</v>
      </c>
    </row>
    <row r="26650" spans="1:8">
      <c r="H26650" t="s">
        <v>28443</v>
      </c>
    </row>
    <row r="26651" spans="1:8">
      <c r="H26651" t="s">
        <v>28444</v>
      </c>
    </row>
    <row r="26652" spans="1:8">
      <c r="H26652" t="s">
        <v>28445</v>
      </c>
    </row>
    <row r="26653" spans="1:8">
      <c r="H26653" t="s">
        <v>25728</v>
      </c>
    </row>
    <row r="26654" spans="1:8">
      <c r="H26654" t="s">
        <v>28078</v>
      </c>
    </row>
    <row r="26655" spans="1:8">
      <c r="A26655" t="s">
        <v>1358</v>
      </c>
      <c r="B26655">
        <f>HYPERLINK("https://android.googlesource.com/platform/cts/+/e7356ae25d3ed813a5d2c318889d6c4284e19168", "e7356ae25d3ed813a5d2c318889d6c4284e19168")</f>
        <v>0</v>
      </c>
      <c r="C26655">
        <f>HYPERLINK("https://android.googlesource.com/platform/cts/+/432ab07ffb19145e38925e1506a958101694cd1e", "432ab07ffb19145e38925e1506a958101694cd1e")</f>
        <v>0</v>
      </c>
      <c r="D26655" t="s">
        <v>5199</v>
      </c>
      <c r="E26655" t="s">
        <v>7129</v>
      </c>
      <c r="F26655" t="s">
        <v>10593</v>
      </c>
      <c r="G26655" t="s">
        <v>14996</v>
      </c>
      <c r="H26655" t="s">
        <v>28446</v>
      </c>
    </row>
    <row r="26656" spans="1:8">
      <c r="A26656" t="s">
        <v>1359</v>
      </c>
      <c r="B26656">
        <f>HYPERLINK("https://android.googlesource.com/platform/cts/+/b15da1e1d851994fd4fde3665349ed43ac27d5f4", "b15da1e1d851994fd4fde3665349ed43ac27d5f4")</f>
        <v>0</v>
      </c>
      <c r="C26656">
        <f>HYPERLINK("https://android.googlesource.com/platform/cts/+/b7f33fffee58de858e2da2c769f21dcf79a7f0f3", "b7f33fffee58de858e2da2c769f21dcf79a7f0f3")</f>
        <v>0</v>
      </c>
      <c r="D26656" t="s">
        <v>5115</v>
      </c>
      <c r="E26656" t="s">
        <v>7130</v>
      </c>
      <c r="F26656" t="s">
        <v>13178</v>
      </c>
      <c r="G26656" t="s">
        <v>17322</v>
      </c>
      <c r="H26656" t="s">
        <v>26112</v>
      </c>
    </row>
    <row r="26657" spans="1:8">
      <c r="H26657" t="s">
        <v>26113</v>
      </c>
    </row>
    <row r="26658" spans="1:8">
      <c r="A26658" t="s">
        <v>1360</v>
      </c>
      <c r="B26658">
        <f>HYPERLINK("https://android.googlesource.com/platform/cts/+/788fa2593127d294d51b78eea57f2f09279b9628", "788fa2593127d294d51b78eea57f2f09279b9628")</f>
        <v>0</v>
      </c>
      <c r="C26658">
        <f>HYPERLINK("https://android.googlesource.com/platform/cts/+/44135355ace2cba95b4bade9e0e1f7db6d63fe5e", "44135355ace2cba95b4bade9e0e1f7db6d63fe5e")</f>
        <v>0</v>
      </c>
      <c r="D26658" t="s">
        <v>5191</v>
      </c>
      <c r="E26658" t="s">
        <v>7131</v>
      </c>
      <c r="F26658" t="s">
        <v>12634</v>
      </c>
      <c r="G26658" t="s">
        <v>16843</v>
      </c>
      <c r="H26658" t="s">
        <v>28127</v>
      </c>
    </row>
    <row r="26659" spans="1:8">
      <c r="A26659" t="s">
        <v>1361</v>
      </c>
      <c r="B26659">
        <f>HYPERLINK("https://android.googlesource.com/platform/cts/+/d6a150c16597a035d34a13e5f19dde88270e2489", "d6a150c16597a035d34a13e5f19dde88270e2489")</f>
        <v>0</v>
      </c>
      <c r="C26659">
        <f>HYPERLINK("https://android.googlesource.com/platform/cts/+/ce2b45acebf16f975b897dc1ec6cb45c1efe9738", "ce2b45acebf16f975b897dc1ec6cb45c1efe9738")</f>
        <v>0</v>
      </c>
      <c r="D26659" t="s">
        <v>4974</v>
      </c>
      <c r="E26659" t="s">
        <v>7132</v>
      </c>
      <c r="F26659" t="s">
        <v>13134</v>
      </c>
      <c r="G26659" t="s">
        <v>17292</v>
      </c>
      <c r="H26659" t="s">
        <v>28447</v>
      </c>
    </row>
    <row r="26660" spans="1:8">
      <c r="A26660" t="s">
        <v>1362</v>
      </c>
      <c r="B26660">
        <f>HYPERLINK("https://android.googlesource.com/platform/cts/+/58cdefa1792732ae895078450f76b53f861140c1", "58cdefa1792732ae895078450f76b53f861140c1")</f>
        <v>0</v>
      </c>
      <c r="C26660">
        <f>HYPERLINK("https://android.googlesource.com/platform/cts/+/7f750fbc36a64379f6f340143b159b15af48103f", "7f750fbc36a64379f6f340143b159b15af48103f")</f>
        <v>0</v>
      </c>
      <c r="D26660" t="s">
        <v>5191</v>
      </c>
      <c r="E26660" t="s">
        <v>7133</v>
      </c>
      <c r="F26660" t="s">
        <v>13179</v>
      </c>
      <c r="G26660" t="s">
        <v>17323</v>
      </c>
      <c r="H26660" t="s">
        <v>28448</v>
      </c>
    </row>
    <row r="26661" spans="1:8">
      <c r="A26661" t="s">
        <v>1363</v>
      </c>
      <c r="B26661">
        <f>HYPERLINK("https://android.googlesource.com/platform/cts/+/05aa18486e86a8e4b86fb2895b9cc13ca6833211", "05aa18486e86a8e4b86fb2895b9cc13ca6833211")</f>
        <v>0</v>
      </c>
      <c r="C26661">
        <f>HYPERLINK("https://android.googlesource.com/platform/cts/+/10155bca429e17f424be7c3fb4498a2685cd2dd0", "10155bca429e17f424be7c3fb4498a2685cd2dd0")</f>
        <v>0</v>
      </c>
      <c r="D26661" t="s">
        <v>5183</v>
      </c>
      <c r="E26661" t="s">
        <v>7134</v>
      </c>
      <c r="F26661" t="s">
        <v>10786</v>
      </c>
      <c r="G26661" t="s">
        <v>15182</v>
      </c>
      <c r="H26661" t="s">
        <v>28449</v>
      </c>
    </row>
    <row r="26662" spans="1:8">
      <c r="A26662" t="s">
        <v>1364</v>
      </c>
      <c r="B26662">
        <f>HYPERLINK("https://android.googlesource.com/platform/cts/+/7cdf75b9b036c4a2f14a546b9ea9b8803f57e8e4", "7cdf75b9b036c4a2f14a546b9ea9b8803f57e8e4")</f>
        <v>0</v>
      </c>
      <c r="C26662">
        <f>HYPERLINK("https://android.googlesource.com/platform/cts/+/d3b60bbf30c1a99efd1576c4cb7880b1319d7565", "d3b60bbf30c1a99efd1576c4cb7880b1319d7565")</f>
        <v>0</v>
      </c>
      <c r="D26662" t="s">
        <v>5191</v>
      </c>
      <c r="E26662" t="s">
        <v>7135</v>
      </c>
      <c r="F26662" t="s">
        <v>13172</v>
      </c>
      <c r="G26662" t="s">
        <v>17320</v>
      </c>
      <c r="H26662" t="s">
        <v>28450</v>
      </c>
    </row>
    <row r="26663" spans="1:8">
      <c r="A26663" t="s">
        <v>1365</v>
      </c>
      <c r="B26663">
        <f>HYPERLINK("https://android.googlesource.com/platform/cts/+/2c01b4761a1e5f31245c9ea50d610449ff1b6f33", "2c01b4761a1e5f31245c9ea50d610449ff1b6f33")</f>
        <v>0</v>
      </c>
      <c r="C26663">
        <f>HYPERLINK("https://android.googlesource.com/platform/cts/+/d3b60bbf30c1a99efd1576c4cb7880b1319d7565", "d3b60bbf30c1a99efd1576c4cb7880b1319d7565")</f>
        <v>0</v>
      </c>
      <c r="D26663" t="s">
        <v>5144</v>
      </c>
      <c r="E26663" t="s">
        <v>7136</v>
      </c>
      <c r="F26663" t="s">
        <v>10629</v>
      </c>
      <c r="G26663" t="s">
        <v>15032</v>
      </c>
      <c r="H26663" t="s">
        <v>28451</v>
      </c>
    </row>
    <row r="26664" spans="1:8">
      <c r="H26664" t="s">
        <v>18836</v>
      </c>
    </row>
    <row r="26665" spans="1:8">
      <c r="H26665" t="s">
        <v>28452</v>
      </c>
    </row>
    <row r="26666" spans="1:8">
      <c r="H26666" t="s">
        <v>28453</v>
      </c>
    </row>
    <row r="26667" spans="1:8">
      <c r="F26667" t="s">
        <v>10597</v>
      </c>
      <c r="G26667" t="s">
        <v>15000</v>
      </c>
      <c r="H26667" t="s">
        <v>28454</v>
      </c>
    </row>
    <row r="26668" spans="1:8">
      <c r="F26668" t="s">
        <v>13180</v>
      </c>
      <c r="G26668" t="s">
        <v>17324</v>
      </c>
      <c r="H26668" t="s">
        <v>18851</v>
      </c>
    </row>
    <row r="26669" spans="1:8">
      <c r="H26669" t="s">
        <v>18853</v>
      </c>
    </row>
    <row r="26670" spans="1:8">
      <c r="F26670" t="s">
        <v>13181</v>
      </c>
      <c r="G26670" t="s">
        <v>17325</v>
      </c>
      <c r="H26670" t="s">
        <v>18836</v>
      </c>
    </row>
    <row r="26671" spans="1:8">
      <c r="H26671" t="s">
        <v>28455</v>
      </c>
    </row>
    <row r="26672" spans="1:8">
      <c r="H26672" t="s">
        <v>28456</v>
      </c>
    </row>
    <row r="26673" spans="1:8">
      <c r="H26673" t="s">
        <v>28457</v>
      </c>
    </row>
    <row r="26674" spans="1:8">
      <c r="A26674" t="s">
        <v>1366</v>
      </c>
      <c r="B26674">
        <f>HYPERLINK("https://android.googlesource.com/platform/cts/+/2c7e5170a20547c236819d56593d8b8b7d2f0f21", "2c7e5170a20547c236819d56593d8b8b7d2f0f21")</f>
        <v>0</v>
      </c>
      <c r="C26674">
        <f>HYPERLINK("https://android.googlesource.com/platform/cts/+/cf8c9298e24c5b769afe9ec7c89d888587c322e4", "cf8c9298e24c5b769afe9ec7c89d888587c322e4")</f>
        <v>0</v>
      </c>
      <c r="D26674" t="s">
        <v>5189</v>
      </c>
      <c r="E26674" t="s">
        <v>7137</v>
      </c>
      <c r="F26674" t="s">
        <v>13162</v>
      </c>
      <c r="G26674" t="s">
        <v>16987</v>
      </c>
      <c r="H26674" t="s">
        <v>28385</v>
      </c>
    </row>
    <row r="26675" spans="1:8">
      <c r="A26675" t="s">
        <v>1367</v>
      </c>
      <c r="B26675">
        <f>HYPERLINK("https://android.googlesource.com/platform/cts/+/43fa4fc329d6ba6f1d405cb7e5c46166a2bded72", "43fa4fc329d6ba6f1d405cb7e5c46166a2bded72")</f>
        <v>0</v>
      </c>
      <c r="C26675">
        <f>HYPERLINK("https://android.googlesource.com/platform/cts/+/685c0080ced6a36a0858367246d86d1ce79ff1c7", "685c0080ced6a36a0858367246d86d1ce79ff1c7")</f>
        <v>0</v>
      </c>
      <c r="D26675" t="s">
        <v>5200</v>
      </c>
      <c r="E26675" t="s">
        <v>7138</v>
      </c>
      <c r="F26675" t="s">
        <v>13182</v>
      </c>
      <c r="G26675" t="s">
        <v>17326</v>
      </c>
      <c r="H26675" t="s">
        <v>28458</v>
      </c>
    </row>
    <row r="26676" spans="1:8">
      <c r="F26676" t="s">
        <v>13183</v>
      </c>
      <c r="G26676" t="s">
        <v>17327</v>
      </c>
      <c r="H26676" t="s">
        <v>28458</v>
      </c>
    </row>
    <row r="26677" spans="1:8">
      <c r="F26677" t="s">
        <v>13184</v>
      </c>
      <c r="G26677" t="s">
        <v>17328</v>
      </c>
      <c r="H26677" t="s">
        <v>28458</v>
      </c>
    </row>
    <row r="26678" spans="1:8">
      <c r="F26678" t="s">
        <v>12893</v>
      </c>
      <c r="G26678" t="s">
        <v>17060</v>
      </c>
      <c r="H26678" t="s">
        <v>28458</v>
      </c>
    </row>
    <row r="26679" spans="1:8">
      <c r="F26679" t="s">
        <v>13185</v>
      </c>
      <c r="G26679" t="s">
        <v>17329</v>
      </c>
      <c r="H26679" t="s">
        <v>28458</v>
      </c>
    </row>
    <row r="26680" spans="1:8">
      <c r="F26680" t="s">
        <v>13186</v>
      </c>
      <c r="G26680" t="s">
        <v>17330</v>
      </c>
      <c r="H26680" t="s">
        <v>28458</v>
      </c>
    </row>
    <row r="26681" spans="1:8">
      <c r="A26681" t="s">
        <v>1368</v>
      </c>
      <c r="B26681">
        <f>HYPERLINK("https://android.googlesource.com/platform/cts/+/bad1de54cbd83f249854fd246fe8d7757399e3ca", "bad1de54cbd83f249854fd246fe8d7757399e3ca")</f>
        <v>0</v>
      </c>
      <c r="C26681">
        <f>HYPERLINK("https://android.googlesource.com/platform/cts/+/9a7e561b8e283bdf010081444d23c3646a2fdde5", "9a7e561b8e283bdf010081444d23c3646a2fdde5")</f>
        <v>0</v>
      </c>
      <c r="D26681" t="s">
        <v>5027</v>
      </c>
      <c r="E26681" t="s">
        <v>7139</v>
      </c>
      <c r="F26681" t="s">
        <v>13187</v>
      </c>
      <c r="G26681" t="s">
        <v>17331</v>
      </c>
      <c r="H26681" t="s">
        <v>28459</v>
      </c>
    </row>
    <row r="26682" spans="1:8">
      <c r="H26682" t="s">
        <v>28460</v>
      </c>
    </row>
    <row r="26683" spans="1:8">
      <c r="H26683" t="s">
        <v>28461</v>
      </c>
    </row>
    <row r="26684" spans="1:8">
      <c r="A26684" t="s">
        <v>1369</v>
      </c>
      <c r="B26684">
        <f>HYPERLINK("https://android.googlesource.com/platform/cts/+/4a7e03dd53c02838bcd766a079d065d67555cf0d", "4a7e03dd53c02838bcd766a079d065d67555cf0d")</f>
        <v>0</v>
      </c>
      <c r="C26684">
        <f>HYPERLINK("https://android.googlesource.com/platform/cts/+/6f48da44578c0cfb95b538b7ef0d90316dca725c", "6f48da44578c0cfb95b538b7ef0d90316dca725c")</f>
        <v>0</v>
      </c>
      <c r="D26684" t="s">
        <v>5062</v>
      </c>
      <c r="E26684" t="s">
        <v>7140</v>
      </c>
      <c r="F26684" t="s">
        <v>13188</v>
      </c>
      <c r="G26684" t="s">
        <v>17332</v>
      </c>
      <c r="H26684" t="s">
        <v>28462</v>
      </c>
    </row>
    <row r="26685" spans="1:8">
      <c r="F26685" t="s">
        <v>13189</v>
      </c>
      <c r="G26685" t="s">
        <v>17333</v>
      </c>
      <c r="H26685" t="s">
        <v>28462</v>
      </c>
    </row>
    <row r="26686" spans="1:8">
      <c r="A26686" t="s">
        <v>1370</v>
      </c>
      <c r="B26686">
        <f>HYPERLINK("https://android.googlesource.com/platform/cts/+/db6000bf3923b236411ae253016c40ff09d43447", "db6000bf3923b236411ae253016c40ff09d43447")</f>
        <v>0</v>
      </c>
      <c r="C26686">
        <f>HYPERLINK("https://android.googlesource.com/platform/cts/+/e91e18261e4fac8d10549a16f0b55e74b8391da0", "e91e18261e4fac8d10549a16f0b55e74b8391da0")</f>
        <v>0</v>
      </c>
      <c r="D26686" t="s">
        <v>4965</v>
      </c>
      <c r="E26686" t="s">
        <v>7141</v>
      </c>
      <c r="F26686" t="s">
        <v>13127</v>
      </c>
      <c r="G26686" t="s">
        <v>17203</v>
      </c>
      <c r="H26686" t="s">
        <v>28463</v>
      </c>
    </row>
    <row r="26687" spans="1:8">
      <c r="A26687" t="s">
        <v>1371</v>
      </c>
      <c r="B26687">
        <f>HYPERLINK("https://android.googlesource.com/platform/cts/+/c0e543b38bdb38c13644ae3f74242afdbf064e9f", "c0e543b38bdb38c13644ae3f74242afdbf064e9f")</f>
        <v>0</v>
      </c>
      <c r="C26687">
        <f>HYPERLINK("https://android.googlesource.com/platform/cts/+/1d2557c80c1202ac983f7a83e4fee476b09a8ce3", "1d2557c80c1202ac983f7a83e4fee476b09a8ce3")</f>
        <v>0</v>
      </c>
      <c r="D26687" t="s">
        <v>5176</v>
      </c>
      <c r="E26687" t="s">
        <v>7142</v>
      </c>
      <c r="F26687" t="s">
        <v>10794</v>
      </c>
      <c r="G26687" t="s">
        <v>15189</v>
      </c>
      <c r="H26687" t="s">
        <v>28464</v>
      </c>
    </row>
    <row r="26688" spans="1:8">
      <c r="A26688" t="s">
        <v>1372</v>
      </c>
      <c r="B26688">
        <f>HYPERLINK("https://android.googlesource.com/platform/cts/+/86b0dcaf2ee8e10a0f0dd6fb2cfef4c43f963422", "86b0dcaf2ee8e10a0f0dd6fb2cfef4c43f963422")</f>
        <v>0</v>
      </c>
      <c r="C26688">
        <f>HYPERLINK("https://android.googlesource.com/platform/cts/+/1ef56e7ceb48f5bd09df5a6117b69d911e3807e1", "1ef56e7ceb48f5bd09df5a6117b69d911e3807e1")</f>
        <v>0</v>
      </c>
      <c r="D26688" t="s">
        <v>5153</v>
      </c>
      <c r="E26688" t="s">
        <v>7143</v>
      </c>
      <c r="F26688" t="s">
        <v>13190</v>
      </c>
      <c r="G26688" t="s">
        <v>17334</v>
      </c>
      <c r="H26688" t="s">
        <v>28465</v>
      </c>
    </row>
    <row r="26689" spans="1:8">
      <c r="F26689" t="s">
        <v>13191</v>
      </c>
      <c r="G26689" t="s">
        <v>17334</v>
      </c>
      <c r="H26689" t="s">
        <v>28465</v>
      </c>
    </row>
    <row r="26690" spans="1:8">
      <c r="A26690" t="s">
        <v>1373</v>
      </c>
      <c r="B26690">
        <f>HYPERLINK("https://android.googlesource.com/platform/cts/+/16abb8080a2f8d1860f84b86307daec04b1892d5", "16abb8080a2f8d1860f84b86307daec04b1892d5")</f>
        <v>0</v>
      </c>
      <c r="C26690">
        <f>HYPERLINK("https://android.googlesource.com/platform/cts/+/0e4d7ecb3471414e95744a8081a28cee8022d46a", "0e4d7ecb3471414e95744a8081a28cee8022d46a")</f>
        <v>0</v>
      </c>
      <c r="D26690" t="s">
        <v>4994</v>
      </c>
      <c r="E26690" t="s">
        <v>7144</v>
      </c>
      <c r="F26690" t="s">
        <v>10625</v>
      </c>
      <c r="G26690" t="s">
        <v>15028</v>
      </c>
      <c r="H26690" t="s">
        <v>28466</v>
      </c>
    </row>
    <row r="26691" spans="1:8">
      <c r="A26691" t="s">
        <v>1374</v>
      </c>
      <c r="B26691">
        <f>HYPERLINK("https://android.googlesource.com/platform/cts/+/f629b811ccb903fa09f44c98e7241e6144e547aa", "f629b811ccb903fa09f44c98e7241e6144e547aa")</f>
        <v>0</v>
      </c>
      <c r="C26691">
        <f>HYPERLINK("https://android.googlesource.com/platform/cts/+/e0f4d275f3fb92ff866ee2ce9300b4421d73c0f2", "e0f4d275f3fb92ff866ee2ce9300b4421d73c0f2")</f>
        <v>0</v>
      </c>
      <c r="D26691" t="s">
        <v>5201</v>
      </c>
      <c r="E26691" t="s">
        <v>7145</v>
      </c>
      <c r="F26691" t="s">
        <v>10749</v>
      </c>
      <c r="G26691" t="s">
        <v>15147</v>
      </c>
      <c r="H26691" t="s">
        <v>28467</v>
      </c>
    </row>
    <row r="26692" spans="1:8">
      <c r="A26692" t="s">
        <v>1375</v>
      </c>
      <c r="B26692">
        <f>HYPERLINK("https://android.googlesource.com/platform/cts/+/0e08bccac0267a702b62ddd93d4c3940ac60f5bc", "0e08bccac0267a702b62ddd93d4c3940ac60f5bc")</f>
        <v>0</v>
      </c>
      <c r="C26692">
        <f>HYPERLINK("https://android.googlesource.com/platform/cts/+/1c8a56a335d186d554634f26ef3135ab4fe6f838", "1c8a56a335d186d554634f26ef3135ab4fe6f838")</f>
        <v>0</v>
      </c>
      <c r="D26692" t="s">
        <v>5202</v>
      </c>
      <c r="E26692" t="s">
        <v>7146</v>
      </c>
      <c r="F26692" t="s">
        <v>13192</v>
      </c>
      <c r="G26692" t="s">
        <v>17335</v>
      </c>
      <c r="H26692" t="s">
        <v>28468</v>
      </c>
    </row>
    <row r="26693" spans="1:8">
      <c r="A26693" t="s">
        <v>1376</v>
      </c>
      <c r="B26693">
        <f>HYPERLINK("https://android.googlesource.com/platform/cts/+/0348a9fafbd2d61233f9296763f6dd5185fe4a38", "0348a9fafbd2d61233f9296763f6dd5185fe4a38")</f>
        <v>0</v>
      </c>
      <c r="C26693">
        <f>HYPERLINK("https://android.googlesource.com/platform/cts/+/4d3df5adcca4369774a4cc8f7313e5097be7d30f", "4d3df5adcca4369774a4cc8f7313e5097be7d30f")</f>
        <v>0</v>
      </c>
      <c r="D26693" t="s">
        <v>5191</v>
      </c>
      <c r="E26693" t="s">
        <v>7147</v>
      </c>
      <c r="F26693" t="s">
        <v>12634</v>
      </c>
      <c r="G26693" t="s">
        <v>16843</v>
      </c>
      <c r="H26693" t="s">
        <v>28469</v>
      </c>
    </row>
    <row r="26694" spans="1:8">
      <c r="A26694" t="s">
        <v>1377</v>
      </c>
      <c r="B26694">
        <f>HYPERLINK("https://android.googlesource.com/platform/cts/+/3bb2f327a046fb1389d3c71cb2ef26baada0eb96", "3bb2f327a046fb1389d3c71cb2ef26baada0eb96")</f>
        <v>0</v>
      </c>
      <c r="C26694">
        <f>HYPERLINK("https://android.googlesource.com/platform/cts/+/ee8e5c25e7239ee42ac9f817d5a40dbf5ed9cc8b", "ee8e5c25e7239ee42ac9f817d5a40dbf5ed9cc8b")</f>
        <v>0</v>
      </c>
      <c r="D26694" t="s">
        <v>4949</v>
      </c>
      <c r="E26694" t="s">
        <v>7148</v>
      </c>
      <c r="F26694" t="s">
        <v>12879</v>
      </c>
      <c r="G26694" t="s">
        <v>17046</v>
      </c>
      <c r="H26694" t="s">
        <v>28470</v>
      </c>
    </row>
    <row r="26695" spans="1:8">
      <c r="A26695" t="s">
        <v>1378</v>
      </c>
      <c r="B26695">
        <f>HYPERLINK("https://android.googlesource.com/platform/cts/+/aef954739ac695b5e17c9b3ac281b3429a36014d", "aef954739ac695b5e17c9b3ac281b3429a36014d")</f>
        <v>0</v>
      </c>
      <c r="C26695">
        <f>HYPERLINK("https://android.googlesource.com/platform/cts/+/abe70ae7ee1768851233c37333f929752317bdd4", "abe70ae7ee1768851233c37333f929752317bdd4")</f>
        <v>0</v>
      </c>
      <c r="D26695" t="s">
        <v>5144</v>
      </c>
      <c r="E26695" t="s">
        <v>7149</v>
      </c>
      <c r="F26695" t="s">
        <v>10627</v>
      </c>
      <c r="G26695" t="s">
        <v>15030</v>
      </c>
      <c r="H26695" t="s">
        <v>28471</v>
      </c>
    </row>
    <row r="26696" spans="1:8">
      <c r="H26696" t="s">
        <v>28472</v>
      </c>
    </row>
    <row r="26697" spans="1:8">
      <c r="H26697" t="s">
        <v>28473</v>
      </c>
    </row>
    <row r="26698" spans="1:8">
      <c r="H26698" t="s">
        <v>28474</v>
      </c>
    </row>
    <row r="26699" spans="1:8">
      <c r="A26699" t="s">
        <v>1379</v>
      </c>
      <c r="B26699">
        <f>HYPERLINK("https://android.googlesource.com/platform/cts/+/f734aa60e8524882ef7664e6d574844f3803e17f", "f734aa60e8524882ef7664e6d574844f3803e17f")</f>
        <v>0</v>
      </c>
      <c r="C26699">
        <f>HYPERLINK("https://android.googlesource.com/platform/cts/+/8317906b3dd1fde437d44c320facab49c0193205", "8317906b3dd1fde437d44c320facab49c0193205")</f>
        <v>0</v>
      </c>
      <c r="D26699" t="s">
        <v>5062</v>
      </c>
      <c r="E26699" t="s">
        <v>7150</v>
      </c>
      <c r="F26699" t="s">
        <v>13193</v>
      </c>
      <c r="G26699" t="s">
        <v>17336</v>
      </c>
      <c r="H26699" t="s">
        <v>18829</v>
      </c>
    </row>
    <row r="26700" spans="1:8">
      <c r="H26700" t="s">
        <v>28475</v>
      </c>
    </row>
    <row r="26701" spans="1:8">
      <c r="F26701" t="s">
        <v>13194</v>
      </c>
      <c r="G26701" t="s">
        <v>17337</v>
      </c>
      <c r="H26701" t="s">
        <v>19267</v>
      </c>
    </row>
    <row r="26702" spans="1:8">
      <c r="H26702" t="s">
        <v>28476</v>
      </c>
    </row>
    <row r="26703" spans="1:8">
      <c r="H26703" t="s">
        <v>28477</v>
      </c>
    </row>
    <row r="26704" spans="1:8">
      <c r="H26704" t="s">
        <v>28478</v>
      </c>
    </row>
    <row r="26705" spans="6:8">
      <c r="F26705" t="s">
        <v>13195</v>
      </c>
      <c r="G26705" t="s">
        <v>17338</v>
      </c>
      <c r="H26705" t="s">
        <v>19267</v>
      </c>
    </row>
    <row r="26706" spans="6:8">
      <c r="H26706" t="s">
        <v>28479</v>
      </c>
    </row>
    <row r="26707" spans="6:8">
      <c r="H26707" t="s">
        <v>22470</v>
      </c>
    </row>
    <row r="26708" spans="6:8">
      <c r="H26708" t="s">
        <v>28480</v>
      </c>
    </row>
    <row r="26709" spans="6:8">
      <c r="H26709" t="s">
        <v>28481</v>
      </c>
    </row>
    <row r="26710" spans="6:8">
      <c r="H26710" t="s">
        <v>28482</v>
      </c>
    </row>
    <row r="26711" spans="6:8">
      <c r="H26711" t="s">
        <v>28483</v>
      </c>
    </row>
    <row r="26712" spans="6:8">
      <c r="H26712" t="s">
        <v>28484</v>
      </c>
    </row>
    <row r="26713" spans="6:8">
      <c r="H26713" t="s">
        <v>28485</v>
      </c>
    </row>
    <row r="26714" spans="6:8">
      <c r="H26714" t="s">
        <v>28486</v>
      </c>
    </row>
    <row r="26715" spans="6:8">
      <c r="H26715" t="s">
        <v>28487</v>
      </c>
    </row>
    <row r="26716" spans="6:8">
      <c r="H26716" t="s">
        <v>28478</v>
      </c>
    </row>
    <row r="26717" spans="6:8">
      <c r="F26717" t="s">
        <v>13188</v>
      </c>
      <c r="G26717" t="s">
        <v>17332</v>
      </c>
      <c r="H26717" t="s">
        <v>28488</v>
      </c>
    </row>
    <row r="26718" spans="6:8">
      <c r="H26718" t="s">
        <v>28489</v>
      </c>
    </row>
    <row r="26719" spans="6:8">
      <c r="F26719" t="s">
        <v>13189</v>
      </c>
      <c r="G26719" t="s">
        <v>17333</v>
      </c>
      <c r="H26719" t="s">
        <v>28488</v>
      </c>
    </row>
    <row r="26720" spans="6:8">
      <c r="H26720" t="s">
        <v>28489</v>
      </c>
    </row>
    <row r="26721" spans="1:8">
      <c r="F26721" t="s">
        <v>13196</v>
      </c>
      <c r="G26721" t="s">
        <v>17339</v>
      </c>
      <c r="H26721" t="s">
        <v>18829</v>
      </c>
    </row>
    <row r="26722" spans="1:8">
      <c r="H26722" t="s">
        <v>28490</v>
      </c>
    </row>
    <row r="26723" spans="1:8">
      <c r="A26723" t="s">
        <v>1380</v>
      </c>
      <c r="B26723">
        <f>HYPERLINK("https://android.googlesource.com/platform/cts/+/41b239becd25e99b18617b59854674149633bdaa", "41b239becd25e99b18617b59854674149633bdaa")</f>
        <v>0</v>
      </c>
      <c r="C26723">
        <f>HYPERLINK("https://android.googlesource.com/platform/cts/+/a2246a6b80e191a3258903c5abfe46365b71d4e0", "a2246a6b80e191a3258903c5abfe46365b71d4e0")</f>
        <v>0</v>
      </c>
      <c r="D26723" t="s">
        <v>5026</v>
      </c>
      <c r="E26723" t="s">
        <v>7151</v>
      </c>
      <c r="F26723" t="s">
        <v>12616</v>
      </c>
      <c r="G26723" t="s">
        <v>16827</v>
      </c>
      <c r="H26723" t="s">
        <v>22135</v>
      </c>
    </row>
    <row r="26724" spans="1:8">
      <c r="H26724" t="s">
        <v>22135</v>
      </c>
    </row>
    <row r="26725" spans="1:8">
      <c r="A26725" t="s">
        <v>1381</v>
      </c>
      <c r="B26725">
        <f>HYPERLINK("https://android.googlesource.com/platform/cts/+/32908a51b1d83203d997ca2602e63060f6613c3b", "32908a51b1d83203d997ca2602e63060f6613c3b")</f>
        <v>0</v>
      </c>
      <c r="C26725">
        <f>HYPERLINK("https://android.googlesource.com/platform/cts/+/9e9010d06fe77db0c33a9ba504dc4d2bc94aa20d", "9e9010d06fe77db0c33a9ba504dc4d2bc94aa20d")</f>
        <v>0</v>
      </c>
      <c r="D26725" t="s">
        <v>5055</v>
      </c>
      <c r="E26725" t="s">
        <v>7152</v>
      </c>
      <c r="F26725" t="s">
        <v>12411</v>
      </c>
      <c r="G26725" t="s">
        <v>16633</v>
      </c>
      <c r="H26725" t="s">
        <v>28491</v>
      </c>
    </row>
    <row r="26726" spans="1:8">
      <c r="A26726" t="s">
        <v>1382</v>
      </c>
      <c r="B26726">
        <f>HYPERLINK("https://android.googlesource.com/platform/cts/+/6b3c15923fab701d06ef6a0eca198b06dd0f7288", "6b3c15923fab701d06ef6a0eca198b06dd0f7288")</f>
        <v>0</v>
      </c>
      <c r="C26726">
        <f>HYPERLINK("https://android.googlesource.com/platform/cts/+/0df066684bbee8c5e2091b3c068054619b768a42", "0df066684bbee8c5e2091b3c068054619b768a42")</f>
        <v>0</v>
      </c>
      <c r="D26726" t="s">
        <v>5118</v>
      </c>
      <c r="E26726" t="s">
        <v>7153</v>
      </c>
      <c r="F26726" t="s">
        <v>13197</v>
      </c>
      <c r="G26726" t="s">
        <v>17340</v>
      </c>
      <c r="H26726" t="s">
        <v>28492</v>
      </c>
    </row>
    <row r="26727" spans="1:8">
      <c r="A26727" t="s">
        <v>1383</v>
      </c>
      <c r="B26727">
        <f>HYPERLINK("https://android.googlesource.com/platform/cts/+/79803dcae5a19213aef99ead00a5d053ceab6cde", "79803dcae5a19213aef99ead00a5d053ceab6cde")</f>
        <v>0</v>
      </c>
      <c r="C26727">
        <f>HYPERLINK("https://android.googlesource.com/platform/cts/+/db97615ea76bbfb3f018245eef599c0d13a15e53", "db97615ea76bbfb3f018245eef599c0d13a15e53")</f>
        <v>0</v>
      </c>
      <c r="D26727" t="s">
        <v>5203</v>
      </c>
      <c r="E26727" t="s">
        <v>7154</v>
      </c>
      <c r="F26727" t="s">
        <v>13165</v>
      </c>
      <c r="G26727" t="s">
        <v>17315</v>
      </c>
      <c r="H26727" t="s">
        <v>28493</v>
      </c>
    </row>
    <row r="26728" spans="1:8">
      <c r="A26728" t="s">
        <v>1384</v>
      </c>
      <c r="B26728">
        <f>HYPERLINK("https://android.googlesource.com/platform/cts/+/5ad9feddf1244892f29eaf73ad32685f383ff579", "5ad9feddf1244892f29eaf73ad32685f383ff579")</f>
        <v>0</v>
      </c>
      <c r="C26728">
        <f>HYPERLINK("https://android.googlesource.com/platform/cts/+/109ad258780a542117825a3b5236d7339b4f5e2a", "109ad258780a542117825a3b5236d7339b4f5e2a")</f>
        <v>0</v>
      </c>
      <c r="D26728" t="s">
        <v>5204</v>
      </c>
      <c r="E26728" t="s">
        <v>7155</v>
      </c>
      <c r="F26728" t="s">
        <v>12904</v>
      </c>
      <c r="G26728" t="s">
        <v>17070</v>
      </c>
      <c r="H26728" t="s">
        <v>28494</v>
      </c>
    </row>
    <row r="26729" spans="1:8">
      <c r="H26729" t="s">
        <v>28495</v>
      </c>
    </row>
    <row r="26730" spans="1:8">
      <c r="A26730" t="s">
        <v>1385</v>
      </c>
      <c r="B26730">
        <f>HYPERLINK("https://android.googlesource.com/platform/cts/+/8832678e057cd9fed36eed89ba5316b949c8b922", "8832678e057cd9fed36eed89ba5316b949c8b922")</f>
        <v>0</v>
      </c>
      <c r="C26730">
        <f>HYPERLINK("https://android.googlesource.com/platform/cts/+/23fd68a7e7dcaafd8319dd178fbecff690567e59", "23fd68a7e7dcaafd8319dd178fbecff690567e59")</f>
        <v>0</v>
      </c>
      <c r="D26730" t="s">
        <v>5062</v>
      </c>
      <c r="E26730" t="s">
        <v>7156</v>
      </c>
      <c r="F26730" t="s">
        <v>13198</v>
      </c>
      <c r="G26730" t="s">
        <v>16941</v>
      </c>
      <c r="H26730" t="s">
        <v>18863</v>
      </c>
    </row>
    <row r="26731" spans="1:8">
      <c r="H26731" t="s">
        <v>26770</v>
      </c>
    </row>
    <row r="26732" spans="1:8">
      <c r="H26732" t="s">
        <v>26771</v>
      </c>
    </row>
    <row r="26733" spans="1:8">
      <c r="F26733" t="s">
        <v>13199</v>
      </c>
      <c r="G26733" t="s">
        <v>17341</v>
      </c>
      <c r="H26733" t="s">
        <v>28496</v>
      </c>
    </row>
    <row r="26734" spans="1:8">
      <c r="A26734" t="s">
        <v>1386</v>
      </c>
      <c r="B26734">
        <f>HYPERLINK("https://android.googlesource.com/platform/cts/+/010c93a1abdd4cd50bdacacb9a5a44047e5f7a7f", "010c93a1abdd4cd50bdacacb9a5a44047e5f7a7f")</f>
        <v>0</v>
      </c>
      <c r="C26734">
        <f>HYPERLINK("https://android.googlesource.com/platform/cts/+/23fd68a7e7dcaafd8319dd178fbecff690567e59", "23fd68a7e7dcaafd8319dd178fbecff690567e59")</f>
        <v>0</v>
      </c>
      <c r="D26734" t="s">
        <v>5062</v>
      </c>
      <c r="E26734" t="s">
        <v>7157</v>
      </c>
      <c r="F26734" t="s">
        <v>13200</v>
      </c>
      <c r="G26734" t="s">
        <v>17342</v>
      </c>
      <c r="H26734" t="s">
        <v>28497</v>
      </c>
    </row>
    <row r="26735" spans="1:8">
      <c r="F26735" t="s">
        <v>13201</v>
      </c>
      <c r="G26735" t="s">
        <v>17343</v>
      </c>
      <c r="H26735" t="s">
        <v>28498</v>
      </c>
    </row>
    <row r="26736" spans="1:8">
      <c r="A26736" t="s">
        <v>1387</v>
      </c>
      <c r="B26736">
        <f>HYPERLINK("https://android.googlesource.com/platform/cts/+/54cc0079519ffc8ff26c2b710d9f14efccf706c3", "54cc0079519ffc8ff26c2b710d9f14efccf706c3")</f>
        <v>0</v>
      </c>
      <c r="C26736">
        <f>HYPERLINK("https://android.googlesource.com/platform/cts/+/82059a74d4832ae95fd4f0c72adad2a5d56b0e15", "82059a74d4832ae95fd4f0c72adad2a5d56b0e15")</f>
        <v>0</v>
      </c>
      <c r="D26736" t="s">
        <v>5127</v>
      </c>
      <c r="E26736" t="s">
        <v>7158</v>
      </c>
      <c r="F26736" t="s">
        <v>13173</v>
      </c>
      <c r="G26736" t="s">
        <v>17321</v>
      </c>
      <c r="H26736" t="s">
        <v>28428</v>
      </c>
    </row>
    <row r="26737" spans="1:8">
      <c r="A26737" t="s">
        <v>1388</v>
      </c>
      <c r="B26737">
        <f>HYPERLINK("https://android.googlesource.com/platform/cts/+/d4904876d7075fe752f3f03b31ec541f516e36f2", "d4904876d7075fe752f3f03b31ec541f516e36f2")</f>
        <v>0</v>
      </c>
      <c r="C26737">
        <f>HYPERLINK("https://android.googlesource.com/platform/cts/+/a7f8f18ea4043c8a2b43de11ea6f44028d9c150c", "a7f8f18ea4043c8a2b43de11ea6f44028d9c150c")</f>
        <v>0</v>
      </c>
      <c r="D26737" t="s">
        <v>5094</v>
      </c>
      <c r="E26737" t="s">
        <v>7159</v>
      </c>
      <c r="F26737" t="s">
        <v>13202</v>
      </c>
      <c r="G26737" t="s">
        <v>17344</v>
      </c>
      <c r="H26737" t="s">
        <v>28499</v>
      </c>
    </row>
    <row r="26738" spans="1:8">
      <c r="H26738" t="s">
        <v>18893</v>
      </c>
    </row>
    <row r="26739" spans="1:8">
      <c r="H26739" t="s">
        <v>28500</v>
      </c>
    </row>
    <row r="26740" spans="1:8">
      <c r="H26740" t="s">
        <v>28501</v>
      </c>
    </row>
    <row r="26741" spans="1:8">
      <c r="H26741" t="s">
        <v>28502</v>
      </c>
    </row>
    <row r="26742" spans="1:8">
      <c r="H26742" t="s">
        <v>28503</v>
      </c>
    </row>
    <row r="26743" spans="1:8">
      <c r="H26743" t="s">
        <v>28504</v>
      </c>
    </row>
    <row r="26744" spans="1:8">
      <c r="H26744" t="s">
        <v>28505</v>
      </c>
    </row>
    <row r="26745" spans="1:8">
      <c r="H26745" t="s">
        <v>28506</v>
      </c>
    </row>
    <row r="26746" spans="1:8">
      <c r="H26746" t="s">
        <v>28506</v>
      </c>
    </row>
    <row r="26747" spans="1:8">
      <c r="H26747" t="s">
        <v>28507</v>
      </c>
    </row>
    <row r="26748" spans="1:8">
      <c r="H26748" t="s">
        <v>28507</v>
      </c>
    </row>
    <row r="26749" spans="1:8">
      <c r="H26749" t="s">
        <v>28508</v>
      </c>
    </row>
    <row r="26750" spans="1:8">
      <c r="H26750" t="s">
        <v>28508</v>
      </c>
    </row>
    <row r="26751" spans="1:8">
      <c r="H26751" t="s">
        <v>28509</v>
      </c>
    </row>
    <row r="26752" spans="1:8">
      <c r="H26752" t="s">
        <v>28509</v>
      </c>
    </row>
    <row r="26753" spans="1:8">
      <c r="H26753" t="s">
        <v>26872</v>
      </c>
    </row>
    <row r="26754" spans="1:8">
      <c r="H26754" t="s">
        <v>28510</v>
      </c>
    </row>
    <row r="26755" spans="1:8">
      <c r="H26755" t="s">
        <v>28511</v>
      </c>
    </row>
    <row r="26756" spans="1:8">
      <c r="H26756" t="s">
        <v>28512</v>
      </c>
    </row>
    <row r="26757" spans="1:8">
      <c r="H26757" t="s">
        <v>28513</v>
      </c>
    </row>
    <row r="26758" spans="1:8">
      <c r="H26758" t="s">
        <v>28514</v>
      </c>
    </row>
    <row r="26759" spans="1:8">
      <c r="H26759" t="s">
        <v>28515</v>
      </c>
    </row>
    <row r="26760" spans="1:8">
      <c r="H26760" t="s">
        <v>28516</v>
      </c>
    </row>
    <row r="26761" spans="1:8">
      <c r="A26761" t="s">
        <v>1389</v>
      </c>
      <c r="B26761">
        <f>HYPERLINK("https://android.googlesource.com/platform/cts/+/2f7fdffbfe64117bfd637a89b7855fcd90760d71", "2f7fdffbfe64117bfd637a89b7855fcd90760d71")</f>
        <v>0</v>
      </c>
      <c r="C26761">
        <f>HYPERLINK("https://android.googlesource.com/platform/cts/+/8317906b3dd1fde437d44c320facab49c0193205", "8317906b3dd1fde437d44c320facab49c0193205")</f>
        <v>0</v>
      </c>
      <c r="D26761" t="s">
        <v>5153</v>
      </c>
      <c r="E26761" t="s">
        <v>7160</v>
      </c>
      <c r="F26761" t="s">
        <v>13203</v>
      </c>
      <c r="G26761" t="s">
        <v>17345</v>
      </c>
      <c r="H26761" t="s">
        <v>28517</v>
      </c>
    </row>
    <row r="26762" spans="1:8">
      <c r="A26762" t="s">
        <v>1390</v>
      </c>
      <c r="B26762">
        <f>HYPERLINK("https://android.googlesource.com/platform/cts/+/069b4a9d9beacb7ae994d97ef44b696917822d21", "069b4a9d9beacb7ae994d97ef44b696917822d21")</f>
        <v>0</v>
      </c>
      <c r="C26762">
        <f>HYPERLINK("https://android.googlesource.com/platform/cts/+/e17b591ff58af048c7eaf3e4b7c0b5791cc7e970", "e17b591ff58af048c7eaf3e4b7c0b5791cc7e970")</f>
        <v>0</v>
      </c>
      <c r="D26762" t="s">
        <v>5176</v>
      </c>
      <c r="E26762" t="s">
        <v>7161</v>
      </c>
      <c r="F26762" t="s">
        <v>10794</v>
      </c>
      <c r="G26762" t="s">
        <v>15189</v>
      </c>
      <c r="H26762" t="s">
        <v>28518</v>
      </c>
    </row>
    <row r="26763" spans="1:8">
      <c r="H26763" t="s">
        <v>28519</v>
      </c>
    </row>
    <row r="26764" spans="1:8">
      <c r="H26764" t="s">
        <v>28520</v>
      </c>
    </row>
    <row r="26765" spans="1:8">
      <c r="H26765" t="s">
        <v>28521</v>
      </c>
    </row>
    <row r="26766" spans="1:8">
      <c r="A26766" t="s">
        <v>1391</v>
      </c>
      <c r="B26766">
        <f>HYPERLINK("https://android.googlesource.com/platform/cts/+/9e010b3f5e169bf42e1f084d404550fe33e961b1", "9e010b3f5e169bf42e1f084d404550fe33e961b1")</f>
        <v>0</v>
      </c>
      <c r="C26766">
        <f>HYPERLINK("https://android.googlesource.com/platform/cts/+/53e6f9c2d34943146bb500a335c7274a47019b89", "53e6f9c2d34943146bb500a335c7274a47019b89")</f>
        <v>0</v>
      </c>
      <c r="D26766" t="s">
        <v>5046</v>
      </c>
      <c r="E26766" t="s">
        <v>7162</v>
      </c>
      <c r="F26766" t="s">
        <v>12839</v>
      </c>
      <c r="G26766" t="s">
        <v>17014</v>
      </c>
      <c r="H26766" t="s">
        <v>28522</v>
      </c>
    </row>
    <row r="26767" spans="1:8">
      <c r="A26767" t="s">
        <v>1392</v>
      </c>
      <c r="B26767">
        <f>HYPERLINK("https://android.googlesource.com/platform/cts/+/c0777e14d4db6d94a1291f8f4d508beaee2348e3", "c0777e14d4db6d94a1291f8f4d508beaee2348e3")</f>
        <v>0</v>
      </c>
      <c r="C26767">
        <f>HYPERLINK("https://android.googlesource.com/platform/cts/+/2c8c74e3a4d6847b40f40793fe056aad929074a9", "2c8c74e3a4d6847b40f40793fe056aad929074a9")</f>
        <v>0</v>
      </c>
      <c r="D26767" t="s">
        <v>5191</v>
      </c>
      <c r="E26767" t="s">
        <v>7163</v>
      </c>
      <c r="F26767" t="s">
        <v>13167</v>
      </c>
      <c r="G26767" t="s">
        <v>16845</v>
      </c>
      <c r="H26767" t="s">
        <v>28523</v>
      </c>
    </row>
    <row r="26768" spans="1:8">
      <c r="H26768" t="s">
        <v>28524</v>
      </c>
    </row>
    <row r="26769" spans="1:8">
      <c r="A26769" t="s">
        <v>1393</v>
      </c>
      <c r="B26769">
        <f>HYPERLINK("https://android.googlesource.com/platform/cts/+/7f49961ff3ebd884353b528290b1ebd192d61ab5", "7f49961ff3ebd884353b528290b1ebd192d61ab5")</f>
        <v>0</v>
      </c>
      <c r="C26769">
        <f>HYPERLINK("https://android.googlesource.com/platform/cts/+/8750913a420bf12d3c294b0c2699c120419f9b40", "8750913a420bf12d3c294b0c2699c120419f9b40")</f>
        <v>0</v>
      </c>
      <c r="D26769" t="s">
        <v>5062</v>
      </c>
      <c r="E26769" t="s">
        <v>7164</v>
      </c>
      <c r="F26769" t="s">
        <v>12419</v>
      </c>
      <c r="G26769" t="s">
        <v>16641</v>
      </c>
      <c r="H26769" t="s">
        <v>28525</v>
      </c>
    </row>
    <row r="26770" spans="1:8">
      <c r="A26770" t="s">
        <v>1394</v>
      </c>
      <c r="B26770">
        <f>HYPERLINK("https://android.googlesource.com/platform/cts/+/19f8cfa39892e468831d0998954cfdd5a1a8dfa4", "19f8cfa39892e468831d0998954cfdd5a1a8dfa4")</f>
        <v>0</v>
      </c>
      <c r="C26770">
        <f>HYPERLINK("https://android.googlesource.com/platform/cts/+/d57bb4d0ec59016f842c19e8b8483799f97a1ff2", "d57bb4d0ec59016f842c19e8b8483799f97a1ff2")</f>
        <v>0</v>
      </c>
      <c r="D26770" t="s">
        <v>5085</v>
      </c>
      <c r="E26770" t="s">
        <v>7165</v>
      </c>
      <c r="F26770" t="s">
        <v>13204</v>
      </c>
      <c r="G26770" t="s">
        <v>17346</v>
      </c>
      <c r="H26770" t="s">
        <v>28526</v>
      </c>
    </row>
    <row r="26771" spans="1:8">
      <c r="H26771" t="s">
        <v>28527</v>
      </c>
    </row>
    <row r="26772" spans="1:8">
      <c r="A26772" t="s">
        <v>1395</v>
      </c>
      <c r="B26772">
        <f>HYPERLINK("https://android.googlesource.com/platform/cts/+/1b1d20bf1c1240bb2276887af3e1c162f25292cf", "1b1d20bf1c1240bb2276887af3e1c162f25292cf")</f>
        <v>0</v>
      </c>
      <c r="C26772">
        <f>HYPERLINK("https://android.googlesource.com/platform/cts/+/5b8daaa19d4fe6dd69ff414989a301ed94198d57", "5b8daaa19d4fe6dd69ff414989a301ed94198d57")</f>
        <v>0</v>
      </c>
      <c r="D26772" t="s">
        <v>5205</v>
      </c>
      <c r="E26772" t="s">
        <v>7166</v>
      </c>
      <c r="F26772" t="s">
        <v>12839</v>
      </c>
      <c r="G26772" t="s">
        <v>17014</v>
      </c>
      <c r="H26772" t="s">
        <v>28522</v>
      </c>
    </row>
    <row r="26773" spans="1:8">
      <c r="A26773" t="s">
        <v>1396</v>
      </c>
      <c r="B26773">
        <f>HYPERLINK("https://android.googlesource.com/platform/cts/+/a87a656a10ce2430c7aed66d876fd365cff3405f", "a87a656a10ce2430c7aed66d876fd365cff3405f")</f>
        <v>0</v>
      </c>
      <c r="C26773">
        <f>HYPERLINK("https://android.googlesource.com/platform/cts/+/9c5780640ab32bc81130583d28189dd21b6e9c2a", "9c5780640ab32bc81130583d28189dd21b6e9c2a")</f>
        <v>0</v>
      </c>
      <c r="D26773" t="s">
        <v>5044</v>
      </c>
      <c r="E26773" t="s">
        <v>7167</v>
      </c>
      <c r="F26773" t="s">
        <v>13205</v>
      </c>
      <c r="G26773" t="s">
        <v>17347</v>
      </c>
      <c r="H26773" t="s">
        <v>28528</v>
      </c>
    </row>
    <row r="26774" spans="1:8">
      <c r="F26774" t="s">
        <v>13206</v>
      </c>
      <c r="G26774" t="s">
        <v>17348</v>
      </c>
      <c r="H26774" t="s">
        <v>28529</v>
      </c>
    </row>
    <row r="26775" spans="1:8">
      <c r="H26775" t="s">
        <v>28530</v>
      </c>
    </row>
    <row r="26776" spans="1:8">
      <c r="H26776" t="s">
        <v>28531</v>
      </c>
    </row>
    <row r="26777" spans="1:8">
      <c r="F26777" t="s">
        <v>12872</v>
      </c>
      <c r="G26777" t="s">
        <v>17040</v>
      </c>
      <c r="H26777" t="s">
        <v>18829</v>
      </c>
    </row>
    <row r="26778" spans="1:8">
      <c r="H26778" t="s">
        <v>28532</v>
      </c>
    </row>
    <row r="26779" spans="1:8">
      <c r="F26779" t="s">
        <v>13162</v>
      </c>
      <c r="G26779" t="s">
        <v>16987</v>
      </c>
      <c r="H26779" t="s">
        <v>28533</v>
      </c>
    </row>
    <row r="26780" spans="1:8">
      <c r="H26780" t="s">
        <v>28534</v>
      </c>
    </row>
    <row r="26781" spans="1:8">
      <c r="H26781" t="s">
        <v>28535</v>
      </c>
    </row>
    <row r="26782" spans="1:8">
      <c r="A26782" t="s">
        <v>1397</v>
      </c>
      <c r="B26782">
        <f>HYPERLINK("https://android.googlesource.com/platform/cts/+/8b9f2a468aa8fc6c542256066c400ffd3a2fd48f", "8b9f2a468aa8fc6c542256066c400ffd3a2fd48f")</f>
        <v>0</v>
      </c>
      <c r="C26782">
        <f>HYPERLINK("https://android.googlesource.com/platform/cts/+/48eb162532cb33875f1a8d761a22e704790714f2", "48eb162532cb33875f1a8d761a22e704790714f2")</f>
        <v>0</v>
      </c>
      <c r="D26782" t="s">
        <v>5206</v>
      </c>
      <c r="E26782" t="s">
        <v>7168</v>
      </c>
      <c r="F26782" t="s">
        <v>13207</v>
      </c>
      <c r="G26782" t="s">
        <v>17349</v>
      </c>
      <c r="H26782" t="s">
        <v>25497</v>
      </c>
    </row>
    <row r="26783" spans="1:8">
      <c r="H26783" t="s">
        <v>20244</v>
      </c>
    </row>
    <row r="26784" spans="1:8">
      <c r="H26784" t="s">
        <v>18829</v>
      </c>
    </row>
    <row r="26785" spans="1:8">
      <c r="H26785" t="s">
        <v>18863</v>
      </c>
    </row>
    <row r="26786" spans="1:8">
      <c r="H26786" t="s">
        <v>28536</v>
      </c>
    </row>
    <row r="26787" spans="1:8">
      <c r="H26787" t="s">
        <v>28537</v>
      </c>
    </row>
    <row r="26788" spans="1:8">
      <c r="H26788" t="s">
        <v>28538</v>
      </c>
    </row>
    <row r="26789" spans="1:8">
      <c r="H26789" t="s">
        <v>22590</v>
      </c>
    </row>
    <row r="26790" spans="1:8">
      <c r="H26790" t="s">
        <v>22586</v>
      </c>
    </row>
    <row r="26791" spans="1:8">
      <c r="F26791" t="s">
        <v>13208</v>
      </c>
      <c r="G26791" t="s">
        <v>17334</v>
      </c>
      <c r="H26791" t="s">
        <v>18829</v>
      </c>
    </row>
    <row r="26792" spans="1:8">
      <c r="H26792" t="s">
        <v>21323</v>
      </c>
    </row>
    <row r="26793" spans="1:8">
      <c r="H26793" t="s">
        <v>18863</v>
      </c>
    </row>
    <row r="26794" spans="1:8">
      <c r="H26794" t="s">
        <v>28536</v>
      </c>
    </row>
    <row r="26795" spans="1:8">
      <c r="H26795" t="s">
        <v>28539</v>
      </c>
    </row>
    <row r="26796" spans="1:8">
      <c r="H26796" t="s">
        <v>28540</v>
      </c>
    </row>
    <row r="26797" spans="1:8">
      <c r="H26797" t="s">
        <v>28541</v>
      </c>
    </row>
    <row r="26798" spans="1:8">
      <c r="A26798" t="s">
        <v>1398</v>
      </c>
      <c r="B26798">
        <f>HYPERLINK("https://android.googlesource.com/platform/cts/+/e1aa3a8e09033c038e97d01a5446fe5797de4f4d", "e1aa3a8e09033c038e97d01a5446fe5797de4f4d")</f>
        <v>0</v>
      </c>
      <c r="C26798">
        <f>HYPERLINK("https://android.googlesource.com/platform/cts/+/ef3a1674d60f678eb7c0a7b646983acb585318c7", "ef3a1674d60f678eb7c0a7b646983acb585318c7")</f>
        <v>0</v>
      </c>
      <c r="D26798" t="s">
        <v>5062</v>
      </c>
      <c r="E26798" t="s">
        <v>7169</v>
      </c>
      <c r="F26798" t="s">
        <v>12762</v>
      </c>
      <c r="G26798" t="s">
        <v>16953</v>
      </c>
      <c r="H26798" t="s">
        <v>28542</v>
      </c>
    </row>
    <row r="26799" spans="1:8">
      <c r="F26799" t="s">
        <v>12743</v>
      </c>
      <c r="G26799" t="s">
        <v>16935</v>
      </c>
      <c r="H26799" t="s">
        <v>28543</v>
      </c>
    </row>
    <row r="26800" spans="1:8">
      <c r="H26800" t="s">
        <v>28544</v>
      </c>
    </row>
    <row r="26801" spans="1:8">
      <c r="F26801" t="s">
        <v>12419</v>
      </c>
      <c r="G26801" t="s">
        <v>16641</v>
      </c>
      <c r="H26801" t="s">
        <v>28543</v>
      </c>
    </row>
    <row r="26802" spans="1:8">
      <c r="A26802" t="s">
        <v>1399</v>
      </c>
      <c r="B26802">
        <f>HYPERLINK("https://android.googlesource.com/platform/cts/+/a054863718d13d5b03ed933442299f81ed6f9ca8", "a054863718d13d5b03ed933442299f81ed6f9ca8")</f>
        <v>0</v>
      </c>
      <c r="C26802">
        <f>HYPERLINK("https://android.googlesource.com/platform/cts/+/80ff846105064d3b28d9af7080194663cb678d12", "80ff846105064d3b28d9af7080194663cb678d12")</f>
        <v>0</v>
      </c>
      <c r="D26802" t="s">
        <v>5126</v>
      </c>
      <c r="E26802" t="s">
        <v>7170</v>
      </c>
      <c r="F26802" t="s">
        <v>13209</v>
      </c>
      <c r="G26802" t="s">
        <v>17350</v>
      </c>
      <c r="H26802" t="s">
        <v>28545</v>
      </c>
    </row>
    <row r="26803" spans="1:8">
      <c r="A26803" t="s">
        <v>1400</v>
      </c>
      <c r="B26803">
        <f>HYPERLINK("https://android.googlesource.com/platform/cts/+/d52ec60d388f560db1eca69e849dbeeccc5d9025", "d52ec60d388f560db1eca69e849dbeeccc5d9025")</f>
        <v>0</v>
      </c>
      <c r="C26803">
        <f>HYPERLINK("https://android.googlesource.com/platform/cts/+/4a41ad004e4843a0216fb9881e4d6ff5d5221bf8", "4a41ad004e4843a0216fb9881e4d6ff5d5221bf8")</f>
        <v>0</v>
      </c>
      <c r="D26803" t="s">
        <v>5115</v>
      </c>
      <c r="E26803" t="s">
        <v>7171</v>
      </c>
      <c r="F26803" t="s">
        <v>13178</v>
      </c>
      <c r="G26803" t="s">
        <v>17322</v>
      </c>
      <c r="H26803" t="s">
        <v>26112</v>
      </c>
    </row>
    <row r="26804" spans="1:8">
      <c r="H26804" t="s">
        <v>26113</v>
      </c>
    </row>
    <row r="26805" spans="1:8">
      <c r="A26805" t="s">
        <v>1401</v>
      </c>
      <c r="B26805">
        <f>HYPERLINK("https://android.googlesource.com/platform/cts/+/9e50016a271f806f7d09d673496f137d59090864", "9e50016a271f806f7d09d673496f137d59090864")</f>
        <v>0</v>
      </c>
      <c r="C26805">
        <f>HYPERLINK("https://android.googlesource.com/platform/cts/+/2e6f9b1133ed9930957fa285d008e4d6927ced51", "2e6f9b1133ed9930957fa285d008e4d6927ced51")</f>
        <v>0</v>
      </c>
      <c r="D26805" t="s">
        <v>5132</v>
      </c>
      <c r="E26805" t="s">
        <v>7172</v>
      </c>
      <c r="F26805" t="s">
        <v>10597</v>
      </c>
      <c r="G26805" t="s">
        <v>15000</v>
      </c>
      <c r="H26805" t="s">
        <v>28546</v>
      </c>
    </row>
    <row r="26806" spans="1:8">
      <c r="F26806" t="s">
        <v>10794</v>
      </c>
      <c r="G26806" t="s">
        <v>15189</v>
      </c>
      <c r="H26806" t="s">
        <v>28546</v>
      </c>
    </row>
    <row r="26807" spans="1:8">
      <c r="A26807" t="s">
        <v>1402</v>
      </c>
      <c r="B26807">
        <f>HYPERLINK("https://android.googlesource.com/platform/cts/+/d12d750d113d0f45ccf62dd650088c50fd0c485f", "d12d750d113d0f45ccf62dd650088c50fd0c485f")</f>
        <v>0</v>
      </c>
      <c r="C26807">
        <f>HYPERLINK("https://android.googlesource.com/platform/cts/+/195f82c0567070b421b91d1430e20cb83250d90f", "195f82c0567070b421b91d1430e20cb83250d90f")</f>
        <v>0</v>
      </c>
      <c r="D26807" t="s">
        <v>5207</v>
      </c>
      <c r="E26807" t="s">
        <v>7173</v>
      </c>
      <c r="F26807" t="s">
        <v>12345</v>
      </c>
      <c r="G26807" t="s">
        <v>16573</v>
      </c>
      <c r="H26807" t="s">
        <v>28547</v>
      </c>
    </row>
    <row r="26808" spans="1:8">
      <c r="H26808" t="s">
        <v>22263</v>
      </c>
    </row>
    <row r="26809" spans="1:8">
      <c r="H26809" t="s">
        <v>22267</v>
      </c>
    </row>
    <row r="26810" spans="1:8">
      <c r="H26810" t="s">
        <v>22268</v>
      </c>
    </row>
    <row r="26811" spans="1:8">
      <c r="F26811" t="s">
        <v>13210</v>
      </c>
      <c r="G26811" t="s">
        <v>17351</v>
      </c>
      <c r="H26811" t="s">
        <v>21360</v>
      </c>
    </row>
    <row r="26812" spans="1:8">
      <c r="A26812" t="s">
        <v>1403</v>
      </c>
      <c r="B26812">
        <f>HYPERLINK("https://android.googlesource.com/platform/cts/+/d61f52ec3dc8955173c897aebde485e26ba490f4", "d61f52ec3dc8955173c897aebde485e26ba490f4")</f>
        <v>0</v>
      </c>
      <c r="C26812">
        <f>HYPERLINK("https://android.googlesource.com/platform/cts/+/80ff846105064d3b28d9af7080194663cb678d12", "80ff846105064d3b28d9af7080194663cb678d12")</f>
        <v>0</v>
      </c>
      <c r="D26812" t="s">
        <v>5085</v>
      </c>
      <c r="E26812" t="s">
        <v>7174</v>
      </c>
      <c r="F26812" t="s">
        <v>13211</v>
      </c>
      <c r="G26812" t="s">
        <v>17352</v>
      </c>
      <c r="H26812" t="s">
        <v>28548</v>
      </c>
    </row>
    <row r="26813" spans="1:8">
      <c r="A26813" t="s">
        <v>1404</v>
      </c>
      <c r="B26813">
        <f>HYPERLINK("https://android.googlesource.com/platform/cts/+/e8dfea147452ea19fc8c0b8968241569baba3d65", "e8dfea147452ea19fc8c0b8968241569baba3d65")</f>
        <v>0</v>
      </c>
      <c r="C26813">
        <f>HYPERLINK("https://android.googlesource.com/platform/cts/+/43bc783fbd3790b99e5a60b67b44204aecaa35e8", "43bc783fbd3790b99e5a60b67b44204aecaa35e8")</f>
        <v>0</v>
      </c>
      <c r="D26813" t="s">
        <v>5208</v>
      </c>
      <c r="E26813" t="s">
        <v>7175</v>
      </c>
      <c r="F26813" t="s">
        <v>13212</v>
      </c>
      <c r="G26813" t="s">
        <v>17353</v>
      </c>
      <c r="H26813" t="s">
        <v>18836</v>
      </c>
    </row>
    <row r="26814" spans="1:8">
      <c r="H26814" t="s">
        <v>28549</v>
      </c>
    </row>
    <row r="26815" spans="1:8">
      <c r="H26815" t="s">
        <v>28550</v>
      </c>
    </row>
    <row r="26816" spans="1:8">
      <c r="H26816" t="s">
        <v>28551</v>
      </c>
    </row>
    <row r="26817" spans="1:8">
      <c r="H26817" t="s">
        <v>28552</v>
      </c>
    </row>
    <row r="26818" spans="1:8">
      <c r="H26818" t="s">
        <v>28553</v>
      </c>
    </row>
    <row r="26819" spans="1:8">
      <c r="A26819" t="s">
        <v>1405</v>
      </c>
      <c r="B26819">
        <f>HYPERLINK("https://android.googlesource.com/platform/cts/+/110a80b8b189741885e285d92e84f8810643e411", "110a80b8b189741885e285d92e84f8810643e411")</f>
        <v>0</v>
      </c>
      <c r="C26819">
        <f>HYPERLINK("https://android.googlesource.com/platform/cts/+/81ef9b5be48b0d28318a1f702a823a6a9aae41f5", "81ef9b5be48b0d28318a1f702a823a6a9aae41f5")</f>
        <v>0</v>
      </c>
      <c r="D26819" t="s">
        <v>5209</v>
      </c>
      <c r="E26819" t="s">
        <v>7176</v>
      </c>
      <c r="F26819" t="s">
        <v>13021</v>
      </c>
      <c r="G26819" t="s">
        <v>17185</v>
      </c>
      <c r="H26819" t="s">
        <v>28554</v>
      </c>
    </row>
    <row r="26820" spans="1:8">
      <c r="H26820" t="s">
        <v>28555</v>
      </c>
    </row>
    <row r="26821" spans="1:8">
      <c r="H26821" t="s">
        <v>28556</v>
      </c>
    </row>
    <row r="26822" spans="1:8">
      <c r="F26822" t="s">
        <v>10740</v>
      </c>
      <c r="G26822" t="s">
        <v>15139</v>
      </c>
      <c r="H26822" t="s">
        <v>28557</v>
      </c>
    </row>
    <row r="26823" spans="1:8">
      <c r="H26823" t="s">
        <v>28558</v>
      </c>
    </row>
    <row r="26824" spans="1:8">
      <c r="H26824" t="s">
        <v>28559</v>
      </c>
    </row>
    <row r="26825" spans="1:8">
      <c r="H26825" t="s">
        <v>28560</v>
      </c>
    </row>
    <row r="26826" spans="1:8">
      <c r="F26826" t="s">
        <v>10699</v>
      </c>
      <c r="G26826" t="s">
        <v>15099</v>
      </c>
      <c r="H26826" t="s">
        <v>28557</v>
      </c>
    </row>
    <row r="26827" spans="1:8">
      <c r="H26827" t="s">
        <v>28561</v>
      </c>
    </row>
    <row r="26828" spans="1:8">
      <c r="A26828" t="s">
        <v>1406</v>
      </c>
      <c r="B26828">
        <f>HYPERLINK("https://android.googlesource.com/platform/cts/+/a51ea3fde0e8f9408119b6e96135a4662b616620", "a51ea3fde0e8f9408119b6e96135a4662b616620")</f>
        <v>0</v>
      </c>
      <c r="C26828">
        <f>HYPERLINK("https://android.googlesource.com/platform/cts/+/d7ec7cf06ef0698caafd2442908c585d98ef7b5f", "d7ec7cf06ef0698caafd2442908c585d98ef7b5f")</f>
        <v>0</v>
      </c>
      <c r="D26828" t="s">
        <v>5115</v>
      </c>
      <c r="E26828" t="s">
        <v>7171</v>
      </c>
      <c r="F26828" t="s">
        <v>13178</v>
      </c>
      <c r="G26828" t="s">
        <v>17322</v>
      </c>
      <c r="H26828" t="s">
        <v>26112</v>
      </c>
    </row>
    <row r="26829" spans="1:8">
      <c r="H26829" t="s">
        <v>26113</v>
      </c>
    </row>
    <row r="26830" spans="1:8">
      <c r="A26830" t="s">
        <v>1407</v>
      </c>
      <c r="B26830">
        <f>HYPERLINK("https://android.googlesource.com/platform/cts/+/639ea8ac68c171f3edc1fdd5938bf122da89cf5a", "639ea8ac68c171f3edc1fdd5938bf122da89cf5a")</f>
        <v>0</v>
      </c>
      <c r="C26830">
        <f>HYPERLINK("https://android.googlesource.com/platform/cts/+/d61f52ec3dc8955173c897aebde485e26ba490f4", "d61f52ec3dc8955173c897aebde485e26ba490f4")</f>
        <v>0</v>
      </c>
      <c r="D26830" t="s">
        <v>5085</v>
      </c>
      <c r="E26830" t="s">
        <v>7177</v>
      </c>
      <c r="F26830" t="s">
        <v>13211</v>
      </c>
      <c r="G26830" t="s">
        <v>17352</v>
      </c>
      <c r="H26830" t="s">
        <v>28562</v>
      </c>
    </row>
    <row r="26831" spans="1:8">
      <c r="H26831" t="s">
        <v>28563</v>
      </c>
    </row>
    <row r="26832" spans="1:8">
      <c r="A26832" t="s">
        <v>1408</v>
      </c>
      <c r="B26832">
        <f>HYPERLINK("https://android.googlesource.com/platform/cts/+/97d96b629ad082e753c496f5b16eea813a7bdd9e", "97d96b629ad082e753c496f5b16eea813a7bdd9e")</f>
        <v>0</v>
      </c>
      <c r="C26832">
        <f>HYPERLINK("https://android.googlesource.com/platform/cts/+/2b7cdd1bd51bc189fab016e81f1ec7befef273a5", "2b7cdd1bd51bc189fab016e81f1ec7befef273a5")</f>
        <v>0</v>
      </c>
      <c r="D26832" t="s">
        <v>5210</v>
      </c>
      <c r="E26832" t="s">
        <v>7178</v>
      </c>
      <c r="F26832" t="s">
        <v>13213</v>
      </c>
      <c r="G26832" t="s">
        <v>17354</v>
      </c>
      <c r="H26832" t="s">
        <v>28564</v>
      </c>
    </row>
    <row r="26833" spans="1:8">
      <c r="A26833" t="s">
        <v>1409</v>
      </c>
      <c r="B26833">
        <f>HYPERLINK("https://android.googlesource.com/platform/cts/+/a2174d0fb6f2eb0839d09b7f1b5228170754c02f", "a2174d0fb6f2eb0839d09b7f1b5228170754c02f")</f>
        <v>0</v>
      </c>
      <c r="C26833">
        <f>HYPERLINK("https://android.googlesource.com/platform/cts/+/afc5dc839aa74367500ad29768b3b78805f1f1f0", "afc5dc839aa74367500ad29768b3b78805f1f1f0")</f>
        <v>0</v>
      </c>
      <c r="D26833" t="s">
        <v>5029</v>
      </c>
      <c r="E26833" t="s">
        <v>7179</v>
      </c>
      <c r="F26833" t="s">
        <v>10675</v>
      </c>
      <c r="G26833" t="s">
        <v>15075</v>
      </c>
      <c r="H26833" t="s">
        <v>28421</v>
      </c>
    </row>
    <row r="26834" spans="1:8">
      <c r="A26834" t="s">
        <v>1410</v>
      </c>
      <c r="B26834">
        <f>HYPERLINK("https://android.googlesource.com/platform/cts/+/d6e53944e560f77d785f239349530c1906587054", "d6e53944e560f77d785f239349530c1906587054")</f>
        <v>0</v>
      </c>
      <c r="C26834">
        <f>HYPERLINK("https://android.googlesource.com/platform/cts/+/07459b983e24580123125b171339d1bf4f17a69e", "07459b983e24580123125b171339d1bf4f17a69e")</f>
        <v>0</v>
      </c>
      <c r="D26834" t="s">
        <v>4986</v>
      </c>
      <c r="E26834" t="s">
        <v>7180</v>
      </c>
      <c r="F26834" t="s">
        <v>10776</v>
      </c>
      <c r="G26834" t="s">
        <v>15172</v>
      </c>
      <c r="H26834" t="s">
        <v>28565</v>
      </c>
    </row>
    <row r="26835" spans="1:8">
      <c r="A26835" t="s">
        <v>1411</v>
      </c>
      <c r="B26835">
        <f>HYPERLINK("https://android.googlesource.com/platform/cts/+/3b1cd1e20c5cf95b3ecd1f3df9f20a8f0de9ff16", "3b1cd1e20c5cf95b3ecd1f3df9f20a8f0de9ff16")</f>
        <v>0</v>
      </c>
      <c r="C26835">
        <f>HYPERLINK("https://android.googlesource.com/platform/cts/+/9475c72834888cc6d4b8d1ff4fa154049d067800", "9475c72834888cc6d4b8d1ff4fa154049d067800")</f>
        <v>0</v>
      </c>
      <c r="D26835" t="s">
        <v>5126</v>
      </c>
      <c r="E26835" t="s">
        <v>7181</v>
      </c>
      <c r="F26835" t="s">
        <v>13214</v>
      </c>
      <c r="G26835" t="s">
        <v>17355</v>
      </c>
      <c r="H26835" t="s">
        <v>28566</v>
      </c>
    </row>
    <row r="26836" spans="1:8">
      <c r="H26836" t="s">
        <v>22005</v>
      </c>
    </row>
    <row r="26837" spans="1:8">
      <c r="H26837" t="s">
        <v>22272</v>
      </c>
    </row>
    <row r="26838" spans="1:8">
      <c r="H26838" t="s">
        <v>28567</v>
      </c>
    </row>
    <row r="26839" spans="1:8">
      <c r="H26839" t="s">
        <v>22005</v>
      </c>
    </row>
    <row r="26840" spans="1:8">
      <c r="H26840" t="s">
        <v>22272</v>
      </c>
    </row>
    <row r="26841" spans="1:8">
      <c r="H26841" t="s">
        <v>28568</v>
      </c>
    </row>
    <row r="26842" spans="1:8">
      <c r="H26842" t="s">
        <v>28569</v>
      </c>
    </row>
    <row r="26843" spans="1:8">
      <c r="H26843" t="s">
        <v>28570</v>
      </c>
    </row>
    <row r="26844" spans="1:8">
      <c r="H26844" t="s">
        <v>28571</v>
      </c>
    </row>
    <row r="26845" spans="1:8">
      <c r="H26845" t="s">
        <v>28572</v>
      </c>
    </row>
    <row r="26846" spans="1:8">
      <c r="H26846" t="s">
        <v>28572</v>
      </c>
    </row>
    <row r="26847" spans="1:8">
      <c r="H26847" t="s">
        <v>28573</v>
      </c>
    </row>
    <row r="26848" spans="1:8">
      <c r="A26848" t="s">
        <v>1412</v>
      </c>
      <c r="B26848">
        <f>HYPERLINK("https://android.googlesource.com/platform/cts/+/38c031cc4e46dfdcfe1af75123944c1bc2d7c52f", "38c031cc4e46dfdcfe1af75123944c1bc2d7c52f")</f>
        <v>0</v>
      </c>
      <c r="C26848">
        <f>HYPERLINK("https://android.googlesource.com/platform/cts/+/07459b983e24580123125b171339d1bf4f17a69e", "07459b983e24580123125b171339d1bf4f17a69e")</f>
        <v>0</v>
      </c>
      <c r="D26848" t="s">
        <v>5063</v>
      </c>
      <c r="E26848" t="s">
        <v>7182</v>
      </c>
      <c r="F26848" t="s">
        <v>12768</v>
      </c>
      <c r="G26848" t="s">
        <v>15710</v>
      </c>
      <c r="H26848" t="s">
        <v>28574</v>
      </c>
    </row>
    <row r="26849" spans="1:8">
      <c r="A26849" t="s">
        <v>1413</v>
      </c>
      <c r="B26849">
        <f>HYPERLINK("https://android.googlesource.com/platform/cts/+/42f3cd3dd77682da7f5e1a6b696c5fda350a2463", "42f3cd3dd77682da7f5e1a6b696c5fda350a2463")</f>
        <v>0</v>
      </c>
      <c r="C26849">
        <f>HYPERLINK("https://android.googlesource.com/platform/cts/+/0c91b8f98b52ec88eded707e8014b555f79b1be7", "0c91b8f98b52ec88eded707e8014b555f79b1be7")</f>
        <v>0</v>
      </c>
      <c r="D26849" t="s">
        <v>5192</v>
      </c>
      <c r="E26849" t="s">
        <v>7112</v>
      </c>
      <c r="F26849" t="s">
        <v>13168</v>
      </c>
      <c r="G26849" t="s">
        <v>15071</v>
      </c>
      <c r="H26849" t="s">
        <v>28405</v>
      </c>
    </row>
    <row r="26850" spans="1:8">
      <c r="A26850" t="s">
        <v>1414</v>
      </c>
      <c r="B26850">
        <f>HYPERLINK("https://android.googlesource.com/platform/cts/+/b8c644768450339f62a52b4ecf97b6048568e4b9", "b8c644768450339f62a52b4ecf97b6048568e4b9")</f>
        <v>0</v>
      </c>
      <c r="C26850">
        <f>HYPERLINK("https://android.googlesource.com/platform/cts/+/01ef79d7d555b043d4aba1ced575a4ec1c58d60d", "01ef79d7d555b043d4aba1ced575a4ec1c58d60d")</f>
        <v>0</v>
      </c>
      <c r="D26850" t="s">
        <v>5211</v>
      </c>
      <c r="E26850" t="s">
        <v>7183</v>
      </c>
      <c r="F26850" t="s">
        <v>12991</v>
      </c>
      <c r="G26850" t="s">
        <v>17155</v>
      </c>
      <c r="H26850" t="s">
        <v>19981</v>
      </c>
    </row>
    <row r="26851" spans="1:8">
      <c r="H26851" t="s">
        <v>28575</v>
      </c>
    </row>
    <row r="26852" spans="1:8">
      <c r="H26852" t="s">
        <v>28576</v>
      </c>
    </row>
    <row r="26853" spans="1:8">
      <c r="H26853" t="s">
        <v>28577</v>
      </c>
    </row>
    <row r="26854" spans="1:8">
      <c r="H26854" t="s">
        <v>28578</v>
      </c>
    </row>
    <row r="26855" spans="1:8">
      <c r="H26855" t="s">
        <v>28579</v>
      </c>
    </row>
    <row r="26856" spans="1:8">
      <c r="H26856" t="s">
        <v>28580</v>
      </c>
    </row>
    <row r="26857" spans="1:8">
      <c r="H26857" t="s">
        <v>28581</v>
      </c>
    </row>
    <row r="26858" spans="1:8">
      <c r="H26858" t="s">
        <v>28582</v>
      </c>
    </row>
    <row r="26859" spans="1:8">
      <c r="H26859" t="s">
        <v>28583</v>
      </c>
    </row>
    <row r="26860" spans="1:8">
      <c r="H26860" t="s">
        <v>28584</v>
      </c>
    </row>
    <row r="26861" spans="1:8">
      <c r="H26861" t="s">
        <v>28585</v>
      </c>
    </row>
    <row r="26862" spans="1:8">
      <c r="H26862" t="s">
        <v>28586</v>
      </c>
    </row>
    <row r="26863" spans="1:8">
      <c r="H26863" t="s">
        <v>28587</v>
      </c>
    </row>
    <row r="26864" spans="1:8">
      <c r="H26864" t="s">
        <v>28588</v>
      </c>
    </row>
    <row r="26865" spans="6:8">
      <c r="F26865" t="s">
        <v>13215</v>
      </c>
      <c r="G26865" t="s">
        <v>17356</v>
      </c>
      <c r="H26865" t="s">
        <v>28589</v>
      </c>
    </row>
    <row r="26866" spans="6:8">
      <c r="H26866" t="s">
        <v>28590</v>
      </c>
    </row>
    <row r="26867" spans="6:8">
      <c r="F26867" t="s">
        <v>12992</v>
      </c>
      <c r="G26867" t="s">
        <v>17156</v>
      </c>
      <c r="H26867" t="s">
        <v>28591</v>
      </c>
    </row>
    <row r="26868" spans="6:8">
      <c r="H26868" t="s">
        <v>28592</v>
      </c>
    </row>
    <row r="26869" spans="6:8">
      <c r="F26869" t="s">
        <v>13216</v>
      </c>
      <c r="G26869" t="s">
        <v>17357</v>
      </c>
      <c r="H26869" t="s">
        <v>28593</v>
      </c>
    </row>
    <row r="26870" spans="6:8">
      <c r="F26870" t="s">
        <v>13217</v>
      </c>
      <c r="G26870" t="s">
        <v>17358</v>
      </c>
      <c r="H26870" t="s">
        <v>18835</v>
      </c>
    </row>
    <row r="26871" spans="6:8">
      <c r="F26871" t="s">
        <v>13218</v>
      </c>
      <c r="G26871" t="s">
        <v>17359</v>
      </c>
      <c r="H26871" t="s">
        <v>28594</v>
      </c>
    </row>
    <row r="26872" spans="6:8">
      <c r="F26872" t="s">
        <v>10758</v>
      </c>
      <c r="G26872" t="s">
        <v>15156</v>
      </c>
      <c r="H26872" t="s">
        <v>28595</v>
      </c>
    </row>
    <row r="26873" spans="6:8">
      <c r="F26873" t="s">
        <v>12993</v>
      </c>
      <c r="G26873" t="s">
        <v>17157</v>
      </c>
      <c r="H26873" t="s">
        <v>28596</v>
      </c>
    </row>
    <row r="26874" spans="6:8">
      <c r="H26874" t="s">
        <v>28597</v>
      </c>
    </row>
    <row r="26875" spans="6:8">
      <c r="H26875" t="s">
        <v>28598</v>
      </c>
    </row>
    <row r="26876" spans="6:8">
      <c r="H26876" t="s">
        <v>28599</v>
      </c>
    </row>
    <row r="26877" spans="6:8">
      <c r="H26877" t="s">
        <v>28600</v>
      </c>
    </row>
    <row r="26878" spans="6:8">
      <c r="H26878" t="s">
        <v>28601</v>
      </c>
    </row>
    <row r="26879" spans="6:8">
      <c r="H26879" t="s">
        <v>28602</v>
      </c>
    </row>
    <row r="26880" spans="6:8">
      <c r="H26880" t="s">
        <v>28603</v>
      </c>
    </row>
    <row r="26881" spans="6:8">
      <c r="H26881" t="s">
        <v>28604</v>
      </c>
    </row>
    <row r="26882" spans="6:8">
      <c r="F26882" t="s">
        <v>12179</v>
      </c>
      <c r="G26882" t="s">
        <v>16418</v>
      </c>
      <c r="H26882" t="s">
        <v>19981</v>
      </c>
    </row>
    <row r="26883" spans="6:8">
      <c r="H26883" t="s">
        <v>28605</v>
      </c>
    </row>
    <row r="26884" spans="6:8">
      <c r="H26884" t="s">
        <v>28606</v>
      </c>
    </row>
    <row r="26885" spans="6:8">
      <c r="H26885" t="s">
        <v>28607</v>
      </c>
    </row>
    <row r="26886" spans="6:8">
      <c r="H26886" t="s">
        <v>28608</v>
      </c>
    </row>
    <row r="26887" spans="6:8">
      <c r="H26887" t="s">
        <v>28609</v>
      </c>
    </row>
    <row r="26888" spans="6:8">
      <c r="H26888" t="s">
        <v>28610</v>
      </c>
    </row>
    <row r="26889" spans="6:8">
      <c r="H26889" t="s">
        <v>28611</v>
      </c>
    </row>
    <row r="26890" spans="6:8">
      <c r="H26890" t="s">
        <v>28612</v>
      </c>
    </row>
    <row r="26891" spans="6:8">
      <c r="H26891" t="s">
        <v>28613</v>
      </c>
    </row>
    <row r="26892" spans="6:8">
      <c r="H26892" t="s">
        <v>28614</v>
      </c>
    </row>
    <row r="26893" spans="6:8">
      <c r="H26893" t="s">
        <v>28615</v>
      </c>
    </row>
    <row r="26894" spans="6:8">
      <c r="H26894" t="s">
        <v>28616</v>
      </c>
    </row>
    <row r="26895" spans="6:8">
      <c r="H26895" t="s">
        <v>28617</v>
      </c>
    </row>
    <row r="26896" spans="6:8">
      <c r="F26896" t="s">
        <v>12994</v>
      </c>
      <c r="G26896" t="s">
        <v>17158</v>
      </c>
      <c r="H26896" t="s">
        <v>19981</v>
      </c>
    </row>
    <row r="26897" spans="1:8">
      <c r="H26897" t="s">
        <v>28618</v>
      </c>
    </row>
    <row r="26898" spans="1:8">
      <c r="H26898" t="s">
        <v>28619</v>
      </c>
    </row>
    <row r="26899" spans="1:8">
      <c r="F26899" t="s">
        <v>13219</v>
      </c>
      <c r="G26899" t="s">
        <v>17360</v>
      </c>
      <c r="H26899" t="s">
        <v>28620</v>
      </c>
    </row>
    <row r="26900" spans="1:8">
      <c r="A26900" t="s">
        <v>1415</v>
      </c>
      <c r="B26900">
        <f>HYPERLINK("https://android.googlesource.com/platform/cts/+/8d4a75ac8e0e6ec01900ad26f822a20d60782c18", "8d4a75ac8e0e6ec01900ad26f822a20d60782c18")</f>
        <v>0</v>
      </c>
      <c r="C26900">
        <f>HYPERLINK("https://android.googlesource.com/platform/cts/+/a9fb5fb351485d4b944db9296f07a87c0837c813", "a9fb5fb351485d4b944db9296f07a87c0837c813")</f>
        <v>0</v>
      </c>
      <c r="D26900" t="s">
        <v>5096</v>
      </c>
      <c r="E26900" t="s">
        <v>7184</v>
      </c>
      <c r="F26900" t="s">
        <v>13220</v>
      </c>
      <c r="G26900" t="s">
        <v>17361</v>
      </c>
      <c r="H26900" t="s">
        <v>28621</v>
      </c>
    </row>
    <row r="26901" spans="1:8">
      <c r="A26901" t="s">
        <v>1416</v>
      </c>
      <c r="B26901">
        <f>HYPERLINK("https://android.googlesource.com/platform/cts/+/90b239c4cc07bb369edc368d98a67654a5dc49e6", "90b239c4cc07bb369edc368d98a67654a5dc49e6")</f>
        <v>0</v>
      </c>
      <c r="C26901">
        <f>HYPERLINK("https://android.googlesource.com/platform/cts/+/2fc66d8c0911a281fd1b8e69da4cc1a3e8ea3e50", "2fc66d8c0911a281fd1b8e69da4cc1a3e8ea3e50")</f>
        <v>0</v>
      </c>
      <c r="D26901" t="s">
        <v>5118</v>
      </c>
      <c r="E26901" t="s">
        <v>7185</v>
      </c>
      <c r="F26901" t="s">
        <v>13197</v>
      </c>
      <c r="G26901" t="s">
        <v>17340</v>
      </c>
      <c r="H26901" t="s">
        <v>28622</v>
      </c>
    </row>
    <row r="26902" spans="1:8">
      <c r="A26902" t="s">
        <v>1417</v>
      </c>
      <c r="B26902">
        <f>HYPERLINK("https://android.googlesource.com/platform/cts/+/e75f8acc6e677f642f46848c54afc98d9915f79d", "e75f8acc6e677f642f46848c54afc98d9915f79d")</f>
        <v>0</v>
      </c>
      <c r="C26902">
        <f>HYPERLINK("https://android.googlesource.com/platform/cts/+/15b8c570d4a47394ef5a655ebb22bec22a5dcd5b", "15b8c570d4a47394ef5a655ebb22bec22a5dcd5b")</f>
        <v>0</v>
      </c>
      <c r="D26902" t="s">
        <v>5212</v>
      </c>
      <c r="E26902" t="s">
        <v>7186</v>
      </c>
      <c r="F26902" t="s">
        <v>13221</v>
      </c>
      <c r="G26902" t="s">
        <v>17362</v>
      </c>
      <c r="H26902" t="s">
        <v>28623</v>
      </c>
    </row>
    <row r="26903" spans="1:8">
      <c r="H26903" t="s">
        <v>28624</v>
      </c>
    </row>
    <row r="26904" spans="1:8">
      <c r="H26904" t="s">
        <v>28625</v>
      </c>
    </row>
    <row r="26905" spans="1:8">
      <c r="H26905" t="s">
        <v>28626</v>
      </c>
    </row>
    <row r="26906" spans="1:8">
      <c r="H26906" t="s">
        <v>28627</v>
      </c>
    </row>
    <row r="26907" spans="1:8">
      <c r="H26907" t="s">
        <v>28628</v>
      </c>
    </row>
    <row r="26908" spans="1:8">
      <c r="H26908" t="s">
        <v>28629</v>
      </c>
    </row>
    <row r="26909" spans="1:8">
      <c r="H26909" t="s">
        <v>28630</v>
      </c>
    </row>
    <row r="26910" spans="1:8">
      <c r="H26910" t="s">
        <v>28631</v>
      </c>
    </row>
    <row r="26911" spans="1:8">
      <c r="H26911" t="s">
        <v>28632</v>
      </c>
    </row>
    <row r="26912" spans="1:8">
      <c r="H26912" t="s">
        <v>28633</v>
      </c>
    </row>
    <row r="26913" spans="8:8">
      <c r="H26913" t="s">
        <v>28634</v>
      </c>
    </row>
    <row r="26914" spans="8:8">
      <c r="H26914" t="s">
        <v>28635</v>
      </c>
    </row>
    <row r="26915" spans="8:8">
      <c r="H26915" t="s">
        <v>28636</v>
      </c>
    </row>
    <row r="26916" spans="8:8">
      <c r="H26916" t="s">
        <v>28637</v>
      </c>
    </row>
    <row r="26917" spans="8:8">
      <c r="H26917" t="s">
        <v>28638</v>
      </c>
    </row>
    <row r="26918" spans="8:8">
      <c r="H26918" t="s">
        <v>28639</v>
      </c>
    </row>
    <row r="26919" spans="8:8">
      <c r="H26919" t="s">
        <v>28640</v>
      </c>
    </row>
    <row r="26920" spans="8:8">
      <c r="H26920" t="s">
        <v>28641</v>
      </c>
    </row>
    <row r="26921" spans="8:8">
      <c r="H26921" t="s">
        <v>28642</v>
      </c>
    </row>
    <row r="26922" spans="8:8">
      <c r="H26922" t="s">
        <v>28643</v>
      </c>
    </row>
    <row r="26923" spans="8:8">
      <c r="H26923" t="s">
        <v>28644</v>
      </c>
    </row>
    <row r="26924" spans="8:8">
      <c r="H26924" t="s">
        <v>28645</v>
      </c>
    </row>
    <row r="26925" spans="8:8">
      <c r="H26925" t="s">
        <v>28646</v>
      </c>
    </row>
    <row r="26926" spans="8:8">
      <c r="H26926" t="s">
        <v>28647</v>
      </c>
    </row>
    <row r="26927" spans="8:8">
      <c r="H26927" t="s">
        <v>28648</v>
      </c>
    </row>
    <row r="26928" spans="8:8">
      <c r="H26928" t="s">
        <v>28649</v>
      </c>
    </row>
    <row r="26929" spans="1:8">
      <c r="H26929" t="s">
        <v>28650</v>
      </c>
    </row>
    <row r="26930" spans="1:8">
      <c r="H26930" t="s">
        <v>28651</v>
      </c>
    </row>
    <row r="26931" spans="1:8">
      <c r="H26931" t="s">
        <v>28652</v>
      </c>
    </row>
    <row r="26932" spans="1:8">
      <c r="H26932" t="s">
        <v>28653</v>
      </c>
    </row>
    <row r="26933" spans="1:8">
      <c r="H26933" t="s">
        <v>28654</v>
      </c>
    </row>
    <row r="26934" spans="1:8">
      <c r="H26934" t="s">
        <v>28655</v>
      </c>
    </row>
    <row r="26935" spans="1:8">
      <c r="H26935" t="s">
        <v>28656</v>
      </c>
    </row>
    <row r="26936" spans="1:8">
      <c r="H26936" t="s">
        <v>28657</v>
      </c>
    </row>
    <row r="26937" spans="1:8">
      <c r="H26937" t="s">
        <v>28658</v>
      </c>
    </row>
    <row r="26938" spans="1:8">
      <c r="H26938" t="s">
        <v>28659</v>
      </c>
    </row>
    <row r="26939" spans="1:8">
      <c r="H26939" t="s">
        <v>28660</v>
      </c>
    </row>
    <row r="26940" spans="1:8">
      <c r="A26940" t="s">
        <v>1418</v>
      </c>
      <c r="B26940">
        <f>HYPERLINK("https://android.googlesource.com/platform/cts/+/043099b678b0a231cec86606780215fd2776f2c1", "043099b678b0a231cec86606780215fd2776f2c1")</f>
        <v>0</v>
      </c>
      <c r="C26940">
        <f>HYPERLINK("https://android.googlesource.com/platform/cts/+/38c1d6fad209d87a36456e977792b35e5a052ded", "38c1d6fad209d87a36456e977792b35e5a052ded")</f>
        <v>0</v>
      </c>
      <c r="D26940" t="s">
        <v>5044</v>
      </c>
      <c r="E26940" t="s">
        <v>7187</v>
      </c>
      <c r="F26940" t="s">
        <v>13201</v>
      </c>
      <c r="G26940" t="s">
        <v>17363</v>
      </c>
      <c r="H26940" t="s">
        <v>18829</v>
      </c>
    </row>
    <row r="26941" spans="1:8">
      <c r="H26941" t="s">
        <v>28661</v>
      </c>
    </row>
    <row r="26942" spans="1:8">
      <c r="H26942" t="s">
        <v>28662</v>
      </c>
    </row>
    <row r="26943" spans="1:8">
      <c r="H26943" t="s">
        <v>28663</v>
      </c>
    </row>
    <row r="26944" spans="1:8">
      <c r="H26944" t="s">
        <v>28664</v>
      </c>
    </row>
    <row r="26945" spans="8:8">
      <c r="H26945" t="s">
        <v>28665</v>
      </c>
    </row>
    <row r="26946" spans="8:8">
      <c r="H26946" t="s">
        <v>28666</v>
      </c>
    </row>
    <row r="26947" spans="8:8">
      <c r="H26947" t="s">
        <v>28667</v>
      </c>
    </row>
    <row r="26948" spans="8:8">
      <c r="H26948" t="s">
        <v>28668</v>
      </c>
    </row>
    <row r="26949" spans="8:8">
      <c r="H26949" t="s">
        <v>28669</v>
      </c>
    </row>
    <row r="26950" spans="8:8">
      <c r="H26950" t="s">
        <v>28670</v>
      </c>
    </row>
    <row r="26951" spans="8:8">
      <c r="H26951" t="s">
        <v>28671</v>
      </c>
    </row>
    <row r="26952" spans="8:8">
      <c r="H26952" t="s">
        <v>28672</v>
      </c>
    </row>
    <row r="26953" spans="8:8">
      <c r="H26953" t="s">
        <v>28673</v>
      </c>
    </row>
    <row r="26954" spans="8:8">
      <c r="H26954" t="s">
        <v>28674</v>
      </c>
    </row>
    <row r="26955" spans="8:8">
      <c r="H26955" t="s">
        <v>28497</v>
      </c>
    </row>
    <row r="26956" spans="8:8">
      <c r="H26956" t="s">
        <v>28675</v>
      </c>
    </row>
    <row r="26957" spans="8:8">
      <c r="H26957" t="s">
        <v>28676</v>
      </c>
    </row>
    <row r="26958" spans="8:8">
      <c r="H26958" t="s">
        <v>22581</v>
      </c>
    </row>
    <row r="26959" spans="8:8">
      <c r="H26959" t="s">
        <v>28677</v>
      </c>
    </row>
    <row r="26960" spans="8:8">
      <c r="H26960" t="s">
        <v>28678</v>
      </c>
    </row>
    <row r="26961" spans="1:8">
      <c r="H26961" t="s">
        <v>28679</v>
      </c>
    </row>
    <row r="26962" spans="1:8">
      <c r="H26962" t="s">
        <v>28680</v>
      </c>
    </row>
    <row r="26963" spans="1:8">
      <c r="H26963" t="s">
        <v>28681</v>
      </c>
    </row>
    <row r="26964" spans="1:8">
      <c r="H26964" t="s">
        <v>28682</v>
      </c>
    </row>
    <row r="26965" spans="1:8">
      <c r="H26965" t="s">
        <v>28683</v>
      </c>
    </row>
    <row r="26966" spans="1:8">
      <c r="H26966" t="s">
        <v>28684</v>
      </c>
    </row>
    <row r="26967" spans="1:8">
      <c r="H26967" t="s">
        <v>28685</v>
      </c>
    </row>
    <row r="26968" spans="1:8">
      <c r="A26968" t="s">
        <v>1419</v>
      </c>
      <c r="B26968">
        <f>HYPERLINK("https://android.googlesource.com/platform/cts/+/233ad042310aafb56113a7774f3fce483d7f3a25", "233ad042310aafb56113a7774f3fce483d7f3a25")</f>
        <v>0</v>
      </c>
      <c r="C26968">
        <f>HYPERLINK("https://android.googlesource.com/platform/cts/+/d75a1fe7b17cc2e6b94427a423139cf3872dc32f", "d75a1fe7b17cc2e6b94427a423139cf3872dc32f")</f>
        <v>0</v>
      </c>
      <c r="D26968" t="s">
        <v>5213</v>
      </c>
      <c r="E26968" t="s">
        <v>7188</v>
      </c>
      <c r="F26968" t="s">
        <v>13222</v>
      </c>
      <c r="G26968" t="s">
        <v>17364</v>
      </c>
      <c r="H26968" t="s">
        <v>22678</v>
      </c>
    </row>
    <row r="26969" spans="1:8">
      <c r="H26969" t="s">
        <v>18829</v>
      </c>
    </row>
    <row r="26970" spans="1:8">
      <c r="H26970" t="s">
        <v>18863</v>
      </c>
    </row>
    <row r="26971" spans="1:8">
      <c r="H26971" t="s">
        <v>28686</v>
      </c>
    </row>
    <row r="26972" spans="1:8">
      <c r="H26972" t="s">
        <v>28687</v>
      </c>
    </row>
    <row r="26973" spans="1:8">
      <c r="H26973" t="s">
        <v>28688</v>
      </c>
    </row>
    <row r="26974" spans="1:8">
      <c r="H26974" t="s">
        <v>28689</v>
      </c>
    </row>
    <row r="26975" spans="1:8">
      <c r="H26975" t="s">
        <v>28690</v>
      </c>
    </row>
    <row r="26976" spans="1:8">
      <c r="H26976" t="s">
        <v>28691</v>
      </c>
    </row>
    <row r="26977" spans="1:8">
      <c r="H26977" t="s">
        <v>28692</v>
      </c>
    </row>
    <row r="26978" spans="1:8">
      <c r="H26978" t="s">
        <v>28051</v>
      </c>
    </row>
    <row r="26979" spans="1:8">
      <c r="H26979" t="s">
        <v>26260</v>
      </c>
    </row>
    <row r="26980" spans="1:8">
      <c r="A26980" t="s">
        <v>1420</v>
      </c>
      <c r="B26980">
        <f>HYPERLINK("https://android.googlesource.com/platform/cts/+/b7e958732b19ff8613925198c6af5056ed70ff27", "b7e958732b19ff8613925198c6af5056ed70ff27")</f>
        <v>0</v>
      </c>
      <c r="C26980">
        <f>HYPERLINK("https://android.googlesource.com/platform/cts/+/54139c6b82e87871c303d13cddb8d47b24a0c323", "54139c6b82e87871c303d13cddb8d47b24a0c323")</f>
        <v>0</v>
      </c>
      <c r="D26980" t="s">
        <v>5085</v>
      </c>
      <c r="E26980" t="s">
        <v>7189</v>
      </c>
      <c r="F26980" t="s">
        <v>13223</v>
      </c>
      <c r="G26980" t="s">
        <v>17365</v>
      </c>
      <c r="H26980" t="s">
        <v>28693</v>
      </c>
    </row>
    <row r="26981" spans="1:8">
      <c r="A26981" t="s">
        <v>1421</v>
      </c>
      <c r="B26981">
        <f>HYPERLINK("https://android.googlesource.com/platform/cts/+/1cf3c1dd2a5bc7081e52936b0e68d2f9b5dac911", "1cf3c1dd2a5bc7081e52936b0e68d2f9b5dac911")</f>
        <v>0</v>
      </c>
      <c r="C26981">
        <f>HYPERLINK("https://android.googlesource.com/platform/cts/+/6678d3147a102a86d7f27c3e9f765b530bea3d53", "6678d3147a102a86d7f27c3e9f765b530bea3d53")</f>
        <v>0</v>
      </c>
      <c r="D26981" t="s">
        <v>5115</v>
      </c>
      <c r="E26981" t="s">
        <v>7190</v>
      </c>
      <c r="F26981" t="s">
        <v>12634</v>
      </c>
      <c r="G26981" t="s">
        <v>16843</v>
      </c>
      <c r="H26981" t="s">
        <v>28694</v>
      </c>
    </row>
    <row r="26982" spans="1:8">
      <c r="H26982" t="s">
        <v>26088</v>
      </c>
    </row>
    <row r="26983" spans="1:8">
      <c r="H26983" t="s">
        <v>20012</v>
      </c>
    </row>
    <row r="26984" spans="1:8">
      <c r="A26984" t="s">
        <v>1422</v>
      </c>
      <c r="B26984">
        <f>HYPERLINK("https://android.googlesource.com/platform/cts/+/b0bbf679972b4e624294550324a1c03992986300", "b0bbf679972b4e624294550324a1c03992986300")</f>
        <v>0</v>
      </c>
      <c r="C26984">
        <f>HYPERLINK("https://android.googlesource.com/platform/cts/+/16f3181bb61d301cc8a3e667098ed2122d764a7e", "16f3181bb61d301cc8a3e667098ed2122d764a7e")</f>
        <v>0</v>
      </c>
      <c r="D26984" t="s">
        <v>5203</v>
      </c>
      <c r="E26984" t="s">
        <v>7191</v>
      </c>
      <c r="F26984" t="s">
        <v>13224</v>
      </c>
      <c r="G26984" t="s">
        <v>15138</v>
      </c>
      <c r="H26984" t="s">
        <v>28695</v>
      </c>
    </row>
    <row r="26985" spans="1:8">
      <c r="A26985" t="s">
        <v>1423</v>
      </c>
      <c r="B26985">
        <f>HYPERLINK("https://android.googlesource.com/platform/cts/+/de764964951a457c31eece0b1e5b9f654eef2d51", "de764964951a457c31eece0b1e5b9f654eef2d51")</f>
        <v>0</v>
      </c>
      <c r="C26985">
        <f>HYPERLINK("https://android.googlesource.com/platform/cts/+/41b98d43db3266caa64716ce79701aaa25499105", "41b98d43db3266caa64716ce79701aaa25499105")</f>
        <v>0</v>
      </c>
      <c r="D26985" t="s">
        <v>5214</v>
      </c>
      <c r="E26985" t="s">
        <v>7192</v>
      </c>
      <c r="F26985" t="s">
        <v>13225</v>
      </c>
      <c r="G26985" t="s">
        <v>17366</v>
      </c>
      <c r="H26985" t="s">
        <v>28696</v>
      </c>
    </row>
    <row r="26986" spans="1:8">
      <c r="A26986" t="s">
        <v>1424</v>
      </c>
      <c r="B26986">
        <f>HYPERLINK("https://android.googlesource.com/platform/cts/+/24200411473729b7b4637c81784589374742453d", "24200411473729b7b4637c81784589374742453d")</f>
        <v>0</v>
      </c>
      <c r="C26986">
        <f>HYPERLINK("https://android.googlesource.com/platform/cts/+/aae10c62b8d172a7c49e77474c6a88ef48680616", "aae10c62b8d172a7c49e77474c6a88ef48680616")</f>
        <v>0</v>
      </c>
      <c r="D26986" t="s">
        <v>4960</v>
      </c>
      <c r="E26986" t="s">
        <v>7193</v>
      </c>
      <c r="F26986" t="s">
        <v>13226</v>
      </c>
      <c r="G26986" t="s">
        <v>17367</v>
      </c>
      <c r="H26986" t="s">
        <v>18863</v>
      </c>
    </row>
    <row r="26987" spans="1:8">
      <c r="H26987" t="s">
        <v>28697</v>
      </c>
    </row>
    <row r="26988" spans="1:8">
      <c r="A26988" t="s">
        <v>1425</v>
      </c>
      <c r="B26988">
        <f>HYPERLINK("https://android.googlesource.com/platform/cts/+/cebce48c5d121e6e8f3e0e96a02e73dfc146c2a7", "cebce48c5d121e6e8f3e0e96a02e73dfc146c2a7")</f>
        <v>0</v>
      </c>
      <c r="C26988">
        <f>HYPERLINK("https://android.googlesource.com/platform/cts/+/a3a87e68b709c3977e24f0f8020ccde6ec66f6e2", "a3a87e68b709c3977e24f0f8020ccde6ec66f6e2")</f>
        <v>0</v>
      </c>
      <c r="D26988" t="s">
        <v>5044</v>
      </c>
      <c r="E26988" t="s">
        <v>7194</v>
      </c>
      <c r="F26988" t="s">
        <v>12629</v>
      </c>
      <c r="G26988" t="s">
        <v>16838</v>
      </c>
      <c r="H26988" t="s">
        <v>28698</v>
      </c>
    </row>
    <row r="26989" spans="1:8">
      <c r="A26989" t="s">
        <v>1426</v>
      </c>
      <c r="B26989">
        <f>HYPERLINK("https://android.googlesource.com/platform/cts/+/34402f7899760e7d782a1ac1a3693d2fa7a1e957", "34402f7899760e7d782a1ac1a3693d2fa7a1e957")</f>
        <v>0</v>
      </c>
      <c r="C26989">
        <f>HYPERLINK("https://android.googlesource.com/platform/cts/+/c3d0dc8c583cf0a556d358c46454b27c9050a819", "c3d0dc8c583cf0a556d358c46454b27c9050a819")</f>
        <v>0</v>
      </c>
      <c r="D26989" t="s">
        <v>5215</v>
      </c>
      <c r="E26989" t="s">
        <v>7195</v>
      </c>
      <c r="F26989" t="s">
        <v>10740</v>
      </c>
      <c r="G26989" t="s">
        <v>15139</v>
      </c>
      <c r="H26989" t="s">
        <v>28699</v>
      </c>
    </row>
    <row r="26990" spans="1:8">
      <c r="A26990" t="s">
        <v>1427</v>
      </c>
      <c r="B26990">
        <f>HYPERLINK("https://android.googlesource.com/platform/cts/+/0826bf15514e8ceab232ae0cb4e1d36d0a2be9bc", "0826bf15514e8ceab232ae0cb4e1d36d0a2be9bc")</f>
        <v>0</v>
      </c>
      <c r="C26990">
        <f>HYPERLINK("https://android.googlesource.com/platform/cts/+/6678d3147a102a86d7f27c3e9f765b530bea3d53", "6678d3147a102a86d7f27c3e9f765b530bea3d53")</f>
        <v>0</v>
      </c>
      <c r="D26990" t="s">
        <v>5183</v>
      </c>
      <c r="E26990" t="s">
        <v>7134</v>
      </c>
      <c r="F26990" t="s">
        <v>10786</v>
      </c>
      <c r="G26990" t="s">
        <v>15182</v>
      </c>
      <c r="H26990" t="s">
        <v>28449</v>
      </c>
    </row>
    <row r="26991" spans="1:8">
      <c r="A26991" t="s">
        <v>1428</v>
      </c>
      <c r="B26991">
        <f>HYPERLINK("https://android.googlesource.com/platform/cts/+/0444010020a02fc17be0dc849e86be37ac6261c5", "0444010020a02fc17be0dc849e86be37ac6261c5")</f>
        <v>0</v>
      </c>
      <c r="C26991">
        <f>HYPERLINK("https://android.googlesource.com/platform/cts/+/296fbe2ea4d7d58efd0d8428e7649eac5c4fb0b5", "296fbe2ea4d7d58efd0d8428e7649eac5c4fb0b5")</f>
        <v>0</v>
      </c>
      <c r="D26991" t="s">
        <v>5212</v>
      </c>
      <c r="E26991" t="s">
        <v>7196</v>
      </c>
      <c r="F26991" t="s">
        <v>13227</v>
      </c>
      <c r="G26991" t="s">
        <v>17368</v>
      </c>
      <c r="H26991" t="s">
        <v>28700</v>
      </c>
    </row>
    <row r="26992" spans="1:8">
      <c r="A26992" t="s">
        <v>1429</v>
      </c>
      <c r="B26992">
        <f>HYPERLINK("https://android.googlesource.com/platform/cts/+/77f017c2b1076d464811fc9c61c49f8f5dd39ced", "77f017c2b1076d464811fc9c61c49f8f5dd39ced")</f>
        <v>0</v>
      </c>
      <c r="C26992">
        <f>HYPERLINK("https://android.googlesource.com/platform/cts/+/78dcd89f04d2e14ae4eff468d1386d8c2adfdede", "78dcd89f04d2e14ae4eff468d1386d8c2adfdede")</f>
        <v>0</v>
      </c>
      <c r="D26992" t="s">
        <v>5044</v>
      </c>
      <c r="E26992" t="s">
        <v>7197</v>
      </c>
      <c r="F26992" t="s">
        <v>13228</v>
      </c>
      <c r="G26992" t="s">
        <v>17369</v>
      </c>
      <c r="H26992" t="s">
        <v>28701</v>
      </c>
    </row>
    <row r="26993" spans="1:8">
      <c r="H26993" t="s">
        <v>28702</v>
      </c>
    </row>
    <row r="26994" spans="1:8">
      <c r="A26994" t="s">
        <v>1430</v>
      </c>
      <c r="B26994">
        <f>HYPERLINK("https://android.googlesource.com/platform/cts/+/ca22566206634339ff6e2f8dd9b6088fb8f38362", "ca22566206634339ff6e2f8dd9b6088fb8f38362")</f>
        <v>0</v>
      </c>
      <c r="C26994">
        <f>HYPERLINK("https://android.googlesource.com/platform/cts/+/ea89bf13175f2edc95864b72c7e0a6560511b720", "ea89bf13175f2edc95864b72c7e0a6560511b720")</f>
        <v>0</v>
      </c>
      <c r="D26994" t="s">
        <v>5094</v>
      </c>
      <c r="E26994" t="s">
        <v>7198</v>
      </c>
      <c r="F26994" t="s">
        <v>13229</v>
      </c>
      <c r="G26994" t="s">
        <v>17370</v>
      </c>
      <c r="H26994" t="s">
        <v>28703</v>
      </c>
    </row>
    <row r="26995" spans="1:8">
      <c r="H26995" t="s">
        <v>28704</v>
      </c>
    </row>
    <row r="26996" spans="1:8">
      <c r="H26996" t="s">
        <v>28705</v>
      </c>
    </row>
    <row r="26997" spans="1:8">
      <c r="F26997" t="s">
        <v>12745</v>
      </c>
      <c r="G26997" t="s">
        <v>16937</v>
      </c>
      <c r="H26997" t="s">
        <v>28703</v>
      </c>
    </row>
    <row r="26998" spans="1:8">
      <c r="H26998" t="s">
        <v>28704</v>
      </c>
    </row>
    <row r="26999" spans="1:8">
      <c r="H26999" t="s">
        <v>28705</v>
      </c>
    </row>
    <row r="27000" spans="1:8">
      <c r="A27000" t="s">
        <v>1431</v>
      </c>
      <c r="B27000">
        <f>HYPERLINK("https://android.googlesource.com/platform/cts/+/ecbabc89501897e16a776e6eb40b4d6c0d25692e", "ecbabc89501897e16a776e6eb40b4d6c0d25692e")</f>
        <v>0</v>
      </c>
      <c r="C27000">
        <f>HYPERLINK("https://android.googlesource.com/platform/cts/+/d4d49d0b2ce756e79a2a70c550a2e81bd352db4b", "d4d49d0b2ce756e79a2a70c550a2e81bd352db4b")</f>
        <v>0</v>
      </c>
      <c r="D27000" t="s">
        <v>4928</v>
      </c>
      <c r="E27000" t="s">
        <v>7199</v>
      </c>
      <c r="F27000" t="s">
        <v>12897</v>
      </c>
      <c r="G27000" t="s">
        <v>16824</v>
      </c>
      <c r="H27000" t="s">
        <v>28706</v>
      </c>
    </row>
    <row r="27001" spans="1:8">
      <c r="H27001" t="s">
        <v>28707</v>
      </c>
    </row>
    <row r="27002" spans="1:8">
      <c r="H27002" t="s">
        <v>28708</v>
      </c>
    </row>
    <row r="27003" spans="1:8">
      <c r="H27003" t="s">
        <v>28709</v>
      </c>
    </row>
    <row r="27004" spans="1:8">
      <c r="F27004" t="s">
        <v>12739</v>
      </c>
      <c r="G27004" t="s">
        <v>15083</v>
      </c>
      <c r="H27004" t="s">
        <v>18836</v>
      </c>
    </row>
    <row r="27005" spans="1:8">
      <c r="A27005" t="s">
        <v>1432</v>
      </c>
      <c r="B27005">
        <f>HYPERLINK("https://android.googlesource.com/platform/cts/+/529185fdeae55e869855f32bc20831dc63ab60d9", "529185fdeae55e869855f32bc20831dc63ab60d9")</f>
        <v>0</v>
      </c>
      <c r="C27005">
        <f>HYPERLINK("https://android.googlesource.com/platform/cts/+/23c747e45765a5f6acca00b225244439fe9e12c5", "23c747e45765a5f6acca00b225244439fe9e12c5")</f>
        <v>0</v>
      </c>
      <c r="D27005" t="s">
        <v>5134</v>
      </c>
      <c r="E27005" t="s">
        <v>7200</v>
      </c>
      <c r="F27005" t="s">
        <v>13230</v>
      </c>
      <c r="G27005" t="s">
        <v>17371</v>
      </c>
      <c r="H27005" t="s">
        <v>22685</v>
      </c>
    </row>
    <row r="27006" spans="1:8">
      <c r="A27006" t="s">
        <v>1433</v>
      </c>
      <c r="B27006">
        <f>HYPERLINK("https://android.googlesource.com/platform/cts/+/8eedf9aa143d3ef9920e249510658b45e235534f", "8eedf9aa143d3ef9920e249510658b45e235534f")</f>
        <v>0</v>
      </c>
      <c r="C27006">
        <f>HYPERLINK("https://android.googlesource.com/platform/cts/+/23de35cd404b31be281d1dc1525ba54f9a2bdac4", "23de35cd404b31be281d1dc1525ba54f9a2bdac4")</f>
        <v>0</v>
      </c>
      <c r="D27006" t="s">
        <v>5183</v>
      </c>
      <c r="E27006" t="s">
        <v>7134</v>
      </c>
      <c r="F27006" t="s">
        <v>10786</v>
      </c>
      <c r="G27006" t="s">
        <v>15182</v>
      </c>
      <c r="H27006" t="s">
        <v>28449</v>
      </c>
    </row>
    <row r="27007" spans="1:8">
      <c r="A27007" t="s">
        <v>1434</v>
      </c>
      <c r="B27007">
        <f>HYPERLINK("https://android.googlesource.com/platform/cts/+/55b2bd01a56bc397b4ef51af69706dd811c3036c", "55b2bd01a56bc397b4ef51af69706dd811c3036c")</f>
        <v>0</v>
      </c>
      <c r="C27007">
        <f>HYPERLINK("https://android.googlesource.com/platform/cts/+/d4b189c8c497ee6cc663cd344689a86be64d05d6", "d4b189c8c497ee6cc663cd344689a86be64d05d6")</f>
        <v>0</v>
      </c>
      <c r="D27007" t="s">
        <v>5176</v>
      </c>
      <c r="E27007" t="s">
        <v>7201</v>
      </c>
      <c r="F27007" t="s">
        <v>10794</v>
      </c>
      <c r="G27007" t="s">
        <v>15189</v>
      </c>
      <c r="H27007" t="s">
        <v>28710</v>
      </c>
    </row>
    <row r="27008" spans="1:8">
      <c r="A27008" t="s">
        <v>1435</v>
      </c>
      <c r="B27008">
        <f>HYPERLINK("https://android.googlesource.com/platform/cts/+/bb1b3b93b298a3fbaf97f0191318efb3b4898c13", "bb1b3b93b298a3fbaf97f0191318efb3b4898c13")</f>
        <v>0</v>
      </c>
      <c r="C27008">
        <f>HYPERLINK("https://android.googlesource.com/platform/cts/+/f334e3c36f1f89268a6b1616593954dbb0d22f26", "f334e3c36f1f89268a6b1616593954dbb0d22f26")</f>
        <v>0</v>
      </c>
      <c r="D27008" t="s">
        <v>5183</v>
      </c>
      <c r="E27008" t="s">
        <v>7134</v>
      </c>
      <c r="F27008" t="s">
        <v>10786</v>
      </c>
      <c r="G27008" t="s">
        <v>15182</v>
      </c>
      <c r="H27008" t="s">
        <v>28449</v>
      </c>
    </row>
    <row r="27009" spans="1:8">
      <c r="A27009" t="s">
        <v>1436</v>
      </c>
      <c r="B27009">
        <f>HYPERLINK("https://android.googlesource.com/platform/cts/+/56818c6a7348f9bdb4110c87ca85e0f401c33cdf", "56818c6a7348f9bdb4110c87ca85e0f401c33cdf")</f>
        <v>0</v>
      </c>
      <c r="C27009">
        <f>HYPERLINK("https://android.googlesource.com/platform/cts/+/a95992f1909e433c96de99d85becc7e44cd07888", "a95992f1909e433c96de99d85becc7e44cd07888")</f>
        <v>0</v>
      </c>
      <c r="D27009" t="s">
        <v>4928</v>
      </c>
      <c r="E27009" t="s">
        <v>7202</v>
      </c>
      <c r="F27009" t="s">
        <v>13231</v>
      </c>
      <c r="G27009" t="s">
        <v>15081</v>
      </c>
      <c r="H27009" t="s">
        <v>28711</v>
      </c>
    </row>
    <row r="27010" spans="1:8">
      <c r="A27010" t="s">
        <v>1437</v>
      </c>
      <c r="B27010">
        <f>HYPERLINK("https://android.googlesource.com/platform/cts/+/73ce569899313f0f9497770f9e6584f47adf93c7", "73ce569899313f0f9497770f9e6584f47adf93c7")</f>
        <v>0</v>
      </c>
      <c r="C27010">
        <f>HYPERLINK("https://android.googlesource.com/platform/cts/+/271f35c4d3924d2d3bc0bdbd3f80699c70d83416", "271f35c4d3924d2d3bc0bdbd3f80699c70d83416")</f>
        <v>0</v>
      </c>
      <c r="D27010" t="s">
        <v>5207</v>
      </c>
      <c r="E27010" t="s">
        <v>7203</v>
      </c>
      <c r="F27010" t="s">
        <v>13232</v>
      </c>
      <c r="G27010" t="s">
        <v>16904</v>
      </c>
      <c r="H27010" t="s">
        <v>25991</v>
      </c>
    </row>
    <row r="27011" spans="1:8">
      <c r="H27011" t="s">
        <v>28712</v>
      </c>
    </row>
    <row r="27012" spans="1:8">
      <c r="F27012" t="s">
        <v>12696</v>
      </c>
      <c r="G27012" t="s">
        <v>16900</v>
      </c>
      <c r="H27012" t="s">
        <v>28713</v>
      </c>
    </row>
    <row r="27013" spans="1:8">
      <c r="H27013" t="s">
        <v>28714</v>
      </c>
    </row>
    <row r="27014" spans="1:8">
      <c r="A27014" t="s">
        <v>1438</v>
      </c>
      <c r="B27014">
        <f>HYPERLINK("https://android.googlesource.com/platform/cts/+/9000bece309586531c4f6ec36030c3f9894ce17b", "9000bece309586531c4f6ec36030c3f9894ce17b")</f>
        <v>0</v>
      </c>
      <c r="C27014">
        <f>HYPERLINK("https://android.googlesource.com/platform/cts/+/94c2c84530ba3eea31ecc6e3f4907920bf618ea6", "94c2c84530ba3eea31ecc6e3f4907920bf618ea6")</f>
        <v>0</v>
      </c>
      <c r="D27014" t="s">
        <v>5176</v>
      </c>
      <c r="E27014" t="s">
        <v>7204</v>
      </c>
      <c r="F27014" t="s">
        <v>10794</v>
      </c>
      <c r="G27014" t="s">
        <v>15189</v>
      </c>
      <c r="H27014" t="s">
        <v>28715</v>
      </c>
    </row>
    <row r="27015" spans="1:8">
      <c r="H27015" t="s">
        <v>28716</v>
      </c>
    </row>
    <row r="27016" spans="1:8">
      <c r="H27016" t="s">
        <v>28717</v>
      </c>
    </row>
    <row r="27017" spans="1:8">
      <c r="H27017" t="s">
        <v>28718</v>
      </c>
    </row>
    <row r="27018" spans="1:8">
      <c r="H27018" t="s">
        <v>28719</v>
      </c>
    </row>
    <row r="27019" spans="1:8">
      <c r="H27019" t="s">
        <v>28720</v>
      </c>
    </row>
    <row r="27020" spans="1:8">
      <c r="H27020" t="s">
        <v>28721</v>
      </c>
    </row>
    <row r="27021" spans="1:8">
      <c r="H27021" t="s">
        <v>28722</v>
      </c>
    </row>
    <row r="27022" spans="1:8">
      <c r="H27022" t="s">
        <v>28723</v>
      </c>
    </row>
    <row r="27023" spans="1:8">
      <c r="H27023" t="s">
        <v>28724</v>
      </c>
    </row>
    <row r="27024" spans="1:8">
      <c r="H27024" t="s">
        <v>28725</v>
      </c>
    </row>
    <row r="27025" spans="1:8">
      <c r="H27025" t="s">
        <v>28726</v>
      </c>
    </row>
    <row r="27026" spans="1:8">
      <c r="H27026" t="s">
        <v>28727</v>
      </c>
    </row>
    <row r="27027" spans="1:8">
      <c r="A27027" t="s">
        <v>1439</v>
      </c>
      <c r="B27027">
        <f>HYPERLINK("https://android.googlesource.com/platform/cts/+/40c0fbdb880888022eec9f77497b93b490ded32c", "40c0fbdb880888022eec9f77497b93b490ded32c")</f>
        <v>0</v>
      </c>
      <c r="C27027">
        <f>HYPERLINK("https://android.googlesource.com/platform/cts/+/9e5c598a273d1f564121fd503b81e89b272c56ea", "9e5c598a273d1f564121fd503b81e89b272c56ea")</f>
        <v>0</v>
      </c>
      <c r="D27027" t="s">
        <v>5018</v>
      </c>
      <c r="E27027" t="s">
        <v>7205</v>
      </c>
      <c r="F27027" t="s">
        <v>13233</v>
      </c>
      <c r="G27027" t="s">
        <v>17372</v>
      </c>
      <c r="H27027" t="s">
        <v>28728</v>
      </c>
    </row>
    <row r="27028" spans="1:8">
      <c r="H27028" t="s">
        <v>28729</v>
      </c>
    </row>
    <row r="27029" spans="1:8">
      <c r="A27029" t="s">
        <v>1440</v>
      </c>
      <c r="B27029">
        <f>HYPERLINK("https://android.googlesource.com/platform/cts/+/6c4571e122b4a4d110f8dcb7627763205a352ad6", "6c4571e122b4a4d110f8dcb7627763205a352ad6")</f>
        <v>0</v>
      </c>
      <c r="C27029">
        <f>HYPERLINK("https://android.googlesource.com/platform/cts/+/bb0d417aa7cd7360fe4f4b434e87ae35c2809aaf", "bb0d417aa7cd7360fe4f4b434e87ae35c2809aaf")</f>
        <v>0</v>
      </c>
      <c r="D27029" t="s">
        <v>5125</v>
      </c>
      <c r="E27029" t="s">
        <v>7206</v>
      </c>
      <c r="F27029" t="s">
        <v>12206</v>
      </c>
      <c r="G27029" t="s">
        <v>16444</v>
      </c>
      <c r="H27029" t="s">
        <v>28730</v>
      </c>
    </row>
    <row r="27030" spans="1:8">
      <c r="H27030" t="s">
        <v>28731</v>
      </c>
    </row>
    <row r="27031" spans="1:8">
      <c r="A27031" t="s">
        <v>1441</v>
      </c>
      <c r="B27031">
        <f>HYPERLINK("https://android.googlesource.com/platform/cts/+/37cd26d47468d246a9e3a8a7bff43f0f931a22e1", "37cd26d47468d246a9e3a8a7bff43f0f931a22e1")</f>
        <v>0</v>
      </c>
      <c r="C27031">
        <f>HYPERLINK("https://android.googlesource.com/platform/cts/+/9154927fb626c199405e8a1661029c6dfcd1988a", "9154927fb626c199405e8a1661029c6dfcd1988a")</f>
        <v>0</v>
      </c>
      <c r="D27031" t="s">
        <v>4963</v>
      </c>
      <c r="E27031" t="s">
        <v>7207</v>
      </c>
      <c r="F27031" t="s">
        <v>12250</v>
      </c>
      <c r="G27031" t="s">
        <v>16481</v>
      </c>
      <c r="H27031" t="s">
        <v>19267</v>
      </c>
    </row>
    <row r="27032" spans="1:8">
      <c r="H27032" t="s">
        <v>18829</v>
      </c>
    </row>
    <row r="27033" spans="1:8">
      <c r="H27033" t="s">
        <v>21525</v>
      </c>
    </row>
    <row r="27034" spans="1:8">
      <c r="H27034" t="s">
        <v>21526</v>
      </c>
    </row>
    <row r="27035" spans="1:8">
      <c r="H27035" t="s">
        <v>21527</v>
      </c>
    </row>
    <row r="27036" spans="1:8">
      <c r="A27036" t="s">
        <v>1442</v>
      </c>
      <c r="B27036">
        <f>HYPERLINK("https://android.googlesource.com/platform/cts/+/dcaac2d294b1b45ebddbbd44203729a2d0064562", "dcaac2d294b1b45ebddbbd44203729a2d0064562")</f>
        <v>0</v>
      </c>
      <c r="C27036">
        <f>HYPERLINK("https://android.googlesource.com/platform/cts/+/60e4b34abdba08423d798afeaceb44a76ab32ba0", "60e4b34abdba08423d798afeaceb44a76ab32ba0")</f>
        <v>0</v>
      </c>
      <c r="D27036" t="s">
        <v>5112</v>
      </c>
      <c r="E27036" t="s">
        <v>7208</v>
      </c>
      <c r="F27036" t="s">
        <v>12414</v>
      </c>
      <c r="G27036" t="s">
        <v>16636</v>
      </c>
      <c r="H27036" t="s">
        <v>28732</v>
      </c>
    </row>
    <row r="27037" spans="1:8">
      <c r="A27037" t="s">
        <v>1443</v>
      </c>
      <c r="B27037">
        <f>HYPERLINK("https://android.googlesource.com/platform/cts/+/29147d2564dec1e1641f1dc3eee62d68db84486a", "29147d2564dec1e1641f1dc3eee62d68db84486a")</f>
        <v>0</v>
      </c>
      <c r="C27037">
        <f>HYPERLINK("https://android.googlesource.com/platform/cts/+/d66b68ee699bd576cc43ddc1e09828310cffcf7f", "d66b68ee699bd576cc43ddc1e09828310cffcf7f")</f>
        <v>0</v>
      </c>
      <c r="D27037" t="s">
        <v>5085</v>
      </c>
      <c r="E27037" t="s">
        <v>7209</v>
      </c>
      <c r="F27037" t="s">
        <v>13211</v>
      </c>
      <c r="G27037" t="s">
        <v>17352</v>
      </c>
      <c r="H27037" t="s">
        <v>28548</v>
      </c>
    </row>
    <row r="27038" spans="1:8">
      <c r="H27038" t="s">
        <v>28733</v>
      </c>
    </row>
    <row r="27039" spans="1:8">
      <c r="A27039" t="s">
        <v>1444</v>
      </c>
      <c r="B27039">
        <f>HYPERLINK("https://android.googlesource.com/platform/cts/+/cfc39597bd8c2eab3a1845bded4fb403ecb14fd2", "cfc39597bd8c2eab3a1845bded4fb403ecb14fd2")</f>
        <v>0</v>
      </c>
      <c r="C27039">
        <f>HYPERLINK("https://android.googlesource.com/platform/cts/+/1e90b1e471ebe46e0e28fa5764cfe7f287d76b73", "1e90b1e471ebe46e0e28fa5764cfe7f287d76b73")</f>
        <v>0</v>
      </c>
      <c r="D27039" t="s">
        <v>5198</v>
      </c>
      <c r="E27039" t="s">
        <v>7210</v>
      </c>
      <c r="F27039" t="s">
        <v>10668</v>
      </c>
      <c r="G27039" t="s">
        <v>15069</v>
      </c>
      <c r="H27039" t="s">
        <v>28734</v>
      </c>
    </row>
    <row r="27040" spans="1:8">
      <c r="A27040" t="s">
        <v>1445</v>
      </c>
      <c r="B27040">
        <f>HYPERLINK("https://android.googlesource.com/platform/cts/+/c34eb130380ea58023fbabbf74288bb144627d3e", "c34eb130380ea58023fbabbf74288bb144627d3e")</f>
        <v>0</v>
      </c>
      <c r="C27040">
        <f>HYPERLINK("https://android.googlesource.com/platform/cts/+/408ffa36528328dbf9017eb156844e0b4a19e3ac", "408ffa36528328dbf9017eb156844e0b4a19e3ac")</f>
        <v>0</v>
      </c>
      <c r="D27040" t="s">
        <v>4949</v>
      </c>
      <c r="E27040" t="s">
        <v>7211</v>
      </c>
      <c r="F27040" t="s">
        <v>13230</v>
      </c>
      <c r="G27040" t="s">
        <v>17371</v>
      </c>
      <c r="H27040" t="s">
        <v>22685</v>
      </c>
    </row>
    <row r="27041" spans="1:8">
      <c r="H27041" t="s">
        <v>28735</v>
      </c>
    </row>
    <row r="27042" spans="1:8">
      <c r="A27042" t="s">
        <v>1446</v>
      </c>
      <c r="B27042">
        <f>HYPERLINK("https://android.googlesource.com/platform/cts/+/a579c2904470f3932be6e5e880e9c89325888c3b", "a579c2904470f3932be6e5e880e9c89325888c3b")</f>
        <v>0</v>
      </c>
      <c r="C27042">
        <f>HYPERLINK("https://android.googlesource.com/platform/cts/+/2668813c025884936baf705a0b042eff1791ac2c", "2668813c025884936baf705a0b042eff1791ac2c")</f>
        <v>0</v>
      </c>
      <c r="D27042" t="s">
        <v>5216</v>
      </c>
      <c r="E27042" t="s">
        <v>7212</v>
      </c>
      <c r="F27042" t="s">
        <v>10689</v>
      </c>
      <c r="G27042" t="s">
        <v>15089</v>
      </c>
      <c r="H27042" t="s">
        <v>28736</v>
      </c>
    </row>
    <row r="27043" spans="1:8">
      <c r="A27043" t="s">
        <v>1447</v>
      </c>
      <c r="B27043">
        <f>HYPERLINK("https://android.googlesource.com/platform/cts/+/ea5dbe1802a1a619824d5ce5dfeed6b70364d871", "ea5dbe1802a1a619824d5ce5dfeed6b70364d871")</f>
        <v>0</v>
      </c>
      <c r="C27043">
        <f>HYPERLINK("https://android.googlesource.com/platform/cts/+/94c2c84530ba3eea31ecc6e3f4907920bf618ea6", "94c2c84530ba3eea31ecc6e3f4907920bf618ea6")</f>
        <v>0</v>
      </c>
      <c r="D27043" t="s">
        <v>5176</v>
      </c>
      <c r="E27043" t="s">
        <v>7213</v>
      </c>
      <c r="F27043" t="s">
        <v>10794</v>
      </c>
      <c r="G27043" t="s">
        <v>15189</v>
      </c>
      <c r="H27043" t="s">
        <v>28737</v>
      </c>
    </row>
    <row r="27044" spans="1:8">
      <c r="H27044" t="s">
        <v>28738</v>
      </c>
    </row>
    <row r="27045" spans="1:8">
      <c r="H27045" t="s">
        <v>28739</v>
      </c>
    </row>
    <row r="27046" spans="1:8">
      <c r="A27046" t="s">
        <v>1448</v>
      </c>
      <c r="B27046">
        <f>HYPERLINK("https://android.googlesource.com/platform/cts/+/5eb19bfe1bda7f6dfe75b55e320a01ee15bae035", "5eb19bfe1bda7f6dfe75b55e320a01ee15bae035")</f>
        <v>0</v>
      </c>
      <c r="C27046">
        <f>HYPERLINK("https://android.googlesource.com/platform/cts/+/871fe1eb1ee80ec48899e7396539e496ab1719e3", "871fe1eb1ee80ec48899e7396539e496ab1719e3")</f>
        <v>0</v>
      </c>
      <c r="D27046" t="s">
        <v>5217</v>
      </c>
      <c r="E27046" t="s">
        <v>7214</v>
      </c>
      <c r="F27046" t="s">
        <v>12817</v>
      </c>
      <c r="G27046" t="s">
        <v>16629</v>
      </c>
      <c r="H27046" t="s">
        <v>22743</v>
      </c>
    </row>
    <row r="27047" spans="1:8">
      <c r="A27047" t="s">
        <v>1449</v>
      </c>
      <c r="B27047">
        <f>HYPERLINK("https://android.googlesource.com/platform/cts/+/4b4f5dd8dd01bc83d6870d490ccb81280796d8bb", "4b4f5dd8dd01bc83d6870d490ccb81280796d8bb")</f>
        <v>0</v>
      </c>
      <c r="C27047">
        <f>HYPERLINK("https://android.googlesource.com/platform/cts/+/5eb19bfe1bda7f6dfe75b55e320a01ee15bae035", "5eb19bfe1bda7f6dfe75b55e320a01ee15bae035")</f>
        <v>0</v>
      </c>
      <c r="D27047" t="s">
        <v>5217</v>
      </c>
      <c r="E27047" t="s">
        <v>7215</v>
      </c>
      <c r="F27047" t="s">
        <v>13234</v>
      </c>
      <c r="G27047" t="s">
        <v>17373</v>
      </c>
      <c r="H27047" t="s">
        <v>28740</v>
      </c>
    </row>
    <row r="27048" spans="1:8">
      <c r="A27048" t="s">
        <v>1450</v>
      </c>
      <c r="B27048">
        <f>HYPERLINK("https://android.googlesource.com/platform/cts/+/3747b9fe9a50d3ae38633c60e65d23a0003d84ad", "3747b9fe9a50d3ae38633c60e65d23a0003d84ad")</f>
        <v>0</v>
      </c>
      <c r="C27048">
        <f>HYPERLINK("https://android.googlesource.com/platform/cts/+/80f196062b9cf3d3ff3043328bb8039c86f78e88", "80f196062b9cf3d3ff3043328bb8039c86f78e88")</f>
        <v>0</v>
      </c>
      <c r="D27048" t="s">
        <v>5218</v>
      </c>
      <c r="E27048" t="s">
        <v>7216</v>
      </c>
      <c r="F27048" t="s">
        <v>13235</v>
      </c>
      <c r="G27048" t="s">
        <v>17374</v>
      </c>
      <c r="H27048" t="s">
        <v>28741</v>
      </c>
    </row>
    <row r="27049" spans="1:8">
      <c r="A27049" t="s">
        <v>1451</v>
      </c>
      <c r="B27049">
        <f>HYPERLINK("https://android.googlesource.com/platform/cts/+/67b0bb83bca4b40904575adcc791f8a2bf1357e4", "67b0bb83bca4b40904575adcc791f8a2bf1357e4")</f>
        <v>0</v>
      </c>
      <c r="C27049">
        <f>HYPERLINK("https://android.googlesource.com/platform/cts/+/59d7f3916d592532bf1f5e725342619373b967e4", "59d7f3916d592532bf1f5e725342619373b967e4")</f>
        <v>0</v>
      </c>
      <c r="D27049" t="s">
        <v>5194</v>
      </c>
      <c r="E27049" t="s">
        <v>7217</v>
      </c>
      <c r="F27049" t="s">
        <v>13236</v>
      </c>
      <c r="G27049" t="s">
        <v>17375</v>
      </c>
      <c r="H27049" t="s">
        <v>28742</v>
      </c>
    </row>
    <row r="27050" spans="1:8">
      <c r="A27050" t="s">
        <v>1452</v>
      </c>
      <c r="B27050">
        <f>HYPERLINK("https://android.googlesource.com/platform/cts/+/e70dc01bb7312e7de1944b128135d270c268711f", "e70dc01bb7312e7de1944b128135d270c268711f")</f>
        <v>0</v>
      </c>
      <c r="C27050">
        <f>HYPERLINK("https://android.googlesource.com/platform/cts/+/09cfaec62e68a19a0b908863c4a15f07d058352a", "09cfaec62e68a19a0b908863c4a15f07d058352a")</f>
        <v>0</v>
      </c>
      <c r="D27050" t="s">
        <v>5084</v>
      </c>
      <c r="E27050" t="s">
        <v>7218</v>
      </c>
      <c r="F27050" t="s">
        <v>12765</v>
      </c>
      <c r="G27050" t="s">
        <v>16954</v>
      </c>
      <c r="H27050" t="s">
        <v>28743</v>
      </c>
    </row>
    <row r="27051" spans="1:8">
      <c r="H27051" t="s">
        <v>28744</v>
      </c>
    </row>
    <row r="27052" spans="1:8">
      <c r="H27052" t="s">
        <v>28745</v>
      </c>
    </row>
    <row r="27053" spans="1:8">
      <c r="A27053" t="s">
        <v>1453</v>
      </c>
      <c r="B27053">
        <f>HYPERLINK("https://android.googlesource.com/platform/cts/+/e687ad77936d09e6bb1baf555c3b7bc18cc65867", "e687ad77936d09e6bb1baf555c3b7bc18cc65867")</f>
        <v>0</v>
      </c>
      <c r="C27053">
        <f>HYPERLINK("https://android.googlesource.com/platform/cts/+/7115fc9fb8e8a44bebafc804eab4d1fa5795a886", "7115fc9fb8e8a44bebafc804eab4d1fa5795a886")</f>
        <v>0</v>
      </c>
      <c r="D27053" t="s">
        <v>5198</v>
      </c>
      <c r="E27053" t="s">
        <v>7219</v>
      </c>
      <c r="F27053" t="s">
        <v>10668</v>
      </c>
      <c r="G27053" t="s">
        <v>15069</v>
      </c>
      <c r="H27053" t="s">
        <v>28746</v>
      </c>
    </row>
    <row r="27054" spans="1:8">
      <c r="H27054" t="s">
        <v>28747</v>
      </c>
    </row>
    <row r="27055" spans="1:8">
      <c r="A27055" t="s">
        <v>1454</v>
      </c>
      <c r="B27055">
        <f>HYPERLINK("https://android.googlesource.com/platform/cts/+/ac6e6cc51d2bb64dd7984934964f40fbaec35175", "ac6e6cc51d2bb64dd7984934964f40fbaec35175")</f>
        <v>0</v>
      </c>
      <c r="C27055">
        <f>HYPERLINK("https://android.googlesource.com/platform/cts/+/2acd32bd34066d9c0dc02404a71a4c5f766894a2", "2acd32bd34066d9c0dc02404a71a4c5f766894a2")</f>
        <v>0</v>
      </c>
      <c r="D27055" t="s">
        <v>4994</v>
      </c>
      <c r="E27055" t="s">
        <v>7220</v>
      </c>
      <c r="F27055" t="s">
        <v>13124</v>
      </c>
      <c r="G27055" t="s">
        <v>17376</v>
      </c>
      <c r="H27055" t="s">
        <v>19981</v>
      </c>
    </row>
    <row r="27056" spans="1:8">
      <c r="H27056" t="s">
        <v>28748</v>
      </c>
    </row>
    <row r="27057" spans="1:8">
      <c r="A27057" t="s">
        <v>1455</v>
      </c>
      <c r="B27057">
        <f>HYPERLINK("https://android.googlesource.com/platform/cts/+/017121aef8762229e700e97328c978fd36b8a9f4", "017121aef8762229e700e97328c978fd36b8a9f4")</f>
        <v>0</v>
      </c>
      <c r="C27057">
        <f>HYPERLINK("https://android.googlesource.com/platform/cts/+/d1038b4ed244bf5cd9186e01f432cabf0acd2fc6", "d1038b4ed244bf5cd9186e01f432cabf0acd2fc6")</f>
        <v>0</v>
      </c>
      <c r="D27057" t="s">
        <v>5219</v>
      </c>
      <c r="E27057" t="s">
        <v>7221</v>
      </c>
      <c r="F27057" t="s">
        <v>13237</v>
      </c>
      <c r="G27057" t="s">
        <v>17377</v>
      </c>
      <c r="H27057" t="s">
        <v>28749</v>
      </c>
    </row>
    <row r="27058" spans="1:8">
      <c r="H27058" t="s">
        <v>28750</v>
      </c>
    </row>
    <row r="27059" spans="1:8">
      <c r="A27059" t="s">
        <v>1456</v>
      </c>
      <c r="B27059">
        <f>HYPERLINK("https://android.googlesource.com/platform/cts/+/9a3019f24569937d1760f2a55457bf3fe6b2b186", "9a3019f24569937d1760f2a55457bf3fe6b2b186")</f>
        <v>0</v>
      </c>
      <c r="C27059">
        <f>HYPERLINK("https://android.googlesource.com/platform/cts/+/017121aef8762229e700e97328c978fd36b8a9f4", "017121aef8762229e700e97328c978fd36b8a9f4")</f>
        <v>0</v>
      </c>
      <c r="D27059" t="s">
        <v>5219</v>
      </c>
      <c r="E27059" t="s">
        <v>7222</v>
      </c>
      <c r="F27059" t="s">
        <v>10716</v>
      </c>
      <c r="G27059" t="s">
        <v>15115</v>
      </c>
      <c r="H27059" t="s">
        <v>19510</v>
      </c>
    </row>
    <row r="27060" spans="1:8">
      <c r="A27060" t="s">
        <v>1457</v>
      </c>
      <c r="B27060">
        <f>HYPERLINK("https://android.googlesource.com/platform/cts/+/09244bcc810dd789f4b222c76c582510f1ba4a10", "09244bcc810dd789f4b222c76c582510f1ba4a10")</f>
        <v>0</v>
      </c>
      <c r="C27060">
        <f>HYPERLINK("https://android.googlesource.com/platform/cts/+/d0979c3132a14e50546601a817270d7839a8e864", "d0979c3132a14e50546601a817270d7839a8e864")</f>
        <v>0</v>
      </c>
      <c r="D27060" t="s">
        <v>5220</v>
      </c>
      <c r="E27060" t="s">
        <v>7223</v>
      </c>
      <c r="F27060" t="s">
        <v>12222</v>
      </c>
      <c r="G27060" t="s">
        <v>16452</v>
      </c>
      <c r="H27060" t="s">
        <v>28751</v>
      </c>
    </row>
    <row r="27061" spans="1:8">
      <c r="A27061" t="s">
        <v>1458</v>
      </c>
      <c r="B27061">
        <f>HYPERLINK("https://android.googlesource.com/platform/cts/+/5c18b9727bc2e9ce91a948a677be33aaeb9c4214", "5c18b9727bc2e9ce91a948a677be33aaeb9c4214")</f>
        <v>0</v>
      </c>
      <c r="C27061">
        <f>HYPERLINK("https://android.googlesource.com/platform/cts/+/824ada18e8c59f8f14d34e2732cdf139e2d143fd", "824ada18e8c59f8f14d34e2732cdf139e2d143fd")</f>
        <v>0</v>
      </c>
      <c r="D27061" t="s">
        <v>5108</v>
      </c>
      <c r="E27061" t="s">
        <v>7224</v>
      </c>
      <c r="F27061" t="s">
        <v>12743</v>
      </c>
      <c r="G27061" t="s">
        <v>16935</v>
      </c>
      <c r="H27061" t="s">
        <v>26296</v>
      </c>
    </row>
    <row r="27062" spans="1:8">
      <c r="H27062" t="s">
        <v>28752</v>
      </c>
    </row>
    <row r="27063" spans="1:8">
      <c r="F27063" t="s">
        <v>13136</v>
      </c>
      <c r="G27063" t="s">
        <v>17293</v>
      </c>
      <c r="H27063" t="s">
        <v>26296</v>
      </c>
    </row>
    <row r="27064" spans="1:8">
      <c r="H27064" t="s">
        <v>28752</v>
      </c>
    </row>
    <row r="27065" spans="1:8">
      <c r="H27065" t="s">
        <v>28753</v>
      </c>
    </row>
    <row r="27066" spans="1:8">
      <c r="A27066" t="s">
        <v>1459</v>
      </c>
      <c r="B27066">
        <f>HYPERLINK("https://android.googlesource.com/platform/cts/+/b583abd2b5cfc13e3296030e2061343d474a0a57", "b583abd2b5cfc13e3296030e2061343d474a0a57")</f>
        <v>0</v>
      </c>
      <c r="C27066">
        <f>HYPERLINK("https://android.googlesource.com/platform/cts/+/7d36e01b3ee03de41e220d143ae604eb445da2fe", "7d36e01b3ee03de41e220d143ae604eb445da2fe")</f>
        <v>0</v>
      </c>
      <c r="D27066" t="s">
        <v>4994</v>
      </c>
      <c r="E27066" t="s">
        <v>7225</v>
      </c>
      <c r="F27066" t="s">
        <v>13238</v>
      </c>
      <c r="G27066" t="s">
        <v>17378</v>
      </c>
      <c r="H27066" t="s">
        <v>28008</v>
      </c>
    </row>
    <row r="27067" spans="1:8">
      <c r="H27067" t="s">
        <v>28754</v>
      </c>
    </row>
    <row r="27068" spans="1:8">
      <c r="H27068" t="s">
        <v>28755</v>
      </c>
    </row>
    <row r="27069" spans="1:8">
      <c r="H27069" t="s">
        <v>28756</v>
      </c>
    </row>
    <row r="27070" spans="1:8">
      <c r="H27070" t="s">
        <v>28757</v>
      </c>
    </row>
    <row r="27071" spans="1:8">
      <c r="A27071" t="s">
        <v>1460</v>
      </c>
      <c r="B27071">
        <f>HYPERLINK("https://android.googlesource.com/platform/cts/+/fbb7d80e9d647a6dbe05d811a5521e155e8f532a", "fbb7d80e9d647a6dbe05d811a5521e155e8f532a")</f>
        <v>0</v>
      </c>
      <c r="C27071">
        <f>HYPERLINK("https://android.googlesource.com/platform/cts/+/bde13c23346d7c5e1f464cae949c844ddf404dc5", "bde13c23346d7c5e1f464cae949c844ddf404dc5")</f>
        <v>0</v>
      </c>
      <c r="D27071" t="s">
        <v>5132</v>
      </c>
      <c r="E27071" t="s">
        <v>7226</v>
      </c>
      <c r="F27071" t="s">
        <v>13239</v>
      </c>
      <c r="G27071" t="s">
        <v>17379</v>
      </c>
      <c r="H27071" t="s">
        <v>28758</v>
      </c>
    </row>
    <row r="27072" spans="1:8">
      <c r="F27072" t="s">
        <v>13240</v>
      </c>
      <c r="G27072" t="s">
        <v>17380</v>
      </c>
      <c r="H27072" t="s">
        <v>28758</v>
      </c>
    </row>
    <row r="27073" spans="1:8">
      <c r="A27073" t="s">
        <v>1461</v>
      </c>
      <c r="B27073">
        <f>HYPERLINK("https://android.googlesource.com/platform/cts/+/8dda6e8488fa2a7d9f2133d0c0856b0f85c369b5", "8dda6e8488fa2a7d9f2133d0c0856b0f85c369b5")</f>
        <v>0</v>
      </c>
      <c r="C27073">
        <f>HYPERLINK("https://android.googlesource.com/platform/cts/+/1f405e4d0d286795f06caf62aa5e5704e6827690", "1f405e4d0d286795f06caf62aa5e5704e6827690")</f>
        <v>0</v>
      </c>
      <c r="D27073" t="s">
        <v>5191</v>
      </c>
      <c r="E27073" t="s">
        <v>7227</v>
      </c>
      <c r="F27073" t="s">
        <v>12715</v>
      </c>
      <c r="G27073" t="s">
        <v>15144</v>
      </c>
      <c r="H27073" t="s">
        <v>26656</v>
      </c>
    </row>
    <row r="27074" spans="1:8">
      <c r="A27074" t="s">
        <v>1462</v>
      </c>
      <c r="B27074">
        <f>HYPERLINK("https://android.googlesource.com/platform/cts/+/8d2593e7da07b66cd393caa7ebf6294abbbe6052", "8d2593e7da07b66cd393caa7ebf6294abbbe6052")</f>
        <v>0</v>
      </c>
      <c r="C27074">
        <f>HYPERLINK("https://android.googlesource.com/platform/cts/+/3475d09171224073c2f85fe3c8bb329023ff84a8", "3475d09171224073c2f85fe3c8bb329023ff84a8")</f>
        <v>0</v>
      </c>
      <c r="D27074" t="s">
        <v>5117</v>
      </c>
      <c r="E27074" t="s">
        <v>7228</v>
      </c>
      <c r="F27074" t="s">
        <v>13241</v>
      </c>
      <c r="G27074" t="s">
        <v>17381</v>
      </c>
      <c r="H27074" t="s">
        <v>28759</v>
      </c>
    </row>
    <row r="27075" spans="1:8">
      <c r="H27075" t="s">
        <v>28760</v>
      </c>
    </row>
    <row r="27076" spans="1:8">
      <c r="H27076" t="s">
        <v>28761</v>
      </c>
    </row>
    <row r="27077" spans="1:8">
      <c r="H27077" t="s">
        <v>28762</v>
      </c>
    </row>
    <row r="27078" spans="1:8">
      <c r="H27078" t="s">
        <v>28763</v>
      </c>
    </row>
    <row r="27079" spans="1:8">
      <c r="H27079" t="s">
        <v>28764</v>
      </c>
    </row>
    <row r="27080" spans="1:8">
      <c r="H27080" t="s">
        <v>28765</v>
      </c>
    </row>
    <row r="27081" spans="1:8">
      <c r="H27081" t="s">
        <v>28766</v>
      </c>
    </row>
    <row r="27082" spans="1:8">
      <c r="A27082" t="s">
        <v>1463</v>
      </c>
      <c r="B27082">
        <f>HYPERLINK("https://android.googlesource.com/platform/cts/+/059319ad2d844f036d1ab02538dcd44f16f58bf0", "059319ad2d844f036d1ab02538dcd44f16f58bf0")</f>
        <v>0</v>
      </c>
      <c r="C27082">
        <f>HYPERLINK("https://android.googlesource.com/platform/cts/+/650896ae232cf95b5ebe8792b829127ee731d366", "650896ae232cf95b5ebe8792b829127ee731d366")</f>
        <v>0</v>
      </c>
      <c r="D27082" t="s">
        <v>5132</v>
      </c>
      <c r="E27082" t="s">
        <v>7229</v>
      </c>
      <c r="F27082" t="s">
        <v>10794</v>
      </c>
      <c r="G27082" t="s">
        <v>15189</v>
      </c>
      <c r="H27082" t="s">
        <v>28767</v>
      </c>
    </row>
    <row r="27083" spans="1:8">
      <c r="A27083" t="s">
        <v>1464</v>
      </c>
      <c r="B27083">
        <f>HYPERLINK("https://android.googlesource.com/platform/cts/+/09b6eccae5812a1f72b97ceaa9f03790dfdc51c0", "09b6eccae5812a1f72b97ceaa9f03790dfdc51c0")</f>
        <v>0</v>
      </c>
      <c r="C27083">
        <f>HYPERLINK("https://android.googlesource.com/platform/cts/+/e58adc6aae7aeb2e64ae9e61177be19739ee9ca6", "e58adc6aae7aeb2e64ae9e61177be19739ee9ca6")</f>
        <v>0</v>
      </c>
      <c r="D27083" t="s">
        <v>5221</v>
      </c>
      <c r="E27083" t="s">
        <v>7230</v>
      </c>
      <c r="F27083" t="s">
        <v>10794</v>
      </c>
      <c r="G27083" t="s">
        <v>15189</v>
      </c>
      <c r="H27083" t="s">
        <v>28768</v>
      </c>
    </row>
    <row r="27084" spans="1:8">
      <c r="A27084" t="s">
        <v>1465</v>
      </c>
      <c r="B27084">
        <f>HYPERLINK("https://android.googlesource.com/platform/cts/+/1595c6a337805d838207d69a2f7aa2be27e5f21f", "1595c6a337805d838207d69a2f7aa2be27e5f21f")</f>
        <v>0</v>
      </c>
      <c r="C27084">
        <f>HYPERLINK("https://android.googlesource.com/platform/cts/+/2a74534e787c9665b233896920e758c1337c9c37", "2a74534e787c9665b233896920e758c1337c9c37")</f>
        <v>0</v>
      </c>
      <c r="D27084" t="s">
        <v>5051</v>
      </c>
      <c r="E27084" t="s">
        <v>7231</v>
      </c>
      <c r="F27084" t="s">
        <v>13242</v>
      </c>
      <c r="G27084" t="s">
        <v>17382</v>
      </c>
      <c r="H27084" t="s">
        <v>28769</v>
      </c>
    </row>
    <row r="27085" spans="1:8">
      <c r="H27085" t="s">
        <v>28770</v>
      </c>
    </row>
    <row r="27086" spans="1:8">
      <c r="H27086" t="s">
        <v>28771</v>
      </c>
    </row>
    <row r="27087" spans="1:8">
      <c r="A27087" t="s">
        <v>1466</v>
      </c>
      <c r="B27087">
        <f>HYPERLINK("https://android.googlesource.com/platform/cts/+/e1187f9243b1ee92d30454a7017c63eae68928b8", "e1187f9243b1ee92d30454a7017c63eae68928b8")</f>
        <v>0</v>
      </c>
      <c r="C27087">
        <f>HYPERLINK("https://android.googlesource.com/platform/cts/+/2a74534e787c9665b233896920e758c1337c9c37", "2a74534e787c9665b233896920e758c1337c9c37")</f>
        <v>0</v>
      </c>
      <c r="D27087" t="s">
        <v>5195</v>
      </c>
      <c r="E27087" t="s">
        <v>7116</v>
      </c>
      <c r="F27087" t="s">
        <v>12703</v>
      </c>
      <c r="G27087" t="s">
        <v>16906</v>
      </c>
      <c r="H27087" t="s">
        <v>28408</v>
      </c>
    </row>
    <row r="27088" spans="1:8">
      <c r="H27088" t="s">
        <v>28409</v>
      </c>
    </row>
    <row r="27089" spans="1:8">
      <c r="A27089" t="s">
        <v>1467</v>
      </c>
      <c r="B27089">
        <f>HYPERLINK("https://android.googlesource.com/platform/cts/+/9d10eea6cc462812daf096a8c4acfea04ca98759", "9d10eea6cc462812daf096a8c4acfea04ca98759")</f>
        <v>0</v>
      </c>
      <c r="C27089">
        <f>HYPERLINK("https://android.googlesource.com/platform/cts/+/9ce652a09c5f1ff4dcbebe7b40a2aa971d98565c", "9ce652a09c5f1ff4dcbebe7b40a2aa971d98565c")</f>
        <v>0</v>
      </c>
      <c r="D27089" t="s">
        <v>5117</v>
      </c>
      <c r="E27089" t="s">
        <v>7232</v>
      </c>
      <c r="F27089" t="s">
        <v>13241</v>
      </c>
      <c r="G27089" t="s">
        <v>17381</v>
      </c>
      <c r="H27089" t="s">
        <v>28772</v>
      </c>
    </row>
    <row r="27090" spans="1:8">
      <c r="H27090" t="s">
        <v>28773</v>
      </c>
    </row>
    <row r="27091" spans="1:8">
      <c r="A27091" t="s">
        <v>1468</v>
      </c>
      <c r="B27091">
        <f>HYPERLINK("https://android.googlesource.com/platform/cts/+/a8c76d2d544f6ea6bc6e1014465ba6f1f35123c5", "a8c76d2d544f6ea6bc6e1014465ba6f1f35123c5")</f>
        <v>0</v>
      </c>
      <c r="C27091">
        <f>HYPERLINK("https://android.googlesource.com/platform/cts/+/07810b23e9f5dc6a2dec25031e66877ce7d0bec0", "07810b23e9f5dc6a2dec25031e66877ce7d0bec0")</f>
        <v>0</v>
      </c>
      <c r="D27091" t="s">
        <v>5167</v>
      </c>
      <c r="E27091" t="s">
        <v>7233</v>
      </c>
      <c r="F27091" t="s">
        <v>13243</v>
      </c>
      <c r="G27091" t="s">
        <v>17383</v>
      </c>
      <c r="H27091" t="s">
        <v>28774</v>
      </c>
    </row>
    <row r="27092" spans="1:8">
      <c r="H27092" t="s">
        <v>28775</v>
      </c>
    </row>
    <row r="27093" spans="1:8">
      <c r="H27093" t="s">
        <v>28776</v>
      </c>
    </row>
    <row r="27094" spans="1:8">
      <c r="F27094" t="s">
        <v>13244</v>
      </c>
      <c r="G27094" t="s">
        <v>17384</v>
      </c>
      <c r="H27094" t="s">
        <v>28777</v>
      </c>
    </row>
    <row r="27095" spans="1:8">
      <c r="A27095" t="s">
        <v>1469</v>
      </c>
      <c r="B27095">
        <f>HYPERLINK("https://android.googlesource.com/platform/cts/+/de6fec89b81cccfd0f880b20f16a560acb1a9818", "de6fec89b81cccfd0f880b20f16a560acb1a9818")</f>
        <v>0</v>
      </c>
      <c r="C27095">
        <f>HYPERLINK("https://android.googlesource.com/platform/cts/+/7166244312a84d08088d6385c5022ef30ba52b49", "7166244312a84d08088d6385c5022ef30ba52b49")</f>
        <v>0</v>
      </c>
      <c r="D27095" t="s">
        <v>5090</v>
      </c>
      <c r="E27095" t="s">
        <v>7234</v>
      </c>
      <c r="F27095" t="s">
        <v>13245</v>
      </c>
      <c r="G27095" t="s">
        <v>17385</v>
      </c>
      <c r="H27095" t="s">
        <v>28778</v>
      </c>
    </row>
    <row r="27096" spans="1:8">
      <c r="H27096" t="s">
        <v>28779</v>
      </c>
    </row>
    <row r="27097" spans="1:8">
      <c r="A27097" t="s">
        <v>1470</v>
      </c>
      <c r="B27097">
        <f>HYPERLINK("https://android.googlesource.com/platform/cts/+/48c25a12da73045d802603624423d1ac22f98aec", "48c25a12da73045d802603624423d1ac22f98aec")</f>
        <v>0</v>
      </c>
      <c r="C27097">
        <f>HYPERLINK("https://android.googlesource.com/platform/cts/+/dfb3576b3c5846e80b3e60429870ab95c3142fd3", "dfb3576b3c5846e80b3e60429870ab95c3142fd3")</f>
        <v>0</v>
      </c>
      <c r="D27097" t="s">
        <v>5222</v>
      </c>
      <c r="E27097" t="s">
        <v>7235</v>
      </c>
      <c r="F27097" t="s">
        <v>13246</v>
      </c>
      <c r="G27097" t="s">
        <v>17386</v>
      </c>
      <c r="H27097" t="s">
        <v>28780</v>
      </c>
    </row>
    <row r="27098" spans="1:8">
      <c r="A27098" t="s">
        <v>1471</v>
      </c>
      <c r="B27098">
        <f>HYPERLINK("https://android.googlesource.com/platform/cts/+/7effe392834833769347a27b0ae29ced4be72ede", "7effe392834833769347a27b0ae29ced4be72ede")</f>
        <v>0</v>
      </c>
      <c r="C27098">
        <f>HYPERLINK("https://android.googlesource.com/platform/cts/+/85e2d548c0f908fb7e053ad13d2ebd7aee6cd822", "85e2d548c0f908fb7e053ad13d2ebd7aee6cd822")</f>
        <v>0</v>
      </c>
      <c r="D27098" t="s">
        <v>4960</v>
      </c>
      <c r="E27098" t="s">
        <v>7236</v>
      </c>
      <c r="F27098" t="s">
        <v>13132</v>
      </c>
      <c r="G27098" t="s">
        <v>17290</v>
      </c>
      <c r="H27098" t="s">
        <v>28030</v>
      </c>
    </row>
    <row r="27099" spans="1:8">
      <c r="H27099" t="s">
        <v>28031</v>
      </c>
    </row>
    <row r="27100" spans="1:8">
      <c r="H27100" t="s">
        <v>28032</v>
      </c>
    </row>
    <row r="27101" spans="1:8">
      <c r="H27101" t="s">
        <v>28033</v>
      </c>
    </row>
    <row r="27102" spans="1:8">
      <c r="H27102" t="s">
        <v>28034</v>
      </c>
    </row>
    <row r="27103" spans="1:8">
      <c r="H27103" t="s">
        <v>28035</v>
      </c>
    </row>
    <row r="27104" spans="1:8">
      <c r="A27104" t="s">
        <v>1472</v>
      </c>
      <c r="B27104">
        <f>HYPERLINK("https://android.googlesource.com/platform/cts/+/500c917bdfa75fd734581d7ea825a7bd7383fab7", "500c917bdfa75fd734581d7ea825a7bd7383fab7")</f>
        <v>0</v>
      </c>
      <c r="C27104">
        <f>HYPERLINK("https://android.googlesource.com/platform/cts/+/43af5942cdd113fad21368fb22d7cbbf0f11443d", "43af5942cdd113fad21368fb22d7cbbf0f11443d")</f>
        <v>0</v>
      </c>
      <c r="D27104" t="s">
        <v>5223</v>
      </c>
      <c r="E27104" t="s">
        <v>7237</v>
      </c>
      <c r="F27104" t="s">
        <v>13247</v>
      </c>
      <c r="G27104" t="s">
        <v>17387</v>
      </c>
      <c r="H27104" t="s">
        <v>28781</v>
      </c>
    </row>
    <row r="27105" spans="1:8">
      <c r="H27105" t="s">
        <v>18829</v>
      </c>
    </row>
    <row r="27106" spans="1:8">
      <c r="H27106" t="s">
        <v>28782</v>
      </c>
    </row>
    <row r="27107" spans="1:8">
      <c r="A27107" t="s">
        <v>1473</v>
      </c>
      <c r="B27107">
        <f>HYPERLINK("https://android.googlesource.com/platform/cts/+/c404c53f41512941fe29e9de6ef8d26eeb063338", "c404c53f41512941fe29e9de6ef8d26eeb063338")</f>
        <v>0</v>
      </c>
      <c r="C27107">
        <f>HYPERLINK("https://android.googlesource.com/platform/cts/+/1bbdbb9c640bb6248723c463f5c416873d1aa526", "1bbdbb9c640bb6248723c463f5c416873d1aa526")</f>
        <v>0</v>
      </c>
      <c r="D27107" t="s">
        <v>5224</v>
      </c>
      <c r="E27107" t="s">
        <v>7238</v>
      </c>
      <c r="F27107" t="s">
        <v>13248</v>
      </c>
      <c r="G27107" t="s">
        <v>17388</v>
      </c>
      <c r="H27107" t="s">
        <v>28783</v>
      </c>
    </row>
    <row r="27108" spans="1:8">
      <c r="H27108" t="s">
        <v>28784</v>
      </c>
    </row>
    <row r="27109" spans="1:8">
      <c r="A27109" t="s">
        <v>1474</v>
      </c>
      <c r="B27109">
        <f>HYPERLINK("https://android.googlesource.com/platform/cts/+/19002cc10a00f9fb9e912ce54f7d22890159dd90", "19002cc10a00f9fb9e912ce54f7d22890159dd90")</f>
        <v>0</v>
      </c>
      <c r="C27109">
        <f>HYPERLINK("https://android.googlesource.com/platform/cts/+/c1463a271f1ddb5f372ba18e458c752aa76a5aff", "c1463a271f1ddb5f372ba18e458c752aa76a5aff")</f>
        <v>0</v>
      </c>
      <c r="D27109" t="s">
        <v>4986</v>
      </c>
      <c r="E27109" t="s">
        <v>7239</v>
      </c>
      <c r="F27109" t="s">
        <v>13249</v>
      </c>
      <c r="G27109" t="s">
        <v>17389</v>
      </c>
      <c r="H27109" t="s">
        <v>28785</v>
      </c>
    </row>
    <row r="27110" spans="1:8">
      <c r="H27110" t="s">
        <v>28786</v>
      </c>
    </row>
    <row r="27111" spans="1:8">
      <c r="A27111" t="s">
        <v>1475</v>
      </c>
      <c r="B27111">
        <f>HYPERLINK("https://android.googlesource.com/platform/cts/+/d88e016656aded7c8f4e808287225a80f829cf8b", "d88e016656aded7c8f4e808287225a80f829cf8b")</f>
        <v>0</v>
      </c>
      <c r="C27111">
        <f>HYPERLINK("https://android.googlesource.com/platform/cts/+/eb97c880df596df6575f0f22995c565797f03486", "eb97c880df596df6575f0f22995c565797f03486")</f>
        <v>0</v>
      </c>
      <c r="D27111" t="s">
        <v>5225</v>
      </c>
      <c r="E27111" t="s">
        <v>7240</v>
      </c>
      <c r="F27111" t="s">
        <v>13250</v>
      </c>
      <c r="G27111" t="s">
        <v>17390</v>
      </c>
      <c r="H27111" t="s">
        <v>18829</v>
      </c>
    </row>
    <row r="27112" spans="1:8">
      <c r="H27112" t="s">
        <v>28787</v>
      </c>
    </row>
    <row r="27113" spans="1:8">
      <c r="H27113" t="s">
        <v>28788</v>
      </c>
    </row>
    <row r="27114" spans="1:8">
      <c r="H27114" t="s">
        <v>28789</v>
      </c>
    </row>
    <row r="27115" spans="1:8">
      <c r="H27115" t="s">
        <v>28790</v>
      </c>
    </row>
    <row r="27116" spans="1:8">
      <c r="H27116" t="s">
        <v>28791</v>
      </c>
    </row>
    <row r="27117" spans="1:8">
      <c r="H27117" t="s">
        <v>28792</v>
      </c>
    </row>
    <row r="27118" spans="1:8">
      <c r="F27118" t="s">
        <v>13251</v>
      </c>
      <c r="G27118" t="s">
        <v>17391</v>
      </c>
      <c r="H27118" t="s">
        <v>18829</v>
      </c>
    </row>
    <row r="27119" spans="1:8">
      <c r="H27119" t="s">
        <v>28793</v>
      </c>
    </row>
    <row r="27120" spans="1:8">
      <c r="H27120" t="s">
        <v>28794</v>
      </c>
    </row>
    <row r="27121" spans="1:8">
      <c r="F27121" t="s">
        <v>13235</v>
      </c>
      <c r="G27121" t="s">
        <v>17374</v>
      </c>
      <c r="H27121" t="s">
        <v>28795</v>
      </c>
    </row>
    <row r="27122" spans="1:8">
      <c r="F27122" t="s">
        <v>13252</v>
      </c>
      <c r="G27122" t="s">
        <v>17392</v>
      </c>
      <c r="H27122" t="s">
        <v>18829</v>
      </c>
    </row>
    <row r="27123" spans="1:8">
      <c r="H27123" t="s">
        <v>28741</v>
      </c>
    </row>
    <row r="27124" spans="1:8">
      <c r="H27124" t="s">
        <v>28787</v>
      </c>
    </row>
    <row r="27125" spans="1:8">
      <c r="H27125" t="s">
        <v>28796</v>
      </c>
    </row>
    <row r="27126" spans="1:8">
      <c r="H27126" t="s">
        <v>28797</v>
      </c>
    </row>
    <row r="27127" spans="1:8">
      <c r="H27127" t="s">
        <v>28798</v>
      </c>
    </row>
    <row r="27128" spans="1:8">
      <c r="H27128" t="s">
        <v>28799</v>
      </c>
    </row>
    <row r="27129" spans="1:8">
      <c r="H27129" t="s">
        <v>18863</v>
      </c>
    </row>
    <row r="27130" spans="1:8">
      <c r="H27130" t="s">
        <v>28800</v>
      </c>
    </row>
    <row r="27131" spans="1:8">
      <c r="H27131" t="s">
        <v>28801</v>
      </c>
    </row>
    <row r="27132" spans="1:8">
      <c r="H27132" t="s">
        <v>28802</v>
      </c>
    </row>
    <row r="27133" spans="1:8">
      <c r="H27133" t="s">
        <v>28803</v>
      </c>
    </row>
    <row r="27134" spans="1:8">
      <c r="H27134" t="s">
        <v>28804</v>
      </c>
    </row>
    <row r="27135" spans="1:8">
      <c r="H27135" t="s">
        <v>28805</v>
      </c>
    </row>
    <row r="27136" spans="1:8">
      <c r="A27136" t="s">
        <v>1476</v>
      </c>
      <c r="B27136">
        <f>HYPERLINK("https://android.googlesource.com/platform/cts/+/bf8835b0fc7c836f91973aaef3e3a00f138feff4", "bf8835b0fc7c836f91973aaef3e3a00f138feff4")</f>
        <v>0</v>
      </c>
      <c r="C27136">
        <f>HYPERLINK("https://android.googlesource.com/platform/cts/+/522690f450072dc2f6f915d19833dd197cc7c404", "522690f450072dc2f6f915d19833dd197cc7c404")</f>
        <v>0</v>
      </c>
      <c r="D27136" t="s">
        <v>5021</v>
      </c>
      <c r="E27136" t="s">
        <v>7241</v>
      </c>
      <c r="F27136" t="s">
        <v>13253</v>
      </c>
      <c r="G27136" t="s">
        <v>16455</v>
      </c>
      <c r="H27136" t="s">
        <v>22005</v>
      </c>
    </row>
    <row r="27137" spans="1:8">
      <c r="F27137" t="s">
        <v>13254</v>
      </c>
      <c r="G27137" t="s">
        <v>16545</v>
      </c>
      <c r="H27137" t="s">
        <v>22005</v>
      </c>
    </row>
    <row r="27138" spans="1:8">
      <c r="A27138" t="s">
        <v>1477</v>
      </c>
      <c r="B27138">
        <f>HYPERLINK("https://android.googlesource.com/platform/cts/+/8e693239afbbb2095a4b6128a45fd8af69522b83", "8e693239afbbb2095a4b6128a45fd8af69522b83")</f>
        <v>0</v>
      </c>
      <c r="C27138">
        <f>HYPERLINK("https://android.googlesource.com/platform/cts/+/320d0f86337ca81bcda181a0cf4b5053dd3cea1b", "320d0f86337ca81bcda181a0cf4b5053dd3cea1b")</f>
        <v>0</v>
      </c>
      <c r="D27138" t="s">
        <v>5134</v>
      </c>
      <c r="E27138" t="s">
        <v>7242</v>
      </c>
      <c r="F27138" t="s">
        <v>13255</v>
      </c>
      <c r="G27138" t="s">
        <v>17393</v>
      </c>
      <c r="H27138" t="s">
        <v>28806</v>
      </c>
    </row>
    <row r="27139" spans="1:8">
      <c r="A27139" t="s">
        <v>1478</v>
      </c>
      <c r="B27139">
        <f>HYPERLINK("https://android.googlesource.com/platform/cts/+/f9cba22163b10ee61ede59e8e2d136dfd51e43f9", "f9cba22163b10ee61ede59e8e2d136dfd51e43f9")</f>
        <v>0</v>
      </c>
      <c r="C27139">
        <f>HYPERLINK("https://android.googlesource.com/platform/cts/+/2e6d8456b127923f50161f187d1ab07539b9285a", "2e6d8456b127923f50161f187d1ab07539b9285a")</f>
        <v>0</v>
      </c>
      <c r="D27139" t="s">
        <v>5134</v>
      </c>
      <c r="E27139" t="s">
        <v>7243</v>
      </c>
      <c r="F27139" t="s">
        <v>13241</v>
      </c>
      <c r="G27139" t="s">
        <v>17381</v>
      </c>
      <c r="H27139" t="s">
        <v>28807</v>
      </c>
    </row>
    <row r="27140" spans="1:8">
      <c r="A27140" t="s">
        <v>1479</v>
      </c>
      <c r="B27140">
        <f>HYPERLINK("https://android.googlesource.com/platform/cts/+/e5a0e293b4c4cce7a55aa4e019c92b6c67f74981", "e5a0e293b4c4cce7a55aa4e019c92b6c67f74981")</f>
        <v>0</v>
      </c>
      <c r="C27140">
        <f>HYPERLINK("https://android.googlesource.com/platform/cts/+/0edb7f51fd4c82bebcf4e6f5e76cef6e37d8f838", "0edb7f51fd4c82bebcf4e6f5e76cef6e37d8f838")</f>
        <v>0</v>
      </c>
      <c r="D27140" t="s">
        <v>5226</v>
      </c>
      <c r="E27140" t="s">
        <v>7244</v>
      </c>
      <c r="F27140" t="s">
        <v>12777</v>
      </c>
      <c r="G27140" t="s">
        <v>16962</v>
      </c>
      <c r="H27140" t="s">
        <v>28808</v>
      </c>
    </row>
    <row r="27141" spans="1:8">
      <c r="A27141" t="s">
        <v>1480</v>
      </c>
      <c r="B27141">
        <f>HYPERLINK("https://android.googlesource.com/platform/cts/+/902cd35d2e77a3193d1e6f4298b572a924a21135", "902cd35d2e77a3193d1e6f4298b572a924a21135")</f>
        <v>0</v>
      </c>
      <c r="C27141">
        <f>HYPERLINK("https://android.googlesource.com/platform/cts/+/23ebed0e9c50733a353b3c97f74f9a8d71f696df", "23ebed0e9c50733a353b3c97f74f9a8d71f696df")</f>
        <v>0</v>
      </c>
      <c r="D27141" t="s">
        <v>5227</v>
      </c>
      <c r="E27141" t="s">
        <v>7245</v>
      </c>
      <c r="F27141" t="s">
        <v>13121</v>
      </c>
      <c r="G27141" t="s">
        <v>17283</v>
      </c>
      <c r="H27141" t="s">
        <v>28809</v>
      </c>
    </row>
    <row r="27142" spans="1:8">
      <c r="A27142" t="s">
        <v>1481</v>
      </c>
      <c r="B27142">
        <f>HYPERLINK("https://android.googlesource.com/platform/cts/+/01e75a7a6a531bfe815e4be7bbc8ec0d46f67651", "01e75a7a6a531bfe815e4be7bbc8ec0d46f67651")</f>
        <v>0</v>
      </c>
      <c r="C27142">
        <f>HYPERLINK("https://android.googlesource.com/platform/cts/+/2a9c60c9e497f352f1a284a4eeb0206229fdc0e8", "2a9c60c9e497f352f1a284a4eeb0206229fdc0e8")</f>
        <v>0</v>
      </c>
      <c r="D27142" t="s">
        <v>5228</v>
      </c>
      <c r="E27142" t="s">
        <v>7246</v>
      </c>
      <c r="F27142" t="s">
        <v>13256</v>
      </c>
      <c r="G27142" t="s">
        <v>17394</v>
      </c>
      <c r="H27142" t="s">
        <v>28810</v>
      </c>
    </row>
    <row r="27143" spans="1:8">
      <c r="A27143" t="s">
        <v>1482</v>
      </c>
      <c r="B27143">
        <f>HYPERLINK("https://android.googlesource.com/platform/cts/+/4b3b9e34f262e475b90c83a45684880ba2d266f6", "4b3b9e34f262e475b90c83a45684880ba2d266f6")</f>
        <v>0</v>
      </c>
      <c r="C27143">
        <f>HYPERLINK("https://android.googlesource.com/platform/cts/+/8a5510f9d795b1532dd18e40fd7a7c8a2440f047", "8a5510f9d795b1532dd18e40fd7a7c8a2440f047")</f>
        <v>0</v>
      </c>
      <c r="D27143" t="s">
        <v>5117</v>
      </c>
      <c r="E27143" t="s">
        <v>7247</v>
      </c>
      <c r="F27143" t="s">
        <v>13241</v>
      </c>
      <c r="G27143" t="s">
        <v>17381</v>
      </c>
      <c r="H27143" t="s">
        <v>28811</v>
      </c>
    </row>
    <row r="27144" spans="1:8">
      <c r="H27144" t="s">
        <v>28812</v>
      </c>
    </row>
    <row r="27145" spans="1:8">
      <c r="A27145" t="s">
        <v>1483</v>
      </c>
      <c r="B27145">
        <f>HYPERLINK("https://android.googlesource.com/platform/cts/+/bf9348aac3303cec06bbcbfe5eb0c2dc1faeded6", "bf9348aac3303cec06bbcbfe5eb0c2dc1faeded6")</f>
        <v>0</v>
      </c>
      <c r="C27145">
        <f>HYPERLINK("https://android.googlesource.com/platform/cts/+/1b6437cd718e963c1038be43008d76ff678ac14d", "1b6437cd718e963c1038be43008d76ff678ac14d")</f>
        <v>0</v>
      </c>
      <c r="D27145" t="s">
        <v>5229</v>
      </c>
      <c r="E27145" t="s">
        <v>7248</v>
      </c>
      <c r="F27145" t="s">
        <v>10627</v>
      </c>
      <c r="G27145" t="s">
        <v>15030</v>
      </c>
      <c r="H27145" t="s">
        <v>28813</v>
      </c>
    </row>
    <row r="27146" spans="1:8">
      <c r="H27146" t="s">
        <v>28814</v>
      </c>
    </row>
    <row r="27147" spans="1:8">
      <c r="A27147" t="s">
        <v>1484</v>
      </c>
      <c r="B27147">
        <f>HYPERLINK("https://android.googlesource.com/platform/cts/+/cfa9b95a6123a036983de6e118d6a189afa5ac9e", "cfa9b95a6123a036983de6e118d6a189afa5ac9e")</f>
        <v>0</v>
      </c>
      <c r="C27147">
        <f>HYPERLINK("https://android.googlesource.com/platform/cts/+/c1fc6325b1168f58ea43eddd0c680e350b321161", "c1fc6325b1168f58ea43eddd0c680e350b321161")</f>
        <v>0</v>
      </c>
      <c r="D27147" t="s">
        <v>5117</v>
      </c>
      <c r="E27147" t="s">
        <v>7249</v>
      </c>
      <c r="F27147" t="s">
        <v>13257</v>
      </c>
      <c r="G27147" t="s">
        <v>17395</v>
      </c>
      <c r="H27147" t="s">
        <v>28815</v>
      </c>
    </row>
    <row r="27148" spans="1:8">
      <c r="H27148" t="s">
        <v>28816</v>
      </c>
    </row>
    <row r="27149" spans="1:8">
      <c r="H27149" t="s">
        <v>28817</v>
      </c>
    </row>
    <row r="27150" spans="1:8">
      <c r="A27150" t="s">
        <v>1485</v>
      </c>
      <c r="B27150">
        <f>HYPERLINK("https://android.googlesource.com/platform/cts/+/851c40c0e8331c68835b53e1bba0ef5a106fd3a3", "851c40c0e8331c68835b53e1bba0ef5a106fd3a3")</f>
        <v>0</v>
      </c>
      <c r="C27150">
        <f>HYPERLINK("https://android.googlesource.com/platform/cts/+/c77019853fe7d8e7623f9a38a053029c56d366e1", "c77019853fe7d8e7623f9a38a053029c56d366e1")</f>
        <v>0</v>
      </c>
      <c r="D27150" t="s">
        <v>5147</v>
      </c>
      <c r="E27150" t="s">
        <v>7250</v>
      </c>
      <c r="F27150" t="s">
        <v>12817</v>
      </c>
      <c r="G27150" t="s">
        <v>16629</v>
      </c>
      <c r="H27150" t="s">
        <v>28818</v>
      </c>
    </row>
    <row r="27151" spans="1:8">
      <c r="A27151" t="s">
        <v>1486</v>
      </c>
      <c r="B27151">
        <f>HYPERLINK("https://android.googlesource.com/platform/cts/+/43ad68171e4f1652c7bc556ec5924a3c8e83b8ab", "43ad68171e4f1652c7bc556ec5924a3c8e83b8ab")</f>
        <v>0</v>
      </c>
      <c r="C27151">
        <f>HYPERLINK("https://android.googlesource.com/platform/cts/+/e834e0fb68afc4539e50291d33ac3c8345b98ce8", "e834e0fb68afc4539e50291d33ac3c8345b98ce8")</f>
        <v>0</v>
      </c>
      <c r="D27151" t="s">
        <v>5143</v>
      </c>
      <c r="E27151" t="s">
        <v>7251</v>
      </c>
      <c r="F27151" t="s">
        <v>12986</v>
      </c>
      <c r="G27151" t="s">
        <v>17150</v>
      </c>
      <c r="H27151" t="s">
        <v>28819</v>
      </c>
    </row>
    <row r="27152" spans="1:8">
      <c r="H27152" t="s">
        <v>28820</v>
      </c>
    </row>
    <row r="27153" spans="1:8">
      <c r="A27153" t="s">
        <v>1487</v>
      </c>
      <c r="B27153">
        <f>HYPERLINK("https://android.googlesource.com/platform/cts/+/224b5b6e09b7de057aa4c25dd26aa5cb8ffea15e", "224b5b6e09b7de057aa4c25dd26aa5cb8ffea15e")</f>
        <v>0</v>
      </c>
      <c r="C27153">
        <f>HYPERLINK("https://android.googlesource.com/platform/cts/+/64368b8e25873c8141b260ce9244e1fd790f3cbf", "64368b8e25873c8141b260ce9244e1fd790f3cbf")</f>
        <v>0</v>
      </c>
      <c r="D27153" t="s">
        <v>5126</v>
      </c>
      <c r="E27153" t="s">
        <v>7252</v>
      </c>
      <c r="F27153" t="s">
        <v>12986</v>
      </c>
      <c r="G27153" t="s">
        <v>17150</v>
      </c>
      <c r="H27153" t="s">
        <v>28819</v>
      </c>
    </row>
    <row r="27154" spans="1:8">
      <c r="H27154" t="s">
        <v>28820</v>
      </c>
    </row>
    <row r="27155" spans="1:8">
      <c r="A27155" t="s">
        <v>1488</v>
      </c>
      <c r="B27155">
        <f>HYPERLINK("https://android.googlesource.com/platform/cts/+/9a997d5b3fd37c298822714294930b716010d7bf", "9a997d5b3fd37c298822714294930b716010d7bf")</f>
        <v>0</v>
      </c>
      <c r="C27155">
        <f>HYPERLINK("https://android.googlesource.com/platform/cts/+/0c5f797dc250f308f3cc16330c7e3aa8bf380fd4", "0c5f797dc250f308f3cc16330c7e3aa8bf380fd4")</f>
        <v>0</v>
      </c>
      <c r="D27155" t="s">
        <v>5118</v>
      </c>
      <c r="E27155" t="s">
        <v>7253</v>
      </c>
      <c r="F27155" t="s">
        <v>13165</v>
      </c>
      <c r="G27155" t="s">
        <v>17315</v>
      </c>
      <c r="H27155" t="s">
        <v>28821</v>
      </c>
    </row>
    <row r="27156" spans="1:8">
      <c r="A27156" t="s">
        <v>1489</v>
      </c>
      <c r="B27156">
        <f>HYPERLINK("https://android.googlesource.com/platform/cts/+/216716fadc7d379c8adfc9d41d51df466d2b006b", "216716fadc7d379c8adfc9d41d51df466d2b006b")</f>
        <v>0</v>
      </c>
      <c r="C27156">
        <f>HYPERLINK("https://android.googlesource.com/platform/cts/+/8727e443f85bf7d8393b38f0e0bbe8b39ae3c714", "8727e443f85bf7d8393b38f0e0bbe8b39ae3c714")</f>
        <v>0</v>
      </c>
      <c r="D27156" t="s">
        <v>4994</v>
      </c>
      <c r="E27156" t="s">
        <v>7254</v>
      </c>
      <c r="F27156" t="s">
        <v>13108</v>
      </c>
      <c r="G27156" t="s">
        <v>17270</v>
      </c>
      <c r="H27156" t="s">
        <v>28822</v>
      </c>
    </row>
    <row r="27157" spans="1:8">
      <c r="H27157" t="s">
        <v>28822</v>
      </c>
    </row>
    <row r="27158" spans="1:8">
      <c r="A27158" t="s">
        <v>1490</v>
      </c>
      <c r="B27158">
        <f>HYPERLINK("https://android.googlesource.com/platform/cts/+/070242952883a0cf690428d680bdcdd2ba7159c2", "070242952883a0cf690428d680bdcdd2ba7159c2")</f>
        <v>0</v>
      </c>
      <c r="C27158">
        <f>HYPERLINK("https://android.googlesource.com/platform/cts/+/4cbe1afaee22a5672fa040a0013544a4b76538b5", "4cbe1afaee22a5672fa040a0013544a4b76538b5")</f>
        <v>0</v>
      </c>
      <c r="D27158" t="s">
        <v>4928</v>
      </c>
      <c r="E27158" t="s">
        <v>7255</v>
      </c>
      <c r="F27158" t="s">
        <v>13258</v>
      </c>
      <c r="G27158" t="s">
        <v>17396</v>
      </c>
      <c r="H27158" t="s">
        <v>28823</v>
      </c>
    </row>
    <row r="27159" spans="1:8">
      <c r="A27159" t="s">
        <v>1491</v>
      </c>
      <c r="B27159">
        <f>HYPERLINK("https://android.googlesource.com/platform/cts/+/efdaee19cca51599e4afdbe7c93ffa97d60b9ac9", "efdaee19cca51599e4afdbe7c93ffa97d60b9ac9")</f>
        <v>0</v>
      </c>
      <c r="C27159">
        <f>HYPERLINK("https://android.googlesource.com/platform/cts/+/9c8fe6c2ec973929e191634f74840fe4df149416", "9c8fe6c2ec973929e191634f74840fe4df149416")</f>
        <v>0</v>
      </c>
      <c r="D27159" t="s">
        <v>5134</v>
      </c>
      <c r="E27159" t="s">
        <v>7256</v>
      </c>
      <c r="F27159" t="s">
        <v>13230</v>
      </c>
      <c r="G27159" t="s">
        <v>17371</v>
      </c>
      <c r="H27159" t="s">
        <v>28824</v>
      </c>
    </row>
    <row r="27160" spans="1:8">
      <c r="A27160" t="s">
        <v>1492</v>
      </c>
      <c r="B27160">
        <f>HYPERLINK("https://android.googlesource.com/platform/cts/+/14909e430c33f3ea065d4f61973b885ba0f3c19e", "14909e430c33f3ea065d4f61973b885ba0f3c19e")</f>
        <v>0</v>
      </c>
      <c r="C27160">
        <f>HYPERLINK("https://android.googlesource.com/platform/cts/+/11c086d028fa315d7f1149c59994c1e390164f1b", "11c086d028fa315d7f1149c59994c1e390164f1b")</f>
        <v>0</v>
      </c>
      <c r="D27160" t="s">
        <v>4966</v>
      </c>
      <c r="E27160" t="s">
        <v>7257</v>
      </c>
      <c r="F27160" t="s">
        <v>13259</v>
      </c>
      <c r="G27160" t="s">
        <v>17397</v>
      </c>
      <c r="H27160" t="s">
        <v>28825</v>
      </c>
    </row>
    <row r="27161" spans="1:8">
      <c r="F27161" t="s">
        <v>13260</v>
      </c>
      <c r="G27161" t="s">
        <v>17398</v>
      </c>
      <c r="H27161" t="s">
        <v>28825</v>
      </c>
    </row>
    <row r="27162" spans="1:8">
      <c r="A27162" t="s">
        <v>1493</v>
      </c>
      <c r="B27162">
        <f>HYPERLINK("https://android.googlesource.com/platform/cts/+/821a2c99bf3d64b427c0bf1dc8e16d5ac86192ee", "821a2c99bf3d64b427c0bf1dc8e16d5ac86192ee")</f>
        <v>0</v>
      </c>
      <c r="C27162">
        <f>HYPERLINK("https://android.googlesource.com/platform/cts/+/cf3d24a7b9d6532644d8ddaf0bfa183a7176d517", "cf3d24a7b9d6532644d8ddaf0bfa183a7176d517")</f>
        <v>0</v>
      </c>
      <c r="D27162" t="s">
        <v>4966</v>
      </c>
      <c r="E27162" t="s">
        <v>7258</v>
      </c>
      <c r="F27162" t="s">
        <v>13259</v>
      </c>
      <c r="G27162" t="s">
        <v>17397</v>
      </c>
      <c r="H27162" t="s">
        <v>28825</v>
      </c>
    </row>
    <row r="27163" spans="1:8">
      <c r="F27163" t="s">
        <v>13260</v>
      </c>
      <c r="G27163" t="s">
        <v>17398</v>
      </c>
      <c r="H27163" t="s">
        <v>28825</v>
      </c>
    </row>
    <row r="27164" spans="1:8">
      <c r="A27164" t="s">
        <v>1494</v>
      </c>
      <c r="B27164">
        <f>HYPERLINK("https://android.googlesource.com/platform/cts/+/d3389ea01af8c7388fe7f77b7d4cf0a2e70b2fd7", "d3389ea01af8c7388fe7f77b7d4cf0a2e70b2fd7")</f>
        <v>0</v>
      </c>
      <c r="C27164">
        <f>HYPERLINK("https://android.googlesource.com/platform/cts/+/62c121c39d347c9eec8569de20480f192ed791b5", "62c121c39d347c9eec8569de20480f192ed791b5")</f>
        <v>0</v>
      </c>
      <c r="D27164" t="s">
        <v>4981</v>
      </c>
      <c r="E27164" t="s">
        <v>7259</v>
      </c>
      <c r="F27164" t="s">
        <v>13261</v>
      </c>
      <c r="G27164" t="s">
        <v>17399</v>
      </c>
      <c r="H27164" t="s">
        <v>28826</v>
      </c>
    </row>
    <row r="27165" spans="1:8">
      <c r="H27165" t="s">
        <v>28827</v>
      </c>
    </row>
    <row r="27166" spans="1:8">
      <c r="H27166" t="s">
        <v>28828</v>
      </c>
    </row>
    <row r="27167" spans="1:8">
      <c r="H27167" t="s">
        <v>28829</v>
      </c>
    </row>
    <row r="27168" spans="1:8">
      <c r="H27168" t="s">
        <v>28830</v>
      </c>
    </row>
    <row r="27169" spans="1:8">
      <c r="H27169" t="s">
        <v>28831</v>
      </c>
    </row>
    <row r="27170" spans="1:8">
      <c r="H27170" t="s">
        <v>28832</v>
      </c>
    </row>
    <row r="27171" spans="1:8">
      <c r="H27171" t="s">
        <v>28833</v>
      </c>
    </row>
    <row r="27172" spans="1:8">
      <c r="H27172" t="s">
        <v>28834</v>
      </c>
    </row>
    <row r="27173" spans="1:8">
      <c r="H27173" t="s">
        <v>28835</v>
      </c>
    </row>
    <row r="27174" spans="1:8">
      <c r="H27174" t="s">
        <v>28836</v>
      </c>
    </row>
    <row r="27175" spans="1:8">
      <c r="H27175" t="s">
        <v>28837</v>
      </c>
    </row>
    <row r="27176" spans="1:8">
      <c r="A27176" t="s">
        <v>1495</v>
      </c>
      <c r="B27176">
        <f>HYPERLINK("https://android.googlesource.com/platform/cts/+/01fc0a5868c5ba2b97a60f0f3457f12746b97900", "01fc0a5868c5ba2b97a60f0f3457f12746b97900")</f>
        <v>0</v>
      </c>
      <c r="C27176">
        <f>HYPERLINK("https://android.googlesource.com/platform/cts/+/a271a96dd6e1027ba752428663f70ce5bee2eb1e", "a271a96dd6e1027ba752428663f70ce5bee2eb1e")</f>
        <v>0</v>
      </c>
      <c r="D27176" t="s">
        <v>5214</v>
      </c>
      <c r="E27176" t="s">
        <v>7260</v>
      </c>
      <c r="F27176" t="s">
        <v>13225</v>
      </c>
      <c r="G27176" t="s">
        <v>17366</v>
      </c>
      <c r="H27176" t="s">
        <v>28838</v>
      </c>
    </row>
    <row r="27177" spans="1:8">
      <c r="A27177" t="s">
        <v>1496</v>
      </c>
      <c r="B27177">
        <f>HYPERLINK("https://android.googlesource.com/platform/cts/+/c2302aca3309446b98cf086e3b3f2cb5304afd1a", "c2302aca3309446b98cf086e3b3f2cb5304afd1a")</f>
        <v>0</v>
      </c>
      <c r="C27177">
        <f>HYPERLINK("https://android.googlesource.com/platform/cts/+/04127df5e8708130ccf6f11a95c7e87f0549d8b0", "04127df5e8708130ccf6f11a95c7e87f0549d8b0")</f>
        <v>0</v>
      </c>
      <c r="D27177" t="s">
        <v>5134</v>
      </c>
      <c r="E27177" t="s">
        <v>7261</v>
      </c>
      <c r="F27177" t="s">
        <v>13230</v>
      </c>
      <c r="G27177" t="s">
        <v>17371</v>
      </c>
      <c r="H27177" t="s">
        <v>28839</v>
      </c>
    </row>
    <row r="27178" spans="1:8">
      <c r="F27178" t="s">
        <v>13255</v>
      </c>
      <c r="G27178" t="s">
        <v>17393</v>
      </c>
      <c r="H27178" t="s">
        <v>28840</v>
      </c>
    </row>
    <row r="27179" spans="1:8">
      <c r="A27179" t="s">
        <v>1497</v>
      </c>
      <c r="B27179">
        <f>HYPERLINK("https://android.googlesource.com/platform/cts/+/7a5ca2fa1ee2d5e1eea72d787c12cdcbed984008", "7a5ca2fa1ee2d5e1eea72d787c12cdcbed984008")</f>
        <v>0</v>
      </c>
      <c r="C27179">
        <f>HYPERLINK("https://android.googlesource.com/platform/cts/+/c91762707037511a1700a481f305683ab86424d7", "c91762707037511a1700a481f305683ab86424d7")</f>
        <v>0</v>
      </c>
      <c r="D27179" t="s">
        <v>5230</v>
      </c>
      <c r="E27179" t="s">
        <v>7262</v>
      </c>
      <c r="F27179" t="s">
        <v>13262</v>
      </c>
      <c r="G27179" t="s">
        <v>17400</v>
      </c>
      <c r="H27179" t="s">
        <v>19753</v>
      </c>
    </row>
    <row r="27180" spans="1:8">
      <c r="H27180" t="s">
        <v>19754</v>
      </c>
    </row>
    <row r="27181" spans="1:8">
      <c r="H27181" t="s">
        <v>24966</v>
      </c>
    </row>
    <row r="27182" spans="1:8">
      <c r="H27182" t="s">
        <v>18829</v>
      </c>
    </row>
    <row r="27183" spans="1:8">
      <c r="H27183" t="s">
        <v>18863</v>
      </c>
    </row>
    <row r="27184" spans="1:8">
      <c r="H27184" t="s">
        <v>28841</v>
      </c>
    </row>
    <row r="27185" spans="1:8">
      <c r="H27185" t="s">
        <v>28842</v>
      </c>
    </row>
    <row r="27186" spans="1:8">
      <c r="H27186" t="s">
        <v>28843</v>
      </c>
    </row>
    <row r="27187" spans="1:8">
      <c r="H27187" t="s">
        <v>28844</v>
      </c>
    </row>
    <row r="27188" spans="1:8">
      <c r="H27188" t="s">
        <v>28845</v>
      </c>
    </row>
    <row r="27189" spans="1:8">
      <c r="H27189" t="s">
        <v>28846</v>
      </c>
    </row>
    <row r="27190" spans="1:8">
      <c r="A27190" t="s">
        <v>1498</v>
      </c>
      <c r="B27190">
        <f>HYPERLINK("https://android.googlesource.com/platform/cts/+/84f58b784f4772cb4747c017646c14f786d12f7b", "84f58b784f4772cb4747c017646c14f786d12f7b")</f>
        <v>0</v>
      </c>
      <c r="C27190">
        <f>HYPERLINK("https://android.googlesource.com/platform/cts/+/afca158ab14b6f01854c11bcec42e58306765926", "afca158ab14b6f01854c11bcec42e58306765926")</f>
        <v>0</v>
      </c>
      <c r="D27190" t="s">
        <v>5111</v>
      </c>
      <c r="E27190" t="s">
        <v>7263</v>
      </c>
      <c r="F27190" t="s">
        <v>12180</v>
      </c>
      <c r="G27190" t="s">
        <v>16419</v>
      </c>
      <c r="H27190" t="s">
        <v>28847</v>
      </c>
    </row>
    <row r="27191" spans="1:8">
      <c r="H27191" t="s">
        <v>28848</v>
      </c>
    </row>
    <row r="27192" spans="1:8">
      <c r="H27192" t="s">
        <v>28849</v>
      </c>
    </row>
    <row r="27193" spans="1:8">
      <c r="H27193" t="s">
        <v>28850</v>
      </c>
    </row>
    <row r="27194" spans="1:8">
      <c r="A27194" t="s">
        <v>1499</v>
      </c>
      <c r="B27194">
        <f>HYPERLINK("https://android.googlesource.com/platform/cts/+/afd814317ab9f3350200f9d66674aee933dd5d36", "afd814317ab9f3350200f9d66674aee933dd5d36")</f>
        <v>0</v>
      </c>
      <c r="C27194">
        <f>HYPERLINK("https://android.googlesource.com/platform/cts/+/9059039545ded741f6cfdba0829769ba5e829037", "9059039545ded741f6cfdba0829769ba5e829037")</f>
        <v>0</v>
      </c>
      <c r="D27194" t="s">
        <v>4981</v>
      </c>
      <c r="E27194" t="s">
        <v>7264</v>
      </c>
      <c r="F27194" t="s">
        <v>13261</v>
      </c>
      <c r="G27194" t="s">
        <v>17399</v>
      </c>
      <c r="H27194" t="s">
        <v>28851</v>
      </c>
    </row>
    <row r="27195" spans="1:8">
      <c r="F27195" t="s">
        <v>13263</v>
      </c>
      <c r="G27195" t="s">
        <v>17401</v>
      </c>
      <c r="H27195" t="s">
        <v>28852</v>
      </c>
    </row>
    <row r="27196" spans="1:8">
      <c r="A27196" t="s">
        <v>1500</v>
      </c>
      <c r="B27196">
        <f>HYPERLINK("https://android.googlesource.com/platform/cts/+/6209cbc21c125559baa127f82cf297373e9ee182", "6209cbc21c125559baa127f82cf297373e9ee182")</f>
        <v>0</v>
      </c>
      <c r="C27196">
        <f>HYPERLINK("https://android.googlesource.com/platform/cts/+/68a5a2f01b08ae04159372ee7e80417bc4a2a327", "68a5a2f01b08ae04159372ee7e80417bc4a2a327")</f>
        <v>0</v>
      </c>
      <c r="D27196" t="s">
        <v>4971</v>
      </c>
      <c r="E27196" t="s">
        <v>7265</v>
      </c>
      <c r="F27196" t="s">
        <v>13264</v>
      </c>
      <c r="G27196" t="s">
        <v>17402</v>
      </c>
      <c r="H27196" t="s">
        <v>28853</v>
      </c>
    </row>
    <row r="27197" spans="1:8">
      <c r="A27197" t="s">
        <v>1501</v>
      </c>
      <c r="B27197">
        <f>HYPERLINK("https://android.googlesource.com/platform/cts/+/13c4120cab912ffc93d9fff1added9efa962ae08", "13c4120cab912ffc93d9fff1added9efa962ae08")</f>
        <v>0</v>
      </c>
      <c r="C27197">
        <f>HYPERLINK("https://android.googlesource.com/platform/cts/+/ab0227b5f6601858aa2052c59116bdf8ec6288d4", "ab0227b5f6601858aa2052c59116bdf8ec6288d4")</f>
        <v>0</v>
      </c>
      <c r="D27197" t="s">
        <v>5231</v>
      </c>
      <c r="E27197" t="s">
        <v>7266</v>
      </c>
      <c r="F27197" t="s">
        <v>10689</v>
      </c>
      <c r="G27197" t="s">
        <v>15089</v>
      </c>
      <c r="H27197" t="s">
        <v>28854</v>
      </c>
    </row>
    <row r="27198" spans="1:8">
      <c r="H27198" t="s">
        <v>28855</v>
      </c>
    </row>
    <row r="27199" spans="1:8">
      <c r="H27199" t="s">
        <v>28856</v>
      </c>
    </row>
    <row r="27200" spans="1:8">
      <c r="H27200" t="s">
        <v>28857</v>
      </c>
    </row>
    <row r="27201" spans="1:8">
      <c r="H27201" t="s">
        <v>28858</v>
      </c>
    </row>
    <row r="27202" spans="1:8">
      <c r="A27202" t="s">
        <v>1502</v>
      </c>
      <c r="B27202">
        <f>HYPERLINK("https://android.googlesource.com/platform/cts/+/680132d13fad6624b49d8b18807a05d32cfd11f8", "680132d13fad6624b49d8b18807a05d32cfd11f8")</f>
        <v>0</v>
      </c>
      <c r="C27202">
        <f>HYPERLINK("https://android.googlesource.com/platform/cts/+/191c16b50fd5b40dca5556934bb0166ad5417c63", "191c16b50fd5b40dca5556934bb0166ad5417c63")</f>
        <v>0</v>
      </c>
      <c r="D27202" t="s">
        <v>4928</v>
      </c>
      <c r="E27202" t="s">
        <v>7267</v>
      </c>
      <c r="F27202" t="s">
        <v>12897</v>
      </c>
      <c r="G27202" t="s">
        <v>16824</v>
      </c>
      <c r="H27202" t="s">
        <v>28859</v>
      </c>
    </row>
    <row r="27203" spans="1:8">
      <c r="H27203" t="s">
        <v>28860</v>
      </c>
    </row>
    <row r="27204" spans="1:8">
      <c r="H27204" t="s">
        <v>28861</v>
      </c>
    </row>
    <row r="27205" spans="1:8">
      <c r="H27205" t="s">
        <v>19267</v>
      </c>
    </row>
    <row r="27206" spans="1:8">
      <c r="H27206" t="s">
        <v>28862</v>
      </c>
    </row>
    <row r="27207" spans="1:8">
      <c r="H27207" t="s">
        <v>28863</v>
      </c>
    </row>
    <row r="27208" spans="1:8">
      <c r="H27208" t="s">
        <v>28864</v>
      </c>
    </row>
    <row r="27209" spans="1:8">
      <c r="H27209" t="s">
        <v>26391</v>
      </c>
    </row>
    <row r="27210" spans="1:8">
      <c r="H27210" t="s">
        <v>28865</v>
      </c>
    </row>
    <row r="27211" spans="1:8">
      <c r="H27211" t="s">
        <v>28478</v>
      </c>
    </row>
    <row r="27212" spans="1:8">
      <c r="H27212" t="s">
        <v>28866</v>
      </c>
    </row>
    <row r="27213" spans="1:8">
      <c r="H27213" t="s">
        <v>19753</v>
      </c>
    </row>
    <row r="27214" spans="1:8">
      <c r="H27214" t="s">
        <v>19754</v>
      </c>
    </row>
    <row r="27215" spans="1:8">
      <c r="A27215" t="s">
        <v>1503</v>
      </c>
      <c r="B27215">
        <f>HYPERLINK("https://android.googlesource.com/platform/cts/+/3cc3dc6c786ee3000cc66c2a3c1d96ba3bb0a823", "3cc3dc6c786ee3000cc66c2a3c1d96ba3bb0a823")</f>
        <v>0</v>
      </c>
      <c r="C27215">
        <f>HYPERLINK("https://android.googlesource.com/platform/cts/+/ed106a26167f71600fe264b0aef16ac249d926f1", "ed106a26167f71600fe264b0aef16ac249d926f1")</f>
        <v>0</v>
      </c>
      <c r="D27215" t="s">
        <v>5219</v>
      </c>
      <c r="E27215" t="s">
        <v>7268</v>
      </c>
      <c r="F27215" t="s">
        <v>13265</v>
      </c>
      <c r="G27215" t="s">
        <v>17403</v>
      </c>
      <c r="H27215" t="s">
        <v>28867</v>
      </c>
    </row>
    <row r="27216" spans="1:8">
      <c r="F27216" t="s">
        <v>13266</v>
      </c>
      <c r="G27216" t="s">
        <v>17404</v>
      </c>
      <c r="H27216" t="s">
        <v>28867</v>
      </c>
    </row>
    <row r="27217" spans="1:8">
      <c r="A27217" t="s">
        <v>1504</v>
      </c>
      <c r="B27217">
        <f>HYPERLINK("https://android.googlesource.com/platform/cts/+/0b20b47edcd7741be6dfa5b20398e1986ab80357", "0b20b47edcd7741be6dfa5b20398e1986ab80357")</f>
        <v>0</v>
      </c>
      <c r="C27217">
        <f>HYPERLINK("https://android.googlesource.com/platform/cts/+/65e01ca94335701d0d1b1bbdc748d3cf56c31c9a", "65e01ca94335701d0d1b1bbdc748d3cf56c31c9a")</f>
        <v>0</v>
      </c>
      <c r="D27217" t="s">
        <v>5232</v>
      </c>
      <c r="E27217" t="s">
        <v>7269</v>
      </c>
      <c r="F27217" t="s">
        <v>12817</v>
      </c>
      <c r="G27217" t="s">
        <v>16629</v>
      </c>
      <c r="H27217" t="s">
        <v>22751</v>
      </c>
    </row>
    <row r="27218" spans="1:8">
      <c r="A27218" t="s">
        <v>1505</v>
      </c>
      <c r="B27218">
        <f>HYPERLINK("https://android.googlesource.com/platform/cts/+/e6f67faee9d3f923cfc539c0583ec4f23ed9e748", "e6f67faee9d3f923cfc539c0583ec4f23ed9e748")</f>
        <v>0</v>
      </c>
      <c r="C27218">
        <f>HYPERLINK("https://android.googlesource.com/platform/cts/+/e0526d21c392f4befac541b52258bb36a70104a6", "e0526d21c392f4befac541b52258bb36a70104a6")</f>
        <v>0</v>
      </c>
      <c r="D27218" t="s">
        <v>5231</v>
      </c>
      <c r="E27218" t="s">
        <v>7270</v>
      </c>
      <c r="F27218" t="s">
        <v>10689</v>
      </c>
      <c r="G27218" t="s">
        <v>15089</v>
      </c>
      <c r="H27218" t="s">
        <v>28854</v>
      </c>
    </row>
    <row r="27219" spans="1:8">
      <c r="H27219" t="s">
        <v>28855</v>
      </c>
    </row>
    <row r="27220" spans="1:8">
      <c r="H27220" t="s">
        <v>28856</v>
      </c>
    </row>
    <row r="27221" spans="1:8">
      <c r="H27221" t="s">
        <v>28857</v>
      </c>
    </row>
    <row r="27222" spans="1:8">
      <c r="H27222" t="s">
        <v>28858</v>
      </c>
    </row>
    <row r="27223" spans="1:8">
      <c r="A27223" t="s">
        <v>1506</v>
      </c>
      <c r="B27223">
        <f>HYPERLINK("https://android.googlesource.com/platform/cts/+/7a181b9da390a480e24d0fcf0db713d1d4024234", "7a181b9da390a480e24d0fcf0db713d1d4024234")</f>
        <v>0</v>
      </c>
      <c r="C27223">
        <f>HYPERLINK("https://android.googlesource.com/platform/cts/+/84fa53842716e4e0a58eb7de6eae145cb5135e60", "84fa53842716e4e0a58eb7de6eae145cb5135e60")</f>
        <v>0</v>
      </c>
      <c r="D27223" t="s">
        <v>5130</v>
      </c>
      <c r="E27223" t="s">
        <v>7271</v>
      </c>
      <c r="F27223" t="s">
        <v>12211</v>
      </c>
      <c r="G27223" t="s">
        <v>16449</v>
      </c>
      <c r="H27223" t="s">
        <v>28868</v>
      </c>
    </row>
    <row r="27224" spans="1:8">
      <c r="H27224" t="s">
        <v>28869</v>
      </c>
    </row>
    <row r="27225" spans="1:8">
      <c r="H27225" t="s">
        <v>21524</v>
      </c>
    </row>
    <row r="27226" spans="1:8">
      <c r="A27226" t="s">
        <v>1507</v>
      </c>
      <c r="B27226">
        <f>HYPERLINK("https://android.googlesource.com/platform/cts/+/25ea2597fb9cba7d63d22bb322e58b136785bd6c", "25ea2597fb9cba7d63d22bb322e58b136785bd6c")</f>
        <v>0</v>
      </c>
      <c r="C27226">
        <f>HYPERLINK("https://android.googlesource.com/platform/cts/+/8399eefd05a32ad1b52a82e4a0465bb9564c462e", "8399eefd05a32ad1b52a82e4a0465bb9564c462e")</f>
        <v>0</v>
      </c>
      <c r="D27226" t="s">
        <v>5141</v>
      </c>
      <c r="E27226" t="s">
        <v>7272</v>
      </c>
      <c r="F27226" t="s">
        <v>13267</v>
      </c>
      <c r="G27226" t="s">
        <v>17405</v>
      </c>
      <c r="H27226" t="s">
        <v>28870</v>
      </c>
    </row>
    <row r="27227" spans="1:8">
      <c r="A27227" t="s">
        <v>1508</v>
      </c>
      <c r="B27227">
        <f>HYPERLINK("https://android.googlesource.com/platform/cts/+/07418524352c75ca9b293c035246995d2d550f8b", "07418524352c75ca9b293c035246995d2d550f8b")</f>
        <v>0</v>
      </c>
      <c r="C27227">
        <f>HYPERLINK("https://android.googlesource.com/platform/cts/+/b864109ea4648b4ce838a097f6f3ae4c78207876", "b864109ea4648b4ce838a097f6f3ae4c78207876")</f>
        <v>0</v>
      </c>
      <c r="D27227" t="s">
        <v>5163</v>
      </c>
      <c r="E27227" t="s">
        <v>7273</v>
      </c>
      <c r="F27227" t="s">
        <v>13268</v>
      </c>
      <c r="G27227" t="s">
        <v>17406</v>
      </c>
      <c r="H27227" t="s">
        <v>18829</v>
      </c>
    </row>
    <row r="27228" spans="1:8">
      <c r="H27228" t="s">
        <v>28871</v>
      </c>
    </row>
    <row r="27229" spans="1:8">
      <c r="H27229" t="s">
        <v>28872</v>
      </c>
    </row>
    <row r="27230" spans="1:8">
      <c r="H27230" t="s">
        <v>28873</v>
      </c>
    </row>
    <row r="27231" spans="1:8">
      <c r="H27231" t="s">
        <v>28874</v>
      </c>
    </row>
    <row r="27232" spans="1:8">
      <c r="H27232" t="s">
        <v>28875</v>
      </c>
    </row>
    <row r="27233" spans="1:8">
      <c r="H27233" t="s">
        <v>28876</v>
      </c>
    </row>
    <row r="27234" spans="1:8">
      <c r="H27234" t="s">
        <v>28877</v>
      </c>
    </row>
    <row r="27235" spans="1:8">
      <c r="H27235" t="s">
        <v>28878</v>
      </c>
    </row>
    <row r="27236" spans="1:8">
      <c r="H27236" t="s">
        <v>28879</v>
      </c>
    </row>
    <row r="27237" spans="1:8">
      <c r="F27237" t="s">
        <v>13269</v>
      </c>
      <c r="G27237" t="s">
        <v>17407</v>
      </c>
      <c r="H27237" t="s">
        <v>28880</v>
      </c>
    </row>
    <row r="27238" spans="1:8">
      <c r="H27238" t="s">
        <v>28881</v>
      </c>
    </row>
    <row r="27239" spans="1:8">
      <c r="H27239" t="s">
        <v>28882</v>
      </c>
    </row>
    <row r="27240" spans="1:8">
      <c r="H27240" t="s">
        <v>28883</v>
      </c>
    </row>
    <row r="27241" spans="1:8">
      <c r="H27241" t="s">
        <v>28884</v>
      </c>
    </row>
    <row r="27242" spans="1:8">
      <c r="H27242" t="s">
        <v>28885</v>
      </c>
    </row>
    <row r="27243" spans="1:8">
      <c r="H27243" t="s">
        <v>28886</v>
      </c>
    </row>
    <row r="27244" spans="1:8">
      <c r="H27244" t="s">
        <v>28887</v>
      </c>
    </row>
    <row r="27245" spans="1:8">
      <c r="H27245" t="s">
        <v>28888</v>
      </c>
    </row>
    <row r="27246" spans="1:8">
      <c r="H27246" t="s">
        <v>28889</v>
      </c>
    </row>
    <row r="27247" spans="1:8">
      <c r="A27247" t="s">
        <v>1509</v>
      </c>
      <c r="B27247">
        <f>HYPERLINK("https://android.googlesource.com/platform/cts/+/6253c1f4694c8577e808a020f37df70fd838bd30", "6253c1f4694c8577e808a020f37df70fd838bd30")</f>
        <v>0</v>
      </c>
      <c r="C27247">
        <f>HYPERLINK("https://android.googlesource.com/platform/cts/+/11f70ee6af9b79d1bb92361065e68f95fe776ab0", "11f70ee6af9b79d1bb92361065e68f95fe776ab0")</f>
        <v>0</v>
      </c>
      <c r="D27247" t="s">
        <v>5233</v>
      </c>
      <c r="E27247" t="s">
        <v>7274</v>
      </c>
      <c r="F27247" t="s">
        <v>13270</v>
      </c>
      <c r="G27247" t="s">
        <v>15024</v>
      </c>
      <c r="H27247" t="s">
        <v>28890</v>
      </c>
    </row>
    <row r="27248" spans="1:8">
      <c r="H27248" t="s">
        <v>28891</v>
      </c>
    </row>
    <row r="27249" spans="1:8">
      <c r="A27249" t="s">
        <v>1510</v>
      </c>
      <c r="B27249">
        <f>HYPERLINK("https://android.googlesource.com/platform/cts/+/cc8b18507041fb1e9387c03135bf7ac173b5ae46", "cc8b18507041fb1e9387c03135bf7ac173b5ae46")</f>
        <v>0</v>
      </c>
      <c r="C27249">
        <f>HYPERLINK("https://android.googlesource.com/platform/cts/+/c651567f7e8859cef31ba61cba7a979b4297b720", "c651567f7e8859cef31ba61cba7a979b4297b720")</f>
        <v>0</v>
      </c>
      <c r="D27249" t="s">
        <v>5059</v>
      </c>
      <c r="E27249" t="s">
        <v>7275</v>
      </c>
      <c r="F27249" t="s">
        <v>13271</v>
      </c>
      <c r="G27249" t="s">
        <v>17408</v>
      </c>
      <c r="H27249" t="s">
        <v>28892</v>
      </c>
    </row>
    <row r="27250" spans="1:8">
      <c r="A27250" t="s">
        <v>1511</v>
      </c>
      <c r="B27250">
        <f>HYPERLINK("https://android.googlesource.com/platform/cts/+/b4f0b90b0103bc9643f92ebfa0aa54865b0fadee", "b4f0b90b0103bc9643f92ebfa0aa54865b0fadee")</f>
        <v>0</v>
      </c>
      <c r="C27250">
        <f>HYPERLINK("https://android.googlesource.com/platform/cts/+/8ed63f6fef3b2e5cdd4ea617e55a8803a00f4e38", "8ed63f6fef3b2e5cdd4ea617e55a8803a00f4e38")</f>
        <v>0</v>
      </c>
      <c r="D27250" t="s">
        <v>4997</v>
      </c>
      <c r="E27250" t="s">
        <v>7276</v>
      </c>
      <c r="F27250" t="s">
        <v>13272</v>
      </c>
      <c r="G27250" t="s">
        <v>17409</v>
      </c>
      <c r="H27250" t="s">
        <v>28893</v>
      </c>
    </row>
    <row r="27251" spans="1:8">
      <c r="H27251" t="s">
        <v>28894</v>
      </c>
    </row>
    <row r="27252" spans="1:8">
      <c r="H27252" t="s">
        <v>26563</v>
      </c>
    </row>
    <row r="27253" spans="1:8">
      <c r="A27253" t="s">
        <v>1512</v>
      </c>
      <c r="B27253">
        <f>HYPERLINK("https://android.googlesource.com/platform/cts/+/f61fa2b6db49f4c6133c9ef465995061b6a882d7", "f61fa2b6db49f4c6133c9ef465995061b6a882d7")</f>
        <v>0</v>
      </c>
      <c r="C27253">
        <f>HYPERLINK("https://android.googlesource.com/platform/cts/+/f134dd48f68a72306f9682f9572d7d9546603b32", "f134dd48f68a72306f9682f9572d7d9546603b32")</f>
        <v>0</v>
      </c>
      <c r="D27253" t="s">
        <v>5118</v>
      </c>
      <c r="E27253" t="s">
        <v>7277</v>
      </c>
      <c r="F27253" t="s">
        <v>13273</v>
      </c>
      <c r="G27253" t="s">
        <v>17410</v>
      </c>
      <c r="H27253" t="s">
        <v>18829</v>
      </c>
    </row>
    <row r="27254" spans="1:8">
      <c r="H27254" t="s">
        <v>19013</v>
      </c>
    </row>
    <row r="27255" spans="1:8">
      <c r="H27255" t="s">
        <v>18836</v>
      </c>
    </row>
    <row r="27256" spans="1:8">
      <c r="H27256" t="s">
        <v>18835</v>
      </c>
    </row>
    <row r="27257" spans="1:8">
      <c r="F27257" t="s">
        <v>13274</v>
      </c>
      <c r="G27257" t="s">
        <v>17411</v>
      </c>
      <c r="H27257" t="s">
        <v>18829</v>
      </c>
    </row>
    <row r="27258" spans="1:8">
      <c r="H27258" t="s">
        <v>19013</v>
      </c>
    </row>
    <row r="27259" spans="1:8">
      <c r="H27259" t="s">
        <v>18836</v>
      </c>
    </row>
    <row r="27260" spans="1:8">
      <c r="H27260" t="s">
        <v>18835</v>
      </c>
    </row>
    <row r="27261" spans="1:8">
      <c r="A27261" t="s">
        <v>1513</v>
      </c>
      <c r="B27261">
        <f>HYPERLINK("https://android.googlesource.com/platform/cts/+/63bee85cf95dc3533a0e1f2ef97c997207fff987", "63bee85cf95dc3533a0e1f2ef97c997207fff987")</f>
        <v>0</v>
      </c>
      <c r="C27261">
        <f>HYPERLINK("https://android.googlesource.com/platform/cts/+/61b89d0b12b4da5170898b4796485e46032c4981", "61b89d0b12b4da5170898b4796485e46032c4981")</f>
        <v>0</v>
      </c>
      <c r="D27261" t="s">
        <v>5141</v>
      </c>
      <c r="E27261" t="s">
        <v>7278</v>
      </c>
      <c r="F27261" t="s">
        <v>13267</v>
      </c>
      <c r="G27261" t="s">
        <v>17405</v>
      </c>
      <c r="H27261" t="s">
        <v>28870</v>
      </c>
    </row>
    <row r="27262" spans="1:8">
      <c r="A27262" t="s">
        <v>1514</v>
      </c>
      <c r="B27262">
        <f>HYPERLINK("https://android.googlesource.com/platform/cts/+/ae13020ad3b8dbf51cb7231cf3921a0850affb19", "ae13020ad3b8dbf51cb7231cf3921a0850affb19")</f>
        <v>0</v>
      </c>
      <c r="C27262">
        <f>HYPERLINK("https://android.googlesource.com/platform/cts/+/b5a1aff1c339940d8598866e31e27cd564e935c0", "b5a1aff1c339940d8598866e31e27cd564e935c0")</f>
        <v>0</v>
      </c>
      <c r="D27262" t="s">
        <v>5141</v>
      </c>
      <c r="E27262" t="s">
        <v>7279</v>
      </c>
      <c r="F27262" t="s">
        <v>13267</v>
      </c>
      <c r="G27262" t="s">
        <v>17405</v>
      </c>
      <c r="H27262" t="s">
        <v>18829</v>
      </c>
    </row>
    <row r="27263" spans="1:8">
      <c r="H27263" t="s">
        <v>28895</v>
      </c>
    </row>
    <row r="27264" spans="1:8">
      <c r="H27264" t="s">
        <v>28896</v>
      </c>
    </row>
    <row r="27265" spans="1:8">
      <c r="A27265" t="s">
        <v>1515</v>
      </c>
      <c r="B27265">
        <f>HYPERLINK("https://android.googlesource.com/platform/cts/+/cb0479f80a93aaefdfb1a35d6ed32acf40728b87", "cb0479f80a93aaefdfb1a35d6ed32acf40728b87")</f>
        <v>0</v>
      </c>
      <c r="C27265">
        <f>HYPERLINK("https://android.googlesource.com/platform/cts/+/9e6e26ad74d3cd9546c0b52e1849f87e794d934d", "9e6e26ad74d3cd9546c0b52e1849f87e794d934d")</f>
        <v>0</v>
      </c>
      <c r="D27265" t="s">
        <v>5215</v>
      </c>
      <c r="E27265" t="s">
        <v>7280</v>
      </c>
      <c r="F27265" t="s">
        <v>13020</v>
      </c>
      <c r="G27265" t="s">
        <v>17184</v>
      </c>
      <c r="H27265" t="s">
        <v>28897</v>
      </c>
    </row>
    <row r="27266" spans="1:8">
      <c r="H27266" t="s">
        <v>28898</v>
      </c>
    </row>
    <row r="27267" spans="1:8">
      <c r="A27267" t="s">
        <v>1516</v>
      </c>
      <c r="B27267">
        <f>HYPERLINK("https://android.googlesource.com/platform/cts/+/f931bf800c3cd1423bda09c5da2bc623dfe6cd49", "f931bf800c3cd1423bda09c5da2bc623dfe6cd49")</f>
        <v>0</v>
      </c>
      <c r="C27267">
        <f>HYPERLINK("https://android.googlesource.com/platform/cts/+/c651567f7e8859cef31ba61cba7a979b4297b720", "c651567f7e8859cef31ba61cba7a979b4297b720")</f>
        <v>0</v>
      </c>
      <c r="D27267" t="s">
        <v>5085</v>
      </c>
      <c r="E27267" t="s">
        <v>7281</v>
      </c>
      <c r="F27267" t="s">
        <v>13275</v>
      </c>
      <c r="G27267" t="s">
        <v>17412</v>
      </c>
      <c r="H27267" t="s">
        <v>28899</v>
      </c>
    </row>
    <row r="27268" spans="1:8">
      <c r="F27268" t="s">
        <v>13276</v>
      </c>
      <c r="G27268" t="s">
        <v>17413</v>
      </c>
      <c r="H27268" t="s">
        <v>28900</v>
      </c>
    </row>
    <row r="27269" spans="1:8">
      <c r="A27269" t="s">
        <v>1517</v>
      </c>
      <c r="B27269">
        <f>HYPERLINK("https://android.googlesource.com/platform/cts/+/aa447ec5f85d97d9f1c793ed71463e1955292678", "aa447ec5f85d97d9f1c793ed71463e1955292678")</f>
        <v>0</v>
      </c>
      <c r="C27269">
        <f>HYPERLINK("https://android.googlesource.com/platform/cts/+/706e4886d5474f0a1513faa0d71cb0fedd96f9c3", "706e4886d5474f0a1513faa0d71cb0fedd96f9c3")</f>
        <v>0</v>
      </c>
      <c r="D27269" t="s">
        <v>5146</v>
      </c>
      <c r="E27269" t="s">
        <v>7282</v>
      </c>
      <c r="F27269" t="s">
        <v>13277</v>
      </c>
      <c r="G27269" t="s">
        <v>17414</v>
      </c>
      <c r="H27269" t="s">
        <v>28901</v>
      </c>
    </row>
    <row r="27270" spans="1:8">
      <c r="H27270" t="s">
        <v>28902</v>
      </c>
    </row>
    <row r="27271" spans="1:8">
      <c r="A27271" t="s">
        <v>1518</v>
      </c>
      <c r="B27271">
        <f>HYPERLINK("https://android.googlesource.com/platform/cts/+/b8acf2c7fe6b6da101a490d2c805526810fe26bc", "b8acf2c7fe6b6da101a490d2c805526810fe26bc")</f>
        <v>0</v>
      </c>
      <c r="C27271">
        <f>HYPERLINK("https://android.googlesource.com/platform/cts/+/2aaaf6a018413cc44149727c8f9c1d0f5345f0f6", "2aaaf6a018413cc44149727c8f9c1d0f5345f0f6")</f>
        <v>0</v>
      </c>
      <c r="D27271" t="s">
        <v>5234</v>
      </c>
      <c r="E27271" t="s">
        <v>7283</v>
      </c>
      <c r="F27271" t="s">
        <v>13278</v>
      </c>
      <c r="G27271" t="s">
        <v>17415</v>
      </c>
      <c r="H27271" t="s">
        <v>28903</v>
      </c>
    </row>
    <row r="27272" spans="1:8">
      <c r="H27272" t="s">
        <v>28904</v>
      </c>
    </row>
    <row r="27273" spans="1:8">
      <c r="H27273" t="s">
        <v>28905</v>
      </c>
    </row>
    <row r="27274" spans="1:8">
      <c r="H27274" t="s">
        <v>28906</v>
      </c>
    </row>
    <row r="27275" spans="1:8">
      <c r="H27275" t="s">
        <v>28907</v>
      </c>
    </row>
    <row r="27276" spans="1:8">
      <c r="H27276" t="s">
        <v>28908</v>
      </c>
    </row>
    <row r="27277" spans="1:8">
      <c r="H27277" t="s">
        <v>18829</v>
      </c>
    </row>
    <row r="27278" spans="1:8">
      <c r="H27278" t="s">
        <v>18863</v>
      </c>
    </row>
    <row r="27279" spans="1:8">
      <c r="H27279" t="s">
        <v>28909</v>
      </c>
    </row>
    <row r="27280" spans="1:8">
      <c r="H27280" t="s">
        <v>28910</v>
      </c>
    </row>
    <row r="27281" spans="1:8">
      <c r="H27281" t="s">
        <v>28911</v>
      </c>
    </row>
    <row r="27282" spans="1:8">
      <c r="H27282" t="s">
        <v>28912</v>
      </c>
    </row>
    <row r="27283" spans="1:8">
      <c r="H27283" t="s">
        <v>28913</v>
      </c>
    </row>
    <row r="27284" spans="1:8">
      <c r="H27284" t="s">
        <v>28914</v>
      </c>
    </row>
    <row r="27285" spans="1:8">
      <c r="H27285" t="s">
        <v>28915</v>
      </c>
    </row>
    <row r="27286" spans="1:8">
      <c r="H27286" t="s">
        <v>28916</v>
      </c>
    </row>
    <row r="27287" spans="1:8">
      <c r="H27287" t="s">
        <v>28917</v>
      </c>
    </row>
    <row r="27288" spans="1:8">
      <c r="H27288" t="s">
        <v>28918</v>
      </c>
    </row>
    <row r="27289" spans="1:8">
      <c r="H27289" t="s">
        <v>28919</v>
      </c>
    </row>
    <row r="27290" spans="1:8">
      <c r="H27290" t="s">
        <v>28920</v>
      </c>
    </row>
    <row r="27291" spans="1:8">
      <c r="H27291" t="s">
        <v>28921</v>
      </c>
    </row>
    <row r="27292" spans="1:8">
      <c r="H27292" t="s">
        <v>28922</v>
      </c>
    </row>
    <row r="27293" spans="1:8">
      <c r="A27293" t="s">
        <v>1519</v>
      </c>
      <c r="B27293">
        <f>HYPERLINK("https://android.googlesource.com/platform/cts/+/ae78af7f8b8f81b27591427d8d6202e8bab97978", "ae78af7f8b8f81b27591427d8d6202e8bab97978")</f>
        <v>0</v>
      </c>
      <c r="C27293">
        <f>HYPERLINK("https://android.googlesource.com/platform/cts/+/801b62a16a99ed89dbac8ac46f8437f97f24a0a9", "801b62a16a99ed89dbac8ac46f8437f97f24a0a9")</f>
        <v>0</v>
      </c>
      <c r="D27293" t="s">
        <v>5235</v>
      </c>
      <c r="E27293" t="s">
        <v>7284</v>
      </c>
      <c r="F27293" t="s">
        <v>13279</v>
      </c>
      <c r="G27293" t="s">
        <v>17416</v>
      </c>
      <c r="H27293" t="s">
        <v>18829</v>
      </c>
    </row>
    <row r="27294" spans="1:8">
      <c r="H27294" t="s">
        <v>28923</v>
      </c>
    </row>
    <row r="27295" spans="1:8">
      <c r="H27295" t="s">
        <v>28923</v>
      </c>
    </row>
    <row r="27296" spans="1:8">
      <c r="H27296" t="s">
        <v>19743</v>
      </c>
    </row>
    <row r="27297" spans="8:8">
      <c r="H27297" t="s">
        <v>28924</v>
      </c>
    </row>
    <row r="27298" spans="8:8">
      <c r="H27298" t="s">
        <v>28925</v>
      </c>
    </row>
    <row r="27299" spans="8:8">
      <c r="H27299" t="s">
        <v>28926</v>
      </c>
    </row>
    <row r="27300" spans="8:8">
      <c r="H27300" t="s">
        <v>28927</v>
      </c>
    </row>
    <row r="27301" spans="8:8">
      <c r="H27301" t="s">
        <v>28928</v>
      </c>
    </row>
    <row r="27302" spans="8:8">
      <c r="H27302" t="s">
        <v>28929</v>
      </c>
    </row>
    <row r="27303" spans="8:8">
      <c r="H27303" t="s">
        <v>28930</v>
      </c>
    </row>
    <row r="27304" spans="8:8">
      <c r="H27304" t="s">
        <v>28931</v>
      </c>
    </row>
    <row r="27305" spans="8:8">
      <c r="H27305" t="s">
        <v>28928</v>
      </c>
    </row>
    <row r="27306" spans="8:8">
      <c r="H27306" t="s">
        <v>28932</v>
      </c>
    </row>
    <row r="27307" spans="8:8">
      <c r="H27307" t="s">
        <v>28933</v>
      </c>
    </row>
    <row r="27308" spans="8:8">
      <c r="H27308" t="s">
        <v>28934</v>
      </c>
    </row>
    <row r="27309" spans="8:8">
      <c r="H27309" t="s">
        <v>28935</v>
      </c>
    </row>
    <row r="27310" spans="8:8">
      <c r="H27310" t="s">
        <v>28936</v>
      </c>
    </row>
    <row r="27311" spans="8:8">
      <c r="H27311" t="s">
        <v>28937</v>
      </c>
    </row>
    <row r="27312" spans="8:8">
      <c r="H27312" t="s">
        <v>28938</v>
      </c>
    </row>
    <row r="27313" spans="1:8">
      <c r="H27313" t="s">
        <v>28939</v>
      </c>
    </row>
    <row r="27314" spans="1:8">
      <c r="H27314" t="s">
        <v>28940</v>
      </c>
    </row>
    <row r="27315" spans="1:8">
      <c r="A27315" t="s">
        <v>1520</v>
      </c>
      <c r="B27315">
        <f>HYPERLINK("https://android.googlesource.com/platform/cts/+/d4c99081b67c01194b63c4e3bef959b220c3f66a", "d4c99081b67c01194b63c4e3bef959b220c3f66a")</f>
        <v>0</v>
      </c>
      <c r="C27315">
        <f>HYPERLINK("https://android.googlesource.com/platform/cts/+/ae78af7f8b8f81b27591427d8d6202e8bab97978", "ae78af7f8b8f81b27591427d8d6202e8bab97978")</f>
        <v>0</v>
      </c>
      <c r="D27315" t="s">
        <v>5235</v>
      </c>
      <c r="E27315" t="s">
        <v>7285</v>
      </c>
      <c r="F27315" t="s">
        <v>13280</v>
      </c>
      <c r="G27315" t="s">
        <v>17417</v>
      </c>
      <c r="H27315" t="s">
        <v>18829</v>
      </c>
    </row>
    <row r="27316" spans="1:8">
      <c r="H27316" t="s">
        <v>28941</v>
      </c>
    </row>
    <row r="27317" spans="1:8">
      <c r="H27317" t="s">
        <v>28942</v>
      </c>
    </row>
    <row r="27318" spans="1:8">
      <c r="H27318" t="s">
        <v>28943</v>
      </c>
    </row>
    <row r="27319" spans="1:8">
      <c r="H27319" t="s">
        <v>28944</v>
      </c>
    </row>
    <row r="27320" spans="1:8">
      <c r="H27320" t="s">
        <v>28945</v>
      </c>
    </row>
    <row r="27321" spans="1:8">
      <c r="H27321" t="s">
        <v>26282</v>
      </c>
    </row>
    <row r="27322" spans="1:8">
      <c r="A27322" t="s">
        <v>1521</v>
      </c>
      <c r="B27322">
        <f>HYPERLINK("https://android.googlesource.com/platform/cts/+/394fd446ee9641e0af74ec779302612f83d84acf", "394fd446ee9641e0af74ec779302612f83d84acf")</f>
        <v>0</v>
      </c>
      <c r="C27322">
        <f>HYPERLINK("https://android.googlesource.com/platform/cts/+/d4c99081b67c01194b63c4e3bef959b220c3f66a", "d4c99081b67c01194b63c4e3bef959b220c3f66a")</f>
        <v>0</v>
      </c>
      <c r="D27322" t="s">
        <v>5235</v>
      </c>
      <c r="E27322" t="s">
        <v>7286</v>
      </c>
      <c r="F27322" t="s">
        <v>13281</v>
      </c>
      <c r="G27322" t="s">
        <v>17418</v>
      </c>
      <c r="H27322" t="s">
        <v>18829</v>
      </c>
    </row>
    <row r="27323" spans="1:8">
      <c r="H27323" t="s">
        <v>20126</v>
      </c>
    </row>
    <row r="27324" spans="1:8">
      <c r="H27324" t="s">
        <v>28946</v>
      </c>
    </row>
    <row r="27325" spans="1:8">
      <c r="H27325" t="s">
        <v>28947</v>
      </c>
    </row>
    <row r="27326" spans="1:8">
      <c r="H27326" t="s">
        <v>28948</v>
      </c>
    </row>
    <row r="27327" spans="1:8">
      <c r="H27327" t="s">
        <v>28949</v>
      </c>
    </row>
    <row r="27328" spans="1:8">
      <c r="H27328" t="s">
        <v>28950</v>
      </c>
    </row>
    <row r="27329" spans="1:8">
      <c r="H27329" t="s">
        <v>21205</v>
      </c>
    </row>
    <row r="27330" spans="1:8">
      <c r="H27330" t="s">
        <v>19397</v>
      </c>
    </row>
    <row r="27331" spans="1:8">
      <c r="H27331" t="s">
        <v>28951</v>
      </c>
    </row>
    <row r="27332" spans="1:8">
      <c r="H27332" t="s">
        <v>19372</v>
      </c>
    </row>
    <row r="27333" spans="1:8">
      <c r="H27333" t="s">
        <v>25728</v>
      </c>
    </row>
    <row r="27334" spans="1:8">
      <c r="H27334" t="s">
        <v>18930</v>
      </c>
    </row>
    <row r="27335" spans="1:8">
      <c r="A27335" t="s">
        <v>1522</v>
      </c>
      <c r="B27335">
        <f>HYPERLINK("https://android.googlesource.com/platform/cts/+/b2c00541678ad24c0a1775ebef65e43cb08dc65b", "b2c00541678ad24c0a1775ebef65e43cb08dc65b")</f>
        <v>0</v>
      </c>
      <c r="C27335">
        <f>HYPERLINK("https://android.googlesource.com/platform/cts/+/394fd446ee9641e0af74ec779302612f83d84acf", "394fd446ee9641e0af74ec779302612f83d84acf")</f>
        <v>0</v>
      </c>
      <c r="D27335" t="s">
        <v>5235</v>
      </c>
      <c r="E27335" t="s">
        <v>7287</v>
      </c>
      <c r="F27335" t="s">
        <v>13282</v>
      </c>
      <c r="G27335" t="s">
        <v>17419</v>
      </c>
      <c r="H27335" t="s">
        <v>20244</v>
      </c>
    </row>
    <row r="27336" spans="1:8">
      <c r="H27336" t="s">
        <v>25497</v>
      </c>
    </row>
    <row r="27337" spans="1:8">
      <c r="H27337" t="s">
        <v>28952</v>
      </c>
    </row>
    <row r="27338" spans="1:8">
      <c r="H27338" t="s">
        <v>28953</v>
      </c>
    </row>
    <row r="27339" spans="1:8">
      <c r="H27339" t="s">
        <v>18927</v>
      </c>
    </row>
    <row r="27340" spans="1:8">
      <c r="H27340" t="s">
        <v>28954</v>
      </c>
    </row>
    <row r="27341" spans="1:8">
      <c r="H27341" t="s">
        <v>28955</v>
      </c>
    </row>
    <row r="27342" spans="1:8">
      <c r="H27342" t="s">
        <v>28956</v>
      </c>
    </row>
    <row r="27343" spans="1:8">
      <c r="H27343" t="s">
        <v>28957</v>
      </c>
    </row>
    <row r="27344" spans="1:8">
      <c r="H27344" t="s">
        <v>28958</v>
      </c>
    </row>
    <row r="27345" spans="1:8">
      <c r="H27345" t="s">
        <v>26091</v>
      </c>
    </row>
    <row r="27346" spans="1:8">
      <c r="H27346" t="s">
        <v>21326</v>
      </c>
    </row>
    <row r="27347" spans="1:8">
      <c r="H27347" t="s">
        <v>21254</v>
      </c>
    </row>
    <row r="27348" spans="1:8">
      <c r="H27348" t="s">
        <v>26090</v>
      </c>
    </row>
    <row r="27349" spans="1:8">
      <c r="H27349" t="s">
        <v>26093</v>
      </c>
    </row>
    <row r="27350" spans="1:8">
      <c r="H27350" t="s">
        <v>26094</v>
      </c>
    </row>
    <row r="27351" spans="1:8">
      <c r="H27351" t="s">
        <v>26088</v>
      </c>
    </row>
    <row r="27352" spans="1:8">
      <c r="H27352" t="s">
        <v>26092</v>
      </c>
    </row>
    <row r="27353" spans="1:8">
      <c r="H27353" t="s">
        <v>26089</v>
      </c>
    </row>
    <row r="27354" spans="1:8">
      <c r="A27354" t="s">
        <v>1523</v>
      </c>
      <c r="B27354">
        <f>HYPERLINK("https://android.googlesource.com/platform/cts/+/29614a7099c8492e38430f1c2ad0267f2b7f52e4", "29614a7099c8492e38430f1c2ad0267f2b7f52e4")</f>
        <v>0</v>
      </c>
      <c r="C27354">
        <f>HYPERLINK("https://android.googlesource.com/platform/cts/+/3ce5f1a703d0b08ae1210bdce7a71165dbd57003", "3ce5f1a703d0b08ae1210bdce7a71165dbd57003")</f>
        <v>0</v>
      </c>
      <c r="D27354" t="s">
        <v>5153</v>
      </c>
      <c r="E27354" t="s">
        <v>7288</v>
      </c>
      <c r="F27354" t="s">
        <v>13190</v>
      </c>
      <c r="G27354" t="s">
        <v>17334</v>
      </c>
      <c r="H27354" t="s">
        <v>28959</v>
      </c>
    </row>
    <row r="27355" spans="1:8">
      <c r="H27355" t="s">
        <v>18930</v>
      </c>
    </row>
    <row r="27356" spans="1:8">
      <c r="F27356" t="s">
        <v>13191</v>
      </c>
      <c r="G27356" t="s">
        <v>17334</v>
      </c>
      <c r="H27356" t="s">
        <v>28959</v>
      </c>
    </row>
    <row r="27357" spans="1:8">
      <c r="H27357" t="s">
        <v>18930</v>
      </c>
    </row>
    <row r="27358" spans="1:8">
      <c r="A27358" t="s">
        <v>1524</v>
      </c>
      <c r="B27358">
        <f>HYPERLINK("https://android.googlesource.com/platform/cts/+/bf3db54fec0910123ec037acec9888cc189a3b74", "bf3db54fec0910123ec037acec9888cc189a3b74")</f>
        <v>0</v>
      </c>
      <c r="C27358">
        <f>HYPERLINK("https://android.googlesource.com/platform/cts/+/14e6fc9a877e5eb53703a34722b3a16aefd896a5", "14e6fc9a877e5eb53703a34722b3a16aefd896a5")</f>
        <v>0</v>
      </c>
      <c r="D27358" t="s">
        <v>4928</v>
      </c>
      <c r="E27358" t="s">
        <v>7289</v>
      </c>
      <c r="F27358" t="s">
        <v>12897</v>
      </c>
      <c r="G27358" t="s">
        <v>16824</v>
      </c>
      <c r="H27358" t="s">
        <v>28960</v>
      </c>
    </row>
    <row r="27359" spans="1:8">
      <c r="H27359" t="s">
        <v>28961</v>
      </c>
    </row>
    <row r="27360" spans="1:8">
      <c r="H27360" t="s">
        <v>28962</v>
      </c>
    </row>
    <row r="27361" spans="1:8">
      <c r="A27361" t="s">
        <v>1525</v>
      </c>
      <c r="B27361">
        <f>HYPERLINK("https://android.googlesource.com/platform/cts/+/cad20cb99e1ecdcb305219a5aacc8efddd4eafdb", "cad20cb99e1ecdcb305219a5aacc8efddd4eafdb")</f>
        <v>0</v>
      </c>
      <c r="C27361">
        <f>HYPERLINK("https://android.googlesource.com/platform/cts/+/0837f6e77ee699f9b83c5ecb74fb807b959314b2", "0837f6e77ee699f9b83c5ecb74fb807b959314b2")</f>
        <v>0</v>
      </c>
      <c r="D27361" t="s">
        <v>5234</v>
      </c>
      <c r="E27361" t="s">
        <v>7290</v>
      </c>
      <c r="F27361" t="s">
        <v>13278</v>
      </c>
      <c r="G27361" t="s">
        <v>17415</v>
      </c>
      <c r="H27361" t="s">
        <v>28903</v>
      </c>
    </row>
    <row r="27362" spans="1:8">
      <c r="H27362" t="s">
        <v>28904</v>
      </c>
    </row>
    <row r="27363" spans="1:8">
      <c r="H27363" t="s">
        <v>28905</v>
      </c>
    </row>
    <row r="27364" spans="1:8">
      <c r="H27364" t="s">
        <v>28906</v>
      </c>
    </row>
    <row r="27365" spans="1:8">
      <c r="H27365" t="s">
        <v>28907</v>
      </c>
    </row>
    <row r="27366" spans="1:8">
      <c r="H27366" t="s">
        <v>28908</v>
      </c>
    </row>
    <row r="27367" spans="1:8">
      <c r="H27367" t="s">
        <v>18829</v>
      </c>
    </row>
    <row r="27368" spans="1:8">
      <c r="H27368" t="s">
        <v>18863</v>
      </c>
    </row>
    <row r="27369" spans="1:8">
      <c r="H27369" t="s">
        <v>28909</v>
      </c>
    </row>
    <row r="27370" spans="1:8">
      <c r="H27370" t="s">
        <v>28910</v>
      </c>
    </row>
    <row r="27371" spans="1:8">
      <c r="H27371" t="s">
        <v>28911</v>
      </c>
    </row>
    <row r="27372" spans="1:8">
      <c r="H27372" t="s">
        <v>28912</v>
      </c>
    </row>
    <row r="27373" spans="1:8">
      <c r="H27373" t="s">
        <v>28913</v>
      </c>
    </row>
    <row r="27374" spans="1:8">
      <c r="H27374" t="s">
        <v>28914</v>
      </c>
    </row>
    <row r="27375" spans="1:8">
      <c r="H27375" t="s">
        <v>28915</v>
      </c>
    </row>
    <row r="27376" spans="1:8">
      <c r="H27376" t="s">
        <v>28916</v>
      </c>
    </row>
    <row r="27377" spans="1:8">
      <c r="H27377" t="s">
        <v>28917</v>
      </c>
    </row>
    <row r="27378" spans="1:8">
      <c r="H27378" t="s">
        <v>28918</v>
      </c>
    </row>
    <row r="27379" spans="1:8">
      <c r="H27379" t="s">
        <v>28919</v>
      </c>
    </row>
    <row r="27380" spans="1:8">
      <c r="H27380" t="s">
        <v>28920</v>
      </c>
    </row>
    <row r="27381" spans="1:8">
      <c r="H27381" t="s">
        <v>28921</v>
      </c>
    </row>
    <row r="27382" spans="1:8">
      <c r="H27382" t="s">
        <v>28922</v>
      </c>
    </row>
    <row r="27383" spans="1:8">
      <c r="A27383" t="s">
        <v>1526</v>
      </c>
      <c r="B27383">
        <f>HYPERLINK("https://android.googlesource.com/platform/cts/+/b7b8e1c1bf4152e7acbf8390402a2ea29856828a", "b7b8e1c1bf4152e7acbf8390402a2ea29856828a")</f>
        <v>0</v>
      </c>
      <c r="C27383">
        <f>HYPERLINK("https://android.googlesource.com/platform/cts/+/31f5662b6ad022cb412ea5607309f53fa3d58105", "31f5662b6ad022cb412ea5607309f53fa3d58105")</f>
        <v>0</v>
      </c>
      <c r="D27383" t="s">
        <v>5236</v>
      </c>
      <c r="E27383" t="s">
        <v>7291</v>
      </c>
      <c r="F27383" t="s">
        <v>13283</v>
      </c>
      <c r="G27383" t="s">
        <v>17420</v>
      </c>
      <c r="H27383" t="s">
        <v>19981</v>
      </c>
    </row>
    <row r="27384" spans="1:8">
      <c r="H27384" t="s">
        <v>28963</v>
      </c>
    </row>
    <row r="27385" spans="1:8">
      <c r="H27385" t="s">
        <v>28964</v>
      </c>
    </row>
    <row r="27386" spans="1:8">
      <c r="H27386" t="s">
        <v>28965</v>
      </c>
    </row>
    <row r="27387" spans="1:8">
      <c r="H27387" t="s">
        <v>28966</v>
      </c>
    </row>
    <row r="27388" spans="1:8">
      <c r="A27388" t="s">
        <v>1527</v>
      </c>
      <c r="B27388">
        <f>HYPERLINK("https://android.googlesource.com/platform/cts/+/941eebd149a5b30f93bc83d88434c4c1ab6c6fa3", "941eebd149a5b30f93bc83d88434c4c1ab6c6fa3")</f>
        <v>0</v>
      </c>
      <c r="C27388">
        <f>HYPERLINK("https://android.googlesource.com/platform/cts/+/d4fbaa754e23f3342de639e2d0c3dedb552cf785", "d4fbaa754e23f3342de639e2d0c3dedb552cf785")</f>
        <v>0</v>
      </c>
      <c r="D27388" t="s">
        <v>5134</v>
      </c>
      <c r="E27388" t="s">
        <v>7292</v>
      </c>
      <c r="F27388" t="s">
        <v>13230</v>
      </c>
      <c r="G27388" t="s">
        <v>17371</v>
      </c>
      <c r="H27388" t="s">
        <v>28967</v>
      </c>
    </row>
    <row r="27389" spans="1:8">
      <c r="A27389" t="s">
        <v>1528</v>
      </c>
      <c r="B27389">
        <f>HYPERLINK("https://android.googlesource.com/platform/cts/+/c0f551a272e721750084ff1b46189d0f2eba8fd0", "c0f551a272e721750084ff1b46189d0f2eba8fd0")</f>
        <v>0</v>
      </c>
      <c r="C27389">
        <f>HYPERLINK("https://android.googlesource.com/platform/cts/+/410b4ee5f545f93ceadd968fba84a431b86a7c05", "410b4ee5f545f93ceadd968fba84a431b86a7c05")</f>
        <v>0</v>
      </c>
      <c r="D27389" t="s">
        <v>5144</v>
      </c>
      <c r="E27389" t="s">
        <v>7293</v>
      </c>
      <c r="F27389" t="s">
        <v>10627</v>
      </c>
      <c r="G27389" t="s">
        <v>15030</v>
      </c>
      <c r="H27389" t="s">
        <v>28968</v>
      </c>
    </row>
    <row r="27390" spans="1:8">
      <c r="H27390" t="s">
        <v>28969</v>
      </c>
    </row>
    <row r="27391" spans="1:8">
      <c r="H27391" t="s">
        <v>28970</v>
      </c>
    </row>
    <row r="27392" spans="1:8">
      <c r="H27392" t="s">
        <v>28971</v>
      </c>
    </row>
    <row r="27393" spans="1:8">
      <c r="H27393" t="s">
        <v>28972</v>
      </c>
    </row>
    <row r="27394" spans="1:8">
      <c r="H27394" t="s">
        <v>28973</v>
      </c>
    </row>
    <row r="27395" spans="1:8">
      <c r="A27395" t="s">
        <v>1529</v>
      </c>
      <c r="B27395">
        <f>HYPERLINK("https://android.googlesource.com/platform/cts/+/8a2b05f64c050b1538953b595d332fc4fcd35259", "8a2b05f64c050b1538953b595d332fc4fcd35259")</f>
        <v>0</v>
      </c>
      <c r="C27395">
        <f>HYPERLINK("https://android.googlesource.com/platform/cts/+/c4d237b847c6682724386119d68a50ac8b653323", "c4d237b847c6682724386119d68a50ac8b653323")</f>
        <v>0</v>
      </c>
      <c r="D27395" t="s">
        <v>5128</v>
      </c>
      <c r="E27395" t="s">
        <v>7294</v>
      </c>
      <c r="F27395" t="s">
        <v>13203</v>
      </c>
      <c r="G27395" t="s">
        <v>17345</v>
      </c>
      <c r="H27395" t="s">
        <v>28974</v>
      </c>
    </row>
    <row r="27396" spans="1:8">
      <c r="A27396" t="s">
        <v>1530</v>
      </c>
      <c r="B27396">
        <f>HYPERLINK("https://android.googlesource.com/platform/cts/+/12b70ddabfd35125ff2f5c3af6d70b6cfd5e10b9", "12b70ddabfd35125ff2f5c3af6d70b6cfd5e10b9")</f>
        <v>0</v>
      </c>
      <c r="C27396">
        <f>HYPERLINK("https://android.googlesource.com/platform/cts/+/db3543520104fb089dae3cea7cd82c1617882061", "db3543520104fb089dae3cea7cd82c1617882061")</f>
        <v>0</v>
      </c>
      <c r="D27396" t="s">
        <v>4928</v>
      </c>
      <c r="E27396" t="s">
        <v>7295</v>
      </c>
      <c r="F27396" t="s">
        <v>13284</v>
      </c>
      <c r="G27396" t="s">
        <v>17421</v>
      </c>
      <c r="H27396" t="s">
        <v>28975</v>
      </c>
    </row>
    <row r="27397" spans="1:8">
      <c r="A27397" t="s">
        <v>1531</v>
      </c>
      <c r="B27397">
        <f>HYPERLINK("https://android.googlesource.com/platform/cts/+/fb00ef9691d30d626ccb19d53eefc9b394320d03", "fb00ef9691d30d626ccb19d53eefc9b394320d03")</f>
        <v>0</v>
      </c>
      <c r="C27397">
        <f>HYPERLINK("https://android.googlesource.com/platform/cts/+/fa2bc101b0b5d435a8389a7f52ed08bc2b5e05fe", "fa2bc101b0b5d435a8389a7f52ed08bc2b5e05fe")</f>
        <v>0</v>
      </c>
      <c r="D27397" t="s">
        <v>5237</v>
      </c>
      <c r="E27397" t="s">
        <v>7296</v>
      </c>
      <c r="F27397" t="s">
        <v>12900</v>
      </c>
      <c r="G27397" t="s">
        <v>17067</v>
      </c>
      <c r="H27397" t="s">
        <v>26867</v>
      </c>
    </row>
    <row r="27398" spans="1:8">
      <c r="H27398" t="s">
        <v>26868</v>
      </c>
    </row>
    <row r="27399" spans="1:8">
      <c r="H27399" t="s">
        <v>26869</v>
      </c>
    </row>
    <row r="27400" spans="1:8">
      <c r="H27400" t="s">
        <v>26870</v>
      </c>
    </row>
    <row r="27401" spans="1:8">
      <c r="H27401" t="s">
        <v>20177</v>
      </c>
    </row>
    <row r="27402" spans="1:8">
      <c r="H27402" t="s">
        <v>18829</v>
      </c>
    </row>
    <row r="27403" spans="1:8">
      <c r="H27403" t="s">
        <v>26871</v>
      </c>
    </row>
    <row r="27404" spans="1:8">
      <c r="H27404" t="s">
        <v>18863</v>
      </c>
    </row>
    <row r="27405" spans="1:8">
      <c r="A27405" t="s">
        <v>1532</v>
      </c>
      <c r="B27405">
        <f>HYPERLINK("https://android.googlesource.com/platform/cts/+/457a879c55ca84e298e1e57204a6684ff03a5366", "457a879c55ca84e298e1e57204a6684ff03a5366")</f>
        <v>0</v>
      </c>
      <c r="C27405">
        <f>HYPERLINK("https://android.googlesource.com/platform/cts/+/f4a706ca7a19ebf61c2e706fc4e95c56ea9dff36", "f4a706ca7a19ebf61c2e706fc4e95c56ea9dff36")</f>
        <v>0</v>
      </c>
      <c r="D27405" t="s">
        <v>4981</v>
      </c>
      <c r="E27405" t="s">
        <v>7297</v>
      </c>
      <c r="F27405" t="s">
        <v>13285</v>
      </c>
      <c r="G27405" t="s">
        <v>17422</v>
      </c>
      <c r="H27405" t="s">
        <v>28976</v>
      </c>
    </row>
    <row r="27406" spans="1:8">
      <c r="A27406" t="s">
        <v>1533</v>
      </c>
      <c r="B27406">
        <f>HYPERLINK("https://android.googlesource.com/platform/cts/+/c546d35e6069f77b76a6fef3d4912f014b956cda", "c546d35e6069f77b76a6fef3d4912f014b956cda")</f>
        <v>0</v>
      </c>
      <c r="C27406">
        <f>HYPERLINK("https://android.googlesource.com/platform/cts/+/fa2bc101b0b5d435a8389a7f52ed08bc2b5e05fe", "fa2bc101b0b5d435a8389a7f52ed08bc2b5e05fe")</f>
        <v>0</v>
      </c>
      <c r="D27406" t="s">
        <v>4991</v>
      </c>
      <c r="E27406" t="s">
        <v>7298</v>
      </c>
      <c r="F27406" t="s">
        <v>11193</v>
      </c>
      <c r="G27406" t="s">
        <v>15582</v>
      </c>
      <c r="H27406" t="s">
        <v>28977</v>
      </c>
    </row>
    <row r="27407" spans="1:8">
      <c r="F27407" t="s">
        <v>10687</v>
      </c>
      <c r="G27407" t="s">
        <v>15087</v>
      </c>
      <c r="H27407" t="s">
        <v>19350</v>
      </c>
    </row>
    <row r="27408" spans="1:8">
      <c r="A27408" t="s">
        <v>1534</v>
      </c>
      <c r="B27408">
        <f>HYPERLINK("https://android.googlesource.com/platform/cts/+/be3621bcbb1df37364e00f91bcf2ec2211c98609", "be3621bcbb1df37364e00f91bcf2ec2211c98609")</f>
        <v>0</v>
      </c>
      <c r="C27408">
        <f>HYPERLINK("https://android.googlesource.com/platform/cts/+/bba14f67c803d7d61c845599509c70d64d42264a", "bba14f67c803d7d61c845599509c70d64d42264a")</f>
        <v>0</v>
      </c>
      <c r="D27408" t="s">
        <v>5046</v>
      </c>
      <c r="E27408" t="s">
        <v>7299</v>
      </c>
      <c r="F27408" t="s">
        <v>10780</v>
      </c>
      <c r="G27408" t="s">
        <v>15176</v>
      </c>
      <c r="H27408" t="s">
        <v>28978</v>
      </c>
    </row>
    <row r="27409" spans="1:8">
      <c r="H27409" t="s">
        <v>28979</v>
      </c>
    </row>
    <row r="27410" spans="1:8">
      <c r="F27410" t="s">
        <v>10781</v>
      </c>
      <c r="G27410" t="s">
        <v>15177</v>
      </c>
      <c r="H27410" t="s">
        <v>28978</v>
      </c>
    </row>
    <row r="27411" spans="1:8">
      <c r="H27411" t="s">
        <v>28979</v>
      </c>
    </row>
    <row r="27412" spans="1:8">
      <c r="A27412" t="s">
        <v>1535</v>
      </c>
      <c r="B27412">
        <f>HYPERLINK("https://android.googlesource.com/platform/cts/+/84e5ec105ce8daaf13714a33cbb2cfcd76a552f4", "84e5ec105ce8daaf13714a33cbb2cfcd76a552f4")</f>
        <v>0</v>
      </c>
      <c r="C27412">
        <f>HYPERLINK("https://android.googlesource.com/platform/cts/+/af3d8ca15657b77216b35537e1533d5a04f8689a", "af3d8ca15657b77216b35537e1533d5a04f8689a")</f>
        <v>0</v>
      </c>
      <c r="D27412" t="s">
        <v>5235</v>
      </c>
      <c r="E27412" t="s">
        <v>7300</v>
      </c>
      <c r="F27412" t="s">
        <v>13282</v>
      </c>
      <c r="G27412" t="s">
        <v>17419</v>
      </c>
      <c r="H27412" t="s">
        <v>28980</v>
      </c>
    </row>
    <row r="27413" spans="1:8">
      <c r="A27413" t="s">
        <v>1536</v>
      </c>
      <c r="B27413">
        <f>HYPERLINK("https://android.googlesource.com/platform/cts/+/40115c4f0f2bd235f3395c50dd92ca006d8d3daa", "40115c4f0f2bd235f3395c50dd92ca006d8d3daa")</f>
        <v>0</v>
      </c>
      <c r="C27413">
        <f>HYPERLINK("https://android.googlesource.com/platform/cts/+/3b3d110a4a6be30e7f6250bbeeca7b961767c201", "3b3d110a4a6be30e7f6250bbeeca7b961767c201")</f>
        <v>0</v>
      </c>
      <c r="D27413" t="s">
        <v>5029</v>
      </c>
      <c r="E27413" t="s">
        <v>7301</v>
      </c>
      <c r="F27413" t="s">
        <v>12698</v>
      </c>
      <c r="G27413" t="s">
        <v>16591</v>
      </c>
      <c r="H27413" t="s">
        <v>28981</v>
      </c>
    </row>
    <row r="27414" spans="1:8">
      <c r="A27414" t="s">
        <v>1537</v>
      </c>
      <c r="B27414">
        <f>HYPERLINK("https://android.googlesource.com/platform/cts/+/4b518951431367b6bc0568d4b3dae028d0daa664", "4b518951431367b6bc0568d4b3dae028d0daa664")</f>
        <v>0</v>
      </c>
      <c r="C27414">
        <f>HYPERLINK("https://android.googlesource.com/platform/cts/+/fa2bc101b0b5d435a8389a7f52ed08bc2b5e05fe", "fa2bc101b0b5d435a8389a7f52ed08bc2b5e05fe")</f>
        <v>0</v>
      </c>
      <c r="D27414" t="s">
        <v>5085</v>
      </c>
      <c r="E27414" t="s">
        <v>7302</v>
      </c>
      <c r="F27414" t="s">
        <v>13286</v>
      </c>
      <c r="G27414" t="s">
        <v>17423</v>
      </c>
      <c r="H27414" t="s">
        <v>28609</v>
      </c>
    </row>
    <row r="27415" spans="1:8">
      <c r="A27415" t="s">
        <v>1538</v>
      </c>
      <c r="B27415">
        <f>HYPERLINK("https://android.googlesource.com/platform/cts/+/07a824b3c05d9521f360d6dbdd5c424bb19e302a", "07a824b3c05d9521f360d6dbdd5c424bb19e302a")</f>
        <v>0</v>
      </c>
      <c r="C27415">
        <f>HYPERLINK("https://android.googlesource.com/platform/cts/+/311e21950d09d9e5ef37f2a818d4a390f54124b1", "311e21950d09d9e5ef37f2a818d4a390f54124b1")</f>
        <v>0</v>
      </c>
      <c r="D27415" t="s">
        <v>5219</v>
      </c>
      <c r="E27415" t="s">
        <v>7303</v>
      </c>
      <c r="F27415" t="s">
        <v>13287</v>
      </c>
      <c r="G27415" t="s">
        <v>17424</v>
      </c>
      <c r="H27415" t="s">
        <v>18829</v>
      </c>
    </row>
    <row r="27416" spans="1:8">
      <c r="H27416" t="s">
        <v>28051</v>
      </c>
    </row>
    <row r="27417" spans="1:8">
      <c r="H27417" t="s">
        <v>28982</v>
      </c>
    </row>
    <row r="27418" spans="1:8">
      <c r="H27418" t="s">
        <v>28983</v>
      </c>
    </row>
    <row r="27419" spans="1:8">
      <c r="H27419" t="s">
        <v>28984</v>
      </c>
    </row>
    <row r="27420" spans="1:8">
      <c r="H27420" t="s">
        <v>28985</v>
      </c>
    </row>
    <row r="27421" spans="1:8">
      <c r="H27421" t="s">
        <v>28986</v>
      </c>
    </row>
    <row r="27422" spans="1:8">
      <c r="H27422" t="s">
        <v>28987</v>
      </c>
    </row>
    <row r="27423" spans="1:8">
      <c r="H27423" t="s">
        <v>28988</v>
      </c>
    </row>
    <row r="27424" spans="1:8">
      <c r="H27424" t="s">
        <v>28989</v>
      </c>
    </row>
    <row r="27425" spans="1:8">
      <c r="H27425" t="s">
        <v>18863</v>
      </c>
    </row>
    <row r="27426" spans="1:8">
      <c r="A27426" t="s">
        <v>1539</v>
      </c>
      <c r="B27426">
        <f>HYPERLINK("https://android.googlesource.com/platform/cts/+/3eef0f835008e8af52f607355cee925d2368844b", "3eef0f835008e8af52f607355cee925d2368844b")</f>
        <v>0</v>
      </c>
      <c r="C27426">
        <f>HYPERLINK("https://android.googlesource.com/platform/cts/+/d6a99a63bb6d68164e850fb81e03a3f7563c9382", "d6a99a63bb6d68164e850fb81e03a3f7563c9382")</f>
        <v>0</v>
      </c>
      <c r="D27426" t="s">
        <v>5219</v>
      </c>
      <c r="E27426" t="s">
        <v>7304</v>
      </c>
      <c r="F27426" t="s">
        <v>13287</v>
      </c>
      <c r="G27426" t="s">
        <v>17424</v>
      </c>
      <c r="H27426" t="s">
        <v>18829</v>
      </c>
    </row>
    <row r="27427" spans="1:8">
      <c r="H27427" t="s">
        <v>28051</v>
      </c>
    </row>
    <row r="27428" spans="1:8">
      <c r="H27428" t="s">
        <v>28982</v>
      </c>
    </row>
    <row r="27429" spans="1:8">
      <c r="H27429" t="s">
        <v>28983</v>
      </c>
    </row>
    <row r="27430" spans="1:8">
      <c r="H27430" t="s">
        <v>28984</v>
      </c>
    </row>
    <row r="27431" spans="1:8">
      <c r="H27431" t="s">
        <v>28985</v>
      </c>
    </row>
    <row r="27432" spans="1:8">
      <c r="H27432" t="s">
        <v>28986</v>
      </c>
    </row>
    <row r="27433" spans="1:8">
      <c r="H27433" t="s">
        <v>28987</v>
      </c>
    </row>
    <row r="27434" spans="1:8">
      <c r="H27434" t="s">
        <v>28988</v>
      </c>
    </row>
    <row r="27435" spans="1:8">
      <c r="H27435" t="s">
        <v>28989</v>
      </c>
    </row>
    <row r="27436" spans="1:8">
      <c r="H27436" t="s">
        <v>18863</v>
      </c>
    </row>
    <row r="27437" spans="1:8">
      <c r="A27437" t="s">
        <v>1540</v>
      </c>
      <c r="B27437">
        <f>HYPERLINK("https://android.googlesource.com/platform/cts/+/357c95328ba2eb1a6d1a1fc7d43792e33908605e", "357c95328ba2eb1a6d1a1fc7d43792e33908605e")</f>
        <v>0</v>
      </c>
      <c r="C27437">
        <f>HYPERLINK("https://android.googlesource.com/platform/cts/+/fe3fa49da935777c45ef3ea1f1b498f4ce74e2b9", "fe3fa49da935777c45ef3ea1f1b498f4ce74e2b9")</f>
        <v>0</v>
      </c>
      <c r="D27437" t="s">
        <v>4971</v>
      </c>
      <c r="E27437" t="s">
        <v>7305</v>
      </c>
      <c r="F27437" t="s">
        <v>13264</v>
      </c>
      <c r="G27437" t="s">
        <v>17402</v>
      </c>
      <c r="H27437" t="s">
        <v>28990</v>
      </c>
    </row>
    <row r="27438" spans="1:8">
      <c r="A27438" t="s">
        <v>1541</v>
      </c>
      <c r="B27438">
        <f>HYPERLINK("https://android.googlesource.com/platform/cts/+/ec0faa173d36d6535d8dc62f517e4c9c5b538e57", "ec0faa173d36d6535d8dc62f517e4c9c5b538e57")</f>
        <v>0</v>
      </c>
      <c r="C27438">
        <f>HYPERLINK("https://android.googlesource.com/platform/cts/+/df73d5fd6b60d9db038de439227e4574f0251f77", "df73d5fd6b60d9db038de439227e4574f0251f77")</f>
        <v>0</v>
      </c>
      <c r="D27438" t="s">
        <v>4971</v>
      </c>
      <c r="E27438" t="s">
        <v>7306</v>
      </c>
      <c r="F27438" t="s">
        <v>13288</v>
      </c>
      <c r="G27438" t="s">
        <v>17425</v>
      </c>
      <c r="H27438" t="s">
        <v>28991</v>
      </c>
    </row>
    <row r="27439" spans="1:8">
      <c r="F27439" t="s">
        <v>13264</v>
      </c>
      <c r="G27439" t="s">
        <v>17402</v>
      </c>
      <c r="H27439" t="s">
        <v>28991</v>
      </c>
    </row>
    <row r="27440" spans="1:8">
      <c r="A27440" t="s">
        <v>1542</v>
      </c>
      <c r="B27440">
        <f>HYPERLINK("https://android.googlesource.com/platform/cts/+/cc15b7211b2894cd5014e621cb69a9ec616333f1", "cc15b7211b2894cd5014e621cb69a9ec616333f1")</f>
        <v>0</v>
      </c>
      <c r="C27440">
        <f>HYPERLINK("https://android.googlesource.com/platform/cts/+/dbdc3a8fb1eba6f94a6e05f295194200e9ea8a7d", "dbdc3a8fb1eba6f94a6e05f295194200e9ea8a7d")</f>
        <v>0</v>
      </c>
      <c r="D27440" t="s">
        <v>5051</v>
      </c>
      <c r="E27440" t="s">
        <v>7307</v>
      </c>
      <c r="F27440" t="s">
        <v>13242</v>
      </c>
      <c r="G27440" t="s">
        <v>17382</v>
      </c>
      <c r="H27440" t="s">
        <v>28992</v>
      </c>
    </row>
    <row r="27441" spans="1:8">
      <c r="A27441" t="s">
        <v>1543</v>
      </c>
      <c r="B27441">
        <f>HYPERLINK("https://android.googlesource.com/platform/cts/+/9c35f1af284799ba552e940c232e97023d29a409", "9c35f1af284799ba552e940c232e97023d29a409")</f>
        <v>0</v>
      </c>
      <c r="C27441">
        <f>HYPERLINK("https://android.googlesource.com/platform/cts/+/7e1b17faf5f56539bc46d54388557e3aa718ca3a", "7e1b17faf5f56539bc46d54388557e3aa718ca3a")</f>
        <v>0</v>
      </c>
      <c r="D27441" t="s">
        <v>5115</v>
      </c>
      <c r="E27441" t="s">
        <v>7308</v>
      </c>
      <c r="F27441" t="s">
        <v>13289</v>
      </c>
      <c r="G27441" t="s">
        <v>17426</v>
      </c>
      <c r="H27441" t="s">
        <v>18829</v>
      </c>
    </row>
    <row r="27442" spans="1:8">
      <c r="H27442" t="s">
        <v>18863</v>
      </c>
    </row>
    <row r="27443" spans="1:8">
      <c r="H27443" t="s">
        <v>28993</v>
      </c>
    </row>
    <row r="27444" spans="1:8">
      <c r="H27444" t="s">
        <v>28994</v>
      </c>
    </row>
    <row r="27445" spans="1:8">
      <c r="H27445" t="s">
        <v>28995</v>
      </c>
    </row>
    <row r="27446" spans="1:8">
      <c r="H27446" t="s">
        <v>28996</v>
      </c>
    </row>
    <row r="27447" spans="1:8">
      <c r="H27447" t="s">
        <v>28997</v>
      </c>
    </row>
    <row r="27448" spans="1:8">
      <c r="A27448" t="s">
        <v>1544</v>
      </c>
      <c r="B27448">
        <f>HYPERLINK("https://android.googlesource.com/platform/cts/+/af1227e4063604cd64561a5e574cdf750897ea7a", "af1227e4063604cd64561a5e574cdf750897ea7a")</f>
        <v>0</v>
      </c>
      <c r="C27448">
        <f>HYPERLINK("https://android.googlesource.com/platform/cts/+/df73d5fd6b60d9db038de439227e4574f0251f77", "df73d5fd6b60d9db038de439227e4574f0251f77")</f>
        <v>0</v>
      </c>
      <c r="D27448" t="s">
        <v>5134</v>
      </c>
      <c r="E27448" t="s">
        <v>7309</v>
      </c>
      <c r="F27448" t="s">
        <v>13230</v>
      </c>
      <c r="G27448" t="s">
        <v>17371</v>
      </c>
      <c r="H27448" t="s">
        <v>28998</v>
      </c>
    </row>
    <row r="27449" spans="1:8">
      <c r="H27449" t="s">
        <v>28999</v>
      </c>
    </row>
    <row r="27450" spans="1:8">
      <c r="A27450" t="s">
        <v>1545</v>
      </c>
      <c r="B27450">
        <f>HYPERLINK("https://android.googlesource.com/platform/cts/+/8d7a72d81246bb94a69c414d4fe6fc5b7acce4e4", "8d7a72d81246bb94a69c414d4fe6fc5b7acce4e4")</f>
        <v>0</v>
      </c>
      <c r="C27450">
        <f>HYPERLINK("https://android.googlesource.com/platform/cts/+/45a512f12381f74bed66c2bd83dd0e733bfef7c6", "45a512f12381f74bed66c2bd83dd0e733bfef7c6")</f>
        <v>0</v>
      </c>
      <c r="D27450" t="s">
        <v>5125</v>
      </c>
      <c r="E27450" t="s">
        <v>7310</v>
      </c>
      <c r="F27450" t="s">
        <v>12206</v>
      </c>
      <c r="G27450" t="s">
        <v>16444</v>
      </c>
      <c r="H27450" t="s">
        <v>29000</v>
      </c>
    </row>
    <row r="27451" spans="1:8">
      <c r="H27451" t="s">
        <v>29001</v>
      </c>
    </row>
    <row r="27452" spans="1:8">
      <c r="A27452" t="s">
        <v>1546</v>
      </c>
      <c r="B27452">
        <f>HYPERLINK("https://android.googlesource.com/platform/cts/+/93f6e2dbf572160ee71065dc66623daecf8bd382", "93f6e2dbf572160ee71065dc66623daecf8bd382")</f>
        <v>0</v>
      </c>
      <c r="C27452">
        <f>HYPERLINK("https://android.googlesource.com/platform/cts/+/83b58cb39c93c55ce02fccc32df17bf9ed323393", "83b58cb39c93c55ce02fccc32df17bf9ed323393")</f>
        <v>0</v>
      </c>
      <c r="D27452" t="s">
        <v>5051</v>
      </c>
      <c r="E27452" t="s">
        <v>7311</v>
      </c>
      <c r="F27452" t="s">
        <v>13242</v>
      </c>
      <c r="G27452" t="s">
        <v>17382</v>
      </c>
      <c r="H27452" t="s">
        <v>28992</v>
      </c>
    </row>
    <row r="27453" spans="1:8">
      <c r="A27453" t="s">
        <v>1547</v>
      </c>
      <c r="B27453">
        <f>HYPERLINK("https://android.googlesource.com/platform/cts/+/4691303e3b3002fd921e5a56ce5fced03ceaf938", "4691303e3b3002fd921e5a56ce5fced03ceaf938")</f>
        <v>0</v>
      </c>
      <c r="C27453">
        <f>HYPERLINK("https://android.googlesource.com/platform/cts/+/df73d5fd6b60d9db038de439227e4574f0251f77", "df73d5fd6b60d9db038de439227e4574f0251f77")</f>
        <v>0</v>
      </c>
      <c r="D27453" t="s">
        <v>4971</v>
      </c>
      <c r="E27453" t="s">
        <v>7312</v>
      </c>
      <c r="F27453" t="s">
        <v>13051</v>
      </c>
      <c r="G27453" t="s">
        <v>17215</v>
      </c>
      <c r="H27453" t="s">
        <v>29002</v>
      </c>
    </row>
    <row r="27454" spans="1:8">
      <c r="H27454" t="s">
        <v>29003</v>
      </c>
    </row>
    <row r="27455" spans="1:8">
      <c r="H27455" t="s">
        <v>29004</v>
      </c>
    </row>
    <row r="27456" spans="1:8">
      <c r="A27456" t="s">
        <v>1548</v>
      </c>
      <c r="B27456">
        <f>HYPERLINK("https://android.googlesource.com/platform/cts/+/6243ff729f6652552812ac1198e06cba90fb2d67", "6243ff729f6652552812ac1198e06cba90fb2d67")</f>
        <v>0</v>
      </c>
      <c r="C27456">
        <f>HYPERLINK("https://android.googlesource.com/platform/cts/+/4dc99fcc9f8f72b43f2c8fd54884e5182f2f24f7", "4dc99fcc9f8f72b43f2c8fd54884e5182f2f24f7")</f>
        <v>0</v>
      </c>
      <c r="D27456" t="s">
        <v>4952</v>
      </c>
      <c r="E27456" t="s">
        <v>7313</v>
      </c>
      <c r="F27456" t="s">
        <v>13131</v>
      </c>
      <c r="G27456" t="s">
        <v>15683</v>
      </c>
      <c r="H27456" t="s">
        <v>26720</v>
      </c>
    </row>
    <row r="27457" spans="1:8">
      <c r="F27457" t="s">
        <v>11443</v>
      </c>
      <c r="G27457" t="s">
        <v>15683</v>
      </c>
      <c r="H27457" t="s">
        <v>26720</v>
      </c>
    </row>
    <row r="27458" spans="1:8">
      <c r="A27458" t="s">
        <v>1549</v>
      </c>
      <c r="B27458">
        <f>HYPERLINK("https://android.googlesource.com/platform/cts/+/bea32fad0af0d46cbaff61673579951f8055f992", "bea32fad0af0d46cbaff61673579951f8055f992")</f>
        <v>0</v>
      </c>
      <c r="C27458">
        <f>HYPERLINK("https://android.googlesource.com/platform/cts/+/6d007c7e2fdcbb39d8a0b3fbe2186f0c677b3248", "6d007c7e2fdcbb39d8a0b3fbe2186f0c677b3248")</f>
        <v>0</v>
      </c>
      <c r="D27458" t="s">
        <v>5215</v>
      </c>
      <c r="E27458" t="s">
        <v>7314</v>
      </c>
      <c r="F27458" t="s">
        <v>12940</v>
      </c>
      <c r="G27458" t="s">
        <v>17105</v>
      </c>
      <c r="H27458" t="s">
        <v>27270</v>
      </c>
    </row>
    <row r="27459" spans="1:8">
      <c r="A27459" t="s">
        <v>1550</v>
      </c>
      <c r="B27459">
        <f>HYPERLINK("https://android.googlesource.com/platform/cts/+/9798b8e1409915c09ae44698d76056b6c8c1cbfc", "9798b8e1409915c09ae44698d76056b6c8c1cbfc")</f>
        <v>0</v>
      </c>
      <c r="C27459">
        <f>HYPERLINK("https://android.googlesource.com/platform/cts/+/b8b9920778a6f672bafa149295ecebcc27f95444", "b8b9920778a6f672bafa149295ecebcc27f95444")</f>
        <v>0</v>
      </c>
      <c r="D27459" t="s">
        <v>5092</v>
      </c>
      <c r="E27459" t="s">
        <v>7315</v>
      </c>
      <c r="F27459" t="s">
        <v>13290</v>
      </c>
      <c r="G27459" t="s">
        <v>17427</v>
      </c>
      <c r="H27459" t="s">
        <v>29005</v>
      </c>
    </row>
    <row r="27460" spans="1:8">
      <c r="A27460" t="s">
        <v>1551</v>
      </c>
      <c r="B27460">
        <f>HYPERLINK("https://android.googlesource.com/platform/cts/+/f8a0e315f369b609d12d64b5fd2ba54fcfa84567", "f8a0e315f369b609d12d64b5fd2ba54fcfa84567")</f>
        <v>0</v>
      </c>
      <c r="C27460">
        <f>HYPERLINK("https://android.googlesource.com/platform/cts/+/4bc3e1b74fa7a04aedc14cc2714c38be5602fb0a", "4bc3e1b74fa7a04aedc14cc2714c38be5602fb0a")</f>
        <v>0</v>
      </c>
      <c r="D27460" t="s">
        <v>5215</v>
      </c>
      <c r="E27460" t="s">
        <v>7314</v>
      </c>
      <c r="F27460" t="s">
        <v>12940</v>
      </c>
      <c r="G27460" t="s">
        <v>17105</v>
      </c>
      <c r="H27460" t="s">
        <v>27270</v>
      </c>
    </row>
    <row r="27461" spans="1:8">
      <c r="A27461" t="s">
        <v>1552</v>
      </c>
      <c r="B27461">
        <f>HYPERLINK("https://android.googlesource.com/platform/cts/+/542699d4f3adaea3fdeb10cccac56837d979b19b", "542699d4f3adaea3fdeb10cccac56837d979b19b")</f>
        <v>0</v>
      </c>
      <c r="C27461">
        <f>HYPERLINK("https://android.googlesource.com/platform/cts/+/177cc6ed7aaadf0418001bf1aeff0395605be751", "177cc6ed7aaadf0418001bf1aeff0395605be751")</f>
        <v>0</v>
      </c>
      <c r="D27461" t="s">
        <v>5115</v>
      </c>
      <c r="E27461" t="s">
        <v>7316</v>
      </c>
      <c r="F27461" t="s">
        <v>13291</v>
      </c>
      <c r="G27461" t="s">
        <v>17426</v>
      </c>
      <c r="H27461" t="s">
        <v>18829</v>
      </c>
    </row>
    <row r="27462" spans="1:8">
      <c r="H27462" t="s">
        <v>18863</v>
      </c>
    </row>
    <row r="27463" spans="1:8">
      <c r="H27463" t="s">
        <v>28993</v>
      </c>
    </row>
    <row r="27464" spans="1:8">
      <c r="H27464" t="s">
        <v>28994</v>
      </c>
    </row>
    <row r="27465" spans="1:8">
      <c r="H27465" t="s">
        <v>28995</v>
      </c>
    </row>
    <row r="27466" spans="1:8">
      <c r="H27466" t="s">
        <v>28996</v>
      </c>
    </row>
    <row r="27467" spans="1:8">
      <c r="H27467" t="s">
        <v>28997</v>
      </c>
    </row>
    <row r="27468" spans="1:8">
      <c r="F27468" t="s">
        <v>13292</v>
      </c>
      <c r="G27468" t="s">
        <v>17428</v>
      </c>
      <c r="H27468" t="s">
        <v>29006</v>
      </c>
    </row>
    <row r="27469" spans="1:8">
      <c r="H27469" t="s">
        <v>29007</v>
      </c>
    </row>
    <row r="27470" spans="1:8">
      <c r="A27470" t="s">
        <v>1553</v>
      </c>
      <c r="B27470">
        <f>HYPERLINK("https://android.googlesource.com/platform/cts/+/4a5344f7c7bcd8aae5f33492d63a61d6efb0573b", "4a5344f7c7bcd8aae5f33492d63a61d6efb0573b")</f>
        <v>0</v>
      </c>
      <c r="C27470">
        <f>HYPERLINK("https://android.googlesource.com/platform/cts/+/62e251b9efc4c9244162f91abfe92149fe1dada5", "62e251b9efc4c9244162f91abfe92149fe1dada5")</f>
        <v>0</v>
      </c>
      <c r="D27470" t="s">
        <v>5115</v>
      </c>
      <c r="E27470" t="s">
        <v>7317</v>
      </c>
      <c r="F27470" t="s">
        <v>13289</v>
      </c>
      <c r="G27470" t="s">
        <v>17426</v>
      </c>
      <c r="H27470" t="s">
        <v>18829</v>
      </c>
    </row>
    <row r="27471" spans="1:8">
      <c r="H27471" t="s">
        <v>18863</v>
      </c>
    </row>
    <row r="27472" spans="1:8">
      <c r="H27472" t="s">
        <v>28993</v>
      </c>
    </row>
    <row r="27473" spans="1:8">
      <c r="H27473" t="s">
        <v>28994</v>
      </c>
    </row>
    <row r="27474" spans="1:8">
      <c r="H27474" t="s">
        <v>28995</v>
      </c>
    </row>
    <row r="27475" spans="1:8">
      <c r="H27475" t="s">
        <v>28996</v>
      </c>
    </row>
    <row r="27476" spans="1:8">
      <c r="H27476" t="s">
        <v>28997</v>
      </c>
    </row>
    <row r="27477" spans="1:8">
      <c r="A27477" t="s">
        <v>1554</v>
      </c>
      <c r="B27477">
        <f>HYPERLINK("https://android.googlesource.com/platform/cts/+/0fabc671de7e98de064bb0e8e18a386e5f8a440a", "0fabc671de7e98de064bb0e8e18a386e5f8a440a")</f>
        <v>0</v>
      </c>
      <c r="C27477">
        <f>HYPERLINK("https://android.googlesource.com/platform/cts/+/601a32b0f87188d5fc4573757a232b0dd807d7fc", "601a32b0f87188d5fc4573757a232b0dd807d7fc")</f>
        <v>0</v>
      </c>
      <c r="D27477" t="s">
        <v>4949</v>
      </c>
      <c r="E27477" t="s">
        <v>7318</v>
      </c>
      <c r="F27477" t="s">
        <v>13230</v>
      </c>
      <c r="G27477" t="s">
        <v>17371</v>
      </c>
      <c r="H27477" t="s">
        <v>29008</v>
      </c>
    </row>
    <row r="27478" spans="1:8">
      <c r="H27478" t="s">
        <v>29009</v>
      </c>
    </row>
    <row r="27479" spans="1:8">
      <c r="A27479" t="s">
        <v>1555</v>
      </c>
      <c r="B27479">
        <f>HYPERLINK("https://android.googlesource.com/platform/cts/+/095cd32439b9cfec2abd1b46a82b192118be21dd", "095cd32439b9cfec2abd1b46a82b192118be21dd")</f>
        <v>0</v>
      </c>
      <c r="C27479">
        <f>HYPERLINK("https://android.googlesource.com/platform/cts/+/c1862e0292e092a997a2fd375b593af0aa07b238", "c1862e0292e092a997a2fd375b593af0aa07b238")</f>
        <v>0</v>
      </c>
      <c r="D27479" t="s">
        <v>5120</v>
      </c>
      <c r="E27479" t="s">
        <v>7319</v>
      </c>
      <c r="F27479" t="s">
        <v>12165</v>
      </c>
      <c r="G27479" t="s">
        <v>15676</v>
      </c>
      <c r="H27479" t="s">
        <v>29010</v>
      </c>
    </row>
    <row r="27480" spans="1:8">
      <c r="A27480" t="s">
        <v>1556</v>
      </c>
      <c r="B27480">
        <f>HYPERLINK("https://android.googlesource.com/platform/cts/+/555b9c76cd35d4294f450558118033265a49af06", "555b9c76cd35d4294f450558118033265a49af06")</f>
        <v>0</v>
      </c>
      <c r="C27480">
        <f>HYPERLINK("https://android.googlesource.com/platform/cts/+/9862826c7ae0862e85e7e97bd2137f76ba7e4fc8", "9862826c7ae0862e85e7e97bd2137f76ba7e4fc8")</f>
        <v>0</v>
      </c>
      <c r="D27480" t="s">
        <v>4928</v>
      </c>
      <c r="E27480" t="s">
        <v>7320</v>
      </c>
      <c r="F27480" t="s">
        <v>13293</v>
      </c>
      <c r="G27480" t="s">
        <v>17429</v>
      </c>
      <c r="H27480" t="s">
        <v>29011</v>
      </c>
    </row>
    <row r="27481" spans="1:8">
      <c r="H27481" t="s">
        <v>29012</v>
      </c>
    </row>
    <row r="27482" spans="1:8">
      <c r="F27482" t="s">
        <v>13294</v>
      </c>
      <c r="G27482" t="s">
        <v>17430</v>
      </c>
      <c r="H27482" t="s">
        <v>29011</v>
      </c>
    </row>
    <row r="27483" spans="1:8">
      <c r="A27483" t="s">
        <v>1557</v>
      </c>
      <c r="B27483">
        <f>HYPERLINK("https://android.googlesource.com/platform/cts/+/fc25beca4c74953ff1c6e8be18f5c0a9a20ceebc", "fc25beca4c74953ff1c6e8be18f5c0a9a20ceebc")</f>
        <v>0</v>
      </c>
      <c r="C27483">
        <f>HYPERLINK("https://android.googlesource.com/platform/cts/+/6bd3e7168a5712630eca7838616287b32497ab36", "6bd3e7168a5712630eca7838616287b32497ab36")</f>
        <v>0</v>
      </c>
      <c r="D27483" t="s">
        <v>5214</v>
      </c>
      <c r="E27483" t="s">
        <v>7321</v>
      </c>
      <c r="F27483" t="s">
        <v>13225</v>
      </c>
      <c r="G27483" t="s">
        <v>17366</v>
      </c>
      <c r="H27483" t="s">
        <v>29013</v>
      </c>
    </row>
    <row r="27484" spans="1:8">
      <c r="H27484" t="s">
        <v>29014</v>
      </c>
    </row>
    <row r="27485" spans="1:8">
      <c r="H27485" t="s">
        <v>29015</v>
      </c>
    </row>
    <row r="27486" spans="1:8">
      <c r="H27486" t="s">
        <v>29016</v>
      </c>
    </row>
    <row r="27487" spans="1:8">
      <c r="A27487" t="s">
        <v>1558</v>
      </c>
      <c r="B27487">
        <f>HYPERLINK("https://android.googlesource.com/platform/cts/+/a179cec1b44f8d2cdb141bd040e9e333bb6b9610", "a179cec1b44f8d2cdb141bd040e9e333bb6b9610")</f>
        <v>0</v>
      </c>
      <c r="C27487">
        <f>HYPERLINK("https://android.googlesource.com/platform/cts/+/07c1494d6814ecf957c28b6139a175d18e68d958", "07c1494d6814ecf957c28b6139a175d18e68d958")</f>
        <v>0</v>
      </c>
      <c r="D27487" t="s">
        <v>5125</v>
      </c>
      <c r="E27487" t="s">
        <v>7322</v>
      </c>
      <c r="F27487" t="s">
        <v>10794</v>
      </c>
      <c r="G27487" t="s">
        <v>15189</v>
      </c>
      <c r="H27487" t="s">
        <v>29017</v>
      </c>
    </row>
    <row r="27488" spans="1:8">
      <c r="A27488" t="s">
        <v>1559</v>
      </c>
      <c r="B27488">
        <f>HYPERLINK("https://android.googlesource.com/platform/cts/+/a4b3ec33209fe43af6396645b191239a91b5ae08", "a4b3ec33209fe43af6396645b191239a91b5ae08")</f>
        <v>0</v>
      </c>
      <c r="C27488">
        <f>HYPERLINK("https://android.googlesource.com/platform/cts/+/bc81ed1685167c0e40d90c04d006cc4959cb0059", "bc81ed1685167c0e40d90c04d006cc4959cb0059")</f>
        <v>0</v>
      </c>
      <c r="D27488" t="s">
        <v>5238</v>
      </c>
      <c r="E27488" t="s">
        <v>7323</v>
      </c>
      <c r="F27488" t="s">
        <v>12903</v>
      </c>
      <c r="G27488" t="s">
        <v>17064</v>
      </c>
      <c r="H27488" t="s">
        <v>26854</v>
      </c>
    </row>
    <row r="27489" spans="1:8">
      <c r="H27489" t="s">
        <v>26854</v>
      </c>
    </row>
    <row r="27490" spans="1:8">
      <c r="A27490" t="s">
        <v>1560</v>
      </c>
      <c r="B27490">
        <f>HYPERLINK("https://android.googlesource.com/platform/cts/+/d4311977b79e507ac0d0f2f0b6fadd2016ecc149", "d4311977b79e507ac0d0f2f0b6fadd2016ecc149")</f>
        <v>0</v>
      </c>
      <c r="C27490">
        <f>HYPERLINK("https://android.googlesource.com/platform/cts/+/9862826c7ae0862e85e7e97bd2137f76ba7e4fc8", "9862826c7ae0862e85e7e97bd2137f76ba7e4fc8")</f>
        <v>0</v>
      </c>
      <c r="D27490" t="s">
        <v>4928</v>
      </c>
      <c r="E27490" t="s">
        <v>7324</v>
      </c>
      <c r="F27490" t="s">
        <v>10713</v>
      </c>
      <c r="G27490" t="s">
        <v>15112</v>
      </c>
      <c r="H27490" t="s">
        <v>29018</v>
      </c>
    </row>
    <row r="27491" spans="1:8">
      <c r="A27491" t="s">
        <v>1561</v>
      </c>
      <c r="B27491">
        <f>HYPERLINK("https://android.googlesource.com/platform/cts/+/f5a2ec8f07ea81fcd5a784654395df96c8ba31fc", "f5a2ec8f07ea81fcd5a784654395df96c8ba31fc")</f>
        <v>0</v>
      </c>
      <c r="C27491">
        <f>HYPERLINK("https://android.googlesource.com/platform/cts/+/289764535986377bbfa076136802c0f15d157ca9", "289764535986377bbfa076136802c0f15d157ca9")</f>
        <v>0</v>
      </c>
      <c r="D27491" t="s">
        <v>5238</v>
      </c>
      <c r="E27491" t="s">
        <v>7325</v>
      </c>
      <c r="F27491" t="s">
        <v>12903</v>
      </c>
      <c r="G27491" t="s">
        <v>17064</v>
      </c>
      <c r="H27491" t="s">
        <v>26854</v>
      </c>
    </row>
    <row r="27492" spans="1:8">
      <c r="H27492" t="s">
        <v>26854</v>
      </c>
    </row>
    <row r="27493" spans="1:8">
      <c r="A27493" t="s">
        <v>1562</v>
      </c>
      <c r="B27493">
        <f>HYPERLINK("https://android.googlesource.com/platform/cts/+/dfa9e247e65e5fc9692e8df1a39aa43ecd9f4b48", "dfa9e247e65e5fc9692e8df1a39aa43ecd9f4b48")</f>
        <v>0</v>
      </c>
      <c r="C27493">
        <f>HYPERLINK("https://android.googlesource.com/platform/cts/+/5ad61b90d9bac1665316e941ac6ede3b391e107c", "5ad61b90d9bac1665316e941ac6ede3b391e107c")</f>
        <v>0</v>
      </c>
      <c r="D27493" t="s">
        <v>5143</v>
      </c>
      <c r="E27493" t="s">
        <v>7326</v>
      </c>
      <c r="F27493" t="s">
        <v>13295</v>
      </c>
      <c r="G27493" t="s">
        <v>17431</v>
      </c>
      <c r="H27493" t="s">
        <v>29019</v>
      </c>
    </row>
    <row r="27494" spans="1:8">
      <c r="A27494" t="s">
        <v>1563</v>
      </c>
      <c r="B27494">
        <f>HYPERLINK("https://android.googlesource.com/platform/cts/+/41a16ca7b6f16ebd7ec83a6b4d2691c1ec0f940d", "41a16ca7b6f16ebd7ec83a6b4d2691c1ec0f940d")</f>
        <v>0</v>
      </c>
      <c r="C27494">
        <f>HYPERLINK("https://android.googlesource.com/platform/cts/+/a8d86dac2f94f8d97d76c5ac27a68f1cf3d6ccc1", "a8d86dac2f94f8d97d76c5ac27a68f1cf3d6ccc1")</f>
        <v>0</v>
      </c>
      <c r="D27494" t="s">
        <v>5126</v>
      </c>
      <c r="E27494" t="s">
        <v>7327</v>
      </c>
      <c r="F27494" t="s">
        <v>10699</v>
      </c>
      <c r="G27494" t="s">
        <v>15099</v>
      </c>
      <c r="H27494" t="s">
        <v>29020</v>
      </c>
    </row>
    <row r="27495" spans="1:8">
      <c r="A27495" t="s">
        <v>1564</v>
      </c>
      <c r="B27495">
        <f>HYPERLINK("https://android.googlesource.com/platform/cts/+/59a36621969cd6b14755d5483a3cc38e78898de2", "59a36621969cd6b14755d5483a3cc38e78898de2")</f>
        <v>0</v>
      </c>
      <c r="C27495">
        <f>HYPERLINK("https://android.googlesource.com/platform/cts/+/51b0f0a9c9af6192e0601789714b843d36a514b3", "51b0f0a9c9af6192e0601789714b843d36a514b3")</f>
        <v>0</v>
      </c>
      <c r="D27495" t="s">
        <v>4931</v>
      </c>
      <c r="E27495" t="s">
        <v>7328</v>
      </c>
      <c r="F27495" t="s">
        <v>13296</v>
      </c>
      <c r="G27495" t="s">
        <v>17432</v>
      </c>
      <c r="H27495" t="s">
        <v>18829</v>
      </c>
    </row>
    <row r="27496" spans="1:8">
      <c r="H27496" t="s">
        <v>18863</v>
      </c>
    </row>
    <row r="27497" spans="1:8">
      <c r="H27497" t="s">
        <v>29021</v>
      </c>
    </row>
    <row r="27498" spans="1:8">
      <c r="H27498" t="s">
        <v>29022</v>
      </c>
    </row>
    <row r="27499" spans="1:8">
      <c r="H27499" t="s">
        <v>25729</v>
      </c>
    </row>
    <row r="27500" spans="1:8">
      <c r="A27500" t="s">
        <v>1565</v>
      </c>
      <c r="B27500">
        <f>HYPERLINK("https://android.googlesource.com/platform/cts/+/60fb25a0afcb809a5cdc8317fc2ca67f3d86ad1e", "60fb25a0afcb809a5cdc8317fc2ca67f3d86ad1e")</f>
        <v>0</v>
      </c>
      <c r="C27500">
        <f>HYPERLINK("https://android.googlesource.com/platform/cts/+/64699b573f99355ea1788e22cc91f1c0cd30f0fb", "64699b573f99355ea1788e22cc91f1c0cd30f0fb")</f>
        <v>0</v>
      </c>
      <c r="D27500" t="s">
        <v>5214</v>
      </c>
      <c r="E27500" t="s">
        <v>7329</v>
      </c>
      <c r="F27500" t="s">
        <v>13225</v>
      </c>
      <c r="G27500" t="s">
        <v>17366</v>
      </c>
      <c r="H27500" t="s">
        <v>29013</v>
      </c>
    </row>
    <row r="27501" spans="1:8">
      <c r="H27501" t="s">
        <v>29014</v>
      </c>
    </row>
    <row r="27502" spans="1:8">
      <c r="H27502" t="s">
        <v>29015</v>
      </c>
    </row>
    <row r="27503" spans="1:8">
      <c r="H27503" t="s">
        <v>29016</v>
      </c>
    </row>
    <row r="27504" spans="1:8">
      <c r="A27504" t="s">
        <v>1566</v>
      </c>
      <c r="B27504">
        <f>HYPERLINK("https://android.googlesource.com/platform/cts/+/7435d710f41a7d4d94cb2b8eecb3297155c58a27", "7435d710f41a7d4d94cb2b8eecb3297155c58a27")</f>
        <v>0</v>
      </c>
      <c r="C27504">
        <f>HYPERLINK("https://android.googlesource.com/platform/cts/+/f770e20ef1b86bf3b9eb22fb07ae5ea9695060c5", "f770e20ef1b86bf3b9eb22fb07ae5ea9695060c5")</f>
        <v>0</v>
      </c>
      <c r="D27504" t="s">
        <v>5027</v>
      </c>
      <c r="E27504" t="s">
        <v>7330</v>
      </c>
      <c r="F27504" t="s">
        <v>13187</v>
      </c>
      <c r="G27504" t="s">
        <v>17331</v>
      </c>
      <c r="H27504" t="s">
        <v>29023</v>
      </c>
    </row>
    <row r="27505" spans="1:8">
      <c r="H27505" t="s">
        <v>26316</v>
      </c>
    </row>
    <row r="27506" spans="1:8">
      <c r="H27506" t="s">
        <v>29024</v>
      </c>
    </row>
    <row r="27507" spans="1:8">
      <c r="H27507" t="s">
        <v>29024</v>
      </c>
    </row>
    <row r="27508" spans="1:8">
      <c r="H27508" t="s">
        <v>18893</v>
      </c>
    </row>
    <row r="27509" spans="1:8">
      <c r="H27509" t="s">
        <v>29025</v>
      </c>
    </row>
    <row r="27510" spans="1:8">
      <c r="H27510" t="s">
        <v>18893</v>
      </c>
    </row>
    <row r="27511" spans="1:8">
      <c r="H27511" t="s">
        <v>29026</v>
      </c>
    </row>
    <row r="27512" spans="1:8">
      <c r="H27512" t="s">
        <v>20177</v>
      </c>
    </row>
    <row r="27513" spans="1:8">
      <c r="H27513" t="s">
        <v>18893</v>
      </c>
    </row>
    <row r="27514" spans="1:8">
      <c r="A27514" t="s">
        <v>1567</v>
      </c>
      <c r="B27514">
        <f>HYPERLINK("https://android.googlesource.com/platform/cts/+/0c62b6d65b1d22355d0ead1a6e96aabb5ac8e151", "0c62b6d65b1d22355d0ead1a6e96aabb5ac8e151")</f>
        <v>0</v>
      </c>
      <c r="C27514">
        <f>HYPERLINK("https://android.googlesource.com/platform/cts/+/7435d710f41a7d4d94cb2b8eecb3297155c58a27", "7435d710f41a7d4d94cb2b8eecb3297155c58a27")</f>
        <v>0</v>
      </c>
      <c r="D27514" t="s">
        <v>5027</v>
      </c>
      <c r="E27514" t="s">
        <v>7331</v>
      </c>
      <c r="F27514" t="s">
        <v>12617</v>
      </c>
      <c r="G27514" t="s">
        <v>15155</v>
      </c>
      <c r="H27514" t="s">
        <v>29027</v>
      </c>
    </row>
    <row r="27515" spans="1:8">
      <c r="H27515" t="s">
        <v>29028</v>
      </c>
    </row>
    <row r="27516" spans="1:8">
      <c r="H27516" t="s">
        <v>29028</v>
      </c>
    </row>
    <row r="27517" spans="1:8">
      <c r="H27517" t="s">
        <v>29029</v>
      </c>
    </row>
    <row r="27518" spans="1:8">
      <c r="H27518" t="s">
        <v>29030</v>
      </c>
    </row>
    <row r="27519" spans="1:8">
      <c r="A27519" t="s">
        <v>1568</v>
      </c>
      <c r="B27519">
        <f>HYPERLINK("https://android.googlesource.com/platform/cts/+/2c7728b35b84fe5605e3317b881d5a99659baab8", "2c7728b35b84fe5605e3317b881d5a99659baab8")</f>
        <v>0</v>
      </c>
      <c r="C27519">
        <f>HYPERLINK("https://android.googlesource.com/platform/cts/+/0c62b6d65b1d22355d0ead1a6e96aabb5ac8e151", "0c62b6d65b1d22355d0ead1a6e96aabb5ac8e151")</f>
        <v>0</v>
      </c>
      <c r="D27519" t="s">
        <v>5027</v>
      </c>
      <c r="E27519" t="s">
        <v>7332</v>
      </c>
      <c r="F27519" t="s">
        <v>12617</v>
      </c>
      <c r="G27519" t="s">
        <v>15155</v>
      </c>
      <c r="H27519" t="s">
        <v>29031</v>
      </c>
    </row>
    <row r="27520" spans="1:8">
      <c r="H27520" t="s">
        <v>29032</v>
      </c>
    </row>
    <row r="27521" spans="1:8">
      <c r="F27521" t="s">
        <v>13297</v>
      </c>
      <c r="G27521" t="s">
        <v>17433</v>
      </c>
      <c r="H27521" t="s">
        <v>29033</v>
      </c>
    </row>
    <row r="27522" spans="1:8">
      <c r="H27522" t="s">
        <v>29034</v>
      </c>
    </row>
    <row r="27523" spans="1:8">
      <c r="A27523" t="s">
        <v>1569</v>
      </c>
      <c r="B27523">
        <f>HYPERLINK("https://android.googlesource.com/platform/cts/+/9a05c717ca6ae16344cbe0471cb2e6dff0c7282f", "9a05c717ca6ae16344cbe0471cb2e6dff0c7282f")</f>
        <v>0</v>
      </c>
      <c r="C27523">
        <f>HYPERLINK("https://android.googlesource.com/platform/cts/+/c2c2493886f74212c518cbbdb7928579ad2d27c8", "c2c2493886f74212c518cbbdb7928579ad2d27c8")</f>
        <v>0</v>
      </c>
      <c r="D27523" t="s">
        <v>5077</v>
      </c>
      <c r="E27523" t="s">
        <v>7333</v>
      </c>
      <c r="F27523" t="s">
        <v>12817</v>
      </c>
      <c r="G27523" t="s">
        <v>16629</v>
      </c>
      <c r="H27523" t="s">
        <v>29035</v>
      </c>
    </row>
    <row r="27524" spans="1:8">
      <c r="H27524" t="s">
        <v>29036</v>
      </c>
    </row>
    <row r="27525" spans="1:8">
      <c r="A27525" t="s">
        <v>1570</v>
      </c>
      <c r="B27525">
        <f>HYPERLINK("https://android.googlesource.com/platform/cts/+/d793e4256716618d77ef129ce0c0bf519e679b00", "d793e4256716618d77ef129ce0c0bf519e679b00")</f>
        <v>0</v>
      </c>
      <c r="C27525">
        <f>HYPERLINK("https://android.googlesource.com/platform/cts/+/929244f1b79abc6958f876bbc5c5e88756f73bc5", "929244f1b79abc6958f876bbc5c5e88756f73bc5")</f>
        <v>0</v>
      </c>
      <c r="D27525" t="s">
        <v>5077</v>
      </c>
      <c r="E27525" t="s">
        <v>7334</v>
      </c>
      <c r="F27525" t="s">
        <v>12817</v>
      </c>
      <c r="G27525" t="s">
        <v>16629</v>
      </c>
      <c r="H27525" t="s">
        <v>29035</v>
      </c>
    </row>
    <row r="27526" spans="1:8">
      <c r="H27526" t="s">
        <v>29036</v>
      </c>
    </row>
    <row r="27527" spans="1:8">
      <c r="A27527" t="s">
        <v>1571</v>
      </c>
      <c r="B27527">
        <f>HYPERLINK("https://android.googlesource.com/platform/cts/+/400e7d594809ca2cb52c2a69cefbf92c21526237", "400e7d594809ca2cb52c2a69cefbf92c21526237")</f>
        <v>0</v>
      </c>
      <c r="C27527">
        <f>HYPERLINK("https://android.googlesource.com/platform/cts/+/36cd300c3d253eb36ec710e14be84e7e6ae4ffed", "36cd300c3d253eb36ec710e14be84e7e6ae4ffed")</f>
        <v>0</v>
      </c>
      <c r="D27527" t="s">
        <v>5117</v>
      </c>
      <c r="E27527" t="s">
        <v>7335</v>
      </c>
      <c r="F27527" t="s">
        <v>13241</v>
      </c>
      <c r="G27527" t="s">
        <v>17381</v>
      </c>
      <c r="H27527" t="s">
        <v>29037</v>
      </c>
    </row>
    <row r="27528" spans="1:8">
      <c r="H27528" t="s">
        <v>29038</v>
      </c>
    </row>
    <row r="27529" spans="1:8">
      <c r="H27529" t="s">
        <v>29039</v>
      </c>
    </row>
    <row r="27530" spans="1:8">
      <c r="H27530" t="s">
        <v>29040</v>
      </c>
    </row>
    <row r="27531" spans="1:8">
      <c r="H27531" t="s">
        <v>29041</v>
      </c>
    </row>
    <row r="27532" spans="1:8">
      <c r="H27532" t="s">
        <v>29042</v>
      </c>
    </row>
    <row r="27533" spans="1:8">
      <c r="H27533" t="s">
        <v>29043</v>
      </c>
    </row>
    <row r="27534" spans="1:8">
      <c r="H27534" t="s">
        <v>29044</v>
      </c>
    </row>
    <row r="27535" spans="1:8">
      <c r="H27535" t="s">
        <v>29045</v>
      </c>
    </row>
    <row r="27536" spans="1:8">
      <c r="H27536" t="s">
        <v>29046</v>
      </c>
    </row>
    <row r="27537" spans="1:8">
      <c r="H27537" t="s">
        <v>29047</v>
      </c>
    </row>
    <row r="27538" spans="1:8">
      <c r="H27538" t="s">
        <v>29048</v>
      </c>
    </row>
    <row r="27539" spans="1:8">
      <c r="H27539" t="s">
        <v>29049</v>
      </c>
    </row>
    <row r="27540" spans="1:8">
      <c r="H27540" t="s">
        <v>29050</v>
      </c>
    </row>
    <row r="27541" spans="1:8">
      <c r="H27541" t="s">
        <v>29051</v>
      </c>
    </row>
    <row r="27542" spans="1:8">
      <c r="H27542" t="s">
        <v>29052</v>
      </c>
    </row>
    <row r="27543" spans="1:8">
      <c r="H27543" t="s">
        <v>29053</v>
      </c>
    </row>
    <row r="27544" spans="1:8">
      <c r="H27544" t="s">
        <v>29054</v>
      </c>
    </row>
    <row r="27545" spans="1:8">
      <c r="H27545" t="s">
        <v>29055</v>
      </c>
    </row>
    <row r="27546" spans="1:8">
      <c r="H27546" t="s">
        <v>29056</v>
      </c>
    </row>
    <row r="27547" spans="1:8">
      <c r="H27547" t="s">
        <v>29057</v>
      </c>
    </row>
    <row r="27548" spans="1:8">
      <c r="H27548" t="s">
        <v>29058</v>
      </c>
    </row>
    <row r="27549" spans="1:8">
      <c r="H27549" t="s">
        <v>29059</v>
      </c>
    </row>
    <row r="27550" spans="1:8">
      <c r="H27550" t="s">
        <v>29060</v>
      </c>
    </row>
    <row r="27551" spans="1:8">
      <c r="A27551" t="s">
        <v>1572</v>
      </c>
      <c r="B27551">
        <f>HYPERLINK("https://android.googlesource.com/platform/cts/+/132add28bb79b857e866241a858695b933fd9dea", "132add28bb79b857e866241a858695b933fd9dea")</f>
        <v>0</v>
      </c>
      <c r="C27551">
        <f>HYPERLINK("https://android.googlesource.com/platform/cts/+/9ea549238750212c55861b249c4ea66c2a0662c6", "9ea549238750212c55861b249c4ea66c2a0662c6")</f>
        <v>0</v>
      </c>
      <c r="D27551" t="s">
        <v>5221</v>
      </c>
      <c r="E27551" t="s">
        <v>7336</v>
      </c>
      <c r="F27551" t="s">
        <v>13298</v>
      </c>
      <c r="G27551" t="s">
        <v>17434</v>
      </c>
      <c r="H27551" t="s">
        <v>29061</v>
      </c>
    </row>
    <row r="27552" spans="1:8">
      <c r="H27552" t="s">
        <v>29062</v>
      </c>
    </row>
    <row r="27553" spans="1:8">
      <c r="H27553" t="s">
        <v>29063</v>
      </c>
    </row>
    <row r="27554" spans="1:8">
      <c r="H27554" t="s">
        <v>29064</v>
      </c>
    </row>
    <row r="27555" spans="1:8">
      <c r="H27555" t="s">
        <v>29065</v>
      </c>
    </row>
    <row r="27556" spans="1:8">
      <c r="H27556" t="s">
        <v>29066</v>
      </c>
    </row>
    <row r="27557" spans="1:8">
      <c r="H27557" t="s">
        <v>29067</v>
      </c>
    </row>
    <row r="27558" spans="1:8">
      <c r="H27558" t="s">
        <v>29068</v>
      </c>
    </row>
    <row r="27559" spans="1:8">
      <c r="H27559" t="s">
        <v>29069</v>
      </c>
    </row>
    <row r="27560" spans="1:8">
      <c r="A27560" t="s">
        <v>1573</v>
      </c>
      <c r="B27560">
        <f>HYPERLINK("https://android.googlesource.com/platform/cts/+/651e374d7496f97f955c746c53fce77db5c21fc7", "651e374d7496f97f955c746c53fce77db5c21fc7")</f>
        <v>0</v>
      </c>
      <c r="C27560">
        <f>HYPERLINK("https://android.googlesource.com/platform/cts/+/3eb548948ae9ff26f05f03726586a9e0e0603d62", "3eb548948ae9ff26f05f03726586a9e0e0603d62")</f>
        <v>0</v>
      </c>
      <c r="D27560" t="s">
        <v>4994</v>
      </c>
      <c r="E27560" t="s">
        <v>7337</v>
      </c>
      <c r="F27560" t="s">
        <v>13105</v>
      </c>
      <c r="G27560" t="s">
        <v>17267</v>
      </c>
      <c r="H27560" t="s">
        <v>29070</v>
      </c>
    </row>
    <row r="27561" spans="1:8">
      <c r="F27561" t="s">
        <v>13108</v>
      </c>
      <c r="G27561" t="s">
        <v>17270</v>
      </c>
      <c r="H27561" t="s">
        <v>29071</v>
      </c>
    </row>
    <row r="27562" spans="1:8">
      <c r="H27562" t="s">
        <v>29072</v>
      </c>
    </row>
    <row r="27563" spans="1:8">
      <c r="F27563" t="s">
        <v>13299</v>
      </c>
      <c r="G27563" t="s">
        <v>17435</v>
      </c>
      <c r="H27563" t="s">
        <v>29073</v>
      </c>
    </row>
    <row r="27564" spans="1:8">
      <c r="H27564" t="s">
        <v>29074</v>
      </c>
    </row>
    <row r="27565" spans="1:8">
      <c r="F27565" t="s">
        <v>13113</v>
      </c>
      <c r="G27565" t="s">
        <v>17275</v>
      </c>
      <c r="H27565" t="s">
        <v>29075</v>
      </c>
    </row>
    <row r="27566" spans="1:8">
      <c r="H27566" t="s">
        <v>29076</v>
      </c>
    </row>
    <row r="27567" spans="1:8">
      <c r="F27567" t="s">
        <v>13300</v>
      </c>
      <c r="G27567" t="s">
        <v>17436</v>
      </c>
      <c r="H27567" t="s">
        <v>29073</v>
      </c>
    </row>
    <row r="27568" spans="1:8">
      <c r="F27568" t="s">
        <v>13301</v>
      </c>
      <c r="G27568" t="s">
        <v>17437</v>
      </c>
      <c r="H27568" t="s">
        <v>29075</v>
      </c>
    </row>
    <row r="27569" spans="1:8">
      <c r="H27569" t="s">
        <v>29076</v>
      </c>
    </row>
    <row r="27570" spans="1:8">
      <c r="F27570" t="s">
        <v>10754</v>
      </c>
      <c r="G27570" t="s">
        <v>15152</v>
      </c>
      <c r="H27570" t="s">
        <v>29073</v>
      </c>
    </row>
    <row r="27571" spans="1:8">
      <c r="F27571" t="s">
        <v>13120</v>
      </c>
      <c r="G27571" t="s">
        <v>17282</v>
      </c>
      <c r="H27571" t="s">
        <v>29073</v>
      </c>
    </row>
    <row r="27572" spans="1:8">
      <c r="A27572" t="s">
        <v>1574</v>
      </c>
      <c r="B27572">
        <f>HYPERLINK("https://android.googlesource.com/platform/cts/+/a41e22daec4b566d233a6ac3030311f599ec9fa9", "a41e22daec4b566d233a6ac3030311f599ec9fa9")</f>
        <v>0</v>
      </c>
      <c r="C27572">
        <f>HYPERLINK("https://android.googlesource.com/platform/cts/+/db76a375aa6872a5544fe545f0e501e96cb8c8ae", "db76a375aa6872a5544fe545f0e501e96cb8c8ae")</f>
        <v>0</v>
      </c>
      <c r="D27572" t="s">
        <v>5207</v>
      </c>
      <c r="E27572" t="s">
        <v>7338</v>
      </c>
      <c r="F27572" t="s">
        <v>12345</v>
      </c>
      <c r="G27572" t="s">
        <v>16573</v>
      </c>
      <c r="H27572" t="s">
        <v>22247</v>
      </c>
    </row>
    <row r="27573" spans="1:8">
      <c r="A27573" t="s">
        <v>1575</v>
      </c>
      <c r="B27573">
        <f>HYPERLINK("https://android.googlesource.com/platform/cts/+/2f85594f3b90e72122af62b01540de369456d533", "2f85594f3b90e72122af62b01540de369456d533")</f>
        <v>0</v>
      </c>
      <c r="C27573">
        <f>HYPERLINK("https://android.googlesource.com/platform/cts/+/0f1529c0a957241bee81adeb525e114e28db32c0", "0f1529c0a957241bee81adeb525e114e28db32c0")</f>
        <v>0</v>
      </c>
      <c r="D27573" t="s">
        <v>5134</v>
      </c>
      <c r="E27573" t="s">
        <v>7339</v>
      </c>
      <c r="F27573" t="s">
        <v>13302</v>
      </c>
      <c r="G27573" t="s">
        <v>17438</v>
      </c>
      <c r="H27573" t="s">
        <v>29077</v>
      </c>
    </row>
    <row r="27574" spans="1:8">
      <c r="H27574" t="s">
        <v>29078</v>
      </c>
    </row>
    <row r="27575" spans="1:8">
      <c r="H27575" t="s">
        <v>29079</v>
      </c>
    </row>
    <row r="27576" spans="1:8">
      <c r="H27576" t="s">
        <v>29080</v>
      </c>
    </row>
    <row r="27577" spans="1:8">
      <c r="H27577" t="s">
        <v>29081</v>
      </c>
    </row>
    <row r="27578" spans="1:8">
      <c r="H27578" t="s">
        <v>19133</v>
      </c>
    </row>
    <row r="27579" spans="1:8">
      <c r="H27579" t="s">
        <v>19135</v>
      </c>
    </row>
    <row r="27580" spans="1:8">
      <c r="A27580" t="s">
        <v>1576</v>
      </c>
      <c r="B27580">
        <f>HYPERLINK("https://android.googlesource.com/platform/cts/+/e57bc3dadf3c3f52ff93a34f3528f630d16f4c13", "e57bc3dadf3c3f52ff93a34f3528f630d16f4c13")</f>
        <v>0</v>
      </c>
      <c r="C27580">
        <f>HYPERLINK("https://android.googlesource.com/platform/cts/+/b11a0a1b86e3f7ae3bfab25a3903954ac707e7cf", "b11a0a1b86e3f7ae3bfab25a3903954ac707e7cf")</f>
        <v>0</v>
      </c>
      <c r="D27580" t="s">
        <v>5223</v>
      </c>
      <c r="E27580" t="s">
        <v>7340</v>
      </c>
      <c r="F27580" t="s">
        <v>13303</v>
      </c>
      <c r="G27580" t="s">
        <v>16873</v>
      </c>
      <c r="H27580" t="s">
        <v>29082</v>
      </c>
    </row>
    <row r="27581" spans="1:8">
      <c r="A27581" t="s">
        <v>1577</v>
      </c>
      <c r="B27581">
        <f>HYPERLINK("https://android.googlesource.com/platform/cts/+/6a3afe6449463cd63f126547b3594fd918e1f543", "6a3afe6449463cd63f126547b3594fd918e1f543")</f>
        <v>0</v>
      </c>
      <c r="C27581">
        <f>HYPERLINK("https://android.googlesource.com/platform/cts/+/e280b43711bbf54223f7bde587e75227446e06d4", "e280b43711bbf54223f7bde587e75227446e06d4")</f>
        <v>0</v>
      </c>
      <c r="D27581" t="s">
        <v>4971</v>
      </c>
      <c r="E27581" t="s">
        <v>7341</v>
      </c>
      <c r="F27581" t="s">
        <v>13304</v>
      </c>
      <c r="G27581" t="s">
        <v>17439</v>
      </c>
      <c r="H27581" t="s">
        <v>29083</v>
      </c>
    </row>
    <row r="27582" spans="1:8">
      <c r="A27582" t="s">
        <v>1578</v>
      </c>
      <c r="B27582">
        <f>HYPERLINK("https://android.googlesource.com/platform/cts/+/ae9ebfdb0a376e36b80b5d365e2e62d1502530bd", "ae9ebfdb0a376e36b80b5d365e2e62d1502530bd")</f>
        <v>0</v>
      </c>
      <c r="C27582">
        <f>HYPERLINK("https://android.googlesource.com/platform/cts/+/76ef62330b22abc31f9dd9cdaa14ee657328515b", "76ef62330b22abc31f9dd9cdaa14ee657328515b")</f>
        <v>0</v>
      </c>
      <c r="D27582" t="s">
        <v>5239</v>
      </c>
      <c r="E27582" t="s">
        <v>7342</v>
      </c>
      <c r="F27582" t="s">
        <v>10687</v>
      </c>
      <c r="G27582" t="s">
        <v>15087</v>
      </c>
      <c r="H27582" t="s">
        <v>29084</v>
      </c>
    </row>
    <row r="27583" spans="1:8">
      <c r="A27583" t="s">
        <v>1579</v>
      </c>
      <c r="B27583">
        <f>HYPERLINK("https://android.googlesource.com/platform/cts/+/80dd8b16b5907dc8142f519b73bc9836be6684d8", "80dd8b16b5907dc8142f519b73bc9836be6684d8")</f>
        <v>0</v>
      </c>
      <c r="C27583">
        <f>HYPERLINK("https://android.googlesource.com/platform/cts/+/9f1408142475d7f202609fd324467cb373d8abe7", "9f1408142475d7f202609fd324467cb373d8abe7")</f>
        <v>0</v>
      </c>
      <c r="D27583" t="s">
        <v>5146</v>
      </c>
      <c r="E27583" t="s">
        <v>7343</v>
      </c>
      <c r="F27583" t="s">
        <v>13277</v>
      </c>
      <c r="G27583" t="s">
        <v>17414</v>
      </c>
      <c r="H27583" t="s">
        <v>29085</v>
      </c>
    </row>
    <row r="27584" spans="1:8">
      <c r="H27584" t="s">
        <v>29086</v>
      </c>
    </row>
    <row r="27585" spans="1:8">
      <c r="H27585" t="s">
        <v>29087</v>
      </c>
    </row>
    <row r="27586" spans="1:8">
      <c r="A27586" t="s">
        <v>1580</v>
      </c>
      <c r="B27586">
        <f>HYPERLINK("https://android.googlesource.com/platform/cts/+/e66e55cc3151a2c3138df76fbf1721821d18398c", "e66e55cc3151a2c3138df76fbf1721821d18398c")</f>
        <v>0</v>
      </c>
      <c r="C27586">
        <f>HYPERLINK("https://android.googlesource.com/platform/cts/+/a0d4982aec29ab2f1d5948560a56e4e38c24b9f4", "a0d4982aec29ab2f1d5948560a56e4e38c24b9f4")</f>
        <v>0</v>
      </c>
      <c r="D27586" t="s">
        <v>5205</v>
      </c>
      <c r="E27586" t="s">
        <v>7344</v>
      </c>
      <c r="F27586" t="s">
        <v>13305</v>
      </c>
      <c r="G27586" t="s">
        <v>17148</v>
      </c>
      <c r="H27586" t="s">
        <v>29088</v>
      </c>
    </row>
    <row r="27587" spans="1:8">
      <c r="A27587" t="s">
        <v>1581</v>
      </c>
      <c r="B27587">
        <f>HYPERLINK("https://android.googlesource.com/platform/cts/+/b1c55daa44a4685a8961f7ac2fbf8586fac88281", "b1c55daa44a4685a8961f7ac2fbf8586fac88281")</f>
        <v>0</v>
      </c>
      <c r="C27587">
        <f>HYPERLINK("https://android.googlesource.com/platform/cts/+/c80b716b041267e475bb204d2b04e754451b10fe", "c80b716b041267e475bb204d2b04e754451b10fe")</f>
        <v>0</v>
      </c>
      <c r="D27587" t="s">
        <v>5236</v>
      </c>
      <c r="E27587" t="s">
        <v>7345</v>
      </c>
      <c r="F27587" t="s">
        <v>10727</v>
      </c>
      <c r="G27587" t="s">
        <v>15126</v>
      </c>
      <c r="H27587" t="s">
        <v>18982</v>
      </c>
    </row>
    <row r="27588" spans="1:8">
      <c r="H27588" t="s">
        <v>18983</v>
      </c>
    </row>
    <row r="27589" spans="1:8">
      <c r="A27589" t="s">
        <v>1582</v>
      </c>
      <c r="B27589">
        <f>HYPERLINK("https://android.googlesource.com/platform/cts/+/eec9f23a429b22bfbccbe4781679fedcbb526f7a", "eec9f23a429b22bfbccbe4781679fedcbb526f7a")</f>
        <v>0</v>
      </c>
      <c r="C27589">
        <f>HYPERLINK("https://android.googlesource.com/platform/cts/+/4cdee18aba37aee11a98fa08903e5671099f45a9", "4cdee18aba37aee11a98fa08903e5671099f45a9")</f>
        <v>0</v>
      </c>
      <c r="D27589" t="s">
        <v>5221</v>
      </c>
      <c r="E27589" t="s">
        <v>7346</v>
      </c>
      <c r="F27589" t="s">
        <v>13298</v>
      </c>
      <c r="G27589" t="s">
        <v>17434</v>
      </c>
      <c r="H27589" t="s">
        <v>29089</v>
      </c>
    </row>
    <row r="27590" spans="1:8">
      <c r="A27590" t="s">
        <v>1583</v>
      </c>
      <c r="B27590">
        <f>HYPERLINK("https://android.googlesource.com/platform/cts/+/c21996a3198d8f0cc40759a828ff5ecb343bf281", "c21996a3198d8f0cc40759a828ff5ecb343bf281")</f>
        <v>0</v>
      </c>
      <c r="C27590">
        <f>HYPERLINK("https://android.googlesource.com/platform/cts/+/5625dd670ca4f36967343375f0e7b4875bb1b56d", "5625dd670ca4f36967343375f0e7b4875bb1b56d")</f>
        <v>0</v>
      </c>
      <c r="D27590" t="s">
        <v>5167</v>
      </c>
      <c r="E27590" t="s">
        <v>7347</v>
      </c>
      <c r="F27590" t="s">
        <v>12402</v>
      </c>
      <c r="G27590" t="s">
        <v>16624</v>
      </c>
      <c r="H27590" t="s">
        <v>29090</v>
      </c>
    </row>
    <row r="27591" spans="1:8">
      <c r="H27591" t="s">
        <v>29091</v>
      </c>
    </row>
    <row r="27592" spans="1:8">
      <c r="H27592" t="s">
        <v>29092</v>
      </c>
    </row>
    <row r="27593" spans="1:8">
      <c r="A27593" t="s">
        <v>1584</v>
      </c>
      <c r="B27593">
        <f>HYPERLINK("https://android.googlesource.com/platform/cts/+/49a5c9fcc5aee50f0ecc54ebb1eefe0c450d7d6e", "49a5c9fcc5aee50f0ecc54ebb1eefe0c450d7d6e")</f>
        <v>0</v>
      </c>
      <c r="C27593">
        <f>HYPERLINK("https://android.googlesource.com/platform/cts/+/0e33545e073d0360a446a8f49662e6cdae44d780", "0e33545e073d0360a446a8f49662e6cdae44d780")</f>
        <v>0</v>
      </c>
      <c r="D27593" t="s">
        <v>5146</v>
      </c>
      <c r="E27593" t="s">
        <v>7348</v>
      </c>
      <c r="F27593" t="s">
        <v>13277</v>
      </c>
      <c r="G27593" t="s">
        <v>17414</v>
      </c>
      <c r="H27593" t="s">
        <v>29093</v>
      </c>
    </row>
    <row r="27594" spans="1:8">
      <c r="H27594" t="s">
        <v>29094</v>
      </c>
    </row>
    <row r="27595" spans="1:8">
      <c r="A27595" t="s">
        <v>1585</v>
      </c>
      <c r="B27595">
        <f>HYPERLINK("https://android.googlesource.com/platform/cts/+/97a8973fe9374294f44d915e9d11a28f57e9adc4", "97a8973fe9374294f44d915e9d11a28f57e9adc4")</f>
        <v>0</v>
      </c>
      <c r="C27595">
        <f>HYPERLINK("https://android.googlesource.com/platform/cts/+/fe2e7b214a5d42dc21ef078cec968bb9e7b5062c", "fe2e7b214a5d42dc21ef078cec968bb9e7b5062c")</f>
        <v>0</v>
      </c>
      <c r="D27595" t="s">
        <v>5167</v>
      </c>
      <c r="E27595" t="s">
        <v>7349</v>
      </c>
      <c r="F27595" t="s">
        <v>12402</v>
      </c>
      <c r="G27595" t="s">
        <v>16624</v>
      </c>
      <c r="H27595" t="s">
        <v>29090</v>
      </c>
    </row>
    <row r="27596" spans="1:8">
      <c r="H27596" t="s">
        <v>29091</v>
      </c>
    </row>
    <row r="27597" spans="1:8">
      <c r="H27597" t="s">
        <v>29092</v>
      </c>
    </row>
    <row r="27598" spans="1:8">
      <c r="A27598" t="s">
        <v>1586</v>
      </c>
      <c r="B27598">
        <f>HYPERLINK("https://android.googlesource.com/platform/cts/+/0bbc76997e8205fe8b93e6b875c19ed1993f5a75", "0bbc76997e8205fe8b93e6b875c19ed1993f5a75")</f>
        <v>0</v>
      </c>
      <c r="C27598">
        <f>HYPERLINK("https://android.googlesource.com/platform/cts/+/829b934ca4b4dd88d312ccb41af3ef2b44cf68e0", "829b934ca4b4dd88d312ccb41af3ef2b44cf68e0")</f>
        <v>0</v>
      </c>
      <c r="D27598" t="s">
        <v>5141</v>
      </c>
      <c r="E27598" t="s">
        <v>7350</v>
      </c>
      <c r="F27598" t="s">
        <v>13121</v>
      </c>
      <c r="G27598" t="s">
        <v>17283</v>
      </c>
      <c r="H27598" t="s">
        <v>29095</v>
      </c>
    </row>
    <row r="27599" spans="1:8">
      <c r="F27599" t="s">
        <v>13306</v>
      </c>
      <c r="G27599" t="s">
        <v>17440</v>
      </c>
      <c r="H27599" t="s">
        <v>19981</v>
      </c>
    </row>
    <row r="27600" spans="1:8">
      <c r="H27600" t="s">
        <v>18835</v>
      </c>
    </row>
    <row r="27601" spans="1:8">
      <c r="H27601" t="s">
        <v>29096</v>
      </c>
    </row>
    <row r="27602" spans="1:8">
      <c r="H27602" t="s">
        <v>29097</v>
      </c>
    </row>
    <row r="27603" spans="1:8">
      <c r="H27603" t="s">
        <v>29098</v>
      </c>
    </row>
    <row r="27604" spans="1:8">
      <c r="H27604" t="s">
        <v>29099</v>
      </c>
    </row>
    <row r="27605" spans="1:8">
      <c r="A27605" t="s">
        <v>1587</v>
      </c>
      <c r="B27605">
        <f>HYPERLINK("https://android.googlesource.com/platform/cts/+/fa00c81e658f7ad149f16f0f021bf9924578ea60", "fa00c81e658f7ad149f16f0f021bf9924578ea60")</f>
        <v>0</v>
      </c>
      <c r="C27605">
        <f>HYPERLINK("https://android.googlesource.com/platform/cts/+/2c4fc540e0e4cbbe67122d66aee957a02aec4274", "2c4fc540e0e4cbbe67122d66aee957a02aec4274")</f>
        <v>0</v>
      </c>
      <c r="D27605" t="s">
        <v>4978</v>
      </c>
      <c r="E27605" t="s">
        <v>7351</v>
      </c>
      <c r="F27605" t="s">
        <v>13307</v>
      </c>
      <c r="G27605" t="s">
        <v>16817</v>
      </c>
      <c r="H27605" t="s">
        <v>29100</v>
      </c>
    </row>
    <row r="27606" spans="1:8">
      <c r="A27606" t="s">
        <v>1588</v>
      </c>
      <c r="B27606">
        <f>HYPERLINK("https://android.googlesource.com/platform/cts/+/7dacee705bf0f3d970df2b79316175581fcdf068", "7dacee705bf0f3d970df2b79316175581fcdf068")</f>
        <v>0</v>
      </c>
      <c r="C27606">
        <f>HYPERLINK("https://android.googlesource.com/platform/cts/+/d4fe797f08237bc33931f685b4e6d1e5530058ca", "d4fe797f08237bc33931f685b4e6d1e5530058ca")</f>
        <v>0</v>
      </c>
      <c r="D27606" t="s">
        <v>4978</v>
      </c>
      <c r="E27606" t="s">
        <v>7351</v>
      </c>
      <c r="F27606" t="s">
        <v>13307</v>
      </c>
      <c r="G27606" t="s">
        <v>16817</v>
      </c>
      <c r="H27606" t="s">
        <v>29100</v>
      </c>
    </row>
    <row r="27607" spans="1:8">
      <c r="A27607" t="s">
        <v>1589</v>
      </c>
      <c r="B27607">
        <f>HYPERLINK("https://android.googlesource.com/platform/cts/+/83a34784633140573cf48187843d95282fa57b41", "83a34784633140573cf48187843d95282fa57b41")</f>
        <v>0</v>
      </c>
      <c r="C27607">
        <f>HYPERLINK("https://android.googlesource.com/platform/cts/+/e4e8edc0b120494d65e2ab89e7ffc3f5a2e656cf", "e4e8edc0b120494d65e2ab89e7ffc3f5a2e656cf")</f>
        <v>0</v>
      </c>
      <c r="D27607" t="s">
        <v>5240</v>
      </c>
      <c r="E27607" t="s">
        <v>7245</v>
      </c>
      <c r="F27607" t="s">
        <v>13121</v>
      </c>
      <c r="G27607" t="s">
        <v>17283</v>
      </c>
      <c r="H27607" t="s">
        <v>28809</v>
      </c>
    </row>
    <row r="27608" spans="1:8">
      <c r="A27608" t="s">
        <v>1590</v>
      </c>
      <c r="B27608">
        <f>HYPERLINK("https://android.googlesource.com/platform/cts/+/66a5966d69917ac3a97687895c774a770ba4a938", "66a5966d69917ac3a97687895c774a770ba4a938")</f>
        <v>0</v>
      </c>
      <c r="C27608">
        <f>HYPERLINK("https://android.googlesource.com/platform/cts/+/3d7983f29bfb23ea56b630acd99d24dfd534f780", "3d7983f29bfb23ea56b630acd99d24dfd534f780")</f>
        <v>0</v>
      </c>
      <c r="D27608" t="s">
        <v>5240</v>
      </c>
      <c r="E27608" t="s">
        <v>7245</v>
      </c>
      <c r="F27608" t="s">
        <v>13121</v>
      </c>
      <c r="G27608" t="s">
        <v>17283</v>
      </c>
      <c r="H27608" t="s">
        <v>28809</v>
      </c>
    </row>
    <row r="27609" spans="1:8">
      <c r="A27609" t="s">
        <v>1591</v>
      </c>
      <c r="B27609">
        <f>HYPERLINK("https://android.googlesource.com/platform/cts/+/cfa1bad68ea58b3939ee4f862f04b668a9e34e01", "cfa1bad68ea58b3939ee4f862f04b668a9e34e01")</f>
        <v>0</v>
      </c>
      <c r="C27609">
        <f>HYPERLINK("https://android.googlesource.com/platform/cts/+/1beb10346c9f9ca4c35f8d3f26f5fa11de802dc4", "1beb10346c9f9ca4c35f8d3f26f5fa11de802dc4")</f>
        <v>0</v>
      </c>
      <c r="D27609" t="s">
        <v>5167</v>
      </c>
      <c r="E27609" t="s">
        <v>7352</v>
      </c>
      <c r="F27609" t="s">
        <v>12402</v>
      </c>
      <c r="G27609" t="s">
        <v>16624</v>
      </c>
      <c r="H27609" t="s">
        <v>29090</v>
      </c>
    </row>
    <row r="27610" spans="1:8">
      <c r="H27610" t="s">
        <v>29091</v>
      </c>
    </row>
    <row r="27611" spans="1:8">
      <c r="H27611" t="s">
        <v>29092</v>
      </c>
    </row>
    <row r="27612" spans="1:8">
      <c r="A27612" t="s">
        <v>1592</v>
      </c>
      <c r="B27612">
        <f>HYPERLINK("https://android.googlesource.com/platform/cts/+/5b72ba4bb46657ca96c7295972cde1ec25be0fe3", "5b72ba4bb46657ca96c7295972cde1ec25be0fe3")</f>
        <v>0</v>
      </c>
      <c r="C27612">
        <f>HYPERLINK("https://android.googlesource.com/platform/cts/+/1beb10346c9f9ca4c35f8d3f26f5fa11de802dc4", "1beb10346c9f9ca4c35f8d3f26f5fa11de802dc4")</f>
        <v>0</v>
      </c>
      <c r="D27612" t="s">
        <v>5189</v>
      </c>
      <c r="E27612" t="s">
        <v>7353</v>
      </c>
      <c r="F27612" t="s">
        <v>13308</v>
      </c>
      <c r="G27612" t="s">
        <v>17441</v>
      </c>
      <c r="H27612" t="s">
        <v>29101</v>
      </c>
    </row>
    <row r="27613" spans="1:8">
      <c r="A27613" t="s">
        <v>1593</v>
      </c>
      <c r="B27613">
        <f>HYPERLINK("https://android.googlesource.com/platform/cts/+/567580c3c88806b95d6794f3e3546fbe2d35d987", "567580c3c88806b95d6794f3e3546fbe2d35d987")</f>
        <v>0</v>
      </c>
      <c r="C27613">
        <f>HYPERLINK("https://android.googlesource.com/platform/cts/+/9875450b269e6fa62129ca774d6e7d9314ef8119", "9875450b269e6fa62129ca774d6e7d9314ef8119")</f>
        <v>0</v>
      </c>
      <c r="D27613" t="s">
        <v>5146</v>
      </c>
      <c r="E27613" t="s">
        <v>7354</v>
      </c>
      <c r="F27613" t="s">
        <v>13277</v>
      </c>
      <c r="G27613" t="s">
        <v>17414</v>
      </c>
      <c r="H27613" t="s">
        <v>29093</v>
      </c>
    </row>
    <row r="27614" spans="1:8">
      <c r="H27614" t="s">
        <v>29094</v>
      </c>
    </row>
    <row r="27615" spans="1:8">
      <c r="A27615" t="s">
        <v>1594</v>
      </c>
      <c r="B27615">
        <f>HYPERLINK("https://android.googlesource.com/platform/cts/+/b0ac26f2aca2b8b41cb06262db6599be15f16060", "b0ac26f2aca2b8b41cb06262db6599be15f16060")</f>
        <v>0</v>
      </c>
      <c r="C27615">
        <f>HYPERLINK("https://android.googlesource.com/platform/cts/+/bdb8d753ec2cc2fb3b0b830fa347187f21e18cb8", "bdb8d753ec2cc2fb3b0b830fa347187f21e18cb8")</f>
        <v>0</v>
      </c>
      <c r="D27615" t="s">
        <v>5241</v>
      </c>
      <c r="E27615" t="s">
        <v>7355</v>
      </c>
      <c r="F27615" t="s">
        <v>13281</v>
      </c>
      <c r="G27615" t="s">
        <v>17418</v>
      </c>
      <c r="H27615" t="s">
        <v>18829</v>
      </c>
    </row>
    <row r="27616" spans="1:8">
      <c r="A27616" t="s">
        <v>1595</v>
      </c>
      <c r="B27616">
        <f>HYPERLINK("https://android.googlesource.com/platform/cts/+/3a51173a3a762b576dd3c0d29c883e8763a9f95b", "3a51173a3a762b576dd3c0d29c883e8763a9f95b")</f>
        <v>0</v>
      </c>
      <c r="C27616">
        <f>HYPERLINK("https://android.googlesource.com/platform/cts/+/eb6e330495e48493247cd6f5dd06698d74cb585d", "eb6e330495e48493247cd6f5dd06698d74cb585d")</f>
        <v>0</v>
      </c>
      <c r="D27616" t="s">
        <v>5242</v>
      </c>
      <c r="E27616" t="s">
        <v>7356</v>
      </c>
      <c r="F27616" t="s">
        <v>13309</v>
      </c>
      <c r="G27616" t="s">
        <v>17442</v>
      </c>
      <c r="H27616" t="s">
        <v>26064</v>
      </c>
    </row>
    <row r="27617" spans="1:8">
      <c r="H27617" t="s">
        <v>18829</v>
      </c>
    </row>
    <row r="27618" spans="1:8">
      <c r="H27618" t="s">
        <v>29102</v>
      </c>
    </row>
    <row r="27619" spans="1:8">
      <c r="H27619" t="s">
        <v>29103</v>
      </c>
    </row>
    <row r="27620" spans="1:8">
      <c r="A27620" t="s">
        <v>1596</v>
      </c>
      <c r="B27620">
        <f>HYPERLINK("https://android.googlesource.com/platform/cts/+/fd6927db43ea193035aa5f5bb17eb22fc1fc7572", "fd6927db43ea193035aa5f5bb17eb22fc1fc7572")</f>
        <v>0</v>
      </c>
      <c r="C27620">
        <f>HYPERLINK("https://android.googlesource.com/platform/cts/+/826d2f5ebda02f61a5f2ca1efc232fe670e09d8e", "826d2f5ebda02f61a5f2ca1efc232fe670e09d8e")</f>
        <v>0</v>
      </c>
      <c r="D27620" t="s">
        <v>5026</v>
      </c>
      <c r="E27620" t="s">
        <v>7357</v>
      </c>
      <c r="F27620" t="s">
        <v>12327</v>
      </c>
      <c r="G27620" t="s">
        <v>16557</v>
      </c>
      <c r="H27620" t="s">
        <v>22135</v>
      </c>
    </row>
    <row r="27621" spans="1:8">
      <c r="A27621" t="s">
        <v>1597</v>
      </c>
      <c r="B27621">
        <f>HYPERLINK("https://android.googlesource.com/platform/cts/+/bb289fde9dc33320645f891aaf66fe68768e4e9e", "bb289fde9dc33320645f891aaf66fe68768e4e9e")</f>
        <v>0</v>
      </c>
      <c r="C27621">
        <f>HYPERLINK("https://android.googlesource.com/platform/cts/+/a88cd7cb5969cd4c6e81aa86d8c204917634f454", "a88cd7cb5969cd4c6e81aa86d8c204917634f454")</f>
        <v>0</v>
      </c>
      <c r="D27621" t="s">
        <v>5242</v>
      </c>
      <c r="E27621" t="s">
        <v>7358</v>
      </c>
      <c r="F27621" t="s">
        <v>13309</v>
      </c>
      <c r="G27621" t="s">
        <v>17442</v>
      </c>
      <c r="H27621" t="s">
        <v>26064</v>
      </c>
    </row>
    <row r="27622" spans="1:8">
      <c r="H27622" t="s">
        <v>18829</v>
      </c>
    </row>
    <row r="27623" spans="1:8">
      <c r="H27623" t="s">
        <v>29102</v>
      </c>
    </row>
    <row r="27624" spans="1:8">
      <c r="H27624" t="s">
        <v>29103</v>
      </c>
    </row>
    <row r="27625" spans="1:8">
      <c r="A27625" t="s">
        <v>1598</v>
      </c>
      <c r="B27625">
        <f>HYPERLINK("https://android.googlesource.com/platform/cts/+/4703f3f991513b3878d181c0b03fb77dd5abc8f4", "4703f3f991513b3878d181c0b03fb77dd5abc8f4")</f>
        <v>0</v>
      </c>
      <c r="C27625">
        <f>HYPERLINK("https://android.googlesource.com/platform/cts/+/90e68aee31ea56235d968229b90fca947f012cfe", "90e68aee31ea56235d968229b90fca947f012cfe")</f>
        <v>0</v>
      </c>
      <c r="D27625" t="s">
        <v>5122</v>
      </c>
      <c r="E27625" t="s">
        <v>7359</v>
      </c>
      <c r="F27625" t="s">
        <v>13310</v>
      </c>
      <c r="G27625" t="s">
        <v>17338</v>
      </c>
      <c r="H27625" t="s">
        <v>29104</v>
      </c>
    </row>
    <row r="27626" spans="1:8">
      <c r="A27626" t="s">
        <v>1599</v>
      </c>
      <c r="B27626">
        <f>HYPERLINK("https://android.googlesource.com/platform/cts/+/fb89f455541966cbf213a494e5a39309bb0690eb", "fb89f455541966cbf213a494e5a39309bb0690eb")</f>
        <v>0</v>
      </c>
      <c r="C27626">
        <f>HYPERLINK("https://android.googlesource.com/platform/cts/+/0ab7b429d82e776eb7728e511a5cfe779316c78f", "0ab7b429d82e776eb7728e511a5cfe779316c78f")</f>
        <v>0</v>
      </c>
      <c r="D27626" t="s">
        <v>4949</v>
      </c>
      <c r="E27626" t="s">
        <v>7360</v>
      </c>
      <c r="F27626" t="s">
        <v>13230</v>
      </c>
      <c r="G27626" t="s">
        <v>17371</v>
      </c>
      <c r="H27626" t="s">
        <v>29105</v>
      </c>
    </row>
    <row r="27627" spans="1:8">
      <c r="A27627" t="s">
        <v>1600</v>
      </c>
      <c r="B27627">
        <f>HYPERLINK("https://android.googlesource.com/platform/cts/+/4704484d8f314b8879c7e1c659deec2b774f0902", "4704484d8f314b8879c7e1c659deec2b774f0902")</f>
        <v>0</v>
      </c>
      <c r="C27627">
        <f>HYPERLINK("https://android.googlesource.com/platform/cts/+/e19e0b274b15640731746916df2e83156d87f165", "e19e0b274b15640731746916df2e83156d87f165")</f>
        <v>0</v>
      </c>
      <c r="D27627" t="s">
        <v>5141</v>
      </c>
      <c r="E27627" t="s">
        <v>7361</v>
      </c>
      <c r="F27627" t="s">
        <v>13245</v>
      </c>
      <c r="G27627" t="s">
        <v>17385</v>
      </c>
      <c r="H27627" t="s">
        <v>18835</v>
      </c>
    </row>
    <row r="27628" spans="1:8">
      <c r="H27628" t="s">
        <v>29106</v>
      </c>
    </row>
    <row r="27629" spans="1:8">
      <c r="A27629" t="s">
        <v>1601</v>
      </c>
      <c r="B27629">
        <f>HYPERLINK("https://android.googlesource.com/platform/cts/+/3621ed0c7f3a3a864cb41ee654a3995d76b548bd", "3621ed0c7f3a3a864cb41ee654a3995d76b548bd")</f>
        <v>0</v>
      </c>
      <c r="C27629">
        <f>HYPERLINK("https://android.googlesource.com/platform/cts/+/c94d487f6e0a30d3f838ea6e158e0164efd7a5d1", "c94d487f6e0a30d3f838ea6e158e0164efd7a5d1")</f>
        <v>0</v>
      </c>
      <c r="D27629" t="s">
        <v>5122</v>
      </c>
      <c r="E27629" t="s">
        <v>7362</v>
      </c>
      <c r="F27629" t="s">
        <v>12743</v>
      </c>
      <c r="G27629" t="s">
        <v>16935</v>
      </c>
      <c r="H27629" t="s">
        <v>28052</v>
      </c>
    </row>
    <row r="27630" spans="1:8">
      <c r="A27630" t="s">
        <v>1602</v>
      </c>
      <c r="B27630">
        <f>HYPERLINK("https://android.googlesource.com/platform/cts/+/b6dfacd4a96a894ceb248ff3861a5c6dd9ff3b84", "b6dfacd4a96a894ceb248ff3861a5c6dd9ff3b84")</f>
        <v>0</v>
      </c>
      <c r="C27630">
        <f>HYPERLINK("https://android.googlesource.com/platform/cts/+/15000f9a2c996b036acf500439de4a22bdf09d2e", "15000f9a2c996b036acf500439de4a22bdf09d2e")</f>
        <v>0</v>
      </c>
      <c r="D27630" t="s">
        <v>5243</v>
      </c>
      <c r="E27630" t="s">
        <v>7363</v>
      </c>
      <c r="F27630" t="s">
        <v>13311</v>
      </c>
      <c r="G27630" t="s">
        <v>16471</v>
      </c>
      <c r="H27630" t="s">
        <v>29107</v>
      </c>
    </row>
    <row r="27631" spans="1:8">
      <c r="A27631" t="s">
        <v>1603</v>
      </c>
      <c r="B27631">
        <f>HYPERLINK("https://android.googlesource.com/platform/cts/+/dc861f0eb087bda4dacf1c51e4b30db07ff149ee", "dc861f0eb087bda4dacf1c51e4b30db07ff149ee")</f>
        <v>0</v>
      </c>
      <c r="C27631">
        <f>HYPERLINK("https://android.googlesource.com/platform/cts/+/0ab7b429d82e776eb7728e511a5cfe779316c78f", "0ab7b429d82e776eb7728e511a5cfe779316c78f")</f>
        <v>0</v>
      </c>
      <c r="D27631" t="s">
        <v>5189</v>
      </c>
      <c r="E27631" t="s">
        <v>7364</v>
      </c>
      <c r="F27631" t="s">
        <v>13206</v>
      </c>
      <c r="G27631" t="s">
        <v>17348</v>
      </c>
      <c r="H27631" t="s">
        <v>29108</v>
      </c>
    </row>
    <row r="27632" spans="1:8">
      <c r="A27632" t="s">
        <v>1604</v>
      </c>
      <c r="B27632">
        <f>HYPERLINK("https://android.googlesource.com/platform/cts/+/850e6daa43800a44a81b61c627ac643f942b4913", "850e6daa43800a44a81b61c627ac643f942b4913")</f>
        <v>0</v>
      </c>
      <c r="C27632">
        <f>HYPERLINK("https://android.googlesource.com/platform/cts/+/31c15e7bcec587dd6acc9d94d4070a5ad8ece4aa", "31c15e7bcec587dd6acc9d94d4070a5ad8ece4aa")</f>
        <v>0</v>
      </c>
      <c r="D27632" t="s">
        <v>4971</v>
      </c>
      <c r="E27632" t="s">
        <v>7365</v>
      </c>
      <c r="F27632" t="s">
        <v>13304</v>
      </c>
      <c r="G27632" t="s">
        <v>17439</v>
      </c>
      <c r="H27632" t="s">
        <v>29109</v>
      </c>
    </row>
    <row r="27633" spans="1:8">
      <c r="H27633" t="s">
        <v>29110</v>
      </c>
    </row>
    <row r="27634" spans="1:8">
      <c r="F27634" t="s">
        <v>13312</v>
      </c>
      <c r="G27634" t="s">
        <v>17443</v>
      </c>
      <c r="H27634" t="s">
        <v>19981</v>
      </c>
    </row>
    <row r="27635" spans="1:8">
      <c r="H27635" t="s">
        <v>29111</v>
      </c>
    </row>
    <row r="27636" spans="1:8">
      <c r="H27636" t="s">
        <v>29112</v>
      </c>
    </row>
    <row r="27637" spans="1:8">
      <c r="H27637" t="s">
        <v>29113</v>
      </c>
    </row>
    <row r="27638" spans="1:8">
      <c r="H27638" t="s">
        <v>29114</v>
      </c>
    </row>
    <row r="27639" spans="1:8">
      <c r="H27639" t="s">
        <v>29115</v>
      </c>
    </row>
    <row r="27640" spans="1:8">
      <c r="H27640" t="s">
        <v>29116</v>
      </c>
    </row>
    <row r="27641" spans="1:8">
      <c r="H27641" t="s">
        <v>29117</v>
      </c>
    </row>
    <row r="27642" spans="1:8">
      <c r="H27642" t="s">
        <v>29118</v>
      </c>
    </row>
    <row r="27643" spans="1:8">
      <c r="H27643" t="s">
        <v>29119</v>
      </c>
    </row>
    <row r="27644" spans="1:8">
      <c r="H27644" t="s">
        <v>29120</v>
      </c>
    </row>
    <row r="27645" spans="1:8">
      <c r="H27645" t="s">
        <v>29121</v>
      </c>
    </row>
    <row r="27646" spans="1:8">
      <c r="H27646" t="s">
        <v>29122</v>
      </c>
    </row>
    <row r="27647" spans="1:8">
      <c r="H27647" t="s">
        <v>29123</v>
      </c>
    </row>
    <row r="27648" spans="1:8">
      <c r="A27648" t="s">
        <v>1605</v>
      </c>
      <c r="B27648">
        <f>HYPERLINK("https://android.googlesource.com/platform/cts/+/1b23e52743ea6958cfce82b13842100dec6f2b28", "1b23e52743ea6958cfce82b13842100dec6f2b28")</f>
        <v>0</v>
      </c>
      <c r="C27648">
        <f>HYPERLINK("https://android.googlesource.com/platform/cts/+/d82c5956c79658ba9519182ba826aa94a42e14a5", "d82c5956c79658ba9519182ba826aa94a42e14a5")</f>
        <v>0</v>
      </c>
      <c r="D27648" t="s">
        <v>5244</v>
      </c>
      <c r="E27648" t="s">
        <v>7366</v>
      </c>
      <c r="F27648" t="s">
        <v>13313</v>
      </c>
      <c r="G27648" t="s">
        <v>17444</v>
      </c>
      <c r="H27648" t="s">
        <v>29124</v>
      </c>
    </row>
    <row r="27649" spans="1:8">
      <c r="H27649" t="s">
        <v>29125</v>
      </c>
    </row>
    <row r="27650" spans="1:8">
      <c r="H27650" t="s">
        <v>29126</v>
      </c>
    </row>
    <row r="27651" spans="1:8">
      <c r="H27651" t="s">
        <v>29127</v>
      </c>
    </row>
    <row r="27652" spans="1:8">
      <c r="H27652" t="s">
        <v>29128</v>
      </c>
    </row>
    <row r="27653" spans="1:8">
      <c r="A27653" t="s">
        <v>1606</v>
      </c>
      <c r="B27653">
        <f>HYPERLINK("https://android.googlesource.com/platform/cts/+/bf1931551bb500f36ac35aeb1e2d098d2a14e87d", "bf1931551bb500f36ac35aeb1e2d098d2a14e87d")</f>
        <v>0</v>
      </c>
      <c r="C27653">
        <f>HYPERLINK("https://android.googlesource.com/platform/cts/+/3d442a2c83119052e291987cd865b2522be94417", "3d442a2c83119052e291987cd865b2522be94417")</f>
        <v>0</v>
      </c>
      <c r="D27653" t="s">
        <v>4994</v>
      </c>
      <c r="E27653" t="s">
        <v>7367</v>
      </c>
      <c r="F27653" t="s">
        <v>10627</v>
      </c>
      <c r="G27653" t="s">
        <v>15030</v>
      </c>
      <c r="H27653" t="s">
        <v>29129</v>
      </c>
    </row>
    <row r="27654" spans="1:8">
      <c r="A27654" t="s">
        <v>1607</v>
      </c>
      <c r="B27654">
        <f>HYPERLINK("https://android.googlesource.com/platform/cts/+/1a51e0490717cbbc9719ba76074a32eba6554d0b", "1a51e0490717cbbc9719ba76074a32eba6554d0b")</f>
        <v>0</v>
      </c>
      <c r="C27654">
        <f>HYPERLINK("https://android.googlesource.com/platform/cts/+/2227b6ad4e3987bf498ec2af84a1b9b047e46d23", "2227b6ad4e3987bf498ec2af84a1b9b047e46d23")</f>
        <v>0</v>
      </c>
      <c r="D27654" t="s">
        <v>4994</v>
      </c>
      <c r="E27654" t="s">
        <v>7368</v>
      </c>
      <c r="F27654" t="s">
        <v>10627</v>
      </c>
      <c r="G27654" t="s">
        <v>15030</v>
      </c>
      <c r="H27654" t="s">
        <v>29130</v>
      </c>
    </row>
    <row r="27655" spans="1:8">
      <c r="A27655" t="s">
        <v>1608</v>
      </c>
      <c r="B27655">
        <f>HYPERLINK("https://android.googlesource.com/platform/cts/+/b30686768bb138948b183c44adb647dcc67f6660", "b30686768bb138948b183c44adb647dcc67f6660")</f>
        <v>0</v>
      </c>
      <c r="C27655">
        <f>HYPERLINK("https://android.googlesource.com/platform/cts/+/df7d0fbe67fd315c9b55d987184e4dad73676e73", "df7d0fbe67fd315c9b55d987184e4dad73676e73")</f>
        <v>0</v>
      </c>
      <c r="D27655" t="s">
        <v>5241</v>
      </c>
      <c r="E27655" t="s">
        <v>7369</v>
      </c>
      <c r="F27655" t="s">
        <v>13281</v>
      </c>
      <c r="G27655" t="s">
        <v>17418</v>
      </c>
      <c r="H27655" t="s">
        <v>18829</v>
      </c>
    </row>
    <row r="27656" spans="1:8">
      <c r="A27656" t="s">
        <v>1609</v>
      </c>
      <c r="B27656">
        <f>HYPERLINK("https://android.googlesource.com/platform/cts/+/462de7a64368c6e4625df154cbbf302042cc43fd", "462de7a64368c6e4625df154cbbf302042cc43fd")</f>
        <v>0</v>
      </c>
      <c r="C27656">
        <f>HYPERLINK("https://android.googlesource.com/platform/cts/+/3557844ccf7845a56008216098f13aa83361681c", "3557844ccf7845a56008216098f13aa83361681c")</f>
        <v>0</v>
      </c>
      <c r="D27656" t="s">
        <v>4948</v>
      </c>
      <c r="E27656" t="s">
        <v>7370</v>
      </c>
      <c r="F27656" t="s">
        <v>13272</v>
      </c>
      <c r="G27656" t="s">
        <v>17409</v>
      </c>
      <c r="H27656" t="s">
        <v>29131</v>
      </c>
    </row>
    <row r="27657" spans="1:8">
      <c r="A27657" t="s">
        <v>1610</v>
      </c>
      <c r="B27657">
        <f>HYPERLINK("https://android.googlesource.com/platform/cts/+/e05087eaed040e5022cb67dadb40174a0c670c9d", "e05087eaed040e5022cb67dadb40174a0c670c9d")</f>
        <v>0</v>
      </c>
      <c r="C27657">
        <f>HYPERLINK("https://android.googlesource.com/platform/cts/+/47b0d98f75956ad1f502201def5ef514a2e38cb6", "47b0d98f75956ad1f502201def5ef514a2e38cb6")</f>
        <v>0</v>
      </c>
      <c r="D27657" t="s">
        <v>5134</v>
      </c>
      <c r="E27657" t="s">
        <v>7371</v>
      </c>
      <c r="F27657" t="s">
        <v>13314</v>
      </c>
      <c r="G27657" t="s">
        <v>17445</v>
      </c>
      <c r="H27657" t="s">
        <v>29132</v>
      </c>
    </row>
    <row r="27658" spans="1:8">
      <c r="A27658" t="s">
        <v>1611</v>
      </c>
      <c r="B27658">
        <f>HYPERLINK("https://android.googlesource.com/platform/cts/+/01c3c58f5e8ea782bddc22c0da1ae422af5f626d", "01c3c58f5e8ea782bddc22c0da1ae422af5f626d")</f>
        <v>0</v>
      </c>
      <c r="C27658">
        <f>HYPERLINK("https://android.googlesource.com/platform/cts/+/d322985dfb74715d62264023d19c9a0c9cf1b787", "d322985dfb74715d62264023d19c9a0c9cf1b787")</f>
        <v>0</v>
      </c>
      <c r="D27658" t="s">
        <v>5173</v>
      </c>
      <c r="E27658" t="s">
        <v>7372</v>
      </c>
      <c r="F27658" t="s">
        <v>11433</v>
      </c>
      <c r="G27658" t="s">
        <v>15673</v>
      </c>
      <c r="H27658" t="s">
        <v>29133</v>
      </c>
    </row>
    <row r="27659" spans="1:8">
      <c r="H27659" t="s">
        <v>29134</v>
      </c>
    </row>
    <row r="27660" spans="1:8">
      <c r="H27660" t="s">
        <v>29135</v>
      </c>
    </row>
    <row r="27661" spans="1:8">
      <c r="H27661" t="s">
        <v>29136</v>
      </c>
    </row>
    <row r="27662" spans="1:8">
      <c r="H27662" t="s">
        <v>29137</v>
      </c>
    </row>
    <row r="27663" spans="1:8">
      <c r="H27663" t="s">
        <v>29138</v>
      </c>
    </row>
    <row r="27664" spans="1:8">
      <c r="H27664" t="s">
        <v>29139</v>
      </c>
    </row>
    <row r="27665" spans="1:8">
      <c r="H27665" t="s">
        <v>29140</v>
      </c>
    </row>
    <row r="27666" spans="1:8">
      <c r="H27666" t="s">
        <v>29141</v>
      </c>
    </row>
    <row r="27667" spans="1:8">
      <c r="A27667" t="s">
        <v>1612</v>
      </c>
      <c r="B27667">
        <f>HYPERLINK("https://android.googlesource.com/platform/cts/+/d5ddcc51caeecd5ca89f56b29242ee22248efbaf", "d5ddcc51caeecd5ca89f56b29242ee22248efbaf")</f>
        <v>0</v>
      </c>
      <c r="C27667">
        <f>HYPERLINK("https://android.googlesource.com/platform/cts/+/387c3fddcb28a357b2af54a010fd851cfa1e87ef", "387c3fddcb28a357b2af54a010fd851cfa1e87ef")</f>
        <v>0</v>
      </c>
      <c r="D27667" t="s">
        <v>4994</v>
      </c>
      <c r="E27667" t="s">
        <v>7373</v>
      </c>
      <c r="F27667" t="s">
        <v>13315</v>
      </c>
      <c r="G27667" t="s">
        <v>17446</v>
      </c>
      <c r="H27667" t="s">
        <v>29142</v>
      </c>
    </row>
    <row r="27668" spans="1:8">
      <c r="H27668" t="s">
        <v>29143</v>
      </c>
    </row>
    <row r="27669" spans="1:8">
      <c r="H27669" t="s">
        <v>29144</v>
      </c>
    </row>
    <row r="27670" spans="1:8">
      <c r="F27670" t="s">
        <v>12336</v>
      </c>
      <c r="G27670" t="s">
        <v>16564</v>
      </c>
      <c r="H27670" t="s">
        <v>29145</v>
      </c>
    </row>
    <row r="27671" spans="1:8">
      <c r="A27671" t="s">
        <v>1613</v>
      </c>
      <c r="B27671">
        <f>HYPERLINK("https://android.googlesource.com/platform/cts/+/d09f0795c44bf98fbba6f28e62b86aa0ce536648", "d09f0795c44bf98fbba6f28e62b86aa0ce536648")</f>
        <v>0</v>
      </c>
      <c r="C27671">
        <f>HYPERLINK("https://android.googlesource.com/platform/cts/+/9ba11729349ba2572cd751974c76d72860dc4159", "9ba11729349ba2572cd751974c76d72860dc4159")</f>
        <v>0</v>
      </c>
      <c r="D27671" t="s">
        <v>5146</v>
      </c>
      <c r="E27671" t="s">
        <v>7374</v>
      </c>
      <c r="F27671" t="s">
        <v>12821</v>
      </c>
      <c r="G27671" t="s">
        <v>17000</v>
      </c>
      <c r="H27671" t="s">
        <v>29146</v>
      </c>
    </row>
    <row r="27672" spans="1:8">
      <c r="F27672" t="s">
        <v>12803</v>
      </c>
      <c r="G27672" t="s">
        <v>16985</v>
      </c>
      <c r="H27672" t="s">
        <v>29147</v>
      </c>
    </row>
    <row r="27673" spans="1:8">
      <c r="H27673" t="s">
        <v>29148</v>
      </c>
    </row>
    <row r="27674" spans="1:8">
      <c r="A27674" t="s">
        <v>1614</v>
      </c>
      <c r="B27674">
        <f>HYPERLINK("https://android.googlesource.com/platform/cts/+/0ce07e984c6133dc7e2aab6133e71ba31fb43f1b", "0ce07e984c6133dc7e2aab6133e71ba31fb43f1b")</f>
        <v>0</v>
      </c>
      <c r="C27674">
        <f>HYPERLINK("https://android.googlesource.com/platform/cts/+/9ba11729349ba2572cd751974c76d72860dc4159", "9ba11729349ba2572cd751974c76d72860dc4159")</f>
        <v>0</v>
      </c>
      <c r="D27674" t="s">
        <v>5221</v>
      </c>
      <c r="E27674" t="s">
        <v>7375</v>
      </c>
      <c r="F27674" t="s">
        <v>13298</v>
      </c>
      <c r="G27674" t="s">
        <v>17434</v>
      </c>
      <c r="H27674" t="s">
        <v>29149</v>
      </c>
    </row>
    <row r="27675" spans="1:8">
      <c r="A27675" t="s">
        <v>1615</v>
      </c>
      <c r="B27675">
        <f>HYPERLINK("https://android.googlesource.com/platform/cts/+/c6063db1182e5229fac3409f5f7aec40bc797630", "c6063db1182e5229fac3409f5f7aec40bc797630")</f>
        <v>0</v>
      </c>
      <c r="C27675">
        <f>HYPERLINK("https://android.googlesource.com/platform/cts/+/c3f0121226564ab661b249ef773fabdda086e3a4", "c3f0121226564ab661b249ef773fabdda086e3a4")</f>
        <v>0</v>
      </c>
      <c r="D27675" t="s">
        <v>5245</v>
      </c>
      <c r="E27675" t="s">
        <v>7376</v>
      </c>
      <c r="F27675" t="s">
        <v>13316</v>
      </c>
      <c r="G27675" t="s">
        <v>17447</v>
      </c>
      <c r="H27675" t="s">
        <v>29150</v>
      </c>
    </row>
    <row r="27676" spans="1:8">
      <c r="A27676" t="s">
        <v>1616</v>
      </c>
      <c r="B27676">
        <f>HYPERLINK("https://android.googlesource.com/platform/cts/+/94b3b550454af64b20dfde87c414640becbd69e7", "94b3b550454af64b20dfde87c414640becbd69e7")</f>
        <v>0</v>
      </c>
      <c r="C27676">
        <f>HYPERLINK("https://android.googlesource.com/platform/cts/+/d550bd304420581343822cca7a121d06eae5eba9", "d550bd304420581343822cca7a121d06eae5eba9")</f>
        <v>0</v>
      </c>
      <c r="D27676" t="s">
        <v>5134</v>
      </c>
      <c r="E27676" t="s">
        <v>7377</v>
      </c>
      <c r="F27676" t="s">
        <v>13230</v>
      </c>
      <c r="G27676" t="s">
        <v>17371</v>
      </c>
      <c r="H27676" t="s">
        <v>29151</v>
      </c>
    </row>
    <row r="27677" spans="1:8">
      <c r="A27677" t="s">
        <v>1617</v>
      </c>
      <c r="B27677">
        <f>HYPERLINK("https://android.googlesource.com/platform/cts/+/71b40518798bfd5b650b7164758e03922f19c0fe", "71b40518798bfd5b650b7164758e03922f19c0fe")</f>
        <v>0</v>
      </c>
      <c r="C27677">
        <f>HYPERLINK("https://android.googlesource.com/platform/cts/+/c1059dc42f48b62220b9977ced8fe2f166f5ebe9", "c1059dc42f48b62220b9977ced8fe2f166f5ebe9")</f>
        <v>0</v>
      </c>
      <c r="D27677" t="s">
        <v>5246</v>
      </c>
      <c r="E27677" t="s">
        <v>7378</v>
      </c>
      <c r="F27677" t="s">
        <v>10725</v>
      </c>
      <c r="G27677" t="s">
        <v>15124</v>
      </c>
      <c r="H27677" t="s">
        <v>27263</v>
      </c>
    </row>
    <row r="27678" spans="1:8">
      <c r="A27678" t="s">
        <v>1618</v>
      </c>
      <c r="B27678">
        <f>HYPERLINK("https://android.googlesource.com/platform/cts/+/c27fcc2b4804a1869f178fb0eef68ff53b94eac9", "c27fcc2b4804a1869f178fb0eef68ff53b94eac9")</f>
        <v>0</v>
      </c>
      <c r="C27678">
        <f>HYPERLINK("https://android.googlesource.com/platform/cts/+/d6a61e047471a52019df334e69d04b5ca90703ad", "d6a61e047471a52019df334e69d04b5ca90703ad")</f>
        <v>0</v>
      </c>
      <c r="D27678" t="s">
        <v>5247</v>
      </c>
      <c r="E27678" t="s">
        <v>7379</v>
      </c>
      <c r="F27678" t="s">
        <v>10659</v>
      </c>
      <c r="G27678" t="s">
        <v>15060</v>
      </c>
      <c r="H27678" t="s">
        <v>29152</v>
      </c>
    </row>
    <row r="27679" spans="1:8">
      <c r="H27679" t="s">
        <v>29153</v>
      </c>
    </row>
    <row r="27680" spans="1:8">
      <c r="H27680" t="s">
        <v>29154</v>
      </c>
    </row>
    <row r="27681" spans="1:8">
      <c r="A27681" t="s">
        <v>1619</v>
      </c>
      <c r="B27681">
        <f>HYPERLINK("https://android.googlesource.com/platform/cts/+/f99bcd008746a86d4d866eb6d40d328eab6a6501", "f99bcd008746a86d4d866eb6d40d328eab6a6501")</f>
        <v>0</v>
      </c>
      <c r="C27681">
        <f>HYPERLINK("https://android.googlesource.com/platform/cts/+/dae4d7587f3570a8b9950709c24e3adbe8a689c2", "dae4d7587f3570a8b9950709c24e3adbe8a689c2")</f>
        <v>0</v>
      </c>
      <c r="D27681" t="s">
        <v>5191</v>
      </c>
      <c r="E27681" t="s">
        <v>7380</v>
      </c>
      <c r="F27681" t="s">
        <v>13317</v>
      </c>
      <c r="G27681" t="s">
        <v>17448</v>
      </c>
      <c r="H27681" t="s">
        <v>29155</v>
      </c>
    </row>
    <row r="27682" spans="1:8">
      <c r="A27682" t="s">
        <v>1620</v>
      </c>
      <c r="B27682">
        <f>HYPERLINK("https://android.googlesource.com/platform/cts/+/0207ceedd65acc3210e62a66b9769c7894c3529e", "0207ceedd65acc3210e62a66b9769c7894c3529e")</f>
        <v>0</v>
      </c>
      <c r="C27682">
        <f>HYPERLINK("https://android.googlesource.com/platform/cts/+/113f5736a45d1f5528f6660800460b5dcef87aa2", "113f5736a45d1f5528f6660800460b5dcef87aa2")</f>
        <v>0</v>
      </c>
      <c r="D27682" t="s">
        <v>5117</v>
      </c>
      <c r="E27682" t="s">
        <v>7381</v>
      </c>
      <c r="F27682" t="s">
        <v>13241</v>
      </c>
      <c r="G27682" t="s">
        <v>17381</v>
      </c>
      <c r="H27682" t="s">
        <v>29156</v>
      </c>
    </row>
    <row r="27683" spans="1:8">
      <c r="H27683" t="s">
        <v>29157</v>
      </c>
    </row>
    <row r="27684" spans="1:8">
      <c r="H27684" t="s">
        <v>29158</v>
      </c>
    </row>
    <row r="27685" spans="1:8">
      <c r="H27685" t="s">
        <v>29159</v>
      </c>
    </row>
    <row r="27686" spans="1:8">
      <c r="H27686" t="s">
        <v>29160</v>
      </c>
    </row>
    <row r="27687" spans="1:8">
      <c r="A27687" t="s">
        <v>1621</v>
      </c>
      <c r="B27687">
        <f>HYPERLINK("https://android.googlesource.com/platform/cts/+/a15b313a5f1c068ce909cf05e44b6982dcde0b41", "a15b313a5f1c068ce909cf05e44b6982dcde0b41")</f>
        <v>0</v>
      </c>
      <c r="C27687">
        <f>HYPERLINK("https://android.googlesource.com/platform/cts/+/8cf20c1d08dd66519eb4833a6de62b31e580c01f", "8cf20c1d08dd66519eb4833a6de62b31e580c01f")</f>
        <v>0</v>
      </c>
      <c r="D27687" t="s">
        <v>4994</v>
      </c>
      <c r="E27687" t="s">
        <v>7382</v>
      </c>
      <c r="F27687" t="s">
        <v>12869</v>
      </c>
      <c r="G27687" t="s">
        <v>17037</v>
      </c>
      <c r="H27687" t="s">
        <v>18829</v>
      </c>
    </row>
    <row r="27688" spans="1:8">
      <c r="F27688" t="s">
        <v>12870</v>
      </c>
      <c r="G27688" t="s">
        <v>17038</v>
      </c>
      <c r="H27688" t="s">
        <v>18829</v>
      </c>
    </row>
    <row r="27689" spans="1:8">
      <c r="A27689" t="s">
        <v>1622</v>
      </c>
      <c r="B27689">
        <f>HYPERLINK("https://android.googlesource.com/platform/cts/+/9813a263965c354785f41a12bcd13c58f004a184", "9813a263965c354785f41a12bcd13c58f004a184")</f>
        <v>0</v>
      </c>
      <c r="C27689">
        <f>HYPERLINK("https://android.googlesource.com/platform/cts/+/bd3a85356a677761aabd84b41568ac3af438274e", "bd3a85356a677761aabd84b41568ac3af438274e")</f>
        <v>0</v>
      </c>
      <c r="D27689" t="s">
        <v>5125</v>
      </c>
      <c r="E27689" t="s">
        <v>7383</v>
      </c>
      <c r="F27689" t="s">
        <v>10596</v>
      </c>
      <c r="G27689" t="s">
        <v>14999</v>
      </c>
      <c r="H27689" t="s">
        <v>29161</v>
      </c>
    </row>
    <row r="27690" spans="1:8">
      <c r="A27690" t="s">
        <v>1623</v>
      </c>
      <c r="B27690">
        <f>HYPERLINK("https://android.googlesource.com/platform/cts/+/f88556f8f10cdacf1fa8c0aec2f22efc0a1846ea", "f88556f8f10cdacf1fa8c0aec2f22efc0a1846ea")</f>
        <v>0</v>
      </c>
      <c r="C27690">
        <f>HYPERLINK("https://android.googlesource.com/platform/cts/+/113f5736a45d1f5528f6660800460b5dcef87aa2", "113f5736a45d1f5528f6660800460b5dcef87aa2")</f>
        <v>0</v>
      </c>
      <c r="D27690" t="s">
        <v>5153</v>
      </c>
      <c r="E27690" t="s">
        <v>7384</v>
      </c>
      <c r="F27690" t="s">
        <v>13203</v>
      </c>
      <c r="G27690" t="s">
        <v>17345</v>
      </c>
      <c r="H27690" t="s">
        <v>29162</v>
      </c>
    </row>
    <row r="27691" spans="1:8">
      <c r="F27691" t="s">
        <v>13190</v>
      </c>
      <c r="G27691" t="s">
        <v>17334</v>
      </c>
      <c r="H27691" t="s">
        <v>29163</v>
      </c>
    </row>
    <row r="27692" spans="1:8">
      <c r="A27692" t="s">
        <v>1624</v>
      </c>
      <c r="B27692">
        <f>HYPERLINK("https://android.googlesource.com/platform/cts/+/86c62b976108d4e302ac59834bbac5004e6279bd", "86c62b976108d4e302ac59834bbac5004e6279bd")</f>
        <v>0</v>
      </c>
      <c r="C27692">
        <f>HYPERLINK("https://android.googlesource.com/platform/cts/+/2a4aeb16e29061d358cfbf9a03a052ddb41e800a", "2a4aeb16e29061d358cfbf9a03a052ddb41e800a")</f>
        <v>0</v>
      </c>
      <c r="D27692" t="s">
        <v>5146</v>
      </c>
      <c r="E27692" t="s">
        <v>7385</v>
      </c>
      <c r="F27692" t="s">
        <v>13318</v>
      </c>
      <c r="G27692" t="s">
        <v>17449</v>
      </c>
      <c r="H27692" t="s">
        <v>29164</v>
      </c>
    </row>
    <row r="27693" spans="1:8">
      <c r="A27693" t="s">
        <v>1625</v>
      </c>
      <c r="B27693">
        <f>HYPERLINK("https://android.googlesource.com/platform/cts/+/fb340e7b4f59a47e9e5e1e75237ec748d98bbb66", "fb340e7b4f59a47e9e5e1e75237ec748d98bbb66")</f>
        <v>0</v>
      </c>
      <c r="C27693">
        <f>HYPERLINK("https://android.googlesource.com/platform/cts/+/b00c06bd28f1487f41755cc003ff8be4adba9312", "b00c06bd28f1487f41755cc003ff8be4adba9312")</f>
        <v>0</v>
      </c>
      <c r="D27693" t="s">
        <v>5248</v>
      </c>
      <c r="E27693" t="s">
        <v>7386</v>
      </c>
      <c r="F27693" t="s">
        <v>13319</v>
      </c>
      <c r="G27693" t="s">
        <v>17450</v>
      </c>
      <c r="H27693" t="s">
        <v>29165</v>
      </c>
    </row>
    <row r="27694" spans="1:8">
      <c r="H27694" t="s">
        <v>29166</v>
      </c>
    </row>
    <row r="27695" spans="1:8">
      <c r="H27695" t="s">
        <v>29167</v>
      </c>
    </row>
    <row r="27696" spans="1:8">
      <c r="H27696" t="s">
        <v>29168</v>
      </c>
    </row>
    <row r="27697" spans="1:8">
      <c r="H27697" t="s">
        <v>29169</v>
      </c>
    </row>
    <row r="27698" spans="1:8">
      <c r="A27698" t="s">
        <v>1626</v>
      </c>
      <c r="B27698">
        <f>HYPERLINK("https://android.googlesource.com/platform/cts/+/9748f0cc7b0575db4bdf96ff491644ebc7008174", "9748f0cc7b0575db4bdf96ff491644ebc7008174")</f>
        <v>0</v>
      </c>
      <c r="C27698">
        <f>HYPERLINK("https://android.googlesource.com/platform/cts/+/a15b313a5f1c068ce909cf05e44b6982dcde0b41", "a15b313a5f1c068ce909cf05e44b6982dcde0b41")</f>
        <v>0</v>
      </c>
      <c r="D27698" t="s">
        <v>4994</v>
      </c>
      <c r="E27698" t="s">
        <v>7387</v>
      </c>
      <c r="F27698" t="s">
        <v>12869</v>
      </c>
      <c r="G27698" t="s">
        <v>17037</v>
      </c>
      <c r="H27698" t="s">
        <v>19981</v>
      </c>
    </row>
    <row r="27699" spans="1:8">
      <c r="F27699" t="s">
        <v>12870</v>
      </c>
      <c r="G27699" t="s">
        <v>17038</v>
      </c>
      <c r="H27699" t="s">
        <v>19981</v>
      </c>
    </row>
    <row r="27700" spans="1:8">
      <c r="A27700" t="s">
        <v>1627</v>
      </c>
      <c r="B27700">
        <f>HYPERLINK("https://android.googlesource.com/platform/cts/+/883fccda545906be3db121bc6b2420790747f99f", "883fccda545906be3db121bc6b2420790747f99f")</f>
        <v>0</v>
      </c>
      <c r="C27700">
        <f>HYPERLINK("https://android.googlesource.com/platform/cts/+/b46dc4767cdaa44992c2083c915d28cb1a94cc96", "b46dc4767cdaa44992c2083c915d28cb1a94cc96")</f>
        <v>0</v>
      </c>
      <c r="D27700" t="s">
        <v>5249</v>
      </c>
      <c r="E27700" t="s">
        <v>7388</v>
      </c>
      <c r="F27700" t="s">
        <v>13320</v>
      </c>
      <c r="G27700" t="s">
        <v>17451</v>
      </c>
      <c r="H27700" t="s">
        <v>18829</v>
      </c>
    </row>
    <row r="27701" spans="1:8">
      <c r="H27701" t="s">
        <v>18863</v>
      </c>
    </row>
    <row r="27702" spans="1:8">
      <c r="H27702" t="s">
        <v>29170</v>
      </c>
    </row>
    <row r="27703" spans="1:8">
      <c r="A27703" t="s">
        <v>1628</v>
      </c>
      <c r="B27703">
        <f>HYPERLINK("https://android.googlesource.com/platform/cts/+/10a335f759d64a4a2650426804d2fd4715b01eeb", "10a335f759d64a4a2650426804d2fd4715b01eeb")</f>
        <v>0</v>
      </c>
      <c r="C27703">
        <f>HYPERLINK("https://android.googlesource.com/platform/cts/+/b9506cb6329f93587fb9355cdae534ecd0de4c03", "b9506cb6329f93587fb9355cdae534ecd0de4c03")</f>
        <v>0</v>
      </c>
      <c r="D27703" t="s">
        <v>5117</v>
      </c>
      <c r="E27703" t="s">
        <v>7389</v>
      </c>
      <c r="F27703" t="s">
        <v>13321</v>
      </c>
      <c r="G27703" t="s">
        <v>17452</v>
      </c>
      <c r="H27703" t="s">
        <v>29171</v>
      </c>
    </row>
    <row r="27704" spans="1:8">
      <c r="A27704" t="s">
        <v>1629</v>
      </c>
      <c r="B27704">
        <f>HYPERLINK("https://android.googlesource.com/platform/cts/+/4938b4d5ef8f2246784e919113331420ae541208", "4938b4d5ef8f2246784e919113331420ae541208")</f>
        <v>0</v>
      </c>
      <c r="C27704">
        <f>HYPERLINK("https://android.googlesource.com/platform/cts/+/12644d30d10a3c25826cd4b2f0a20bc645d464a5", "12644d30d10a3c25826cd4b2f0a20bc645d464a5")</f>
        <v>0</v>
      </c>
      <c r="D27704" t="s">
        <v>4952</v>
      </c>
      <c r="E27704" t="s">
        <v>7390</v>
      </c>
      <c r="F27704" t="s">
        <v>12222</v>
      </c>
      <c r="G27704" t="s">
        <v>16452</v>
      </c>
      <c r="H27704" t="s">
        <v>29172</v>
      </c>
    </row>
    <row r="27705" spans="1:8">
      <c r="A27705" t="s">
        <v>1630</v>
      </c>
      <c r="B27705">
        <f>HYPERLINK("https://android.googlesource.com/platform/cts/+/3f351fc68277139f983c94164db50b2d0417bf93", "3f351fc68277139f983c94164db50b2d0417bf93")</f>
        <v>0</v>
      </c>
      <c r="C27705">
        <f>HYPERLINK("https://android.googlesource.com/platform/cts/+/377dff601f57f39d0eb4996c18a3c96e1c34b9b9", "377dff601f57f39d0eb4996c18a3c96e1c34b9b9")</f>
        <v>0</v>
      </c>
      <c r="D27705" t="s">
        <v>5228</v>
      </c>
      <c r="E27705" t="s">
        <v>7391</v>
      </c>
      <c r="F27705" t="s">
        <v>13256</v>
      </c>
      <c r="G27705" t="s">
        <v>17394</v>
      </c>
      <c r="H27705" t="s">
        <v>29173</v>
      </c>
    </row>
    <row r="27706" spans="1:8">
      <c r="H27706" t="s">
        <v>29174</v>
      </c>
    </row>
    <row r="27707" spans="1:8">
      <c r="F27707" t="s">
        <v>13322</v>
      </c>
      <c r="G27707" t="s">
        <v>17453</v>
      </c>
      <c r="H27707" t="s">
        <v>29175</v>
      </c>
    </row>
    <row r="27708" spans="1:8">
      <c r="A27708" t="s">
        <v>1631</v>
      </c>
      <c r="B27708">
        <f>HYPERLINK("https://android.googlesource.com/platform/cts/+/5a575804da7060c87dc88721137b2760ba77b10e", "5a575804da7060c87dc88721137b2760ba77b10e")</f>
        <v>0</v>
      </c>
      <c r="C27708">
        <f>HYPERLINK("https://android.googlesource.com/platform/cts/+/c24a1ea50b15cd38c748f07502d0cccad9b9d96b", "c24a1ea50b15cd38c748f07502d0cccad9b9d96b")</f>
        <v>0</v>
      </c>
      <c r="D27708" t="s">
        <v>5038</v>
      </c>
      <c r="E27708" t="s">
        <v>7392</v>
      </c>
      <c r="F27708" t="s">
        <v>13323</v>
      </c>
      <c r="G27708" t="s">
        <v>17454</v>
      </c>
      <c r="H27708" t="s">
        <v>29176</v>
      </c>
    </row>
    <row r="27709" spans="1:8">
      <c r="H27709" t="s">
        <v>29177</v>
      </c>
    </row>
    <row r="27710" spans="1:8">
      <c r="H27710" t="s">
        <v>29178</v>
      </c>
    </row>
    <row r="27711" spans="1:8">
      <c r="H27711" t="s">
        <v>29179</v>
      </c>
    </row>
    <row r="27712" spans="1:8">
      <c r="H27712" t="s">
        <v>29180</v>
      </c>
    </row>
    <row r="27713" spans="1:8">
      <c r="H27713" t="s">
        <v>29181</v>
      </c>
    </row>
    <row r="27714" spans="1:8">
      <c r="A27714" t="s">
        <v>1632</v>
      </c>
      <c r="B27714">
        <f>HYPERLINK("https://android.googlesource.com/platform/cts/+/86acc4015bd61a081ca8b79f22ab471ca0e9e4f7", "86acc4015bd61a081ca8b79f22ab471ca0e9e4f7")</f>
        <v>0</v>
      </c>
      <c r="C27714">
        <f>HYPERLINK("https://android.googlesource.com/platform/cts/+/ed6a097fa82e6ce3eb30ed85d65fd229ac6dded8", "ed6a097fa82e6ce3eb30ed85d65fd229ac6dded8")</f>
        <v>0</v>
      </c>
      <c r="D27714" t="s">
        <v>5216</v>
      </c>
      <c r="E27714" t="s">
        <v>7393</v>
      </c>
      <c r="F27714" t="s">
        <v>13324</v>
      </c>
      <c r="G27714" t="s">
        <v>17455</v>
      </c>
      <c r="H27714" t="s">
        <v>29182</v>
      </c>
    </row>
    <row r="27715" spans="1:8">
      <c r="H27715" t="s">
        <v>29183</v>
      </c>
    </row>
    <row r="27716" spans="1:8">
      <c r="A27716" t="s">
        <v>1633</v>
      </c>
      <c r="B27716">
        <f>HYPERLINK("https://android.googlesource.com/platform/cts/+/73d77f23c160d05711601e7edb81f3e7eb5e3bbb", "73d77f23c160d05711601e7edb81f3e7eb5e3bbb")</f>
        <v>0</v>
      </c>
      <c r="C27716">
        <f>HYPERLINK("https://android.googlesource.com/platform/cts/+/913b333163917366b2366092eabb868211ab15c8", "913b333163917366b2366092eabb868211ab15c8")</f>
        <v>0</v>
      </c>
      <c r="D27716" t="s">
        <v>5156</v>
      </c>
      <c r="E27716" t="s">
        <v>7394</v>
      </c>
      <c r="F27716" t="s">
        <v>13303</v>
      </c>
      <c r="G27716" t="s">
        <v>16873</v>
      </c>
      <c r="H27716" t="s">
        <v>29184</v>
      </c>
    </row>
    <row r="27717" spans="1:8">
      <c r="A27717" t="s">
        <v>1634</v>
      </c>
      <c r="B27717">
        <f>HYPERLINK("https://android.googlesource.com/platform/cts/+/773de498feb509c58075b5655749497b9edf09ab", "773de498feb509c58075b5655749497b9edf09ab")</f>
        <v>0</v>
      </c>
      <c r="C27717">
        <f>HYPERLINK("https://android.googlesource.com/platform/cts/+/5117a58ddd340b64c294fa98a9f0691678edd8bd", "5117a58ddd340b64c294fa98a9f0691678edd8bd")</f>
        <v>0</v>
      </c>
      <c r="D27717" t="s">
        <v>5169</v>
      </c>
      <c r="E27717" t="s">
        <v>7395</v>
      </c>
      <c r="F27717" t="s">
        <v>12895</v>
      </c>
      <c r="G27717" t="s">
        <v>17062</v>
      </c>
      <c r="H27717" t="s">
        <v>29185</v>
      </c>
    </row>
    <row r="27718" spans="1:8">
      <c r="H27718" t="s">
        <v>29186</v>
      </c>
    </row>
    <row r="27719" spans="1:8">
      <c r="H27719" t="s">
        <v>29187</v>
      </c>
    </row>
    <row r="27720" spans="1:8">
      <c r="H27720" t="s">
        <v>29188</v>
      </c>
    </row>
    <row r="27721" spans="1:8">
      <c r="H27721" t="s">
        <v>29189</v>
      </c>
    </row>
    <row r="27722" spans="1:8">
      <c r="H27722" t="s">
        <v>29190</v>
      </c>
    </row>
    <row r="27723" spans="1:8">
      <c r="H27723" t="s">
        <v>29191</v>
      </c>
    </row>
    <row r="27724" spans="1:8">
      <c r="H27724" t="s">
        <v>29192</v>
      </c>
    </row>
    <row r="27725" spans="1:8">
      <c r="H27725" t="s">
        <v>29193</v>
      </c>
    </row>
    <row r="27726" spans="1:8">
      <c r="H27726" t="s">
        <v>29194</v>
      </c>
    </row>
    <row r="27727" spans="1:8">
      <c r="H27727" t="s">
        <v>29195</v>
      </c>
    </row>
    <row r="27728" spans="1:8">
      <c r="H27728" t="s">
        <v>29196</v>
      </c>
    </row>
    <row r="27729" spans="1:8">
      <c r="H27729" t="s">
        <v>29197</v>
      </c>
    </row>
    <row r="27730" spans="1:8">
      <c r="H27730" t="s">
        <v>29198</v>
      </c>
    </row>
    <row r="27731" spans="1:8">
      <c r="H27731" t="s">
        <v>29199</v>
      </c>
    </row>
    <row r="27732" spans="1:8">
      <c r="H27732" t="s">
        <v>29200</v>
      </c>
    </row>
    <row r="27733" spans="1:8">
      <c r="H27733" t="s">
        <v>29201</v>
      </c>
    </row>
    <row r="27734" spans="1:8">
      <c r="H27734" t="s">
        <v>29202</v>
      </c>
    </row>
    <row r="27735" spans="1:8">
      <c r="A27735" t="s">
        <v>1635</v>
      </c>
      <c r="B27735">
        <f>HYPERLINK("https://android.googlesource.com/platform/cts/+/d3e185ac001ba84d0efa5be69dbfdd328c759cf3", "d3e185ac001ba84d0efa5be69dbfdd328c759cf3")</f>
        <v>0</v>
      </c>
      <c r="C27735">
        <f>HYPERLINK("https://android.googlesource.com/platform/cts/+/9aca2a73bfc04c9443a7d3b04a0b796f5f06891a", "9aca2a73bfc04c9443a7d3b04a0b796f5f06891a")</f>
        <v>0</v>
      </c>
      <c r="D27735" t="s">
        <v>5163</v>
      </c>
      <c r="E27735" t="s">
        <v>7396</v>
      </c>
      <c r="F27735" t="s">
        <v>13325</v>
      </c>
      <c r="G27735" t="s">
        <v>17456</v>
      </c>
      <c r="H27735" t="s">
        <v>18829</v>
      </c>
    </row>
    <row r="27736" spans="1:8">
      <c r="H27736" t="s">
        <v>29203</v>
      </c>
    </row>
    <row r="27737" spans="1:8">
      <c r="H27737" t="s">
        <v>29204</v>
      </c>
    </row>
    <row r="27738" spans="1:8">
      <c r="H27738" t="s">
        <v>29205</v>
      </c>
    </row>
    <row r="27739" spans="1:8">
      <c r="H27739" t="s">
        <v>29206</v>
      </c>
    </row>
    <row r="27740" spans="1:8">
      <c r="H27740" t="s">
        <v>29207</v>
      </c>
    </row>
    <row r="27741" spans="1:8">
      <c r="H27741" t="s">
        <v>29208</v>
      </c>
    </row>
    <row r="27742" spans="1:8">
      <c r="H27742" t="s">
        <v>26556</v>
      </c>
    </row>
    <row r="27743" spans="1:8">
      <c r="H27743" t="s">
        <v>26555</v>
      </c>
    </row>
    <row r="27744" spans="1:8">
      <c r="H27744" t="s">
        <v>29209</v>
      </c>
    </row>
    <row r="27745" spans="1:8">
      <c r="H27745" t="s">
        <v>29210</v>
      </c>
    </row>
    <row r="27746" spans="1:8">
      <c r="H27746" t="s">
        <v>29211</v>
      </c>
    </row>
    <row r="27747" spans="1:8">
      <c r="H27747" t="s">
        <v>25512</v>
      </c>
    </row>
    <row r="27748" spans="1:8">
      <c r="H27748" t="s">
        <v>29212</v>
      </c>
    </row>
    <row r="27749" spans="1:8">
      <c r="H27749" t="s">
        <v>29213</v>
      </c>
    </row>
    <row r="27750" spans="1:8">
      <c r="H27750" t="s">
        <v>26557</v>
      </c>
    </row>
    <row r="27751" spans="1:8">
      <c r="F27751" t="s">
        <v>13326</v>
      </c>
      <c r="G27751" t="s">
        <v>16863</v>
      </c>
      <c r="H27751" t="s">
        <v>19905</v>
      </c>
    </row>
    <row r="27752" spans="1:8">
      <c r="H27752" t="s">
        <v>29214</v>
      </c>
    </row>
    <row r="27753" spans="1:8">
      <c r="H27753" t="s">
        <v>29215</v>
      </c>
    </row>
    <row r="27754" spans="1:8">
      <c r="A27754" t="s">
        <v>1636</v>
      </c>
      <c r="B27754">
        <f>HYPERLINK("https://android.googlesource.com/platform/cts/+/274f3552effd7d59ff0ee2ced9fc5872541eba9f", "274f3552effd7d59ff0ee2ced9fc5872541eba9f")</f>
        <v>0</v>
      </c>
      <c r="C27754">
        <f>HYPERLINK("https://android.googlesource.com/platform/cts/+/8f43b55c939164fa93bc06c34ca1b2af04d0fee7", "8f43b55c939164fa93bc06c34ca1b2af04d0fee7")</f>
        <v>0</v>
      </c>
      <c r="D27754" t="s">
        <v>5250</v>
      </c>
      <c r="E27754" t="s">
        <v>7397</v>
      </c>
      <c r="F27754" t="s">
        <v>10625</v>
      </c>
      <c r="G27754" t="s">
        <v>15028</v>
      </c>
      <c r="H27754" t="s">
        <v>29216</v>
      </c>
    </row>
    <row r="27755" spans="1:8">
      <c r="H27755" t="s">
        <v>29217</v>
      </c>
    </row>
    <row r="27756" spans="1:8">
      <c r="A27756" t="s">
        <v>1637</v>
      </c>
      <c r="B27756">
        <f>HYPERLINK("https://android.googlesource.com/platform/cts/+/3338e9a596fb90847245303e24743c4e537e1b10", "3338e9a596fb90847245303e24743c4e537e1b10")</f>
        <v>0</v>
      </c>
      <c r="C27756">
        <f>HYPERLINK("https://android.googlesource.com/platform/cts/+/9564481ef06958d00841638121259c220f09ba3c", "9564481ef06958d00841638121259c220f09ba3c")</f>
        <v>0</v>
      </c>
      <c r="D27756" t="s">
        <v>4928</v>
      </c>
      <c r="E27756" t="s">
        <v>7398</v>
      </c>
      <c r="F27756" t="s">
        <v>13284</v>
      </c>
      <c r="G27756" t="s">
        <v>17421</v>
      </c>
      <c r="H27756" t="s">
        <v>28975</v>
      </c>
    </row>
    <row r="27757" spans="1:8">
      <c r="A27757" t="s">
        <v>1638</v>
      </c>
      <c r="B27757">
        <f>HYPERLINK("https://android.googlesource.com/platform/cts/+/6000acf6f62004f620fe30876c624dce03cfc2fe", "6000acf6f62004f620fe30876c624dce03cfc2fe")</f>
        <v>0</v>
      </c>
      <c r="C27757">
        <f>HYPERLINK("https://android.googlesource.com/platform/cts/+/62cd301c5ee9c36240186c87b5712c0134791337", "62cd301c5ee9c36240186c87b5712c0134791337")</f>
        <v>0</v>
      </c>
      <c r="D27757" t="s">
        <v>5111</v>
      </c>
      <c r="E27757" t="s">
        <v>7399</v>
      </c>
      <c r="F27757" t="s">
        <v>13327</v>
      </c>
      <c r="G27757" t="s">
        <v>17457</v>
      </c>
      <c r="H27757" t="s">
        <v>29218</v>
      </c>
    </row>
    <row r="27758" spans="1:8">
      <c r="A27758" t="s">
        <v>1639</v>
      </c>
      <c r="B27758">
        <f>HYPERLINK("https://android.googlesource.com/platform/cts/+/b8247720aeb50fc3d9249cc08b02894a67822c17", "b8247720aeb50fc3d9249cc08b02894a67822c17")</f>
        <v>0</v>
      </c>
      <c r="C27758">
        <f>HYPERLINK("https://android.googlesource.com/platform/cts/+/411f471e12b0958ff469420f2c69c3fe5db12da0", "411f471e12b0958ff469420f2c69c3fe5db12da0")</f>
        <v>0</v>
      </c>
      <c r="D27758" t="s">
        <v>5251</v>
      </c>
      <c r="E27758" t="s">
        <v>7400</v>
      </c>
      <c r="F27758" t="s">
        <v>13328</v>
      </c>
      <c r="G27758" t="s">
        <v>17458</v>
      </c>
      <c r="H27758" t="s">
        <v>18829</v>
      </c>
    </row>
    <row r="27759" spans="1:8">
      <c r="H27759" t="s">
        <v>18863</v>
      </c>
    </row>
    <row r="27760" spans="1:8">
      <c r="H27760" t="s">
        <v>29219</v>
      </c>
    </row>
    <row r="27761" spans="1:8">
      <c r="H27761" t="s">
        <v>29205</v>
      </c>
    </row>
    <row r="27762" spans="1:8">
      <c r="H27762" t="s">
        <v>26556</v>
      </c>
    </row>
    <row r="27763" spans="1:8">
      <c r="H27763" t="s">
        <v>26555</v>
      </c>
    </row>
    <row r="27764" spans="1:8">
      <c r="A27764" t="s">
        <v>1640</v>
      </c>
      <c r="B27764">
        <f>HYPERLINK("https://android.googlesource.com/platform/cts/+/0e8a8a026138d4a2f20daaadd70c9fb0132ab8a3", "0e8a8a026138d4a2f20daaadd70c9fb0132ab8a3")</f>
        <v>0</v>
      </c>
      <c r="C27764">
        <f>HYPERLINK("https://android.googlesource.com/platform/cts/+/97f9abd54e3c2a444c00ee2952b067da0c829350", "97f9abd54e3c2a444c00ee2952b067da0c829350")</f>
        <v>0</v>
      </c>
      <c r="D27764" t="s">
        <v>5039</v>
      </c>
      <c r="E27764" t="s">
        <v>7401</v>
      </c>
      <c r="F27764" t="s">
        <v>12426</v>
      </c>
      <c r="G27764" t="s">
        <v>16648</v>
      </c>
      <c r="H27764" t="s">
        <v>29220</v>
      </c>
    </row>
    <row r="27765" spans="1:8">
      <c r="H27765" t="s">
        <v>29221</v>
      </c>
    </row>
    <row r="27766" spans="1:8">
      <c r="H27766" t="s">
        <v>29220</v>
      </c>
    </row>
    <row r="27767" spans="1:8">
      <c r="H27767" t="s">
        <v>29221</v>
      </c>
    </row>
    <row r="27768" spans="1:8">
      <c r="A27768" t="s">
        <v>1641</v>
      </c>
      <c r="B27768">
        <f>HYPERLINK("https://android.googlesource.com/platform/cts/+/5ffd7064eba6ef108da6c00815b58a5341dfc66b", "5ffd7064eba6ef108da6c00815b58a5341dfc66b")</f>
        <v>0</v>
      </c>
      <c r="C27768">
        <f>HYPERLINK("https://android.googlesource.com/platform/cts/+/39d462740e6dfb8afce275d4be93294018eabe8c", "39d462740e6dfb8afce275d4be93294018eabe8c")</f>
        <v>0</v>
      </c>
      <c r="D27768" t="s">
        <v>5251</v>
      </c>
      <c r="E27768" t="s">
        <v>7402</v>
      </c>
      <c r="F27768" t="s">
        <v>13329</v>
      </c>
      <c r="G27768" t="s">
        <v>17459</v>
      </c>
      <c r="H27768" t="s">
        <v>29222</v>
      </c>
    </row>
    <row r="27769" spans="1:8">
      <c r="A27769" t="s">
        <v>1642</v>
      </c>
      <c r="B27769">
        <f>HYPERLINK("https://android.googlesource.com/platform/cts/+/8b6f771a4c31902ab644396a161e269b69a747fb", "8b6f771a4c31902ab644396a161e269b69a747fb")</f>
        <v>0</v>
      </c>
      <c r="C27769">
        <f>HYPERLINK("https://android.googlesource.com/platform/cts/+/4a9240df07382834e7edaa496d33c85ddbedabab", "4a9240df07382834e7edaa496d33c85ddbedabab")</f>
        <v>0</v>
      </c>
      <c r="D27769" t="s">
        <v>5163</v>
      </c>
      <c r="E27769" t="s">
        <v>7403</v>
      </c>
      <c r="F27769" t="s">
        <v>13319</v>
      </c>
      <c r="G27769" t="s">
        <v>17450</v>
      </c>
      <c r="H27769" t="s">
        <v>29165</v>
      </c>
    </row>
    <row r="27770" spans="1:8">
      <c r="H27770" t="s">
        <v>29166</v>
      </c>
    </row>
    <row r="27771" spans="1:8">
      <c r="H27771" t="s">
        <v>29167</v>
      </c>
    </row>
    <row r="27772" spans="1:8">
      <c r="H27772" t="s">
        <v>29168</v>
      </c>
    </row>
    <row r="27773" spans="1:8">
      <c r="H27773" t="s">
        <v>29169</v>
      </c>
    </row>
    <row r="27774" spans="1:8">
      <c r="A27774" t="s">
        <v>1643</v>
      </c>
      <c r="B27774">
        <f>HYPERLINK("https://android.googlesource.com/platform/cts/+/980af34e09a033e19a6034743bc60c6e601f6b97", "980af34e09a033e19a6034743bc60c6e601f6b97")</f>
        <v>0</v>
      </c>
      <c r="C27774">
        <f>HYPERLINK("https://android.googlesource.com/platform/cts/+/48e9e20ebb8b5046643887c98a919868a8894205", "48e9e20ebb8b5046643887c98a919868a8894205")</f>
        <v>0</v>
      </c>
      <c r="D27774" t="s">
        <v>5163</v>
      </c>
      <c r="E27774" t="s">
        <v>7404</v>
      </c>
      <c r="F27774" t="s">
        <v>13328</v>
      </c>
      <c r="G27774" t="s">
        <v>17458</v>
      </c>
      <c r="H27774" t="s">
        <v>20244</v>
      </c>
    </row>
    <row r="27775" spans="1:8">
      <c r="H27775" t="s">
        <v>18829</v>
      </c>
    </row>
    <row r="27776" spans="1:8">
      <c r="H27776" t="s">
        <v>18863</v>
      </c>
    </row>
    <row r="27777" spans="1:8">
      <c r="H27777" t="s">
        <v>29219</v>
      </c>
    </row>
    <row r="27778" spans="1:8">
      <c r="H27778" t="s">
        <v>29205</v>
      </c>
    </row>
    <row r="27779" spans="1:8">
      <c r="H27779" t="s">
        <v>26556</v>
      </c>
    </row>
    <row r="27780" spans="1:8">
      <c r="H27780" t="s">
        <v>26555</v>
      </c>
    </row>
    <row r="27781" spans="1:8">
      <c r="H27781" t="s">
        <v>29223</v>
      </c>
    </row>
    <row r="27782" spans="1:8">
      <c r="A27782" t="s">
        <v>1644</v>
      </c>
      <c r="B27782">
        <f>HYPERLINK("https://android.googlesource.com/platform/cts/+/48f1a7bd20f5287061b80149cf4fe1ff0b4d4f13", "48f1a7bd20f5287061b80149cf4fe1ff0b4d4f13")</f>
        <v>0</v>
      </c>
      <c r="C27782">
        <f>HYPERLINK("https://android.googlesource.com/platform/cts/+/e8ddc79ad79915cb7df91841a42d9536220e86db", "e8ddc79ad79915cb7df91841a42d9536220e86db")</f>
        <v>0</v>
      </c>
      <c r="D27782" t="s">
        <v>5252</v>
      </c>
      <c r="E27782" t="s">
        <v>7405</v>
      </c>
      <c r="F27782" t="s">
        <v>13330</v>
      </c>
      <c r="G27782" t="s">
        <v>17460</v>
      </c>
      <c r="H27782" t="s">
        <v>18829</v>
      </c>
    </row>
    <row r="27783" spans="1:8">
      <c r="H27783" t="s">
        <v>29224</v>
      </c>
    </row>
    <row r="27784" spans="1:8">
      <c r="H27784" t="s">
        <v>29225</v>
      </c>
    </row>
    <row r="27785" spans="1:8">
      <c r="A27785" t="s">
        <v>1645</v>
      </c>
      <c r="B27785">
        <f>HYPERLINK("https://android.googlesource.com/platform/cts/+/0d2877dab3c964db5dcdcc6f67b701a659c2a4ec", "0d2877dab3c964db5dcdcc6f67b701a659c2a4ec")</f>
        <v>0</v>
      </c>
      <c r="C27785">
        <f>HYPERLINK("https://android.googlesource.com/platform/cts/+/35fe0c4110b3f1af556822e2d72f7b702d2e97fb", "35fe0c4110b3f1af556822e2d72f7b702d2e97fb")</f>
        <v>0</v>
      </c>
      <c r="D27785" t="s">
        <v>5188</v>
      </c>
      <c r="E27785" t="s">
        <v>7406</v>
      </c>
      <c r="F27785" t="s">
        <v>13319</v>
      </c>
      <c r="G27785" t="s">
        <v>17450</v>
      </c>
      <c r="H27785" t="s">
        <v>29165</v>
      </c>
    </row>
    <row r="27786" spans="1:8">
      <c r="H27786" t="s">
        <v>29166</v>
      </c>
    </row>
    <row r="27787" spans="1:8">
      <c r="H27787" t="s">
        <v>29167</v>
      </c>
    </row>
    <row r="27788" spans="1:8">
      <c r="H27788" t="s">
        <v>29168</v>
      </c>
    </row>
    <row r="27789" spans="1:8">
      <c r="H27789" t="s">
        <v>29169</v>
      </c>
    </row>
    <row r="27790" spans="1:8">
      <c r="A27790" t="s">
        <v>1646</v>
      </c>
      <c r="B27790">
        <f>HYPERLINK("https://android.googlesource.com/platform/cts/+/d10da795a13a0d56f2d0fc0cfa5be723b102a09c", "d10da795a13a0d56f2d0fc0cfa5be723b102a09c")</f>
        <v>0</v>
      </c>
      <c r="C27790">
        <f>HYPERLINK("https://android.googlesource.com/platform/cts/+/9394abad93f87e2233397a0416d500a37903bc97", "9394abad93f87e2233397a0416d500a37903bc97")</f>
        <v>0</v>
      </c>
      <c r="D27790" t="s">
        <v>5060</v>
      </c>
      <c r="E27790" t="s">
        <v>7407</v>
      </c>
      <c r="F27790" t="s">
        <v>12817</v>
      </c>
      <c r="G27790" t="s">
        <v>16629</v>
      </c>
      <c r="H27790" t="s">
        <v>29226</v>
      </c>
    </row>
    <row r="27791" spans="1:8">
      <c r="A27791" t="s">
        <v>1647</v>
      </c>
      <c r="B27791">
        <f>HYPERLINK("https://android.googlesource.com/platform/cts/+/c6b8a08f4356649e1ab9f0a043622bdfe4d34c20", "c6b8a08f4356649e1ab9f0a043622bdfe4d34c20")</f>
        <v>0</v>
      </c>
      <c r="C27791">
        <f>HYPERLINK("https://android.googlesource.com/platform/cts/+/58a88d15d921b2ef3a36366cb456fc07e5449c8b", "58a88d15d921b2ef3a36366cb456fc07e5449c8b")</f>
        <v>0</v>
      </c>
      <c r="D27791" t="s">
        <v>4981</v>
      </c>
      <c r="E27791" t="s">
        <v>7408</v>
      </c>
      <c r="F27791" t="s">
        <v>13331</v>
      </c>
      <c r="G27791" t="s">
        <v>17461</v>
      </c>
      <c r="H27791" t="s">
        <v>18863</v>
      </c>
    </row>
    <row r="27792" spans="1:8">
      <c r="H27792" t="s">
        <v>22587</v>
      </c>
    </row>
    <row r="27793" spans="6:8">
      <c r="H27793" t="s">
        <v>22794</v>
      </c>
    </row>
    <row r="27794" spans="6:8">
      <c r="H27794" t="s">
        <v>22594</v>
      </c>
    </row>
    <row r="27795" spans="6:8">
      <c r="H27795" t="s">
        <v>22591</v>
      </c>
    </row>
    <row r="27796" spans="6:8">
      <c r="F27796" t="s">
        <v>13332</v>
      </c>
      <c r="G27796" t="s">
        <v>17462</v>
      </c>
      <c r="H27796" t="s">
        <v>29227</v>
      </c>
    </row>
    <row r="27797" spans="6:8">
      <c r="H27797" t="s">
        <v>29228</v>
      </c>
    </row>
    <row r="27798" spans="6:8">
      <c r="F27798" t="s">
        <v>13333</v>
      </c>
      <c r="G27798" t="s">
        <v>17463</v>
      </c>
      <c r="H27798" t="s">
        <v>29227</v>
      </c>
    </row>
    <row r="27799" spans="6:8">
      <c r="H27799" t="s">
        <v>29228</v>
      </c>
    </row>
    <row r="27800" spans="6:8">
      <c r="F27800" t="s">
        <v>13334</v>
      </c>
      <c r="G27800" t="s">
        <v>17464</v>
      </c>
      <c r="H27800" t="s">
        <v>29229</v>
      </c>
    </row>
    <row r="27801" spans="6:8">
      <c r="H27801" t="s">
        <v>22794</v>
      </c>
    </row>
    <row r="27802" spans="6:8">
      <c r="F27802" t="s">
        <v>13261</v>
      </c>
      <c r="G27802" t="s">
        <v>17399</v>
      </c>
      <c r="H27802" t="s">
        <v>25497</v>
      </c>
    </row>
    <row r="27803" spans="6:8">
      <c r="H27803" t="s">
        <v>20244</v>
      </c>
    </row>
    <row r="27804" spans="6:8">
      <c r="H27804" t="s">
        <v>29230</v>
      </c>
    </row>
    <row r="27805" spans="6:8">
      <c r="H27805" t="s">
        <v>29231</v>
      </c>
    </row>
    <row r="27806" spans="6:8">
      <c r="H27806" t="s">
        <v>29232</v>
      </c>
    </row>
    <row r="27807" spans="6:8">
      <c r="H27807" t="s">
        <v>29233</v>
      </c>
    </row>
    <row r="27808" spans="6:8">
      <c r="H27808" t="s">
        <v>29234</v>
      </c>
    </row>
    <row r="27809" spans="6:8">
      <c r="H27809" t="s">
        <v>29235</v>
      </c>
    </row>
    <row r="27810" spans="6:8">
      <c r="H27810" t="s">
        <v>29236</v>
      </c>
    </row>
    <row r="27811" spans="6:8">
      <c r="H27811" t="s">
        <v>29237</v>
      </c>
    </row>
    <row r="27812" spans="6:8">
      <c r="H27812" t="s">
        <v>29238</v>
      </c>
    </row>
    <row r="27813" spans="6:8">
      <c r="H27813" t="s">
        <v>29239</v>
      </c>
    </row>
    <row r="27814" spans="6:8">
      <c r="H27814" t="s">
        <v>29240</v>
      </c>
    </row>
    <row r="27815" spans="6:8">
      <c r="H27815" t="s">
        <v>29241</v>
      </c>
    </row>
    <row r="27816" spans="6:8">
      <c r="H27816" t="s">
        <v>29242</v>
      </c>
    </row>
    <row r="27817" spans="6:8">
      <c r="H27817" t="s">
        <v>29243</v>
      </c>
    </row>
    <row r="27818" spans="6:8">
      <c r="F27818" t="s">
        <v>13335</v>
      </c>
      <c r="G27818" t="s">
        <v>17465</v>
      </c>
      <c r="H27818" t="s">
        <v>29244</v>
      </c>
    </row>
    <row r="27819" spans="6:8">
      <c r="H27819" t="s">
        <v>25704</v>
      </c>
    </row>
    <row r="27820" spans="6:8">
      <c r="H27820" t="s">
        <v>29245</v>
      </c>
    </row>
    <row r="27821" spans="6:8">
      <c r="H27821" t="s">
        <v>29246</v>
      </c>
    </row>
    <row r="27822" spans="6:8">
      <c r="H27822" t="s">
        <v>29247</v>
      </c>
    </row>
    <row r="27823" spans="6:8">
      <c r="H27823" t="s">
        <v>29247</v>
      </c>
    </row>
    <row r="27824" spans="6:8">
      <c r="H27824" t="s">
        <v>29248</v>
      </c>
    </row>
    <row r="27825" spans="1:8">
      <c r="H27825" t="s">
        <v>29248</v>
      </c>
    </row>
    <row r="27826" spans="1:8">
      <c r="H27826" t="s">
        <v>29249</v>
      </c>
    </row>
    <row r="27827" spans="1:8">
      <c r="A27827" t="s">
        <v>1648</v>
      </c>
      <c r="B27827">
        <f>HYPERLINK("https://android.googlesource.com/platform/cts/+/5f006bf6256ac47900a72442c40d6e4d14473c90", "5f006bf6256ac47900a72442c40d6e4d14473c90")</f>
        <v>0</v>
      </c>
      <c r="C27827">
        <f>HYPERLINK("https://android.googlesource.com/platform/cts/+/e2a1a9e5d9aef1567485a7fad41a6309ea5a7010", "e2a1a9e5d9aef1567485a7fad41a6309ea5a7010")</f>
        <v>0</v>
      </c>
      <c r="D27827" t="s">
        <v>5125</v>
      </c>
      <c r="E27827" t="s">
        <v>7409</v>
      </c>
      <c r="F27827" t="s">
        <v>13336</v>
      </c>
      <c r="G27827" t="s">
        <v>17466</v>
      </c>
      <c r="H27827" t="s">
        <v>29250</v>
      </c>
    </row>
    <row r="27828" spans="1:8">
      <c r="A27828" t="s">
        <v>1649</v>
      </c>
      <c r="B27828">
        <f>HYPERLINK("https://android.googlesource.com/platform/cts/+/1b62b90a2e3976afeeae868d80fc860634cb8ab1", "1b62b90a2e3976afeeae868d80fc860634cb8ab1")</f>
        <v>0</v>
      </c>
      <c r="C27828">
        <f>HYPERLINK("https://android.googlesource.com/platform/cts/+/631a7fe1159fb9adbe38786fa14c56f3dbde7a7e", "631a7fe1159fb9adbe38786fa14c56f3dbde7a7e")</f>
        <v>0</v>
      </c>
      <c r="D27828" t="s">
        <v>5219</v>
      </c>
      <c r="E27828" t="s">
        <v>7410</v>
      </c>
      <c r="F27828" t="s">
        <v>13337</v>
      </c>
      <c r="G27828" t="s">
        <v>17467</v>
      </c>
      <c r="H27828" t="s">
        <v>29251</v>
      </c>
    </row>
    <row r="27829" spans="1:8">
      <c r="H27829" t="s">
        <v>19923</v>
      </c>
    </row>
    <row r="27830" spans="1:8">
      <c r="H27830" t="s">
        <v>29252</v>
      </c>
    </row>
    <row r="27831" spans="1:8">
      <c r="H27831" t="s">
        <v>29253</v>
      </c>
    </row>
    <row r="27832" spans="1:8">
      <c r="H27832" t="s">
        <v>29254</v>
      </c>
    </row>
    <row r="27833" spans="1:8">
      <c r="A27833" t="s">
        <v>1650</v>
      </c>
      <c r="B27833">
        <f>HYPERLINK("https://android.googlesource.com/platform/cts/+/6cc57bc70a32f0c14de1fda4b459049699e23b7a", "6cc57bc70a32f0c14de1fda4b459049699e23b7a")</f>
        <v>0</v>
      </c>
      <c r="C27833">
        <f>HYPERLINK("https://android.googlesource.com/platform/cts/+/030178caf6263e61f80435cb165fec38b7d8c574", "030178caf6263e61f80435cb165fec38b7d8c574")</f>
        <v>0</v>
      </c>
      <c r="D27833" t="s">
        <v>5163</v>
      </c>
      <c r="E27833" t="s">
        <v>7411</v>
      </c>
      <c r="F27833" t="s">
        <v>13328</v>
      </c>
      <c r="G27833" t="s">
        <v>17458</v>
      </c>
      <c r="H27833" t="s">
        <v>20244</v>
      </c>
    </row>
    <row r="27834" spans="1:8">
      <c r="H27834" t="s">
        <v>18829</v>
      </c>
    </row>
    <row r="27835" spans="1:8">
      <c r="H27835" t="s">
        <v>18863</v>
      </c>
    </row>
    <row r="27836" spans="1:8">
      <c r="H27836" t="s">
        <v>29219</v>
      </c>
    </row>
    <row r="27837" spans="1:8">
      <c r="H27837" t="s">
        <v>29205</v>
      </c>
    </row>
    <row r="27838" spans="1:8">
      <c r="H27838" t="s">
        <v>26556</v>
      </c>
    </row>
    <row r="27839" spans="1:8">
      <c r="H27839" t="s">
        <v>26555</v>
      </c>
    </row>
    <row r="27840" spans="1:8">
      <c r="H27840" t="s">
        <v>29223</v>
      </c>
    </row>
    <row r="27841" spans="1:8">
      <c r="A27841" t="s">
        <v>1651</v>
      </c>
      <c r="B27841">
        <f>HYPERLINK("https://android.googlesource.com/platform/cts/+/170359c8eeae97d03a1b346da24ab7cf92c50b71", "170359c8eeae97d03a1b346da24ab7cf92c50b71")</f>
        <v>0</v>
      </c>
      <c r="C27841">
        <f>HYPERLINK("https://android.googlesource.com/platform/cts/+/0c8336979248cde71e28fcdf83be40fe7565f89d", "0c8336979248cde71e28fcdf83be40fe7565f89d")</f>
        <v>0</v>
      </c>
      <c r="D27841" t="s">
        <v>5194</v>
      </c>
      <c r="E27841" t="s">
        <v>7412</v>
      </c>
      <c r="F27841" t="s">
        <v>13236</v>
      </c>
      <c r="G27841" t="s">
        <v>17375</v>
      </c>
      <c r="H27841" t="s">
        <v>29255</v>
      </c>
    </row>
    <row r="27842" spans="1:8">
      <c r="A27842" t="s">
        <v>1652</v>
      </c>
      <c r="B27842">
        <f>HYPERLINK("https://android.googlesource.com/platform/cts/+/5a69a63bd4f5a9533312c09f00bdd0404620b1f9", "5a69a63bd4f5a9533312c09f00bdd0404620b1f9")</f>
        <v>0</v>
      </c>
      <c r="C27842">
        <f>HYPERLINK("https://android.googlesource.com/platform/cts/+/66562c058c978be66d333f7a641cb7959049e0ba", "66562c058c978be66d333f7a641cb7959049e0ba")</f>
        <v>0</v>
      </c>
      <c r="D27842" t="s">
        <v>4974</v>
      </c>
      <c r="E27842" t="s">
        <v>7413</v>
      </c>
      <c r="F27842" t="s">
        <v>12710</v>
      </c>
      <c r="G27842" t="s">
        <v>16911</v>
      </c>
      <c r="H27842" t="s">
        <v>29256</v>
      </c>
    </row>
    <row r="27843" spans="1:8">
      <c r="H27843" t="s">
        <v>29257</v>
      </c>
    </row>
    <row r="27844" spans="1:8">
      <c r="H27844" t="s">
        <v>29258</v>
      </c>
    </row>
    <row r="27845" spans="1:8">
      <c r="H27845" t="s">
        <v>29259</v>
      </c>
    </row>
    <row r="27846" spans="1:8">
      <c r="H27846" t="s">
        <v>29260</v>
      </c>
    </row>
    <row r="27847" spans="1:8">
      <c r="H27847" t="s">
        <v>29261</v>
      </c>
    </row>
    <row r="27848" spans="1:8">
      <c r="A27848" t="s">
        <v>1653</v>
      </c>
      <c r="B27848">
        <f>HYPERLINK("https://android.googlesource.com/platform/cts/+/e09bb891ca1b70104ce00a7f8399a582fc451af3", "e09bb891ca1b70104ce00a7f8399a582fc451af3")</f>
        <v>0</v>
      </c>
      <c r="C27848">
        <f>HYPERLINK("https://android.googlesource.com/platform/cts/+/ecefadc7541147dcf522ef139024c65c3a9a0658", "ecefadc7541147dcf522ef139024c65c3a9a0658")</f>
        <v>0</v>
      </c>
      <c r="D27848" t="s">
        <v>4974</v>
      </c>
      <c r="E27848" t="s">
        <v>7413</v>
      </c>
      <c r="F27848" t="s">
        <v>12710</v>
      </c>
      <c r="G27848" t="s">
        <v>16911</v>
      </c>
      <c r="H27848" t="s">
        <v>29256</v>
      </c>
    </row>
    <row r="27849" spans="1:8">
      <c r="H27849" t="s">
        <v>29257</v>
      </c>
    </row>
    <row r="27850" spans="1:8">
      <c r="H27850" t="s">
        <v>29258</v>
      </c>
    </row>
    <row r="27851" spans="1:8">
      <c r="H27851" t="s">
        <v>29259</v>
      </c>
    </row>
    <row r="27852" spans="1:8">
      <c r="H27852" t="s">
        <v>29260</v>
      </c>
    </row>
    <row r="27853" spans="1:8">
      <c r="H27853" t="s">
        <v>29261</v>
      </c>
    </row>
    <row r="27854" spans="1:8">
      <c r="A27854" t="s">
        <v>1654</v>
      </c>
      <c r="B27854">
        <f>HYPERLINK("https://android.googlesource.com/platform/cts/+/74e17361be356ff8a46c96989f4e67a34e345ce4", "74e17361be356ff8a46c96989f4e67a34e345ce4")</f>
        <v>0</v>
      </c>
      <c r="C27854">
        <f>HYPERLINK("https://android.googlesource.com/platform/cts/+/6c11e6dd7b660544650fb8fbccb924b75b227a74", "6c11e6dd7b660544650fb8fbccb924b75b227a74")</f>
        <v>0</v>
      </c>
      <c r="D27854" t="s">
        <v>5132</v>
      </c>
      <c r="E27854" t="s">
        <v>7414</v>
      </c>
      <c r="F27854" t="s">
        <v>13338</v>
      </c>
      <c r="G27854" t="s">
        <v>17468</v>
      </c>
      <c r="H27854" t="s">
        <v>29262</v>
      </c>
    </row>
    <row r="27855" spans="1:8">
      <c r="A27855" t="s">
        <v>1655</v>
      </c>
      <c r="B27855">
        <f>HYPERLINK("https://android.googlesource.com/platform/cts/+/846ec2dd22d429832f10a4b82709cccf61b83ebb", "846ec2dd22d429832f10a4b82709cccf61b83ebb")</f>
        <v>0</v>
      </c>
      <c r="C27855">
        <f>HYPERLINK("https://android.googlesource.com/platform/cts/+/952f965a7a49f36e9ae9441c071379272378d19a", "952f965a7a49f36e9ae9441c071379272378d19a")</f>
        <v>0</v>
      </c>
      <c r="D27855" t="s">
        <v>5146</v>
      </c>
      <c r="E27855" t="s">
        <v>7415</v>
      </c>
      <c r="F27855" t="s">
        <v>12840</v>
      </c>
      <c r="G27855" t="s">
        <v>17015</v>
      </c>
      <c r="H27855" t="s">
        <v>29263</v>
      </c>
    </row>
    <row r="27856" spans="1:8">
      <c r="H27856" t="s">
        <v>29264</v>
      </c>
    </row>
    <row r="27857" spans="1:8">
      <c r="H27857" t="s">
        <v>29265</v>
      </c>
    </row>
    <row r="27858" spans="1:8">
      <c r="H27858" t="s">
        <v>29266</v>
      </c>
    </row>
    <row r="27859" spans="1:8">
      <c r="H27859" t="s">
        <v>18893</v>
      </c>
    </row>
    <row r="27860" spans="1:8">
      <c r="A27860" t="s">
        <v>1656</v>
      </c>
      <c r="B27860">
        <f>HYPERLINK("https://android.googlesource.com/platform/cts/+/5148a3338ec3e0833d49047f8d478776b6686ad0", "5148a3338ec3e0833d49047f8d478776b6686ad0")</f>
        <v>0</v>
      </c>
      <c r="C27860">
        <f>HYPERLINK("https://android.googlesource.com/platform/cts/+/02c12dde10d73f9a17a0e7fd957094ecb0f4678e", "02c12dde10d73f9a17a0e7fd957094ecb0f4678e")</f>
        <v>0</v>
      </c>
      <c r="D27860" t="s">
        <v>5239</v>
      </c>
      <c r="E27860" t="s">
        <v>7416</v>
      </c>
      <c r="F27860" t="s">
        <v>10687</v>
      </c>
      <c r="G27860" t="s">
        <v>15087</v>
      </c>
      <c r="H27860" t="s">
        <v>29084</v>
      </c>
    </row>
    <row r="27861" spans="1:8">
      <c r="A27861" t="s">
        <v>1657</v>
      </c>
      <c r="B27861">
        <f>HYPERLINK("https://android.googlesource.com/platform/cts/+/c131913926919e5237b7f6d10f96239277b73257", "c131913926919e5237b7f6d10f96239277b73257")</f>
        <v>0</v>
      </c>
      <c r="C27861">
        <f>HYPERLINK("https://android.googlesource.com/platform/cts/+/842062a80b276c95471ccca94cdace79651cb8cf", "842062a80b276c95471ccca94cdace79651cb8cf")</f>
        <v>0</v>
      </c>
      <c r="D27861" t="s">
        <v>5248</v>
      </c>
      <c r="E27861" t="s">
        <v>7417</v>
      </c>
      <c r="F27861" t="s">
        <v>13339</v>
      </c>
      <c r="G27861" t="s">
        <v>17469</v>
      </c>
      <c r="H27861" t="s">
        <v>22678</v>
      </c>
    </row>
    <row r="27862" spans="1:8">
      <c r="A27862" t="s">
        <v>1658</v>
      </c>
      <c r="B27862">
        <f>HYPERLINK("https://android.googlesource.com/platform/cts/+/5384ec0341ad4a8110bf4fd80c76d667618f8706", "5384ec0341ad4a8110bf4fd80c76d667618f8706")</f>
        <v>0</v>
      </c>
      <c r="C27862">
        <f>HYPERLINK("https://android.googlesource.com/platform/cts/+/5513323484daba314c3715aa5a4b2532a2fe5417", "5513323484daba314c3715aa5a4b2532a2fe5417")</f>
        <v>0</v>
      </c>
      <c r="D27862" t="s">
        <v>4974</v>
      </c>
      <c r="E27862" t="s">
        <v>7418</v>
      </c>
      <c r="F27862" t="s">
        <v>12710</v>
      </c>
      <c r="G27862" t="s">
        <v>16911</v>
      </c>
      <c r="H27862" t="s">
        <v>29267</v>
      </c>
    </row>
    <row r="27863" spans="1:8">
      <c r="A27863" t="s">
        <v>1659</v>
      </c>
      <c r="B27863">
        <f>HYPERLINK("https://android.googlesource.com/platform/cts/+/2575950bce521849b9caaed81e0e165f2e770266", "2575950bce521849b9caaed81e0e165f2e770266")</f>
        <v>0</v>
      </c>
      <c r="C27863">
        <f>HYPERLINK("https://android.googlesource.com/platform/cts/+/4321cb832c03f985cc067de564b07759d31f71cc", "4321cb832c03f985cc067de564b07759d31f71cc")</f>
        <v>0</v>
      </c>
      <c r="D27863" t="s">
        <v>5253</v>
      </c>
      <c r="E27863" t="s">
        <v>7419</v>
      </c>
      <c r="F27863" t="s">
        <v>12840</v>
      </c>
      <c r="G27863" t="s">
        <v>17015</v>
      </c>
      <c r="H27863" t="s">
        <v>29263</v>
      </c>
    </row>
    <row r="27864" spans="1:8">
      <c r="H27864" t="s">
        <v>29264</v>
      </c>
    </row>
    <row r="27865" spans="1:8">
      <c r="H27865" t="s">
        <v>29265</v>
      </c>
    </row>
    <row r="27866" spans="1:8">
      <c r="H27866" t="s">
        <v>29266</v>
      </c>
    </row>
    <row r="27867" spans="1:8">
      <c r="H27867" t="s">
        <v>18893</v>
      </c>
    </row>
    <row r="27868" spans="1:8">
      <c r="A27868" t="s">
        <v>1660</v>
      </c>
      <c r="B27868">
        <f>HYPERLINK("https://android.googlesource.com/platform/cts/+/67d8501d4667cba8a6e2ddc64f3db54880831d2f", "67d8501d4667cba8a6e2ddc64f3db54880831d2f")</f>
        <v>0</v>
      </c>
      <c r="C27868">
        <f>HYPERLINK("https://android.googlesource.com/platform/cts/+/17415fa2106275cddf97b9f0ce6361cca1088a88", "17415fa2106275cddf97b9f0ce6361cca1088a88")</f>
        <v>0</v>
      </c>
      <c r="D27868" t="s">
        <v>5125</v>
      </c>
      <c r="E27868" t="s">
        <v>7420</v>
      </c>
      <c r="F27868" t="s">
        <v>13340</v>
      </c>
      <c r="G27868" t="s">
        <v>16431</v>
      </c>
      <c r="H27868" t="s">
        <v>21245</v>
      </c>
    </row>
    <row r="27869" spans="1:8">
      <c r="H27869" t="s">
        <v>21246</v>
      </c>
    </row>
    <row r="27870" spans="1:8">
      <c r="F27870" t="s">
        <v>10722</v>
      </c>
      <c r="G27870" t="s">
        <v>15121</v>
      </c>
      <c r="H27870" t="s">
        <v>19981</v>
      </c>
    </row>
    <row r="27871" spans="1:8">
      <c r="H27871" t="s">
        <v>18836</v>
      </c>
    </row>
    <row r="27872" spans="1:8">
      <c r="H27872" t="s">
        <v>29268</v>
      </c>
    </row>
    <row r="27873" spans="8:8">
      <c r="H27873" t="s">
        <v>29269</v>
      </c>
    </row>
    <row r="27874" spans="8:8">
      <c r="H27874" t="s">
        <v>29270</v>
      </c>
    </row>
    <row r="27875" spans="8:8">
      <c r="H27875" t="s">
        <v>29271</v>
      </c>
    </row>
    <row r="27876" spans="8:8">
      <c r="H27876" t="s">
        <v>29272</v>
      </c>
    </row>
    <row r="27877" spans="8:8">
      <c r="H27877" t="s">
        <v>29273</v>
      </c>
    </row>
    <row r="27878" spans="8:8">
      <c r="H27878" t="s">
        <v>29274</v>
      </c>
    </row>
    <row r="27879" spans="8:8">
      <c r="H27879" t="s">
        <v>29275</v>
      </c>
    </row>
    <row r="27880" spans="8:8">
      <c r="H27880" t="s">
        <v>29276</v>
      </c>
    </row>
    <row r="27881" spans="8:8">
      <c r="H27881" t="s">
        <v>29277</v>
      </c>
    </row>
    <row r="27882" spans="8:8">
      <c r="H27882" t="s">
        <v>29278</v>
      </c>
    </row>
    <row r="27883" spans="8:8">
      <c r="H27883" t="s">
        <v>29279</v>
      </c>
    </row>
    <row r="27884" spans="8:8">
      <c r="H27884" t="s">
        <v>29280</v>
      </c>
    </row>
    <row r="27885" spans="8:8">
      <c r="H27885" t="s">
        <v>29281</v>
      </c>
    </row>
    <row r="27886" spans="8:8">
      <c r="H27886" t="s">
        <v>29282</v>
      </c>
    </row>
    <row r="27887" spans="8:8">
      <c r="H27887" t="s">
        <v>29283</v>
      </c>
    </row>
    <row r="27888" spans="8:8">
      <c r="H27888" t="s">
        <v>29284</v>
      </c>
    </row>
    <row r="27889" spans="8:8">
      <c r="H27889" t="s">
        <v>29285</v>
      </c>
    </row>
    <row r="27890" spans="8:8">
      <c r="H27890" t="s">
        <v>29286</v>
      </c>
    </row>
    <row r="27891" spans="8:8">
      <c r="H27891" t="s">
        <v>29287</v>
      </c>
    </row>
    <row r="27892" spans="8:8">
      <c r="H27892" t="s">
        <v>29288</v>
      </c>
    </row>
    <row r="27893" spans="8:8">
      <c r="H27893" t="s">
        <v>29289</v>
      </c>
    </row>
    <row r="27894" spans="8:8">
      <c r="H27894" t="s">
        <v>29290</v>
      </c>
    </row>
    <row r="27895" spans="8:8">
      <c r="H27895" t="s">
        <v>29291</v>
      </c>
    </row>
    <row r="27896" spans="8:8">
      <c r="H27896" t="s">
        <v>29292</v>
      </c>
    </row>
    <row r="27897" spans="8:8">
      <c r="H27897" t="s">
        <v>29293</v>
      </c>
    </row>
    <row r="27898" spans="8:8">
      <c r="H27898" t="s">
        <v>29294</v>
      </c>
    </row>
    <row r="27899" spans="8:8">
      <c r="H27899" t="s">
        <v>29295</v>
      </c>
    </row>
    <row r="27900" spans="8:8">
      <c r="H27900" t="s">
        <v>29296</v>
      </c>
    </row>
    <row r="27901" spans="8:8">
      <c r="H27901" t="s">
        <v>29297</v>
      </c>
    </row>
    <row r="27902" spans="8:8">
      <c r="H27902" t="s">
        <v>29298</v>
      </c>
    </row>
    <row r="27903" spans="8:8">
      <c r="H27903" t="s">
        <v>29299</v>
      </c>
    </row>
    <row r="27904" spans="8:8">
      <c r="H27904" t="s">
        <v>29300</v>
      </c>
    </row>
    <row r="27905" spans="6:8">
      <c r="H27905" t="s">
        <v>29301</v>
      </c>
    </row>
    <row r="27906" spans="6:8">
      <c r="H27906" t="s">
        <v>29302</v>
      </c>
    </row>
    <row r="27907" spans="6:8">
      <c r="H27907" t="s">
        <v>19220</v>
      </c>
    </row>
    <row r="27908" spans="6:8">
      <c r="H27908" t="s">
        <v>19258</v>
      </c>
    </row>
    <row r="27909" spans="6:8">
      <c r="H27909" t="s">
        <v>18979</v>
      </c>
    </row>
    <row r="27910" spans="6:8">
      <c r="H27910" t="s">
        <v>29303</v>
      </c>
    </row>
    <row r="27911" spans="6:8">
      <c r="H27911" t="s">
        <v>27187</v>
      </c>
    </row>
    <row r="27912" spans="6:8">
      <c r="H27912" t="s">
        <v>27188</v>
      </c>
    </row>
    <row r="27913" spans="6:8">
      <c r="H27913" t="s">
        <v>27188</v>
      </c>
    </row>
    <row r="27914" spans="6:8">
      <c r="H27914" t="s">
        <v>27188</v>
      </c>
    </row>
    <row r="27915" spans="6:8">
      <c r="H27915" t="s">
        <v>29304</v>
      </c>
    </row>
    <row r="27916" spans="6:8">
      <c r="H27916" t="s">
        <v>29304</v>
      </c>
    </row>
    <row r="27917" spans="6:8">
      <c r="H27917" t="s">
        <v>29305</v>
      </c>
    </row>
    <row r="27918" spans="6:8">
      <c r="F27918" t="s">
        <v>13090</v>
      </c>
      <c r="G27918" t="s">
        <v>17252</v>
      </c>
      <c r="H27918" t="s">
        <v>29306</v>
      </c>
    </row>
    <row r="27919" spans="6:8">
      <c r="F27919" t="s">
        <v>11471</v>
      </c>
      <c r="G27919" t="s">
        <v>15711</v>
      </c>
      <c r="H27919" t="s">
        <v>29307</v>
      </c>
    </row>
    <row r="27920" spans="6:8">
      <c r="H27920" t="s">
        <v>29308</v>
      </c>
    </row>
    <row r="27921" spans="8:8">
      <c r="H27921" t="s">
        <v>29309</v>
      </c>
    </row>
    <row r="27922" spans="8:8">
      <c r="H27922" t="s">
        <v>29310</v>
      </c>
    </row>
    <row r="27923" spans="8:8">
      <c r="H27923" t="s">
        <v>29310</v>
      </c>
    </row>
    <row r="27924" spans="8:8">
      <c r="H27924" t="s">
        <v>29311</v>
      </c>
    </row>
    <row r="27925" spans="8:8">
      <c r="H27925" t="s">
        <v>29312</v>
      </c>
    </row>
    <row r="27926" spans="8:8">
      <c r="H27926" t="s">
        <v>29312</v>
      </c>
    </row>
    <row r="27927" spans="8:8">
      <c r="H27927" t="s">
        <v>29313</v>
      </c>
    </row>
    <row r="27928" spans="8:8">
      <c r="H27928" t="s">
        <v>29314</v>
      </c>
    </row>
    <row r="27929" spans="8:8">
      <c r="H27929" t="s">
        <v>29315</v>
      </c>
    </row>
    <row r="27930" spans="8:8">
      <c r="H27930" t="s">
        <v>29316</v>
      </c>
    </row>
    <row r="27931" spans="8:8">
      <c r="H27931" t="s">
        <v>29317</v>
      </c>
    </row>
    <row r="27932" spans="8:8">
      <c r="H27932" t="s">
        <v>29318</v>
      </c>
    </row>
    <row r="27933" spans="8:8">
      <c r="H27933" t="s">
        <v>29319</v>
      </c>
    </row>
    <row r="27934" spans="8:8">
      <c r="H27934" t="s">
        <v>29320</v>
      </c>
    </row>
    <row r="27935" spans="8:8">
      <c r="H27935" t="s">
        <v>29321</v>
      </c>
    </row>
    <row r="27936" spans="8:8">
      <c r="H27936" t="s">
        <v>29322</v>
      </c>
    </row>
    <row r="27937" spans="6:8">
      <c r="H27937" t="s">
        <v>29323</v>
      </c>
    </row>
    <row r="27938" spans="6:8">
      <c r="H27938" t="s">
        <v>29324</v>
      </c>
    </row>
    <row r="27939" spans="6:8">
      <c r="H27939" t="s">
        <v>29325</v>
      </c>
    </row>
    <row r="27940" spans="6:8">
      <c r="H27940" t="s">
        <v>29326</v>
      </c>
    </row>
    <row r="27941" spans="6:8">
      <c r="H27941" t="s">
        <v>29327</v>
      </c>
    </row>
    <row r="27942" spans="6:8">
      <c r="H27942" t="s">
        <v>29328</v>
      </c>
    </row>
    <row r="27943" spans="6:8">
      <c r="F27943" t="s">
        <v>13091</v>
      </c>
      <c r="G27943" t="s">
        <v>17253</v>
      </c>
      <c r="H27943" t="s">
        <v>29329</v>
      </c>
    </row>
    <row r="27944" spans="6:8">
      <c r="H27944" t="s">
        <v>29330</v>
      </c>
    </row>
    <row r="27945" spans="6:8">
      <c r="F27945" t="s">
        <v>10746</v>
      </c>
      <c r="G27945" t="s">
        <v>15145</v>
      </c>
      <c r="H27945" t="s">
        <v>29331</v>
      </c>
    </row>
    <row r="27946" spans="6:8">
      <c r="F27946" t="s">
        <v>13081</v>
      </c>
      <c r="G27946" t="s">
        <v>17243</v>
      </c>
      <c r="H27946" t="s">
        <v>29332</v>
      </c>
    </row>
    <row r="27947" spans="6:8">
      <c r="H27947" t="s">
        <v>29333</v>
      </c>
    </row>
    <row r="27948" spans="6:8">
      <c r="H27948" t="s">
        <v>29334</v>
      </c>
    </row>
    <row r="27949" spans="6:8">
      <c r="H27949" t="s">
        <v>29335</v>
      </c>
    </row>
    <row r="27950" spans="6:8">
      <c r="H27950" t="s">
        <v>27720</v>
      </c>
    </row>
    <row r="27951" spans="6:8">
      <c r="H27951" t="s">
        <v>29336</v>
      </c>
    </row>
    <row r="27952" spans="6:8">
      <c r="H27952" t="s">
        <v>29337</v>
      </c>
    </row>
    <row r="27953" spans="1:8">
      <c r="H27953" t="s">
        <v>29338</v>
      </c>
    </row>
    <row r="27954" spans="1:8">
      <c r="H27954" t="s">
        <v>29339</v>
      </c>
    </row>
    <row r="27955" spans="1:8">
      <c r="F27955" t="s">
        <v>13338</v>
      </c>
      <c r="G27955" t="s">
        <v>17468</v>
      </c>
      <c r="H27955" t="s">
        <v>29340</v>
      </c>
    </row>
    <row r="27956" spans="1:8">
      <c r="H27956" t="s">
        <v>29341</v>
      </c>
    </row>
    <row r="27957" spans="1:8">
      <c r="F27957" t="s">
        <v>12857</v>
      </c>
      <c r="G27957" t="s">
        <v>17027</v>
      </c>
      <c r="H27957" t="s">
        <v>29342</v>
      </c>
    </row>
    <row r="27958" spans="1:8">
      <c r="H27958" t="s">
        <v>29343</v>
      </c>
    </row>
    <row r="27959" spans="1:8">
      <c r="H27959" t="s">
        <v>29344</v>
      </c>
    </row>
    <row r="27960" spans="1:8">
      <c r="H27960" t="s">
        <v>29345</v>
      </c>
    </row>
    <row r="27961" spans="1:8">
      <c r="A27961" t="s">
        <v>1661</v>
      </c>
      <c r="B27961">
        <f>HYPERLINK("https://android.googlesource.com/platform/cts/+/39a3a6f8fe03d18a497d358859fe031be1971381", "39a3a6f8fe03d18a497d358859fe031be1971381")</f>
        <v>0</v>
      </c>
      <c r="C27961">
        <f>HYPERLINK("https://android.googlesource.com/platform/cts/+/66f165a05785e7e010e0e62db0e7d103ba255ff2", "66f165a05785e7e010e0e62db0e7d103ba255ff2")</f>
        <v>0</v>
      </c>
      <c r="D27961" t="s">
        <v>4952</v>
      </c>
      <c r="E27961" t="s">
        <v>7421</v>
      </c>
      <c r="F27961" t="s">
        <v>12222</v>
      </c>
      <c r="G27961" t="s">
        <v>16452</v>
      </c>
      <c r="H27961" t="s">
        <v>29172</v>
      </c>
    </row>
    <row r="27962" spans="1:8">
      <c r="A27962" t="s">
        <v>1662</v>
      </c>
      <c r="B27962">
        <f>HYPERLINK("https://android.googlesource.com/platform/cts/+/c4e0e9530d2146f25899deddb46d9ff32a69b71d", "c4e0e9530d2146f25899deddb46d9ff32a69b71d")</f>
        <v>0</v>
      </c>
      <c r="C27962">
        <f>HYPERLINK("https://android.googlesource.com/platform/cts/+/2dd3a197cb84c95ea31b3e58132fcd8c10db3726", "2dd3a197cb84c95ea31b3e58132fcd8c10db3726")</f>
        <v>0</v>
      </c>
      <c r="D27962" t="s">
        <v>5134</v>
      </c>
      <c r="E27962" t="s">
        <v>7422</v>
      </c>
      <c r="F27962" t="s">
        <v>13341</v>
      </c>
      <c r="G27962" t="s">
        <v>17470</v>
      </c>
      <c r="H27962" t="s">
        <v>20440</v>
      </c>
    </row>
    <row r="27963" spans="1:8">
      <c r="H27963" t="s">
        <v>20441</v>
      </c>
    </row>
    <row r="27964" spans="1:8">
      <c r="A27964" t="s">
        <v>1663</v>
      </c>
      <c r="B27964">
        <f>HYPERLINK("https://android.googlesource.com/platform/cts/+/94cf78b794bab790856b75dc4e285a73794182a6", "94cf78b794bab790856b75dc4e285a73794182a6")</f>
        <v>0</v>
      </c>
      <c r="C27964">
        <f>HYPERLINK("https://android.googlesource.com/platform/cts/+/42bc75bd71d6aa4572bfde94ca1e00bfaae86bd7", "42bc75bd71d6aa4572bfde94ca1e00bfaae86bd7")</f>
        <v>0</v>
      </c>
      <c r="D27964" t="s">
        <v>5176</v>
      </c>
      <c r="E27964" t="s">
        <v>7423</v>
      </c>
      <c r="F27964" t="s">
        <v>12953</v>
      </c>
      <c r="G27964" t="s">
        <v>17118</v>
      </c>
      <c r="H27964" t="s">
        <v>29346</v>
      </c>
    </row>
    <row r="27965" spans="1:8">
      <c r="H27965" t="s">
        <v>29347</v>
      </c>
    </row>
    <row r="27966" spans="1:8">
      <c r="A27966" t="s">
        <v>1664</v>
      </c>
      <c r="B27966">
        <f>HYPERLINK("https://android.googlesource.com/platform/cts/+/feea9012c87cdb04e563c0cd28daea315617e6db", "feea9012c87cdb04e563c0cd28daea315617e6db")</f>
        <v>0</v>
      </c>
      <c r="C27966">
        <f>HYPERLINK("https://android.googlesource.com/platform/cts/+/2fdac95fe1f450f11774c97f23f626b5a12a646a", "2fdac95fe1f450f11774c97f23f626b5a12a646a")</f>
        <v>0</v>
      </c>
      <c r="D27966" t="s">
        <v>5244</v>
      </c>
      <c r="E27966" t="s">
        <v>7424</v>
      </c>
      <c r="F27966" t="s">
        <v>13227</v>
      </c>
      <c r="G27966" t="s">
        <v>17368</v>
      </c>
      <c r="H27966" t="s">
        <v>29348</v>
      </c>
    </row>
    <row r="27967" spans="1:8">
      <c r="H27967" t="s">
        <v>29349</v>
      </c>
    </row>
    <row r="27968" spans="1:8">
      <c r="H27968" t="s">
        <v>29350</v>
      </c>
    </row>
    <row r="27969" spans="1:8">
      <c r="H27969" t="s">
        <v>29351</v>
      </c>
    </row>
    <row r="27970" spans="1:8">
      <c r="A27970" t="s">
        <v>1665</v>
      </c>
      <c r="B27970">
        <f>HYPERLINK("https://android.googlesource.com/platform/cts/+/951b84fbc39dd7dd954e65f8d4a4140acf8521a2", "951b84fbc39dd7dd954e65f8d4a4140acf8521a2")</f>
        <v>0</v>
      </c>
      <c r="C27970">
        <f>HYPERLINK("https://android.googlesource.com/platform/cts/+/9e4685ecbf67c4b62b9d3eacd311413063848d4c", "9e4685ecbf67c4b62b9d3eacd311413063848d4c")</f>
        <v>0</v>
      </c>
      <c r="D27970" t="s">
        <v>5207</v>
      </c>
      <c r="E27970" t="s">
        <v>7425</v>
      </c>
      <c r="F27970" t="s">
        <v>13342</v>
      </c>
      <c r="G27970" t="s">
        <v>17471</v>
      </c>
      <c r="H27970" t="s">
        <v>29352</v>
      </c>
    </row>
    <row r="27971" spans="1:8">
      <c r="H27971" t="s">
        <v>21360</v>
      </c>
    </row>
    <row r="27972" spans="1:8">
      <c r="A27972" t="s">
        <v>1666</v>
      </c>
      <c r="B27972">
        <f>HYPERLINK("https://android.googlesource.com/platform/cts/+/b3d5a1ed057218055c79c220905b97c972891545", "b3d5a1ed057218055c79c220905b97c972891545")</f>
        <v>0</v>
      </c>
      <c r="C27972">
        <f>HYPERLINK("https://android.googlesource.com/platform/cts/+/3573dc71085071a75fc0d18fdaee0393be9bb87a", "3573dc71085071a75fc0d18fdaee0393be9bb87a")</f>
        <v>0</v>
      </c>
      <c r="D27972" t="s">
        <v>5134</v>
      </c>
      <c r="E27972" t="s">
        <v>7426</v>
      </c>
      <c r="F27972" t="s">
        <v>13230</v>
      </c>
      <c r="G27972" t="s">
        <v>17371</v>
      </c>
      <c r="H27972" t="s">
        <v>29353</v>
      </c>
    </row>
    <row r="27973" spans="1:8">
      <c r="A27973" t="s">
        <v>1667</v>
      </c>
      <c r="B27973">
        <f>HYPERLINK("https://android.googlesource.com/platform/cts/+/38aba70dee86f7f24850f283bb5d4ea62923df76", "38aba70dee86f7f24850f283bb5d4ea62923df76")</f>
        <v>0</v>
      </c>
      <c r="C27973">
        <f>HYPERLINK("https://android.googlesource.com/platform/cts/+/6ef7ab7b6621dd6c570ecaa0165d6b7a3f17ba01", "6ef7ab7b6621dd6c570ecaa0165d6b7a3f17ba01")</f>
        <v>0</v>
      </c>
      <c r="D27973" t="s">
        <v>5111</v>
      </c>
      <c r="E27973" t="s">
        <v>7427</v>
      </c>
      <c r="F27973" t="s">
        <v>13343</v>
      </c>
      <c r="G27973" t="s">
        <v>17472</v>
      </c>
      <c r="H27973" t="s">
        <v>29354</v>
      </c>
    </row>
    <row r="27974" spans="1:8">
      <c r="H27974" t="s">
        <v>29355</v>
      </c>
    </row>
    <row r="27975" spans="1:8">
      <c r="H27975" t="s">
        <v>29356</v>
      </c>
    </row>
    <row r="27976" spans="1:8">
      <c r="H27976" t="s">
        <v>29357</v>
      </c>
    </row>
    <row r="27977" spans="1:8">
      <c r="H27977" t="s">
        <v>29358</v>
      </c>
    </row>
    <row r="27978" spans="1:8">
      <c r="H27978" t="s">
        <v>29359</v>
      </c>
    </row>
    <row r="27979" spans="1:8">
      <c r="H27979" t="s">
        <v>29360</v>
      </c>
    </row>
    <row r="27980" spans="1:8">
      <c r="H27980" t="s">
        <v>29361</v>
      </c>
    </row>
    <row r="27981" spans="1:8">
      <c r="H27981" t="s">
        <v>29362</v>
      </c>
    </row>
    <row r="27982" spans="1:8">
      <c r="H27982" t="s">
        <v>29363</v>
      </c>
    </row>
    <row r="27983" spans="1:8">
      <c r="H27983" t="s">
        <v>29364</v>
      </c>
    </row>
    <row r="27984" spans="1:8">
      <c r="H27984" t="s">
        <v>29365</v>
      </c>
    </row>
    <row r="27985" spans="8:8">
      <c r="H27985" t="s">
        <v>29366</v>
      </c>
    </row>
    <row r="27986" spans="8:8">
      <c r="H27986" t="s">
        <v>29367</v>
      </c>
    </row>
    <row r="27987" spans="8:8">
      <c r="H27987" t="s">
        <v>29368</v>
      </c>
    </row>
    <row r="27988" spans="8:8">
      <c r="H27988" t="s">
        <v>29369</v>
      </c>
    </row>
    <row r="27989" spans="8:8">
      <c r="H27989" t="s">
        <v>29370</v>
      </c>
    </row>
    <row r="27990" spans="8:8">
      <c r="H27990" t="s">
        <v>29371</v>
      </c>
    </row>
    <row r="27991" spans="8:8">
      <c r="H27991" t="s">
        <v>29372</v>
      </c>
    </row>
    <row r="27992" spans="8:8">
      <c r="H27992" t="s">
        <v>29373</v>
      </c>
    </row>
    <row r="27993" spans="8:8">
      <c r="H27993" t="s">
        <v>29374</v>
      </c>
    </row>
    <row r="27994" spans="8:8">
      <c r="H27994" t="s">
        <v>29375</v>
      </c>
    </row>
    <row r="27995" spans="8:8">
      <c r="H27995" t="s">
        <v>29376</v>
      </c>
    </row>
    <row r="27996" spans="8:8">
      <c r="H27996" t="s">
        <v>29377</v>
      </c>
    </row>
    <row r="27997" spans="8:8">
      <c r="H27997" t="s">
        <v>29378</v>
      </c>
    </row>
    <row r="27998" spans="8:8">
      <c r="H27998" t="s">
        <v>29379</v>
      </c>
    </row>
    <row r="27999" spans="8:8">
      <c r="H27999" t="s">
        <v>29380</v>
      </c>
    </row>
    <row r="28000" spans="8:8">
      <c r="H28000" t="s">
        <v>29381</v>
      </c>
    </row>
    <row r="28001" spans="8:8">
      <c r="H28001" t="s">
        <v>29382</v>
      </c>
    </row>
    <row r="28002" spans="8:8">
      <c r="H28002" t="s">
        <v>29383</v>
      </c>
    </row>
    <row r="28003" spans="8:8">
      <c r="H28003" t="s">
        <v>29384</v>
      </c>
    </row>
    <row r="28004" spans="8:8">
      <c r="H28004" t="s">
        <v>29385</v>
      </c>
    </row>
    <row r="28005" spans="8:8">
      <c r="H28005" t="s">
        <v>29386</v>
      </c>
    </row>
    <row r="28006" spans="8:8">
      <c r="H28006" t="s">
        <v>29387</v>
      </c>
    </row>
    <row r="28007" spans="8:8">
      <c r="H28007" t="s">
        <v>29388</v>
      </c>
    </row>
    <row r="28008" spans="8:8">
      <c r="H28008" t="s">
        <v>29389</v>
      </c>
    </row>
    <row r="28009" spans="8:8">
      <c r="H28009" t="s">
        <v>29390</v>
      </c>
    </row>
    <row r="28010" spans="8:8">
      <c r="H28010" t="s">
        <v>29391</v>
      </c>
    </row>
    <row r="28011" spans="8:8">
      <c r="H28011" t="s">
        <v>29392</v>
      </c>
    </row>
    <row r="28012" spans="8:8">
      <c r="H28012" t="s">
        <v>29393</v>
      </c>
    </row>
    <row r="28013" spans="8:8">
      <c r="H28013" t="s">
        <v>29394</v>
      </c>
    </row>
    <row r="28014" spans="8:8">
      <c r="H28014" t="s">
        <v>29395</v>
      </c>
    </row>
    <row r="28015" spans="8:8">
      <c r="H28015" t="s">
        <v>29396</v>
      </c>
    </row>
    <row r="28016" spans="8:8">
      <c r="H28016" t="s">
        <v>29397</v>
      </c>
    </row>
    <row r="28017" spans="8:8">
      <c r="H28017" t="s">
        <v>29398</v>
      </c>
    </row>
    <row r="28018" spans="8:8">
      <c r="H28018" t="s">
        <v>29399</v>
      </c>
    </row>
    <row r="28019" spans="8:8">
      <c r="H28019" t="s">
        <v>29400</v>
      </c>
    </row>
    <row r="28020" spans="8:8">
      <c r="H28020" t="s">
        <v>29401</v>
      </c>
    </row>
    <row r="28021" spans="8:8">
      <c r="H28021" t="s">
        <v>29402</v>
      </c>
    </row>
    <row r="28022" spans="8:8">
      <c r="H28022" t="s">
        <v>29403</v>
      </c>
    </row>
    <row r="28023" spans="8:8">
      <c r="H28023" t="s">
        <v>29404</v>
      </c>
    </row>
    <row r="28024" spans="8:8">
      <c r="H28024" t="s">
        <v>29405</v>
      </c>
    </row>
    <row r="28025" spans="8:8">
      <c r="H28025" t="s">
        <v>29406</v>
      </c>
    </row>
    <row r="28026" spans="8:8">
      <c r="H28026" t="s">
        <v>29407</v>
      </c>
    </row>
    <row r="28027" spans="8:8">
      <c r="H28027" t="s">
        <v>29408</v>
      </c>
    </row>
    <row r="28028" spans="8:8">
      <c r="H28028" t="s">
        <v>29409</v>
      </c>
    </row>
    <row r="28029" spans="8:8">
      <c r="H28029" t="s">
        <v>29410</v>
      </c>
    </row>
    <row r="28030" spans="8:8">
      <c r="H28030" t="s">
        <v>29411</v>
      </c>
    </row>
    <row r="28031" spans="8:8">
      <c r="H28031" t="s">
        <v>29412</v>
      </c>
    </row>
    <row r="28032" spans="8:8">
      <c r="H28032" t="s">
        <v>29413</v>
      </c>
    </row>
    <row r="28033" spans="1:8">
      <c r="H28033" t="s">
        <v>29414</v>
      </c>
    </row>
    <row r="28034" spans="1:8">
      <c r="A28034" t="s">
        <v>1668</v>
      </c>
      <c r="B28034">
        <f>HYPERLINK("https://android.googlesource.com/platform/cts/+/2cb7d26192a1940b8095608784611c57e0908fd7", "2cb7d26192a1940b8095608784611c57e0908fd7")</f>
        <v>0</v>
      </c>
      <c r="C28034">
        <f>HYPERLINK("https://android.googlesource.com/platform/cts/+/8f9d151902104aa8cc461bfcb639a6e2d647fe89", "8f9d151902104aa8cc461bfcb639a6e2d647fe89")</f>
        <v>0</v>
      </c>
      <c r="D28034" t="s">
        <v>5153</v>
      </c>
      <c r="E28034" t="s">
        <v>7428</v>
      </c>
      <c r="F28034" t="s">
        <v>13190</v>
      </c>
      <c r="G28034" t="s">
        <v>17334</v>
      </c>
      <c r="H28034" t="s">
        <v>28974</v>
      </c>
    </row>
    <row r="28035" spans="1:8">
      <c r="H28035" t="s">
        <v>29415</v>
      </c>
    </row>
    <row r="28036" spans="1:8">
      <c r="A28036" t="s">
        <v>1669</v>
      </c>
      <c r="B28036">
        <f>HYPERLINK("https://android.googlesource.com/platform/cts/+/b6039402b05226f58c44d6da1f36bbded7894189", "b6039402b05226f58c44d6da1f36bbded7894189")</f>
        <v>0</v>
      </c>
      <c r="C28036">
        <f>HYPERLINK("https://android.googlesource.com/platform/cts/+/7557094371211d5ebb69cb368a66083aebd4fc96", "7557094371211d5ebb69cb368a66083aebd4fc96")</f>
        <v>0</v>
      </c>
      <c r="D28036" t="s">
        <v>5254</v>
      </c>
      <c r="E28036" t="s">
        <v>7429</v>
      </c>
      <c r="F28036" t="s">
        <v>13344</v>
      </c>
      <c r="G28036" t="s">
        <v>17473</v>
      </c>
      <c r="H28036" t="s">
        <v>18829</v>
      </c>
    </row>
    <row r="28037" spans="1:8">
      <c r="H28037" t="s">
        <v>18863</v>
      </c>
    </row>
    <row r="28038" spans="1:8">
      <c r="H28038" t="s">
        <v>29416</v>
      </c>
    </row>
    <row r="28039" spans="1:8">
      <c r="H28039" t="s">
        <v>29205</v>
      </c>
    </row>
    <row r="28040" spans="1:8">
      <c r="H28040" t="s">
        <v>26556</v>
      </c>
    </row>
    <row r="28041" spans="1:8">
      <c r="H28041" t="s">
        <v>26555</v>
      </c>
    </row>
    <row r="28042" spans="1:8">
      <c r="H28042" t="s">
        <v>29417</v>
      </c>
    </row>
    <row r="28043" spans="1:8">
      <c r="H28043" t="s">
        <v>26557</v>
      </c>
    </row>
    <row r="28044" spans="1:8">
      <c r="H28044" t="s">
        <v>29214</v>
      </c>
    </row>
    <row r="28045" spans="1:8">
      <c r="H28045" t="s">
        <v>29215</v>
      </c>
    </row>
    <row r="28046" spans="1:8">
      <c r="A28046" t="s">
        <v>1670</v>
      </c>
      <c r="B28046">
        <f>HYPERLINK("https://android.googlesource.com/platform/cts/+/bc84819f887650934946fe1e85c4b8dccf6c629a", "bc84819f887650934946fe1e85c4b8dccf6c629a")</f>
        <v>0</v>
      </c>
      <c r="C28046">
        <f>HYPERLINK("https://android.googlesource.com/platform/cts/+/da2995931b65709be899d4c909b4da7999b5d3b4", "da2995931b65709be899d4c909b4da7999b5d3b4")</f>
        <v>0</v>
      </c>
      <c r="D28046" t="s">
        <v>5254</v>
      </c>
      <c r="E28046" t="s">
        <v>7430</v>
      </c>
      <c r="F28046" t="s">
        <v>13345</v>
      </c>
      <c r="G28046" t="s">
        <v>17473</v>
      </c>
      <c r="H28046" t="s">
        <v>18829</v>
      </c>
    </row>
    <row r="28047" spans="1:8">
      <c r="H28047" t="s">
        <v>18863</v>
      </c>
    </row>
    <row r="28048" spans="1:8">
      <c r="H28048" t="s">
        <v>29205</v>
      </c>
    </row>
    <row r="28049" spans="1:8">
      <c r="H28049" t="s">
        <v>26556</v>
      </c>
    </row>
    <row r="28050" spans="1:8">
      <c r="H28050" t="s">
        <v>26555</v>
      </c>
    </row>
    <row r="28051" spans="1:8">
      <c r="H28051" t="s">
        <v>29417</v>
      </c>
    </row>
    <row r="28052" spans="1:8">
      <c r="H28052" t="s">
        <v>26557</v>
      </c>
    </row>
    <row r="28053" spans="1:8">
      <c r="H28053" t="s">
        <v>29214</v>
      </c>
    </row>
    <row r="28054" spans="1:8">
      <c r="H28054" t="s">
        <v>29215</v>
      </c>
    </row>
    <row r="28055" spans="1:8">
      <c r="A28055" t="s">
        <v>1671</v>
      </c>
      <c r="B28055">
        <f>HYPERLINK("https://android.googlesource.com/platform/cts/+/a9f26e6d59795b6e8a9262a5ac07a0ef17ef06bc", "a9f26e6d59795b6e8a9262a5ac07a0ef17ef06bc")</f>
        <v>0</v>
      </c>
      <c r="C28055">
        <f>HYPERLINK("https://android.googlesource.com/platform/cts/+/4d89d6346ddef369920c331c2727e6464a6df9f6", "4d89d6346ddef369920c331c2727e6464a6df9f6")</f>
        <v>0</v>
      </c>
      <c r="D28055" t="s">
        <v>5134</v>
      </c>
      <c r="E28055" t="s">
        <v>7431</v>
      </c>
      <c r="F28055" t="s">
        <v>13321</v>
      </c>
      <c r="G28055" t="s">
        <v>17452</v>
      </c>
      <c r="H28055" t="s">
        <v>29418</v>
      </c>
    </row>
    <row r="28056" spans="1:8">
      <c r="A28056" t="s">
        <v>1672</v>
      </c>
      <c r="B28056">
        <f>HYPERLINK("https://android.googlesource.com/platform/cts/+/86a7f700463a4a514a8f56e6337c039166cacb6c", "86a7f700463a4a514a8f56e6337c039166cacb6c")</f>
        <v>0</v>
      </c>
      <c r="C28056">
        <f>HYPERLINK("https://android.googlesource.com/platform/cts/+/130fddcabe6ce956db5244c34ac8ffc76fc5adb0", "130fddcabe6ce956db5244c34ac8ffc76fc5adb0")</f>
        <v>0</v>
      </c>
      <c r="D28056" t="s">
        <v>5118</v>
      </c>
      <c r="E28056" t="s">
        <v>7432</v>
      </c>
      <c r="F28056" t="s">
        <v>13346</v>
      </c>
      <c r="G28056" t="s">
        <v>17474</v>
      </c>
      <c r="H28056" t="s">
        <v>29419</v>
      </c>
    </row>
    <row r="28057" spans="1:8">
      <c r="A28057" t="s">
        <v>1673</v>
      </c>
      <c r="B28057">
        <f>HYPERLINK("https://android.googlesource.com/platform/cts/+/bc54e8d160db726199c746d8270ba5d73c03f127", "bc54e8d160db726199c746d8270ba5d73c03f127")</f>
        <v>0</v>
      </c>
      <c r="C28057">
        <f>HYPERLINK("https://android.googlesource.com/platform/cts/+/b89de9e8a0cf689d3dce0a76e50e3a4f1a261da3", "b89de9e8a0cf689d3dce0a76e50e3a4f1a261da3")</f>
        <v>0</v>
      </c>
      <c r="D28057" t="s">
        <v>5248</v>
      </c>
      <c r="E28057" t="s">
        <v>7433</v>
      </c>
      <c r="F28057" t="s">
        <v>13347</v>
      </c>
      <c r="G28057" t="s">
        <v>17458</v>
      </c>
      <c r="H28057" t="s">
        <v>29420</v>
      </c>
    </row>
    <row r="28058" spans="1:8">
      <c r="H28058" t="s">
        <v>29421</v>
      </c>
    </row>
    <row r="28059" spans="1:8">
      <c r="H28059" t="s">
        <v>29422</v>
      </c>
    </row>
    <row r="28060" spans="1:8">
      <c r="H28060" t="s">
        <v>29423</v>
      </c>
    </row>
    <row r="28061" spans="1:8">
      <c r="H28061" t="s">
        <v>29424</v>
      </c>
    </row>
    <row r="28062" spans="1:8">
      <c r="H28062" t="s">
        <v>29425</v>
      </c>
    </row>
    <row r="28063" spans="1:8">
      <c r="H28063" t="s">
        <v>29417</v>
      </c>
    </row>
    <row r="28064" spans="1:8">
      <c r="H28064" t="s">
        <v>29426</v>
      </c>
    </row>
    <row r="28065" spans="1:8">
      <c r="A28065" t="s">
        <v>1674</v>
      </c>
      <c r="B28065">
        <f>HYPERLINK("https://android.googlesource.com/platform/cts/+/bc001dab575c60fb233b47abbe659d91c77a9b21", "bc001dab575c60fb233b47abbe659d91c77a9b21")</f>
        <v>0</v>
      </c>
      <c r="C28065">
        <f>HYPERLINK("https://android.googlesource.com/platform/cts/+/1e46ee7a0553ed969cd4ab6e2e980ac5665b0ada", "1e46ee7a0553ed969cd4ab6e2e980ac5665b0ada")</f>
        <v>0</v>
      </c>
      <c r="D28065" t="s">
        <v>4981</v>
      </c>
      <c r="E28065" t="s">
        <v>7434</v>
      </c>
      <c r="F28065" t="s">
        <v>13348</v>
      </c>
      <c r="G28065" t="s">
        <v>17475</v>
      </c>
      <c r="H28065" t="s">
        <v>29427</v>
      </c>
    </row>
    <row r="28066" spans="1:8">
      <c r="A28066" t="s">
        <v>1675</v>
      </c>
      <c r="B28066">
        <f>HYPERLINK("https://android.googlesource.com/platform/cts/+/441c826c88c19a247549229c8bb8def531473292", "441c826c88c19a247549229c8bb8def531473292")</f>
        <v>0</v>
      </c>
      <c r="C28066">
        <f>HYPERLINK("https://android.googlesource.com/platform/cts/+/c637798b30c072ea7cac0591cd83cb167b4ddbfb", "c637798b30c072ea7cac0591cd83cb167b4ddbfb")</f>
        <v>0</v>
      </c>
      <c r="D28066" t="s">
        <v>5248</v>
      </c>
      <c r="E28066" t="s">
        <v>7435</v>
      </c>
      <c r="F28066" t="s">
        <v>13349</v>
      </c>
      <c r="G28066" t="s">
        <v>17476</v>
      </c>
      <c r="H28066" t="s">
        <v>29205</v>
      </c>
    </row>
    <row r="28067" spans="1:8">
      <c r="H28067" t="s">
        <v>26556</v>
      </c>
    </row>
    <row r="28068" spans="1:8">
      <c r="H28068" t="s">
        <v>26555</v>
      </c>
    </row>
    <row r="28069" spans="1:8">
      <c r="A28069" t="s">
        <v>1676</v>
      </c>
      <c r="B28069">
        <f>HYPERLINK("https://android.googlesource.com/platform/cts/+/dbf28bf616e859b17e59c43ab96f565413d8c78d", "dbf28bf616e859b17e59c43ab96f565413d8c78d")</f>
        <v>0</v>
      </c>
      <c r="C28069">
        <f>HYPERLINK("https://android.googlesource.com/platform/cts/+/70c775a000fb83d29495306b5c7ceb902dd50938", "70c775a000fb83d29495306b5c7ceb902dd50938")</f>
        <v>0</v>
      </c>
      <c r="D28069" t="s">
        <v>5174</v>
      </c>
      <c r="E28069" t="s">
        <v>7436</v>
      </c>
      <c r="F28069" t="s">
        <v>13350</v>
      </c>
      <c r="G28069" t="s">
        <v>17477</v>
      </c>
      <c r="H28069" t="s">
        <v>29428</v>
      </c>
    </row>
    <row r="28070" spans="1:8">
      <c r="A28070" t="s">
        <v>1677</v>
      </c>
      <c r="B28070">
        <f>HYPERLINK("https://android.googlesource.com/platform/cts/+/8b71b0ca70f4c17048c7fcebd13588ffd8dcee99", "8b71b0ca70f4c17048c7fcebd13588ffd8dcee99")</f>
        <v>0</v>
      </c>
      <c r="C28070">
        <f>HYPERLINK("https://android.googlesource.com/platform/cts/+/70c775a000fb83d29495306b5c7ceb902dd50938", "70c775a000fb83d29495306b5c7ceb902dd50938")</f>
        <v>0</v>
      </c>
      <c r="D28070" t="s">
        <v>5248</v>
      </c>
      <c r="E28070" t="s">
        <v>7435</v>
      </c>
      <c r="F28070" t="s">
        <v>13349</v>
      </c>
      <c r="G28070" t="s">
        <v>17476</v>
      </c>
      <c r="H28070" t="s">
        <v>29205</v>
      </c>
    </row>
    <row r="28071" spans="1:8">
      <c r="H28071" t="s">
        <v>26556</v>
      </c>
    </row>
    <row r="28072" spans="1:8">
      <c r="H28072" t="s">
        <v>26555</v>
      </c>
    </row>
    <row r="28073" spans="1:8">
      <c r="A28073" t="s">
        <v>1678</v>
      </c>
      <c r="B28073">
        <f>HYPERLINK("https://android.googlesource.com/platform/cts/+/64816ab1dec643ed308ef7351dccaafb08f93f4b", "64816ab1dec643ed308ef7351dccaafb08f93f4b")</f>
        <v>0</v>
      </c>
      <c r="C28073">
        <f>HYPERLINK("https://android.googlesource.com/platform/cts/+/0065752727368d988bf25497578812268e98bb83", "0065752727368d988bf25497578812268e98bb83")</f>
        <v>0</v>
      </c>
      <c r="D28073" t="s">
        <v>5248</v>
      </c>
      <c r="E28073" t="s">
        <v>7433</v>
      </c>
      <c r="F28073" t="s">
        <v>13347</v>
      </c>
      <c r="G28073" t="s">
        <v>17458</v>
      </c>
      <c r="H28073" t="s">
        <v>29420</v>
      </c>
    </row>
    <row r="28074" spans="1:8">
      <c r="H28074" t="s">
        <v>29421</v>
      </c>
    </row>
    <row r="28075" spans="1:8">
      <c r="H28075" t="s">
        <v>29422</v>
      </c>
    </row>
    <row r="28076" spans="1:8">
      <c r="H28076" t="s">
        <v>29423</v>
      </c>
    </row>
    <row r="28077" spans="1:8">
      <c r="H28077" t="s">
        <v>29424</v>
      </c>
    </row>
    <row r="28078" spans="1:8">
      <c r="H28078" t="s">
        <v>29426</v>
      </c>
    </row>
    <row r="28079" spans="1:8">
      <c r="A28079" t="s">
        <v>1679</v>
      </c>
      <c r="B28079">
        <f>HYPERLINK("https://android.googlesource.com/platform/cts/+/2137167c41efd77591287bd4363f27abda9c2c1a", "2137167c41efd77591287bd4363f27abda9c2c1a")</f>
        <v>0</v>
      </c>
      <c r="C28079">
        <f>HYPERLINK("https://android.googlesource.com/platform/cts/+/2de933ad74f6775add88fdb84da88152f8f3d0cf", "2de933ad74f6775add88fdb84da88152f8f3d0cf")</f>
        <v>0</v>
      </c>
      <c r="D28079" t="s">
        <v>5248</v>
      </c>
      <c r="E28079" t="s">
        <v>7433</v>
      </c>
      <c r="F28079" t="s">
        <v>13347</v>
      </c>
      <c r="G28079" t="s">
        <v>17458</v>
      </c>
      <c r="H28079" t="s">
        <v>29420</v>
      </c>
    </row>
    <row r="28080" spans="1:8">
      <c r="H28080" t="s">
        <v>29421</v>
      </c>
    </row>
    <row r="28081" spans="1:8">
      <c r="H28081" t="s">
        <v>29422</v>
      </c>
    </row>
    <row r="28082" spans="1:8">
      <c r="H28082" t="s">
        <v>29423</v>
      </c>
    </row>
    <row r="28083" spans="1:8">
      <c r="H28083" t="s">
        <v>29424</v>
      </c>
    </row>
    <row r="28084" spans="1:8">
      <c r="H28084" t="s">
        <v>29425</v>
      </c>
    </row>
    <row r="28085" spans="1:8">
      <c r="H28085" t="s">
        <v>29417</v>
      </c>
    </row>
    <row r="28086" spans="1:8">
      <c r="H28086" t="s">
        <v>29426</v>
      </c>
    </row>
    <row r="28087" spans="1:8">
      <c r="A28087" t="s">
        <v>1680</v>
      </c>
      <c r="B28087">
        <f>HYPERLINK("https://android.googlesource.com/platform/cts/+/c0f5e63b59c0d26213355dd4ecba1289eccef1cf", "c0f5e63b59c0d26213355dd4ecba1289eccef1cf")</f>
        <v>0</v>
      </c>
      <c r="C28087">
        <f>HYPERLINK("https://android.googlesource.com/platform/cts/+/1183969f6a12aada095e7ff0e44fc26e6a50b00b", "1183969f6a12aada095e7ff0e44fc26e6a50b00b")</f>
        <v>0</v>
      </c>
      <c r="D28087" t="s">
        <v>5248</v>
      </c>
      <c r="E28087" t="s">
        <v>7435</v>
      </c>
      <c r="F28087" t="s">
        <v>13349</v>
      </c>
      <c r="G28087" t="s">
        <v>17476</v>
      </c>
      <c r="H28087" t="s">
        <v>29205</v>
      </c>
    </row>
    <row r="28088" spans="1:8">
      <c r="H28088" t="s">
        <v>26556</v>
      </c>
    </row>
    <row r="28089" spans="1:8">
      <c r="H28089" t="s">
        <v>26555</v>
      </c>
    </row>
    <row r="28090" spans="1:8">
      <c r="A28090" t="s">
        <v>1681</v>
      </c>
      <c r="B28090">
        <f>HYPERLINK("https://android.googlesource.com/platform/cts/+/69b095833c53097316386408c55f84e9152bb8df", "69b095833c53097316386408c55f84e9152bb8df")</f>
        <v>0</v>
      </c>
      <c r="C28090">
        <f>HYPERLINK("https://android.googlesource.com/platform/cts/+/ae013ee9dc79836aa16332f114c1e1e64058bcd0", "ae013ee9dc79836aa16332f114c1e1e64058bcd0")</f>
        <v>0</v>
      </c>
      <c r="D28090" t="s">
        <v>5254</v>
      </c>
      <c r="E28090" t="s">
        <v>7437</v>
      </c>
      <c r="F28090" t="s">
        <v>13351</v>
      </c>
      <c r="G28090" t="s">
        <v>17478</v>
      </c>
      <c r="H28090" t="s">
        <v>18863</v>
      </c>
    </row>
    <row r="28091" spans="1:8">
      <c r="H28091" t="s">
        <v>29205</v>
      </c>
    </row>
    <row r="28092" spans="1:8">
      <c r="H28092" t="s">
        <v>26556</v>
      </c>
    </row>
    <row r="28093" spans="1:8">
      <c r="H28093" t="s">
        <v>26555</v>
      </c>
    </row>
    <row r="28094" spans="1:8">
      <c r="A28094" t="s">
        <v>1682</v>
      </c>
      <c r="B28094">
        <f>HYPERLINK("https://android.googlesource.com/platform/cts/+/93d133b66ca4802958653e9d4be45dc1611d38fb", "93d133b66ca4802958653e9d4be45dc1611d38fb")</f>
        <v>0</v>
      </c>
      <c r="C28094">
        <f>HYPERLINK("https://android.googlesource.com/platform/cts/+/83c967c3374356707e96ef3683c2c2e597fa2d0f", "83c967c3374356707e96ef3683c2c2e597fa2d0f")</f>
        <v>0</v>
      </c>
      <c r="D28094" t="s">
        <v>5222</v>
      </c>
      <c r="E28094" t="s">
        <v>7438</v>
      </c>
      <c r="F28094" t="s">
        <v>13352</v>
      </c>
      <c r="G28094" t="s">
        <v>17479</v>
      </c>
      <c r="H28094" t="s">
        <v>29429</v>
      </c>
    </row>
    <row r="28095" spans="1:8">
      <c r="A28095" t="s">
        <v>1683</v>
      </c>
      <c r="B28095">
        <f>HYPERLINK("https://android.googlesource.com/platform/cts/+/6b1cf9ac70c362d07081d7ca35801d243108fd93", "6b1cf9ac70c362d07081d7ca35801d243108fd93")</f>
        <v>0</v>
      </c>
      <c r="C28095">
        <f>HYPERLINK("https://android.googlesource.com/platform/cts/+/69357089886c9ab7401f039ec769f86d42c82fe4", "69357089886c9ab7401f039ec769f86d42c82fe4")</f>
        <v>0</v>
      </c>
      <c r="D28095" t="s">
        <v>5243</v>
      </c>
      <c r="E28095" t="s">
        <v>7439</v>
      </c>
      <c r="F28095" t="s">
        <v>13353</v>
      </c>
      <c r="G28095" t="s">
        <v>17480</v>
      </c>
      <c r="H28095" t="s">
        <v>29430</v>
      </c>
    </row>
    <row r="28096" spans="1:8">
      <c r="H28096" t="s">
        <v>29431</v>
      </c>
    </row>
    <row r="28097" spans="1:8">
      <c r="A28097" t="s">
        <v>1684</v>
      </c>
      <c r="B28097">
        <f>HYPERLINK("https://android.googlesource.com/platform/cts/+/c89c9402a49f700e6f5646397607c45acdfe0ae4", "c89c9402a49f700e6f5646397607c45acdfe0ae4")</f>
        <v>0</v>
      </c>
      <c r="C28097">
        <f>HYPERLINK("https://android.googlesource.com/platform/cts/+/b12f27be231d05784f0ded3e3ef0bf829b02843e", "b12f27be231d05784f0ded3e3ef0bf829b02843e")</f>
        <v>0</v>
      </c>
      <c r="D28097" t="s">
        <v>5254</v>
      </c>
      <c r="E28097" t="s">
        <v>7440</v>
      </c>
      <c r="F28097" t="s">
        <v>13354</v>
      </c>
      <c r="G28097" t="s">
        <v>17481</v>
      </c>
      <c r="H28097" t="s">
        <v>29432</v>
      </c>
    </row>
    <row r="28098" spans="1:8">
      <c r="H28098" t="s">
        <v>29433</v>
      </c>
    </row>
    <row r="28099" spans="1:8">
      <c r="F28099" t="s">
        <v>13355</v>
      </c>
      <c r="G28099" t="s">
        <v>17482</v>
      </c>
      <c r="H28099" t="s">
        <v>29432</v>
      </c>
    </row>
    <row r="28100" spans="1:8">
      <c r="H28100" t="s">
        <v>29433</v>
      </c>
    </row>
    <row r="28101" spans="1:8">
      <c r="A28101" t="s">
        <v>1685</v>
      </c>
      <c r="B28101">
        <f>HYPERLINK("https://android.googlesource.com/platform/cts/+/1b184576cb03b46827a2bf31caecd1436de3b387", "1b184576cb03b46827a2bf31caecd1436de3b387")</f>
        <v>0</v>
      </c>
      <c r="C28101">
        <f>HYPERLINK("https://android.googlesource.com/platform/cts/+/16df1557dc8e39ce686bf8a8991901a01ab1129e", "16df1557dc8e39ce686bf8a8991901a01ab1129e")</f>
        <v>0</v>
      </c>
      <c r="D28101" t="s">
        <v>5021</v>
      </c>
      <c r="E28101" t="s">
        <v>7441</v>
      </c>
      <c r="F28101" t="s">
        <v>13356</v>
      </c>
      <c r="G28101" t="s">
        <v>14989</v>
      </c>
      <c r="H28101" t="s">
        <v>19146</v>
      </c>
    </row>
    <row r="28102" spans="1:8">
      <c r="A28102" t="s">
        <v>1686</v>
      </c>
      <c r="B28102">
        <f>HYPERLINK("https://android.googlesource.com/platform/cts/+/7ed4e727e70f529e9972b09870712c16742932bd", "7ed4e727e70f529e9972b09870712c16742932bd")</f>
        <v>0</v>
      </c>
      <c r="C28102">
        <f>HYPERLINK("https://android.googlesource.com/platform/cts/+/07ce5bab8b871b636c0b69247c112a3f80eb9f00", "07ce5bab8b871b636c0b69247c112a3f80eb9f00")</f>
        <v>0</v>
      </c>
      <c r="D28102" t="s">
        <v>5021</v>
      </c>
      <c r="E28102" t="s">
        <v>7442</v>
      </c>
      <c r="F28102" t="s">
        <v>13356</v>
      </c>
      <c r="G28102" t="s">
        <v>14989</v>
      </c>
      <c r="H28102" t="s">
        <v>21487</v>
      </c>
    </row>
    <row r="28103" spans="1:8">
      <c r="H28103" t="s">
        <v>19426</v>
      </c>
    </row>
    <row r="28104" spans="1:8">
      <c r="H28104" t="s">
        <v>29434</v>
      </c>
    </row>
    <row r="28105" spans="1:8">
      <c r="F28105" t="s">
        <v>13169</v>
      </c>
      <c r="G28105" t="s">
        <v>17483</v>
      </c>
      <c r="H28105" t="s">
        <v>21486</v>
      </c>
    </row>
    <row r="28106" spans="1:8">
      <c r="H28106" t="s">
        <v>29435</v>
      </c>
    </row>
    <row r="28107" spans="1:8">
      <c r="H28107" t="s">
        <v>21486</v>
      </c>
    </row>
    <row r="28108" spans="1:8">
      <c r="H28108" t="s">
        <v>29436</v>
      </c>
    </row>
    <row r="28109" spans="1:8">
      <c r="H28109" t="s">
        <v>29437</v>
      </c>
    </row>
    <row r="28110" spans="1:8">
      <c r="H28110" t="s">
        <v>29437</v>
      </c>
    </row>
    <row r="28111" spans="1:8">
      <c r="H28111" t="s">
        <v>29438</v>
      </c>
    </row>
    <row r="28112" spans="1:8">
      <c r="H28112" t="s">
        <v>29439</v>
      </c>
    </row>
    <row r="28113" spans="8:8">
      <c r="H28113" t="s">
        <v>29440</v>
      </c>
    </row>
    <row r="28114" spans="8:8">
      <c r="H28114" t="s">
        <v>29441</v>
      </c>
    </row>
    <row r="28115" spans="8:8">
      <c r="H28115" t="s">
        <v>29442</v>
      </c>
    </row>
    <row r="28116" spans="8:8">
      <c r="H28116" t="s">
        <v>29443</v>
      </c>
    </row>
    <row r="28117" spans="8:8">
      <c r="H28117" t="s">
        <v>29444</v>
      </c>
    </row>
    <row r="28118" spans="8:8">
      <c r="H28118" t="s">
        <v>29445</v>
      </c>
    </row>
    <row r="28119" spans="8:8">
      <c r="H28119" t="s">
        <v>29446</v>
      </c>
    </row>
    <row r="28120" spans="8:8">
      <c r="H28120" t="s">
        <v>29447</v>
      </c>
    </row>
    <row r="28121" spans="8:8">
      <c r="H28121" t="s">
        <v>29448</v>
      </c>
    </row>
    <row r="28122" spans="8:8">
      <c r="H28122" t="s">
        <v>29449</v>
      </c>
    </row>
    <row r="28123" spans="8:8">
      <c r="H28123" t="s">
        <v>29450</v>
      </c>
    </row>
    <row r="28124" spans="8:8">
      <c r="H28124" t="s">
        <v>29451</v>
      </c>
    </row>
    <row r="28125" spans="8:8">
      <c r="H28125" t="s">
        <v>29452</v>
      </c>
    </row>
    <row r="28126" spans="8:8">
      <c r="H28126" t="s">
        <v>29453</v>
      </c>
    </row>
    <row r="28127" spans="8:8">
      <c r="H28127" t="s">
        <v>29454</v>
      </c>
    </row>
    <row r="28128" spans="8:8">
      <c r="H28128" t="s">
        <v>29455</v>
      </c>
    </row>
    <row r="28129" spans="8:8">
      <c r="H28129" t="s">
        <v>29456</v>
      </c>
    </row>
    <row r="28130" spans="8:8">
      <c r="H28130" t="s">
        <v>29457</v>
      </c>
    </row>
    <row r="28131" spans="8:8">
      <c r="H28131" t="s">
        <v>29458</v>
      </c>
    </row>
    <row r="28132" spans="8:8">
      <c r="H28132" t="s">
        <v>29459</v>
      </c>
    </row>
    <row r="28133" spans="8:8">
      <c r="H28133" t="s">
        <v>29460</v>
      </c>
    </row>
    <row r="28134" spans="8:8">
      <c r="H28134" t="s">
        <v>29461</v>
      </c>
    </row>
    <row r="28135" spans="8:8">
      <c r="H28135" t="s">
        <v>29462</v>
      </c>
    </row>
    <row r="28136" spans="8:8">
      <c r="H28136" t="s">
        <v>29463</v>
      </c>
    </row>
    <row r="28137" spans="8:8">
      <c r="H28137" t="s">
        <v>29464</v>
      </c>
    </row>
    <row r="28138" spans="8:8">
      <c r="H28138" t="s">
        <v>29465</v>
      </c>
    </row>
    <row r="28139" spans="8:8">
      <c r="H28139" t="s">
        <v>29466</v>
      </c>
    </row>
    <row r="28140" spans="8:8">
      <c r="H28140" t="s">
        <v>29467</v>
      </c>
    </row>
    <row r="28141" spans="8:8">
      <c r="H28141" t="s">
        <v>29468</v>
      </c>
    </row>
    <row r="28142" spans="8:8">
      <c r="H28142" t="s">
        <v>29469</v>
      </c>
    </row>
    <row r="28143" spans="8:8">
      <c r="H28143" t="s">
        <v>29470</v>
      </c>
    </row>
    <row r="28144" spans="8:8">
      <c r="H28144" t="s">
        <v>29471</v>
      </c>
    </row>
    <row r="28145" spans="1:8">
      <c r="H28145" t="s">
        <v>27547</v>
      </c>
    </row>
    <row r="28146" spans="1:8">
      <c r="H28146" t="s">
        <v>29472</v>
      </c>
    </row>
    <row r="28147" spans="1:8">
      <c r="H28147" t="s">
        <v>29473</v>
      </c>
    </row>
    <row r="28148" spans="1:8">
      <c r="H28148" t="s">
        <v>29474</v>
      </c>
    </row>
    <row r="28149" spans="1:8">
      <c r="A28149" t="s">
        <v>1687</v>
      </c>
      <c r="B28149">
        <f>HYPERLINK("https://android.googlesource.com/platform/cts/+/6d8318f9d08669657eddca04661e736848546df7", "6d8318f9d08669657eddca04661e736848546df7")</f>
        <v>0</v>
      </c>
      <c r="C28149">
        <f>HYPERLINK("https://android.googlesource.com/platform/cts/+/f749c2cf845ce3b8dbffaea2e6b5075f17c132f8", "f749c2cf845ce3b8dbffaea2e6b5075f17c132f8")</f>
        <v>0</v>
      </c>
      <c r="D28149" t="s">
        <v>5088</v>
      </c>
      <c r="E28149" t="s">
        <v>7443</v>
      </c>
      <c r="F28149" t="s">
        <v>13357</v>
      </c>
      <c r="G28149" t="s">
        <v>17484</v>
      </c>
      <c r="H28149" t="s">
        <v>29475</v>
      </c>
    </row>
    <row r="28150" spans="1:8">
      <c r="H28150" t="s">
        <v>29476</v>
      </c>
    </row>
    <row r="28151" spans="1:8">
      <c r="A28151" t="s">
        <v>1688</v>
      </c>
      <c r="B28151">
        <f>HYPERLINK("https://android.googlesource.com/platform/cts/+/ffd8d565cc3b8a32e72bede4d6f677e2024ee817", "ffd8d565cc3b8a32e72bede4d6f677e2024ee817")</f>
        <v>0</v>
      </c>
      <c r="C28151">
        <f>HYPERLINK("https://android.googlesource.com/platform/cts/+/a561dc74a9ccbced2a3777e9c632579d9bdc0de6", "a561dc74a9ccbced2a3777e9c632579d9bdc0de6")</f>
        <v>0</v>
      </c>
      <c r="D28151" t="s">
        <v>5255</v>
      </c>
      <c r="E28151" t="s">
        <v>7444</v>
      </c>
      <c r="F28151" t="s">
        <v>11443</v>
      </c>
      <c r="G28151" t="s">
        <v>15683</v>
      </c>
      <c r="H28151" t="s">
        <v>29477</v>
      </c>
    </row>
    <row r="28152" spans="1:8">
      <c r="A28152" t="s">
        <v>1689</v>
      </c>
      <c r="B28152">
        <f>HYPERLINK("https://android.googlesource.com/platform/cts/+/1bc9ca61e2acccf806e2bdd80415ef9ffa498164", "1bc9ca61e2acccf806e2bdd80415ef9ffa498164")</f>
        <v>0</v>
      </c>
      <c r="C28152">
        <f>HYPERLINK("https://android.googlesource.com/platform/cts/+/0d6b1246c0e3c1188869ce91aa56cfe1447583d2", "0d6b1246c0e3c1188869ce91aa56cfe1447583d2")</f>
        <v>0</v>
      </c>
      <c r="D28152" t="s">
        <v>5144</v>
      </c>
      <c r="E28152" t="s">
        <v>7445</v>
      </c>
      <c r="F28152" t="s">
        <v>12335</v>
      </c>
      <c r="G28152" t="s">
        <v>16563</v>
      </c>
      <c r="H28152" t="s">
        <v>29478</v>
      </c>
    </row>
    <row r="28153" spans="1:8">
      <c r="H28153" t="s">
        <v>29479</v>
      </c>
    </row>
    <row r="28154" spans="1:8">
      <c r="H28154" t="s">
        <v>29480</v>
      </c>
    </row>
    <row r="28155" spans="1:8">
      <c r="H28155" t="s">
        <v>29481</v>
      </c>
    </row>
    <row r="28156" spans="1:8">
      <c r="H28156" t="s">
        <v>29482</v>
      </c>
    </row>
    <row r="28157" spans="1:8">
      <c r="H28157" t="s">
        <v>29483</v>
      </c>
    </row>
    <row r="28158" spans="1:8">
      <c r="A28158" t="s">
        <v>1690</v>
      </c>
      <c r="B28158">
        <f>HYPERLINK("https://android.googlesource.com/platform/cts/+/e1534f7a7580adaccc14d71f2b7e1c56b8ae29ad", "e1534f7a7580adaccc14d71f2b7e1c56b8ae29ad")</f>
        <v>0</v>
      </c>
      <c r="C28158">
        <f>HYPERLINK("https://android.googlesource.com/platform/cts/+/086770b481a2ecae808dd088e2222cf4a4235350", "086770b481a2ecae808dd088e2222cf4a4235350")</f>
        <v>0</v>
      </c>
      <c r="D28158" t="s">
        <v>5221</v>
      </c>
      <c r="E28158" t="s">
        <v>7446</v>
      </c>
      <c r="F28158" t="s">
        <v>13298</v>
      </c>
      <c r="G28158" t="s">
        <v>17434</v>
      </c>
      <c r="H28158" t="s">
        <v>29484</v>
      </c>
    </row>
    <row r="28159" spans="1:8">
      <c r="H28159" t="s">
        <v>29485</v>
      </c>
    </row>
    <row r="28160" spans="1:8">
      <c r="A28160" t="s">
        <v>1691</v>
      </c>
      <c r="B28160">
        <f>HYPERLINK("https://android.googlesource.com/platform/cts/+/3ad6d3b48db3011d0b6b35e12fad31371cb8d452", "3ad6d3b48db3011d0b6b35e12fad31371cb8d452")</f>
        <v>0</v>
      </c>
      <c r="C28160">
        <f>HYPERLINK("https://android.googlesource.com/platform/cts/+/13d95132ec892e601984811ce18ee5fb442d410d", "13d95132ec892e601984811ce18ee5fb442d410d")</f>
        <v>0</v>
      </c>
      <c r="D28160" t="s">
        <v>5256</v>
      </c>
      <c r="E28160" t="s">
        <v>7447</v>
      </c>
      <c r="F28160" t="s">
        <v>12250</v>
      </c>
      <c r="G28160" t="s">
        <v>16481</v>
      </c>
      <c r="H28160" t="s">
        <v>19267</v>
      </c>
    </row>
    <row r="28161" spans="1:8">
      <c r="H28161" t="s">
        <v>18829</v>
      </c>
    </row>
    <row r="28162" spans="1:8">
      <c r="H28162" t="s">
        <v>21525</v>
      </c>
    </row>
    <row r="28163" spans="1:8">
      <c r="H28163" t="s">
        <v>21526</v>
      </c>
    </row>
    <row r="28164" spans="1:8">
      <c r="H28164" t="s">
        <v>21527</v>
      </c>
    </row>
    <row r="28165" spans="1:8">
      <c r="A28165" t="s">
        <v>1692</v>
      </c>
      <c r="B28165">
        <f>HYPERLINK("https://android.googlesource.com/platform/cts/+/000a9f0c6cf4ff800c5258784ad2aa962bf14ef5", "000a9f0c6cf4ff800c5258784ad2aa962bf14ef5")</f>
        <v>0</v>
      </c>
      <c r="C28165">
        <f>HYPERLINK("https://android.googlesource.com/platform/cts/+/5de9a55092a5e6f386ad103b20cf922e797fcc3d", "5de9a55092a5e6f386ad103b20cf922e797fcc3d")</f>
        <v>0</v>
      </c>
      <c r="D28165" t="s">
        <v>5215</v>
      </c>
      <c r="E28165" t="s">
        <v>7448</v>
      </c>
      <c r="F28165" t="s">
        <v>13032</v>
      </c>
      <c r="G28165" t="s">
        <v>17196</v>
      </c>
      <c r="H28165" t="s">
        <v>29486</v>
      </c>
    </row>
    <row r="28166" spans="1:8">
      <c r="H28166" t="s">
        <v>29487</v>
      </c>
    </row>
    <row r="28167" spans="1:8">
      <c r="H28167" t="s">
        <v>29488</v>
      </c>
    </row>
    <row r="28168" spans="1:8">
      <c r="A28168" t="s">
        <v>1693</v>
      </c>
      <c r="B28168">
        <f>HYPERLINK("https://android.googlesource.com/platform/cts/+/7156ffd4b48730be6921f656b57ac6d832ee75a3", "7156ffd4b48730be6921f656b57ac6d832ee75a3")</f>
        <v>0</v>
      </c>
      <c r="C28168">
        <f>HYPERLINK("https://android.googlesource.com/platform/cts/+/7b1e4ae81964b7588eca50e1d11467a87aa77ffa", "7b1e4ae81964b7588eca50e1d11467a87aa77ffa")</f>
        <v>0</v>
      </c>
      <c r="D28168" t="s">
        <v>4994</v>
      </c>
      <c r="E28168" t="s">
        <v>7449</v>
      </c>
      <c r="F28168" t="s">
        <v>10645</v>
      </c>
      <c r="G28168" t="s">
        <v>15046</v>
      </c>
      <c r="H28168" t="s">
        <v>27830</v>
      </c>
    </row>
    <row r="28169" spans="1:8">
      <c r="A28169" t="s">
        <v>1694</v>
      </c>
      <c r="B28169">
        <f>HYPERLINK("https://android.googlesource.com/platform/cts/+/9742d76bbccb14a66f8b07f5cf499f6bd6521e3f", "9742d76bbccb14a66f8b07f5cf499f6bd6521e3f")</f>
        <v>0</v>
      </c>
      <c r="C28169">
        <f>HYPERLINK("https://android.googlesource.com/platform/cts/+/7b1e4ae81964b7588eca50e1d11467a87aa77ffa", "7b1e4ae81964b7588eca50e1d11467a87aa77ffa")</f>
        <v>0</v>
      </c>
      <c r="D28169" t="s">
        <v>4994</v>
      </c>
      <c r="E28169" t="s">
        <v>7450</v>
      </c>
      <c r="F28169" t="s">
        <v>10727</v>
      </c>
      <c r="G28169" t="s">
        <v>15126</v>
      </c>
      <c r="H28169" t="s">
        <v>27830</v>
      </c>
    </row>
    <row r="28170" spans="1:8">
      <c r="F28170" t="s">
        <v>10781</v>
      </c>
      <c r="G28170" t="s">
        <v>15177</v>
      </c>
      <c r="H28170" t="s">
        <v>27830</v>
      </c>
    </row>
    <row r="28171" spans="1:8">
      <c r="F28171" t="s">
        <v>12327</v>
      </c>
      <c r="G28171" t="s">
        <v>16557</v>
      </c>
      <c r="H28171" t="s">
        <v>27830</v>
      </c>
    </row>
    <row r="28172" spans="1:8">
      <c r="A28172" t="s">
        <v>1695</v>
      </c>
      <c r="B28172">
        <f>HYPERLINK("https://android.googlesource.com/platform/cts/+/558049842ce8ec671f893b9859f9af197097964a", "558049842ce8ec671f893b9859f9af197097964a")</f>
        <v>0</v>
      </c>
      <c r="C28172">
        <f>HYPERLINK("https://android.googlesource.com/platform/cts/+/4e45605036a84257eb64b6966e6b62e15944ed53", "4e45605036a84257eb64b6966e6b62e15944ed53")</f>
        <v>0</v>
      </c>
      <c r="D28172" t="s">
        <v>5134</v>
      </c>
      <c r="E28172" t="s">
        <v>7451</v>
      </c>
      <c r="F28172" t="s">
        <v>13358</v>
      </c>
      <c r="G28172" t="s">
        <v>17485</v>
      </c>
      <c r="H28172" t="s">
        <v>29489</v>
      </c>
    </row>
    <row r="28173" spans="1:8">
      <c r="F28173" t="s">
        <v>13359</v>
      </c>
      <c r="G28173" t="s">
        <v>17486</v>
      </c>
      <c r="H28173" t="s">
        <v>29489</v>
      </c>
    </row>
    <row r="28174" spans="1:8">
      <c r="F28174" t="s">
        <v>13360</v>
      </c>
      <c r="G28174" t="s">
        <v>17487</v>
      </c>
      <c r="H28174" t="s">
        <v>29490</v>
      </c>
    </row>
    <row r="28175" spans="1:8">
      <c r="A28175" t="s">
        <v>1696</v>
      </c>
      <c r="B28175">
        <f>HYPERLINK("https://android.googlesource.com/platform/cts/+/619bccc35e15fefa90623b71a6e2f0a366b11d28", "619bccc35e15fefa90623b71a6e2f0a366b11d28")</f>
        <v>0</v>
      </c>
      <c r="C28175">
        <f>HYPERLINK("https://android.googlesource.com/platform/cts/+/558049842ce8ec671f893b9859f9af197097964a", "558049842ce8ec671f893b9859f9af197097964a")</f>
        <v>0</v>
      </c>
      <c r="D28175" t="s">
        <v>5134</v>
      </c>
      <c r="E28175" t="s">
        <v>7452</v>
      </c>
      <c r="F28175" t="s">
        <v>13361</v>
      </c>
      <c r="G28175" t="s">
        <v>17488</v>
      </c>
      <c r="H28175" t="s">
        <v>29491</v>
      </c>
    </row>
    <row r="28176" spans="1:8">
      <c r="A28176" t="s">
        <v>1697</v>
      </c>
      <c r="B28176">
        <f>HYPERLINK("https://android.googlesource.com/platform/cts/+/560c13ae1171e2193f7fc42ff54bb2dbed2681e8", "560c13ae1171e2193f7fc42ff54bb2dbed2681e8")</f>
        <v>0</v>
      </c>
      <c r="C28176">
        <f>HYPERLINK("https://android.googlesource.com/platform/cts/+/71c2f6b5ca1880a47f7e9847ee883b4dbcfc97b1", "71c2f6b5ca1880a47f7e9847ee883b4dbcfc97b1")</f>
        <v>0</v>
      </c>
      <c r="D28176" t="s">
        <v>5134</v>
      </c>
      <c r="E28176" t="s">
        <v>7453</v>
      </c>
      <c r="F28176" t="s">
        <v>13321</v>
      </c>
      <c r="G28176" t="s">
        <v>17452</v>
      </c>
      <c r="H28176" t="s">
        <v>29418</v>
      </c>
    </row>
    <row r="28177" spans="1:8">
      <c r="A28177" t="s">
        <v>1698</v>
      </c>
      <c r="B28177">
        <f>HYPERLINK("https://android.googlesource.com/platform/cts/+/f0ee210f5ca658b45f3d38f358e924b017d1ef25", "f0ee210f5ca658b45f3d38f358e924b017d1ef25")</f>
        <v>0</v>
      </c>
      <c r="C28177">
        <f>HYPERLINK("https://android.googlesource.com/platform/cts/+/9390860f55ac5d7bfb25cc98cfacfb0d5c9b794d", "9390860f55ac5d7bfb25cc98cfacfb0d5c9b794d")</f>
        <v>0</v>
      </c>
      <c r="D28177" t="s">
        <v>5257</v>
      </c>
      <c r="E28177" t="s">
        <v>7454</v>
      </c>
      <c r="F28177" t="s">
        <v>11443</v>
      </c>
      <c r="G28177" t="s">
        <v>15683</v>
      </c>
      <c r="H28177" t="s">
        <v>29477</v>
      </c>
    </row>
    <row r="28178" spans="1:8">
      <c r="A28178" t="s">
        <v>1699</v>
      </c>
      <c r="B28178">
        <f>HYPERLINK("https://android.googlesource.com/platform/cts/+/3528f72158709d52b9d10b6f1df0eec4d2582986", "3528f72158709d52b9d10b6f1df0eec4d2582986")</f>
        <v>0</v>
      </c>
      <c r="C28178">
        <f>HYPERLINK("https://android.googlesource.com/platform/cts/+/fd4d9c187fbddf1f1ede802f47d7d24cadd7865e", "fd4d9c187fbddf1f1ede802f47d7d24cadd7865e")</f>
        <v>0</v>
      </c>
      <c r="D28178" t="s">
        <v>5021</v>
      </c>
      <c r="E28178" t="s">
        <v>7455</v>
      </c>
      <c r="F28178" t="s">
        <v>13362</v>
      </c>
      <c r="G28178" t="s">
        <v>17489</v>
      </c>
      <c r="H28178" t="s">
        <v>29492</v>
      </c>
    </row>
    <row r="28179" spans="1:8">
      <c r="H28179" t="s">
        <v>28159</v>
      </c>
    </row>
    <row r="28180" spans="1:8">
      <c r="H28180" t="s">
        <v>29493</v>
      </c>
    </row>
    <row r="28181" spans="1:8">
      <c r="H28181" t="s">
        <v>29494</v>
      </c>
    </row>
    <row r="28182" spans="1:8">
      <c r="H28182" t="s">
        <v>29495</v>
      </c>
    </row>
    <row r="28183" spans="1:8">
      <c r="H28183" t="s">
        <v>29496</v>
      </c>
    </row>
    <row r="28184" spans="1:8">
      <c r="H28184" t="s">
        <v>29497</v>
      </c>
    </row>
    <row r="28185" spans="1:8">
      <c r="H28185" t="s">
        <v>29498</v>
      </c>
    </row>
    <row r="28186" spans="1:8">
      <c r="H28186" t="s">
        <v>29499</v>
      </c>
    </row>
    <row r="28187" spans="1:8">
      <c r="H28187" t="s">
        <v>29500</v>
      </c>
    </row>
    <row r="28188" spans="1:8">
      <c r="H28188" t="s">
        <v>18967</v>
      </c>
    </row>
    <row r="28189" spans="1:8">
      <c r="H28189" t="s">
        <v>18968</v>
      </c>
    </row>
    <row r="28190" spans="1:8">
      <c r="H28190" t="s">
        <v>29501</v>
      </c>
    </row>
    <row r="28191" spans="1:8">
      <c r="H28191" t="s">
        <v>29502</v>
      </c>
    </row>
    <row r="28192" spans="1:8">
      <c r="F28192" t="s">
        <v>13363</v>
      </c>
      <c r="G28192" t="s">
        <v>17490</v>
      </c>
      <c r="H28192" t="s">
        <v>26065</v>
      </c>
    </row>
    <row r="28193" spans="1:8">
      <c r="H28193" t="s">
        <v>29503</v>
      </c>
    </row>
    <row r="28194" spans="1:8">
      <c r="H28194" t="s">
        <v>19743</v>
      </c>
    </row>
    <row r="28195" spans="1:8">
      <c r="F28195" t="s">
        <v>12876</v>
      </c>
      <c r="G28195" t="s">
        <v>17018</v>
      </c>
      <c r="H28195" t="s">
        <v>26619</v>
      </c>
    </row>
    <row r="28196" spans="1:8">
      <c r="H28196" t="s">
        <v>26065</v>
      </c>
    </row>
    <row r="28197" spans="1:8">
      <c r="H28197" t="s">
        <v>29504</v>
      </c>
    </row>
    <row r="28198" spans="1:8">
      <c r="H28198" t="s">
        <v>29505</v>
      </c>
    </row>
    <row r="28199" spans="1:8">
      <c r="H28199" t="s">
        <v>29506</v>
      </c>
    </row>
    <row r="28200" spans="1:8">
      <c r="H28200" t="s">
        <v>29507</v>
      </c>
    </row>
    <row r="28201" spans="1:8">
      <c r="H28201" t="s">
        <v>29508</v>
      </c>
    </row>
    <row r="28202" spans="1:8">
      <c r="H28202" t="s">
        <v>26621</v>
      </c>
    </row>
    <row r="28203" spans="1:8">
      <c r="H28203" t="s">
        <v>26622</v>
      </c>
    </row>
    <row r="28204" spans="1:8">
      <c r="A28204" t="s">
        <v>1700</v>
      </c>
      <c r="B28204">
        <f>HYPERLINK("https://android.googlesource.com/platform/cts/+/f4fcfdeb9595db768c0a80c04b6f44de6b084ebc", "f4fcfdeb9595db768c0a80c04b6f44de6b084ebc")</f>
        <v>0</v>
      </c>
      <c r="C28204">
        <f>HYPERLINK("https://android.googlesource.com/platform/cts/+/4328a165e6df603c1c8c333e2f8f632cb4bd46e7", "4328a165e6df603c1c8c333e2f8f632cb4bd46e7")</f>
        <v>0</v>
      </c>
      <c r="D28204" t="s">
        <v>5255</v>
      </c>
      <c r="E28204" t="s">
        <v>7454</v>
      </c>
      <c r="F28204" t="s">
        <v>11443</v>
      </c>
      <c r="G28204" t="s">
        <v>15683</v>
      </c>
      <c r="H28204" t="s">
        <v>29477</v>
      </c>
    </row>
    <row r="28205" spans="1:8">
      <c r="A28205" t="s">
        <v>1701</v>
      </c>
      <c r="B28205">
        <f>HYPERLINK("https://android.googlesource.com/platform/cts/+/55ac8e34cae48bd42687924874fdeefd531a7fe0", "55ac8e34cae48bd42687924874fdeefd531a7fe0")</f>
        <v>0</v>
      </c>
      <c r="C28205">
        <f>HYPERLINK("https://android.googlesource.com/platform/cts/+/5483fb6a0e7064ce44fb31d97d0d3f30c5815fa4", "5483fb6a0e7064ce44fb31d97d0d3f30c5815fa4")</f>
        <v>0</v>
      </c>
      <c r="D28205" t="s">
        <v>5163</v>
      </c>
      <c r="E28205" t="s">
        <v>7456</v>
      </c>
      <c r="F28205" t="s">
        <v>13325</v>
      </c>
      <c r="G28205" t="s">
        <v>17456</v>
      </c>
      <c r="H28205" t="s">
        <v>18829</v>
      </c>
    </row>
    <row r="28206" spans="1:8">
      <c r="H28206" t="s">
        <v>29203</v>
      </c>
    </row>
    <row r="28207" spans="1:8">
      <c r="H28207" t="s">
        <v>29204</v>
      </c>
    </row>
    <row r="28208" spans="1:8">
      <c r="H28208" t="s">
        <v>29205</v>
      </c>
    </row>
    <row r="28209" spans="1:8">
      <c r="H28209" t="s">
        <v>29206</v>
      </c>
    </row>
    <row r="28210" spans="1:8">
      <c r="H28210" t="s">
        <v>29207</v>
      </c>
    </row>
    <row r="28211" spans="1:8">
      <c r="H28211" t="s">
        <v>29208</v>
      </c>
    </row>
    <row r="28212" spans="1:8">
      <c r="H28212" t="s">
        <v>26556</v>
      </c>
    </row>
    <row r="28213" spans="1:8">
      <c r="H28213" t="s">
        <v>26555</v>
      </c>
    </row>
    <row r="28214" spans="1:8">
      <c r="H28214" t="s">
        <v>29209</v>
      </c>
    </row>
    <row r="28215" spans="1:8">
      <c r="H28215" t="s">
        <v>29211</v>
      </c>
    </row>
    <row r="28216" spans="1:8">
      <c r="H28216" t="s">
        <v>29212</v>
      </c>
    </row>
    <row r="28217" spans="1:8">
      <c r="H28217" t="s">
        <v>29213</v>
      </c>
    </row>
    <row r="28218" spans="1:8">
      <c r="H28218" t="s">
        <v>26557</v>
      </c>
    </row>
    <row r="28219" spans="1:8">
      <c r="F28219" t="s">
        <v>13326</v>
      </c>
      <c r="G28219" t="s">
        <v>16863</v>
      </c>
      <c r="H28219" t="s">
        <v>19905</v>
      </c>
    </row>
    <row r="28220" spans="1:8">
      <c r="H28220" t="s">
        <v>29214</v>
      </c>
    </row>
    <row r="28221" spans="1:8">
      <c r="H28221" t="s">
        <v>29215</v>
      </c>
    </row>
    <row r="28222" spans="1:8">
      <c r="A28222" t="s">
        <v>1702</v>
      </c>
      <c r="B28222">
        <f>HYPERLINK("https://android.googlesource.com/platform/cts/+/37170b2a35525b897ca6636779545d6e7bd5097f", "37170b2a35525b897ca6636779545d6e7bd5097f")</f>
        <v>0</v>
      </c>
      <c r="C28222">
        <f>HYPERLINK("https://android.googlesource.com/platform/cts/+/300f7ed158e6648ca9af08356d783e28b0bd6e54", "300f7ed158e6648ca9af08356d783e28b0bd6e54")</f>
        <v>0</v>
      </c>
      <c r="D28222" t="s">
        <v>5163</v>
      </c>
      <c r="E28222" t="s">
        <v>7457</v>
      </c>
      <c r="F28222" t="s">
        <v>13325</v>
      </c>
      <c r="G28222" t="s">
        <v>17456</v>
      </c>
      <c r="H28222" t="s">
        <v>18829</v>
      </c>
    </row>
    <row r="28223" spans="1:8">
      <c r="H28223" t="s">
        <v>29203</v>
      </c>
    </row>
    <row r="28224" spans="1:8">
      <c r="H28224" t="s">
        <v>29204</v>
      </c>
    </row>
    <row r="28225" spans="6:8">
      <c r="H28225" t="s">
        <v>29205</v>
      </c>
    </row>
    <row r="28226" spans="6:8">
      <c r="H28226" t="s">
        <v>29206</v>
      </c>
    </row>
    <row r="28227" spans="6:8">
      <c r="H28227" t="s">
        <v>29207</v>
      </c>
    </row>
    <row r="28228" spans="6:8">
      <c r="H28228" t="s">
        <v>29208</v>
      </c>
    </row>
    <row r="28229" spans="6:8">
      <c r="H28229" t="s">
        <v>26556</v>
      </c>
    </row>
    <row r="28230" spans="6:8">
      <c r="H28230" t="s">
        <v>26555</v>
      </c>
    </row>
    <row r="28231" spans="6:8">
      <c r="H28231" t="s">
        <v>29209</v>
      </c>
    </row>
    <row r="28232" spans="6:8">
      <c r="H28232" t="s">
        <v>29210</v>
      </c>
    </row>
    <row r="28233" spans="6:8">
      <c r="H28233" t="s">
        <v>29211</v>
      </c>
    </row>
    <row r="28234" spans="6:8">
      <c r="H28234" t="s">
        <v>25512</v>
      </c>
    </row>
    <row r="28235" spans="6:8">
      <c r="H28235" t="s">
        <v>29212</v>
      </c>
    </row>
    <row r="28236" spans="6:8">
      <c r="H28236" t="s">
        <v>29213</v>
      </c>
    </row>
    <row r="28237" spans="6:8">
      <c r="H28237" t="s">
        <v>26557</v>
      </c>
    </row>
    <row r="28238" spans="6:8">
      <c r="F28238" t="s">
        <v>13326</v>
      </c>
      <c r="G28238" t="s">
        <v>16863</v>
      </c>
      <c r="H28238" t="s">
        <v>19905</v>
      </c>
    </row>
    <row r="28239" spans="6:8">
      <c r="H28239" t="s">
        <v>29214</v>
      </c>
    </row>
    <row r="28240" spans="6:8">
      <c r="H28240" t="s">
        <v>29215</v>
      </c>
    </row>
    <row r="28241" spans="1:8">
      <c r="A28241" t="s">
        <v>1703</v>
      </c>
      <c r="B28241">
        <f>HYPERLINK("https://android.googlesource.com/platform/cts/+/4b64d4ae01184d7335e3eeaf66a984daca620a38", "4b64d4ae01184d7335e3eeaf66a984daca620a38")</f>
        <v>0</v>
      </c>
      <c r="C28241">
        <f>HYPERLINK("https://android.googlesource.com/platform/cts/+/6affb830627d16d216942c7fcb13826fe90a1124", "6affb830627d16d216942c7fcb13826fe90a1124")</f>
        <v>0</v>
      </c>
      <c r="D28241" t="s">
        <v>5163</v>
      </c>
      <c r="E28241" t="s">
        <v>7458</v>
      </c>
      <c r="F28241" t="s">
        <v>13325</v>
      </c>
      <c r="G28241" t="s">
        <v>17456</v>
      </c>
      <c r="H28241" t="s">
        <v>18829</v>
      </c>
    </row>
    <row r="28242" spans="1:8">
      <c r="H28242" t="s">
        <v>29203</v>
      </c>
    </row>
    <row r="28243" spans="1:8">
      <c r="H28243" t="s">
        <v>29204</v>
      </c>
    </row>
    <row r="28244" spans="1:8">
      <c r="H28244" t="s">
        <v>29205</v>
      </c>
    </row>
    <row r="28245" spans="1:8">
      <c r="H28245" t="s">
        <v>29206</v>
      </c>
    </row>
    <row r="28246" spans="1:8">
      <c r="H28246" t="s">
        <v>29207</v>
      </c>
    </row>
    <row r="28247" spans="1:8">
      <c r="H28247" t="s">
        <v>29208</v>
      </c>
    </row>
    <row r="28248" spans="1:8">
      <c r="H28248" t="s">
        <v>26556</v>
      </c>
    </row>
    <row r="28249" spans="1:8">
      <c r="H28249" t="s">
        <v>26555</v>
      </c>
    </row>
    <row r="28250" spans="1:8">
      <c r="H28250" t="s">
        <v>29209</v>
      </c>
    </row>
    <row r="28251" spans="1:8">
      <c r="H28251" t="s">
        <v>29210</v>
      </c>
    </row>
    <row r="28252" spans="1:8">
      <c r="H28252" t="s">
        <v>29211</v>
      </c>
    </row>
    <row r="28253" spans="1:8">
      <c r="H28253" t="s">
        <v>25512</v>
      </c>
    </row>
    <row r="28254" spans="1:8">
      <c r="H28254" t="s">
        <v>29212</v>
      </c>
    </row>
    <row r="28255" spans="1:8">
      <c r="H28255" t="s">
        <v>29213</v>
      </c>
    </row>
    <row r="28256" spans="1:8">
      <c r="H28256" t="s">
        <v>26557</v>
      </c>
    </row>
    <row r="28257" spans="1:8">
      <c r="F28257" t="s">
        <v>13326</v>
      </c>
      <c r="G28257" t="s">
        <v>16863</v>
      </c>
      <c r="H28257" t="s">
        <v>19905</v>
      </c>
    </row>
    <row r="28258" spans="1:8">
      <c r="H28258" t="s">
        <v>29214</v>
      </c>
    </row>
    <row r="28259" spans="1:8">
      <c r="H28259" t="s">
        <v>29215</v>
      </c>
    </row>
    <row r="28260" spans="1:8">
      <c r="A28260" t="s">
        <v>1704</v>
      </c>
      <c r="B28260">
        <f>HYPERLINK("https://android.googlesource.com/platform/cts/+/d7a5a19d72a775711f592077dcbeda0726d97b31", "d7a5a19d72a775711f592077dcbeda0726d97b31")</f>
        <v>0</v>
      </c>
      <c r="C28260">
        <f>HYPERLINK("https://android.googlesource.com/platform/cts/+/5f3b317577deffa90316a3d13881c95ed8a6f276", "5f3b317577deffa90316a3d13881c95ed8a6f276")</f>
        <v>0</v>
      </c>
      <c r="D28260" t="s">
        <v>5083</v>
      </c>
      <c r="E28260" t="s">
        <v>7459</v>
      </c>
      <c r="F28260" t="s">
        <v>13364</v>
      </c>
      <c r="G28260" t="s">
        <v>17491</v>
      </c>
      <c r="H28260" t="s">
        <v>29509</v>
      </c>
    </row>
    <row r="28261" spans="1:8">
      <c r="A28261" t="s">
        <v>1705</v>
      </c>
      <c r="B28261">
        <f>HYPERLINK("https://android.googlesource.com/platform/cts/+/89e266cf3e7187dbd8d95f3a96ea082c41c3224a", "89e266cf3e7187dbd8d95f3a96ea082c41c3224a")</f>
        <v>0</v>
      </c>
      <c r="C28261">
        <f>HYPERLINK("https://android.googlesource.com/platform/cts/+/c0756736dd41352b72658e76186758d20d7bad3e", "c0756736dd41352b72658e76186758d20d7bad3e")</f>
        <v>0</v>
      </c>
      <c r="D28261" t="s">
        <v>5258</v>
      </c>
      <c r="E28261" t="s">
        <v>7460</v>
      </c>
      <c r="F28261" t="s">
        <v>13365</v>
      </c>
      <c r="G28261" t="s">
        <v>17492</v>
      </c>
      <c r="H28261" t="s">
        <v>29510</v>
      </c>
    </row>
    <row r="28262" spans="1:8">
      <c r="A28262" t="s">
        <v>1706</v>
      </c>
      <c r="B28262">
        <f>HYPERLINK("https://android.googlesource.com/platform/cts/+/e1bb4a5231464edef74c8c0ca114f250c037b3e5", "e1bb4a5231464edef74c8c0ca114f250c037b3e5")</f>
        <v>0</v>
      </c>
      <c r="C28262">
        <f>HYPERLINK("https://android.googlesource.com/platform/cts/+/8a7239bde4f9c212f0d5e6f59b166972fc759229", "8a7239bde4f9c212f0d5e6f59b166972fc759229")</f>
        <v>0</v>
      </c>
      <c r="D28262" t="s">
        <v>5134</v>
      </c>
      <c r="E28262" t="s">
        <v>7461</v>
      </c>
      <c r="F28262" t="s">
        <v>13321</v>
      </c>
      <c r="G28262" t="s">
        <v>17452</v>
      </c>
      <c r="H28262" t="s">
        <v>29418</v>
      </c>
    </row>
    <row r="28263" spans="1:8">
      <c r="A28263" t="s">
        <v>1707</v>
      </c>
      <c r="B28263">
        <f>HYPERLINK("https://android.googlesource.com/platform/cts/+/82d248bb78d1b41eaa111eea19ea78f79722a6fb", "82d248bb78d1b41eaa111eea19ea78f79722a6fb")</f>
        <v>0</v>
      </c>
      <c r="C28263">
        <f>HYPERLINK("https://android.googlesource.com/platform/cts/+/c3f441e2dc3cbef33935bd5a595f1b32fe728129", "c3f441e2dc3cbef33935bd5a595f1b32fe728129")</f>
        <v>0</v>
      </c>
      <c r="D28263" t="s">
        <v>5125</v>
      </c>
      <c r="E28263" t="s">
        <v>7462</v>
      </c>
      <c r="F28263" t="s">
        <v>12936</v>
      </c>
      <c r="G28263" t="s">
        <v>17101</v>
      </c>
      <c r="H28263" t="s">
        <v>29511</v>
      </c>
    </row>
    <row r="28264" spans="1:8">
      <c r="H28264" t="s">
        <v>29512</v>
      </c>
    </row>
    <row r="28265" spans="1:8">
      <c r="H28265" t="s">
        <v>29513</v>
      </c>
    </row>
    <row r="28266" spans="1:8">
      <c r="H28266" t="s">
        <v>29514</v>
      </c>
    </row>
    <row r="28267" spans="1:8">
      <c r="F28267" t="s">
        <v>13091</v>
      </c>
      <c r="G28267" t="s">
        <v>17253</v>
      </c>
      <c r="H28267" t="s">
        <v>29515</v>
      </c>
    </row>
    <row r="28268" spans="1:8">
      <c r="H28268" t="s">
        <v>29516</v>
      </c>
    </row>
    <row r="28269" spans="1:8">
      <c r="H28269" t="s">
        <v>29517</v>
      </c>
    </row>
    <row r="28270" spans="1:8">
      <c r="H28270" t="s">
        <v>29514</v>
      </c>
    </row>
    <row r="28271" spans="1:8">
      <c r="F28271" t="s">
        <v>10596</v>
      </c>
      <c r="G28271" t="s">
        <v>14999</v>
      </c>
      <c r="H28271" t="s">
        <v>29515</v>
      </c>
    </row>
    <row r="28272" spans="1:8">
      <c r="H28272" t="s">
        <v>29516</v>
      </c>
    </row>
    <row r="28273" spans="1:8">
      <c r="H28273" t="s">
        <v>29517</v>
      </c>
    </row>
    <row r="28274" spans="1:8">
      <c r="H28274" t="s">
        <v>29514</v>
      </c>
    </row>
    <row r="28275" spans="1:8">
      <c r="A28275" t="s">
        <v>1708</v>
      </c>
      <c r="B28275">
        <f>HYPERLINK("https://android.googlesource.com/platform/cts/+/c3cc4568561dd6af3023c41a9afa288dea906572", "c3cc4568561dd6af3023c41a9afa288dea906572")</f>
        <v>0</v>
      </c>
      <c r="C28275">
        <f>HYPERLINK("https://android.googlesource.com/platform/cts/+/50d71fab486cda44b5961798edce7af89a6d7054", "50d71fab486cda44b5961798edce7af89a6d7054")</f>
        <v>0</v>
      </c>
      <c r="D28275" t="s">
        <v>5125</v>
      </c>
      <c r="E28275" t="s">
        <v>7463</v>
      </c>
      <c r="F28275" t="s">
        <v>12936</v>
      </c>
      <c r="G28275" t="s">
        <v>17101</v>
      </c>
      <c r="H28275" t="s">
        <v>29511</v>
      </c>
    </row>
    <row r="28276" spans="1:8">
      <c r="H28276" t="s">
        <v>29512</v>
      </c>
    </row>
    <row r="28277" spans="1:8">
      <c r="H28277" t="s">
        <v>29513</v>
      </c>
    </row>
    <row r="28278" spans="1:8">
      <c r="H28278" t="s">
        <v>29514</v>
      </c>
    </row>
    <row r="28279" spans="1:8">
      <c r="F28279" t="s">
        <v>13087</v>
      </c>
      <c r="G28279" t="s">
        <v>17249</v>
      </c>
      <c r="H28279" t="s">
        <v>29518</v>
      </c>
    </row>
    <row r="28280" spans="1:8">
      <c r="F28280" t="s">
        <v>13091</v>
      </c>
      <c r="G28280" t="s">
        <v>17253</v>
      </c>
      <c r="H28280" t="s">
        <v>29515</v>
      </c>
    </row>
    <row r="28281" spans="1:8">
      <c r="H28281" t="s">
        <v>29519</v>
      </c>
    </row>
    <row r="28282" spans="1:8">
      <c r="H28282" t="s">
        <v>29516</v>
      </c>
    </row>
    <row r="28283" spans="1:8">
      <c r="H28283" t="s">
        <v>29517</v>
      </c>
    </row>
    <row r="28284" spans="1:8">
      <c r="H28284" t="s">
        <v>29514</v>
      </c>
    </row>
    <row r="28285" spans="1:8">
      <c r="F28285" t="s">
        <v>10596</v>
      </c>
      <c r="G28285" t="s">
        <v>14999</v>
      </c>
      <c r="H28285" t="s">
        <v>29515</v>
      </c>
    </row>
    <row r="28286" spans="1:8">
      <c r="H28286" t="s">
        <v>29519</v>
      </c>
    </row>
    <row r="28287" spans="1:8">
      <c r="H28287" t="s">
        <v>29516</v>
      </c>
    </row>
    <row r="28288" spans="1:8">
      <c r="H28288" t="s">
        <v>29517</v>
      </c>
    </row>
    <row r="28289" spans="1:8">
      <c r="H28289" t="s">
        <v>29514</v>
      </c>
    </row>
    <row r="28290" spans="1:8">
      <c r="A28290" t="s">
        <v>1709</v>
      </c>
      <c r="B28290">
        <f>HYPERLINK("https://android.googlesource.com/platform/cts/+/98eaa48a1d0858bdd24bada492570ef0e39552db", "98eaa48a1d0858bdd24bada492570ef0e39552db")</f>
        <v>0</v>
      </c>
      <c r="C28290">
        <f>HYPERLINK("https://android.googlesource.com/platform/cts/+/e67470d31e38ed74ffd10ee5a3ce11ead9a33c2e", "e67470d31e38ed74ffd10ee5a3ce11ead9a33c2e")</f>
        <v>0</v>
      </c>
      <c r="D28290" t="s">
        <v>4965</v>
      </c>
      <c r="E28290" t="s">
        <v>7464</v>
      </c>
      <c r="F28290" t="s">
        <v>13366</v>
      </c>
      <c r="G28290" t="s">
        <v>15583</v>
      </c>
      <c r="H28290" t="s">
        <v>29520</v>
      </c>
    </row>
    <row r="28291" spans="1:8">
      <c r="H28291" t="s">
        <v>29521</v>
      </c>
    </row>
    <row r="28292" spans="1:8">
      <c r="H28292" t="s">
        <v>29522</v>
      </c>
    </row>
    <row r="28293" spans="1:8">
      <c r="A28293" t="s">
        <v>1710</v>
      </c>
      <c r="B28293">
        <f>HYPERLINK("https://android.googlesource.com/platform/cts/+/35af4b6a86a2363240bf430e50df7f87010309ba", "35af4b6a86a2363240bf430e50df7f87010309ba")</f>
        <v>0</v>
      </c>
      <c r="C28293">
        <f>HYPERLINK("https://android.googlesource.com/platform/cts/+/80992fa513ee1efbcc25d7f2e9095e6450ccb408", "80992fa513ee1efbcc25d7f2e9095e6450ccb408")</f>
        <v>0</v>
      </c>
      <c r="D28293" t="s">
        <v>5088</v>
      </c>
      <c r="E28293" t="s">
        <v>7465</v>
      </c>
      <c r="F28293" t="s">
        <v>13357</v>
      </c>
      <c r="G28293" t="s">
        <v>17484</v>
      </c>
      <c r="H28293" t="s">
        <v>29475</v>
      </c>
    </row>
    <row r="28294" spans="1:8">
      <c r="H28294" t="s">
        <v>29476</v>
      </c>
    </row>
    <row r="28295" spans="1:8">
      <c r="A28295" t="s">
        <v>1711</v>
      </c>
      <c r="B28295">
        <f>HYPERLINK("https://android.googlesource.com/platform/cts/+/f1d094edfed4be344f8c0a57e67b6573daaa91ff", "f1d094edfed4be344f8c0a57e67b6573daaa91ff")</f>
        <v>0</v>
      </c>
      <c r="C28295">
        <f>HYPERLINK("https://android.googlesource.com/platform/cts/+/5b679b166d63cbd8aed249c9c4dd9e6ff156e0f0", "5b679b166d63cbd8aed249c9c4dd9e6ff156e0f0")</f>
        <v>0</v>
      </c>
      <c r="D28295" t="s">
        <v>5191</v>
      </c>
      <c r="E28295" t="s">
        <v>7466</v>
      </c>
      <c r="F28295" t="s">
        <v>12698</v>
      </c>
      <c r="G28295" t="s">
        <v>16591</v>
      </c>
      <c r="H28295" t="s">
        <v>25497</v>
      </c>
    </row>
    <row r="28296" spans="1:8">
      <c r="H28296" t="s">
        <v>20244</v>
      </c>
    </row>
    <row r="28297" spans="1:8">
      <c r="A28297" t="s">
        <v>1712</v>
      </c>
      <c r="B28297">
        <f>HYPERLINK("https://android.googlesource.com/platform/cts/+/0c0fffcaacf948c3d8e27570e313cccd331c35b9", "0c0fffcaacf948c3d8e27570e313cccd331c35b9")</f>
        <v>0</v>
      </c>
      <c r="C28297">
        <f>HYPERLINK("https://android.googlesource.com/platform/cts/+/8243446d847699e25b29b914e67e329efbf8b510", "8243446d847699e25b29b914e67e329efbf8b510")</f>
        <v>0</v>
      </c>
      <c r="D28297" t="s">
        <v>5117</v>
      </c>
      <c r="E28297" t="s">
        <v>7467</v>
      </c>
      <c r="F28297" t="s">
        <v>13367</v>
      </c>
      <c r="G28297" t="s">
        <v>17493</v>
      </c>
      <c r="H28297" t="s">
        <v>29523</v>
      </c>
    </row>
    <row r="28298" spans="1:8">
      <c r="H28298" t="s">
        <v>29524</v>
      </c>
    </row>
    <row r="28299" spans="1:8">
      <c r="H28299" t="s">
        <v>29525</v>
      </c>
    </row>
    <row r="28300" spans="1:8">
      <c r="H28300" t="s">
        <v>19933</v>
      </c>
    </row>
    <row r="28301" spans="1:8">
      <c r="H28301" t="s">
        <v>29526</v>
      </c>
    </row>
    <row r="28302" spans="1:8">
      <c r="H28302" t="s">
        <v>29527</v>
      </c>
    </row>
    <row r="28303" spans="1:8">
      <c r="H28303" t="s">
        <v>28083</v>
      </c>
    </row>
    <row r="28304" spans="1:8">
      <c r="H28304" t="s">
        <v>24966</v>
      </c>
    </row>
    <row r="28305" spans="1:8">
      <c r="H28305" t="s">
        <v>18930</v>
      </c>
    </row>
    <row r="28306" spans="1:8">
      <c r="H28306" t="s">
        <v>29528</v>
      </c>
    </row>
    <row r="28307" spans="1:8">
      <c r="H28307" t="s">
        <v>29529</v>
      </c>
    </row>
    <row r="28308" spans="1:8">
      <c r="F28308" t="s">
        <v>13368</v>
      </c>
      <c r="G28308" t="s">
        <v>17494</v>
      </c>
      <c r="H28308" t="s">
        <v>29525</v>
      </c>
    </row>
    <row r="28309" spans="1:8">
      <c r="H28309" t="s">
        <v>29530</v>
      </c>
    </row>
    <row r="28310" spans="1:8">
      <c r="H28310" t="s">
        <v>29531</v>
      </c>
    </row>
    <row r="28311" spans="1:8">
      <c r="H28311" t="s">
        <v>19933</v>
      </c>
    </row>
    <row r="28312" spans="1:8">
      <c r="H28312" t="s">
        <v>29532</v>
      </c>
    </row>
    <row r="28313" spans="1:8">
      <c r="H28313" t="s">
        <v>29533</v>
      </c>
    </row>
    <row r="28314" spans="1:8">
      <c r="H28314" t="s">
        <v>29534</v>
      </c>
    </row>
    <row r="28315" spans="1:8">
      <c r="H28315" t="s">
        <v>29535</v>
      </c>
    </row>
    <row r="28316" spans="1:8">
      <c r="H28316" t="s">
        <v>29536</v>
      </c>
    </row>
    <row r="28317" spans="1:8">
      <c r="H28317" t="s">
        <v>29537</v>
      </c>
    </row>
    <row r="28318" spans="1:8">
      <c r="A28318" t="s">
        <v>1713</v>
      </c>
      <c r="B28318">
        <f>HYPERLINK("https://android.googlesource.com/platform/cts/+/dc976f5856199b8f7ddc6053f28561fffdd7eb84", "dc976f5856199b8f7ddc6053f28561fffdd7eb84")</f>
        <v>0</v>
      </c>
      <c r="C28318">
        <f>HYPERLINK("https://android.googlesource.com/platform/cts/+/ac02fe5c79e0f246048f67bf388489a2841410e6", "ac02fe5c79e0f246048f67bf388489a2841410e6")</f>
        <v>0</v>
      </c>
      <c r="D28318" t="s">
        <v>4965</v>
      </c>
      <c r="E28318" t="s">
        <v>7468</v>
      </c>
      <c r="F28318" t="s">
        <v>13369</v>
      </c>
      <c r="G28318" t="s">
        <v>17495</v>
      </c>
      <c r="H28318" t="s">
        <v>29538</v>
      </c>
    </row>
    <row r="28319" spans="1:8">
      <c r="A28319" t="s">
        <v>1714</v>
      </c>
      <c r="B28319">
        <f>HYPERLINK("https://android.googlesource.com/platform/cts/+/20e39ade80b207dca9a770cfabb971e1bf02cbb6", "20e39ade80b207dca9a770cfabb971e1bf02cbb6")</f>
        <v>0</v>
      </c>
      <c r="C28319">
        <f>HYPERLINK("https://android.googlesource.com/platform/cts/+/1ddd45610d1c4634a9000fbaaa867522e1fe8621", "1ddd45610d1c4634a9000fbaaa867522e1fe8621")</f>
        <v>0</v>
      </c>
      <c r="D28319" t="s">
        <v>5134</v>
      </c>
      <c r="E28319" t="s">
        <v>7469</v>
      </c>
      <c r="F28319" t="s">
        <v>13360</v>
      </c>
      <c r="G28319" t="s">
        <v>17496</v>
      </c>
      <c r="H28319" t="s">
        <v>29539</v>
      </c>
    </row>
    <row r="28320" spans="1:8">
      <c r="H28320" t="s">
        <v>29540</v>
      </c>
    </row>
    <row r="28321" spans="1:8">
      <c r="H28321" t="s">
        <v>29541</v>
      </c>
    </row>
    <row r="28322" spans="1:8">
      <c r="H28322" t="s">
        <v>29542</v>
      </c>
    </row>
    <row r="28323" spans="1:8">
      <c r="H28323" t="s">
        <v>29543</v>
      </c>
    </row>
    <row r="28324" spans="1:8">
      <c r="H28324" t="s">
        <v>29544</v>
      </c>
    </row>
    <row r="28325" spans="1:8">
      <c r="A28325" t="s">
        <v>1715</v>
      </c>
      <c r="B28325">
        <f>HYPERLINK("https://android.googlesource.com/platform/cts/+/b1aff0aca271cdcdfa8f5b7a9c3ca21cbff1e61a", "b1aff0aca271cdcdfa8f5b7a9c3ca21cbff1e61a")</f>
        <v>0</v>
      </c>
      <c r="C28325">
        <f>HYPERLINK("https://android.googlesource.com/platform/cts/+/ae8a8f4f0c7326f3a9affc74d01c2c1233bde11d", "ae8a8f4f0c7326f3a9affc74d01c2c1233bde11d")</f>
        <v>0</v>
      </c>
      <c r="D28325" t="s">
        <v>5247</v>
      </c>
      <c r="E28325" t="s">
        <v>7379</v>
      </c>
      <c r="F28325" t="s">
        <v>10659</v>
      </c>
      <c r="G28325" t="s">
        <v>15060</v>
      </c>
      <c r="H28325" t="s">
        <v>29152</v>
      </c>
    </row>
    <row r="28326" spans="1:8">
      <c r="H28326" t="s">
        <v>29153</v>
      </c>
    </row>
    <row r="28327" spans="1:8">
      <c r="H28327" t="s">
        <v>29154</v>
      </c>
    </row>
    <row r="28328" spans="1:8">
      <c r="A28328" t="s">
        <v>1716</v>
      </c>
      <c r="B28328">
        <f>HYPERLINK("https://android.googlesource.com/platform/cts/+/6ef3448ce7827e0db865a40dc6d39f8043ff1eba", "6ef3448ce7827e0db865a40dc6d39f8043ff1eba")</f>
        <v>0</v>
      </c>
      <c r="C28328">
        <f>HYPERLINK("https://android.googlesource.com/platform/cts/+/6a815a0eca683aa14b67e545a4349f11647d08a3", "6a815a0eca683aa14b67e545a4349f11647d08a3")</f>
        <v>0</v>
      </c>
      <c r="D28328" t="s">
        <v>4981</v>
      </c>
      <c r="E28328" t="s">
        <v>7470</v>
      </c>
      <c r="F28328" t="s">
        <v>13348</v>
      </c>
      <c r="G28328" t="s">
        <v>17475</v>
      </c>
      <c r="H28328" t="s">
        <v>29545</v>
      </c>
    </row>
    <row r="28329" spans="1:8">
      <c r="H28329" t="s">
        <v>29546</v>
      </c>
    </row>
    <row r="28330" spans="1:8">
      <c r="A28330" t="s">
        <v>1717</v>
      </c>
      <c r="B28330">
        <f>HYPERLINK("https://android.googlesource.com/platform/cts/+/f54a0a1a582e098000e842e23619ad732d2545ee", "f54a0a1a582e098000e842e23619ad732d2545ee")</f>
        <v>0</v>
      </c>
      <c r="C28330">
        <f>HYPERLINK("https://android.googlesource.com/platform/cts/+/64d7b90dc5036c142d6b407d0f183c9019b138d8", "64d7b90dc5036c142d6b407d0f183c9019b138d8")</f>
        <v>0</v>
      </c>
      <c r="D28330" t="s">
        <v>4949</v>
      </c>
      <c r="E28330" t="s">
        <v>7471</v>
      </c>
      <c r="F28330" t="s">
        <v>13370</v>
      </c>
      <c r="G28330" t="s">
        <v>17497</v>
      </c>
      <c r="H28330" t="s">
        <v>29547</v>
      </c>
    </row>
    <row r="28331" spans="1:8">
      <c r="A28331" t="s">
        <v>1718</v>
      </c>
      <c r="B28331">
        <f>HYPERLINK("https://android.googlesource.com/platform/cts/+/aff6ce05fc8bfd89a61d1428575ff7099c07751a", "aff6ce05fc8bfd89a61d1428575ff7099c07751a")</f>
        <v>0</v>
      </c>
      <c r="C28331">
        <f>HYPERLINK("https://android.googlesource.com/platform/cts/+/f7afc065420f0d38b2a53027b65e0042607f2cad", "f7afc065420f0d38b2a53027b65e0042607f2cad")</f>
        <v>0</v>
      </c>
      <c r="D28331" t="s">
        <v>5259</v>
      </c>
      <c r="E28331" t="s">
        <v>7472</v>
      </c>
      <c r="F28331" t="s">
        <v>13342</v>
      </c>
      <c r="G28331" t="s">
        <v>17471</v>
      </c>
      <c r="H28331" t="s">
        <v>29548</v>
      </c>
    </row>
    <row r="28332" spans="1:8">
      <c r="A28332" t="s">
        <v>1719</v>
      </c>
      <c r="B28332">
        <f>HYPERLINK("https://android.googlesource.com/platform/cts/+/17e3661bea3c7bc2d91be719f15006bfb1526bf0", "17e3661bea3c7bc2d91be719f15006bfb1526bf0")</f>
        <v>0</v>
      </c>
      <c r="C28332">
        <f>HYPERLINK("https://android.googlesource.com/platform/cts/+/5b5b371171f8f5987a246c9e3b95714c46637533", "5b5b371171f8f5987a246c9e3b95714c46637533")</f>
        <v>0</v>
      </c>
      <c r="D28332" t="s">
        <v>5134</v>
      </c>
      <c r="E28332" t="s">
        <v>7473</v>
      </c>
      <c r="F28332" t="s">
        <v>13230</v>
      </c>
      <c r="G28332" t="s">
        <v>17371</v>
      </c>
      <c r="H28332" t="s">
        <v>29549</v>
      </c>
    </row>
    <row r="28333" spans="1:8">
      <c r="F28333" t="s">
        <v>13371</v>
      </c>
      <c r="G28333" t="s">
        <v>17498</v>
      </c>
      <c r="H28333" t="s">
        <v>29550</v>
      </c>
    </row>
    <row r="28334" spans="1:8">
      <c r="A28334" t="s">
        <v>1720</v>
      </c>
      <c r="B28334">
        <f>HYPERLINK("https://android.googlesource.com/platform/cts/+/3ddad7723800310ec73eea4ff65bca0038ec3c20", "3ddad7723800310ec73eea4ff65bca0038ec3c20")</f>
        <v>0</v>
      </c>
      <c r="C28334">
        <f>HYPERLINK("https://android.googlesource.com/platform/cts/+/6ca2a7dded89d14f7f937d3c2ed01960b2f0ba66", "6ca2a7dded89d14f7f937d3c2ed01960b2f0ba66")</f>
        <v>0</v>
      </c>
      <c r="D28334" t="s">
        <v>5111</v>
      </c>
      <c r="E28334" t="s">
        <v>7474</v>
      </c>
      <c r="F28334" t="s">
        <v>13372</v>
      </c>
      <c r="G28334" t="s">
        <v>17499</v>
      </c>
      <c r="H28334" t="s">
        <v>29551</v>
      </c>
    </row>
    <row r="28335" spans="1:8">
      <c r="H28335" t="s">
        <v>29552</v>
      </c>
    </row>
    <row r="28336" spans="1:8">
      <c r="H28336" t="s">
        <v>29553</v>
      </c>
    </row>
    <row r="28337" spans="6:8">
      <c r="F28337" t="s">
        <v>13373</v>
      </c>
      <c r="G28337" t="s">
        <v>17500</v>
      </c>
      <c r="H28337" t="s">
        <v>29551</v>
      </c>
    </row>
    <row r="28338" spans="6:8">
      <c r="H28338" t="s">
        <v>29554</v>
      </c>
    </row>
    <row r="28339" spans="6:8">
      <c r="H28339" t="s">
        <v>29553</v>
      </c>
    </row>
    <row r="28340" spans="6:8">
      <c r="F28340" t="s">
        <v>13374</v>
      </c>
      <c r="G28340" t="s">
        <v>17501</v>
      </c>
      <c r="H28340" t="s">
        <v>29551</v>
      </c>
    </row>
    <row r="28341" spans="6:8">
      <c r="H28341" t="s">
        <v>29555</v>
      </c>
    </row>
    <row r="28342" spans="6:8">
      <c r="H28342" t="s">
        <v>29553</v>
      </c>
    </row>
    <row r="28343" spans="6:8">
      <c r="F28343" t="s">
        <v>13375</v>
      </c>
      <c r="G28343" t="s">
        <v>17502</v>
      </c>
      <c r="H28343" t="s">
        <v>29551</v>
      </c>
    </row>
    <row r="28344" spans="6:8">
      <c r="H28344" t="s">
        <v>29556</v>
      </c>
    </row>
    <row r="28345" spans="6:8">
      <c r="H28345" t="s">
        <v>29553</v>
      </c>
    </row>
    <row r="28346" spans="6:8">
      <c r="F28346" t="s">
        <v>13376</v>
      </c>
      <c r="G28346" t="s">
        <v>17503</v>
      </c>
      <c r="H28346" t="s">
        <v>29551</v>
      </c>
    </row>
    <row r="28347" spans="6:8">
      <c r="H28347" t="s">
        <v>29557</v>
      </c>
    </row>
    <row r="28348" spans="6:8">
      <c r="H28348" t="s">
        <v>29553</v>
      </c>
    </row>
    <row r="28349" spans="6:8">
      <c r="F28349" t="s">
        <v>13377</v>
      </c>
      <c r="G28349" t="s">
        <v>17504</v>
      </c>
      <c r="H28349" t="s">
        <v>29551</v>
      </c>
    </row>
    <row r="28350" spans="6:8">
      <c r="H28350" t="s">
        <v>29558</v>
      </c>
    </row>
    <row r="28351" spans="6:8">
      <c r="H28351" t="s">
        <v>29553</v>
      </c>
    </row>
    <row r="28352" spans="6:8">
      <c r="F28352" t="s">
        <v>13378</v>
      </c>
      <c r="G28352" t="s">
        <v>17505</v>
      </c>
      <c r="H28352" t="s">
        <v>29551</v>
      </c>
    </row>
    <row r="28353" spans="1:8">
      <c r="H28353" t="s">
        <v>29559</v>
      </c>
    </row>
    <row r="28354" spans="1:8">
      <c r="H28354" t="s">
        <v>29553</v>
      </c>
    </row>
    <row r="28355" spans="1:8">
      <c r="F28355" t="s">
        <v>13379</v>
      </c>
      <c r="G28355" t="s">
        <v>17506</v>
      </c>
      <c r="H28355" t="s">
        <v>29551</v>
      </c>
    </row>
    <row r="28356" spans="1:8">
      <c r="H28356" t="s">
        <v>29560</v>
      </c>
    </row>
    <row r="28357" spans="1:8">
      <c r="H28357" t="s">
        <v>29553</v>
      </c>
    </row>
    <row r="28358" spans="1:8">
      <c r="F28358" t="s">
        <v>13380</v>
      </c>
      <c r="G28358" t="s">
        <v>17507</v>
      </c>
      <c r="H28358" t="s">
        <v>29551</v>
      </c>
    </row>
    <row r="28359" spans="1:8">
      <c r="H28359" t="s">
        <v>29561</v>
      </c>
    </row>
    <row r="28360" spans="1:8">
      <c r="H28360" t="s">
        <v>29553</v>
      </c>
    </row>
    <row r="28361" spans="1:8">
      <c r="F28361" t="s">
        <v>13381</v>
      </c>
      <c r="G28361" t="s">
        <v>17508</v>
      </c>
      <c r="H28361" t="s">
        <v>29551</v>
      </c>
    </row>
    <row r="28362" spans="1:8">
      <c r="H28362" t="s">
        <v>29562</v>
      </c>
    </row>
    <row r="28363" spans="1:8">
      <c r="H28363" t="s">
        <v>29553</v>
      </c>
    </row>
    <row r="28364" spans="1:8">
      <c r="F28364" t="s">
        <v>13382</v>
      </c>
      <c r="G28364" t="s">
        <v>17509</v>
      </c>
      <c r="H28364" t="s">
        <v>29551</v>
      </c>
    </row>
    <row r="28365" spans="1:8">
      <c r="H28365" t="s">
        <v>29563</v>
      </c>
    </row>
    <row r="28366" spans="1:8">
      <c r="H28366" t="s">
        <v>29553</v>
      </c>
    </row>
    <row r="28367" spans="1:8">
      <c r="A28367" t="s">
        <v>1721</v>
      </c>
      <c r="B28367">
        <f>HYPERLINK("https://android.googlesource.com/platform/cts/+/165b5f2c56f4f0bc38842751e9932912c155bd05", "165b5f2c56f4f0bc38842751e9932912c155bd05")</f>
        <v>0</v>
      </c>
      <c r="C28367">
        <f>HYPERLINK("https://android.googlesource.com/platform/cts/+/5b5b371171f8f5987a246c9e3b95714c46637533", "5b5b371171f8f5987a246c9e3b95714c46637533")</f>
        <v>0</v>
      </c>
      <c r="D28367" t="s">
        <v>5260</v>
      </c>
      <c r="E28367" t="s">
        <v>7475</v>
      </c>
      <c r="F28367" t="s">
        <v>10687</v>
      </c>
      <c r="G28367" t="s">
        <v>15087</v>
      </c>
      <c r="H28367" t="s">
        <v>29564</v>
      </c>
    </row>
    <row r="28368" spans="1:8">
      <c r="H28368" t="s">
        <v>29565</v>
      </c>
    </row>
    <row r="28369" spans="1:8">
      <c r="H28369" t="s">
        <v>29566</v>
      </c>
    </row>
    <row r="28370" spans="1:8">
      <c r="H28370" t="s">
        <v>29567</v>
      </c>
    </row>
    <row r="28371" spans="1:8">
      <c r="A28371" t="s">
        <v>1722</v>
      </c>
      <c r="B28371">
        <f>HYPERLINK("https://android.googlesource.com/platform/cts/+/1ced57ac92c0c93dae407d3e26702f2df4b41a24", "1ced57ac92c0c93dae407d3e26702f2df4b41a24")</f>
        <v>0</v>
      </c>
      <c r="C28371">
        <f>HYPERLINK("https://android.googlesource.com/platform/cts/+/2c133721cfc4d1e0327d9aa7865473771ecf83c3", "2c133721cfc4d1e0327d9aa7865473771ecf83c3")</f>
        <v>0</v>
      </c>
      <c r="D28371" t="s">
        <v>5134</v>
      </c>
      <c r="E28371" t="s">
        <v>7476</v>
      </c>
      <c r="F28371" t="s">
        <v>13230</v>
      </c>
      <c r="G28371" t="s">
        <v>17371</v>
      </c>
      <c r="H28371" t="s">
        <v>29568</v>
      </c>
    </row>
    <row r="28372" spans="1:8">
      <c r="H28372" t="s">
        <v>29569</v>
      </c>
    </row>
    <row r="28373" spans="1:8">
      <c r="F28373" t="s">
        <v>13371</v>
      </c>
      <c r="G28373" t="s">
        <v>17498</v>
      </c>
      <c r="H28373" t="s">
        <v>29570</v>
      </c>
    </row>
    <row r="28374" spans="1:8">
      <c r="A28374" t="s">
        <v>1723</v>
      </c>
      <c r="B28374">
        <f>HYPERLINK("https://android.googlesource.com/platform/cts/+/0867188c15aa31b178e7d26ae683674e49b27932", "0867188c15aa31b178e7d26ae683674e49b27932")</f>
        <v>0</v>
      </c>
      <c r="C28374">
        <f>HYPERLINK("https://android.googlesource.com/platform/cts/+/84789cfeff9ecabca9a3f5746eadb0d342e58eae", "84789cfeff9ecabca9a3f5746eadb0d342e58eae")</f>
        <v>0</v>
      </c>
      <c r="D28374" t="s">
        <v>5134</v>
      </c>
      <c r="E28374" t="s">
        <v>7477</v>
      </c>
      <c r="F28374" t="s">
        <v>13371</v>
      </c>
      <c r="G28374" t="s">
        <v>17498</v>
      </c>
      <c r="H28374" t="s">
        <v>29571</v>
      </c>
    </row>
    <row r="28375" spans="1:8">
      <c r="A28375" t="s">
        <v>1724</v>
      </c>
      <c r="B28375">
        <f>HYPERLINK("https://android.googlesource.com/platform/cts/+/d2a834d03c18fd2acd8c61c271cb1b40e7b3effc", "d2a834d03c18fd2acd8c61c271cb1b40e7b3effc")</f>
        <v>0</v>
      </c>
      <c r="C28375">
        <f>HYPERLINK("https://android.googlesource.com/platform/cts/+/4eb439069abab0d2670eac9507a0fc739dab59f8", "4eb439069abab0d2670eac9507a0fc739dab59f8")</f>
        <v>0</v>
      </c>
      <c r="D28375" t="s">
        <v>5191</v>
      </c>
      <c r="E28375" t="s">
        <v>7478</v>
      </c>
      <c r="F28375" t="s">
        <v>13383</v>
      </c>
      <c r="G28375" t="s">
        <v>17510</v>
      </c>
      <c r="H28375" t="s">
        <v>18927</v>
      </c>
    </row>
    <row r="28376" spans="1:8">
      <c r="A28376" t="s">
        <v>1725</v>
      </c>
      <c r="B28376">
        <f>HYPERLINK("https://android.googlesource.com/platform/cts/+/930b1d3afaa9cbaa5f206459b182c7b32ef471cd", "930b1d3afaa9cbaa5f206459b182c7b32ef471cd")</f>
        <v>0</v>
      </c>
      <c r="C28376">
        <f>HYPERLINK("https://android.googlesource.com/platform/cts/+/404f16249b9131913fedf8b65ecb093dc53a72a8", "404f16249b9131913fedf8b65ecb093dc53a72a8")</f>
        <v>0</v>
      </c>
      <c r="D28376" t="s">
        <v>5086</v>
      </c>
      <c r="E28376" t="s">
        <v>7479</v>
      </c>
      <c r="F28376" t="s">
        <v>12629</v>
      </c>
      <c r="G28376" t="s">
        <v>16838</v>
      </c>
      <c r="H28376" t="s">
        <v>26883</v>
      </c>
    </row>
    <row r="28377" spans="1:8">
      <c r="F28377" t="s">
        <v>12746</v>
      </c>
      <c r="G28377" t="s">
        <v>16938</v>
      </c>
      <c r="H28377" t="s">
        <v>29572</v>
      </c>
    </row>
    <row r="28378" spans="1:8">
      <c r="A28378" t="s">
        <v>1726</v>
      </c>
      <c r="B28378">
        <f>HYPERLINK("https://android.googlesource.com/platform/cts/+/26f75808c3da406c6bf445db5f7a4961ef6b7d93", "26f75808c3da406c6bf445db5f7a4961ef6b7d93")</f>
        <v>0</v>
      </c>
      <c r="C28378">
        <f>HYPERLINK("https://android.googlesource.com/platform/cts/+/f69a8d81b71e1ea3a42779a9860276f60ae6675f", "f69a8d81b71e1ea3a42779a9860276f60ae6675f")</f>
        <v>0</v>
      </c>
      <c r="D28378" t="s">
        <v>5117</v>
      </c>
      <c r="E28378" t="s">
        <v>7480</v>
      </c>
      <c r="F28378" t="s">
        <v>13384</v>
      </c>
      <c r="G28378" t="s">
        <v>17511</v>
      </c>
      <c r="H28378" t="s">
        <v>27705</v>
      </c>
    </row>
    <row r="28379" spans="1:8">
      <c r="A28379" t="s">
        <v>1727</v>
      </c>
      <c r="B28379">
        <f>HYPERLINK("https://android.googlesource.com/platform/cts/+/23ee5b98d1bca99c0add6e1f3694a877a3ab5e6c", "23ee5b98d1bca99c0add6e1f3694a877a3ab5e6c")</f>
        <v>0</v>
      </c>
      <c r="C28379">
        <f>HYPERLINK("https://android.googlesource.com/platform/cts/+/c855e86d46981c77475277ed05e6c54c9dac45c3", "c855e86d46981c77475277ed05e6c54c9dac45c3")</f>
        <v>0</v>
      </c>
      <c r="D28379" t="s">
        <v>5147</v>
      </c>
      <c r="E28379" t="s">
        <v>7481</v>
      </c>
      <c r="F28379" t="s">
        <v>13385</v>
      </c>
      <c r="G28379" t="s">
        <v>17512</v>
      </c>
      <c r="H28379" t="s">
        <v>29573</v>
      </c>
    </row>
    <row r="28380" spans="1:8">
      <c r="H28380" t="s">
        <v>29574</v>
      </c>
    </row>
    <row r="28381" spans="1:8">
      <c r="A28381" t="s">
        <v>1728</v>
      </c>
      <c r="B28381">
        <f>HYPERLINK("https://android.googlesource.com/platform/cts/+/8418e4e5628e3a2402519afa0676fbf77c24f36f", "8418e4e5628e3a2402519afa0676fbf77c24f36f")</f>
        <v>0</v>
      </c>
      <c r="C28381">
        <f>HYPERLINK("https://android.googlesource.com/platform/cts/+/f072725357bffef3b10a70867e65292cdc6d672a", "f072725357bffef3b10a70867e65292cdc6d672a")</f>
        <v>0</v>
      </c>
      <c r="D28381" t="s">
        <v>5147</v>
      </c>
      <c r="E28381" t="s">
        <v>7482</v>
      </c>
      <c r="F28381" t="s">
        <v>13385</v>
      </c>
      <c r="G28381" t="s">
        <v>17512</v>
      </c>
      <c r="H28381" t="s">
        <v>29573</v>
      </c>
    </row>
    <row r="28382" spans="1:8">
      <c r="H28382" t="s">
        <v>29574</v>
      </c>
    </row>
    <row r="28383" spans="1:8">
      <c r="A28383" t="s">
        <v>1729</v>
      </c>
      <c r="B28383">
        <f>HYPERLINK("https://android.googlesource.com/platform/cts/+/b5651e95809968ccd66cba7219768cd9c2ddea33", "b5651e95809968ccd66cba7219768cd9c2ddea33")</f>
        <v>0</v>
      </c>
      <c r="C28383">
        <f>HYPERLINK("https://android.googlesource.com/platform/cts/+/e08a775ae6c9a773843a33788ab8ea873d99c8fa", "e08a775ae6c9a773843a33788ab8ea873d99c8fa")</f>
        <v>0</v>
      </c>
      <c r="D28383" t="s">
        <v>5259</v>
      </c>
      <c r="E28383" t="s">
        <v>7483</v>
      </c>
      <c r="F28383" t="s">
        <v>13342</v>
      </c>
      <c r="G28383" t="s">
        <v>17471</v>
      </c>
      <c r="H28383" t="s">
        <v>29548</v>
      </c>
    </row>
    <row r="28384" spans="1:8">
      <c r="A28384" t="s">
        <v>1730</v>
      </c>
      <c r="B28384">
        <f>HYPERLINK("https://android.googlesource.com/platform/cts/+/2e7b3d4dc635f216c7b07f3b4074ef1183456ef5", "2e7b3d4dc635f216c7b07f3b4074ef1183456ef5")</f>
        <v>0</v>
      </c>
      <c r="C28384">
        <f>HYPERLINK("https://android.googlesource.com/platform/cts/+/883677aef9a7dc6b396bc5c3a2801d0be80e475a", "883677aef9a7dc6b396bc5c3a2801d0be80e475a")</f>
        <v>0</v>
      </c>
      <c r="D28384" t="s">
        <v>5108</v>
      </c>
      <c r="E28384" t="s">
        <v>7484</v>
      </c>
      <c r="F28384" t="s">
        <v>13386</v>
      </c>
      <c r="G28384" t="s">
        <v>17513</v>
      </c>
      <c r="H28384" t="s">
        <v>29575</v>
      </c>
    </row>
    <row r="28385" spans="1:8">
      <c r="H28385" t="s">
        <v>29576</v>
      </c>
    </row>
    <row r="28386" spans="1:8">
      <c r="H28386" t="s">
        <v>29575</v>
      </c>
    </row>
    <row r="28387" spans="1:8">
      <c r="A28387" t="s">
        <v>1731</v>
      </c>
      <c r="B28387">
        <f>HYPERLINK("https://android.googlesource.com/platform/cts/+/703f943f14bc65df9256afca1726a226f87391ca", "703f943f14bc65df9256afca1726a226f87391ca")</f>
        <v>0</v>
      </c>
      <c r="C28387">
        <f>HYPERLINK("https://android.googlesource.com/platform/cts/+/264969f5c989db410f5a218731c1152692dfd786", "264969f5c989db410f5a218731c1152692dfd786")</f>
        <v>0</v>
      </c>
      <c r="D28387" t="s">
        <v>5108</v>
      </c>
      <c r="E28387" t="s">
        <v>7485</v>
      </c>
      <c r="F28387" t="s">
        <v>13386</v>
      </c>
      <c r="G28387" t="s">
        <v>17513</v>
      </c>
      <c r="H28387" t="s">
        <v>29577</v>
      </c>
    </row>
    <row r="28388" spans="1:8">
      <c r="A28388" t="s">
        <v>1732</v>
      </c>
      <c r="B28388">
        <f>HYPERLINK("https://android.googlesource.com/platform/cts/+/25a4cf6f93fb04b47fef5c4990cd3f4b1d97b53b", "25a4cf6f93fb04b47fef5c4990cd3f4b1d97b53b")</f>
        <v>0</v>
      </c>
      <c r="C28388">
        <f>HYPERLINK("https://android.googlesource.com/platform/cts/+/15b59e6f936a5a5521767d3bc5468194f08773af", "15b59e6f936a5a5521767d3bc5468194f08773af")</f>
        <v>0</v>
      </c>
      <c r="D28388" t="s">
        <v>5261</v>
      </c>
      <c r="E28388" t="s">
        <v>7486</v>
      </c>
      <c r="F28388" t="s">
        <v>13387</v>
      </c>
      <c r="G28388" t="s">
        <v>17514</v>
      </c>
      <c r="H28388" t="s">
        <v>18829</v>
      </c>
    </row>
    <row r="28389" spans="1:8">
      <c r="A28389" t="s">
        <v>1733</v>
      </c>
      <c r="B28389">
        <f>HYPERLINK("https://android.googlesource.com/platform/cts/+/fadc96a6125877b9dd110f35ee1f7973aa5deb5e", "fadc96a6125877b9dd110f35ee1f7973aa5deb5e")</f>
        <v>0</v>
      </c>
      <c r="C28389">
        <f>HYPERLINK("https://android.googlesource.com/platform/cts/+/0f05863bde96b03b8052c40b2622395c73370bdd", "0f05863bde96b03b8052c40b2622395c73370bdd")</f>
        <v>0</v>
      </c>
      <c r="D28389" t="s">
        <v>5219</v>
      </c>
      <c r="E28389" t="s">
        <v>7487</v>
      </c>
      <c r="F28389" t="s">
        <v>13388</v>
      </c>
      <c r="G28389" t="s">
        <v>17515</v>
      </c>
      <c r="H28389" t="s">
        <v>20244</v>
      </c>
    </row>
    <row r="28390" spans="1:8">
      <c r="H28390" t="s">
        <v>18829</v>
      </c>
    </row>
    <row r="28391" spans="1:8">
      <c r="H28391" t="s">
        <v>18863</v>
      </c>
    </row>
    <row r="28392" spans="1:8">
      <c r="H28392" t="s">
        <v>29578</v>
      </c>
    </row>
    <row r="28393" spans="1:8">
      <c r="H28393" t="s">
        <v>22590</v>
      </c>
    </row>
    <row r="28394" spans="1:8">
      <c r="F28394" t="s">
        <v>13389</v>
      </c>
      <c r="G28394" t="s">
        <v>17516</v>
      </c>
      <c r="H28394" t="s">
        <v>18829</v>
      </c>
    </row>
    <row r="28395" spans="1:8">
      <c r="H28395" t="s">
        <v>29579</v>
      </c>
    </row>
    <row r="28396" spans="1:8">
      <c r="H28396" t="s">
        <v>29580</v>
      </c>
    </row>
    <row r="28397" spans="1:8">
      <c r="H28397" t="s">
        <v>29581</v>
      </c>
    </row>
    <row r="28398" spans="1:8">
      <c r="H28398" t="s">
        <v>29582</v>
      </c>
    </row>
    <row r="28399" spans="1:8">
      <c r="A28399" t="s">
        <v>1734</v>
      </c>
      <c r="B28399">
        <f>HYPERLINK("https://android.googlesource.com/platform/cts/+/a7ca63bf69a52d472fc72d87fb3b9ba5638c9ca6", "a7ca63bf69a52d472fc72d87fb3b9ba5638c9ca6")</f>
        <v>0</v>
      </c>
      <c r="C28399">
        <f>HYPERLINK("https://android.googlesource.com/platform/cts/+/334c598516cf4a8a2203ff27a06539c3528a91ff", "334c598516cf4a8a2203ff27a06539c3528a91ff")</f>
        <v>0</v>
      </c>
      <c r="D28399" t="s">
        <v>5108</v>
      </c>
      <c r="E28399" t="s">
        <v>7488</v>
      </c>
      <c r="F28399" t="s">
        <v>13390</v>
      </c>
      <c r="G28399" t="s">
        <v>17513</v>
      </c>
      <c r="H28399" t="s">
        <v>29583</v>
      </c>
    </row>
    <row r="28400" spans="1:8">
      <c r="A28400" t="s">
        <v>1735</v>
      </c>
      <c r="B28400">
        <f>HYPERLINK("https://android.googlesource.com/platform/cts/+/4ed82b2f6d1ba89d9cd9cfb6f030ed18b0c046db", "4ed82b2f6d1ba89d9cd9cfb6f030ed18b0c046db")</f>
        <v>0</v>
      </c>
      <c r="C28400">
        <f>HYPERLINK("https://android.googlesource.com/platform/cts/+/409c6ffbfad64ec15869fedbc496ee6344a53050", "409c6ffbfad64ec15869fedbc496ee6344a53050")</f>
        <v>0</v>
      </c>
      <c r="D28400" t="s">
        <v>5240</v>
      </c>
      <c r="E28400" t="s">
        <v>7489</v>
      </c>
      <c r="F28400" t="s">
        <v>12710</v>
      </c>
      <c r="G28400" t="s">
        <v>16911</v>
      </c>
      <c r="H28400" t="s">
        <v>29584</v>
      </c>
    </row>
    <row r="28401" spans="1:8">
      <c r="A28401" t="s">
        <v>1736</v>
      </c>
      <c r="B28401">
        <f>HYPERLINK("https://android.googlesource.com/platform/cts/+/aed7867d94870503abbc128a0bdf6879534f09f7", "aed7867d94870503abbc128a0bdf6879534f09f7")</f>
        <v>0</v>
      </c>
      <c r="C28401">
        <f>HYPERLINK("https://android.googlesource.com/platform/cts/+/65fe1dab9d2fb50a6cb4c47b1efdf4ab876a7608", "65fe1dab9d2fb50a6cb4c47b1efdf4ab876a7608")</f>
        <v>0</v>
      </c>
      <c r="D28401" t="s">
        <v>5240</v>
      </c>
      <c r="E28401" t="s">
        <v>7490</v>
      </c>
      <c r="F28401" t="s">
        <v>12710</v>
      </c>
      <c r="G28401" t="s">
        <v>16911</v>
      </c>
      <c r="H28401" t="s">
        <v>29584</v>
      </c>
    </row>
    <row r="28402" spans="1:8">
      <c r="A28402" t="s">
        <v>1737</v>
      </c>
      <c r="B28402">
        <f>HYPERLINK("https://android.googlesource.com/platform/cts/+/a201f0d3cafe2922ea57d9a6c770af485360756c", "a201f0d3cafe2922ea57d9a6c770af485360756c")</f>
        <v>0</v>
      </c>
      <c r="C28402">
        <f>HYPERLINK("https://android.googlesource.com/platform/cts/+/deecc803262039009f7da8c989f3a879d3eebf19", "deecc803262039009f7da8c989f3a879d3eebf19")</f>
        <v>0</v>
      </c>
      <c r="D28402" t="s">
        <v>4974</v>
      </c>
      <c r="E28402" t="s">
        <v>7103</v>
      </c>
      <c r="F28402" t="s">
        <v>10778</v>
      </c>
      <c r="G28402" t="s">
        <v>15174</v>
      </c>
      <c r="H28402" t="s">
        <v>28399</v>
      </c>
    </row>
    <row r="28403" spans="1:8">
      <c r="A28403" t="s">
        <v>1738</v>
      </c>
      <c r="B28403">
        <f>HYPERLINK("https://android.googlesource.com/platform/cts/+/e21bdfeb8b6eecc012c306972b0d5139ae8a29de", "e21bdfeb8b6eecc012c306972b0d5139ae8a29de")</f>
        <v>0</v>
      </c>
      <c r="C28403">
        <f>HYPERLINK("https://android.googlesource.com/platform/cts/+/8d3f557b62adf0febf34c70896948622b4ea7b64", "8d3f557b62adf0febf34c70896948622b4ea7b64")</f>
        <v>0</v>
      </c>
      <c r="D28403" t="s">
        <v>4974</v>
      </c>
      <c r="E28403" t="s">
        <v>7103</v>
      </c>
      <c r="F28403" t="s">
        <v>10778</v>
      </c>
      <c r="G28403" t="s">
        <v>15174</v>
      </c>
      <c r="H28403" t="s">
        <v>28399</v>
      </c>
    </row>
    <row r="28404" spans="1:8">
      <c r="A28404" t="s">
        <v>1739</v>
      </c>
      <c r="B28404">
        <f>HYPERLINK("https://android.googlesource.com/platform/cts/+/2876329bc5ca8ae5c67dc0697cf1948d50d955bd", "2876329bc5ca8ae5c67dc0697cf1948d50d955bd")</f>
        <v>0</v>
      </c>
      <c r="C28404">
        <f>HYPERLINK("https://android.googlesource.com/platform/cts/+/d955cda2c25bd78bfd56bff45de5dc27bbad3147", "d955cda2c25bd78bfd56bff45de5dc27bbad3147")</f>
        <v>0</v>
      </c>
      <c r="D28404" t="s">
        <v>5262</v>
      </c>
      <c r="E28404" t="s">
        <v>7491</v>
      </c>
      <c r="F28404" t="s">
        <v>13321</v>
      </c>
      <c r="G28404" t="s">
        <v>17452</v>
      </c>
      <c r="H28404" t="s">
        <v>29418</v>
      </c>
    </row>
    <row r="28405" spans="1:8">
      <c r="A28405" t="s">
        <v>1740</v>
      </c>
      <c r="B28405">
        <f>HYPERLINK("https://android.googlesource.com/platform/cts/+/f9cadd3e326a42b118e0e80dabebb26f6140e66d", "f9cadd3e326a42b118e0e80dabebb26f6140e66d")</f>
        <v>0</v>
      </c>
      <c r="C28405">
        <f>HYPERLINK("https://android.googlesource.com/platform/cts/+/b959c03ce60b30f73aba2ea64137760d990497b5", "b959c03ce60b30f73aba2ea64137760d990497b5")</f>
        <v>0</v>
      </c>
      <c r="D28405" t="s">
        <v>5263</v>
      </c>
      <c r="E28405" t="s">
        <v>7492</v>
      </c>
      <c r="F28405" t="s">
        <v>13391</v>
      </c>
      <c r="G28405" t="s">
        <v>17517</v>
      </c>
      <c r="H28405" t="s">
        <v>29585</v>
      </c>
    </row>
    <row r="28406" spans="1:8">
      <c r="A28406" t="s">
        <v>1741</v>
      </c>
      <c r="B28406">
        <f>HYPERLINK("https://android.googlesource.com/platform/cts/+/b0155366971aa75f3d5d160fabe58f6023359fa4", "b0155366971aa75f3d5d160fabe58f6023359fa4")</f>
        <v>0</v>
      </c>
      <c r="C28406">
        <f>HYPERLINK("https://android.googlesource.com/platform/cts/+/2713f2817993341ff914ba702088efa29e66645e", "2713f2817993341ff914ba702088efa29e66645e")</f>
        <v>0</v>
      </c>
      <c r="D28406" t="s">
        <v>5088</v>
      </c>
      <c r="E28406" t="s">
        <v>7493</v>
      </c>
      <c r="F28406" t="s">
        <v>13317</v>
      </c>
      <c r="G28406" t="s">
        <v>17448</v>
      </c>
      <c r="H28406" t="s">
        <v>29155</v>
      </c>
    </row>
    <row r="28407" spans="1:8">
      <c r="A28407" t="s">
        <v>1742</v>
      </c>
      <c r="B28407">
        <f>HYPERLINK("https://android.googlesource.com/platform/cts/+/fa933bc0434e153347cb870f3f4b32cb311919f7", "fa933bc0434e153347cb870f3f4b32cb311919f7")</f>
        <v>0</v>
      </c>
      <c r="C28407">
        <f>HYPERLINK("https://android.googlesource.com/platform/cts/+/99148f08e24473d8b08fe25c5ceafed6862c71bd", "99148f08e24473d8b08fe25c5ceafed6862c71bd")</f>
        <v>0</v>
      </c>
      <c r="D28407" t="s">
        <v>5132</v>
      </c>
      <c r="E28407" t="s">
        <v>7494</v>
      </c>
      <c r="F28407" t="s">
        <v>12959</v>
      </c>
      <c r="G28407" t="s">
        <v>17123</v>
      </c>
      <c r="H28407" t="s">
        <v>29586</v>
      </c>
    </row>
    <row r="28408" spans="1:8">
      <c r="A28408" t="s">
        <v>1743</v>
      </c>
      <c r="B28408">
        <f>HYPERLINK("https://android.googlesource.com/platform/cts/+/e2527dbe0b9f951403ad1fe6cc2441278492da70", "e2527dbe0b9f951403ad1fe6cc2441278492da70")</f>
        <v>0</v>
      </c>
      <c r="C28408">
        <f>HYPERLINK("https://android.googlesource.com/platform/cts/+/372e2d7132e2ac17e0b77333add74bbbb2d8ddfa", "372e2d7132e2ac17e0b77333add74bbbb2d8ddfa")</f>
        <v>0</v>
      </c>
      <c r="D28408" t="s">
        <v>5179</v>
      </c>
      <c r="E28408" t="s">
        <v>7495</v>
      </c>
      <c r="F28408" t="s">
        <v>13392</v>
      </c>
      <c r="G28408" t="s">
        <v>17518</v>
      </c>
      <c r="H28408" t="s">
        <v>29587</v>
      </c>
    </row>
    <row r="28409" spans="1:8">
      <c r="A28409" t="s">
        <v>1744</v>
      </c>
      <c r="B28409">
        <f>HYPERLINK("https://android.googlesource.com/platform/cts/+/4ff2e36ec4d6cffd43c91c65d9c31195d7d0dad5", "4ff2e36ec4d6cffd43c91c65d9c31195d7d0dad5")</f>
        <v>0</v>
      </c>
      <c r="C28409">
        <f>HYPERLINK("https://android.googlesource.com/platform/cts/+/2089c1bef4f34f3ca28b38c3c27d88e3f40f7030", "2089c1bef4f34f3ca28b38c3c27d88e3f40f7030")</f>
        <v>0</v>
      </c>
      <c r="D28409" t="s">
        <v>5264</v>
      </c>
      <c r="E28409" t="s">
        <v>7496</v>
      </c>
      <c r="F28409" t="s">
        <v>13393</v>
      </c>
      <c r="G28409" t="s">
        <v>17519</v>
      </c>
      <c r="H28409" t="s">
        <v>29588</v>
      </c>
    </row>
    <row r="28410" spans="1:8">
      <c r="F28410" t="s">
        <v>13352</v>
      </c>
      <c r="G28410" t="s">
        <v>17479</v>
      </c>
      <c r="H28410" t="s">
        <v>29589</v>
      </c>
    </row>
    <row r="28411" spans="1:8">
      <c r="A28411" t="s">
        <v>1745</v>
      </c>
      <c r="B28411">
        <f>HYPERLINK("https://android.googlesource.com/platform/cts/+/9b8debe0193b564523d6423231408efc4e7900d6", "9b8debe0193b564523d6423231408efc4e7900d6")</f>
        <v>0</v>
      </c>
      <c r="C28411">
        <f>HYPERLINK("https://android.googlesource.com/platform/cts/+/4cb1acd11e755eb5878e48d7e9a6054c9e86599c", "4cb1acd11e755eb5878e48d7e9a6054c9e86599c")</f>
        <v>0</v>
      </c>
      <c r="D28411" t="s">
        <v>5265</v>
      </c>
      <c r="E28411" t="s">
        <v>7497</v>
      </c>
      <c r="F28411" t="s">
        <v>13394</v>
      </c>
      <c r="G28411" t="s">
        <v>17520</v>
      </c>
      <c r="H28411" t="s">
        <v>29590</v>
      </c>
    </row>
    <row r="28412" spans="1:8">
      <c r="H28412" t="s">
        <v>29590</v>
      </c>
    </row>
    <row r="28413" spans="1:8">
      <c r="H28413" t="s">
        <v>29590</v>
      </c>
    </row>
    <row r="28414" spans="1:8">
      <c r="H28414" t="s">
        <v>29590</v>
      </c>
    </row>
    <row r="28415" spans="1:8">
      <c r="H28415" t="s">
        <v>29591</v>
      </c>
    </row>
    <row r="28416" spans="1:8">
      <c r="H28416" t="s">
        <v>29592</v>
      </c>
    </row>
    <row r="28417" spans="1:8">
      <c r="H28417" t="s">
        <v>29593</v>
      </c>
    </row>
    <row r="28418" spans="1:8">
      <c r="H28418" t="s">
        <v>29594</v>
      </c>
    </row>
    <row r="28419" spans="1:8">
      <c r="A28419" t="s">
        <v>1746</v>
      </c>
      <c r="B28419">
        <f>HYPERLINK("https://android.googlesource.com/platform/cts/+/f86294b7e9a7beadc5e8892ab07b802e450133d9", "f86294b7e9a7beadc5e8892ab07b802e450133d9")</f>
        <v>0</v>
      </c>
      <c r="C28419">
        <f>HYPERLINK("https://android.googlesource.com/platform/cts/+/1a15f576fd85ced590cd0c95c81e68608742f3b0", "1a15f576fd85ced590cd0c95c81e68608742f3b0")</f>
        <v>0</v>
      </c>
      <c r="D28419" t="s">
        <v>5266</v>
      </c>
      <c r="E28419" t="s">
        <v>7498</v>
      </c>
      <c r="F28419" t="s">
        <v>12732</v>
      </c>
      <c r="G28419" t="s">
        <v>16926</v>
      </c>
      <c r="H28419" t="s">
        <v>29595</v>
      </c>
    </row>
    <row r="28420" spans="1:8">
      <c r="H28420" t="s">
        <v>29596</v>
      </c>
    </row>
    <row r="28421" spans="1:8">
      <c r="A28421" t="s">
        <v>1747</v>
      </c>
      <c r="B28421">
        <f>HYPERLINK("https://android.googlesource.com/platform/cts/+/d2b1f52389c1851861284189244641967db76a19", "d2b1f52389c1851861284189244641967db76a19")</f>
        <v>0</v>
      </c>
      <c r="C28421">
        <f>HYPERLINK("https://android.googlesource.com/platform/cts/+/f9e65045f2590a5409618dce3c0a38ed17c8a859", "f9e65045f2590a5409618dce3c0a38ed17c8a859")</f>
        <v>0</v>
      </c>
      <c r="D28421" t="s">
        <v>5267</v>
      </c>
      <c r="E28421" t="s">
        <v>7499</v>
      </c>
      <c r="F28421" t="s">
        <v>13395</v>
      </c>
      <c r="G28421" t="s">
        <v>17521</v>
      </c>
      <c r="H28421" t="s">
        <v>29597</v>
      </c>
    </row>
    <row r="28422" spans="1:8">
      <c r="H28422" t="s">
        <v>29598</v>
      </c>
    </row>
    <row r="28423" spans="1:8">
      <c r="A28423" t="s">
        <v>1748</v>
      </c>
      <c r="B28423">
        <f>HYPERLINK("https://android.googlesource.com/platform/cts/+/bcbca6ec2ca9d3b4e983851d72502012d2af6de7", "bcbca6ec2ca9d3b4e983851d72502012d2af6de7")</f>
        <v>0</v>
      </c>
      <c r="C28423">
        <f>HYPERLINK("https://android.googlesource.com/platform/cts/+/0c612c312efa04e1137ed62580ddaed739c153de", "0c612c312efa04e1137ed62580ddaed739c153de")</f>
        <v>0</v>
      </c>
      <c r="D28423" t="s">
        <v>4952</v>
      </c>
      <c r="E28423" t="s">
        <v>7500</v>
      </c>
      <c r="F28423" t="s">
        <v>13396</v>
      </c>
      <c r="G28423" t="s">
        <v>17522</v>
      </c>
      <c r="H28423" t="s">
        <v>18863</v>
      </c>
    </row>
    <row r="28424" spans="1:8">
      <c r="H28424" t="s">
        <v>29599</v>
      </c>
    </row>
    <row r="28425" spans="1:8">
      <c r="H28425" t="s">
        <v>29600</v>
      </c>
    </row>
    <row r="28426" spans="1:8">
      <c r="H28426" t="s">
        <v>29601</v>
      </c>
    </row>
    <row r="28427" spans="1:8">
      <c r="H28427" t="s">
        <v>29602</v>
      </c>
    </row>
    <row r="28428" spans="1:8">
      <c r="H28428" t="s">
        <v>29603</v>
      </c>
    </row>
    <row r="28429" spans="1:8">
      <c r="H28429" t="s">
        <v>29604</v>
      </c>
    </row>
    <row r="28430" spans="1:8">
      <c r="H28430" t="s">
        <v>29605</v>
      </c>
    </row>
    <row r="28431" spans="1:8">
      <c r="H28431" t="s">
        <v>29606</v>
      </c>
    </row>
    <row r="28432" spans="1:8">
      <c r="H28432" t="s">
        <v>29607</v>
      </c>
    </row>
    <row r="28433" spans="8:8">
      <c r="H28433" t="s">
        <v>29608</v>
      </c>
    </row>
    <row r="28434" spans="8:8">
      <c r="H28434" t="s">
        <v>29609</v>
      </c>
    </row>
    <row r="28435" spans="8:8">
      <c r="H28435" t="s">
        <v>29610</v>
      </c>
    </row>
    <row r="28436" spans="8:8">
      <c r="H28436" t="s">
        <v>29611</v>
      </c>
    </row>
    <row r="28437" spans="8:8">
      <c r="H28437" t="s">
        <v>29612</v>
      </c>
    </row>
    <row r="28438" spans="8:8">
      <c r="H28438" t="s">
        <v>29613</v>
      </c>
    </row>
    <row r="28439" spans="8:8">
      <c r="H28439" t="s">
        <v>29614</v>
      </c>
    </row>
    <row r="28440" spans="8:8">
      <c r="H28440" t="s">
        <v>29615</v>
      </c>
    </row>
    <row r="28441" spans="8:8">
      <c r="H28441" t="s">
        <v>29616</v>
      </c>
    </row>
    <row r="28442" spans="8:8">
      <c r="H28442" t="s">
        <v>29617</v>
      </c>
    </row>
    <row r="28443" spans="8:8">
      <c r="H28443" t="s">
        <v>29618</v>
      </c>
    </row>
    <row r="28444" spans="8:8">
      <c r="H28444" t="s">
        <v>29619</v>
      </c>
    </row>
    <row r="28445" spans="8:8">
      <c r="H28445" t="s">
        <v>29620</v>
      </c>
    </row>
    <row r="28446" spans="8:8">
      <c r="H28446" t="s">
        <v>29621</v>
      </c>
    </row>
    <row r="28447" spans="8:8">
      <c r="H28447" t="s">
        <v>29622</v>
      </c>
    </row>
    <row r="28448" spans="8:8">
      <c r="H28448" t="s">
        <v>29623</v>
      </c>
    </row>
    <row r="28449" spans="6:8">
      <c r="H28449" t="s">
        <v>29624</v>
      </c>
    </row>
    <row r="28450" spans="6:8">
      <c r="H28450" t="s">
        <v>29625</v>
      </c>
    </row>
    <row r="28451" spans="6:8">
      <c r="H28451" t="s">
        <v>29626</v>
      </c>
    </row>
    <row r="28452" spans="6:8">
      <c r="H28452" t="s">
        <v>29627</v>
      </c>
    </row>
    <row r="28453" spans="6:8">
      <c r="H28453" t="s">
        <v>29628</v>
      </c>
    </row>
    <row r="28454" spans="6:8">
      <c r="H28454" t="s">
        <v>29629</v>
      </c>
    </row>
    <row r="28455" spans="6:8">
      <c r="H28455" t="s">
        <v>29630</v>
      </c>
    </row>
    <row r="28456" spans="6:8">
      <c r="H28456" t="s">
        <v>29631</v>
      </c>
    </row>
    <row r="28457" spans="6:8">
      <c r="F28457" t="s">
        <v>13397</v>
      </c>
      <c r="G28457" t="s">
        <v>17523</v>
      </c>
      <c r="H28457" t="s">
        <v>18863</v>
      </c>
    </row>
    <row r="28458" spans="6:8">
      <c r="H28458" t="s">
        <v>29632</v>
      </c>
    </row>
    <row r="28459" spans="6:8">
      <c r="H28459" t="s">
        <v>29633</v>
      </c>
    </row>
    <row r="28460" spans="6:8">
      <c r="H28460" t="s">
        <v>29634</v>
      </c>
    </row>
    <row r="28461" spans="6:8">
      <c r="H28461" t="s">
        <v>29635</v>
      </c>
    </row>
    <row r="28462" spans="6:8">
      <c r="H28462" t="s">
        <v>29603</v>
      </c>
    </row>
    <row r="28463" spans="6:8">
      <c r="H28463" t="s">
        <v>29604</v>
      </c>
    </row>
    <row r="28464" spans="6:8">
      <c r="H28464" t="s">
        <v>29605</v>
      </c>
    </row>
    <row r="28465" spans="8:8">
      <c r="H28465" t="s">
        <v>29606</v>
      </c>
    </row>
    <row r="28466" spans="8:8">
      <c r="H28466" t="s">
        <v>29607</v>
      </c>
    </row>
    <row r="28467" spans="8:8">
      <c r="H28467" t="s">
        <v>29608</v>
      </c>
    </row>
    <row r="28468" spans="8:8">
      <c r="H28468" t="s">
        <v>29609</v>
      </c>
    </row>
    <row r="28469" spans="8:8">
      <c r="H28469" t="s">
        <v>29610</v>
      </c>
    </row>
    <row r="28470" spans="8:8">
      <c r="H28470" t="s">
        <v>29611</v>
      </c>
    </row>
    <row r="28471" spans="8:8">
      <c r="H28471" t="s">
        <v>29612</v>
      </c>
    </row>
    <row r="28472" spans="8:8">
      <c r="H28472" t="s">
        <v>29613</v>
      </c>
    </row>
    <row r="28473" spans="8:8">
      <c r="H28473" t="s">
        <v>29614</v>
      </c>
    </row>
    <row r="28474" spans="8:8">
      <c r="H28474" t="s">
        <v>29615</v>
      </c>
    </row>
    <row r="28475" spans="8:8">
      <c r="H28475" t="s">
        <v>29616</v>
      </c>
    </row>
    <row r="28476" spans="8:8">
      <c r="H28476" t="s">
        <v>29617</v>
      </c>
    </row>
    <row r="28477" spans="8:8">
      <c r="H28477" t="s">
        <v>29618</v>
      </c>
    </row>
    <row r="28478" spans="8:8">
      <c r="H28478" t="s">
        <v>29619</v>
      </c>
    </row>
    <row r="28479" spans="8:8">
      <c r="H28479" t="s">
        <v>29620</v>
      </c>
    </row>
    <row r="28480" spans="8:8">
      <c r="H28480" t="s">
        <v>29621</v>
      </c>
    </row>
    <row r="28481" spans="8:8">
      <c r="H28481" t="s">
        <v>29622</v>
      </c>
    </row>
    <row r="28482" spans="8:8">
      <c r="H28482" t="s">
        <v>29623</v>
      </c>
    </row>
    <row r="28483" spans="8:8">
      <c r="H28483" t="s">
        <v>29624</v>
      </c>
    </row>
    <row r="28484" spans="8:8">
      <c r="H28484" t="s">
        <v>29625</v>
      </c>
    </row>
    <row r="28485" spans="8:8">
      <c r="H28485" t="s">
        <v>29636</v>
      </c>
    </row>
    <row r="28486" spans="8:8">
      <c r="H28486" t="s">
        <v>29637</v>
      </c>
    </row>
    <row r="28487" spans="8:8">
      <c r="H28487" t="s">
        <v>29638</v>
      </c>
    </row>
    <row r="28488" spans="8:8">
      <c r="H28488" t="s">
        <v>29639</v>
      </c>
    </row>
    <row r="28489" spans="8:8">
      <c r="H28489" t="s">
        <v>29640</v>
      </c>
    </row>
    <row r="28490" spans="8:8">
      <c r="H28490" t="s">
        <v>29641</v>
      </c>
    </row>
    <row r="28491" spans="8:8">
      <c r="H28491" t="s">
        <v>29642</v>
      </c>
    </row>
    <row r="28492" spans="8:8">
      <c r="H28492" t="s">
        <v>19740</v>
      </c>
    </row>
    <row r="28493" spans="8:8">
      <c r="H28493" t="s">
        <v>29643</v>
      </c>
    </row>
    <row r="28494" spans="8:8">
      <c r="H28494" t="s">
        <v>29644</v>
      </c>
    </row>
    <row r="28495" spans="8:8">
      <c r="H28495" t="s">
        <v>29645</v>
      </c>
    </row>
    <row r="28496" spans="8:8">
      <c r="H28496" t="s">
        <v>29645</v>
      </c>
    </row>
    <row r="28497" spans="8:8">
      <c r="H28497" t="s">
        <v>29646</v>
      </c>
    </row>
    <row r="28498" spans="8:8">
      <c r="H28498" t="s">
        <v>29647</v>
      </c>
    </row>
    <row r="28499" spans="8:8">
      <c r="H28499" t="s">
        <v>29648</v>
      </c>
    </row>
    <row r="28500" spans="8:8">
      <c r="H28500" t="s">
        <v>29649</v>
      </c>
    </row>
    <row r="28501" spans="8:8">
      <c r="H28501" t="s">
        <v>29650</v>
      </c>
    </row>
    <row r="28502" spans="8:8">
      <c r="H28502" t="s">
        <v>29651</v>
      </c>
    </row>
    <row r="28503" spans="8:8">
      <c r="H28503" t="s">
        <v>29652</v>
      </c>
    </row>
    <row r="28504" spans="8:8">
      <c r="H28504" t="s">
        <v>29653</v>
      </c>
    </row>
    <row r="28505" spans="8:8">
      <c r="H28505" t="s">
        <v>29215</v>
      </c>
    </row>
    <row r="28506" spans="8:8">
      <c r="H28506" t="s">
        <v>29215</v>
      </c>
    </row>
    <row r="28507" spans="8:8">
      <c r="H28507" t="s">
        <v>29215</v>
      </c>
    </row>
    <row r="28508" spans="8:8">
      <c r="H28508" t="s">
        <v>29654</v>
      </c>
    </row>
    <row r="28509" spans="8:8">
      <c r="H28509" t="s">
        <v>22205</v>
      </c>
    </row>
    <row r="28510" spans="8:8">
      <c r="H28510" t="s">
        <v>22206</v>
      </c>
    </row>
    <row r="28511" spans="8:8">
      <c r="H28511" t="s">
        <v>22207</v>
      </c>
    </row>
    <row r="28512" spans="8:8">
      <c r="H28512" t="s">
        <v>29655</v>
      </c>
    </row>
    <row r="28513" spans="1:8">
      <c r="H28513" t="s">
        <v>25608</v>
      </c>
    </row>
    <row r="28514" spans="1:8">
      <c r="H28514" t="s">
        <v>25609</v>
      </c>
    </row>
    <row r="28515" spans="1:8">
      <c r="H28515" t="s">
        <v>25610</v>
      </c>
    </row>
    <row r="28516" spans="1:8">
      <c r="H28516" t="s">
        <v>25611</v>
      </c>
    </row>
    <row r="28517" spans="1:8">
      <c r="H28517" t="s">
        <v>25613</v>
      </c>
    </row>
    <row r="28518" spans="1:8">
      <c r="H28518" t="s">
        <v>25612</v>
      </c>
    </row>
    <row r="28519" spans="1:8">
      <c r="A28519" t="s">
        <v>1749</v>
      </c>
      <c r="B28519">
        <f>HYPERLINK("https://android.googlesource.com/platform/cts/+/06347b16cfda7ee0ca87b4dc68cf478c5b6559df", "06347b16cfda7ee0ca87b4dc68cf478c5b6559df")</f>
        <v>0</v>
      </c>
      <c r="C28519">
        <f>HYPERLINK("https://android.googlesource.com/platform/cts/+/1249be8a6157fb3140afd9879eecd80624541bc8", "1249be8a6157fb3140afd9879eecd80624541bc8")</f>
        <v>0</v>
      </c>
      <c r="D28519" t="s">
        <v>5268</v>
      </c>
      <c r="E28519" t="s">
        <v>7501</v>
      </c>
      <c r="F28519" t="s">
        <v>12710</v>
      </c>
      <c r="G28519" t="s">
        <v>16911</v>
      </c>
      <c r="H28519" t="s">
        <v>29656</v>
      </c>
    </row>
    <row r="28520" spans="1:8">
      <c r="A28520" t="s">
        <v>1750</v>
      </c>
      <c r="B28520">
        <f>HYPERLINK("https://android.googlesource.com/platform/cts/+/d9bf7cec6a7b8b8163af24e64358e2e29b10d087", "d9bf7cec6a7b8b8163af24e64358e2e29b10d087")</f>
        <v>0</v>
      </c>
      <c r="C28520">
        <f>HYPERLINK("https://android.googlesource.com/platform/cts/+/d6039c5c4f213e1740fc674522f522f3aadb6522", "d6039c5c4f213e1740fc674522f522f3aadb6522")</f>
        <v>0</v>
      </c>
      <c r="D28520" t="s">
        <v>5032</v>
      </c>
      <c r="E28520" t="s">
        <v>7502</v>
      </c>
      <c r="F28520" t="s">
        <v>13398</v>
      </c>
      <c r="G28520" t="s">
        <v>17524</v>
      </c>
      <c r="H28520" t="s">
        <v>18863</v>
      </c>
    </row>
    <row r="28521" spans="1:8">
      <c r="A28521" t="s">
        <v>1751</v>
      </c>
      <c r="B28521">
        <f>HYPERLINK("https://android.googlesource.com/platform/cts/+/edf28704619fd79df44aedd598eedb40bb4cad15", "edf28704619fd79df44aedd598eedb40bb4cad15")</f>
        <v>0</v>
      </c>
      <c r="C28521">
        <f>HYPERLINK("https://android.googlesource.com/platform/cts/+/008a737c965f3e8da68c853236436a919f23f4de", "008a737c965f3e8da68c853236436a919f23f4de")</f>
        <v>0</v>
      </c>
      <c r="D28521" t="s">
        <v>5111</v>
      </c>
      <c r="E28521" t="s">
        <v>7503</v>
      </c>
      <c r="F28521" t="s">
        <v>13399</v>
      </c>
      <c r="G28521" t="s">
        <v>17525</v>
      </c>
      <c r="H28521" t="s">
        <v>29551</v>
      </c>
    </row>
    <row r="28522" spans="1:8">
      <c r="H28522" t="s">
        <v>29657</v>
      </c>
    </row>
    <row r="28523" spans="1:8">
      <c r="F28523" t="s">
        <v>13400</v>
      </c>
      <c r="G28523" t="s">
        <v>17526</v>
      </c>
      <c r="H28523" t="s">
        <v>29551</v>
      </c>
    </row>
    <row r="28524" spans="1:8">
      <c r="H28524" t="s">
        <v>29658</v>
      </c>
    </row>
    <row r="28525" spans="1:8">
      <c r="A28525" t="s">
        <v>1752</v>
      </c>
      <c r="B28525">
        <f>HYPERLINK("https://android.googlesource.com/platform/cts/+/e894c10fb24b98df20b0b6ea9bbd60f7e6cb8016", "e894c10fb24b98df20b0b6ea9bbd60f7e6cb8016")</f>
        <v>0</v>
      </c>
      <c r="C28525">
        <f>HYPERLINK("https://android.googlesource.com/platform/cts/+/390c1dd19c61ec61939aebedea0e77cee4a1268c", "390c1dd19c61ec61939aebedea0e77cee4a1268c")</f>
        <v>0</v>
      </c>
      <c r="D28525" t="s">
        <v>5186</v>
      </c>
      <c r="E28525" t="s">
        <v>7504</v>
      </c>
      <c r="F28525" t="s">
        <v>12612</v>
      </c>
      <c r="G28525" t="s">
        <v>16823</v>
      </c>
      <c r="H28525" t="s">
        <v>20083</v>
      </c>
    </row>
    <row r="28526" spans="1:8">
      <c r="H28526" t="s">
        <v>29659</v>
      </c>
    </row>
    <row r="28527" spans="1:8">
      <c r="A28527" t="s">
        <v>1753</v>
      </c>
      <c r="B28527">
        <f>HYPERLINK("https://android.googlesource.com/platform/cts/+/400d169e3b1b3b17f100a7d5ba856d85d50d3782", "400d169e3b1b3b17f100a7d5ba856d85d50d3782")</f>
        <v>0</v>
      </c>
      <c r="C28527">
        <f>HYPERLINK("https://android.googlesource.com/platform/cts/+/13e1eb3e9f0abfb6d95e8c6b94a9070ab5e1cad5", "13e1eb3e9f0abfb6d95e8c6b94a9070ab5e1cad5")</f>
        <v>0</v>
      </c>
      <c r="D28527" t="s">
        <v>5191</v>
      </c>
      <c r="E28527" t="s">
        <v>7505</v>
      </c>
      <c r="F28527" t="s">
        <v>13401</v>
      </c>
      <c r="G28527" t="s">
        <v>17527</v>
      </c>
      <c r="H28527" t="s">
        <v>18829</v>
      </c>
    </row>
    <row r="28528" spans="1:8">
      <c r="H28528" t="s">
        <v>29660</v>
      </c>
    </row>
    <row r="28529" spans="1:8">
      <c r="H28529" t="s">
        <v>29661</v>
      </c>
    </row>
    <row r="28530" spans="1:8">
      <c r="H28530" t="s">
        <v>29662</v>
      </c>
    </row>
    <row r="28531" spans="1:8">
      <c r="H28531" t="s">
        <v>29663</v>
      </c>
    </row>
    <row r="28532" spans="1:8">
      <c r="H28532" t="s">
        <v>29664</v>
      </c>
    </row>
    <row r="28533" spans="1:8">
      <c r="H28533" t="s">
        <v>29665</v>
      </c>
    </row>
    <row r="28534" spans="1:8">
      <c r="A28534" t="s">
        <v>1754</v>
      </c>
      <c r="B28534">
        <f>HYPERLINK("https://android.googlesource.com/platform/cts/+/ae2e4240e4e934c5fe757ab17b2a4bb607ead530", "ae2e4240e4e934c5fe757ab17b2a4bb607ead530")</f>
        <v>0</v>
      </c>
      <c r="C28534">
        <f>HYPERLINK("https://android.googlesource.com/platform/cts/+/cbe4c4d9f5b152606c9c4decc885a194787d921b", "cbe4c4d9f5b152606c9c4decc885a194787d921b")</f>
        <v>0</v>
      </c>
      <c r="D28534" t="s">
        <v>5269</v>
      </c>
      <c r="E28534" t="s">
        <v>7506</v>
      </c>
      <c r="F28534" t="s">
        <v>12821</v>
      </c>
      <c r="G28534" t="s">
        <v>17000</v>
      </c>
      <c r="H28534" t="s">
        <v>29666</v>
      </c>
    </row>
    <row r="28535" spans="1:8">
      <c r="H28535" t="s">
        <v>29667</v>
      </c>
    </row>
    <row r="28536" spans="1:8">
      <c r="H28536" t="s">
        <v>29668</v>
      </c>
    </row>
    <row r="28537" spans="1:8">
      <c r="H28537" t="s">
        <v>29669</v>
      </c>
    </row>
    <row r="28538" spans="1:8">
      <c r="H28538" t="s">
        <v>18893</v>
      </c>
    </row>
    <row r="28539" spans="1:8">
      <c r="H28539" t="s">
        <v>29670</v>
      </c>
    </row>
    <row r="28540" spans="1:8">
      <c r="H28540" t="s">
        <v>29671</v>
      </c>
    </row>
    <row r="28541" spans="1:8">
      <c r="H28541" t="s">
        <v>29671</v>
      </c>
    </row>
    <row r="28542" spans="1:8">
      <c r="H28542" t="s">
        <v>29672</v>
      </c>
    </row>
    <row r="28543" spans="1:8">
      <c r="H28543" t="s">
        <v>29673</v>
      </c>
    </row>
    <row r="28544" spans="1:8">
      <c r="H28544" t="s">
        <v>29674</v>
      </c>
    </row>
    <row r="28545" spans="1:8">
      <c r="H28545" t="s">
        <v>29675</v>
      </c>
    </row>
    <row r="28546" spans="1:8">
      <c r="A28546" t="s">
        <v>1755</v>
      </c>
      <c r="B28546">
        <f>HYPERLINK("https://android.googlesource.com/platform/cts/+/74820224e9a5301757b3bc710d0a6241631b20fd", "74820224e9a5301757b3bc710d0a6241631b20fd")</f>
        <v>0</v>
      </c>
      <c r="C28546">
        <f>HYPERLINK("https://android.googlesource.com/platform/cts/+/bb7062c4229d4a553db396412f830bcfb0449093", "bb7062c4229d4a553db396412f830bcfb0449093")</f>
        <v>0</v>
      </c>
      <c r="D28546" t="s">
        <v>5134</v>
      </c>
      <c r="E28546" t="s">
        <v>7507</v>
      </c>
      <c r="F28546" t="s">
        <v>13402</v>
      </c>
      <c r="G28546" t="s">
        <v>17528</v>
      </c>
      <c r="H28546" t="s">
        <v>29676</v>
      </c>
    </row>
    <row r="28547" spans="1:8">
      <c r="A28547" t="s">
        <v>1756</v>
      </c>
      <c r="B28547">
        <f>HYPERLINK("https://android.googlesource.com/platform/cts/+/41ceea37eccb83af78f7897f4bb792e128ba811f", "41ceea37eccb83af78f7897f4bb792e128ba811f")</f>
        <v>0</v>
      </c>
      <c r="C28547">
        <f>HYPERLINK("https://android.googlesource.com/platform/cts/+/6ac7dd2e135d01dd4b2452811e69e68b5e7678d2", "6ac7dd2e135d01dd4b2452811e69e68b5e7678d2")</f>
        <v>0</v>
      </c>
      <c r="D28547" t="s">
        <v>5134</v>
      </c>
      <c r="E28547" t="s">
        <v>7508</v>
      </c>
      <c r="F28547" t="s">
        <v>13230</v>
      </c>
      <c r="G28547" t="s">
        <v>17371</v>
      </c>
      <c r="H28547" t="s">
        <v>29677</v>
      </c>
    </row>
    <row r="28548" spans="1:8">
      <c r="H28548" t="s">
        <v>29678</v>
      </c>
    </row>
    <row r="28549" spans="1:8">
      <c r="H28549" t="s">
        <v>29679</v>
      </c>
    </row>
    <row r="28550" spans="1:8">
      <c r="H28550" t="s">
        <v>29680</v>
      </c>
    </row>
    <row r="28551" spans="1:8">
      <c r="H28551" t="s">
        <v>29681</v>
      </c>
    </row>
    <row r="28552" spans="1:8">
      <c r="H28552" t="s">
        <v>29682</v>
      </c>
    </row>
    <row r="28553" spans="1:8">
      <c r="H28553" t="s">
        <v>29683</v>
      </c>
    </row>
    <row r="28554" spans="1:8">
      <c r="H28554" t="s">
        <v>29684</v>
      </c>
    </row>
    <row r="28555" spans="1:8">
      <c r="A28555" t="s">
        <v>1757</v>
      </c>
      <c r="B28555">
        <f>HYPERLINK("https://android.googlesource.com/platform/cts/+/4a4c4fd5237e506b76003249d2976d1d0a5bdffb", "4a4c4fd5237e506b76003249d2976d1d0a5bdffb")</f>
        <v>0</v>
      </c>
      <c r="C28555">
        <f>HYPERLINK("https://android.googlesource.com/platform/cts/+/41ceea37eccb83af78f7897f4bb792e128ba811f", "41ceea37eccb83af78f7897f4bb792e128ba811f")</f>
        <v>0</v>
      </c>
      <c r="D28555" t="s">
        <v>5134</v>
      </c>
      <c r="E28555" t="s">
        <v>7509</v>
      </c>
      <c r="F28555" t="s">
        <v>13403</v>
      </c>
      <c r="G28555" t="s">
        <v>17529</v>
      </c>
      <c r="H28555" t="s">
        <v>29677</v>
      </c>
    </row>
    <row r="28556" spans="1:8">
      <c r="H28556" t="s">
        <v>29678</v>
      </c>
    </row>
    <row r="28557" spans="1:8">
      <c r="H28557" t="s">
        <v>29679</v>
      </c>
    </row>
    <row r="28558" spans="1:8">
      <c r="H28558" t="s">
        <v>29680</v>
      </c>
    </row>
    <row r="28559" spans="1:8">
      <c r="H28559" t="s">
        <v>29681</v>
      </c>
    </row>
    <row r="28560" spans="1:8">
      <c r="H28560" t="s">
        <v>29682</v>
      </c>
    </row>
    <row r="28561" spans="1:8">
      <c r="H28561" t="s">
        <v>29684</v>
      </c>
    </row>
    <row r="28562" spans="1:8">
      <c r="A28562" t="s">
        <v>1758</v>
      </c>
      <c r="B28562">
        <f>HYPERLINK("https://android.googlesource.com/platform/cts/+/2c6a520be7e9730e98289796290a3253d5e84f50", "2c6a520be7e9730e98289796290a3253d5e84f50")</f>
        <v>0</v>
      </c>
      <c r="C28562">
        <f>HYPERLINK("https://android.googlesource.com/platform/cts/+/5d7799bc285c408b190cc4bd37ed1e174412df25", "5d7799bc285c408b190cc4bd37ed1e174412df25")</f>
        <v>0</v>
      </c>
      <c r="D28562" t="s">
        <v>5270</v>
      </c>
      <c r="E28562" t="s">
        <v>7510</v>
      </c>
      <c r="F28562" t="s">
        <v>13335</v>
      </c>
      <c r="G28562" t="s">
        <v>17465</v>
      </c>
      <c r="H28562" t="s">
        <v>29685</v>
      </c>
    </row>
    <row r="28563" spans="1:8">
      <c r="A28563" t="s">
        <v>1759</v>
      </c>
      <c r="B28563">
        <f>HYPERLINK("https://android.googlesource.com/platform/cts/+/53d494eb091e9e598091f5298689dcbd1c41314e", "53d494eb091e9e598091f5298689dcbd1c41314e")</f>
        <v>0</v>
      </c>
      <c r="C28563">
        <f>HYPERLINK("https://android.googlesource.com/platform/cts/+/f8c88838fef98b165d706235b3da9b36bf896067", "f8c88838fef98b165d706235b3da9b36bf896067")</f>
        <v>0</v>
      </c>
      <c r="D28563" t="s">
        <v>5191</v>
      </c>
      <c r="E28563" t="s">
        <v>7511</v>
      </c>
      <c r="F28563" t="s">
        <v>13404</v>
      </c>
      <c r="G28563" t="s">
        <v>17530</v>
      </c>
      <c r="H28563" t="s">
        <v>29686</v>
      </c>
    </row>
    <row r="28564" spans="1:8">
      <c r="H28564" t="s">
        <v>29687</v>
      </c>
    </row>
    <row r="28565" spans="1:8">
      <c r="H28565" t="s">
        <v>29688</v>
      </c>
    </row>
    <row r="28566" spans="1:8">
      <c r="H28566" t="s">
        <v>29689</v>
      </c>
    </row>
    <row r="28567" spans="1:8">
      <c r="H28567" t="s">
        <v>29690</v>
      </c>
    </row>
    <row r="28568" spans="1:8">
      <c r="H28568" t="s">
        <v>29691</v>
      </c>
    </row>
    <row r="28569" spans="1:8">
      <c r="H28569" t="s">
        <v>29692</v>
      </c>
    </row>
    <row r="28570" spans="1:8">
      <c r="H28570" t="s">
        <v>29693</v>
      </c>
    </row>
    <row r="28571" spans="1:8">
      <c r="H28571" t="s">
        <v>29694</v>
      </c>
    </row>
    <row r="28572" spans="1:8">
      <c r="H28572" t="s">
        <v>29695</v>
      </c>
    </row>
    <row r="28573" spans="1:8">
      <c r="H28573" t="s">
        <v>29696</v>
      </c>
    </row>
    <row r="28574" spans="1:8">
      <c r="H28574" t="s">
        <v>29697</v>
      </c>
    </row>
    <row r="28575" spans="1:8">
      <c r="H28575" t="s">
        <v>29698</v>
      </c>
    </row>
    <row r="28576" spans="1:8">
      <c r="H28576" t="s">
        <v>29699</v>
      </c>
    </row>
    <row r="28577" spans="1:8">
      <c r="H28577" t="s">
        <v>29700</v>
      </c>
    </row>
    <row r="28578" spans="1:8">
      <c r="A28578" t="s">
        <v>1760</v>
      </c>
      <c r="B28578">
        <f>HYPERLINK("https://android.googlesource.com/platform/cts/+/5956c998910401a5b5fd74f63682a7348f38919c", "5956c998910401a5b5fd74f63682a7348f38919c")</f>
        <v>0</v>
      </c>
      <c r="C28578">
        <f>HYPERLINK("https://android.googlesource.com/platform/cts/+/45b949b5a29dea022683262e54b1d76a4a61d8e0", "45b949b5a29dea022683262e54b1d76a4a61d8e0")</f>
        <v>0</v>
      </c>
      <c r="D28578" t="s">
        <v>5271</v>
      </c>
      <c r="E28578" t="s">
        <v>7512</v>
      </c>
      <c r="F28578" t="s">
        <v>13309</v>
      </c>
      <c r="G28578" t="s">
        <v>17442</v>
      </c>
      <c r="H28578" t="s">
        <v>26064</v>
      </c>
    </row>
    <row r="28579" spans="1:8">
      <c r="A28579" t="s">
        <v>1761</v>
      </c>
      <c r="B28579">
        <f>HYPERLINK("https://android.googlesource.com/platform/cts/+/d27aee23b0339599bbab47b73e06fc99f886b319", "d27aee23b0339599bbab47b73e06fc99f886b319")</f>
        <v>0</v>
      </c>
      <c r="C28579">
        <f>HYPERLINK("https://android.googlesource.com/platform/cts/+/6c6ab78b1a3573d90bb10f7fbfce633fd6dfb276", "6c6ab78b1a3573d90bb10f7fbfce633fd6dfb276")</f>
        <v>0</v>
      </c>
      <c r="D28579" t="s">
        <v>5128</v>
      </c>
      <c r="E28579" t="s">
        <v>7513</v>
      </c>
      <c r="F28579" t="s">
        <v>13405</v>
      </c>
      <c r="G28579" t="s">
        <v>17531</v>
      </c>
      <c r="H28579" t="s">
        <v>29701</v>
      </c>
    </row>
    <row r="28580" spans="1:8">
      <c r="H28580" t="s">
        <v>29702</v>
      </c>
    </row>
    <row r="28581" spans="1:8">
      <c r="H28581" t="s">
        <v>29703</v>
      </c>
    </row>
    <row r="28582" spans="1:8">
      <c r="A28582" t="s">
        <v>1762</v>
      </c>
      <c r="B28582">
        <f>HYPERLINK("https://android.googlesource.com/platform/cts/+/8fb399b5028e0bfeba9334d055a19a3009e479b6", "8fb399b5028e0bfeba9334d055a19a3009e479b6")</f>
        <v>0</v>
      </c>
      <c r="C28582">
        <f>HYPERLINK("https://android.googlesource.com/platform/cts/+/e2837b79959f4a2505f18d3f821326df2182a944", "e2837b79959f4a2505f18d3f821326df2182a944")</f>
        <v>0</v>
      </c>
      <c r="D28582" t="s">
        <v>5272</v>
      </c>
      <c r="E28582" t="s">
        <v>7514</v>
      </c>
      <c r="F28582" t="s">
        <v>13406</v>
      </c>
      <c r="G28582" t="s">
        <v>17532</v>
      </c>
      <c r="H28582" t="s">
        <v>29704</v>
      </c>
    </row>
    <row r="28583" spans="1:8">
      <c r="A28583" t="s">
        <v>1763</v>
      </c>
      <c r="B28583">
        <f>HYPERLINK("https://android.googlesource.com/platform/cts/+/3c8b8dc070b6ed00a4c74c48f17790047438bc16", "3c8b8dc070b6ed00a4c74c48f17790047438bc16")</f>
        <v>0</v>
      </c>
      <c r="C28583">
        <f>HYPERLINK("https://android.googlesource.com/platform/cts/+/653384c059f2ae83dcabd770ffbab904f02273e5", "653384c059f2ae83dcabd770ffbab904f02273e5")</f>
        <v>0</v>
      </c>
      <c r="D28583" t="s">
        <v>5195</v>
      </c>
      <c r="E28583" t="s">
        <v>7515</v>
      </c>
      <c r="F28583" t="s">
        <v>13407</v>
      </c>
      <c r="G28583" t="s">
        <v>17533</v>
      </c>
      <c r="H28583" t="s">
        <v>29705</v>
      </c>
    </row>
    <row r="28584" spans="1:8">
      <c r="A28584" t="s">
        <v>1764</v>
      </c>
      <c r="B28584">
        <f>HYPERLINK("https://android.googlesource.com/platform/cts/+/1d6955d6c6830fab9aeecde482c4d3d3866da3e5", "1d6955d6c6830fab9aeecde482c4d3d3866da3e5")</f>
        <v>0</v>
      </c>
      <c r="C28584">
        <f>HYPERLINK("https://android.googlesource.com/platform/cts/+/3c8b8dc070b6ed00a4c74c48f17790047438bc16", "3c8b8dc070b6ed00a4c74c48f17790047438bc16")</f>
        <v>0</v>
      </c>
      <c r="D28584" t="s">
        <v>5195</v>
      </c>
      <c r="E28584" t="s">
        <v>7516</v>
      </c>
      <c r="F28584" t="s">
        <v>13407</v>
      </c>
      <c r="G28584" t="s">
        <v>17533</v>
      </c>
      <c r="H28584" t="s">
        <v>20177</v>
      </c>
    </row>
    <row r="28585" spans="1:8">
      <c r="H28585" t="s">
        <v>29706</v>
      </c>
    </row>
    <row r="28586" spans="1:8">
      <c r="H28586" t="s">
        <v>29707</v>
      </c>
    </row>
    <row r="28587" spans="1:8">
      <c r="H28587" t="s">
        <v>29708</v>
      </c>
    </row>
    <row r="28588" spans="1:8">
      <c r="H28588" t="s">
        <v>29709</v>
      </c>
    </row>
    <row r="28589" spans="1:8">
      <c r="H28589" t="s">
        <v>29710</v>
      </c>
    </row>
    <row r="28590" spans="1:8">
      <c r="H28590" t="s">
        <v>29711</v>
      </c>
    </row>
    <row r="28591" spans="1:8">
      <c r="H28591" t="s">
        <v>18829</v>
      </c>
    </row>
    <row r="28592" spans="1:8">
      <c r="H28592" t="s">
        <v>18863</v>
      </c>
    </row>
    <row r="28593" spans="1:8">
      <c r="H28593" t="s">
        <v>29712</v>
      </c>
    </row>
    <row r="28594" spans="1:8">
      <c r="H28594" t="s">
        <v>29713</v>
      </c>
    </row>
    <row r="28595" spans="1:8">
      <c r="H28595" t="s">
        <v>29714</v>
      </c>
    </row>
    <row r="28596" spans="1:8">
      <c r="A28596" t="s">
        <v>1765</v>
      </c>
      <c r="B28596">
        <f>HYPERLINK("https://android.googlesource.com/platform/cts/+/6d73b079aca2cea80e6c3b9630a79e15be7d1a86", "6d73b079aca2cea80e6c3b9630a79e15be7d1a86")</f>
        <v>0</v>
      </c>
      <c r="C28596">
        <f>HYPERLINK("https://android.googlesource.com/platform/cts/+/7bac17f86d987ba38fc52e9855335fd49825b471", "7bac17f86d987ba38fc52e9855335fd49825b471")</f>
        <v>0</v>
      </c>
      <c r="D28596" t="s">
        <v>5191</v>
      </c>
      <c r="E28596" t="s">
        <v>7517</v>
      </c>
      <c r="F28596" t="s">
        <v>13348</v>
      </c>
      <c r="G28596" t="s">
        <v>17475</v>
      </c>
      <c r="H28596" t="s">
        <v>25497</v>
      </c>
    </row>
    <row r="28597" spans="1:8">
      <c r="H28597" t="s">
        <v>20244</v>
      </c>
    </row>
    <row r="28598" spans="1:8">
      <c r="H28598" t="s">
        <v>22590</v>
      </c>
    </row>
    <row r="28599" spans="1:8">
      <c r="F28599" t="s">
        <v>13331</v>
      </c>
      <c r="G28599" t="s">
        <v>17461</v>
      </c>
      <c r="H28599" t="s">
        <v>20244</v>
      </c>
    </row>
    <row r="28600" spans="1:8">
      <c r="F28600" t="s">
        <v>13408</v>
      </c>
      <c r="G28600" t="s">
        <v>17534</v>
      </c>
      <c r="H28600" t="s">
        <v>20244</v>
      </c>
    </row>
    <row r="28601" spans="1:8">
      <c r="F28601" t="s">
        <v>13332</v>
      </c>
      <c r="G28601" t="s">
        <v>17462</v>
      </c>
      <c r="H28601" t="s">
        <v>25497</v>
      </c>
    </row>
    <row r="28602" spans="1:8">
      <c r="H28602" t="s">
        <v>20244</v>
      </c>
    </row>
    <row r="28603" spans="1:8">
      <c r="F28603" t="s">
        <v>13333</v>
      </c>
      <c r="G28603" t="s">
        <v>17463</v>
      </c>
      <c r="H28603" t="s">
        <v>25497</v>
      </c>
    </row>
    <row r="28604" spans="1:8">
      <c r="H28604" t="s">
        <v>20244</v>
      </c>
    </row>
    <row r="28605" spans="1:8">
      <c r="H28605" t="s">
        <v>18863</v>
      </c>
    </row>
    <row r="28606" spans="1:8">
      <c r="F28606" t="s">
        <v>13409</v>
      </c>
      <c r="G28606" t="s">
        <v>17535</v>
      </c>
      <c r="H28606" t="s">
        <v>18829</v>
      </c>
    </row>
    <row r="28607" spans="1:8">
      <c r="A28607" t="s">
        <v>1766</v>
      </c>
      <c r="B28607">
        <f>HYPERLINK("https://android.googlesource.com/platform/cts/+/f259159ca7ba7c2996c5083cac1d9f469ad2a12c", "f259159ca7ba7c2996c5083cac1d9f469ad2a12c")</f>
        <v>0</v>
      </c>
      <c r="C28607">
        <f>HYPERLINK("https://android.googlesource.com/platform/cts/+/f8c88838fef98b165d706235b3da9b36bf896067", "f8c88838fef98b165d706235b3da9b36bf896067")</f>
        <v>0</v>
      </c>
      <c r="D28607" t="s">
        <v>5265</v>
      </c>
      <c r="E28607" t="s">
        <v>7518</v>
      </c>
      <c r="F28607" t="s">
        <v>10756</v>
      </c>
      <c r="G28607" t="s">
        <v>15154</v>
      </c>
      <c r="H28607" t="s">
        <v>18876</v>
      </c>
    </row>
    <row r="28608" spans="1:8">
      <c r="A28608" t="s">
        <v>1767</v>
      </c>
      <c r="B28608">
        <f>HYPERLINK("https://android.googlesource.com/platform/cts/+/e29b8e0f467c80bfedd4795938b3e04b3177c566", "e29b8e0f467c80bfedd4795938b3e04b3177c566")</f>
        <v>0</v>
      </c>
      <c r="C28608">
        <f>HYPERLINK("https://android.googlesource.com/platform/cts/+/b042a4415dbe145728a49dee81aa92b594c601de", "b042a4415dbe145728a49dee81aa92b594c601de")</f>
        <v>0</v>
      </c>
      <c r="D28608" t="s">
        <v>5191</v>
      </c>
      <c r="E28608" t="s">
        <v>7519</v>
      </c>
      <c r="F28608" t="s">
        <v>13410</v>
      </c>
      <c r="G28608" t="s">
        <v>17536</v>
      </c>
      <c r="H28608" t="s">
        <v>29715</v>
      </c>
    </row>
    <row r="28609" spans="1:8">
      <c r="H28609" t="s">
        <v>29716</v>
      </c>
    </row>
    <row r="28610" spans="1:8">
      <c r="H28610" t="s">
        <v>29717</v>
      </c>
    </row>
    <row r="28611" spans="1:8">
      <c r="A28611" t="s">
        <v>1768</v>
      </c>
      <c r="B28611">
        <f>HYPERLINK("https://android.googlesource.com/platform/cts/+/c57c89091963b9eb0428277d1ece22b1fda8d524", "c57c89091963b9eb0428277d1ece22b1fda8d524")</f>
        <v>0</v>
      </c>
      <c r="C28611">
        <f>HYPERLINK("https://android.googlesource.com/platform/cts/+/a8b3fdfef93dc139a7edcb2bd44cb379f2526e1d", "a8b3fdfef93dc139a7edcb2bd44cb379f2526e1d")</f>
        <v>0</v>
      </c>
      <c r="D28611" t="s">
        <v>5273</v>
      </c>
      <c r="E28611" t="s">
        <v>7520</v>
      </c>
      <c r="F28611" t="s">
        <v>13350</v>
      </c>
      <c r="G28611" t="s">
        <v>17477</v>
      </c>
      <c r="H28611" t="s">
        <v>29428</v>
      </c>
    </row>
    <row r="28612" spans="1:8">
      <c r="F28612" t="s">
        <v>13411</v>
      </c>
      <c r="G28612" t="s">
        <v>17537</v>
      </c>
      <c r="H28612" t="s">
        <v>29718</v>
      </c>
    </row>
    <row r="28613" spans="1:8">
      <c r="A28613" t="s">
        <v>1769</v>
      </c>
      <c r="B28613">
        <f>HYPERLINK("https://android.googlesource.com/platform/cts/+/7e54cd2a1b5f0a7b8f88f1a58c0127fd5fcfb005", "7e54cd2a1b5f0a7b8f88f1a58c0127fd5fcfb005")</f>
        <v>0</v>
      </c>
      <c r="C28613">
        <f>HYPERLINK("https://android.googlesource.com/platform/cts/+/cec7e2c4f3fdf78da5a97a267e0ef1b4cfb13f6e", "cec7e2c4f3fdf78da5a97a267e0ef1b4cfb13f6e")</f>
        <v>0</v>
      </c>
      <c r="D28613" t="s">
        <v>5274</v>
      </c>
      <c r="E28613" t="s">
        <v>7521</v>
      </c>
      <c r="F28613" t="s">
        <v>13412</v>
      </c>
      <c r="G28613" t="s">
        <v>17538</v>
      </c>
      <c r="H28613" t="s">
        <v>29719</v>
      </c>
    </row>
    <row r="28614" spans="1:8">
      <c r="A28614" t="s">
        <v>1770</v>
      </c>
      <c r="B28614">
        <f>HYPERLINK("https://android.googlesource.com/platform/cts/+/ffc30d238afb7a0832d11a6740cd7fa973fa127f", "ffc30d238afb7a0832d11a6740cd7fa973fa127f")</f>
        <v>0</v>
      </c>
      <c r="C28614">
        <f>HYPERLINK("https://android.googlesource.com/platform/cts/+/ddde083e52bea0b6c4c36a963b81fcb547ccc114", "ddde083e52bea0b6c4c36a963b81fcb547ccc114")</f>
        <v>0</v>
      </c>
      <c r="D28614" t="s">
        <v>5110</v>
      </c>
      <c r="E28614" t="s">
        <v>7522</v>
      </c>
      <c r="F28614" t="s">
        <v>12901</v>
      </c>
      <c r="G28614" t="s">
        <v>17068</v>
      </c>
      <c r="H28614" t="s">
        <v>26877</v>
      </c>
    </row>
    <row r="28615" spans="1:8">
      <c r="A28615" t="s">
        <v>1771</v>
      </c>
      <c r="B28615">
        <f>HYPERLINK("https://android.googlesource.com/platform/cts/+/3ae8059ea47c78869bc8aa1d0a8a4a7b726bf019", "3ae8059ea47c78869bc8aa1d0a8a4a7b726bf019")</f>
        <v>0</v>
      </c>
      <c r="C28615">
        <f>HYPERLINK("https://android.googlesource.com/platform/cts/+/3ddbd06f88653089694dca05c673227b6f5b9204", "3ddbd06f88653089694dca05c673227b6f5b9204")</f>
        <v>0</v>
      </c>
      <c r="D28615" t="s">
        <v>5215</v>
      </c>
      <c r="E28615" t="s">
        <v>7523</v>
      </c>
      <c r="F28615" t="s">
        <v>13032</v>
      </c>
      <c r="G28615" t="s">
        <v>17196</v>
      </c>
      <c r="H28615" t="s">
        <v>29486</v>
      </c>
    </row>
    <row r="28616" spans="1:8">
      <c r="H28616" t="s">
        <v>29487</v>
      </c>
    </row>
    <row r="28617" spans="1:8">
      <c r="H28617" t="s">
        <v>29488</v>
      </c>
    </row>
    <row r="28618" spans="1:8">
      <c r="A28618" t="s">
        <v>1772</v>
      </c>
      <c r="B28618">
        <f>HYPERLINK("https://android.googlesource.com/platform/cts/+/400e69ed65879bc9d57a94c434ee82045abbbc1c", "400e69ed65879bc9d57a94c434ee82045abbbc1c")</f>
        <v>0</v>
      </c>
      <c r="C28618">
        <f>HYPERLINK("https://android.googlesource.com/platform/cts/+/c2572b2d9345e8216c2ff7c268d0b0ec5f208608", "c2572b2d9345e8216c2ff7c268d0b0ec5f208608")</f>
        <v>0</v>
      </c>
      <c r="D28618" t="s">
        <v>5275</v>
      </c>
      <c r="E28618" t="s">
        <v>7524</v>
      </c>
      <c r="F28618" t="s">
        <v>13032</v>
      </c>
      <c r="G28618" t="s">
        <v>17196</v>
      </c>
      <c r="H28618" t="s">
        <v>29486</v>
      </c>
    </row>
    <row r="28619" spans="1:8">
      <c r="H28619" t="s">
        <v>29487</v>
      </c>
    </row>
    <row r="28620" spans="1:8">
      <c r="H28620" t="s">
        <v>29488</v>
      </c>
    </row>
    <row r="28621" spans="1:8">
      <c r="A28621" t="s">
        <v>1773</v>
      </c>
      <c r="B28621">
        <f>HYPERLINK("https://android.googlesource.com/platform/cts/+/1167a04c6665713c3eb45906fa2c96d897e45cc5", "1167a04c6665713c3eb45906fa2c96d897e45cc5")</f>
        <v>0</v>
      </c>
      <c r="C28621">
        <f>HYPERLINK("https://android.googlesource.com/platform/cts/+/24c13049d91476ac27ca097212fbe4b558776c41", "24c13049d91476ac27ca097212fbe4b558776c41")</f>
        <v>0</v>
      </c>
      <c r="D28621" t="s">
        <v>5273</v>
      </c>
      <c r="E28621" t="s">
        <v>7525</v>
      </c>
      <c r="F28621" t="s">
        <v>13411</v>
      </c>
      <c r="G28621" t="s">
        <v>17537</v>
      </c>
      <c r="H28621" t="s">
        <v>29718</v>
      </c>
    </row>
    <row r="28622" spans="1:8">
      <c r="A28622" t="s">
        <v>1774</v>
      </c>
      <c r="B28622">
        <f>HYPERLINK("https://android.googlesource.com/platform/cts/+/afd42719c77bfbfd3beea52cf6ecb8b6fa9a8c3a", "afd42719c77bfbfd3beea52cf6ecb8b6fa9a8c3a")</f>
        <v>0</v>
      </c>
      <c r="C28622">
        <f>HYPERLINK("https://android.googlesource.com/platform/cts/+/ec7ebbd7e35dff62904393b3cf2c7fad13d1ba72", "ec7ebbd7e35dff62904393b3cf2c7fad13d1ba72")</f>
        <v>0</v>
      </c>
      <c r="D28622" t="s">
        <v>5276</v>
      </c>
      <c r="E28622" t="s">
        <v>7526</v>
      </c>
      <c r="F28622" t="s">
        <v>13309</v>
      </c>
      <c r="G28622" t="s">
        <v>17442</v>
      </c>
      <c r="H28622" t="s">
        <v>29720</v>
      </c>
    </row>
    <row r="28623" spans="1:8">
      <c r="A28623" t="s">
        <v>1775</v>
      </c>
      <c r="B28623">
        <f>HYPERLINK("https://android.googlesource.com/platform/cts/+/d9ab47652309cea2422863f79fbd68f3de318784", "d9ab47652309cea2422863f79fbd68f3de318784")</f>
        <v>0</v>
      </c>
      <c r="C28623">
        <f>HYPERLINK("https://android.googlesource.com/platform/cts/+/1af44a3c7408ea112f94925325a1b5548998ac2a", "1af44a3c7408ea112f94925325a1b5548998ac2a")</f>
        <v>0</v>
      </c>
      <c r="D28623" t="s">
        <v>5219</v>
      </c>
      <c r="E28623" t="s">
        <v>7527</v>
      </c>
      <c r="F28623" t="s">
        <v>13413</v>
      </c>
      <c r="G28623" t="s">
        <v>17539</v>
      </c>
      <c r="H28623" t="s">
        <v>20083</v>
      </c>
    </row>
    <row r="28624" spans="1:8">
      <c r="F28624" t="s">
        <v>13414</v>
      </c>
      <c r="G28624" t="s">
        <v>17540</v>
      </c>
      <c r="H28624" t="s">
        <v>22678</v>
      </c>
    </row>
    <row r="28625" spans="1:8">
      <c r="H28625" t="s">
        <v>18829</v>
      </c>
    </row>
    <row r="28626" spans="1:8">
      <c r="H28626" t="s">
        <v>29721</v>
      </c>
    </row>
    <row r="28627" spans="1:8">
      <c r="H28627" t="s">
        <v>29722</v>
      </c>
    </row>
    <row r="28628" spans="1:8">
      <c r="H28628" t="s">
        <v>18863</v>
      </c>
    </row>
    <row r="28629" spans="1:8">
      <c r="H28629" t="s">
        <v>29723</v>
      </c>
    </row>
    <row r="28630" spans="1:8">
      <c r="H28630" t="s">
        <v>29724</v>
      </c>
    </row>
    <row r="28631" spans="1:8">
      <c r="H28631" t="s">
        <v>29725</v>
      </c>
    </row>
    <row r="28632" spans="1:8">
      <c r="H28632" t="s">
        <v>29726</v>
      </c>
    </row>
    <row r="28633" spans="1:8">
      <c r="H28633" t="s">
        <v>29727</v>
      </c>
    </row>
    <row r="28634" spans="1:8">
      <c r="H28634" t="s">
        <v>29728</v>
      </c>
    </row>
    <row r="28635" spans="1:8">
      <c r="H28635" t="s">
        <v>29729</v>
      </c>
    </row>
    <row r="28636" spans="1:8">
      <c r="H28636" t="s">
        <v>29730</v>
      </c>
    </row>
    <row r="28637" spans="1:8">
      <c r="H28637" t="s">
        <v>18893</v>
      </c>
    </row>
    <row r="28638" spans="1:8">
      <c r="A28638" t="s">
        <v>1776</v>
      </c>
      <c r="B28638">
        <f>HYPERLINK("https://android.googlesource.com/platform/cts/+/684261b57d850d0f55cd747b541a4aec2488bc6d", "684261b57d850d0f55cd747b541a4aec2488bc6d")</f>
        <v>0</v>
      </c>
      <c r="C28638">
        <f>HYPERLINK("https://android.googlesource.com/platform/cts/+/e0fbc30a87b62db236580ee1c879bf90c226f4e6", "e0fbc30a87b62db236580ee1c879bf90c226f4e6")</f>
        <v>0</v>
      </c>
      <c r="D28638" t="s">
        <v>5272</v>
      </c>
      <c r="E28638" t="s">
        <v>7528</v>
      </c>
      <c r="F28638" t="s">
        <v>13415</v>
      </c>
      <c r="G28638" t="s">
        <v>17541</v>
      </c>
      <c r="H28638" t="s">
        <v>29731</v>
      </c>
    </row>
    <row r="28639" spans="1:8">
      <c r="H28639" t="s">
        <v>29732</v>
      </c>
    </row>
    <row r="28640" spans="1:8">
      <c r="A28640" t="s">
        <v>1777</v>
      </c>
      <c r="B28640">
        <f>HYPERLINK("https://android.googlesource.com/platform/cts/+/27a293325b145628ee8d7fc8e6333645b15476ae", "27a293325b145628ee8d7fc8e6333645b15476ae")</f>
        <v>0</v>
      </c>
      <c r="C28640">
        <f>HYPERLINK("https://android.googlesource.com/platform/cts/+/2dcae84e1d0d570cf444ec47ce149b909fe6048a", "2dcae84e1d0d570cf444ec47ce149b909fe6048a")</f>
        <v>0</v>
      </c>
      <c r="D28640" t="s">
        <v>5134</v>
      </c>
      <c r="E28640" t="s">
        <v>7529</v>
      </c>
      <c r="F28640" t="s">
        <v>13371</v>
      </c>
      <c r="G28640" t="s">
        <v>17498</v>
      </c>
      <c r="H28640" t="s">
        <v>29733</v>
      </c>
    </row>
    <row r="28641" spans="1:8">
      <c r="H28641" t="s">
        <v>29734</v>
      </c>
    </row>
    <row r="28642" spans="1:8">
      <c r="A28642" t="s">
        <v>1778</v>
      </c>
      <c r="B28642">
        <f>HYPERLINK("https://android.googlesource.com/platform/cts/+/622e278dec59cd44af2e8a80bbac3fd58a95d028", "622e278dec59cd44af2e8a80bbac3fd58a95d028")</f>
        <v>0</v>
      </c>
      <c r="C28642">
        <f>HYPERLINK("https://android.googlesource.com/platform/cts/+/2976943ffe98aa57891ae482ab299bb43cb172dd", "2976943ffe98aa57891ae482ab299bb43cb172dd")</f>
        <v>0</v>
      </c>
      <c r="D28642" t="s">
        <v>5215</v>
      </c>
      <c r="E28642" t="s">
        <v>7530</v>
      </c>
      <c r="F28642" t="s">
        <v>13032</v>
      </c>
      <c r="G28642" t="s">
        <v>17196</v>
      </c>
      <c r="H28642" t="s">
        <v>29735</v>
      </c>
    </row>
    <row r="28643" spans="1:8">
      <c r="H28643" t="s">
        <v>29736</v>
      </c>
    </row>
    <row r="28644" spans="1:8">
      <c r="A28644" t="s">
        <v>1779</v>
      </c>
      <c r="B28644">
        <f>HYPERLINK("https://android.googlesource.com/platform/cts/+/e7b08f15068f595deb4c2923d0a1bca98de33023", "e7b08f15068f595deb4c2923d0a1bca98de33023")</f>
        <v>0</v>
      </c>
      <c r="C28644">
        <f>HYPERLINK("https://android.googlesource.com/platform/cts/+/a729b7d2cb4cae57411d0642f55bcdb29fa4869d", "a729b7d2cb4cae57411d0642f55bcdb29fa4869d")</f>
        <v>0</v>
      </c>
      <c r="D28644" t="s">
        <v>5134</v>
      </c>
      <c r="E28644" t="s">
        <v>7531</v>
      </c>
      <c r="F28644" t="s">
        <v>13230</v>
      </c>
      <c r="G28644" t="s">
        <v>17371</v>
      </c>
      <c r="H28644" t="s">
        <v>29737</v>
      </c>
    </row>
    <row r="28645" spans="1:8">
      <c r="A28645" t="s">
        <v>1780</v>
      </c>
      <c r="B28645">
        <f>HYPERLINK("https://android.googlesource.com/platform/cts/+/d358aeaf0219351bddbbae3d9659b4dde476d228", "d358aeaf0219351bddbbae3d9659b4dde476d228")</f>
        <v>0</v>
      </c>
      <c r="C28645">
        <f>HYPERLINK("https://android.googlesource.com/platform/cts/+/0f49b808388f10b13b5d805b8324309b4817f4f2", "0f49b808388f10b13b5d805b8324309b4817f4f2")</f>
        <v>0</v>
      </c>
      <c r="D28645" t="s">
        <v>5134</v>
      </c>
      <c r="E28645" t="s">
        <v>7532</v>
      </c>
      <c r="F28645" t="s">
        <v>13416</v>
      </c>
      <c r="G28645" t="s">
        <v>17542</v>
      </c>
      <c r="H28645" t="s">
        <v>29738</v>
      </c>
    </row>
    <row r="28646" spans="1:8">
      <c r="H28646" t="s">
        <v>29739</v>
      </c>
    </row>
    <row r="28647" spans="1:8">
      <c r="H28647" t="s">
        <v>29740</v>
      </c>
    </row>
    <row r="28648" spans="1:8">
      <c r="H28648" t="s">
        <v>29741</v>
      </c>
    </row>
    <row r="28649" spans="1:8">
      <c r="H28649" t="s">
        <v>29742</v>
      </c>
    </row>
    <row r="28650" spans="1:8">
      <c r="H28650" t="s">
        <v>29743</v>
      </c>
    </row>
    <row r="28651" spans="1:8">
      <c r="H28651" t="s">
        <v>29744</v>
      </c>
    </row>
    <row r="28652" spans="1:8">
      <c r="A28652" t="s">
        <v>1781</v>
      </c>
      <c r="B28652">
        <f>HYPERLINK("https://android.googlesource.com/platform/cts/+/e4f97f97a9d11c636847539de03b3f82dab17900", "e4f97f97a9d11c636847539de03b3f82dab17900")</f>
        <v>0</v>
      </c>
      <c r="C28652">
        <f>HYPERLINK("https://android.googlesource.com/platform/cts/+/7f68e0092357239179cbb6ba6df0c4b435691e59", "7f68e0092357239179cbb6ba6df0c4b435691e59")</f>
        <v>0</v>
      </c>
      <c r="D28652" t="s">
        <v>5244</v>
      </c>
      <c r="E28652" t="s">
        <v>7533</v>
      </c>
      <c r="F28652" t="s">
        <v>13417</v>
      </c>
      <c r="G28652" t="s">
        <v>17543</v>
      </c>
      <c r="H28652" t="s">
        <v>18863</v>
      </c>
    </row>
    <row r="28653" spans="1:8">
      <c r="A28653" t="s">
        <v>1782</v>
      </c>
      <c r="B28653">
        <f>HYPERLINK("https://android.googlesource.com/platform/cts/+/41bbdb49266f3aca92fe7627aafd3b6c8629a7bd", "41bbdb49266f3aca92fe7627aafd3b6c8629a7bd")</f>
        <v>0</v>
      </c>
      <c r="C28653">
        <f>HYPERLINK("https://android.googlesource.com/platform/cts/+/b8e00b71d69cabc8c7b188d19cf6f6d446dd0244", "b8e00b71d69cabc8c7b188d19cf6f6d446dd0244")</f>
        <v>0</v>
      </c>
      <c r="D28653" t="s">
        <v>5277</v>
      </c>
      <c r="E28653" t="s">
        <v>7534</v>
      </c>
      <c r="F28653" t="s">
        <v>13351</v>
      </c>
      <c r="G28653" t="s">
        <v>17478</v>
      </c>
      <c r="H28653" t="s">
        <v>26284</v>
      </c>
    </row>
    <row r="28654" spans="1:8">
      <c r="A28654" t="s">
        <v>1783</v>
      </c>
      <c r="B28654">
        <f>HYPERLINK("https://android.googlesource.com/platform/cts/+/2052c7b87c9d9f129bae3808169bea604d3fc7ec", "2052c7b87c9d9f129bae3808169bea604d3fc7ec")</f>
        <v>0</v>
      </c>
      <c r="C28654">
        <f>HYPERLINK("https://android.googlesource.com/platform/cts/+/d38861f49e61da295b315b44e387d8218cb6aacd", "d38861f49e61da295b315b44e387d8218cb6aacd")</f>
        <v>0</v>
      </c>
      <c r="D28654" t="s">
        <v>5278</v>
      </c>
      <c r="E28654" t="s">
        <v>7535</v>
      </c>
      <c r="F28654" t="s">
        <v>13418</v>
      </c>
      <c r="G28654" t="s">
        <v>17544</v>
      </c>
      <c r="H28654" t="s">
        <v>29745</v>
      </c>
    </row>
    <row r="28655" spans="1:8">
      <c r="H28655" t="s">
        <v>29746</v>
      </c>
    </row>
    <row r="28656" spans="1:8">
      <c r="H28656" t="s">
        <v>29747</v>
      </c>
    </row>
    <row r="28657" spans="1:8">
      <c r="H28657" t="s">
        <v>29748</v>
      </c>
    </row>
    <row r="28658" spans="1:8">
      <c r="H28658" t="s">
        <v>29749</v>
      </c>
    </row>
    <row r="28659" spans="1:8">
      <c r="H28659" t="s">
        <v>29750</v>
      </c>
    </row>
    <row r="28660" spans="1:8">
      <c r="H28660" t="s">
        <v>29751</v>
      </c>
    </row>
    <row r="28661" spans="1:8">
      <c r="H28661" t="s">
        <v>29752</v>
      </c>
    </row>
    <row r="28662" spans="1:8">
      <c r="H28662" t="s">
        <v>29753</v>
      </c>
    </row>
    <row r="28663" spans="1:8">
      <c r="H28663" t="s">
        <v>29754</v>
      </c>
    </row>
    <row r="28664" spans="1:8">
      <c r="H28664" t="s">
        <v>29755</v>
      </c>
    </row>
    <row r="28665" spans="1:8">
      <c r="A28665" t="s">
        <v>1784</v>
      </c>
      <c r="B28665">
        <f>HYPERLINK("https://android.googlesource.com/platform/cts/+/a1f4131c8170703ea9bd2ec476ab940c555468b0", "a1f4131c8170703ea9bd2ec476ab940c555468b0")</f>
        <v>0</v>
      </c>
      <c r="C28665">
        <f>HYPERLINK("https://android.googlesource.com/platform/cts/+/6ea911e6e23e9204b2be7104c64b58069d1d2ef8", "6ea911e6e23e9204b2be7104c64b58069d1d2ef8")</f>
        <v>0</v>
      </c>
      <c r="D28665" t="s">
        <v>5258</v>
      </c>
      <c r="E28665" t="s">
        <v>7536</v>
      </c>
      <c r="F28665" t="s">
        <v>12406</v>
      </c>
      <c r="G28665" t="s">
        <v>16628</v>
      </c>
      <c r="H28665" t="s">
        <v>29756</v>
      </c>
    </row>
    <row r="28666" spans="1:8">
      <c r="A28666" t="s">
        <v>1785</v>
      </c>
      <c r="B28666">
        <f>HYPERLINK("https://android.googlesource.com/platform/cts/+/caeffb4cc5cda772f760694bcf32a6026f70fae4", "caeffb4cc5cda772f760694bcf32a6026f70fae4")</f>
        <v>0</v>
      </c>
      <c r="C28666">
        <f>HYPERLINK("https://android.googlesource.com/platform/cts/+/1b7de239759b6cbbc13e81f92823ff388fcf9988", "1b7de239759b6cbbc13e81f92823ff388fcf9988")</f>
        <v>0</v>
      </c>
      <c r="D28666" t="s">
        <v>5134</v>
      </c>
      <c r="E28666" t="s">
        <v>7537</v>
      </c>
      <c r="F28666" t="s">
        <v>13419</v>
      </c>
      <c r="G28666" t="s">
        <v>17545</v>
      </c>
      <c r="H28666" t="s">
        <v>22685</v>
      </c>
    </row>
    <row r="28667" spans="1:8">
      <c r="H28667" t="s">
        <v>29757</v>
      </c>
    </row>
    <row r="28668" spans="1:8">
      <c r="H28668" t="s">
        <v>29758</v>
      </c>
    </row>
    <row r="28669" spans="1:8">
      <c r="H28669" t="s">
        <v>29759</v>
      </c>
    </row>
    <row r="28670" spans="1:8">
      <c r="H28670" t="s">
        <v>29760</v>
      </c>
    </row>
    <row r="28671" spans="1:8">
      <c r="H28671" t="s">
        <v>29761</v>
      </c>
    </row>
    <row r="28672" spans="1:8">
      <c r="F28672" t="s">
        <v>13420</v>
      </c>
      <c r="G28672" t="s">
        <v>17546</v>
      </c>
      <c r="H28672" t="s">
        <v>29762</v>
      </c>
    </row>
    <row r="28673" spans="1:8">
      <c r="H28673" t="s">
        <v>29763</v>
      </c>
    </row>
    <row r="28674" spans="1:8">
      <c r="H28674" t="s">
        <v>29764</v>
      </c>
    </row>
    <row r="28675" spans="1:8">
      <c r="H28675" t="s">
        <v>29765</v>
      </c>
    </row>
    <row r="28676" spans="1:8">
      <c r="A28676" t="s">
        <v>1786</v>
      </c>
      <c r="B28676">
        <f>HYPERLINK("https://android.googlesource.com/platform/cts/+/c245c4bbb7349060e10a7006edf8fad5646d8e95", "c245c4bbb7349060e10a7006edf8fad5646d8e95")</f>
        <v>0</v>
      </c>
      <c r="C28676">
        <f>HYPERLINK("https://android.googlesource.com/platform/cts/+/50e2160d0b8f6f6f53c2d621aa7bf4cd5bb14f78", "50e2160d0b8f6f6f53c2d621aa7bf4cd5bb14f78")</f>
        <v>0</v>
      </c>
      <c r="D28676" t="s">
        <v>5269</v>
      </c>
      <c r="E28676" t="s">
        <v>7538</v>
      </c>
      <c r="F28676" t="s">
        <v>12841</v>
      </c>
      <c r="G28676" t="s">
        <v>15119</v>
      </c>
      <c r="H28676" t="s">
        <v>29766</v>
      </c>
    </row>
    <row r="28677" spans="1:8">
      <c r="H28677" t="s">
        <v>29767</v>
      </c>
    </row>
    <row r="28678" spans="1:8">
      <c r="A28678" t="s">
        <v>1787</v>
      </c>
      <c r="B28678">
        <f>HYPERLINK("https://android.googlesource.com/platform/cts/+/83f051c8e32ced6625bae413da075d16b115d15c", "83f051c8e32ced6625bae413da075d16b115d15c")</f>
        <v>0</v>
      </c>
      <c r="C28678">
        <f>HYPERLINK("https://android.googlesource.com/platform/cts/+/28cfb609dc87e43be0e20bf1aa62813096af860c", "28cfb609dc87e43be0e20bf1aa62813096af860c")</f>
        <v>0</v>
      </c>
      <c r="D28678" t="s">
        <v>5240</v>
      </c>
      <c r="E28678" t="s">
        <v>7539</v>
      </c>
      <c r="F28678" t="s">
        <v>10778</v>
      </c>
      <c r="G28678" t="s">
        <v>15174</v>
      </c>
      <c r="H28678" t="s">
        <v>28399</v>
      </c>
    </row>
    <row r="28679" spans="1:8">
      <c r="A28679" t="s">
        <v>1788</v>
      </c>
      <c r="B28679">
        <f>HYPERLINK("https://android.googlesource.com/platform/cts/+/d3fdbbdfe6120145b095d07f9162cd0b76695830", "d3fdbbdfe6120145b095d07f9162cd0b76695830")</f>
        <v>0</v>
      </c>
      <c r="C28679">
        <f>HYPERLINK("https://android.googlesource.com/platform/cts/+/91118843d34ec36c6ed60501d99a6228be4325b8", "91118843d34ec36c6ed60501d99a6228be4325b8")</f>
        <v>0</v>
      </c>
      <c r="D28679" t="s">
        <v>5240</v>
      </c>
      <c r="E28679" t="s">
        <v>7540</v>
      </c>
      <c r="F28679" t="s">
        <v>10778</v>
      </c>
      <c r="G28679" t="s">
        <v>15174</v>
      </c>
      <c r="H28679" t="s">
        <v>28399</v>
      </c>
    </row>
    <row r="28680" spans="1:8">
      <c r="A28680" t="s">
        <v>1789</v>
      </c>
      <c r="B28680">
        <f>HYPERLINK("https://android.googlesource.com/platform/cts/+/1fe198e5c1e328b037d0277e72bfcee4c2ad6768", "1fe198e5c1e328b037d0277e72bfcee4c2ad6768")</f>
        <v>0</v>
      </c>
      <c r="C28680">
        <f>HYPERLINK("https://android.googlesource.com/platform/cts/+/2ac7b1c2de98dca48efd9a426bd5b287a394c63e", "2ac7b1c2de98dca48efd9a426bd5b287a394c63e")</f>
        <v>0</v>
      </c>
      <c r="D28680" t="s">
        <v>5240</v>
      </c>
      <c r="E28680" t="s">
        <v>7540</v>
      </c>
      <c r="F28680" t="s">
        <v>10778</v>
      </c>
      <c r="G28680" t="s">
        <v>15174</v>
      </c>
      <c r="H28680" t="s">
        <v>28399</v>
      </c>
    </row>
    <row r="28681" spans="1:8">
      <c r="A28681" t="s">
        <v>1790</v>
      </c>
      <c r="B28681">
        <f>HYPERLINK("https://android.googlesource.com/platform/cts/+/a5ea3d0dac7c11233538ffc26a968b0d655ff6eb", "a5ea3d0dac7c11233538ffc26a968b0d655ff6eb")</f>
        <v>0</v>
      </c>
      <c r="C28681">
        <f>HYPERLINK("https://android.googlesource.com/platform/cts/+/34ecbfa03264d4e8c2fd73e258a223e4991a46d5", "34ecbfa03264d4e8c2fd73e258a223e4991a46d5")</f>
        <v>0</v>
      </c>
      <c r="D28681" t="s">
        <v>4981</v>
      </c>
      <c r="E28681" t="s">
        <v>7541</v>
      </c>
      <c r="F28681" t="s">
        <v>12816</v>
      </c>
      <c r="G28681" t="s">
        <v>16997</v>
      </c>
      <c r="H28681" t="s">
        <v>29768</v>
      </c>
    </row>
    <row r="28682" spans="1:8">
      <c r="A28682" t="s">
        <v>1791</v>
      </c>
      <c r="B28682">
        <f>HYPERLINK("https://android.googlesource.com/platform/cts/+/f82d2c0e0219f4e063c96770f51e729a795d269f", "f82d2c0e0219f4e063c96770f51e729a795d269f")</f>
        <v>0</v>
      </c>
      <c r="C28682">
        <f>HYPERLINK("https://android.googlesource.com/platform/cts/+/c8eacc9abe2e5070a22c074e736cebf9e5d5eab6", "c8eacc9abe2e5070a22c074e736cebf9e5d5eab6")</f>
        <v>0</v>
      </c>
      <c r="D28682" t="s">
        <v>5134</v>
      </c>
      <c r="E28682" t="s">
        <v>7542</v>
      </c>
      <c r="F28682" t="s">
        <v>13421</v>
      </c>
      <c r="G28682" t="s">
        <v>17545</v>
      </c>
      <c r="H28682" t="s">
        <v>29759</v>
      </c>
    </row>
    <row r="28683" spans="1:8">
      <c r="A28683" t="s">
        <v>1792</v>
      </c>
      <c r="B28683">
        <f>HYPERLINK("https://android.googlesource.com/platform/cts/+/d84fb8030c0cd185ca4462fcfb2d61ec61b4f50a", "d84fb8030c0cd185ca4462fcfb2d61ec61b4f50a")</f>
        <v>0</v>
      </c>
      <c r="C28683">
        <f>HYPERLINK("https://android.googlesource.com/platform/cts/+/0ac259c1d056e7e5814baacbfea4916f7453b3e5", "0ac259c1d056e7e5814baacbfea4916f7453b3e5")</f>
        <v>0</v>
      </c>
      <c r="D28683" t="s">
        <v>5046</v>
      </c>
      <c r="E28683" t="s">
        <v>7543</v>
      </c>
      <c r="F28683" t="s">
        <v>13422</v>
      </c>
      <c r="G28683" t="s">
        <v>16418</v>
      </c>
      <c r="H28683" t="s">
        <v>28615</v>
      </c>
    </row>
    <row r="28684" spans="1:8">
      <c r="A28684" t="s">
        <v>1793</v>
      </c>
      <c r="B28684">
        <f>HYPERLINK("https://android.googlesource.com/platform/cts/+/bd07ba2a0100f08f8a95f33f73be1e6ed5b9369c", "bd07ba2a0100f08f8a95f33f73be1e6ed5b9369c")</f>
        <v>0</v>
      </c>
      <c r="C28684">
        <f>HYPERLINK("https://android.googlesource.com/platform/cts/+/52c4d6a7c139d5cc383e5572291cb115488795da", "52c4d6a7c139d5cc383e5572291cb115488795da")</f>
        <v>0</v>
      </c>
      <c r="D28684" t="s">
        <v>4964</v>
      </c>
      <c r="E28684" t="s">
        <v>7544</v>
      </c>
      <c r="F28684" t="s">
        <v>13423</v>
      </c>
      <c r="G28684" t="s">
        <v>17547</v>
      </c>
      <c r="H28684" t="s">
        <v>18829</v>
      </c>
    </row>
    <row r="28685" spans="1:8">
      <c r="A28685" t="s">
        <v>1794</v>
      </c>
      <c r="B28685">
        <f>HYPERLINK("https://android.googlesource.com/platform/cts/+/fc614de2bc767334108662c001a024da63971ec5", "fc614de2bc767334108662c001a024da63971ec5")</f>
        <v>0</v>
      </c>
      <c r="C28685">
        <f>HYPERLINK("https://android.googlesource.com/platform/cts/+/fb6eb1c90d5a7205f881b794e8ed146e75f88966", "fb6eb1c90d5a7205f881b794e8ed146e75f88966")</f>
        <v>0</v>
      </c>
      <c r="D28685" t="s">
        <v>5046</v>
      </c>
      <c r="E28685" t="s">
        <v>7545</v>
      </c>
      <c r="F28685" t="s">
        <v>13424</v>
      </c>
      <c r="G28685" t="s">
        <v>17548</v>
      </c>
      <c r="H28685" t="s">
        <v>29769</v>
      </c>
    </row>
    <row r="28686" spans="1:8">
      <c r="H28686" t="s">
        <v>29770</v>
      </c>
    </row>
    <row r="28687" spans="1:8">
      <c r="H28687" t="s">
        <v>29771</v>
      </c>
    </row>
    <row r="28688" spans="1:8">
      <c r="H28688" t="s">
        <v>29772</v>
      </c>
    </row>
    <row r="28689" spans="1:8">
      <c r="H28689" t="s">
        <v>29773</v>
      </c>
    </row>
    <row r="28690" spans="1:8">
      <c r="H28690" t="s">
        <v>29774</v>
      </c>
    </row>
    <row r="28691" spans="1:8">
      <c r="H28691" t="s">
        <v>29775</v>
      </c>
    </row>
    <row r="28692" spans="1:8">
      <c r="H28692" t="s">
        <v>19475</v>
      </c>
    </row>
    <row r="28693" spans="1:8">
      <c r="H28693" t="s">
        <v>29776</v>
      </c>
    </row>
    <row r="28694" spans="1:8">
      <c r="H28694" t="s">
        <v>29777</v>
      </c>
    </row>
    <row r="28695" spans="1:8">
      <c r="H28695" t="s">
        <v>29778</v>
      </c>
    </row>
    <row r="28696" spans="1:8">
      <c r="A28696" t="s">
        <v>1795</v>
      </c>
      <c r="B28696">
        <f>HYPERLINK("https://android.googlesource.com/platform/cts/+/76d91244b0cdb1feb0138906ccca062e3ec6c3a9", "76d91244b0cdb1feb0138906ccca062e3ec6c3a9")</f>
        <v>0</v>
      </c>
      <c r="C28696">
        <f>HYPERLINK("https://android.googlesource.com/platform/cts/+/f82d2c0e0219f4e063c96770f51e729a795d269f", "f82d2c0e0219f4e063c96770f51e729a795d269f")</f>
        <v>0</v>
      </c>
      <c r="D28696" t="s">
        <v>5134</v>
      </c>
      <c r="E28696" t="s">
        <v>7546</v>
      </c>
      <c r="F28696" t="s">
        <v>13425</v>
      </c>
      <c r="G28696" t="s">
        <v>17549</v>
      </c>
      <c r="H28696" t="s">
        <v>29779</v>
      </c>
    </row>
    <row r="28697" spans="1:8">
      <c r="H28697" t="s">
        <v>29780</v>
      </c>
    </row>
    <row r="28698" spans="1:8">
      <c r="H28698" t="s">
        <v>29781</v>
      </c>
    </row>
    <row r="28699" spans="1:8">
      <c r="H28699" t="s">
        <v>29782</v>
      </c>
    </row>
    <row r="28700" spans="1:8">
      <c r="H28700" t="s">
        <v>29783</v>
      </c>
    </row>
    <row r="28701" spans="1:8">
      <c r="H28701" t="s">
        <v>29784</v>
      </c>
    </row>
    <row r="28702" spans="1:8">
      <c r="H28702" t="s">
        <v>29785</v>
      </c>
    </row>
    <row r="28703" spans="1:8">
      <c r="A28703" t="s">
        <v>1796</v>
      </c>
      <c r="B28703">
        <f>HYPERLINK("https://android.googlesource.com/platform/cts/+/35d29fb30975daf022b21b018fbec117e9fed29c", "35d29fb30975daf022b21b018fbec117e9fed29c")</f>
        <v>0</v>
      </c>
      <c r="C28703">
        <f>HYPERLINK("https://android.googlesource.com/platform/cts/+/dde8bfab2be006d74204ead703df5ca3d8d74b8a", "dde8bfab2be006d74204ead703df5ca3d8d74b8a")</f>
        <v>0</v>
      </c>
      <c r="D28703" t="s">
        <v>5279</v>
      </c>
      <c r="E28703" t="s">
        <v>7547</v>
      </c>
      <c r="F28703" t="s">
        <v>13227</v>
      </c>
      <c r="G28703" t="s">
        <v>17368</v>
      </c>
      <c r="H28703" t="s">
        <v>29786</v>
      </c>
    </row>
    <row r="28704" spans="1:8">
      <c r="F28704" t="s">
        <v>13418</v>
      </c>
      <c r="G28704" t="s">
        <v>17544</v>
      </c>
      <c r="H28704" t="s">
        <v>29786</v>
      </c>
    </row>
    <row r="28705" spans="1:8">
      <c r="A28705" t="s">
        <v>1797</v>
      </c>
      <c r="B28705">
        <f>HYPERLINK("https://android.googlesource.com/platform/cts/+/df9f00f93c144b32442f31df26ec97d6e123d57f", "df9f00f93c144b32442f31df26ec97d6e123d57f")</f>
        <v>0</v>
      </c>
      <c r="C28705">
        <f>HYPERLINK("https://android.googlesource.com/platform/cts/+/1b09e54155e343105d236ab86d7a288ab0523428", "1b09e54155e343105d236ab86d7a288ab0523428")</f>
        <v>0</v>
      </c>
      <c r="D28705" t="s">
        <v>4960</v>
      </c>
      <c r="E28705" t="s">
        <v>7548</v>
      </c>
      <c r="F28705" t="s">
        <v>13426</v>
      </c>
      <c r="G28705" t="s">
        <v>17550</v>
      </c>
      <c r="H28705" t="s">
        <v>29787</v>
      </c>
    </row>
    <row r="28706" spans="1:8">
      <c r="H28706" t="s">
        <v>29788</v>
      </c>
    </row>
    <row r="28707" spans="1:8">
      <c r="H28707" t="s">
        <v>29789</v>
      </c>
    </row>
    <row r="28708" spans="1:8">
      <c r="H28708" t="s">
        <v>29790</v>
      </c>
    </row>
    <row r="28709" spans="1:8">
      <c r="H28709" t="s">
        <v>29791</v>
      </c>
    </row>
    <row r="28710" spans="1:8">
      <c r="A28710" t="s">
        <v>1798</v>
      </c>
      <c r="B28710">
        <f>HYPERLINK("https://android.googlesource.com/platform/cts/+/d4b42453e338a44dbe752ebcc4657655d2c08b88", "d4b42453e338a44dbe752ebcc4657655d2c08b88")</f>
        <v>0</v>
      </c>
      <c r="C28710">
        <f>HYPERLINK("https://android.googlesource.com/platform/cts/+/0405f295e97122381e1243e134d43457366a87f0", "0405f295e97122381e1243e134d43457366a87f0")</f>
        <v>0</v>
      </c>
      <c r="D28710" t="s">
        <v>5193</v>
      </c>
      <c r="E28710" t="s">
        <v>7549</v>
      </c>
      <c r="F28710" t="s">
        <v>13427</v>
      </c>
      <c r="G28710" t="s">
        <v>17551</v>
      </c>
      <c r="H28710" t="s">
        <v>18829</v>
      </c>
    </row>
    <row r="28711" spans="1:8">
      <c r="H28711" t="s">
        <v>29792</v>
      </c>
    </row>
    <row r="28712" spans="1:8">
      <c r="H28712" t="s">
        <v>29793</v>
      </c>
    </row>
    <row r="28713" spans="1:8">
      <c r="A28713" t="s">
        <v>1799</v>
      </c>
      <c r="B28713">
        <f>HYPERLINK("https://android.googlesource.com/platform/cts/+/418383b93b7b0edc02305aa9022c71781051c66e", "418383b93b7b0edc02305aa9022c71781051c66e")</f>
        <v>0</v>
      </c>
      <c r="C28713">
        <f>HYPERLINK("https://android.googlesource.com/platform/cts/+/938a9eadd82efc4fe19faf19ea1f91047087ea10", "938a9eadd82efc4fe19faf19ea1f91047087ea10")</f>
        <v>0</v>
      </c>
      <c r="D28713" t="s">
        <v>5134</v>
      </c>
      <c r="E28713" t="s">
        <v>7550</v>
      </c>
      <c r="F28713" t="s">
        <v>13302</v>
      </c>
      <c r="G28713" t="s">
        <v>17438</v>
      </c>
      <c r="H28713" t="s">
        <v>29794</v>
      </c>
    </row>
    <row r="28714" spans="1:8">
      <c r="F28714" t="s">
        <v>13361</v>
      </c>
      <c r="G28714" t="s">
        <v>17488</v>
      </c>
      <c r="H28714" t="s">
        <v>29794</v>
      </c>
    </row>
    <row r="28715" spans="1:8">
      <c r="F28715" t="s">
        <v>13403</v>
      </c>
      <c r="G28715" t="s">
        <v>17529</v>
      </c>
      <c r="H28715" t="s">
        <v>29794</v>
      </c>
    </row>
    <row r="28716" spans="1:8">
      <c r="F28716" t="s">
        <v>13230</v>
      </c>
      <c r="G28716" t="s">
        <v>17371</v>
      </c>
      <c r="H28716" t="s">
        <v>29794</v>
      </c>
    </row>
    <row r="28717" spans="1:8">
      <c r="F28717" t="s">
        <v>13428</v>
      </c>
      <c r="G28717" t="s">
        <v>17552</v>
      </c>
      <c r="H28717" t="s">
        <v>29794</v>
      </c>
    </row>
    <row r="28718" spans="1:8">
      <c r="F28718" t="s">
        <v>13429</v>
      </c>
      <c r="G28718" t="s">
        <v>17553</v>
      </c>
      <c r="H28718" t="s">
        <v>29794</v>
      </c>
    </row>
    <row r="28719" spans="1:8">
      <c r="F28719" t="s">
        <v>13416</v>
      </c>
      <c r="G28719" t="s">
        <v>17542</v>
      </c>
      <c r="H28719" t="s">
        <v>29794</v>
      </c>
    </row>
    <row r="28720" spans="1:8">
      <c r="F28720" t="s">
        <v>13255</v>
      </c>
      <c r="G28720" t="s">
        <v>17393</v>
      </c>
      <c r="H28720" t="s">
        <v>29794</v>
      </c>
    </row>
    <row r="28721" spans="1:8">
      <c r="A28721" t="s">
        <v>1800</v>
      </c>
      <c r="B28721">
        <f>HYPERLINK("https://android.googlesource.com/platform/cts/+/2829aa356851145c157467ffeaac080ef2a14f1e", "2829aa356851145c157467ffeaac080ef2a14f1e")</f>
        <v>0</v>
      </c>
      <c r="C28721">
        <f>HYPERLINK("https://android.googlesource.com/platform/cts/+/60f77a64b56818e118e75a2dcf05d87186bbc660", "60f77a64b56818e118e75a2dcf05d87186bbc660")</f>
        <v>0</v>
      </c>
      <c r="D28721" t="s">
        <v>5131</v>
      </c>
      <c r="E28721" t="s">
        <v>7551</v>
      </c>
      <c r="F28721" t="s">
        <v>13430</v>
      </c>
      <c r="G28721" t="s">
        <v>17554</v>
      </c>
      <c r="H28721" t="s">
        <v>29795</v>
      </c>
    </row>
    <row r="28722" spans="1:8">
      <c r="A28722" t="s">
        <v>1801</v>
      </c>
      <c r="B28722">
        <f>HYPERLINK("https://android.googlesource.com/platform/cts/+/ea42c31733f2dab665073c7b9db0e946dd442ed6", "ea42c31733f2dab665073c7b9db0e946dd442ed6")</f>
        <v>0</v>
      </c>
      <c r="C28722">
        <f>HYPERLINK("https://android.googlesource.com/platform/cts/+/b75fac9354e55876b0e50dde329da61d65f0bfbe", "b75fac9354e55876b0e50dde329da61d65f0bfbe")</f>
        <v>0</v>
      </c>
      <c r="D28722" t="s">
        <v>5126</v>
      </c>
      <c r="E28722" t="s">
        <v>7552</v>
      </c>
      <c r="F28722" t="s">
        <v>13209</v>
      </c>
      <c r="G28722" t="s">
        <v>17350</v>
      </c>
      <c r="H28722" t="s">
        <v>29796</v>
      </c>
    </row>
    <row r="28723" spans="1:8">
      <c r="A28723" t="s">
        <v>1802</v>
      </c>
      <c r="B28723">
        <f>HYPERLINK("https://android.googlesource.com/platform/cts/+/a2e1390f05a5f7b55795ab111a4f7d374ad08c4f", "a2e1390f05a5f7b55795ab111a4f7d374ad08c4f")</f>
        <v>0</v>
      </c>
      <c r="C28723">
        <f>HYPERLINK("https://android.googlesource.com/platform/cts/+/75ae3e1c15aeb84bb08e5ff49e62ccc6ae2e2665", "75ae3e1c15aeb84bb08e5ff49e62ccc6ae2e2665")</f>
        <v>0</v>
      </c>
      <c r="D28723" t="s">
        <v>5280</v>
      </c>
      <c r="E28723" t="s">
        <v>7553</v>
      </c>
      <c r="F28723" t="s">
        <v>12710</v>
      </c>
      <c r="G28723" t="s">
        <v>16911</v>
      </c>
      <c r="H28723" t="s">
        <v>29797</v>
      </c>
    </row>
    <row r="28724" spans="1:8">
      <c r="A28724" t="s">
        <v>1803</v>
      </c>
      <c r="B28724">
        <f>HYPERLINK("https://android.googlesource.com/platform/cts/+/06c47e3298a42ca6b70aa1d516edec019aca9d45", "06c47e3298a42ca6b70aa1d516edec019aca9d45")</f>
        <v>0</v>
      </c>
      <c r="C28724">
        <f>HYPERLINK("https://android.googlesource.com/platform/cts/+/b75fac9354e55876b0e50dde329da61d65f0bfbe", "b75fac9354e55876b0e50dde329da61d65f0bfbe")</f>
        <v>0</v>
      </c>
      <c r="D28724" t="s">
        <v>5281</v>
      </c>
      <c r="E28724" t="s">
        <v>7554</v>
      </c>
      <c r="F28724" t="s">
        <v>13431</v>
      </c>
      <c r="G28724" t="s">
        <v>17555</v>
      </c>
      <c r="H28724" t="s">
        <v>18829</v>
      </c>
    </row>
    <row r="28725" spans="1:8">
      <c r="H28725" t="s">
        <v>18863</v>
      </c>
    </row>
    <row r="28726" spans="1:8">
      <c r="H28726" t="s">
        <v>29798</v>
      </c>
    </row>
    <row r="28727" spans="1:8">
      <c r="A28727" t="s">
        <v>1804</v>
      </c>
      <c r="B28727">
        <f>HYPERLINK("https://android.googlesource.com/platform/cts/+/7700200ef0f8100946cc469bd6853f46104decf8", "7700200ef0f8100946cc469bd6853f46104decf8")</f>
        <v>0</v>
      </c>
      <c r="C28727">
        <f>HYPERLINK("https://android.googlesource.com/platform/cts/+/d28770b744224cc3cd7cb91f00c3043781d02668", "d28770b744224cc3cd7cb91f00c3043781d02668")</f>
        <v>0</v>
      </c>
      <c r="D28727" t="s">
        <v>5281</v>
      </c>
      <c r="E28727" t="s">
        <v>7555</v>
      </c>
      <c r="F28727" t="s">
        <v>13431</v>
      </c>
      <c r="G28727" t="s">
        <v>17555</v>
      </c>
      <c r="H28727" t="s">
        <v>18829</v>
      </c>
    </row>
    <row r="28728" spans="1:8">
      <c r="H28728" t="s">
        <v>18863</v>
      </c>
    </row>
    <row r="28729" spans="1:8">
      <c r="H28729" t="s">
        <v>29798</v>
      </c>
    </row>
    <row r="28730" spans="1:8">
      <c r="A28730" t="s">
        <v>1805</v>
      </c>
      <c r="B28730">
        <f>HYPERLINK("https://android.googlesource.com/platform/cts/+/6c2509fa9a77cab53cfea77bade093dbfcabc930", "6c2509fa9a77cab53cfea77bade093dbfcabc930")</f>
        <v>0</v>
      </c>
      <c r="C28730">
        <f>HYPERLINK("https://android.googlesource.com/platform/cts/+/dad94883487b7ace42e70bc66c936d9144262295", "dad94883487b7ace42e70bc66c936d9144262295")</f>
        <v>0</v>
      </c>
      <c r="D28730" t="s">
        <v>5281</v>
      </c>
      <c r="E28730" t="s">
        <v>7555</v>
      </c>
      <c r="F28730" t="s">
        <v>13431</v>
      </c>
      <c r="G28730" t="s">
        <v>17555</v>
      </c>
      <c r="H28730" t="s">
        <v>18829</v>
      </c>
    </row>
    <row r="28731" spans="1:8">
      <c r="H28731" t="s">
        <v>18863</v>
      </c>
    </row>
    <row r="28732" spans="1:8">
      <c r="H28732" t="s">
        <v>29798</v>
      </c>
    </row>
    <row r="28733" spans="1:8">
      <c r="A28733" t="s">
        <v>1806</v>
      </c>
      <c r="B28733">
        <f>HYPERLINK("https://android.googlesource.com/platform/cts/+/a6490cbf87d8a2ab182b30af44ca00933cb9ab5b", "a6490cbf87d8a2ab182b30af44ca00933cb9ab5b")</f>
        <v>0</v>
      </c>
      <c r="C28733">
        <f>HYPERLINK("https://android.googlesource.com/platform/cts/+/c0bd71ea57614aafaf9eb287e5e4c3f308221fec", "c0bd71ea57614aafaf9eb287e5e4c3f308221fec")</f>
        <v>0</v>
      </c>
      <c r="D28733" t="s">
        <v>5046</v>
      </c>
      <c r="E28733" t="s">
        <v>7556</v>
      </c>
      <c r="F28733" t="s">
        <v>13432</v>
      </c>
      <c r="G28733" t="s">
        <v>17556</v>
      </c>
      <c r="H28733" t="s">
        <v>29799</v>
      </c>
    </row>
    <row r="28734" spans="1:8">
      <c r="F28734" t="s">
        <v>13433</v>
      </c>
      <c r="G28734" t="s">
        <v>17557</v>
      </c>
      <c r="H28734" t="s">
        <v>29800</v>
      </c>
    </row>
    <row r="28735" spans="1:8">
      <c r="A28735" t="s">
        <v>1807</v>
      </c>
      <c r="B28735">
        <f>HYPERLINK("https://android.googlesource.com/platform/cts/+/807291f0bc780df7c37169fc4e340937f7f321d2", "807291f0bc780df7c37169fc4e340937f7f321d2")</f>
        <v>0</v>
      </c>
      <c r="C28735">
        <f>HYPERLINK("https://android.googlesource.com/platform/cts/+/b6cb77792e3abf2fbf4d4abbd32d01809713db15", "b6cb77792e3abf2fbf4d4abbd32d01809713db15")</f>
        <v>0</v>
      </c>
      <c r="D28735" t="s">
        <v>5046</v>
      </c>
      <c r="E28735" t="s">
        <v>7557</v>
      </c>
      <c r="F28735" t="s">
        <v>13432</v>
      </c>
      <c r="G28735" t="s">
        <v>17556</v>
      </c>
      <c r="H28735" t="s">
        <v>29801</v>
      </c>
    </row>
    <row r="28736" spans="1:8">
      <c r="H28736" t="s">
        <v>29802</v>
      </c>
    </row>
    <row r="28737" spans="1:8">
      <c r="F28737" t="s">
        <v>13434</v>
      </c>
      <c r="G28737" t="s">
        <v>17558</v>
      </c>
      <c r="H28737" t="s">
        <v>29803</v>
      </c>
    </row>
    <row r="28738" spans="1:8">
      <c r="F28738" t="s">
        <v>13433</v>
      </c>
      <c r="G28738" t="s">
        <v>17557</v>
      </c>
      <c r="H28738" t="s">
        <v>29804</v>
      </c>
    </row>
    <row r="28739" spans="1:8">
      <c r="H28739" t="s">
        <v>29805</v>
      </c>
    </row>
    <row r="28740" spans="1:8">
      <c r="H28740" t="s">
        <v>29806</v>
      </c>
    </row>
    <row r="28741" spans="1:8">
      <c r="A28741" t="s">
        <v>1808</v>
      </c>
      <c r="B28741">
        <f>HYPERLINK("https://android.googlesource.com/platform/cts/+/801e003859087338f28e98e1c4ab804acd3c4559", "801e003859087338f28e98e1c4ab804acd3c4559")</f>
        <v>0</v>
      </c>
      <c r="C28741">
        <f>HYPERLINK("https://android.googlesource.com/platform/cts/+/21991702d510ae724b1e14976dd36cfa4929dd60", "21991702d510ae724b1e14976dd36cfa4929dd60")</f>
        <v>0</v>
      </c>
      <c r="D28741" t="s">
        <v>4981</v>
      </c>
      <c r="E28741" t="s">
        <v>7558</v>
      </c>
      <c r="F28741" t="s">
        <v>13261</v>
      </c>
      <c r="G28741" t="s">
        <v>17399</v>
      </c>
      <c r="H28741" t="s">
        <v>29807</v>
      </c>
    </row>
    <row r="28742" spans="1:8">
      <c r="F28742" t="s">
        <v>13285</v>
      </c>
      <c r="G28742" t="s">
        <v>17422</v>
      </c>
      <c r="H28742" t="s">
        <v>29807</v>
      </c>
    </row>
    <row r="28743" spans="1:8">
      <c r="A28743" t="s">
        <v>1809</v>
      </c>
      <c r="B28743">
        <f>HYPERLINK("https://android.googlesource.com/platform/cts/+/ed3a992d99ee7e2c176fc90ac44b06d84ba4fbff", "ed3a992d99ee7e2c176fc90ac44b06d84ba4fbff")</f>
        <v>0</v>
      </c>
      <c r="C28743">
        <f>HYPERLINK("https://android.googlesource.com/platform/cts/+/21991702d510ae724b1e14976dd36cfa4929dd60", "21991702d510ae724b1e14976dd36cfa4929dd60")</f>
        <v>0</v>
      </c>
      <c r="D28743" t="s">
        <v>4981</v>
      </c>
      <c r="E28743" t="s">
        <v>7559</v>
      </c>
      <c r="F28743" t="s">
        <v>13435</v>
      </c>
      <c r="G28743" t="s">
        <v>17559</v>
      </c>
      <c r="H28743" t="s">
        <v>18829</v>
      </c>
    </row>
    <row r="28744" spans="1:8">
      <c r="H28744" t="s">
        <v>18863</v>
      </c>
    </row>
    <row r="28745" spans="1:8">
      <c r="A28745" t="s">
        <v>1810</v>
      </c>
      <c r="B28745">
        <f>HYPERLINK("https://android.googlesource.com/platform/cts/+/d1346481a6b78027ac9f3bb2c1199a3ee2e8d491", "d1346481a6b78027ac9f3bb2c1199a3ee2e8d491")</f>
        <v>0</v>
      </c>
      <c r="C28745">
        <f>HYPERLINK("https://android.googlesource.com/platform/cts/+/9a04818f3fcb1e799e843cb124d39b6934faca31", "9a04818f3fcb1e799e843cb124d39b6934faca31")</f>
        <v>0</v>
      </c>
      <c r="D28745" t="s">
        <v>5117</v>
      </c>
      <c r="E28745" t="s">
        <v>7560</v>
      </c>
      <c r="F28745" t="s">
        <v>13253</v>
      </c>
      <c r="G28745" t="s">
        <v>16455</v>
      </c>
      <c r="H28745" t="s">
        <v>29808</v>
      </c>
    </row>
    <row r="28746" spans="1:8">
      <c r="F28746" t="s">
        <v>13254</v>
      </c>
      <c r="G28746" t="s">
        <v>16545</v>
      </c>
      <c r="H28746" t="s">
        <v>29808</v>
      </c>
    </row>
    <row r="28747" spans="1:8">
      <c r="A28747" t="s">
        <v>1811</v>
      </c>
      <c r="B28747">
        <f>HYPERLINK("https://android.googlesource.com/platform/cts/+/62d0daf1b02345342be0eed089c4e722866fdd06", "62d0daf1b02345342be0eed089c4e722866fdd06")</f>
        <v>0</v>
      </c>
      <c r="C28747">
        <f>HYPERLINK("https://android.googlesource.com/platform/cts/+/96fdf3c8dfc0fdd11b75940ea604fe6b70fff290", "96fdf3c8dfc0fdd11b75940ea604fe6b70fff290")</f>
        <v>0</v>
      </c>
      <c r="D28747" t="s">
        <v>5281</v>
      </c>
      <c r="E28747" t="s">
        <v>7555</v>
      </c>
      <c r="F28747" t="s">
        <v>13431</v>
      </c>
      <c r="G28747" t="s">
        <v>17555</v>
      </c>
      <c r="H28747" t="s">
        <v>18829</v>
      </c>
    </row>
    <row r="28748" spans="1:8">
      <c r="H28748" t="s">
        <v>18863</v>
      </c>
    </row>
    <row r="28749" spans="1:8">
      <c r="H28749" t="s">
        <v>29798</v>
      </c>
    </row>
    <row r="28750" spans="1:8">
      <c r="A28750" t="s">
        <v>1812</v>
      </c>
      <c r="B28750">
        <f>HYPERLINK("https://android.googlesource.com/platform/cts/+/bfba20642aafa956e2a3940633fa8cb4a6fc2da1", "bfba20642aafa956e2a3940633fa8cb4a6fc2da1")</f>
        <v>0</v>
      </c>
      <c r="C28750">
        <f>HYPERLINK("https://android.googlesource.com/platform/cts/+/4079c781ed14c8c53a29b4d2fd584702b220789e", "4079c781ed14c8c53a29b4d2fd584702b220789e")</f>
        <v>0</v>
      </c>
      <c r="D28750" t="s">
        <v>5211</v>
      </c>
      <c r="E28750" t="s">
        <v>7561</v>
      </c>
      <c r="F28750" t="s">
        <v>13436</v>
      </c>
      <c r="G28750" t="s">
        <v>17514</v>
      </c>
      <c r="H28750" t="s">
        <v>29809</v>
      </c>
    </row>
    <row r="28751" spans="1:8">
      <c r="H28751" t="s">
        <v>21323</v>
      </c>
    </row>
    <row r="28752" spans="1:8">
      <c r="H28752" t="s">
        <v>29810</v>
      </c>
    </row>
    <row r="28753" spans="1:8">
      <c r="H28753" t="s">
        <v>29811</v>
      </c>
    </row>
    <row r="28754" spans="1:8">
      <c r="H28754" t="s">
        <v>29812</v>
      </c>
    </row>
    <row r="28755" spans="1:8">
      <c r="A28755" t="s">
        <v>1813</v>
      </c>
      <c r="B28755">
        <f>HYPERLINK("https://android.googlesource.com/platform/cts/+/3d99809e3825eed005a91f08934a6939cb1128f6", "3d99809e3825eed005a91f08934a6939cb1128f6")</f>
        <v>0</v>
      </c>
      <c r="C28755">
        <f>HYPERLINK("https://android.googlesource.com/platform/cts/+/0a2a4f1be075931f0032cd0e243b7323878f72ca", "0a2a4f1be075931f0032cd0e243b7323878f72ca")</f>
        <v>0</v>
      </c>
      <c r="D28755" t="s">
        <v>5051</v>
      </c>
      <c r="E28755" t="s">
        <v>7562</v>
      </c>
      <c r="F28755" t="s">
        <v>13423</v>
      </c>
      <c r="G28755" t="s">
        <v>17547</v>
      </c>
      <c r="H28755" t="s">
        <v>18829</v>
      </c>
    </row>
    <row r="28756" spans="1:8">
      <c r="A28756" t="s">
        <v>1814</v>
      </c>
      <c r="B28756">
        <f>HYPERLINK("https://android.googlesource.com/platform/cts/+/74b252546af0ac28122ddde45c734fa683d0ab39", "74b252546af0ac28122ddde45c734fa683d0ab39")</f>
        <v>0</v>
      </c>
      <c r="C28756">
        <f>HYPERLINK("https://android.googlesource.com/platform/cts/+/a1c8344df866033a0baae0d76fae208e5ab8034a", "a1c8344df866033a0baae0d76fae208e5ab8034a")</f>
        <v>0</v>
      </c>
      <c r="D28756" t="s">
        <v>5117</v>
      </c>
      <c r="E28756" t="s">
        <v>7560</v>
      </c>
      <c r="F28756" t="s">
        <v>13253</v>
      </c>
      <c r="G28756" t="s">
        <v>16455</v>
      </c>
      <c r="H28756" t="s">
        <v>29808</v>
      </c>
    </row>
    <row r="28757" spans="1:8">
      <c r="F28757" t="s">
        <v>13254</v>
      </c>
      <c r="G28757" t="s">
        <v>16545</v>
      </c>
      <c r="H28757" t="s">
        <v>29808</v>
      </c>
    </row>
    <row r="28758" spans="1:8">
      <c r="A28758" t="s">
        <v>1815</v>
      </c>
      <c r="B28758">
        <f>HYPERLINK("https://android.googlesource.com/platform/cts/+/94868587b11c576580797b6df42af79a704632b6", "94868587b11c576580797b6df42af79a704632b6")</f>
        <v>0</v>
      </c>
      <c r="C28758">
        <f>HYPERLINK("https://android.googlesource.com/platform/cts/+/884097c59f91a98ad62f45514b35da86cec7060e", "884097c59f91a98ad62f45514b35da86cec7060e")</f>
        <v>0</v>
      </c>
      <c r="D28758" t="s">
        <v>5110</v>
      </c>
      <c r="E28758" t="s">
        <v>7563</v>
      </c>
      <c r="F28758" t="s">
        <v>13437</v>
      </c>
      <c r="G28758" t="s">
        <v>17560</v>
      </c>
      <c r="H28758" t="s">
        <v>26873</v>
      </c>
    </row>
    <row r="28759" spans="1:8">
      <c r="H28759" t="s">
        <v>29813</v>
      </c>
    </row>
    <row r="28760" spans="1:8">
      <c r="H28760" t="s">
        <v>29814</v>
      </c>
    </row>
    <row r="28761" spans="1:8">
      <c r="H28761" t="s">
        <v>29815</v>
      </c>
    </row>
    <row r="28762" spans="1:8">
      <c r="H28762" t="s">
        <v>28516</v>
      </c>
    </row>
    <row r="28763" spans="1:8">
      <c r="H28763" t="s">
        <v>29816</v>
      </c>
    </row>
    <row r="28764" spans="1:8">
      <c r="A28764" t="s">
        <v>1816</v>
      </c>
      <c r="B28764">
        <f>HYPERLINK("https://android.googlesource.com/platform/cts/+/02f7f4a5bfc8749962f1634ef83b96ab2a3150ac", "02f7f4a5bfc8749962f1634ef83b96ab2a3150ac")</f>
        <v>0</v>
      </c>
      <c r="C28764">
        <f>HYPERLINK("https://android.googlesource.com/platform/cts/+/40d7fbd4b39b1a6751ddf12dbd2d1639e99d3d45", "40d7fbd4b39b1a6751ddf12dbd2d1639e99d3d45")</f>
        <v>0</v>
      </c>
      <c r="D28764" t="s">
        <v>5046</v>
      </c>
      <c r="E28764" t="s">
        <v>7564</v>
      </c>
      <c r="F28764" t="s">
        <v>13432</v>
      </c>
      <c r="G28764" t="s">
        <v>17556</v>
      </c>
      <c r="H28764" t="s">
        <v>29817</v>
      </c>
    </row>
    <row r="28765" spans="1:8">
      <c r="A28765" t="s">
        <v>1817</v>
      </c>
      <c r="B28765">
        <f>HYPERLINK("https://android.googlesource.com/platform/cts/+/4a57cf66a84bf42515b02e1260651dd00eccdd40", "4a57cf66a84bf42515b02e1260651dd00eccdd40")</f>
        <v>0</v>
      </c>
      <c r="C28765">
        <f>HYPERLINK("https://android.googlesource.com/platform/cts/+/6cbde11fdb8f037fae5fc8425d04b42e56fe1c0b", "6cbde11fdb8f037fae5fc8425d04b42e56fe1c0b")</f>
        <v>0</v>
      </c>
      <c r="D28765" t="s">
        <v>5046</v>
      </c>
      <c r="E28765" t="s">
        <v>7565</v>
      </c>
      <c r="F28765" t="s">
        <v>13438</v>
      </c>
      <c r="G28765" t="s">
        <v>17561</v>
      </c>
      <c r="H28765" t="s">
        <v>29769</v>
      </c>
    </row>
    <row r="28766" spans="1:8">
      <c r="F28766" t="s">
        <v>13439</v>
      </c>
      <c r="G28766" t="s">
        <v>17139</v>
      </c>
      <c r="H28766" t="s">
        <v>29769</v>
      </c>
    </row>
    <row r="28767" spans="1:8">
      <c r="A28767" t="s">
        <v>1818</v>
      </c>
      <c r="B28767">
        <f>HYPERLINK("https://android.googlesource.com/platform/cts/+/f6949d08c0ece339cbfeaa653e1e69c36529559f", "f6949d08c0ece339cbfeaa653e1e69c36529559f")</f>
        <v>0</v>
      </c>
      <c r="C28767">
        <f>HYPERLINK("https://android.googlesource.com/platform/cts/+/99d9d9718502356286e0b1847d2e06da0347c4b4", "99d9d9718502356286e0b1847d2e06da0347c4b4")</f>
        <v>0</v>
      </c>
      <c r="D28767" t="s">
        <v>5046</v>
      </c>
      <c r="E28767" t="s">
        <v>7566</v>
      </c>
      <c r="F28767" t="s">
        <v>13432</v>
      </c>
      <c r="G28767" t="s">
        <v>17556</v>
      </c>
      <c r="H28767" t="s">
        <v>29818</v>
      </c>
    </row>
    <row r="28768" spans="1:8">
      <c r="H28768" t="s">
        <v>29819</v>
      </c>
    </row>
    <row r="28769" spans="1:8">
      <c r="H28769" t="s">
        <v>29820</v>
      </c>
    </row>
    <row r="28770" spans="1:8">
      <c r="F28770" t="s">
        <v>13434</v>
      </c>
      <c r="G28770" t="s">
        <v>17558</v>
      </c>
      <c r="H28770" t="s">
        <v>29821</v>
      </c>
    </row>
    <row r="28771" spans="1:8">
      <c r="H28771" t="s">
        <v>29822</v>
      </c>
    </row>
    <row r="28772" spans="1:8">
      <c r="F28772" t="s">
        <v>13433</v>
      </c>
      <c r="G28772" t="s">
        <v>17557</v>
      </c>
      <c r="H28772" t="s">
        <v>29823</v>
      </c>
    </row>
    <row r="28773" spans="1:8">
      <c r="H28773" t="s">
        <v>29824</v>
      </c>
    </row>
    <row r="28774" spans="1:8">
      <c r="A28774" t="s">
        <v>1819</v>
      </c>
      <c r="B28774">
        <f>HYPERLINK("https://android.googlesource.com/platform/cts/+/5cd9b6918363be2b4caea662427e55afd9d50e23", "5cd9b6918363be2b4caea662427e55afd9d50e23")</f>
        <v>0</v>
      </c>
      <c r="C28774">
        <f>HYPERLINK("https://android.googlesource.com/platform/cts/+/2e8aa2f2ce017bc271e2d1d115a5cf989556c353", "2e8aa2f2ce017bc271e2d1d115a5cf989556c353")</f>
        <v>0</v>
      </c>
      <c r="D28774" t="s">
        <v>5282</v>
      </c>
      <c r="E28774" t="s">
        <v>7567</v>
      </c>
      <c r="F28774" t="s">
        <v>13317</v>
      </c>
      <c r="G28774" t="s">
        <v>17448</v>
      </c>
      <c r="H28774" t="s">
        <v>29825</v>
      </c>
    </row>
    <row r="28775" spans="1:8">
      <c r="A28775" t="s">
        <v>1820</v>
      </c>
      <c r="B28775">
        <f>HYPERLINK("https://android.googlesource.com/platform/cts/+/de7b989742c0e67f738722d2ddcea545d11f6384", "de7b989742c0e67f738722d2ddcea545d11f6384")</f>
        <v>0</v>
      </c>
      <c r="C28775">
        <f>HYPERLINK("https://android.googlesource.com/platform/cts/+/66155625d5272789e0085c07e623bfff9c3b4e4e", "66155625d5272789e0085c07e623bfff9c3b4e4e")</f>
        <v>0</v>
      </c>
      <c r="D28775" t="s">
        <v>5281</v>
      </c>
      <c r="E28775" t="s">
        <v>7555</v>
      </c>
      <c r="F28775" t="s">
        <v>13431</v>
      </c>
      <c r="G28775" t="s">
        <v>17555</v>
      </c>
      <c r="H28775" t="s">
        <v>18829</v>
      </c>
    </row>
    <row r="28776" spans="1:8">
      <c r="H28776" t="s">
        <v>18863</v>
      </c>
    </row>
    <row r="28777" spans="1:8">
      <c r="H28777" t="s">
        <v>29798</v>
      </c>
    </row>
    <row r="28778" spans="1:8">
      <c r="A28778" t="s">
        <v>1821</v>
      </c>
      <c r="B28778">
        <f>HYPERLINK("https://android.googlesource.com/platform/cts/+/27a09701c8190a1aaf829de288c34bdf9bc43d54", "27a09701c8190a1aaf829de288c34bdf9bc43d54")</f>
        <v>0</v>
      </c>
      <c r="C28778">
        <f>HYPERLINK("https://android.googlesource.com/platform/cts/+/a2e1390f05a5f7b55795ab111a4f7d374ad08c4f", "a2e1390f05a5f7b55795ab111a4f7d374ad08c4f")</f>
        <v>0</v>
      </c>
      <c r="D28778" t="s">
        <v>5280</v>
      </c>
      <c r="E28778" t="s">
        <v>7568</v>
      </c>
      <c r="F28778" t="s">
        <v>12710</v>
      </c>
      <c r="G28778" t="s">
        <v>16911</v>
      </c>
      <c r="H28778" t="s">
        <v>29826</v>
      </c>
    </row>
    <row r="28779" spans="1:8">
      <c r="A28779" t="s">
        <v>1822</v>
      </c>
      <c r="B28779">
        <f>HYPERLINK("https://android.googlesource.com/platform/cts/+/8b285538aaca0f6945a74c90309d5f2c2fd73288", "8b285538aaca0f6945a74c90309d5f2c2fd73288")</f>
        <v>0</v>
      </c>
      <c r="C28779">
        <f>HYPERLINK("https://android.googlesource.com/platform/cts/+/e5683a73191951a9e19b3c998da88cfd955ca022", "e5683a73191951a9e19b3c998da88cfd955ca022")</f>
        <v>0</v>
      </c>
      <c r="D28779" t="s">
        <v>5283</v>
      </c>
      <c r="E28779" t="s">
        <v>7569</v>
      </c>
      <c r="F28779" t="s">
        <v>13440</v>
      </c>
      <c r="G28779" t="s">
        <v>17562</v>
      </c>
      <c r="H28779" t="s">
        <v>29827</v>
      </c>
    </row>
    <row r="28780" spans="1:8">
      <c r="A28780" t="s">
        <v>1823</v>
      </c>
      <c r="B28780">
        <f>HYPERLINK("https://android.googlesource.com/platform/cts/+/07383f52e40d18baeac3a1188f8b472f4b0672ab", "07383f52e40d18baeac3a1188f8b472f4b0672ab")</f>
        <v>0</v>
      </c>
      <c r="C28780">
        <f>HYPERLINK("https://android.googlesource.com/platform/cts/+/4cd3817c07355301dab0f158bbe3d44c182c1849", "4cd3817c07355301dab0f158bbe3d44c182c1849")</f>
        <v>0</v>
      </c>
      <c r="D28780" t="s">
        <v>5146</v>
      </c>
      <c r="E28780" t="s">
        <v>7570</v>
      </c>
      <c r="F28780" t="s">
        <v>12844</v>
      </c>
      <c r="G28780" t="s">
        <v>17016</v>
      </c>
      <c r="H28780" t="s">
        <v>29828</v>
      </c>
    </row>
    <row r="28781" spans="1:8">
      <c r="H28781" t="s">
        <v>26611</v>
      </c>
    </row>
    <row r="28782" spans="1:8">
      <c r="F28782" t="s">
        <v>12845</v>
      </c>
      <c r="G28782" t="s">
        <v>16561</v>
      </c>
      <c r="H28782" t="s">
        <v>20276</v>
      </c>
    </row>
    <row r="28783" spans="1:8">
      <c r="H28783" t="s">
        <v>20277</v>
      </c>
    </row>
    <row r="28784" spans="1:8">
      <c r="H28784" t="s">
        <v>29829</v>
      </c>
    </row>
    <row r="28785" spans="1:8">
      <c r="F28785" t="s">
        <v>12860</v>
      </c>
      <c r="G28785" t="s">
        <v>17029</v>
      </c>
      <c r="H28785" t="s">
        <v>29830</v>
      </c>
    </row>
    <row r="28786" spans="1:8">
      <c r="H28786" t="s">
        <v>18863</v>
      </c>
    </row>
    <row r="28787" spans="1:8">
      <c r="H28787" t="s">
        <v>29831</v>
      </c>
    </row>
    <row r="28788" spans="1:8">
      <c r="H28788" t="s">
        <v>29832</v>
      </c>
    </row>
    <row r="28789" spans="1:8">
      <c r="A28789" t="s">
        <v>1824</v>
      </c>
      <c r="B28789">
        <f>HYPERLINK("https://android.googlesource.com/platform/cts/+/14ed8271cfd86219aa309ecb6927cfa96a31ec56", "14ed8271cfd86219aa309ecb6927cfa96a31ec56")</f>
        <v>0</v>
      </c>
      <c r="C28789">
        <f>HYPERLINK("https://android.googlesource.com/platform/cts/+/62edcb727db126775c6d767693d36355de37156f", "62edcb727db126775c6d767693d36355de37156f")</f>
        <v>0</v>
      </c>
      <c r="D28789" t="s">
        <v>5134</v>
      </c>
      <c r="E28789" t="s">
        <v>7571</v>
      </c>
      <c r="F28789" t="s">
        <v>13421</v>
      </c>
      <c r="G28789" t="s">
        <v>17545</v>
      </c>
      <c r="H28789" t="s">
        <v>29757</v>
      </c>
    </row>
    <row r="28790" spans="1:8">
      <c r="H28790" t="s">
        <v>29758</v>
      </c>
    </row>
    <row r="28791" spans="1:8">
      <c r="A28791" t="s">
        <v>1825</v>
      </c>
      <c r="B28791">
        <f>HYPERLINK("https://android.googlesource.com/platform/cts/+/30ad530c32ffd1047853bd19c1d1ae9376ce9edc", "30ad530c32ffd1047853bd19c1d1ae9376ce9edc")</f>
        <v>0</v>
      </c>
      <c r="C28791">
        <f>HYPERLINK("https://android.googlesource.com/platform/cts/+/62ab4ac6b208d7e659961b9f58f3706e0978bb44", "62ab4ac6b208d7e659961b9f58f3706e0978bb44")</f>
        <v>0</v>
      </c>
      <c r="D28791" t="s">
        <v>5046</v>
      </c>
      <c r="E28791" t="s">
        <v>7572</v>
      </c>
      <c r="F28791" t="s">
        <v>12179</v>
      </c>
      <c r="G28791" t="s">
        <v>16418</v>
      </c>
      <c r="H28791" t="s">
        <v>28615</v>
      </c>
    </row>
    <row r="28792" spans="1:8">
      <c r="A28792" t="s">
        <v>1826</v>
      </c>
      <c r="B28792">
        <f>HYPERLINK("https://android.googlesource.com/platform/cts/+/221f4490ff727a5eb7438202deb37f0bfff75d2e", "221f4490ff727a5eb7438202deb37f0bfff75d2e")</f>
        <v>0</v>
      </c>
      <c r="C28792">
        <f>HYPERLINK("https://android.googlesource.com/platform/cts/+/63155514a029c2e0763d1132ab8326bb4a6e8a3d", "63155514a029c2e0763d1132ab8326bb4a6e8a3d")</f>
        <v>0</v>
      </c>
      <c r="D28792" t="s">
        <v>5284</v>
      </c>
      <c r="E28792" t="s">
        <v>7573</v>
      </c>
      <c r="F28792" t="s">
        <v>13441</v>
      </c>
      <c r="G28792" t="s">
        <v>17563</v>
      </c>
      <c r="H28792" t="s">
        <v>29833</v>
      </c>
    </row>
    <row r="28793" spans="1:8">
      <c r="H28793" t="s">
        <v>29834</v>
      </c>
    </row>
    <row r="28794" spans="1:8">
      <c r="H28794" t="s">
        <v>29835</v>
      </c>
    </row>
    <row r="28795" spans="1:8">
      <c r="A28795" t="s">
        <v>1827</v>
      </c>
      <c r="B28795">
        <f>HYPERLINK("https://android.googlesource.com/platform/cts/+/8b022c8c608ebaa48a5b94880a1eeb125aefc042", "8b022c8c608ebaa48a5b94880a1eeb125aefc042")</f>
        <v>0</v>
      </c>
      <c r="C28795">
        <f>HYPERLINK("https://android.googlesource.com/platform/cts/+/ee58e66f8526ac1eb6985f209ce116aa1aed2b45", "ee58e66f8526ac1eb6985f209ce116aa1aed2b45")</f>
        <v>0</v>
      </c>
      <c r="D28795" t="s">
        <v>5285</v>
      </c>
      <c r="E28795" t="s">
        <v>7574</v>
      </c>
      <c r="F28795" t="s">
        <v>13162</v>
      </c>
      <c r="G28795" t="s">
        <v>16987</v>
      </c>
      <c r="H28795" t="s">
        <v>29836</v>
      </c>
    </row>
    <row r="28796" spans="1:8">
      <c r="F28796" t="s">
        <v>12629</v>
      </c>
      <c r="G28796" t="s">
        <v>16838</v>
      </c>
      <c r="H28796" t="s">
        <v>29837</v>
      </c>
    </row>
    <row r="28797" spans="1:8">
      <c r="H28797" t="s">
        <v>29838</v>
      </c>
    </row>
    <row r="28798" spans="1:8">
      <c r="A28798" t="s">
        <v>1828</v>
      </c>
      <c r="B28798">
        <f>HYPERLINK("https://android.googlesource.com/platform/cts/+/954353183ff7015400865d49b6e88849d390d7d7", "954353183ff7015400865d49b6e88849d390d7d7")</f>
        <v>0</v>
      </c>
      <c r="C28798">
        <f>HYPERLINK("https://android.googlesource.com/platform/cts/+/2453cffe529ca1e49b8934d351a465387ffeff77", "2453cffe529ca1e49b8934d351a465387ffeff77")</f>
        <v>0</v>
      </c>
      <c r="D28798" t="s">
        <v>5286</v>
      </c>
      <c r="E28798" t="s">
        <v>7575</v>
      </c>
      <c r="F28798" t="s">
        <v>12732</v>
      </c>
      <c r="G28798" t="s">
        <v>16926</v>
      </c>
      <c r="H28798" t="s">
        <v>29839</v>
      </c>
    </row>
    <row r="28799" spans="1:8">
      <c r="A28799" t="s">
        <v>1829</v>
      </c>
      <c r="B28799">
        <f>HYPERLINK("https://android.googlesource.com/platform/cts/+/2b9275d1f57251d2b242a9b55da602cf0ee0bc93", "2b9275d1f57251d2b242a9b55da602cf0ee0bc93")</f>
        <v>0</v>
      </c>
      <c r="C28799">
        <f>HYPERLINK("https://android.googlesource.com/platform/cts/+/1c3f4ccbd8b402ea2c777293dd6df5ce44a7b1a2", "1c3f4ccbd8b402ea2c777293dd6df5ce44a7b1a2")</f>
        <v>0</v>
      </c>
      <c r="D28799" t="s">
        <v>5287</v>
      </c>
      <c r="E28799" t="s">
        <v>7576</v>
      </c>
      <c r="F28799" t="s">
        <v>13442</v>
      </c>
      <c r="G28799" t="s">
        <v>17564</v>
      </c>
      <c r="H28799" t="s">
        <v>29840</v>
      </c>
    </row>
    <row r="28800" spans="1:8">
      <c r="A28800" t="s">
        <v>1830</v>
      </c>
      <c r="B28800">
        <f>HYPERLINK("https://android.googlesource.com/platform/cts/+/4fcbb81d4fdff0fab6aebffebff67af697d90986", "4fcbb81d4fdff0fab6aebffebff67af697d90986")</f>
        <v>0</v>
      </c>
      <c r="C28800">
        <f>HYPERLINK("https://android.googlesource.com/platform/cts/+/98c0df34658acc8fdf27d6cd44050d4844770b63", "98c0df34658acc8fdf27d6cd44050d4844770b63")</f>
        <v>0</v>
      </c>
      <c r="D28800" t="s">
        <v>5280</v>
      </c>
      <c r="E28800" t="s">
        <v>7577</v>
      </c>
      <c r="F28800" t="s">
        <v>12710</v>
      </c>
      <c r="G28800" t="s">
        <v>16911</v>
      </c>
      <c r="H28800" t="s">
        <v>29584</v>
      </c>
    </row>
    <row r="28801" spans="1:8">
      <c r="A28801" t="s">
        <v>1831</v>
      </c>
      <c r="B28801">
        <f>HYPERLINK("https://android.googlesource.com/platform/cts/+/f97dae10da147e411db188c6b354fe3cbd3520a1", "f97dae10da147e411db188c6b354fe3cbd3520a1")</f>
        <v>0</v>
      </c>
      <c r="C28801">
        <f>HYPERLINK("https://android.googlesource.com/platform/cts/+/8ac6cf6f14c7769307db3590234ae2c982afec93", "8ac6cf6f14c7769307db3590234ae2c982afec93")</f>
        <v>0</v>
      </c>
      <c r="D28801" t="s">
        <v>5134</v>
      </c>
      <c r="E28801" t="s">
        <v>7578</v>
      </c>
      <c r="F28801" t="s">
        <v>13421</v>
      </c>
      <c r="G28801" t="s">
        <v>17545</v>
      </c>
      <c r="H28801" t="s">
        <v>22685</v>
      </c>
    </row>
    <row r="28802" spans="1:8">
      <c r="A28802" t="s">
        <v>1832</v>
      </c>
      <c r="B28802">
        <f>HYPERLINK("https://android.googlesource.com/platform/cts/+/14ebdc825353c2b16f66c3a276cb865cab96e69e", "14ebdc825353c2b16f66c3a276cb865cab96e69e")</f>
        <v>0</v>
      </c>
      <c r="C28802">
        <f>HYPERLINK("https://android.googlesource.com/platform/cts/+/4d75df2d3e7bca502354af043fc51c1caf8dfe09", "4d75df2d3e7bca502354af043fc51c1caf8dfe09")</f>
        <v>0</v>
      </c>
      <c r="D28802" t="s">
        <v>5288</v>
      </c>
      <c r="E28802" t="s">
        <v>7579</v>
      </c>
      <c r="F28802" t="s">
        <v>13443</v>
      </c>
      <c r="G28802" t="s">
        <v>17565</v>
      </c>
      <c r="H28802" t="s">
        <v>18829</v>
      </c>
    </row>
    <row r="28803" spans="1:8">
      <c r="F28803" t="s">
        <v>13444</v>
      </c>
      <c r="G28803" t="s">
        <v>17566</v>
      </c>
      <c r="H28803" t="s">
        <v>18829</v>
      </c>
    </row>
    <row r="28804" spans="1:8">
      <c r="H28804" t="s">
        <v>29841</v>
      </c>
    </row>
    <row r="28805" spans="1:8">
      <c r="H28805" t="s">
        <v>29842</v>
      </c>
    </row>
    <row r="28806" spans="1:8">
      <c r="H28806" t="s">
        <v>29843</v>
      </c>
    </row>
    <row r="28807" spans="1:8">
      <c r="F28807" t="s">
        <v>13445</v>
      </c>
      <c r="G28807" t="s">
        <v>17567</v>
      </c>
      <c r="H28807" t="s">
        <v>18829</v>
      </c>
    </row>
    <row r="28808" spans="1:8">
      <c r="H28808" t="s">
        <v>29844</v>
      </c>
    </row>
    <row r="28809" spans="1:8">
      <c r="H28809" t="s">
        <v>29845</v>
      </c>
    </row>
    <row r="28810" spans="1:8">
      <c r="H28810" t="s">
        <v>29846</v>
      </c>
    </row>
    <row r="28811" spans="1:8">
      <c r="H28811" t="s">
        <v>29847</v>
      </c>
    </row>
    <row r="28812" spans="1:8">
      <c r="H28812" t="s">
        <v>28678</v>
      </c>
    </row>
    <row r="28813" spans="1:8">
      <c r="A28813" t="s">
        <v>1833</v>
      </c>
      <c r="B28813">
        <f>HYPERLINK("https://android.googlesource.com/platform/cts/+/509f2cbbe9855468a4551487558b5733dd7efcb8", "509f2cbbe9855468a4551487558b5733dd7efcb8")</f>
        <v>0</v>
      </c>
      <c r="C28813">
        <f>HYPERLINK("https://android.googlesource.com/platform/cts/+/b4f13cde0b0cd988b05305bbc297505b6a383ebf", "b4f13cde0b0cd988b05305bbc297505b6a383ebf")</f>
        <v>0</v>
      </c>
      <c r="D28813" t="s">
        <v>4981</v>
      </c>
      <c r="E28813" t="s">
        <v>7580</v>
      </c>
      <c r="F28813" t="s">
        <v>13348</v>
      </c>
      <c r="G28813" t="s">
        <v>17475</v>
      </c>
      <c r="H28813" t="s">
        <v>29427</v>
      </c>
    </row>
    <row r="28814" spans="1:8">
      <c r="F28814" t="s">
        <v>13332</v>
      </c>
      <c r="G28814" t="s">
        <v>17462</v>
      </c>
      <c r="H28814" t="s">
        <v>29848</v>
      </c>
    </row>
    <row r="28815" spans="1:8">
      <c r="A28815" t="s">
        <v>1834</v>
      </c>
      <c r="B28815">
        <f>HYPERLINK("https://android.googlesource.com/platform/cts/+/5d268e23679340f6217b77b32480a2c331cc62ee", "5d268e23679340f6217b77b32480a2c331cc62ee")</f>
        <v>0</v>
      </c>
      <c r="C28815">
        <f>HYPERLINK("https://android.googlesource.com/platform/cts/+/dfdcc0eda744be765642560c5f9583822da3907a", "dfdcc0eda744be765642560c5f9583822da3907a")</f>
        <v>0</v>
      </c>
      <c r="D28815" t="s">
        <v>5134</v>
      </c>
      <c r="E28815" t="s">
        <v>7581</v>
      </c>
      <c r="F28815" t="s">
        <v>13446</v>
      </c>
      <c r="G28815" t="s">
        <v>17568</v>
      </c>
      <c r="H28815" t="s">
        <v>29779</v>
      </c>
    </row>
    <row r="28816" spans="1:8">
      <c r="H28816" t="s">
        <v>29780</v>
      </c>
    </row>
    <row r="28817" spans="1:8">
      <c r="H28817" t="s">
        <v>29781</v>
      </c>
    </row>
    <row r="28818" spans="1:8">
      <c r="H28818" t="s">
        <v>29782</v>
      </c>
    </row>
    <row r="28819" spans="1:8">
      <c r="H28819" t="s">
        <v>29783</v>
      </c>
    </row>
    <row r="28820" spans="1:8">
      <c r="H28820" t="s">
        <v>29784</v>
      </c>
    </row>
    <row r="28821" spans="1:8">
      <c r="H28821" t="s">
        <v>29785</v>
      </c>
    </row>
    <row r="28822" spans="1:8">
      <c r="A28822" t="s">
        <v>1835</v>
      </c>
      <c r="B28822">
        <f>HYPERLINK("https://android.googlesource.com/platform/cts/+/b6978a01e06e3dc4ca287c425124742ab9591f4f", "b6978a01e06e3dc4ca287c425124742ab9591f4f")</f>
        <v>0</v>
      </c>
      <c r="C28822">
        <f>HYPERLINK("https://android.googlesource.com/platform/cts/+/3fc318491f7857fd89f8b6966f9ec4f77ff1b4a7", "3fc318491f7857fd89f8b6966f9ec4f77ff1b4a7")</f>
        <v>0</v>
      </c>
      <c r="D28822" t="s">
        <v>5112</v>
      </c>
      <c r="E28822" t="s">
        <v>7582</v>
      </c>
      <c r="F28822" t="s">
        <v>13447</v>
      </c>
      <c r="G28822" t="s">
        <v>17569</v>
      </c>
      <c r="H28822" t="s">
        <v>29849</v>
      </c>
    </row>
    <row r="28823" spans="1:8">
      <c r="H28823" t="s">
        <v>29850</v>
      </c>
    </row>
    <row r="28824" spans="1:8">
      <c r="H28824" t="s">
        <v>29851</v>
      </c>
    </row>
    <row r="28825" spans="1:8">
      <c r="H28825" t="s">
        <v>28492</v>
      </c>
    </row>
    <row r="28826" spans="1:8">
      <c r="A28826" t="s">
        <v>1836</v>
      </c>
      <c r="B28826">
        <f>HYPERLINK("https://android.googlesource.com/platform/cts/+/a1d2c8086f63aaeb87313a778c274e80161b0f46", "a1d2c8086f63aaeb87313a778c274e80161b0f46")</f>
        <v>0</v>
      </c>
      <c r="C28826">
        <f>HYPERLINK("https://android.googlesource.com/platform/cts/+/e7ed22a14357e43b65b6a9258843bfdaa255e0a1", "e7ed22a14357e43b65b6a9258843bfdaa255e0a1")</f>
        <v>0</v>
      </c>
      <c r="D28826" t="s">
        <v>5110</v>
      </c>
      <c r="E28826" t="s">
        <v>7583</v>
      </c>
      <c r="F28826" t="s">
        <v>12629</v>
      </c>
      <c r="G28826" t="s">
        <v>16838</v>
      </c>
      <c r="H28826" t="s">
        <v>29852</v>
      </c>
    </row>
    <row r="28827" spans="1:8">
      <c r="A28827" t="s">
        <v>1837</v>
      </c>
      <c r="B28827">
        <f>HYPERLINK("https://android.googlesource.com/platform/cts/+/a15c8f1c5618f6c28da8a94fc608b7c114eab34c", "a15c8f1c5618f6c28da8a94fc608b7c114eab34c")</f>
        <v>0</v>
      </c>
      <c r="C28827">
        <f>HYPERLINK("https://android.googlesource.com/platform/cts/+/9eb0439a016e0f757b527a94a9c25fa7e69c48f2", "9eb0439a016e0f757b527a94a9c25fa7e69c48f2")</f>
        <v>0</v>
      </c>
      <c r="D28827" t="s">
        <v>5117</v>
      </c>
      <c r="E28827" t="s">
        <v>7584</v>
      </c>
      <c r="F28827" t="s">
        <v>13448</v>
      </c>
      <c r="G28827" t="s">
        <v>17570</v>
      </c>
      <c r="H28827" t="s">
        <v>25497</v>
      </c>
    </row>
    <row r="28828" spans="1:8">
      <c r="H28828" t="s">
        <v>20244</v>
      </c>
    </row>
    <row r="28829" spans="1:8">
      <c r="H28829" t="s">
        <v>18829</v>
      </c>
    </row>
    <row r="28830" spans="1:8">
      <c r="H28830" t="s">
        <v>18863</v>
      </c>
    </row>
    <row r="28831" spans="1:8">
      <c r="H28831" t="s">
        <v>29853</v>
      </c>
    </row>
    <row r="28832" spans="1:8">
      <c r="H28832" t="s">
        <v>29854</v>
      </c>
    </row>
    <row r="28833" spans="1:8">
      <c r="H28833" t="s">
        <v>22590</v>
      </c>
    </row>
    <row r="28834" spans="1:8">
      <c r="A28834" t="s">
        <v>1838</v>
      </c>
      <c r="B28834">
        <f>HYPERLINK("https://android.googlesource.com/platform/cts/+/ac76d8027f5b1db40d4da6af5652a9972c4ba9a8", "ac76d8027f5b1db40d4da6af5652a9972c4ba9a8")</f>
        <v>0</v>
      </c>
      <c r="C28834">
        <f>HYPERLINK("https://android.googlesource.com/platform/cts/+/c383b7276b71f22c9ae4b08e1b21d6dbcc53f1b1", "c383b7276b71f22c9ae4b08e1b21d6dbcc53f1b1")</f>
        <v>0</v>
      </c>
      <c r="D28834" t="s">
        <v>5117</v>
      </c>
      <c r="E28834" t="s">
        <v>7585</v>
      </c>
      <c r="F28834" t="s">
        <v>13449</v>
      </c>
      <c r="G28834" t="s">
        <v>17571</v>
      </c>
      <c r="H28834" t="s">
        <v>18829</v>
      </c>
    </row>
    <row r="28835" spans="1:8">
      <c r="H28835" t="s">
        <v>18863</v>
      </c>
    </row>
    <row r="28836" spans="1:8">
      <c r="H28836" t="s">
        <v>29855</v>
      </c>
    </row>
    <row r="28837" spans="1:8">
      <c r="H28837" t="s">
        <v>29213</v>
      </c>
    </row>
    <row r="28838" spans="1:8">
      <c r="H28838" t="s">
        <v>29856</v>
      </c>
    </row>
    <row r="28839" spans="1:8">
      <c r="H28839" t="s">
        <v>29857</v>
      </c>
    </row>
    <row r="28840" spans="1:8">
      <c r="H28840" t="s">
        <v>29858</v>
      </c>
    </row>
    <row r="28841" spans="1:8">
      <c r="H28841" t="s">
        <v>29859</v>
      </c>
    </row>
    <row r="28842" spans="1:8">
      <c r="H28842" t="s">
        <v>29860</v>
      </c>
    </row>
    <row r="28843" spans="1:8">
      <c r="A28843" t="s">
        <v>1839</v>
      </c>
      <c r="B28843">
        <f>HYPERLINK("https://android.googlesource.com/platform/cts/+/b70cb349857518679d24c803e6aff51c510bfbe8", "b70cb349857518679d24c803e6aff51c510bfbe8")</f>
        <v>0</v>
      </c>
      <c r="C28843">
        <f>HYPERLINK("https://android.googlesource.com/platform/cts/+/42b339d8dbd6d756ebbaa8c1f19eb6213b0e6f74", "42b339d8dbd6d756ebbaa8c1f19eb6213b0e6f74")</f>
        <v>0</v>
      </c>
      <c r="D28843" t="s">
        <v>5289</v>
      </c>
      <c r="E28843" t="s">
        <v>7575</v>
      </c>
      <c r="F28843" t="s">
        <v>12732</v>
      </c>
      <c r="G28843" t="s">
        <v>16926</v>
      </c>
      <c r="H28843" t="s">
        <v>29839</v>
      </c>
    </row>
    <row r="28844" spans="1:8">
      <c r="A28844" t="s">
        <v>1840</v>
      </c>
      <c r="B28844">
        <f>HYPERLINK("https://android.googlesource.com/platform/cts/+/55ba6399004f0fdaa6c7f8e83270532513c72e31", "55ba6399004f0fdaa6c7f8e83270532513c72e31")</f>
        <v>0</v>
      </c>
      <c r="C28844">
        <f>HYPERLINK("https://android.googlesource.com/platform/cts/+/b1864524a50957b2c82a11e62656a87522175e01", "b1864524a50957b2c82a11e62656a87522175e01")</f>
        <v>0</v>
      </c>
      <c r="D28844" t="s">
        <v>5290</v>
      </c>
      <c r="E28844" t="s">
        <v>7586</v>
      </c>
      <c r="F28844" t="s">
        <v>12640</v>
      </c>
      <c r="G28844" t="s">
        <v>16848</v>
      </c>
      <c r="H28844" t="s">
        <v>29861</v>
      </c>
    </row>
    <row r="28845" spans="1:8">
      <c r="A28845" t="s">
        <v>1841</v>
      </c>
      <c r="B28845">
        <f>HYPERLINK("https://android.googlesource.com/platform/cts/+/392b9300fbc3f1ddf7c3e2b8e2d5d6e0b94d1637", "392b9300fbc3f1ddf7c3e2b8e2d5d6e0b94d1637")</f>
        <v>0</v>
      </c>
      <c r="C28845">
        <f>HYPERLINK("https://android.googlesource.com/platform/cts/+/a9e2ea44e979164178abc23740d882db3c297f7a", "a9e2ea44e979164178abc23740d882db3c297f7a")</f>
        <v>0</v>
      </c>
      <c r="D28845" t="s">
        <v>5191</v>
      </c>
      <c r="E28845" t="s">
        <v>7587</v>
      </c>
      <c r="F28845" t="s">
        <v>13404</v>
      </c>
      <c r="G28845" t="s">
        <v>17530</v>
      </c>
      <c r="H28845" t="s">
        <v>18829</v>
      </c>
    </row>
    <row r="28846" spans="1:8">
      <c r="H28846" t="s">
        <v>18927</v>
      </c>
    </row>
    <row r="28847" spans="1:8">
      <c r="H28847" t="s">
        <v>29862</v>
      </c>
    </row>
    <row r="28848" spans="1:8">
      <c r="A28848" t="s">
        <v>1842</v>
      </c>
      <c r="B28848">
        <f>HYPERLINK("https://android.googlesource.com/platform/cts/+/a0b514caf086fb0c54f4dfe4cf5a10da3ee1fef1", "a0b514caf086fb0c54f4dfe4cf5a10da3ee1fef1")</f>
        <v>0</v>
      </c>
      <c r="C28848">
        <f>HYPERLINK("https://android.googlesource.com/platform/cts/+/306a6572c9a18d7b2993df7d9dc095bb2e8827f8", "306a6572c9a18d7b2993df7d9dc095bb2e8827f8")</f>
        <v>0</v>
      </c>
      <c r="D28848" t="s">
        <v>5288</v>
      </c>
      <c r="E28848" t="s">
        <v>7588</v>
      </c>
      <c r="F28848" t="s">
        <v>13450</v>
      </c>
      <c r="G28848" t="s">
        <v>17572</v>
      </c>
      <c r="H28848" t="s">
        <v>29863</v>
      </c>
    </row>
    <row r="28849" spans="1:8">
      <c r="F28849" t="s">
        <v>13451</v>
      </c>
      <c r="G28849" t="s">
        <v>17573</v>
      </c>
      <c r="H28849" t="s">
        <v>29843</v>
      </c>
    </row>
    <row r="28850" spans="1:8">
      <c r="F28850" t="s">
        <v>13452</v>
      </c>
      <c r="G28850" t="s">
        <v>17574</v>
      </c>
      <c r="H28850" t="s">
        <v>29864</v>
      </c>
    </row>
    <row r="28851" spans="1:8">
      <c r="H28851" t="s">
        <v>29841</v>
      </c>
    </row>
    <row r="28852" spans="1:8">
      <c r="H28852" t="s">
        <v>29842</v>
      </c>
    </row>
    <row r="28853" spans="1:8">
      <c r="H28853" t="s">
        <v>29865</v>
      </c>
    </row>
    <row r="28854" spans="1:8">
      <c r="H28854" t="s">
        <v>29866</v>
      </c>
    </row>
    <row r="28855" spans="1:8">
      <c r="F28855" t="s">
        <v>13453</v>
      </c>
      <c r="G28855" t="s">
        <v>17575</v>
      </c>
      <c r="H28855" t="s">
        <v>18829</v>
      </c>
    </row>
    <row r="28856" spans="1:8">
      <c r="H28856" t="s">
        <v>29867</v>
      </c>
    </row>
    <row r="28857" spans="1:8">
      <c r="F28857" t="s">
        <v>13454</v>
      </c>
      <c r="G28857" t="s">
        <v>17576</v>
      </c>
      <c r="H28857" t="s">
        <v>18829</v>
      </c>
    </row>
    <row r="28858" spans="1:8">
      <c r="H28858" t="s">
        <v>28678</v>
      </c>
    </row>
    <row r="28859" spans="1:8">
      <c r="A28859" t="s">
        <v>1843</v>
      </c>
      <c r="B28859">
        <f>HYPERLINK("https://android.googlesource.com/platform/cts/+/f561db77e3e3f7ceb69d4fb1593fe9246eba6907", "f561db77e3e3f7ceb69d4fb1593fe9246eba6907")</f>
        <v>0</v>
      </c>
      <c r="C28859">
        <f>HYPERLINK("https://android.googlesource.com/platform/cts/+/6c9b8f0bf79b97b24a76d6d813aed64314545a5c", "6c9b8f0bf79b97b24a76d6d813aed64314545a5c")</f>
        <v>0</v>
      </c>
      <c r="D28859" t="s">
        <v>5141</v>
      </c>
      <c r="E28859" t="s">
        <v>7589</v>
      </c>
      <c r="F28859" t="s">
        <v>13455</v>
      </c>
      <c r="G28859" t="s">
        <v>17577</v>
      </c>
      <c r="H28859" t="s">
        <v>29868</v>
      </c>
    </row>
    <row r="28860" spans="1:8">
      <c r="H28860" t="s">
        <v>29869</v>
      </c>
    </row>
    <row r="28861" spans="1:8">
      <c r="H28861" t="s">
        <v>29870</v>
      </c>
    </row>
    <row r="28862" spans="1:8">
      <c r="H28862" t="s">
        <v>29871</v>
      </c>
    </row>
    <row r="28863" spans="1:8">
      <c r="H28863" t="s">
        <v>29872</v>
      </c>
    </row>
    <row r="28864" spans="1:8">
      <c r="H28864" t="s">
        <v>29873</v>
      </c>
    </row>
    <row r="28865" spans="1:8">
      <c r="H28865" t="s">
        <v>29269</v>
      </c>
    </row>
    <row r="28866" spans="1:8">
      <c r="H28866" t="s">
        <v>29874</v>
      </c>
    </row>
    <row r="28867" spans="1:8">
      <c r="H28867" t="s">
        <v>29875</v>
      </c>
    </row>
    <row r="28868" spans="1:8">
      <c r="H28868" t="s">
        <v>29270</v>
      </c>
    </row>
    <row r="28869" spans="1:8">
      <c r="H28869" t="s">
        <v>29876</v>
      </c>
    </row>
    <row r="28870" spans="1:8">
      <c r="F28870" t="s">
        <v>10794</v>
      </c>
      <c r="G28870" t="s">
        <v>15189</v>
      </c>
      <c r="H28870" t="s">
        <v>29877</v>
      </c>
    </row>
    <row r="28871" spans="1:8">
      <c r="A28871" t="s">
        <v>1844</v>
      </c>
      <c r="B28871">
        <f>HYPERLINK("https://android.googlesource.com/platform/cts/+/31608ab8c3cfca9e3ef0d1d9d5e2707b338f1842", "31608ab8c3cfca9e3ef0d1d9d5e2707b338f1842")</f>
        <v>0</v>
      </c>
      <c r="C28871">
        <f>HYPERLINK("https://android.googlesource.com/platform/cts/+/752ee2953e0479a16b1dcc24f39220ac9fb6efa1", "752ee2953e0479a16b1dcc24f39220ac9fb6efa1")</f>
        <v>0</v>
      </c>
      <c r="D28871" t="s">
        <v>5245</v>
      </c>
      <c r="E28871" t="s">
        <v>7590</v>
      </c>
      <c r="F28871" t="s">
        <v>13456</v>
      </c>
      <c r="G28871" t="s">
        <v>17578</v>
      </c>
      <c r="H28871" t="s">
        <v>19981</v>
      </c>
    </row>
    <row r="28872" spans="1:8">
      <c r="H28872" t="s">
        <v>29878</v>
      </c>
    </row>
    <row r="28873" spans="1:8">
      <c r="A28873" t="s">
        <v>1845</v>
      </c>
      <c r="B28873">
        <f>HYPERLINK("https://android.googlesource.com/platform/cts/+/6851ec22950f7394498fc51854d01cf8b07c9197", "6851ec22950f7394498fc51854d01cf8b07c9197")</f>
        <v>0</v>
      </c>
      <c r="C28873">
        <f>HYPERLINK("https://android.googlesource.com/platform/cts/+/7dcc9f84272be11509610f6555fd6eb1c404907c", "7dcc9f84272be11509610f6555fd6eb1c404907c")</f>
        <v>0</v>
      </c>
      <c r="D28873" t="s">
        <v>5215</v>
      </c>
      <c r="E28873" t="s">
        <v>7591</v>
      </c>
      <c r="F28873" t="s">
        <v>13032</v>
      </c>
      <c r="G28873" t="s">
        <v>17196</v>
      </c>
      <c r="H28873" t="s">
        <v>29879</v>
      </c>
    </row>
    <row r="28874" spans="1:8">
      <c r="A28874" t="s">
        <v>1846</v>
      </c>
      <c r="B28874">
        <f>HYPERLINK("https://android.googlesource.com/platform/cts/+/5b39028c6dd2503fdc0dfe0532850250cf77ea9c", "5b39028c6dd2503fdc0dfe0532850250cf77ea9c")</f>
        <v>0</v>
      </c>
      <c r="C28874">
        <f>HYPERLINK("https://android.googlesource.com/platform/cts/+/bb251ea23b2c433fb656ce65fee48cc9324982bb", "bb251ea23b2c433fb656ce65fee48cc9324982bb")</f>
        <v>0</v>
      </c>
      <c r="D28874" t="s">
        <v>5110</v>
      </c>
      <c r="E28874" t="s">
        <v>7592</v>
      </c>
      <c r="F28874" t="s">
        <v>12901</v>
      </c>
      <c r="G28874" t="s">
        <v>17068</v>
      </c>
      <c r="H28874" t="s">
        <v>29880</v>
      </c>
    </row>
    <row r="28875" spans="1:8">
      <c r="F28875" t="s">
        <v>12629</v>
      </c>
      <c r="G28875" t="s">
        <v>16838</v>
      </c>
      <c r="H28875" t="s">
        <v>29880</v>
      </c>
    </row>
    <row r="28876" spans="1:8">
      <c r="A28876" t="s">
        <v>1847</v>
      </c>
      <c r="B28876">
        <f>HYPERLINK("https://android.googlesource.com/platform/cts/+/ce31c0566e142ea05ea731755d3c7d3b202254c8", "ce31c0566e142ea05ea731755d3c7d3b202254c8")</f>
        <v>0</v>
      </c>
      <c r="C28876">
        <f>HYPERLINK("https://android.googlesource.com/platform/cts/+/e649acab87effb76c4efb3daa5c45321302e9c9b", "e649acab87effb76c4efb3daa5c45321302e9c9b")</f>
        <v>0</v>
      </c>
      <c r="D28876" t="s">
        <v>5021</v>
      </c>
      <c r="E28876" t="s">
        <v>7593</v>
      </c>
      <c r="F28876" t="s">
        <v>13356</v>
      </c>
      <c r="G28876" t="s">
        <v>14989</v>
      </c>
      <c r="H28876" t="s">
        <v>21486</v>
      </c>
    </row>
    <row r="28877" spans="1:8">
      <c r="H28877" t="s">
        <v>18829</v>
      </c>
    </row>
    <row r="28878" spans="1:8">
      <c r="H28878" t="s">
        <v>29881</v>
      </c>
    </row>
    <row r="28879" spans="1:8">
      <c r="F28879" t="s">
        <v>13457</v>
      </c>
      <c r="G28879" t="s">
        <v>17483</v>
      </c>
      <c r="H28879" t="s">
        <v>21486</v>
      </c>
    </row>
    <row r="28880" spans="1:8">
      <c r="H28880" t="s">
        <v>29435</v>
      </c>
    </row>
    <row r="28881" spans="8:8">
      <c r="H28881" t="s">
        <v>21486</v>
      </c>
    </row>
    <row r="28882" spans="8:8">
      <c r="H28882" t="s">
        <v>29436</v>
      </c>
    </row>
    <row r="28883" spans="8:8">
      <c r="H28883" t="s">
        <v>29882</v>
      </c>
    </row>
    <row r="28884" spans="8:8">
      <c r="H28884" t="s">
        <v>29882</v>
      </c>
    </row>
    <row r="28885" spans="8:8">
      <c r="H28885" t="s">
        <v>29882</v>
      </c>
    </row>
    <row r="28886" spans="8:8">
      <c r="H28886" t="s">
        <v>29882</v>
      </c>
    </row>
    <row r="28887" spans="8:8">
      <c r="H28887" t="s">
        <v>29437</v>
      </c>
    </row>
    <row r="28888" spans="8:8">
      <c r="H28888" t="s">
        <v>29883</v>
      </c>
    </row>
    <row r="28889" spans="8:8">
      <c r="H28889" t="s">
        <v>29884</v>
      </c>
    </row>
    <row r="28890" spans="8:8">
      <c r="H28890" t="s">
        <v>29885</v>
      </c>
    </row>
    <row r="28891" spans="8:8">
      <c r="H28891" t="s">
        <v>29886</v>
      </c>
    </row>
    <row r="28892" spans="8:8">
      <c r="H28892" t="s">
        <v>29887</v>
      </c>
    </row>
    <row r="28893" spans="8:8">
      <c r="H28893" t="s">
        <v>29888</v>
      </c>
    </row>
    <row r="28894" spans="8:8">
      <c r="H28894" t="s">
        <v>29889</v>
      </c>
    </row>
    <row r="28895" spans="8:8">
      <c r="H28895" t="s">
        <v>29890</v>
      </c>
    </row>
    <row r="28896" spans="8:8">
      <c r="H28896" t="s">
        <v>29891</v>
      </c>
    </row>
    <row r="28897" spans="1:8">
      <c r="H28897" t="s">
        <v>29892</v>
      </c>
    </row>
    <row r="28898" spans="1:8">
      <c r="H28898" t="s">
        <v>29893</v>
      </c>
    </row>
    <row r="28899" spans="1:8">
      <c r="H28899" t="s">
        <v>29894</v>
      </c>
    </row>
    <row r="28900" spans="1:8">
      <c r="A28900" t="s">
        <v>1848</v>
      </c>
      <c r="B28900">
        <f>HYPERLINK("https://android.googlesource.com/platform/cts/+/4bbce29c00ab1b989be46ca742ecee9a6ba6a954", "4bbce29c00ab1b989be46ca742ecee9a6ba6a954")</f>
        <v>0</v>
      </c>
      <c r="C28900">
        <f>HYPERLINK("https://android.googlesource.com/platform/cts/+/e649acab87effb76c4efb3daa5c45321302e9c9b", "e649acab87effb76c4efb3daa5c45321302e9c9b")</f>
        <v>0</v>
      </c>
      <c r="D28900" t="s">
        <v>5291</v>
      </c>
      <c r="E28900" t="s">
        <v>7594</v>
      </c>
      <c r="F28900" t="s">
        <v>12762</v>
      </c>
      <c r="G28900" t="s">
        <v>16953</v>
      </c>
      <c r="H28900" t="s">
        <v>29895</v>
      </c>
    </row>
    <row r="28901" spans="1:8">
      <c r="A28901" t="s">
        <v>1849</v>
      </c>
      <c r="B28901">
        <f>HYPERLINK("https://android.googlesource.com/platform/cts/+/56fda356ec383913141bb30629796e229a81fdf2", "56fda356ec383913141bb30629796e229a81fdf2")</f>
        <v>0</v>
      </c>
      <c r="C28901">
        <f>HYPERLINK("https://android.googlesource.com/platform/cts/+/016007174563ddf919019a7eae1b276a063dcfd4", "016007174563ddf919019a7eae1b276a063dcfd4")</f>
        <v>0</v>
      </c>
      <c r="D28901" t="s">
        <v>5014</v>
      </c>
      <c r="E28901" t="s">
        <v>7595</v>
      </c>
      <c r="F28901" t="s">
        <v>13458</v>
      </c>
      <c r="G28901" t="s">
        <v>17579</v>
      </c>
      <c r="H28901" t="s">
        <v>18927</v>
      </c>
    </row>
    <row r="28902" spans="1:8">
      <c r="H28902" t="s">
        <v>18927</v>
      </c>
    </row>
    <row r="28903" spans="1:8">
      <c r="H28903" t="s">
        <v>18927</v>
      </c>
    </row>
    <row r="28904" spans="1:8">
      <c r="H28904" t="s">
        <v>18927</v>
      </c>
    </row>
    <row r="28905" spans="1:8">
      <c r="H28905" t="s">
        <v>18927</v>
      </c>
    </row>
    <row r="28906" spans="1:8">
      <c r="A28906" t="s">
        <v>1850</v>
      </c>
      <c r="B28906">
        <f>HYPERLINK("https://android.googlesource.com/platform/cts/+/d82f3c3a53e3b0cb12dbd3dffb68418ef6e9f019", "d82f3c3a53e3b0cb12dbd3dffb68418ef6e9f019")</f>
        <v>0</v>
      </c>
      <c r="C28906">
        <f>HYPERLINK("https://android.googlesource.com/platform/cts/+/c7712f92b8353a19c68fe49b28ceed88c07403db", "c7712f92b8353a19c68fe49b28ceed88c07403db")</f>
        <v>0</v>
      </c>
      <c r="D28906" t="s">
        <v>5141</v>
      </c>
      <c r="E28906" t="s">
        <v>7596</v>
      </c>
      <c r="F28906" t="s">
        <v>13459</v>
      </c>
      <c r="G28906" t="s">
        <v>17577</v>
      </c>
      <c r="H28906" t="s">
        <v>29868</v>
      </c>
    </row>
    <row r="28907" spans="1:8">
      <c r="H28907" t="s">
        <v>29869</v>
      </c>
    </row>
    <row r="28908" spans="1:8">
      <c r="H28908" t="s">
        <v>29870</v>
      </c>
    </row>
    <row r="28909" spans="1:8">
      <c r="A28909" t="s">
        <v>1851</v>
      </c>
      <c r="B28909">
        <f>HYPERLINK("https://android.googlesource.com/platform/cts/+/9a0291cdd28ffa333414a4c0789689f65e98f95d", "9a0291cdd28ffa333414a4c0789689f65e98f95d")</f>
        <v>0</v>
      </c>
      <c r="C28909">
        <f>HYPERLINK("https://android.googlesource.com/platform/cts/+/c8b4800811bf9e9d388e524bee77ba7d17b1e2b2", "c8b4800811bf9e9d388e524bee77ba7d17b1e2b2")</f>
        <v>0</v>
      </c>
      <c r="D28909" t="s">
        <v>4947</v>
      </c>
      <c r="E28909" t="s">
        <v>7597</v>
      </c>
      <c r="F28909" t="s">
        <v>13460</v>
      </c>
      <c r="G28909" t="s">
        <v>16411</v>
      </c>
      <c r="H28909" t="s">
        <v>18829</v>
      </c>
    </row>
    <row r="28910" spans="1:8">
      <c r="H28910" t="s">
        <v>21256</v>
      </c>
    </row>
    <row r="28911" spans="1:8">
      <c r="H28911" t="s">
        <v>21257</v>
      </c>
    </row>
    <row r="28912" spans="1:8">
      <c r="H28912" t="s">
        <v>21258</v>
      </c>
    </row>
    <row r="28913" spans="8:8">
      <c r="H28913" t="s">
        <v>21259</v>
      </c>
    </row>
    <row r="28914" spans="8:8">
      <c r="H28914" t="s">
        <v>21260</v>
      </c>
    </row>
    <row r="28915" spans="8:8">
      <c r="H28915" t="s">
        <v>21261</v>
      </c>
    </row>
    <row r="28916" spans="8:8">
      <c r="H28916" t="s">
        <v>21262</v>
      </c>
    </row>
    <row r="28917" spans="8:8">
      <c r="H28917" t="s">
        <v>21263</v>
      </c>
    </row>
    <row r="28918" spans="8:8">
      <c r="H28918" t="s">
        <v>21264</v>
      </c>
    </row>
    <row r="28919" spans="8:8">
      <c r="H28919" t="s">
        <v>21265</v>
      </c>
    </row>
    <row r="28920" spans="8:8">
      <c r="H28920" t="s">
        <v>21266</v>
      </c>
    </row>
    <row r="28921" spans="8:8">
      <c r="H28921" t="s">
        <v>21267</v>
      </c>
    </row>
    <row r="28922" spans="8:8">
      <c r="H28922" t="s">
        <v>21268</v>
      </c>
    </row>
    <row r="28923" spans="8:8">
      <c r="H28923" t="s">
        <v>21269</v>
      </c>
    </row>
    <row r="28924" spans="8:8">
      <c r="H28924" t="s">
        <v>21270</v>
      </c>
    </row>
    <row r="28925" spans="8:8">
      <c r="H28925" t="s">
        <v>21271</v>
      </c>
    </row>
    <row r="28926" spans="8:8">
      <c r="H28926" t="s">
        <v>21272</v>
      </c>
    </row>
    <row r="28927" spans="8:8">
      <c r="H28927" t="s">
        <v>21273</v>
      </c>
    </row>
    <row r="28928" spans="8:8">
      <c r="H28928" t="s">
        <v>21274</v>
      </c>
    </row>
    <row r="28929" spans="1:8">
      <c r="H28929" t="s">
        <v>21275</v>
      </c>
    </row>
    <row r="28930" spans="1:8">
      <c r="H28930" t="s">
        <v>21276</v>
      </c>
    </row>
    <row r="28931" spans="1:8">
      <c r="H28931" t="s">
        <v>21277</v>
      </c>
    </row>
    <row r="28932" spans="1:8">
      <c r="H28932" t="s">
        <v>21278</v>
      </c>
    </row>
    <row r="28933" spans="1:8">
      <c r="H28933" t="s">
        <v>21279</v>
      </c>
    </row>
    <row r="28934" spans="1:8">
      <c r="H28934" t="s">
        <v>21280</v>
      </c>
    </row>
    <row r="28935" spans="1:8">
      <c r="H28935" t="s">
        <v>21281</v>
      </c>
    </row>
    <row r="28936" spans="1:8">
      <c r="H28936" t="s">
        <v>21282</v>
      </c>
    </row>
    <row r="28937" spans="1:8">
      <c r="H28937" t="s">
        <v>21283</v>
      </c>
    </row>
    <row r="28938" spans="1:8">
      <c r="A28938" t="s">
        <v>1852</v>
      </c>
      <c r="B28938">
        <f>HYPERLINK("https://android.googlesource.com/platform/cts/+/0fe5811c450c90d18206f2a9ac199468be0daaa2", "0fe5811c450c90d18206f2a9ac199468be0daaa2")</f>
        <v>0</v>
      </c>
      <c r="C28938">
        <f>HYPERLINK("https://android.googlesource.com/platform/cts/+/5fb9e89f94e96e1676847b87e32427917a8e14d3", "5fb9e89f94e96e1676847b87e32427917a8e14d3")</f>
        <v>0</v>
      </c>
      <c r="D28938" t="s">
        <v>4947</v>
      </c>
      <c r="E28938" t="s">
        <v>7598</v>
      </c>
      <c r="F28938" t="s">
        <v>13460</v>
      </c>
      <c r="G28938" t="s">
        <v>16411</v>
      </c>
      <c r="H28938" t="s">
        <v>18829</v>
      </c>
    </row>
    <row r="28939" spans="1:8">
      <c r="H28939" t="s">
        <v>21256</v>
      </c>
    </row>
    <row r="28940" spans="1:8">
      <c r="H28940" t="s">
        <v>21257</v>
      </c>
    </row>
    <row r="28941" spans="1:8">
      <c r="H28941" t="s">
        <v>21258</v>
      </c>
    </row>
    <row r="28942" spans="1:8">
      <c r="H28942" t="s">
        <v>21259</v>
      </c>
    </row>
    <row r="28943" spans="1:8">
      <c r="H28943" t="s">
        <v>21260</v>
      </c>
    </row>
    <row r="28944" spans="1:8">
      <c r="H28944" t="s">
        <v>21261</v>
      </c>
    </row>
    <row r="28945" spans="8:8">
      <c r="H28945" t="s">
        <v>21262</v>
      </c>
    </row>
    <row r="28946" spans="8:8">
      <c r="H28946" t="s">
        <v>21263</v>
      </c>
    </row>
    <row r="28947" spans="8:8">
      <c r="H28947" t="s">
        <v>21264</v>
      </c>
    </row>
    <row r="28948" spans="8:8">
      <c r="H28948" t="s">
        <v>21265</v>
      </c>
    </row>
    <row r="28949" spans="8:8">
      <c r="H28949" t="s">
        <v>21266</v>
      </c>
    </row>
    <row r="28950" spans="8:8">
      <c r="H28950" t="s">
        <v>21267</v>
      </c>
    </row>
    <row r="28951" spans="8:8">
      <c r="H28951" t="s">
        <v>21268</v>
      </c>
    </row>
    <row r="28952" spans="8:8">
      <c r="H28952" t="s">
        <v>21269</v>
      </c>
    </row>
    <row r="28953" spans="8:8">
      <c r="H28953" t="s">
        <v>21270</v>
      </c>
    </row>
    <row r="28954" spans="8:8">
      <c r="H28954" t="s">
        <v>21271</v>
      </c>
    </row>
    <row r="28955" spans="8:8">
      <c r="H28955" t="s">
        <v>21272</v>
      </c>
    </row>
    <row r="28956" spans="8:8">
      <c r="H28956" t="s">
        <v>21273</v>
      </c>
    </row>
    <row r="28957" spans="8:8">
      <c r="H28957" t="s">
        <v>21274</v>
      </c>
    </row>
    <row r="28958" spans="8:8">
      <c r="H28958" t="s">
        <v>21275</v>
      </c>
    </row>
    <row r="28959" spans="8:8">
      <c r="H28959" t="s">
        <v>21276</v>
      </c>
    </row>
    <row r="28960" spans="8:8">
      <c r="H28960" t="s">
        <v>21277</v>
      </c>
    </row>
    <row r="28961" spans="1:8">
      <c r="H28961" t="s">
        <v>21278</v>
      </c>
    </row>
    <row r="28962" spans="1:8">
      <c r="H28962" t="s">
        <v>21279</v>
      </c>
    </row>
    <row r="28963" spans="1:8">
      <c r="H28963" t="s">
        <v>21280</v>
      </c>
    </row>
    <row r="28964" spans="1:8">
      <c r="H28964" t="s">
        <v>21281</v>
      </c>
    </row>
    <row r="28965" spans="1:8">
      <c r="H28965" t="s">
        <v>21282</v>
      </c>
    </row>
    <row r="28966" spans="1:8">
      <c r="H28966" t="s">
        <v>21283</v>
      </c>
    </row>
    <row r="28967" spans="1:8">
      <c r="A28967" t="s">
        <v>1853</v>
      </c>
      <c r="B28967">
        <f>HYPERLINK("https://android.googlesource.com/platform/cts/+/72c3317b2ab88df346760baa026afb4bcbb51609", "72c3317b2ab88df346760baa026afb4bcbb51609")</f>
        <v>0</v>
      </c>
      <c r="C28967">
        <f>HYPERLINK("https://android.googlesource.com/platform/cts/+/0e926eb597738fe9483785c5492c861ac731c65f", "0e926eb597738fe9483785c5492c861ac731c65f")</f>
        <v>0</v>
      </c>
      <c r="D28967" t="s">
        <v>5147</v>
      </c>
      <c r="E28967" t="s">
        <v>7599</v>
      </c>
      <c r="F28967" t="s">
        <v>13461</v>
      </c>
      <c r="G28967" t="s">
        <v>17580</v>
      </c>
      <c r="H28967" t="s">
        <v>29896</v>
      </c>
    </row>
    <row r="28968" spans="1:8">
      <c r="H28968" t="s">
        <v>29897</v>
      </c>
    </row>
    <row r="28969" spans="1:8">
      <c r="F28969" t="s">
        <v>13462</v>
      </c>
      <c r="G28969" t="s">
        <v>17581</v>
      </c>
      <c r="H28969" t="s">
        <v>29896</v>
      </c>
    </row>
    <row r="28970" spans="1:8">
      <c r="H28970" t="s">
        <v>29898</v>
      </c>
    </row>
    <row r="28971" spans="1:8">
      <c r="H28971" t="s">
        <v>29899</v>
      </c>
    </row>
    <row r="28972" spans="1:8">
      <c r="H28972" t="s">
        <v>29897</v>
      </c>
    </row>
    <row r="28973" spans="1:8">
      <c r="A28973" t="s">
        <v>1854</v>
      </c>
      <c r="B28973">
        <f>HYPERLINK("https://android.googlesource.com/platform/cts/+/43ec86b3d135730f302c88b1570250dd5a089b04", "43ec86b3d135730f302c88b1570250dd5a089b04")</f>
        <v>0</v>
      </c>
      <c r="C28973">
        <f>HYPERLINK("https://android.googlesource.com/platform/cts/+/75c434b68a54a299a2257d646ae1760aedd4c183", "75c434b68a54a299a2257d646ae1760aedd4c183")</f>
        <v>0</v>
      </c>
      <c r="D28973" t="s">
        <v>5083</v>
      </c>
      <c r="E28973" t="s">
        <v>7600</v>
      </c>
      <c r="F28973" t="s">
        <v>13463</v>
      </c>
      <c r="G28973" t="s">
        <v>17582</v>
      </c>
      <c r="H28973" t="s">
        <v>20244</v>
      </c>
    </row>
    <row r="28974" spans="1:8">
      <c r="A28974" t="s">
        <v>1855</v>
      </c>
      <c r="B28974">
        <f>HYPERLINK("https://android.googlesource.com/platform/cts/+/cce120537f28f6ce8b88610b14c722df16e2ab9b", "cce120537f28f6ce8b88610b14c722df16e2ab9b")</f>
        <v>0</v>
      </c>
      <c r="C28974">
        <f>HYPERLINK("https://android.googlesource.com/platform/cts/+/72a91074cd9a6ce30a1d8efcb1b28b59afe3950e", "72a91074cd9a6ce30a1d8efcb1b28b59afe3950e")</f>
        <v>0</v>
      </c>
      <c r="D28974" t="s">
        <v>5110</v>
      </c>
      <c r="E28974" t="s">
        <v>7601</v>
      </c>
      <c r="F28974" t="s">
        <v>13464</v>
      </c>
      <c r="G28974" t="s">
        <v>17583</v>
      </c>
      <c r="H28974" t="s">
        <v>18829</v>
      </c>
    </row>
    <row r="28975" spans="1:8">
      <c r="H28975" t="s">
        <v>18863</v>
      </c>
    </row>
    <row r="28976" spans="1:8">
      <c r="H28976" t="s">
        <v>26176</v>
      </c>
    </row>
    <row r="28977" spans="1:8">
      <c r="H28977" t="s">
        <v>29900</v>
      </c>
    </row>
    <row r="28978" spans="1:8">
      <c r="H28978" t="s">
        <v>29901</v>
      </c>
    </row>
    <row r="28979" spans="1:8">
      <c r="H28979" t="s">
        <v>26181</v>
      </c>
    </row>
    <row r="28980" spans="1:8">
      <c r="A28980" t="s">
        <v>1856</v>
      </c>
      <c r="B28980">
        <f>HYPERLINK("https://android.googlesource.com/platform/cts/+/255ae922c7ce8c2bbf5fcf567c3b368c73397a91", "255ae922c7ce8c2bbf5fcf567c3b368c73397a91")</f>
        <v>0</v>
      </c>
      <c r="C28980">
        <f>HYPERLINK("https://android.googlesource.com/platform/cts/+/11a8e678c564145010e7004cd80daf9a647ff8a9", "11a8e678c564145010e7004cd80daf9a647ff8a9")</f>
        <v>0</v>
      </c>
      <c r="D28980" t="s">
        <v>5127</v>
      </c>
      <c r="E28980" t="s">
        <v>7602</v>
      </c>
      <c r="F28980" t="s">
        <v>13465</v>
      </c>
      <c r="G28980" t="s">
        <v>17584</v>
      </c>
      <c r="H28980" t="s">
        <v>29902</v>
      </c>
    </row>
    <row r="28981" spans="1:8">
      <c r="A28981" t="s">
        <v>1857</v>
      </c>
      <c r="B28981">
        <f>HYPERLINK("https://android.googlesource.com/platform/cts/+/e1ced1a156eaa5d78eed200be6b4ca9e91d6ca7d", "e1ced1a156eaa5d78eed200be6b4ca9e91d6ca7d")</f>
        <v>0</v>
      </c>
      <c r="C28981">
        <f>HYPERLINK("https://android.googlesource.com/platform/cts/+/8226b3138121b780c972d563bb102f5960713707", "8226b3138121b780c972d563bb102f5960713707")</f>
        <v>0</v>
      </c>
      <c r="D28981" t="s">
        <v>5287</v>
      </c>
      <c r="E28981" t="s">
        <v>7603</v>
      </c>
      <c r="F28981" t="s">
        <v>13442</v>
      </c>
      <c r="G28981" t="s">
        <v>17564</v>
      </c>
      <c r="H28981" t="s">
        <v>29903</v>
      </c>
    </row>
    <row r="28982" spans="1:8">
      <c r="A28982" t="s">
        <v>1858</v>
      </c>
      <c r="B28982">
        <f>HYPERLINK("https://android.googlesource.com/platform/cts/+/9f640593185774420fa411fc6d9b014d6489869a", "9f640593185774420fa411fc6d9b014d6489869a")</f>
        <v>0</v>
      </c>
      <c r="C28982">
        <f>HYPERLINK("https://android.googlesource.com/platform/cts/+/56e3ade7e9420c039a81d20bac3e1aaa20178f66", "56e3ade7e9420c039a81d20bac3e1aaa20178f66")</f>
        <v>0</v>
      </c>
      <c r="D28982" t="s">
        <v>5085</v>
      </c>
      <c r="E28982" t="s">
        <v>7604</v>
      </c>
      <c r="F28982" t="s">
        <v>13466</v>
      </c>
      <c r="G28982" t="s">
        <v>17585</v>
      </c>
      <c r="H28982" t="s">
        <v>18863</v>
      </c>
    </row>
    <row r="28983" spans="1:8">
      <c r="A28983" t="s">
        <v>1859</v>
      </c>
      <c r="B28983">
        <f>HYPERLINK("https://android.googlesource.com/platform/cts/+/2fae90d5626c7cdab61852ae9271a5ec1f59c286", "2fae90d5626c7cdab61852ae9271a5ec1f59c286")</f>
        <v>0</v>
      </c>
      <c r="C28983">
        <f>HYPERLINK("https://android.googlesource.com/platform/cts/+/bead2a9ee1b6ac23c79b129142f2e177f0ff6f99", "bead2a9ee1b6ac23c79b129142f2e177f0ff6f99")</f>
        <v>0</v>
      </c>
      <c r="D28983" t="s">
        <v>5188</v>
      </c>
      <c r="E28983" t="s">
        <v>7605</v>
      </c>
      <c r="F28983" t="s">
        <v>13467</v>
      </c>
      <c r="G28983" t="s">
        <v>17586</v>
      </c>
      <c r="H28983" t="s">
        <v>29904</v>
      </c>
    </row>
    <row r="28984" spans="1:8">
      <c r="A28984" t="s">
        <v>1860</v>
      </c>
      <c r="B28984">
        <f>HYPERLINK("https://android.googlesource.com/platform/cts/+/5a70255ea615f3df3507455fcb8ad4c359ce2a19", "5a70255ea615f3df3507455fcb8ad4c359ce2a19")</f>
        <v>0</v>
      </c>
      <c r="C28984">
        <f>HYPERLINK("https://android.googlesource.com/platform/cts/+/7e8443e1d9d38ac375adeffae964e04348aa6045", "7e8443e1d9d38ac375adeffae964e04348aa6045")</f>
        <v>0</v>
      </c>
      <c r="D28984" t="s">
        <v>5292</v>
      </c>
      <c r="E28984" t="s">
        <v>7606</v>
      </c>
      <c r="F28984" t="s">
        <v>12841</v>
      </c>
      <c r="G28984" t="s">
        <v>15119</v>
      </c>
      <c r="H28984" t="s">
        <v>29905</v>
      </c>
    </row>
    <row r="28985" spans="1:8">
      <c r="H28985" t="s">
        <v>29906</v>
      </c>
    </row>
    <row r="28986" spans="1:8">
      <c r="H28986" t="s">
        <v>29907</v>
      </c>
    </row>
    <row r="28987" spans="1:8">
      <c r="A28987" t="s">
        <v>1861</v>
      </c>
      <c r="B28987">
        <f>HYPERLINK("https://android.googlesource.com/platform/cts/+/a770b6f80fad06b795f16e5b25352aad78e15ac6", "a770b6f80fad06b795f16e5b25352aad78e15ac6")</f>
        <v>0</v>
      </c>
      <c r="C28987">
        <f>HYPERLINK("https://android.googlesource.com/platform/cts/+/1a239d51b6a3736108a702f8cf5d1bf5c4845f98", "1a239d51b6a3736108a702f8cf5d1bf5c4845f98")</f>
        <v>0</v>
      </c>
      <c r="D28987" t="s">
        <v>5293</v>
      </c>
      <c r="E28987" t="s">
        <v>7607</v>
      </c>
      <c r="F28987" t="s">
        <v>13468</v>
      </c>
      <c r="G28987" t="s">
        <v>17587</v>
      </c>
      <c r="H28987" t="s">
        <v>29908</v>
      </c>
    </row>
    <row r="28988" spans="1:8">
      <c r="A28988" t="s">
        <v>1862</v>
      </c>
      <c r="B28988">
        <f>HYPERLINK("https://android.googlesource.com/platform/cts/+/dbb173fc4cf4a4465e410c3ed2acdfd87087554c", "dbb173fc4cf4a4465e410c3ed2acdfd87087554c")</f>
        <v>0</v>
      </c>
      <c r="C28988">
        <f>HYPERLINK("https://android.googlesource.com/platform/cts/+/52a0ca2e43096a6c4233b04f63923fd74ca35f99", "52a0ca2e43096a6c4233b04f63923fd74ca35f99")</f>
        <v>0</v>
      </c>
      <c r="D28988" t="s">
        <v>5134</v>
      </c>
      <c r="E28988" t="s">
        <v>7608</v>
      </c>
      <c r="F28988" t="s">
        <v>13469</v>
      </c>
      <c r="G28988" t="s">
        <v>17588</v>
      </c>
      <c r="H28988" t="s">
        <v>29909</v>
      </c>
    </row>
    <row r="28989" spans="1:8">
      <c r="F28989" t="s">
        <v>13321</v>
      </c>
      <c r="G28989" t="s">
        <v>17452</v>
      </c>
      <c r="H28989" t="s">
        <v>29910</v>
      </c>
    </row>
    <row r="28990" spans="1:8">
      <c r="A28990" t="s">
        <v>1863</v>
      </c>
      <c r="B28990">
        <f>HYPERLINK("https://android.googlesource.com/platform/cts/+/6bc93dff1e350d426c668ea6d0233ba4d809f25b", "6bc93dff1e350d426c668ea6d0233ba4d809f25b")</f>
        <v>0</v>
      </c>
      <c r="C28990">
        <f>HYPERLINK("https://android.googlesource.com/platform/cts/+/89cbef840d3520889430d7f6ca324eff92ef2678", "89cbef840d3520889430d7f6ca324eff92ef2678")</f>
        <v>0</v>
      </c>
      <c r="D28990" t="s">
        <v>5294</v>
      </c>
      <c r="E28990" t="s">
        <v>7609</v>
      </c>
      <c r="F28990" t="s">
        <v>13470</v>
      </c>
      <c r="G28990" t="s">
        <v>17589</v>
      </c>
      <c r="H28990" t="s">
        <v>29911</v>
      </c>
    </row>
    <row r="28991" spans="1:8">
      <c r="A28991" t="s">
        <v>1864</v>
      </c>
      <c r="B28991">
        <f>HYPERLINK("https://android.googlesource.com/platform/cts/+/472cc95ed7b2606f47eddc1b454b139a4a7e90f5", "472cc95ed7b2606f47eddc1b454b139a4a7e90f5")</f>
        <v>0</v>
      </c>
      <c r="C28991">
        <f>HYPERLINK("https://android.googlesource.com/platform/cts/+/6d001dca45f465dcdf659d3b7b15a06b9418e935", "6d001dca45f465dcdf659d3b7b15a06b9418e935")</f>
        <v>0</v>
      </c>
      <c r="D28991" t="s">
        <v>5293</v>
      </c>
      <c r="E28991" t="s">
        <v>7610</v>
      </c>
      <c r="F28991" t="s">
        <v>13468</v>
      </c>
      <c r="G28991" t="s">
        <v>17587</v>
      </c>
      <c r="H28991" t="s">
        <v>29912</v>
      </c>
    </row>
    <row r="28992" spans="1:8">
      <c r="H28992" t="s">
        <v>29913</v>
      </c>
    </row>
    <row r="28993" spans="1:8">
      <c r="H28993" t="s">
        <v>29914</v>
      </c>
    </row>
    <row r="28994" spans="1:8">
      <c r="H28994" t="s">
        <v>29915</v>
      </c>
    </row>
    <row r="28995" spans="1:8">
      <c r="H28995" t="s">
        <v>29916</v>
      </c>
    </row>
    <row r="28996" spans="1:8">
      <c r="H28996" t="s">
        <v>29917</v>
      </c>
    </row>
    <row r="28997" spans="1:8">
      <c r="H28997" t="s">
        <v>29918</v>
      </c>
    </row>
    <row r="28998" spans="1:8">
      <c r="H28998" t="s">
        <v>29919</v>
      </c>
    </row>
    <row r="28999" spans="1:8">
      <c r="H28999" t="s">
        <v>29920</v>
      </c>
    </row>
    <row r="29000" spans="1:8">
      <c r="H29000" t="s">
        <v>29921</v>
      </c>
    </row>
    <row r="29001" spans="1:8">
      <c r="H29001" t="s">
        <v>29922</v>
      </c>
    </row>
    <row r="29002" spans="1:8">
      <c r="H29002" t="s">
        <v>29923</v>
      </c>
    </row>
    <row r="29003" spans="1:8">
      <c r="H29003" t="s">
        <v>29924</v>
      </c>
    </row>
    <row r="29004" spans="1:8">
      <c r="H29004" t="s">
        <v>29925</v>
      </c>
    </row>
    <row r="29005" spans="1:8">
      <c r="H29005" t="s">
        <v>29926</v>
      </c>
    </row>
    <row r="29006" spans="1:8">
      <c r="A29006" t="s">
        <v>1865</v>
      </c>
      <c r="B29006">
        <f>HYPERLINK("https://android.googlesource.com/platform/cts/+/e57dd1d63d14fa87eba7c8ba665b1fb1b9704cc7", "e57dd1d63d14fa87eba7c8ba665b1fb1b9704cc7")</f>
        <v>0</v>
      </c>
      <c r="C29006">
        <f>HYPERLINK("https://android.googlesource.com/platform/cts/+/f7518117c62da09af067223ebe550b920d0445d2", "f7518117c62da09af067223ebe550b920d0445d2")</f>
        <v>0</v>
      </c>
      <c r="D29006" t="s">
        <v>5295</v>
      </c>
      <c r="E29006" t="s">
        <v>7611</v>
      </c>
      <c r="F29006" t="s">
        <v>13082</v>
      </c>
      <c r="G29006" t="s">
        <v>17244</v>
      </c>
      <c r="H29006" t="s">
        <v>18836</v>
      </c>
    </row>
    <row r="29007" spans="1:8">
      <c r="A29007" t="s">
        <v>1866</v>
      </c>
      <c r="B29007">
        <f>HYPERLINK("https://android.googlesource.com/platform/cts/+/dcc9b56112121fddfd0381a0e4e7934bafb5e68f", "dcc9b56112121fddfd0381a0e4e7934bafb5e68f")</f>
        <v>0</v>
      </c>
      <c r="C29007">
        <f>HYPERLINK("https://android.googlesource.com/platform/cts/+/fe1e9a02745cad67d02ca684ecc0d3be5bb31c08", "fe1e9a02745cad67d02ca684ecc0d3be5bb31c08")</f>
        <v>0</v>
      </c>
      <c r="D29007" t="s">
        <v>5110</v>
      </c>
      <c r="E29007" t="s">
        <v>7612</v>
      </c>
      <c r="F29007" t="s">
        <v>12901</v>
      </c>
      <c r="G29007" t="s">
        <v>17068</v>
      </c>
      <c r="H29007" t="s">
        <v>26876</v>
      </c>
    </row>
    <row r="29008" spans="1:8">
      <c r="H29008" t="s">
        <v>29927</v>
      </c>
    </row>
    <row r="29009" spans="1:8">
      <c r="F29009" t="s">
        <v>12629</v>
      </c>
      <c r="G29009" t="s">
        <v>16838</v>
      </c>
      <c r="H29009" t="s">
        <v>26876</v>
      </c>
    </row>
    <row r="29010" spans="1:8">
      <c r="H29010" t="s">
        <v>29927</v>
      </c>
    </row>
    <row r="29011" spans="1:8">
      <c r="A29011" t="s">
        <v>1867</v>
      </c>
      <c r="B29011">
        <f>HYPERLINK("https://android.googlesource.com/platform/cts/+/25b8f1757a77388f87a327f50aa21761f31f6428", "25b8f1757a77388f87a327f50aa21761f31f6428")</f>
        <v>0</v>
      </c>
      <c r="C29011">
        <f>HYPERLINK("https://android.googlesource.com/platform/cts/+/f029795ed4a00a352a0bd79a7d2f7e179906a443", "f029795ed4a00a352a0bd79a7d2f7e179906a443")</f>
        <v>0</v>
      </c>
      <c r="D29011" t="s">
        <v>5296</v>
      </c>
      <c r="E29011" t="s">
        <v>7613</v>
      </c>
      <c r="F29011" t="s">
        <v>13471</v>
      </c>
      <c r="G29011" t="s">
        <v>17590</v>
      </c>
      <c r="H29011" t="s">
        <v>29928</v>
      </c>
    </row>
    <row r="29012" spans="1:8">
      <c r="A29012" t="s">
        <v>1868</v>
      </c>
      <c r="B29012">
        <f>HYPERLINK("https://android.googlesource.com/platform/cts/+/3720a52d7039b67d5576f1c3410565df32a7167f", "3720a52d7039b67d5576f1c3410565df32a7167f")</f>
        <v>0</v>
      </c>
      <c r="C29012">
        <f>HYPERLINK("https://android.googlesource.com/platform/cts/+/9b142f2af737ed712a04247394db854e28afe6da", "9b142f2af737ed712a04247394db854e28afe6da")</f>
        <v>0</v>
      </c>
      <c r="D29012" t="s">
        <v>5240</v>
      </c>
      <c r="E29012" t="s">
        <v>7614</v>
      </c>
      <c r="F29012" t="s">
        <v>12710</v>
      </c>
      <c r="G29012" t="s">
        <v>16911</v>
      </c>
      <c r="H29012" t="s">
        <v>29584</v>
      </c>
    </row>
    <row r="29013" spans="1:8">
      <c r="A29013" t="s">
        <v>1869</v>
      </c>
      <c r="B29013">
        <f>HYPERLINK("https://android.googlesource.com/platform/cts/+/5f5e49c57e82e5d88193c5d2dfc594a91cb8f1b5", "5f5e49c57e82e5d88193c5d2dfc594a91cb8f1b5")</f>
        <v>0</v>
      </c>
      <c r="C29013">
        <f>HYPERLINK("https://android.googlesource.com/platform/cts/+/e3f806aae3ad3ee4df5ba7890f53ef0b153a30df", "e3f806aae3ad3ee4df5ba7890f53ef0b153a30df")</f>
        <v>0</v>
      </c>
      <c r="D29013" t="s">
        <v>5281</v>
      </c>
      <c r="E29013" t="s">
        <v>7615</v>
      </c>
      <c r="F29013" t="s">
        <v>13431</v>
      </c>
      <c r="G29013" t="s">
        <v>17555</v>
      </c>
      <c r="H29013" t="s">
        <v>18829</v>
      </c>
    </row>
    <row r="29014" spans="1:8">
      <c r="H29014" t="s">
        <v>18863</v>
      </c>
    </row>
    <row r="29015" spans="1:8">
      <c r="H29015" t="s">
        <v>29798</v>
      </c>
    </row>
    <row r="29016" spans="1:8">
      <c r="A29016" t="s">
        <v>1870</v>
      </c>
      <c r="B29016">
        <f>HYPERLINK("https://android.googlesource.com/platform/cts/+/b246155abd7e6d362d144fa27e2039f3398ab2a2", "b246155abd7e6d362d144fa27e2039f3398ab2a2")</f>
        <v>0</v>
      </c>
      <c r="C29016">
        <f>HYPERLINK("https://android.googlesource.com/platform/cts/+/a483d20dfb42caec47b66c2a7acb7c64453839c9", "a483d20dfb42caec47b66c2a7acb7c64453839c9")</f>
        <v>0</v>
      </c>
      <c r="D29016" t="s">
        <v>5132</v>
      </c>
      <c r="E29016" t="s">
        <v>7616</v>
      </c>
      <c r="F29016" t="s">
        <v>12936</v>
      </c>
      <c r="G29016" t="s">
        <v>17101</v>
      </c>
      <c r="H29016" t="s">
        <v>29511</v>
      </c>
    </row>
    <row r="29017" spans="1:8">
      <c r="H29017" t="s">
        <v>29512</v>
      </c>
    </row>
    <row r="29018" spans="1:8">
      <c r="H29018" t="s">
        <v>29513</v>
      </c>
    </row>
    <row r="29019" spans="1:8">
      <c r="H29019" t="s">
        <v>29514</v>
      </c>
    </row>
    <row r="29020" spans="1:8">
      <c r="F29020" t="s">
        <v>13087</v>
      </c>
      <c r="G29020" t="s">
        <v>17249</v>
      </c>
      <c r="H29020" t="s">
        <v>29518</v>
      </c>
    </row>
    <row r="29021" spans="1:8">
      <c r="F29021" t="s">
        <v>13091</v>
      </c>
      <c r="G29021" t="s">
        <v>17253</v>
      </c>
      <c r="H29021" t="s">
        <v>29515</v>
      </c>
    </row>
    <row r="29022" spans="1:8">
      <c r="H29022" t="s">
        <v>29519</v>
      </c>
    </row>
    <row r="29023" spans="1:8">
      <c r="H29023" t="s">
        <v>29516</v>
      </c>
    </row>
    <row r="29024" spans="1:8">
      <c r="H29024" t="s">
        <v>29517</v>
      </c>
    </row>
    <row r="29025" spans="1:8">
      <c r="H29025" t="s">
        <v>29514</v>
      </c>
    </row>
    <row r="29026" spans="1:8">
      <c r="F29026" t="s">
        <v>10596</v>
      </c>
      <c r="G29026" t="s">
        <v>14999</v>
      </c>
      <c r="H29026" t="s">
        <v>29515</v>
      </c>
    </row>
    <row r="29027" spans="1:8">
      <c r="H29027" t="s">
        <v>29519</v>
      </c>
    </row>
    <row r="29028" spans="1:8">
      <c r="H29028" t="s">
        <v>29516</v>
      </c>
    </row>
    <row r="29029" spans="1:8">
      <c r="H29029" t="s">
        <v>29517</v>
      </c>
    </row>
    <row r="29030" spans="1:8">
      <c r="H29030" t="s">
        <v>29514</v>
      </c>
    </row>
    <row r="29031" spans="1:8">
      <c r="A29031" t="s">
        <v>1871</v>
      </c>
      <c r="B29031">
        <f>HYPERLINK("https://android.googlesource.com/platform/cts/+/45d5ecd5cffb7e6399264e1b9aebc021e42d0787", "45d5ecd5cffb7e6399264e1b9aebc021e42d0787")</f>
        <v>0</v>
      </c>
      <c r="C29031">
        <f>HYPERLINK("https://android.googlesource.com/platform/cts/+/22e8a28e678566d7d944a37dc40842b1e0e5d525", "22e8a28e678566d7d944a37dc40842b1e0e5d525")</f>
        <v>0</v>
      </c>
      <c r="D29031" t="s">
        <v>5272</v>
      </c>
      <c r="E29031" t="s">
        <v>7617</v>
      </c>
      <c r="F29031" t="s">
        <v>13472</v>
      </c>
      <c r="G29031" t="s">
        <v>17591</v>
      </c>
      <c r="H29031" t="s">
        <v>29929</v>
      </c>
    </row>
    <row r="29032" spans="1:8">
      <c r="H29032" t="s">
        <v>29930</v>
      </c>
    </row>
    <row r="29033" spans="1:8">
      <c r="H29033" t="s">
        <v>29931</v>
      </c>
    </row>
    <row r="29034" spans="1:8">
      <c r="H29034" t="s">
        <v>29932</v>
      </c>
    </row>
    <row r="29035" spans="1:8">
      <c r="H29035" t="s">
        <v>29933</v>
      </c>
    </row>
    <row r="29036" spans="1:8">
      <c r="H29036" t="s">
        <v>28841</v>
      </c>
    </row>
    <row r="29037" spans="1:8">
      <c r="H29037" t="s">
        <v>29934</v>
      </c>
    </row>
    <row r="29038" spans="1:8">
      <c r="H29038" t="s">
        <v>29935</v>
      </c>
    </row>
    <row r="29039" spans="1:8">
      <c r="H29039" t="s">
        <v>29936</v>
      </c>
    </row>
    <row r="29040" spans="1:8">
      <c r="H29040" t="s">
        <v>29937</v>
      </c>
    </row>
    <row r="29041" spans="1:8">
      <c r="A29041" t="s">
        <v>1872</v>
      </c>
      <c r="B29041">
        <f>HYPERLINK("https://android.googlesource.com/platform/cts/+/0eaa8a0839097911b69283873e07885d35575e4c", "0eaa8a0839097911b69283873e07885d35575e4c")</f>
        <v>0</v>
      </c>
      <c r="C29041">
        <f>HYPERLINK("https://android.googlesource.com/platform/cts/+/a483d20dfb42caec47b66c2a7acb7c64453839c9", "a483d20dfb42caec47b66c2a7acb7c64453839c9")</f>
        <v>0</v>
      </c>
      <c r="D29041" t="s">
        <v>5032</v>
      </c>
      <c r="E29041" t="s">
        <v>7618</v>
      </c>
      <c r="F29041" t="s">
        <v>13473</v>
      </c>
      <c r="G29041" t="s">
        <v>17592</v>
      </c>
      <c r="H29041" t="s">
        <v>29938</v>
      </c>
    </row>
    <row r="29042" spans="1:8">
      <c r="A29042" t="s">
        <v>1873</v>
      </c>
      <c r="B29042">
        <f>HYPERLINK("https://android.googlesource.com/platform/cts/+/923b97d33e6c0fddb102ed0d81768f92b60e4121", "923b97d33e6c0fddb102ed0d81768f92b60e4121")</f>
        <v>0</v>
      </c>
      <c r="C29042">
        <f>HYPERLINK("https://android.googlesource.com/platform/cts/+/774f3a229ef8f43ed224c94884ce1abe1d73b258", "774f3a229ef8f43ed224c94884ce1abe1d73b258")</f>
        <v>0</v>
      </c>
      <c r="D29042" t="s">
        <v>5163</v>
      </c>
      <c r="E29042" t="s">
        <v>7619</v>
      </c>
      <c r="F29042" t="s">
        <v>13474</v>
      </c>
      <c r="G29042" t="s">
        <v>17593</v>
      </c>
      <c r="H29042" t="s">
        <v>29939</v>
      </c>
    </row>
    <row r="29043" spans="1:8">
      <c r="A29043" t="s">
        <v>1874</v>
      </c>
      <c r="B29043">
        <f>HYPERLINK("https://android.googlesource.com/platform/cts/+/1164f4c1282f695a138e4d9d091a5904a132d094", "1164f4c1282f695a138e4d9d091a5904a132d094")</f>
        <v>0</v>
      </c>
      <c r="C29043">
        <f>HYPERLINK("https://android.googlesource.com/platform/cts/+/c47d556a7eff36773ea503d3156c03ccd20633c2", "c47d556a7eff36773ea503d3156c03ccd20633c2")</f>
        <v>0</v>
      </c>
      <c r="D29043" t="s">
        <v>5295</v>
      </c>
      <c r="E29043" t="s">
        <v>7620</v>
      </c>
      <c r="F29043" t="s">
        <v>13475</v>
      </c>
      <c r="G29043" t="s">
        <v>17594</v>
      </c>
      <c r="H29043" t="s">
        <v>18836</v>
      </c>
    </row>
    <row r="29044" spans="1:8">
      <c r="A29044" t="s">
        <v>1875</v>
      </c>
      <c r="B29044">
        <f>HYPERLINK("https://android.googlesource.com/platform/cts/+/d2b29e665357c19e899f653c93df72ecd8bbb15d", "d2b29e665357c19e899f653c93df72ecd8bbb15d")</f>
        <v>0</v>
      </c>
      <c r="C29044">
        <f>HYPERLINK("https://android.googlesource.com/platform/cts/+/c6b4d2be2e23016be58ec1648abdc91505600790", "c6b4d2be2e23016be58ec1648abdc91505600790")</f>
        <v>0</v>
      </c>
      <c r="D29044" t="s">
        <v>5281</v>
      </c>
      <c r="E29044" t="s">
        <v>7621</v>
      </c>
      <c r="F29044" t="s">
        <v>13431</v>
      </c>
      <c r="G29044" t="s">
        <v>17555</v>
      </c>
      <c r="H29044" t="s">
        <v>18829</v>
      </c>
    </row>
    <row r="29045" spans="1:8">
      <c r="H29045" t="s">
        <v>18863</v>
      </c>
    </row>
    <row r="29046" spans="1:8">
      <c r="H29046" t="s">
        <v>29798</v>
      </c>
    </row>
    <row r="29047" spans="1:8">
      <c r="A29047" t="s">
        <v>1876</v>
      </c>
      <c r="B29047">
        <f>HYPERLINK("https://android.googlesource.com/platform/cts/+/1a9bd8f2b1633f81ee980eeda69e7c6e44393b47", "1a9bd8f2b1633f81ee980eeda69e7c6e44393b47")</f>
        <v>0</v>
      </c>
      <c r="C29047">
        <f>HYPERLINK("https://android.googlesource.com/platform/cts/+/cb8b5a2e5a7f66755eab8002111f517eed5e2db0", "cb8b5a2e5a7f66755eab8002111f517eed5e2db0")</f>
        <v>0</v>
      </c>
      <c r="D29047" t="s">
        <v>5117</v>
      </c>
      <c r="E29047" t="s">
        <v>7622</v>
      </c>
      <c r="F29047" t="s">
        <v>13476</v>
      </c>
      <c r="G29047" t="s">
        <v>17571</v>
      </c>
      <c r="H29047" t="s">
        <v>29213</v>
      </c>
    </row>
    <row r="29048" spans="1:8">
      <c r="H29048" t="s">
        <v>29856</v>
      </c>
    </row>
    <row r="29049" spans="1:8">
      <c r="H29049" t="s">
        <v>29857</v>
      </c>
    </row>
    <row r="29050" spans="1:8">
      <c r="H29050" t="s">
        <v>29858</v>
      </c>
    </row>
    <row r="29051" spans="1:8">
      <c r="H29051" t="s">
        <v>29859</v>
      </c>
    </row>
    <row r="29052" spans="1:8">
      <c r="H29052" t="s">
        <v>29860</v>
      </c>
    </row>
    <row r="29053" spans="1:8">
      <c r="A29053" t="s">
        <v>1877</v>
      </c>
      <c r="B29053">
        <f>HYPERLINK("https://android.googlesource.com/platform/cts/+/af4c6ce6bcd4b4c65d64ad8594bc205dc7940cbc", "af4c6ce6bcd4b4c65d64ad8594bc205dc7940cbc")</f>
        <v>0</v>
      </c>
      <c r="C29053">
        <f>HYPERLINK("https://android.googlesource.com/platform/cts/+/0bc23fba3471eed62632fa5de47c1b587c2400c2", "0bc23fba3471eed62632fa5de47c1b587c2400c2")</f>
        <v>0</v>
      </c>
      <c r="D29053" t="s">
        <v>5219</v>
      </c>
      <c r="E29053" t="s">
        <v>7623</v>
      </c>
      <c r="F29053" t="s">
        <v>13477</v>
      </c>
      <c r="G29053" t="s">
        <v>17595</v>
      </c>
      <c r="H29053" t="s">
        <v>20083</v>
      </c>
    </row>
    <row r="29054" spans="1:8">
      <c r="F29054" t="s">
        <v>13478</v>
      </c>
      <c r="G29054" t="s">
        <v>17596</v>
      </c>
      <c r="H29054" t="s">
        <v>29940</v>
      </c>
    </row>
    <row r="29055" spans="1:8">
      <c r="A29055" t="s">
        <v>1878</v>
      </c>
      <c r="B29055">
        <f>HYPERLINK("https://android.googlesource.com/platform/cts/+/23fcc3b6b34719ad81de0d411090387396378317", "23fcc3b6b34719ad81de0d411090387396378317")</f>
        <v>0</v>
      </c>
      <c r="C29055">
        <f>HYPERLINK("https://android.googlesource.com/platform/cts/+/23a18ecd2757bf8414d99b441b0f2225e15267da", "23a18ecd2757bf8414d99b441b0f2225e15267da")</f>
        <v>0</v>
      </c>
      <c r="D29055" t="s">
        <v>5235</v>
      </c>
      <c r="E29055" t="s">
        <v>7624</v>
      </c>
      <c r="F29055" t="s">
        <v>13479</v>
      </c>
      <c r="G29055" t="s">
        <v>17597</v>
      </c>
      <c r="H29055" t="s">
        <v>29941</v>
      </c>
    </row>
    <row r="29056" spans="1:8">
      <c r="H29056" t="s">
        <v>29942</v>
      </c>
    </row>
    <row r="29057" spans="1:8">
      <c r="A29057" t="s">
        <v>1879</v>
      </c>
      <c r="B29057">
        <f>HYPERLINK("https://android.googlesource.com/platform/cts/+/5103ab556f4a82a7234776b212d057bf2f507c52", "5103ab556f4a82a7234776b212d057bf2f507c52")</f>
        <v>0</v>
      </c>
      <c r="C29057">
        <f>HYPERLINK("https://android.googlesource.com/platform/cts/+/9c36162953f5e4d1a9aa6305abba562f3f7b8e63", "9c36162953f5e4d1a9aa6305abba562f3f7b8e63")</f>
        <v>0</v>
      </c>
      <c r="D29057" t="s">
        <v>5297</v>
      </c>
      <c r="E29057" t="s">
        <v>7625</v>
      </c>
      <c r="F29057" t="s">
        <v>13480</v>
      </c>
      <c r="G29057" t="s">
        <v>17598</v>
      </c>
      <c r="H29057" t="s">
        <v>18829</v>
      </c>
    </row>
    <row r="29058" spans="1:8">
      <c r="H29058" t="s">
        <v>29943</v>
      </c>
    </row>
    <row r="29059" spans="1:8">
      <c r="H29059" t="s">
        <v>29944</v>
      </c>
    </row>
    <row r="29060" spans="1:8">
      <c r="A29060" t="s">
        <v>1880</v>
      </c>
      <c r="B29060">
        <f>HYPERLINK("https://android.googlesource.com/platform/cts/+/d7a77455b5262d906a0c6731b7208d8135269b14", "d7a77455b5262d906a0c6731b7208d8135269b14")</f>
        <v>0</v>
      </c>
      <c r="C29060">
        <f>HYPERLINK("https://android.googlesource.com/platform/cts/+/98a9e20123eac5e130acf75d84f07fbf7a59e68f", "98a9e20123eac5e130acf75d84f07fbf7a59e68f")</f>
        <v>0</v>
      </c>
      <c r="D29060" t="s">
        <v>5224</v>
      </c>
      <c r="E29060" t="s">
        <v>7626</v>
      </c>
      <c r="F29060" t="s">
        <v>13248</v>
      </c>
      <c r="G29060" t="s">
        <v>17388</v>
      </c>
      <c r="H29060" t="s">
        <v>29945</v>
      </c>
    </row>
    <row r="29061" spans="1:8">
      <c r="H29061" t="s">
        <v>29946</v>
      </c>
    </row>
    <row r="29062" spans="1:8">
      <c r="A29062" t="s">
        <v>1881</v>
      </c>
      <c r="B29062">
        <f>HYPERLINK("https://android.googlesource.com/platform/cts/+/16087b662276400ee7de00e0f1d8aee2f7515e51", "16087b662276400ee7de00e0f1d8aee2f7515e51")</f>
        <v>0</v>
      </c>
      <c r="C29062">
        <f>HYPERLINK("https://android.googlesource.com/platform/cts/+/ab9eb968540da4f5dc7d9e502a830a98d943e643", "ab9eb968540da4f5dc7d9e502a830a98d943e643")</f>
        <v>0</v>
      </c>
      <c r="D29062" t="s">
        <v>5110</v>
      </c>
      <c r="E29062" t="s">
        <v>7627</v>
      </c>
      <c r="F29062" t="s">
        <v>13435</v>
      </c>
      <c r="G29062" t="s">
        <v>17559</v>
      </c>
      <c r="H29062" t="s">
        <v>29947</v>
      </c>
    </row>
    <row r="29063" spans="1:8">
      <c r="F29063" t="s">
        <v>12743</v>
      </c>
      <c r="G29063" t="s">
        <v>16935</v>
      </c>
      <c r="H29063" t="s">
        <v>29947</v>
      </c>
    </row>
    <row r="29064" spans="1:8">
      <c r="A29064" t="s">
        <v>1882</v>
      </c>
      <c r="B29064">
        <f>HYPERLINK("https://android.googlesource.com/platform/cts/+/27b33a2b40ff9ab272934a18fcf3074d4dff4f09", "27b33a2b40ff9ab272934a18fcf3074d4dff4f09")</f>
        <v>0</v>
      </c>
      <c r="C29064">
        <f>HYPERLINK("https://android.googlesource.com/platform/cts/+/ef47172edc00074a0bd62aa09524c4e30ea3a32b", "ef47172edc00074a0bd62aa09524c4e30ea3a32b")</f>
        <v>0</v>
      </c>
      <c r="D29064" t="s">
        <v>5108</v>
      </c>
      <c r="E29064" t="s">
        <v>7628</v>
      </c>
      <c r="F29064" t="s">
        <v>13481</v>
      </c>
      <c r="G29064" t="s">
        <v>17599</v>
      </c>
      <c r="H29064" t="s">
        <v>20237</v>
      </c>
    </row>
    <row r="29065" spans="1:8">
      <c r="A29065" t="s">
        <v>1883</v>
      </c>
      <c r="B29065">
        <f>HYPERLINK("https://android.googlesource.com/platform/cts/+/09e1cf0830fe40d7cbf83df9a1681f702007977f", "09e1cf0830fe40d7cbf83df9a1681f702007977f")</f>
        <v>0</v>
      </c>
      <c r="C29065">
        <f>HYPERLINK("https://android.googlesource.com/platform/cts/+/fd523b6bc069392ea8fd76977cca45209e1e7091", "fd523b6bc069392ea8fd76977cca45209e1e7091")</f>
        <v>0</v>
      </c>
      <c r="D29065" t="s">
        <v>5131</v>
      </c>
      <c r="E29065" t="s">
        <v>7629</v>
      </c>
      <c r="F29065" t="s">
        <v>13430</v>
      </c>
      <c r="G29065" t="s">
        <v>17600</v>
      </c>
      <c r="H29065" t="s">
        <v>20228</v>
      </c>
    </row>
    <row r="29066" spans="1:8">
      <c r="H29066" t="s">
        <v>29948</v>
      </c>
    </row>
    <row r="29067" spans="1:8">
      <c r="H29067" t="s">
        <v>29949</v>
      </c>
    </row>
    <row r="29068" spans="1:8">
      <c r="H29068" t="s">
        <v>29950</v>
      </c>
    </row>
    <row r="29069" spans="1:8">
      <c r="H29069" t="s">
        <v>29951</v>
      </c>
    </row>
    <row r="29070" spans="1:8">
      <c r="H29070" t="s">
        <v>29952</v>
      </c>
    </row>
    <row r="29071" spans="1:8">
      <c r="H29071" t="s">
        <v>29953</v>
      </c>
    </row>
    <row r="29072" spans="1:8">
      <c r="H29072" t="s">
        <v>29954</v>
      </c>
    </row>
    <row r="29073" spans="1:8">
      <c r="H29073" t="s">
        <v>29955</v>
      </c>
    </row>
    <row r="29074" spans="1:8">
      <c r="H29074" t="s">
        <v>29956</v>
      </c>
    </row>
    <row r="29075" spans="1:8">
      <c r="H29075" t="s">
        <v>29957</v>
      </c>
    </row>
    <row r="29076" spans="1:8">
      <c r="H29076" t="s">
        <v>29958</v>
      </c>
    </row>
    <row r="29077" spans="1:8">
      <c r="H29077" t="s">
        <v>29959</v>
      </c>
    </row>
    <row r="29078" spans="1:8">
      <c r="H29078" t="s">
        <v>29960</v>
      </c>
    </row>
    <row r="29079" spans="1:8">
      <c r="A29079" t="s">
        <v>1884</v>
      </c>
      <c r="B29079">
        <f>HYPERLINK("https://android.googlesource.com/platform/cts/+/98d745e0dc3bb2910a7179c1b156a1f8b80eb77c", "98d745e0dc3bb2910a7179c1b156a1f8b80eb77c")</f>
        <v>0</v>
      </c>
      <c r="C29079">
        <f>HYPERLINK("https://android.googlesource.com/platform/cts/+/679c494b68253c07dcf713079f0d81df4839813f", "679c494b68253c07dcf713079f0d81df4839813f")</f>
        <v>0</v>
      </c>
      <c r="D29079" t="s">
        <v>5288</v>
      </c>
      <c r="E29079" t="s">
        <v>7630</v>
      </c>
      <c r="F29079" t="s">
        <v>13482</v>
      </c>
      <c r="G29079" t="s">
        <v>17576</v>
      </c>
      <c r="H29079" t="s">
        <v>28678</v>
      </c>
    </row>
    <row r="29080" spans="1:8">
      <c r="A29080" t="s">
        <v>1885</v>
      </c>
      <c r="B29080">
        <f>HYPERLINK("https://android.googlesource.com/platform/cts/+/399306b5136d320fcfa0b1dd79732db0f7ec5d78", "399306b5136d320fcfa0b1dd79732db0f7ec5d78")</f>
        <v>0</v>
      </c>
      <c r="C29080">
        <f>HYPERLINK("https://android.googlesource.com/platform/cts/+/98d745e0dc3bb2910a7179c1b156a1f8b80eb77c", "98d745e0dc3bb2910a7179c1b156a1f8b80eb77c")</f>
        <v>0</v>
      </c>
      <c r="D29080" t="s">
        <v>5288</v>
      </c>
      <c r="E29080" t="s">
        <v>7631</v>
      </c>
      <c r="F29080" t="s">
        <v>13451</v>
      </c>
      <c r="G29080" t="s">
        <v>17573</v>
      </c>
      <c r="H29080" t="s">
        <v>29961</v>
      </c>
    </row>
    <row r="29081" spans="1:8">
      <c r="A29081" t="s">
        <v>1886</v>
      </c>
      <c r="B29081">
        <f>HYPERLINK("https://android.googlesource.com/platform/cts/+/2e05cb3084e69d781ed2bceb51ddc72e34a35841", "2e05cb3084e69d781ed2bceb51ddc72e34a35841")</f>
        <v>0</v>
      </c>
      <c r="C29081">
        <f>HYPERLINK("https://android.googlesource.com/platform/cts/+/919bd619bde042060093998dcca40b85c2895e93", "919bd619bde042060093998dcca40b85c2895e93")</f>
        <v>0</v>
      </c>
      <c r="D29081" t="s">
        <v>5134</v>
      </c>
      <c r="E29081" t="s">
        <v>7632</v>
      </c>
      <c r="F29081" t="s">
        <v>13358</v>
      </c>
      <c r="G29081" t="s">
        <v>17485</v>
      </c>
      <c r="H29081" t="s">
        <v>29962</v>
      </c>
    </row>
    <row r="29082" spans="1:8">
      <c r="H29082" t="s">
        <v>22005</v>
      </c>
    </row>
    <row r="29083" spans="1:8">
      <c r="H29083" t="s">
        <v>18930</v>
      </c>
    </row>
    <row r="29084" spans="1:8">
      <c r="F29084" t="s">
        <v>13361</v>
      </c>
      <c r="G29084" t="s">
        <v>17488</v>
      </c>
      <c r="H29084" t="s">
        <v>29963</v>
      </c>
    </row>
    <row r="29085" spans="1:8">
      <c r="A29085" t="s">
        <v>1887</v>
      </c>
      <c r="B29085">
        <f>HYPERLINK("https://android.googlesource.com/platform/cts/+/82f6f5c96482e3e82e48d5c3feb9a96d24e24612", "82f6f5c96482e3e82e48d5c3feb9a96d24e24612")</f>
        <v>0</v>
      </c>
      <c r="C29085">
        <f>HYPERLINK("https://android.googlesource.com/platform/cts/+/d86edf468b23f6e37972a374102ad9d5d8f86284", "d86edf468b23f6e37972a374102ad9d5d8f86284")</f>
        <v>0</v>
      </c>
      <c r="D29085" t="s">
        <v>5191</v>
      </c>
      <c r="E29085" t="s">
        <v>7633</v>
      </c>
      <c r="F29085" t="s">
        <v>13483</v>
      </c>
      <c r="G29085" t="s">
        <v>17601</v>
      </c>
      <c r="H29085" t="s">
        <v>20244</v>
      </c>
    </row>
    <row r="29086" spans="1:8">
      <c r="A29086" t="s">
        <v>1888</v>
      </c>
      <c r="B29086">
        <f>HYPERLINK("https://android.googlesource.com/platform/cts/+/e6d8b9841b1bd3af635ceda614576c43f1b2a581", "e6d8b9841b1bd3af635ceda614576c43f1b2a581")</f>
        <v>0</v>
      </c>
      <c r="C29086">
        <f>HYPERLINK("https://android.googlesource.com/platform/cts/+/f0082c2a9392cba97d35130516a59441d58cf7c9", "f0082c2a9392cba97d35130516a59441d58cf7c9")</f>
        <v>0</v>
      </c>
      <c r="D29086" t="s">
        <v>5134</v>
      </c>
      <c r="E29086" t="s">
        <v>7634</v>
      </c>
      <c r="F29086" t="s">
        <v>13255</v>
      </c>
      <c r="G29086" t="s">
        <v>17393</v>
      </c>
      <c r="H29086" t="s">
        <v>29964</v>
      </c>
    </row>
    <row r="29087" spans="1:8">
      <c r="A29087" t="s">
        <v>1889</v>
      </c>
      <c r="B29087">
        <f>HYPERLINK("https://android.googlesource.com/platform/cts/+/cab55143adff46d9a4437821efd3bbb6170d8f6a", "cab55143adff46d9a4437821efd3bbb6170d8f6a")</f>
        <v>0</v>
      </c>
      <c r="C29087">
        <f>HYPERLINK("https://android.googlesource.com/platform/cts/+/7cf0fcfd504b195919ecac0e79ad37a0d0cf76a4", "7cf0fcfd504b195919ecac0e79ad37a0d0cf76a4")</f>
        <v>0</v>
      </c>
      <c r="D29087" t="s">
        <v>5287</v>
      </c>
      <c r="E29087" t="s">
        <v>7635</v>
      </c>
      <c r="F29087" t="s">
        <v>10663</v>
      </c>
      <c r="G29087" t="s">
        <v>15064</v>
      </c>
      <c r="H29087" t="s">
        <v>29965</v>
      </c>
    </row>
    <row r="29088" spans="1:8">
      <c r="H29088" t="s">
        <v>29966</v>
      </c>
    </row>
    <row r="29089" spans="1:8">
      <c r="H29089" t="s">
        <v>29967</v>
      </c>
    </row>
    <row r="29090" spans="1:8">
      <c r="H29090" t="s">
        <v>29968</v>
      </c>
    </row>
    <row r="29091" spans="1:8">
      <c r="A29091" t="s">
        <v>1890</v>
      </c>
      <c r="B29091">
        <f>HYPERLINK("https://android.googlesource.com/platform/cts/+/691fbd369b869251a50f9a420565fc1559cf287b", "691fbd369b869251a50f9a420565fc1559cf287b")</f>
        <v>0</v>
      </c>
      <c r="C29091">
        <f>HYPERLINK("https://android.googlesource.com/platform/cts/+/ab9eb968540da4f5dc7d9e502a830a98d943e643", "ab9eb968540da4f5dc7d9e502a830a98d943e643")</f>
        <v>0</v>
      </c>
      <c r="D29091" t="s">
        <v>4965</v>
      </c>
      <c r="E29091" t="s">
        <v>7636</v>
      </c>
      <c r="F29091" t="s">
        <v>10627</v>
      </c>
      <c r="G29091" t="s">
        <v>15030</v>
      </c>
      <c r="H29091" t="s">
        <v>29969</v>
      </c>
    </row>
    <row r="29092" spans="1:8">
      <c r="A29092" t="s">
        <v>1891</v>
      </c>
      <c r="B29092">
        <f>HYPERLINK("https://android.googlesource.com/platform/cts/+/58573820cd178ae744434aed3072c4a7114b778c", "58573820cd178ae744434aed3072c4a7114b778c")</f>
        <v>0</v>
      </c>
      <c r="C29092">
        <f>HYPERLINK("https://android.googlesource.com/platform/cts/+/ffe870bbc0174b4f734ad798b68ac5bf45777140", "ffe870bbc0174b4f734ad798b68ac5bf45777140")</f>
        <v>0</v>
      </c>
      <c r="D29092" t="s">
        <v>5156</v>
      </c>
      <c r="E29092" t="s">
        <v>7637</v>
      </c>
      <c r="F29092" t="s">
        <v>13288</v>
      </c>
      <c r="G29092" t="s">
        <v>17602</v>
      </c>
      <c r="H29092" t="s">
        <v>29970</v>
      </c>
    </row>
    <row r="29093" spans="1:8">
      <c r="A29093" t="s">
        <v>1892</v>
      </c>
      <c r="B29093">
        <f>HYPERLINK("https://android.googlesource.com/platform/cts/+/f69df28602daf0caf9205290cf0c239eba8cd46b", "f69df28602daf0caf9205290cf0c239eba8cd46b")</f>
        <v>0</v>
      </c>
      <c r="C29093">
        <f>HYPERLINK("https://android.googlesource.com/platform/cts/+/ffe870bbc0174b4f734ad798b68ac5bf45777140", "ffe870bbc0174b4f734ad798b68ac5bf45777140")</f>
        <v>0</v>
      </c>
      <c r="D29093" t="s">
        <v>5135</v>
      </c>
      <c r="E29093" t="s">
        <v>7638</v>
      </c>
      <c r="F29093" t="s">
        <v>13484</v>
      </c>
      <c r="G29093" t="s">
        <v>17603</v>
      </c>
      <c r="H29093" t="s">
        <v>29971</v>
      </c>
    </row>
    <row r="29094" spans="1:8">
      <c r="H29094" t="s">
        <v>29972</v>
      </c>
    </row>
    <row r="29095" spans="1:8">
      <c r="A29095" t="s">
        <v>1893</v>
      </c>
      <c r="B29095">
        <f>HYPERLINK("https://android.googlesource.com/platform/cts/+/ecfc130214ea87d6e9270f529669bb54dd9be3f5", "ecfc130214ea87d6e9270f529669bb54dd9be3f5")</f>
        <v>0</v>
      </c>
      <c r="C29095">
        <f>HYPERLINK("https://android.googlesource.com/platform/cts/+/a7ed1144ea6c6fd3415ff1f878b51a64e78d3d83", "a7ed1144ea6c6fd3415ff1f878b51a64e78d3d83")</f>
        <v>0</v>
      </c>
      <c r="D29095" t="s">
        <v>5298</v>
      </c>
      <c r="E29095" t="s">
        <v>7639</v>
      </c>
      <c r="F29095" t="s">
        <v>13485</v>
      </c>
      <c r="G29095" t="s">
        <v>17604</v>
      </c>
      <c r="H29095" t="s">
        <v>29973</v>
      </c>
    </row>
    <row r="29096" spans="1:8">
      <c r="H29096" t="s">
        <v>29974</v>
      </c>
    </row>
    <row r="29097" spans="1:8">
      <c r="H29097" t="s">
        <v>29975</v>
      </c>
    </row>
    <row r="29098" spans="1:8">
      <c r="H29098" t="s">
        <v>29976</v>
      </c>
    </row>
    <row r="29099" spans="1:8">
      <c r="A29099" t="s">
        <v>1894</v>
      </c>
      <c r="B29099">
        <f>HYPERLINK("https://android.googlesource.com/platform/cts/+/768971a9a356dccec93a4249e2a8cbc4463be538", "768971a9a356dccec93a4249e2a8cbc4463be538")</f>
        <v>0</v>
      </c>
      <c r="C29099">
        <f>HYPERLINK("https://android.googlesource.com/platform/cts/+/fdaf5e19de3b13b85a1005eb0a91dd3e6f4e31fe", "fdaf5e19de3b13b85a1005eb0a91dd3e6f4e31fe")</f>
        <v>0</v>
      </c>
      <c r="D29099" t="s">
        <v>5299</v>
      </c>
      <c r="E29099" t="s">
        <v>7640</v>
      </c>
      <c r="F29099" t="s">
        <v>13486</v>
      </c>
      <c r="G29099" t="s">
        <v>15098</v>
      </c>
      <c r="H29099" t="s">
        <v>29977</v>
      </c>
    </row>
    <row r="29100" spans="1:8">
      <c r="A29100" t="s">
        <v>1895</v>
      </c>
      <c r="B29100">
        <f>HYPERLINK("https://android.googlesource.com/platform/cts/+/75a4e7a907f9ed9c7ccdeee4042c895f94112635", "75a4e7a907f9ed9c7ccdeee4042c895f94112635")</f>
        <v>0</v>
      </c>
      <c r="C29100">
        <f>HYPERLINK("https://android.googlesource.com/platform/cts/+/e32bb16fbc533668a3ffa331372bf0ef1cebef01", "e32bb16fbc533668a3ffa331372bf0ef1cebef01")</f>
        <v>0</v>
      </c>
      <c r="D29100" t="s">
        <v>5046</v>
      </c>
      <c r="E29100" t="s">
        <v>7641</v>
      </c>
      <c r="F29100" t="s">
        <v>13487</v>
      </c>
      <c r="G29100" t="s">
        <v>17044</v>
      </c>
      <c r="H29100" t="s">
        <v>29978</v>
      </c>
    </row>
    <row r="29101" spans="1:8">
      <c r="H29101" t="s">
        <v>29979</v>
      </c>
    </row>
    <row r="29102" spans="1:8">
      <c r="A29102" t="s">
        <v>1896</v>
      </c>
      <c r="B29102">
        <f>HYPERLINK("https://android.googlesource.com/platform/cts/+/d1a8687d6cad7c651d7bd3de89923e46c774350e", "d1a8687d6cad7c651d7bd3de89923e46c774350e")</f>
        <v>0</v>
      </c>
      <c r="C29102">
        <f>HYPERLINK("https://android.googlesource.com/platform/cts/+/9272b86c66eb3e6bce0efb056ae13fec18094ce9", "9272b86c66eb3e6bce0efb056ae13fec18094ce9")</f>
        <v>0</v>
      </c>
      <c r="D29102" t="s">
        <v>5280</v>
      </c>
      <c r="E29102" t="s">
        <v>7642</v>
      </c>
      <c r="F29102" t="s">
        <v>12710</v>
      </c>
      <c r="G29102" t="s">
        <v>16911</v>
      </c>
      <c r="H29102" t="s">
        <v>29980</v>
      </c>
    </row>
    <row r="29103" spans="1:8">
      <c r="A29103" t="s">
        <v>1897</v>
      </c>
      <c r="B29103">
        <f>HYPERLINK("https://android.googlesource.com/platform/cts/+/a51de8668ae116830b9f2e304408e52ff5b1b03b", "a51de8668ae116830b9f2e304408e52ff5b1b03b")</f>
        <v>0</v>
      </c>
      <c r="C29103">
        <f>HYPERLINK("https://android.googlesource.com/platform/cts/+/69cee3ffa07b88928af18c9a5fb60a43fa473265", "69cee3ffa07b88928af18c9a5fb60a43fa473265")</f>
        <v>0</v>
      </c>
      <c r="D29103" t="s">
        <v>4997</v>
      </c>
      <c r="E29103" t="s">
        <v>7643</v>
      </c>
      <c r="F29103" t="s">
        <v>12406</v>
      </c>
      <c r="G29103" t="s">
        <v>17605</v>
      </c>
      <c r="H29103" t="s">
        <v>18829</v>
      </c>
    </row>
    <row r="29104" spans="1:8">
      <c r="H29104" t="s">
        <v>18863</v>
      </c>
    </row>
    <row r="29105" spans="8:8">
      <c r="H29105" t="s">
        <v>29981</v>
      </c>
    </row>
    <row r="29106" spans="8:8">
      <c r="H29106" t="s">
        <v>29982</v>
      </c>
    </row>
    <row r="29107" spans="8:8">
      <c r="H29107" t="s">
        <v>29983</v>
      </c>
    </row>
    <row r="29108" spans="8:8">
      <c r="H29108" t="s">
        <v>29984</v>
      </c>
    </row>
    <row r="29109" spans="8:8">
      <c r="H29109" t="s">
        <v>29985</v>
      </c>
    </row>
    <row r="29110" spans="8:8">
      <c r="H29110" t="s">
        <v>29986</v>
      </c>
    </row>
    <row r="29111" spans="8:8">
      <c r="H29111" t="s">
        <v>26007</v>
      </c>
    </row>
    <row r="29112" spans="8:8">
      <c r="H29112" t="s">
        <v>25973</v>
      </c>
    </row>
    <row r="29113" spans="8:8">
      <c r="H29113" t="s">
        <v>26483</v>
      </c>
    </row>
    <row r="29114" spans="8:8">
      <c r="H29114" t="s">
        <v>29987</v>
      </c>
    </row>
    <row r="29115" spans="8:8">
      <c r="H29115" t="s">
        <v>29988</v>
      </c>
    </row>
    <row r="29116" spans="8:8">
      <c r="H29116" t="s">
        <v>29989</v>
      </c>
    </row>
    <row r="29117" spans="8:8">
      <c r="H29117" t="s">
        <v>29990</v>
      </c>
    </row>
    <row r="29118" spans="8:8">
      <c r="H29118" t="s">
        <v>29991</v>
      </c>
    </row>
    <row r="29119" spans="8:8">
      <c r="H29119" t="s">
        <v>29992</v>
      </c>
    </row>
    <row r="29120" spans="8:8">
      <c r="H29120" t="s">
        <v>29993</v>
      </c>
    </row>
    <row r="29121" spans="6:8">
      <c r="H29121" t="s">
        <v>29994</v>
      </c>
    </row>
    <row r="29122" spans="6:8">
      <c r="H29122" t="s">
        <v>29995</v>
      </c>
    </row>
    <row r="29123" spans="6:8">
      <c r="H29123" t="s">
        <v>29996</v>
      </c>
    </row>
    <row r="29124" spans="6:8">
      <c r="H29124" t="s">
        <v>29997</v>
      </c>
    </row>
    <row r="29125" spans="6:8">
      <c r="H29125" t="s">
        <v>29998</v>
      </c>
    </row>
    <row r="29126" spans="6:8">
      <c r="H29126" t="s">
        <v>29999</v>
      </c>
    </row>
    <row r="29127" spans="6:8">
      <c r="H29127" t="s">
        <v>30000</v>
      </c>
    </row>
    <row r="29128" spans="6:8">
      <c r="F29128" t="s">
        <v>13365</v>
      </c>
      <c r="G29128" t="s">
        <v>17606</v>
      </c>
      <c r="H29128" t="s">
        <v>26064</v>
      </c>
    </row>
    <row r="29129" spans="6:8">
      <c r="H29129" t="s">
        <v>26064</v>
      </c>
    </row>
    <row r="29130" spans="6:8">
      <c r="H29130" t="s">
        <v>18829</v>
      </c>
    </row>
    <row r="29131" spans="6:8">
      <c r="H29131" t="s">
        <v>18863</v>
      </c>
    </row>
    <row r="29132" spans="6:8">
      <c r="H29132" t="s">
        <v>29981</v>
      </c>
    </row>
    <row r="29133" spans="6:8">
      <c r="H29133" t="s">
        <v>30001</v>
      </c>
    </row>
    <row r="29134" spans="6:8">
      <c r="H29134" t="s">
        <v>21380</v>
      </c>
    </row>
    <row r="29135" spans="6:8">
      <c r="H29135" t="s">
        <v>30002</v>
      </c>
    </row>
    <row r="29136" spans="6:8">
      <c r="H29136" t="s">
        <v>30003</v>
      </c>
    </row>
    <row r="29137" spans="1:8">
      <c r="H29137" t="s">
        <v>29989</v>
      </c>
    </row>
    <row r="29138" spans="1:8">
      <c r="H29138" t="s">
        <v>30004</v>
      </c>
    </row>
    <row r="29139" spans="1:8">
      <c r="H29139" t="s">
        <v>30005</v>
      </c>
    </row>
    <row r="29140" spans="1:8">
      <c r="H29140" t="s">
        <v>29987</v>
      </c>
    </row>
    <row r="29141" spans="1:8">
      <c r="H29141" t="s">
        <v>29510</v>
      </c>
    </row>
    <row r="29142" spans="1:8">
      <c r="H29142" t="s">
        <v>29990</v>
      </c>
    </row>
    <row r="29143" spans="1:8">
      <c r="H29143" t="s">
        <v>29991</v>
      </c>
    </row>
    <row r="29144" spans="1:8">
      <c r="A29144" t="s">
        <v>1898</v>
      </c>
      <c r="B29144">
        <f>HYPERLINK("https://android.googlesource.com/platform/cts/+/bb97cff38512caefe19bdd92efe82ff992b24180", "bb97cff38512caefe19bdd92efe82ff992b24180")</f>
        <v>0</v>
      </c>
      <c r="C29144">
        <f>HYPERLINK("https://android.googlesource.com/platform/cts/+/e8e373c8cd27a2f71281d3069d1356784f8eb781", "e8e373c8cd27a2f71281d3069d1356784f8eb781")</f>
        <v>0</v>
      </c>
      <c r="D29144" t="s">
        <v>5272</v>
      </c>
      <c r="E29144" t="s">
        <v>7644</v>
      </c>
      <c r="F29144" t="s">
        <v>13488</v>
      </c>
      <c r="G29144" t="s">
        <v>17607</v>
      </c>
      <c r="H29144" t="s">
        <v>30006</v>
      </c>
    </row>
    <row r="29145" spans="1:8">
      <c r="A29145" t="s">
        <v>1899</v>
      </c>
      <c r="B29145">
        <f>HYPERLINK("https://android.googlesource.com/platform/cts/+/83352cb54a9bb7a3273d88bd8460bf97ea7bf468", "83352cb54a9bb7a3273d88bd8460bf97ea7bf468")</f>
        <v>0</v>
      </c>
      <c r="C29145">
        <f>HYPERLINK("https://android.googlesource.com/platform/cts/+/25b5e5104a9cecaae2d17646d5641c5d82544b3a", "25b5e5104a9cecaae2d17646d5641c5d82544b3a")</f>
        <v>0</v>
      </c>
      <c r="D29145" t="s">
        <v>5293</v>
      </c>
      <c r="E29145" t="s">
        <v>7645</v>
      </c>
      <c r="F29145" t="s">
        <v>12616</v>
      </c>
      <c r="G29145" t="s">
        <v>16827</v>
      </c>
      <c r="H29145" t="s">
        <v>26141</v>
      </c>
    </row>
    <row r="29146" spans="1:8">
      <c r="H29146" t="s">
        <v>26140</v>
      </c>
    </row>
    <row r="29147" spans="1:8">
      <c r="H29147" t="s">
        <v>25492</v>
      </c>
    </row>
    <row r="29148" spans="1:8">
      <c r="H29148" t="s">
        <v>25490</v>
      </c>
    </row>
    <row r="29149" spans="1:8">
      <c r="H29149" t="s">
        <v>30007</v>
      </c>
    </row>
    <row r="29150" spans="1:8">
      <c r="H29150" t="s">
        <v>25550</v>
      </c>
    </row>
    <row r="29151" spans="1:8">
      <c r="H29151" t="s">
        <v>30008</v>
      </c>
    </row>
    <row r="29152" spans="1:8">
      <c r="H29152" t="s">
        <v>30009</v>
      </c>
    </row>
    <row r="29153" spans="1:8">
      <c r="A29153" t="s">
        <v>1900</v>
      </c>
      <c r="B29153">
        <f>HYPERLINK("https://android.googlesource.com/platform/cts/+/2e0f78f003fab010e53b0029b4fea4445887b8b4", "2e0f78f003fab010e53b0029b4fea4445887b8b4")</f>
        <v>0</v>
      </c>
      <c r="C29153">
        <f>HYPERLINK("https://android.googlesource.com/platform/cts/+/3a2aa75e2172e88bc10cb557c48fe9c8376e9e96", "3a2aa75e2172e88bc10cb557c48fe9c8376e9e96")</f>
        <v>0</v>
      </c>
      <c r="D29153" t="s">
        <v>5300</v>
      </c>
      <c r="E29153" t="s">
        <v>7646</v>
      </c>
      <c r="F29153" t="s">
        <v>13242</v>
      </c>
      <c r="G29153" t="s">
        <v>17382</v>
      </c>
      <c r="H29153" t="s">
        <v>30010</v>
      </c>
    </row>
    <row r="29154" spans="1:8">
      <c r="H29154" t="s">
        <v>30011</v>
      </c>
    </row>
    <row r="29155" spans="1:8">
      <c r="A29155" t="s">
        <v>1901</v>
      </c>
      <c r="B29155">
        <f>HYPERLINK("https://android.googlesource.com/platform/cts/+/d888e5df2bc94979766f4d8d162de3a02d7f35bb", "d888e5df2bc94979766f4d8d162de3a02d7f35bb")</f>
        <v>0</v>
      </c>
      <c r="C29155">
        <f>HYPERLINK("https://android.googlesource.com/platform/cts/+/f2752bc9eda206cfbd8f39241c0368cbce0cdcff", "f2752bc9eda206cfbd8f39241c0368cbce0cdcff")</f>
        <v>0</v>
      </c>
      <c r="D29155" t="s">
        <v>5265</v>
      </c>
      <c r="E29155" t="s">
        <v>7647</v>
      </c>
      <c r="F29155" t="s">
        <v>12795</v>
      </c>
      <c r="G29155" t="s">
        <v>15113</v>
      </c>
      <c r="H29155" t="s">
        <v>30012</v>
      </c>
    </row>
    <row r="29156" spans="1:8">
      <c r="F29156" t="s">
        <v>13486</v>
      </c>
      <c r="G29156" t="s">
        <v>15098</v>
      </c>
      <c r="H29156" t="s">
        <v>30013</v>
      </c>
    </row>
    <row r="29157" spans="1:8">
      <c r="H29157" t="s">
        <v>18829</v>
      </c>
    </row>
    <row r="29158" spans="1:8">
      <c r="H29158" t="s">
        <v>29829</v>
      </c>
    </row>
    <row r="29159" spans="1:8">
      <c r="H29159" t="s">
        <v>30014</v>
      </c>
    </row>
    <row r="29160" spans="1:8">
      <c r="A29160" t="s">
        <v>1902</v>
      </c>
      <c r="B29160">
        <f>HYPERLINK("https://android.googlesource.com/platform/cts/+/8113771c537b8dbbe17c3d2b14e740e73194cdac", "8113771c537b8dbbe17c3d2b14e740e73194cdac")</f>
        <v>0</v>
      </c>
      <c r="C29160">
        <f>HYPERLINK("https://android.googlesource.com/platform/cts/+/f642f7de3a5e79086b24b64d6e34c82311a756d9", "f642f7de3a5e79086b24b64d6e34c82311a756d9")</f>
        <v>0</v>
      </c>
      <c r="D29160" t="s">
        <v>5288</v>
      </c>
      <c r="E29160" t="s">
        <v>7648</v>
      </c>
      <c r="F29160" t="s">
        <v>13489</v>
      </c>
      <c r="G29160" t="s">
        <v>17608</v>
      </c>
      <c r="H29160" t="s">
        <v>30015</v>
      </c>
    </row>
    <row r="29161" spans="1:8">
      <c r="F29161" t="s">
        <v>13450</v>
      </c>
      <c r="G29161" t="s">
        <v>17572</v>
      </c>
      <c r="H29161" t="s">
        <v>30016</v>
      </c>
    </row>
    <row r="29162" spans="1:8">
      <c r="A29162" t="s">
        <v>1903</v>
      </c>
      <c r="B29162">
        <f>HYPERLINK("https://android.googlesource.com/platform/cts/+/24e48296a6809d0d77dd802ac3eaa3111847bc68", "24e48296a6809d0d77dd802ac3eaa3111847bc68")</f>
        <v>0</v>
      </c>
      <c r="C29162">
        <f>HYPERLINK("https://android.googlesource.com/platform/cts/+/bd513cb6343d9089941045173b7d484fc758a49e", "bd513cb6343d9089941045173b7d484fc758a49e")</f>
        <v>0</v>
      </c>
      <c r="D29162" t="s">
        <v>5301</v>
      </c>
      <c r="E29162" t="s">
        <v>7649</v>
      </c>
      <c r="F29162" t="s">
        <v>13490</v>
      </c>
      <c r="G29162" t="s">
        <v>17609</v>
      </c>
      <c r="H29162" t="s">
        <v>30017</v>
      </c>
    </row>
    <row r="29163" spans="1:8">
      <c r="A29163" t="s">
        <v>1904</v>
      </c>
      <c r="B29163">
        <f>HYPERLINK("https://android.googlesource.com/platform/cts/+/ce21d512ff3faea6f93c05a6b34021d45d483169", "ce21d512ff3faea6f93c05a6b34021d45d483169")</f>
        <v>0</v>
      </c>
      <c r="C29163">
        <f>HYPERLINK("https://android.googlesource.com/platform/cts/+/082c3dde5bb6b048bdc394d5306ea455415668e9", "082c3dde5bb6b048bdc394d5306ea455415668e9")</f>
        <v>0</v>
      </c>
      <c r="D29163" t="s">
        <v>5189</v>
      </c>
      <c r="E29163" t="s">
        <v>7650</v>
      </c>
      <c r="F29163" t="s">
        <v>13162</v>
      </c>
      <c r="G29163" t="s">
        <v>16987</v>
      </c>
      <c r="H29163" t="s">
        <v>30018</v>
      </c>
    </row>
    <row r="29164" spans="1:8">
      <c r="H29164" t="s">
        <v>30019</v>
      </c>
    </row>
    <row r="29165" spans="1:8">
      <c r="H29165" t="s">
        <v>30020</v>
      </c>
    </row>
    <row r="29166" spans="1:8">
      <c r="F29166" t="s">
        <v>12629</v>
      </c>
      <c r="G29166" t="s">
        <v>16838</v>
      </c>
      <c r="H29166" t="s">
        <v>30021</v>
      </c>
    </row>
    <row r="29167" spans="1:8">
      <c r="A29167" t="s">
        <v>1905</v>
      </c>
      <c r="B29167">
        <f>HYPERLINK("https://android.googlesource.com/platform/cts/+/e8954de1363262935a088d9c4707ed0999f56ff5", "e8954de1363262935a088d9c4707ed0999f56ff5")</f>
        <v>0</v>
      </c>
      <c r="C29167">
        <f>HYPERLINK("https://android.googlesource.com/platform/cts/+/ce21d512ff3faea6f93c05a6b34021d45d483169", "ce21d512ff3faea6f93c05a6b34021d45d483169")</f>
        <v>0</v>
      </c>
      <c r="D29167" t="s">
        <v>5189</v>
      </c>
      <c r="E29167" t="s">
        <v>7651</v>
      </c>
      <c r="F29167" t="s">
        <v>13162</v>
      </c>
      <c r="G29167" t="s">
        <v>16987</v>
      </c>
      <c r="H29167" t="s">
        <v>30022</v>
      </c>
    </row>
    <row r="29168" spans="1:8">
      <c r="H29168" t="s">
        <v>30023</v>
      </c>
    </row>
    <row r="29169" spans="1:8">
      <c r="H29169" t="s">
        <v>30024</v>
      </c>
    </row>
    <row r="29170" spans="1:8">
      <c r="H29170" t="s">
        <v>30025</v>
      </c>
    </row>
    <row r="29171" spans="1:8">
      <c r="H29171" t="s">
        <v>30026</v>
      </c>
    </row>
    <row r="29172" spans="1:8">
      <c r="H29172" t="s">
        <v>30027</v>
      </c>
    </row>
    <row r="29173" spans="1:8">
      <c r="A29173" t="s">
        <v>1906</v>
      </c>
      <c r="B29173">
        <f>HYPERLINK("https://android.googlesource.com/platform/cts/+/85a2b52602a3f7a0624a707934d20d36f050c4c6", "85a2b52602a3f7a0624a707934d20d36f050c4c6")</f>
        <v>0</v>
      </c>
      <c r="C29173">
        <f>HYPERLINK("https://android.googlesource.com/platform/cts/+/73eae3ab1e9141aca38d0ce3689a1708b2253d95", "73eae3ab1e9141aca38d0ce3689a1708b2253d95")</f>
        <v>0</v>
      </c>
      <c r="D29173" t="s">
        <v>4978</v>
      </c>
      <c r="E29173" t="s">
        <v>7652</v>
      </c>
      <c r="F29173" t="s">
        <v>13253</v>
      </c>
      <c r="G29173" t="s">
        <v>16455</v>
      </c>
      <c r="H29173" t="s">
        <v>30028</v>
      </c>
    </row>
    <row r="29174" spans="1:8">
      <c r="F29174" t="s">
        <v>13391</v>
      </c>
      <c r="G29174" t="s">
        <v>17517</v>
      </c>
      <c r="H29174" t="s">
        <v>30029</v>
      </c>
    </row>
    <row r="29175" spans="1:8">
      <c r="A29175" t="s">
        <v>1907</v>
      </c>
      <c r="B29175">
        <f>HYPERLINK("https://android.googlesource.com/platform/cts/+/83fdac5acda66ca69dcef777a4f43e744473ad7d", "83fdac5acda66ca69dcef777a4f43e744473ad7d")</f>
        <v>0</v>
      </c>
      <c r="C29175">
        <f>HYPERLINK("https://android.googlesource.com/platform/cts/+/73eae3ab1e9141aca38d0ce3689a1708b2253d95", "73eae3ab1e9141aca38d0ce3689a1708b2253d95")</f>
        <v>0</v>
      </c>
      <c r="D29175" t="s">
        <v>5141</v>
      </c>
      <c r="E29175" t="s">
        <v>7653</v>
      </c>
      <c r="F29175" t="s">
        <v>13459</v>
      </c>
      <c r="G29175" t="s">
        <v>17577</v>
      </c>
      <c r="H29175" t="s">
        <v>30030</v>
      </c>
    </row>
    <row r="29176" spans="1:8">
      <c r="H29176" t="s">
        <v>30031</v>
      </c>
    </row>
    <row r="29177" spans="1:8">
      <c r="H29177" t="s">
        <v>30032</v>
      </c>
    </row>
    <row r="29178" spans="1:8">
      <c r="H29178" t="s">
        <v>29871</v>
      </c>
    </row>
    <row r="29179" spans="1:8">
      <c r="H29179" t="s">
        <v>29872</v>
      </c>
    </row>
    <row r="29180" spans="1:8">
      <c r="H29180" t="s">
        <v>29873</v>
      </c>
    </row>
    <row r="29181" spans="1:8">
      <c r="H29181" t="s">
        <v>29269</v>
      </c>
    </row>
    <row r="29182" spans="1:8">
      <c r="H29182" t="s">
        <v>29874</v>
      </c>
    </row>
    <row r="29183" spans="1:8">
      <c r="H29183" t="s">
        <v>29875</v>
      </c>
    </row>
    <row r="29184" spans="1:8">
      <c r="H29184" t="s">
        <v>29270</v>
      </c>
    </row>
    <row r="29185" spans="1:8">
      <c r="H29185" t="s">
        <v>30033</v>
      </c>
    </row>
    <row r="29186" spans="1:8">
      <c r="H29186" t="s">
        <v>30034</v>
      </c>
    </row>
    <row r="29187" spans="1:8">
      <c r="H29187" t="s">
        <v>29876</v>
      </c>
    </row>
    <row r="29188" spans="1:8">
      <c r="F29188" t="s">
        <v>13091</v>
      </c>
      <c r="G29188" t="s">
        <v>17253</v>
      </c>
      <c r="H29188" t="s">
        <v>30035</v>
      </c>
    </row>
    <row r="29189" spans="1:8">
      <c r="F29189" t="s">
        <v>10794</v>
      </c>
      <c r="G29189" t="s">
        <v>15189</v>
      </c>
      <c r="H29189" t="s">
        <v>30036</v>
      </c>
    </row>
    <row r="29190" spans="1:8">
      <c r="A29190" t="s">
        <v>1908</v>
      </c>
      <c r="B29190">
        <f>HYPERLINK("https://android.googlesource.com/platform/cts/+/2bef4b4abfea88204bd21f093dbc2452212e80d0", "2bef4b4abfea88204bd21f093dbc2452212e80d0")</f>
        <v>0</v>
      </c>
      <c r="C29190">
        <f>HYPERLINK("https://android.googlesource.com/platform/cts/+/eb77ff4565af76f79c4b3576780add82c745d779", "eb77ff4565af76f79c4b3576780add82c745d779")</f>
        <v>0</v>
      </c>
      <c r="D29190" t="s">
        <v>5290</v>
      </c>
      <c r="E29190" t="s">
        <v>7654</v>
      </c>
      <c r="F29190" t="s">
        <v>12640</v>
      </c>
      <c r="G29190" t="s">
        <v>16848</v>
      </c>
      <c r="H29190" t="s">
        <v>30037</v>
      </c>
    </row>
    <row r="29191" spans="1:8">
      <c r="H29191" t="s">
        <v>30038</v>
      </c>
    </row>
    <row r="29192" spans="1:8">
      <c r="A29192" t="s">
        <v>1909</v>
      </c>
      <c r="B29192">
        <f>HYPERLINK("https://android.googlesource.com/platform/cts/+/06658d9196b28a7a82f07a9c6cb883110043b9f3", "06658d9196b28a7a82f07a9c6cb883110043b9f3")</f>
        <v>0</v>
      </c>
      <c r="C29192">
        <f>HYPERLINK("https://android.googlesource.com/platform/cts/+/cb66003bbf84ed10276db5c9d5c7bc28cb12a118", "cb66003bbf84ed10276db5c9d5c7bc28cb12a118")</f>
        <v>0</v>
      </c>
      <c r="D29192" t="s">
        <v>5141</v>
      </c>
      <c r="E29192" t="s">
        <v>7655</v>
      </c>
      <c r="F29192" t="s">
        <v>10597</v>
      </c>
      <c r="G29192" t="s">
        <v>15000</v>
      </c>
      <c r="H29192" t="s">
        <v>30039</v>
      </c>
    </row>
    <row r="29193" spans="1:8">
      <c r="F29193" t="s">
        <v>13491</v>
      </c>
      <c r="G29193" t="s">
        <v>17610</v>
      </c>
      <c r="H29193" t="s">
        <v>30040</v>
      </c>
    </row>
    <row r="29194" spans="1:8">
      <c r="H29194" t="s">
        <v>30041</v>
      </c>
    </row>
    <row r="29195" spans="1:8">
      <c r="H29195" t="s">
        <v>30042</v>
      </c>
    </row>
    <row r="29196" spans="1:8">
      <c r="H29196" t="s">
        <v>30043</v>
      </c>
    </row>
    <row r="29197" spans="1:8">
      <c r="H29197" t="s">
        <v>30044</v>
      </c>
    </row>
    <row r="29198" spans="1:8">
      <c r="H29198" t="s">
        <v>29269</v>
      </c>
    </row>
    <row r="29199" spans="1:8">
      <c r="H29199" t="s">
        <v>29876</v>
      </c>
    </row>
    <row r="29200" spans="1:8">
      <c r="F29200" t="s">
        <v>13091</v>
      </c>
      <c r="G29200" t="s">
        <v>17253</v>
      </c>
      <c r="H29200" t="s">
        <v>30045</v>
      </c>
    </row>
    <row r="29201" spans="1:8">
      <c r="H29201" t="s">
        <v>30046</v>
      </c>
    </row>
    <row r="29202" spans="1:8">
      <c r="H29202" t="s">
        <v>30047</v>
      </c>
    </row>
    <row r="29203" spans="1:8">
      <c r="H29203" t="s">
        <v>18930</v>
      </c>
    </row>
    <row r="29204" spans="1:8">
      <c r="H29204" t="s">
        <v>19136</v>
      </c>
    </row>
    <row r="29205" spans="1:8">
      <c r="H29205" t="s">
        <v>30048</v>
      </c>
    </row>
    <row r="29206" spans="1:8">
      <c r="H29206" t="s">
        <v>30049</v>
      </c>
    </row>
    <row r="29207" spans="1:8">
      <c r="H29207" t="s">
        <v>30050</v>
      </c>
    </row>
    <row r="29208" spans="1:8">
      <c r="F29208" t="s">
        <v>10794</v>
      </c>
      <c r="G29208" t="s">
        <v>15189</v>
      </c>
      <c r="H29208" t="s">
        <v>30051</v>
      </c>
    </row>
    <row r="29209" spans="1:8">
      <c r="H29209" t="s">
        <v>30052</v>
      </c>
    </row>
    <row r="29210" spans="1:8">
      <c r="H29210" t="s">
        <v>30053</v>
      </c>
    </row>
    <row r="29211" spans="1:8">
      <c r="A29211" t="s">
        <v>1910</v>
      </c>
      <c r="B29211">
        <f>HYPERLINK("https://android.googlesource.com/platform/cts/+/02511db57c32a567644b3de0ccc33492e4441de1", "02511db57c32a567644b3de0ccc33492e4441de1")</f>
        <v>0</v>
      </c>
      <c r="C29211">
        <f>HYPERLINK("https://android.googlesource.com/platform/cts/+/11a8e678c564145010e7004cd80daf9a647ff8a9", "11a8e678c564145010e7004cd80daf9a647ff8a9")</f>
        <v>0</v>
      </c>
      <c r="D29211" t="s">
        <v>5302</v>
      </c>
      <c r="E29211" t="s">
        <v>7656</v>
      </c>
      <c r="F29211" t="s">
        <v>13492</v>
      </c>
      <c r="G29211" t="s">
        <v>17611</v>
      </c>
      <c r="H29211" t="s">
        <v>30054</v>
      </c>
    </row>
    <row r="29212" spans="1:8">
      <c r="H29212" t="s">
        <v>30055</v>
      </c>
    </row>
    <row r="29213" spans="1:8">
      <c r="H29213" t="s">
        <v>30056</v>
      </c>
    </row>
    <row r="29214" spans="1:8">
      <c r="H29214" t="s">
        <v>30057</v>
      </c>
    </row>
    <row r="29215" spans="1:8">
      <c r="H29215" t="s">
        <v>30058</v>
      </c>
    </row>
    <row r="29216" spans="1:8">
      <c r="H29216" t="s">
        <v>30059</v>
      </c>
    </row>
    <row r="29217" spans="1:8">
      <c r="A29217" t="s">
        <v>1911</v>
      </c>
      <c r="B29217">
        <f>HYPERLINK("https://android.googlesource.com/platform/cts/+/0aaeb75c6628eb12d4800a5691b531f1d38ae214", "0aaeb75c6628eb12d4800a5691b531f1d38ae214")</f>
        <v>0</v>
      </c>
      <c r="C29217">
        <f>HYPERLINK("https://android.googlesource.com/platform/cts/+/6ac5c9fc162bea7eae363b8834418b291288aafd", "6ac5c9fc162bea7eae363b8834418b291288aafd")</f>
        <v>0</v>
      </c>
      <c r="D29217" t="s">
        <v>5134</v>
      </c>
      <c r="E29217" t="s">
        <v>7657</v>
      </c>
      <c r="F29217" t="s">
        <v>13493</v>
      </c>
      <c r="G29217" t="s">
        <v>17612</v>
      </c>
      <c r="H29217" t="s">
        <v>30060</v>
      </c>
    </row>
    <row r="29218" spans="1:8">
      <c r="H29218" t="s">
        <v>30061</v>
      </c>
    </row>
    <row r="29219" spans="1:8">
      <c r="A29219" t="s">
        <v>1912</v>
      </c>
      <c r="B29219">
        <f>HYPERLINK("https://android.googlesource.com/platform/cts/+/92e5073e104cd4b8c085e0e8489da81b9245cf30", "92e5073e104cd4b8c085e0e8489da81b9245cf30")</f>
        <v>0</v>
      </c>
      <c r="C29219">
        <f>HYPERLINK("https://android.googlesource.com/platform/cts/+/bd1b7b952c29405fd0c927e832814b975f147f42", "bd1b7b952c29405fd0c927e832814b975f147f42")</f>
        <v>0</v>
      </c>
      <c r="D29219" t="s">
        <v>5284</v>
      </c>
      <c r="E29219" t="s">
        <v>7658</v>
      </c>
      <c r="F29219" t="s">
        <v>13165</v>
      </c>
      <c r="G29219" t="s">
        <v>17315</v>
      </c>
      <c r="H29219" t="s">
        <v>30062</v>
      </c>
    </row>
    <row r="29220" spans="1:8">
      <c r="H29220" t="s">
        <v>30063</v>
      </c>
    </row>
    <row r="29221" spans="1:8">
      <c r="A29221" t="s">
        <v>1913</v>
      </c>
      <c r="B29221">
        <f>HYPERLINK("https://android.googlesource.com/platform/cts/+/77acca434bdbafea5e8c6197b5f74738a7af8047", "77acca434bdbafea5e8c6197b5f74738a7af8047")</f>
        <v>0</v>
      </c>
      <c r="C29221">
        <f>HYPERLINK("https://android.googlesource.com/platform/cts/+/076583a6c4e39db3bd6612d70d7e439c74876ddf", "076583a6c4e39db3bd6612d70d7e439c74876ddf")</f>
        <v>0</v>
      </c>
      <c r="D29221" t="s">
        <v>5303</v>
      </c>
      <c r="E29221" t="s">
        <v>7659</v>
      </c>
      <c r="F29221" t="s">
        <v>12839</v>
      </c>
      <c r="G29221" t="s">
        <v>17014</v>
      </c>
      <c r="H29221" t="s">
        <v>30064</v>
      </c>
    </row>
    <row r="29222" spans="1:8">
      <c r="H29222" t="s">
        <v>30065</v>
      </c>
    </row>
    <row r="29223" spans="1:8">
      <c r="H29223" t="s">
        <v>30066</v>
      </c>
    </row>
    <row r="29224" spans="1:8">
      <c r="H29224" t="s">
        <v>30067</v>
      </c>
    </row>
    <row r="29225" spans="1:8">
      <c r="H29225" t="s">
        <v>30068</v>
      </c>
    </row>
    <row r="29226" spans="1:8">
      <c r="A29226" t="s">
        <v>1914</v>
      </c>
      <c r="B29226">
        <f>HYPERLINK("https://android.googlesource.com/platform/cts/+/112d2e758eecc40682acb91736660d5f1272b3b4", "112d2e758eecc40682acb91736660d5f1272b3b4")</f>
        <v>0</v>
      </c>
      <c r="C29226">
        <f>HYPERLINK("https://android.googlesource.com/platform/cts/+/4870e49977adecccff410088539ee859b75848db", "4870e49977adecccff410088539ee859b75848db")</f>
        <v>0</v>
      </c>
      <c r="D29226" t="s">
        <v>5303</v>
      </c>
      <c r="E29226" t="s">
        <v>7660</v>
      </c>
      <c r="F29226" t="s">
        <v>12839</v>
      </c>
      <c r="G29226" t="s">
        <v>17014</v>
      </c>
      <c r="H29226" t="s">
        <v>30064</v>
      </c>
    </row>
    <row r="29227" spans="1:8">
      <c r="H29227" t="s">
        <v>30065</v>
      </c>
    </row>
    <row r="29228" spans="1:8">
      <c r="H29228" t="s">
        <v>30066</v>
      </c>
    </row>
    <row r="29229" spans="1:8">
      <c r="H29229" t="s">
        <v>30067</v>
      </c>
    </row>
    <row r="29230" spans="1:8">
      <c r="H29230" t="s">
        <v>30068</v>
      </c>
    </row>
    <row r="29231" spans="1:8">
      <c r="A29231" t="s">
        <v>1915</v>
      </c>
      <c r="B29231">
        <f>HYPERLINK("https://android.googlesource.com/platform/cts/+/92f094d20987fdd4530cd30feddd10ba5208b145", "92f094d20987fdd4530cd30feddd10ba5208b145")</f>
        <v>0</v>
      </c>
      <c r="C29231">
        <f>HYPERLINK("https://android.googlesource.com/platform/cts/+/a15ae145ff691090cbcbeeb8a548b3b6090c15dc", "a15ae145ff691090cbcbeeb8a548b3b6090c15dc")</f>
        <v>0</v>
      </c>
      <c r="D29231" t="s">
        <v>5195</v>
      </c>
      <c r="E29231" t="s">
        <v>7661</v>
      </c>
      <c r="F29231" t="s">
        <v>13494</v>
      </c>
      <c r="G29231" t="s">
        <v>17613</v>
      </c>
      <c r="H29231" t="s">
        <v>30069</v>
      </c>
    </row>
    <row r="29232" spans="1:8">
      <c r="A29232" t="s">
        <v>1916</v>
      </c>
      <c r="B29232">
        <f>HYPERLINK("https://android.googlesource.com/platform/cts/+/0d65517f0143a75a4dd29a2c82c0a20743edf050", "0d65517f0143a75a4dd29a2c82c0a20743edf050")</f>
        <v>0</v>
      </c>
      <c r="C29232">
        <f>HYPERLINK("https://android.googlesource.com/platform/cts/+/6cd66a486320ce682125dfebc229e0aecf20226e", "6cd66a486320ce682125dfebc229e0aecf20226e")</f>
        <v>0</v>
      </c>
      <c r="D29232" t="s">
        <v>5046</v>
      </c>
      <c r="E29232" t="s">
        <v>7662</v>
      </c>
      <c r="F29232" t="s">
        <v>13495</v>
      </c>
      <c r="G29232" t="s">
        <v>17158</v>
      </c>
      <c r="H29232" t="s">
        <v>28618</v>
      </c>
    </row>
    <row r="29233" spans="1:8">
      <c r="H29233" t="s">
        <v>28619</v>
      </c>
    </row>
    <row r="29234" spans="1:8">
      <c r="A29234" t="s">
        <v>1917</v>
      </c>
      <c r="B29234">
        <f>HYPERLINK("https://android.googlesource.com/platform/cts/+/82d73119016e321a8f90347bded84e25c87a0675", "82d73119016e321a8f90347bded84e25c87a0675")</f>
        <v>0</v>
      </c>
      <c r="C29234">
        <f>HYPERLINK("https://android.googlesource.com/platform/cts/+/9b73ba5302fd9740787284949b1b1197f1c16a49", "9b73ba5302fd9740787284949b1b1197f1c16a49")</f>
        <v>0</v>
      </c>
      <c r="D29234" t="s">
        <v>5141</v>
      </c>
      <c r="E29234" t="s">
        <v>7663</v>
      </c>
      <c r="F29234" t="s">
        <v>13459</v>
      </c>
      <c r="G29234" t="s">
        <v>17577</v>
      </c>
      <c r="H29234" t="s">
        <v>30030</v>
      </c>
    </row>
    <row r="29235" spans="1:8">
      <c r="H29235" t="s">
        <v>30031</v>
      </c>
    </row>
    <row r="29236" spans="1:8">
      <c r="H29236" t="s">
        <v>30032</v>
      </c>
    </row>
    <row r="29237" spans="1:8">
      <c r="H29237" t="s">
        <v>29871</v>
      </c>
    </row>
    <row r="29238" spans="1:8">
      <c r="H29238" t="s">
        <v>29872</v>
      </c>
    </row>
    <row r="29239" spans="1:8">
      <c r="H29239" t="s">
        <v>29873</v>
      </c>
    </row>
    <row r="29240" spans="1:8">
      <c r="H29240" t="s">
        <v>29269</v>
      </c>
    </row>
    <row r="29241" spans="1:8">
      <c r="H29241" t="s">
        <v>29874</v>
      </c>
    </row>
    <row r="29242" spans="1:8">
      <c r="H29242" t="s">
        <v>29875</v>
      </c>
    </row>
    <row r="29243" spans="1:8">
      <c r="H29243" t="s">
        <v>29270</v>
      </c>
    </row>
    <row r="29244" spans="1:8">
      <c r="H29244" t="s">
        <v>30033</v>
      </c>
    </row>
    <row r="29245" spans="1:8">
      <c r="H29245" t="s">
        <v>30034</v>
      </c>
    </row>
    <row r="29246" spans="1:8">
      <c r="H29246" t="s">
        <v>29876</v>
      </c>
    </row>
    <row r="29247" spans="1:8">
      <c r="F29247" t="s">
        <v>13091</v>
      </c>
      <c r="G29247" t="s">
        <v>17253</v>
      </c>
      <c r="H29247" t="s">
        <v>30035</v>
      </c>
    </row>
    <row r="29248" spans="1:8">
      <c r="F29248" t="s">
        <v>10794</v>
      </c>
      <c r="G29248" t="s">
        <v>15189</v>
      </c>
      <c r="H29248" t="s">
        <v>30036</v>
      </c>
    </row>
    <row r="29249" spans="1:8">
      <c r="A29249" t="s">
        <v>1918</v>
      </c>
      <c r="B29249">
        <f>HYPERLINK("https://android.googlesource.com/platform/cts/+/a108580e3e6b81564c3602bfb4e32ab159d1237f", "a108580e3e6b81564c3602bfb4e32ab159d1237f")</f>
        <v>0</v>
      </c>
      <c r="C29249">
        <f>HYPERLINK("https://android.googlesource.com/platform/cts/+/9ab00857a5f5f65c8e6be3ed9b7fa32bedd81053", "9ab00857a5f5f65c8e6be3ed9b7fa32bedd81053")</f>
        <v>0</v>
      </c>
      <c r="D29249" t="s">
        <v>5304</v>
      </c>
      <c r="E29249" t="s">
        <v>7664</v>
      </c>
      <c r="F29249" t="s">
        <v>13242</v>
      </c>
      <c r="G29249" t="s">
        <v>17382</v>
      </c>
      <c r="H29249" t="s">
        <v>30010</v>
      </c>
    </row>
    <row r="29250" spans="1:8">
      <c r="H29250" t="s">
        <v>30011</v>
      </c>
    </row>
    <row r="29251" spans="1:8">
      <c r="A29251" t="s">
        <v>1919</v>
      </c>
      <c r="B29251">
        <f>HYPERLINK("https://android.googlesource.com/platform/cts/+/7374294785d6186fb63cad13b44d7ce203cdb810", "7374294785d6186fb63cad13b44d7ce203cdb810")</f>
        <v>0</v>
      </c>
      <c r="C29251">
        <f>HYPERLINK("https://android.googlesource.com/platform/cts/+/dd4aaaf3e39d73f1d1b532132e246de4e756ab48", "dd4aaaf3e39d73f1d1b532132e246de4e756ab48")</f>
        <v>0</v>
      </c>
      <c r="D29251" t="s">
        <v>5305</v>
      </c>
      <c r="E29251" t="s">
        <v>7665</v>
      </c>
      <c r="F29251" t="s">
        <v>13496</v>
      </c>
      <c r="G29251" t="s">
        <v>17614</v>
      </c>
      <c r="H29251" t="s">
        <v>30070</v>
      </c>
    </row>
    <row r="29252" spans="1:8">
      <c r="H29252" t="s">
        <v>30071</v>
      </c>
    </row>
    <row r="29253" spans="1:8">
      <c r="H29253" t="s">
        <v>30072</v>
      </c>
    </row>
    <row r="29254" spans="1:8">
      <c r="A29254" t="s">
        <v>1920</v>
      </c>
      <c r="B29254">
        <f>HYPERLINK("https://android.googlesource.com/platform/cts/+/dc938f33da9427dfdfd76dbdcd3459486007191d", "dc938f33da9427dfdfd76dbdcd3459486007191d")</f>
        <v>0</v>
      </c>
      <c r="C29254">
        <f>HYPERLINK("https://android.googlesource.com/platform/cts/+/56f2cbfaf29f8ca2f9a8b93ca493485bd3385151", "56f2cbfaf29f8ca2f9a8b93ca493485bd3385151")</f>
        <v>0</v>
      </c>
      <c r="D29254" t="s">
        <v>5305</v>
      </c>
      <c r="E29254" t="s">
        <v>7666</v>
      </c>
      <c r="F29254" t="s">
        <v>10593</v>
      </c>
      <c r="G29254" t="s">
        <v>14996</v>
      </c>
      <c r="H29254" t="s">
        <v>30073</v>
      </c>
    </row>
    <row r="29255" spans="1:8">
      <c r="A29255" t="s">
        <v>1921</v>
      </c>
      <c r="B29255">
        <f>HYPERLINK("https://android.googlesource.com/platform/cts/+/5b31af70b29f61919af889557ee15849c6695de3", "5b31af70b29f61919af889557ee15849c6695de3")</f>
        <v>0</v>
      </c>
      <c r="C29255">
        <f>HYPERLINK("https://android.googlesource.com/platform/cts/+/d6a6157f73cccd815307efbaa946711f90872885", "d6a6157f73cccd815307efbaa946711f90872885")</f>
        <v>0</v>
      </c>
      <c r="D29255" t="s">
        <v>5306</v>
      </c>
      <c r="E29255" t="s">
        <v>7667</v>
      </c>
      <c r="F29255" t="s">
        <v>13497</v>
      </c>
      <c r="G29255" t="s">
        <v>17615</v>
      </c>
      <c r="H29255" t="s">
        <v>30074</v>
      </c>
    </row>
    <row r="29256" spans="1:8">
      <c r="A29256" t="s">
        <v>1922</v>
      </c>
      <c r="B29256">
        <f>HYPERLINK("https://android.googlesource.com/platform/cts/+/64213cd0e7c8b60578770aa0544d75638839717f", "64213cd0e7c8b60578770aa0544d75638839717f")</f>
        <v>0</v>
      </c>
      <c r="C29256">
        <f>HYPERLINK("https://android.googlesource.com/platform/cts/+/6d5ec360319bc18c284585665c7acd6a050e70bb", "6d5ec360319bc18c284585665c7acd6a050e70bb")</f>
        <v>0</v>
      </c>
      <c r="D29256" t="s">
        <v>5211</v>
      </c>
      <c r="E29256" t="s">
        <v>7668</v>
      </c>
      <c r="F29256" t="s">
        <v>13498</v>
      </c>
      <c r="G29256" t="s">
        <v>17616</v>
      </c>
      <c r="H29256" t="s">
        <v>29809</v>
      </c>
    </row>
    <row r="29257" spans="1:8">
      <c r="H29257" t="s">
        <v>21323</v>
      </c>
    </row>
    <row r="29258" spans="1:8">
      <c r="H29258" t="s">
        <v>29811</v>
      </c>
    </row>
    <row r="29259" spans="1:8">
      <c r="H29259" t="s">
        <v>29812</v>
      </c>
    </row>
    <row r="29260" spans="1:8">
      <c r="A29260" t="s">
        <v>1923</v>
      </c>
      <c r="B29260">
        <f>HYPERLINK("https://android.googlesource.com/platform/cts/+/84b57d1cb17225cce903afb2eb8de5e02abf0eac", "84b57d1cb17225cce903afb2eb8de5e02abf0eac")</f>
        <v>0</v>
      </c>
      <c r="C29260">
        <f>HYPERLINK("https://android.googlesource.com/platform/cts/+/9aa51d7ed408ca04314c49fdbd046e08cf990ded", "9aa51d7ed408ca04314c49fdbd046e08cf990ded")</f>
        <v>0</v>
      </c>
      <c r="D29260" t="s">
        <v>5287</v>
      </c>
      <c r="E29260" t="s">
        <v>7669</v>
      </c>
      <c r="F29260" t="s">
        <v>13442</v>
      </c>
      <c r="G29260" t="s">
        <v>17564</v>
      </c>
      <c r="H29260" t="s">
        <v>30075</v>
      </c>
    </row>
    <row r="29261" spans="1:8">
      <c r="H29261" t="s">
        <v>30076</v>
      </c>
    </row>
    <row r="29262" spans="1:8">
      <c r="A29262" t="s">
        <v>1924</v>
      </c>
      <c r="B29262">
        <f>HYPERLINK("https://android.googlesource.com/platform/cts/+/594be7efd9cec66302b8e1de2b76246ed676030f", "594be7efd9cec66302b8e1de2b76246ed676030f")</f>
        <v>0</v>
      </c>
      <c r="C29262">
        <f>HYPERLINK("https://android.googlesource.com/platform/cts/+/5e6693f1c9581e099bc7341763ad5afaa3ef175e", "5e6693f1c9581e099bc7341763ad5afaa3ef175e")</f>
        <v>0</v>
      </c>
      <c r="D29262" t="s">
        <v>5211</v>
      </c>
      <c r="E29262" t="s">
        <v>7670</v>
      </c>
      <c r="F29262" t="s">
        <v>13499</v>
      </c>
      <c r="G29262" t="s">
        <v>17617</v>
      </c>
      <c r="H29262" t="s">
        <v>29809</v>
      </c>
    </row>
    <row r="29263" spans="1:8">
      <c r="H29263" t="s">
        <v>21323</v>
      </c>
    </row>
    <row r="29264" spans="1:8">
      <c r="H29264" t="s">
        <v>29811</v>
      </c>
    </row>
    <row r="29265" spans="1:8">
      <c r="H29265" t="s">
        <v>29812</v>
      </c>
    </row>
    <row r="29266" spans="1:8">
      <c r="A29266" t="s">
        <v>1925</v>
      </c>
      <c r="B29266">
        <f>HYPERLINK("https://android.googlesource.com/platform/cts/+/1ea7cb7111e32c44e52752e8846e8d0212233def", "1ea7cb7111e32c44e52752e8846e8d0212233def")</f>
        <v>0</v>
      </c>
      <c r="C29266">
        <f>HYPERLINK("https://android.googlesource.com/platform/cts/+/8a1539ec7620fe24ec792105c0a062593374066b", "8a1539ec7620fe24ec792105c0a062593374066b")</f>
        <v>0</v>
      </c>
      <c r="D29266" t="s">
        <v>5287</v>
      </c>
      <c r="E29266" t="s">
        <v>7671</v>
      </c>
      <c r="F29266" t="s">
        <v>10608</v>
      </c>
      <c r="G29266" t="s">
        <v>15011</v>
      </c>
      <c r="H29266" t="s">
        <v>30077</v>
      </c>
    </row>
    <row r="29267" spans="1:8">
      <c r="H29267" t="s">
        <v>30078</v>
      </c>
    </row>
    <row r="29268" spans="1:8">
      <c r="A29268" t="s">
        <v>1926</v>
      </c>
      <c r="B29268">
        <f>HYPERLINK("https://android.googlesource.com/platform/cts/+/729cd5b8e01795b195cfbf0e5b439cab2db6ad39", "729cd5b8e01795b195cfbf0e5b439cab2db6ad39")</f>
        <v>0</v>
      </c>
      <c r="C29268">
        <f>HYPERLINK("https://android.googlesource.com/platform/cts/+/fab1881862b305c9ac3721d44f48ec202875ec75", "fab1881862b305c9ac3721d44f48ec202875ec75")</f>
        <v>0</v>
      </c>
      <c r="D29268" t="s">
        <v>5293</v>
      </c>
      <c r="E29268" t="s">
        <v>7672</v>
      </c>
      <c r="F29268" t="s">
        <v>13468</v>
      </c>
      <c r="G29268" t="s">
        <v>17587</v>
      </c>
      <c r="H29268" t="s">
        <v>30079</v>
      </c>
    </row>
    <row r="29269" spans="1:8">
      <c r="H29269" t="s">
        <v>30080</v>
      </c>
    </row>
    <row r="29270" spans="1:8">
      <c r="A29270" t="s">
        <v>1927</v>
      </c>
      <c r="B29270">
        <f>HYPERLINK("https://android.googlesource.com/platform/cts/+/181afc848d26bcc618c4c6e100cf2a7cb7c8982f", "181afc848d26bcc618c4c6e100cf2a7cb7c8982f")</f>
        <v>0</v>
      </c>
      <c r="C29270">
        <f>HYPERLINK("https://android.googlesource.com/platform/cts/+/bd5f45cec7086fb3e4e0a246e7a4bfaa64ca90ca", "bd5f45cec7086fb3e4e0a246e7a4bfaa64ca90ca")</f>
        <v>0</v>
      </c>
      <c r="D29270" t="s">
        <v>5134</v>
      </c>
      <c r="E29270" t="s">
        <v>7673</v>
      </c>
      <c r="F29270" t="s">
        <v>13371</v>
      </c>
      <c r="G29270" t="s">
        <v>17498</v>
      </c>
      <c r="H29270" t="s">
        <v>30081</v>
      </c>
    </row>
    <row r="29271" spans="1:8">
      <c r="A29271" t="s">
        <v>1928</v>
      </c>
      <c r="B29271">
        <f>HYPERLINK("https://android.googlesource.com/platform/cts/+/ecaabc38c3568d9cf21d72497dc79536c71daa90", "ecaabc38c3568d9cf21d72497dc79536c71daa90")</f>
        <v>0</v>
      </c>
      <c r="C29271">
        <f>HYPERLINK("https://android.googlesource.com/platform/cts/+/3132240742c4eded7a40fccdef8c90a78e62e378", "3132240742c4eded7a40fccdef8c90a78e62e378")</f>
        <v>0</v>
      </c>
      <c r="D29271" t="s">
        <v>5134</v>
      </c>
      <c r="E29271" t="s">
        <v>7674</v>
      </c>
      <c r="F29271" t="s">
        <v>13230</v>
      </c>
      <c r="G29271" t="s">
        <v>17371</v>
      </c>
      <c r="H29271" t="s">
        <v>22685</v>
      </c>
    </row>
    <row r="29272" spans="1:8">
      <c r="H29272" t="s">
        <v>30082</v>
      </c>
    </row>
    <row r="29273" spans="1:8">
      <c r="H29273" t="s">
        <v>30083</v>
      </c>
    </row>
    <row r="29274" spans="1:8">
      <c r="H29274" t="s">
        <v>30084</v>
      </c>
    </row>
    <row r="29275" spans="1:8">
      <c r="H29275" t="s">
        <v>30085</v>
      </c>
    </row>
    <row r="29276" spans="1:8">
      <c r="H29276" t="s">
        <v>30086</v>
      </c>
    </row>
    <row r="29277" spans="1:8">
      <c r="H29277" t="s">
        <v>30087</v>
      </c>
    </row>
    <row r="29278" spans="1:8">
      <c r="H29278" t="s">
        <v>30088</v>
      </c>
    </row>
    <row r="29279" spans="1:8">
      <c r="H29279" t="s">
        <v>30089</v>
      </c>
    </row>
    <row r="29280" spans="1:8">
      <c r="H29280" t="s">
        <v>30090</v>
      </c>
    </row>
    <row r="29281" spans="8:8">
      <c r="H29281" t="s">
        <v>30091</v>
      </c>
    </row>
    <row r="29282" spans="8:8">
      <c r="H29282" t="s">
        <v>30092</v>
      </c>
    </row>
    <row r="29283" spans="8:8">
      <c r="H29283" t="s">
        <v>30093</v>
      </c>
    </row>
    <row r="29284" spans="8:8">
      <c r="H29284" t="s">
        <v>30094</v>
      </c>
    </row>
    <row r="29285" spans="8:8">
      <c r="H29285" t="s">
        <v>30095</v>
      </c>
    </row>
    <row r="29286" spans="8:8">
      <c r="H29286" t="s">
        <v>30096</v>
      </c>
    </row>
    <row r="29287" spans="8:8">
      <c r="H29287" t="s">
        <v>30097</v>
      </c>
    </row>
    <row r="29288" spans="8:8">
      <c r="H29288" t="s">
        <v>30098</v>
      </c>
    </row>
    <row r="29289" spans="8:8">
      <c r="H29289" t="s">
        <v>30099</v>
      </c>
    </row>
    <row r="29290" spans="8:8">
      <c r="H29290" t="s">
        <v>30100</v>
      </c>
    </row>
    <row r="29291" spans="8:8">
      <c r="H29291" t="s">
        <v>30101</v>
      </c>
    </row>
    <row r="29292" spans="8:8">
      <c r="H29292" t="s">
        <v>30102</v>
      </c>
    </row>
    <row r="29293" spans="8:8">
      <c r="H29293" t="s">
        <v>30103</v>
      </c>
    </row>
    <row r="29294" spans="8:8">
      <c r="H29294" t="s">
        <v>30104</v>
      </c>
    </row>
    <row r="29295" spans="8:8">
      <c r="H29295" t="s">
        <v>30105</v>
      </c>
    </row>
    <row r="29296" spans="8:8">
      <c r="H29296" t="s">
        <v>30106</v>
      </c>
    </row>
    <row r="29297" spans="8:8">
      <c r="H29297" t="s">
        <v>30107</v>
      </c>
    </row>
    <row r="29298" spans="8:8">
      <c r="H29298" t="s">
        <v>30108</v>
      </c>
    </row>
    <row r="29299" spans="8:8">
      <c r="H29299" t="s">
        <v>30109</v>
      </c>
    </row>
    <row r="29300" spans="8:8">
      <c r="H29300" t="s">
        <v>30110</v>
      </c>
    </row>
    <row r="29301" spans="8:8">
      <c r="H29301" t="s">
        <v>30111</v>
      </c>
    </row>
    <row r="29302" spans="8:8">
      <c r="H29302" t="s">
        <v>30112</v>
      </c>
    </row>
    <row r="29303" spans="8:8">
      <c r="H29303" t="s">
        <v>30113</v>
      </c>
    </row>
    <row r="29304" spans="8:8">
      <c r="H29304" t="s">
        <v>30114</v>
      </c>
    </row>
    <row r="29305" spans="8:8">
      <c r="H29305" t="s">
        <v>30115</v>
      </c>
    </row>
    <row r="29306" spans="8:8">
      <c r="H29306" t="s">
        <v>30116</v>
      </c>
    </row>
    <row r="29307" spans="8:8">
      <c r="H29307" t="s">
        <v>30117</v>
      </c>
    </row>
    <row r="29308" spans="8:8">
      <c r="H29308" t="s">
        <v>30118</v>
      </c>
    </row>
    <row r="29309" spans="8:8">
      <c r="H29309" t="s">
        <v>30119</v>
      </c>
    </row>
    <row r="29310" spans="8:8">
      <c r="H29310" t="s">
        <v>30120</v>
      </c>
    </row>
    <row r="29311" spans="8:8">
      <c r="H29311" t="s">
        <v>30121</v>
      </c>
    </row>
    <row r="29312" spans="8:8">
      <c r="H29312" t="s">
        <v>30122</v>
      </c>
    </row>
    <row r="29313" spans="1:8">
      <c r="H29313" t="s">
        <v>30123</v>
      </c>
    </row>
    <row r="29314" spans="1:8">
      <c r="H29314" t="s">
        <v>30124</v>
      </c>
    </row>
    <row r="29315" spans="1:8">
      <c r="A29315" t="s">
        <v>1929</v>
      </c>
      <c r="B29315">
        <f>HYPERLINK("https://android.googlesource.com/platform/cts/+/9b92b926e9a8da3a12e7fcb2d1a204df51bf8d8e", "9b92b926e9a8da3a12e7fcb2d1a204df51bf8d8e")</f>
        <v>0</v>
      </c>
      <c r="C29315">
        <f>HYPERLINK("https://android.googlesource.com/platform/cts/+/5104991283dc5241e19e8fc1103b8cb9bbff88e3", "5104991283dc5241e19e8fc1103b8cb9bbff88e3")</f>
        <v>0</v>
      </c>
      <c r="D29315" t="s">
        <v>5085</v>
      </c>
      <c r="E29315" t="s">
        <v>7675</v>
      </c>
      <c r="F29315" t="s">
        <v>13500</v>
      </c>
      <c r="G29315" t="s">
        <v>17618</v>
      </c>
      <c r="H29315" t="s">
        <v>18929</v>
      </c>
    </row>
    <row r="29316" spans="1:8">
      <c r="A29316" t="s">
        <v>1930</v>
      </c>
      <c r="B29316">
        <f>HYPERLINK("https://android.googlesource.com/platform/cts/+/897b5774f1cef3f9aa2c350abf05dd029de47f9e", "897b5774f1cef3f9aa2c350abf05dd029de47f9e")</f>
        <v>0</v>
      </c>
      <c r="C29316">
        <f>HYPERLINK("https://android.googlesource.com/platform/cts/+/0343f9be189f8cc25cc0a5071518c0029c460166", "0343f9be189f8cc25cc0a5071518c0029c460166")</f>
        <v>0</v>
      </c>
      <c r="D29316" t="s">
        <v>5279</v>
      </c>
      <c r="E29316" t="s">
        <v>7676</v>
      </c>
      <c r="F29316" t="s">
        <v>13501</v>
      </c>
      <c r="G29316" t="s">
        <v>17619</v>
      </c>
      <c r="H29316" t="s">
        <v>30125</v>
      </c>
    </row>
    <row r="29317" spans="1:8">
      <c r="F29317" t="s">
        <v>13488</v>
      </c>
      <c r="G29317" t="s">
        <v>17607</v>
      </c>
      <c r="H29317" t="s">
        <v>30126</v>
      </c>
    </row>
    <row r="29318" spans="1:8">
      <c r="A29318" t="s">
        <v>1931</v>
      </c>
      <c r="B29318">
        <f>HYPERLINK("https://android.googlesource.com/platform/cts/+/92833ec4696da47adee12b895ff2a970ce8b6dd2", "92833ec4696da47adee12b895ff2a970ce8b6dd2")</f>
        <v>0</v>
      </c>
      <c r="C29318">
        <f>HYPERLINK("https://android.googlesource.com/platform/cts/+/6037c92ea6d15b5bc7a922b510cb0f42520b5712", "6037c92ea6d15b5bc7a922b510cb0f42520b5712")</f>
        <v>0</v>
      </c>
      <c r="D29318" t="s">
        <v>5211</v>
      </c>
      <c r="E29318" t="s">
        <v>7677</v>
      </c>
      <c r="F29318" t="s">
        <v>13498</v>
      </c>
      <c r="G29318" t="s">
        <v>17616</v>
      </c>
      <c r="H29318" t="s">
        <v>30127</v>
      </c>
    </row>
    <row r="29319" spans="1:8">
      <c r="H29319" t="s">
        <v>30128</v>
      </c>
    </row>
    <row r="29320" spans="1:8">
      <c r="F29320" t="s">
        <v>13436</v>
      </c>
      <c r="G29320" t="s">
        <v>17514</v>
      </c>
      <c r="H29320" t="s">
        <v>30127</v>
      </c>
    </row>
    <row r="29321" spans="1:8">
      <c r="H29321" t="s">
        <v>30128</v>
      </c>
    </row>
    <row r="29322" spans="1:8">
      <c r="F29322" t="s">
        <v>13499</v>
      </c>
      <c r="G29322" t="s">
        <v>17617</v>
      </c>
      <c r="H29322" t="s">
        <v>29809</v>
      </c>
    </row>
    <row r="29323" spans="1:8">
      <c r="H29323" t="s">
        <v>21323</v>
      </c>
    </row>
    <row r="29324" spans="1:8">
      <c r="H29324" t="s">
        <v>29811</v>
      </c>
    </row>
    <row r="29325" spans="1:8">
      <c r="H29325" t="s">
        <v>29812</v>
      </c>
    </row>
    <row r="29326" spans="1:8">
      <c r="A29326" t="s">
        <v>1932</v>
      </c>
      <c r="B29326">
        <f>HYPERLINK("https://android.googlesource.com/platform/cts/+/d8276f982b9259e03e8d47edc06c6cb26726c640", "d8276f982b9259e03e8d47edc06c6cb26726c640")</f>
        <v>0</v>
      </c>
      <c r="C29326">
        <f>HYPERLINK("https://android.googlesource.com/platform/cts/+/92833ec4696da47adee12b895ff2a970ce8b6dd2", "92833ec4696da47adee12b895ff2a970ce8b6dd2")</f>
        <v>0</v>
      </c>
      <c r="D29326" t="s">
        <v>5211</v>
      </c>
      <c r="E29326" t="s">
        <v>7678</v>
      </c>
      <c r="F29326" t="s">
        <v>13436</v>
      </c>
      <c r="G29326" t="s">
        <v>17514</v>
      </c>
      <c r="H29326" t="s">
        <v>30129</v>
      </c>
    </row>
    <row r="29327" spans="1:8">
      <c r="H29327" t="s">
        <v>30130</v>
      </c>
    </row>
    <row r="29328" spans="1:8">
      <c r="H29328" t="s">
        <v>30131</v>
      </c>
    </row>
    <row r="29329" spans="1:8">
      <c r="H29329" t="s">
        <v>30132</v>
      </c>
    </row>
    <row r="29330" spans="1:8">
      <c r="A29330" t="s">
        <v>1933</v>
      </c>
      <c r="B29330">
        <f>HYPERLINK("https://android.googlesource.com/platform/cts/+/756e78f3db6dba07e830cdf67953460cad225e4e", "756e78f3db6dba07e830cdf67953460cad225e4e")</f>
        <v>0</v>
      </c>
      <c r="C29330">
        <f>HYPERLINK("https://android.googlesource.com/platform/cts/+/cbf8be0b50d70f4ff51bbfc8f1342a10deb5c86e", "cbf8be0b50d70f4ff51bbfc8f1342a10deb5c86e")</f>
        <v>0</v>
      </c>
      <c r="D29330" t="s">
        <v>5134</v>
      </c>
      <c r="E29330" t="s">
        <v>7679</v>
      </c>
      <c r="F29330" t="s">
        <v>13230</v>
      </c>
      <c r="G29330" t="s">
        <v>17371</v>
      </c>
      <c r="H29330" t="s">
        <v>30133</v>
      </c>
    </row>
    <row r="29331" spans="1:8">
      <c r="H29331" t="s">
        <v>30134</v>
      </c>
    </row>
    <row r="29332" spans="1:8">
      <c r="F29332" t="s">
        <v>13371</v>
      </c>
      <c r="G29332" t="s">
        <v>17498</v>
      </c>
      <c r="H29332" t="s">
        <v>30135</v>
      </c>
    </row>
    <row r="29333" spans="1:8">
      <c r="A29333" t="s">
        <v>1934</v>
      </c>
      <c r="B29333">
        <f>HYPERLINK("https://android.googlesource.com/platform/cts/+/12f701bf47597096f8c3bb6e3c8d9813036305c6", "12f701bf47597096f8c3bb6e3c8d9813036305c6")</f>
        <v>0</v>
      </c>
      <c r="C29333">
        <f>HYPERLINK("https://android.googlesource.com/platform/cts/+/488e9c52ad76efdb82a8237e40d54a34a15c3a6c", "488e9c52ad76efdb82a8237e40d54a34a15c3a6c")</f>
        <v>0</v>
      </c>
      <c r="D29333" t="s">
        <v>5307</v>
      </c>
      <c r="E29333" t="s">
        <v>7680</v>
      </c>
      <c r="F29333" t="s">
        <v>11435</v>
      </c>
      <c r="G29333" t="s">
        <v>15093</v>
      </c>
      <c r="H29333" t="s">
        <v>19019</v>
      </c>
    </row>
    <row r="29334" spans="1:8">
      <c r="H29334" t="s">
        <v>30136</v>
      </c>
    </row>
    <row r="29335" spans="1:8">
      <c r="H29335" t="s">
        <v>30137</v>
      </c>
    </row>
    <row r="29336" spans="1:8">
      <c r="F29336" t="s">
        <v>13502</v>
      </c>
      <c r="G29336" t="s">
        <v>17620</v>
      </c>
      <c r="H29336" t="s">
        <v>19019</v>
      </c>
    </row>
    <row r="29337" spans="1:8">
      <c r="H29337" t="s">
        <v>30136</v>
      </c>
    </row>
    <row r="29338" spans="1:8">
      <c r="H29338" t="s">
        <v>30137</v>
      </c>
    </row>
    <row r="29339" spans="1:8">
      <c r="F29339" t="s">
        <v>13503</v>
      </c>
      <c r="G29339" t="s">
        <v>17248</v>
      </c>
      <c r="H29339" t="s">
        <v>30138</v>
      </c>
    </row>
    <row r="29340" spans="1:8">
      <c r="A29340" t="s">
        <v>1935</v>
      </c>
      <c r="B29340">
        <f>HYPERLINK("https://android.googlesource.com/platform/cts/+/7afe0152199af69e195c3bd95061589e2b35c399", "7afe0152199af69e195c3bd95061589e2b35c399")</f>
        <v>0</v>
      </c>
      <c r="C29340">
        <f>HYPERLINK("https://android.googlesource.com/platform/cts/+/ef02d30d3aef44479a7b6b55d828307a71c79955", "ef02d30d3aef44479a7b6b55d828307a71c79955")</f>
        <v>0</v>
      </c>
      <c r="D29340" t="s">
        <v>5308</v>
      </c>
      <c r="E29340" t="s">
        <v>7681</v>
      </c>
      <c r="F29340" t="s">
        <v>13504</v>
      </c>
      <c r="G29340" t="s">
        <v>17621</v>
      </c>
      <c r="H29340" t="s">
        <v>30139</v>
      </c>
    </row>
    <row r="29341" spans="1:8">
      <c r="H29341" t="s">
        <v>30140</v>
      </c>
    </row>
    <row r="29342" spans="1:8">
      <c r="F29342" t="s">
        <v>10726</v>
      </c>
      <c r="G29342" t="s">
        <v>15125</v>
      </c>
      <c r="H29342" t="s">
        <v>30139</v>
      </c>
    </row>
    <row r="29343" spans="1:8">
      <c r="A29343" t="s">
        <v>1936</v>
      </c>
      <c r="B29343">
        <f>HYPERLINK("https://android.googlesource.com/platform/cts/+/f8ee864e2f403f55a39262ea9b5bc2d41815c9a5", "f8ee864e2f403f55a39262ea9b5bc2d41815c9a5")</f>
        <v>0</v>
      </c>
      <c r="C29343">
        <f>HYPERLINK("https://android.googlesource.com/platform/cts/+/4241d4a3ca12764c063cd0c712a4f79e6b34853c", "4241d4a3ca12764c063cd0c712a4f79e6b34853c")</f>
        <v>0</v>
      </c>
      <c r="D29343" t="s">
        <v>5180</v>
      </c>
      <c r="E29343" t="s">
        <v>7682</v>
      </c>
      <c r="F29343" t="s">
        <v>13505</v>
      </c>
      <c r="G29343" t="s">
        <v>17622</v>
      </c>
      <c r="H29343" t="s">
        <v>30141</v>
      </c>
    </row>
    <row r="29344" spans="1:8">
      <c r="H29344" t="s">
        <v>30142</v>
      </c>
    </row>
    <row r="29345" spans="8:8">
      <c r="H29345" t="s">
        <v>30143</v>
      </c>
    </row>
    <row r="29346" spans="8:8">
      <c r="H29346" t="s">
        <v>30144</v>
      </c>
    </row>
    <row r="29347" spans="8:8">
      <c r="H29347" t="s">
        <v>30145</v>
      </c>
    </row>
    <row r="29348" spans="8:8">
      <c r="H29348" t="s">
        <v>30146</v>
      </c>
    </row>
    <row r="29349" spans="8:8">
      <c r="H29349" t="s">
        <v>30147</v>
      </c>
    </row>
    <row r="29350" spans="8:8">
      <c r="H29350" t="s">
        <v>30148</v>
      </c>
    </row>
    <row r="29351" spans="8:8">
      <c r="H29351" t="s">
        <v>30149</v>
      </c>
    </row>
    <row r="29352" spans="8:8">
      <c r="H29352" t="s">
        <v>30150</v>
      </c>
    </row>
    <row r="29353" spans="8:8">
      <c r="H29353" t="s">
        <v>30151</v>
      </c>
    </row>
    <row r="29354" spans="8:8">
      <c r="H29354" t="s">
        <v>30152</v>
      </c>
    </row>
    <row r="29355" spans="8:8">
      <c r="H29355" t="s">
        <v>30153</v>
      </c>
    </row>
    <row r="29356" spans="8:8">
      <c r="H29356" t="s">
        <v>29023</v>
      </c>
    </row>
    <row r="29357" spans="8:8">
      <c r="H29357" t="s">
        <v>30154</v>
      </c>
    </row>
    <row r="29358" spans="8:8">
      <c r="H29358" t="s">
        <v>30155</v>
      </c>
    </row>
    <row r="29359" spans="8:8">
      <c r="H29359" t="s">
        <v>30156</v>
      </c>
    </row>
    <row r="29360" spans="8:8">
      <c r="H29360" t="s">
        <v>30157</v>
      </c>
    </row>
    <row r="29361" spans="8:8">
      <c r="H29361" t="s">
        <v>30158</v>
      </c>
    </row>
    <row r="29362" spans="8:8">
      <c r="H29362" t="s">
        <v>30159</v>
      </c>
    </row>
    <row r="29363" spans="8:8">
      <c r="H29363" t="s">
        <v>26316</v>
      </c>
    </row>
    <row r="29364" spans="8:8">
      <c r="H29364" t="s">
        <v>21462</v>
      </c>
    </row>
    <row r="29365" spans="8:8">
      <c r="H29365" t="s">
        <v>30160</v>
      </c>
    </row>
    <row r="29366" spans="8:8">
      <c r="H29366" t="s">
        <v>30161</v>
      </c>
    </row>
    <row r="29367" spans="8:8">
      <c r="H29367" t="s">
        <v>30162</v>
      </c>
    </row>
    <row r="29368" spans="8:8">
      <c r="H29368" t="s">
        <v>30163</v>
      </c>
    </row>
    <row r="29369" spans="8:8">
      <c r="H29369" t="s">
        <v>30164</v>
      </c>
    </row>
    <row r="29370" spans="8:8">
      <c r="H29370" t="s">
        <v>30142</v>
      </c>
    </row>
    <row r="29371" spans="8:8">
      <c r="H29371" t="s">
        <v>30143</v>
      </c>
    </row>
    <row r="29372" spans="8:8">
      <c r="H29372" t="s">
        <v>30145</v>
      </c>
    </row>
    <row r="29373" spans="8:8">
      <c r="H29373" t="s">
        <v>30146</v>
      </c>
    </row>
    <row r="29374" spans="8:8">
      <c r="H29374" t="s">
        <v>30147</v>
      </c>
    </row>
    <row r="29375" spans="8:8">
      <c r="H29375" t="s">
        <v>30144</v>
      </c>
    </row>
    <row r="29376" spans="8:8">
      <c r="H29376" t="s">
        <v>28864</v>
      </c>
    </row>
    <row r="29377" spans="6:8">
      <c r="H29377" t="s">
        <v>26391</v>
      </c>
    </row>
    <row r="29378" spans="6:8">
      <c r="H29378" t="s">
        <v>30165</v>
      </c>
    </row>
    <row r="29379" spans="6:8">
      <c r="H29379" t="s">
        <v>30166</v>
      </c>
    </row>
    <row r="29380" spans="6:8">
      <c r="F29380" t="s">
        <v>13506</v>
      </c>
      <c r="G29380" t="s">
        <v>17623</v>
      </c>
      <c r="H29380" t="s">
        <v>18829</v>
      </c>
    </row>
    <row r="29381" spans="6:8">
      <c r="H29381" t="s">
        <v>19982</v>
      </c>
    </row>
    <row r="29382" spans="6:8">
      <c r="H29382" t="s">
        <v>30167</v>
      </c>
    </row>
    <row r="29383" spans="6:8">
      <c r="H29383" t="s">
        <v>30168</v>
      </c>
    </row>
    <row r="29384" spans="6:8">
      <c r="H29384" t="s">
        <v>30169</v>
      </c>
    </row>
    <row r="29385" spans="6:8">
      <c r="H29385" t="s">
        <v>30170</v>
      </c>
    </row>
    <row r="29386" spans="6:8">
      <c r="H29386" t="s">
        <v>30171</v>
      </c>
    </row>
    <row r="29387" spans="6:8">
      <c r="H29387" t="s">
        <v>30172</v>
      </c>
    </row>
    <row r="29388" spans="6:8">
      <c r="H29388" t="s">
        <v>30173</v>
      </c>
    </row>
    <row r="29389" spans="6:8">
      <c r="H29389" t="s">
        <v>30174</v>
      </c>
    </row>
    <row r="29390" spans="6:8">
      <c r="H29390" t="s">
        <v>30175</v>
      </c>
    </row>
    <row r="29391" spans="6:8">
      <c r="H29391" t="s">
        <v>30176</v>
      </c>
    </row>
    <row r="29392" spans="6:8">
      <c r="H29392" t="s">
        <v>30177</v>
      </c>
    </row>
    <row r="29393" spans="8:8">
      <c r="H29393" t="s">
        <v>30178</v>
      </c>
    </row>
    <row r="29394" spans="8:8">
      <c r="H29394" t="s">
        <v>30179</v>
      </c>
    </row>
    <row r="29395" spans="8:8">
      <c r="H29395" t="s">
        <v>30180</v>
      </c>
    </row>
    <row r="29396" spans="8:8">
      <c r="H29396" t="s">
        <v>30181</v>
      </c>
    </row>
    <row r="29397" spans="8:8">
      <c r="H29397" t="s">
        <v>30182</v>
      </c>
    </row>
    <row r="29398" spans="8:8">
      <c r="H29398" t="s">
        <v>30183</v>
      </c>
    </row>
    <row r="29399" spans="8:8">
      <c r="H29399" t="s">
        <v>30184</v>
      </c>
    </row>
    <row r="29400" spans="8:8">
      <c r="H29400" t="s">
        <v>30185</v>
      </c>
    </row>
    <row r="29401" spans="8:8">
      <c r="H29401" t="s">
        <v>30186</v>
      </c>
    </row>
    <row r="29402" spans="8:8">
      <c r="H29402" t="s">
        <v>30187</v>
      </c>
    </row>
    <row r="29403" spans="8:8">
      <c r="H29403" t="s">
        <v>30188</v>
      </c>
    </row>
    <row r="29404" spans="8:8">
      <c r="H29404" t="s">
        <v>30189</v>
      </c>
    </row>
    <row r="29405" spans="8:8">
      <c r="H29405" t="s">
        <v>30190</v>
      </c>
    </row>
    <row r="29406" spans="8:8">
      <c r="H29406" t="s">
        <v>30191</v>
      </c>
    </row>
    <row r="29407" spans="8:8">
      <c r="H29407" t="s">
        <v>30192</v>
      </c>
    </row>
    <row r="29408" spans="8:8">
      <c r="H29408" t="s">
        <v>30193</v>
      </c>
    </row>
    <row r="29409" spans="8:8">
      <c r="H29409" t="s">
        <v>30194</v>
      </c>
    </row>
    <row r="29410" spans="8:8">
      <c r="H29410" t="s">
        <v>30195</v>
      </c>
    </row>
    <row r="29411" spans="8:8">
      <c r="H29411" t="s">
        <v>30196</v>
      </c>
    </row>
    <row r="29412" spans="8:8">
      <c r="H29412" t="s">
        <v>30197</v>
      </c>
    </row>
    <row r="29413" spans="8:8">
      <c r="H29413" t="s">
        <v>30198</v>
      </c>
    </row>
    <row r="29414" spans="8:8">
      <c r="H29414" t="s">
        <v>30199</v>
      </c>
    </row>
    <row r="29415" spans="8:8">
      <c r="H29415" t="s">
        <v>30200</v>
      </c>
    </row>
    <row r="29416" spans="8:8">
      <c r="H29416" t="s">
        <v>30201</v>
      </c>
    </row>
    <row r="29417" spans="8:8">
      <c r="H29417" t="s">
        <v>30202</v>
      </c>
    </row>
    <row r="29418" spans="8:8">
      <c r="H29418" t="s">
        <v>30203</v>
      </c>
    </row>
    <row r="29419" spans="8:8">
      <c r="H29419" t="s">
        <v>30204</v>
      </c>
    </row>
    <row r="29420" spans="8:8">
      <c r="H29420" t="s">
        <v>30205</v>
      </c>
    </row>
    <row r="29421" spans="8:8">
      <c r="H29421" t="s">
        <v>30206</v>
      </c>
    </row>
    <row r="29422" spans="8:8">
      <c r="H29422" t="s">
        <v>30207</v>
      </c>
    </row>
    <row r="29423" spans="8:8">
      <c r="H29423" t="s">
        <v>30208</v>
      </c>
    </row>
    <row r="29424" spans="8:8">
      <c r="H29424" t="s">
        <v>30209</v>
      </c>
    </row>
    <row r="29425" spans="6:8">
      <c r="H29425" t="s">
        <v>30210</v>
      </c>
    </row>
    <row r="29426" spans="6:8">
      <c r="H29426" t="s">
        <v>30211</v>
      </c>
    </row>
    <row r="29427" spans="6:8">
      <c r="H29427" t="s">
        <v>30212</v>
      </c>
    </row>
    <row r="29428" spans="6:8">
      <c r="H29428" t="s">
        <v>30213</v>
      </c>
    </row>
    <row r="29429" spans="6:8">
      <c r="F29429" t="s">
        <v>13507</v>
      </c>
      <c r="G29429" t="s">
        <v>17624</v>
      </c>
      <c r="H29429" t="s">
        <v>18829</v>
      </c>
    </row>
    <row r="29430" spans="6:8">
      <c r="H29430" t="s">
        <v>30030</v>
      </c>
    </row>
    <row r="29431" spans="6:8">
      <c r="F29431" t="s">
        <v>13508</v>
      </c>
      <c r="G29431" t="s">
        <v>17625</v>
      </c>
      <c r="H29431" t="s">
        <v>18829</v>
      </c>
    </row>
    <row r="29432" spans="6:8">
      <c r="H29432" t="s">
        <v>19982</v>
      </c>
    </row>
    <row r="29433" spans="6:8">
      <c r="H29433" t="s">
        <v>30030</v>
      </c>
    </row>
    <row r="29434" spans="6:8">
      <c r="H29434" t="s">
        <v>30214</v>
      </c>
    </row>
    <row r="29435" spans="6:8">
      <c r="H29435" t="s">
        <v>30215</v>
      </c>
    </row>
    <row r="29436" spans="6:8">
      <c r="H29436" t="s">
        <v>30167</v>
      </c>
    </row>
    <row r="29437" spans="6:8">
      <c r="H29437" t="s">
        <v>30168</v>
      </c>
    </row>
    <row r="29438" spans="6:8">
      <c r="H29438" t="s">
        <v>30171</v>
      </c>
    </row>
    <row r="29439" spans="6:8">
      <c r="H29439" t="s">
        <v>30170</v>
      </c>
    </row>
    <row r="29440" spans="6:8">
      <c r="H29440" t="s">
        <v>30169</v>
      </c>
    </row>
    <row r="29441" spans="8:8">
      <c r="H29441" t="s">
        <v>30216</v>
      </c>
    </row>
    <row r="29442" spans="8:8">
      <c r="H29442" t="s">
        <v>30217</v>
      </c>
    </row>
    <row r="29443" spans="8:8">
      <c r="H29443" t="s">
        <v>30218</v>
      </c>
    </row>
    <row r="29444" spans="8:8">
      <c r="H29444" t="s">
        <v>30219</v>
      </c>
    </row>
    <row r="29445" spans="8:8">
      <c r="H29445" t="s">
        <v>30220</v>
      </c>
    </row>
    <row r="29446" spans="8:8">
      <c r="H29446" t="s">
        <v>30221</v>
      </c>
    </row>
    <row r="29447" spans="8:8">
      <c r="H29447" t="s">
        <v>30222</v>
      </c>
    </row>
    <row r="29448" spans="8:8">
      <c r="H29448" t="s">
        <v>30223</v>
      </c>
    </row>
    <row r="29449" spans="8:8">
      <c r="H29449" t="s">
        <v>30224</v>
      </c>
    </row>
    <row r="29450" spans="8:8">
      <c r="H29450" t="s">
        <v>30225</v>
      </c>
    </row>
    <row r="29451" spans="8:8">
      <c r="H29451" t="s">
        <v>30226</v>
      </c>
    </row>
    <row r="29452" spans="8:8">
      <c r="H29452" t="s">
        <v>30227</v>
      </c>
    </row>
    <row r="29453" spans="8:8">
      <c r="H29453" t="s">
        <v>26314</v>
      </c>
    </row>
    <row r="29454" spans="8:8">
      <c r="H29454" t="s">
        <v>30228</v>
      </c>
    </row>
    <row r="29455" spans="8:8">
      <c r="H29455" t="s">
        <v>30229</v>
      </c>
    </row>
    <row r="29456" spans="8:8">
      <c r="H29456" t="s">
        <v>30230</v>
      </c>
    </row>
    <row r="29457" spans="6:8">
      <c r="F29457" t="s">
        <v>13509</v>
      </c>
      <c r="G29457" t="s">
        <v>17626</v>
      </c>
      <c r="H29457" t="s">
        <v>18829</v>
      </c>
    </row>
    <row r="29458" spans="6:8">
      <c r="H29458" t="s">
        <v>30231</v>
      </c>
    </row>
    <row r="29459" spans="6:8">
      <c r="H29459" t="s">
        <v>30232</v>
      </c>
    </row>
    <row r="29460" spans="6:8">
      <c r="F29460" t="s">
        <v>13510</v>
      </c>
      <c r="G29460" t="s">
        <v>17627</v>
      </c>
      <c r="H29460" t="s">
        <v>30233</v>
      </c>
    </row>
    <row r="29461" spans="6:8">
      <c r="H29461" t="s">
        <v>29213</v>
      </c>
    </row>
    <row r="29462" spans="6:8">
      <c r="H29462" t="s">
        <v>26314</v>
      </c>
    </row>
    <row r="29463" spans="6:8">
      <c r="H29463" t="s">
        <v>30234</v>
      </c>
    </row>
    <row r="29464" spans="6:8">
      <c r="H29464" t="s">
        <v>30235</v>
      </c>
    </row>
    <row r="29465" spans="6:8">
      <c r="H29465" t="s">
        <v>30236</v>
      </c>
    </row>
    <row r="29466" spans="6:8">
      <c r="H29466" t="s">
        <v>30237</v>
      </c>
    </row>
    <row r="29467" spans="6:8">
      <c r="H29467" t="s">
        <v>19928</v>
      </c>
    </row>
    <row r="29468" spans="6:8">
      <c r="H29468" t="s">
        <v>30238</v>
      </c>
    </row>
    <row r="29469" spans="6:8">
      <c r="H29469" t="s">
        <v>27403</v>
      </c>
    </row>
    <row r="29470" spans="6:8">
      <c r="H29470" t="s">
        <v>30239</v>
      </c>
    </row>
    <row r="29471" spans="6:8">
      <c r="H29471" t="s">
        <v>30240</v>
      </c>
    </row>
    <row r="29472" spans="6:8">
      <c r="H29472" t="s">
        <v>30241</v>
      </c>
    </row>
    <row r="29473" spans="1:8">
      <c r="H29473" t="s">
        <v>30242</v>
      </c>
    </row>
    <row r="29474" spans="1:8">
      <c r="H29474" t="s">
        <v>19982</v>
      </c>
    </row>
    <row r="29475" spans="1:8">
      <c r="A29475" t="s">
        <v>1937</v>
      </c>
      <c r="B29475">
        <f>HYPERLINK("https://android.googlesource.com/platform/cts/+/3ddcfdf3284036fea9e12be42d991ce96dd1538a", "3ddcfdf3284036fea9e12be42d991ce96dd1538a")</f>
        <v>0</v>
      </c>
      <c r="C29475">
        <f>HYPERLINK("https://android.googlesource.com/platform/cts/+/5b18d6f90b4ef8e5d2a88879e7461c5fe9a12e3c", "5b18d6f90b4ef8e5d2a88879e7461c5fe9a12e3c")</f>
        <v>0</v>
      </c>
      <c r="D29475" t="s">
        <v>5294</v>
      </c>
      <c r="E29475" t="s">
        <v>7683</v>
      </c>
      <c r="F29475" t="s">
        <v>13470</v>
      </c>
      <c r="G29475" t="s">
        <v>17589</v>
      </c>
      <c r="H29475" t="s">
        <v>30243</v>
      </c>
    </row>
    <row r="29476" spans="1:8">
      <c r="A29476" t="s">
        <v>1938</v>
      </c>
      <c r="B29476">
        <f>HYPERLINK("https://android.googlesource.com/platform/cts/+/a8f62c4a4a493cc528e98a27753806c06dc36d11", "a8f62c4a4a493cc528e98a27753806c06dc36d11")</f>
        <v>0</v>
      </c>
      <c r="C29476">
        <f>HYPERLINK("https://android.googlesource.com/platform/cts/+/468824af02c8607899ceb2c4df58a98fcc21c183", "468824af02c8607899ceb2c4df58a98fcc21c183")</f>
        <v>0</v>
      </c>
      <c r="D29476" t="s">
        <v>5224</v>
      </c>
      <c r="E29476" t="s">
        <v>7684</v>
      </c>
      <c r="F29476" t="s">
        <v>13248</v>
      </c>
      <c r="G29476" t="s">
        <v>17388</v>
      </c>
      <c r="H29476" t="s">
        <v>30244</v>
      </c>
    </row>
    <row r="29477" spans="1:8">
      <c r="A29477" t="s">
        <v>1939</v>
      </c>
      <c r="B29477">
        <f>HYPERLINK("https://android.googlesource.com/platform/cts/+/a53385fe82d8f569fc0cf6cc91fee60749c7ced2", "a53385fe82d8f569fc0cf6cc91fee60749c7ced2")</f>
        <v>0</v>
      </c>
      <c r="C29477">
        <f>HYPERLINK("https://android.googlesource.com/platform/cts/+/aa7171d9987238b20bacd7e651e3aad3a86dd74d", "aa7171d9987238b20bacd7e651e3aad3a86dd74d")</f>
        <v>0</v>
      </c>
      <c r="D29477" t="s">
        <v>5309</v>
      </c>
      <c r="E29477" t="s">
        <v>7685</v>
      </c>
      <c r="F29477" t="s">
        <v>13511</v>
      </c>
      <c r="G29477" t="s">
        <v>17628</v>
      </c>
      <c r="H29477" t="s">
        <v>30245</v>
      </c>
    </row>
    <row r="29478" spans="1:8">
      <c r="A29478" t="s">
        <v>1940</v>
      </c>
      <c r="B29478">
        <f>HYPERLINK("https://android.googlesource.com/platform/cts/+/5b51ce3002e1a6e1bc94e42bc9788a0b8d32b1eb", "5b51ce3002e1a6e1bc94e42bc9788a0b8d32b1eb")</f>
        <v>0</v>
      </c>
      <c r="C29478">
        <f>HYPERLINK("https://android.googlesource.com/platform/cts/+/47ff52cab976338b5db19e2f646a7703dcecc830", "47ff52cab976338b5db19e2f646a7703dcecc830")</f>
        <v>0</v>
      </c>
      <c r="D29478" t="s">
        <v>5046</v>
      </c>
      <c r="E29478" t="s">
        <v>7686</v>
      </c>
      <c r="F29478" t="s">
        <v>13512</v>
      </c>
      <c r="G29478" t="s">
        <v>17629</v>
      </c>
      <c r="H29478" t="s">
        <v>30246</v>
      </c>
    </row>
    <row r="29479" spans="1:8">
      <c r="A29479" t="s">
        <v>1941</v>
      </c>
      <c r="B29479">
        <f>HYPERLINK("https://android.googlesource.com/platform/cts/+/1d05377873342d465da5119cc1e925f515fb101f", "1d05377873342d465da5119cc1e925f515fb101f")</f>
        <v>0</v>
      </c>
      <c r="C29479">
        <f>HYPERLINK("https://android.googlesource.com/platform/cts/+/a4682064f766d76338012b74bf401b8a1704fecc", "a4682064f766d76338012b74bf401b8a1704fecc")</f>
        <v>0</v>
      </c>
      <c r="D29479" t="s">
        <v>5293</v>
      </c>
      <c r="E29479" t="s">
        <v>7687</v>
      </c>
      <c r="F29479" t="s">
        <v>13513</v>
      </c>
      <c r="G29479" t="s">
        <v>17630</v>
      </c>
      <c r="H29479" t="s">
        <v>30247</v>
      </c>
    </row>
    <row r="29480" spans="1:8">
      <c r="H29480" t="s">
        <v>30248</v>
      </c>
    </row>
    <row r="29481" spans="1:8">
      <c r="A29481" t="s">
        <v>1942</v>
      </c>
      <c r="B29481">
        <f>HYPERLINK("https://android.googlesource.com/platform/cts/+/0e850d8d79d15bfc71fb7817fa79ecdf084ca17b", "0e850d8d79d15bfc71fb7817fa79ecdf084ca17b")</f>
        <v>0</v>
      </c>
      <c r="C29481">
        <f>HYPERLINK("https://android.googlesource.com/platform/cts/+/74a0dc8acb34356a69ea77167f304583fbbd41b7", "74a0dc8acb34356a69ea77167f304583fbbd41b7")</f>
        <v>0</v>
      </c>
      <c r="D29481" t="s">
        <v>5284</v>
      </c>
      <c r="E29481" t="s">
        <v>7688</v>
      </c>
      <c r="F29481" t="s">
        <v>13165</v>
      </c>
      <c r="G29481" t="s">
        <v>17315</v>
      </c>
      <c r="H29481" t="s">
        <v>30249</v>
      </c>
    </row>
    <row r="29482" spans="1:8">
      <c r="A29482" t="s">
        <v>1943</v>
      </c>
      <c r="B29482">
        <f>HYPERLINK("https://android.googlesource.com/platform/cts/+/fe31a64c42aa4632e189644f685e6527644a1995", "fe31a64c42aa4632e189644f685e6527644a1995")</f>
        <v>0</v>
      </c>
      <c r="C29482">
        <f>HYPERLINK("https://android.googlesource.com/platform/cts/+/be505c4b7b3fd8242a8408d03dfa3f6101bb06d5", "be505c4b7b3fd8242a8408d03dfa3f6101bb06d5")</f>
        <v>0</v>
      </c>
      <c r="D29482" t="s">
        <v>5310</v>
      </c>
      <c r="E29482" t="s">
        <v>7689</v>
      </c>
      <c r="F29482" t="s">
        <v>13432</v>
      </c>
      <c r="G29482" t="s">
        <v>17556</v>
      </c>
      <c r="H29482" t="s">
        <v>30250</v>
      </c>
    </row>
    <row r="29483" spans="1:8">
      <c r="H29483" t="s">
        <v>30251</v>
      </c>
    </row>
    <row r="29484" spans="1:8">
      <c r="F29484" t="s">
        <v>13433</v>
      </c>
      <c r="G29484" t="s">
        <v>17557</v>
      </c>
      <c r="H29484" t="s">
        <v>30250</v>
      </c>
    </row>
    <row r="29485" spans="1:8">
      <c r="H29485" t="s">
        <v>30252</v>
      </c>
    </row>
    <row r="29486" spans="1:8">
      <c r="A29486" t="s">
        <v>1944</v>
      </c>
      <c r="B29486">
        <f>HYPERLINK("https://android.googlesource.com/platform/cts/+/d635f8936bb3baad00c4bf5658e3bc7f420a3421", "d635f8936bb3baad00c4bf5658e3bc7f420a3421")</f>
        <v>0</v>
      </c>
      <c r="C29486">
        <f>HYPERLINK("https://android.googlesource.com/platform/cts/+/f51a2ebd4a88bdb282dca909b2105f1e7e253a0e", "f51a2ebd4a88bdb282dca909b2105f1e7e253a0e")</f>
        <v>0</v>
      </c>
      <c r="D29486" t="s">
        <v>5012</v>
      </c>
      <c r="E29486" t="s">
        <v>7690</v>
      </c>
      <c r="F29486" t="s">
        <v>13514</v>
      </c>
      <c r="G29486" t="s">
        <v>17631</v>
      </c>
      <c r="H29486" t="s">
        <v>30253</v>
      </c>
    </row>
    <row r="29487" spans="1:8">
      <c r="H29487" t="s">
        <v>30254</v>
      </c>
    </row>
    <row r="29488" spans="1:8">
      <c r="H29488" t="s">
        <v>30255</v>
      </c>
    </row>
    <row r="29489" spans="1:8">
      <c r="H29489" t="s">
        <v>30256</v>
      </c>
    </row>
    <row r="29490" spans="1:8">
      <c r="H29490" t="s">
        <v>30257</v>
      </c>
    </row>
    <row r="29491" spans="1:8">
      <c r="H29491" t="s">
        <v>30258</v>
      </c>
    </row>
    <row r="29492" spans="1:8">
      <c r="H29492" t="s">
        <v>30259</v>
      </c>
    </row>
    <row r="29493" spans="1:8">
      <c r="A29493" t="s">
        <v>1945</v>
      </c>
      <c r="B29493">
        <f>HYPERLINK("https://android.googlesource.com/platform/cts/+/f585217b11a3151b17577a2f2a76f0a67101e8d6", "f585217b11a3151b17577a2f2a76f0a67101e8d6")</f>
        <v>0</v>
      </c>
      <c r="C29493">
        <f>HYPERLINK("https://android.googlesource.com/platform/cts/+/d358ae366f3fb7606459d567e27b9ece0ed85ba7", "d358ae366f3fb7606459d567e27b9ece0ed85ba7")</f>
        <v>0</v>
      </c>
      <c r="D29493" t="s">
        <v>5012</v>
      </c>
      <c r="E29493" t="s">
        <v>7691</v>
      </c>
      <c r="F29493" t="s">
        <v>13514</v>
      </c>
      <c r="G29493" t="s">
        <v>17631</v>
      </c>
      <c r="H29493" t="s">
        <v>30253</v>
      </c>
    </row>
    <row r="29494" spans="1:8">
      <c r="H29494" t="s">
        <v>30254</v>
      </c>
    </row>
    <row r="29495" spans="1:8">
      <c r="H29495" t="s">
        <v>30255</v>
      </c>
    </row>
    <row r="29496" spans="1:8">
      <c r="H29496" t="s">
        <v>30256</v>
      </c>
    </row>
    <row r="29497" spans="1:8">
      <c r="H29497" t="s">
        <v>30257</v>
      </c>
    </row>
    <row r="29498" spans="1:8">
      <c r="H29498" t="s">
        <v>30258</v>
      </c>
    </row>
    <row r="29499" spans="1:8">
      <c r="H29499" t="s">
        <v>30259</v>
      </c>
    </row>
    <row r="29500" spans="1:8">
      <c r="A29500" t="s">
        <v>1946</v>
      </c>
      <c r="B29500">
        <f>HYPERLINK("https://android.googlesource.com/platform/cts/+/17cd23fa6d9784467051916d0495e633cbf02f31", "17cd23fa6d9784467051916d0495e633cbf02f31")</f>
        <v>0</v>
      </c>
      <c r="C29500">
        <f>HYPERLINK("https://android.googlesource.com/platform/cts/+/74a0dc8acb34356a69ea77167f304583fbbd41b7", "74a0dc8acb34356a69ea77167f304583fbbd41b7")</f>
        <v>0</v>
      </c>
      <c r="D29500" t="s">
        <v>5131</v>
      </c>
      <c r="E29500" t="s">
        <v>7692</v>
      </c>
      <c r="F29500" t="s">
        <v>13515</v>
      </c>
      <c r="G29500" t="s">
        <v>17632</v>
      </c>
      <c r="H29500" t="s">
        <v>30260</v>
      </c>
    </row>
    <row r="29501" spans="1:8">
      <c r="H29501" t="s">
        <v>26401</v>
      </c>
    </row>
    <row r="29502" spans="1:8">
      <c r="A29502" t="s">
        <v>1947</v>
      </c>
      <c r="B29502">
        <f>HYPERLINK("https://android.googlesource.com/platform/cts/+/ca088e3cfbee556d6e81b4dcfbb9d74f87a8bdf1", "ca088e3cfbee556d6e81b4dcfbb9d74f87a8bdf1")</f>
        <v>0</v>
      </c>
      <c r="C29502">
        <f>HYPERLINK("https://android.googlesource.com/platform/cts/+/888cb3bfbf963e9439e137ea83cef4ba1a7469f3", "888cb3bfbf963e9439e137ea83cef4ba1a7469f3")</f>
        <v>0</v>
      </c>
      <c r="D29502" t="s">
        <v>5118</v>
      </c>
      <c r="E29502" t="s">
        <v>7693</v>
      </c>
      <c r="F29502" t="s">
        <v>13165</v>
      </c>
      <c r="G29502" t="s">
        <v>17315</v>
      </c>
      <c r="H29502" t="s">
        <v>30261</v>
      </c>
    </row>
    <row r="29503" spans="1:8">
      <c r="A29503" t="s">
        <v>1948</v>
      </c>
      <c r="B29503">
        <f>HYPERLINK("https://android.googlesource.com/platform/cts/+/088c5fcfa0f412d632b4f8127adbc2821f9b1b51", "088c5fcfa0f412d632b4f8127adbc2821f9b1b51")</f>
        <v>0</v>
      </c>
      <c r="C29503">
        <f>HYPERLINK("https://android.googlesource.com/platform/cts/+/bf6ca540b31d8f9a2184fd00b93cc775cc8a0c11", "bf6ca540b31d8f9a2184fd00b93cc775cc8a0c11")</f>
        <v>0</v>
      </c>
      <c r="D29503" t="s">
        <v>5205</v>
      </c>
      <c r="E29503" t="s">
        <v>7454</v>
      </c>
      <c r="F29503" t="s">
        <v>11443</v>
      </c>
      <c r="G29503" t="s">
        <v>15683</v>
      </c>
      <c r="H29503" t="s">
        <v>29477</v>
      </c>
    </row>
    <row r="29504" spans="1:8">
      <c r="A29504" t="s">
        <v>1949</v>
      </c>
      <c r="B29504">
        <f>HYPERLINK("https://android.googlesource.com/platform/cts/+/38077f45fea1e129f2b73d4a7698aa357050b6f8", "38077f45fea1e129f2b73d4a7698aa357050b6f8")</f>
        <v>0</v>
      </c>
      <c r="C29504">
        <f>HYPERLINK("https://android.googlesource.com/platform/cts/+/08ac09ec277af2629a9b916869c78d6b022df611", "08ac09ec277af2629a9b916869c78d6b022df611")</f>
        <v>0</v>
      </c>
      <c r="D29504" t="s">
        <v>5211</v>
      </c>
      <c r="E29504" t="s">
        <v>7694</v>
      </c>
      <c r="F29504" t="s">
        <v>13516</v>
      </c>
      <c r="G29504" t="s">
        <v>17633</v>
      </c>
      <c r="H29504" t="s">
        <v>27250</v>
      </c>
    </row>
    <row r="29505" spans="1:8">
      <c r="F29505" t="s">
        <v>13517</v>
      </c>
      <c r="G29505" t="s">
        <v>16873</v>
      </c>
      <c r="H29505" t="s">
        <v>27250</v>
      </c>
    </row>
    <row r="29506" spans="1:8">
      <c r="A29506" t="s">
        <v>1950</v>
      </c>
      <c r="B29506">
        <f>HYPERLINK("https://android.googlesource.com/platform/cts/+/257ec2146ece5ee82c705d812229705ad20eb6fb", "257ec2146ece5ee82c705d812229705ad20eb6fb")</f>
        <v>0</v>
      </c>
      <c r="C29506">
        <f>HYPERLINK("https://android.googlesource.com/platform/cts/+/fb5ef3197a26cc5f187acd7d47e8ed2172093540", "fb5ef3197a26cc5f187acd7d47e8ed2172093540")</f>
        <v>0</v>
      </c>
      <c r="D29506" t="s">
        <v>5311</v>
      </c>
      <c r="E29506" t="s">
        <v>7695</v>
      </c>
      <c r="F29506" t="s">
        <v>13518</v>
      </c>
      <c r="G29506" t="s">
        <v>17540</v>
      </c>
      <c r="H29506" t="s">
        <v>30262</v>
      </c>
    </row>
    <row r="29507" spans="1:8">
      <c r="H29507" t="s">
        <v>30263</v>
      </c>
    </row>
    <row r="29508" spans="1:8">
      <c r="A29508" t="s">
        <v>1951</v>
      </c>
      <c r="B29508">
        <f>HYPERLINK("https://android.googlesource.com/platform/cts/+/76e4008d21e7638e66b8efd205ef21c26672fc7d", "76e4008d21e7638e66b8efd205ef21c26672fc7d")</f>
        <v>0</v>
      </c>
      <c r="C29508">
        <f>HYPERLINK("https://android.googlesource.com/platform/cts/+/1c5dfaf7dbf88ecf8783fa4da0c87f27329f607b", "1c5dfaf7dbf88ecf8783fa4da0c87f27329f607b")</f>
        <v>0</v>
      </c>
      <c r="D29508" t="s">
        <v>5312</v>
      </c>
      <c r="E29508" t="s">
        <v>7696</v>
      </c>
      <c r="F29508" t="s">
        <v>13519</v>
      </c>
      <c r="G29508" t="s">
        <v>17634</v>
      </c>
      <c r="H29508" t="s">
        <v>30264</v>
      </c>
    </row>
    <row r="29509" spans="1:8">
      <c r="F29509" t="s">
        <v>12743</v>
      </c>
      <c r="G29509" t="s">
        <v>16935</v>
      </c>
      <c r="H29509" t="s">
        <v>30264</v>
      </c>
    </row>
    <row r="29510" spans="1:8">
      <c r="A29510" t="s">
        <v>1952</v>
      </c>
      <c r="B29510">
        <f>HYPERLINK("https://android.googlesource.com/platform/cts/+/7c83066c9ef287a85da22db6cd52fcf488f74b21", "7c83066c9ef287a85da22db6cd52fcf488f74b21")</f>
        <v>0</v>
      </c>
      <c r="C29510">
        <f>HYPERLINK("https://android.googlesource.com/platform/cts/+/7c1badd5696e774aab4d140e4591a99b31ac5d51", "7c1badd5696e774aab4d140e4591a99b31ac5d51")</f>
        <v>0</v>
      </c>
      <c r="D29510" t="s">
        <v>5134</v>
      </c>
      <c r="E29510" t="s">
        <v>7697</v>
      </c>
      <c r="F29510" t="s">
        <v>13520</v>
      </c>
      <c r="G29510" t="s">
        <v>17635</v>
      </c>
      <c r="H29510" t="s">
        <v>30265</v>
      </c>
    </row>
    <row r="29511" spans="1:8">
      <c r="F29511" t="s">
        <v>13255</v>
      </c>
      <c r="G29511" t="s">
        <v>17393</v>
      </c>
      <c r="H29511" t="s">
        <v>30266</v>
      </c>
    </row>
    <row r="29512" spans="1:8">
      <c r="A29512" t="s">
        <v>1953</v>
      </c>
      <c r="B29512">
        <f>HYPERLINK("https://android.googlesource.com/platform/cts/+/d91dbd832273ba506c5d2fc648f0504ff7b6b5e2", "d91dbd832273ba506c5d2fc648f0504ff7b6b5e2")</f>
        <v>0</v>
      </c>
      <c r="C29512">
        <f>HYPERLINK("https://android.googlesource.com/platform/cts/+/ddf263ced807b1611300115134f8a8b16622dfe5", "ddf263ced807b1611300115134f8a8b16622dfe5")</f>
        <v>0</v>
      </c>
      <c r="D29512" t="s">
        <v>5131</v>
      </c>
      <c r="E29512" t="s">
        <v>7698</v>
      </c>
      <c r="F29512" t="s">
        <v>13515</v>
      </c>
      <c r="G29512" t="s">
        <v>17632</v>
      </c>
      <c r="H29512" t="s">
        <v>30267</v>
      </c>
    </row>
    <row r="29513" spans="1:8">
      <c r="H29513" t="s">
        <v>30268</v>
      </c>
    </row>
    <row r="29514" spans="1:8">
      <c r="A29514" t="s">
        <v>1954</v>
      </c>
      <c r="B29514">
        <f>HYPERLINK("https://android.googlesource.com/platform/cts/+/9962ce229eebc7c3b884580cd3b040611c283bc4", "9962ce229eebc7c3b884580cd3b040611c283bc4")</f>
        <v>0</v>
      </c>
      <c r="C29514">
        <f>HYPERLINK("https://android.googlesource.com/platform/cts/+/a4913ecc3d8142e2fa2970b71f6b03ec1d66e7d1", "a4913ecc3d8142e2fa2970b71f6b03ec1d66e7d1")</f>
        <v>0</v>
      </c>
      <c r="D29514" t="s">
        <v>5000</v>
      </c>
      <c r="E29514" t="s">
        <v>7699</v>
      </c>
      <c r="F29514" t="s">
        <v>13521</v>
      </c>
      <c r="G29514" t="s">
        <v>17636</v>
      </c>
      <c r="H29514" t="s">
        <v>30269</v>
      </c>
    </row>
    <row r="29515" spans="1:8">
      <c r="A29515" t="s">
        <v>1955</v>
      </c>
      <c r="B29515">
        <f>HYPERLINK("https://android.googlesource.com/platform/cts/+/9802ac065aefa8cbbebda46216d3bddc0e53cffc", "9802ac065aefa8cbbebda46216d3bddc0e53cffc")</f>
        <v>0</v>
      </c>
      <c r="C29515">
        <f>HYPERLINK("https://android.googlesource.com/platform/cts/+/c8114a53302639eb2cdf839ecaca5df2cd0fe1b4", "c8114a53302639eb2cdf839ecaca5df2cd0fe1b4")</f>
        <v>0</v>
      </c>
      <c r="D29515" t="s">
        <v>5264</v>
      </c>
      <c r="E29515" t="s">
        <v>7700</v>
      </c>
      <c r="F29515" t="s">
        <v>13506</v>
      </c>
      <c r="G29515" t="s">
        <v>17623</v>
      </c>
      <c r="H29515" t="s">
        <v>30197</v>
      </c>
    </row>
    <row r="29516" spans="1:8">
      <c r="A29516" t="s">
        <v>1956</v>
      </c>
      <c r="B29516">
        <f>HYPERLINK("https://android.googlesource.com/platform/cts/+/fa7e65f874b230555773a35c091994b3dca34243", "fa7e65f874b230555773a35c091994b3dca34243")</f>
        <v>0</v>
      </c>
      <c r="C29516">
        <f>HYPERLINK("https://android.googlesource.com/platform/cts/+/e17379fce21eb43598dfa074fa409929171472d4", "e17379fce21eb43598dfa074fa409929171472d4")</f>
        <v>0</v>
      </c>
      <c r="D29516" t="s">
        <v>5264</v>
      </c>
      <c r="E29516" t="s">
        <v>7701</v>
      </c>
      <c r="F29516" t="s">
        <v>13505</v>
      </c>
      <c r="G29516" t="s">
        <v>17622</v>
      </c>
      <c r="H29516" t="s">
        <v>30142</v>
      </c>
    </row>
    <row r="29517" spans="1:8">
      <c r="H29517" t="s">
        <v>30143</v>
      </c>
    </row>
    <row r="29518" spans="1:8">
      <c r="H29518" t="s">
        <v>30144</v>
      </c>
    </row>
    <row r="29519" spans="1:8">
      <c r="H29519" t="s">
        <v>30145</v>
      </c>
    </row>
    <row r="29520" spans="1:8">
      <c r="H29520" t="s">
        <v>30146</v>
      </c>
    </row>
    <row r="29521" spans="1:8">
      <c r="H29521" t="s">
        <v>30147</v>
      </c>
    </row>
    <row r="29522" spans="1:8">
      <c r="F29522" t="s">
        <v>13522</v>
      </c>
      <c r="G29522" t="s">
        <v>17637</v>
      </c>
      <c r="H29522" t="s">
        <v>30233</v>
      </c>
    </row>
    <row r="29523" spans="1:8">
      <c r="H29523" t="s">
        <v>29213</v>
      </c>
    </row>
    <row r="29524" spans="1:8">
      <c r="H29524" t="s">
        <v>26314</v>
      </c>
    </row>
    <row r="29525" spans="1:8">
      <c r="H29525" t="s">
        <v>30234</v>
      </c>
    </row>
    <row r="29526" spans="1:8">
      <c r="H29526" t="s">
        <v>30235</v>
      </c>
    </row>
    <row r="29527" spans="1:8">
      <c r="H29527" t="s">
        <v>30236</v>
      </c>
    </row>
    <row r="29528" spans="1:8">
      <c r="H29528" t="s">
        <v>30237</v>
      </c>
    </row>
    <row r="29529" spans="1:8">
      <c r="H29529" t="s">
        <v>30239</v>
      </c>
    </row>
    <row r="29530" spans="1:8">
      <c r="H29530" t="s">
        <v>30240</v>
      </c>
    </row>
    <row r="29531" spans="1:8">
      <c r="A29531" t="s">
        <v>1957</v>
      </c>
      <c r="B29531">
        <f>HYPERLINK("https://android.googlesource.com/platform/cts/+/ce089f66fffff205137fc7e56a40d2be5c81b26c", "ce089f66fffff205137fc7e56a40d2be5c81b26c")</f>
        <v>0</v>
      </c>
      <c r="C29531">
        <f>HYPERLINK("https://android.googlesource.com/platform/cts/+/a802bdaa1198bed7a5e03c9eb6ab94195765b412", "a802bdaa1198bed7a5e03c9eb6ab94195765b412")</f>
        <v>0</v>
      </c>
      <c r="D29531" t="s">
        <v>5235</v>
      </c>
      <c r="E29531" t="s">
        <v>7702</v>
      </c>
      <c r="F29531" t="s">
        <v>13523</v>
      </c>
      <c r="G29531" t="s">
        <v>17638</v>
      </c>
      <c r="H29531" t="s">
        <v>30270</v>
      </c>
    </row>
    <row r="29532" spans="1:8">
      <c r="H29532" t="s">
        <v>30271</v>
      </c>
    </row>
    <row r="29533" spans="1:8">
      <c r="H29533" t="s">
        <v>30272</v>
      </c>
    </row>
    <row r="29534" spans="1:8">
      <c r="H29534" t="s">
        <v>18925</v>
      </c>
    </row>
    <row r="29535" spans="1:8">
      <c r="H29535" t="s">
        <v>28078</v>
      </c>
    </row>
    <row r="29536" spans="1:8">
      <c r="H29536" t="s">
        <v>18929</v>
      </c>
    </row>
    <row r="29537" spans="1:8">
      <c r="H29537" t="s">
        <v>26298</v>
      </c>
    </row>
    <row r="29538" spans="1:8">
      <c r="H29538" t="s">
        <v>26615</v>
      </c>
    </row>
    <row r="29539" spans="1:8">
      <c r="A29539" t="s">
        <v>1958</v>
      </c>
      <c r="B29539">
        <f>HYPERLINK("https://android.googlesource.com/platform/cts/+/d650801ba1c2f6844140952d6e5ba7c904d07d87", "d650801ba1c2f6844140952d6e5ba7c904d07d87")</f>
        <v>0</v>
      </c>
      <c r="C29539">
        <f>HYPERLINK("https://android.googlesource.com/platform/cts/+/a87cacddaee41ef69a8323d3d8f15c7c502c4798", "a87cacddaee41ef69a8323d3d8f15c7c502c4798")</f>
        <v>0</v>
      </c>
      <c r="D29539" t="s">
        <v>5235</v>
      </c>
      <c r="E29539" t="s">
        <v>7703</v>
      </c>
      <c r="F29539" t="s">
        <v>13523</v>
      </c>
      <c r="G29539" t="s">
        <v>17638</v>
      </c>
      <c r="H29539" t="s">
        <v>30270</v>
      </c>
    </row>
    <row r="29540" spans="1:8">
      <c r="H29540" t="s">
        <v>30271</v>
      </c>
    </row>
    <row r="29541" spans="1:8">
      <c r="H29541" t="s">
        <v>30272</v>
      </c>
    </row>
    <row r="29542" spans="1:8">
      <c r="H29542" t="s">
        <v>18925</v>
      </c>
    </row>
    <row r="29543" spans="1:8">
      <c r="H29543" t="s">
        <v>28078</v>
      </c>
    </row>
    <row r="29544" spans="1:8">
      <c r="H29544" t="s">
        <v>18929</v>
      </c>
    </row>
    <row r="29545" spans="1:8">
      <c r="H29545" t="s">
        <v>26298</v>
      </c>
    </row>
    <row r="29546" spans="1:8">
      <c r="H29546" t="s">
        <v>26615</v>
      </c>
    </row>
    <row r="29547" spans="1:8">
      <c r="A29547" t="s">
        <v>1959</v>
      </c>
      <c r="B29547">
        <f>HYPERLINK("https://android.googlesource.com/platform/cts/+/9bcce19398e895110eaf7d630c94f403a5cbddf6", "9bcce19398e895110eaf7d630c94f403a5cbddf6")</f>
        <v>0</v>
      </c>
      <c r="C29547">
        <f>HYPERLINK("https://android.googlesource.com/platform/cts/+/c15a6dee26ba117c61e482778f478bb16b32a1c8", "c15a6dee26ba117c61e482778f478bb16b32a1c8")</f>
        <v>0</v>
      </c>
      <c r="D29547" t="s">
        <v>5180</v>
      </c>
      <c r="E29547" t="s">
        <v>7704</v>
      </c>
      <c r="F29547" t="s">
        <v>13505</v>
      </c>
      <c r="G29547" t="s">
        <v>17622</v>
      </c>
      <c r="H29547" t="s">
        <v>30160</v>
      </c>
    </row>
    <row r="29548" spans="1:8">
      <c r="F29548" t="s">
        <v>13506</v>
      </c>
      <c r="G29548" t="s">
        <v>17623</v>
      </c>
      <c r="H29548" t="s">
        <v>30181</v>
      </c>
    </row>
    <row r="29549" spans="1:8">
      <c r="F29549" t="s">
        <v>13508</v>
      </c>
      <c r="G29549" t="s">
        <v>17625</v>
      </c>
      <c r="H29549" t="s">
        <v>30218</v>
      </c>
    </row>
    <row r="29550" spans="1:8">
      <c r="A29550" t="s">
        <v>1960</v>
      </c>
      <c r="B29550">
        <f>HYPERLINK("https://android.googlesource.com/platform/cts/+/754b03c9341134949f4dbab6a595a7fbd11a5662", "754b03c9341134949f4dbab6a595a7fbd11a5662")</f>
        <v>0</v>
      </c>
      <c r="C29550">
        <f>HYPERLINK("https://android.googlesource.com/platform/cts/+/37d1558eb9d9ad4519ca5dd9acd7804fc7254432", "37d1558eb9d9ad4519ca5dd9acd7804fc7254432")</f>
        <v>0</v>
      </c>
      <c r="D29550" t="s">
        <v>5264</v>
      </c>
      <c r="E29550" t="s">
        <v>7705</v>
      </c>
      <c r="F29550" t="s">
        <v>13524</v>
      </c>
      <c r="G29550" t="s">
        <v>17639</v>
      </c>
      <c r="H29550" t="s">
        <v>30273</v>
      </c>
    </row>
    <row r="29551" spans="1:8">
      <c r="H29551" t="s">
        <v>30274</v>
      </c>
    </row>
    <row r="29552" spans="1:8">
      <c r="A29552" t="s">
        <v>1961</v>
      </c>
      <c r="B29552">
        <f>HYPERLINK("https://android.googlesource.com/platform/cts/+/759ad0a1239a9bf031ac6592b1ab1069d494bd45", "759ad0a1239a9bf031ac6592b1ab1069d494bd45")</f>
        <v>0</v>
      </c>
      <c r="C29552">
        <f>HYPERLINK("https://android.googlesource.com/platform/cts/+/74a0dc8acb34356a69ea77167f304583fbbd41b7", "74a0dc8acb34356a69ea77167f304583fbbd41b7")</f>
        <v>0</v>
      </c>
      <c r="D29552" t="s">
        <v>5313</v>
      </c>
      <c r="E29552" t="s">
        <v>7706</v>
      </c>
      <c r="F29552" t="s">
        <v>13525</v>
      </c>
      <c r="G29552" t="s">
        <v>17640</v>
      </c>
      <c r="H29552" t="s">
        <v>30275</v>
      </c>
    </row>
    <row r="29553" spans="1:8">
      <c r="A29553" t="s">
        <v>1962</v>
      </c>
      <c r="B29553">
        <f>HYPERLINK("https://android.googlesource.com/platform/cts/+/2171101ef129d9b6e0c941204038b17ffe560e7c", "2171101ef129d9b6e0c941204038b17ffe560e7c")</f>
        <v>0</v>
      </c>
      <c r="C29553">
        <f>HYPERLINK("https://android.googlesource.com/platform/cts/+/d413d2095eb2e30ab08bb9dc4a9cba3a845401c3", "d413d2095eb2e30ab08bb9dc4a9cba3a845401c3")</f>
        <v>0</v>
      </c>
      <c r="D29553" t="s">
        <v>5264</v>
      </c>
      <c r="E29553" t="s">
        <v>7707</v>
      </c>
      <c r="F29553" t="s">
        <v>13526</v>
      </c>
      <c r="G29553" t="s">
        <v>17641</v>
      </c>
      <c r="H29553" t="s">
        <v>30217</v>
      </c>
    </row>
    <row r="29554" spans="1:8">
      <c r="A29554" t="s">
        <v>1963</v>
      </c>
      <c r="B29554">
        <f>HYPERLINK("https://android.googlesource.com/platform/cts/+/97f475f92dff10849f09e1b1a341a94dba2da855", "97f475f92dff10849f09e1b1a341a94dba2da855")</f>
        <v>0</v>
      </c>
      <c r="C29554">
        <f>HYPERLINK("https://android.googlesource.com/platform/cts/+/7c1fa37b3aa710cd145ca048cf125dfbba62bad0", "7c1fa37b3aa710cd145ca048cf125dfbba62bad0")</f>
        <v>0</v>
      </c>
      <c r="D29554" t="s">
        <v>5306</v>
      </c>
      <c r="E29554" t="s">
        <v>7708</v>
      </c>
      <c r="F29554" t="s">
        <v>13527</v>
      </c>
      <c r="G29554" t="s">
        <v>17642</v>
      </c>
      <c r="H29554" t="s">
        <v>30276</v>
      </c>
    </row>
    <row r="29555" spans="1:8">
      <c r="A29555" t="s">
        <v>1964</v>
      </c>
      <c r="B29555">
        <f>HYPERLINK("https://android.googlesource.com/platform/cts/+/41c9292ded58ea61d14ea263e70d44e5b6d524f2", "41c9292ded58ea61d14ea263e70d44e5b6d524f2")</f>
        <v>0</v>
      </c>
      <c r="C29555">
        <f>HYPERLINK("https://android.googlesource.com/platform/cts/+/d88102d92d872d562d56c3c64b91d952a76d8b45", "d88102d92d872d562d56c3c64b91d952a76d8b45")</f>
        <v>0</v>
      </c>
      <c r="D29555" t="s">
        <v>5306</v>
      </c>
      <c r="E29555" t="s">
        <v>7709</v>
      </c>
      <c r="F29555" t="s">
        <v>13527</v>
      </c>
      <c r="G29555" t="s">
        <v>17642</v>
      </c>
      <c r="H29555" t="s">
        <v>30276</v>
      </c>
    </row>
    <row r="29556" spans="1:8">
      <c r="A29556" t="s">
        <v>1965</v>
      </c>
      <c r="B29556">
        <f>HYPERLINK("https://android.googlesource.com/platform/cts/+/64d80bab46b807a3e7c13dda506bd11834e44f05", "64d80bab46b807a3e7c13dda506bd11834e44f05")</f>
        <v>0</v>
      </c>
      <c r="C29556">
        <f>HYPERLINK("https://android.googlesource.com/platform/cts/+/d8af11583639d8aa2a7b6b47163bebb59a472c05", "d8af11583639d8aa2a7b6b47163bebb59a472c05")</f>
        <v>0</v>
      </c>
      <c r="D29556" t="s">
        <v>5224</v>
      </c>
      <c r="E29556" t="s">
        <v>7710</v>
      </c>
      <c r="F29556" t="s">
        <v>13528</v>
      </c>
      <c r="G29556" t="s">
        <v>17643</v>
      </c>
      <c r="H29556" t="s">
        <v>19019</v>
      </c>
    </row>
    <row r="29557" spans="1:8">
      <c r="H29557" t="s">
        <v>22505</v>
      </c>
    </row>
    <row r="29558" spans="1:8">
      <c r="H29558" t="s">
        <v>19019</v>
      </c>
    </row>
    <row r="29559" spans="1:8">
      <c r="H29559" t="s">
        <v>22505</v>
      </c>
    </row>
    <row r="29560" spans="1:8">
      <c r="A29560" t="s">
        <v>1966</v>
      </c>
      <c r="B29560">
        <f>HYPERLINK("https://android.googlesource.com/platform/cts/+/e1e11c8035103212af4993ef03a133fa90f1e6d0", "e1e11c8035103212af4993ef03a133fa90f1e6d0")</f>
        <v>0</v>
      </c>
      <c r="C29560">
        <f>HYPERLINK("https://android.googlesource.com/platform/cts/+/f012eb8c95749e4fca84ced8865d1b874996fe73", "f012eb8c95749e4fca84ced8865d1b874996fe73")</f>
        <v>0</v>
      </c>
      <c r="D29560" t="s">
        <v>5146</v>
      </c>
      <c r="E29560" t="s">
        <v>7711</v>
      </c>
      <c r="F29560" t="s">
        <v>12841</v>
      </c>
      <c r="G29560" t="s">
        <v>15119</v>
      </c>
      <c r="H29560" t="s">
        <v>29907</v>
      </c>
    </row>
    <row r="29561" spans="1:8">
      <c r="A29561" t="s">
        <v>1967</v>
      </c>
      <c r="B29561">
        <f>HYPERLINK("https://android.googlesource.com/platform/cts/+/e124269509f91ecae170db8eba71cc29f638c94f", "e124269509f91ecae170db8eba71cc29f638c94f")</f>
        <v>0</v>
      </c>
      <c r="C29561">
        <f>HYPERLINK("https://android.googlesource.com/platform/cts/+/8b2b45404e3d7220911703db6c238eeb73d53dde", "8b2b45404e3d7220911703db6c238eeb73d53dde")</f>
        <v>0</v>
      </c>
      <c r="D29561" t="s">
        <v>5224</v>
      </c>
      <c r="E29561" t="s">
        <v>7712</v>
      </c>
      <c r="F29561" t="s">
        <v>13529</v>
      </c>
      <c r="G29561" t="s">
        <v>17644</v>
      </c>
      <c r="H29561" t="s">
        <v>30277</v>
      </c>
    </row>
    <row r="29562" spans="1:8">
      <c r="A29562" t="s">
        <v>1968</v>
      </c>
      <c r="B29562">
        <f>HYPERLINK("https://android.googlesource.com/platform/cts/+/d348307e7e3d5eea3477209c2d3db9dffae13e2b", "d348307e7e3d5eea3477209c2d3db9dffae13e2b")</f>
        <v>0</v>
      </c>
      <c r="C29562">
        <f>HYPERLINK("https://android.googlesource.com/platform/cts/+/7e0c2c58f672de6c9dcf759557d56e30a0e44441", "7e0c2c58f672de6c9dcf759557d56e30a0e44441")</f>
        <v>0</v>
      </c>
      <c r="D29562" t="s">
        <v>5288</v>
      </c>
      <c r="E29562" t="s">
        <v>7713</v>
      </c>
      <c r="F29562" t="s">
        <v>13451</v>
      </c>
      <c r="G29562" t="s">
        <v>17573</v>
      </c>
      <c r="H29562" t="s">
        <v>30278</v>
      </c>
    </row>
    <row r="29563" spans="1:8">
      <c r="H29563" t="s">
        <v>30279</v>
      </c>
    </row>
    <row r="29564" spans="1:8">
      <c r="H29564" t="s">
        <v>30280</v>
      </c>
    </row>
    <row r="29565" spans="1:8">
      <c r="F29565" t="s">
        <v>13530</v>
      </c>
      <c r="G29565" t="s">
        <v>17645</v>
      </c>
      <c r="H29565" t="s">
        <v>29864</v>
      </c>
    </row>
    <row r="29566" spans="1:8">
      <c r="F29566" t="s">
        <v>13444</v>
      </c>
      <c r="G29566" t="s">
        <v>17566</v>
      </c>
      <c r="H29566" t="s">
        <v>29864</v>
      </c>
    </row>
    <row r="29567" spans="1:8">
      <c r="F29567" t="s">
        <v>13531</v>
      </c>
      <c r="G29567" t="s">
        <v>17574</v>
      </c>
      <c r="H29567" t="s">
        <v>29864</v>
      </c>
    </row>
    <row r="29568" spans="1:8">
      <c r="H29568" t="s">
        <v>30278</v>
      </c>
    </row>
    <row r="29569" spans="1:8">
      <c r="H29569" t="s">
        <v>30280</v>
      </c>
    </row>
    <row r="29570" spans="1:8">
      <c r="A29570" t="s">
        <v>1969</v>
      </c>
      <c r="B29570">
        <f>HYPERLINK("https://android.googlesource.com/platform/cts/+/b431c251965eadd6206812df66a1b63ab8e952d0", "b431c251965eadd6206812df66a1b63ab8e952d0")</f>
        <v>0</v>
      </c>
      <c r="C29570">
        <f>HYPERLINK("https://android.googlesource.com/platform/cts/+/2b60832a126adcb73d1d57e9e2460aa51baf9631", "2b60832a126adcb73d1d57e9e2460aa51baf9631")</f>
        <v>0</v>
      </c>
      <c r="D29570" t="s">
        <v>5264</v>
      </c>
      <c r="E29570" t="s">
        <v>7714</v>
      </c>
      <c r="F29570" t="s">
        <v>13505</v>
      </c>
      <c r="G29570" t="s">
        <v>17622</v>
      </c>
      <c r="H29570" t="s">
        <v>30161</v>
      </c>
    </row>
    <row r="29571" spans="1:8">
      <c r="F29571" t="s">
        <v>13506</v>
      </c>
      <c r="G29571" t="s">
        <v>17623</v>
      </c>
      <c r="H29571" t="s">
        <v>30177</v>
      </c>
    </row>
    <row r="29572" spans="1:8">
      <c r="F29572" t="s">
        <v>13508</v>
      </c>
      <c r="G29572" t="s">
        <v>17625</v>
      </c>
      <c r="H29572" t="s">
        <v>30217</v>
      </c>
    </row>
    <row r="29573" spans="1:8">
      <c r="F29573" t="s">
        <v>13532</v>
      </c>
      <c r="G29573" t="s">
        <v>16863</v>
      </c>
      <c r="H29573" t="s">
        <v>30281</v>
      </c>
    </row>
    <row r="29574" spans="1:8">
      <c r="A29574" t="s">
        <v>1970</v>
      </c>
      <c r="B29574">
        <f>HYPERLINK("https://android.googlesource.com/platform/cts/+/45bc61034edee35d4ea5ab1753e15411d4c9d15c", "45bc61034edee35d4ea5ab1753e15411d4c9d15c")</f>
        <v>0</v>
      </c>
      <c r="C29574">
        <f>HYPERLINK("https://android.googlesource.com/platform/cts/+/84a7cac32897cc96d98ea9f5e2c43d10ac2b2108", "84a7cac32897cc96d98ea9f5e2c43d10ac2b2108")</f>
        <v>0</v>
      </c>
      <c r="D29574" t="s">
        <v>5271</v>
      </c>
      <c r="E29574" t="s">
        <v>7715</v>
      </c>
      <c r="F29574" t="s">
        <v>13533</v>
      </c>
      <c r="G29574" t="s">
        <v>16849</v>
      </c>
      <c r="H29574" t="s">
        <v>25642</v>
      </c>
    </row>
    <row r="29575" spans="1:8">
      <c r="H29575" t="s">
        <v>25643</v>
      </c>
    </row>
    <row r="29576" spans="1:8">
      <c r="H29576" t="s">
        <v>25644</v>
      </c>
    </row>
    <row r="29577" spans="1:8">
      <c r="A29577" t="s">
        <v>1971</v>
      </c>
      <c r="B29577">
        <f>HYPERLINK("https://android.googlesource.com/platform/cts/+/afa297c94ee79fedcf47318585df1ccdbdf8964b", "afa297c94ee79fedcf47318585df1ccdbdf8964b")</f>
        <v>0</v>
      </c>
      <c r="C29577">
        <f>HYPERLINK("https://android.googlesource.com/platform/cts/+/bd4b143bf34270cd4504ad29c46cb75f336b0a30", "bd4b143bf34270cd4504ad29c46cb75f336b0a30")</f>
        <v>0</v>
      </c>
      <c r="D29577" t="s">
        <v>5180</v>
      </c>
      <c r="E29577" t="s">
        <v>7716</v>
      </c>
      <c r="F29577" t="s">
        <v>13526</v>
      </c>
      <c r="G29577" t="s">
        <v>17641</v>
      </c>
      <c r="H29577" t="s">
        <v>30282</v>
      </c>
    </row>
    <row r="29578" spans="1:8">
      <c r="H29578" t="s">
        <v>30283</v>
      </c>
    </row>
    <row r="29579" spans="1:8">
      <c r="H29579" t="s">
        <v>22005</v>
      </c>
    </row>
    <row r="29580" spans="1:8">
      <c r="A29580" t="s">
        <v>1972</v>
      </c>
      <c r="B29580">
        <f>HYPERLINK("https://android.googlesource.com/platform/cts/+/bdf29769f0c7750eda72926adfc33cbae3ae3273", "bdf29769f0c7750eda72926adfc33cbae3ae3273")</f>
        <v>0</v>
      </c>
      <c r="C29580">
        <f>HYPERLINK("https://android.googlesource.com/platform/cts/+/04d14540a4766c1b96eb26c98d7a0d99bad24e47", "04d14540a4766c1b96eb26c98d7a0d99bad24e47")</f>
        <v>0</v>
      </c>
      <c r="D29580" t="s">
        <v>5141</v>
      </c>
      <c r="E29580" t="s">
        <v>7717</v>
      </c>
      <c r="F29580" t="s">
        <v>13491</v>
      </c>
      <c r="G29580" t="s">
        <v>17610</v>
      </c>
      <c r="H29580" t="s">
        <v>30284</v>
      </c>
    </row>
    <row r="29581" spans="1:8">
      <c r="H29581" t="s">
        <v>30285</v>
      </c>
    </row>
    <row r="29582" spans="1:8">
      <c r="H29582" t="s">
        <v>30286</v>
      </c>
    </row>
    <row r="29583" spans="1:8">
      <c r="A29583" t="s">
        <v>1973</v>
      </c>
      <c r="B29583">
        <f>HYPERLINK("https://android.googlesource.com/platform/cts/+/67f2265a7b5f2631ac2a13469af1625ba7565d8b", "67f2265a7b5f2631ac2a13469af1625ba7565d8b")</f>
        <v>0</v>
      </c>
      <c r="C29583">
        <f>HYPERLINK("https://android.googlesource.com/platform/cts/+/0ef85f828a31f1ad3c3dbcd73a46fbd5f052e42e", "0ef85f828a31f1ad3c3dbcd73a46fbd5f052e42e")</f>
        <v>0</v>
      </c>
      <c r="D29583" t="s">
        <v>5275</v>
      </c>
      <c r="E29583" t="s">
        <v>7718</v>
      </c>
      <c r="F29583" t="s">
        <v>13491</v>
      </c>
      <c r="G29583" t="s">
        <v>17610</v>
      </c>
      <c r="H29583" t="s">
        <v>30284</v>
      </c>
    </row>
    <row r="29584" spans="1:8">
      <c r="H29584" t="s">
        <v>30285</v>
      </c>
    </row>
    <row r="29585" spans="1:8">
      <c r="H29585" t="s">
        <v>30286</v>
      </c>
    </row>
    <row r="29586" spans="1:8">
      <c r="A29586" t="s">
        <v>1974</v>
      </c>
      <c r="B29586">
        <f>HYPERLINK("https://android.googlesource.com/platform/cts/+/a53821e5047bbfdeadbcfffba9bad2f3d442f1eb", "a53821e5047bbfdeadbcfffba9bad2f3d442f1eb")</f>
        <v>0</v>
      </c>
      <c r="C29586">
        <f>HYPERLINK("https://android.googlesource.com/platform/cts/+/d7a8f7f6d7f46f5d51353613c40467dc97996d3d", "d7a8f7f6d7f46f5d51353613c40467dc97996d3d")</f>
        <v>0</v>
      </c>
      <c r="D29586" t="s">
        <v>5134</v>
      </c>
      <c r="E29586" t="s">
        <v>7719</v>
      </c>
      <c r="F29586" t="s">
        <v>13255</v>
      </c>
      <c r="G29586" t="s">
        <v>17393</v>
      </c>
      <c r="H29586" t="s">
        <v>30287</v>
      </c>
    </row>
    <row r="29587" spans="1:8">
      <c r="H29587" t="s">
        <v>30288</v>
      </c>
    </row>
    <row r="29588" spans="1:8">
      <c r="A29588" t="s">
        <v>1975</v>
      </c>
      <c r="B29588">
        <f>HYPERLINK("https://android.googlesource.com/platform/cts/+/7afaea3d76c71f9fa7443ca4bdb2e29c66e4b662", "7afaea3d76c71f9fa7443ca4bdb2e29c66e4b662")</f>
        <v>0</v>
      </c>
      <c r="C29588">
        <f>HYPERLINK("https://android.googlesource.com/platform/cts/+/17b585c9bfd5a41123f36730dac7d6386cc16fa5", "17b585c9bfd5a41123f36730dac7d6386cc16fa5")</f>
        <v>0</v>
      </c>
      <c r="D29588" t="s">
        <v>5195</v>
      </c>
      <c r="E29588" t="s">
        <v>7720</v>
      </c>
      <c r="F29588" t="s">
        <v>13534</v>
      </c>
      <c r="G29588" t="s">
        <v>17646</v>
      </c>
      <c r="H29588" t="s">
        <v>30289</v>
      </c>
    </row>
    <row r="29589" spans="1:8">
      <c r="H29589" t="s">
        <v>30290</v>
      </c>
    </row>
    <row r="29590" spans="1:8">
      <c r="H29590" t="s">
        <v>30291</v>
      </c>
    </row>
    <row r="29591" spans="1:8">
      <c r="H29591" t="s">
        <v>30292</v>
      </c>
    </row>
    <row r="29592" spans="1:8">
      <c r="H29592" t="s">
        <v>30293</v>
      </c>
    </row>
    <row r="29593" spans="1:8">
      <c r="H29593" t="s">
        <v>30294</v>
      </c>
    </row>
    <row r="29594" spans="1:8">
      <c r="H29594" t="s">
        <v>30295</v>
      </c>
    </row>
    <row r="29595" spans="1:8">
      <c r="H29595" t="s">
        <v>30296</v>
      </c>
    </row>
    <row r="29596" spans="1:8">
      <c r="H29596" t="s">
        <v>30297</v>
      </c>
    </row>
    <row r="29597" spans="1:8">
      <c r="A29597" t="s">
        <v>1976</v>
      </c>
      <c r="B29597">
        <f>HYPERLINK("https://android.googlesource.com/platform/cts/+/976bf07506d3db8c490a08a83c8e021acef89be3", "976bf07506d3db8c490a08a83c8e021acef89be3")</f>
        <v>0</v>
      </c>
      <c r="C29597">
        <f>HYPERLINK("https://android.googlesource.com/platform/cts/+/abcf062c0b4942e5a386138625fe8ea097e93d59", "abcf062c0b4942e5a386138625fe8ea097e93d59")</f>
        <v>0</v>
      </c>
      <c r="D29597" t="s">
        <v>5314</v>
      </c>
      <c r="E29597" t="s">
        <v>7721</v>
      </c>
      <c r="F29597" t="s">
        <v>13535</v>
      </c>
      <c r="G29597" t="s">
        <v>17647</v>
      </c>
      <c r="H29597" t="s">
        <v>30298</v>
      </c>
    </row>
    <row r="29598" spans="1:8">
      <c r="H29598" t="s">
        <v>30299</v>
      </c>
    </row>
    <row r="29599" spans="1:8">
      <c r="A29599" t="s">
        <v>1977</v>
      </c>
      <c r="B29599">
        <f>HYPERLINK("https://android.googlesource.com/platform/cts/+/2af7c18f008b51c93b19491c8335f694c1bad182", "2af7c18f008b51c93b19491c8335f694c1bad182")</f>
        <v>0</v>
      </c>
      <c r="C29599">
        <f>HYPERLINK("https://android.googlesource.com/platform/cts/+/ba8f6cbed74b937c8335590ef0e5a927efb186e0", "ba8f6cbed74b937c8335590ef0e5a927efb186e0")</f>
        <v>0</v>
      </c>
      <c r="D29599" t="s">
        <v>5271</v>
      </c>
      <c r="E29599" t="s">
        <v>7722</v>
      </c>
      <c r="F29599" t="s">
        <v>13533</v>
      </c>
      <c r="G29599" t="s">
        <v>16849</v>
      </c>
      <c r="H29599" t="s">
        <v>25642</v>
      </c>
    </row>
    <row r="29600" spans="1:8">
      <c r="H29600" t="s">
        <v>25643</v>
      </c>
    </row>
    <row r="29601" spans="1:8">
      <c r="H29601" t="s">
        <v>25644</v>
      </c>
    </row>
    <row r="29602" spans="1:8">
      <c r="A29602" t="s">
        <v>1978</v>
      </c>
      <c r="B29602">
        <f>HYPERLINK("https://android.googlesource.com/platform/cts/+/ec74bc3a3115e176d7a20148c8ed9a38888880fc", "ec74bc3a3115e176d7a20148c8ed9a38888880fc")</f>
        <v>0</v>
      </c>
      <c r="C29602">
        <f>HYPERLINK("https://android.googlesource.com/platform/cts/+/603e362ad22f97d41e3c71831707e8139e061f62", "603e362ad22f97d41e3c71831707e8139e061f62")</f>
        <v>0</v>
      </c>
      <c r="D29602" t="s">
        <v>5068</v>
      </c>
      <c r="E29602" t="s">
        <v>7723</v>
      </c>
      <c r="F29602" t="s">
        <v>13521</v>
      </c>
      <c r="G29602" t="s">
        <v>17636</v>
      </c>
      <c r="H29602" t="s">
        <v>30300</v>
      </c>
    </row>
    <row r="29603" spans="1:8">
      <c r="A29603" t="s">
        <v>1979</v>
      </c>
      <c r="B29603">
        <f>HYPERLINK("https://android.googlesource.com/platform/cts/+/e789d9c4fbac29f7593e609525c3e80d6353b4c5", "e789d9c4fbac29f7593e609525c3e80d6353b4c5")</f>
        <v>0</v>
      </c>
      <c r="C29603">
        <f>HYPERLINK("https://android.googlesource.com/platform/cts/+/1106a1fd641972a38b97417ef598f4b3a5bf8df0", "1106a1fd641972a38b97417ef598f4b3a5bf8df0")</f>
        <v>0</v>
      </c>
      <c r="D29603" t="s">
        <v>5127</v>
      </c>
      <c r="E29603" t="s">
        <v>7724</v>
      </c>
      <c r="F29603" t="s">
        <v>13536</v>
      </c>
      <c r="G29603" t="s">
        <v>17648</v>
      </c>
      <c r="H29603" t="s">
        <v>30301</v>
      </c>
    </row>
    <row r="29604" spans="1:8">
      <c r="H29604" t="s">
        <v>30302</v>
      </c>
    </row>
    <row r="29605" spans="1:8">
      <c r="A29605" t="s">
        <v>1980</v>
      </c>
      <c r="B29605">
        <f>HYPERLINK("https://android.googlesource.com/platform/cts/+/c9ec3b31d4cd6b064f59400fbe1f01695efee77e", "c9ec3b31d4cd6b064f59400fbe1f01695efee77e")</f>
        <v>0</v>
      </c>
      <c r="C29605">
        <f>HYPERLINK("https://android.googlesource.com/platform/cts/+/1106a1fd641972a38b97417ef598f4b3a5bf8df0", "1106a1fd641972a38b97417ef598f4b3a5bf8df0")</f>
        <v>0</v>
      </c>
      <c r="D29605" t="s">
        <v>5131</v>
      </c>
      <c r="E29605" t="s">
        <v>7725</v>
      </c>
      <c r="F29605" t="s">
        <v>13537</v>
      </c>
      <c r="G29605" t="s">
        <v>17649</v>
      </c>
      <c r="H29605" t="s">
        <v>30303</v>
      </c>
    </row>
    <row r="29606" spans="1:8">
      <c r="H29606" t="s">
        <v>30304</v>
      </c>
    </row>
    <row r="29607" spans="1:8">
      <c r="H29607" t="s">
        <v>30305</v>
      </c>
    </row>
    <row r="29608" spans="1:8">
      <c r="H29608" t="s">
        <v>30306</v>
      </c>
    </row>
    <row r="29609" spans="1:8">
      <c r="H29609" t="s">
        <v>30307</v>
      </c>
    </row>
    <row r="29610" spans="1:8">
      <c r="H29610" t="s">
        <v>30308</v>
      </c>
    </row>
    <row r="29611" spans="1:8">
      <c r="H29611" t="s">
        <v>29953</v>
      </c>
    </row>
    <row r="29612" spans="1:8">
      <c r="H29612" t="s">
        <v>30309</v>
      </c>
    </row>
    <row r="29613" spans="1:8">
      <c r="A29613" t="s">
        <v>1981</v>
      </c>
      <c r="B29613">
        <f>HYPERLINK("https://android.googlesource.com/platform/cts/+/3b9071a2280d021e41c800ac3b77ed44cdc98d5e", "3b9071a2280d021e41c800ac3b77ed44cdc98d5e")</f>
        <v>0</v>
      </c>
      <c r="C29613">
        <f>HYPERLINK("https://android.googlesource.com/platform/cts/+/d7a8f7f6d7f46f5d51353613c40467dc97996d3d", "d7a8f7f6d7f46f5d51353613c40467dc97996d3d")</f>
        <v>0</v>
      </c>
      <c r="D29613" t="s">
        <v>5315</v>
      </c>
      <c r="E29613" t="s">
        <v>7726</v>
      </c>
      <c r="F29613" t="s">
        <v>13227</v>
      </c>
      <c r="G29613" t="s">
        <v>17368</v>
      </c>
      <c r="H29613" t="s">
        <v>30310</v>
      </c>
    </row>
    <row r="29614" spans="1:8">
      <c r="H29614" t="s">
        <v>30311</v>
      </c>
    </row>
    <row r="29615" spans="1:8">
      <c r="H29615" t="s">
        <v>30312</v>
      </c>
    </row>
    <row r="29616" spans="1:8">
      <c r="A29616" t="s">
        <v>1982</v>
      </c>
      <c r="B29616">
        <f>HYPERLINK("https://android.googlesource.com/platform/cts/+/a5d51afb0a17fc016643e32d1d6576c859c63fa4", "a5d51afb0a17fc016643e32d1d6576c859c63fa4")</f>
        <v>0</v>
      </c>
      <c r="C29616">
        <f>HYPERLINK("https://android.googlesource.com/platform/cts/+/4d72daf5244e50984d30fd02cbe756eee437ac09", "4d72daf5244e50984d30fd02cbe756eee437ac09")</f>
        <v>0</v>
      </c>
      <c r="D29616" t="s">
        <v>5315</v>
      </c>
      <c r="E29616" t="s">
        <v>7727</v>
      </c>
      <c r="F29616" t="s">
        <v>13227</v>
      </c>
      <c r="G29616" t="s">
        <v>17368</v>
      </c>
      <c r="H29616" t="s">
        <v>30310</v>
      </c>
    </row>
    <row r="29617" spans="1:8">
      <c r="H29617" t="s">
        <v>30311</v>
      </c>
    </row>
    <row r="29618" spans="1:8">
      <c r="H29618" t="s">
        <v>30312</v>
      </c>
    </row>
    <row r="29619" spans="1:8">
      <c r="A29619" t="s">
        <v>1983</v>
      </c>
      <c r="B29619">
        <f>HYPERLINK("https://android.googlesource.com/platform/cts/+/ad83784f70886874ee11cddc672fb29f061bfd56", "ad83784f70886874ee11cddc672fb29f061bfd56")</f>
        <v>0</v>
      </c>
      <c r="C29619">
        <f>HYPERLINK("https://android.googlesource.com/platform/cts/+/17a54627dc94f195a1d5a29b4e885eed1cf3da38", "17a54627dc94f195a1d5a29b4e885eed1cf3da38")</f>
        <v>0</v>
      </c>
      <c r="D29619" t="s">
        <v>5315</v>
      </c>
      <c r="E29619" t="s">
        <v>7728</v>
      </c>
      <c r="F29619" t="s">
        <v>13227</v>
      </c>
      <c r="G29619" t="s">
        <v>17368</v>
      </c>
      <c r="H29619" t="s">
        <v>30310</v>
      </c>
    </row>
    <row r="29620" spans="1:8">
      <c r="H29620" t="s">
        <v>30311</v>
      </c>
    </row>
    <row r="29621" spans="1:8">
      <c r="H29621" t="s">
        <v>30312</v>
      </c>
    </row>
    <row r="29622" spans="1:8">
      <c r="A29622" t="s">
        <v>1984</v>
      </c>
      <c r="B29622">
        <f>HYPERLINK("https://android.googlesource.com/platform/cts/+/90363eeabae5a3b97dc2f6c04f88ba404e877833", "90363eeabae5a3b97dc2f6c04f88ba404e877833")</f>
        <v>0</v>
      </c>
      <c r="C29622">
        <f>HYPERLINK("https://android.googlesource.com/platform/cts/+/ca2f49e4fd9037b22e91615be58be96f3774a149", "ca2f49e4fd9037b22e91615be58be96f3774a149")</f>
        <v>0</v>
      </c>
      <c r="D29622" t="s">
        <v>5316</v>
      </c>
      <c r="E29622" t="s">
        <v>7729</v>
      </c>
      <c r="F29622" t="s">
        <v>13320</v>
      </c>
      <c r="G29622" t="s">
        <v>17451</v>
      </c>
      <c r="H29622" t="s">
        <v>18829</v>
      </c>
    </row>
    <row r="29623" spans="1:8">
      <c r="H29623" t="s">
        <v>18863</v>
      </c>
    </row>
    <row r="29624" spans="1:8">
      <c r="H29624" t="s">
        <v>29170</v>
      </c>
    </row>
    <row r="29625" spans="1:8">
      <c r="A29625" t="s">
        <v>1985</v>
      </c>
      <c r="B29625">
        <f>HYPERLINK("https://android.googlesource.com/platform/cts/+/0c7b1fecac46ca9b2e23cb8e39bf9fee188a6102", "0c7b1fecac46ca9b2e23cb8e39bf9fee188a6102")</f>
        <v>0</v>
      </c>
      <c r="C29625">
        <f>HYPERLINK("https://android.googlesource.com/platform/cts/+/4ab8af00c985d97f1fd4ecfb2abcfc44d2c54ac0", "4ab8af00c985d97f1fd4ecfb2abcfc44d2c54ac0")</f>
        <v>0</v>
      </c>
      <c r="D29625" t="s">
        <v>5073</v>
      </c>
      <c r="E29625" t="s">
        <v>7730</v>
      </c>
      <c r="F29625" t="s">
        <v>13538</v>
      </c>
      <c r="G29625" t="s">
        <v>17650</v>
      </c>
      <c r="H29625" t="s">
        <v>30313</v>
      </c>
    </row>
    <row r="29626" spans="1:8">
      <c r="H29626" t="s">
        <v>30314</v>
      </c>
    </row>
    <row r="29627" spans="1:8">
      <c r="H29627" t="s">
        <v>30315</v>
      </c>
    </row>
    <row r="29628" spans="1:8">
      <c r="H29628" t="s">
        <v>30316</v>
      </c>
    </row>
    <row r="29629" spans="1:8">
      <c r="H29629" t="s">
        <v>30317</v>
      </c>
    </row>
    <row r="29630" spans="1:8">
      <c r="H29630" t="s">
        <v>30318</v>
      </c>
    </row>
    <row r="29631" spans="1:8">
      <c r="H29631" t="s">
        <v>30319</v>
      </c>
    </row>
    <row r="29632" spans="1:8">
      <c r="H29632" t="s">
        <v>30320</v>
      </c>
    </row>
    <row r="29633" spans="1:8">
      <c r="H29633" t="s">
        <v>30321</v>
      </c>
    </row>
    <row r="29634" spans="1:8">
      <c r="H29634" t="s">
        <v>30322</v>
      </c>
    </row>
    <row r="29635" spans="1:8">
      <c r="A29635" t="s">
        <v>1986</v>
      </c>
      <c r="B29635">
        <f>HYPERLINK("https://android.googlesource.com/platform/cts/+/9e0b35e8b30cecfc6c911663e3cab0963ae16e8c", "9e0b35e8b30cecfc6c911663e3cab0963ae16e8c")</f>
        <v>0</v>
      </c>
      <c r="C29635">
        <f>HYPERLINK("https://android.googlesource.com/platform/cts/+/c7da12619c079c45a2d6ef95d8ac16bfdb7405d4", "c7da12619c079c45a2d6ef95d8ac16bfdb7405d4")</f>
        <v>0</v>
      </c>
      <c r="D29635" t="s">
        <v>5315</v>
      </c>
      <c r="E29635" t="s">
        <v>7727</v>
      </c>
      <c r="F29635" t="s">
        <v>13227</v>
      </c>
      <c r="G29635" t="s">
        <v>17368</v>
      </c>
      <c r="H29635" t="s">
        <v>30310</v>
      </c>
    </row>
    <row r="29636" spans="1:8">
      <c r="H29636" t="s">
        <v>30311</v>
      </c>
    </row>
    <row r="29637" spans="1:8">
      <c r="H29637" t="s">
        <v>30312</v>
      </c>
    </row>
    <row r="29638" spans="1:8">
      <c r="A29638" t="s">
        <v>1987</v>
      </c>
      <c r="B29638">
        <f>HYPERLINK("https://android.googlesource.com/platform/cts/+/a54f36953bca823296434f6563fcfac142bf4e4e", "a54f36953bca823296434f6563fcfac142bf4e4e")</f>
        <v>0</v>
      </c>
      <c r="C29638">
        <f>HYPERLINK("https://android.googlesource.com/platform/cts/+/498fae8550d8f0b1d2d75299b33c57285dc0c3f6", "498fae8550d8f0b1d2d75299b33c57285dc0c3f6")</f>
        <v>0</v>
      </c>
      <c r="D29638" t="s">
        <v>5046</v>
      </c>
      <c r="E29638" t="s">
        <v>7731</v>
      </c>
      <c r="F29638" t="s">
        <v>13539</v>
      </c>
      <c r="G29638" t="s">
        <v>17155</v>
      </c>
      <c r="H29638" t="s">
        <v>28579</v>
      </c>
    </row>
    <row r="29639" spans="1:8">
      <c r="A29639" t="s">
        <v>1988</v>
      </c>
      <c r="B29639">
        <f>HYPERLINK("https://android.googlesource.com/platform/cts/+/3a3d431d91985ecef0e4edec61e93803c6a401de", "3a3d431d91985ecef0e4edec61e93803c6a401de")</f>
        <v>0</v>
      </c>
      <c r="C29639">
        <f>HYPERLINK("https://android.googlesource.com/platform/cts/+/a54f36953bca823296434f6563fcfac142bf4e4e", "a54f36953bca823296434f6563fcfac142bf4e4e")</f>
        <v>0</v>
      </c>
      <c r="D29639" t="s">
        <v>5046</v>
      </c>
      <c r="E29639" t="s">
        <v>7732</v>
      </c>
      <c r="F29639" t="s">
        <v>13539</v>
      </c>
      <c r="G29639" t="s">
        <v>17155</v>
      </c>
      <c r="H29639" t="s">
        <v>19981</v>
      </c>
    </row>
    <row r="29640" spans="1:8">
      <c r="H29640" t="s">
        <v>28581</v>
      </c>
    </row>
    <row r="29641" spans="1:8">
      <c r="A29641" t="s">
        <v>1989</v>
      </c>
      <c r="B29641">
        <f>HYPERLINK("https://android.googlesource.com/platform/cts/+/e784af5d1c8c4b946688c1034238fea329e30668", "e784af5d1c8c4b946688c1034238fea329e30668")</f>
        <v>0</v>
      </c>
      <c r="C29641">
        <f>HYPERLINK("https://android.googlesource.com/platform/cts/+/6c7cad8a2dd07c01a843bbeeaa8284f862b73566", "6c7cad8a2dd07c01a843bbeeaa8284f862b73566")</f>
        <v>0</v>
      </c>
      <c r="D29641" t="s">
        <v>5317</v>
      </c>
      <c r="E29641" t="s">
        <v>7733</v>
      </c>
      <c r="F29641" t="s">
        <v>13540</v>
      </c>
      <c r="G29641" t="s">
        <v>17651</v>
      </c>
      <c r="H29641" t="s">
        <v>30323</v>
      </c>
    </row>
    <row r="29642" spans="1:8">
      <c r="H29642" t="s">
        <v>30324</v>
      </c>
    </row>
    <row r="29643" spans="1:8">
      <c r="A29643" t="s">
        <v>1990</v>
      </c>
      <c r="B29643">
        <f>HYPERLINK("https://android.googlesource.com/platform/cts/+/69517633288bac80d31f53720b2837b261926485", "69517633288bac80d31f53720b2837b261926485")</f>
        <v>0</v>
      </c>
      <c r="C29643">
        <f>HYPERLINK("https://android.googlesource.com/platform/cts/+/9838f4ca9d363d3ab02d63b3d894ca78d678db31", "9838f4ca9d363d3ab02d63b3d894ca78d678db31")</f>
        <v>0</v>
      </c>
      <c r="D29643" t="s">
        <v>5271</v>
      </c>
      <c r="E29643" t="s">
        <v>7734</v>
      </c>
      <c r="F29643" t="s">
        <v>13309</v>
      </c>
      <c r="G29643" t="s">
        <v>17442</v>
      </c>
      <c r="H29643" t="s">
        <v>30325</v>
      </c>
    </row>
    <row r="29644" spans="1:8">
      <c r="A29644" t="s">
        <v>1991</v>
      </c>
      <c r="B29644">
        <f>HYPERLINK("https://android.googlesource.com/platform/cts/+/f301b158e12255c11f479293d05d5549f0136139", "f301b158e12255c11f479293d05d5549f0136139")</f>
        <v>0</v>
      </c>
      <c r="C29644">
        <f>HYPERLINK("https://android.googlesource.com/platform/cts/+/5ab2bfb149820907323025f59b8b87533c0a72ff", "5ab2bfb149820907323025f59b8b87533c0a72ff")</f>
        <v>0</v>
      </c>
      <c r="D29644" t="s">
        <v>5264</v>
      </c>
      <c r="E29644" t="s">
        <v>7735</v>
      </c>
      <c r="F29644" t="s">
        <v>13505</v>
      </c>
      <c r="G29644" t="s">
        <v>17622</v>
      </c>
      <c r="H29644" t="s">
        <v>30326</v>
      </c>
    </row>
    <row r="29645" spans="1:8">
      <c r="A29645" t="s">
        <v>1992</v>
      </c>
      <c r="B29645">
        <f>HYPERLINK("https://android.googlesource.com/platform/cts/+/b4fa0373b298d92eea4dfb209ab4dda6b1ef1c07", "b4fa0373b298d92eea4dfb209ab4dda6b1ef1c07")</f>
        <v>0</v>
      </c>
      <c r="C29645">
        <f>HYPERLINK("https://android.googlesource.com/platform/cts/+/4f8f314f1f0286b942f061896dd43cdca05d61b1", "4f8f314f1f0286b942f061896dd43cdca05d61b1")</f>
        <v>0</v>
      </c>
      <c r="D29645" t="s">
        <v>5287</v>
      </c>
      <c r="E29645" t="s">
        <v>7736</v>
      </c>
      <c r="F29645" t="s">
        <v>10663</v>
      </c>
      <c r="G29645" t="s">
        <v>15064</v>
      </c>
      <c r="H29645" t="s">
        <v>18829</v>
      </c>
    </row>
    <row r="29646" spans="1:8">
      <c r="H29646" t="s">
        <v>18863</v>
      </c>
    </row>
    <row r="29647" spans="1:8">
      <c r="H29647" t="s">
        <v>30327</v>
      </c>
    </row>
    <row r="29648" spans="1:8">
      <c r="H29648" t="s">
        <v>30328</v>
      </c>
    </row>
    <row r="29649" spans="8:8">
      <c r="H29649" t="s">
        <v>30329</v>
      </c>
    </row>
    <row r="29650" spans="8:8">
      <c r="H29650" t="s">
        <v>30330</v>
      </c>
    </row>
    <row r="29651" spans="8:8">
      <c r="H29651" t="s">
        <v>30331</v>
      </c>
    </row>
    <row r="29652" spans="8:8">
      <c r="H29652" t="s">
        <v>30332</v>
      </c>
    </row>
    <row r="29653" spans="8:8">
      <c r="H29653" t="s">
        <v>30333</v>
      </c>
    </row>
    <row r="29654" spans="8:8">
      <c r="H29654" t="s">
        <v>30334</v>
      </c>
    </row>
    <row r="29655" spans="8:8">
      <c r="H29655" t="s">
        <v>30335</v>
      </c>
    </row>
    <row r="29656" spans="8:8">
      <c r="H29656" t="s">
        <v>30336</v>
      </c>
    </row>
    <row r="29657" spans="8:8">
      <c r="H29657" t="s">
        <v>26292</v>
      </c>
    </row>
    <row r="29658" spans="8:8">
      <c r="H29658" t="s">
        <v>30337</v>
      </c>
    </row>
    <row r="29659" spans="8:8">
      <c r="H29659" t="s">
        <v>30338</v>
      </c>
    </row>
    <row r="29660" spans="8:8">
      <c r="H29660" t="s">
        <v>30339</v>
      </c>
    </row>
    <row r="29661" spans="8:8">
      <c r="H29661" t="s">
        <v>30340</v>
      </c>
    </row>
    <row r="29662" spans="8:8">
      <c r="H29662" t="s">
        <v>30341</v>
      </c>
    </row>
    <row r="29663" spans="8:8">
      <c r="H29663" t="s">
        <v>30342</v>
      </c>
    </row>
    <row r="29664" spans="8:8">
      <c r="H29664" t="s">
        <v>30343</v>
      </c>
    </row>
    <row r="29665" spans="8:8">
      <c r="H29665" t="s">
        <v>30344</v>
      </c>
    </row>
    <row r="29666" spans="8:8">
      <c r="H29666" t="s">
        <v>30180</v>
      </c>
    </row>
    <row r="29667" spans="8:8">
      <c r="H29667" t="s">
        <v>30345</v>
      </c>
    </row>
    <row r="29668" spans="8:8">
      <c r="H29668" t="s">
        <v>30346</v>
      </c>
    </row>
    <row r="29669" spans="8:8">
      <c r="H29669" t="s">
        <v>30347</v>
      </c>
    </row>
    <row r="29670" spans="8:8">
      <c r="H29670" t="s">
        <v>30348</v>
      </c>
    </row>
    <row r="29671" spans="8:8">
      <c r="H29671" t="s">
        <v>30349</v>
      </c>
    </row>
    <row r="29672" spans="8:8">
      <c r="H29672" t="s">
        <v>30350</v>
      </c>
    </row>
    <row r="29673" spans="8:8">
      <c r="H29673" t="s">
        <v>30351</v>
      </c>
    </row>
    <row r="29674" spans="8:8">
      <c r="H29674" t="s">
        <v>30352</v>
      </c>
    </row>
    <row r="29675" spans="8:8">
      <c r="H29675" t="s">
        <v>30353</v>
      </c>
    </row>
    <row r="29676" spans="8:8">
      <c r="H29676" t="s">
        <v>30354</v>
      </c>
    </row>
    <row r="29677" spans="8:8">
      <c r="H29677" t="s">
        <v>30355</v>
      </c>
    </row>
    <row r="29678" spans="8:8">
      <c r="H29678" t="s">
        <v>30356</v>
      </c>
    </row>
    <row r="29679" spans="8:8">
      <c r="H29679" t="s">
        <v>30357</v>
      </c>
    </row>
    <row r="29680" spans="8:8">
      <c r="H29680" t="s">
        <v>30358</v>
      </c>
    </row>
    <row r="29681" spans="8:8">
      <c r="H29681" t="s">
        <v>30359</v>
      </c>
    </row>
    <row r="29682" spans="8:8">
      <c r="H29682" t="s">
        <v>30360</v>
      </c>
    </row>
    <row r="29683" spans="8:8">
      <c r="H29683" t="s">
        <v>30361</v>
      </c>
    </row>
    <row r="29684" spans="8:8">
      <c r="H29684" t="s">
        <v>30362</v>
      </c>
    </row>
    <row r="29685" spans="8:8">
      <c r="H29685" t="s">
        <v>30363</v>
      </c>
    </row>
    <row r="29686" spans="8:8">
      <c r="H29686" t="s">
        <v>30364</v>
      </c>
    </row>
    <row r="29687" spans="8:8">
      <c r="H29687" t="s">
        <v>30365</v>
      </c>
    </row>
    <row r="29688" spans="8:8">
      <c r="H29688" t="s">
        <v>30366</v>
      </c>
    </row>
    <row r="29689" spans="8:8">
      <c r="H29689" t="s">
        <v>30367</v>
      </c>
    </row>
    <row r="29690" spans="8:8">
      <c r="H29690" t="s">
        <v>30368</v>
      </c>
    </row>
    <row r="29691" spans="8:8">
      <c r="H29691" t="s">
        <v>30369</v>
      </c>
    </row>
    <row r="29692" spans="8:8">
      <c r="H29692" t="s">
        <v>30370</v>
      </c>
    </row>
    <row r="29693" spans="8:8">
      <c r="H29693" t="s">
        <v>30371</v>
      </c>
    </row>
    <row r="29694" spans="8:8">
      <c r="H29694" t="s">
        <v>30372</v>
      </c>
    </row>
    <row r="29695" spans="8:8">
      <c r="H29695" t="s">
        <v>30373</v>
      </c>
    </row>
    <row r="29696" spans="8:8">
      <c r="H29696" t="s">
        <v>30374</v>
      </c>
    </row>
    <row r="29697" spans="8:8">
      <c r="H29697" t="s">
        <v>30375</v>
      </c>
    </row>
    <row r="29698" spans="8:8">
      <c r="H29698" t="s">
        <v>30376</v>
      </c>
    </row>
    <row r="29699" spans="8:8">
      <c r="H29699" t="s">
        <v>30377</v>
      </c>
    </row>
    <row r="29700" spans="8:8">
      <c r="H29700" t="s">
        <v>30378</v>
      </c>
    </row>
    <row r="29701" spans="8:8">
      <c r="H29701" t="s">
        <v>30379</v>
      </c>
    </row>
    <row r="29702" spans="8:8">
      <c r="H29702" t="s">
        <v>30380</v>
      </c>
    </row>
    <row r="29703" spans="8:8">
      <c r="H29703" t="s">
        <v>30381</v>
      </c>
    </row>
    <row r="29704" spans="8:8">
      <c r="H29704" t="s">
        <v>30382</v>
      </c>
    </row>
    <row r="29705" spans="8:8">
      <c r="H29705" t="s">
        <v>30383</v>
      </c>
    </row>
    <row r="29706" spans="8:8">
      <c r="H29706" t="s">
        <v>30384</v>
      </c>
    </row>
    <row r="29707" spans="8:8">
      <c r="H29707" t="s">
        <v>30385</v>
      </c>
    </row>
    <row r="29708" spans="8:8">
      <c r="H29708" t="s">
        <v>30386</v>
      </c>
    </row>
    <row r="29709" spans="8:8">
      <c r="H29709" t="s">
        <v>19019</v>
      </c>
    </row>
    <row r="29710" spans="8:8">
      <c r="H29710" t="s">
        <v>30387</v>
      </c>
    </row>
    <row r="29711" spans="8:8">
      <c r="H29711" t="s">
        <v>18893</v>
      </c>
    </row>
    <row r="29712" spans="8:8">
      <c r="H29712" t="s">
        <v>19019</v>
      </c>
    </row>
    <row r="29713" spans="1:8">
      <c r="H29713" t="s">
        <v>30388</v>
      </c>
    </row>
    <row r="29714" spans="1:8">
      <c r="H29714" t="s">
        <v>30389</v>
      </c>
    </row>
    <row r="29715" spans="1:8">
      <c r="H29715" t="s">
        <v>18893</v>
      </c>
    </row>
    <row r="29716" spans="1:8">
      <c r="H29716" t="s">
        <v>30390</v>
      </c>
    </row>
    <row r="29717" spans="1:8">
      <c r="H29717" t="s">
        <v>30391</v>
      </c>
    </row>
    <row r="29718" spans="1:8">
      <c r="H29718" t="s">
        <v>19753</v>
      </c>
    </row>
    <row r="29719" spans="1:8">
      <c r="H29719" t="s">
        <v>19754</v>
      </c>
    </row>
    <row r="29720" spans="1:8">
      <c r="A29720" t="s">
        <v>1993</v>
      </c>
      <c r="B29720">
        <f>HYPERLINK("https://android.googlesource.com/platform/cts/+/2d2870fb0432b865b3e5ca3864e4d5d216f0b868", "2d2870fb0432b865b3e5ca3864e4d5d216f0b868")</f>
        <v>0</v>
      </c>
      <c r="C29720">
        <f>HYPERLINK("https://android.googlesource.com/platform/cts/+/927317cec45d9d6aed815fff637a23348e5e528e", "927317cec45d9d6aed815fff637a23348e5e528e")</f>
        <v>0</v>
      </c>
      <c r="D29720" t="s">
        <v>5271</v>
      </c>
      <c r="E29720" t="s">
        <v>7737</v>
      </c>
      <c r="F29720" t="s">
        <v>13309</v>
      </c>
      <c r="G29720" t="s">
        <v>17442</v>
      </c>
      <c r="H29720" t="s">
        <v>30325</v>
      </c>
    </row>
    <row r="29721" spans="1:8">
      <c r="A29721" t="s">
        <v>1994</v>
      </c>
      <c r="B29721">
        <f>HYPERLINK("https://android.googlesource.com/platform/cts/+/c48203228883207a6700c2bdbdd4ef45463e48bb", "c48203228883207a6700c2bdbdd4ef45463e48bb")</f>
        <v>0</v>
      </c>
      <c r="C29721">
        <f>HYPERLINK("https://android.googlesource.com/platform/cts/+/18532f812784aaefb0987b334276976592d3d7cd", "18532f812784aaefb0987b334276976592d3d7cd")</f>
        <v>0</v>
      </c>
      <c r="D29721" t="s">
        <v>5073</v>
      </c>
      <c r="E29721" t="s">
        <v>7738</v>
      </c>
      <c r="F29721" t="s">
        <v>13538</v>
      </c>
      <c r="G29721" t="s">
        <v>17650</v>
      </c>
      <c r="H29721" t="s">
        <v>30313</v>
      </c>
    </row>
    <row r="29722" spans="1:8">
      <c r="H29722" t="s">
        <v>30314</v>
      </c>
    </row>
    <row r="29723" spans="1:8">
      <c r="H29723" t="s">
        <v>30315</v>
      </c>
    </row>
    <row r="29724" spans="1:8">
      <c r="H29724" t="s">
        <v>30316</v>
      </c>
    </row>
    <row r="29725" spans="1:8">
      <c r="H29725" t="s">
        <v>30317</v>
      </c>
    </row>
    <row r="29726" spans="1:8">
      <c r="H29726" t="s">
        <v>30318</v>
      </c>
    </row>
    <row r="29727" spans="1:8">
      <c r="H29727" t="s">
        <v>30319</v>
      </c>
    </row>
    <row r="29728" spans="1:8">
      <c r="H29728" t="s">
        <v>30320</v>
      </c>
    </row>
    <row r="29729" spans="1:8">
      <c r="H29729" t="s">
        <v>30321</v>
      </c>
    </row>
    <row r="29730" spans="1:8">
      <c r="H29730" t="s">
        <v>30322</v>
      </c>
    </row>
    <row r="29731" spans="1:8">
      <c r="A29731" t="s">
        <v>1995</v>
      </c>
      <c r="B29731">
        <f>HYPERLINK("https://android.googlesource.com/platform/cts/+/6d6578b87f0e78d84185dd06d678a96abe14b25b", "6d6578b87f0e78d84185dd06d678a96abe14b25b")</f>
        <v>0</v>
      </c>
      <c r="C29731">
        <f>HYPERLINK("https://android.googlesource.com/platform/cts/+/f07e9db41a559c76beea89537c45d311a146243d", "f07e9db41a559c76beea89537c45d311a146243d")</f>
        <v>0</v>
      </c>
      <c r="D29731" t="s">
        <v>5073</v>
      </c>
      <c r="E29731" t="s">
        <v>7738</v>
      </c>
      <c r="F29731" t="s">
        <v>13538</v>
      </c>
      <c r="G29731" t="s">
        <v>17650</v>
      </c>
      <c r="H29731" t="s">
        <v>30313</v>
      </c>
    </row>
    <row r="29732" spans="1:8">
      <c r="H29732" t="s">
        <v>30314</v>
      </c>
    </row>
    <row r="29733" spans="1:8">
      <c r="H29733" t="s">
        <v>30315</v>
      </c>
    </row>
    <row r="29734" spans="1:8">
      <c r="H29734" t="s">
        <v>30316</v>
      </c>
    </row>
    <row r="29735" spans="1:8">
      <c r="H29735" t="s">
        <v>30317</v>
      </c>
    </row>
    <row r="29736" spans="1:8">
      <c r="H29736" t="s">
        <v>30318</v>
      </c>
    </row>
    <row r="29737" spans="1:8">
      <c r="H29737" t="s">
        <v>30319</v>
      </c>
    </row>
    <row r="29738" spans="1:8">
      <c r="H29738" t="s">
        <v>30320</v>
      </c>
    </row>
    <row r="29739" spans="1:8">
      <c r="H29739" t="s">
        <v>30321</v>
      </c>
    </row>
    <row r="29740" spans="1:8">
      <c r="H29740" t="s">
        <v>30322</v>
      </c>
    </row>
    <row r="29741" spans="1:8">
      <c r="A29741" t="s">
        <v>1996</v>
      </c>
      <c r="B29741">
        <f>HYPERLINK("https://android.googlesource.com/platform/cts/+/20bfc2fe867d4e903d9e6c5e6620d84a8aa73033", "20bfc2fe867d4e903d9e6c5e6620d84a8aa73033")</f>
        <v>0</v>
      </c>
      <c r="C29741">
        <f>HYPERLINK("https://android.googlesource.com/platform/cts/+/12807ed3660a2ae97ca9427b7cdf433dc13fc3d0", "12807ed3660a2ae97ca9427b7cdf433dc13fc3d0")</f>
        <v>0</v>
      </c>
      <c r="D29741" t="s">
        <v>5073</v>
      </c>
      <c r="E29741" t="s">
        <v>7738</v>
      </c>
      <c r="F29741" t="s">
        <v>13538</v>
      </c>
      <c r="G29741" t="s">
        <v>17650</v>
      </c>
      <c r="H29741" t="s">
        <v>30313</v>
      </c>
    </row>
    <row r="29742" spans="1:8">
      <c r="H29742" t="s">
        <v>30314</v>
      </c>
    </row>
    <row r="29743" spans="1:8">
      <c r="H29743" t="s">
        <v>30315</v>
      </c>
    </row>
    <row r="29744" spans="1:8">
      <c r="H29744" t="s">
        <v>30316</v>
      </c>
    </row>
    <row r="29745" spans="1:8">
      <c r="H29745" t="s">
        <v>30317</v>
      </c>
    </row>
    <row r="29746" spans="1:8">
      <c r="H29746" t="s">
        <v>30318</v>
      </c>
    </row>
    <row r="29747" spans="1:8">
      <c r="H29747" t="s">
        <v>30319</v>
      </c>
    </row>
    <row r="29748" spans="1:8">
      <c r="H29748" t="s">
        <v>30320</v>
      </c>
    </row>
    <row r="29749" spans="1:8">
      <c r="H29749" t="s">
        <v>30321</v>
      </c>
    </row>
    <row r="29750" spans="1:8">
      <c r="H29750" t="s">
        <v>30322</v>
      </c>
    </row>
    <row r="29751" spans="1:8">
      <c r="A29751" t="s">
        <v>1997</v>
      </c>
      <c r="B29751">
        <f>HYPERLINK("https://android.googlesource.com/platform/cts/+/3f5bd08cbca4875f9f0cc0a6fd0f6faba4337be9", "3f5bd08cbca4875f9f0cc0a6fd0f6faba4337be9")</f>
        <v>0</v>
      </c>
      <c r="C29751">
        <f>HYPERLINK("https://android.googlesource.com/platform/cts/+/f0faabee02a3f524ebe3e78b565cc9371f8a57bc", "f0faabee02a3f524ebe3e78b565cc9371f8a57bc")</f>
        <v>0</v>
      </c>
      <c r="D29751" t="s">
        <v>4949</v>
      </c>
      <c r="E29751" t="s">
        <v>7739</v>
      </c>
      <c r="F29751" t="s">
        <v>12569</v>
      </c>
      <c r="G29751" t="s">
        <v>16785</v>
      </c>
      <c r="H29751" t="s">
        <v>30392</v>
      </c>
    </row>
    <row r="29752" spans="1:8">
      <c r="H29752" t="s">
        <v>30393</v>
      </c>
    </row>
    <row r="29753" spans="1:8">
      <c r="A29753" t="s">
        <v>1998</v>
      </c>
      <c r="B29753">
        <f>HYPERLINK("https://android.googlesource.com/platform/cts/+/f34400dcb0084ef1c5e840077b5b33e8a02628d9", "f34400dcb0084ef1c5e840077b5b33e8a02628d9")</f>
        <v>0</v>
      </c>
      <c r="C29753">
        <f>HYPERLINK("https://android.googlesource.com/platform/cts/+/abfb04487c60794c36090608c2f8ee6ad37812c4", "abfb04487c60794c36090608c2f8ee6ad37812c4")</f>
        <v>0</v>
      </c>
      <c r="D29753" t="s">
        <v>5195</v>
      </c>
      <c r="E29753" t="s">
        <v>7740</v>
      </c>
      <c r="F29753" t="s">
        <v>13534</v>
      </c>
      <c r="G29753" t="s">
        <v>17646</v>
      </c>
      <c r="H29753" t="s">
        <v>30289</v>
      </c>
    </row>
    <row r="29754" spans="1:8">
      <c r="H29754" t="s">
        <v>30290</v>
      </c>
    </row>
    <row r="29755" spans="1:8">
      <c r="H29755" t="s">
        <v>30291</v>
      </c>
    </row>
    <row r="29756" spans="1:8">
      <c r="H29756" t="s">
        <v>30292</v>
      </c>
    </row>
    <row r="29757" spans="1:8">
      <c r="H29757" t="s">
        <v>30293</v>
      </c>
    </row>
    <row r="29758" spans="1:8">
      <c r="H29758" t="s">
        <v>30294</v>
      </c>
    </row>
    <row r="29759" spans="1:8">
      <c r="H29759" t="s">
        <v>30295</v>
      </c>
    </row>
    <row r="29760" spans="1:8">
      <c r="H29760" t="s">
        <v>30296</v>
      </c>
    </row>
    <row r="29761" spans="1:8">
      <c r="H29761" t="s">
        <v>30297</v>
      </c>
    </row>
    <row r="29762" spans="1:8">
      <c r="A29762" t="s">
        <v>1999</v>
      </c>
      <c r="B29762">
        <f>HYPERLINK("https://android.googlesource.com/platform/cts/+/afe6df6031defd668cdb538eb846741388796131", "afe6df6031defd668cdb538eb846741388796131")</f>
        <v>0</v>
      </c>
      <c r="C29762">
        <f>HYPERLINK("https://android.googlesource.com/platform/cts/+/0c26121cba2e319bbc38305e559c60f484cd7cef", "0c26121cba2e319bbc38305e559c60f484cd7cef")</f>
        <v>0</v>
      </c>
      <c r="D29762" t="s">
        <v>5215</v>
      </c>
      <c r="E29762" t="s">
        <v>7741</v>
      </c>
      <c r="F29762" t="s">
        <v>10699</v>
      </c>
      <c r="G29762" t="s">
        <v>15099</v>
      </c>
      <c r="H29762" t="s">
        <v>30394</v>
      </c>
    </row>
    <row r="29763" spans="1:8">
      <c r="H29763" t="s">
        <v>30395</v>
      </c>
    </row>
    <row r="29764" spans="1:8">
      <c r="H29764" t="s">
        <v>18893</v>
      </c>
    </row>
    <row r="29765" spans="1:8">
      <c r="H29765" t="s">
        <v>30396</v>
      </c>
    </row>
    <row r="29766" spans="1:8">
      <c r="A29766" t="s">
        <v>2000</v>
      </c>
      <c r="B29766">
        <f>HYPERLINK("https://android.googlesource.com/platform/cts/+/c0b261728705fef717188ce68b22eb4973fcc678", "c0b261728705fef717188ce68b22eb4973fcc678")</f>
        <v>0</v>
      </c>
      <c r="C29766">
        <f>HYPERLINK("https://android.googlesource.com/platform/cts/+/64748d699581515bbd48385a5cbee4be57974140", "64748d699581515bbd48385a5cbee4be57974140")</f>
        <v>0</v>
      </c>
      <c r="D29766" t="s">
        <v>5318</v>
      </c>
      <c r="E29766" t="s">
        <v>7742</v>
      </c>
      <c r="F29766" t="s">
        <v>13485</v>
      </c>
      <c r="G29766" t="s">
        <v>17652</v>
      </c>
      <c r="H29766" t="s">
        <v>29973</v>
      </c>
    </row>
    <row r="29767" spans="1:8">
      <c r="H29767" t="s">
        <v>29976</v>
      </c>
    </row>
    <row r="29768" spans="1:8">
      <c r="H29768" t="s">
        <v>30397</v>
      </c>
    </row>
    <row r="29769" spans="1:8">
      <c r="A29769" t="s">
        <v>2001</v>
      </c>
      <c r="B29769">
        <f>HYPERLINK("https://android.googlesource.com/platform/cts/+/34ac95d82e99fa5dcea9612c03a04092206d7a69", "34ac95d82e99fa5dcea9612c03a04092206d7a69")</f>
        <v>0</v>
      </c>
      <c r="C29769">
        <f>HYPERLINK("https://android.googlesource.com/platform/cts/+/2f83fe0d1a790b8651d55e6896cdc8f5af56ec1e", "2f83fe0d1a790b8651d55e6896cdc8f5af56ec1e")</f>
        <v>0</v>
      </c>
      <c r="D29769" t="s">
        <v>5319</v>
      </c>
      <c r="E29769" t="s">
        <v>7743</v>
      </c>
      <c r="F29769" t="s">
        <v>13507</v>
      </c>
      <c r="G29769" t="s">
        <v>17624</v>
      </c>
      <c r="H29769" t="s">
        <v>18829</v>
      </c>
    </row>
    <row r="29770" spans="1:8">
      <c r="F29770" t="s">
        <v>13508</v>
      </c>
      <c r="G29770" t="s">
        <v>17625</v>
      </c>
      <c r="H29770" t="s">
        <v>30227</v>
      </c>
    </row>
    <row r="29771" spans="1:8">
      <c r="H29771" t="s">
        <v>30228</v>
      </c>
    </row>
    <row r="29772" spans="1:8">
      <c r="A29772" t="s">
        <v>2002</v>
      </c>
      <c r="B29772">
        <f>HYPERLINK("https://android.googlesource.com/platform/cts/+/eaa2bbee9517de527137c0ca5488545124ba7e1c", "eaa2bbee9517de527137c0ca5488545124ba7e1c")</f>
        <v>0</v>
      </c>
      <c r="C29772">
        <f>HYPERLINK("https://android.googlesource.com/platform/cts/+/e907b0ac85ef8640a5e285256d4319b06b4add6d", "e907b0ac85ef8640a5e285256d4319b06b4add6d")</f>
        <v>0</v>
      </c>
      <c r="D29772" t="s">
        <v>5264</v>
      </c>
      <c r="E29772" t="s">
        <v>7744</v>
      </c>
      <c r="F29772" t="s">
        <v>12617</v>
      </c>
      <c r="G29772" t="s">
        <v>15155</v>
      </c>
      <c r="H29772" t="s">
        <v>30398</v>
      </c>
    </row>
    <row r="29773" spans="1:8">
      <c r="A29773" t="s">
        <v>2003</v>
      </c>
      <c r="B29773">
        <f>HYPERLINK("https://android.googlesource.com/platform/cts/+/b22c4ea6428a357cfc50928def4f6c42d684ffce", "b22c4ea6428a357cfc50928def4f6c42d684ffce")</f>
        <v>0</v>
      </c>
      <c r="C29773">
        <f>HYPERLINK("https://android.googlesource.com/platform/cts/+/2e63d86c2da34f4fdd19bf347b4c02449518cb28", "2e63d86c2da34f4fdd19bf347b4c02449518cb28")</f>
        <v>0</v>
      </c>
      <c r="D29773" t="s">
        <v>5264</v>
      </c>
      <c r="E29773" t="s">
        <v>7745</v>
      </c>
      <c r="F29773" t="s">
        <v>13508</v>
      </c>
      <c r="G29773" t="s">
        <v>17625</v>
      </c>
      <c r="H29773" t="s">
        <v>30173</v>
      </c>
    </row>
    <row r="29774" spans="1:8">
      <c r="H29774" t="s">
        <v>30174</v>
      </c>
    </row>
    <row r="29775" spans="1:8">
      <c r="A29775" t="s">
        <v>2004</v>
      </c>
      <c r="B29775">
        <f>HYPERLINK("https://android.googlesource.com/platform/cts/+/b4f27760084c86d99c45b932ae74c3c446297645", "b4f27760084c86d99c45b932ae74c3c446297645")</f>
        <v>0</v>
      </c>
      <c r="C29775">
        <f>HYPERLINK("https://android.googlesource.com/platform/cts/+/c51040240219bab560561da7a28a2cee3a507b49", "c51040240219bab560561da7a28a2cee3a507b49")</f>
        <v>0</v>
      </c>
      <c r="D29775" t="s">
        <v>5264</v>
      </c>
      <c r="E29775" t="s">
        <v>7746</v>
      </c>
      <c r="F29775" t="s">
        <v>13505</v>
      </c>
      <c r="G29775" t="s">
        <v>17622</v>
      </c>
      <c r="H29775" t="s">
        <v>30399</v>
      </c>
    </row>
    <row r="29776" spans="1:8">
      <c r="A29776" t="s">
        <v>2005</v>
      </c>
      <c r="B29776">
        <f>HYPERLINK("https://android.googlesource.com/platform/cts/+/e11b314c0abd734e2e659490ddb556b36e53e6ab", "e11b314c0abd734e2e659490ddb556b36e53e6ab")</f>
        <v>0</v>
      </c>
      <c r="C29776">
        <f>HYPERLINK("https://android.googlesource.com/platform/cts/+/814f1d8184f1b52323015351a308b4f0e437295a", "814f1d8184f1b52323015351a308b4f0e437295a")</f>
        <v>0</v>
      </c>
      <c r="D29776" t="s">
        <v>5144</v>
      </c>
      <c r="E29776" t="s">
        <v>7747</v>
      </c>
      <c r="F29776" t="s">
        <v>10627</v>
      </c>
      <c r="G29776" t="s">
        <v>15030</v>
      </c>
      <c r="H29776" t="s">
        <v>30400</v>
      </c>
    </row>
    <row r="29777" spans="1:8">
      <c r="H29777" t="s">
        <v>30401</v>
      </c>
    </row>
    <row r="29778" spans="1:8">
      <c r="H29778" t="s">
        <v>30402</v>
      </c>
    </row>
    <row r="29779" spans="1:8">
      <c r="H29779" t="s">
        <v>30403</v>
      </c>
    </row>
    <row r="29780" spans="1:8">
      <c r="H29780" t="s">
        <v>30404</v>
      </c>
    </row>
    <row r="29781" spans="1:8">
      <c r="H29781" t="s">
        <v>30405</v>
      </c>
    </row>
    <row r="29782" spans="1:8">
      <c r="H29782" t="s">
        <v>30406</v>
      </c>
    </row>
    <row r="29783" spans="1:8">
      <c r="H29783" t="s">
        <v>30407</v>
      </c>
    </row>
    <row r="29784" spans="1:8">
      <c r="H29784" t="s">
        <v>30408</v>
      </c>
    </row>
    <row r="29785" spans="1:8">
      <c r="H29785" t="s">
        <v>30409</v>
      </c>
    </row>
    <row r="29786" spans="1:8">
      <c r="H29786" t="s">
        <v>30410</v>
      </c>
    </row>
    <row r="29787" spans="1:8">
      <c r="H29787" t="s">
        <v>30411</v>
      </c>
    </row>
    <row r="29788" spans="1:8">
      <c r="H29788" t="s">
        <v>30412</v>
      </c>
    </row>
    <row r="29789" spans="1:8">
      <c r="A29789" t="s">
        <v>2006</v>
      </c>
      <c r="B29789">
        <f>HYPERLINK("https://android.googlesource.com/platform/cts/+/f2e0092e0858c3257dca4fdea419f08051346419", "f2e0092e0858c3257dca4fdea419f08051346419")</f>
        <v>0</v>
      </c>
      <c r="C29789">
        <f>HYPERLINK("https://android.googlesource.com/platform/cts/+/afe3d3ee615bfea1a1aa6e46a5ede9c9f582faca", "afe3d3ee615bfea1a1aa6e46a5ede9c9f582faca")</f>
        <v>0</v>
      </c>
      <c r="D29789" t="s">
        <v>5320</v>
      </c>
      <c r="E29789" t="s">
        <v>7748</v>
      </c>
      <c r="F29789" t="s">
        <v>10664</v>
      </c>
      <c r="G29789" t="s">
        <v>15065</v>
      </c>
      <c r="H29789" t="s">
        <v>30413</v>
      </c>
    </row>
    <row r="29790" spans="1:8">
      <c r="A29790" t="s">
        <v>2007</v>
      </c>
      <c r="B29790">
        <f>HYPERLINK("https://android.googlesource.com/platform/cts/+/f64579bceb6287f09503d940619d096aa8c1ac0d", "f64579bceb6287f09503d940619d096aa8c1ac0d")</f>
        <v>0</v>
      </c>
      <c r="C29790">
        <f>HYPERLINK("https://android.googlesource.com/platform/cts/+/18532f812784aaefb0987b334276976592d3d7cd", "18532f812784aaefb0987b334276976592d3d7cd")</f>
        <v>0</v>
      </c>
      <c r="D29790" t="s">
        <v>5271</v>
      </c>
      <c r="E29790" t="s">
        <v>7749</v>
      </c>
      <c r="F29790" t="s">
        <v>13309</v>
      </c>
      <c r="G29790" t="s">
        <v>17442</v>
      </c>
      <c r="H29790" t="s">
        <v>30414</v>
      </c>
    </row>
    <row r="29791" spans="1:8">
      <c r="A29791" t="s">
        <v>2008</v>
      </c>
      <c r="B29791">
        <f>HYPERLINK("https://android.googlesource.com/platform/cts/+/b3394f2c9fc07f8ad73541b42e7972ffd2ec0444", "b3394f2c9fc07f8ad73541b42e7972ffd2ec0444")</f>
        <v>0</v>
      </c>
      <c r="C29791">
        <f>HYPERLINK("https://android.googlesource.com/platform/cts/+/677fc6381fac76f77bfa20af89b4adf2127c439d", "677fc6381fac76f77bfa20af89b4adf2127c439d")</f>
        <v>0</v>
      </c>
      <c r="D29791" t="s">
        <v>5310</v>
      </c>
      <c r="E29791" t="s">
        <v>7750</v>
      </c>
      <c r="F29791" t="s">
        <v>13432</v>
      </c>
      <c r="G29791" t="s">
        <v>17556</v>
      </c>
      <c r="H29791" t="s">
        <v>29799</v>
      </c>
    </row>
    <row r="29792" spans="1:8">
      <c r="F29792" t="s">
        <v>13433</v>
      </c>
      <c r="G29792" t="s">
        <v>17557</v>
      </c>
      <c r="H29792" t="s">
        <v>29800</v>
      </c>
    </row>
    <row r="29793" spans="1:8">
      <c r="A29793" t="s">
        <v>2009</v>
      </c>
      <c r="B29793">
        <f>HYPERLINK("https://android.googlesource.com/platform/cts/+/d6558d4900cee718043224dded7ad430c2ec004f", "d6558d4900cee718043224dded7ad430c2ec004f")</f>
        <v>0</v>
      </c>
      <c r="C29793">
        <f>HYPERLINK("https://android.googlesource.com/platform/cts/+/e907b0ac85ef8640a5e285256d4319b06b4add6d", "e907b0ac85ef8640a5e285256d4319b06b4add6d")</f>
        <v>0</v>
      </c>
      <c r="D29793" t="s">
        <v>5317</v>
      </c>
      <c r="E29793" t="s">
        <v>7751</v>
      </c>
      <c r="F29793" t="s">
        <v>13541</v>
      </c>
      <c r="G29793" t="s">
        <v>17653</v>
      </c>
      <c r="H29793" t="s">
        <v>30415</v>
      </c>
    </row>
    <row r="29794" spans="1:8">
      <c r="A29794" t="s">
        <v>2010</v>
      </c>
      <c r="B29794">
        <f>HYPERLINK("https://android.googlesource.com/platform/cts/+/3151f8d0a27659e826f8338e7ebe598ba82b4a76", "3151f8d0a27659e826f8338e7ebe598ba82b4a76")</f>
        <v>0</v>
      </c>
      <c r="C29794">
        <f>HYPERLINK("https://android.googlesource.com/platform/cts/+/e33d09d45b475bdd9d7cc7532b2c750fa3790faf", "e33d09d45b475bdd9d7cc7532b2c750fa3790faf")</f>
        <v>0</v>
      </c>
      <c r="D29794" t="s">
        <v>5293</v>
      </c>
      <c r="E29794" t="s">
        <v>7752</v>
      </c>
      <c r="F29794" t="s">
        <v>13468</v>
      </c>
      <c r="G29794" t="s">
        <v>17587</v>
      </c>
      <c r="H29794" t="s">
        <v>30416</v>
      </c>
    </row>
    <row r="29795" spans="1:8">
      <c r="H29795" t="s">
        <v>21157</v>
      </c>
    </row>
    <row r="29796" spans="1:8">
      <c r="A29796" t="s">
        <v>2011</v>
      </c>
      <c r="B29796">
        <f>HYPERLINK("https://android.googlesource.com/platform/cts/+/ffe52878f6ee7695de02412d4a46f93abe3748ed", "ffe52878f6ee7695de02412d4a46f93abe3748ed")</f>
        <v>0</v>
      </c>
      <c r="C29796">
        <f>HYPERLINK("https://android.googlesource.com/platform/cts/+/38d5bec8b7cc788383c61ef48d6e9cb0afb038a0", "38d5bec8b7cc788383c61ef48d6e9cb0afb038a0")</f>
        <v>0</v>
      </c>
      <c r="D29796" t="s">
        <v>5221</v>
      </c>
      <c r="E29796" t="s">
        <v>7753</v>
      </c>
      <c r="F29796" t="s">
        <v>13542</v>
      </c>
      <c r="G29796" t="s">
        <v>17609</v>
      </c>
      <c r="H29796" t="s">
        <v>19981</v>
      </c>
    </row>
    <row r="29797" spans="1:8">
      <c r="H29797" t="s">
        <v>30417</v>
      </c>
    </row>
    <row r="29798" spans="1:8">
      <c r="H29798" t="s">
        <v>30418</v>
      </c>
    </row>
    <row r="29799" spans="1:8">
      <c r="H29799" t="s">
        <v>30419</v>
      </c>
    </row>
    <row r="29800" spans="1:8">
      <c r="H29800" t="s">
        <v>30420</v>
      </c>
    </row>
    <row r="29801" spans="1:8">
      <c r="H29801" t="s">
        <v>30421</v>
      </c>
    </row>
    <row r="29802" spans="1:8">
      <c r="H29802" t="s">
        <v>30422</v>
      </c>
    </row>
    <row r="29803" spans="1:8">
      <c r="H29803" t="s">
        <v>30423</v>
      </c>
    </row>
    <row r="29804" spans="1:8">
      <c r="F29804" t="s">
        <v>13298</v>
      </c>
      <c r="G29804" t="s">
        <v>17434</v>
      </c>
      <c r="H29804" t="s">
        <v>30424</v>
      </c>
    </row>
    <row r="29805" spans="1:8">
      <c r="H29805" t="s">
        <v>30425</v>
      </c>
    </row>
    <row r="29806" spans="1:8">
      <c r="A29806" t="s">
        <v>2012</v>
      </c>
      <c r="B29806">
        <f>HYPERLINK("https://android.googlesource.com/platform/cts/+/a9fe06c1f87e5df88942cf694672a4e41df5502e", "a9fe06c1f87e5df88942cf694672a4e41df5502e")</f>
        <v>0</v>
      </c>
      <c r="C29806">
        <f>HYPERLINK("https://android.googlesource.com/platform/cts/+/bdf7a2099c7a2e63881ae362414f2ee1aa6a0e2a", "bdf7a2099c7a2e63881ae362414f2ee1aa6a0e2a")</f>
        <v>0</v>
      </c>
      <c r="D29806" t="s">
        <v>5321</v>
      </c>
      <c r="E29806" t="s">
        <v>7754</v>
      </c>
      <c r="F29806" t="s">
        <v>12817</v>
      </c>
      <c r="G29806" t="s">
        <v>16629</v>
      </c>
      <c r="H29806" t="s">
        <v>30426</v>
      </c>
    </row>
    <row r="29807" spans="1:8">
      <c r="H29807" t="s">
        <v>30427</v>
      </c>
    </row>
    <row r="29808" spans="1:8">
      <c r="A29808" t="s">
        <v>2013</v>
      </c>
      <c r="B29808">
        <f>HYPERLINK("https://android.googlesource.com/platform/cts/+/5788d466601e202fb81eaffda73c4e99fd8ad269", "5788d466601e202fb81eaffda73c4e99fd8ad269")</f>
        <v>0</v>
      </c>
      <c r="C29808">
        <f>HYPERLINK("https://android.googlesource.com/platform/cts/+/3c74c0ebc468b879d7fac9f7638fff2f6e8e2eed", "3c74c0ebc468b879d7fac9f7638fff2f6e8e2eed")</f>
        <v>0</v>
      </c>
      <c r="D29808" t="s">
        <v>5108</v>
      </c>
      <c r="E29808" t="s">
        <v>7755</v>
      </c>
      <c r="F29808" t="s">
        <v>13543</v>
      </c>
      <c r="G29808" t="s">
        <v>17654</v>
      </c>
      <c r="H29808" t="s">
        <v>18829</v>
      </c>
    </row>
    <row r="29809" spans="8:8">
      <c r="H29809" t="s">
        <v>18863</v>
      </c>
    </row>
    <row r="29810" spans="8:8">
      <c r="H29810" t="s">
        <v>30428</v>
      </c>
    </row>
    <row r="29811" spans="8:8">
      <c r="H29811" t="s">
        <v>30429</v>
      </c>
    </row>
    <row r="29812" spans="8:8">
      <c r="H29812" t="s">
        <v>30430</v>
      </c>
    </row>
    <row r="29813" spans="8:8">
      <c r="H29813" t="s">
        <v>30431</v>
      </c>
    </row>
    <row r="29814" spans="8:8">
      <c r="H29814" t="s">
        <v>30432</v>
      </c>
    </row>
    <row r="29815" spans="8:8">
      <c r="H29815" t="s">
        <v>30433</v>
      </c>
    </row>
    <row r="29816" spans="8:8">
      <c r="H29816" t="s">
        <v>30434</v>
      </c>
    </row>
    <row r="29817" spans="8:8">
      <c r="H29817" t="s">
        <v>30435</v>
      </c>
    </row>
    <row r="29818" spans="8:8">
      <c r="H29818" t="s">
        <v>30436</v>
      </c>
    </row>
    <row r="29819" spans="8:8">
      <c r="H29819" t="s">
        <v>30437</v>
      </c>
    </row>
    <row r="29820" spans="8:8">
      <c r="H29820" t="s">
        <v>30438</v>
      </c>
    </row>
    <row r="29821" spans="8:8">
      <c r="H29821" t="s">
        <v>30439</v>
      </c>
    </row>
    <row r="29822" spans="8:8">
      <c r="H29822" t="s">
        <v>30440</v>
      </c>
    </row>
    <row r="29823" spans="8:8">
      <c r="H29823" t="s">
        <v>30441</v>
      </c>
    </row>
    <row r="29824" spans="8:8">
      <c r="H29824" t="s">
        <v>30442</v>
      </c>
    </row>
    <row r="29825" spans="1:8">
      <c r="H29825" t="s">
        <v>30443</v>
      </c>
    </row>
    <row r="29826" spans="1:8">
      <c r="H29826" t="s">
        <v>30444</v>
      </c>
    </row>
    <row r="29827" spans="1:8">
      <c r="H29827" t="s">
        <v>30445</v>
      </c>
    </row>
    <row r="29828" spans="1:8">
      <c r="H29828" t="s">
        <v>30446</v>
      </c>
    </row>
    <row r="29829" spans="1:8">
      <c r="H29829" t="s">
        <v>30447</v>
      </c>
    </row>
    <row r="29830" spans="1:8">
      <c r="F29830" t="s">
        <v>12743</v>
      </c>
      <c r="G29830" t="s">
        <v>16935</v>
      </c>
      <c r="H29830" t="s">
        <v>30447</v>
      </c>
    </row>
    <row r="29831" spans="1:8">
      <c r="F29831" t="s">
        <v>12768</v>
      </c>
      <c r="G29831" t="s">
        <v>15710</v>
      </c>
      <c r="H29831" t="s">
        <v>30448</v>
      </c>
    </row>
    <row r="29832" spans="1:8">
      <c r="H29832" t="s">
        <v>30449</v>
      </c>
    </row>
    <row r="29833" spans="1:8">
      <c r="A29833" t="s">
        <v>2014</v>
      </c>
      <c r="B29833">
        <f>HYPERLINK("https://android.googlesource.com/platform/cts/+/62df704ccbdd956a6018310d4e389223a436fe4e", "62df704ccbdd956a6018310d4e389223a436fe4e")</f>
        <v>0</v>
      </c>
      <c r="C29833">
        <f>HYPERLINK("https://android.googlesource.com/platform/cts/+/c3c270b6a9f795cd52975e3d6829e6e420300d64", "c3c270b6a9f795cd52975e3d6829e6e420300d64")</f>
        <v>0</v>
      </c>
      <c r="D29833" t="s">
        <v>5314</v>
      </c>
      <c r="E29833" t="s">
        <v>7756</v>
      </c>
      <c r="F29833" t="s">
        <v>13544</v>
      </c>
      <c r="G29833" t="s">
        <v>17655</v>
      </c>
      <c r="H29833" t="s">
        <v>30450</v>
      </c>
    </row>
    <row r="29834" spans="1:8">
      <c r="H29834" t="s">
        <v>30451</v>
      </c>
    </row>
    <row r="29835" spans="1:8">
      <c r="H29835" t="s">
        <v>30452</v>
      </c>
    </row>
    <row r="29836" spans="1:8">
      <c r="F29836" t="s">
        <v>12629</v>
      </c>
      <c r="G29836" t="s">
        <v>16838</v>
      </c>
      <c r="H29836" t="s">
        <v>30453</v>
      </c>
    </row>
    <row r="29837" spans="1:8">
      <c r="A29837" t="s">
        <v>2015</v>
      </c>
      <c r="B29837">
        <f>HYPERLINK("https://android.googlesource.com/platform/cts/+/52cbbbbf5889a8982a6c94487a8b985adf9a71bf", "52cbbbbf5889a8982a6c94487a8b985adf9a71bf")</f>
        <v>0</v>
      </c>
      <c r="C29837">
        <f>HYPERLINK("https://android.googlesource.com/platform/cts/+/ddfba4909a43bf961834d66a478549d7667f8a23", "ddfba4909a43bf961834d66a478549d7667f8a23")</f>
        <v>0</v>
      </c>
      <c r="D29837" t="s">
        <v>4965</v>
      </c>
      <c r="E29837" t="s">
        <v>7757</v>
      </c>
      <c r="F29837" t="s">
        <v>13047</v>
      </c>
      <c r="G29837" t="s">
        <v>17211</v>
      </c>
      <c r="H29837" t="s">
        <v>19981</v>
      </c>
    </row>
    <row r="29838" spans="1:8">
      <c r="A29838" t="s">
        <v>2016</v>
      </c>
      <c r="B29838">
        <f>HYPERLINK("https://android.googlesource.com/platform/cts/+/ca860dfb4a56aae4871151bec87ebf7c8c21b054", "ca860dfb4a56aae4871151bec87ebf7c8c21b054")</f>
        <v>0</v>
      </c>
      <c r="C29838">
        <f>HYPERLINK("https://android.googlesource.com/platform/cts/+/425334c29c09fabcb7ced887234c682994d4c996", "425334c29c09fabcb7ced887234c682994d4c996")</f>
        <v>0</v>
      </c>
      <c r="D29838" t="s">
        <v>5221</v>
      </c>
      <c r="E29838" t="s">
        <v>7758</v>
      </c>
      <c r="F29838" t="s">
        <v>12857</v>
      </c>
      <c r="G29838" t="s">
        <v>17027</v>
      </c>
      <c r="H29838" t="s">
        <v>30454</v>
      </c>
    </row>
    <row r="29839" spans="1:8">
      <c r="F29839" t="s">
        <v>13545</v>
      </c>
      <c r="G29839" t="s">
        <v>17656</v>
      </c>
      <c r="H29839" t="s">
        <v>30455</v>
      </c>
    </row>
    <row r="29840" spans="1:8">
      <c r="H29840" t="s">
        <v>30456</v>
      </c>
    </row>
    <row r="29841" spans="1:8">
      <c r="H29841" t="s">
        <v>30457</v>
      </c>
    </row>
    <row r="29842" spans="1:8">
      <c r="H29842" t="s">
        <v>30458</v>
      </c>
    </row>
    <row r="29843" spans="1:8">
      <c r="H29843" t="s">
        <v>30459</v>
      </c>
    </row>
    <row r="29844" spans="1:8">
      <c r="H29844" t="s">
        <v>30460</v>
      </c>
    </row>
    <row r="29845" spans="1:8">
      <c r="H29845" t="s">
        <v>30461</v>
      </c>
    </row>
    <row r="29846" spans="1:8">
      <c r="A29846" t="s">
        <v>2017</v>
      </c>
      <c r="B29846">
        <f>HYPERLINK("https://android.googlesource.com/platform/cts/+/bba47e7e77e7ffc0fe0870679dca70c29ad1cde0", "bba47e7e77e7ffc0fe0870679dca70c29ad1cde0")</f>
        <v>0</v>
      </c>
      <c r="C29846">
        <f>HYPERLINK("https://android.googlesource.com/platform/cts/+/76b34c577d58d088426280d28fd223d0bf4bb4a8", "76b34c577d58d088426280d28fd223d0bf4bb4a8")</f>
        <v>0</v>
      </c>
      <c r="D29846" t="s">
        <v>5310</v>
      </c>
      <c r="E29846" t="s">
        <v>7759</v>
      </c>
      <c r="F29846" t="s">
        <v>13438</v>
      </c>
      <c r="G29846" t="s">
        <v>17561</v>
      </c>
      <c r="H29846" t="s">
        <v>30462</v>
      </c>
    </row>
    <row r="29847" spans="1:8">
      <c r="H29847" t="s">
        <v>30463</v>
      </c>
    </row>
    <row r="29848" spans="1:8">
      <c r="A29848" t="s">
        <v>2018</v>
      </c>
      <c r="B29848">
        <f>HYPERLINK("https://android.googlesource.com/platform/cts/+/d524e0785c7bbe5c7987f8ae01fdc5d57e13545d", "d524e0785c7bbe5c7987f8ae01fdc5d57e13545d")</f>
        <v>0</v>
      </c>
      <c r="C29848">
        <f>HYPERLINK("https://android.googlesource.com/platform/cts/+/449fa60808e38753d8317943df5aac5a344f5d78", "449fa60808e38753d8317943df5aac5a344f5d78")</f>
        <v>0</v>
      </c>
      <c r="D29848" t="s">
        <v>5271</v>
      </c>
      <c r="E29848" t="s">
        <v>7760</v>
      </c>
      <c r="F29848" t="s">
        <v>13309</v>
      </c>
      <c r="G29848" t="s">
        <v>17442</v>
      </c>
      <c r="H29848" t="s">
        <v>26408</v>
      </c>
    </row>
    <row r="29849" spans="1:8">
      <c r="H29849" t="s">
        <v>30464</v>
      </c>
    </row>
    <row r="29850" spans="1:8">
      <c r="H29850" t="s">
        <v>30465</v>
      </c>
    </row>
    <row r="29851" spans="1:8">
      <c r="H29851" t="s">
        <v>30466</v>
      </c>
    </row>
    <row r="29852" spans="1:8">
      <c r="A29852" t="s">
        <v>2019</v>
      </c>
      <c r="B29852">
        <f>HYPERLINK("https://android.googlesource.com/platform/cts/+/e2fcb9d64ba10f07a69a6b96a7f7e1465856172a", "e2fcb9d64ba10f07a69a6b96a7f7e1465856172a")</f>
        <v>0</v>
      </c>
      <c r="C29852">
        <f>HYPERLINK("https://android.googlesource.com/platform/cts/+/7ee57eb05b56a186d67e7fb98a4a9bfaea722814", "7ee57eb05b56a186d67e7fb98a4a9bfaea722814")</f>
        <v>0</v>
      </c>
      <c r="D29852" t="s">
        <v>5271</v>
      </c>
      <c r="E29852" t="s">
        <v>7761</v>
      </c>
      <c r="F29852" t="s">
        <v>13309</v>
      </c>
      <c r="G29852" t="s">
        <v>17442</v>
      </c>
      <c r="H29852" t="s">
        <v>30467</v>
      </c>
    </row>
    <row r="29853" spans="1:8">
      <c r="H29853" t="s">
        <v>30468</v>
      </c>
    </row>
    <row r="29854" spans="1:8">
      <c r="A29854" t="s">
        <v>2020</v>
      </c>
      <c r="B29854">
        <f>HYPERLINK("https://android.googlesource.com/platform/cts/+/5a074fb7b5013ed186943f03204ac10f1a732198", "5a074fb7b5013ed186943f03204ac10f1a732198")</f>
        <v>0</v>
      </c>
      <c r="C29854">
        <f>HYPERLINK("https://android.googlesource.com/platform/cts/+/d217513a0a08b21159a034a387b6e3f948f15489", "d217513a0a08b21159a034a387b6e3f948f15489")</f>
        <v>0</v>
      </c>
      <c r="D29854" t="s">
        <v>5271</v>
      </c>
      <c r="E29854" t="s">
        <v>7762</v>
      </c>
      <c r="F29854" t="s">
        <v>13309</v>
      </c>
      <c r="G29854" t="s">
        <v>17442</v>
      </c>
      <c r="H29854" t="s">
        <v>30414</v>
      </c>
    </row>
    <row r="29855" spans="1:8">
      <c r="A29855" t="s">
        <v>2021</v>
      </c>
      <c r="B29855">
        <f>HYPERLINK("https://android.googlesource.com/platform/cts/+/c6d1aa271a989eda9627b59d2ff8941e8765afcc", "c6d1aa271a989eda9627b59d2ff8941e8765afcc")</f>
        <v>0</v>
      </c>
      <c r="C29855">
        <f>HYPERLINK("https://android.googlesource.com/platform/cts/+/5a074fb7b5013ed186943f03204ac10f1a732198", "5a074fb7b5013ed186943f03204ac10f1a732198")</f>
        <v>0</v>
      </c>
      <c r="D29855" t="s">
        <v>5271</v>
      </c>
      <c r="E29855" t="s">
        <v>7763</v>
      </c>
      <c r="F29855" t="s">
        <v>13309</v>
      </c>
      <c r="G29855" t="s">
        <v>17442</v>
      </c>
      <c r="H29855" t="s">
        <v>26408</v>
      </c>
    </row>
    <row r="29856" spans="1:8">
      <c r="H29856" t="s">
        <v>30464</v>
      </c>
    </row>
    <row r="29857" spans="1:8">
      <c r="H29857" t="s">
        <v>30465</v>
      </c>
    </row>
    <row r="29858" spans="1:8">
      <c r="H29858" t="s">
        <v>30466</v>
      </c>
    </row>
    <row r="29859" spans="1:8">
      <c r="A29859" t="s">
        <v>2022</v>
      </c>
      <c r="B29859">
        <f>HYPERLINK("https://android.googlesource.com/platform/cts/+/fbd9993b0a051e7076c4305f1b842122482dfe81", "fbd9993b0a051e7076c4305f1b842122482dfe81")</f>
        <v>0</v>
      </c>
      <c r="C29859">
        <f>HYPERLINK("https://android.googlesource.com/platform/cts/+/336b8768d7e88d33a81c0d062a64834afbce2b8f", "336b8768d7e88d33a81c0d062a64834afbce2b8f")</f>
        <v>0</v>
      </c>
      <c r="D29859" t="s">
        <v>5271</v>
      </c>
      <c r="E29859" t="s">
        <v>7764</v>
      </c>
      <c r="F29859" t="s">
        <v>13309</v>
      </c>
      <c r="G29859" t="s">
        <v>17442</v>
      </c>
      <c r="H29859" t="s">
        <v>30467</v>
      </c>
    </row>
    <row r="29860" spans="1:8">
      <c r="H29860" t="s">
        <v>30468</v>
      </c>
    </row>
    <row r="29861" spans="1:8">
      <c r="A29861" t="s">
        <v>2023</v>
      </c>
      <c r="B29861">
        <f>HYPERLINK("https://android.googlesource.com/platform/cts/+/7cfffe08c841abdc01b0e29e90083493495df8a7", "7cfffe08c841abdc01b0e29e90083493495df8a7")</f>
        <v>0</v>
      </c>
      <c r="C29861">
        <f>HYPERLINK("https://android.googlesource.com/platform/cts/+/67e9da2b4df5f86501e9195e7d0f46017ddc5616", "67e9da2b4df5f86501e9195e7d0f46017ddc5616")</f>
        <v>0</v>
      </c>
      <c r="D29861" t="s">
        <v>5046</v>
      </c>
      <c r="E29861" t="s">
        <v>7765</v>
      </c>
      <c r="F29861" t="s">
        <v>10794</v>
      </c>
      <c r="G29861" t="s">
        <v>15189</v>
      </c>
      <c r="H29861" t="s">
        <v>30469</v>
      </c>
    </row>
    <row r="29862" spans="1:8">
      <c r="H29862" t="s">
        <v>30470</v>
      </c>
    </row>
    <row r="29863" spans="1:8">
      <c r="H29863" t="s">
        <v>18893</v>
      </c>
    </row>
    <row r="29864" spans="1:8">
      <c r="H29864" t="s">
        <v>30471</v>
      </c>
    </row>
    <row r="29865" spans="1:8">
      <c r="A29865" t="s">
        <v>2024</v>
      </c>
      <c r="B29865">
        <f>HYPERLINK("https://android.googlesource.com/platform/cts/+/1af82d73ef7161aabdf9848b7bec1c772c810266", "1af82d73ef7161aabdf9848b7bec1c772c810266")</f>
        <v>0</v>
      </c>
      <c r="C29865">
        <f>HYPERLINK("https://android.googlesource.com/platform/cts/+/948154ba5b38367c94c89c610e57aaabadc1228b", "948154ba5b38367c94c89c610e57aaabadc1228b")</f>
        <v>0</v>
      </c>
      <c r="D29865" t="s">
        <v>5108</v>
      </c>
      <c r="E29865" t="s">
        <v>7766</v>
      </c>
      <c r="F29865" t="s">
        <v>13481</v>
      </c>
      <c r="G29865" t="s">
        <v>17599</v>
      </c>
      <c r="H29865" t="s">
        <v>29595</v>
      </c>
    </row>
    <row r="29866" spans="1:8">
      <c r="A29866" t="s">
        <v>2025</v>
      </c>
      <c r="B29866">
        <f>HYPERLINK("https://android.googlesource.com/platform/cts/+/8512af40de2bf02acb6547218656d8806bbf138f", "8512af40de2bf02acb6547218656d8806bbf138f")</f>
        <v>0</v>
      </c>
      <c r="C29866">
        <f>HYPERLINK("https://android.googlesource.com/platform/cts/+/95b6c9b54caa48ce96a00e9eb55f21f3f41afc61", "95b6c9b54caa48ce96a00e9eb55f21f3f41afc61")</f>
        <v>0</v>
      </c>
      <c r="D29866" t="s">
        <v>4981</v>
      </c>
      <c r="E29866" t="s">
        <v>7767</v>
      </c>
      <c r="F29866" t="s">
        <v>12604</v>
      </c>
      <c r="G29866" t="s">
        <v>16816</v>
      </c>
      <c r="H29866" t="s">
        <v>18863</v>
      </c>
    </row>
    <row r="29867" spans="1:8">
      <c r="A29867" t="s">
        <v>2026</v>
      </c>
      <c r="B29867">
        <f>HYPERLINK("https://android.googlesource.com/platform/cts/+/6b91fa2a91df3c9911772890665993f1021e9b84", "6b91fa2a91df3c9911772890665993f1021e9b84")</f>
        <v>0</v>
      </c>
      <c r="C29867">
        <f>HYPERLINK("https://android.googlesource.com/platform/cts/+/2bd128e13188dd4d89d943cf245333a508546e6f", "2bd128e13188dd4d89d943cf245333a508546e6f")</f>
        <v>0</v>
      </c>
      <c r="D29867" t="s">
        <v>5195</v>
      </c>
      <c r="E29867" t="s">
        <v>7768</v>
      </c>
      <c r="F29867" t="s">
        <v>13546</v>
      </c>
      <c r="G29867" t="s">
        <v>17646</v>
      </c>
      <c r="H29867" t="s">
        <v>30293</v>
      </c>
    </row>
    <row r="29868" spans="1:8">
      <c r="F29868" t="s">
        <v>13547</v>
      </c>
      <c r="G29868" t="s">
        <v>17657</v>
      </c>
      <c r="H29868" t="s">
        <v>30472</v>
      </c>
    </row>
    <row r="29869" spans="1:8">
      <c r="A29869" t="s">
        <v>2027</v>
      </c>
      <c r="B29869">
        <f>HYPERLINK("https://android.googlesource.com/platform/cts/+/ccdc68d25ebe2c7218731cf0a875706a39fb5220", "ccdc68d25ebe2c7218731cf0a875706a39fb5220")</f>
        <v>0</v>
      </c>
      <c r="C29869">
        <f>HYPERLINK("https://android.googlesource.com/platform/cts/+/94cfe814603e0b9f7b468a89aec32a8cae307fb2", "94cfe814603e0b9f7b468a89aec32a8cae307fb2")</f>
        <v>0</v>
      </c>
      <c r="D29869" t="s">
        <v>5195</v>
      </c>
      <c r="E29869" t="s">
        <v>7768</v>
      </c>
      <c r="F29869" t="s">
        <v>13546</v>
      </c>
      <c r="G29869" t="s">
        <v>17646</v>
      </c>
      <c r="H29869" t="s">
        <v>30293</v>
      </c>
    </row>
    <row r="29870" spans="1:8">
      <c r="F29870" t="s">
        <v>13547</v>
      </c>
      <c r="G29870" t="s">
        <v>17657</v>
      </c>
      <c r="H29870" t="s">
        <v>30472</v>
      </c>
    </row>
    <row r="29871" spans="1:8">
      <c r="A29871" t="s">
        <v>2028</v>
      </c>
      <c r="B29871">
        <f>HYPERLINK("https://android.googlesource.com/platform/cts/+/ad7327c6b72caba39a2d8625f048d907715a911c", "ad7327c6b72caba39a2d8625f048d907715a911c")</f>
        <v>0</v>
      </c>
      <c r="C29871">
        <f>HYPERLINK("https://android.googlesource.com/platform/cts/+/e3b6ea84b938ed570f1088f94ad100558231b7dd", "e3b6ea84b938ed570f1088f94ad100558231b7dd")</f>
        <v>0</v>
      </c>
      <c r="D29871" t="s">
        <v>5141</v>
      </c>
      <c r="E29871" t="s">
        <v>7769</v>
      </c>
      <c r="F29871" t="s">
        <v>13491</v>
      </c>
      <c r="G29871" t="s">
        <v>17610</v>
      </c>
      <c r="H29871" t="s">
        <v>29269</v>
      </c>
    </row>
    <row r="29872" spans="1:8">
      <c r="A29872" t="s">
        <v>2029</v>
      </c>
      <c r="B29872">
        <f>HYPERLINK("https://android.googlesource.com/platform/cts/+/60c2e3fe94a2ffbdbaab02617d28696d812efd89", "60c2e3fe94a2ffbdbaab02617d28696d812efd89")</f>
        <v>0</v>
      </c>
      <c r="C29872">
        <f>HYPERLINK("https://android.googlesource.com/platform/cts/+/9e86d90b0f6dfe75eacf99580b5848821b6ae1a6", "9e86d90b0f6dfe75eacf99580b5848821b6ae1a6")</f>
        <v>0</v>
      </c>
      <c r="D29872" t="s">
        <v>4928</v>
      </c>
      <c r="E29872" t="s">
        <v>7770</v>
      </c>
      <c r="F29872" t="s">
        <v>13398</v>
      </c>
      <c r="G29872" t="s">
        <v>17524</v>
      </c>
      <c r="H29872" t="s">
        <v>30473</v>
      </c>
    </row>
    <row r="29873" spans="1:8">
      <c r="H29873" t="s">
        <v>30474</v>
      </c>
    </row>
    <row r="29874" spans="1:8">
      <c r="A29874" t="s">
        <v>2030</v>
      </c>
      <c r="B29874">
        <f>HYPERLINK("https://android.googlesource.com/platform/cts/+/0e3b362d39e012c4c2a29c2319ee1b8c57ceb322", "0e3b362d39e012c4c2a29c2319ee1b8c57ceb322")</f>
        <v>0</v>
      </c>
      <c r="C29874">
        <f>HYPERLINK("https://android.googlesource.com/platform/cts/+/7532a8453a3013b9386d67b237e5f336c90d5e76", "7532a8453a3013b9386d67b237e5f336c90d5e76")</f>
        <v>0</v>
      </c>
      <c r="D29874" t="s">
        <v>5146</v>
      </c>
      <c r="E29874" t="s">
        <v>7771</v>
      </c>
      <c r="F29874" t="s">
        <v>13548</v>
      </c>
      <c r="G29874" t="s">
        <v>15171</v>
      </c>
      <c r="H29874" t="s">
        <v>30475</v>
      </c>
    </row>
    <row r="29875" spans="1:8">
      <c r="F29875" t="s">
        <v>13549</v>
      </c>
      <c r="G29875" t="s">
        <v>17658</v>
      </c>
      <c r="H29875" t="s">
        <v>30475</v>
      </c>
    </row>
    <row r="29876" spans="1:8">
      <c r="H29876" t="s">
        <v>20295</v>
      </c>
    </row>
    <row r="29877" spans="1:8">
      <c r="A29877" t="s">
        <v>2031</v>
      </c>
      <c r="B29877">
        <f>HYPERLINK("https://android.googlesource.com/platform/cts/+/e50ec1bba38ea5f340da3b88df80f261ebffc2f9", "e50ec1bba38ea5f340da3b88df80f261ebffc2f9")</f>
        <v>0</v>
      </c>
      <c r="C29877">
        <f>HYPERLINK("https://android.googlesource.com/platform/cts/+/e3b6ea84b938ed570f1088f94ad100558231b7dd", "e3b6ea84b938ed570f1088f94ad100558231b7dd")</f>
        <v>0</v>
      </c>
      <c r="D29877" t="s">
        <v>5322</v>
      </c>
      <c r="E29877" t="s">
        <v>7772</v>
      </c>
      <c r="F29877" t="s">
        <v>13550</v>
      </c>
      <c r="G29877" t="s">
        <v>17569</v>
      </c>
      <c r="H29877" t="s">
        <v>29850</v>
      </c>
    </row>
    <row r="29878" spans="1:8">
      <c r="H29878" t="s">
        <v>30476</v>
      </c>
    </row>
    <row r="29879" spans="1:8">
      <c r="F29879" t="s">
        <v>13551</v>
      </c>
      <c r="G29879" t="s">
        <v>17659</v>
      </c>
      <c r="H29879" t="s">
        <v>29850</v>
      </c>
    </row>
    <row r="29880" spans="1:8">
      <c r="A29880" t="s">
        <v>2032</v>
      </c>
      <c r="B29880">
        <f>HYPERLINK("https://android.googlesource.com/platform/cts/+/1f1196586f2035e09377ba5da2b654617846177b", "1f1196586f2035e09377ba5da2b654617846177b")</f>
        <v>0</v>
      </c>
      <c r="C29880">
        <f>HYPERLINK("https://android.googlesource.com/platform/cts/+/4ab736571a2546da9015c2a82e49964f21602e9e", "4ab736571a2546da9015c2a82e49964f21602e9e")</f>
        <v>0</v>
      </c>
      <c r="D29880" t="s">
        <v>5006</v>
      </c>
      <c r="E29880" t="s">
        <v>7773</v>
      </c>
      <c r="F29880" t="s">
        <v>13552</v>
      </c>
      <c r="G29880" t="s">
        <v>17660</v>
      </c>
      <c r="H29880" t="s">
        <v>18829</v>
      </c>
    </row>
    <row r="29881" spans="1:8">
      <c r="H29881" t="s">
        <v>30477</v>
      </c>
    </row>
    <row r="29882" spans="1:8">
      <c r="H29882" t="s">
        <v>30478</v>
      </c>
    </row>
    <row r="29883" spans="1:8">
      <c r="H29883" t="s">
        <v>30479</v>
      </c>
    </row>
    <row r="29884" spans="1:8">
      <c r="H29884" t="s">
        <v>30480</v>
      </c>
    </row>
    <row r="29885" spans="1:8">
      <c r="H29885" t="s">
        <v>30481</v>
      </c>
    </row>
    <row r="29886" spans="1:8">
      <c r="H29886" t="s">
        <v>30482</v>
      </c>
    </row>
    <row r="29887" spans="1:8">
      <c r="H29887" t="s">
        <v>30483</v>
      </c>
    </row>
    <row r="29888" spans="1:8">
      <c r="H29888" t="s">
        <v>30484</v>
      </c>
    </row>
    <row r="29889" spans="1:8">
      <c r="H29889" t="s">
        <v>30485</v>
      </c>
    </row>
    <row r="29890" spans="1:8">
      <c r="H29890" t="s">
        <v>30486</v>
      </c>
    </row>
    <row r="29891" spans="1:8">
      <c r="H29891" t="s">
        <v>30487</v>
      </c>
    </row>
    <row r="29892" spans="1:8">
      <c r="H29892" t="s">
        <v>30488</v>
      </c>
    </row>
    <row r="29893" spans="1:8">
      <c r="H29893" t="s">
        <v>30489</v>
      </c>
    </row>
    <row r="29894" spans="1:8">
      <c r="H29894" t="s">
        <v>30490</v>
      </c>
    </row>
    <row r="29895" spans="1:8">
      <c r="F29895" t="s">
        <v>13553</v>
      </c>
      <c r="G29895" t="s">
        <v>17661</v>
      </c>
      <c r="H29895" t="s">
        <v>18829</v>
      </c>
    </row>
    <row r="29896" spans="1:8">
      <c r="H29896" t="s">
        <v>30491</v>
      </c>
    </row>
    <row r="29897" spans="1:8">
      <c r="H29897" t="s">
        <v>30492</v>
      </c>
    </row>
    <row r="29898" spans="1:8">
      <c r="A29898" t="s">
        <v>2033</v>
      </c>
      <c r="B29898">
        <f>HYPERLINK("https://android.googlesource.com/platform/cts/+/d80769ed3a1f45a6397f82a50108f10d1033809b", "d80769ed3a1f45a6397f82a50108f10d1033809b")</f>
        <v>0</v>
      </c>
      <c r="C29898">
        <f>HYPERLINK("https://android.googlesource.com/platform/cts/+/5f9fe30f2c5ab8a45110d285599425d139906710", "5f9fe30f2c5ab8a45110d285599425d139906710")</f>
        <v>0</v>
      </c>
      <c r="D29898" t="s">
        <v>5318</v>
      </c>
      <c r="E29898" t="s">
        <v>7774</v>
      </c>
      <c r="F29898" t="s">
        <v>13554</v>
      </c>
      <c r="G29898" t="s">
        <v>17662</v>
      </c>
      <c r="H29898" t="s">
        <v>29973</v>
      </c>
    </row>
    <row r="29899" spans="1:8">
      <c r="H29899" t="s">
        <v>29976</v>
      </c>
    </row>
    <row r="29900" spans="1:8">
      <c r="H29900" t="s">
        <v>30397</v>
      </c>
    </row>
    <row r="29901" spans="1:8">
      <c r="A29901" t="s">
        <v>2034</v>
      </c>
      <c r="B29901">
        <f>HYPERLINK("https://android.googlesource.com/platform/cts/+/bf163c0b388d529f2e3741de1cc59ae90716b104", "bf163c0b388d529f2e3741de1cc59ae90716b104")</f>
        <v>0</v>
      </c>
      <c r="C29901">
        <f>HYPERLINK("https://android.googlesource.com/platform/cts/+/2039b8f96c0b2ba4ad86db6012fbe7c9c611cad7", "2039b8f96c0b2ba4ad86db6012fbe7c9c611cad7")</f>
        <v>0</v>
      </c>
      <c r="D29901" t="s">
        <v>5272</v>
      </c>
      <c r="E29901" t="s">
        <v>7775</v>
      </c>
      <c r="F29901" t="s">
        <v>13555</v>
      </c>
      <c r="G29901" t="s">
        <v>17362</v>
      </c>
      <c r="H29901" t="s">
        <v>28630</v>
      </c>
    </row>
    <row r="29902" spans="1:8">
      <c r="A29902" t="s">
        <v>2035</v>
      </c>
      <c r="B29902">
        <f>HYPERLINK("https://android.googlesource.com/platform/cts/+/6db92e98f16fc1b3465baf344cfef5ca34edc8cc", "6db92e98f16fc1b3465baf344cfef5ca34edc8cc")</f>
        <v>0</v>
      </c>
      <c r="C29902">
        <f>HYPERLINK("https://android.googlesource.com/platform/cts/+/581c1fa1aee0c8d5b00d195edd91a30cbb551b81", "581c1fa1aee0c8d5b00d195edd91a30cbb551b81")</f>
        <v>0</v>
      </c>
      <c r="D29902" t="s">
        <v>5323</v>
      </c>
      <c r="E29902" t="s">
        <v>7776</v>
      </c>
      <c r="F29902" t="s">
        <v>12733</v>
      </c>
      <c r="G29902" t="s">
        <v>16854</v>
      </c>
      <c r="H29902" t="s">
        <v>30493</v>
      </c>
    </row>
    <row r="29903" spans="1:8">
      <c r="H29903" t="s">
        <v>30494</v>
      </c>
    </row>
    <row r="29904" spans="1:8">
      <c r="A29904" t="s">
        <v>2036</v>
      </c>
      <c r="B29904">
        <f>HYPERLINK("https://android.googlesource.com/platform/cts/+/7ac93cd7f402475654367c47119f34b08de40b02", "7ac93cd7f402475654367c47119f34b08de40b02")</f>
        <v>0</v>
      </c>
      <c r="C29904">
        <f>HYPERLINK("https://android.googlesource.com/platform/cts/+/f25e7b6acdbd6c749656d8bf8d38f2e6ce0f4819", "f25e7b6acdbd6c749656d8bf8d38f2e6ce0f4819")</f>
        <v>0</v>
      </c>
      <c r="D29904" t="s">
        <v>5065</v>
      </c>
      <c r="E29904" t="s">
        <v>7777</v>
      </c>
      <c r="F29904" t="s">
        <v>13556</v>
      </c>
      <c r="G29904" t="s">
        <v>17663</v>
      </c>
      <c r="H29904" t="s">
        <v>30495</v>
      </c>
    </row>
    <row r="29905" spans="1:8">
      <c r="H29905" t="s">
        <v>30496</v>
      </c>
    </row>
    <row r="29906" spans="1:8">
      <c r="A29906" t="s">
        <v>2037</v>
      </c>
      <c r="B29906">
        <f>HYPERLINK("https://android.googlesource.com/platform/cts/+/d8de21b0f4f2cbe5790aa2395741308b0e257db6", "d8de21b0f4f2cbe5790aa2395741308b0e257db6")</f>
        <v>0</v>
      </c>
      <c r="C29906">
        <f>HYPERLINK("https://android.googlesource.com/platform/cts/+/ac893b69c1f75fa4b6fa0f38967c5cfae85e2bd0", "ac893b69c1f75fa4b6fa0f38967c5cfae85e2bd0")</f>
        <v>0</v>
      </c>
      <c r="D29906" t="s">
        <v>5279</v>
      </c>
      <c r="E29906" t="s">
        <v>7778</v>
      </c>
      <c r="F29906" t="s">
        <v>13557</v>
      </c>
      <c r="G29906" t="s">
        <v>17664</v>
      </c>
      <c r="H29906" t="s">
        <v>30497</v>
      </c>
    </row>
    <row r="29907" spans="1:8">
      <c r="H29907" t="s">
        <v>30498</v>
      </c>
    </row>
    <row r="29908" spans="1:8">
      <c r="H29908" t="s">
        <v>30499</v>
      </c>
    </row>
    <row r="29909" spans="1:8">
      <c r="A29909" t="s">
        <v>2038</v>
      </c>
      <c r="B29909">
        <f>HYPERLINK("https://android.googlesource.com/platform/cts/+/49670bee39135ec65e0aa03b3b3498ceb6f01b1c", "49670bee39135ec65e0aa03b3b3498ceb6f01b1c")</f>
        <v>0</v>
      </c>
      <c r="C29909">
        <f>HYPERLINK("https://android.googlesource.com/platform/cts/+/39f121e26a3f75ccbd09ff51d9127e4995d1084a", "39f121e26a3f75ccbd09ff51d9127e4995d1084a")</f>
        <v>0</v>
      </c>
      <c r="D29909" t="s">
        <v>5324</v>
      </c>
      <c r="E29909" t="s">
        <v>7779</v>
      </c>
      <c r="F29909" t="s">
        <v>13558</v>
      </c>
      <c r="G29909" t="s">
        <v>17665</v>
      </c>
      <c r="H29909" t="s">
        <v>30500</v>
      </c>
    </row>
    <row r="29910" spans="1:8">
      <c r="H29910" t="s">
        <v>30501</v>
      </c>
    </row>
    <row r="29911" spans="1:8">
      <c r="H29911" t="s">
        <v>19128</v>
      </c>
    </row>
    <row r="29912" spans="1:8">
      <c r="A29912" t="s">
        <v>2039</v>
      </c>
      <c r="B29912">
        <f>HYPERLINK("https://android.googlesource.com/platform/cts/+/2cec34cc5361d55c273b5e842326415c7e412289", "2cec34cc5361d55c273b5e842326415c7e412289")</f>
        <v>0</v>
      </c>
      <c r="C29912">
        <f>HYPERLINK("https://android.googlesource.com/platform/cts/+/f01ab7b268e5632f1d9ba5f36e686c200e91c124", "f01ab7b268e5632f1d9ba5f36e686c200e91c124")</f>
        <v>0</v>
      </c>
      <c r="D29912" t="s">
        <v>5065</v>
      </c>
      <c r="E29912" t="s">
        <v>7780</v>
      </c>
      <c r="F29912" t="s">
        <v>12626</v>
      </c>
      <c r="G29912" t="s">
        <v>16836</v>
      </c>
      <c r="H29912" t="s">
        <v>30502</v>
      </c>
    </row>
    <row r="29913" spans="1:8">
      <c r="A29913" t="s">
        <v>2040</v>
      </c>
      <c r="B29913">
        <f>HYPERLINK("https://android.googlesource.com/platform/cts/+/3bfaf269d420842600a27eceed7d16285712db41", "3bfaf269d420842600a27eceed7d16285712db41")</f>
        <v>0</v>
      </c>
      <c r="C29913">
        <f>HYPERLINK("https://android.googlesource.com/platform/cts/+/83f63f94bade47d219dbc6de5e3dda87a79cd248", "83f63f94bade47d219dbc6de5e3dda87a79cd248")</f>
        <v>0</v>
      </c>
      <c r="D29913" t="s">
        <v>4976</v>
      </c>
      <c r="E29913" t="s">
        <v>7781</v>
      </c>
      <c r="F29913" t="s">
        <v>12569</v>
      </c>
      <c r="G29913" t="s">
        <v>16785</v>
      </c>
      <c r="H29913" t="s">
        <v>30503</v>
      </c>
    </row>
    <row r="29914" spans="1:8">
      <c r="A29914" t="s">
        <v>2041</v>
      </c>
      <c r="B29914">
        <f>HYPERLINK("https://android.googlesource.com/platform/cts/+/874fd3ac47b1fc574939a703d2c65fd85139d7fb", "874fd3ac47b1fc574939a703d2c65fd85139d7fb")</f>
        <v>0</v>
      </c>
      <c r="C29914">
        <f>HYPERLINK("https://android.googlesource.com/platform/cts/+/83f63f94bade47d219dbc6de5e3dda87a79cd248", "83f63f94bade47d219dbc6de5e3dda87a79cd248")</f>
        <v>0</v>
      </c>
      <c r="D29914" t="s">
        <v>4981</v>
      </c>
      <c r="E29914" t="s">
        <v>7782</v>
      </c>
      <c r="F29914" t="s">
        <v>12604</v>
      </c>
      <c r="G29914" t="s">
        <v>16816</v>
      </c>
      <c r="H29914" t="s">
        <v>30504</v>
      </c>
    </row>
    <row r="29915" spans="1:8">
      <c r="A29915" t="s">
        <v>2042</v>
      </c>
      <c r="B29915">
        <f>HYPERLINK("https://android.googlesource.com/platform/cts/+/3ff2296ee9e7840105a6360d6123a55e90f8c3cd", "3ff2296ee9e7840105a6360d6123a55e90f8c3cd")</f>
        <v>0</v>
      </c>
      <c r="C29915">
        <f>HYPERLINK("https://android.googlesource.com/platform/cts/+/07443dc4836424bbe56b69e3dc4cd624b7d6c017", "07443dc4836424bbe56b69e3dc4cd624b7d6c017")</f>
        <v>0</v>
      </c>
      <c r="D29915" t="s">
        <v>5191</v>
      </c>
      <c r="E29915" t="s">
        <v>7783</v>
      </c>
      <c r="F29915" t="s">
        <v>12715</v>
      </c>
      <c r="G29915" t="s">
        <v>15144</v>
      </c>
      <c r="H29915" t="s">
        <v>30505</v>
      </c>
    </row>
    <row r="29916" spans="1:8">
      <c r="H29916" t="s">
        <v>30506</v>
      </c>
    </row>
    <row r="29917" spans="1:8">
      <c r="H29917" t="s">
        <v>26065</v>
      </c>
    </row>
    <row r="29918" spans="1:8">
      <c r="H29918" t="s">
        <v>19812</v>
      </c>
    </row>
    <row r="29919" spans="1:8">
      <c r="F29919" t="s">
        <v>13559</v>
      </c>
      <c r="G29919" t="s">
        <v>17305</v>
      </c>
      <c r="H29919" t="s">
        <v>30506</v>
      </c>
    </row>
    <row r="29920" spans="1:8">
      <c r="H29920" t="s">
        <v>30506</v>
      </c>
    </row>
    <row r="29921" spans="1:8">
      <c r="A29921" t="s">
        <v>2043</v>
      </c>
      <c r="B29921">
        <f>HYPERLINK("https://android.googlesource.com/platform/cts/+/601ef229f895fdf7d8d482e194b9f9ff8df27c82", "601ef229f895fdf7d8d482e194b9f9ff8df27c82")</f>
        <v>0</v>
      </c>
      <c r="C29921">
        <f>HYPERLINK("https://android.googlesource.com/platform/cts/+/a31b7c55e1bb228420ead613b1bfe37d7fe0c119", "a31b7c55e1bb228420ead613b1bfe37d7fe0c119")</f>
        <v>0</v>
      </c>
      <c r="D29921" t="s">
        <v>5127</v>
      </c>
      <c r="E29921" t="s">
        <v>7784</v>
      </c>
      <c r="F29921" t="s">
        <v>13560</v>
      </c>
      <c r="G29921" t="s">
        <v>17666</v>
      </c>
      <c r="H29921" t="s">
        <v>19981</v>
      </c>
    </row>
    <row r="29922" spans="1:8">
      <c r="H29922" t="s">
        <v>30507</v>
      </c>
    </row>
    <row r="29923" spans="1:8">
      <c r="H29923" t="s">
        <v>30508</v>
      </c>
    </row>
    <row r="29924" spans="1:8">
      <c r="H29924" t="s">
        <v>30509</v>
      </c>
    </row>
    <row r="29925" spans="1:8">
      <c r="H29925" t="s">
        <v>30510</v>
      </c>
    </row>
    <row r="29926" spans="1:8">
      <c r="H29926" t="s">
        <v>28475</v>
      </c>
    </row>
    <row r="29927" spans="1:8">
      <c r="H29927" t="s">
        <v>30511</v>
      </c>
    </row>
    <row r="29928" spans="1:8">
      <c r="F29928" t="s">
        <v>13536</v>
      </c>
      <c r="G29928" t="s">
        <v>17648</v>
      </c>
      <c r="H29928" t="s">
        <v>18829</v>
      </c>
    </row>
    <row r="29929" spans="1:8">
      <c r="H29929" t="s">
        <v>18863</v>
      </c>
    </row>
    <row r="29930" spans="1:8">
      <c r="H29930" t="s">
        <v>30512</v>
      </c>
    </row>
    <row r="29931" spans="1:8">
      <c r="H29931" t="s">
        <v>30513</v>
      </c>
    </row>
    <row r="29932" spans="1:8">
      <c r="H29932" t="s">
        <v>30514</v>
      </c>
    </row>
    <row r="29933" spans="1:8">
      <c r="H29933" t="s">
        <v>30514</v>
      </c>
    </row>
    <row r="29934" spans="1:8">
      <c r="H29934" t="s">
        <v>28887</v>
      </c>
    </row>
    <row r="29935" spans="1:8">
      <c r="H29935" t="s">
        <v>29205</v>
      </c>
    </row>
    <row r="29936" spans="1:8">
      <c r="H29936" t="s">
        <v>30515</v>
      </c>
    </row>
    <row r="29937" spans="1:8">
      <c r="H29937" t="s">
        <v>30516</v>
      </c>
    </row>
    <row r="29938" spans="1:8">
      <c r="H29938" t="s">
        <v>26556</v>
      </c>
    </row>
    <row r="29939" spans="1:8">
      <c r="H29939" t="s">
        <v>30517</v>
      </c>
    </row>
    <row r="29940" spans="1:8">
      <c r="F29940" t="s">
        <v>13561</v>
      </c>
      <c r="G29940" t="s">
        <v>17667</v>
      </c>
      <c r="H29940" t="s">
        <v>18829</v>
      </c>
    </row>
    <row r="29941" spans="1:8">
      <c r="H29941" t="s">
        <v>30518</v>
      </c>
    </row>
    <row r="29942" spans="1:8">
      <c r="F29942" t="s">
        <v>12629</v>
      </c>
      <c r="G29942" t="s">
        <v>16838</v>
      </c>
      <c r="H29942" t="s">
        <v>30518</v>
      </c>
    </row>
    <row r="29943" spans="1:8">
      <c r="A29943" t="s">
        <v>2044</v>
      </c>
      <c r="B29943">
        <f>HYPERLINK("https://android.googlesource.com/platform/cts/+/9bd20a47e041c8ed70e956efc1323d8ffc61e5af", "9bd20a47e041c8ed70e956efc1323d8ffc61e5af")</f>
        <v>0</v>
      </c>
      <c r="C29943">
        <f>HYPERLINK("https://android.googlesource.com/platform/cts/+/188d7c3d0f2d5bbfb908ead89a94f4e5f5aae284", "188d7c3d0f2d5bbfb908ead89a94f4e5f5aae284")</f>
        <v>0</v>
      </c>
      <c r="D29943" t="s">
        <v>4981</v>
      </c>
      <c r="E29943" t="s">
        <v>7785</v>
      </c>
      <c r="F29943" t="s">
        <v>13537</v>
      </c>
      <c r="G29943" t="s">
        <v>17649</v>
      </c>
      <c r="H29943" t="s">
        <v>29955</v>
      </c>
    </row>
    <row r="29944" spans="1:8">
      <c r="A29944" t="s">
        <v>2045</v>
      </c>
      <c r="B29944">
        <f>HYPERLINK("https://android.googlesource.com/platform/cts/+/03d333eecc43e5d38b00a90f890c3e3e29bf07de", "03d333eecc43e5d38b00a90f890c3e3e29bf07de")</f>
        <v>0</v>
      </c>
      <c r="C29944">
        <f>HYPERLINK("https://android.googlesource.com/platform/cts/+/758ece15a17e40cadd087b21454159e60de9120c", "758ece15a17e40cadd087b21454159e60de9120c")</f>
        <v>0</v>
      </c>
      <c r="D29944" t="s">
        <v>5325</v>
      </c>
      <c r="E29944" t="s">
        <v>7786</v>
      </c>
      <c r="F29944" t="s">
        <v>12710</v>
      </c>
      <c r="G29944" t="s">
        <v>16911</v>
      </c>
      <c r="H29944" t="s">
        <v>30519</v>
      </c>
    </row>
    <row r="29945" spans="1:8">
      <c r="A29945" t="s">
        <v>2046</v>
      </c>
      <c r="B29945">
        <f>HYPERLINK("https://android.googlesource.com/platform/cts/+/bb780622d28bf567da45f32f2df4230730180508", "bb780622d28bf567da45f32f2df4230730180508")</f>
        <v>0</v>
      </c>
      <c r="C29945">
        <f>HYPERLINK("https://android.googlesource.com/platform/cts/+/892a77796ccf07bd0ff814f6075a1adb0aac4775", "892a77796ccf07bd0ff814f6075a1adb0aac4775")</f>
        <v>0</v>
      </c>
      <c r="D29945" t="s">
        <v>5300</v>
      </c>
      <c r="E29945" t="s">
        <v>7787</v>
      </c>
      <c r="F29945" t="s">
        <v>10689</v>
      </c>
      <c r="G29945" t="s">
        <v>15089</v>
      </c>
      <c r="H29945" t="s">
        <v>30520</v>
      </c>
    </row>
    <row r="29946" spans="1:8">
      <c r="A29946" t="s">
        <v>2047</v>
      </c>
      <c r="B29946">
        <f>HYPERLINK("https://android.googlesource.com/platform/cts/+/310bb55ebb22d7245e8548107603489e50efa14e", "310bb55ebb22d7245e8548107603489e50efa14e")</f>
        <v>0</v>
      </c>
      <c r="C29946">
        <f>HYPERLINK("https://android.googlesource.com/platform/cts/+/03d333eecc43e5d38b00a90f890c3e3e29bf07de", "03d333eecc43e5d38b00a90f890c3e3e29bf07de")</f>
        <v>0</v>
      </c>
      <c r="D29946" t="s">
        <v>5325</v>
      </c>
      <c r="E29946" t="s">
        <v>7788</v>
      </c>
      <c r="F29946" t="s">
        <v>12710</v>
      </c>
      <c r="G29946" t="s">
        <v>16911</v>
      </c>
      <c r="H29946" t="s">
        <v>30521</v>
      </c>
    </row>
    <row r="29947" spans="1:8">
      <c r="A29947" t="s">
        <v>2048</v>
      </c>
      <c r="B29947">
        <f>HYPERLINK("https://android.googlesource.com/platform/cts/+/523f9d7e37868185b20fb27d4870c30a7db4aa2a", "523f9d7e37868185b20fb27d4870c30a7db4aa2a")</f>
        <v>0</v>
      </c>
      <c r="C29947">
        <f>HYPERLINK("https://android.googlesource.com/platform/cts/+/74448cfd004773cdc49594c4fd09f6c22904156e", "74448cfd004773cdc49594c4fd09f6c22904156e")</f>
        <v>0</v>
      </c>
      <c r="D29947" t="s">
        <v>5268</v>
      </c>
      <c r="E29947" t="s">
        <v>7789</v>
      </c>
      <c r="F29947" t="s">
        <v>12710</v>
      </c>
      <c r="G29947" t="s">
        <v>16911</v>
      </c>
      <c r="H29947" t="s">
        <v>30519</v>
      </c>
    </row>
    <row r="29948" spans="1:8">
      <c r="A29948" t="s">
        <v>2049</v>
      </c>
      <c r="B29948">
        <f>HYPERLINK("https://android.googlesource.com/platform/cts/+/da3e5236d3c2aed4e7c3cb63c8d196faaaf1128a", "da3e5236d3c2aed4e7c3cb63c8d196faaaf1128a")</f>
        <v>0</v>
      </c>
      <c r="C29948">
        <f>HYPERLINK("https://android.googlesource.com/platform/cts/+/8d701cd656c3ff353306507eae35f6ba44249617", "8d701cd656c3ff353306507eae35f6ba44249617")</f>
        <v>0</v>
      </c>
      <c r="D29948" t="s">
        <v>5268</v>
      </c>
      <c r="E29948" t="s">
        <v>7790</v>
      </c>
      <c r="F29948" t="s">
        <v>12710</v>
      </c>
      <c r="G29948" t="s">
        <v>16911</v>
      </c>
      <c r="H29948" t="s">
        <v>30519</v>
      </c>
    </row>
    <row r="29949" spans="1:8">
      <c r="A29949" t="s">
        <v>2050</v>
      </c>
      <c r="B29949">
        <f>HYPERLINK("https://android.googlesource.com/platform/cts/+/8f862dff5cc25f6b18ce324710ace98f96a14032", "8f862dff5cc25f6b18ce324710ace98f96a14032")</f>
        <v>0</v>
      </c>
      <c r="C29949">
        <f>HYPERLINK("https://android.googlesource.com/platform/cts/+/e94469ae95ee0edddfbd27c766be8f15a52bfd77", "e94469ae95ee0edddfbd27c766be8f15a52bfd77")</f>
        <v>0</v>
      </c>
      <c r="D29949" t="s">
        <v>5128</v>
      </c>
      <c r="E29949" t="s">
        <v>7791</v>
      </c>
      <c r="F29949" t="s">
        <v>12904</v>
      </c>
      <c r="G29949" t="s">
        <v>17070</v>
      </c>
      <c r="H29949" t="s">
        <v>30522</v>
      </c>
    </row>
    <row r="29950" spans="1:8">
      <c r="A29950" t="s">
        <v>2051</v>
      </c>
      <c r="B29950">
        <f>HYPERLINK("https://android.googlesource.com/platform/cts/+/696e60e4922ea5a7b612d170303f4311b560900f", "696e60e4922ea5a7b612d170303f4311b560900f")</f>
        <v>0</v>
      </c>
      <c r="C29950">
        <f>HYPERLINK("https://android.googlesource.com/platform/cts/+/621f1d895b134099c0c95b86ba802c86332ecaca", "621f1d895b134099c0c95b86ba802c86332ecaca")</f>
        <v>0</v>
      </c>
      <c r="D29950" t="s">
        <v>5040</v>
      </c>
      <c r="E29950" t="s">
        <v>7792</v>
      </c>
      <c r="F29950" t="s">
        <v>12344</v>
      </c>
      <c r="G29950" t="s">
        <v>16572</v>
      </c>
      <c r="H29950" t="s">
        <v>30523</v>
      </c>
    </row>
    <row r="29951" spans="1:8">
      <c r="A29951" t="s">
        <v>2052</v>
      </c>
      <c r="B29951">
        <f>HYPERLINK("https://android.googlesource.com/platform/cts/+/a1707216056660ea278b2cbbfa5899b65576b058", "a1707216056660ea278b2cbbfa5899b65576b058")</f>
        <v>0</v>
      </c>
      <c r="C29951">
        <f>HYPERLINK("https://android.googlesource.com/platform/cts/+/3ba58b65fd2fdce6267c2a384f1275bd87ce0ff0", "3ba58b65fd2fdce6267c2a384f1275bd87ce0ff0")</f>
        <v>0</v>
      </c>
      <c r="D29951" t="s">
        <v>5040</v>
      </c>
      <c r="E29951" t="s">
        <v>7792</v>
      </c>
      <c r="F29951" t="s">
        <v>12344</v>
      </c>
      <c r="G29951" t="s">
        <v>16572</v>
      </c>
      <c r="H29951" t="s">
        <v>30523</v>
      </c>
    </row>
    <row r="29952" spans="1:8">
      <c r="A29952" t="s">
        <v>2053</v>
      </c>
      <c r="B29952">
        <f>HYPERLINK("https://android.googlesource.com/platform/cts/+/dc8bb18c688d1c58142742c54166deca8eacb11e", "dc8bb18c688d1c58142742c54166deca8eacb11e")</f>
        <v>0</v>
      </c>
      <c r="C29952">
        <f>HYPERLINK("https://android.googlesource.com/platform/cts/+/0728ef972d1003a16ab1a30c34d873b06c4e09bd", "0728ef972d1003a16ab1a30c34d873b06c4e09bd")</f>
        <v>0</v>
      </c>
      <c r="D29952" t="s">
        <v>5040</v>
      </c>
      <c r="E29952" t="s">
        <v>7793</v>
      </c>
      <c r="F29952" t="s">
        <v>12344</v>
      </c>
      <c r="G29952" t="s">
        <v>16572</v>
      </c>
      <c r="H29952" t="s">
        <v>30523</v>
      </c>
    </row>
    <row r="29953" spans="1:8">
      <c r="A29953" t="s">
        <v>2054</v>
      </c>
      <c r="B29953">
        <f>HYPERLINK("https://android.googlesource.com/platform/cts/+/6fe6ccb5066f81392dcca73bb22545c8a0df44da", "6fe6ccb5066f81392dcca73bb22545c8a0df44da")</f>
        <v>0</v>
      </c>
      <c r="C29953">
        <f>HYPERLINK("https://android.googlesource.com/platform/cts/+/911759ccf5085f1ce7fc3f45be1343e1714bac49", "911759ccf5085f1ce7fc3f45be1343e1714bac49")</f>
        <v>0</v>
      </c>
      <c r="D29953" t="s">
        <v>5040</v>
      </c>
      <c r="E29953" t="s">
        <v>7793</v>
      </c>
      <c r="F29953" t="s">
        <v>12344</v>
      </c>
      <c r="G29953" t="s">
        <v>16572</v>
      </c>
      <c r="H29953" t="s">
        <v>30523</v>
      </c>
    </row>
    <row r="29954" spans="1:8">
      <c r="A29954" t="s">
        <v>2055</v>
      </c>
      <c r="B29954">
        <f>HYPERLINK("https://android.googlesource.com/platform/cts/+/dcea493184e52509cf119aa288433ad37ed35335", "dcea493184e52509cf119aa288433ad37ed35335")</f>
        <v>0</v>
      </c>
      <c r="C29954">
        <f>HYPERLINK("https://android.googlesource.com/platform/cts/+/7b17d6f1abb4bce4b9bec3be7ef21b84c81bc4c6", "7b17d6f1abb4bce4b9bec3be7ef21b84c81bc4c6")</f>
        <v>0</v>
      </c>
      <c r="D29954" t="s">
        <v>5040</v>
      </c>
      <c r="E29954" t="s">
        <v>7793</v>
      </c>
      <c r="F29954" t="s">
        <v>12344</v>
      </c>
      <c r="G29954" t="s">
        <v>16572</v>
      </c>
      <c r="H29954" t="s">
        <v>30523</v>
      </c>
    </row>
    <row r="29955" spans="1:8">
      <c r="A29955" t="s">
        <v>2056</v>
      </c>
      <c r="B29955">
        <f>HYPERLINK("https://android.googlesource.com/platform/cts/+/e70f26e7069ff25a88057b9ddc4520e16c273e50", "e70f26e7069ff25a88057b9ddc4520e16c273e50")</f>
        <v>0</v>
      </c>
      <c r="C29955">
        <f>HYPERLINK("https://android.googlesource.com/platform/cts/+/8272dc085491c473bc0b6073193c9bc20a08a2ee", "8272dc085491c473bc0b6073193c9bc20a08a2ee")</f>
        <v>0</v>
      </c>
      <c r="D29955" t="s">
        <v>5177</v>
      </c>
      <c r="E29955" t="s">
        <v>7794</v>
      </c>
      <c r="F29955" t="s">
        <v>13319</v>
      </c>
      <c r="G29955" t="s">
        <v>17450</v>
      </c>
      <c r="H29955" t="s">
        <v>29165</v>
      </c>
    </row>
    <row r="29956" spans="1:8">
      <c r="H29956" t="s">
        <v>29166</v>
      </c>
    </row>
    <row r="29957" spans="1:8">
      <c r="H29957" t="s">
        <v>29167</v>
      </c>
    </row>
    <row r="29958" spans="1:8">
      <c r="H29958" t="s">
        <v>29168</v>
      </c>
    </row>
    <row r="29959" spans="1:8">
      <c r="H29959" t="s">
        <v>29169</v>
      </c>
    </row>
    <row r="29960" spans="1:8">
      <c r="A29960" t="s">
        <v>2057</v>
      </c>
      <c r="B29960">
        <f>HYPERLINK("https://android.googlesource.com/platform/cts/+/fa3e2f4288ecc0a865ecb84f5e76132b5207cd6b", "fa3e2f4288ecc0a865ecb84f5e76132b5207cd6b")</f>
        <v>0</v>
      </c>
      <c r="C29960">
        <f>HYPERLINK("https://android.googlesource.com/platform/cts/+/79fbdf440d32149b074504c9aa086e304f8b2cd6", "79fbdf440d32149b074504c9aa086e304f8b2cd6")</f>
        <v>0</v>
      </c>
      <c r="D29960" t="s">
        <v>5326</v>
      </c>
      <c r="E29960" t="s">
        <v>7795</v>
      </c>
      <c r="F29960" t="s">
        <v>13562</v>
      </c>
      <c r="G29960" t="s">
        <v>17668</v>
      </c>
      <c r="H29960" t="s">
        <v>30524</v>
      </c>
    </row>
    <row r="29961" spans="1:8">
      <c r="H29961" t="s">
        <v>30525</v>
      </c>
    </row>
    <row r="29962" spans="1:8">
      <c r="H29962" t="s">
        <v>30526</v>
      </c>
    </row>
    <row r="29963" spans="1:8">
      <c r="H29963" t="s">
        <v>30527</v>
      </c>
    </row>
    <row r="29964" spans="1:8">
      <c r="H29964" t="s">
        <v>30528</v>
      </c>
    </row>
    <row r="29965" spans="1:8">
      <c r="H29965" t="s">
        <v>30529</v>
      </c>
    </row>
    <row r="29966" spans="1:8">
      <c r="F29966" t="s">
        <v>13563</v>
      </c>
      <c r="G29966" t="s">
        <v>17669</v>
      </c>
      <c r="H29966" t="s">
        <v>30530</v>
      </c>
    </row>
    <row r="29967" spans="1:8">
      <c r="H29967" t="s">
        <v>30531</v>
      </c>
    </row>
    <row r="29968" spans="1:8">
      <c r="H29968" t="s">
        <v>30532</v>
      </c>
    </row>
    <row r="29969" spans="6:8">
      <c r="H29969" t="s">
        <v>30533</v>
      </c>
    </row>
    <row r="29970" spans="6:8">
      <c r="H29970" t="s">
        <v>30534</v>
      </c>
    </row>
    <row r="29971" spans="6:8">
      <c r="H29971" t="s">
        <v>30535</v>
      </c>
    </row>
    <row r="29972" spans="6:8">
      <c r="F29972" t="s">
        <v>13564</v>
      </c>
      <c r="G29972" t="s">
        <v>17670</v>
      </c>
      <c r="H29972" t="s">
        <v>30536</v>
      </c>
    </row>
    <row r="29973" spans="6:8">
      <c r="H29973" t="s">
        <v>30537</v>
      </c>
    </row>
    <row r="29974" spans="6:8">
      <c r="H29974" t="s">
        <v>30538</v>
      </c>
    </row>
    <row r="29975" spans="6:8">
      <c r="H29975" t="s">
        <v>30539</v>
      </c>
    </row>
    <row r="29976" spans="6:8">
      <c r="H29976" t="s">
        <v>30540</v>
      </c>
    </row>
    <row r="29977" spans="6:8">
      <c r="H29977" t="s">
        <v>30541</v>
      </c>
    </row>
    <row r="29978" spans="6:8">
      <c r="F29978" t="s">
        <v>13565</v>
      </c>
      <c r="G29978" t="s">
        <v>17671</v>
      </c>
      <c r="H29978" t="s">
        <v>30542</v>
      </c>
    </row>
    <row r="29979" spans="6:8">
      <c r="H29979" t="s">
        <v>30543</v>
      </c>
    </row>
    <row r="29980" spans="6:8">
      <c r="F29980" t="s">
        <v>13566</v>
      </c>
      <c r="G29980" t="s">
        <v>16863</v>
      </c>
      <c r="H29980" t="s">
        <v>30544</v>
      </c>
    </row>
    <row r="29981" spans="6:8">
      <c r="H29981" t="s">
        <v>30545</v>
      </c>
    </row>
    <row r="29982" spans="6:8">
      <c r="H29982" t="s">
        <v>30546</v>
      </c>
    </row>
    <row r="29983" spans="6:8">
      <c r="H29983" t="s">
        <v>30547</v>
      </c>
    </row>
    <row r="29984" spans="6:8">
      <c r="H29984" t="s">
        <v>30548</v>
      </c>
    </row>
    <row r="29985" spans="1:8">
      <c r="H29985" t="s">
        <v>21360</v>
      </c>
    </row>
    <row r="29986" spans="1:8">
      <c r="A29986" t="s">
        <v>2058</v>
      </c>
      <c r="B29986">
        <f>HYPERLINK("https://android.googlesource.com/platform/cts/+/c6fdbfb44670545ce1083d02adcdfb85ac8aa9f2", "c6fdbfb44670545ce1083d02adcdfb85ac8aa9f2")</f>
        <v>0</v>
      </c>
      <c r="C29986">
        <f>HYPERLINK("https://android.googlesource.com/platform/cts/+/d9d2de0755c97a700e2e5613903fb681ec606f3b", "d9d2de0755c97a700e2e5613903fb681ec606f3b")</f>
        <v>0</v>
      </c>
      <c r="D29986" t="s">
        <v>5134</v>
      </c>
      <c r="E29986" t="s">
        <v>7796</v>
      </c>
      <c r="F29986" t="s">
        <v>13255</v>
      </c>
      <c r="G29986" t="s">
        <v>17393</v>
      </c>
      <c r="H29986" t="s">
        <v>30549</v>
      </c>
    </row>
    <row r="29987" spans="1:8">
      <c r="A29987" t="s">
        <v>2059</v>
      </c>
      <c r="B29987">
        <f>HYPERLINK("https://android.googlesource.com/platform/cts/+/6480e20315b40a4c3081b2b08247429462b99ffd", "6480e20315b40a4c3081b2b08247429462b99ffd")</f>
        <v>0</v>
      </c>
      <c r="C29987">
        <f>HYPERLINK("https://android.googlesource.com/platform/cts/+/d78f76f20eea814b1c5ffae38c796c38e8d6eb54", "d78f76f20eea814b1c5ffae38c796c38e8d6eb54")</f>
        <v>0</v>
      </c>
      <c r="D29987" t="s">
        <v>5311</v>
      </c>
      <c r="E29987" t="s">
        <v>7797</v>
      </c>
      <c r="F29987" t="s">
        <v>13518</v>
      </c>
      <c r="G29987" t="s">
        <v>17540</v>
      </c>
      <c r="H29987" t="s">
        <v>30550</v>
      </c>
    </row>
    <row r="29988" spans="1:8">
      <c r="A29988" t="s">
        <v>2060</v>
      </c>
      <c r="B29988">
        <f>HYPERLINK("https://android.googlesource.com/platform/cts/+/03fa52ac0b5a346e14aee1b705a686fc157b5218", "03fa52ac0b5a346e14aee1b705a686fc157b5218")</f>
        <v>0</v>
      </c>
      <c r="C29988">
        <f>HYPERLINK("https://android.googlesource.com/platform/cts/+/d036a9b9ee2919c7977fab4d4d8aaa8d15067501", "d036a9b9ee2919c7977fab4d4d8aaa8d15067501")</f>
        <v>0</v>
      </c>
      <c r="D29988" t="s">
        <v>5260</v>
      </c>
      <c r="E29988" t="s">
        <v>7798</v>
      </c>
      <c r="F29988" t="s">
        <v>10687</v>
      </c>
      <c r="G29988" t="s">
        <v>15087</v>
      </c>
      <c r="H29988" t="s">
        <v>30551</v>
      </c>
    </row>
    <row r="29989" spans="1:8">
      <c r="A29989" t="s">
        <v>2061</v>
      </c>
      <c r="B29989">
        <f>HYPERLINK("https://android.googlesource.com/platform/cts/+/a065c04eef3682374b0442674ee8225e8bc9abde", "a065c04eef3682374b0442674ee8225e8bc9abde")</f>
        <v>0</v>
      </c>
      <c r="C29989">
        <f>HYPERLINK("https://android.googlesource.com/platform/cts/+/a2bd05c1af762adc0536324e6defba8f3bc12934", "a2bd05c1af762adc0536324e6defba8f3bc12934")</f>
        <v>0</v>
      </c>
      <c r="D29989" t="s">
        <v>5134</v>
      </c>
      <c r="E29989" t="s">
        <v>7799</v>
      </c>
      <c r="F29989" t="s">
        <v>13341</v>
      </c>
      <c r="G29989" t="s">
        <v>17470</v>
      </c>
      <c r="H29989" t="s">
        <v>30552</v>
      </c>
    </row>
    <row r="29990" spans="1:8">
      <c r="H29990" t="s">
        <v>30553</v>
      </c>
    </row>
    <row r="29991" spans="1:8">
      <c r="A29991" t="s">
        <v>2062</v>
      </c>
      <c r="B29991">
        <f>HYPERLINK("https://android.googlesource.com/platform/cts/+/9f6f08803a48ada09bb79fa89a56dd46b0a1d196", "9f6f08803a48ada09bb79fa89a56dd46b0a1d196")</f>
        <v>0</v>
      </c>
      <c r="C29991">
        <f>HYPERLINK("https://android.googlesource.com/platform/cts/+/d036a9b9ee2919c7977fab4d4d8aaa8d15067501", "d036a9b9ee2919c7977fab4d4d8aaa8d15067501")</f>
        <v>0</v>
      </c>
      <c r="D29991" t="s">
        <v>5260</v>
      </c>
      <c r="E29991" t="s">
        <v>7800</v>
      </c>
      <c r="F29991" t="s">
        <v>10666</v>
      </c>
      <c r="G29991" t="s">
        <v>15067</v>
      </c>
      <c r="H29991" t="s">
        <v>30554</v>
      </c>
    </row>
    <row r="29992" spans="1:8">
      <c r="A29992" t="s">
        <v>2063</v>
      </c>
      <c r="B29992">
        <f>HYPERLINK("https://android.googlesource.com/platform/cts/+/1d551a383eee23de704aa721e56c0251e1e50f75", "1d551a383eee23de704aa721e56c0251e1e50f75")</f>
        <v>0</v>
      </c>
      <c r="C29992">
        <f>HYPERLINK("https://android.googlesource.com/platform/cts/+/9c2005a0e798a72d27f696cd9ef52fc628dde752", "9c2005a0e798a72d27f696cd9ef52fc628dde752")</f>
        <v>0</v>
      </c>
      <c r="D29992" t="s">
        <v>5287</v>
      </c>
      <c r="E29992" t="s">
        <v>7801</v>
      </c>
      <c r="F29992" t="s">
        <v>12808</v>
      </c>
      <c r="G29992" t="s">
        <v>16989</v>
      </c>
      <c r="H29992" t="s">
        <v>30361</v>
      </c>
    </row>
    <row r="29993" spans="1:8">
      <c r="H29993" t="s">
        <v>30362</v>
      </c>
    </row>
    <row r="29994" spans="1:8">
      <c r="H29994" t="s">
        <v>30363</v>
      </c>
    </row>
    <row r="29995" spans="1:8">
      <c r="H29995" t="s">
        <v>30364</v>
      </c>
    </row>
    <row r="29996" spans="1:8">
      <c r="H29996" t="s">
        <v>30365</v>
      </c>
    </row>
    <row r="29997" spans="1:8">
      <c r="H29997" t="s">
        <v>30366</v>
      </c>
    </row>
    <row r="29998" spans="1:8">
      <c r="H29998" t="s">
        <v>30367</v>
      </c>
    </row>
    <row r="29999" spans="1:8">
      <c r="A29999" t="s">
        <v>2064</v>
      </c>
      <c r="B29999">
        <f>HYPERLINK("https://android.googlesource.com/platform/cts/+/bf0f81dc4de2b145c8e6e25c51acd708204ab494", "bf0f81dc4de2b145c8e6e25c51acd708204ab494")</f>
        <v>0</v>
      </c>
      <c r="C29999">
        <f>HYPERLINK("https://android.googlesource.com/platform/cts/+/4b6e94dada8c18d784360ceb0f6ff1ef5e35f801", "4b6e94dada8c18d784360ceb0f6ff1ef5e35f801")</f>
        <v>0</v>
      </c>
      <c r="D29999" t="s">
        <v>5134</v>
      </c>
      <c r="E29999" t="s">
        <v>7802</v>
      </c>
      <c r="F29999" t="s">
        <v>13567</v>
      </c>
      <c r="G29999" t="s">
        <v>17672</v>
      </c>
      <c r="H29999" t="s">
        <v>30555</v>
      </c>
    </row>
    <row r="30000" spans="1:8">
      <c r="A30000" t="s">
        <v>2065</v>
      </c>
      <c r="B30000">
        <f>HYPERLINK("https://android.googlesource.com/platform/cts/+/3bda23003206500de60bc67e247d2bf4d85c73b1", "3bda23003206500de60bc67e247d2bf4d85c73b1")</f>
        <v>0</v>
      </c>
      <c r="C30000">
        <f>HYPERLINK("https://android.googlesource.com/platform/cts/+/0db3fbf059c97df7f872948e5eba0f564eb425d0", "0db3fbf059c97df7f872948e5eba0f564eb425d0")</f>
        <v>0</v>
      </c>
      <c r="D30000" t="s">
        <v>5117</v>
      </c>
      <c r="E30000" t="s">
        <v>7803</v>
      </c>
      <c r="F30000" t="s">
        <v>10697</v>
      </c>
      <c r="G30000" t="s">
        <v>15097</v>
      </c>
      <c r="H30000" t="s">
        <v>18829</v>
      </c>
    </row>
    <row r="30001" spans="1:8">
      <c r="H30001" t="s">
        <v>30556</v>
      </c>
    </row>
    <row r="30002" spans="1:8">
      <c r="F30002" t="s">
        <v>13568</v>
      </c>
      <c r="G30002" t="s">
        <v>17673</v>
      </c>
      <c r="H30002" t="s">
        <v>18829</v>
      </c>
    </row>
    <row r="30003" spans="1:8">
      <c r="H30003" t="s">
        <v>30557</v>
      </c>
    </row>
    <row r="30004" spans="1:8">
      <c r="F30004" t="s">
        <v>13569</v>
      </c>
      <c r="G30004" t="s">
        <v>17674</v>
      </c>
      <c r="H30004" t="s">
        <v>18829</v>
      </c>
    </row>
    <row r="30005" spans="1:8">
      <c r="H30005" t="s">
        <v>30557</v>
      </c>
    </row>
    <row r="30006" spans="1:8">
      <c r="H30006" t="s">
        <v>30558</v>
      </c>
    </row>
    <row r="30007" spans="1:8">
      <c r="F30007" t="s">
        <v>13570</v>
      </c>
      <c r="G30007" t="s">
        <v>17675</v>
      </c>
      <c r="H30007" t="s">
        <v>30559</v>
      </c>
    </row>
    <row r="30008" spans="1:8">
      <c r="H30008" t="s">
        <v>30560</v>
      </c>
    </row>
    <row r="30009" spans="1:8">
      <c r="A30009" t="s">
        <v>2066</v>
      </c>
      <c r="B30009">
        <f>HYPERLINK("https://android.googlesource.com/platform/cts/+/24f453a13d35fec32fded688a902003321c88961", "24f453a13d35fec32fded688a902003321c88961")</f>
        <v>0</v>
      </c>
      <c r="C30009">
        <f>HYPERLINK("https://android.googlesource.com/platform/cts/+/d1860181cb5cbe60ae590c8a549ef25386d5b9c8", "d1860181cb5cbe60ae590c8a549ef25386d5b9c8")</f>
        <v>0</v>
      </c>
      <c r="D30009" t="s">
        <v>5279</v>
      </c>
      <c r="E30009" t="s">
        <v>7804</v>
      </c>
      <c r="F30009" t="s">
        <v>13571</v>
      </c>
      <c r="G30009" t="s">
        <v>17676</v>
      </c>
      <c r="H30009" t="s">
        <v>18829</v>
      </c>
    </row>
    <row r="30010" spans="1:8">
      <c r="H30010" t="s">
        <v>18863</v>
      </c>
    </row>
    <row r="30011" spans="1:8">
      <c r="H30011" t="s">
        <v>30561</v>
      </c>
    </row>
    <row r="30012" spans="1:8">
      <c r="H30012" t="s">
        <v>30562</v>
      </c>
    </row>
    <row r="30013" spans="1:8">
      <c r="A30013" t="s">
        <v>2067</v>
      </c>
      <c r="B30013">
        <f>HYPERLINK("https://android.googlesource.com/platform/cts/+/4ff4d32eb076dbb3cad80aada0000d4dc84ac40b", "4ff4d32eb076dbb3cad80aada0000d4dc84ac40b")</f>
        <v>0</v>
      </c>
      <c r="C30013">
        <f>HYPERLINK("https://android.googlesource.com/platform/cts/+/be215eac7d741a20ae06ea0e5bb4f36a32ae42a5", "be215eac7d741a20ae06ea0e5bb4f36a32ae42a5")</f>
        <v>0</v>
      </c>
      <c r="D30013" t="s">
        <v>5219</v>
      </c>
      <c r="E30013" t="s">
        <v>7805</v>
      </c>
      <c r="F30013" t="s">
        <v>13568</v>
      </c>
      <c r="G30013" t="s">
        <v>17673</v>
      </c>
      <c r="H30013" t="s">
        <v>18829</v>
      </c>
    </row>
    <row r="30014" spans="1:8">
      <c r="H30014" t="s">
        <v>30557</v>
      </c>
    </row>
    <row r="30015" spans="1:8">
      <c r="A30015" t="s">
        <v>2068</v>
      </c>
      <c r="B30015">
        <f>HYPERLINK("https://android.googlesource.com/platform/cts/+/c4dc6918abd1e3558d0df10e94a9fd5f99d9e0a4", "c4dc6918abd1e3558d0df10e94a9fd5f99d9e0a4")</f>
        <v>0</v>
      </c>
      <c r="C30015">
        <f>HYPERLINK("https://android.googlesource.com/platform/cts/+/6f5696320483e7e849c4121ee94738f84e22368b", "6f5696320483e7e849c4121ee94738f84e22368b")</f>
        <v>0</v>
      </c>
      <c r="D30015" t="s">
        <v>5287</v>
      </c>
      <c r="E30015" t="s">
        <v>7806</v>
      </c>
      <c r="F30015" t="s">
        <v>10608</v>
      </c>
      <c r="G30015" t="s">
        <v>15011</v>
      </c>
      <c r="H30015" t="s">
        <v>30563</v>
      </c>
    </row>
    <row r="30016" spans="1:8">
      <c r="A30016" t="s">
        <v>2069</v>
      </c>
      <c r="B30016">
        <f>HYPERLINK("https://android.googlesource.com/platform/cts/+/95845d3e200ce0ed3d2c207f6cc1602ac1ac64b9", "95845d3e200ce0ed3d2c207f6cc1602ac1ac64b9")</f>
        <v>0</v>
      </c>
      <c r="C30016">
        <f>HYPERLINK("https://android.googlesource.com/platform/cts/+/e7422c62909f50125dc1c5a79ece3896af109ac5", "e7422c62909f50125dc1c5a79ece3896af109ac5")</f>
        <v>0</v>
      </c>
      <c r="D30016" t="s">
        <v>5030</v>
      </c>
      <c r="E30016" t="s">
        <v>7807</v>
      </c>
      <c r="F30016" t="s">
        <v>13317</v>
      </c>
      <c r="G30016" t="s">
        <v>17448</v>
      </c>
      <c r="H30016" t="s">
        <v>30564</v>
      </c>
    </row>
    <row r="30017" spans="1:8">
      <c r="H30017" t="s">
        <v>30565</v>
      </c>
    </row>
    <row r="30018" spans="1:8">
      <c r="H30018" t="s">
        <v>22650</v>
      </c>
    </row>
    <row r="30019" spans="1:8">
      <c r="A30019" t="s">
        <v>2070</v>
      </c>
      <c r="B30019">
        <f>HYPERLINK("https://android.googlesource.com/platform/cts/+/4a53881b2650669471b8acc610cdf515f5bfc7bb", "4a53881b2650669471b8acc610cdf515f5bfc7bb")</f>
        <v>0</v>
      </c>
      <c r="C30019">
        <f>HYPERLINK("https://android.googlesource.com/platform/cts/+/2efafca4896c3fc616610e0858d847eaf7823372", "2efafca4896c3fc616610e0858d847eaf7823372")</f>
        <v>0</v>
      </c>
      <c r="D30019" t="s">
        <v>4997</v>
      </c>
      <c r="E30019" t="s">
        <v>7808</v>
      </c>
      <c r="F30019" t="s">
        <v>13572</v>
      </c>
      <c r="G30019" t="s">
        <v>17605</v>
      </c>
      <c r="H30019" t="s">
        <v>30566</v>
      </c>
    </row>
    <row r="30020" spans="1:8">
      <c r="H30020" t="s">
        <v>30567</v>
      </c>
    </row>
    <row r="30021" spans="1:8">
      <c r="A30021" t="s">
        <v>2071</v>
      </c>
      <c r="B30021">
        <f>HYPERLINK("https://android.googlesource.com/platform/cts/+/d8fc67cbc5ef8c922a737bd1d27fc9a2ccb0a975", "d8fc67cbc5ef8c922a737bd1d27fc9a2ccb0a975")</f>
        <v>0</v>
      </c>
      <c r="C30021">
        <f>HYPERLINK("https://android.googlesource.com/platform/cts/+/1574189f36cf8149bdbc65986352dd310f417bd1", "1574189f36cf8149bdbc65986352dd310f417bd1")</f>
        <v>0</v>
      </c>
      <c r="D30021" t="s">
        <v>5311</v>
      </c>
      <c r="E30021" t="s">
        <v>7809</v>
      </c>
      <c r="F30021" t="s">
        <v>10593</v>
      </c>
      <c r="G30021" t="s">
        <v>14996</v>
      </c>
      <c r="H30021" t="s">
        <v>30568</v>
      </c>
    </row>
    <row r="30022" spans="1:8">
      <c r="H30022" t="s">
        <v>30569</v>
      </c>
    </row>
    <row r="30023" spans="1:8">
      <c r="A30023" t="s">
        <v>2072</v>
      </c>
      <c r="B30023">
        <f>HYPERLINK("https://android.googlesource.com/platform/cts/+/e7bc426286525af48dcb58b8c7bb0aba6d734525", "e7bc426286525af48dcb58b8c7bb0aba6d734525")</f>
        <v>0</v>
      </c>
      <c r="C30023">
        <f>HYPERLINK("https://android.googlesource.com/platform/cts/+/037b5d7d07bcbf3111418cf7d6e4ece9b9d35b22", "037b5d7d07bcbf3111418cf7d6e4ece9b9d35b22")</f>
        <v>0</v>
      </c>
      <c r="D30023" t="s">
        <v>5108</v>
      </c>
      <c r="E30023" t="s">
        <v>7810</v>
      </c>
      <c r="F30023" t="s">
        <v>12640</v>
      </c>
      <c r="G30023" t="s">
        <v>16848</v>
      </c>
      <c r="H30023" t="s">
        <v>30570</v>
      </c>
    </row>
    <row r="30024" spans="1:8">
      <c r="H30024" t="s">
        <v>28475</v>
      </c>
    </row>
    <row r="30025" spans="1:8">
      <c r="F30025" t="s">
        <v>12629</v>
      </c>
      <c r="G30025" t="s">
        <v>16838</v>
      </c>
      <c r="H30025" t="s">
        <v>30571</v>
      </c>
    </row>
    <row r="30026" spans="1:8">
      <c r="A30026" t="s">
        <v>2073</v>
      </c>
      <c r="B30026">
        <f>HYPERLINK("https://android.googlesource.com/platform/cts/+/a72063cfbae501fa4d7b2dfb23c1b588d8eb74ce", "a72063cfbae501fa4d7b2dfb23c1b588d8eb74ce")</f>
        <v>0</v>
      </c>
      <c r="C30026">
        <f>HYPERLINK("https://android.googlesource.com/platform/cts/+/0ac0251c90072d03bd1524ea8657a2936538f3c2", "0ac0251c90072d03bd1524ea8657a2936538f3c2")</f>
        <v>0</v>
      </c>
      <c r="D30026" t="s">
        <v>4947</v>
      </c>
      <c r="E30026" t="s">
        <v>7811</v>
      </c>
      <c r="F30026" t="s">
        <v>10770</v>
      </c>
      <c r="G30026" t="s">
        <v>15166</v>
      </c>
      <c r="H30026" t="s">
        <v>18829</v>
      </c>
    </row>
    <row r="30027" spans="1:8">
      <c r="H30027" t="s">
        <v>18863</v>
      </c>
    </row>
    <row r="30028" spans="1:8">
      <c r="H30028" t="s">
        <v>30572</v>
      </c>
    </row>
    <row r="30029" spans="1:8">
      <c r="H30029" t="s">
        <v>30573</v>
      </c>
    </row>
    <row r="30030" spans="1:8">
      <c r="H30030" t="s">
        <v>30574</v>
      </c>
    </row>
    <row r="30031" spans="1:8">
      <c r="H30031" t="s">
        <v>30575</v>
      </c>
    </row>
    <row r="30032" spans="1:8">
      <c r="H30032" t="s">
        <v>30576</v>
      </c>
    </row>
    <row r="30033" spans="1:8">
      <c r="H30033" t="s">
        <v>30577</v>
      </c>
    </row>
    <row r="30034" spans="1:8">
      <c r="H30034" t="s">
        <v>30578</v>
      </c>
    </row>
    <row r="30035" spans="1:8">
      <c r="H30035" t="s">
        <v>30579</v>
      </c>
    </row>
    <row r="30036" spans="1:8">
      <c r="H30036" t="s">
        <v>30580</v>
      </c>
    </row>
    <row r="30037" spans="1:8">
      <c r="H30037" t="s">
        <v>30581</v>
      </c>
    </row>
    <row r="30038" spans="1:8">
      <c r="A30038" t="s">
        <v>2074</v>
      </c>
      <c r="B30038">
        <f>HYPERLINK("https://android.googlesource.com/platform/cts/+/a868dbd49308abfc6635f79f3a5477dec628f122", "a868dbd49308abfc6635f79f3a5477dec628f122")</f>
        <v>0</v>
      </c>
      <c r="C30038">
        <f>HYPERLINK("https://android.googlesource.com/platform/cts/+/8fad518600a59180580c76d184766d2301d13df9", "8fad518600a59180580c76d184766d2301d13df9")</f>
        <v>0</v>
      </c>
      <c r="D30038" t="s">
        <v>5134</v>
      </c>
      <c r="E30038" t="s">
        <v>7812</v>
      </c>
      <c r="F30038" t="s">
        <v>13371</v>
      </c>
      <c r="G30038" t="s">
        <v>17498</v>
      </c>
      <c r="H30038" t="s">
        <v>30582</v>
      </c>
    </row>
    <row r="30039" spans="1:8">
      <c r="A30039" t="s">
        <v>2075</v>
      </c>
      <c r="B30039">
        <f>HYPERLINK("https://android.googlesource.com/platform/cts/+/c6d52c6080eb7a63828223facd6b21f1d448d865", "c6d52c6080eb7a63828223facd6b21f1d448d865")</f>
        <v>0</v>
      </c>
      <c r="C30039">
        <f>HYPERLINK("https://android.googlesource.com/platform/cts/+/62bdfaaf89d00c25822ec3c018e3b965673205ab", "62bdfaaf89d00c25822ec3c018e3b965673205ab")</f>
        <v>0</v>
      </c>
      <c r="D30039" t="s">
        <v>5129</v>
      </c>
      <c r="E30039" t="s">
        <v>7813</v>
      </c>
      <c r="F30039" t="s">
        <v>13573</v>
      </c>
      <c r="G30039" t="s">
        <v>17677</v>
      </c>
      <c r="H30039" t="s">
        <v>30583</v>
      </c>
    </row>
    <row r="30040" spans="1:8">
      <c r="H30040" t="s">
        <v>30584</v>
      </c>
    </row>
    <row r="30041" spans="1:8">
      <c r="A30041" t="s">
        <v>2076</v>
      </c>
      <c r="B30041">
        <f>HYPERLINK("https://android.googlesource.com/platform/cts/+/c4df8389462834c233c26c5986d344bf52866bba", "c4df8389462834c233c26c5986d344bf52866bba")</f>
        <v>0</v>
      </c>
      <c r="C30041">
        <f>HYPERLINK("https://android.googlesource.com/platform/cts/+/16ac29eba9be7f7e360991f1d86cc8a86639efd1", "16ac29eba9be7f7e360991f1d86cc8a86639efd1")</f>
        <v>0</v>
      </c>
      <c r="D30041" t="s">
        <v>5117</v>
      </c>
      <c r="E30041" t="s">
        <v>7814</v>
      </c>
      <c r="F30041" t="s">
        <v>13574</v>
      </c>
      <c r="G30041" t="s">
        <v>17678</v>
      </c>
      <c r="H30041" t="s">
        <v>30585</v>
      </c>
    </row>
    <row r="30042" spans="1:8">
      <c r="F30042" t="s">
        <v>13575</v>
      </c>
      <c r="G30042" t="s">
        <v>17679</v>
      </c>
      <c r="H30042" t="s">
        <v>30586</v>
      </c>
    </row>
    <row r="30043" spans="1:8">
      <c r="A30043" t="s">
        <v>2077</v>
      </c>
      <c r="B30043">
        <f>HYPERLINK("https://android.googlesource.com/platform/cts/+/9ddf644c32b6aaa61b2564bfd830d7c5ebddd119", "9ddf644c32b6aaa61b2564bfd830d7c5ebddd119")</f>
        <v>0</v>
      </c>
      <c r="C30043">
        <f>HYPERLINK("https://android.googlesource.com/platform/cts/+/16ac29eba9be7f7e360991f1d86cc8a86639efd1", "16ac29eba9be7f7e360991f1d86cc8a86639efd1")</f>
        <v>0</v>
      </c>
      <c r="D30043" t="s">
        <v>5117</v>
      </c>
      <c r="E30043" t="s">
        <v>7815</v>
      </c>
      <c r="F30043" t="s">
        <v>13576</v>
      </c>
      <c r="G30043" t="s">
        <v>16477</v>
      </c>
      <c r="H30043" t="s">
        <v>30587</v>
      </c>
    </row>
    <row r="30044" spans="1:8">
      <c r="H30044" t="s">
        <v>30588</v>
      </c>
    </row>
    <row r="30045" spans="1:8">
      <c r="H30045" t="s">
        <v>30589</v>
      </c>
    </row>
    <row r="30046" spans="1:8">
      <c r="H30046" t="s">
        <v>30590</v>
      </c>
    </row>
    <row r="30047" spans="1:8">
      <c r="A30047" t="s">
        <v>2078</v>
      </c>
      <c r="B30047">
        <f>HYPERLINK("https://android.googlesource.com/platform/cts/+/bda4fa92a84de697a2595a281223243c40f7eee2", "bda4fa92a84de697a2595a281223243c40f7eee2")</f>
        <v>0</v>
      </c>
      <c r="C30047">
        <f>HYPERLINK("https://android.googlesource.com/platform/cts/+/00645d98f82d577b5cd9702247ffc99d644c1401", "00645d98f82d577b5cd9702247ffc99d644c1401")</f>
        <v>0</v>
      </c>
      <c r="D30047" t="s">
        <v>5327</v>
      </c>
      <c r="E30047" t="s">
        <v>7816</v>
      </c>
      <c r="F30047" t="s">
        <v>12404</v>
      </c>
      <c r="G30047" t="s">
        <v>16626</v>
      </c>
      <c r="H30047" t="s">
        <v>30591</v>
      </c>
    </row>
    <row r="30048" spans="1:8">
      <c r="A30048" t="s">
        <v>2079</v>
      </c>
      <c r="B30048">
        <f>HYPERLINK("https://android.googlesource.com/platform/cts/+/429173b97e2445fa6bd7b9d8682666d79c8ba21b", "429173b97e2445fa6bd7b9d8682666d79c8ba21b")</f>
        <v>0</v>
      </c>
      <c r="C30048">
        <f>HYPERLINK("https://android.googlesource.com/platform/cts/+/16ac29eba9be7f7e360991f1d86cc8a86639efd1", "16ac29eba9be7f7e360991f1d86cc8a86639efd1")</f>
        <v>0</v>
      </c>
      <c r="D30048" t="s">
        <v>5117</v>
      </c>
      <c r="E30048" t="s">
        <v>7817</v>
      </c>
      <c r="F30048" t="s">
        <v>12345</v>
      </c>
      <c r="G30048" t="s">
        <v>16573</v>
      </c>
      <c r="H30048" t="s">
        <v>18829</v>
      </c>
    </row>
    <row r="30049" spans="1:8">
      <c r="F30049" t="s">
        <v>13210</v>
      </c>
      <c r="G30049" t="s">
        <v>17351</v>
      </c>
      <c r="H30049" t="s">
        <v>18829</v>
      </c>
    </row>
    <row r="30050" spans="1:8">
      <c r="H30050" t="s">
        <v>18863</v>
      </c>
    </row>
    <row r="30051" spans="1:8">
      <c r="F30051" t="s">
        <v>13577</v>
      </c>
      <c r="G30051" t="s">
        <v>17680</v>
      </c>
      <c r="H30051" t="s">
        <v>18829</v>
      </c>
    </row>
    <row r="30052" spans="1:8">
      <c r="H30052" t="s">
        <v>18863</v>
      </c>
    </row>
    <row r="30053" spans="1:8">
      <c r="A30053" t="s">
        <v>2080</v>
      </c>
      <c r="B30053">
        <f>HYPERLINK("https://android.googlesource.com/platform/cts/+/a51b8b5095cf7d63f8bcd527f6f9c75888dfa2d5", "a51b8b5095cf7d63f8bcd527f6f9c75888dfa2d5")</f>
        <v>0</v>
      </c>
      <c r="C30053">
        <f>HYPERLINK("https://android.googlesource.com/platform/cts/+/15b0e26d5558a889c5b58012dfb4771076ee6e67", "15b0e26d5558a889c5b58012dfb4771076ee6e67")</f>
        <v>0</v>
      </c>
      <c r="D30053" t="s">
        <v>5328</v>
      </c>
      <c r="E30053" t="s">
        <v>7818</v>
      </c>
      <c r="F30053" t="s">
        <v>13578</v>
      </c>
      <c r="G30053" t="s">
        <v>17681</v>
      </c>
      <c r="H30053" t="s">
        <v>25988</v>
      </c>
    </row>
    <row r="30054" spans="1:8">
      <c r="F30054" t="s">
        <v>13579</v>
      </c>
      <c r="G30054" t="s">
        <v>17682</v>
      </c>
      <c r="H30054" t="s">
        <v>30592</v>
      </c>
    </row>
    <row r="30055" spans="1:8">
      <c r="H30055" t="s">
        <v>30593</v>
      </c>
    </row>
    <row r="30056" spans="1:8">
      <c r="H30056" t="s">
        <v>30594</v>
      </c>
    </row>
    <row r="30057" spans="1:8">
      <c r="H30057" t="s">
        <v>30595</v>
      </c>
    </row>
    <row r="30058" spans="1:8">
      <c r="F30058" t="s">
        <v>13580</v>
      </c>
      <c r="G30058" t="s">
        <v>16843</v>
      </c>
      <c r="H30058" t="s">
        <v>30596</v>
      </c>
    </row>
    <row r="30059" spans="1:8">
      <c r="H30059" t="s">
        <v>30596</v>
      </c>
    </row>
    <row r="30060" spans="1:8">
      <c r="H30060" t="s">
        <v>19232</v>
      </c>
    </row>
    <row r="30061" spans="1:8">
      <c r="H30061" t="s">
        <v>19233</v>
      </c>
    </row>
    <row r="30062" spans="1:8">
      <c r="H30062" t="s">
        <v>20244</v>
      </c>
    </row>
    <row r="30063" spans="1:8">
      <c r="H30063" t="s">
        <v>18927</v>
      </c>
    </row>
    <row r="30064" spans="1:8">
      <c r="H30064" t="s">
        <v>30597</v>
      </c>
    </row>
    <row r="30065" spans="8:8">
      <c r="H30065" t="s">
        <v>28145</v>
      </c>
    </row>
    <row r="30066" spans="8:8">
      <c r="H30066" t="s">
        <v>30598</v>
      </c>
    </row>
    <row r="30067" spans="8:8">
      <c r="H30067" t="s">
        <v>30599</v>
      </c>
    </row>
    <row r="30068" spans="8:8">
      <c r="H30068" t="s">
        <v>30600</v>
      </c>
    </row>
    <row r="30069" spans="8:8">
      <c r="H30069" t="s">
        <v>30601</v>
      </c>
    </row>
    <row r="30070" spans="8:8">
      <c r="H30070" t="s">
        <v>30602</v>
      </c>
    </row>
    <row r="30071" spans="8:8">
      <c r="H30071" t="s">
        <v>30603</v>
      </c>
    </row>
    <row r="30072" spans="8:8">
      <c r="H30072" t="s">
        <v>30604</v>
      </c>
    </row>
    <row r="30073" spans="8:8">
      <c r="H30073" t="s">
        <v>30605</v>
      </c>
    </row>
    <row r="30074" spans="8:8">
      <c r="H30074" t="s">
        <v>30606</v>
      </c>
    </row>
    <row r="30075" spans="8:8">
      <c r="H30075" t="s">
        <v>26657</v>
      </c>
    </row>
    <row r="30076" spans="8:8">
      <c r="H30076" t="s">
        <v>26657</v>
      </c>
    </row>
    <row r="30077" spans="8:8">
      <c r="H30077" t="s">
        <v>30607</v>
      </c>
    </row>
    <row r="30078" spans="8:8">
      <c r="H30078" t="s">
        <v>30608</v>
      </c>
    </row>
    <row r="30079" spans="8:8">
      <c r="H30079" t="s">
        <v>30609</v>
      </c>
    </row>
    <row r="30080" spans="8:8">
      <c r="H30080" t="s">
        <v>30610</v>
      </c>
    </row>
    <row r="30081" spans="8:8">
      <c r="H30081" t="s">
        <v>30611</v>
      </c>
    </row>
    <row r="30082" spans="8:8">
      <c r="H30082" t="s">
        <v>30612</v>
      </c>
    </row>
    <row r="30083" spans="8:8">
      <c r="H30083" t="s">
        <v>30613</v>
      </c>
    </row>
    <row r="30084" spans="8:8">
      <c r="H30084" t="s">
        <v>30614</v>
      </c>
    </row>
    <row r="30085" spans="8:8">
      <c r="H30085" t="s">
        <v>30615</v>
      </c>
    </row>
    <row r="30086" spans="8:8">
      <c r="H30086" t="s">
        <v>30616</v>
      </c>
    </row>
    <row r="30087" spans="8:8">
      <c r="H30087" t="s">
        <v>22715</v>
      </c>
    </row>
    <row r="30088" spans="8:8">
      <c r="H30088" t="s">
        <v>30617</v>
      </c>
    </row>
    <row r="30089" spans="8:8">
      <c r="H30089" t="s">
        <v>30618</v>
      </c>
    </row>
    <row r="30090" spans="8:8">
      <c r="H30090" t="s">
        <v>30619</v>
      </c>
    </row>
    <row r="30091" spans="8:8">
      <c r="H30091" t="s">
        <v>30620</v>
      </c>
    </row>
    <row r="30092" spans="8:8">
      <c r="H30092" t="s">
        <v>30621</v>
      </c>
    </row>
    <row r="30093" spans="8:8">
      <c r="H30093" t="s">
        <v>30622</v>
      </c>
    </row>
    <row r="30094" spans="8:8">
      <c r="H30094" t="s">
        <v>30623</v>
      </c>
    </row>
    <row r="30095" spans="8:8">
      <c r="H30095" t="s">
        <v>30624</v>
      </c>
    </row>
    <row r="30096" spans="8:8">
      <c r="H30096" t="s">
        <v>30625</v>
      </c>
    </row>
    <row r="30097" spans="6:8">
      <c r="H30097" t="s">
        <v>28154</v>
      </c>
    </row>
    <row r="30098" spans="6:8">
      <c r="H30098" t="s">
        <v>30626</v>
      </c>
    </row>
    <row r="30099" spans="6:8">
      <c r="H30099" t="s">
        <v>30627</v>
      </c>
    </row>
    <row r="30100" spans="6:8">
      <c r="F30100" t="s">
        <v>13581</v>
      </c>
      <c r="G30100" t="s">
        <v>15144</v>
      </c>
      <c r="H30100" t="s">
        <v>18927</v>
      </c>
    </row>
    <row r="30101" spans="6:8">
      <c r="H30101" t="s">
        <v>30628</v>
      </c>
    </row>
    <row r="30102" spans="6:8">
      <c r="H30102" t="s">
        <v>26088</v>
      </c>
    </row>
    <row r="30103" spans="6:8">
      <c r="H30103" t="s">
        <v>26093</v>
      </c>
    </row>
    <row r="30104" spans="6:8">
      <c r="H30104" t="s">
        <v>26093</v>
      </c>
    </row>
    <row r="30105" spans="6:8">
      <c r="H30105" t="s">
        <v>28098</v>
      </c>
    </row>
    <row r="30106" spans="6:8">
      <c r="H30106" t="s">
        <v>30629</v>
      </c>
    </row>
    <row r="30107" spans="6:8">
      <c r="F30107" t="s">
        <v>13582</v>
      </c>
      <c r="G30107" t="s">
        <v>17683</v>
      </c>
      <c r="H30107" t="s">
        <v>30608</v>
      </c>
    </row>
    <row r="30108" spans="6:8">
      <c r="H30108" t="s">
        <v>20244</v>
      </c>
    </row>
    <row r="30109" spans="6:8">
      <c r="H30109" t="s">
        <v>19233</v>
      </c>
    </row>
    <row r="30110" spans="6:8">
      <c r="H30110" t="s">
        <v>19232</v>
      </c>
    </row>
    <row r="30111" spans="6:8">
      <c r="H30111" t="s">
        <v>30612</v>
      </c>
    </row>
    <row r="30112" spans="6:8">
      <c r="H30112" t="s">
        <v>30630</v>
      </c>
    </row>
    <row r="30113" spans="6:8">
      <c r="H30113" t="s">
        <v>18927</v>
      </c>
    </row>
    <row r="30114" spans="6:8">
      <c r="H30114" t="s">
        <v>26657</v>
      </c>
    </row>
    <row r="30115" spans="6:8">
      <c r="H30115" t="s">
        <v>20019</v>
      </c>
    </row>
    <row r="30116" spans="6:8">
      <c r="H30116" t="s">
        <v>30631</v>
      </c>
    </row>
    <row r="30117" spans="6:8">
      <c r="H30117" t="s">
        <v>18956</v>
      </c>
    </row>
    <row r="30118" spans="6:8">
      <c r="H30118" t="s">
        <v>30632</v>
      </c>
    </row>
    <row r="30119" spans="6:8">
      <c r="F30119" t="s">
        <v>13583</v>
      </c>
      <c r="G30119" t="s">
        <v>16894</v>
      </c>
      <c r="H30119" t="s">
        <v>18829</v>
      </c>
    </row>
    <row r="30120" spans="6:8">
      <c r="H30120" t="s">
        <v>18863</v>
      </c>
    </row>
    <row r="30121" spans="6:8">
      <c r="H30121" t="s">
        <v>25955</v>
      </c>
    </row>
    <row r="30122" spans="6:8">
      <c r="H30122" t="s">
        <v>30633</v>
      </c>
    </row>
    <row r="30123" spans="6:8">
      <c r="H30123" t="s">
        <v>25959</v>
      </c>
    </row>
    <row r="30124" spans="6:8">
      <c r="H30124" t="s">
        <v>25956</v>
      </c>
    </row>
    <row r="30125" spans="6:8">
      <c r="H30125" t="s">
        <v>25957</v>
      </c>
    </row>
    <row r="30126" spans="6:8">
      <c r="H30126" t="s">
        <v>30634</v>
      </c>
    </row>
    <row r="30127" spans="6:8">
      <c r="H30127" t="s">
        <v>30635</v>
      </c>
    </row>
    <row r="30128" spans="6:8">
      <c r="H30128" t="s">
        <v>30636</v>
      </c>
    </row>
    <row r="30129" spans="6:8">
      <c r="H30129" t="s">
        <v>25960</v>
      </c>
    </row>
    <row r="30130" spans="6:8">
      <c r="F30130" t="s">
        <v>13584</v>
      </c>
      <c r="G30130" t="s">
        <v>16826</v>
      </c>
      <c r="H30130" t="s">
        <v>18829</v>
      </c>
    </row>
    <row r="30131" spans="6:8">
      <c r="H30131" t="s">
        <v>18863</v>
      </c>
    </row>
    <row r="30132" spans="6:8">
      <c r="H30132" t="s">
        <v>30637</v>
      </c>
    </row>
    <row r="30133" spans="6:8">
      <c r="H30133" t="s">
        <v>30638</v>
      </c>
    </row>
    <row r="30134" spans="6:8">
      <c r="H30134" t="s">
        <v>30639</v>
      </c>
    </row>
    <row r="30135" spans="6:8">
      <c r="F30135" t="s">
        <v>13585</v>
      </c>
      <c r="G30135" t="s">
        <v>17323</v>
      </c>
      <c r="H30135" t="s">
        <v>18829</v>
      </c>
    </row>
    <row r="30136" spans="6:8">
      <c r="H30136" t="s">
        <v>18863</v>
      </c>
    </row>
    <row r="30137" spans="6:8">
      <c r="H30137" t="s">
        <v>30640</v>
      </c>
    </row>
    <row r="30138" spans="6:8">
      <c r="F30138" t="s">
        <v>13586</v>
      </c>
      <c r="G30138" t="s">
        <v>17684</v>
      </c>
      <c r="H30138" t="s">
        <v>18829</v>
      </c>
    </row>
    <row r="30139" spans="6:8">
      <c r="H30139" t="s">
        <v>30641</v>
      </c>
    </row>
    <row r="30140" spans="6:8">
      <c r="H30140" t="s">
        <v>30642</v>
      </c>
    </row>
    <row r="30141" spans="6:8">
      <c r="F30141" t="s">
        <v>13587</v>
      </c>
      <c r="G30141" t="s">
        <v>17685</v>
      </c>
      <c r="H30141" t="s">
        <v>30643</v>
      </c>
    </row>
    <row r="30142" spans="6:8">
      <c r="F30142" t="s">
        <v>13588</v>
      </c>
      <c r="G30142" t="s">
        <v>17686</v>
      </c>
      <c r="H30142" t="s">
        <v>18829</v>
      </c>
    </row>
    <row r="30143" spans="6:8">
      <c r="H30143" t="s">
        <v>18863</v>
      </c>
    </row>
    <row r="30144" spans="6:8">
      <c r="H30144" t="s">
        <v>30644</v>
      </c>
    </row>
    <row r="30145" spans="6:8">
      <c r="H30145" t="s">
        <v>30644</v>
      </c>
    </row>
    <row r="30146" spans="6:8">
      <c r="H30146" t="s">
        <v>30645</v>
      </c>
    </row>
    <row r="30147" spans="6:8">
      <c r="H30147" t="s">
        <v>30646</v>
      </c>
    </row>
    <row r="30148" spans="6:8">
      <c r="H30148" t="s">
        <v>30647</v>
      </c>
    </row>
    <row r="30149" spans="6:8">
      <c r="H30149" t="s">
        <v>30648</v>
      </c>
    </row>
    <row r="30150" spans="6:8">
      <c r="H30150" t="s">
        <v>30649</v>
      </c>
    </row>
    <row r="30151" spans="6:8">
      <c r="H30151" t="s">
        <v>30650</v>
      </c>
    </row>
    <row r="30152" spans="6:8">
      <c r="H30152" t="s">
        <v>30651</v>
      </c>
    </row>
    <row r="30153" spans="6:8">
      <c r="H30153" t="s">
        <v>30652</v>
      </c>
    </row>
    <row r="30154" spans="6:8">
      <c r="H30154" t="s">
        <v>18927</v>
      </c>
    </row>
    <row r="30155" spans="6:8">
      <c r="H30155" t="s">
        <v>30653</v>
      </c>
    </row>
    <row r="30156" spans="6:8">
      <c r="H30156" t="s">
        <v>30654</v>
      </c>
    </row>
    <row r="30157" spans="6:8">
      <c r="H30157" t="s">
        <v>30655</v>
      </c>
    </row>
    <row r="30158" spans="6:8">
      <c r="F30158" t="s">
        <v>13589</v>
      </c>
      <c r="G30158" t="s">
        <v>17687</v>
      </c>
      <c r="H30158" t="s">
        <v>18829</v>
      </c>
    </row>
    <row r="30159" spans="6:8">
      <c r="H30159" t="s">
        <v>18863</v>
      </c>
    </row>
    <row r="30160" spans="6:8">
      <c r="H30160" t="s">
        <v>30656</v>
      </c>
    </row>
    <row r="30161" spans="6:8">
      <c r="H30161" t="s">
        <v>30657</v>
      </c>
    </row>
    <row r="30162" spans="6:8">
      <c r="H30162" t="s">
        <v>30658</v>
      </c>
    </row>
    <row r="30163" spans="6:8">
      <c r="H30163" t="s">
        <v>30659</v>
      </c>
    </row>
    <row r="30164" spans="6:8">
      <c r="H30164" t="s">
        <v>30660</v>
      </c>
    </row>
    <row r="30165" spans="6:8">
      <c r="F30165" t="s">
        <v>13590</v>
      </c>
      <c r="G30165" t="s">
        <v>17688</v>
      </c>
      <c r="H30165" t="s">
        <v>18829</v>
      </c>
    </row>
    <row r="30166" spans="6:8">
      <c r="H30166" t="s">
        <v>18863</v>
      </c>
    </row>
    <row r="30167" spans="6:8">
      <c r="H30167" t="s">
        <v>30661</v>
      </c>
    </row>
    <row r="30168" spans="6:8">
      <c r="H30168" t="s">
        <v>30662</v>
      </c>
    </row>
    <row r="30169" spans="6:8">
      <c r="H30169" t="s">
        <v>26298</v>
      </c>
    </row>
    <row r="30170" spans="6:8">
      <c r="F30170" t="s">
        <v>13591</v>
      </c>
      <c r="G30170" t="s">
        <v>17372</v>
      </c>
      <c r="H30170" t="s">
        <v>18829</v>
      </c>
    </row>
    <row r="30171" spans="6:8">
      <c r="H30171" t="s">
        <v>18863</v>
      </c>
    </row>
    <row r="30172" spans="6:8">
      <c r="H30172" t="s">
        <v>30663</v>
      </c>
    </row>
    <row r="30173" spans="6:8">
      <c r="H30173" t="s">
        <v>30664</v>
      </c>
    </row>
    <row r="30174" spans="6:8">
      <c r="H30174" t="s">
        <v>26298</v>
      </c>
    </row>
    <row r="30175" spans="6:8">
      <c r="F30175" t="s">
        <v>13592</v>
      </c>
      <c r="G30175" t="s">
        <v>17689</v>
      </c>
      <c r="H30175" t="s">
        <v>30665</v>
      </c>
    </row>
    <row r="30176" spans="6:8">
      <c r="H30176" t="s">
        <v>30666</v>
      </c>
    </row>
    <row r="30177" spans="6:8">
      <c r="H30177" t="s">
        <v>30667</v>
      </c>
    </row>
    <row r="30178" spans="6:8">
      <c r="H30178" t="s">
        <v>30668</v>
      </c>
    </row>
    <row r="30179" spans="6:8">
      <c r="F30179" t="s">
        <v>13593</v>
      </c>
      <c r="G30179" t="s">
        <v>16924</v>
      </c>
      <c r="H30179" t="s">
        <v>18829</v>
      </c>
    </row>
    <row r="30180" spans="6:8">
      <c r="H30180" t="s">
        <v>18863</v>
      </c>
    </row>
    <row r="30181" spans="6:8">
      <c r="H30181" t="s">
        <v>22847</v>
      </c>
    </row>
    <row r="30182" spans="6:8">
      <c r="H30182" t="s">
        <v>25718</v>
      </c>
    </row>
    <row r="30183" spans="6:8">
      <c r="H30183" t="s">
        <v>26099</v>
      </c>
    </row>
    <row r="30184" spans="6:8">
      <c r="H30184" t="s">
        <v>26100</v>
      </c>
    </row>
    <row r="30185" spans="6:8">
      <c r="H30185" t="s">
        <v>30669</v>
      </c>
    </row>
    <row r="30186" spans="6:8">
      <c r="H30186" t="s">
        <v>30670</v>
      </c>
    </row>
    <row r="30187" spans="6:8">
      <c r="H30187" t="s">
        <v>30671</v>
      </c>
    </row>
    <row r="30188" spans="6:8">
      <c r="H30188" t="s">
        <v>30672</v>
      </c>
    </row>
    <row r="30189" spans="6:8">
      <c r="H30189" t="s">
        <v>30673</v>
      </c>
    </row>
    <row r="30190" spans="6:8">
      <c r="H30190" t="s">
        <v>30674</v>
      </c>
    </row>
    <row r="30191" spans="6:8">
      <c r="H30191" t="s">
        <v>30675</v>
      </c>
    </row>
    <row r="30192" spans="6:8">
      <c r="H30192" t="s">
        <v>30676</v>
      </c>
    </row>
    <row r="30193" spans="6:8">
      <c r="H30193" t="s">
        <v>30677</v>
      </c>
    </row>
    <row r="30194" spans="6:8">
      <c r="F30194" t="s">
        <v>13594</v>
      </c>
      <c r="G30194" t="s">
        <v>17426</v>
      </c>
      <c r="H30194" t="s">
        <v>18829</v>
      </c>
    </row>
    <row r="30195" spans="6:8">
      <c r="H30195" t="s">
        <v>18863</v>
      </c>
    </row>
    <row r="30196" spans="6:8">
      <c r="H30196" t="s">
        <v>28993</v>
      </c>
    </row>
    <row r="30197" spans="6:8">
      <c r="H30197" t="s">
        <v>30678</v>
      </c>
    </row>
    <row r="30198" spans="6:8">
      <c r="H30198" t="s">
        <v>30679</v>
      </c>
    </row>
    <row r="30199" spans="6:8">
      <c r="H30199" t="s">
        <v>30680</v>
      </c>
    </row>
    <row r="30200" spans="6:8">
      <c r="H30200" t="s">
        <v>30681</v>
      </c>
    </row>
    <row r="30201" spans="6:8">
      <c r="H30201" t="s">
        <v>28994</v>
      </c>
    </row>
    <row r="30202" spans="6:8">
      <c r="H30202" t="s">
        <v>28995</v>
      </c>
    </row>
    <row r="30203" spans="6:8">
      <c r="H30203" t="s">
        <v>28996</v>
      </c>
    </row>
    <row r="30204" spans="6:8">
      <c r="H30204" t="s">
        <v>28997</v>
      </c>
    </row>
    <row r="30205" spans="6:8">
      <c r="F30205" t="s">
        <v>13595</v>
      </c>
      <c r="G30205" t="s">
        <v>17690</v>
      </c>
      <c r="H30205" t="s">
        <v>18829</v>
      </c>
    </row>
    <row r="30206" spans="6:8">
      <c r="H30206" t="s">
        <v>18863</v>
      </c>
    </row>
    <row r="30207" spans="6:8">
      <c r="H30207" t="s">
        <v>30682</v>
      </c>
    </row>
    <row r="30208" spans="6:8">
      <c r="H30208" t="s">
        <v>30683</v>
      </c>
    </row>
    <row r="30209" spans="6:8">
      <c r="F30209" t="s">
        <v>13596</v>
      </c>
      <c r="G30209" t="s">
        <v>17691</v>
      </c>
      <c r="H30209" t="s">
        <v>18829</v>
      </c>
    </row>
    <row r="30210" spans="6:8">
      <c r="H30210" t="s">
        <v>30684</v>
      </c>
    </row>
    <row r="30211" spans="6:8">
      <c r="H30211" t="s">
        <v>30685</v>
      </c>
    </row>
    <row r="30212" spans="6:8">
      <c r="H30212" t="s">
        <v>30686</v>
      </c>
    </row>
    <row r="30213" spans="6:8">
      <c r="H30213" t="s">
        <v>30687</v>
      </c>
    </row>
    <row r="30214" spans="6:8">
      <c r="H30214" t="s">
        <v>30688</v>
      </c>
    </row>
    <row r="30215" spans="6:8">
      <c r="H30215" t="s">
        <v>19759</v>
      </c>
    </row>
    <row r="30216" spans="6:8">
      <c r="F30216" t="s">
        <v>13597</v>
      </c>
      <c r="G30216" t="s">
        <v>17322</v>
      </c>
      <c r="H30216" t="s">
        <v>18829</v>
      </c>
    </row>
    <row r="30217" spans="6:8">
      <c r="H30217" t="s">
        <v>30689</v>
      </c>
    </row>
    <row r="30218" spans="6:8">
      <c r="H30218" t="s">
        <v>30690</v>
      </c>
    </row>
    <row r="30219" spans="6:8">
      <c r="H30219" t="s">
        <v>30691</v>
      </c>
    </row>
    <row r="30220" spans="6:8">
      <c r="H30220" t="s">
        <v>30692</v>
      </c>
    </row>
    <row r="30221" spans="6:8">
      <c r="H30221" t="s">
        <v>26114</v>
      </c>
    </row>
    <row r="30222" spans="6:8">
      <c r="F30222" t="s">
        <v>13598</v>
      </c>
      <c r="G30222" t="s">
        <v>16923</v>
      </c>
      <c r="H30222" t="s">
        <v>18829</v>
      </c>
    </row>
    <row r="30223" spans="6:8">
      <c r="H30223" t="s">
        <v>26081</v>
      </c>
    </row>
    <row r="30224" spans="6:8">
      <c r="H30224" t="s">
        <v>26082</v>
      </c>
    </row>
    <row r="30225" spans="6:8">
      <c r="H30225" t="s">
        <v>26083</v>
      </c>
    </row>
    <row r="30226" spans="6:8">
      <c r="H30226" t="s">
        <v>26084</v>
      </c>
    </row>
    <row r="30227" spans="6:8">
      <c r="F30227" t="s">
        <v>13599</v>
      </c>
      <c r="G30227" t="s">
        <v>16918</v>
      </c>
      <c r="H30227" t="s">
        <v>18829</v>
      </c>
    </row>
    <row r="30228" spans="6:8">
      <c r="H30228" t="s">
        <v>26069</v>
      </c>
    </row>
    <row r="30229" spans="6:8">
      <c r="H30229" t="s">
        <v>26070</v>
      </c>
    </row>
    <row r="30230" spans="6:8">
      <c r="H30230" t="s">
        <v>26071</v>
      </c>
    </row>
    <row r="30231" spans="6:8">
      <c r="H30231" t="s">
        <v>26072</v>
      </c>
    </row>
    <row r="30232" spans="6:8">
      <c r="H30232" t="s">
        <v>26073</v>
      </c>
    </row>
    <row r="30233" spans="6:8">
      <c r="H30233" t="s">
        <v>30693</v>
      </c>
    </row>
    <row r="30234" spans="6:8">
      <c r="H30234" t="s">
        <v>30694</v>
      </c>
    </row>
    <row r="30235" spans="6:8">
      <c r="F30235" t="s">
        <v>13600</v>
      </c>
      <c r="G30235" t="s">
        <v>16845</v>
      </c>
      <c r="H30235" t="s">
        <v>18829</v>
      </c>
    </row>
    <row r="30236" spans="6:8">
      <c r="H30236" t="s">
        <v>29660</v>
      </c>
    </row>
    <row r="30237" spans="6:8">
      <c r="H30237" t="s">
        <v>29661</v>
      </c>
    </row>
    <row r="30238" spans="6:8">
      <c r="H30238" t="s">
        <v>29662</v>
      </c>
    </row>
    <row r="30239" spans="6:8">
      <c r="H30239" t="s">
        <v>29663</v>
      </c>
    </row>
    <row r="30240" spans="6:8">
      <c r="H30240" t="s">
        <v>29664</v>
      </c>
    </row>
    <row r="30241" spans="6:8">
      <c r="H30241" t="s">
        <v>29665</v>
      </c>
    </row>
    <row r="30242" spans="6:8">
      <c r="H30242" t="s">
        <v>30695</v>
      </c>
    </row>
    <row r="30243" spans="6:8">
      <c r="H30243" t="s">
        <v>30696</v>
      </c>
    </row>
    <row r="30244" spans="6:8">
      <c r="H30244" t="s">
        <v>30697</v>
      </c>
    </row>
    <row r="30245" spans="6:8">
      <c r="H30245" t="s">
        <v>30698</v>
      </c>
    </row>
    <row r="30246" spans="6:8">
      <c r="H30246" t="s">
        <v>30699</v>
      </c>
    </row>
    <row r="30247" spans="6:8">
      <c r="H30247" t="s">
        <v>30700</v>
      </c>
    </row>
    <row r="30248" spans="6:8">
      <c r="H30248" t="s">
        <v>30701</v>
      </c>
    </row>
    <row r="30249" spans="6:8">
      <c r="H30249" t="s">
        <v>30702</v>
      </c>
    </row>
    <row r="30250" spans="6:8">
      <c r="H30250" t="s">
        <v>30703</v>
      </c>
    </row>
    <row r="30251" spans="6:8">
      <c r="F30251" t="s">
        <v>13601</v>
      </c>
      <c r="G30251" t="s">
        <v>17305</v>
      </c>
      <c r="H30251" t="s">
        <v>30704</v>
      </c>
    </row>
    <row r="30252" spans="6:8">
      <c r="H30252" t="s">
        <v>30704</v>
      </c>
    </row>
    <row r="30253" spans="6:8">
      <c r="H30253" t="s">
        <v>18829</v>
      </c>
    </row>
    <row r="30254" spans="6:8">
      <c r="H30254" t="s">
        <v>18863</v>
      </c>
    </row>
    <row r="30255" spans="6:8">
      <c r="H30255" t="s">
        <v>30705</v>
      </c>
    </row>
    <row r="30256" spans="6:8">
      <c r="H30256" t="s">
        <v>30706</v>
      </c>
    </row>
    <row r="30257" spans="6:8">
      <c r="H30257" t="s">
        <v>30707</v>
      </c>
    </row>
    <row r="30258" spans="6:8">
      <c r="H30258" t="s">
        <v>30708</v>
      </c>
    </row>
    <row r="30259" spans="6:8">
      <c r="H30259" t="s">
        <v>30709</v>
      </c>
    </row>
    <row r="30260" spans="6:8">
      <c r="H30260" t="s">
        <v>30710</v>
      </c>
    </row>
    <row r="30261" spans="6:8">
      <c r="H30261" t="s">
        <v>30711</v>
      </c>
    </row>
    <row r="30262" spans="6:8">
      <c r="H30262" t="s">
        <v>30712</v>
      </c>
    </row>
    <row r="30263" spans="6:8">
      <c r="H30263" t="s">
        <v>30713</v>
      </c>
    </row>
    <row r="30264" spans="6:8">
      <c r="H30264" t="s">
        <v>30713</v>
      </c>
    </row>
    <row r="30265" spans="6:8">
      <c r="H30265" t="s">
        <v>29493</v>
      </c>
    </row>
    <row r="30266" spans="6:8">
      <c r="H30266" t="s">
        <v>30714</v>
      </c>
    </row>
    <row r="30267" spans="6:8">
      <c r="H30267" t="s">
        <v>30715</v>
      </c>
    </row>
    <row r="30268" spans="6:8">
      <c r="F30268" t="s">
        <v>13602</v>
      </c>
      <c r="G30268" t="s">
        <v>16867</v>
      </c>
      <c r="H30268" t="s">
        <v>25716</v>
      </c>
    </row>
    <row r="30269" spans="6:8">
      <c r="H30269" t="s">
        <v>30716</v>
      </c>
    </row>
    <row r="30270" spans="6:8">
      <c r="H30270" t="s">
        <v>26652</v>
      </c>
    </row>
    <row r="30271" spans="6:8">
      <c r="H30271" t="s">
        <v>26653</v>
      </c>
    </row>
    <row r="30272" spans="6:8">
      <c r="H30272" t="s">
        <v>26654</v>
      </c>
    </row>
    <row r="30273" spans="6:8">
      <c r="H30273" t="s">
        <v>26655</v>
      </c>
    </row>
    <row r="30274" spans="6:8">
      <c r="H30274" t="s">
        <v>18927</v>
      </c>
    </row>
    <row r="30275" spans="6:8">
      <c r="H30275" t="s">
        <v>25497</v>
      </c>
    </row>
    <row r="30276" spans="6:8">
      <c r="H30276" t="s">
        <v>28090</v>
      </c>
    </row>
    <row r="30277" spans="6:8">
      <c r="H30277" t="s">
        <v>26656</v>
      </c>
    </row>
    <row r="30278" spans="6:8">
      <c r="H30278" t="s">
        <v>30609</v>
      </c>
    </row>
    <row r="30279" spans="6:8">
      <c r="F30279" t="s">
        <v>13603</v>
      </c>
      <c r="G30279" t="s">
        <v>17320</v>
      </c>
      <c r="H30279" t="s">
        <v>18829</v>
      </c>
    </row>
    <row r="30280" spans="6:8">
      <c r="H30280" t="s">
        <v>30717</v>
      </c>
    </row>
    <row r="30281" spans="6:8">
      <c r="H30281" t="s">
        <v>30644</v>
      </c>
    </row>
    <row r="30282" spans="6:8">
      <c r="H30282" t="s">
        <v>30644</v>
      </c>
    </row>
    <row r="30283" spans="6:8">
      <c r="H30283" t="s">
        <v>18863</v>
      </c>
    </row>
    <row r="30284" spans="6:8">
      <c r="H30284" t="s">
        <v>28450</v>
      </c>
    </row>
    <row r="30285" spans="6:8">
      <c r="H30285" t="s">
        <v>30718</v>
      </c>
    </row>
    <row r="30286" spans="6:8">
      <c r="H30286" t="s">
        <v>30719</v>
      </c>
    </row>
    <row r="30287" spans="6:8">
      <c r="H30287" t="s">
        <v>30720</v>
      </c>
    </row>
    <row r="30288" spans="6:8">
      <c r="H30288" t="s">
        <v>30721</v>
      </c>
    </row>
    <row r="30289" spans="8:8">
      <c r="H30289" t="s">
        <v>30722</v>
      </c>
    </row>
    <row r="30290" spans="8:8">
      <c r="H30290" t="s">
        <v>30723</v>
      </c>
    </row>
    <row r="30291" spans="8:8">
      <c r="H30291" t="s">
        <v>30724</v>
      </c>
    </row>
    <row r="30292" spans="8:8">
      <c r="H30292" t="s">
        <v>30725</v>
      </c>
    </row>
    <row r="30293" spans="8:8">
      <c r="H30293" t="s">
        <v>30726</v>
      </c>
    </row>
    <row r="30294" spans="8:8">
      <c r="H30294" t="s">
        <v>30727</v>
      </c>
    </row>
    <row r="30295" spans="8:8">
      <c r="H30295" t="s">
        <v>26001</v>
      </c>
    </row>
    <row r="30296" spans="8:8">
      <c r="H30296" t="s">
        <v>30728</v>
      </c>
    </row>
    <row r="30297" spans="8:8">
      <c r="H30297" t="s">
        <v>30695</v>
      </c>
    </row>
    <row r="30298" spans="8:8">
      <c r="H30298" t="s">
        <v>30729</v>
      </c>
    </row>
    <row r="30299" spans="8:8">
      <c r="H30299" t="s">
        <v>28365</v>
      </c>
    </row>
    <row r="30300" spans="8:8">
      <c r="H30300" t="s">
        <v>26656</v>
      </c>
    </row>
    <row r="30301" spans="8:8">
      <c r="H30301" t="s">
        <v>18927</v>
      </c>
    </row>
    <row r="30302" spans="8:8">
      <c r="H30302" t="s">
        <v>26655</v>
      </c>
    </row>
    <row r="30303" spans="8:8">
      <c r="H30303" t="s">
        <v>26653</v>
      </c>
    </row>
    <row r="30304" spans="8:8">
      <c r="H30304" t="s">
        <v>26654</v>
      </c>
    </row>
    <row r="30305" spans="8:8">
      <c r="H30305" t="s">
        <v>26652</v>
      </c>
    </row>
    <row r="30306" spans="8:8">
      <c r="H30306" t="s">
        <v>30609</v>
      </c>
    </row>
    <row r="30307" spans="8:8">
      <c r="H30307" t="s">
        <v>25497</v>
      </c>
    </row>
    <row r="30308" spans="8:8">
      <c r="H30308" t="s">
        <v>28090</v>
      </c>
    </row>
    <row r="30309" spans="8:8">
      <c r="H30309" t="s">
        <v>30730</v>
      </c>
    </row>
    <row r="30310" spans="8:8">
      <c r="H30310" t="s">
        <v>30731</v>
      </c>
    </row>
    <row r="30311" spans="8:8">
      <c r="H30311" t="s">
        <v>29686</v>
      </c>
    </row>
    <row r="30312" spans="8:8">
      <c r="H30312" t="s">
        <v>29687</v>
      </c>
    </row>
    <row r="30313" spans="8:8">
      <c r="H30313" t="s">
        <v>29688</v>
      </c>
    </row>
    <row r="30314" spans="8:8">
      <c r="H30314" t="s">
        <v>29689</v>
      </c>
    </row>
    <row r="30315" spans="8:8">
      <c r="H30315" t="s">
        <v>29690</v>
      </c>
    </row>
    <row r="30316" spans="8:8">
      <c r="H30316" t="s">
        <v>29691</v>
      </c>
    </row>
    <row r="30317" spans="8:8">
      <c r="H30317" t="s">
        <v>29692</v>
      </c>
    </row>
    <row r="30318" spans="8:8">
      <c r="H30318" t="s">
        <v>29693</v>
      </c>
    </row>
    <row r="30319" spans="8:8">
      <c r="H30319" t="s">
        <v>29694</v>
      </c>
    </row>
    <row r="30320" spans="8:8">
      <c r="H30320" t="s">
        <v>29695</v>
      </c>
    </row>
    <row r="30321" spans="6:8">
      <c r="H30321" t="s">
        <v>29696</v>
      </c>
    </row>
    <row r="30322" spans="6:8">
      <c r="H30322" t="s">
        <v>29697</v>
      </c>
    </row>
    <row r="30323" spans="6:8">
      <c r="H30323" t="s">
        <v>29698</v>
      </c>
    </row>
    <row r="30324" spans="6:8">
      <c r="H30324" t="s">
        <v>29699</v>
      </c>
    </row>
    <row r="30325" spans="6:8">
      <c r="H30325" t="s">
        <v>29700</v>
      </c>
    </row>
    <row r="30326" spans="6:8">
      <c r="H30326" t="s">
        <v>18927</v>
      </c>
    </row>
    <row r="30327" spans="6:8">
      <c r="H30327" t="s">
        <v>29862</v>
      </c>
    </row>
    <row r="30328" spans="6:8">
      <c r="F30328" t="s">
        <v>13604</v>
      </c>
      <c r="G30328" t="s">
        <v>17287</v>
      </c>
      <c r="H30328" t="s">
        <v>26000</v>
      </c>
    </row>
    <row r="30329" spans="6:8">
      <c r="H30329" t="s">
        <v>26001</v>
      </c>
    </row>
    <row r="30330" spans="6:8">
      <c r="H30330" t="s">
        <v>30732</v>
      </c>
    </row>
    <row r="30331" spans="6:8">
      <c r="H30331" t="s">
        <v>28018</v>
      </c>
    </row>
    <row r="30332" spans="6:8">
      <c r="F30332" t="s">
        <v>13605</v>
      </c>
      <c r="G30332" t="s">
        <v>17692</v>
      </c>
      <c r="H30332" t="s">
        <v>30733</v>
      </c>
    </row>
    <row r="30333" spans="6:8">
      <c r="H30333" t="s">
        <v>18927</v>
      </c>
    </row>
    <row r="30334" spans="6:8">
      <c r="H30334" t="s">
        <v>25497</v>
      </c>
    </row>
    <row r="30335" spans="6:8">
      <c r="H30335" t="s">
        <v>28090</v>
      </c>
    </row>
    <row r="30336" spans="6:8">
      <c r="H30336" t="s">
        <v>26656</v>
      </c>
    </row>
    <row r="30337" spans="6:8">
      <c r="H30337" t="s">
        <v>30609</v>
      </c>
    </row>
    <row r="30338" spans="6:8">
      <c r="H30338" t="s">
        <v>26652</v>
      </c>
    </row>
    <row r="30339" spans="6:8">
      <c r="H30339" t="s">
        <v>26653</v>
      </c>
    </row>
    <row r="30340" spans="6:8">
      <c r="H30340" t="s">
        <v>26654</v>
      </c>
    </row>
    <row r="30341" spans="6:8">
      <c r="H30341" t="s">
        <v>26655</v>
      </c>
    </row>
    <row r="30342" spans="6:8">
      <c r="F30342" t="s">
        <v>13606</v>
      </c>
      <c r="G30342" t="s">
        <v>17693</v>
      </c>
      <c r="H30342" t="s">
        <v>30607</v>
      </c>
    </row>
    <row r="30343" spans="6:8">
      <c r="F30343" t="s">
        <v>13607</v>
      </c>
      <c r="G30343" t="s">
        <v>17510</v>
      </c>
      <c r="H30343" t="s">
        <v>30734</v>
      </c>
    </row>
    <row r="30344" spans="6:8">
      <c r="H30344" t="s">
        <v>26657</v>
      </c>
    </row>
    <row r="30345" spans="6:8">
      <c r="H30345" t="s">
        <v>30734</v>
      </c>
    </row>
    <row r="30346" spans="6:8">
      <c r="H30346" t="s">
        <v>18829</v>
      </c>
    </row>
    <row r="30347" spans="6:8">
      <c r="H30347" t="s">
        <v>30735</v>
      </c>
    </row>
    <row r="30348" spans="6:8">
      <c r="H30348" t="s">
        <v>30736</v>
      </c>
    </row>
    <row r="30349" spans="6:8">
      <c r="H30349" t="s">
        <v>25956</v>
      </c>
    </row>
    <row r="30350" spans="6:8">
      <c r="F30350" t="s">
        <v>13608</v>
      </c>
      <c r="G30350" t="s">
        <v>17694</v>
      </c>
      <c r="H30350" t="s">
        <v>30737</v>
      </c>
    </row>
    <row r="30351" spans="6:8">
      <c r="F30351" t="s">
        <v>13609</v>
      </c>
      <c r="G30351" t="s">
        <v>17695</v>
      </c>
      <c r="H30351" t="s">
        <v>18829</v>
      </c>
    </row>
    <row r="30352" spans="6:8">
      <c r="H30352" t="s">
        <v>18863</v>
      </c>
    </row>
    <row r="30353" spans="6:8">
      <c r="H30353" t="s">
        <v>30738</v>
      </c>
    </row>
    <row r="30354" spans="6:8">
      <c r="H30354" t="s">
        <v>30739</v>
      </c>
    </row>
    <row r="30355" spans="6:8">
      <c r="H30355" t="s">
        <v>30740</v>
      </c>
    </row>
    <row r="30356" spans="6:8">
      <c r="H30356" t="s">
        <v>30741</v>
      </c>
    </row>
    <row r="30357" spans="6:8">
      <c r="H30357" t="s">
        <v>30742</v>
      </c>
    </row>
    <row r="30358" spans="6:8">
      <c r="H30358" t="s">
        <v>30743</v>
      </c>
    </row>
    <row r="30359" spans="6:8">
      <c r="F30359" t="s">
        <v>13610</v>
      </c>
      <c r="G30359" t="s">
        <v>17696</v>
      </c>
      <c r="H30359" t="s">
        <v>30744</v>
      </c>
    </row>
    <row r="30360" spans="6:8">
      <c r="H30360" t="s">
        <v>30745</v>
      </c>
    </row>
    <row r="30361" spans="6:8">
      <c r="H30361" t="s">
        <v>30746</v>
      </c>
    </row>
    <row r="30362" spans="6:8">
      <c r="F30362" t="s">
        <v>13611</v>
      </c>
      <c r="G30362" t="s">
        <v>17428</v>
      </c>
      <c r="H30362" t="s">
        <v>29006</v>
      </c>
    </row>
    <row r="30363" spans="6:8">
      <c r="H30363" t="s">
        <v>29007</v>
      </c>
    </row>
    <row r="30364" spans="6:8">
      <c r="F30364" t="s">
        <v>13612</v>
      </c>
      <c r="G30364" t="s">
        <v>17697</v>
      </c>
      <c r="H30364" t="s">
        <v>30747</v>
      </c>
    </row>
    <row r="30365" spans="6:8">
      <c r="H30365" t="s">
        <v>30748</v>
      </c>
    </row>
    <row r="30366" spans="6:8">
      <c r="H30366" t="s">
        <v>30749</v>
      </c>
    </row>
    <row r="30367" spans="6:8">
      <c r="H30367" t="s">
        <v>30750</v>
      </c>
    </row>
    <row r="30368" spans="6:8">
      <c r="F30368" t="s">
        <v>13613</v>
      </c>
      <c r="G30368" t="s">
        <v>16868</v>
      </c>
      <c r="H30368" t="s">
        <v>30751</v>
      </c>
    </row>
    <row r="30369" spans="6:8">
      <c r="H30369" t="s">
        <v>28161</v>
      </c>
    </row>
    <row r="30370" spans="6:8">
      <c r="H30370" t="s">
        <v>18930</v>
      </c>
    </row>
    <row r="30371" spans="6:8">
      <c r="H30371" t="s">
        <v>28090</v>
      </c>
    </row>
    <row r="30372" spans="6:8">
      <c r="H30372" t="s">
        <v>18931</v>
      </c>
    </row>
    <row r="30373" spans="6:8">
      <c r="H30373" t="s">
        <v>26589</v>
      </c>
    </row>
    <row r="30374" spans="6:8">
      <c r="F30374" t="s">
        <v>13614</v>
      </c>
      <c r="G30374" t="s">
        <v>17698</v>
      </c>
      <c r="H30374" t="s">
        <v>18829</v>
      </c>
    </row>
    <row r="30375" spans="6:8">
      <c r="H30375" t="s">
        <v>30752</v>
      </c>
    </row>
    <row r="30376" spans="6:8">
      <c r="H30376" t="s">
        <v>30753</v>
      </c>
    </row>
    <row r="30377" spans="6:8">
      <c r="H30377" t="s">
        <v>30754</v>
      </c>
    </row>
    <row r="30378" spans="6:8">
      <c r="H30378" t="s">
        <v>30755</v>
      </c>
    </row>
    <row r="30379" spans="6:8">
      <c r="H30379" t="s">
        <v>30756</v>
      </c>
    </row>
    <row r="30380" spans="6:8">
      <c r="H30380" t="s">
        <v>30757</v>
      </c>
    </row>
    <row r="30381" spans="6:8">
      <c r="H30381" t="s">
        <v>30758</v>
      </c>
    </row>
    <row r="30382" spans="6:8">
      <c r="H30382" t="s">
        <v>30759</v>
      </c>
    </row>
    <row r="30383" spans="6:8">
      <c r="H30383" t="s">
        <v>30760</v>
      </c>
    </row>
    <row r="30384" spans="6:8">
      <c r="H30384" t="s">
        <v>30761</v>
      </c>
    </row>
    <row r="30385" spans="8:8">
      <c r="H30385" t="s">
        <v>30762</v>
      </c>
    </row>
    <row r="30386" spans="8:8">
      <c r="H30386" t="s">
        <v>30763</v>
      </c>
    </row>
    <row r="30387" spans="8:8">
      <c r="H30387" t="s">
        <v>30764</v>
      </c>
    </row>
    <row r="30388" spans="8:8">
      <c r="H30388" t="s">
        <v>30765</v>
      </c>
    </row>
    <row r="30389" spans="8:8">
      <c r="H30389" t="s">
        <v>30766</v>
      </c>
    </row>
    <row r="30390" spans="8:8">
      <c r="H30390" t="s">
        <v>30767</v>
      </c>
    </row>
    <row r="30391" spans="8:8">
      <c r="H30391" t="s">
        <v>30768</v>
      </c>
    </row>
    <row r="30392" spans="8:8">
      <c r="H30392" t="s">
        <v>30769</v>
      </c>
    </row>
    <row r="30393" spans="8:8">
      <c r="H30393" t="s">
        <v>30770</v>
      </c>
    </row>
    <row r="30394" spans="8:8">
      <c r="H30394" t="s">
        <v>30771</v>
      </c>
    </row>
    <row r="30395" spans="8:8">
      <c r="H30395" t="s">
        <v>30772</v>
      </c>
    </row>
    <row r="30396" spans="8:8">
      <c r="H30396" t="s">
        <v>30772</v>
      </c>
    </row>
    <row r="30397" spans="8:8">
      <c r="H30397" t="s">
        <v>30772</v>
      </c>
    </row>
    <row r="30398" spans="8:8">
      <c r="H30398" t="s">
        <v>30773</v>
      </c>
    </row>
    <row r="30399" spans="8:8">
      <c r="H30399" t="s">
        <v>30774</v>
      </c>
    </row>
    <row r="30400" spans="8:8">
      <c r="H30400" t="s">
        <v>30775</v>
      </c>
    </row>
    <row r="30401" spans="6:8">
      <c r="H30401" t="s">
        <v>30776</v>
      </c>
    </row>
    <row r="30402" spans="6:8">
      <c r="H30402" t="s">
        <v>30777</v>
      </c>
    </row>
    <row r="30403" spans="6:8">
      <c r="H30403" t="s">
        <v>30778</v>
      </c>
    </row>
    <row r="30404" spans="6:8">
      <c r="H30404" t="s">
        <v>30779</v>
      </c>
    </row>
    <row r="30405" spans="6:8">
      <c r="H30405" t="s">
        <v>30780</v>
      </c>
    </row>
    <row r="30406" spans="6:8">
      <c r="H30406" t="s">
        <v>30781</v>
      </c>
    </row>
    <row r="30407" spans="6:8">
      <c r="H30407" t="s">
        <v>30772</v>
      </c>
    </row>
    <row r="30408" spans="6:8">
      <c r="F30408" t="s">
        <v>13615</v>
      </c>
      <c r="G30408" t="s">
        <v>17699</v>
      </c>
      <c r="H30408" t="s">
        <v>30782</v>
      </c>
    </row>
    <row r="30409" spans="6:8">
      <c r="H30409" t="s">
        <v>30783</v>
      </c>
    </row>
    <row r="30410" spans="6:8">
      <c r="F30410" t="s">
        <v>13616</v>
      </c>
      <c r="G30410" t="s">
        <v>16860</v>
      </c>
      <c r="H30410" t="s">
        <v>18829</v>
      </c>
    </row>
    <row r="30411" spans="6:8">
      <c r="H30411" t="s">
        <v>18863</v>
      </c>
    </row>
    <row r="30412" spans="6:8">
      <c r="H30412" t="s">
        <v>25716</v>
      </c>
    </row>
    <row r="30413" spans="6:8">
      <c r="H30413" t="s">
        <v>25717</v>
      </c>
    </row>
    <row r="30414" spans="6:8">
      <c r="H30414" t="s">
        <v>25719</v>
      </c>
    </row>
    <row r="30415" spans="6:8">
      <c r="H30415" t="s">
        <v>30784</v>
      </c>
    </row>
    <row r="30416" spans="6:8">
      <c r="H30416" t="s">
        <v>30785</v>
      </c>
    </row>
    <row r="30417" spans="6:8">
      <c r="H30417" t="s">
        <v>30786</v>
      </c>
    </row>
    <row r="30418" spans="6:8">
      <c r="F30418" t="s">
        <v>13617</v>
      </c>
      <c r="G30418" t="s">
        <v>16869</v>
      </c>
      <c r="H30418" t="s">
        <v>30787</v>
      </c>
    </row>
    <row r="30419" spans="6:8">
      <c r="H30419" t="s">
        <v>30788</v>
      </c>
    </row>
    <row r="30420" spans="6:8">
      <c r="H30420" t="s">
        <v>30789</v>
      </c>
    </row>
    <row r="30421" spans="6:8">
      <c r="H30421" t="s">
        <v>30790</v>
      </c>
    </row>
    <row r="30422" spans="6:8">
      <c r="H30422" t="s">
        <v>30791</v>
      </c>
    </row>
    <row r="30423" spans="6:8">
      <c r="H30423" t="s">
        <v>30792</v>
      </c>
    </row>
    <row r="30424" spans="6:8">
      <c r="H30424" t="s">
        <v>30793</v>
      </c>
    </row>
    <row r="30425" spans="6:8">
      <c r="H30425" t="s">
        <v>30794</v>
      </c>
    </row>
    <row r="30426" spans="6:8">
      <c r="F30426" t="s">
        <v>13618</v>
      </c>
      <c r="G30426" t="s">
        <v>15044</v>
      </c>
      <c r="H30426" t="s">
        <v>18939</v>
      </c>
    </row>
    <row r="30427" spans="6:8">
      <c r="H30427" t="s">
        <v>18931</v>
      </c>
    </row>
    <row r="30428" spans="6:8">
      <c r="H30428" t="s">
        <v>19790</v>
      </c>
    </row>
    <row r="30429" spans="6:8">
      <c r="H30429" t="s">
        <v>25721</v>
      </c>
    </row>
    <row r="30430" spans="6:8">
      <c r="H30430" t="s">
        <v>25722</v>
      </c>
    </row>
    <row r="30431" spans="6:8">
      <c r="H30431" t="s">
        <v>25723</v>
      </c>
    </row>
    <row r="30432" spans="6:8">
      <c r="H30432" t="s">
        <v>20444</v>
      </c>
    </row>
    <row r="30433" spans="8:8">
      <c r="H30433" t="s">
        <v>18820</v>
      </c>
    </row>
    <row r="30434" spans="8:8">
      <c r="H30434" t="s">
        <v>18824</v>
      </c>
    </row>
    <row r="30435" spans="8:8">
      <c r="H30435" t="s">
        <v>25687</v>
      </c>
    </row>
    <row r="30436" spans="8:8">
      <c r="H30436" t="s">
        <v>25688</v>
      </c>
    </row>
    <row r="30437" spans="8:8">
      <c r="H30437" t="s">
        <v>25724</v>
      </c>
    </row>
    <row r="30438" spans="8:8">
      <c r="H30438" t="s">
        <v>25725</v>
      </c>
    </row>
    <row r="30439" spans="8:8">
      <c r="H30439" t="s">
        <v>25726</v>
      </c>
    </row>
    <row r="30440" spans="8:8">
      <c r="H30440" t="s">
        <v>25727</v>
      </c>
    </row>
    <row r="30441" spans="8:8">
      <c r="H30441" t="s">
        <v>19918</v>
      </c>
    </row>
    <row r="30442" spans="8:8">
      <c r="H30442" t="s">
        <v>30795</v>
      </c>
    </row>
    <row r="30443" spans="8:8">
      <c r="H30443" t="s">
        <v>30796</v>
      </c>
    </row>
    <row r="30444" spans="8:8">
      <c r="H30444" t="s">
        <v>30797</v>
      </c>
    </row>
    <row r="30445" spans="8:8">
      <c r="H30445" t="s">
        <v>30798</v>
      </c>
    </row>
    <row r="30446" spans="8:8">
      <c r="H30446" t="s">
        <v>30799</v>
      </c>
    </row>
    <row r="30447" spans="8:8">
      <c r="H30447" t="s">
        <v>18893</v>
      </c>
    </row>
    <row r="30448" spans="8:8">
      <c r="H30448" t="s">
        <v>30800</v>
      </c>
    </row>
    <row r="30449" spans="6:8">
      <c r="H30449" t="s">
        <v>30801</v>
      </c>
    </row>
    <row r="30450" spans="6:8">
      <c r="H30450" t="s">
        <v>30802</v>
      </c>
    </row>
    <row r="30451" spans="6:8">
      <c r="H30451" t="s">
        <v>25728</v>
      </c>
    </row>
    <row r="30452" spans="6:8">
      <c r="H30452" t="s">
        <v>19735</v>
      </c>
    </row>
    <row r="30453" spans="6:8">
      <c r="F30453" t="s">
        <v>13619</v>
      </c>
      <c r="G30453" t="s">
        <v>17700</v>
      </c>
      <c r="H30453" t="s">
        <v>30803</v>
      </c>
    </row>
    <row r="30454" spans="6:8">
      <c r="H30454" t="s">
        <v>22310</v>
      </c>
    </row>
    <row r="30455" spans="6:8">
      <c r="H30455" t="s">
        <v>19909</v>
      </c>
    </row>
    <row r="30456" spans="6:8">
      <c r="F30456" t="s">
        <v>13620</v>
      </c>
      <c r="G30456" t="s">
        <v>17701</v>
      </c>
      <c r="H30456" t="s">
        <v>30804</v>
      </c>
    </row>
    <row r="30457" spans="6:8">
      <c r="H30457" t="s">
        <v>30805</v>
      </c>
    </row>
    <row r="30458" spans="6:8">
      <c r="H30458" t="s">
        <v>30783</v>
      </c>
    </row>
    <row r="30459" spans="6:8">
      <c r="F30459" t="s">
        <v>13621</v>
      </c>
      <c r="G30459" t="s">
        <v>17702</v>
      </c>
      <c r="H30459" t="s">
        <v>18829</v>
      </c>
    </row>
    <row r="30460" spans="6:8">
      <c r="H30460" t="s">
        <v>18863</v>
      </c>
    </row>
    <row r="30461" spans="6:8">
      <c r="H30461" t="s">
        <v>25716</v>
      </c>
    </row>
    <row r="30462" spans="6:8">
      <c r="H30462" t="s">
        <v>25717</v>
      </c>
    </row>
    <row r="30463" spans="6:8">
      <c r="H30463" t="s">
        <v>25718</v>
      </c>
    </row>
    <row r="30464" spans="6:8">
      <c r="H30464" t="s">
        <v>25719</v>
      </c>
    </row>
    <row r="30465" spans="6:8">
      <c r="H30465" t="s">
        <v>30806</v>
      </c>
    </row>
    <row r="30466" spans="6:8">
      <c r="H30466" t="s">
        <v>30807</v>
      </c>
    </row>
    <row r="30467" spans="6:8">
      <c r="H30467" t="s">
        <v>30808</v>
      </c>
    </row>
    <row r="30468" spans="6:8">
      <c r="F30468" t="s">
        <v>13622</v>
      </c>
      <c r="G30468" t="s">
        <v>17703</v>
      </c>
      <c r="H30468" t="s">
        <v>30809</v>
      </c>
    </row>
    <row r="30469" spans="6:8">
      <c r="H30469" t="s">
        <v>30810</v>
      </c>
    </row>
    <row r="30470" spans="6:8">
      <c r="H30470" t="s">
        <v>30783</v>
      </c>
    </row>
    <row r="30471" spans="6:8">
      <c r="F30471" t="s">
        <v>13623</v>
      </c>
      <c r="G30471" t="s">
        <v>17704</v>
      </c>
      <c r="H30471" t="s">
        <v>18829</v>
      </c>
    </row>
    <row r="30472" spans="6:8">
      <c r="H30472" t="s">
        <v>18863</v>
      </c>
    </row>
    <row r="30473" spans="6:8">
      <c r="H30473" t="s">
        <v>30811</v>
      </c>
    </row>
    <row r="30474" spans="6:8">
      <c r="F30474" t="s">
        <v>13624</v>
      </c>
      <c r="G30474" t="s">
        <v>17705</v>
      </c>
      <c r="H30474" t="s">
        <v>18829</v>
      </c>
    </row>
    <row r="30475" spans="6:8">
      <c r="H30475" t="s">
        <v>30812</v>
      </c>
    </row>
    <row r="30476" spans="6:8">
      <c r="H30476" t="s">
        <v>30813</v>
      </c>
    </row>
    <row r="30477" spans="6:8">
      <c r="H30477" t="s">
        <v>20077</v>
      </c>
    </row>
    <row r="30478" spans="6:8">
      <c r="F30478" t="s">
        <v>13625</v>
      </c>
      <c r="G30478" t="s">
        <v>17706</v>
      </c>
      <c r="H30478" t="s">
        <v>30814</v>
      </c>
    </row>
    <row r="30479" spans="6:8">
      <c r="F30479" t="s">
        <v>13626</v>
      </c>
      <c r="G30479" t="s">
        <v>16857</v>
      </c>
      <c r="H30479" t="s">
        <v>18829</v>
      </c>
    </row>
    <row r="30480" spans="6:8">
      <c r="H30480" t="s">
        <v>30812</v>
      </c>
    </row>
    <row r="30481" spans="6:8">
      <c r="H30481" t="s">
        <v>30813</v>
      </c>
    </row>
    <row r="30482" spans="6:8">
      <c r="H30482" t="s">
        <v>30815</v>
      </c>
    </row>
    <row r="30483" spans="6:8">
      <c r="H30483" t="s">
        <v>30816</v>
      </c>
    </row>
    <row r="30484" spans="6:8">
      <c r="H30484" t="s">
        <v>30817</v>
      </c>
    </row>
    <row r="30485" spans="6:8">
      <c r="H30485" t="s">
        <v>30818</v>
      </c>
    </row>
    <row r="30486" spans="6:8">
      <c r="H30486" t="s">
        <v>19173</v>
      </c>
    </row>
    <row r="30487" spans="6:8">
      <c r="H30487" t="s">
        <v>30819</v>
      </c>
    </row>
    <row r="30488" spans="6:8">
      <c r="H30488" t="s">
        <v>30820</v>
      </c>
    </row>
    <row r="30489" spans="6:8">
      <c r="H30489" t="s">
        <v>30821</v>
      </c>
    </row>
    <row r="30490" spans="6:8">
      <c r="H30490" t="s">
        <v>30822</v>
      </c>
    </row>
    <row r="30491" spans="6:8">
      <c r="H30491" t="s">
        <v>30823</v>
      </c>
    </row>
    <row r="30492" spans="6:8">
      <c r="F30492" t="s">
        <v>13627</v>
      </c>
      <c r="G30492" t="s">
        <v>16910</v>
      </c>
      <c r="H30492" t="s">
        <v>18829</v>
      </c>
    </row>
    <row r="30493" spans="6:8">
      <c r="H30493" t="s">
        <v>18863</v>
      </c>
    </row>
    <row r="30494" spans="6:8">
      <c r="H30494" t="s">
        <v>26000</v>
      </c>
    </row>
    <row r="30495" spans="6:8">
      <c r="H30495" t="s">
        <v>26001</v>
      </c>
    </row>
    <row r="30496" spans="6:8">
      <c r="H30496" t="s">
        <v>30824</v>
      </c>
    </row>
    <row r="30497" spans="6:8">
      <c r="H30497" t="s">
        <v>30825</v>
      </c>
    </row>
    <row r="30498" spans="6:8">
      <c r="H30498" t="s">
        <v>30826</v>
      </c>
    </row>
    <row r="30499" spans="6:8">
      <c r="H30499" t="s">
        <v>30827</v>
      </c>
    </row>
    <row r="30500" spans="6:8">
      <c r="H30500" t="s">
        <v>30827</v>
      </c>
    </row>
    <row r="30501" spans="6:8">
      <c r="H30501" t="s">
        <v>30828</v>
      </c>
    </row>
    <row r="30502" spans="6:8">
      <c r="H30502" t="s">
        <v>26002</v>
      </c>
    </row>
    <row r="30503" spans="6:8">
      <c r="H30503" t="s">
        <v>26002</v>
      </c>
    </row>
    <row r="30504" spans="6:8">
      <c r="F30504" t="s">
        <v>13628</v>
      </c>
      <c r="G30504" t="s">
        <v>16856</v>
      </c>
      <c r="H30504" t="s">
        <v>22186</v>
      </c>
    </row>
    <row r="30505" spans="6:8">
      <c r="H30505" t="s">
        <v>25686</v>
      </c>
    </row>
    <row r="30506" spans="6:8">
      <c r="H30506" t="s">
        <v>22189</v>
      </c>
    </row>
    <row r="30507" spans="6:8">
      <c r="F30507" t="s">
        <v>13629</v>
      </c>
      <c r="G30507" t="s">
        <v>17707</v>
      </c>
      <c r="H30507" t="s">
        <v>18829</v>
      </c>
    </row>
    <row r="30508" spans="6:8">
      <c r="H30508" t="s">
        <v>18863</v>
      </c>
    </row>
    <row r="30509" spans="6:8">
      <c r="H30509" t="s">
        <v>25716</v>
      </c>
    </row>
    <row r="30510" spans="6:8">
      <c r="F30510" t="s">
        <v>13630</v>
      </c>
      <c r="G30510" t="s">
        <v>16903</v>
      </c>
      <c r="H30510" t="s">
        <v>18829</v>
      </c>
    </row>
    <row r="30511" spans="6:8">
      <c r="H30511" t="s">
        <v>18863</v>
      </c>
    </row>
    <row r="30512" spans="6:8">
      <c r="H30512" t="s">
        <v>30633</v>
      </c>
    </row>
    <row r="30513" spans="1:8">
      <c r="A30513" t="s">
        <v>2081</v>
      </c>
      <c r="B30513">
        <f>HYPERLINK("https://android.googlesource.com/platform/cts/+/dbc2e98f56fe79d07b9ac2f299388f314340c94b", "dbc2e98f56fe79d07b9ac2f299388f314340c94b")</f>
        <v>0</v>
      </c>
      <c r="C30513">
        <f>HYPERLINK("https://android.googlesource.com/platform/cts/+/ea174456d821a8464447c3f8fdc40ed8f57ed67f", "ea174456d821a8464447c3f8fdc40ed8f57ed67f")</f>
        <v>0</v>
      </c>
      <c r="D30513" t="s">
        <v>5328</v>
      </c>
      <c r="E30513" t="s">
        <v>7819</v>
      </c>
      <c r="F30513" t="s">
        <v>13578</v>
      </c>
      <c r="G30513" t="s">
        <v>17681</v>
      </c>
      <c r="H30513" t="s">
        <v>25988</v>
      </c>
    </row>
    <row r="30514" spans="1:8">
      <c r="F30514" t="s">
        <v>13579</v>
      </c>
      <c r="G30514" t="s">
        <v>17682</v>
      </c>
      <c r="H30514" t="s">
        <v>30592</v>
      </c>
    </row>
    <row r="30515" spans="1:8">
      <c r="H30515" t="s">
        <v>30593</v>
      </c>
    </row>
    <row r="30516" spans="1:8">
      <c r="H30516" t="s">
        <v>30594</v>
      </c>
    </row>
    <row r="30517" spans="1:8">
      <c r="H30517" t="s">
        <v>30595</v>
      </c>
    </row>
    <row r="30518" spans="1:8">
      <c r="F30518" t="s">
        <v>13580</v>
      </c>
      <c r="G30518" t="s">
        <v>16843</v>
      </c>
      <c r="H30518" t="s">
        <v>30596</v>
      </c>
    </row>
    <row r="30519" spans="1:8">
      <c r="H30519" t="s">
        <v>30596</v>
      </c>
    </row>
    <row r="30520" spans="1:8">
      <c r="H30520" t="s">
        <v>19232</v>
      </c>
    </row>
    <row r="30521" spans="1:8">
      <c r="H30521" t="s">
        <v>19233</v>
      </c>
    </row>
    <row r="30522" spans="1:8">
      <c r="H30522" t="s">
        <v>20244</v>
      </c>
    </row>
    <row r="30523" spans="1:8">
      <c r="H30523" t="s">
        <v>18927</v>
      </c>
    </row>
    <row r="30524" spans="1:8">
      <c r="H30524" t="s">
        <v>30597</v>
      </c>
    </row>
    <row r="30525" spans="1:8">
      <c r="H30525" t="s">
        <v>28145</v>
      </c>
    </row>
    <row r="30526" spans="1:8">
      <c r="H30526" t="s">
        <v>30598</v>
      </c>
    </row>
    <row r="30527" spans="1:8">
      <c r="H30527" t="s">
        <v>30599</v>
      </c>
    </row>
    <row r="30528" spans="1:8">
      <c r="H30528" t="s">
        <v>30600</v>
      </c>
    </row>
    <row r="30529" spans="8:8">
      <c r="H30529" t="s">
        <v>30601</v>
      </c>
    </row>
    <row r="30530" spans="8:8">
      <c r="H30530" t="s">
        <v>30602</v>
      </c>
    </row>
    <row r="30531" spans="8:8">
      <c r="H30531" t="s">
        <v>30603</v>
      </c>
    </row>
    <row r="30532" spans="8:8">
      <c r="H30532" t="s">
        <v>30604</v>
      </c>
    </row>
    <row r="30533" spans="8:8">
      <c r="H30533" t="s">
        <v>30605</v>
      </c>
    </row>
    <row r="30534" spans="8:8">
      <c r="H30534" t="s">
        <v>30606</v>
      </c>
    </row>
    <row r="30535" spans="8:8">
      <c r="H30535" t="s">
        <v>26657</v>
      </c>
    </row>
    <row r="30536" spans="8:8">
      <c r="H30536" t="s">
        <v>26657</v>
      </c>
    </row>
    <row r="30537" spans="8:8">
      <c r="H30537" t="s">
        <v>30607</v>
      </c>
    </row>
    <row r="30538" spans="8:8">
      <c r="H30538" t="s">
        <v>30608</v>
      </c>
    </row>
    <row r="30539" spans="8:8">
      <c r="H30539" t="s">
        <v>30609</v>
      </c>
    </row>
    <row r="30540" spans="8:8">
      <c r="H30540" t="s">
        <v>30610</v>
      </c>
    </row>
    <row r="30541" spans="8:8">
      <c r="H30541" t="s">
        <v>30611</v>
      </c>
    </row>
    <row r="30542" spans="8:8">
      <c r="H30542" t="s">
        <v>30612</v>
      </c>
    </row>
    <row r="30543" spans="8:8">
      <c r="H30543" t="s">
        <v>30613</v>
      </c>
    </row>
    <row r="30544" spans="8:8">
      <c r="H30544" t="s">
        <v>30614</v>
      </c>
    </row>
    <row r="30545" spans="6:8">
      <c r="H30545" t="s">
        <v>30615</v>
      </c>
    </row>
    <row r="30546" spans="6:8">
      <c r="H30546" t="s">
        <v>30616</v>
      </c>
    </row>
    <row r="30547" spans="6:8">
      <c r="H30547" t="s">
        <v>22715</v>
      </c>
    </row>
    <row r="30548" spans="6:8">
      <c r="H30548" t="s">
        <v>30617</v>
      </c>
    </row>
    <row r="30549" spans="6:8">
      <c r="H30549" t="s">
        <v>30618</v>
      </c>
    </row>
    <row r="30550" spans="6:8">
      <c r="H30550" t="s">
        <v>30619</v>
      </c>
    </row>
    <row r="30551" spans="6:8">
      <c r="H30551" t="s">
        <v>30620</v>
      </c>
    </row>
    <row r="30552" spans="6:8">
      <c r="H30552" t="s">
        <v>30621</v>
      </c>
    </row>
    <row r="30553" spans="6:8">
      <c r="H30553" t="s">
        <v>30622</v>
      </c>
    </row>
    <row r="30554" spans="6:8">
      <c r="H30554" t="s">
        <v>30623</v>
      </c>
    </row>
    <row r="30555" spans="6:8">
      <c r="H30555" t="s">
        <v>30624</v>
      </c>
    </row>
    <row r="30556" spans="6:8">
      <c r="H30556" t="s">
        <v>30625</v>
      </c>
    </row>
    <row r="30557" spans="6:8">
      <c r="H30557" t="s">
        <v>28154</v>
      </c>
    </row>
    <row r="30558" spans="6:8">
      <c r="H30558" t="s">
        <v>30626</v>
      </c>
    </row>
    <row r="30559" spans="6:8">
      <c r="H30559" t="s">
        <v>30627</v>
      </c>
    </row>
    <row r="30560" spans="6:8">
      <c r="F30560" t="s">
        <v>13581</v>
      </c>
      <c r="G30560" t="s">
        <v>15144</v>
      </c>
      <c r="H30560" t="s">
        <v>18927</v>
      </c>
    </row>
    <row r="30561" spans="6:8">
      <c r="H30561" t="s">
        <v>30628</v>
      </c>
    </row>
    <row r="30562" spans="6:8">
      <c r="H30562" t="s">
        <v>26088</v>
      </c>
    </row>
    <row r="30563" spans="6:8">
      <c r="H30563" t="s">
        <v>26093</v>
      </c>
    </row>
    <row r="30564" spans="6:8">
      <c r="H30564" t="s">
        <v>26093</v>
      </c>
    </row>
    <row r="30565" spans="6:8">
      <c r="H30565" t="s">
        <v>28098</v>
      </c>
    </row>
    <row r="30566" spans="6:8">
      <c r="H30566" t="s">
        <v>30629</v>
      </c>
    </row>
    <row r="30567" spans="6:8">
      <c r="F30567" t="s">
        <v>13582</v>
      </c>
      <c r="G30567" t="s">
        <v>17683</v>
      </c>
      <c r="H30567" t="s">
        <v>30608</v>
      </c>
    </row>
    <row r="30568" spans="6:8">
      <c r="H30568" t="s">
        <v>20244</v>
      </c>
    </row>
    <row r="30569" spans="6:8">
      <c r="H30569" t="s">
        <v>19233</v>
      </c>
    </row>
    <row r="30570" spans="6:8">
      <c r="H30570" t="s">
        <v>19232</v>
      </c>
    </row>
    <row r="30571" spans="6:8">
      <c r="H30571" t="s">
        <v>30612</v>
      </c>
    </row>
    <row r="30572" spans="6:8">
      <c r="H30572" t="s">
        <v>30630</v>
      </c>
    </row>
    <row r="30573" spans="6:8">
      <c r="H30573" t="s">
        <v>18927</v>
      </c>
    </row>
    <row r="30574" spans="6:8">
      <c r="H30574" t="s">
        <v>26657</v>
      </c>
    </row>
    <row r="30575" spans="6:8">
      <c r="H30575" t="s">
        <v>20019</v>
      </c>
    </row>
    <row r="30576" spans="6:8">
      <c r="H30576" t="s">
        <v>30631</v>
      </c>
    </row>
    <row r="30577" spans="6:8">
      <c r="H30577" t="s">
        <v>18956</v>
      </c>
    </row>
    <row r="30578" spans="6:8">
      <c r="H30578" t="s">
        <v>30632</v>
      </c>
    </row>
    <row r="30579" spans="6:8">
      <c r="F30579" t="s">
        <v>13583</v>
      </c>
      <c r="G30579" t="s">
        <v>16894</v>
      </c>
      <c r="H30579" t="s">
        <v>18829</v>
      </c>
    </row>
    <row r="30580" spans="6:8">
      <c r="H30580" t="s">
        <v>18863</v>
      </c>
    </row>
    <row r="30581" spans="6:8">
      <c r="H30581" t="s">
        <v>25955</v>
      </c>
    </row>
    <row r="30582" spans="6:8">
      <c r="H30582" t="s">
        <v>30633</v>
      </c>
    </row>
    <row r="30583" spans="6:8">
      <c r="H30583" t="s">
        <v>25959</v>
      </c>
    </row>
    <row r="30584" spans="6:8">
      <c r="H30584" t="s">
        <v>25956</v>
      </c>
    </row>
    <row r="30585" spans="6:8">
      <c r="H30585" t="s">
        <v>25957</v>
      </c>
    </row>
    <row r="30586" spans="6:8">
      <c r="H30586" t="s">
        <v>30634</v>
      </c>
    </row>
    <row r="30587" spans="6:8">
      <c r="H30587" t="s">
        <v>30635</v>
      </c>
    </row>
    <row r="30588" spans="6:8">
      <c r="H30588" t="s">
        <v>30636</v>
      </c>
    </row>
    <row r="30589" spans="6:8">
      <c r="H30589" t="s">
        <v>25960</v>
      </c>
    </row>
    <row r="30590" spans="6:8">
      <c r="F30590" t="s">
        <v>13584</v>
      </c>
      <c r="G30590" t="s">
        <v>16826</v>
      </c>
      <c r="H30590" t="s">
        <v>18829</v>
      </c>
    </row>
    <row r="30591" spans="6:8">
      <c r="H30591" t="s">
        <v>18863</v>
      </c>
    </row>
    <row r="30592" spans="6:8">
      <c r="H30592" t="s">
        <v>30637</v>
      </c>
    </row>
    <row r="30593" spans="6:8">
      <c r="H30593" t="s">
        <v>30638</v>
      </c>
    </row>
    <row r="30594" spans="6:8">
      <c r="H30594" t="s">
        <v>30639</v>
      </c>
    </row>
    <row r="30595" spans="6:8">
      <c r="F30595" t="s">
        <v>13585</v>
      </c>
      <c r="G30595" t="s">
        <v>17323</v>
      </c>
      <c r="H30595" t="s">
        <v>18829</v>
      </c>
    </row>
    <row r="30596" spans="6:8">
      <c r="H30596" t="s">
        <v>18863</v>
      </c>
    </row>
    <row r="30597" spans="6:8">
      <c r="H30597" t="s">
        <v>30640</v>
      </c>
    </row>
    <row r="30598" spans="6:8">
      <c r="F30598" t="s">
        <v>13586</v>
      </c>
      <c r="G30598" t="s">
        <v>17684</v>
      </c>
      <c r="H30598" t="s">
        <v>18829</v>
      </c>
    </row>
    <row r="30599" spans="6:8">
      <c r="H30599" t="s">
        <v>30641</v>
      </c>
    </row>
    <row r="30600" spans="6:8">
      <c r="H30600" t="s">
        <v>30642</v>
      </c>
    </row>
    <row r="30601" spans="6:8">
      <c r="F30601" t="s">
        <v>13587</v>
      </c>
      <c r="G30601" t="s">
        <v>17685</v>
      </c>
      <c r="H30601" t="s">
        <v>30643</v>
      </c>
    </row>
    <row r="30602" spans="6:8">
      <c r="F30602" t="s">
        <v>13588</v>
      </c>
      <c r="G30602" t="s">
        <v>17686</v>
      </c>
      <c r="H30602" t="s">
        <v>18829</v>
      </c>
    </row>
    <row r="30603" spans="6:8">
      <c r="H30603" t="s">
        <v>18863</v>
      </c>
    </row>
    <row r="30604" spans="6:8">
      <c r="H30604" t="s">
        <v>30644</v>
      </c>
    </row>
    <row r="30605" spans="6:8">
      <c r="H30605" t="s">
        <v>30644</v>
      </c>
    </row>
    <row r="30606" spans="6:8">
      <c r="H30606" t="s">
        <v>30645</v>
      </c>
    </row>
    <row r="30607" spans="6:8">
      <c r="H30607" t="s">
        <v>30646</v>
      </c>
    </row>
    <row r="30608" spans="6:8">
      <c r="H30608" t="s">
        <v>30647</v>
      </c>
    </row>
    <row r="30609" spans="6:8">
      <c r="H30609" t="s">
        <v>30648</v>
      </c>
    </row>
    <row r="30610" spans="6:8">
      <c r="H30610" t="s">
        <v>30649</v>
      </c>
    </row>
    <row r="30611" spans="6:8">
      <c r="H30611" t="s">
        <v>30650</v>
      </c>
    </row>
    <row r="30612" spans="6:8">
      <c r="H30612" t="s">
        <v>30651</v>
      </c>
    </row>
    <row r="30613" spans="6:8">
      <c r="H30613" t="s">
        <v>30652</v>
      </c>
    </row>
    <row r="30614" spans="6:8">
      <c r="H30614" t="s">
        <v>18927</v>
      </c>
    </row>
    <row r="30615" spans="6:8">
      <c r="H30615" t="s">
        <v>30653</v>
      </c>
    </row>
    <row r="30616" spans="6:8">
      <c r="H30616" t="s">
        <v>30654</v>
      </c>
    </row>
    <row r="30617" spans="6:8">
      <c r="H30617" t="s">
        <v>30655</v>
      </c>
    </row>
    <row r="30618" spans="6:8">
      <c r="F30618" t="s">
        <v>13589</v>
      </c>
      <c r="G30618" t="s">
        <v>17687</v>
      </c>
      <c r="H30618" t="s">
        <v>18829</v>
      </c>
    </row>
    <row r="30619" spans="6:8">
      <c r="H30619" t="s">
        <v>18863</v>
      </c>
    </row>
    <row r="30620" spans="6:8">
      <c r="H30620" t="s">
        <v>30656</v>
      </c>
    </row>
    <row r="30621" spans="6:8">
      <c r="H30621" t="s">
        <v>30657</v>
      </c>
    </row>
    <row r="30622" spans="6:8">
      <c r="H30622" t="s">
        <v>30658</v>
      </c>
    </row>
    <row r="30623" spans="6:8">
      <c r="H30623" t="s">
        <v>30659</v>
      </c>
    </row>
    <row r="30624" spans="6:8">
      <c r="H30624" t="s">
        <v>30660</v>
      </c>
    </row>
    <row r="30625" spans="6:8">
      <c r="F30625" t="s">
        <v>13590</v>
      </c>
      <c r="G30625" t="s">
        <v>17688</v>
      </c>
      <c r="H30625" t="s">
        <v>18829</v>
      </c>
    </row>
    <row r="30626" spans="6:8">
      <c r="H30626" t="s">
        <v>18863</v>
      </c>
    </row>
    <row r="30627" spans="6:8">
      <c r="H30627" t="s">
        <v>30661</v>
      </c>
    </row>
    <row r="30628" spans="6:8">
      <c r="H30628" t="s">
        <v>30662</v>
      </c>
    </row>
    <row r="30629" spans="6:8">
      <c r="H30629" t="s">
        <v>26298</v>
      </c>
    </row>
    <row r="30630" spans="6:8">
      <c r="F30630" t="s">
        <v>13591</v>
      </c>
      <c r="G30630" t="s">
        <v>17372</v>
      </c>
      <c r="H30630" t="s">
        <v>18829</v>
      </c>
    </row>
    <row r="30631" spans="6:8">
      <c r="H30631" t="s">
        <v>18863</v>
      </c>
    </row>
    <row r="30632" spans="6:8">
      <c r="H30632" t="s">
        <v>30663</v>
      </c>
    </row>
    <row r="30633" spans="6:8">
      <c r="H30633" t="s">
        <v>30664</v>
      </c>
    </row>
    <row r="30634" spans="6:8">
      <c r="H30634" t="s">
        <v>26298</v>
      </c>
    </row>
    <row r="30635" spans="6:8">
      <c r="F30635" t="s">
        <v>13592</v>
      </c>
      <c r="G30635" t="s">
        <v>17689</v>
      </c>
      <c r="H30635" t="s">
        <v>30665</v>
      </c>
    </row>
    <row r="30636" spans="6:8">
      <c r="H30636" t="s">
        <v>30666</v>
      </c>
    </row>
    <row r="30637" spans="6:8">
      <c r="H30637" t="s">
        <v>30667</v>
      </c>
    </row>
    <row r="30638" spans="6:8">
      <c r="H30638" t="s">
        <v>30668</v>
      </c>
    </row>
    <row r="30639" spans="6:8">
      <c r="F30639" t="s">
        <v>13593</v>
      </c>
      <c r="G30639" t="s">
        <v>16924</v>
      </c>
      <c r="H30639" t="s">
        <v>18829</v>
      </c>
    </row>
    <row r="30640" spans="6:8">
      <c r="H30640" t="s">
        <v>18863</v>
      </c>
    </row>
    <row r="30641" spans="6:8">
      <c r="H30641" t="s">
        <v>22847</v>
      </c>
    </row>
    <row r="30642" spans="6:8">
      <c r="H30642" t="s">
        <v>25718</v>
      </c>
    </row>
    <row r="30643" spans="6:8">
      <c r="H30643" t="s">
        <v>26099</v>
      </c>
    </row>
    <row r="30644" spans="6:8">
      <c r="H30644" t="s">
        <v>26100</v>
      </c>
    </row>
    <row r="30645" spans="6:8">
      <c r="H30645" t="s">
        <v>30669</v>
      </c>
    </row>
    <row r="30646" spans="6:8">
      <c r="H30646" t="s">
        <v>30670</v>
      </c>
    </row>
    <row r="30647" spans="6:8">
      <c r="H30647" t="s">
        <v>30671</v>
      </c>
    </row>
    <row r="30648" spans="6:8">
      <c r="H30648" t="s">
        <v>30672</v>
      </c>
    </row>
    <row r="30649" spans="6:8">
      <c r="H30649" t="s">
        <v>30673</v>
      </c>
    </row>
    <row r="30650" spans="6:8">
      <c r="H30650" t="s">
        <v>30674</v>
      </c>
    </row>
    <row r="30651" spans="6:8">
      <c r="H30651" t="s">
        <v>30675</v>
      </c>
    </row>
    <row r="30652" spans="6:8">
      <c r="H30652" t="s">
        <v>30676</v>
      </c>
    </row>
    <row r="30653" spans="6:8">
      <c r="H30653" t="s">
        <v>30677</v>
      </c>
    </row>
    <row r="30654" spans="6:8">
      <c r="F30654" t="s">
        <v>13594</v>
      </c>
      <c r="G30654" t="s">
        <v>17426</v>
      </c>
      <c r="H30654" t="s">
        <v>18829</v>
      </c>
    </row>
    <row r="30655" spans="6:8">
      <c r="H30655" t="s">
        <v>18863</v>
      </c>
    </row>
    <row r="30656" spans="6:8">
      <c r="H30656" t="s">
        <v>28993</v>
      </c>
    </row>
    <row r="30657" spans="6:8">
      <c r="H30657" t="s">
        <v>30678</v>
      </c>
    </row>
    <row r="30658" spans="6:8">
      <c r="H30658" t="s">
        <v>30679</v>
      </c>
    </row>
    <row r="30659" spans="6:8">
      <c r="H30659" t="s">
        <v>30680</v>
      </c>
    </row>
    <row r="30660" spans="6:8">
      <c r="H30660" t="s">
        <v>30681</v>
      </c>
    </row>
    <row r="30661" spans="6:8">
      <c r="H30661" t="s">
        <v>28994</v>
      </c>
    </row>
    <row r="30662" spans="6:8">
      <c r="H30662" t="s">
        <v>28995</v>
      </c>
    </row>
    <row r="30663" spans="6:8">
      <c r="H30663" t="s">
        <v>28996</v>
      </c>
    </row>
    <row r="30664" spans="6:8">
      <c r="H30664" t="s">
        <v>28997</v>
      </c>
    </row>
    <row r="30665" spans="6:8">
      <c r="F30665" t="s">
        <v>13595</v>
      </c>
      <c r="G30665" t="s">
        <v>17690</v>
      </c>
      <c r="H30665" t="s">
        <v>18829</v>
      </c>
    </row>
    <row r="30666" spans="6:8">
      <c r="H30666" t="s">
        <v>18863</v>
      </c>
    </row>
    <row r="30667" spans="6:8">
      <c r="H30667" t="s">
        <v>30682</v>
      </c>
    </row>
    <row r="30668" spans="6:8">
      <c r="H30668" t="s">
        <v>30683</v>
      </c>
    </row>
    <row r="30669" spans="6:8">
      <c r="F30669" t="s">
        <v>13596</v>
      </c>
      <c r="G30669" t="s">
        <v>17691</v>
      </c>
      <c r="H30669" t="s">
        <v>18829</v>
      </c>
    </row>
    <row r="30670" spans="6:8">
      <c r="H30670" t="s">
        <v>30684</v>
      </c>
    </row>
    <row r="30671" spans="6:8">
      <c r="H30671" t="s">
        <v>30685</v>
      </c>
    </row>
    <row r="30672" spans="6:8">
      <c r="H30672" t="s">
        <v>30686</v>
      </c>
    </row>
    <row r="30673" spans="6:8">
      <c r="H30673" t="s">
        <v>30687</v>
      </c>
    </row>
    <row r="30674" spans="6:8">
      <c r="H30674" t="s">
        <v>30688</v>
      </c>
    </row>
    <row r="30675" spans="6:8">
      <c r="H30675" t="s">
        <v>19759</v>
      </c>
    </row>
    <row r="30676" spans="6:8">
      <c r="F30676" t="s">
        <v>13597</v>
      </c>
      <c r="G30676" t="s">
        <v>17322</v>
      </c>
      <c r="H30676" t="s">
        <v>18829</v>
      </c>
    </row>
    <row r="30677" spans="6:8">
      <c r="H30677" t="s">
        <v>30689</v>
      </c>
    </row>
    <row r="30678" spans="6:8">
      <c r="H30678" t="s">
        <v>30690</v>
      </c>
    </row>
    <row r="30679" spans="6:8">
      <c r="H30679" t="s">
        <v>30691</v>
      </c>
    </row>
    <row r="30680" spans="6:8">
      <c r="H30680" t="s">
        <v>30692</v>
      </c>
    </row>
    <row r="30681" spans="6:8">
      <c r="H30681" t="s">
        <v>26114</v>
      </c>
    </row>
    <row r="30682" spans="6:8">
      <c r="F30682" t="s">
        <v>13598</v>
      </c>
      <c r="G30682" t="s">
        <v>16923</v>
      </c>
      <c r="H30682" t="s">
        <v>18829</v>
      </c>
    </row>
    <row r="30683" spans="6:8">
      <c r="H30683" t="s">
        <v>26081</v>
      </c>
    </row>
    <row r="30684" spans="6:8">
      <c r="H30684" t="s">
        <v>26082</v>
      </c>
    </row>
    <row r="30685" spans="6:8">
      <c r="H30685" t="s">
        <v>26083</v>
      </c>
    </row>
    <row r="30686" spans="6:8">
      <c r="H30686" t="s">
        <v>26084</v>
      </c>
    </row>
    <row r="30687" spans="6:8">
      <c r="F30687" t="s">
        <v>13599</v>
      </c>
      <c r="G30687" t="s">
        <v>16918</v>
      </c>
      <c r="H30687" t="s">
        <v>18829</v>
      </c>
    </row>
    <row r="30688" spans="6:8">
      <c r="H30688" t="s">
        <v>26069</v>
      </c>
    </row>
    <row r="30689" spans="6:8">
      <c r="H30689" t="s">
        <v>26070</v>
      </c>
    </row>
    <row r="30690" spans="6:8">
      <c r="H30690" t="s">
        <v>26071</v>
      </c>
    </row>
    <row r="30691" spans="6:8">
      <c r="H30691" t="s">
        <v>26072</v>
      </c>
    </row>
    <row r="30692" spans="6:8">
      <c r="H30692" t="s">
        <v>26073</v>
      </c>
    </row>
    <row r="30693" spans="6:8">
      <c r="H30693" t="s">
        <v>30693</v>
      </c>
    </row>
    <row r="30694" spans="6:8">
      <c r="H30694" t="s">
        <v>30694</v>
      </c>
    </row>
    <row r="30695" spans="6:8">
      <c r="F30695" t="s">
        <v>13600</v>
      </c>
      <c r="G30695" t="s">
        <v>16845</v>
      </c>
      <c r="H30695" t="s">
        <v>18829</v>
      </c>
    </row>
    <row r="30696" spans="6:8">
      <c r="H30696" t="s">
        <v>29660</v>
      </c>
    </row>
    <row r="30697" spans="6:8">
      <c r="H30697" t="s">
        <v>29661</v>
      </c>
    </row>
    <row r="30698" spans="6:8">
      <c r="H30698" t="s">
        <v>29662</v>
      </c>
    </row>
    <row r="30699" spans="6:8">
      <c r="H30699" t="s">
        <v>29663</v>
      </c>
    </row>
    <row r="30700" spans="6:8">
      <c r="H30700" t="s">
        <v>29664</v>
      </c>
    </row>
    <row r="30701" spans="6:8">
      <c r="H30701" t="s">
        <v>29665</v>
      </c>
    </row>
    <row r="30702" spans="6:8">
      <c r="H30702" t="s">
        <v>30695</v>
      </c>
    </row>
    <row r="30703" spans="6:8">
      <c r="H30703" t="s">
        <v>30696</v>
      </c>
    </row>
    <row r="30704" spans="6:8">
      <c r="H30704" t="s">
        <v>30697</v>
      </c>
    </row>
    <row r="30705" spans="6:8">
      <c r="H30705" t="s">
        <v>30698</v>
      </c>
    </row>
    <row r="30706" spans="6:8">
      <c r="H30706" t="s">
        <v>30699</v>
      </c>
    </row>
    <row r="30707" spans="6:8">
      <c r="H30707" t="s">
        <v>30700</v>
      </c>
    </row>
    <row r="30708" spans="6:8">
      <c r="H30708" t="s">
        <v>30701</v>
      </c>
    </row>
    <row r="30709" spans="6:8">
      <c r="H30709" t="s">
        <v>30702</v>
      </c>
    </row>
    <row r="30710" spans="6:8">
      <c r="H30710" t="s">
        <v>30703</v>
      </c>
    </row>
    <row r="30711" spans="6:8">
      <c r="F30711" t="s">
        <v>13601</v>
      </c>
      <c r="G30711" t="s">
        <v>17305</v>
      </c>
      <c r="H30711" t="s">
        <v>30704</v>
      </c>
    </row>
    <row r="30712" spans="6:8">
      <c r="H30712" t="s">
        <v>30704</v>
      </c>
    </row>
    <row r="30713" spans="6:8">
      <c r="H30713" t="s">
        <v>18829</v>
      </c>
    </row>
    <row r="30714" spans="6:8">
      <c r="H30714" t="s">
        <v>18863</v>
      </c>
    </row>
    <row r="30715" spans="6:8">
      <c r="H30715" t="s">
        <v>30705</v>
      </c>
    </row>
    <row r="30716" spans="6:8">
      <c r="H30716" t="s">
        <v>30706</v>
      </c>
    </row>
    <row r="30717" spans="6:8">
      <c r="H30717" t="s">
        <v>30707</v>
      </c>
    </row>
    <row r="30718" spans="6:8">
      <c r="H30718" t="s">
        <v>30708</v>
      </c>
    </row>
    <row r="30719" spans="6:8">
      <c r="H30719" t="s">
        <v>30709</v>
      </c>
    </row>
    <row r="30720" spans="6:8">
      <c r="H30720" t="s">
        <v>30710</v>
      </c>
    </row>
    <row r="30721" spans="6:8">
      <c r="H30721" t="s">
        <v>30711</v>
      </c>
    </row>
    <row r="30722" spans="6:8">
      <c r="H30722" t="s">
        <v>30712</v>
      </c>
    </row>
    <row r="30723" spans="6:8">
      <c r="H30723" t="s">
        <v>30713</v>
      </c>
    </row>
    <row r="30724" spans="6:8">
      <c r="H30724" t="s">
        <v>30713</v>
      </c>
    </row>
    <row r="30725" spans="6:8">
      <c r="H30725" t="s">
        <v>29493</v>
      </c>
    </row>
    <row r="30726" spans="6:8">
      <c r="H30726" t="s">
        <v>30714</v>
      </c>
    </row>
    <row r="30727" spans="6:8">
      <c r="H30727" t="s">
        <v>30715</v>
      </c>
    </row>
    <row r="30728" spans="6:8">
      <c r="F30728" t="s">
        <v>13602</v>
      </c>
      <c r="G30728" t="s">
        <v>16867</v>
      </c>
      <c r="H30728" t="s">
        <v>25716</v>
      </c>
    </row>
    <row r="30729" spans="6:8">
      <c r="H30729" t="s">
        <v>30716</v>
      </c>
    </row>
    <row r="30730" spans="6:8">
      <c r="H30730" t="s">
        <v>26652</v>
      </c>
    </row>
    <row r="30731" spans="6:8">
      <c r="H30731" t="s">
        <v>26653</v>
      </c>
    </row>
    <row r="30732" spans="6:8">
      <c r="H30732" t="s">
        <v>26654</v>
      </c>
    </row>
    <row r="30733" spans="6:8">
      <c r="H30733" t="s">
        <v>26655</v>
      </c>
    </row>
    <row r="30734" spans="6:8">
      <c r="H30734" t="s">
        <v>18927</v>
      </c>
    </row>
    <row r="30735" spans="6:8">
      <c r="H30735" t="s">
        <v>25497</v>
      </c>
    </row>
    <row r="30736" spans="6:8">
      <c r="H30736" t="s">
        <v>28090</v>
      </c>
    </row>
    <row r="30737" spans="6:8">
      <c r="H30737" t="s">
        <v>26656</v>
      </c>
    </row>
    <row r="30738" spans="6:8">
      <c r="H30738" t="s">
        <v>30609</v>
      </c>
    </row>
    <row r="30739" spans="6:8">
      <c r="F30739" t="s">
        <v>13603</v>
      </c>
      <c r="G30739" t="s">
        <v>17320</v>
      </c>
      <c r="H30739" t="s">
        <v>18829</v>
      </c>
    </row>
    <row r="30740" spans="6:8">
      <c r="H30740" t="s">
        <v>30717</v>
      </c>
    </row>
    <row r="30741" spans="6:8">
      <c r="H30741" t="s">
        <v>30644</v>
      </c>
    </row>
    <row r="30742" spans="6:8">
      <c r="H30742" t="s">
        <v>30644</v>
      </c>
    </row>
    <row r="30743" spans="6:8">
      <c r="H30743" t="s">
        <v>18863</v>
      </c>
    </row>
    <row r="30744" spans="6:8">
      <c r="H30744" t="s">
        <v>28450</v>
      </c>
    </row>
    <row r="30745" spans="6:8">
      <c r="H30745" t="s">
        <v>30718</v>
      </c>
    </row>
    <row r="30746" spans="6:8">
      <c r="H30746" t="s">
        <v>30719</v>
      </c>
    </row>
    <row r="30747" spans="6:8">
      <c r="H30747" t="s">
        <v>30720</v>
      </c>
    </row>
    <row r="30748" spans="6:8">
      <c r="H30748" t="s">
        <v>30721</v>
      </c>
    </row>
    <row r="30749" spans="6:8">
      <c r="H30749" t="s">
        <v>30722</v>
      </c>
    </row>
    <row r="30750" spans="6:8">
      <c r="H30750" t="s">
        <v>30723</v>
      </c>
    </row>
    <row r="30751" spans="6:8">
      <c r="H30751" t="s">
        <v>30724</v>
      </c>
    </row>
    <row r="30752" spans="6:8">
      <c r="H30752" t="s">
        <v>30725</v>
      </c>
    </row>
    <row r="30753" spans="8:8">
      <c r="H30753" t="s">
        <v>30726</v>
      </c>
    </row>
    <row r="30754" spans="8:8">
      <c r="H30754" t="s">
        <v>30727</v>
      </c>
    </row>
    <row r="30755" spans="8:8">
      <c r="H30755" t="s">
        <v>26001</v>
      </c>
    </row>
    <row r="30756" spans="8:8">
      <c r="H30756" t="s">
        <v>30728</v>
      </c>
    </row>
    <row r="30757" spans="8:8">
      <c r="H30757" t="s">
        <v>30695</v>
      </c>
    </row>
    <row r="30758" spans="8:8">
      <c r="H30758" t="s">
        <v>30729</v>
      </c>
    </row>
    <row r="30759" spans="8:8">
      <c r="H30759" t="s">
        <v>28365</v>
      </c>
    </row>
    <row r="30760" spans="8:8">
      <c r="H30760" t="s">
        <v>26656</v>
      </c>
    </row>
    <row r="30761" spans="8:8">
      <c r="H30761" t="s">
        <v>18927</v>
      </c>
    </row>
    <row r="30762" spans="8:8">
      <c r="H30762" t="s">
        <v>26655</v>
      </c>
    </row>
    <row r="30763" spans="8:8">
      <c r="H30763" t="s">
        <v>26653</v>
      </c>
    </row>
    <row r="30764" spans="8:8">
      <c r="H30764" t="s">
        <v>26654</v>
      </c>
    </row>
    <row r="30765" spans="8:8">
      <c r="H30765" t="s">
        <v>26652</v>
      </c>
    </row>
    <row r="30766" spans="8:8">
      <c r="H30766" t="s">
        <v>30609</v>
      </c>
    </row>
    <row r="30767" spans="8:8">
      <c r="H30767" t="s">
        <v>25497</v>
      </c>
    </row>
    <row r="30768" spans="8:8">
      <c r="H30768" t="s">
        <v>28090</v>
      </c>
    </row>
    <row r="30769" spans="8:8">
      <c r="H30769" t="s">
        <v>30730</v>
      </c>
    </row>
    <row r="30770" spans="8:8">
      <c r="H30770" t="s">
        <v>30731</v>
      </c>
    </row>
    <row r="30771" spans="8:8">
      <c r="H30771" t="s">
        <v>29686</v>
      </c>
    </row>
    <row r="30772" spans="8:8">
      <c r="H30772" t="s">
        <v>29687</v>
      </c>
    </row>
    <row r="30773" spans="8:8">
      <c r="H30773" t="s">
        <v>29688</v>
      </c>
    </row>
    <row r="30774" spans="8:8">
      <c r="H30774" t="s">
        <v>29689</v>
      </c>
    </row>
    <row r="30775" spans="8:8">
      <c r="H30775" t="s">
        <v>29690</v>
      </c>
    </row>
    <row r="30776" spans="8:8">
      <c r="H30776" t="s">
        <v>29691</v>
      </c>
    </row>
    <row r="30777" spans="8:8">
      <c r="H30777" t="s">
        <v>29692</v>
      </c>
    </row>
    <row r="30778" spans="8:8">
      <c r="H30778" t="s">
        <v>29693</v>
      </c>
    </row>
    <row r="30779" spans="8:8">
      <c r="H30779" t="s">
        <v>29694</v>
      </c>
    </row>
    <row r="30780" spans="8:8">
      <c r="H30780" t="s">
        <v>29695</v>
      </c>
    </row>
    <row r="30781" spans="8:8">
      <c r="H30781" t="s">
        <v>29696</v>
      </c>
    </row>
    <row r="30782" spans="8:8">
      <c r="H30782" t="s">
        <v>29697</v>
      </c>
    </row>
    <row r="30783" spans="8:8">
      <c r="H30783" t="s">
        <v>29698</v>
      </c>
    </row>
    <row r="30784" spans="8:8">
      <c r="H30784" t="s">
        <v>29699</v>
      </c>
    </row>
    <row r="30785" spans="6:8">
      <c r="H30785" t="s">
        <v>29700</v>
      </c>
    </row>
    <row r="30786" spans="6:8">
      <c r="H30786" t="s">
        <v>18927</v>
      </c>
    </row>
    <row r="30787" spans="6:8">
      <c r="H30787" t="s">
        <v>29862</v>
      </c>
    </row>
    <row r="30788" spans="6:8">
      <c r="F30788" t="s">
        <v>13604</v>
      </c>
      <c r="G30788" t="s">
        <v>17287</v>
      </c>
      <c r="H30788" t="s">
        <v>26000</v>
      </c>
    </row>
    <row r="30789" spans="6:8">
      <c r="H30789" t="s">
        <v>26001</v>
      </c>
    </row>
    <row r="30790" spans="6:8">
      <c r="H30790" t="s">
        <v>30732</v>
      </c>
    </row>
    <row r="30791" spans="6:8">
      <c r="H30791" t="s">
        <v>28018</v>
      </c>
    </row>
    <row r="30792" spans="6:8">
      <c r="F30792" t="s">
        <v>13605</v>
      </c>
      <c r="G30792" t="s">
        <v>17692</v>
      </c>
      <c r="H30792" t="s">
        <v>30733</v>
      </c>
    </row>
    <row r="30793" spans="6:8">
      <c r="H30793" t="s">
        <v>18927</v>
      </c>
    </row>
    <row r="30794" spans="6:8">
      <c r="H30794" t="s">
        <v>25497</v>
      </c>
    </row>
    <row r="30795" spans="6:8">
      <c r="H30795" t="s">
        <v>28090</v>
      </c>
    </row>
    <row r="30796" spans="6:8">
      <c r="H30796" t="s">
        <v>26656</v>
      </c>
    </row>
    <row r="30797" spans="6:8">
      <c r="H30797" t="s">
        <v>30609</v>
      </c>
    </row>
    <row r="30798" spans="6:8">
      <c r="H30798" t="s">
        <v>26652</v>
      </c>
    </row>
    <row r="30799" spans="6:8">
      <c r="H30799" t="s">
        <v>26653</v>
      </c>
    </row>
    <row r="30800" spans="6:8">
      <c r="H30800" t="s">
        <v>26654</v>
      </c>
    </row>
    <row r="30801" spans="6:8">
      <c r="H30801" t="s">
        <v>26655</v>
      </c>
    </row>
    <row r="30802" spans="6:8">
      <c r="F30802" t="s">
        <v>13606</v>
      </c>
      <c r="G30802" t="s">
        <v>17693</v>
      </c>
      <c r="H30802" t="s">
        <v>30607</v>
      </c>
    </row>
    <row r="30803" spans="6:8">
      <c r="F30803" t="s">
        <v>13607</v>
      </c>
      <c r="G30803" t="s">
        <v>17510</v>
      </c>
      <c r="H30803" t="s">
        <v>30734</v>
      </c>
    </row>
    <row r="30804" spans="6:8">
      <c r="H30804" t="s">
        <v>26657</v>
      </c>
    </row>
    <row r="30805" spans="6:8">
      <c r="H30805" t="s">
        <v>30734</v>
      </c>
    </row>
    <row r="30806" spans="6:8">
      <c r="H30806" t="s">
        <v>18829</v>
      </c>
    </row>
    <row r="30807" spans="6:8">
      <c r="H30807" t="s">
        <v>30735</v>
      </c>
    </row>
    <row r="30808" spans="6:8">
      <c r="H30808" t="s">
        <v>30736</v>
      </c>
    </row>
    <row r="30809" spans="6:8">
      <c r="H30809" t="s">
        <v>25956</v>
      </c>
    </row>
    <row r="30810" spans="6:8">
      <c r="F30810" t="s">
        <v>13608</v>
      </c>
      <c r="G30810" t="s">
        <v>17694</v>
      </c>
      <c r="H30810" t="s">
        <v>30737</v>
      </c>
    </row>
    <row r="30811" spans="6:8">
      <c r="F30811" t="s">
        <v>13609</v>
      </c>
      <c r="G30811" t="s">
        <v>17695</v>
      </c>
      <c r="H30811" t="s">
        <v>18829</v>
      </c>
    </row>
    <row r="30812" spans="6:8">
      <c r="H30812" t="s">
        <v>18863</v>
      </c>
    </row>
    <row r="30813" spans="6:8">
      <c r="H30813" t="s">
        <v>30738</v>
      </c>
    </row>
    <row r="30814" spans="6:8">
      <c r="H30814" t="s">
        <v>30739</v>
      </c>
    </row>
    <row r="30815" spans="6:8">
      <c r="H30815" t="s">
        <v>30740</v>
      </c>
    </row>
    <row r="30816" spans="6:8">
      <c r="H30816" t="s">
        <v>30741</v>
      </c>
    </row>
    <row r="30817" spans="6:8">
      <c r="H30817" t="s">
        <v>30742</v>
      </c>
    </row>
    <row r="30818" spans="6:8">
      <c r="H30818" t="s">
        <v>30743</v>
      </c>
    </row>
    <row r="30819" spans="6:8">
      <c r="F30819" t="s">
        <v>13610</v>
      </c>
      <c r="G30819" t="s">
        <v>17696</v>
      </c>
      <c r="H30819" t="s">
        <v>30744</v>
      </c>
    </row>
    <row r="30820" spans="6:8">
      <c r="H30820" t="s">
        <v>30745</v>
      </c>
    </row>
    <row r="30821" spans="6:8">
      <c r="H30821" t="s">
        <v>30746</v>
      </c>
    </row>
    <row r="30822" spans="6:8">
      <c r="F30822" t="s">
        <v>13611</v>
      </c>
      <c r="G30822" t="s">
        <v>17428</v>
      </c>
      <c r="H30822" t="s">
        <v>29006</v>
      </c>
    </row>
    <row r="30823" spans="6:8">
      <c r="H30823" t="s">
        <v>29007</v>
      </c>
    </row>
    <row r="30824" spans="6:8">
      <c r="F30824" t="s">
        <v>13612</v>
      </c>
      <c r="G30824" t="s">
        <v>17697</v>
      </c>
      <c r="H30824" t="s">
        <v>30747</v>
      </c>
    </row>
    <row r="30825" spans="6:8">
      <c r="H30825" t="s">
        <v>30748</v>
      </c>
    </row>
    <row r="30826" spans="6:8">
      <c r="H30826" t="s">
        <v>30749</v>
      </c>
    </row>
    <row r="30827" spans="6:8">
      <c r="H30827" t="s">
        <v>30750</v>
      </c>
    </row>
    <row r="30828" spans="6:8">
      <c r="F30828" t="s">
        <v>13613</v>
      </c>
      <c r="G30828" t="s">
        <v>16868</v>
      </c>
      <c r="H30828" t="s">
        <v>30751</v>
      </c>
    </row>
    <row r="30829" spans="6:8">
      <c r="H30829" t="s">
        <v>28161</v>
      </c>
    </row>
    <row r="30830" spans="6:8">
      <c r="H30830" t="s">
        <v>18930</v>
      </c>
    </row>
    <row r="30831" spans="6:8">
      <c r="H30831" t="s">
        <v>28090</v>
      </c>
    </row>
    <row r="30832" spans="6:8">
      <c r="H30832" t="s">
        <v>18931</v>
      </c>
    </row>
    <row r="30833" spans="6:8">
      <c r="H30833" t="s">
        <v>26589</v>
      </c>
    </row>
    <row r="30834" spans="6:8">
      <c r="F30834" t="s">
        <v>13614</v>
      </c>
      <c r="G30834" t="s">
        <v>17698</v>
      </c>
      <c r="H30834" t="s">
        <v>18829</v>
      </c>
    </row>
    <row r="30835" spans="6:8">
      <c r="H30835" t="s">
        <v>30752</v>
      </c>
    </row>
    <row r="30836" spans="6:8">
      <c r="H30836" t="s">
        <v>30753</v>
      </c>
    </row>
    <row r="30837" spans="6:8">
      <c r="H30837" t="s">
        <v>30754</v>
      </c>
    </row>
    <row r="30838" spans="6:8">
      <c r="H30838" t="s">
        <v>30755</v>
      </c>
    </row>
    <row r="30839" spans="6:8">
      <c r="H30839" t="s">
        <v>30756</v>
      </c>
    </row>
    <row r="30840" spans="6:8">
      <c r="H30840" t="s">
        <v>30757</v>
      </c>
    </row>
    <row r="30841" spans="6:8">
      <c r="H30841" t="s">
        <v>30758</v>
      </c>
    </row>
    <row r="30842" spans="6:8">
      <c r="H30842" t="s">
        <v>30759</v>
      </c>
    </row>
    <row r="30843" spans="6:8">
      <c r="H30843" t="s">
        <v>30760</v>
      </c>
    </row>
    <row r="30844" spans="6:8">
      <c r="H30844" t="s">
        <v>30761</v>
      </c>
    </row>
    <row r="30845" spans="6:8">
      <c r="H30845" t="s">
        <v>30762</v>
      </c>
    </row>
    <row r="30846" spans="6:8">
      <c r="H30846" t="s">
        <v>30763</v>
      </c>
    </row>
    <row r="30847" spans="6:8">
      <c r="H30847" t="s">
        <v>30764</v>
      </c>
    </row>
    <row r="30848" spans="6:8">
      <c r="H30848" t="s">
        <v>30765</v>
      </c>
    </row>
    <row r="30849" spans="8:8">
      <c r="H30849" t="s">
        <v>30766</v>
      </c>
    </row>
    <row r="30850" spans="8:8">
      <c r="H30850" t="s">
        <v>30767</v>
      </c>
    </row>
    <row r="30851" spans="8:8">
      <c r="H30851" t="s">
        <v>30768</v>
      </c>
    </row>
    <row r="30852" spans="8:8">
      <c r="H30852" t="s">
        <v>30769</v>
      </c>
    </row>
    <row r="30853" spans="8:8">
      <c r="H30853" t="s">
        <v>30770</v>
      </c>
    </row>
    <row r="30854" spans="8:8">
      <c r="H30854" t="s">
        <v>30771</v>
      </c>
    </row>
    <row r="30855" spans="8:8">
      <c r="H30855" t="s">
        <v>30772</v>
      </c>
    </row>
    <row r="30856" spans="8:8">
      <c r="H30856" t="s">
        <v>30772</v>
      </c>
    </row>
    <row r="30857" spans="8:8">
      <c r="H30857" t="s">
        <v>30772</v>
      </c>
    </row>
    <row r="30858" spans="8:8">
      <c r="H30858" t="s">
        <v>30773</v>
      </c>
    </row>
    <row r="30859" spans="8:8">
      <c r="H30859" t="s">
        <v>30774</v>
      </c>
    </row>
    <row r="30860" spans="8:8">
      <c r="H30860" t="s">
        <v>30775</v>
      </c>
    </row>
    <row r="30861" spans="8:8">
      <c r="H30861" t="s">
        <v>30776</v>
      </c>
    </row>
    <row r="30862" spans="8:8">
      <c r="H30862" t="s">
        <v>30777</v>
      </c>
    </row>
    <row r="30863" spans="8:8">
      <c r="H30863" t="s">
        <v>30778</v>
      </c>
    </row>
    <row r="30864" spans="8:8">
      <c r="H30864" t="s">
        <v>30779</v>
      </c>
    </row>
    <row r="30865" spans="6:8">
      <c r="H30865" t="s">
        <v>30780</v>
      </c>
    </row>
    <row r="30866" spans="6:8">
      <c r="H30866" t="s">
        <v>30781</v>
      </c>
    </row>
    <row r="30867" spans="6:8">
      <c r="H30867" t="s">
        <v>30772</v>
      </c>
    </row>
    <row r="30868" spans="6:8">
      <c r="F30868" t="s">
        <v>13615</v>
      </c>
      <c r="G30868" t="s">
        <v>17699</v>
      </c>
      <c r="H30868" t="s">
        <v>30782</v>
      </c>
    </row>
    <row r="30869" spans="6:8">
      <c r="H30869" t="s">
        <v>30783</v>
      </c>
    </row>
    <row r="30870" spans="6:8">
      <c r="F30870" t="s">
        <v>13616</v>
      </c>
      <c r="G30870" t="s">
        <v>16860</v>
      </c>
      <c r="H30870" t="s">
        <v>18829</v>
      </c>
    </row>
    <row r="30871" spans="6:8">
      <c r="H30871" t="s">
        <v>18863</v>
      </c>
    </row>
    <row r="30872" spans="6:8">
      <c r="H30872" t="s">
        <v>25716</v>
      </c>
    </row>
    <row r="30873" spans="6:8">
      <c r="H30873" t="s">
        <v>25717</v>
      </c>
    </row>
    <row r="30874" spans="6:8">
      <c r="H30874" t="s">
        <v>25719</v>
      </c>
    </row>
    <row r="30875" spans="6:8">
      <c r="H30875" t="s">
        <v>30784</v>
      </c>
    </row>
    <row r="30876" spans="6:8">
      <c r="H30876" t="s">
        <v>30785</v>
      </c>
    </row>
    <row r="30877" spans="6:8">
      <c r="H30877" t="s">
        <v>30786</v>
      </c>
    </row>
    <row r="30878" spans="6:8">
      <c r="F30878" t="s">
        <v>13617</v>
      </c>
      <c r="G30878" t="s">
        <v>16869</v>
      </c>
      <c r="H30878" t="s">
        <v>30787</v>
      </c>
    </row>
    <row r="30879" spans="6:8">
      <c r="H30879" t="s">
        <v>30788</v>
      </c>
    </row>
    <row r="30880" spans="6:8">
      <c r="H30880" t="s">
        <v>30789</v>
      </c>
    </row>
    <row r="30881" spans="6:8">
      <c r="H30881" t="s">
        <v>30790</v>
      </c>
    </row>
    <row r="30882" spans="6:8">
      <c r="H30882" t="s">
        <v>30791</v>
      </c>
    </row>
    <row r="30883" spans="6:8">
      <c r="H30883" t="s">
        <v>30792</v>
      </c>
    </row>
    <row r="30884" spans="6:8">
      <c r="H30884" t="s">
        <v>30793</v>
      </c>
    </row>
    <row r="30885" spans="6:8">
      <c r="H30885" t="s">
        <v>30794</v>
      </c>
    </row>
    <row r="30886" spans="6:8">
      <c r="F30886" t="s">
        <v>13618</v>
      </c>
      <c r="G30886" t="s">
        <v>15044</v>
      </c>
      <c r="H30886" t="s">
        <v>18939</v>
      </c>
    </row>
    <row r="30887" spans="6:8">
      <c r="H30887" t="s">
        <v>18931</v>
      </c>
    </row>
    <row r="30888" spans="6:8">
      <c r="H30888" t="s">
        <v>19790</v>
      </c>
    </row>
    <row r="30889" spans="6:8">
      <c r="H30889" t="s">
        <v>25721</v>
      </c>
    </row>
    <row r="30890" spans="6:8">
      <c r="H30890" t="s">
        <v>25722</v>
      </c>
    </row>
    <row r="30891" spans="6:8">
      <c r="H30891" t="s">
        <v>25723</v>
      </c>
    </row>
    <row r="30892" spans="6:8">
      <c r="H30892" t="s">
        <v>20444</v>
      </c>
    </row>
    <row r="30893" spans="6:8">
      <c r="H30893" t="s">
        <v>18820</v>
      </c>
    </row>
    <row r="30894" spans="6:8">
      <c r="H30894" t="s">
        <v>18824</v>
      </c>
    </row>
    <row r="30895" spans="6:8">
      <c r="H30895" t="s">
        <v>25687</v>
      </c>
    </row>
    <row r="30896" spans="6:8">
      <c r="H30896" t="s">
        <v>25688</v>
      </c>
    </row>
    <row r="30897" spans="8:8">
      <c r="H30897" t="s">
        <v>25724</v>
      </c>
    </row>
    <row r="30898" spans="8:8">
      <c r="H30898" t="s">
        <v>25725</v>
      </c>
    </row>
    <row r="30899" spans="8:8">
      <c r="H30899" t="s">
        <v>25726</v>
      </c>
    </row>
    <row r="30900" spans="8:8">
      <c r="H30900" t="s">
        <v>25727</v>
      </c>
    </row>
    <row r="30901" spans="8:8">
      <c r="H30901" t="s">
        <v>19918</v>
      </c>
    </row>
    <row r="30902" spans="8:8">
      <c r="H30902" t="s">
        <v>30795</v>
      </c>
    </row>
    <row r="30903" spans="8:8">
      <c r="H30903" t="s">
        <v>30796</v>
      </c>
    </row>
    <row r="30904" spans="8:8">
      <c r="H30904" t="s">
        <v>30797</v>
      </c>
    </row>
    <row r="30905" spans="8:8">
      <c r="H30905" t="s">
        <v>30798</v>
      </c>
    </row>
    <row r="30906" spans="8:8">
      <c r="H30906" t="s">
        <v>30799</v>
      </c>
    </row>
    <row r="30907" spans="8:8">
      <c r="H30907" t="s">
        <v>18893</v>
      </c>
    </row>
    <row r="30908" spans="8:8">
      <c r="H30908" t="s">
        <v>30800</v>
      </c>
    </row>
    <row r="30909" spans="8:8">
      <c r="H30909" t="s">
        <v>30801</v>
      </c>
    </row>
    <row r="30910" spans="8:8">
      <c r="H30910" t="s">
        <v>30802</v>
      </c>
    </row>
    <row r="30911" spans="8:8">
      <c r="H30911" t="s">
        <v>25728</v>
      </c>
    </row>
    <row r="30912" spans="8:8">
      <c r="H30912" t="s">
        <v>19735</v>
      </c>
    </row>
    <row r="30913" spans="6:8">
      <c r="F30913" t="s">
        <v>13619</v>
      </c>
      <c r="G30913" t="s">
        <v>17700</v>
      </c>
      <c r="H30913" t="s">
        <v>30803</v>
      </c>
    </row>
    <row r="30914" spans="6:8">
      <c r="H30914" t="s">
        <v>22310</v>
      </c>
    </row>
    <row r="30915" spans="6:8">
      <c r="H30915" t="s">
        <v>19909</v>
      </c>
    </row>
    <row r="30916" spans="6:8">
      <c r="F30916" t="s">
        <v>13620</v>
      </c>
      <c r="G30916" t="s">
        <v>17701</v>
      </c>
      <c r="H30916" t="s">
        <v>30804</v>
      </c>
    </row>
    <row r="30917" spans="6:8">
      <c r="H30917" t="s">
        <v>30805</v>
      </c>
    </row>
    <row r="30918" spans="6:8">
      <c r="H30918" t="s">
        <v>30783</v>
      </c>
    </row>
    <row r="30919" spans="6:8">
      <c r="F30919" t="s">
        <v>13621</v>
      </c>
      <c r="G30919" t="s">
        <v>17702</v>
      </c>
      <c r="H30919" t="s">
        <v>18829</v>
      </c>
    </row>
    <row r="30920" spans="6:8">
      <c r="H30920" t="s">
        <v>18863</v>
      </c>
    </row>
    <row r="30921" spans="6:8">
      <c r="H30921" t="s">
        <v>25716</v>
      </c>
    </row>
    <row r="30922" spans="6:8">
      <c r="H30922" t="s">
        <v>25717</v>
      </c>
    </row>
    <row r="30923" spans="6:8">
      <c r="H30923" t="s">
        <v>25718</v>
      </c>
    </row>
    <row r="30924" spans="6:8">
      <c r="H30924" t="s">
        <v>25719</v>
      </c>
    </row>
    <row r="30925" spans="6:8">
      <c r="H30925" t="s">
        <v>30806</v>
      </c>
    </row>
    <row r="30926" spans="6:8">
      <c r="H30926" t="s">
        <v>30807</v>
      </c>
    </row>
    <row r="30927" spans="6:8">
      <c r="H30927" t="s">
        <v>30808</v>
      </c>
    </row>
    <row r="30928" spans="6:8">
      <c r="F30928" t="s">
        <v>13622</v>
      </c>
      <c r="G30928" t="s">
        <v>17703</v>
      </c>
      <c r="H30928" t="s">
        <v>30809</v>
      </c>
    </row>
    <row r="30929" spans="6:8">
      <c r="H30929" t="s">
        <v>30810</v>
      </c>
    </row>
    <row r="30930" spans="6:8">
      <c r="H30930" t="s">
        <v>30783</v>
      </c>
    </row>
    <row r="30931" spans="6:8">
      <c r="F30931" t="s">
        <v>13623</v>
      </c>
      <c r="G30931" t="s">
        <v>17704</v>
      </c>
      <c r="H30931" t="s">
        <v>18829</v>
      </c>
    </row>
    <row r="30932" spans="6:8">
      <c r="H30932" t="s">
        <v>18863</v>
      </c>
    </row>
    <row r="30933" spans="6:8">
      <c r="H30933" t="s">
        <v>30811</v>
      </c>
    </row>
    <row r="30934" spans="6:8">
      <c r="F30934" t="s">
        <v>13624</v>
      </c>
      <c r="G30934" t="s">
        <v>17705</v>
      </c>
      <c r="H30934" t="s">
        <v>18829</v>
      </c>
    </row>
    <row r="30935" spans="6:8">
      <c r="H30935" t="s">
        <v>30812</v>
      </c>
    </row>
    <row r="30936" spans="6:8">
      <c r="H30936" t="s">
        <v>30813</v>
      </c>
    </row>
    <row r="30937" spans="6:8">
      <c r="H30937" t="s">
        <v>20077</v>
      </c>
    </row>
    <row r="30938" spans="6:8">
      <c r="F30938" t="s">
        <v>13625</v>
      </c>
      <c r="G30938" t="s">
        <v>17706</v>
      </c>
      <c r="H30938" t="s">
        <v>30814</v>
      </c>
    </row>
    <row r="30939" spans="6:8">
      <c r="F30939" t="s">
        <v>13626</v>
      </c>
      <c r="G30939" t="s">
        <v>16857</v>
      </c>
      <c r="H30939" t="s">
        <v>18829</v>
      </c>
    </row>
    <row r="30940" spans="6:8">
      <c r="H30940" t="s">
        <v>30812</v>
      </c>
    </row>
    <row r="30941" spans="6:8">
      <c r="H30941" t="s">
        <v>30813</v>
      </c>
    </row>
    <row r="30942" spans="6:8">
      <c r="H30942" t="s">
        <v>30815</v>
      </c>
    </row>
    <row r="30943" spans="6:8">
      <c r="H30943" t="s">
        <v>30816</v>
      </c>
    </row>
    <row r="30944" spans="6:8">
      <c r="H30944" t="s">
        <v>30817</v>
      </c>
    </row>
    <row r="30945" spans="6:8">
      <c r="H30945" t="s">
        <v>30818</v>
      </c>
    </row>
    <row r="30946" spans="6:8">
      <c r="H30946" t="s">
        <v>19173</v>
      </c>
    </row>
    <row r="30947" spans="6:8">
      <c r="H30947" t="s">
        <v>30819</v>
      </c>
    </row>
    <row r="30948" spans="6:8">
      <c r="H30948" t="s">
        <v>30820</v>
      </c>
    </row>
    <row r="30949" spans="6:8">
      <c r="H30949" t="s">
        <v>30821</v>
      </c>
    </row>
    <row r="30950" spans="6:8">
      <c r="H30950" t="s">
        <v>30822</v>
      </c>
    </row>
    <row r="30951" spans="6:8">
      <c r="H30951" t="s">
        <v>30823</v>
      </c>
    </row>
    <row r="30952" spans="6:8">
      <c r="F30952" t="s">
        <v>13627</v>
      </c>
      <c r="G30952" t="s">
        <v>16910</v>
      </c>
      <c r="H30952" t="s">
        <v>18829</v>
      </c>
    </row>
    <row r="30953" spans="6:8">
      <c r="H30953" t="s">
        <v>18863</v>
      </c>
    </row>
    <row r="30954" spans="6:8">
      <c r="H30954" t="s">
        <v>26000</v>
      </c>
    </row>
    <row r="30955" spans="6:8">
      <c r="H30955" t="s">
        <v>26001</v>
      </c>
    </row>
    <row r="30956" spans="6:8">
      <c r="H30956" t="s">
        <v>30824</v>
      </c>
    </row>
    <row r="30957" spans="6:8">
      <c r="H30957" t="s">
        <v>30825</v>
      </c>
    </row>
    <row r="30958" spans="6:8">
      <c r="H30958" t="s">
        <v>30826</v>
      </c>
    </row>
    <row r="30959" spans="6:8">
      <c r="H30959" t="s">
        <v>30827</v>
      </c>
    </row>
    <row r="30960" spans="6:8">
      <c r="H30960" t="s">
        <v>30827</v>
      </c>
    </row>
    <row r="30961" spans="1:8">
      <c r="H30961" t="s">
        <v>30828</v>
      </c>
    </row>
    <row r="30962" spans="1:8">
      <c r="H30962" t="s">
        <v>26002</v>
      </c>
    </row>
    <row r="30963" spans="1:8">
      <c r="H30963" t="s">
        <v>26002</v>
      </c>
    </row>
    <row r="30964" spans="1:8">
      <c r="F30964" t="s">
        <v>13628</v>
      </c>
      <c r="G30964" t="s">
        <v>16856</v>
      </c>
      <c r="H30964" t="s">
        <v>22186</v>
      </c>
    </row>
    <row r="30965" spans="1:8">
      <c r="H30965" t="s">
        <v>25686</v>
      </c>
    </row>
    <row r="30966" spans="1:8">
      <c r="H30966" t="s">
        <v>22189</v>
      </c>
    </row>
    <row r="30967" spans="1:8">
      <c r="F30967" t="s">
        <v>13629</v>
      </c>
      <c r="G30967" t="s">
        <v>17707</v>
      </c>
      <c r="H30967" t="s">
        <v>18829</v>
      </c>
    </row>
    <row r="30968" spans="1:8">
      <c r="H30968" t="s">
        <v>18863</v>
      </c>
    </row>
    <row r="30969" spans="1:8">
      <c r="H30969" t="s">
        <v>25716</v>
      </c>
    </row>
    <row r="30970" spans="1:8">
      <c r="F30970" t="s">
        <v>13630</v>
      </c>
      <c r="G30970" t="s">
        <v>16903</v>
      </c>
      <c r="H30970" t="s">
        <v>18829</v>
      </c>
    </row>
    <row r="30971" spans="1:8">
      <c r="H30971" t="s">
        <v>18863</v>
      </c>
    </row>
    <row r="30972" spans="1:8">
      <c r="H30972" t="s">
        <v>30633</v>
      </c>
    </row>
    <row r="30973" spans="1:8">
      <c r="A30973" t="s">
        <v>2082</v>
      </c>
      <c r="B30973">
        <f>HYPERLINK("https://android.googlesource.com/platform/cts/+/43cb66eafcb4e536c5d563b72e55edd299e8c590", "43cb66eafcb4e536c5d563b72e55edd299e8c590")</f>
        <v>0</v>
      </c>
      <c r="C30973">
        <f>HYPERLINK("https://android.googlesource.com/platform/cts/+/f760095f44712d28334b9cfc0cb8e0972899c60b", "f760095f44712d28334b9cfc0cb8e0972899c60b")</f>
        <v>0</v>
      </c>
      <c r="D30973" t="s">
        <v>5224</v>
      </c>
      <c r="E30973" t="s">
        <v>7820</v>
      </c>
      <c r="F30973" t="s">
        <v>13528</v>
      </c>
      <c r="G30973" t="s">
        <v>17643</v>
      </c>
      <c r="H30973" t="s">
        <v>30829</v>
      </c>
    </row>
    <row r="30974" spans="1:8">
      <c r="H30974" t="s">
        <v>19019</v>
      </c>
    </row>
    <row r="30975" spans="1:8">
      <c r="H30975" t="s">
        <v>22505</v>
      </c>
    </row>
    <row r="30976" spans="1:8">
      <c r="H30976" t="s">
        <v>30830</v>
      </c>
    </row>
    <row r="30977" spans="1:8">
      <c r="H30977" t="s">
        <v>19019</v>
      </c>
    </row>
    <row r="30978" spans="1:8">
      <c r="H30978" t="s">
        <v>30831</v>
      </c>
    </row>
    <row r="30979" spans="1:8">
      <c r="H30979" t="s">
        <v>19019</v>
      </c>
    </row>
    <row r="30980" spans="1:8">
      <c r="H30980" t="s">
        <v>30832</v>
      </c>
    </row>
    <row r="30981" spans="1:8">
      <c r="H30981" t="s">
        <v>30833</v>
      </c>
    </row>
    <row r="30982" spans="1:8">
      <c r="H30982" t="s">
        <v>30834</v>
      </c>
    </row>
    <row r="30983" spans="1:8">
      <c r="A30983" t="s">
        <v>2083</v>
      </c>
      <c r="B30983">
        <f>HYPERLINK("https://android.googlesource.com/platform/cts/+/a797a99ab3714c6629d3d5f972862dc42a6c219d", "a797a99ab3714c6629d3d5f972862dc42a6c219d")</f>
        <v>0</v>
      </c>
      <c r="C30983">
        <f>HYPERLINK("https://android.googlesource.com/platform/cts/+/f4f4126ca7fe0fed71694320371278ce162b6c4a", "f4f4126ca7fe0fed71694320371278ce162b6c4a")</f>
        <v>0</v>
      </c>
      <c r="D30983" t="s">
        <v>5111</v>
      </c>
      <c r="E30983" t="s">
        <v>7821</v>
      </c>
      <c r="F30983" t="s">
        <v>13631</v>
      </c>
      <c r="G30983" t="s">
        <v>17708</v>
      </c>
      <c r="H30983" t="s">
        <v>29551</v>
      </c>
    </row>
    <row r="30984" spans="1:8">
      <c r="H30984" t="s">
        <v>30835</v>
      </c>
    </row>
    <row r="30985" spans="1:8">
      <c r="F30985" t="s">
        <v>13632</v>
      </c>
      <c r="G30985" t="s">
        <v>17709</v>
      </c>
      <c r="H30985" t="s">
        <v>29551</v>
      </c>
    </row>
    <row r="30986" spans="1:8">
      <c r="H30986" t="s">
        <v>30836</v>
      </c>
    </row>
    <row r="30987" spans="1:8">
      <c r="F30987" t="s">
        <v>13633</v>
      </c>
      <c r="G30987" t="s">
        <v>17710</v>
      </c>
      <c r="H30987" t="s">
        <v>29551</v>
      </c>
    </row>
    <row r="30988" spans="1:8">
      <c r="H30988" t="s">
        <v>30837</v>
      </c>
    </row>
    <row r="30989" spans="1:8">
      <c r="A30989" t="s">
        <v>2084</v>
      </c>
      <c r="B30989">
        <f>HYPERLINK("https://android.googlesource.com/platform/cts/+/eaf4e60afd129a1cfab37159123443a4f9ff5d98", "eaf4e60afd129a1cfab37159123443a4f9ff5d98")</f>
        <v>0</v>
      </c>
      <c r="C30989">
        <f>HYPERLINK("https://android.googlesource.com/platform/cts/+/bd37e1b11f4ff0df3b6d49d8cab519d7c5816fb7", "bd37e1b11f4ff0df3b6d49d8cab519d7c5816fb7")</f>
        <v>0</v>
      </c>
      <c r="D30989" t="s">
        <v>5329</v>
      </c>
      <c r="E30989" t="s">
        <v>7822</v>
      </c>
      <c r="F30989" t="s">
        <v>13634</v>
      </c>
      <c r="G30989" t="s">
        <v>17711</v>
      </c>
      <c r="H30989" t="s">
        <v>30838</v>
      </c>
    </row>
    <row r="30990" spans="1:8">
      <c r="A30990" t="s">
        <v>2085</v>
      </c>
      <c r="B30990">
        <f>HYPERLINK("https://android.googlesource.com/platform/cts/+/7c45ef23464d75996ff8f7a3a3013770dfe34753", "7c45ef23464d75996ff8f7a3a3013770dfe34753")</f>
        <v>0</v>
      </c>
      <c r="C30990">
        <f>HYPERLINK("https://android.googlesource.com/platform/cts/+/2076ba66b0838a1960e1ade90decbaef9eb2728e", "2076ba66b0838a1960e1ade90decbaef9eb2728e")</f>
        <v>0</v>
      </c>
      <c r="D30990" t="s">
        <v>5146</v>
      </c>
      <c r="E30990" t="s">
        <v>7823</v>
      </c>
      <c r="F30990" t="s">
        <v>13318</v>
      </c>
      <c r="G30990" t="s">
        <v>17449</v>
      </c>
      <c r="H30990" t="s">
        <v>30839</v>
      </c>
    </row>
    <row r="30991" spans="1:8">
      <c r="A30991" t="s">
        <v>2086</v>
      </c>
      <c r="B30991">
        <f>HYPERLINK("https://android.googlesource.com/platform/cts/+/6d03af8260972a7676055c99b59a7e61942fca04", "6d03af8260972a7676055c99b59a7e61942fca04")</f>
        <v>0</v>
      </c>
      <c r="C30991">
        <f>HYPERLINK("https://android.googlesource.com/platform/cts/+/bf2e1363311ce363176e37f1a30e3f0a94022c80", "bf2e1363311ce363176e37f1a30e3f0a94022c80")</f>
        <v>0</v>
      </c>
      <c r="D30991" t="s">
        <v>5188</v>
      </c>
      <c r="E30991" t="s">
        <v>7824</v>
      </c>
      <c r="F30991" t="s">
        <v>13635</v>
      </c>
      <c r="G30991" t="s">
        <v>17712</v>
      </c>
      <c r="H30991" t="s">
        <v>30840</v>
      </c>
    </row>
    <row r="30992" spans="1:8">
      <c r="F30992" t="s">
        <v>13636</v>
      </c>
      <c r="G30992" t="s">
        <v>17713</v>
      </c>
      <c r="H30992" t="s">
        <v>30841</v>
      </c>
    </row>
    <row r="30993" spans="1:8">
      <c r="H30993" t="s">
        <v>30842</v>
      </c>
    </row>
    <row r="30994" spans="1:8">
      <c r="H30994" t="s">
        <v>19782</v>
      </c>
    </row>
    <row r="30995" spans="1:8">
      <c r="A30995" t="s">
        <v>2087</v>
      </c>
      <c r="B30995">
        <f>HYPERLINK("https://android.googlesource.com/platform/cts/+/ba785743db70b7c69db08109a285083ead05bf99", "ba785743db70b7c69db08109a285083ead05bf99")</f>
        <v>0</v>
      </c>
      <c r="C30995">
        <f>HYPERLINK("https://android.googlesource.com/platform/cts/+/628980712d5fa82520dd98692f559f8a6d8b46e1", "628980712d5fa82520dd98692f559f8a6d8b46e1")</f>
        <v>0</v>
      </c>
      <c r="D30995" t="s">
        <v>5330</v>
      </c>
      <c r="E30995" t="s">
        <v>7825</v>
      </c>
      <c r="F30995" t="s">
        <v>13255</v>
      </c>
      <c r="G30995" t="s">
        <v>17393</v>
      </c>
      <c r="H30995" t="s">
        <v>30549</v>
      </c>
    </row>
    <row r="30996" spans="1:8">
      <c r="A30996" t="s">
        <v>2088</v>
      </c>
      <c r="B30996">
        <f>HYPERLINK("https://android.googlesource.com/platform/cts/+/3e753f74127b87ca83fab047530992d29480e10c", "3e753f74127b87ca83fab047530992d29480e10c")</f>
        <v>0</v>
      </c>
      <c r="C30996">
        <f>HYPERLINK("https://android.googlesource.com/platform/cts/+/c23c0c20b926e4f4c6f41697a3655b487ad48c5e", "c23c0c20b926e4f4c6f41697a3655b487ad48c5e")</f>
        <v>0</v>
      </c>
      <c r="D30996" t="s">
        <v>5330</v>
      </c>
      <c r="E30996" t="s">
        <v>7826</v>
      </c>
      <c r="F30996" t="s">
        <v>13255</v>
      </c>
      <c r="G30996" t="s">
        <v>17393</v>
      </c>
      <c r="H30996" t="s">
        <v>30549</v>
      </c>
    </row>
    <row r="30997" spans="1:8">
      <c r="A30997" t="s">
        <v>2089</v>
      </c>
      <c r="B30997">
        <f>HYPERLINK("https://android.googlesource.com/platform/cts/+/03584e83442e5e31e8dccf171a39c9960686511d", "03584e83442e5e31e8dccf171a39c9960686511d")</f>
        <v>0</v>
      </c>
      <c r="C30997">
        <f>HYPERLINK("https://android.googlesource.com/platform/cts/+/5ac3d526e6588de64cd2340da2d2faf3ab2db8e4", "5ac3d526e6588de64cd2340da2d2faf3ab2db8e4")</f>
        <v>0</v>
      </c>
      <c r="D30997" t="s">
        <v>5327</v>
      </c>
      <c r="E30997" t="s">
        <v>7827</v>
      </c>
      <c r="F30997" t="s">
        <v>12404</v>
      </c>
      <c r="G30997" t="s">
        <v>16626</v>
      </c>
      <c r="H30997" t="s">
        <v>30591</v>
      </c>
    </row>
    <row r="30998" spans="1:8">
      <c r="A30998" t="s">
        <v>2090</v>
      </c>
      <c r="B30998">
        <f>HYPERLINK("https://android.googlesource.com/platform/cts/+/094f6abf1cd1cc35e66f7d841da928442a3118c1", "094f6abf1cd1cc35e66f7d841da928442a3118c1")</f>
        <v>0</v>
      </c>
      <c r="C30998">
        <f>HYPERLINK("https://android.googlesource.com/platform/cts/+/b19203e123f30bf454d49a8dfc8abbda3d438b9a", "b19203e123f30bf454d49a8dfc8abbda3d438b9a")</f>
        <v>0</v>
      </c>
      <c r="D30998" t="s">
        <v>5127</v>
      </c>
      <c r="E30998" t="s">
        <v>7828</v>
      </c>
      <c r="F30998" t="s">
        <v>13637</v>
      </c>
      <c r="G30998" t="s">
        <v>17714</v>
      </c>
      <c r="H30998" t="s">
        <v>30843</v>
      </c>
    </row>
    <row r="30999" spans="1:8">
      <c r="H30999" t="s">
        <v>30844</v>
      </c>
    </row>
    <row r="31000" spans="1:8">
      <c r="F31000" t="s">
        <v>12629</v>
      </c>
      <c r="G31000" t="s">
        <v>16838</v>
      </c>
      <c r="H31000" t="s">
        <v>30843</v>
      </c>
    </row>
    <row r="31001" spans="1:8">
      <c r="H31001" t="s">
        <v>30845</v>
      </c>
    </row>
    <row r="31002" spans="1:8">
      <c r="H31002" t="s">
        <v>30846</v>
      </c>
    </row>
    <row r="31003" spans="1:8">
      <c r="H31003" t="s">
        <v>30847</v>
      </c>
    </row>
    <row r="31004" spans="1:8">
      <c r="H31004" t="s">
        <v>30848</v>
      </c>
    </row>
    <row r="31005" spans="1:8">
      <c r="A31005" t="s">
        <v>2091</v>
      </c>
      <c r="B31005">
        <f>HYPERLINK("https://android.googlesource.com/platform/cts/+/ffdbfcc26549f4b8a4cc71a65f2ebe1adc0f0f6d", "ffdbfcc26549f4b8a4cc71a65f2ebe1adc0f0f6d")</f>
        <v>0</v>
      </c>
      <c r="C31005">
        <f>HYPERLINK("https://android.googlesource.com/platform/cts/+/f8e54faa1acda7981cb7b98d307a8c411f2ad405", "f8e54faa1acda7981cb7b98d307a8c411f2ad405")</f>
        <v>0</v>
      </c>
      <c r="D31005" t="s">
        <v>5331</v>
      </c>
      <c r="E31005" t="s">
        <v>7829</v>
      </c>
      <c r="F31005" t="s">
        <v>13638</v>
      </c>
      <c r="G31005" t="s">
        <v>17715</v>
      </c>
      <c r="H31005" t="s">
        <v>18829</v>
      </c>
    </row>
    <row r="31006" spans="1:8">
      <c r="H31006" t="s">
        <v>30849</v>
      </c>
    </row>
    <row r="31007" spans="1:8">
      <c r="H31007" t="s">
        <v>30850</v>
      </c>
    </row>
    <row r="31008" spans="1:8">
      <c r="A31008" t="s">
        <v>2092</v>
      </c>
      <c r="B31008">
        <f>HYPERLINK("https://android.googlesource.com/platform/cts/+/ac328edfbb209ce9cef3192bdf0c73d307d61dab", "ac328edfbb209ce9cef3192bdf0c73d307d61dab")</f>
        <v>0</v>
      </c>
      <c r="C31008">
        <f>HYPERLINK("https://android.googlesource.com/platform/cts/+/9f185d5645fc29e7e557edec7b027297a1586cca", "9f185d5645fc29e7e557edec7b027297a1586cca")</f>
        <v>0</v>
      </c>
      <c r="D31008" t="s">
        <v>5039</v>
      </c>
      <c r="E31008" t="s">
        <v>7830</v>
      </c>
      <c r="F31008" t="s">
        <v>12570</v>
      </c>
      <c r="G31008" t="s">
        <v>16786</v>
      </c>
      <c r="H31008" t="s">
        <v>30851</v>
      </c>
    </row>
    <row r="31009" spans="1:8">
      <c r="A31009" t="s">
        <v>2093</v>
      </c>
      <c r="B31009">
        <f>HYPERLINK("https://android.googlesource.com/platform/cts/+/4dffe37493a875652d609a4172899285e977b5a4", "4dffe37493a875652d609a4172899285e977b5a4")</f>
        <v>0</v>
      </c>
      <c r="C31009">
        <f>HYPERLINK("https://android.googlesource.com/platform/cts/+/edbdb82b3463502fe16ab92ce27dd7fd1fe1eae4", "edbdb82b3463502fe16ab92ce27dd7fd1fe1eae4")</f>
        <v>0</v>
      </c>
      <c r="D31009" t="s">
        <v>5188</v>
      </c>
      <c r="E31009" t="s">
        <v>7831</v>
      </c>
      <c r="F31009" t="s">
        <v>13636</v>
      </c>
      <c r="G31009" t="s">
        <v>17713</v>
      </c>
      <c r="H31009" t="s">
        <v>30852</v>
      </c>
    </row>
    <row r="31010" spans="1:8">
      <c r="A31010" t="s">
        <v>2094</v>
      </c>
      <c r="B31010">
        <f>HYPERLINK("https://android.googlesource.com/platform/cts/+/b4c231ec2415f4054ee63c049f8ae706becc627e", "b4c231ec2415f4054ee63c049f8ae706becc627e")</f>
        <v>0</v>
      </c>
      <c r="C31010">
        <f>HYPERLINK("https://android.googlesource.com/platform/cts/+/cedcbbd0278dfec5d40e152c5ea822e671d0e8e1", "cedcbbd0278dfec5d40e152c5ea822e671d0e8e1")</f>
        <v>0</v>
      </c>
      <c r="D31010" t="s">
        <v>5108</v>
      </c>
      <c r="E31010" t="s">
        <v>7832</v>
      </c>
      <c r="F31010" t="s">
        <v>12647</v>
      </c>
      <c r="G31010" t="s">
        <v>16853</v>
      </c>
      <c r="H31010" t="s">
        <v>30853</v>
      </c>
    </row>
    <row r="31011" spans="1:8">
      <c r="A31011" t="s">
        <v>2095</v>
      </c>
      <c r="B31011">
        <f>HYPERLINK("https://android.googlesource.com/platform/cts/+/2fdc90bc593c5d7118ebac3deac83c5e9d345b63", "2fdc90bc593c5d7118ebac3deac83c5e9d345b63")</f>
        <v>0</v>
      </c>
      <c r="C31011">
        <f>HYPERLINK("https://android.googlesource.com/platform/cts/+/8f430dd6340db9a183f8ad05f93ced8890c000af", "8f430dd6340db9a183f8ad05f93ced8890c000af")</f>
        <v>0</v>
      </c>
      <c r="D31011" t="s">
        <v>5083</v>
      </c>
      <c r="E31011" t="s">
        <v>7833</v>
      </c>
      <c r="F31011" t="s">
        <v>13639</v>
      </c>
      <c r="G31011" t="s">
        <v>17716</v>
      </c>
      <c r="H31011" t="s">
        <v>30854</v>
      </c>
    </row>
    <row r="31012" spans="1:8">
      <c r="H31012" t="s">
        <v>30855</v>
      </c>
    </row>
    <row r="31013" spans="1:8">
      <c r="H31013" t="s">
        <v>30856</v>
      </c>
    </row>
    <row r="31014" spans="1:8">
      <c r="A31014" t="s">
        <v>2096</v>
      </c>
      <c r="B31014">
        <f>HYPERLINK("https://android.googlesource.com/platform/cts/+/7825c39aca72b2ed63c11b2326003899a7767d6f", "7825c39aca72b2ed63c11b2326003899a7767d6f")</f>
        <v>0</v>
      </c>
      <c r="C31014">
        <f>HYPERLINK("https://android.googlesource.com/platform/cts/+/ce605f2a2c842cc644a2f353bc5984ff04681387", "ce605f2a2c842cc644a2f353bc5984ff04681387")</f>
        <v>0</v>
      </c>
      <c r="D31014" t="s">
        <v>5177</v>
      </c>
      <c r="E31014" t="s">
        <v>7834</v>
      </c>
      <c r="F31014" t="s">
        <v>10659</v>
      </c>
      <c r="G31014" t="s">
        <v>15060</v>
      </c>
      <c r="H31014" t="s">
        <v>19028</v>
      </c>
    </row>
    <row r="31015" spans="1:8">
      <c r="A31015" t="s">
        <v>2097</v>
      </c>
      <c r="B31015">
        <f>HYPERLINK("https://android.googlesource.com/platform/cts/+/28ecbad5cefdf6899ba4422b499267f8f3a30be4", "28ecbad5cefdf6899ba4422b499267f8f3a30be4")</f>
        <v>0</v>
      </c>
      <c r="C31015">
        <f>HYPERLINK("https://android.googlesource.com/platform/cts/+/47cc67efb0950515729c10337f64c4b41f7ac98f", "47cc67efb0950515729c10337f64c4b41f7ac98f")</f>
        <v>0</v>
      </c>
      <c r="D31015" t="s">
        <v>5177</v>
      </c>
      <c r="E31015" t="s">
        <v>7834</v>
      </c>
      <c r="F31015" t="s">
        <v>10659</v>
      </c>
      <c r="G31015" t="s">
        <v>15060</v>
      </c>
      <c r="H31015" t="s">
        <v>19028</v>
      </c>
    </row>
    <row r="31016" spans="1:8">
      <c r="A31016" t="s">
        <v>2098</v>
      </c>
      <c r="B31016">
        <f>HYPERLINK("https://android.googlesource.com/platform/cts/+/1f75f5963f7774c7d356ff88593fef0b7de5a404", "1f75f5963f7774c7d356ff88593fef0b7de5a404")</f>
        <v>0</v>
      </c>
      <c r="C31016">
        <f>HYPERLINK("https://android.googlesource.com/platform/cts/+/cedcbbd0278dfec5d40e152c5ea822e671d0e8e1", "cedcbbd0278dfec5d40e152c5ea822e671d0e8e1")</f>
        <v>0</v>
      </c>
      <c r="D31016" t="s">
        <v>5332</v>
      </c>
      <c r="E31016" t="s">
        <v>7835</v>
      </c>
      <c r="F31016" t="s">
        <v>13640</v>
      </c>
      <c r="G31016" t="s">
        <v>17458</v>
      </c>
      <c r="H31016" t="s">
        <v>29219</v>
      </c>
    </row>
    <row r="31017" spans="1:8">
      <c r="A31017" t="s">
        <v>2099</v>
      </c>
      <c r="B31017">
        <f>HYPERLINK("https://android.googlesource.com/platform/cts/+/8c2ea520e6490b215318ebaac4d58eb2caa9af0d", "8c2ea520e6490b215318ebaac4d58eb2caa9af0d")</f>
        <v>0</v>
      </c>
      <c r="C31017">
        <f>HYPERLINK("https://android.googlesource.com/platform/cts/+/0302fd21d4c87cffdb26b9188659e9a2cc54cb97", "0302fd21d4c87cffdb26b9188659e9a2cc54cb97")</f>
        <v>0</v>
      </c>
      <c r="D31017" t="s">
        <v>5134</v>
      </c>
      <c r="E31017" t="s">
        <v>7836</v>
      </c>
      <c r="F31017" t="s">
        <v>13641</v>
      </c>
      <c r="G31017" t="s">
        <v>17717</v>
      </c>
      <c r="H31017" t="s">
        <v>30857</v>
      </c>
    </row>
    <row r="31018" spans="1:8">
      <c r="A31018" t="s">
        <v>2100</v>
      </c>
      <c r="B31018">
        <f>HYPERLINK("https://android.googlesource.com/platform/cts/+/e81ba6c15b84cca84cbbe882fc3fc619d78b0460", "e81ba6c15b84cca84cbbe882fc3fc619d78b0460")</f>
        <v>0</v>
      </c>
      <c r="C31018">
        <f>HYPERLINK("https://android.googlesource.com/platform/cts/+/921ae7f2fc9df083c71cffb266b6b960d329eb43", "921ae7f2fc9df083c71cffb266b6b960d329eb43")</f>
        <v>0</v>
      </c>
      <c r="D31018" t="s">
        <v>5135</v>
      </c>
      <c r="E31018" t="s">
        <v>7837</v>
      </c>
      <c r="F31018" t="s">
        <v>12772</v>
      </c>
      <c r="G31018" t="s">
        <v>16543</v>
      </c>
      <c r="H31018" t="s">
        <v>30858</v>
      </c>
    </row>
    <row r="31019" spans="1:8">
      <c r="H31019" t="s">
        <v>30859</v>
      </c>
    </row>
    <row r="31020" spans="1:8">
      <c r="A31020" t="s">
        <v>2101</v>
      </c>
      <c r="B31020">
        <f>HYPERLINK("https://android.googlesource.com/platform/cts/+/3b8e8a72da86e50492fb7769f2e30e9a1e24c654", "3b8e8a72da86e50492fb7769f2e30e9a1e24c654")</f>
        <v>0</v>
      </c>
      <c r="C31020">
        <f>HYPERLINK("https://android.googlesource.com/platform/cts/+/4e3f64e3a25c08f9a3ec8f38fa1114310b141799", "4e3f64e3a25c08f9a3ec8f38fa1114310b141799")</f>
        <v>0</v>
      </c>
      <c r="D31020" t="s">
        <v>5332</v>
      </c>
      <c r="E31020" t="s">
        <v>7838</v>
      </c>
      <c r="F31020" t="s">
        <v>13640</v>
      </c>
      <c r="G31020" t="s">
        <v>17458</v>
      </c>
      <c r="H31020" t="s">
        <v>20244</v>
      </c>
    </row>
    <row r="31021" spans="1:8">
      <c r="H31021" t="s">
        <v>18829</v>
      </c>
    </row>
    <row r="31022" spans="1:8">
      <c r="H31022" t="s">
        <v>18863</v>
      </c>
    </row>
    <row r="31023" spans="1:8">
      <c r="H31023" t="s">
        <v>29420</v>
      </c>
    </row>
    <row r="31024" spans="1:8">
      <c r="H31024" t="s">
        <v>29421</v>
      </c>
    </row>
    <row r="31025" spans="1:8">
      <c r="H31025" t="s">
        <v>29422</v>
      </c>
    </row>
    <row r="31026" spans="1:8">
      <c r="H31026" t="s">
        <v>30860</v>
      </c>
    </row>
    <row r="31027" spans="1:8">
      <c r="H31027" t="s">
        <v>29423</v>
      </c>
    </row>
    <row r="31028" spans="1:8">
      <c r="H31028" t="s">
        <v>29424</v>
      </c>
    </row>
    <row r="31029" spans="1:8">
      <c r="H31029" t="s">
        <v>29426</v>
      </c>
    </row>
    <row r="31030" spans="1:8">
      <c r="H31030" t="s">
        <v>29205</v>
      </c>
    </row>
    <row r="31031" spans="1:8">
      <c r="H31031" t="s">
        <v>26556</v>
      </c>
    </row>
    <row r="31032" spans="1:8">
      <c r="H31032" t="s">
        <v>26555</v>
      </c>
    </row>
    <row r="31033" spans="1:8">
      <c r="H31033" t="s">
        <v>29223</v>
      </c>
    </row>
    <row r="31034" spans="1:8">
      <c r="A31034" t="s">
        <v>2102</v>
      </c>
      <c r="B31034">
        <f>HYPERLINK("https://android.googlesource.com/platform/cts/+/b630a8980abf4736df56fdab7c194bdb5c0bf28f", "b630a8980abf4736df56fdab7c194bdb5c0bf28f")</f>
        <v>0</v>
      </c>
      <c r="C31034">
        <f>HYPERLINK("https://android.googlesource.com/platform/cts/+/971433bb42e7d2321f0c61a0f048070d1099c582", "971433bb42e7d2321f0c61a0f048070d1099c582")</f>
        <v>0</v>
      </c>
      <c r="D31034" t="s">
        <v>5117</v>
      </c>
      <c r="E31034" t="s">
        <v>7839</v>
      </c>
      <c r="F31034" t="s">
        <v>13642</v>
      </c>
      <c r="G31034" t="s">
        <v>17718</v>
      </c>
      <c r="H31034" t="s">
        <v>18829</v>
      </c>
    </row>
    <row r="31035" spans="1:8">
      <c r="H31035" t="s">
        <v>30861</v>
      </c>
    </row>
    <row r="31036" spans="1:8">
      <c r="H31036" t="s">
        <v>30862</v>
      </c>
    </row>
    <row r="31037" spans="1:8">
      <c r="H31037" t="s">
        <v>30863</v>
      </c>
    </row>
    <row r="31038" spans="1:8">
      <c r="H31038" t="s">
        <v>30864</v>
      </c>
    </row>
    <row r="31039" spans="1:8">
      <c r="H31039" t="s">
        <v>18863</v>
      </c>
    </row>
    <row r="31040" spans="1:8">
      <c r="F31040" t="s">
        <v>13337</v>
      </c>
      <c r="G31040" t="s">
        <v>17467</v>
      </c>
      <c r="H31040" t="s">
        <v>18829</v>
      </c>
    </row>
    <row r="31041" spans="1:8">
      <c r="H31041" t="s">
        <v>30861</v>
      </c>
    </row>
    <row r="31042" spans="1:8">
      <c r="H31042" t="s">
        <v>30862</v>
      </c>
    </row>
    <row r="31043" spans="1:8">
      <c r="H31043" t="s">
        <v>30863</v>
      </c>
    </row>
    <row r="31044" spans="1:8">
      <c r="H31044" t="s">
        <v>30864</v>
      </c>
    </row>
    <row r="31045" spans="1:8">
      <c r="H31045" t="s">
        <v>30865</v>
      </c>
    </row>
    <row r="31046" spans="1:8">
      <c r="H31046" t="s">
        <v>18863</v>
      </c>
    </row>
    <row r="31047" spans="1:8">
      <c r="A31047" t="s">
        <v>2103</v>
      </c>
      <c r="B31047">
        <f>HYPERLINK("https://android.googlesource.com/platform/cts/+/294dab2c08f1046d6978f2ce1a54a8b82ae2b591", "294dab2c08f1046d6978f2ce1a54a8b82ae2b591")</f>
        <v>0</v>
      </c>
      <c r="C31047">
        <f>HYPERLINK("https://android.googlesource.com/platform/cts/+/dc52142b772a8895f107cc3f97ec1a878b9e1f70", "dc52142b772a8895f107cc3f97ec1a878b9e1f70")</f>
        <v>0</v>
      </c>
      <c r="D31047" t="s">
        <v>5083</v>
      </c>
      <c r="E31047" t="s">
        <v>7840</v>
      </c>
      <c r="F31047" t="s">
        <v>10682</v>
      </c>
      <c r="G31047" t="s">
        <v>15082</v>
      </c>
      <c r="H31047" t="s">
        <v>30866</v>
      </c>
    </row>
    <row r="31048" spans="1:8">
      <c r="A31048" t="s">
        <v>2104</v>
      </c>
      <c r="B31048">
        <f>HYPERLINK("https://android.googlesource.com/platform/cts/+/9348c7db0c61e1be414c24cc24a40b6bf7c99fe9", "9348c7db0c61e1be414c24cc24a40b6bf7c99fe9")</f>
        <v>0</v>
      </c>
      <c r="C31048">
        <f>HYPERLINK("https://android.googlesource.com/platform/cts/+/30404131f75131fba975b74981c0cb1231c96638", "30404131f75131fba975b74981c0cb1231c96638")</f>
        <v>0</v>
      </c>
      <c r="D31048" t="s">
        <v>5108</v>
      </c>
      <c r="E31048" t="s">
        <v>7841</v>
      </c>
      <c r="F31048" t="s">
        <v>13643</v>
      </c>
      <c r="G31048" t="s">
        <v>17719</v>
      </c>
      <c r="H31048" t="s">
        <v>30867</v>
      </c>
    </row>
    <row r="31049" spans="1:8">
      <c r="F31049" t="s">
        <v>13390</v>
      </c>
      <c r="G31049" t="s">
        <v>17513</v>
      </c>
      <c r="H31049" t="s">
        <v>30868</v>
      </c>
    </row>
    <row r="31050" spans="1:8">
      <c r="H31050" t="s">
        <v>30869</v>
      </c>
    </row>
    <row r="31051" spans="1:8">
      <c r="A31051" t="s">
        <v>2105</v>
      </c>
      <c r="B31051">
        <f>HYPERLINK("https://android.googlesource.com/platform/cts/+/3eaf69ecc35c61902fb39cad0b3d4031d7d92ff0", "3eaf69ecc35c61902fb39cad0b3d4031d7d92ff0")</f>
        <v>0</v>
      </c>
      <c r="C31051">
        <f>HYPERLINK("https://android.googlesource.com/platform/cts/+/bf41386d36f0896e41903723333c983a5e13198f", "bf41386d36f0896e41903723333c983a5e13198f")</f>
        <v>0</v>
      </c>
      <c r="D31051" t="s">
        <v>5134</v>
      </c>
      <c r="E31051" t="s">
        <v>7842</v>
      </c>
      <c r="F31051" t="s">
        <v>13644</v>
      </c>
      <c r="G31051" t="s">
        <v>17720</v>
      </c>
      <c r="H31051" t="s">
        <v>22685</v>
      </c>
    </row>
    <row r="31052" spans="1:8">
      <c r="F31052" t="s">
        <v>13302</v>
      </c>
      <c r="G31052" t="s">
        <v>17438</v>
      </c>
      <c r="H31052" t="s">
        <v>22685</v>
      </c>
    </row>
    <row r="31053" spans="1:8">
      <c r="F31053" t="s">
        <v>13645</v>
      </c>
      <c r="G31053" t="s">
        <v>17721</v>
      </c>
      <c r="H31053" t="s">
        <v>22685</v>
      </c>
    </row>
    <row r="31054" spans="1:8">
      <c r="F31054" t="s">
        <v>13361</v>
      </c>
      <c r="G31054" t="s">
        <v>17488</v>
      </c>
      <c r="H31054" t="s">
        <v>22685</v>
      </c>
    </row>
    <row r="31055" spans="1:8">
      <c r="F31055" t="s">
        <v>13646</v>
      </c>
      <c r="G31055" t="s">
        <v>17722</v>
      </c>
      <c r="H31055" t="s">
        <v>30870</v>
      </c>
    </row>
    <row r="31056" spans="1:8">
      <c r="F31056" t="s">
        <v>13647</v>
      </c>
      <c r="G31056" t="s">
        <v>17723</v>
      </c>
      <c r="H31056" t="s">
        <v>30870</v>
      </c>
    </row>
    <row r="31057" spans="6:8">
      <c r="F31057" t="s">
        <v>13648</v>
      </c>
      <c r="G31057" t="s">
        <v>17724</v>
      </c>
      <c r="H31057" t="s">
        <v>22685</v>
      </c>
    </row>
    <row r="31058" spans="6:8">
      <c r="F31058" t="s">
        <v>13567</v>
      </c>
      <c r="G31058" t="s">
        <v>17672</v>
      </c>
      <c r="H31058" t="s">
        <v>22685</v>
      </c>
    </row>
    <row r="31059" spans="6:8">
      <c r="F31059" t="s">
        <v>13421</v>
      </c>
      <c r="G31059" t="s">
        <v>17545</v>
      </c>
      <c r="H31059" t="s">
        <v>29571</v>
      </c>
    </row>
    <row r="31060" spans="6:8">
      <c r="F31060" t="s">
        <v>13403</v>
      </c>
      <c r="G31060" t="s">
        <v>17529</v>
      </c>
      <c r="H31060" t="s">
        <v>22685</v>
      </c>
    </row>
    <row r="31061" spans="6:8">
      <c r="F31061" t="s">
        <v>13649</v>
      </c>
      <c r="G31061" t="s">
        <v>17725</v>
      </c>
      <c r="H31061" t="s">
        <v>22685</v>
      </c>
    </row>
    <row r="31062" spans="6:8">
      <c r="F31062" t="s">
        <v>13650</v>
      </c>
      <c r="G31062" t="s">
        <v>17726</v>
      </c>
      <c r="H31062" t="s">
        <v>22685</v>
      </c>
    </row>
    <row r="31063" spans="6:8">
      <c r="F31063" t="s">
        <v>13651</v>
      </c>
      <c r="G31063" t="s">
        <v>17727</v>
      </c>
      <c r="H31063" t="s">
        <v>22685</v>
      </c>
    </row>
    <row r="31064" spans="6:8">
      <c r="F31064" t="s">
        <v>13470</v>
      </c>
      <c r="G31064" t="s">
        <v>17589</v>
      </c>
      <c r="H31064" t="s">
        <v>22685</v>
      </c>
    </row>
    <row r="31065" spans="6:8">
      <c r="F31065" t="s">
        <v>13652</v>
      </c>
      <c r="G31065" t="s">
        <v>17728</v>
      </c>
      <c r="H31065" t="s">
        <v>19017</v>
      </c>
    </row>
    <row r="31066" spans="6:8">
      <c r="F31066" t="s">
        <v>13653</v>
      </c>
      <c r="G31066" t="s">
        <v>17729</v>
      </c>
      <c r="H31066" t="s">
        <v>22685</v>
      </c>
    </row>
    <row r="31067" spans="6:8">
      <c r="H31067" t="s">
        <v>30871</v>
      </c>
    </row>
    <row r="31068" spans="6:8">
      <c r="F31068" t="s">
        <v>13428</v>
      </c>
      <c r="G31068" t="s">
        <v>17552</v>
      </c>
      <c r="H31068" t="s">
        <v>22685</v>
      </c>
    </row>
    <row r="31069" spans="6:8">
      <c r="F31069" t="s">
        <v>13314</v>
      </c>
      <c r="G31069" t="s">
        <v>17445</v>
      </c>
      <c r="H31069" t="s">
        <v>22685</v>
      </c>
    </row>
    <row r="31070" spans="6:8">
      <c r="H31070" t="s">
        <v>30871</v>
      </c>
    </row>
    <row r="31071" spans="6:8">
      <c r="H31071" t="s">
        <v>30872</v>
      </c>
    </row>
    <row r="31072" spans="6:8">
      <c r="F31072" t="s">
        <v>13429</v>
      </c>
      <c r="G31072" t="s">
        <v>17553</v>
      </c>
      <c r="H31072" t="s">
        <v>22685</v>
      </c>
    </row>
    <row r="31073" spans="1:8">
      <c r="F31073" t="s">
        <v>13641</v>
      </c>
      <c r="G31073" t="s">
        <v>17717</v>
      </c>
      <c r="H31073" t="s">
        <v>21323</v>
      </c>
    </row>
    <row r="31074" spans="1:8">
      <c r="F31074" t="s">
        <v>13654</v>
      </c>
      <c r="G31074" t="s">
        <v>17730</v>
      </c>
      <c r="H31074" t="s">
        <v>22685</v>
      </c>
    </row>
    <row r="31075" spans="1:8">
      <c r="F31075" t="s">
        <v>13371</v>
      </c>
      <c r="G31075" t="s">
        <v>17498</v>
      </c>
      <c r="H31075" t="s">
        <v>21323</v>
      </c>
    </row>
    <row r="31076" spans="1:8">
      <c r="H31076" t="s">
        <v>21323</v>
      </c>
    </row>
    <row r="31077" spans="1:8">
      <c r="F31077" t="s">
        <v>13655</v>
      </c>
      <c r="G31077" t="s">
        <v>17731</v>
      </c>
      <c r="H31077" t="s">
        <v>30873</v>
      </c>
    </row>
    <row r="31078" spans="1:8">
      <c r="F31078" t="s">
        <v>13656</v>
      </c>
      <c r="G31078" t="s">
        <v>17732</v>
      </c>
      <c r="H31078" t="s">
        <v>30873</v>
      </c>
    </row>
    <row r="31079" spans="1:8">
      <c r="F31079" t="s">
        <v>13416</v>
      </c>
      <c r="G31079" t="s">
        <v>17542</v>
      </c>
      <c r="H31079" t="s">
        <v>22685</v>
      </c>
    </row>
    <row r="31080" spans="1:8">
      <c r="F31080" t="s">
        <v>13241</v>
      </c>
      <c r="G31080" t="s">
        <v>17381</v>
      </c>
      <c r="H31080" t="s">
        <v>22685</v>
      </c>
    </row>
    <row r="31081" spans="1:8">
      <c r="F31081" t="s">
        <v>13255</v>
      </c>
      <c r="G31081" t="s">
        <v>17393</v>
      </c>
      <c r="H31081" t="s">
        <v>22685</v>
      </c>
    </row>
    <row r="31082" spans="1:8">
      <c r="F31082" t="s">
        <v>13657</v>
      </c>
      <c r="G31082" t="s">
        <v>17733</v>
      </c>
      <c r="H31082" t="s">
        <v>22685</v>
      </c>
    </row>
    <row r="31083" spans="1:8">
      <c r="A31083" t="s">
        <v>2106</v>
      </c>
      <c r="B31083">
        <f>HYPERLINK("https://android.googlesource.com/platform/cts/+/895569800aa5b822ba4408fd9e9d98db1695d8a7", "895569800aa5b822ba4408fd9e9d98db1695d8a7")</f>
        <v>0</v>
      </c>
      <c r="C31083">
        <f>HYPERLINK("https://android.googlesource.com/platform/cts/+/ee3a1be3e2a927b47311427caa0955289040d634", "ee3a1be3e2a927b47311427caa0955289040d634")</f>
        <v>0</v>
      </c>
      <c r="D31083" t="s">
        <v>5269</v>
      </c>
      <c r="E31083" t="s">
        <v>7843</v>
      </c>
      <c r="F31083" t="s">
        <v>13658</v>
      </c>
      <c r="G31083" t="s">
        <v>16913</v>
      </c>
      <c r="H31083" t="s">
        <v>18863</v>
      </c>
    </row>
    <row r="31084" spans="1:8">
      <c r="H31084" t="s">
        <v>21323</v>
      </c>
    </row>
    <row r="31085" spans="1:8">
      <c r="H31085" t="s">
        <v>20237</v>
      </c>
    </row>
    <row r="31086" spans="1:8">
      <c r="H31086" t="s">
        <v>19019</v>
      </c>
    </row>
    <row r="31087" spans="1:8">
      <c r="F31087" t="s">
        <v>13659</v>
      </c>
      <c r="G31087" t="s">
        <v>16438</v>
      </c>
      <c r="H31087" t="s">
        <v>30874</v>
      </c>
    </row>
    <row r="31088" spans="1:8">
      <c r="A31088" t="s">
        <v>2107</v>
      </c>
      <c r="B31088">
        <f>HYPERLINK("https://android.googlesource.com/platform/cts/+/a92f36f32d2ea3cbe8e77b4bb7e378622406c4f1", "a92f36f32d2ea3cbe8e77b4bb7e378622406c4f1")</f>
        <v>0</v>
      </c>
      <c r="C31088">
        <f>HYPERLINK("https://android.googlesource.com/platform/cts/+/703bf74391da98ba1b3a4109e809a43879536b4d", "703bf74391da98ba1b3a4109e809a43879536b4d")</f>
        <v>0</v>
      </c>
      <c r="D31088" t="s">
        <v>5085</v>
      </c>
      <c r="E31088" t="s">
        <v>7844</v>
      </c>
      <c r="F31088" t="s">
        <v>13518</v>
      </c>
      <c r="G31088" t="s">
        <v>17734</v>
      </c>
      <c r="H31088" t="s">
        <v>22678</v>
      </c>
    </row>
    <row r="31089" spans="8:8">
      <c r="H31089" t="s">
        <v>30875</v>
      </c>
    </row>
    <row r="31090" spans="8:8">
      <c r="H31090" t="s">
        <v>18829</v>
      </c>
    </row>
    <row r="31091" spans="8:8">
      <c r="H31091" t="s">
        <v>30876</v>
      </c>
    </row>
    <row r="31092" spans="8:8">
      <c r="H31092" t="s">
        <v>30877</v>
      </c>
    </row>
    <row r="31093" spans="8:8">
      <c r="H31093" t="s">
        <v>30878</v>
      </c>
    </row>
    <row r="31094" spans="8:8">
      <c r="H31094" t="s">
        <v>30879</v>
      </c>
    </row>
    <row r="31095" spans="8:8">
      <c r="H31095" t="s">
        <v>30880</v>
      </c>
    </row>
    <row r="31096" spans="8:8">
      <c r="H31096" t="s">
        <v>18863</v>
      </c>
    </row>
    <row r="31097" spans="8:8">
      <c r="H31097" t="s">
        <v>29723</v>
      </c>
    </row>
    <row r="31098" spans="8:8">
      <c r="H31098" t="s">
        <v>30881</v>
      </c>
    </row>
    <row r="31099" spans="8:8">
      <c r="H31099" t="s">
        <v>30882</v>
      </c>
    </row>
    <row r="31100" spans="8:8">
      <c r="H31100" t="s">
        <v>29725</v>
      </c>
    </row>
    <row r="31101" spans="8:8">
      <c r="H31101" t="s">
        <v>29726</v>
      </c>
    </row>
    <row r="31102" spans="8:8">
      <c r="H31102" t="s">
        <v>29940</v>
      </c>
    </row>
    <row r="31103" spans="8:8">
      <c r="H31103" t="s">
        <v>30883</v>
      </c>
    </row>
    <row r="31104" spans="8:8">
      <c r="H31104" t="s">
        <v>30884</v>
      </c>
    </row>
    <row r="31105" spans="1:8">
      <c r="H31105" t="s">
        <v>30885</v>
      </c>
    </row>
    <row r="31106" spans="1:8">
      <c r="H31106" t="s">
        <v>29727</v>
      </c>
    </row>
    <row r="31107" spans="1:8">
      <c r="H31107" t="s">
        <v>29728</v>
      </c>
    </row>
    <row r="31108" spans="1:8">
      <c r="H31108" t="s">
        <v>29729</v>
      </c>
    </row>
    <row r="31109" spans="1:8">
      <c r="H31109" t="s">
        <v>29730</v>
      </c>
    </row>
    <row r="31110" spans="1:8">
      <c r="H31110" t="s">
        <v>18893</v>
      </c>
    </row>
    <row r="31111" spans="1:8">
      <c r="A31111" t="s">
        <v>2108</v>
      </c>
      <c r="B31111">
        <f>HYPERLINK("https://android.googlesource.com/platform/cts/+/d8643fabad317fd027d8d2f9b33a9ebe769b65e6", "d8643fabad317fd027d8d2f9b33a9ebe769b65e6")</f>
        <v>0</v>
      </c>
      <c r="C31111">
        <f>HYPERLINK("https://android.googlesource.com/platform/cts/+/9cabcc170e3bf5ad32c3ba2017ed0afdf3f5c7e0", "9cabcc170e3bf5ad32c3ba2017ed0afdf3f5c7e0")</f>
        <v>0</v>
      </c>
      <c r="D31111" t="s">
        <v>5315</v>
      </c>
      <c r="E31111" t="s">
        <v>7845</v>
      </c>
      <c r="F31111" t="s">
        <v>13227</v>
      </c>
      <c r="G31111" t="s">
        <v>17368</v>
      </c>
      <c r="H31111" t="s">
        <v>30886</v>
      </c>
    </row>
    <row r="31112" spans="1:8">
      <c r="A31112" t="s">
        <v>2109</v>
      </c>
      <c r="B31112">
        <f>HYPERLINK("https://android.googlesource.com/platform/cts/+/712cacf636b330519dceffd7021b968473cb2894", "712cacf636b330519dceffd7021b968473cb2894")</f>
        <v>0</v>
      </c>
      <c r="C31112">
        <f>HYPERLINK("https://android.googlesource.com/platform/cts/+/3df83b32a8ac55ca6309282ef5239aef803a29ba", "3df83b32a8ac55ca6309282ef5239aef803a29ba")</f>
        <v>0</v>
      </c>
      <c r="D31112" t="s">
        <v>5258</v>
      </c>
      <c r="E31112" t="s">
        <v>7846</v>
      </c>
      <c r="F31112" t="s">
        <v>13572</v>
      </c>
      <c r="G31112" t="s">
        <v>17605</v>
      </c>
      <c r="H31112" t="s">
        <v>30887</v>
      </c>
    </row>
    <row r="31113" spans="1:8">
      <c r="F31113" t="s">
        <v>13660</v>
      </c>
      <c r="G31113" t="s">
        <v>17606</v>
      </c>
      <c r="H31113" t="s">
        <v>30887</v>
      </c>
    </row>
    <row r="31114" spans="1:8">
      <c r="A31114" t="s">
        <v>2110</v>
      </c>
      <c r="B31114">
        <f>HYPERLINK("https://android.googlesource.com/platform/cts/+/cfb0570dd8456090df2921fd5567d04a39544fc7", "cfb0570dd8456090df2921fd5567d04a39544fc7")</f>
        <v>0</v>
      </c>
      <c r="C31114">
        <f>HYPERLINK("https://android.googlesource.com/platform/cts/+/3438e01394cf14ef33d4a4d1fee8cccf7131a4cf", "3438e01394cf14ef33d4a4d1fee8cccf7131a4cf")</f>
        <v>0</v>
      </c>
      <c r="D31114" t="s">
        <v>5333</v>
      </c>
      <c r="E31114" t="s">
        <v>7847</v>
      </c>
      <c r="F31114" t="s">
        <v>13163</v>
      </c>
      <c r="G31114" t="s">
        <v>17313</v>
      </c>
      <c r="H31114" t="s">
        <v>30888</v>
      </c>
    </row>
    <row r="31115" spans="1:8">
      <c r="H31115" t="s">
        <v>30889</v>
      </c>
    </row>
    <row r="31116" spans="1:8">
      <c r="A31116" t="s">
        <v>2111</v>
      </c>
      <c r="B31116">
        <f>HYPERLINK("https://android.googlesource.com/platform/cts/+/c90bb4b67f6b202c4c4d73702ad4fc07cd4e196d", "c90bb4b67f6b202c4c4d73702ad4fc07cd4e196d")</f>
        <v>0</v>
      </c>
      <c r="C31116">
        <f>HYPERLINK("https://android.googlesource.com/platform/cts/+/480e5be10ac8e7b307a1987a0806058a83e50b53", "480e5be10ac8e7b307a1987a0806058a83e50b53")</f>
        <v>0</v>
      </c>
      <c r="D31116" t="s">
        <v>5240</v>
      </c>
      <c r="E31116" t="s">
        <v>7848</v>
      </c>
      <c r="F31116" t="s">
        <v>12710</v>
      </c>
      <c r="G31116" t="s">
        <v>16911</v>
      </c>
      <c r="H31116" t="s">
        <v>30890</v>
      </c>
    </row>
    <row r="31117" spans="1:8">
      <c r="A31117" t="s">
        <v>2112</v>
      </c>
      <c r="B31117">
        <f>HYPERLINK("https://android.googlesource.com/platform/cts/+/d7951b47c588c96e6aaf0c6e82b7807673798303", "d7951b47c588c96e6aaf0c6e82b7807673798303")</f>
        <v>0</v>
      </c>
      <c r="C31117">
        <f>HYPERLINK("https://android.googlesource.com/platform/cts/+/26778ef1134a1f42342257664a7fc398c5b40d0a", "26778ef1134a1f42342257664a7fc398c5b40d0a")</f>
        <v>0</v>
      </c>
      <c r="D31117" t="s">
        <v>5153</v>
      </c>
      <c r="E31117" t="s">
        <v>7849</v>
      </c>
      <c r="F31117" t="s">
        <v>13408</v>
      </c>
      <c r="G31117" t="s">
        <v>17534</v>
      </c>
      <c r="H31117" t="s">
        <v>30891</v>
      </c>
    </row>
    <row r="31118" spans="1:8">
      <c r="F31118" t="s">
        <v>13661</v>
      </c>
      <c r="G31118" t="s">
        <v>17735</v>
      </c>
      <c r="H31118" t="s">
        <v>25497</v>
      </c>
    </row>
    <row r="31119" spans="1:8">
      <c r="H31119" t="s">
        <v>20244</v>
      </c>
    </row>
    <row r="31120" spans="1:8">
      <c r="H31120" t="s">
        <v>22590</v>
      </c>
    </row>
    <row r="31121" spans="1:8">
      <c r="F31121" t="s">
        <v>13259</v>
      </c>
      <c r="G31121" t="s">
        <v>17397</v>
      </c>
      <c r="H31121" t="s">
        <v>25497</v>
      </c>
    </row>
    <row r="31122" spans="1:8">
      <c r="H31122" t="s">
        <v>20244</v>
      </c>
    </row>
    <row r="31123" spans="1:8">
      <c r="H31123" t="s">
        <v>22590</v>
      </c>
    </row>
    <row r="31124" spans="1:8">
      <c r="A31124" t="s">
        <v>2113</v>
      </c>
      <c r="B31124">
        <f>HYPERLINK("https://android.googlesource.com/platform/cts/+/9d4ba6c0df6c9227c24a519cb594429e4dadae4e", "9d4ba6c0df6c9227c24a519cb594429e4dadae4e")</f>
        <v>0</v>
      </c>
      <c r="C31124">
        <f>HYPERLINK("https://android.googlesource.com/platform/cts/+/3fb08b042ad14298b845e7c46b38a4c9feb928af", "3fb08b042ad14298b845e7c46b38a4c9feb928af")</f>
        <v>0</v>
      </c>
      <c r="D31124" t="s">
        <v>5310</v>
      </c>
      <c r="E31124" t="s">
        <v>7850</v>
      </c>
      <c r="F31124" t="s">
        <v>13433</v>
      </c>
      <c r="G31124" t="s">
        <v>17557</v>
      </c>
      <c r="H31124" t="s">
        <v>30892</v>
      </c>
    </row>
    <row r="31125" spans="1:8">
      <c r="H31125" t="s">
        <v>30893</v>
      </c>
    </row>
    <row r="31126" spans="1:8">
      <c r="A31126" t="s">
        <v>2114</v>
      </c>
      <c r="B31126">
        <f>HYPERLINK("https://android.googlesource.com/platform/cts/+/37972d530a566db0d68f6a367b4302671e5b02bc", "37972d530a566db0d68f6a367b4302671e5b02bc")</f>
        <v>0</v>
      </c>
      <c r="C31126">
        <f>HYPERLINK("https://android.googlesource.com/platform/cts/+/306c88bd58c581ed6710b881523cf88cbd49ae4f", "306c88bd58c581ed6710b881523cf88cbd49ae4f")</f>
        <v>0</v>
      </c>
      <c r="D31126" t="s">
        <v>5334</v>
      </c>
      <c r="E31126" t="s">
        <v>7851</v>
      </c>
      <c r="F31126" t="s">
        <v>13662</v>
      </c>
      <c r="G31126" t="s">
        <v>15122</v>
      </c>
      <c r="H31126" t="s">
        <v>30894</v>
      </c>
    </row>
    <row r="31127" spans="1:8">
      <c r="A31127" t="s">
        <v>2115</v>
      </c>
      <c r="B31127">
        <f>HYPERLINK("https://android.googlesource.com/platform/cts/+/b6ba44e26d97d5df59b657694e7ec1c2a7001a0d", "b6ba44e26d97d5df59b657694e7ec1c2a7001a0d")</f>
        <v>0</v>
      </c>
      <c r="C31127">
        <f>HYPERLINK("https://android.googlesource.com/platform/cts/+/6ebd08b079ba3f75b78c99c4fab7e89e7e4a5c13", "6ebd08b079ba3f75b78c99c4fab7e89e7e4a5c13")</f>
        <v>0</v>
      </c>
      <c r="D31127" t="s">
        <v>4974</v>
      </c>
      <c r="E31127" t="s">
        <v>7852</v>
      </c>
      <c r="F31127" t="s">
        <v>12710</v>
      </c>
      <c r="G31127" t="s">
        <v>16911</v>
      </c>
      <c r="H31127" t="s">
        <v>30895</v>
      </c>
    </row>
    <row r="31128" spans="1:8">
      <c r="A31128" t="s">
        <v>2116</v>
      </c>
      <c r="B31128">
        <f>HYPERLINK("https://android.googlesource.com/platform/cts/+/52a3ab25986ac0332139140bfa8fbb575bdb92c5", "52a3ab25986ac0332139140bfa8fbb575bdb92c5")</f>
        <v>0</v>
      </c>
      <c r="C31128">
        <f>HYPERLINK("https://android.googlesource.com/platform/cts/+/d49f63fe6f7746fe0bc08b78bce082d89052f9e9", "d49f63fe6f7746fe0bc08b78bce082d89052f9e9")</f>
        <v>0</v>
      </c>
      <c r="D31128" t="s">
        <v>5014</v>
      </c>
      <c r="E31128" t="s">
        <v>7853</v>
      </c>
      <c r="F31128" t="s">
        <v>13663</v>
      </c>
      <c r="G31128" t="s">
        <v>17736</v>
      </c>
      <c r="H31128" t="s">
        <v>19231</v>
      </c>
    </row>
    <row r="31129" spans="1:8">
      <c r="A31129" t="s">
        <v>2117</v>
      </c>
      <c r="B31129">
        <f>HYPERLINK("https://android.googlesource.com/platform/cts/+/e39fb08310ba7d34bea4dfa78923245f39b04e4d", "e39fb08310ba7d34bea4dfa78923245f39b04e4d")</f>
        <v>0</v>
      </c>
      <c r="C31129">
        <f>HYPERLINK("https://android.googlesource.com/platform/cts/+/0ea8361b21a9ce62ac11de29a858c4a3f6f85618", "0ea8361b21a9ce62ac11de29a858c4a3f6f85618")</f>
        <v>0</v>
      </c>
      <c r="D31129" t="s">
        <v>5181</v>
      </c>
      <c r="E31129" t="s">
        <v>7847</v>
      </c>
      <c r="F31129" t="s">
        <v>13163</v>
      </c>
      <c r="G31129" t="s">
        <v>17313</v>
      </c>
      <c r="H31129" t="s">
        <v>30888</v>
      </c>
    </row>
    <row r="31130" spans="1:8">
      <c r="H31130" t="s">
        <v>30889</v>
      </c>
    </row>
    <row r="31131" spans="1:8">
      <c r="A31131" t="s">
        <v>2118</v>
      </c>
      <c r="B31131">
        <f>HYPERLINK("https://android.googlesource.com/platform/cts/+/55f6aa98e37b1c396a5da96372df04187d61f0b3", "55f6aa98e37b1c396a5da96372df04187d61f0b3")</f>
        <v>0</v>
      </c>
      <c r="C31131">
        <f>HYPERLINK("https://android.googlesource.com/platform/cts/+/c5bd776111fccf0dc1f129d407d10b7c64ddcdf4", "c5bd776111fccf0dc1f129d407d10b7c64ddcdf4")</f>
        <v>0</v>
      </c>
      <c r="D31131" t="s">
        <v>5288</v>
      </c>
      <c r="E31131" t="s">
        <v>7854</v>
      </c>
      <c r="F31131" t="s">
        <v>13664</v>
      </c>
      <c r="G31131" t="s">
        <v>17575</v>
      </c>
      <c r="H31131" t="s">
        <v>30896</v>
      </c>
    </row>
    <row r="31132" spans="1:8">
      <c r="H31132" t="s">
        <v>28673</v>
      </c>
    </row>
    <row r="31133" spans="1:8">
      <c r="A31133" t="s">
        <v>2119</v>
      </c>
      <c r="B31133">
        <f>HYPERLINK("https://android.googlesource.com/platform/cts/+/9bb06a0118cd578a33635491afc4844649e05eeb", "9bb06a0118cd578a33635491afc4844649e05eeb")</f>
        <v>0</v>
      </c>
      <c r="C31133">
        <f>HYPERLINK("https://android.googlesource.com/platform/cts/+/7f58167a26b4376ff39bdfaed5ed1e11c6087efa", "7f58167a26b4376ff39bdfaed5ed1e11c6087efa")</f>
        <v>0</v>
      </c>
      <c r="D31133" t="s">
        <v>5335</v>
      </c>
      <c r="E31133" t="s">
        <v>7855</v>
      </c>
      <c r="F31133" t="s">
        <v>12843</v>
      </c>
      <c r="G31133" t="s">
        <v>16556</v>
      </c>
      <c r="H31133" t="s">
        <v>30897</v>
      </c>
    </row>
    <row r="31134" spans="1:8">
      <c r="H31134" t="s">
        <v>30898</v>
      </c>
    </row>
    <row r="31135" spans="1:8">
      <c r="A31135" t="s">
        <v>2120</v>
      </c>
      <c r="B31135">
        <f>HYPERLINK("https://android.googlesource.com/platform/cts/+/abd5160f44411d964978137b5fbdee8da12d45aa", "abd5160f44411d964978137b5fbdee8da12d45aa")</f>
        <v>0</v>
      </c>
      <c r="C31135">
        <f>HYPERLINK("https://android.googlesource.com/platform/cts/+/8f4976d7d7cc2d11c4f92027d75ff1911a16c7a3", "8f4976d7d7cc2d11c4f92027d75ff1911a16c7a3")</f>
        <v>0</v>
      </c>
      <c r="D31135" t="s">
        <v>5289</v>
      </c>
      <c r="E31135" t="s">
        <v>7856</v>
      </c>
      <c r="F31135" t="s">
        <v>10593</v>
      </c>
      <c r="G31135" t="s">
        <v>14996</v>
      </c>
      <c r="H31135" t="s">
        <v>30568</v>
      </c>
    </row>
    <row r="31136" spans="1:8">
      <c r="H31136" t="s">
        <v>30569</v>
      </c>
    </row>
    <row r="31137" spans="1:8">
      <c r="A31137" t="s">
        <v>2121</v>
      </c>
      <c r="B31137">
        <f>HYPERLINK("https://android.googlesource.com/platform/cts/+/20523ea303f48fd18811c13bd0e6c422fffc86db", "20523ea303f48fd18811c13bd0e6c422fffc86db")</f>
        <v>0</v>
      </c>
      <c r="C31137">
        <f>HYPERLINK("https://android.googlesource.com/platform/cts/+/3e0797fd6826d8fdc093b25db4dbca5c9b308440", "3e0797fd6826d8fdc093b25db4dbca5c9b308440")</f>
        <v>0</v>
      </c>
      <c r="D31137" t="s">
        <v>5335</v>
      </c>
      <c r="E31137" t="s">
        <v>7855</v>
      </c>
      <c r="F31137" t="s">
        <v>12843</v>
      </c>
      <c r="G31137" t="s">
        <v>16556</v>
      </c>
      <c r="H31137" t="s">
        <v>30897</v>
      </c>
    </row>
    <row r="31138" spans="1:8">
      <c r="H31138" t="s">
        <v>30898</v>
      </c>
    </row>
    <row r="31139" spans="1:8">
      <c r="A31139" t="s">
        <v>2122</v>
      </c>
      <c r="B31139">
        <f>HYPERLINK("https://android.googlesource.com/platform/cts/+/6d711fa102389fee4008e485f15dbc407ac9a51d", "6d711fa102389fee4008e485f15dbc407ac9a51d")</f>
        <v>0</v>
      </c>
      <c r="C31139">
        <f>HYPERLINK("https://android.googlesource.com/platform/cts/+/a2d7f9d144631c2cf968e8cfe806676976cd0df2", "a2d7f9d144631c2cf968e8cfe806676976cd0df2")</f>
        <v>0</v>
      </c>
      <c r="D31139" t="s">
        <v>5277</v>
      </c>
      <c r="E31139" t="s">
        <v>7857</v>
      </c>
      <c r="F31139" t="s">
        <v>13665</v>
      </c>
      <c r="G31139" t="s">
        <v>17737</v>
      </c>
      <c r="H31139" t="s">
        <v>30899</v>
      </c>
    </row>
    <row r="31140" spans="1:8">
      <c r="H31140" t="s">
        <v>29214</v>
      </c>
    </row>
    <row r="31141" spans="1:8">
      <c r="H31141" t="s">
        <v>26557</v>
      </c>
    </row>
    <row r="31142" spans="1:8">
      <c r="H31142" t="s">
        <v>30900</v>
      </c>
    </row>
    <row r="31143" spans="1:8">
      <c r="H31143" t="s">
        <v>30901</v>
      </c>
    </row>
    <row r="31144" spans="1:8">
      <c r="H31144" t="s">
        <v>29219</v>
      </c>
    </row>
    <row r="31145" spans="1:8">
      <c r="H31145" t="s">
        <v>30902</v>
      </c>
    </row>
    <row r="31146" spans="1:8">
      <c r="H31146" t="s">
        <v>30903</v>
      </c>
    </row>
    <row r="31147" spans="1:8">
      <c r="H31147" t="s">
        <v>30904</v>
      </c>
    </row>
    <row r="31148" spans="1:8">
      <c r="F31148" t="s">
        <v>13349</v>
      </c>
      <c r="G31148" t="s">
        <v>17476</v>
      </c>
      <c r="H31148" t="s">
        <v>30901</v>
      </c>
    </row>
    <row r="31149" spans="1:8">
      <c r="H31149" t="s">
        <v>30900</v>
      </c>
    </row>
    <row r="31150" spans="1:8">
      <c r="H31150" t="s">
        <v>30902</v>
      </c>
    </row>
    <row r="31151" spans="1:8">
      <c r="H31151" t="s">
        <v>30903</v>
      </c>
    </row>
    <row r="31152" spans="1:8">
      <c r="H31152" t="s">
        <v>29219</v>
      </c>
    </row>
    <row r="31153" spans="1:8">
      <c r="H31153" t="s">
        <v>30905</v>
      </c>
    </row>
    <row r="31154" spans="1:8">
      <c r="H31154" t="s">
        <v>30904</v>
      </c>
    </row>
    <row r="31155" spans="1:8">
      <c r="H31155" t="s">
        <v>30906</v>
      </c>
    </row>
    <row r="31156" spans="1:8">
      <c r="F31156" t="s">
        <v>13351</v>
      </c>
      <c r="G31156" t="s">
        <v>17478</v>
      </c>
      <c r="H31156" t="s">
        <v>30906</v>
      </c>
    </row>
    <row r="31157" spans="1:8">
      <c r="H31157" t="s">
        <v>30907</v>
      </c>
    </row>
    <row r="31158" spans="1:8">
      <c r="H31158" t="s">
        <v>26557</v>
      </c>
    </row>
    <row r="31159" spans="1:8">
      <c r="H31159" t="s">
        <v>29214</v>
      </c>
    </row>
    <row r="31160" spans="1:8">
      <c r="H31160" t="s">
        <v>30908</v>
      </c>
    </row>
    <row r="31161" spans="1:8">
      <c r="H31161" t="s">
        <v>29215</v>
      </c>
    </row>
    <row r="31162" spans="1:8">
      <c r="A31162" t="s">
        <v>2123</v>
      </c>
      <c r="B31162">
        <f>HYPERLINK("https://android.googlesource.com/platform/cts/+/89925ec62138d6b48c40a3886c8d179285ae1349", "89925ec62138d6b48c40a3886c8d179285ae1349")</f>
        <v>0</v>
      </c>
      <c r="C31162">
        <f>HYPERLINK("https://android.googlesource.com/platform/cts/+/ce743c9c3509f6635c9f34dcc50bb2f97154e47b", "ce743c9c3509f6635c9f34dcc50bb2f97154e47b")</f>
        <v>0</v>
      </c>
      <c r="D31162" t="s">
        <v>5284</v>
      </c>
      <c r="E31162" t="s">
        <v>7858</v>
      </c>
      <c r="F31162" t="s">
        <v>10744</v>
      </c>
      <c r="G31162" t="s">
        <v>15143</v>
      </c>
      <c r="H31162" t="s">
        <v>30909</v>
      </c>
    </row>
    <row r="31163" spans="1:8">
      <c r="A31163" t="s">
        <v>2124</v>
      </c>
      <c r="B31163">
        <f>HYPERLINK("https://android.googlesource.com/platform/cts/+/8c594981ee154508e5e24c210d9c30ef9e4ee35f", "8c594981ee154508e5e24c210d9c30ef9e4ee35f")</f>
        <v>0</v>
      </c>
      <c r="C31163">
        <f>HYPERLINK("https://android.googlesource.com/platform/cts/+/ca9d167c53d093ab09ba978bfed23ef756764b3f", "ca9d167c53d093ab09ba978bfed23ef756764b3f")</f>
        <v>0</v>
      </c>
      <c r="D31163" t="s">
        <v>5275</v>
      </c>
      <c r="E31163" t="s">
        <v>7859</v>
      </c>
      <c r="F31163" t="s">
        <v>12843</v>
      </c>
      <c r="G31163" t="s">
        <v>16556</v>
      </c>
      <c r="H31163" t="s">
        <v>30897</v>
      </c>
    </row>
    <row r="31164" spans="1:8">
      <c r="H31164" t="s">
        <v>30898</v>
      </c>
    </row>
    <row r="31165" spans="1:8">
      <c r="A31165" t="s">
        <v>2125</v>
      </c>
      <c r="B31165">
        <f>HYPERLINK("https://android.googlesource.com/platform/cts/+/1868569a5a0146e99060102f00fd13a295c56c86", "1868569a5a0146e99060102f00fd13a295c56c86")</f>
        <v>0</v>
      </c>
      <c r="C31165">
        <f>HYPERLINK("https://android.googlesource.com/platform/cts/+/79fce1b7d14932704861afee2921af410bb75ebd", "79fce1b7d14932704861afee2921af410bb75ebd")</f>
        <v>0</v>
      </c>
      <c r="D31165" t="s">
        <v>4981</v>
      </c>
      <c r="E31165" t="s">
        <v>7860</v>
      </c>
      <c r="F31165" t="s">
        <v>13335</v>
      </c>
      <c r="G31165" t="s">
        <v>17465</v>
      </c>
      <c r="H31165" t="s">
        <v>30910</v>
      </c>
    </row>
    <row r="31166" spans="1:8">
      <c r="A31166" t="s">
        <v>2126</v>
      </c>
      <c r="B31166">
        <f>HYPERLINK("https://android.googlesource.com/platform/cts/+/8f42d8cd939af4aa2bd696ad6f87e10fe297c7a7", "8f42d8cd939af4aa2bd696ad6f87e10fe297c7a7")</f>
        <v>0</v>
      </c>
      <c r="C31166">
        <f>HYPERLINK("https://android.googlesource.com/platform/cts/+/e68ca48d224c8f3f0c112192ff57777f82e631f5", "e68ca48d224c8f3f0c112192ff57777f82e631f5")</f>
        <v>0</v>
      </c>
      <c r="D31166" t="s">
        <v>5110</v>
      </c>
      <c r="E31166" t="s">
        <v>7861</v>
      </c>
      <c r="F31166" t="s">
        <v>12901</v>
      </c>
      <c r="G31166" t="s">
        <v>17068</v>
      </c>
      <c r="H31166" t="s">
        <v>26872</v>
      </c>
    </row>
    <row r="31167" spans="1:8">
      <c r="H31167" t="s">
        <v>26873</v>
      </c>
    </row>
    <row r="31168" spans="1:8">
      <c r="H31168" t="s">
        <v>26874</v>
      </c>
    </row>
    <row r="31169" spans="1:8">
      <c r="H31169" t="s">
        <v>26875</v>
      </c>
    </row>
    <row r="31170" spans="1:8">
      <c r="H31170" t="s">
        <v>26879</v>
      </c>
    </row>
    <row r="31171" spans="1:8">
      <c r="F31171" t="s">
        <v>12629</v>
      </c>
      <c r="G31171" t="s">
        <v>16838</v>
      </c>
      <c r="H31171" t="s">
        <v>26879</v>
      </c>
    </row>
    <row r="31172" spans="1:8">
      <c r="A31172" t="s">
        <v>2127</v>
      </c>
      <c r="B31172">
        <f>HYPERLINK("https://android.googlesource.com/platform/cts/+/ef23d4f1b62b3d47cb71df9a866bef7516d30f99", "ef23d4f1b62b3d47cb71df9a866bef7516d30f99")</f>
        <v>0</v>
      </c>
      <c r="C31172">
        <f>HYPERLINK("https://android.googlesource.com/platform/cts/+/424988188d5e155cc120094fe337b764d7a39759", "424988188d5e155cc120094fe337b764d7a39759")</f>
        <v>0</v>
      </c>
      <c r="D31172" t="s">
        <v>5153</v>
      </c>
      <c r="E31172" t="s">
        <v>7862</v>
      </c>
      <c r="F31172" t="s">
        <v>13331</v>
      </c>
      <c r="G31172" t="s">
        <v>17461</v>
      </c>
      <c r="H31172" t="s">
        <v>18829</v>
      </c>
    </row>
    <row r="31173" spans="1:8">
      <c r="F31173" t="s">
        <v>13666</v>
      </c>
      <c r="G31173" t="s">
        <v>17738</v>
      </c>
      <c r="H31173" t="s">
        <v>20244</v>
      </c>
    </row>
    <row r="31174" spans="1:8">
      <c r="F31174" t="s">
        <v>13667</v>
      </c>
      <c r="G31174" t="s">
        <v>17739</v>
      </c>
      <c r="H31174" t="s">
        <v>30911</v>
      </c>
    </row>
    <row r="31175" spans="1:8">
      <c r="A31175" t="s">
        <v>2128</v>
      </c>
      <c r="B31175">
        <f>HYPERLINK("https://android.googlesource.com/platform/cts/+/330cbd18e6cd92df3510ad985f60dbaf349bb767", "330cbd18e6cd92df3510ad985f60dbaf349bb767")</f>
        <v>0</v>
      </c>
      <c r="C31175">
        <f>HYPERLINK("https://android.googlesource.com/platform/cts/+/542156bd4afaf77c3ad6fd08d3b1b0605d3f7e1c", "542156bd4afaf77c3ad6fd08d3b1b0605d3f7e1c")</f>
        <v>0</v>
      </c>
      <c r="D31175" t="s">
        <v>4981</v>
      </c>
      <c r="E31175" t="s">
        <v>7863</v>
      </c>
      <c r="F31175" t="s">
        <v>13668</v>
      </c>
      <c r="G31175" t="s">
        <v>17740</v>
      </c>
      <c r="H31175" t="s">
        <v>30912</v>
      </c>
    </row>
    <row r="31176" spans="1:8">
      <c r="F31176" t="s">
        <v>10613</v>
      </c>
      <c r="G31176" t="s">
        <v>15016</v>
      </c>
      <c r="H31176" t="s">
        <v>30913</v>
      </c>
    </row>
    <row r="31177" spans="1:8">
      <c r="H31177" t="s">
        <v>30914</v>
      </c>
    </row>
    <row r="31178" spans="1:8">
      <c r="F31178" t="s">
        <v>13426</v>
      </c>
      <c r="G31178" t="s">
        <v>17550</v>
      </c>
      <c r="H31178" t="s">
        <v>18829</v>
      </c>
    </row>
    <row r="31179" spans="1:8">
      <c r="A31179" t="s">
        <v>2129</v>
      </c>
      <c r="B31179">
        <f>HYPERLINK("https://android.googlesource.com/platform/cts/+/d7634b9adbdc2acbabf81bffb2be4c4a1738e653", "d7634b9adbdc2acbabf81bffb2be4c4a1738e653")</f>
        <v>0</v>
      </c>
      <c r="C31179">
        <f>HYPERLINK("https://android.googlesource.com/platform/cts/+/0214e1cfdfa99dfc53b92af3aed7d19a31e73ac6", "0214e1cfdfa99dfc53b92af3aed7d19a31e73ac6")</f>
        <v>0</v>
      </c>
      <c r="D31179" t="s">
        <v>5310</v>
      </c>
      <c r="E31179" t="s">
        <v>7864</v>
      </c>
      <c r="F31179" t="s">
        <v>13433</v>
      </c>
      <c r="G31179" t="s">
        <v>17557</v>
      </c>
      <c r="H31179" t="s">
        <v>30892</v>
      </c>
    </row>
    <row r="31180" spans="1:8">
      <c r="H31180" t="s">
        <v>30893</v>
      </c>
    </row>
    <row r="31181" spans="1:8">
      <c r="A31181" t="s">
        <v>2130</v>
      </c>
      <c r="B31181">
        <f>HYPERLINK("https://android.googlesource.com/platform/cts/+/6bec5f75efae1febb4d23da2b2bfddd2abd1b9a5", "6bec5f75efae1febb4d23da2b2bfddd2abd1b9a5")</f>
        <v>0</v>
      </c>
      <c r="C31181">
        <f>HYPERLINK("https://android.googlesource.com/platform/cts/+/f9707ce1a430adfac425262f8c362ae7b16d1902", "f9707ce1a430adfac425262f8c362ae7b16d1902")</f>
        <v>0</v>
      </c>
      <c r="D31181" t="s">
        <v>5207</v>
      </c>
      <c r="E31181" t="s">
        <v>7865</v>
      </c>
      <c r="F31181" t="s">
        <v>12345</v>
      </c>
      <c r="G31181" t="s">
        <v>16573</v>
      </c>
      <c r="H31181" t="s">
        <v>22261</v>
      </c>
    </row>
    <row r="31182" spans="1:8">
      <c r="H31182" t="s">
        <v>22262</v>
      </c>
    </row>
    <row r="31183" spans="1:8">
      <c r="F31183" t="s">
        <v>13669</v>
      </c>
      <c r="G31183" t="s">
        <v>17741</v>
      </c>
      <c r="H31183" t="s">
        <v>19981</v>
      </c>
    </row>
    <row r="31184" spans="1:8">
      <c r="H31184" t="s">
        <v>28618</v>
      </c>
    </row>
    <row r="31185" spans="8:8">
      <c r="H31185" t="s">
        <v>22261</v>
      </c>
    </row>
    <row r="31186" spans="8:8">
      <c r="H31186" t="s">
        <v>22262</v>
      </c>
    </row>
    <row r="31187" spans="8:8">
      <c r="H31187" t="s">
        <v>28547</v>
      </c>
    </row>
    <row r="31188" spans="8:8">
      <c r="H31188" t="s">
        <v>22269</v>
      </c>
    </row>
    <row r="31189" spans="8:8">
      <c r="H31189" t="s">
        <v>30915</v>
      </c>
    </row>
    <row r="31190" spans="8:8">
      <c r="H31190" t="s">
        <v>22266</v>
      </c>
    </row>
    <row r="31191" spans="8:8">
      <c r="H31191" t="s">
        <v>30916</v>
      </c>
    </row>
    <row r="31192" spans="8:8">
      <c r="H31192" t="s">
        <v>30917</v>
      </c>
    </row>
    <row r="31193" spans="8:8">
      <c r="H31193" t="s">
        <v>30918</v>
      </c>
    </row>
    <row r="31194" spans="8:8">
      <c r="H31194" t="s">
        <v>30919</v>
      </c>
    </row>
    <row r="31195" spans="8:8">
      <c r="H31195" t="s">
        <v>30920</v>
      </c>
    </row>
    <row r="31196" spans="8:8">
      <c r="H31196" t="s">
        <v>30921</v>
      </c>
    </row>
    <row r="31197" spans="8:8">
      <c r="H31197" t="s">
        <v>30922</v>
      </c>
    </row>
    <row r="31198" spans="8:8">
      <c r="H31198" t="s">
        <v>30923</v>
      </c>
    </row>
    <row r="31199" spans="8:8">
      <c r="H31199" t="s">
        <v>27146</v>
      </c>
    </row>
    <row r="31200" spans="8:8">
      <c r="H31200" t="s">
        <v>27145</v>
      </c>
    </row>
    <row r="31201" spans="1:8">
      <c r="H31201" t="s">
        <v>30924</v>
      </c>
    </row>
    <row r="31202" spans="1:8">
      <c r="A31202" t="s">
        <v>2131</v>
      </c>
      <c r="B31202">
        <f>HYPERLINK("https://android.googlesource.com/platform/cts/+/53f3fd0d319ebabeac1bacce00a0827423f52ee5", "53f3fd0d319ebabeac1bacce00a0827423f52ee5")</f>
        <v>0</v>
      </c>
      <c r="C31202">
        <f>HYPERLINK("https://android.googlesource.com/platform/cts/+/ec87d0a8f14fe586832729cc856824a08b82700f", "ec87d0a8f14fe586832729cc856824a08b82700f")</f>
        <v>0</v>
      </c>
      <c r="D31202" t="s">
        <v>5336</v>
      </c>
      <c r="E31202" t="s">
        <v>7866</v>
      </c>
      <c r="F31202" t="s">
        <v>13670</v>
      </c>
      <c r="G31202" t="s">
        <v>17742</v>
      </c>
      <c r="H31202" t="s">
        <v>30925</v>
      </c>
    </row>
    <row r="31203" spans="1:8">
      <c r="H31203" t="s">
        <v>30926</v>
      </c>
    </row>
    <row r="31204" spans="1:8">
      <c r="A31204" t="s">
        <v>2132</v>
      </c>
      <c r="B31204">
        <f>HYPERLINK("https://android.googlesource.com/platform/cts/+/614ee878edea1bdeb5d114d6b443e8a4918808ee", "614ee878edea1bdeb5d114d6b443e8a4918808ee")</f>
        <v>0</v>
      </c>
      <c r="C31204">
        <f>HYPERLINK("https://android.googlesource.com/platform/cts/+/34c5f99bcc0d439446460293e90a810a39f88385", "34c5f99bcc0d439446460293e90a810a39f88385")</f>
        <v>0</v>
      </c>
      <c r="D31204" t="s">
        <v>5100</v>
      </c>
      <c r="E31204" t="s">
        <v>7867</v>
      </c>
      <c r="F31204" t="s">
        <v>12857</v>
      </c>
      <c r="G31204" t="s">
        <v>17027</v>
      </c>
      <c r="H31204" t="s">
        <v>30927</v>
      </c>
    </row>
    <row r="31205" spans="1:8">
      <c r="H31205" t="s">
        <v>30928</v>
      </c>
    </row>
    <row r="31206" spans="1:8">
      <c r="H31206" t="s">
        <v>30929</v>
      </c>
    </row>
    <row r="31207" spans="1:8">
      <c r="H31207" t="s">
        <v>30930</v>
      </c>
    </row>
    <row r="31208" spans="1:8">
      <c r="H31208" t="s">
        <v>30931</v>
      </c>
    </row>
    <row r="31209" spans="1:8">
      <c r="A31209" t="s">
        <v>2133</v>
      </c>
      <c r="B31209">
        <f>HYPERLINK("https://android.googlesource.com/platform/cts/+/ae65fd8ebb17b8686aa02c8fcf784aaf01419eef", "ae65fd8ebb17b8686aa02c8fcf784aaf01419eef")</f>
        <v>0</v>
      </c>
      <c r="C31209">
        <f>HYPERLINK("https://android.googlesource.com/platform/cts/+/ee7a193ea70c64c72c69796365f1c7dff52621ee", "ee7a193ea70c64c72c69796365f1c7dff52621ee")</f>
        <v>0</v>
      </c>
      <c r="D31209" t="s">
        <v>5336</v>
      </c>
      <c r="E31209" t="s">
        <v>7868</v>
      </c>
      <c r="F31209" t="s">
        <v>13670</v>
      </c>
      <c r="G31209" t="s">
        <v>17742</v>
      </c>
      <c r="H31209" t="s">
        <v>30925</v>
      </c>
    </row>
    <row r="31210" spans="1:8">
      <c r="H31210" t="s">
        <v>30932</v>
      </c>
    </row>
    <row r="31211" spans="1:8">
      <c r="H31211" t="s">
        <v>30933</v>
      </c>
    </row>
    <row r="31212" spans="1:8">
      <c r="A31212" t="s">
        <v>2134</v>
      </c>
      <c r="B31212">
        <f>HYPERLINK("https://android.googlesource.com/platform/cts/+/039bfa880073a72e533922a898ebbc447c9286d5", "039bfa880073a72e533922a898ebbc447c9286d5")</f>
        <v>0</v>
      </c>
      <c r="C31212">
        <f>HYPERLINK("https://android.googlesource.com/platform/cts/+/6551f1f0ead0366619091235401073993cdfe220", "6551f1f0ead0366619091235401073993cdfe220")</f>
        <v>0</v>
      </c>
      <c r="D31212" t="s">
        <v>5240</v>
      </c>
      <c r="E31212" t="s">
        <v>7869</v>
      </c>
      <c r="F31212" t="s">
        <v>12710</v>
      </c>
      <c r="G31212" t="s">
        <v>16911</v>
      </c>
      <c r="H31212" t="s">
        <v>30519</v>
      </c>
    </row>
    <row r="31213" spans="1:8">
      <c r="A31213" t="s">
        <v>2135</v>
      </c>
      <c r="B31213">
        <f>HYPERLINK("https://android.googlesource.com/platform/cts/+/945e80d58d64fdf3106020301644c20295cd1fb9", "945e80d58d64fdf3106020301644c20295cd1fb9")</f>
        <v>0</v>
      </c>
      <c r="C31213">
        <f>HYPERLINK("https://android.googlesource.com/platform/cts/+/dabaaeaae7298057b0b208d59ede4359b9221a7a", "dabaaeaae7298057b0b208d59ede4359b9221a7a")</f>
        <v>0</v>
      </c>
      <c r="D31213" t="s">
        <v>5240</v>
      </c>
      <c r="E31213" t="s">
        <v>7869</v>
      </c>
      <c r="F31213" t="s">
        <v>12710</v>
      </c>
      <c r="G31213" t="s">
        <v>16911</v>
      </c>
      <c r="H31213" t="s">
        <v>30519</v>
      </c>
    </row>
    <row r="31214" spans="1:8">
      <c r="A31214" t="s">
        <v>2136</v>
      </c>
      <c r="B31214">
        <f>HYPERLINK("https://android.googlesource.com/platform/cts/+/1afc08adeeef2f9a59c956e3b173694ad7a197bb", "1afc08adeeef2f9a59c956e3b173694ad7a197bb")</f>
        <v>0</v>
      </c>
      <c r="C31214">
        <f>HYPERLINK("https://android.googlesource.com/platform/cts/+/052296380baffd60db9d91b9fd2d9db0922ed98b", "052296380baffd60db9d91b9fd2d9db0922ed98b")</f>
        <v>0</v>
      </c>
      <c r="D31214" t="s">
        <v>5240</v>
      </c>
      <c r="E31214" t="s">
        <v>7869</v>
      </c>
      <c r="F31214" t="s">
        <v>12710</v>
      </c>
      <c r="G31214" t="s">
        <v>16911</v>
      </c>
      <c r="H31214" t="s">
        <v>30519</v>
      </c>
    </row>
    <row r="31215" spans="1:8">
      <c r="A31215" t="s">
        <v>2137</v>
      </c>
      <c r="B31215">
        <f>HYPERLINK("https://android.googlesource.com/platform/cts/+/c525597149f75bbb1d923e626cd828fc7484f657", "c525597149f75bbb1d923e626cd828fc7484f657")</f>
        <v>0</v>
      </c>
      <c r="C31215">
        <f>HYPERLINK("https://android.googlesource.com/platform/cts/+/0685fbb5a10b9b8d1537998bafe7df8862ba313a", "0685fbb5a10b9b8d1537998bafe7df8862ba313a")</f>
        <v>0</v>
      </c>
      <c r="D31215" t="s">
        <v>5240</v>
      </c>
      <c r="E31215" t="s">
        <v>7870</v>
      </c>
      <c r="F31215" t="s">
        <v>12710</v>
      </c>
      <c r="G31215" t="s">
        <v>16911</v>
      </c>
      <c r="H31215" t="s">
        <v>30519</v>
      </c>
    </row>
    <row r="31216" spans="1:8">
      <c r="A31216" t="s">
        <v>2138</v>
      </c>
      <c r="B31216">
        <f>HYPERLINK("https://android.googlesource.com/platform/cts/+/259231b57d5a5c0f7ddf325f55e0a0d556bf300c", "259231b57d5a5c0f7ddf325f55e0a0d556bf300c")</f>
        <v>0</v>
      </c>
      <c r="C31216">
        <f>HYPERLINK("https://android.googlesource.com/platform/cts/+/5b7e7ca43834f5363e23082b4767e0822fac7f0a", "5b7e7ca43834f5363e23082b4767e0822fac7f0a")</f>
        <v>0</v>
      </c>
      <c r="D31216" t="s">
        <v>5240</v>
      </c>
      <c r="E31216" t="s">
        <v>7870</v>
      </c>
      <c r="F31216" t="s">
        <v>12710</v>
      </c>
      <c r="G31216" t="s">
        <v>16911</v>
      </c>
      <c r="H31216" t="s">
        <v>30519</v>
      </c>
    </row>
    <row r="31217" spans="1:8">
      <c r="A31217" t="s">
        <v>2139</v>
      </c>
      <c r="B31217">
        <f>HYPERLINK("https://android.googlesource.com/platform/cts/+/7fd2a1b4bcc8b3485c5ed88b8824620a1cec584d", "7fd2a1b4bcc8b3485c5ed88b8824620a1cec584d")</f>
        <v>0</v>
      </c>
      <c r="C31217">
        <f>HYPERLINK("https://android.googlesource.com/platform/cts/+/6551f1f0ead0366619091235401073993cdfe220", "6551f1f0ead0366619091235401073993cdfe220")</f>
        <v>0</v>
      </c>
      <c r="D31217" t="s">
        <v>5240</v>
      </c>
      <c r="E31217" t="s">
        <v>7871</v>
      </c>
      <c r="F31217" t="s">
        <v>13670</v>
      </c>
      <c r="G31217" t="s">
        <v>17742</v>
      </c>
      <c r="H31217" t="s">
        <v>30934</v>
      </c>
    </row>
    <row r="31218" spans="1:8">
      <c r="A31218" t="s">
        <v>2140</v>
      </c>
      <c r="B31218">
        <f>HYPERLINK("https://android.googlesource.com/platform/cts/+/787d67a1c7609cb60ef558b07a067c1fdaa610aa", "787d67a1c7609cb60ef558b07a067c1fdaa610aa")</f>
        <v>0</v>
      </c>
      <c r="C31218">
        <f>HYPERLINK("https://android.googlesource.com/platform/cts/+/dabaaeaae7298057b0b208d59ede4359b9221a7a", "dabaaeaae7298057b0b208d59ede4359b9221a7a")</f>
        <v>0</v>
      </c>
      <c r="D31218" t="s">
        <v>5240</v>
      </c>
      <c r="E31218" t="s">
        <v>7872</v>
      </c>
      <c r="F31218" t="s">
        <v>13670</v>
      </c>
      <c r="G31218" t="s">
        <v>17742</v>
      </c>
      <c r="H31218" t="s">
        <v>30934</v>
      </c>
    </row>
    <row r="31219" spans="1:8">
      <c r="A31219" t="s">
        <v>2141</v>
      </c>
      <c r="B31219">
        <f>HYPERLINK("https://android.googlesource.com/platform/cts/+/6ed653922659e5c1ec21b35d97ef625942660cd0", "6ed653922659e5c1ec21b35d97ef625942660cd0")</f>
        <v>0</v>
      </c>
      <c r="C31219">
        <f>HYPERLINK("https://android.googlesource.com/platform/cts/+/27896e90fb8e3f211c241073673c8303ce32bac1", "27896e90fb8e3f211c241073673c8303ce32bac1")</f>
        <v>0</v>
      </c>
      <c r="D31219" t="s">
        <v>5240</v>
      </c>
      <c r="E31219" t="s">
        <v>7873</v>
      </c>
      <c r="F31219" t="s">
        <v>13670</v>
      </c>
      <c r="G31219" t="s">
        <v>17742</v>
      </c>
      <c r="H31219" t="s">
        <v>30934</v>
      </c>
    </row>
    <row r="31220" spans="1:8">
      <c r="A31220" t="s">
        <v>2142</v>
      </c>
      <c r="B31220">
        <f>HYPERLINK("https://android.googlesource.com/platform/cts/+/4d382c5fb54556a224d106e5852260c18ad57d13", "4d382c5fb54556a224d106e5852260c18ad57d13")</f>
        <v>0</v>
      </c>
      <c r="C31220">
        <f>HYPERLINK("https://android.googlesource.com/platform/cts/+/1a783969edc184bf059c1bbc873d210149e7c59f", "1a783969edc184bf059c1bbc873d210149e7c59f")</f>
        <v>0</v>
      </c>
      <c r="D31220" t="s">
        <v>5240</v>
      </c>
      <c r="E31220" t="s">
        <v>7874</v>
      </c>
      <c r="F31220" t="s">
        <v>13670</v>
      </c>
      <c r="G31220" t="s">
        <v>17742</v>
      </c>
      <c r="H31220" t="s">
        <v>30933</v>
      </c>
    </row>
    <row r="31221" spans="1:8">
      <c r="H31221" t="s">
        <v>30934</v>
      </c>
    </row>
    <row r="31222" spans="1:8">
      <c r="A31222" t="s">
        <v>2143</v>
      </c>
      <c r="B31222">
        <f>HYPERLINK("https://android.googlesource.com/platform/cts/+/49cdceaeb2e8723e84b035f4efed3a709392d302", "49cdceaeb2e8723e84b035f4efed3a709392d302")</f>
        <v>0</v>
      </c>
      <c r="C31222">
        <f>HYPERLINK("https://android.googlesource.com/platform/cts/+/ea59d40acfb0c76786c9f977370dbf52391e695b", "ea59d40acfb0c76786c9f977370dbf52391e695b")</f>
        <v>0</v>
      </c>
      <c r="D31222" t="s">
        <v>5293</v>
      </c>
      <c r="E31222" t="s">
        <v>7875</v>
      </c>
      <c r="F31222" t="s">
        <v>13468</v>
      </c>
      <c r="G31222" t="s">
        <v>17587</v>
      </c>
      <c r="H31222" t="s">
        <v>30935</v>
      </c>
    </row>
    <row r="31223" spans="1:8">
      <c r="A31223" t="s">
        <v>2144</v>
      </c>
      <c r="B31223">
        <f>HYPERLINK("https://android.googlesource.com/platform/cts/+/5cb02a22a13ecfddcb5f4d47c07cf152b2b43fc8", "5cb02a22a13ecfddcb5f4d47c07cf152b2b43fc8")</f>
        <v>0</v>
      </c>
      <c r="C31223">
        <f>HYPERLINK("https://android.googlesource.com/platform/cts/+/fc22935557650934e8bb54b528ec8839fc885e1c", "fc22935557650934e8bb54b528ec8839fc885e1c")</f>
        <v>0</v>
      </c>
      <c r="D31223" t="s">
        <v>5293</v>
      </c>
      <c r="E31223" t="s">
        <v>7875</v>
      </c>
      <c r="F31223" t="s">
        <v>13468</v>
      </c>
      <c r="G31223" t="s">
        <v>17587</v>
      </c>
      <c r="H31223" t="s">
        <v>30935</v>
      </c>
    </row>
    <row r="31224" spans="1:8">
      <c r="A31224" t="s">
        <v>2145</v>
      </c>
      <c r="B31224">
        <f>HYPERLINK("https://android.googlesource.com/platform/cts/+/8bfe2398662ea83cecf8bf7246212359fd6a19ac", "8bfe2398662ea83cecf8bf7246212359fd6a19ac")</f>
        <v>0</v>
      </c>
      <c r="C31224">
        <f>HYPERLINK("https://android.googlesource.com/platform/cts/+/476895552524b132c0fb347238e3c8e0b797b2f9", "476895552524b132c0fb347238e3c8e0b797b2f9")</f>
        <v>0</v>
      </c>
      <c r="D31224" t="s">
        <v>4947</v>
      </c>
      <c r="E31224" t="s">
        <v>7876</v>
      </c>
      <c r="F31224" t="s">
        <v>12404</v>
      </c>
      <c r="G31224" t="s">
        <v>16626</v>
      </c>
      <c r="H31224" t="s">
        <v>30936</v>
      </c>
    </row>
    <row r="31225" spans="1:8">
      <c r="A31225" t="s">
        <v>2146</v>
      </c>
      <c r="B31225">
        <f>HYPERLINK("https://android.googlesource.com/platform/cts/+/6355ff378a6e6e211a57c41f11f802424ec0a2ea", "6355ff378a6e6e211a57c41f11f802424ec0a2ea")</f>
        <v>0</v>
      </c>
      <c r="C31225">
        <f>HYPERLINK("https://android.googlesource.com/platform/cts/+/889cf9295bd14c47f6e03b820d20c33e19fdbf28", "889cf9295bd14c47f6e03b820d20c33e19fdbf28")</f>
        <v>0</v>
      </c>
      <c r="D31225" t="s">
        <v>5240</v>
      </c>
      <c r="E31225" t="s">
        <v>7877</v>
      </c>
      <c r="F31225" t="s">
        <v>13670</v>
      </c>
      <c r="G31225" t="s">
        <v>17742</v>
      </c>
      <c r="H31225" t="s">
        <v>30934</v>
      </c>
    </row>
    <row r="31226" spans="1:8">
      <c r="A31226" t="s">
        <v>2147</v>
      </c>
      <c r="B31226">
        <f>HYPERLINK("https://android.googlesource.com/platform/cts/+/49a35715580d1e2b81773453afb877dbcc5b6115", "49a35715580d1e2b81773453afb877dbcc5b6115")</f>
        <v>0</v>
      </c>
      <c r="C31226">
        <f>HYPERLINK("https://android.googlesource.com/platform/cts/+/7bad9982003616cc4e3e553df713b9c9aefdeda9", "7bad9982003616cc4e3e553df713b9c9aefdeda9")</f>
        <v>0</v>
      </c>
      <c r="D31226" t="s">
        <v>4981</v>
      </c>
      <c r="E31226" t="s">
        <v>7878</v>
      </c>
      <c r="F31226" t="s">
        <v>13671</v>
      </c>
      <c r="G31226" t="s">
        <v>17743</v>
      </c>
      <c r="H31226" t="s">
        <v>30937</v>
      </c>
    </row>
    <row r="31227" spans="1:8">
      <c r="A31227" t="s">
        <v>2148</v>
      </c>
      <c r="B31227">
        <f>HYPERLINK("https://android.googlesource.com/platform/cts/+/fc6f3d001b46e5c5d40d16c9180a8b0fc3753608", "fc6f3d001b46e5c5d40d16c9180a8b0fc3753608")</f>
        <v>0</v>
      </c>
      <c r="C31227">
        <f>HYPERLINK("https://android.googlesource.com/platform/cts/+/0d5f6d5cd05713bac06c6edd84ee4ae24fc8c085", "0d5f6d5cd05713bac06c6edd84ee4ae24fc8c085")</f>
        <v>0</v>
      </c>
      <c r="D31227" t="s">
        <v>5275</v>
      </c>
      <c r="E31227" t="s">
        <v>7879</v>
      </c>
      <c r="F31227" t="s">
        <v>13671</v>
      </c>
      <c r="G31227" t="s">
        <v>17743</v>
      </c>
      <c r="H31227" t="s">
        <v>30937</v>
      </c>
    </row>
    <row r="31228" spans="1:8">
      <c r="A31228" t="s">
        <v>2149</v>
      </c>
      <c r="B31228">
        <f>HYPERLINK("https://android.googlesource.com/platform/cts/+/4e9a51f71210c8fd4c31a2d8844b0fa4b7bd17b1", "4e9a51f71210c8fd4c31a2d8844b0fa4b7bd17b1")</f>
        <v>0</v>
      </c>
      <c r="C31228">
        <f>HYPERLINK("https://android.googlesource.com/platform/cts/+/99c5973fc998a0033713503effacc57f031ff6cb", "99c5973fc998a0033713503effacc57f031ff6cb")</f>
        <v>0</v>
      </c>
      <c r="D31228" t="s">
        <v>5040</v>
      </c>
      <c r="E31228" t="s">
        <v>7880</v>
      </c>
      <c r="F31228" t="s">
        <v>11449</v>
      </c>
      <c r="G31228" t="s">
        <v>15689</v>
      </c>
      <c r="H31228" t="s">
        <v>30938</v>
      </c>
    </row>
    <row r="31229" spans="1:8">
      <c r="A31229" t="s">
        <v>2150</v>
      </c>
      <c r="B31229">
        <f>HYPERLINK("https://android.googlesource.com/platform/cts/+/a4f3ab72ff7fe5ca8de964d30f3514d95a7db494", "a4f3ab72ff7fe5ca8de964d30f3514d95a7db494")</f>
        <v>0</v>
      </c>
      <c r="C31229">
        <f>HYPERLINK("https://android.googlesource.com/platform/cts/+/18a79aa7f6349dfbec0079c92c81501fe3fd1092", "18a79aa7f6349dfbec0079c92c81501fe3fd1092")</f>
        <v>0</v>
      </c>
      <c r="D31229" t="s">
        <v>5028</v>
      </c>
      <c r="E31229" t="s">
        <v>7881</v>
      </c>
      <c r="F31229" t="s">
        <v>13672</v>
      </c>
      <c r="G31229" t="s">
        <v>17744</v>
      </c>
      <c r="H31229" t="s">
        <v>30939</v>
      </c>
    </row>
    <row r="31230" spans="1:8">
      <c r="F31230" t="s">
        <v>13673</v>
      </c>
      <c r="G31230" t="s">
        <v>15029</v>
      </c>
      <c r="H31230" t="s">
        <v>30940</v>
      </c>
    </row>
    <row r="31231" spans="1:8">
      <c r="A31231" t="s">
        <v>2151</v>
      </c>
      <c r="B31231">
        <f>HYPERLINK("https://android.googlesource.com/platform/cts/+/15d741dc1df4b0d078f2b3db9b236348938d244e", "15d741dc1df4b0d078f2b3db9b236348938d244e")</f>
        <v>0</v>
      </c>
      <c r="C31231">
        <f>HYPERLINK("https://android.googlesource.com/platform/cts/+/ea75f465317a46a58bad0e222a5fb6d0439985a3", "ea75f465317a46a58bad0e222a5fb6d0439985a3")</f>
        <v>0</v>
      </c>
      <c r="D31231" t="s">
        <v>5146</v>
      </c>
      <c r="E31231" t="s">
        <v>7882</v>
      </c>
      <c r="F31231" t="s">
        <v>12839</v>
      </c>
      <c r="G31231" t="s">
        <v>17014</v>
      </c>
      <c r="H31231" t="s">
        <v>30941</v>
      </c>
    </row>
    <row r="31232" spans="1:8">
      <c r="A31232" t="s">
        <v>2152</v>
      </c>
      <c r="B31232">
        <f>HYPERLINK("https://android.googlesource.com/platform/cts/+/b1805d386d9f0aef22b909d1ef1e3e7ff9e7ba80", "b1805d386d9f0aef22b909d1ef1e3e7ff9e7ba80")</f>
        <v>0</v>
      </c>
      <c r="C31232">
        <f>HYPERLINK("https://android.googlesource.com/platform/cts/+/f36bf11ca3d149b4bdae4ed46a8c8bb329a336dc", "f36bf11ca3d149b4bdae4ed46a8c8bb329a336dc")</f>
        <v>0</v>
      </c>
      <c r="D31232" t="s">
        <v>5337</v>
      </c>
      <c r="E31232" t="s">
        <v>7883</v>
      </c>
      <c r="F31232" t="s">
        <v>13674</v>
      </c>
      <c r="G31232" t="s">
        <v>17745</v>
      </c>
      <c r="H31232" t="s">
        <v>30942</v>
      </c>
    </row>
    <row r="31233" spans="1:8">
      <c r="H31233" t="s">
        <v>30943</v>
      </c>
    </row>
    <row r="31234" spans="1:8">
      <c r="F31234" t="s">
        <v>13675</v>
      </c>
      <c r="G31234" t="s">
        <v>17746</v>
      </c>
      <c r="H31234" t="s">
        <v>30942</v>
      </c>
    </row>
    <row r="31235" spans="1:8">
      <c r="H31235" t="s">
        <v>30943</v>
      </c>
    </row>
    <row r="31236" spans="1:8">
      <c r="A31236" t="s">
        <v>2153</v>
      </c>
      <c r="B31236">
        <f>HYPERLINK("https://android.googlesource.com/platform/cts/+/7b3947b5dac3145bcd1c5f423999b662352c7d4e", "7b3947b5dac3145bcd1c5f423999b662352c7d4e")</f>
        <v>0</v>
      </c>
      <c r="C31236">
        <f>HYPERLINK("https://android.googlesource.com/platform/cts/+/5be780a15f5388e538ddfc8e01049ebc4c48dad5", "5be780a15f5388e538ddfc8e01049ebc4c48dad5")</f>
        <v>0</v>
      </c>
      <c r="D31236" t="s">
        <v>4981</v>
      </c>
      <c r="E31236" t="s">
        <v>7884</v>
      </c>
      <c r="F31236" t="s">
        <v>13671</v>
      </c>
      <c r="G31236" t="s">
        <v>17743</v>
      </c>
      <c r="H31236" t="s">
        <v>30937</v>
      </c>
    </row>
    <row r="31237" spans="1:8">
      <c r="A31237" t="s">
        <v>2154</v>
      </c>
      <c r="B31237">
        <f>HYPERLINK("https://android.googlesource.com/platform/cts/+/c7a410848b08aca84f2be4f44a73c501e13b11e3", "c7a410848b08aca84f2be4f44a73c501e13b11e3")</f>
        <v>0</v>
      </c>
      <c r="C31237">
        <f>HYPERLINK("https://android.googlesource.com/platform/cts/+/99748b4c3ea4d417ade78a2b891a82f4bfb4a16f", "99748b4c3ea4d417ade78a2b891a82f4bfb4a16f")</f>
        <v>0</v>
      </c>
      <c r="D31237" t="s">
        <v>5336</v>
      </c>
      <c r="E31237" t="s">
        <v>7885</v>
      </c>
      <c r="F31237" t="s">
        <v>13676</v>
      </c>
      <c r="G31237" t="s">
        <v>17742</v>
      </c>
      <c r="H31237" t="s">
        <v>18829</v>
      </c>
    </row>
    <row r="31238" spans="1:8">
      <c r="H31238" t="s">
        <v>30944</v>
      </c>
    </row>
    <row r="31239" spans="1:8">
      <c r="H31239" t="s">
        <v>30934</v>
      </c>
    </row>
    <row r="31240" spans="1:8">
      <c r="H31240" t="s">
        <v>30925</v>
      </c>
    </row>
    <row r="31241" spans="1:8">
      <c r="H31241" t="s">
        <v>30932</v>
      </c>
    </row>
    <row r="31242" spans="1:8">
      <c r="H31242" t="s">
        <v>30933</v>
      </c>
    </row>
    <row r="31243" spans="1:8">
      <c r="A31243" t="s">
        <v>2155</v>
      </c>
      <c r="B31243">
        <f>HYPERLINK("https://android.googlesource.com/platform/cts/+/c58d6dc4b1d76a8adea0a55b44f62fd2ce93b552", "c58d6dc4b1d76a8adea0a55b44f62fd2ce93b552")</f>
        <v>0</v>
      </c>
      <c r="C31243">
        <f>HYPERLINK("https://android.googlesource.com/platform/cts/+/2db76c1db3c1872d8cd13cd68509f75b228f4399", "2db76c1db3c1872d8cd13cd68509f75b228f4399")</f>
        <v>0</v>
      </c>
      <c r="D31243" t="s">
        <v>5188</v>
      </c>
      <c r="E31243" t="s">
        <v>7886</v>
      </c>
      <c r="F31243" t="s">
        <v>13677</v>
      </c>
      <c r="G31243" t="s">
        <v>17747</v>
      </c>
      <c r="H31243" t="s">
        <v>30945</v>
      </c>
    </row>
    <row r="31244" spans="1:8">
      <c r="H31244" t="s">
        <v>30946</v>
      </c>
    </row>
    <row r="31245" spans="1:8">
      <c r="A31245" t="s">
        <v>2156</v>
      </c>
      <c r="B31245">
        <f>HYPERLINK("https://android.googlesource.com/platform/cts/+/6a31069fb1d06bb66b392f727547442203281672", "6a31069fb1d06bb66b392f727547442203281672")</f>
        <v>0</v>
      </c>
      <c r="C31245">
        <f>HYPERLINK("https://android.googlesource.com/platform/cts/+/5d7b4277c0d9463d4125baeb9fe3fa63776cc4f0", "5d7b4277c0d9463d4125baeb9fe3fa63776cc4f0")</f>
        <v>0</v>
      </c>
      <c r="D31245" t="s">
        <v>5338</v>
      </c>
      <c r="E31245" t="s">
        <v>7887</v>
      </c>
      <c r="F31245" t="s">
        <v>13370</v>
      </c>
      <c r="G31245" t="s">
        <v>17497</v>
      </c>
      <c r="H31245" t="s">
        <v>30947</v>
      </c>
    </row>
    <row r="31246" spans="1:8">
      <c r="A31246" t="s">
        <v>2157</v>
      </c>
      <c r="B31246">
        <f>HYPERLINK("https://android.googlesource.com/platform/cts/+/8b21abe5919b4788e9fc0e7cd94919b06ff9c2ec", "8b21abe5919b4788e9fc0e7cd94919b06ff9c2ec")</f>
        <v>0</v>
      </c>
      <c r="C31246">
        <f>HYPERLINK("https://android.googlesource.com/platform/cts/+/4db221c5f048754ef4fb5c1dcbc94a72553c6ce5", "4db221c5f048754ef4fb5c1dcbc94a72553c6ce5")</f>
        <v>0</v>
      </c>
      <c r="D31246" t="s">
        <v>5336</v>
      </c>
      <c r="E31246" t="s">
        <v>7888</v>
      </c>
      <c r="F31246" t="s">
        <v>13670</v>
      </c>
      <c r="G31246" t="s">
        <v>17742</v>
      </c>
      <c r="H31246" t="s">
        <v>30925</v>
      </c>
    </row>
    <row r="31247" spans="1:8">
      <c r="H31247" t="s">
        <v>30926</v>
      </c>
    </row>
    <row r="31248" spans="1:8">
      <c r="H31248" t="s">
        <v>30932</v>
      </c>
    </row>
    <row r="31249" spans="1:8">
      <c r="H31249" t="s">
        <v>30933</v>
      </c>
    </row>
    <row r="31250" spans="1:8">
      <c r="A31250" t="s">
        <v>2158</v>
      </c>
      <c r="B31250">
        <f>HYPERLINK("https://android.googlesource.com/platform/cts/+/40bf70ff06ea6ab5dae1ccfcb07115c897fbd7e3", "40bf70ff06ea6ab5dae1ccfcb07115c897fbd7e3")</f>
        <v>0</v>
      </c>
      <c r="C31250">
        <f>HYPERLINK("https://android.googlesource.com/platform/cts/+/5fd1e5113160e32861a110eb1b0494c6f7d640d5", "5fd1e5113160e32861a110eb1b0494c6f7d640d5")</f>
        <v>0</v>
      </c>
      <c r="D31250" t="s">
        <v>5338</v>
      </c>
      <c r="E31250" t="s">
        <v>7889</v>
      </c>
      <c r="F31250" t="s">
        <v>13370</v>
      </c>
      <c r="G31250" t="s">
        <v>17497</v>
      </c>
      <c r="H31250" t="s">
        <v>20244</v>
      </c>
    </row>
    <row r="31251" spans="1:8">
      <c r="H31251" t="s">
        <v>30948</v>
      </c>
    </row>
    <row r="31252" spans="1:8">
      <c r="H31252" t="s">
        <v>22590</v>
      </c>
    </row>
    <row r="31253" spans="1:8">
      <c r="A31253" t="s">
        <v>2159</v>
      </c>
      <c r="B31253">
        <f>HYPERLINK("https://android.googlesource.com/platform/cts/+/d0ec3cdde1494606da16a6aa4b66bb931f7ea56f", "d0ec3cdde1494606da16a6aa4b66bb931f7ea56f")</f>
        <v>0</v>
      </c>
      <c r="C31253">
        <f>HYPERLINK("https://android.googlesource.com/platform/cts/+/63ed9bda107f37b23955fffd3e31b68bbc5d395c", "63ed9bda107f37b23955fffd3e31b68bbc5d395c")</f>
        <v>0</v>
      </c>
      <c r="D31253" t="s">
        <v>5134</v>
      </c>
      <c r="E31253" t="s">
        <v>7890</v>
      </c>
      <c r="F31253" t="s">
        <v>13657</v>
      </c>
      <c r="G31253" t="s">
        <v>17733</v>
      </c>
      <c r="H31253" t="s">
        <v>30949</v>
      </c>
    </row>
    <row r="31254" spans="1:8">
      <c r="A31254" t="s">
        <v>2160</v>
      </c>
      <c r="B31254">
        <f>HYPERLINK("https://android.googlesource.com/platform/cts/+/4a80e5d21981194cfb8fa5264101ad280e611235", "4a80e5d21981194cfb8fa5264101ad280e611235")</f>
        <v>0</v>
      </c>
      <c r="C31254">
        <f>HYPERLINK("https://android.googlesource.com/platform/cts/+/10414404f6ef88328194bcb65b979d2b58f3254e", "10414404f6ef88328194bcb65b979d2b58f3254e")</f>
        <v>0</v>
      </c>
      <c r="D31254" t="s">
        <v>5134</v>
      </c>
      <c r="E31254" t="s">
        <v>7891</v>
      </c>
      <c r="F31254" t="s">
        <v>13428</v>
      </c>
      <c r="G31254" t="s">
        <v>17552</v>
      </c>
      <c r="H31254" t="s">
        <v>30950</v>
      </c>
    </row>
    <row r="31255" spans="1:8">
      <c r="H31255" t="s">
        <v>30951</v>
      </c>
    </row>
    <row r="31256" spans="1:8">
      <c r="H31256" t="s">
        <v>30952</v>
      </c>
    </row>
    <row r="31257" spans="1:8">
      <c r="H31257" t="s">
        <v>30953</v>
      </c>
    </row>
    <row r="31258" spans="1:8">
      <c r="H31258" t="s">
        <v>30954</v>
      </c>
    </row>
    <row r="31259" spans="1:8">
      <c r="H31259" t="s">
        <v>30955</v>
      </c>
    </row>
    <row r="31260" spans="1:8">
      <c r="A31260" t="s">
        <v>2161</v>
      </c>
      <c r="B31260">
        <f>HYPERLINK("https://android.googlesource.com/platform/cts/+/461e3e68d6ff5bb4f1b10154912116f4d8124567", "461e3e68d6ff5bb4f1b10154912116f4d8124567")</f>
        <v>0</v>
      </c>
      <c r="C31260">
        <f>HYPERLINK("https://android.googlesource.com/platform/cts/+/4ecb5420ac4bbbc2dca3fd8006d0efb0bf38dc56", "4ecb5420ac4bbbc2dca3fd8006d0efb0bf38dc56")</f>
        <v>0</v>
      </c>
      <c r="D31260" t="s">
        <v>5233</v>
      </c>
      <c r="E31260" t="s">
        <v>7892</v>
      </c>
      <c r="F31260" t="s">
        <v>10740</v>
      </c>
      <c r="G31260" t="s">
        <v>15139</v>
      </c>
      <c r="H31260" t="s">
        <v>30956</v>
      </c>
    </row>
    <row r="31261" spans="1:8">
      <c r="H31261" t="s">
        <v>30956</v>
      </c>
    </row>
    <row r="31262" spans="1:8">
      <c r="H31262" t="s">
        <v>19691</v>
      </c>
    </row>
    <row r="31263" spans="1:8">
      <c r="F31263" t="s">
        <v>10684</v>
      </c>
      <c r="G31263" t="s">
        <v>15084</v>
      </c>
      <c r="H31263" t="s">
        <v>26258</v>
      </c>
    </row>
    <row r="31264" spans="1:8">
      <c r="H31264" t="s">
        <v>30957</v>
      </c>
    </row>
    <row r="31265" spans="1:8">
      <c r="H31265" t="s">
        <v>30958</v>
      </c>
    </row>
    <row r="31266" spans="1:8">
      <c r="A31266" t="s">
        <v>2162</v>
      </c>
      <c r="B31266">
        <f>HYPERLINK("https://android.googlesource.com/platform/cts/+/88211a0563cec5b59a57c76f82ce0dbcc81b9842", "88211a0563cec5b59a57c76f82ce0dbcc81b9842")</f>
        <v>0</v>
      </c>
      <c r="C31266">
        <f>HYPERLINK("https://android.googlesource.com/platform/cts/+/1ce09b9ba99726ae779b07d7a7d1d57c1187408c", "1ce09b9ba99726ae779b07d7a7d1d57c1187408c")</f>
        <v>0</v>
      </c>
      <c r="D31266" t="s">
        <v>4981</v>
      </c>
      <c r="E31266" t="s">
        <v>7893</v>
      </c>
      <c r="F31266" t="s">
        <v>13678</v>
      </c>
      <c r="G31266" t="s">
        <v>17748</v>
      </c>
      <c r="H31266" t="s">
        <v>30959</v>
      </c>
    </row>
    <row r="31267" spans="1:8">
      <c r="A31267" t="s">
        <v>2163</v>
      </c>
      <c r="B31267">
        <f>HYPERLINK("https://android.googlesource.com/platform/cts/+/9a698190df01b2f8f4aa001a0ed19aea410df1ce", "9a698190df01b2f8f4aa001a0ed19aea410df1ce")</f>
        <v>0</v>
      </c>
      <c r="C31267">
        <f>HYPERLINK("https://android.googlesource.com/platform/cts/+/c77f29c324d5908ff573da32e425f5f5c1477804", "c77f29c324d5908ff573da32e425f5f5c1477804")</f>
        <v>0</v>
      </c>
      <c r="D31267" t="s">
        <v>4971</v>
      </c>
      <c r="E31267" t="s">
        <v>7894</v>
      </c>
      <c r="F31267" t="s">
        <v>13051</v>
      </c>
      <c r="G31267" t="s">
        <v>17215</v>
      </c>
      <c r="H31267" t="s">
        <v>30960</v>
      </c>
    </row>
    <row r="31268" spans="1:8">
      <c r="H31268" t="s">
        <v>30961</v>
      </c>
    </row>
    <row r="31269" spans="1:8">
      <c r="F31269" t="s">
        <v>13053</v>
      </c>
      <c r="G31269" t="s">
        <v>17217</v>
      </c>
      <c r="H31269" t="s">
        <v>30962</v>
      </c>
    </row>
    <row r="31270" spans="1:8">
      <c r="H31270" t="s">
        <v>30963</v>
      </c>
    </row>
    <row r="31271" spans="1:8">
      <c r="H31271" t="s">
        <v>25492</v>
      </c>
    </row>
    <row r="31272" spans="1:8">
      <c r="H31272" t="s">
        <v>25490</v>
      </c>
    </row>
    <row r="31273" spans="1:8">
      <c r="H31273" t="s">
        <v>30964</v>
      </c>
    </row>
    <row r="31274" spans="1:8">
      <c r="F31274" t="s">
        <v>13056</v>
      </c>
      <c r="G31274" t="s">
        <v>17220</v>
      </c>
      <c r="H31274" t="s">
        <v>30965</v>
      </c>
    </row>
    <row r="31275" spans="1:8">
      <c r="A31275" t="s">
        <v>2164</v>
      </c>
      <c r="B31275">
        <f>HYPERLINK("https://android.googlesource.com/platform/cts/+/bfb135c23b8a222a9707dcb99dc2a90afb6fad7d", "bfb135c23b8a222a9707dcb99dc2a90afb6fad7d")</f>
        <v>0</v>
      </c>
      <c r="C31275">
        <f>HYPERLINK("https://android.googlesource.com/platform/cts/+/dd9a17bcb322b190aef850450f2cc48ea1e23808", "dd9a17bcb322b190aef850450f2cc48ea1e23808")</f>
        <v>0</v>
      </c>
      <c r="D31275" t="s">
        <v>5339</v>
      </c>
      <c r="E31275" t="s">
        <v>7895</v>
      </c>
      <c r="F31275" t="s">
        <v>13679</v>
      </c>
      <c r="G31275" t="s">
        <v>17749</v>
      </c>
      <c r="H31275" t="s">
        <v>30966</v>
      </c>
    </row>
    <row r="31276" spans="1:8">
      <c r="A31276" t="s">
        <v>2165</v>
      </c>
      <c r="B31276">
        <f>HYPERLINK("https://android.googlesource.com/platform/cts/+/b86772daee6915549a02db62508ce593f5e44315", "b86772daee6915549a02db62508ce593f5e44315")</f>
        <v>0</v>
      </c>
      <c r="C31276">
        <f>HYPERLINK("https://android.googlesource.com/platform/cts/+/ac638e0f5f287d2baef0bbb150712a4fc761220d", "ac638e0f5f287d2baef0bbb150712a4fc761220d")</f>
        <v>0</v>
      </c>
      <c r="D31276" t="s">
        <v>5114</v>
      </c>
      <c r="E31276" t="s">
        <v>7896</v>
      </c>
      <c r="F31276" t="s">
        <v>13680</v>
      </c>
      <c r="G31276" t="s">
        <v>17750</v>
      </c>
      <c r="H31276" t="s">
        <v>30967</v>
      </c>
    </row>
    <row r="31277" spans="1:8">
      <c r="H31277" t="s">
        <v>30968</v>
      </c>
    </row>
    <row r="31278" spans="1:8">
      <c r="A31278" t="s">
        <v>2166</v>
      </c>
      <c r="B31278">
        <f>HYPERLINK("https://android.googlesource.com/platform/cts/+/82cade3e78381475053b9691ef718a46a9a6dd24", "82cade3e78381475053b9691ef718a46a9a6dd24")</f>
        <v>0</v>
      </c>
      <c r="C31278">
        <f>HYPERLINK("https://android.googlesource.com/platform/cts/+/6864b4f0a98bcee87beb874eb6cdfde97b530ecb", "6864b4f0a98bcee87beb874eb6cdfde97b530ecb")</f>
        <v>0</v>
      </c>
      <c r="D31278" t="s">
        <v>5143</v>
      </c>
      <c r="E31278" t="s">
        <v>7897</v>
      </c>
      <c r="F31278" t="s">
        <v>12914</v>
      </c>
      <c r="G31278" t="s">
        <v>17079</v>
      </c>
      <c r="H31278" t="s">
        <v>30969</v>
      </c>
    </row>
    <row r="31279" spans="1:8">
      <c r="H31279" t="s">
        <v>30970</v>
      </c>
    </row>
    <row r="31280" spans="1:8">
      <c r="H31280" t="s">
        <v>30971</v>
      </c>
    </row>
    <row r="31281" spans="1:8">
      <c r="A31281" t="s">
        <v>2167</v>
      </c>
      <c r="B31281">
        <f>HYPERLINK("https://android.googlesource.com/platform/cts/+/6456bccab461d03f9e0ef7f8d8c2c14c1b46ffb3", "6456bccab461d03f9e0ef7f8d8c2c14c1b46ffb3")</f>
        <v>0</v>
      </c>
      <c r="C31281">
        <f>HYPERLINK("https://android.googlesource.com/platform/cts/+/a3376cb6bb08c42fb9cc0c91ccae9998ce99daa8", "a3376cb6bb08c42fb9cc0c91ccae9998ce99daa8")</f>
        <v>0</v>
      </c>
      <c r="D31281" t="s">
        <v>5117</v>
      </c>
      <c r="E31281" t="s">
        <v>7898</v>
      </c>
      <c r="F31281" t="s">
        <v>13681</v>
      </c>
      <c r="G31281" t="s">
        <v>17751</v>
      </c>
      <c r="H31281" t="s">
        <v>30972</v>
      </c>
    </row>
    <row r="31282" spans="1:8">
      <c r="A31282" t="s">
        <v>2168</v>
      </c>
      <c r="B31282">
        <f>HYPERLINK("https://android.googlesource.com/platform/cts/+/9170936f7066d1bdea9bca7f28392de516c4d4a6", "9170936f7066d1bdea9bca7f28392de516c4d4a6")</f>
        <v>0</v>
      </c>
      <c r="C31282">
        <f>HYPERLINK("https://android.googlesource.com/platform/cts/+/6bd56a12526c9add9b742e6151412f4c0e03a80c", "6bd56a12526c9add9b742e6151412f4c0e03a80c")</f>
        <v>0</v>
      </c>
      <c r="D31282" t="s">
        <v>5134</v>
      </c>
      <c r="E31282" t="s">
        <v>7899</v>
      </c>
      <c r="F31282" t="s">
        <v>13682</v>
      </c>
      <c r="G31282" t="s">
        <v>17752</v>
      </c>
      <c r="H31282" t="s">
        <v>30973</v>
      </c>
    </row>
    <row r="31283" spans="1:8">
      <c r="H31283" t="s">
        <v>30974</v>
      </c>
    </row>
    <row r="31284" spans="1:8">
      <c r="A31284" t="s">
        <v>2169</v>
      </c>
      <c r="B31284">
        <f>HYPERLINK("https://android.googlesource.com/platform/cts/+/9a05c46bf5eef37a580ef0e2f37cf36806808a93", "9a05c46bf5eef37a580ef0e2f37cf36806808a93")</f>
        <v>0</v>
      </c>
      <c r="C31284">
        <f>HYPERLINK("https://android.googlesource.com/platform/cts/+/b0e6edb74cd3d54ae9844d9e3b6b137a86f70ec5", "b0e6edb74cd3d54ae9844d9e3b6b137a86f70ec5")</f>
        <v>0</v>
      </c>
      <c r="D31284" t="s">
        <v>4971</v>
      </c>
      <c r="E31284" t="s">
        <v>7900</v>
      </c>
      <c r="F31284" t="s">
        <v>13056</v>
      </c>
      <c r="G31284" t="s">
        <v>17220</v>
      </c>
      <c r="H31284" t="s">
        <v>30975</v>
      </c>
    </row>
    <row r="31285" spans="1:8">
      <c r="F31285" t="s">
        <v>12815</v>
      </c>
      <c r="G31285" t="s">
        <v>16996</v>
      </c>
      <c r="H31285" t="s">
        <v>30976</v>
      </c>
    </row>
    <row r="31286" spans="1:8">
      <c r="H31286" t="s">
        <v>30965</v>
      </c>
    </row>
    <row r="31287" spans="1:8">
      <c r="A31287" t="s">
        <v>2170</v>
      </c>
      <c r="B31287">
        <f>HYPERLINK("https://android.googlesource.com/platform/cts/+/d9916d984e691bb8a09a58487205fad3c4d546b5", "d9916d984e691bb8a09a58487205fad3c4d546b5")</f>
        <v>0</v>
      </c>
      <c r="C31287">
        <f>HYPERLINK("https://android.googlesource.com/platform/cts/+/63a12c68f60c6bb1c54729cf9c92d19a80074196", "63a12c68f60c6bb1c54729cf9c92d19a80074196")</f>
        <v>0</v>
      </c>
      <c r="D31287" t="s">
        <v>5340</v>
      </c>
      <c r="E31287" t="s">
        <v>7901</v>
      </c>
      <c r="F31287" t="s">
        <v>13683</v>
      </c>
      <c r="G31287" t="s">
        <v>17753</v>
      </c>
      <c r="H31287" t="s">
        <v>27000</v>
      </c>
    </row>
    <row r="31288" spans="1:8">
      <c r="A31288" t="s">
        <v>2171</v>
      </c>
      <c r="B31288">
        <f>HYPERLINK("https://android.googlesource.com/platform/cts/+/ef0ad61e0db620e4b29307ac2a8ac7bd205118f6", "ef0ad61e0db620e4b29307ac2a8ac7bd205118f6")</f>
        <v>0</v>
      </c>
      <c r="C31288">
        <f>HYPERLINK("https://android.googlesource.com/platform/cts/+/0be23ea9bf3bbd75da1ec866da97ea51b40cd3c0", "0be23ea9bf3bbd75da1ec866da97ea51b40cd3c0")</f>
        <v>0</v>
      </c>
      <c r="D31288" t="s">
        <v>5235</v>
      </c>
      <c r="E31288" t="s">
        <v>7902</v>
      </c>
      <c r="F31288" t="s">
        <v>13684</v>
      </c>
      <c r="G31288" t="s">
        <v>17754</v>
      </c>
      <c r="H31288" t="s">
        <v>20091</v>
      </c>
    </row>
    <row r="31289" spans="1:8">
      <c r="H31289" t="s">
        <v>19712</v>
      </c>
    </row>
    <row r="31290" spans="1:8">
      <c r="H31290" t="s">
        <v>19709</v>
      </c>
    </row>
    <row r="31291" spans="1:8">
      <c r="H31291" t="s">
        <v>20107</v>
      </c>
    </row>
    <row r="31292" spans="1:8">
      <c r="H31292" t="s">
        <v>20108</v>
      </c>
    </row>
    <row r="31293" spans="1:8">
      <c r="H31293" t="s">
        <v>19713</v>
      </c>
    </row>
    <row r="31294" spans="1:8">
      <c r="H31294" t="s">
        <v>19714</v>
      </c>
    </row>
    <row r="31295" spans="1:8">
      <c r="H31295" t="s">
        <v>20109</v>
      </c>
    </row>
    <row r="31296" spans="1:8">
      <c r="H31296" t="s">
        <v>20110</v>
      </c>
    </row>
    <row r="31297" spans="6:8">
      <c r="H31297" t="s">
        <v>20111</v>
      </c>
    </row>
    <row r="31298" spans="6:8">
      <c r="H31298" t="s">
        <v>20112</v>
      </c>
    </row>
    <row r="31299" spans="6:8">
      <c r="H31299" t="s">
        <v>20113</v>
      </c>
    </row>
    <row r="31300" spans="6:8">
      <c r="F31300" t="s">
        <v>13685</v>
      </c>
      <c r="G31300" t="s">
        <v>17755</v>
      </c>
      <c r="H31300" t="s">
        <v>20091</v>
      </c>
    </row>
    <row r="31301" spans="6:8">
      <c r="H31301" t="s">
        <v>19712</v>
      </c>
    </row>
    <row r="31302" spans="6:8">
      <c r="H31302" t="s">
        <v>19709</v>
      </c>
    </row>
    <row r="31303" spans="6:8">
      <c r="H31303" t="s">
        <v>20107</v>
      </c>
    </row>
    <row r="31304" spans="6:8">
      <c r="H31304" t="s">
        <v>20108</v>
      </c>
    </row>
    <row r="31305" spans="6:8">
      <c r="H31305" t="s">
        <v>19713</v>
      </c>
    </row>
    <row r="31306" spans="6:8">
      <c r="H31306" t="s">
        <v>19714</v>
      </c>
    </row>
    <row r="31307" spans="6:8">
      <c r="H31307" t="s">
        <v>20109</v>
      </c>
    </row>
    <row r="31308" spans="6:8">
      <c r="H31308" t="s">
        <v>20110</v>
      </c>
    </row>
    <row r="31309" spans="6:8">
      <c r="H31309" t="s">
        <v>20111</v>
      </c>
    </row>
    <row r="31310" spans="6:8">
      <c r="H31310" t="s">
        <v>20112</v>
      </c>
    </row>
    <row r="31311" spans="6:8">
      <c r="H31311" t="s">
        <v>20113</v>
      </c>
    </row>
    <row r="31312" spans="6:8">
      <c r="F31312" t="s">
        <v>13686</v>
      </c>
      <c r="G31312" t="s">
        <v>17756</v>
      </c>
      <c r="H31312" t="s">
        <v>20091</v>
      </c>
    </row>
    <row r="31313" spans="6:8">
      <c r="H31313" t="s">
        <v>19712</v>
      </c>
    </row>
    <row r="31314" spans="6:8">
      <c r="H31314" t="s">
        <v>19709</v>
      </c>
    </row>
    <row r="31315" spans="6:8">
      <c r="H31315" t="s">
        <v>20107</v>
      </c>
    </row>
    <row r="31316" spans="6:8">
      <c r="H31316" t="s">
        <v>20108</v>
      </c>
    </row>
    <row r="31317" spans="6:8">
      <c r="H31317" t="s">
        <v>19713</v>
      </c>
    </row>
    <row r="31318" spans="6:8">
      <c r="H31318" t="s">
        <v>19714</v>
      </c>
    </row>
    <row r="31319" spans="6:8">
      <c r="H31319" t="s">
        <v>20109</v>
      </c>
    </row>
    <row r="31320" spans="6:8">
      <c r="H31320" t="s">
        <v>20110</v>
      </c>
    </row>
    <row r="31321" spans="6:8">
      <c r="H31321" t="s">
        <v>20111</v>
      </c>
    </row>
    <row r="31322" spans="6:8">
      <c r="H31322" t="s">
        <v>20112</v>
      </c>
    </row>
    <row r="31323" spans="6:8">
      <c r="H31323" t="s">
        <v>20113</v>
      </c>
    </row>
    <row r="31324" spans="6:8">
      <c r="F31324" t="s">
        <v>13687</v>
      </c>
      <c r="G31324" t="s">
        <v>17757</v>
      </c>
      <c r="H31324" t="s">
        <v>20091</v>
      </c>
    </row>
    <row r="31325" spans="6:8">
      <c r="H31325" t="s">
        <v>19712</v>
      </c>
    </row>
    <row r="31326" spans="6:8">
      <c r="H31326" t="s">
        <v>19709</v>
      </c>
    </row>
    <row r="31327" spans="6:8">
      <c r="H31327" t="s">
        <v>20107</v>
      </c>
    </row>
    <row r="31328" spans="6:8">
      <c r="H31328" t="s">
        <v>20108</v>
      </c>
    </row>
    <row r="31329" spans="6:8">
      <c r="H31329" t="s">
        <v>19713</v>
      </c>
    </row>
    <row r="31330" spans="6:8">
      <c r="H31330" t="s">
        <v>19714</v>
      </c>
    </row>
    <row r="31331" spans="6:8">
      <c r="H31331" t="s">
        <v>20109</v>
      </c>
    </row>
    <row r="31332" spans="6:8">
      <c r="H31332" t="s">
        <v>20110</v>
      </c>
    </row>
    <row r="31333" spans="6:8">
      <c r="H31333" t="s">
        <v>20111</v>
      </c>
    </row>
    <row r="31334" spans="6:8">
      <c r="H31334" t="s">
        <v>20112</v>
      </c>
    </row>
    <row r="31335" spans="6:8">
      <c r="H31335" t="s">
        <v>20113</v>
      </c>
    </row>
    <row r="31336" spans="6:8">
      <c r="F31336" t="s">
        <v>13688</v>
      </c>
      <c r="G31336" t="s">
        <v>17758</v>
      </c>
      <c r="H31336" t="s">
        <v>20091</v>
      </c>
    </row>
    <row r="31337" spans="6:8">
      <c r="H31337" t="s">
        <v>19712</v>
      </c>
    </row>
    <row r="31338" spans="6:8">
      <c r="H31338" t="s">
        <v>19709</v>
      </c>
    </row>
    <row r="31339" spans="6:8">
      <c r="H31339" t="s">
        <v>19706</v>
      </c>
    </row>
    <row r="31340" spans="6:8">
      <c r="H31340" t="s">
        <v>19707</v>
      </c>
    </row>
    <row r="31341" spans="6:8">
      <c r="H31341" t="s">
        <v>19711</v>
      </c>
    </row>
    <row r="31342" spans="6:8">
      <c r="H31342" t="s">
        <v>20107</v>
      </c>
    </row>
    <row r="31343" spans="6:8">
      <c r="H31343" t="s">
        <v>20108</v>
      </c>
    </row>
    <row r="31344" spans="6:8">
      <c r="H31344" t="s">
        <v>19713</v>
      </c>
    </row>
    <row r="31345" spans="6:8">
      <c r="H31345" t="s">
        <v>19714</v>
      </c>
    </row>
    <row r="31346" spans="6:8">
      <c r="H31346" t="s">
        <v>20109</v>
      </c>
    </row>
    <row r="31347" spans="6:8">
      <c r="H31347" t="s">
        <v>20110</v>
      </c>
    </row>
    <row r="31348" spans="6:8">
      <c r="F31348" t="s">
        <v>13689</v>
      </c>
      <c r="G31348" t="s">
        <v>17759</v>
      </c>
      <c r="H31348" t="s">
        <v>20091</v>
      </c>
    </row>
    <row r="31349" spans="6:8">
      <c r="H31349" t="s">
        <v>19712</v>
      </c>
    </row>
    <row r="31350" spans="6:8">
      <c r="H31350" t="s">
        <v>19709</v>
      </c>
    </row>
    <row r="31351" spans="6:8">
      <c r="H31351" t="s">
        <v>19706</v>
      </c>
    </row>
    <row r="31352" spans="6:8">
      <c r="H31352" t="s">
        <v>19707</v>
      </c>
    </row>
    <row r="31353" spans="6:8">
      <c r="H31353" t="s">
        <v>19711</v>
      </c>
    </row>
    <row r="31354" spans="6:8">
      <c r="H31354" t="s">
        <v>20107</v>
      </c>
    </row>
    <row r="31355" spans="6:8">
      <c r="H31355" t="s">
        <v>20108</v>
      </c>
    </row>
    <row r="31356" spans="6:8">
      <c r="H31356" t="s">
        <v>19713</v>
      </c>
    </row>
    <row r="31357" spans="6:8">
      <c r="H31357" t="s">
        <v>19714</v>
      </c>
    </row>
    <row r="31358" spans="6:8">
      <c r="H31358" t="s">
        <v>20109</v>
      </c>
    </row>
    <row r="31359" spans="6:8">
      <c r="H31359" t="s">
        <v>20110</v>
      </c>
    </row>
    <row r="31360" spans="6:8">
      <c r="F31360" t="s">
        <v>13690</v>
      </c>
      <c r="G31360" t="s">
        <v>17760</v>
      </c>
      <c r="H31360" t="s">
        <v>20091</v>
      </c>
    </row>
    <row r="31361" spans="6:8">
      <c r="H31361" t="s">
        <v>19712</v>
      </c>
    </row>
    <row r="31362" spans="6:8">
      <c r="H31362" t="s">
        <v>19709</v>
      </c>
    </row>
    <row r="31363" spans="6:8">
      <c r="H31363" t="s">
        <v>19706</v>
      </c>
    </row>
    <row r="31364" spans="6:8">
      <c r="H31364" t="s">
        <v>19707</v>
      </c>
    </row>
    <row r="31365" spans="6:8">
      <c r="H31365" t="s">
        <v>19711</v>
      </c>
    </row>
    <row r="31366" spans="6:8">
      <c r="H31366" t="s">
        <v>20107</v>
      </c>
    </row>
    <row r="31367" spans="6:8">
      <c r="H31367" t="s">
        <v>20108</v>
      </c>
    </row>
    <row r="31368" spans="6:8">
      <c r="H31368" t="s">
        <v>19713</v>
      </c>
    </row>
    <row r="31369" spans="6:8">
      <c r="H31369" t="s">
        <v>19714</v>
      </c>
    </row>
    <row r="31370" spans="6:8">
      <c r="H31370" t="s">
        <v>20109</v>
      </c>
    </row>
    <row r="31371" spans="6:8">
      <c r="H31371" t="s">
        <v>20110</v>
      </c>
    </row>
    <row r="31372" spans="6:8">
      <c r="F31372" t="s">
        <v>13691</v>
      </c>
      <c r="G31372" t="s">
        <v>17761</v>
      </c>
      <c r="H31372" t="s">
        <v>20091</v>
      </c>
    </row>
    <row r="31373" spans="6:8">
      <c r="H31373" t="s">
        <v>19712</v>
      </c>
    </row>
    <row r="31374" spans="6:8">
      <c r="H31374" t="s">
        <v>19709</v>
      </c>
    </row>
    <row r="31375" spans="6:8">
      <c r="H31375" t="s">
        <v>20107</v>
      </c>
    </row>
    <row r="31376" spans="6:8">
      <c r="H31376" t="s">
        <v>20108</v>
      </c>
    </row>
    <row r="31377" spans="6:8">
      <c r="H31377" t="s">
        <v>19713</v>
      </c>
    </row>
    <row r="31378" spans="6:8">
      <c r="H31378" t="s">
        <v>19714</v>
      </c>
    </row>
    <row r="31379" spans="6:8">
      <c r="H31379" t="s">
        <v>20109</v>
      </c>
    </row>
    <row r="31380" spans="6:8">
      <c r="H31380" t="s">
        <v>20110</v>
      </c>
    </row>
    <row r="31381" spans="6:8">
      <c r="H31381" t="s">
        <v>20111</v>
      </c>
    </row>
    <row r="31382" spans="6:8">
      <c r="H31382" t="s">
        <v>20112</v>
      </c>
    </row>
    <row r="31383" spans="6:8">
      <c r="F31383" t="s">
        <v>13692</v>
      </c>
      <c r="G31383" t="s">
        <v>17762</v>
      </c>
      <c r="H31383" t="s">
        <v>20091</v>
      </c>
    </row>
    <row r="31384" spans="6:8">
      <c r="H31384" t="s">
        <v>19712</v>
      </c>
    </row>
    <row r="31385" spans="6:8">
      <c r="H31385" t="s">
        <v>19709</v>
      </c>
    </row>
    <row r="31386" spans="6:8">
      <c r="H31386" t="s">
        <v>20107</v>
      </c>
    </row>
    <row r="31387" spans="6:8">
      <c r="H31387" t="s">
        <v>20108</v>
      </c>
    </row>
    <row r="31388" spans="6:8">
      <c r="H31388" t="s">
        <v>19713</v>
      </c>
    </row>
    <row r="31389" spans="6:8">
      <c r="H31389" t="s">
        <v>19714</v>
      </c>
    </row>
    <row r="31390" spans="6:8">
      <c r="H31390" t="s">
        <v>20109</v>
      </c>
    </row>
    <row r="31391" spans="6:8">
      <c r="H31391" t="s">
        <v>20110</v>
      </c>
    </row>
    <row r="31392" spans="6:8">
      <c r="H31392" t="s">
        <v>20111</v>
      </c>
    </row>
    <row r="31393" spans="1:8">
      <c r="H31393" t="s">
        <v>20112</v>
      </c>
    </row>
    <row r="31394" spans="1:8">
      <c r="A31394" t="s">
        <v>2172</v>
      </c>
      <c r="B31394">
        <f>HYPERLINK("https://android.googlesource.com/platform/cts/+/7bbeda1f919af2199c482a489b0bc256916eb5ab", "7bbeda1f919af2199c482a489b0bc256916eb5ab")</f>
        <v>0</v>
      </c>
      <c r="C31394">
        <f>HYPERLINK("https://android.googlesource.com/platform/cts/+/8f980d5dbff4a4c5726bdd272ae813398f92a5f2", "8f980d5dbff4a4c5726bdd272ae813398f92a5f2")</f>
        <v>0</v>
      </c>
      <c r="D31394" t="s">
        <v>5284</v>
      </c>
      <c r="E31394" t="s">
        <v>7903</v>
      </c>
      <c r="F31394" t="s">
        <v>13441</v>
      </c>
      <c r="G31394" t="s">
        <v>17563</v>
      </c>
      <c r="H31394" t="s">
        <v>20083</v>
      </c>
    </row>
    <row r="31395" spans="1:8">
      <c r="H31395" t="s">
        <v>30977</v>
      </c>
    </row>
    <row r="31396" spans="1:8">
      <c r="H31396" t="s">
        <v>30978</v>
      </c>
    </row>
    <row r="31397" spans="1:8">
      <c r="H31397" t="s">
        <v>30979</v>
      </c>
    </row>
    <row r="31398" spans="1:8">
      <c r="H31398" t="s">
        <v>20166</v>
      </c>
    </row>
    <row r="31399" spans="1:8">
      <c r="A31399" t="s">
        <v>2173</v>
      </c>
      <c r="B31399">
        <f>HYPERLINK("https://android.googlesource.com/platform/cts/+/6598ee6014a7ecf5f0095e31371132bee4cf4ac8", "6598ee6014a7ecf5f0095e31371132bee4cf4ac8")</f>
        <v>0</v>
      </c>
      <c r="C31399">
        <f>HYPERLINK("https://android.googlesource.com/platform/cts/+/7fda12303ec9b0e6693fbe585c8f22d055de0c36", "7fda12303ec9b0e6693fbe585c8f22d055de0c36")</f>
        <v>0</v>
      </c>
      <c r="D31399" t="s">
        <v>5134</v>
      </c>
      <c r="E31399" t="s">
        <v>7904</v>
      </c>
      <c r="F31399" t="s">
        <v>13693</v>
      </c>
      <c r="G31399" t="s">
        <v>17763</v>
      </c>
      <c r="H31399" t="s">
        <v>30980</v>
      </c>
    </row>
    <row r="31400" spans="1:8">
      <c r="A31400" t="s">
        <v>2174</v>
      </c>
      <c r="B31400">
        <f>HYPERLINK("https://android.googlesource.com/platform/cts/+/a3e3acf6c1da02dd6b11770d3a7d107b313e74e2", "a3e3acf6c1da02dd6b11770d3a7d107b313e74e2")</f>
        <v>0</v>
      </c>
      <c r="C31400">
        <f>HYPERLINK("https://android.googlesource.com/platform/cts/+/a355251d43a97f8c364bde6ff88500c2d672f0e5", "a355251d43a97f8c364bde6ff88500c2d672f0e5")</f>
        <v>0</v>
      </c>
      <c r="D31400" t="s">
        <v>5338</v>
      </c>
      <c r="E31400" t="s">
        <v>7905</v>
      </c>
      <c r="F31400" t="s">
        <v>13203</v>
      </c>
      <c r="G31400" t="s">
        <v>17345</v>
      </c>
      <c r="H31400" t="s">
        <v>25497</v>
      </c>
    </row>
    <row r="31401" spans="1:8">
      <c r="H31401" t="s">
        <v>20244</v>
      </c>
    </row>
    <row r="31402" spans="1:8">
      <c r="H31402" t="s">
        <v>30981</v>
      </c>
    </row>
    <row r="31403" spans="1:8">
      <c r="H31403" t="s">
        <v>22590</v>
      </c>
    </row>
    <row r="31404" spans="1:8">
      <c r="H31404" t="s">
        <v>22590</v>
      </c>
    </row>
    <row r="31405" spans="1:8">
      <c r="A31405" t="s">
        <v>2175</v>
      </c>
      <c r="B31405">
        <f>HYPERLINK("https://android.googlesource.com/platform/cts/+/be0c2f96d9401d27a89b1a9a1c266c1743a9459a", "be0c2f96d9401d27a89b1a9a1c266c1743a9459a")</f>
        <v>0</v>
      </c>
      <c r="C31405">
        <f>HYPERLINK("https://android.googlesource.com/platform/cts/+/c53c0ae237d5af6ff2e0bad6512a9291e1bf676e", "c53c0ae237d5af6ff2e0bad6512a9291e1bf676e")</f>
        <v>0</v>
      </c>
      <c r="D31405" t="s">
        <v>5287</v>
      </c>
      <c r="E31405" t="s">
        <v>7906</v>
      </c>
      <c r="F31405" t="s">
        <v>10608</v>
      </c>
      <c r="G31405" t="s">
        <v>15011</v>
      </c>
      <c r="H31405" t="s">
        <v>30982</v>
      </c>
    </row>
    <row r="31406" spans="1:8">
      <c r="H31406" t="s">
        <v>30983</v>
      </c>
    </row>
    <row r="31407" spans="1:8">
      <c r="A31407" t="s">
        <v>2176</v>
      </c>
      <c r="B31407">
        <f>HYPERLINK("https://android.googlesource.com/platform/cts/+/1b77d561d522c0d872c3f1eb69e80a1d41370bd1", "1b77d561d522c0d872c3f1eb69e80a1d41370bd1")</f>
        <v>0</v>
      </c>
      <c r="C31407">
        <f>HYPERLINK("https://android.googlesource.com/platform/cts/+/ea2f11de3135e433a74ebbb0d360bc541b95faae", "ea2f11de3135e433a74ebbb0d360bc541b95faae")</f>
        <v>0</v>
      </c>
      <c r="D31407" t="s">
        <v>5117</v>
      </c>
      <c r="E31407" t="s">
        <v>7907</v>
      </c>
      <c r="F31407" t="s">
        <v>13442</v>
      </c>
      <c r="G31407" t="s">
        <v>17564</v>
      </c>
      <c r="H31407" t="s">
        <v>30984</v>
      </c>
    </row>
    <row r="31408" spans="1:8">
      <c r="A31408" t="s">
        <v>2177</v>
      </c>
      <c r="B31408">
        <f>HYPERLINK("https://android.googlesource.com/platform/cts/+/10408388332a9b3c40217b47670b3db7cf559a3b", "10408388332a9b3c40217b47670b3db7cf559a3b")</f>
        <v>0</v>
      </c>
      <c r="C31408">
        <f>HYPERLINK("https://android.googlesource.com/platform/cts/+/b16725a056d90e8a41a52229b00d90be0ce018ba", "b16725a056d90e8a41a52229b00d90be0ce018ba")</f>
        <v>0</v>
      </c>
      <c r="D31408" t="s">
        <v>5341</v>
      </c>
      <c r="E31408" t="s">
        <v>7908</v>
      </c>
      <c r="F31408" t="s">
        <v>13334</v>
      </c>
      <c r="G31408" t="s">
        <v>17464</v>
      </c>
      <c r="H31408" t="s">
        <v>25497</v>
      </c>
    </row>
    <row r="31409" spans="1:8">
      <c r="H31409" t="s">
        <v>20244</v>
      </c>
    </row>
    <row r="31410" spans="1:8">
      <c r="H31410" t="s">
        <v>22590</v>
      </c>
    </row>
    <row r="31411" spans="1:8">
      <c r="A31411" t="s">
        <v>2178</v>
      </c>
      <c r="B31411">
        <f>HYPERLINK("https://android.googlesource.com/platform/cts/+/091dcfd67ad366fc3ebc319735abcc634dafff7b", "091dcfd67ad366fc3ebc319735abcc634dafff7b")</f>
        <v>0</v>
      </c>
      <c r="C31411">
        <f>HYPERLINK("https://android.googlesource.com/platform/cts/+/2440af297f0fe4102b297499361d909d51312df1", "2440af297f0fe4102b297499361d909d51312df1")</f>
        <v>0</v>
      </c>
      <c r="D31411" t="s">
        <v>5192</v>
      </c>
      <c r="E31411" t="s">
        <v>7909</v>
      </c>
      <c r="F31411" t="s">
        <v>13471</v>
      </c>
      <c r="G31411" t="s">
        <v>17590</v>
      </c>
      <c r="H31411" t="s">
        <v>29928</v>
      </c>
    </row>
    <row r="31412" spans="1:8">
      <c r="A31412" t="s">
        <v>2179</v>
      </c>
      <c r="B31412">
        <f>HYPERLINK("https://android.googlesource.com/platform/cts/+/7393c8beb6facf302f02e189fae69d0ca99f569b", "7393c8beb6facf302f02e189fae69d0ca99f569b")</f>
        <v>0</v>
      </c>
      <c r="C31412">
        <f>HYPERLINK("https://android.googlesource.com/platform/cts/+/367a2224cd3ad9d0243df4aa55316016e5dd0280", "367a2224cd3ad9d0243df4aa55316016e5dd0280")</f>
        <v>0</v>
      </c>
      <c r="D31412" t="s">
        <v>5085</v>
      </c>
      <c r="E31412" t="s">
        <v>7910</v>
      </c>
      <c r="F31412" t="s">
        <v>13694</v>
      </c>
      <c r="G31412" t="s">
        <v>17764</v>
      </c>
      <c r="H31412" t="s">
        <v>30985</v>
      </c>
    </row>
    <row r="31413" spans="1:8">
      <c r="H31413" t="s">
        <v>30985</v>
      </c>
    </row>
    <row r="31414" spans="1:8">
      <c r="A31414" t="s">
        <v>2180</v>
      </c>
      <c r="B31414">
        <f>HYPERLINK("https://android.googlesource.com/platform/cts/+/46b28a1b8c05132e33b32f801a2bc74a4273c35b", "46b28a1b8c05132e33b32f801a2bc74a4273c35b")</f>
        <v>0</v>
      </c>
      <c r="C31414">
        <f>HYPERLINK("https://android.googlesource.com/platform/cts/+/18db382f11af3c80367c3c60a29ee41ddf3cb79b", "18db382f11af3c80367c3c60a29ee41ddf3cb79b")</f>
        <v>0</v>
      </c>
      <c r="D31414" t="s">
        <v>5085</v>
      </c>
      <c r="E31414" t="s">
        <v>7911</v>
      </c>
      <c r="F31414" t="s">
        <v>13695</v>
      </c>
      <c r="G31414" t="s">
        <v>17764</v>
      </c>
      <c r="H31414" t="s">
        <v>30985</v>
      </c>
    </row>
    <row r="31415" spans="1:8">
      <c r="H31415" t="s">
        <v>30985</v>
      </c>
    </row>
    <row r="31416" spans="1:8">
      <c r="A31416" t="s">
        <v>2181</v>
      </c>
      <c r="B31416">
        <f>HYPERLINK("https://android.googlesource.com/platform/cts/+/ddfcb98f148fe0efa386ee4bfd66452e6523da72", "ddfcb98f148fe0efa386ee4bfd66452e6523da72")</f>
        <v>0</v>
      </c>
      <c r="C31416">
        <f>HYPERLINK("https://android.googlesource.com/platform/cts/+/26fa9959a336cf945d1410b9b9109d808940ffa4", "26fa9959a336cf945d1410b9b9109d808940ffa4")</f>
        <v>0</v>
      </c>
      <c r="D31416" t="s">
        <v>5134</v>
      </c>
      <c r="E31416" t="s">
        <v>7912</v>
      </c>
      <c r="F31416" t="s">
        <v>13693</v>
      </c>
      <c r="G31416" t="s">
        <v>17763</v>
      </c>
      <c r="H31416" t="s">
        <v>30986</v>
      </c>
    </row>
    <row r="31417" spans="1:8">
      <c r="H31417" t="s">
        <v>30987</v>
      </c>
    </row>
    <row r="31418" spans="1:8">
      <c r="F31418" t="s">
        <v>13696</v>
      </c>
      <c r="G31418" t="s">
        <v>17765</v>
      </c>
      <c r="H31418" t="s">
        <v>30986</v>
      </c>
    </row>
    <row r="31419" spans="1:8">
      <c r="H31419" t="s">
        <v>30987</v>
      </c>
    </row>
    <row r="31420" spans="1:8">
      <c r="F31420" t="s">
        <v>13657</v>
      </c>
      <c r="G31420" t="s">
        <v>17733</v>
      </c>
      <c r="H31420" t="s">
        <v>30988</v>
      </c>
    </row>
    <row r="31421" spans="1:8">
      <c r="H31421" t="s">
        <v>30989</v>
      </c>
    </row>
    <row r="31422" spans="1:8">
      <c r="H31422" t="s">
        <v>30990</v>
      </c>
    </row>
    <row r="31423" spans="1:8">
      <c r="A31423" t="s">
        <v>2182</v>
      </c>
      <c r="B31423">
        <f>HYPERLINK("https://android.googlesource.com/platform/cts/+/7f257c997fb6414c5fd38e39c81fa9463245aa4d", "7f257c997fb6414c5fd38e39c81fa9463245aa4d")</f>
        <v>0</v>
      </c>
      <c r="C31423">
        <f>HYPERLINK("https://android.googlesource.com/platform/cts/+/ddfcb98f148fe0efa386ee4bfd66452e6523da72", "ddfcb98f148fe0efa386ee4bfd66452e6523da72")</f>
        <v>0</v>
      </c>
      <c r="D31423" t="s">
        <v>5134</v>
      </c>
      <c r="E31423" t="s">
        <v>7913</v>
      </c>
      <c r="F31423" t="s">
        <v>13693</v>
      </c>
      <c r="G31423" t="s">
        <v>17763</v>
      </c>
      <c r="H31423" t="s">
        <v>30991</v>
      </c>
    </row>
    <row r="31424" spans="1:8">
      <c r="H31424" t="s">
        <v>30992</v>
      </c>
    </row>
    <row r="31425" spans="1:8">
      <c r="H31425" t="s">
        <v>30993</v>
      </c>
    </row>
    <row r="31426" spans="1:8">
      <c r="H31426" t="s">
        <v>30994</v>
      </c>
    </row>
    <row r="31427" spans="1:8">
      <c r="H31427" t="s">
        <v>30995</v>
      </c>
    </row>
    <row r="31428" spans="1:8">
      <c r="H31428" t="s">
        <v>30996</v>
      </c>
    </row>
    <row r="31429" spans="1:8">
      <c r="A31429" t="s">
        <v>2183</v>
      </c>
      <c r="B31429">
        <f>HYPERLINK("https://android.googlesource.com/platform/cts/+/9355612dcc816c876874e463d49fe598c2456401", "9355612dcc816c876874e463d49fe598c2456401")</f>
        <v>0</v>
      </c>
      <c r="C31429">
        <f>HYPERLINK("https://android.googlesource.com/platform/cts/+/494216db87272879193ed064304ac813a21ffd14", "494216db87272879193ed064304ac813a21ffd14")</f>
        <v>0</v>
      </c>
      <c r="D31429" t="s">
        <v>5342</v>
      </c>
      <c r="E31429" t="s">
        <v>7914</v>
      </c>
      <c r="F31429" t="s">
        <v>13311</v>
      </c>
      <c r="G31429" t="s">
        <v>16471</v>
      </c>
      <c r="H31429" t="s">
        <v>30997</v>
      </c>
    </row>
    <row r="31430" spans="1:8">
      <c r="A31430" t="s">
        <v>2184</v>
      </c>
      <c r="B31430">
        <f>HYPERLINK("https://android.googlesource.com/platform/cts/+/7e1f50625214ae6ec16bdd98539180b7494ee26f", "7e1f50625214ae6ec16bdd98539180b7494ee26f")</f>
        <v>0</v>
      </c>
      <c r="C31430">
        <f>HYPERLINK("https://android.googlesource.com/platform/cts/+/80ad63a28cc803de4cd3ee9596ac64a5ce8e3521", "80ad63a28cc803de4cd3ee9596ac64a5ce8e3521")</f>
        <v>0</v>
      </c>
      <c r="D31430" t="s">
        <v>5134</v>
      </c>
      <c r="E31430" t="s">
        <v>7915</v>
      </c>
      <c r="F31430" t="s">
        <v>13693</v>
      </c>
      <c r="G31430" t="s">
        <v>17763</v>
      </c>
      <c r="H31430" t="s">
        <v>30998</v>
      </c>
    </row>
    <row r="31431" spans="1:8">
      <c r="H31431" t="s">
        <v>30999</v>
      </c>
    </row>
    <row r="31432" spans="1:8">
      <c r="H31432" t="s">
        <v>31000</v>
      </c>
    </row>
    <row r="31433" spans="1:8">
      <c r="H31433" t="s">
        <v>31001</v>
      </c>
    </row>
    <row r="31434" spans="1:8">
      <c r="H31434" t="s">
        <v>31002</v>
      </c>
    </row>
    <row r="31435" spans="1:8">
      <c r="H31435" t="s">
        <v>31003</v>
      </c>
    </row>
    <row r="31436" spans="1:8">
      <c r="H31436" t="s">
        <v>31004</v>
      </c>
    </row>
    <row r="31437" spans="1:8">
      <c r="H31437" t="s">
        <v>31005</v>
      </c>
    </row>
    <row r="31438" spans="1:8">
      <c r="H31438" t="s">
        <v>31006</v>
      </c>
    </row>
    <row r="31439" spans="1:8">
      <c r="A31439" t="s">
        <v>2185</v>
      </c>
      <c r="B31439">
        <f>HYPERLINK("https://android.googlesource.com/platform/cts/+/4e66220ff665dfc1f84679acfbbca71db656a17c", "4e66220ff665dfc1f84679acfbbca71db656a17c")</f>
        <v>0</v>
      </c>
      <c r="C31439">
        <f>HYPERLINK("https://android.googlesource.com/platform/cts/+/5711e85d02f5e46559b20338e0c8a05c187509c2", "5711e85d02f5e46559b20338e0c8a05c187509c2")</f>
        <v>0</v>
      </c>
      <c r="D31439" t="s">
        <v>5343</v>
      </c>
      <c r="E31439" t="s">
        <v>7916</v>
      </c>
      <c r="F31439" t="s">
        <v>13697</v>
      </c>
      <c r="G31439" t="s">
        <v>17766</v>
      </c>
      <c r="H31439" t="s">
        <v>31007</v>
      </c>
    </row>
    <row r="31440" spans="1:8">
      <c r="H31440" t="s">
        <v>19019</v>
      </c>
    </row>
    <row r="31441" spans="1:8">
      <c r="H31441" t="s">
        <v>31008</v>
      </c>
    </row>
    <row r="31442" spans="1:8">
      <c r="H31442" t="s">
        <v>31009</v>
      </c>
    </row>
    <row r="31443" spans="1:8">
      <c r="H31443" t="s">
        <v>31010</v>
      </c>
    </row>
    <row r="31444" spans="1:8">
      <c r="H31444" t="s">
        <v>31011</v>
      </c>
    </row>
    <row r="31445" spans="1:8">
      <c r="H31445" t="s">
        <v>31012</v>
      </c>
    </row>
    <row r="31446" spans="1:8">
      <c r="H31446" t="s">
        <v>31013</v>
      </c>
    </row>
    <row r="31447" spans="1:8">
      <c r="A31447" t="s">
        <v>2186</v>
      </c>
      <c r="B31447">
        <f>HYPERLINK("https://android.googlesource.com/platform/cts/+/436ac98e179fefce517a20b47fec38d866c17fcc", "436ac98e179fefce517a20b47fec38d866c17fcc")</f>
        <v>0</v>
      </c>
      <c r="C31447">
        <f>HYPERLINK("https://android.googlesource.com/platform/cts/+/15ff1ce1f26950f4529b953fba3e8ebadd2b88fc", "15ff1ce1f26950f4529b953fba3e8ebadd2b88fc")</f>
        <v>0</v>
      </c>
      <c r="D31447" t="s">
        <v>5284</v>
      </c>
      <c r="E31447" t="s">
        <v>7917</v>
      </c>
      <c r="F31447" t="s">
        <v>13698</v>
      </c>
      <c r="G31447" t="s">
        <v>17767</v>
      </c>
      <c r="H31447" t="s">
        <v>19998</v>
      </c>
    </row>
    <row r="31448" spans="1:8">
      <c r="H31448" t="s">
        <v>26873</v>
      </c>
    </row>
    <row r="31449" spans="1:8">
      <c r="H31449" t="s">
        <v>20083</v>
      </c>
    </row>
    <row r="31450" spans="1:8">
      <c r="H31450" t="s">
        <v>31014</v>
      </c>
    </row>
    <row r="31451" spans="1:8">
      <c r="H31451" t="s">
        <v>31015</v>
      </c>
    </row>
    <row r="31452" spans="1:8">
      <c r="H31452" t="s">
        <v>19928</v>
      </c>
    </row>
    <row r="31453" spans="1:8">
      <c r="H31453" t="s">
        <v>31016</v>
      </c>
    </row>
    <row r="31454" spans="1:8">
      <c r="H31454" t="s">
        <v>31017</v>
      </c>
    </row>
    <row r="31455" spans="1:8">
      <c r="H31455" t="s">
        <v>31018</v>
      </c>
    </row>
    <row r="31456" spans="1:8">
      <c r="H31456" t="s">
        <v>31019</v>
      </c>
    </row>
    <row r="31457" spans="1:8">
      <c r="F31457" t="s">
        <v>13699</v>
      </c>
      <c r="G31457" t="s">
        <v>17767</v>
      </c>
      <c r="H31457" t="s">
        <v>19998</v>
      </c>
    </row>
    <row r="31458" spans="1:8">
      <c r="H31458" t="s">
        <v>26873</v>
      </c>
    </row>
    <row r="31459" spans="1:8">
      <c r="H31459" t="s">
        <v>20083</v>
      </c>
    </row>
    <row r="31460" spans="1:8">
      <c r="H31460" t="s">
        <v>31014</v>
      </c>
    </row>
    <row r="31461" spans="1:8">
      <c r="H31461" t="s">
        <v>31015</v>
      </c>
    </row>
    <row r="31462" spans="1:8">
      <c r="H31462" t="s">
        <v>19928</v>
      </c>
    </row>
    <row r="31463" spans="1:8">
      <c r="H31463" t="s">
        <v>31016</v>
      </c>
    </row>
    <row r="31464" spans="1:8">
      <c r="H31464" t="s">
        <v>31017</v>
      </c>
    </row>
    <row r="31465" spans="1:8">
      <c r="H31465" t="s">
        <v>31018</v>
      </c>
    </row>
    <row r="31466" spans="1:8">
      <c r="H31466" t="s">
        <v>31019</v>
      </c>
    </row>
    <row r="31467" spans="1:8">
      <c r="A31467" t="s">
        <v>2187</v>
      </c>
      <c r="B31467">
        <f>HYPERLINK("https://android.googlesource.com/platform/cts/+/6f71ec65409cdea4ed36d3c2f71fd6baffa81e18", "6f71ec65409cdea4ed36d3c2f71fd6baffa81e18")</f>
        <v>0</v>
      </c>
      <c r="C31467">
        <f>HYPERLINK("https://android.googlesource.com/platform/cts/+/b815e0a71d5a411f640b614bc9a4b4d3fe26dc00", "b815e0a71d5a411f640b614bc9a4b4d3fe26dc00")</f>
        <v>0</v>
      </c>
      <c r="D31467" t="s">
        <v>5308</v>
      </c>
      <c r="E31467" t="s">
        <v>7918</v>
      </c>
      <c r="F31467" t="s">
        <v>13700</v>
      </c>
      <c r="G31467" t="s">
        <v>17768</v>
      </c>
      <c r="H31467" t="s">
        <v>31020</v>
      </c>
    </row>
    <row r="31468" spans="1:8">
      <c r="H31468" t="s">
        <v>31021</v>
      </c>
    </row>
    <row r="31469" spans="1:8">
      <c r="H31469" t="s">
        <v>30139</v>
      </c>
    </row>
    <row r="31470" spans="1:8">
      <c r="H31470" t="s">
        <v>31022</v>
      </c>
    </row>
    <row r="31471" spans="1:8">
      <c r="A31471" t="s">
        <v>2188</v>
      </c>
      <c r="B31471">
        <f>HYPERLINK("https://android.googlesource.com/platform/cts/+/9659260b553b0c96ce41852811383069edd95850", "9659260b553b0c96ce41852811383069edd95850")</f>
        <v>0</v>
      </c>
      <c r="C31471">
        <f>HYPERLINK("https://android.googlesource.com/platform/cts/+/550da4e912aca361b2c0c352e238c3862af6d8ca", "550da4e912aca361b2c0c352e238c3862af6d8ca")</f>
        <v>0</v>
      </c>
      <c r="D31471" t="s">
        <v>4981</v>
      </c>
      <c r="E31471" t="s">
        <v>7919</v>
      </c>
      <c r="F31471" t="s">
        <v>13701</v>
      </c>
      <c r="G31471" t="s">
        <v>17769</v>
      </c>
      <c r="H31471" t="s">
        <v>22639</v>
      </c>
    </row>
    <row r="31472" spans="1:8">
      <c r="H31472" t="s">
        <v>31023</v>
      </c>
    </row>
    <row r="31473" spans="1:8">
      <c r="A31473" t="s">
        <v>2189</v>
      </c>
      <c r="B31473">
        <f>HYPERLINK("https://android.googlesource.com/platform/cts/+/4b9e1d198fa577a1724a1950ebe3ff39d8647352", "4b9e1d198fa577a1724a1950ebe3ff39d8647352")</f>
        <v>0</v>
      </c>
      <c r="C31473">
        <f>HYPERLINK("https://android.googlesource.com/platform/cts/+/47df825c46cd1afb1b20b9621317dd6bb0290611", "47df825c46cd1afb1b20b9621317dd6bb0290611")</f>
        <v>0</v>
      </c>
      <c r="D31473" t="s">
        <v>5141</v>
      </c>
      <c r="E31473" t="s">
        <v>7920</v>
      </c>
      <c r="F31473" t="s">
        <v>10597</v>
      </c>
      <c r="G31473" t="s">
        <v>15000</v>
      </c>
      <c r="H31473" t="s">
        <v>31024</v>
      </c>
    </row>
    <row r="31474" spans="1:8">
      <c r="A31474" t="s">
        <v>2190</v>
      </c>
      <c r="B31474">
        <f>HYPERLINK("https://android.googlesource.com/platform/cts/+/317c7e30641049dc69e901034375e7c8568a8eb7", "317c7e30641049dc69e901034375e7c8568a8eb7")</f>
        <v>0</v>
      </c>
      <c r="C31474">
        <f>HYPERLINK("https://android.googlesource.com/platform/cts/+/fb7032dab117b94a1983073600e1407a149fc6ce", "fb7032dab117b94a1983073600e1407a149fc6ce")</f>
        <v>0</v>
      </c>
      <c r="D31474" t="s">
        <v>5110</v>
      </c>
      <c r="E31474" t="s">
        <v>7921</v>
      </c>
      <c r="F31474" t="s">
        <v>13702</v>
      </c>
      <c r="G31474" t="s">
        <v>17770</v>
      </c>
      <c r="H31474" t="s">
        <v>31025</v>
      </c>
    </row>
    <row r="31475" spans="1:8">
      <c r="A31475" t="s">
        <v>2191</v>
      </c>
      <c r="B31475">
        <f>HYPERLINK("https://android.googlesource.com/platform/cts/+/a81bf90a6e57e78354da37a1e81253d9697cb539", "a81bf90a6e57e78354da37a1e81253d9697cb539")</f>
        <v>0</v>
      </c>
      <c r="C31475">
        <f>HYPERLINK("https://android.googlesource.com/platform/cts/+/b14d6c559a7ac8488c31d7946cbfe39d0a80df69", "b14d6c559a7ac8488c31d7946cbfe39d0a80df69")</f>
        <v>0</v>
      </c>
      <c r="D31475" t="s">
        <v>5344</v>
      </c>
      <c r="E31475" t="s">
        <v>7922</v>
      </c>
      <c r="F31475" t="s">
        <v>13703</v>
      </c>
      <c r="G31475" t="s">
        <v>17771</v>
      </c>
      <c r="H31475" t="s">
        <v>31026</v>
      </c>
    </row>
    <row r="31476" spans="1:8">
      <c r="A31476" t="s">
        <v>2192</v>
      </c>
      <c r="B31476">
        <f>HYPERLINK("https://android.googlesource.com/platform/cts/+/d3bfceba7af51900359649a5a8502c54d48118fa", "d3bfceba7af51900359649a5a8502c54d48118fa")</f>
        <v>0</v>
      </c>
      <c r="C31476">
        <f>HYPERLINK("https://android.googlesource.com/platform/cts/+/397c71276f5667bdf432dc113dbc23abacca5734", "397c71276f5667bdf432dc113dbc23abacca5734")</f>
        <v>0</v>
      </c>
      <c r="D31476" t="s">
        <v>5132</v>
      </c>
      <c r="E31476" t="s">
        <v>7923</v>
      </c>
      <c r="F31476" t="s">
        <v>13089</v>
      </c>
      <c r="G31476" t="s">
        <v>17251</v>
      </c>
      <c r="H31476" t="s">
        <v>31027</v>
      </c>
    </row>
    <row r="31477" spans="1:8">
      <c r="A31477" t="s">
        <v>2193</v>
      </c>
      <c r="B31477">
        <f>HYPERLINK("https://android.googlesource.com/platform/cts/+/fac06c7bdb59d38f7b7ecddd5e70da25cff482fd", "fac06c7bdb59d38f7b7ecddd5e70da25cff482fd")</f>
        <v>0</v>
      </c>
      <c r="C31477">
        <f>HYPERLINK("https://android.googlesource.com/platform/cts/+/f40eef17d255b03079168b6aa0f6b02443f561ec", "f40eef17d255b03079168b6aa0f6b02443f561ec")</f>
        <v>0</v>
      </c>
      <c r="D31477" t="s">
        <v>5146</v>
      </c>
      <c r="E31477" t="s">
        <v>7924</v>
      </c>
      <c r="F31477" t="s">
        <v>12841</v>
      </c>
      <c r="G31477" t="s">
        <v>15119</v>
      </c>
      <c r="H31477" t="s">
        <v>31028</v>
      </c>
    </row>
    <row r="31478" spans="1:8">
      <c r="F31478" t="s">
        <v>12842</v>
      </c>
      <c r="G31478" t="s">
        <v>15690</v>
      </c>
      <c r="H31478" t="s">
        <v>31029</v>
      </c>
    </row>
    <row r="31479" spans="1:8">
      <c r="F31479" t="s">
        <v>13704</v>
      </c>
      <c r="G31479" t="s">
        <v>17772</v>
      </c>
      <c r="H31479" t="s">
        <v>31030</v>
      </c>
    </row>
    <row r="31480" spans="1:8">
      <c r="H31480" t="s">
        <v>18863</v>
      </c>
    </row>
    <row r="31481" spans="1:8">
      <c r="F31481" t="s">
        <v>12843</v>
      </c>
      <c r="G31481" t="s">
        <v>16556</v>
      </c>
      <c r="H31481" t="s">
        <v>31031</v>
      </c>
    </row>
    <row r="31482" spans="1:8">
      <c r="F31482" t="s">
        <v>12845</v>
      </c>
      <c r="G31482" t="s">
        <v>16561</v>
      </c>
      <c r="H31482" t="s">
        <v>31032</v>
      </c>
    </row>
    <row r="31483" spans="1:8">
      <c r="H31483" t="s">
        <v>31032</v>
      </c>
    </row>
    <row r="31484" spans="1:8">
      <c r="H31484" t="s">
        <v>31033</v>
      </c>
    </row>
    <row r="31485" spans="1:8">
      <c r="H31485" t="s">
        <v>20346</v>
      </c>
    </row>
    <row r="31486" spans="1:8">
      <c r="A31486" t="s">
        <v>2194</v>
      </c>
      <c r="B31486">
        <f>HYPERLINK("https://android.googlesource.com/platform/cts/+/1a5bf7bbf82a4f8ed323ab32b2612b8333d64742", "1a5bf7bbf82a4f8ed323ab32b2612b8333d64742")</f>
        <v>0</v>
      </c>
      <c r="C31486">
        <f>HYPERLINK("https://android.googlesource.com/platform/cts/+/5ac82de7bf7042dc965d9ea4a09b7e9b43fa2387", "5ac82de7bf7042dc965d9ea4a09b7e9b43fa2387")</f>
        <v>0</v>
      </c>
      <c r="D31486" t="s">
        <v>5345</v>
      </c>
      <c r="E31486" t="s">
        <v>7925</v>
      </c>
      <c r="F31486" t="s">
        <v>12817</v>
      </c>
      <c r="G31486" t="s">
        <v>16629</v>
      </c>
      <c r="H31486" t="s">
        <v>22751</v>
      </c>
    </row>
    <row r="31487" spans="1:8">
      <c r="A31487" t="s">
        <v>2195</v>
      </c>
      <c r="B31487">
        <f>HYPERLINK("https://android.googlesource.com/platform/cts/+/b1d786b775a892c92f3003fadcc0bdba860d793a", "b1d786b775a892c92f3003fadcc0bdba860d793a")</f>
        <v>0</v>
      </c>
      <c r="C31487">
        <f>HYPERLINK("https://android.googlesource.com/platform/cts/+/007e4d2085c4066edd4fd57ffcd08d6d1b1684f6", "007e4d2085c4066edd4fd57ffcd08d6d1b1684f6")</f>
        <v>0</v>
      </c>
      <c r="D31487" t="s">
        <v>5147</v>
      </c>
      <c r="E31487" t="s">
        <v>7926</v>
      </c>
      <c r="F31487" t="s">
        <v>10700</v>
      </c>
      <c r="G31487" t="s">
        <v>15100</v>
      </c>
      <c r="H31487" t="s">
        <v>31034</v>
      </c>
    </row>
    <row r="31488" spans="1:8">
      <c r="H31488" t="s">
        <v>31035</v>
      </c>
    </row>
    <row r="31489" spans="1:8">
      <c r="H31489" t="s">
        <v>31036</v>
      </c>
    </row>
    <row r="31490" spans="1:8">
      <c r="H31490" t="s">
        <v>31037</v>
      </c>
    </row>
    <row r="31491" spans="1:8">
      <c r="H31491" t="s">
        <v>31038</v>
      </c>
    </row>
    <row r="31492" spans="1:8">
      <c r="F31492" t="s">
        <v>13705</v>
      </c>
      <c r="G31492" t="s">
        <v>17773</v>
      </c>
      <c r="H31492" t="s">
        <v>25645</v>
      </c>
    </row>
    <row r="31493" spans="1:8">
      <c r="F31493" t="s">
        <v>13533</v>
      </c>
      <c r="G31493" t="s">
        <v>16849</v>
      </c>
      <c r="H31493" t="s">
        <v>25645</v>
      </c>
    </row>
    <row r="31494" spans="1:8">
      <c r="F31494" t="s">
        <v>13706</v>
      </c>
      <c r="G31494" t="s">
        <v>17774</v>
      </c>
      <c r="H31494" t="s">
        <v>25642</v>
      </c>
    </row>
    <row r="31495" spans="1:8">
      <c r="H31495" t="s">
        <v>25643</v>
      </c>
    </row>
    <row r="31496" spans="1:8">
      <c r="H31496" t="s">
        <v>31039</v>
      </c>
    </row>
    <row r="31497" spans="1:8">
      <c r="H31497" t="s">
        <v>25644</v>
      </c>
    </row>
    <row r="31498" spans="1:8">
      <c r="H31498" t="s">
        <v>31040</v>
      </c>
    </row>
    <row r="31499" spans="1:8">
      <c r="A31499" t="s">
        <v>2196</v>
      </c>
      <c r="B31499">
        <f>HYPERLINK("https://android.googlesource.com/platform/cts/+/45349ecfef242b3b61205df954c49792fce74710", "45349ecfef242b3b61205df954c49792fce74710")</f>
        <v>0</v>
      </c>
      <c r="C31499">
        <f>HYPERLINK("https://android.googlesource.com/platform/cts/+/4dce4146751513f24b4cb93668be05217075a1a0", "4dce4146751513f24b4cb93668be05217075a1a0")</f>
        <v>0</v>
      </c>
      <c r="D31499" t="s">
        <v>5346</v>
      </c>
      <c r="E31499" t="s">
        <v>7927</v>
      </c>
      <c r="F31499" t="s">
        <v>13707</v>
      </c>
      <c r="G31499" t="s">
        <v>17775</v>
      </c>
      <c r="H31499" t="s">
        <v>31041</v>
      </c>
    </row>
    <row r="31500" spans="1:8">
      <c r="H31500" t="s">
        <v>31042</v>
      </c>
    </row>
    <row r="31501" spans="1:8">
      <c r="H31501" t="s">
        <v>19982</v>
      </c>
    </row>
    <row r="31502" spans="1:8">
      <c r="H31502" t="s">
        <v>31043</v>
      </c>
    </row>
    <row r="31503" spans="1:8">
      <c r="H31503" t="s">
        <v>22586</v>
      </c>
    </row>
    <row r="31504" spans="1:8">
      <c r="H31504" t="s">
        <v>31044</v>
      </c>
    </row>
    <row r="31505" spans="1:8">
      <c r="H31505" t="s">
        <v>31044</v>
      </c>
    </row>
    <row r="31506" spans="1:8">
      <c r="H31506" t="s">
        <v>26758</v>
      </c>
    </row>
    <row r="31507" spans="1:8">
      <c r="H31507" t="s">
        <v>31045</v>
      </c>
    </row>
    <row r="31508" spans="1:8">
      <c r="H31508" t="s">
        <v>21360</v>
      </c>
    </row>
    <row r="31509" spans="1:8">
      <c r="A31509" t="s">
        <v>2197</v>
      </c>
      <c r="B31509">
        <f>HYPERLINK("https://android.googlesource.com/platform/cts/+/51610aef93901fce897e0ca502195848c981740d", "51610aef93901fce897e0ca502195848c981740d")</f>
        <v>0</v>
      </c>
      <c r="C31509">
        <f>HYPERLINK("https://android.googlesource.com/platform/cts/+/123e1413fed13c69421dae351fdd115dcd61b2bb", "123e1413fed13c69421dae351fdd115dcd61b2bb")</f>
        <v>0</v>
      </c>
      <c r="D31509" t="s">
        <v>5346</v>
      </c>
      <c r="E31509" t="s">
        <v>7928</v>
      </c>
      <c r="F31509" t="s">
        <v>13707</v>
      </c>
      <c r="G31509" t="s">
        <v>17775</v>
      </c>
      <c r="H31509" t="s">
        <v>31041</v>
      </c>
    </row>
    <row r="31510" spans="1:8">
      <c r="H31510" t="s">
        <v>31042</v>
      </c>
    </row>
    <row r="31511" spans="1:8">
      <c r="H31511" t="s">
        <v>19982</v>
      </c>
    </row>
    <row r="31512" spans="1:8">
      <c r="H31512" t="s">
        <v>31043</v>
      </c>
    </row>
    <row r="31513" spans="1:8">
      <c r="H31513" t="s">
        <v>22586</v>
      </c>
    </row>
    <row r="31514" spans="1:8">
      <c r="H31514" t="s">
        <v>31044</v>
      </c>
    </row>
    <row r="31515" spans="1:8">
      <c r="H31515" t="s">
        <v>31044</v>
      </c>
    </row>
    <row r="31516" spans="1:8">
      <c r="H31516" t="s">
        <v>26758</v>
      </c>
    </row>
    <row r="31517" spans="1:8">
      <c r="H31517" t="s">
        <v>31045</v>
      </c>
    </row>
    <row r="31518" spans="1:8">
      <c r="H31518" t="s">
        <v>21360</v>
      </c>
    </row>
    <row r="31519" spans="1:8">
      <c r="A31519" t="s">
        <v>2198</v>
      </c>
      <c r="B31519">
        <f>HYPERLINK("https://android.googlesource.com/platform/cts/+/83a470242cdd0fe89b3d6bc92edf7f02ff784689", "83a470242cdd0fe89b3d6bc92edf7f02ff784689")</f>
        <v>0</v>
      </c>
      <c r="C31519">
        <f>HYPERLINK("https://android.googlesource.com/platform/cts/+/01b53c305fcd43352d1c592a75cda7ee5df78648", "01b53c305fcd43352d1c592a75cda7ee5df78648")</f>
        <v>0</v>
      </c>
      <c r="D31519" t="s">
        <v>5346</v>
      </c>
      <c r="E31519" t="s">
        <v>7929</v>
      </c>
      <c r="F31519" t="s">
        <v>13707</v>
      </c>
      <c r="G31519" t="s">
        <v>17775</v>
      </c>
      <c r="H31519" t="s">
        <v>31041</v>
      </c>
    </row>
    <row r="31520" spans="1:8">
      <c r="H31520" t="s">
        <v>31042</v>
      </c>
    </row>
    <row r="31521" spans="1:8">
      <c r="H31521" t="s">
        <v>19982</v>
      </c>
    </row>
    <row r="31522" spans="1:8">
      <c r="H31522" t="s">
        <v>31043</v>
      </c>
    </row>
    <row r="31523" spans="1:8">
      <c r="H31523" t="s">
        <v>22586</v>
      </c>
    </row>
    <row r="31524" spans="1:8">
      <c r="H31524" t="s">
        <v>31044</v>
      </c>
    </row>
    <row r="31525" spans="1:8">
      <c r="H31525" t="s">
        <v>31044</v>
      </c>
    </row>
    <row r="31526" spans="1:8">
      <c r="H31526" t="s">
        <v>26758</v>
      </c>
    </row>
    <row r="31527" spans="1:8">
      <c r="H31527" t="s">
        <v>31045</v>
      </c>
    </row>
    <row r="31528" spans="1:8">
      <c r="A31528" t="s">
        <v>2199</v>
      </c>
      <c r="B31528">
        <f>HYPERLINK("https://android.googlesource.com/platform/cts/+/40a3152b9b51333aeaf618d9176316ade0766539", "40a3152b9b51333aeaf618d9176316ade0766539")</f>
        <v>0</v>
      </c>
      <c r="C31528">
        <f>HYPERLINK("https://android.googlesource.com/platform/cts/+/f36b3cb62025ff64ee01db77cceb9010870b5782", "f36b3cb62025ff64ee01db77cceb9010870b5782")</f>
        <v>0</v>
      </c>
      <c r="D31528" t="s">
        <v>5330</v>
      </c>
      <c r="E31528" t="s">
        <v>7930</v>
      </c>
      <c r="F31528" t="s">
        <v>13680</v>
      </c>
      <c r="G31528" t="s">
        <v>17750</v>
      </c>
      <c r="H31528" t="s">
        <v>30967</v>
      </c>
    </row>
    <row r="31529" spans="1:8">
      <c r="H31529" t="s">
        <v>30968</v>
      </c>
    </row>
    <row r="31530" spans="1:8">
      <c r="A31530" t="s">
        <v>2200</v>
      </c>
      <c r="B31530">
        <f>HYPERLINK("https://android.googlesource.com/platform/cts/+/6636907b037a817011c74fcf36636335760c939f", "6636907b037a817011c74fcf36636335760c939f")</f>
        <v>0</v>
      </c>
      <c r="C31530">
        <f>HYPERLINK("https://android.googlesource.com/platform/cts/+/e69d57706c20b217820bcb45fc860986468721cd", "e69d57706c20b217820bcb45fc860986468721cd")</f>
        <v>0</v>
      </c>
      <c r="D31530" t="s">
        <v>5085</v>
      </c>
      <c r="E31530" t="s">
        <v>7931</v>
      </c>
      <c r="F31530" t="s">
        <v>13708</v>
      </c>
      <c r="G31530" t="s">
        <v>17776</v>
      </c>
      <c r="H31530" t="s">
        <v>31046</v>
      </c>
    </row>
    <row r="31531" spans="1:8">
      <c r="H31531" t="s">
        <v>31047</v>
      </c>
    </row>
    <row r="31532" spans="1:8">
      <c r="H31532" t="s">
        <v>19517</v>
      </c>
    </row>
    <row r="31533" spans="1:8">
      <c r="H31533" t="s">
        <v>19517</v>
      </c>
    </row>
    <row r="31534" spans="1:8">
      <c r="H31534" t="s">
        <v>18893</v>
      </c>
    </row>
    <row r="31535" spans="1:8">
      <c r="H31535" t="s">
        <v>28391</v>
      </c>
    </row>
    <row r="31536" spans="1:8">
      <c r="A31536" t="s">
        <v>2201</v>
      </c>
      <c r="B31536">
        <f>HYPERLINK("https://android.googlesource.com/platform/cts/+/9286697901c3a39a449cd9b2f7d6478bc94ba5be", "9286697901c3a39a449cd9b2f7d6478bc94ba5be")</f>
        <v>0</v>
      </c>
      <c r="C31536">
        <f>HYPERLINK("https://android.googlesource.com/platform/cts/+/032e6c45051a10e2fcf583e4592c3fdce970f048", "032e6c45051a10e2fcf583e4592c3fdce970f048")</f>
        <v>0</v>
      </c>
      <c r="D31536" t="s">
        <v>5347</v>
      </c>
      <c r="E31536" t="s">
        <v>7932</v>
      </c>
      <c r="F31536" t="s">
        <v>10627</v>
      </c>
      <c r="G31536" t="s">
        <v>15030</v>
      </c>
      <c r="H31536" t="s">
        <v>19981</v>
      </c>
    </row>
    <row r="31537" spans="8:8">
      <c r="H31537" t="s">
        <v>31048</v>
      </c>
    </row>
    <row r="31538" spans="8:8">
      <c r="H31538" t="s">
        <v>31049</v>
      </c>
    </row>
    <row r="31539" spans="8:8">
      <c r="H31539" t="s">
        <v>31050</v>
      </c>
    </row>
    <row r="31540" spans="8:8">
      <c r="H31540" t="s">
        <v>31051</v>
      </c>
    </row>
    <row r="31541" spans="8:8">
      <c r="H31541" t="s">
        <v>31052</v>
      </c>
    </row>
    <row r="31542" spans="8:8">
      <c r="H31542" t="s">
        <v>31053</v>
      </c>
    </row>
    <row r="31543" spans="8:8">
      <c r="H31543" t="s">
        <v>31054</v>
      </c>
    </row>
    <row r="31544" spans="8:8">
      <c r="H31544" t="s">
        <v>28813</v>
      </c>
    </row>
    <row r="31545" spans="8:8">
      <c r="H31545" t="s">
        <v>28814</v>
      </c>
    </row>
    <row r="31546" spans="8:8">
      <c r="H31546" t="s">
        <v>31055</v>
      </c>
    </row>
    <row r="31547" spans="8:8">
      <c r="H31547" t="s">
        <v>31056</v>
      </c>
    </row>
    <row r="31548" spans="8:8">
      <c r="H31548" t="s">
        <v>31057</v>
      </c>
    </row>
    <row r="31549" spans="8:8">
      <c r="H31549" t="s">
        <v>31058</v>
      </c>
    </row>
    <row r="31550" spans="8:8">
      <c r="H31550" t="s">
        <v>31059</v>
      </c>
    </row>
    <row r="31551" spans="8:8">
      <c r="H31551" t="s">
        <v>31060</v>
      </c>
    </row>
    <row r="31552" spans="8:8">
      <c r="H31552" t="s">
        <v>31061</v>
      </c>
    </row>
    <row r="31553" spans="8:8">
      <c r="H31553" t="s">
        <v>31062</v>
      </c>
    </row>
    <row r="31554" spans="8:8">
      <c r="H31554" t="s">
        <v>31063</v>
      </c>
    </row>
    <row r="31555" spans="8:8">
      <c r="H31555" t="s">
        <v>31064</v>
      </c>
    </row>
    <row r="31556" spans="8:8">
      <c r="H31556" t="s">
        <v>31065</v>
      </c>
    </row>
    <row r="31557" spans="8:8">
      <c r="H31557" t="s">
        <v>31066</v>
      </c>
    </row>
    <row r="31558" spans="8:8">
      <c r="H31558" t="s">
        <v>31067</v>
      </c>
    </row>
    <row r="31559" spans="8:8">
      <c r="H31559" t="s">
        <v>31068</v>
      </c>
    </row>
    <row r="31560" spans="8:8">
      <c r="H31560" t="s">
        <v>31069</v>
      </c>
    </row>
    <row r="31561" spans="8:8">
      <c r="H31561" t="s">
        <v>31070</v>
      </c>
    </row>
    <row r="31562" spans="8:8">
      <c r="H31562" t="s">
        <v>31071</v>
      </c>
    </row>
    <row r="31563" spans="8:8">
      <c r="H31563" t="s">
        <v>31072</v>
      </c>
    </row>
    <row r="31564" spans="8:8">
      <c r="H31564" t="s">
        <v>31073</v>
      </c>
    </row>
    <row r="31565" spans="8:8">
      <c r="H31565" t="s">
        <v>31074</v>
      </c>
    </row>
    <row r="31566" spans="8:8">
      <c r="H31566" t="s">
        <v>31075</v>
      </c>
    </row>
    <row r="31567" spans="8:8">
      <c r="H31567" t="s">
        <v>31076</v>
      </c>
    </row>
    <row r="31568" spans="8:8">
      <c r="H31568" t="s">
        <v>31077</v>
      </c>
    </row>
    <row r="31569" spans="8:8">
      <c r="H31569" t="s">
        <v>31078</v>
      </c>
    </row>
    <row r="31570" spans="8:8">
      <c r="H31570" t="s">
        <v>31079</v>
      </c>
    </row>
    <row r="31571" spans="8:8">
      <c r="H31571" t="s">
        <v>31080</v>
      </c>
    </row>
    <row r="31572" spans="8:8">
      <c r="H31572" t="s">
        <v>31081</v>
      </c>
    </row>
    <row r="31573" spans="8:8">
      <c r="H31573" t="s">
        <v>31082</v>
      </c>
    </row>
    <row r="31574" spans="8:8">
      <c r="H31574" t="s">
        <v>31083</v>
      </c>
    </row>
    <row r="31575" spans="8:8">
      <c r="H31575" t="s">
        <v>31084</v>
      </c>
    </row>
    <row r="31576" spans="8:8">
      <c r="H31576" t="s">
        <v>31085</v>
      </c>
    </row>
    <row r="31577" spans="8:8">
      <c r="H31577" t="s">
        <v>31086</v>
      </c>
    </row>
    <row r="31578" spans="8:8">
      <c r="H31578" t="s">
        <v>31087</v>
      </c>
    </row>
    <row r="31579" spans="8:8">
      <c r="H31579" t="s">
        <v>31088</v>
      </c>
    </row>
    <row r="31580" spans="8:8">
      <c r="H31580" t="s">
        <v>31089</v>
      </c>
    </row>
    <row r="31581" spans="8:8">
      <c r="H31581" t="s">
        <v>31090</v>
      </c>
    </row>
    <row r="31582" spans="8:8">
      <c r="H31582" t="s">
        <v>31091</v>
      </c>
    </row>
    <row r="31583" spans="8:8">
      <c r="H31583" t="s">
        <v>31092</v>
      </c>
    </row>
    <row r="31584" spans="8:8">
      <c r="H31584" t="s">
        <v>31093</v>
      </c>
    </row>
    <row r="31585" spans="8:8">
      <c r="H31585" t="s">
        <v>31094</v>
      </c>
    </row>
    <row r="31586" spans="8:8">
      <c r="H31586" t="s">
        <v>31095</v>
      </c>
    </row>
    <row r="31587" spans="8:8">
      <c r="H31587" t="s">
        <v>31096</v>
      </c>
    </row>
    <row r="31588" spans="8:8">
      <c r="H31588" t="s">
        <v>31097</v>
      </c>
    </row>
    <row r="31589" spans="8:8">
      <c r="H31589" t="s">
        <v>31098</v>
      </c>
    </row>
    <row r="31590" spans="8:8">
      <c r="H31590" t="s">
        <v>31099</v>
      </c>
    </row>
    <row r="31591" spans="8:8">
      <c r="H31591" t="s">
        <v>31100</v>
      </c>
    </row>
    <row r="31592" spans="8:8">
      <c r="H31592" t="s">
        <v>31101</v>
      </c>
    </row>
    <row r="31593" spans="8:8">
      <c r="H31593" t="s">
        <v>31102</v>
      </c>
    </row>
    <row r="31594" spans="8:8">
      <c r="H31594" t="s">
        <v>31103</v>
      </c>
    </row>
    <row r="31595" spans="8:8">
      <c r="H31595" t="s">
        <v>31104</v>
      </c>
    </row>
    <row r="31596" spans="8:8">
      <c r="H31596" t="s">
        <v>31105</v>
      </c>
    </row>
    <row r="31597" spans="8:8">
      <c r="H31597" t="s">
        <v>31106</v>
      </c>
    </row>
    <row r="31598" spans="8:8">
      <c r="H31598" t="s">
        <v>31107</v>
      </c>
    </row>
    <row r="31599" spans="8:8">
      <c r="H31599" t="s">
        <v>31108</v>
      </c>
    </row>
    <row r="31600" spans="8:8">
      <c r="H31600" t="s">
        <v>31109</v>
      </c>
    </row>
    <row r="31601" spans="8:8">
      <c r="H31601" t="s">
        <v>31110</v>
      </c>
    </row>
    <row r="31602" spans="8:8">
      <c r="H31602" t="s">
        <v>31111</v>
      </c>
    </row>
    <row r="31603" spans="8:8">
      <c r="H31603" t="s">
        <v>31112</v>
      </c>
    </row>
    <row r="31604" spans="8:8">
      <c r="H31604" t="s">
        <v>31113</v>
      </c>
    </row>
    <row r="31605" spans="8:8">
      <c r="H31605" t="s">
        <v>31114</v>
      </c>
    </row>
    <row r="31606" spans="8:8">
      <c r="H31606" t="s">
        <v>31115</v>
      </c>
    </row>
    <row r="31607" spans="8:8">
      <c r="H31607" t="s">
        <v>31116</v>
      </c>
    </row>
    <row r="31608" spans="8:8">
      <c r="H31608" t="s">
        <v>31117</v>
      </c>
    </row>
    <row r="31609" spans="8:8">
      <c r="H31609" t="s">
        <v>31118</v>
      </c>
    </row>
    <row r="31610" spans="8:8">
      <c r="H31610" t="s">
        <v>31119</v>
      </c>
    </row>
    <row r="31611" spans="8:8">
      <c r="H31611" t="s">
        <v>31120</v>
      </c>
    </row>
    <row r="31612" spans="8:8">
      <c r="H31612" t="s">
        <v>31121</v>
      </c>
    </row>
    <row r="31613" spans="8:8">
      <c r="H31613" t="s">
        <v>31122</v>
      </c>
    </row>
    <row r="31614" spans="8:8">
      <c r="H31614" t="s">
        <v>31123</v>
      </c>
    </row>
    <row r="31615" spans="8:8">
      <c r="H31615" t="s">
        <v>31124</v>
      </c>
    </row>
    <row r="31616" spans="8:8">
      <c r="H31616" t="s">
        <v>31125</v>
      </c>
    </row>
    <row r="31617" spans="8:8">
      <c r="H31617" t="s">
        <v>31126</v>
      </c>
    </row>
    <row r="31618" spans="8:8">
      <c r="H31618" t="s">
        <v>31127</v>
      </c>
    </row>
    <row r="31619" spans="8:8">
      <c r="H31619" t="s">
        <v>31128</v>
      </c>
    </row>
    <row r="31620" spans="8:8">
      <c r="H31620" t="s">
        <v>31129</v>
      </c>
    </row>
    <row r="31621" spans="8:8">
      <c r="H31621" t="s">
        <v>31130</v>
      </c>
    </row>
    <row r="31622" spans="8:8">
      <c r="H31622" t="s">
        <v>31131</v>
      </c>
    </row>
    <row r="31623" spans="8:8">
      <c r="H31623" t="s">
        <v>31132</v>
      </c>
    </row>
    <row r="31624" spans="8:8">
      <c r="H31624" t="s">
        <v>31133</v>
      </c>
    </row>
    <row r="31625" spans="8:8">
      <c r="H31625" t="s">
        <v>31134</v>
      </c>
    </row>
    <row r="31626" spans="8:8">
      <c r="H31626" t="s">
        <v>31135</v>
      </c>
    </row>
    <row r="31627" spans="8:8">
      <c r="H31627" t="s">
        <v>31136</v>
      </c>
    </row>
    <row r="31628" spans="8:8">
      <c r="H31628" t="s">
        <v>31137</v>
      </c>
    </row>
    <row r="31629" spans="8:8">
      <c r="H31629" t="s">
        <v>31138</v>
      </c>
    </row>
    <row r="31630" spans="8:8">
      <c r="H31630" t="s">
        <v>31139</v>
      </c>
    </row>
    <row r="31631" spans="8:8">
      <c r="H31631" t="s">
        <v>31140</v>
      </c>
    </row>
    <row r="31632" spans="8:8">
      <c r="H31632" t="s">
        <v>31141</v>
      </c>
    </row>
    <row r="31633" spans="8:8">
      <c r="H31633" t="s">
        <v>31142</v>
      </c>
    </row>
    <row r="31634" spans="8:8">
      <c r="H31634" t="s">
        <v>31143</v>
      </c>
    </row>
    <row r="31635" spans="8:8">
      <c r="H31635" t="s">
        <v>31144</v>
      </c>
    </row>
    <row r="31636" spans="8:8">
      <c r="H31636" t="s">
        <v>31145</v>
      </c>
    </row>
    <row r="31637" spans="8:8">
      <c r="H31637" t="s">
        <v>31146</v>
      </c>
    </row>
    <row r="31638" spans="8:8">
      <c r="H31638" t="s">
        <v>31147</v>
      </c>
    </row>
    <row r="31639" spans="8:8">
      <c r="H31639" t="s">
        <v>31148</v>
      </c>
    </row>
    <row r="31640" spans="8:8">
      <c r="H31640" t="s">
        <v>31149</v>
      </c>
    </row>
    <row r="31641" spans="8:8">
      <c r="H31641" t="s">
        <v>31150</v>
      </c>
    </row>
    <row r="31642" spans="8:8">
      <c r="H31642" t="s">
        <v>31151</v>
      </c>
    </row>
    <row r="31643" spans="8:8">
      <c r="H31643" t="s">
        <v>31152</v>
      </c>
    </row>
    <row r="31644" spans="8:8">
      <c r="H31644" t="s">
        <v>31153</v>
      </c>
    </row>
    <row r="31645" spans="8:8">
      <c r="H31645" t="s">
        <v>31154</v>
      </c>
    </row>
    <row r="31646" spans="8:8">
      <c r="H31646" t="s">
        <v>31155</v>
      </c>
    </row>
    <row r="31647" spans="8:8">
      <c r="H31647" t="s">
        <v>31156</v>
      </c>
    </row>
    <row r="31648" spans="8:8">
      <c r="H31648" t="s">
        <v>31157</v>
      </c>
    </row>
    <row r="31649" spans="8:8">
      <c r="H31649" t="s">
        <v>31158</v>
      </c>
    </row>
    <row r="31650" spans="8:8">
      <c r="H31650" t="s">
        <v>31159</v>
      </c>
    </row>
    <row r="31651" spans="8:8">
      <c r="H31651" t="s">
        <v>31160</v>
      </c>
    </row>
    <row r="31652" spans="8:8">
      <c r="H31652" t="s">
        <v>31161</v>
      </c>
    </row>
    <row r="31653" spans="8:8">
      <c r="H31653" t="s">
        <v>31162</v>
      </c>
    </row>
    <row r="31654" spans="8:8">
      <c r="H31654" t="s">
        <v>31163</v>
      </c>
    </row>
    <row r="31655" spans="8:8">
      <c r="H31655" t="s">
        <v>31164</v>
      </c>
    </row>
    <row r="31656" spans="8:8">
      <c r="H31656" t="s">
        <v>31165</v>
      </c>
    </row>
    <row r="31657" spans="8:8">
      <c r="H31657" t="s">
        <v>31166</v>
      </c>
    </row>
    <row r="31658" spans="8:8">
      <c r="H31658" t="s">
        <v>31167</v>
      </c>
    </row>
    <row r="31659" spans="8:8">
      <c r="H31659" t="s">
        <v>31168</v>
      </c>
    </row>
    <row r="31660" spans="8:8">
      <c r="H31660" t="s">
        <v>31169</v>
      </c>
    </row>
    <row r="31661" spans="8:8">
      <c r="H31661" t="s">
        <v>31170</v>
      </c>
    </row>
    <row r="31662" spans="8:8">
      <c r="H31662" t="s">
        <v>31171</v>
      </c>
    </row>
    <row r="31663" spans="8:8">
      <c r="H31663" t="s">
        <v>31172</v>
      </c>
    </row>
    <row r="31664" spans="8:8">
      <c r="H31664" t="s">
        <v>31173</v>
      </c>
    </row>
    <row r="31665" spans="8:8">
      <c r="H31665" t="s">
        <v>31174</v>
      </c>
    </row>
    <row r="31666" spans="8:8">
      <c r="H31666" t="s">
        <v>31175</v>
      </c>
    </row>
    <row r="31667" spans="8:8">
      <c r="H31667" t="s">
        <v>31176</v>
      </c>
    </row>
    <row r="31668" spans="8:8">
      <c r="H31668" t="s">
        <v>31177</v>
      </c>
    </row>
    <row r="31669" spans="8:8">
      <c r="H31669" t="s">
        <v>31178</v>
      </c>
    </row>
    <row r="31670" spans="8:8">
      <c r="H31670" t="s">
        <v>31179</v>
      </c>
    </row>
    <row r="31671" spans="8:8">
      <c r="H31671" t="s">
        <v>31180</v>
      </c>
    </row>
    <row r="31672" spans="8:8">
      <c r="H31672" t="s">
        <v>31181</v>
      </c>
    </row>
    <row r="31673" spans="8:8">
      <c r="H31673" t="s">
        <v>31182</v>
      </c>
    </row>
    <row r="31674" spans="8:8">
      <c r="H31674" t="s">
        <v>31183</v>
      </c>
    </row>
    <row r="31675" spans="8:8">
      <c r="H31675" t="s">
        <v>31184</v>
      </c>
    </row>
    <row r="31676" spans="8:8">
      <c r="H31676" t="s">
        <v>31185</v>
      </c>
    </row>
    <row r="31677" spans="8:8">
      <c r="H31677" t="s">
        <v>31186</v>
      </c>
    </row>
    <row r="31678" spans="8:8">
      <c r="H31678" t="s">
        <v>31187</v>
      </c>
    </row>
    <row r="31679" spans="8:8">
      <c r="H31679" t="s">
        <v>31188</v>
      </c>
    </row>
    <row r="31680" spans="8:8">
      <c r="H31680" t="s">
        <v>31189</v>
      </c>
    </row>
    <row r="31681" spans="1:8">
      <c r="H31681" t="s">
        <v>31190</v>
      </c>
    </row>
    <row r="31682" spans="1:8">
      <c r="H31682" t="s">
        <v>31191</v>
      </c>
    </row>
    <row r="31683" spans="1:8">
      <c r="H31683" t="s">
        <v>31192</v>
      </c>
    </row>
    <row r="31684" spans="1:8">
      <c r="H31684" t="s">
        <v>31193</v>
      </c>
    </row>
    <row r="31685" spans="1:8">
      <c r="H31685" t="s">
        <v>31194</v>
      </c>
    </row>
    <row r="31686" spans="1:8">
      <c r="H31686" t="s">
        <v>31195</v>
      </c>
    </row>
    <row r="31687" spans="1:8">
      <c r="H31687" t="s">
        <v>31196</v>
      </c>
    </row>
    <row r="31688" spans="1:8">
      <c r="H31688" t="s">
        <v>31197</v>
      </c>
    </row>
    <row r="31689" spans="1:8">
      <c r="H31689" t="s">
        <v>31198</v>
      </c>
    </row>
    <row r="31690" spans="1:8">
      <c r="H31690" t="s">
        <v>31199</v>
      </c>
    </row>
    <row r="31691" spans="1:8">
      <c r="H31691" t="s">
        <v>27920</v>
      </c>
    </row>
    <row r="31692" spans="1:8">
      <c r="H31692" t="s">
        <v>31200</v>
      </c>
    </row>
    <row r="31693" spans="1:8">
      <c r="H31693" t="s">
        <v>31201</v>
      </c>
    </row>
    <row r="31694" spans="1:8">
      <c r="H31694" t="s">
        <v>29130</v>
      </c>
    </row>
    <row r="31695" spans="1:8">
      <c r="A31695" t="s">
        <v>2202</v>
      </c>
      <c r="B31695">
        <f>HYPERLINK("https://android.googlesource.com/platform/cts/+/6160382a81a89cf342dfde656d880d6d55408fb9", "6160382a81a89cf342dfde656d880d6d55408fb9")</f>
        <v>0</v>
      </c>
      <c r="C31695">
        <f>HYPERLINK("https://android.googlesource.com/platform/cts/+/0181ac593ccde4c2806fbc0541a5a1d02ebb78df", "0181ac593ccde4c2806fbc0541a5a1d02ebb78df")</f>
        <v>0</v>
      </c>
      <c r="D31695" t="s">
        <v>5298</v>
      </c>
      <c r="E31695" t="s">
        <v>7933</v>
      </c>
      <c r="F31695" t="s">
        <v>13709</v>
      </c>
      <c r="G31695" t="s">
        <v>17777</v>
      </c>
      <c r="H31695" t="s">
        <v>31202</v>
      </c>
    </row>
    <row r="31696" spans="1:8">
      <c r="A31696" t="s">
        <v>2203</v>
      </c>
      <c r="B31696">
        <f>HYPERLINK("https://android.googlesource.com/platform/cts/+/86b06ad1e44112002c59373343111cfd1c04818d", "86b06ad1e44112002c59373343111cfd1c04818d")</f>
        <v>0</v>
      </c>
      <c r="C31696">
        <f>HYPERLINK("https://android.googlesource.com/platform/cts/+/c1bb23330c6798871e51cca6cf4ff96c28e66a5b", "c1bb23330c6798871e51cca6cf4ff96c28e66a5b")</f>
        <v>0</v>
      </c>
      <c r="D31696" t="s">
        <v>5314</v>
      </c>
      <c r="E31696" t="s">
        <v>7934</v>
      </c>
      <c r="F31696" t="s">
        <v>13710</v>
      </c>
      <c r="G31696" t="s">
        <v>17778</v>
      </c>
      <c r="H31696" t="s">
        <v>31203</v>
      </c>
    </row>
    <row r="31697" spans="1:8">
      <c r="A31697" t="s">
        <v>2204</v>
      </c>
      <c r="B31697">
        <f>HYPERLINK("https://android.googlesource.com/platform/cts/+/72f161c5b17442e227e4d2aec895aca863681fb5", "72f161c5b17442e227e4d2aec895aca863681fb5")</f>
        <v>0</v>
      </c>
      <c r="C31697">
        <f>HYPERLINK("https://android.googlesource.com/platform/cts/+/f9d5044212ec4529ee691544dd627943712aa83d", "f9d5044212ec4529ee691544dd627943712aa83d")</f>
        <v>0</v>
      </c>
      <c r="D31697" t="s">
        <v>5348</v>
      </c>
      <c r="E31697" t="s">
        <v>7935</v>
      </c>
      <c r="F31697" t="s">
        <v>12710</v>
      </c>
      <c r="G31697" t="s">
        <v>16911</v>
      </c>
      <c r="H31697" t="s">
        <v>31204</v>
      </c>
    </row>
    <row r="31698" spans="1:8">
      <c r="A31698" t="s">
        <v>2205</v>
      </c>
      <c r="B31698">
        <f>HYPERLINK("https://android.googlesource.com/platform/cts/+/5101344599c7407945461434853f491cae929480", "5101344599c7407945461434853f491cae929480")</f>
        <v>0</v>
      </c>
      <c r="C31698">
        <f>HYPERLINK("https://android.googlesource.com/platform/cts/+/15894f5be206541a5ad380aef49d6a4ce0c3232f", "15894f5be206541a5ad380aef49d6a4ce0c3232f")</f>
        <v>0</v>
      </c>
      <c r="D31698" t="s">
        <v>5349</v>
      </c>
      <c r="E31698" t="s">
        <v>7936</v>
      </c>
      <c r="F31698" t="s">
        <v>12710</v>
      </c>
      <c r="G31698" t="s">
        <v>16911</v>
      </c>
      <c r="H31698" t="s">
        <v>31205</v>
      </c>
    </row>
    <row r="31699" spans="1:8">
      <c r="A31699" t="s">
        <v>2206</v>
      </c>
      <c r="B31699">
        <f>HYPERLINK("https://android.googlesource.com/platform/cts/+/190c5a3c785aedd1fc5607ff322c06f298b9866a", "190c5a3c785aedd1fc5607ff322c06f298b9866a")</f>
        <v>0</v>
      </c>
      <c r="C31699">
        <f>HYPERLINK("https://android.googlesource.com/platform/cts/+/fc5c43cc0fabeadc300c377a487645a694b3e270", "fc5c43cc0fabeadc300c377a487645a694b3e270")</f>
        <v>0</v>
      </c>
      <c r="D31699" t="s">
        <v>5350</v>
      </c>
      <c r="E31699" t="s">
        <v>7937</v>
      </c>
      <c r="F31699" t="s">
        <v>13711</v>
      </c>
      <c r="G31699" t="s">
        <v>17779</v>
      </c>
      <c r="H31699" t="s">
        <v>31206</v>
      </c>
    </row>
    <row r="31700" spans="1:8">
      <c r="H31700" t="s">
        <v>31207</v>
      </c>
    </row>
    <row r="31701" spans="1:8">
      <c r="H31701" t="s">
        <v>31208</v>
      </c>
    </row>
    <row r="31702" spans="1:8">
      <c r="H31702" t="s">
        <v>31209</v>
      </c>
    </row>
    <row r="31703" spans="1:8">
      <c r="H31703" t="s">
        <v>31210</v>
      </c>
    </row>
    <row r="31704" spans="1:8">
      <c r="H31704" t="s">
        <v>31211</v>
      </c>
    </row>
    <row r="31705" spans="1:8">
      <c r="H31705" t="s">
        <v>31212</v>
      </c>
    </row>
    <row r="31706" spans="1:8">
      <c r="H31706" t="s">
        <v>31213</v>
      </c>
    </row>
    <row r="31707" spans="1:8">
      <c r="H31707" t="s">
        <v>31214</v>
      </c>
    </row>
    <row r="31708" spans="1:8">
      <c r="A31708" t="s">
        <v>2207</v>
      </c>
      <c r="B31708">
        <f>HYPERLINK("https://android.googlesource.com/platform/cts/+/fa3aeddd63c6632217e4367f3d173aeaa19de8c5", "fa3aeddd63c6632217e4367f3d173aeaa19de8c5")</f>
        <v>0</v>
      </c>
      <c r="C31708">
        <f>HYPERLINK("https://android.googlesource.com/platform/cts/+/3cdd31d49a16e66280ff6501e00c886ece3b2cc4", "3cdd31d49a16e66280ff6501e00c886ece3b2cc4")</f>
        <v>0</v>
      </c>
      <c r="D31708" t="s">
        <v>5275</v>
      </c>
      <c r="E31708" t="s">
        <v>7938</v>
      </c>
      <c r="F31708" t="s">
        <v>13711</v>
      </c>
      <c r="G31708" t="s">
        <v>17779</v>
      </c>
      <c r="H31708" t="s">
        <v>31206</v>
      </c>
    </row>
    <row r="31709" spans="1:8">
      <c r="H31709" t="s">
        <v>31207</v>
      </c>
    </row>
    <row r="31710" spans="1:8">
      <c r="H31710" t="s">
        <v>31208</v>
      </c>
    </row>
    <row r="31711" spans="1:8">
      <c r="H31711" t="s">
        <v>31209</v>
      </c>
    </row>
    <row r="31712" spans="1:8">
      <c r="H31712" t="s">
        <v>31210</v>
      </c>
    </row>
    <row r="31713" spans="1:8">
      <c r="H31713" t="s">
        <v>31211</v>
      </c>
    </row>
    <row r="31714" spans="1:8">
      <c r="H31714" t="s">
        <v>31212</v>
      </c>
    </row>
    <row r="31715" spans="1:8">
      <c r="H31715" t="s">
        <v>31213</v>
      </c>
    </row>
    <row r="31716" spans="1:8">
      <c r="H31716" t="s">
        <v>31214</v>
      </c>
    </row>
    <row r="31717" spans="1:8">
      <c r="A31717" t="s">
        <v>2208</v>
      </c>
      <c r="B31717">
        <f>HYPERLINK("https://android.googlesource.com/platform/cts/+/4879e642c08d8b8207cb04c1a15aa34d62c2bfeb", "4879e642c08d8b8207cb04c1a15aa34d62c2bfeb")</f>
        <v>0</v>
      </c>
      <c r="C31717">
        <f>HYPERLINK("https://android.googlesource.com/platform/cts/+/c0e865ff53bc603ae329ee00980f2f7c38ec54dc", "c0e865ff53bc603ae329ee00980f2f7c38ec54dc")</f>
        <v>0</v>
      </c>
      <c r="D31717" t="s">
        <v>5230</v>
      </c>
      <c r="E31717" t="s">
        <v>7939</v>
      </c>
      <c r="F31717" t="s">
        <v>12224</v>
      </c>
      <c r="G31717" t="s">
        <v>16454</v>
      </c>
      <c r="H31717" t="s">
        <v>31215</v>
      </c>
    </row>
    <row r="31718" spans="1:8">
      <c r="A31718" t="s">
        <v>2209</v>
      </c>
      <c r="B31718">
        <f>HYPERLINK("https://android.googlesource.com/platform/cts/+/64df6eb378b36cbcd7520d413addaf241e2731b0", "64df6eb378b36cbcd7520d413addaf241e2731b0")</f>
        <v>0</v>
      </c>
      <c r="C31718">
        <f>HYPERLINK("https://android.googlesource.com/platform/cts/+/d28d0dcaefe6f66e9d0801fbcbf9365c18e1c350", "d28d0dcaefe6f66e9d0801fbcbf9365c18e1c350")</f>
        <v>0</v>
      </c>
      <c r="D31718" t="s">
        <v>5351</v>
      </c>
      <c r="E31718" t="s">
        <v>7940</v>
      </c>
      <c r="F31718" t="s">
        <v>13091</v>
      </c>
      <c r="G31718" t="s">
        <v>17253</v>
      </c>
      <c r="H31718" t="s">
        <v>19220</v>
      </c>
    </row>
    <row r="31719" spans="1:8">
      <c r="A31719" t="s">
        <v>2210</v>
      </c>
      <c r="B31719">
        <f>HYPERLINK("https://android.googlesource.com/platform/cts/+/54f9eec442f3530332911e8628a7eade07264c9c", "54f9eec442f3530332911e8628a7eade07264c9c")</f>
        <v>0</v>
      </c>
      <c r="C31719">
        <f>HYPERLINK("https://android.googlesource.com/platform/cts/+/d28d0dcaefe6f66e9d0801fbcbf9365c18e1c350", "d28d0dcaefe6f66e9d0801fbcbf9365c18e1c350")</f>
        <v>0</v>
      </c>
      <c r="D31719" t="s">
        <v>5351</v>
      </c>
      <c r="E31719" t="s">
        <v>7941</v>
      </c>
      <c r="F31719" t="s">
        <v>13712</v>
      </c>
      <c r="G31719" t="s">
        <v>17780</v>
      </c>
      <c r="H31719" t="s">
        <v>31216</v>
      </c>
    </row>
    <row r="31720" spans="1:8">
      <c r="A31720" t="s">
        <v>2211</v>
      </c>
      <c r="B31720">
        <f>HYPERLINK("https://android.googlesource.com/platform/cts/+/c44fd709aeb95d510401718e860fc815e5f7f391", "c44fd709aeb95d510401718e860fc815e5f7f391")</f>
        <v>0</v>
      </c>
      <c r="C31720">
        <f>HYPERLINK("https://android.googlesource.com/platform/cts/+/920b16d817fc94e1ef95e08ef4ab65f1066091e9", "920b16d817fc94e1ef95e08ef4ab65f1066091e9")</f>
        <v>0</v>
      </c>
      <c r="D31720" t="s">
        <v>5334</v>
      </c>
      <c r="E31720" t="s">
        <v>7942</v>
      </c>
      <c r="F31720" t="s">
        <v>13713</v>
      </c>
      <c r="G31720" t="s">
        <v>17781</v>
      </c>
      <c r="H31720" t="s">
        <v>31217</v>
      </c>
    </row>
    <row r="31721" spans="1:8">
      <c r="F31721" t="s">
        <v>13714</v>
      </c>
      <c r="G31721" t="s">
        <v>17781</v>
      </c>
      <c r="H31721" t="s">
        <v>31218</v>
      </c>
    </row>
    <row r="31722" spans="1:8">
      <c r="A31722" t="s">
        <v>2212</v>
      </c>
      <c r="B31722">
        <f>HYPERLINK("https://android.googlesource.com/platform/cts/+/9987c4b40297a89d22222e22e6f7cb6918bcb877", "9987c4b40297a89d22222e22e6f7cb6918bcb877")</f>
        <v>0</v>
      </c>
      <c r="C31722">
        <f>HYPERLINK("https://android.googlesource.com/platform/cts/+/e1e00583d6a736f40e4e1a49239e3b3efdf11ac6", "e1e00583d6a736f40e4e1a49239e3b3efdf11ac6")</f>
        <v>0</v>
      </c>
      <c r="D31722" t="s">
        <v>5349</v>
      </c>
      <c r="E31722" t="s">
        <v>7943</v>
      </c>
      <c r="F31722" t="s">
        <v>12710</v>
      </c>
      <c r="G31722" t="s">
        <v>16911</v>
      </c>
      <c r="H31722" t="s">
        <v>31204</v>
      </c>
    </row>
    <row r="31723" spans="1:8">
      <c r="A31723" t="s">
        <v>2213</v>
      </c>
      <c r="B31723">
        <f>HYPERLINK("https://android.googlesource.com/platform/cts/+/cd1ad722080039a38249175cb2e707a4cd18da73", "cd1ad722080039a38249175cb2e707a4cd18da73")</f>
        <v>0</v>
      </c>
      <c r="C31723">
        <f>HYPERLINK("https://android.googlesource.com/platform/cts/+/2c35e49fc446b0ab4dfee5fdcfe4a05631df552e", "2c35e49fc446b0ab4dfee5fdcfe4a05631df552e")</f>
        <v>0</v>
      </c>
      <c r="D31723" t="s">
        <v>5352</v>
      </c>
      <c r="E31723" t="s">
        <v>7944</v>
      </c>
      <c r="F31723" t="s">
        <v>13715</v>
      </c>
      <c r="G31723" t="s">
        <v>17782</v>
      </c>
      <c r="H31723" t="s">
        <v>31219</v>
      </c>
    </row>
    <row r="31724" spans="1:8">
      <c r="H31724" t="s">
        <v>31220</v>
      </c>
    </row>
    <row r="31725" spans="1:8">
      <c r="H31725" t="s">
        <v>31221</v>
      </c>
    </row>
    <row r="31726" spans="1:8">
      <c r="H31726" t="s">
        <v>31222</v>
      </c>
    </row>
    <row r="31727" spans="1:8">
      <c r="A31727" t="s">
        <v>2214</v>
      </c>
      <c r="B31727">
        <f>HYPERLINK("https://android.googlesource.com/platform/cts/+/5a564328c3c4a1e71e87ec2fbc3e0cc07714c846", "5a564328c3c4a1e71e87ec2fbc3e0cc07714c846")</f>
        <v>0</v>
      </c>
      <c r="C31727">
        <f>HYPERLINK("https://android.googlesource.com/platform/cts/+/0b6c2a5ad8fe399c592306b8de02eda59986e313", "0b6c2a5ad8fe399c592306b8de02eda59986e313")</f>
        <v>0</v>
      </c>
      <c r="D31727" t="s">
        <v>5349</v>
      </c>
      <c r="E31727" t="s">
        <v>7945</v>
      </c>
      <c r="F31727" t="s">
        <v>12710</v>
      </c>
      <c r="G31727" t="s">
        <v>16911</v>
      </c>
      <c r="H31727" t="s">
        <v>31204</v>
      </c>
    </row>
    <row r="31728" spans="1:8">
      <c r="A31728" t="s">
        <v>2215</v>
      </c>
      <c r="B31728">
        <f>HYPERLINK("https://android.googlesource.com/platform/cts/+/7e54f3437fd9eb37e18de3b14ba1078fe5cf7f49", "7e54f3437fd9eb37e18de3b14ba1078fe5cf7f49")</f>
        <v>0</v>
      </c>
      <c r="C31728">
        <f>HYPERLINK("https://android.googlesource.com/platform/cts/+/207cb362a2973ed9f29a67e804365fb9d93a8b53", "207cb362a2973ed9f29a67e804365fb9d93a8b53")</f>
        <v>0</v>
      </c>
      <c r="D31728" t="s">
        <v>5349</v>
      </c>
      <c r="E31728" t="s">
        <v>7946</v>
      </c>
      <c r="F31728" t="s">
        <v>12710</v>
      </c>
      <c r="G31728" t="s">
        <v>16911</v>
      </c>
      <c r="H31728" t="s">
        <v>31204</v>
      </c>
    </row>
    <row r="31729" spans="1:8">
      <c r="A31729" t="s">
        <v>2216</v>
      </c>
      <c r="B31729">
        <f>HYPERLINK("https://android.googlesource.com/platform/cts/+/5e1e66a99080cb0395d84fb1d0424453e5cd1819", "5e1e66a99080cb0395d84fb1d0424453e5cd1819")</f>
        <v>0</v>
      </c>
      <c r="C31729">
        <f>HYPERLINK("https://android.googlesource.com/platform/cts/+/11077da717378cc9904285cbd28ec68738bb3eb3", "11077da717378cc9904285cbd28ec68738bb3eb3")</f>
        <v>0</v>
      </c>
      <c r="D31729" t="s">
        <v>5349</v>
      </c>
      <c r="E31729" t="s">
        <v>7947</v>
      </c>
      <c r="F31729" t="s">
        <v>13716</v>
      </c>
      <c r="G31729" t="s">
        <v>17783</v>
      </c>
      <c r="H31729" t="s">
        <v>31223</v>
      </c>
    </row>
    <row r="31730" spans="1:8">
      <c r="H31730" t="s">
        <v>31224</v>
      </c>
    </row>
    <row r="31731" spans="1:8">
      <c r="H31731" t="s">
        <v>31225</v>
      </c>
    </row>
    <row r="31732" spans="1:8">
      <c r="H31732" t="s">
        <v>31226</v>
      </c>
    </row>
    <row r="31733" spans="1:8">
      <c r="H31733" t="s">
        <v>31227</v>
      </c>
    </row>
    <row r="31734" spans="1:8">
      <c r="H31734" t="s">
        <v>31228</v>
      </c>
    </row>
    <row r="31735" spans="1:8">
      <c r="A31735" t="s">
        <v>2217</v>
      </c>
      <c r="B31735">
        <f>HYPERLINK("https://android.googlesource.com/platform/cts/+/ceb1866c29226f9703cbf63a5e155b00fd0c060c", "ceb1866c29226f9703cbf63a5e155b00fd0c060c")</f>
        <v>0</v>
      </c>
      <c r="C31735">
        <f>HYPERLINK("https://android.googlesource.com/platform/cts/+/068b2ab654ae1eaf8f4ca8fd783fe05d94f214d6", "068b2ab654ae1eaf8f4ca8fd783fe05d94f214d6")</f>
        <v>0</v>
      </c>
      <c r="D31735" t="s">
        <v>5128</v>
      </c>
      <c r="E31735" t="s">
        <v>7948</v>
      </c>
      <c r="F31735" t="s">
        <v>13717</v>
      </c>
      <c r="G31735" t="s">
        <v>17784</v>
      </c>
      <c r="H31735" t="s">
        <v>31229</v>
      </c>
    </row>
    <row r="31736" spans="1:8">
      <c r="A31736" t="s">
        <v>2218</v>
      </c>
      <c r="B31736">
        <f>HYPERLINK("https://android.googlesource.com/platform/cts/+/913b9144fe9d1594f9944a38f1a67bd5791cf169", "913b9144fe9d1594f9944a38f1a67bd5791cf169")</f>
        <v>0</v>
      </c>
      <c r="C31736">
        <f>HYPERLINK("https://android.googlesource.com/platform/cts/+/6e83813ff33d9236771386be698300cb4e65b309", "6e83813ff33d9236771386be698300cb4e65b309")</f>
        <v>0</v>
      </c>
      <c r="D31736" t="s">
        <v>5334</v>
      </c>
      <c r="E31736" t="s">
        <v>7949</v>
      </c>
      <c r="F31736" t="s">
        <v>13718</v>
      </c>
      <c r="G31736" t="s">
        <v>17785</v>
      </c>
      <c r="H31736" t="s">
        <v>31230</v>
      </c>
    </row>
    <row r="31737" spans="1:8">
      <c r="F31737" t="s">
        <v>13719</v>
      </c>
      <c r="G31737" t="s">
        <v>17785</v>
      </c>
      <c r="H31737" t="s">
        <v>31230</v>
      </c>
    </row>
    <row r="31738" spans="1:8">
      <c r="A31738" t="s">
        <v>2219</v>
      </c>
      <c r="B31738">
        <f>HYPERLINK("https://android.googlesource.com/platform/cts/+/573bde08e02296c6be0c577a3de4da539a511832", "573bde08e02296c6be0c577a3de4da539a511832")</f>
        <v>0</v>
      </c>
      <c r="C31738">
        <f>HYPERLINK("https://android.googlesource.com/platform/cts/+/c37ad5cd71ca2d2fc91608db107b8aa9f52c5d7f", "c37ad5cd71ca2d2fc91608db107b8aa9f52c5d7f")</f>
        <v>0</v>
      </c>
      <c r="D31738" t="s">
        <v>5312</v>
      </c>
      <c r="E31738" t="s">
        <v>7950</v>
      </c>
      <c r="F31738" t="s">
        <v>13720</v>
      </c>
      <c r="G31738" t="s">
        <v>17786</v>
      </c>
      <c r="H31738" t="s">
        <v>31231</v>
      </c>
    </row>
    <row r="31739" spans="1:8">
      <c r="A31739" t="s">
        <v>2220</v>
      </c>
      <c r="B31739">
        <f>HYPERLINK("https://android.googlesource.com/platform/cts/+/d61cb6225f6d86073a87c99e9bab77e9a6cd2dd5", "d61cb6225f6d86073a87c99e9bab77e9a6cd2dd5")</f>
        <v>0</v>
      </c>
      <c r="C31739">
        <f>HYPERLINK("https://android.googlesource.com/platform/cts/+/c65e2f4f2209858c34364a2a974857df2d977cfb", "c65e2f4f2209858c34364a2a974857df2d977cfb")</f>
        <v>0</v>
      </c>
      <c r="D31739" t="s">
        <v>5353</v>
      </c>
      <c r="E31739" t="s">
        <v>7951</v>
      </c>
      <c r="F31739" t="s">
        <v>12771</v>
      </c>
      <c r="G31739" t="s">
        <v>16958</v>
      </c>
      <c r="H31739" t="s">
        <v>31232</v>
      </c>
    </row>
    <row r="31740" spans="1:8">
      <c r="A31740" t="s">
        <v>2221</v>
      </c>
      <c r="B31740">
        <f>HYPERLINK("https://android.googlesource.com/platform/cts/+/eebdab1ab61731805473048f818e08af04dafcc9", "eebdab1ab61731805473048f818e08af04dafcc9")</f>
        <v>0</v>
      </c>
      <c r="C31740">
        <f>HYPERLINK("https://android.googlesource.com/platform/cts/+/345a4a11f0bbe9f536107b0a2324551a804deda2", "345a4a11f0bbe9f536107b0a2324551a804deda2")</f>
        <v>0</v>
      </c>
      <c r="D31740" t="s">
        <v>5334</v>
      </c>
      <c r="E31740" t="s">
        <v>7952</v>
      </c>
      <c r="F31740" t="s">
        <v>13662</v>
      </c>
      <c r="G31740" t="s">
        <v>15122</v>
      </c>
      <c r="H31740" t="s">
        <v>18829</v>
      </c>
    </row>
    <row r="31741" spans="1:8">
      <c r="H31741" t="s">
        <v>31233</v>
      </c>
    </row>
    <row r="31742" spans="1:8">
      <c r="H31742" t="s">
        <v>31234</v>
      </c>
    </row>
    <row r="31743" spans="1:8">
      <c r="H31743" t="s">
        <v>31235</v>
      </c>
    </row>
    <row r="31744" spans="1:8">
      <c r="H31744" t="s">
        <v>31236</v>
      </c>
    </row>
    <row r="31745" spans="1:8">
      <c r="H31745" t="s">
        <v>31237</v>
      </c>
    </row>
    <row r="31746" spans="1:8">
      <c r="H31746" t="s">
        <v>31238</v>
      </c>
    </row>
    <row r="31747" spans="1:8">
      <c r="H31747" t="s">
        <v>31239</v>
      </c>
    </row>
    <row r="31748" spans="1:8">
      <c r="H31748" t="s">
        <v>31240</v>
      </c>
    </row>
    <row r="31749" spans="1:8">
      <c r="H31749" t="s">
        <v>31241</v>
      </c>
    </row>
    <row r="31750" spans="1:8">
      <c r="A31750" t="s">
        <v>2222</v>
      </c>
      <c r="B31750">
        <f>HYPERLINK("https://android.googlesource.com/platform/cts/+/ce86d363e0f05bd03d6ec60d1f4eaa95fc113e0e", "ce86d363e0f05bd03d6ec60d1f4eaa95fc113e0e")</f>
        <v>0</v>
      </c>
      <c r="C31750">
        <f>HYPERLINK("https://android.googlesource.com/platform/cts/+/2c012b9d6be5f7ac0201012d32b3264d09da1c8e", "2c012b9d6be5f7ac0201012d32b3264d09da1c8e")</f>
        <v>0</v>
      </c>
      <c r="D31750" t="s">
        <v>4976</v>
      </c>
      <c r="E31750" t="s">
        <v>7953</v>
      </c>
      <c r="F31750" t="s">
        <v>13721</v>
      </c>
      <c r="G31750" t="s">
        <v>17787</v>
      </c>
      <c r="H31750" t="s">
        <v>31242</v>
      </c>
    </row>
    <row r="31751" spans="1:8">
      <c r="A31751" t="s">
        <v>2223</v>
      </c>
      <c r="B31751">
        <f>HYPERLINK("https://android.googlesource.com/platform/cts/+/bf83634e029f467800835449c5b6377d1d2ce53d", "bf83634e029f467800835449c5b6377d1d2ce53d")</f>
        <v>0</v>
      </c>
      <c r="C31751">
        <f>HYPERLINK("https://android.googlesource.com/platform/cts/+/879ed91e4a338cae998c5d59f31ce87ab8325ec4", "879ed91e4a338cae998c5d59f31ce87ab8325ec4")</f>
        <v>0</v>
      </c>
      <c r="D31751" t="s">
        <v>4952</v>
      </c>
      <c r="E31751" t="s">
        <v>7954</v>
      </c>
      <c r="F31751" t="s">
        <v>13722</v>
      </c>
      <c r="G31751" t="s">
        <v>17580</v>
      </c>
      <c r="H31751" t="s">
        <v>31243</v>
      </c>
    </row>
    <row r="31752" spans="1:8">
      <c r="F31752" t="s">
        <v>13723</v>
      </c>
      <c r="G31752" t="s">
        <v>17580</v>
      </c>
      <c r="H31752" t="s">
        <v>29899</v>
      </c>
    </row>
    <row r="31753" spans="1:8">
      <c r="H31753" t="s">
        <v>31244</v>
      </c>
    </row>
    <row r="31754" spans="1:8">
      <c r="H31754" t="s">
        <v>31245</v>
      </c>
    </row>
    <row r="31755" spans="1:8">
      <c r="F31755" t="s">
        <v>13724</v>
      </c>
      <c r="G31755" t="s">
        <v>17580</v>
      </c>
      <c r="H31755" t="s">
        <v>31246</v>
      </c>
    </row>
    <row r="31756" spans="1:8">
      <c r="A31756" t="s">
        <v>2224</v>
      </c>
      <c r="B31756">
        <f>HYPERLINK("https://android.googlesource.com/platform/cts/+/d9f86a39dd84a5be6ad06cff358ee4089650b3da", "d9f86a39dd84a5be6ad06cff358ee4089650b3da")</f>
        <v>0</v>
      </c>
      <c r="C31756">
        <f>HYPERLINK("https://android.googlesource.com/platform/cts/+/1ae4951078344aa8826aebc9db19a7886ea5062b", "1ae4951078344aa8826aebc9db19a7886ea5062b")</f>
        <v>0</v>
      </c>
      <c r="D31756" t="s">
        <v>5207</v>
      </c>
      <c r="E31756" t="s">
        <v>7955</v>
      </c>
      <c r="F31756" t="s">
        <v>12345</v>
      </c>
      <c r="G31756" t="s">
        <v>16573</v>
      </c>
      <c r="H31756" t="s">
        <v>22266</v>
      </c>
    </row>
    <row r="31757" spans="1:8">
      <c r="H31757" t="s">
        <v>22269</v>
      </c>
    </row>
    <row r="31758" spans="1:8">
      <c r="F31758" t="s">
        <v>13725</v>
      </c>
      <c r="G31758" t="s">
        <v>17741</v>
      </c>
      <c r="H31758" t="s">
        <v>22269</v>
      </c>
    </row>
    <row r="31759" spans="1:8">
      <c r="H31759" t="s">
        <v>22266</v>
      </c>
    </row>
    <row r="31760" spans="1:8">
      <c r="H31760" t="s">
        <v>19019</v>
      </c>
    </row>
    <row r="31761" spans="1:8">
      <c r="H31761" t="s">
        <v>31247</v>
      </c>
    </row>
    <row r="31762" spans="1:8">
      <c r="H31762" t="s">
        <v>21183</v>
      </c>
    </row>
    <row r="31763" spans="1:8">
      <c r="F31763" t="s">
        <v>13210</v>
      </c>
      <c r="G31763" t="s">
        <v>17351</v>
      </c>
      <c r="H31763" t="s">
        <v>19019</v>
      </c>
    </row>
    <row r="31764" spans="1:8">
      <c r="H31764" t="s">
        <v>21183</v>
      </c>
    </row>
    <row r="31765" spans="1:8">
      <c r="H31765" t="s">
        <v>28391</v>
      </c>
    </row>
    <row r="31766" spans="1:8">
      <c r="H31766" t="s">
        <v>21184</v>
      </c>
    </row>
    <row r="31767" spans="1:8">
      <c r="A31767" t="s">
        <v>2225</v>
      </c>
      <c r="B31767">
        <f>HYPERLINK("https://android.googlesource.com/platform/cts/+/e79db124b7f661a73223f01689583c848f59817a", "e79db124b7f661a73223f01689583c848f59817a")</f>
        <v>0</v>
      </c>
      <c r="C31767">
        <f>HYPERLINK("https://android.googlesource.com/platform/cts/+/24ee3ddb07c430825b3a09eb5525b8175f3171c4", "24ee3ddb07c430825b3a09eb5525b8175f3171c4")</f>
        <v>0</v>
      </c>
      <c r="D31767" t="s">
        <v>5354</v>
      </c>
      <c r="E31767" t="s">
        <v>7956</v>
      </c>
      <c r="F31767" t="s">
        <v>13726</v>
      </c>
      <c r="G31767" t="s">
        <v>17788</v>
      </c>
      <c r="H31767" t="s">
        <v>31248</v>
      </c>
    </row>
    <row r="31768" spans="1:8">
      <c r="A31768" t="s">
        <v>2226</v>
      </c>
      <c r="B31768">
        <f>HYPERLINK("https://android.googlesource.com/platform/cts/+/611b91affbb7b90f18ec34c347a995718690c281", "611b91affbb7b90f18ec34c347a995718690c281")</f>
        <v>0</v>
      </c>
      <c r="C31768">
        <f>HYPERLINK("https://android.googlesource.com/platform/cts/+/19a9801d51b081e7a335b323b156554e58d195d7", "19a9801d51b081e7a335b323b156554e58d195d7")</f>
        <v>0</v>
      </c>
      <c r="D31768" t="s">
        <v>5250</v>
      </c>
      <c r="E31768" t="s">
        <v>7957</v>
      </c>
      <c r="F31768" t="s">
        <v>13727</v>
      </c>
      <c r="G31768" t="s">
        <v>17789</v>
      </c>
      <c r="H31768" t="s">
        <v>29213</v>
      </c>
    </row>
    <row r="31769" spans="1:8">
      <c r="H31769" t="s">
        <v>31249</v>
      </c>
    </row>
    <row r="31770" spans="1:8">
      <c r="A31770" t="s">
        <v>2227</v>
      </c>
      <c r="B31770">
        <f>HYPERLINK("https://android.googlesource.com/platform/cts/+/e410f16b7b15fa92bacc2d23df14ebb1f0089f18", "e410f16b7b15fa92bacc2d23df14ebb1f0089f18")</f>
        <v>0</v>
      </c>
      <c r="C31770">
        <f>HYPERLINK("https://android.googlesource.com/platform/cts/+/87d3aaaf2e19138c5b83dfb3cd4dde4b8627fbf1", "87d3aaaf2e19138c5b83dfb3cd4dde4b8627fbf1")</f>
        <v>0</v>
      </c>
      <c r="D31770" t="s">
        <v>5355</v>
      </c>
      <c r="E31770" t="s">
        <v>7958</v>
      </c>
      <c r="F31770" t="s">
        <v>13728</v>
      </c>
      <c r="G31770" t="s">
        <v>17790</v>
      </c>
      <c r="H31770" t="s">
        <v>31250</v>
      </c>
    </row>
    <row r="31771" spans="1:8">
      <c r="A31771" t="s">
        <v>2228</v>
      </c>
      <c r="B31771">
        <f>HYPERLINK("https://android.googlesource.com/platform/cts/+/b775d27f927efb3a9b253f687b8b43207752665b", "b775d27f927efb3a9b253f687b8b43207752665b")</f>
        <v>0</v>
      </c>
      <c r="C31771">
        <f>HYPERLINK("https://android.googlesource.com/platform/cts/+/4ae3a42999b1db6e94d4686cc5dd63d0c45f4004", "4ae3a42999b1db6e94d4686cc5dd63d0c45f4004")</f>
        <v>0</v>
      </c>
      <c r="D31771" t="s">
        <v>5269</v>
      </c>
      <c r="E31771" t="s">
        <v>7959</v>
      </c>
      <c r="F31771" t="s">
        <v>12806</v>
      </c>
      <c r="G31771" t="s">
        <v>15054</v>
      </c>
      <c r="H31771" t="s">
        <v>31251</v>
      </c>
    </row>
    <row r="31772" spans="1:8">
      <c r="A31772" t="s">
        <v>2229</v>
      </c>
      <c r="B31772">
        <f>HYPERLINK("https://android.googlesource.com/platform/cts/+/fe80fa41fe7d2f567614a70c4a8c064a852051d9", "fe80fa41fe7d2f567614a70c4a8c064a852051d9")</f>
        <v>0</v>
      </c>
      <c r="C31772">
        <f>HYPERLINK("https://android.googlesource.com/platform/cts/+/8551ca012dea78ffa3e4fad645b9c35622b49997", "8551ca012dea78ffa3e4fad645b9c35622b49997")</f>
        <v>0</v>
      </c>
      <c r="D31772" t="s">
        <v>5349</v>
      </c>
      <c r="E31772" t="s">
        <v>7960</v>
      </c>
      <c r="F31772" t="s">
        <v>12710</v>
      </c>
      <c r="G31772" t="s">
        <v>16911</v>
      </c>
      <c r="H31772" t="s">
        <v>31252</v>
      </c>
    </row>
    <row r="31773" spans="1:8">
      <c r="A31773" t="s">
        <v>2230</v>
      </c>
      <c r="B31773">
        <f>HYPERLINK("https://android.googlesource.com/platform/cts/+/1012df8405b6e0e03da3a73d82b2a2a8a098d3ef", "1012df8405b6e0e03da3a73d82b2a2a8a098d3ef")</f>
        <v>0</v>
      </c>
      <c r="C31773">
        <f>HYPERLINK("https://android.googlesource.com/platform/cts/+/fe80fa41fe7d2f567614a70c4a8c064a852051d9", "fe80fa41fe7d2f567614a70c4a8c064a852051d9")</f>
        <v>0</v>
      </c>
      <c r="D31773" t="s">
        <v>5349</v>
      </c>
      <c r="E31773" t="s">
        <v>7961</v>
      </c>
      <c r="F31773" t="s">
        <v>12710</v>
      </c>
      <c r="G31773" t="s">
        <v>16911</v>
      </c>
      <c r="H31773" t="s">
        <v>31205</v>
      </c>
    </row>
    <row r="31774" spans="1:8">
      <c r="A31774" t="s">
        <v>2231</v>
      </c>
      <c r="B31774">
        <f>HYPERLINK("https://android.googlesource.com/platform/cts/+/f4af5fa24fd367be9b692e4003b074dd28cf31af", "f4af5fa24fd367be9b692e4003b074dd28cf31af")</f>
        <v>0</v>
      </c>
      <c r="C31774">
        <f>HYPERLINK("https://android.googlesource.com/platform/cts/+/1012df8405b6e0e03da3a73d82b2a2a8a098d3ef", "1012df8405b6e0e03da3a73d82b2a2a8a098d3ef")</f>
        <v>0</v>
      </c>
      <c r="D31774" t="s">
        <v>5349</v>
      </c>
      <c r="E31774" t="s">
        <v>7962</v>
      </c>
      <c r="F31774" t="s">
        <v>12710</v>
      </c>
      <c r="G31774" t="s">
        <v>16911</v>
      </c>
      <c r="H31774" t="s">
        <v>31253</v>
      </c>
    </row>
    <row r="31775" spans="1:8">
      <c r="A31775" t="s">
        <v>2232</v>
      </c>
      <c r="B31775">
        <f>HYPERLINK("https://android.googlesource.com/platform/cts/+/35ac03a6eaebe585348391728b6523ee5fa80478", "35ac03a6eaebe585348391728b6523ee5fa80478")</f>
        <v>0</v>
      </c>
      <c r="C31775">
        <f>HYPERLINK("https://android.googlesource.com/platform/cts/+/1573b2a6613ddec885873e8b34c350f6a1f27d3d", "1573b2a6613ddec885873e8b34c350f6a1f27d3d")</f>
        <v>0</v>
      </c>
      <c r="D31775" t="s">
        <v>5356</v>
      </c>
      <c r="E31775" t="s">
        <v>7963</v>
      </c>
      <c r="F31775" t="s">
        <v>13729</v>
      </c>
      <c r="G31775" t="s">
        <v>17791</v>
      </c>
      <c r="H31775" t="s">
        <v>31254</v>
      </c>
    </row>
    <row r="31776" spans="1:8">
      <c r="H31776" t="s">
        <v>31255</v>
      </c>
    </row>
    <row r="31777" spans="6:8">
      <c r="H31777" t="s">
        <v>31256</v>
      </c>
    </row>
    <row r="31778" spans="6:8">
      <c r="H31778" t="s">
        <v>31257</v>
      </c>
    </row>
    <row r="31779" spans="6:8">
      <c r="H31779" t="s">
        <v>31258</v>
      </c>
    </row>
    <row r="31780" spans="6:8">
      <c r="H31780" t="s">
        <v>31259</v>
      </c>
    </row>
    <row r="31781" spans="6:8">
      <c r="H31781" t="s">
        <v>31260</v>
      </c>
    </row>
    <row r="31782" spans="6:8">
      <c r="H31782" t="s">
        <v>31261</v>
      </c>
    </row>
    <row r="31783" spans="6:8">
      <c r="H31783" t="s">
        <v>31262</v>
      </c>
    </row>
    <row r="31784" spans="6:8">
      <c r="F31784" t="s">
        <v>13049</v>
      </c>
      <c r="G31784" t="s">
        <v>17213</v>
      </c>
      <c r="H31784" t="s">
        <v>31254</v>
      </c>
    </row>
    <row r="31785" spans="6:8">
      <c r="H31785" t="s">
        <v>31263</v>
      </c>
    </row>
    <row r="31786" spans="6:8">
      <c r="H31786" t="s">
        <v>31255</v>
      </c>
    </row>
    <row r="31787" spans="6:8">
      <c r="H31787" t="s">
        <v>31256</v>
      </c>
    </row>
    <row r="31788" spans="6:8">
      <c r="H31788" t="s">
        <v>31257</v>
      </c>
    </row>
    <row r="31789" spans="6:8">
      <c r="H31789" t="s">
        <v>31264</v>
      </c>
    </row>
    <row r="31790" spans="6:8">
      <c r="H31790" t="s">
        <v>31259</v>
      </c>
    </row>
    <row r="31791" spans="6:8">
      <c r="H31791" t="s">
        <v>31260</v>
      </c>
    </row>
    <row r="31792" spans="6:8">
      <c r="H31792" t="s">
        <v>31265</v>
      </c>
    </row>
    <row r="31793" spans="1:8">
      <c r="H31793" t="s">
        <v>31266</v>
      </c>
    </row>
    <row r="31794" spans="1:8">
      <c r="H31794" t="s">
        <v>31267</v>
      </c>
    </row>
    <row r="31795" spans="1:8">
      <c r="H31795" t="s">
        <v>31268</v>
      </c>
    </row>
    <row r="31796" spans="1:8">
      <c r="H31796" t="s">
        <v>31269</v>
      </c>
    </row>
    <row r="31797" spans="1:8">
      <c r="H31797" t="s">
        <v>31261</v>
      </c>
    </row>
    <row r="31798" spans="1:8">
      <c r="H31798" t="s">
        <v>31262</v>
      </c>
    </row>
    <row r="31799" spans="1:8">
      <c r="H31799" t="s">
        <v>31270</v>
      </c>
    </row>
    <row r="31800" spans="1:8">
      <c r="H31800" t="s">
        <v>31271</v>
      </c>
    </row>
    <row r="31801" spans="1:8">
      <c r="H31801" t="s">
        <v>26500</v>
      </c>
    </row>
    <row r="31802" spans="1:8">
      <c r="H31802" t="s">
        <v>26504</v>
      </c>
    </row>
    <row r="31803" spans="1:8">
      <c r="H31803" t="s">
        <v>26505</v>
      </c>
    </row>
    <row r="31804" spans="1:8">
      <c r="H31804" t="s">
        <v>26506</v>
      </c>
    </row>
    <row r="31805" spans="1:8">
      <c r="A31805" t="s">
        <v>2233</v>
      </c>
      <c r="B31805">
        <f>HYPERLINK("https://android.googlesource.com/platform/cts/+/d2a8e1f4b8dc82e2fc0efbcd3f89eb40fd168a6f", "d2a8e1f4b8dc82e2fc0efbcd3f89eb40fd168a6f")</f>
        <v>0</v>
      </c>
      <c r="C31805">
        <f>HYPERLINK("https://android.googlesource.com/platform/cts/+/a05a4a3a450c99c9554c2f6ecb5ca6d911369bc7", "a05a4a3a450c99c9554c2f6ecb5ca6d911369bc7")</f>
        <v>0</v>
      </c>
      <c r="D31805" t="s">
        <v>5357</v>
      </c>
      <c r="E31805" t="s">
        <v>7964</v>
      </c>
      <c r="F31805" t="s">
        <v>13277</v>
      </c>
      <c r="G31805" t="s">
        <v>17414</v>
      </c>
      <c r="H31805" t="s">
        <v>31272</v>
      </c>
    </row>
    <row r="31806" spans="1:8">
      <c r="H31806" t="s">
        <v>31273</v>
      </c>
    </row>
    <row r="31807" spans="1:8">
      <c r="H31807" t="s">
        <v>31274</v>
      </c>
    </row>
    <row r="31808" spans="1:8">
      <c r="A31808" t="s">
        <v>2234</v>
      </c>
      <c r="B31808">
        <f>HYPERLINK("https://android.googlesource.com/platform/cts/+/0b654f1f2ec31da6b04e42d0a79c7d0970cb0999", "0b654f1f2ec31da6b04e42d0a79c7d0970cb0999")</f>
        <v>0</v>
      </c>
      <c r="C31808">
        <f>HYPERLINK("https://android.googlesource.com/platform/cts/+/e47528b296da38c074dc2aefa365bd51ba570f2c", "e47528b296da38c074dc2aefa365bd51ba570f2c")</f>
        <v>0</v>
      </c>
      <c r="D31808" t="s">
        <v>5358</v>
      </c>
      <c r="E31808" t="s">
        <v>7965</v>
      </c>
      <c r="F31808" t="s">
        <v>13707</v>
      </c>
      <c r="G31808" t="s">
        <v>17775</v>
      </c>
      <c r="H31808" t="s">
        <v>31041</v>
      </c>
    </row>
    <row r="31809" spans="1:8">
      <c r="H31809" t="s">
        <v>31042</v>
      </c>
    </row>
    <row r="31810" spans="1:8">
      <c r="H31810" t="s">
        <v>31043</v>
      </c>
    </row>
    <row r="31811" spans="1:8">
      <c r="H31811" t="s">
        <v>22586</v>
      </c>
    </row>
    <row r="31812" spans="1:8">
      <c r="H31812" t="s">
        <v>31044</v>
      </c>
    </row>
    <row r="31813" spans="1:8">
      <c r="H31813" t="s">
        <v>26758</v>
      </c>
    </row>
    <row r="31814" spans="1:8">
      <c r="H31814" t="s">
        <v>31045</v>
      </c>
    </row>
    <row r="31815" spans="1:8">
      <c r="A31815" t="s">
        <v>2235</v>
      </c>
      <c r="B31815">
        <f>HYPERLINK("https://android.googlesource.com/platform/cts/+/1d7eef8d1421ab71182ff4f7f399276f23a42451", "1d7eef8d1421ab71182ff4f7f399276f23a42451")</f>
        <v>0</v>
      </c>
      <c r="C31815">
        <f>HYPERLINK("https://android.googlesource.com/platform/cts/+/5fa17a1be97aa3edca2f7d9ffd2d1e6bbecf4877", "5fa17a1be97aa3edca2f7d9ffd2d1e6bbecf4877")</f>
        <v>0</v>
      </c>
      <c r="D31815" t="s">
        <v>5359</v>
      </c>
      <c r="E31815" t="s">
        <v>7966</v>
      </c>
      <c r="F31815" t="s">
        <v>13730</v>
      </c>
      <c r="G31815" t="s">
        <v>16824</v>
      </c>
      <c r="H31815" t="s">
        <v>31275</v>
      </c>
    </row>
    <row r="31816" spans="1:8">
      <c r="H31816" t="s">
        <v>19905</v>
      </c>
    </row>
    <row r="31817" spans="1:8">
      <c r="H31817" t="s">
        <v>31276</v>
      </c>
    </row>
    <row r="31818" spans="1:8">
      <c r="H31818" t="s">
        <v>31277</v>
      </c>
    </row>
    <row r="31819" spans="1:8">
      <c r="H31819" t="s">
        <v>31278</v>
      </c>
    </row>
    <row r="31820" spans="1:8">
      <c r="H31820" t="s">
        <v>31277</v>
      </c>
    </row>
    <row r="31821" spans="1:8">
      <c r="A31821" t="s">
        <v>2236</v>
      </c>
      <c r="B31821">
        <f>HYPERLINK("https://android.googlesource.com/platform/cts/+/076e6db449787642e5be36e047d8fa896e87b9bb", "076e6db449787642e5be36e047d8fa896e87b9bb")</f>
        <v>0</v>
      </c>
      <c r="C31821">
        <f>HYPERLINK("https://android.googlesource.com/platform/cts/+/28337aabd302e6356626f299e85ed2cf5537d03d", "28337aabd302e6356626f299e85ed2cf5537d03d")</f>
        <v>0</v>
      </c>
      <c r="D31821" t="s">
        <v>4949</v>
      </c>
      <c r="E31821" t="s">
        <v>7967</v>
      </c>
      <c r="F31821" t="s">
        <v>12846</v>
      </c>
      <c r="G31821" t="s">
        <v>17017</v>
      </c>
      <c r="H31821" t="s">
        <v>31279</v>
      </c>
    </row>
    <row r="31822" spans="1:8">
      <c r="A31822" t="s">
        <v>2237</v>
      </c>
      <c r="B31822">
        <f>HYPERLINK("https://android.googlesource.com/platform/cts/+/05b3c093bdc5e38715909d4a2f9e920586f37dd8", "05b3c093bdc5e38715909d4a2f9e920586f37dd8")</f>
        <v>0</v>
      </c>
      <c r="C31822">
        <f>HYPERLINK("https://android.googlesource.com/platform/cts/+/810c260130d1d8c7714d2949e8c2fdb3df444a76", "810c260130d1d8c7714d2949e8c2fdb3df444a76")</f>
        <v>0</v>
      </c>
      <c r="D31822" t="s">
        <v>5360</v>
      </c>
      <c r="E31822" t="s">
        <v>7968</v>
      </c>
      <c r="F31822" t="s">
        <v>13731</v>
      </c>
      <c r="G31822" t="s">
        <v>17792</v>
      </c>
      <c r="H31822" t="s">
        <v>18829</v>
      </c>
    </row>
    <row r="31823" spans="1:8">
      <c r="H31823" t="s">
        <v>18863</v>
      </c>
    </row>
    <row r="31824" spans="1:8">
      <c r="H31824" t="s">
        <v>31280</v>
      </c>
    </row>
    <row r="31825" spans="1:8">
      <c r="H31825" t="s">
        <v>31281</v>
      </c>
    </row>
    <row r="31826" spans="1:8">
      <c r="H31826" t="s">
        <v>31282</v>
      </c>
    </row>
    <row r="31827" spans="1:8">
      <c r="H31827" t="s">
        <v>28102</v>
      </c>
    </row>
    <row r="31828" spans="1:8">
      <c r="H31828" t="s">
        <v>31283</v>
      </c>
    </row>
    <row r="31829" spans="1:8">
      <c r="H31829" t="s">
        <v>31284</v>
      </c>
    </row>
    <row r="31830" spans="1:8">
      <c r="H31830" t="s">
        <v>31285</v>
      </c>
    </row>
    <row r="31831" spans="1:8">
      <c r="H31831" t="s">
        <v>31286</v>
      </c>
    </row>
    <row r="31832" spans="1:8">
      <c r="H31832" t="s">
        <v>31287</v>
      </c>
    </row>
    <row r="31833" spans="1:8">
      <c r="H31833" t="s">
        <v>31288</v>
      </c>
    </row>
    <row r="31834" spans="1:8">
      <c r="A31834" t="s">
        <v>2238</v>
      </c>
      <c r="B31834">
        <f>HYPERLINK("https://android.googlesource.com/platform/cts/+/d74032e199887177524cd40c4a9bbbbf2fe0377e", "d74032e199887177524cd40c4a9bbbbf2fe0377e")</f>
        <v>0</v>
      </c>
      <c r="C31834">
        <f>HYPERLINK("https://android.googlesource.com/platform/cts/+/24727ae6da40db8fb7f08d171f571b1ff27b5574", "24727ae6da40db8fb7f08d171f571b1ff27b5574")</f>
        <v>0</v>
      </c>
      <c r="D31834" t="s">
        <v>5360</v>
      </c>
      <c r="E31834" t="s">
        <v>7969</v>
      </c>
      <c r="F31834" t="s">
        <v>13731</v>
      </c>
      <c r="G31834" t="s">
        <v>17792</v>
      </c>
      <c r="H31834" t="s">
        <v>18829</v>
      </c>
    </row>
    <row r="31835" spans="1:8">
      <c r="H31835" t="s">
        <v>18863</v>
      </c>
    </row>
    <row r="31836" spans="1:8">
      <c r="H31836" t="s">
        <v>31280</v>
      </c>
    </row>
    <row r="31837" spans="1:8">
      <c r="H31837" t="s">
        <v>31281</v>
      </c>
    </row>
    <row r="31838" spans="1:8">
      <c r="H31838" t="s">
        <v>31282</v>
      </c>
    </row>
    <row r="31839" spans="1:8">
      <c r="H31839" t="s">
        <v>28102</v>
      </c>
    </row>
    <row r="31840" spans="1:8">
      <c r="H31840" t="s">
        <v>31283</v>
      </c>
    </row>
    <row r="31841" spans="1:8">
      <c r="H31841" t="s">
        <v>31284</v>
      </c>
    </row>
    <row r="31842" spans="1:8">
      <c r="H31842" t="s">
        <v>31285</v>
      </c>
    </row>
    <row r="31843" spans="1:8">
      <c r="H31843" t="s">
        <v>31286</v>
      </c>
    </row>
    <row r="31844" spans="1:8">
      <c r="H31844" t="s">
        <v>31287</v>
      </c>
    </row>
    <row r="31845" spans="1:8">
      <c r="H31845" t="s">
        <v>31288</v>
      </c>
    </row>
    <row r="31846" spans="1:8">
      <c r="A31846" t="s">
        <v>2239</v>
      </c>
      <c r="B31846">
        <f>HYPERLINK("https://android.googlesource.com/platform/cts/+/6962ed73b6544e9975d44fe2f15150d0ebb7e224", "6962ed73b6544e9975d44fe2f15150d0ebb7e224")</f>
        <v>0</v>
      </c>
      <c r="C31846">
        <f>HYPERLINK("https://android.googlesource.com/platform/cts/+/f06589057f3eb1768d78e7ffe51dfcb6271c7019", "f06589057f3eb1768d78e7ffe51dfcb6271c7019")</f>
        <v>0</v>
      </c>
      <c r="D31846" t="s">
        <v>5361</v>
      </c>
      <c r="E31846" t="s">
        <v>7970</v>
      </c>
      <c r="F31846" t="s">
        <v>12710</v>
      </c>
      <c r="G31846" t="s">
        <v>16911</v>
      </c>
      <c r="H31846" t="s">
        <v>31289</v>
      </c>
    </row>
    <row r="31847" spans="1:8">
      <c r="A31847" t="s">
        <v>2240</v>
      </c>
      <c r="B31847">
        <f>HYPERLINK("https://android.googlesource.com/platform/cts/+/f55db56d9c848609e930a27b4d3fb102bba7321f", "f55db56d9c848609e930a27b4d3fb102bba7321f")</f>
        <v>0</v>
      </c>
      <c r="C31847">
        <f>HYPERLINK("https://android.googlesource.com/platform/cts/+/dfc615b3cda0911dbf780e790d57ffef8d9b95a8", "dfc615b3cda0911dbf780e790d57ffef8d9b95a8")</f>
        <v>0</v>
      </c>
      <c r="D31847" t="s">
        <v>5362</v>
      </c>
      <c r="E31847" t="s">
        <v>7971</v>
      </c>
      <c r="F31847" t="s">
        <v>13412</v>
      </c>
      <c r="G31847" t="s">
        <v>17538</v>
      </c>
      <c r="H31847" t="s">
        <v>18829</v>
      </c>
    </row>
    <row r="31848" spans="1:8">
      <c r="A31848" t="s">
        <v>2241</v>
      </c>
      <c r="B31848">
        <f>HYPERLINK("https://android.googlesource.com/platform/cts/+/ef31653a5949f97ae5d822fcedfb888bed9212c2", "ef31653a5949f97ae5d822fcedfb888bed9212c2")</f>
        <v>0</v>
      </c>
      <c r="C31848">
        <f>HYPERLINK("https://android.googlesource.com/platform/cts/+/e42bfc6b161f6120662775eef7c8c866b2e90dbe", "e42bfc6b161f6120662775eef7c8c866b2e90dbe")</f>
        <v>0</v>
      </c>
      <c r="D31848" t="s">
        <v>5120</v>
      </c>
      <c r="E31848" t="s">
        <v>7972</v>
      </c>
      <c r="F31848" t="s">
        <v>13732</v>
      </c>
      <c r="G31848" t="s">
        <v>17793</v>
      </c>
      <c r="H31848" t="s">
        <v>31290</v>
      </c>
    </row>
    <row r="31849" spans="1:8">
      <c r="A31849" t="s">
        <v>2242</v>
      </c>
      <c r="B31849">
        <f>HYPERLINK("https://android.googlesource.com/platform/cts/+/6a8bc649f745053964fa5c9f8d55f08d40d787d6", "6a8bc649f745053964fa5c9f8d55f08d40d787d6")</f>
        <v>0</v>
      </c>
      <c r="C31849">
        <f>HYPERLINK("https://android.googlesource.com/platform/cts/+/070ac7a2da8aa0dfc146fa40940dc5e4ed7d0d84", "070ac7a2da8aa0dfc146fa40940dc5e4ed7d0d84")</f>
        <v>0</v>
      </c>
      <c r="D31849" t="s">
        <v>5363</v>
      </c>
      <c r="E31849" t="s">
        <v>7973</v>
      </c>
      <c r="F31849" t="s">
        <v>10605</v>
      </c>
      <c r="G31849" t="s">
        <v>15008</v>
      </c>
      <c r="H31849" t="s">
        <v>31291</v>
      </c>
    </row>
    <row r="31850" spans="1:8">
      <c r="F31850" t="s">
        <v>10594</v>
      </c>
      <c r="G31850" t="s">
        <v>14997</v>
      </c>
      <c r="H31850" t="s">
        <v>31291</v>
      </c>
    </row>
    <row r="31851" spans="1:8">
      <c r="H31851" t="s">
        <v>18973</v>
      </c>
    </row>
    <row r="31852" spans="1:8">
      <c r="A31852" t="s">
        <v>2243</v>
      </c>
      <c r="B31852">
        <f>HYPERLINK("https://android.googlesource.com/platform/cts/+/486cf57860e8370aaa15d9b9e51f42015e08ebd1", "486cf57860e8370aaa15d9b9e51f42015e08ebd1")</f>
        <v>0</v>
      </c>
      <c r="C31852">
        <f>HYPERLINK("https://android.googlesource.com/platform/cts/+/a71fbada39924cd4717506a14b69a79d39952d0b", "a71fbada39924cd4717506a14b69a79d39952d0b")</f>
        <v>0</v>
      </c>
      <c r="D31852" t="s">
        <v>5096</v>
      </c>
      <c r="E31852" t="s">
        <v>7974</v>
      </c>
      <c r="F31852" t="s">
        <v>13220</v>
      </c>
      <c r="G31852" t="s">
        <v>17361</v>
      </c>
      <c r="H31852" t="s">
        <v>31292</v>
      </c>
    </row>
    <row r="31853" spans="1:8">
      <c r="H31853" t="s">
        <v>31293</v>
      </c>
    </row>
    <row r="31854" spans="1:8">
      <c r="H31854" t="s">
        <v>31294</v>
      </c>
    </row>
    <row r="31855" spans="1:8">
      <c r="H31855" t="s">
        <v>31295</v>
      </c>
    </row>
    <row r="31856" spans="1:8">
      <c r="H31856" t="s">
        <v>31296</v>
      </c>
    </row>
    <row r="31857" spans="1:8">
      <c r="H31857" t="s">
        <v>31297</v>
      </c>
    </row>
    <row r="31858" spans="1:8">
      <c r="A31858" t="s">
        <v>2244</v>
      </c>
      <c r="B31858">
        <f>HYPERLINK("https://android.googlesource.com/platform/cts/+/f33ea4d2d093eb20ae4097cf6e96d27e013bbe4a", "f33ea4d2d093eb20ae4097cf6e96d27e013bbe4a")</f>
        <v>0</v>
      </c>
      <c r="C31858">
        <f>HYPERLINK("https://android.googlesource.com/platform/cts/+/48eb9a22d80081307d8f05efb2bb92d9be054a8c", "48eb9a22d80081307d8f05efb2bb92d9be054a8c")</f>
        <v>0</v>
      </c>
      <c r="D31858" t="s">
        <v>5364</v>
      </c>
      <c r="E31858" t="s">
        <v>7975</v>
      </c>
      <c r="F31858" t="s">
        <v>12841</v>
      </c>
      <c r="G31858" t="s">
        <v>15119</v>
      </c>
      <c r="H31858" t="s">
        <v>31298</v>
      </c>
    </row>
    <row r="31859" spans="1:8">
      <c r="A31859" t="s">
        <v>2245</v>
      </c>
      <c r="B31859">
        <f>HYPERLINK("https://android.googlesource.com/platform/cts/+/74f0455c64784ada881eed4e2e6399244b14153c", "74f0455c64784ada881eed4e2e6399244b14153c")</f>
        <v>0</v>
      </c>
      <c r="C31859">
        <f>HYPERLINK("https://android.googlesource.com/platform/cts/+/d0fb4c6e23feb94150fbfe312929b1015f907bf4", "d0fb4c6e23feb94150fbfe312929b1015f907bf4")</f>
        <v>0</v>
      </c>
      <c r="D31859" t="s">
        <v>4952</v>
      </c>
      <c r="E31859" t="s">
        <v>7976</v>
      </c>
      <c r="F31859" t="s">
        <v>13447</v>
      </c>
      <c r="G31859" t="s">
        <v>17569</v>
      </c>
      <c r="H31859" t="s">
        <v>29849</v>
      </c>
    </row>
    <row r="31860" spans="1:8">
      <c r="H31860" t="s">
        <v>29850</v>
      </c>
    </row>
    <row r="31861" spans="1:8">
      <c r="H31861" t="s">
        <v>29851</v>
      </c>
    </row>
    <row r="31862" spans="1:8">
      <c r="H31862" t="s">
        <v>28492</v>
      </c>
    </row>
    <row r="31863" spans="1:8">
      <c r="A31863" t="s">
        <v>2246</v>
      </c>
      <c r="B31863">
        <f>HYPERLINK("https://android.googlesource.com/platform/cts/+/b1bc37ee4b886f1d979a9c6ebf0ebf3742314244", "b1bc37ee4b886f1d979a9c6ebf0ebf3742314244")</f>
        <v>0</v>
      </c>
      <c r="C31863">
        <f>HYPERLINK("https://android.googlesource.com/platform/cts/+/aca12a2af434a87b59a9500f64dba5797fca8fec", "aca12a2af434a87b59a9500f64dba5797fca8fec")</f>
        <v>0</v>
      </c>
      <c r="D31863" t="s">
        <v>5027</v>
      </c>
      <c r="E31863" t="s">
        <v>7977</v>
      </c>
      <c r="F31863" t="s">
        <v>13733</v>
      </c>
      <c r="G31863" t="s">
        <v>17794</v>
      </c>
      <c r="H31863" t="s">
        <v>19981</v>
      </c>
    </row>
    <row r="31864" spans="1:8">
      <c r="H31864" t="s">
        <v>18863</v>
      </c>
    </row>
    <row r="31865" spans="1:8">
      <c r="H31865" t="s">
        <v>22650</v>
      </c>
    </row>
    <row r="31866" spans="1:8">
      <c r="H31866" t="s">
        <v>31299</v>
      </c>
    </row>
    <row r="31867" spans="1:8">
      <c r="H31867" t="s">
        <v>18836</v>
      </c>
    </row>
    <row r="31868" spans="1:8">
      <c r="H31868" t="s">
        <v>31300</v>
      </c>
    </row>
    <row r="31869" spans="1:8">
      <c r="H31869" t="s">
        <v>31301</v>
      </c>
    </row>
    <row r="31870" spans="1:8">
      <c r="A31870" t="s">
        <v>2247</v>
      </c>
      <c r="B31870">
        <f>HYPERLINK("https://android.googlesource.com/platform/cts/+/45e6957fa314f6ed87845ca1968ec4c5c3e7999c", "45e6957fa314f6ed87845ca1968ec4c5c3e7999c")</f>
        <v>0</v>
      </c>
      <c r="C31870">
        <f>HYPERLINK("https://android.googlesource.com/platform/cts/+/ee53190acd1880453a1ea3d48c18d2bac17bb91b", "ee53190acd1880453a1ea3d48c18d2bac17bb91b")</f>
        <v>0</v>
      </c>
      <c r="D31870" t="s">
        <v>5117</v>
      </c>
      <c r="E31870" t="s">
        <v>7978</v>
      </c>
      <c r="F31870" t="s">
        <v>12879</v>
      </c>
      <c r="G31870" t="s">
        <v>17046</v>
      </c>
      <c r="H31870" t="s">
        <v>31302</v>
      </c>
    </row>
    <row r="31871" spans="1:8">
      <c r="A31871" t="s">
        <v>2248</v>
      </c>
      <c r="B31871">
        <f>HYPERLINK("https://android.googlesource.com/platform/cts/+/051869e9382db7863656b77c9bf98bd5d473552c", "051869e9382db7863656b77c9bf98bd5d473552c")</f>
        <v>0</v>
      </c>
      <c r="C31871">
        <f>HYPERLINK("https://android.googlesource.com/platform/cts/+/51aabd366653b874525fe4ac23717cf345b51006", "51aabd366653b874525fe4ac23717cf345b51006")</f>
        <v>0</v>
      </c>
      <c r="D31871" t="s">
        <v>5117</v>
      </c>
      <c r="E31871" t="s">
        <v>7979</v>
      </c>
      <c r="F31871" t="s">
        <v>13734</v>
      </c>
      <c r="G31871" t="s">
        <v>17795</v>
      </c>
      <c r="H31871" t="s">
        <v>31303</v>
      </c>
    </row>
    <row r="31872" spans="1:8">
      <c r="A31872" t="s">
        <v>2249</v>
      </c>
      <c r="B31872">
        <f>HYPERLINK("https://android.googlesource.com/platform/cts/+/44c45462cd023123669d103ade198ceda12990c2", "44c45462cd023123669d103ade198ceda12990c2")</f>
        <v>0</v>
      </c>
      <c r="C31872">
        <f>HYPERLINK("https://android.googlesource.com/platform/cts/+/a0ed22685e28cbc26c3408519c03de13cfa256fa", "a0ed22685e28cbc26c3408519c03de13cfa256fa")</f>
        <v>0</v>
      </c>
      <c r="D31872" t="s">
        <v>5263</v>
      </c>
      <c r="E31872" t="s">
        <v>7980</v>
      </c>
      <c r="F31872" t="s">
        <v>13735</v>
      </c>
      <c r="G31872" t="s">
        <v>16637</v>
      </c>
      <c r="H31872" t="s">
        <v>31304</v>
      </c>
    </row>
    <row r="31873" spans="1:8">
      <c r="H31873" t="s">
        <v>31305</v>
      </c>
    </row>
    <row r="31874" spans="1:8">
      <c r="H31874" t="s">
        <v>31306</v>
      </c>
    </row>
    <row r="31875" spans="1:8">
      <c r="H31875" t="s">
        <v>31307</v>
      </c>
    </row>
    <row r="31876" spans="1:8">
      <c r="H31876" t="s">
        <v>31308</v>
      </c>
    </row>
    <row r="31877" spans="1:8">
      <c r="A31877" t="s">
        <v>2250</v>
      </c>
      <c r="B31877">
        <f>HYPERLINK("https://android.googlesource.com/platform/cts/+/dec34053d18ca5cff7c482eadb7673818b5e8c8f", "dec34053d18ca5cff7c482eadb7673818b5e8c8f")</f>
        <v>0</v>
      </c>
      <c r="C31877">
        <f>HYPERLINK("https://android.googlesource.com/platform/cts/+/10b81daa165b7e6b182cf4457b7f919ad5680f73", "10b81daa165b7e6b182cf4457b7f919ad5680f73")</f>
        <v>0</v>
      </c>
      <c r="D31877" t="s">
        <v>5027</v>
      </c>
      <c r="E31877" t="s">
        <v>7981</v>
      </c>
      <c r="F31877" t="s">
        <v>13505</v>
      </c>
      <c r="G31877" t="s">
        <v>17622</v>
      </c>
      <c r="H31877" t="s">
        <v>30141</v>
      </c>
    </row>
    <row r="31878" spans="1:8">
      <c r="H31878" t="s">
        <v>31309</v>
      </c>
    </row>
    <row r="31879" spans="1:8">
      <c r="H31879" t="s">
        <v>30148</v>
      </c>
    </row>
    <row r="31880" spans="1:8">
      <c r="H31880" t="s">
        <v>30149</v>
      </c>
    </row>
    <row r="31881" spans="1:8">
      <c r="H31881" t="s">
        <v>30150</v>
      </c>
    </row>
    <row r="31882" spans="1:8">
      <c r="H31882" t="s">
        <v>30151</v>
      </c>
    </row>
    <row r="31883" spans="1:8">
      <c r="H31883" t="s">
        <v>30152</v>
      </c>
    </row>
    <row r="31884" spans="1:8">
      <c r="H31884" t="s">
        <v>30153</v>
      </c>
    </row>
    <row r="31885" spans="1:8">
      <c r="H31885" t="s">
        <v>29023</v>
      </c>
    </row>
    <row r="31886" spans="1:8">
      <c r="H31886" t="s">
        <v>30154</v>
      </c>
    </row>
    <row r="31887" spans="1:8">
      <c r="H31887" t="s">
        <v>30155</v>
      </c>
    </row>
    <row r="31888" spans="1:8">
      <c r="H31888" t="s">
        <v>30156</v>
      </c>
    </row>
    <row r="31889" spans="8:8">
      <c r="H31889" t="s">
        <v>30157</v>
      </c>
    </row>
    <row r="31890" spans="8:8">
      <c r="H31890" t="s">
        <v>30158</v>
      </c>
    </row>
    <row r="31891" spans="8:8">
      <c r="H31891" t="s">
        <v>30159</v>
      </c>
    </row>
    <row r="31892" spans="8:8">
      <c r="H31892" t="s">
        <v>26316</v>
      </c>
    </row>
    <row r="31893" spans="8:8">
      <c r="H31893" t="s">
        <v>21462</v>
      </c>
    </row>
    <row r="31894" spans="8:8">
      <c r="H31894" t="s">
        <v>28864</v>
      </c>
    </row>
    <row r="31895" spans="8:8">
      <c r="H31895" t="s">
        <v>26391</v>
      </c>
    </row>
    <row r="31896" spans="8:8">
      <c r="H31896" t="s">
        <v>30162</v>
      </c>
    </row>
    <row r="31897" spans="8:8">
      <c r="H31897" t="s">
        <v>30163</v>
      </c>
    </row>
    <row r="31898" spans="8:8">
      <c r="H31898" t="s">
        <v>30164</v>
      </c>
    </row>
    <row r="31899" spans="8:8">
      <c r="H31899" t="s">
        <v>31310</v>
      </c>
    </row>
    <row r="31900" spans="8:8">
      <c r="H31900" t="s">
        <v>31311</v>
      </c>
    </row>
    <row r="31901" spans="8:8">
      <c r="H31901" t="s">
        <v>31312</v>
      </c>
    </row>
    <row r="31902" spans="8:8">
      <c r="H31902" t="s">
        <v>31313</v>
      </c>
    </row>
    <row r="31903" spans="8:8">
      <c r="H31903" t="s">
        <v>31314</v>
      </c>
    </row>
    <row r="31904" spans="8:8">
      <c r="H31904" t="s">
        <v>20177</v>
      </c>
    </row>
    <row r="31905" spans="6:8">
      <c r="H31905" t="s">
        <v>31315</v>
      </c>
    </row>
    <row r="31906" spans="6:8">
      <c r="H31906" t="s">
        <v>31316</v>
      </c>
    </row>
    <row r="31907" spans="6:8">
      <c r="H31907" t="s">
        <v>31317</v>
      </c>
    </row>
    <row r="31908" spans="6:8">
      <c r="H31908" t="s">
        <v>29034</v>
      </c>
    </row>
    <row r="31909" spans="6:8">
      <c r="H31909" t="s">
        <v>29033</v>
      </c>
    </row>
    <row r="31910" spans="6:8">
      <c r="H31910" t="s">
        <v>30142</v>
      </c>
    </row>
    <row r="31911" spans="6:8">
      <c r="H31911" t="s">
        <v>30143</v>
      </c>
    </row>
    <row r="31912" spans="6:8">
      <c r="H31912" t="s">
        <v>30145</v>
      </c>
    </row>
    <row r="31913" spans="6:8">
      <c r="H31913" t="s">
        <v>30146</v>
      </c>
    </row>
    <row r="31914" spans="6:8">
      <c r="H31914" t="s">
        <v>30147</v>
      </c>
    </row>
    <row r="31915" spans="6:8">
      <c r="H31915" t="s">
        <v>30144</v>
      </c>
    </row>
    <row r="31916" spans="6:8">
      <c r="H31916" t="s">
        <v>30165</v>
      </c>
    </row>
    <row r="31917" spans="6:8">
      <c r="H31917" t="s">
        <v>30166</v>
      </c>
    </row>
    <row r="31918" spans="6:8">
      <c r="F31918" t="s">
        <v>13506</v>
      </c>
      <c r="G31918" t="s">
        <v>17623</v>
      </c>
      <c r="H31918" t="s">
        <v>30196</v>
      </c>
    </row>
    <row r="31919" spans="6:8">
      <c r="H31919" t="s">
        <v>30198</v>
      </c>
    </row>
    <row r="31920" spans="6:8">
      <c r="H31920" t="s">
        <v>30199</v>
      </c>
    </row>
    <row r="31921" spans="6:8">
      <c r="H31921" t="s">
        <v>30200</v>
      </c>
    </row>
    <row r="31922" spans="6:8">
      <c r="H31922" t="s">
        <v>30202</v>
      </c>
    </row>
    <row r="31923" spans="6:8">
      <c r="H31923" t="s">
        <v>30206</v>
      </c>
    </row>
    <row r="31924" spans="6:8">
      <c r="H31924" t="s">
        <v>30207</v>
      </c>
    </row>
    <row r="31925" spans="6:8">
      <c r="H31925" t="s">
        <v>30208</v>
      </c>
    </row>
    <row r="31926" spans="6:8">
      <c r="F31926" t="s">
        <v>13524</v>
      </c>
      <c r="G31926" t="s">
        <v>17639</v>
      </c>
      <c r="H31926" t="s">
        <v>18829</v>
      </c>
    </row>
    <row r="31927" spans="6:8">
      <c r="H31927" t="s">
        <v>19982</v>
      </c>
    </row>
    <row r="31928" spans="6:8">
      <c r="H31928" t="s">
        <v>31318</v>
      </c>
    </row>
    <row r="31929" spans="6:8">
      <c r="H31929" t="s">
        <v>31319</v>
      </c>
    </row>
    <row r="31930" spans="6:8">
      <c r="H31930" t="s">
        <v>31320</v>
      </c>
    </row>
    <row r="31931" spans="6:8">
      <c r="H31931" t="s">
        <v>31321</v>
      </c>
    </row>
    <row r="31932" spans="6:8">
      <c r="H31932" t="s">
        <v>31322</v>
      </c>
    </row>
    <row r="31933" spans="6:8">
      <c r="H31933" t="s">
        <v>31323</v>
      </c>
    </row>
    <row r="31934" spans="6:8">
      <c r="H31934" t="s">
        <v>31324</v>
      </c>
    </row>
    <row r="31935" spans="6:8">
      <c r="H31935" t="s">
        <v>18893</v>
      </c>
    </row>
    <row r="31936" spans="6:8">
      <c r="H31936" t="s">
        <v>28391</v>
      </c>
    </row>
    <row r="31937" spans="1:8">
      <c r="H31937" t="s">
        <v>31325</v>
      </c>
    </row>
    <row r="31938" spans="1:8">
      <c r="H31938" t="s">
        <v>31326</v>
      </c>
    </row>
    <row r="31939" spans="1:8">
      <c r="F31939" t="s">
        <v>13509</v>
      </c>
      <c r="G31939" t="s">
        <v>17626</v>
      </c>
      <c r="H31939" t="s">
        <v>18829</v>
      </c>
    </row>
    <row r="31940" spans="1:8">
      <c r="H31940" t="s">
        <v>30231</v>
      </c>
    </row>
    <row r="31941" spans="1:8">
      <c r="H31941" t="s">
        <v>30232</v>
      </c>
    </row>
    <row r="31942" spans="1:8">
      <c r="F31942" t="s">
        <v>13522</v>
      </c>
      <c r="G31942" t="s">
        <v>17637</v>
      </c>
      <c r="H31942" t="s">
        <v>31327</v>
      </c>
    </row>
    <row r="31943" spans="1:8">
      <c r="H31943" t="s">
        <v>30241</v>
      </c>
    </row>
    <row r="31944" spans="1:8">
      <c r="H31944" t="s">
        <v>30242</v>
      </c>
    </row>
    <row r="31945" spans="1:8">
      <c r="F31945" t="s">
        <v>13532</v>
      </c>
      <c r="G31945" t="s">
        <v>16863</v>
      </c>
      <c r="H31945" t="s">
        <v>31328</v>
      </c>
    </row>
    <row r="31946" spans="1:8">
      <c r="A31946" t="s">
        <v>2251</v>
      </c>
      <c r="B31946">
        <f>HYPERLINK("https://android.googlesource.com/platform/cts/+/fc15e3a9b70d0357f6a92da436219e0c0676f645", "fc15e3a9b70d0357f6a92da436219e0c0676f645")</f>
        <v>0</v>
      </c>
      <c r="C31946">
        <f>HYPERLINK("https://android.googlesource.com/platform/cts/+/da93ef70d1fd4a1ba8eeac1ef0785395c3c2357d", "da93ef70d1fd4a1ba8eeac1ef0785395c3c2357d")</f>
        <v>0</v>
      </c>
      <c r="D31946" t="s">
        <v>5342</v>
      </c>
      <c r="E31946" t="s">
        <v>7982</v>
      </c>
      <c r="F31946" t="s">
        <v>13311</v>
      </c>
      <c r="G31946" t="s">
        <v>16471</v>
      </c>
      <c r="H31946" t="s">
        <v>30997</v>
      </c>
    </row>
    <row r="31947" spans="1:8">
      <c r="A31947" t="s">
        <v>2252</v>
      </c>
      <c r="B31947">
        <f>HYPERLINK("https://android.googlesource.com/platform/cts/+/d3dfe4f7b33630f6b51dccd8409136e91c7e8332", "d3dfe4f7b33630f6b51dccd8409136e91c7e8332")</f>
        <v>0</v>
      </c>
      <c r="C31947">
        <f>HYPERLINK("https://android.googlesource.com/platform/cts/+/136849cf31b240fd229e30887898677c0a063a41", "136849cf31b240fd229e30887898677c0a063a41")</f>
        <v>0</v>
      </c>
      <c r="D31947" t="s">
        <v>5365</v>
      </c>
      <c r="E31947" t="s">
        <v>7983</v>
      </c>
      <c r="F31947" t="s">
        <v>13736</v>
      </c>
      <c r="G31947" t="s">
        <v>17796</v>
      </c>
      <c r="H31947" t="s">
        <v>31329</v>
      </c>
    </row>
    <row r="31948" spans="1:8">
      <c r="H31948" t="s">
        <v>31330</v>
      </c>
    </row>
    <row r="31949" spans="1:8">
      <c r="H31949" t="s">
        <v>31331</v>
      </c>
    </row>
    <row r="31950" spans="1:8">
      <c r="H31950" t="s">
        <v>31332</v>
      </c>
    </row>
    <row r="31951" spans="1:8">
      <c r="H31951" t="s">
        <v>31333</v>
      </c>
    </row>
    <row r="31952" spans="1:8">
      <c r="H31952" t="s">
        <v>31334</v>
      </c>
    </row>
    <row r="31953" spans="1:8">
      <c r="A31953" t="s">
        <v>2253</v>
      </c>
      <c r="B31953">
        <f>HYPERLINK("https://android.googlesource.com/platform/cts/+/8a055eaf2365d57e2b3af6ea67839643038d71c2", "8a055eaf2365d57e2b3af6ea67839643038d71c2")</f>
        <v>0</v>
      </c>
      <c r="C31953">
        <f>HYPERLINK("https://android.googlesource.com/platform/cts/+/d3dfe4f7b33630f6b51dccd8409136e91c7e8332", "d3dfe4f7b33630f6b51dccd8409136e91c7e8332")</f>
        <v>0</v>
      </c>
      <c r="D31953" t="s">
        <v>5365</v>
      </c>
      <c r="E31953" t="s">
        <v>7984</v>
      </c>
      <c r="F31953" t="s">
        <v>13736</v>
      </c>
      <c r="G31953" t="s">
        <v>17796</v>
      </c>
      <c r="H31953" t="s">
        <v>31335</v>
      </c>
    </row>
    <row r="31954" spans="1:8">
      <c r="A31954" t="s">
        <v>2254</v>
      </c>
      <c r="B31954">
        <f>HYPERLINK("https://android.googlesource.com/platform/cts/+/36ac203ccee730c89e7cd4dfa46ad4455719c19b", "36ac203ccee730c89e7cd4dfa46ad4455719c19b")</f>
        <v>0</v>
      </c>
      <c r="C31954">
        <f>HYPERLINK("https://android.googlesource.com/platform/cts/+/a46868fca645ed193ec15c6790ccb970dd81d495", "a46868fca645ed193ec15c6790ccb970dd81d495")</f>
        <v>0</v>
      </c>
      <c r="D31954" t="s">
        <v>5330</v>
      </c>
      <c r="E31954" t="s">
        <v>7985</v>
      </c>
      <c r="F31954" t="s">
        <v>12250</v>
      </c>
      <c r="G31954" t="s">
        <v>16481</v>
      </c>
      <c r="H31954" t="s">
        <v>19267</v>
      </c>
    </row>
    <row r="31955" spans="1:8">
      <c r="H31955" t="s">
        <v>18829</v>
      </c>
    </row>
    <row r="31956" spans="1:8">
      <c r="H31956" t="s">
        <v>21525</v>
      </c>
    </row>
    <row r="31957" spans="1:8">
      <c r="H31957" t="s">
        <v>21526</v>
      </c>
    </row>
    <row r="31958" spans="1:8">
      <c r="H31958" t="s">
        <v>21527</v>
      </c>
    </row>
    <row r="31959" spans="1:8">
      <c r="A31959" t="s">
        <v>2255</v>
      </c>
      <c r="B31959">
        <f>HYPERLINK("https://android.googlesource.com/platform/cts/+/16d6c358e5dfdc820d614a49fb686548d4a2886b", "16d6c358e5dfdc820d614a49fb686548d4a2886b")</f>
        <v>0</v>
      </c>
      <c r="C31959">
        <f>HYPERLINK("https://android.googlesource.com/platform/cts/+/308c221271dad29c89b5885fc0a5cc05d3419100", "308c221271dad29c89b5885fc0a5cc05d3419100")</f>
        <v>0</v>
      </c>
      <c r="D31959" t="s">
        <v>5027</v>
      </c>
      <c r="E31959" t="s">
        <v>7986</v>
      </c>
      <c r="F31959" t="s">
        <v>13506</v>
      </c>
      <c r="G31959" t="s">
        <v>17623</v>
      </c>
      <c r="H31959" t="s">
        <v>18829</v>
      </c>
    </row>
    <row r="31960" spans="1:8">
      <c r="H31960" t="s">
        <v>19982</v>
      </c>
    </row>
    <row r="31961" spans="1:8">
      <c r="H31961" t="s">
        <v>31336</v>
      </c>
    </row>
    <row r="31962" spans="1:8">
      <c r="H31962" t="s">
        <v>30167</v>
      </c>
    </row>
    <row r="31963" spans="1:8">
      <c r="H31963" t="s">
        <v>30168</v>
      </c>
    </row>
    <row r="31964" spans="1:8">
      <c r="H31964" t="s">
        <v>30171</v>
      </c>
    </row>
    <row r="31965" spans="1:8">
      <c r="H31965" t="s">
        <v>30172</v>
      </c>
    </row>
    <row r="31966" spans="1:8">
      <c r="H31966" t="s">
        <v>30173</v>
      </c>
    </row>
    <row r="31967" spans="1:8">
      <c r="H31967" t="s">
        <v>30174</v>
      </c>
    </row>
    <row r="31968" spans="1:8">
      <c r="H31968" t="s">
        <v>30175</v>
      </c>
    </row>
    <row r="31969" spans="8:8">
      <c r="H31969" t="s">
        <v>31337</v>
      </c>
    </row>
    <row r="31970" spans="8:8">
      <c r="H31970" t="s">
        <v>30176</v>
      </c>
    </row>
    <row r="31971" spans="8:8">
      <c r="H31971" t="s">
        <v>30216</v>
      </c>
    </row>
    <row r="31972" spans="8:8">
      <c r="H31972" t="s">
        <v>31338</v>
      </c>
    </row>
    <row r="31973" spans="8:8">
      <c r="H31973" t="s">
        <v>31339</v>
      </c>
    </row>
    <row r="31974" spans="8:8">
      <c r="H31974" t="s">
        <v>31340</v>
      </c>
    </row>
    <row r="31975" spans="8:8">
      <c r="H31975" t="s">
        <v>31341</v>
      </c>
    </row>
    <row r="31976" spans="8:8">
      <c r="H31976" t="s">
        <v>31342</v>
      </c>
    </row>
    <row r="31977" spans="8:8">
      <c r="H31977" t="s">
        <v>31343</v>
      </c>
    </row>
    <row r="31978" spans="8:8">
      <c r="H31978" t="s">
        <v>31344</v>
      </c>
    </row>
    <row r="31979" spans="8:8">
      <c r="H31979" t="s">
        <v>31345</v>
      </c>
    </row>
    <row r="31980" spans="8:8">
      <c r="H31980" t="s">
        <v>31346</v>
      </c>
    </row>
    <row r="31981" spans="8:8">
      <c r="H31981" t="s">
        <v>31347</v>
      </c>
    </row>
    <row r="31982" spans="8:8">
      <c r="H31982" t="s">
        <v>31348</v>
      </c>
    </row>
    <row r="31983" spans="8:8">
      <c r="H31983" t="s">
        <v>31349</v>
      </c>
    </row>
    <row r="31984" spans="8:8">
      <c r="H31984" t="s">
        <v>31350</v>
      </c>
    </row>
    <row r="31985" spans="8:8">
      <c r="H31985" t="s">
        <v>31351</v>
      </c>
    </row>
    <row r="31986" spans="8:8">
      <c r="H31986" t="s">
        <v>30178</v>
      </c>
    </row>
    <row r="31987" spans="8:8">
      <c r="H31987" t="s">
        <v>30179</v>
      </c>
    </row>
    <row r="31988" spans="8:8">
      <c r="H31988" t="s">
        <v>30180</v>
      </c>
    </row>
    <row r="31989" spans="8:8">
      <c r="H31989" t="s">
        <v>30182</v>
      </c>
    </row>
    <row r="31990" spans="8:8">
      <c r="H31990" t="s">
        <v>30183</v>
      </c>
    </row>
    <row r="31991" spans="8:8">
      <c r="H31991" t="s">
        <v>30184</v>
      </c>
    </row>
    <row r="31992" spans="8:8">
      <c r="H31992" t="s">
        <v>30185</v>
      </c>
    </row>
    <row r="31993" spans="8:8">
      <c r="H31993" t="s">
        <v>30186</v>
      </c>
    </row>
    <row r="31994" spans="8:8">
      <c r="H31994" t="s">
        <v>30187</v>
      </c>
    </row>
    <row r="31995" spans="8:8">
      <c r="H31995" t="s">
        <v>30188</v>
      </c>
    </row>
    <row r="31996" spans="8:8">
      <c r="H31996" t="s">
        <v>30189</v>
      </c>
    </row>
    <row r="31997" spans="8:8">
      <c r="H31997" t="s">
        <v>30190</v>
      </c>
    </row>
    <row r="31998" spans="8:8">
      <c r="H31998" t="s">
        <v>30191</v>
      </c>
    </row>
    <row r="31999" spans="8:8">
      <c r="H31999" t="s">
        <v>30192</v>
      </c>
    </row>
    <row r="32000" spans="8:8">
      <c r="H32000" t="s">
        <v>30193</v>
      </c>
    </row>
    <row r="32001" spans="6:8">
      <c r="H32001" t="s">
        <v>30194</v>
      </c>
    </row>
    <row r="32002" spans="6:8">
      <c r="H32002" t="s">
        <v>30195</v>
      </c>
    </row>
    <row r="32003" spans="6:8">
      <c r="H32003" t="s">
        <v>30201</v>
      </c>
    </row>
    <row r="32004" spans="6:8">
      <c r="H32004" t="s">
        <v>30203</v>
      </c>
    </row>
    <row r="32005" spans="6:8">
      <c r="H32005" t="s">
        <v>30204</v>
      </c>
    </row>
    <row r="32006" spans="6:8">
      <c r="H32006" t="s">
        <v>30205</v>
      </c>
    </row>
    <row r="32007" spans="6:8">
      <c r="H32007" t="s">
        <v>30209</v>
      </c>
    </row>
    <row r="32008" spans="6:8">
      <c r="H32008" t="s">
        <v>30210</v>
      </c>
    </row>
    <row r="32009" spans="6:8">
      <c r="H32009" t="s">
        <v>30211</v>
      </c>
    </row>
    <row r="32010" spans="6:8">
      <c r="H32010" t="s">
        <v>30212</v>
      </c>
    </row>
    <row r="32011" spans="6:8">
      <c r="H32011" t="s">
        <v>30213</v>
      </c>
    </row>
    <row r="32012" spans="6:8">
      <c r="F32012" t="s">
        <v>13507</v>
      </c>
      <c r="G32012" t="s">
        <v>17624</v>
      </c>
      <c r="H32012" t="s">
        <v>30030</v>
      </c>
    </row>
    <row r="32013" spans="6:8">
      <c r="F32013" t="s">
        <v>13508</v>
      </c>
      <c r="G32013" t="s">
        <v>17625</v>
      </c>
      <c r="H32013" t="s">
        <v>18829</v>
      </c>
    </row>
    <row r="32014" spans="6:8">
      <c r="H32014" t="s">
        <v>19982</v>
      </c>
    </row>
    <row r="32015" spans="6:8">
      <c r="H32015" t="s">
        <v>30030</v>
      </c>
    </row>
    <row r="32016" spans="6:8">
      <c r="H32016" t="s">
        <v>31352</v>
      </c>
    </row>
    <row r="32017" spans="8:8">
      <c r="H32017" t="s">
        <v>31353</v>
      </c>
    </row>
    <row r="32018" spans="8:8">
      <c r="H32018" t="s">
        <v>31354</v>
      </c>
    </row>
    <row r="32019" spans="8:8">
      <c r="H32019" t="s">
        <v>31355</v>
      </c>
    </row>
    <row r="32020" spans="8:8">
      <c r="H32020" t="s">
        <v>31356</v>
      </c>
    </row>
    <row r="32021" spans="8:8">
      <c r="H32021" t="s">
        <v>30215</v>
      </c>
    </row>
    <row r="32022" spans="8:8">
      <c r="H32022" t="s">
        <v>30167</v>
      </c>
    </row>
    <row r="32023" spans="8:8">
      <c r="H32023" t="s">
        <v>30168</v>
      </c>
    </row>
    <row r="32024" spans="8:8">
      <c r="H32024" t="s">
        <v>30171</v>
      </c>
    </row>
    <row r="32025" spans="8:8">
      <c r="H32025" t="s">
        <v>31345</v>
      </c>
    </row>
    <row r="32026" spans="8:8">
      <c r="H32026" t="s">
        <v>31346</v>
      </c>
    </row>
    <row r="32027" spans="8:8">
      <c r="H32027" t="s">
        <v>31347</v>
      </c>
    </row>
    <row r="32028" spans="8:8">
      <c r="H32028" t="s">
        <v>31357</v>
      </c>
    </row>
    <row r="32029" spans="8:8">
      <c r="H32029" t="s">
        <v>31358</v>
      </c>
    </row>
    <row r="32030" spans="8:8">
      <c r="H32030" t="s">
        <v>31359</v>
      </c>
    </row>
    <row r="32031" spans="8:8">
      <c r="H32031" t="s">
        <v>30216</v>
      </c>
    </row>
    <row r="32032" spans="8:8">
      <c r="H32032" t="s">
        <v>31338</v>
      </c>
    </row>
    <row r="32033" spans="8:8">
      <c r="H32033" t="s">
        <v>31339</v>
      </c>
    </row>
    <row r="32034" spans="8:8">
      <c r="H32034" t="s">
        <v>31340</v>
      </c>
    </row>
    <row r="32035" spans="8:8">
      <c r="H32035" t="s">
        <v>31360</v>
      </c>
    </row>
    <row r="32036" spans="8:8">
      <c r="H32036" t="s">
        <v>31342</v>
      </c>
    </row>
    <row r="32037" spans="8:8">
      <c r="H32037" t="s">
        <v>31343</v>
      </c>
    </row>
    <row r="32038" spans="8:8">
      <c r="H32038" t="s">
        <v>31344</v>
      </c>
    </row>
    <row r="32039" spans="8:8">
      <c r="H32039" t="s">
        <v>31348</v>
      </c>
    </row>
    <row r="32040" spans="8:8">
      <c r="H32040" t="s">
        <v>31349</v>
      </c>
    </row>
    <row r="32041" spans="8:8">
      <c r="H32041" t="s">
        <v>31350</v>
      </c>
    </row>
    <row r="32042" spans="8:8">
      <c r="H32042" t="s">
        <v>31351</v>
      </c>
    </row>
    <row r="32043" spans="8:8">
      <c r="H32043" t="s">
        <v>30219</v>
      </c>
    </row>
    <row r="32044" spans="8:8">
      <c r="H32044" t="s">
        <v>30220</v>
      </c>
    </row>
    <row r="32045" spans="8:8">
      <c r="H32045" t="s">
        <v>31361</v>
      </c>
    </row>
    <row r="32046" spans="8:8">
      <c r="H32046" t="s">
        <v>30222</v>
      </c>
    </row>
    <row r="32047" spans="8:8">
      <c r="H32047" t="s">
        <v>30223</v>
      </c>
    </row>
    <row r="32048" spans="8:8">
      <c r="H32048" t="s">
        <v>31362</v>
      </c>
    </row>
    <row r="32049" spans="6:8">
      <c r="H32049" t="s">
        <v>30224</v>
      </c>
    </row>
    <row r="32050" spans="6:8">
      <c r="H32050" t="s">
        <v>31363</v>
      </c>
    </row>
    <row r="32051" spans="6:8">
      <c r="H32051" t="s">
        <v>30225</v>
      </c>
    </row>
    <row r="32052" spans="6:8">
      <c r="H32052" t="s">
        <v>31364</v>
      </c>
    </row>
    <row r="32053" spans="6:8">
      <c r="H32053" t="s">
        <v>30226</v>
      </c>
    </row>
    <row r="32054" spans="6:8">
      <c r="H32054" t="s">
        <v>26314</v>
      </c>
    </row>
    <row r="32055" spans="6:8">
      <c r="H32055" t="s">
        <v>30229</v>
      </c>
    </row>
    <row r="32056" spans="6:8">
      <c r="H32056" t="s">
        <v>30230</v>
      </c>
    </row>
    <row r="32057" spans="6:8">
      <c r="F32057" t="s">
        <v>13526</v>
      </c>
      <c r="G32057" t="s">
        <v>17641</v>
      </c>
      <c r="H32057" t="s">
        <v>18829</v>
      </c>
    </row>
    <row r="32058" spans="6:8">
      <c r="H32058" t="s">
        <v>19982</v>
      </c>
    </row>
    <row r="32059" spans="6:8">
      <c r="H32059" t="s">
        <v>31365</v>
      </c>
    </row>
    <row r="32060" spans="6:8">
      <c r="H32060" t="s">
        <v>31366</v>
      </c>
    </row>
    <row r="32061" spans="6:8">
      <c r="H32061" t="s">
        <v>31367</v>
      </c>
    </row>
    <row r="32062" spans="6:8">
      <c r="H32062" t="s">
        <v>31368</v>
      </c>
    </row>
    <row r="32063" spans="6:8">
      <c r="H32063" t="s">
        <v>30167</v>
      </c>
    </row>
    <row r="32064" spans="6:8">
      <c r="H32064" t="s">
        <v>30168</v>
      </c>
    </row>
    <row r="32065" spans="8:8">
      <c r="H32065" t="s">
        <v>30171</v>
      </c>
    </row>
    <row r="32066" spans="8:8">
      <c r="H32066" t="s">
        <v>30173</v>
      </c>
    </row>
    <row r="32067" spans="8:8">
      <c r="H32067" t="s">
        <v>30174</v>
      </c>
    </row>
    <row r="32068" spans="8:8">
      <c r="H32068" t="s">
        <v>30175</v>
      </c>
    </row>
    <row r="32069" spans="8:8">
      <c r="H32069" t="s">
        <v>30170</v>
      </c>
    </row>
    <row r="32070" spans="8:8">
      <c r="H32070" t="s">
        <v>30169</v>
      </c>
    </row>
    <row r="32071" spans="8:8">
      <c r="H32071" t="s">
        <v>31347</v>
      </c>
    </row>
    <row r="32072" spans="8:8">
      <c r="H32072" t="s">
        <v>30216</v>
      </c>
    </row>
    <row r="32073" spans="8:8">
      <c r="H32073" t="s">
        <v>31339</v>
      </c>
    </row>
    <row r="32074" spans="8:8">
      <c r="H32074" t="s">
        <v>31342</v>
      </c>
    </row>
    <row r="32075" spans="8:8">
      <c r="H32075" t="s">
        <v>31343</v>
      </c>
    </row>
    <row r="32076" spans="8:8">
      <c r="H32076" t="s">
        <v>31344</v>
      </c>
    </row>
    <row r="32077" spans="8:8">
      <c r="H32077" t="s">
        <v>31369</v>
      </c>
    </row>
    <row r="32078" spans="8:8">
      <c r="H32078" t="s">
        <v>30189</v>
      </c>
    </row>
    <row r="32079" spans="8:8">
      <c r="H32079" t="s">
        <v>30188</v>
      </c>
    </row>
    <row r="32080" spans="8:8">
      <c r="H32080" t="s">
        <v>30187</v>
      </c>
    </row>
    <row r="32081" spans="6:8">
      <c r="H32081" t="s">
        <v>30192</v>
      </c>
    </row>
    <row r="32082" spans="6:8">
      <c r="H32082" t="s">
        <v>30191</v>
      </c>
    </row>
    <row r="32083" spans="6:8">
      <c r="H32083" t="s">
        <v>30190</v>
      </c>
    </row>
    <row r="32084" spans="6:8">
      <c r="H32084" t="s">
        <v>31370</v>
      </c>
    </row>
    <row r="32085" spans="6:8">
      <c r="H32085" t="s">
        <v>30226</v>
      </c>
    </row>
    <row r="32086" spans="6:8">
      <c r="H32086" t="s">
        <v>31371</v>
      </c>
    </row>
    <row r="32087" spans="6:8">
      <c r="H32087" t="s">
        <v>18893</v>
      </c>
    </row>
    <row r="32088" spans="6:8">
      <c r="H32088" t="s">
        <v>30229</v>
      </c>
    </row>
    <row r="32089" spans="6:8">
      <c r="H32089" t="s">
        <v>31372</v>
      </c>
    </row>
    <row r="32090" spans="6:8">
      <c r="H32090" t="s">
        <v>31373</v>
      </c>
    </row>
    <row r="32091" spans="6:8">
      <c r="H32091" t="s">
        <v>31374</v>
      </c>
    </row>
    <row r="32092" spans="6:8">
      <c r="H32092" t="s">
        <v>31375</v>
      </c>
    </row>
    <row r="32093" spans="6:8">
      <c r="H32093" t="s">
        <v>31376</v>
      </c>
    </row>
    <row r="32094" spans="6:8">
      <c r="H32094" t="s">
        <v>31377</v>
      </c>
    </row>
    <row r="32095" spans="6:8">
      <c r="H32095" t="s">
        <v>31310</v>
      </c>
    </row>
    <row r="32096" spans="6:8">
      <c r="F32096" t="s">
        <v>13522</v>
      </c>
      <c r="G32096" t="s">
        <v>17637</v>
      </c>
      <c r="H32096" t="s">
        <v>31378</v>
      </c>
    </row>
    <row r="32097" spans="1:8">
      <c r="H32097" t="s">
        <v>31379</v>
      </c>
    </row>
    <row r="32098" spans="1:8">
      <c r="H32098" t="s">
        <v>19928</v>
      </c>
    </row>
    <row r="32099" spans="1:8">
      <c r="H32099" t="s">
        <v>30238</v>
      </c>
    </row>
    <row r="32100" spans="1:8">
      <c r="H32100" t="s">
        <v>27403</v>
      </c>
    </row>
    <row r="32101" spans="1:8">
      <c r="H32101" t="s">
        <v>31380</v>
      </c>
    </row>
    <row r="32102" spans="1:8">
      <c r="H32102" t="s">
        <v>31381</v>
      </c>
    </row>
    <row r="32103" spans="1:8">
      <c r="H32103" t="s">
        <v>19982</v>
      </c>
    </row>
    <row r="32104" spans="1:8">
      <c r="F32104" t="s">
        <v>13532</v>
      </c>
      <c r="G32104" t="s">
        <v>16863</v>
      </c>
      <c r="H32104" t="s">
        <v>31382</v>
      </c>
    </row>
    <row r="32105" spans="1:8">
      <c r="H32105" t="s">
        <v>31383</v>
      </c>
    </row>
    <row r="32106" spans="1:8">
      <c r="H32106" t="s">
        <v>31384</v>
      </c>
    </row>
    <row r="32107" spans="1:8">
      <c r="H32107" t="s">
        <v>31385</v>
      </c>
    </row>
    <row r="32108" spans="1:8">
      <c r="H32108" t="s">
        <v>31386</v>
      </c>
    </row>
    <row r="32109" spans="1:8">
      <c r="A32109" t="s">
        <v>2256</v>
      </c>
      <c r="B32109">
        <f>HYPERLINK("https://android.googlesource.com/platform/cts/+/0f0eb1d0c32602909949f863eb1f39f4b70808a0", "0f0eb1d0c32602909949f863eb1f39f4b70808a0")</f>
        <v>0</v>
      </c>
      <c r="C32109">
        <f>HYPERLINK("https://android.googlesource.com/platform/cts/+/11198a4acdd43f9495ab887e12e4658e99ef26db", "11198a4acdd43f9495ab887e12e4658e99ef26db")</f>
        <v>0</v>
      </c>
      <c r="D32109" t="s">
        <v>5195</v>
      </c>
      <c r="E32109" t="s">
        <v>7987</v>
      </c>
      <c r="F32109" t="s">
        <v>13737</v>
      </c>
      <c r="G32109" t="s">
        <v>17797</v>
      </c>
      <c r="H32109" t="s">
        <v>28365</v>
      </c>
    </row>
    <row r="32110" spans="1:8">
      <c r="A32110" t="s">
        <v>2257</v>
      </c>
      <c r="B32110">
        <f>HYPERLINK("https://android.googlesource.com/platform/cts/+/c58c564f9ef13f348d62fd06209fa2a78cc37f50", "c58c564f9ef13f348d62fd06209fa2a78cc37f50")</f>
        <v>0</v>
      </c>
      <c r="C32110">
        <f>HYPERLINK("https://android.googlesource.com/platform/cts/+/b08895e76207e13dbc8c77322919c21dcf35efd0", "b08895e76207e13dbc8c77322919c21dcf35efd0")</f>
        <v>0</v>
      </c>
      <c r="D32110" t="s">
        <v>4981</v>
      </c>
      <c r="E32110" t="s">
        <v>7988</v>
      </c>
      <c r="F32110" t="s">
        <v>12879</v>
      </c>
      <c r="G32110" t="s">
        <v>17046</v>
      </c>
      <c r="H32110" t="s">
        <v>31387</v>
      </c>
    </row>
    <row r="32111" spans="1:8">
      <c r="H32111" t="s">
        <v>31388</v>
      </c>
    </row>
    <row r="32112" spans="1:8">
      <c r="H32112" t="s">
        <v>31389</v>
      </c>
    </row>
    <row r="32113" spans="1:8">
      <c r="A32113" t="s">
        <v>2258</v>
      </c>
      <c r="B32113">
        <f>HYPERLINK("https://android.googlesource.com/platform/cts/+/c947633434292b6ead61d05a5eed27d6777b4832", "c947633434292b6ead61d05a5eed27d6777b4832")</f>
        <v>0</v>
      </c>
      <c r="C32113">
        <f>HYPERLINK("https://android.googlesource.com/platform/cts/+/96d991a29d632fec25559462ae9ac73a167b731b", "96d991a29d632fec25559462ae9ac73a167b731b")</f>
        <v>0</v>
      </c>
      <c r="D32113" t="s">
        <v>5344</v>
      </c>
      <c r="E32113" t="s">
        <v>7989</v>
      </c>
      <c r="F32113" t="s">
        <v>13421</v>
      </c>
      <c r="G32113" t="s">
        <v>17545</v>
      </c>
      <c r="H32113" t="s">
        <v>31390</v>
      </c>
    </row>
    <row r="32114" spans="1:8">
      <c r="A32114" t="s">
        <v>2259</v>
      </c>
      <c r="B32114">
        <f>HYPERLINK("https://android.googlesource.com/platform/cts/+/bfa75695220dbd0c67e0abf492b1e2496a5cc0d6", "bfa75695220dbd0c67e0abf492b1e2496a5cc0d6")</f>
        <v>0</v>
      </c>
      <c r="C32114">
        <f>HYPERLINK("https://android.googlesource.com/platform/cts/+/f19f669a6d21f20b6498beff6fb6c91b38767b18", "f19f669a6d21f20b6498beff6fb6c91b38767b18")</f>
        <v>0</v>
      </c>
      <c r="D32114" t="s">
        <v>5040</v>
      </c>
      <c r="E32114" t="s">
        <v>7990</v>
      </c>
      <c r="F32114" t="s">
        <v>13738</v>
      </c>
      <c r="G32114" t="s">
        <v>17798</v>
      </c>
      <c r="H32114" t="s">
        <v>31391</v>
      </c>
    </row>
    <row r="32115" spans="1:8">
      <c r="H32115" t="s">
        <v>31392</v>
      </c>
    </row>
    <row r="32116" spans="1:8">
      <c r="H32116" t="s">
        <v>31393</v>
      </c>
    </row>
    <row r="32117" spans="1:8">
      <c r="H32117" t="s">
        <v>31394</v>
      </c>
    </row>
    <row r="32118" spans="1:8">
      <c r="H32118" t="s">
        <v>31395</v>
      </c>
    </row>
    <row r="32119" spans="1:8">
      <c r="A32119" t="s">
        <v>2260</v>
      </c>
      <c r="B32119">
        <f>HYPERLINK("https://android.googlesource.com/platform/cts/+/fb8f490ffa73a100503deb7ebd256c25eef7a586", "fb8f490ffa73a100503deb7ebd256c25eef7a586")</f>
        <v>0</v>
      </c>
      <c r="C32119">
        <f>HYPERLINK("https://android.googlesource.com/platform/cts/+/217b3366e5ce774a9977a6b7a0050fe8e8a34ff9", "217b3366e5ce774a9977a6b7a0050fe8e8a34ff9")</f>
        <v>0</v>
      </c>
      <c r="D32119" t="s">
        <v>5120</v>
      </c>
      <c r="E32119" t="s">
        <v>7991</v>
      </c>
      <c r="F32119" t="s">
        <v>13739</v>
      </c>
      <c r="G32119" t="s">
        <v>17799</v>
      </c>
      <c r="H32119" t="s">
        <v>31396</v>
      </c>
    </row>
    <row r="32120" spans="1:8">
      <c r="H32120" t="s">
        <v>31397</v>
      </c>
    </row>
    <row r="32121" spans="1:8">
      <c r="H32121" t="s">
        <v>31398</v>
      </c>
    </row>
    <row r="32122" spans="1:8">
      <c r="H32122" t="s">
        <v>31399</v>
      </c>
    </row>
    <row r="32123" spans="1:8">
      <c r="H32123" t="s">
        <v>31400</v>
      </c>
    </row>
    <row r="32124" spans="1:8">
      <c r="F32124" t="s">
        <v>13740</v>
      </c>
      <c r="G32124" t="s">
        <v>17800</v>
      </c>
      <c r="H32124" t="s">
        <v>31401</v>
      </c>
    </row>
    <row r="32125" spans="1:8">
      <c r="H32125" t="s">
        <v>31402</v>
      </c>
    </row>
    <row r="32126" spans="1:8">
      <c r="H32126" t="s">
        <v>31403</v>
      </c>
    </row>
    <row r="32127" spans="1:8">
      <c r="H32127" t="s">
        <v>27195</v>
      </c>
    </row>
    <row r="32128" spans="1:8">
      <c r="H32128" t="s">
        <v>25704</v>
      </c>
    </row>
    <row r="32129" spans="1:8">
      <c r="H32129" t="s">
        <v>31404</v>
      </c>
    </row>
    <row r="32130" spans="1:8">
      <c r="H32130" t="s">
        <v>31405</v>
      </c>
    </row>
    <row r="32131" spans="1:8">
      <c r="H32131" t="s">
        <v>31406</v>
      </c>
    </row>
    <row r="32132" spans="1:8">
      <c r="H32132" t="s">
        <v>31407</v>
      </c>
    </row>
    <row r="32133" spans="1:8">
      <c r="H32133" t="s">
        <v>31408</v>
      </c>
    </row>
    <row r="32134" spans="1:8">
      <c r="A32134" t="s">
        <v>2261</v>
      </c>
      <c r="B32134">
        <f>HYPERLINK("https://android.googlesource.com/platform/cts/+/c43e9230fe4e25cae6e75f5f988a3031342b2985", "c43e9230fe4e25cae6e75f5f988a3031342b2985")</f>
        <v>0</v>
      </c>
      <c r="C32134">
        <f>HYPERLINK("https://android.googlesource.com/platform/cts/+/040243712635014fc5e65c434e918a6b6394031b", "040243712635014fc5e65c434e918a6b6394031b")</f>
        <v>0</v>
      </c>
      <c r="D32134" t="s">
        <v>5349</v>
      </c>
      <c r="E32134" t="s">
        <v>7992</v>
      </c>
      <c r="F32134" t="s">
        <v>12710</v>
      </c>
      <c r="G32134" t="s">
        <v>16911</v>
      </c>
      <c r="H32134" t="s">
        <v>31253</v>
      </c>
    </row>
    <row r="32135" spans="1:8">
      <c r="A32135" t="s">
        <v>2262</v>
      </c>
      <c r="B32135">
        <f>HYPERLINK("https://android.googlesource.com/platform/cts/+/1e62776d2bfef3d05f106aa9ff66637758b90836", "1e62776d2bfef3d05f106aa9ff66637758b90836")</f>
        <v>0</v>
      </c>
      <c r="C32135">
        <f>HYPERLINK("https://android.googlesource.com/platform/cts/+/9d79c255fc5c4b0e8ef4e394f764c10a36817d79", "9d79c255fc5c4b0e8ef4e394f764c10a36817d79")</f>
        <v>0</v>
      </c>
      <c r="D32135" t="s">
        <v>5349</v>
      </c>
      <c r="E32135" t="s">
        <v>7992</v>
      </c>
      <c r="F32135" t="s">
        <v>12710</v>
      </c>
      <c r="G32135" t="s">
        <v>16911</v>
      </c>
      <c r="H32135" t="s">
        <v>31253</v>
      </c>
    </row>
    <row r="32136" spans="1:8">
      <c r="A32136" t="s">
        <v>2263</v>
      </c>
      <c r="B32136">
        <f>HYPERLINK("https://android.googlesource.com/platform/cts/+/44e386287d9ea41fd0352a8919ba3813e5a58e81", "44e386287d9ea41fd0352a8919ba3813e5a58e81")</f>
        <v>0</v>
      </c>
      <c r="C32136">
        <f>HYPERLINK("https://android.googlesource.com/platform/cts/+/78edddc2f41df327df4d1a6dc158ebf114fcc5eb", "78edddc2f41df327df4d1a6dc158ebf114fcc5eb")</f>
        <v>0</v>
      </c>
      <c r="D32136" t="s">
        <v>5018</v>
      </c>
      <c r="E32136" t="s">
        <v>7993</v>
      </c>
      <c r="F32136" t="s">
        <v>13741</v>
      </c>
      <c r="G32136" t="s">
        <v>17801</v>
      </c>
      <c r="H32136" t="s">
        <v>18829</v>
      </c>
    </row>
    <row r="32137" spans="1:8">
      <c r="F32137" t="s">
        <v>13159</v>
      </c>
      <c r="G32137" t="s">
        <v>17310</v>
      </c>
      <c r="H32137" t="s">
        <v>18829</v>
      </c>
    </row>
    <row r="32138" spans="1:8">
      <c r="A32138" t="s">
        <v>2264</v>
      </c>
      <c r="B32138">
        <f>HYPERLINK("https://android.googlesource.com/platform/cts/+/359e2f06ed6cbe3ec141f28b5fdff2ecb7b01376", "359e2f06ed6cbe3ec141f28b5fdff2ecb7b01376")</f>
        <v>0</v>
      </c>
      <c r="C32138">
        <f>HYPERLINK("https://android.googlesource.com/platform/cts/+/755637953cb7e520cecba55c27a5770602a6f1ec", "755637953cb7e520cecba55c27a5770602a6f1ec")</f>
        <v>0</v>
      </c>
      <c r="D32138" t="s">
        <v>4965</v>
      </c>
      <c r="E32138" t="s">
        <v>7994</v>
      </c>
      <c r="F32138" t="s">
        <v>12618</v>
      </c>
      <c r="G32138" t="s">
        <v>16828</v>
      </c>
      <c r="H32138" t="s">
        <v>20244</v>
      </c>
    </row>
    <row r="32139" spans="1:8">
      <c r="A32139" t="s">
        <v>2265</v>
      </c>
      <c r="B32139">
        <f>HYPERLINK("https://android.googlesource.com/platform/cts/+/3d767954223926868366c9e632bea4bf45c93a94", "3d767954223926868366c9e632bea4bf45c93a94")</f>
        <v>0</v>
      </c>
      <c r="C32139">
        <f>HYPERLINK("https://android.googlesource.com/platform/cts/+/f4a1c6dd44428e2369cab68df56fae482aa23e10", "f4a1c6dd44428e2369cab68df56fae482aa23e10")</f>
        <v>0</v>
      </c>
      <c r="D32139" t="s">
        <v>4981</v>
      </c>
      <c r="E32139" t="s">
        <v>7995</v>
      </c>
      <c r="F32139" t="s">
        <v>13742</v>
      </c>
      <c r="G32139" t="s">
        <v>17802</v>
      </c>
      <c r="H32139" t="s">
        <v>31409</v>
      </c>
    </row>
    <row r="32140" spans="1:8">
      <c r="F32140" t="s">
        <v>13743</v>
      </c>
      <c r="G32140" t="s">
        <v>17803</v>
      </c>
      <c r="H32140" t="s">
        <v>31410</v>
      </c>
    </row>
    <row r="32141" spans="1:8">
      <c r="F32141" t="s">
        <v>13744</v>
      </c>
      <c r="G32141" t="s">
        <v>17804</v>
      </c>
      <c r="H32141" t="s">
        <v>31411</v>
      </c>
    </row>
    <row r="32142" spans="1:8">
      <c r="F32142" t="s">
        <v>13745</v>
      </c>
      <c r="G32142" t="s">
        <v>17805</v>
      </c>
      <c r="H32142" t="s">
        <v>31412</v>
      </c>
    </row>
    <row r="32143" spans="1:8">
      <c r="A32143" t="s">
        <v>2266</v>
      </c>
      <c r="B32143">
        <f>HYPERLINK("https://android.googlesource.com/platform/cts/+/5cad7c9e2f47561f02368d6029a349952641cf7a", "5cad7c9e2f47561f02368d6029a349952641cf7a")</f>
        <v>0</v>
      </c>
      <c r="C32143">
        <f>HYPERLINK("https://android.googlesource.com/platform/cts/+/d4cc5fd5b2bc7eb3b17bef3d34a28c717bf61c6d", "d4cc5fd5b2bc7eb3b17bef3d34a28c717bf61c6d")</f>
        <v>0</v>
      </c>
      <c r="D32143" t="s">
        <v>5134</v>
      </c>
      <c r="E32143" t="s">
        <v>7996</v>
      </c>
      <c r="F32143" t="s">
        <v>13746</v>
      </c>
      <c r="G32143" t="s">
        <v>17806</v>
      </c>
      <c r="H32143" t="s">
        <v>31413</v>
      </c>
    </row>
    <row r="32144" spans="1:8">
      <c r="H32144" t="s">
        <v>31414</v>
      </c>
    </row>
    <row r="32145" spans="1:8">
      <c r="H32145" t="s">
        <v>31415</v>
      </c>
    </row>
    <row r="32146" spans="1:8">
      <c r="A32146" t="s">
        <v>2267</v>
      </c>
      <c r="B32146">
        <f>HYPERLINK("https://android.googlesource.com/platform/cts/+/e9dcebaa79ba68e79386bd26a50b5fd80b44b128", "e9dcebaa79ba68e79386bd26a50b5fd80b44b128")</f>
        <v>0</v>
      </c>
      <c r="C32146">
        <f>HYPERLINK("https://android.googlesource.com/platform/cts/+/075556b827c47c475db6d6dced9100d9d6349deb", "075556b827c47c475db6d6dced9100d9d6349deb")</f>
        <v>0</v>
      </c>
      <c r="D32146" t="s">
        <v>5349</v>
      </c>
      <c r="E32146" t="s">
        <v>7997</v>
      </c>
      <c r="F32146" t="s">
        <v>12710</v>
      </c>
      <c r="G32146" t="s">
        <v>16911</v>
      </c>
      <c r="H32146" t="s">
        <v>31252</v>
      </c>
    </row>
    <row r="32147" spans="1:8">
      <c r="A32147" t="s">
        <v>2268</v>
      </c>
      <c r="B32147">
        <f>HYPERLINK("https://android.googlesource.com/platform/cts/+/557deac116bab0b6ffa57c9d295e4e0932df8fb8", "557deac116bab0b6ffa57c9d295e4e0932df8fb8")</f>
        <v>0</v>
      </c>
      <c r="C32147">
        <f>HYPERLINK("https://android.googlesource.com/platform/cts/+/8141d9b748bd6f849b2c4cd7347dd318e2ad1066", "8141d9b748bd6f849b2c4cd7347dd318e2ad1066")</f>
        <v>0</v>
      </c>
      <c r="D32147" t="s">
        <v>5349</v>
      </c>
      <c r="E32147" t="s">
        <v>7997</v>
      </c>
      <c r="F32147" t="s">
        <v>12710</v>
      </c>
      <c r="G32147" t="s">
        <v>16911</v>
      </c>
      <c r="H32147" t="s">
        <v>31252</v>
      </c>
    </row>
    <row r="32148" spans="1:8">
      <c r="A32148" t="s">
        <v>2269</v>
      </c>
      <c r="B32148">
        <f>HYPERLINK("https://android.googlesource.com/platform/cts/+/40495120a03a113bed24556da01d386d5557e81b", "40495120a03a113bed24556da01d386d5557e81b")</f>
        <v>0</v>
      </c>
      <c r="C32148">
        <f>HYPERLINK("https://android.googlesource.com/platform/cts/+/53797c14fde6a4002927e06f77ad28441f1f1dd6", "53797c14fde6a4002927e06f77ad28441f1f1dd6")</f>
        <v>0</v>
      </c>
      <c r="D32148" t="s">
        <v>5349</v>
      </c>
      <c r="E32148" t="s">
        <v>7998</v>
      </c>
      <c r="F32148" t="s">
        <v>12710</v>
      </c>
      <c r="G32148" t="s">
        <v>16911</v>
      </c>
      <c r="H32148" t="s">
        <v>31416</v>
      </c>
    </row>
    <row r="32149" spans="1:8">
      <c r="A32149" t="s">
        <v>2270</v>
      </c>
      <c r="B32149">
        <f>HYPERLINK("https://android.googlesource.com/platform/cts/+/109335e29bd3883a5b85876fbc2a0dfa37c5074c", "109335e29bd3883a5b85876fbc2a0dfa37c5074c")</f>
        <v>0</v>
      </c>
      <c r="C32149">
        <f>HYPERLINK("https://android.googlesource.com/platform/cts/+/2dce3c9b9dec3e664403f3c2486a72b561f59e38", "2dce3c9b9dec3e664403f3c2486a72b561f59e38")</f>
        <v>0</v>
      </c>
      <c r="D32149" t="s">
        <v>5059</v>
      </c>
      <c r="E32149" t="s">
        <v>7999</v>
      </c>
      <c r="F32149" t="s">
        <v>10744</v>
      </c>
      <c r="G32149" t="s">
        <v>15143</v>
      </c>
      <c r="H32149" t="s">
        <v>31417</v>
      </c>
    </row>
    <row r="32150" spans="1:8">
      <c r="H32150" t="s">
        <v>31418</v>
      </c>
    </row>
    <row r="32151" spans="1:8">
      <c r="A32151" t="s">
        <v>2271</v>
      </c>
      <c r="B32151">
        <f>HYPERLINK("https://android.googlesource.com/platform/cts/+/006cd531323ac0a0f81097968683585a87b7e289", "006cd531323ac0a0f81097968683585a87b7e289")</f>
        <v>0</v>
      </c>
      <c r="C32151">
        <f>HYPERLINK("https://android.googlesource.com/platform/cts/+/53bf11f1f143d557dcb2618eb126fddde9315a14", "53bf11f1f143d557dcb2618eb126fddde9315a14")</f>
        <v>0</v>
      </c>
      <c r="D32151" t="s">
        <v>4981</v>
      </c>
      <c r="E32151" t="s">
        <v>8000</v>
      </c>
      <c r="F32151" t="s">
        <v>13747</v>
      </c>
      <c r="G32151" t="s">
        <v>17807</v>
      </c>
      <c r="H32151" t="s">
        <v>18863</v>
      </c>
    </row>
    <row r="32152" spans="1:8">
      <c r="F32152" t="s">
        <v>13748</v>
      </c>
      <c r="G32152" t="s">
        <v>17808</v>
      </c>
      <c r="H32152" t="s">
        <v>31419</v>
      </c>
    </row>
    <row r="32153" spans="1:8">
      <c r="H32153" t="s">
        <v>31420</v>
      </c>
    </row>
    <row r="32154" spans="1:8">
      <c r="H32154" t="s">
        <v>30502</v>
      </c>
    </row>
    <row r="32155" spans="1:8">
      <c r="A32155" t="s">
        <v>2272</v>
      </c>
      <c r="B32155">
        <f>HYPERLINK("https://android.googlesource.com/platform/cts/+/69574198398c9bd6b5e21cb1b6a6864fa6c02e0f", "69574198398c9bd6b5e21cb1b6a6864fa6c02e0f")</f>
        <v>0</v>
      </c>
      <c r="C32155">
        <f>HYPERLINK("https://android.googlesource.com/platform/cts/+/006cd531323ac0a0f81097968683585a87b7e289", "006cd531323ac0a0f81097968683585a87b7e289")</f>
        <v>0</v>
      </c>
      <c r="D32155" t="s">
        <v>4981</v>
      </c>
      <c r="E32155" t="s">
        <v>8001</v>
      </c>
      <c r="F32155" t="s">
        <v>13333</v>
      </c>
      <c r="G32155" t="s">
        <v>17463</v>
      </c>
      <c r="H32155" t="s">
        <v>31421</v>
      </c>
    </row>
    <row r="32156" spans="1:8">
      <c r="A32156" t="s">
        <v>2273</v>
      </c>
      <c r="B32156">
        <f>HYPERLINK("https://android.googlesource.com/platform/cts/+/5fd4c3970fb386b0e753dcee4c5d742476e71788", "5fd4c3970fb386b0e753dcee4c5d742476e71788")</f>
        <v>0</v>
      </c>
      <c r="C32156">
        <f>HYPERLINK("https://android.googlesource.com/platform/cts/+/437f4c508dc8292f1d835649393ab073ea634b9e", "437f4c508dc8292f1d835649393ab073ea634b9e")</f>
        <v>0</v>
      </c>
      <c r="D32156" t="s">
        <v>5366</v>
      </c>
      <c r="E32156" t="s">
        <v>8002</v>
      </c>
      <c r="F32156" t="s">
        <v>13749</v>
      </c>
      <c r="G32156" t="s">
        <v>17809</v>
      </c>
      <c r="H32156" t="s">
        <v>31422</v>
      </c>
    </row>
    <row r="32157" spans="1:8">
      <c r="H32157" t="s">
        <v>31423</v>
      </c>
    </row>
    <row r="32158" spans="1:8">
      <c r="H32158" t="s">
        <v>31424</v>
      </c>
    </row>
    <row r="32159" spans="1:8">
      <c r="F32159" t="s">
        <v>13750</v>
      </c>
      <c r="G32159" t="s">
        <v>17810</v>
      </c>
      <c r="H32159" t="s">
        <v>31425</v>
      </c>
    </row>
    <row r="32160" spans="1:8">
      <c r="H32160" t="s">
        <v>31426</v>
      </c>
    </row>
    <row r="32161" spans="1:8">
      <c r="H32161" t="s">
        <v>31427</v>
      </c>
    </row>
    <row r="32162" spans="1:8">
      <c r="H32162" t="s">
        <v>18829</v>
      </c>
    </row>
    <row r="32163" spans="1:8">
      <c r="H32163" t="s">
        <v>31423</v>
      </c>
    </row>
    <row r="32164" spans="1:8">
      <c r="H32164" t="s">
        <v>31424</v>
      </c>
    </row>
    <row r="32165" spans="1:8">
      <c r="A32165" t="s">
        <v>2274</v>
      </c>
      <c r="B32165">
        <f>HYPERLINK("https://android.googlesource.com/platform/cts/+/a16afd3dae0a8ae24de4a585ada8cec3c7816635", "a16afd3dae0a8ae24de4a585ada8cec3c7816635")</f>
        <v>0</v>
      </c>
      <c r="C32165">
        <f>HYPERLINK("https://android.googlesource.com/platform/cts/+/ac8c5e9ba9dcf9022a38b75f7bc812582b652e64", "ac8c5e9ba9dcf9022a38b75f7bc812582b652e64")</f>
        <v>0</v>
      </c>
      <c r="D32165" t="s">
        <v>5349</v>
      </c>
      <c r="E32165" t="s">
        <v>8003</v>
      </c>
      <c r="F32165" t="s">
        <v>12710</v>
      </c>
      <c r="G32165" t="s">
        <v>16911</v>
      </c>
      <c r="H32165" t="s">
        <v>29656</v>
      </c>
    </row>
    <row r="32166" spans="1:8">
      <c r="A32166" t="s">
        <v>2275</v>
      </c>
      <c r="B32166">
        <f>HYPERLINK("https://android.googlesource.com/platform/cts/+/6ca6442a18d645ceb2889f3e06eda6c9c41c76ef", "6ca6442a18d645ceb2889f3e06eda6c9c41c76ef")</f>
        <v>0</v>
      </c>
      <c r="C32166">
        <f>HYPERLINK("https://android.googlesource.com/platform/cts/+/b039c8494e91029faa9d6757a5231584dc596e15", "b039c8494e91029faa9d6757a5231584dc596e15")</f>
        <v>0</v>
      </c>
      <c r="D32166" t="s">
        <v>5349</v>
      </c>
      <c r="E32166" t="s">
        <v>8004</v>
      </c>
      <c r="F32166" t="s">
        <v>12710</v>
      </c>
      <c r="G32166" t="s">
        <v>16911</v>
      </c>
      <c r="H32166" t="s">
        <v>31289</v>
      </c>
    </row>
    <row r="32167" spans="1:8">
      <c r="A32167" t="s">
        <v>2276</v>
      </c>
      <c r="B32167">
        <f>HYPERLINK("https://android.googlesource.com/platform/cts/+/8dcd811d31adfbee4034dcbcaa5e2807db590529", "8dcd811d31adfbee4034dcbcaa5e2807db590529")</f>
        <v>0</v>
      </c>
      <c r="C32167">
        <f>HYPERLINK("https://android.googlesource.com/platform/cts/+/e4a0d76989a72e961a49617ccc299b316cbdfee2", "e4a0d76989a72e961a49617ccc299b316cbdfee2")</f>
        <v>0</v>
      </c>
      <c r="D32167" t="s">
        <v>5349</v>
      </c>
      <c r="E32167" t="s">
        <v>8005</v>
      </c>
      <c r="F32167" t="s">
        <v>12710</v>
      </c>
      <c r="G32167" t="s">
        <v>16911</v>
      </c>
      <c r="H32167" t="s">
        <v>31289</v>
      </c>
    </row>
    <row r="32168" spans="1:8">
      <c r="A32168" t="s">
        <v>2277</v>
      </c>
      <c r="B32168">
        <f>HYPERLINK("https://android.googlesource.com/platform/cts/+/1e64a7934450141853cfe5be77127dde510a9789", "1e64a7934450141853cfe5be77127dde510a9789")</f>
        <v>0</v>
      </c>
      <c r="C32168">
        <f>HYPERLINK("https://android.googlesource.com/platform/cts/+/d01a835059849c5f91b8c1ad7fe1d7d121a8089f", "d01a835059849c5f91b8c1ad7fe1d7d121a8089f")</f>
        <v>0</v>
      </c>
      <c r="D32168" t="s">
        <v>5134</v>
      </c>
      <c r="E32168" t="s">
        <v>8006</v>
      </c>
      <c r="F32168" t="s">
        <v>13746</v>
      </c>
      <c r="G32168" t="s">
        <v>17806</v>
      </c>
      <c r="H32168" t="s">
        <v>31428</v>
      </c>
    </row>
    <row r="32169" spans="1:8">
      <c r="H32169" t="s">
        <v>26552</v>
      </c>
    </row>
    <row r="32170" spans="1:8">
      <c r="F32170" t="s">
        <v>13751</v>
      </c>
      <c r="G32170" t="s">
        <v>17811</v>
      </c>
      <c r="H32170" t="s">
        <v>19721</v>
      </c>
    </row>
    <row r="32171" spans="1:8">
      <c r="H32171" t="s">
        <v>31429</v>
      </c>
    </row>
    <row r="32172" spans="1:8">
      <c r="A32172" t="s">
        <v>2278</v>
      </c>
      <c r="B32172">
        <f>HYPERLINK("https://android.googlesource.com/platform/cts/+/023d5d6f228bbb3e990f717e64b082c792aa087c", "023d5d6f228bbb3e990f717e64b082c792aa087c")</f>
        <v>0</v>
      </c>
      <c r="C32172">
        <f>HYPERLINK("https://android.googlesource.com/platform/cts/+/68d2bddce9c3fe197fa3c48e2dad50412566174a", "68d2bddce9c3fe197fa3c48e2dad50412566174a")</f>
        <v>0</v>
      </c>
      <c r="D32172" t="s">
        <v>5314</v>
      </c>
      <c r="E32172" t="s">
        <v>8007</v>
      </c>
      <c r="F32172" t="s">
        <v>13752</v>
      </c>
      <c r="G32172" t="s">
        <v>17812</v>
      </c>
      <c r="H32172" t="s">
        <v>31430</v>
      </c>
    </row>
    <row r="32173" spans="1:8">
      <c r="A32173" t="s">
        <v>2279</v>
      </c>
      <c r="B32173">
        <f>HYPERLINK("https://android.googlesource.com/platform/cts/+/c8c9ddc1d53889c777ac77f2155d6ff1d646cc97", "c8c9ddc1d53889c777ac77f2155d6ff1d646cc97")</f>
        <v>0</v>
      </c>
      <c r="C32173">
        <f>HYPERLINK("https://android.googlesource.com/platform/cts/+/8ce8bacf87e1b6acaca9663f80d3cb3de87be1ba", "8ce8bacf87e1b6acaca9663f80d3cb3de87be1ba")</f>
        <v>0</v>
      </c>
      <c r="D32173" t="s">
        <v>5349</v>
      </c>
      <c r="E32173" t="s">
        <v>8008</v>
      </c>
      <c r="F32173" t="s">
        <v>12710</v>
      </c>
      <c r="G32173" t="s">
        <v>16911</v>
      </c>
      <c r="H32173" t="s">
        <v>31289</v>
      </c>
    </row>
    <row r="32174" spans="1:8">
      <c r="A32174" t="s">
        <v>2280</v>
      </c>
      <c r="B32174">
        <f>HYPERLINK("https://android.googlesource.com/platform/cts/+/4f6721eccec8f51c8ec4555d310509f4570ba3b8", "4f6721eccec8f51c8ec4555d310509f4570ba3b8")</f>
        <v>0</v>
      </c>
      <c r="C32174">
        <f>HYPERLINK("https://android.googlesource.com/platform/cts/+/08434c07d24ad5f27d9d49476b1c2f97a2d1a62f", "08434c07d24ad5f27d9d49476b1c2f97a2d1a62f")</f>
        <v>0</v>
      </c>
      <c r="D32174" t="s">
        <v>5349</v>
      </c>
      <c r="E32174" t="s">
        <v>8009</v>
      </c>
      <c r="F32174" t="s">
        <v>12710</v>
      </c>
      <c r="G32174" t="s">
        <v>16911</v>
      </c>
      <c r="H32174" t="s">
        <v>29656</v>
      </c>
    </row>
    <row r="32175" spans="1:8">
      <c r="A32175" t="s">
        <v>2281</v>
      </c>
      <c r="B32175">
        <f>HYPERLINK("https://android.googlesource.com/platform/cts/+/3b108de29b1de33d1a02dd4d9f225df8e82f7260", "3b108de29b1de33d1a02dd4d9f225df8e82f7260")</f>
        <v>0</v>
      </c>
      <c r="C32175">
        <f>HYPERLINK("https://android.googlesource.com/platform/cts/+/1c5495adbfee486fd9b2d3c848f7d606bb696e0f", "1c5495adbfee486fd9b2d3c848f7d606bb696e0f")</f>
        <v>0</v>
      </c>
      <c r="D32175" t="s">
        <v>5349</v>
      </c>
      <c r="E32175" t="s">
        <v>8010</v>
      </c>
      <c r="F32175" t="s">
        <v>12710</v>
      </c>
      <c r="G32175" t="s">
        <v>16911</v>
      </c>
      <c r="H32175" t="s">
        <v>29656</v>
      </c>
    </row>
    <row r="32176" spans="1:8">
      <c r="A32176" t="s">
        <v>2282</v>
      </c>
      <c r="B32176">
        <f>HYPERLINK("https://android.googlesource.com/platform/cts/+/e968773305189d061c109c56f68d8350bad674d2", "e968773305189d061c109c56f68d8350bad674d2")</f>
        <v>0</v>
      </c>
      <c r="C32176">
        <f>HYPERLINK("https://android.googlesource.com/platform/cts/+/7a05d9c798ffdfa6c72e635a76e2e7791fa63825", "7a05d9c798ffdfa6c72e635a76e2e7791fa63825")</f>
        <v>0</v>
      </c>
      <c r="D32176" t="s">
        <v>5366</v>
      </c>
      <c r="E32176" t="s">
        <v>8011</v>
      </c>
      <c r="F32176" t="s">
        <v>13753</v>
      </c>
      <c r="G32176" t="s">
        <v>17813</v>
      </c>
      <c r="H32176" t="s">
        <v>31431</v>
      </c>
    </row>
    <row r="32177" spans="1:8">
      <c r="H32177" t="s">
        <v>31432</v>
      </c>
    </row>
    <row r="32178" spans="1:8">
      <c r="H32178" t="s">
        <v>31425</v>
      </c>
    </row>
    <row r="32179" spans="1:8">
      <c r="H32179" t="s">
        <v>21323</v>
      </c>
    </row>
    <row r="32180" spans="1:8">
      <c r="H32180" t="s">
        <v>31433</v>
      </c>
    </row>
    <row r="32181" spans="1:8">
      <c r="A32181" t="s">
        <v>2283</v>
      </c>
      <c r="B32181">
        <f>HYPERLINK("https://android.googlesource.com/platform/cts/+/e4140b01c65a28655766124813c880460729d56f", "e4140b01c65a28655766124813c880460729d56f")</f>
        <v>0</v>
      </c>
      <c r="C32181">
        <f>HYPERLINK("https://android.googlesource.com/platform/cts/+/a41f813eacf3c9accbf00fc195a81f3d662da7d7", "a41f813eacf3c9accbf00fc195a81f3d662da7d7")</f>
        <v>0</v>
      </c>
      <c r="D32181" t="s">
        <v>5349</v>
      </c>
      <c r="E32181" t="s">
        <v>8012</v>
      </c>
      <c r="F32181" t="s">
        <v>12710</v>
      </c>
      <c r="G32181" t="s">
        <v>16911</v>
      </c>
      <c r="H32181" t="s">
        <v>29656</v>
      </c>
    </row>
    <row r="32182" spans="1:8">
      <c r="A32182" t="s">
        <v>2284</v>
      </c>
      <c r="B32182">
        <f>HYPERLINK("https://android.googlesource.com/platform/cts/+/099f5fcbf37eee9bdf0f102e5cf8c474301165dc", "099f5fcbf37eee9bdf0f102e5cf8c474301165dc")</f>
        <v>0</v>
      </c>
      <c r="C32182">
        <f>HYPERLINK("https://android.googlesource.com/platform/cts/+/d09fdd24dee8949d0a936bc9abdafcf09384c81c", "d09fdd24dee8949d0a936bc9abdafcf09384c81c")</f>
        <v>0</v>
      </c>
      <c r="D32182" t="s">
        <v>5122</v>
      </c>
      <c r="E32182" t="s">
        <v>8013</v>
      </c>
      <c r="F32182" t="s">
        <v>13754</v>
      </c>
      <c r="G32182" t="s">
        <v>17814</v>
      </c>
      <c r="H32182" t="s">
        <v>31434</v>
      </c>
    </row>
    <row r="32183" spans="1:8">
      <c r="H32183" t="s">
        <v>31435</v>
      </c>
    </row>
    <row r="32184" spans="1:8">
      <c r="A32184" t="s">
        <v>2285</v>
      </c>
      <c r="B32184">
        <f>HYPERLINK("https://android.googlesource.com/platform/cts/+/b43a49f77e7bc4f99bb735ac3330f089c18997b1", "b43a49f77e7bc4f99bb735ac3330f089c18997b1")</f>
        <v>0</v>
      </c>
      <c r="C32184">
        <f>HYPERLINK("https://android.googlesource.com/platform/cts/+/de05ffeb8e9a75bb893f62e06c4ffff83b989196", "de05ffeb8e9a75bb893f62e06c4ffff83b989196")</f>
        <v>0</v>
      </c>
      <c r="D32184" t="s">
        <v>5040</v>
      </c>
      <c r="E32184" t="s">
        <v>8014</v>
      </c>
      <c r="F32184" t="s">
        <v>13738</v>
      </c>
      <c r="G32184" t="s">
        <v>17798</v>
      </c>
      <c r="H32184" t="s">
        <v>31436</v>
      </c>
    </row>
    <row r="32185" spans="1:8">
      <c r="A32185" t="s">
        <v>2286</v>
      </c>
      <c r="B32185">
        <f>HYPERLINK("https://android.googlesource.com/platform/cts/+/e924442d39bdc736351354f559c75ac67a89d5e7", "e924442d39bdc736351354f559c75ac67a89d5e7")</f>
        <v>0</v>
      </c>
      <c r="C32185">
        <f>HYPERLINK("https://android.googlesource.com/platform/cts/+/eae4ccc82d523cde3536d6ff6f2ff7adeab044ee", "eae4ccc82d523cde3536d6ff6f2ff7adeab044ee")</f>
        <v>0</v>
      </c>
      <c r="D32185" t="s">
        <v>5172</v>
      </c>
      <c r="E32185" t="s">
        <v>8015</v>
      </c>
      <c r="F32185" t="s">
        <v>13755</v>
      </c>
      <c r="G32185" t="s">
        <v>17815</v>
      </c>
      <c r="H32185" t="s">
        <v>31437</v>
      </c>
    </row>
    <row r="32186" spans="1:8">
      <c r="A32186" t="s">
        <v>2287</v>
      </c>
      <c r="B32186">
        <f>HYPERLINK("https://android.googlesource.com/platform/cts/+/d08b08429e6728a19159d270095a1320c193aff8", "d08b08429e6728a19159d270095a1320c193aff8")</f>
        <v>0</v>
      </c>
      <c r="C32186">
        <f>HYPERLINK("https://android.googlesource.com/platform/cts/+/fe7e8a8456f719b433a94af967f17eb7e27517fd", "fe7e8a8456f719b433a94af967f17eb7e27517fd")</f>
        <v>0</v>
      </c>
      <c r="D32186" t="s">
        <v>5117</v>
      </c>
      <c r="E32186" t="s">
        <v>8016</v>
      </c>
      <c r="F32186" t="s">
        <v>13332</v>
      </c>
      <c r="G32186" t="s">
        <v>17462</v>
      </c>
      <c r="H32186" t="s">
        <v>31438</v>
      </c>
    </row>
    <row r="32187" spans="1:8">
      <c r="H32187" t="s">
        <v>29719</v>
      </c>
    </row>
    <row r="32188" spans="1:8">
      <c r="A32188" t="s">
        <v>2288</v>
      </c>
      <c r="B32188">
        <f>HYPERLINK("https://android.googlesource.com/platform/cts/+/525e805fe88c7bb2a65a9996248bd01df4f06675", "525e805fe88c7bb2a65a9996248bd01df4f06675")</f>
        <v>0</v>
      </c>
      <c r="C32188">
        <f>HYPERLINK("https://android.googlesource.com/platform/cts/+/a2924ae70c67eee999af6612d2a230fb36f187c7", "a2924ae70c67eee999af6612d2a230fb36f187c7")</f>
        <v>0</v>
      </c>
      <c r="D32188" t="s">
        <v>5134</v>
      </c>
      <c r="E32188" t="s">
        <v>8017</v>
      </c>
      <c r="F32188" t="s">
        <v>13746</v>
      </c>
      <c r="G32188" t="s">
        <v>17806</v>
      </c>
      <c r="H32188" t="s">
        <v>31439</v>
      </c>
    </row>
    <row r="32189" spans="1:8">
      <c r="A32189" t="s">
        <v>2288</v>
      </c>
      <c r="B32189">
        <f>HYPERLINK("https://android.googlesource.com/platform/cts/+/549f4c7218f50a43223852cff3b29af328ac1e74", "549f4c7218f50a43223852cff3b29af328ac1e74")</f>
        <v>0</v>
      </c>
      <c r="C32189">
        <f>HYPERLINK("https://android.googlesource.com/platform/cts/+/525e805fe88c7bb2a65a9996248bd01df4f06675", "525e805fe88c7bb2a65a9996248bd01df4f06675")</f>
        <v>0</v>
      </c>
      <c r="D32189" t="s">
        <v>5134</v>
      </c>
      <c r="E32189" t="s">
        <v>8018</v>
      </c>
      <c r="F32189" t="s">
        <v>13756</v>
      </c>
      <c r="G32189" t="s">
        <v>17371</v>
      </c>
      <c r="H32189" t="s">
        <v>31429</v>
      </c>
    </row>
    <row r="32190" spans="1:8">
      <c r="A32190" t="s">
        <v>2289</v>
      </c>
      <c r="B32190">
        <f>HYPERLINK("https://android.googlesource.com/platform/cts/+/9f78bd64e4c96a12829d76b52a99721275108309", "9f78bd64e4c96a12829d76b52a99721275108309")</f>
        <v>0</v>
      </c>
      <c r="C32190">
        <f>HYPERLINK("https://android.googlesource.com/platform/cts/+/d583251e2cfbab0a45a962391e25b90788c106c6", "d583251e2cfbab0a45a962391e25b90788c106c6")</f>
        <v>0</v>
      </c>
      <c r="D32190" t="s">
        <v>5118</v>
      </c>
      <c r="E32190" t="s">
        <v>8019</v>
      </c>
      <c r="F32190" t="s">
        <v>13165</v>
      </c>
      <c r="G32190" t="s">
        <v>17315</v>
      </c>
      <c r="H32190" t="s">
        <v>30899</v>
      </c>
    </row>
    <row r="32191" spans="1:8">
      <c r="A32191" t="s">
        <v>2290</v>
      </c>
      <c r="B32191">
        <f>HYPERLINK("https://android.googlesource.com/platform/cts/+/2169d4fa17f5d9f7cf7b71adf4da546745cb6494", "2169d4fa17f5d9f7cf7b71adf4da546745cb6494")</f>
        <v>0</v>
      </c>
      <c r="C32191">
        <f>HYPERLINK("https://android.googlesource.com/platform/cts/+/a2924ae70c67eee999af6612d2a230fb36f187c7", "a2924ae70c67eee999af6612d2a230fb36f187c7")</f>
        <v>0</v>
      </c>
      <c r="D32191" t="s">
        <v>5084</v>
      </c>
      <c r="E32191" t="s">
        <v>8020</v>
      </c>
      <c r="F32191" t="s">
        <v>12165</v>
      </c>
      <c r="G32191" t="s">
        <v>15676</v>
      </c>
      <c r="H32191" t="s">
        <v>31290</v>
      </c>
    </row>
    <row r="32192" spans="1:8">
      <c r="A32192" t="s">
        <v>2291</v>
      </c>
      <c r="B32192">
        <f>HYPERLINK("https://android.googlesource.com/platform/cts/+/18deaf8beb458664a3c3365a685bcec03b3d4489", "18deaf8beb458664a3c3365a685bcec03b3d4489")</f>
        <v>0</v>
      </c>
      <c r="C32192">
        <f>HYPERLINK("https://android.googlesource.com/platform/cts/+/1341917cf63444e6b9c721df7ebe79f5b8ca3826", "1341917cf63444e6b9c721df7ebe79f5b8ca3826")</f>
        <v>0</v>
      </c>
      <c r="D32192" t="s">
        <v>5367</v>
      </c>
      <c r="E32192" t="s">
        <v>8021</v>
      </c>
      <c r="F32192" t="s">
        <v>13757</v>
      </c>
      <c r="G32192" t="s">
        <v>17816</v>
      </c>
      <c r="H32192" t="s">
        <v>31440</v>
      </c>
    </row>
    <row r="32193" spans="1:8">
      <c r="A32193" t="s">
        <v>2292</v>
      </c>
      <c r="B32193">
        <f>HYPERLINK("https://android.googlesource.com/platform/cts/+/698a2c9e23ddd590a5031bbc1fad961318bccff0", "698a2c9e23ddd590a5031bbc1fad961318bccff0")</f>
        <v>0</v>
      </c>
      <c r="C32193">
        <f>HYPERLINK("https://android.googlesource.com/platform/cts/+/40e8a005594e31e970ea64af430b96b20f95d32c", "40e8a005594e31e970ea64af430b96b20f95d32c")</f>
        <v>0</v>
      </c>
      <c r="D32193" t="s">
        <v>5368</v>
      </c>
      <c r="E32193" t="s">
        <v>8022</v>
      </c>
      <c r="F32193" t="s">
        <v>13758</v>
      </c>
      <c r="G32193" t="s">
        <v>17817</v>
      </c>
      <c r="H32193" t="s">
        <v>31441</v>
      </c>
    </row>
    <row r="32194" spans="1:8">
      <c r="H32194" t="s">
        <v>31442</v>
      </c>
    </row>
    <row r="32195" spans="1:8">
      <c r="H32195" t="s">
        <v>31443</v>
      </c>
    </row>
    <row r="32196" spans="1:8">
      <c r="H32196" t="s">
        <v>31444</v>
      </c>
    </row>
    <row r="32197" spans="1:8">
      <c r="A32197" t="s">
        <v>2293</v>
      </c>
      <c r="B32197">
        <f>HYPERLINK("https://android.googlesource.com/platform/cts/+/dbbe76b15b806cf916db2f412899de2b4a78acd4", "dbbe76b15b806cf916db2f412899de2b4a78acd4")</f>
        <v>0</v>
      </c>
      <c r="C32197">
        <f>HYPERLINK("https://android.googlesource.com/platform/cts/+/762edcf69a7b86916230b932713281388a82d3ad", "762edcf69a7b86916230b932713281388a82d3ad")</f>
        <v>0</v>
      </c>
      <c r="D32197" t="s">
        <v>5118</v>
      </c>
      <c r="E32197" t="s">
        <v>8023</v>
      </c>
      <c r="F32197" t="s">
        <v>13759</v>
      </c>
      <c r="G32197" t="s">
        <v>17818</v>
      </c>
      <c r="H32197" t="s">
        <v>31445</v>
      </c>
    </row>
    <row r="32198" spans="1:8">
      <c r="A32198" t="s">
        <v>2294</v>
      </c>
      <c r="B32198">
        <f>HYPERLINK("https://android.googlesource.com/platform/cts/+/d7f801e61fd434cd1ab5ebe76343a0a87a8befea", "d7f801e61fd434cd1ab5ebe76343a0a87a8befea")</f>
        <v>0</v>
      </c>
      <c r="C32198">
        <f>HYPERLINK("https://android.googlesource.com/platform/cts/+/2a0ea8e28218a0c66854ebbfa69432f0e0b75bde", "2a0ea8e28218a0c66854ebbfa69432f0e0b75bde")</f>
        <v>0</v>
      </c>
      <c r="D32198" t="s">
        <v>5288</v>
      </c>
      <c r="E32198" t="s">
        <v>8024</v>
      </c>
      <c r="F32198" t="s">
        <v>12629</v>
      </c>
      <c r="G32198" t="s">
        <v>16838</v>
      </c>
      <c r="H32198" t="s">
        <v>31446</v>
      </c>
    </row>
    <row r="32199" spans="1:8">
      <c r="A32199" t="s">
        <v>2295</v>
      </c>
      <c r="B32199">
        <f>HYPERLINK("https://android.googlesource.com/platform/cts/+/8bff2eafa334e1d1ec23825f5ee19cd889200f1a", "8bff2eafa334e1d1ec23825f5ee19cd889200f1a")</f>
        <v>0</v>
      </c>
      <c r="C32199">
        <f>HYPERLINK("https://android.googlesource.com/platform/cts/+/1cb001b4992515db6d0948e18a45a526851653a4", "1cb001b4992515db6d0948e18a45a526851653a4")</f>
        <v>0</v>
      </c>
      <c r="D32199" t="s">
        <v>5369</v>
      </c>
      <c r="E32199" t="s">
        <v>8025</v>
      </c>
      <c r="F32199" t="s">
        <v>13047</v>
      </c>
      <c r="G32199" t="s">
        <v>17211</v>
      </c>
      <c r="H32199" t="s">
        <v>31447</v>
      </c>
    </row>
    <row r="32200" spans="1:8">
      <c r="A32200" t="s">
        <v>2296</v>
      </c>
      <c r="B32200">
        <f>HYPERLINK("https://android.googlesource.com/platform/cts/+/7a68b335b97a687d416b83d526596e3ea8d6e466", "7a68b335b97a687d416b83d526596e3ea8d6e466")</f>
        <v>0</v>
      </c>
      <c r="C32200">
        <f>HYPERLINK("https://android.googlesource.com/platform/cts/+/4dabd7f52b987bf9626bedf6b20fea559428359a", "4dabd7f52b987bf9626bedf6b20fea559428359a")</f>
        <v>0</v>
      </c>
      <c r="D32200" t="s">
        <v>5370</v>
      </c>
      <c r="E32200" t="s">
        <v>8026</v>
      </c>
      <c r="F32200" t="s">
        <v>10624</v>
      </c>
      <c r="G32200" t="s">
        <v>15027</v>
      </c>
      <c r="H32200" t="s">
        <v>31448</v>
      </c>
    </row>
    <row r="32201" spans="1:8">
      <c r="A32201" t="s">
        <v>2297</v>
      </c>
      <c r="B32201">
        <f>HYPERLINK("https://android.googlesource.com/platform/cts/+/d4482f89d50919f5b2c877e2e4bd9e8d4d8e519e", "d4482f89d50919f5b2c877e2e4bd9e8d4d8e519e")</f>
        <v>0</v>
      </c>
      <c r="C32201">
        <f>HYPERLINK("https://android.googlesource.com/platform/cts/+/40e8a005594e31e970ea64af430b96b20f95d32c", "40e8a005594e31e970ea64af430b96b20f95d32c")</f>
        <v>0</v>
      </c>
      <c r="D32201" t="s">
        <v>5141</v>
      </c>
      <c r="E32201" t="s">
        <v>8027</v>
      </c>
      <c r="F32201" t="s">
        <v>13089</v>
      </c>
      <c r="G32201" t="s">
        <v>17251</v>
      </c>
      <c r="H32201" t="s">
        <v>31449</v>
      </c>
    </row>
    <row r="32202" spans="1:8">
      <c r="H32202" t="s">
        <v>31450</v>
      </c>
    </row>
    <row r="32203" spans="1:8">
      <c r="H32203" t="s">
        <v>31451</v>
      </c>
    </row>
    <row r="32204" spans="1:8">
      <c r="A32204" t="s">
        <v>2298</v>
      </c>
      <c r="B32204">
        <f>HYPERLINK("https://android.googlesource.com/platform/cts/+/57e91ed6396e92432884b2e22788d989cb780741", "57e91ed6396e92432884b2e22788d989cb780741")</f>
        <v>0</v>
      </c>
      <c r="C32204">
        <f>HYPERLINK("https://android.googlesource.com/platform/cts/+/40f313360008d6d2f27518d2e81ecfba91a335ab", "40f313360008d6d2f27518d2e81ecfba91a335ab")</f>
        <v>0</v>
      </c>
      <c r="D32204" t="s">
        <v>5134</v>
      </c>
      <c r="E32204" t="s">
        <v>8028</v>
      </c>
      <c r="F32204" t="s">
        <v>13760</v>
      </c>
      <c r="G32204" t="s">
        <v>17811</v>
      </c>
      <c r="H32204" t="s">
        <v>31429</v>
      </c>
    </row>
    <row r="32205" spans="1:8">
      <c r="A32205" t="s">
        <v>2299</v>
      </c>
      <c r="B32205">
        <f>HYPERLINK("https://android.googlesource.com/platform/cts/+/66b81c8cb962ac72163dd079e42f97e6abe58d67", "66b81c8cb962ac72163dd079e42f97e6abe58d67")</f>
        <v>0</v>
      </c>
      <c r="C32205">
        <f>HYPERLINK("https://android.googlesource.com/platform/cts/+/3524bf597d35361cc790c89f4d75691c366f566e", "3524bf597d35361cc790c89f4d75691c366f566e")</f>
        <v>0</v>
      </c>
      <c r="D32205" t="s">
        <v>5224</v>
      </c>
      <c r="E32205" t="s">
        <v>8029</v>
      </c>
      <c r="F32205" t="s">
        <v>13761</v>
      </c>
      <c r="G32205" t="s">
        <v>17819</v>
      </c>
      <c r="H32205" t="s">
        <v>31452</v>
      </c>
    </row>
    <row r="32206" spans="1:8">
      <c r="H32206" t="s">
        <v>31453</v>
      </c>
    </row>
    <row r="32207" spans="1:8">
      <c r="A32207" t="s">
        <v>2300</v>
      </c>
      <c r="B32207">
        <f>HYPERLINK("https://android.googlesource.com/platform/cts/+/7e68cfc02e1fd67cb74f6c182f28133a6da928b7", "7e68cfc02e1fd67cb74f6c182f28133a6da928b7")</f>
        <v>0</v>
      </c>
      <c r="C32207">
        <f>HYPERLINK("https://android.googlesource.com/platform/cts/+/72902e678d024b8755a845c1f1f5e73d653ddabf", "72902e678d024b8755a845c1f1f5e73d653ddabf")</f>
        <v>0</v>
      </c>
      <c r="D32207" t="s">
        <v>5271</v>
      </c>
      <c r="E32207" t="s">
        <v>8030</v>
      </c>
      <c r="F32207" t="s">
        <v>13309</v>
      </c>
      <c r="G32207" t="s">
        <v>17442</v>
      </c>
      <c r="H32207" t="s">
        <v>31454</v>
      </c>
    </row>
    <row r="32208" spans="1:8">
      <c r="A32208" t="s">
        <v>2301</v>
      </c>
      <c r="B32208">
        <f>HYPERLINK("https://android.googlesource.com/platform/cts/+/e01161eb14e12170c9927023b93792386117345e", "e01161eb14e12170c9927023b93792386117345e")</f>
        <v>0</v>
      </c>
      <c r="C32208">
        <f>HYPERLINK("https://android.googlesource.com/platform/cts/+/0c508ea8dad5a3064f74ffe4874f1d7ddbe647ef", "0c508ea8dad5a3064f74ffe4874f1d7ddbe647ef")</f>
        <v>0</v>
      </c>
      <c r="D32208" t="s">
        <v>5046</v>
      </c>
      <c r="E32208" t="s">
        <v>8031</v>
      </c>
      <c r="F32208" t="s">
        <v>13762</v>
      </c>
      <c r="G32208" t="s">
        <v>16873</v>
      </c>
      <c r="H32208" t="s">
        <v>31455</v>
      </c>
    </row>
    <row r="32209" spans="1:8">
      <c r="H32209" t="s">
        <v>20166</v>
      </c>
    </row>
    <row r="32210" spans="1:8">
      <c r="H32210" t="s">
        <v>31456</v>
      </c>
    </row>
    <row r="32211" spans="1:8">
      <c r="H32211" t="s">
        <v>31457</v>
      </c>
    </row>
    <row r="32212" spans="1:8">
      <c r="A32212" t="s">
        <v>2302</v>
      </c>
      <c r="B32212">
        <f>HYPERLINK("https://android.googlesource.com/platform/cts/+/7b0955af101617909c129f9a29bc94b3fd9a3c75", "7b0955af101617909c129f9a29bc94b3fd9a3c75")</f>
        <v>0</v>
      </c>
      <c r="C32212">
        <f>HYPERLINK("https://android.googlesource.com/platform/cts/+/3cced45a91cc0515b5a20a8c4017ec5b4deb927b", "3cced45a91cc0515b5a20a8c4017ec5b4deb927b")</f>
        <v>0</v>
      </c>
      <c r="D32212" t="s">
        <v>5046</v>
      </c>
      <c r="E32212" t="s">
        <v>8032</v>
      </c>
      <c r="F32212" t="s">
        <v>13432</v>
      </c>
      <c r="G32212" t="s">
        <v>17556</v>
      </c>
      <c r="H32212" t="s">
        <v>31458</v>
      </c>
    </row>
    <row r="32213" spans="1:8">
      <c r="H32213" t="s">
        <v>31459</v>
      </c>
    </row>
    <row r="32214" spans="1:8">
      <c r="H32214" t="s">
        <v>31460</v>
      </c>
    </row>
    <row r="32215" spans="1:8">
      <c r="H32215" t="s">
        <v>31461</v>
      </c>
    </row>
    <row r="32216" spans="1:8">
      <c r="H32216" t="s">
        <v>31462</v>
      </c>
    </row>
    <row r="32217" spans="1:8">
      <c r="H32217" t="s">
        <v>31463</v>
      </c>
    </row>
    <row r="32218" spans="1:8">
      <c r="A32218" t="s">
        <v>2303</v>
      </c>
      <c r="B32218">
        <f>HYPERLINK("https://android.googlesource.com/platform/cts/+/a9d947c27a506348d6843910c4d30d849f897a94", "a9d947c27a506348d6843910c4d30d849f897a94")</f>
        <v>0</v>
      </c>
      <c r="C32218">
        <f>HYPERLINK("https://android.googlesource.com/platform/cts/+/7cf5c6c60f300c22deabdafff0abc6579c110f5b", "7cf5c6c60f300c22deabdafff0abc6579c110f5b")</f>
        <v>0</v>
      </c>
      <c r="D32218" t="s">
        <v>5046</v>
      </c>
      <c r="E32218" t="s">
        <v>8033</v>
      </c>
      <c r="F32218" t="s">
        <v>13763</v>
      </c>
      <c r="G32218" t="s">
        <v>17820</v>
      </c>
      <c r="H32218" t="s">
        <v>31459</v>
      </c>
    </row>
    <row r="32219" spans="1:8">
      <c r="H32219" t="s">
        <v>31460</v>
      </c>
    </row>
    <row r="32220" spans="1:8">
      <c r="H32220" t="s">
        <v>31461</v>
      </c>
    </row>
    <row r="32221" spans="1:8">
      <c r="H32221" t="s">
        <v>31462</v>
      </c>
    </row>
    <row r="32222" spans="1:8">
      <c r="H32222" t="s">
        <v>31463</v>
      </c>
    </row>
    <row r="32223" spans="1:8">
      <c r="A32223" t="s">
        <v>2304</v>
      </c>
      <c r="B32223">
        <f>HYPERLINK("https://android.googlesource.com/platform/cts/+/dca9bf76d76aa9b2023f2ec3d22e1c61102539d1", "dca9bf76d76aa9b2023f2ec3d22e1c61102539d1")</f>
        <v>0</v>
      </c>
      <c r="C32223">
        <f>HYPERLINK("https://android.googlesource.com/platform/cts/+/c6b9d4351cc48c644a6ddd8b4c0250de84549f7b", "c6b9d4351cc48c644a6ddd8b4c0250de84549f7b")</f>
        <v>0</v>
      </c>
      <c r="D32223" t="s">
        <v>5263</v>
      </c>
      <c r="E32223" t="s">
        <v>8034</v>
      </c>
      <c r="F32223" t="s">
        <v>13673</v>
      </c>
      <c r="G32223" t="s">
        <v>15029</v>
      </c>
      <c r="H32223" t="s">
        <v>31464</v>
      </c>
    </row>
    <row r="32224" spans="1:8">
      <c r="A32224" t="s">
        <v>2305</v>
      </c>
      <c r="B32224">
        <f>HYPERLINK("https://android.googlesource.com/platform/cts/+/6190d13a522a0901a3cae568fe003f9cc4f58bc9", "6190d13a522a0901a3cae568fe003f9cc4f58bc9")</f>
        <v>0</v>
      </c>
      <c r="C32224">
        <f>HYPERLINK("https://android.googlesource.com/platform/cts/+/67b715293484e2c455150be0b9ddad96cc902db7", "67b715293484e2c455150be0b9ddad96cc902db7")</f>
        <v>0</v>
      </c>
      <c r="D32224" t="s">
        <v>4981</v>
      </c>
      <c r="E32224" t="s">
        <v>8035</v>
      </c>
      <c r="F32224" t="s">
        <v>13764</v>
      </c>
      <c r="G32224" t="s">
        <v>17821</v>
      </c>
      <c r="H32224" t="s">
        <v>31465</v>
      </c>
    </row>
    <row r="32225" spans="1:8">
      <c r="A32225" t="s">
        <v>2306</v>
      </c>
      <c r="B32225">
        <f>HYPERLINK("https://android.googlesource.com/platform/cts/+/a809aaaac8493821e1a4f232f622f71e4aadc4a0", "a809aaaac8493821e1a4f232f622f71e4aadc4a0")</f>
        <v>0</v>
      </c>
      <c r="C32225">
        <f>HYPERLINK("https://android.googlesource.com/platform/cts/+/8bf338e87df2a1390ecf3632d6a2ce7daa187936", "8bf338e87df2a1390ecf3632d6a2ce7daa187936")</f>
        <v>0</v>
      </c>
      <c r="D32225" t="s">
        <v>5371</v>
      </c>
      <c r="E32225" t="s">
        <v>8036</v>
      </c>
      <c r="F32225" t="s">
        <v>11191</v>
      </c>
      <c r="G32225" t="s">
        <v>15580</v>
      </c>
      <c r="H32225" t="s">
        <v>31466</v>
      </c>
    </row>
    <row r="32226" spans="1:8">
      <c r="H32226" t="s">
        <v>31467</v>
      </c>
    </row>
    <row r="32227" spans="1:8">
      <c r="A32227" t="s">
        <v>2307</v>
      </c>
      <c r="B32227">
        <f>HYPERLINK("https://android.googlesource.com/platform/cts/+/209c245b9e9684fe29ec04ab0526a6de57bf60d4", "209c245b9e9684fe29ec04ab0526a6de57bf60d4")</f>
        <v>0</v>
      </c>
      <c r="C32227">
        <f>HYPERLINK("https://android.googlesource.com/platform/cts/+/30fe1b769f2b082e9b9b909f111c4e899d4bf11f", "30fe1b769f2b082e9b9b909f111c4e899d4bf11f")</f>
        <v>0</v>
      </c>
      <c r="D32227" t="s">
        <v>5134</v>
      </c>
      <c r="E32227" t="s">
        <v>8037</v>
      </c>
      <c r="F32227" t="s">
        <v>13765</v>
      </c>
      <c r="G32227" t="s">
        <v>17822</v>
      </c>
      <c r="H32227" t="s">
        <v>31468</v>
      </c>
    </row>
    <row r="32228" spans="1:8">
      <c r="A32228" t="s">
        <v>2308</v>
      </c>
      <c r="B32228">
        <f>HYPERLINK("https://android.googlesource.com/platform/cts/+/825057c3eb02fd10b5dc694978ae647b173a172c", "825057c3eb02fd10b5dc694978ae647b173a172c")</f>
        <v>0</v>
      </c>
      <c r="C32228">
        <f>HYPERLINK("https://android.googlesource.com/platform/cts/+/5b7a7f0b126854034f92d18754a6a6f2566b91c4", "5b7a7f0b126854034f92d18754a6a6f2566b91c4")</f>
        <v>0</v>
      </c>
      <c r="D32228" t="s">
        <v>5296</v>
      </c>
      <c r="E32228" t="s">
        <v>8038</v>
      </c>
      <c r="F32228" t="s">
        <v>10740</v>
      </c>
      <c r="G32228" t="s">
        <v>15139</v>
      </c>
      <c r="H32228" t="s">
        <v>31469</v>
      </c>
    </row>
    <row r="32229" spans="1:8">
      <c r="H32229" t="s">
        <v>31470</v>
      </c>
    </row>
    <row r="32230" spans="1:8">
      <c r="A32230" t="s">
        <v>2309</v>
      </c>
      <c r="B32230">
        <f>HYPERLINK("https://android.googlesource.com/platform/cts/+/4d24a14d1349cc2d8e61a1df0508788fbdbd23bc", "4d24a14d1349cc2d8e61a1df0508788fbdbd23bc")</f>
        <v>0</v>
      </c>
      <c r="C32230">
        <f>HYPERLINK("https://android.googlesource.com/platform/cts/+/cafd7d0f74a2ac6f4bbb3736d8988d07084df2e6", "cafd7d0f74a2ac6f4bbb3736d8988d07084df2e6")</f>
        <v>0</v>
      </c>
      <c r="D32230" t="s">
        <v>5359</v>
      </c>
      <c r="E32230" t="s">
        <v>8039</v>
      </c>
      <c r="F32230" t="s">
        <v>13730</v>
      </c>
      <c r="G32230" t="s">
        <v>16824</v>
      </c>
      <c r="H32230" t="s">
        <v>31471</v>
      </c>
    </row>
    <row r="32231" spans="1:8">
      <c r="H32231" t="s">
        <v>31472</v>
      </c>
    </row>
    <row r="32232" spans="1:8">
      <c r="H32232" t="s">
        <v>19721</v>
      </c>
    </row>
    <row r="32233" spans="1:8">
      <c r="H32233" t="s">
        <v>31473</v>
      </c>
    </row>
    <row r="32234" spans="1:8">
      <c r="H32234" t="s">
        <v>20083</v>
      </c>
    </row>
    <row r="32235" spans="1:8">
      <c r="H32235" t="s">
        <v>20083</v>
      </c>
    </row>
    <row r="32236" spans="1:8">
      <c r="H32236" t="s">
        <v>31474</v>
      </c>
    </row>
    <row r="32237" spans="1:8">
      <c r="H32237" t="s">
        <v>31475</v>
      </c>
    </row>
    <row r="32238" spans="1:8">
      <c r="H32238" t="s">
        <v>31277</v>
      </c>
    </row>
    <row r="32239" spans="1:8">
      <c r="A32239" t="s">
        <v>2310</v>
      </c>
      <c r="B32239">
        <f>HYPERLINK("https://android.googlesource.com/platform/cts/+/f5b5cecb825d166fee6c92daa42c45973445c763", "f5b5cecb825d166fee6c92daa42c45973445c763")</f>
        <v>0</v>
      </c>
      <c r="C32239">
        <f>HYPERLINK("https://android.googlesource.com/platform/cts/+/11b56a4fe5944b0ced825622d155bfe8e2c4e652", "11b56a4fe5944b0ced825622d155bfe8e2c4e652")</f>
        <v>0</v>
      </c>
      <c r="D32239" t="s">
        <v>5363</v>
      </c>
      <c r="E32239" t="s">
        <v>8040</v>
      </c>
      <c r="F32239" t="s">
        <v>10605</v>
      </c>
      <c r="G32239" t="s">
        <v>15008</v>
      </c>
      <c r="H32239" t="s">
        <v>31476</v>
      </c>
    </row>
    <row r="32240" spans="1:8">
      <c r="A32240" t="s">
        <v>2311</v>
      </c>
      <c r="B32240">
        <f>HYPERLINK("https://android.googlesource.com/platform/cts/+/00c52ae0c93109a29c707517d746962cb2dfbf12", "00c52ae0c93109a29c707517d746962cb2dfbf12")</f>
        <v>0</v>
      </c>
      <c r="C32240">
        <f>HYPERLINK("https://android.googlesource.com/platform/cts/+/8f14829962fdc7aeb5ccbce6b5a3a0119e8cb0c7", "8f14829962fdc7aeb5ccbce6b5a3a0119e8cb0c7")</f>
        <v>0</v>
      </c>
      <c r="D32240" t="s">
        <v>5371</v>
      </c>
      <c r="E32240" t="s">
        <v>8041</v>
      </c>
      <c r="F32240" t="s">
        <v>10687</v>
      </c>
      <c r="G32240" t="s">
        <v>15087</v>
      </c>
      <c r="H32240" t="s">
        <v>31477</v>
      </c>
    </row>
    <row r="32241" spans="1:8">
      <c r="A32241" t="s">
        <v>2312</v>
      </c>
      <c r="B32241">
        <f>HYPERLINK("https://android.googlesource.com/platform/cts/+/6d2ffaca4e8aeed90250680fe8f7d4a62862a3b0", "6d2ffaca4e8aeed90250680fe8f7d4a62862a3b0")</f>
        <v>0</v>
      </c>
      <c r="C32241">
        <f>HYPERLINK("https://android.googlesource.com/platform/cts/+/d564eb07cec8b5effda4ceaf76af0eb0de559d54", "d564eb07cec8b5effda4ceaf76af0eb0de559d54")</f>
        <v>0</v>
      </c>
      <c r="D32241" t="s">
        <v>5040</v>
      </c>
      <c r="E32241" t="s">
        <v>8042</v>
      </c>
      <c r="F32241" t="s">
        <v>12344</v>
      </c>
      <c r="G32241" t="s">
        <v>16572</v>
      </c>
      <c r="H32241" t="s">
        <v>30523</v>
      </c>
    </row>
    <row r="32242" spans="1:8">
      <c r="A32242" t="s">
        <v>2313</v>
      </c>
      <c r="B32242">
        <f>HYPERLINK("https://android.googlesource.com/platform/cts/+/1bd7fd87dc5f095eb076296d383d5aaf2f92e60f", "1bd7fd87dc5f095eb076296d383d5aaf2f92e60f")</f>
        <v>0</v>
      </c>
      <c r="C32242">
        <f>HYPERLINK("https://android.googlesource.com/platform/cts/+/df46da7632423fb3a8d99c568b0a4c33c48878c1", "df46da7632423fb3a8d99c568b0a4c33c48878c1")</f>
        <v>0</v>
      </c>
      <c r="D32242" t="s">
        <v>5349</v>
      </c>
      <c r="E32242" t="s">
        <v>8043</v>
      </c>
      <c r="F32242" t="s">
        <v>13716</v>
      </c>
      <c r="G32242" t="s">
        <v>17783</v>
      </c>
      <c r="H32242" t="s">
        <v>31223</v>
      </c>
    </row>
    <row r="32243" spans="1:8">
      <c r="H32243" t="s">
        <v>31224</v>
      </c>
    </row>
    <row r="32244" spans="1:8">
      <c r="H32244" t="s">
        <v>31225</v>
      </c>
    </row>
    <row r="32245" spans="1:8">
      <c r="H32245" t="s">
        <v>31226</v>
      </c>
    </row>
    <row r="32246" spans="1:8">
      <c r="H32246" t="s">
        <v>31227</v>
      </c>
    </row>
    <row r="32247" spans="1:8">
      <c r="H32247" t="s">
        <v>31228</v>
      </c>
    </row>
    <row r="32248" spans="1:8">
      <c r="A32248" t="s">
        <v>2314</v>
      </c>
      <c r="B32248">
        <f>HYPERLINK("https://android.googlesource.com/platform/cts/+/d4a29e44b8fb09822e218b6ebc2247000e481d76", "d4a29e44b8fb09822e218b6ebc2247000e481d76")</f>
        <v>0</v>
      </c>
      <c r="C32248">
        <f>HYPERLINK("https://android.googlesource.com/platform/cts/+/43ed8521c33206da31f884bb003c298708a1e1ac", "43ed8521c33206da31f884bb003c298708a1e1ac")</f>
        <v>0</v>
      </c>
      <c r="D32248" t="s">
        <v>5349</v>
      </c>
      <c r="E32248" t="s">
        <v>8044</v>
      </c>
      <c r="F32248" t="s">
        <v>13716</v>
      </c>
      <c r="G32248" t="s">
        <v>17783</v>
      </c>
      <c r="H32248" t="s">
        <v>31223</v>
      </c>
    </row>
    <row r="32249" spans="1:8">
      <c r="H32249" t="s">
        <v>31224</v>
      </c>
    </row>
    <row r="32250" spans="1:8">
      <c r="H32250" t="s">
        <v>31225</v>
      </c>
    </row>
    <row r="32251" spans="1:8">
      <c r="H32251" t="s">
        <v>31226</v>
      </c>
    </row>
    <row r="32252" spans="1:8">
      <c r="H32252" t="s">
        <v>31227</v>
      </c>
    </row>
    <row r="32253" spans="1:8">
      <c r="H32253" t="s">
        <v>31228</v>
      </c>
    </row>
    <row r="32254" spans="1:8">
      <c r="A32254" t="s">
        <v>2315</v>
      </c>
      <c r="B32254">
        <f>HYPERLINK("https://android.googlesource.com/platform/cts/+/7137ccad4f425a80832afaee8d82bbbfe1fa544a", "7137ccad4f425a80832afaee8d82bbbfe1fa544a")</f>
        <v>0</v>
      </c>
      <c r="C32254">
        <f>HYPERLINK("https://android.googlesource.com/platform/cts/+/2c65204a1e7db9267ef43d67f06e029e73ab43da", "2c65204a1e7db9267ef43d67f06e029e73ab43da")</f>
        <v>0</v>
      </c>
      <c r="D32254" t="s">
        <v>5365</v>
      </c>
      <c r="E32254" t="s">
        <v>8045</v>
      </c>
      <c r="F32254" t="s">
        <v>10794</v>
      </c>
      <c r="G32254" t="s">
        <v>15189</v>
      </c>
      <c r="H32254" t="s">
        <v>31478</v>
      </c>
    </row>
    <row r="32255" spans="1:8">
      <c r="H32255" t="s">
        <v>31479</v>
      </c>
    </row>
    <row r="32256" spans="1:8">
      <c r="H32256" t="s">
        <v>31480</v>
      </c>
    </row>
    <row r="32257" spans="1:8">
      <c r="H32257" t="s">
        <v>31481</v>
      </c>
    </row>
    <row r="32258" spans="1:8">
      <c r="H32258" t="s">
        <v>31482</v>
      </c>
    </row>
    <row r="32259" spans="1:8">
      <c r="H32259" t="s">
        <v>31483</v>
      </c>
    </row>
    <row r="32260" spans="1:8">
      <c r="A32260" t="s">
        <v>2316</v>
      </c>
      <c r="B32260">
        <f>HYPERLINK("https://android.googlesource.com/platform/cts/+/b04e27263001428b9f343010f422e71bd8713fe1", "b04e27263001428b9f343010f422e71bd8713fe1")</f>
        <v>0</v>
      </c>
      <c r="C32260">
        <f>HYPERLINK("https://android.googlesource.com/platform/cts/+/69bb567e68e3ea6ea9e8071b3d899da51ed996eb", "69bb567e68e3ea6ea9e8071b3d899da51ed996eb")</f>
        <v>0</v>
      </c>
      <c r="D32260" t="s">
        <v>4949</v>
      </c>
      <c r="E32260" t="s">
        <v>8046</v>
      </c>
      <c r="F32260" t="s">
        <v>13442</v>
      </c>
      <c r="G32260" t="s">
        <v>17564</v>
      </c>
      <c r="H32260" t="s">
        <v>18829</v>
      </c>
    </row>
    <row r="32261" spans="1:8">
      <c r="H32261" t="s">
        <v>31484</v>
      </c>
    </row>
    <row r="32262" spans="1:8">
      <c r="H32262" t="s">
        <v>31485</v>
      </c>
    </row>
    <row r="32263" spans="1:8">
      <c r="H32263" t="s">
        <v>31486</v>
      </c>
    </row>
    <row r="32264" spans="1:8">
      <c r="H32264" t="s">
        <v>31487</v>
      </c>
    </row>
    <row r="32265" spans="1:8">
      <c r="H32265" t="s">
        <v>31488</v>
      </c>
    </row>
    <row r="32266" spans="1:8">
      <c r="H32266" t="s">
        <v>30984</v>
      </c>
    </row>
    <row r="32267" spans="1:8">
      <c r="H32267" t="s">
        <v>31489</v>
      </c>
    </row>
    <row r="32268" spans="1:8">
      <c r="H32268" t="s">
        <v>31490</v>
      </c>
    </row>
    <row r="32269" spans="1:8">
      <c r="H32269" t="s">
        <v>31490</v>
      </c>
    </row>
    <row r="32270" spans="1:8">
      <c r="H32270" t="s">
        <v>31491</v>
      </c>
    </row>
    <row r="32271" spans="1:8">
      <c r="H32271" t="s">
        <v>31492</v>
      </c>
    </row>
    <row r="32272" spans="1:8">
      <c r="H32272" t="s">
        <v>31493</v>
      </c>
    </row>
    <row r="32273" spans="1:8">
      <c r="H32273" t="s">
        <v>31494</v>
      </c>
    </row>
    <row r="32274" spans="1:8">
      <c r="H32274" t="s">
        <v>31495</v>
      </c>
    </row>
    <row r="32275" spans="1:8">
      <c r="H32275" t="s">
        <v>31496</v>
      </c>
    </row>
    <row r="32276" spans="1:8">
      <c r="H32276" t="s">
        <v>31496</v>
      </c>
    </row>
    <row r="32277" spans="1:8">
      <c r="H32277" t="s">
        <v>31497</v>
      </c>
    </row>
    <row r="32278" spans="1:8">
      <c r="H32278" t="s">
        <v>30899</v>
      </c>
    </row>
    <row r="32279" spans="1:8">
      <c r="H32279" t="s">
        <v>29213</v>
      </c>
    </row>
    <row r="32280" spans="1:8">
      <c r="A32280" t="s">
        <v>2317</v>
      </c>
      <c r="B32280">
        <f>HYPERLINK("https://android.googlesource.com/platform/cts/+/dc5231ef6c04972549bfe717fd65d0c5f10f52ac", "dc5231ef6c04972549bfe717fd65d0c5f10f52ac")</f>
        <v>0</v>
      </c>
      <c r="C32280">
        <f>HYPERLINK("https://android.googlesource.com/platform/cts/+/80cb88106e953cde366e72b6c6bbe34414845a2f", "80cb88106e953cde366e72b6c6bbe34414845a2f")</f>
        <v>0</v>
      </c>
      <c r="D32280" t="s">
        <v>5029</v>
      </c>
      <c r="E32280" t="s">
        <v>8047</v>
      </c>
      <c r="F32280" t="s">
        <v>13766</v>
      </c>
      <c r="G32280" t="s">
        <v>17823</v>
      </c>
      <c r="H32280" t="s">
        <v>31498</v>
      </c>
    </row>
    <row r="32281" spans="1:8">
      <c r="A32281" t="s">
        <v>2318</v>
      </c>
      <c r="B32281">
        <f>HYPERLINK("https://android.googlesource.com/platform/cts/+/2496118a0fe909fb60ac76b4cd636ce5bb9c1e85", "2496118a0fe909fb60ac76b4cd636ce5bb9c1e85")</f>
        <v>0</v>
      </c>
      <c r="C32281">
        <f>HYPERLINK("https://android.googlesource.com/platform/cts/+/fb25cfbeb005247feafc443a9340be4dda37115d", "fb25cfbeb005247feafc443a9340be4dda37115d")</f>
        <v>0</v>
      </c>
      <c r="D32281" t="s">
        <v>5117</v>
      </c>
      <c r="E32281" t="s">
        <v>8048</v>
      </c>
      <c r="F32281" t="s">
        <v>13767</v>
      </c>
      <c r="G32281" t="s">
        <v>17824</v>
      </c>
      <c r="H32281" t="s">
        <v>31499</v>
      </c>
    </row>
    <row r="32282" spans="1:8">
      <c r="A32282" t="s">
        <v>2319</v>
      </c>
      <c r="B32282">
        <f>HYPERLINK("https://android.googlesource.com/platform/cts/+/72ac97ee179e776c9c64cddaaa3a0f50fc6c86c5", "72ac97ee179e776c9c64cddaaa3a0f50fc6c86c5")</f>
        <v>0</v>
      </c>
      <c r="C32282">
        <f>HYPERLINK("https://android.googlesource.com/platform/cts/+/08c8632988022fbba5969618c81cea9a7a3c02cf", "08c8632988022fbba5969618c81cea9a7a3c02cf")</f>
        <v>0</v>
      </c>
      <c r="D32282" t="s">
        <v>5372</v>
      </c>
      <c r="E32282" t="s">
        <v>8049</v>
      </c>
      <c r="F32282" t="s">
        <v>13768</v>
      </c>
      <c r="G32282" t="s">
        <v>17825</v>
      </c>
      <c r="H32282" t="s">
        <v>31500</v>
      </c>
    </row>
    <row r="32283" spans="1:8">
      <c r="H32283" t="s">
        <v>31501</v>
      </c>
    </row>
    <row r="32284" spans="1:8">
      <c r="A32284" t="s">
        <v>2320</v>
      </c>
      <c r="B32284">
        <f>HYPERLINK("https://android.googlesource.com/platform/cts/+/6a765ef76f8423f66ae38f773b522f11a5cb3eec", "6a765ef76f8423f66ae38f773b522f11a5cb3eec")</f>
        <v>0</v>
      </c>
      <c r="C32284">
        <f>HYPERLINK("https://android.googlesource.com/platform/cts/+/77eb3a28499bf92052e4ea866d55162a85d0301e", "77eb3a28499bf92052e4ea866d55162a85d0301e")</f>
        <v>0</v>
      </c>
      <c r="D32284" t="s">
        <v>5117</v>
      </c>
      <c r="E32284" t="s">
        <v>8050</v>
      </c>
      <c r="F32284" t="s">
        <v>13758</v>
      </c>
      <c r="G32284" t="s">
        <v>17817</v>
      </c>
      <c r="H32284" t="s">
        <v>31502</v>
      </c>
    </row>
    <row r="32285" spans="1:8">
      <c r="A32285" t="s">
        <v>2321</v>
      </c>
      <c r="B32285">
        <f>HYPERLINK("https://android.googlesource.com/platform/cts/+/5100ab9b0a698ff561ab95b3ba115e47302daccd", "5100ab9b0a698ff561ab95b3ba115e47302daccd")</f>
        <v>0</v>
      </c>
      <c r="C32285">
        <f>HYPERLINK("https://android.googlesource.com/platform/cts/+/eddcacf11881de9baec30662d61563f332c0edca", "eddcacf11881de9baec30662d61563f332c0edca")</f>
        <v>0</v>
      </c>
      <c r="D32285" t="s">
        <v>5132</v>
      </c>
      <c r="E32285" t="s">
        <v>8051</v>
      </c>
      <c r="F32285" t="s">
        <v>12857</v>
      </c>
      <c r="G32285" t="s">
        <v>17027</v>
      </c>
      <c r="H32285" t="s">
        <v>30928</v>
      </c>
    </row>
    <row r="32286" spans="1:8">
      <c r="H32286" t="s">
        <v>30931</v>
      </c>
    </row>
    <row r="32287" spans="1:8">
      <c r="A32287" t="s">
        <v>2322</v>
      </c>
      <c r="B32287">
        <f>HYPERLINK("https://android.googlesource.com/platform/cts/+/0ae122622d9f85d7bef94b59dbb49ea751c9099a", "0ae122622d9f85d7bef94b59dbb49ea751c9099a")</f>
        <v>0</v>
      </c>
      <c r="C32287">
        <f>HYPERLINK("https://android.googlesource.com/platform/cts/+/a911bf96165e5e7c6251d079d505c3cc043cf565", "a911bf96165e5e7c6251d079d505c3cc043cf565")</f>
        <v>0</v>
      </c>
      <c r="D32287" t="s">
        <v>5373</v>
      </c>
      <c r="E32287" t="s">
        <v>8052</v>
      </c>
      <c r="F32287" t="s">
        <v>13769</v>
      </c>
      <c r="G32287" t="s">
        <v>17209</v>
      </c>
      <c r="H32287" t="s">
        <v>31503</v>
      </c>
    </row>
    <row r="32288" spans="1:8">
      <c r="H32288" t="s">
        <v>31504</v>
      </c>
    </row>
    <row r="32289" spans="1:8">
      <c r="A32289" t="s">
        <v>2323</v>
      </c>
      <c r="B32289">
        <f>HYPERLINK("https://android.googlesource.com/platform/cts/+/c1d3ab52182154ebd2ad6aa837f14c23c387fb4c", "c1d3ab52182154ebd2ad6aa837f14c23c387fb4c")</f>
        <v>0</v>
      </c>
      <c r="C32289">
        <f>HYPERLINK("https://android.googlesource.com/platform/cts/+/71bc7ebb8f41ffca892e1d0b20d7e7478937d951", "71bc7ebb8f41ffca892e1d0b20d7e7478937d951")</f>
        <v>0</v>
      </c>
      <c r="D32289" t="s">
        <v>5344</v>
      </c>
      <c r="E32289" t="s">
        <v>8053</v>
      </c>
      <c r="F32289" t="s">
        <v>13756</v>
      </c>
      <c r="G32289" t="s">
        <v>17371</v>
      </c>
      <c r="H32289" t="s">
        <v>31505</v>
      </c>
    </row>
    <row r="32290" spans="1:8">
      <c r="A32290" t="s">
        <v>2324</v>
      </c>
      <c r="B32290">
        <f>HYPERLINK("https://android.googlesource.com/platform/cts/+/76ff4af59a4753ea627654a4d7b257728e9746fe", "76ff4af59a4753ea627654a4d7b257728e9746fe")</f>
        <v>0</v>
      </c>
      <c r="C32290">
        <f>HYPERLINK("https://android.googlesource.com/platform/cts/+/0ca5decb2d59e653f685142932f17499bdc22c3e", "0ca5decb2d59e653f685142932f17499bdc22c3e")</f>
        <v>0</v>
      </c>
      <c r="D32290" t="s">
        <v>5374</v>
      </c>
      <c r="E32290" t="s">
        <v>8054</v>
      </c>
      <c r="F32290" t="s">
        <v>13197</v>
      </c>
      <c r="G32290" t="s">
        <v>17340</v>
      </c>
      <c r="H32290" t="s">
        <v>31445</v>
      </c>
    </row>
    <row r="32291" spans="1:8">
      <c r="F32291" t="s">
        <v>13165</v>
      </c>
      <c r="G32291" t="s">
        <v>17315</v>
      </c>
      <c r="H32291" t="s">
        <v>31506</v>
      </c>
    </row>
    <row r="32292" spans="1:8">
      <c r="A32292" t="s">
        <v>2325</v>
      </c>
      <c r="B32292">
        <f>HYPERLINK("https://android.googlesource.com/platform/cts/+/7e609b9d2e8b2875270c6747b141e913180f0059", "7e609b9d2e8b2875270c6747b141e913180f0059")</f>
        <v>0</v>
      </c>
      <c r="C32292">
        <f>HYPERLINK("https://android.googlesource.com/platform/cts/+/83b03f0cd86afea1e3b98fac119f1b943275c6fa", "83b03f0cd86afea1e3b98fac119f1b943275c6fa")</f>
        <v>0</v>
      </c>
      <c r="D32292" t="s">
        <v>5363</v>
      </c>
      <c r="E32292" t="s">
        <v>8055</v>
      </c>
      <c r="F32292" t="s">
        <v>13770</v>
      </c>
      <c r="G32292" t="s">
        <v>14997</v>
      </c>
      <c r="H32292" t="s">
        <v>18974</v>
      </c>
    </row>
    <row r="32293" spans="1:8">
      <c r="A32293" t="s">
        <v>2326</v>
      </c>
      <c r="B32293">
        <f>HYPERLINK("https://android.googlesource.com/platform/cts/+/45fb5484c9a882b8f0974e925075ecd46f3f6aa0", "45fb5484c9a882b8f0974e925075ecd46f3f6aa0")</f>
        <v>0</v>
      </c>
      <c r="C32293">
        <f>HYPERLINK("https://android.googlesource.com/platform/cts/+/de1a06a8c534d6ae497d022cc188be26d95089d0", "de1a06a8c534d6ae497d022cc188be26d95089d0")</f>
        <v>0</v>
      </c>
      <c r="D32293" t="s">
        <v>5375</v>
      </c>
      <c r="E32293" t="s">
        <v>8056</v>
      </c>
      <c r="F32293" t="s">
        <v>13771</v>
      </c>
      <c r="G32293" t="s">
        <v>17826</v>
      </c>
      <c r="H32293" t="s">
        <v>31507</v>
      </c>
    </row>
    <row r="32294" spans="1:8">
      <c r="A32294" t="s">
        <v>2327</v>
      </c>
      <c r="B32294">
        <f>HYPERLINK("https://android.googlesource.com/platform/cts/+/9381b17063063adcf07d795631ec0e81b2b9400d", "9381b17063063adcf07d795631ec0e81b2b9400d")</f>
        <v>0</v>
      </c>
      <c r="C32294">
        <f>HYPERLINK("https://android.googlesource.com/platform/cts/+/f9174105834b117674efb98a8a27ad435a196356", "f9174105834b117674efb98a8a27ad435a196356")</f>
        <v>0</v>
      </c>
      <c r="D32294" t="s">
        <v>5376</v>
      </c>
      <c r="E32294" t="s">
        <v>8057</v>
      </c>
      <c r="F32294" t="s">
        <v>13540</v>
      </c>
      <c r="G32294" t="s">
        <v>17651</v>
      </c>
      <c r="H32294" t="s">
        <v>31508</v>
      </c>
    </row>
    <row r="32295" spans="1:8">
      <c r="H32295" t="s">
        <v>31509</v>
      </c>
    </row>
    <row r="32296" spans="1:8">
      <c r="A32296" t="s">
        <v>2328</v>
      </c>
      <c r="B32296">
        <f>HYPERLINK("https://android.googlesource.com/platform/cts/+/d7d3dec1f179ec976a6d96836762ba22470db7e7", "d7d3dec1f179ec976a6d96836762ba22470db7e7")</f>
        <v>0</v>
      </c>
      <c r="C32296">
        <f>HYPERLINK("https://android.googlesource.com/platform/cts/+/b9fdc17992990aaba128915390dec168a0ce082a", "b9fdc17992990aaba128915390dec168a0ce082a")</f>
        <v>0</v>
      </c>
      <c r="D32296" t="s">
        <v>5376</v>
      </c>
      <c r="E32296" t="s">
        <v>8058</v>
      </c>
      <c r="F32296" t="s">
        <v>13540</v>
      </c>
      <c r="G32296" t="s">
        <v>17651</v>
      </c>
      <c r="H32296" t="s">
        <v>31508</v>
      </c>
    </row>
    <row r="32297" spans="1:8">
      <c r="H32297" t="s">
        <v>31509</v>
      </c>
    </row>
    <row r="32298" spans="1:8">
      <c r="A32298" t="s">
        <v>2329</v>
      </c>
      <c r="B32298">
        <f>HYPERLINK("https://android.googlesource.com/platform/cts/+/1477abf64ac4f0f9e6c252ed8c6c36f53967451b", "1477abf64ac4f0f9e6c252ed8c6c36f53967451b")</f>
        <v>0</v>
      </c>
      <c r="C32298">
        <f>HYPERLINK("https://android.googlesource.com/platform/cts/+/6457cbef5c387638d0c7531e04df3cb5174804b7", "6457cbef5c387638d0c7531e04df3cb5174804b7")</f>
        <v>0</v>
      </c>
      <c r="D32298" t="s">
        <v>5018</v>
      </c>
      <c r="E32298" t="s">
        <v>8059</v>
      </c>
      <c r="F32298" t="s">
        <v>13661</v>
      </c>
      <c r="G32298" t="s">
        <v>17735</v>
      </c>
      <c r="H32298" t="s">
        <v>31510</v>
      </c>
    </row>
    <row r="32299" spans="1:8">
      <c r="H32299" t="s">
        <v>22590</v>
      </c>
    </row>
    <row r="32300" spans="1:8">
      <c r="F32300" t="s">
        <v>13259</v>
      </c>
      <c r="G32300" t="s">
        <v>17397</v>
      </c>
      <c r="H32300" t="s">
        <v>22590</v>
      </c>
    </row>
    <row r="32301" spans="1:8">
      <c r="A32301" t="s">
        <v>2330</v>
      </c>
      <c r="B32301">
        <f>HYPERLINK("https://android.googlesource.com/platform/cts/+/5fe8cdbff59c704bb6d45d517ac34784b9000411", "5fe8cdbff59c704bb6d45d517ac34784b9000411")</f>
        <v>0</v>
      </c>
      <c r="C32301">
        <f>HYPERLINK("https://android.googlesource.com/platform/cts/+/30fd9f2f509181880c1c0cfd16f33b707afcd66f", "30fd9f2f509181880c1c0cfd16f33b707afcd66f")</f>
        <v>0</v>
      </c>
      <c r="D32301" t="s">
        <v>5134</v>
      </c>
      <c r="E32301" t="s">
        <v>8060</v>
      </c>
      <c r="F32301" t="s">
        <v>13765</v>
      </c>
      <c r="G32301" t="s">
        <v>17822</v>
      </c>
      <c r="H32301" t="s">
        <v>31511</v>
      </c>
    </row>
    <row r="32302" spans="1:8">
      <c r="A32302" t="s">
        <v>2331</v>
      </c>
      <c r="B32302">
        <f>HYPERLINK("https://android.googlesource.com/platform/cts/+/7209dcd2cf7e13f7a1645ba9abdb1da1627fac76", "7209dcd2cf7e13f7a1645ba9abdb1da1627fac76")</f>
        <v>0</v>
      </c>
      <c r="C32302">
        <f>HYPERLINK("https://android.googlesource.com/platform/cts/+/7e7880da7b530fff2e0867ba7e9cc52783f7a28d", "7e7880da7b530fff2e0867ba7e9cc52783f7a28d")</f>
        <v>0</v>
      </c>
      <c r="D32302" t="s">
        <v>5363</v>
      </c>
      <c r="E32302" t="s">
        <v>8061</v>
      </c>
      <c r="F32302" t="s">
        <v>10605</v>
      </c>
      <c r="G32302" t="s">
        <v>15008</v>
      </c>
      <c r="H32302" t="s">
        <v>31512</v>
      </c>
    </row>
    <row r="32303" spans="1:8">
      <c r="A32303" t="s">
        <v>2332</v>
      </c>
      <c r="B32303">
        <f>HYPERLINK("https://android.googlesource.com/platform/cts/+/ab2b8c6977b401a9eca08cc72cb3afe66246b46e", "ab2b8c6977b401a9eca08cc72cb3afe66246b46e")</f>
        <v>0</v>
      </c>
      <c r="C32303">
        <f>HYPERLINK("https://android.googlesource.com/platform/cts/+/af94bf80ee6e85725ad563bc2ee8f49ce4c77510", "af94bf80ee6e85725ad563bc2ee8f49ce4c77510")</f>
        <v>0</v>
      </c>
      <c r="D32303" t="s">
        <v>5290</v>
      </c>
      <c r="E32303" t="s">
        <v>8062</v>
      </c>
      <c r="F32303" t="s">
        <v>13772</v>
      </c>
      <c r="G32303" t="s">
        <v>17827</v>
      </c>
      <c r="H32303" t="s">
        <v>31513</v>
      </c>
    </row>
    <row r="32304" spans="1:8">
      <c r="A32304" t="s">
        <v>2333</v>
      </c>
      <c r="B32304">
        <f>HYPERLINK("https://android.googlesource.com/platform/cts/+/c0537b5d27438b175132bdc1f9feee52da96797c", "c0537b5d27438b175132bdc1f9feee52da96797c")</f>
        <v>0</v>
      </c>
      <c r="C32304">
        <f>HYPERLINK("https://android.googlesource.com/platform/cts/+/0ad6166affd9adcfd17624c5b20e3a29c04b9ccb", "0ad6166affd9adcfd17624c5b20e3a29c04b9ccb")</f>
        <v>0</v>
      </c>
      <c r="D32304" t="s">
        <v>4981</v>
      </c>
      <c r="E32304" t="s">
        <v>8063</v>
      </c>
      <c r="F32304" t="s">
        <v>13773</v>
      </c>
      <c r="G32304" t="s">
        <v>17828</v>
      </c>
      <c r="H32304" t="s">
        <v>18863</v>
      </c>
    </row>
    <row r="32305" spans="6:8">
      <c r="H32305" t="s">
        <v>31514</v>
      </c>
    </row>
    <row r="32306" spans="6:8">
      <c r="F32306" t="s">
        <v>13742</v>
      </c>
      <c r="G32306" t="s">
        <v>17802</v>
      </c>
      <c r="H32306" t="s">
        <v>31515</v>
      </c>
    </row>
    <row r="32307" spans="6:8">
      <c r="H32307" t="s">
        <v>31516</v>
      </c>
    </row>
    <row r="32308" spans="6:8">
      <c r="H32308" t="s">
        <v>31517</v>
      </c>
    </row>
    <row r="32309" spans="6:8">
      <c r="F32309" t="s">
        <v>13743</v>
      </c>
      <c r="G32309" t="s">
        <v>17803</v>
      </c>
      <c r="H32309" t="s">
        <v>31518</v>
      </c>
    </row>
    <row r="32310" spans="6:8">
      <c r="H32310" t="s">
        <v>31519</v>
      </c>
    </row>
    <row r="32311" spans="6:8">
      <c r="H32311" t="s">
        <v>31520</v>
      </c>
    </row>
    <row r="32312" spans="6:8">
      <c r="F32312" t="s">
        <v>13744</v>
      </c>
      <c r="G32312" t="s">
        <v>17804</v>
      </c>
      <c r="H32312" t="s">
        <v>31521</v>
      </c>
    </row>
    <row r="32313" spans="6:8">
      <c r="H32313" t="s">
        <v>31522</v>
      </c>
    </row>
    <row r="32314" spans="6:8">
      <c r="H32314" t="s">
        <v>31523</v>
      </c>
    </row>
    <row r="32315" spans="6:8">
      <c r="F32315" t="s">
        <v>13745</v>
      </c>
      <c r="G32315" t="s">
        <v>17805</v>
      </c>
      <c r="H32315" t="s">
        <v>31524</v>
      </c>
    </row>
    <row r="32316" spans="6:8">
      <c r="H32316" t="s">
        <v>31525</v>
      </c>
    </row>
    <row r="32317" spans="6:8">
      <c r="H32317" t="s">
        <v>31526</v>
      </c>
    </row>
    <row r="32318" spans="6:8">
      <c r="F32318" t="s">
        <v>13774</v>
      </c>
      <c r="G32318" t="s">
        <v>17829</v>
      </c>
      <c r="H32318" t="s">
        <v>18863</v>
      </c>
    </row>
    <row r="32319" spans="6:8">
      <c r="H32319" t="s">
        <v>31527</v>
      </c>
    </row>
    <row r="32320" spans="6:8">
      <c r="H32320" t="s">
        <v>31528</v>
      </c>
    </row>
    <row r="32321" spans="1:8">
      <c r="H32321" t="s">
        <v>31529</v>
      </c>
    </row>
    <row r="32322" spans="1:8">
      <c r="H32322" t="s">
        <v>31530</v>
      </c>
    </row>
    <row r="32323" spans="1:8">
      <c r="H32323" t="s">
        <v>31531</v>
      </c>
    </row>
    <row r="32324" spans="1:8">
      <c r="H32324" t="s">
        <v>20363</v>
      </c>
    </row>
    <row r="32325" spans="1:8">
      <c r="H32325" t="s">
        <v>31532</v>
      </c>
    </row>
    <row r="32326" spans="1:8">
      <c r="F32326" t="s">
        <v>13775</v>
      </c>
      <c r="G32326" t="s">
        <v>17830</v>
      </c>
      <c r="H32326" t="s">
        <v>18863</v>
      </c>
    </row>
    <row r="32327" spans="1:8">
      <c r="A32327" t="s">
        <v>2334</v>
      </c>
      <c r="B32327">
        <f>HYPERLINK("https://android.googlesource.com/platform/cts/+/1c2bbff7696e02fc7c20afc630be6a1ef635f153", "1c2bbff7696e02fc7c20afc630be6a1ef635f153")</f>
        <v>0</v>
      </c>
      <c r="C32327">
        <f>HYPERLINK("https://android.googlesource.com/platform/cts/+/3b4167f594d9829299a6690e2e1d0920520e5d6f", "3b4167f594d9829299a6690e2e1d0920520e5d6f")</f>
        <v>0</v>
      </c>
      <c r="D32327" t="s">
        <v>5298</v>
      </c>
      <c r="E32327" t="s">
        <v>8064</v>
      </c>
      <c r="F32327" t="s">
        <v>13776</v>
      </c>
      <c r="G32327" t="s">
        <v>17831</v>
      </c>
      <c r="H32327" t="s">
        <v>31533</v>
      </c>
    </row>
    <row r="32328" spans="1:8">
      <c r="A32328" t="s">
        <v>2335</v>
      </c>
      <c r="B32328">
        <f>HYPERLINK("https://android.googlesource.com/platform/cts/+/d6d609a42c9f4a28a9f9b0c69e0fbfcfdd99ce20", "d6d609a42c9f4a28a9f9b0c69e0fbfcfdd99ce20")</f>
        <v>0</v>
      </c>
      <c r="C32328">
        <f>HYPERLINK("https://android.googlesource.com/platform/cts/+/daedc89bb402d6ffa1a383b0b88916fd7b728605", "daedc89bb402d6ffa1a383b0b88916fd7b728605")</f>
        <v>0</v>
      </c>
      <c r="D32328" t="s">
        <v>4981</v>
      </c>
      <c r="E32328" t="s">
        <v>8065</v>
      </c>
      <c r="F32328" t="s">
        <v>13777</v>
      </c>
      <c r="G32328" t="s">
        <v>17832</v>
      </c>
      <c r="H32328" t="s">
        <v>31534</v>
      </c>
    </row>
    <row r="32329" spans="1:8">
      <c r="F32329" t="s">
        <v>13778</v>
      </c>
      <c r="G32329" t="s">
        <v>17833</v>
      </c>
      <c r="H32329" t="s">
        <v>31535</v>
      </c>
    </row>
    <row r="32330" spans="1:8">
      <c r="A32330" t="s">
        <v>2336</v>
      </c>
      <c r="B32330">
        <f>HYPERLINK("https://android.googlesource.com/platform/cts/+/c9d7c754df93ccbfbe7b1f356dc71fab35785990", "c9d7c754df93ccbfbe7b1f356dc71fab35785990")</f>
        <v>0</v>
      </c>
      <c r="C32330">
        <f>HYPERLINK("https://android.googlesource.com/platform/cts/+/27d8f877a7fd8a876dd4cbb9eb58309022052733", "27d8f877a7fd8a876dd4cbb9eb58309022052733")</f>
        <v>0</v>
      </c>
      <c r="D32330" t="s">
        <v>5359</v>
      </c>
      <c r="E32330" t="s">
        <v>8066</v>
      </c>
      <c r="F32330" t="s">
        <v>13398</v>
      </c>
      <c r="G32330" t="s">
        <v>17524</v>
      </c>
      <c r="H32330" t="s">
        <v>31536</v>
      </c>
    </row>
    <row r="32331" spans="1:8">
      <c r="A32331" t="s">
        <v>2337</v>
      </c>
      <c r="B32331">
        <f>HYPERLINK("https://android.googlesource.com/platform/cts/+/40aa0a2935b1541cbedfb7c7d11a0b87522cb9a1", "40aa0a2935b1541cbedfb7c7d11a0b87522cb9a1")</f>
        <v>0</v>
      </c>
      <c r="C32331">
        <f>HYPERLINK("https://android.googlesource.com/platform/cts/+/b25dd3d0de3702a42a1c547ba21f14cc57f46160", "b25dd3d0de3702a42a1c547ba21f14cc57f46160")</f>
        <v>0</v>
      </c>
      <c r="D32331" t="s">
        <v>5351</v>
      </c>
      <c r="E32331" t="s">
        <v>8067</v>
      </c>
      <c r="F32331" t="s">
        <v>13779</v>
      </c>
      <c r="G32331" t="s">
        <v>17834</v>
      </c>
      <c r="H32331" t="s">
        <v>19981</v>
      </c>
    </row>
    <row r="32332" spans="1:8">
      <c r="H32332" t="s">
        <v>31537</v>
      </c>
    </row>
    <row r="32333" spans="1:8">
      <c r="H32333" t="s">
        <v>31538</v>
      </c>
    </row>
    <row r="32334" spans="1:8">
      <c r="H32334" t="s">
        <v>31539</v>
      </c>
    </row>
    <row r="32335" spans="1:8">
      <c r="H32335" t="s">
        <v>31540</v>
      </c>
    </row>
    <row r="32336" spans="1:8">
      <c r="H32336" t="s">
        <v>31541</v>
      </c>
    </row>
    <row r="32337" spans="1:8">
      <c r="H32337" t="s">
        <v>31542</v>
      </c>
    </row>
    <row r="32338" spans="1:8">
      <c r="A32338" t="s">
        <v>2338</v>
      </c>
      <c r="B32338">
        <f>HYPERLINK("https://android.googlesource.com/platform/cts/+/4692fdf5dfd5d64528e163a570475e21ddca4791", "4692fdf5dfd5d64528e163a570475e21ddca4791")</f>
        <v>0</v>
      </c>
      <c r="C32338">
        <f>HYPERLINK("https://android.googlesource.com/platform/cts/+/7515dd14c8808b0c1b3101669dad9fb6efdb2791", "7515dd14c8808b0c1b3101669dad9fb6efdb2791")</f>
        <v>0</v>
      </c>
      <c r="D32338" t="s">
        <v>5314</v>
      </c>
      <c r="E32338" t="s">
        <v>8068</v>
      </c>
      <c r="F32338" t="s">
        <v>13752</v>
      </c>
      <c r="G32338" t="s">
        <v>17812</v>
      </c>
      <c r="H32338" t="s">
        <v>31543</v>
      </c>
    </row>
    <row r="32339" spans="1:8">
      <c r="A32339" t="s">
        <v>2339</v>
      </c>
      <c r="B32339">
        <f>HYPERLINK("https://android.googlesource.com/platform/cts/+/8ed62f56415387ca4671068ffd2d08dfbc27d43e", "8ed62f56415387ca4671068ffd2d08dfbc27d43e")</f>
        <v>0</v>
      </c>
      <c r="C32339">
        <f>HYPERLINK("https://android.googlesource.com/platform/cts/+/7a94e257c39f67f7c61d23e6ea50078bdc0e20ae", "7a94e257c39f67f7c61d23e6ea50078bdc0e20ae")</f>
        <v>0</v>
      </c>
      <c r="D32339" t="s">
        <v>5377</v>
      </c>
      <c r="E32339" t="s">
        <v>8069</v>
      </c>
      <c r="F32339" t="s">
        <v>13780</v>
      </c>
      <c r="G32339" t="s">
        <v>17667</v>
      </c>
      <c r="H32339" t="s">
        <v>29902</v>
      </c>
    </row>
    <row r="32340" spans="1:8">
      <c r="F32340" t="s">
        <v>12394</v>
      </c>
      <c r="G32340" t="s">
        <v>17294</v>
      </c>
      <c r="H32340" t="s">
        <v>31544</v>
      </c>
    </row>
    <row r="32341" spans="1:8">
      <c r="A32341" t="s">
        <v>2340</v>
      </c>
      <c r="B32341">
        <f>HYPERLINK("https://android.googlesource.com/platform/cts/+/ab220b66eeae7badfef4aaf5cc2e71758d3a51d1", "ab220b66eeae7badfef4aaf5cc2e71758d3a51d1")</f>
        <v>0</v>
      </c>
      <c r="C32341">
        <f>HYPERLINK("https://android.googlesource.com/platform/cts/+/d6d609a42c9f4a28a9f9b0c69e0fbfcfdd99ce20", "d6d609a42c9f4a28a9f9b0c69e0fbfcfdd99ce20")</f>
        <v>0</v>
      </c>
      <c r="D32341" t="s">
        <v>4981</v>
      </c>
      <c r="E32341" t="s">
        <v>8070</v>
      </c>
      <c r="F32341" t="s">
        <v>13747</v>
      </c>
      <c r="G32341" t="s">
        <v>17807</v>
      </c>
      <c r="H32341" t="s">
        <v>31545</v>
      </c>
    </row>
    <row r="32342" spans="1:8">
      <c r="A32342" t="s">
        <v>2341</v>
      </c>
      <c r="B32342">
        <f>HYPERLINK("https://android.googlesource.com/platform/cts/+/ab0cbcbada12d931a72ce2e82d4e1352bc9afe15", "ab0cbcbada12d931a72ce2e82d4e1352bc9afe15")</f>
        <v>0</v>
      </c>
      <c r="C32342">
        <f>HYPERLINK("https://android.googlesource.com/platform/cts/+/64e287ee3f2e05fcf9c77900eca6fe8dd64efc33", "64e287ee3f2e05fcf9c77900eca6fe8dd64efc33")</f>
        <v>0</v>
      </c>
      <c r="D32342" t="s">
        <v>5275</v>
      </c>
      <c r="E32342" t="s">
        <v>8071</v>
      </c>
      <c r="F32342" t="s">
        <v>13780</v>
      </c>
      <c r="G32342" t="s">
        <v>17667</v>
      </c>
      <c r="H32342" t="s">
        <v>29902</v>
      </c>
    </row>
    <row r="32343" spans="1:8">
      <c r="F32343" t="s">
        <v>12394</v>
      </c>
      <c r="G32343" t="s">
        <v>17294</v>
      </c>
      <c r="H32343" t="s">
        <v>31544</v>
      </c>
    </row>
    <row r="32344" spans="1:8">
      <c r="A32344" t="s">
        <v>2342</v>
      </c>
      <c r="B32344">
        <f>HYPERLINK("https://android.googlesource.com/platform/cts/+/b0dd02679bce6f608032fdf3cf1974647402d6d2", "b0dd02679bce6f608032fdf3cf1974647402d6d2")</f>
        <v>0</v>
      </c>
      <c r="C32344">
        <f>HYPERLINK("https://android.googlesource.com/platform/cts/+/fd5c470459efb0516de8b3d7903aa4db2824ed2e", "fd5c470459efb0516de8b3d7903aa4db2824ed2e")</f>
        <v>0</v>
      </c>
      <c r="D32344" t="s">
        <v>5372</v>
      </c>
      <c r="E32344" t="s">
        <v>8072</v>
      </c>
      <c r="F32344" t="s">
        <v>13768</v>
      </c>
      <c r="G32344" t="s">
        <v>17825</v>
      </c>
      <c r="H32344" t="s">
        <v>31546</v>
      </c>
    </row>
    <row r="32345" spans="1:8">
      <c r="A32345" t="s">
        <v>2343</v>
      </c>
      <c r="B32345">
        <f>HYPERLINK("https://android.googlesource.com/platform/cts/+/714301b770faccbe8aff80e3d42b2b365ad3be9e", "714301b770faccbe8aff80e3d42b2b365ad3be9e")</f>
        <v>0</v>
      </c>
      <c r="C32345">
        <f>HYPERLINK("https://android.googlesource.com/platform/cts/+/763c74906fb50d273134086d45c185e1157a473a", "763c74906fb50d273134086d45c185e1157a473a")</f>
        <v>0</v>
      </c>
      <c r="D32345" t="s">
        <v>5122</v>
      </c>
      <c r="E32345" t="s">
        <v>8073</v>
      </c>
      <c r="F32345" t="s">
        <v>13781</v>
      </c>
      <c r="G32345" t="s">
        <v>17835</v>
      </c>
      <c r="H32345" t="s">
        <v>28786</v>
      </c>
    </row>
    <row r="32346" spans="1:8">
      <c r="A32346" t="s">
        <v>2344</v>
      </c>
      <c r="B32346">
        <f>HYPERLINK("https://android.googlesource.com/platform/cts/+/f73db4058fe2eaa18a508ecc12cbb264b827aa0f", "f73db4058fe2eaa18a508ecc12cbb264b827aa0f")</f>
        <v>0</v>
      </c>
      <c r="C32346">
        <f>HYPERLINK("https://android.googlesource.com/platform/cts/+/2c619b3b052fb18eb6c21947990874d28dd5bcb2", "2c619b3b052fb18eb6c21947990874d28dd5bcb2")</f>
        <v>0</v>
      </c>
      <c r="D32346" t="s">
        <v>5332</v>
      </c>
      <c r="E32346" t="s">
        <v>8074</v>
      </c>
      <c r="F32346" t="s">
        <v>13782</v>
      </c>
      <c r="G32346" t="s">
        <v>17836</v>
      </c>
      <c r="H32346" t="s">
        <v>31547</v>
      </c>
    </row>
    <row r="32347" spans="1:8">
      <c r="F32347" t="s">
        <v>13783</v>
      </c>
      <c r="G32347" t="s">
        <v>17837</v>
      </c>
      <c r="H32347" t="s">
        <v>18829</v>
      </c>
    </row>
    <row r="32348" spans="1:8">
      <c r="H32348" t="s">
        <v>18863</v>
      </c>
    </row>
    <row r="32349" spans="1:8">
      <c r="H32349" t="s">
        <v>29420</v>
      </c>
    </row>
    <row r="32350" spans="1:8">
      <c r="H32350" t="s">
        <v>28887</v>
      </c>
    </row>
    <row r="32351" spans="1:8">
      <c r="A32351" t="s">
        <v>2345</v>
      </c>
      <c r="B32351">
        <f>HYPERLINK("https://android.googlesource.com/platform/cts/+/f068f5f2507b26c284412b71a4057fdabecdad9c", "f068f5f2507b26c284412b71a4057fdabecdad9c")</f>
        <v>0</v>
      </c>
      <c r="C32351">
        <f>HYPERLINK("https://android.googlesource.com/platform/cts/+/83bdf787dbffd63bd1d413f4255048308976c41c", "83bdf787dbffd63bd1d413f4255048308976c41c")</f>
        <v>0</v>
      </c>
      <c r="D32351" t="s">
        <v>5167</v>
      </c>
      <c r="E32351" t="s">
        <v>8075</v>
      </c>
      <c r="F32351" t="s">
        <v>13784</v>
      </c>
      <c r="G32351" t="s">
        <v>17838</v>
      </c>
      <c r="H32351" t="s">
        <v>31548</v>
      </c>
    </row>
    <row r="32352" spans="1:8">
      <c r="A32352" t="s">
        <v>2346</v>
      </c>
      <c r="B32352">
        <f>HYPERLINK("https://android.googlesource.com/platform/cts/+/1a236a1193e92078748cfb3d04837d16909755b3", "1a236a1193e92078748cfb3d04837d16909755b3")</f>
        <v>0</v>
      </c>
      <c r="C32352">
        <f>HYPERLINK("https://android.googlesource.com/platform/cts/+/4c366dc228f7468a49efc2054c21e872716fb638", "4c366dc228f7468a49efc2054c21e872716fb638")</f>
        <v>0</v>
      </c>
      <c r="D32352" t="s">
        <v>5167</v>
      </c>
      <c r="E32352" t="s">
        <v>8076</v>
      </c>
      <c r="F32352" t="s">
        <v>13784</v>
      </c>
      <c r="G32352" t="s">
        <v>17838</v>
      </c>
      <c r="H32352" t="s">
        <v>31549</v>
      </c>
    </row>
    <row r="32353" spans="1:8">
      <c r="A32353" t="s">
        <v>2347</v>
      </c>
      <c r="B32353">
        <f>HYPERLINK("https://android.googlesource.com/platform/cts/+/25e9b80303296b012d020961ddf34f44150cf60b", "25e9b80303296b012d020961ddf34f44150cf60b")</f>
        <v>0</v>
      </c>
      <c r="C32353">
        <f>HYPERLINK("https://android.googlesource.com/platform/cts/+/b6a914dc4ef14a018d3bddae1cc03eb860a74640", "b6a914dc4ef14a018d3bddae1cc03eb860a74640")</f>
        <v>0</v>
      </c>
      <c r="D32353" t="s">
        <v>5378</v>
      </c>
      <c r="E32353" t="s">
        <v>8077</v>
      </c>
      <c r="F32353" t="s">
        <v>13315</v>
      </c>
      <c r="G32353" t="s">
        <v>17446</v>
      </c>
      <c r="H32353" t="s">
        <v>31550</v>
      </c>
    </row>
    <row r="32354" spans="1:8">
      <c r="H32354" t="s">
        <v>31551</v>
      </c>
    </row>
    <row r="32355" spans="1:8">
      <c r="H32355" t="s">
        <v>31552</v>
      </c>
    </row>
    <row r="32356" spans="1:8">
      <c r="H32356" t="s">
        <v>31553</v>
      </c>
    </row>
    <row r="32357" spans="1:8">
      <c r="A32357" t="s">
        <v>2348</v>
      </c>
      <c r="B32357">
        <f>HYPERLINK("https://android.googlesource.com/platform/cts/+/32015bc6a975972f6d6424f18f7fc5ba020e4240", "32015bc6a975972f6d6424f18f7fc5ba020e4240")</f>
        <v>0</v>
      </c>
      <c r="C32357">
        <f>HYPERLINK("https://android.googlesource.com/platform/cts/+/d3e71df48b4f858e8fd681025dad93e6117572f8", "d3e71df48b4f858e8fd681025dad93e6117572f8")</f>
        <v>0</v>
      </c>
      <c r="D32357" t="s">
        <v>4981</v>
      </c>
      <c r="E32357" t="s">
        <v>8078</v>
      </c>
      <c r="F32357" t="s">
        <v>13773</v>
      </c>
      <c r="G32357" t="s">
        <v>17828</v>
      </c>
      <c r="H32357" t="s">
        <v>31554</v>
      </c>
    </row>
    <row r="32358" spans="1:8">
      <c r="F32358" t="s">
        <v>13764</v>
      </c>
      <c r="G32358" t="s">
        <v>17821</v>
      </c>
      <c r="H32358" t="s">
        <v>31554</v>
      </c>
    </row>
    <row r="32359" spans="1:8">
      <c r="F32359" t="s">
        <v>13785</v>
      </c>
      <c r="G32359" t="s">
        <v>17839</v>
      </c>
      <c r="H32359" t="s">
        <v>18863</v>
      </c>
    </row>
    <row r="32360" spans="1:8">
      <c r="F32360" t="s">
        <v>13786</v>
      </c>
      <c r="G32360" t="s">
        <v>17840</v>
      </c>
      <c r="H32360" t="s">
        <v>18829</v>
      </c>
    </row>
    <row r="32361" spans="1:8">
      <c r="H32361" t="s">
        <v>31555</v>
      </c>
    </row>
    <row r="32362" spans="1:8">
      <c r="H32362" t="s">
        <v>31556</v>
      </c>
    </row>
    <row r="32363" spans="1:8">
      <c r="F32363" t="s">
        <v>13787</v>
      </c>
      <c r="G32363" t="s">
        <v>15664</v>
      </c>
      <c r="H32363" t="s">
        <v>18829</v>
      </c>
    </row>
    <row r="32364" spans="1:8">
      <c r="H32364" t="s">
        <v>31555</v>
      </c>
    </row>
    <row r="32365" spans="1:8">
      <c r="H32365" t="s">
        <v>31557</v>
      </c>
    </row>
    <row r="32366" spans="1:8">
      <c r="H32366" t="s">
        <v>31558</v>
      </c>
    </row>
    <row r="32367" spans="1:8">
      <c r="H32367" t="s">
        <v>27405</v>
      </c>
    </row>
    <row r="32368" spans="1:8">
      <c r="H32368" t="s">
        <v>31559</v>
      </c>
    </row>
    <row r="32369" spans="1:8">
      <c r="H32369" t="s">
        <v>31560</v>
      </c>
    </row>
    <row r="32370" spans="1:8">
      <c r="H32370" t="s">
        <v>31561</v>
      </c>
    </row>
    <row r="32371" spans="1:8">
      <c r="A32371" t="s">
        <v>2349</v>
      </c>
      <c r="B32371">
        <f>HYPERLINK("https://android.googlesource.com/platform/cts/+/a759547ab69235da0385bf8cb17dbad6edabfa97", "a759547ab69235da0385bf8cb17dbad6edabfa97")</f>
        <v>0</v>
      </c>
      <c r="C32371">
        <f>HYPERLINK("https://android.googlesource.com/platform/cts/+/d3e71df48b4f858e8fd681025dad93e6117572f8", "d3e71df48b4f858e8fd681025dad93e6117572f8")</f>
        <v>0</v>
      </c>
      <c r="D32371" t="s">
        <v>5244</v>
      </c>
      <c r="E32371" t="s">
        <v>8079</v>
      </c>
      <c r="F32371" t="s">
        <v>10678</v>
      </c>
      <c r="G32371" t="s">
        <v>15078</v>
      </c>
      <c r="H32371" t="s">
        <v>31562</v>
      </c>
    </row>
    <row r="32372" spans="1:8">
      <c r="A32372" t="s">
        <v>2350</v>
      </c>
      <c r="B32372">
        <f>HYPERLINK("https://android.googlesource.com/platform/cts/+/79545c720e13d34212f6e689bad5762770c52c3e", "79545c720e13d34212f6e689bad5762770c52c3e")</f>
        <v>0</v>
      </c>
      <c r="C32372">
        <f>HYPERLINK("https://android.googlesource.com/platform/cts/+/d66978874f2ad1c69c6ab2026e88c93948b9bb73", "d66978874f2ad1c69c6ab2026e88c93948b9bb73")</f>
        <v>0</v>
      </c>
      <c r="D32372" t="s">
        <v>5117</v>
      </c>
      <c r="E32372" t="s">
        <v>8080</v>
      </c>
      <c r="F32372" t="s">
        <v>13788</v>
      </c>
      <c r="G32372" t="s">
        <v>17841</v>
      </c>
      <c r="H32372" t="s">
        <v>31563</v>
      </c>
    </row>
    <row r="32373" spans="1:8">
      <c r="H32373" t="s">
        <v>31564</v>
      </c>
    </row>
    <row r="32374" spans="1:8">
      <c r="H32374" t="s">
        <v>31565</v>
      </c>
    </row>
    <row r="32375" spans="1:8">
      <c r="H32375" t="s">
        <v>26758</v>
      </c>
    </row>
    <row r="32376" spans="1:8">
      <c r="A32376" t="s">
        <v>2351</v>
      </c>
      <c r="B32376">
        <f>HYPERLINK("https://android.googlesource.com/platform/cts/+/957cdb84ff81f59e5b5534998ca30ae6669064bb", "957cdb84ff81f59e5b5534998ca30ae6669064bb")</f>
        <v>0</v>
      </c>
      <c r="C32376">
        <f>HYPERLINK("https://android.googlesource.com/platform/cts/+/5162b99d3af45c52006a541270a7f64881c03ed8", "5162b99d3af45c52006a541270a7f64881c03ed8")</f>
        <v>0</v>
      </c>
      <c r="D32376" t="s">
        <v>5375</v>
      </c>
      <c r="E32376" t="s">
        <v>8081</v>
      </c>
      <c r="F32376" t="s">
        <v>13789</v>
      </c>
      <c r="G32376" t="s">
        <v>17842</v>
      </c>
      <c r="H32376" t="s">
        <v>31566</v>
      </c>
    </row>
    <row r="32377" spans="1:8">
      <c r="H32377" t="s">
        <v>22310</v>
      </c>
    </row>
    <row r="32378" spans="1:8">
      <c r="H32378" t="s">
        <v>31567</v>
      </c>
    </row>
    <row r="32379" spans="1:8">
      <c r="H32379" t="s">
        <v>22310</v>
      </c>
    </row>
    <row r="32380" spans="1:8">
      <c r="H32380" t="s">
        <v>22310</v>
      </c>
    </row>
    <row r="32381" spans="1:8">
      <c r="H32381" t="s">
        <v>22310</v>
      </c>
    </row>
    <row r="32382" spans="1:8">
      <c r="H32382" t="s">
        <v>31568</v>
      </c>
    </row>
    <row r="32383" spans="1:8">
      <c r="H32383" t="s">
        <v>31569</v>
      </c>
    </row>
    <row r="32384" spans="1:8">
      <c r="H32384" t="s">
        <v>31570</v>
      </c>
    </row>
    <row r="32385" spans="8:8">
      <c r="H32385" t="s">
        <v>31571</v>
      </c>
    </row>
    <row r="32386" spans="8:8">
      <c r="H32386" t="s">
        <v>31572</v>
      </c>
    </row>
    <row r="32387" spans="8:8">
      <c r="H32387" t="s">
        <v>31569</v>
      </c>
    </row>
    <row r="32388" spans="8:8">
      <c r="H32388" t="s">
        <v>31570</v>
      </c>
    </row>
    <row r="32389" spans="8:8">
      <c r="H32389" t="s">
        <v>31571</v>
      </c>
    </row>
    <row r="32390" spans="8:8">
      <c r="H32390" t="s">
        <v>31573</v>
      </c>
    </row>
    <row r="32391" spans="8:8">
      <c r="H32391" t="s">
        <v>31574</v>
      </c>
    </row>
    <row r="32392" spans="8:8">
      <c r="H32392" t="s">
        <v>31575</v>
      </c>
    </row>
    <row r="32393" spans="8:8">
      <c r="H32393" t="s">
        <v>31576</v>
      </c>
    </row>
    <row r="32394" spans="8:8">
      <c r="H32394" t="s">
        <v>31577</v>
      </c>
    </row>
    <row r="32395" spans="8:8">
      <c r="H32395" t="s">
        <v>19431</v>
      </c>
    </row>
    <row r="32396" spans="8:8">
      <c r="H32396" t="s">
        <v>31578</v>
      </c>
    </row>
    <row r="32397" spans="8:8">
      <c r="H32397" t="s">
        <v>22310</v>
      </c>
    </row>
    <row r="32398" spans="8:8">
      <c r="H32398" t="s">
        <v>31579</v>
      </c>
    </row>
    <row r="32399" spans="8:8">
      <c r="H32399" t="s">
        <v>31580</v>
      </c>
    </row>
    <row r="32400" spans="8:8">
      <c r="H32400" t="s">
        <v>31581</v>
      </c>
    </row>
    <row r="32401" spans="1:8">
      <c r="H32401" t="s">
        <v>31582</v>
      </c>
    </row>
    <row r="32402" spans="1:8">
      <c r="H32402" t="s">
        <v>31583</v>
      </c>
    </row>
    <row r="32403" spans="1:8">
      <c r="H32403" t="s">
        <v>31584</v>
      </c>
    </row>
    <row r="32404" spans="1:8">
      <c r="H32404" t="s">
        <v>31585</v>
      </c>
    </row>
    <row r="32405" spans="1:8">
      <c r="H32405" t="s">
        <v>31586</v>
      </c>
    </row>
    <row r="32406" spans="1:8">
      <c r="H32406" t="s">
        <v>31587</v>
      </c>
    </row>
    <row r="32407" spans="1:8">
      <c r="H32407" t="s">
        <v>31588</v>
      </c>
    </row>
    <row r="32408" spans="1:8">
      <c r="H32408" t="s">
        <v>27273</v>
      </c>
    </row>
    <row r="32409" spans="1:8">
      <c r="H32409" t="s">
        <v>31589</v>
      </c>
    </row>
    <row r="32410" spans="1:8">
      <c r="A32410" t="s">
        <v>2352</v>
      </c>
      <c r="B32410">
        <f>HYPERLINK("https://android.googlesource.com/platform/cts/+/8374b8a41a4223b5fe93e91ce2b86f030ae95eec", "8374b8a41a4223b5fe93e91ce2b86f030ae95eec")</f>
        <v>0</v>
      </c>
      <c r="C32410">
        <f>HYPERLINK("https://android.googlesource.com/platform/cts/+/0886df9f62142b90f248c8b6197593c6e197f842", "0886df9f62142b90f248c8b6197593c6e197f842")</f>
        <v>0</v>
      </c>
      <c r="D32410" t="s">
        <v>5134</v>
      </c>
      <c r="E32410" t="s">
        <v>8082</v>
      </c>
      <c r="F32410" t="s">
        <v>13765</v>
      </c>
      <c r="G32410" t="s">
        <v>17822</v>
      </c>
      <c r="H32410" t="s">
        <v>31590</v>
      </c>
    </row>
    <row r="32411" spans="1:8">
      <c r="A32411" t="s">
        <v>2353</v>
      </c>
      <c r="B32411">
        <f>HYPERLINK("https://android.googlesource.com/platform/cts/+/2015ece1b9a3a151bcfb472492f539ce90d24c0e", "2015ece1b9a3a151bcfb472492f539ce90d24c0e")</f>
        <v>0</v>
      </c>
      <c r="C32411">
        <f>HYPERLINK("https://android.googlesource.com/platform/cts/+/a19c7436f9cf0c7e95cdb63c3e6750202a43cdca", "a19c7436f9cf0c7e95cdb63c3e6750202a43cdca")</f>
        <v>0</v>
      </c>
      <c r="D32411" t="s">
        <v>5180</v>
      </c>
      <c r="E32411" t="s">
        <v>8083</v>
      </c>
      <c r="F32411" t="s">
        <v>13790</v>
      </c>
      <c r="G32411" t="s">
        <v>17519</v>
      </c>
      <c r="H32411" t="s">
        <v>31591</v>
      </c>
    </row>
    <row r="32412" spans="1:8">
      <c r="H32412" t="s">
        <v>26314</v>
      </c>
    </row>
    <row r="32413" spans="1:8">
      <c r="A32413" t="s">
        <v>2354</v>
      </c>
      <c r="B32413">
        <f>HYPERLINK("https://android.googlesource.com/platform/cts/+/ab27d3418059c0a89767942a7c8555d4a6d6555a", "ab27d3418059c0a89767942a7c8555d4a6d6555a")</f>
        <v>0</v>
      </c>
      <c r="C32413">
        <f>HYPERLINK("https://android.googlesource.com/platform/cts/+/afea8423d7537d170546be57829986c3c5f21a2a", "afea8423d7537d170546be57829986c3c5f21a2a")</f>
        <v>0</v>
      </c>
      <c r="D32413" t="s">
        <v>5379</v>
      </c>
      <c r="E32413" t="s">
        <v>8084</v>
      </c>
      <c r="F32413" t="s">
        <v>13791</v>
      </c>
      <c r="G32413" t="s">
        <v>17843</v>
      </c>
      <c r="H32413" t="s">
        <v>31592</v>
      </c>
    </row>
    <row r="32414" spans="1:8">
      <c r="H32414" t="s">
        <v>19536</v>
      </c>
    </row>
    <row r="32415" spans="1:8">
      <c r="H32415" t="s">
        <v>31283</v>
      </c>
    </row>
    <row r="32416" spans="1:8">
      <c r="A32416" t="s">
        <v>2355</v>
      </c>
      <c r="B32416">
        <f>HYPERLINK("https://android.googlesource.com/platform/cts/+/11437a7d2287144017eb9c83e7eeede3b2009496", "11437a7d2287144017eb9c83e7eeede3b2009496")</f>
        <v>0</v>
      </c>
      <c r="C32416">
        <f>HYPERLINK("https://android.googlesource.com/platform/cts/+/e386b91dddf4ff7b7e3fcfe49195be348cddbe55", "e386b91dddf4ff7b7e3fcfe49195be348cddbe55")</f>
        <v>0</v>
      </c>
      <c r="D32416" t="s">
        <v>5018</v>
      </c>
      <c r="E32416" t="s">
        <v>8085</v>
      </c>
      <c r="F32416" t="s">
        <v>13331</v>
      </c>
      <c r="G32416" t="s">
        <v>17461</v>
      </c>
      <c r="H32416" t="s">
        <v>31593</v>
      </c>
    </row>
    <row r="32417" spans="1:8">
      <c r="F32417" t="s">
        <v>13332</v>
      </c>
      <c r="G32417" t="s">
        <v>17462</v>
      </c>
      <c r="H32417" t="s">
        <v>22590</v>
      </c>
    </row>
    <row r="32418" spans="1:8">
      <c r="A32418" t="s">
        <v>2356</v>
      </c>
      <c r="B32418">
        <f>HYPERLINK("https://android.googlesource.com/platform/cts/+/cd9501c92bb785192a1336f0d0b04625cda5fd95", "cd9501c92bb785192a1336f0d0b04625cda5fd95")</f>
        <v>0</v>
      </c>
      <c r="C32418">
        <f>HYPERLINK("https://android.googlesource.com/platform/cts/+/3c3f6f91705111ffb4d2d029560f2e1943cbd89c", "3c3f6f91705111ffb4d2d029560f2e1943cbd89c")</f>
        <v>0</v>
      </c>
      <c r="D32418" t="s">
        <v>5018</v>
      </c>
      <c r="E32418" t="s">
        <v>8086</v>
      </c>
      <c r="F32418" t="s">
        <v>13331</v>
      </c>
      <c r="G32418" t="s">
        <v>17461</v>
      </c>
      <c r="H32418" t="s">
        <v>31593</v>
      </c>
    </row>
    <row r="32419" spans="1:8">
      <c r="F32419" t="s">
        <v>13332</v>
      </c>
      <c r="G32419" t="s">
        <v>17462</v>
      </c>
      <c r="H32419" t="s">
        <v>22590</v>
      </c>
    </row>
    <row r="32420" spans="1:8">
      <c r="A32420" t="s">
        <v>2357</v>
      </c>
      <c r="B32420">
        <f>HYPERLINK("https://android.googlesource.com/platform/cts/+/6e7ba057839a7c2030703081ec7af34fc5d9828e", "6e7ba057839a7c2030703081ec7af34fc5d9828e")</f>
        <v>0</v>
      </c>
      <c r="C32420">
        <f>HYPERLINK("https://android.googlesource.com/platform/cts/+/334f23923d2d46f3e57f17015049d0fee2aceafa", "334f23923d2d46f3e57f17015049d0fee2aceafa")</f>
        <v>0</v>
      </c>
      <c r="D32420" t="s">
        <v>5365</v>
      </c>
      <c r="E32420" t="s">
        <v>8087</v>
      </c>
      <c r="F32420" t="s">
        <v>13736</v>
      </c>
      <c r="G32420" t="s">
        <v>17796</v>
      </c>
      <c r="H32420" t="s">
        <v>31594</v>
      </c>
    </row>
    <row r="32421" spans="1:8">
      <c r="A32421" t="s">
        <v>2358</v>
      </c>
      <c r="B32421">
        <f>HYPERLINK("https://android.googlesource.com/platform/cts/+/2e0f588fa1dcb486ee7a2a790b2f147d2449f892", "2e0f588fa1dcb486ee7a2a790b2f147d2449f892")</f>
        <v>0</v>
      </c>
      <c r="C32421">
        <f>HYPERLINK("https://android.googlesource.com/platform/cts/+/41dcf09dcf5d9832331d87424da46c21cdf590f6", "41dcf09dcf5d9832331d87424da46c21cdf590f6")</f>
        <v>0</v>
      </c>
      <c r="D32421" t="s">
        <v>5096</v>
      </c>
      <c r="E32421" t="s">
        <v>8088</v>
      </c>
      <c r="F32421" t="s">
        <v>12419</v>
      </c>
      <c r="G32421" t="s">
        <v>16641</v>
      </c>
      <c r="H32421" t="s">
        <v>31595</v>
      </c>
    </row>
    <row r="32422" spans="1:8">
      <c r="A32422" t="s">
        <v>2359</v>
      </c>
      <c r="B32422">
        <f>HYPERLINK("https://android.googlesource.com/platform/cts/+/937f3a6d396ce5d4e9c9215be01dc25d4136b65c", "937f3a6d396ce5d4e9c9215be01dc25d4136b65c")</f>
        <v>0</v>
      </c>
      <c r="C32422">
        <f>HYPERLINK("https://android.googlesource.com/platform/cts/+/446fccde42fd9d30cc1b0036d8cd23dfea36dce4", "446fccde42fd9d30cc1b0036d8cd23dfea36dce4")</f>
        <v>0</v>
      </c>
      <c r="D32422" t="s">
        <v>5134</v>
      </c>
      <c r="E32422" t="s">
        <v>8089</v>
      </c>
      <c r="F32422" t="s">
        <v>13765</v>
      </c>
      <c r="G32422" t="s">
        <v>17822</v>
      </c>
      <c r="H32422" t="s">
        <v>31596</v>
      </c>
    </row>
    <row r="32423" spans="1:8">
      <c r="A32423" t="s">
        <v>2360</v>
      </c>
      <c r="B32423">
        <f>HYPERLINK("https://android.googlesource.com/platform/cts/+/e81877cca7ebbb4bc2f3d9fb46e3a6aef53a81ec", "e81877cca7ebbb4bc2f3d9fb46e3a6aef53a81ec")</f>
        <v>0</v>
      </c>
      <c r="C32423">
        <f>HYPERLINK("https://android.googlesource.com/platform/cts/+/0fc1b7851e546b06d34638ba6bd4719983635b9a", "0fc1b7851e546b06d34638ba6bd4719983635b9a")</f>
        <v>0</v>
      </c>
      <c r="D32423" t="s">
        <v>5380</v>
      </c>
      <c r="E32423" t="s">
        <v>8090</v>
      </c>
      <c r="F32423" t="s">
        <v>13792</v>
      </c>
      <c r="G32423" t="s">
        <v>17844</v>
      </c>
      <c r="H32423" t="s">
        <v>29930</v>
      </c>
    </row>
    <row r="32424" spans="1:8">
      <c r="A32424" t="s">
        <v>2361</v>
      </c>
      <c r="B32424">
        <f>HYPERLINK("https://android.googlesource.com/platform/cts/+/f51ff0eb17e5fcd96db3594eaef5f94bd9a79bf8", "f51ff0eb17e5fcd96db3594eaef5f94bd9a79bf8")</f>
        <v>0</v>
      </c>
      <c r="C32424">
        <f>HYPERLINK("https://android.googlesource.com/platform/cts/+/b5dee0037413996fb644b70a4c4d422080ad6efc", "b5dee0037413996fb644b70a4c4d422080ad6efc")</f>
        <v>0</v>
      </c>
      <c r="D32424" t="s">
        <v>5381</v>
      </c>
      <c r="E32424" t="s">
        <v>8091</v>
      </c>
      <c r="F32424" t="s">
        <v>13793</v>
      </c>
      <c r="G32424" t="s">
        <v>17845</v>
      </c>
      <c r="H32424" t="s">
        <v>31597</v>
      </c>
    </row>
    <row r="32425" spans="1:8">
      <c r="H32425" t="s">
        <v>31598</v>
      </c>
    </row>
    <row r="32426" spans="1:8">
      <c r="A32426" t="s">
        <v>2362</v>
      </c>
      <c r="B32426">
        <f>HYPERLINK("https://android.googlesource.com/platform/cts/+/2460f7b9abf86a30fe0e1975e721d55b9085b946", "2460f7b9abf86a30fe0e1975e721d55b9085b946")</f>
        <v>0</v>
      </c>
      <c r="C32426">
        <f>HYPERLINK("https://android.googlesource.com/platform/cts/+/1fe4cadc1ed4787753912dfc0756698df41e4e3a", "1fe4cadc1ed4787753912dfc0756698df41e4e3a")</f>
        <v>0</v>
      </c>
      <c r="D32426" t="s">
        <v>5379</v>
      </c>
      <c r="E32426" t="s">
        <v>8092</v>
      </c>
      <c r="F32426" t="s">
        <v>13794</v>
      </c>
      <c r="G32426" t="s">
        <v>17846</v>
      </c>
      <c r="H32426" t="s">
        <v>31599</v>
      </c>
    </row>
    <row r="32427" spans="1:8">
      <c r="H32427" t="s">
        <v>31283</v>
      </c>
    </row>
    <row r="32428" spans="1:8">
      <c r="H32428" t="s">
        <v>31600</v>
      </c>
    </row>
    <row r="32429" spans="1:8">
      <c r="A32429" t="s">
        <v>2363</v>
      </c>
      <c r="B32429">
        <f>HYPERLINK("https://android.googlesource.com/platform/cts/+/8c23de2732feaff86aa43cd32c659a32beafd7b6", "8c23de2732feaff86aa43cd32c659a32beafd7b6")</f>
        <v>0</v>
      </c>
      <c r="C32429">
        <f>HYPERLINK("https://android.googlesource.com/platform/cts/+/9284c6e1157295c95fe55c40f4c6bbbc2747ffd1", "9284c6e1157295c95fe55c40f4c6bbbc2747ffd1")</f>
        <v>0</v>
      </c>
      <c r="D32429" t="s">
        <v>5180</v>
      </c>
      <c r="E32429" t="s">
        <v>8093</v>
      </c>
      <c r="F32429" t="s">
        <v>13790</v>
      </c>
      <c r="G32429" t="s">
        <v>17519</v>
      </c>
      <c r="H32429" t="s">
        <v>31601</v>
      </c>
    </row>
    <row r="32430" spans="1:8">
      <c r="H32430" t="s">
        <v>31602</v>
      </c>
    </row>
    <row r="32431" spans="1:8">
      <c r="A32431" t="s">
        <v>2364</v>
      </c>
      <c r="B32431">
        <f>HYPERLINK("https://android.googlesource.com/platform/cts/+/c0c6d59aa09fc3e8f003a8e322d00846b3e6d316", "c0c6d59aa09fc3e8f003a8e322d00846b3e6d316")</f>
        <v>0</v>
      </c>
      <c r="C32431">
        <f>HYPERLINK("https://android.googlesource.com/platform/cts/+/a215eb85d4703cc2cfed58495a16be1c99c54830", "a215eb85d4703cc2cfed58495a16be1c99c54830")</f>
        <v>0</v>
      </c>
      <c r="D32431" t="s">
        <v>5134</v>
      </c>
      <c r="E32431" t="s">
        <v>8094</v>
      </c>
      <c r="F32431" t="s">
        <v>13765</v>
      </c>
      <c r="G32431" t="s">
        <v>17822</v>
      </c>
      <c r="H32431" t="s">
        <v>31603</v>
      </c>
    </row>
    <row r="32432" spans="1:8">
      <c r="F32432" t="s">
        <v>13756</v>
      </c>
      <c r="G32432" t="s">
        <v>17371</v>
      </c>
      <c r="H32432" t="s">
        <v>31604</v>
      </c>
    </row>
    <row r="32433" spans="1:8">
      <c r="H32433" t="s">
        <v>31605</v>
      </c>
    </row>
    <row r="32434" spans="1:8">
      <c r="H32434" t="s">
        <v>31606</v>
      </c>
    </row>
    <row r="32435" spans="1:8">
      <c r="A32435" t="s">
        <v>2365</v>
      </c>
      <c r="B32435">
        <f>HYPERLINK("https://android.googlesource.com/platform/cts/+/56d454cd914a55e6149e22a043dea683d71378a8", "56d454cd914a55e6149e22a043dea683d71378a8")</f>
        <v>0</v>
      </c>
      <c r="C32435">
        <f>HYPERLINK("https://android.googlesource.com/platform/cts/+/dbf932e3100885333b939a50a0c086d48f4d71ba", "dbf932e3100885333b939a50a0c086d48f4d71ba")</f>
        <v>0</v>
      </c>
      <c r="D32435" t="s">
        <v>5233</v>
      </c>
      <c r="E32435" t="s">
        <v>8095</v>
      </c>
      <c r="F32435" t="s">
        <v>12802</v>
      </c>
      <c r="G32435" t="s">
        <v>16984</v>
      </c>
      <c r="H32435" t="s">
        <v>31607</v>
      </c>
    </row>
    <row r="32436" spans="1:8">
      <c r="A32436" t="s">
        <v>2366</v>
      </c>
      <c r="B32436">
        <f>HYPERLINK("https://android.googlesource.com/platform/cts/+/6f80be06c44349a4c1945c9ef298d5e4f7f28dc6", "6f80be06c44349a4c1945c9ef298d5e4f7f28dc6")</f>
        <v>0</v>
      </c>
      <c r="C32436">
        <f>HYPERLINK("https://android.googlesource.com/platform/cts/+/3d32635e90e7f3faf5916351555e1d9de59fb078", "3d32635e90e7f3faf5916351555e1d9de59fb078")</f>
        <v>0</v>
      </c>
      <c r="D32436" t="s">
        <v>5382</v>
      </c>
      <c r="E32436" t="s">
        <v>8096</v>
      </c>
      <c r="F32436" t="s">
        <v>13795</v>
      </c>
      <c r="G32436" t="s">
        <v>17847</v>
      </c>
      <c r="H32436" t="s">
        <v>18829</v>
      </c>
    </row>
    <row r="32437" spans="1:8">
      <c r="H32437" t="s">
        <v>31608</v>
      </c>
    </row>
    <row r="32438" spans="1:8">
      <c r="H32438" t="s">
        <v>31609</v>
      </c>
    </row>
    <row r="32439" spans="1:8">
      <c r="H32439" t="s">
        <v>31610</v>
      </c>
    </row>
    <row r="32440" spans="1:8">
      <c r="H32440" t="s">
        <v>31611</v>
      </c>
    </row>
    <row r="32441" spans="1:8">
      <c r="H32441" t="s">
        <v>31612</v>
      </c>
    </row>
    <row r="32442" spans="1:8">
      <c r="H32442" t="s">
        <v>31613</v>
      </c>
    </row>
    <row r="32443" spans="1:8">
      <c r="H32443" t="s">
        <v>31614</v>
      </c>
    </row>
    <row r="32444" spans="1:8">
      <c r="H32444" t="s">
        <v>31615</v>
      </c>
    </row>
    <row r="32445" spans="1:8">
      <c r="F32445" t="s">
        <v>12710</v>
      </c>
      <c r="G32445" t="s">
        <v>16911</v>
      </c>
      <c r="H32445" t="s">
        <v>31616</v>
      </c>
    </row>
    <row r="32446" spans="1:8">
      <c r="A32446" t="s">
        <v>2367</v>
      </c>
      <c r="B32446">
        <f>HYPERLINK("https://android.googlesource.com/platform/cts/+/4af30d7440df06d9779a2177283ed7a08e66af98", "4af30d7440df06d9779a2177283ed7a08e66af98")</f>
        <v>0</v>
      </c>
      <c r="C32446">
        <f>HYPERLINK("https://android.googlesource.com/platform/cts/+/8cfc3b6dc2e1bd4ae45bdfe56d410305bc4bd27b", "8cfc3b6dc2e1bd4ae45bdfe56d410305bc4bd27b")</f>
        <v>0</v>
      </c>
      <c r="D32446" t="s">
        <v>5382</v>
      </c>
      <c r="E32446" t="s">
        <v>8097</v>
      </c>
      <c r="F32446" t="s">
        <v>13795</v>
      </c>
      <c r="G32446" t="s">
        <v>17847</v>
      </c>
      <c r="H32446" t="s">
        <v>18829</v>
      </c>
    </row>
    <row r="32447" spans="1:8">
      <c r="H32447" t="s">
        <v>31608</v>
      </c>
    </row>
    <row r="32448" spans="1:8">
      <c r="H32448" t="s">
        <v>31609</v>
      </c>
    </row>
    <row r="32449" spans="1:8">
      <c r="H32449" t="s">
        <v>31610</v>
      </c>
    </row>
    <row r="32450" spans="1:8">
      <c r="H32450" t="s">
        <v>31611</v>
      </c>
    </row>
    <row r="32451" spans="1:8">
      <c r="H32451" t="s">
        <v>31612</v>
      </c>
    </row>
    <row r="32452" spans="1:8">
      <c r="H32452" t="s">
        <v>31613</v>
      </c>
    </row>
    <row r="32453" spans="1:8">
      <c r="H32453" t="s">
        <v>31614</v>
      </c>
    </row>
    <row r="32454" spans="1:8">
      <c r="H32454" t="s">
        <v>31615</v>
      </c>
    </row>
    <row r="32455" spans="1:8">
      <c r="F32455" t="s">
        <v>12710</v>
      </c>
      <c r="G32455" t="s">
        <v>16911</v>
      </c>
      <c r="H32455" t="s">
        <v>31616</v>
      </c>
    </row>
    <row r="32456" spans="1:8">
      <c r="A32456" t="s">
        <v>2368</v>
      </c>
      <c r="B32456">
        <f>HYPERLINK("https://android.googlesource.com/platform/cts/+/b01752955ffac6640183feb36433033eb69d0232", "b01752955ffac6640183feb36433033eb69d0232")</f>
        <v>0</v>
      </c>
      <c r="C32456">
        <f>HYPERLINK("https://android.googlesource.com/platform/cts/+/6ed86fb21b871da99052bd1fcb8ff68f383160e9", "6ed86fb21b871da99052bd1fcb8ff68f383160e9")</f>
        <v>0</v>
      </c>
      <c r="D32456" t="s">
        <v>5382</v>
      </c>
      <c r="E32456" t="s">
        <v>8098</v>
      </c>
      <c r="F32456" t="s">
        <v>13795</v>
      </c>
      <c r="G32456" t="s">
        <v>17847</v>
      </c>
      <c r="H32456" t="s">
        <v>18829</v>
      </c>
    </row>
    <row r="32457" spans="1:8">
      <c r="H32457" t="s">
        <v>31608</v>
      </c>
    </row>
    <row r="32458" spans="1:8">
      <c r="H32458" t="s">
        <v>31609</v>
      </c>
    </row>
    <row r="32459" spans="1:8">
      <c r="H32459" t="s">
        <v>31610</v>
      </c>
    </row>
    <row r="32460" spans="1:8">
      <c r="H32460" t="s">
        <v>31611</v>
      </c>
    </row>
    <row r="32461" spans="1:8">
      <c r="H32461" t="s">
        <v>31612</v>
      </c>
    </row>
    <row r="32462" spans="1:8">
      <c r="H32462" t="s">
        <v>31613</v>
      </c>
    </row>
    <row r="32463" spans="1:8">
      <c r="H32463" t="s">
        <v>31614</v>
      </c>
    </row>
    <row r="32464" spans="1:8">
      <c r="H32464" t="s">
        <v>31615</v>
      </c>
    </row>
    <row r="32465" spans="1:8">
      <c r="F32465" t="s">
        <v>12710</v>
      </c>
      <c r="G32465" t="s">
        <v>16911</v>
      </c>
      <c r="H32465" t="s">
        <v>31616</v>
      </c>
    </row>
    <row r="32466" spans="1:8">
      <c r="A32466" t="s">
        <v>2369</v>
      </c>
      <c r="B32466">
        <f>HYPERLINK("https://android.googlesource.com/platform/cts/+/a56c508c589f37cea9aa28cec18c26665aee2e39", "a56c508c589f37cea9aa28cec18c26665aee2e39")</f>
        <v>0</v>
      </c>
      <c r="C32466">
        <f>HYPERLINK("https://android.googlesource.com/platform/cts/+/3b4167f594d9829299a6690e2e1d0920520e5d6f", "3b4167f594d9829299a6690e2e1d0920520e5d6f")</f>
        <v>0</v>
      </c>
      <c r="D32466" t="s">
        <v>5298</v>
      </c>
      <c r="E32466" t="s">
        <v>8099</v>
      </c>
      <c r="F32466" t="s">
        <v>13776</v>
      </c>
      <c r="G32466" t="s">
        <v>17831</v>
      </c>
      <c r="H32466" t="s">
        <v>31533</v>
      </c>
    </row>
    <row r="32467" spans="1:8">
      <c r="A32467" t="s">
        <v>2370</v>
      </c>
      <c r="B32467">
        <f>HYPERLINK("https://android.googlesource.com/platform/cts/+/d834029ae5a4d29afb15c1e96a53c6be317209a8", "d834029ae5a4d29afb15c1e96a53c6be317209a8")</f>
        <v>0</v>
      </c>
      <c r="C32467">
        <f>HYPERLINK("https://android.googlesource.com/platform/cts/+/72919e867b673e218449b6edae714dda749cb573", "72919e867b673e218449b6edae714dda749cb573")</f>
        <v>0</v>
      </c>
      <c r="D32467" t="s">
        <v>5134</v>
      </c>
      <c r="E32467" t="s">
        <v>8100</v>
      </c>
      <c r="F32467" t="s">
        <v>13428</v>
      </c>
      <c r="G32467" t="s">
        <v>17552</v>
      </c>
      <c r="H32467" t="s">
        <v>31617</v>
      </c>
    </row>
    <row r="32468" spans="1:8">
      <c r="A32468" t="s">
        <v>2371</v>
      </c>
      <c r="B32468">
        <f>HYPERLINK("https://android.googlesource.com/platform/cts/+/4d693be1bd137420092f69cab6afe42db4d15d37", "4d693be1bd137420092f69cab6afe42db4d15d37")</f>
        <v>0</v>
      </c>
      <c r="C32468">
        <f>HYPERLINK("https://android.googlesource.com/platform/cts/+/b8b4533d0318957ead2a52550a5aa069d7201e99", "b8b4533d0318957ead2a52550a5aa069d7201e99")</f>
        <v>0</v>
      </c>
      <c r="D32468" t="s">
        <v>5134</v>
      </c>
      <c r="E32468" t="s">
        <v>8101</v>
      </c>
      <c r="F32468" t="s">
        <v>13796</v>
      </c>
      <c r="G32468" t="s">
        <v>17848</v>
      </c>
      <c r="H32468" t="s">
        <v>31618</v>
      </c>
    </row>
    <row r="32469" spans="1:8">
      <c r="H32469" t="s">
        <v>31619</v>
      </c>
    </row>
    <row r="32470" spans="1:8">
      <c r="H32470" t="s">
        <v>31620</v>
      </c>
    </row>
    <row r="32471" spans="1:8">
      <c r="H32471" t="s">
        <v>31621</v>
      </c>
    </row>
    <row r="32472" spans="1:8">
      <c r="H32472" t="s">
        <v>31622</v>
      </c>
    </row>
    <row r="32473" spans="1:8">
      <c r="A32473" t="s">
        <v>2372</v>
      </c>
      <c r="B32473">
        <f>HYPERLINK("https://android.googlesource.com/platform/cts/+/271c1441e900bcd1ed505b5d26c97c69338b70e1", "271c1441e900bcd1ed505b5d26c97c69338b70e1")</f>
        <v>0</v>
      </c>
      <c r="C32473">
        <f>HYPERLINK("https://android.googlesource.com/platform/cts/+/d58c16236c140c46c95f8c94293b7dfff1ab5187", "d58c16236c140c46c95f8c94293b7dfff1ab5187")</f>
        <v>0</v>
      </c>
      <c r="D32473" t="s">
        <v>5244</v>
      </c>
      <c r="E32473" t="s">
        <v>8102</v>
      </c>
      <c r="F32473" t="s">
        <v>13764</v>
      </c>
      <c r="G32473" t="s">
        <v>17821</v>
      </c>
      <c r="H32473" t="s">
        <v>21530</v>
      </c>
    </row>
    <row r="32474" spans="1:8">
      <c r="A32474" t="s">
        <v>2373</v>
      </c>
      <c r="B32474">
        <f>HYPERLINK("https://android.googlesource.com/platform/cts/+/80f3dfb0bf5ce43c4b07dde17d522df5b58fe30a", "80f3dfb0bf5ce43c4b07dde17d522df5b58fe30a")</f>
        <v>0</v>
      </c>
      <c r="C32474">
        <f>HYPERLINK("https://android.googlesource.com/platform/cts/+/3ba81de58ffa5c967e142f3f925d0f9de3bd240a", "3ba81de58ffa5c967e142f3f925d0f9de3bd240a")</f>
        <v>0</v>
      </c>
      <c r="D32474" t="s">
        <v>5134</v>
      </c>
      <c r="E32474" t="s">
        <v>8103</v>
      </c>
      <c r="F32474" t="s">
        <v>13756</v>
      </c>
      <c r="G32474" t="s">
        <v>17371</v>
      </c>
      <c r="H32474" t="s">
        <v>31623</v>
      </c>
    </row>
    <row r="32475" spans="1:8">
      <c r="A32475" t="s">
        <v>2374</v>
      </c>
      <c r="B32475">
        <f>HYPERLINK("https://android.googlesource.com/platform/cts/+/13953ded9908bb75007968fca3c05299bf57c79a", "13953ded9908bb75007968fca3c05299bf57c79a")</f>
        <v>0</v>
      </c>
      <c r="C32475">
        <f>HYPERLINK("https://android.googlesource.com/platform/cts/+/3e0b153899f71eb897ed99bcbd432fcdb8b87dc3", "3e0b153899f71eb897ed99bcbd432fcdb8b87dc3")</f>
        <v>0</v>
      </c>
      <c r="D32475" t="s">
        <v>5260</v>
      </c>
      <c r="E32475" t="s">
        <v>8104</v>
      </c>
      <c r="F32475" t="s">
        <v>13797</v>
      </c>
      <c r="G32475" t="s">
        <v>17849</v>
      </c>
      <c r="H32475" t="s">
        <v>31624</v>
      </c>
    </row>
    <row r="32476" spans="1:8">
      <c r="H32476" t="s">
        <v>31625</v>
      </c>
    </row>
    <row r="32477" spans="1:8">
      <c r="A32477" t="s">
        <v>2375</v>
      </c>
      <c r="B32477">
        <f>HYPERLINK("https://android.googlesource.com/platform/cts/+/8833ad0802aa8eaeee63a257fe872acc15d30a87", "8833ad0802aa8eaeee63a257fe872acc15d30a87")</f>
        <v>0</v>
      </c>
      <c r="C32477">
        <f>HYPERLINK("https://android.googlesource.com/platform/cts/+/8404123d31656e0d8567c1dbd92229d5da81d902", "8404123d31656e0d8567c1dbd92229d5da81d902")</f>
        <v>0</v>
      </c>
      <c r="D32477" t="s">
        <v>4971</v>
      </c>
      <c r="E32477" t="s">
        <v>8105</v>
      </c>
      <c r="F32477" t="s">
        <v>13059</v>
      </c>
      <c r="G32477" t="s">
        <v>17223</v>
      </c>
      <c r="H32477" t="s">
        <v>31626</v>
      </c>
    </row>
    <row r="32478" spans="1:8">
      <c r="A32478" t="s">
        <v>2376</v>
      </c>
      <c r="B32478">
        <f>HYPERLINK("https://android.googlesource.com/platform/cts/+/fd6b087e99c6dd69cf3d458080aad148067d8973", "fd6b087e99c6dd69cf3d458080aad148067d8973")</f>
        <v>0</v>
      </c>
      <c r="C32478">
        <f>HYPERLINK("https://android.googlesource.com/platform/cts/+/2a6521efd51d72caba7fa34af61b6cda4cb1fc8f", "2a6521efd51d72caba7fa34af61b6cda4cb1fc8f")</f>
        <v>0</v>
      </c>
      <c r="D32478" t="s">
        <v>5235</v>
      </c>
      <c r="E32478" t="s">
        <v>8106</v>
      </c>
      <c r="F32478" t="s">
        <v>13408</v>
      </c>
      <c r="G32478" t="s">
        <v>17534</v>
      </c>
      <c r="H32478" t="s">
        <v>30891</v>
      </c>
    </row>
    <row r="32479" spans="1:8">
      <c r="F32479" t="s">
        <v>13661</v>
      </c>
      <c r="G32479" t="s">
        <v>17735</v>
      </c>
      <c r="H32479" t="s">
        <v>25497</v>
      </c>
    </row>
    <row r="32480" spans="1:8">
      <c r="H32480" t="s">
        <v>20244</v>
      </c>
    </row>
    <row r="32481" spans="1:8">
      <c r="H32481" t="s">
        <v>22590</v>
      </c>
    </row>
    <row r="32482" spans="1:8">
      <c r="F32482" t="s">
        <v>13259</v>
      </c>
      <c r="G32482" t="s">
        <v>17397</v>
      </c>
      <c r="H32482" t="s">
        <v>25497</v>
      </c>
    </row>
    <row r="32483" spans="1:8">
      <c r="H32483" t="s">
        <v>20244</v>
      </c>
    </row>
    <row r="32484" spans="1:8">
      <c r="H32484" t="s">
        <v>22590</v>
      </c>
    </row>
    <row r="32485" spans="1:8">
      <c r="A32485" t="s">
        <v>2377</v>
      </c>
      <c r="B32485">
        <f>HYPERLINK("https://android.googlesource.com/platform/cts/+/10ec95bee418c643a2dc8d3cda23d9bcbedb97cb", "10ec95bee418c643a2dc8d3cda23d9bcbedb97cb")</f>
        <v>0</v>
      </c>
      <c r="C32485">
        <f>HYPERLINK("https://android.googlesource.com/platform/cts/+/fd6b087e99c6dd69cf3d458080aad148067d8973", "fd6b087e99c6dd69cf3d458080aad148067d8973")</f>
        <v>0</v>
      </c>
      <c r="D32485" t="s">
        <v>5235</v>
      </c>
      <c r="E32485" t="s">
        <v>8107</v>
      </c>
      <c r="F32485" t="s">
        <v>13331</v>
      </c>
      <c r="G32485" t="s">
        <v>17461</v>
      </c>
      <c r="H32485" t="s">
        <v>18829</v>
      </c>
    </row>
    <row r="32486" spans="1:8">
      <c r="F32486" t="s">
        <v>13666</v>
      </c>
      <c r="G32486" t="s">
        <v>17738</v>
      </c>
      <c r="H32486" t="s">
        <v>20244</v>
      </c>
    </row>
    <row r="32487" spans="1:8">
      <c r="F32487" t="s">
        <v>13667</v>
      </c>
      <c r="G32487" t="s">
        <v>17739</v>
      </c>
      <c r="H32487" t="s">
        <v>30911</v>
      </c>
    </row>
    <row r="32488" spans="1:8">
      <c r="A32488" t="s">
        <v>2378</v>
      </c>
      <c r="B32488">
        <f>HYPERLINK("https://android.googlesource.com/platform/cts/+/6930052ff60cbe1db55097524cf8667b0b27a823", "6930052ff60cbe1db55097524cf8667b0b27a823")</f>
        <v>0</v>
      </c>
      <c r="C32488">
        <f>HYPERLINK("https://android.googlesource.com/platform/cts/+/3ba81de58ffa5c967e142f3f925d0f9de3bd240a", "3ba81de58ffa5c967e142f3f925d0f9de3bd240a")</f>
        <v>0</v>
      </c>
      <c r="D32488" t="s">
        <v>5134</v>
      </c>
      <c r="E32488" t="s">
        <v>8108</v>
      </c>
      <c r="F32488" t="s">
        <v>13746</v>
      </c>
      <c r="G32488" t="s">
        <v>17806</v>
      </c>
      <c r="H32488" t="s">
        <v>31627</v>
      </c>
    </row>
    <row r="32489" spans="1:8">
      <c r="A32489" t="s">
        <v>2379</v>
      </c>
      <c r="B32489">
        <f>HYPERLINK("https://android.googlesource.com/platform/cts/+/83ea2a67c60155fdff8194474dee2d9178d48461", "83ea2a67c60155fdff8194474dee2d9178d48461")</f>
        <v>0</v>
      </c>
      <c r="C32489">
        <f>HYPERLINK("https://android.googlesource.com/platform/cts/+/de4ddc0452fdead5ded61d2bb47a8ef32274bade", "de4ddc0452fdead5ded61d2bb47a8ef32274bade")</f>
        <v>0</v>
      </c>
      <c r="D32489" t="s">
        <v>5128</v>
      </c>
      <c r="E32489" t="s">
        <v>8109</v>
      </c>
      <c r="F32489" t="s">
        <v>13798</v>
      </c>
      <c r="G32489" t="s">
        <v>17850</v>
      </c>
      <c r="H32489" t="s">
        <v>18829</v>
      </c>
    </row>
    <row r="32490" spans="1:8">
      <c r="H32490" t="s">
        <v>31628</v>
      </c>
    </row>
    <row r="32491" spans="1:8">
      <c r="H32491" t="s">
        <v>26807</v>
      </c>
    </row>
    <row r="32492" spans="1:8">
      <c r="H32492" t="s">
        <v>31629</v>
      </c>
    </row>
    <row r="32493" spans="1:8">
      <c r="H32493" t="s">
        <v>31630</v>
      </c>
    </row>
    <row r="32494" spans="1:8">
      <c r="H32494" t="s">
        <v>31631</v>
      </c>
    </row>
    <row r="32495" spans="1:8">
      <c r="H32495" t="s">
        <v>31632</v>
      </c>
    </row>
    <row r="32496" spans="1:8">
      <c r="A32496" t="s">
        <v>2380</v>
      </c>
      <c r="B32496">
        <f>HYPERLINK("https://android.googlesource.com/platform/cts/+/9c906217748e3d53559753abdfea873319df4b8a", "9c906217748e3d53559753abdfea873319df4b8a")</f>
        <v>0</v>
      </c>
      <c r="C32496">
        <f>HYPERLINK("https://android.googlesource.com/platform/cts/+/0eace3d80ab5583addf94a5bfb84fd8a54f7cb0b", "0eace3d80ab5583addf94a5bfb84fd8a54f7cb0b")</f>
        <v>0</v>
      </c>
      <c r="D32496" t="s">
        <v>5135</v>
      </c>
      <c r="E32496" t="s">
        <v>8110</v>
      </c>
      <c r="F32496" t="s">
        <v>13799</v>
      </c>
      <c r="G32496" t="s">
        <v>16553</v>
      </c>
      <c r="H32496" t="s">
        <v>31633</v>
      </c>
    </row>
    <row r="32497" spans="1:8">
      <c r="A32497" t="s">
        <v>2381</v>
      </c>
      <c r="B32497">
        <f>HYPERLINK("https://android.googlesource.com/platform/cts/+/2da35c271e586f7779842c2825f8d32ca3820fb2", "2da35c271e586f7779842c2825f8d32ca3820fb2")</f>
        <v>0</v>
      </c>
      <c r="C32497">
        <f>HYPERLINK("https://android.googlesource.com/platform/cts/+/87e8ce53b5081b3054e92f80b494fad64323f891", "87e8ce53b5081b3054e92f80b494fad64323f891")</f>
        <v>0</v>
      </c>
      <c r="D32497" t="s">
        <v>5383</v>
      </c>
      <c r="E32497" t="s">
        <v>8111</v>
      </c>
      <c r="F32497" t="s">
        <v>13800</v>
      </c>
      <c r="G32497" t="s">
        <v>17851</v>
      </c>
      <c r="H32497" t="s">
        <v>31634</v>
      </c>
    </row>
    <row r="32498" spans="1:8">
      <c r="H32498" t="s">
        <v>31635</v>
      </c>
    </row>
    <row r="32499" spans="1:8">
      <c r="H32499" t="s">
        <v>31636</v>
      </c>
    </row>
    <row r="32500" spans="1:8">
      <c r="H32500" t="s">
        <v>31637</v>
      </c>
    </row>
    <row r="32501" spans="1:8">
      <c r="H32501" t="s">
        <v>31638</v>
      </c>
    </row>
    <row r="32502" spans="1:8">
      <c r="H32502" t="s">
        <v>31639</v>
      </c>
    </row>
    <row r="32503" spans="1:8">
      <c r="H32503" t="s">
        <v>19756</v>
      </c>
    </row>
    <row r="32504" spans="1:8">
      <c r="H32504" t="s">
        <v>22058</v>
      </c>
    </row>
    <row r="32505" spans="1:8">
      <c r="H32505" t="s">
        <v>31640</v>
      </c>
    </row>
    <row r="32506" spans="1:8">
      <c r="H32506" t="s">
        <v>31641</v>
      </c>
    </row>
    <row r="32507" spans="1:8">
      <c r="H32507" t="s">
        <v>31642</v>
      </c>
    </row>
    <row r="32508" spans="1:8">
      <c r="A32508" t="s">
        <v>2382</v>
      </c>
      <c r="B32508">
        <f>HYPERLINK("https://android.googlesource.com/platform/cts/+/2ac8add1d429cdf0aa63d753a3f6cc96c5a0a65a", "2ac8add1d429cdf0aa63d753a3f6cc96c5a0a65a")</f>
        <v>0</v>
      </c>
      <c r="C32508">
        <f>HYPERLINK("https://android.googlesource.com/platform/cts/+/a6e1a886435bbbca18470f4370607e7e977f92e0", "a6e1a886435bbbca18470f4370607e7e977f92e0")</f>
        <v>0</v>
      </c>
      <c r="D32508" t="s">
        <v>5384</v>
      </c>
      <c r="E32508" t="s">
        <v>8112</v>
      </c>
      <c r="F32508" t="s">
        <v>13801</v>
      </c>
      <c r="G32508" t="s">
        <v>16597</v>
      </c>
      <c r="H32508" t="s">
        <v>22521</v>
      </c>
    </row>
    <row r="32509" spans="1:8">
      <c r="H32509" t="s">
        <v>22528</v>
      </c>
    </row>
    <row r="32510" spans="1:8">
      <c r="H32510" t="s">
        <v>22529</v>
      </c>
    </row>
    <row r="32511" spans="1:8">
      <c r="A32511" t="s">
        <v>2383</v>
      </c>
      <c r="B32511">
        <f>HYPERLINK("https://android.googlesource.com/platform/cts/+/8b435fab839564e52201b77f512903932d7b5c91", "8b435fab839564e52201b77f512903932d7b5c91")</f>
        <v>0</v>
      </c>
      <c r="C32511">
        <f>HYPERLINK("https://android.googlesource.com/platform/cts/+/175f4638037701375d9c7d4bdfa13f52dd7989c4", "175f4638037701375d9c7d4bdfa13f52dd7989c4")</f>
        <v>0</v>
      </c>
      <c r="D32511" t="s">
        <v>5384</v>
      </c>
      <c r="E32511" t="s">
        <v>8113</v>
      </c>
      <c r="F32511" t="s">
        <v>13801</v>
      </c>
      <c r="G32511" t="s">
        <v>16597</v>
      </c>
      <c r="H32511" t="s">
        <v>22521</v>
      </c>
    </row>
    <row r="32512" spans="1:8">
      <c r="H32512" t="s">
        <v>22528</v>
      </c>
    </row>
    <row r="32513" spans="1:8">
      <c r="H32513" t="s">
        <v>22529</v>
      </c>
    </row>
    <row r="32514" spans="1:8">
      <c r="A32514" t="s">
        <v>2384</v>
      </c>
      <c r="B32514">
        <f>HYPERLINK("https://android.googlesource.com/platform/cts/+/d4d7bb6e788c113646ce842d7a97531ddaa84a3c", "d4d7bb6e788c113646ce842d7a97531ddaa84a3c")</f>
        <v>0</v>
      </c>
      <c r="C32514">
        <f>HYPERLINK("https://android.googlesource.com/platform/cts/+/0e09cb0bb382f61037e33e30d36fc13c3d028d0d", "0e09cb0bb382f61037e33e30d36fc13c3d028d0d")</f>
        <v>0</v>
      </c>
      <c r="D32514" t="s">
        <v>5385</v>
      </c>
      <c r="E32514" t="s">
        <v>8114</v>
      </c>
      <c r="F32514" t="s">
        <v>13802</v>
      </c>
      <c r="G32514" t="s">
        <v>17852</v>
      </c>
      <c r="H32514" t="s">
        <v>31643</v>
      </c>
    </row>
    <row r="32515" spans="1:8">
      <c r="A32515" t="s">
        <v>2385</v>
      </c>
      <c r="B32515">
        <f>HYPERLINK("https://android.googlesource.com/platform/cts/+/15adc74127c14192af55ad176c7d341d257f7e53", "15adc74127c14192af55ad176c7d341d257f7e53")</f>
        <v>0</v>
      </c>
      <c r="C32515">
        <f>HYPERLINK("https://android.googlesource.com/platform/cts/+/065a4af81935925843c8af215faaef9d37ced9dd", "065a4af81935925843c8af215faaef9d37ced9dd")</f>
        <v>0</v>
      </c>
      <c r="D32515" t="s">
        <v>4981</v>
      </c>
      <c r="E32515" t="s">
        <v>8115</v>
      </c>
      <c r="F32515" t="s">
        <v>13727</v>
      </c>
      <c r="G32515" t="s">
        <v>17789</v>
      </c>
      <c r="H32515" t="s">
        <v>31644</v>
      </c>
    </row>
    <row r="32516" spans="1:8">
      <c r="F32516" t="s">
        <v>13803</v>
      </c>
      <c r="G32516" t="s">
        <v>17853</v>
      </c>
      <c r="H32516" t="s">
        <v>26522</v>
      </c>
    </row>
    <row r="32517" spans="1:8">
      <c r="H32517" t="s">
        <v>18829</v>
      </c>
    </row>
    <row r="32518" spans="1:8">
      <c r="H32518" t="s">
        <v>31645</v>
      </c>
    </row>
    <row r="32519" spans="1:8">
      <c r="H32519" t="s">
        <v>31646</v>
      </c>
    </row>
    <row r="32520" spans="1:8">
      <c r="H32520" t="s">
        <v>31514</v>
      </c>
    </row>
    <row r="32521" spans="1:8">
      <c r="H32521" t="s">
        <v>31647</v>
      </c>
    </row>
    <row r="32522" spans="1:8">
      <c r="A32522" t="s">
        <v>2386</v>
      </c>
      <c r="B32522">
        <f>HYPERLINK("https://android.googlesource.com/platform/cts/+/9266cc482e77c36e3770fe9ca0bafa2ba5efedf3", "9266cc482e77c36e3770fe9ca0bafa2ba5efedf3")</f>
        <v>0</v>
      </c>
      <c r="C32522">
        <f>HYPERLINK("https://android.googlesource.com/platform/cts/+/5490e152f631371feaf326124b9bf8494e004673", "5490e152f631371feaf326124b9bf8494e004673")</f>
        <v>0</v>
      </c>
      <c r="D32522" t="s">
        <v>5386</v>
      </c>
      <c r="E32522" t="s">
        <v>8116</v>
      </c>
      <c r="F32522" t="s">
        <v>13000</v>
      </c>
      <c r="G32522" t="s">
        <v>17164</v>
      </c>
      <c r="H32522" t="s">
        <v>31648</v>
      </c>
    </row>
    <row r="32523" spans="1:8">
      <c r="H32523" t="s">
        <v>31649</v>
      </c>
    </row>
    <row r="32524" spans="1:8">
      <c r="A32524" t="s">
        <v>2387</v>
      </c>
      <c r="B32524">
        <f>HYPERLINK("https://android.googlesource.com/platform/cts/+/c48d3476197080e1b73abd7bbb901b396c0413dd", "c48d3476197080e1b73abd7bbb901b396c0413dd")</f>
        <v>0</v>
      </c>
      <c r="C32524">
        <f>HYPERLINK("https://android.googlesource.com/platform/cts/+/065a4af81935925843c8af215faaef9d37ced9dd", "065a4af81935925843c8af215faaef9d37ced9dd")</f>
        <v>0</v>
      </c>
      <c r="D32524" t="s">
        <v>5260</v>
      </c>
      <c r="E32524" t="s">
        <v>8117</v>
      </c>
      <c r="F32524" t="s">
        <v>11193</v>
      </c>
      <c r="G32524" t="s">
        <v>15582</v>
      </c>
      <c r="H32524" t="s">
        <v>31650</v>
      </c>
    </row>
    <row r="32525" spans="1:8">
      <c r="H32525" t="s">
        <v>31651</v>
      </c>
    </row>
    <row r="32526" spans="1:8">
      <c r="A32526" t="s">
        <v>2388</v>
      </c>
      <c r="B32526">
        <f>HYPERLINK("https://android.googlesource.com/platform/cts/+/ecb5733f03100edeeb4bebb67e08ca75774bfdae", "ecb5733f03100edeeb4bebb67e08ca75774bfdae")</f>
        <v>0</v>
      </c>
      <c r="C32526">
        <f>HYPERLINK("https://android.googlesource.com/platform/cts/+/462659424c433c84a2f0da1bc40404a1ded46856", "462659424c433c84a2f0da1bc40404a1ded46856")</f>
        <v>0</v>
      </c>
      <c r="D32526" t="s">
        <v>5233</v>
      </c>
      <c r="E32526" t="s">
        <v>8118</v>
      </c>
      <c r="F32526" t="s">
        <v>13804</v>
      </c>
      <c r="G32526" t="s">
        <v>17854</v>
      </c>
      <c r="H32526" t="s">
        <v>18829</v>
      </c>
    </row>
    <row r="32527" spans="1:8">
      <c r="H32527" t="s">
        <v>18863</v>
      </c>
    </row>
    <row r="32528" spans="1:8">
      <c r="H32528" t="s">
        <v>31652</v>
      </c>
    </row>
    <row r="32529" spans="1:8">
      <c r="H32529" t="s">
        <v>31653</v>
      </c>
    </row>
    <row r="32530" spans="1:8">
      <c r="H32530" t="s">
        <v>31654</v>
      </c>
    </row>
    <row r="32531" spans="1:8">
      <c r="A32531" t="s">
        <v>2389</v>
      </c>
      <c r="B32531">
        <f>HYPERLINK("https://android.googlesource.com/platform/cts/+/89abe2222c580a3c53ed464f03079a7b6f6b65ef", "89abe2222c580a3c53ed464f03079a7b6f6b65ef")</f>
        <v>0</v>
      </c>
      <c r="C32531">
        <f>HYPERLINK("https://android.googlesource.com/platform/cts/+/b8c1e574fa53d17bd9698ea61a24ada0738ba5f3", "b8c1e574fa53d17bd9698ea61a24ada0738ba5f3")</f>
        <v>0</v>
      </c>
      <c r="D32531" t="s">
        <v>5371</v>
      </c>
      <c r="E32531" t="s">
        <v>8119</v>
      </c>
      <c r="F32531" t="s">
        <v>10687</v>
      </c>
      <c r="G32531" t="s">
        <v>15087</v>
      </c>
      <c r="H32531" t="s">
        <v>31655</v>
      </c>
    </row>
    <row r="32532" spans="1:8">
      <c r="H32532" t="s">
        <v>31656</v>
      </c>
    </row>
    <row r="32533" spans="1:8">
      <c r="H32533" t="s">
        <v>19520</v>
      </c>
    </row>
    <row r="32534" spans="1:8">
      <c r="H32534" t="s">
        <v>31657</v>
      </c>
    </row>
    <row r="32535" spans="1:8">
      <c r="H32535" t="s">
        <v>31658</v>
      </c>
    </row>
    <row r="32536" spans="1:8">
      <c r="H32536" t="s">
        <v>31659</v>
      </c>
    </row>
    <row r="32537" spans="1:8">
      <c r="H32537" t="s">
        <v>31660</v>
      </c>
    </row>
    <row r="32538" spans="1:8">
      <c r="H32538" t="s">
        <v>31661</v>
      </c>
    </row>
    <row r="32539" spans="1:8">
      <c r="H32539" t="s">
        <v>31662</v>
      </c>
    </row>
    <row r="32540" spans="1:8">
      <c r="H32540" t="s">
        <v>19487</v>
      </c>
    </row>
    <row r="32541" spans="1:8">
      <c r="H32541" t="s">
        <v>31663</v>
      </c>
    </row>
    <row r="32542" spans="1:8">
      <c r="H32542" t="s">
        <v>31664</v>
      </c>
    </row>
    <row r="32543" spans="1:8">
      <c r="H32543" t="s">
        <v>31665</v>
      </c>
    </row>
    <row r="32544" spans="1:8">
      <c r="H32544" t="s">
        <v>31666</v>
      </c>
    </row>
    <row r="32545" spans="1:8">
      <c r="H32545" t="s">
        <v>19486</v>
      </c>
    </row>
    <row r="32546" spans="1:8">
      <c r="A32546" t="s">
        <v>2390</v>
      </c>
      <c r="B32546">
        <f>HYPERLINK("https://android.googlesource.com/platform/cts/+/95cd19ec1ae583905ef4a6d3bb949bc41a84173d", "95cd19ec1ae583905ef4a6d3bb949bc41a84173d")</f>
        <v>0</v>
      </c>
      <c r="C32546">
        <f>HYPERLINK("https://android.googlesource.com/platform/cts/+/065a4af81935925843c8af215faaef9d37ced9dd", "065a4af81935925843c8af215faaef9d37ced9dd")</f>
        <v>0</v>
      </c>
      <c r="D32546" t="s">
        <v>5260</v>
      </c>
      <c r="E32546" t="s">
        <v>8120</v>
      </c>
      <c r="F32546" t="s">
        <v>10687</v>
      </c>
      <c r="G32546" t="s">
        <v>15087</v>
      </c>
      <c r="H32546" t="s">
        <v>31667</v>
      </c>
    </row>
    <row r="32547" spans="1:8">
      <c r="A32547" t="s">
        <v>2391</v>
      </c>
      <c r="B32547">
        <f>HYPERLINK("https://android.googlesource.com/platform/cts/+/99f6caabbfe25cd292362686f475756fd04430c9", "99f6caabbfe25cd292362686f475756fd04430c9")</f>
        <v>0</v>
      </c>
      <c r="C32547">
        <f>HYPERLINK("https://android.googlesource.com/platform/cts/+/462659424c433c84a2f0da1bc40404a1ded46856", "462659424c433c84a2f0da1bc40404a1ded46856")</f>
        <v>0</v>
      </c>
      <c r="D32547" t="s">
        <v>5233</v>
      </c>
      <c r="E32547" t="s">
        <v>8121</v>
      </c>
      <c r="F32547" t="s">
        <v>13805</v>
      </c>
      <c r="G32547" t="s">
        <v>15718</v>
      </c>
      <c r="H32547" t="s">
        <v>20442</v>
      </c>
    </row>
    <row r="32548" spans="1:8">
      <c r="H32548" t="s">
        <v>18829</v>
      </c>
    </row>
    <row r="32549" spans="1:8">
      <c r="H32549" t="s">
        <v>18863</v>
      </c>
    </row>
    <row r="32550" spans="1:8">
      <c r="H32550" t="s">
        <v>20443</v>
      </c>
    </row>
    <row r="32551" spans="1:8">
      <c r="A32551" t="s">
        <v>2392</v>
      </c>
      <c r="B32551">
        <f>HYPERLINK("https://android.googlesource.com/platform/cts/+/3cc23597be47dc9c463f4b25548a36b9d4de0376", "3cc23597be47dc9c463f4b25548a36b9d4de0376")</f>
        <v>0</v>
      </c>
      <c r="C32551">
        <f>HYPERLINK("https://android.googlesource.com/platform/cts/+/45ca456289b227bea3045d1ce59db49c6fc48de0", "45ca456289b227bea3045d1ce59db49c6fc48de0")</f>
        <v>0</v>
      </c>
      <c r="D32551" t="s">
        <v>5173</v>
      </c>
      <c r="E32551" t="s">
        <v>8122</v>
      </c>
      <c r="F32551" t="s">
        <v>12717</v>
      </c>
      <c r="G32551" t="s">
        <v>16917</v>
      </c>
      <c r="H32551" t="s">
        <v>22310</v>
      </c>
    </row>
    <row r="32552" spans="1:8">
      <c r="A32552" t="s">
        <v>2393</v>
      </c>
      <c r="B32552">
        <f>HYPERLINK("https://android.googlesource.com/platform/cts/+/ac3d943adab23661a285b93f50b87f6fd2c7b5f4", "ac3d943adab23661a285b93f50b87f6fd2c7b5f4")</f>
        <v>0</v>
      </c>
      <c r="C32552">
        <f>HYPERLINK("https://android.googlesource.com/platform/cts/+/7202446109bebdc6228a009637cb4866489c1c0e", "7202446109bebdc6228a009637cb4866489c1c0e")</f>
        <v>0</v>
      </c>
      <c r="D32552" t="s">
        <v>5330</v>
      </c>
      <c r="E32552" t="s">
        <v>8123</v>
      </c>
      <c r="F32552" t="s">
        <v>12604</v>
      </c>
      <c r="G32552" t="s">
        <v>16816</v>
      </c>
      <c r="H32552" t="s">
        <v>31668</v>
      </c>
    </row>
    <row r="32553" spans="1:8">
      <c r="H32553" t="s">
        <v>31669</v>
      </c>
    </row>
    <row r="32554" spans="1:8">
      <c r="A32554" t="s">
        <v>2394</v>
      </c>
      <c r="B32554">
        <f>HYPERLINK("https://android.googlesource.com/platform/cts/+/7ca91b27f3db421d5237263c24d383a091b3362a", "7ca91b27f3db421d5237263c24d383a091b3362a")</f>
        <v>0</v>
      </c>
      <c r="C32554">
        <f>HYPERLINK("https://android.googlesource.com/platform/cts/+/cf720488ba94c55c9216606a465d1d6ebb67f513", "cf720488ba94c55c9216606a465d1d6ebb67f513")</f>
        <v>0</v>
      </c>
      <c r="D32554" t="s">
        <v>5021</v>
      </c>
      <c r="E32554" t="s">
        <v>8124</v>
      </c>
      <c r="F32554" t="s">
        <v>13806</v>
      </c>
      <c r="G32554" t="s">
        <v>17843</v>
      </c>
      <c r="H32554" t="s">
        <v>31670</v>
      </c>
    </row>
    <row r="32555" spans="1:8">
      <c r="F32555" t="s">
        <v>13794</v>
      </c>
      <c r="G32555" t="s">
        <v>17846</v>
      </c>
      <c r="H32555" t="s">
        <v>31671</v>
      </c>
    </row>
    <row r="32556" spans="1:8">
      <c r="A32556" t="s">
        <v>2395</v>
      </c>
      <c r="B32556">
        <f>HYPERLINK("https://android.googlesource.com/platform/cts/+/b2353338b551cb745a2bb9c3147961e31e058569", "b2353338b551cb745a2bb9c3147961e31e058569")</f>
        <v>0</v>
      </c>
      <c r="C32556">
        <f>HYPERLINK("https://android.googlesource.com/platform/cts/+/a55443a96fb200bba776c83ff1a53d6a1890f604", "a55443a96fb200bba776c83ff1a53d6a1890f604")</f>
        <v>0</v>
      </c>
      <c r="D32556" t="s">
        <v>4981</v>
      </c>
      <c r="E32556" t="s">
        <v>8125</v>
      </c>
      <c r="F32556" t="s">
        <v>13773</v>
      </c>
      <c r="G32556" t="s">
        <v>17828</v>
      </c>
      <c r="H32556" t="s">
        <v>31672</v>
      </c>
    </row>
    <row r="32557" spans="1:8">
      <c r="H32557" t="s">
        <v>31673</v>
      </c>
    </row>
    <row r="32558" spans="1:8">
      <c r="A32558" t="s">
        <v>2396</v>
      </c>
      <c r="B32558">
        <f>HYPERLINK("https://android.googlesource.com/platform/cts/+/9eeedd679010c78c9c0fac6cea97ad4fc417bc28", "9eeedd679010c78c9c0fac6cea97ad4fc417bc28")</f>
        <v>0</v>
      </c>
      <c r="C32558">
        <f>HYPERLINK("https://android.googlesource.com/platform/cts/+/805c99940609fb19a0c1f9820619a148e4429c34", "805c99940609fb19a0c1f9820619a148e4429c34")</f>
        <v>0</v>
      </c>
      <c r="D32558" t="s">
        <v>5233</v>
      </c>
      <c r="E32558" t="s">
        <v>8126</v>
      </c>
      <c r="F32558" t="s">
        <v>13805</v>
      </c>
      <c r="G32558" t="s">
        <v>15718</v>
      </c>
      <c r="H32558" t="s">
        <v>20442</v>
      </c>
    </row>
    <row r="32559" spans="1:8">
      <c r="H32559" t="s">
        <v>18829</v>
      </c>
    </row>
    <row r="32560" spans="1:8">
      <c r="H32560" t="s">
        <v>18863</v>
      </c>
    </row>
    <row r="32561" spans="1:8">
      <c r="H32561" t="s">
        <v>20443</v>
      </c>
    </row>
    <row r="32562" spans="1:8">
      <c r="A32562" t="s">
        <v>2397</v>
      </c>
      <c r="B32562">
        <f>HYPERLINK("https://android.googlesource.com/platform/cts/+/e4fa35b874b4af901d724335f40a2550e113dee0", "e4fa35b874b4af901d724335f40a2550e113dee0")</f>
        <v>0</v>
      </c>
      <c r="C32562">
        <f>HYPERLINK("https://android.googlesource.com/platform/cts/+/458e2dc0d34cbafbd0b95fbcc636cae3474329f6", "458e2dc0d34cbafbd0b95fbcc636cae3474329f6")</f>
        <v>0</v>
      </c>
      <c r="D32562" t="s">
        <v>5134</v>
      </c>
      <c r="E32562" t="s">
        <v>8127</v>
      </c>
      <c r="F32562" t="s">
        <v>13765</v>
      </c>
      <c r="G32562" t="s">
        <v>17822</v>
      </c>
      <c r="H32562" t="s">
        <v>31674</v>
      </c>
    </row>
    <row r="32563" spans="1:8">
      <c r="H32563" t="s">
        <v>31675</v>
      </c>
    </row>
    <row r="32564" spans="1:8">
      <c r="A32564" t="s">
        <v>2398</v>
      </c>
      <c r="B32564">
        <f>HYPERLINK("https://android.googlesource.com/platform/cts/+/cea27e463106d748468c653dc1ea53a475c9b95b", "cea27e463106d748468c653dc1ea53a475c9b95b")</f>
        <v>0</v>
      </c>
      <c r="C32564">
        <f>HYPERLINK("https://android.googlesource.com/platform/cts/+/7700ca44e29ee369eabcfed769f4639ccb57a6af", "7700ca44e29ee369eabcfed769f4639ccb57a6af")</f>
        <v>0</v>
      </c>
      <c r="D32564" t="s">
        <v>5387</v>
      </c>
      <c r="E32564" t="s">
        <v>8128</v>
      </c>
      <c r="F32564" t="s">
        <v>13807</v>
      </c>
      <c r="G32564" t="s">
        <v>17855</v>
      </c>
      <c r="H32564" t="s">
        <v>31676</v>
      </c>
    </row>
    <row r="32565" spans="1:8">
      <c r="A32565" t="s">
        <v>2399</v>
      </c>
      <c r="B32565">
        <f>HYPERLINK("https://android.googlesource.com/platform/cts/+/58ada300167eac7fb3e7d95b027cfa03510d7c67", "58ada300167eac7fb3e7d95b027cfa03510d7c67")</f>
        <v>0</v>
      </c>
      <c r="C32565">
        <f>HYPERLINK("https://android.googlesource.com/platform/cts/+/e22390f77c96399348b9d7e9ce517e1c36f6201a", "e22390f77c96399348b9d7e9ce517e1c36f6201a")</f>
        <v>0</v>
      </c>
      <c r="D32565" t="s">
        <v>5293</v>
      </c>
      <c r="E32565" t="s">
        <v>8129</v>
      </c>
      <c r="F32565" t="s">
        <v>13249</v>
      </c>
      <c r="G32565" t="s">
        <v>17389</v>
      </c>
      <c r="H32565" t="s">
        <v>31677</v>
      </c>
    </row>
    <row r="32566" spans="1:8">
      <c r="F32566" t="s">
        <v>13468</v>
      </c>
      <c r="G32566" t="s">
        <v>17587</v>
      </c>
      <c r="H32566" t="s">
        <v>31678</v>
      </c>
    </row>
    <row r="32567" spans="1:8">
      <c r="A32567" t="s">
        <v>2400</v>
      </c>
      <c r="B32567">
        <f>HYPERLINK("https://android.googlesource.com/platform/cts/+/f9571d2c81dd47e0b078b21d053021d976314c59", "f9571d2c81dd47e0b078b21d053021d976314c59")</f>
        <v>0</v>
      </c>
      <c r="C32567">
        <f>HYPERLINK("https://android.googlesource.com/platform/cts/+/cfe54f55491226d54044f98b67e46f2a1ba0012e", "cfe54f55491226d54044f98b67e46f2a1ba0012e")</f>
        <v>0</v>
      </c>
      <c r="D32567" t="s">
        <v>5085</v>
      </c>
      <c r="E32567" t="s">
        <v>8130</v>
      </c>
      <c r="F32567" t="s">
        <v>13808</v>
      </c>
      <c r="G32567" t="s">
        <v>17856</v>
      </c>
      <c r="H32567" t="s">
        <v>31679</v>
      </c>
    </row>
    <row r="32568" spans="1:8">
      <c r="A32568" t="s">
        <v>2401</v>
      </c>
      <c r="B32568">
        <f>HYPERLINK("https://android.googlesource.com/platform/cts/+/125e22913c8ba780d62b865c3af00b85224fdb88", "125e22913c8ba780d62b865c3af00b85224fdb88")</f>
        <v>0</v>
      </c>
      <c r="C32568">
        <f>HYPERLINK("https://android.googlesource.com/platform/cts/+/2bfdd6e90d6c71a8a089175b314f4eeb6a7095fa", "2bfdd6e90d6c71a8a089175b314f4eeb6a7095fa")</f>
        <v>0</v>
      </c>
      <c r="D32568" t="s">
        <v>5195</v>
      </c>
      <c r="E32568" t="s">
        <v>8131</v>
      </c>
      <c r="F32568" t="s">
        <v>13809</v>
      </c>
      <c r="G32568" t="s">
        <v>17857</v>
      </c>
      <c r="H32568" t="s">
        <v>20177</v>
      </c>
    </row>
    <row r="32569" spans="1:8">
      <c r="H32569" t="s">
        <v>31680</v>
      </c>
    </row>
    <row r="32570" spans="1:8">
      <c r="H32570" t="s">
        <v>31681</v>
      </c>
    </row>
    <row r="32571" spans="1:8">
      <c r="A32571" t="s">
        <v>2402</v>
      </c>
      <c r="B32571">
        <f>HYPERLINK("https://android.googlesource.com/platform/cts/+/af5751ceb9edb62091f591f30641ec28f4a06dbc", "af5751ceb9edb62091f591f30641ec28f4a06dbc")</f>
        <v>0</v>
      </c>
      <c r="C32571">
        <f>HYPERLINK("https://android.googlesource.com/platform/cts/+/b11b00216dbbb928c7b31c43ab8bb16ddbb79c4e", "b11b00216dbbb928c7b31c43ab8bb16ddbb79c4e")</f>
        <v>0</v>
      </c>
      <c r="D32571" t="s">
        <v>5219</v>
      </c>
      <c r="E32571" t="s">
        <v>8132</v>
      </c>
      <c r="F32571" t="s">
        <v>13810</v>
      </c>
      <c r="G32571" t="s">
        <v>17734</v>
      </c>
      <c r="H32571" t="s">
        <v>29727</v>
      </c>
    </row>
    <row r="32572" spans="1:8">
      <c r="A32572" t="s">
        <v>2403</v>
      </c>
      <c r="B32572">
        <f>HYPERLINK("https://android.googlesource.com/platform/cts/+/2e7d7929f8bdbc477882dba9bb5108e1235a4f43", "2e7d7929f8bdbc477882dba9bb5108e1235a4f43")</f>
        <v>0</v>
      </c>
      <c r="C32572">
        <f>HYPERLINK("https://android.googlesource.com/platform/cts/+/b733e464763564bf471eb2443199361b2b464460", "b733e464763564bf471eb2443199361b2b464460")</f>
        <v>0</v>
      </c>
      <c r="D32572" t="s">
        <v>5388</v>
      </c>
      <c r="E32572" t="s">
        <v>8133</v>
      </c>
      <c r="F32572" t="s">
        <v>13811</v>
      </c>
      <c r="G32572" t="s">
        <v>17858</v>
      </c>
      <c r="H32572" t="s">
        <v>19019</v>
      </c>
    </row>
    <row r="32573" spans="1:8">
      <c r="H32573" t="s">
        <v>31682</v>
      </c>
    </row>
    <row r="32574" spans="1:8">
      <c r="H32574" t="s">
        <v>31683</v>
      </c>
    </row>
    <row r="32575" spans="1:8">
      <c r="H32575" t="s">
        <v>31684</v>
      </c>
    </row>
    <row r="32576" spans="1:8">
      <c r="H32576" t="s">
        <v>31685</v>
      </c>
    </row>
    <row r="32577" spans="1:8">
      <c r="H32577" t="s">
        <v>19753</v>
      </c>
    </row>
    <row r="32578" spans="1:8">
      <c r="H32578" t="s">
        <v>19754</v>
      </c>
    </row>
    <row r="32579" spans="1:8">
      <c r="H32579" t="s">
        <v>31686</v>
      </c>
    </row>
    <row r="32580" spans="1:8">
      <c r="H32580" t="s">
        <v>31687</v>
      </c>
    </row>
    <row r="32581" spans="1:8">
      <c r="H32581" t="s">
        <v>31688</v>
      </c>
    </row>
    <row r="32582" spans="1:8">
      <c r="H32582" t="s">
        <v>18829</v>
      </c>
    </row>
    <row r="32583" spans="1:8">
      <c r="H32583" t="s">
        <v>18863</v>
      </c>
    </row>
    <row r="32584" spans="1:8">
      <c r="H32584" t="s">
        <v>31689</v>
      </c>
    </row>
    <row r="32585" spans="1:8">
      <c r="A32585" t="s">
        <v>2404</v>
      </c>
      <c r="B32585">
        <f>HYPERLINK("https://android.googlesource.com/platform/cts/+/01901f57cba506a3a52a7b6658d52fabd2da702f", "01901f57cba506a3a52a7b6658d52fabd2da702f")</f>
        <v>0</v>
      </c>
      <c r="C32585">
        <f>HYPERLINK("https://android.googlesource.com/platform/cts/+/2ee5a9623255452984cc519ac9efbb4f6f6d0780", "2ee5a9623255452984cc519ac9efbb4f6f6d0780")</f>
        <v>0</v>
      </c>
      <c r="D32585" t="s">
        <v>5117</v>
      </c>
      <c r="E32585" t="s">
        <v>8134</v>
      </c>
      <c r="F32585" t="s">
        <v>13812</v>
      </c>
      <c r="G32585" t="s">
        <v>17859</v>
      </c>
      <c r="H32585" t="s">
        <v>31690</v>
      </c>
    </row>
    <row r="32586" spans="1:8">
      <c r="H32586" t="s">
        <v>31691</v>
      </c>
    </row>
    <row r="32587" spans="1:8">
      <c r="A32587" t="s">
        <v>2405</v>
      </c>
      <c r="B32587">
        <f>HYPERLINK("https://android.googlesource.com/platform/cts/+/9f9802ff018d142b7160a1968f9460977c09052a", "9f9802ff018d142b7160a1968f9460977c09052a")</f>
        <v>0</v>
      </c>
      <c r="C32587">
        <f>HYPERLINK("https://android.googlesource.com/platform/cts/+/2c01af7d74069c6bee43d41e0dea51ad1cf58e21", "2c01af7d74069c6bee43d41e0dea51ad1cf58e21")</f>
        <v>0</v>
      </c>
      <c r="D32587" t="s">
        <v>4981</v>
      </c>
      <c r="E32587" t="s">
        <v>8135</v>
      </c>
      <c r="F32587" t="s">
        <v>13333</v>
      </c>
      <c r="G32587" t="s">
        <v>17463</v>
      </c>
      <c r="H32587" t="s">
        <v>31692</v>
      </c>
    </row>
    <row r="32588" spans="1:8">
      <c r="A32588" t="s">
        <v>2406</v>
      </c>
      <c r="B32588">
        <f>HYPERLINK("https://android.googlesource.com/platform/cts/+/2d0c7a10382fdedc4c2ede0498c9c6cf2ef73006", "2d0c7a10382fdedc4c2ede0498c9c6cf2ef73006")</f>
        <v>0</v>
      </c>
      <c r="C32588">
        <f>HYPERLINK("https://android.googlesource.com/platform/cts/+/5674d8e23177c06053b2081182cb192707a1fd6e", "5674d8e23177c06053b2081182cb192707a1fd6e")</f>
        <v>0</v>
      </c>
      <c r="D32588" t="s">
        <v>5134</v>
      </c>
      <c r="E32588" t="s">
        <v>8136</v>
      </c>
      <c r="F32588" t="s">
        <v>13813</v>
      </c>
      <c r="G32588" t="s">
        <v>17860</v>
      </c>
      <c r="H32588" t="s">
        <v>31693</v>
      </c>
    </row>
    <row r="32589" spans="1:8">
      <c r="H32589" t="s">
        <v>31694</v>
      </c>
    </row>
    <row r="32590" spans="1:8">
      <c r="H32590" t="s">
        <v>31695</v>
      </c>
    </row>
    <row r="32591" spans="1:8">
      <c r="H32591" t="s">
        <v>31696</v>
      </c>
    </row>
    <row r="32592" spans="1:8">
      <c r="H32592" t="s">
        <v>31697</v>
      </c>
    </row>
    <row r="32593" spans="1:8">
      <c r="H32593" t="s">
        <v>31698</v>
      </c>
    </row>
    <row r="32594" spans="1:8">
      <c r="H32594" t="s">
        <v>31699</v>
      </c>
    </row>
    <row r="32595" spans="1:8">
      <c r="F32595" t="s">
        <v>13814</v>
      </c>
      <c r="G32595" t="s">
        <v>17861</v>
      </c>
      <c r="H32595" t="s">
        <v>31700</v>
      </c>
    </row>
    <row r="32596" spans="1:8">
      <c r="H32596" t="s">
        <v>31701</v>
      </c>
    </row>
    <row r="32597" spans="1:8">
      <c r="A32597" t="s">
        <v>2407</v>
      </c>
      <c r="B32597">
        <f>HYPERLINK("https://android.googlesource.com/platform/cts/+/90e5b6bba4c9f5754a3c2cfe517c70c24b6f34e1", "90e5b6bba4c9f5754a3c2cfe517c70c24b6f34e1")</f>
        <v>0</v>
      </c>
      <c r="C32597">
        <f>HYPERLINK("https://android.googlesource.com/platform/cts/+/ffd1807fbf182f969fc022c7d13328ea2aa19860", "ffd1807fbf182f969fc022c7d13328ea2aa19860")</f>
        <v>0</v>
      </c>
      <c r="D32597" t="s">
        <v>5134</v>
      </c>
      <c r="E32597" t="s">
        <v>8137</v>
      </c>
      <c r="F32597" t="s">
        <v>13760</v>
      </c>
      <c r="G32597" t="s">
        <v>17811</v>
      </c>
      <c r="H32597" t="s">
        <v>31702</v>
      </c>
    </row>
    <row r="32598" spans="1:8">
      <c r="F32598" t="s">
        <v>13765</v>
      </c>
      <c r="G32598" t="s">
        <v>17822</v>
      </c>
      <c r="H32598" t="s">
        <v>31703</v>
      </c>
    </row>
    <row r="32599" spans="1:8">
      <c r="A32599" t="s">
        <v>2408</v>
      </c>
      <c r="B32599">
        <f>HYPERLINK("https://android.googlesource.com/platform/cts/+/c0ec965385ac27f40442ad092c027328b584f21b", "c0ec965385ac27f40442ad092c027328b584f21b")</f>
        <v>0</v>
      </c>
      <c r="C32599">
        <f>HYPERLINK("https://android.googlesource.com/platform/cts/+/0d9e797617e37062691c81e1ef44d1962311054d", "0d9e797617e37062691c81e1ef44d1962311054d")</f>
        <v>0</v>
      </c>
      <c r="D32599" t="s">
        <v>5117</v>
      </c>
      <c r="E32599" t="s">
        <v>8138</v>
      </c>
      <c r="F32599" t="s">
        <v>13815</v>
      </c>
      <c r="G32599" t="s">
        <v>17862</v>
      </c>
      <c r="H32599" t="s">
        <v>31704</v>
      </c>
    </row>
    <row r="32600" spans="1:8">
      <c r="A32600" t="s">
        <v>2409</v>
      </c>
      <c r="B32600">
        <f>HYPERLINK("https://android.googlesource.com/platform/cts/+/c914f09595b760b16ae5897f843f4b05e2e2ce2e", "c914f09595b760b16ae5897f843f4b05e2e2ce2e")</f>
        <v>0</v>
      </c>
      <c r="C32600">
        <f>HYPERLINK("https://android.googlesource.com/platform/cts/+/4c9a008f627d23f85490a850b53060aae375019e", "4c9a008f627d23f85490a850b53060aae375019e")</f>
        <v>0</v>
      </c>
      <c r="D32600" t="s">
        <v>4960</v>
      </c>
      <c r="E32600" t="s">
        <v>8139</v>
      </c>
      <c r="F32600" t="s">
        <v>10682</v>
      </c>
      <c r="G32600" t="s">
        <v>15082</v>
      </c>
      <c r="H32600" t="s">
        <v>31705</v>
      </c>
    </row>
    <row r="32601" spans="1:8">
      <c r="A32601" t="s">
        <v>2410</v>
      </c>
      <c r="B32601">
        <f>HYPERLINK("https://android.googlesource.com/platform/cts/+/19c1c6f68b16749bc644b955e54594fdf3debfa3", "19c1c6f68b16749bc644b955e54594fdf3debfa3")</f>
        <v>0</v>
      </c>
      <c r="C32601">
        <f>HYPERLINK("https://android.googlesource.com/platform/cts/+/66e4f7752ee04c1d3389ad62f47b9e68ead5f61e", "66e4f7752ee04c1d3389ad62f47b9e68ead5f61e")</f>
        <v>0</v>
      </c>
      <c r="D32601" t="s">
        <v>5389</v>
      </c>
      <c r="E32601" t="s">
        <v>8140</v>
      </c>
      <c r="F32601" t="s">
        <v>13816</v>
      </c>
      <c r="G32601" t="s">
        <v>15089</v>
      </c>
      <c r="H32601" t="s">
        <v>31706</v>
      </c>
    </row>
    <row r="32602" spans="1:8">
      <c r="H32602" t="s">
        <v>31707</v>
      </c>
    </row>
    <row r="32603" spans="1:8">
      <c r="H32603" t="s">
        <v>31708</v>
      </c>
    </row>
    <row r="32604" spans="1:8">
      <c r="A32604" t="s">
        <v>2411</v>
      </c>
      <c r="B32604">
        <f>HYPERLINK("https://android.googlesource.com/platform/cts/+/422ff6844c90186d09f8953fd1a1260ef04c2394", "422ff6844c90186d09f8953fd1a1260ef04c2394")</f>
        <v>0</v>
      </c>
      <c r="C32604">
        <f>HYPERLINK("https://android.googlesource.com/platform/cts/+/3bbd2b1c0dde00579a33e228d74ef8aa56a0589a", "3bbd2b1c0dde00579a33e228d74ef8aa56a0589a")</f>
        <v>0</v>
      </c>
      <c r="D32604" t="s">
        <v>5235</v>
      </c>
      <c r="E32604" t="s">
        <v>8141</v>
      </c>
      <c r="F32604" t="s">
        <v>13817</v>
      </c>
      <c r="G32604" t="s">
        <v>17715</v>
      </c>
      <c r="H32604" t="s">
        <v>31709</v>
      </c>
    </row>
    <row r="32605" spans="1:8">
      <c r="F32605" t="s">
        <v>13514</v>
      </c>
      <c r="G32605" t="s">
        <v>17631</v>
      </c>
      <c r="H32605" t="s">
        <v>19536</v>
      </c>
    </row>
    <row r="32606" spans="1:8">
      <c r="A32606" t="s">
        <v>2412</v>
      </c>
      <c r="B32606">
        <f>HYPERLINK("https://android.googlesource.com/platform/cts/+/fdc5165862fc54337b714ab6f5c7df1b98eec0b3", "fdc5165862fc54337b714ab6f5c7df1b98eec0b3")</f>
        <v>0</v>
      </c>
      <c r="C32606">
        <f>HYPERLINK("https://android.googlesource.com/platform/cts/+/3d81df75ae6d04d0581a50b35e758279ed760b93", "3d81df75ae6d04d0581a50b35e758279ed760b93")</f>
        <v>0</v>
      </c>
      <c r="D32606" t="s">
        <v>5195</v>
      </c>
      <c r="E32606" t="s">
        <v>8142</v>
      </c>
      <c r="F32606" t="s">
        <v>10594</v>
      </c>
      <c r="G32606" t="s">
        <v>14997</v>
      </c>
      <c r="H32606" t="s">
        <v>31710</v>
      </c>
    </row>
    <row r="32607" spans="1:8">
      <c r="A32607" t="s">
        <v>2413</v>
      </c>
      <c r="B32607">
        <f>HYPERLINK("https://android.googlesource.com/platform/cts/+/3e63b7aea1f4a1d10821e0d0e9295a97ff3e35dc", "3e63b7aea1f4a1d10821e0d0e9295a97ff3e35dc")</f>
        <v>0</v>
      </c>
      <c r="C32607">
        <f>HYPERLINK("https://android.googlesource.com/platform/cts/+/e7ddc052d035328605e952608c37cfa8d5a5897e", "e7ddc052d035328605e952608c37cfa8d5a5897e")</f>
        <v>0</v>
      </c>
      <c r="D32607" t="s">
        <v>5085</v>
      </c>
      <c r="E32607" t="s">
        <v>8143</v>
      </c>
      <c r="F32607" t="s">
        <v>13818</v>
      </c>
      <c r="G32607" t="s">
        <v>17863</v>
      </c>
      <c r="H32607" t="s">
        <v>20244</v>
      </c>
    </row>
    <row r="32608" spans="1:8">
      <c r="F32608" t="s">
        <v>13819</v>
      </c>
      <c r="G32608" t="s">
        <v>17864</v>
      </c>
      <c r="H32608" t="s">
        <v>18829</v>
      </c>
    </row>
    <row r="32609" spans="1:8">
      <c r="F32609" t="s">
        <v>13820</v>
      </c>
      <c r="G32609" t="s">
        <v>17865</v>
      </c>
      <c r="H32609" t="s">
        <v>18829</v>
      </c>
    </row>
    <row r="32610" spans="1:8">
      <c r="A32610" t="s">
        <v>2414</v>
      </c>
      <c r="B32610">
        <f>HYPERLINK("https://android.googlesource.com/platform/cts/+/4aa40eefd3810f1922782778b3a6aa8bc2b500ee", "4aa40eefd3810f1922782778b3a6aa8bc2b500ee")</f>
        <v>0</v>
      </c>
      <c r="C32610">
        <f>HYPERLINK("https://android.googlesource.com/platform/cts/+/214749d8e1bd071ba5f4bd3006987c30212d897f", "214749d8e1bd071ba5f4bd3006987c30212d897f")</f>
        <v>0</v>
      </c>
      <c r="D32610" t="s">
        <v>4981</v>
      </c>
      <c r="E32610" t="s">
        <v>8144</v>
      </c>
      <c r="F32610" t="s">
        <v>13821</v>
      </c>
      <c r="G32610" t="s">
        <v>16627</v>
      </c>
      <c r="H32610" t="s">
        <v>22633</v>
      </c>
    </row>
    <row r="32611" spans="1:8">
      <c r="A32611" t="s">
        <v>2415</v>
      </c>
      <c r="B32611">
        <f>HYPERLINK("https://android.googlesource.com/platform/cts/+/7f50e023c6247455f10c9060f0044897406daacc", "7f50e023c6247455f10c9060f0044897406daacc")</f>
        <v>0</v>
      </c>
      <c r="C32611">
        <f>HYPERLINK("https://android.googlesource.com/platform/cts/+/214749d8e1bd071ba5f4bd3006987c30212d897f", "214749d8e1bd071ba5f4bd3006987c30212d897f")</f>
        <v>0</v>
      </c>
      <c r="D32611" t="s">
        <v>5085</v>
      </c>
      <c r="E32611" t="s">
        <v>8145</v>
      </c>
      <c r="F32611" t="s">
        <v>13818</v>
      </c>
      <c r="G32611" t="s">
        <v>17863</v>
      </c>
      <c r="H32611" t="s">
        <v>22594</v>
      </c>
    </row>
    <row r="32612" spans="1:8">
      <c r="A32612" t="s">
        <v>2416</v>
      </c>
      <c r="B32612">
        <f>HYPERLINK("https://android.googlesource.com/platform/cts/+/a9921d51c18b11113ed8fb345d220f16a6f71426", "a9921d51c18b11113ed8fb345d220f16a6f71426")</f>
        <v>0</v>
      </c>
      <c r="C32612">
        <f>HYPERLINK("https://android.googlesource.com/platform/cts/+/732f024cbf9fd991a01176351ba317a9ebffc1b4", "732f024cbf9fd991a01176351ba317a9ebffc1b4")</f>
        <v>0</v>
      </c>
      <c r="D32612" t="s">
        <v>5239</v>
      </c>
      <c r="E32612" t="s">
        <v>8146</v>
      </c>
      <c r="F32612" t="s">
        <v>10724</v>
      </c>
      <c r="G32612" t="s">
        <v>15123</v>
      </c>
      <c r="H32612" t="s">
        <v>31711</v>
      </c>
    </row>
    <row r="32613" spans="1:8">
      <c r="A32613" t="s">
        <v>2417</v>
      </c>
      <c r="B32613">
        <f>HYPERLINK("https://android.googlesource.com/platform/cts/+/5d6ca17d58062a6747d49af06a66a7cb3cb61f91", "5d6ca17d58062a6747d49af06a66a7cb3cb61f91")</f>
        <v>0</v>
      </c>
      <c r="C32613">
        <f>HYPERLINK("https://android.googlesource.com/platform/cts/+/a7d12a320775746cd9564f6d89e8d2b511ee4782", "a7d12a320775746cd9564f6d89e8d2b511ee4782")</f>
        <v>0</v>
      </c>
      <c r="D32613" t="s">
        <v>5372</v>
      </c>
      <c r="E32613" t="s">
        <v>8147</v>
      </c>
      <c r="F32613" t="s">
        <v>13768</v>
      </c>
      <c r="G32613" t="s">
        <v>17825</v>
      </c>
      <c r="H32613" t="s">
        <v>31712</v>
      </c>
    </row>
    <row r="32614" spans="1:8">
      <c r="H32614" t="s">
        <v>31713</v>
      </c>
    </row>
    <row r="32615" spans="1:8">
      <c r="H32615" t="s">
        <v>31714</v>
      </c>
    </row>
    <row r="32616" spans="1:8">
      <c r="H32616" t="s">
        <v>31715</v>
      </c>
    </row>
    <row r="32617" spans="1:8">
      <c r="H32617" t="s">
        <v>31716</v>
      </c>
    </row>
    <row r="32618" spans="1:8">
      <c r="A32618" t="s">
        <v>2418</v>
      </c>
      <c r="B32618">
        <f>HYPERLINK("https://android.googlesource.com/platform/cts/+/9e64e27feaed46f6c7d942fd3b45745d3ee64a9c", "9e64e27feaed46f6c7d942fd3b45745d3ee64a9c")</f>
        <v>0</v>
      </c>
      <c r="C32618">
        <f>HYPERLINK("https://android.googlesource.com/platform/cts/+/54526dee3443d0b16e12fe2665663f371087dc2d", "54526dee3443d0b16e12fe2665663f371087dc2d")</f>
        <v>0</v>
      </c>
      <c r="D32618" t="s">
        <v>5225</v>
      </c>
      <c r="E32618" t="s">
        <v>8148</v>
      </c>
      <c r="F32618" t="s">
        <v>13822</v>
      </c>
      <c r="G32618" t="s">
        <v>17866</v>
      </c>
      <c r="H32618" t="s">
        <v>31717</v>
      </c>
    </row>
    <row r="32619" spans="1:8">
      <c r="H32619" t="s">
        <v>29933</v>
      </c>
    </row>
    <row r="32620" spans="1:8">
      <c r="F32620" t="s">
        <v>13823</v>
      </c>
      <c r="G32620" t="s">
        <v>17867</v>
      </c>
      <c r="H32620" t="s">
        <v>18829</v>
      </c>
    </row>
    <row r="32621" spans="1:8">
      <c r="H32621" t="s">
        <v>18863</v>
      </c>
    </row>
    <row r="32622" spans="1:8">
      <c r="H32622" t="s">
        <v>29933</v>
      </c>
    </row>
    <row r="32623" spans="1:8">
      <c r="F32623" t="s">
        <v>13824</v>
      </c>
      <c r="G32623" t="s">
        <v>17868</v>
      </c>
      <c r="H32623" t="s">
        <v>31718</v>
      </c>
    </row>
    <row r="32624" spans="1:8">
      <c r="H32624" t="s">
        <v>29933</v>
      </c>
    </row>
    <row r="32625" spans="1:8">
      <c r="F32625" t="s">
        <v>13825</v>
      </c>
      <c r="G32625" t="s">
        <v>17869</v>
      </c>
      <c r="H32625" t="s">
        <v>31719</v>
      </c>
    </row>
    <row r="32626" spans="1:8">
      <c r="H32626" t="s">
        <v>29933</v>
      </c>
    </row>
    <row r="32627" spans="1:8">
      <c r="F32627" t="s">
        <v>13826</v>
      </c>
      <c r="G32627" t="s">
        <v>17870</v>
      </c>
      <c r="H32627" t="s">
        <v>20083</v>
      </c>
    </row>
    <row r="32628" spans="1:8">
      <c r="H32628" t="s">
        <v>29835</v>
      </c>
    </row>
    <row r="32629" spans="1:8">
      <c r="H32629" t="s">
        <v>18953</v>
      </c>
    </row>
    <row r="32630" spans="1:8">
      <c r="H32630" t="s">
        <v>29082</v>
      </c>
    </row>
    <row r="32631" spans="1:8">
      <c r="H32631" t="s">
        <v>27192</v>
      </c>
    </row>
    <row r="32632" spans="1:8">
      <c r="H32632" t="s">
        <v>31720</v>
      </c>
    </row>
    <row r="32633" spans="1:8">
      <c r="H32633" t="s">
        <v>20166</v>
      </c>
    </row>
    <row r="32634" spans="1:8">
      <c r="H32634" t="s">
        <v>26262</v>
      </c>
    </row>
    <row r="32635" spans="1:8">
      <c r="A32635" t="s">
        <v>2419</v>
      </c>
      <c r="B32635">
        <f>HYPERLINK("https://android.googlesource.com/platform/cts/+/02cbf990d01e6df12f5bc770f586f360331540c5", "02cbf990d01e6df12f5bc770f586f360331540c5")</f>
        <v>0</v>
      </c>
      <c r="C32635">
        <f>HYPERLINK("https://android.googlesource.com/platform/cts/+/5b8932706976547b5e931e7425ecddc99e65e9ab", "5b8932706976547b5e931e7425ecddc99e65e9ab")</f>
        <v>0</v>
      </c>
      <c r="D32635" t="s">
        <v>5225</v>
      </c>
      <c r="E32635" t="s">
        <v>8149</v>
      </c>
      <c r="F32635" t="s">
        <v>13822</v>
      </c>
      <c r="G32635" t="s">
        <v>17866</v>
      </c>
      <c r="H32635" t="s">
        <v>31717</v>
      </c>
    </row>
    <row r="32636" spans="1:8">
      <c r="H32636" t="s">
        <v>29933</v>
      </c>
    </row>
    <row r="32637" spans="1:8">
      <c r="F32637" t="s">
        <v>13823</v>
      </c>
      <c r="G32637" t="s">
        <v>17867</v>
      </c>
      <c r="H32637" t="s">
        <v>18829</v>
      </c>
    </row>
    <row r="32638" spans="1:8">
      <c r="H32638" t="s">
        <v>18863</v>
      </c>
    </row>
    <row r="32639" spans="1:8">
      <c r="H32639" t="s">
        <v>29933</v>
      </c>
    </row>
    <row r="32640" spans="1:8">
      <c r="F32640" t="s">
        <v>13824</v>
      </c>
      <c r="G32640" t="s">
        <v>17868</v>
      </c>
      <c r="H32640" t="s">
        <v>31718</v>
      </c>
    </row>
    <row r="32641" spans="1:8">
      <c r="H32641" t="s">
        <v>29933</v>
      </c>
    </row>
    <row r="32642" spans="1:8">
      <c r="F32642" t="s">
        <v>13825</v>
      </c>
      <c r="G32642" t="s">
        <v>17869</v>
      </c>
      <c r="H32642" t="s">
        <v>31719</v>
      </c>
    </row>
    <row r="32643" spans="1:8">
      <c r="H32643" t="s">
        <v>29933</v>
      </c>
    </row>
    <row r="32644" spans="1:8">
      <c r="F32644" t="s">
        <v>13826</v>
      </c>
      <c r="G32644" t="s">
        <v>17870</v>
      </c>
      <c r="H32644" t="s">
        <v>20083</v>
      </c>
    </row>
    <row r="32645" spans="1:8">
      <c r="H32645" t="s">
        <v>29835</v>
      </c>
    </row>
    <row r="32646" spans="1:8">
      <c r="H32646" t="s">
        <v>18953</v>
      </c>
    </row>
    <row r="32647" spans="1:8">
      <c r="H32647" t="s">
        <v>29082</v>
      </c>
    </row>
    <row r="32648" spans="1:8">
      <c r="H32648" t="s">
        <v>27192</v>
      </c>
    </row>
    <row r="32649" spans="1:8">
      <c r="H32649" t="s">
        <v>31720</v>
      </c>
    </row>
    <row r="32650" spans="1:8">
      <c r="H32650" t="s">
        <v>20166</v>
      </c>
    </row>
    <row r="32651" spans="1:8">
      <c r="H32651" t="s">
        <v>26262</v>
      </c>
    </row>
    <row r="32652" spans="1:8">
      <c r="A32652" t="s">
        <v>2420</v>
      </c>
      <c r="B32652">
        <f>HYPERLINK("https://android.googlesource.com/platform/cts/+/d551acf22ffd8d62555d367ef6beac5c2f9c77d5", "d551acf22ffd8d62555d367ef6beac5c2f9c77d5")</f>
        <v>0</v>
      </c>
      <c r="C32652">
        <f>HYPERLINK("https://android.googlesource.com/platform/cts/+/f9a4592e8c79a4388009143df53574583f43c785", "f9a4592e8c79a4388009143df53574583f43c785")</f>
        <v>0</v>
      </c>
      <c r="D32652" t="s">
        <v>5341</v>
      </c>
      <c r="E32652" t="s">
        <v>8150</v>
      </c>
      <c r="F32652" t="s">
        <v>13827</v>
      </c>
      <c r="G32652" t="s">
        <v>17871</v>
      </c>
      <c r="H32652" t="s">
        <v>31721</v>
      </c>
    </row>
    <row r="32653" spans="1:8">
      <c r="H32653" t="s">
        <v>31722</v>
      </c>
    </row>
    <row r="32654" spans="1:8">
      <c r="A32654" t="s">
        <v>2421</v>
      </c>
      <c r="B32654">
        <f>HYPERLINK("https://android.googlesource.com/platform/cts/+/6217410640d9d20fe453d4f31a2be8324eb3b4e5", "6217410640d9d20fe453d4f31a2be8324eb3b4e5")</f>
        <v>0</v>
      </c>
      <c r="C32654">
        <f>HYPERLINK("https://android.googlesource.com/platform/cts/+/5a72ff3e93ea1d83a78cd6b9d602ebbce1211590", "5a72ff3e93ea1d83a78cd6b9d602ebbce1211590")</f>
        <v>0</v>
      </c>
      <c r="D32654" t="s">
        <v>5117</v>
      </c>
      <c r="E32654" t="s">
        <v>8151</v>
      </c>
      <c r="F32654" t="s">
        <v>13788</v>
      </c>
      <c r="G32654" t="s">
        <v>17841</v>
      </c>
      <c r="H32654" t="s">
        <v>31723</v>
      </c>
    </row>
    <row r="32655" spans="1:8">
      <c r="A32655" t="s">
        <v>2422</v>
      </c>
      <c r="B32655">
        <f>HYPERLINK("https://android.googlesource.com/platform/cts/+/1a47a8bebbac45f67d05c718859a10909fdc7cb1", "1a47a8bebbac45f67d05c718859a10909fdc7cb1")</f>
        <v>0</v>
      </c>
      <c r="C32655">
        <f>HYPERLINK("https://android.googlesource.com/platform/cts/+/b87bcd54900dc4365cd53cb2d952c53a56be3918", "b87bcd54900dc4365cd53cb2d952c53a56be3918")</f>
        <v>0</v>
      </c>
      <c r="D32655" t="s">
        <v>5363</v>
      </c>
      <c r="E32655" t="s">
        <v>8152</v>
      </c>
      <c r="F32655" t="s">
        <v>13828</v>
      </c>
      <c r="G32655" t="s">
        <v>17872</v>
      </c>
      <c r="H32655" t="s">
        <v>18829</v>
      </c>
    </row>
    <row r="32656" spans="1:8">
      <c r="H32656" t="s">
        <v>31724</v>
      </c>
    </row>
    <row r="32657" spans="6:8">
      <c r="H32657" t="s">
        <v>31725</v>
      </c>
    </row>
    <row r="32658" spans="6:8">
      <c r="H32658" t="s">
        <v>31726</v>
      </c>
    </row>
    <row r="32659" spans="6:8">
      <c r="H32659" t="s">
        <v>31727</v>
      </c>
    </row>
    <row r="32660" spans="6:8">
      <c r="H32660" t="s">
        <v>31728</v>
      </c>
    </row>
    <row r="32661" spans="6:8">
      <c r="H32661" t="s">
        <v>31729</v>
      </c>
    </row>
    <row r="32662" spans="6:8">
      <c r="H32662" t="s">
        <v>31730</v>
      </c>
    </row>
    <row r="32663" spans="6:8">
      <c r="F32663" t="s">
        <v>13829</v>
      </c>
      <c r="G32663" t="s">
        <v>17873</v>
      </c>
      <c r="H32663" t="s">
        <v>18829</v>
      </c>
    </row>
    <row r="32664" spans="6:8">
      <c r="H32664" t="s">
        <v>31731</v>
      </c>
    </row>
    <row r="32665" spans="6:8">
      <c r="H32665" t="s">
        <v>31732</v>
      </c>
    </row>
    <row r="32666" spans="6:8">
      <c r="F32666" t="s">
        <v>10605</v>
      </c>
      <c r="G32666" t="s">
        <v>15008</v>
      </c>
      <c r="H32666" t="s">
        <v>31733</v>
      </c>
    </row>
    <row r="32667" spans="6:8">
      <c r="H32667" t="s">
        <v>31734</v>
      </c>
    </row>
    <row r="32668" spans="6:8">
      <c r="H32668" t="s">
        <v>26643</v>
      </c>
    </row>
    <row r="32669" spans="6:8">
      <c r="H32669" t="s">
        <v>31735</v>
      </c>
    </row>
    <row r="32670" spans="6:8">
      <c r="H32670" t="s">
        <v>18893</v>
      </c>
    </row>
    <row r="32671" spans="6:8">
      <c r="H32671" t="s">
        <v>31736</v>
      </c>
    </row>
    <row r="32672" spans="6:8">
      <c r="H32672" t="s">
        <v>18893</v>
      </c>
    </row>
    <row r="32673" spans="6:8">
      <c r="H32673" t="s">
        <v>31737</v>
      </c>
    </row>
    <row r="32674" spans="6:8">
      <c r="F32674" t="s">
        <v>13830</v>
      </c>
      <c r="G32674" t="s">
        <v>17874</v>
      </c>
      <c r="H32674" t="s">
        <v>31738</v>
      </c>
    </row>
    <row r="32675" spans="6:8">
      <c r="H32675" t="s">
        <v>31737</v>
      </c>
    </row>
    <row r="32676" spans="6:8">
      <c r="H32676" t="s">
        <v>30888</v>
      </c>
    </row>
    <row r="32677" spans="6:8">
      <c r="H32677" t="s">
        <v>30889</v>
      </c>
    </row>
    <row r="32678" spans="6:8">
      <c r="H32678" t="s">
        <v>31739</v>
      </c>
    </row>
    <row r="32679" spans="6:8">
      <c r="H32679" t="s">
        <v>28391</v>
      </c>
    </row>
    <row r="32680" spans="6:8">
      <c r="F32680" t="s">
        <v>13831</v>
      </c>
      <c r="G32680" t="s">
        <v>17875</v>
      </c>
      <c r="H32680" t="s">
        <v>31740</v>
      </c>
    </row>
    <row r="32681" spans="6:8">
      <c r="H32681" t="s">
        <v>31741</v>
      </c>
    </row>
    <row r="32682" spans="6:8">
      <c r="F32682" t="s">
        <v>12171</v>
      </c>
      <c r="G32682" t="s">
        <v>15008</v>
      </c>
      <c r="H32682" t="s">
        <v>31733</v>
      </c>
    </row>
    <row r="32683" spans="6:8">
      <c r="H32683" t="s">
        <v>31742</v>
      </c>
    </row>
    <row r="32684" spans="6:8">
      <c r="H32684" t="s">
        <v>31736</v>
      </c>
    </row>
    <row r="32685" spans="6:8">
      <c r="H32685" t="s">
        <v>18893</v>
      </c>
    </row>
    <row r="32686" spans="6:8">
      <c r="H32686" t="s">
        <v>31737</v>
      </c>
    </row>
    <row r="32687" spans="6:8">
      <c r="H32687" t="s">
        <v>31743</v>
      </c>
    </row>
    <row r="32688" spans="6:8">
      <c r="H32688" t="s">
        <v>18893</v>
      </c>
    </row>
    <row r="32689" spans="1:8">
      <c r="H32689" t="s">
        <v>26643</v>
      </c>
    </row>
    <row r="32690" spans="1:8">
      <c r="A32690" t="s">
        <v>2423</v>
      </c>
      <c r="B32690">
        <f>HYPERLINK("https://android.googlesource.com/platform/cts/+/6842dad89d0f3749bd774c2b8478ee5428154eb9", "6842dad89d0f3749bd774c2b8478ee5428154eb9")</f>
        <v>0</v>
      </c>
      <c r="C32690">
        <f>HYPERLINK("https://android.googlesource.com/platform/cts/+/6079d973fb680da596631e55dfcdd2c631e8bd2d", "6079d973fb680da596631e55dfcdd2c631e8bd2d")</f>
        <v>0</v>
      </c>
      <c r="D32690" t="s">
        <v>5353</v>
      </c>
      <c r="E32690" t="s">
        <v>8153</v>
      </c>
      <c r="F32690" t="s">
        <v>12809</v>
      </c>
      <c r="G32690" t="s">
        <v>16990</v>
      </c>
      <c r="H32690" t="s">
        <v>31744</v>
      </c>
    </row>
    <row r="32691" spans="1:8">
      <c r="H32691" t="s">
        <v>31745</v>
      </c>
    </row>
    <row r="32692" spans="1:8">
      <c r="F32692" t="s">
        <v>12771</v>
      </c>
      <c r="G32692" t="s">
        <v>16958</v>
      </c>
      <c r="H32692" t="s">
        <v>31744</v>
      </c>
    </row>
    <row r="32693" spans="1:8">
      <c r="H32693" t="s">
        <v>31745</v>
      </c>
    </row>
    <row r="32694" spans="1:8">
      <c r="A32694" t="s">
        <v>2424</v>
      </c>
      <c r="B32694">
        <f>HYPERLINK("https://android.googlesource.com/platform/cts/+/10a6cff37f485e38790bdc525652f7e4b39f6216", "10a6cff37f485e38790bdc525652f7e4b39f6216")</f>
        <v>0</v>
      </c>
      <c r="C32694">
        <f>HYPERLINK("https://android.googlesource.com/platform/cts/+/69917a09df28b876bf7effedcd05638a254b805d", "69917a09df28b876bf7effedcd05638a254b805d")</f>
        <v>0</v>
      </c>
      <c r="D32694" t="s">
        <v>5189</v>
      </c>
      <c r="E32694" t="s">
        <v>8154</v>
      </c>
      <c r="F32694" t="s">
        <v>13832</v>
      </c>
      <c r="G32694" t="s">
        <v>17341</v>
      </c>
      <c r="H32694" t="s">
        <v>31746</v>
      </c>
    </row>
    <row r="32695" spans="1:8">
      <c r="A32695" t="s">
        <v>2425</v>
      </c>
      <c r="B32695">
        <f>HYPERLINK("https://android.googlesource.com/platform/cts/+/7293b1224b2b96feed4aaaaf84d268e3e77d4b23", "7293b1224b2b96feed4aaaaf84d268e3e77d4b23")</f>
        <v>0</v>
      </c>
      <c r="C32695">
        <f>HYPERLINK("https://android.googlesource.com/platform/cts/+/4e522d6d9231c1ed79b118a6ca0cccc71854f2e1", "4e522d6d9231c1ed79b118a6ca0cccc71854f2e1")</f>
        <v>0</v>
      </c>
      <c r="D32695" t="s">
        <v>5374</v>
      </c>
      <c r="E32695" t="s">
        <v>8155</v>
      </c>
      <c r="F32695" t="s">
        <v>12733</v>
      </c>
      <c r="G32695" t="s">
        <v>16854</v>
      </c>
      <c r="H32695" t="s">
        <v>31747</v>
      </c>
    </row>
    <row r="32696" spans="1:8">
      <c r="A32696" t="s">
        <v>2426</v>
      </c>
      <c r="B32696">
        <f>HYPERLINK("https://android.googlesource.com/platform/cts/+/7d86cf28bce1f787fe84098e10d3ee2542670f9d", "7d86cf28bce1f787fe84098e10d3ee2542670f9d")</f>
        <v>0</v>
      </c>
      <c r="C32696">
        <f>HYPERLINK("https://android.googlesource.com/platform/cts/+/42b3bd3d63b4a30c1e8cd5106b78fb31cd4354c9", "42b3bd3d63b4a30c1e8cd5106b78fb31cd4354c9")</f>
        <v>0</v>
      </c>
      <c r="D32696" t="s">
        <v>5134</v>
      </c>
      <c r="E32696" t="s">
        <v>8156</v>
      </c>
      <c r="F32696" t="s">
        <v>13756</v>
      </c>
      <c r="G32696" t="s">
        <v>17371</v>
      </c>
      <c r="H32696" t="s">
        <v>31748</v>
      </c>
    </row>
    <row r="32697" spans="1:8">
      <c r="H32697" t="s">
        <v>31749</v>
      </c>
    </row>
    <row r="32698" spans="1:8">
      <c r="F32698" t="s">
        <v>13814</v>
      </c>
      <c r="G32698" t="s">
        <v>17861</v>
      </c>
      <c r="H32698" t="s">
        <v>31750</v>
      </c>
    </row>
    <row r="32699" spans="1:8">
      <c r="H32699" t="s">
        <v>31751</v>
      </c>
    </row>
    <row r="32700" spans="1:8">
      <c r="H32700" t="s">
        <v>31752</v>
      </c>
    </row>
    <row r="32701" spans="1:8">
      <c r="A32701" t="s">
        <v>2427</v>
      </c>
      <c r="B32701">
        <f>HYPERLINK("https://android.googlesource.com/platform/cts/+/93767c370f0cde262c3f746b6cfea9b1d2475b48", "93767c370f0cde262c3f746b6cfea9b1d2475b48")</f>
        <v>0</v>
      </c>
      <c r="C32701">
        <f>HYPERLINK("https://android.googlesource.com/platform/cts/+/4d3fa970a0d5b6eae5f382afc9ef46012c72502c", "4d3fa970a0d5b6eae5f382afc9ef46012c72502c")</f>
        <v>0</v>
      </c>
      <c r="D32701" t="s">
        <v>5262</v>
      </c>
      <c r="E32701" t="s">
        <v>8157</v>
      </c>
      <c r="F32701" t="s">
        <v>13833</v>
      </c>
      <c r="G32701" t="s">
        <v>17876</v>
      </c>
      <c r="H32701" t="s">
        <v>31753</v>
      </c>
    </row>
    <row r="32702" spans="1:8">
      <c r="A32702" t="s">
        <v>2428</v>
      </c>
      <c r="B32702">
        <f>HYPERLINK("https://android.googlesource.com/platform/cts/+/1565e443df4bb1becb0d0a216a5659ed68a76093", "1565e443df4bb1becb0d0a216a5659ed68a76093")</f>
        <v>0</v>
      </c>
      <c r="C32702">
        <f>HYPERLINK("https://android.googlesource.com/platform/cts/+/6a10361096d695cca25a05a240ecf5aa6c364d67", "6a10361096d695cca25a05a240ecf5aa6c364d67")</f>
        <v>0</v>
      </c>
      <c r="D32702" t="s">
        <v>5118</v>
      </c>
      <c r="E32702" t="s">
        <v>8158</v>
      </c>
      <c r="F32702" t="s">
        <v>13273</v>
      </c>
      <c r="G32702" t="s">
        <v>17410</v>
      </c>
      <c r="H32702" t="s">
        <v>18829</v>
      </c>
    </row>
    <row r="32703" spans="1:8">
      <c r="H32703" t="s">
        <v>31754</v>
      </c>
    </row>
    <row r="32704" spans="1:8">
      <c r="H32704" t="s">
        <v>31755</v>
      </c>
    </row>
    <row r="32705" spans="6:8">
      <c r="H32705" t="s">
        <v>31756</v>
      </c>
    </row>
    <row r="32706" spans="6:8">
      <c r="H32706" t="s">
        <v>31757</v>
      </c>
    </row>
    <row r="32707" spans="6:8">
      <c r="H32707" t="s">
        <v>31758</v>
      </c>
    </row>
    <row r="32708" spans="6:8">
      <c r="H32708" t="s">
        <v>19013</v>
      </c>
    </row>
    <row r="32709" spans="6:8">
      <c r="H32709" t="s">
        <v>31759</v>
      </c>
    </row>
    <row r="32710" spans="6:8">
      <c r="F32710" t="s">
        <v>13834</v>
      </c>
      <c r="G32710" t="s">
        <v>17877</v>
      </c>
      <c r="H32710" t="s">
        <v>18829</v>
      </c>
    </row>
    <row r="32711" spans="6:8">
      <c r="H32711" t="s">
        <v>18863</v>
      </c>
    </row>
    <row r="32712" spans="6:8">
      <c r="H32712" t="s">
        <v>31760</v>
      </c>
    </row>
    <row r="32713" spans="6:8">
      <c r="H32713" t="s">
        <v>31761</v>
      </c>
    </row>
    <row r="32714" spans="6:8">
      <c r="H32714" t="s">
        <v>31762</v>
      </c>
    </row>
    <row r="32715" spans="6:8">
      <c r="H32715" t="s">
        <v>31763</v>
      </c>
    </row>
    <row r="32716" spans="6:8">
      <c r="H32716" t="s">
        <v>31764</v>
      </c>
    </row>
    <row r="32717" spans="6:8">
      <c r="H32717" t="s">
        <v>31765</v>
      </c>
    </row>
    <row r="32718" spans="6:8">
      <c r="H32718" t="s">
        <v>31766</v>
      </c>
    </row>
    <row r="32719" spans="6:8">
      <c r="H32719" t="s">
        <v>31767</v>
      </c>
    </row>
    <row r="32720" spans="6:8">
      <c r="H32720" t="s">
        <v>31768</v>
      </c>
    </row>
    <row r="32721" spans="6:8">
      <c r="H32721" t="s">
        <v>31769</v>
      </c>
    </row>
    <row r="32722" spans="6:8">
      <c r="H32722" t="s">
        <v>31770</v>
      </c>
    </row>
    <row r="32723" spans="6:8">
      <c r="H32723" t="s">
        <v>31771</v>
      </c>
    </row>
    <row r="32724" spans="6:8">
      <c r="H32724" t="s">
        <v>31772</v>
      </c>
    </row>
    <row r="32725" spans="6:8">
      <c r="H32725" t="s">
        <v>31772</v>
      </c>
    </row>
    <row r="32726" spans="6:8">
      <c r="H32726" t="s">
        <v>31773</v>
      </c>
    </row>
    <row r="32727" spans="6:8">
      <c r="H32727" t="s">
        <v>31774</v>
      </c>
    </row>
    <row r="32728" spans="6:8">
      <c r="H32728" t="s">
        <v>31775</v>
      </c>
    </row>
    <row r="32729" spans="6:8">
      <c r="F32729" t="s">
        <v>13835</v>
      </c>
      <c r="G32729" t="s">
        <v>17878</v>
      </c>
      <c r="H32729" t="s">
        <v>19998</v>
      </c>
    </row>
    <row r="32730" spans="6:8">
      <c r="H32730" t="s">
        <v>26873</v>
      </c>
    </row>
    <row r="32731" spans="6:8">
      <c r="H32731" t="s">
        <v>20083</v>
      </c>
    </row>
    <row r="32732" spans="6:8">
      <c r="H32732" t="s">
        <v>31014</v>
      </c>
    </row>
    <row r="32733" spans="6:8">
      <c r="H32733" t="s">
        <v>31015</v>
      </c>
    </row>
    <row r="32734" spans="6:8">
      <c r="H32734" t="s">
        <v>19928</v>
      </c>
    </row>
    <row r="32735" spans="6:8">
      <c r="H32735" t="s">
        <v>31776</v>
      </c>
    </row>
    <row r="32736" spans="6:8">
      <c r="H32736" t="s">
        <v>31777</v>
      </c>
    </row>
    <row r="32737" spans="1:8">
      <c r="A32737" t="s">
        <v>2429</v>
      </c>
      <c r="B32737">
        <f>HYPERLINK("https://android.googlesource.com/platform/cts/+/f93a3501d2bbd0c4d8ae5c522f3fe4d305c0aa30", "f93a3501d2bbd0c4d8ae5c522f3fe4d305c0aa30")</f>
        <v>0</v>
      </c>
      <c r="C32737">
        <f>HYPERLINK("https://android.googlesource.com/platform/cts/+/7f41cb2ec7189b421a5ba0d6f390d5aa5730a85a", "7f41cb2ec7189b421a5ba0d6f390d5aa5730a85a")</f>
        <v>0</v>
      </c>
      <c r="D32737" t="s">
        <v>5315</v>
      </c>
      <c r="E32737" t="s">
        <v>8159</v>
      </c>
      <c r="F32737" t="s">
        <v>13782</v>
      </c>
      <c r="G32737" t="s">
        <v>17836</v>
      </c>
      <c r="H32737" t="s">
        <v>31778</v>
      </c>
    </row>
    <row r="32738" spans="1:8">
      <c r="F32738" t="s">
        <v>13818</v>
      </c>
      <c r="G32738" t="s">
        <v>17863</v>
      </c>
      <c r="H32738" t="s">
        <v>31779</v>
      </c>
    </row>
    <row r="32739" spans="1:8">
      <c r="A32739" t="s">
        <v>2430</v>
      </c>
      <c r="B32739">
        <f>HYPERLINK("https://android.googlesource.com/platform/cts/+/25c2ec39cb40adf27f4c70949aa8e2fd2810a8ab", "25c2ec39cb40adf27f4c70949aa8e2fd2810a8ab")</f>
        <v>0</v>
      </c>
      <c r="C32739">
        <f>HYPERLINK("https://android.googlesource.com/platform/cts/+/1561eaf0c46111b660e7be5cfacef4cc2c9e46ec", "1561eaf0c46111b660e7be5cfacef4cc2c9e46ec")</f>
        <v>0</v>
      </c>
      <c r="D32739" t="s">
        <v>5263</v>
      </c>
      <c r="E32739" t="s">
        <v>8160</v>
      </c>
      <c r="F32739" t="s">
        <v>13836</v>
      </c>
      <c r="G32739" t="s">
        <v>17879</v>
      </c>
      <c r="H32739" t="s">
        <v>31780</v>
      </c>
    </row>
    <row r="32740" spans="1:8">
      <c r="H32740" t="s">
        <v>31781</v>
      </c>
    </row>
    <row r="32741" spans="1:8">
      <c r="H32741" t="s">
        <v>31782</v>
      </c>
    </row>
    <row r="32742" spans="1:8">
      <c r="A32742" t="s">
        <v>2431</v>
      </c>
      <c r="B32742">
        <f>HYPERLINK("https://android.googlesource.com/platform/cts/+/25526dfd701df8132e5957a65a125cf15b9d6182", "25526dfd701df8132e5957a65a125cf15b9d6182")</f>
        <v>0</v>
      </c>
      <c r="C32742">
        <f>HYPERLINK("https://android.googlesource.com/platform/cts/+/3542f935818abedf137afb766b779be14234d10f", "3542f935818abedf137afb766b779be14234d10f")</f>
        <v>0</v>
      </c>
      <c r="D32742" t="s">
        <v>5134</v>
      </c>
      <c r="E32742" t="s">
        <v>8161</v>
      </c>
      <c r="F32742" t="s">
        <v>13746</v>
      </c>
      <c r="G32742" t="s">
        <v>17806</v>
      </c>
      <c r="H32742" t="s">
        <v>31590</v>
      </c>
    </row>
    <row r="32743" spans="1:8">
      <c r="A32743" t="s">
        <v>2432</v>
      </c>
      <c r="B32743">
        <f>HYPERLINK("https://android.googlesource.com/platform/cts/+/9b77834ab87cd2fa8826f825712c40e119a366a3", "9b77834ab87cd2fa8826f825712c40e119a366a3")</f>
        <v>0</v>
      </c>
      <c r="C32743">
        <f>HYPERLINK("https://android.googlesource.com/platform/cts/+/0d1409b1cca7c3169433aff73314089e7a8cf40f", "0d1409b1cca7c3169433aff73314089e7a8cf40f")</f>
        <v>0</v>
      </c>
      <c r="D32743" t="s">
        <v>5390</v>
      </c>
      <c r="E32743" t="s">
        <v>8162</v>
      </c>
      <c r="F32743" t="s">
        <v>13837</v>
      </c>
      <c r="G32743" t="s">
        <v>17880</v>
      </c>
      <c r="H32743" t="s">
        <v>31783</v>
      </c>
    </row>
    <row r="32744" spans="1:8">
      <c r="A32744" t="s">
        <v>2433</v>
      </c>
      <c r="B32744">
        <f>HYPERLINK("https://android.googlesource.com/platform/cts/+/0a4b52835219a6dff395ad95caf159120dd1679b", "0a4b52835219a6dff395ad95caf159120dd1679b")</f>
        <v>0</v>
      </c>
      <c r="C32744">
        <f>HYPERLINK("https://android.googlesource.com/platform/cts/+/32086afe3ce09f24babba099c51dd6fefac5fe80", "32086afe3ce09f24babba099c51dd6fefac5fe80")</f>
        <v>0</v>
      </c>
      <c r="D32744" t="s">
        <v>5290</v>
      </c>
      <c r="E32744" t="s">
        <v>8163</v>
      </c>
      <c r="F32744" t="s">
        <v>13838</v>
      </c>
      <c r="G32744" t="s">
        <v>17881</v>
      </c>
      <c r="H32744" t="s">
        <v>31784</v>
      </c>
    </row>
    <row r="32745" spans="1:8">
      <c r="H32745" t="s">
        <v>31785</v>
      </c>
    </row>
    <row r="32746" spans="1:8">
      <c r="A32746" t="s">
        <v>2434</v>
      </c>
      <c r="B32746">
        <f>HYPERLINK("https://android.googlesource.com/platform/cts/+/5e6d2579be19cffd269f70b2efd703808ce6ccf9", "5e6d2579be19cffd269f70b2efd703808ce6ccf9")</f>
        <v>0</v>
      </c>
      <c r="C32746">
        <f>HYPERLINK("https://android.googlesource.com/platform/cts/+/faec8c5730f73c269b1bb37cff3153e2014e3347", "faec8c5730f73c269b1bb37cff3153e2014e3347")</f>
        <v>0</v>
      </c>
      <c r="D32746" t="s">
        <v>5117</v>
      </c>
      <c r="E32746" t="s">
        <v>8164</v>
      </c>
      <c r="F32746" t="s">
        <v>13839</v>
      </c>
      <c r="G32746" t="s">
        <v>17882</v>
      </c>
      <c r="H32746" t="s">
        <v>31786</v>
      </c>
    </row>
    <row r="32747" spans="1:8">
      <c r="A32747" t="s">
        <v>2435</v>
      </c>
      <c r="B32747">
        <f>HYPERLINK("https://android.googlesource.com/platform/cts/+/9f7cf9e8da9b69444843c64bf71172d33c4864bf", "9f7cf9e8da9b69444843c64bf71172d33c4864bf")</f>
        <v>0</v>
      </c>
      <c r="C32747">
        <f>HYPERLINK("https://android.googlesource.com/platform/cts/+/33974a73e3b3ba677ed44b221b290b558f0e6566", "33974a73e3b3ba677ed44b221b290b558f0e6566")</f>
        <v>0</v>
      </c>
      <c r="D32747" t="s">
        <v>5307</v>
      </c>
      <c r="E32747" t="s">
        <v>8165</v>
      </c>
      <c r="F32747" t="s">
        <v>13263</v>
      </c>
      <c r="G32747" t="s">
        <v>17401</v>
      </c>
      <c r="H32747" t="s">
        <v>31787</v>
      </c>
    </row>
    <row r="32748" spans="1:8">
      <c r="A32748" t="s">
        <v>2436</v>
      </c>
      <c r="B32748">
        <f>HYPERLINK("https://android.googlesource.com/platform/cts/+/ffa061368edb04d5d3c949ac315f73de97367dd9", "ffa061368edb04d5d3c949ac315f73de97367dd9")</f>
        <v>0</v>
      </c>
      <c r="C32748">
        <f>HYPERLINK("https://android.googlesource.com/platform/cts/+/39aba5c19984e345e28ab50bfd7cef1858ae72b2", "39aba5c19984e345e28ab50bfd7cef1858ae72b2")</f>
        <v>0</v>
      </c>
      <c r="D32748" t="s">
        <v>5341</v>
      </c>
      <c r="E32748" t="s">
        <v>8166</v>
      </c>
      <c r="F32748" t="s">
        <v>13827</v>
      </c>
      <c r="G32748" t="s">
        <v>17871</v>
      </c>
      <c r="H32748" t="s">
        <v>31788</v>
      </c>
    </row>
    <row r="32749" spans="1:8">
      <c r="H32749" t="s">
        <v>31789</v>
      </c>
    </row>
    <row r="32750" spans="1:8">
      <c r="A32750" t="s">
        <v>2437</v>
      </c>
      <c r="B32750">
        <f>HYPERLINK("https://android.googlesource.com/platform/cts/+/d9f641eae97133f1511b329a8d60d1d02635d8c9", "d9f641eae97133f1511b329a8d60d1d02635d8c9")</f>
        <v>0</v>
      </c>
      <c r="C32750">
        <f>HYPERLINK("https://android.googlesource.com/platform/cts/+/3542f935818abedf137afb766b779be14234d10f", "3542f935818abedf137afb766b779be14234d10f")</f>
        <v>0</v>
      </c>
      <c r="D32750" t="s">
        <v>5371</v>
      </c>
      <c r="E32750" t="s">
        <v>8167</v>
      </c>
      <c r="F32750" t="s">
        <v>13840</v>
      </c>
      <c r="G32750" t="s">
        <v>17883</v>
      </c>
      <c r="H32750" t="s">
        <v>31790</v>
      </c>
    </row>
    <row r="32751" spans="1:8">
      <c r="H32751" t="s">
        <v>18829</v>
      </c>
    </row>
    <row r="32752" spans="1:8">
      <c r="H32752" t="s">
        <v>18863</v>
      </c>
    </row>
    <row r="32753" spans="6:8">
      <c r="H32753" t="s">
        <v>31791</v>
      </c>
    </row>
    <row r="32754" spans="6:8">
      <c r="H32754" t="s">
        <v>31791</v>
      </c>
    </row>
    <row r="32755" spans="6:8">
      <c r="H32755" t="s">
        <v>31792</v>
      </c>
    </row>
    <row r="32756" spans="6:8">
      <c r="H32756" t="s">
        <v>31793</v>
      </c>
    </row>
    <row r="32757" spans="6:8">
      <c r="H32757" t="s">
        <v>31794</v>
      </c>
    </row>
    <row r="32758" spans="6:8">
      <c r="H32758" t="s">
        <v>31795</v>
      </c>
    </row>
    <row r="32759" spans="6:8">
      <c r="H32759" t="s">
        <v>31796</v>
      </c>
    </row>
    <row r="32760" spans="6:8">
      <c r="H32760" t="s">
        <v>31797</v>
      </c>
    </row>
    <row r="32761" spans="6:8">
      <c r="H32761" t="s">
        <v>31798</v>
      </c>
    </row>
    <row r="32762" spans="6:8">
      <c r="H32762" t="s">
        <v>31799</v>
      </c>
    </row>
    <row r="32763" spans="6:8">
      <c r="H32763" t="s">
        <v>31800</v>
      </c>
    </row>
    <row r="32764" spans="6:8">
      <c r="F32764" t="s">
        <v>13841</v>
      </c>
      <c r="G32764" t="s">
        <v>17884</v>
      </c>
      <c r="H32764" t="s">
        <v>31801</v>
      </c>
    </row>
    <row r="32765" spans="6:8">
      <c r="H32765" t="s">
        <v>18829</v>
      </c>
    </row>
    <row r="32766" spans="6:8">
      <c r="H32766" t="s">
        <v>18863</v>
      </c>
    </row>
    <row r="32767" spans="6:8">
      <c r="H32767" t="s">
        <v>31802</v>
      </c>
    </row>
    <row r="32768" spans="6:8">
      <c r="H32768" t="s">
        <v>31803</v>
      </c>
    </row>
    <row r="32769" spans="1:8">
      <c r="H32769" t="s">
        <v>31804</v>
      </c>
    </row>
    <row r="32770" spans="1:8">
      <c r="H32770" t="s">
        <v>31805</v>
      </c>
    </row>
    <row r="32771" spans="1:8">
      <c r="H32771" t="s">
        <v>31806</v>
      </c>
    </row>
    <row r="32772" spans="1:8">
      <c r="A32772" t="s">
        <v>2438</v>
      </c>
      <c r="B32772">
        <f>HYPERLINK("https://android.googlesource.com/platform/cts/+/687b54c3be1e22aa84ff3ee8a3c8f2d6162b0343", "687b54c3be1e22aa84ff3ee8a3c8f2d6162b0343")</f>
        <v>0</v>
      </c>
      <c r="C32772">
        <f>HYPERLINK("https://android.googlesource.com/platform/cts/+/8129c83b1a00c838609de64076e3a99a3eec9d67", "8129c83b1a00c838609de64076e3a99a3eec9d67")</f>
        <v>0</v>
      </c>
      <c r="D32772" t="s">
        <v>5375</v>
      </c>
      <c r="E32772" t="s">
        <v>8168</v>
      </c>
      <c r="F32772" t="s">
        <v>13842</v>
      </c>
      <c r="G32772" t="s">
        <v>17885</v>
      </c>
      <c r="H32772" t="s">
        <v>19981</v>
      </c>
    </row>
    <row r="32773" spans="1:8">
      <c r="H32773" t="s">
        <v>31807</v>
      </c>
    </row>
    <row r="32774" spans="1:8">
      <c r="A32774" t="s">
        <v>2439</v>
      </c>
      <c r="B32774">
        <f>HYPERLINK("https://android.googlesource.com/platform/cts/+/b3fc868ee051ecf084a98aa7ae2c8e1bb44bd68d", "b3fc868ee051ecf084a98aa7ae2c8e1bb44bd68d")</f>
        <v>0</v>
      </c>
      <c r="C32774">
        <f>HYPERLINK("https://android.googlesource.com/platform/cts/+/3f597d1d27048fdd3e4fafb0009994eb0cef16f7", "3f597d1d27048fdd3e4fafb0009994eb0cef16f7")</f>
        <v>0</v>
      </c>
      <c r="D32774" t="s">
        <v>5391</v>
      </c>
      <c r="E32774" t="s">
        <v>8169</v>
      </c>
      <c r="F32774" t="s">
        <v>10675</v>
      </c>
      <c r="G32774" t="s">
        <v>15075</v>
      </c>
      <c r="H32774" t="s">
        <v>31808</v>
      </c>
    </row>
    <row r="32775" spans="1:8">
      <c r="H32775" t="s">
        <v>31809</v>
      </c>
    </row>
    <row r="32776" spans="1:8">
      <c r="A32776" t="s">
        <v>2440</v>
      </c>
      <c r="B32776">
        <f>HYPERLINK("https://android.googlesource.com/platform/cts/+/2bbee6e1e5f35136311749b061a468b9b223d840", "2bbee6e1e5f35136311749b061a468b9b223d840")</f>
        <v>0</v>
      </c>
      <c r="C32776">
        <f>HYPERLINK("https://android.googlesource.com/platform/cts/+/be6d34f5c3b4e92204a1128d90b34e330e52f768", "be6d34f5c3b4e92204a1128d90b34e330e52f768")</f>
        <v>0</v>
      </c>
      <c r="D32776" t="s">
        <v>5392</v>
      </c>
      <c r="E32776" t="s">
        <v>8170</v>
      </c>
      <c r="F32776" t="s">
        <v>13220</v>
      </c>
      <c r="G32776" t="s">
        <v>17361</v>
      </c>
      <c r="H32776" t="s">
        <v>31810</v>
      </c>
    </row>
    <row r="32777" spans="1:8">
      <c r="H32777" t="s">
        <v>31811</v>
      </c>
    </row>
    <row r="32778" spans="1:8">
      <c r="H32778" t="s">
        <v>31812</v>
      </c>
    </row>
    <row r="32779" spans="1:8">
      <c r="H32779" t="s">
        <v>31813</v>
      </c>
    </row>
    <row r="32780" spans="1:8">
      <c r="H32780" t="s">
        <v>31814</v>
      </c>
    </row>
    <row r="32781" spans="1:8">
      <c r="H32781" t="s">
        <v>31815</v>
      </c>
    </row>
    <row r="32782" spans="1:8">
      <c r="H32782" t="s">
        <v>31816</v>
      </c>
    </row>
    <row r="32783" spans="1:8">
      <c r="H32783" t="s">
        <v>31817</v>
      </c>
    </row>
    <row r="32784" spans="1:8">
      <c r="A32784" t="s">
        <v>2441</v>
      </c>
      <c r="B32784">
        <f>HYPERLINK("https://android.googlesource.com/platform/cts/+/74b317f0e373dc139895ec2cfb472d2a4a1e7d28", "74b317f0e373dc139895ec2cfb472d2a4a1e7d28")</f>
        <v>0</v>
      </c>
      <c r="C32784">
        <f>HYPERLINK("https://android.googlesource.com/platform/cts/+/f6b28f2c3296f94066485f877e09f165938d75be", "f6b28f2c3296f94066485f877e09f165938d75be")</f>
        <v>0</v>
      </c>
      <c r="D32784" t="s">
        <v>5272</v>
      </c>
      <c r="E32784" t="s">
        <v>8171</v>
      </c>
      <c r="F32784" t="s">
        <v>13757</v>
      </c>
      <c r="G32784" t="s">
        <v>17816</v>
      </c>
      <c r="H32784" t="s">
        <v>31818</v>
      </c>
    </row>
    <row r="32785" spans="1:8">
      <c r="F32785" t="s">
        <v>13810</v>
      </c>
      <c r="G32785" t="s">
        <v>17734</v>
      </c>
      <c r="H32785" t="s">
        <v>30881</v>
      </c>
    </row>
    <row r="32786" spans="1:8">
      <c r="H32786" t="s">
        <v>29728</v>
      </c>
    </row>
    <row r="32787" spans="1:8">
      <c r="H32787" t="s">
        <v>29729</v>
      </c>
    </row>
    <row r="32788" spans="1:8">
      <c r="H32788" t="s">
        <v>18893</v>
      </c>
    </row>
    <row r="32789" spans="1:8">
      <c r="A32789" t="s">
        <v>2442</v>
      </c>
      <c r="B32789">
        <f>HYPERLINK("https://android.googlesource.com/platform/cts/+/61097212329e37c755dddac701c56daee8916620", "61097212329e37c755dddac701c56daee8916620")</f>
        <v>0</v>
      </c>
      <c r="C32789">
        <f>HYPERLINK("https://android.googlesource.com/platform/cts/+/7a7a4d51783339d3fe1b8f861c9c104ad8d5127b", "7a7a4d51783339d3fe1b8f861c9c104ad8d5127b")</f>
        <v>0</v>
      </c>
      <c r="D32789" t="s">
        <v>5375</v>
      </c>
      <c r="E32789" t="s">
        <v>8172</v>
      </c>
      <c r="F32789" t="s">
        <v>13771</v>
      </c>
      <c r="G32789" t="s">
        <v>17826</v>
      </c>
      <c r="H32789" t="s">
        <v>31819</v>
      </c>
    </row>
    <row r="32790" spans="1:8">
      <c r="H32790" t="s">
        <v>31820</v>
      </c>
    </row>
    <row r="32791" spans="1:8">
      <c r="H32791" t="s">
        <v>31821</v>
      </c>
    </row>
    <row r="32792" spans="1:8">
      <c r="H32792" t="s">
        <v>31822</v>
      </c>
    </row>
    <row r="32793" spans="1:8">
      <c r="A32793" t="s">
        <v>2443</v>
      </c>
      <c r="B32793">
        <f>HYPERLINK("https://android.googlesource.com/platform/cts/+/ca8a47dbd950b10c933e44299b22b4122b5dfcbf", "ca8a47dbd950b10c933e44299b22b4122b5dfcbf")</f>
        <v>0</v>
      </c>
      <c r="C32793">
        <f>HYPERLINK("https://android.googlesource.com/platform/cts/+/334db7e07be0c87875811fe3adf62b4c428cb93e", "334db7e07be0c87875811fe3adf62b4c428cb93e")</f>
        <v>0</v>
      </c>
      <c r="D32793" t="s">
        <v>5234</v>
      </c>
      <c r="E32793" t="s">
        <v>8173</v>
      </c>
      <c r="F32793" t="s">
        <v>13843</v>
      </c>
      <c r="G32793" t="s">
        <v>17886</v>
      </c>
      <c r="H32793" t="s">
        <v>28909</v>
      </c>
    </row>
    <row r="32794" spans="1:8">
      <c r="A32794" t="s">
        <v>2444</v>
      </c>
      <c r="B32794">
        <f>HYPERLINK("https://android.googlesource.com/platform/cts/+/e05ffed599d17559af16e04d17fcf74d075b7939", "e05ffed599d17559af16e04d17fcf74d075b7939")</f>
        <v>0</v>
      </c>
      <c r="C32794">
        <f>HYPERLINK("https://android.googlesource.com/platform/cts/+/b9b5147fcf9e2006cdac7baa91394a628439620a", "b9b5147fcf9e2006cdac7baa91394a628439620a")</f>
        <v>0</v>
      </c>
      <c r="D32794" t="s">
        <v>5393</v>
      </c>
      <c r="E32794" t="s">
        <v>8174</v>
      </c>
      <c r="F32794" t="s">
        <v>13844</v>
      </c>
      <c r="G32794" t="s">
        <v>17887</v>
      </c>
      <c r="H32794" t="s">
        <v>31823</v>
      </c>
    </row>
    <row r="32795" spans="1:8">
      <c r="H32795" t="s">
        <v>31824</v>
      </c>
    </row>
    <row r="32796" spans="1:8">
      <c r="H32796" t="s">
        <v>31825</v>
      </c>
    </row>
    <row r="32797" spans="1:8">
      <c r="F32797" t="s">
        <v>12743</v>
      </c>
      <c r="G32797" t="s">
        <v>16935</v>
      </c>
      <c r="H32797" t="s">
        <v>31825</v>
      </c>
    </row>
    <row r="32798" spans="1:8">
      <c r="A32798" t="s">
        <v>2445</v>
      </c>
      <c r="B32798">
        <f>HYPERLINK("https://android.googlesource.com/platform/cts/+/a09d19c0b15ad11765b0894cc7ba5577d2a4cee7", "a09d19c0b15ad11765b0894cc7ba5577d2a4cee7")</f>
        <v>0</v>
      </c>
      <c r="C32798">
        <f>HYPERLINK("https://android.googlesource.com/platform/cts/+/e55bc413d4ccbad074404640ccbdfb5692c1a685", "e55bc413d4ccbad074404640ccbdfb5692c1a685")</f>
        <v>0</v>
      </c>
      <c r="D32798" t="s">
        <v>5108</v>
      </c>
      <c r="E32798" t="s">
        <v>8175</v>
      </c>
      <c r="F32798" t="s">
        <v>13229</v>
      </c>
      <c r="G32798" t="s">
        <v>17370</v>
      </c>
      <c r="H32798" t="s">
        <v>31826</v>
      </c>
    </row>
    <row r="32799" spans="1:8">
      <c r="H32799" t="s">
        <v>31827</v>
      </c>
    </row>
    <row r="32800" spans="1:8">
      <c r="A32800" t="s">
        <v>2446</v>
      </c>
      <c r="B32800">
        <f>HYPERLINK("https://android.googlesource.com/platform/cts/+/a808b48a721f11d0676179afe16b8d17ae1bf28f", "a808b48a721f11d0676179afe16b8d17ae1bf28f")</f>
        <v>0</v>
      </c>
      <c r="C32800">
        <f>HYPERLINK("https://android.googlesource.com/platform/cts/+/f66199b97d5f8ae519d674b1efe94cedda89b177", "f66199b97d5f8ae519d674b1efe94cedda89b177")</f>
        <v>0</v>
      </c>
      <c r="D32800" t="s">
        <v>5134</v>
      </c>
      <c r="E32800" t="s">
        <v>8176</v>
      </c>
      <c r="F32800" t="s">
        <v>13230</v>
      </c>
      <c r="G32800" t="s">
        <v>17371</v>
      </c>
      <c r="H32800" t="s">
        <v>31828</v>
      </c>
    </row>
    <row r="32801" spans="1:8">
      <c r="H32801" t="s">
        <v>31829</v>
      </c>
    </row>
    <row r="32802" spans="1:8">
      <c r="A32802" t="s">
        <v>2447</v>
      </c>
      <c r="B32802">
        <f>HYPERLINK("https://android.googlesource.com/platform/cts/+/7e11d1fc534e84a8cde49ed3b50022858d75accd", "7e11d1fc534e84a8cde49ed3b50022858d75accd")</f>
        <v>0</v>
      </c>
      <c r="C32802">
        <f>HYPERLINK("https://android.googlesource.com/platform/cts/+/05aeecd8f6a57f592c1c8e09ed51265f9d0535cf", "05aeecd8f6a57f592c1c8e09ed51265f9d0535cf")</f>
        <v>0</v>
      </c>
      <c r="D32802" t="s">
        <v>5394</v>
      </c>
      <c r="E32802" t="s">
        <v>8177</v>
      </c>
      <c r="F32802" t="s">
        <v>13845</v>
      </c>
      <c r="G32802" t="s">
        <v>17888</v>
      </c>
      <c r="H32802" t="s">
        <v>31830</v>
      </c>
    </row>
    <row r="32803" spans="1:8">
      <c r="H32803" t="s">
        <v>31831</v>
      </c>
    </row>
    <row r="32804" spans="1:8">
      <c r="H32804" t="s">
        <v>31832</v>
      </c>
    </row>
    <row r="32805" spans="1:8">
      <c r="A32805" t="s">
        <v>2448</v>
      </c>
      <c r="B32805">
        <f>HYPERLINK("https://android.googlesource.com/platform/cts/+/2477139e7036106b38328090879cb03dbd83ad6e", "2477139e7036106b38328090879cb03dbd83ad6e")</f>
        <v>0</v>
      </c>
      <c r="C32805">
        <f>HYPERLINK("https://android.googlesource.com/platform/cts/+/fd0a6da7e815d071e66317fc5994320afeef6998", "fd0a6da7e815d071e66317fc5994320afeef6998")</f>
        <v>0</v>
      </c>
      <c r="D32805" t="s">
        <v>5395</v>
      </c>
      <c r="E32805" t="s">
        <v>8178</v>
      </c>
      <c r="F32805" t="s">
        <v>10597</v>
      </c>
      <c r="G32805" t="s">
        <v>15000</v>
      </c>
      <c r="H32805" t="s">
        <v>31833</v>
      </c>
    </row>
    <row r="32806" spans="1:8">
      <c r="A32806" t="s">
        <v>2449</v>
      </c>
      <c r="B32806">
        <f>HYPERLINK("https://android.googlesource.com/platform/cts/+/2d22791e40114cd02ab1489859ce0440f1bde5c4", "2d22791e40114cd02ab1489859ce0440f1bde5c4")</f>
        <v>0</v>
      </c>
      <c r="C32806">
        <f>HYPERLINK("https://android.googlesource.com/platform/cts/+/a96c66acda1b27ecf18394c218ea0d1549f88592", "a96c66acda1b27ecf18394c218ea0d1549f88592")</f>
        <v>0</v>
      </c>
      <c r="D32806" t="s">
        <v>5396</v>
      </c>
      <c r="E32806" t="s">
        <v>8179</v>
      </c>
      <c r="F32806" t="s">
        <v>13846</v>
      </c>
      <c r="G32806" t="s">
        <v>17889</v>
      </c>
      <c r="H32806" t="s">
        <v>31834</v>
      </c>
    </row>
    <row r="32807" spans="1:8">
      <c r="A32807" t="s">
        <v>2450</v>
      </c>
      <c r="B32807">
        <f>HYPERLINK("https://android.googlesource.com/platform/cts/+/06440c2a84e6510b91d0b57d9affb8de5693318f", "06440c2a84e6510b91d0b57d9affb8de5693318f")</f>
        <v>0</v>
      </c>
      <c r="C32807">
        <f>HYPERLINK("https://android.googlesource.com/platform/cts/+/2b193cd7f0aecc119de642dad3ecee23b0a5ff6f", "2b193cd7f0aecc119de642dad3ecee23b0a5ff6f")</f>
        <v>0</v>
      </c>
      <c r="D32807" t="s">
        <v>5140</v>
      </c>
      <c r="E32807" t="s">
        <v>8180</v>
      </c>
      <c r="F32807" t="s">
        <v>13847</v>
      </c>
      <c r="G32807" t="s">
        <v>17890</v>
      </c>
      <c r="H32807" t="s">
        <v>31835</v>
      </c>
    </row>
    <row r="32808" spans="1:8">
      <c r="A32808" t="s">
        <v>2451</v>
      </c>
      <c r="B32808">
        <f>HYPERLINK("https://android.googlesource.com/platform/cts/+/7f6c94fcaf257107f393a8f7e4db5a93bea7400b", "7f6c94fcaf257107f393a8f7e4db5a93bea7400b")</f>
        <v>0</v>
      </c>
      <c r="C32808">
        <f>HYPERLINK("https://android.googlesource.com/platform/cts/+/5e185ef5a5106a1f3ede504c0f8f499fbb2f5d18", "5e185ef5a5106a1f3ede504c0f8f499fbb2f5d18")</f>
        <v>0</v>
      </c>
      <c r="D32808" t="s">
        <v>5397</v>
      </c>
      <c r="E32808" t="s">
        <v>8181</v>
      </c>
      <c r="F32808" t="s">
        <v>13846</v>
      </c>
      <c r="G32808" t="s">
        <v>17889</v>
      </c>
      <c r="H32808" t="s">
        <v>31836</v>
      </c>
    </row>
    <row r="32809" spans="1:8">
      <c r="A32809" t="s">
        <v>2452</v>
      </c>
      <c r="B32809">
        <f>HYPERLINK("https://android.googlesource.com/platform/cts/+/0104be8e3b27720f2bbed7c9153e73cb4c26b278", "0104be8e3b27720f2bbed7c9153e73cb4c26b278")</f>
        <v>0</v>
      </c>
      <c r="C32809">
        <f>HYPERLINK("https://android.googlesource.com/platform/cts/+/06440c2a84e6510b91d0b57d9affb8de5693318f", "06440c2a84e6510b91d0b57d9affb8de5693318f")</f>
        <v>0</v>
      </c>
      <c r="D32809" t="s">
        <v>5140</v>
      </c>
      <c r="E32809" t="s">
        <v>8182</v>
      </c>
      <c r="F32809" t="s">
        <v>13847</v>
      </c>
      <c r="G32809" t="s">
        <v>17890</v>
      </c>
      <c r="H32809" t="s">
        <v>31837</v>
      </c>
    </row>
    <row r="32810" spans="1:8">
      <c r="A32810" t="s">
        <v>2453</v>
      </c>
      <c r="B32810">
        <f>HYPERLINK("https://android.googlesource.com/platform/cts/+/3cb9a051c01a6292545aa5a699542da803e5280a", "3cb9a051c01a6292545aa5a699542da803e5280a")</f>
        <v>0</v>
      </c>
      <c r="C32810">
        <f>HYPERLINK("https://android.googlesource.com/platform/cts/+/0104be8e3b27720f2bbed7c9153e73cb4c26b278", "0104be8e3b27720f2bbed7c9153e73cb4c26b278")</f>
        <v>0</v>
      </c>
      <c r="D32810" t="s">
        <v>5140</v>
      </c>
      <c r="E32810" t="s">
        <v>8183</v>
      </c>
      <c r="F32810" t="s">
        <v>13847</v>
      </c>
      <c r="G32810" t="s">
        <v>17890</v>
      </c>
      <c r="H32810" t="s">
        <v>31835</v>
      </c>
    </row>
    <row r="32811" spans="1:8">
      <c r="A32811" t="s">
        <v>2454</v>
      </c>
      <c r="B32811">
        <f>HYPERLINK("https://android.googlesource.com/platform/cts/+/d4cb745ba90cc3238a7bdd66cfd7b449339dc00e", "d4cb745ba90cc3238a7bdd66cfd7b449339dc00e")</f>
        <v>0</v>
      </c>
      <c r="C32811">
        <f>HYPERLINK("https://android.googlesource.com/platform/cts/+/ed8e97f57d294609dc9322445c9d1989360eefb9", "ed8e97f57d294609dc9322445c9d1989360eefb9")</f>
        <v>0</v>
      </c>
      <c r="D32811" t="s">
        <v>5334</v>
      </c>
      <c r="E32811" t="s">
        <v>8184</v>
      </c>
      <c r="F32811" t="s">
        <v>13719</v>
      </c>
      <c r="G32811" t="s">
        <v>17785</v>
      </c>
      <c r="H32811" t="s">
        <v>18829</v>
      </c>
    </row>
    <row r="32812" spans="1:8">
      <c r="H32812" t="s">
        <v>31838</v>
      </c>
    </row>
    <row r="32813" spans="1:8">
      <c r="H32813" t="s">
        <v>31839</v>
      </c>
    </row>
    <row r="32814" spans="1:8">
      <c r="H32814" t="s">
        <v>31840</v>
      </c>
    </row>
    <row r="32815" spans="1:8">
      <c r="H32815" t="s">
        <v>31841</v>
      </c>
    </row>
    <row r="32816" spans="1:8">
      <c r="H32816" t="s">
        <v>31842</v>
      </c>
    </row>
    <row r="32817" spans="1:8">
      <c r="H32817" t="s">
        <v>22533</v>
      </c>
    </row>
    <row r="32818" spans="1:8">
      <c r="H32818" t="s">
        <v>31843</v>
      </c>
    </row>
    <row r="32819" spans="1:8">
      <c r="H32819" t="s">
        <v>31844</v>
      </c>
    </row>
    <row r="32820" spans="1:8">
      <c r="A32820" t="s">
        <v>2455</v>
      </c>
      <c r="B32820">
        <f>HYPERLINK("https://android.googlesource.com/platform/cts/+/58c1321beba42398115e525df60059df0a17e814", "58c1321beba42398115e525df60059df0a17e814")</f>
        <v>0</v>
      </c>
      <c r="C32820">
        <f>HYPERLINK("https://android.googlesource.com/platform/cts/+/f06f5486579e9214594ca76cd78fdea30ce5c287", "f06f5486579e9214594ca76cd78fdea30ce5c287")</f>
        <v>0</v>
      </c>
      <c r="D32820" t="s">
        <v>5141</v>
      </c>
      <c r="E32820" t="s">
        <v>8185</v>
      </c>
      <c r="F32820" t="s">
        <v>13848</v>
      </c>
      <c r="G32820" t="s">
        <v>17891</v>
      </c>
      <c r="H32820" t="s">
        <v>31845</v>
      </c>
    </row>
    <row r="32821" spans="1:8">
      <c r="F32821" t="s">
        <v>10794</v>
      </c>
      <c r="G32821" t="s">
        <v>15189</v>
      </c>
      <c r="H32821" t="s">
        <v>31846</v>
      </c>
    </row>
    <row r="32822" spans="1:8">
      <c r="A32822" t="s">
        <v>2456</v>
      </c>
      <c r="B32822">
        <f>HYPERLINK("https://android.googlesource.com/platform/cts/+/432bae5679f197354d70f9c82f2460c65e322033", "432bae5679f197354d70f9c82f2460c65e322033")</f>
        <v>0</v>
      </c>
      <c r="C32822">
        <f>HYPERLINK("https://android.googlesource.com/platform/cts/+/064e8aad0269c0688d2ebba7f874252befe6cd99", "064e8aad0269c0688d2ebba7f874252befe6cd99")</f>
        <v>0</v>
      </c>
      <c r="D32822" t="s">
        <v>5111</v>
      </c>
      <c r="E32822" t="s">
        <v>8186</v>
      </c>
      <c r="F32822" t="s">
        <v>13572</v>
      </c>
      <c r="G32822" t="s">
        <v>17605</v>
      </c>
      <c r="H32822" t="s">
        <v>31847</v>
      </c>
    </row>
    <row r="32823" spans="1:8">
      <c r="H32823" t="s">
        <v>26483</v>
      </c>
    </row>
    <row r="32824" spans="1:8">
      <c r="H32824" t="s">
        <v>31848</v>
      </c>
    </row>
    <row r="32825" spans="1:8">
      <c r="A32825" t="s">
        <v>2457</v>
      </c>
      <c r="B32825">
        <f>HYPERLINK("https://android.googlesource.com/platform/cts/+/290dc5282c61ef2c311c05deeb588f204674cdd3", "290dc5282c61ef2c311c05deeb588f204674cdd3")</f>
        <v>0</v>
      </c>
      <c r="C32825">
        <f>HYPERLINK("https://android.googlesource.com/platform/cts/+/46529f564e4f49f0eb2c56605ced3ff0b92feea4", "46529f564e4f49f0eb2c56605ced3ff0b92feea4")</f>
        <v>0</v>
      </c>
      <c r="D32825" t="s">
        <v>5231</v>
      </c>
      <c r="E32825" t="s">
        <v>8187</v>
      </c>
      <c r="F32825" t="s">
        <v>13816</v>
      </c>
      <c r="G32825" t="s">
        <v>15089</v>
      </c>
      <c r="H32825" t="s">
        <v>31849</v>
      </c>
    </row>
    <row r="32826" spans="1:8">
      <c r="H32826" t="s">
        <v>31850</v>
      </c>
    </row>
    <row r="32827" spans="1:8">
      <c r="A32827" t="s">
        <v>2458</v>
      </c>
      <c r="B32827">
        <f>HYPERLINK("https://android.googlesource.com/platform/cts/+/258832fcaeb96f224a4325efdc243226e408cd23", "258832fcaeb96f224a4325efdc243226e408cd23")</f>
        <v>0</v>
      </c>
      <c r="C32827">
        <f>HYPERLINK("https://android.googlesource.com/platform/cts/+/7acf0c9b6a1b8d4ab6aa50eb85def618ac2c2187", "7acf0c9b6a1b8d4ab6aa50eb85def618ac2c2187")</f>
        <v>0</v>
      </c>
      <c r="D32827" t="s">
        <v>5263</v>
      </c>
      <c r="E32827" t="s">
        <v>8188</v>
      </c>
      <c r="F32827" t="s">
        <v>13391</v>
      </c>
      <c r="G32827" t="s">
        <v>17517</v>
      </c>
      <c r="H32827" t="s">
        <v>19034</v>
      </c>
    </row>
    <row r="32828" spans="1:8">
      <c r="A32828" t="s">
        <v>2459</v>
      </c>
      <c r="B32828">
        <f>HYPERLINK("https://android.googlesource.com/platform/cts/+/ce91955c966b69c05f299d60fca5a7ee3243c1a5", "ce91955c966b69c05f299d60fca5a7ee3243c1a5")</f>
        <v>0</v>
      </c>
      <c r="C32828">
        <f>HYPERLINK("https://android.googlesource.com/platform/cts/+/b52083dc1e389a8e6174514eb6893c6dd5c31fbb", "b52083dc1e389a8e6174514eb6893c6dd5c31fbb")</f>
        <v>0</v>
      </c>
      <c r="D32828" t="s">
        <v>5390</v>
      </c>
      <c r="E32828" t="s">
        <v>8189</v>
      </c>
      <c r="F32828" t="s">
        <v>13837</v>
      </c>
      <c r="G32828" t="s">
        <v>17880</v>
      </c>
      <c r="H32828" t="s">
        <v>31851</v>
      </c>
    </row>
    <row r="32829" spans="1:8">
      <c r="H32829" t="s">
        <v>31852</v>
      </c>
    </row>
    <row r="32830" spans="1:8">
      <c r="H32830" t="s">
        <v>31853</v>
      </c>
    </row>
    <row r="32831" spans="1:8">
      <c r="H32831" t="s">
        <v>31854</v>
      </c>
    </row>
    <row r="32832" spans="1:8">
      <c r="H32832" t="s">
        <v>31855</v>
      </c>
    </row>
    <row r="32833" spans="1:8">
      <c r="A32833" t="s">
        <v>2460</v>
      </c>
      <c r="B32833">
        <f>HYPERLINK("https://android.googlesource.com/platform/cts/+/10408c50ca72466e1c72395814939a6ed2820091", "10408c50ca72466e1c72395814939a6ed2820091")</f>
        <v>0</v>
      </c>
      <c r="C32833">
        <f>HYPERLINK("https://android.googlesource.com/platform/cts/+/09adaca6920ef8419e090a005749fc5848c42591", "09adaca6920ef8419e090a005749fc5848c42591")</f>
        <v>0</v>
      </c>
      <c r="D32833" t="s">
        <v>5304</v>
      </c>
      <c r="E32833" t="s">
        <v>8190</v>
      </c>
      <c r="F32833" t="s">
        <v>13816</v>
      </c>
      <c r="G32833" t="s">
        <v>15089</v>
      </c>
      <c r="H32833" t="s">
        <v>31706</v>
      </c>
    </row>
    <row r="32834" spans="1:8">
      <c r="H32834" t="s">
        <v>31707</v>
      </c>
    </row>
    <row r="32835" spans="1:8">
      <c r="H32835" t="s">
        <v>31708</v>
      </c>
    </row>
    <row r="32836" spans="1:8">
      <c r="A32836" t="s">
        <v>2461</v>
      </c>
      <c r="B32836">
        <f>HYPERLINK("https://android.googlesource.com/platform/cts/+/c7556913619c8bb80283d203870efb98d708fba9", "c7556913619c8bb80283d203870efb98d708fba9")</f>
        <v>0</v>
      </c>
      <c r="C32836">
        <f>HYPERLINK("https://android.googlesource.com/platform/cts/+/66ab451f3b77117eae9ae7310ba5271e4827c396", "66ab451f3b77117eae9ae7310ba5271e4827c396")</f>
        <v>0</v>
      </c>
      <c r="D32836" t="s">
        <v>5398</v>
      </c>
      <c r="E32836" t="s">
        <v>8191</v>
      </c>
      <c r="F32836" t="s">
        <v>13849</v>
      </c>
      <c r="G32836" t="s">
        <v>17892</v>
      </c>
      <c r="H32836" t="s">
        <v>31856</v>
      </c>
    </row>
    <row r="32837" spans="1:8">
      <c r="F32837" t="s">
        <v>13227</v>
      </c>
      <c r="G32837" t="s">
        <v>17368</v>
      </c>
      <c r="H32837" t="s">
        <v>31023</v>
      </c>
    </row>
    <row r="32838" spans="1:8">
      <c r="A32838" t="s">
        <v>2462</v>
      </c>
      <c r="B32838">
        <f>HYPERLINK("https://android.googlesource.com/platform/cts/+/8dfc3488d1c9c9f9a7ca58d7b7939def00fb2cb3", "8dfc3488d1c9c9f9a7ca58d7b7939def00fb2cb3")</f>
        <v>0</v>
      </c>
      <c r="C32838">
        <f>HYPERLINK("https://android.googlesource.com/platform/cts/+/afa18150a76d426c64559e2c4ad939ff1668781f", "afa18150a76d426c64559e2c4ad939ff1668781f")</f>
        <v>0</v>
      </c>
      <c r="D32838" t="s">
        <v>4981</v>
      </c>
      <c r="E32838" t="s">
        <v>8192</v>
      </c>
      <c r="F32838" t="s">
        <v>13788</v>
      </c>
      <c r="G32838" t="s">
        <v>17841</v>
      </c>
      <c r="H32838" t="s">
        <v>31857</v>
      </c>
    </row>
    <row r="32839" spans="1:8">
      <c r="A32839" t="s">
        <v>2463</v>
      </c>
      <c r="B32839">
        <f>HYPERLINK("https://android.googlesource.com/platform/cts/+/6bd5826a807f5019d6275b006745c1b456522d63", "6bd5826a807f5019d6275b006745c1b456522d63")</f>
        <v>0</v>
      </c>
      <c r="C32839">
        <f>HYPERLINK("https://android.googlesource.com/platform/cts/+/3d15986fe0412e7bf631c484a595578484478897", "3d15986fe0412e7bf631c484a595578484478897")</f>
        <v>0</v>
      </c>
      <c r="D32839" t="s">
        <v>5399</v>
      </c>
      <c r="E32839" t="s">
        <v>8193</v>
      </c>
      <c r="F32839" t="s">
        <v>13850</v>
      </c>
      <c r="G32839" t="s">
        <v>16816</v>
      </c>
      <c r="H32839" t="s">
        <v>31858</v>
      </c>
    </row>
    <row r="32840" spans="1:8">
      <c r="A32840" t="s">
        <v>2464</v>
      </c>
      <c r="B32840">
        <f>HYPERLINK("https://android.googlesource.com/platform/cts/+/11967889783868bce0006b4e10950a5ecf654501", "11967889783868bce0006b4e10950a5ecf654501")</f>
        <v>0</v>
      </c>
      <c r="C32840">
        <f>HYPERLINK("https://android.googlesource.com/platform/cts/+/54661bb3c1d73d2995693f5baffd6ef8d1017720", "54661bb3c1d73d2995693f5baffd6ef8d1017720")</f>
        <v>0</v>
      </c>
      <c r="D32840" t="s">
        <v>5400</v>
      </c>
      <c r="E32840" t="s">
        <v>8194</v>
      </c>
      <c r="F32840" t="s">
        <v>13851</v>
      </c>
      <c r="G32840" t="s">
        <v>17893</v>
      </c>
      <c r="H32840" t="s">
        <v>31859</v>
      </c>
    </row>
    <row r="32841" spans="1:8">
      <c r="A32841" t="s">
        <v>2465</v>
      </c>
      <c r="B32841">
        <f>HYPERLINK("https://android.googlesource.com/platform/cts/+/1722852af986859f397af81423d7ebaf079b15c2", "1722852af986859f397af81423d7ebaf079b15c2")</f>
        <v>0</v>
      </c>
      <c r="C32841">
        <f>HYPERLINK("https://android.googlesource.com/platform/cts/+/625ece977bb0e6f56570bbcd2f873cba5574fcac", "625ece977bb0e6f56570bbcd2f873cba5574fcac")</f>
        <v>0</v>
      </c>
      <c r="D32841" t="s">
        <v>5059</v>
      </c>
      <c r="E32841" t="s">
        <v>8195</v>
      </c>
      <c r="F32841" t="s">
        <v>10744</v>
      </c>
      <c r="G32841" t="s">
        <v>15143</v>
      </c>
      <c r="H32841" t="s">
        <v>31860</v>
      </c>
    </row>
    <row r="32842" spans="1:8">
      <c r="A32842" t="s">
        <v>2466</v>
      </c>
      <c r="B32842">
        <f>HYPERLINK("https://android.googlesource.com/platform/cts/+/0d6ff6b156b786971cd74d5c2bb9ecc0b27b4b46", "0d6ff6b156b786971cd74d5c2bb9ecc0b27b4b46")</f>
        <v>0</v>
      </c>
      <c r="C32842">
        <f>HYPERLINK("https://android.googlesource.com/platform/cts/+/37cbb66798ef997b56e867100a8b2944023598d6", "37cbb66798ef997b56e867100a8b2944023598d6")</f>
        <v>0</v>
      </c>
      <c r="D32842" t="s">
        <v>5134</v>
      </c>
      <c r="E32842" t="s">
        <v>8196</v>
      </c>
      <c r="F32842" t="s">
        <v>13469</v>
      </c>
      <c r="G32842" t="s">
        <v>17588</v>
      </c>
      <c r="H32842" t="s">
        <v>31861</v>
      </c>
    </row>
    <row r="32843" spans="1:8">
      <c r="H32843" t="s">
        <v>31862</v>
      </c>
    </row>
    <row r="32844" spans="1:8">
      <c r="A32844" t="s">
        <v>2467</v>
      </c>
      <c r="B32844">
        <f>HYPERLINK("https://android.googlesource.com/platform/cts/+/51fb83a17e721abcf9c606ec29e88dd9824ecb05", "51fb83a17e721abcf9c606ec29e88dd9824ecb05")</f>
        <v>0</v>
      </c>
      <c r="C32844">
        <f>HYPERLINK("https://android.googlesource.com/platform/cts/+/0a8e5dd7da2eba0094d91c05ec2f5c0886d48c21", "0a8e5dd7da2eba0094d91c05ec2f5c0886d48c21")</f>
        <v>0</v>
      </c>
      <c r="D32844" t="s">
        <v>5400</v>
      </c>
      <c r="E32844" t="s">
        <v>8197</v>
      </c>
      <c r="F32844" t="s">
        <v>13851</v>
      </c>
      <c r="G32844" t="s">
        <v>17893</v>
      </c>
      <c r="H32844" t="s">
        <v>31863</v>
      </c>
    </row>
    <row r="32845" spans="1:8">
      <c r="A32845" t="s">
        <v>2468</v>
      </c>
      <c r="B32845">
        <f>HYPERLINK("https://android.googlesource.com/platform/cts/+/7d4879a70546d47847b30e8845aa64a2b9fb883d", "7d4879a70546d47847b30e8845aa64a2b9fb883d")</f>
        <v>0</v>
      </c>
      <c r="C32845">
        <f>HYPERLINK("https://android.googlesource.com/platform/cts/+/e5f7c87e9dec9ad21bec25feec24050d247b2a08", "e5f7c87e9dec9ad21bec25feec24050d247b2a08")</f>
        <v>0</v>
      </c>
      <c r="D32845" t="s">
        <v>5084</v>
      </c>
      <c r="E32845" t="s">
        <v>8198</v>
      </c>
      <c r="F32845" t="s">
        <v>13852</v>
      </c>
      <c r="G32845" t="s">
        <v>17894</v>
      </c>
      <c r="H32845" t="s">
        <v>31864</v>
      </c>
    </row>
    <row r="32846" spans="1:8">
      <c r="F32846" t="s">
        <v>13853</v>
      </c>
      <c r="G32846" t="s">
        <v>17895</v>
      </c>
      <c r="H32846" t="s">
        <v>31865</v>
      </c>
    </row>
    <row r="32847" spans="1:8">
      <c r="F32847" t="s">
        <v>13854</v>
      </c>
      <c r="G32847" t="s">
        <v>17896</v>
      </c>
      <c r="H32847" t="s">
        <v>31866</v>
      </c>
    </row>
    <row r="32848" spans="1:8">
      <c r="A32848" t="s">
        <v>2469</v>
      </c>
      <c r="B32848">
        <f>HYPERLINK("https://android.googlesource.com/platform/cts/+/2c51332c2c4f7e8303cf1bf7f544623af2289899", "2c51332c2c4f7e8303cf1bf7f544623af2289899")</f>
        <v>0</v>
      </c>
      <c r="C32848">
        <f>HYPERLINK("https://android.googlesource.com/platform/cts/+/f4f7d59a8069c0769d4d7932059d6358923c9881", "f4f7d59a8069c0769d4d7932059d6358923c9881")</f>
        <v>0</v>
      </c>
      <c r="D32848" t="s">
        <v>5375</v>
      </c>
      <c r="E32848" t="s">
        <v>8199</v>
      </c>
      <c r="F32848" t="s">
        <v>13789</v>
      </c>
      <c r="G32848" t="s">
        <v>17842</v>
      </c>
      <c r="H32848" t="s">
        <v>31867</v>
      </c>
    </row>
    <row r="32849" spans="1:8">
      <c r="A32849" t="s">
        <v>2470</v>
      </c>
      <c r="B32849">
        <f>HYPERLINK("https://android.googlesource.com/platform/cts/+/b7cd7c8bf04c5753028196790f35e3ac2d3480c9", "b7cd7c8bf04c5753028196790f35e3ac2d3480c9")</f>
        <v>0</v>
      </c>
      <c r="C32849">
        <f>HYPERLINK("https://android.googlesource.com/platform/cts/+/f160a5db69338148d798f10bd0b40d087e661613", "f160a5db69338148d798f10bd0b40d087e661613")</f>
        <v>0</v>
      </c>
      <c r="D32849" t="s">
        <v>5117</v>
      </c>
      <c r="E32849" t="s">
        <v>8200</v>
      </c>
      <c r="F32849" t="s">
        <v>13855</v>
      </c>
      <c r="G32849" t="s">
        <v>17897</v>
      </c>
      <c r="H32849" t="s">
        <v>31868</v>
      </c>
    </row>
    <row r="32850" spans="1:8">
      <c r="A32850" t="s">
        <v>2471</v>
      </c>
      <c r="B32850">
        <f>HYPERLINK("https://android.googlesource.com/platform/cts/+/51ca6c2113f8e64921ac108b19b862799891b3fa", "51ca6c2113f8e64921ac108b19b862799891b3fa")</f>
        <v>0</v>
      </c>
      <c r="C32850">
        <f>HYPERLINK("https://android.googlesource.com/platform/cts/+/f160a5db69338148d798f10bd0b40d087e661613", "f160a5db69338148d798f10bd0b40d087e661613")</f>
        <v>0</v>
      </c>
      <c r="D32850" t="s">
        <v>5084</v>
      </c>
      <c r="E32850" t="s">
        <v>8201</v>
      </c>
      <c r="F32850" t="s">
        <v>13739</v>
      </c>
      <c r="G32850" t="s">
        <v>17799</v>
      </c>
      <c r="H32850" t="s">
        <v>31869</v>
      </c>
    </row>
    <row r="32851" spans="1:8">
      <c r="H32851" t="s">
        <v>31870</v>
      </c>
    </row>
    <row r="32852" spans="1:8">
      <c r="H32852" t="s">
        <v>31871</v>
      </c>
    </row>
    <row r="32853" spans="1:8">
      <c r="H32853" t="s">
        <v>31872</v>
      </c>
    </row>
    <row r="32854" spans="1:8">
      <c r="H32854" t="s">
        <v>31873</v>
      </c>
    </row>
    <row r="32855" spans="1:8">
      <c r="H32855" t="s">
        <v>31874</v>
      </c>
    </row>
    <row r="32856" spans="1:8">
      <c r="F32856" t="s">
        <v>13856</v>
      </c>
      <c r="G32856" t="s">
        <v>17898</v>
      </c>
      <c r="H32856" t="s">
        <v>31401</v>
      </c>
    </row>
    <row r="32857" spans="1:8">
      <c r="H32857" t="s">
        <v>31875</v>
      </c>
    </row>
    <row r="32858" spans="1:8">
      <c r="H32858" t="s">
        <v>31403</v>
      </c>
    </row>
    <row r="32859" spans="1:8">
      <c r="H32859" t="s">
        <v>27195</v>
      </c>
    </row>
    <row r="32860" spans="1:8">
      <c r="H32860" t="s">
        <v>25704</v>
      </c>
    </row>
    <row r="32861" spans="1:8">
      <c r="H32861" t="s">
        <v>31404</v>
      </c>
    </row>
    <row r="32862" spans="1:8">
      <c r="H32862" t="s">
        <v>31405</v>
      </c>
    </row>
    <row r="32863" spans="1:8">
      <c r="H32863" t="s">
        <v>31406</v>
      </c>
    </row>
    <row r="32864" spans="1:8">
      <c r="H32864" t="s">
        <v>31407</v>
      </c>
    </row>
    <row r="32865" spans="1:8">
      <c r="H32865" t="s">
        <v>31408</v>
      </c>
    </row>
    <row r="32866" spans="1:8">
      <c r="A32866" t="s">
        <v>2472</v>
      </c>
      <c r="B32866">
        <f>HYPERLINK("https://android.googlesource.com/platform/cts/+/a61dd05c28f52b88ceeea819d8cd0f99d43bec07", "a61dd05c28f52b88ceeea819d8cd0f99d43bec07")</f>
        <v>0</v>
      </c>
      <c r="C32866">
        <f>HYPERLINK("https://android.googlesource.com/platform/cts/+/da9f5a440228365ef614e07044d7292d8edf8eee", "da9f5a440228365ef614e07044d7292d8edf8eee")</f>
        <v>0</v>
      </c>
      <c r="D32866" t="s">
        <v>5401</v>
      </c>
      <c r="E32866" t="s">
        <v>8202</v>
      </c>
      <c r="F32866" t="s">
        <v>13857</v>
      </c>
      <c r="G32866" t="s">
        <v>17899</v>
      </c>
      <c r="H32866" t="s">
        <v>31876</v>
      </c>
    </row>
    <row r="32867" spans="1:8">
      <c r="A32867" t="s">
        <v>2473</v>
      </c>
      <c r="B32867">
        <f>HYPERLINK("https://android.googlesource.com/platform/cts/+/9808ee8a72f59bfb258ce9cbc7bdc0f8e40297d0", "9808ee8a72f59bfb258ce9cbc7bdc0f8e40297d0")</f>
        <v>0</v>
      </c>
      <c r="C32867">
        <f>HYPERLINK("https://android.googlesource.com/platform/cts/+/498adeb5ad1686b85916abfb36ec90aadd41e1a3", "498adeb5ad1686b85916abfb36ec90aadd41e1a3")</f>
        <v>0</v>
      </c>
      <c r="D32867" t="s">
        <v>5307</v>
      </c>
      <c r="E32867" t="s">
        <v>8203</v>
      </c>
      <c r="F32867" t="s">
        <v>13773</v>
      </c>
      <c r="G32867" t="s">
        <v>17828</v>
      </c>
      <c r="H32867" t="s">
        <v>31877</v>
      </c>
    </row>
    <row r="32868" spans="1:8">
      <c r="A32868" t="s">
        <v>2474</v>
      </c>
      <c r="B32868">
        <f>HYPERLINK("https://android.googlesource.com/platform/cts/+/cf3185badfb6618311b7ddf2676670a4a01f7bd7", "cf3185badfb6618311b7ddf2676670a4a01f7bd7")</f>
        <v>0</v>
      </c>
      <c r="C32868">
        <f>HYPERLINK("https://android.googlesource.com/platform/cts/+/5ba191c27cf50d56cd9d61144ec2b16c6fc7f483", "5ba191c27cf50d56cd9d61144ec2b16c6fc7f483")</f>
        <v>0</v>
      </c>
      <c r="D32868" t="s">
        <v>5027</v>
      </c>
      <c r="E32868" t="s">
        <v>8204</v>
      </c>
      <c r="F32868" t="s">
        <v>13505</v>
      </c>
      <c r="G32868" t="s">
        <v>17622</v>
      </c>
      <c r="H32868" t="s">
        <v>30141</v>
      </c>
    </row>
    <row r="32869" spans="1:8">
      <c r="H32869" t="s">
        <v>31309</v>
      </c>
    </row>
    <row r="32870" spans="1:8">
      <c r="H32870" t="s">
        <v>30148</v>
      </c>
    </row>
    <row r="32871" spans="1:8">
      <c r="H32871" t="s">
        <v>30149</v>
      </c>
    </row>
    <row r="32872" spans="1:8">
      <c r="H32872" t="s">
        <v>30150</v>
      </c>
    </row>
    <row r="32873" spans="1:8">
      <c r="H32873" t="s">
        <v>30151</v>
      </c>
    </row>
    <row r="32874" spans="1:8">
      <c r="H32874" t="s">
        <v>30152</v>
      </c>
    </row>
    <row r="32875" spans="1:8">
      <c r="H32875" t="s">
        <v>30153</v>
      </c>
    </row>
    <row r="32876" spans="1:8">
      <c r="H32876" t="s">
        <v>29023</v>
      </c>
    </row>
    <row r="32877" spans="1:8">
      <c r="H32877" t="s">
        <v>30154</v>
      </c>
    </row>
    <row r="32878" spans="1:8">
      <c r="H32878" t="s">
        <v>30155</v>
      </c>
    </row>
    <row r="32879" spans="1:8">
      <c r="H32879" t="s">
        <v>30156</v>
      </c>
    </row>
    <row r="32880" spans="1:8">
      <c r="H32880" t="s">
        <v>30157</v>
      </c>
    </row>
    <row r="32881" spans="8:8">
      <c r="H32881" t="s">
        <v>30158</v>
      </c>
    </row>
    <row r="32882" spans="8:8">
      <c r="H32882" t="s">
        <v>30159</v>
      </c>
    </row>
    <row r="32883" spans="8:8">
      <c r="H32883" t="s">
        <v>26316</v>
      </c>
    </row>
    <row r="32884" spans="8:8">
      <c r="H32884" t="s">
        <v>21462</v>
      </c>
    </row>
    <row r="32885" spans="8:8">
      <c r="H32885" t="s">
        <v>28864</v>
      </c>
    </row>
    <row r="32886" spans="8:8">
      <c r="H32886" t="s">
        <v>26391</v>
      </c>
    </row>
    <row r="32887" spans="8:8">
      <c r="H32887" t="s">
        <v>30162</v>
      </c>
    </row>
    <row r="32888" spans="8:8">
      <c r="H32888" t="s">
        <v>30163</v>
      </c>
    </row>
    <row r="32889" spans="8:8">
      <c r="H32889" t="s">
        <v>30164</v>
      </c>
    </row>
    <row r="32890" spans="8:8">
      <c r="H32890" t="s">
        <v>31310</v>
      </c>
    </row>
    <row r="32891" spans="8:8">
      <c r="H32891" t="s">
        <v>31311</v>
      </c>
    </row>
    <row r="32892" spans="8:8">
      <c r="H32892" t="s">
        <v>31312</v>
      </c>
    </row>
    <row r="32893" spans="8:8">
      <c r="H32893" t="s">
        <v>31313</v>
      </c>
    </row>
    <row r="32894" spans="8:8">
      <c r="H32894" t="s">
        <v>31314</v>
      </c>
    </row>
    <row r="32895" spans="8:8">
      <c r="H32895" t="s">
        <v>20177</v>
      </c>
    </row>
    <row r="32896" spans="8:8">
      <c r="H32896" t="s">
        <v>31315</v>
      </c>
    </row>
    <row r="32897" spans="6:8">
      <c r="H32897" t="s">
        <v>31316</v>
      </c>
    </row>
    <row r="32898" spans="6:8">
      <c r="H32898" t="s">
        <v>31317</v>
      </c>
    </row>
    <row r="32899" spans="6:8">
      <c r="H32899" t="s">
        <v>29034</v>
      </c>
    </row>
    <row r="32900" spans="6:8">
      <c r="H32900" t="s">
        <v>29033</v>
      </c>
    </row>
    <row r="32901" spans="6:8">
      <c r="H32901" t="s">
        <v>30142</v>
      </c>
    </row>
    <row r="32902" spans="6:8">
      <c r="H32902" t="s">
        <v>30143</v>
      </c>
    </row>
    <row r="32903" spans="6:8">
      <c r="H32903" t="s">
        <v>30145</v>
      </c>
    </row>
    <row r="32904" spans="6:8">
      <c r="H32904" t="s">
        <v>30146</v>
      </c>
    </row>
    <row r="32905" spans="6:8">
      <c r="H32905" t="s">
        <v>30147</v>
      </c>
    </row>
    <row r="32906" spans="6:8">
      <c r="H32906" t="s">
        <v>30144</v>
      </c>
    </row>
    <row r="32907" spans="6:8">
      <c r="H32907" t="s">
        <v>30165</v>
      </c>
    </row>
    <row r="32908" spans="6:8">
      <c r="H32908" t="s">
        <v>30166</v>
      </c>
    </row>
    <row r="32909" spans="6:8">
      <c r="F32909" t="s">
        <v>13506</v>
      </c>
      <c r="G32909" t="s">
        <v>17623</v>
      </c>
      <c r="H32909" t="s">
        <v>18829</v>
      </c>
    </row>
    <row r="32910" spans="6:8">
      <c r="H32910" t="s">
        <v>19982</v>
      </c>
    </row>
    <row r="32911" spans="6:8">
      <c r="H32911" t="s">
        <v>31336</v>
      </c>
    </row>
    <row r="32912" spans="6:8">
      <c r="H32912" t="s">
        <v>30167</v>
      </c>
    </row>
    <row r="32913" spans="8:8">
      <c r="H32913" t="s">
        <v>30168</v>
      </c>
    </row>
    <row r="32914" spans="8:8">
      <c r="H32914" t="s">
        <v>30171</v>
      </c>
    </row>
    <row r="32915" spans="8:8">
      <c r="H32915" t="s">
        <v>30172</v>
      </c>
    </row>
    <row r="32916" spans="8:8">
      <c r="H32916" t="s">
        <v>30173</v>
      </c>
    </row>
    <row r="32917" spans="8:8">
      <c r="H32917" t="s">
        <v>30174</v>
      </c>
    </row>
    <row r="32918" spans="8:8">
      <c r="H32918" t="s">
        <v>30175</v>
      </c>
    </row>
    <row r="32919" spans="8:8">
      <c r="H32919" t="s">
        <v>31337</v>
      </c>
    </row>
    <row r="32920" spans="8:8">
      <c r="H32920" t="s">
        <v>30176</v>
      </c>
    </row>
    <row r="32921" spans="8:8">
      <c r="H32921" t="s">
        <v>30216</v>
      </c>
    </row>
    <row r="32922" spans="8:8">
      <c r="H32922" t="s">
        <v>31338</v>
      </c>
    </row>
    <row r="32923" spans="8:8">
      <c r="H32923" t="s">
        <v>31339</v>
      </c>
    </row>
    <row r="32924" spans="8:8">
      <c r="H32924" t="s">
        <v>31340</v>
      </c>
    </row>
    <row r="32925" spans="8:8">
      <c r="H32925" t="s">
        <v>31341</v>
      </c>
    </row>
    <row r="32926" spans="8:8">
      <c r="H32926" t="s">
        <v>31342</v>
      </c>
    </row>
    <row r="32927" spans="8:8">
      <c r="H32927" t="s">
        <v>31343</v>
      </c>
    </row>
    <row r="32928" spans="8:8">
      <c r="H32928" t="s">
        <v>31344</v>
      </c>
    </row>
    <row r="32929" spans="8:8">
      <c r="H32929" t="s">
        <v>31345</v>
      </c>
    </row>
    <row r="32930" spans="8:8">
      <c r="H32930" t="s">
        <v>31346</v>
      </c>
    </row>
    <row r="32931" spans="8:8">
      <c r="H32931" t="s">
        <v>31347</v>
      </c>
    </row>
    <row r="32932" spans="8:8">
      <c r="H32932" t="s">
        <v>31348</v>
      </c>
    </row>
    <row r="32933" spans="8:8">
      <c r="H32933" t="s">
        <v>31349</v>
      </c>
    </row>
    <row r="32934" spans="8:8">
      <c r="H32934" t="s">
        <v>31350</v>
      </c>
    </row>
    <row r="32935" spans="8:8">
      <c r="H32935" t="s">
        <v>31351</v>
      </c>
    </row>
    <row r="32936" spans="8:8">
      <c r="H32936" t="s">
        <v>30178</v>
      </c>
    </row>
    <row r="32937" spans="8:8">
      <c r="H32937" t="s">
        <v>30179</v>
      </c>
    </row>
    <row r="32938" spans="8:8">
      <c r="H32938" t="s">
        <v>30180</v>
      </c>
    </row>
    <row r="32939" spans="8:8">
      <c r="H32939" t="s">
        <v>30182</v>
      </c>
    </row>
    <row r="32940" spans="8:8">
      <c r="H32940" t="s">
        <v>30183</v>
      </c>
    </row>
    <row r="32941" spans="8:8">
      <c r="H32941" t="s">
        <v>30184</v>
      </c>
    </row>
    <row r="32942" spans="8:8">
      <c r="H32942" t="s">
        <v>30185</v>
      </c>
    </row>
    <row r="32943" spans="8:8">
      <c r="H32943" t="s">
        <v>30186</v>
      </c>
    </row>
    <row r="32944" spans="8:8">
      <c r="H32944" t="s">
        <v>30187</v>
      </c>
    </row>
    <row r="32945" spans="8:8">
      <c r="H32945" t="s">
        <v>30188</v>
      </c>
    </row>
    <row r="32946" spans="8:8">
      <c r="H32946" t="s">
        <v>30189</v>
      </c>
    </row>
    <row r="32947" spans="8:8">
      <c r="H32947" t="s">
        <v>30190</v>
      </c>
    </row>
    <row r="32948" spans="8:8">
      <c r="H32948" t="s">
        <v>30191</v>
      </c>
    </row>
    <row r="32949" spans="8:8">
      <c r="H32949" t="s">
        <v>30192</v>
      </c>
    </row>
    <row r="32950" spans="8:8">
      <c r="H32950" t="s">
        <v>30193</v>
      </c>
    </row>
    <row r="32951" spans="8:8">
      <c r="H32951" t="s">
        <v>30194</v>
      </c>
    </row>
    <row r="32952" spans="8:8">
      <c r="H32952" t="s">
        <v>30195</v>
      </c>
    </row>
    <row r="32953" spans="8:8">
      <c r="H32953" t="s">
        <v>30196</v>
      </c>
    </row>
    <row r="32954" spans="8:8">
      <c r="H32954" t="s">
        <v>30198</v>
      </c>
    </row>
    <row r="32955" spans="8:8">
      <c r="H32955" t="s">
        <v>30199</v>
      </c>
    </row>
    <row r="32956" spans="8:8">
      <c r="H32956" t="s">
        <v>30200</v>
      </c>
    </row>
    <row r="32957" spans="8:8">
      <c r="H32957" t="s">
        <v>30201</v>
      </c>
    </row>
    <row r="32958" spans="8:8">
      <c r="H32958" t="s">
        <v>30202</v>
      </c>
    </row>
    <row r="32959" spans="8:8">
      <c r="H32959" t="s">
        <v>30203</v>
      </c>
    </row>
    <row r="32960" spans="8:8">
      <c r="H32960" t="s">
        <v>30204</v>
      </c>
    </row>
    <row r="32961" spans="6:8">
      <c r="H32961" t="s">
        <v>30205</v>
      </c>
    </row>
    <row r="32962" spans="6:8">
      <c r="H32962" t="s">
        <v>30206</v>
      </c>
    </row>
    <row r="32963" spans="6:8">
      <c r="H32963" t="s">
        <v>30207</v>
      </c>
    </row>
    <row r="32964" spans="6:8">
      <c r="H32964" t="s">
        <v>30208</v>
      </c>
    </row>
    <row r="32965" spans="6:8">
      <c r="H32965" t="s">
        <v>30209</v>
      </c>
    </row>
    <row r="32966" spans="6:8">
      <c r="H32966" t="s">
        <v>30210</v>
      </c>
    </row>
    <row r="32967" spans="6:8">
      <c r="H32967" t="s">
        <v>30211</v>
      </c>
    </row>
    <row r="32968" spans="6:8">
      <c r="H32968" t="s">
        <v>30212</v>
      </c>
    </row>
    <row r="32969" spans="6:8">
      <c r="H32969" t="s">
        <v>30213</v>
      </c>
    </row>
    <row r="32970" spans="6:8">
      <c r="F32970" t="s">
        <v>13507</v>
      </c>
      <c r="G32970" t="s">
        <v>17624</v>
      </c>
      <c r="H32970" t="s">
        <v>30030</v>
      </c>
    </row>
    <row r="32971" spans="6:8">
      <c r="F32971" t="s">
        <v>13508</v>
      </c>
      <c r="G32971" t="s">
        <v>17625</v>
      </c>
      <c r="H32971" t="s">
        <v>18829</v>
      </c>
    </row>
    <row r="32972" spans="6:8">
      <c r="H32972" t="s">
        <v>19982</v>
      </c>
    </row>
    <row r="32973" spans="6:8">
      <c r="H32973" t="s">
        <v>30030</v>
      </c>
    </row>
    <row r="32974" spans="6:8">
      <c r="H32974" t="s">
        <v>31352</v>
      </c>
    </row>
    <row r="32975" spans="6:8">
      <c r="H32975" t="s">
        <v>31353</v>
      </c>
    </row>
    <row r="32976" spans="6:8">
      <c r="H32976" t="s">
        <v>31354</v>
      </c>
    </row>
    <row r="32977" spans="8:8">
      <c r="H32977" t="s">
        <v>31355</v>
      </c>
    </row>
    <row r="32978" spans="8:8">
      <c r="H32978" t="s">
        <v>31356</v>
      </c>
    </row>
    <row r="32979" spans="8:8">
      <c r="H32979" t="s">
        <v>30215</v>
      </c>
    </row>
    <row r="32980" spans="8:8">
      <c r="H32980" t="s">
        <v>30167</v>
      </c>
    </row>
    <row r="32981" spans="8:8">
      <c r="H32981" t="s">
        <v>30168</v>
      </c>
    </row>
    <row r="32982" spans="8:8">
      <c r="H32982" t="s">
        <v>30171</v>
      </c>
    </row>
    <row r="32983" spans="8:8">
      <c r="H32983" t="s">
        <v>31345</v>
      </c>
    </row>
    <row r="32984" spans="8:8">
      <c r="H32984" t="s">
        <v>31346</v>
      </c>
    </row>
    <row r="32985" spans="8:8">
      <c r="H32985" t="s">
        <v>31347</v>
      </c>
    </row>
    <row r="32986" spans="8:8">
      <c r="H32986" t="s">
        <v>31357</v>
      </c>
    </row>
    <row r="32987" spans="8:8">
      <c r="H32987" t="s">
        <v>31358</v>
      </c>
    </row>
    <row r="32988" spans="8:8">
      <c r="H32988" t="s">
        <v>31359</v>
      </c>
    </row>
    <row r="32989" spans="8:8">
      <c r="H32989" t="s">
        <v>30216</v>
      </c>
    </row>
    <row r="32990" spans="8:8">
      <c r="H32990" t="s">
        <v>31338</v>
      </c>
    </row>
    <row r="32991" spans="8:8">
      <c r="H32991" t="s">
        <v>31339</v>
      </c>
    </row>
    <row r="32992" spans="8:8">
      <c r="H32992" t="s">
        <v>31340</v>
      </c>
    </row>
    <row r="32993" spans="8:8">
      <c r="H32993" t="s">
        <v>31360</v>
      </c>
    </row>
    <row r="32994" spans="8:8">
      <c r="H32994" t="s">
        <v>31342</v>
      </c>
    </row>
    <row r="32995" spans="8:8">
      <c r="H32995" t="s">
        <v>31343</v>
      </c>
    </row>
    <row r="32996" spans="8:8">
      <c r="H32996" t="s">
        <v>31344</v>
      </c>
    </row>
    <row r="32997" spans="8:8">
      <c r="H32997" t="s">
        <v>31348</v>
      </c>
    </row>
    <row r="32998" spans="8:8">
      <c r="H32998" t="s">
        <v>31349</v>
      </c>
    </row>
    <row r="32999" spans="8:8">
      <c r="H32999" t="s">
        <v>31350</v>
      </c>
    </row>
    <row r="33000" spans="8:8">
      <c r="H33000" t="s">
        <v>31351</v>
      </c>
    </row>
    <row r="33001" spans="8:8">
      <c r="H33001" t="s">
        <v>30219</v>
      </c>
    </row>
    <row r="33002" spans="8:8">
      <c r="H33002" t="s">
        <v>30220</v>
      </c>
    </row>
    <row r="33003" spans="8:8">
      <c r="H33003" t="s">
        <v>31361</v>
      </c>
    </row>
    <row r="33004" spans="8:8">
      <c r="H33004" t="s">
        <v>30222</v>
      </c>
    </row>
    <row r="33005" spans="8:8">
      <c r="H33005" t="s">
        <v>30223</v>
      </c>
    </row>
    <row r="33006" spans="8:8">
      <c r="H33006" t="s">
        <v>31362</v>
      </c>
    </row>
    <row r="33007" spans="8:8">
      <c r="H33007" t="s">
        <v>30224</v>
      </c>
    </row>
    <row r="33008" spans="8:8">
      <c r="H33008" t="s">
        <v>31363</v>
      </c>
    </row>
    <row r="33009" spans="6:8">
      <c r="H33009" t="s">
        <v>30225</v>
      </c>
    </row>
    <row r="33010" spans="6:8">
      <c r="H33010" t="s">
        <v>31364</v>
      </c>
    </row>
    <row r="33011" spans="6:8">
      <c r="H33011" t="s">
        <v>30226</v>
      </c>
    </row>
    <row r="33012" spans="6:8">
      <c r="H33012" t="s">
        <v>26314</v>
      </c>
    </row>
    <row r="33013" spans="6:8">
      <c r="H33013" t="s">
        <v>30229</v>
      </c>
    </row>
    <row r="33014" spans="6:8">
      <c r="H33014" t="s">
        <v>30230</v>
      </c>
    </row>
    <row r="33015" spans="6:8">
      <c r="F33015" t="s">
        <v>13526</v>
      </c>
      <c r="G33015" t="s">
        <v>17641</v>
      </c>
      <c r="H33015" t="s">
        <v>18829</v>
      </c>
    </row>
    <row r="33016" spans="6:8">
      <c r="H33016" t="s">
        <v>19982</v>
      </c>
    </row>
    <row r="33017" spans="6:8">
      <c r="H33017" t="s">
        <v>31365</v>
      </c>
    </row>
    <row r="33018" spans="6:8">
      <c r="H33018" t="s">
        <v>31366</v>
      </c>
    </row>
    <row r="33019" spans="6:8">
      <c r="H33019" t="s">
        <v>31367</v>
      </c>
    </row>
    <row r="33020" spans="6:8">
      <c r="H33020" t="s">
        <v>31368</v>
      </c>
    </row>
    <row r="33021" spans="6:8">
      <c r="H33021" t="s">
        <v>30167</v>
      </c>
    </row>
    <row r="33022" spans="6:8">
      <c r="H33022" t="s">
        <v>30168</v>
      </c>
    </row>
    <row r="33023" spans="6:8">
      <c r="H33023" t="s">
        <v>30171</v>
      </c>
    </row>
    <row r="33024" spans="6:8">
      <c r="H33024" t="s">
        <v>30173</v>
      </c>
    </row>
    <row r="33025" spans="8:8">
      <c r="H33025" t="s">
        <v>30174</v>
      </c>
    </row>
    <row r="33026" spans="8:8">
      <c r="H33026" t="s">
        <v>30175</v>
      </c>
    </row>
    <row r="33027" spans="8:8">
      <c r="H33027" t="s">
        <v>30170</v>
      </c>
    </row>
    <row r="33028" spans="8:8">
      <c r="H33028" t="s">
        <v>30169</v>
      </c>
    </row>
    <row r="33029" spans="8:8">
      <c r="H33029" t="s">
        <v>31347</v>
      </c>
    </row>
    <row r="33030" spans="8:8">
      <c r="H33030" t="s">
        <v>30216</v>
      </c>
    </row>
    <row r="33031" spans="8:8">
      <c r="H33031" t="s">
        <v>31339</v>
      </c>
    </row>
    <row r="33032" spans="8:8">
      <c r="H33032" t="s">
        <v>31342</v>
      </c>
    </row>
    <row r="33033" spans="8:8">
      <c r="H33033" t="s">
        <v>31343</v>
      </c>
    </row>
    <row r="33034" spans="8:8">
      <c r="H33034" t="s">
        <v>31344</v>
      </c>
    </row>
    <row r="33035" spans="8:8">
      <c r="H33035" t="s">
        <v>31369</v>
      </c>
    </row>
    <row r="33036" spans="8:8">
      <c r="H33036" t="s">
        <v>30189</v>
      </c>
    </row>
    <row r="33037" spans="8:8">
      <c r="H33037" t="s">
        <v>30188</v>
      </c>
    </row>
    <row r="33038" spans="8:8">
      <c r="H33038" t="s">
        <v>30187</v>
      </c>
    </row>
    <row r="33039" spans="8:8">
      <c r="H33039" t="s">
        <v>30192</v>
      </c>
    </row>
    <row r="33040" spans="8:8">
      <c r="H33040" t="s">
        <v>30191</v>
      </c>
    </row>
    <row r="33041" spans="6:8">
      <c r="H33041" t="s">
        <v>30190</v>
      </c>
    </row>
    <row r="33042" spans="6:8">
      <c r="H33042" t="s">
        <v>31370</v>
      </c>
    </row>
    <row r="33043" spans="6:8">
      <c r="H33043" t="s">
        <v>30226</v>
      </c>
    </row>
    <row r="33044" spans="6:8">
      <c r="H33044" t="s">
        <v>31371</v>
      </c>
    </row>
    <row r="33045" spans="6:8">
      <c r="H33045" t="s">
        <v>18893</v>
      </c>
    </row>
    <row r="33046" spans="6:8">
      <c r="H33046" t="s">
        <v>30229</v>
      </c>
    </row>
    <row r="33047" spans="6:8">
      <c r="H33047" t="s">
        <v>31372</v>
      </c>
    </row>
    <row r="33048" spans="6:8">
      <c r="H33048" t="s">
        <v>31373</v>
      </c>
    </row>
    <row r="33049" spans="6:8">
      <c r="H33049" t="s">
        <v>31374</v>
      </c>
    </row>
    <row r="33050" spans="6:8">
      <c r="H33050" t="s">
        <v>31375</v>
      </c>
    </row>
    <row r="33051" spans="6:8">
      <c r="H33051" t="s">
        <v>31376</v>
      </c>
    </row>
    <row r="33052" spans="6:8">
      <c r="H33052" t="s">
        <v>31377</v>
      </c>
    </row>
    <row r="33053" spans="6:8">
      <c r="H33053" t="s">
        <v>31310</v>
      </c>
    </row>
    <row r="33054" spans="6:8">
      <c r="F33054" t="s">
        <v>13524</v>
      </c>
      <c r="G33054" t="s">
        <v>17639</v>
      </c>
      <c r="H33054" t="s">
        <v>18829</v>
      </c>
    </row>
    <row r="33055" spans="6:8">
      <c r="H33055" t="s">
        <v>19982</v>
      </c>
    </row>
    <row r="33056" spans="6:8">
      <c r="H33056" t="s">
        <v>31318</v>
      </c>
    </row>
    <row r="33057" spans="6:8">
      <c r="H33057" t="s">
        <v>31319</v>
      </c>
    </row>
    <row r="33058" spans="6:8">
      <c r="H33058" t="s">
        <v>31320</v>
      </c>
    </row>
    <row r="33059" spans="6:8">
      <c r="H33059" t="s">
        <v>31321</v>
      </c>
    </row>
    <row r="33060" spans="6:8">
      <c r="H33060" t="s">
        <v>31322</v>
      </c>
    </row>
    <row r="33061" spans="6:8">
      <c r="H33061" t="s">
        <v>31323</v>
      </c>
    </row>
    <row r="33062" spans="6:8">
      <c r="H33062" t="s">
        <v>31324</v>
      </c>
    </row>
    <row r="33063" spans="6:8">
      <c r="H33063" t="s">
        <v>18893</v>
      </c>
    </row>
    <row r="33064" spans="6:8">
      <c r="H33064" t="s">
        <v>28391</v>
      </c>
    </row>
    <row r="33065" spans="6:8">
      <c r="H33065" t="s">
        <v>31325</v>
      </c>
    </row>
    <row r="33066" spans="6:8">
      <c r="H33066" t="s">
        <v>31326</v>
      </c>
    </row>
    <row r="33067" spans="6:8">
      <c r="F33067" t="s">
        <v>13509</v>
      </c>
      <c r="G33067" t="s">
        <v>17626</v>
      </c>
      <c r="H33067" t="s">
        <v>18829</v>
      </c>
    </row>
    <row r="33068" spans="6:8">
      <c r="H33068" t="s">
        <v>30231</v>
      </c>
    </row>
    <row r="33069" spans="6:8">
      <c r="H33069" t="s">
        <v>30232</v>
      </c>
    </row>
    <row r="33070" spans="6:8">
      <c r="F33070" t="s">
        <v>13522</v>
      </c>
      <c r="G33070" t="s">
        <v>17637</v>
      </c>
      <c r="H33070" t="s">
        <v>31378</v>
      </c>
    </row>
    <row r="33071" spans="6:8">
      <c r="H33071" t="s">
        <v>31379</v>
      </c>
    </row>
    <row r="33072" spans="6:8">
      <c r="H33072" t="s">
        <v>19928</v>
      </c>
    </row>
    <row r="33073" spans="6:8">
      <c r="H33073" t="s">
        <v>30238</v>
      </c>
    </row>
    <row r="33074" spans="6:8">
      <c r="H33074" t="s">
        <v>27403</v>
      </c>
    </row>
    <row r="33075" spans="6:8">
      <c r="H33075" t="s">
        <v>31327</v>
      </c>
    </row>
    <row r="33076" spans="6:8">
      <c r="H33076" t="s">
        <v>31380</v>
      </c>
    </row>
    <row r="33077" spans="6:8">
      <c r="H33077" t="s">
        <v>31381</v>
      </c>
    </row>
    <row r="33078" spans="6:8">
      <c r="H33078" t="s">
        <v>30241</v>
      </c>
    </row>
    <row r="33079" spans="6:8">
      <c r="H33079" t="s">
        <v>30242</v>
      </c>
    </row>
    <row r="33080" spans="6:8">
      <c r="H33080" t="s">
        <v>19982</v>
      </c>
    </row>
    <row r="33081" spans="6:8">
      <c r="F33081" t="s">
        <v>13532</v>
      </c>
      <c r="G33081" t="s">
        <v>16863</v>
      </c>
      <c r="H33081" t="s">
        <v>31328</v>
      </c>
    </row>
    <row r="33082" spans="6:8">
      <c r="H33082" t="s">
        <v>31382</v>
      </c>
    </row>
    <row r="33083" spans="6:8">
      <c r="H33083" t="s">
        <v>31383</v>
      </c>
    </row>
    <row r="33084" spans="6:8">
      <c r="H33084" t="s">
        <v>31384</v>
      </c>
    </row>
    <row r="33085" spans="6:8">
      <c r="H33085" t="s">
        <v>31385</v>
      </c>
    </row>
    <row r="33086" spans="6:8">
      <c r="H33086" t="s">
        <v>31386</v>
      </c>
    </row>
    <row r="33087" spans="6:8">
      <c r="F33087" t="s">
        <v>13733</v>
      </c>
      <c r="G33087" t="s">
        <v>17794</v>
      </c>
      <c r="H33087" t="s">
        <v>19981</v>
      </c>
    </row>
    <row r="33088" spans="6:8">
      <c r="H33088" t="s">
        <v>18863</v>
      </c>
    </row>
    <row r="33089" spans="1:8">
      <c r="H33089" t="s">
        <v>22650</v>
      </c>
    </row>
    <row r="33090" spans="1:8">
      <c r="H33090" t="s">
        <v>31299</v>
      </c>
    </row>
    <row r="33091" spans="1:8">
      <c r="H33091" t="s">
        <v>18836</v>
      </c>
    </row>
    <row r="33092" spans="1:8">
      <c r="H33092" t="s">
        <v>31300</v>
      </c>
    </row>
    <row r="33093" spans="1:8">
      <c r="H33093" t="s">
        <v>31301</v>
      </c>
    </row>
    <row r="33094" spans="1:8">
      <c r="A33094" t="s">
        <v>2475</v>
      </c>
      <c r="B33094">
        <f>HYPERLINK("https://android.googlesource.com/platform/cts/+/ad030386f8d6cfaa6e259ae7699292400fd0d124", "ad030386f8d6cfaa6e259ae7699292400fd0d124")</f>
        <v>0</v>
      </c>
      <c r="C33094">
        <f>HYPERLINK("https://android.googlesource.com/platform/cts/+/625ece977bb0e6f56570bbcd2f873cba5574fcac", "625ece977bb0e6f56570bbcd2f873cba5574fcac")</f>
        <v>0</v>
      </c>
      <c r="D33094" t="s">
        <v>5359</v>
      </c>
      <c r="E33094" t="s">
        <v>8205</v>
      </c>
      <c r="F33094" t="s">
        <v>13858</v>
      </c>
      <c r="G33094" t="s">
        <v>17900</v>
      </c>
      <c r="H33094" t="s">
        <v>31878</v>
      </c>
    </row>
    <row r="33095" spans="1:8">
      <c r="A33095" t="s">
        <v>2476</v>
      </c>
      <c r="B33095">
        <f>HYPERLINK("https://android.googlesource.com/platform/cts/+/e70034412793280dfa853d42acec8c7cb328eedf", "e70034412793280dfa853d42acec8c7cb328eedf")</f>
        <v>0</v>
      </c>
      <c r="C33095">
        <f>HYPERLINK("https://android.googlesource.com/platform/cts/+/f160a5db69338148d798f10bd0b40d087e661613", "f160a5db69338148d798f10bd0b40d087e661613")</f>
        <v>0</v>
      </c>
      <c r="D33095" t="s">
        <v>5134</v>
      </c>
      <c r="E33095" t="s">
        <v>8206</v>
      </c>
      <c r="F33095" t="s">
        <v>13765</v>
      </c>
      <c r="G33095" t="s">
        <v>17822</v>
      </c>
      <c r="H33095" t="s">
        <v>31879</v>
      </c>
    </row>
    <row r="33096" spans="1:8">
      <c r="A33096" t="s">
        <v>2477</v>
      </c>
      <c r="B33096">
        <f>HYPERLINK("https://android.googlesource.com/platform/cts/+/8ec82baabff55573b8baa92ba0bec6bf4439d655", "8ec82baabff55573b8baa92ba0bec6bf4439d655")</f>
        <v>0</v>
      </c>
      <c r="C33096">
        <f>HYPERLINK("https://android.googlesource.com/platform/cts/+/bc8026158798b3cd0099d1abf5391f91098e1ccf", "bc8026158798b3cd0099d1abf5391f91098e1ccf")</f>
        <v>0</v>
      </c>
      <c r="D33096" t="s">
        <v>5239</v>
      </c>
      <c r="E33096" t="s">
        <v>8207</v>
      </c>
      <c r="F33096" t="s">
        <v>13859</v>
      </c>
      <c r="G33096" t="s">
        <v>17901</v>
      </c>
      <c r="H33096" t="s">
        <v>31880</v>
      </c>
    </row>
    <row r="33097" spans="1:8">
      <c r="A33097" t="s">
        <v>2478</v>
      </c>
      <c r="B33097">
        <f>HYPERLINK("https://android.googlesource.com/platform/cts/+/9237adeb4a6000c461bcdb8c78b8cf9e65e549e4", "9237adeb4a6000c461bcdb8c78b8cf9e65e549e4")</f>
        <v>0</v>
      </c>
      <c r="C33097">
        <f>HYPERLINK("https://android.googlesource.com/platform/cts/+/8120aad04030115551af13ac20d68f2557add000", "8120aad04030115551af13ac20d68f2557add000")</f>
        <v>0</v>
      </c>
      <c r="D33097" t="s">
        <v>5247</v>
      </c>
      <c r="E33097" t="s">
        <v>8208</v>
      </c>
      <c r="F33097" t="s">
        <v>13860</v>
      </c>
      <c r="G33097" t="s">
        <v>17902</v>
      </c>
      <c r="H33097" t="s">
        <v>19010</v>
      </c>
    </row>
    <row r="33098" spans="1:8">
      <c r="A33098" t="s">
        <v>2479</v>
      </c>
      <c r="B33098">
        <f>HYPERLINK("https://android.googlesource.com/platform/cts/+/d831c0132436e1f863862c9ff7dbfa7db71ac1ef", "d831c0132436e1f863862c9ff7dbfa7db71ac1ef")</f>
        <v>0</v>
      </c>
      <c r="C33098">
        <f>HYPERLINK("https://android.googlesource.com/platform/cts/+/4d8698e8b89000b4593a3c35215d0510ff828ba6", "4d8698e8b89000b4593a3c35215d0510ff828ba6")</f>
        <v>0</v>
      </c>
      <c r="D33098" t="s">
        <v>5234</v>
      </c>
      <c r="E33098" t="s">
        <v>8209</v>
      </c>
      <c r="F33098" t="s">
        <v>13278</v>
      </c>
      <c r="G33098" t="s">
        <v>17415</v>
      </c>
      <c r="H33098" t="s">
        <v>28909</v>
      </c>
    </row>
    <row r="33099" spans="1:8">
      <c r="A33099" t="s">
        <v>2480</v>
      </c>
      <c r="B33099">
        <f>HYPERLINK("https://android.googlesource.com/platform/cts/+/1781e39fc9450de57f1c50c6383e324943e00392", "1781e39fc9450de57f1c50c6383e324943e00392")</f>
        <v>0</v>
      </c>
      <c r="C33099">
        <f>HYPERLINK("https://android.googlesource.com/platform/cts/+/8120aad04030115551af13ac20d68f2557add000", "8120aad04030115551af13ac20d68f2557add000")</f>
        <v>0</v>
      </c>
      <c r="D33099" t="s">
        <v>5247</v>
      </c>
      <c r="E33099" t="s">
        <v>8210</v>
      </c>
      <c r="F33099" t="s">
        <v>13861</v>
      </c>
      <c r="G33099" t="s">
        <v>16783</v>
      </c>
      <c r="H33099" t="s">
        <v>31881</v>
      </c>
    </row>
    <row r="33100" spans="1:8">
      <c r="A33100" t="s">
        <v>2481</v>
      </c>
      <c r="B33100">
        <f>HYPERLINK("https://android.googlesource.com/platform/cts/+/e17aa4c7c0ce302d86af83a8254e7fe037c794a6", "e17aa4c7c0ce302d86af83a8254e7fe037c794a6")</f>
        <v>0</v>
      </c>
      <c r="C33100">
        <f>HYPERLINK("https://android.googlesource.com/platform/cts/+/8120aad04030115551af13ac20d68f2557add000", "8120aad04030115551af13ac20d68f2557add000")</f>
        <v>0</v>
      </c>
      <c r="D33100" t="s">
        <v>5247</v>
      </c>
      <c r="E33100" t="s">
        <v>8211</v>
      </c>
      <c r="F33100" t="s">
        <v>13862</v>
      </c>
      <c r="G33100" t="s">
        <v>15054</v>
      </c>
      <c r="H33100" t="s">
        <v>31882</v>
      </c>
    </row>
    <row r="33101" spans="1:8">
      <c r="H33101" t="s">
        <v>31883</v>
      </c>
    </row>
    <row r="33102" spans="1:8">
      <c r="H33102" t="s">
        <v>31884</v>
      </c>
    </row>
    <row r="33103" spans="1:8">
      <c r="H33103" t="s">
        <v>31885</v>
      </c>
    </row>
    <row r="33104" spans="1:8">
      <c r="H33104" t="s">
        <v>31886</v>
      </c>
    </row>
    <row r="33105" spans="1:8">
      <c r="H33105" t="s">
        <v>31887</v>
      </c>
    </row>
    <row r="33106" spans="1:8">
      <c r="A33106" t="s">
        <v>2482</v>
      </c>
      <c r="B33106">
        <f>HYPERLINK("https://android.googlesource.com/platform/cts/+/d875dca3272cf51a2232eed89f6013b623e4c3fa", "d875dca3272cf51a2232eed89f6013b623e4c3fa")</f>
        <v>0</v>
      </c>
      <c r="C33106">
        <f>HYPERLINK("https://android.googlesource.com/platform/cts/+/6346960caa1ca2f299f7d2a9aa8ef2f8e18c1888", "6346960caa1ca2f299f7d2a9aa8ef2f8e18c1888")</f>
        <v>0</v>
      </c>
      <c r="D33106" t="s">
        <v>5040</v>
      </c>
      <c r="E33106" t="s">
        <v>8212</v>
      </c>
      <c r="F33106" t="s">
        <v>12344</v>
      </c>
      <c r="G33106" t="s">
        <v>16572</v>
      </c>
      <c r="H33106" t="s">
        <v>31888</v>
      </c>
    </row>
    <row r="33107" spans="1:8">
      <c r="A33107" t="s">
        <v>2483</v>
      </c>
      <c r="B33107">
        <f>HYPERLINK("https://android.googlesource.com/platform/cts/+/280df5333a9cb345704f9df1500de23048b15337", "280df5333a9cb345704f9df1500de23048b15337")</f>
        <v>0</v>
      </c>
      <c r="C33107">
        <f>HYPERLINK("https://android.googlesource.com/platform/cts/+/664409086608b8d04f6c5462e9a8431762a888d7", "664409086608b8d04f6c5462e9a8431762a888d7")</f>
        <v>0</v>
      </c>
      <c r="D33107" t="s">
        <v>5397</v>
      </c>
      <c r="E33107" t="s">
        <v>8213</v>
      </c>
      <c r="F33107" t="s">
        <v>13846</v>
      </c>
      <c r="G33107" t="s">
        <v>17889</v>
      </c>
      <c r="H33107" t="s">
        <v>31889</v>
      </c>
    </row>
    <row r="33108" spans="1:8">
      <c r="H33108" t="s">
        <v>31890</v>
      </c>
    </row>
    <row r="33109" spans="1:8">
      <c r="A33109" t="s">
        <v>2484</v>
      </c>
      <c r="B33109">
        <f>HYPERLINK("https://android.googlesource.com/platform/cts/+/d59841af886d4602fcaa4d1cdbff31f3a3527bd7", "d59841af886d4602fcaa4d1cdbff31f3a3527bd7")</f>
        <v>0</v>
      </c>
      <c r="C33109">
        <f>HYPERLINK("https://android.googlesource.com/platform/cts/+/da338d031a9d16a19e812460325c40b0fb802870", "da338d031a9d16a19e812460325c40b0fb802870")</f>
        <v>0</v>
      </c>
      <c r="D33109" t="s">
        <v>5350</v>
      </c>
      <c r="E33109" t="s">
        <v>8214</v>
      </c>
      <c r="F33109" t="s">
        <v>13711</v>
      </c>
      <c r="G33109" t="s">
        <v>17779</v>
      </c>
      <c r="H33109" t="s">
        <v>31891</v>
      </c>
    </row>
    <row r="33110" spans="1:8">
      <c r="A33110" t="s">
        <v>2485</v>
      </c>
      <c r="B33110">
        <f>HYPERLINK("https://android.googlesource.com/platform/cts/+/5584f6efc6f454b053f4a4ac2ecdc4be0dff15be", "5584f6efc6f454b053f4a4ac2ecdc4be0dff15be")</f>
        <v>0</v>
      </c>
      <c r="C33110">
        <f>HYPERLINK("https://android.googlesource.com/platform/cts/+/0eff16732452266be698cae749d5bd47e4997d10", "0eff16732452266be698cae749d5bd47e4997d10")</f>
        <v>0</v>
      </c>
      <c r="D33110" t="s">
        <v>5134</v>
      </c>
      <c r="E33110" t="s">
        <v>8215</v>
      </c>
      <c r="F33110" t="s">
        <v>13863</v>
      </c>
      <c r="G33110" t="s">
        <v>17903</v>
      </c>
      <c r="H33110" t="s">
        <v>31892</v>
      </c>
    </row>
    <row r="33111" spans="1:8">
      <c r="A33111" t="s">
        <v>2486</v>
      </c>
      <c r="B33111">
        <f>HYPERLINK("https://android.googlesource.com/platform/cts/+/ff6139fad4552cb84567aaf8c50589efc08a4a78", "ff6139fad4552cb84567aaf8c50589efc08a4a78")</f>
        <v>0</v>
      </c>
      <c r="C33111">
        <f>HYPERLINK("https://android.googlesource.com/platform/cts/+/163255698c0d82f1e2b6b67376085a9eacb01bf9", "163255698c0d82f1e2b6b67376085a9eacb01bf9")</f>
        <v>0</v>
      </c>
      <c r="D33111" t="s">
        <v>5366</v>
      </c>
      <c r="E33111" t="s">
        <v>8216</v>
      </c>
      <c r="F33111" t="s">
        <v>13753</v>
      </c>
      <c r="G33111" t="s">
        <v>17813</v>
      </c>
      <c r="H33111" t="s">
        <v>31893</v>
      </c>
    </row>
    <row r="33112" spans="1:8">
      <c r="A33112" t="s">
        <v>2487</v>
      </c>
      <c r="B33112">
        <f>HYPERLINK("https://android.googlesource.com/platform/cts/+/f254a057a51c7e3ca25496fd441b599526b5b3f9", "f254a057a51c7e3ca25496fd441b599526b5b3f9")</f>
        <v>0</v>
      </c>
      <c r="C33112">
        <f>HYPERLINK("https://android.googlesource.com/platform/cts/+/a6c3408430de80f61c5e7c10971266c08e32193b", "a6c3408430de80f61c5e7c10971266c08e32193b")</f>
        <v>0</v>
      </c>
      <c r="D33112" t="s">
        <v>5399</v>
      </c>
      <c r="E33112" t="s">
        <v>8217</v>
      </c>
      <c r="F33112" t="s">
        <v>13850</v>
      </c>
      <c r="G33112" t="s">
        <v>16816</v>
      </c>
      <c r="H33112" t="s">
        <v>31858</v>
      </c>
    </row>
    <row r="33113" spans="1:8">
      <c r="A33113" t="s">
        <v>2488</v>
      </c>
      <c r="B33113">
        <f>HYPERLINK("https://android.googlesource.com/platform/cts/+/4c2d2ae1919ef4ddc02cb964f9ef6a4cc1f5cbe7", "4c2d2ae1919ef4ddc02cb964f9ef6a4cc1f5cbe7")</f>
        <v>0</v>
      </c>
      <c r="C33113">
        <f>HYPERLINK("https://android.googlesource.com/platform/cts/+/3ccc176ac71fb14a9a64609d384276b886f9ae6e", "3ccc176ac71fb14a9a64609d384276b886f9ae6e")</f>
        <v>0</v>
      </c>
      <c r="D33113" t="s">
        <v>5051</v>
      </c>
      <c r="E33113" t="s">
        <v>8218</v>
      </c>
      <c r="F33113" t="s">
        <v>13864</v>
      </c>
      <c r="G33113" t="s">
        <v>17904</v>
      </c>
      <c r="H33113" t="s">
        <v>31894</v>
      </c>
    </row>
    <row r="33114" spans="1:8">
      <c r="H33114" t="s">
        <v>31895</v>
      </c>
    </row>
    <row r="33115" spans="1:8">
      <c r="H33115" t="s">
        <v>28786</v>
      </c>
    </row>
    <row r="33116" spans="1:8">
      <c r="H33116" t="s">
        <v>31896</v>
      </c>
    </row>
    <row r="33117" spans="1:8">
      <c r="H33117" t="s">
        <v>31897</v>
      </c>
    </row>
    <row r="33118" spans="1:8">
      <c r="H33118" t="s">
        <v>31898</v>
      </c>
    </row>
    <row r="33119" spans="1:8">
      <c r="A33119" t="s">
        <v>2489</v>
      </c>
      <c r="B33119">
        <f>HYPERLINK("https://android.googlesource.com/platform/cts/+/68d197d905293ed957c53eeeb8a5b6bf6ea79874", "68d197d905293ed957c53eeeb8a5b6bf6ea79874")</f>
        <v>0</v>
      </c>
      <c r="C33119">
        <f>HYPERLINK("https://android.googlesource.com/platform/cts/+/298e9fc1860f1e59b68d18eb92a061b4dbff7f30", "298e9fc1860f1e59b68d18eb92a061b4dbff7f30")</f>
        <v>0</v>
      </c>
      <c r="D33119" t="s">
        <v>5307</v>
      </c>
      <c r="E33119" t="s">
        <v>8219</v>
      </c>
      <c r="F33119" t="s">
        <v>10624</v>
      </c>
      <c r="G33119" t="s">
        <v>15027</v>
      </c>
      <c r="H33119" t="s">
        <v>31899</v>
      </c>
    </row>
    <row r="33120" spans="1:8">
      <c r="A33120" t="s">
        <v>2490</v>
      </c>
      <c r="B33120">
        <f>HYPERLINK("https://android.googlesource.com/platform/cts/+/9fd7be89f76935d526d08d34349ae0f036e54c7c", "9fd7be89f76935d526d08d34349ae0f036e54c7c")</f>
        <v>0</v>
      </c>
      <c r="C33120">
        <f>HYPERLINK("https://android.googlesource.com/platform/cts/+/5aabe5ef120a8b27405be157e865551098911c97", "5aabe5ef120a8b27405be157e865551098911c97")</f>
        <v>0</v>
      </c>
      <c r="D33120" t="s">
        <v>5402</v>
      </c>
      <c r="E33120" t="s">
        <v>7897</v>
      </c>
      <c r="F33120" t="s">
        <v>12914</v>
      </c>
      <c r="G33120" t="s">
        <v>17079</v>
      </c>
      <c r="H33120" t="s">
        <v>30969</v>
      </c>
    </row>
    <row r="33121" spans="1:8">
      <c r="H33121" t="s">
        <v>30970</v>
      </c>
    </row>
    <row r="33122" spans="1:8">
      <c r="H33122" t="s">
        <v>30971</v>
      </c>
    </row>
    <row r="33123" spans="1:8">
      <c r="A33123" t="s">
        <v>2491</v>
      </c>
      <c r="B33123">
        <f>HYPERLINK("https://android.googlesource.com/platform/cts/+/5ebfc080b1c0926a3170e516a75679c93ccf6285", "5ebfc080b1c0926a3170e516a75679c93ccf6285")</f>
        <v>0</v>
      </c>
      <c r="C33123">
        <f>HYPERLINK("https://android.googlesource.com/platform/cts/+/479c6eb64fb0d7262121a8db5d306724ed0fc09f", "479c6eb64fb0d7262121a8db5d306724ed0fc09f")</f>
        <v>0</v>
      </c>
      <c r="D33123" t="s">
        <v>5153</v>
      </c>
      <c r="E33123" t="s">
        <v>8220</v>
      </c>
      <c r="F33123" t="s">
        <v>13865</v>
      </c>
      <c r="G33123" t="s">
        <v>17905</v>
      </c>
      <c r="H33123" t="s">
        <v>31900</v>
      </c>
    </row>
    <row r="33124" spans="1:8">
      <c r="H33124" t="s">
        <v>31901</v>
      </c>
    </row>
    <row r="33125" spans="1:8">
      <c r="A33125" t="s">
        <v>2492</v>
      </c>
      <c r="B33125">
        <f>HYPERLINK("https://android.googlesource.com/platform/cts/+/d62e80d63800df84590e2926451ccc76929431e4", "d62e80d63800df84590e2926451ccc76929431e4")</f>
        <v>0</v>
      </c>
      <c r="C33125">
        <f>HYPERLINK("https://android.googlesource.com/platform/cts/+/fdaa2581410956db77b46ae969dd70df75d04c29", "fdaa2581410956db77b46ae969dd70df75d04c29")</f>
        <v>0</v>
      </c>
      <c r="D33125" t="s">
        <v>5117</v>
      </c>
      <c r="E33125" t="s">
        <v>8221</v>
      </c>
      <c r="F33125" t="s">
        <v>13866</v>
      </c>
      <c r="G33125" t="s">
        <v>17906</v>
      </c>
      <c r="H33125" t="s">
        <v>31902</v>
      </c>
    </row>
    <row r="33126" spans="1:8">
      <c r="H33126" t="s">
        <v>31903</v>
      </c>
    </row>
    <row r="33127" spans="1:8">
      <c r="H33127" t="s">
        <v>31904</v>
      </c>
    </row>
    <row r="33128" spans="1:8">
      <c r="H33128" t="s">
        <v>31905</v>
      </c>
    </row>
    <row r="33129" spans="1:8">
      <c r="H33129" t="s">
        <v>31906</v>
      </c>
    </row>
    <row r="33130" spans="1:8">
      <c r="H33130" t="s">
        <v>31907</v>
      </c>
    </row>
    <row r="33131" spans="1:8">
      <c r="H33131" t="s">
        <v>31908</v>
      </c>
    </row>
    <row r="33132" spans="1:8">
      <c r="H33132" t="s">
        <v>31909</v>
      </c>
    </row>
    <row r="33133" spans="1:8">
      <c r="H33133" t="s">
        <v>31910</v>
      </c>
    </row>
    <row r="33134" spans="1:8">
      <c r="H33134" t="s">
        <v>31911</v>
      </c>
    </row>
    <row r="33135" spans="1:8">
      <c r="H33135" t="s">
        <v>31912</v>
      </c>
    </row>
    <row r="33136" spans="1:8">
      <c r="H33136" t="s">
        <v>31913</v>
      </c>
    </row>
    <row r="33137" spans="8:8">
      <c r="H33137" t="s">
        <v>31914</v>
      </c>
    </row>
    <row r="33138" spans="8:8">
      <c r="H33138" t="s">
        <v>31915</v>
      </c>
    </row>
    <row r="33139" spans="8:8">
      <c r="H33139" t="s">
        <v>31916</v>
      </c>
    </row>
    <row r="33140" spans="8:8">
      <c r="H33140" t="s">
        <v>31917</v>
      </c>
    </row>
    <row r="33141" spans="8:8">
      <c r="H33141" t="s">
        <v>31918</v>
      </c>
    </row>
    <row r="33142" spans="8:8">
      <c r="H33142" t="s">
        <v>31919</v>
      </c>
    </row>
    <row r="33143" spans="8:8">
      <c r="H33143" t="s">
        <v>31920</v>
      </c>
    </row>
    <row r="33144" spans="8:8">
      <c r="H33144" t="s">
        <v>31921</v>
      </c>
    </row>
    <row r="33145" spans="8:8">
      <c r="H33145" t="s">
        <v>31922</v>
      </c>
    </row>
    <row r="33146" spans="8:8">
      <c r="H33146" t="s">
        <v>31923</v>
      </c>
    </row>
    <row r="33147" spans="8:8">
      <c r="H33147" t="s">
        <v>31924</v>
      </c>
    </row>
    <row r="33148" spans="8:8">
      <c r="H33148" t="s">
        <v>31925</v>
      </c>
    </row>
    <row r="33149" spans="8:8">
      <c r="H33149" t="s">
        <v>31926</v>
      </c>
    </row>
    <row r="33150" spans="8:8">
      <c r="H33150" t="s">
        <v>31927</v>
      </c>
    </row>
    <row r="33151" spans="8:8">
      <c r="H33151" t="s">
        <v>31928</v>
      </c>
    </row>
    <row r="33152" spans="8:8">
      <c r="H33152" t="s">
        <v>31929</v>
      </c>
    </row>
    <row r="33153" spans="1:8">
      <c r="A33153" t="s">
        <v>2493</v>
      </c>
      <c r="B33153">
        <f>HYPERLINK("https://android.googlesource.com/platform/cts/+/1f42e222d204ef27733ba650799dcaed45ec1bcb", "1f42e222d204ef27733ba650799dcaed45ec1bcb")</f>
        <v>0</v>
      </c>
      <c r="C33153">
        <f>HYPERLINK("https://android.googlesource.com/platform/cts/+/be4f352894a953d6403c0dc40541079baf8a75eb", "be4f352894a953d6403c0dc40541079baf8a75eb")</f>
        <v>0</v>
      </c>
      <c r="D33153" t="s">
        <v>5341</v>
      </c>
      <c r="E33153" t="s">
        <v>8222</v>
      </c>
      <c r="F33153" t="s">
        <v>13827</v>
      </c>
      <c r="G33153" t="s">
        <v>17871</v>
      </c>
      <c r="H33153" t="s">
        <v>31930</v>
      </c>
    </row>
    <row r="33154" spans="1:8">
      <c r="H33154" t="s">
        <v>31931</v>
      </c>
    </row>
    <row r="33155" spans="1:8">
      <c r="A33155" t="s">
        <v>2494</v>
      </c>
      <c r="B33155">
        <f>HYPERLINK("https://android.googlesource.com/platform/cts/+/7b461aa75d595e23a1bdecfff1dd7a5b279e2f37", "7b461aa75d595e23a1bdecfff1dd7a5b279e2f37")</f>
        <v>0</v>
      </c>
      <c r="C33155">
        <f>HYPERLINK("https://android.googlesource.com/platform/cts/+/a37bdc77455dc6be0be2b8321c8e2fc4bbd7c5e8", "a37bdc77455dc6be0be2b8321c8e2fc4bbd7c5e8")</f>
        <v>0</v>
      </c>
      <c r="D33155" t="s">
        <v>5403</v>
      </c>
      <c r="E33155" t="s">
        <v>8223</v>
      </c>
      <c r="F33155" t="s">
        <v>13867</v>
      </c>
      <c r="G33155" t="s">
        <v>15101</v>
      </c>
      <c r="H33155" t="s">
        <v>31932</v>
      </c>
    </row>
    <row r="33156" spans="1:8">
      <c r="A33156" t="s">
        <v>2495</v>
      </c>
      <c r="B33156">
        <f>HYPERLINK("https://android.googlesource.com/platform/cts/+/263fd9852838d90de620b8ca33e9d885f99339b6", "263fd9852838d90de620b8ca33e9d885f99339b6")</f>
        <v>0</v>
      </c>
      <c r="C33156">
        <f>HYPERLINK("https://android.googlesource.com/platform/cts/+/056907a75762e2beaaf0c2bb57b95f55a3d01b0e", "056907a75762e2beaaf0c2bb57b95f55a3d01b0e")</f>
        <v>0</v>
      </c>
      <c r="D33156" t="s">
        <v>5403</v>
      </c>
      <c r="E33156" t="s">
        <v>8224</v>
      </c>
      <c r="F33156" t="s">
        <v>13867</v>
      </c>
      <c r="G33156" t="s">
        <v>15101</v>
      </c>
      <c r="H33156" t="s">
        <v>31932</v>
      </c>
    </row>
    <row r="33157" spans="1:8">
      <c r="A33157" t="s">
        <v>2496</v>
      </c>
      <c r="B33157">
        <f>HYPERLINK("https://android.googlesource.com/platform/cts/+/9d9091092eb19d636be723fb85ef95c89989343a", "9d9091092eb19d636be723fb85ef95c89989343a")</f>
        <v>0</v>
      </c>
      <c r="C33157">
        <f>HYPERLINK("https://android.googlesource.com/platform/cts/+/2f3ddc5630f9a06be9b1a4845323d353d26fccce", "2f3ddc5630f9a06be9b1a4845323d353d26fccce")</f>
        <v>0</v>
      </c>
      <c r="D33157" t="s">
        <v>5135</v>
      </c>
      <c r="E33157" t="s">
        <v>8225</v>
      </c>
      <c r="F33157" t="s">
        <v>13735</v>
      </c>
      <c r="G33157" t="s">
        <v>16637</v>
      </c>
      <c r="H33157" t="s">
        <v>31933</v>
      </c>
    </row>
    <row r="33158" spans="1:8">
      <c r="H33158" t="s">
        <v>31934</v>
      </c>
    </row>
    <row r="33159" spans="1:8">
      <c r="H33159" t="s">
        <v>31934</v>
      </c>
    </row>
    <row r="33160" spans="1:8">
      <c r="A33160" t="s">
        <v>2497</v>
      </c>
      <c r="B33160">
        <f>HYPERLINK("https://android.googlesource.com/platform/cts/+/fbc481c660258e4115b178920b91cd9bba67caee", "fbc481c660258e4115b178920b91cd9bba67caee")</f>
        <v>0</v>
      </c>
      <c r="C33160">
        <f>HYPERLINK("https://android.googlesource.com/platform/cts/+/0eff16732452266be698cae749d5bd47e4997d10", "0eff16732452266be698cae749d5bd47e4997d10")</f>
        <v>0</v>
      </c>
      <c r="D33160" t="s">
        <v>5404</v>
      </c>
      <c r="E33160" t="s">
        <v>8226</v>
      </c>
      <c r="F33160" t="s">
        <v>13666</v>
      </c>
      <c r="G33160" t="s">
        <v>17738</v>
      </c>
      <c r="H33160" t="s">
        <v>31935</v>
      </c>
    </row>
    <row r="33161" spans="1:8">
      <c r="A33161" t="s">
        <v>2498</v>
      </c>
      <c r="B33161">
        <f>HYPERLINK("https://android.googlesource.com/platform/cts/+/8167a8f78993e20ef90ef64bd3728192ffa86a3b", "8167a8f78993e20ef90ef64bd3728192ffa86a3b")</f>
        <v>0</v>
      </c>
      <c r="C33161">
        <f>HYPERLINK("https://android.googlesource.com/platform/cts/+/5167483b6985cae774aa31b6fd6350970fca0548", "5167483b6985cae774aa31b6fd6350970fca0548")</f>
        <v>0</v>
      </c>
      <c r="D33161" t="s">
        <v>5405</v>
      </c>
      <c r="E33161" t="s">
        <v>8227</v>
      </c>
      <c r="F33161" t="s">
        <v>13868</v>
      </c>
      <c r="G33161" t="s">
        <v>17907</v>
      </c>
      <c r="H33161" t="s">
        <v>31936</v>
      </c>
    </row>
    <row r="33162" spans="1:8">
      <c r="H33162" t="s">
        <v>31937</v>
      </c>
    </row>
    <row r="33163" spans="1:8">
      <c r="H33163" t="s">
        <v>31938</v>
      </c>
    </row>
    <row r="33164" spans="1:8">
      <c r="A33164" t="s">
        <v>2499</v>
      </c>
      <c r="B33164">
        <f>HYPERLINK("https://android.googlesource.com/platform/cts/+/6426497aac945a3b98c5f5191b9c2ac366d221e9", "6426497aac945a3b98c5f5191b9c2ac366d221e9")</f>
        <v>0</v>
      </c>
      <c r="C33164">
        <f>HYPERLINK("https://android.googlesource.com/platform/cts/+/a33cab94c9b1d11807afe3301034fca77879d9d4", "a33cab94c9b1d11807afe3301034fca77879d9d4")</f>
        <v>0</v>
      </c>
      <c r="D33164" t="s">
        <v>5406</v>
      </c>
      <c r="E33164" t="s">
        <v>8228</v>
      </c>
      <c r="F33164" t="s">
        <v>13869</v>
      </c>
      <c r="G33164" t="s">
        <v>17908</v>
      </c>
      <c r="H33164" t="s">
        <v>31939</v>
      </c>
    </row>
    <row r="33165" spans="1:8">
      <c r="A33165" t="s">
        <v>2500</v>
      </c>
      <c r="B33165">
        <f>HYPERLINK("https://android.googlesource.com/platform/cts/+/86a0e784f75d160243c12407843bd2f3974b4cd0", "86a0e784f75d160243c12407843bd2f3974b4cd0")</f>
        <v>0</v>
      </c>
      <c r="C33165">
        <f>HYPERLINK("https://android.googlesource.com/platform/cts/+/3838652df170db625544812a3e327b43b1b66d79", "3838652df170db625544812a3e327b43b1b66d79")</f>
        <v>0</v>
      </c>
      <c r="D33165" t="s">
        <v>5108</v>
      </c>
      <c r="E33165" t="s">
        <v>8229</v>
      </c>
      <c r="F33165" t="s">
        <v>13229</v>
      </c>
      <c r="G33165" t="s">
        <v>17370</v>
      </c>
      <c r="H33165" t="s">
        <v>31940</v>
      </c>
    </row>
    <row r="33166" spans="1:8">
      <c r="A33166" t="s">
        <v>2501</v>
      </c>
      <c r="B33166">
        <f>HYPERLINK("https://android.googlesource.com/platform/cts/+/446c280de2b061d9d561bd8e078ebe57e4743fcb", "446c280de2b061d9d561bd8e078ebe57e4743fcb")</f>
        <v>0</v>
      </c>
      <c r="C33166">
        <f>HYPERLINK("https://android.googlesource.com/platform/cts/+/c5f60e981a3cec67c79729b9102a02e91f6c829f", "c5f60e981a3cec67c79729b9102a02e91f6c829f")</f>
        <v>0</v>
      </c>
      <c r="D33166" t="s">
        <v>5400</v>
      </c>
      <c r="E33166" t="s">
        <v>8230</v>
      </c>
      <c r="F33166" t="s">
        <v>13718</v>
      </c>
      <c r="G33166" t="s">
        <v>17785</v>
      </c>
      <c r="H33166" t="s">
        <v>31844</v>
      </c>
    </row>
    <row r="33167" spans="1:8">
      <c r="A33167" t="s">
        <v>2502</v>
      </c>
      <c r="B33167">
        <f>HYPERLINK("https://android.googlesource.com/platform/cts/+/814edd52037ebde50dea49a2b9fb80e9abf14948", "814edd52037ebde50dea49a2b9fb80e9abf14948")</f>
        <v>0</v>
      </c>
      <c r="C33167">
        <f>HYPERLINK("https://android.googlesource.com/platform/cts/+/6d8dcb3f50cae8f79f33d3491d0bbc7566af3601", "6d8dcb3f50cae8f79f33d3491d0bbc7566af3601")</f>
        <v>0</v>
      </c>
      <c r="D33167" t="s">
        <v>5312</v>
      </c>
      <c r="E33167" t="s">
        <v>8231</v>
      </c>
      <c r="F33167" t="s">
        <v>13870</v>
      </c>
      <c r="G33167" t="s">
        <v>17909</v>
      </c>
      <c r="H33167" t="s">
        <v>31941</v>
      </c>
    </row>
    <row r="33168" spans="1:8">
      <c r="H33168" t="s">
        <v>31941</v>
      </c>
    </row>
    <row r="33169" spans="6:8">
      <c r="H33169" t="s">
        <v>31942</v>
      </c>
    </row>
    <row r="33170" spans="6:8">
      <c r="H33170" t="s">
        <v>31942</v>
      </c>
    </row>
    <row r="33171" spans="6:8">
      <c r="H33171" t="s">
        <v>31943</v>
      </c>
    </row>
    <row r="33172" spans="6:8">
      <c r="H33172" t="s">
        <v>31943</v>
      </c>
    </row>
    <row r="33173" spans="6:8">
      <c r="H33173" t="s">
        <v>31944</v>
      </c>
    </row>
    <row r="33174" spans="6:8">
      <c r="H33174" t="s">
        <v>31944</v>
      </c>
    </row>
    <row r="33175" spans="6:8">
      <c r="H33175" t="s">
        <v>31945</v>
      </c>
    </row>
    <row r="33176" spans="6:8">
      <c r="H33176" t="s">
        <v>31945</v>
      </c>
    </row>
    <row r="33177" spans="6:8">
      <c r="H33177" t="s">
        <v>31946</v>
      </c>
    </row>
    <row r="33178" spans="6:8">
      <c r="H33178" t="s">
        <v>31946</v>
      </c>
    </row>
    <row r="33179" spans="6:8">
      <c r="H33179" t="s">
        <v>31947</v>
      </c>
    </row>
    <row r="33180" spans="6:8">
      <c r="H33180" t="s">
        <v>31948</v>
      </c>
    </row>
    <row r="33181" spans="6:8">
      <c r="F33181" t="s">
        <v>13871</v>
      </c>
      <c r="G33181" t="s">
        <v>17910</v>
      </c>
      <c r="H33181" t="s">
        <v>31941</v>
      </c>
    </row>
    <row r="33182" spans="6:8">
      <c r="H33182" t="s">
        <v>31941</v>
      </c>
    </row>
    <row r="33183" spans="6:8">
      <c r="H33183" t="s">
        <v>31942</v>
      </c>
    </row>
    <row r="33184" spans="6:8">
      <c r="H33184" t="s">
        <v>31942</v>
      </c>
    </row>
    <row r="33185" spans="6:8">
      <c r="H33185" t="s">
        <v>31943</v>
      </c>
    </row>
    <row r="33186" spans="6:8">
      <c r="H33186" t="s">
        <v>31943</v>
      </c>
    </row>
    <row r="33187" spans="6:8">
      <c r="H33187" t="s">
        <v>31944</v>
      </c>
    </row>
    <row r="33188" spans="6:8">
      <c r="H33188" t="s">
        <v>31944</v>
      </c>
    </row>
    <row r="33189" spans="6:8">
      <c r="H33189" t="s">
        <v>31947</v>
      </c>
    </row>
    <row r="33190" spans="6:8">
      <c r="H33190" t="s">
        <v>31948</v>
      </c>
    </row>
    <row r="33191" spans="6:8">
      <c r="F33191" t="s">
        <v>13872</v>
      </c>
      <c r="G33191" t="s">
        <v>17911</v>
      </c>
      <c r="H33191" t="s">
        <v>31941</v>
      </c>
    </row>
    <row r="33192" spans="6:8">
      <c r="H33192" t="s">
        <v>31941</v>
      </c>
    </row>
    <row r="33193" spans="6:8">
      <c r="H33193" t="s">
        <v>31942</v>
      </c>
    </row>
    <row r="33194" spans="6:8">
      <c r="H33194" t="s">
        <v>31942</v>
      </c>
    </row>
    <row r="33195" spans="6:8">
      <c r="H33195" t="s">
        <v>31943</v>
      </c>
    </row>
    <row r="33196" spans="6:8">
      <c r="H33196" t="s">
        <v>31943</v>
      </c>
    </row>
    <row r="33197" spans="6:8">
      <c r="H33197" t="s">
        <v>31944</v>
      </c>
    </row>
    <row r="33198" spans="6:8">
      <c r="H33198" t="s">
        <v>31944</v>
      </c>
    </row>
    <row r="33199" spans="6:8">
      <c r="H33199" t="s">
        <v>31945</v>
      </c>
    </row>
    <row r="33200" spans="6:8">
      <c r="H33200" t="s">
        <v>31945</v>
      </c>
    </row>
    <row r="33201" spans="6:8">
      <c r="H33201" t="s">
        <v>31946</v>
      </c>
    </row>
    <row r="33202" spans="6:8">
      <c r="H33202" t="s">
        <v>31946</v>
      </c>
    </row>
    <row r="33203" spans="6:8">
      <c r="H33203" t="s">
        <v>31947</v>
      </c>
    </row>
    <row r="33204" spans="6:8">
      <c r="H33204" t="s">
        <v>31948</v>
      </c>
    </row>
    <row r="33205" spans="6:8">
      <c r="F33205" t="s">
        <v>13873</v>
      </c>
      <c r="G33205" t="s">
        <v>17912</v>
      </c>
      <c r="H33205" t="s">
        <v>31941</v>
      </c>
    </row>
    <row r="33206" spans="6:8">
      <c r="H33206" t="s">
        <v>31941</v>
      </c>
    </row>
    <row r="33207" spans="6:8">
      <c r="H33207" t="s">
        <v>31942</v>
      </c>
    </row>
    <row r="33208" spans="6:8">
      <c r="H33208" t="s">
        <v>31942</v>
      </c>
    </row>
    <row r="33209" spans="6:8">
      <c r="H33209" t="s">
        <v>31943</v>
      </c>
    </row>
    <row r="33210" spans="6:8">
      <c r="H33210" t="s">
        <v>31943</v>
      </c>
    </row>
    <row r="33211" spans="6:8">
      <c r="H33211" t="s">
        <v>31944</v>
      </c>
    </row>
    <row r="33212" spans="6:8">
      <c r="H33212" t="s">
        <v>31944</v>
      </c>
    </row>
    <row r="33213" spans="6:8">
      <c r="H33213" t="s">
        <v>31945</v>
      </c>
    </row>
    <row r="33214" spans="6:8">
      <c r="H33214" t="s">
        <v>31945</v>
      </c>
    </row>
    <row r="33215" spans="6:8">
      <c r="H33215" t="s">
        <v>31946</v>
      </c>
    </row>
    <row r="33216" spans="6:8">
      <c r="H33216" t="s">
        <v>31946</v>
      </c>
    </row>
    <row r="33217" spans="6:8">
      <c r="H33217" t="s">
        <v>31947</v>
      </c>
    </row>
    <row r="33218" spans="6:8">
      <c r="H33218" t="s">
        <v>31948</v>
      </c>
    </row>
    <row r="33219" spans="6:8">
      <c r="F33219" t="s">
        <v>13874</v>
      </c>
      <c r="G33219" t="s">
        <v>17913</v>
      </c>
      <c r="H33219" t="s">
        <v>31941</v>
      </c>
    </row>
    <row r="33220" spans="6:8">
      <c r="H33220" t="s">
        <v>31941</v>
      </c>
    </row>
    <row r="33221" spans="6:8">
      <c r="H33221" t="s">
        <v>31942</v>
      </c>
    </row>
    <row r="33222" spans="6:8">
      <c r="H33222" t="s">
        <v>31942</v>
      </c>
    </row>
    <row r="33223" spans="6:8">
      <c r="H33223" t="s">
        <v>31943</v>
      </c>
    </row>
    <row r="33224" spans="6:8">
      <c r="H33224" t="s">
        <v>31943</v>
      </c>
    </row>
    <row r="33225" spans="6:8">
      <c r="H33225" t="s">
        <v>31944</v>
      </c>
    </row>
    <row r="33226" spans="6:8">
      <c r="H33226" t="s">
        <v>31944</v>
      </c>
    </row>
    <row r="33227" spans="6:8">
      <c r="H33227" t="s">
        <v>31945</v>
      </c>
    </row>
    <row r="33228" spans="6:8">
      <c r="H33228" t="s">
        <v>31945</v>
      </c>
    </row>
    <row r="33229" spans="6:8">
      <c r="H33229" t="s">
        <v>31946</v>
      </c>
    </row>
    <row r="33230" spans="6:8">
      <c r="H33230" t="s">
        <v>31946</v>
      </c>
    </row>
    <row r="33231" spans="6:8">
      <c r="H33231" t="s">
        <v>31947</v>
      </c>
    </row>
    <row r="33232" spans="6:8">
      <c r="H33232" t="s">
        <v>31948</v>
      </c>
    </row>
    <row r="33233" spans="6:8">
      <c r="F33233" t="s">
        <v>13875</v>
      </c>
      <c r="G33233" t="s">
        <v>17914</v>
      </c>
      <c r="H33233" t="s">
        <v>31941</v>
      </c>
    </row>
    <row r="33234" spans="6:8">
      <c r="H33234" t="s">
        <v>31941</v>
      </c>
    </row>
    <row r="33235" spans="6:8">
      <c r="H33235" t="s">
        <v>31942</v>
      </c>
    </row>
    <row r="33236" spans="6:8">
      <c r="H33236" t="s">
        <v>31942</v>
      </c>
    </row>
    <row r="33237" spans="6:8">
      <c r="H33237" t="s">
        <v>31943</v>
      </c>
    </row>
    <row r="33238" spans="6:8">
      <c r="H33238" t="s">
        <v>31943</v>
      </c>
    </row>
    <row r="33239" spans="6:8">
      <c r="H33239" t="s">
        <v>31944</v>
      </c>
    </row>
    <row r="33240" spans="6:8">
      <c r="H33240" t="s">
        <v>31944</v>
      </c>
    </row>
    <row r="33241" spans="6:8">
      <c r="H33241" t="s">
        <v>31945</v>
      </c>
    </row>
    <row r="33242" spans="6:8">
      <c r="H33242" t="s">
        <v>31945</v>
      </c>
    </row>
    <row r="33243" spans="6:8">
      <c r="H33243" t="s">
        <v>31946</v>
      </c>
    </row>
    <row r="33244" spans="6:8">
      <c r="H33244" t="s">
        <v>31946</v>
      </c>
    </row>
    <row r="33245" spans="6:8">
      <c r="H33245" t="s">
        <v>31947</v>
      </c>
    </row>
    <row r="33246" spans="6:8">
      <c r="H33246" t="s">
        <v>31948</v>
      </c>
    </row>
    <row r="33247" spans="6:8">
      <c r="F33247" t="s">
        <v>13876</v>
      </c>
      <c r="G33247" t="s">
        <v>17915</v>
      </c>
      <c r="H33247" t="s">
        <v>31941</v>
      </c>
    </row>
    <row r="33248" spans="6:8">
      <c r="H33248" t="s">
        <v>31941</v>
      </c>
    </row>
    <row r="33249" spans="6:8">
      <c r="H33249" t="s">
        <v>31942</v>
      </c>
    </row>
    <row r="33250" spans="6:8">
      <c r="H33250" t="s">
        <v>31942</v>
      </c>
    </row>
    <row r="33251" spans="6:8">
      <c r="H33251" t="s">
        <v>31943</v>
      </c>
    </row>
    <row r="33252" spans="6:8">
      <c r="H33252" t="s">
        <v>31943</v>
      </c>
    </row>
    <row r="33253" spans="6:8">
      <c r="H33253" t="s">
        <v>31944</v>
      </c>
    </row>
    <row r="33254" spans="6:8">
      <c r="H33254" t="s">
        <v>31944</v>
      </c>
    </row>
    <row r="33255" spans="6:8">
      <c r="H33255" t="s">
        <v>31945</v>
      </c>
    </row>
    <row r="33256" spans="6:8">
      <c r="H33256" t="s">
        <v>31945</v>
      </c>
    </row>
    <row r="33257" spans="6:8">
      <c r="H33257" t="s">
        <v>31946</v>
      </c>
    </row>
    <row r="33258" spans="6:8">
      <c r="H33258" t="s">
        <v>31946</v>
      </c>
    </row>
    <row r="33259" spans="6:8">
      <c r="H33259" t="s">
        <v>31947</v>
      </c>
    </row>
    <row r="33260" spans="6:8">
      <c r="H33260" t="s">
        <v>31948</v>
      </c>
    </row>
    <row r="33261" spans="6:8">
      <c r="F33261" t="s">
        <v>13877</v>
      </c>
      <c r="G33261" t="s">
        <v>17916</v>
      </c>
      <c r="H33261" t="s">
        <v>31941</v>
      </c>
    </row>
    <row r="33262" spans="6:8">
      <c r="H33262" t="s">
        <v>31941</v>
      </c>
    </row>
    <row r="33263" spans="6:8">
      <c r="H33263" t="s">
        <v>31942</v>
      </c>
    </row>
    <row r="33264" spans="6:8">
      <c r="H33264" t="s">
        <v>31942</v>
      </c>
    </row>
    <row r="33265" spans="6:8">
      <c r="H33265" t="s">
        <v>31943</v>
      </c>
    </row>
    <row r="33266" spans="6:8">
      <c r="H33266" t="s">
        <v>31943</v>
      </c>
    </row>
    <row r="33267" spans="6:8">
      <c r="H33267" t="s">
        <v>31944</v>
      </c>
    </row>
    <row r="33268" spans="6:8">
      <c r="H33268" t="s">
        <v>31944</v>
      </c>
    </row>
    <row r="33269" spans="6:8">
      <c r="H33269" t="s">
        <v>31945</v>
      </c>
    </row>
    <row r="33270" spans="6:8">
      <c r="H33270" t="s">
        <v>31945</v>
      </c>
    </row>
    <row r="33271" spans="6:8">
      <c r="H33271" t="s">
        <v>31946</v>
      </c>
    </row>
    <row r="33272" spans="6:8">
      <c r="H33272" t="s">
        <v>31946</v>
      </c>
    </row>
    <row r="33273" spans="6:8">
      <c r="H33273" t="s">
        <v>31947</v>
      </c>
    </row>
    <row r="33274" spans="6:8">
      <c r="H33274" t="s">
        <v>31948</v>
      </c>
    </row>
    <row r="33275" spans="6:8">
      <c r="F33275" t="s">
        <v>13878</v>
      </c>
      <c r="G33275" t="s">
        <v>17917</v>
      </c>
      <c r="H33275" t="s">
        <v>31941</v>
      </c>
    </row>
    <row r="33276" spans="6:8">
      <c r="H33276" t="s">
        <v>31941</v>
      </c>
    </row>
    <row r="33277" spans="6:8">
      <c r="H33277" t="s">
        <v>31942</v>
      </c>
    </row>
    <row r="33278" spans="6:8">
      <c r="H33278" t="s">
        <v>31942</v>
      </c>
    </row>
    <row r="33279" spans="6:8">
      <c r="H33279" t="s">
        <v>31943</v>
      </c>
    </row>
    <row r="33280" spans="6:8">
      <c r="H33280" t="s">
        <v>31943</v>
      </c>
    </row>
    <row r="33281" spans="6:8">
      <c r="H33281" t="s">
        <v>31944</v>
      </c>
    </row>
    <row r="33282" spans="6:8">
      <c r="H33282" t="s">
        <v>31944</v>
      </c>
    </row>
    <row r="33283" spans="6:8">
      <c r="H33283" t="s">
        <v>31945</v>
      </c>
    </row>
    <row r="33284" spans="6:8">
      <c r="H33284" t="s">
        <v>31945</v>
      </c>
    </row>
    <row r="33285" spans="6:8">
      <c r="H33285" t="s">
        <v>31946</v>
      </c>
    </row>
    <row r="33286" spans="6:8">
      <c r="H33286" t="s">
        <v>31946</v>
      </c>
    </row>
    <row r="33287" spans="6:8">
      <c r="H33287" t="s">
        <v>31947</v>
      </c>
    </row>
    <row r="33288" spans="6:8">
      <c r="H33288" t="s">
        <v>31948</v>
      </c>
    </row>
    <row r="33289" spans="6:8">
      <c r="F33289" t="s">
        <v>13879</v>
      </c>
      <c r="G33289" t="s">
        <v>17918</v>
      </c>
      <c r="H33289" t="s">
        <v>31949</v>
      </c>
    </row>
    <row r="33290" spans="6:8">
      <c r="H33290" t="s">
        <v>31950</v>
      </c>
    </row>
    <row r="33291" spans="6:8">
      <c r="H33291" t="s">
        <v>31950</v>
      </c>
    </row>
    <row r="33292" spans="6:8">
      <c r="H33292" t="s">
        <v>31951</v>
      </c>
    </row>
    <row r="33293" spans="6:8">
      <c r="H33293" t="s">
        <v>31951</v>
      </c>
    </row>
    <row r="33294" spans="6:8">
      <c r="H33294" t="s">
        <v>31952</v>
      </c>
    </row>
    <row r="33295" spans="6:8">
      <c r="H33295" t="s">
        <v>31952</v>
      </c>
    </row>
    <row r="33296" spans="6:8">
      <c r="H33296" t="s">
        <v>31953</v>
      </c>
    </row>
    <row r="33297" spans="6:8">
      <c r="H33297" t="s">
        <v>31953</v>
      </c>
    </row>
    <row r="33298" spans="6:8">
      <c r="H33298" t="s">
        <v>31954</v>
      </c>
    </row>
    <row r="33299" spans="6:8">
      <c r="H33299" t="s">
        <v>31954</v>
      </c>
    </row>
    <row r="33300" spans="6:8">
      <c r="H33300" t="s">
        <v>31947</v>
      </c>
    </row>
    <row r="33301" spans="6:8">
      <c r="H33301" t="s">
        <v>31948</v>
      </c>
    </row>
    <row r="33302" spans="6:8">
      <c r="F33302" t="s">
        <v>13880</v>
      </c>
      <c r="G33302" t="s">
        <v>17919</v>
      </c>
      <c r="H33302" t="s">
        <v>31941</v>
      </c>
    </row>
    <row r="33303" spans="6:8">
      <c r="H33303" t="s">
        <v>31941</v>
      </c>
    </row>
    <row r="33304" spans="6:8">
      <c r="H33304" t="s">
        <v>31942</v>
      </c>
    </row>
    <row r="33305" spans="6:8">
      <c r="H33305" t="s">
        <v>31942</v>
      </c>
    </row>
    <row r="33306" spans="6:8">
      <c r="H33306" t="s">
        <v>31943</v>
      </c>
    </row>
    <row r="33307" spans="6:8">
      <c r="H33307" t="s">
        <v>31943</v>
      </c>
    </row>
    <row r="33308" spans="6:8">
      <c r="H33308" t="s">
        <v>31944</v>
      </c>
    </row>
    <row r="33309" spans="6:8">
      <c r="H33309" t="s">
        <v>31944</v>
      </c>
    </row>
    <row r="33310" spans="6:8">
      <c r="H33310" t="s">
        <v>31945</v>
      </c>
    </row>
    <row r="33311" spans="6:8">
      <c r="H33311" t="s">
        <v>31945</v>
      </c>
    </row>
    <row r="33312" spans="6:8">
      <c r="H33312" t="s">
        <v>31946</v>
      </c>
    </row>
    <row r="33313" spans="6:8">
      <c r="H33313" t="s">
        <v>31946</v>
      </c>
    </row>
    <row r="33314" spans="6:8">
      <c r="H33314" t="s">
        <v>31947</v>
      </c>
    </row>
    <row r="33315" spans="6:8">
      <c r="H33315" t="s">
        <v>31948</v>
      </c>
    </row>
    <row r="33316" spans="6:8">
      <c r="F33316" t="s">
        <v>13881</v>
      </c>
      <c r="G33316" t="s">
        <v>17920</v>
      </c>
      <c r="H33316" t="s">
        <v>31941</v>
      </c>
    </row>
    <row r="33317" spans="6:8">
      <c r="H33317" t="s">
        <v>31941</v>
      </c>
    </row>
    <row r="33318" spans="6:8">
      <c r="H33318" t="s">
        <v>31942</v>
      </c>
    </row>
    <row r="33319" spans="6:8">
      <c r="H33319" t="s">
        <v>31942</v>
      </c>
    </row>
    <row r="33320" spans="6:8">
      <c r="H33320" t="s">
        <v>31943</v>
      </c>
    </row>
    <row r="33321" spans="6:8">
      <c r="H33321" t="s">
        <v>31943</v>
      </c>
    </row>
    <row r="33322" spans="6:8">
      <c r="H33322" t="s">
        <v>31944</v>
      </c>
    </row>
    <row r="33323" spans="6:8">
      <c r="H33323" t="s">
        <v>31944</v>
      </c>
    </row>
    <row r="33324" spans="6:8">
      <c r="H33324" t="s">
        <v>31945</v>
      </c>
    </row>
    <row r="33325" spans="6:8">
      <c r="H33325" t="s">
        <v>31945</v>
      </c>
    </row>
    <row r="33326" spans="6:8">
      <c r="H33326" t="s">
        <v>31946</v>
      </c>
    </row>
    <row r="33327" spans="6:8">
      <c r="H33327" t="s">
        <v>31946</v>
      </c>
    </row>
    <row r="33328" spans="6:8">
      <c r="H33328" t="s">
        <v>31947</v>
      </c>
    </row>
    <row r="33329" spans="6:8">
      <c r="H33329" t="s">
        <v>31948</v>
      </c>
    </row>
    <row r="33330" spans="6:8">
      <c r="F33330" t="s">
        <v>13882</v>
      </c>
      <c r="G33330" t="s">
        <v>17921</v>
      </c>
      <c r="H33330" t="s">
        <v>31941</v>
      </c>
    </row>
    <row r="33331" spans="6:8">
      <c r="H33331" t="s">
        <v>31941</v>
      </c>
    </row>
    <row r="33332" spans="6:8">
      <c r="H33332" t="s">
        <v>31942</v>
      </c>
    </row>
    <row r="33333" spans="6:8">
      <c r="H33333" t="s">
        <v>31942</v>
      </c>
    </row>
    <row r="33334" spans="6:8">
      <c r="H33334" t="s">
        <v>31943</v>
      </c>
    </row>
    <row r="33335" spans="6:8">
      <c r="H33335" t="s">
        <v>31943</v>
      </c>
    </row>
    <row r="33336" spans="6:8">
      <c r="H33336" t="s">
        <v>31944</v>
      </c>
    </row>
    <row r="33337" spans="6:8">
      <c r="H33337" t="s">
        <v>31944</v>
      </c>
    </row>
    <row r="33338" spans="6:8">
      <c r="H33338" t="s">
        <v>31945</v>
      </c>
    </row>
    <row r="33339" spans="6:8">
      <c r="H33339" t="s">
        <v>31945</v>
      </c>
    </row>
    <row r="33340" spans="6:8">
      <c r="H33340" t="s">
        <v>31946</v>
      </c>
    </row>
    <row r="33341" spans="6:8">
      <c r="H33341" t="s">
        <v>31946</v>
      </c>
    </row>
    <row r="33342" spans="6:8">
      <c r="H33342" t="s">
        <v>31947</v>
      </c>
    </row>
    <row r="33343" spans="6:8">
      <c r="H33343" t="s">
        <v>31948</v>
      </c>
    </row>
    <row r="33344" spans="6:8">
      <c r="F33344" t="s">
        <v>13883</v>
      </c>
      <c r="G33344" t="s">
        <v>17922</v>
      </c>
      <c r="H33344" t="s">
        <v>31941</v>
      </c>
    </row>
    <row r="33345" spans="6:8">
      <c r="H33345" t="s">
        <v>31941</v>
      </c>
    </row>
    <row r="33346" spans="6:8">
      <c r="H33346" t="s">
        <v>31942</v>
      </c>
    </row>
    <row r="33347" spans="6:8">
      <c r="H33347" t="s">
        <v>31942</v>
      </c>
    </row>
    <row r="33348" spans="6:8">
      <c r="H33348" t="s">
        <v>31943</v>
      </c>
    </row>
    <row r="33349" spans="6:8">
      <c r="H33349" t="s">
        <v>31943</v>
      </c>
    </row>
    <row r="33350" spans="6:8">
      <c r="H33350" t="s">
        <v>31944</v>
      </c>
    </row>
    <row r="33351" spans="6:8">
      <c r="H33351" t="s">
        <v>31944</v>
      </c>
    </row>
    <row r="33352" spans="6:8">
      <c r="H33352" t="s">
        <v>31945</v>
      </c>
    </row>
    <row r="33353" spans="6:8">
      <c r="H33353" t="s">
        <v>31945</v>
      </c>
    </row>
    <row r="33354" spans="6:8">
      <c r="H33354" t="s">
        <v>31946</v>
      </c>
    </row>
    <row r="33355" spans="6:8">
      <c r="H33355" t="s">
        <v>31946</v>
      </c>
    </row>
    <row r="33356" spans="6:8">
      <c r="H33356" t="s">
        <v>31947</v>
      </c>
    </row>
    <row r="33357" spans="6:8">
      <c r="H33357" t="s">
        <v>31948</v>
      </c>
    </row>
    <row r="33358" spans="6:8">
      <c r="F33358" t="s">
        <v>13884</v>
      </c>
      <c r="G33358" t="s">
        <v>17923</v>
      </c>
      <c r="H33358" t="s">
        <v>31941</v>
      </c>
    </row>
    <row r="33359" spans="6:8">
      <c r="H33359" t="s">
        <v>31941</v>
      </c>
    </row>
    <row r="33360" spans="6:8">
      <c r="H33360" t="s">
        <v>31942</v>
      </c>
    </row>
    <row r="33361" spans="6:8">
      <c r="H33361" t="s">
        <v>31942</v>
      </c>
    </row>
    <row r="33362" spans="6:8">
      <c r="H33362" t="s">
        <v>31943</v>
      </c>
    </row>
    <row r="33363" spans="6:8">
      <c r="H33363" t="s">
        <v>31943</v>
      </c>
    </row>
    <row r="33364" spans="6:8">
      <c r="H33364" t="s">
        <v>31944</v>
      </c>
    </row>
    <row r="33365" spans="6:8">
      <c r="H33365" t="s">
        <v>31944</v>
      </c>
    </row>
    <row r="33366" spans="6:8">
      <c r="H33366" t="s">
        <v>31947</v>
      </c>
    </row>
    <row r="33367" spans="6:8">
      <c r="H33367" t="s">
        <v>31948</v>
      </c>
    </row>
    <row r="33368" spans="6:8">
      <c r="F33368" t="s">
        <v>13885</v>
      </c>
      <c r="G33368" t="s">
        <v>17924</v>
      </c>
      <c r="H33368" t="s">
        <v>31941</v>
      </c>
    </row>
    <row r="33369" spans="6:8">
      <c r="H33369" t="s">
        <v>31941</v>
      </c>
    </row>
    <row r="33370" spans="6:8">
      <c r="H33370" t="s">
        <v>31942</v>
      </c>
    </row>
    <row r="33371" spans="6:8">
      <c r="H33371" t="s">
        <v>31942</v>
      </c>
    </row>
    <row r="33372" spans="6:8">
      <c r="H33372" t="s">
        <v>31943</v>
      </c>
    </row>
    <row r="33373" spans="6:8">
      <c r="H33373" t="s">
        <v>31943</v>
      </c>
    </row>
    <row r="33374" spans="6:8">
      <c r="H33374" t="s">
        <v>31944</v>
      </c>
    </row>
    <row r="33375" spans="6:8">
      <c r="H33375" t="s">
        <v>31944</v>
      </c>
    </row>
    <row r="33376" spans="6:8">
      <c r="H33376" t="s">
        <v>31945</v>
      </c>
    </row>
    <row r="33377" spans="6:8">
      <c r="H33377" t="s">
        <v>31945</v>
      </c>
    </row>
    <row r="33378" spans="6:8">
      <c r="H33378" t="s">
        <v>31946</v>
      </c>
    </row>
    <row r="33379" spans="6:8">
      <c r="H33379" t="s">
        <v>31946</v>
      </c>
    </row>
    <row r="33380" spans="6:8">
      <c r="H33380" t="s">
        <v>31947</v>
      </c>
    </row>
    <row r="33381" spans="6:8">
      <c r="H33381" t="s">
        <v>31948</v>
      </c>
    </row>
    <row r="33382" spans="6:8">
      <c r="F33382" t="s">
        <v>13886</v>
      </c>
      <c r="G33382" t="s">
        <v>17925</v>
      </c>
      <c r="H33382" t="s">
        <v>31941</v>
      </c>
    </row>
    <row r="33383" spans="6:8">
      <c r="H33383" t="s">
        <v>31941</v>
      </c>
    </row>
    <row r="33384" spans="6:8">
      <c r="H33384" t="s">
        <v>31942</v>
      </c>
    </row>
    <row r="33385" spans="6:8">
      <c r="H33385" t="s">
        <v>31942</v>
      </c>
    </row>
    <row r="33386" spans="6:8">
      <c r="H33386" t="s">
        <v>31943</v>
      </c>
    </row>
    <row r="33387" spans="6:8">
      <c r="H33387" t="s">
        <v>31943</v>
      </c>
    </row>
    <row r="33388" spans="6:8">
      <c r="H33388" t="s">
        <v>31944</v>
      </c>
    </row>
    <row r="33389" spans="6:8">
      <c r="H33389" t="s">
        <v>31944</v>
      </c>
    </row>
    <row r="33390" spans="6:8">
      <c r="H33390" t="s">
        <v>31945</v>
      </c>
    </row>
    <row r="33391" spans="6:8">
      <c r="H33391" t="s">
        <v>31945</v>
      </c>
    </row>
    <row r="33392" spans="6:8">
      <c r="H33392" t="s">
        <v>31946</v>
      </c>
    </row>
    <row r="33393" spans="1:8">
      <c r="H33393" t="s">
        <v>31946</v>
      </c>
    </row>
    <row r="33394" spans="1:8">
      <c r="H33394" t="s">
        <v>31947</v>
      </c>
    </row>
    <row r="33395" spans="1:8">
      <c r="H33395" t="s">
        <v>31948</v>
      </c>
    </row>
    <row r="33396" spans="1:8">
      <c r="A33396" t="s">
        <v>2503</v>
      </c>
      <c r="B33396">
        <f>HYPERLINK("https://android.googlesource.com/platform/cts/+/9071aecab39f54bafa68d664252ceba3e81f245e", "9071aecab39f54bafa68d664252ceba3e81f245e")</f>
        <v>0</v>
      </c>
      <c r="C33396">
        <f>HYPERLINK("https://android.googlesource.com/platform/cts/+/6d8dcb3f50cae8f79f33d3491d0bbc7566af3601", "6d8dcb3f50cae8f79f33d3491d0bbc7566af3601")</f>
        <v>0</v>
      </c>
      <c r="D33396" t="s">
        <v>5407</v>
      </c>
      <c r="E33396" t="s">
        <v>8232</v>
      </c>
      <c r="F33396" t="s">
        <v>13887</v>
      </c>
      <c r="G33396" t="s">
        <v>17319</v>
      </c>
      <c r="H33396" t="s">
        <v>31955</v>
      </c>
    </row>
    <row r="33397" spans="1:8">
      <c r="H33397" t="s">
        <v>31956</v>
      </c>
    </row>
    <row r="33398" spans="1:8">
      <c r="H33398" t="s">
        <v>31957</v>
      </c>
    </row>
    <row r="33399" spans="1:8">
      <c r="H33399" t="s">
        <v>31958</v>
      </c>
    </row>
    <row r="33400" spans="1:8">
      <c r="H33400" t="s">
        <v>31959</v>
      </c>
    </row>
    <row r="33401" spans="1:8">
      <c r="H33401" t="s">
        <v>31960</v>
      </c>
    </row>
    <row r="33402" spans="1:8">
      <c r="A33402" t="s">
        <v>2504</v>
      </c>
      <c r="B33402">
        <f>HYPERLINK("https://android.googlesource.com/platform/cts/+/4147d599c8568e8d1e5a01b932b5fba7ef630f6c", "4147d599c8568e8d1e5a01b932b5fba7ef630f6c")</f>
        <v>0</v>
      </c>
      <c r="C33402">
        <f>HYPERLINK("https://android.googlesource.com/platform/cts/+/3838652df170db625544812a3e327b43b1b66d79", "3838652df170db625544812a3e327b43b1b66d79")</f>
        <v>0</v>
      </c>
      <c r="D33402" t="s">
        <v>5307</v>
      </c>
      <c r="E33402" t="s">
        <v>8233</v>
      </c>
      <c r="F33402" t="s">
        <v>13333</v>
      </c>
      <c r="G33402" t="s">
        <v>17463</v>
      </c>
      <c r="H33402" t="s">
        <v>31961</v>
      </c>
    </row>
    <row r="33403" spans="1:8">
      <c r="A33403" t="s">
        <v>2505</v>
      </c>
      <c r="B33403">
        <f>HYPERLINK("https://android.googlesource.com/platform/cts/+/34c1669f7d1b7d2d3248f999b04ced79c6da4c28", "34c1669f7d1b7d2d3248f999b04ced79c6da4c28")</f>
        <v>0</v>
      </c>
      <c r="C33403">
        <f>HYPERLINK("https://android.googlesource.com/platform/cts/+/0d87fda7c9078320c6efa0a06abd20cf24375222", "0d87fda7c9078320c6efa0a06abd20cf24375222")</f>
        <v>0</v>
      </c>
      <c r="D33403" t="s">
        <v>4949</v>
      </c>
      <c r="E33403" t="s">
        <v>8234</v>
      </c>
      <c r="F33403" t="s">
        <v>13767</v>
      </c>
      <c r="G33403" t="s">
        <v>17824</v>
      </c>
      <c r="H33403" t="s">
        <v>31962</v>
      </c>
    </row>
    <row r="33404" spans="1:8">
      <c r="F33404" t="s">
        <v>13888</v>
      </c>
      <c r="G33404" t="s">
        <v>15054</v>
      </c>
      <c r="H33404" t="s">
        <v>31963</v>
      </c>
    </row>
    <row r="33405" spans="1:8">
      <c r="H33405" t="s">
        <v>31964</v>
      </c>
    </row>
    <row r="33406" spans="1:8">
      <c r="A33406" t="s">
        <v>2506</v>
      </c>
      <c r="B33406">
        <f>HYPERLINK("https://android.googlesource.com/platform/cts/+/620f8af958797515e871dc6658f11e8d57d9049c", "620f8af958797515e871dc6658f11e8d57d9049c")</f>
        <v>0</v>
      </c>
      <c r="C33406">
        <f>HYPERLINK("https://android.googlesource.com/platform/cts/+/9db0c733a7ff2cf1b1d9b6d78b2dbd8cddecf09a", "9db0c733a7ff2cf1b1d9b6d78b2dbd8cddecf09a")</f>
        <v>0</v>
      </c>
      <c r="D33406" t="s">
        <v>5400</v>
      </c>
      <c r="E33406" t="s">
        <v>8235</v>
      </c>
      <c r="F33406" t="s">
        <v>13718</v>
      </c>
      <c r="G33406" t="s">
        <v>17785</v>
      </c>
      <c r="H33406" t="s">
        <v>31844</v>
      </c>
    </row>
    <row r="33407" spans="1:8">
      <c r="A33407" t="s">
        <v>2507</v>
      </c>
      <c r="B33407">
        <f>HYPERLINK("https://android.googlesource.com/platform/cts/+/baa0d29a8b3add171178e1c8d60444739e3f62bd", "baa0d29a8b3add171178e1c8d60444739e3f62bd")</f>
        <v>0</v>
      </c>
      <c r="C33407">
        <f>HYPERLINK("https://android.googlesource.com/platform/cts/+/5fdcdd0246aa54056894a721a281d76abe5273cf", "5fdcdd0246aa54056894a721a281d76abe5273cf")</f>
        <v>0</v>
      </c>
      <c r="D33407" t="s">
        <v>5247</v>
      </c>
      <c r="E33407" t="s">
        <v>8236</v>
      </c>
      <c r="F33407" t="s">
        <v>13862</v>
      </c>
      <c r="G33407" t="s">
        <v>15054</v>
      </c>
      <c r="H33407" t="s">
        <v>31882</v>
      </c>
    </row>
    <row r="33408" spans="1:8">
      <c r="H33408" t="s">
        <v>31883</v>
      </c>
    </row>
    <row r="33409" spans="1:8">
      <c r="H33409" t="s">
        <v>31884</v>
      </c>
    </row>
    <row r="33410" spans="1:8">
      <c r="H33410" t="s">
        <v>31885</v>
      </c>
    </row>
    <row r="33411" spans="1:8">
      <c r="H33411" t="s">
        <v>31886</v>
      </c>
    </row>
    <row r="33412" spans="1:8">
      <c r="H33412" t="s">
        <v>31887</v>
      </c>
    </row>
    <row r="33413" spans="1:8">
      <c r="A33413" t="s">
        <v>2508</v>
      </c>
      <c r="B33413">
        <f>HYPERLINK("https://android.googlesource.com/platform/cts/+/79eec7ff7f65bce1814caa145de48c6d89b6a7f4", "79eec7ff7f65bce1814caa145de48c6d89b6a7f4")</f>
        <v>0</v>
      </c>
      <c r="C33413">
        <f>HYPERLINK("https://android.googlesource.com/platform/cts/+/c81749d27631ff706e0bd6e061f5f85405a4b0c5", "c81749d27631ff706e0bd6e061f5f85405a4b0c5")</f>
        <v>0</v>
      </c>
      <c r="D33413" t="s">
        <v>5408</v>
      </c>
      <c r="E33413" t="s">
        <v>8237</v>
      </c>
      <c r="F33413" t="s">
        <v>13160</v>
      </c>
      <c r="G33413" t="s">
        <v>17311</v>
      </c>
      <c r="H33413" t="s">
        <v>31965</v>
      </c>
    </row>
    <row r="33414" spans="1:8">
      <c r="A33414" t="s">
        <v>2509</v>
      </c>
      <c r="B33414">
        <f>HYPERLINK("https://android.googlesource.com/platform/cts/+/e28f1d138f354f3e32bb7f180ca8dcac807ba98e", "e28f1d138f354f3e32bb7f180ca8dcac807ba98e")</f>
        <v>0</v>
      </c>
      <c r="C33414">
        <f>HYPERLINK("https://android.googlesource.com/platform/cts/+/4c9697d822f0b595d7f53f27001ed94e57d95754", "4c9697d822f0b595d7f53f27001ed94e57d95754")</f>
        <v>0</v>
      </c>
      <c r="D33414" t="s">
        <v>5390</v>
      </c>
      <c r="E33414" t="s">
        <v>8238</v>
      </c>
      <c r="F33414" t="s">
        <v>13837</v>
      </c>
      <c r="G33414" t="s">
        <v>17880</v>
      </c>
      <c r="H33414" t="s">
        <v>31966</v>
      </c>
    </row>
    <row r="33415" spans="1:8">
      <c r="H33415" t="s">
        <v>31967</v>
      </c>
    </row>
    <row r="33416" spans="1:8">
      <c r="H33416" t="s">
        <v>31968</v>
      </c>
    </row>
    <row r="33417" spans="1:8">
      <c r="H33417" t="s">
        <v>31969</v>
      </c>
    </row>
    <row r="33418" spans="1:8">
      <c r="H33418" t="s">
        <v>31969</v>
      </c>
    </row>
    <row r="33419" spans="1:8">
      <c r="H33419" t="s">
        <v>31970</v>
      </c>
    </row>
    <row r="33420" spans="1:8">
      <c r="H33420" t="s">
        <v>31971</v>
      </c>
    </row>
    <row r="33421" spans="1:8">
      <c r="H33421" t="s">
        <v>31972</v>
      </c>
    </row>
    <row r="33422" spans="1:8">
      <c r="H33422" t="s">
        <v>31973</v>
      </c>
    </row>
    <row r="33423" spans="1:8">
      <c r="H33423" t="s">
        <v>31974</v>
      </c>
    </row>
    <row r="33424" spans="1:8">
      <c r="H33424" t="s">
        <v>31975</v>
      </c>
    </row>
    <row r="33425" spans="1:8">
      <c r="H33425" t="s">
        <v>31976</v>
      </c>
    </row>
    <row r="33426" spans="1:8">
      <c r="H33426" t="s">
        <v>31977</v>
      </c>
    </row>
    <row r="33427" spans="1:8">
      <c r="H33427" t="s">
        <v>31972</v>
      </c>
    </row>
    <row r="33428" spans="1:8">
      <c r="H33428" t="s">
        <v>31973</v>
      </c>
    </row>
    <row r="33429" spans="1:8">
      <c r="H33429" t="s">
        <v>31978</v>
      </c>
    </row>
    <row r="33430" spans="1:8">
      <c r="H33430" t="s">
        <v>31979</v>
      </c>
    </row>
    <row r="33431" spans="1:8">
      <c r="H33431" t="s">
        <v>31972</v>
      </c>
    </row>
    <row r="33432" spans="1:8">
      <c r="H33432" t="s">
        <v>31973</v>
      </c>
    </row>
    <row r="33433" spans="1:8">
      <c r="A33433" t="s">
        <v>2510</v>
      </c>
      <c r="B33433">
        <f>HYPERLINK("https://android.googlesource.com/platform/cts/+/d16a6954d193197a171635e8eb913fad85b547ce", "d16a6954d193197a171635e8eb913fad85b547ce")</f>
        <v>0</v>
      </c>
      <c r="C33433">
        <f>HYPERLINK("https://android.googlesource.com/platform/cts/+/e17f395c22a7b70e237bac66db84d0f22d4b65dd", "e17f395c22a7b70e237bac66db84d0f22d4b65dd")</f>
        <v>0</v>
      </c>
      <c r="D33433" t="s">
        <v>5409</v>
      </c>
      <c r="E33433" t="s">
        <v>8239</v>
      </c>
      <c r="F33433" t="s">
        <v>12629</v>
      </c>
      <c r="G33433" t="s">
        <v>16838</v>
      </c>
      <c r="H33433" t="s">
        <v>31980</v>
      </c>
    </row>
    <row r="33434" spans="1:8">
      <c r="A33434" t="s">
        <v>2511</v>
      </c>
      <c r="B33434">
        <f>HYPERLINK("https://android.googlesource.com/platform/cts/+/746836e61f877b4bb49249b8b8c0ecc7a790e0d4", "746836e61f877b4bb49249b8b8c0ecc7a790e0d4")</f>
        <v>0</v>
      </c>
      <c r="C33434">
        <f>HYPERLINK("https://android.googlesource.com/platform/cts/+/7ebb9488759ca46845f7634442b8731d805c2acc", "7ebb9488759ca46845f7634442b8731d805c2acc")</f>
        <v>0</v>
      </c>
      <c r="D33434" t="s">
        <v>5051</v>
      </c>
      <c r="E33434" t="s">
        <v>8240</v>
      </c>
      <c r="F33434" t="s">
        <v>13868</v>
      </c>
      <c r="G33434" t="s">
        <v>17907</v>
      </c>
      <c r="H33434" t="s">
        <v>31936</v>
      </c>
    </row>
    <row r="33435" spans="1:8">
      <c r="H33435" t="s">
        <v>31937</v>
      </c>
    </row>
    <row r="33436" spans="1:8">
      <c r="H33436" t="s">
        <v>31938</v>
      </c>
    </row>
    <row r="33437" spans="1:8">
      <c r="A33437" t="s">
        <v>2512</v>
      </c>
      <c r="B33437">
        <f>HYPERLINK("https://android.googlesource.com/platform/cts/+/c7a5d5a5d3e6f6a6e7e05f93f4ed848ec49a687f", "c7a5d5a5d3e6f6a6e7e05f93f4ed848ec49a687f")</f>
        <v>0</v>
      </c>
      <c r="C33437">
        <f>HYPERLINK("https://android.googlesource.com/platform/cts/+/5d88e09414e0b0a1b5acbac306ea614d5087da60", "5d88e09414e0b0a1b5acbac306ea614d5087da60")</f>
        <v>0</v>
      </c>
      <c r="D33437" t="s">
        <v>4981</v>
      </c>
      <c r="E33437" t="s">
        <v>8241</v>
      </c>
      <c r="F33437" t="s">
        <v>13727</v>
      </c>
      <c r="G33437" t="s">
        <v>17789</v>
      </c>
      <c r="H33437" t="s">
        <v>31981</v>
      </c>
    </row>
    <row r="33438" spans="1:8">
      <c r="F33438" t="s">
        <v>13889</v>
      </c>
      <c r="G33438" t="s">
        <v>17926</v>
      </c>
      <c r="H33438" t="s">
        <v>31982</v>
      </c>
    </row>
    <row r="33439" spans="1:8">
      <c r="F33439" t="s">
        <v>13890</v>
      </c>
      <c r="G33439" t="s">
        <v>17927</v>
      </c>
      <c r="H33439" t="s">
        <v>31983</v>
      </c>
    </row>
    <row r="33440" spans="1:8">
      <c r="F33440" t="s">
        <v>13764</v>
      </c>
      <c r="G33440" t="s">
        <v>17821</v>
      </c>
      <c r="H33440" t="s">
        <v>18863</v>
      </c>
    </row>
    <row r="33441" spans="1:8">
      <c r="F33441" t="s">
        <v>13775</v>
      </c>
      <c r="G33441" t="s">
        <v>17830</v>
      </c>
      <c r="H33441" t="s">
        <v>31984</v>
      </c>
    </row>
    <row r="33442" spans="1:8">
      <c r="F33442" t="s">
        <v>13678</v>
      </c>
      <c r="G33442" t="s">
        <v>17748</v>
      </c>
      <c r="H33442" t="s">
        <v>31984</v>
      </c>
    </row>
    <row r="33443" spans="1:8">
      <c r="F33443" t="s">
        <v>13891</v>
      </c>
      <c r="G33443" t="s">
        <v>17928</v>
      </c>
      <c r="H33443" t="s">
        <v>31985</v>
      </c>
    </row>
    <row r="33444" spans="1:8">
      <c r="A33444" t="s">
        <v>2513</v>
      </c>
      <c r="B33444">
        <f>HYPERLINK("https://android.googlesource.com/platform/cts/+/5e0dc711c30ce63e32dd1a25be36a44f879e84c3", "5e0dc711c30ce63e32dd1a25be36a44f879e84c3")</f>
        <v>0</v>
      </c>
      <c r="C33444">
        <f>HYPERLINK("https://android.googlesource.com/platform/cts/+/aa6f7390b80d198fc6915508d5727af1dd2dd165", "aa6f7390b80d198fc6915508d5727af1dd2dd165")</f>
        <v>0</v>
      </c>
      <c r="D33444" t="s">
        <v>5118</v>
      </c>
      <c r="E33444" t="s">
        <v>8242</v>
      </c>
      <c r="F33444" t="s">
        <v>13835</v>
      </c>
      <c r="G33444" t="s">
        <v>17878</v>
      </c>
      <c r="H33444" t="s">
        <v>31986</v>
      </c>
    </row>
    <row r="33445" spans="1:8">
      <c r="A33445" t="s">
        <v>2514</v>
      </c>
      <c r="B33445">
        <f>HYPERLINK("https://android.googlesource.com/platform/cts/+/645abc071d32c735aab709399a26c692c713e4cc", "645abc071d32c735aab709399a26c692c713e4cc")</f>
        <v>0</v>
      </c>
      <c r="C33445">
        <f>HYPERLINK("https://android.googlesource.com/platform/cts/+/e2120927920ea00443d6466db07f67628d11edff", "e2120927920ea00443d6466db07f67628d11edff")</f>
        <v>0</v>
      </c>
      <c r="D33445" t="s">
        <v>5400</v>
      </c>
      <c r="E33445" t="s">
        <v>8243</v>
      </c>
      <c r="F33445" t="s">
        <v>13892</v>
      </c>
      <c r="G33445" t="s">
        <v>17929</v>
      </c>
      <c r="H33445" t="s">
        <v>31987</v>
      </c>
    </row>
    <row r="33446" spans="1:8">
      <c r="A33446" t="s">
        <v>2515</v>
      </c>
      <c r="B33446">
        <f>HYPERLINK("https://android.googlesource.com/platform/cts/+/b339a858b63996d5ccc12bd0aa9fded9162b5fb8", "b339a858b63996d5ccc12bd0aa9fded9162b5fb8")</f>
        <v>0</v>
      </c>
      <c r="C33446">
        <f>HYPERLINK("https://android.googlesource.com/platform/cts/+/a5396d3130da17581a2adb35f6963f4d1a4558f1", "a5396d3130da17581a2adb35f6963f4d1a4558f1")</f>
        <v>0</v>
      </c>
      <c r="D33446" t="s">
        <v>5390</v>
      </c>
      <c r="E33446" t="s">
        <v>8244</v>
      </c>
      <c r="F33446" t="s">
        <v>13837</v>
      </c>
      <c r="G33446" t="s">
        <v>17880</v>
      </c>
      <c r="H33446" t="s">
        <v>31966</v>
      </c>
    </row>
    <row r="33447" spans="1:8">
      <c r="H33447" t="s">
        <v>31967</v>
      </c>
    </row>
    <row r="33448" spans="1:8">
      <c r="H33448" t="s">
        <v>31968</v>
      </c>
    </row>
    <row r="33449" spans="1:8">
      <c r="H33449" t="s">
        <v>31969</v>
      </c>
    </row>
    <row r="33450" spans="1:8">
      <c r="H33450" t="s">
        <v>31969</v>
      </c>
    </row>
    <row r="33451" spans="1:8">
      <c r="H33451" t="s">
        <v>31970</v>
      </c>
    </row>
    <row r="33452" spans="1:8">
      <c r="H33452" t="s">
        <v>31971</v>
      </c>
    </row>
    <row r="33453" spans="1:8">
      <c r="H33453" t="s">
        <v>31972</v>
      </c>
    </row>
    <row r="33454" spans="1:8">
      <c r="H33454" t="s">
        <v>31973</v>
      </c>
    </row>
    <row r="33455" spans="1:8">
      <c r="H33455" t="s">
        <v>31974</v>
      </c>
    </row>
    <row r="33456" spans="1:8">
      <c r="H33456" t="s">
        <v>31975</v>
      </c>
    </row>
    <row r="33457" spans="1:8">
      <c r="H33457" t="s">
        <v>31976</v>
      </c>
    </row>
    <row r="33458" spans="1:8">
      <c r="H33458" t="s">
        <v>31977</v>
      </c>
    </row>
    <row r="33459" spans="1:8">
      <c r="H33459" t="s">
        <v>31972</v>
      </c>
    </row>
    <row r="33460" spans="1:8">
      <c r="H33460" t="s">
        <v>31973</v>
      </c>
    </row>
    <row r="33461" spans="1:8">
      <c r="H33461" t="s">
        <v>31978</v>
      </c>
    </row>
    <row r="33462" spans="1:8">
      <c r="H33462" t="s">
        <v>31979</v>
      </c>
    </row>
    <row r="33463" spans="1:8">
      <c r="H33463" t="s">
        <v>31972</v>
      </c>
    </row>
    <row r="33464" spans="1:8">
      <c r="H33464" t="s">
        <v>31973</v>
      </c>
    </row>
    <row r="33465" spans="1:8">
      <c r="A33465" t="s">
        <v>2516</v>
      </c>
      <c r="B33465">
        <f>HYPERLINK("https://android.googlesource.com/platform/cts/+/e63ece3278eab43bea6ffab48326d60103d0e79e", "e63ece3278eab43bea6ffab48326d60103d0e79e")</f>
        <v>0</v>
      </c>
      <c r="C33465">
        <f>HYPERLINK("https://android.googlesource.com/platform/cts/+/aa6f7390b80d198fc6915508d5727af1dd2dd165", "aa6f7390b80d198fc6915508d5727af1dd2dd165")</f>
        <v>0</v>
      </c>
      <c r="D33465" t="s">
        <v>5180</v>
      </c>
      <c r="E33465" t="s">
        <v>8245</v>
      </c>
      <c r="F33465" t="s">
        <v>13506</v>
      </c>
      <c r="G33465" t="s">
        <v>17623</v>
      </c>
      <c r="H33465" t="s">
        <v>31988</v>
      </c>
    </row>
    <row r="33466" spans="1:8">
      <c r="F33466" t="s">
        <v>13893</v>
      </c>
      <c r="G33466" t="s">
        <v>17930</v>
      </c>
      <c r="H33466" t="s">
        <v>31989</v>
      </c>
    </row>
    <row r="33467" spans="1:8">
      <c r="H33467" t="s">
        <v>31990</v>
      </c>
    </row>
    <row r="33468" spans="1:8">
      <c r="H33468" t="s">
        <v>31991</v>
      </c>
    </row>
    <row r="33469" spans="1:8">
      <c r="A33469" t="s">
        <v>2517</v>
      </c>
      <c r="B33469">
        <f>HYPERLINK("https://android.googlesource.com/platform/cts/+/2b3f20dd424487d034bfdb84e7f5587b34c1d314", "2b3f20dd424487d034bfdb84e7f5587b34c1d314")</f>
        <v>0</v>
      </c>
      <c r="C33469">
        <f>HYPERLINK("https://android.googlesource.com/platform/cts/+/17a6893c375da8129c2e75361bafac83432f4e6d", "17a6893c375da8129c2e75361bafac83432f4e6d")</f>
        <v>0</v>
      </c>
      <c r="D33469" t="s">
        <v>5332</v>
      </c>
      <c r="E33469" t="s">
        <v>8246</v>
      </c>
      <c r="F33469" t="s">
        <v>13894</v>
      </c>
      <c r="G33469" t="s">
        <v>17931</v>
      </c>
      <c r="H33469" t="s">
        <v>31992</v>
      </c>
    </row>
    <row r="33470" spans="1:8">
      <c r="A33470" t="s">
        <v>2518</v>
      </c>
      <c r="B33470">
        <f>HYPERLINK("https://android.googlesource.com/platform/cts/+/3d6972a62fed55f200720738703df55d33248933", "3d6972a62fed55f200720738703df55d33248933")</f>
        <v>0</v>
      </c>
      <c r="C33470">
        <f>HYPERLINK("https://android.googlesource.com/platform/cts/+/fded9620db4e3b44f0a8114251488d2f74ee4d05", "fded9620db4e3b44f0a8114251488d2f74ee4d05")</f>
        <v>0</v>
      </c>
      <c r="D33470" t="s">
        <v>5400</v>
      </c>
      <c r="E33470" t="s">
        <v>8247</v>
      </c>
      <c r="F33470" t="s">
        <v>13892</v>
      </c>
      <c r="G33470" t="s">
        <v>17929</v>
      </c>
      <c r="H33470" t="s">
        <v>31987</v>
      </c>
    </row>
    <row r="33471" spans="1:8">
      <c r="A33471" t="s">
        <v>2519</v>
      </c>
      <c r="B33471">
        <f>HYPERLINK("https://android.googlesource.com/platform/cts/+/ceb4aa2d26c9d25ce722ed2008731afb44b499aa", "ceb4aa2d26c9d25ce722ed2008731afb44b499aa")</f>
        <v>0</v>
      </c>
      <c r="C33471">
        <f>HYPERLINK("https://android.googlesource.com/platform/cts/+/c1c0a720de8609d6fd4da736edb1cbf4c0ceeacc", "c1c0a720de8609d6fd4da736edb1cbf4c0ceeacc")</f>
        <v>0</v>
      </c>
      <c r="D33471" t="s">
        <v>5410</v>
      </c>
      <c r="E33471" t="s">
        <v>8248</v>
      </c>
      <c r="F33471" t="s">
        <v>13895</v>
      </c>
      <c r="G33471" t="s">
        <v>17932</v>
      </c>
      <c r="H33471" t="s">
        <v>31993</v>
      </c>
    </row>
    <row r="33472" spans="1:8">
      <c r="H33472" t="s">
        <v>31994</v>
      </c>
    </row>
    <row r="33473" spans="6:8">
      <c r="F33473" t="s">
        <v>13896</v>
      </c>
      <c r="G33473" t="s">
        <v>17933</v>
      </c>
      <c r="H33473" t="s">
        <v>18829</v>
      </c>
    </row>
    <row r="33474" spans="6:8">
      <c r="H33474" t="s">
        <v>18863</v>
      </c>
    </row>
    <row r="33475" spans="6:8">
      <c r="H33475" t="s">
        <v>31995</v>
      </c>
    </row>
    <row r="33476" spans="6:8">
      <c r="H33476" t="s">
        <v>31996</v>
      </c>
    </row>
    <row r="33477" spans="6:8">
      <c r="H33477" t="s">
        <v>31997</v>
      </c>
    </row>
    <row r="33478" spans="6:8">
      <c r="H33478" t="s">
        <v>31998</v>
      </c>
    </row>
    <row r="33479" spans="6:8">
      <c r="H33479" t="s">
        <v>31999</v>
      </c>
    </row>
    <row r="33480" spans="6:8">
      <c r="H33480" t="s">
        <v>32000</v>
      </c>
    </row>
    <row r="33481" spans="6:8">
      <c r="H33481" t="s">
        <v>32001</v>
      </c>
    </row>
    <row r="33482" spans="6:8">
      <c r="H33482" t="s">
        <v>32002</v>
      </c>
    </row>
    <row r="33483" spans="6:8">
      <c r="H33483" t="s">
        <v>32003</v>
      </c>
    </row>
    <row r="33484" spans="6:8">
      <c r="H33484" t="s">
        <v>32004</v>
      </c>
    </row>
    <row r="33485" spans="6:8">
      <c r="H33485" t="s">
        <v>32005</v>
      </c>
    </row>
    <row r="33486" spans="6:8">
      <c r="H33486" t="s">
        <v>32006</v>
      </c>
    </row>
    <row r="33487" spans="6:8">
      <c r="H33487" t="s">
        <v>32007</v>
      </c>
    </row>
    <row r="33488" spans="6:8">
      <c r="F33488" t="s">
        <v>13739</v>
      </c>
      <c r="G33488" t="s">
        <v>17799</v>
      </c>
      <c r="H33488" t="s">
        <v>18829</v>
      </c>
    </row>
    <row r="33489" spans="8:8">
      <c r="H33489" t="s">
        <v>18863</v>
      </c>
    </row>
    <row r="33490" spans="8:8">
      <c r="H33490" t="s">
        <v>32008</v>
      </c>
    </row>
    <row r="33491" spans="8:8">
      <c r="H33491" t="s">
        <v>32009</v>
      </c>
    </row>
    <row r="33492" spans="8:8">
      <c r="H33492" t="s">
        <v>32010</v>
      </c>
    </row>
    <row r="33493" spans="8:8">
      <c r="H33493" t="s">
        <v>32011</v>
      </c>
    </row>
    <row r="33494" spans="8:8">
      <c r="H33494" t="s">
        <v>32012</v>
      </c>
    </row>
    <row r="33495" spans="8:8">
      <c r="H33495" t="s">
        <v>32013</v>
      </c>
    </row>
    <row r="33496" spans="8:8">
      <c r="H33496" t="s">
        <v>32014</v>
      </c>
    </row>
    <row r="33497" spans="8:8">
      <c r="H33497" t="s">
        <v>32015</v>
      </c>
    </row>
    <row r="33498" spans="8:8">
      <c r="H33498" t="s">
        <v>18893</v>
      </c>
    </row>
    <row r="33499" spans="8:8">
      <c r="H33499" t="s">
        <v>32016</v>
      </c>
    </row>
    <row r="33500" spans="8:8">
      <c r="H33500" t="s">
        <v>32017</v>
      </c>
    </row>
    <row r="33501" spans="8:8">
      <c r="H33501" t="s">
        <v>32018</v>
      </c>
    </row>
    <row r="33502" spans="8:8">
      <c r="H33502" t="s">
        <v>31300</v>
      </c>
    </row>
    <row r="33503" spans="8:8">
      <c r="H33503" t="s">
        <v>32019</v>
      </c>
    </row>
    <row r="33504" spans="8:8">
      <c r="H33504" t="s">
        <v>32020</v>
      </c>
    </row>
    <row r="33505" spans="8:8">
      <c r="H33505" t="s">
        <v>32021</v>
      </c>
    </row>
    <row r="33506" spans="8:8">
      <c r="H33506" t="s">
        <v>32022</v>
      </c>
    </row>
    <row r="33507" spans="8:8">
      <c r="H33507" t="s">
        <v>32023</v>
      </c>
    </row>
    <row r="33508" spans="8:8">
      <c r="H33508" t="s">
        <v>32024</v>
      </c>
    </row>
    <row r="33509" spans="8:8">
      <c r="H33509" t="s">
        <v>32025</v>
      </c>
    </row>
    <row r="33510" spans="8:8">
      <c r="H33510" t="s">
        <v>32026</v>
      </c>
    </row>
    <row r="33511" spans="8:8">
      <c r="H33511" t="s">
        <v>32027</v>
      </c>
    </row>
    <row r="33512" spans="8:8">
      <c r="H33512" t="s">
        <v>32028</v>
      </c>
    </row>
    <row r="33513" spans="8:8">
      <c r="H33513" t="s">
        <v>32029</v>
      </c>
    </row>
    <row r="33514" spans="8:8">
      <c r="H33514" t="s">
        <v>32030</v>
      </c>
    </row>
    <row r="33515" spans="8:8">
      <c r="H33515" t="s">
        <v>32031</v>
      </c>
    </row>
    <row r="33516" spans="8:8">
      <c r="H33516" t="s">
        <v>30170</v>
      </c>
    </row>
    <row r="33517" spans="8:8">
      <c r="H33517" t="s">
        <v>32032</v>
      </c>
    </row>
    <row r="33518" spans="8:8">
      <c r="H33518" t="s">
        <v>32033</v>
      </c>
    </row>
    <row r="33519" spans="8:8">
      <c r="H33519" t="s">
        <v>32034</v>
      </c>
    </row>
    <row r="33520" spans="8:8">
      <c r="H33520" t="s">
        <v>32035</v>
      </c>
    </row>
    <row r="33521" spans="8:8">
      <c r="H33521" t="s">
        <v>32036</v>
      </c>
    </row>
    <row r="33522" spans="8:8">
      <c r="H33522" t="s">
        <v>32037</v>
      </c>
    </row>
    <row r="33523" spans="8:8">
      <c r="H33523" t="s">
        <v>32038</v>
      </c>
    </row>
    <row r="33524" spans="8:8">
      <c r="H33524" t="s">
        <v>32039</v>
      </c>
    </row>
    <row r="33525" spans="8:8">
      <c r="H33525" t="s">
        <v>32040</v>
      </c>
    </row>
    <row r="33526" spans="8:8">
      <c r="H33526" t="s">
        <v>32041</v>
      </c>
    </row>
    <row r="33527" spans="8:8">
      <c r="H33527" t="s">
        <v>32042</v>
      </c>
    </row>
    <row r="33528" spans="8:8">
      <c r="H33528" t="s">
        <v>32043</v>
      </c>
    </row>
    <row r="33529" spans="8:8">
      <c r="H33529" t="s">
        <v>32044</v>
      </c>
    </row>
    <row r="33530" spans="8:8">
      <c r="H33530" t="s">
        <v>32045</v>
      </c>
    </row>
    <row r="33531" spans="8:8">
      <c r="H33531" t="s">
        <v>32046</v>
      </c>
    </row>
    <row r="33532" spans="8:8">
      <c r="H33532" t="s">
        <v>32047</v>
      </c>
    </row>
    <row r="33533" spans="8:8">
      <c r="H33533" t="s">
        <v>32048</v>
      </c>
    </row>
    <row r="33534" spans="8:8">
      <c r="H33534" t="s">
        <v>32049</v>
      </c>
    </row>
    <row r="33535" spans="8:8">
      <c r="H33535" t="s">
        <v>32050</v>
      </c>
    </row>
    <row r="33536" spans="8:8">
      <c r="H33536" t="s">
        <v>32051</v>
      </c>
    </row>
    <row r="33537" spans="8:8">
      <c r="H33537" t="s">
        <v>32052</v>
      </c>
    </row>
    <row r="33538" spans="8:8">
      <c r="H33538" t="s">
        <v>32053</v>
      </c>
    </row>
    <row r="33539" spans="8:8">
      <c r="H33539" t="s">
        <v>32054</v>
      </c>
    </row>
    <row r="33540" spans="8:8">
      <c r="H33540" t="s">
        <v>32055</v>
      </c>
    </row>
    <row r="33541" spans="8:8">
      <c r="H33541" t="s">
        <v>32056</v>
      </c>
    </row>
    <row r="33542" spans="8:8">
      <c r="H33542" t="s">
        <v>32057</v>
      </c>
    </row>
    <row r="33543" spans="8:8">
      <c r="H33543" t="s">
        <v>32058</v>
      </c>
    </row>
    <row r="33544" spans="8:8">
      <c r="H33544" t="s">
        <v>32059</v>
      </c>
    </row>
    <row r="33545" spans="8:8">
      <c r="H33545" t="s">
        <v>32060</v>
      </c>
    </row>
    <row r="33546" spans="8:8">
      <c r="H33546" t="s">
        <v>32061</v>
      </c>
    </row>
    <row r="33547" spans="8:8">
      <c r="H33547" t="s">
        <v>32062</v>
      </c>
    </row>
    <row r="33548" spans="8:8">
      <c r="H33548" t="s">
        <v>32063</v>
      </c>
    </row>
    <row r="33549" spans="8:8">
      <c r="H33549" t="s">
        <v>32064</v>
      </c>
    </row>
    <row r="33550" spans="8:8">
      <c r="H33550" t="s">
        <v>32065</v>
      </c>
    </row>
    <row r="33551" spans="8:8">
      <c r="H33551" t="s">
        <v>32066</v>
      </c>
    </row>
    <row r="33552" spans="8:8">
      <c r="H33552" t="s">
        <v>32067</v>
      </c>
    </row>
    <row r="33553" spans="8:8">
      <c r="H33553" t="s">
        <v>32068</v>
      </c>
    </row>
    <row r="33554" spans="8:8">
      <c r="H33554" t="s">
        <v>32069</v>
      </c>
    </row>
    <row r="33555" spans="8:8">
      <c r="H33555" t="s">
        <v>32070</v>
      </c>
    </row>
    <row r="33556" spans="8:8">
      <c r="H33556" t="s">
        <v>32071</v>
      </c>
    </row>
    <row r="33557" spans="8:8">
      <c r="H33557" t="s">
        <v>32072</v>
      </c>
    </row>
    <row r="33558" spans="8:8">
      <c r="H33558" t="s">
        <v>32073</v>
      </c>
    </row>
    <row r="33559" spans="8:8">
      <c r="H33559" t="s">
        <v>32074</v>
      </c>
    </row>
    <row r="33560" spans="8:8">
      <c r="H33560" t="s">
        <v>32075</v>
      </c>
    </row>
    <row r="33561" spans="8:8">
      <c r="H33561" t="s">
        <v>32076</v>
      </c>
    </row>
    <row r="33562" spans="8:8">
      <c r="H33562" t="s">
        <v>32077</v>
      </c>
    </row>
    <row r="33563" spans="8:8">
      <c r="H33563" t="s">
        <v>32078</v>
      </c>
    </row>
    <row r="33564" spans="8:8">
      <c r="H33564" t="s">
        <v>32078</v>
      </c>
    </row>
    <row r="33565" spans="8:8">
      <c r="H33565" t="s">
        <v>32079</v>
      </c>
    </row>
    <row r="33566" spans="8:8">
      <c r="H33566" t="s">
        <v>32079</v>
      </c>
    </row>
    <row r="33567" spans="8:8">
      <c r="H33567" t="s">
        <v>26401</v>
      </c>
    </row>
    <row r="33568" spans="8:8">
      <c r="H33568" t="s">
        <v>32080</v>
      </c>
    </row>
    <row r="33569" spans="8:8">
      <c r="H33569" t="s">
        <v>32081</v>
      </c>
    </row>
    <row r="33570" spans="8:8">
      <c r="H33570" t="s">
        <v>32082</v>
      </c>
    </row>
    <row r="33571" spans="8:8">
      <c r="H33571" t="s">
        <v>25729</v>
      </c>
    </row>
    <row r="33572" spans="8:8">
      <c r="H33572" t="s">
        <v>32083</v>
      </c>
    </row>
    <row r="33573" spans="8:8">
      <c r="H33573" t="s">
        <v>32084</v>
      </c>
    </row>
    <row r="33574" spans="8:8">
      <c r="H33574" t="s">
        <v>32085</v>
      </c>
    </row>
    <row r="33575" spans="8:8">
      <c r="H33575" t="s">
        <v>32086</v>
      </c>
    </row>
    <row r="33576" spans="8:8">
      <c r="H33576" t="s">
        <v>32087</v>
      </c>
    </row>
    <row r="33577" spans="8:8">
      <c r="H33577" t="s">
        <v>30168</v>
      </c>
    </row>
    <row r="33578" spans="8:8">
      <c r="H33578" t="s">
        <v>32088</v>
      </c>
    </row>
    <row r="33579" spans="8:8">
      <c r="H33579" t="s">
        <v>32089</v>
      </c>
    </row>
    <row r="33580" spans="8:8">
      <c r="H33580" t="s">
        <v>32090</v>
      </c>
    </row>
    <row r="33581" spans="8:8">
      <c r="H33581" t="s">
        <v>32091</v>
      </c>
    </row>
    <row r="33582" spans="8:8">
      <c r="H33582" t="s">
        <v>32092</v>
      </c>
    </row>
    <row r="33583" spans="8:8">
      <c r="H33583" t="s">
        <v>19374</v>
      </c>
    </row>
    <row r="33584" spans="8:8">
      <c r="H33584" t="s">
        <v>32093</v>
      </c>
    </row>
    <row r="33585" spans="6:8">
      <c r="F33585" t="s">
        <v>13897</v>
      </c>
      <c r="G33585" t="s">
        <v>17934</v>
      </c>
      <c r="H33585" t="s">
        <v>32094</v>
      </c>
    </row>
    <row r="33586" spans="6:8">
      <c r="H33586" t="s">
        <v>32095</v>
      </c>
    </row>
    <row r="33587" spans="6:8">
      <c r="H33587" t="s">
        <v>32096</v>
      </c>
    </row>
    <row r="33588" spans="6:8">
      <c r="H33588" t="s">
        <v>32097</v>
      </c>
    </row>
    <row r="33589" spans="6:8">
      <c r="H33589" t="s">
        <v>32098</v>
      </c>
    </row>
    <row r="33590" spans="6:8">
      <c r="H33590" t="s">
        <v>32099</v>
      </c>
    </row>
    <row r="33591" spans="6:8">
      <c r="F33591" t="s">
        <v>13732</v>
      </c>
      <c r="G33591" t="s">
        <v>17793</v>
      </c>
      <c r="H33591" t="s">
        <v>18829</v>
      </c>
    </row>
    <row r="33592" spans="6:8">
      <c r="H33592" t="s">
        <v>20304</v>
      </c>
    </row>
    <row r="33593" spans="6:8">
      <c r="H33593" t="s">
        <v>20305</v>
      </c>
    </row>
    <row r="33594" spans="6:8">
      <c r="H33594" t="s">
        <v>20306</v>
      </c>
    </row>
    <row r="33595" spans="6:8">
      <c r="H33595" t="s">
        <v>20307</v>
      </c>
    </row>
    <row r="33596" spans="6:8">
      <c r="H33596" t="s">
        <v>20308</v>
      </c>
    </row>
    <row r="33597" spans="6:8">
      <c r="H33597" t="s">
        <v>20309</v>
      </c>
    </row>
    <row r="33598" spans="6:8">
      <c r="H33598" t="s">
        <v>20310</v>
      </c>
    </row>
    <row r="33599" spans="6:8">
      <c r="H33599" t="s">
        <v>32100</v>
      </c>
    </row>
    <row r="33600" spans="6:8">
      <c r="H33600" t="s">
        <v>32101</v>
      </c>
    </row>
    <row r="33601" spans="8:8">
      <c r="H33601" t="s">
        <v>32102</v>
      </c>
    </row>
    <row r="33602" spans="8:8">
      <c r="H33602" t="s">
        <v>19646</v>
      </c>
    </row>
    <row r="33603" spans="8:8">
      <c r="H33603" t="s">
        <v>19647</v>
      </c>
    </row>
    <row r="33604" spans="8:8">
      <c r="H33604" t="s">
        <v>19648</v>
      </c>
    </row>
    <row r="33605" spans="8:8">
      <c r="H33605" t="s">
        <v>19649</v>
      </c>
    </row>
    <row r="33606" spans="8:8">
      <c r="H33606" t="s">
        <v>19650</v>
      </c>
    </row>
    <row r="33607" spans="8:8">
      <c r="H33607" t="s">
        <v>19651</v>
      </c>
    </row>
    <row r="33608" spans="8:8">
      <c r="H33608" t="s">
        <v>19652</v>
      </c>
    </row>
    <row r="33609" spans="8:8">
      <c r="H33609" t="s">
        <v>32103</v>
      </c>
    </row>
    <row r="33610" spans="8:8">
      <c r="H33610" t="s">
        <v>20311</v>
      </c>
    </row>
    <row r="33611" spans="8:8">
      <c r="H33611" t="s">
        <v>32104</v>
      </c>
    </row>
    <row r="33612" spans="8:8">
      <c r="H33612" t="s">
        <v>32105</v>
      </c>
    </row>
    <row r="33613" spans="8:8">
      <c r="H33613" t="s">
        <v>32106</v>
      </c>
    </row>
    <row r="33614" spans="8:8">
      <c r="H33614" t="s">
        <v>32107</v>
      </c>
    </row>
    <row r="33615" spans="8:8">
      <c r="H33615" t="s">
        <v>32108</v>
      </c>
    </row>
    <row r="33616" spans="8:8">
      <c r="H33616" t="s">
        <v>32109</v>
      </c>
    </row>
    <row r="33617" spans="1:8">
      <c r="H33617" t="s">
        <v>32110</v>
      </c>
    </row>
    <row r="33618" spans="1:8">
      <c r="H33618" t="s">
        <v>18927</v>
      </c>
    </row>
    <row r="33619" spans="1:8">
      <c r="H33619" t="s">
        <v>19264</v>
      </c>
    </row>
    <row r="33620" spans="1:8">
      <c r="H33620" t="s">
        <v>32111</v>
      </c>
    </row>
    <row r="33621" spans="1:8">
      <c r="H33621" t="s">
        <v>32112</v>
      </c>
    </row>
    <row r="33622" spans="1:8">
      <c r="A33622" t="s">
        <v>2520</v>
      </c>
      <c r="B33622">
        <f>HYPERLINK("https://android.googlesource.com/platform/cts/+/2d9f86920ec6c5e248bfb3b1c579f3096f7cf506", "2d9f86920ec6c5e248bfb3b1c579f3096f7cf506")</f>
        <v>0</v>
      </c>
      <c r="C33622">
        <f>HYPERLINK("https://android.googlesource.com/platform/cts/+/ff144b49d300cdfe996f6d4506a021e6690c9242", "ff144b49d300cdfe996f6d4506a021e6690c9242")</f>
        <v>0</v>
      </c>
      <c r="D33622" t="s">
        <v>5134</v>
      </c>
      <c r="E33622" t="s">
        <v>8249</v>
      </c>
      <c r="F33622" t="s">
        <v>13746</v>
      </c>
      <c r="G33622" t="s">
        <v>17806</v>
      </c>
      <c r="H33622" t="s">
        <v>32113</v>
      </c>
    </row>
    <row r="33623" spans="1:8">
      <c r="H33623" t="s">
        <v>32114</v>
      </c>
    </row>
    <row r="33624" spans="1:8">
      <c r="H33624" t="s">
        <v>32115</v>
      </c>
    </row>
    <row r="33625" spans="1:8">
      <c r="H33625" t="s">
        <v>31879</v>
      </c>
    </row>
    <row r="33626" spans="1:8">
      <c r="H33626" t="s">
        <v>19721</v>
      </c>
    </row>
    <row r="33627" spans="1:8">
      <c r="H33627" t="s">
        <v>19721</v>
      </c>
    </row>
    <row r="33628" spans="1:8">
      <c r="H33628" t="s">
        <v>32116</v>
      </c>
    </row>
    <row r="33629" spans="1:8">
      <c r="H33629" t="s">
        <v>32117</v>
      </c>
    </row>
    <row r="33630" spans="1:8">
      <c r="A33630" t="s">
        <v>2521</v>
      </c>
      <c r="B33630">
        <f>HYPERLINK("https://android.googlesource.com/platform/cts/+/49748dfcee2d397e7557824cc7bd9750e0fa5f61", "49748dfcee2d397e7557824cc7bd9750e0fa5f61")</f>
        <v>0</v>
      </c>
      <c r="C33630">
        <f>HYPERLINK("https://android.googlesource.com/platform/cts/+/2d9f86920ec6c5e248bfb3b1c579f3096f7cf506", "2d9f86920ec6c5e248bfb3b1c579f3096f7cf506")</f>
        <v>0</v>
      </c>
      <c r="D33630" t="s">
        <v>5134</v>
      </c>
      <c r="E33630" t="s">
        <v>8250</v>
      </c>
      <c r="F33630" t="s">
        <v>13760</v>
      </c>
      <c r="G33630" t="s">
        <v>17811</v>
      </c>
      <c r="H33630" t="s">
        <v>32118</v>
      </c>
    </row>
    <row r="33631" spans="1:8">
      <c r="H33631" t="s">
        <v>32119</v>
      </c>
    </row>
    <row r="33632" spans="1:8">
      <c r="H33632" t="s">
        <v>32120</v>
      </c>
    </row>
    <row r="33633" spans="6:8">
      <c r="H33633" t="s">
        <v>32121</v>
      </c>
    </row>
    <row r="33634" spans="6:8">
      <c r="H33634" t="s">
        <v>32122</v>
      </c>
    </row>
    <row r="33635" spans="6:8">
      <c r="H33635" t="s">
        <v>32123</v>
      </c>
    </row>
    <row r="33636" spans="6:8">
      <c r="H33636" t="s">
        <v>32124</v>
      </c>
    </row>
    <row r="33637" spans="6:8">
      <c r="H33637" t="s">
        <v>32125</v>
      </c>
    </row>
    <row r="33638" spans="6:8">
      <c r="F33638" t="s">
        <v>13898</v>
      </c>
      <c r="G33638" t="s">
        <v>17935</v>
      </c>
      <c r="H33638" t="s">
        <v>32126</v>
      </c>
    </row>
    <row r="33639" spans="6:8">
      <c r="H33639" t="s">
        <v>32119</v>
      </c>
    </row>
    <row r="33640" spans="6:8">
      <c r="H33640" t="s">
        <v>32120</v>
      </c>
    </row>
    <row r="33641" spans="6:8">
      <c r="H33641" t="s">
        <v>32127</v>
      </c>
    </row>
    <row r="33642" spans="6:8">
      <c r="F33642" t="s">
        <v>13765</v>
      </c>
      <c r="G33642" t="s">
        <v>17822</v>
      </c>
      <c r="H33642" t="s">
        <v>32128</v>
      </c>
    </row>
    <row r="33643" spans="6:8">
      <c r="H33643" t="s">
        <v>32119</v>
      </c>
    </row>
    <row r="33644" spans="6:8">
      <c r="H33644" t="s">
        <v>32129</v>
      </c>
    </row>
    <row r="33645" spans="6:8">
      <c r="H33645" t="s">
        <v>32130</v>
      </c>
    </row>
    <row r="33646" spans="6:8">
      <c r="H33646" t="s">
        <v>32131</v>
      </c>
    </row>
    <row r="33647" spans="6:8">
      <c r="H33647" t="s">
        <v>32132</v>
      </c>
    </row>
    <row r="33648" spans="6:8">
      <c r="H33648" t="s">
        <v>32133</v>
      </c>
    </row>
    <row r="33649" spans="8:8">
      <c r="H33649" t="s">
        <v>32134</v>
      </c>
    </row>
    <row r="33650" spans="8:8">
      <c r="H33650" t="s">
        <v>32135</v>
      </c>
    </row>
    <row r="33651" spans="8:8">
      <c r="H33651" t="s">
        <v>32136</v>
      </c>
    </row>
    <row r="33652" spans="8:8">
      <c r="H33652" t="s">
        <v>32137</v>
      </c>
    </row>
    <row r="33653" spans="8:8">
      <c r="H33653" t="s">
        <v>32138</v>
      </c>
    </row>
    <row r="33654" spans="8:8">
      <c r="H33654" t="s">
        <v>32139</v>
      </c>
    </row>
    <row r="33655" spans="8:8">
      <c r="H33655" t="s">
        <v>32140</v>
      </c>
    </row>
    <row r="33656" spans="8:8">
      <c r="H33656" t="s">
        <v>32141</v>
      </c>
    </row>
    <row r="33657" spans="8:8">
      <c r="H33657" t="s">
        <v>32142</v>
      </c>
    </row>
    <row r="33658" spans="8:8">
      <c r="H33658" t="s">
        <v>32143</v>
      </c>
    </row>
    <row r="33659" spans="8:8">
      <c r="H33659" t="s">
        <v>32144</v>
      </c>
    </row>
    <row r="33660" spans="8:8">
      <c r="H33660" t="s">
        <v>32145</v>
      </c>
    </row>
    <row r="33661" spans="8:8">
      <c r="H33661" t="s">
        <v>32146</v>
      </c>
    </row>
    <row r="33662" spans="8:8">
      <c r="H33662" t="s">
        <v>31590</v>
      </c>
    </row>
    <row r="33663" spans="8:8">
      <c r="H33663" t="s">
        <v>32147</v>
      </c>
    </row>
    <row r="33664" spans="8:8">
      <c r="H33664" t="s">
        <v>32148</v>
      </c>
    </row>
    <row r="33665" spans="6:8">
      <c r="H33665" t="s">
        <v>32149</v>
      </c>
    </row>
    <row r="33666" spans="6:8">
      <c r="H33666" t="s">
        <v>32150</v>
      </c>
    </row>
    <row r="33667" spans="6:8">
      <c r="H33667" t="s">
        <v>32151</v>
      </c>
    </row>
    <row r="33668" spans="6:8">
      <c r="H33668" t="s">
        <v>32152</v>
      </c>
    </row>
    <row r="33669" spans="6:8">
      <c r="H33669" t="s">
        <v>32153</v>
      </c>
    </row>
    <row r="33670" spans="6:8">
      <c r="H33670" t="s">
        <v>32154</v>
      </c>
    </row>
    <row r="33671" spans="6:8">
      <c r="H33671" t="s">
        <v>32155</v>
      </c>
    </row>
    <row r="33672" spans="6:8">
      <c r="H33672" t="s">
        <v>32156</v>
      </c>
    </row>
    <row r="33673" spans="6:8">
      <c r="H33673" t="s">
        <v>32157</v>
      </c>
    </row>
    <row r="33674" spans="6:8">
      <c r="H33674" t="s">
        <v>32158</v>
      </c>
    </row>
    <row r="33675" spans="6:8">
      <c r="H33675" t="s">
        <v>18896</v>
      </c>
    </row>
    <row r="33676" spans="6:8">
      <c r="H33676" t="s">
        <v>32159</v>
      </c>
    </row>
    <row r="33677" spans="6:8">
      <c r="H33677" t="s">
        <v>32160</v>
      </c>
    </row>
    <row r="33678" spans="6:8">
      <c r="H33678" t="s">
        <v>32161</v>
      </c>
    </row>
    <row r="33679" spans="6:8">
      <c r="F33679" t="s">
        <v>13756</v>
      </c>
      <c r="G33679" t="s">
        <v>17371</v>
      </c>
      <c r="H33679" t="s">
        <v>32162</v>
      </c>
    </row>
    <row r="33680" spans="6:8">
      <c r="H33680" t="s">
        <v>32119</v>
      </c>
    </row>
    <row r="33681" spans="8:8">
      <c r="H33681" t="s">
        <v>32129</v>
      </c>
    </row>
    <row r="33682" spans="8:8">
      <c r="H33682" t="s">
        <v>32163</v>
      </c>
    </row>
    <row r="33683" spans="8:8">
      <c r="H33683" t="s">
        <v>32164</v>
      </c>
    </row>
    <row r="33684" spans="8:8">
      <c r="H33684" t="s">
        <v>32165</v>
      </c>
    </row>
    <row r="33685" spans="8:8">
      <c r="H33685" t="s">
        <v>32166</v>
      </c>
    </row>
    <row r="33686" spans="8:8">
      <c r="H33686" t="s">
        <v>32167</v>
      </c>
    </row>
    <row r="33687" spans="8:8">
      <c r="H33687" t="s">
        <v>32168</v>
      </c>
    </row>
    <row r="33688" spans="8:8">
      <c r="H33688" t="s">
        <v>32169</v>
      </c>
    </row>
    <row r="33689" spans="8:8">
      <c r="H33689" t="s">
        <v>32170</v>
      </c>
    </row>
    <row r="33690" spans="8:8">
      <c r="H33690" t="s">
        <v>32171</v>
      </c>
    </row>
    <row r="33691" spans="8:8">
      <c r="H33691" t="s">
        <v>32172</v>
      </c>
    </row>
    <row r="33692" spans="8:8">
      <c r="H33692" t="s">
        <v>32173</v>
      </c>
    </row>
    <row r="33693" spans="8:8">
      <c r="H33693" t="s">
        <v>32174</v>
      </c>
    </row>
    <row r="33694" spans="8:8">
      <c r="H33694" t="s">
        <v>32175</v>
      </c>
    </row>
    <row r="33695" spans="8:8">
      <c r="H33695" t="s">
        <v>32176</v>
      </c>
    </row>
    <row r="33696" spans="8:8">
      <c r="H33696" t="s">
        <v>32177</v>
      </c>
    </row>
    <row r="33697" spans="6:8">
      <c r="H33697" t="s">
        <v>32178</v>
      </c>
    </row>
    <row r="33698" spans="6:8">
      <c r="H33698" t="s">
        <v>32179</v>
      </c>
    </row>
    <row r="33699" spans="6:8">
      <c r="H33699" t="s">
        <v>32180</v>
      </c>
    </row>
    <row r="33700" spans="6:8">
      <c r="F33700" t="s">
        <v>13814</v>
      </c>
      <c r="G33700" t="s">
        <v>17936</v>
      </c>
      <c r="H33700" t="s">
        <v>32181</v>
      </c>
    </row>
    <row r="33701" spans="6:8">
      <c r="H33701" t="s">
        <v>32182</v>
      </c>
    </row>
    <row r="33702" spans="6:8">
      <c r="H33702" t="s">
        <v>32183</v>
      </c>
    </row>
    <row r="33703" spans="6:8">
      <c r="H33703" t="s">
        <v>32184</v>
      </c>
    </row>
    <row r="33704" spans="6:8">
      <c r="H33704" t="s">
        <v>32185</v>
      </c>
    </row>
    <row r="33705" spans="6:8">
      <c r="H33705" t="s">
        <v>32186</v>
      </c>
    </row>
    <row r="33706" spans="6:8">
      <c r="H33706" t="s">
        <v>32187</v>
      </c>
    </row>
    <row r="33707" spans="6:8">
      <c r="H33707" t="s">
        <v>32188</v>
      </c>
    </row>
    <row r="33708" spans="6:8">
      <c r="H33708" t="s">
        <v>32189</v>
      </c>
    </row>
    <row r="33709" spans="6:8">
      <c r="H33709" t="s">
        <v>32190</v>
      </c>
    </row>
    <row r="33710" spans="6:8">
      <c r="H33710" t="s">
        <v>32191</v>
      </c>
    </row>
    <row r="33711" spans="6:8">
      <c r="H33711" t="s">
        <v>32192</v>
      </c>
    </row>
    <row r="33712" spans="6:8">
      <c r="H33712" t="s">
        <v>32193</v>
      </c>
    </row>
    <row r="33713" spans="1:8">
      <c r="H33713" t="s">
        <v>32194</v>
      </c>
    </row>
    <row r="33714" spans="1:8">
      <c r="H33714" t="s">
        <v>32195</v>
      </c>
    </row>
    <row r="33715" spans="1:8">
      <c r="A33715" t="s">
        <v>2522</v>
      </c>
      <c r="B33715">
        <f>HYPERLINK("https://android.googlesource.com/platform/cts/+/aa208ee8d9b657b45eb6b71849931f5049f30dd2", "aa208ee8d9b657b45eb6b71849931f5049f30dd2")</f>
        <v>0</v>
      </c>
      <c r="C33715">
        <f>HYPERLINK("https://android.googlesource.com/platform/cts/+/5e0196d6b63161ac6834bb63a19d5cabbd9d56a8", "5e0196d6b63161ac6834bb63a19d5cabbd9d56a8")</f>
        <v>0</v>
      </c>
      <c r="D33715" t="s">
        <v>5403</v>
      </c>
      <c r="E33715" t="s">
        <v>8251</v>
      </c>
      <c r="F33715" t="s">
        <v>13867</v>
      </c>
      <c r="G33715" t="s">
        <v>15101</v>
      </c>
      <c r="H33715" t="s">
        <v>32196</v>
      </c>
    </row>
    <row r="33716" spans="1:8">
      <c r="A33716" t="s">
        <v>2523</v>
      </c>
      <c r="B33716">
        <f>HYPERLINK("https://android.googlesource.com/platform/cts/+/47aa4a86dbdb3d16e848dbdd0e0f8cb0a8d9d8e5", "47aa4a86dbdb3d16e848dbdd0e0f8cb0a8d9d8e5")</f>
        <v>0</v>
      </c>
      <c r="C33716">
        <f>HYPERLINK("https://android.googlesource.com/platform/cts/+/3d6972a62fed55f200720738703df55d33248933", "3d6972a62fed55f200720738703df55d33248933")</f>
        <v>0</v>
      </c>
      <c r="D33716" t="s">
        <v>5400</v>
      </c>
      <c r="E33716" t="s">
        <v>8252</v>
      </c>
      <c r="F33716" t="s">
        <v>13892</v>
      </c>
      <c r="G33716" t="s">
        <v>17929</v>
      </c>
      <c r="H33716" t="s">
        <v>18829</v>
      </c>
    </row>
    <row r="33717" spans="1:8">
      <c r="F33717" t="s">
        <v>13851</v>
      </c>
      <c r="G33717" t="s">
        <v>17893</v>
      </c>
      <c r="H33717" t="s">
        <v>18829</v>
      </c>
    </row>
    <row r="33718" spans="1:8">
      <c r="A33718" t="s">
        <v>2524</v>
      </c>
      <c r="B33718">
        <f>HYPERLINK("https://android.googlesource.com/platform/cts/+/6de3cc69c9462f0da94a25ab5ced7b411c1ce3f9", "6de3cc69c9462f0da94a25ab5ced7b411c1ce3f9")</f>
        <v>0</v>
      </c>
      <c r="C33718">
        <f>HYPERLINK("https://android.googlesource.com/platform/cts/+/186f3fc827a2b0ae18a3b9ecef4f802ffb0c30d2", "186f3fc827a2b0ae18a3b9ecef4f802ffb0c30d2")</f>
        <v>0</v>
      </c>
      <c r="D33718" t="s">
        <v>5396</v>
      </c>
      <c r="E33718" t="s">
        <v>8253</v>
      </c>
      <c r="F33718" t="s">
        <v>13846</v>
      </c>
      <c r="G33718" t="s">
        <v>17889</v>
      </c>
      <c r="H33718" t="s">
        <v>32197</v>
      </c>
    </row>
    <row r="33719" spans="1:8">
      <c r="H33719" t="s">
        <v>32198</v>
      </c>
    </row>
    <row r="33720" spans="1:8">
      <c r="F33720" t="s">
        <v>13899</v>
      </c>
      <c r="G33720" t="s">
        <v>17889</v>
      </c>
      <c r="H33720" t="s">
        <v>32197</v>
      </c>
    </row>
    <row r="33721" spans="1:8">
      <c r="H33721" t="s">
        <v>32198</v>
      </c>
    </row>
    <row r="33722" spans="1:8">
      <c r="A33722" t="s">
        <v>2525</v>
      </c>
      <c r="B33722">
        <f>HYPERLINK("https://android.googlesource.com/platform/cts/+/62d71fe94d5391cad1184f3aa0bda0e590e90413", "62d71fe94d5391cad1184f3aa0bda0e590e90413")</f>
        <v>0</v>
      </c>
      <c r="C33722">
        <f>HYPERLINK("https://android.googlesource.com/platform/cts/+/c0de7393e0ddf9b62d5adc76e906c445966f6472", "c0de7393e0ddf9b62d5adc76e906c445966f6472")</f>
        <v>0</v>
      </c>
      <c r="D33722" t="s">
        <v>5122</v>
      </c>
      <c r="E33722" t="s">
        <v>8254</v>
      </c>
      <c r="F33722" t="s">
        <v>13781</v>
      </c>
      <c r="G33722" t="s">
        <v>17835</v>
      </c>
      <c r="H33722" t="s">
        <v>32199</v>
      </c>
    </row>
    <row r="33723" spans="1:8">
      <c r="H33723" t="s">
        <v>32200</v>
      </c>
    </row>
    <row r="33724" spans="1:8">
      <c r="H33724" t="s">
        <v>32201</v>
      </c>
    </row>
    <row r="33725" spans="1:8">
      <c r="H33725" t="s">
        <v>32202</v>
      </c>
    </row>
    <row r="33726" spans="1:8">
      <c r="H33726" t="s">
        <v>32203</v>
      </c>
    </row>
    <row r="33727" spans="1:8">
      <c r="H33727" t="s">
        <v>32204</v>
      </c>
    </row>
    <row r="33728" spans="1:8">
      <c r="H33728" t="s">
        <v>32205</v>
      </c>
    </row>
    <row r="33729" spans="1:8">
      <c r="A33729" t="s">
        <v>2526</v>
      </c>
      <c r="B33729">
        <f>HYPERLINK("https://android.googlesource.com/platform/cts/+/e7ca1e87bb99bdb344b8e4d927aa904b10c0d65e", "e7ca1e87bb99bdb344b8e4d927aa904b10c0d65e")</f>
        <v>0</v>
      </c>
      <c r="C33729">
        <f>HYPERLINK("https://android.googlesource.com/platform/cts/+/5e0196d6b63161ac6834bb63a19d5cabbd9d56a8", "5e0196d6b63161ac6834bb63a19d5cabbd9d56a8")</f>
        <v>0</v>
      </c>
      <c r="D33729" t="s">
        <v>5027</v>
      </c>
      <c r="E33729" t="s">
        <v>8255</v>
      </c>
      <c r="F33729" t="s">
        <v>13900</v>
      </c>
      <c r="G33729" t="s">
        <v>17937</v>
      </c>
      <c r="H33729" t="s">
        <v>30030</v>
      </c>
    </row>
    <row r="33730" spans="1:8">
      <c r="H33730" t="s">
        <v>32206</v>
      </c>
    </row>
    <row r="33731" spans="1:8">
      <c r="H33731" t="s">
        <v>32207</v>
      </c>
    </row>
    <row r="33732" spans="1:8">
      <c r="H33732" t="s">
        <v>32208</v>
      </c>
    </row>
    <row r="33733" spans="1:8">
      <c r="H33733" t="s">
        <v>19013</v>
      </c>
    </row>
    <row r="33734" spans="1:8">
      <c r="H33734" t="s">
        <v>18835</v>
      </c>
    </row>
    <row r="33735" spans="1:8">
      <c r="H33735" t="s">
        <v>31384</v>
      </c>
    </row>
    <row r="33736" spans="1:8">
      <c r="A33736" t="s">
        <v>2527</v>
      </c>
      <c r="B33736">
        <f>HYPERLINK("https://android.googlesource.com/platform/cts/+/22a57d190517473014c10aa64718631f18adc608", "22a57d190517473014c10aa64718631f18adc608")</f>
        <v>0</v>
      </c>
      <c r="C33736">
        <f>HYPERLINK("https://android.googlesource.com/platform/cts/+/3ea8a7e22fd24b328e5f54edeac4a05154f89cc0", "3ea8a7e22fd24b328e5f54edeac4a05154f89cc0")</f>
        <v>0</v>
      </c>
      <c r="D33736" t="s">
        <v>5182</v>
      </c>
      <c r="E33736" t="s">
        <v>8256</v>
      </c>
      <c r="F33736" t="s">
        <v>13901</v>
      </c>
      <c r="G33736" t="s">
        <v>17938</v>
      </c>
      <c r="H33736" t="s">
        <v>32209</v>
      </c>
    </row>
    <row r="33737" spans="1:8">
      <c r="H33737" t="s">
        <v>32210</v>
      </c>
    </row>
    <row r="33738" spans="1:8">
      <c r="A33738" t="s">
        <v>2528</v>
      </c>
      <c r="B33738">
        <f>HYPERLINK("https://android.googlesource.com/platform/cts/+/5d533ed09e77e5a0ff24ff55de869df118bc506e", "5d533ed09e77e5a0ff24ff55de869df118bc506e")</f>
        <v>0</v>
      </c>
      <c r="C33738">
        <f>HYPERLINK("https://android.googlesource.com/platform/cts/+/a74027bcebba866ea4e3bb27c68320b495d6f943", "a74027bcebba866ea4e3bb27c68320b495d6f943")</f>
        <v>0</v>
      </c>
      <c r="D33738" t="s">
        <v>5307</v>
      </c>
      <c r="E33738" t="s">
        <v>8257</v>
      </c>
      <c r="F33738" t="s">
        <v>13902</v>
      </c>
      <c r="G33738" t="s">
        <v>17939</v>
      </c>
      <c r="H33738" t="s">
        <v>32211</v>
      </c>
    </row>
    <row r="33739" spans="1:8">
      <c r="H33739" t="s">
        <v>32212</v>
      </c>
    </row>
    <row r="33740" spans="1:8">
      <c r="H33740" t="s">
        <v>32213</v>
      </c>
    </row>
    <row r="33741" spans="1:8">
      <c r="A33741" t="s">
        <v>2529</v>
      </c>
      <c r="B33741">
        <f>HYPERLINK("https://android.googlesource.com/platform/cts/+/0fa57ec46cf3ccd979297a10c6ae236f34d30542", "0fa57ec46cf3ccd979297a10c6ae236f34d30542")</f>
        <v>0</v>
      </c>
      <c r="C33741">
        <f>HYPERLINK("https://android.googlesource.com/platform/cts/+/ae6291f54af160232bec414287af4c12d0a72f50", "ae6291f54af160232bec414287af4c12d0a72f50")</f>
        <v>0</v>
      </c>
      <c r="D33741" t="s">
        <v>5400</v>
      </c>
      <c r="E33741" t="s">
        <v>8258</v>
      </c>
      <c r="F33741" t="s">
        <v>13892</v>
      </c>
      <c r="G33741" t="s">
        <v>17929</v>
      </c>
      <c r="H33741" t="s">
        <v>31987</v>
      </c>
    </row>
    <row r="33742" spans="1:8">
      <c r="A33742" t="s">
        <v>2530</v>
      </c>
      <c r="B33742">
        <f>HYPERLINK("https://android.googlesource.com/platform/cts/+/4b922f5420439bd544bc51660883542ea96d92ed", "4b922f5420439bd544bc51660883542ea96d92ed")</f>
        <v>0</v>
      </c>
      <c r="C33742">
        <f>HYPERLINK("https://android.googlesource.com/platform/cts/+/b552eb2d06d226bdb880a004841757d5f06a89a8", "b552eb2d06d226bdb880a004841757d5f06a89a8")</f>
        <v>0</v>
      </c>
      <c r="D33742" t="s">
        <v>5134</v>
      </c>
      <c r="E33742" t="s">
        <v>8259</v>
      </c>
      <c r="F33742" t="s">
        <v>13903</v>
      </c>
      <c r="G33742" t="s">
        <v>17940</v>
      </c>
      <c r="H33742" t="s">
        <v>32214</v>
      </c>
    </row>
    <row r="33743" spans="1:8">
      <c r="H33743" t="s">
        <v>32215</v>
      </c>
    </row>
    <row r="33744" spans="1:8">
      <c r="H33744" t="s">
        <v>32216</v>
      </c>
    </row>
    <row r="33745" spans="1:8">
      <c r="A33745" t="s">
        <v>2531</v>
      </c>
      <c r="B33745">
        <f>HYPERLINK("https://android.googlesource.com/platform/cts/+/c71a40c1af87ba0c937276b9b7e9e3ab0a57350e", "c71a40c1af87ba0c937276b9b7e9e3ab0a57350e")</f>
        <v>0</v>
      </c>
      <c r="C33745">
        <f>HYPERLINK("https://android.googlesource.com/platform/cts/+/2761e853b2c01b420a6fb71be26f5116cc4a6cde", "2761e853b2c01b420a6fb71be26f5116cc4a6cde")</f>
        <v>0</v>
      </c>
      <c r="D33745" t="s">
        <v>5084</v>
      </c>
      <c r="E33745" t="s">
        <v>8260</v>
      </c>
      <c r="F33745" t="s">
        <v>13904</v>
      </c>
      <c r="G33745" t="s">
        <v>17941</v>
      </c>
      <c r="H33745" t="s">
        <v>32217</v>
      </c>
    </row>
    <row r="33746" spans="1:8">
      <c r="H33746" t="s">
        <v>32218</v>
      </c>
    </row>
    <row r="33747" spans="1:8">
      <c r="H33747" t="s">
        <v>32219</v>
      </c>
    </row>
    <row r="33748" spans="1:8">
      <c r="A33748" t="s">
        <v>2532</v>
      </c>
      <c r="B33748">
        <f>HYPERLINK("https://android.googlesource.com/platform/cts/+/79b2b27743b2c0a1ec90e3df5c7db09e68c1a5d8", "79b2b27743b2c0a1ec90e3df5c7db09e68c1a5d8")</f>
        <v>0</v>
      </c>
      <c r="C33748">
        <f>HYPERLINK("https://android.googlesource.com/platform/cts/+/0fa57ec46cf3ccd979297a10c6ae236f34d30542", "0fa57ec46cf3ccd979297a10c6ae236f34d30542")</f>
        <v>0</v>
      </c>
      <c r="D33748" t="s">
        <v>5406</v>
      </c>
      <c r="E33748" t="s">
        <v>8261</v>
      </c>
      <c r="F33748" t="s">
        <v>13892</v>
      </c>
      <c r="G33748" t="s">
        <v>17929</v>
      </c>
      <c r="H33748" t="s">
        <v>18829</v>
      </c>
    </row>
    <row r="33749" spans="1:8">
      <c r="F33749" t="s">
        <v>13851</v>
      </c>
      <c r="G33749" t="s">
        <v>17893</v>
      </c>
      <c r="H33749" t="s">
        <v>18829</v>
      </c>
    </row>
    <row r="33750" spans="1:8">
      <c r="A33750" t="s">
        <v>2533</v>
      </c>
      <c r="B33750">
        <f>HYPERLINK("https://android.googlesource.com/platform/cts/+/3cfca82296b999573414a6cc3d56df81f3ddd033", "3cfca82296b999573414a6cc3d56df81f3ddd033")</f>
        <v>0</v>
      </c>
      <c r="C33750">
        <f>HYPERLINK("https://android.googlesource.com/platform/cts/+/959b8729847d86f7e19099c8ad0bc5bb92bd0daa", "959b8729847d86f7e19099c8ad0bc5bb92bd0daa")</f>
        <v>0</v>
      </c>
      <c r="D33750" t="s">
        <v>5400</v>
      </c>
      <c r="E33750" t="s">
        <v>8262</v>
      </c>
      <c r="F33750" t="s">
        <v>13892</v>
      </c>
      <c r="G33750" t="s">
        <v>17929</v>
      </c>
      <c r="H33750" t="s">
        <v>31987</v>
      </c>
    </row>
    <row r="33751" spans="1:8">
      <c r="A33751" t="s">
        <v>2534</v>
      </c>
      <c r="B33751">
        <f>HYPERLINK("https://android.googlesource.com/platform/cts/+/6104779297c522a92f552514c6740fe526267a6e", "6104779297c522a92f552514c6740fe526267a6e")</f>
        <v>0</v>
      </c>
      <c r="C33751">
        <f>HYPERLINK("https://android.googlesource.com/platform/cts/+/5af4548e50bf58352e161975e20efeac26c3fe6b", "5af4548e50bf58352e161975e20efeac26c3fe6b")</f>
        <v>0</v>
      </c>
      <c r="D33751" t="s">
        <v>5347</v>
      </c>
      <c r="E33751" t="s">
        <v>8263</v>
      </c>
      <c r="F33751" t="s">
        <v>10780</v>
      </c>
      <c r="G33751" t="s">
        <v>15176</v>
      </c>
      <c r="H33751" t="s">
        <v>27857</v>
      </c>
    </row>
    <row r="33752" spans="1:8">
      <c r="F33752" t="s">
        <v>10644</v>
      </c>
      <c r="G33752" t="s">
        <v>15045</v>
      </c>
      <c r="H33752" t="s">
        <v>27857</v>
      </c>
    </row>
    <row r="33753" spans="1:8">
      <c r="A33753" t="s">
        <v>2535</v>
      </c>
      <c r="B33753">
        <f>HYPERLINK("https://android.googlesource.com/platform/cts/+/2aea50dd0da8b2cdc9b26a6c4ad26ec22da81a16", "2aea50dd0da8b2cdc9b26a6c4ad26ec22da81a16")</f>
        <v>0</v>
      </c>
      <c r="C33753">
        <f>HYPERLINK("https://android.googlesource.com/platform/cts/+/51ad828aa32ad434f2a155651eb3e4f4374450cc", "51ad828aa32ad434f2a155651eb3e4f4374450cc")</f>
        <v>0</v>
      </c>
      <c r="D33753" t="s">
        <v>4949</v>
      </c>
      <c r="E33753" t="s">
        <v>8264</v>
      </c>
      <c r="F33753" t="s">
        <v>13905</v>
      </c>
      <c r="G33753" t="s">
        <v>17942</v>
      </c>
      <c r="H33753" t="s">
        <v>32220</v>
      </c>
    </row>
    <row r="33754" spans="1:8">
      <c r="H33754" t="s">
        <v>32221</v>
      </c>
    </row>
    <row r="33755" spans="1:8">
      <c r="A33755" t="s">
        <v>2536</v>
      </c>
      <c r="B33755">
        <f>HYPERLINK("https://android.googlesource.com/platform/cts/+/11ba5593e3517f5d96a96deae2a8b7d5c5fdbb6c", "11ba5593e3517f5d96a96deae2a8b7d5c5fdbb6c")</f>
        <v>0</v>
      </c>
      <c r="C33755">
        <f>HYPERLINK("https://android.googlesource.com/platform/cts/+/493fe5e260290ec3af844a8a30b1ef89930ac2d0", "493fe5e260290ec3af844a8a30b1ef89930ac2d0")</f>
        <v>0</v>
      </c>
      <c r="D33755" t="s">
        <v>5122</v>
      </c>
      <c r="E33755" t="s">
        <v>8265</v>
      </c>
      <c r="F33755" t="s">
        <v>13781</v>
      </c>
      <c r="G33755" t="s">
        <v>17835</v>
      </c>
      <c r="H33755" t="s">
        <v>32222</v>
      </c>
    </row>
    <row r="33756" spans="1:8">
      <c r="A33756" t="s">
        <v>2537</v>
      </c>
      <c r="B33756">
        <f>HYPERLINK("https://android.googlesource.com/platform/cts/+/5f0b52e42b693fa737aedcc3cd2469586e3a8474", "5f0b52e42b693fa737aedcc3cd2469586e3a8474")</f>
        <v>0</v>
      </c>
      <c r="C33756">
        <f>HYPERLINK("https://android.googlesource.com/platform/cts/+/c3dab7513cfbccf652e9aa014ce88771c97fb165", "c3dab7513cfbccf652e9aa014ce88771c97fb165")</f>
        <v>0</v>
      </c>
      <c r="D33756" t="s">
        <v>5233</v>
      </c>
      <c r="E33756" t="s">
        <v>8266</v>
      </c>
      <c r="F33756" t="s">
        <v>10780</v>
      </c>
      <c r="G33756" t="s">
        <v>15176</v>
      </c>
      <c r="H33756" t="s">
        <v>27857</v>
      </c>
    </row>
    <row r="33757" spans="1:8">
      <c r="F33757" t="s">
        <v>10644</v>
      </c>
      <c r="G33757" t="s">
        <v>15045</v>
      </c>
      <c r="H33757" t="s">
        <v>27857</v>
      </c>
    </row>
    <row r="33758" spans="1:8">
      <c r="A33758" t="s">
        <v>2538</v>
      </c>
      <c r="B33758">
        <f>HYPERLINK("https://android.googlesource.com/platform/cts/+/44e2485de2ed192a27425a02d0584cd051db1ca8", "44e2485de2ed192a27425a02d0584cd051db1ca8")</f>
        <v>0</v>
      </c>
      <c r="C33758">
        <f>HYPERLINK("https://android.googlesource.com/platform/cts/+/b4c24ddf7124ca2a8715d7f766711146def899aa", "b4c24ddf7124ca2a8715d7f766711146def899aa")</f>
        <v>0</v>
      </c>
      <c r="D33758" t="s">
        <v>5307</v>
      </c>
      <c r="E33758" t="s">
        <v>8267</v>
      </c>
      <c r="F33758" t="s">
        <v>13333</v>
      </c>
      <c r="G33758" t="s">
        <v>17463</v>
      </c>
      <c r="H33758" t="s">
        <v>32223</v>
      </c>
    </row>
    <row r="33759" spans="1:8">
      <c r="H33759" t="s">
        <v>32224</v>
      </c>
    </row>
    <row r="33760" spans="1:8">
      <c r="H33760" t="s">
        <v>32225</v>
      </c>
    </row>
    <row r="33761" spans="1:8">
      <c r="A33761" t="s">
        <v>2539</v>
      </c>
      <c r="B33761">
        <f>HYPERLINK("https://android.googlesource.com/platform/cts/+/0fb0b99b57af2a86884c464f207e12608d31e01e", "0fb0b99b57af2a86884c464f207e12608d31e01e")</f>
        <v>0</v>
      </c>
      <c r="C33761">
        <f>HYPERLINK("https://android.googlesource.com/platform/cts/+/05a79cc04292b072029520d328c00bb3ece98562", "05a79cc04292b072029520d328c00bb3ece98562")</f>
        <v>0</v>
      </c>
      <c r="D33761" t="s">
        <v>4952</v>
      </c>
      <c r="E33761" t="s">
        <v>8268</v>
      </c>
      <c r="F33761" t="s">
        <v>12835</v>
      </c>
      <c r="G33761" t="s">
        <v>16417</v>
      </c>
      <c r="H33761" t="s">
        <v>18829</v>
      </c>
    </row>
    <row r="33762" spans="1:8">
      <c r="H33762" t="s">
        <v>18863</v>
      </c>
    </row>
    <row r="33763" spans="1:8">
      <c r="H33763" t="s">
        <v>32226</v>
      </c>
    </row>
    <row r="33764" spans="1:8">
      <c r="H33764" t="s">
        <v>32227</v>
      </c>
    </row>
    <row r="33765" spans="1:8">
      <c r="H33765" t="s">
        <v>32228</v>
      </c>
    </row>
    <row r="33766" spans="1:8">
      <c r="H33766" t="s">
        <v>32229</v>
      </c>
    </row>
    <row r="33767" spans="1:8">
      <c r="H33767" t="s">
        <v>32230</v>
      </c>
    </row>
    <row r="33768" spans="1:8">
      <c r="H33768" t="s">
        <v>32231</v>
      </c>
    </row>
    <row r="33769" spans="1:8">
      <c r="H33769" t="s">
        <v>32232</v>
      </c>
    </row>
    <row r="33770" spans="1:8">
      <c r="F33770" t="s">
        <v>12414</v>
      </c>
      <c r="G33770" t="s">
        <v>16636</v>
      </c>
      <c r="H33770" t="s">
        <v>32233</v>
      </c>
    </row>
    <row r="33771" spans="1:8">
      <c r="H33771" t="s">
        <v>32234</v>
      </c>
    </row>
    <row r="33772" spans="1:8">
      <c r="H33772" t="s">
        <v>32235</v>
      </c>
    </row>
    <row r="33773" spans="1:8">
      <c r="H33773" t="s">
        <v>32236</v>
      </c>
    </row>
    <row r="33774" spans="1:8">
      <c r="H33774" t="s">
        <v>32237</v>
      </c>
    </row>
    <row r="33775" spans="1:8">
      <c r="H33775" t="s">
        <v>32238</v>
      </c>
    </row>
    <row r="33776" spans="1:8">
      <c r="H33776" t="s">
        <v>32239</v>
      </c>
    </row>
    <row r="33777" spans="1:8">
      <c r="A33777" t="s">
        <v>2540</v>
      </c>
      <c r="B33777">
        <f>HYPERLINK("https://android.googlesource.com/platform/cts/+/ebba5df3c2b48ee3778db6bf0a509898cadad192", "ebba5df3c2b48ee3778db6bf0a509898cadad192")</f>
        <v>0</v>
      </c>
      <c r="C33777">
        <f>HYPERLINK("https://android.googlesource.com/platform/cts/+/6f4d833a0e787dbb769cad529b60d4a9d783e99a", "6f4d833a0e787dbb769cad529b60d4a9d783e99a")</f>
        <v>0</v>
      </c>
      <c r="D33777" t="s">
        <v>5111</v>
      </c>
      <c r="E33777" t="s">
        <v>8269</v>
      </c>
      <c r="F33777" t="s">
        <v>10778</v>
      </c>
      <c r="G33777" t="s">
        <v>15174</v>
      </c>
      <c r="H33777" t="s">
        <v>32240</v>
      </c>
    </row>
    <row r="33778" spans="1:8">
      <c r="A33778" t="s">
        <v>2541</v>
      </c>
      <c r="B33778">
        <f>HYPERLINK("https://android.googlesource.com/platform/cts/+/e9d3df4065e09d6da426dd0833fd4ee3238c15de", "e9d3df4065e09d6da426dd0833fd4ee3238c15de")</f>
        <v>0</v>
      </c>
      <c r="C33778">
        <f>HYPERLINK("https://android.googlesource.com/platform/cts/+/f6a3f28f1df216b94a83ccca50e7c7eb3a88d503", "f6a3f28f1df216b94a83ccca50e7c7eb3a88d503")</f>
        <v>0</v>
      </c>
      <c r="D33778" t="s">
        <v>5134</v>
      </c>
      <c r="E33778" t="s">
        <v>8270</v>
      </c>
      <c r="F33778" t="s">
        <v>13906</v>
      </c>
      <c r="G33778" t="s">
        <v>17943</v>
      </c>
      <c r="H33778" t="s">
        <v>32241</v>
      </c>
    </row>
    <row r="33779" spans="1:8">
      <c r="H33779" t="s">
        <v>32242</v>
      </c>
    </row>
    <row r="33780" spans="1:8">
      <c r="A33780" t="s">
        <v>2542</v>
      </c>
      <c r="B33780">
        <f>HYPERLINK("https://android.googlesource.com/platform/cts/+/6e0d19e2ecec8aab3e63110c3640c069760983a9", "6e0d19e2ecec8aab3e63110c3640c069760983a9")</f>
        <v>0</v>
      </c>
      <c r="C33780">
        <f>HYPERLINK("https://android.googlesource.com/platform/cts/+/0a8521c3f49f355c77dc6179371117d302a45c93", "0a8521c3f49f355c77dc6179371117d302a45c93")</f>
        <v>0</v>
      </c>
      <c r="D33780" t="s">
        <v>5211</v>
      </c>
      <c r="E33780" t="s">
        <v>8271</v>
      </c>
      <c r="F33780" t="s">
        <v>13907</v>
      </c>
      <c r="G33780" t="s">
        <v>17944</v>
      </c>
      <c r="H33780" t="s">
        <v>32243</v>
      </c>
    </row>
    <row r="33781" spans="1:8">
      <c r="F33781" t="s">
        <v>13908</v>
      </c>
      <c r="G33781" t="s">
        <v>17945</v>
      </c>
      <c r="H33781" t="s">
        <v>32243</v>
      </c>
    </row>
    <row r="33782" spans="1:8">
      <c r="F33782" t="s">
        <v>13909</v>
      </c>
      <c r="G33782" t="s">
        <v>17946</v>
      </c>
      <c r="H33782" t="s">
        <v>32243</v>
      </c>
    </row>
    <row r="33783" spans="1:8">
      <c r="A33783" t="s">
        <v>2543</v>
      </c>
      <c r="B33783">
        <f>HYPERLINK("https://android.googlesource.com/platform/cts/+/eb57d23f588ec1666bc45e26db6eb84c22ff1fb0", "eb57d23f588ec1666bc45e26db6eb84c22ff1fb0")</f>
        <v>0</v>
      </c>
      <c r="C33783">
        <f>HYPERLINK("https://android.googlesource.com/platform/cts/+/0a8521c3f49f355c77dc6179371117d302a45c93", "0a8521c3f49f355c77dc6179371117d302a45c93")</f>
        <v>0</v>
      </c>
      <c r="D33783" t="s">
        <v>5134</v>
      </c>
      <c r="E33783" t="s">
        <v>8272</v>
      </c>
      <c r="F33783" t="s">
        <v>13906</v>
      </c>
      <c r="G33783" t="s">
        <v>17943</v>
      </c>
      <c r="H33783" t="s">
        <v>32241</v>
      </c>
    </row>
    <row r="33784" spans="1:8">
      <c r="H33784" t="s">
        <v>32242</v>
      </c>
    </row>
    <row r="33785" spans="1:8">
      <c r="A33785" t="s">
        <v>2544</v>
      </c>
      <c r="B33785">
        <f>HYPERLINK("https://android.googlesource.com/platform/cts/+/46f2b81cd9fe1fa3700816df29540b73d65c833b", "46f2b81cd9fe1fa3700816df29540b73d65c833b")</f>
        <v>0</v>
      </c>
      <c r="C33785">
        <f>HYPERLINK("https://android.googlesource.com/platform/cts/+/f52888de1858a5d6cd48b215992d61ae5174d981", "f52888de1858a5d6cd48b215992d61ae5174d981")</f>
        <v>0</v>
      </c>
      <c r="D33785" t="s">
        <v>5383</v>
      </c>
      <c r="E33785" t="s">
        <v>8273</v>
      </c>
      <c r="F33785" t="s">
        <v>13910</v>
      </c>
      <c r="G33785" t="s">
        <v>17947</v>
      </c>
      <c r="H33785" t="s">
        <v>32244</v>
      </c>
    </row>
    <row r="33786" spans="1:8">
      <c r="H33786" t="s">
        <v>32245</v>
      </c>
    </row>
    <row r="33787" spans="1:8">
      <c r="H33787" t="s">
        <v>32246</v>
      </c>
    </row>
    <row r="33788" spans="1:8">
      <c r="H33788" t="s">
        <v>32247</v>
      </c>
    </row>
    <row r="33789" spans="1:8">
      <c r="H33789" t="s">
        <v>32248</v>
      </c>
    </row>
    <row r="33790" spans="1:8">
      <c r="H33790" t="s">
        <v>32249</v>
      </c>
    </row>
    <row r="33791" spans="1:8">
      <c r="A33791" t="s">
        <v>2545</v>
      </c>
      <c r="B33791">
        <f>HYPERLINK("https://android.googlesource.com/platform/cts/+/3ec96eabf54475e09c48c9fa9d41e33dcb879b62", "3ec96eabf54475e09c48c9fa9d41e33dcb879b62")</f>
        <v>0</v>
      </c>
      <c r="C33791">
        <f>HYPERLINK("https://android.googlesource.com/platform/cts/+/ba52917044e23f4691462fe29ee4129217302433", "ba52917044e23f4691462fe29ee4129217302433")</f>
        <v>0</v>
      </c>
      <c r="D33791" t="s">
        <v>5178</v>
      </c>
      <c r="E33791" t="s">
        <v>8274</v>
      </c>
      <c r="F33791" t="s">
        <v>13911</v>
      </c>
      <c r="G33791" t="s">
        <v>17948</v>
      </c>
      <c r="H33791" t="s">
        <v>32250</v>
      </c>
    </row>
    <row r="33792" spans="1:8">
      <c r="A33792" t="s">
        <v>2546</v>
      </c>
      <c r="B33792">
        <f>HYPERLINK("https://android.googlesource.com/platform/cts/+/4f4c1b15dcdb79087d766893c10c1326489d3f48", "4f4c1b15dcdb79087d766893c10c1326489d3f48")</f>
        <v>0</v>
      </c>
      <c r="C33792">
        <f>HYPERLINK("https://android.googlesource.com/platform/cts/+/e62fb2511999aa952cb96354678eb1194360d322", "e62fb2511999aa952cb96354678eb1194360d322")</f>
        <v>0</v>
      </c>
      <c r="D33792" t="s">
        <v>4952</v>
      </c>
      <c r="E33792" t="s">
        <v>8275</v>
      </c>
      <c r="F33792" t="s">
        <v>12222</v>
      </c>
      <c r="G33792" t="s">
        <v>16452</v>
      </c>
      <c r="H33792" t="s">
        <v>32251</v>
      </c>
    </row>
    <row r="33793" spans="1:8">
      <c r="A33793" t="s">
        <v>2547</v>
      </c>
      <c r="B33793">
        <f>HYPERLINK("https://android.googlesource.com/platform/cts/+/79fef0dd388d1b700b1aa07aefb6502b72503e8e", "79fef0dd388d1b700b1aa07aefb6502b72503e8e")</f>
        <v>0</v>
      </c>
      <c r="C33793">
        <f>HYPERLINK("https://android.googlesource.com/platform/cts/+/2b1974b36862350aa5b410d5180a938858f502ef", "2b1974b36862350aa5b410d5180a938858f502ef")</f>
        <v>0</v>
      </c>
      <c r="D33793" t="s">
        <v>5027</v>
      </c>
      <c r="E33793" t="s">
        <v>8276</v>
      </c>
      <c r="F33793" t="s">
        <v>13505</v>
      </c>
      <c r="G33793" t="s">
        <v>17622</v>
      </c>
      <c r="H33793" t="s">
        <v>30141</v>
      </c>
    </row>
    <row r="33794" spans="1:8">
      <c r="H33794" t="s">
        <v>31309</v>
      </c>
    </row>
    <row r="33795" spans="1:8">
      <c r="H33795" t="s">
        <v>30148</v>
      </c>
    </row>
    <row r="33796" spans="1:8">
      <c r="H33796" t="s">
        <v>30149</v>
      </c>
    </row>
    <row r="33797" spans="1:8">
      <c r="H33797" t="s">
        <v>30150</v>
      </c>
    </row>
    <row r="33798" spans="1:8">
      <c r="H33798" t="s">
        <v>30151</v>
      </c>
    </row>
    <row r="33799" spans="1:8">
      <c r="H33799" t="s">
        <v>30152</v>
      </c>
    </row>
    <row r="33800" spans="1:8">
      <c r="H33800" t="s">
        <v>30153</v>
      </c>
    </row>
    <row r="33801" spans="1:8">
      <c r="H33801" t="s">
        <v>29023</v>
      </c>
    </row>
    <row r="33802" spans="1:8">
      <c r="H33802" t="s">
        <v>30154</v>
      </c>
    </row>
    <row r="33803" spans="1:8">
      <c r="H33803" t="s">
        <v>30155</v>
      </c>
    </row>
    <row r="33804" spans="1:8">
      <c r="H33804" t="s">
        <v>30156</v>
      </c>
    </row>
    <row r="33805" spans="1:8">
      <c r="H33805" t="s">
        <v>30157</v>
      </c>
    </row>
    <row r="33806" spans="1:8">
      <c r="H33806" t="s">
        <v>30158</v>
      </c>
    </row>
    <row r="33807" spans="1:8">
      <c r="H33807" t="s">
        <v>30159</v>
      </c>
    </row>
    <row r="33808" spans="1:8">
      <c r="H33808" t="s">
        <v>26316</v>
      </c>
    </row>
    <row r="33809" spans="8:8">
      <c r="H33809" t="s">
        <v>21462</v>
      </c>
    </row>
    <row r="33810" spans="8:8">
      <c r="H33810" t="s">
        <v>28864</v>
      </c>
    </row>
    <row r="33811" spans="8:8">
      <c r="H33811" t="s">
        <v>26391</v>
      </c>
    </row>
    <row r="33812" spans="8:8">
      <c r="H33812" t="s">
        <v>30162</v>
      </c>
    </row>
    <row r="33813" spans="8:8">
      <c r="H33813" t="s">
        <v>30163</v>
      </c>
    </row>
    <row r="33814" spans="8:8">
      <c r="H33814" t="s">
        <v>30164</v>
      </c>
    </row>
    <row r="33815" spans="8:8">
      <c r="H33815" t="s">
        <v>31310</v>
      </c>
    </row>
    <row r="33816" spans="8:8">
      <c r="H33816" t="s">
        <v>31311</v>
      </c>
    </row>
    <row r="33817" spans="8:8">
      <c r="H33817" t="s">
        <v>31312</v>
      </c>
    </row>
    <row r="33818" spans="8:8">
      <c r="H33818" t="s">
        <v>31313</v>
      </c>
    </row>
    <row r="33819" spans="8:8">
      <c r="H33819" t="s">
        <v>31314</v>
      </c>
    </row>
    <row r="33820" spans="8:8">
      <c r="H33820" t="s">
        <v>20177</v>
      </c>
    </row>
    <row r="33821" spans="8:8">
      <c r="H33821" t="s">
        <v>31315</v>
      </c>
    </row>
    <row r="33822" spans="8:8">
      <c r="H33822" t="s">
        <v>31316</v>
      </c>
    </row>
    <row r="33823" spans="8:8">
      <c r="H33823" t="s">
        <v>31317</v>
      </c>
    </row>
    <row r="33824" spans="8:8">
      <c r="H33824" t="s">
        <v>29034</v>
      </c>
    </row>
    <row r="33825" spans="6:8">
      <c r="H33825" t="s">
        <v>29033</v>
      </c>
    </row>
    <row r="33826" spans="6:8">
      <c r="H33826" t="s">
        <v>30142</v>
      </c>
    </row>
    <row r="33827" spans="6:8">
      <c r="H33827" t="s">
        <v>30143</v>
      </c>
    </row>
    <row r="33828" spans="6:8">
      <c r="H33828" t="s">
        <v>30145</v>
      </c>
    </row>
    <row r="33829" spans="6:8">
      <c r="H33829" t="s">
        <v>30146</v>
      </c>
    </row>
    <row r="33830" spans="6:8">
      <c r="H33830" t="s">
        <v>30147</v>
      </c>
    </row>
    <row r="33831" spans="6:8">
      <c r="H33831" t="s">
        <v>30144</v>
      </c>
    </row>
    <row r="33832" spans="6:8">
      <c r="H33832" t="s">
        <v>30165</v>
      </c>
    </row>
    <row r="33833" spans="6:8">
      <c r="H33833" t="s">
        <v>30166</v>
      </c>
    </row>
    <row r="33834" spans="6:8">
      <c r="F33834" t="s">
        <v>13506</v>
      </c>
      <c r="G33834" t="s">
        <v>17623</v>
      </c>
      <c r="H33834" t="s">
        <v>18829</v>
      </c>
    </row>
    <row r="33835" spans="6:8">
      <c r="H33835" t="s">
        <v>19982</v>
      </c>
    </row>
    <row r="33836" spans="6:8">
      <c r="H33836" t="s">
        <v>31336</v>
      </c>
    </row>
    <row r="33837" spans="6:8">
      <c r="H33837" t="s">
        <v>30167</v>
      </c>
    </row>
    <row r="33838" spans="6:8">
      <c r="H33838" t="s">
        <v>30168</v>
      </c>
    </row>
    <row r="33839" spans="6:8">
      <c r="H33839" t="s">
        <v>30171</v>
      </c>
    </row>
    <row r="33840" spans="6:8">
      <c r="H33840" t="s">
        <v>30172</v>
      </c>
    </row>
    <row r="33841" spans="8:8">
      <c r="H33841" t="s">
        <v>30173</v>
      </c>
    </row>
    <row r="33842" spans="8:8">
      <c r="H33842" t="s">
        <v>30174</v>
      </c>
    </row>
    <row r="33843" spans="8:8">
      <c r="H33843" t="s">
        <v>30175</v>
      </c>
    </row>
    <row r="33844" spans="8:8">
      <c r="H33844" t="s">
        <v>31337</v>
      </c>
    </row>
    <row r="33845" spans="8:8">
      <c r="H33845" t="s">
        <v>30176</v>
      </c>
    </row>
    <row r="33846" spans="8:8">
      <c r="H33846" t="s">
        <v>30216</v>
      </c>
    </row>
    <row r="33847" spans="8:8">
      <c r="H33847" t="s">
        <v>31338</v>
      </c>
    </row>
    <row r="33848" spans="8:8">
      <c r="H33848" t="s">
        <v>31339</v>
      </c>
    </row>
    <row r="33849" spans="8:8">
      <c r="H33849" t="s">
        <v>31340</v>
      </c>
    </row>
    <row r="33850" spans="8:8">
      <c r="H33850" t="s">
        <v>31341</v>
      </c>
    </row>
    <row r="33851" spans="8:8">
      <c r="H33851" t="s">
        <v>31342</v>
      </c>
    </row>
    <row r="33852" spans="8:8">
      <c r="H33852" t="s">
        <v>31343</v>
      </c>
    </row>
    <row r="33853" spans="8:8">
      <c r="H33853" t="s">
        <v>31344</v>
      </c>
    </row>
    <row r="33854" spans="8:8">
      <c r="H33854" t="s">
        <v>31345</v>
      </c>
    </row>
    <row r="33855" spans="8:8">
      <c r="H33855" t="s">
        <v>31346</v>
      </c>
    </row>
    <row r="33856" spans="8:8">
      <c r="H33856" t="s">
        <v>31347</v>
      </c>
    </row>
    <row r="33857" spans="8:8">
      <c r="H33857" t="s">
        <v>31348</v>
      </c>
    </row>
    <row r="33858" spans="8:8">
      <c r="H33858" t="s">
        <v>31349</v>
      </c>
    </row>
    <row r="33859" spans="8:8">
      <c r="H33859" t="s">
        <v>31350</v>
      </c>
    </row>
    <row r="33860" spans="8:8">
      <c r="H33860" t="s">
        <v>31351</v>
      </c>
    </row>
    <row r="33861" spans="8:8">
      <c r="H33861" t="s">
        <v>30178</v>
      </c>
    </row>
    <row r="33862" spans="8:8">
      <c r="H33862" t="s">
        <v>30179</v>
      </c>
    </row>
    <row r="33863" spans="8:8">
      <c r="H33863" t="s">
        <v>30180</v>
      </c>
    </row>
    <row r="33864" spans="8:8">
      <c r="H33864" t="s">
        <v>30182</v>
      </c>
    </row>
    <row r="33865" spans="8:8">
      <c r="H33865" t="s">
        <v>30183</v>
      </c>
    </row>
    <row r="33866" spans="8:8">
      <c r="H33866" t="s">
        <v>30184</v>
      </c>
    </row>
    <row r="33867" spans="8:8">
      <c r="H33867" t="s">
        <v>30185</v>
      </c>
    </row>
    <row r="33868" spans="8:8">
      <c r="H33868" t="s">
        <v>30186</v>
      </c>
    </row>
    <row r="33869" spans="8:8">
      <c r="H33869" t="s">
        <v>30187</v>
      </c>
    </row>
    <row r="33870" spans="8:8">
      <c r="H33870" t="s">
        <v>30188</v>
      </c>
    </row>
    <row r="33871" spans="8:8">
      <c r="H33871" t="s">
        <v>30189</v>
      </c>
    </row>
    <row r="33872" spans="8:8">
      <c r="H33872" t="s">
        <v>30190</v>
      </c>
    </row>
    <row r="33873" spans="8:8">
      <c r="H33873" t="s">
        <v>30191</v>
      </c>
    </row>
    <row r="33874" spans="8:8">
      <c r="H33874" t="s">
        <v>30192</v>
      </c>
    </row>
    <row r="33875" spans="8:8">
      <c r="H33875" t="s">
        <v>30193</v>
      </c>
    </row>
    <row r="33876" spans="8:8">
      <c r="H33876" t="s">
        <v>30194</v>
      </c>
    </row>
    <row r="33877" spans="8:8">
      <c r="H33877" t="s">
        <v>30195</v>
      </c>
    </row>
    <row r="33878" spans="8:8">
      <c r="H33878" t="s">
        <v>30196</v>
      </c>
    </row>
    <row r="33879" spans="8:8">
      <c r="H33879" t="s">
        <v>30198</v>
      </c>
    </row>
    <row r="33880" spans="8:8">
      <c r="H33880" t="s">
        <v>30199</v>
      </c>
    </row>
    <row r="33881" spans="8:8">
      <c r="H33881" t="s">
        <v>30200</v>
      </c>
    </row>
    <row r="33882" spans="8:8">
      <c r="H33882" t="s">
        <v>30201</v>
      </c>
    </row>
    <row r="33883" spans="8:8">
      <c r="H33883" t="s">
        <v>30202</v>
      </c>
    </row>
    <row r="33884" spans="8:8">
      <c r="H33884" t="s">
        <v>30203</v>
      </c>
    </row>
    <row r="33885" spans="8:8">
      <c r="H33885" t="s">
        <v>30204</v>
      </c>
    </row>
    <row r="33886" spans="8:8">
      <c r="H33886" t="s">
        <v>30205</v>
      </c>
    </row>
    <row r="33887" spans="8:8">
      <c r="H33887" t="s">
        <v>30206</v>
      </c>
    </row>
    <row r="33888" spans="8:8">
      <c r="H33888" t="s">
        <v>30207</v>
      </c>
    </row>
    <row r="33889" spans="6:8">
      <c r="H33889" t="s">
        <v>30208</v>
      </c>
    </row>
    <row r="33890" spans="6:8">
      <c r="H33890" t="s">
        <v>30209</v>
      </c>
    </row>
    <row r="33891" spans="6:8">
      <c r="H33891" t="s">
        <v>30210</v>
      </c>
    </row>
    <row r="33892" spans="6:8">
      <c r="H33892" t="s">
        <v>30211</v>
      </c>
    </row>
    <row r="33893" spans="6:8">
      <c r="H33893" t="s">
        <v>30212</v>
      </c>
    </row>
    <row r="33894" spans="6:8">
      <c r="H33894" t="s">
        <v>30213</v>
      </c>
    </row>
    <row r="33895" spans="6:8">
      <c r="F33895" t="s">
        <v>13507</v>
      </c>
      <c r="G33895" t="s">
        <v>17624</v>
      </c>
      <c r="H33895" t="s">
        <v>30030</v>
      </c>
    </row>
    <row r="33896" spans="6:8">
      <c r="F33896" t="s">
        <v>13508</v>
      </c>
      <c r="G33896" t="s">
        <v>17625</v>
      </c>
      <c r="H33896" t="s">
        <v>18829</v>
      </c>
    </row>
    <row r="33897" spans="6:8">
      <c r="H33897" t="s">
        <v>19982</v>
      </c>
    </row>
    <row r="33898" spans="6:8">
      <c r="H33898" t="s">
        <v>30030</v>
      </c>
    </row>
    <row r="33899" spans="6:8">
      <c r="H33899" t="s">
        <v>31352</v>
      </c>
    </row>
    <row r="33900" spans="6:8">
      <c r="H33900" t="s">
        <v>31353</v>
      </c>
    </row>
    <row r="33901" spans="6:8">
      <c r="H33901" t="s">
        <v>31354</v>
      </c>
    </row>
    <row r="33902" spans="6:8">
      <c r="H33902" t="s">
        <v>31355</v>
      </c>
    </row>
    <row r="33903" spans="6:8">
      <c r="H33903" t="s">
        <v>31356</v>
      </c>
    </row>
    <row r="33904" spans="6:8">
      <c r="H33904" t="s">
        <v>30215</v>
      </c>
    </row>
    <row r="33905" spans="8:8">
      <c r="H33905" t="s">
        <v>30167</v>
      </c>
    </row>
    <row r="33906" spans="8:8">
      <c r="H33906" t="s">
        <v>30168</v>
      </c>
    </row>
    <row r="33907" spans="8:8">
      <c r="H33907" t="s">
        <v>30171</v>
      </c>
    </row>
    <row r="33908" spans="8:8">
      <c r="H33908" t="s">
        <v>31345</v>
      </c>
    </row>
    <row r="33909" spans="8:8">
      <c r="H33909" t="s">
        <v>31346</v>
      </c>
    </row>
    <row r="33910" spans="8:8">
      <c r="H33910" t="s">
        <v>31347</v>
      </c>
    </row>
    <row r="33911" spans="8:8">
      <c r="H33911" t="s">
        <v>31357</v>
      </c>
    </row>
    <row r="33912" spans="8:8">
      <c r="H33912" t="s">
        <v>31358</v>
      </c>
    </row>
    <row r="33913" spans="8:8">
      <c r="H33913" t="s">
        <v>31359</v>
      </c>
    </row>
    <row r="33914" spans="8:8">
      <c r="H33914" t="s">
        <v>30216</v>
      </c>
    </row>
    <row r="33915" spans="8:8">
      <c r="H33915" t="s">
        <v>31338</v>
      </c>
    </row>
    <row r="33916" spans="8:8">
      <c r="H33916" t="s">
        <v>31339</v>
      </c>
    </row>
    <row r="33917" spans="8:8">
      <c r="H33917" t="s">
        <v>31340</v>
      </c>
    </row>
    <row r="33918" spans="8:8">
      <c r="H33918" t="s">
        <v>31360</v>
      </c>
    </row>
    <row r="33919" spans="8:8">
      <c r="H33919" t="s">
        <v>31342</v>
      </c>
    </row>
    <row r="33920" spans="8:8">
      <c r="H33920" t="s">
        <v>31343</v>
      </c>
    </row>
    <row r="33921" spans="8:8">
      <c r="H33921" t="s">
        <v>31344</v>
      </c>
    </row>
    <row r="33922" spans="8:8">
      <c r="H33922" t="s">
        <v>31348</v>
      </c>
    </row>
    <row r="33923" spans="8:8">
      <c r="H33923" t="s">
        <v>31349</v>
      </c>
    </row>
    <row r="33924" spans="8:8">
      <c r="H33924" t="s">
        <v>31350</v>
      </c>
    </row>
    <row r="33925" spans="8:8">
      <c r="H33925" t="s">
        <v>31351</v>
      </c>
    </row>
    <row r="33926" spans="8:8">
      <c r="H33926" t="s">
        <v>30219</v>
      </c>
    </row>
    <row r="33927" spans="8:8">
      <c r="H33927" t="s">
        <v>30220</v>
      </c>
    </row>
    <row r="33928" spans="8:8">
      <c r="H33928" t="s">
        <v>31361</v>
      </c>
    </row>
    <row r="33929" spans="8:8">
      <c r="H33929" t="s">
        <v>30222</v>
      </c>
    </row>
    <row r="33930" spans="8:8">
      <c r="H33930" t="s">
        <v>30223</v>
      </c>
    </row>
    <row r="33931" spans="8:8">
      <c r="H33931" t="s">
        <v>31362</v>
      </c>
    </row>
    <row r="33932" spans="8:8">
      <c r="H33932" t="s">
        <v>30224</v>
      </c>
    </row>
    <row r="33933" spans="8:8">
      <c r="H33933" t="s">
        <v>31363</v>
      </c>
    </row>
    <row r="33934" spans="8:8">
      <c r="H33934" t="s">
        <v>30225</v>
      </c>
    </row>
    <row r="33935" spans="8:8">
      <c r="H33935" t="s">
        <v>31364</v>
      </c>
    </row>
    <row r="33936" spans="8:8">
      <c r="H33936" t="s">
        <v>30226</v>
      </c>
    </row>
    <row r="33937" spans="6:8">
      <c r="H33937" t="s">
        <v>26314</v>
      </c>
    </row>
    <row r="33938" spans="6:8">
      <c r="H33938" t="s">
        <v>30229</v>
      </c>
    </row>
    <row r="33939" spans="6:8">
      <c r="H33939" t="s">
        <v>30230</v>
      </c>
    </row>
    <row r="33940" spans="6:8">
      <c r="F33940" t="s">
        <v>13526</v>
      </c>
      <c r="G33940" t="s">
        <v>17641</v>
      </c>
      <c r="H33940" t="s">
        <v>18829</v>
      </c>
    </row>
    <row r="33941" spans="6:8">
      <c r="H33941" t="s">
        <v>19982</v>
      </c>
    </row>
    <row r="33942" spans="6:8">
      <c r="H33942" t="s">
        <v>31365</v>
      </c>
    </row>
    <row r="33943" spans="6:8">
      <c r="H33943" t="s">
        <v>31366</v>
      </c>
    </row>
    <row r="33944" spans="6:8">
      <c r="H33944" t="s">
        <v>31367</v>
      </c>
    </row>
    <row r="33945" spans="6:8">
      <c r="H33945" t="s">
        <v>31368</v>
      </c>
    </row>
    <row r="33946" spans="6:8">
      <c r="H33946" t="s">
        <v>30167</v>
      </c>
    </row>
    <row r="33947" spans="6:8">
      <c r="H33947" t="s">
        <v>30168</v>
      </c>
    </row>
    <row r="33948" spans="6:8">
      <c r="H33948" t="s">
        <v>30171</v>
      </c>
    </row>
    <row r="33949" spans="6:8">
      <c r="H33949" t="s">
        <v>30173</v>
      </c>
    </row>
    <row r="33950" spans="6:8">
      <c r="H33950" t="s">
        <v>30174</v>
      </c>
    </row>
    <row r="33951" spans="6:8">
      <c r="H33951" t="s">
        <v>30175</v>
      </c>
    </row>
    <row r="33952" spans="6:8">
      <c r="H33952" t="s">
        <v>30170</v>
      </c>
    </row>
    <row r="33953" spans="8:8">
      <c r="H33953" t="s">
        <v>30169</v>
      </c>
    </row>
    <row r="33954" spans="8:8">
      <c r="H33954" t="s">
        <v>31347</v>
      </c>
    </row>
    <row r="33955" spans="8:8">
      <c r="H33955" t="s">
        <v>30216</v>
      </c>
    </row>
    <row r="33956" spans="8:8">
      <c r="H33956" t="s">
        <v>31339</v>
      </c>
    </row>
    <row r="33957" spans="8:8">
      <c r="H33957" t="s">
        <v>31342</v>
      </c>
    </row>
    <row r="33958" spans="8:8">
      <c r="H33958" t="s">
        <v>31343</v>
      </c>
    </row>
    <row r="33959" spans="8:8">
      <c r="H33959" t="s">
        <v>31344</v>
      </c>
    </row>
    <row r="33960" spans="8:8">
      <c r="H33960" t="s">
        <v>31369</v>
      </c>
    </row>
    <row r="33961" spans="8:8">
      <c r="H33961" t="s">
        <v>30189</v>
      </c>
    </row>
    <row r="33962" spans="8:8">
      <c r="H33962" t="s">
        <v>30188</v>
      </c>
    </row>
    <row r="33963" spans="8:8">
      <c r="H33963" t="s">
        <v>30187</v>
      </c>
    </row>
    <row r="33964" spans="8:8">
      <c r="H33964" t="s">
        <v>30192</v>
      </c>
    </row>
    <row r="33965" spans="8:8">
      <c r="H33965" t="s">
        <v>30191</v>
      </c>
    </row>
    <row r="33966" spans="8:8">
      <c r="H33966" t="s">
        <v>30190</v>
      </c>
    </row>
    <row r="33967" spans="8:8">
      <c r="H33967" t="s">
        <v>31370</v>
      </c>
    </row>
    <row r="33968" spans="8:8">
      <c r="H33968" t="s">
        <v>30226</v>
      </c>
    </row>
    <row r="33969" spans="6:8">
      <c r="H33969" t="s">
        <v>31371</v>
      </c>
    </row>
    <row r="33970" spans="6:8">
      <c r="H33970" t="s">
        <v>18893</v>
      </c>
    </row>
    <row r="33971" spans="6:8">
      <c r="H33971" t="s">
        <v>30229</v>
      </c>
    </row>
    <row r="33972" spans="6:8">
      <c r="H33972" t="s">
        <v>31372</v>
      </c>
    </row>
    <row r="33973" spans="6:8">
      <c r="H33973" t="s">
        <v>31373</v>
      </c>
    </row>
    <row r="33974" spans="6:8">
      <c r="H33974" t="s">
        <v>31374</v>
      </c>
    </row>
    <row r="33975" spans="6:8">
      <c r="H33975" t="s">
        <v>31375</v>
      </c>
    </row>
    <row r="33976" spans="6:8">
      <c r="H33976" t="s">
        <v>31376</v>
      </c>
    </row>
    <row r="33977" spans="6:8">
      <c r="H33977" t="s">
        <v>31377</v>
      </c>
    </row>
    <row r="33978" spans="6:8">
      <c r="H33978" t="s">
        <v>31310</v>
      </c>
    </row>
    <row r="33979" spans="6:8">
      <c r="F33979" t="s">
        <v>13524</v>
      </c>
      <c r="G33979" t="s">
        <v>17639</v>
      </c>
      <c r="H33979" t="s">
        <v>18829</v>
      </c>
    </row>
    <row r="33980" spans="6:8">
      <c r="H33980" t="s">
        <v>19982</v>
      </c>
    </row>
    <row r="33981" spans="6:8">
      <c r="H33981" t="s">
        <v>31318</v>
      </c>
    </row>
    <row r="33982" spans="6:8">
      <c r="H33982" t="s">
        <v>31319</v>
      </c>
    </row>
    <row r="33983" spans="6:8">
      <c r="H33983" t="s">
        <v>31320</v>
      </c>
    </row>
    <row r="33984" spans="6:8">
      <c r="H33984" t="s">
        <v>31321</v>
      </c>
    </row>
    <row r="33985" spans="6:8">
      <c r="H33985" t="s">
        <v>31322</v>
      </c>
    </row>
    <row r="33986" spans="6:8">
      <c r="H33986" t="s">
        <v>31323</v>
      </c>
    </row>
    <row r="33987" spans="6:8">
      <c r="H33987" t="s">
        <v>31324</v>
      </c>
    </row>
    <row r="33988" spans="6:8">
      <c r="H33988" t="s">
        <v>18893</v>
      </c>
    </row>
    <row r="33989" spans="6:8">
      <c r="H33989" t="s">
        <v>28391</v>
      </c>
    </row>
    <row r="33990" spans="6:8">
      <c r="H33990" t="s">
        <v>31325</v>
      </c>
    </row>
    <row r="33991" spans="6:8">
      <c r="H33991" t="s">
        <v>31326</v>
      </c>
    </row>
    <row r="33992" spans="6:8">
      <c r="F33992" t="s">
        <v>13509</v>
      </c>
      <c r="G33992" t="s">
        <v>17626</v>
      </c>
      <c r="H33992" t="s">
        <v>18829</v>
      </c>
    </row>
    <row r="33993" spans="6:8">
      <c r="H33993" t="s">
        <v>30231</v>
      </c>
    </row>
    <row r="33994" spans="6:8">
      <c r="H33994" t="s">
        <v>30232</v>
      </c>
    </row>
    <row r="33995" spans="6:8">
      <c r="F33995" t="s">
        <v>13522</v>
      </c>
      <c r="G33995" t="s">
        <v>17637</v>
      </c>
      <c r="H33995" t="s">
        <v>31378</v>
      </c>
    </row>
    <row r="33996" spans="6:8">
      <c r="H33996" t="s">
        <v>31379</v>
      </c>
    </row>
    <row r="33997" spans="6:8">
      <c r="H33997" t="s">
        <v>19928</v>
      </c>
    </row>
    <row r="33998" spans="6:8">
      <c r="H33998" t="s">
        <v>30238</v>
      </c>
    </row>
    <row r="33999" spans="6:8">
      <c r="H33999" t="s">
        <v>27403</v>
      </c>
    </row>
    <row r="34000" spans="6:8">
      <c r="H34000" t="s">
        <v>31327</v>
      </c>
    </row>
    <row r="34001" spans="6:8">
      <c r="H34001" t="s">
        <v>31380</v>
      </c>
    </row>
    <row r="34002" spans="6:8">
      <c r="H34002" t="s">
        <v>31381</v>
      </c>
    </row>
    <row r="34003" spans="6:8">
      <c r="H34003" t="s">
        <v>30241</v>
      </c>
    </row>
    <row r="34004" spans="6:8">
      <c r="H34004" t="s">
        <v>30242</v>
      </c>
    </row>
    <row r="34005" spans="6:8">
      <c r="H34005" t="s">
        <v>19982</v>
      </c>
    </row>
    <row r="34006" spans="6:8">
      <c r="F34006" t="s">
        <v>13532</v>
      </c>
      <c r="G34006" t="s">
        <v>16863</v>
      </c>
      <c r="H34006" t="s">
        <v>31328</v>
      </c>
    </row>
    <row r="34007" spans="6:8">
      <c r="H34007" t="s">
        <v>31382</v>
      </c>
    </row>
    <row r="34008" spans="6:8">
      <c r="H34008" t="s">
        <v>31383</v>
      </c>
    </row>
    <row r="34009" spans="6:8">
      <c r="H34009" t="s">
        <v>31384</v>
      </c>
    </row>
    <row r="34010" spans="6:8">
      <c r="H34010" t="s">
        <v>31385</v>
      </c>
    </row>
    <row r="34011" spans="6:8">
      <c r="H34011" t="s">
        <v>31386</v>
      </c>
    </row>
    <row r="34012" spans="6:8">
      <c r="F34012" t="s">
        <v>13733</v>
      </c>
      <c r="G34012" t="s">
        <v>17794</v>
      </c>
      <c r="H34012" t="s">
        <v>19981</v>
      </c>
    </row>
    <row r="34013" spans="6:8">
      <c r="H34013" t="s">
        <v>18863</v>
      </c>
    </row>
    <row r="34014" spans="6:8">
      <c r="H34014" t="s">
        <v>22650</v>
      </c>
    </row>
    <row r="34015" spans="6:8">
      <c r="H34015" t="s">
        <v>31299</v>
      </c>
    </row>
    <row r="34016" spans="6:8">
      <c r="H34016" t="s">
        <v>18836</v>
      </c>
    </row>
    <row r="34017" spans="1:8">
      <c r="H34017" t="s">
        <v>31300</v>
      </c>
    </row>
    <row r="34018" spans="1:8">
      <c r="H34018" t="s">
        <v>31301</v>
      </c>
    </row>
    <row r="34019" spans="1:8">
      <c r="A34019" t="s">
        <v>2548</v>
      </c>
      <c r="B34019">
        <f>HYPERLINK("https://android.googlesource.com/platform/cts/+/93b46e5e42d6fc9d462e051e0f28bfa8c8c3cf2c", "93b46e5e42d6fc9d462e051e0f28bfa8c8c3cf2c")</f>
        <v>0</v>
      </c>
      <c r="C34019">
        <f>HYPERLINK("https://android.googlesource.com/platform/cts/+/340b6af4a1bf9ad00a3127cfc6bd3b97cf24efc9", "340b6af4a1bf9ad00a3127cfc6bd3b97cf24efc9")</f>
        <v>0</v>
      </c>
      <c r="D34019" t="s">
        <v>5411</v>
      </c>
      <c r="E34019" t="s">
        <v>8277</v>
      </c>
      <c r="F34019" t="s">
        <v>13912</v>
      </c>
      <c r="G34019" t="s">
        <v>17949</v>
      </c>
      <c r="H34019" t="s">
        <v>32252</v>
      </c>
    </row>
    <row r="34020" spans="1:8">
      <c r="A34020" t="s">
        <v>2549</v>
      </c>
      <c r="B34020">
        <f>HYPERLINK("https://android.googlesource.com/platform/cts/+/890fd9833ecb23084fef78d7b73ad6c9122f3c35", "890fd9833ecb23084fef78d7b73ad6c9122f3c35")</f>
        <v>0</v>
      </c>
      <c r="C34020">
        <f>HYPERLINK("https://android.googlesource.com/platform/cts/+/9cf74ae593f8f7216d66fccc63e8fae5456e2e19", "9cf74ae593f8f7216d66fccc63e8fae5456e2e19")</f>
        <v>0</v>
      </c>
      <c r="D34020" t="s">
        <v>4952</v>
      </c>
      <c r="E34020" t="s">
        <v>8278</v>
      </c>
      <c r="F34020" t="s">
        <v>13913</v>
      </c>
      <c r="G34020" t="s">
        <v>17950</v>
      </c>
      <c r="H34020" t="s">
        <v>32253</v>
      </c>
    </row>
    <row r="34021" spans="1:8">
      <c r="H34021" t="s">
        <v>32254</v>
      </c>
    </row>
    <row r="34022" spans="1:8">
      <c r="A34022" t="s">
        <v>2550</v>
      </c>
      <c r="B34022">
        <f>HYPERLINK("https://android.googlesource.com/platform/cts/+/c5bc9faf0bfd7ab70425c8f3fc84c5c8feb60b28", "c5bc9faf0bfd7ab70425c8f3fc84c5c8feb60b28")</f>
        <v>0</v>
      </c>
      <c r="C34022">
        <f>HYPERLINK("https://android.googlesource.com/platform/cts/+/4ce4f7ab922bee27aa5c598a3496ad4a3238ad08", "4ce4f7ab922bee27aa5c598a3496ad4a3238ad08")</f>
        <v>0</v>
      </c>
      <c r="D34022" t="s">
        <v>5040</v>
      </c>
      <c r="E34022" t="s">
        <v>8279</v>
      </c>
      <c r="F34022" t="s">
        <v>12344</v>
      </c>
      <c r="G34022" t="s">
        <v>16572</v>
      </c>
      <c r="H34022" t="s">
        <v>32255</v>
      </c>
    </row>
    <row r="34023" spans="1:8">
      <c r="H34023" t="s">
        <v>32256</v>
      </c>
    </row>
    <row r="34024" spans="1:8">
      <c r="H34024" t="s">
        <v>32257</v>
      </c>
    </row>
    <row r="34025" spans="1:8">
      <c r="H34025" t="s">
        <v>32258</v>
      </c>
    </row>
    <row r="34026" spans="1:8">
      <c r="A34026" t="s">
        <v>2551</v>
      </c>
      <c r="B34026">
        <f>HYPERLINK("https://android.googlesource.com/platform/cts/+/471bad76deadd2aca98740a6a592fa2b46ff0f40", "471bad76deadd2aca98740a6a592fa2b46ff0f40")</f>
        <v>0</v>
      </c>
      <c r="C34026">
        <f>HYPERLINK("https://android.googlesource.com/platform/cts/+/60258bbf6eb203e03d492d44a8997b331266a57d", "60258bbf6eb203e03d492d44a8997b331266a57d")</f>
        <v>0</v>
      </c>
      <c r="D34026" t="s">
        <v>5244</v>
      </c>
      <c r="E34026" t="s">
        <v>8280</v>
      </c>
      <c r="F34026" t="s">
        <v>13914</v>
      </c>
      <c r="G34026" t="s">
        <v>15170</v>
      </c>
      <c r="H34026" t="s">
        <v>18829</v>
      </c>
    </row>
    <row r="34027" spans="1:8">
      <c r="H34027" t="s">
        <v>18863</v>
      </c>
    </row>
    <row r="34028" spans="1:8">
      <c r="H34028" t="s">
        <v>32259</v>
      </c>
    </row>
    <row r="34029" spans="1:8">
      <c r="H34029" t="s">
        <v>32260</v>
      </c>
    </row>
    <row r="34030" spans="1:8">
      <c r="H34030" t="s">
        <v>32261</v>
      </c>
    </row>
    <row r="34031" spans="1:8">
      <c r="H34031" t="s">
        <v>32262</v>
      </c>
    </row>
    <row r="34032" spans="1:8">
      <c r="H34032" t="s">
        <v>31554</v>
      </c>
    </row>
    <row r="34033" spans="8:8">
      <c r="H34033" t="s">
        <v>32263</v>
      </c>
    </row>
    <row r="34034" spans="8:8">
      <c r="H34034" t="s">
        <v>32264</v>
      </c>
    </row>
    <row r="34035" spans="8:8">
      <c r="H34035" t="s">
        <v>32265</v>
      </c>
    </row>
    <row r="34036" spans="8:8">
      <c r="H34036" t="s">
        <v>32266</v>
      </c>
    </row>
    <row r="34037" spans="8:8">
      <c r="H34037" t="s">
        <v>32267</v>
      </c>
    </row>
    <row r="34038" spans="8:8">
      <c r="H34038" t="s">
        <v>32268</v>
      </c>
    </row>
    <row r="34039" spans="8:8">
      <c r="H34039" t="s">
        <v>32269</v>
      </c>
    </row>
    <row r="34040" spans="8:8">
      <c r="H34040" t="s">
        <v>19019</v>
      </c>
    </row>
    <row r="34041" spans="8:8">
      <c r="H34041" t="s">
        <v>32270</v>
      </c>
    </row>
    <row r="34042" spans="8:8">
      <c r="H34042" t="s">
        <v>32271</v>
      </c>
    </row>
    <row r="34043" spans="8:8">
      <c r="H34043" t="s">
        <v>32272</v>
      </c>
    </row>
    <row r="34044" spans="8:8">
      <c r="H34044" t="s">
        <v>32273</v>
      </c>
    </row>
    <row r="34045" spans="8:8">
      <c r="H34045" t="s">
        <v>32274</v>
      </c>
    </row>
    <row r="34046" spans="8:8">
      <c r="H34046" t="s">
        <v>32275</v>
      </c>
    </row>
    <row r="34047" spans="8:8">
      <c r="H34047" t="s">
        <v>32276</v>
      </c>
    </row>
    <row r="34048" spans="8:8">
      <c r="H34048" t="s">
        <v>32277</v>
      </c>
    </row>
    <row r="34049" spans="1:8">
      <c r="H34049" t="s">
        <v>32278</v>
      </c>
    </row>
    <row r="34050" spans="1:8">
      <c r="H34050" t="s">
        <v>32279</v>
      </c>
    </row>
    <row r="34051" spans="1:8">
      <c r="H34051" t="s">
        <v>32280</v>
      </c>
    </row>
    <row r="34052" spans="1:8">
      <c r="H34052" t="s">
        <v>32281</v>
      </c>
    </row>
    <row r="34053" spans="1:8">
      <c r="H34053" t="s">
        <v>32282</v>
      </c>
    </row>
    <row r="34054" spans="1:8">
      <c r="A34054" t="s">
        <v>2552</v>
      </c>
      <c r="B34054">
        <f>HYPERLINK("https://android.googlesource.com/platform/cts/+/3f3d2b75e610457e628d93597bded0be222b6969", "3f3d2b75e610457e628d93597bded0be222b6969")</f>
        <v>0</v>
      </c>
      <c r="C34054">
        <f>HYPERLINK("https://android.googlesource.com/platform/cts/+/8e725a668567ced8afa44549b1ac83ec7c3c9203", "8e725a668567ced8afa44549b1ac83ec7c3c9203")</f>
        <v>0</v>
      </c>
      <c r="D34054" t="s">
        <v>4952</v>
      </c>
      <c r="E34054" t="s">
        <v>8281</v>
      </c>
      <c r="F34054" t="s">
        <v>13915</v>
      </c>
      <c r="G34054" t="s">
        <v>17951</v>
      </c>
      <c r="H34054" t="s">
        <v>32283</v>
      </c>
    </row>
    <row r="34055" spans="1:8">
      <c r="H34055" t="s">
        <v>32284</v>
      </c>
    </row>
    <row r="34056" spans="1:8">
      <c r="H34056" t="s">
        <v>32285</v>
      </c>
    </row>
    <row r="34057" spans="1:8">
      <c r="H34057" t="s">
        <v>32286</v>
      </c>
    </row>
    <row r="34058" spans="1:8">
      <c r="H34058" t="s">
        <v>32287</v>
      </c>
    </row>
    <row r="34059" spans="1:8">
      <c r="H34059" t="s">
        <v>22686</v>
      </c>
    </row>
    <row r="34060" spans="1:8">
      <c r="H34060" t="s">
        <v>32288</v>
      </c>
    </row>
    <row r="34061" spans="1:8">
      <c r="H34061" t="s">
        <v>32289</v>
      </c>
    </row>
    <row r="34062" spans="1:8">
      <c r="H34062" t="s">
        <v>32290</v>
      </c>
    </row>
    <row r="34063" spans="1:8">
      <c r="H34063" t="s">
        <v>32291</v>
      </c>
    </row>
    <row r="34064" spans="1:8">
      <c r="H34064" t="s">
        <v>32292</v>
      </c>
    </row>
    <row r="34065" spans="1:8">
      <c r="H34065" t="s">
        <v>32293</v>
      </c>
    </row>
    <row r="34066" spans="1:8">
      <c r="H34066" t="s">
        <v>29667</v>
      </c>
    </row>
    <row r="34067" spans="1:8">
      <c r="H34067" t="s">
        <v>18927</v>
      </c>
    </row>
    <row r="34068" spans="1:8">
      <c r="H34068" t="s">
        <v>18954</v>
      </c>
    </row>
    <row r="34069" spans="1:8">
      <c r="H34069" t="s">
        <v>32294</v>
      </c>
    </row>
    <row r="34070" spans="1:8">
      <c r="H34070" t="s">
        <v>32295</v>
      </c>
    </row>
    <row r="34071" spans="1:8">
      <c r="H34071" t="s">
        <v>19743</v>
      </c>
    </row>
    <row r="34072" spans="1:8">
      <c r="H34072" t="s">
        <v>32288</v>
      </c>
    </row>
    <row r="34073" spans="1:8">
      <c r="H34073" t="s">
        <v>32289</v>
      </c>
    </row>
    <row r="34074" spans="1:8">
      <c r="H34074" t="s">
        <v>32290</v>
      </c>
    </row>
    <row r="34075" spans="1:8">
      <c r="H34075" t="s">
        <v>32291</v>
      </c>
    </row>
    <row r="34076" spans="1:8">
      <c r="H34076" t="s">
        <v>32292</v>
      </c>
    </row>
    <row r="34077" spans="1:8">
      <c r="H34077" t="s">
        <v>32296</v>
      </c>
    </row>
    <row r="34078" spans="1:8">
      <c r="H34078" t="s">
        <v>32297</v>
      </c>
    </row>
    <row r="34079" spans="1:8">
      <c r="H34079" t="s">
        <v>22686</v>
      </c>
    </row>
    <row r="34080" spans="1:8">
      <c r="A34080" t="s">
        <v>2553</v>
      </c>
      <c r="B34080">
        <f>HYPERLINK("https://android.googlesource.com/platform/cts/+/697dab10d5b3d45ac63e05cb5072122ab376af6a", "697dab10d5b3d45ac63e05cb5072122ab376af6a")</f>
        <v>0</v>
      </c>
      <c r="C34080">
        <f>HYPERLINK("https://android.googlesource.com/platform/cts/+/30bff89770bfb1efbccd5cc278b941790fb4899b", "30bff89770bfb1efbccd5cc278b941790fb4899b")</f>
        <v>0</v>
      </c>
      <c r="D34080" t="s">
        <v>5143</v>
      </c>
      <c r="E34080" t="s">
        <v>8282</v>
      </c>
      <c r="F34080" t="s">
        <v>12984</v>
      </c>
      <c r="G34080" t="s">
        <v>17148</v>
      </c>
      <c r="H34080" t="s">
        <v>32298</v>
      </c>
    </row>
    <row r="34081" spans="1:8">
      <c r="H34081" t="s">
        <v>32299</v>
      </c>
    </row>
    <row r="34082" spans="1:8">
      <c r="A34082" t="s">
        <v>2554</v>
      </c>
      <c r="B34082">
        <f>HYPERLINK("https://android.googlesource.com/platform/cts/+/548c91af088a4a5411ae011fba2bb6484f57066c", "548c91af088a4a5411ae011fba2bb6484f57066c")</f>
        <v>0</v>
      </c>
      <c r="C34082">
        <f>HYPERLINK("https://android.googlesource.com/platform/cts/+/cf9d6dbc211cab887c1c4d9df783ef0907e98fef", "cf9d6dbc211cab887c1c4d9df783ef0907e98fef")</f>
        <v>0</v>
      </c>
      <c r="D34082" t="s">
        <v>5147</v>
      </c>
      <c r="E34082" t="s">
        <v>8283</v>
      </c>
      <c r="F34082" t="s">
        <v>13916</v>
      </c>
      <c r="G34082" t="s">
        <v>17952</v>
      </c>
      <c r="H34082" t="s">
        <v>32300</v>
      </c>
    </row>
    <row r="34083" spans="1:8">
      <c r="A34083" t="s">
        <v>2555</v>
      </c>
      <c r="B34083">
        <f>HYPERLINK("https://android.googlesource.com/platform/cts/+/6dfeb5b45b0578eb92d3f06f2ca7949f5a80fb11", "6dfeb5b45b0578eb92d3f06f2ca7949f5a80fb11")</f>
        <v>0</v>
      </c>
      <c r="C34083">
        <f>HYPERLINK("https://android.googlesource.com/platform/cts/+/c910b565203b9bb4ad2efe98650c4ec3e5eee093", "c910b565203b9bb4ad2efe98650c4ec3e5eee093")</f>
        <v>0</v>
      </c>
      <c r="D34083" t="s">
        <v>5211</v>
      </c>
      <c r="E34083" t="s">
        <v>8284</v>
      </c>
      <c r="F34083" t="s">
        <v>13907</v>
      </c>
      <c r="G34083" t="s">
        <v>17944</v>
      </c>
      <c r="H34083" t="s">
        <v>32243</v>
      </c>
    </row>
    <row r="34084" spans="1:8">
      <c r="F34084" t="s">
        <v>13908</v>
      </c>
      <c r="G34084" t="s">
        <v>17945</v>
      </c>
      <c r="H34084" t="s">
        <v>32243</v>
      </c>
    </row>
    <row r="34085" spans="1:8">
      <c r="F34085" t="s">
        <v>13909</v>
      </c>
      <c r="G34085" t="s">
        <v>17946</v>
      </c>
      <c r="H34085" t="s">
        <v>32243</v>
      </c>
    </row>
    <row r="34086" spans="1:8">
      <c r="A34086" t="s">
        <v>2556</v>
      </c>
      <c r="B34086">
        <f>HYPERLINK("https://android.googlesource.com/platform/cts/+/080b2af8619eeb67dc4af42ecd672543a7dcb8c6", "080b2af8619eeb67dc4af42ecd672543a7dcb8c6")</f>
        <v>0</v>
      </c>
      <c r="C34086">
        <f>HYPERLINK("https://android.googlesource.com/platform/cts/+/ac44a36cbe6559c7862aba7c9d715b488a139cdb", "ac44a36cbe6559c7862aba7c9d715b488a139cdb")</f>
        <v>0</v>
      </c>
      <c r="D34086" t="s">
        <v>5140</v>
      </c>
      <c r="E34086" t="s">
        <v>8285</v>
      </c>
      <c r="F34086" t="s">
        <v>13912</v>
      </c>
      <c r="G34086" t="s">
        <v>17949</v>
      </c>
      <c r="H34086" t="s">
        <v>32301</v>
      </c>
    </row>
    <row r="34087" spans="1:8">
      <c r="H34087" t="s">
        <v>25475</v>
      </c>
    </row>
    <row r="34088" spans="1:8">
      <c r="H34088" t="s">
        <v>25475</v>
      </c>
    </row>
    <row r="34089" spans="1:8">
      <c r="A34089" t="s">
        <v>2557</v>
      </c>
      <c r="B34089">
        <f>HYPERLINK("https://android.googlesource.com/platform/cts/+/c8f9b8d963bfe2ba14260f32b957b981fdfa35bd", "c8f9b8d963bfe2ba14260f32b957b981fdfa35bd")</f>
        <v>0</v>
      </c>
      <c r="C34089">
        <f>HYPERLINK("https://android.googlesource.com/platform/cts/+/4a0305555464f394b7db6a5792e4681b6a8cae8f", "4a0305555464f394b7db6a5792e4681b6a8cae8f")</f>
        <v>0</v>
      </c>
      <c r="D34089" t="s">
        <v>5051</v>
      </c>
      <c r="E34089" t="s">
        <v>8286</v>
      </c>
      <c r="F34089" t="s">
        <v>12623</v>
      </c>
      <c r="G34089" t="s">
        <v>16833</v>
      </c>
      <c r="H34089" t="s">
        <v>32302</v>
      </c>
    </row>
    <row r="34090" spans="1:8">
      <c r="A34090" t="s">
        <v>2558</v>
      </c>
      <c r="B34090">
        <f>HYPERLINK("https://android.googlesource.com/platform/cts/+/757776f00a380930e921788488aa0f46e01baeab", "757776f00a380930e921788488aa0f46e01baeab")</f>
        <v>0</v>
      </c>
      <c r="C34090">
        <f>HYPERLINK("https://android.googlesource.com/platform/cts/+/5d260eb0283c64d64e24fe39476cc39824da4a40", "5d260eb0283c64d64e24fe39476cc39824da4a40")</f>
        <v>0</v>
      </c>
      <c r="D34090" t="s">
        <v>5412</v>
      </c>
      <c r="E34090" t="s">
        <v>8287</v>
      </c>
      <c r="F34090" t="s">
        <v>12904</v>
      </c>
      <c r="G34090" t="s">
        <v>17070</v>
      </c>
      <c r="H34090" t="s">
        <v>26905</v>
      </c>
    </row>
    <row r="34091" spans="1:8">
      <c r="H34091" t="s">
        <v>32303</v>
      </c>
    </row>
    <row r="34092" spans="1:8">
      <c r="H34092" t="s">
        <v>32304</v>
      </c>
    </row>
    <row r="34093" spans="1:8">
      <c r="A34093" t="s">
        <v>2559</v>
      </c>
      <c r="B34093">
        <f>HYPERLINK("https://android.googlesource.com/platform/cts/+/4b3eeb91cbf27483dbc1ef357fda136462221d15", "4b3eeb91cbf27483dbc1ef357fda136462221d15")</f>
        <v>0</v>
      </c>
      <c r="C34093">
        <f>HYPERLINK("https://android.googlesource.com/platform/cts/+/e480b345a1083e4aac801af7eec76fdaabd95a13", "e480b345a1083e4aac801af7eec76fdaabd95a13")</f>
        <v>0</v>
      </c>
      <c r="D34093" t="s">
        <v>5117</v>
      </c>
      <c r="E34093" t="s">
        <v>8288</v>
      </c>
      <c r="F34093" t="s">
        <v>13917</v>
      </c>
      <c r="G34093" t="s">
        <v>17953</v>
      </c>
      <c r="H34093" t="s">
        <v>32305</v>
      </c>
    </row>
    <row r="34094" spans="1:8">
      <c r="F34094" t="s">
        <v>13788</v>
      </c>
      <c r="G34094" t="s">
        <v>17841</v>
      </c>
      <c r="H34094" t="s">
        <v>26759</v>
      </c>
    </row>
    <row r="34095" spans="1:8">
      <c r="A34095" t="s">
        <v>2560</v>
      </c>
      <c r="B34095">
        <f>HYPERLINK("https://android.googlesource.com/platform/cts/+/e331478a03cdedbb9efd1fbef0c35ce89220dfcc", "e331478a03cdedbb9efd1fbef0c35ce89220dfcc")</f>
        <v>0</v>
      </c>
      <c r="C34095">
        <f>HYPERLINK("https://android.googlesource.com/platform/cts/+/f8d2c51dc701de9f5f91c8bbc434a2ed94ff1098", "f8d2c51dc701de9f5f91c8bbc434a2ed94ff1098")</f>
        <v>0</v>
      </c>
      <c r="D34095" t="s">
        <v>5265</v>
      </c>
      <c r="E34095" t="s">
        <v>8289</v>
      </c>
      <c r="F34095" t="s">
        <v>12788</v>
      </c>
      <c r="G34095" t="s">
        <v>15076</v>
      </c>
      <c r="H34095" t="s">
        <v>32306</v>
      </c>
    </row>
    <row r="34096" spans="1:8">
      <c r="A34096" t="s">
        <v>2561</v>
      </c>
      <c r="B34096">
        <f>HYPERLINK("https://android.googlesource.com/platform/cts/+/6c0ca5e26df724887b9d3a1d9ae6202b0d4da38c", "6c0ca5e26df724887b9d3a1d9ae6202b0d4da38c")</f>
        <v>0</v>
      </c>
      <c r="C34096">
        <f>HYPERLINK("https://android.googlesource.com/platform/cts/+/499d96d9cf33405f5a3cf968fb074388f64d1853", "499d96d9cf33405f5a3cf968fb074388f64d1853")</f>
        <v>0</v>
      </c>
      <c r="D34096" t="s">
        <v>4949</v>
      </c>
      <c r="E34096" t="s">
        <v>8290</v>
      </c>
      <c r="F34096" t="s">
        <v>13918</v>
      </c>
      <c r="G34096" t="s">
        <v>17954</v>
      </c>
      <c r="H34096" t="s">
        <v>32307</v>
      </c>
    </row>
    <row r="34097" spans="1:8">
      <c r="H34097" t="s">
        <v>32308</v>
      </c>
    </row>
    <row r="34098" spans="1:8">
      <c r="A34098" t="s">
        <v>2562</v>
      </c>
      <c r="B34098">
        <f>HYPERLINK("https://android.googlesource.com/platform/cts/+/e82cc0d8ca3191e69f81eeca7297281b72e860ad", "e82cc0d8ca3191e69f81eeca7297281b72e860ad")</f>
        <v>0</v>
      </c>
      <c r="C34098">
        <f>HYPERLINK("https://android.googlesource.com/platform/cts/+/30bff89770bfb1efbccd5cc278b941790fb4899b", "30bff89770bfb1efbccd5cc278b941790fb4899b")</f>
        <v>0</v>
      </c>
      <c r="D34098" t="s">
        <v>5344</v>
      </c>
      <c r="E34098" t="s">
        <v>8291</v>
      </c>
      <c r="F34098" t="s">
        <v>13919</v>
      </c>
      <c r="G34098" t="s">
        <v>17955</v>
      </c>
      <c r="H34098" t="s">
        <v>32309</v>
      </c>
    </row>
    <row r="34099" spans="1:8">
      <c r="F34099" t="s">
        <v>12743</v>
      </c>
      <c r="G34099" t="s">
        <v>16935</v>
      </c>
      <c r="H34099" t="s">
        <v>32310</v>
      </c>
    </row>
    <row r="34100" spans="1:8">
      <c r="A34100" t="s">
        <v>2563</v>
      </c>
      <c r="B34100">
        <f>HYPERLINK("https://android.googlesource.com/platform/cts/+/3569aa72c1fa74d43f9390ef143f7b2bc4e8e20a", "3569aa72c1fa74d43f9390ef143f7b2bc4e8e20a")</f>
        <v>0</v>
      </c>
      <c r="C34100">
        <f>HYPERLINK("https://android.googlesource.com/platform/cts/+/6aeef38aba04e72fb6dbae4b7960b950935bba36", "6aeef38aba04e72fb6dbae4b7960b950935bba36")</f>
        <v>0</v>
      </c>
      <c r="D34100" t="s">
        <v>5413</v>
      </c>
      <c r="E34100" t="s">
        <v>8292</v>
      </c>
      <c r="F34100" t="s">
        <v>12879</v>
      </c>
      <c r="G34100" t="s">
        <v>17046</v>
      </c>
      <c r="H34100" t="s">
        <v>32311</v>
      </c>
    </row>
    <row r="34101" spans="1:8">
      <c r="A34101" t="s">
        <v>2564</v>
      </c>
      <c r="B34101">
        <f>HYPERLINK("https://android.googlesource.com/platform/cts/+/45f72d643f279dee536c7e04ad67c7210b1d395d", "45f72d643f279dee536c7e04ad67c7210b1d395d")</f>
        <v>0</v>
      </c>
      <c r="C34101">
        <f>HYPERLINK("https://android.googlesource.com/platform/cts/+/5a9ef83fa73577ac1ecb589ffdeb044393a98826", "5a9ef83fa73577ac1ecb589ffdeb044393a98826")</f>
        <v>0</v>
      </c>
      <c r="D34101" t="s">
        <v>5051</v>
      </c>
      <c r="E34101" t="s">
        <v>8293</v>
      </c>
      <c r="F34101" t="s">
        <v>12623</v>
      </c>
      <c r="G34101" t="s">
        <v>16833</v>
      </c>
      <c r="H34101" t="s">
        <v>32302</v>
      </c>
    </row>
    <row r="34102" spans="1:8">
      <c r="A34102" t="s">
        <v>2565</v>
      </c>
      <c r="B34102">
        <f>HYPERLINK("https://android.googlesource.com/platform/cts/+/683a0ddebdf9b13cf21144c185cab6796e1d664c", "683a0ddebdf9b13cf21144c185cab6796e1d664c")</f>
        <v>0</v>
      </c>
      <c r="C34102">
        <f>HYPERLINK("https://android.googlesource.com/platform/cts/+/07f96b173d96958c0e0abb853c4e472d47015c46", "07f96b173d96958c0e0abb853c4e472d47015c46")</f>
        <v>0</v>
      </c>
      <c r="D34102" t="s">
        <v>4952</v>
      </c>
      <c r="E34102" t="s">
        <v>8294</v>
      </c>
      <c r="F34102" t="s">
        <v>12342</v>
      </c>
      <c r="G34102" t="s">
        <v>16570</v>
      </c>
      <c r="H34102" t="s">
        <v>25011</v>
      </c>
    </row>
    <row r="34103" spans="1:8">
      <c r="H34103" t="s">
        <v>32312</v>
      </c>
    </row>
    <row r="34104" spans="1:8">
      <c r="H34104" t="s">
        <v>22836</v>
      </c>
    </row>
    <row r="34105" spans="1:8">
      <c r="A34105" t="s">
        <v>2566</v>
      </c>
      <c r="B34105">
        <f>HYPERLINK("https://android.googlesource.com/platform/cts/+/1adb31e3699f2b46be4a59ac83a37a5b89468ffe", "1adb31e3699f2b46be4a59ac83a37a5b89468ffe")</f>
        <v>0</v>
      </c>
      <c r="C34105">
        <f>HYPERLINK("https://android.googlesource.com/platform/cts/+/275bcfddb5a8f791b43d08221c6afee4f18dd39c", "275bcfddb5a8f791b43d08221c6afee4f18dd39c")</f>
        <v>0</v>
      </c>
      <c r="D34105" t="s">
        <v>5244</v>
      </c>
      <c r="E34105" t="s">
        <v>8295</v>
      </c>
      <c r="F34105" t="s">
        <v>13914</v>
      </c>
      <c r="G34105" t="s">
        <v>15170</v>
      </c>
      <c r="H34105" t="s">
        <v>32313</v>
      </c>
    </row>
    <row r="34106" spans="1:8">
      <c r="H34106" t="s">
        <v>32314</v>
      </c>
    </row>
    <row r="34107" spans="1:8">
      <c r="A34107" t="s">
        <v>2567</v>
      </c>
      <c r="B34107">
        <f>HYPERLINK("https://android.googlesource.com/platform/cts/+/d1eff3c5db371893fe75a910bbe7bf5b58511800", "d1eff3c5db371893fe75a910bbe7bf5b58511800")</f>
        <v>0</v>
      </c>
      <c r="C34107">
        <f>HYPERLINK("https://android.googlesource.com/platform/cts/+/cfb3a50480f183c9f583a766d31cd45189fac9b7", "cfb3a50480f183c9f583a766d31cd45189fac9b7")</f>
        <v>0</v>
      </c>
      <c r="D34107" t="s">
        <v>5374</v>
      </c>
      <c r="E34107" t="s">
        <v>8296</v>
      </c>
      <c r="F34107" t="s">
        <v>13165</v>
      </c>
      <c r="G34107" t="s">
        <v>17315</v>
      </c>
      <c r="H34107" t="s">
        <v>32315</v>
      </c>
    </row>
    <row r="34108" spans="1:8">
      <c r="A34108" t="s">
        <v>2568</v>
      </c>
      <c r="B34108">
        <f>HYPERLINK("https://android.googlesource.com/platform/cts/+/e4a570015b9db5999b991ae5768ac0247d0ecbf8", "e4a570015b9db5999b991ae5768ac0247d0ecbf8")</f>
        <v>0</v>
      </c>
      <c r="C34108">
        <f>HYPERLINK("https://android.googlesource.com/platform/cts/+/8518067e77c3f85dfd42219f9a24038343930271", "8518067e77c3f85dfd42219f9a24038343930271")</f>
        <v>0</v>
      </c>
      <c r="D34108" t="s">
        <v>5135</v>
      </c>
      <c r="E34108" t="s">
        <v>8297</v>
      </c>
      <c r="F34108" t="s">
        <v>13920</v>
      </c>
      <c r="G34108" t="s">
        <v>17956</v>
      </c>
      <c r="H34108" t="s">
        <v>32316</v>
      </c>
    </row>
    <row r="34109" spans="1:8">
      <c r="A34109" t="s">
        <v>2569</v>
      </c>
      <c r="B34109">
        <f>HYPERLINK("https://android.googlesource.com/platform/cts/+/d541da431f3826f09cf89bc010644bcc6474f326", "d541da431f3826f09cf89bc010644bcc6474f326")</f>
        <v>0</v>
      </c>
      <c r="C34109">
        <f>HYPERLINK("https://android.googlesource.com/platform/cts/+/cd3b2d14240e7b4f0c628b69abc74fa4baf42e42", "cd3b2d14240e7b4f0c628b69abc74fa4baf42e42")</f>
        <v>0</v>
      </c>
      <c r="D34109" t="s">
        <v>5134</v>
      </c>
      <c r="E34109" t="s">
        <v>8298</v>
      </c>
      <c r="F34109" t="s">
        <v>13921</v>
      </c>
      <c r="G34109" t="s">
        <v>17957</v>
      </c>
      <c r="H34109" t="s">
        <v>32317</v>
      </c>
    </row>
    <row r="34110" spans="1:8">
      <c r="F34110" t="s">
        <v>13922</v>
      </c>
      <c r="G34110" t="s">
        <v>17958</v>
      </c>
      <c r="H34110" t="s">
        <v>32318</v>
      </c>
    </row>
    <row r="34111" spans="1:8">
      <c r="A34111" t="s">
        <v>2570</v>
      </c>
      <c r="B34111">
        <f>HYPERLINK("https://android.googlesource.com/platform/cts/+/4d204b97da91d50bcdd468f7f25d9fb942f7d6f2", "4d204b97da91d50bcdd468f7f25d9fb942f7d6f2")</f>
        <v>0</v>
      </c>
      <c r="C34111">
        <f>HYPERLINK("https://android.googlesource.com/platform/cts/+/8a0c2e50a5e7a012504fc8ead04a65d5f7310103", "8a0c2e50a5e7a012504fc8ead04a65d5f7310103")</f>
        <v>0</v>
      </c>
      <c r="D34111" t="s">
        <v>5134</v>
      </c>
      <c r="E34111" t="s">
        <v>8299</v>
      </c>
      <c r="F34111" t="s">
        <v>13921</v>
      </c>
      <c r="G34111" t="s">
        <v>17957</v>
      </c>
      <c r="H34111" t="s">
        <v>32317</v>
      </c>
    </row>
    <row r="34112" spans="1:8">
      <c r="F34112" t="s">
        <v>13922</v>
      </c>
      <c r="G34112" t="s">
        <v>17958</v>
      </c>
      <c r="H34112" t="s">
        <v>32318</v>
      </c>
    </row>
    <row r="34113" spans="1:8">
      <c r="A34113" t="s">
        <v>2571</v>
      </c>
      <c r="B34113">
        <f>HYPERLINK("https://android.googlesource.com/platform/cts/+/a303f786bdeecd27fe325aa0eb14e67bd599d205", "a303f786bdeecd27fe325aa0eb14e67bd599d205")</f>
        <v>0</v>
      </c>
      <c r="C34113">
        <f>HYPERLINK("https://android.googlesource.com/platform/cts/+/cd3b2d14240e7b4f0c628b69abc74fa4baf42e42", "cd3b2d14240e7b4f0c628b69abc74fa4baf42e42")</f>
        <v>0</v>
      </c>
      <c r="D34113" t="s">
        <v>5407</v>
      </c>
      <c r="E34113" t="s">
        <v>8300</v>
      </c>
      <c r="F34113" t="s">
        <v>13887</v>
      </c>
      <c r="G34113" t="s">
        <v>17319</v>
      </c>
      <c r="H34113" t="s">
        <v>32319</v>
      </c>
    </row>
    <row r="34114" spans="1:8">
      <c r="H34114" t="s">
        <v>32320</v>
      </c>
    </row>
    <row r="34115" spans="1:8">
      <c r="H34115" t="s">
        <v>32321</v>
      </c>
    </row>
    <row r="34116" spans="1:8">
      <c r="A34116" t="s">
        <v>2572</v>
      </c>
      <c r="B34116">
        <f>HYPERLINK("https://android.googlesource.com/platform/cts/+/214b9c7926442fd794c0742b233496896fff761f", "214b9c7926442fd794c0742b233496896fff761f")</f>
        <v>0</v>
      </c>
      <c r="C34116">
        <f>HYPERLINK("https://android.googlesource.com/platform/cts/+/62e481236d1bdac9bb0f44bf630ae68b292d8ba4", "62e481236d1bdac9bb0f44bf630ae68b292d8ba4")</f>
        <v>0</v>
      </c>
      <c r="D34116" t="s">
        <v>5414</v>
      </c>
      <c r="E34116" t="s">
        <v>8301</v>
      </c>
      <c r="F34116" t="s">
        <v>13923</v>
      </c>
      <c r="G34116" t="s">
        <v>17959</v>
      </c>
      <c r="H34116" t="s">
        <v>19981</v>
      </c>
    </row>
    <row r="34117" spans="1:8">
      <c r="A34117" t="s">
        <v>2573</v>
      </c>
      <c r="B34117">
        <f>HYPERLINK("https://android.googlesource.com/platform/cts/+/2ba1847ab2fe5c946685fececbd9d863060bbd57", "2ba1847ab2fe5c946685fececbd9d863060bbd57")</f>
        <v>0</v>
      </c>
      <c r="C34117">
        <f>HYPERLINK("https://android.googlesource.com/platform/cts/+/f1574544bd5a8cdd1af05dab1e9fa7ada1bf7b30", "f1574544bd5a8cdd1af05dab1e9fa7ada1bf7b30")</f>
        <v>0</v>
      </c>
      <c r="D34117" t="s">
        <v>5265</v>
      </c>
      <c r="E34117" t="s">
        <v>8302</v>
      </c>
      <c r="F34117" t="s">
        <v>10699</v>
      </c>
      <c r="G34117" t="s">
        <v>15099</v>
      </c>
      <c r="H34117" t="s">
        <v>18876</v>
      </c>
    </row>
    <row r="34118" spans="1:8">
      <c r="A34118" t="s">
        <v>2574</v>
      </c>
      <c r="B34118">
        <f>HYPERLINK("https://android.googlesource.com/platform/cts/+/90a251b88182726e4429e0bd6ba8a917c7740706", "90a251b88182726e4429e0bd6ba8a917c7740706")</f>
        <v>0</v>
      </c>
      <c r="C34118">
        <f>HYPERLINK("https://android.googlesource.com/platform/cts/+/6b3a911be8ac4cd75bf90bfde684e8fa95d90792", "6b3a911be8ac4cd75bf90bfde684e8fa95d90792")</f>
        <v>0</v>
      </c>
      <c r="D34118" t="s">
        <v>5415</v>
      </c>
      <c r="E34118" t="s">
        <v>8303</v>
      </c>
      <c r="F34118" t="s">
        <v>13921</v>
      </c>
      <c r="G34118" t="s">
        <v>17957</v>
      </c>
      <c r="H34118" t="s">
        <v>32317</v>
      </c>
    </row>
    <row r="34119" spans="1:8">
      <c r="F34119" t="s">
        <v>13922</v>
      </c>
      <c r="G34119" t="s">
        <v>17958</v>
      </c>
      <c r="H34119" t="s">
        <v>32318</v>
      </c>
    </row>
    <row r="34120" spans="1:8">
      <c r="A34120" t="s">
        <v>2575</v>
      </c>
      <c r="B34120">
        <f>HYPERLINK("https://android.googlesource.com/platform/cts/+/f30f7a00b247b670890603b7a9a30d2b25d8aa52", "f30f7a00b247b670890603b7a9a30d2b25d8aa52")</f>
        <v>0</v>
      </c>
      <c r="C34120">
        <f>HYPERLINK("https://android.googlesource.com/platform/cts/+/c8e4f2dfda6322f49d70898ff826978020d6dc86", "c8e4f2dfda6322f49d70898ff826978020d6dc86")</f>
        <v>0</v>
      </c>
      <c r="D34120" t="s">
        <v>5117</v>
      </c>
      <c r="E34120" t="s">
        <v>8304</v>
      </c>
      <c r="F34120" t="s">
        <v>12732</v>
      </c>
      <c r="G34120" t="s">
        <v>16926</v>
      </c>
      <c r="H34120" t="s">
        <v>32322</v>
      </c>
    </row>
    <row r="34121" spans="1:8">
      <c r="A34121" t="s">
        <v>2576</v>
      </c>
      <c r="B34121">
        <f>HYPERLINK("https://android.googlesource.com/platform/cts/+/918a31c5b2358cf70e006356055d94efa98ff121", "918a31c5b2358cf70e006356055d94efa98ff121")</f>
        <v>0</v>
      </c>
      <c r="C34121">
        <f>HYPERLINK("https://android.googlesource.com/platform/cts/+/9e211b075f0994c9217270d8270f23e9454e5f70", "9e211b075f0994c9217270d8270f23e9454e5f70")</f>
        <v>0</v>
      </c>
      <c r="D34121" t="s">
        <v>5117</v>
      </c>
      <c r="E34121" t="s">
        <v>8305</v>
      </c>
      <c r="F34121" t="s">
        <v>12732</v>
      </c>
      <c r="G34121" t="s">
        <v>16926</v>
      </c>
      <c r="H34121" t="s">
        <v>32322</v>
      </c>
    </row>
    <row r="34122" spans="1:8">
      <c r="A34122" t="s">
        <v>2577</v>
      </c>
      <c r="B34122">
        <f>HYPERLINK("https://android.googlesource.com/platform/cts/+/259487b53082498b3f2ed2f57c60a731b20cd904", "259487b53082498b3f2ed2f57c60a731b20cd904")</f>
        <v>0</v>
      </c>
      <c r="C34122">
        <f>HYPERLINK("https://android.googlesource.com/platform/cts/+/b75f08a5e1d1398d98415d8d5b0d983e0fe40b9a", "b75f08a5e1d1398d98415d8d5b0d983e0fe40b9a")</f>
        <v>0</v>
      </c>
      <c r="D34122" t="s">
        <v>5117</v>
      </c>
      <c r="E34122" t="s">
        <v>8306</v>
      </c>
      <c r="F34122" t="s">
        <v>12732</v>
      </c>
      <c r="G34122" t="s">
        <v>16926</v>
      </c>
      <c r="H34122" t="s">
        <v>32322</v>
      </c>
    </row>
    <row r="34123" spans="1:8">
      <c r="A34123" t="s">
        <v>2578</v>
      </c>
      <c r="B34123">
        <f>HYPERLINK("https://android.googlesource.com/platform/cts/+/8bdd93caebf71c9683185b49475c6c725bb6ed6b", "8bdd93caebf71c9683185b49475c6c725bb6ed6b")</f>
        <v>0</v>
      </c>
      <c r="C34123">
        <f>HYPERLINK("https://android.googlesource.com/platform/cts/+/fc83f42ba9f61034397f47b578a83153d78ade86", "fc83f42ba9f61034397f47b578a83153d78ade86")</f>
        <v>0</v>
      </c>
      <c r="D34123" t="s">
        <v>4952</v>
      </c>
      <c r="E34123" t="s">
        <v>8307</v>
      </c>
      <c r="F34123" t="s">
        <v>12835</v>
      </c>
      <c r="G34123" t="s">
        <v>16417</v>
      </c>
      <c r="H34123" t="s">
        <v>18829</v>
      </c>
    </row>
    <row r="34124" spans="1:8">
      <c r="H34124" t="s">
        <v>18863</v>
      </c>
    </row>
    <row r="34125" spans="1:8">
      <c r="H34125" t="s">
        <v>32226</v>
      </c>
    </row>
    <row r="34126" spans="1:8">
      <c r="H34126" t="s">
        <v>32227</v>
      </c>
    </row>
    <row r="34127" spans="1:8">
      <c r="H34127" t="s">
        <v>32228</v>
      </c>
    </row>
    <row r="34128" spans="1:8">
      <c r="H34128" t="s">
        <v>32229</v>
      </c>
    </row>
    <row r="34129" spans="1:8">
      <c r="H34129" t="s">
        <v>32230</v>
      </c>
    </row>
    <row r="34130" spans="1:8">
      <c r="H34130" t="s">
        <v>32231</v>
      </c>
    </row>
    <row r="34131" spans="1:8">
      <c r="H34131" t="s">
        <v>32232</v>
      </c>
    </row>
    <row r="34132" spans="1:8">
      <c r="F34132" t="s">
        <v>12414</v>
      </c>
      <c r="G34132" t="s">
        <v>16636</v>
      </c>
      <c r="H34132" t="s">
        <v>32233</v>
      </c>
    </row>
    <row r="34133" spans="1:8">
      <c r="H34133" t="s">
        <v>32234</v>
      </c>
    </row>
    <row r="34134" spans="1:8">
      <c r="H34134" t="s">
        <v>32235</v>
      </c>
    </row>
    <row r="34135" spans="1:8">
      <c r="H34135" t="s">
        <v>32236</v>
      </c>
    </row>
    <row r="34136" spans="1:8">
      <c r="H34136" t="s">
        <v>32237</v>
      </c>
    </row>
    <row r="34137" spans="1:8">
      <c r="H34137" t="s">
        <v>32238</v>
      </c>
    </row>
    <row r="34138" spans="1:8">
      <c r="H34138" t="s">
        <v>32239</v>
      </c>
    </row>
    <row r="34139" spans="1:8">
      <c r="A34139" t="s">
        <v>2579</v>
      </c>
      <c r="B34139">
        <f>HYPERLINK("https://android.googlesource.com/platform/cts/+/d33ff3b2401dd2d5785effdf7a9b74688ec1e118", "d33ff3b2401dd2d5785effdf7a9b74688ec1e118")</f>
        <v>0</v>
      </c>
      <c r="C34139">
        <f>HYPERLINK("https://android.googlesource.com/platform/cts/+/8bdd93caebf71c9683185b49475c6c725bb6ed6b", "8bdd93caebf71c9683185b49475c6c725bb6ed6b")</f>
        <v>0</v>
      </c>
      <c r="D34139" t="s">
        <v>4952</v>
      </c>
      <c r="E34139" t="s">
        <v>8308</v>
      </c>
      <c r="F34139" t="s">
        <v>12222</v>
      </c>
      <c r="G34139" t="s">
        <v>16452</v>
      </c>
      <c r="H34139" t="s">
        <v>32251</v>
      </c>
    </row>
    <row r="34140" spans="1:8">
      <c r="A34140" t="s">
        <v>2580</v>
      </c>
      <c r="B34140">
        <f>HYPERLINK("https://android.googlesource.com/platform/cts/+/bff1465d3e2f9aa13667a09a1035fbd63a927ee4", "bff1465d3e2f9aa13667a09a1035fbd63a927ee4")</f>
        <v>0</v>
      </c>
      <c r="C34140">
        <f>HYPERLINK("https://android.googlesource.com/platform/cts/+/c38f0e6aea074601a1720af755429f2f5e335413", "c38f0e6aea074601a1720af755429f2f5e335413")</f>
        <v>0</v>
      </c>
      <c r="D34140" t="s">
        <v>4952</v>
      </c>
      <c r="E34140" t="s">
        <v>8309</v>
      </c>
      <c r="F34140" t="s">
        <v>13913</v>
      </c>
      <c r="G34140" t="s">
        <v>17950</v>
      </c>
      <c r="H34140" t="s">
        <v>32253</v>
      </c>
    </row>
    <row r="34141" spans="1:8">
      <c r="H34141" t="s">
        <v>32254</v>
      </c>
    </row>
    <row r="34142" spans="1:8">
      <c r="A34142" t="s">
        <v>2581</v>
      </c>
      <c r="B34142">
        <f>HYPERLINK("https://android.googlesource.com/platform/cts/+/7a95546c64d7db691905229f80934099047dde07", "7a95546c64d7db691905229f80934099047dde07")</f>
        <v>0</v>
      </c>
      <c r="C34142">
        <f>HYPERLINK("https://android.googlesource.com/platform/cts/+/bff1465d3e2f9aa13667a09a1035fbd63a927ee4", "bff1465d3e2f9aa13667a09a1035fbd63a927ee4")</f>
        <v>0</v>
      </c>
      <c r="D34142" t="s">
        <v>4952</v>
      </c>
      <c r="E34142" t="s">
        <v>8310</v>
      </c>
      <c r="F34142" t="s">
        <v>13915</v>
      </c>
      <c r="G34142" t="s">
        <v>17951</v>
      </c>
      <c r="H34142" t="s">
        <v>32283</v>
      </c>
    </row>
    <row r="34143" spans="1:8">
      <c r="H34143" t="s">
        <v>32284</v>
      </c>
    </row>
    <row r="34144" spans="1:8">
      <c r="H34144" t="s">
        <v>32285</v>
      </c>
    </row>
    <row r="34145" spans="8:8">
      <c r="H34145" t="s">
        <v>32286</v>
      </c>
    </row>
    <row r="34146" spans="8:8">
      <c r="H34146" t="s">
        <v>32287</v>
      </c>
    </row>
    <row r="34147" spans="8:8">
      <c r="H34147" t="s">
        <v>22686</v>
      </c>
    </row>
    <row r="34148" spans="8:8">
      <c r="H34148" t="s">
        <v>32288</v>
      </c>
    </row>
    <row r="34149" spans="8:8">
      <c r="H34149" t="s">
        <v>32289</v>
      </c>
    </row>
    <row r="34150" spans="8:8">
      <c r="H34150" t="s">
        <v>32290</v>
      </c>
    </row>
    <row r="34151" spans="8:8">
      <c r="H34151" t="s">
        <v>32291</v>
      </c>
    </row>
    <row r="34152" spans="8:8">
      <c r="H34152" t="s">
        <v>32292</v>
      </c>
    </row>
    <row r="34153" spans="8:8">
      <c r="H34153" t="s">
        <v>32293</v>
      </c>
    </row>
    <row r="34154" spans="8:8">
      <c r="H34154" t="s">
        <v>29667</v>
      </c>
    </row>
    <row r="34155" spans="8:8">
      <c r="H34155" t="s">
        <v>18927</v>
      </c>
    </row>
    <row r="34156" spans="8:8">
      <c r="H34156" t="s">
        <v>18954</v>
      </c>
    </row>
    <row r="34157" spans="8:8">
      <c r="H34157" t="s">
        <v>32294</v>
      </c>
    </row>
    <row r="34158" spans="8:8">
      <c r="H34158" t="s">
        <v>32295</v>
      </c>
    </row>
    <row r="34159" spans="8:8">
      <c r="H34159" t="s">
        <v>19743</v>
      </c>
    </row>
    <row r="34160" spans="8:8">
      <c r="H34160" t="s">
        <v>32288</v>
      </c>
    </row>
    <row r="34161" spans="1:8">
      <c r="H34161" t="s">
        <v>32289</v>
      </c>
    </row>
    <row r="34162" spans="1:8">
      <c r="H34162" t="s">
        <v>32290</v>
      </c>
    </row>
    <row r="34163" spans="1:8">
      <c r="H34163" t="s">
        <v>32291</v>
      </c>
    </row>
    <row r="34164" spans="1:8">
      <c r="H34164" t="s">
        <v>32292</v>
      </c>
    </row>
    <row r="34165" spans="1:8">
      <c r="H34165" t="s">
        <v>32296</v>
      </c>
    </row>
    <row r="34166" spans="1:8">
      <c r="H34166" t="s">
        <v>32297</v>
      </c>
    </row>
    <row r="34167" spans="1:8">
      <c r="H34167" t="s">
        <v>22686</v>
      </c>
    </row>
    <row r="34168" spans="1:8">
      <c r="A34168" t="s">
        <v>2582</v>
      </c>
      <c r="B34168">
        <f>HYPERLINK("https://android.googlesource.com/platform/cts/+/2670baebb26f633ebbc567363897b67e32c43e38", "2670baebb26f633ebbc567363897b67e32c43e38")</f>
        <v>0</v>
      </c>
      <c r="C34168">
        <f>HYPERLINK("https://android.googlesource.com/platform/cts/+/7a95546c64d7db691905229f80934099047dde07", "7a95546c64d7db691905229f80934099047dde07")</f>
        <v>0</v>
      </c>
      <c r="D34168" t="s">
        <v>4952</v>
      </c>
      <c r="E34168" t="s">
        <v>8311</v>
      </c>
      <c r="F34168" t="s">
        <v>12342</v>
      </c>
      <c r="G34168" t="s">
        <v>16570</v>
      </c>
      <c r="H34168" t="s">
        <v>25011</v>
      </c>
    </row>
    <row r="34169" spans="1:8">
      <c r="H34169" t="s">
        <v>32312</v>
      </c>
    </row>
    <row r="34170" spans="1:8">
      <c r="H34170" t="s">
        <v>22836</v>
      </c>
    </row>
    <row r="34171" spans="1:8">
      <c r="A34171" t="s">
        <v>2583</v>
      </c>
      <c r="B34171">
        <f>HYPERLINK("https://android.googlesource.com/platform/cts/+/477a2e99c547a8157656fe2fa4a48ad4b46c65c6", "477a2e99c547a8157656fe2fa4a48ad4b46c65c6")</f>
        <v>0</v>
      </c>
      <c r="C34171">
        <f>HYPERLINK("https://android.googlesource.com/platform/cts/+/c570083e974b4dfd66b1d8149f1d7690d387a1da", "c570083e974b4dfd66b1d8149f1d7690d387a1da")</f>
        <v>0</v>
      </c>
      <c r="D34171" t="s">
        <v>5153</v>
      </c>
      <c r="E34171" t="s">
        <v>8312</v>
      </c>
      <c r="F34171" t="s">
        <v>10608</v>
      </c>
      <c r="G34171" t="s">
        <v>15011</v>
      </c>
      <c r="H34171" t="s">
        <v>18829</v>
      </c>
    </row>
    <row r="34172" spans="1:8">
      <c r="A34172" t="s">
        <v>2584</v>
      </c>
      <c r="B34172">
        <f>HYPERLINK("https://android.googlesource.com/platform/cts/+/1c29f9d16d33536aaf3a9dd4e467147675f6623a", "1c29f9d16d33536aaf3a9dd4e467147675f6623a")</f>
        <v>0</v>
      </c>
      <c r="C34172">
        <f>HYPERLINK("https://android.googlesource.com/platform/cts/+/68689f69afbcccad48be9da4deaf83cb30b726a0", "68689f69afbcccad48be9da4deaf83cb30b726a0")</f>
        <v>0</v>
      </c>
      <c r="D34172" t="s">
        <v>5021</v>
      </c>
      <c r="E34172" t="s">
        <v>8313</v>
      </c>
      <c r="F34172" t="s">
        <v>13806</v>
      </c>
      <c r="G34172" t="s">
        <v>17843</v>
      </c>
      <c r="H34172" t="s">
        <v>25644</v>
      </c>
    </row>
    <row r="34173" spans="1:8">
      <c r="F34173" t="s">
        <v>13794</v>
      </c>
      <c r="G34173" t="s">
        <v>17846</v>
      </c>
      <c r="H34173" t="s">
        <v>25644</v>
      </c>
    </row>
    <row r="34174" spans="1:8">
      <c r="A34174" t="s">
        <v>2585</v>
      </c>
      <c r="B34174">
        <f>HYPERLINK("https://android.googlesource.com/platform/cts/+/743ae41431e32eeeb333138cdb8ae2730249bf52", "743ae41431e32eeeb333138cdb8ae2730249bf52")</f>
        <v>0</v>
      </c>
      <c r="C34174">
        <f>HYPERLINK("https://android.googlesource.com/platform/cts/+/efacff51f07478f2469083807369bbbbd1de4558", "efacff51f07478f2469083807369bbbbd1de4558")</f>
        <v>0</v>
      </c>
      <c r="D34174" t="s">
        <v>4949</v>
      </c>
      <c r="E34174" t="s">
        <v>8314</v>
      </c>
      <c r="F34174" t="s">
        <v>13905</v>
      </c>
      <c r="G34174" t="s">
        <v>17942</v>
      </c>
      <c r="H34174" t="s">
        <v>32323</v>
      </c>
    </row>
    <row r="34175" spans="1:8">
      <c r="H34175" t="s">
        <v>32324</v>
      </c>
    </row>
    <row r="34176" spans="1:8">
      <c r="H34176" t="s">
        <v>32325</v>
      </c>
    </row>
    <row r="34177" spans="1:8">
      <c r="A34177" t="s">
        <v>2586</v>
      </c>
      <c r="B34177">
        <f>HYPERLINK("https://android.googlesource.com/platform/cts/+/f587758d2187cf7f5c0bbd5dd92d27474afa023a", "f587758d2187cf7f5c0bbd5dd92d27474afa023a")</f>
        <v>0</v>
      </c>
      <c r="C34177">
        <f>HYPERLINK("https://android.googlesource.com/platform/cts/+/f5eddf6575cecbb34c3ebac1e8324e6d44d4e496", "f5eddf6575cecbb34c3ebac1e8324e6d44d4e496")</f>
        <v>0</v>
      </c>
      <c r="D34177" t="s">
        <v>5383</v>
      </c>
      <c r="E34177" t="s">
        <v>8315</v>
      </c>
      <c r="F34177" t="s">
        <v>13924</v>
      </c>
      <c r="G34177" t="s">
        <v>17960</v>
      </c>
      <c r="H34177" t="s">
        <v>32326</v>
      </c>
    </row>
    <row r="34178" spans="1:8">
      <c r="H34178" t="s">
        <v>32327</v>
      </c>
    </row>
    <row r="34179" spans="1:8">
      <c r="A34179" t="s">
        <v>2587</v>
      </c>
      <c r="B34179">
        <f>HYPERLINK("https://android.googlesource.com/platform/cts/+/e3c13fd5c8207052ec8a422934f452b03282a0a2", "e3c13fd5c8207052ec8a422934f452b03282a0a2")</f>
        <v>0</v>
      </c>
      <c r="C34179">
        <f>HYPERLINK("https://android.googlesource.com/platform/cts/+/3dc07ab8c46cd2f975cc7b1c72b1aaf568d6945f", "3dc07ab8c46cd2f975cc7b1c72b1aaf568d6945f")</f>
        <v>0</v>
      </c>
      <c r="D34179" t="s">
        <v>5416</v>
      </c>
      <c r="E34179" t="s">
        <v>8316</v>
      </c>
      <c r="F34179" t="s">
        <v>13925</v>
      </c>
      <c r="G34179" t="s">
        <v>17961</v>
      </c>
      <c r="H34179" t="s">
        <v>32328</v>
      </c>
    </row>
    <row r="34180" spans="1:8">
      <c r="H34180" t="s">
        <v>32329</v>
      </c>
    </row>
    <row r="34181" spans="1:8">
      <c r="A34181" t="s">
        <v>2588</v>
      </c>
      <c r="B34181">
        <f>HYPERLINK("https://android.googlesource.com/platform/cts/+/7f304eb5a9d0aea8f62622bd94c9b855db7611c8", "7f304eb5a9d0aea8f62622bd94c9b855db7611c8")</f>
        <v>0</v>
      </c>
      <c r="C34181">
        <f>HYPERLINK("https://android.googlesource.com/platform/cts/+/149d7e6346f7d9445b9f97464ee7e07905160f93", "149d7e6346f7d9445b9f97464ee7e07905160f93")</f>
        <v>0</v>
      </c>
      <c r="D34181" t="s">
        <v>5134</v>
      </c>
      <c r="E34181" t="s">
        <v>8317</v>
      </c>
      <c r="F34181" t="s">
        <v>13814</v>
      </c>
      <c r="G34181" t="s">
        <v>17936</v>
      </c>
      <c r="H34181" t="s">
        <v>32181</v>
      </c>
    </row>
    <row r="34182" spans="1:8">
      <c r="H34182" t="s">
        <v>32182</v>
      </c>
    </row>
    <row r="34183" spans="1:8">
      <c r="H34183" t="s">
        <v>32183</v>
      </c>
    </row>
    <row r="34184" spans="1:8">
      <c r="H34184" t="s">
        <v>32184</v>
      </c>
    </row>
    <row r="34185" spans="1:8">
      <c r="H34185" t="s">
        <v>32185</v>
      </c>
    </row>
    <row r="34186" spans="1:8">
      <c r="H34186" t="s">
        <v>32186</v>
      </c>
    </row>
    <row r="34187" spans="1:8">
      <c r="H34187" t="s">
        <v>32187</v>
      </c>
    </row>
    <row r="34188" spans="1:8">
      <c r="H34188" t="s">
        <v>32188</v>
      </c>
    </row>
    <row r="34189" spans="1:8">
      <c r="H34189" t="s">
        <v>32189</v>
      </c>
    </row>
    <row r="34190" spans="1:8">
      <c r="H34190" t="s">
        <v>32190</v>
      </c>
    </row>
    <row r="34191" spans="1:8">
      <c r="H34191" t="s">
        <v>32191</v>
      </c>
    </row>
    <row r="34192" spans="1:8">
      <c r="H34192" t="s">
        <v>32192</v>
      </c>
    </row>
    <row r="34193" spans="1:8">
      <c r="H34193" t="s">
        <v>32193</v>
      </c>
    </row>
    <row r="34194" spans="1:8">
      <c r="H34194" t="s">
        <v>32194</v>
      </c>
    </row>
    <row r="34195" spans="1:8">
      <c r="H34195" t="s">
        <v>32195</v>
      </c>
    </row>
    <row r="34196" spans="1:8">
      <c r="A34196" t="s">
        <v>2589</v>
      </c>
      <c r="B34196">
        <f>HYPERLINK("https://android.googlesource.com/platform/cts/+/edebba8429b14345c7682cc0b2879951f831e6c5", "edebba8429b14345c7682cc0b2879951f831e6c5")</f>
        <v>0</v>
      </c>
      <c r="C34196">
        <f>HYPERLINK("https://android.googlesource.com/platform/cts/+/022f74bffbd48b025bde4f3c1a572ce64c9a8989", "022f74bffbd48b025bde4f3c1a572ce64c9a8989")</f>
        <v>0</v>
      </c>
      <c r="D34196" t="s">
        <v>5389</v>
      </c>
      <c r="E34196" t="s">
        <v>8318</v>
      </c>
      <c r="F34196" t="s">
        <v>13926</v>
      </c>
      <c r="G34196" t="s">
        <v>17962</v>
      </c>
      <c r="H34196" t="s">
        <v>32330</v>
      </c>
    </row>
    <row r="34197" spans="1:8">
      <c r="A34197" t="s">
        <v>2590</v>
      </c>
      <c r="B34197">
        <f>HYPERLINK("https://android.googlesource.com/platform/cts/+/1c24b13dc85732074324b3c0fbe6dbd342a1cffe", "1c24b13dc85732074324b3c0fbe6dbd342a1cffe")</f>
        <v>0</v>
      </c>
      <c r="C34197">
        <f>HYPERLINK("https://android.googlesource.com/platform/cts/+/c8ead1b742441b58124543e3962d65b58b37fad8", "c8ead1b742441b58124543e3962d65b58b37fad8")</f>
        <v>0</v>
      </c>
      <c r="D34197" t="s">
        <v>5244</v>
      </c>
      <c r="E34197" t="s">
        <v>8319</v>
      </c>
      <c r="F34197" t="s">
        <v>13914</v>
      </c>
      <c r="G34197" t="s">
        <v>15170</v>
      </c>
      <c r="H34197" t="s">
        <v>32331</v>
      </c>
    </row>
    <row r="34198" spans="1:8">
      <c r="A34198" t="s">
        <v>2591</v>
      </c>
      <c r="B34198">
        <f>HYPERLINK("https://android.googlesource.com/platform/cts/+/abd338c23c91adbe7304bbbe62187f116e55bdc8", "abd338c23c91adbe7304bbbe62187f116e55bdc8")</f>
        <v>0</v>
      </c>
      <c r="C34198">
        <f>HYPERLINK("https://android.googlesource.com/platform/cts/+/35d0d356814009491ca3925a9bc0eac204fe0511", "35d0d356814009491ca3925a9bc0eac204fe0511")</f>
        <v>0</v>
      </c>
      <c r="D34198" t="s">
        <v>5417</v>
      </c>
      <c r="E34198" t="s">
        <v>8320</v>
      </c>
      <c r="F34198" t="s">
        <v>13927</v>
      </c>
      <c r="G34198" t="s">
        <v>17963</v>
      </c>
      <c r="H34198" t="s">
        <v>32332</v>
      </c>
    </row>
    <row r="34199" spans="1:8">
      <c r="A34199" t="s">
        <v>2592</v>
      </c>
      <c r="B34199">
        <f>HYPERLINK("https://android.googlesource.com/platform/cts/+/0e4743d56553d698ac45ae548f31019ea6e91541", "0e4743d56553d698ac45ae548f31019ea6e91541")</f>
        <v>0</v>
      </c>
      <c r="C34199">
        <f>HYPERLINK("https://android.googlesource.com/platform/cts/+/2f07cd8551d755a4076e94b9e620bc446a66bf54", "2f07cd8551d755a4076e94b9e620bc446a66bf54")</f>
        <v>0</v>
      </c>
      <c r="D34199" t="s">
        <v>5271</v>
      </c>
      <c r="E34199" t="s">
        <v>8321</v>
      </c>
      <c r="F34199" t="s">
        <v>13309</v>
      </c>
      <c r="G34199" t="s">
        <v>17442</v>
      </c>
      <c r="H34199" t="s">
        <v>32333</v>
      </c>
    </row>
    <row r="34200" spans="1:8">
      <c r="A34200" t="s">
        <v>2593</v>
      </c>
      <c r="B34200">
        <f>HYPERLINK("https://android.googlesource.com/platform/cts/+/d708a4c217f13c9028427d98031394f0933482bf", "d708a4c217f13c9028427d98031394f0933482bf")</f>
        <v>0</v>
      </c>
      <c r="C34200">
        <f>HYPERLINK("https://android.googlesource.com/platform/cts/+/0e4743d56553d698ac45ae548f31019ea6e91541", "0e4743d56553d698ac45ae548f31019ea6e91541")</f>
        <v>0</v>
      </c>
      <c r="D34200" t="s">
        <v>5271</v>
      </c>
      <c r="E34200" t="s">
        <v>8322</v>
      </c>
      <c r="F34200" t="s">
        <v>13928</v>
      </c>
      <c r="G34200" t="s">
        <v>17964</v>
      </c>
      <c r="H34200" t="s">
        <v>18863</v>
      </c>
    </row>
    <row r="34201" spans="1:8">
      <c r="H34201" t="s">
        <v>32334</v>
      </c>
    </row>
    <row r="34202" spans="1:8">
      <c r="H34202" t="s">
        <v>32335</v>
      </c>
    </row>
    <row r="34203" spans="1:8">
      <c r="A34203" t="s">
        <v>2594</v>
      </c>
      <c r="B34203">
        <f>HYPERLINK("https://android.googlesource.com/platform/cts/+/a6343a75fb6c8a4dee41dce4064114a9422e5d75", "a6343a75fb6c8a4dee41dce4064114a9422e5d75")</f>
        <v>0</v>
      </c>
      <c r="C34203">
        <f>HYPERLINK("https://android.googlesource.com/platform/cts/+/831d17a139678f05598a08e007205ae6cd080cbe", "831d17a139678f05598a08e007205ae6cd080cbe")</f>
        <v>0</v>
      </c>
      <c r="D34203" t="s">
        <v>5269</v>
      </c>
      <c r="E34203" t="s">
        <v>8323</v>
      </c>
      <c r="F34203" t="s">
        <v>13758</v>
      </c>
      <c r="G34203" t="s">
        <v>17817</v>
      </c>
      <c r="H34203" t="s">
        <v>32336</v>
      </c>
    </row>
    <row r="34204" spans="1:8">
      <c r="A34204" t="s">
        <v>2595</v>
      </c>
      <c r="B34204">
        <f>HYPERLINK("https://android.googlesource.com/platform/cts/+/38a563708168229ec8fbed9d623a1473e4fac07e", "38a563708168229ec8fbed9d623a1473e4fac07e")</f>
        <v>0</v>
      </c>
      <c r="C34204">
        <f>HYPERLINK("https://android.googlesource.com/platform/cts/+/3eed604a8cb075bfa1379d8b2ec14a733467cd4a", "3eed604a8cb075bfa1379d8b2ec14a733467cd4a")</f>
        <v>0</v>
      </c>
      <c r="D34204" t="s">
        <v>5271</v>
      </c>
      <c r="E34204" t="s">
        <v>8324</v>
      </c>
      <c r="F34204" t="s">
        <v>13309</v>
      </c>
      <c r="G34204" t="s">
        <v>17442</v>
      </c>
      <c r="H34204" t="s">
        <v>32333</v>
      </c>
    </row>
    <row r="34205" spans="1:8">
      <c r="A34205" t="s">
        <v>2595</v>
      </c>
      <c r="B34205">
        <f>HYPERLINK("https://android.googlesource.com/platform/cts/+/e4baedd6cb82b04a1c24b3f9f402d90fbde0cfaf", "e4baedd6cb82b04a1c24b3f9f402d90fbde0cfaf")</f>
        <v>0</v>
      </c>
      <c r="C34205">
        <f>HYPERLINK("https://android.googlesource.com/platform/cts/+/38a563708168229ec8fbed9d623a1473e4fac07e", "38a563708168229ec8fbed9d623a1473e4fac07e")</f>
        <v>0</v>
      </c>
      <c r="D34205" t="s">
        <v>5271</v>
      </c>
      <c r="E34205" t="s">
        <v>8325</v>
      </c>
      <c r="F34205" t="s">
        <v>13928</v>
      </c>
      <c r="G34205" t="s">
        <v>17964</v>
      </c>
      <c r="H34205" t="s">
        <v>18863</v>
      </c>
    </row>
    <row r="34206" spans="1:8">
      <c r="H34206" t="s">
        <v>32334</v>
      </c>
    </row>
    <row r="34207" spans="1:8">
      <c r="H34207" t="s">
        <v>32335</v>
      </c>
    </row>
    <row r="34208" spans="1:8">
      <c r="A34208" t="s">
        <v>2596</v>
      </c>
      <c r="B34208">
        <f>HYPERLINK("https://android.googlesource.com/platform/cts/+/fb37b760488b3efdbbbd74ad54fbcf571bfce47e", "fb37b760488b3efdbbbd74ad54fbcf571bfce47e")</f>
        <v>0</v>
      </c>
      <c r="C34208">
        <f>HYPERLINK("https://android.googlesource.com/platform/cts/+/ea2dd05ce758d31850bae8378d006ac29bca9fe1", "ea2dd05ce758d31850bae8378d006ac29bca9fe1")</f>
        <v>0</v>
      </c>
      <c r="D34208" t="s">
        <v>5051</v>
      </c>
      <c r="E34208" t="s">
        <v>8326</v>
      </c>
      <c r="F34208" t="s">
        <v>13864</v>
      </c>
      <c r="G34208" t="s">
        <v>17904</v>
      </c>
      <c r="H34208" t="s">
        <v>32337</v>
      </c>
    </row>
    <row r="34209" spans="1:8">
      <c r="A34209" t="s">
        <v>2597</v>
      </c>
      <c r="B34209">
        <f>HYPERLINK("https://android.googlesource.com/platform/cts/+/8601b14b9bc5c8cbe7c2405457e23add390c3055", "8601b14b9bc5c8cbe7c2405457e23add390c3055")</f>
        <v>0</v>
      </c>
      <c r="C34209">
        <f>HYPERLINK("https://android.googlesource.com/platform/cts/+/ebcbf988b6795422ae24ec5f79af578c873cfa70", "ebcbf988b6795422ae24ec5f79af578c873cfa70")</f>
        <v>0</v>
      </c>
      <c r="D34209" t="s">
        <v>5418</v>
      </c>
      <c r="E34209" t="s">
        <v>8327</v>
      </c>
      <c r="F34209" t="s">
        <v>13566</v>
      </c>
      <c r="G34209" t="s">
        <v>16863</v>
      </c>
      <c r="H34209" t="s">
        <v>32338</v>
      </c>
    </row>
    <row r="34210" spans="1:8">
      <c r="A34210" t="s">
        <v>2598</v>
      </c>
      <c r="B34210">
        <f>HYPERLINK("https://android.googlesource.com/platform/cts/+/85bba9826d574c754edb2c9e9d8af3a631b905f6", "85bba9826d574c754edb2c9e9d8af3a631b905f6")</f>
        <v>0</v>
      </c>
      <c r="C34210">
        <f>HYPERLINK("https://android.googlesource.com/platform/cts/+/b4b58f21ff36e24dd2713df3efac724ecf341833", "b4b58f21ff36e24dd2713df3efac724ecf341833")</f>
        <v>0</v>
      </c>
      <c r="D34210" t="s">
        <v>5412</v>
      </c>
      <c r="E34210" t="s">
        <v>8328</v>
      </c>
      <c r="F34210" t="s">
        <v>12904</v>
      </c>
      <c r="G34210" t="s">
        <v>17070</v>
      </c>
      <c r="H34210" t="s">
        <v>32339</v>
      </c>
    </row>
    <row r="34211" spans="1:8">
      <c r="A34211" t="s">
        <v>2599</v>
      </c>
      <c r="B34211">
        <f>HYPERLINK("https://android.googlesource.com/platform/cts/+/98dc9b715875ffeb226f9166c52f8292a026e89f", "98dc9b715875ffeb226f9166c52f8292a026e89f")</f>
        <v>0</v>
      </c>
      <c r="C34211">
        <f>HYPERLINK("https://android.googlesource.com/platform/cts/+/a138b9c5824a4054a20c37765fe102e44dd883e0", "a138b9c5824a4054a20c37765fe102e44dd883e0")</f>
        <v>0</v>
      </c>
      <c r="D34211" t="s">
        <v>5412</v>
      </c>
      <c r="E34211" t="s">
        <v>8329</v>
      </c>
      <c r="F34211" t="s">
        <v>12904</v>
      </c>
      <c r="G34211" t="s">
        <v>17070</v>
      </c>
      <c r="H34211" t="s">
        <v>32339</v>
      </c>
    </row>
    <row r="34212" spans="1:8">
      <c r="A34212" t="s">
        <v>2600</v>
      </c>
      <c r="B34212">
        <f>HYPERLINK("https://android.googlesource.com/platform/cts/+/c77eadce6e0857c5fc43f52c187ef2c8888d2858", "c77eadce6e0857c5fc43f52c187ef2c8888d2858")</f>
        <v>0</v>
      </c>
      <c r="C34212">
        <f>HYPERLINK("https://android.googlesource.com/platform/cts/+/1b6669025b4f99bf0e2092949a3ce846ea668a18", "1b6669025b4f99bf0e2092949a3ce846ea668a18")</f>
        <v>0</v>
      </c>
      <c r="D34212" t="s">
        <v>5326</v>
      </c>
      <c r="E34212" t="s">
        <v>8330</v>
      </c>
      <c r="F34212" t="s">
        <v>13929</v>
      </c>
      <c r="G34212" t="s">
        <v>17670</v>
      </c>
      <c r="H34212" t="s">
        <v>21400</v>
      </c>
    </row>
    <row r="34213" spans="1:8">
      <c r="F34213" t="s">
        <v>13930</v>
      </c>
      <c r="G34213" t="s">
        <v>17671</v>
      </c>
      <c r="H34213" t="s">
        <v>21400</v>
      </c>
    </row>
    <row r="34214" spans="1:8">
      <c r="A34214" t="s">
        <v>2601</v>
      </c>
      <c r="B34214">
        <f>HYPERLINK("https://android.googlesource.com/platform/cts/+/0fee332598739d6260ff97997ce2d0de41d900ab", "0fee332598739d6260ff97997ce2d0de41d900ab")</f>
        <v>0</v>
      </c>
      <c r="C34214">
        <f>HYPERLINK("https://android.googlesource.com/platform/cts/+/0b10b15a839426320f7a7585586c41344272b4de", "0b10b15a839426320f7a7585586c41344272b4de")</f>
        <v>0</v>
      </c>
      <c r="D34214" t="s">
        <v>5134</v>
      </c>
      <c r="E34214" t="s">
        <v>8331</v>
      </c>
      <c r="F34214" t="s">
        <v>13918</v>
      </c>
      <c r="G34214" t="s">
        <v>17954</v>
      </c>
      <c r="H34214" t="s">
        <v>29213</v>
      </c>
    </row>
    <row r="34215" spans="1:8">
      <c r="A34215" t="s">
        <v>2602</v>
      </c>
      <c r="B34215">
        <f>HYPERLINK("https://android.googlesource.com/platform/cts/+/a2436841c693cea94f0dbe4cae4265eb04e7f574", "a2436841c693cea94f0dbe4cae4265eb04e7f574")</f>
        <v>0</v>
      </c>
      <c r="C34215">
        <f>HYPERLINK("https://android.googlesource.com/platform/cts/+/3c371f85e66cb6e36bf77e74b3cd1fc04f2a8174", "3c371f85e66cb6e36bf77e74b3cd1fc04f2a8174")</f>
        <v>0</v>
      </c>
      <c r="D34215" t="s">
        <v>5419</v>
      </c>
      <c r="E34215" t="s">
        <v>8332</v>
      </c>
      <c r="F34215" t="s">
        <v>10700</v>
      </c>
      <c r="G34215" t="s">
        <v>15100</v>
      </c>
      <c r="H34215" t="s">
        <v>32340</v>
      </c>
    </row>
    <row r="34216" spans="1:8">
      <c r="H34216" t="s">
        <v>32341</v>
      </c>
    </row>
    <row r="34217" spans="1:8">
      <c r="H34217" t="s">
        <v>32342</v>
      </c>
    </row>
    <row r="34218" spans="1:8">
      <c r="H34218" t="s">
        <v>32343</v>
      </c>
    </row>
    <row r="34219" spans="1:8">
      <c r="H34219" t="s">
        <v>32344</v>
      </c>
    </row>
    <row r="34220" spans="1:8">
      <c r="A34220" t="s">
        <v>2603</v>
      </c>
      <c r="B34220">
        <f>HYPERLINK("https://android.googlesource.com/platform/cts/+/e131a1997a2124a437ac40cf647e265b863d0ce0", "e131a1997a2124a437ac40cf647e265b863d0ce0")</f>
        <v>0</v>
      </c>
      <c r="C34220">
        <f>HYPERLINK("https://android.googlesource.com/platform/cts/+/9fa79ea7136dc3e49b7ddfa01b78f3b4401e9a42", "9fa79ea7136dc3e49b7ddfa01b78f3b4401e9a42")</f>
        <v>0</v>
      </c>
      <c r="D34220" t="s">
        <v>5263</v>
      </c>
      <c r="E34220" t="s">
        <v>8333</v>
      </c>
      <c r="F34220" t="s">
        <v>13735</v>
      </c>
      <c r="G34220" t="s">
        <v>16637</v>
      </c>
      <c r="H34220" t="s">
        <v>32345</v>
      </c>
    </row>
    <row r="34221" spans="1:8">
      <c r="H34221" t="s">
        <v>32346</v>
      </c>
    </row>
    <row r="34222" spans="1:8">
      <c r="H34222" t="s">
        <v>25625</v>
      </c>
    </row>
    <row r="34223" spans="1:8">
      <c r="H34223" t="s">
        <v>32347</v>
      </c>
    </row>
    <row r="34224" spans="1:8">
      <c r="H34224" t="s">
        <v>32348</v>
      </c>
    </row>
    <row r="34225" spans="1:8">
      <c r="H34225" t="s">
        <v>32349</v>
      </c>
    </row>
    <row r="34226" spans="1:8">
      <c r="H34226" t="s">
        <v>32350</v>
      </c>
    </row>
    <row r="34227" spans="1:8">
      <c r="H34227" t="s">
        <v>32351</v>
      </c>
    </row>
    <row r="34228" spans="1:8">
      <c r="H34228" t="s">
        <v>32352</v>
      </c>
    </row>
    <row r="34229" spans="1:8">
      <c r="A34229" t="s">
        <v>2604</v>
      </c>
      <c r="B34229">
        <f>HYPERLINK("https://android.googlesource.com/platform/cts/+/8bfb890849acfdc71ef18f00309e1a4e34bf0b7a", "8bfb890849acfdc71ef18f00309e1a4e34bf0b7a")</f>
        <v>0</v>
      </c>
      <c r="C34229">
        <f>HYPERLINK("https://android.googlesource.com/platform/cts/+/d876ef139495d99fe98db2dc57ac1a5a2d8632cd", "d876ef139495d99fe98db2dc57ac1a5a2d8632cd")</f>
        <v>0</v>
      </c>
      <c r="D34229" t="s">
        <v>5293</v>
      </c>
      <c r="E34229" t="s">
        <v>8334</v>
      </c>
      <c r="F34229" t="s">
        <v>13931</v>
      </c>
      <c r="G34229" t="s">
        <v>17965</v>
      </c>
      <c r="H34229" t="s">
        <v>32353</v>
      </c>
    </row>
    <row r="34230" spans="1:8">
      <c r="H34230" t="s">
        <v>19981</v>
      </c>
    </row>
    <row r="34231" spans="1:8">
      <c r="H34231" t="s">
        <v>32354</v>
      </c>
    </row>
    <row r="34232" spans="1:8">
      <c r="H34232" t="s">
        <v>32355</v>
      </c>
    </row>
    <row r="34233" spans="1:8">
      <c r="H34233" t="s">
        <v>32356</v>
      </c>
    </row>
    <row r="34234" spans="1:8">
      <c r="A34234" t="s">
        <v>2605</v>
      </c>
      <c r="B34234">
        <f>HYPERLINK("https://android.googlesource.com/platform/cts/+/d65ec2fa4b524563ab339d64a621e9136b1bca3a", "d65ec2fa4b524563ab339d64a621e9136b1bca3a")</f>
        <v>0</v>
      </c>
      <c r="C34234">
        <f>HYPERLINK("https://android.googlesource.com/platform/cts/+/b256c48d9bac57d1a160b415d01cbd2cdcb28686", "b256c48d9bac57d1a160b415d01cbd2cdcb28686")</f>
        <v>0</v>
      </c>
      <c r="D34234" t="s">
        <v>5134</v>
      </c>
      <c r="E34234" t="s">
        <v>8335</v>
      </c>
      <c r="F34234" t="s">
        <v>12674</v>
      </c>
      <c r="G34234" t="s">
        <v>16878</v>
      </c>
      <c r="H34234" t="s">
        <v>32357</v>
      </c>
    </row>
    <row r="34235" spans="1:8">
      <c r="A34235" t="s">
        <v>2606</v>
      </c>
      <c r="B34235">
        <f>HYPERLINK("https://android.googlesource.com/platform/cts/+/478a3ebe2d5719301af8b4966efcbb6d318a3f2f", "478a3ebe2d5719301af8b4966efcbb6d318a3f2f")</f>
        <v>0</v>
      </c>
      <c r="C34235">
        <f>HYPERLINK("https://android.googlesource.com/platform/cts/+/2953c8a606586811a1419c5123e2d21a4de722d8", "2953c8a606586811a1419c5123e2d21a4de722d8")</f>
        <v>0</v>
      </c>
      <c r="D34235" t="s">
        <v>5134</v>
      </c>
      <c r="E34235" t="s">
        <v>8336</v>
      </c>
      <c r="F34235" t="s">
        <v>13918</v>
      </c>
      <c r="G34235" t="s">
        <v>17954</v>
      </c>
      <c r="H34235" t="s">
        <v>29213</v>
      </c>
    </row>
    <row r="34236" spans="1:8">
      <c r="A34236" t="s">
        <v>2607</v>
      </c>
      <c r="B34236">
        <f>HYPERLINK("https://android.googlesource.com/platform/cts/+/abd03c4c77c815859f419075b0281256ba3f1f71", "abd03c4c77c815859f419075b0281256ba3f1f71")</f>
        <v>0</v>
      </c>
      <c r="C34236">
        <f>HYPERLINK("https://android.googlesource.com/platform/cts/+/732767e5a99905480f9756a5dc7d12e8439782d5", "732767e5a99905480f9756a5dc7d12e8439782d5")</f>
        <v>0</v>
      </c>
      <c r="D34236" t="s">
        <v>5116</v>
      </c>
      <c r="E34236" t="s">
        <v>8337</v>
      </c>
      <c r="F34236" t="s">
        <v>13932</v>
      </c>
      <c r="G34236" t="s">
        <v>17966</v>
      </c>
      <c r="H34236" t="s">
        <v>32358</v>
      </c>
    </row>
    <row r="34237" spans="1:8">
      <c r="A34237" t="s">
        <v>2608</v>
      </c>
      <c r="B34237">
        <f>HYPERLINK("https://android.googlesource.com/platform/cts/+/2984cfdd25672e265fb7afe7914c880d8f7c414a", "2984cfdd25672e265fb7afe7914c880d8f7c414a")</f>
        <v>0</v>
      </c>
      <c r="C34237">
        <f>HYPERLINK("https://android.googlesource.com/platform/cts/+/7cd243c7b1cc9584fba9c22ef4c794e7ee0e3b73", "7cd243c7b1cc9584fba9c22ef4c794e7ee0e3b73")</f>
        <v>0</v>
      </c>
      <c r="D34237" t="s">
        <v>5412</v>
      </c>
      <c r="E34237" t="s">
        <v>8338</v>
      </c>
      <c r="F34237" t="s">
        <v>12904</v>
      </c>
      <c r="G34237" t="s">
        <v>17070</v>
      </c>
      <c r="H34237" t="s">
        <v>30522</v>
      </c>
    </row>
    <row r="34238" spans="1:8">
      <c r="A34238" t="s">
        <v>2609</v>
      </c>
      <c r="B34238">
        <f>HYPERLINK("https://android.googlesource.com/platform/cts/+/43e5d919c4dd2b43f67425bc44cab0631b6606a2", "43e5d919c4dd2b43f67425bc44cab0631b6606a2")</f>
        <v>0</v>
      </c>
      <c r="C34238">
        <f>HYPERLINK("https://android.googlesource.com/platform/cts/+/f7364d8e43a7ed211efae70bcbe5f23248eca5f5", "f7364d8e43a7ed211efae70bcbe5f23248eca5f5")</f>
        <v>0</v>
      </c>
      <c r="D34238" t="s">
        <v>5419</v>
      </c>
      <c r="E34238" t="s">
        <v>8339</v>
      </c>
      <c r="F34238" t="s">
        <v>10700</v>
      </c>
      <c r="G34238" t="s">
        <v>15100</v>
      </c>
      <c r="H34238" t="s">
        <v>32340</v>
      </c>
    </row>
    <row r="34239" spans="1:8">
      <c r="H34239" t="s">
        <v>32341</v>
      </c>
    </row>
    <row r="34240" spans="1:8">
      <c r="H34240" t="s">
        <v>32342</v>
      </c>
    </row>
    <row r="34241" spans="1:8">
      <c r="H34241" t="s">
        <v>32343</v>
      </c>
    </row>
    <row r="34242" spans="1:8">
      <c r="H34242" t="s">
        <v>32344</v>
      </c>
    </row>
    <row r="34243" spans="1:8">
      <c r="A34243" t="s">
        <v>2610</v>
      </c>
      <c r="B34243">
        <f>HYPERLINK("https://android.googlesource.com/platform/cts/+/161af4df4052f7c9221cda627f12e1f481569df3", "161af4df4052f7c9221cda627f12e1f481569df3")</f>
        <v>0</v>
      </c>
      <c r="C34243">
        <f>HYPERLINK("https://android.googlesource.com/platform/cts/+/d5d4cdb731aced9e2cbee2d9fd8a85e4e5b28180", "d5d4cdb731aced9e2cbee2d9fd8a85e4e5b28180")</f>
        <v>0</v>
      </c>
      <c r="D34243" t="s">
        <v>5117</v>
      </c>
      <c r="E34243" t="s">
        <v>8340</v>
      </c>
      <c r="F34243" t="s">
        <v>13905</v>
      </c>
      <c r="G34243" t="s">
        <v>17942</v>
      </c>
      <c r="H34243" t="s">
        <v>32359</v>
      </c>
    </row>
    <row r="34244" spans="1:8">
      <c r="A34244" t="s">
        <v>2611</v>
      </c>
      <c r="B34244">
        <f>HYPERLINK("https://android.googlesource.com/platform/cts/+/6f76fec521227197065fb7e3878eb2bcee1ff496", "6f76fec521227197065fb7e3878eb2bcee1ff496")</f>
        <v>0</v>
      </c>
      <c r="C34244">
        <f>HYPERLINK("https://android.googlesource.com/platform/cts/+/161af4df4052f7c9221cda627f12e1f481569df3", "161af4df4052f7c9221cda627f12e1f481569df3")</f>
        <v>0</v>
      </c>
      <c r="D34244" t="s">
        <v>5117</v>
      </c>
      <c r="E34244" t="s">
        <v>8341</v>
      </c>
      <c r="F34244" t="s">
        <v>13905</v>
      </c>
      <c r="G34244" t="s">
        <v>17942</v>
      </c>
      <c r="H34244" t="s">
        <v>18927</v>
      </c>
    </row>
    <row r="34245" spans="1:8">
      <c r="A34245" t="s">
        <v>2612</v>
      </c>
      <c r="B34245">
        <f>HYPERLINK("https://android.googlesource.com/platform/cts/+/920960d7c38663c0fafb6e58127c2dc7ec013c78", "920960d7c38663c0fafb6e58127c2dc7ec013c78")</f>
        <v>0</v>
      </c>
      <c r="C34245">
        <f>HYPERLINK("https://android.googlesource.com/platform/cts/+/af978c6fe12a5cc5361607e56d42da09eb709653", "af978c6fe12a5cc5361607e56d42da09eb709653")</f>
        <v>0</v>
      </c>
      <c r="D34245" t="s">
        <v>5341</v>
      </c>
      <c r="E34245" t="s">
        <v>8342</v>
      </c>
      <c r="F34245" t="s">
        <v>10602</v>
      </c>
      <c r="G34245" t="s">
        <v>15005</v>
      </c>
      <c r="H34245" t="s">
        <v>32360</v>
      </c>
    </row>
    <row r="34246" spans="1:8">
      <c r="A34246" t="s">
        <v>2613</v>
      </c>
      <c r="B34246">
        <f>HYPERLINK("https://android.googlesource.com/platform/cts/+/2c2b12ad1eb27b2f9ac43a421e4105ad3b1ec631", "2c2b12ad1eb27b2f9ac43a421e4105ad3b1ec631")</f>
        <v>0</v>
      </c>
      <c r="C34246">
        <f>HYPERLINK("https://android.googlesource.com/platform/cts/+/8ea1fd27c643ba12f16ee5d9ffd12590954061a1", "8ea1fd27c643ba12f16ee5d9ffd12590954061a1")</f>
        <v>0</v>
      </c>
      <c r="D34246" t="s">
        <v>5364</v>
      </c>
      <c r="E34246" t="s">
        <v>8343</v>
      </c>
      <c r="F34246" t="s">
        <v>12821</v>
      </c>
      <c r="G34246" t="s">
        <v>17000</v>
      </c>
      <c r="H34246" t="s">
        <v>32361</v>
      </c>
    </row>
    <row r="34247" spans="1:8">
      <c r="A34247" t="s">
        <v>2614</v>
      </c>
      <c r="B34247">
        <f>HYPERLINK("https://android.googlesource.com/platform/cts/+/bb78a6d3dc8629379eb388ca764102798ce865bd", "bb78a6d3dc8629379eb388ca764102798ce865bd")</f>
        <v>0</v>
      </c>
      <c r="C34247">
        <f>HYPERLINK("https://android.googlesource.com/platform/cts/+/aac8bb9ca616f70d4675c05e6cc3a96100152593", "aac8bb9ca616f70d4675c05e6cc3a96100152593")</f>
        <v>0</v>
      </c>
      <c r="D34247" t="s">
        <v>5352</v>
      </c>
      <c r="E34247" t="s">
        <v>8344</v>
      </c>
      <c r="F34247" t="s">
        <v>13933</v>
      </c>
      <c r="G34247" t="s">
        <v>17967</v>
      </c>
      <c r="H34247" t="s">
        <v>32362</v>
      </c>
    </row>
    <row r="34248" spans="1:8">
      <c r="A34248" t="s">
        <v>2615</v>
      </c>
      <c r="B34248">
        <f>HYPERLINK("https://android.googlesource.com/platform/cts/+/57f8b2623ee0d9acf0ac9b29dbfbd9fec515acb8", "57f8b2623ee0d9acf0ac9b29dbfbd9fec515acb8")</f>
        <v>0</v>
      </c>
      <c r="C34248">
        <f>HYPERLINK("https://android.googlesource.com/platform/cts/+/62b4aedb262eaf0e685bddc26d7e1da3259bdf38", "62b4aedb262eaf0e685bddc26d7e1da3259bdf38")</f>
        <v>0</v>
      </c>
      <c r="D34248" t="s">
        <v>5134</v>
      </c>
      <c r="E34248" t="s">
        <v>8345</v>
      </c>
      <c r="F34248" t="s">
        <v>13918</v>
      </c>
      <c r="G34248" t="s">
        <v>17954</v>
      </c>
      <c r="H34248" t="s">
        <v>32363</v>
      </c>
    </row>
    <row r="34249" spans="1:8">
      <c r="A34249" t="s">
        <v>2616</v>
      </c>
      <c r="B34249">
        <f>HYPERLINK("https://android.googlesource.com/platform/cts/+/144937f3df37ee0b1d5484f10e8c86a8a70a9cb5", "144937f3df37ee0b1d5484f10e8c86a8a70a9cb5")</f>
        <v>0</v>
      </c>
      <c r="C34249">
        <f>HYPERLINK("https://android.googlesource.com/platform/cts/+/946a336317518ce2d9ed20bec782d55c313a7da8", "946a336317518ce2d9ed20bec782d55c313a7da8")</f>
        <v>0</v>
      </c>
      <c r="D34249" t="s">
        <v>5271</v>
      </c>
      <c r="E34249" t="s">
        <v>8346</v>
      </c>
      <c r="F34249" t="s">
        <v>13928</v>
      </c>
      <c r="G34249" t="s">
        <v>17964</v>
      </c>
      <c r="H34249" t="s">
        <v>32364</v>
      </c>
    </row>
    <row r="34250" spans="1:8">
      <c r="H34250" t="s">
        <v>32364</v>
      </c>
    </row>
    <row r="34251" spans="1:8">
      <c r="H34251" t="s">
        <v>32365</v>
      </c>
    </row>
    <row r="34252" spans="1:8">
      <c r="A34252" t="s">
        <v>2616</v>
      </c>
      <c r="B34252">
        <f>HYPERLINK("https://android.googlesource.com/platform/cts/+/946a336317518ce2d9ed20bec782d55c313a7da8", "946a336317518ce2d9ed20bec782d55c313a7da8")</f>
        <v>0</v>
      </c>
      <c r="C34252">
        <f>HYPERLINK("https://android.googlesource.com/platform/cts/+/169a50921b995659a0f67033767fb2c93c30aab0", "169a50921b995659a0f67033767fb2c93c30aab0")</f>
        <v>0</v>
      </c>
      <c r="D34252" t="s">
        <v>5271</v>
      </c>
      <c r="E34252" t="s">
        <v>8347</v>
      </c>
      <c r="F34252" t="s">
        <v>13309</v>
      </c>
      <c r="G34252" t="s">
        <v>17442</v>
      </c>
      <c r="H34252" t="s">
        <v>18829</v>
      </c>
    </row>
    <row r="34253" spans="1:8">
      <c r="A34253" t="s">
        <v>2617</v>
      </c>
      <c r="B34253">
        <f>HYPERLINK("https://android.googlesource.com/platform/cts/+/803c66713c202cae7fc3401aed6ea6662c728bf7", "803c66713c202cae7fc3401aed6ea6662c728bf7")</f>
        <v>0</v>
      </c>
      <c r="C34253">
        <f>HYPERLINK("https://android.googlesource.com/platform/cts/+/1be932db7cc9c2b6b9492be83b66fcbad7de0f13", "1be932db7cc9c2b6b9492be83b66fcbad7de0f13")</f>
        <v>0</v>
      </c>
      <c r="D34253" t="s">
        <v>5420</v>
      </c>
      <c r="E34253" t="s">
        <v>8348</v>
      </c>
      <c r="F34253" t="s">
        <v>12710</v>
      </c>
      <c r="G34253" t="s">
        <v>16911</v>
      </c>
      <c r="H34253" t="s">
        <v>32366</v>
      </c>
    </row>
    <row r="34254" spans="1:8">
      <c r="A34254" t="s">
        <v>2618</v>
      </c>
      <c r="B34254">
        <f>HYPERLINK("https://android.googlesource.com/platform/cts/+/adb88381429207937236a58e29c608331a1f62ad", "adb88381429207937236a58e29c608331a1f62ad")</f>
        <v>0</v>
      </c>
      <c r="C34254">
        <f>HYPERLINK("https://android.googlesource.com/platform/cts/+/19dc485629b25ed86198c0d9d8fccae1b092e6ae", "19dc485629b25ed86198c0d9d8fccae1b092e6ae")</f>
        <v>0</v>
      </c>
      <c r="D34254" t="s">
        <v>5134</v>
      </c>
      <c r="E34254" t="s">
        <v>8349</v>
      </c>
      <c r="F34254" t="s">
        <v>12673</v>
      </c>
      <c r="G34254" t="s">
        <v>16877</v>
      </c>
      <c r="H34254" t="s">
        <v>32367</v>
      </c>
    </row>
    <row r="34255" spans="1:8">
      <c r="F34255" t="s">
        <v>13934</v>
      </c>
      <c r="G34255" t="s">
        <v>17968</v>
      </c>
      <c r="H34255" t="s">
        <v>32368</v>
      </c>
    </row>
    <row r="34256" spans="1:8">
      <c r="F34256" t="s">
        <v>13935</v>
      </c>
      <c r="G34256" t="s">
        <v>17969</v>
      </c>
      <c r="H34256" t="s">
        <v>32369</v>
      </c>
    </row>
    <row r="34257" spans="1:8">
      <c r="F34257" t="s">
        <v>13936</v>
      </c>
      <c r="G34257" t="s">
        <v>17970</v>
      </c>
      <c r="H34257" t="s">
        <v>32370</v>
      </c>
    </row>
    <row r="34258" spans="1:8">
      <c r="F34258" t="s">
        <v>13937</v>
      </c>
      <c r="G34258" t="s">
        <v>17971</v>
      </c>
      <c r="H34258" t="s">
        <v>32371</v>
      </c>
    </row>
    <row r="34259" spans="1:8">
      <c r="F34259" t="s">
        <v>13938</v>
      </c>
      <c r="G34259" t="s">
        <v>17870</v>
      </c>
      <c r="H34259" t="s">
        <v>32372</v>
      </c>
    </row>
    <row r="34260" spans="1:8">
      <c r="F34260" t="s">
        <v>13939</v>
      </c>
      <c r="G34260" t="s">
        <v>15189</v>
      </c>
      <c r="H34260" t="s">
        <v>27350</v>
      </c>
    </row>
    <row r="34261" spans="1:8">
      <c r="F34261" t="s">
        <v>13940</v>
      </c>
      <c r="G34261" t="s">
        <v>15087</v>
      </c>
      <c r="H34261" t="s">
        <v>32373</v>
      </c>
    </row>
    <row r="34262" spans="1:8">
      <c r="A34262" t="s">
        <v>2619</v>
      </c>
      <c r="B34262">
        <f>HYPERLINK("https://android.googlesource.com/platform/cts/+/2d86fe82d15f1872f333ba61a2c81acb6c1b663a", "2d86fe82d15f1872f333ba61a2c81acb6c1b663a")</f>
        <v>0</v>
      </c>
      <c r="C34262">
        <f>HYPERLINK("https://android.googlesource.com/platform/cts/+/273f33e1b40008a8fb6eb9843a7d5f468434dd16", "273f33e1b40008a8fb6eb9843a7d5f468434dd16")</f>
        <v>0</v>
      </c>
      <c r="D34262" t="s">
        <v>5134</v>
      </c>
      <c r="E34262" t="s">
        <v>8350</v>
      </c>
      <c r="F34262" t="s">
        <v>12673</v>
      </c>
      <c r="G34262" t="s">
        <v>16877</v>
      </c>
      <c r="H34262" t="s">
        <v>32367</v>
      </c>
    </row>
    <row r="34263" spans="1:8">
      <c r="F34263" t="s">
        <v>13934</v>
      </c>
      <c r="G34263" t="s">
        <v>17968</v>
      </c>
      <c r="H34263" t="s">
        <v>32368</v>
      </c>
    </row>
    <row r="34264" spans="1:8">
      <c r="F34264" t="s">
        <v>13935</v>
      </c>
      <c r="G34264" t="s">
        <v>17969</v>
      </c>
      <c r="H34264" t="s">
        <v>32369</v>
      </c>
    </row>
    <row r="34265" spans="1:8">
      <c r="F34265" t="s">
        <v>13936</v>
      </c>
      <c r="G34265" t="s">
        <v>17970</v>
      </c>
      <c r="H34265" t="s">
        <v>32370</v>
      </c>
    </row>
    <row r="34266" spans="1:8">
      <c r="F34266" t="s">
        <v>13937</v>
      </c>
      <c r="G34266" t="s">
        <v>17971</v>
      </c>
      <c r="H34266" t="s">
        <v>32371</v>
      </c>
    </row>
    <row r="34267" spans="1:8">
      <c r="F34267" t="s">
        <v>13938</v>
      </c>
      <c r="G34267" t="s">
        <v>17870</v>
      </c>
      <c r="H34267" t="s">
        <v>32372</v>
      </c>
    </row>
    <row r="34268" spans="1:8">
      <c r="F34268" t="s">
        <v>13939</v>
      </c>
      <c r="G34268" t="s">
        <v>15189</v>
      </c>
      <c r="H34268" t="s">
        <v>27350</v>
      </c>
    </row>
    <row r="34269" spans="1:8">
      <c r="F34269" t="s">
        <v>13940</v>
      </c>
      <c r="G34269" t="s">
        <v>15087</v>
      </c>
      <c r="H34269" t="s">
        <v>32373</v>
      </c>
    </row>
    <row r="34270" spans="1:8">
      <c r="A34270" t="s">
        <v>2620</v>
      </c>
      <c r="B34270">
        <f>HYPERLINK("https://android.googlesource.com/platform/cts/+/5f68f3e4a61830ecaa50c2aacd917fb663032901", "5f68f3e4a61830ecaa50c2aacd917fb663032901")</f>
        <v>0</v>
      </c>
      <c r="C34270">
        <f>HYPERLINK("https://android.googlesource.com/platform/cts/+/e6e7c3621e8f831a9f673fd90a60b666c4a77272", "e6e7c3621e8f831a9f673fd90a60b666c4a77272")</f>
        <v>0</v>
      </c>
      <c r="D34270" t="s">
        <v>5235</v>
      </c>
      <c r="E34270" t="s">
        <v>8351</v>
      </c>
      <c r="F34270" t="s">
        <v>13165</v>
      </c>
      <c r="G34270" t="s">
        <v>17315</v>
      </c>
      <c r="H34270" t="s">
        <v>32374</v>
      </c>
    </row>
    <row r="34271" spans="1:8">
      <c r="H34271" t="s">
        <v>32375</v>
      </c>
    </row>
    <row r="34272" spans="1:8">
      <c r="H34272" t="s">
        <v>32376</v>
      </c>
    </row>
    <row r="34273" spans="1:8">
      <c r="H34273" t="s">
        <v>32377</v>
      </c>
    </row>
    <row r="34274" spans="1:8">
      <c r="H34274" t="s">
        <v>32378</v>
      </c>
    </row>
    <row r="34275" spans="1:8">
      <c r="A34275" t="s">
        <v>2621</v>
      </c>
      <c r="B34275">
        <f>HYPERLINK("https://android.googlesource.com/platform/cts/+/a99c2cff6bfcb7c417e68a9432edf11ff365adf4", "a99c2cff6bfcb7c417e68a9432edf11ff365adf4")</f>
        <v>0</v>
      </c>
      <c r="C34275">
        <f>HYPERLINK("https://android.googlesource.com/platform/cts/+/8c5ca30447c6d95d3f33eac0fd506ef6374f54ed", "8c5ca30447c6d95d3f33eac0fd506ef6374f54ed")</f>
        <v>0</v>
      </c>
      <c r="D34275" t="s">
        <v>5134</v>
      </c>
      <c r="E34275" t="s">
        <v>8352</v>
      </c>
      <c r="F34275" t="s">
        <v>12673</v>
      </c>
      <c r="G34275" t="s">
        <v>16877</v>
      </c>
      <c r="H34275" t="s">
        <v>32367</v>
      </c>
    </row>
    <row r="34276" spans="1:8">
      <c r="F34276" t="s">
        <v>13934</v>
      </c>
      <c r="G34276" t="s">
        <v>17968</v>
      </c>
      <c r="H34276" t="s">
        <v>32368</v>
      </c>
    </row>
    <row r="34277" spans="1:8">
      <c r="F34277" t="s">
        <v>13935</v>
      </c>
      <c r="G34277" t="s">
        <v>17969</v>
      </c>
      <c r="H34277" t="s">
        <v>32369</v>
      </c>
    </row>
    <row r="34278" spans="1:8">
      <c r="F34278" t="s">
        <v>13936</v>
      </c>
      <c r="G34278" t="s">
        <v>17970</v>
      </c>
      <c r="H34278" t="s">
        <v>32370</v>
      </c>
    </row>
    <row r="34279" spans="1:8">
      <c r="F34279" t="s">
        <v>13937</v>
      </c>
      <c r="G34279" t="s">
        <v>17971</v>
      </c>
      <c r="H34279" t="s">
        <v>32371</v>
      </c>
    </row>
    <row r="34280" spans="1:8">
      <c r="F34280" t="s">
        <v>13938</v>
      </c>
      <c r="G34280" t="s">
        <v>17870</v>
      </c>
      <c r="H34280" t="s">
        <v>32372</v>
      </c>
    </row>
    <row r="34281" spans="1:8">
      <c r="F34281" t="s">
        <v>13939</v>
      </c>
      <c r="G34281" t="s">
        <v>15189</v>
      </c>
      <c r="H34281" t="s">
        <v>27350</v>
      </c>
    </row>
    <row r="34282" spans="1:8">
      <c r="F34282" t="s">
        <v>13940</v>
      </c>
      <c r="G34282" t="s">
        <v>15087</v>
      </c>
      <c r="H34282" t="s">
        <v>32373</v>
      </c>
    </row>
    <row r="34283" spans="1:8">
      <c r="A34283" t="s">
        <v>2622</v>
      </c>
      <c r="B34283">
        <f>HYPERLINK("https://android.googlesource.com/platform/cts/+/e58fe387c0d09a3b4c5a2267613502bbd56090a1", "e58fe387c0d09a3b4c5a2267613502bbd56090a1")</f>
        <v>0</v>
      </c>
      <c r="C34283">
        <f>HYPERLINK("https://android.googlesource.com/platform/cts/+/f148688334ce855e3889db162b67eb42d96f03d6", "f148688334ce855e3889db162b67eb42d96f03d6")</f>
        <v>0</v>
      </c>
      <c r="D34283" t="s">
        <v>5134</v>
      </c>
      <c r="E34283" t="s">
        <v>8353</v>
      </c>
      <c r="F34283" t="s">
        <v>12673</v>
      </c>
      <c r="G34283" t="s">
        <v>16877</v>
      </c>
      <c r="H34283" t="s">
        <v>32367</v>
      </c>
    </row>
    <row r="34284" spans="1:8">
      <c r="F34284" t="s">
        <v>13934</v>
      </c>
      <c r="G34284" t="s">
        <v>17968</v>
      </c>
      <c r="H34284" t="s">
        <v>32368</v>
      </c>
    </row>
    <row r="34285" spans="1:8">
      <c r="F34285" t="s">
        <v>13935</v>
      </c>
      <c r="G34285" t="s">
        <v>17969</v>
      </c>
      <c r="H34285" t="s">
        <v>32369</v>
      </c>
    </row>
    <row r="34286" spans="1:8">
      <c r="F34286" t="s">
        <v>13936</v>
      </c>
      <c r="G34286" t="s">
        <v>17970</v>
      </c>
      <c r="H34286" t="s">
        <v>32370</v>
      </c>
    </row>
    <row r="34287" spans="1:8">
      <c r="F34287" t="s">
        <v>13937</v>
      </c>
      <c r="G34287" t="s">
        <v>17971</v>
      </c>
      <c r="H34287" t="s">
        <v>32371</v>
      </c>
    </row>
    <row r="34288" spans="1:8">
      <c r="F34288" t="s">
        <v>13938</v>
      </c>
      <c r="G34288" t="s">
        <v>17870</v>
      </c>
      <c r="H34288" t="s">
        <v>32372</v>
      </c>
    </row>
    <row r="34289" spans="1:8">
      <c r="F34289" t="s">
        <v>13939</v>
      </c>
      <c r="G34289" t="s">
        <v>15189</v>
      </c>
      <c r="H34289" t="s">
        <v>27350</v>
      </c>
    </row>
    <row r="34290" spans="1:8">
      <c r="F34290" t="s">
        <v>13940</v>
      </c>
      <c r="G34290" t="s">
        <v>15087</v>
      </c>
      <c r="H34290" t="s">
        <v>32373</v>
      </c>
    </row>
    <row r="34291" spans="1:8">
      <c r="A34291" t="s">
        <v>2623</v>
      </c>
      <c r="B34291">
        <f>HYPERLINK("https://android.googlesource.com/platform/cts/+/408719bc937d75d0def7a484efd2956de9121089", "408719bc937d75d0def7a484efd2956de9121089")</f>
        <v>0</v>
      </c>
      <c r="C34291">
        <f>HYPERLINK("https://android.googlesource.com/platform/cts/+/9556a7a191a9429eab6804769d9bd3e1e9303f77", "9556a7a191a9429eab6804769d9bd3e1e9303f77")</f>
        <v>0</v>
      </c>
      <c r="D34291" t="s">
        <v>5401</v>
      </c>
      <c r="E34291" t="s">
        <v>8354</v>
      </c>
      <c r="F34291" t="s">
        <v>10700</v>
      </c>
      <c r="G34291" t="s">
        <v>15100</v>
      </c>
      <c r="H34291" t="s">
        <v>32379</v>
      </c>
    </row>
    <row r="34292" spans="1:8">
      <c r="A34292" t="s">
        <v>2624</v>
      </c>
      <c r="B34292">
        <f>HYPERLINK("https://android.googlesource.com/platform/cts/+/1ff1f248d02454337314e4f70ef3bfe5acbe944c", "1ff1f248d02454337314e4f70ef3bfe5acbe944c")</f>
        <v>0</v>
      </c>
      <c r="C34292">
        <f>HYPERLINK("https://android.googlesource.com/platform/cts/+/e585f4076c038a3565714b6ec897f785a1338d24", "e585f4076c038a3565714b6ec897f785a1338d24")</f>
        <v>0</v>
      </c>
      <c r="D34292" t="s">
        <v>5419</v>
      </c>
      <c r="E34292" t="s">
        <v>8355</v>
      </c>
      <c r="F34292" t="s">
        <v>13941</v>
      </c>
      <c r="G34292" t="s">
        <v>17972</v>
      </c>
      <c r="H34292" t="s">
        <v>32344</v>
      </c>
    </row>
    <row r="34293" spans="1:8">
      <c r="H34293" t="s">
        <v>32380</v>
      </c>
    </row>
    <row r="34294" spans="1:8">
      <c r="H34294" t="s">
        <v>32381</v>
      </c>
    </row>
    <row r="34295" spans="1:8">
      <c r="H34295" t="s">
        <v>25620</v>
      </c>
    </row>
    <row r="34296" spans="1:8">
      <c r="H34296" t="s">
        <v>32382</v>
      </c>
    </row>
    <row r="34297" spans="1:8">
      <c r="H34297" t="s">
        <v>32383</v>
      </c>
    </row>
    <row r="34298" spans="1:8">
      <c r="H34298" t="s">
        <v>32384</v>
      </c>
    </row>
    <row r="34299" spans="1:8">
      <c r="H34299" t="s">
        <v>25622</v>
      </c>
    </row>
    <row r="34300" spans="1:8">
      <c r="H34300" t="s">
        <v>19019</v>
      </c>
    </row>
    <row r="34301" spans="1:8">
      <c r="H34301" t="s">
        <v>22150</v>
      </c>
    </row>
    <row r="34302" spans="1:8">
      <c r="H34302" t="s">
        <v>31668</v>
      </c>
    </row>
    <row r="34303" spans="1:8">
      <c r="H34303" t="s">
        <v>32385</v>
      </c>
    </row>
    <row r="34304" spans="1:8">
      <c r="H34304" t="s">
        <v>32386</v>
      </c>
    </row>
    <row r="34305" spans="6:8">
      <c r="H34305" t="s">
        <v>31669</v>
      </c>
    </row>
    <row r="34306" spans="6:8">
      <c r="H34306" t="s">
        <v>32387</v>
      </c>
    </row>
    <row r="34307" spans="6:8">
      <c r="H34307" t="s">
        <v>32388</v>
      </c>
    </row>
    <row r="34308" spans="6:8">
      <c r="F34308" t="s">
        <v>10700</v>
      </c>
      <c r="G34308" t="s">
        <v>15100</v>
      </c>
      <c r="H34308" t="s">
        <v>32389</v>
      </c>
    </row>
    <row r="34309" spans="6:8">
      <c r="H34309" t="s">
        <v>32390</v>
      </c>
    </row>
    <row r="34310" spans="6:8">
      <c r="H34310" t="s">
        <v>32391</v>
      </c>
    </row>
    <row r="34311" spans="6:8">
      <c r="H34311" t="s">
        <v>25620</v>
      </c>
    </row>
    <row r="34312" spans="6:8">
      <c r="H34312" t="s">
        <v>32384</v>
      </c>
    </row>
    <row r="34313" spans="6:8">
      <c r="H34313" t="s">
        <v>32383</v>
      </c>
    </row>
    <row r="34314" spans="6:8">
      <c r="H34314" t="s">
        <v>32381</v>
      </c>
    </row>
    <row r="34315" spans="6:8">
      <c r="H34315" t="s">
        <v>25622</v>
      </c>
    </row>
    <row r="34316" spans="6:8">
      <c r="H34316" t="s">
        <v>19019</v>
      </c>
    </row>
    <row r="34317" spans="6:8">
      <c r="H34317" t="s">
        <v>22150</v>
      </c>
    </row>
    <row r="34318" spans="6:8">
      <c r="H34318" t="s">
        <v>31668</v>
      </c>
    </row>
    <row r="34319" spans="6:8">
      <c r="H34319" t="s">
        <v>32385</v>
      </c>
    </row>
    <row r="34320" spans="6:8">
      <c r="H34320" t="s">
        <v>32386</v>
      </c>
    </row>
    <row r="34321" spans="1:8">
      <c r="H34321" t="s">
        <v>31669</v>
      </c>
    </row>
    <row r="34322" spans="1:8">
      <c r="H34322" t="s">
        <v>32387</v>
      </c>
    </row>
    <row r="34323" spans="1:8">
      <c r="H34323" t="s">
        <v>32388</v>
      </c>
    </row>
    <row r="34324" spans="1:8">
      <c r="H34324" t="s">
        <v>32380</v>
      </c>
    </row>
    <row r="34325" spans="1:8">
      <c r="A34325" t="s">
        <v>2625</v>
      </c>
      <c r="B34325">
        <f>HYPERLINK("https://android.googlesource.com/platform/cts/+/764d3ee7b04cd1ed1b36862f23d6132e8d82c450", "764d3ee7b04cd1ed1b36862f23d6132e8d82c450")</f>
        <v>0</v>
      </c>
      <c r="C34325">
        <f>HYPERLINK("https://android.googlesource.com/platform/cts/+/151a61c4001355fb956a14d67363595c6e171c09", "151a61c4001355fb956a14d67363595c6e171c09")</f>
        <v>0</v>
      </c>
      <c r="D34325" t="s">
        <v>4981</v>
      </c>
      <c r="E34325" t="s">
        <v>8356</v>
      </c>
      <c r="F34325" t="s">
        <v>13887</v>
      </c>
      <c r="G34325" t="s">
        <v>17319</v>
      </c>
      <c r="H34325" t="s">
        <v>32392</v>
      </c>
    </row>
    <row r="34326" spans="1:8">
      <c r="A34326" t="s">
        <v>2626</v>
      </c>
      <c r="B34326">
        <f>HYPERLINK("https://android.googlesource.com/platform/cts/+/471282a9d3e48d011b74336573c4d5c0dd13e71f", "471282a9d3e48d011b74336573c4d5c0dd13e71f")</f>
        <v>0</v>
      </c>
      <c r="C34326">
        <f>HYPERLINK("https://android.googlesource.com/platform/cts/+/85262fae07b3a74e85e6f4bdf75ab7050c7d376a", "85262fae07b3a74e85e6f4bdf75ab7050c7d376a")</f>
        <v>0</v>
      </c>
      <c r="D34326" t="s">
        <v>5407</v>
      </c>
      <c r="E34326" t="s">
        <v>8357</v>
      </c>
      <c r="F34326" t="s">
        <v>13887</v>
      </c>
      <c r="G34326" t="s">
        <v>17319</v>
      </c>
      <c r="H34326" t="s">
        <v>32393</v>
      </c>
    </row>
    <row r="34327" spans="1:8">
      <c r="H34327" t="s">
        <v>32394</v>
      </c>
    </row>
    <row r="34328" spans="1:8">
      <c r="H34328" t="s">
        <v>32395</v>
      </c>
    </row>
    <row r="34329" spans="1:8">
      <c r="A34329" t="s">
        <v>2627</v>
      </c>
      <c r="B34329">
        <f>HYPERLINK("https://android.googlesource.com/platform/cts/+/9f6047a159ad9b09f93ea1bebfa8c6f73964cdaa", "9f6047a159ad9b09f93ea1bebfa8c6f73964cdaa")</f>
        <v>0</v>
      </c>
      <c r="C34329">
        <f>HYPERLINK("https://android.googlesource.com/platform/cts/+/1062ab6bdbafbb40e7b4f132ed6d9bbd88c3f6fa", "1062ab6bdbafbb40e7b4f132ed6d9bbd88c3f6fa")</f>
        <v>0</v>
      </c>
      <c r="D34329" t="s">
        <v>5419</v>
      </c>
      <c r="E34329" t="s">
        <v>8358</v>
      </c>
      <c r="F34329" t="s">
        <v>13941</v>
      </c>
      <c r="G34329" t="s">
        <v>17972</v>
      </c>
      <c r="H34329" t="s">
        <v>32344</v>
      </c>
    </row>
    <row r="34330" spans="1:8">
      <c r="H34330" t="s">
        <v>32380</v>
      </c>
    </row>
    <row r="34331" spans="1:8">
      <c r="H34331" t="s">
        <v>32381</v>
      </c>
    </row>
    <row r="34332" spans="1:8">
      <c r="H34332" t="s">
        <v>25620</v>
      </c>
    </row>
    <row r="34333" spans="1:8">
      <c r="H34333" t="s">
        <v>32382</v>
      </c>
    </row>
    <row r="34334" spans="1:8">
      <c r="H34334" t="s">
        <v>32383</v>
      </c>
    </row>
    <row r="34335" spans="1:8">
      <c r="H34335" t="s">
        <v>32384</v>
      </c>
    </row>
    <row r="34336" spans="1:8">
      <c r="H34336" t="s">
        <v>25622</v>
      </c>
    </row>
    <row r="34337" spans="6:8">
      <c r="H34337" t="s">
        <v>19019</v>
      </c>
    </row>
    <row r="34338" spans="6:8">
      <c r="H34338" t="s">
        <v>22150</v>
      </c>
    </row>
    <row r="34339" spans="6:8">
      <c r="H34339" t="s">
        <v>31668</v>
      </c>
    </row>
    <row r="34340" spans="6:8">
      <c r="H34340" t="s">
        <v>32385</v>
      </c>
    </row>
    <row r="34341" spans="6:8">
      <c r="H34341" t="s">
        <v>32386</v>
      </c>
    </row>
    <row r="34342" spans="6:8">
      <c r="H34342" t="s">
        <v>31669</v>
      </c>
    </row>
    <row r="34343" spans="6:8">
      <c r="H34343" t="s">
        <v>32387</v>
      </c>
    </row>
    <row r="34344" spans="6:8">
      <c r="H34344" t="s">
        <v>32388</v>
      </c>
    </row>
    <row r="34345" spans="6:8">
      <c r="F34345" t="s">
        <v>10700</v>
      </c>
      <c r="G34345" t="s">
        <v>15100</v>
      </c>
      <c r="H34345" t="s">
        <v>32389</v>
      </c>
    </row>
    <row r="34346" spans="6:8">
      <c r="H34346" t="s">
        <v>32390</v>
      </c>
    </row>
    <row r="34347" spans="6:8">
      <c r="H34347" t="s">
        <v>32391</v>
      </c>
    </row>
    <row r="34348" spans="6:8">
      <c r="H34348" t="s">
        <v>25620</v>
      </c>
    </row>
    <row r="34349" spans="6:8">
      <c r="H34349" t="s">
        <v>32384</v>
      </c>
    </row>
    <row r="34350" spans="6:8">
      <c r="H34350" t="s">
        <v>32383</v>
      </c>
    </row>
    <row r="34351" spans="6:8">
      <c r="H34351" t="s">
        <v>32381</v>
      </c>
    </row>
    <row r="34352" spans="6:8">
      <c r="H34352" t="s">
        <v>25622</v>
      </c>
    </row>
    <row r="34353" spans="1:8">
      <c r="H34353" t="s">
        <v>19019</v>
      </c>
    </row>
    <row r="34354" spans="1:8">
      <c r="H34354" t="s">
        <v>22150</v>
      </c>
    </row>
    <row r="34355" spans="1:8">
      <c r="H34355" t="s">
        <v>31668</v>
      </c>
    </row>
    <row r="34356" spans="1:8">
      <c r="H34356" t="s">
        <v>32385</v>
      </c>
    </row>
    <row r="34357" spans="1:8">
      <c r="H34357" t="s">
        <v>32386</v>
      </c>
    </row>
    <row r="34358" spans="1:8">
      <c r="H34358" t="s">
        <v>31669</v>
      </c>
    </row>
    <row r="34359" spans="1:8">
      <c r="H34359" t="s">
        <v>32387</v>
      </c>
    </row>
    <row r="34360" spans="1:8">
      <c r="H34360" t="s">
        <v>32388</v>
      </c>
    </row>
    <row r="34361" spans="1:8">
      <c r="H34361" t="s">
        <v>32380</v>
      </c>
    </row>
    <row r="34362" spans="1:8">
      <c r="A34362" t="s">
        <v>2628</v>
      </c>
      <c r="B34362">
        <f>HYPERLINK("https://android.googlesource.com/platform/cts/+/492fa53e7644d00754cc18646063bdb4ca42aaa2", "492fa53e7644d00754cc18646063bdb4ca42aaa2")</f>
        <v>0</v>
      </c>
      <c r="C34362">
        <f>HYPERLINK("https://android.googlesource.com/platform/cts/+/2f120fd0bdb073f4989821163f1ad189e6132923", "2f120fd0bdb073f4989821163f1ad189e6132923")</f>
        <v>0</v>
      </c>
      <c r="D34362" t="s">
        <v>5401</v>
      </c>
      <c r="E34362" t="s">
        <v>8359</v>
      </c>
      <c r="F34362" t="s">
        <v>10700</v>
      </c>
      <c r="G34362" t="s">
        <v>15100</v>
      </c>
      <c r="H34362" t="s">
        <v>32379</v>
      </c>
    </row>
    <row r="34363" spans="1:8">
      <c r="A34363" t="s">
        <v>2629</v>
      </c>
      <c r="B34363">
        <f>HYPERLINK("https://android.googlesource.com/platform/cts/+/4f387bea3034bc93a78767d282101135363e2531", "4f387bea3034bc93a78767d282101135363e2531")</f>
        <v>0</v>
      </c>
      <c r="C34363">
        <f>HYPERLINK("https://android.googlesource.com/platform/cts/+/d2a0d577f0b102530b5024969498de77a87a932c", "d2a0d577f0b102530b5024969498de77a87a932c")</f>
        <v>0</v>
      </c>
      <c r="D34363" t="s">
        <v>5411</v>
      </c>
      <c r="E34363" t="s">
        <v>8360</v>
      </c>
      <c r="F34363" t="s">
        <v>11435</v>
      </c>
      <c r="G34363" t="s">
        <v>15093</v>
      </c>
      <c r="H34363" t="s">
        <v>32396</v>
      </c>
    </row>
    <row r="34364" spans="1:8">
      <c r="H34364" t="s">
        <v>32397</v>
      </c>
    </row>
    <row r="34365" spans="1:8">
      <c r="H34365" t="s">
        <v>19140</v>
      </c>
    </row>
    <row r="34366" spans="1:8">
      <c r="H34366" t="s">
        <v>19141</v>
      </c>
    </row>
    <row r="34367" spans="1:8">
      <c r="H34367" t="s">
        <v>19142</v>
      </c>
    </row>
    <row r="34368" spans="1:8">
      <c r="H34368" t="s">
        <v>19143</v>
      </c>
    </row>
    <row r="34369" spans="1:8">
      <c r="H34369" t="s">
        <v>32398</v>
      </c>
    </row>
    <row r="34370" spans="1:8">
      <c r="H34370" t="s">
        <v>32399</v>
      </c>
    </row>
    <row r="34371" spans="1:8">
      <c r="A34371" t="s">
        <v>2630</v>
      </c>
      <c r="B34371">
        <f>HYPERLINK("https://android.googlesource.com/platform/cts/+/fa70a7a24855a629c9a811c7902ab680079f6c4d", "fa70a7a24855a629c9a811c7902ab680079f6c4d")</f>
        <v>0</v>
      </c>
      <c r="C34371">
        <f>HYPERLINK("https://android.googlesource.com/platform/cts/+/d2a0d577f0b102530b5024969498de77a87a932c", "d2a0d577f0b102530b5024969498de77a87a932c")</f>
        <v>0</v>
      </c>
      <c r="D34371" t="s">
        <v>5411</v>
      </c>
      <c r="E34371" t="s">
        <v>8361</v>
      </c>
      <c r="F34371" t="s">
        <v>13912</v>
      </c>
      <c r="G34371" t="s">
        <v>17949</v>
      </c>
      <c r="H34371" t="s">
        <v>32400</v>
      </c>
    </row>
    <row r="34372" spans="1:8">
      <c r="A34372" t="s">
        <v>2631</v>
      </c>
      <c r="B34372">
        <f>HYPERLINK("https://android.googlesource.com/platform/cts/+/13a88896eda7c2c7a5439c560f0fdab6b240a5d2", "13a88896eda7c2c7a5439c560f0fdab6b240a5d2")</f>
        <v>0</v>
      </c>
      <c r="C34372">
        <f>HYPERLINK("https://android.googlesource.com/platform/cts/+/6742fc43fff2d34a682dce3c17f0daf745a00b5e", "6742fc43fff2d34a682dce3c17f0daf745a00b5e")</f>
        <v>0</v>
      </c>
      <c r="D34372" t="s">
        <v>4930</v>
      </c>
      <c r="E34372" t="s">
        <v>8362</v>
      </c>
      <c r="F34372" t="s">
        <v>13942</v>
      </c>
      <c r="G34372" t="s">
        <v>17848</v>
      </c>
      <c r="H34372" t="s">
        <v>31618</v>
      </c>
    </row>
    <row r="34373" spans="1:8">
      <c r="H34373" t="s">
        <v>31619</v>
      </c>
    </row>
    <row r="34374" spans="1:8">
      <c r="H34374" t="s">
        <v>31620</v>
      </c>
    </row>
    <row r="34375" spans="1:8">
      <c r="H34375" t="s">
        <v>31621</v>
      </c>
    </row>
    <row r="34376" spans="1:8">
      <c r="H34376" t="s">
        <v>32401</v>
      </c>
    </row>
    <row r="34377" spans="1:8">
      <c r="F34377" t="s">
        <v>13943</v>
      </c>
      <c r="G34377" t="s">
        <v>16613</v>
      </c>
      <c r="H34377" t="s">
        <v>22511</v>
      </c>
    </row>
    <row r="34378" spans="1:8">
      <c r="H34378" t="s">
        <v>18927</v>
      </c>
    </row>
    <row r="34379" spans="1:8">
      <c r="H34379" t="s">
        <v>18929</v>
      </c>
    </row>
    <row r="34380" spans="1:8">
      <c r="H34380" t="s">
        <v>22512</v>
      </c>
    </row>
    <row r="34381" spans="1:8">
      <c r="H34381" t="s">
        <v>22513</v>
      </c>
    </row>
    <row r="34382" spans="1:8">
      <c r="H34382" t="s">
        <v>22514</v>
      </c>
    </row>
    <row r="34383" spans="1:8">
      <c r="H34383" t="s">
        <v>22515</v>
      </c>
    </row>
    <row r="34384" spans="1:8">
      <c r="F34384" t="s">
        <v>13944</v>
      </c>
      <c r="G34384" t="s">
        <v>16863</v>
      </c>
      <c r="H34384" t="s">
        <v>32402</v>
      </c>
    </row>
    <row r="34385" spans="6:8">
      <c r="H34385" t="s">
        <v>32403</v>
      </c>
    </row>
    <row r="34386" spans="6:8">
      <c r="H34386" t="s">
        <v>32404</v>
      </c>
    </row>
    <row r="34387" spans="6:8">
      <c r="H34387" t="s">
        <v>32404</v>
      </c>
    </row>
    <row r="34388" spans="6:8">
      <c r="H34388" t="s">
        <v>32405</v>
      </c>
    </row>
    <row r="34389" spans="6:8">
      <c r="H34389" t="s">
        <v>19916</v>
      </c>
    </row>
    <row r="34390" spans="6:8">
      <c r="F34390" t="s">
        <v>13945</v>
      </c>
      <c r="G34390" t="s">
        <v>17973</v>
      </c>
      <c r="H34390" t="s">
        <v>32406</v>
      </c>
    </row>
    <row r="34391" spans="6:8">
      <c r="H34391" t="s">
        <v>32407</v>
      </c>
    </row>
    <row r="34392" spans="6:8">
      <c r="H34392" t="s">
        <v>32408</v>
      </c>
    </row>
    <row r="34393" spans="6:8">
      <c r="H34393" t="s">
        <v>32409</v>
      </c>
    </row>
    <row r="34394" spans="6:8">
      <c r="F34394" t="s">
        <v>13946</v>
      </c>
      <c r="G34394" t="s">
        <v>17974</v>
      </c>
      <c r="H34394" t="s">
        <v>18829</v>
      </c>
    </row>
    <row r="34395" spans="6:8">
      <c r="H34395" t="s">
        <v>30752</v>
      </c>
    </row>
    <row r="34396" spans="6:8">
      <c r="H34396" t="s">
        <v>30753</v>
      </c>
    </row>
    <row r="34397" spans="6:8">
      <c r="H34397" t="s">
        <v>30754</v>
      </c>
    </row>
    <row r="34398" spans="6:8">
      <c r="H34398" t="s">
        <v>32410</v>
      </c>
    </row>
    <row r="34399" spans="6:8">
      <c r="H34399" t="s">
        <v>32411</v>
      </c>
    </row>
    <row r="34400" spans="6:8">
      <c r="H34400" t="s">
        <v>30757</v>
      </c>
    </row>
    <row r="34401" spans="8:8">
      <c r="H34401" t="s">
        <v>30758</v>
      </c>
    </row>
    <row r="34402" spans="8:8">
      <c r="H34402" t="s">
        <v>30759</v>
      </c>
    </row>
    <row r="34403" spans="8:8">
      <c r="H34403" t="s">
        <v>30760</v>
      </c>
    </row>
    <row r="34404" spans="8:8">
      <c r="H34404" t="s">
        <v>30761</v>
      </c>
    </row>
    <row r="34405" spans="8:8">
      <c r="H34405" t="s">
        <v>30762</v>
      </c>
    </row>
    <row r="34406" spans="8:8">
      <c r="H34406" t="s">
        <v>30763</v>
      </c>
    </row>
    <row r="34407" spans="8:8">
      <c r="H34407" t="s">
        <v>30764</v>
      </c>
    </row>
    <row r="34408" spans="8:8">
      <c r="H34408" t="s">
        <v>30765</v>
      </c>
    </row>
    <row r="34409" spans="8:8">
      <c r="H34409" t="s">
        <v>30766</v>
      </c>
    </row>
    <row r="34410" spans="8:8">
      <c r="H34410" t="s">
        <v>30767</v>
      </c>
    </row>
    <row r="34411" spans="8:8">
      <c r="H34411" t="s">
        <v>30768</v>
      </c>
    </row>
    <row r="34412" spans="8:8">
      <c r="H34412" t="s">
        <v>30769</v>
      </c>
    </row>
    <row r="34413" spans="8:8">
      <c r="H34413" t="s">
        <v>30770</v>
      </c>
    </row>
    <row r="34414" spans="8:8">
      <c r="H34414" t="s">
        <v>30771</v>
      </c>
    </row>
    <row r="34415" spans="8:8">
      <c r="H34415" t="s">
        <v>30772</v>
      </c>
    </row>
    <row r="34416" spans="8:8">
      <c r="H34416" t="s">
        <v>30772</v>
      </c>
    </row>
    <row r="34417" spans="6:8">
      <c r="H34417" t="s">
        <v>30772</v>
      </c>
    </row>
    <row r="34418" spans="6:8">
      <c r="H34418" t="s">
        <v>30773</v>
      </c>
    </row>
    <row r="34419" spans="6:8">
      <c r="H34419" t="s">
        <v>30774</v>
      </c>
    </row>
    <row r="34420" spans="6:8">
      <c r="H34420" t="s">
        <v>30775</v>
      </c>
    </row>
    <row r="34421" spans="6:8">
      <c r="H34421" t="s">
        <v>30776</v>
      </c>
    </row>
    <row r="34422" spans="6:8">
      <c r="H34422" t="s">
        <v>30777</v>
      </c>
    </row>
    <row r="34423" spans="6:8">
      <c r="H34423" t="s">
        <v>30778</v>
      </c>
    </row>
    <row r="34424" spans="6:8">
      <c r="H34424" t="s">
        <v>30779</v>
      </c>
    </row>
    <row r="34425" spans="6:8">
      <c r="H34425" t="s">
        <v>30780</v>
      </c>
    </row>
    <row r="34426" spans="6:8">
      <c r="H34426" t="s">
        <v>30781</v>
      </c>
    </row>
    <row r="34427" spans="6:8">
      <c r="H34427" t="s">
        <v>30772</v>
      </c>
    </row>
    <row r="34428" spans="6:8">
      <c r="F34428" t="s">
        <v>13947</v>
      </c>
      <c r="G34428" t="s">
        <v>17975</v>
      </c>
      <c r="H34428" t="s">
        <v>18829</v>
      </c>
    </row>
    <row r="34429" spans="6:8">
      <c r="H34429" t="s">
        <v>32412</v>
      </c>
    </row>
    <row r="34430" spans="6:8">
      <c r="H34430" t="s">
        <v>32413</v>
      </c>
    </row>
    <row r="34431" spans="6:8">
      <c r="F34431" t="s">
        <v>13948</v>
      </c>
      <c r="G34431" t="s">
        <v>17976</v>
      </c>
      <c r="H34431" t="s">
        <v>26305</v>
      </c>
    </row>
    <row r="34432" spans="6:8">
      <c r="H34432" t="s">
        <v>19566</v>
      </c>
    </row>
    <row r="34433" spans="6:8">
      <c r="H34433" t="s">
        <v>32414</v>
      </c>
    </row>
    <row r="34434" spans="6:8">
      <c r="F34434" t="s">
        <v>13949</v>
      </c>
      <c r="G34434" t="s">
        <v>17470</v>
      </c>
      <c r="H34434" t="s">
        <v>32415</v>
      </c>
    </row>
    <row r="34435" spans="6:8">
      <c r="H34435" t="s">
        <v>32416</v>
      </c>
    </row>
    <row r="34436" spans="6:8">
      <c r="H34436" t="s">
        <v>18930</v>
      </c>
    </row>
    <row r="34437" spans="6:8">
      <c r="H34437" t="s">
        <v>32417</v>
      </c>
    </row>
    <row r="34438" spans="6:8">
      <c r="H34438" t="s">
        <v>32418</v>
      </c>
    </row>
    <row r="34439" spans="6:8">
      <c r="H34439" t="s">
        <v>32419</v>
      </c>
    </row>
    <row r="34440" spans="6:8">
      <c r="H34440" t="s">
        <v>32420</v>
      </c>
    </row>
    <row r="34441" spans="6:8">
      <c r="H34441" t="s">
        <v>32421</v>
      </c>
    </row>
    <row r="34442" spans="6:8">
      <c r="H34442" t="s">
        <v>32422</v>
      </c>
    </row>
    <row r="34443" spans="6:8">
      <c r="H34443" t="s">
        <v>32423</v>
      </c>
    </row>
    <row r="34444" spans="6:8">
      <c r="F34444" t="s">
        <v>13950</v>
      </c>
      <c r="G34444" t="s">
        <v>17977</v>
      </c>
      <c r="H34444" t="s">
        <v>32424</v>
      </c>
    </row>
    <row r="34445" spans="6:8">
      <c r="H34445" t="s">
        <v>32416</v>
      </c>
    </row>
    <row r="34446" spans="6:8">
      <c r="H34446" t="s">
        <v>32425</v>
      </c>
    </row>
    <row r="34447" spans="6:8">
      <c r="H34447" t="s">
        <v>32426</v>
      </c>
    </row>
    <row r="34448" spans="6:8">
      <c r="H34448" t="s">
        <v>32427</v>
      </c>
    </row>
    <row r="34449" spans="6:8">
      <c r="H34449" t="s">
        <v>32428</v>
      </c>
    </row>
    <row r="34450" spans="6:8">
      <c r="H34450" t="s">
        <v>32429</v>
      </c>
    </row>
    <row r="34451" spans="6:8">
      <c r="H34451" t="s">
        <v>32430</v>
      </c>
    </row>
    <row r="34452" spans="6:8">
      <c r="H34452" t="s">
        <v>32431</v>
      </c>
    </row>
    <row r="34453" spans="6:8">
      <c r="H34453" t="s">
        <v>32432</v>
      </c>
    </row>
    <row r="34454" spans="6:8">
      <c r="H34454" t="s">
        <v>32433</v>
      </c>
    </row>
    <row r="34455" spans="6:8">
      <c r="H34455" t="s">
        <v>32434</v>
      </c>
    </row>
    <row r="34456" spans="6:8">
      <c r="H34456" t="s">
        <v>32435</v>
      </c>
    </row>
    <row r="34457" spans="6:8">
      <c r="H34457" t="s">
        <v>32436</v>
      </c>
    </row>
    <row r="34458" spans="6:8">
      <c r="H34458" t="s">
        <v>32437</v>
      </c>
    </row>
    <row r="34459" spans="6:8">
      <c r="F34459" t="s">
        <v>13951</v>
      </c>
      <c r="G34459" t="s">
        <v>17978</v>
      </c>
      <c r="H34459" t="s">
        <v>32417</v>
      </c>
    </row>
    <row r="34460" spans="6:8">
      <c r="H34460" t="s">
        <v>32438</v>
      </c>
    </row>
    <row r="34461" spans="6:8">
      <c r="H34461" t="s">
        <v>32439</v>
      </c>
    </row>
    <row r="34462" spans="6:8">
      <c r="H34462" t="s">
        <v>32440</v>
      </c>
    </row>
    <row r="34463" spans="6:8">
      <c r="H34463" t="s">
        <v>32441</v>
      </c>
    </row>
    <row r="34464" spans="6:8">
      <c r="H34464" t="s">
        <v>32442</v>
      </c>
    </row>
    <row r="34465" spans="6:8">
      <c r="H34465" t="s">
        <v>32443</v>
      </c>
    </row>
    <row r="34466" spans="6:8">
      <c r="H34466" t="s">
        <v>32444</v>
      </c>
    </row>
    <row r="34467" spans="6:8">
      <c r="H34467" t="s">
        <v>32445</v>
      </c>
    </row>
    <row r="34468" spans="6:8">
      <c r="F34468" t="s">
        <v>13952</v>
      </c>
      <c r="G34468" t="s">
        <v>17979</v>
      </c>
      <c r="H34468" t="s">
        <v>32417</v>
      </c>
    </row>
    <row r="34469" spans="6:8">
      <c r="H34469" t="s">
        <v>32446</v>
      </c>
    </row>
    <row r="34470" spans="6:8">
      <c r="H34470" t="s">
        <v>32447</v>
      </c>
    </row>
    <row r="34471" spans="6:8">
      <c r="H34471" t="s">
        <v>32448</v>
      </c>
    </row>
    <row r="34472" spans="6:8">
      <c r="H34472" t="s">
        <v>32449</v>
      </c>
    </row>
    <row r="34473" spans="6:8">
      <c r="F34473" t="s">
        <v>13953</v>
      </c>
      <c r="G34473" t="s">
        <v>17980</v>
      </c>
      <c r="H34473" t="s">
        <v>32417</v>
      </c>
    </row>
    <row r="34474" spans="6:8">
      <c r="H34474" t="s">
        <v>32450</v>
      </c>
    </row>
    <row r="34475" spans="6:8">
      <c r="H34475" t="s">
        <v>32451</v>
      </c>
    </row>
    <row r="34476" spans="6:8">
      <c r="H34476" t="s">
        <v>32452</v>
      </c>
    </row>
    <row r="34477" spans="6:8">
      <c r="H34477" t="s">
        <v>32453</v>
      </c>
    </row>
    <row r="34478" spans="6:8">
      <c r="H34478" t="s">
        <v>32454</v>
      </c>
    </row>
    <row r="34479" spans="6:8">
      <c r="H34479" t="s">
        <v>32455</v>
      </c>
    </row>
    <row r="34480" spans="6:8">
      <c r="H34480" t="s">
        <v>18896</v>
      </c>
    </row>
    <row r="34481" spans="1:8">
      <c r="H34481" t="s">
        <v>32456</v>
      </c>
    </row>
    <row r="34482" spans="1:8">
      <c r="F34482" t="s">
        <v>13954</v>
      </c>
      <c r="G34482" t="s">
        <v>17981</v>
      </c>
      <c r="H34482" t="s">
        <v>32457</v>
      </c>
    </row>
    <row r="34483" spans="1:8">
      <c r="H34483" t="s">
        <v>26510</v>
      </c>
    </row>
    <row r="34484" spans="1:8">
      <c r="H34484" t="s">
        <v>18964</v>
      </c>
    </row>
    <row r="34485" spans="1:8">
      <c r="H34485" t="s">
        <v>28171</v>
      </c>
    </row>
    <row r="34486" spans="1:8">
      <c r="H34486" t="s">
        <v>18927</v>
      </c>
    </row>
    <row r="34487" spans="1:8">
      <c r="H34487" t="s">
        <v>32458</v>
      </c>
    </row>
    <row r="34488" spans="1:8">
      <c r="H34488" t="s">
        <v>32459</v>
      </c>
    </row>
    <row r="34489" spans="1:8">
      <c r="H34489" t="s">
        <v>32460</v>
      </c>
    </row>
    <row r="34490" spans="1:8">
      <c r="H34490" t="s">
        <v>32461</v>
      </c>
    </row>
    <row r="34491" spans="1:8">
      <c r="F34491" t="s">
        <v>13126</v>
      </c>
      <c r="G34491" t="s">
        <v>17286</v>
      </c>
      <c r="H34491" t="s">
        <v>32462</v>
      </c>
    </row>
    <row r="34492" spans="1:8">
      <c r="H34492" t="s">
        <v>29501</v>
      </c>
    </row>
    <row r="34493" spans="1:8">
      <c r="A34493" t="s">
        <v>2632</v>
      </c>
      <c r="B34493">
        <f>HYPERLINK("https://android.googlesource.com/platform/cts/+/0e167f79314cb0bb3cedb06591c6352b520e4640", "0e167f79314cb0bb3cedb06591c6352b520e4640")</f>
        <v>0</v>
      </c>
      <c r="C34493">
        <f>HYPERLINK("https://android.googlesource.com/platform/cts/+/c1cca80827fe859a66fb9c69baef72ac2f11753f", "c1cca80827fe859a66fb9c69baef72ac2f11753f")</f>
        <v>0</v>
      </c>
      <c r="D34493" t="s">
        <v>5421</v>
      </c>
      <c r="E34493" t="s">
        <v>8363</v>
      </c>
      <c r="F34493" t="s">
        <v>10593</v>
      </c>
      <c r="G34493" t="s">
        <v>14996</v>
      </c>
      <c r="H34493" t="s">
        <v>32463</v>
      </c>
    </row>
    <row r="34494" spans="1:8">
      <c r="A34494" t="s">
        <v>2633</v>
      </c>
      <c r="B34494">
        <f>HYPERLINK("https://android.googlesource.com/platform/cts/+/739f62ed37c6010a5b25a571fb1701ea9e2f6ef6", "739f62ed37c6010a5b25a571fb1701ea9e2f6ef6")</f>
        <v>0</v>
      </c>
      <c r="C34494">
        <f>HYPERLINK("https://android.googlesource.com/platform/cts/+/62b4aedb262eaf0e685bddc26d7e1da3259bdf38", "62b4aedb262eaf0e685bddc26d7e1da3259bdf38")</f>
        <v>0</v>
      </c>
      <c r="D34494" t="s">
        <v>5271</v>
      </c>
      <c r="E34494" t="s">
        <v>8364</v>
      </c>
      <c r="F34494" t="s">
        <v>13309</v>
      </c>
      <c r="G34494" t="s">
        <v>17442</v>
      </c>
      <c r="H34494" t="s">
        <v>18829</v>
      </c>
    </row>
    <row r="34495" spans="1:8">
      <c r="A34495" t="s">
        <v>2634</v>
      </c>
      <c r="B34495">
        <f>HYPERLINK("https://android.googlesource.com/platform/cts/+/e0808d3bcc3a0d9c0a4f5e9c095822def8e8c419", "e0808d3bcc3a0d9c0a4f5e9c095822def8e8c419")</f>
        <v>0</v>
      </c>
      <c r="C34495">
        <f>HYPERLINK("https://android.googlesource.com/platform/cts/+/739f62ed37c6010a5b25a571fb1701ea9e2f6ef6", "739f62ed37c6010a5b25a571fb1701ea9e2f6ef6")</f>
        <v>0</v>
      </c>
      <c r="D34495" t="s">
        <v>5271</v>
      </c>
      <c r="E34495" t="s">
        <v>8365</v>
      </c>
      <c r="F34495" t="s">
        <v>13928</v>
      </c>
      <c r="G34495" t="s">
        <v>17964</v>
      </c>
      <c r="H34495" t="s">
        <v>32364</v>
      </c>
    </row>
    <row r="34496" spans="1:8">
      <c r="H34496" t="s">
        <v>32364</v>
      </c>
    </row>
    <row r="34497" spans="1:8">
      <c r="H34497" t="s">
        <v>32365</v>
      </c>
    </row>
    <row r="34498" spans="1:8">
      <c r="A34498" t="s">
        <v>2635</v>
      </c>
      <c r="B34498">
        <f>HYPERLINK("https://android.googlesource.com/platform/cts/+/975c55325673fcfd2b53973fac3d9229d26695eb", "975c55325673fcfd2b53973fac3d9229d26695eb")</f>
        <v>0</v>
      </c>
      <c r="C34498">
        <f>HYPERLINK("https://android.googlesource.com/platform/cts/+/d19ea5c45d5ba6e7e7ddac1d83595758cc4284d2", "d19ea5c45d5ba6e7e7ddac1d83595758cc4284d2")</f>
        <v>0</v>
      </c>
      <c r="D34498" t="s">
        <v>5320</v>
      </c>
      <c r="E34498" t="s">
        <v>8366</v>
      </c>
      <c r="F34498" t="s">
        <v>13846</v>
      </c>
      <c r="G34498" t="s">
        <v>17889</v>
      </c>
      <c r="H34498" t="s">
        <v>32464</v>
      </c>
    </row>
    <row r="34499" spans="1:8">
      <c r="A34499" t="s">
        <v>2636</v>
      </c>
      <c r="B34499">
        <f>HYPERLINK("https://android.googlesource.com/platform/cts/+/1c3ffc1ab9f7c24bb01aab59b2bf098867d102cd", "1c3ffc1ab9f7c24bb01aab59b2bf098867d102cd")</f>
        <v>0</v>
      </c>
      <c r="C34499">
        <f>HYPERLINK("https://android.googlesource.com/platform/cts/+/e556f8234d386b4c90e38c9bb0db1cae3640a3bf", "e556f8234d386b4c90e38c9bb0db1cae3640a3bf")</f>
        <v>0</v>
      </c>
      <c r="D34499" t="s">
        <v>5117</v>
      </c>
      <c r="E34499" t="s">
        <v>8367</v>
      </c>
      <c r="F34499" t="s">
        <v>13905</v>
      </c>
      <c r="G34499" t="s">
        <v>17942</v>
      </c>
      <c r="H34499" t="s">
        <v>32465</v>
      </c>
    </row>
    <row r="34500" spans="1:8">
      <c r="H34500" t="s">
        <v>32466</v>
      </c>
    </row>
    <row r="34501" spans="1:8">
      <c r="A34501" t="s">
        <v>2637</v>
      </c>
      <c r="B34501">
        <f>HYPERLINK("https://android.googlesource.com/platform/cts/+/6c540e9b8835617a130c2db685549b05816b4fd7", "6c540e9b8835617a130c2db685549b05816b4fd7")</f>
        <v>0</v>
      </c>
      <c r="C34501">
        <f>HYPERLINK("https://android.googlesource.com/platform/cts/+/e9a17683478f9c95b4b781c1c1732baa409c6dce", "e9a17683478f9c95b4b781c1c1732baa409c6dce")</f>
        <v>0</v>
      </c>
      <c r="D34501" t="s">
        <v>5269</v>
      </c>
      <c r="E34501" t="s">
        <v>8368</v>
      </c>
      <c r="F34501" t="s">
        <v>13827</v>
      </c>
      <c r="G34501" t="s">
        <v>17871</v>
      </c>
      <c r="H34501" t="s">
        <v>32467</v>
      </c>
    </row>
    <row r="34502" spans="1:8">
      <c r="A34502" t="s">
        <v>2638</v>
      </c>
      <c r="B34502">
        <f>HYPERLINK("https://android.googlesource.com/platform/cts/+/ad5eacc572c13ac6f53011ebc96fac474840f709", "ad5eacc572c13ac6f53011ebc96fac474840f709")</f>
        <v>0</v>
      </c>
      <c r="C34502">
        <f>HYPERLINK("https://android.googlesource.com/platform/cts/+/c9e3f4ee0f8cf3e77ea4717aed4c26e4986777a9", "c9e3f4ee0f8cf3e77ea4717aed4c26e4986777a9")</f>
        <v>0</v>
      </c>
      <c r="D34502" t="s">
        <v>5396</v>
      </c>
      <c r="E34502" t="s">
        <v>8369</v>
      </c>
      <c r="F34502" t="s">
        <v>13846</v>
      </c>
      <c r="G34502" t="s">
        <v>17889</v>
      </c>
      <c r="H34502" t="s">
        <v>32468</v>
      </c>
    </row>
    <row r="34503" spans="1:8">
      <c r="F34503" t="s">
        <v>13899</v>
      </c>
      <c r="G34503" t="s">
        <v>17889</v>
      </c>
      <c r="H34503" t="s">
        <v>32468</v>
      </c>
    </row>
    <row r="34504" spans="1:8">
      <c r="A34504" t="s">
        <v>2639</v>
      </c>
      <c r="B34504">
        <f>HYPERLINK("https://android.googlesource.com/platform/cts/+/c0f8161ccdc707df45b28a3d3a83641bb196fa9f", "c0f8161ccdc707df45b28a3d3a83641bb196fa9f")</f>
        <v>0</v>
      </c>
      <c r="C34504">
        <f>HYPERLINK("https://android.googlesource.com/platform/cts/+/6723e5a136c6be20de749e80893d3627de3099e5", "6723e5a136c6be20de749e80893d3627de3099e5")</f>
        <v>0</v>
      </c>
      <c r="D34504" t="s">
        <v>5307</v>
      </c>
      <c r="E34504" t="s">
        <v>8370</v>
      </c>
      <c r="F34504" t="s">
        <v>11435</v>
      </c>
      <c r="G34504" t="s">
        <v>15093</v>
      </c>
      <c r="H34504" t="s">
        <v>18863</v>
      </c>
    </row>
    <row r="34505" spans="1:8">
      <c r="H34505" t="s">
        <v>32469</v>
      </c>
    </row>
    <row r="34506" spans="1:8">
      <c r="H34506" t="s">
        <v>32470</v>
      </c>
    </row>
    <row r="34507" spans="1:8">
      <c r="H34507" t="s">
        <v>32471</v>
      </c>
    </row>
    <row r="34508" spans="1:8">
      <c r="H34508" t="s">
        <v>32471</v>
      </c>
    </row>
    <row r="34509" spans="1:8">
      <c r="H34509" t="s">
        <v>32472</v>
      </c>
    </row>
    <row r="34510" spans="1:8">
      <c r="H34510" t="s">
        <v>32473</v>
      </c>
    </row>
    <row r="34511" spans="1:8">
      <c r="H34511" t="s">
        <v>32474</v>
      </c>
    </row>
    <row r="34512" spans="1:8">
      <c r="H34512" t="s">
        <v>32475</v>
      </c>
    </row>
    <row r="34513" spans="8:8">
      <c r="H34513" t="s">
        <v>32476</v>
      </c>
    </row>
    <row r="34514" spans="8:8">
      <c r="H34514" t="s">
        <v>32477</v>
      </c>
    </row>
    <row r="34515" spans="8:8">
      <c r="H34515" t="s">
        <v>32477</v>
      </c>
    </row>
    <row r="34516" spans="8:8">
      <c r="H34516" t="s">
        <v>32478</v>
      </c>
    </row>
    <row r="34517" spans="8:8">
      <c r="H34517" t="s">
        <v>32479</v>
      </c>
    </row>
    <row r="34518" spans="8:8">
      <c r="H34518" t="s">
        <v>32480</v>
      </c>
    </row>
    <row r="34519" spans="8:8">
      <c r="H34519" t="s">
        <v>32480</v>
      </c>
    </row>
    <row r="34520" spans="8:8">
      <c r="H34520" t="s">
        <v>32481</v>
      </c>
    </row>
    <row r="34521" spans="8:8">
      <c r="H34521" t="s">
        <v>32482</v>
      </c>
    </row>
    <row r="34522" spans="8:8">
      <c r="H34522" t="s">
        <v>32483</v>
      </c>
    </row>
    <row r="34523" spans="8:8">
      <c r="H34523" t="s">
        <v>32484</v>
      </c>
    </row>
    <row r="34524" spans="8:8">
      <c r="H34524" t="s">
        <v>32485</v>
      </c>
    </row>
    <row r="34525" spans="8:8">
      <c r="H34525" t="s">
        <v>32486</v>
      </c>
    </row>
    <row r="34526" spans="8:8">
      <c r="H34526" t="s">
        <v>32487</v>
      </c>
    </row>
    <row r="34527" spans="8:8">
      <c r="H34527" t="s">
        <v>32488</v>
      </c>
    </row>
    <row r="34528" spans="8:8">
      <c r="H34528" t="s">
        <v>32489</v>
      </c>
    </row>
    <row r="34529" spans="8:8">
      <c r="H34529" t="s">
        <v>32490</v>
      </c>
    </row>
    <row r="34530" spans="8:8">
      <c r="H34530" t="s">
        <v>32491</v>
      </c>
    </row>
    <row r="34531" spans="8:8">
      <c r="H34531" t="s">
        <v>32492</v>
      </c>
    </row>
    <row r="34532" spans="8:8">
      <c r="H34532" t="s">
        <v>32493</v>
      </c>
    </row>
    <row r="34533" spans="8:8">
      <c r="H34533" t="s">
        <v>32494</v>
      </c>
    </row>
    <row r="34534" spans="8:8">
      <c r="H34534" t="s">
        <v>32495</v>
      </c>
    </row>
    <row r="34535" spans="8:8">
      <c r="H34535" t="s">
        <v>32496</v>
      </c>
    </row>
    <row r="34536" spans="8:8">
      <c r="H34536" t="s">
        <v>32497</v>
      </c>
    </row>
    <row r="34537" spans="8:8">
      <c r="H34537" t="s">
        <v>21518</v>
      </c>
    </row>
    <row r="34538" spans="8:8">
      <c r="H34538" t="s">
        <v>32498</v>
      </c>
    </row>
    <row r="34539" spans="8:8">
      <c r="H34539" t="s">
        <v>32499</v>
      </c>
    </row>
    <row r="34540" spans="8:8">
      <c r="H34540" t="s">
        <v>32500</v>
      </c>
    </row>
    <row r="34541" spans="8:8">
      <c r="H34541" t="s">
        <v>32501</v>
      </c>
    </row>
    <row r="34542" spans="8:8">
      <c r="H34542" t="s">
        <v>32502</v>
      </c>
    </row>
    <row r="34543" spans="8:8">
      <c r="H34543" t="s">
        <v>32503</v>
      </c>
    </row>
    <row r="34544" spans="8:8">
      <c r="H34544" t="s">
        <v>32396</v>
      </c>
    </row>
    <row r="34545" spans="8:8">
      <c r="H34545" t="s">
        <v>32504</v>
      </c>
    </row>
    <row r="34546" spans="8:8">
      <c r="H34546" t="s">
        <v>32397</v>
      </c>
    </row>
    <row r="34547" spans="8:8">
      <c r="H34547" t="s">
        <v>19140</v>
      </c>
    </row>
    <row r="34548" spans="8:8">
      <c r="H34548" t="s">
        <v>19141</v>
      </c>
    </row>
    <row r="34549" spans="8:8">
      <c r="H34549" t="s">
        <v>19142</v>
      </c>
    </row>
    <row r="34550" spans="8:8">
      <c r="H34550" t="s">
        <v>19143</v>
      </c>
    </row>
    <row r="34551" spans="8:8">
      <c r="H34551" t="s">
        <v>32505</v>
      </c>
    </row>
    <row r="34552" spans="8:8">
      <c r="H34552" t="s">
        <v>32506</v>
      </c>
    </row>
    <row r="34553" spans="8:8">
      <c r="H34553" t="s">
        <v>32507</v>
      </c>
    </row>
    <row r="34554" spans="8:8">
      <c r="H34554" t="s">
        <v>32508</v>
      </c>
    </row>
    <row r="34555" spans="8:8">
      <c r="H34555" t="s">
        <v>32509</v>
      </c>
    </row>
    <row r="34556" spans="8:8">
      <c r="H34556" t="s">
        <v>32510</v>
      </c>
    </row>
    <row r="34557" spans="8:8">
      <c r="H34557" t="s">
        <v>32511</v>
      </c>
    </row>
    <row r="34558" spans="8:8">
      <c r="H34558" t="s">
        <v>32512</v>
      </c>
    </row>
    <row r="34559" spans="8:8">
      <c r="H34559" t="s">
        <v>32513</v>
      </c>
    </row>
    <row r="34560" spans="8:8">
      <c r="H34560" t="s">
        <v>32514</v>
      </c>
    </row>
    <row r="34561" spans="1:8">
      <c r="H34561" t="s">
        <v>32398</v>
      </c>
    </row>
    <row r="34562" spans="1:8">
      <c r="H34562" t="s">
        <v>32399</v>
      </c>
    </row>
    <row r="34563" spans="1:8">
      <c r="H34563" t="s">
        <v>32515</v>
      </c>
    </row>
    <row r="34564" spans="1:8">
      <c r="H34564" t="s">
        <v>32516</v>
      </c>
    </row>
    <row r="34565" spans="1:8">
      <c r="H34565" t="s">
        <v>32517</v>
      </c>
    </row>
    <row r="34566" spans="1:8">
      <c r="H34566" t="s">
        <v>32518</v>
      </c>
    </row>
    <row r="34567" spans="1:8">
      <c r="H34567" t="s">
        <v>32519</v>
      </c>
    </row>
    <row r="34568" spans="1:8">
      <c r="H34568" t="s">
        <v>32520</v>
      </c>
    </row>
    <row r="34569" spans="1:8">
      <c r="H34569" t="s">
        <v>32521</v>
      </c>
    </row>
    <row r="34570" spans="1:8">
      <c r="H34570" t="s">
        <v>32522</v>
      </c>
    </row>
    <row r="34571" spans="1:8">
      <c r="H34571" t="s">
        <v>32523</v>
      </c>
    </row>
    <row r="34572" spans="1:8">
      <c r="H34572" t="s">
        <v>32524</v>
      </c>
    </row>
    <row r="34573" spans="1:8">
      <c r="H34573" t="s">
        <v>32525</v>
      </c>
    </row>
    <row r="34574" spans="1:8">
      <c r="H34574" t="s">
        <v>32526</v>
      </c>
    </row>
    <row r="34575" spans="1:8">
      <c r="A34575" t="s">
        <v>2640</v>
      </c>
      <c r="B34575">
        <f>HYPERLINK("https://android.googlesource.com/platform/cts/+/e77e2f9452b57fa8e5e3239ca365cb0e7fa98384", "e77e2f9452b57fa8e5e3239ca365cb0e7fa98384")</f>
        <v>0</v>
      </c>
      <c r="C34575">
        <f>HYPERLINK("https://android.googlesource.com/platform/cts/+/d714faf21b9a5f87dd0d9c8cfc6919512a4f0d25", "d714faf21b9a5f87dd0d9c8cfc6919512a4f0d25")</f>
        <v>0</v>
      </c>
      <c r="D34575" t="s">
        <v>4949</v>
      </c>
      <c r="E34575" t="s">
        <v>8371</v>
      </c>
      <c r="F34575" t="s">
        <v>13955</v>
      </c>
      <c r="G34575" t="s">
        <v>17564</v>
      </c>
      <c r="H34575" t="s">
        <v>32527</v>
      </c>
    </row>
    <row r="34576" spans="1:8">
      <c r="A34576" t="s">
        <v>2641</v>
      </c>
      <c r="B34576">
        <f>HYPERLINK("https://android.googlesource.com/platform/cts/+/47d540c5e584106bf0bb2df1a272aa94c91551a8", "47d540c5e584106bf0bb2df1a272aa94c91551a8")</f>
        <v>0</v>
      </c>
      <c r="C34576">
        <f>HYPERLINK("https://android.googlesource.com/platform/cts/+/7e4a852689bfa56f6ccaa215aabab4bcf65a7a33", "7e4a852689bfa56f6ccaa215aabab4bcf65a7a33")</f>
        <v>0</v>
      </c>
      <c r="D34576" t="s">
        <v>5021</v>
      </c>
      <c r="E34576" t="s">
        <v>8372</v>
      </c>
      <c r="F34576" t="s">
        <v>13794</v>
      </c>
      <c r="G34576" t="s">
        <v>17846</v>
      </c>
      <c r="H34576" t="s">
        <v>31670</v>
      </c>
    </row>
    <row r="34577" spans="1:8">
      <c r="A34577" t="s">
        <v>2642</v>
      </c>
      <c r="B34577">
        <f>HYPERLINK("https://android.googlesource.com/platform/cts/+/8cea3f3923a6eaf21c945c45bc6b5111310ede7e", "8cea3f3923a6eaf21c945c45bc6b5111310ede7e")</f>
        <v>0</v>
      </c>
      <c r="C34577">
        <f>HYPERLINK("https://android.googlesource.com/platform/cts/+/3f0601fe713a623bf1834d9cf092440fe3e9481d", "3f0601fe713a623bf1834d9cf092440fe3e9481d")</f>
        <v>0</v>
      </c>
      <c r="D34577" t="s">
        <v>5021</v>
      </c>
      <c r="E34577" t="s">
        <v>8373</v>
      </c>
      <c r="F34577" t="s">
        <v>13794</v>
      </c>
      <c r="G34577" t="s">
        <v>17846</v>
      </c>
      <c r="H34577" t="s">
        <v>32528</v>
      </c>
    </row>
    <row r="34578" spans="1:8">
      <c r="F34578" t="s">
        <v>13514</v>
      </c>
      <c r="G34578" t="s">
        <v>17631</v>
      </c>
      <c r="H34578" t="s">
        <v>32529</v>
      </c>
    </row>
    <row r="34579" spans="1:8">
      <c r="A34579" t="s">
        <v>2643</v>
      </c>
      <c r="B34579">
        <f>HYPERLINK("https://android.googlesource.com/platform/cts/+/d4caef94e7b0737d84506c42b47f63b7560bc773", "d4caef94e7b0737d84506c42b47f63b7560bc773")</f>
        <v>0</v>
      </c>
      <c r="C34579">
        <f>HYPERLINK("https://android.googlesource.com/platform/cts/+/0db9c1e7f36c1275073b5f5106343a854fd78814", "0db9c1e7f36c1275073b5f5106343a854fd78814")</f>
        <v>0</v>
      </c>
      <c r="D34579" t="s">
        <v>5397</v>
      </c>
      <c r="E34579" t="s">
        <v>8374</v>
      </c>
      <c r="F34579" t="s">
        <v>13846</v>
      </c>
      <c r="G34579" t="s">
        <v>17889</v>
      </c>
      <c r="H34579" t="s">
        <v>32530</v>
      </c>
    </row>
    <row r="34580" spans="1:8">
      <c r="A34580" t="s">
        <v>2644</v>
      </c>
      <c r="B34580">
        <f>HYPERLINK("https://android.googlesource.com/platform/cts/+/bcf15d408f5d3e60a86279d3032c12165bdaeed6", "bcf15d408f5d3e60a86279d3032c12165bdaeed6")</f>
        <v>0</v>
      </c>
      <c r="C34580">
        <f>HYPERLINK("https://android.googlesource.com/platform/cts/+/a4763a7bd9c03fb8e0ae6c4b301088e4b52cae00", "a4763a7bd9c03fb8e0ae6c4b301088e4b52cae00")</f>
        <v>0</v>
      </c>
      <c r="D34580" t="s">
        <v>5293</v>
      </c>
      <c r="E34580" t="s">
        <v>8375</v>
      </c>
      <c r="F34580" t="s">
        <v>13931</v>
      </c>
      <c r="G34580" t="s">
        <v>17965</v>
      </c>
      <c r="H34580" t="s">
        <v>32353</v>
      </c>
    </row>
    <row r="34581" spans="1:8">
      <c r="H34581" t="s">
        <v>19981</v>
      </c>
    </row>
    <row r="34582" spans="1:8">
      <c r="H34582" t="s">
        <v>32354</v>
      </c>
    </row>
    <row r="34583" spans="1:8">
      <c r="H34583" t="s">
        <v>32355</v>
      </c>
    </row>
    <row r="34584" spans="1:8">
      <c r="H34584" t="s">
        <v>32356</v>
      </c>
    </row>
    <row r="34585" spans="1:8">
      <c r="A34585" t="s">
        <v>2645</v>
      </c>
      <c r="B34585">
        <f>HYPERLINK("https://android.googlesource.com/platform/cts/+/2b79d377de6d4367efde61576aaea5a6fc3fa83a", "2b79d377de6d4367efde61576aaea5a6fc3fa83a")</f>
        <v>0</v>
      </c>
      <c r="C34585">
        <f>HYPERLINK("https://android.googlesource.com/platform/cts/+/1dbf70803c76de4b7151bdc870d65c3f402c749a", "1dbf70803c76de4b7151bdc870d65c3f402c749a")</f>
        <v>0</v>
      </c>
      <c r="D34585" t="s">
        <v>5269</v>
      </c>
      <c r="E34585" t="s">
        <v>8376</v>
      </c>
      <c r="F34585" t="s">
        <v>13758</v>
      </c>
      <c r="G34585" t="s">
        <v>17817</v>
      </c>
      <c r="H34585" t="s">
        <v>32531</v>
      </c>
    </row>
    <row r="34586" spans="1:8">
      <c r="H34586" t="s">
        <v>32532</v>
      </c>
    </row>
    <row r="34587" spans="1:8">
      <c r="F34587" t="s">
        <v>13827</v>
      </c>
      <c r="G34587" t="s">
        <v>17871</v>
      </c>
      <c r="H34587" t="s">
        <v>32533</v>
      </c>
    </row>
    <row r="34588" spans="1:8">
      <c r="A34588" t="s">
        <v>2646</v>
      </c>
      <c r="B34588">
        <f>HYPERLINK("https://android.googlesource.com/platform/cts/+/7b6605a7fa3ab2665ee78df0cf6098a14faf6f25", "7b6605a7fa3ab2665ee78df0cf6098a14faf6f25")</f>
        <v>0</v>
      </c>
      <c r="C34588">
        <f>HYPERLINK("https://android.googlesource.com/platform/cts/+/4d36726bf87433116255204ebae2655a5939d8c0", "4d36726bf87433116255204ebae2655a5939d8c0")</f>
        <v>0</v>
      </c>
      <c r="D34588" t="s">
        <v>4949</v>
      </c>
      <c r="E34588" t="s">
        <v>8377</v>
      </c>
      <c r="F34588" t="s">
        <v>13905</v>
      </c>
      <c r="G34588" t="s">
        <v>17942</v>
      </c>
      <c r="H34588" t="s">
        <v>32534</v>
      </c>
    </row>
    <row r="34589" spans="1:8">
      <c r="A34589" t="s">
        <v>2647</v>
      </c>
      <c r="B34589">
        <f>HYPERLINK("https://android.googlesource.com/platform/cts/+/d350f9bbe52445d1bc157c50b2fc220e3f89f209", "d350f9bbe52445d1bc157c50b2fc220e3f89f209")</f>
        <v>0</v>
      </c>
      <c r="C34589">
        <f>HYPERLINK("https://android.googlesource.com/platform/cts/+/96fc42b67fdd7d0c5540d5548bc4da6f7ce78f57", "96fc42b67fdd7d0c5540d5548bc4da6f7ce78f57")</f>
        <v>0</v>
      </c>
      <c r="D34589" t="s">
        <v>5118</v>
      </c>
      <c r="E34589" t="s">
        <v>8378</v>
      </c>
      <c r="F34589" t="s">
        <v>13165</v>
      </c>
      <c r="G34589" t="s">
        <v>17315</v>
      </c>
      <c r="H34589" t="s">
        <v>32535</v>
      </c>
    </row>
    <row r="34590" spans="1:8">
      <c r="H34590" t="s">
        <v>32536</v>
      </c>
    </row>
    <row r="34591" spans="1:8">
      <c r="H34591" t="s">
        <v>32537</v>
      </c>
    </row>
    <row r="34592" spans="1:8">
      <c r="H34592" t="s">
        <v>32538</v>
      </c>
    </row>
    <row r="34593" spans="1:8">
      <c r="H34593" t="s">
        <v>32539</v>
      </c>
    </row>
    <row r="34594" spans="1:8">
      <c r="A34594" t="s">
        <v>2648</v>
      </c>
      <c r="B34594">
        <f>HYPERLINK("https://android.googlesource.com/platform/cts/+/e3ff8857fdb44c59447fb8a4bed090b559ce8464", "e3ff8857fdb44c59447fb8a4bed090b559ce8464")</f>
        <v>0</v>
      </c>
      <c r="C34594">
        <f>HYPERLINK("https://android.googlesource.com/platform/cts/+/195e46acbb61ca7295ed93011a8b0e7757f520e5", "195e46acbb61ca7295ed93011a8b0e7757f520e5")</f>
        <v>0</v>
      </c>
      <c r="D34594" t="s">
        <v>5117</v>
      </c>
      <c r="E34594" t="s">
        <v>8379</v>
      </c>
      <c r="F34594" t="s">
        <v>13905</v>
      </c>
      <c r="G34594" t="s">
        <v>17942</v>
      </c>
      <c r="H34594" t="s">
        <v>32540</v>
      </c>
    </row>
    <row r="34595" spans="1:8">
      <c r="H34595" t="s">
        <v>32541</v>
      </c>
    </row>
    <row r="34596" spans="1:8">
      <c r="H34596" t="s">
        <v>32542</v>
      </c>
    </row>
    <row r="34597" spans="1:8">
      <c r="A34597" t="s">
        <v>2649</v>
      </c>
      <c r="B34597">
        <f>HYPERLINK("https://android.googlesource.com/platform/cts/+/614097a9f7fe72525baf04c7b35c1d0a0a7ada9f", "614097a9f7fe72525baf04c7b35c1d0a0a7ada9f")</f>
        <v>0</v>
      </c>
      <c r="C34597">
        <f>HYPERLINK("https://android.googlesource.com/platform/cts/+/d43ffffafce8f627e31b2ad99c40b75006fa6247", "d43ffffafce8f627e31b2ad99c40b75006fa6247")</f>
        <v>0</v>
      </c>
      <c r="D34597" t="s">
        <v>4949</v>
      </c>
      <c r="E34597" t="s">
        <v>8380</v>
      </c>
      <c r="F34597" t="s">
        <v>12673</v>
      </c>
      <c r="G34597" t="s">
        <v>16877</v>
      </c>
      <c r="H34597" t="s">
        <v>18863</v>
      </c>
    </row>
    <row r="34598" spans="1:8">
      <c r="H34598" t="s">
        <v>28711</v>
      </c>
    </row>
    <row r="34599" spans="1:8">
      <c r="H34599" t="s">
        <v>32543</v>
      </c>
    </row>
    <row r="34600" spans="1:8">
      <c r="H34600" t="s">
        <v>19019</v>
      </c>
    </row>
    <row r="34601" spans="1:8">
      <c r="F34601" t="s">
        <v>13956</v>
      </c>
      <c r="G34601" t="s">
        <v>17982</v>
      </c>
      <c r="H34601" t="s">
        <v>28711</v>
      </c>
    </row>
    <row r="34602" spans="1:8">
      <c r="H34602" t="s">
        <v>19019</v>
      </c>
    </row>
    <row r="34603" spans="1:8">
      <c r="F34603" t="s">
        <v>12674</v>
      </c>
      <c r="G34603" t="s">
        <v>16878</v>
      </c>
      <c r="H34603" t="s">
        <v>32544</v>
      </c>
    </row>
    <row r="34604" spans="1:8">
      <c r="H34604" t="s">
        <v>32545</v>
      </c>
    </row>
    <row r="34605" spans="1:8">
      <c r="F34605" t="s">
        <v>13934</v>
      </c>
      <c r="G34605" t="s">
        <v>17968</v>
      </c>
      <c r="H34605" t="s">
        <v>18863</v>
      </c>
    </row>
    <row r="34606" spans="1:8">
      <c r="H34606" t="s">
        <v>28711</v>
      </c>
    </row>
    <row r="34607" spans="1:8">
      <c r="H34607" t="s">
        <v>32543</v>
      </c>
    </row>
    <row r="34608" spans="1:8">
      <c r="H34608" t="s">
        <v>19019</v>
      </c>
    </row>
    <row r="34609" spans="6:8">
      <c r="F34609" t="s">
        <v>13935</v>
      </c>
      <c r="G34609" t="s">
        <v>17969</v>
      </c>
      <c r="H34609" t="s">
        <v>18863</v>
      </c>
    </row>
    <row r="34610" spans="6:8">
      <c r="H34610" t="s">
        <v>28711</v>
      </c>
    </row>
    <row r="34611" spans="6:8">
      <c r="H34611" t="s">
        <v>32543</v>
      </c>
    </row>
    <row r="34612" spans="6:8">
      <c r="H34612" t="s">
        <v>19019</v>
      </c>
    </row>
    <row r="34613" spans="6:8">
      <c r="F34613" t="s">
        <v>13957</v>
      </c>
      <c r="G34613" t="s">
        <v>17983</v>
      </c>
      <c r="H34613" t="s">
        <v>18863</v>
      </c>
    </row>
    <row r="34614" spans="6:8">
      <c r="H34614" t="s">
        <v>28711</v>
      </c>
    </row>
    <row r="34615" spans="6:8">
      <c r="H34615" t="s">
        <v>19019</v>
      </c>
    </row>
    <row r="34616" spans="6:8">
      <c r="F34616" t="s">
        <v>13936</v>
      </c>
      <c r="G34616" t="s">
        <v>17970</v>
      </c>
      <c r="H34616" t="s">
        <v>18863</v>
      </c>
    </row>
    <row r="34617" spans="6:8">
      <c r="H34617" t="s">
        <v>28711</v>
      </c>
    </row>
    <row r="34618" spans="6:8">
      <c r="H34618" t="s">
        <v>32543</v>
      </c>
    </row>
    <row r="34619" spans="6:8">
      <c r="H34619" t="s">
        <v>19019</v>
      </c>
    </row>
    <row r="34620" spans="6:8">
      <c r="F34620" t="s">
        <v>13231</v>
      </c>
      <c r="G34620" t="s">
        <v>15081</v>
      </c>
      <c r="H34620" t="s">
        <v>18863</v>
      </c>
    </row>
    <row r="34621" spans="6:8">
      <c r="H34621" t="s">
        <v>32543</v>
      </c>
    </row>
    <row r="34622" spans="6:8">
      <c r="H34622" t="s">
        <v>19019</v>
      </c>
    </row>
    <row r="34623" spans="6:8">
      <c r="F34623" t="s">
        <v>13937</v>
      </c>
      <c r="G34623" t="s">
        <v>17971</v>
      </c>
      <c r="H34623" t="s">
        <v>18863</v>
      </c>
    </row>
    <row r="34624" spans="6:8">
      <c r="H34624" t="s">
        <v>32546</v>
      </c>
    </row>
    <row r="34625" spans="1:8">
      <c r="H34625" t="s">
        <v>19019</v>
      </c>
    </row>
    <row r="34626" spans="1:8">
      <c r="F34626" t="s">
        <v>13938</v>
      </c>
      <c r="G34626" t="s">
        <v>17870</v>
      </c>
      <c r="H34626" t="s">
        <v>18953</v>
      </c>
    </row>
    <row r="34627" spans="1:8">
      <c r="H34627" t="s">
        <v>32547</v>
      </c>
    </row>
    <row r="34628" spans="1:8">
      <c r="F34628" t="s">
        <v>13939</v>
      </c>
      <c r="G34628" t="s">
        <v>15189</v>
      </c>
      <c r="H34628" t="s">
        <v>18863</v>
      </c>
    </row>
    <row r="34629" spans="1:8">
      <c r="H34629" t="s">
        <v>28711</v>
      </c>
    </row>
    <row r="34630" spans="1:8">
      <c r="H34630" t="s">
        <v>32543</v>
      </c>
    </row>
    <row r="34631" spans="1:8">
      <c r="H34631" t="s">
        <v>19019</v>
      </c>
    </row>
    <row r="34632" spans="1:8">
      <c r="F34632" t="s">
        <v>13940</v>
      </c>
      <c r="G34632" t="s">
        <v>15087</v>
      </c>
      <c r="H34632" t="s">
        <v>18863</v>
      </c>
    </row>
    <row r="34633" spans="1:8">
      <c r="H34633" t="s">
        <v>28711</v>
      </c>
    </row>
    <row r="34634" spans="1:8">
      <c r="H34634" t="s">
        <v>32543</v>
      </c>
    </row>
    <row r="34635" spans="1:8">
      <c r="H34635" t="s">
        <v>19019</v>
      </c>
    </row>
    <row r="34636" spans="1:8">
      <c r="F34636" t="s">
        <v>13958</v>
      </c>
      <c r="G34636" t="s">
        <v>17984</v>
      </c>
      <c r="H34636" t="s">
        <v>29835</v>
      </c>
    </row>
    <row r="34637" spans="1:8">
      <c r="A34637" t="s">
        <v>2650</v>
      </c>
      <c r="B34637">
        <f>HYPERLINK("https://android.googlesource.com/platform/cts/+/f40bceae3b929d7cd3a491ef05fc2c5f8decf279", "f40bceae3b929d7cd3a491ef05fc2c5f8decf279")</f>
        <v>0</v>
      </c>
      <c r="C34637">
        <f>HYPERLINK("https://android.googlesource.com/platform/cts/+/9e832a8c9d27c6387e2f18528e5fc244f4be3515", "9e832a8c9d27c6387e2f18528e5fc244f4be3515")</f>
        <v>0</v>
      </c>
      <c r="D34637" t="s">
        <v>5416</v>
      </c>
      <c r="E34637" t="s">
        <v>8381</v>
      </c>
      <c r="F34637" t="s">
        <v>12673</v>
      </c>
      <c r="G34637" t="s">
        <v>16877</v>
      </c>
      <c r="H34637" t="s">
        <v>18863</v>
      </c>
    </row>
    <row r="34638" spans="1:8">
      <c r="H34638" t="s">
        <v>28711</v>
      </c>
    </row>
    <row r="34639" spans="1:8">
      <c r="H34639" t="s">
        <v>32543</v>
      </c>
    </row>
    <row r="34640" spans="1:8">
      <c r="H34640" t="s">
        <v>19019</v>
      </c>
    </row>
    <row r="34641" spans="6:8">
      <c r="F34641" t="s">
        <v>13956</v>
      </c>
      <c r="G34641" t="s">
        <v>17982</v>
      </c>
      <c r="H34641" t="s">
        <v>28711</v>
      </c>
    </row>
    <row r="34642" spans="6:8">
      <c r="H34642" t="s">
        <v>19019</v>
      </c>
    </row>
    <row r="34643" spans="6:8">
      <c r="F34643" t="s">
        <v>12674</v>
      </c>
      <c r="G34643" t="s">
        <v>16878</v>
      </c>
      <c r="H34643" t="s">
        <v>32544</v>
      </c>
    </row>
    <row r="34644" spans="6:8">
      <c r="H34644" t="s">
        <v>32545</v>
      </c>
    </row>
    <row r="34645" spans="6:8">
      <c r="F34645" t="s">
        <v>13934</v>
      </c>
      <c r="G34645" t="s">
        <v>17968</v>
      </c>
      <c r="H34645" t="s">
        <v>18863</v>
      </c>
    </row>
    <row r="34646" spans="6:8">
      <c r="H34646" t="s">
        <v>28711</v>
      </c>
    </row>
    <row r="34647" spans="6:8">
      <c r="H34647" t="s">
        <v>32543</v>
      </c>
    </row>
    <row r="34648" spans="6:8">
      <c r="H34648" t="s">
        <v>19019</v>
      </c>
    </row>
    <row r="34649" spans="6:8">
      <c r="F34649" t="s">
        <v>13935</v>
      </c>
      <c r="G34649" t="s">
        <v>17969</v>
      </c>
      <c r="H34649" t="s">
        <v>18863</v>
      </c>
    </row>
    <row r="34650" spans="6:8">
      <c r="H34650" t="s">
        <v>28711</v>
      </c>
    </row>
    <row r="34651" spans="6:8">
      <c r="H34651" t="s">
        <v>32543</v>
      </c>
    </row>
    <row r="34652" spans="6:8">
      <c r="H34652" t="s">
        <v>19019</v>
      </c>
    </row>
    <row r="34653" spans="6:8">
      <c r="F34653" t="s">
        <v>13957</v>
      </c>
      <c r="G34653" t="s">
        <v>17983</v>
      </c>
      <c r="H34653" t="s">
        <v>18863</v>
      </c>
    </row>
    <row r="34654" spans="6:8">
      <c r="H34654" t="s">
        <v>28711</v>
      </c>
    </row>
    <row r="34655" spans="6:8">
      <c r="H34655" t="s">
        <v>19019</v>
      </c>
    </row>
    <row r="34656" spans="6:8">
      <c r="F34656" t="s">
        <v>13936</v>
      </c>
      <c r="G34656" t="s">
        <v>17970</v>
      </c>
      <c r="H34656" t="s">
        <v>18863</v>
      </c>
    </row>
    <row r="34657" spans="6:8">
      <c r="H34657" t="s">
        <v>28711</v>
      </c>
    </row>
    <row r="34658" spans="6:8">
      <c r="H34658" t="s">
        <v>32543</v>
      </c>
    </row>
    <row r="34659" spans="6:8">
      <c r="H34659" t="s">
        <v>19019</v>
      </c>
    </row>
    <row r="34660" spans="6:8">
      <c r="F34660" t="s">
        <v>13231</v>
      </c>
      <c r="G34660" t="s">
        <v>15081</v>
      </c>
      <c r="H34660" t="s">
        <v>18863</v>
      </c>
    </row>
    <row r="34661" spans="6:8">
      <c r="H34661" t="s">
        <v>32543</v>
      </c>
    </row>
    <row r="34662" spans="6:8">
      <c r="H34662" t="s">
        <v>19019</v>
      </c>
    </row>
    <row r="34663" spans="6:8">
      <c r="F34663" t="s">
        <v>13937</v>
      </c>
      <c r="G34663" t="s">
        <v>17971</v>
      </c>
      <c r="H34663" t="s">
        <v>18863</v>
      </c>
    </row>
    <row r="34664" spans="6:8">
      <c r="H34664" t="s">
        <v>32546</v>
      </c>
    </row>
    <row r="34665" spans="6:8">
      <c r="H34665" t="s">
        <v>19019</v>
      </c>
    </row>
    <row r="34666" spans="6:8">
      <c r="F34666" t="s">
        <v>13938</v>
      </c>
      <c r="G34666" t="s">
        <v>17870</v>
      </c>
      <c r="H34666" t="s">
        <v>18953</v>
      </c>
    </row>
    <row r="34667" spans="6:8">
      <c r="H34667" t="s">
        <v>32547</v>
      </c>
    </row>
    <row r="34668" spans="6:8">
      <c r="F34668" t="s">
        <v>13939</v>
      </c>
      <c r="G34668" t="s">
        <v>15189</v>
      </c>
      <c r="H34668" t="s">
        <v>18863</v>
      </c>
    </row>
    <row r="34669" spans="6:8">
      <c r="H34669" t="s">
        <v>28711</v>
      </c>
    </row>
    <row r="34670" spans="6:8">
      <c r="H34670" t="s">
        <v>32543</v>
      </c>
    </row>
    <row r="34671" spans="6:8">
      <c r="H34671" t="s">
        <v>19019</v>
      </c>
    </row>
    <row r="34672" spans="6:8">
      <c r="F34672" t="s">
        <v>13940</v>
      </c>
      <c r="G34672" t="s">
        <v>15087</v>
      </c>
      <c r="H34672" t="s">
        <v>18863</v>
      </c>
    </row>
    <row r="34673" spans="1:8">
      <c r="H34673" t="s">
        <v>28711</v>
      </c>
    </row>
    <row r="34674" spans="1:8">
      <c r="H34674" t="s">
        <v>32543</v>
      </c>
    </row>
    <row r="34675" spans="1:8">
      <c r="H34675" t="s">
        <v>19019</v>
      </c>
    </row>
    <row r="34676" spans="1:8">
      <c r="F34676" t="s">
        <v>13958</v>
      </c>
      <c r="G34676" t="s">
        <v>17984</v>
      </c>
      <c r="H34676" t="s">
        <v>29835</v>
      </c>
    </row>
    <row r="34677" spans="1:8">
      <c r="A34677" t="s">
        <v>2651</v>
      </c>
      <c r="B34677">
        <f>HYPERLINK("https://android.googlesource.com/platform/cts/+/7176d662baf2a4d9648af6f8c33305bfe18089c3", "7176d662baf2a4d9648af6f8c33305bfe18089c3")</f>
        <v>0</v>
      </c>
      <c r="C34677">
        <f>HYPERLINK("https://android.googlesource.com/platform/cts/+/3e18b410e40da69cad59141be8890efa0b975f74", "3e18b410e40da69cad59141be8890efa0b975f74")</f>
        <v>0</v>
      </c>
      <c r="D34677" t="s">
        <v>5401</v>
      </c>
      <c r="E34677" t="s">
        <v>8382</v>
      </c>
      <c r="F34677" t="s">
        <v>10700</v>
      </c>
      <c r="G34677" t="s">
        <v>15100</v>
      </c>
      <c r="H34677" t="s">
        <v>32548</v>
      </c>
    </row>
    <row r="34678" spans="1:8">
      <c r="H34678" t="s">
        <v>32549</v>
      </c>
    </row>
    <row r="34679" spans="1:8">
      <c r="H34679" t="s">
        <v>32550</v>
      </c>
    </row>
    <row r="34680" spans="1:8">
      <c r="A34680" t="s">
        <v>2652</v>
      </c>
      <c r="B34680">
        <f>HYPERLINK("https://android.googlesource.com/platform/cts/+/35de32cfcdb0723b638c946ead9a150f69268bc2", "35de32cfcdb0723b638c946ead9a150f69268bc2")</f>
        <v>0</v>
      </c>
      <c r="C34680">
        <f>HYPERLINK("https://android.googlesource.com/platform/cts/+/64e9f5500752e8df16fe2cc3dedac53bdf364942", "64e9f5500752e8df16fe2cc3dedac53bdf364942")</f>
        <v>0</v>
      </c>
      <c r="D34680" t="s">
        <v>5401</v>
      </c>
      <c r="E34680" t="s">
        <v>8383</v>
      </c>
      <c r="F34680" t="s">
        <v>10700</v>
      </c>
      <c r="G34680" t="s">
        <v>15100</v>
      </c>
      <c r="H34680" t="s">
        <v>32548</v>
      </c>
    </row>
    <row r="34681" spans="1:8">
      <c r="H34681" t="s">
        <v>32549</v>
      </c>
    </row>
    <row r="34682" spans="1:8">
      <c r="H34682" t="s">
        <v>32550</v>
      </c>
    </row>
    <row r="34683" spans="1:8">
      <c r="A34683" t="s">
        <v>2653</v>
      </c>
      <c r="B34683">
        <f>HYPERLINK("https://android.googlesource.com/platform/cts/+/8480da8bf3684442dd7404f6e4e9431d610348b2", "8480da8bf3684442dd7404f6e4e9431d610348b2")</f>
        <v>0</v>
      </c>
      <c r="C34683">
        <f>HYPERLINK("https://android.googlesource.com/platform/cts/+/9dd7778dd32c4e4d27d009a2288484c64cb3b686", "9dd7778dd32c4e4d27d009a2288484c64cb3b686")</f>
        <v>0</v>
      </c>
      <c r="D34683" t="s">
        <v>5422</v>
      </c>
      <c r="E34683" t="s">
        <v>8384</v>
      </c>
      <c r="F34683" t="s">
        <v>12792</v>
      </c>
      <c r="G34683" t="s">
        <v>16975</v>
      </c>
      <c r="H34683" t="s">
        <v>32551</v>
      </c>
    </row>
    <row r="34684" spans="1:8">
      <c r="A34684" t="s">
        <v>2654</v>
      </c>
      <c r="B34684">
        <f>HYPERLINK("https://android.googlesource.com/platform/cts/+/8e331f2e02f5db83caafbca0e95d5a6a8c492775", "8e331f2e02f5db83caafbca0e95d5a6a8c492775")</f>
        <v>0</v>
      </c>
      <c r="C34684">
        <f>HYPERLINK("https://android.googlesource.com/platform/cts/+/f54230de93301df73d8fe0900cab16da4920e300", "f54230de93301df73d8fe0900cab16da4920e300")</f>
        <v>0</v>
      </c>
      <c r="D34684" t="s">
        <v>5416</v>
      </c>
      <c r="E34684" t="s">
        <v>8385</v>
      </c>
      <c r="F34684" t="s">
        <v>12673</v>
      </c>
      <c r="G34684" t="s">
        <v>16877</v>
      </c>
      <c r="H34684" t="s">
        <v>18863</v>
      </c>
    </row>
    <row r="34685" spans="1:8">
      <c r="H34685" t="s">
        <v>28711</v>
      </c>
    </row>
    <row r="34686" spans="1:8">
      <c r="H34686" t="s">
        <v>32543</v>
      </c>
    </row>
    <row r="34687" spans="1:8">
      <c r="H34687" t="s">
        <v>19019</v>
      </c>
    </row>
    <row r="34688" spans="1:8">
      <c r="F34688" t="s">
        <v>13956</v>
      </c>
      <c r="G34688" t="s">
        <v>17982</v>
      </c>
      <c r="H34688" t="s">
        <v>28711</v>
      </c>
    </row>
    <row r="34689" spans="6:8">
      <c r="H34689" t="s">
        <v>19019</v>
      </c>
    </row>
    <row r="34690" spans="6:8">
      <c r="F34690" t="s">
        <v>12674</v>
      </c>
      <c r="G34690" t="s">
        <v>16878</v>
      </c>
      <c r="H34690" t="s">
        <v>32544</v>
      </c>
    </row>
    <row r="34691" spans="6:8">
      <c r="H34691" t="s">
        <v>32545</v>
      </c>
    </row>
    <row r="34692" spans="6:8">
      <c r="F34692" t="s">
        <v>13934</v>
      </c>
      <c r="G34692" t="s">
        <v>17968</v>
      </c>
      <c r="H34692" t="s">
        <v>18863</v>
      </c>
    </row>
    <row r="34693" spans="6:8">
      <c r="H34693" t="s">
        <v>28711</v>
      </c>
    </row>
    <row r="34694" spans="6:8">
      <c r="H34694" t="s">
        <v>32543</v>
      </c>
    </row>
    <row r="34695" spans="6:8">
      <c r="H34695" t="s">
        <v>19019</v>
      </c>
    </row>
    <row r="34696" spans="6:8">
      <c r="F34696" t="s">
        <v>13935</v>
      </c>
      <c r="G34696" t="s">
        <v>17969</v>
      </c>
      <c r="H34696" t="s">
        <v>18863</v>
      </c>
    </row>
    <row r="34697" spans="6:8">
      <c r="H34697" t="s">
        <v>28711</v>
      </c>
    </row>
    <row r="34698" spans="6:8">
      <c r="H34698" t="s">
        <v>32543</v>
      </c>
    </row>
    <row r="34699" spans="6:8">
      <c r="H34699" t="s">
        <v>19019</v>
      </c>
    </row>
    <row r="34700" spans="6:8">
      <c r="F34700" t="s">
        <v>13957</v>
      </c>
      <c r="G34700" t="s">
        <v>17983</v>
      </c>
      <c r="H34700" t="s">
        <v>18863</v>
      </c>
    </row>
    <row r="34701" spans="6:8">
      <c r="H34701" t="s">
        <v>28711</v>
      </c>
    </row>
    <row r="34702" spans="6:8">
      <c r="H34702" t="s">
        <v>19019</v>
      </c>
    </row>
    <row r="34703" spans="6:8">
      <c r="F34703" t="s">
        <v>13936</v>
      </c>
      <c r="G34703" t="s">
        <v>17970</v>
      </c>
      <c r="H34703" t="s">
        <v>18863</v>
      </c>
    </row>
    <row r="34704" spans="6:8">
      <c r="H34704" t="s">
        <v>28711</v>
      </c>
    </row>
    <row r="34705" spans="6:8">
      <c r="H34705" t="s">
        <v>32543</v>
      </c>
    </row>
    <row r="34706" spans="6:8">
      <c r="H34706" t="s">
        <v>19019</v>
      </c>
    </row>
    <row r="34707" spans="6:8">
      <c r="F34707" t="s">
        <v>13231</v>
      </c>
      <c r="G34707" t="s">
        <v>15081</v>
      </c>
      <c r="H34707" t="s">
        <v>18863</v>
      </c>
    </row>
    <row r="34708" spans="6:8">
      <c r="H34708" t="s">
        <v>32543</v>
      </c>
    </row>
    <row r="34709" spans="6:8">
      <c r="H34709" t="s">
        <v>19019</v>
      </c>
    </row>
    <row r="34710" spans="6:8">
      <c r="F34710" t="s">
        <v>13937</v>
      </c>
      <c r="G34710" t="s">
        <v>17971</v>
      </c>
      <c r="H34710" t="s">
        <v>18863</v>
      </c>
    </row>
    <row r="34711" spans="6:8">
      <c r="H34711" t="s">
        <v>32546</v>
      </c>
    </row>
    <row r="34712" spans="6:8">
      <c r="H34712" t="s">
        <v>19019</v>
      </c>
    </row>
    <row r="34713" spans="6:8">
      <c r="F34713" t="s">
        <v>13938</v>
      </c>
      <c r="G34713" t="s">
        <v>17870</v>
      </c>
      <c r="H34713" t="s">
        <v>18953</v>
      </c>
    </row>
    <row r="34714" spans="6:8">
      <c r="H34714" t="s">
        <v>32547</v>
      </c>
    </row>
    <row r="34715" spans="6:8">
      <c r="F34715" t="s">
        <v>13939</v>
      </c>
      <c r="G34715" t="s">
        <v>15189</v>
      </c>
      <c r="H34715" t="s">
        <v>18863</v>
      </c>
    </row>
    <row r="34716" spans="6:8">
      <c r="H34716" t="s">
        <v>28711</v>
      </c>
    </row>
    <row r="34717" spans="6:8">
      <c r="H34717" t="s">
        <v>32543</v>
      </c>
    </row>
    <row r="34718" spans="6:8">
      <c r="H34718" t="s">
        <v>19019</v>
      </c>
    </row>
    <row r="34719" spans="6:8">
      <c r="F34719" t="s">
        <v>13940</v>
      </c>
      <c r="G34719" t="s">
        <v>15087</v>
      </c>
      <c r="H34719" t="s">
        <v>18863</v>
      </c>
    </row>
    <row r="34720" spans="6:8">
      <c r="H34720" t="s">
        <v>28711</v>
      </c>
    </row>
    <row r="34721" spans="1:8">
      <c r="H34721" t="s">
        <v>32543</v>
      </c>
    </row>
    <row r="34722" spans="1:8">
      <c r="H34722" t="s">
        <v>19019</v>
      </c>
    </row>
    <row r="34723" spans="1:8">
      <c r="F34723" t="s">
        <v>13958</v>
      </c>
      <c r="G34723" t="s">
        <v>17984</v>
      </c>
      <c r="H34723" t="s">
        <v>29835</v>
      </c>
    </row>
    <row r="34724" spans="1:8">
      <c r="A34724" t="s">
        <v>2655</v>
      </c>
      <c r="B34724">
        <f>HYPERLINK("https://android.googlesource.com/platform/cts/+/e5ffde0ef126f112431805cff0a2a8a2f17a45a4", "e5ffde0ef126f112431805cff0a2a8a2f17a45a4")</f>
        <v>0</v>
      </c>
      <c r="C34724">
        <f>HYPERLINK("https://android.googlesource.com/platform/cts/+/5af7db015fc2ac1a1499684cde3ebeb8491e093c", "5af7db015fc2ac1a1499684cde3ebeb8491e093c")</f>
        <v>0</v>
      </c>
      <c r="D34724" t="s">
        <v>5180</v>
      </c>
      <c r="E34724" t="s">
        <v>8386</v>
      </c>
      <c r="F34724" t="s">
        <v>13506</v>
      </c>
      <c r="G34724" t="s">
        <v>17623</v>
      </c>
      <c r="H34724" t="s">
        <v>30030</v>
      </c>
    </row>
    <row r="34725" spans="1:8">
      <c r="F34725" t="s">
        <v>13508</v>
      </c>
      <c r="G34725" t="s">
        <v>17625</v>
      </c>
      <c r="H34725" t="s">
        <v>32552</v>
      </c>
    </row>
    <row r="34726" spans="1:8">
      <c r="A34726" t="s">
        <v>2656</v>
      </c>
      <c r="B34726">
        <f>HYPERLINK("https://android.googlesource.com/platform/cts/+/70d4f1e1be3bd5839a23d71fb2e4342842ad21d1", "70d4f1e1be3bd5839a23d71fb2e4342842ad21d1")</f>
        <v>0</v>
      </c>
      <c r="C34726">
        <f>HYPERLINK("https://android.googlesource.com/platform/cts/+/2acd0cf5b13aaa50dc5db084c6904c69335e8c0c", "2acd0cf5b13aaa50dc5db084c6904c69335e8c0c")</f>
        <v>0</v>
      </c>
      <c r="D34726" t="s">
        <v>5135</v>
      </c>
      <c r="E34726" t="s">
        <v>8387</v>
      </c>
      <c r="F34726" t="s">
        <v>13959</v>
      </c>
      <c r="G34726" t="s">
        <v>17985</v>
      </c>
      <c r="H34726" t="s">
        <v>32553</v>
      </c>
    </row>
    <row r="34727" spans="1:8">
      <c r="A34727" t="s">
        <v>2657</v>
      </c>
      <c r="B34727">
        <f>HYPERLINK("https://android.googlesource.com/platform/cts/+/60effdd180c8a2fbd0f47c4d5a27b69de1fc893c", "60effdd180c8a2fbd0f47c4d5a27b69de1fc893c")</f>
        <v>0</v>
      </c>
      <c r="C34727">
        <f>HYPERLINK("https://android.googlesource.com/platform/cts/+/e90d5a3190f688e8906acd61547b416d4b69389f", "e90d5a3190f688e8906acd61547b416d4b69389f")</f>
        <v>0</v>
      </c>
      <c r="D34727" t="s">
        <v>5423</v>
      </c>
      <c r="E34727" t="s">
        <v>8388</v>
      </c>
      <c r="F34727" t="s">
        <v>13960</v>
      </c>
      <c r="G34727" t="s">
        <v>17986</v>
      </c>
      <c r="H34727" t="s">
        <v>32554</v>
      </c>
    </row>
    <row r="34728" spans="1:8">
      <c r="H34728" t="s">
        <v>32555</v>
      </c>
    </row>
    <row r="34729" spans="1:8">
      <c r="H34729" t="s">
        <v>32556</v>
      </c>
    </row>
    <row r="34730" spans="1:8">
      <c r="H34730" t="s">
        <v>32557</v>
      </c>
    </row>
    <row r="34731" spans="1:8">
      <c r="A34731" t="s">
        <v>2658</v>
      </c>
      <c r="B34731">
        <f>HYPERLINK("https://android.googlesource.com/platform/cts/+/aa64520329ab16ed7a223bc79ebff367401cb234", "aa64520329ab16ed7a223bc79ebff367401cb234")</f>
        <v>0</v>
      </c>
      <c r="C34731">
        <f>HYPERLINK("https://android.googlesource.com/platform/cts/+/eb51256a001838343d1e22b5ce810fb043584afd", "eb51256a001838343d1e22b5ce810fb043584afd")</f>
        <v>0</v>
      </c>
      <c r="D34731" t="s">
        <v>5360</v>
      </c>
      <c r="E34731" t="s">
        <v>8389</v>
      </c>
      <c r="F34731" t="s">
        <v>13961</v>
      </c>
      <c r="G34731" t="s">
        <v>17987</v>
      </c>
      <c r="H34731" t="s">
        <v>32558</v>
      </c>
    </row>
    <row r="34732" spans="1:8">
      <c r="A34732" t="s">
        <v>2659</v>
      </c>
      <c r="B34732">
        <f>HYPERLINK("https://android.googlesource.com/platform/cts/+/a9460ac4994ebc6e7bd4c50777555aa60bb7d2d4", "a9460ac4994ebc6e7bd4c50777555aa60bb7d2d4")</f>
        <v>0</v>
      </c>
      <c r="C34732">
        <f>HYPERLINK("https://android.googlesource.com/platform/cts/+/1c02bcf586e76579da59edfcf9aab5d5111c67fb", "1c02bcf586e76579da59edfcf9aab5d5111c67fb")</f>
        <v>0</v>
      </c>
      <c r="D34732" t="s">
        <v>5424</v>
      </c>
      <c r="E34732" t="s">
        <v>8390</v>
      </c>
      <c r="F34732" t="s">
        <v>13962</v>
      </c>
      <c r="G34732" t="s">
        <v>17988</v>
      </c>
      <c r="H34732" t="s">
        <v>32559</v>
      </c>
    </row>
    <row r="34733" spans="1:8">
      <c r="A34733" t="s">
        <v>2660</v>
      </c>
      <c r="B34733">
        <f>HYPERLINK("https://android.googlesource.com/platform/cts/+/e46f6dbede5c2b328d3edbc53fecb8f880e45eee", "e46f6dbede5c2b328d3edbc53fecb8f880e45eee")</f>
        <v>0</v>
      </c>
      <c r="C34733">
        <f>HYPERLINK("https://android.googlesource.com/platform/cts/+/aa64520329ab16ed7a223bc79ebff367401cb234", "aa64520329ab16ed7a223bc79ebff367401cb234")</f>
        <v>0</v>
      </c>
      <c r="D34733" t="s">
        <v>5425</v>
      </c>
      <c r="E34733" t="s">
        <v>8391</v>
      </c>
      <c r="F34733" t="s">
        <v>13961</v>
      </c>
      <c r="G34733" t="s">
        <v>17987</v>
      </c>
      <c r="H34733" t="s">
        <v>32560</v>
      </c>
    </row>
    <row r="34734" spans="1:8">
      <c r="A34734" t="s">
        <v>2661</v>
      </c>
      <c r="B34734">
        <f>HYPERLINK("https://android.googlesource.com/platform/cts/+/70061b03d375703fe051ab024b9e89479bc9160c", "70061b03d375703fe051ab024b9e89479bc9160c")</f>
        <v>0</v>
      </c>
      <c r="C34734">
        <f>HYPERLINK("https://android.googlesource.com/platform/cts/+/260dd6f1d1029e5997a4feecacc459b95f02eda0", "260dd6f1d1029e5997a4feecacc459b95f02eda0")</f>
        <v>0</v>
      </c>
      <c r="D34734" t="s">
        <v>5426</v>
      </c>
      <c r="E34734" t="s">
        <v>8391</v>
      </c>
      <c r="F34734" t="s">
        <v>13961</v>
      </c>
      <c r="G34734" t="s">
        <v>17987</v>
      </c>
      <c r="H34734" t="s">
        <v>32560</v>
      </c>
    </row>
    <row r="34735" spans="1:8">
      <c r="A34735" t="s">
        <v>2662</v>
      </c>
      <c r="B34735">
        <f>HYPERLINK("https://android.googlesource.com/platform/cts/+/fbc3f35b755c750a3990ff041bfefccf021d1b4b", "fbc3f35b755c750a3990ff041bfefccf021d1b4b")</f>
        <v>0</v>
      </c>
      <c r="C34735">
        <f>HYPERLINK("https://android.googlesource.com/platform/cts/+/823eaf3b7a4158e5181ec34aafecb0b5af11e0fc", "823eaf3b7a4158e5181ec34aafecb0b5af11e0fc")</f>
        <v>0</v>
      </c>
      <c r="D34735" t="s">
        <v>5427</v>
      </c>
      <c r="E34735" t="s">
        <v>8392</v>
      </c>
      <c r="F34735" t="s">
        <v>12821</v>
      </c>
      <c r="G34735" t="s">
        <v>17000</v>
      </c>
      <c r="H34735" t="s">
        <v>32561</v>
      </c>
    </row>
    <row r="34736" spans="1:8">
      <c r="H34736" t="s">
        <v>32562</v>
      </c>
    </row>
    <row r="34737" spans="1:8">
      <c r="H34737" t="s">
        <v>22272</v>
      </c>
    </row>
    <row r="34738" spans="1:8">
      <c r="H34738" t="s">
        <v>32563</v>
      </c>
    </row>
    <row r="34739" spans="1:8">
      <c r="H34739" t="s">
        <v>32563</v>
      </c>
    </row>
    <row r="34740" spans="1:8">
      <c r="A34740" t="s">
        <v>2663</v>
      </c>
      <c r="B34740">
        <f>HYPERLINK("https://android.googlesource.com/platform/cts/+/ea90509e1fbf5b2d98c5d2466a041b7709fe9972", "ea90509e1fbf5b2d98c5d2466a041b7709fe9972")</f>
        <v>0</v>
      </c>
      <c r="C34740">
        <f>HYPERLINK("https://android.googlesource.com/platform/cts/+/2486a1bae89ba333aba01744952f07f65e7b4ad7", "2486a1bae89ba333aba01744952f07f65e7b4ad7")</f>
        <v>0</v>
      </c>
      <c r="D34740" t="s">
        <v>5364</v>
      </c>
      <c r="E34740" t="s">
        <v>8393</v>
      </c>
      <c r="F34740" t="s">
        <v>13277</v>
      </c>
      <c r="G34740" t="s">
        <v>17414</v>
      </c>
      <c r="H34740" t="s">
        <v>18863</v>
      </c>
    </row>
    <row r="34741" spans="1:8">
      <c r="F34741" t="s">
        <v>13963</v>
      </c>
      <c r="G34741" t="s">
        <v>16440</v>
      </c>
      <c r="H34741" t="s">
        <v>18829</v>
      </c>
    </row>
    <row r="34742" spans="1:8">
      <c r="H34742" t="s">
        <v>18863</v>
      </c>
    </row>
    <row r="34743" spans="1:8">
      <c r="F34743" t="s">
        <v>13964</v>
      </c>
      <c r="G34743" t="s">
        <v>17989</v>
      </c>
      <c r="H34743" t="s">
        <v>18863</v>
      </c>
    </row>
    <row r="34744" spans="1:8">
      <c r="F34744" t="s">
        <v>13318</v>
      </c>
      <c r="G34744" t="s">
        <v>17449</v>
      </c>
      <c r="H34744" t="s">
        <v>18863</v>
      </c>
    </row>
    <row r="34745" spans="1:8">
      <c r="F34745" t="s">
        <v>13800</v>
      </c>
      <c r="G34745" t="s">
        <v>17851</v>
      </c>
      <c r="H34745" t="s">
        <v>18863</v>
      </c>
    </row>
    <row r="34746" spans="1:8">
      <c r="F34746" t="s">
        <v>12821</v>
      </c>
      <c r="G34746" t="s">
        <v>17000</v>
      </c>
      <c r="H34746" t="s">
        <v>18863</v>
      </c>
    </row>
    <row r="34747" spans="1:8">
      <c r="F34747" t="s">
        <v>13965</v>
      </c>
      <c r="G34747" t="s">
        <v>17990</v>
      </c>
      <c r="H34747" t="s">
        <v>18863</v>
      </c>
    </row>
    <row r="34748" spans="1:8">
      <c r="F34748" t="s">
        <v>13966</v>
      </c>
      <c r="G34748" t="s">
        <v>17991</v>
      </c>
      <c r="H34748" t="s">
        <v>18863</v>
      </c>
    </row>
    <row r="34749" spans="1:8">
      <c r="F34749" t="s">
        <v>12839</v>
      </c>
      <c r="G34749" t="s">
        <v>17014</v>
      </c>
      <c r="H34749" t="s">
        <v>18863</v>
      </c>
    </row>
    <row r="34750" spans="1:8">
      <c r="F34750" t="s">
        <v>13924</v>
      </c>
      <c r="G34750" t="s">
        <v>17960</v>
      </c>
      <c r="H34750" t="s">
        <v>18863</v>
      </c>
    </row>
    <row r="34751" spans="1:8">
      <c r="A34751" t="s">
        <v>2664</v>
      </c>
      <c r="B34751">
        <f>HYPERLINK("https://android.googlesource.com/platform/cts/+/fc3b51264a555a380a1991a876ab8765db8fe2fb", "fc3b51264a555a380a1991a876ab8765db8fe2fb")</f>
        <v>0</v>
      </c>
      <c r="C34751">
        <f>HYPERLINK("https://android.googlesource.com/platform/cts/+/f52a40c520c29a2cc63df5bf74e1df47c0bca679", "f52a40c520c29a2cc63df5bf74e1df47c0bca679")</f>
        <v>0</v>
      </c>
      <c r="D34751" t="s">
        <v>5360</v>
      </c>
      <c r="E34751" t="s">
        <v>8394</v>
      </c>
      <c r="F34751" t="s">
        <v>13961</v>
      </c>
      <c r="G34751" t="s">
        <v>17987</v>
      </c>
      <c r="H34751" t="s">
        <v>32558</v>
      </c>
    </row>
    <row r="34752" spans="1:8">
      <c r="A34752" t="s">
        <v>2665</v>
      </c>
      <c r="B34752">
        <f>HYPERLINK("https://android.googlesource.com/platform/cts/+/f03888ea13c53951d19cc2ac8fb1e41213cb010c", "f03888ea13c53951d19cc2ac8fb1e41213cb010c")</f>
        <v>0</v>
      </c>
      <c r="C34752">
        <f>HYPERLINK("https://android.googlesource.com/platform/cts/+/427983fa237d38afae6138137bc9f38762ef1fbb", "427983fa237d38afae6138137bc9f38762ef1fbb")</f>
        <v>0</v>
      </c>
      <c r="D34752" t="s">
        <v>5310</v>
      </c>
      <c r="E34752" t="s">
        <v>8395</v>
      </c>
      <c r="F34752" t="s">
        <v>13967</v>
      </c>
      <c r="G34752" t="s">
        <v>17992</v>
      </c>
      <c r="H34752" t="s">
        <v>32564</v>
      </c>
    </row>
    <row r="34753" spans="1:8">
      <c r="A34753" t="s">
        <v>2666</v>
      </c>
      <c r="B34753">
        <f>HYPERLINK("https://android.googlesource.com/platform/cts/+/43b9b35b191186be7eeaac1ad058385cb16174e4", "43b9b35b191186be7eeaac1ad058385cb16174e4")</f>
        <v>0</v>
      </c>
      <c r="C34753">
        <f>HYPERLINK("https://android.googlesource.com/platform/cts/+/8a224c44a762aec10c3a78bb0e7840cc38c6aca0", "8a224c44a762aec10c3a78bb0e7840cc38c6aca0")</f>
        <v>0</v>
      </c>
      <c r="D34753" t="s">
        <v>5189</v>
      </c>
      <c r="E34753" t="s">
        <v>8396</v>
      </c>
      <c r="F34753" t="s">
        <v>12419</v>
      </c>
      <c r="G34753" t="s">
        <v>16641</v>
      </c>
      <c r="H34753" t="s">
        <v>18829</v>
      </c>
    </row>
    <row r="34754" spans="1:8">
      <c r="H34754" t="s">
        <v>32565</v>
      </c>
    </row>
    <row r="34755" spans="1:8">
      <c r="H34755" t="s">
        <v>18863</v>
      </c>
    </row>
    <row r="34756" spans="1:8">
      <c r="H34756" t="s">
        <v>32566</v>
      </c>
    </row>
    <row r="34757" spans="1:8">
      <c r="H34757" t="s">
        <v>32567</v>
      </c>
    </row>
    <row r="34758" spans="1:8">
      <c r="H34758" t="s">
        <v>32568</v>
      </c>
    </row>
    <row r="34759" spans="1:8">
      <c r="H34759" t="s">
        <v>22581</v>
      </c>
    </row>
    <row r="34760" spans="1:8">
      <c r="H34760" t="s">
        <v>32569</v>
      </c>
    </row>
    <row r="34761" spans="1:8">
      <c r="H34761" t="s">
        <v>30867</v>
      </c>
    </row>
    <row r="34762" spans="1:8">
      <c r="H34762" t="s">
        <v>32570</v>
      </c>
    </row>
    <row r="34763" spans="1:8">
      <c r="H34763" t="s">
        <v>32571</v>
      </c>
    </row>
    <row r="34764" spans="1:8">
      <c r="H34764" t="s">
        <v>32572</v>
      </c>
    </row>
    <row r="34765" spans="1:8">
      <c r="H34765" t="s">
        <v>32573</v>
      </c>
    </row>
    <row r="34766" spans="1:8">
      <c r="H34766" t="s">
        <v>32574</v>
      </c>
    </row>
    <row r="34767" spans="1:8">
      <c r="H34767" t="s">
        <v>32575</v>
      </c>
    </row>
    <row r="34768" spans="1:8">
      <c r="H34768" t="s">
        <v>32576</v>
      </c>
    </row>
    <row r="34769" spans="8:8">
      <c r="H34769" t="s">
        <v>32577</v>
      </c>
    </row>
    <row r="34770" spans="8:8">
      <c r="H34770" t="s">
        <v>32578</v>
      </c>
    </row>
    <row r="34771" spans="8:8">
      <c r="H34771" t="s">
        <v>32579</v>
      </c>
    </row>
    <row r="34772" spans="8:8">
      <c r="H34772" t="s">
        <v>32580</v>
      </c>
    </row>
    <row r="34773" spans="8:8">
      <c r="H34773" t="s">
        <v>22583</v>
      </c>
    </row>
    <row r="34774" spans="8:8">
      <c r="H34774" t="s">
        <v>32581</v>
      </c>
    </row>
    <row r="34775" spans="8:8">
      <c r="H34775" t="s">
        <v>32582</v>
      </c>
    </row>
    <row r="34776" spans="8:8">
      <c r="H34776" t="s">
        <v>32583</v>
      </c>
    </row>
    <row r="34777" spans="8:8">
      <c r="H34777" t="s">
        <v>32584</v>
      </c>
    </row>
    <row r="34778" spans="8:8">
      <c r="H34778" t="s">
        <v>32585</v>
      </c>
    </row>
    <row r="34779" spans="8:8">
      <c r="H34779" t="s">
        <v>32586</v>
      </c>
    </row>
    <row r="34780" spans="8:8">
      <c r="H34780" t="s">
        <v>32587</v>
      </c>
    </row>
    <row r="34781" spans="8:8">
      <c r="H34781" t="s">
        <v>32588</v>
      </c>
    </row>
    <row r="34782" spans="8:8">
      <c r="H34782" t="s">
        <v>32589</v>
      </c>
    </row>
    <row r="34783" spans="8:8">
      <c r="H34783" t="s">
        <v>32590</v>
      </c>
    </row>
    <row r="34784" spans="8:8">
      <c r="H34784" t="s">
        <v>32591</v>
      </c>
    </row>
    <row r="34785" spans="8:8">
      <c r="H34785" t="s">
        <v>32592</v>
      </c>
    </row>
    <row r="34786" spans="8:8">
      <c r="H34786" t="s">
        <v>32593</v>
      </c>
    </row>
    <row r="34787" spans="8:8">
      <c r="H34787" t="s">
        <v>32594</v>
      </c>
    </row>
    <row r="34788" spans="8:8">
      <c r="H34788" t="s">
        <v>32595</v>
      </c>
    </row>
    <row r="34789" spans="8:8">
      <c r="H34789" t="s">
        <v>32596</v>
      </c>
    </row>
    <row r="34790" spans="8:8">
      <c r="H34790" t="s">
        <v>32597</v>
      </c>
    </row>
    <row r="34791" spans="8:8">
      <c r="H34791" t="s">
        <v>32598</v>
      </c>
    </row>
    <row r="34792" spans="8:8">
      <c r="H34792" t="s">
        <v>32599</v>
      </c>
    </row>
    <row r="34793" spans="8:8">
      <c r="H34793" t="s">
        <v>32600</v>
      </c>
    </row>
    <row r="34794" spans="8:8">
      <c r="H34794" t="s">
        <v>32601</v>
      </c>
    </row>
    <row r="34795" spans="8:8">
      <c r="H34795" t="s">
        <v>32602</v>
      </c>
    </row>
    <row r="34796" spans="8:8">
      <c r="H34796" t="s">
        <v>32603</v>
      </c>
    </row>
    <row r="34797" spans="8:8">
      <c r="H34797" t="s">
        <v>32604</v>
      </c>
    </row>
    <row r="34798" spans="8:8">
      <c r="H34798" t="s">
        <v>32605</v>
      </c>
    </row>
    <row r="34799" spans="8:8">
      <c r="H34799" t="s">
        <v>32606</v>
      </c>
    </row>
    <row r="34800" spans="8:8">
      <c r="H34800" t="s">
        <v>32607</v>
      </c>
    </row>
    <row r="34801" spans="8:8">
      <c r="H34801" t="s">
        <v>32608</v>
      </c>
    </row>
    <row r="34802" spans="8:8">
      <c r="H34802" t="s">
        <v>32609</v>
      </c>
    </row>
    <row r="34803" spans="8:8">
      <c r="H34803" t="s">
        <v>32610</v>
      </c>
    </row>
    <row r="34804" spans="8:8">
      <c r="H34804" t="s">
        <v>32611</v>
      </c>
    </row>
    <row r="34805" spans="8:8">
      <c r="H34805" t="s">
        <v>32612</v>
      </c>
    </row>
    <row r="34806" spans="8:8">
      <c r="H34806" t="s">
        <v>32613</v>
      </c>
    </row>
    <row r="34807" spans="8:8">
      <c r="H34807" t="s">
        <v>32614</v>
      </c>
    </row>
    <row r="34808" spans="8:8">
      <c r="H34808" t="s">
        <v>32615</v>
      </c>
    </row>
    <row r="34809" spans="8:8">
      <c r="H34809" t="s">
        <v>32616</v>
      </c>
    </row>
    <row r="34810" spans="8:8">
      <c r="H34810" t="s">
        <v>22584</v>
      </c>
    </row>
    <row r="34811" spans="8:8">
      <c r="H34811" t="s">
        <v>32617</v>
      </c>
    </row>
    <row r="34812" spans="8:8">
      <c r="H34812" t="s">
        <v>32618</v>
      </c>
    </row>
    <row r="34813" spans="8:8">
      <c r="H34813" t="s">
        <v>32619</v>
      </c>
    </row>
    <row r="34814" spans="8:8">
      <c r="H34814" t="s">
        <v>32620</v>
      </c>
    </row>
    <row r="34815" spans="8:8">
      <c r="H34815" t="s">
        <v>32621</v>
      </c>
    </row>
    <row r="34816" spans="8:8">
      <c r="H34816" t="s">
        <v>22591</v>
      </c>
    </row>
    <row r="34817" spans="1:8">
      <c r="H34817" t="s">
        <v>32622</v>
      </c>
    </row>
    <row r="34818" spans="1:8">
      <c r="H34818" t="s">
        <v>32623</v>
      </c>
    </row>
    <row r="34819" spans="1:8">
      <c r="H34819" t="s">
        <v>32624</v>
      </c>
    </row>
    <row r="34820" spans="1:8">
      <c r="H34820" t="s">
        <v>32625</v>
      </c>
    </row>
    <row r="34821" spans="1:8">
      <c r="H34821" t="s">
        <v>32626</v>
      </c>
    </row>
    <row r="34822" spans="1:8">
      <c r="H34822" t="s">
        <v>32627</v>
      </c>
    </row>
    <row r="34823" spans="1:8">
      <c r="A34823" t="s">
        <v>2667</v>
      </c>
      <c r="B34823">
        <f>HYPERLINK("https://android.googlesource.com/platform/cts/+/8053390dee6b5e422628c63943ca71c944af248a", "8053390dee6b5e422628c63943ca71c944af248a")</f>
        <v>0</v>
      </c>
      <c r="C34823">
        <f>HYPERLINK("https://android.googlesource.com/platform/cts/+/d7e6432474cbf27d521fd1e0634d0054ac02cf1f", "d7e6432474cbf27d521fd1e0634d0054ac02cf1f")</f>
        <v>0</v>
      </c>
      <c r="D34823" t="s">
        <v>5350</v>
      </c>
      <c r="E34823" t="s">
        <v>8397</v>
      </c>
      <c r="F34823" t="s">
        <v>13711</v>
      </c>
      <c r="G34823" t="s">
        <v>17779</v>
      </c>
      <c r="H34823" t="s">
        <v>19233</v>
      </c>
    </row>
    <row r="34824" spans="1:8">
      <c r="H34824" t="s">
        <v>19232</v>
      </c>
    </row>
    <row r="34825" spans="1:8">
      <c r="A34825" t="s">
        <v>2668</v>
      </c>
      <c r="B34825">
        <f>HYPERLINK("https://android.googlesource.com/platform/cts/+/756988f11c10eff5db6cb3f73890f38df29de9a6", "756988f11c10eff5db6cb3f73890f38df29de9a6")</f>
        <v>0</v>
      </c>
      <c r="C34825">
        <f>HYPERLINK("https://android.googlesource.com/platform/cts/+/1cee75d960368f15fa11f0a298ff1fec87d2623f", "1cee75d960368f15fa11f0a298ff1fec87d2623f")</f>
        <v>0</v>
      </c>
      <c r="D34825" t="s">
        <v>5375</v>
      </c>
      <c r="E34825" t="s">
        <v>8398</v>
      </c>
      <c r="F34825" t="s">
        <v>10664</v>
      </c>
      <c r="G34825" t="s">
        <v>15065</v>
      </c>
      <c r="H34825" t="s">
        <v>32628</v>
      </c>
    </row>
    <row r="34826" spans="1:8">
      <c r="A34826" t="s">
        <v>2669</v>
      </c>
      <c r="B34826">
        <f>HYPERLINK("https://android.googlesource.com/platform/cts/+/10f682a8362d0207d15b96f774977f6a66787388", "10f682a8362d0207d15b96f774977f6a66787388")</f>
        <v>0</v>
      </c>
      <c r="C34826">
        <f>HYPERLINK("https://android.googlesource.com/platform/cts/+/860de6a8cd06d919b12baa761fb05a43e93545df", "860de6a8cd06d919b12baa761fb05a43e93545df")</f>
        <v>0</v>
      </c>
      <c r="D34826" t="s">
        <v>5428</v>
      </c>
      <c r="E34826" t="s">
        <v>8399</v>
      </c>
      <c r="F34826" t="s">
        <v>13968</v>
      </c>
      <c r="G34826" t="s">
        <v>17993</v>
      </c>
      <c r="H34826" t="s">
        <v>32629</v>
      </c>
    </row>
    <row r="34827" spans="1:8">
      <c r="A34827" t="s">
        <v>2670</v>
      </c>
      <c r="B34827">
        <f>HYPERLINK("https://android.googlesource.com/platform/cts/+/920e05bd533c99805c9b216da78adaaba239689b", "920e05bd533c99805c9b216da78adaaba239689b")</f>
        <v>0</v>
      </c>
      <c r="C34827">
        <f>HYPERLINK("https://android.googlesource.com/platform/cts/+/c7dd9e5bcf31767b3f5db3bac8e006945dce8d10", "c7dd9e5bcf31767b3f5db3bac8e006945dce8d10")</f>
        <v>0</v>
      </c>
      <c r="D34827" t="s">
        <v>5429</v>
      </c>
      <c r="E34827" t="s">
        <v>8400</v>
      </c>
      <c r="F34827" t="s">
        <v>13865</v>
      </c>
      <c r="G34827" t="s">
        <v>17905</v>
      </c>
      <c r="H34827" t="s">
        <v>32630</v>
      </c>
    </row>
    <row r="34828" spans="1:8">
      <c r="H34828" t="s">
        <v>32631</v>
      </c>
    </row>
    <row r="34829" spans="1:8">
      <c r="H34829" t="s">
        <v>32632</v>
      </c>
    </row>
    <row r="34830" spans="1:8">
      <c r="H34830" t="s">
        <v>32633</v>
      </c>
    </row>
    <row r="34831" spans="1:8">
      <c r="H34831" t="s">
        <v>32634</v>
      </c>
    </row>
    <row r="34832" spans="1:8">
      <c r="H34832" t="s">
        <v>32635</v>
      </c>
    </row>
    <row r="34833" spans="1:8">
      <c r="H34833" t="s">
        <v>32636</v>
      </c>
    </row>
    <row r="34834" spans="1:8">
      <c r="H34834" t="s">
        <v>32637</v>
      </c>
    </row>
    <row r="34835" spans="1:8">
      <c r="H34835" t="s">
        <v>19972</v>
      </c>
    </row>
    <row r="34836" spans="1:8">
      <c r="A34836" t="s">
        <v>2671</v>
      </c>
      <c r="B34836">
        <f>HYPERLINK("https://android.googlesource.com/platform/cts/+/c027c3457e58ae1f954613c6f1918ab87139c5b0", "c027c3457e58ae1f954613c6f1918ab87139c5b0")</f>
        <v>0</v>
      </c>
      <c r="C34836">
        <f>HYPERLINK("https://android.googlesource.com/platform/cts/+/ef192a79f3ef7002a999aa0e4d630dff44c27b36", "ef192a79f3ef7002a999aa0e4d630dff44c27b36")</f>
        <v>0</v>
      </c>
      <c r="D34836" t="s">
        <v>5430</v>
      </c>
      <c r="E34836" t="s">
        <v>8401</v>
      </c>
      <c r="F34836" t="s">
        <v>13969</v>
      </c>
      <c r="G34836" t="s">
        <v>17994</v>
      </c>
      <c r="H34836" t="s">
        <v>18863</v>
      </c>
    </row>
    <row r="34837" spans="1:8">
      <c r="A34837" t="s">
        <v>2672</v>
      </c>
      <c r="B34837">
        <f>HYPERLINK("https://android.googlesource.com/platform/cts/+/7bd0b59309e66f363434226dca7a85eaab457f38", "7bd0b59309e66f363434226dca7a85eaab457f38")</f>
        <v>0</v>
      </c>
      <c r="C34837">
        <f>HYPERLINK("https://android.googlesource.com/platform/cts/+/9a25299173fae21e52e3d49e7a00c2d1ea56a2c9", "9a25299173fae21e52e3d49e7a00c2d1ea56a2c9")</f>
        <v>0</v>
      </c>
      <c r="D34837" t="s">
        <v>5148</v>
      </c>
      <c r="E34837" t="s">
        <v>8402</v>
      </c>
      <c r="F34837" t="s">
        <v>13718</v>
      </c>
      <c r="G34837" t="s">
        <v>17785</v>
      </c>
      <c r="H34837" t="s">
        <v>32638</v>
      </c>
    </row>
    <row r="34838" spans="1:8">
      <c r="A34838" t="s">
        <v>2673</v>
      </c>
      <c r="B34838">
        <f>HYPERLINK("https://android.googlesource.com/platform/cts/+/de9187f01aaeae8b9ca15f699fed78252efd6a8c", "de9187f01aaeae8b9ca15f699fed78252efd6a8c")</f>
        <v>0</v>
      </c>
      <c r="C34838">
        <f>HYPERLINK("https://android.googlesource.com/platform/cts/+/0e1a4781f1b4304ce994540738b5d2585d66218c", "0e1a4781f1b4304ce994540738b5d2585d66218c")</f>
        <v>0</v>
      </c>
      <c r="D34838" t="s">
        <v>5429</v>
      </c>
      <c r="E34838" t="s">
        <v>8403</v>
      </c>
      <c r="F34838" t="s">
        <v>13970</v>
      </c>
      <c r="G34838" t="s">
        <v>17995</v>
      </c>
      <c r="H34838" t="s">
        <v>32639</v>
      </c>
    </row>
    <row r="34839" spans="1:8">
      <c r="H34839" t="s">
        <v>32630</v>
      </c>
    </row>
    <row r="34840" spans="1:8">
      <c r="H34840" t="s">
        <v>32640</v>
      </c>
    </row>
    <row r="34841" spans="1:8">
      <c r="H34841" t="s">
        <v>32636</v>
      </c>
    </row>
    <row r="34842" spans="1:8">
      <c r="F34842" t="s">
        <v>13846</v>
      </c>
      <c r="G34842" t="s">
        <v>17889</v>
      </c>
      <c r="H34842" t="s">
        <v>32639</v>
      </c>
    </row>
    <row r="34843" spans="1:8">
      <c r="H34843" t="s">
        <v>32641</v>
      </c>
    </row>
    <row r="34844" spans="1:8">
      <c r="H34844" t="s">
        <v>32641</v>
      </c>
    </row>
    <row r="34845" spans="1:8">
      <c r="H34845" t="s">
        <v>32642</v>
      </c>
    </row>
    <row r="34846" spans="1:8">
      <c r="H34846" t="s">
        <v>19972</v>
      </c>
    </row>
    <row r="34847" spans="1:8">
      <c r="A34847" t="s">
        <v>2674</v>
      </c>
      <c r="B34847">
        <f>HYPERLINK("https://android.googlesource.com/platform/cts/+/b98afcade88ba8a25a7e7a68404d6cad6311ab9d", "b98afcade88ba8a25a7e7a68404d6cad6311ab9d")</f>
        <v>0</v>
      </c>
      <c r="C34847">
        <f>HYPERLINK("https://android.googlesource.com/platform/cts/+/b5f5cf97c810b0ee41fc5c7f7ba696de01419292", "b5f5cf97c810b0ee41fc5c7f7ba696de01419292")</f>
        <v>0</v>
      </c>
      <c r="D34847" t="s">
        <v>5430</v>
      </c>
      <c r="E34847" t="s">
        <v>8404</v>
      </c>
      <c r="F34847" t="s">
        <v>13969</v>
      </c>
      <c r="G34847" t="s">
        <v>17994</v>
      </c>
      <c r="H34847" t="s">
        <v>18863</v>
      </c>
    </row>
    <row r="34848" spans="1:8">
      <c r="A34848" t="s">
        <v>2675</v>
      </c>
      <c r="B34848">
        <f>HYPERLINK("https://android.googlesource.com/platform/cts/+/8bdd176fd50c6eba80893170a428f2fb945409d4", "8bdd176fd50c6eba80893170a428f2fb945409d4")</f>
        <v>0</v>
      </c>
      <c r="C34848">
        <f>HYPERLINK("https://android.googlesource.com/platform/cts/+/1ce66e2fe809eda44013fc3aabfe48ca7af3c170", "1ce66e2fe809eda44013fc3aabfe48ca7af3c170")</f>
        <v>0</v>
      </c>
      <c r="D34848" t="s">
        <v>5134</v>
      </c>
      <c r="E34848" t="s">
        <v>8405</v>
      </c>
      <c r="F34848" t="s">
        <v>12673</v>
      </c>
      <c r="G34848" t="s">
        <v>16877</v>
      </c>
      <c r="H34848" t="s">
        <v>18829</v>
      </c>
    </row>
    <row r="34849" spans="1:8">
      <c r="F34849" t="s">
        <v>13956</v>
      </c>
      <c r="G34849" t="s">
        <v>17982</v>
      </c>
      <c r="H34849" t="s">
        <v>18829</v>
      </c>
    </row>
    <row r="34850" spans="1:8">
      <c r="H34850" t="s">
        <v>18863</v>
      </c>
    </row>
    <row r="34851" spans="1:8">
      <c r="F34851" t="s">
        <v>12674</v>
      </c>
      <c r="G34851" t="s">
        <v>16878</v>
      </c>
      <c r="H34851" t="s">
        <v>18829</v>
      </c>
    </row>
    <row r="34852" spans="1:8">
      <c r="H34852" t="s">
        <v>18863</v>
      </c>
    </row>
    <row r="34853" spans="1:8">
      <c r="F34853" t="s">
        <v>13934</v>
      </c>
      <c r="G34853" t="s">
        <v>17968</v>
      </c>
      <c r="H34853" t="s">
        <v>18829</v>
      </c>
    </row>
    <row r="34854" spans="1:8">
      <c r="F34854" t="s">
        <v>13935</v>
      </c>
      <c r="G34854" t="s">
        <v>17969</v>
      </c>
      <c r="H34854" t="s">
        <v>18829</v>
      </c>
    </row>
    <row r="34855" spans="1:8">
      <c r="F34855" t="s">
        <v>13957</v>
      </c>
      <c r="G34855" t="s">
        <v>17983</v>
      </c>
      <c r="H34855" t="s">
        <v>18829</v>
      </c>
    </row>
    <row r="34856" spans="1:8">
      <c r="F34856" t="s">
        <v>13936</v>
      </c>
      <c r="G34856" t="s">
        <v>17970</v>
      </c>
      <c r="H34856" t="s">
        <v>18829</v>
      </c>
    </row>
    <row r="34857" spans="1:8">
      <c r="F34857" t="s">
        <v>13231</v>
      </c>
      <c r="G34857" t="s">
        <v>15081</v>
      </c>
      <c r="H34857" t="s">
        <v>18829</v>
      </c>
    </row>
    <row r="34858" spans="1:8">
      <c r="F34858" t="s">
        <v>13937</v>
      </c>
      <c r="G34858" t="s">
        <v>17971</v>
      </c>
      <c r="H34858" t="s">
        <v>18829</v>
      </c>
    </row>
    <row r="34859" spans="1:8">
      <c r="F34859" t="s">
        <v>13939</v>
      </c>
      <c r="G34859" t="s">
        <v>15189</v>
      </c>
      <c r="H34859" t="s">
        <v>18829</v>
      </c>
    </row>
    <row r="34860" spans="1:8">
      <c r="F34860" t="s">
        <v>13940</v>
      </c>
      <c r="G34860" t="s">
        <v>15087</v>
      </c>
      <c r="H34860" t="s">
        <v>18829</v>
      </c>
    </row>
    <row r="34861" spans="1:8">
      <c r="A34861" t="s">
        <v>2676</v>
      </c>
      <c r="B34861">
        <f>HYPERLINK("https://android.googlesource.com/platform/cts/+/61fff8c371dba843aaa870a36478603b3985b720", "61fff8c371dba843aaa870a36478603b3985b720")</f>
        <v>0</v>
      </c>
      <c r="C34861">
        <f>HYPERLINK("https://android.googlesource.com/platform/cts/+/4b7a0d79a6b8d8af33a8586d77d16ae3dc7adf3c", "4b7a0d79a6b8d8af33a8586d77d16ae3dc7adf3c")</f>
        <v>0</v>
      </c>
      <c r="D34861" t="s">
        <v>5431</v>
      </c>
      <c r="E34861" t="s">
        <v>8406</v>
      </c>
      <c r="F34861" t="s">
        <v>13228</v>
      </c>
      <c r="G34861" t="s">
        <v>17369</v>
      </c>
      <c r="H34861" t="s">
        <v>32643</v>
      </c>
    </row>
    <row r="34862" spans="1:8">
      <c r="H34862" t="s">
        <v>32644</v>
      </c>
    </row>
    <row r="34863" spans="1:8">
      <c r="H34863" t="s">
        <v>32645</v>
      </c>
    </row>
    <row r="34864" spans="1:8">
      <c r="F34864" t="s">
        <v>12629</v>
      </c>
      <c r="G34864" t="s">
        <v>16838</v>
      </c>
      <c r="H34864" t="s">
        <v>32646</v>
      </c>
    </row>
    <row r="34865" spans="1:8">
      <c r="H34865" t="s">
        <v>32647</v>
      </c>
    </row>
    <row r="34866" spans="1:8">
      <c r="H34866" t="s">
        <v>32648</v>
      </c>
    </row>
    <row r="34867" spans="1:8">
      <c r="H34867" t="s">
        <v>32649</v>
      </c>
    </row>
    <row r="34868" spans="1:8">
      <c r="H34868" t="s">
        <v>32650</v>
      </c>
    </row>
    <row r="34869" spans="1:8">
      <c r="H34869" t="s">
        <v>32651</v>
      </c>
    </row>
    <row r="34870" spans="1:8">
      <c r="A34870" t="s">
        <v>2677</v>
      </c>
      <c r="B34870">
        <f>HYPERLINK("https://android.googlesource.com/platform/cts/+/630d0622333ff2e38fbab46540673c575b30daf1", "630d0622333ff2e38fbab46540673c575b30daf1")</f>
        <v>0</v>
      </c>
      <c r="C34870">
        <f>HYPERLINK("https://android.googlesource.com/platform/cts/+/c5ac8d75931f1dca637909939db546a058c3153a", "c5ac8d75931f1dca637909939db546a058c3153a")</f>
        <v>0</v>
      </c>
      <c r="D34870" t="s">
        <v>5431</v>
      </c>
      <c r="E34870" t="s">
        <v>8407</v>
      </c>
      <c r="F34870" t="s">
        <v>13228</v>
      </c>
      <c r="G34870" t="s">
        <v>17369</v>
      </c>
      <c r="H34870" t="s">
        <v>32643</v>
      </c>
    </row>
    <row r="34871" spans="1:8">
      <c r="H34871" t="s">
        <v>32644</v>
      </c>
    </row>
    <row r="34872" spans="1:8">
      <c r="H34872" t="s">
        <v>32645</v>
      </c>
    </row>
    <row r="34873" spans="1:8">
      <c r="F34873" t="s">
        <v>12629</v>
      </c>
      <c r="G34873" t="s">
        <v>16838</v>
      </c>
      <c r="H34873" t="s">
        <v>32646</v>
      </c>
    </row>
    <row r="34874" spans="1:8">
      <c r="H34874" t="s">
        <v>32647</v>
      </c>
    </row>
    <row r="34875" spans="1:8">
      <c r="H34875" t="s">
        <v>32648</v>
      </c>
    </row>
    <row r="34876" spans="1:8">
      <c r="H34876" t="s">
        <v>32649</v>
      </c>
    </row>
    <row r="34877" spans="1:8">
      <c r="H34877" t="s">
        <v>32650</v>
      </c>
    </row>
    <row r="34878" spans="1:8">
      <c r="H34878" t="s">
        <v>32651</v>
      </c>
    </row>
    <row r="34879" spans="1:8">
      <c r="A34879" t="s">
        <v>2678</v>
      </c>
      <c r="B34879">
        <f>HYPERLINK("https://android.googlesource.com/platform/cts/+/2f6b09906c06f2d3f8419e23e616429834bea2a2", "2f6b09906c06f2d3f8419e23e616429834bea2a2")</f>
        <v>0</v>
      </c>
      <c r="C34879">
        <f>HYPERLINK("https://android.googlesource.com/platform/cts/+/f91ff6015ef226629d8bd0033ce5d97f94705383", "f91ff6015ef226629d8bd0033ce5d97f94705383")</f>
        <v>0</v>
      </c>
      <c r="D34879" t="s">
        <v>5407</v>
      </c>
      <c r="E34879" t="s">
        <v>8408</v>
      </c>
      <c r="F34879" t="s">
        <v>12772</v>
      </c>
      <c r="G34879" t="s">
        <v>16543</v>
      </c>
      <c r="H34879" t="s">
        <v>32652</v>
      </c>
    </row>
    <row r="34880" spans="1:8">
      <c r="A34880" t="s">
        <v>2679</v>
      </c>
      <c r="B34880">
        <f>HYPERLINK("https://android.googlesource.com/platform/cts/+/3906e04b846df21f05214922ba058ad889df4d77", "3906e04b846df21f05214922ba058ad889df4d77")</f>
        <v>0</v>
      </c>
      <c r="C34880">
        <f>HYPERLINK("https://android.googlesource.com/platform/cts/+/fb4ce374935e5288201cfea6d5f3fa813346ffb6", "fb4ce374935e5288201cfea6d5f3fa813346ffb6")</f>
        <v>0</v>
      </c>
      <c r="D34880" t="s">
        <v>5431</v>
      </c>
      <c r="E34880" t="s">
        <v>8409</v>
      </c>
      <c r="F34880" t="s">
        <v>13971</v>
      </c>
      <c r="G34880" t="s">
        <v>17996</v>
      </c>
      <c r="H34880" t="s">
        <v>22678</v>
      </c>
    </row>
    <row r="34881" spans="1:8">
      <c r="H34881" t="s">
        <v>18863</v>
      </c>
    </row>
    <row r="34882" spans="1:8">
      <c r="H34882" t="s">
        <v>32653</v>
      </c>
    </row>
    <row r="34883" spans="1:8">
      <c r="H34883" t="s">
        <v>32654</v>
      </c>
    </row>
    <row r="34884" spans="1:8">
      <c r="A34884" t="s">
        <v>2680</v>
      </c>
      <c r="B34884">
        <f>HYPERLINK("https://android.googlesource.com/platform/cts/+/4e2906ccd017ccab62f4d3757c228ec683ce9603", "4e2906ccd017ccab62f4d3757c228ec683ce9603")</f>
        <v>0</v>
      </c>
      <c r="C34884">
        <f>HYPERLINK("https://android.googlesource.com/platform/cts/+/5e0bc94aead3c81a858af5473d76fd3531a0271d", "5e0bc94aead3c81a858af5473d76fd3531a0271d")</f>
        <v>0</v>
      </c>
      <c r="D34884" t="s">
        <v>5275</v>
      </c>
      <c r="E34884" t="s">
        <v>8410</v>
      </c>
      <c r="F34884" t="s">
        <v>12772</v>
      </c>
      <c r="G34884" t="s">
        <v>16543</v>
      </c>
      <c r="H34884" t="s">
        <v>32652</v>
      </c>
    </row>
    <row r="34885" spans="1:8">
      <c r="A34885" t="s">
        <v>2681</v>
      </c>
      <c r="B34885">
        <f>HYPERLINK("https://android.googlesource.com/platform/cts/+/d01e46d45b7f7887a93fc5040b44e89eadfef79f", "d01e46d45b7f7887a93fc5040b44e89eadfef79f")</f>
        <v>0</v>
      </c>
      <c r="C34885">
        <f>HYPERLINK("https://android.googlesource.com/platform/cts/+/dc5509b3ab6fc59ffe470dff4ea8be22c61ba6f0", "dc5509b3ab6fc59ffe470dff4ea8be22c61ba6f0")</f>
        <v>0</v>
      </c>
      <c r="D34885" t="s">
        <v>5432</v>
      </c>
      <c r="E34885" t="s">
        <v>8411</v>
      </c>
      <c r="F34885" t="s">
        <v>13716</v>
      </c>
      <c r="G34885" t="s">
        <v>17783</v>
      </c>
      <c r="H34885" t="s">
        <v>32655</v>
      </c>
    </row>
    <row r="34886" spans="1:8">
      <c r="A34886" t="s">
        <v>2682</v>
      </c>
      <c r="B34886">
        <f>HYPERLINK("https://android.googlesource.com/platform/cts/+/5a41cd43634c8964ac962cd60a5d01ba0d2f3d83", "5a41cd43634c8964ac962cd60a5d01ba0d2f3d83")</f>
        <v>0</v>
      </c>
      <c r="C34886">
        <f>HYPERLINK("https://android.googlesource.com/platform/cts/+/2b513ac5528482f74af06d43f636b5cc2a4cd237", "2b513ac5528482f74af06d43f636b5cc2a4cd237")</f>
        <v>0</v>
      </c>
      <c r="D34886" t="s">
        <v>5341</v>
      </c>
      <c r="E34886" t="s">
        <v>8412</v>
      </c>
      <c r="F34886" t="s">
        <v>13917</v>
      </c>
      <c r="G34886" t="s">
        <v>17953</v>
      </c>
      <c r="H34886" t="s">
        <v>32656</v>
      </c>
    </row>
    <row r="34887" spans="1:8">
      <c r="H34887" t="s">
        <v>32657</v>
      </c>
    </row>
    <row r="34888" spans="1:8">
      <c r="A34888" t="s">
        <v>2683</v>
      </c>
      <c r="B34888">
        <f>HYPERLINK("https://android.googlesource.com/platform/cts/+/e4b9d27d1f9d2da9e8cace3f023fc11de4fddfef", "e4b9d27d1f9d2da9e8cace3f023fc11de4fddfef")</f>
        <v>0</v>
      </c>
      <c r="C34888">
        <f>HYPERLINK("https://android.googlesource.com/platform/cts/+/a35f8169ababb9f61ba44527e19f9d19917a4559", "a35f8169ababb9f61ba44527e19f9d19917a4559")</f>
        <v>0</v>
      </c>
      <c r="D34888" t="s">
        <v>5189</v>
      </c>
      <c r="E34888" t="s">
        <v>8413</v>
      </c>
      <c r="F34888" t="s">
        <v>13136</v>
      </c>
      <c r="G34888" t="s">
        <v>17293</v>
      </c>
      <c r="H34888" t="s">
        <v>32658</v>
      </c>
    </row>
    <row r="34889" spans="1:8">
      <c r="H34889" t="s">
        <v>32659</v>
      </c>
    </row>
    <row r="34890" spans="1:8">
      <c r="A34890" t="s">
        <v>2684</v>
      </c>
      <c r="B34890">
        <f>HYPERLINK("https://android.googlesource.com/platform/cts/+/65dfd51a7d9e2eddff1ead639290eabfa328ec8f", "65dfd51a7d9e2eddff1ead639290eabfa328ec8f")</f>
        <v>0</v>
      </c>
      <c r="C34890">
        <f>HYPERLINK("https://android.googlesource.com/platform/cts/+/7d5622ac64fc555363c7bdbe19400499f5c6ee48", "7d5622ac64fc555363c7bdbe19400499f5c6ee48")</f>
        <v>0</v>
      </c>
      <c r="D34890" t="s">
        <v>5433</v>
      </c>
      <c r="E34890" t="s">
        <v>8414</v>
      </c>
      <c r="F34890" t="s">
        <v>13514</v>
      </c>
      <c r="G34890" t="s">
        <v>17631</v>
      </c>
      <c r="H34890" t="s">
        <v>32660</v>
      </c>
    </row>
    <row r="34891" spans="1:8">
      <c r="H34891" t="s">
        <v>32661</v>
      </c>
    </row>
    <row r="34892" spans="1:8">
      <c r="A34892" t="s">
        <v>2685</v>
      </c>
      <c r="B34892">
        <f>HYPERLINK("https://android.googlesource.com/platform/cts/+/23c069e4e370e972dc5361c8bb5514bf14c7f0e9", "23c069e4e370e972dc5361c8bb5514bf14c7f0e9")</f>
        <v>0</v>
      </c>
      <c r="C34892">
        <f>HYPERLINK("https://android.googlesource.com/platform/cts/+/7ca0d230c3f430f1ff64572c8e517867ed4fa562", "7ca0d230c3f430f1ff64572c8e517867ed4fa562")</f>
        <v>0</v>
      </c>
      <c r="D34892" t="s">
        <v>5433</v>
      </c>
      <c r="E34892" t="s">
        <v>8415</v>
      </c>
      <c r="F34892" t="s">
        <v>13514</v>
      </c>
      <c r="G34892" t="s">
        <v>17631</v>
      </c>
      <c r="H34892" t="s">
        <v>32529</v>
      </c>
    </row>
    <row r="34893" spans="1:8">
      <c r="A34893" t="s">
        <v>2686</v>
      </c>
      <c r="B34893">
        <f>HYPERLINK("https://android.googlesource.com/platform/cts/+/b52f37271f13f031ac9250472beab03836e9991b", "b52f37271f13f031ac9250472beab03836e9991b")</f>
        <v>0</v>
      </c>
      <c r="C34893">
        <f>HYPERLINK("https://android.googlesource.com/platform/cts/+/c2cbd1b7334839774bebee13f91d96d1003184cb", "c2cbd1b7334839774bebee13f91d96d1003184cb")</f>
        <v>0</v>
      </c>
      <c r="D34893" t="s">
        <v>5341</v>
      </c>
      <c r="E34893" t="s">
        <v>8416</v>
      </c>
      <c r="F34893" t="s">
        <v>13917</v>
      </c>
      <c r="G34893" t="s">
        <v>17953</v>
      </c>
      <c r="H34893" t="s">
        <v>32656</v>
      </c>
    </row>
    <row r="34894" spans="1:8">
      <c r="H34894" t="s">
        <v>32657</v>
      </c>
    </row>
    <row r="34895" spans="1:8">
      <c r="A34895" t="s">
        <v>2687</v>
      </c>
      <c r="B34895">
        <f>HYPERLINK("https://android.googlesource.com/platform/cts/+/c2a37aedc82815efd368e362fd878d6989090593", "c2a37aedc82815efd368e362fd878d6989090593")</f>
        <v>0</v>
      </c>
      <c r="C34895">
        <f>HYPERLINK("https://android.googlesource.com/platform/cts/+/6779289675e20733c0304141963748d2740bf823", "6779289675e20733c0304141963748d2740bf823")</f>
        <v>0</v>
      </c>
      <c r="D34895" t="s">
        <v>5434</v>
      </c>
      <c r="E34895" t="s">
        <v>8417</v>
      </c>
      <c r="F34895" t="s">
        <v>13972</v>
      </c>
      <c r="G34895" t="s">
        <v>17997</v>
      </c>
      <c r="H34895" t="s">
        <v>32662</v>
      </c>
    </row>
    <row r="34896" spans="1:8">
      <c r="H34896" t="s">
        <v>32663</v>
      </c>
    </row>
    <row r="34897" spans="1:8">
      <c r="H34897" t="s">
        <v>32664</v>
      </c>
    </row>
    <row r="34898" spans="1:8">
      <c r="H34898" t="s">
        <v>32665</v>
      </c>
    </row>
    <row r="34899" spans="1:8">
      <c r="A34899" t="s">
        <v>2688</v>
      </c>
      <c r="B34899">
        <f>HYPERLINK("https://android.googlesource.com/platform/cts/+/50b3e8d0c74d57e225e74e934e84298f0e09f640", "50b3e8d0c74d57e225e74e934e84298f0e09f640")</f>
        <v>0</v>
      </c>
      <c r="C34899">
        <f>HYPERLINK("https://android.googlesource.com/platform/cts/+/c0550250bf892f20acdd89a82f56a50484360d50", "c0550250bf892f20acdd89a82f56a50484360d50")</f>
        <v>0</v>
      </c>
      <c r="D34899" t="s">
        <v>5359</v>
      </c>
      <c r="E34899" t="s">
        <v>8418</v>
      </c>
      <c r="F34899" t="s">
        <v>13973</v>
      </c>
      <c r="G34899" t="s">
        <v>17998</v>
      </c>
      <c r="H34899" t="s">
        <v>32666</v>
      </c>
    </row>
    <row r="34900" spans="1:8">
      <c r="H34900" t="s">
        <v>32667</v>
      </c>
    </row>
    <row r="34901" spans="1:8">
      <c r="A34901" t="s">
        <v>2689</v>
      </c>
      <c r="B34901">
        <f>HYPERLINK("https://android.googlesource.com/platform/cts/+/09f52fd775b1a442cc5eb4b0afb42d83e99d887a", "09f52fd775b1a442cc5eb4b0afb42d83e99d887a")</f>
        <v>0</v>
      </c>
      <c r="C34901">
        <f>HYPERLINK("https://android.googlesource.com/platform/cts/+/5129fd24cb1ddb735521defc00494784f202c330", "5129fd24cb1ddb735521defc00494784f202c330")</f>
        <v>0</v>
      </c>
      <c r="D34901" t="s">
        <v>5108</v>
      </c>
      <c r="E34901" t="s">
        <v>8419</v>
      </c>
      <c r="F34901" t="s">
        <v>13974</v>
      </c>
      <c r="G34901" t="s">
        <v>17999</v>
      </c>
      <c r="H34901" t="s">
        <v>32668</v>
      </c>
    </row>
    <row r="34902" spans="1:8">
      <c r="A34902" t="s">
        <v>2690</v>
      </c>
      <c r="B34902">
        <f>HYPERLINK("https://android.googlesource.com/platform/cts/+/b3f2fbcb42f8d4f7067efeee074f9bac40b6293e", "b3f2fbcb42f8d4f7067efeee074f9bac40b6293e")</f>
        <v>0</v>
      </c>
      <c r="C34902">
        <f>HYPERLINK("https://android.googlesource.com/platform/cts/+/ae348e91e67a626337a9ba257fdd769c5ca90a8e", "ae348e91e67a626337a9ba257fdd769c5ca90a8e")</f>
        <v>0</v>
      </c>
      <c r="D34902" t="s">
        <v>4981</v>
      </c>
      <c r="E34902" t="s">
        <v>8420</v>
      </c>
      <c r="F34902" t="s">
        <v>13975</v>
      </c>
      <c r="G34902" t="s">
        <v>18000</v>
      </c>
      <c r="H34902" t="s">
        <v>19753</v>
      </c>
    </row>
    <row r="34903" spans="1:8">
      <c r="H34903" t="s">
        <v>19754</v>
      </c>
    </row>
    <row r="34904" spans="1:8">
      <c r="A34904" t="s">
        <v>2691</v>
      </c>
      <c r="B34904">
        <f>HYPERLINK("https://android.googlesource.com/platform/cts/+/09d755d4ee3d06f50886073de3f9f5787f3b09f6", "09d755d4ee3d06f50886073de3f9f5787f3b09f6")</f>
        <v>0</v>
      </c>
      <c r="C34904">
        <f>HYPERLINK("https://android.googlesource.com/platform/cts/+/c2dbc645ffc40457cd9d085a5f751df5c32594cb", "c2dbc645ffc40457cd9d085a5f751df5c32594cb")</f>
        <v>0</v>
      </c>
      <c r="D34904" t="s">
        <v>5244</v>
      </c>
      <c r="E34904" t="s">
        <v>8421</v>
      </c>
      <c r="F34904" t="s">
        <v>13182</v>
      </c>
      <c r="G34904" t="s">
        <v>17326</v>
      </c>
      <c r="H34904" t="s">
        <v>32669</v>
      </c>
    </row>
    <row r="34905" spans="1:8">
      <c r="H34905" t="s">
        <v>32670</v>
      </c>
    </row>
    <row r="34906" spans="1:8">
      <c r="F34906" t="s">
        <v>13183</v>
      </c>
      <c r="G34906" t="s">
        <v>17327</v>
      </c>
      <c r="H34906" t="s">
        <v>32669</v>
      </c>
    </row>
    <row r="34907" spans="1:8">
      <c r="F34907" t="s">
        <v>13184</v>
      </c>
      <c r="G34907" t="s">
        <v>17328</v>
      </c>
      <c r="H34907" t="s">
        <v>32669</v>
      </c>
    </row>
    <row r="34908" spans="1:8">
      <c r="H34908" t="s">
        <v>32670</v>
      </c>
    </row>
    <row r="34909" spans="1:8">
      <c r="F34909" t="s">
        <v>12893</v>
      </c>
      <c r="G34909" t="s">
        <v>17060</v>
      </c>
      <c r="H34909" t="s">
        <v>32669</v>
      </c>
    </row>
    <row r="34910" spans="1:8">
      <c r="F34910" t="s">
        <v>13857</v>
      </c>
      <c r="G34910" t="s">
        <v>17899</v>
      </c>
      <c r="H34910" t="s">
        <v>32669</v>
      </c>
    </row>
    <row r="34911" spans="1:8">
      <c r="H34911" t="s">
        <v>32671</v>
      </c>
    </row>
    <row r="34912" spans="1:8">
      <c r="F34912" t="s">
        <v>13185</v>
      </c>
      <c r="G34912" t="s">
        <v>17329</v>
      </c>
      <c r="H34912" t="s">
        <v>32669</v>
      </c>
    </row>
    <row r="34913" spans="1:8">
      <c r="H34913" t="s">
        <v>32670</v>
      </c>
    </row>
    <row r="34914" spans="1:8">
      <c r="F34914" t="s">
        <v>13186</v>
      </c>
      <c r="G34914" t="s">
        <v>17330</v>
      </c>
      <c r="H34914" t="s">
        <v>32669</v>
      </c>
    </row>
    <row r="34915" spans="1:8">
      <c r="F34915" t="s">
        <v>13976</v>
      </c>
      <c r="G34915" t="s">
        <v>18001</v>
      </c>
      <c r="H34915" t="s">
        <v>32671</v>
      </c>
    </row>
    <row r="34916" spans="1:8">
      <c r="F34916" t="s">
        <v>13977</v>
      </c>
      <c r="G34916" t="s">
        <v>18002</v>
      </c>
      <c r="H34916" t="s">
        <v>32672</v>
      </c>
    </row>
    <row r="34917" spans="1:8">
      <c r="H34917" t="s">
        <v>32673</v>
      </c>
    </row>
    <row r="34918" spans="1:8">
      <c r="A34918" t="s">
        <v>2692</v>
      </c>
      <c r="B34918">
        <f>HYPERLINK("https://android.googlesource.com/platform/cts/+/7806528d298ebd1c5f33f9a7ed1d037d92b3e4e0", "7806528d298ebd1c5f33f9a7ed1d037d92b3e4e0")</f>
        <v>0</v>
      </c>
      <c r="C34918">
        <f>HYPERLINK("https://android.googlesource.com/platform/cts/+/b213f82e9d34405f31923519de8ba2dfd9f20173", "b213f82e9d34405f31923519de8ba2dfd9f20173")</f>
        <v>0</v>
      </c>
      <c r="D34918" t="s">
        <v>5431</v>
      </c>
      <c r="E34918" t="s">
        <v>8422</v>
      </c>
      <c r="F34918" t="s">
        <v>13971</v>
      </c>
      <c r="G34918" t="s">
        <v>17996</v>
      </c>
      <c r="H34918" t="s">
        <v>22678</v>
      </c>
    </row>
    <row r="34919" spans="1:8">
      <c r="H34919" t="s">
        <v>18863</v>
      </c>
    </row>
    <row r="34920" spans="1:8">
      <c r="H34920" t="s">
        <v>32653</v>
      </c>
    </row>
    <row r="34921" spans="1:8">
      <c r="H34921" t="s">
        <v>32654</v>
      </c>
    </row>
    <row r="34922" spans="1:8">
      <c r="A34922" t="s">
        <v>2693</v>
      </c>
      <c r="B34922">
        <f>HYPERLINK("https://android.googlesource.com/platform/cts/+/9cbd418f98243f0922ca1bfe509dd7bbe9c9ddc3", "9cbd418f98243f0922ca1bfe509dd7bbe9c9ddc3")</f>
        <v>0</v>
      </c>
      <c r="C34922">
        <f>HYPERLINK("https://android.googlesource.com/platform/cts/+/e405144243856ba6310682b960e19232144da05f", "e405144243856ba6310682b960e19232144da05f")</f>
        <v>0</v>
      </c>
      <c r="D34922" t="s">
        <v>5435</v>
      </c>
      <c r="E34922" t="s">
        <v>8423</v>
      </c>
      <c r="F34922" t="s">
        <v>12710</v>
      </c>
      <c r="G34922" t="s">
        <v>16911</v>
      </c>
      <c r="H34922" t="s">
        <v>31252</v>
      </c>
    </row>
    <row r="34923" spans="1:8">
      <c r="A34923" t="s">
        <v>2694</v>
      </c>
      <c r="B34923">
        <f>HYPERLINK("https://android.googlesource.com/platform/cts/+/acc2b1f85f173315e3bb25d3a1f8474ec2635e31", "acc2b1f85f173315e3bb25d3a1f8474ec2635e31")</f>
        <v>0</v>
      </c>
      <c r="C34923">
        <f>HYPERLINK("https://android.googlesource.com/platform/cts/+/de89b8884c5a369d9e34626d0e8fc08e8a6b827d", "de89b8884c5a369d9e34626d0e8fc08e8a6b827d")</f>
        <v>0</v>
      </c>
      <c r="D34923" t="s">
        <v>5435</v>
      </c>
      <c r="E34923" t="s">
        <v>8424</v>
      </c>
      <c r="F34923" t="s">
        <v>12710</v>
      </c>
      <c r="G34923" t="s">
        <v>16911</v>
      </c>
      <c r="H34923" t="s">
        <v>31252</v>
      </c>
    </row>
    <row r="34924" spans="1:8">
      <c r="A34924" t="s">
        <v>2695</v>
      </c>
      <c r="B34924">
        <f>HYPERLINK("https://android.googlesource.com/platform/cts/+/9713f158bf74d261043e11eebe38519dcd416c6f", "9713f158bf74d261043e11eebe38519dcd416c6f")</f>
        <v>0</v>
      </c>
      <c r="C34924">
        <f>HYPERLINK("https://android.googlesource.com/platform/cts/+/4811ae9c9d63dd5ecae1a00938bd22d00ef84d41", "4811ae9c9d63dd5ecae1a00938bd22d00ef84d41")</f>
        <v>0</v>
      </c>
      <c r="D34924" t="s">
        <v>5167</v>
      </c>
      <c r="E34924" t="s">
        <v>8425</v>
      </c>
      <c r="F34924" t="s">
        <v>13978</v>
      </c>
      <c r="G34924" t="s">
        <v>18003</v>
      </c>
      <c r="H34924" t="s">
        <v>18829</v>
      </c>
    </row>
    <row r="34925" spans="1:8">
      <c r="H34925" t="s">
        <v>32674</v>
      </c>
    </row>
    <row r="34926" spans="1:8">
      <c r="H34926" t="s">
        <v>32675</v>
      </c>
    </row>
    <row r="34927" spans="1:8">
      <c r="H34927" t="s">
        <v>32676</v>
      </c>
    </row>
    <row r="34928" spans="1:8">
      <c r="H34928" t="s">
        <v>32677</v>
      </c>
    </row>
    <row r="34929" spans="8:8">
      <c r="H34929" t="s">
        <v>32678</v>
      </c>
    </row>
    <row r="34930" spans="8:8">
      <c r="H34930" t="s">
        <v>32679</v>
      </c>
    </row>
    <row r="34931" spans="8:8">
      <c r="H34931" t="s">
        <v>32680</v>
      </c>
    </row>
    <row r="34932" spans="8:8">
      <c r="H34932" t="s">
        <v>32681</v>
      </c>
    </row>
    <row r="34933" spans="8:8">
      <c r="H34933" t="s">
        <v>32682</v>
      </c>
    </row>
    <row r="34934" spans="8:8">
      <c r="H34934" t="s">
        <v>32683</v>
      </c>
    </row>
    <row r="34935" spans="8:8">
      <c r="H34935" t="s">
        <v>32684</v>
      </c>
    </row>
    <row r="34936" spans="8:8">
      <c r="H34936" t="s">
        <v>32685</v>
      </c>
    </row>
    <row r="34937" spans="8:8">
      <c r="H34937" t="s">
        <v>32686</v>
      </c>
    </row>
    <row r="34938" spans="8:8">
      <c r="H34938" t="s">
        <v>32687</v>
      </c>
    </row>
    <row r="34939" spans="8:8">
      <c r="H34939" t="s">
        <v>32688</v>
      </c>
    </row>
    <row r="34940" spans="8:8">
      <c r="H34940" t="s">
        <v>32689</v>
      </c>
    </row>
    <row r="34941" spans="8:8">
      <c r="H34941" t="s">
        <v>32690</v>
      </c>
    </row>
    <row r="34942" spans="8:8">
      <c r="H34942" t="s">
        <v>32691</v>
      </c>
    </row>
    <row r="34943" spans="8:8">
      <c r="H34943" t="s">
        <v>32692</v>
      </c>
    </row>
    <row r="34944" spans="8:8">
      <c r="H34944" t="s">
        <v>32693</v>
      </c>
    </row>
    <row r="34945" spans="1:8">
      <c r="H34945" t="s">
        <v>32694</v>
      </c>
    </row>
    <row r="34946" spans="1:8">
      <c r="H34946" t="s">
        <v>32695</v>
      </c>
    </row>
    <row r="34947" spans="1:8">
      <c r="H34947" t="s">
        <v>32696</v>
      </c>
    </row>
    <row r="34948" spans="1:8">
      <c r="H34948" t="s">
        <v>32697</v>
      </c>
    </row>
    <row r="34949" spans="1:8">
      <c r="H34949" t="s">
        <v>32698</v>
      </c>
    </row>
    <row r="34950" spans="1:8">
      <c r="H34950" t="s">
        <v>32699</v>
      </c>
    </row>
    <row r="34951" spans="1:8">
      <c r="A34951" t="s">
        <v>2696</v>
      </c>
      <c r="B34951">
        <f>HYPERLINK("https://android.googlesource.com/platform/cts/+/26581cfbba29192e651169b827fe689af8bf41a4", "26581cfbba29192e651169b827fe689af8bf41a4")</f>
        <v>0</v>
      </c>
      <c r="C34951">
        <f>HYPERLINK("https://android.googlesource.com/platform/cts/+/62cdbd17062bbaca41ebb6899a85fb49e5e1a723", "62cdbd17062bbaca41ebb6899a85fb49e5e1a723")</f>
        <v>0</v>
      </c>
      <c r="D34951" t="s">
        <v>5436</v>
      </c>
      <c r="E34951" t="s">
        <v>8426</v>
      </c>
      <c r="F34951" t="s">
        <v>12570</v>
      </c>
      <c r="G34951" t="s">
        <v>16786</v>
      </c>
      <c r="H34951" t="s">
        <v>32700</v>
      </c>
    </row>
    <row r="34952" spans="1:8">
      <c r="A34952" t="s">
        <v>2697</v>
      </c>
      <c r="B34952">
        <f>HYPERLINK("https://android.googlesource.com/platform/cts/+/9182cd2d62bacc0b7509a723d099aaceb88647fd", "9182cd2d62bacc0b7509a723d099aaceb88647fd")</f>
        <v>0</v>
      </c>
      <c r="C34952">
        <f>HYPERLINK("https://android.googlesource.com/platform/cts/+/d53fe1733ae343368a1ac72bf3e97f48f2a0f873", "d53fe1733ae343368a1ac72bf3e97f48f2a0f873")</f>
        <v>0</v>
      </c>
      <c r="D34952" t="s">
        <v>5437</v>
      </c>
      <c r="E34952" t="s">
        <v>8427</v>
      </c>
      <c r="F34952" t="s">
        <v>13979</v>
      </c>
      <c r="G34952" t="s">
        <v>18004</v>
      </c>
      <c r="H34952" t="s">
        <v>32701</v>
      </c>
    </row>
    <row r="34953" spans="1:8">
      <c r="H34953" t="s">
        <v>32702</v>
      </c>
    </row>
    <row r="34954" spans="1:8">
      <c r="H34954" t="s">
        <v>19013</v>
      </c>
    </row>
    <row r="34955" spans="1:8">
      <c r="H34955" t="s">
        <v>32703</v>
      </c>
    </row>
    <row r="34956" spans="1:8">
      <c r="A34956" t="s">
        <v>2698</v>
      </c>
      <c r="B34956">
        <f>HYPERLINK("https://android.googlesource.com/platform/cts/+/1fe9d641dad4a1df0c22ec15be0260e5e58a07d0", "1fe9d641dad4a1df0c22ec15be0260e5e58a07d0")</f>
        <v>0</v>
      </c>
      <c r="C34956">
        <f>HYPERLINK("https://android.googlesource.com/platform/cts/+/03c291a212dd412bbfe44de07e7256b91bdf568e", "03c291a212dd412bbfe44de07e7256b91bdf568e")</f>
        <v>0</v>
      </c>
      <c r="D34956" t="s">
        <v>5438</v>
      </c>
      <c r="E34956" t="s">
        <v>8428</v>
      </c>
      <c r="F34956" t="s">
        <v>13980</v>
      </c>
      <c r="G34956" t="s">
        <v>18005</v>
      </c>
      <c r="H34956" t="s">
        <v>18829</v>
      </c>
    </row>
    <row r="34957" spans="1:8">
      <c r="H34957" t="s">
        <v>32704</v>
      </c>
    </row>
    <row r="34958" spans="1:8">
      <c r="F34958" t="s">
        <v>13981</v>
      </c>
      <c r="G34958" t="s">
        <v>18006</v>
      </c>
      <c r="H34958" t="s">
        <v>32705</v>
      </c>
    </row>
    <row r="34959" spans="1:8">
      <c r="H34959" t="s">
        <v>18829</v>
      </c>
    </row>
    <row r="34960" spans="1:8">
      <c r="F34960" t="s">
        <v>13982</v>
      </c>
      <c r="G34960" t="s">
        <v>18007</v>
      </c>
      <c r="H34960" t="s">
        <v>18829</v>
      </c>
    </row>
    <row r="34961" spans="1:8">
      <c r="H34961" t="s">
        <v>32706</v>
      </c>
    </row>
    <row r="34962" spans="1:8">
      <c r="A34962" t="s">
        <v>2699</v>
      </c>
      <c r="B34962">
        <f>HYPERLINK("https://android.googlesource.com/platform/cts/+/7592acdbf80cec572530bb1fd0711151af63952a", "7592acdbf80cec572530bb1fd0711151af63952a")</f>
        <v>0</v>
      </c>
      <c r="C34962">
        <f>HYPERLINK("https://android.googlesource.com/platform/cts/+/1ead01ba65983808908dc2deb513b460475520c4", "1ead01ba65983808908dc2deb513b460475520c4")</f>
        <v>0</v>
      </c>
      <c r="D34962" t="s">
        <v>5409</v>
      </c>
      <c r="E34962" t="s">
        <v>8429</v>
      </c>
      <c r="F34962" t="s">
        <v>13752</v>
      </c>
      <c r="G34962" t="s">
        <v>17812</v>
      </c>
      <c r="H34962" t="s">
        <v>32707</v>
      </c>
    </row>
    <row r="34963" spans="1:8">
      <c r="A34963" t="s">
        <v>2700</v>
      </c>
      <c r="B34963">
        <f>HYPERLINK("https://android.googlesource.com/platform/cts/+/5e75b98446b8d8b0677a77118d3aaab12a93a711", "5e75b98446b8d8b0677a77118d3aaab12a93a711")</f>
        <v>0</v>
      </c>
      <c r="C34963">
        <f>HYPERLINK("https://android.googlesource.com/platform/cts/+/c7315d35182d1993d4dc194bd8405cb3b4a60516", "c7315d35182d1993d4dc194bd8405cb3b4a60516")</f>
        <v>0</v>
      </c>
      <c r="D34963" t="s">
        <v>5439</v>
      </c>
      <c r="E34963" t="s">
        <v>8430</v>
      </c>
      <c r="F34963" t="s">
        <v>13228</v>
      </c>
      <c r="G34963" t="s">
        <v>17369</v>
      </c>
      <c r="H34963" t="s">
        <v>32643</v>
      </c>
    </row>
    <row r="34964" spans="1:8">
      <c r="H34964" t="s">
        <v>32644</v>
      </c>
    </row>
    <row r="34965" spans="1:8">
      <c r="H34965" t="s">
        <v>32645</v>
      </c>
    </row>
    <row r="34966" spans="1:8">
      <c r="F34966" t="s">
        <v>12629</v>
      </c>
      <c r="G34966" t="s">
        <v>16838</v>
      </c>
      <c r="H34966" t="s">
        <v>32646</v>
      </c>
    </row>
    <row r="34967" spans="1:8">
      <c r="H34967" t="s">
        <v>32647</v>
      </c>
    </row>
    <row r="34968" spans="1:8">
      <c r="H34968" t="s">
        <v>32648</v>
      </c>
    </row>
    <row r="34969" spans="1:8">
      <c r="H34969" t="s">
        <v>32649</v>
      </c>
    </row>
    <row r="34970" spans="1:8">
      <c r="H34970" t="s">
        <v>32650</v>
      </c>
    </row>
    <row r="34971" spans="1:8">
      <c r="H34971" t="s">
        <v>32651</v>
      </c>
    </row>
    <row r="34972" spans="1:8">
      <c r="F34972" t="s">
        <v>12772</v>
      </c>
      <c r="G34972" t="s">
        <v>16543</v>
      </c>
      <c r="H34972" t="s">
        <v>32652</v>
      </c>
    </row>
    <row r="34973" spans="1:8">
      <c r="F34973" t="s">
        <v>13514</v>
      </c>
      <c r="G34973" t="s">
        <v>17631</v>
      </c>
      <c r="H34973" t="s">
        <v>32529</v>
      </c>
    </row>
    <row r="34974" spans="1:8">
      <c r="F34974" t="s">
        <v>13718</v>
      </c>
      <c r="G34974" t="s">
        <v>17785</v>
      </c>
      <c r="H34974" t="s">
        <v>32638</v>
      </c>
    </row>
    <row r="34975" spans="1:8">
      <c r="F34975" t="s">
        <v>13917</v>
      </c>
      <c r="G34975" t="s">
        <v>17953</v>
      </c>
      <c r="H34975" t="s">
        <v>32656</v>
      </c>
    </row>
    <row r="34976" spans="1:8">
      <c r="H34976" t="s">
        <v>32657</v>
      </c>
    </row>
    <row r="34977" spans="1:8">
      <c r="F34977" t="s">
        <v>13972</v>
      </c>
      <c r="G34977" t="s">
        <v>17997</v>
      </c>
      <c r="H34977" t="s">
        <v>32662</v>
      </c>
    </row>
    <row r="34978" spans="1:8">
      <c r="H34978" t="s">
        <v>32663</v>
      </c>
    </row>
    <row r="34979" spans="1:8">
      <c r="H34979" t="s">
        <v>32664</v>
      </c>
    </row>
    <row r="34980" spans="1:8">
      <c r="H34980" t="s">
        <v>32665</v>
      </c>
    </row>
    <row r="34981" spans="1:8">
      <c r="A34981" t="s">
        <v>2701</v>
      </c>
      <c r="B34981">
        <f>HYPERLINK("https://android.googlesource.com/platform/cts/+/053d37f4d7208d138004edc61b17febadee18a99", "053d37f4d7208d138004edc61b17febadee18a99")</f>
        <v>0</v>
      </c>
      <c r="C34981">
        <f>HYPERLINK("https://android.googlesource.com/platform/cts/+/6353016ab885acd5b7e42428f2330f69178d8e52", "6353016ab885acd5b7e42428f2330f69178d8e52")</f>
        <v>0</v>
      </c>
      <c r="D34981" t="s">
        <v>5440</v>
      </c>
      <c r="E34981" t="s">
        <v>8431</v>
      </c>
      <c r="F34981" t="s">
        <v>13983</v>
      </c>
      <c r="G34981" t="s">
        <v>17520</v>
      </c>
      <c r="H34981" t="s">
        <v>19017</v>
      </c>
    </row>
    <row r="34982" spans="1:8">
      <c r="A34982" t="s">
        <v>2702</v>
      </c>
      <c r="B34982">
        <f>HYPERLINK("https://android.googlesource.com/platform/cts/+/1c3ba04157725f0f9fd1189a271d0a0213f18ee5", "1c3ba04157725f0f9fd1189a271d0a0213f18ee5")</f>
        <v>0</v>
      </c>
      <c r="C34982">
        <f>HYPERLINK("https://android.googlesource.com/platform/cts/+/2a09ad488536629a2142ac575f9e38a488597fca", "2a09ad488536629a2142ac575f9e38a488597fca")</f>
        <v>0</v>
      </c>
      <c r="D34982" t="s">
        <v>5140</v>
      </c>
      <c r="E34982" t="s">
        <v>8432</v>
      </c>
      <c r="F34982" t="s">
        <v>13847</v>
      </c>
      <c r="G34982" t="s">
        <v>17890</v>
      </c>
      <c r="H34982" t="s">
        <v>32708</v>
      </c>
    </row>
    <row r="34983" spans="1:8">
      <c r="H34983" t="s">
        <v>32709</v>
      </c>
    </row>
    <row r="34984" spans="1:8">
      <c r="A34984" t="s">
        <v>2703</v>
      </c>
      <c r="B34984">
        <f>HYPERLINK("https://android.googlesource.com/platform/cts/+/e4c86fe7830323ec5e84fc1cd5edb562d90212c6", "e4c86fe7830323ec5e84fc1cd5edb562d90212c6")</f>
        <v>0</v>
      </c>
      <c r="C34984">
        <f>HYPERLINK("https://android.googlesource.com/platform/cts/+/88819c50f2476ae1d4b107ad730333d3cfc8f0d6", "88819c50f2476ae1d4b107ad730333d3cfc8f0d6")</f>
        <v>0</v>
      </c>
      <c r="D34984" t="s">
        <v>5140</v>
      </c>
      <c r="E34984" t="s">
        <v>8432</v>
      </c>
      <c r="F34984" t="s">
        <v>13847</v>
      </c>
      <c r="G34984" t="s">
        <v>17890</v>
      </c>
      <c r="H34984" t="s">
        <v>32708</v>
      </c>
    </row>
    <row r="34985" spans="1:8">
      <c r="H34985" t="s">
        <v>32709</v>
      </c>
    </row>
    <row r="34986" spans="1:8">
      <c r="A34986" t="s">
        <v>2704</v>
      </c>
      <c r="B34986">
        <f>HYPERLINK("https://android.googlesource.com/platform/cts/+/52d8f384333269901d56802eaa16171005de286f", "52d8f384333269901d56802eaa16171005de286f")</f>
        <v>0</v>
      </c>
      <c r="C34986">
        <f>HYPERLINK("https://android.googlesource.com/platform/cts/+/69935fcea3d82c35d5e37f074729cfd54ae44298", "69935fcea3d82c35d5e37f074729cfd54ae44298")</f>
        <v>0</v>
      </c>
      <c r="D34986" t="s">
        <v>5441</v>
      </c>
      <c r="E34986" t="s">
        <v>8433</v>
      </c>
      <c r="F34986" t="s">
        <v>13984</v>
      </c>
      <c r="G34986" t="s">
        <v>18008</v>
      </c>
      <c r="H34986" t="s">
        <v>32710</v>
      </c>
    </row>
    <row r="34987" spans="1:8">
      <c r="H34987" t="s">
        <v>32711</v>
      </c>
    </row>
    <row r="34988" spans="1:8">
      <c r="H34988" t="s">
        <v>32712</v>
      </c>
    </row>
    <row r="34989" spans="1:8">
      <c r="H34989" t="s">
        <v>32713</v>
      </c>
    </row>
    <row r="34990" spans="1:8">
      <c r="H34990" t="s">
        <v>32714</v>
      </c>
    </row>
    <row r="34991" spans="1:8">
      <c r="H34991" t="s">
        <v>32715</v>
      </c>
    </row>
    <row r="34992" spans="1:8">
      <c r="H34992" t="s">
        <v>32716</v>
      </c>
    </row>
    <row r="34993" spans="1:8">
      <c r="H34993" t="s">
        <v>32717</v>
      </c>
    </row>
    <row r="34994" spans="1:8">
      <c r="H34994" t="s">
        <v>32718</v>
      </c>
    </row>
    <row r="34995" spans="1:8">
      <c r="H34995" t="s">
        <v>32719</v>
      </c>
    </row>
    <row r="34996" spans="1:8">
      <c r="H34996" t="s">
        <v>32720</v>
      </c>
    </row>
    <row r="34997" spans="1:8">
      <c r="H34997" t="s">
        <v>32721</v>
      </c>
    </row>
    <row r="34998" spans="1:8">
      <c r="H34998" t="s">
        <v>32722</v>
      </c>
    </row>
    <row r="34999" spans="1:8">
      <c r="H34999" t="s">
        <v>32723</v>
      </c>
    </row>
    <row r="35000" spans="1:8">
      <c r="H35000" t="s">
        <v>32724</v>
      </c>
    </row>
    <row r="35001" spans="1:8">
      <c r="H35001" t="s">
        <v>32725</v>
      </c>
    </row>
    <row r="35002" spans="1:8">
      <c r="H35002" t="s">
        <v>32726</v>
      </c>
    </row>
    <row r="35003" spans="1:8">
      <c r="H35003" t="s">
        <v>32727</v>
      </c>
    </row>
    <row r="35004" spans="1:8">
      <c r="H35004" t="s">
        <v>32728</v>
      </c>
    </row>
    <row r="35005" spans="1:8">
      <c r="H35005" t="s">
        <v>32729</v>
      </c>
    </row>
    <row r="35006" spans="1:8">
      <c r="H35006" t="s">
        <v>32730</v>
      </c>
    </row>
    <row r="35007" spans="1:8">
      <c r="H35007" t="s">
        <v>32731</v>
      </c>
    </row>
    <row r="35008" spans="1:8">
      <c r="A35008" t="s">
        <v>2705</v>
      </c>
      <c r="B35008">
        <f>HYPERLINK("https://android.googlesource.com/platform/cts/+/a7555c40487469f0d26b9bbe6c1f394e361de7eb", "a7555c40487469f0d26b9bbe6c1f394e361de7eb")</f>
        <v>0</v>
      </c>
      <c r="C35008">
        <f>HYPERLINK("https://android.googlesource.com/platform/cts/+/d3968871af475eceaa21c6393e076a65429e503a", "d3968871af475eceaa21c6393e076a65429e503a")</f>
        <v>0</v>
      </c>
      <c r="D35008" t="s">
        <v>5116</v>
      </c>
      <c r="E35008" t="s">
        <v>8434</v>
      </c>
      <c r="F35008" t="s">
        <v>13412</v>
      </c>
      <c r="G35008" t="s">
        <v>17538</v>
      </c>
      <c r="H35008" t="s">
        <v>32732</v>
      </c>
    </row>
    <row r="35009" spans="1:8">
      <c r="H35009" t="s">
        <v>32733</v>
      </c>
    </row>
    <row r="35010" spans="1:8">
      <c r="H35010" t="s">
        <v>32734</v>
      </c>
    </row>
    <row r="35011" spans="1:8">
      <c r="H35011" t="s">
        <v>32735</v>
      </c>
    </row>
    <row r="35012" spans="1:8">
      <c r="H35012" t="s">
        <v>32736</v>
      </c>
    </row>
    <row r="35013" spans="1:8">
      <c r="H35013" t="s">
        <v>32737</v>
      </c>
    </row>
    <row r="35014" spans="1:8">
      <c r="H35014" t="s">
        <v>32738</v>
      </c>
    </row>
    <row r="35015" spans="1:8">
      <c r="A35015" t="s">
        <v>2706</v>
      </c>
      <c r="B35015">
        <f>HYPERLINK("https://android.googlesource.com/platform/cts/+/bd3720d9e17e4fb98538064b360ae7a95a46c26b", "bd3720d9e17e4fb98538064b360ae7a95a46c26b")</f>
        <v>0</v>
      </c>
      <c r="C35015">
        <f>HYPERLINK("https://android.googlesource.com/platform/cts/+/69935fcea3d82c35d5e37f074729cfd54ae44298", "69935fcea3d82c35d5e37f074729cfd54ae44298")</f>
        <v>0</v>
      </c>
      <c r="D35015" t="s">
        <v>5441</v>
      </c>
      <c r="E35015" t="s">
        <v>8435</v>
      </c>
      <c r="F35015" t="s">
        <v>13755</v>
      </c>
      <c r="G35015" t="s">
        <v>17815</v>
      </c>
      <c r="H35015" t="s">
        <v>32739</v>
      </c>
    </row>
    <row r="35016" spans="1:8">
      <c r="A35016" t="s">
        <v>2707</v>
      </c>
      <c r="B35016">
        <f>HYPERLINK("https://android.googlesource.com/platform/cts/+/d4820eea2384fba751213251fa6d2d2cbe09a4d6", "d4820eea2384fba751213251fa6d2d2cbe09a4d6")</f>
        <v>0</v>
      </c>
      <c r="C35016">
        <f>HYPERLINK("https://android.googlesource.com/platform/cts/+/44515b8236e5e1b8aae7d8f8ad1c2941bb389216", "44515b8236e5e1b8aae7d8f8ad1c2941bb389216")</f>
        <v>0</v>
      </c>
      <c r="D35016" t="s">
        <v>5320</v>
      </c>
      <c r="E35016" t="s">
        <v>8436</v>
      </c>
      <c r="F35016" t="s">
        <v>13865</v>
      </c>
      <c r="G35016" t="s">
        <v>17905</v>
      </c>
      <c r="H35016" t="s">
        <v>32740</v>
      </c>
    </row>
    <row r="35017" spans="1:8">
      <c r="A35017" t="s">
        <v>2708</v>
      </c>
      <c r="B35017">
        <f>HYPERLINK("https://android.googlesource.com/platform/cts/+/b6510d35399fb5b439f84caaea4fa172e97e2d16", "b6510d35399fb5b439f84caaea4fa172e97e2d16")</f>
        <v>0</v>
      </c>
      <c r="C35017">
        <f>HYPERLINK("https://android.googlesource.com/platform/cts/+/c3466412c6a7b401270b870e0b30c13a0e61d00a", "c3466412c6a7b401270b870e0b30c13a0e61d00a")</f>
        <v>0</v>
      </c>
      <c r="D35017" t="s">
        <v>5442</v>
      </c>
      <c r="E35017" t="s">
        <v>8437</v>
      </c>
      <c r="F35017" t="s">
        <v>13227</v>
      </c>
      <c r="G35017" t="s">
        <v>17368</v>
      </c>
      <c r="H35017" t="s">
        <v>31023</v>
      </c>
    </row>
    <row r="35018" spans="1:8">
      <c r="A35018" t="s">
        <v>2709</v>
      </c>
      <c r="B35018">
        <f>HYPERLINK("https://android.googlesource.com/platform/cts/+/aa259ffcc3e2314ce388cfe9c21c2035a7b47bbe", "aa259ffcc3e2314ce388cfe9c21c2035a7b47bbe")</f>
        <v>0</v>
      </c>
      <c r="C35018">
        <f>HYPERLINK("https://android.googlesource.com/platform/cts/+/d97e9d800f6042099806030832023f0b48c5769b", "d97e9d800f6042099806030832023f0b48c5769b")</f>
        <v>0</v>
      </c>
      <c r="D35018" t="s">
        <v>5140</v>
      </c>
      <c r="E35018" t="s">
        <v>8438</v>
      </c>
      <c r="F35018" t="s">
        <v>13847</v>
      </c>
      <c r="G35018" t="s">
        <v>17890</v>
      </c>
      <c r="H35018" t="s">
        <v>32708</v>
      </c>
    </row>
    <row r="35019" spans="1:8">
      <c r="H35019" t="s">
        <v>32709</v>
      </c>
    </row>
    <row r="35020" spans="1:8">
      <c r="A35020" t="s">
        <v>2710</v>
      </c>
      <c r="B35020">
        <f>HYPERLINK("https://android.googlesource.com/platform/cts/+/cdaa22d765ff7775ce38185432e8f901d3dd0eb4", "cdaa22d765ff7775ce38185432e8f901d3dd0eb4")</f>
        <v>0</v>
      </c>
      <c r="C35020">
        <f>HYPERLINK("https://android.googlesource.com/platform/cts/+/d22c16f1cc23b0878663a1669580caf9fc93a62d", "d22c16f1cc23b0878663a1669580caf9fc93a62d")</f>
        <v>0</v>
      </c>
      <c r="D35020" t="s">
        <v>4965</v>
      </c>
      <c r="E35020" t="s">
        <v>8439</v>
      </c>
      <c r="F35020" t="s">
        <v>10606</v>
      </c>
      <c r="G35020" t="s">
        <v>15009</v>
      </c>
      <c r="H35020" t="s">
        <v>32741</v>
      </c>
    </row>
    <row r="35021" spans="1:8">
      <c r="A35021" t="s">
        <v>2711</v>
      </c>
      <c r="B35021">
        <f>HYPERLINK("https://android.googlesource.com/platform/cts/+/551f6d232714e5904773edb2dea73332423e4601", "551f6d232714e5904773edb2dea73332423e4601")</f>
        <v>0</v>
      </c>
      <c r="C35021">
        <f>HYPERLINK("https://android.googlesource.com/platform/cts/+/84cf26c233021941a3d6d74eaf22c72020e32a20", "84cf26c233021941a3d6d74eaf22c72020e32a20")</f>
        <v>0</v>
      </c>
      <c r="D35021" t="s">
        <v>5383</v>
      </c>
      <c r="E35021" t="s">
        <v>8440</v>
      </c>
      <c r="F35021" t="s">
        <v>13924</v>
      </c>
      <c r="G35021" t="s">
        <v>17960</v>
      </c>
      <c r="H35021" t="s">
        <v>32742</v>
      </c>
    </row>
    <row r="35022" spans="1:8">
      <c r="H35022" t="s">
        <v>32743</v>
      </c>
    </row>
    <row r="35023" spans="1:8">
      <c r="H35023" t="s">
        <v>32744</v>
      </c>
    </row>
    <row r="35024" spans="1:8">
      <c r="H35024" t="s">
        <v>32745</v>
      </c>
    </row>
    <row r="35025" spans="1:8">
      <c r="H35025" t="s">
        <v>32746</v>
      </c>
    </row>
    <row r="35026" spans="1:8">
      <c r="H35026" t="s">
        <v>32747</v>
      </c>
    </row>
    <row r="35027" spans="1:8">
      <c r="H35027" t="s">
        <v>32748</v>
      </c>
    </row>
    <row r="35028" spans="1:8">
      <c r="H35028" t="s">
        <v>32749</v>
      </c>
    </row>
    <row r="35029" spans="1:8">
      <c r="A35029" t="s">
        <v>2712</v>
      </c>
      <c r="B35029">
        <f>HYPERLINK("https://android.googlesource.com/platform/cts/+/d92c062c01e3edd3661b831c51620ddbd33bf4ef", "d92c062c01e3edd3661b831c51620ddbd33bf4ef")</f>
        <v>0</v>
      </c>
      <c r="C35029">
        <f>HYPERLINK("https://android.googlesource.com/platform/cts/+/9e86e28d530a344af3dc69682e75c523eee40f83", "9e86e28d530a344af3dc69682e75c523eee40f83")</f>
        <v>0</v>
      </c>
      <c r="D35029" t="s">
        <v>5438</v>
      </c>
      <c r="E35029" t="s">
        <v>8441</v>
      </c>
      <c r="F35029" t="s">
        <v>13980</v>
      </c>
      <c r="G35029" t="s">
        <v>18005</v>
      </c>
      <c r="H35029" t="s">
        <v>18829</v>
      </c>
    </row>
    <row r="35030" spans="1:8">
      <c r="H35030" t="s">
        <v>32704</v>
      </c>
    </row>
    <row r="35031" spans="1:8">
      <c r="F35031" t="s">
        <v>13981</v>
      </c>
      <c r="G35031" t="s">
        <v>18006</v>
      </c>
      <c r="H35031" t="s">
        <v>32705</v>
      </c>
    </row>
    <row r="35032" spans="1:8">
      <c r="H35032" t="s">
        <v>18829</v>
      </c>
    </row>
    <row r="35033" spans="1:8">
      <c r="F35033" t="s">
        <v>13982</v>
      </c>
      <c r="G35033" t="s">
        <v>18007</v>
      </c>
      <c r="H35033" t="s">
        <v>18829</v>
      </c>
    </row>
    <row r="35034" spans="1:8">
      <c r="H35034" t="s">
        <v>32706</v>
      </c>
    </row>
    <row r="35035" spans="1:8">
      <c r="A35035" t="s">
        <v>2713</v>
      </c>
      <c r="B35035">
        <f>HYPERLINK("https://android.googlesource.com/platform/cts/+/39848643d7dd065b9c947f947e03d85f7e84d4b0", "39848643d7dd065b9c947f947e03d85f7e84d4b0")</f>
        <v>0</v>
      </c>
      <c r="C35035">
        <f>HYPERLINK("https://android.googlesource.com/platform/cts/+/cbb7f01781e835b2457373e3434c205fd2f18124", "cbb7f01781e835b2457373e3434c205fd2f18124")</f>
        <v>0</v>
      </c>
      <c r="D35035" t="s">
        <v>5407</v>
      </c>
      <c r="E35035" t="s">
        <v>8442</v>
      </c>
      <c r="F35035" t="s">
        <v>13985</v>
      </c>
      <c r="G35035" t="s">
        <v>15148</v>
      </c>
      <c r="H35035" t="s">
        <v>19034</v>
      </c>
    </row>
    <row r="35036" spans="1:8">
      <c r="F35036" t="s">
        <v>13253</v>
      </c>
      <c r="G35036" t="s">
        <v>16455</v>
      </c>
      <c r="H35036" t="s">
        <v>19034</v>
      </c>
    </row>
    <row r="35037" spans="1:8">
      <c r="F35037" t="s">
        <v>13986</v>
      </c>
      <c r="G35037" t="s">
        <v>16459</v>
      </c>
      <c r="H35037" t="s">
        <v>19034</v>
      </c>
    </row>
    <row r="35038" spans="1:8">
      <c r="F35038" t="s">
        <v>13987</v>
      </c>
      <c r="G35038" t="s">
        <v>16544</v>
      </c>
      <c r="H35038" t="s">
        <v>19034</v>
      </c>
    </row>
    <row r="35039" spans="1:8">
      <c r="F35039" t="s">
        <v>13988</v>
      </c>
      <c r="G35039" t="s">
        <v>16776</v>
      </c>
      <c r="H35039" t="s">
        <v>19034</v>
      </c>
    </row>
    <row r="35040" spans="1:8">
      <c r="F35040" t="s">
        <v>13989</v>
      </c>
      <c r="G35040" t="s">
        <v>16451</v>
      </c>
      <c r="H35040" t="s">
        <v>19034</v>
      </c>
    </row>
    <row r="35041" spans="1:8">
      <c r="A35041" t="s">
        <v>2714</v>
      </c>
      <c r="B35041">
        <f>HYPERLINK("https://android.googlesource.com/platform/cts/+/aef2ebc054ee3b5d7fdfa23cf12d3aa9e0f62d2e", "aef2ebc054ee3b5d7fdfa23cf12d3aa9e0f62d2e")</f>
        <v>0</v>
      </c>
      <c r="C35041">
        <f>HYPERLINK("https://android.googlesource.com/platform/cts/+/6c6fe7516032a04776b722fc1a2e66895d0fe582", "6c6fe7516032a04776b722fc1a2e66895d0fe582")</f>
        <v>0</v>
      </c>
      <c r="D35041" t="s">
        <v>5443</v>
      </c>
      <c r="E35041" t="s">
        <v>8443</v>
      </c>
      <c r="F35041" t="s">
        <v>13990</v>
      </c>
      <c r="G35041" t="s">
        <v>18009</v>
      </c>
      <c r="H35041" t="s">
        <v>31226</v>
      </c>
    </row>
    <row r="35042" spans="1:8">
      <c r="H35042" t="s">
        <v>32750</v>
      </c>
    </row>
    <row r="35043" spans="1:8">
      <c r="F35043" t="s">
        <v>13716</v>
      </c>
      <c r="G35043" t="s">
        <v>17783</v>
      </c>
      <c r="H35043" t="s">
        <v>31226</v>
      </c>
    </row>
    <row r="35044" spans="1:8">
      <c r="H35044" t="s">
        <v>31227</v>
      </c>
    </row>
    <row r="35045" spans="1:8">
      <c r="A35045" t="s">
        <v>2715</v>
      </c>
      <c r="B35045">
        <f>HYPERLINK("https://android.googlesource.com/platform/cts/+/c055f879a2aa9bb15f497fe321383292f98d36ca", "c055f879a2aa9bb15f497fe321383292f98d36ca")</f>
        <v>0</v>
      </c>
      <c r="C35045">
        <f>HYPERLINK("https://android.googlesource.com/platform/cts/+/9c864324fd10cb0db772620460efa1fb5b3280fd", "9c864324fd10cb0db772620460efa1fb5b3280fd")</f>
        <v>0</v>
      </c>
      <c r="D35045" t="s">
        <v>5443</v>
      </c>
      <c r="E35045" t="s">
        <v>8444</v>
      </c>
      <c r="F35045" t="s">
        <v>13990</v>
      </c>
      <c r="G35045" t="s">
        <v>18009</v>
      </c>
      <c r="H35045" t="s">
        <v>31226</v>
      </c>
    </row>
    <row r="35046" spans="1:8">
      <c r="H35046" t="s">
        <v>32750</v>
      </c>
    </row>
    <row r="35047" spans="1:8">
      <c r="F35047" t="s">
        <v>13716</v>
      </c>
      <c r="G35047" t="s">
        <v>17783</v>
      </c>
      <c r="H35047" t="s">
        <v>31226</v>
      </c>
    </row>
    <row r="35048" spans="1:8">
      <c r="H35048" t="s">
        <v>31227</v>
      </c>
    </row>
    <row r="35049" spans="1:8">
      <c r="A35049" t="s">
        <v>2716</v>
      </c>
      <c r="B35049">
        <f>HYPERLINK("https://android.googlesource.com/platform/cts/+/f225711c83129ec3ee0626bd978fdadb2878ebef", "f225711c83129ec3ee0626bd978fdadb2878ebef")</f>
        <v>0</v>
      </c>
      <c r="C35049">
        <f>HYPERLINK("https://android.googlesource.com/platform/cts/+/7dcbf385591acd6ebdf4b66732227bd457ef4a7f", "7dcbf385591acd6ebdf4b66732227bd457ef4a7f")</f>
        <v>0</v>
      </c>
      <c r="D35049" t="s">
        <v>5344</v>
      </c>
      <c r="E35049" t="s">
        <v>8445</v>
      </c>
      <c r="F35049" t="s">
        <v>13991</v>
      </c>
      <c r="G35049" t="s">
        <v>18010</v>
      </c>
      <c r="H35049" t="s">
        <v>32751</v>
      </c>
    </row>
    <row r="35050" spans="1:8">
      <c r="A35050" t="s">
        <v>2717</v>
      </c>
      <c r="B35050">
        <f>HYPERLINK("https://android.googlesource.com/platform/cts/+/4367de4b7ab5b783388ae182ecaf17e92d23585a", "4367de4b7ab5b783388ae182ecaf17e92d23585a")</f>
        <v>0</v>
      </c>
      <c r="C35050">
        <f>HYPERLINK("https://android.googlesource.com/platform/cts/+/7dcbf385591acd6ebdf4b66732227bd457ef4a7f", "7dcbf385591acd6ebdf4b66732227bd457ef4a7f")</f>
        <v>0</v>
      </c>
      <c r="D35050" t="s">
        <v>5374</v>
      </c>
      <c r="E35050" t="s">
        <v>8446</v>
      </c>
      <c r="F35050" t="s">
        <v>13165</v>
      </c>
      <c r="G35050" t="s">
        <v>17315</v>
      </c>
      <c r="H35050" t="s">
        <v>32752</v>
      </c>
    </row>
    <row r="35051" spans="1:8">
      <c r="H35051" t="s">
        <v>32753</v>
      </c>
    </row>
    <row r="35052" spans="1:8">
      <c r="H35052" t="s">
        <v>32754</v>
      </c>
    </row>
    <row r="35053" spans="1:8">
      <c r="A35053" t="s">
        <v>2718</v>
      </c>
      <c r="B35053">
        <f>HYPERLINK("https://android.googlesource.com/platform/cts/+/671b32aae87a8a7e6250542111a4cb57280fb4da", "671b32aae87a8a7e6250542111a4cb57280fb4da")</f>
        <v>0</v>
      </c>
      <c r="C35053">
        <f>HYPERLINK("https://android.googlesource.com/platform/cts/+/e25f8e3565b5c35044a2eea265fedc8fc294b9e5", "e25f8e3565b5c35044a2eea265fedc8fc294b9e5")</f>
        <v>0</v>
      </c>
      <c r="D35053" t="s">
        <v>5389</v>
      </c>
      <c r="E35053" t="s">
        <v>8447</v>
      </c>
      <c r="F35053" t="s">
        <v>13992</v>
      </c>
      <c r="G35053" t="s">
        <v>16620</v>
      </c>
      <c r="H35053" t="s">
        <v>32755</v>
      </c>
    </row>
    <row r="35054" spans="1:8">
      <c r="A35054" t="s">
        <v>2719</v>
      </c>
      <c r="B35054">
        <f>HYPERLINK("https://android.googlesource.com/platform/cts/+/198e0238f2a91bd7ab5dfd6eb33095a7a37b517f", "198e0238f2a91bd7ab5dfd6eb33095a7a37b517f")</f>
        <v>0</v>
      </c>
      <c r="C35054">
        <f>HYPERLINK("https://android.googlesource.com/platform/cts/+/b7212be2b36d072b118ea5fefb35aea3d0ce9592", "b7212be2b36d072b118ea5fefb35aea3d0ce9592")</f>
        <v>0</v>
      </c>
      <c r="D35054" t="s">
        <v>5293</v>
      </c>
      <c r="E35054" t="s">
        <v>8448</v>
      </c>
      <c r="F35054" t="s">
        <v>13468</v>
      </c>
      <c r="G35054" t="s">
        <v>17587</v>
      </c>
      <c r="H35054" t="s">
        <v>19981</v>
      </c>
    </row>
    <row r="35055" spans="1:8">
      <c r="A35055" t="s">
        <v>2720</v>
      </c>
      <c r="B35055">
        <f>HYPERLINK("https://android.googlesource.com/platform/cts/+/932a4b6eaa0822b5017595c9e91c58603a20a4d5", "932a4b6eaa0822b5017595c9e91c58603a20a4d5")</f>
        <v>0</v>
      </c>
      <c r="C35055">
        <f>HYPERLINK("https://android.googlesource.com/platform/cts/+/77f7f5739c8a8f90fa8f6c241a2d2d9a28010b35", "77f7f5739c8a8f90fa8f6c241a2d2d9a28010b35")</f>
        <v>0</v>
      </c>
      <c r="D35055" t="s">
        <v>5167</v>
      </c>
      <c r="E35055" t="s">
        <v>8449</v>
      </c>
      <c r="F35055" t="s">
        <v>13978</v>
      </c>
      <c r="G35055" t="s">
        <v>18003</v>
      </c>
      <c r="H35055" t="s">
        <v>32675</v>
      </c>
    </row>
    <row r="35056" spans="1:8">
      <c r="H35056" t="s">
        <v>32676</v>
      </c>
    </row>
    <row r="35057" spans="8:8">
      <c r="H35057" t="s">
        <v>32678</v>
      </c>
    </row>
    <row r="35058" spans="8:8">
      <c r="H35058" t="s">
        <v>32679</v>
      </c>
    </row>
    <row r="35059" spans="8:8">
      <c r="H35059" t="s">
        <v>32680</v>
      </c>
    </row>
    <row r="35060" spans="8:8">
      <c r="H35060" t="s">
        <v>32681</v>
      </c>
    </row>
    <row r="35061" spans="8:8">
      <c r="H35061" t="s">
        <v>32682</v>
      </c>
    </row>
    <row r="35062" spans="8:8">
      <c r="H35062" t="s">
        <v>32683</v>
      </c>
    </row>
    <row r="35063" spans="8:8">
      <c r="H35063" t="s">
        <v>32684</v>
      </c>
    </row>
    <row r="35064" spans="8:8">
      <c r="H35064" t="s">
        <v>32685</v>
      </c>
    </row>
    <row r="35065" spans="8:8">
      <c r="H35065" t="s">
        <v>32686</v>
      </c>
    </row>
    <row r="35066" spans="8:8">
      <c r="H35066" t="s">
        <v>32687</v>
      </c>
    </row>
    <row r="35067" spans="8:8">
      <c r="H35067" t="s">
        <v>32688</v>
      </c>
    </row>
    <row r="35068" spans="8:8">
      <c r="H35068" t="s">
        <v>32689</v>
      </c>
    </row>
    <row r="35069" spans="8:8">
      <c r="H35069" t="s">
        <v>32690</v>
      </c>
    </row>
    <row r="35070" spans="8:8">
      <c r="H35070" t="s">
        <v>32691</v>
      </c>
    </row>
    <row r="35071" spans="8:8">
      <c r="H35071" t="s">
        <v>32692</v>
      </c>
    </row>
    <row r="35072" spans="8:8">
      <c r="H35072" t="s">
        <v>32693</v>
      </c>
    </row>
    <row r="35073" spans="1:8">
      <c r="H35073" t="s">
        <v>32694</v>
      </c>
    </row>
    <row r="35074" spans="1:8">
      <c r="H35074" t="s">
        <v>32756</v>
      </c>
    </row>
    <row r="35075" spans="1:8">
      <c r="H35075" t="s">
        <v>32757</v>
      </c>
    </row>
    <row r="35076" spans="1:8">
      <c r="H35076" t="s">
        <v>32758</v>
      </c>
    </row>
    <row r="35077" spans="1:8">
      <c r="A35077" t="s">
        <v>2721</v>
      </c>
      <c r="B35077">
        <f>HYPERLINK("https://android.googlesource.com/platform/cts/+/e41a5e82ae4f93f782ab85647fa7f5e83ee7bcf1", "e41a5e82ae4f93f782ab85647fa7f5e83ee7bcf1")</f>
        <v>0</v>
      </c>
      <c r="C35077">
        <f>HYPERLINK("https://android.googlesource.com/platform/cts/+/7155e75b2244286e8c0f34684155da95dddead73", "7155e75b2244286e8c0f34684155da95dddead73")</f>
        <v>0</v>
      </c>
      <c r="D35077" t="s">
        <v>5304</v>
      </c>
      <c r="E35077" t="s">
        <v>8450</v>
      </c>
      <c r="F35077" t="s">
        <v>13242</v>
      </c>
      <c r="G35077" t="s">
        <v>17382</v>
      </c>
      <c r="H35077" t="s">
        <v>28992</v>
      </c>
    </row>
    <row r="35078" spans="1:8">
      <c r="F35078" t="s">
        <v>13993</v>
      </c>
      <c r="G35078" t="s">
        <v>16600</v>
      </c>
      <c r="H35078" t="s">
        <v>32759</v>
      </c>
    </row>
    <row r="35079" spans="1:8">
      <c r="F35079" t="s">
        <v>13994</v>
      </c>
      <c r="G35079" t="s">
        <v>16863</v>
      </c>
      <c r="H35079" t="s">
        <v>32760</v>
      </c>
    </row>
    <row r="35080" spans="1:8">
      <c r="A35080" t="s">
        <v>2722</v>
      </c>
      <c r="B35080">
        <f>HYPERLINK("https://android.googlesource.com/platform/cts/+/79c77e0913aff043c1812fa913579511f78f336d", "79c77e0913aff043c1812fa913579511f78f336d")</f>
        <v>0</v>
      </c>
      <c r="C35080">
        <f>HYPERLINK("https://android.googlesource.com/platform/cts/+/8f55c89b62de7f2582ddf901b3e1060ff7d59d92", "8f55c89b62de7f2582ddf901b3e1060ff7d59d92")</f>
        <v>0</v>
      </c>
      <c r="D35080" t="s">
        <v>5444</v>
      </c>
      <c r="E35080" t="s">
        <v>8451</v>
      </c>
      <c r="F35080" t="s">
        <v>13912</v>
      </c>
      <c r="G35080" t="s">
        <v>17949</v>
      </c>
      <c r="H35080" t="s">
        <v>32761</v>
      </c>
    </row>
    <row r="35081" spans="1:8">
      <c r="A35081" t="s">
        <v>2723</v>
      </c>
      <c r="B35081">
        <f>HYPERLINK("https://android.googlesource.com/platform/cts/+/580eea86e7dcbe3b49395aaa538f8d0a3496d397", "580eea86e7dcbe3b49395aaa538f8d0a3496d397")</f>
        <v>0</v>
      </c>
      <c r="C35081">
        <f>HYPERLINK("https://android.googlesource.com/platform/cts/+/f10219d23247577000454d4eee7d229fc62a889d", "f10219d23247577000454d4eee7d229fc62a889d")</f>
        <v>0</v>
      </c>
      <c r="D35081" t="s">
        <v>5445</v>
      </c>
      <c r="E35081" t="s">
        <v>8452</v>
      </c>
      <c r="F35081" t="s">
        <v>12642</v>
      </c>
      <c r="G35081" t="s">
        <v>16850</v>
      </c>
      <c r="H35081" t="s">
        <v>32762</v>
      </c>
    </row>
    <row r="35082" spans="1:8">
      <c r="A35082" t="s">
        <v>2724</v>
      </c>
      <c r="B35082">
        <f>HYPERLINK("https://android.googlesource.com/platform/cts/+/68cfedf9d5907e81cdce7ffaa8dac932078b0db6", "68cfedf9d5907e81cdce7ffaa8dac932078b0db6")</f>
        <v>0</v>
      </c>
      <c r="C35082">
        <f>HYPERLINK("https://android.googlesource.com/platform/cts/+/1111e06ee795b78c4edc79051a52a34aa97b1cd6", "1111e06ee795b78c4edc79051a52a34aa97b1cd6")</f>
        <v>0</v>
      </c>
      <c r="D35082" t="s">
        <v>5108</v>
      </c>
      <c r="E35082" t="s">
        <v>8453</v>
      </c>
      <c r="F35082" t="s">
        <v>13390</v>
      </c>
      <c r="G35082" t="s">
        <v>17513</v>
      </c>
      <c r="H35082" t="s">
        <v>30868</v>
      </c>
    </row>
    <row r="35083" spans="1:8">
      <c r="H35083" t="s">
        <v>30869</v>
      </c>
    </row>
    <row r="35084" spans="1:8">
      <c r="A35084" t="s">
        <v>2725</v>
      </c>
      <c r="B35084">
        <f>HYPERLINK("https://android.googlesource.com/platform/cts/+/2743b624a783a896a54be4753097a920251b37c5", "2743b624a783a896a54be4753097a920251b37c5")</f>
        <v>0</v>
      </c>
      <c r="C35084">
        <f>HYPERLINK("https://android.googlesource.com/platform/cts/+/bbaf1c3f0ab65235772a503dc8b64faaf7c3fe29", "bbaf1c3f0ab65235772a503dc8b64faaf7c3fe29")</f>
        <v>0</v>
      </c>
      <c r="D35084" t="s">
        <v>5363</v>
      </c>
      <c r="E35084" t="s">
        <v>8454</v>
      </c>
      <c r="F35084" t="s">
        <v>10605</v>
      </c>
      <c r="G35084" t="s">
        <v>15008</v>
      </c>
      <c r="H35084" t="s">
        <v>21377</v>
      </c>
    </row>
    <row r="35085" spans="1:8">
      <c r="H35085" t="s">
        <v>32763</v>
      </c>
    </row>
    <row r="35086" spans="1:8">
      <c r="H35086" t="s">
        <v>32764</v>
      </c>
    </row>
    <row r="35087" spans="1:8">
      <c r="H35087" t="s">
        <v>32765</v>
      </c>
    </row>
    <row r="35088" spans="1:8">
      <c r="H35088" t="s">
        <v>32766</v>
      </c>
    </row>
    <row r="35089" spans="8:8">
      <c r="H35089" t="s">
        <v>32767</v>
      </c>
    </row>
    <row r="35090" spans="8:8">
      <c r="H35090" t="s">
        <v>32768</v>
      </c>
    </row>
    <row r="35091" spans="8:8">
      <c r="H35091" t="s">
        <v>32769</v>
      </c>
    </row>
    <row r="35092" spans="8:8">
      <c r="H35092" t="s">
        <v>32770</v>
      </c>
    </row>
    <row r="35093" spans="8:8">
      <c r="H35093" t="s">
        <v>32771</v>
      </c>
    </row>
    <row r="35094" spans="8:8">
      <c r="H35094" t="s">
        <v>32772</v>
      </c>
    </row>
    <row r="35095" spans="8:8">
      <c r="H35095" t="s">
        <v>32773</v>
      </c>
    </row>
    <row r="35096" spans="8:8">
      <c r="H35096" t="s">
        <v>32774</v>
      </c>
    </row>
    <row r="35097" spans="8:8">
      <c r="H35097" t="s">
        <v>32775</v>
      </c>
    </row>
    <row r="35098" spans="8:8">
      <c r="H35098" t="s">
        <v>32776</v>
      </c>
    </row>
    <row r="35099" spans="8:8">
      <c r="H35099" t="s">
        <v>32777</v>
      </c>
    </row>
    <row r="35100" spans="8:8">
      <c r="H35100" t="s">
        <v>32778</v>
      </c>
    </row>
    <row r="35101" spans="8:8">
      <c r="H35101" t="s">
        <v>32779</v>
      </c>
    </row>
    <row r="35102" spans="8:8">
      <c r="H35102" t="s">
        <v>32780</v>
      </c>
    </row>
    <row r="35103" spans="8:8">
      <c r="H35103" t="s">
        <v>32781</v>
      </c>
    </row>
    <row r="35104" spans="8:8">
      <c r="H35104" t="s">
        <v>32782</v>
      </c>
    </row>
    <row r="35105" spans="8:8">
      <c r="H35105" t="s">
        <v>32783</v>
      </c>
    </row>
    <row r="35106" spans="8:8">
      <c r="H35106" t="s">
        <v>32784</v>
      </c>
    </row>
    <row r="35107" spans="8:8">
      <c r="H35107" t="s">
        <v>32785</v>
      </c>
    </row>
    <row r="35108" spans="8:8">
      <c r="H35108" t="s">
        <v>32786</v>
      </c>
    </row>
    <row r="35109" spans="8:8">
      <c r="H35109" t="s">
        <v>32787</v>
      </c>
    </row>
    <row r="35110" spans="8:8">
      <c r="H35110" t="s">
        <v>32788</v>
      </c>
    </row>
    <row r="35111" spans="8:8">
      <c r="H35111" t="s">
        <v>32788</v>
      </c>
    </row>
    <row r="35112" spans="8:8">
      <c r="H35112" t="s">
        <v>32789</v>
      </c>
    </row>
    <row r="35113" spans="8:8">
      <c r="H35113" t="s">
        <v>32790</v>
      </c>
    </row>
    <row r="35114" spans="8:8">
      <c r="H35114" t="s">
        <v>32791</v>
      </c>
    </row>
    <row r="35115" spans="8:8">
      <c r="H35115" t="s">
        <v>32792</v>
      </c>
    </row>
    <row r="35116" spans="8:8">
      <c r="H35116" t="s">
        <v>32793</v>
      </c>
    </row>
    <row r="35117" spans="8:8">
      <c r="H35117" t="s">
        <v>32793</v>
      </c>
    </row>
    <row r="35118" spans="8:8">
      <c r="H35118" t="s">
        <v>32793</v>
      </c>
    </row>
    <row r="35119" spans="8:8">
      <c r="H35119" t="s">
        <v>32794</v>
      </c>
    </row>
    <row r="35120" spans="8:8">
      <c r="H35120" t="s">
        <v>32795</v>
      </c>
    </row>
    <row r="35121" spans="8:8">
      <c r="H35121" t="s">
        <v>32796</v>
      </c>
    </row>
    <row r="35122" spans="8:8">
      <c r="H35122" t="s">
        <v>32797</v>
      </c>
    </row>
    <row r="35123" spans="8:8">
      <c r="H35123" t="s">
        <v>32798</v>
      </c>
    </row>
    <row r="35124" spans="8:8">
      <c r="H35124" t="s">
        <v>32799</v>
      </c>
    </row>
    <row r="35125" spans="8:8">
      <c r="H35125" t="s">
        <v>19019</v>
      </c>
    </row>
    <row r="35126" spans="8:8">
      <c r="H35126" t="s">
        <v>32800</v>
      </c>
    </row>
    <row r="35127" spans="8:8">
      <c r="H35127" t="s">
        <v>32801</v>
      </c>
    </row>
    <row r="35128" spans="8:8">
      <c r="H35128" t="s">
        <v>18893</v>
      </c>
    </row>
    <row r="35129" spans="8:8">
      <c r="H35129" t="s">
        <v>32802</v>
      </c>
    </row>
    <row r="35130" spans="8:8">
      <c r="H35130" t="s">
        <v>32803</v>
      </c>
    </row>
    <row r="35131" spans="8:8">
      <c r="H35131" t="s">
        <v>32804</v>
      </c>
    </row>
    <row r="35132" spans="8:8">
      <c r="H35132" t="s">
        <v>32805</v>
      </c>
    </row>
    <row r="35133" spans="8:8">
      <c r="H35133" t="s">
        <v>32806</v>
      </c>
    </row>
    <row r="35134" spans="8:8">
      <c r="H35134" t="s">
        <v>32807</v>
      </c>
    </row>
    <row r="35135" spans="8:8">
      <c r="H35135" t="s">
        <v>32808</v>
      </c>
    </row>
    <row r="35136" spans="8:8">
      <c r="H35136" t="s">
        <v>32809</v>
      </c>
    </row>
    <row r="35137" spans="1:8">
      <c r="H35137" t="s">
        <v>32810</v>
      </c>
    </row>
    <row r="35138" spans="1:8">
      <c r="H35138" t="s">
        <v>32811</v>
      </c>
    </row>
    <row r="35139" spans="1:8">
      <c r="H35139" t="s">
        <v>32812</v>
      </c>
    </row>
    <row r="35140" spans="1:8">
      <c r="H35140" t="s">
        <v>19909</v>
      </c>
    </row>
    <row r="35141" spans="1:8">
      <c r="H35141" t="s">
        <v>20326</v>
      </c>
    </row>
    <row r="35142" spans="1:8">
      <c r="H35142" t="s">
        <v>32813</v>
      </c>
    </row>
    <row r="35143" spans="1:8">
      <c r="H35143" t="s">
        <v>31735</v>
      </c>
    </row>
    <row r="35144" spans="1:8">
      <c r="H35144" t="s">
        <v>18893</v>
      </c>
    </row>
    <row r="35145" spans="1:8">
      <c r="H35145" t="s">
        <v>32814</v>
      </c>
    </row>
    <row r="35146" spans="1:8">
      <c r="H35146" t="s">
        <v>32815</v>
      </c>
    </row>
    <row r="35147" spans="1:8">
      <c r="A35147" t="s">
        <v>2726</v>
      </c>
      <c r="B35147">
        <f>HYPERLINK("https://android.googlesource.com/platform/cts/+/b59450ee69b8d6225c8b62947502e4da14f9faab", "b59450ee69b8d6225c8b62947502e4da14f9faab")</f>
        <v>0</v>
      </c>
      <c r="C35147">
        <f>HYPERLINK("https://android.googlesource.com/platform/cts/+/ecfef337c47b6c99540c74ccfe6afd7b9ad4d2a3", "ecfef337c47b6c99540c74ccfe6afd7b9ad4d2a3")</f>
        <v>0</v>
      </c>
      <c r="D35147" t="s">
        <v>5247</v>
      </c>
      <c r="E35147" t="s">
        <v>8455</v>
      </c>
      <c r="F35147" t="s">
        <v>13892</v>
      </c>
      <c r="G35147" t="s">
        <v>17929</v>
      </c>
      <c r="H35147" t="s">
        <v>18829</v>
      </c>
    </row>
    <row r="35148" spans="1:8">
      <c r="A35148" t="s">
        <v>2727</v>
      </c>
      <c r="B35148">
        <f>HYPERLINK("https://android.googlesource.com/platform/cts/+/3271f68bcf02830dc98cbc20832aae9bc332bc4a", "3271f68bcf02830dc98cbc20832aae9bc332bc4a")</f>
        <v>0</v>
      </c>
      <c r="C35148">
        <f>HYPERLINK("https://android.googlesource.com/platform/cts/+/812517bd43d3699ef9f31af1a3ba73c6a8c48f6a", "812517bd43d3699ef9f31af1a3ba73c6a8c48f6a")</f>
        <v>0</v>
      </c>
      <c r="D35148" t="s">
        <v>5182</v>
      </c>
      <c r="E35148" t="s">
        <v>8456</v>
      </c>
      <c r="F35148" t="s">
        <v>12820</v>
      </c>
      <c r="G35148" t="s">
        <v>16999</v>
      </c>
      <c r="H35148" t="s">
        <v>32816</v>
      </c>
    </row>
    <row r="35149" spans="1:8">
      <c r="A35149" t="s">
        <v>2728</v>
      </c>
      <c r="B35149">
        <f>HYPERLINK("https://android.googlesource.com/platform/cts/+/2e39dd1f774e1e75ffb3c6e60f5f533462eb2a01", "2e39dd1f774e1e75ffb3c6e60f5f533462eb2a01")</f>
        <v>0</v>
      </c>
      <c r="C35149">
        <f>HYPERLINK("https://android.googlesource.com/platform/cts/+/bbaf1c3f0ab65235772a503dc8b64faaf7c3fe29", "bbaf1c3f0ab65235772a503dc8b64faaf7c3fe29")</f>
        <v>0</v>
      </c>
      <c r="D35149" t="s">
        <v>5363</v>
      </c>
      <c r="E35149" t="s">
        <v>8457</v>
      </c>
      <c r="F35149" t="s">
        <v>12171</v>
      </c>
      <c r="G35149" t="s">
        <v>15008</v>
      </c>
      <c r="H35149" t="s">
        <v>18829</v>
      </c>
    </row>
    <row r="35150" spans="1:8">
      <c r="H35150" t="s">
        <v>18863</v>
      </c>
    </row>
    <row r="35151" spans="1:8">
      <c r="H35151" t="s">
        <v>32817</v>
      </c>
    </row>
    <row r="35152" spans="1:8">
      <c r="H35152" t="s">
        <v>32818</v>
      </c>
    </row>
    <row r="35153" spans="8:8">
      <c r="H35153" t="s">
        <v>32819</v>
      </c>
    </row>
    <row r="35154" spans="8:8">
      <c r="H35154" t="s">
        <v>21992</v>
      </c>
    </row>
    <row r="35155" spans="8:8">
      <c r="H35155" t="s">
        <v>32820</v>
      </c>
    </row>
    <row r="35156" spans="8:8">
      <c r="H35156" t="s">
        <v>32821</v>
      </c>
    </row>
    <row r="35157" spans="8:8">
      <c r="H35157" t="s">
        <v>32822</v>
      </c>
    </row>
    <row r="35158" spans="8:8">
      <c r="H35158" t="s">
        <v>32823</v>
      </c>
    </row>
    <row r="35159" spans="8:8">
      <c r="H35159" t="s">
        <v>32824</v>
      </c>
    </row>
    <row r="35160" spans="8:8">
      <c r="H35160" t="s">
        <v>32825</v>
      </c>
    </row>
    <row r="35161" spans="8:8">
      <c r="H35161" t="s">
        <v>32826</v>
      </c>
    </row>
    <row r="35162" spans="8:8">
      <c r="H35162" t="s">
        <v>32827</v>
      </c>
    </row>
    <row r="35163" spans="8:8">
      <c r="H35163" t="s">
        <v>32828</v>
      </c>
    </row>
    <row r="35164" spans="8:8">
      <c r="H35164" t="s">
        <v>32829</v>
      </c>
    </row>
    <row r="35165" spans="8:8">
      <c r="H35165" t="s">
        <v>21377</v>
      </c>
    </row>
    <row r="35166" spans="8:8">
      <c r="H35166" t="s">
        <v>32830</v>
      </c>
    </row>
    <row r="35167" spans="8:8">
      <c r="H35167" t="s">
        <v>32765</v>
      </c>
    </row>
    <row r="35168" spans="8:8">
      <c r="H35168" t="s">
        <v>31476</v>
      </c>
    </row>
    <row r="35169" spans="8:8">
      <c r="H35169" t="s">
        <v>32789</v>
      </c>
    </row>
    <row r="35170" spans="8:8">
      <c r="H35170" t="s">
        <v>32791</v>
      </c>
    </row>
    <row r="35171" spans="8:8">
      <c r="H35171" t="s">
        <v>32793</v>
      </c>
    </row>
    <row r="35172" spans="8:8">
      <c r="H35172" t="s">
        <v>25961</v>
      </c>
    </row>
    <row r="35173" spans="8:8">
      <c r="H35173" t="s">
        <v>32798</v>
      </c>
    </row>
    <row r="35174" spans="8:8">
      <c r="H35174" t="s">
        <v>32799</v>
      </c>
    </row>
    <row r="35175" spans="8:8">
      <c r="H35175" t="s">
        <v>19019</v>
      </c>
    </row>
    <row r="35176" spans="8:8">
      <c r="H35176" t="s">
        <v>32800</v>
      </c>
    </row>
    <row r="35177" spans="8:8">
      <c r="H35177" t="s">
        <v>32801</v>
      </c>
    </row>
    <row r="35178" spans="8:8">
      <c r="H35178" t="s">
        <v>18893</v>
      </c>
    </row>
    <row r="35179" spans="8:8">
      <c r="H35179" t="s">
        <v>32802</v>
      </c>
    </row>
    <row r="35180" spans="8:8">
      <c r="H35180" t="s">
        <v>32803</v>
      </c>
    </row>
    <row r="35181" spans="8:8">
      <c r="H35181" t="s">
        <v>32804</v>
      </c>
    </row>
    <row r="35182" spans="8:8">
      <c r="H35182" t="s">
        <v>32805</v>
      </c>
    </row>
    <row r="35183" spans="8:8">
      <c r="H35183" t="s">
        <v>32806</v>
      </c>
    </row>
    <row r="35184" spans="8:8">
      <c r="H35184" t="s">
        <v>32807</v>
      </c>
    </row>
    <row r="35185" spans="1:8">
      <c r="H35185" t="s">
        <v>32808</v>
      </c>
    </row>
    <row r="35186" spans="1:8">
      <c r="H35186" t="s">
        <v>32809</v>
      </c>
    </row>
    <row r="35187" spans="1:8">
      <c r="H35187" t="s">
        <v>32810</v>
      </c>
    </row>
    <row r="35188" spans="1:8">
      <c r="H35188" t="s">
        <v>32811</v>
      </c>
    </row>
    <row r="35189" spans="1:8">
      <c r="H35189" t="s">
        <v>32812</v>
      </c>
    </row>
    <row r="35190" spans="1:8">
      <c r="H35190" t="s">
        <v>19909</v>
      </c>
    </row>
    <row r="35191" spans="1:8">
      <c r="H35191" t="s">
        <v>20326</v>
      </c>
    </row>
    <row r="35192" spans="1:8">
      <c r="A35192" t="s">
        <v>2729</v>
      </c>
      <c r="B35192">
        <f>HYPERLINK("https://android.googlesource.com/platform/cts/+/73afb9ab3dcfd20564e1d447e78e8fd8ebcb46a6", "73afb9ab3dcfd20564e1d447e78e8fd8ebcb46a6")</f>
        <v>0</v>
      </c>
      <c r="C35192">
        <f>HYPERLINK("https://android.googlesource.com/platform/cts/+/c167922860f4403524699fe65a0f3b585158d844", "c167922860f4403524699fe65a0f3b585158d844")</f>
        <v>0</v>
      </c>
      <c r="D35192" t="s">
        <v>5341</v>
      </c>
      <c r="E35192" t="s">
        <v>8458</v>
      </c>
      <c r="F35192" t="s">
        <v>13812</v>
      </c>
      <c r="G35192" t="s">
        <v>17859</v>
      </c>
      <c r="H35192" t="s">
        <v>32831</v>
      </c>
    </row>
    <row r="35193" spans="1:8">
      <c r="A35193" t="s">
        <v>2730</v>
      </c>
      <c r="B35193">
        <f>HYPERLINK("https://android.googlesource.com/platform/cts/+/36bc5587198ffdd12152b73e7e9a753d64f22c7b", "36bc5587198ffdd12152b73e7e9a753d64f22c7b")</f>
        <v>0</v>
      </c>
      <c r="C35193">
        <f>HYPERLINK("https://android.googlesource.com/platform/cts/+/edefd4b9faffc7f9aa7b9abdf6dcf942ba8d9ccc", "edefd4b9faffc7f9aa7b9abdf6dcf942ba8d9ccc")</f>
        <v>0</v>
      </c>
      <c r="D35193" t="s">
        <v>5293</v>
      </c>
      <c r="E35193" t="s">
        <v>8459</v>
      </c>
      <c r="F35193" t="s">
        <v>13123</v>
      </c>
      <c r="G35193" t="s">
        <v>17285</v>
      </c>
      <c r="H35193" t="s">
        <v>22237</v>
      </c>
    </row>
    <row r="35194" spans="1:8">
      <c r="H35194" t="s">
        <v>32832</v>
      </c>
    </row>
    <row r="35195" spans="1:8">
      <c r="A35195" t="s">
        <v>2731</v>
      </c>
      <c r="B35195">
        <f>HYPERLINK("https://android.googlesource.com/platform/cts/+/30a5662508fca0d8dbce59719483853dc503f2de", "30a5662508fca0d8dbce59719483853dc503f2de")</f>
        <v>0</v>
      </c>
      <c r="C35195">
        <f>HYPERLINK("https://android.googlesource.com/platform/cts/+/c76f6af0f8fbba617bffb9a653c815fe09e6c072", "c76f6af0f8fbba617bffb9a653c815fe09e6c072")</f>
        <v>0</v>
      </c>
      <c r="D35195" t="s">
        <v>5231</v>
      </c>
      <c r="E35195" t="s">
        <v>8460</v>
      </c>
      <c r="F35195" t="s">
        <v>13995</v>
      </c>
      <c r="G35195" t="s">
        <v>18011</v>
      </c>
      <c r="H35195" t="s">
        <v>32833</v>
      </c>
    </row>
    <row r="35196" spans="1:8">
      <c r="H35196" t="s">
        <v>32834</v>
      </c>
    </row>
    <row r="35197" spans="1:8">
      <c r="F35197" t="s">
        <v>13996</v>
      </c>
      <c r="G35197" t="s">
        <v>16863</v>
      </c>
      <c r="H35197" t="s">
        <v>32835</v>
      </c>
    </row>
    <row r="35198" spans="1:8">
      <c r="H35198" t="s">
        <v>32836</v>
      </c>
    </row>
    <row r="35199" spans="1:8">
      <c r="A35199" t="s">
        <v>2732</v>
      </c>
      <c r="B35199">
        <f>HYPERLINK("https://android.googlesource.com/platform/cts/+/9985c02c581520059fd7de70030411b5c2be9325", "9985c02c581520059fd7de70030411b5c2be9325")</f>
        <v>0</v>
      </c>
      <c r="C35199">
        <f>HYPERLINK("https://android.googlesource.com/platform/cts/+/d100e043d90f1cf8f4f15a0df4e6e45ba1022aaf", "d100e043d90f1cf8f4f15a0df4e6e45ba1022aaf")</f>
        <v>0</v>
      </c>
      <c r="D35199" t="s">
        <v>5446</v>
      </c>
      <c r="E35199" t="s">
        <v>8461</v>
      </c>
      <c r="F35199" t="s">
        <v>13997</v>
      </c>
      <c r="G35199" t="s">
        <v>16947</v>
      </c>
      <c r="H35199" t="s">
        <v>18829</v>
      </c>
    </row>
    <row r="35200" spans="1:8">
      <c r="H35200" t="s">
        <v>18863</v>
      </c>
    </row>
    <row r="35201" spans="1:8">
      <c r="H35201" t="s">
        <v>32837</v>
      </c>
    </row>
    <row r="35202" spans="1:8">
      <c r="H35202" t="s">
        <v>32838</v>
      </c>
    </row>
    <row r="35203" spans="1:8">
      <c r="H35203" t="s">
        <v>31775</v>
      </c>
    </row>
    <row r="35204" spans="1:8">
      <c r="H35204" t="s">
        <v>32839</v>
      </c>
    </row>
    <row r="35205" spans="1:8">
      <c r="A35205" t="s">
        <v>2733</v>
      </c>
      <c r="B35205">
        <f>HYPERLINK("https://android.googlesource.com/platform/cts/+/19f9b20e25a762e6cc6e4def3d53dba976bfada9", "19f9b20e25a762e6cc6e4def3d53dba976bfada9")</f>
        <v>0</v>
      </c>
      <c r="C35205">
        <f>HYPERLINK("https://android.googlesource.com/platform/cts/+/46e2b45a3082918d8cafe22fd0e69c7cd21cb713", "46e2b45a3082918d8cafe22fd0e69c7cd21cb713")</f>
        <v>0</v>
      </c>
      <c r="D35205" t="s">
        <v>5410</v>
      </c>
      <c r="E35205" t="s">
        <v>8462</v>
      </c>
      <c r="F35205" t="s">
        <v>13896</v>
      </c>
      <c r="G35205" t="s">
        <v>17933</v>
      </c>
      <c r="H35205" t="s">
        <v>18829</v>
      </c>
    </row>
    <row r="35206" spans="1:8">
      <c r="H35206" t="s">
        <v>18863</v>
      </c>
    </row>
    <row r="35207" spans="1:8">
      <c r="H35207" t="s">
        <v>31995</v>
      </c>
    </row>
    <row r="35208" spans="1:8">
      <c r="H35208" t="s">
        <v>31996</v>
      </c>
    </row>
    <row r="35209" spans="1:8">
      <c r="H35209" t="s">
        <v>31997</v>
      </c>
    </row>
    <row r="35210" spans="1:8">
      <c r="H35210" t="s">
        <v>31998</v>
      </c>
    </row>
    <row r="35211" spans="1:8">
      <c r="H35211" t="s">
        <v>31999</v>
      </c>
    </row>
    <row r="35212" spans="1:8">
      <c r="H35212" t="s">
        <v>32000</v>
      </c>
    </row>
    <row r="35213" spans="1:8">
      <c r="H35213" t="s">
        <v>32001</v>
      </c>
    </row>
    <row r="35214" spans="1:8">
      <c r="H35214" t="s">
        <v>32002</v>
      </c>
    </row>
    <row r="35215" spans="1:8">
      <c r="H35215" t="s">
        <v>32006</v>
      </c>
    </row>
    <row r="35216" spans="1:8">
      <c r="H35216" t="s">
        <v>32007</v>
      </c>
    </row>
    <row r="35217" spans="6:8">
      <c r="F35217" t="s">
        <v>13739</v>
      </c>
      <c r="G35217" t="s">
        <v>17799</v>
      </c>
      <c r="H35217" t="s">
        <v>18829</v>
      </c>
    </row>
    <row r="35218" spans="6:8">
      <c r="H35218" t="s">
        <v>18863</v>
      </c>
    </row>
    <row r="35219" spans="6:8">
      <c r="H35219" t="s">
        <v>32008</v>
      </c>
    </row>
    <row r="35220" spans="6:8">
      <c r="H35220" t="s">
        <v>32009</v>
      </c>
    </row>
    <row r="35221" spans="6:8">
      <c r="H35221" t="s">
        <v>32010</v>
      </c>
    </row>
    <row r="35222" spans="6:8">
      <c r="H35222" t="s">
        <v>32011</v>
      </c>
    </row>
    <row r="35223" spans="6:8">
      <c r="H35223" t="s">
        <v>32012</v>
      </c>
    </row>
    <row r="35224" spans="6:8">
      <c r="H35224" t="s">
        <v>32013</v>
      </c>
    </row>
    <row r="35225" spans="6:8">
      <c r="H35225" t="s">
        <v>32014</v>
      </c>
    </row>
    <row r="35226" spans="6:8">
      <c r="H35226" t="s">
        <v>32015</v>
      </c>
    </row>
    <row r="35227" spans="6:8">
      <c r="H35227" t="s">
        <v>18893</v>
      </c>
    </row>
    <row r="35228" spans="6:8">
      <c r="H35228" t="s">
        <v>32016</v>
      </c>
    </row>
    <row r="35229" spans="6:8">
      <c r="H35229" t="s">
        <v>32017</v>
      </c>
    </row>
    <row r="35230" spans="6:8">
      <c r="H35230" t="s">
        <v>32018</v>
      </c>
    </row>
    <row r="35231" spans="6:8">
      <c r="H35231" t="s">
        <v>31300</v>
      </c>
    </row>
    <row r="35232" spans="6:8">
      <c r="H35232" t="s">
        <v>32020</v>
      </c>
    </row>
    <row r="35233" spans="8:8">
      <c r="H35233" t="s">
        <v>32021</v>
      </c>
    </row>
    <row r="35234" spans="8:8">
      <c r="H35234" t="s">
        <v>32022</v>
      </c>
    </row>
    <row r="35235" spans="8:8">
      <c r="H35235" t="s">
        <v>32023</v>
      </c>
    </row>
    <row r="35236" spans="8:8">
      <c r="H35236" t="s">
        <v>32024</v>
      </c>
    </row>
    <row r="35237" spans="8:8">
      <c r="H35237" t="s">
        <v>32025</v>
      </c>
    </row>
    <row r="35238" spans="8:8">
      <c r="H35238" t="s">
        <v>32026</v>
      </c>
    </row>
    <row r="35239" spans="8:8">
      <c r="H35239" t="s">
        <v>32027</v>
      </c>
    </row>
    <row r="35240" spans="8:8">
      <c r="H35240" t="s">
        <v>32028</v>
      </c>
    </row>
    <row r="35241" spans="8:8">
      <c r="H35241" t="s">
        <v>32029</v>
      </c>
    </row>
    <row r="35242" spans="8:8">
      <c r="H35242" t="s">
        <v>32030</v>
      </c>
    </row>
    <row r="35243" spans="8:8">
      <c r="H35243" t="s">
        <v>32031</v>
      </c>
    </row>
    <row r="35244" spans="8:8">
      <c r="H35244" t="s">
        <v>32034</v>
      </c>
    </row>
    <row r="35245" spans="8:8">
      <c r="H35245" t="s">
        <v>32035</v>
      </c>
    </row>
    <row r="35246" spans="8:8">
      <c r="H35246" t="s">
        <v>32036</v>
      </c>
    </row>
    <row r="35247" spans="8:8">
      <c r="H35247" t="s">
        <v>32037</v>
      </c>
    </row>
    <row r="35248" spans="8:8">
      <c r="H35248" t="s">
        <v>32038</v>
      </c>
    </row>
    <row r="35249" spans="8:8">
      <c r="H35249" t="s">
        <v>32039</v>
      </c>
    </row>
    <row r="35250" spans="8:8">
      <c r="H35250" t="s">
        <v>32040</v>
      </c>
    </row>
    <row r="35251" spans="8:8">
      <c r="H35251" t="s">
        <v>32041</v>
      </c>
    </row>
    <row r="35252" spans="8:8">
      <c r="H35252" t="s">
        <v>32042</v>
      </c>
    </row>
    <row r="35253" spans="8:8">
      <c r="H35253" t="s">
        <v>32043</v>
      </c>
    </row>
    <row r="35254" spans="8:8">
      <c r="H35254" t="s">
        <v>32044</v>
      </c>
    </row>
    <row r="35255" spans="8:8">
      <c r="H35255" t="s">
        <v>32045</v>
      </c>
    </row>
    <row r="35256" spans="8:8">
      <c r="H35256" t="s">
        <v>32046</v>
      </c>
    </row>
    <row r="35257" spans="8:8">
      <c r="H35257" t="s">
        <v>32047</v>
      </c>
    </row>
    <row r="35258" spans="8:8">
      <c r="H35258" t="s">
        <v>32048</v>
      </c>
    </row>
    <row r="35259" spans="8:8">
      <c r="H35259" t="s">
        <v>32049</v>
      </c>
    </row>
    <row r="35260" spans="8:8">
      <c r="H35260" t="s">
        <v>32050</v>
      </c>
    </row>
    <row r="35261" spans="8:8">
      <c r="H35261" t="s">
        <v>32051</v>
      </c>
    </row>
    <row r="35262" spans="8:8">
      <c r="H35262" t="s">
        <v>32052</v>
      </c>
    </row>
    <row r="35263" spans="8:8">
      <c r="H35263" t="s">
        <v>32053</v>
      </c>
    </row>
    <row r="35264" spans="8:8">
      <c r="H35264" t="s">
        <v>32054</v>
      </c>
    </row>
    <row r="35265" spans="8:8">
      <c r="H35265" t="s">
        <v>32055</v>
      </c>
    </row>
    <row r="35266" spans="8:8">
      <c r="H35266" t="s">
        <v>32056</v>
      </c>
    </row>
    <row r="35267" spans="8:8">
      <c r="H35267" t="s">
        <v>32057</v>
      </c>
    </row>
    <row r="35268" spans="8:8">
      <c r="H35268" t="s">
        <v>32058</v>
      </c>
    </row>
    <row r="35269" spans="8:8">
      <c r="H35269" t="s">
        <v>32059</v>
      </c>
    </row>
    <row r="35270" spans="8:8">
      <c r="H35270" t="s">
        <v>32060</v>
      </c>
    </row>
    <row r="35271" spans="8:8">
      <c r="H35271" t="s">
        <v>32061</v>
      </c>
    </row>
    <row r="35272" spans="8:8">
      <c r="H35272" t="s">
        <v>32062</v>
      </c>
    </row>
    <row r="35273" spans="8:8">
      <c r="H35273" t="s">
        <v>32063</v>
      </c>
    </row>
    <row r="35274" spans="8:8">
      <c r="H35274" t="s">
        <v>32064</v>
      </c>
    </row>
    <row r="35275" spans="8:8">
      <c r="H35275" t="s">
        <v>32065</v>
      </c>
    </row>
    <row r="35276" spans="8:8">
      <c r="H35276" t="s">
        <v>32066</v>
      </c>
    </row>
    <row r="35277" spans="8:8">
      <c r="H35277" t="s">
        <v>32067</v>
      </c>
    </row>
    <row r="35278" spans="8:8">
      <c r="H35278" t="s">
        <v>32068</v>
      </c>
    </row>
    <row r="35279" spans="8:8">
      <c r="H35279" t="s">
        <v>32069</v>
      </c>
    </row>
    <row r="35280" spans="8:8">
      <c r="H35280" t="s">
        <v>32070</v>
      </c>
    </row>
    <row r="35281" spans="8:8">
      <c r="H35281" t="s">
        <v>32071</v>
      </c>
    </row>
    <row r="35282" spans="8:8">
      <c r="H35282" t="s">
        <v>32073</v>
      </c>
    </row>
    <row r="35283" spans="8:8">
      <c r="H35283" t="s">
        <v>32074</v>
      </c>
    </row>
    <row r="35284" spans="8:8">
      <c r="H35284" t="s">
        <v>32075</v>
      </c>
    </row>
    <row r="35285" spans="8:8">
      <c r="H35285" t="s">
        <v>32076</v>
      </c>
    </row>
    <row r="35286" spans="8:8">
      <c r="H35286" t="s">
        <v>32077</v>
      </c>
    </row>
    <row r="35287" spans="8:8">
      <c r="H35287" t="s">
        <v>32078</v>
      </c>
    </row>
    <row r="35288" spans="8:8">
      <c r="H35288" t="s">
        <v>32078</v>
      </c>
    </row>
    <row r="35289" spans="8:8">
      <c r="H35289" t="s">
        <v>32079</v>
      </c>
    </row>
    <row r="35290" spans="8:8">
      <c r="H35290" t="s">
        <v>32079</v>
      </c>
    </row>
    <row r="35291" spans="8:8">
      <c r="H35291" t="s">
        <v>26401</v>
      </c>
    </row>
    <row r="35292" spans="8:8">
      <c r="H35292" t="s">
        <v>32080</v>
      </c>
    </row>
    <row r="35293" spans="8:8">
      <c r="H35293" t="s">
        <v>32081</v>
      </c>
    </row>
    <row r="35294" spans="8:8">
      <c r="H35294" t="s">
        <v>32082</v>
      </c>
    </row>
    <row r="35295" spans="8:8">
      <c r="H35295" t="s">
        <v>25729</v>
      </c>
    </row>
    <row r="35296" spans="8:8">
      <c r="H35296" t="s">
        <v>31396</v>
      </c>
    </row>
    <row r="35297" spans="6:8">
      <c r="H35297" t="s">
        <v>31397</v>
      </c>
    </row>
    <row r="35298" spans="6:8">
      <c r="H35298" t="s">
        <v>31398</v>
      </c>
    </row>
    <row r="35299" spans="6:8">
      <c r="H35299" t="s">
        <v>31399</v>
      </c>
    </row>
    <row r="35300" spans="6:8">
      <c r="H35300" t="s">
        <v>31400</v>
      </c>
    </row>
    <row r="35301" spans="6:8">
      <c r="F35301" t="s">
        <v>13732</v>
      </c>
      <c r="G35301" t="s">
        <v>17793</v>
      </c>
      <c r="H35301" t="s">
        <v>18829</v>
      </c>
    </row>
    <row r="35302" spans="6:8">
      <c r="H35302" t="s">
        <v>20304</v>
      </c>
    </row>
    <row r="35303" spans="6:8">
      <c r="H35303" t="s">
        <v>20305</v>
      </c>
    </row>
    <row r="35304" spans="6:8">
      <c r="H35304" t="s">
        <v>20306</v>
      </c>
    </row>
    <row r="35305" spans="6:8">
      <c r="H35305" t="s">
        <v>20307</v>
      </c>
    </row>
    <row r="35306" spans="6:8">
      <c r="H35306" t="s">
        <v>20308</v>
      </c>
    </row>
    <row r="35307" spans="6:8">
      <c r="H35307" t="s">
        <v>20309</v>
      </c>
    </row>
    <row r="35308" spans="6:8">
      <c r="H35308" t="s">
        <v>20310</v>
      </c>
    </row>
    <row r="35309" spans="6:8">
      <c r="H35309" t="s">
        <v>32100</v>
      </c>
    </row>
    <row r="35310" spans="6:8">
      <c r="H35310" t="s">
        <v>32101</v>
      </c>
    </row>
    <row r="35311" spans="6:8">
      <c r="H35311" t="s">
        <v>32102</v>
      </c>
    </row>
    <row r="35312" spans="6:8">
      <c r="H35312" t="s">
        <v>19646</v>
      </c>
    </row>
    <row r="35313" spans="8:8">
      <c r="H35313" t="s">
        <v>19647</v>
      </c>
    </row>
    <row r="35314" spans="8:8">
      <c r="H35314" t="s">
        <v>19648</v>
      </c>
    </row>
    <row r="35315" spans="8:8">
      <c r="H35315" t="s">
        <v>19649</v>
      </c>
    </row>
    <row r="35316" spans="8:8">
      <c r="H35316" t="s">
        <v>19650</v>
      </c>
    </row>
    <row r="35317" spans="8:8">
      <c r="H35317" t="s">
        <v>19651</v>
      </c>
    </row>
    <row r="35318" spans="8:8">
      <c r="H35318" t="s">
        <v>19652</v>
      </c>
    </row>
    <row r="35319" spans="8:8">
      <c r="H35319" t="s">
        <v>32103</v>
      </c>
    </row>
    <row r="35320" spans="8:8">
      <c r="H35320" t="s">
        <v>20311</v>
      </c>
    </row>
    <row r="35321" spans="8:8">
      <c r="H35321" t="s">
        <v>32104</v>
      </c>
    </row>
    <row r="35322" spans="8:8">
      <c r="H35322" t="s">
        <v>31290</v>
      </c>
    </row>
    <row r="35323" spans="8:8">
      <c r="H35323" t="s">
        <v>32105</v>
      </c>
    </row>
    <row r="35324" spans="8:8">
      <c r="H35324" t="s">
        <v>32106</v>
      </c>
    </row>
    <row r="35325" spans="8:8">
      <c r="H35325" t="s">
        <v>32107</v>
      </c>
    </row>
    <row r="35326" spans="8:8">
      <c r="H35326" t="s">
        <v>32108</v>
      </c>
    </row>
    <row r="35327" spans="8:8">
      <c r="H35327" t="s">
        <v>32109</v>
      </c>
    </row>
    <row r="35328" spans="8:8">
      <c r="H35328" t="s">
        <v>32110</v>
      </c>
    </row>
    <row r="35329" spans="1:8">
      <c r="H35329" t="s">
        <v>18927</v>
      </c>
    </row>
    <row r="35330" spans="1:8">
      <c r="H35330" t="s">
        <v>19264</v>
      </c>
    </row>
    <row r="35331" spans="1:8">
      <c r="H35331" t="s">
        <v>32111</v>
      </c>
    </row>
    <row r="35332" spans="1:8">
      <c r="H35332" t="s">
        <v>32112</v>
      </c>
    </row>
    <row r="35333" spans="1:8">
      <c r="A35333" t="s">
        <v>2734</v>
      </c>
      <c r="B35333">
        <f>HYPERLINK("https://android.googlesource.com/platform/cts/+/0f07198cd7776099b3ac1191688d2244419b7e1c", "0f07198cd7776099b3ac1191688d2244419b7e1c")</f>
        <v>0</v>
      </c>
      <c r="C35333">
        <f>HYPERLINK("https://android.googlesource.com/platform/cts/+/480f1c3335d778eaff0d60ba9b84f4f978aff571", "480f1c3335d778eaff0d60ba9b84f4f978aff571")</f>
        <v>0</v>
      </c>
      <c r="D35333" t="s">
        <v>5297</v>
      </c>
      <c r="E35333" t="s">
        <v>8463</v>
      </c>
      <c r="F35333" t="s">
        <v>13998</v>
      </c>
      <c r="G35333" t="s">
        <v>18012</v>
      </c>
      <c r="H35333" t="s">
        <v>32840</v>
      </c>
    </row>
    <row r="35334" spans="1:8">
      <c r="H35334" t="s">
        <v>18829</v>
      </c>
    </row>
    <row r="35335" spans="1:8">
      <c r="H35335" t="s">
        <v>32841</v>
      </c>
    </row>
    <row r="35336" spans="1:8">
      <c r="H35336" t="s">
        <v>32842</v>
      </c>
    </row>
    <row r="35337" spans="1:8">
      <c r="A35337" t="s">
        <v>2735</v>
      </c>
      <c r="B35337">
        <f>HYPERLINK("https://android.googlesource.com/platform/cts/+/7905c0e1dd59a5639deec3538e6bac3ef9ef984d", "7905c0e1dd59a5639deec3538e6bac3ef9ef984d")</f>
        <v>0</v>
      </c>
      <c r="C35337">
        <f>HYPERLINK("https://android.googlesource.com/platform/cts/+/1df1f8329261cc653d2f9cb457bb390874e24a4c", "1df1f8329261cc653d2f9cb457bb390874e24a4c")</f>
        <v>0</v>
      </c>
      <c r="D35337" t="s">
        <v>5085</v>
      </c>
      <c r="E35337" t="s">
        <v>8464</v>
      </c>
      <c r="F35337" t="s">
        <v>13999</v>
      </c>
      <c r="G35337" t="s">
        <v>15330</v>
      </c>
      <c r="H35337" t="s">
        <v>27192</v>
      </c>
    </row>
    <row r="35338" spans="1:8">
      <c r="H35338" t="s">
        <v>20012</v>
      </c>
    </row>
    <row r="35339" spans="1:8">
      <c r="A35339" t="s">
        <v>2736</v>
      </c>
      <c r="B35339">
        <f>HYPERLINK("https://android.googlesource.com/platform/cts/+/d4a57d45ffb22cd149877e9ac550b68c1485a94b", "d4a57d45ffb22cd149877e9ac550b68c1485a94b")</f>
        <v>0</v>
      </c>
      <c r="C35339">
        <f>HYPERLINK("https://android.googlesource.com/platform/cts/+/40e93f5ebd523b7523661cd55e4f991357026d45", "40e93f5ebd523b7523661cd55e4f991357026d45")</f>
        <v>0</v>
      </c>
      <c r="D35339" t="s">
        <v>5134</v>
      </c>
      <c r="E35339" t="s">
        <v>8465</v>
      </c>
      <c r="F35339" t="s">
        <v>13091</v>
      </c>
      <c r="G35339" t="s">
        <v>17253</v>
      </c>
      <c r="H35339" t="s">
        <v>32843</v>
      </c>
    </row>
    <row r="35340" spans="1:8">
      <c r="A35340" t="s">
        <v>2737</v>
      </c>
      <c r="B35340">
        <f>HYPERLINK("https://android.googlesource.com/platform/cts/+/188a16c7022af87a3fa5a8fe68e31d789a4beea5", "188a16c7022af87a3fa5a8fe68e31d789a4beea5")</f>
        <v>0</v>
      </c>
      <c r="C35340">
        <f>HYPERLINK("https://android.googlesource.com/platform/cts/+/c501b7791cc44bc0b890c4a3ef11dccd34b0a7b8", "c501b7791cc44bc0b890c4a3ef11dccd34b0a7b8")</f>
        <v>0</v>
      </c>
      <c r="D35340" t="s">
        <v>5293</v>
      </c>
      <c r="E35340" t="s">
        <v>8466</v>
      </c>
      <c r="F35340" t="s">
        <v>10606</v>
      </c>
      <c r="G35340" t="s">
        <v>15009</v>
      </c>
      <c r="H35340" t="s">
        <v>22237</v>
      </c>
    </row>
    <row r="35341" spans="1:8">
      <c r="H35341" t="s">
        <v>32844</v>
      </c>
    </row>
    <row r="35342" spans="1:8">
      <c r="H35342" t="s">
        <v>32832</v>
      </c>
    </row>
    <row r="35343" spans="1:8">
      <c r="F35343" t="s">
        <v>10785</v>
      </c>
      <c r="G35343" t="s">
        <v>15181</v>
      </c>
      <c r="H35343" t="s">
        <v>22237</v>
      </c>
    </row>
    <row r="35344" spans="1:8">
      <c r="H35344" t="s">
        <v>32832</v>
      </c>
    </row>
    <row r="35345" spans="1:8">
      <c r="A35345" t="s">
        <v>2738</v>
      </c>
      <c r="B35345">
        <f>HYPERLINK("https://android.googlesource.com/platform/cts/+/6c44a40754d53b5979aa31efe986f416add98e5a", "6c44a40754d53b5979aa31efe986f416add98e5a")</f>
        <v>0</v>
      </c>
      <c r="C35345">
        <f>HYPERLINK("https://android.googlesource.com/platform/cts/+/aaf63c33bf9795bda8a88651288f8efacb65da0d", "aaf63c33bf9795bda8a88651288f8efacb65da0d")</f>
        <v>0</v>
      </c>
      <c r="D35345" t="s">
        <v>5197</v>
      </c>
      <c r="E35345" t="s">
        <v>8467</v>
      </c>
      <c r="F35345" t="s">
        <v>14000</v>
      </c>
      <c r="G35345" t="s">
        <v>18013</v>
      </c>
      <c r="H35345" t="s">
        <v>32845</v>
      </c>
    </row>
    <row r="35346" spans="1:8">
      <c r="H35346" t="s">
        <v>32846</v>
      </c>
    </row>
    <row r="35347" spans="1:8">
      <c r="H35347" t="s">
        <v>32847</v>
      </c>
    </row>
    <row r="35348" spans="1:8">
      <c r="F35348" t="s">
        <v>14001</v>
      </c>
      <c r="G35348" t="s">
        <v>18014</v>
      </c>
      <c r="H35348" t="s">
        <v>32848</v>
      </c>
    </row>
    <row r="35349" spans="1:8">
      <c r="H35349" t="s">
        <v>32847</v>
      </c>
    </row>
    <row r="35350" spans="1:8">
      <c r="F35350" t="s">
        <v>14002</v>
      </c>
      <c r="G35350" t="s">
        <v>18015</v>
      </c>
      <c r="H35350" t="s">
        <v>32849</v>
      </c>
    </row>
    <row r="35351" spans="1:8">
      <c r="H35351" t="s">
        <v>32846</v>
      </c>
    </row>
    <row r="35352" spans="1:8">
      <c r="H35352" t="s">
        <v>32847</v>
      </c>
    </row>
    <row r="35353" spans="1:8">
      <c r="A35353" t="s">
        <v>2739</v>
      </c>
      <c r="B35353">
        <f>HYPERLINK("https://android.googlesource.com/platform/cts/+/34f9744e4b50da4b9c59eeddecc792399fae6c2c", "34f9744e4b50da4b9c59eeddecc792399fae6c2c")</f>
        <v>0</v>
      </c>
      <c r="C35353">
        <f>HYPERLINK("https://android.googlesource.com/platform/cts/+/2558fb0818391cd542c864ba5df2389076b60781", "2558fb0818391cd542c864ba5df2389076b60781")</f>
        <v>0</v>
      </c>
      <c r="D35353" t="s">
        <v>5247</v>
      </c>
      <c r="E35353" t="s">
        <v>8468</v>
      </c>
      <c r="F35353" t="s">
        <v>13892</v>
      </c>
      <c r="G35353" t="s">
        <v>17929</v>
      </c>
      <c r="H35353" t="s">
        <v>18829</v>
      </c>
    </row>
    <row r="35354" spans="1:8">
      <c r="A35354" t="s">
        <v>2740</v>
      </c>
      <c r="B35354">
        <f>HYPERLINK("https://android.googlesource.com/platform/cts/+/a5abed5dc8b00eeec5a272a034c6bd5238f6891c", "a5abed5dc8b00eeec5a272a034c6bd5238f6891c")</f>
        <v>0</v>
      </c>
      <c r="C35354">
        <f>HYPERLINK("https://android.googlesource.com/platform/cts/+/f20b0efcb401db778d66894f5f5578b1d3cb769a", "f20b0efcb401db778d66894f5f5578b1d3cb769a")</f>
        <v>0</v>
      </c>
      <c r="D35354" t="s">
        <v>5363</v>
      </c>
      <c r="E35354" t="s">
        <v>8469</v>
      </c>
      <c r="F35354" t="s">
        <v>13770</v>
      </c>
      <c r="G35354" t="s">
        <v>14997</v>
      </c>
      <c r="H35354" t="s">
        <v>18829</v>
      </c>
    </row>
    <row r="35355" spans="1:8">
      <c r="H35355" t="s">
        <v>32850</v>
      </c>
    </row>
    <row r="35356" spans="1:8">
      <c r="H35356" t="s">
        <v>32851</v>
      </c>
    </row>
    <row r="35357" spans="1:8">
      <c r="H35357" t="s">
        <v>32852</v>
      </c>
    </row>
    <row r="35358" spans="1:8">
      <c r="H35358" t="s">
        <v>32853</v>
      </c>
    </row>
    <row r="35359" spans="1:8">
      <c r="H35359" t="s">
        <v>32854</v>
      </c>
    </row>
    <row r="35360" spans="1:8">
      <c r="H35360" t="s">
        <v>32855</v>
      </c>
    </row>
    <row r="35361" spans="8:8">
      <c r="H35361" t="s">
        <v>32856</v>
      </c>
    </row>
    <row r="35362" spans="8:8">
      <c r="H35362" t="s">
        <v>32857</v>
      </c>
    </row>
    <row r="35363" spans="8:8">
      <c r="H35363" t="s">
        <v>32858</v>
      </c>
    </row>
    <row r="35364" spans="8:8">
      <c r="H35364" t="s">
        <v>32859</v>
      </c>
    </row>
    <row r="35365" spans="8:8">
      <c r="H35365" t="s">
        <v>32860</v>
      </c>
    </row>
    <row r="35366" spans="8:8">
      <c r="H35366" t="s">
        <v>32861</v>
      </c>
    </row>
    <row r="35367" spans="8:8">
      <c r="H35367" t="s">
        <v>32862</v>
      </c>
    </row>
    <row r="35368" spans="8:8">
      <c r="H35368" t="s">
        <v>32863</v>
      </c>
    </row>
    <row r="35369" spans="8:8">
      <c r="H35369" t="s">
        <v>32864</v>
      </c>
    </row>
    <row r="35370" spans="8:8">
      <c r="H35370" t="s">
        <v>32865</v>
      </c>
    </row>
    <row r="35371" spans="8:8">
      <c r="H35371" t="s">
        <v>18969</v>
      </c>
    </row>
    <row r="35372" spans="8:8">
      <c r="H35372" t="s">
        <v>32866</v>
      </c>
    </row>
    <row r="35373" spans="8:8">
      <c r="H35373" t="s">
        <v>18971</v>
      </c>
    </row>
    <row r="35374" spans="8:8">
      <c r="H35374" t="s">
        <v>18970</v>
      </c>
    </row>
    <row r="35375" spans="8:8">
      <c r="H35375" t="s">
        <v>18972</v>
      </c>
    </row>
    <row r="35376" spans="8:8">
      <c r="H35376" t="s">
        <v>32808</v>
      </c>
    </row>
    <row r="35377" spans="1:8">
      <c r="H35377" t="s">
        <v>32809</v>
      </c>
    </row>
    <row r="35378" spans="1:8">
      <c r="H35378" t="s">
        <v>32810</v>
      </c>
    </row>
    <row r="35379" spans="1:8">
      <c r="H35379" t="s">
        <v>32811</v>
      </c>
    </row>
    <row r="35380" spans="1:8">
      <c r="A35380" t="s">
        <v>2741</v>
      </c>
      <c r="B35380">
        <f>HYPERLINK("https://android.googlesource.com/platform/cts/+/88ecda5915816eb764d65152583a877b941b4ed4", "88ecda5915816eb764d65152583a877b941b4ed4")</f>
        <v>0</v>
      </c>
      <c r="C35380">
        <f>HYPERLINK("https://android.googlesource.com/platform/cts/+/78d31f5b93ef17637136ebff62c1cf4df3d518f8", "78d31f5b93ef17637136ebff62c1cf4df3d518f8")</f>
        <v>0</v>
      </c>
      <c r="D35380" t="s">
        <v>5182</v>
      </c>
      <c r="E35380" t="s">
        <v>8470</v>
      </c>
      <c r="F35380" t="s">
        <v>12820</v>
      </c>
      <c r="G35380" t="s">
        <v>16999</v>
      </c>
      <c r="H35380" t="s">
        <v>32867</v>
      </c>
    </row>
    <row r="35381" spans="1:8">
      <c r="H35381" t="s">
        <v>26549</v>
      </c>
    </row>
    <row r="35382" spans="1:8">
      <c r="H35382" t="s">
        <v>32868</v>
      </c>
    </row>
    <row r="35383" spans="1:8">
      <c r="H35383" t="s">
        <v>32869</v>
      </c>
    </row>
    <row r="35384" spans="1:8">
      <c r="H35384" t="s">
        <v>32870</v>
      </c>
    </row>
    <row r="35385" spans="1:8">
      <c r="A35385" t="s">
        <v>2742</v>
      </c>
      <c r="B35385">
        <f>HYPERLINK("https://android.googlesource.com/platform/cts/+/f2f21285baae1f7967d96eace38ced7dc5c14f36", "f2f21285baae1f7967d96eace38ced7dc5c14f36")</f>
        <v>0</v>
      </c>
      <c r="C35385">
        <f>HYPERLINK("https://android.googlesource.com/platform/cts/+/edc8492c8ebd7e134a5d968a36cf44e9ee764498", "edc8492c8ebd7e134a5d968a36cf44e9ee764498")</f>
        <v>0</v>
      </c>
      <c r="D35385" t="s">
        <v>5400</v>
      </c>
      <c r="E35385" t="s">
        <v>8471</v>
      </c>
      <c r="F35385" t="s">
        <v>13892</v>
      </c>
      <c r="G35385" t="s">
        <v>17929</v>
      </c>
      <c r="H35385" t="s">
        <v>32871</v>
      </c>
    </row>
    <row r="35386" spans="1:8">
      <c r="H35386" t="s">
        <v>31838</v>
      </c>
    </row>
    <row r="35387" spans="1:8">
      <c r="A35387" t="s">
        <v>2743</v>
      </c>
      <c r="B35387">
        <f>HYPERLINK("https://android.googlesource.com/platform/cts/+/5d51b8786a35a1b5e65398c52051607b13ea8df7", "5d51b8786a35a1b5e65398c52051607b13ea8df7")</f>
        <v>0</v>
      </c>
      <c r="C35387">
        <f>HYPERLINK("https://android.googlesource.com/platform/cts/+/8cf9a5e2114c6a5e1def8b1cf321b442f58e1960", "8cf9a5e2114c6a5e1def8b1cf321b442f58e1960")</f>
        <v>0</v>
      </c>
      <c r="D35387" t="s">
        <v>5400</v>
      </c>
      <c r="E35387" t="s">
        <v>8472</v>
      </c>
      <c r="F35387" t="s">
        <v>13892</v>
      </c>
      <c r="G35387" t="s">
        <v>17929</v>
      </c>
      <c r="H35387" t="s">
        <v>32871</v>
      </c>
    </row>
    <row r="35388" spans="1:8">
      <c r="H35388" t="s">
        <v>31838</v>
      </c>
    </row>
    <row r="35389" spans="1:8">
      <c r="A35389" t="s">
        <v>2744</v>
      </c>
      <c r="B35389">
        <f>HYPERLINK("https://android.googlesource.com/platform/cts/+/b02cec797ab269b69b9ed832af5e683d10a84bdf", "b02cec797ab269b69b9ed832af5e683d10a84bdf")</f>
        <v>0</v>
      </c>
      <c r="C35389">
        <f>HYPERLINK("https://android.googlesource.com/platform/cts/+/1c6f1b6750287bdcd26954d31182a319a5b99de0", "1c6f1b6750287bdcd26954d31182a319a5b99de0")</f>
        <v>0</v>
      </c>
      <c r="D35389" t="s">
        <v>5447</v>
      </c>
      <c r="E35389" t="s">
        <v>8473</v>
      </c>
      <c r="F35389" t="s">
        <v>13968</v>
      </c>
      <c r="G35389" t="s">
        <v>17993</v>
      </c>
      <c r="H35389" t="s">
        <v>32872</v>
      </c>
    </row>
    <row r="35390" spans="1:8">
      <c r="A35390" t="s">
        <v>2745</v>
      </c>
      <c r="B35390">
        <f>HYPERLINK("https://android.googlesource.com/platform/cts/+/299da86a2aeae763ccd30b90ef4fdf77b19d5a2c", "299da86a2aeae763ccd30b90ef4fdf77b19d5a2c")</f>
        <v>0</v>
      </c>
      <c r="C35390">
        <f>HYPERLINK("https://android.googlesource.com/platform/cts/+/6b4ff559910efe8648ea438c184459586f943144", "6b4ff559910efe8648ea438c184459586f943144")</f>
        <v>0</v>
      </c>
      <c r="D35390" t="s">
        <v>5374</v>
      </c>
      <c r="E35390" t="s">
        <v>8474</v>
      </c>
      <c r="F35390" t="s">
        <v>12733</v>
      </c>
      <c r="G35390" t="s">
        <v>16854</v>
      </c>
      <c r="H35390" t="s">
        <v>32873</v>
      </c>
    </row>
    <row r="35391" spans="1:8">
      <c r="A35391" t="s">
        <v>2746</v>
      </c>
      <c r="B35391">
        <f>HYPERLINK("https://android.googlesource.com/platform/cts/+/a775c8c0dd05ee0095a0a198f60b7a19eafbe9c4", "a775c8c0dd05ee0095a0a198f60b7a19eafbe9c4")</f>
        <v>0</v>
      </c>
      <c r="C35391">
        <f>HYPERLINK("https://android.googlesource.com/platform/cts/+/92130edc486f5d63def65dcb47d55dde7bd8eca0", "92130edc486f5d63def65dcb47d55dde7bd8eca0")</f>
        <v>0</v>
      </c>
      <c r="D35391" t="s">
        <v>5448</v>
      </c>
      <c r="E35391" t="s">
        <v>8475</v>
      </c>
      <c r="F35391" t="s">
        <v>14003</v>
      </c>
      <c r="G35391" t="s">
        <v>18016</v>
      </c>
      <c r="H35391" t="s">
        <v>26642</v>
      </c>
    </row>
    <row r="35392" spans="1:8">
      <c r="F35392" t="s">
        <v>14004</v>
      </c>
      <c r="G35392" t="s">
        <v>17023</v>
      </c>
      <c r="H35392" t="s">
        <v>26642</v>
      </c>
    </row>
    <row r="35393" spans="1:8">
      <c r="F35393" t="s">
        <v>14005</v>
      </c>
      <c r="G35393" t="s">
        <v>18017</v>
      </c>
      <c r="H35393" t="s">
        <v>26642</v>
      </c>
    </row>
    <row r="35394" spans="1:8">
      <c r="A35394" t="s">
        <v>2747</v>
      </c>
      <c r="B35394">
        <f>HYPERLINK("https://android.googlesource.com/platform/cts/+/5f4a28a356ca2bc29ee2478db32a0818b16fe438", "5f4a28a356ca2bc29ee2478db32a0818b16fe438")</f>
        <v>0</v>
      </c>
      <c r="C35394">
        <f>HYPERLINK("https://android.googlesource.com/platform/cts/+/23b4ab34b38bf8e2052679da18ddcd3391898652", "23b4ab34b38bf8e2052679da18ddcd3391898652")</f>
        <v>0</v>
      </c>
      <c r="D35394" t="s">
        <v>5449</v>
      </c>
      <c r="E35394" t="s">
        <v>8476</v>
      </c>
      <c r="F35394" t="s">
        <v>14006</v>
      </c>
      <c r="G35394" t="s">
        <v>18018</v>
      </c>
      <c r="H35394" t="s">
        <v>32874</v>
      </c>
    </row>
    <row r="35395" spans="1:8">
      <c r="F35395" t="s">
        <v>14007</v>
      </c>
      <c r="G35395" t="s">
        <v>18019</v>
      </c>
      <c r="H35395" t="s">
        <v>32875</v>
      </c>
    </row>
    <row r="35396" spans="1:8">
      <c r="F35396" t="s">
        <v>14008</v>
      </c>
      <c r="G35396" t="s">
        <v>18020</v>
      </c>
      <c r="H35396" t="s">
        <v>32876</v>
      </c>
    </row>
    <row r="35397" spans="1:8">
      <c r="F35397" t="s">
        <v>14009</v>
      </c>
      <c r="G35397" t="s">
        <v>18021</v>
      </c>
      <c r="H35397" t="s">
        <v>32877</v>
      </c>
    </row>
    <row r="35398" spans="1:8">
      <c r="H35398" t="s">
        <v>32878</v>
      </c>
    </row>
    <row r="35399" spans="1:8">
      <c r="F35399" t="s">
        <v>14010</v>
      </c>
      <c r="G35399" t="s">
        <v>18022</v>
      </c>
      <c r="H35399" t="s">
        <v>32879</v>
      </c>
    </row>
    <row r="35400" spans="1:8">
      <c r="H35400" t="s">
        <v>32880</v>
      </c>
    </row>
    <row r="35401" spans="1:8">
      <c r="H35401" t="s">
        <v>32881</v>
      </c>
    </row>
    <row r="35402" spans="1:8">
      <c r="H35402" t="s">
        <v>32882</v>
      </c>
    </row>
    <row r="35403" spans="1:8">
      <c r="A35403" t="s">
        <v>2748</v>
      </c>
      <c r="B35403">
        <f>HYPERLINK("https://android.googlesource.com/platform/cts/+/fef7584fa028047d5aa222adb3f3c7d3e1916c57", "fef7584fa028047d5aa222adb3f3c7d3e1916c57")</f>
        <v>0</v>
      </c>
      <c r="C35403">
        <f>HYPERLINK("https://android.googlesource.com/platform/cts/+/761bf2d6da2b94d4df27f48550dbdb22be1228c4", "761bf2d6da2b94d4df27f48550dbdb22be1228c4")</f>
        <v>0</v>
      </c>
      <c r="D35403" t="s">
        <v>5450</v>
      </c>
      <c r="E35403" t="s">
        <v>8477</v>
      </c>
      <c r="F35403" t="s">
        <v>14011</v>
      </c>
      <c r="G35403" t="s">
        <v>18023</v>
      </c>
      <c r="H35403" t="s">
        <v>32883</v>
      </c>
    </row>
    <row r="35404" spans="1:8">
      <c r="A35404" t="s">
        <v>2749</v>
      </c>
      <c r="B35404">
        <f>HYPERLINK("https://android.googlesource.com/platform/cts/+/1f2db5ed9dff046bd69fc55f82e6361e2140dd26", "1f2db5ed9dff046bd69fc55f82e6361e2140dd26")</f>
        <v>0</v>
      </c>
      <c r="C35404">
        <f>HYPERLINK("https://android.googlesource.com/platform/cts/+/a31f33f7260b9d7260fd9a92e641e862dbdb7918", "a31f33f7260b9d7260fd9a92e641e862dbdb7918")</f>
        <v>0</v>
      </c>
      <c r="D35404" t="s">
        <v>5450</v>
      </c>
      <c r="E35404" t="s">
        <v>8478</v>
      </c>
      <c r="F35404" t="s">
        <v>14011</v>
      </c>
      <c r="G35404" t="s">
        <v>18023</v>
      </c>
      <c r="H35404" t="s">
        <v>32883</v>
      </c>
    </row>
    <row r="35405" spans="1:8">
      <c r="A35405" t="s">
        <v>2750</v>
      </c>
      <c r="B35405">
        <f>HYPERLINK("https://android.googlesource.com/platform/cts/+/01f3e21125c00adf0dfe32546818cea55f9c00a0", "01f3e21125c00adf0dfe32546818cea55f9c00a0")</f>
        <v>0</v>
      </c>
      <c r="C35405">
        <f>HYPERLINK("https://android.googlesource.com/platform/cts/+/185857f1d80ac8b92b0b7578cab700b4ab3eb07b", "185857f1d80ac8b92b0b7578cab700b4ab3eb07b")</f>
        <v>0</v>
      </c>
      <c r="D35405" t="s">
        <v>5451</v>
      </c>
      <c r="E35405" t="s">
        <v>8479</v>
      </c>
      <c r="F35405" t="s">
        <v>13371</v>
      </c>
      <c r="G35405" t="s">
        <v>17498</v>
      </c>
      <c r="H35405" t="s">
        <v>32884</v>
      </c>
    </row>
    <row r="35406" spans="1:8">
      <c r="A35406" t="s">
        <v>2751</v>
      </c>
      <c r="B35406">
        <f>HYPERLINK("https://android.googlesource.com/platform/cts/+/72a2f058675973c14e637927aaabe63e4ae57bb3", "72a2f058675973c14e637927aaabe63e4ae57bb3")</f>
        <v>0</v>
      </c>
      <c r="C35406">
        <f>HYPERLINK("https://android.googlesource.com/platform/cts/+/93f872f20ea88a36f0de5ef6f0fe4b7ada3aa3f3", "93f872f20ea88a36f0de5ef6f0fe4b7ada3aa3f3")</f>
        <v>0</v>
      </c>
      <c r="D35406" t="s">
        <v>5452</v>
      </c>
      <c r="E35406" t="s">
        <v>8480</v>
      </c>
      <c r="F35406" t="s">
        <v>14012</v>
      </c>
      <c r="G35406" t="s">
        <v>18024</v>
      </c>
      <c r="H35406" t="s">
        <v>32885</v>
      </c>
    </row>
    <row r="35407" spans="1:8">
      <c r="H35407" t="s">
        <v>32885</v>
      </c>
    </row>
    <row r="35408" spans="1:8">
      <c r="H35408" t="s">
        <v>32886</v>
      </c>
    </row>
    <row r="35409" spans="1:8">
      <c r="H35409" t="s">
        <v>32887</v>
      </c>
    </row>
    <row r="35410" spans="1:8">
      <c r="H35410" t="s">
        <v>28427</v>
      </c>
    </row>
    <row r="35411" spans="1:8">
      <c r="H35411" t="s">
        <v>32888</v>
      </c>
    </row>
    <row r="35412" spans="1:8">
      <c r="H35412" t="s">
        <v>32889</v>
      </c>
    </row>
    <row r="35413" spans="1:8">
      <c r="H35413" t="s">
        <v>32890</v>
      </c>
    </row>
    <row r="35414" spans="1:8">
      <c r="A35414" t="s">
        <v>2752</v>
      </c>
      <c r="B35414">
        <f>HYPERLINK("https://android.googlesource.com/platform/cts/+/279f26e78dc11f05c591f8bbc1f6f1bee5554429", "279f26e78dc11f05c591f8bbc1f6f1bee5554429")</f>
        <v>0</v>
      </c>
      <c r="C35414">
        <f>HYPERLINK("https://android.googlesource.com/platform/cts/+/f85b67b60ad157d1d09801834f33f3692e48d7a9", "f85b67b60ad157d1d09801834f33f3692e48d7a9")</f>
        <v>0</v>
      </c>
      <c r="D35414" t="s">
        <v>5449</v>
      </c>
      <c r="E35414" t="s">
        <v>8481</v>
      </c>
      <c r="F35414" t="s">
        <v>14006</v>
      </c>
      <c r="G35414" t="s">
        <v>18018</v>
      </c>
      <c r="H35414" t="s">
        <v>19233</v>
      </c>
    </row>
    <row r="35415" spans="1:8">
      <c r="H35415" t="s">
        <v>19232</v>
      </c>
    </row>
    <row r="35416" spans="1:8">
      <c r="H35416" t="s">
        <v>32891</v>
      </c>
    </row>
    <row r="35417" spans="1:8">
      <c r="F35417" t="s">
        <v>14007</v>
      </c>
      <c r="G35417" t="s">
        <v>18019</v>
      </c>
      <c r="H35417" t="s">
        <v>19233</v>
      </c>
    </row>
    <row r="35418" spans="1:8">
      <c r="H35418" t="s">
        <v>19232</v>
      </c>
    </row>
    <row r="35419" spans="1:8">
      <c r="H35419" t="s">
        <v>32891</v>
      </c>
    </row>
    <row r="35420" spans="1:8">
      <c r="F35420" t="s">
        <v>14008</v>
      </c>
      <c r="G35420" t="s">
        <v>18020</v>
      </c>
      <c r="H35420" t="s">
        <v>19233</v>
      </c>
    </row>
    <row r="35421" spans="1:8">
      <c r="H35421" t="s">
        <v>19232</v>
      </c>
    </row>
    <row r="35422" spans="1:8">
      <c r="H35422" t="s">
        <v>32891</v>
      </c>
    </row>
    <row r="35423" spans="1:8">
      <c r="F35423" t="s">
        <v>14013</v>
      </c>
      <c r="G35423" t="s">
        <v>18025</v>
      </c>
      <c r="H35423" t="s">
        <v>19233</v>
      </c>
    </row>
    <row r="35424" spans="1:8">
      <c r="H35424" t="s">
        <v>19232</v>
      </c>
    </row>
    <row r="35425" spans="1:8">
      <c r="H35425" t="s">
        <v>32891</v>
      </c>
    </row>
    <row r="35426" spans="1:8">
      <c r="F35426" t="s">
        <v>14009</v>
      </c>
      <c r="G35426" t="s">
        <v>18021</v>
      </c>
      <c r="H35426" t="s">
        <v>19233</v>
      </c>
    </row>
    <row r="35427" spans="1:8">
      <c r="H35427" t="s">
        <v>19232</v>
      </c>
    </row>
    <row r="35428" spans="1:8">
      <c r="H35428" t="s">
        <v>32891</v>
      </c>
    </row>
    <row r="35429" spans="1:8">
      <c r="F35429" t="s">
        <v>14010</v>
      </c>
      <c r="G35429" t="s">
        <v>18022</v>
      </c>
      <c r="H35429" t="s">
        <v>19233</v>
      </c>
    </row>
    <row r="35430" spans="1:8">
      <c r="H35430" t="s">
        <v>19232</v>
      </c>
    </row>
    <row r="35431" spans="1:8">
      <c r="H35431" t="s">
        <v>32891</v>
      </c>
    </row>
    <row r="35432" spans="1:8">
      <c r="A35432" t="s">
        <v>2753</v>
      </c>
      <c r="B35432">
        <f>HYPERLINK("https://android.googlesource.com/platform/cts/+/ee8a0b3a396f50594aaedb91b9082f5ee3fb26bd", "ee8a0b3a396f50594aaedb91b9082f5ee3fb26bd")</f>
        <v>0</v>
      </c>
      <c r="C35432">
        <f>HYPERLINK("https://android.googlesource.com/platform/cts/+/47eb35a07aaefddfee5c254737a8ea14d75d70a3", "47eb35a07aaefddfee5c254737a8ea14d75d70a3")</f>
        <v>0</v>
      </c>
      <c r="D35432" t="s">
        <v>5452</v>
      </c>
      <c r="E35432" t="s">
        <v>8480</v>
      </c>
      <c r="F35432" t="s">
        <v>14012</v>
      </c>
      <c r="G35432" t="s">
        <v>18024</v>
      </c>
      <c r="H35432" t="s">
        <v>32885</v>
      </c>
    </row>
    <row r="35433" spans="1:8">
      <c r="H35433" t="s">
        <v>32885</v>
      </c>
    </row>
    <row r="35434" spans="1:8">
      <c r="H35434" t="s">
        <v>32886</v>
      </c>
    </row>
    <row r="35435" spans="1:8">
      <c r="H35435" t="s">
        <v>32887</v>
      </c>
    </row>
    <row r="35436" spans="1:8">
      <c r="H35436" t="s">
        <v>28427</v>
      </c>
    </row>
    <row r="35437" spans="1:8">
      <c r="H35437" t="s">
        <v>32888</v>
      </c>
    </row>
    <row r="35438" spans="1:8">
      <c r="H35438" t="s">
        <v>32889</v>
      </c>
    </row>
    <row r="35439" spans="1:8">
      <c r="H35439" t="s">
        <v>32890</v>
      </c>
    </row>
    <row r="35440" spans="1:8">
      <c r="A35440" t="s">
        <v>2754</v>
      </c>
      <c r="B35440">
        <f>HYPERLINK("https://android.googlesource.com/platform/cts/+/f740c3ec172c00c0bb475b708a26560e7fc8d2eb", "f740c3ec172c00c0bb475b708a26560e7fc8d2eb")</f>
        <v>0</v>
      </c>
      <c r="C35440">
        <f>HYPERLINK("https://android.googlesource.com/platform/cts/+/6330048fe85e796f75c9fb9f610e3897621ff99c", "6330048fe85e796f75c9fb9f610e3897621ff99c")</f>
        <v>0</v>
      </c>
      <c r="D35440" t="s">
        <v>5400</v>
      </c>
      <c r="E35440" t="s">
        <v>8482</v>
      </c>
      <c r="F35440" t="s">
        <v>13892</v>
      </c>
      <c r="G35440" t="s">
        <v>17929</v>
      </c>
      <c r="H35440" t="s">
        <v>18829</v>
      </c>
    </row>
    <row r="35441" spans="1:8">
      <c r="A35441" t="s">
        <v>2755</v>
      </c>
      <c r="B35441">
        <f>HYPERLINK("https://android.googlesource.com/platform/cts/+/0da7aa9941bb3368ec3c5d5bf3e6bcd11de57f0a", "0da7aa9941bb3368ec3c5d5bf3e6bcd11de57f0a")</f>
        <v>0</v>
      </c>
      <c r="C35441">
        <f>HYPERLINK("https://android.googlesource.com/platform/cts/+/74bf542d086ffe30c341359d9e3069fa0cf98e3f", "74bf542d086ffe30c341359d9e3069fa0cf98e3f")</f>
        <v>0</v>
      </c>
      <c r="D35441" t="s">
        <v>5453</v>
      </c>
      <c r="E35441" t="s">
        <v>8483</v>
      </c>
      <c r="F35441" t="s">
        <v>13457</v>
      </c>
      <c r="G35441" t="s">
        <v>17483</v>
      </c>
      <c r="H35441" t="s">
        <v>29465</v>
      </c>
    </row>
    <row r="35442" spans="1:8">
      <c r="A35442" t="s">
        <v>2756</v>
      </c>
      <c r="B35442">
        <f>HYPERLINK("https://android.googlesource.com/platform/cts/+/b93070dc19a50eae5170eabd579d970d2ba7526e", "b93070dc19a50eae5170eabd579d970d2ba7526e")</f>
        <v>0</v>
      </c>
      <c r="C35442">
        <f>HYPERLINK("https://android.googlesource.com/platform/cts/+/f2fcdeedaece4c14efa64ecba6f6a115bd17b217", "f2fcdeedaece4c14efa64ecba6f6a115bd17b217")</f>
        <v>0</v>
      </c>
      <c r="D35442" t="s">
        <v>5269</v>
      </c>
      <c r="E35442" t="s">
        <v>8484</v>
      </c>
      <c r="F35442" t="s">
        <v>13758</v>
      </c>
      <c r="G35442" t="s">
        <v>17817</v>
      </c>
      <c r="H35442" t="s">
        <v>32336</v>
      </c>
    </row>
    <row r="35443" spans="1:8">
      <c r="A35443" t="s">
        <v>2757</v>
      </c>
      <c r="B35443">
        <f>HYPERLINK("https://android.googlesource.com/platform/cts/+/e11e176a8cbb5fb95c47a19df70b92aa7c31f93f", "e11e176a8cbb5fb95c47a19df70b92aa7c31f93f")</f>
        <v>0</v>
      </c>
      <c r="C35443">
        <f>HYPERLINK("https://android.googlesource.com/platform/cts/+/c89b5965fafb45ec17730d875f9a9f4bce806900", "c89b5965fafb45ec17730d875f9a9f4bce806900")</f>
        <v>0</v>
      </c>
      <c r="D35443" t="s">
        <v>5445</v>
      </c>
      <c r="E35443" t="s">
        <v>8485</v>
      </c>
      <c r="F35443" t="s">
        <v>13864</v>
      </c>
      <c r="G35443" t="s">
        <v>17904</v>
      </c>
      <c r="H35443" t="s">
        <v>32892</v>
      </c>
    </row>
    <row r="35444" spans="1:8">
      <c r="A35444" t="s">
        <v>2758</v>
      </c>
      <c r="B35444">
        <f>HYPERLINK("https://android.googlesource.com/platform/cts/+/907c4c0cf32f4b52f019be7e838c4ff9888e38ed", "907c4c0cf32f4b52f019be7e838c4ff9888e38ed")</f>
        <v>0</v>
      </c>
      <c r="C35444">
        <f>HYPERLINK("https://android.googlesource.com/platform/cts/+/7222b7aaf658f3a4246832e6a0eef965197c30ba", "7222b7aaf658f3a4246832e6a0eef965197c30ba")</f>
        <v>0</v>
      </c>
      <c r="D35444" t="s">
        <v>5341</v>
      </c>
      <c r="E35444" t="s">
        <v>8486</v>
      </c>
      <c r="F35444" t="s">
        <v>13827</v>
      </c>
      <c r="G35444" t="s">
        <v>17871</v>
      </c>
      <c r="H35444" t="s">
        <v>32893</v>
      </c>
    </row>
    <row r="35445" spans="1:8">
      <c r="A35445" t="s">
        <v>2759</v>
      </c>
      <c r="B35445">
        <f>HYPERLINK("https://android.googlesource.com/platform/cts/+/7e9b78c0ebb5444e42ec708d0c95cd82c8576f51", "7e9b78c0ebb5444e42ec708d0c95cd82c8576f51")</f>
        <v>0</v>
      </c>
      <c r="C35445">
        <f>HYPERLINK("https://android.googlesource.com/platform/cts/+/5c80241489e0569cad360cd48912f5024f262dda", "5c80241489e0569cad360cd48912f5024f262dda")</f>
        <v>0</v>
      </c>
      <c r="D35445" t="s">
        <v>5454</v>
      </c>
      <c r="E35445" t="s">
        <v>8487</v>
      </c>
      <c r="F35445" t="s">
        <v>14014</v>
      </c>
      <c r="G35445" t="s">
        <v>18026</v>
      </c>
      <c r="H35445" t="s">
        <v>19981</v>
      </c>
    </row>
    <row r="35446" spans="1:8">
      <c r="H35446" t="s">
        <v>32894</v>
      </c>
    </row>
    <row r="35447" spans="1:8">
      <c r="A35447" t="s">
        <v>2760</v>
      </c>
      <c r="B35447">
        <f>HYPERLINK("https://android.googlesource.com/platform/cts/+/f685f12977e5592dbe5240231901b58cf2defe01", "f685f12977e5592dbe5240231901b58cf2defe01")</f>
        <v>0</v>
      </c>
      <c r="C35447">
        <f>HYPERLINK("https://android.googlesource.com/platform/cts/+/9075ef4ed2ab57df6b703603007a52fe5a9e5e5c", "9075ef4ed2ab57df6b703603007a52fe5a9e5e5c")</f>
        <v>0</v>
      </c>
      <c r="D35447" t="s">
        <v>5448</v>
      </c>
      <c r="E35447" t="s">
        <v>8488</v>
      </c>
      <c r="F35447" t="s">
        <v>14003</v>
      </c>
      <c r="G35447" t="s">
        <v>18016</v>
      </c>
      <c r="H35447" t="s">
        <v>26642</v>
      </c>
    </row>
    <row r="35448" spans="1:8">
      <c r="F35448" t="s">
        <v>14004</v>
      </c>
      <c r="G35448" t="s">
        <v>17023</v>
      </c>
      <c r="H35448" t="s">
        <v>26642</v>
      </c>
    </row>
    <row r="35449" spans="1:8">
      <c r="F35449" t="s">
        <v>14005</v>
      </c>
      <c r="G35449" t="s">
        <v>18017</v>
      </c>
      <c r="H35449" t="s">
        <v>26642</v>
      </c>
    </row>
    <row r="35450" spans="1:8">
      <c r="A35450" t="s">
        <v>2761</v>
      </c>
      <c r="B35450">
        <f>HYPERLINK("https://android.googlesource.com/platform/cts/+/ce892aaa4d83d250a5eedbd119a15aff73be2377", "ce892aaa4d83d250a5eedbd119a15aff73be2377")</f>
        <v>0</v>
      </c>
      <c r="C35450">
        <f>HYPERLINK("https://android.googlesource.com/platform/cts/+/e8184b2136de41c44b12742ff7a8aa597c75050b", "e8184b2136de41c44b12742ff7a8aa597c75050b")</f>
        <v>0</v>
      </c>
      <c r="D35450" t="s">
        <v>5363</v>
      </c>
      <c r="E35450" t="s">
        <v>8489</v>
      </c>
      <c r="F35450" t="s">
        <v>14015</v>
      </c>
      <c r="G35450" t="s">
        <v>16895</v>
      </c>
      <c r="H35450" t="s">
        <v>18829</v>
      </c>
    </row>
    <row r="35451" spans="1:8">
      <c r="H35451" t="s">
        <v>18863</v>
      </c>
    </row>
    <row r="35452" spans="1:8">
      <c r="F35452" t="s">
        <v>14016</v>
      </c>
      <c r="G35452" t="s">
        <v>17963</v>
      </c>
      <c r="H35452" t="s">
        <v>18829</v>
      </c>
    </row>
    <row r="35453" spans="1:8">
      <c r="H35453" t="s">
        <v>32895</v>
      </c>
    </row>
    <row r="35454" spans="1:8">
      <c r="F35454" t="s">
        <v>14017</v>
      </c>
      <c r="G35454" t="s">
        <v>18027</v>
      </c>
      <c r="H35454" t="s">
        <v>19013</v>
      </c>
    </row>
    <row r="35455" spans="1:8">
      <c r="H35455" t="s">
        <v>18835</v>
      </c>
    </row>
    <row r="35456" spans="1:8">
      <c r="H35456" t="s">
        <v>32896</v>
      </c>
    </row>
    <row r="35457" spans="6:8">
      <c r="H35457" t="s">
        <v>32897</v>
      </c>
    </row>
    <row r="35458" spans="6:8">
      <c r="H35458" t="s">
        <v>32898</v>
      </c>
    </row>
    <row r="35459" spans="6:8">
      <c r="H35459" t="s">
        <v>32899</v>
      </c>
    </row>
    <row r="35460" spans="6:8">
      <c r="F35460" t="s">
        <v>14018</v>
      </c>
      <c r="G35460" t="s">
        <v>18028</v>
      </c>
      <c r="H35460" t="s">
        <v>19013</v>
      </c>
    </row>
    <row r="35461" spans="6:8">
      <c r="H35461" t="s">
        <v>18835</v>
      </c>
    </row>
    <row r="35462" spans="6:8">
      <c r="H35462" t="s">
        <v>32896</v>
      </c>
    </row>
    <row r="35463" spans="6:8">
      <c r="H35463" t="s">
        <v>32897</v>
      </c>
    </row>
    <row r="35464" spans="6:8">
      <c r="H35464" t="s">
        <v>32899</v>
      </c>
    </row>
    <row r="35465" spans="6:8">
      <c r="F35465" t="s">
        <v>14019</v>
      </c>
      <c r="G35465" t="s">
        <v>18029</v>
      </c>
      <c r="H35465" t="s">
        <v>19013</v>
      </c>
    </row>
    <row r="35466" spans="6:8">
      <c r="H35466" t="s">
        <v>18835</v>
      </c>
    </row>
    <row r="35467" spans="6:8">
      <c r="H35467" t="s">
        <v>32896</v>
      </c>
    </row>
    <row r="35468" spans="6:8">
      <c r="H35468" t="s">
        <v>32897</v>
      </c>
    </row>
    <row r="35469" spans="6:8">
      <c r="H35469" t="s">
        <v>32898</v>
      </c>
    </row>
    <row r="35470" spans="6:8">
      <c r="F35470" t="s">
        <v>14020</v>
      </c>
      <c r="G35470" t="s">
        <v>18030</v>
      </c>
      <c r="H35470" t="s">
        <v>32900</v>
      </c>
    </row>
    <row r="35471" spans="6:8">
      <c r="H35471" t="s">
        <v>32901</v>
      </c>
    </row>
    <row r="35472" spans="6:8">
      <c r="H35472" t="s">
        <v>32902</v>
      </c>
    </row>
    <row r="35473" spans="8:8">
      <c r="H35473" t="s">
        <v>18829</v>
      </c>
    </row>
    <row r="35474" spans="8:8">
      <c r="H35474" t="s">
        <v>18863</v>
      </c>
    </row>
    <row r="35475" spans="8:8">
      <c r="H35475" t="s">
        <v>32903</v>
      </c>
    </row>
    <row r="35476" spans="8:8">
      <c r="H35476" t="s">
        <v>32904</v>
      </c>
    </row>
    <row r="35477" spans="8:8">
      <c r="H35477" t="s">
        <v>32905</v>
      </c>
    </row>
    <row r="35478" spans="8:8">
      <c r="H35478" t="s">
        <v>32906</v>
      </c>
    </row>
    <row r="35479" spans="8:8">
      <c r="H35479" t="s">
        <v>32907</v>
      </c>
    </row>
    <row r="35480" spans="8:8">
      <c r="H35480" t="s">
        <v>32908</v>
      </c>
    </row>
    <row r="35481" spans="8:8">
      <c r="H35481" t="s">
        <v>32909</v>
      </c>
    </row>
    <row r="35482" spans="8:8">
      <c r="H35482" t="s">
        <v>32910</v>
      </c>
    </row>
    <row r="35483" spans="8:8">
      <c r="H35483" t="s">
        <v>32911</v>
      </c>
    </row>
    <row r="35484" spans="8:8">
      <c r="H35484" t="s">
        <v>32912</v>
      </c>
    </row>
    <row r="35485" spans="8:8">
      <c r="H35485" t="s">
        <v>32913</v>
      </c>
    </row>
    <row r="35486" spans="8:8">
      <c r="H35486" t="s">
        <v>32914</v>
      </c>
    </row>
    <row r="35487" spans="8:8">
      <c r="H35487" t="s">
        <v>32915</v>
      </c>
    </row>
    <row r="35488" spans="8:8">
      <c r="H35488" t="s">
        <v>32916</v>
      </c>
    </row>
    <row r="35489" spans="8:8">
      <c r="H35489" t="s">
        <v>32917</v>
      </c>
    </row>
    <row r="35490" spans="8:8">
      <c r="H35490" t="s">
        <v>32918</v>
      </c>
    </row>
    <row r="35491" spans="8:8">
      <c r="H35491" t="s">
        <v>32919</v>
      </c>
    </row>
    <row r="35492" spans="8:8">
      <c r="H35492" t="s">
        <v>32830</v>
      </c>
    </row>
    <row r="35493" spans="8:8">
      <c r="H35493" t="s">
        <v>32920</v>
      </c>
    </row>
    <row r="35494" spans="8:8">
      <c r="H35494" t="s">
        <v>32921</v>
      </c>
    </row>
    <row r="35495" spans="8:8">
      <c r="H35495" t="s">
        <v>32922</v>
      </c>
    </row>
    <row r="35496" spans="8:8">
      <c r="H35496" t="s">
        <v>31476</v>
      </c>
    </row>
    <row r="35497" spans="8:8">
      <c r="H35497" t="s">
        <v>18969</v>
      </c>
    </row>
    <row r="35498" spans="8:8">
      <c r="H35498" t="s">
        <v>18971</v>
      </c>
    </row>
    <row r="35499" spans="8:8">
      <c r="H35499" t="s">
        <v>32923</v>
      </c>
    </row>
    <row r="35500" spans="8:8">
      <c r="H35500" t="s">
        <v>32866</v>
      </c>
    </row>
    <row r="35501" spans="8:8">
      <c r="H35501" t="s">
        <v>32856</v>
      </c>
    </row>
    <row r="35502" spans="8:8">
      <c r="H35502" t="s">
        <v>32924</v>
      </c>
    </row>
    <row r="35503" spans="8:8">
      <c r="H35503" t="s">
        <v>32925</v>
      </c>
    </row>
    <row r="35504" spans="8:8">
      <c r="H35504" t="s">
        <v>32926</v>
      </c>
    </row>
    <row r="35505" spans="8:8">
      <c r="H35505" t="s">
        <v>32927</v>
      </c>
    </row>
    <row r="35506" spans="8:8">
      <c r="H35506" t="s">
        <v>32928</v>
      </c>
    </row>
    <row r="35507" spans="8:8">
      <c r="H35507" t="s">
        <v>32929</v>
      </c>
    </row>
    <row r="35508" spans="8:8">
      <c r="H35508" t="s">
        <v>32930</v>
      </c>
    </row>
    <row r="35509" spans="8:8">
      <c r="H35509" t="s">
        <v>32931</v>
      </c>
    </row>
    <row r="35510" spans="8:8">
      <c r="H35510" t="s">
        <v>32932</v>
      </c>
    </row>
    <row r="35511" spans="8:8">
      <c r="H35511" t="s">
        <v>32933</v>
      </c>
    </row>
    <row r="35512" spans="8:8">
      <c r="H35512" t="s">
        <v>32934</v>
      </c>
    </row>
    <row r="35513" spans="8:8">
      <c r="H35513" t="s">
        <v>32935</v>
      </c>
    </row>
    <row r="35514" spans="8:8">
      <c r="H35514" t="s">
        <v>32936</v>
      </c>
    </row>
    <row r="35515" spans="8:8">
      <c r="H35515" t="s">
        <v>32808</v>
      </c>
    </row>
    <row r="35516" spans="8:8">
      <c r="H35516" t="s">
        <v>32811</v>
      </c>
    </row>
    <row r="35517" spans="8:8">
      <c r="H35517" t="s">
        <v>32810</v>
      </c>
    </row>
    <row r="35518" spans="8:8">
      <c r="H35518" t="s">
        <v>32809</v>
      </c>
    </row>
    <row r="35519" spans="8:8">
      <c r="H35519" t="s">
        <v>25704</v>
      </c>
    </row>
    <row r="35520" spans="8:8">
      <c r="H35520" t="s">
        <v>32937</v>
      </c>
    </row>
    <row r="35521" spans="6:8">
      <c r="H35521" t="s">
        <v>32938</v>
      </c>
    </row>
    <row r="35522" spans="6:8">
      <c r="H35522" t="s">
        <v>32935</v>
      </c>
    </row>
    <row r="35523" spans="6:8">
      <c r="H35523" t="s">
        <v>32936</v>
      </c>
    </row>
    <row r="35524" spans="6:8">
      <c r="H35524" t="s">
        <v>25704</v>
      </c>
    </row>
    <row r="35525" spans="6:8">
      <c r="H35525" t="s">
        <v>19019</v>
      </c>
    </row>
    <row r="35526" spans="6:8">
      <c r="H35526" t="s">
        <v>32939</v>
      </c>
    </row>
    <row r="35527" spans="6:8">
      <c r="H35527" t="s">
        <v>32938</v>
      </c>
    </row>
    <row r="35528" spans="6:8">
      <c r="H35528" t="s">
        <v>32940</v>
      </c>
    </row>
    <row r="35529" spans="6:8">
      <c r="H35529" t="s">
        <v>25704</v>
      </c>
    </row>
    <row r="35530" spans="6:8">
      <c r="H35530" t="s">
        <v>19019</v>
      </c>
    </row>
    <row r="35531" spans="6:8">
      <c r="H35531" t="s">
        <v>32941</v>
      </c>
    </row>
    <row r="35532" spans="6:8">
      <c r="H35532" t="s">
        <v>32942</v>
      </c>
    </row>
    <row r="35533" spans="6:8">
      <c r="H35533" t="s">
        <v>32935</v>
      </c>
    </row>
    <row r="35534" spans="6:8">
      <c r="H35534" t="s">
        <v>19743</v>
      </c>
    </row>
    <row r="35535" spans="6:8">
      <c r="H35535" t="s">
        <v>25704</v>
      </c>
    </row>
    <row r="35536" spans="6:8">
      <c r="F35536" t="s">
        <v>14021</v>
      </c>
      <c r="G35536" t="s">
        <v>18031</v>
      </c>
      <c r="H35536" t="s">
        <v>18829</v>
      </c>
    </row>
    <row r="35537" spans="6:8">
      <c r="H35537" t="s">
        <v>18863</v>
      </c>
    </row>
    <row r="35538" spans="6:8">
      <c r="H35538" t="s">
        <v>21377</v>
      </c>
    </row>
    <row r="35539" spans="6:8">
      <c r="H35539" t="s">
        <v>32943</v>
      </c>
    </row>
    <row r="35540" spans="6:8">
      <c r="H35540" t="s">
        <v>32944</v>
      </c>
    </row>
    <row r="35541" spans="6:8">
      <c r="F35541" t="s">
        <v>14022</v>
      </c>
      <c r="G35541" t="s">
        <v>17876</v>
      </c>
      <c r="H35541" t="s">
        <v>32945</v>
      </c>
    </row>
    <row r="35542" spans="6:8">
      <c r="H35542" t="s">
        <v>32946</v>
      </c>
    </row>
    <row r="35543" spans="6:8">
      <c r="H35543" t="s">
        <v>19496</v>
      </c>
    </row>
    <row r="35544" spans="6:8">
      <c r="H35544" t="s">
        <v>32947</v>
      </c>
    </row>
    <row r="35545" spans="6:8">
      <c r="H35545" t="s">
        <v>32948</v>
      </c>
    </row>
    <row r="35546" spans="6:8">
      <c r="H35546" t="s">
        <v>32949</v>
      </c>
    </row>
    <row r="35547" spans="6:8">
      <c r="H35547" t="s">
        <v>32950</v>
      </c>
    </row>
    <row r="35548" spans="6:8">
      <c r="H35548" t="s">
        <v>32951</v>
      </c>
    </row>
    <row r="35549" spans="6:8">
      <c r="H35549" t="s">
        <v>32952</v>
      </c>
    </row>
    <row r="35550" spans="6:8">
      <c r="H35550" t="s">
        <v>30501</v>
      </c>
    </row>
    <row r="35551" spans="6:8">
      <c r="H35551" t="s">
        <v>32953</v>
      </c>
    </row>
    <row r="35552" spans="6:8">
      <c r="H35552" t="s">
        <v>32954</v>
      </c>
    </row>
    <row r="35553" spans="1:8">
      <c r="H35553" t="s">
        <v>32955</v>
      </c>
    </row>
    <row r="35554" spans="1:8">
      <c r="A35554" t="s">
        <v>2762</v>
      </c>
      <c r="B35554">
        <f>HYPERLINK("https://android.googlesource.com/platform/cts/+/5dd3e1f25bd36ddea9d161f9bdf3abd78d5c1388", "5dd3e1f25bd36ddea9d161f9bdf3abd78d5c1388")</f>
        <v>0</v>
      </c>
      <c r="C35554">
        <f>HYPERLINK("https://android.googlesource.com/platform/cts/+/323fe31dc07256484e257ef15841ef5d3f62b137", "323fe31dc07256484e257ef15841ef5d3f62b137")</f>
        <v>0</v>
      </c>
      <c r="D35554" t="s">
        <v>5455</v>
      </c>
      <c r="E35554" t="s">
        <v>8490</v>
      </c>
      <c r="F35554" t="s">
        <v>14023</v>
      </c>
      <c r="G35554" t="s">
        <v>18032</v>
      </c>
      <c r="H35554" t="s">
        <v>18863</v>
      </c>
    </row>
    <row r="35555" spans="1:8">
      <c r="A35555" t="s">
        <v>2763</v>
      </c>
      <c r="B35555">
        <f>HYPERLINK("https://android.googlesource.com/platform/cts/+/481371941b6825838ec97fd48e5f1ddfb501f10a", "481371941b6825838ec97fd48e5f1ddfb501f10a")</f>
        <v>0</v>
      </c>
      <c r="C35555">
        <f>HYPERLINK("https://android.googlesource.com/platform/cts/+/57598c9ad6fbeac43796726c9b146f089b2d78d5", "57598c9ad6fbeac43796726c9b146f089b2d78d5")</f>
        <v>0</v>
      </c>
      <c r="D35555" t="s">
        <v>5189</v>
      </c>
      <c r="E35555" t="s">
        <v>8491</v>
      </c>
      <c r="F35555" t="s">
        <v>12428</v>
      </c>
      <c r="G35555" t="s">
        <v>16619</v>
      </c>
      <c r="H35555" t="s">
        <v>20244</v>
      </c>
    </row>
    <row r="35556" spans="1:8">
      <c r="H35556" t="s">
        <v>22590</v>
      </c>
    </row>
    <row r="35557" spans="1:8">
      <c r="H35557" t="s">
        <v>29223</v>
      </c>
    </row>
    <row r="35558" spans="1:8">
      <c r="A35558" t="s">
        <v>2764</v>
      </c>
      <c r="B35558">
        <f>HYPERLINK("https://android.googlesource.com/platform/cts/+/368c7a56f927a6e1e33845d1f728893ab094f4b9", "368c7a56f927a6e1e33845d1f728893ab094f4b9")</f>
        <v>0</v>
      </c>
      <c r="C35558">
        <f>HYPERLINK("https://android.googlesource.com/platform/cts/+/7e9b78c0ebb5444e42ec708d0c95cd82c8576f51", "7e9b78c0ebb5444e42ec708d0c95cd82c8576f51")</f>
        <v>0</v>
      </c>
      <c r="D35558" t="s">
        <v>5320</v>
      </c>
      <c r="E35558" t="s">
        <v>8492</v>
      </c>
      <c r="F35558" t="s">
        <v>14014</v>
      </c>
      <c r="G35558" t="s">
        <v>18026</v>
      </c>
      <c r="H35558" t="s">
        <v>32956</v>
      </c>
    </row>
    <row r="35559" spans="1:8">
      <c r="H35559" t="s">
        <v>32957</v>
      </c>
    </row>
    <row r="35560" spans="1:8">
      <c r="H35560" t="s">
        <v>32958</v>
      </c>
    </row>
    <row r="35561" spans="1:8">
      <c r="H35561" t="s">
        <v>32959</v>
      </c>
    </row>
    <row r="35562" spans="1:8">
      <c r="H35562" t="s">
        <v>32960</v>
      </c>
    </row>
    <row r="35563" spans="1:8">
      <c r="H35563" t="s">
        <v>19933</v>
      </c>
    </row>
    <row r="35564" spans="1:8">
      <c r="H35564" t="s">
        <v>32961</v>
      </c>
    </row>
    <row r="35565" spans="1:8">
      <c r="H35565" t="s">
        <v>32962</v>
      </c>
    </row>
    <row r="35566" spans="1:8">
      <c r="H35566" t="s">
        <v>32963</v>
      </c>
    </row>
    <row r="35567" spans="1:8">
      <c r="H35567" t="s">
        <v>32964</v>
      </c>
    </row>
    <row r="35568" spans="1:8">
      <c r="H35568" t="s">
        <v>32965</v>
      </c>
    </row>
    <row r="35569" spans="1:8">
      <c r="H35569" t="s">
        <v>32966</v>
      </c>
    </row>
    <row r="35570" spans="1:8">
      <c r="A35570" t="s">
        <v>2765</v>
      </c>
      <c r="B35570">
        <f>HYPERLINK("https://android.googlesource.com/platform/cts/+/4540ec7024bb8f78eea794aed3479b5b2ce570a1", "4540ec7024bb8f78eea794aed3479b5b2ce570a1")</f>
        <v>0</v>
      </c>
      <c r="C35570">
        <f>HYPERLINK("https://android.googlesource.com/platform/cts/+/a90feddf8960947e26694eaaa5e40abb296b52cf", "a90feddf8960947e26694eaaa5e40abb296b52cf")</f>
        <v>0</v>
      </c>
      <c r="D35570" t="s">
        <v>5195</v>
      </c>
      <c r="E35570" t="s">
        <v>8493</v>
      </c>
      <c r="F35570" t="s">
        <v>14024</v>
      </c>
      <c r="G35570" t="s">
        <v>16875</v>
      </c>
      <c r="H35570" t="s">
        <v>32967</v>
      </c>
    </row>
    <row r="35571" spans="1:8">
      <c r="H35571" t="s">
        <v>32968</v>
      </c>
    </row>
    <row r="35572" spans="1:8">
      <c r="H35572" t="s">
        <v>32969</v>
      </c>
    </row>
    <row r="35573" spans="1:8">
      <c r="A35573" t="s">
        <v>2766</v>
      </c>
      <c r="B35573">
        <f>HYPERLINK("https://android.googlesource.com/platform/cts/+/93ed14bc14f4762e6d4c357a8db653d0bbc602f4", "93ed14bc14f4762e6d4c357a8db653d0bbc602f4")</f>
        <v>0</v>
      </c>
      <c r="C35573">
        <f>HYPERLINK("https://android.googlesource.com/platform/cts/+/4540ec7024bb8f78eea794aed3479b5b2ce570a1", "4540ec7024bb8f78eea794aed3479b5b2ce570a1")</f>
        <v>0</v>
      </c>
      <c r="D35573" t="s">
        <v>5195</v>
      </c>
      <c r="E35573" t="s">
        <v>8494</v>
      </c>
      <c r="F35573" t="s">
        <v>14024</v>
      </c>
      <c r="G35573" t="s">
        <v>16875</v>
      </c>
      <c r="H35573" t="s">
        <v>32970</v>
      </c>
    </row>
    <row r="35574" spans="1:8">
      <c r="H35574" t="s">
        <v>32971</v>
      </c>
    </row>
    <row r="35575" spans="1:8">
      <c r="A35575" t="s">
        <v>2766</v>
      </c>
      <c r="B35575">
        <f>HYPERLINK("https://android.googlesource.com/platform/cts/+/5f5dd1661e0c6beb1f169513fa230cc37c59b200", "5f5dd1661e0c6beb1f169513fa230cc37c59b200")</f>
        <v>0</v>
      </c>
      <c r="C35575">
        <f>HYPERLINK("https://android.googlesource.com/platform/cts/+/93ed14bc14f4762e6d4c357a8db653d0bbc602f4", "93ed14bc14f4762e6d4c357a8db653d0bbc602f4")</f>
        <v>0</v>
      </c>
      <c r="D35575" t="s">
        <v>5195</v>
      </c>
      <c r="E35575" t="s">
        <v>8495</v>
      </c>
      <c r="F35575" t="s">
        <v>14024</v>
      </c>
      <c r="G35575" t="s">
        <v>16875</v>
      </c>
      <c r="H35575" t="s">
        <v>32972</v>
      </c>
    </row>
    <row r="35576" spans="1:8">
      <c r="A35576" t="s">
        <v>2767</v>
      </c>
      <c r="B35576">
        <f>HYPERLINK("https://android.googlesource.com/platform/cts/+/2fd585f6e9bb310180c774eede5fc3d5726e63f9", "2fd585f6e9bb310180c774eede5fc3d5726e63f9")</f>
        <v>0</v>
      </c>
      <c r="C35576">
        <f>HYPERLINK("https://android.googlesource.com/platform/cts/+/1f2a2f92bdd8899b333806cd5725e38ede72cfd3", "1f2a2f92bdd8899b333806cd5725e38ede72cfd3")</f>
        <v>0</v>
      </c>
      <c r="D35576" t="s">
        <v>5195</v>
      </c>
      <c r="E35576" t="s">
        <v>8496</v>
      </c>
      <c r="F35576" t="s">
        <v>14025</v>
      </c>
      <c r="G35576" t="s">
        <v>18033</v>
      </c>
      <c r="H35576" t="s">
        <v>32973</v>
      </c>
    </row>
    <row r="35577" spans="1:8">
      <c r="A35577" t="s">
        <v>2768</v>
      </c>
      <c r="B35577">
        <f>HYPERLINK("https://android.googlesource.com/platform/cts/+/c174ffbf15daccdca98ff39b91e9821e7cb652bd", "c174ffbf15daccdca98ff39b91e9821e7cb652bd")</f>
        <v>0</v>
      </c>
      <c r="C35577">
        <f>HYPERLINK("https://android.googlesource.com/platform/cts/+/09d3554c1254ec204f0112d3a0bcf90b1f1dcad0", "09d3554c1254ec204f0112d3a0bcf90b1f1dcad0")</f>
        <v>0</v>
      </c>
      <c r="D35577" t="s">
        <v>5455</v>
      </c>
      <c r="E35577" t="s">
        <v>8490</v>
      </c>
      <c r="F35577" t="s">
        <v>14023</v>
      </c>
      <c r="G35577" t="s">
        <v>18032</v>
      </c>
      <c r="H35577" t="s">
        <v>18863</v>
      </c>
    </row>
    <row r="35578" spans="1:8">
      <c r="A35578" t="s">
        <v>2769</v>
      </c>
      <c r="B35578">
        <f>HYPERLINK("https://android.googlesource.com/platform/cts/+/164b864e6c367c434c3d3e0c1ae888d199f42d43", "164b864e6c367c434c3d3e0c1ae888d199f42d43")</f>
        <v>0</v>
      </c>
      <c r="C35578">
        <f>HYPERLINK("https://android.googlesource.com/platform/cts/+/2210f52e0614cc1bc6c345998589d929d4e56a9c", "2210f52e0614cc1bc6c345998589d929d4e56a9c")</f>
        <v>0</v>
      </c>
      <c r="D35578" t="s">
        <v>5454</v>
      </c>
      <c r="E35578" t="s">
        <v>8497</v>
      </c>
      <c r="F35578" t="s">
        <v>14014</v>
      </c>
      <c r="G35578" t="s">
        <v>18026</v>
      </c>
      <c r="H35578" t="s">
        <v>19981</v>
      </c>
    </row>
    <row r="35579" spans="1:8">
      <c r="H35579" t="s">
        <v>32894</v>
      </c>
    </row>
    <row r="35580" spans="1:8">
      <c r="A35580" t="s">
        <v>2770</v>
      </c>
      <c r="B35580">
        <f>HYPERLINK("https://android.googlesource.com/platform/cts/+/433b9ce6f82b723b4cf764879872015ba65da821", "433b9ce6f82b723b4cf764879872015ba65da821")</f>
        <v>0</v>
      </c>
      <c r="C35580">
        <f>HYPERLINK("https://android.googlesource.com/platform/cts/+/09e5ed81aa072d22b98d340fbd267432d7511343", "09e5ed81aa072d22b98d340fbd267432d7511343")</f>
        <v>0</v>
      </c>
      <c r="D35580" t="s">
        <v>5304</v>
      </c>
      <c r="E35580" t="s">
        <v>8498</v>
      </c>
      <c r="F35580" t="s">
        <v>13242</v>
      </c>
      <c r="G35580" t="s">
        <v>17382</v>
      </c>
      <c r="H35580" t="s">
        <v>28992</v>
      </c>
    </row>
    <row r="35581" spans="1:8">
      <c r="A35581" t="s">
        <v>2771</v>
      </c>
      <c r="B35581">
        <f>HYPERLINK("https://android.googlesource.com/platform/cts/+/96a08228dfe44ae0a2f57bdb2fffdd66bd6ff2c1", "96a08228dfe44ae0a2f57bdb2fffdd66bd6ff2c1")</f>
        <v>0</v>
      </c>
      <c r="C35581">
        <f>HYPERLINK("https://android.googlesource.com/platform/cts/+/0e5404856409e0c482f988fb7a1e3dedc2c66ef2", "0e5404856409e0c482f988fb7a1e3dedc2c66ef2")</f>
        <v>0</v>
      </c>
      <c r="D35581" t="s">
        <v>5341</v>
      </c>
      <c r="E35581" t="s">
        <v>8499</v>
      </c>
      <c r="F35581" t="s">
        <v>13827</v>
      </c>
      <c r="G35581" t="s">
        <v>17871</v>
      </c>
      <c r="H35581" t="s">
        <v>32974</v>
      </c>
    </row>
    <row r="35582" spans="1:8">
      <c r="A35582" t="s">
        <v>2772</v>
      </c>
      <c r="B35582">
        <f>HYPERLINK("https://android.googlesource.com/platform/cts/+/99b84f74d05300d895f8d883112e8174b7a0d248", "99b84f74d05300d895f8d883112e8174b7a0d248")</f>
        <v>0</v>
      </c>
      <c r="C35582">
        <f>HYPERLINK("https://android.googlesource.com/platform/cts/+/a5316ebe504e7daf2a06e4060f2498e5915e7e6e", "a5316ebe504e7daf2a06e4060f2498e5915e7e6e")</f>
        <v>0</v>
      </c>
      <c r="D35582" t="s">
        <v>5368</v>
      </c>
      <c r="E35582" t="s">
        <v>8500</v>
      </c>
      <c r="F35582" t="s">
        <v>13758</v>
      </c>
      <c r="G35582" t="s">
        <v>17817</v>
      </c>
      <c r="H35582" t="s">
        <v>32975</v>
      </c>
    </row>
    <row r="35583" spans="1:8">
      <c r="A35583" t="s">
        <v>2773</v>
      </c>
      <c r="B35583">
        <f>HYPERLINK("https://android.googlesource.com/platform/cts/+/f5bdd8a3b5e3dd8e6edf436339de2d52bfccfafa", "f5bdd8a3b5e3dd8e6edf436339de2d52bfccfafa")</f>
        <v>0</v>
      </c>
      <c r="C35583">
        <f>HYPERLINK("https://android.googlesource.com/platform/cts/+/3086fe22a436579d3c3afb110df556f371402344", "3086fe22a436579d3c3afb110df556f371402344")</f>
        <v>0</v>
      </c>
      <c r="D35583" t="s">
        <v>5431</v>
      </c>
      <c r="E35583" t="s">
        <v>8501</v>
      </c>
      <c r="F35583" t="s">
        <v>13229</v>
      </c>
      <c r="G35583" t="s">
        <v>17370</v>
      </c>
      <c r="H35583" t="s">
        <v>32976</v>
      </c>
    </row>
    <row r="35584" spans="1:8">
      <c r="F35584" t="s">
        <v>12745</v>
      </c>
      <c r="G35584" t="s">
        <v>16937</v>
      </c>
      <c r="H35584" t="s">
        <v>32976</v>
      </c>
    </row>
    <row r="35585" spans="1:8">
      <c r="A35585" t="s">
        <v>2774</v>
      </c>
      <c r="B35585">
        <f>HYPERLINK("https://android.googlesource.com/platform/cts/+/c4e84de7d118ee1600dbbc8421237553938d8a55", "c4e84de7d118ee1600dbbc8421237553938d8a55")</f>
        <v>0</v>
      </c>
      <c r="C35585">
        <f>HYPERLINK("https://android.googlesource.com/platform/cts/+/201ad6d6154b91fb4ae6daf0c231474f10b30f4c", "201ad6d6154b91fb4ae6daf0c231474f10b30f4c")</f>
        <v>0</v>
      </c>
      <c r="D35585" t="s">
        <v>5456</v>
      </c>
      <c r="E35585" t="s">
        <v>8502</v>
      </c>
      <c r="F35585" t="s">
        <v>13846</v>
      </c>
      <c r="G35585" t="s">
        <v>17889</v>
      </c>
      <c r="H35585" t="s">
        <v>32977</v>
      </c>
    </row>
    <row r="35586" spans="1:8">
      <c r="H35586" t="s">
        <v>32978</v>
      </c>
    </row>
    <row r="35587" spans="1:8">
      <c r="H35587" t="s">
        <v>32979</v>
      </c>
    </row>
    <row r="35588" spans="1:8">
      <c r="H35588" t="s">
        <v>32980</v>
      </c>
    </row>
    <row r="35589" spans="1:8">
      <c r="H35589" t="s">
        <v>32981</v>
      </c>
    </row>
    <row r="35590" spans="1:8">
      <c r="H35590" t="s">
        <v>32982</v>
      </c>
    </row>
    <row r="35591" spans="1:8">
      <c r="H35591" t="s">
        <v>32983</v>
      </c>
    </row>
    <row r="35592" spans="1:8">
      <c r="F35592" t="s">
        <v>13899</v>
      </c>
      <c r="G35592" t="s">
        <v>17889</v>
      </c>
      <c r="H35592" t="s">
        <v>32977</v>
      </c>
    </row>
    <row r="35593" spans="1:8">
      <c r="H35593" t="s">
        <v>32978</v>
      </c>
    </row>
    <row r="35594" spans="1:8">
      <c r="H35594" t="s">
        <v>32979</v>
      </c>
    </row>
    <row r="35595" spans="1:8">
      <c r="H35595" t="s">
        <v>32980</v>
      </c>
    </row>
    <row r="35596" spans="1:8">
      <c r="H35596" t="s">
        <v>32981</v>
      </c>
    </row>
    <row r="35597" spans="1:8">
      <c r="H35597" t="s">
        <v>32982</v>
      </c>
    </row>
    <row r="35598" spans="1:8">
      <c r="H35598" t="s">
        <v>32984</v>
      </c>
    </row>
    <row r="35599" spans="1:8">
      <c r="A35599" t="s">
        <v>2775</v>
      </c>
      <c r="B35599">
        <f>HYPERLINK("https://android.googlesource.com/platform/cts/+/ab905edb0d24b91a0f5da2cd5a39d3e11e1a2613", "ab905edb0d24b91a0f5da2cd5a39d3e11e1a2613")</f>
        <v>0</v>
      </c>
      <c r="C35599">
        <f>HYPERLINK("https://android.googlesource.com/platform/cts/+/99b84f74d05300d895f8d883112e8174b7a0d248", "99b84f74d05300d895f8d883112e8174b7a0d248")</f>
        <v>0</v>
      </c>
      <c r="D35599" t="s">
        <v>5368</v>
      </c>
      <c r="E35599" t="s">
        <v>8503</v>
      </c>
      <c r="F35599" t="s">
        <v>13758</v>
      </c>
      <c r="G35599" t="s">
        <v>17817</v>
      </c>
      <c r="H35599" t="s">
        <v>32985</v>
      </c>
    </row>
    <row r="35600" spans="1:8">
      <c r="A35600" t="s">
        <v>2776</v>
      </c>
      <c r="B35600">
        <f>HYPERLINK("https://android.googlesource.com/platform/cts/+/0caeae2baf969a32e8cafc469170ea4388869767", "0caeae2baf969a32e8cafc469170ea4388869767")</f>
        <v>0</v>
      </c>
      <c r="C35600">
        <f>HYPERLINK("https://android.googlesource.com/platform/cts/+/29b8e9b36d1ebdc9255f0511d18c06d6d65ccc28", "29b8e9b36d1ebdc9255f0511d18c06d6d65ccc28")</f>
        <v>0</v>
      </c>
      <c r="D35600" t="s">
        <v>5448</v>
      </c>
      <c r="E35600" t="s">
        <v>8504</v>
      </c>
      <c r="F35600" t="s">
        <v>14026</v>
      </c>
      <c r="G35600" t="s">
        <v>17766</v>
      </c>
      <c r="H35600" t="s">
        <v>18829</v>
      </c>
    </row>
    <row r="35601" spans="1:8">
      <c r="H35601" t="s">
        <v>32986</v>
      </c>
    </row>
    <row r="35602" spans="1:8">
      <c r="H35602" t="s">
        <v>32987</v>
      </c>
    </row>
    <row r="35603" spans="1:8">
      <c r="H35603" t="s">
        <v>19873</v>
      </c>
    </row>
    <row r="35604" spans="1:8">
      <c r="H35604" t="s">
        <v>32988</v>
      </c>
    </row>
    <row r="35605" spans="1:8">
      <c r="H35605" t="s">
        <v>32989</v>
      </c>
    </row>
    <row r="35606" spans="1:8">
      <c r="F35606" t="s">
        <v>14027</v>
      </c>
      <c r="G35606" t="s">
        <v>18034</v>
      </c>
      <c r="H35606" t="s">
        <v>18829</v>
      </c>
    </row>
    <row r="35607" spans="1:8">
      <c r="H35607" t="s">
        <v>29754</v>
      </c>
    </row>
    <row r="35608" spans="1:8">
      <c r="H35608" t="s">
        <v>32990</v>
      </c>
    </row>
    <row r="35609" spans="1:8">
      <c r="H35609" t="s">
        <v>32991</v>
      </c>
    </row>
    <row r="35610" spans="1:8">
      <c r="H35610" t="s">
        <v>19019</v>
      </c>
    </row>
    <row r="35611" spans="1:8">
      <c r="A35611" t="s">
        <v>2777</v>
      </c>
      <c r="B35611">
        <f>HYPERLINK("https://android.googlesource.com/platform/cts/+/dc11e35a2483c8ab85b1b5921afa3b0e9d991069", "dc11e35a2483c8ab85b1b5921afa3b0e9d991069")</f>
        <v>0</v>
      </c>
      <c r="C35611">
        <f>HYPERLINK("https://android.googlesource.com/platform/cts/+/ccaa844b42e6918858ea4cbdb7c1831a9c5d6903", "ccaa844b42e6918858ea4cbdb7c1831a9c5d6903")</f>
        <v>0</v>
      </c>
      <c r="D35611" t="s">
        <v>5456</v>
      </c>
      <c r="E35611" t="s">
        <v>8505</v>
      </c>
      <c r="F35611" t="s">
        <v>13846</v>
      </c>
      <c r="G35611" t="s">
        <v>17889</v>
      </c>
      <c r="H35611" t="s">
        <v>32992</v>
      </c>
    </row>
    <row r="35612" spans="1:8">
      <c r="F35612" t="s">
        <v>13899</v>
      </c>
      <c r="G35612" t="s">
        <v>17889</v>
      </c>
      <c r="H35612" t="s">
        <v>32992</v>
      </c>
    </row>
    <row r="35613" spans="1:8">
      <c r="A35613" t="s">
        <v>2778</v>
      </c>
      <c r="B35613">
        <f>HYPERLINK("https://android.googlesource.com/platform/cts/+/d6aad38dcaefe19cb7aabf088b46066d344bcf0d", "d6aad38dcaefe19cb7aabf088b46066d344bcf0d")</f>
        <v>0</v>
      </c>
      <c r="C35613">
        <f>HYPERLINK("https://android.googlesource.com/platform/cts/+/3b67695cca8d4769c2b88506fdb236e292bb859f", "3b67695cca8d4769c2b88506fdb236e292bb859f")</f>
        <v>0</v>
      </c>
      <c r="D35613" t="s">
        <v>5277</v>
      </c>
      <c r="E35613" t="s">
        <v>8506</v>
      </c>
      <c r="F35613" t="s">
        <v>14028</v>
      </c>
      <c r="G35613" t="s">
        <v>17148</v>
      </c>
      <c r="H35613" t="s">
        <v>32993</v>
      </c>
    </row>
    <row r="35614" spans="1:8">
      <c r="A35614" t="s">
        <v>2779</v>
      </c>
      <c r="B35614">
        <f>HYPERLINK("https://android.googlesource.com/platform/cts/+/932edc74743224a0b0d497c090bab1627c97354b", "932edc74743224a0b0d497c090bab1627c97354b")</f>
        <v>0</v>
      </c>
      <c r="C35614">
        <f>HYPERLINK("https://android.googlesource.com/platform/cts/+/7a1a25f0045749eedb47e13620cd900c4809a4de", "7a1a25f0045749eedb47e13620cd900c4809a4de")</f>
        <v>0</v>
      </c>
      <c r="D35614" t="s">
        <v>5117</v>
      </c>
      <c r="E35614" t="s">
        <v>8507</v>
      </c>
      <c r="F35614" t="s">
        <v>14029</v>
      </c>
      <c r="G35614" t="s">
        <v>18035</v>
      </c>
      <c r="H35614" t="s">
        <v>18829</v>
      </c>
    </row>
    <row r="35615" spans="1:8">
      <c r="H35615" t="s">
        <v>18863</v>
      </c>
    </row>
    <row r="35616" spans="1:8">
      <c r="A35616" t="s">
        <v>2780</v>
      </c>
      <c r="B35616">
        <f>HYPERLINK("https://android.googlesource.com/platform/cts/+/17bdd48a5d36b1f81236d75a5363778bb53ee9a5", "17bdd48a5d36b1f81236d75a5363778bb53ee9a5")</f>
        <v>0</v>
      </c>
      <c r="C35616">
        <f>HYPERLINK("https://android.googlesource.com/platform/cts/+/ea84409e64a54d365480e7045d5243505b76ada0", "ea84409e64a54d365480e7045d5243505b76ada0")</f>
        <v>0</v>
      </c>
      <c r="D35616" t="s">
        <v>5457</v>
      </c>
      <c r="E35616" t="s">
        <v>8508</v>
      </c>
      <c r="F35616" t="s">
        <v>14030</v>
      </c>
      <c r="G35616" t="s">
        <v>17256</v>
      </c>
      <c r="H35616" t="s">
        <v>32994</v>
      </c>
    </row>
    <row r="35617" spans="1:8">
      <c r="H35617" t="s">
        <v>32995</v>
      </c>
    </row>
    <row r="35618" spans="1:8">
      <c r="A35618" t="s">
        <v>2781</v>
      </c>
      <c r="B35618">
        <f>HYPERLINK("https://android.googlesource.com/platform/cts/+/166e1a2718382651b91f10ce3cb0f75a56ff9d47", "166e1a2718382651b91f10ce3cb0f75a56ff9d47")</f>
        <v>0</v>
      </c>
      <c r="C35618">
        <f>HYPERLINK("https://android.googlesource.com/platform/cts/+/86153378cd8dd2bb286789d7112d8560f178f17d", "86153378cd8dd2bb286789d7112d8560f178f17d")</f>
        <v>0</v>
      </c>
      <c r="D35618" t="s">
        <v>5458</v>
      </c>
      <c r="E35618" t="s">
        <v>8509</v>
      </c>
      <c r="F35618" t="s">
        <v>13816</v>
      </c>
      <c r="G35618" t="s">
        <v>15089</v>
      </c>
      <c r="H35618" t="s">
        <v>32996</v>
      </c>
    </row>
    <row r="35619" spans="1:8">
      <c r="A35619" t="s">
        <v>2782</v>
      </c>
      <c r="B35619">
        <f>HYPERLINK("https://android.googlesource.com/platform/cts/+/e4829313d1cb6928486b39fd7e9244ba95515d67", "e4829313d1cb6928486b39fd7e9244ba95515d67")</f>
        <v>0</v>
      </c>
      <c r="C35619">
        <f>HYPERLINK("https://android.googlesource.com/platform/cts/+/074cbd5c0b442fcb96d330cf70c0428a3ed1e6cc", "074cbd5c0b442fcb96d330cf70c0428a3ed1e6cc")</f>
        <v>0</v>
      </c>
      <c r="D35619" t="s">
        <v>5456</v>
      </c>
      <c r="E35619" t="s">
        <v>8510</v>
      </c>
      <c r="F35619" t="s">
        <v>13846</v>
      </c>
      <c r="G35619" t="s">
        <v>17889</v>
      </c>
      <c r="H35619" t="s">
        <v>32997</v>
      </c>
    </row>
    <row r="35620" spans="1:8">
      <c r="F35620" t="s">
        <v>13899</v>
      </c>
      <c r="G35620" t="s">
        <v>17889</v>
      </c>
      <c r="H35620" t="s">
        <v>32998</v>
      </c>
    </row>
    <row r="35621" spans="1:8">
      <c r="H35621" t="s">
        <v>32997</v>
      </c>
    </row>
    <row r="35622" spans="1:8">
      <c r="A35622" t="s">
        <v>2783</v>
      </c>
      <c r="B35622">
        <f>HYPERLINK("https://android.googlesource.com/platform/cts/+/965d4fc42c6677c937a0cee6b4ab481e8cfe361b", "965d4fc42c6677c937a0cee6b4ab481e8cfe361b")</f>
        <v>0</v>
      </c>
      <c r="C35622">
        <f>HYPERLINK("https://android.googlesource.com/platform/cts/+/2a7f478809f7e9b632808df686096b333e2eb45b", "2a7f478809f7e9b632808df686096b333e2eb45b")</f>
        <v>0</v>
      </c>
      <c r="D35622" t="s">
        <v>5366</v>
      </c>
      <c r="E35622" t="s">
        <v>8508</v>
      </c>
      <c r="F35622" t="s">
        <v>14030</v>
      </c>
      <c r="G35622" t="s">
        <v>17256</v>
      </c>
      <c r="H35622" t="s">
        <v>32994</v>
      </c>
    </row>
    <row r="35623" spans="1:8">
      <c r="H35623" t="s">
        <v>32995</v>
      </c>
    </row>
    <row r="35624" spans="1:8">
      <c r="A35624" t="s">
        <v>2784</v>
      </c>
      <c r="B35624">
        <f>HYPERLINK("https://android.googlesource.com/platform/cts/+/41c756a99a6ecd52c1f60e36d7858bef64c2572c", "41c756a99a6ecd52c1f60e36d7858bef64c2572c")</f>
        <v>0</v>
      </c>
      <c r="C35624">
        <f>HYPERLINK("https://android.googlesource.com/platform/cts/+/ae17b48e58f64dbe19d1761d5c40bd3861c61a0f", "ae17b48e58f64dbe19d1761d5c40bd3861c61a0f")</f>
        <v>0</v>
      </c>
      <c r="D35624" t="s">
        <v>5363</v>
      </c>
      <c r="E35624" t="s">
        <v>8511</v>
      </c>
      <c r="F35624" t="s">
        <v>14031</v>
      </c>
      <c r="G35624" t="s">
        <v>18036</v>
      </c>
      <c r="H35624" t="s">
        <v>19013</v>
      </c>
    </row>
    <row r="35625" spans="1:8">
      <c r="H35625" t="s">
        <v>18990</v>
      </c>
    </row>
    <row r="35626" spans="1:8">
      <c r="H35626" t="s">
        <v>18991</v>
      </c>
    </row>
    <row r="35627" spans="1:8">
      <c r="F35627" t="s">
        <v>14032</v>
      </c>
      <c r="G35627" t="s">
        <v>18037</v>
      </c>
      <c r="H35627" t="s">
        <v>19013</v>
      </c>
    </row>
    <row r="35628" spans="1:8">
      <c r="F35628" t="s">
        <v>14033</v>
      </c>
      <c r="G35628" t="s">
        <v>18030</v>
      </c>
      <c r="H35628" t="s">
        <v>32934</v>
      </c>
    </row>
    <row r="35629" spans="1:8">
      <c r="H35629" t="s">
        <v>32935</v>
      </c>
    </row>
    <row r="35630" spans="1:8">
      <c r="H35630" t="s">
        <v>32936</v>
      </c>
    </row>
    <row r="35631" spans="1:8">
      <c r="H35631" t="s">
        <v>32808</v>
      </c>
    </row>
    <row r="35632" spans="1:8">
      <c r="H35632" t="s">
        <v>32811</v>
      </c>
    </row>
    <row r="35633" spans="8:8">
      <c r="H35633" t="s">
        <v>32810</v>
      </c>
    </row>
    <row r="35634" spans="8:8">
      <c r="H35634" t="s">
        <v>32809</v>
      </c>
    </row>
    <row r="35635" spans="8:8">
      <c r="H35635" t="s">
        <v>25704</v>
      </c>
    </row>
    <row r="35636" spans="8:8">
      <c r="H35636" t="s">
        <v>32937</v>
      </c>
    </row>
    <row r="35637" spans="8:8">
      <c r="H35637" t="s">
        <v>32938</v>
      </c>
    </row>
    <row r="35638" spans="8:8">
      <c r="H35638" t="s">
        <v>32935</v>
      </c>
    </row>
    <row r="35639" spans="8:8">
      <c r="H35639" t="s">
        <v>32936</v>
      </c>
    </row>
    <row r="35640" spans="8:8">
      <c r="H35640" t="s">
        <v>25704</v>
      </c>
    </row>
    <row r="35641" spans="8:8">
      <c r="H35641" t="s">
        <v>19019</v>
      </c>
    </row>
    <row r="35642" spans="8:8">
      <c r="H35642" t="s">
        <v>32939</v>
      </c>
    </row>
    <row r="35643" spans="8:8">
      <c r="H35643" t="s">
        <v>32938</v>
      </c>
    </row>
    <row r="35644" spans="8:8">
      <c r="H35644" t="s">
        <v>32940</v>
      </c>
    </row>
    <row r="35645" spans="8:8">
      <c r="H35645" t="s">
        <v>25704</v>
      </c>
    </row>
    <row r="35646" spans="8:8">
      <c r="H35646" t="s">
        <v>19019</v>
      </c>
    </row>
    <row r="35647" spans="8:8">
      <c r="H35647" t="s">
        <v>32941</v>
      </c>
    </row>
    <row r="35648" spans="8:8">
      <c r="H35648" t="s">
        <v>32942</v>
      </c>
    </row>
    <row r="35649" spans="1:8">
      <c r="H35649" t="s">
        <v>32935</v>
      </c>
    </row>
    <row r="35650" spans="1:8">
      <c r="H35650" t="s">
        <v>19743</v>
      </c>
    </row>
    <row r="35651" spans="1:8">
      <c r="H35651" t="s">
        <v>25704</v>
      </c>
    </row>
    <row r="35652" spans="1:8">
      <c r="A35652" t="s">
        <v>2785</v>
      </c>
      <c r="B35652">
        <f>HYPERLINK("https://android.googlesource.com/platform/cts/+/74b2daa72febac6a0f3f82fba7bcabbdca4f1e72", "74b2daa72febac6a0f3f82fba7bcabbdca4f1e72")</f>
        <v>0</v>
      </c>
      <c r="C35652">
        <f>HYPERLINK("https://android.googlesource.com/platform/cts/+/ef99850743859934f6d78af7cf526704619a0231", "ef99850743859934f6d78af7cf526704619a0231")</f>
        <v>0</v>
      </c>
      <c r="D35652" t="s">
        <v>5459</v>
      </c>
      <c r="E35652" t="s">
        <v>8512</v>
      </c>
      <c r="F35652" t="s">
        <v>13865</v>
      </c>
      <c r="G35652" t="s">
        <v>17905</v>
      </c>
      <c r="H35652" t="s">
        <v>32630</v>
      </c>
    </row>
    <row r="35653" spans="1:8">
      <c r="H35653" t="s">
        <v>32631</v>
      </c>
    </row>
    <row r="35654" spans="1:8">
      <c r="H35654" t="s">
        <v>32632</v>
      </c>
    </row>
    <row r="35655" spans="1:8">
      <c r="H35655" t="s">
        <v>32633</v>
      </c>
    </row>
    <row r="35656" spans="1:8">
      <c r="H35656" t="s">
        <v>32634</v>
      </c>
    </row>
    <row r="35657" spans="1:8">
      <c r="H35657" t="s">
        <v>32635</v>
      </c>
    </row>
    <row r="35658" spans="1:8">
      <c r="H35658" t="s">
        <v>32636</v>
      </c>
    </row>
    <row r="35659" spans="1:8">
      <c r="H35659" t="s">
        <v>32637</v>
      </c>
    </row>
    <row r="35660" spans="1:8">
      <c r="H35660" t="s">
        <v>19972</v>
      </c>
    </row>
    <row r="35661" spans="1:8">
      <c r="A35661" t="s">
        <v>2785</v>
      </c>
      <c r="B35661">
        <f>HYPERLINK("https://android.googlesource.com/platform/cts/+/e03652520841ceb75cd5efe9cd1afd105b8d29ae", "e03652520841ceb75cd5efe9cd1afd105b8d29ae")</f>
        <v>0</v>
      </c>
      <c r="C35661">
        <f>HYPERLINK("https://android.googlesource.com/platform/cts/+/74b2daa72febac6a0f3f82fba7bcabbdca4f1e72", "74b2daa72febac6a0f3f82fba7bcabbdca4f1e72")</f>
        <v>0</v>
      </c>
      <c r="D35661" t="s">
        <v>5459</v>
      </c>
      <c r="E35661" t="s">
        <v>8513</v>
      </c>
      <c r="F35661" t="s">
        <v>13970</v>
      </c>
      <c r="G35661" t="s">
        <v>17995</v>
      </c>
      <c r="H35661" t="s">
        <v>32639</v>
      </c>
    </row>
    <row r="35662" spans="1:8">
      <c r="H35662" t="s">
        <v>32630</v>
      </c>
    </row>
    <row r="35663" spans="1:8">
      <c r="H35663" t="s">
        <v>32640</v>
      </c>
    </row>
    <row r="35664" spans="1:8">
      <c r="H35664" t="s">
        <v>32636</v>
      </c>
    </row>
    <row r="35665" spans="1:8">
      <c r="F35665" t="s">
        <v>13846</v>
      </c>
      <c r="G35665" t="s">
        <v>17889</v>
      </c>
      <c r="H35665" t="s">
        <v>32639</v>
      </c>
    </row>
    <row r="35666" spans="1:8">
      <c r="H35666" t="s">
        <v>32641</v>
      </c>
    </row>
    <row r="35667" spans="1:8">
      <c r="H35667" t="s">
        <v>32641</v>
      </c>
    </row>
    <row r="35668" spans="1:8">
      <c r="H35668" t="s">
        <v>32642</v>
      </c>
    </row>
    <row r="35669" spans="1:8">
      <c r="H35669" t="s">
        <v>19972</v>
      </c>
    </row>
    <row r="35670" spans="1:8">
      <c r="A35670" t="s">
        <v>2786</v>
      </c>
      <c r="B35670">
        <f>HYPERLINK("https://android.googlesource.com/platform/cts/+/7d7808eb646ec81ad15fc78eaaf0131489137ce6", "7d7808eb646ec81ad15fc78eaaf0131489137ce6")</f>
        <v>0</v>
      </c>
      <c r="C35670">
        <f>HYPERLINK("https://android.googlesource.com/platform/cts/+/449d9e9397a24df40e4501e310cfd53c730b243c", "449d9e9397a24df40e4501e310cfd53c730b243c")</f>
        <v>0</v>
      </c>
      <c r="D35670" t="s">
        <v>5460</v>
      </c>
      <c r="E35670" t="s">
        <v>8514</v>
      </c>
      <c r="F35670" t="s">
        <v>13417</v>
      </c>
      <c r="G35670" t="s">
        <v>17543</v>
      </c>
      <c r="H35670" t="s">
        <v>32999</v>
      </c>
    </row>
    <row r="35671" spans="1:8">
      <c r="H35671" t="s">
        <v>33000</v>
      </c>
    </row>
    <row r="35672" spans="1:8">
      <c r="H35672" t="s">
        <v>33001</v>
      </c>
    </row>
    <row r="35673" spans="1:8">
      <c r="H35673" t="s">
        <v>33002</v>
      </c>
    </row>
    <row r="35674" spans="1:8">
      <c r="A35674" t="s">
        <v>2787</v>
      </c>
      <c r="B35674">
        <f>HYPERLINK("https://android.googlesource.com/platform/cts/+/b78012d5392df9a6dbd937e56a70eee43a72aca5", "b78012d5392df9a6dbd937e56a70eee43a72aca5")</f>
        <v>0</v>
      </c>
      <c r="C35674">
        <f>HYPERLINK("https://android.googlesource.com/platform/cts/+/76ab09c3132d0f752fce712e3d37202d5b47be56", "76ab09c3132d0f752fce712e3d37202d5b47be56")</f>
        <v>0</v>
      </c>
      <c r="D35674" t="s">
        <v>5366</v>
      </c>
      <c r="E35674" t="s">
        <v>8508</v>
      </c>
      <c r="F35674" t="s">
        <v>14030</v>
      </c>
      <c r="G35674" t="s">
        <v>17256</v>
      </c>
      <c r="H35674" t="s">
        <v>32994</v>
      </c>
    </row>
    <row r="35675" spans="1:8">
      <c r="H35675" t="s">
        <v>32995</v>
      </c>
    </row>
    <row r="35676" spans="1:8">
      <c r="A35676" t="s">
        <v>2788</v>
      </c>
      <c r="B35676">
        <f>HYPERLINK("https://android.googlesource.com/platform/cts/+/aec7bef0d2532f80e5c82750e4b2f986a9d8666c", "aec7bef0d2532f80e5c82750e4b2f986a9d8666c")</f>
        <v>0</v>
      </c>
      <c r="C35676">
        <f>HYPERLINK("https://android.googlesource.com/platform/cts/+/e9129d64dbee513d0b003065c698f464a240b24e", "e9129d64dbee513d0b003065c698f464a240b24e")</f>
        <v>0</v>
      </c>
      <c r="D35676" t="s">
        <v>5452</v>
      </c>
      <c r="E35676" t="s">
        <v>8515</v>
      </c>
      <c r="F35676" t="s">
        <v>14034</v>
      </c>
      <c r="G35676" t="s">
        <v>16770</v>
      </c>
      <c r="H35676" t="s">
        <v>33003</v>
      </c>
    </row>
    <row r="35677" spans="1:8">
      <c r="H35677" t="s">
        <v>33003</v>
      </c>
    </row>
    <row r="35678" spans="1:8">
      <c r="H35678" t="s">
        <v>32886</v>
      </c>
    </row>
    <row r="35679" spans="1:8">
      <c r="H35679" t="s">
        <v>32887</v>
      </c>
    </row>
    <row r="35680" spans="1:8">
      <c r="H35680" t="s">
        <v>33004</v>
      </c>
    </row>
    <row r="35681" spans="1:8">
      <c r="H35681" t="s">
        <v>33005</v>
      </c>
    </row>
    <row r="35682" spans="1:8">
      <c r="H35682" t="s">
        <v>32888</v>
      </c>
    </row>
    <row r="35683" spans="1:8">
      <c r="H35683" t="s">
        <v>33006</v>
      </c>
    </row>
    <row r="35684" spans="1:8">
      <c r="A35684" t="s">
        <v>2789</v>
      </c>
      <c r="B35684">
        <f>HYPERLINK("https://android.googlesource.com/platform/cts/+/36c703373f8c0014e9879822e98054e84997fdee", "36c703373f8c0014e9879822e98054e84997fdee")</f>
        <v>0</v>
      </c>
      <c r="C35684">
        <f>HYPERLINK("https://android.googlesource.com/platform/cts/+/d62d7dbf1d6dc51625810678f04267f4988103f1", "d62d7dbf1d6dc51625810678f04267f4988103f1")</f>
        <v>0</v>
      </c>
      <c r="D35684" t="s">
        <v>5452</v>
      </c>
      <c r="E35684" t="s">
        <v>8516</v>
      </c>
      <c r="F35684" t="s">
        <v>14035</v>
      </c>
      <c r="G35684" t="s">
        <v>18038</v>
      </c>
      <c r="H35684" t="s">
        <v>33007</v>
      </c>
    </row>
    <row r="35685" spans="1:8">
      <c r="H35685" t="s">
        <v>19017</v>
      </c>
    </row>
    <row r="35686" spans="1:8">
      <c r="H35686" t="s">
        <v>33008</v>
      </c>
    </row>
    <row r="35687" spans="1:8">
      <c r="F35687" t="s">
        <v>14012</v>
      </c>
      <c r="G35687" t="s">
        <v>16770</v>
      </c>
      <c r="H35687" t="s">
        <v>32885</v>
      </c>
    </row>
    <row r="35688" spans="1:8">
      <c r="H35688" t="s">
        <v>32886</v>
      </c>
    </row>
    <row r="35689" spans="1:8">
      <c r="H35689" t="s">
        <v>32887</v>
      </c>
    </row>
    <row r="35690" spans="1:8">
      <c r="H35690" t="s">
        <v>28427</v>
      </c>
    </row>
    <row r="35691" spans="1:8">
      <c r="H35691" t="s">
        <v>32888</v>
      </c>
    </row>
    <row r="35692" spans="1:8">
      <c r="H35692" t="s">
        <v>32889</v>
      </c>
    </row>
    <row r="35693" spans="1:8">
      <c r="H35693" t="s">
        <v>32890</v>
      </c>
    </row>
    <row r="35694" spans="1:8">
      <c r="A35694" t="s">
        <v>2790</v>
      </c>
      <c r="B35694">
        <f>HYPERLINK("https://android.googlesource.com/platform/cts/+/5bffff7bf21bb197ac31b21b1db84337618ca107", "5bffff7bf21bb197ac31b21b1db84337618ca107")</f>
        <v>0</v>
      </c>
      <c r="C35694">
        <f>HYPERLINK("https://android.googlesource.com/platform/cts/+/9ef7dadffc938caa1bbcc08887ca8ec3e74d6d64", "9ef7dadffc938caa1bbcc08887ca8ec3e74d6d64")</f>
        <v>0</v>
      </c>
      <c r="D35694" t="s">
        <v>5390</v>
      </c>
      <c r="E35694" t="s">
        <v>8517</v>
      </c>
      <c r="F35694" t="s">
        <v>13837</v>
      </c>
      <c r="G35694" t="s">
        <v>17880</v>
      </c>
      <c r="H35694" t="s">
        <v>33009</v>
      </c>
    </row>
    <row r="35695" spans="1:8">
      <c r="A35695" t="s">
        <v>2791</v>
      </c>
      <c r="B35695">
        <f>HYPERLINK("https://android.googlesource.com/platform/cts/+/f8d9c6359b716f098044a50aff2d00fc836e8a95", "f8d9c6359b716f098044a50aff2d00fc836e8a95")</f>
        <v>0</v>
      </c>
      <c r="C35695">
        <f>HYPERLINK("https://android.googlesource.com/platform/cts/+/b2ad9f76da71737f2e983d6b2b64eaf96fc9ff39", "b2ad9f76da71737f2e983d6b2b64eaf96fc9ff39")</f>
        <v>0</v>
      </c>
      <c r="D35695" t="s">
        <v>5290</v>
      </c>
      <c r="E35695" t="s">
        <v>8518</v>
      </c>
      <c r="F35695" t="s">
        <v>13136</v>
      </c>
      <c r="G35695" t="s">
        <v>17293</v>
      </c>
      <c r="H35695" t="s">
        <v>33010</v>
      </c>
    </row>
    <row r="35696" spans="1:8">
      <c r="A35696" t="s">
        <v>2792</v>
      </c>
      <c r="B35696">
        <f>HYPERLINK("https://android.googlesource.com/platform/cts/+/40621887f3929c82c46735101a43651d127d1421", "40621887f3929c82c46735101a43651d127d1421")</f>
        <v>0</v>
      </c>
      <c r="C35696">
        <f>HYPERLINK("https://android.googlesource.com/platform/cts/+/a34b7f8d89ab991ecf9b628f2c71b9eb37a93b22", "a34b7f8d89ab991ecf9b628f2c71b9eb37a93b22")</f>
        <v>0</v>
      </c>
      <c r="D35696" t="s">
        <v>5108</v>
      </c>
      <c r="E35696" t="s">
        <v>8519</v>
      </c>
      <c r="F35696" t="s">
        <v>14036</v>
      </c>
      <c r="G35696" t="s">
        <v>18039</v>
      </c>
      <c r="H35696" t="s">
        <v>33011</v>
      </c>
    </row>
    <row r="35697" spans="6:8">
      <c r="F35697" t="s">
        <v>12767</v>
      </c>
      <c r="G35697" t="s">
        <v>16955</v>
      </c>
      <c r="H35697" t="s">
        <v>18829</v>
      </c>
    </row>
    <row r="35698" spans="6:8">
      <c r="H35698" t="s">
        <v>33012</v>
      </c>
    </row>
    <row r="35699" spans="6:8">
      <c r="F35699" t="s">
        <v>13974</v>
      </c>
      <c r="G35699" t="s">
        <v>17999</v>
      </c>
      <c r="H35699" t="s">
        <v>26328</v>
      </c>
    </row>
    <row r="35700" spans="6:8">
      <c r="H35700" t="s">
        <v>26329</v>
      </c>
    </row>
    <row r="35701" spans="6:8">
      <c r="H35701" t="s">
        <v>26330</v>
      </c>
    </row>
    <row r="35702" spans="6:8">
      <c r="H35702" t="s">
        <v>33013</v>
      </c>
    </row>
    <row r="35703" spans="6:8">
      <c r="H35703" t="s">
        <v>26325</v>
      </c>
    </row>
    <row r="35704" spans="6:8">
      <c r="H35704" t="s">
        <v>26326</v>
      </c>
    </row>
    <row r="35705" spans="6:8">
      <c r="H35705" t="s">
        <v>26331</v>
      </c>
    </row>
    <row r="35706" spans="6:8">
      <c r="F35706" t="s">
        <v>14037</v>
      </c>
      <c r="G35706" t="s">
        <v>18040</v>
      </c>
      <c r="H35706" t="s">
        <v>18829</v>
      </c>
    </row>
    <row r="35707" spans="6:8">
      <c r="H35707" t="s">
        <v>18863</v>
      </c>
    </row>
    <row r="35708" spans="6:8">
      <c r="H35708" t="s">
        <v>26335</v>
      </c>
    </row>
    <row r="35709" spans="6:8">
      <c r="H35709" t="s">
        <v>26336</v>
      </c>
    </row>
    <row r="35710" spans="6:8">
      <c r="H35710" t="s">
        <v>26337</v>
      </c>
    </row>
    <row r="35711" spans="6:8">
      <c r="H35711" t="s">
        <v>26338</v>
      </c>
    </row>
    <row r="35712" spans="6:8">
      <c r="H35712" t="s">
        <v>26339</v>
      </c>
    </row>
    <row r="35713" spans="6:8">
      <c r="H35713" t="s">
        <v>26340</v>
      </c>
    </row>
    <row r="35714" spans="6:8">
      <c r="H35714" t="s">
        <v>26341</v>
      </c>
    </row>
    <row r="35715" spans="6:8">
      <c r="H35715" t="s">
        <v>26342</v>
      </c>
    </row>
    <row r="35716" spans="6:8">
      <c r="H35716" t="s">
        <v>26343</v>
      </c>
    </row>
    <row r="35717" spans="6:8">
      <c r="H35717" t="s">
        <v>26344</v>
      </c>
    </row>
    <row r="35718" spans="6:8">
      <c r="H35718" t="s">
        <v>26348</v>
      </c>
    </row>
    <row r="35719" spans="6:8">
      <c r="H35719" t="s">
        <v>26349</v>
      </c>
    </row>
    <row r="35720" spans="6:8">
      <c r="H35720" t="s">
        <v>29577</v>
      </c>
    </row>
    <row r="35721" spans="6:8">
      <c r="F35721" t="s">
        <v>14038</v>
      </c>
      <c r="G35721" t="s">
        <v>18041</v>
      </c>
      <c r="H35721" t="s">
        <v>26296</v>
      </c>
    </row>
    <row r="35722" spans="6:8">
      <c r="H35722" t="s">
        <v>33014</v>
      </c>
    </row>
    <row r="35723" spans="6:8">
      <c r="H35723" t="s">
        <v>33015</v>
      </c>
    </row>
    <row r="35724" spans="6:8">
      <c r="H35724" t="s">
        <v>33016</v>
      </c>
    </row>
    <row r="35725" spans="6:8">
      <c r="H35725" t="s">
        <v>33017</v>
      </c>
    </row>
    <row r="35726" spans="6:8">
      <c r="F35726" t="s">
        <v>12762</v>
      </c>
      <c r="G35726" t="s">
        <v>16953</v>
      </c>
      <c r="H35726" t="s">
        <v>26331</v>
      </c>
    </row>
    <row r="35727" spans="6:8">
      <c r="H35727" t="s">
        <v>33018</v>
      </c>
    </row>
    <row r="35728" spans="6:8">
      <c r="H35728" t="s">
        <v>33019</v>
      </c>
    </row>
    <row r="35729" spans="1:8">
      <c r="A35729" t="s">
        <v>2793</v>
      </c>
      <c r="B35729">
        <f>HYPERLINK("https://android.googlesource.com/platform/cts/+/4e2e4014e4bd6da0adda621fa5c9defc5d56d8e1", "4e2e4014e4bd6da0adda621fa5c9defc5d56d8e1")</f>
        <v>0</v>
      </c>
      <c r="C35729">
        <f>HYPERLINK("https://android.googlesource.com/platform/cts/+/7088885815f70b13b3306a2182572feb6d5a767f", "7088885815f70b13b3306a2182572feb6d5a767f")</f>
        <v>0</v>
      </c>
      <c r="D35729" t="s">
        <v>5120</v>
      </c>
      <c r="E35729" t="s">
        <v>8520</v>
      </c>
      <c r="F35729" t="s">
        <v>12176</v>
      </c>
      <c r="G35729" t="s">
        <v>16415</v>
      </c>
      <c r="H35729" t="s">
        <v>33020</v>
      </c>
    </row>
    <row r="35730" spans="1:8">
      <c r="H35730" t="s">
        <v>33021</v>
      </c>
    </row>
    <row r="35731" spans="1:8">
      <c r="A35731" t="s">
        <v>2794</v>
      </c>
      <c r="B35731">
        <f>HYPERLINK("https://android.googlesource.com/platform/cts/+/b68cce730fe9770411d6b5226888d740913710d8", "b68cce730fe9770411d6b5226888d740913710d8")</f>
        <v>0</v>
      </c>
      <c r="C35731">
        <f>HYPERLINK("https://android.googlesource.com/platform/cts/+/02b7700529acd83455faf20589d454e7dc2a88f1", "02b7700529acd83455faf20589d454e7dc2a88f1")</f>
        <v>0</v>
      </c>
      <c r="D35731" t="s">
        <v>5051</v>
      </c>
      <c r="E35731" t="s">
        <v>8521</v>
      </c>
      <c r="F35731" t="s">
        <v>13868</v>
      </c>
      <c r="G35731" t="s">
        <v>17907</v>
      </c>
      <c r="H35731" t="s">
        <v>33022</v>
      </c>
    </row>
    <row r="35732" spans="1:8">
      <c r="A35732" t="s">
        <v>2795</v>
      </c>
      <c r="B35732">
        <f>HYPERLINK("https://android.googlesource.com/platform/cts/+/0269a82d7a838afe47cb8df73afa112755388aa1", "0269a82d7a838afe47cb8df73afa112755388aa1")</f>
        <v>0</v>
      </c>
      <c r="C35732">
        <f>HYPERLINK("https://android.googlesource.com/platform/cts/+/3f98c7064df368ff2f8046ec5aeb0da2abf474d1", "3f98c7064df368ff2f8046ec5aeb0da2abf474d1")</f>
        <v>0</v>
      </c>
      <c r="D35732" t="s">
        <v>5455</v>
      </c>
      <c r="E35732" t="s">
        <v>8522</v>
      </c>
      <c r="F35732" t="s">
        <v>14023</v>
      </c>
      <c r="G35732" t="s">
        <v>18032</v>
      </c>
      <c r="H35732" t="s">
        <v>18863</v>
      </c>
    </row>
    <row r="35733" spans="1:8">
      <c r="A35733" t="s">
        <v>2796</v>
      </c>
      <c r="B35733">
        <f>HYPERLINK("https://android.googlesource.com/platform/cts/+/8b0c41cf0de8aff8fe8c15b681958f098a92f579", "8b0c41cf0de8aff8fe8c15b681958f098a92f579")</f>
        <v>0</v>
      </c>
      <c r="C35733">
        <f>HYPERLINK("https://android.googlesource.com/platform/cts/+/0fad437a1be1d5063d80e4e57f2aa9c787e8813d", "0fad437a1be1d5063d80e4e57f2aa9c787e8813d")</f>
        <v>0</v>
      </c>
      <c r="D35733" t="s">
        <v>5390</v>
      </c>
      <c r="E35733" t="s">
        <v>8523</v>
      </c>
      <c r="F35733" t="s">
        <v>13837</v>
      </c>
      <c r="G35733" t="s">
        <v>17880</v>
      </c>
      <c r="H35733" t="s">
        <v>33009</v>
      </c>
    </row>
    <row r="35734" spans="1:8">
      <c r="A35734" t="s">
        <v>2797</v>
      </c>
      <c r="B35734">
        <f>HYPERLINK("https://android.googlesource.com/platform/cts/+/56586558555142d50f6920867f5a6e24bcdbfe05", "56586558555142d50f6920867f5a6e24bcdbfe05")</f>
        <v>0</v>
      </c>
      <c r="C35734">
        <f>HYPERLINK("https://android.googlesource.com/platform/cts/+/62691563f939938cceace69fe0a0e8aeb159e7e1", "62691563f939938cceace69fe0a0e8aeb159e7e1")</f>
        <v>0</v>
      </c>
      <c r="D35734" t="s">
        <v>5290</v>
      </c>
      <c r="E35734" t="s">
        <v>8524</v>
      </c>
      <c r="F35734" t="s">
        <v>12629</v>
      </c>
      <c r="G35734" t="s">
        <v>16838</v>
      </c>
      <c r="H35734" t="s">
        <v>33023</v>
      </c>
    </row>
    <row r="35735" spans="1:8">
      <c r="A35735" t="s">
        <v>2798</v>
      </c>
      <c r="B35735">
        <f>HYPERLINK("https://android.googlesource.com/platform/cts/+/829fa71e109920ea7fdf23372f2c811fab897d80", "829fa71e109920ea7fdf23372f2c811fab897d80")</f>
        <v>0</v>
      </c>
      <c r="C35735">
        <f>HYPERLINK("https://android.googlesource.com/platform/cts/+/a34b7f8d89ab991ecf9b628f2c71b9eb37a93b22", "a34b7f8d89ab991ecf9b628f2c71b9eb37a93b22")</f>
        <v>0</v>
      </c>
      <c r="D35735" t="s">
        <v>5357</v>
      </c>
      <c r="E35735" t="s">
        <v>8525</v>
      </c>
      <c r="F35735" t="s">
        <v>13277</v>
      </c>
      <c r="G35735" t="s">
        <v>17414</v>
      </c>
      <c r="H35735" t="s">
        <v>33024</v>
      </c>
    </row>
    <row r="35736" spans="1:8">
      <c r="H35736" t="s">
        <v>33025</v>
      </c>
    </row>
    <row r="35737" spans="1:8">
      <c r="H35737" t="s">
        <v>33026</v>
      </c>
    </row>
    <row r="35738" spans="1:8">
      <c r="A35738" t="s">
        <v>2799</v>
      </c>
      <c r="B35738">
        <f>HYPERLINK("https://android.googlesource.com/platform/cts/+/53ed839db89c7884084e9e9f07702ee343cc3125", "53ed839db89c7884084e9e9f07702ee343cc3125")</f>
        <v>0</v>
      </c>
      <c r="C35738">
        <f>HYPERLINK("https://android.googlesource.com/platform/cts/+/15c5de98e63b714fe276e9f9a3c2b7c98963a92a", "15c5de98e63b714fe276e9f9a3c2b7c98963a92a")</f>
        <v>0</v>
      </c>
      <c r="D35738" t="s">
        <v>5438</v>
      </c>
      <c r="E35738" t="s">
        <v>8526</v>
      </c>
      <c r="F35738" t="s">
        <v>14039</v>
      </c>
      <c r="G35738" t="s">
        <v>18042</v>
      </c>
      <c r="H35738" t="s">
        <v>19981</v>
      </c>
    </row>
    <row r="35739" spans="1:8">
      <c r="H35739" t="s">
        <v>18863</v>
      </c>
    </row>
    <row r="35740" spans="1:8">
      <c r="H35740" t="s">
        <v>33027</v>
      </c>
    </row>
    <row r="35741" spans="1:8">
      <c r="H35741" t="s">
        <v>32363</v>
      </c>
    </row>
    <row r="35742" spans="1:8">
      <c r="H35742" t="s">
        <v>33028</v>
      </c>
    </row>
    <row r="35743" spans="1:8">
      <c r="H35743" t="s">
        <v>33029</v>
      </c>
    </row>
    <row r="35744" spans="1:8">
      <c r="H35744" t="s">
        <v>31415</v>
      </c>
    </row>
    <row r="35745" spans="1:8">
      <c r="H35745" t="s">
        <v>33030</v>
      </c>
    </row>
    <row r="35746" spans="1:8">
      <c r="H35746" t="s">
        <v>33031</v>
      </c>
    </row>
    <row r="35747" spans="1:8">
      <c r="H35747" t="s">
        <v>33032</v>
      </c>
    </row>
    <row r="35748" spans="1:8">
      <c r="H35748" t="s">
        <v>21400</v>
      </c>
    </row>
    <row r="35749" spans="1:8">
      <c r="A35749" t="s">
        <v>2800</v>
      </c>
      <c r="B35749">
        <f>HYPERLINK("https://android.googlesource.com/platform/cts/+/e5d93c355ae9e7b357b2964884096c79b593149c", "e5d93c355ae9e7b357b2964884096c79b593149c")</f>
        <v>0</v>
      </c>
      <c r="C35749">
        <f>HYPERLINK("https://android.googlesource.com/platform/cts/+/3e399ab06481bfd431d3db09d10ed2199c7a6797", "3e399ab06481bfd431d3db09d10ed2199c7a6797")</f>
        <v>0</v>
      </c>
      <c r="D35749" t="s">
        <v>5452</v>
      </c>
      <c r="E35749" t="s">
        <v>8527</v>
      </c>
      <c r="F35749" t="s">
        <v>14034</v>
      </c>
      <c r="G35749" t="s">
        <v>18024</v>
      </c>
      <c r="H35749" t="s">
        <v>33006</v>
      </c>
    </row>
    <row r="35750" spans="1:8">
      <c r="A35750" t="s">
        <v>2801</v>
      </c>
      <c r="B35750">
        <f>HYPERLINK("https://android.googlesource.com/platform/cts/+/76fce8ddd2f38f5f454112a22495814ebf58474f", "76fce8ddd2f38f5f454112a22495814ebf58474f")</f>
        <v>0</v>
      </c>
      <c r="C35750">
        <f>HYPERLINK("https://android.googlesource.com/platform/cts/+/c008b834f0cad6f87f98123098aaa8594dfbf1ed", "c008b834f0cad6f87f98123098aaa8594dfbf1ed")</f>
        <v>0</v>
      </c>
      <c r="D35750" t="s">
        <v>5265</v>
      </c>
      <c r="E35750" t="s">
        <v>8528</v>
      </c>
      <c r="F35750" t="s">
        <v>14000</v>
      </c>
      <c r="G35750" t="s">
        <v>18013</v>
      </c>
      <c r="H35750" t="s">
        <v>32845</v>
      </c>
    </row>
    <row r="35751" spans="1:8">
      <c r="H35751" t="s">
        <v>32846</v>
      </c>
    </row>
    <row r="35752" spans="1:8">
      <c r="H35752" t="s">
        <v>32847</v>
      </c>
    </row>
    <row r="35753" spans="1:8">
      <c r="F35753" t="s">
        <v>14040</v>
      </c>
      <c r="G35753" t="s">
        <v>18043</v>
      </c>
      <c r="H35753" t="s">
        <v>33033</v>
      </c>
    </row>
    <row r="35754" spans="1:8">
      <c r="H35754" t="s">
        <v>32846</v>
      </c>
    </row>
    <row r="35755" spans="1:8">
      <c r="H35755" t="s">
        <v>32847</v>
      </c>
    </row>
    <row r="35756" spans="1:8">
      <c r="F35756" t="s">
        <v>14002</v>
      </c>
      <c r="G35756" t="s">
        <v>18015</v>
      </c>
      <c r="H35756" t="s">
        <v>32849</v>
      </c>
    </row>
    <row r="35757" spans="1:8">
      <c r="H35757" t="s">
        <v>32846</v>
      </c>
    </row>
    <row r="35758" spans="1:8">
      <c r="H35758" t="s">
        <v>32847</v>
      </c>
    </row>
    <row r="35759" spans="1:8">
      <c r="A35759" t="s">
        <v>2802</v>
      </c>
      <c r="B35759">
        <f>HYPERLINK("https://android.googlesource.com/platform/cts/+/780ca4f965997af3c376100c9389e355f26e3abe", "780ca4f965997af3c376100c9389e355f26e3abe")</f>
        <v>0</v>
      </c>
      <c r="C35759">
        <f>HYPERLINK("https://android.googlesource.com/platform/cts/+/50fa1a3f9268c8b49c795696e1d9a1d9eadeef1d", "50fa1a3f9268c8b49c795696e1d9a1d9eadeef1d")</f>
        <v>0</v>
      </c>
      <c r="D35759" t="s">
        <v>5277</v>
      </c>
      <c r="E35759" t="s">
        <v>8529</v>
      </c>
      <c r="F35759" t="s">
        <v>14041</v>
      </c>
      <c r="G35759" t="s">
        <v>18044</v>
      </c>
      <c r="H35759" t="s">
        <v>33034</v>
      </c>
    </row>
    <row r="35760" spans="1:8">
      <c r="A35760" t="s">
        <v>2803</v>
      </c>
      <c r="B35760">
        <f>HYPERLINK("https://android.googlesource.com/platform/cts/+/03580703032b422ef8ad8e3027e7906fcfd50396", "03580703032b422ef8ad8e3027e7906fcfd50396")</f>
        <v>0</v>
      </c>
      <c r="C35760">
        <f>HYPERLINK("https://android.googlesource.com/platform/cts/+/5be9a1f3bc6bc2d15034b61609a4ed03abc812e3", "5be9a1f3bc6bc2d15034b61609a4ed03abc812e3")</f>
        <v>0</v>
      </c>
      <c r="D35760" t="s">
        <v>5461</v>
      </c>
      <c r="E35760" t="s">
        <v>8530</v>
      </c>
      <c r="F35760" t="s">
        <v>14042</v>
      </c>
      <c r="G35760" t="s">
        <v>17514</v>
      </c>
      <c r="H35760" t="s">
        <v>33035</v>
      </c>
    </row>
    <row r="35761" spans="1:8">
      <c r="A35761" t="s">
        <v>2804</v>
      </c>
      <c r="B35761">
        <f>HYPERLINK("https://android.googlesource.com/platform/cts/+/799a5677300adb8ad53240d8f25004e8395dceed", "799a5677300adb8ad53240d8f25004e8395dceed")</f>
        <v>0</v>
      </c>
      <c r="C35761">
        <f>HYPERLINK("https://android.googlesource.com/platform/cts/+/5be9a1f3bc6bc2d15034b61609a4ed03abc812e3", "5be9a1f3bc6bc2d15034b61609a4ed03abc812e3")</f>
        <v>0</v>
      </c>
      <c r="D35761" t="s">
        <v>5374</v>
      </c>
      <c r="E35761" t="s">
        <v>8531</v>
      </c>
      <c r="F35761" t="s">
        <v>13165</v>
      </c>
      <c r="G35761" t="s">
        <v>17315</v>
      </c>
      <c r="H35761" t="s">
        <v>33036</v>
      </c>
    </row>
    <row r="35762" spans="1:8">
      <c r="H35762" t="s">
        <v>33037</v>
      </c>
    </row>
    <row r="35763" spans="1:8">
      <c r="H35763" t="s">
        <v>25704</v>
      </c>
    </row>
    <row r="35764" spans="1:8">
      <c r="A35764" t="s">
        <v>2805</v>
      </c>
      <c r="B35764">
        <f>HYPERLINK("https://android.googlesource.com/platform/cts/+/5f83fb34250ad0fa130f4262ad8667b2bdebdd28", "5f83fb34250ad0fa130f4262ad8667b2bdebdd28")</f>
        <v>0</v>
      </c>
      <c r="C35764">
        <f>HYPERLINK("https://android.googlesource.com/platform/cts/+/56586558555142d50f6920867f5a6e24bcdbfe05", "56586558555142d50f6920867f5a6e24bcdbfe05")</f>
        <v>0</v>
      </c>
      <c r="D35764" t="s">
        <v>5290</v>
      </c>
      <c r="E35764" t="s">
        <v>8532</v>
      </c>
      <c r="F35764" t="s">
        <v>13714</v>
      </c>
      <c r="G35764" t="s">
        <v>17781</v>
      </c>
      <c r="H35764" t="s">
        <v>33038</v>
      </c>
    </row>
    <row r="35765" spans="1:8">
      <c r="H35765" t="s">
        <v>33039</v>
      </c>
    </row>
    <row r="35766" spans="1:8">
      <c r="F35766" t="s">
        <v>12419</v>
      </c>
      <c r="G35766" t="s">
        <v>16641</v>
      </c>
      <c r="H35766" t="s">
        <v>31218</v>
      </c>
    </row>
    <row r="35767" spans="1:8">
      <c r="H35767" t="s">
        <v>33039</v>
      </c>
    </row>
    <row r="35768" spans="1:8">
      <c r="A35768" t="s">
        <v>2806</v>
      </c>
      <c r="B35768">
        <f>HYPERLINK("https://android.googlesource.com/platform/cts/+/d0f23ef3cc259bc62b0c6909e3b6fce6384e748f", "d0f23ef3cc259bc62b0c6909e3b6fce6384e748f")</f>
        <v>0</v>
      </c>
      <c r="C35768">
        <f>HYPERLINK("https://android.googlesource.com/platform/cts/+/799a5677300adb8ad53240d8f25004e8395dceed", "799a5677300adb8ad53240d8f25004e8395dceed")</f>
        <v>0</v>
      </c>
      <c r="D35768" t="s">
        <v>5374</v>
      </c>
      <c r="E35768" t="s">
        <v>8533</v>
      </c>
      <c r="F35768" t="s">
        <v>13165</v>
      </c>
      <c r="G35768" t="s">
        <v>17315</v>
      </c>
      <c r="H35768" t="s">
        <v>33037</v>
      </c>
    </row>
    <row r="35769" spans="1:8">
      <c r="A35769" t="s">
        <v>2807</v>
      </c>
      <c r="B35769">
        <f>HYPERLINK("https://android.googlesource.com/platform/cts/+/fcae258101cea3273e90524bc31eb102f2879fde", "fcae258101cea3273e90524bc31eb102f2879fde")</f>
        <v>0</v>
      </c>
      <c r="C35769">
        <f>HYPERLINK("https://android.googlesource.com/platform/cts/+/c53683b66a27a7ce4a2bbc1910e9bffa9b472dcc", "c53683b66a27a7ce4a2bbc1910e9bffa9b472dcc")</f>
        <v>0</v>
      </c>
      <c r="D35769" t="s">
        <v>5065</v>
      </c>
      <c r="E35769" t="s">
        <v>8534</v>
      </c>
      <c r="F35769" t="s">
        <v>10700</v>
      </c>
      <c r="G35769" t="s">
        <v>15100</v>
      </c>
      <c r="H35769" t="s">
        <v>32671</v>
      </c>
    </row>
    <row r="35770" spans="1:8">
      <c r="A35770" t="s">
        <v>2808</v>
      </c>
      <c r="B35770">
        <f>HYPERLINK("https://android.googlesource.com/platform/cts/+/f64e6434f7e94149feb0cd991f69316ef379906f", "f64e6434f7e94149feb0cd991f69316ef379906f")</f>
        <v>0</v>
      </c>
      <c r="C35770">
        <f>HYPERLINK("https://android.googlesource.com/platform/cts/+/3929532c1c563ccf51b317e0691183ef8df47f4a", "3929532c1c563ccf51b317e0691183ef8df47f4a")</f>
        <v>0</v>
      </c>
      <c r="D35770" t="s">
        <v>5065</v>
      </c>
      <c r="E35770" t="s">
        <v>8535</v>
      </c>
      <c r="F35770" t="s">
        <v>10700</v>
      </c>
      <c r="G35770" t="s">
        <v>15100</v>
      </c>
      <c r="H35770" t="s">
        <v>32671</v>
      </c>
    </row>
    <row r="35771" spans="1:8">
      <c r="A35771" t="s">
        <v>2809</v>
      </c>
      <c r="B35771">
        <f>HYPERLINK("https://android.googlesource.com/platform/cts/+/184cfd98d73701881a32740763b1c1a70e4ee30b", "184cfd98d73701881a32740763b1c1a70e4ee30b")</f>
        <v>0</v>
      </c>
      <c r="C35771">
        <f>HYPERLINK("https://android.googlesource.com/platform/cts/+/f07a53f57dde99b333dde200a2611a64d400a6f3", "f07a53f57dde99b333dde200a2611a64d400a6f3")</f>
        <v>0</v>
      </c>
      <c r="D35771" t="s">
        <v>5290</v>
      </c>
      <c r="E35771" t="s">
        <v>8536</v>
      </c>
      <c r="F35771" t="s">
        <v>13199</v>
      </c>
      <c r="G35771" t="s">
        <v>17341</v>
      </c>
      <c r="H35771" t="s">
        <v>33040</v>
      </c>
    </row>
    <row r="35772" spans="1:8">
      <c r="F35772" t="s">
        <v>12629</v>
      </c>
      <c r="G35772" t="s">
        <v>16838</v>
      </c>
      <c r="H35772" t="s">
        <v>28068</v>
      </c>
    </row>
    <row r="35773" spans="1:8">
      <c r="F35773" t="s">
        <v>12419</v>
      </c>
      <c r="G35773" t="s">
        <v>16641</v>
      </c>
      <c r="H35773" t="s">
        <v>33041</v>
      </c>
    </row>
    <row r="35774" spans="1:8">
      <c r="A35774" t="s">
        <v>2810</v>
      </c>
      <c r="B35774">
        <f>HYPERLINK("https://android.googlesource.com/platform/cts/+/1fde417e2c6f9914e40d17b2cfdb10e71beeeb29", "1fde417e2c6f9914e40d17b2cfdb10e71beeeb29")</f>
        <v>0</v>
      </c>
      <c r="C35774">
        <f>HYPERLINK("https://android.googlesource.com/platform/cts/+/66678c8ac1fca19ea4a82af561de9e0d5e74a6d5", "66678c8ac1fca19ea4a82af561de9e0d5e74a6d5")</f>
        <v>0</v>
      </c>
      <c r="D35774" t="s">
        <v>5444</v>
      </c>
      <c r="E35774" t="s">
        <v>8537</v>
      </c>
      <c r="F35774" t="s">
        <v>13165</v>
      </c>
      <c r="G35774" t="s">
        <v>17315</v>
      </c>
      <c r="H35774" t="s">
        <v>33036</v>
      </c>
    </row>
    <row r="35775" spans="1:8">
      <c r="H35775" t="s">
        <v>33037</v>
      </c>
    </row>
    <row r="35776" spans="1:8">
      <c r="H35776" t="s">
        <v>25704</v>
      </c>
    </row>
    <row r="35777" spans="1:8">
      <c r="A35777" t="s">
        <v>2811</v>
      </c>
      <c r="B35777">
        <f>HYPERLINK("https://android.googlesource.com/platform/cts/+/ea4cf2897ddfd568a257e84cdfaadb10cb1a7be3", "ea4cf2897ddfd568a257e84cdfaadb10cb1a7be3")</f>
        <v>0</v>
      </c>
      <c r="C35777">
        <f>HYPERLINK("https://android.googlesource.com/platform/cts/+/17016902e9a5ea86e855a0385ce234fc519ace15", "17016902e9a5ea86e855a0385ce234fc519ace15")</f>
        <v>0</v>
      </c>
      <c r="D35777" t="s">
        <v>5293</v>
      </c>
      <c r="E35777" t="s">
        <v>8538</v>
      </c>
      <c r="F35777" t="s">
        <v>13468</v>
      </c>
      <c r="G35777" t="s">
        <v>17587</v>
      </c>
      <c r="H35777" t="s">
        <v>19981</v>
      </c>
    </row>
    <row r="35778" spans="1:8">
      <c r="A35778" t="s">
        <v>2812</v>
      </c>
      <c r="B35778">
        <f>HYPERLINK("https://android.googlesource.com/platform/cts/+/82aa2e71504ad1459dae3f123de8c4eda5b3b26a", "82aa2e71504ad1459dae3f123de8c4eda5b3b26a")</f>
        <v>0</v>
      </c>
      <c r="C35778">
        <f>HYPERLINK("https://android.googlesource.com/platform/cts/+/e0715a47d25e9e887e612c6631ba4f543695ddbb", "e0715a47d25e9e887e612c6631ba4f543695ddbb")</f>
        <v>0</v>
      </c>
      <c r="D35778" t="s">
        <v>5268</v>
      </c>
      <c r="E35778" t="s">
        <v>8539</v>
      </c>
      <c r="F35778" t="s">
        <v>12176</v>
      </c>
      <c r="G35778" t="s">
        <v>16415</v>
      </c>
      <c r="H35778" t="s">
        <v>33042</v>
      </c>
    </row>
    <row r="35779" spans="1:8">
      <c r="H35779" t="s">
        <v>33043</v>
      </c>
    </row>
    <row r="35780" spans="1:8">
      <c r="A35780" t="s">
        <v>2813</v>
      </c>
      <c r="B35780">
        <f>HYPERLINK("https://android.googlesource.com/platform/cts/+/c6a2bc3830c8fd5bd9a6236423e7e7ac9304b94d", "c6a2bc3830c8fd5bd9a6236423e7e7ac9304b94d")</f>
        <v>0</v>
      </c>
      <c r="C35780">
        <f>HYPERLINK("https://android.googlesource.com/platform/cts/+/30b290f473391c2125ffdaddc054b50bec637bac", "30b290f473391c2125ffdaddc054b50bec637bac")</f>
        <v>0</v>
      </c>
      <c r="D35780" t="s">
        <v>5458</v>
      </c>
      <c r="E35780" t="s">
        <v>8540</v>
      </c>
      <c r="F35780" t="s">
        <v>13816</v>
      </c>
      <c r="G35780" t="s">
        <v>15089</v>
      </c>
      <c r="H35780" t="s">
        <v>32996</v>
      </c>
    </row>
    <row r="35781" spans="1:8">
      <c r="A35781" t="s">
        <v>2814</v>
      </c>
      <c r="B35781">
        <f>HYPERLINK("https://android.googlesource.com/platform/cts/+/1e1a31e7f0bc67fabb53dc5d9341c7eda190e787", "1e1a31e7f0bc67fabb53dc5d9341c7eda190e787")</f>
        <v>0</v>
      </c>
      <c r="C35781">
        <f>HYPERLINK("https://android.googlesource.com/platform/cts/+/47eafda86a3375a81e2a63b322bd90ecdde092d5", "47eafda86a3375a81e2a63b322bd90ecdde092d5")</f>
        <v>0</v>
      </c>
      <c r="D35781" t="s">
        <v>5288</v>
      </c>
      <c r="E35781" t="s">
        <v>8541</v>
      </c>
      <c r="F35781" t="s">
        <v>13489</v>
      </c>
      <c r="G35781" t="s">
        <v>17608</v>
      </c>
      <c r="H35781" t="s">
        <v>20083</v>
      </c>
    </row>
    <row r="35782" spans="1:8">
      <c r="H35782" t="s">
        <v>33044</v>
      </c>
    </row>
    <row r="35783" spans="1:8">
      <c r="A35783" t="s">
        <v>2815</v>
      </c>
      <c r="B35783">
        <f>HYPERLINK("https://android.googlesource.com/platform/cts/+/f8b30819712efaa487cad7327476d6b938bec752", "f8b30819712efaa487cad7327476d6b938bec752")</f>
        <v>0</v>
      </c>
      <c r="C35783">
        <f>HYPERLINK("https://android.googlesource.com/platform/cts/+/cc4048d7de8ca59f5d6ab5fe4530b078e5ef46f9", "cc4048d7de8ca59f5d6ab5fe4530b078e5ef46f9")</f>
        <v>0</v>
      </c>
      <c r="D35783" t="s">
        <v>5415</v>
      </c>
      <c r="E35783" t="s">
        <v>8542</v>
      </c>
      <c r="F35783" t="s">
        <v>14043</v>
      </c>
      <c r="G35783" t="s">
        <v>18045</v>
      </c>
      <c r="H35783" t="s">
        <v>26751</v>
      </c>
    </row>
    <row r="35784" spans="1:8">
      <c r="A35784" t="s">
        <v>2816</v>
      </c>
      <c r="B35784">
        <f>HYPERLINK("https://android.googlesource.com/platform/cts/+/9bad31458ed7cb58e2d71278d31523bd3ae74ecd", "9bad31458ed7cb58e2d71278d31523bd3ae74ecd")</f>
        <v>0</v>
      </c>
      <c r="C35784">
        <f>HYPERLINK("https://android.googlesource.com/platform/cts/+/065b522a42a06ae6be08139987de46d7bd90eacd", "065b522a42a06ae6be08139987de46d7bd90eacd")</f>
        <v>0</v>
      </c>
      <c r="D35784" t="s">
        <v>4974</v>
      </c>
      <c r="E35784" t="s">
        <v>8543</v>
      </c>
      <c r="F35784" t="s">
        <v>10778</v>
      </c>
      <c r="G35784" t="s">
        <v>15174</v>
      </c>
      <c r="H35784" t="s">
        <v>33045</v>
      </c>
    </row>
    <row r="35785" spans="1:8">
      <c r="A35785" t="s">
        <v>2817</v>
      </c>
      <c r="B35785">
        <f>HYPERLINK("https://android.googlesource.com/platform/cts/+/b3a63b7b0c18a577b4fcd3f126b1fc38c339ea9b", "b3a63b7b0c18a577b4fcd3f126b1fc38c339ea9b")</f>
        <v>0</v>
      </c>
      <c r="C35785">
        <f>HYPERLINK("https://android.googlesource.com/platform/cts/+/ce86bdf2f644be3fdc9c3b2fb824cea1bc86e2e7", "ce86bdf2f644be3fdc9c3b2fb824cea1bc86e2e7")</f>
        <v>0</v>
      </c>
      <c r="D35785" t="s">
        <v>5293</v>
      </c>
      <c r="E35785" t="s">
        <v>8544</v>
      </c>
      <c r="F35785" t="s">
        <v>13468</v>
      </c>
      <c r="G35785" t="s">
        <v>17587</v>
      </c>
      <c r="H35785" t="s">
        <v>33046</v>
      </c>
    </row>
    <row r="35786" spans="1:8">
      <c r="H35786" t="s">
        <v>33047</v>
      </c>
    </row>
    <row r="35787" spans="1:8">
      <c r="H35787" t="s">
        <v>33048</v>
      </c>
    </row>
    <row r="35788" spans="1:8">
      <c r="H35788" t="s">
        <v>33049</v>
      </c>
    </row>
    <row r="35789" spans="1:8">
      <c r="A35789" t="s">
        <v>2818</v>
      </c>
      <c r="B35789">
        <f>HYPERLINK("https://android.googlesource.com/platform/cts/+/ba449f4bdd03eab5052a937712c19a8f40af3c03", "ba449f4bdd03eab5052a937712c19a8f40af3c03")</f>
        <v>0</v>
      </c>
      <c r="C35789">
        <f>HYPERLINK("https://android.googlesource.com/platform/cts/+/c9f3c69c796c2bef5d0d96fc810c35855152a969", "c9f3c69c796c2bef5d0d96fc810c35855152a969")</f>
        <v>0</v>
      </c>
      <c r="D35789" t="s">
        <v>5260</v>
      </c>
      <c r="E35789" t="s">
        <v>8545</v>
      </c>
      <c r="F35789" t="s">
        <v>10666</v>
      </c>
      <c r="G35789" t="s">
        <v>15067</v>
      </c>
      <c r="H35789" t="s">
        <v>33050</v>
      </c>
    </row>
    <row r="35790" spans="1:8">
      <c r="H35790" t="s">
        <v>33051</v>
      </c>
    </row>
    <row r="35791" spans="1:8">
      <c r="H35791" t="s">
        <v>33052</v>
      </c>
    </row>
    <row r="35792" spans="1:8">
      <c r="H35792" t="s">
        <v>33053</v>
      </c>
    </row>
    <row r="35793" spans="1:8">
      <c r="H35793" t="s">
        <v>33054</v>
      </c>
    </row>
    <row r="35794" spans="1:8">
      <c r="H35794" t="s">
        <v>33055</v>
      </c>
    </row>
    <row r="35795" spans="1:8">
      <c r="A35795" t="s">
        <v>2819</v>
      </c>
      <c r="B35795">
        <f>HYPERLINK("https://android.googlesource.com/platform/cts/+/f6afa8b2808f1642fb6a053057d797e3f93211aa", "f6afa8b2808f1642fb6a053057d797e3f93211aa")</f>
        <v>0</v>
      </c>
      <c r="C35795">
        <f>HYPERLINK("https://android.googlesource.com/platform/cts/+/e0d73a9fa033c23d4607bc2cfdd44cf1b647da0f", "e0d73a9fa033c23d4607bc2cfdd44cf1b647da0f")</f>
        <v>0</v>
      </c>
      <c r="D35795" t="s">
        <v>5288</v>
      </c>
      <c r="E35795" t="s">
        <v>8541</v>
      </c>
      <c r="F35795" t="s">
        <v>13489</v>
      </c>
      <c r="G35795" t="s">
        <v>17608</v>
      </c>
      <c r="H35795" t="s">
        <v>20083</v>
      </c>
    </row>
    <row r="35796" spans="1:8">
      <c r="H35796" t="s">
        <v>33044</v>
      </c>
    </row>
    <row r="35797" spans="1:8">
      <c r="A35797" t="s">
        <v>2820</v>
      </c>
      <c r="B35797">
        <f>HYPERLINK("https://android.googlesource.com/platform/cts/+/541ee9187e42a79496d8b22d9f25ef280dddbd19", "541ee9187e42a79496d8b22d9f25ef280dddbd19")</f>
        <v>0</v>
      </c>
      <c r="C35797">
        <f>HYPERLINK("https://android.googlesource.com/platform/cts/+/b9fb2e00eb3910d9a428363c306a3939e67e20d1", "b9fb2e00eb3910d9a428363c306a3939e67e20d1")</f>
        <v>0</v>
      </c>
      <c r="D35797" t="s">
        <v>5458</v>
      </c>
      <c r="E35797" t="s">
        <v>8540</v>
      </c>
      <c r="F35797" t="s">
        <v>13816</v>
      </c>
      <c r="G35797" t="s">
        <v>15089</v>
      </c>
      <c r="H35797" t="s">
        <v>32996</v>
      </c>
    </row>
    <row r="35798" spans="1:8">
      <c r="A35798" t="s">
        <v>2821</v>
      </c>
      <c r="B35798">
        <f>HYPERLINK("https://android.googlesource.com/platform/cts/+/c44bedbf05e73892790b8d5b910d79421255f314", "c44bedbf05e73892790b8d5b910d79421255f314")</f>
        <v>0</v>
      </c>
      <c r="C35798">
        <f>HYPERLINK("https://android.googlesource.com/platform/cts/+/15e4561747924ac997f1b3803c628a512382206c", "15e4561747924ac997f1b3803c628a512382206c")</f>
        <v>0</v>
      </c>
      <c r="D35798" t="s">
        <v>5438</v>
      </c>
      <c r="E35798" t="s">
        <v>8546</v>
      </c>
      <c r="F35798" t="s">
        <v>13980</v>
      </c>
      <c r="G35798" t="s">
        <v>18005</v>
      </c>
      <c r="H35798" t="s">
        <v>18829</v>
      </c>
    </row>
    <row r="35799" spans="1:8">
      <c r="H35799" t="s">
        <v>32704</v>
      </c>
    </row>
    <row r="35800" spans="1:8">
      <c r="F35800" t="s">
        <v>13981</v>
      </c>
      <c r="G35800" t="s">
        <v>18006</v>
      </c>
      <c r="H35800" t="s">
        <v>32705</v>
      </c>
    </row>
    <row r="35801" spans="1:8">
      <c r="H35801" t="s">
        <v>18829</v>
      </c>
    </row>
    <row r="35802" spans="1:8">
      <c r="F35802" t="s">
        <v>13982</v>
      </c>
      <c r="G35802" t="s">
        <v>18007</v>
      </c>
      <c r="H35802" t="s">
        <v>18829</v>
      </c>
    </row>
    <row r="35803" spans="1:8">
      <c r="H35803" t="s">
        <v>32706</v>
      </c>
    </row>
    <row r="35804" spans="1:8">
      <c r="A35804" t="s">
        <v>2822</v>
      </c>
      <c r="B35804">
        <f>HYPERLINK("https://android.googlesource.com/platform/cts/+/6072e3eedc80bac1ad6a94d707b1cd1dc601718c", "6072e3eedc80bac1ad6a94d707b1cd1dc601718c")</f>
        <v>0</v>
      </c>
      <c r="C35804">
        <f>HYPERLINK("https://android.googlesource.com/platform/cts/+/15e290fdc68d0240d484ff7b01b5e43ee54750da", "15e290fdc68d0240d484ff7b01b5e43ee54750da")</f>
        <v>0</v>
      </c>
      <c r="D35804" t="s">
        <v>5288</v>
      </c>
      <c r="E35804" t="s">
        <v>8547</v>
      </c>
      <c r="F35804" t="s">
        <v>13489</v>
      </c>
      <c r="G35804" t="s">
        <v>17608</v>
      </c>
      <c r="H35804" t="s">
        <v>20083</v>
      </c>
    </row>
    <row r="35805" spans="1:8">
      <c r="H35805" t="s">
        <v>33044</v>
      </c>
    </row>
    <row r="35806" spans="1:8">
      <c r="A35806" t="s">
        <v>2823</v>
      </c>
      <c r="B35806">
        <f>HYPERLINK("https://android.googlesource.com/platform/cts/+/0e0fd9ab54808180ef9ebe64f099b8713e425a72", "0e0fd9ab54808180ef9ebe64f099b8713e425a72")</f>
        <v>0</v>
      </c>
      <c r="C35806">
        <f>HYPERLINK("https://android.googlesource.com/platform/cts/+/bd13fb76325d0d6a40daf4b096888da74b229118", "bd13fb76325d0d6a40daf4b096888da74b229118")</f>
        <v>0</v>
      </c>
      <c r="D35806" t="s">
        <v>5462</v>
      </c>
      <c r="E35806" t="s">
        <v>8548</v>
      </c>
      <c r="F35806" t="s">
        <v>14044</v>
      </c>
      <c r="G35806" t="s">
        <v>16815</v>
      </c>
      <c r="H35806" t="s">
        <v>18829</v>
      </c>
    </row>
    <row r="35807" spans="1:8">
      <c r="H35807" t="s">
        <v>18863</v>
      </c>
    </row>
    <row r="35808" spans="1:8">
      <c r="A35808" t="s">
        <v>2824</v>
      </c>
      <c r="B35808">
        <f>HYPERLINK("https://android.googlesource.com/platform/cts/+/079ddf59a66f120524c2a995a3054e40dc1a7ddb", "079ddf59a66f120524c2a995a3054e40dc1a7ddb")</f>
        <v>0</v>
      </c>
      <c r="C35808">
        <f>HYPERLINK("https://android.googlesource.com/platform/cts/+/1df3ed083ed11ef4804e24bdba1f7ce331e5d694", "1df3ed083ed11ef4804e24bdba1f7ce331e5d694")</f>
        <v>0</v>
      </c>
      <c r="D35808" t="s">
        <v>5195</v>
      </c>
      <c r="E35808" t="s">
        <v>8549</v>
      </c>
      <c r="F35808" t="s">
        <v>13888</v>
      </c>
      <c r="G35808" t="s">
        <v>15054</v>
      </c>
      <c r="H35808" t="s">
        <v>33056</v>
      </c>
    </row>
    <row r="35809" spans="1:8">
      <c r="A35809" t="s">
        <v>2825</v>
      </c>
      <c r="B35809">
        <f>HYPERLINK("https://android.googlesource.com/platform/cts/+/f5ec9af0578dc20aa93d5c097e6a8f777704ec53", "f5ec9af0578dc20aa93d5c097e6a8f777704ec53")</f>
        <v>0</v>
      </c>
      <c r="C35809">
        <f>HYPERLINK("https://android.googlesource.com/platform/cts/+/243ea273039caa809d83fbf53220cc4e6779f65d", "243ea273039caa809d83fbf53220cc4e6779f65d")</f>
        <v>0</v>
      </c>
      <c r="D35809" t="s">
        <v>5389</v>
      </c>
      <c r="E35809" t="s">
        <v>8550</v>
      </c>
      <c r="F35809" t="s">
        <v>14045</v>
      </c>
      <c r="G35809" t="s">
        <v>15089</v>
      </c>
      <c r="H35809" t="s">
        <v>33057</v>
      </c>
    </row>
    <row r="35810" spans="1:8">
      <c r="A35810" t="s">
        <v>2826</v>
      </c>
      <c r="B35810">
        <f>HYPERLINK("https://android.googlesource.com/platform/cts/+/190d02217a613a24684de991e4c630e713e49baf", "190d02217a613a24684de991e4c630e713e49baf")</f>
        <v>0</v>
      </c>
      <c r="C35810">
        <f>HYPERLINK("https://android.googlesource.com/platform/cts/+/09a5d68f93b733ff2940da329ba41a9e4659df79", "09a5d68f93b733ff2940da329ba41a9e4659df79")</f>
        <v>0</v>
      </c>
      <c r="D35810" t="s">
        <v>5366</v>
      </c>
      <c r="E35810" t="s">
        <v>8508</v>
      </c>
      <c r="F35810" t="s">
        <v>14030</v>
      </c>
      <c r="G35810" t="s">
        <v>17256</v>
      </c>
      <c r="H35810" t="s">
        <v>32994</v>
      </c>
    </row>
    <row r="35811" spans="1:8">
      <c r="H35811" t="s">
        <v>32995</v>
      </c>
    </row>
    <row r="35812" spans="1:8">
      <c r="A35812" t="s">
        <v>2827</v>
      </c>
      <c r="B35812">
        <f>HYPERLINK("https://android.googlesource.com/platform/cts/+/bc004d547a8ff53d1480a425dfa2ff47a3fb6244", "bc004d547a8ff53d1480a425dfa2ff47a3fb6244")</f>
        <v>0</v>
      </c>
      <c r="C35812">
        <f>HYPERLINK("https://android.googlesource.com/platform/cts/+/f5ef8c2826a3797d89496d1d8fff317d19f41994", "f5ef8c2826a3797d89496d1d8fff317d19f41994")</f>
        <v>0</v>
      </c>
      <c r="D35812" t="s">
        <v>5443</v>
      </c>
      <c r="E35812" t="s">
        <v>8551</v>
      </c>
      <c r="F35812" t="s">
        <v>13990</v>
      </c>
      <c r="G35812" t="s">
        <v>18009</v>
      </c>
      <c r="H35812" t="s">
        <v>31226</v>
      </c>
    </row>
    <row r="35813" spans="1:8">
      <c r="H35813" t="s">
        <v>32750</v>
      </c>
    </row>
    <row r="35814" spans="1:8">
      <c r="A35814" t="s">
        <v>2828</v>
      </c>
      <c r="B35814">
        <f>HYPERLINK("https://android.googlesource.com/platform/cts/+/97ba1fd294dc10243bab961a86d8797776e3df07", "97ba1fd294dc10243bab961a86d8797776e3df07")</f>
        <v>0</v>
      </c>
      <c r="C35814">
        <f>HYPERLINK("https://android.googlesource.com/platform/cts/+/9b80b4d375bd8413fd6a8a398de2c6f560654f81", "9b80b4d375bd8413fd6a8a398de2c6f560654f81")</f>
        <v>0</v>
      </c>
      <c r="D35814" t="s">
        <v>5347</v>
      </c>
      <c r="E35814" t="s">
        <v>8552</v>
      </c>
      <c r="F35814" t="s">
        <v>10645</v>
      </c>
      <c r="G35814" t="s">
        <v>15046</v>
      </c>
      <c r="H35814" t="s">
        <v>33058</v>
      </c>
    </row>
    <row r="35815" spans="1:8">
      <c r="A35815" t="s">
        <v>2829</v>
      </c>
      <c r="B35815">
        <f>HYPERLINK("https://android.googlesource.com/platform/cts/+/f1d56c965d717710a927c2cad9231d7b1757a1e0", "f1d56c965d717710a927c2cad9231d7b1757a1e0")</f>
        <v>0</v>
      </c>
      <c r="C35815">
        <f>HYPERLINK("https://android.googlesource.com/platform/cts/+/0019895272bf9405e7f99f696fe7bedb1b7c07cb", "0019895272bf9405e7f99f696fe7bedb1b7c07cb")</f>
        <v>0</v>
      </c>
      <c r="D35815" t="s">
        <v>5443</v>
      </c>
      <c r="E35815" t="s">
        <v>8553</v>
      </c>
      <c r="F35815" t="s">
        <v>13716</v>
      </c>
      <c r="G35815" t="s">
        <v>17783</v>
      </c>
      <c r="H35815" t="s">
        <v>33059</v>
      </c>
    </row>
    <row r="35816" spans="1:8">
      <c r="A35816" t="s">
        <v>2830</v>
      </c>
      <c r="B35816">
        <f>HYPERLINK("https://android.googlesource.com/platform/cts/+/b442b5177076b711de4f61c385716fc7f79a02cf", "b442b5177076b711de4f61c385716fc7f79a02cf")</f>
        <v>0</v>
      </c>
      <c r="C35816">
        <f>HYPERLINK("https://android.googlesource.com/platform/cts/+/5d2448c6ecfc797dbdff7ed46ab9b67ace020309", "5d2448c6ecfc797dbdff7ed46ab9b67ace020309")</f>
        <v>0</v>
      </c>
      <c r="D35816" t="s">
        <v>4981</v>
      </c>
      <c r="E35816" t="s">
        <v>8554</v>
      </c>
      <c r="F35816" t="s">
        <v>14046</v>
      </c>
      <c r="G35816" t="s">
        <v>17789</v>
      </c>
      <c r="H35816" t="s">
        <v>33060</v>
      </c>
    </row>
    <row r="35817" spans="1:8">
      <c r="H35817" t="s">
        <v>33061</v>
      </c>
    </row>
    <row r="35818" spans="1:8">
      <c r="H35818" t="s">
        <v>33062</v>
      </c>
    </row>
    <row r="35819" spans="1:8">
      <c r="H35819" t="s">
        <v>33063</v>
      </c>
    </row>
    <row r="35820" spans="1:8">
      <c r="H35820" t="s">
        <v>31647</v>
      </c>
    </row>
    <row r="35821" spans="1:8">
      <c r="A35821" t="s">
        <v>2831</v>
      </c>
      <c r="B35821">
        <f>HYPERLINK("https://android.googlesource.com/platform/cts/+/872195eb47211ba913f5121a3f1287e5d96e1996", "872195eb47211ba913f5121a3f1287e5d96e1996")</f>
        <v>0</v>
      </c>
      <c r="C35821">
        <f>HYPERLINK("https://android.googlesource.com/platform/cts/+/cc0b769fd912bad9e0b34885b94e944db01c2386", "cc0b769fd912bad9e0b34885b94e944db01c2386")</f>
        <v>0</v>
      </c>
      <c r="D35821" t="s">
        <v>5443</v>
      </c>
      <c r="E35821" t="s">
        <v>8555</v>
      </c>
      <c r="F35821" t="s">
        <v>13716</v>
      </c>
      <c r="G35821" t="s">
        <v>17783</v>
      </c>
      <c r="H35821" t="s">
        <v>33059</v>
      </c>
    </row>
    <row r="35822" spans="1:8">
      <c r="A35822" t="s">
        <v>2832</v>
      </c>
      <c r="B35822">
        <f>HYPERLINK("https://android.googlesource.com/platform/cts/+/da41599d04f49e2d429e125bd4d2da7efbfafd12", "da41599d04f49e2d429e125bd4d2da7efbfafd12")</f>
        <v>0</v>
      </c>
      <c r="C35822">
        <f>HYPERLINK("https://android.googlesource.com/platform/cts/+/b5c493ea726fb3291537b7e5ed2eaaac4c9bdeec", "b5c493ea726fb3291537b7e5ed2eaaac4c9bdeec")</f>
        <v>0</v>
      </c>
      <c r="D35822" t="s">
        <v>5134</v>
      </c>
      <c r="E35822" t="s">
        <v>8556</v>
      </c>
      <c r="F35822" t="s">
        <v>12808</v>
      </c>
      <c r="G35822" t="s">
        <v>16989</v>
      </c>
      <c r="H35822" t="s">
        <v>33064</v>
      </c>
    </row>
    <row r="35823" spans="1:8">
      <c r="A35823" t="s">
        <v>2833</v>
      </c>
      <c r="B35823">
        <f>HYPERLINK("https://android.googlesource.com/platform/cts/+/7113a5a574bc50b389d7726c51c4808b877d28b5", "7113a5a574bc50b389d7726c51c4808b877d28b5")</f>
        <v>0</v>
      </c>
      <c r="C35823">
        <f>HYPERLINK("https://android.googlesource.com/platform/cts/+/ceab31c36b8b494ca0d289b5c71fd1ca423afd12", "ceab31c36b8b494ca0d289b5c71fd1ca423afd12")</f>
        <v>0</v>
      </c>
      <c r="D35823" t="s">
        <v>5290</v>
      </c>
      <c r="E35823" t="s">
        <v>8557</v>
      </c>
      <c r="F35823" t="s">
        <v>14047</v>
      </c>
      <c r="G35823" t="s">
        <v>18046</v>
      </c>
      <c r="H35823" t="s">
        <v>33065</v>
      </c>
    </row>
    <row r="35824" spans="1:8">
      <c r="H35824" t="s">
        <v>33066</v>
      </c>
    </row>
    <row r="35825" spans="1:8">
      <c r="H35825" t="s">
        <v>33067</v>
      </c>
    </row>
    <row r="35826" spans="1:8">
      <c r="H35826" t="s">
        <v>33068</v>
      </c>
    </row>
    <row r="35827" spans="1:8">
      <c r="F35827" t="s">
        <v>13451</v>
      </c>
      <c r="G35827" t="s">
        <v>17573</v>
      </c>
      <c r="H35827" t="s">
        <v>33066</v>
      </c>
    </row>
    <row r="35828" spans="1:8">
      <c r="H35828" t="s">
        <v>33065</v>
      </c>
    </row>
    <row r="35829" spans="1:8">
      <c r="F35829" t="s">
        <v>13531</v>
      </c>
      <c r="G35829" t="s">
        <v>17574</v>
      </c>
      <c r="H35829" t="s">
        <v>28680</v>
      </c>
    </row>
    <row r="35830" spans="1:8">
      <c r="H35830" t="s">
        <v>28681</v>
      </c>
    </row>
    <row r="35831" spans="1:8">
      <c r="F35831" t="s">
        <v>14048</v>
      </c>
      <c r="G35831" t="s">
        <v>17363</v>
      </c>
      <c r="H35831" t="s">
        <v>28666</v>
      </c>
    </row>
    <row r="35832" spans="1:8">
      <c r="H35832" t="s">
        <v>28680</v>
      </c>
    </row>
    <row r="35833" spans="1:8">
      <c r="H35833" t="s">
        <v>28681</v>
      </c>
    </row>
    <row r="35834" spans="1:8">
      <c r="H35834" t="s">
        <v>28682</v>
      </c>
    </row>
    <row r="35835" spans="1:8">
      <c r="H35835" t="s">
        <v>28683</v>
      </c>
    </row>
    <row r="35836" spans="1:8">
      <c r="A35836" t="s">
        <v>2834</v>
      </c>
      <c r="B35836">
        <f>HYPERLINK("https://android.googlesource.com/platform/cts/+/60ff6571a54ada05cd62d9884cf43fda61e75ef0", "60ff6571a54ada05cd62d9884cf43fda61e75ef0")</f>
        <v>0</v>
      </c>
      <c r="C35836">
        <f>HYPERLINK("https://android.googlesource.com/platform/cts/+/20c9e2881d1b191b19456de420ea9772c504168f", "20c9e2881d1b191b19456de420ea9772c504168f")</f>
        <v>0</v>
      </c>
      <c r="D35836" t="s">
        <v>5463</v>
      </c>
      <c r="E35836" t="s">
        <v>8558</v>
      </c>
      <c r="F35836" t="s">
        <v>13348</v>
      </c>
      <c r="G35836" t="s">
        <v>17475</v>
      </c>
      <c r="H35836" t="s">
        <v>33069</v>
      </c>
    </row>
    <row r="35837" spans="1:8">
      <c r="A35837" t="s">
        <v>2835</v>
      </c>
      <c r="B35837">
        <f>HYPERLINK("https://android.googlesource.com/platform/cts/+/2969715610b78a87a7b10b58474d538798696ee0", "2969715610b78a87a7b10b58474d538798696ee0")</f>
        <v>0</v>
      </c>
      <c r="C35837">
        <f>HYPERLINK("https://android.googlesource.com/platform/cts/+/4d154a1245d94f1d09cca82ccdce55e8a9abcece", "4d154a1245d94f1d09cca82ccdce55e8a9abcece")</f>
        <v>0</v>
      </c>
      <c r="D35837" t="s">
        <v>5134</v>
      </c>
      <c r="E35837" t="s">
        <v>8559</v>
      </c>
      <c r="F35837" t="s">
        <v>12808</v>
      </c>
      <c r="G35837" t="s">
        <v>16989</v>
      </c>
      <c r="H35837" t="s">
        <v>33064</v>
      </c>
    </row>
    <row r="35838" spans="1:8">
      <c r="A35838" t="s">
        <v>2836</v>
      </c>
      <c r="B35838">
        <f>HYPERLINK("https://android.googlesource.com/platform/cts/+/94cb8141af89f4ef725582bf3f2ab85fb7de8040", "94cb8141af89f4ef725582bf3f2ab85fb7de8040")</f>
        <v>0</v>
      </c>
      <c r="C35838">
        <f>HYPERLINK("https://android.googlesource.com/platform/cts/+/343611df4141851ddb58ecb03adce776695dbad8", "343611df4141851ddb58ecb03adce776695dbad8")</f>
        <v>0</v>
      </c>
      <c r="D35838" t="s">
        <v>5134</v>
      </c>
      <c r="E35838" t="s">
        <v>8560</v>
      </c>
      <c r="F35838" t="s">
        <v>12808</v>
      </c>
      <c r="G35838" t="s">
        <v>16989</v>
      </c>
      <c r="H35838" t="s">
        <v>33064</v>
      </c>
    </row>
    <row r="35839" spans="1:8">
      <c r="A35839" t="s">
        <v>2837</v>
      </c>
      <c r="B35839">
        <f>HYPERLINK("https://android.googlesource.com/platform/cts/+/0ead14408b373ea9d9b476cf9f5398b415b6272b", "0ead14408b373ea9d9b476cf9f5398b415b6272b")</f>
        <v>0</v>
      </c>
      <c r="C35839">
        <f>HYPERLINK("https://android.googlesource.com/platform/cts/+/5cbeaec84d81e9a65af3556dbf9c443efee6b22e", "5cbeaec84d81e9a65af3556dbf9c443efee6b22e")</f>
        <v>0</v>
      </c>
      <c r="D35839" t="s">
        <v>5307</v>
      </c>
      <c r="E35839" t="s">
        <v>8561</v>
      </c>
      <c r="F35839" t="s">
        <v>14046</v>
      </c>
      <c r="G35839" t="s">
        <v>17789</v>
      </c>
      <c r="H35839" t="s">
        <v>33070</v>
      </c>
    </row>
    <row r="35840" spans="1:8">
      <c r="F35840" t="s">
        <v>14049</v>
      </c>
      <c r="G35840" t="s">
        <v>18047</v>
      </c>
      <c r="H35840" t="s">
        <v>26522</v>
      </c>
    </row>
    <row r="35841" spans="1:8">
      <c r="H35841" t="s">
        <v>18829</v>
      </c>
    </row>
    <row r="35842" spans="1:8">
      <c r="H35842" t="s">
        <v>33071</v>
      </c>
    </row>
    <row r="35843" spans="1:8">
      <c r="A35843" t="s">
        <v>2838</v>
      </c>
      <c r="B35843">
        <f>HYPERLINK("https://android.googlesource.com/platform/cts/+/c66463fbc5a450a0d444b927de5844e811dcde33", "c66463fbc5a450a0d444b927de5844e811dcde33")</f>
        <v>0</v>
      </c>
      <c r="C35843">
        <f>HYPERLINK("https://android.googlesource.com/platform/cts/+/d0bad5fb70a6a90c447566db813ebe76ca290d98", "d0bad5fb70a6a90c447566db813ebe76ca290d98")</f>
        <v>0</v>
      </c>
      <c r="D35843" t="s">
        <v>5108</v>
      </c>
      <c r="E35843" t="s">
        <v>8562</v>
      </c>
      <c r="F35843" t="s">
        <v>12394</v>
      </c>
      <c r="G35843" t="s">
        <v>17294</v>
      </c>
      <c r="H35843" t="s">
        <v>28068</v>
      </c>
    </row>
    <row r="35844" spans="1:8">
      <c r="A35844" t="s">
        <v>2839</v>
      </c>
      <c r="B35844">
        <f>HYPERLINK("https://android.googlesource.com/platform/cts/+/583517f6e7390969be99e293330574dc392aa2f9", "583517f6e7390969be99e293330574dc392aa2f9")</f>
        <v>0</v>
      </c>
      <c r="C35844">
        <f>HYPERLINK("https://android.googlesource.com/platform/cts/+/68c21b521b58108132cea593d6dec7d9a304cc71", "68c21b521b58108132cea593d6dec7d9a304cc71")</f>
        <v>0</v>
      </c>
      <c r="D35844" t="s">
        <v>5427</v>
      </c>
      <c r="E35844" t="s">
        <v>8563</v>
      </c>
      <c r="F35844" t="s">
        <v>12839</v>
      </c>
      <c r="G35844" t="s">
        <v>18048</v>
      </c>
      <c r="H35844" t="s">
        <v>33072</v>
      </c>
    </row>
    <row r="35845" spans="1:8">
      <c r="H35845" t="s">
        <v>18829</v>
      </c>
    </row>
    <row r="35846" spans="1:8">
      <c r="H35846" t="s">
        <v>33073</v>
      </c>
    </row>
    <row r="35847" spans="1:8">
      <c r="H35847" t="s">
        <v>33074</v>
      </c>
    </row>
    <row r="35848" spans="1:8">
      <c r="H35848" t="s">
        <v>33075</v>
      </c>
    </row>
    <row r="35849" spans="1:8">
      <c r="H35849" t="s">
        <v>33076</v>
      </c>
    </row>
    <row r="35850" spans="1:8">
      <c r="H35850" t="s">
        <v>33077</v>
      </c>
    </row>
    <row r="35851" spans="1:8">
      <c r="H35851" t="s">
        <v>20083</v>
      </c>
    </row>
    <row r="35852" spans="1:8">
      <c r="A35852" t="s">
        <v>2840</v>
      </c>
      <c r="B35852">
        <f>HYPERLINK("https://android.googlesource.com/platform/cts/+/129e808f3b114c54af27cad05459443a2e161462", "129e808f3b114c54af27cad05459443a2e161462")</f>
        <v>0</v>
      </c>
      <c r="C35852">
        <f>HYPERLINK("https://android.googlesource.com/platform/cts/+/2bb95ca95e28dbd1c13d2e16ab4b51499a2cb670", "2bb95ca95e28dbd1c13d2e16ab4b51499a2cb670")</f>
        <v>0</v>
      </c>
      <c r="D35852" t="s">
        <v>5464</v>
      </c>
      <c r="E35852" t="s">
        <v>8564</v>
      </c>
      <c r="F35852" t="s">
        <v>14050</v>
      </c>
      <c r="G35852" t="s">
        <v>18049</v>
      </c>
      <c r="H35852" t="s">
        <v>33078</v>
      </c>
    </row>
    <row r="35853" spans="1:8">
      <c r="H35853" t="s">
        <v>33079</v>
      </c>
    </row>
    <row r="35854" spans="1:8">
      <c r="H35854" t="s">
        <v>33080</v>
      </c>
    </row>
    <row r="35855" spans="1:8">
      <c r="A35855" t="s">
        <v>2841</v>
      </c>
      <c r="B35855">
        <f>HYPERLINK("https://android.googlesource.com/platform/cts/+/777906536381a4fc177700b62f8f404e589f7998", "777906536381a4fc177700b62f8f404e589f7998")</f>
        <v>0</v>
      </c>
      <c r="C35855">
        <f>HYPERLINK("https://android.googlesource.com/platform/cts/+/4464c05337a7522467a3c7d66bf9f4a62b773791", "4464c05337a7522467a3c7d66bf9f4a62b773791")</f>
        <v>0</v>
      </c>
      <c r="D35855" t="s">
        <v>5396</v>
      </c>
      <c r="E35855" t="s">
        <v>8565</v>
      </c>
      <c r="F35855" t="s">
        <v>14051</v>
      </c>
      <c r="G35855" t="s">
        <v>18050</v>
      </c>
      <c r="H35855" t="s">
        <v>33081</v>
      </c>
    </row>
    <row r="35856" spans="1:8">
      <c r="A35856" t="s">
        <v>2842</v>
      </c>
      <c r="B35856">
        <f>HYPERLINK("https://android.googlesource.com/platform/cts/+/907e30cf70da2fb28517917ff4df37328e6d4513", "907e30cf70da2fb28517917ff4df37328e6d4513")</f>
        <v>0</v>
      </c>
      <c r="C35856">
        <f>HYPERLINK("https://android.googlesource.com/platform/cts/+/e4cd5172f9636fa35a22932f389159487c68519c", "e4cd5172f9636fa35a22932f389159487c68519c")</f>
        <v>0</v>
      </c>
      <c r="D35856" t="s">
        <v>5465</v>
      </c>
      <c r="E35856" t="s">
        <v>8566</v>
      </c>
      <c r="F35856" t="s">
        <v>13905</v>
      </c>
      <c r="G35856" t="s">
        <v>17942</v>
      </c>
      <c r="H35856" t="s">
        <v>33082</v>
      </c>
    </row>
    <row r="35857" spans="1:8">
      <c r="A35857" t="s">
        <v>2843</v>
      </c>
      <c r="B35857">
        <f>HYPERLINK("https://android.googlesource.com/platform/cts/+/1c539bf510c9aa9fe80eadce3dfac5e88c517bfd", "1c539bf510c9aa9fe80eadce3dfac5e88c517bfd")</f>
        <v>0</v>
      </c>
      <c r="C35857">
        <f>HYPERLINK("https://android.googlesource.com/platform/cts/+/ea3bfafe844e5b9a857e43a4e261427fa4195e4b", "ea3bfafe844e5b9a857e43a4e261427fa4195e4b")</f>
        <v>0</v>
      </c>
      <c r="D35857" t="s">
        <v>5466</v>
      </c>
      <c r="E35857" t="s">
        <v>8567</v>
      </c>
      <c r="F35857" t="s">
        <v>13887</v>
      </c>
      <c r="G35857" t="s">
        <v>17319</v>
      </c>
      <c r="H35857" t="s">
        <v>33083</v>
      </c>
    </row>
    <row r="35858" spans="1:8">
      <c r="H35858" t="s">
        <v>33083</v>
      </c>
    </row>
    <row r="35859" spans="1:8">
      <c r="H35859" t="s">
        <v>33084</v>
      </c>
    </row>
    <row r="35860" spans="1:8">
      <c r="H35860" t="s">
        <v>33085</v>
      </c>
    </row>
    <row r="35861" spans="1:8">
      <c r="H35861" t="s">
        <v>33086</v>
      </c>
    </row>
    <row r="35862" spans="1:8">
      <c r="H35862" t="s">
        <v>33087</v>
      </c>
    </row>
    <row r="35863" spans="1:8">
      <c r="H35863" t="s">
        <v>33088</v>
      </c>
    </row>
    <row r="35864" spans="1:8">
      <c r="H35864" t="s">
        <v>33089</v>
      </c>
    </row>
    <row r="35865" spans="1:8">
      <c r="A35865" t="s">
        <v>2844</v>
      </c>
      <c r="B35865">
        <f>HYPERLINK("https://android.googlesource.com/platform/cts/+/6ed1c7c08f04eeaa16945dca6e85e12bf91ed76e", "6ed1c7c08f04eeaa16945dca6e85e12bf91ed76e")</f>
        <v>0</v>
      </c>
      <c r="C35865">
        <f>HYPERLINK("https://android.googlesource.com/platform/cts/+/bb983be89b60d7d3fce24ca075a5ccc87afa32b4", "bb983be89b60d7d3fce24ca075a5ccc87afa32b4")</f>
        <v>0</v>
      </c>
      <c r="D35865" t="s">
        <v>5374</v>
      </c>
      <c r="E35865" t="s">
        <v>8568</v>
      </c>
      <c r="F35865" t="s">
        <v>13165</v>
      </c>
      <c r="G35865" t="s">
        <v>17315</v>
      </c>
      <c r="H35865" t="s">
        <v>33090</v>
      </c>
    </row>
    <row r="35866" spans="1:8">
      <c r="H35866" t="s">
        <v>32378</v>
      </c>
    </row>
    <row r="35867" spans="1:8">
      <c r="A35867" t="s">
        <v>2845</v>
      </c>
      <c r="B35867">
        <f>HYPERLINK("https://android.googlesource.com/platform/cts/+/a02ee93e6f70973931d3f26920e815079aa45125", "a02ee93e6f70973931d3f26920e815079aa45125")</f>
        <v>0</v>
      </c>
      <c r="C35867">
        <f>HYPERLINK("https://android.googlesource.com/platform/cts/+/d30f60148bc8504c0c0cee4f6a19fe9282c8ee58", "d30f60148bc8504c0c0cee4f6a19fe9282c8ee58")</f>
        <v>0</v>
      </c>
      <c r="D35867" t="s">
        <v>5467</v>
      </c>
      <c r="E35867" t="s">
        <v>8569</v>
      </c>
      <c r="F35867" t="s">
        <v>14052</v>
      </c>
      <c r="G35867" t="s">
        <v>18051</v>
      </c>
      <c r="H35867" t="s">
        <v>33091</v>
      </c>
    </row>
    <row r="35868" spans="1:8">
      <c r="A35868" t="s">
        <v>2846</v>
      </c>
      <c r="B35868">
        <f>HYPERLINK("https://android.googlesource.com/platform/cts/+/56be017f121bf1985e9a4bf6adc1a08d83ed9240", "56be017f121bf1985e9a4bf6adc1a08d83ed9240")</f>
        <v>0</v>
      </c>
      <c r="C35868">
        <f>HYPERLINK("https://android.googlesource.com/platform/cts/+/ee523ea0fc37e906907a607c9b97969df7282001", "ee523ea0fc37e906907a607c9b97969df7282001")</f>
        <v>0</v>
      </c>
      <c r="D35868" t="s">
        <v>5344</v>
      </c>
      <c r="E35868" t="s">
        <v>8570</v>
      </c>
      <c r="F35868" t="s">
        <v>13402</v>
      </c>
      <c r="G35868" t="s">
        <v>17528</v>
      </c>
      <c r="H35868" t="s">
        <v>33092</v>
      </c>
    </row>
    <row r="35869" spans="1:8">
      <c r="H35869" t="s">
        <v>33093</v>
      </c>
    </row>
    <row r="35870" spans="1:8">
      <c r="A35870" t="s">
        <v>2847</v>
      </c>
      <c r="B35870">
        <f>HYPERLINK("https://android.googlesource.com/platform/cts/+/d61c6c40bfe3b4a32814e83e509c134c1bb1ff45", "d61c6c40bfe3b4a32814e83e509c134c1bb1ff45")</f>
        <v>0</v>
      </c>
      <c r="C35870">
        <f>HYPERLINK("https://android.googlesource.com/platform/cts/+/8489df4dcd3c91cf48468181cc19795688c78d3d", "8489df4dcd3c91cf48468181cc19795688c78d3d")</f>
        <v>0</v>
      </c>
      <c r="D35870" t="s">
        <v>5468</v>
      </c>
      <c r="E35870" t="s">
        <v>8571</v>
      </c>
      <c r="F35870" t="s">
        <v>13766</v>
      </c>
      <c r="G35870" t="s">
        <v>17823</v>
      </c>
      <c r="H35870" t="s">
        <v>31498</v>
      </c>
    </row>
    <row r="35871" spans="1:8">
      <c r="A35871" t="s">
        <v>2848</v>
      </c>
      <c r="B35871">
        <f>HYPERLINK("https://android.googlesource.com/platform/cts/+/490f1e17865dbf33b4666d7ce4628d57b985d76c", "490f1e17865dbf33b4666d7ce4628d57b985d76c")</f>
        <v>0</v>
      </c>
      <c r="C35871">
        <f>HYPERLINK("https://android.googlesource.com/platform/cts/+/a110fc1a0a347fabe5b5b11e47be1c0fd1b14a16", "a110fc1a0a347fabe5b5b11e47be1c0fd1b14a16")</f>
        <v>0</v>
      </c>
      <c r="D35871" t="s">
        <v>5293</v>
      </c>
      <c r="E35871" t="s">
        <v>8572</v>
      </c>
      <c r="F35871" t="s">
        <v>13468</v>
      </c>
      <c r="G35871" t="s">
        <v>17587</v>
      </c>
      <c r="H35871" t="s">
        <v>33094</v>
      </c>
    </row>
    <row r="35872" spans="1:8">
      <c r="A35872" t="s">
        <v>2849</v>
      </c>
      <c r="B35872">
        <f>HYPERLINK("https://android.googlesource.com/platform/cts/+/8042a15c17912f868e3cf93b0db0ebbe849762c6", "8042a15c17912f868e3cf93b0db0ebbe849762c6")</f>
        <v>0</v>
      </c>
      <c r="C35872">
        <f>HYPERLINK("https://android.googlesource.com/platform/cts/+/0b4d3e4e1d581f3c95e3499e22972bf1d3a7672f", "0b4d3e4e1d581f3c95e3499e22972bf1d3a7672f")</f>
        <v>0</v>
      </c>
      <c r="D35872" t="s">
        <v>5465</v>
      </c>
      <c r="E35872" t="s">
        <v>8573</v>
      </c>
      <c r="F35872" t="s">
        <v>14053</v>
      </c>
      <c r="G35872" t="s">
        <v>18052</v>
      </c>
      <c r="H35872" t="s">
        <v>18863</v>
      </c>
    </row>
    <row r="35873" spans="1:8">
      <c r="H35873" t="s">
        <v>33095</v>
      </c>
    </row>
    <row r="35874" spans="1:8">
      <c r="H35874" t="s">
        <v>33096</v>
      </c>
    </row>
    <row r="35875" spans="1:8">
      <c r="H35875" t="s">
        <v>33097</v>
      </c>
    </row>
    <row r="35876" spans="1:8">
      <c r="H35876" t="s">
        <v>33098</v>
      </c>
    </row>
    <row r="35877" spans="1:8">
      <c r="H35877" t="s">
        <v>33099</v>
      </c>
    </row>
    <row r="35878" spans="1:8">
      <c r="H35878" t="s">
        <v>33100</v>
      </c>
    </row>
    <row r="35879" spans="1:8">
      <c r="H35879" t="s">
        <v>33101</v>
      </c>
    </row>
    <row r="35880" spans="1:8">
      <c r="H35880" t="s">
        <v>33102</v>
      </c>
    </row>
    <row r="35881" spans="1:8">
      <c r="A35881" t="s">
        <v>2850</v>
      </c>
      <c r="B35881">
        <f>HYPERLINK("https://android.googlesource.com/platform/cts/+/a0fb8d04c0ba11434d911e230e07346ea730ff81", "a0fb8d04c0ba11434d911e230e07346ea730ff81")</f>
        <v>0</v>
      </c>
      <c r="C35881">
        <f>HYPERLINK("https://android.googlesource.com/platform/cts/+/28474f6a61348d5017b7d2f0e9f23396d2e3bbf9", "28474f6a61348d5017b7d2f0e9f23396d2e3bbf9")</f>
        <v>0</v>
      </c>
      <c r="D35881" t="s">
        <v>5272</v>
      </c>
      <c r="E35881" t="s">
        <v>8574</v>
      </c>
      <c r="F35881" t="s">
        <v>10625</v>
      </c>
      <c r="G35881" t="s">
        <v>15028</v>
      </c>
      <c r="H35881" t="s">
        <v>33103</v>
      </c>
    </row>
    <row r="35882" spans="1:8">
      <c r="H35882" t="s">
        <v>33104</v>
      </c>
    </row>
    <row r="35883" spans="1:8">
      <c r="H35883" t="s">
        <v>33105</v>
      </c>
    </row>
    <row r="35884" spans="1:8">
      <c r="H35884" t="s">
        <v>33106</v>
      </c>
    </row>
    <row r="35885" spans="1:8">
      <c r="H35885" t="s">
        <v>33107</v>
      </c>
    </row>
    <row r="35886" spans="1:8">
      <c r="H35886" t="s">
        <v>33108</v>
      </c>
    </row>
    <row r="35887" spans="1:8">
      <c r="A35887" t="s">
        <v>2851</v>
      </c>
      <c r="B35887">
        <f>HYPERLINK("https://android.googlesource.com/platform/cts/+/12e6aedb65150ece64c6228fb492a8b1908ee0a0", "12e6aedb65150ece64c6228fb492a8b1908ee0a0")</f>
        <v>0</v>
      </c>
      <c r="C35887">
        <f>HYPERLINK("https://android.googlesource.com/platform/cts/+/96b7bac3c10df6fd38d9fcd674b270c8bc153498", "96b7bac3c10df6fd38d9fcd674b270c8bc153498")</f>
        <v>0</v>
      </c>
      <c r="D35887" t="s">
        <v>5469</v>
      </c>
      <c r="E35887" t="s">
        <v>8575</v>
      </c>
      <c r="F35887" t="s">
        <v>13834</v>
      </c>
      <c r="G35887" t="s">
        <v>17877</v>
      </c>
      <c r="H35887" t="s">
        <v>31768</v>
      </c>
    </row>
    <row r="35888" spans="1:8">
      <c r="A35888" t="s">
        <v>2852</v>
      </c>
      <c r="B35888">
        <f>HYPERLINK("https://android.googlesource.com/platform/cts/+/58c185be4ba83eea62ab6a1ea442caf0fb762f85", "58c185be4ba83eea62ab6a1ea442caf0fb762f85")</f>
        <v>0</v>
      </c>
      <c r="C35888">
        <f>HYPERLINK("https://android.googlesource.com/platform/cts/+/27e0d1266cce760662ed251d9686452b76e79a3b", "27e0d1266cce760662ed251d9686452b76e79a3b")</f>
        <v>0</v>
      </c>
      <c r="D35888" t="s">
        <v>5272</v>
      </c>
      <c r="E35888" t="s">
        <v>8576</v>
      </c>
      <c r="F35888" t="s">
        <v>14054</v>
      </c>
      <c r="G35888" t="s">
        <v>18053</v>
      </c>
      <c r="H35888" t="s">
        <v>33109</v>
      </c>
    </row>
    <row r="35889" spans="1:8">
      <c r="H35889" t="s">
        <v>29213</v>
      </c>
    </row>
    <row r="35890" spans="1:8">
      <c r="H35890" t="s">
        <v>18829</v>
      </c>
    </row>
    <row r="35891" spans="1:8">
      <c r="H35891" t="s">
        <v>18863</v>
      </c>
    </row>
    <row r="35892" spans="1:8">
      <c r="H35892" t="s">
        <v>33110</v>
      </c>
    </row>
    <row r="35893" spans="1:8">
      <c r="H35893" t="s">
        <v>33111</v>
      </c>
    </row>
    <row r="35894" spans="1:8">
      <c r="H35894" t="s">
        <v>29012</v>
      </c>
    </row>
    <row r="35895" spans="1:8">
      <c r="H35895" t="s">
        <v>29011</v>
      </c>
    </row>
    <row r="35896" spans="1:8">
      <c r="H35896" t="s">
        <v>33112</v>
      </c>
    </row>
    <row r="35897" spans="1:8">
      <c r="H35897" t="s">
        <v>33113</v>
      </c>
    </row>
    <row r="35898" spans="1:8">
      <c r="H35898" t="s">
        <v>33114</v>
      </c>
    </row>
    <row r="35899" spans="1:8">
      <c r="H35899" t="s">
        <v>33115</v>
      </c>
    </row>
    <row r="35900" spans="1:8">
      <c r="A35900" t="s">
        <v>2853</v>
      </c>
      <c r="B35900">
        <f>HYPERLINK("https://android.googlesource.com/platform/cts/+/622c2d7709b8228df220c2630ca253767df0ec11", "622c2d7709b8228df220c2630ca253767df0ec11")</f>
        <v>0</v>
      </c>
      <c r="C35900">
        <f>HYPERLINK("https://android.googlesource.com/platform/cts/+/fa00be64e3a021371f40c318319bfc320660dda4", "fa00be64e3a021371f40c318319bfc320660dda4")</f>
        <v>0</v>
      </c>
      <c r="D35900" t="s">
        <v>5443</v>
      </c>
      <c r="E35900" t="s">
        <v>8577</v>
      </c>
      <c r="F35900" t="s">
        <v>13990</v>
      </c>
      <c r="G35900" t="s">
        <v>18009</v>
      </c>
      <c r="H35900" t="s">
        <v>33116</v>
      </c>
    </row>
    <row r="35901" spans="1:8">
      <c r="F35901" t="s">
        <v>13716</v>
      </c>
      <c r="G35901" t="s">
        <v>17783</v>
      </c>
      <c r="H35901" t="s">
        <v>31228</v>
      </c>
    </row>
    <row r="35902" spans="1:8">
      <c r="A35902" t="s">
        <v>2854</v>
      </c>
      <c r="B35902">
        <f>HYPERLINK("https://android.googlesource.com/platform/cts/+/4da2896307108e4e9b000af8e55caeacb62dced1", "4da2896307108e4e9b000af8e55caeacb62dced1")</f>
        <v>0</v>
      </c>
      <c r="C35902">
        <f>HYPERLINK("https://android.googlesource.com/platform/cts/+/c13e34bcb4729207f13ce45669091056b6151fd0", "c13e34bcb4729207f13ce45669091056b6151fd0")</f>
        <v>0</v>
      </c>
      <c r="D35902" t="s">
        <v>5443</v>
      </c>
      <c r="E35902" t="s">
        <v>8577</v>
      </c>
      <c r="F35902" t="s">
        <v>13990</v>
      </c>
      <c r="G35902" t="s">
        <v>18009</v>
      </c>
      <c r="H35902" t="s">
        <v>33116</v>
      </c>
    </row>
    <row r="35903" spans="1:8">
      <c r="A35903" t="s">
        <v>2855</v>
      </c>
      <c r="B35903">
        <f>HYPERLINK("https://android.googlesource.com/platform/cts/+/2945690171ee59d44fba2a7e72c63ebde2a315a3", "2945690171ee59d44fba2a7e72c63ebde2a315a3")</f>
        <v>0</v>
      </c>
      <c r="C35903">
        <f>HYPERLINK("https://android.googlesource.com/platform/cts/+/ed1ec85cb7cc1a39426d67014542d3b3b8e25ef7", "ed1ec85cb7cc1a39426d67014542d3b3b8e25ef7")</f>
        <v>0</v>
      </c>
      <c r="D35903" t="s">
        <v>5443</v>
      </c>
      <c r="E35903" t="s">
        <v>8578</v>
      </c>
      <c r="F35903" t="s">
        <v>13990</v>
      </c>
      <c r="G35903" t="s">
        <v>18009</v>
      </c>
      <c r="H35903" t="s">
        <v>33116</v>
      </c>
    </row>
    <row r="35904" spans="1:8">
      <c r="A35904" t="s">
        <v>2856</v>
      </c>
      <c r="B35904">
        <f>HYPERLINK("https://android.googlesource.com/platform/cts/+/dc923d519da68f7b6fac77ea41d85070f8f5bd2a", "dc923d519da68f7b6fac77ea41d85070f8f5bd2a")</f>
        <v>0</v>
      </c>
      <c r="C35904">
        <f>HYPERLINK("https://android.googlesource.com/platform/cts/+/e764a44cf5b12e10946f7bd3798223c3c8090681", "e764a44cf5b12e10946f7bd3798223c3c8090681")</f>
        <v>0</v>
      </c>
      <c r="D35904" t="s">
        <v>5443</v>
      </c>
      <c r="E35904" t="s">
        <v>8579</v>
      </c>
      <c r="F35904" t="s">
        <v>13990</v>
      </c>
      <c r="G35904" t="s">
        <v>18009</v>
      </c>
      <c r="H35904" t="s">
        <v>33116</v>
      </c>
    </row>
    <row r="35905" spans="1:8">
      <c r="F35905" t="s">
        <v>13716</v>
      </c>
      <c r="G35905" t="s">
        <v>17783</v>
      </c>
      <c r="H35905" t="s">
        <v>31228</v>
      </c>
    </row>
    <row r="35906" spans="1:8">
      <c r="A35906" t="s">
        <v>2857</v>
      </c>
      <c r="B35906">
        <f>HYPERLINK("https://android.googlesource.com/platform/cts/+/a1703bb6ff4eb189447d3abd106d249aaa9327de", "a1703bb6ff4eb189447d3abd106d249aaa9327de")</f>
        <v>0</v>
      </c>
      <c r="C35906">
        <f>HYPERLINK("https://android.googlesource.com/platform/cts/+/098707012c87e1f02871ebf1dd162002383a281d", "098707012c87e1f02871ebf1dd162002383a281d")</f>
        <v>0</v>
      </c>
      <c r="D35906" t="s">
        <v>5470</v>
      </c>
      <c r="E35906" t="s">
        <v>8580</v>
      </c>
      <c r="F35906" t="s">
        <v>13220</v>
      </c>
      <c r="G35906" t="s">
        <v>17361</v>
      </c>
      <c r="H35906" t="s">
        <v>33117</v>
      </c>
    </row>
    <row r="35907" spans="1:8">
      <c r="H35907" t="s">
        <v>33118</v>
      </c>
    </row>
    <row r="35908" spans="1:8">
      <c r="A35908" t="s">
        <v>2858</v>
      </c>
      <c r="B35908">
        <f>HYPERLINK("https://android.googlesource.com/platform/cts/+/f324654eb885e1c0477b2b9e4538d659b72eae4e", "f324654eb885e1c0477b2b9e4538d659b72eae4e")</f>
        <v>0</v>
      </c>
      <c r="C35908">
        <f>HYPERLINK("https://android.googlesource.com/platform/cts/+/1e840292ac51d2ebc761bf7050dbef985277f0ca", "1e840292ac51d2ebc761bf7050dbef985277f0ca")</f>
        <v>0</v>
      </c>
      <c r="D35908" t="s">
        <v>5290</v>
      </c>
      <c r="E35908" t="s">
        <v>8581</v>
      </c>
      <c r="F35908" t="s">
        <v>14055</v>
      </c>
      <c r="G35908" t="s">
        <v>17339</v>
      </c>
      <c r="H35908" t="s">
        <v>33119</v>
      </c>
    </row>
    <row r="35909" spans="1:8">
      <c r="H35909" t="s">
        <v>33120</v>
      </c>
    </row>
    <row r="35910" spans="1:8">
      <c r="H35910" t="s">
        <v>33121</v>
      </c>
    </row>
    <row r="35911" spans="1:8">
      <c r="H35911" t="s">
        <v>33122</v>
      </c>
    </row>
    <row r="35912" spans="1:8">
      <c r="H35912" t="s">
        <v>33123</v>
      </c>
    </row>
    <row r="35913" spans="1:8">
      <c r="F35913" t="s">
        <v>14056</v>
      </c>
      <c r="G35913" t="s">
        <v>18054</v>
      </c>
      <c r="H35913" t="s">
        <v>33124</v>
      </c>
    </row>
    <row r="35914" spans="1:8">
      <c r="F35914" t="s">
        <v>13157</v>
      </c>
      <c r="G35914" t="s">
        <v>17308</v>
      </c>
      <c r="H35914" t="s">
        <v>33125</v>
      </c>
    </row>
    <row r="35915" spans="1:8">
      <c r="F35915" t="s">
        <v>14048</v>
      </c>
      <c r="G35915" t="s">
        <v>17363</v>
      </c>
      <c r="H35915" t="s">
        <v>28661</v>
      </c>
    </row>
    <row r="35916" spans="1:8">
      <c r="H35916" t="s">
        <v>28662</v>
      </c>
    </row>
    <row r="35917" spans="1:8">
      <c r="H35917" t="s">
        <v>33126</v>
      </c>
    </row>
    <row r="35918" spans="1:8">
      <c r="H35918" t="s">
        <v>33127</v>
      </c>
    </row>
    <row r="35919" spans="1:8">
      <c r="H35919" t="s">
        <v>33128</v>
      </c>
    </row>
    <row r="35920" spans="1:8">
      <c r="H35920" t="s">
        <v>28667</v>
      </c>
    </row>
    <row r="35921" spans="1:8">
      <c r="H35921" t="s">
        <v>28668</v>
      </c>
    </row>
    <row r="35922" spans="1:8">
      <c r="H35922" t="s">
        <v>28497</v>
      </c>
    </row>
    <row r="35923" spans="1:8">
      <c r="H35923" t="s">
        <v>33129</v>
      </c>
    </row>
    <row r="35924" spans="1:8">
      <c r="H35924" t="s">
        <v>33130</v>
      </c>
    </row>
    <row r="35925" spans="1:8">
      <c r="H35925" t="s">
        <v>33121</v>
      </c>
    </row>
    <row r="35926" spans="1:8">
      <c r="H35926" t="s">
        <v>33122</v>
      </c>
    </row>
    <row r="35927" spans="1:8">
      <c r="H35927" t="s">
        <v>33123</v>
      </c>
    </row>
    <row r="35928" spans="1:8">
      <c r="H35928" t="s">
        <v>28675</v>
      </c>
    </row>
    <row r="35929" spans="1:8">
      <c r="F35929" t="s">
        <v>14057</v>
      </c>
      <c r="G35929" t="s">
        <v>18055</v>
      </c>
      <c r="H35929" t="s">
        <v>18829</v>
      </c>
    </row>
    <row r="35930" spans="1:8">
      <c r="F35930" t="s">
        <v>13664</v>
      </c>
      <c r="G35930" t="s">
        <v>17575</v>
      </c>
      <c r="H35930" t="s">
        <v>18829</v>
      </c>
    </row>
    <row r="35931" spans="1:8">
      <c r="H35931" t="s">
        <v>33131</v>
      </c>
    </row>
    <row r="35932" spans="1:8">
      <c r="H35932" t="s">
        <v>33132</v>
      </c>
    </row>
    <row r="35933" spans="1:8">
      <c r="A35933" t="s">
        <v>2859</v>
      </c>
      <c r="B35933">
        <f>HYPERLINK("https://android.googlesource.com/platform/cts/+/319577bfface1d3db77673161dd1fc2fb749cf5f", "319577bfface1d3db77673161dd1fc2fb749cf5f")</f>
        <v>0</v>
      </c>
      <c r="C35933">
        <f>HYPERLINK("https://android.googlesource.com/platform/cts/+/9cc0586921a9d7e6edb4f413892776dd06822962", "9cc0586921a9d7e6edb4f413892776dd06822962")</f>
        <v>0</v>
      </c>
      <c r="D35933" t="s">
        <v>5374</v>
      </c>
      <c r="E35933" t="s">
        <v>8582</v>
      </c>
      <c r="F35933" t="s">
        <v>12733</v>
      </c>
      <c r="G35933" t="s">
        <v>16854</v>
      </c>
      <c r="H35933" t="s">
        <v>33133</v>
      </c>
    </row>
    <row r="35934" spans="1:8">
      <c r="H35934" t="s">
        <v>33134</v>
      </c>
    </row>
    <row r="35935" spans="1:8">
      <c r="A35935" t="s">
        <v>2860</v>
      </c>
      <c r="B35935">
        <f>HYPERLINK("https://android.googlesource.com/platform/cts/+/d0fe55983f57515ea031294a00ca8c69bca37b18", "d0fe55983f57515ea031294a00ca8c69bca37b18")</f>
        <v>0</v>
      </c>
      <c r="C35935">
        <f>HYPERLINK("https://android.googlesource.com/platform/cts/+/75d02973ceca3ed943fa695d9edb9c3f29f9cea7", "75d02973ceca3ed943fa695d9edb9c3f29f9cea7")</f>
        <v>0</v>
      </c>
      <c r="D35935" t="s">
        <v>5122</v>
      </c>
      <c r="E35935" t="s">
        <v>8583</v>
      </c>
      <c r="F35935" t="s">
        <v>14058</v>
      </c>
      <c r="G35935" t="s">
        <v>18056</v>
      </c>
      <c r="H35935" t="s">
        <v>33135</v>
      </c>
    </row>
    <row r="35936" spans="1:8">
      <c r="A35936" t="s">
        <v>2861</v>
      </c>
      <c r="B35936">
        <f>HYPERLINK("https://android.googlesource.com/platform/cts/+/3d575e04cd9d937002d3ce6911debbf801fef7a8", "3d575e04cd9d937002d3ce6911debbf801fef7a8")</f>
        <v>0</v>
      </c>
      <c r="C35936">
        <f>HYPERLINK("https://android.googlesource.com/platform/cts/+/e72e33fb685e502f5deaa43cfec8d8130dff1fb6", "e72e33fb685e502f5deaa43cfec8d8130dff1fb6")</f>
        <v>0</v>
      </c>
      <c r="D35936" t="s">
        <v>4973</v>
      </c>
      <c r="E35936" t="s">
        <v>8584</v>
      </c>
      <c r="F35936" t="s">
        <v>13811</v>
      </c>
      <c r="G35936" t="s">
        <v>17858</v>
      </c>
      <c r="H35936" t="s">
        <v>19753</v>
      </c>
    </row>
    <row r="35937" spans="1:8">
      <c r="H35937" t="s">
        <v>19754</v>
      </c>
    </row>
    <row r="35938" spans="1:8">
      <c r="H35938" t="s">
        <v>31686</v>
      </c>
    </row>
    <row r="35939" spans="1:8">
      <c r="H35939" t="s">
        <v>31687</v>
      </c>
    </row>
    <row r="35940" spans="1:8">
      <c r="H35940" t="s">
        <v>31688</v>
      </c>
    </row>
    <row r="35941" spans="1:8">
      <c r="H35941" t="s">
        <v>18829</v>
      </c>
    </row>
    <row r="35942" spans="1:8">
      <c r="H35942" t="s">
        <v>18863</v>
      </c>
    </row>
    <row r="35943" spans="1:8">
      <c r="H35943" t="s">
        <v>31689</v>
      </c>
    </row>
    <row r="35944" spans="1:8">
      <c r="F35944" t="s">
        <v>14059</v>
      </c>
      <c r="G35944" t="s">
        <v>18057</v>
      </c>
      <c r="H35944" t="s">
        <v>18829</v>
      </c>
    </row>
    <row r="35945" spans="1:8">
      <c r="H35945" t="s">
        <v>33136</v>
      </c>
    </row>
    <row r="35946" spans="1:8">
      <c r="A35946" t="s">
        <v>2862</v>
      </c>
      <c r="B35946">
        <f>HYPERLINK("https://android.googlesource.com/platform/cts/+/cda66e9b3574ab62c40b1dd063fc7df1d93447e3", "cda66e9b3574ab62c40b1dd063fc7df1d93447e3")</f>
        <v>0</v>
      </c>
      <c r="C35946">
        <f>HYPERLINK("https://android.googlesource.com/platform/cts/+/4e9de76f5f4ae1aa22dcd8c89ce9d540044e85a8", "4e9de76f5f4ae1aa22dcd8c89ce9d540044e85a8")</f>
        <v>0</v>
      </c>
      <c r="D35946" t="s">
        <v>5293</v>
      </c>
      <c r="E35946" t="s">
        <v>8585</v>
      </c>
      <c r="F35946" t="s">
        <v>14060</v>
      </c>
      <c r="G35946" t="s">
        <v>18058</v>
      </c>
      <c r="H35946" t="s">
        <v>18981</v>
      </c>
    </row>
    <row r="35947" spans="1:8">
      <c r="H35947" t="s">
        <v>33137</v>
      </c>
    </row>
    <row r="35948" spans="1:8">
      <c r="A35948" t="s">
        <v>2863</v>
      </c>
      <c r="B35948">
        <f>HYPERLINK("https://android.googlesource.com/platform/cts/+/0a3951325ebe194f289f42f65eb8ed7651619523", "0a3951325ebe194f289f42f65eb8ed7651619523")</f>
        <v>0</v>
      </c>
      <c r="C35948">
        <f>HYPERLINK("https://android.googlesource.com/platform/cts/+/42844157294f69e2d75da208dec1e87550dbb6fa", "42844157294f69e2d75da208dec1e87550dbb6fa")</f>
        <v>0</v>
      </c>
      <c r="D35948" t="s">
        <v>5471</v>
      </c>
      <c r="E35948" t="s">
        <v>8586</v>
      </c>
      <c r="F35948" t="s">
        <v>14061</v>
      </c>
      <c r="G35948" t="s">
        <v>18059</v>
      </c>
      <c r="H35948" t="s">
        <v>18829</v>
      </c>
    </row>
    <row r="35949" spans="1:8">
      <c r="A35949" t="s">
        <v>2864</v>
      </c>
      <c r="B35949">
        <f>HYPERLINK("https://android.googlesource.com/platform/cts/+/8e6d05b45acafaba85eb4a562cbc2d00af17d494", "8e6d05b45acafaba85eb4a562cbc2d00af17d494")</f>
        <v>0</v>
      </c>
      <c r="C35949">
        <f>HYPERLINK("https://android.googlesource.com/platform/cts/+/eeb59f0634ee82f2bab322ad16f18a650cb5872c", "eeb59f0634ee82f2bab322ad16f18a650cb5872c")</f>
        <v>0</v>
      </c>
      <c r="D35949" t="s">
        <v>5472</v>
      </c>
      <c r="E35949" t="s">
        <v>8587</v>
      </c>
      <c r="F35949" t="s">
        <v>14062</v>
      </c>
      <c r="G35949" t="s">
        <v>18060</v>
      </c>
      <c r="H35949" t="s">
        <v>33138</v>
      </c>
    </row>
    <row r="35950" spans="1:8">
      <c r="H35950" t="s">
        <v>33139</v>
      </c>
    </row>
    <row r="35951" spans="1:8">
      <c r="H35951" t="s">
        <v>33140</v>
      </c>
    </row>
    <row r="35952" spans="1:8">
      <c r="A35952" t="s">
        <v>2865</v>
      </c>
      <c r="B35952">
        <f>HYPERLINK("https://android.googlesource.com/platform/cts/+/b77f5b557613614000dc3256f38f6d5a1d6ed5e7", "b77f5b557613614000dc3256f38f6d5a1d6ed5e7")</f>
        <v>0</v>
      </c>
      <c r="C35952">
        <f>HYPERLINK("https://android.googlesource.com/platform/cts/+/8b33b80367480c96441901f314a4db1904b5aa98", "8b33b80367480c96441901f314a4db1904b5aa98")</f>
        <v>0</v>
      </c>
      <c r="D35952" t="s">
        <v>5396</v>
      </c>
      <c r="E35952" t="s">
        <v>8588</v>
      </c>
      <c r="F35952" t="s">
        <v>14051</v>
      </c>
      <c r="G35952" t="s">
        <v>18050</v>
      </c>
      <c r="H35952" t="s">
        <v>18829</v>
      </c>
    </row>
    <row r="35953" spans="1:8">
      <c r="H35953" t="s">
        <v>18863</v>
      </c>
    </row>
    <row r="35954" spans="1:8">
      <c r="A35954" t="s">
        <v>2866</v>
      </c>
      <c r="B35954">
        <f>HYPERLINK("https://android.googlesource.com/platform/cts/+/bd75fd0439e51224ac2561561c67302bf407d83f", "bd75fd0439e51224ac2561561c67302bf407d83f")</f>
        <v>0</v>
      </c>
      <c r="C35954">
        <f>HYPERLINK("https://android.googlesource.com/platform/cts/+/74cf082577e5aa77c15e42fd2086cc8c1281cddb", "74cf082577e5aa77c15e42fd2086cc8c1281cddb")</f>
        <v>0</v>
      </c>
      <c r="D35954" t="s">
        <v>5396</v>
      </c>
      <c r="E35954" t="s">
        <v>8589</v>
      </c>
      <c r="F35954" t="s">
        <v>14051</v>
      </c>
      <c r="G35954" t="s">
        <v>18050</v>
      </c>
      <c r="H35954" t="s">
        <v>18829</v>
      </c>
    </row>
    <row r="35955" spans="1:8">
      <c r="H35955" t="s">
        <v>18863</v>
      </c>
    </row>
    <row r="35956" spans="1:8">
      <c r="A35956" t="s">
        <v>2867</v>
      </c>
      <c r="B35956">
        <f>HYPERLINK("https://android.googlesource.com/platform/cts/+/769cf27900a1c6e1124b56d17adb0e1327694daa", "769cf27900a1c6e1124b56d17adb0e1327694daa")</f>
        <v>0</v>
      </c>
      <c r="C35956">
        <f>HYPERLINK("https://android.googlesource.com/platform/cts/+/4e9de76f5f4ae1aa22dcd8c89ce9d540044e85a8", "4e9de76f5f4ae1aa22dcd8c89ce9d540044e85a8")</f>
        <v>0</v>
      </c>
      <c r="D35956" t="s">
        <v>5293</v>
      </c>
      <c r="E35956" t="s">
        <v>8590</v>
      </c>
      <c r="F35956" t="s">
        <v>14060</v>
      </c>
      <c r="G35956" t="s">
        <v>18058</v>
      </c>
      <c r="H35956" t="s">
        <v>33141</v>
      </c>
    </row>
    <row r="35957" spans="1:8">
      <c r="A35957" t="s">
        <v>2868</v>
      </c>
      <c r="B35957">
        <f>HYPERLINK("https://android.googlesource.com/platform/cts/+/d6def2942307eb21103ef337daa3d8937cda95d1", "d6def2942307eb21103ef337daa3d8937cda95d1")</f>
        <v>0</v>
      </c>
      <c r="C35957">
        <f>HYPERLINK("https://android.googlesource.com/platform/cts/+/0b99f1a1994ea34bea1d97e84d332c8eba35a94c", "0b99f1a1994ea34bea1d97e84d332c8eba35a94c")</f>
        <v>0</v>
      </c>
      <c r="D35957" t="s">
        <v>4931</v>
      </c>
      <c r="E35957" t="s">
        <v>8591</v>
      </c>
      <c r="F35957" t="s">
        <v>12569</v>
      </c>
      <c r="G35957" t="s">
        <v>16785</v>
      </c>
      <c r="H35957" t="s">
        <v>33142</v>
      </c>
    </row>
    <row r="35958" spans="1:8">
      <c r="A35958" t="s">
        <v>2869</v>
      </c>
      <c r="B35958">
        <f>HYPERLINK("https://android.googlesource.com/platform/cts/+/484bab49535d9e7a8f5cf3d171472bafe353e9cb", "484bab49535d9e7a8f5cf3d171472bafe353e9cb")</f>
        <v>0</v>
      </c>
      <c r="C35958">
        <f>HYPERLINK("https://android.googlesource.com/platform/cts/+/c37cf3dc8d775bee6cc193b84dbd41113bc7dd53", "c37cf3dc8d775bee6cc193b84dbd41113bc7dd53")</f>
        <v>0</v>
      </c>
      <c r="D35958" t="s">
        <v>5293</v>
      </c>
      <c r="E35958" t="s">
        <v>8592</v>
      </c>
      <c r="F35958" t="s">
        <v>10625</v>
      </c>
      <c r="G35958" t="s">
        <v>15028</v>
      </c>
      <c r="H35958" t="s">
        <v>33103</v>
      </c>
    </row>
    <row r="35959" spans="1:8">
      <c r="A35959" t="s">
        <v>2870</v>
      </c>
      <c r="B35959">
        <f>HYPERLINK("https://android.googlesource.com/platform/cts/+/0f2f187b768f0ee09ed52fd476d0c0df80ab9bef", "0f2f187b768f0ee09ed52fd476d0c0df80ab9bef")</f>
        <v>0</v>
      </c>
      <c r="C35959">
        <f>HYPERLINK("https://android.googlesource.com/platform/cts/+/e3711822cc6e11d7ac71b048d68404e5ade2f413", "e3711822cc6e11d7ac71b048d68404e5ade2f413")</f>
        <v>0</v>
      </c>
      <c r="D35959" t="s">
        <v>5454</v>
      </c>
      <c r="E35959" t="s">
        <v>8593</v>
      </c>
      <c r="F35959" t="s">
        <v>14014</v>
      </c>
      <c r="G35959" t="s">
        <v>18026</v>
      </c>
      <c r="H35959" t="s">
        <v>33143</v>
      </c>
    </row>
    <row r="35960" spans="1:8">
      <c r="H35960" t="s">
        <v>30948</v>
      </c>
    </row>
    <row r="35961" spans="1:8">
      <c r="A35961" t="s">
        <v>2871</v>
      </c>
      <c r="B35961">
        <f>HYPERLINK("https://android.googlesource.com/platform/cts/+/d290e49c138e0d94fc998af673f586c7b45abf3c", "d290e49c138e0d94fc998af673f586c7b45abf3c")</f>
        <v>0</v>
      </c>
      <c r="C35961">
        <f>HYPERLINK("https://android.googlesource.com/platform/cts/+/128e5c07f8bd86b0734e0aaa0c9cabb1cfb3681b", "128e5c07f8bd86b0734e0aaa0c9cabb1cfb3681b")</f>
        <v>0</v>
      </c>
      <c r="D35961" t="s">
        <v>5296</v>
      </c>
      <c r="E35961" t="s">
        <v>8594</v>
      </c>
      <c r="F35961" t="s">
        <v>10740</v>
      </c>
      <c r="G35961" t="s">
        <v>15139</v>
      </c>
      <c r="H35961" t="s">
        <v>33144</v>
      </c>
    </row>
    <row r="35962" spans="1:8">
      <c r="A35962" t="s">
        <v>2872</v>
      </c>
      <c r="B35962">
        <f>HYPERLINK("https://android.googlesource.com/platform/cts/+/8f57754505be631e3df357595897551e7377b89a", "8f57754505be631e3df357595897551e7377b89a")</f>
        <v>0</v>
      </c>
      <c r="C35962">
        <f>HYPERLINK("https://android.googlesource.com/platform/cts/+/c71c0ccd8a0f8c9e742645e4956ec5cc4a66f1e6", "c71c0ccd8a0f8c9e742645e4956ec5cc4a66f1e6")</f>
        <v>0</v>
      </c>
      <c r="D35962" t="s">
        <v>5277</v>
      </c>
      <c r="E35962" t="s">
        <v>8595</v>
      </c>
      <c r="F35962" t="s">
        <v>12984</v>
      </c>
      <c r="G35962" t="s">
        <v>17148</v>
      </c>
      <c r="H35962" t="s">
        <v>18856</v>
      </c>
    </row>
    <row r="35963" spans="1:8">
      <c r="H35963" t="s">
        <v>19195</v>
      </c>
    </row>
    <row r="35964" spans="1:8">
      <c r="H35964" t="s">
        <v>33145</v>
      </c>
    </row>
    <row r="35965" spans="1:8">
      <c r="H35965" t="s">
        <v>33146</v>
      </c>
    </row>
    <row r="35966" spans="1:8">
      <c r="H35966" t="s">
        <v>33147</v>
      </c>
    </row>
    <row r="35967" spans="1:8">
      <c r="H35967" t="s">
        <v>33148</v>
      </c>
    </row>
    <row r="35968" spans="1:8">
      <c r="H35968" t="s">
        <v>33149</v>
      </c>
    </row>
    <row r="35969" spans="1:8">
      <c r="A35969" t="s">
        <v>2873</v>
      </c>
      <c r="B35969">
        <f>HYPERLINK("https://android.googlesource.com/platform/cts/+/595f546e78a917c9a10989e64d943f4e538fd6d6", "595f546e78a917c9a10989e64d943f4e538fd6d6")</f>
        <v>0</v>
      </c>
      <c r="C35969">
        <f>HYPERLINK("https://android.googlesource.com/platform/cts/+/0b4d3e4e1d581f3c95e3499e22972bf1d3a7672f", "0b4d3e4e1d581f3c95e3499e22972bf1d3a7672f")</f>
        <v>0</v>
      </c>
      <c r="D35969" t="s">
        <v>5409</v>
      </c>
      <c r="E35969" t="s">
        <v>8596</v>
      </c>
      <c r="F35969" t="s">
        <v>14063</v>
      </c>
      <c r="G35969" t="s">
        <v>18061</v>
      </c>
      <c r="H35969" t="s">
        <v>33150</v>
      </c>
    </row>
    <row r="35970" spans="1:8">
      <c r="H35970" t="s">
        <v>33151</v>
      </c>
    </row>
    <row r="35971" spans="1:8">
      <c r="H35971" t="s">
        <v>33152</v>
      </c>
    </row>
    <row r="35972" spans="1:8">
      <c r="H35972" t="s">
        <v>33153</v>
      </c>
    </row>
    <row r="35973" spans="1:8">
      <c r="F35973" t="s">
        <v>14064</v>
      </c>
      <c r="G35973" t="s">
        <v>18062</v>
      </c>
      <c r="H35973" t="s">
        <v>26292</v>
      </c>
    </row>
    <row r="35974" spans="1:8">
      <c r="A35974" t="s">
        <v>2874</v>
      </c>
      <c r="B35974">
        <f>HYPERLINK("https://android.googlesource.com/platform/cts/+/6eb3ae715717928ec29de7704998d3af3d9332c1", "6eb3ae715717928ec29de7704998d3af3d9332c1")</f>
        <v>0</v>
      </c>
      <c r="C35974">
        <f>HYPERLINK("https://android.googlesource.com/platform/cts/+/8bc34ca8c9db7ff1cc30184067b36e92e3541176", "8bc34ca8c9db7ff1cc30184067b36e92e3541176")</f>
        <v>0</v>
      </c>
      <c r="D35974" t="s">
        <v>5244</v>
      </c>
      <c r="E35974" t="s">
        <v>8597</v>
      </c>
      <c r="F35974" t="s">
        <v>14065</v>
      </c>
      <c r="G35974" t="s">
        <v>18063</v>
      </c>
      <c r="H35974" t="s">
        <v>33154</v>
      </c>
    </row>
    <row r="35975" spans="1:8">
      <c r="A35975" t="s">
        <v>2875</v>
      </c>
      <c r="B35975">
        <f>HYPERLINK("https://android.googlesource.com/platform/cts/+/ebdf7fcfbc405932525bd0b5fc5ba5eeebb1b953", "ebdf7fcfbc405932525bd0b5fc5ba5eeebb1b953")</f>
        <v>0</v>
      </c>
      <c r="C35975">
        <f>HYPERLINK("https://android.googlesource.com/platform/cts/+/2fb3ed9386d70f0616da751eadae2823b02d4121", "2fb3ed9386d70f0616da751eadae2823b02d4121")</f>
        <v>0</v>
      </c>
      <c r="D35975" t="s">
        <v>5473</v>
      </c>
      <c r="E35975" t="s">
        <v>8598</v>
      </c>
      <c r="F35975" t="s">
        <v>13724</v>
      </c>
      <c r="G35975" t="s">
        <v>17580</v>
      </c>
      <c r="H35975" t="s">
        <v>33155</v>
      </c>
    </row>
    <row r="35976" spans="1:8">
      <c r="A35976" t="s">
        <v>2876</v>
      </c>
      <c r="B35976">
        <f>HYPERLINK("https://android.googlesource.com/platform/cts/+/dd89d32571ea347ad4fbab5bb8c7f2b7d5cec040", "dd89d32571ea347ad4fbab5bb8c7f2b7d5cec040")</f>
        <v>0</v>
      </c>
      <c r="C35976">
        <f>HYPERLINK("https://android.googlesource.com/platform/cts/+/3760f759907e3b137837e3b9fa8f2c86cc202292", "3760f759907e3b137837e3b9fa8f2c86cc202292")</f>
        <v>0</v>
      </c>
      <c r="D35976" t="s">
        <v>5112</v>
      </c>
      <c r="E35976" t="s">
        <v>8599</v>
      </c>
      <c r="F35976" t="s">
        <v>14066</v>
      </c>
      <c r="G35976" t="s">
        <v>18064</v>
      </c>
      <c r="H35976" t="s">
        <v>33156</v>
      </c>
    </row>
    <row r="35977" spans="1:8">
      <c r="H35977" t="s">
        <v>31438</v>
      </c>
    </row>
    <row r="35978" spans="1:8">
      <c r="H35978" t="s">
        <v>29719</v>
      </c>
    </row>
    <row r="35979" spans="1:8">
      <c r="A35979" t="s">
        <v>2877</v>
      </c>
      <c r="B35979">
        <f>HYPERLINK("https://android.googlesource.com/platform/cts/+/425bee02d9f6da847e8c0991f361dd7c991552c3", "425bee02d9f6da847e8c0991f361dd7c991552c3")</f>
        <v>0</v>
      </c>
      <c r="C35979">
        <f>HYPERLINK("https://android.googlesource.com/platform/cts/+/8202832e4d43d9efb60775a375b1b7223a3ffabb", "8202832e4d43d9efb60775a375b1b7223a3ffabb")</f>
        <v>0</v>
      </c>
      <c r="D35979" t="s">
        <v>5466</v>
      </c>
      <c r="E35979" t="s">
        <v>8600</v>
      </c>
      <c r="F35979" t="s">
        <v>13170</v>
      </c>
      <c r="G35979" t="s">
        <v>17319</v>
      </c>
      <c r="H35979" t="s">
        <v>33083</v>
      </c>
    </row>
    <row r="35980" spans="1:8">
      <c r="H35980" t="s">
        <v>33083</v>
      </c>
    </row>
    <row r="35981" spans="1:8">
      <c r="H35981" t="s">
        <v>33084</v>
      </c>
    </row>
    <row r="35982" spans="1:8">
      <c r="H35982" t="s">
        <v>31955</v>
      </c>
    </row>
    <row r="35983" spans="1:8">
      <c r="H35983" t="s">
        <v>33089</v>
      </c>
    </row>
    <row r="35984" spans="1:8">
      <c r="A35984" t="s">
        <v>2878</v>
      </c>
      <c r="B35984">
        <f>HYPERLINK("https://android.googlesource.com/platform/cts/+/3d1a8262f2fac4f8b0b26c221f55a5d35cb37a0e", "3d1a8262f2fac4f8b0b26c221f55a5d35cb37a0e")</f>
        <v>0</v>
      </c>
      <c r="C35984">
        <f>HYPERLINK("https://android.googlesource.com/platform/cts/+/6733f3e3d05c1bffa9b61b40d4d1497ccf02242d", "6733f3e3d05c1bffa9b61b40d4d1497ccf02242d")</f>
        <v>0</v>
      </c>
      <c r="D35984" t="s">
        <v>5465</v>
      </c>
      <c r="E35984" t="s">
        <v>8601</v>
      </c>
      <c r="F35984" t="s">
        <v>14067</v>
      </c>
      <c r="G35984" t="s">
        <v>18065</v>
      </c>
      <c r="H35984" t="s">
        <v>33157</v>
      </c>
    </row>
    <row r="35985" spans="1:8">
      <c r="H35985" t="s">
        <v>33158</v>
      </c>
    </row>
    <row r="35986" spans="1:8">
      <c r="H35986" t="s">
        <v>33159</v>
      </c>
    </row>
    <row r="35987" spans="1:8">
      <c r="F35987" t="s">
        <v>14068</v>
      </c>
      <c r="G35987" t="s">
        <v>18066</v>
      </c>
      <c r="H35987" t="s">
        <v>33157</v>
      </c>
    </row>
    <row r="35988" spans="1:8">
      <c r="H35988" t="s">
        <v>33158</v>
      </c>
    </row>
    <row r="35989" spans="1:8">
      <c r="H35989" t="s">
        <v>33159</v>
      </c>
    </row>
    <row r="35990" spans="1:8">
      <c r="A35990" t="s">
        <v>2879</v>
      </c>
      <c r="B35990">
        <f>HYPERLINK("https://android.googlesource.com/platform/cts/+/8671683f5d7864764c626323290244bb5bd1272b", "8671683f5d7864764c626323290244bb5bd1272b")</f>
        <v>0</v>
      </c>
      <c r="C35990">
        <f>HYPERLINK("https://android.googlesource.com/platform/cts/+/88c3ef1e5f6f218025434008489549f76c19444e", "88c3ef1e5f6f218025434008489549f76c19444e")</f>
        <v>0</v>
      </c>
      <c r="D35990" t="s">
        <v>5474</v>
      </c>
      <c r="E35990" t="s">
        <v>8602</v>
      </c>
      <c r="F35990" t="s">
        <v>13333</v>
      </c>
      <c r="G35990" t="s">
        <v>17463</v>
      </c>
      <c r="H35990" t="s">
        <v>33160</v>
      </c>
    </row>
    <row r="35991" spans="1:8">
      <c r="H35991" t="s">
        <v>33161</v>
      </c>
    </row>
    <row r="35992" spans="1:8">
      <c r="H35992" t="s">
        <v>33162</v>
      </c>
    </row>
    <row r="35993" spans="1:8">
      <c r="H35993" t="s">
        <v>33163</v>
      </c>
    </row>
    <row r="35994" spans="1:8">
      <c r="H35994" t="s">
        <v>33164</v>
      </c>
    </row>
    <row r="35995" spans="1:8">
      <c r="A35995" t="s">
        <v>2880</v>
      </c>
      <c r="B35995">
        <f>HYPERLINK("https://android.googlesource.com/platform/cts/+/ddae4a147e12fb0ca0101e85159c5535529e1fed", "ddae4a147e12fb0ca0101e85159c5535529e1fed")</f>
        <v>0</v>
      </c>
      <c r="C35995">
        <f>HYPERLINK("https://android.googlesource.com/platform/cts/+/9ba35d6edb621663571d7e44e72c68fa179fe7e6", "9ba35d6edb621663571d7e44e72c68fa179fe7e6")</f>
        <v>0</v>
      </c>
      <c r="D35995" t="s">
        <v>5272</v>
      </c>
      <c r="E35995" t="s">
        <v>8603</v>
      </c>
      <c r="F35995" t="s">
        <v>13757</v>
      </c>
      <c r="G35995" t="s">
        <v>17816</v>
      </c>
      <c r="H35995" t="s">
        <v>25622</v>
      </c>
    </row>
    <row r="35996" spans="1:8">
      <c r="H35996" t="s">
        <v>19019</v>
      </c>
    </row>
    <row r="35997" spans="1:8">
      <c r="H35997" t="s">
        <v>22505</v>
      </c>
    </row>
    <row r="35998" spans="1:8">
      <c r="H35998" t="s">
        <v>25623</v>
      </c>
    </row>
    <row r="35999" spans="1:8">
      <c r="A35999" t="s">
        <v>2881</v>
      </c>
      <c r="B35999">
        <f>HYPERLINK("https://android.googlesource.com/platform/cts/+/24a7ca8feaed53d487c7b873fcbf3f919d466dd4", "24a7ca8feaed53d487c7b873fcbf3f919d466dd4")</f>
        <v>0</v>
      </c>
      <c r="C35999">
        <f>HYPERLINK("https://android.googlesource.com/platform/cts/+/5e16a4f4f9eb3d5228bf6b56b985eedda5395fe5", "5e16a4f4f9eb3d5228bf6b56b985eedda5395fe5")</f>
        <v>0</v>
      </c>
      <c r="D35999" t="s">
        <v>5277</v>
      </c>
      <c r="E35999" t="s">
        <v>8604</v>
      </c>
      <c r="F35999" t="s">
        <v>12984</v>
      </c>
      <c r="G35999" t="s">
        <v>17148</v>
      </c>
      <c r="H35999" t="s">
        <v>33165</v>
      </c>
    </row>
    <row r="36000" spans="1:8">
      <c r="A36000" t="s">
        <v>2882</v>
      </c>
      <c r="B36000">
        <f>HYPERLINK("https://android.googlesource.com/platform/cts/+/fae0789252ad9c1c770258256025b6988467bd5d", "fae0789252ad9c1c770258256025b6988467bd5d")</f>
        <v>0</v>
      </c>
      <c r="C36000">
        <f>HYPERLINK("https://android.googlesource.com/platform/cts/+/f0595df22523474b3186b180994e4de2aebfcd77", "f0595df22523474b3186b180994e4de2aebfcd77")</f>
        <v>0</v>
      </c>
      <c r="D36000" t="s">
        <v>5108</v>
      </c>
      <c r="E36000" t="s">
        <v>8605</v>
      </c>
      <c r="F36000" t="s">
        <v>12629</v>
      </c>
      <c r="G36000" t="s">
        <v>16838</v>
      </c>
      <c r="H36000" t="s">
        <v>33166</v>
      </c>
    </row>
    <row r="36001" spans="1:8">
      <c r="H36001" t="s">
        <v>33167</v>
      </c>
    </row>
    <row r="36002" spans="1:8">
      <c r="H36002" t="s">
        <v>33168</v>
      </c>
    </row>
    <row r="36003" spans="1:8">
      <c r="H36003" t="s">
        <v>33169</v>
      </c>
    </row>
    <row r="36004" spans="1:8">
      <c r="H36004" t="s">
        <v>33170</v>
      </c>
    </row>
    <row r="36005" spans="1:8">
      <c r="F36005" t="s">
        <v>12768</v>
      </c>
      <c r="G36005" t="s">
        <v>15710</v>
      </c>
      <c r="H36005" t="s">
        <v>33171</v>
      </c>
    </row>
    <row r="36006" spans="1:8">
      <c r="A36006" t="s">
        <v>2883</v>
      </c>
      <c r="B36006">
        <f>HYPERLINK("https://android.googlesource.com/platform/cts/+/177ace16233f77340e025dba9d7db9a33d384cc5", "177ace16233f77340e025dba9d7db9a33d384cc5")</f>
        <v>0</v>
      </c>
      <c r="C36006">
        <f>HYPERLINK("https://android.googlesource.com/platform/cts/+/6de9f8ea2ccd90dfa281ff0167c39bed0e7c208a", "6de9f8ea2ccd90dfa281ff0167c39bed0e7c208a")</f>
        <v>0</v>
      </c>
      <c r="D36006" t="s">
        <v>5293</v>
      </c>
      <c r="E36006" t="s">
        <v>8606</v>
      </c>
      <c r="F36006" t="s">
        <v>13468</v>
      </c>
      <c r="G36006" t="s">
        <v>17587</v>
      </c>
      <c r="H36006" t="s">
        <v>33172</v>
      </c>
    </row>
    <row r="36007" spans="1:8">
      <c r="A36007" t="s">
        <v>2884</v>
      </c>
      <c r="B36007">
        <f>HYPERLINK("https://android.googlesource.com/platform/cts/+/e0dae6becd8b6b28335328b33f42d94bd2ca936d", "e0dae6becd8b6b28335328b33f42d94bd2ca936d")</f>
        <v>0</v>
      </c>
      <c r="C36007">
        <f>HYPERLINK("https://android.googlesource.com/platform/cts/+/177ace16233f77340e025dba9d7db9a33d384cc5", "177ace16233f77340e025dba9d7db9a33d384cc5")</f>
        <v>0</v>
      </c>
      <c r="D36007" t="s">
        <v>5293</v>
      </c>
      <c r="E36007" t="s">
        <v>8607</v>
      </c>
      <c r="F36007" t="s">
        <v>13249</v>
      </c>
      <c r="G36007" t="s">
        <v>17389</v>
      </c>
      <c r="H36007" t="s">
        <v>33173</v>
      </c>
    </row>
    <row r="36008" spans="1:8">
      <c r="H36008" t="s">
        <v>33174</v>
      </c>
    </row>
    <row r="36009" spans="1:8">
      <c r="A36009" t="s">
        <v>2885</v>
      </c>
      <c r="B36009">
        <f>HYPERLINK("https://android.googlesource.com/platform/cts/+/f0f07254b887dbf7c69d723b4ec2ca3e504ad700", "f0f07254b887dbf7c69d723b4ec2ca3e504ad700")</f>
        <v>0</v>
      </c>
      <c r="C36009">
        <f>HYPERLINK("https://android.googlesource.com/platform/cts/+/357eb1497ce743b08ef0fe8569f279fe6e7920b8", "357eb1497ce743b08ef0fe8569f279fe6e7920b8")</f>
        <v>0</v>
      </c>
      <c r="D36009" t="s">
        <v>5304</v>
      </c>
      <c r="E36009" t="s">
        <v>8608</v>
      </c>
      <c r="F36009" t="s">
        <v>14052</v>
      </c>
      <c r="G36009" t="s">
        <v>18051</v>
      </c>
      <c r="H36009" t="s">
        <v>33175</v>
      </c>
    </row>
    <row r="36010" spans="1:8">
      <c r="H36010" t="s">
        <v>33176</v>
      </c>
    </row>
    <row r="36011" spans="1:8">
      <c r="H36011" t="s">
        <v>33177</v>
      </c>
    </row>
    <row r="36012" spans="1:8">
      <c r="H36012" t="s">
        <v>33178</v>
      </c>
    </row>
    <row r="36013" spans="1:8">
      <c r="H36013" t="s">
        <v>33179</v>
      </c>
    </row>
    <row r="36014" spans="1:8">
      <c r="H36014" t="s">
        <v>33180</v>
      </c>
    </row>
    <row r="36015" spans="1:8">
      <c r="H36015" t="s">
        <v>33181</v>
      </c>
    </row>
    <row r="36016" spans="1:8">
      <c r="H36016" t="s">
        <v>33182</v>
      </c>
    </row>
    <row r="36017" spans="1:8">
      <c r="F36017" t="s">
        <v>14069</v>
      </c>
      <c r="G36017" t="s">
        <v>18067</v>
      </c>
      <c r="H36017" t="s">
        <v>33183</v>
      </c>
    </row>
    <row r="36018" spans="1:8">
      <c r="A36018" t="s">
        <v>2886</v>
      </c>
      <c r="B36018">
        <f>HYPERLINK("https://android.googlesource.com/platform/cts/+/54caf9c435735cb654b74119cb44fe706e9bf515", "54caf9c435735cb654b74119cb44fe706e9bf515")</f>
        <v>0</v>
      </c>
      <c r="C36018">
        <f>HYPERLINK("https://android.googlesource.com/platform/cts/+/8248d9f7aee17faf44928fc894fb80a6ac3cc91c", "8248d9f7aee17faf44928fc894fb80a6ac3cc91c")</f>
        <v>0</v>
      </c>
      <c r="D36018" t="s">
        <v>5148</v>
      </c>
      <c r="E36018" t="s">
        <v>8609</v>
      </c>
      <c r="F36018" t="s">
        <v>14070</v>
      </c>
      <c r="G36018" t="s">
        <v>18068</v>
      </c>
      <c r="H36018" t="s">
        <v>33184</v>
      </c>
    </row>
    <row r="36019" spans="1:8">
      <c r="H36019" t="s">
        <v>33185</v>
      </c>
    </row>
    <row r="36020" spans="1:8">
      <c r="H36020" t="s">
        <v>31527</v>
      </c>
    </row>
    <row r="36021" spans="1:8">
      <c r="H36021" t="s">
        <v>33186</v>
      </c>
    </row>
    <row r="36022" spans="1:8">
      <c r="H36022" t="s">
        <v>33187</v>
      </c>
    </row>
    <row r="36023" spans="1:8">
      <c r="F36023" t="s">
        <v>14071</v>
      </c>
      <c r="G36023" t="s">
        <v>18069</v>
      </c>
      <c r="H36023" t="s">
        <v>33184</v>
      </c>
    </row>
    <row r="36024" spans="1:8">
      <c r="H36024" t="s">
        <v>33185</v>
      </c>
    </row>
    <row r="36025" spans="1:8">
      <c r="H36025" t="s">
        <v>31527</v>
      </c>
    </row>
    <row r="36026" spans="1:8">
      <c r="H36026" t="s">
        <v>33188</v>
      </c>
    </row>
    <row r="36027" spans="1:8">
      <c r="H36027" t="s">
        <v>33189</v>
      </c>
    </row>
    <row r="36028" spans="1:8">
      <c r="H36028" t="s">
        <v>33190</v>
      </c>
    </row>
    <row r="36029" spans="1:8">
      <c r="H36029" t="s">
        <v>33191</v>
      </c>
    </row>
    <row r="36030" spans="1:8">
      <c r="H36030" t="s">
        <v>33192</v>
      </c>
    </row>
    <row r="36031" spans="1:8">
      <c r="H36031" t="s">
        <v>33193</v>
      </c>
    </row>
    <row r="36032" spans="1:8">
      <c r="H36032" t="s">
        <v>22005</v>
      </c>
    </row>
    <row r="36033" spans="1:8">
      <c r="H36033" t="s">
        <v>22005</v>
      </c>
    </row>
    <row r="36034" spans="1:8">
      <c r="H36034" t="s">
        <v>22005</v>
      </c>
    </row>
    <row r="36035" spans="1:8">
      <c r="H36035" t="s">
        <v>22005</v>
      </c>
    </row>
    <row r="36036" spans="1:8">
      <c r="H36036" t="s">
        <v>33194</v>
      </c>
    </row>
    <row r="36037" spans="1:8">
      <c r="H36037" t="s">
        <v>22005</v>
      </c>
    </row>
    <row r="36038" spans="1:8">
      <c r="H36038" t="s">
        <v>33195</v>
      </c>
    </row>
    <row r="36039" spans="1:8">
      <c r="F36039" t="s">
        <v>14072</v>
      </c>
      <c r="G36039" t="s">
        <v>18070</v>
      </c>
      <c r="H36039" t="s">
        <v>33184</v>
      </c>
    </row>
    <row r="36040" spans="1:8">
      <c r="H36040" t="s">
        <v>33185</v>
      </c>
    </row>
    <row r="36041" spans="1:8">
      <c r="H36041" t="s">
        <v>31527</v>
      </c>
    </row>
    <row r="36042" spans="1:8">
      <c r="H36042" t="s">
        <v>33196</v>
      </c>
    </row>
    <row r="36043" spans="1:8">
      <c r="H36043" t="s">
        <v>33197</v>
      </c>
    </row>
    <row r="36044" spans="1:8">
      <c r="H36044" t="s">
        <v>33198</v>
      </c>
    </row>
    <row r="36045" spans="1:8">
      <c r="F36045" t="s">
        <v>14073</v>
      </c>
      <c r="G36045" t="s">
        <v>18071</v>
      </c>
      <c r="H36045" t="s">
        <v>33184</v>
      </c>
    </row>
    <row r="36046" spans="1:8">
      <c r="H36046" t="s">
        <v>33185</v>
      </c>
    </row>
    <row r="36047" spans="1:8">
      <c r="H36047" t="s">
        <v>33199</v>
      </c>
    </row>
    <row r="36048" spans="1:8">
      <c r="A36048" t="s">
        <v>2887</v>
      </c>
      <c r="B36048">
        <f>HYPERLINK("https://android.googlesource.com/platform/cts/+/09e44ce61061ff87c2a1f978f23c80edab8dc36a", "09e44ce61061ff87c2a1f978f23c80edab8dc36a")</f>
        <v>0</v>
      </c>
      <c r="C36048">
        <f>HYPERLINK("https://android.googlesource.com/platform/cts/+/d7d71b18e9a386c07fd4768608dfa492f8a0d78b", "d7d71b18e9a386c07fd4768608dfa492f8a0d78b")</f>
        <v>0</v>
      </c>
      <c r="D36048" t="s">
        <v>5244</v>
      </c>
      <c r="E36048" t="s">
        <v>8610</v>
      </c>
      <c r="F36048" t="s">
        <v>14065</v>
      </c>
      <c r="G36048" t="s">
        <v>18063</v>
      </c>
      <c r="H36048" t="s">
        <v>33200</v>
      </c>
    </row>
    <row r="36049" spans="8:8">
      <c r="H36049" t="s">
        <v>33200</v>
      </c>
    </row>
    <row r="36050" spans="8:8">
      <c r="H36050" t="s">
        <v>33201</v>
      </c>
    </row>
    <row r="36051" spans="8:8">
      <c r="H36051" t="s">
        <v>33202</v>
      </c>
    </row>
    <row r="36052" spans="8:8">
      <c r="H36052" t="s">
        <v>33203</v>
      </c>
    </row>
    <row r="36053" spans="8:8">
      <c r="H36053" t="s">
        <v>33204</v>
      </c>
    </row>
    <row r="36054" spans="8:8">
      <c r="H36054" t="s">
        <v>33204</v>
      </c>
    </row>
    <row r="36055" spans="8:8">
      <c r="H36055" t="s">
        <v>33205</v>
      </c>
    </row>
    <row r="36056" spans="8:8">
      <c r="H36056" t="s">
        <v>33206</v>
      </c>
    </row>
    <row r="36057" spans="8:8">
      <c r="H36057" t="s">
        <v>33207</v>
      </c>
    </row>
    <row r="36058" spans="8:8">
      <c r="H36058" t="s">
        <v>32296</v>
      </c>
    </row>
    <row r="36059" spans="8:8">
      <c r="H36059" t="s">
        <v>33208</v>
      </c>
    </row>
    <row r="36060" spans="8:8">
      <c r="H36060" t="s">
        <v>33208</v>
      </c>
    </row>
    <row r="36061" spans="8:8">
      <c r="H36061" t="s">
        <v>33209</v>
      </c>
    </row>
    <row r="36062" spans="8:8">
      <c r="H36062" t="s">
        <v>33210</v>
      </c>
    </row>
    <row r="36063" spans="8:8">
      <c r="H36063" t="s">
        <v>33210</v>
      </c>
    </row>
    <row r="36064" spans="8:8">
      <c r="H36064" t="s">
        <v>33211</v>
      </c>
    </row>
    <row r="36065" spans="1:8">
      <c r="A36065" t="s">
        <v>2888</v>
      </c>
      <c r="B36065">
        <f>HYPERLINK("https://android.googlesource.com/platform/cts/+/7dee094e9d62ef987ef283f1d81d07ee692dbcc4", "7dee094e9d62ef987ef283f1d81d07ee692dbcc4")</f>
        <v>0</v>
      </c>
      <c r="C36065">
        <f>HYPERLINK("https://android.googlesource.com/platform/cts/+/cb556cc044128c7b593df64a8449710e118b379a", "cb556cc044128c7b593df64a8449710e118b379a")</f>
        <v>0</v>
      </c>
      <c r="D36065" t="s">
        <v>5352</v>
      </c>
      <c r="E36065" t="s">
        <v>8611</v>
      </c>
      <c r="F36065" t="s">
        <v>13971</v>
      </c>
      <c r="G36065" t="s">
        <v>17996</v>
      </c>
      <c r="H36065" t="s">
        <v>33212</v>
      </c>
    </row>
    <row r="36066" spans="1:8">
      <c r="H36066" t="s">
        <v>33213</v>
      </c>
    </row>
    <row r="36067" spans="1:8">
      <c r="A36067" t="s">
        <v>2889</v>
      </c>
      <c r="B36067">
        <f>HYPERLINK("https://android.googlesource.com/platform/cts/+/527e059d203a45d5939b340b8cb6b118de9ac64b", "527e059d203a45d5939b340b8cb6b118de9ac64b")</f>
        <v>0</v>
      </c>
      <c r="C36067">
        <f>HYPERLINK("https://android.googlesource.com/platform/cts/+/e2d84f914161c116e357a01cc754a60297adcea6", "e2d84f914161c116e357a01cc754a60297adcea6")</f>
        <v>0</v>
      </c>
      <c r="D36067" t="s">
        <v>5475</v>
      </c>
      <c r="E36067" t="s">
        <v>8612</v>
      </c>
      <c r="F36067" t="s">
        <v>14074</v>
      </c>
      <c r="G36067" t="s">
        <v>18072</v>
      </c>
      <c r="H36067" t="s">
        <v>33214</v>
      </c>
    </row>
    <row r="36068" spans="1:8">
      <c r="A36068" t="s">
        <v>2890</v>
      </c>
      <c r="B36068">
        <f>HYPERLINK("https://android.googlesource.com/platform/cts/+/0e59e1013f480419b40afb2ecad36fa32ef72e56", "0e59e1013f480419b40afb2ecad36fa32ef72e56")</f>
        <v>0</v>
      </c>
      <c r="C36068">
        <f>HYPERLINK("https://android.googlesource.com/platform/cts/+/c630863a03e215f4d6751c7bdc101367b6733a32", "c630863a03e215f4d6751c7bdc101367b6733a32")</f>
        <v>0</v>
      </c>
      <c r="D36068" t="s">
        <v>5435</v>
      </c>
      <c r="E36068" t="s">
        <v>8613</v>
      </c>
      <c r="F36068" t="s">
        <v>12710</v>
      </c>
      <c r="G36068" t="s">
        <v>16911</v>
      </c>
      <c r="H36068" t="s">
        <v>33215</v>
      </c>
    </row>
    <row r="36069" spans="1:8">
      <c r="A36069" t="s">
        <v>2891</v>
      </c>
      <c r="B36069">
        <f>HYPERLINK("https://android.googlesource.com/platform/cts/+/5163180bffab8c62e24d26b6689a75f3e1f6156f", "5163180bffab8c62e24d26b6689a75f3e1f6156f")</f>
        <v>0</v>
      </c>
      <c r="C36069">
        <f>HYPERLINK("https://android.googlesource.com/platform/cts/+/a0344c4d8be7c7b9670f732aeef0ea279d0c4989", "a0344c4d8be7c7b9670f732aeef0ea279d0c4989")</f>
        <v>0</v>
      </c>
      <c r="D36069" t="s">
        <v>5244</v>
      </c>
      <c r="E36069" t="s">
        <v>8614</v>
      </c>
      <c r="F36069" t="s">
        <v>14075</v>
      </c>
      <c r="G36069" t="s">
        <v>18073</v>
      </c>
      <c r="H36069" t="s">
        <v>33216</v>
      </c>
    </row>
    <row r="36070" spans="1:8">
      <c r="A36070" t="s">
        <v>2892</v>
      </c>
      <c r="B36070">
        <f>HYPERLINK("https://android.googlesource.com/platform/cts/+/675172470197009d6b935f5ca564b9c66365ade8", "675172470197009d6b935f5ca564b9c66365ade8")</f>
        <v>0</v>
      </c>
      <c r="C36070">
        <f>HYPERLINK("https://android.googlesource.com/platform/cts/+/270f9c3ec0d43ccfc037e86f946a5fe5b669914a", "270f9c3ec0d43ccfc037e86f946a5fe5b669914a")</f>
        <v>0</v>
      </c>
      <c r="D36070" t="s">
        <v>5476</v>
      </c>
      <c r="E36070" t="s">
        <v>8615</v>
      </c>
      <c r="F36070" t="s">
        <v>14076</v>
      </c>
      <c r="G36070" t="s">
        <v>18074</v>
      </c>
      <c r="H36070" t="s">
        <v>33217</v>
      </c>
    </row>
    <row r="36071" spans="1:8">
      <c r="A36071" t="s">
        <v>2893</v>
      </c>
      <c r="B36071">
        <f>HYPERLINK("https://android.googlesource.com/platform/cts/+/78ef9bf1553c5dec9117e28c3831cc843c9f93fb", "78ef9bf1553c5dec9117e28c3831cc843c9f93fb")</f>
        <v>0</v>
      </c>
      <c r="C36071">
        <f>HYPERLINK("https://android.googlesource.com/platform/cts/+/26aecb49bfb88c417d3fd7758598f489fe4d42a1", "26aecb49bfb88c417d3fd7758598f489fe4d42a1")</f>
        <v>0</v>
      </c>
      <c r="D36071" t="s">
        <v>5411</v>
      </c>
      <c r="E36071" t="s">
        <v>8616</v>
      </c>
      <c r="F36071" t="s">
        <v>13502</v>
      </c>
      <c r="G36071" t="s">
        <v>17620</v>
      </c>
      <c r="H36071" t="s">
        <v>33218</v>
      </c>
    </row>
    <row r="36072" spans="1:8">
      <c r="A36072" t="s">
        <v>2894</v>
      </c>
      <c r="B36072">
        <f>HYPERLINK("https://android.googlesource.com/platform/cts/+/a5387d759c82ee308382d971e356c2981db8c7a5", "a5387d759c82ee308382d971e356c2981db8c7a5")</f>
        <v>0</v>
      </c>
      <c r="C36072">
        <f>HYPERLINK("https://android.googlesource.com/platform/cts/+/1d9e546919b663c693321058902465288877f817", "1d9e546919b663c693321058902465288877f817")</f>
        <v>0</v>
      </c>
      <c r="D36072" t="s">
        <v>5304</v>
      </c>
      <c r="E36072" t="s">
        <v>8617</v>
      </c>
      <c r="F36072" t="s">
        <v>14052</v>
      </c>
      <c r="G36072" t="s">
        <v>18051</v>
      </c>
      <c r="H36072" t="s">
        <v>33175</v>
      </c>
    </row>
    <row r="36073" spans="1:8">
      <c r="H36073" t="s">
        <v>33176</v>
      </c>
    </row>
    <row r="36074" spans="1:8">
      <c r="H36074" t="s">
        <v>33177</v>
      </c>
    </row>
    <row r="36075" spans="1:8">
      <c r="H36075" t="s">
        <v>33178</v>
      </c>
    </row>
    <row r="36076" spans="1:8">
      <c r="H36076" t="s">
        <v>33179</v>
      </c>
    </row>
    <row r="36077" spans="1:8">
      <c r="H36077" t="s">
        <v>33180</v>
      </c>
    </row>
    <row r="36078" spans="1:8">
      <c r="H36078" t="s">
        <v>33181</v>
      </c>
    </row>
    <row r="36079" spans="1:8">
      <c r="H36079" t="s">
        <v>33182</v>
      </c>
    </row>
    <row r="36080" spans="1:8">
      <c r="F36080" t="s">
        <v>14069</v>
      </c>
      <c r="G36080" t="s">
        <v>18067</v>
      </c>
      <c r="H36080" t="s">
        <v>33183</v>
      </c>
    </row>
    <row r="36081" spans="1:8">
      <c r="A36081" t="s">
        <v>2895</v>
      </c>
      <c r="B36081">
        <f>HYPERLINK("https://android.googlesource.com/platform/cts/+/79111ee1dde0339a6660e7e2d69b3ba24524e3aa", "79111ee1dde0339a6660e7e2d69b3ba24524e3aa")</f>
        <v>0</v>
      </c>
      <c r="C36081">
        <f>HYPERLINK("https://android.googlesource.com/platform/cts/+/025186ed8d11a32f9a5822a7ac2701f60f30e370", "025186ed8d11a32f9a5822a7ac2701f60f30e370")</f>
        <v>0</v>
      </c>
      <c r="D36081" t="s">
        <v>5460</v>
      </c>
      <c r="E36081" t="s">
        <v>8618</v>
      </c>
      <c r="F36081" t="s">
        <v>13417</v>
      </c>
      <c r="G36081" t="s">
        <v>17543</v>
      </c>
      <c r="H36081" t="s">
        <v>33219</v>
      </c>
    </row>
    <row r="36082" spans="1:8">
      <c r="A36082" t="s">
        <v>2896</v>
      </c>
      <c r="B36082">
        <f>HYPERLINK("https://android.googlesource.com/platform/cts/+/a0f735cd2a89476ff219fae483ec758703c31de3", "a0f735cd2a89476ff219fae483ec758703c31de3")</f>
        <v>0</v>
      </c>
      <c r="C36082">
        <f>HYPERLINK("https://android.googlesource.com/platform/cts/+/8cc09a51f7d3bf20da186345ff214ec23fb6f479", "8cc09a51f7d3bf20da186345ff214ec23fb6f479")</f>
        <v>0</v>
      </c>
      <c r="D36082" t="s">
        <v>5477</v>
      </c>
      <c r="E36082" t="s">
        <v>8619</v>
      </c>
      <c r="F36082" t="s">
        <v>13440</v>
      </c>
      <c r="G36082" t="s">
        <v>17562</v>
      </c>
      <c r="H36082" t="s">
        <v>18896</v>
      </c>
    </row>
    <row r="36083" spans="1:8">
      <c r="H36083" t="s">
        <v>33220</v>
      </c>
    </row>
    <row r="36084" spans="1:8">
      <c r="A36084" t="s">
        <v>2897</v>
      </c>
      <c r="B36084">
        <f>HYPERLINK("https://android.googlesource.com/platform/cts/+/d9aef5b83621bf1831624fb7d91f8e59f0e4bf33", "d9aef5b83621bf1831624fb7d91f8e59f0e4bf33")</f>
        <v>0</v>
      </c>
      <c r="C36084">
        <f>HYPERLINK("https://android.googlesource.com/platform/cts/+/c630863a03e215f4d6751c7bdc101367b6733a32", "c630863a03e215f4d6751c7bdc101367b6733a32")</f>
        <v>0</v>
      </c>
      <c r="D36084" t="s">
        <v>5435</v>
      </c>
      <c r="E36084" t="s">
        <v>8620</v>
      </c>
      <c r="F36084" t="s">
        <v>12710</v>
      </c>
      <c r="G36084" t="s">
        <v>16911</v>
      </c>
      <c r="H36084" t="s">
        <v>33221</v>
      </c>
    </row>
    <row r="36085" spans="1:8">
      <c r="A36085" t="s">
        <v>2898</v>
      </c>
      <c r="B36085">
        <f>HYPERLINK("https://android.googlesource.com/platform/cts/+/0e149d2d34b28191bd20c31db311a0c4c9389c9a", "0e149d2d34b28191bd20c31db311a0c4c9389c9a")</f>
        <v>0</v>
      </c>
      <c r="C36085">
        <f>HYPERLINK("https://android.googlesource.com/platform/cts/+/62680fd53fe1499a3fd40758c21a2d33cfad1820", "62680fd53fe1499a3fd40758c21a2d33cfad1820")</f>
        <v>0</v>
      </c>
      <c r="D36085" t="s">
        <v>5275</v>
      </c>
      <c r="E36085" t="s">
        <v>8621</v>
      </c>
      <c r="F36085" t="s">
        <v>12984</v>
      </c>
      <c r="G36085" t="s">
        <v>17148</v>
      </c>
      <c r="H36085" t="s">
        <v>33222</v>
      </c>
    </row>
    <row r="36086" spans="1:8">
      <c r="A36086" t="s">
        <v>2899</v>
      </c>
      <c r="B36086">
        <f>HYPERLINK("https://android.googlesource.com/platform/cts/+/4dc00ff57c0f0e1334342c51d8fe4a3b9cfb3252", "4dc00ff57c0f0e1334342c51d8fe4a3b9cfb3252")</f>
        <v>0</v>
      </c>
      <c r="C36086">
        <f>HYPERLINK("https://android.googlesource.com/platform/cts/+/1a51dd73f5593e1250b7b563df1ec591e4d94d15", "1a51dd73f5593e1250b7b563df1ec591e4d94d15")</f>
        <v>0</v>
      </c>
      <c r="D36086" t="s">
        <v>5051</v>
      </c>
      <c r="E36086" t="s">
        <v>8622</v>
      </c>
      <c r="F36086" t="s">
        <v>12642</v>
      </c>
      <c r="G36086" t="s">
        <v>16850</v>
      </c>
      <c r="H36086" t="s">
        <v>32762</v>
      </c>
    </row>
    <row r="36087" spans="1:8">
      <c r="A36087" t="s">
        <v>2900</v>
      </c>
      <c r="B36087">
        <f>HYPERLINK("https://android.googlesource.com/platform/cts/+/35361573b6b096d1bad1bc1698ca1719feb5f539", "35361573b6b096d1bad1bc1698ca1719feb5f539")</f>
        <v>0</v>
      </c>
      <c r="C36087">
        <f>HYPERLINK("https://android.googlesource.com/platform/cts/+/26aecb49bfb88c417d3fd7758598f489fe4d42a1", "26aecb49bfb88c417d3fd7758598f489fe4d42a1")</f>
        <v>0</v>
      </c>
      <c r="D36087" t="s">
        <v>5108</v>
      </c>
      <c r="E36087" t="s">
        <v>8623</v>
      </c>
      <c r="F36087" t="s">
        <v>14077</v>
      </c>
      <c r="G36087" t="s">
        <v>18075</v>
      </c>
      <c r="H36087" t="s">
        <v>33223</v>
      </c>
    </row>
    <row r="36088" spans="1:8">
      <c r="A36088" t="s">
        <v>2901</v>
      </c>
      <c r="B36088">
        <f>HYPERLINK("https://android.googlesource.com/platform/cts/+/02438ec41001d781686c00b1a3562aaaf3deadfb", "02438ec41001d781686c00b1a3562aaaf3deadfb")</f>
        <v>0</v>
      </c>
      <c r="C36088">
        <f>HYPERLINK("https://android.googlesource.com/platform/cts/+/6b11b07da971d2f1164b6306f4e215d774318abf", "6b11b07da971d2f1164b6306f4e215d774318abf")</f>
        <v>0</v>
      </c>
      <c r="D36088" t="s">
        <v>5180</v>
      </c>
      <c r="E36088" t="s">
        <v>8624</v>
      </c>
      <c r="F36088" t="s">
        <v>14078</v>
      </c>
      <c r="G36088" t="s">
        <v>18076</v>
      </c>
      <c r="H36088" t="s">
        <v>18829</v>
      </c>
    </row>
    <row r="36089" spans="1:8">
      <c r="H36089" t="s">
        <v>18863</v>
      </c>
    </row>
    <row r="36090" spans="1:8">
      <c r="H36090" t="s">
        <v>33224</v>
      </c>
    </row>
    <row r="36091" spans="1:8">
      <c r="H36091" t="s">
        <v>33225</v>
      </c>
    </row>
    <row r="36092" spans="1:8">
      <c r="H36092" t="s">
        <v>33226</v>
      </c>
    </row>
    <row r="36093" spans="1:8">
      <c r="H36093" t="s">
        <v>33227</v>
      </c>
    </row>
    <row r="36094" spans="1:8">
      <c r="H36094" t="s">
        <v>33228</v>
      </c>
    </row>
    <row r="36095" spans="1:8">
      <c r="H36095" t="s">
        <v>33229</v>
      </c>
    </row>
    <row r="36096" spans="1:8">
      <c r="H36096" t="s">
        <v>33230</v>
      </c>
    </row>
    <row r="36097" spans="1:8">
      <c r="H36097" t="s">
        <v>33231</v>
      </c>
    </row>
    <row r="36098" spans="1:8">
      <c r="H36098" t="s">
        <v>33232</v>
      </c>
    </row>
    <row r="36099" spans="1:8">
      <c r="H36099" t="s">
        <v>33233</v>
      </c>
    </row>
    <row r="36100" spans="1:8">
      <c r="H36100" t="s">
        <v>33234</v>
      </c>
    </row>
    <row r="36101" spans="1:8">
      <c r="H36101" t="s">
        <v>33235</v>
      </c>
    </row>
    <row r="36102" spans="1:8">
      <c r="H36102" t="s">
        <v>33236</v>
      </c>
    </row>
    <row r="36103" spans="1:8">
      <c r="H36103" t="s">
        <v>33237</v>
      </c>
    </row>
    <row r="36104" spans="1:8">
      <c r="H36104" t="s">
        <v>33238</v>
      </c>
    </row>
    <row r="36105" spans="1:8">
      <c r="H36105" t="s">
        <v>33239</v>
      </c>
    </row>
    <row r="36106" spans="1:8">
      <c r="A36106" t="s">
        <v>2902</v>
      </c>
      <c r="B36106">
        <f>HYPERLINK("https://android.googlesource.com/platform/cts/+/85dd96c68efb9cfd37ec2d747d832213d89cd520", "85dd96c68efb9cfd37ec2d747d832213d89cd520")</f>
        <v>0</v>
      </c>
      <c r="C36106">
        <f>HYPERLINK("https://android.googlesource.com/platform/cts/+/cbee36fd9f7b4a37f211869edcaa29768d71ca57", "cbee36fd9f7b4a37f211869edcaa29768d71ca57")</f>
        <v>0</v>
      </c>
      <c r="D36106" t="s">
        <v>5296</v>
      </c>
      <c r="E36106" t="s">
        <v>8625</v>
      </c>
      <c r="F36106" t="s">
        <v>14079</v>
      </c>
      <c r="G36106" t="s">
        <v>15084</v>
      </c>
      <c r="H36106" t="s">
        <v>33240</v>
      </c>
    </row>
    <row r="36107" spans="1:8">
      <c r="H36107" t="s">
        <v>33241</v>
      </c>
    </row>
    <row r="36108" spans="1:8">
      <c r="H36108" t="s">
        <v>33242</v>
      </c>
    </row>
    <row r="36109" spans="1:8">
      <c r="H36109" t="s">
        <v>33243</v>
      </c>
    </row>
    <row r="36110" spans="1:8">
      <c r="H36110" t="s">
        <v>33244</v>
      </c>
    </row>
    <row r="36111" spans="1:8">
      <c r="A36111" t="s">
        <v>2903</v>
      </c>
      <c r="B36111">
        <f>HYPERLINK("https://android.googlesource.com/platform/cts/+/1332c81947aef831f7ce0c6d517df30039ecda2a", "1332c81947aef831f7ce0c6d517df30039ecda2a")</f>
        <v>0</v>
      </c>
      <c r="C36111">
        <f>HYPERLINK("https://android.googlesource.com/platform/cts/+/b3f23678a9b5fa5af1108edc3d5f5313c2d9e004", "b3f23678a9b5fa5af1108edc3d5f5313c2d9e004")</f>
        <v>0</v>
      </c>
      <c r="D36111" t="s">
        <v>5399</v>
      </c>
      <c r="E36111" t="s">
        <v>8626</v>
      </c>
      <c r="F36111" t="s">
        <v>13850</v>
      </c>
      <c r="G36111" t="s">
        <v>16816</v>
      </c>
      <c r="H36111" t="s">
        <v>33245</v>
      </c>
    </row>
    <row r="36112" spans="1:8">
      <c r="A36112" t="s">
        <v>2904</v>
      </c>
      <c r="B36112">
        <f>HYPERLINK("https://android.googlesource.com/platform/cts/+/ca6733ac413674e291bed44b9303514fd0d797d8", "ca6733ac413674e291bed44b9303514fd0d797d8")</f>
        <v>0</v>
      </c>
      <c r="C36112">
        <f>HYPERLINK("https://android.googlesource.com/platform/cts/+/6b11b07da971d2f1164b6306f4e215d774318abf", "6b11b07da971d2f1164b6306f4e215d774318abf")</f>
        <v>0</v>
      </c>
      <c r="D36112" t="s">
        <v>5042</v>
      </c>
      <c r="E36112" t="s">
        <v>8627</v>
      </c>
      <c r="F36112" t="s">
        <v>14080</v>
      </c>
      <c r="G36112" t="s">
        <v>18077</v>
      </c>
      <c r="H36112" t="s">
        <v>33246</v>
      </c>
    </row>
    <row r="36113" spans="1:8">
      <c r="H36113" t="s">
        <v>33247</v>
      </c>
    </row>
    <row r="36114" spans="1:8">
      <c r="A36114" t="s">
        <v>2905</v>
      </c>
      <c r="B36114">
        <f>HYPERLINK("https://android.googlesource.com/platform/cts/+/642a2d405c6165aa3934c00d789a21848bf09dcb", "642a2d405c6165aa3934c00d789a21848bf09dcb")</f>
        <v>0</v>
      </c>
      <c r="C36114">
        <f>HYPERLINK("https://android.googlesource.com/platform/cts/+/472edaefb84a362e2e94db984d6045972971abd2", "472edaefb84a362e2e94db984d6045972971abd2")</f>
        <v>0</v>
      </c>
      <c r="D36114" t="s">
        <v>5180</v>
      </c>
      <c r="E36114" t="s">
        <v>8628</v>
      </c>
      <c r="F36114" t="s">
        <v>14081</v>
      </c>
      <c r="G36114" t="s">
        <v>18078</v>
      </c>
      <c r="H36114" t="s">
        <v>33248</v>
      </c>
    </row>
    <row r="36115" spans="1:8">
      <c r="H36115" t="s">
        <v>33249</v>
      </c>
    </row>
    <row r="36116" spans="1:8">
      <c r="A36116" t="s">
        <v>2906</v>
      </c>
      <c r="B36116">
        <f>HYPERLINK("https://android.googlesource.com/platform/cts/+/edad9239f1fd407c86d799b3450d16c8a42b8e53", "edad9239f1fd407c86d799b3450d16c8a42b8e53")</f>
        <v>0</v>
      </c>
      <c r="C36116">
        <f>HYPERLINK("https://android.googlesource.com/platform/cts/+/26aecb49bfb88c417d3fd7758598f489fe4d42a1", "26aecb49bfb88c417d3fd7758598f489fe4d42a1")</f>
        <v>0</v>
      </c>
      <c r="D36116" t="s">
        <v>5478</v>
      </c>
      <c r="E36116" t="s">
        <v>8629</v>
      </c>
      <c r="F36116" t="s">
        <v>12227</v>
      </c>
      <c r="G36116" t="s">
        <v>16457</v>
      </c>
      <c r="H36116" t="s">
        <v>33250</v>
      </c>
    </row>
    <row r="36117" spans="1:8">
      <c r="A36117" t="s">
        <v>2907</v>
      </c>
      <c r="B36117">
        <f>HYPERLINK("https://android.googlesource.com/platform/cts/+/d3c38bf0fb2dc752902bb5a7e4b7f42a1451c9e0", "d3c38bf0fb2dc752902bb5a7e4b7f42a1451c9e0")</f>
        <v>0</v>
      </c>
      <c r="C36117">
        <f>HYPERLINK("https://android.googlesource.com/platform/cts/+/77171461072d83ca852bda4f4dfc371b6c250c17", "77171461072d83ca852bda4f4dfc371b6c250c17")</f>
        <v>0</v>
      </c>
      <c r="D36117" t="s">
        <v>5293</v>
      </c>
      <c r="E36117" t="s">
        <v>8630</v>
      </c>
      <c r="F36117" t="s">
        <v>14082</v>
      </c>
      <c r="G36117" t="s">
        <v>18079</v>
      </c>
      <c r="H36117" t="s">
        <v>33251</v>
      </c>
    </row>
    <row r="36118" spans="1:8">
      <c r="H36118" t="s">
        <v>33252</v>
      </c>
    </row>
    <row r="36119" spans="1:8">
      <c r="A36119" t="s">
        <v>2908</v>
      </c>
      <c r="B36119">
        <f>HYPERLINK("https://android.googlesource.com/platform/cts/+/ca2cf25ac7757dab2327818a07b984f5cfa495c4", "ca2cf25ac7757dab2327818a07b984f5cfa495c4")</f>
        <v>0</v>
      </c>
      <c r="C36119">
        <f>HYPERLINK("https://android.googlesource.com/platform/cts/+/118dd985ce679a70148a903206418a7231733cb0", "118dd985ce679a70148a903206418a7231733cb0")</f>
        <v>0</v>
      </c>
      <c r="D36119" t="s">
        <v>5298</v>
      </c>
      <c r="E36119" t="s">
        <v>8631</v>
      </c>
      <c r="F36119" t="s">
        <v>13709</v>
      </c>
      <c r="G36119" t="s">
        <v>17777</v>
      </c>
      <c r="H36119" t="s">
        <v>33253</v>
      </c>
    </row>
    <row r="36120" spans="1:8">
      <c r="H36120" t="s">
        <v>20083</v>
      </c>
    </row>
    <row r="36121" spans="1:8">
      <c r="H36121" t="s">
        <v>33254</v>
      </c>
    </row>
    <row r="36122" spans="1:8">
      <c r="H36122" t="s">
        <v>18953</v>
      </c>
    </row>
    <row r="36123" spans="1:8">
      <c r="H36123" t="s">
        <v>33255</v>
      </c>
    </row>
    <row r="36124" spans="1:8">
      <c r="H36124" t="s">
        <v>33255</v>
      </c>
    </row>
    <row r="36125" spans="1:8">
      <c r="H36125" t="s">
        <v>33256</v>
      </c>
    </row>
    <row r="36126" spans="1:8">
      <c r="H36126" t="s">
        <v>33257</v>
      </c>
    </row>
    <row r="36127" spans="1:8">
      <c r="H36127" t="s">
        <v>33258</v>
      </c>
    </row>
    <row r="36128" spans="1:8">
      <c r="A36128" t="s">
        <v>2909</v>
      </c>
      <c r="B36128">
        <f>HYPERLINK("https://android.googlesource.com/platform/cts/+/b8440cd5c109da38e4f447190c455f84cb16a385", "b8440cd5c109da38e4f447190c455f84cb16a385")</f>
        <v>0</v>
      </c>
      <c r="C36128">
        <f>HYPERLINK("https://android.googlesource.com/platform/cts/+/ca2cf25ac7757dab2327818a07b984f5cfa495c4", "ca2cf25ac7757dab2327818a07b984f5cfa495c4")</f>
        <v>0</v>
      </c>
      <c r="D36128" t="s">
        <v>5298</v>
      </c>
      <c r="E36128" t="s">
        <v>8632</v>
      </c>
      <c r="F36128" t="s">
        <v>14083</v>
      </c>
      <c r="G36128" t="s">
        <v>17662</v>
      </c>
      <c r="H36128" t="s">
        <v>29973</v>
      </c>
    </row>
    <row r="36129" spans="1:8">
      <c r="H36129" t="s">
        <v>29976</v>
      </c>
    </row>
    <row r="36130" spans="1:8">
      <c r="H36130" t="s">
        <v>33259</v>
      </c>
    </row>
    <row r="36131" spans="1:8">
      <c r="H36131" t="s">
        <v>30397</v>
      </c>
    </row>
    <row r="36132" spans="1:8">
      <c r="H36132" t="s">
        <v>33260</v>
      </c>
    </row>
    <row r="36133" spans="1:8">
      <c r="H36133" t="s">
        <v>33261</v>
      </c>
    </row>
    <row r="36134" spans="1:8">
      <c r="A36134" t="s">
        <v>2910</v>
      </c>
      <c r="B36134">
        <f>HYPERLINK("https://android.googlesource.com/platform/cts/+/3a4108e7cccd1d648de6ede25b190fd634164da6", "3a4108e7cccd1d648de6ede25b190fd634164da6")</f>
        <v>0</v>
      </c>
      <c r="C36134">
        <f>HYPERLINK("https://android.googlesource.com/platform/cts/+/84fbda84945556e04bda78cfe58014a5ce718209", "84fbda84945556e04bda78cfe58014a5ce718209")</f>
        <v>0</v>
      </c>
      <c r="D36134" t="s">
        <v>5180</v>
      </c>
      <c r="E36134" t="s">
        <v>8633</v>
      </c>
      <c r="F36134" t="s">
        <v>14081</v>
      </c>
      <c r="G36134" t="s">
        <v>18078</v>
      </c>
      <c r="H36134" t="s">
        <v>33262</v>
      </c>
    </row>
    <row r="36135" spans="1:8">
      <c r="H36135" t="s">
        <v>33263</v>
      </c>
    </row>
    <row r="36136" spans="1:8">
      <c r="A36136" t="s">
        <v>2911</v>
      </c>
      <c r="B36136">
        <f>HYPERLINK("https://android.googlesource.com/platform/cts/+/eb384fc0879fe57791f97dde5505b06c917be3fe", "eb384fc0879fe57791f97dde5505b06c917be3fe")</f>
        <v>0</v>
      </c>
      <c r="C36136">
        <f>HYPERLINK("https://android.googlesource.com/platform/cts/+/6b11b07da971d2f1164b6306f4e215d774318abf", "6b11b07da971d2f1164b6306f4e215d774318abf")</f>
        <v>0</v>
      </c>
      <c r="D36136" t="s">
        <v>5042</v>
      </c>
      <c r="E36136" t="s">
        <v>8634</v>
      </c>
      <c r="F36136" t="s">
        <v>12319</v>
      </c>
      <c r="G36136" t="s">
        <v>16549</v>
      </c>
      <c r="H36136" t="s">
        <v>33264</v>
      </c>
    </row>
    <row r="36137" spans="1:8">
      <c r="H36137" t="s">
        <v>33265</v>
      </c>
    </row>
    <row r="36138" spans="1:8">
      <c r="H36138" t="s">
        <v>33266</v>
      </c>
    </row>
    <row r="36139" spans="1:8">
      <c r="H36139" t="s">
        <v>33267</v>
      </c>
    </row>
    <row r="36140" spans="1:8">
      <c r="A36140" t="s">
        <v>2912</v>
      </c>
      <c r="B36140">
        <f>HYPERLINK("https://android.googlesource.com/platform/cts/+/e2f256395bda208abfe94e2c66a848e42d84895f", "e2f256395bda208abfe94e2c66a848e42d84895f")</f>
        <v>0</v>
      </c>
      <c r="C36140">
        <f>HYPERLINK("https://android.googlesource.com/platform/cts/+/133c47f94ca6ee23825b4545a95a71763a85238e", "133c47f94ca6ee23825b4545a95a71763a85238e")</f>
        <v>0</v>
      </c>
      <c r="D36140" t="s">
        <v>5118</v>
      </c>
      <c r="E36140" t="s">
        <v>8635</v>
      </c>
      <c r="F36140" t="s">
        <v>12768</v>
      </c>
      <c r="G36140" t="s">
        <v>15710</v>
      </c>
      <c r="H36140" t="s">
        <v>33268</v>
      </c>
    </row>
    <row r="36141" spans="1:8">
      <c r="A36141" t="s">
        <v>2913</v>
      </c>
      <c r="B36141">
        <f>HYPERLINK("https://android.googlesource.com/platform/cts/+/d022bfca065383d14540af8d26e255c7a62ff1b2", "d022bfca065383d14540af8d26e255c7a62ff1b2")</f>
        <v>0</v>
      </c>
      <c r="C36141">
        <f>HYPERLINK("https://android.googlesource.com/platform/cts/+/ac7fda0ed977ce54f40e4e56e3f968c8068db962", "ac7fda0ed977ce54f40e4e56e3f968c8068db962")</f>
        <v>0</v>
      </c>
      <c r="D36141" t="s">
        <v>5399</v>
      </c>
      <c r="E36141" t="s">
        <v>8636</v>
      </c>
      <c r="F36141" t="s">
        <v>13850</v>
      </c>
      <c r="G36141" t="s">
        <v>16816</v>
      </c>
      <c r="H36141" t="s">
        <v>33245</v>
      </c>
    </row>
    <row r="36142" spans="1:8">
      <c r="A36142" t="s">
        <v>2914</v>
      </c>
      <c r="B36142">
        <f>HYPERLINK("https://android.googlesource.com/platform/cts/+/0778505b25c01e972f3a2be4352f9fefe6f1125d", "0778505b25c01e972f3a2be4352f9fefe6f1125d")</f>
        <v>0</v>
      </c>
      <c r="C36142">
        <f>HYPERLINK("https://android.googlesource.com/platform/cts/+/eb384fc0879fe57791f97dde5505b06c917be3fe", "eb384fc0879fe57791f97dde5505b06c917be3fe")</f>
        <v>0</v>
      </c>
      <c r="D36142" t="s">
        <v>5042</v>
      </c>
      <c r="E36142" t="s">
        <v>8637</v>
      </c>
      <c r="F36142" t="s">
        <v>12319</v>
      </c>
      <c r="G36142" t="s">
        <v>16549</v>
      </c>
      <c r="H36142" t="s">
        <v>33269</v>
      </c>
    </row>
    <row r="36143" spans="1:8">
      <c r="H36143" t="s">
        <v>33270</v>
      </c>
    </row>
    <row r="36144" spans="1:8">
      <c r="H36144" t="s">
        <v>33271</v>
      </c>
    </row>
    <row r="36145" spans="8:8">
      <c r="H36145" t="s">
        <v>33272</v>
      </c>
    </row>
    <row r="36146" spans="8:8">
      <c r="H36146" t="s">
        <v>33273</v>
      </c>
    </row>
    <row r="36147" spans="8:8">
      <c r="H36147" t="s">
        <v>33274</v>
      </c>
    </row>
    <row r="36148" spans="8:8">
      <c r="H36148" t="s">
        <v>33275</v>
      </c>
    </row>
    <row r="36149" spans="8:8">
      <c r="H36149" t="s">
        <v>33276</v>
      </c>
    </row>
    <row r="36150" spans="8:8">
      <c r="H36150" t="s">
        <v>33277</v>
      </c>
    </row>
    <row r="36151" spans="8:8">
      <c r="H36151" t="s">
        <v>33278</v>
      </c>
    </row>
    <row r="36152" spans="8:8">
      <c r="H36152" t="s">
        <v>33279</v>
      </c>
    </row>
    <row r="36153" spans="8:8">
      <c r="H36153" t="s">
        <v>33280</v>
      </c>
    </row>
    <row r="36154" spans="8:8">
      <c r="H36154" t="s">
        <v>33281</v>
      </c>
    </row>
    <row r="36155" spans="8:8">
      <c r="H36155" t="s">
        <v>33282</v>
      </c>
    </row>
    <row r="36156" spans="8:8">
      <c r="H36156" t="s">
        <v>33283</v>
      </c>
    </row>
    <row r="36157" spans="8:8">
      <c r="H36157" t="s">
        <v>33284</v>
      </c>
    </row>
    <row r="36158" spans="8:8">
      <c r="H36158" t="s">
        <v>33285</v>
      </c>
    </row>
    <row r="36159" spans="8:8">
      <c r="H36159" t="s">
        <v>33286</v>
      </c>
    </row>
    <row r="36160" spans="8:8">
      <c r="H36160" t="s">
        <v>33287</v>
      </c>
    </row>
    <row r="36161" spans="8:8">
      <c r="H36161" t="s">
        <v>33288</v>
      </c>
    </row>
    <row r="36162" spans="8:8">
      <c r="H36162" t="s">
        <v>33289</v>
      </c>
    </row>
    <row r="36163" spans="8:8">
      <c r="H36163" t="s">
        <v>33290</v>
      </c>
    </row>
    <row r="36164" spans="8:8">
      <c r="H36164" t="s">
        <v>33291</v>
      </c>
    </row>
    <row r="36165" spans="8:8">
      <c r="H36165" t="s">
        <v>33292</v>
      </c>
    </row>
    <row r="36166" spans="8:8">
      <c r="H36166" t="s">
        <v>33292</v>
      </c>
    </row>
    <row r="36167" spans="8:8">
      <c r="H36167" t="s">
        <v>33293</v>
      </c>
    </row>
    <row r="36168" spans="8:8">
      <c r="H36168" t="s">
        <v>33294</v>
      </c>
    </row>
    <row r="36169" spans="8:8">
      <c r="H36169" t="s">
        <v>33295</v>
      </c>
    </row>
    <row r="36170" spans="8:8">
      <c r="H36170" t="s">
        <v>33296</v>
      </c>
    </row>
    <row r="36171" spans="8:8">
      <c r="H36171" t="s">
        <v>33297</v>
      </c>
    </row>
    <row r="36172" spans="8:8">
      <c r="H36172" t="s">
        <v>33298</v>
      </c>
    </row>
    <row r="36173" spans="8:8">
      <c r="H36173" t="s">
        <v>33299</v>
      </c>
    </row>
    <row r="36174" spans="8:8">
      <c r="H36174" t="s">
        <v>33300</v>
      </c>
    </row>
    <row r="36175" spans="8:8">
      <c r="H36175" t="s">
        <v>33301</v>
      </c>
    </row>
    <row r="36176" spans="8:8">
      <c r="H36176" t="s">
        <v>33302</v>
      </c>
    </row>
    <row r="36177" spans="8:8">
      <c r="H36177" t="s">
        <v>33303</v>
      </c>
    </row>
    <row r="36178" spans="8:8">
      <c r="H36178" t="s">
        <v>33304</v>
      </c>
    </row>
    <row r="36179" spans="8:8">
      <c r="H36179" t="s">
        <v>33305</v>
      </c>
    </row>
    <row r="36180" spans="8:8">
      <c r="H36180" t="s">
        <v>33306</v>
      </c>
    </row>
    <row r="36181" spans="8:8">
      <c r="H36181" t="s">
        <v>21216</v>
      </c>
    </row>
    <row r="36182" spans="8:8">
      <c r="H36182" t="s">
        <v>33307</v>
      </c>
    </row>
    <row r="36183" spans="8:8">
      <c r="H36183" t="s">
        <v>21192</v>
      </c>
    </row>
    <row r="36184" spans="8:8">
      <c r="H36184" t="s">
        <v>21193</v>
      </c>
    </row>
    <row r="36185" spans="8:8">
      <c r="H36185" t="s">
        <v>33308</v>
      </c>
    </row>
    <row r="36186" spans="8:8">
      <c r="H36186" t="s">
        <v>33309</v>
      </c>
    </row>
    <row r="36187" spans="8:8">
      <c r="H36187" t="s">
        <v>33310</v>
      </c>
    </row>
    <row r="36188" spans="8:8">
      <c r="H36188" t="s">
        <v>33311</v>
      </c>
    </row>
    <row r="36189" spans="8:8">
      <c r="H36189" t="s">
        <v>33312</v>
      </c>
    </row>
    <row r="36190" spans="8:8">
      <c r="H36190" t="s">
        <v>33313</v>
      </c>
    </row>
    <row r="36191" spans="8:8">
      <c r="H36191" t="s">
        <v>18927</v>
      </c>
    </row>
    <row r="36192" spans="8:8">
      <c r="H36192" t="s">
        <v>19496</v>
      </c>
    </row>
    <row r="36193" spans="8:8">
      <c r="H36193" t="s">
        <v>33314</v>
      </c>
    </row>
    <row r="36194" spans="8:8">
      <c r="H36194" t="s">
        <v>19017</v>
      </c>
    </row>
    <row r="36195" spans="8:8">
      <c r="H36195" t="s">
        <v>31527</v>
      </c>
    </row>
    <row r="36196" spans="8:8">
      <c r="H36196" t="s">
        <v>33315</v>
      </c>
    </row>
    <row r="36197" spans="8:8">
      <c r="H36197" t="s">
        <v>33316</v>
      </c>
    </row>
    <row r="36198" spans="8:8">
      <c r="H36198" t="s">
        <v>18882</v>
      </c>
    </row>
    <row r="36199" spans="8:8">
      <c r="H36199" t="s">
        <v>33317</v>
      </c>
    </row>
    <row r="36200" spans="8:8">
      <c r="H36200" t="s">
        <v>21214</v>
      </c>
    </row>
    <row r="36201" spans="8:8">
      <c r="H36201" t="s">
        <v>21194</v>
      </c>
    </row>
    <row r="36202" spans="8:8">
      <c r="H36202" t="s">
        <v>33318</v>
      </c>
    </row>
    <row r="36203" spans="8:8">
      <c r="H36203" t="s">
        <v>33319</v>
      </c>
    </row>
    <row r="36204" spans="8:8">
      <c r="H36204" t="s">
        <v>33320</v>
      </c>
    </row>
    <row r="36205" spans="8:8">
      <c r="H36205" t="s">
        <v>33321</v>
      </c>
    </row>
    <row r="36206" spans="8:8">
      <c r="H36206" t="s">
        <v>33322</v>
      </c>
    </row>
    <row r="36207" spans="8:8">
      <c r="H36207" t="s">
        <v>33323</v>
      </c>
    </row>
    <row r="36208" spans="8:8">
      <c r="H36208" t="s">
        <v>33324</v>
      </c>
    </row>
    <row r="36209" spans="8:8">
      <c r="H36209" t="s">
        <v>33320</v>
      </c>
    </row>
    <row r="36210" spans="8:8">
      <c r="H36210" t="s">
        <v>33325</v>
      </c>
    </row>
    <row r="36211" spans="8:8">
      <c r="H36211" t="s">
        <v>33326</v>
      </c>
    </row>
    <row r="36212" spans="8:8">
      <c r="H36212" t="s">
        <v>22043</v>
      </c>
    </row>
    <row r="36213" spans="8:8">
      <c r="H36213" t="s">
        <v>33327</v>
      </c>
    </row>
    <row r="36214" spans="8:8">
      <c r="H36214" t="s">
        <v>22043</v>
      </c>
    </row>
    <row r="36215" spans="8:8">
      <c r="H36215" t="s">
        <v>22042</v>
      </c>
    </row>
    <row r="36216" spans="8:8">
      <c r="H36216" t="s">
        <v>20083</v>
      </c>
    </row>
    <row r="36217" spans="8:8">
      <c r="H36217" t="s">
        <v>22043</v>
      </c>
    </row>
    <row r="36218" spans="8:8">
      <c r="H36218" t="s">
        <v>33328</v>
      </c>
    </row>
    <row r="36219" spans="8:8">
      <c r="H36219" t="s">
        <v>20083</v>
      </c>
    </row>
    <row r="36220" spans="8:8">
      <c r="H36220" t="s">
        <v>22043</v>
      </c>
    </row>
    <row r="36221" spans="8:8">
      <c r="H36221" t="s">
        <v>33329</v>
      </c>
    </row>
    <row r="36222" spans="8:8">
      <c r="H36222" t="s">
        <v>20083</v>
      </c>
    </row>
    <row r="36223" spans="8:8">
      <c r="H36223" t="s">
        <v>33330</v>
      </c>
    </row>
    <row r="36224" spans="8:8">
      <c r="H36224" t="s">
        <v>33331</v>
      </c>
    </row>
    <row r="36225" spans="8:8">
      <c r="H36225" t="s">
        <v>21214</v>
      </c>
    </row>
    <row r="36226" spans="8:8">
      <c r="H36226" t="s">
        <v>33332</v>
      </c>
    </row>
    <row r="36227" spans="8:8">
      <c r="H36227" t="s">
        <v>33331</v>
      </c>
    </row>
    <row r="36228" spans="8:8">
      <c r="H36228" t="s">
        <v>21214</v>
      </c>
    </row>
    <row r="36229" spans="8:8">
      <c r="H36229" t="s">
        <v>33320</v>
      </c>
    </row>
    <row r="36230" spans="8:8">
      <c r="H36230" t="s">
        <v>19267</v>
      </c>
    </row>
    <row r="36231" spans="8:8">
      <c r="H36231" t="s">
        <v>33333</v>
      </c>
    </row>
    <row r="36232" spans="8:8">
      <c r="H36232" t="s">
        <v>33334</v>
      </c>
    </row>
    <row r="36233" spans="8:8">
      <c r="H36233" t="s">
        <v>33335</v>
      </c>
    </row>
    <row r="36234" spans="8:8">
      <c r="H36234" t="s">
        <v>19426</v>
      </c>
    </row>
    <row r="36235" spans="8:8">
      <c r="H36235" t="s">
        <v>22043</v>
      </c>
    </row>
    <row r="36236" spans="8:8">
      <c r="H36236" t="s">
        <v>33336</v>
      </c>
    </row>
    <row r="36237" spans="8:8">
      <c r="H36237" t="s">
        <v>33337</v>
      </c>
    </row>
    <row r="36238" spans="8:8">
      <c r="H36238" t="s">
        <v>33338</v>
      </c>
    </row>
    <row r="36239" spans="8:8">
      <c r="H36239" t="s">
        <v>33339</v>
      </c>
    </row>
    <row r="36240" spans="8:8">
      <c r="H36240" t="s">
        <v>33340</v>
      </c>
    </row>
    <row r="36241" spans="1:8">
      <c r="H36241" t="s">
        <v>33341</v>
      </c>
    </row>
    <row r="36242" spans="1:8">
      <c r="H36242" t="s">
        <v>18927</v>
      </c>
    </row>
    <row r="36243" spans="1:8">
      <c r="H36243" t="s">
        <v>19464</v>
      </c>
    </row>
    <row r="36244" spans="1:8">
      <c r="A36244" t="s">
        <v>2915</v>
      </c>
      <c r="B36244">
        <f>HYPERLINK("https://android.googlesource.com/platform/cts/+/cdf8a582f74b17beacb7d203781b57fba0e5769b", "cdf8a582f74b17beacb7d203781b57fba0e5769b")</f>
        <v>0</v>
      </c>
      <c r="C36244">
        <f>HYPERLINK("https://android.googlesource.com/platform/cts/+/b33d82bf9ec2391538986a92175d89e8e1c484bf", "b33d82bf9ec2391538986a92175d89e8e1c484bf")</f>
        <v>0</v>
      </c>
      <c r="D36244" t="s">
        <v>5298</v>
      </c>
      <c r="E36244" t="s">
        <v>8638</v>
      </c>
      <c r="F36244" t="s">
        <v>14084</v>
      </c>
      <c r="G36244" t="s">
        <v>18080</v>
      </c>
      <c r="H36244" t="s">
        <v>33342</v>
      </c>
    </row>
    <row r="36245" spans="1:8">
      <c r="A36245" t="s">
        <v>2916</v>
      </c>
      <c r="B36245">
        <f>HYPERLINK("https://android.googlesource.com/platform/cts/+/2844d78ce5e82bcb5752a248fac15925117a5894", "2844d78ce5e82bcb5752a248fac15925117a5894")</f>
        <v>0</v>
      </c>
      <c r="C36245">
        <f>HYPERLINK("https://android.googlesource.com/platform/cts/+/6287fd1e561993b4fe8e74b0b232a86ae1899c00", "6287fd1e561993b4fe8e74b0b232a86ae1899c00")</f>
        <v>0</v>
      </c>
      <c r="D36245" t="s">
        <v>5240</v>
      </c>
      <c r="E36245" t="s">
        <v>8639</v>
      </c>
      <c r="F36245" t="s">
        <v>14085</v>
      </c>
      <c r="G36245" t="s">
        <v>18081</v>
      </c>
      <c r="H36245" t="s">
        <v>31277</v>
      </c>
    </row>
    <row r="36246" spans="1:8">
      <c r="H36246" t="s">
        <v>20083</v>
      </c>
    </row>
    <row r="36247" spans="1:8">
      <c r="H36247" t="s">
        <v>19753</v>
      </c>
    </row>
    <row r="36248" spans="1:8">
      <c r="H36248" t="s">
        <v>19754</v>
      </c>
    </row>
    <row r="36249" spans="1:8">
      <c r="H36249" t="s">
        <v>24966</v>
      </c>
    </row>
    <row r="36250" spans="1:8">
      <c r="H36250" t="s">
        <v>33343</v>
      </c>
    </row>
    <row r="36251" spans="1:8">
      <c r="A36251" t="s">
        <v>2917</v>
      </c>
      <c r="B36251">
        <f>HYPERLINK("https://android.googlesource.com/platform/cts/+/feffaaa6972f16c64f0657f572a23b7689ea9aaa", "feffaaa6972f16c64f0657f572a23b7689ea9aaa")</f>
        <v>0</v>
      </c>
      <c r="C36251">
        <f>HYPERLINK("https://android.googlesource.com/platform/cts/+/2844d78ce5e82bcb5752a248fac15925117a5894", "2844d78ce5e82bcb5752a248fac15925117a5894")</f>
        <v>0</v>
      </c>
      <c r="D36251" t="s">
        <v>5240</v>
      </c>
      <c r="E36251" t="s">
        <v>8640</v>
      </c>
      <c r="F36251" t="s">
        <v>14085</v>
      </c>
      <c r="G36251" t="s">
        <v>18081</v>
      </c>
      <c r="H36251" t="s">
        <v>19753</v>
      </c>
    </row>
    <row r="36252" spans="1:8">
      <c r="H36252" t="s">
        <v>19754</v>
      </c>
    </row>
    <row r="36253" spans="1:8">
      <c r="H36253" t="s">
        <v>24966</v>
      </c>
    </row>
    <row r="36254" spans="1:8">
      <c r="H36254" t="s">
        <v>33344</v>
      </c>
    </row>
    <row r="36255" spans="1:8">
      <c r="A36255" t="s">
        <v>2918</v>
      </c>
      <c r="B36255">
        <f>HYPERLINK("https://android.googlesource.com/platform/cts/+/b1a907ebb9b7a1063f1c3377bc3182286c65b5de", "b1a907ebb9b7a1063f1c3377bc3182286c65b5de")</f>
        <v>0</v>
      </c>
      <c r="C36255">
        <f>HYPERLINK("https://android.googlesource.com/platform/cts/+/04d920d475744600250cc8d5f899251c3235eb8c", "04d920d475744600250cc8d5f899251c3235eb8c")</f>
        <v>0</v>
      </c>
      <c r="D36255" t="s">
        <v>5240</v>
      </c>
      <c r="E36255" t="s">
        <v>8641</v>
      </c>
      <c r="F36255" t="s">
        <v>14085</v>
      </c>
      <c r="G36255" t="s">
        <v>18081</v>
      </c>
      <c r="H36255" t="s">
        <v>31277</v>
      </c>
    </row>
    <row r="36256" spans="1:8">
      <c r="H36256" t="s">
        <v>20083</v>
      </c>
    </row>
    <row r="36257" spans="1:8">
      <c r="H36257" t="s">
        <v>19753</v>
      </c>
    </row>
    <row r="36258" spans="1:8">
      <c r="H36258" t="s">
        <v>19754</v>
      </c>
    </row>
    <row r="36259" spans="1:8">
      <c r="H36259" t="s">
        <v>24966</v>
      </c>
    </row>
    <row r="36260" spans="1:8">
      <c r="H36260" t="s">
        <v>33343</v>
      </c>
    </row>
    <row r="36261" spans="1:8">
      <c r="A36261" t="s">
        <v>2919</v>
      </c>
      <c r="B36261">
        <f>HYPERLINK("https://android.googlesource.com/platform/cts/+/f37afc38ccd380beb8a6f68c00204818aa499e24", "f37afc38ccd380beb8a6f68c00204818aa499e24")</f>
        <v>0</v>
      </c>
      <c r="C36261">
        <f>HYPERLINK("https://android.googlesource.com/platform/cts/+/b1a907ebb9b7a1063f1c3377bc3182286c65b5de", "b1a907ebb9b7a1063f1c3377bc3182286c65b5de")</f>
        <v>0</v>
      </c>
      <c r="D36261" t="s">
        <v>5240</v>
      </c>
      <c r="E36261" t="s">
        <v>8642</v>
      </c>
      <c r="F36261" t="s">
        <v>14085</v>
      </c>
      <c r="G36261" t="s">
        <v>18081</v>
      </c>
      <c r="H36261" t="s">
        <v>19753</v>
      </c>
    </row>
    <row r="36262" spans="1:8">
      <c r="H36262" t="s">
        <v>19754</v>
      </c>
    </row>
    <row r="36263" spans="1:8">
      <c r="H36263" t="s">
        <v>24966</v>
      </c>
    </row>
    <row r="36264" spans="1:8">
      <c r="H36264" t="s">
        <v>33344</v>
      </c>
    </row>
    <row r="36265" spans="1:8">
      <c r="A36265" t="s">
        <v>2920</v>
      </c>
      <c r="B36265">
        <f>HYPERLINK("https://android.googlesource.com/platform/cts/+/d548c2ffaeb5164a55900a6e3686cf8e12b68294", "d548c2ffaeb5164a55900a6e3686cf8e12b68294")</f>
        <v>0</v>
      </c>
      <c r="C36265">
        <f>HYPERLINK("https://android.googlesource.com/platform/cts/+/79171cc7aa8d4fe981dc8e1c4f8daf39c8e4fe51", "79171cc7aa8d4fe981dc8e1c4f8daf39c8e4fe51")</f>
        <v>0</v>
      </c>
      <c r="D36265" t="s">
        <v>5447</v>
      </c>
      <c r="E36265" t="s">
        <v>8643</v>
      </c>
      <c r="F36265" t="s">
        <v>14086</v>
      </c>
      <c r="G36265" t="s">
        <v>18082</v>
      </c>
      <c r="H36265" t="s">
        <v>33345</v>
      </c>
    </row>
    <row r="36266" spans="1:8">
      <c r="H36266" t="s">
        <v>33346</v>
      </c>
    </row>
    <row r="36267" spans="1:8">
      <c r="H36267" t="s">
        <v>18863</v>
      </c>
    </row>
    <row r="36268" spans="1:8">
      <c r="H36268" t="s">
        <v>33347</v>
      </c>
    </row>
    <row r="36269" spans="1:8">
      <c r="H36269" t="s">
        <v>33348</v>
      </c>
    </row>
    <row r="36270" spans="1:8">
      <c r="H36270" t="s">
        <v>33349</v>
      </c>
    </row>
    <row r="36271" spans="1:8">
      <c r="H36271" t="s">
        <v>33350</v>
      </c>
    </row>
    <row r="36272" spans="1:8">
      <c r="H36272" t="s">
        <v>33351</v>
      </c>
    </row>
    <row r="36273" spans="1:8">
      <c r="H36273" t="s">
        <v>33352</v>
      </c>
    </row>
    <row r="36274" spans="1:8">
      <c r="H36274" t="s">
        <v>33353</v>
      </c>
    </row>
    <row r="36275" spans="1:8">
      <c r="A36275" t="s">
        <v>2921</v>
      </c>
      <c r="B36275">
        <f>HYPERLINK("https://android.googlesource.com/platform/cts/+/fcaf276d89ba041bc7bac157315719a512dafa49", "fcaf276d89ba041bc7bac157315719a512dafa49")</f>
        <v>0</v>
      </c>
      <c r="C36275">
        <f>HYPERLINK("https://android.googlesource.com/platform/cts/+/eca0a6906c148be7a06619f545a148cbe826d511", "eca0a6906c148be7a06619f545a148cbe826d511")</f>
        <v>0</v>
      </c>
      <c r="D36275" t="s">
        <v>5014</v>
      </c>
      <c r="E36275" t="s">
        <v>8644</v>
      </c>
      <c r="F36275" t="s">
        <v>14087</v>
      </c>
      <c r="G36275" t="s">
        <v>17883</v>
      </c>
      <c r="H36275" t="s">
        <v>33354</v>
      </c>
    </row>
    <row r="36276" spans="1:8">
      <c r="H36276" t="s">
        <v>33355</v>
      </c>
    </row>
    <row r="36277" spans="1:8">
      <c r="H36277" t="s">
        <v>33356</v>
      </c>
    </row>
    <row r="36278" spans="1:8">
      <c r="F36278" t="s">
        <v>14088</v>
      </c>
      <c r="G36278" t="s">
        <v>17884</v>
      </c>
      <c r="H36278" t="s">
        <v>33357</v>
      </c>
    </row>
    <row r="36279" spans="1:8">
      <c r="A36279" t="s">
        <v>2922</v>
      </c>
      <c r="B36279">
        <f>HYPERLINK("https://android.googlesource.com/platform/cts/+/259cece4f0507187806ad0e406a68e8c8901c3a8", "259cece4f0507187806ad0e406a68e8c8901c3a8")</f>
        <v>0</v>
      </c>
      <c r="C36279">
        <f>HYPERLINK("https://android.googlesource.com/platform/cts/+/b33d82bf9ec2391538986a92175d89e8e1c484bf", "b33d82bf9ec2391538986a92175d89e8e1c484bf")</f>
        <v>0</v>
      </c>
      <c r="D36279" t="s">
        <v>5478</v>
      </c>
      <c r="E36279" t="s">
        <v>8645</v>
      </c>
      <c r="F36279" t="s">
        <v>12166</v>
      </c>
      <c r="G36279" t="s">
        <v>16406</v>
      </c>
      <c r="H36279" t="s">
        <v>33358</v>
      </c>
    </row>
    <row r="36280" spans="1:8">
      <c r="H36280" t="s">
        <v>33359</v>
      </c>
    </row>
    <row r="36281" spans="1:8">
      <c r="A36281" t="s">
        <v>2923</v>
      </c>
      <c r="B36281">
        <f>HYPERLINK("https://android.googlesource.com/platform/cts/+/c37e6af210acd4c4e6f96b078cfebf5341130ad4", "c37e6af210acd4c4e6f96b078cfebf5341130ad4")</f>
        <v>0</v>
      </c>
      <c r="C36281">
        <f>HYPERLINK("https://android.googlesource.com/platform/cts/+/b33d82bf9ec2391538986a92175d89e8e1c484bf", "b33d82bf9ec2391538986a92175d89e8e1c484bf")</f>
        <v>0</v>
      </c>
      <c r="D36281" t="s">
        <v>5478</v>
      </c>
      <c r="E36281" t="s">
        <v>8646</v>
      </c>
      <c r="F36281" t="s">
        <v>14089</v>
      </c>
      <c r="G36281" t="s">
        <v>18083</v>
      </c>
      <c r="H36281" t="s">
        <v>33360</v>
      </c>
    </row>
    <row r="36282" spans="1:8">
      <c r="F36282" t="s">
        <v>14090</v>
      </c>
      <c r="G36282" t="s">
        <v>18084</v>
      </c>
      <c r="H36282" t="s">
        <v>33361</v>
      </c>
    </row>
    <row r="36283" spans="1:8">
      <c r="H36283" t="s">
        <v>33362</v>
      </c>
    </row>
    <row r="36284" spans="1:8">
      <c r="A36284" t="s">
        <v>2924</v>
      </c>
      <c r="B36284">
        <f>HYPERLINK("https://android.googlesource.com/platform/cts/+/8e95d5425443b2cae4fdeebdedd9d691f1883bf1", "8e95d5425443b2cae4fdeebdedd9d691f1883bf1")</f>
        <v>0</v>
      </c>
      <c r="C36284">
        <f>HYPERLINK("https://android.googlesource.com/platform/cts/+/b4a946ad1dc885282d578face728f4321e80ca23", "b4a946ad1dc885282d578face728f4321e80ca23")</f>
        <v>0</v>
      </c>
      <c r="D36284" t="s">
        <v>5122</v>
      </c>
      <c r="E36284" t="s">
        <v>8647</v>
      </c>
      <c r="F36284" t="s">
        <v>14091</v>
      </c>
      <c r="G36284" t="s">
        <v>17434</v>
      </c>
      <c r="H36284" t="s">
        <v>33363</v>
      </c>
    </row>
    <row r="36285" spans="1:8">
      <c r="A36285" t="s">
        <v>2925</v>
      </c>
      <c r="B36285">
        <f>HYPERLINK("https://android.googlesource.com/platform/cts/+/bd0538ddfd56ab437d3c7a950559de93a4a12aaf", "bd0538ddfd56ab437d3c7a950559de93a4a12aaf")</f>
        <v>0</v>
      </c>
      <c r="C36285">
        <f>HYPERLINK("https://android.googlesource.com/platform/cts/+/2025419bdcbc488e348a4122d463ab8b1e351e9f", "2025419bdcbc488e348a4122d463ab8b1e351e9f")</f>
        <v>0</v>
      </c>
      <c r="D36285" t="s">
        <v>5407</v>
      </c>
      <c r="E36285" t="s">
        <v>8648</v>
      </c>
      <c r="F36285" t="s">
        <v>13735</v>
      </c>
      <c r="G36285" t="s">
        <v>16637</v>
      </c>
      <c r="H36285" t="s">
        <v>33364</v>
      </c>
    </row>
    <row r="36286" spans="1:8">
      <c r="A36286" t="s">
        <v>2926</v>
      </c>
      <c r="B36286">
        <f>HYPERLINK("https://android.googlesource.com/platform/cts/+/1dfa5793dc162bc258c5195d28e1bad59d0fe9fa", "1dfa5793dc162bc258c5195d28e1bad59d0fe9fa")</f>
        <v>0</v>
      </c>
      <c r="C36286">
        <f>HYPERLINK("https://android.googlesource.com/platform/cts/+/2025419bdcbc488e348a4122d463ab8b1e351e9f", "2025419bdcbc488e348a4122d463ab8b1e351e9f")</f>
        <v>0</v>
      </c>
      <c r="D36286" t="s">
        <v>5180</v>
      </c>
      <c r="E36286" t="s">
        <v>8649</v>
      </c>
      <c r="F36286" t="s">
        <v>14092</v>
      </c>
      <c r="G36286" t="s">
        <v>18085</v>
      </c>
      <c r="H36286" t="s">
        <v>18829</v>
      </c>
    </row>
    <row r="36287" spans="1:8">
      <c r="H36287" t="s">
        <v>18863</v>
      </c>
    </row>
    <row r="36288" spans="1:8">
      <c r="H36288" t="s">
        <v>33365</v>
      </c>
    </row>
    <row r="36289" spans="1:8">
      <c r="H36289" t="s">
        <v>33366</v>
      </c>
    </row>
    <row r="36290" spans="1:8">
      <c r="A36290" t="s">
        <v>2927</v>
      </c>
      <c r="B36290">
        <f>HYPERLINK("https://android.googlesource.com/platform/cts/+/ab20fd90d03d5a788dc2b3d1f2a8612a80f90cf7", "ab20fd90d03d5a788dc2b3d1f2a8612a80f90cf7")</f>
        <v>0</v>
      </c>
      <c r="C36290">
        <f>HYPERLINK("https://android.googlesource.com/platform/cts/+/50b5446d9eb1a1eab2dc96392ad9a78dcec22dde", "50b5446d9eb1a1eab2dc96392ad9a78dcec22dde")</f>
        <v>0</v>
      </c>
      <c r="D36290" t="s">
        <v>5242</v>
      </c>
      <c r="E36290" t="s">
        <v>8650</v>
      </c>
      <c r="F36290" t="s">
        <v>13992</v>
      </c>
      <c r="G36290" t="s">
        <v>16620</v>
      </c>
      <c r="H36290" t="s">
        <v>33367</v>
      </c>
    </row>
    <row r="36291" spans="1:8">
      <c r="H36291" t="s">
        <v>33368</v>
      </c>
    </row>
    <row r="36292" spans="1:8">
      <c r="H36292" t="s">
        <v>33369</v>
      </c>
    </row>
    <row r="36293" spans="1:8">
      <c r="A36293" t="s">
        <v>2928</v>
      </c>
      <c r="B36293">
        <f>HYPERLINK("https://android.googlesource.com/platform/cts/+/520f1992ccc619171dd351009567b027ef438e06", "520f1992ccc619171dd351009567b027ef438e06")</f>
        <v>0</v>
      </c>
      <c r="C36293">
        <f>HYPERLINK("https://android.googlesource.com/platform/cts/+/18fb7fc6aa4ad85b6376959599173f49be817d0d", "18fb7fc6aa4ad85b6376959599173f49be817d0d")</f>
        <v>0</v>
      </c>
      <c r="D36293" t="s">
        <v>5180</v>
      </c>
      <c r="E36293" t="s">
        <v>8651</v>
      </c>
      <c r="F36293" t="s">
        <v>14081</v>
      </c>
      <c r="G36293" t="s">
        <v>18078</v>
      </c>
      <c r="H36293" t="s">
        <v>33370</v>
      </c>
    </row>
    <row r="36294" spans="1:8">
      <c r="A36294" t="s">
        <v>2929</v>
      </c>
      <c r="B36294">
        <f>HYPERLINK("https://android.googlesource.com/platform/cts/+/ab709cf6cd9b61a4f446bafa4e6ab068cccb2d33", "ab709cf6cd9b61a4f446bafa4e6ab068cccb2d33")</f>
        <v>0</v>
      </c>
      <c r="C36294">
        <f>HYPERLINK("https://android.googlesource.com/platform/cts/+/2113a53894ecab8e5dfe11aee8d0dfb9a668b664", "2113a53894ecab8e5dfe11aee8d0dfb9a668b664")</f>
        <v>0</v>
      </c>
      <c r="D36294" t="s">
        <v>5338</v>
      </c>
      <c r="E36294" t="s">
        <v>8652</v>
      </c>
      <c r="F36294" t="s">
        <v>13905</v>
      </c>
      <c r="G36294" t="s">
        <v>17942</v>
      </c>
      <c r="H36294" t="s">
        <v>33371</v>
      </c>
    </row>
    <row r="36295" spans="1:8">
      <c r="H36295" t="s">
        <v>33372</v>
      </c>
    </row>
    <row r="36296" spans="1:8">
      <c r="H36296" t="s">
        <v>33373</v>
      </c>
    </row>
    <row r="36297" spans="1:8">
      <c r="H36297" t="s">
        <v>33374</v>
      </c>
    </row>
    <row r="36298" spans="1:8">
      <c r="A36298" t="s">
        <v>2930</v>
      </c>
      <c r="B36298">
        <f>HYPERLINK("https://android.googlesource.com/platform/cts/+/ef0c2b9a077883f17b5c2390b7db37d25b73f735", "ef0c2b9a077883f17b5c2390b7db37d25b73f735")</f>
        <v>0</v>
      </c>
      <c r="C36298">
        <f>HYPERLINK("https://android.googlesource.com/platform/cts/+/d5730f64bbcbedf104ba69c108f4cb3aee945ba1", "d5730f64bbcbedf104ba69c108f4cb3aee945ba1")</f>
        <v>0</v>
      </c>
      <c r="D36298" t="s">
        <v>5290</v>
      </c>
      <c r="E36298" t="s">
        <v>8653</v>
      </c>
      <c r="F36298" t="s">
        <v>13815</v>
      </c>
      <c r="G36298" t="s">
        <v>17862</v>
      </c>
      <c r="H36298" t="s">
        <v>33375</v>
      </c>
    </row>
    <row r="36299" spans="1:8">
      <c r="H36299" t="s">
        <v>33376</v>
      </c>
    </row>
    <row r="36300" spans="1:8">
      <c r="F36300" t="s">
        <v>12743</v>
      </c>
      <c r="G36300" t="s">
        <v>16935</v>
      </c>
      <c r="H36300" t="s">
        <v>33377</v>
      </c>
    </row>
    <row r="36301" spans="1:8">
      <c r="A36301" t="s">
        <v>2931</v>
      </c>
      <c r="B36301">
        <f>HYPERLINK("https://android.googlesource.com/platform/cts/+/a94ef9c538400857aa3077afcb071fb012262604", "a94ef9c538400857aa3077afcb071fb012262604")</f>
        <v>0</v>
      </c>
      <c r="C36301">
        <f>HYPERLINK("https://android.googlesource.com/platform/cts/+/23c1a0d6c34f4e3f8112d365cb5ec7b587727380", "23c1a0d6c34f4e3f8112d365cb5ec7b587727380")</f>
        <v>0</v>
      </c>
      <c r="D36301" t="s">
        <v>5396</v>
      </c>
      <c r="E36301" t="s">
        <v>8654</v>
      </c>
      <c r="F36301" t="s">
        <v>14093</v>
      </c>
      <c r="G36301" t="s">
        <v>18086</v>
      </c>
      <c r="H36301" t="s">
        <v>33378</v>
      </c>
    </row>
    <row r="36302" spans="1:8">
      <c r="H36302" t="s">
        <v>33379</v>
      </c>
    </row>
    <row r="36303" spans="1:8">
      <c r="A36303" t="s">
        <v>2932</v>
      </c>
      <c r="B36303">
        <f>HYPERLINK("https://android.googlesource.com/platform/cts/+/5e66c6e4dbdf532961c5a407eed5960a4fe2bd92", "5e66c6e4dbdf532961c5a407eed5960a4fe2bd92")</f>
        <v>0</v>
      </c>
      <c r="C36303">
        <f>HYPERLINK("https://android.googlesource.com/platform/cts/+/289ff4ab29a264d8291744a0f950b2828e5dd9d5", "289ff4ab29a264d8291744a0f950b2828e5dd9d5")</f>
        <v>0</v>
      </c>
      <c r="D36303" t="s">
        <v>5472</v>
      </c>
      <c r="E36303" t="s">
        <v>8655</v>
      </c>
      <c r="F36303" t="s">
        <v>14094</v>
      </c>
      <c r="G36303" t="s">
        <v>18087</v>
      </c>
      <c r="H36303" t="s">
        <v>33380</v>
      </c>
    </row>
    <row r="36304" spans="1:8">
      <c r="F36304" t="s">
        <v>12428</v>
      </c>
      <c r="G36304" t="s">
        <v>16619</v>
      </c>
      <c r="H36304" t="s">
        <v>33381</v>
      </c>
    </row>
    <row r="36305" spans="1:8">
      <c r="A36305" t="s">
        <v>2933</v>
      </c>
      <c r="B36305">
        <f>HYPERLINK("https://android.googlesource.com/platform/cts/+/7c938c4e986306ba76d220a3ead9183078ca87c6", "7c938c4e986306ba76d220a3ead9183078ca87c6")</f>
        <v>0</v>
      </c>
      <c r="C36305">
        <f>HYPERLINK("https://android.googlesource.com/platform/cts/+/cdef6b12a36a4d423ea29457d47be44e55bfbbb2", "cdef6b12a36a4d423ea29457d47be44e55bfbbb2")</f>
        <v>0</v>
      </c>
      <c r="D36305" t="s">
        <v>5304</v>
      </c>
      <c r="E36305" t="s">
        <v>8656</v>
      </c>
      <c r="F36305" t="s">
        <v>14095</v>
      </c>
      <c r="G36305" t="s">
        <v>18088</v>
      </c>
      <c r="H36305" t="s">
        <v>33382</v>
      </c>
    </row>
    <row r="36306" spans="1:8">
      <c r="H36306" t="s">
        <v>33383</v>
      </c>
    </row>
    <row r="36307" spans="1:8">
      <c r="A36307" t="s">
        <v>2934</v>
      </c>
      <c r="B36307">
        <f>HYPERLINK("https://android.googlesource.com/platform/cts/+/b24bbd5b2145d658fb5ba48f3815ffc4de5d5209", "b24bbd5b2145d658fb5ba48f3815ffc4de5d5209")</f>
        <v>0</v>
      </c>
      <c r="C36307">
        <f>HYPERLINK("https://android.googlesource.com/platform/cts/+/d4d523686429f0bbe2484d8d24652f671c53f310", "d4d523686429f0bbe2484d8d24652f671c53f310")</f>
        <v>0</v>
      </c>
      <c r="D36307" t="s">
        <v>5240</v>
      </c>
      <c r="E36307" t="s">
        <v>8657</v>
      </c>
      <c r="F36307" t="s">
        <v>13671</v>
      </c>
      <c r="G36307" t="s">
        <v>17743</v>
      </c>
      <c r="H36307" t="s">
        <v>33384</v>
      </c>
    </row>
    <row r="36308" spans="1:8">
      <c r="H36308" t="s">
        <v>33385</v>
      </c>
    </row>
    <row r="36309" spans="1:8">
      <c r="H36309" t="s">
        <v>33386</v>
      </c>
    </row>
    <row r="36310" spans="1:8">
      <c r="H36310" t="s">
        <v>33387</v>
      </c>
    </row>
    <row r="36311" spans="1:8">
      <c r="H36311" t="s">
        <v>33388</v>
      </c>
    </row>
    <row r="36312" spans="1:8">
      <c r="H36312" t="s">
        <v>33389</v>
      </c>
    </row>
    <row r="36313" spans="1:8">
      <c r="H36313" t="s">
        <v>33390</v>
      </c>
    </row>
    <row r="36314" spans="1:8">
      <c r="H36314" t="s">
        <v>33391</v>
      </c>
    </row>
    <row r="36315" spans="1:8">
      <c r="H36315" t="s">
        <v>33392</v>
      </c>
    </row>
    <row r="36316" spans="1:8">
      <c r="H36316" t="s">
        <v>33393</v>
      </c>
    </row>
    <row r="36317" spans="1:8">
      <c r="A36317" t="s">
        <v>2935</v>
      </c>
      <c r="B36317">
        <f>HYPERLINK("https://android.googlesource.com/platform/cts/+/8b68f3d8ec44b131c9ddc99ad04f1e9ee2a3aa9a", "8b68f3d8ec44b131c9ddc99ad04f1e9ee2a3aa9a")</f>
        <v>0</v>
      </c>
      <c r="C36317">
        <f>HYPERLINK("https://android.googlesource.com/platform/cts/+/b24bbd5b2145d658fb5ba48f3815ffc4de5d5209", "b24bbd5b2145d658fb5ba48f3815ffc4de5d5209")</f>
        <v>0</v>
      </c>
      <c r="D36317" t="s">
        <v>5240</v>
      </c>
      <c r="E36317" t="s">
        <v>8658</v>
      </c>
      <c r="F36317" t="s">
        <v>14096</v>
      </c>
      <c r="G36317" t="s">
        <v>18089</v>
      </c>
      <c r="H36317" t="s">
        <v>18829</v>
      </c>
    </row>
    <row r="36318" spans="1:8">
      <c r="H36318" t="s">
        <v>33394</v>
      </c>
    </row>
    <row r="36319" spans="1:8">
      <c r="H36319" t="s">
        <v>33395</v>
      </c>
    </row>
    <row r="36320" spans="1:8">
      <c r="H36320" t="s">
        <v>33396</v>
      </c>
    </row>
    <row r="36321" spans="1:8">
      <c r="A36321" t="s">
        <v>2936</v>
      </c>
      <c r="B36321">
        <f>HYPERLINK("https://android.googlesource.com/platform/cts/+/b08673c860b5d606b94c56519686eca44e396323", "b08673c860b5d606b94c56519686eca44e396323")</f>
        <v>0</v>
      </c>
      <c r="C36321">
        <f>HYPERLINK("https://android.googlesource.com/platform/cts/+/f6273f59c5cab98bdc17d6657d38d76500432244", "f6273f59c5cab98bdc17d6657d38d76500432244")</f>
        <v>0</v>
      </c>
      <c r="D36321" t="s">
        <v>4974</v>
      </c>
      <c r="E36321" t="s">
        <v>8659</v>
      </c>
      <c r="F36321" t="s">
        <v>12710</v>
      </c>
      <c r="G36321" t="s">
        <v>16911</v>
      </c>
      <c r="H36321" t="s">
        <v>33397</v>
      </c>
    </row>
    <row r="36322" spans="1:8">
      <c r="A36322" t="s">
        <v>2937</v>
      </c>
      <c r="B36322">
        <f>HYPERLINK("https://android.googlesource.com/platform/cts/+/4b345f0bcd931f989f3d37703c14d7dfd8450e26", "4b345f0bcd931f989f3d37703c14d7dfd8450e26")</f>
        <v>0</v>
      </c>
      <c r="C36322">
        <f>HYPERLINK("https://android.googlesource.com/platform/cts/+/406223ac325fd15dc5d435c2ae0426d67bea0f95", "406223ac325fd15dc5d435c2ae0426d67bea0f95")</f>
        <v>0</v>
      </c>
      <c r="D36322" t="s">
        <v>5478</v>
      </c>
      <c r="E36322" t="s">
        <v>8660</v>
      </c>
      <c r="F36322" t="s">
        <v>13333</v>
      </c>
      <c r="G36322" t="s">
        <v>17463</v>
      </c>
      <c r="H36322" t="s">
        <v>33398</v>
      </c>
    </row>
    <row r="36323" spans="1:8">
      <c r="A36323" t="s">
        <v>2938</v>
      </c>
      <c r="B36323">
        <f>HYPERLINK("https://android.googlesource.com/platform/cts/+/c3931621feaa87ba2faf5b03eb06e526b6602275", "c3931621feaa87ba2faf5b03eb06e526b6602275")</f>
        <v>0</v>
      </c>
      <c r="C36323">
        <f>HYPERLINK("https://android.googlesource.com/platform/cts/+/406223ac325fd15dc5d435c2ae0426d67bea0f95", "406223ac325fd15dc5d435c2ae0426d67bea0f95")</f>
        <v>0</v>
      </c>
      <c r="D36323" t="s">
        <v>5478</v>
      </c>
      <c r="E36323" t="s">
        <v>8661</v>
      </c>
      <c r="F36323" t="s">
        <v>13333</v>
      </c>
      <c r="G36323" t="s">
        <v>17463</v>
      </c>
      <c r="H36323" t="s">
        <v>33399</v>
      </c>
    </row>
    <row r="36324" spans="1:8">
      <c r="A36324" t="s">
        <v>2939</v>
      </c>
      <c r="B36324">
        <f>HYPERLINK("https://android.googlesource.com/platform/cts/+/eefa272dae568708e4bec411af705975a40e5e30", "eefa272dae568708e4bec411af705975a40e5e30")</f>
        <v>0</v>
      </c>
      <c r="C36324">
        <f>HYPERLINK("https://android.googlesource.com/platform/cts/+/6be026441473468658fe33367e1cfea99432be4b", "6be026441473468658fe33367e1cfea99432be4b")</f>
        <v>0</v>
      </c>
      <c r="D36324" t="s">
        <v>5240</v>
      </c>
      <c r="E36324" t="s">
        <v>8662</v>
      </c>
      <c r="F36324" t="s">
        <v>13671</v>
      </c>
      <c r="G36324" t="s">
        <v>17743</v>
      </c>
      <c r="H36324" t="s">
        <v>33384</v>
      </c>
    </row>
    <row r="36325" spans="1:8">
      <c r="H36325" t="s">
        <v>33385</v>
      </c>
    </row>
    <row r="36326" spans="1:8">
      <c r="H36326" t="s">
        <v>33386</v>
      </c>
    </row>
    <row r="36327" spans="1:8">
      <c r="H36327" t="s">
        <v>33387</v>
      </c>
    </row>
    <row r="36328" spans="1:8">
      <c r="H36328" t="s">
        <v>33388</v>
      </c>
    </row>
    <row r="36329" spans="1:8">
      <c r="H36329" t="s">
        <v>33389</v>
      </c>
    </row>
    <row r="36330" spans="1:8">
      <c r="H36330" t="s">
        <v>33390</v>
      </c>
    </row>
    <row r="36331" spans="1:8">
      <c r="H36331" t="s">
        <v>33391</v>
      </c>
    </row>
    <row r="36332" spans="1:8">
      <c r="H36332" t="s">
        <v>33392</v>
      </c>
    </row>
    <row r="36333" spans="1:8">
      <c r="H36333" t="s">
        <v>33393</v>
      </c>
    </row>
    <row r="36334" spans="1:8">
      <c r="A36334" t="s">
        <v>2940</v>
      </c>
      <c r="B36334">
        <f>HYPERLINK("https://android.googlesource.com/platform/cts/+/017b729f5700e2bf607ab356021118d9a241984c", "017b729f5700e2bf607ab356021118d9a241984c")</f>
        <v>0</v>
      </c>
      <c r="C36334">
        <f>HYPERLINK("https://android.googlesource.com/platform/cts/+/d6830da127772478ec2feeb562d9f4a26d7fe0f5", "d6830da127772478ec2feeb562d9f4a26d7fe0f5")</f>
        <v>0</v>
      </c>
      <c r="D36334" t="s">
        <v>5417</v>
      </c>
      <c r="E36334" t="s">
        <v>8663</v>
      </c>
      <c r="F36334" t="s">
        <v>14097</v>
      </c>
      <c r="G36334" t="s">
        <v>18090</v>
      </c>
      <c r="H36334" t="s">
        <v>18829</v>
      </c>
    </row>
    <row r="36335" spans="1:8">
      <c r="H36335" t="s">
        <v>18863</v>
      </c>
    </row>
    <row r="36336" spans="1:8">
      <c r="H36336" t="s">
        <v>33400</v>
      </c>
    </row>
    <row r="36337" spans="1:8">
      <c r="H36337" t="s">
        <v>33401</v>
      </c>
    </row>
    <row r="36338" spans="1:8">
      <c r="H36338" t="s">
        <v>32811</v>
      </c>
    </row>
    <row r="36339" spans="1:8">
      <c r="H36339" t="s">
        <v>33402</v>
      </c>
    </row>
    <row r="36340" spans="1:8">
      <c r="H36340" t="s">
        <v>33403</v>
      </c>
    </row>
    <row r="36341" spans="1:8">
      <c r="F36341" t="s">
        <v>14098</v>
      </c>
      <c r="G36341" t="s">
        <v>18091</v>
      </c>
      <c r="H36341" t="s">
        <v>19013</v>
      </c>
    </row>
    <row r="36342" spans="1:8">
      <c r="H36342" t="s">
        <v>18835</v>
      </c>
    </row>
    <row r="36343" spans="1:8">
      <c r="H36343" t="s">
        <v>33404</v>
      </c>
    </row>
    <row r="36344" spans="1:8">
      <c r="H36344" t="s">
        <v>33405</v>
      </c>
    </row>
    <row r="36345" spans="1:8">
      <c r="H36345" t="s">
        <v>33406</v>
      </c>
    </row>
    <row r="36346" spans="1:8">
      <c r="F36346" t="s">
        <v>14033</v>
      </c>
      <c r="G36346" t="s">
        <v>18030</v>
      </c>
      <c r="H36346" t="s">
        <v>33407</v>
      </c>
    </row>
    <row r="36347" spans="1:8">
      <c r="A36347" t="s">
        <v>2941</v>
      </c>
      <c r="B36347">
        <f>HYPERLINK("https://android.googlesource.com/platform/cts/+/296e7e5abdda5550b8b9c4775241abe5bb0e1282", "296e7e5abdda5550b8b9c4775241abe5bb0e1282")</f>
        <v>0</v>
      </c>
      <c r="C36347">
        <f>HYPERLINK("https://android.googlesource.com/platform/cts/+/39179f9fe9525673d9f8cf7894359d499791a337", "39179f9fe9525673d9f8cf7894359d499791a337")</f>
        <v>0</v>
      </c>
      <c r="D36347" t="s">
        <v>5479</v>
      </c>
      <c r="E36347" t="s">
        <v>8664</v>
      </c>
      <c r="F36347" t="s">
        <v>13905</v>
      </c>
      <c r="G36347" t="s">
        <v>17942</v>
      </c>
      <c r="H36347" t="s">
        <v>33408</v>
      </c>
    </row>
    <row r="36348" spans="1:8">
      <c r="H36348" t="s">
        <v>33409</v>
      </c>
    </row>
    <row r="36349" spans="1:8">
      <c r="H36349" t="s">
        <v>33410</v>
      </c>
    </row>
    <row r="36350" spans="1:8">
      <c r="H36350" t="s">
        <v>33411</v>
      </c>
    </row>
    <row r="36351" spans="1:8">
      <c r="H36351" t="s">
        <v>33412</v>
      </c>
    </row>
    <row r="36352" spans="1:8">
      <c r="H36352" t="s">
        <v>33413</v>
      </c>
    </row>
    <row r="36353" spans="8:8">
      <c r="H36353" t="s">
        <v>33414</v>
      </c>
    </row>
    <row r="36354" spans="8:8">
      <c r="H36354" t="s">
        <v>33415</v>
      </c>
    </row>
    <row r="36355" spans="8:8">
      <c r="H36355" t="s">
        <v>33416</v>
      </c>
    </row>
    <row r="36356" spans="8:8">
      <c r="H36356" t="s">
        <v>33417</v>
      </c>
    </row>
    <row r="36357" spans="8:8">
      <c r="H36357" t="s">
        <v>33082</v>
      </c>
    </row>
    <row r="36358" spans="8:8">
      <c r="H36358" t="s">
        <v>33418</v>
      </c>
    </row>
    <row r="36359" spans="8:8">
      <c r="H36359" t="s">
        <v>33419</v>
      </c>
    </row>
    <row r="36360" spans="8:8">
      <c r="H36360" t="s">
        <v>33420</v>
      </c>
    </row>
    <row r="36361" spans="8:8">
      <c r="H36361" t="s">
        <v>33421</v>
      </c>
    </row>
    <row r="36362" spans="8:8">
      <c r="H36362" t="s">
        <v>33422</v>
      </c>
    </row>
    <row r="36363" spans="8:8">
      <c r="H36363" t="s">
        <v>33423</v>
      </c>
    </row>
    <row r="36364" spans="8:8">
      <c r="H36364" t="s">
        <v>33424</v>
      </c>
    </row>
    <row r="36365" spans="8:8">
      <c r="H36365" t="s">
        <v>33425</v>
      </c>
    </row>
    <row r="36366" spans="8:8">
      <c r="H36366" t="s">
        <v>33426</v>
      </c>
    </row>
    <row r="36367" spans="8:8">
      <c r="H36367" t="s">
        <v>33427</v>
      </c>
    </row>
    <row r="36368" spans="8:8">
      <c r="H36368" t="s">
        <v>33428</v>
      </c>
    </row>
    <row r="36369" spans="8:8">
      <c r="H36369" t="s">
        <v>33429</v>
      </c>
    </row>
    <row r="36370" spans="8:8">
      <c r="H36370" t="s">
        <v>33430</v>
      </c>
    </row>
    <row r="36371" spans="8:8">
      <c r="H36371" t="s">
        <v>33431</v>
      </c>
    </row>
    <row r="36372" spans="8:8">
      <c r="H36372" t="s">
        <v>33432</v>
      </c>
    </row>
    <row r="36373" spans="8:8">
      <c r="H36373" t="s">
        <v>33433</v>
      </c>
    </row>
    <row r="36374" spans="8:8">
      <c r="H36374" t="s">
        <v>33434</v>
      </c>
    </row>
    <row r="36375" spans="8:8">
      <c r="H36375" t="s">
        <v>33435</v>
      </c>
    </row>
    <row r="36376" spans="8:8">
      <c r="H36376" t="s">
        <v>33436</v>
      </c>
    </row>
    <row r="36377" spans="8:8">
      <c r="H36377" t="s">
        <v>33437</v>
      </c>
    </row>
    <row r="36378" spans="8:8">
      <c r="H36378" t="s">
        <v>33438</v>
      </c>
    </row>
    <row r="36379" spans="8:8">
      <c r="H36379" t="s">
        <v>33439</v>
      </c>
    </row>
    <row r="36380" spans="8:8">
      <c r="H36380" t="s">
        <v>33440</v>
      </c>
    </row>
    <row r="36381" spans="8:8">
      <c r="H36381" t="s">
        <v>33441</v>
      </c>
    </row>
    <row r="36382" spans="8:8">
      <c r="H36382" t="s">
        <v>33442</v>
      </c>
    </row>
    <row r="36383" spans="8:8">
      <c r="H36383" t="s">
        <v>33443</v>
      </c>
    </row>
    <row r="36384" spans="8:8">
      <c r="H36384" t="s">
        <v>33444</v>
      </c>
    </row>
    <row r="36385" spans="1:8">
      <c r="H36385" t="s">
        <v>33445</v>
      </c>
    </row>
    <row r="36386" spans="1:8">
      <c r="A36386" t="s">
        <v>2942</v>
      </c>
      <c r="B36386">
        <f>HYPERLINK("https://android.googlesource.com/platform/cts/+/31e4b3cd939bd20031054c8dce2319eccbb773dd", "31e4b3cd939bd20031054c8dce2319eccbb773dd")</f>
        <v>0</v>
      </c>
      <c r="C36386">
        <f>HYPERLINK("https://android.googlesource.com/platform/cts/+/d0c36a387b664cfcbdefb8f8190d93b499ebd591", "d0c36a387b664cfcbdefb8f8190d93b499ebd591")</f>
        <v>0</v>
      </c>
      <c r="D36386" t="s">
        <v>5472</v>
      </c>
      <c r="E36386" t="s">
        <v>8665</v>
      </c>
      <c r="F36386" t="s">
        <v>14099</v>
      </c>
      <c r="G36386" t="s">
        <v>18092</v>
      </c>
      <c r="H36386" t="s">
        <v>33446</v>
      </c>
    </row>
    <row r="36387" spans="1:8">
      <c r="A36387" t="s">
        <v>2943</v>
      </c>
      <c r="B36387">
        <f>HYPERLINK("https://android.googlesource.com/platform/cts/+/7c1c399bba79cba5c9ac65a55a63ee29be61523e", "7c1c399bba79cba5c9ac65a55a63ee29be61523e")</f>
        <v>0</v>
      </c>
      <c r="C36387">
        <f>HYPERLINK("https://android.googlesource.com/platform/cts/+/f655ff4c520f5fa28792c769d4e3b3dc48d4ca5a", "f655ff4c520f5fa28792c769d4e3b3dc48d4ca5a")</f>
        <v>0</v>
      </c>
      <c r="D36387" t="s">
        <v>4974</v>
      </c>
      <c r="E36387" t="s">
        <v>8666</v>
      </c>
      <c r="F36387" t="s">
        <v>12710</v>
      </c>
      <c r="G36387" t="s">
        <v>16911</v>
      </c>
      <c r="H36387" t="s">
        <v>33397</v>
      </c>
    </row>
    <row r="36388" spans="1:8">
      <c r="A36388" t="s">
        <v>2944</v>
      </c>
      <c r="B36388">
        <f>HYPERLINK("https://android.googlesource.com/platform/cts/+/8e89f7c49796f1821284b07499521bdc89cf3753", "8e89f7c49796f1821284b07499521bdc89cf3753")</f>
        <v>0</v>
      </c>
      <c r="C36388">
        <f>HYPERLINK("https://android.googlesource.com/platform/cts/+/c0860a39399b1b21f01ee2811d005dabcd426818", "c0860a39399b1b21f01ee2811d005dabcd426818")</f>
        <v>0</v>
      </c>
      <c r="D36388" t="s">
        <v>5480</v>
      </c>
      <c r="E36388" t="s">
        <v>8667</v>
      </c>
      <c r="F36388" t="s">
        <v>13850</v>
      </c>
      <c r="G36388" t="s">
        <v>16816</v>
      </c>
      <c r="H36388" t="s">
        <v>33245</v>
      </c>
    </row>
    <row r="36389" spans="1:8">
      <c r="A36389" t="s">
        <v>2945</v>
      </c>
      <c r="B36389">
        <f>HYPERLINK("https://android.googlesource.com/platform/cts/+/04fdb712cc0a3ea8896514349d37e4a0191fbf32", "04fdb712cc0a3ea8896514349d37e4a0191fbf32")</f>
        <v>0</v>
      </c>
      <c r="C36389">
        <f>HYPERLINK("https://android.googlesource.com/platform/cts/+/86cf4c186997e5ee64903822b019118c7df7c804", "86cf4c186997e5ee64903822b019118c7df7c804")</f>
        <v>0</v>
      </c>
      <c r="D36389" t="s">
        <v>4974</v>
      </c>
      <c r="E36389" t="s">
        <v>8543</v>
      </c>
      <c r="F36389" t="s">
        <v>10778</v>
      </c>
      <c r="G36389" t="s">
        <v>15174</v>
      </c>
      <c r="H36389" t="s">
        <v>33045</v>
      </c>
    </row>
    <row r="36390" spans="1:8">
      <c r="A36390" t="s">
        <v>2946</v>
      </c>
      <c r="B36390">
        <f>HYPERLINK("https://android.googlesource.com/platform/cts/+/a1071dc78c3741454743353e4a9e1165de3fc008", "a1071dc78c3741454743353e4a9e1165de3fc008")</f>
        <v>0</v>
      </c>
      <c r="C36390">
        <f>HYPERLINK("https://android.googlesource.com/platform/cts/+/eab6590c2114bf2246357671b2627fe94103dc68", "eab6590c2114bf2246357671b2627fe94103dc68")</f>
        <v>0</v>
      </c>
      <c r="D36390" t="s">
        <v>4974</v>
      </c>
      <c r="E36390" t="s">
        <v>8668</v>
      </c>
      <c r="F36390" t="s">
        <v>10778</v>
      </c>
      <c r="G36390" t="s">
        <v>15174</v>
      </c>
      <c r="H36390" t="s">
        <v>33045</v>
      </c>
    </row>
    <row r="36391" spans="1:8">
      <c r="A36391" t="s">
        <v>2947</v>
      </c>
      <c r="B36391">
        <f>HYPERLINK("https://android.googlesource.com/platform/cts/+/aecdd4554625022277deee46dfe377840f013329", "aecdd4554625022277deee46dfe377840f013329")</f>
        <v>0</v>
      </c>
      <c r="C36391">
        <f>HYPERLINK("https://android.googlesource.com/platform/cts/+/9765deeb315ec9aa36eb0c0a4a5918e3334e4f72", "9765deeb315ec9aa36eb0c0a4a5918e3334e4f72")</f>
        <v>0</v>
      </c>
      <c r="D36391" t="s">
        <v>5481</v>
      </c>
      <c r="E36391" t="s">
        <v>8669</v>
      </c>
      <c r="F36391" t="s">
        <v>14014</v>
      </c>
      <c r="G36391" t="s">
        <v>18026</v>
      </c>
      <c r="H36391" t="s">
        <v>33447</v>
      </c>
    </row>
    <row r="36392" spans="1:8">
      <c r="H36392" t="s">
        <v>19972</v>
      </c>
    </row>
    <row r="36393" spans="1:8">
      <c r="A36393" t="s">
        <v>2948</v>
      </c>
      <c r="B36393">
        <f>HYPERLINK("https://android.googlesource.com/platform/cts/+/b921d0cf4244c8d928c6f0ed0d666c1351e456d2", "b921d0cf4244c8d928c6f0ed0d666c1351e456d2")</f>
        <v>0</v>
      </c>
      <c r="C36393">
        <f>HYPERLINK("https://android.googlesource.com/platform/cts/+/59cff3646ce9d47e58b70bef0fe08d171041291c", "59cff3646ce9d47e58b70bef0fe08d171041291c")</f>
        <v>0</v>
      </c>
      <c r="D36393" t="s">
        <v>5359</v>
      </c>
      <c r="E36393" t="s">
        <v>8670</v>
      </c>
      <c r="F36393" t="s">
        <v>13398</v>
      </c>
      <c r="G36393" t="s">
        <v>17524</v>
      </c>
      <c r="H36393" t="s">
        <v>33448</v>
      </c>
    </row>
    <row r="36394" spans="1:8">
      <c r="H36394" t="s">
        <v>33449</v>
      </c>
    </row>
    <row r="36395" spans="1:8">
      <c r="A36395" t="s">
        <v>2949</v>
      </c>
      <c r="B36395">
        <f>HYPERLINK("https://android.googlesource.com/platform/cts/+/810aa6c6a05af74625caf94fb2636a828ff92968", "810aa6c6a05af74625caf94fb2636a828ff92968")</f>
        <v>0</v>
      </c>
      <c r="C36395">
        <f>HYPERLINK("https://android.googlesource.com/platform/cts/+/9ce8b4db0fb808fd509932777cdefc9be30b13aa", "9ce8b4db0fb808fd509932777cdefc9be30b13aa")</f>
        <v>0</v>
      </c>
      <c r="D36395" t="s">
        <v>5368</v>
      </c>
      <c r="E36395" t="s">
        <v>8671</v>
      </c>
      <c r="F36395" t="s">
        <v>14100</v>
      </c>
      <c r="G36395" t="s">
        <v>18093</v>
      </c>
      <c r="H36395" t="s">
        <v>33450</v>
      </c>
    </row>
    <row r="36396" spans="1:8">
      <c r="A36396" t="s">
        <v>2950</v>
      </c>
      <c r="B36396">
        <f>HYPERLINK("https://android.googlesource.com/platform/cts/+/aa82206e806bb4cb9dbbf4b5216c99f3756fd56e", "aa82206e806bb4cb9dbbf4b5216c99f3756fd56e")</f>
        <v>0</v>
      </c>
      <c r="C36396">
        <f>HYPERLINK("https://android.googlesource.com/platform/cts/+/7a52b8ad86fa0d0a5c18e3ced30aaf901bb54274", "7a52b8ad86fa0d0a5c18e3ced30aaf901bb54274")</f>
        <v>0</v>
      </c>
      <c r="D36396" t="s">
        <v>5265</v>
      </c>
      <c r="E36396" t="s">
        <v>8672</v>
      </c>
      <c r="F36396" t="s">
        <v>14101</v>
      </c>
      <c r="G36396" t="s">
        <v>18094</v>
      </c>
      <c r="H36396" t="s">
        <v>33451</v>
      </c>
    </row>
    <row r="36397" spans="1:8">
      <c r="H36397" t="s">
        <v>32846</v>
      </c>
    </row>
    <row r="36398" spans="1:8">
      <c r="H36398" t="s">
        <v>32847</v>
      </c>
    </row>
    <row r="36399" spans="1:8">
      <c r="A36399" t="s">
        <v>2951</v>
      </c>
      <c r="B36399">
        <f>HYPERLINK("https://android.googlesource.com/platform/cts/+/d4d90fbf34d66c26950684558cddf0136a47097c", "d4d90fbf34d66c26950684558cddf0136a47097c")</f>
        <v>0</v>
      </c>
      <c r="C36399">
        <f>HYPERLINK("https://android.googlesource.com/platform/cts/+/6f6e377486a63ebae64d2388ca802ca411f2cd35", "6f6e377486a63ebae64d2388ca802ca411f2cd35")</f>
        <v>0</v>
      </c>
      <c r="D36399" t="s">
        <v>5482</v>
      </c>
      <c r="E36399" t="s">
        <v>8673</v>
      </c>
      <c r="F36399" t="s">
        <v>14102</v>
      </c>
      <c r="G36399" t="s">
        <v>18095</v>
      </c>
      <c r="H36399" t="s">
        <v>33452</v>
      </c>
    </row>
    <row r="36400" spans="1:8">
      <c r="H36400" t="s">
        <v>33453</v>
      </c>
    </row>
    <row r="36401" spans="1:8">
      <c r="A36401" t="s">
        <v>2952</v>
      </c>
      <c r="B36401">
        <f>HYPERLINK("https://android.googlesource.com/platform/cts/+/62d18834ab13a1bc7961c96629b229a0e9f92c66", "62d18834ab13a1bc7961c96629b229a0e9f92c66")</f>
        <v>0</v>
      </c>
      <c r="C36401">
        <f>HYPERLINK("https://android.googlesource.com/platform/cts/+/9765deeb315ec9aa36eb0c0a4a5918e3334e4f72", "9765deeb315ec9aa36eb0c0a4a5918e3334e4f72")</f>
        <v>0</v>
      </c>
      <c r="D36401" t="s">
        <v>5478</v>
      </c>
      <c r="E36401" t="s">
        <v>8674</v>
      </c>
      <c r="F36401" t="s">
        <v>13333</v>
      </c>
      <c r="G36401" t="s">
        <v>17463</v>
      </c>
      <c r="H36401" t="s">
        <v>33454</v>
      </c>
    </row>
    <row r="36402" spans="1:8">
      <c r="H36402" t="s">
        <v>33455</v>
      </c>
    </row>
    <row r="36403" spans="1:8">
      <c r="F36403" t="s">
        <v>12232</v>
      </c>
      <c r="G36403" t="s">
        <v>16462</v>
      </c>
      <c r="H36403" t="s">
        <v>33456</v>
      </c>
    </row>
    <row r="36404" spans="1:8">
      <c r="F36404" t="s">
        <v>14103</v>
      </c>
      <c r="G36404" t="s">
        <v>18096</v>
      </c>
      <c r="H36404" t="s">
        <v>33457</v>
      </c>
    </row>
    <row r="36405" spans="1:8">
      <c r="F36405" t="s">
        <v>14104</v>
      </c>
      <c r="G36405" t="s">
        <v>18097</v>
      </c>
      <c r="H36405" t="s">
        <v>33457</v>
      </c>
    </row>
    <row r="36406" spans="1:8">
      <c r="F36406" t="s">
        <v>14105</v>
      </c>
      <c r="G36406" t="s">
        <v>18098</v>
      </c>
      <c r="H36406" t="s">
        <v>33457</v>
      </c>
    </row>
    <row r="36407" spans="1:8">
      <c r="A36407" t="s">
        <v>2953</v>
      </c>
      <c r="B36407">
        <f>HYPERLINK("https://android.googlesource.com/platform/cts/+/e87f56d4afe5b9a429b337ebb916ea3eed9f00e5", "e87f56d4afe5b9a429b337ebb916ea3eed9f00e5")</f>
        <v>0</v>
      </c>
      <c r="C36407">
        <f>HYPERLINK("https://android.googlesource.com/platform/cts/+/8294b2b33f5b9d6030b030a3751bb2cd2f2fac31", "8294b2b33f5b9d6030b030a3751bb2cd2f2fac31")</f>
        <v>0</v>
      </c>
      <c r="D36407" t="s">
        <v>5359</v>
      </c>
      <c r="E36407" t="s">
        <v>8675</v>
      </c>
      <c r="F36407" t="s">
        <v>13398</v>
      </c>
      <c r="G36407" t="s">
        <v>17524</v>
      </c>
      <c r="H36407" t="s">
        <v>33458</v>
      </c>
    </row>
    <row r="36408" spans="1:8">
      <c r="H36408" t="s">
        <v>33459</v>
      </c>
    </row>
    <row r="36409" spans="1:8">
      <c r="A36409" t="s">
        <v>2954</v>
      </c>
      <c r="B36409">
        <f>HYPERLINK("https://android.googlesource.com/platform/cts/+/dc839870f59061496be9802300e66571a24b5f36", "dc839870f59061496be9802300e66571a24b5f36")</f>
        <v>0</v>
      </c>
      <c r="C36409">
        <f>HYPERLINK("https://android.googlesource.com/platform/cts/+/4c8c74ec344f9954e39141f1652074e12ab9db96", "4c8c74ec344f9954e39141f1652074e12ab9db96")</f>
        <v>0</v>
      </c>
      <c r="D36409" t="s">
        <v>5483</v>
      </c>
      <c r="E36409" t="s">
        <v>8676</v>
      </c>
      <c r="F36409" t="s">
        <v>14106</v>
      </c>
      <c r="G36409" t="s">
        <v>18099</v>
      </c>
      <c r="H36409" t="s">
        <v>33460</v>
      </c>
    </row>
    <row r="36410" spans="1:8">
      <c r="H36410" t="s">
        <v>33461</v>
      </c>
    </row>
    <row r="36411" spans="1:8">
      <c r="H36411" t="s">
        <v>33462</v>
      </c>
    </row>
    <row r="36412" spans="1:8">
      <c r="F36412" t="s">
        <v>14107</v>
      </c>
      <c r="G36412" t="s">
        <v>18100</v>
      </c>
      <c r="H36412" t="s">
        <v>33460</v>
      </c>
    </row>
    <row r="36413" spans="1:8">
      <c r="F36413" t="s">
        <v>14108</v>
      </c>
      <c r="G36413" t="s">
        <v>18101</v>
      </c>
      <c r="H36413" t="s">
        <v>33460</v>
      </c>
    </row>
    <row r="36414" spans="1:8">
      <c r="F36414" t="s">
        <v>14109</v>
      </c>
      <c r="G36414" t="s">
        <v>18102</v>
      </c>
      <c r="H36414" t="s">
        <v>33463</v>
      </c>
    </row>
    <row r="36415" spans="1:8">
      <c r="F36415" t="s">
        <v>14110</v>
      </c>
      <c r="G36415" t="s">
        <v>18103</v>
      </c>
      <c r="H36415" t="s">
        <v>33460</v>
      </c>
    </row>
    <row r="36416" spans="1:8">
      <c r="F36416" t="s">
        <v>14111</v>
      </c>
      <c r="G36416" t="s">
        <v>18104</v>
      </c>
      <c r="H36416" t="s">
        <v>33460</v>
      </c>
    </row>
    <row r="36417" spans="1:8">
      <c r="H36417" t="s">
        <v>33464</v>
      </c>
    </row>
    <row r="36418" spans="1:8">
      <c r="F36418" t="s">
        <v>14112</v>
      </c>
      <c r="G36418" t="s">
        <v>18105</v>
      </c>
      <c r="H36418" t="s">
        <v>33460</v>
      </c>
    </row>
    <row r="36419" spans="1:8">
      <c r="A36419" t="s">
        <v>2955</v>
      </c>
      <c r="B36419">
        <f>HYPERLINK("https://android.googlesource.com/platform/cts/+/98f45dc43ca07e9148c8d0347a0c184cefef58c2", "98f45dc43ca07e9148c8d0347a0c184cefef58c2")</f>
        <v>0</v>
      </c>
      <c r="C36419">
        <f>HYPERLINK("https://android.googlesource.com/platform/cts/+/98d64ba9b3747aadf9f9fda4bd68f83bc1dc40ff", "98d64ba9b3747aadf9f9fda4bd68f83bc1dc40ff")</f>
        <v>0</v>
      </c>
      <c r="D36419" t="s">
        <v>5484</v>
      </c>
      <c r="E36419" t="s">
        <v>8677</v>
      </c>
      <c r="F36419" t="s">
        <v>14113</v>
      </c>
      <c r="G36419" t="s">
        <v>18106</v>
      </c>
      <c r="H36419" t="s">
        <v>33465</v>
      </c>
    </row>
    <row r="36420" spans="1:8">
      <c r="H36420" t="s">
        <v>33466</v>
      </c>
    </row>
    <row r="36421" spans="1:8">
      <c r="H36421" t="s">
        <v>33467</v>
      </c>
    </row>
    <row r="36422" spans="1:8">
      <c r="A36422" t="s">
        <v>2956</v>
      </c>
      <c r="B36422">
        <f>HYPERLINK("https://android.googlesource.com/platform/cts/+/d1e678a508bfd277817b96de954347a6b0ed9cc2", "d1e678a508bfd277817b96de954347a6b0ed9cc2")</f>
        <v>0</v>
      </c>
      <c r="C36422">
        <f>HYPERLINK("https://android.googlesource.com/platform/cts/+/6d91d96d725faa054b623a0ec9ab1bcbed91dfba", "6d91d96d725faa054b623a0ec9ab1bcbed91dfba")</f>
        <v>0</v>
      </c>
      <c r="D36422" t="s">
        <v>5485</v>
      </c>
      <c r="E36422" t="s">
        <v>8678</v>
      </c>
      <c r="F36422" t="s">
        <v>14081</v>
      </c>
      <c r="G36422" t="s">
        <v>18078</v>
      </c>
      <c r="H36422" t="s">
        <v>33468</v>
      </c>
    </row>
    <row r="36423" spans="1:8">
      <c r="H36423" t="s">
        <v>33469</v>
      </c>
    </row>
    <row r="36424" spans="1:8">
      <c r="H36424" t="s">
        <v>33470</v>
      </c>
    </row>
    <row r="36425" spans="1:8">
      <c r="H36425" t="s">
        <v>33471</v>
      </c>
    </row>
    <row r="36426" spans="1:8">
      <c r="H36426" t="s">
        <v>33472</v>
      </c>
    </row>
    <row r="36427" spans="1:8">
      <c r="H36427" t="s">
        <v>33473</v>
      </c>
    </row>
    <row r="36428" spans="1:8">
      <c r="H36428" t="s">
        <v>33474</v>
      </c>
    </row>
    <row r="36429" spans="1:8">
      <c r="H36429" t="s">
        <v>33475</v>
      </c>
    </row>
    <row r="36430" spans="1:8">
      <c r="A36430" t="s">
        <v>2957</v>
      </c>
      <c r="B36430">
        <f>HYPERLINK("https://android.googlesource.com/platform/cts/+/d8a47d7f13e902a3665d41d9cd6165184253cfc7", "d8a47d7f13e902a3665d41d9cd6165184253cfc7")</f>
        <v>0</v>
      </c>
      <c r="C36430">
        <f>HYPERLINK("https://android.googlesource.com/platform/cts/+/9845b344cb75efed7581c4d36151e63daa0fd98a", "9845b344cb75efed7581c4d36151e63daa0fd98a")</f>
        <v>0</v>
      </c>
      <c r="D36430" t="s">
        <v>5472</v>
      </c>
      <c r="E36430" t="s">
        <v>8679</v>
      </c>
      <c r="F36430" t="s">
        <v>14114</v>
      </c>
      <c r="G36430" t="s">
        <v>18107</v>
      </c>
      <c r="H36430" t="s">
        <v>33476</v>
      </c>
    </row>
    <row r="36431" spans="1:8">
      <c r="A36431" t="s">
        <v>2958</v>
      </c>
      <c r="B36431">
        <f>HYPERLINK("https://android.googlesource.com/platform/cts/+/77bb6a034231dc21763e6e837dd4109758f8cbf9", "77bb6a034231dc21763e6e837dd4109758f8cbf9")</f>
        <v>0</v>
      </c>
      <c r="C36431">
        <f>HYPERLINK("https://android.googlesource.com/platform/cts/+/d6e2f783813c04c1a4a15a5b0f8a35ee994fd448", "d6e2f783813c04c1a4a15a5b0f8a35ee994fd448")</f>
        <v>0</v>
      </c>
      <c r="D36431" t="s">
        <v>5352</v>
      </c>
      <c r="E36431" t="s">
        <v>8680</v>
      </c>
      <c r="F36431" t="s">
        <v>14115</v>
      </c>
      <c r="G36431" t="s">
        <v>18108</v>
      </c>
      <c r="H36431" t="s">
        <v>33477</v>
      </c>
    </row>
    <row r="36432" spans="1:8">
      <c r="H36432" t="s">
        <v>18829</v>
      </c>
    </row>
    <row r="36433" spans="1:8">
      <c r="H36433" t="s">
        <v>18863</v>
      </c>
    </row>
    <row r="36434" spans="1:8">
      <c r="H36434" t="s">
        <v>33478</v>
      </c>
    </row>
    <row r="36435" spans="1:8">
      <c r="H36435" t="s">
        <v>33479</v>
      </c>
    </row>
    <row r="36436" spans="1:8">
      <c r="H36436" t="s">
        <v>33480</v>
      </c>
    </row>
    <row r="36437" spans="1:8">
      <c r="H36437" t="s">
        <v>33481</v>
      </c>
    </row>
    <row r="36438" spans="1:8">
      <c r="A36438" t="s">
        <v>2959</v>
      </c>
      <c r="B36438">
        <f>HYPERLINK("https://android.googlesource.com/platform/cts/+/1e43b6cce2f2ef858ff629ef4257ef63806f282b", "1e43b6cce2f2ef858ff629ef4257ef63806f282b")</f>
        <v>0</v>
      </c>
      <c r="C36438">
        <f>HYPERLINK("https://android.googlesource.com/platform/cts/+/9712816484bf3d3d0a1fb04e92d7b71fe3a13b99", "9712816484bf3d3d0a1fb04e92d7b71fe3a13b99")</f>
        <v>0</v>
      </c>
      <c r="D36438" t="s">
        <v>5486</v>
      </c>
      <c r="E36438" t="s">
        <v>8681</v>
      </c>
      <c r="F36438" t="s">
        <v>13722</v>
      </c>
      <c r="G36438" t="s">
        <v>17580</v>
      </c>
      <c r="H36438" t="s">
        <v>33482</v>
      </c>
    </row>
    <row r="36439" spans="1:8">
      <c r="F36439" t="s">
        <v>14116</v>
      </c>
      <c r="G36439" t="s">
        <v>17580</v>
      </c>
      <c r="H36439" t="s">
        <v>33482</v>
      </c>
    </row>
    <row r="36440" spans="1:8">
      <c r="F36440" t="s">
        <v>13723</v>
      </c>
      <c r="G36440" t="s">
        <v>17580</v>
      </c>
      <c r="H36440" t="s">
        <v>33482</v>
      </c>
    </row>
    <row r="36441" spans="1:8">
      <c r="A36441" t="s">
        <v>2960</v>
      </c>
      <c r="B36441">
        <f>HYPERLINK("https://android.googlesource.com/platform/cts/+/034fed62cb1bd03ea006df3f51eb4174a4226d05", "034fed62cb1bd03ea006df3f51eb4174a4226d05")</f>
        <v>0</v>
      </c>
      <c r="C36441">
        <f>HYPERLINK("https://android.googlesource.com/platform/cts/+/c7018b1e9c95dc9b08646bba270c243bc9f84d69", "c7018b1e9c95dc9b08646bba270c243bc9f84d69")</f>
        <v>0</v>
      </c>
      <c r="D36441" t="s">
        <v>5471</v>
      </c>
      <c r="E36441" t="s">
        <v>8682</v>
      </c>
      <c r="F36441" t="s">
        <v>14117</v>
      </c>
      <c r="G36441" t="s">
        <v>18109</v>
      </c>
      <c r="H36441" t="s">
        <v>33483</v>
      </c>
    </row>
    <row r="36442" spans="1:8">
      <c r="H36442" t="s">
        <v>33484</v>
      </c>
    </row>
    <row r="36443" spans="1:8">
      <c r="H36443" t="s">
        <v>19905</v>
      </c>
    </row>
    <row r="36444" spans="1:8">
      <c r="H36444" t="s">
        <v>26493</v>
      </c>
    </row>
    <row r="36445" spans="1:8">
      <c r="A36445" t="s">
        <v>2961</v>
      </c>
      <c r="B36445">
        <f>HYPERLINK("https://android.googlesource.com/platform/cts/+/bfac18abf24c353ae41b095261715417c1f16355", "bfac18abf24c353ae41b095261715417c1f16355")</f>
        <v>0</v>
      </c>
      <c r="C36445">
        <f>HYPERLINK("https://android.googlesource.com/platform/cts/+/d6e2f783813c04c1a4a15a5b0f8a35ee994fd448", "d6e2f783813c04c1a4a15a5b0f8a35ee994fd448")</f>
        <v>0</v>
      </c>
      <c r="D36445" t="s">
        <v>5293</v>
      </c>
      <c r="E36445" t="s">
        <v>8683</v>
      </c>
      <c r="F36445" t="s">
        <v>13513</v>
      </c>
      <c r="G36445" t="s">
        <v>17630</v>
      </c>
      <c r="H36445" t="s">
        <v>33094</v>
      </c>
    </row>
    <row r="36446" spans="1:8">
      <c r="H36446" t="s">
        <v>19981</v>
      </c>
    </row>
    <row r="36447" spans="1:8">
      <c r="H36447" t="s">
        <v>33485</v>
      </c>
    </row>
    <row r="36448" spans="1:8">
      <c r="A36448" t="s">
        <v>2962</v>
      </c>
      <c r="B36448">
        <f>HYPERLINK("https://android.googlesource.com/platform/cts/+/4b581c65323408e72fbf9f792f18c55f1b649cbd", "4b581c65323408e72fbf9f792f18c55f1b649cbd")</f>
        <v>0</v>
      </c>
      <c r="C36448">
        <f>HYPERLINK("https://android.googlesource.com/platform/cts/+/90339eda3754d3911490d3803017d47a5f878201", "90339eda3754d3911490d3803017d47a5f878201")</f>
        <v>0</v>
      </c>
      <c r="D36448" t="s">
        <v>5487</v>
      </c>
      <c r="E36448" t="s">
        <v>8684</v>
      </c>
      <c r="F36448" t="s">
        <v>14118</v>
      </c>
      <c r="G36448" t="s">
        <v>18110</v>
      </c>
      <c r="H36448" t="s">
        <v>33486</v>
      </c>
    </row>
    <row r="36449" spans="1:8">
      <c r="A36449" t="s">
        <v>2963</v>
      </c>
      <c r="B36449">
        <f>HYPERLINK("https://android.googlesource.com/platform/cts/+/66fa879db6446d8db03792c64a08e75d713579f1", "66fa879db6446d8db03792c64a08e75d713579f1")</f>
        <v>0</v>
      </c>
      <c r="C36449">
        <f>HYPERLINK("https://android.googlesource.com/platform/cts/+/c40a18b517c33888d1a19fff0fe32bd75d159bd2", "c40a18b517c33888d1a19fff0fe32bd75d159bd2")</f>
        <v>0</v>
      </c>
      <c r="D36449" t="s">
        <v>5448</v>
      </c>
      <c r="E36449" t="s">
        <v>8685</v>
      </c>
      <c r="F36449" t="s">
        <v>14097</v>
      </c>
      <c r="G36449" t="s">
        <v>18090</v>
      </c>
      <c r="H36449" t="s">
        <v>33401</v>
      </c>
    </row>
    <row r="36450" spans="1:8">
      <c r="H36450" t="s">
        <v>32811</v>
      </c>
    </row>
    <row r="36451" spans="1:8">
      <c r="H36451" t="s">
        <v>33402</v>
      </c>
    </row>
    <row r="36452" spans="1:8">
      <c r="H36452" t="s">
        <v>33403</v>
      </c>
    </row>
    <row r="36453" spans="1:8">
      <c r="F36453" t="s">
        <v>14098</v>
      </c>
      <c r="G36453" t="s">
        <v>18091</v>
      </c>
      <c r="H36453" t="s">
        <v>19013</v>
      </c>
    </row>
    <row r="36454" spans="1:8">
      <c r="H36454" t="s">
        <v>18835</v>
      </c>
    </row>
    <row r="36455" spans="1:8">
      <c r="H36455" t="s">
        <v>33404</v>
      </c>
    </row>
    <row r="36456" spans="1:8">
      <c r="H36456" t="s">
        <v>33405</v>
      </c>
    </row>
    <row r="36457" spans="1:8">
      <c r="H36457" t="s">
        <v>33406</v>
      </c>
    </row>
    <row r="36458" spans="1:8">
      <c r="A36458" t="s">
        <v>2964</v>
      </c>
      <c r="B36458">
        <f>HYPERLINK("https://android.googlesource.com/platform/cts/+/997327a7380e7c4ad20a727a90f46b17ad3a960e", "997327a7380e7c4ad20a727a90f46b17ad3a960e")</f>
        <v>0</v>
      </c>
      <c r="C36458">
        <f>HYPERLINK("https://android.googlesource.com/platform/cts/+/d6e2f783813c04c1a4a15a5b0f8a35ee994fd448", "d6e2f783813c04c1a4a15a5b0f8a35ee994fd448")</f>
        <v>0</v>
      </c>
      <c r="D36458" t="s">
        <v>5189</v>
      </c>
      <c r="E36458" t="s">
        <v>8686</v>
      </c>
      <c r="F36458" t="s">
        <v>14119</v>
      </c>
      <c r="G36458" t="s">
        <v>16617</v>
      </c>
      <c r="H36458" t="s">
        <v>32565</v>
      </c>
    </row>
    <row r="36459" spans="1:8">
      <c r="A36459" t="s">
        <v>2965</v>
      </c>
      <c r="B36459">
        <f>HYPERLINK("https://android.googlesource.com/platform/cts/+/f0e4bb61a298b6053848c6c3ac9827e303dc89a2", "f0e4bb61a298b6053848c6c3ac9827e303dc89a2")</f>
        <v>0</v>
      </c>
      <c r="C36459">
        <f>HYPERLINK("https://android.googlesource.com/platform/cts/+/67e157a2005c36f0b507dc97ae571274cb9d605e", "67e157a2005c36f0b507dc97ae571274cb9d605e")</f>
        <v>0</v>
      </c>
      <c r="D36459" t="s">
        <v>5363</v>
      </c>
      <c r="E36459" t="s">
        <v>8687</v>
      </c>
      <c r="F36459" t="s">
        <v>14120</v>
      </c>
      <c r="G36459" t="s">
        <v>18111</v>
      </c>
      <c r="H36459" t="s">
        <v>18829</v>
      </c>
    </row>
    <row r="36460" spans="1:8">
      <c r="H36460" t="s">
        <v>18863</v>
      </c>
    </row>
    <row r="36461" spans="1:8">
      <c r="H36461" t="s">
        <v>33487</v>
      </c>
    </row>
    <row r="36462" spans="1:8">
      <c r="H36462" t="s">
        <v>33488</v>
      </c>
    </row>
    <row r="36463" spans="1:8">
      <c r="H36463" t="s">
        <v>33489</v>
      </c>
    </row>
    <row r="36464" spans="1:8">
      <c r="F36464" t="s">
        <v>12629</v>
      </c>
      <c r="G36464" t="s">
        <v>16838</v>
      </c>
      <c r="H36464" t="s">
        <v>33490</v>
      </c>
    </row>
    <row r="36465" spans="1:8">
      <c r="F36465" t="s">
        <v>12768</v>
      </c>
      <c r="G36465" t="s">
        <v>15710</v>
      </c>
      <c r="H36465" t="s">
        <v>33491</v>
      </c>
    </row>
    <row r="36466" spans="1:8">
      <c r="A36466" t="s">
        <v>2966</v>
      </c>
      <c r="B36466">
        <f>HYPERLINK("https://android.googlesource.com/platform/cts/+/50735fc3da4b6bebfb37d80ae6f729864d88b79d", "50735fc3da4b6bebfb37d80ae6f729864d88b79d")</f>
        <v>0</v>
      </c>
      <c r="C36466">
        <f>HYPERLINK("https://android.googlesource.com/platform/cts/+/0054972299ca636598baa2d6b98f9db5dbea12f5", "0054972299ca636598baa2d6b98f9db5dbea12f5")</f>
        <v>0</v>
      </c>
      <c r="D36466" t="s">
        <v>5488</v>
      </c>
      <c r="E36466" t="s">
        <v>8688</v>
      </c>
      <c r="F36466" t="s">
        <v>14121</v>
      </c>
      <c r="G36466" t="s">
        <v>16426</v>
      </c>
      <c r="H36466" t="s">
        <v>33492</v>
      </c>
    </row>
    <row r="36467" spans="1:8">
      <c r="A36467" t="s">
        <v>2967</v>
      </c>
      <c r="B36467">
        <f>HYPERLINK("https://android.googlesource.com/platform/cts/+/da20dbe52d7259b027909eede924d3b9e400dbd9", "da20dbe52d7259b027909eede924d3b9e400dbd9")</f>
        <v>0</v>
      </c>
      <c r="C36467">
        <f>HYPERLINK("https://android.googlesource.com/platform/cts/+/fddfbf3850c18878fb46adbce0ef5f7e5412a842", "fddfbf3850c18878fb46adbce0ef5f7e5412a842")</f>
        <v>0</v>
      </c>
      <c r="D36467" t="s">
        <v>5108</v>
      </c>
      <c r="E36467" t="s">
        <v>8689</v>
      </c>
      <c r="F36467" t="s">
        <v>12743</v>
      </c>
      <c r="G36467" t="s">
        <v>16935</v>
      </c>
      <c r="H36467" t="s">
        <v>33493</v>
      </c>
    </row>
    <row r="36468" spans="1:8">
      <c r="F36468" t="s">
        <v>12629</v>
      </c>
      <c r="G36468" t="s">
        <v>16838</v>
      </c>
      <c r="H36468" t="s">
        <v>33494</v>
      </c>
    </row>
    <row r="36469" spans="1:8">
      <c r="H36469" t="s">
        <v>33495</v>
      </c>
    </row>
    <row r="36470" spans="1:8">
      <c r="H36470" t="s">
        <v>33496</v>
      </c>
    </row>
    <row r="36471" spans="1:8">
      <c r="H36471" t="s">
        <v>33497</v>
      </c>
    </row>
    <row r="36472" spans="1:8">
      <c r="F36472" t="s">
        <v>14122</v>
      </c>
      <c r="G36472" t="s">
        <v>18112</v>
      </c>
      <c r="H36472" t="s">
        <v>22587</v>
      </c>
    </row>
    <row r="36473" spans="1:8">
      <c r="H36473" t="s">
        <v>33498</v>
      </c>
    </row>
    <row r="36474" spans="1:8">
      <c r="H36474" t="s">
        <v>33499</v>
      </c>
    </row>
    <row r="36475" spans="1:8">
      <c r="H36475" t="s">
        <v>33493</v>
      </c>
    </row>
    <row r="36476" spans="1:8">
      <c r="F36476" t="s">
        <v>12768</v>
      </c>
      <c r="G36476" t="s">
        <v>15710</v>
      </c>
      <c r="H36476" t="s">
        <v>33500</v>
      </c>
    </row>
    <row r="36477" spans="1:8">
      <c r="H36477" t="s">
        <v>33501</v>
      </c>
    </row>
    <row r="36478" spans="1:8">
      <c r="H36478" t="s">
        <v>33502</v>
      </c>
    </row>
    <row r="36479" spans="1:8">
      <c r="H36479" t="s">
        <v>33503</v>
      </c>
    </row>
    <row r="36480" spans="1:8">
      <c r="A36480" t="s">
        <v>2968</v>
      </c>
      <c r="B36480">
        <f>HYPERLINK("https://android.googlesource.com/platform/cts/+/db3d3ea3deb6d3138f449ab04e65a7b159ad7309", "db3d3ea3deb6d3138f449ab04e65a7b159ad7309")</f>
        <v>0</v>
      </c>
      <c r="C36480">
        <f>HYPERLINK("https://android.googlesource.com/platform/cts/+/9999410ac1dd64618f4000121d0350e0dce2618c", "9999410ac1dd64618f4000121d0350e0dce2618c")</f>
        <v>0</v>
      </c>
      <c r="D36480" t="s">
        <v>5436</v>
      </c>
      <c r="E36480" t="s">
        <v>8690</v>
      </c>
      <c r="F36480" t="s">
        <v>12570</v>
      </c>
      <c r="G36480" t="s">
        <v>16786</v>
      </c>
      <c r="H36480" t="s">
        <v>32082</v>
      </c>
    </row>
    <row r="36481" spans="1:8">
      <c r="A36481" t="s">
        <v>2969</v>
      </c>
      <c r="B36481">
        <f>HYPERLINK("https://android.googlesource.com/platform/cts/+/47aa1ec835ef5990491a11cb769b6c3eca8c7b1f", "47aa1ec835ef5990491a11cb769b6c3eca8c7b1f")</f>
        <v>0</v>
      </c>
      <c r="C36481">
        <f>HYPERLINK("https://android.googlesource.com/platform/cts/+/6a78e6af0a65f6a5680f6ddd51597c0fdee926c4", "6a78e6af0a65f6a5680f6ddd51597c0fdee926c4")</f>
        <v>0</v>
      </c>
      <c r="D36481" t="s">
        <v>5344</v>
      </c>
      <c r="E36481" t="s">
        <v>8691</v>
      </c>
      <c r="F36481" t="s">
        <v>14123</v>
      </c>
      <c r="G36481" t="s">
        <v>18113</v>
      </c>
      <c r="H36481" t="s">
        <v>33504</v>
      </c>
    </row>
    <row r="36482" spans="1:8">
      <c r="A36482" t="s">
        <v>2970</v>
      </c>
      <c r="B36482">
        <f>HYPERLINK("https://android.googlesource.com/platform/cts/+/b27d482a2062842a679ff112425108e56d97ccff", "b27d482a2062842a679ff112425108e56d97ccff")</f>
        <v>0</v>
      </c>
      <c r="C36482">
        <f>HYPERLINK("https://android.googlesource.com/platform/cts/+/635af71dfef5a38f48d90af51bd1b087df7ed176", "635af71dfef5a38f48d90af51bd1b087df7ed176")</f>
        <v>0</v>
      </c>
      <c r="D36482" t="s">
        <v>5470</v>
      </c>
      <c r="E36482" t="s">
        <v>8692</v>
      </c>
      <c r="F36482" t="s">
        <v>13761</v>
      </c>
      <c r="G36482" t="s">
        <v>17819</v>
      </c>
      <c r="H36482" t="s">
        <v>18829</v>
      </c>
    </row>
    <row r="36483" spans="1:8">
      <c r="A36483" t="s">
        <v>2971</v>
      </c>
      <c r="B36483">
        <f>HYPERLINK("https://android.googlesource.com/platform/cts/+/71a57b7c6c8abec55c2b287d690dc93f68db5c7f", "71a57b7c6c8abec55c2b287d690dc93f68db5c7f")</f>
        <v>0</v>
      </c>
      <c r="C36483">
        <f>HYPERLINK("https://android.googlesource.com/platform/cts/+/25588b01bb0ecd945bdbe786c94f9504d905bbaf", "25588b01bb0ecd945bdbe786c94f9504d905bbaf")</f>
        <v>0</v>
      </c>
      <c r="D36483" t="s">
        <v>5481</v>
      </c>
      <c r="E36483" t="s">
        <v>8693</v>
      </c>
      <c r="F36483" t="s">
        <v>14124</v>
      </c>
      <c r="G36483" t="s">
        <v>18114</v>
      </c>
      <c r="H36483" t="s">
        <v>25959</v>
      </c>
    </row>
    <row r="36484" spans="1:8">
      <c r="A36484" t="s">
        <v>2972</v>
      </c>
      <c r="B36484">
        <f>HYPERLINK("https://android.googlesource.com/platform/cts/+/3b703a016df30ba7b69f97f573da845a12f91957", "3b703a016df30ba7b69f97f573da845a12f91957")</f>
        <v>0</v>
      </c>
      <c r="C36484">
        <f>HYPERLINK("https://android.googlesource.com/platform/cts/+/757d8245ce08887ae5d01efa3f5b5a945f4a60c3", "757d8245ce08887ae5d01efa3f5b5a945f4a60c3")</f>
        <v>0</v>
      </c>
      <c r="D36484" t="s">
        <v>5489</v>
      </c>
      <c r="E36484" t="s">
        <v>8694</v>
      </c>
      <c r="F36484" t="s">
        <v>13576</v>
      </c>
      <c r="G36484" t="s">
        <v>16477</v>
      </c>
      <c r="H36484" t="s">
        <v>21509</v>
      </c>
    </row>
    <row r="36485" spans="1:8">
      <c r="A36485" t="s">
        <v>2973</v>
      </c>
      <c r="B36485">
        <f>HYPERLINK("https://android.googlesource.com/platform/cts/+/4c367c7abf65bf844bce8ecb65275636e35887f8", "4c367c7abf65bf844bce8ecb65275636e35887f8")</f>
        <v>0</v>
      </c>
      <c r="C36485">
        <f>HYPERLINK("https://android.googlesource.com/platform/cts/+/1d4f251412ebf449fb42221e6d3c7153523efb5c", "1d4f251412ebf449fb42221e6d3c7153523efb5c")</f>
        <v>0</v>
      </c>
      <c r="D36485" t="s">
        <v>5490</v>
      </c>
      <c r="E36485" t="s">
        <v>8695</v>
      </c>
      <c r="F36485" t="s">
        <v>13963</v>
      </c>
      <c r="G36485" t="s">
        <v>16440</v>
      </c>
      <c r="H36485" t="s">
        <v>33505</v>
      </c>
    </row>
    <row r="36486" spans="1:8">
      <c r="H36486" t="s">
        <v>33506</v>
      </c>
    </row>
    <row r="36487" spans="1:8">
      <c r="A36487" t="s">
        <v>2974</v>
      </c>
      <c r="B36487">
        <f>HYPERLINK("https://android.googlesource.com/platform/cts/+/0a69572b90ada15e583dfd614afec24c827f71f9", "0a69572b90ada15e583dfd614afec24c827f71f9")</f>
        <v>0</v>
      </c>
      <c r="C36487">
        <f>HYPERLINK("https://android.googlesource.com/platform/cts/+/e30bcf3eb8b292871e704c30afd5cd06ccde3f49", "e30bcf3eb8b292871e704c30afd5cd06ccde3f49")</f>
        <v>0</v>
      </c>
      <c r="D36487" t="s">
        <v>5489</v>
      </c>
      <c r="E36487" t="s">
        <v>8696</v>
      </c>
      <c r="F36487" t="s">
        <v>13576</v>
      </c>
      <c r="G36487" t="s">
        <v>16477</v>
      </c>
      <c r="H36487" t="s">
        <v>21509</v>
      </c>
    </row>
    <row r="36488" spans="1:8">
      <c r="A36488" t="s">
        <v>2975</v>
      </c>
      <c r="B36488">
        <f>HYPERLINK("https://android.googlesource.com/platform/cts/+/2a735485806d9a21180e8df0a7a561b4487f2700", "2a735485806d9a21180e8df0a7a561b4487f2700")</f>
        <v>0</v>
      </c>
      <c r="C36488">
        <f>HYPERLINK("https://android.googlesource.com/platform/cts/+/20e40673e104f1b78355b5b0b0fd1a46a8b9f208", "20e40673e104f1b78355b5b0b0fd1a46a8b9f208")</f>
        <v>0</v>
      </c>
      <c r="D36488" t="s">
        <v>5463</v>
      </c>
      <c r="E36488" t="s">
        <v>8697</v>
      </c>
      <c r="F36488" t="s">
        <v>14125</v>
      </c>
      <c r="G36488" t="s">
        <v>18115</v>
      </c>
      <c r="H36488" t="s">
        <v>33507</v>
      </c>
    </row>
    <row r="36489" spans="1:8">
      <c r="H36489" t="s">
        <v>33508</v>
      </c>
    </row>
    <row r="36490" spans="1:8">
      <c r="H36490" t="s">
        <v>33509</v>
      </c>
    </row>
    <row r="36491" spans="1:8">
      <c r="H36491" t="s">
        <v>33510</v>
      </c>
    </row>
    <row r="36492" spans="1:8">
      <c r="H36492" t="s">
        <v>33511</v>
      </c>
    </row>
    <row r="36493" spans="1:8">
      <c r="H36493" t="s">
        <v>33511</v>
      </c>
    </row>
    <row r="36494" spans="1:8">
      <c r="A36494" t="s">
        <v>2976</v>
      </c>
      <c r="B36494">
        <f>HYPERLINK("https://android.googlesource.com/platform/cts/+/97f49f8fc9edd3d735f6011efd153a289aa56496", "97f49f8fc9edd3d735f6011efd153a289aa56496")</f>
        <v>0</v>
      </c>
      <c r="C36494">
        <f>HYPERLINK("https://android.googlesource.com/platform/cts/+/25c5e19a3f3c99d96e9084a15cb359c541dc1e20", "25c5e19a3f3c99d96e9084a15cb359c541dc1e20")</f>
        <v>0</v>
      </c>
      <c r="D36494" t="s">
        <v>5148</v>
      </c>
      <c r="E36494" t="s">
        <v>8698</v>
      </c>
      <c r="F36494" t="s">
        <v>14070</v>
      </c>
      <c r="G36494" t="s">
        <v>18068</v>
      </c>
      <c r="H36494" t="s">
        <v>33184</v>
      </c>
    </row>
    <row r="36495" spans="1:8">
      <c r="H36495" t="s">
        <v>33185</v>
      </c>
    </row>
    <row r="36496" spans="1:8">
      <c r="H36496" t="s">
        <v>31527</v>
      </c>
    </row>
    <row r="36497" spans="6:8">
      <c r="H36497" t="s">
        <v>33186</v>
      </c>
    </row>
    <row r="36498" spans="6:8">
      <c r="H36498" t="s">
        <v>33187</v>
      </c>
    </row>
    <row r="36499" spans="6:8">
      <c r="F36499" t="s">
        <v>14071</v>
      </c>
      <c r="G36499" t="s">
        <v>18069</v>
      </c>
      <c r="H36499" t="s">
        <v>33184</v>
      </c>
    </row>
    <row r="36500" spans="6:8">
      <c r="H36500" t="s">
        <v>33185</v>
      </c>
    </row>
    <row r="36501" spans="6:8">
      <c r="H36501" t="s">
        <v>31527</v>
      </c>
    </row>
    <row r="36502" spans="6:8">
      <c r="H36502" t="s">
        <v>33188</v>
      </c>
    </row>
    <row r="36503" spans="6:8">
      <c r="H36503" t="s">
        <v>33189</v>
      </c>
    </row>
    <row r="36504" spans="6:8">
      <c r="H36504" t="s">
        <v>33190</v>
      </c>
    </row>
    <row r="36505" spans="6:8">
      <c r="H36505" t="s">
        <v>33191</v>
      </c>
    </row>
    <row r="36506" spans="6:8">
      <c r="H36506" t="s">
        <v>33192</v>
      </c>
    </row>
    <row r="36507" spans="6:8">
      <c r="H36507" t="s">
        <v>33193</v>
      </c>
    </row>
    <row r="36508" spans="6:8">
      <c r="H36508" t="s">
        <v>22005</v>
      </c>
    </row>
    <row r="36509" spans="6:8">
      <c r="H36509" t="s">
        <v>22005</v>
      </c>
    </row>
    <row r="36510" spans="6:8">
      <c r="H36510" t="s">
        <v>22005</v>
      </c>
    </row>
    <row r="36511" spans="6:8">
      <c r="H36511" t="s">
        <v>22005</v>
      </c>
    </row>
    <row r="36512" spans="6:8">
      <c r="H36512" t="s">
        <v>33194</v>
      </c>
    </row>
    <row r="36513" spans="1:8">
      <c r="H36513" t="s">
        <v>22005</v>
      </c>
    </row>
    <row r="36514" spans="1:8">
      <c r="H36514" t="s">
        <v>33195</v>
      </c>
    </row>
    <row r="36515" spans="1:8">
      <c r="F36515" t="s">
        <v>14072</v>
      </c>
      <c r="G36515" t="s">
        <v>18070</v>
      </c>
      <c r="H36515" t="s">
        <v>33184</v>
      </c>
    </row>
    <row r="36516" spans="1:8">
      <c r="H36516" t="s">
        <v>33185</v>
      </c>
    </row>
    <row r="36517" spans="1:8">
      <c r="H36517" t="s">
        <v>31527</v>
      </c>
    </row>
    <row r="36518" spans="1:8">
      <c r="H36518" t="s">
        <v>33196</v>
      </c>
    </row>
    <row r="36519" spans="1:8">
      <c r="H36519" t="s">
        <v>33197</v>
      </c>
    </row>
    <row r="36520" spans="1:8">
      <c r="H36520" t="s">
        <v>33198</v>
      </c>
    </row>
    <row r="36521" spans="1:8">
      <c r="F36521" t="s">
        <v>14073</v>
      </c>
      <c r="G36521" t="s">
        <v>18071</v>
      </c>
      <c r="H36521" t="s">
        <v>33184</v>
      </c>
    </row>
    <row r="36522" spans="1:8">
      <c r="H36522" t="s">
        <v>33185</v>
      </c>
    </row>
    <row r="36523" spans="1:8">
      <c r="H36523" t="s">
        <v>33199</v>
      </c>
    </row>
    <row r="36524" spans="1:8">
      <c r="A36524" t="s">
        <v>2977</v>
      </c>
      <c r="B36524">
        <f>HYPERLINK("https://android.googlesource.com/platform/cts/+/723aeefad279f4f9013b3e3153c3f85b7d56a67a", "723aeefad279f4f9013b3e3153c3f85b7d56a67a")</f>
        <v>0</v>
      </c>
      <c r="C36524">
        <f>HYPERLINK("https://android.googlesource.com/platform/cts/+/0fb562077c998f1fa90b0e3be5436bb122bf9b3c", "0fb562077c998f1fa90b0e3be5436bb122bf9b3c")</f>
        <v>0</v>
      </c>
      <c r="D36524" t="s">
        <v>5476</v>
      </c>
      <c r="E36524" t="s">
        <v>8699</v>
      </c>
      <c r="F36524" t="s">
        <v>14076</v>
      </c>
      <c r="G36524" t="s">
        <v>18074</v>
      </c>
      <c r="H36524" t="s">
        <v>33154</v>
      </c>
    </row>
    <row r="36525" spans="1:8">
      <c r="H36525" t="s">
        <v>33512</v>
      </c>
    </row>
    <row r="36526" spans="1:8">
      <c r="H36526" t="s">
        <v>33513</v>
      </c>
    </row>
    <row r="36527" spans="1:8">
      <c r="A36527" t="s">
        <v>2978</v>
      </c>
      <c r="B36527">
        <f>HYPERLINK("https://android.googlesource.com/platform/cts/+/74c2210ef071f2d4158e5e5acccb51102fb392c4", "74c2210ef071f2d4158e5e5acccb51102fb392c4")</f>
        <v>0</v>
      </c>
      <c r="C36527">
        <f>HYPERLINK("https://android.googlesource.com/platform/cts/+/89c79f0513e51b2173748bb449fa4d80eb3f6545", "89c79f0513e51b2173748bb449fa4d80eb3f6545")</f>
        <v>0</v>
      </c>
      <c r="D36527" t="s">
        <v>5360</v>
      </c>
      <c r="E36527" t="s">
        <v>8700</v>
      </c>
      <c r="F36527" t="s">
        <v>14126</v>
      </c>
      <c r="G36527" t="s">
        <v>18116</v>
      </c>
      <c r="H36527" t="s">
        <v>18829</v>
      </c>
    </row>
    <row r="36528" spans="1:8">
      <c r="H36528" t="s">
        <v>33514</v>
      </c>
    </row>
    <row r="36529" spans="1:8">
      <c r="H36529" t="s">
        <v>33515</v>
      </c>
    </row>
    <row r="36530" spans="1:8">
      <c r="H36530" t="s">
        <v>33516</v>
      </c>
    </row>
    <row r="36531" spans="1:8">
      <c r="H36531" t="s">
        <v>33517</v>
      </c>
    </row>
    <row r="36532" spans="1:8">
      <c r="A36532" t="s">
        <v>2979</v>
      </c>
      <c r="B36532">
        <f>HYPERLINK("https://android.googlesource.com/platform/cts/+/811f75c37ac781e27c84bd5c525764002d196c23", "811f75c37ac781e27c84bd5c525764002d196c23")</f>
        <v>0</v>
      </c>
      <c r="C36532">
        <f>HYPERLINK("https://android.googlesource.com/platform/cts/+/b7b4f065feb30478494a75fb3393c9db12092f66", "b7b4f065feb30478494a75fb3393c9db12092f66")</f>
        <v>0</v>
      </c>
      <c r="D36532" t="s">
        <v>5490</v>
      </c>
      <c r="E36532" t="s">
        <v>8701</v>
      </c>
      <c r="F36532" t="s">
        <v>13963</v>
      </c>
      <c r="G36532" t="s">
        <v>16440</v>
      </c>
      <c r="H36532" t="s">
        <v>33505</v>
      </c>
    </row>
    <row r="36533" spans="1:8">
      <c r="H36533" t="s">
        <v>33506</v>
      </c>
    </row>
    <row r="36534" spans="1:8">
      <c r="A36534" t="s">
        <v>2980</v>
      </c>
      <c r="B36534">
        <f>HYPERLINK("https://android.googlesource.com/platform/cts/+/dfe579944540b5800e9709f02fcca3a05cd22006", "dfe579944540b5800e9709f02fcca3a05cd22006")</f>
        <v>0</v>
      </c>
      <c r="C36534">
        <f>HYPERLINK("https://android.googlesource.com/platform/cts/+/6e6e01d31a6584b33a7fe4949a5d7210e58fea28", "6e6e01d31a6584b33a7fe4949a5d7210e58fea28")</f>
        <v>0</v>
      </c>
      <c r="D36534" t="s">
        <v>5491</v>
      </c>
      <c r="E36534" t="s">
        <v>8702</v>
      </c>
      <c r="F36534" t="s">
        <v>10696</v>
      </c>
      <c r="G36534" t="s">
        <v>15096</v>
      </c>
      <c r="H36534" t="s">
        <v>33518</v>
      </c>
    </row>
    <row r="36535" spans="1:8">
      <c r="A36535" t="s">
        <v>2981</v>
      </c>
      <c r="B36535">
        <f>HYPERLINK("https://android.googlesource.com/platform/cts/+/f767a6681e58b380f2e1b0f4c0a98e8c3e126895", "f767a6681e58b380f2e1b0f4c0a98e8c3e126895")</f>
        <v>0</v>
      </c>
      <c r="C36535">
        <f>HYPERLINK("https://android.googlesource.com/platform/cts/+/28a869c9a19c74f0d291e7ff065f04715b480912", "28a869c9a19c74f0d291e7ff065f04715b480912")</f>
        <v>0</v>
      </c>
      <c r="D36535" t="s">
        <v>5463</v>
      </c>
      <c r="E36535" t="s">
        <v>8703</v>
      </c>
      <c r="F36535" t="s">
        <v>14125</v>
      </c>
      <c r="G36535" t="s">
        <v>18115</v>
      </c>
      <c r="H36535" t="s">
        <v>33507</v>
      </c>
    </row>
    <row r="36536" spans="1:8">
      <c r="H36536" t="s">
        <v>33508</v>
      </c>
    </row>
    <row r="36537" spans="1:8">
      <c r="H36537" t="s">
        <v>33509</v>
      </c>
    </row>
    <row r="36538" spans="1:8">
      <c r="H36538" t="s">
        <v>33510</v>
      </c>
    </row>
    <row r="36539" spans="1:8">
      <c r="H36539" t="s">
        <v>33511</v>
      </c>
    </row>
    <row r="36540" spans="1:8">
      <c r="H36540" t="s">
        <v>33511</v>
      </c>
    </row>
    <row r="36541" spans="1:8">
      <c r="A36541" t="s">
        <v>2982</v>
      </c>
      <c r="B36541">
        <f>HYPERLINK("https://android.googlesource.com/platform/cts/+/7bdc4f1f17dc0cec4a52d9d977529279ba6900d9", "7bdc4f1f17dc0cec4a52d9d977529279ba6900d9")</f>
        <v>0</v>
      </c>
      <c r="C36541">
        <f>HYPERLINK("https://android.googlesource.com/platform/cts/+/b7b4f065feb30478494a75fb3393c9db12092f66", "b7b4f065feb30478494a75fb3393c9db12092f66")</f>
        <v>0</v>
      </c>
      <c r="D36541" t="s">
        <v>5438</v>
      </c>
      <c r="E36541" t="s">
        <v>8704</v>
      </c>
      <c r="F36541" t="s">
        <v>14127</v>
      </c>
      <c r="G36541" t="s">
        <v>18117</v>
      </c>
      <c r="H36541" t="s">
        <v>30103</v>
      </c>
    </row>
    <row r="36542" spans="1:8">
      <c r="H36542" t="s">
        <v>30104</v>
      </c>
    </row>
    <row r="36543" spans="1:8">
      <c r="A36543" t="s">
        <v>2983</v>
      </c>
      <c r="B36543">
        <f>HYPERLINK("https://android.googlesource.com/platform/cts/+/78bdfc83733db1b4e0f5dd8a3e1f9a6190a0dc45", "78bdfc83733db1b4e0f5dd8a3e1f9a6190a0dc45")</f>
        <v>0</v>
      </c>
      <c r="C36543">
        <f>HYPERLINK("https://android.googlesource.com/platform/cts/+/b4c535f5c12d68c2b56717a8b2f94753f6def9ac", "b4c535f5c12d68c2b56717a8b2f94753f6def9ac")</f>
        <v>0</v>
      </c>
      <c r="D36543" t="s">
        <v>5492</v>
      </c>
      <c r="E36543" t="s">
        <v>8705</v>
      </c>
      <c r="F36543" t="s">
        <v>13816</v>
      </c>
      <c r="G36543" t="s">
        <v>15089</v>
      </c>
      <c r="H36543" t="s">
        <v>33519</v>
      </c>
    </row>
    <row r="36544" spans="1:8">
      <c r="A36544" t="s">
        <v>2984</v>
      </c>
      <c r="B36544">
        <f>HYPERLINK("https://android.googlesource.com/platform/cts/+/1be0f3e57d54ef978f6b43fa5dbf0ec9787ee372", "1be0f3e57d54ef978f6b43fa5dbf0ec9787ee372")</f>
        <v>0</v>
      </c>
      <c r="C36544">
        <f>HYPERLINK("https://android.googlesource.com/platform/cts/+/fa58f72d6a476e5be76513dba917a670b8d41539", "fa58f72d6a476e5be76513dba917a670b8d41539")</f>
        <v>0</v>
      </c>
      <c r="D36544" t="s">
        <v>5493</v>
      </c>
      <c r="E36544" t="s">
        <v>8706</v>
      </c>
      <c r="F36544" t="s">
        <v>13158</v>
      </c>
      <c r="G36544" t="s">
        <v>17309</v>
      </c>
      <c r="H36544" t="s">
        <v>33520</v>
      </c>
    </row>
    <row r="36545" spans="1:8">
      <c r="H36545" t="s">
        <v>18893</v>
      </c>
    </row>
    <row r="36546" spans="1:8">
      <c r="H36546" t="s">
        <v>33521</v>
      </c>
    </row>
    <row r="36547" spans="1:8">
      <c r="A36547" t="s">
        <v>2985</v>
      </c>
      <c r="B36547">
        <f>HYPERLINK("https://android.googlesource.com/platform/cts/+/6458cc123888ede66fd1cd76e4105e2cd572361c", "6458cc123888ede66fd1cd76e4105e2cd572361c")</f>
        <v>0</v>
      </c>
      <c r="C36547">
        <f>HYPERLINK("https://android.googlesource.com/platform/cts/+/0fb562077c998f1fa90b0e3be5436bb122bf9b3c", "0fb562077c998f1fa90b0e3be5436bb122bf9b3c")</f>
        <v>0</v>
      </c>
      <c r="D36547" t="s">
        <v>5408</v>
      </c>
      <c r="E36547" t="s">
        <v>8707</v>
      </c>
      <c r="F36547" t="s">
        <v>14128</v>
      </c>
      <c r="G36547" t="s">
        <v>18118</v>
      </c>
      <c r="H36547" t="s">
        <v>33522</v>
      </c>
    </row>
    <row r="36548" spans="1:8">
      <c r="A36548" t="s">
        <v>2986</v>
      </c>
      <c r="B36548">
        <f>HYPERLINK("https://android.googlesource.com/platform/cts/+/4cc8e427a0caa4bb0d19e03711998330f7d6f6e8", "4cc8e427a0caa4bb0d19e03711998330f7d6f6e8")</f>
        <v>0</v>
      </c>
      <c r="C36548">
        <f>HYPERLINK("https://android.googlesource.com/platform/cts/+/0a51095f09439e1363a51fca8c5455c9d55ccb50", "0a51095f09439e1363a51fca8c5455c9d55ccb50")</f>
        <v>0</v>
      </c>
      <c r="D36548" t="s">
        <v>5360</v>
      </c>
      <c r="E36548" t="s">
        <v>8708</v>
      </c>
      <c r="F36548" t="s">
        <v>14126</v>
      </c>
      <c r="G36548" t="s">
        <v>18116</v>
      </c>
      <c r="H36548" t="s">
        <v>18829</v>
      </c>
    </row>
    <row r="36549" spans="1:8">
      <c r="H36549" t="s">
        <v>33514</v>
      </c>
    </row>
    <row r="36550" spans="1:8">
      <c r="H36550" t="s">
        <v>33515</v>
      </c>
    </row>
    <row r="36551" spans="1:8">
      <c r="H36551" t="s">
        <v>33516</v>
      </c>
    </row>
    <row r="36552" spans="1:8">
      <c r="H36552" t="s">
        <v>33517</v>
      </c>
    </row>
    <row r="36553" spans="1:8">
      <c r="A36553" t="s">
        <v>2987</v>
      </c>
      <c r="B36553">
        <f>HYPERLINK("https://android.googlesource.com/platform/cts/+/3d8b67318fff2d0a96f05b869fd0d4d0d28e66b3", "3d8b67318fff2d0a96f05b869fd0d4d0d28e66b3")</f>
        <v>0</v>
      </c>
      <c r="C36553">
        <f>HYPERLINK("https://android.googlesource.com/platform/cts/+/bbef078ae4465a713348c1536a813c0a66f3541b", "bbef078ae4465a713348c1536a813c0a66f3541b")</f>
        <v>0</v>
      </c>
      <c r="D36553" t="s">
        <v>5122</v>
      </c>
      <c r="E36553" t="s">
        <v>8709</v>
      </c>
      <c r="F36553" t="s">
        <v>14129</v>
      </c>
      <c r="G36553" t="s">
        <v>18119</v>
      </c>
      <c r="H36553" t="s">
        <v>33523</v>
      </c>
    </row>
    <row r="36554" spans="1:8">
      <c r="A36554" t="s">
        <v>2988</v>
      </c>
      <c r="B36554">
        <f>HYPERLINK("https://android.googlesource.com/platform/cts/+/9f1f9fd884ef5d06ca5559b03b60be9d6dffe747", "9f1f9fd884ef5d06ca5559b03b60be9d6dffe747")</f>
        <v>0</v>
      </c>
      <c r="C36554">
        <f>HYPERLINK("https://android.googlesource.com/platform/cts/+/7fe199251e4b46ea8f1bc854e021b3e5a7dd9639", "7fe199251e4b46ea8f1bc854e021b3e5a7dd9639")</f>
        <v>0</v>
      </c>
      <c r="D36554" t="s">
        <v>5481</v>
      </c>
      <c r="E36554" t="s">
        <v>8710</v>
      </c>
      <c r="F36554" t="s">
        <v>14124</v>
      </c>
      <c r="G36554" t="s">
        <v>18114</v>
      </c>
      <c r="H36554" t="s">
        <v>25959</v>
      </c>
    </row>
    <row r="36555" spans="1:8">
      <c r="A36555" t="s">
        <v>2989</v>
      </c>
      <c r="B36555">
        <f>HYPERLINK("https://android.googlesource.com/platform/cts/+/8acfb016f012894bb7e7c1fa4d65a61f8417dffc", "8acfb016f012894bb7e7c1fa4d65a61f8417dffc")</f>
        <v>0</v>
      </c>
      <c r="C36555">
        <f>HYPERLINK("https://android.googlesource.com/platform/cts/+/82aa7590736664aca8cf2255ffd148006fa9f442", "82aa7590736664aca8cf2255ffd148006fa9f442")</f>
        <v>0</v>
      </c>
      <c r="D36555" t="s">
        <v>5096</v>
      </c>
      <c r="E36555" t="s">
        <v>8711</v>
      </c>
      <c r="F36555" t="s">
        <v>13220</v>
      </c>
      <c r="G36555" t="s">
        <v>17361</v>
      </c>
      <c r="H36555" t="s">
        <v>33524</v>
      </c>
    </row>
    <row r="36556" spans="1:8">
      <c r="A36556" t="s">
        <v>2990</v>
      </c>
      <c r="B36556">
        <f>HYPERLINK("https://android.googlesource.com/platform/cts/+/e6b660abc0148d556f18d25ec49a0eb91ce3386c", "e6b660abc0148d556f18d25ec49a0eb91ce3386c")</f>
        <v>0</v>
      </c>
      <c r="C36556">
        <f>HYPERLINK("https://android.googlesource.com/platform/cts/+/d687c4673aa37fc27c758f8fd4ef5e09b1ce6873", "d687c4673aa37fc27c758f8fd4ef5e09b1ce6873")</f>
        <v>0</v>
      </c>
      <c r="D36556" t="s">
        <v>5341</v>
      </c>
      <c r="E36556" t="s">
        <v>8712</v>
      </c>
      <c r="F36556" t="s">
        <v>12879</v>
      </c>
      <c r="G36556" t="s">
        <v>17046</v>
      </c>
      <c r="H36556" t="s">
        <v>25497</v>
      </c>
    </row>
    <row r="36557" spans="1:8">
      <c r="H36557" t="s">
        <v>20244</v>
      </c>
    </row>
    <row r="36558" spans="1:8">
      <c r="H36558" t="s">
        <v>33525</v>
      </c>
    </row>
    <row r="36559" spans="1:8">
      <c r="H36559" t="s">
        <v>18829</v>
      </c>
    </row>
    <row r="36560" spans="1:8">
      <c r="H36560" t="s">
        <v>18863</v>
      </c>
    </row>
    <row r="36561" spans="8:8">
      <c r="H36561" t="s">
        <v>20441</v>
      </c>
    </row>
    <row r="36562" spans="8:8">
      <c r="H36562" t="s">
        <v>26762</v>
      </c>
    </row>
    <row r="36563" spans="8:8">
      <c r="H36563" t="s">
        <v>33526</v>
      </c>
    </row>
    <row r="36564" spans="8:8">
      <c r="H36564" t="s">
        <v>33527</v>
      </c>
    </row>
    <row r="36565" spans="8:8">
      <c r="H36565" t="s">
        <v>33528</v>
      </c>
    </row>
    <row r="36566" spans="8:8">
      <c r="H36566" t="s">
        <v>33529</v>
      </c>
    </row>
    <row r="36567" spans="8:8">
      <c r="H36567" t="s">
        <v>33530</v>
      </c>
    </row>
    <row r="36568" spans="8:8">
      <c r="H36568" t="s">
        <v>33531</v>
      </c>
    </row>
    <row r="36569" spans="8:8">
      <c r="H36569" t="s">
        <v>33532</v>
      </c>
    </row>
    <row r="36570" spans="8:8">
      <c r="H36570" t="s">
        <v>33533</v>
      </c>
    </row>
    <row r="36571" spans="8:8">
      <c r="H36571" t="s">
        <v>33534</v>
      </c>
    </row>
    <row r="36572" spans="8:8">
      <c r="H36572" t="s">
        <v>33535</v>
      </c>
    </row>
    <row r="36573" spans="8:8">
      <c r="H36573" t="s">
        <v>33536</v>
      </c>
    </row>
    <row r="36574" spans="8:8">
      <c r="H36574" t="s">
        <v>33537</v>
      </c>
    </row>
    <row r="36575" spans="8:8">
      <c r="H36575" t="s">
        <v>33538</v>
      </c>
    </row>
    <row r="36576" spans="8:8">
      <c r="H36576" t="s">
        <v>33539</v>
      </c>
    </row>
    <row r="36577" spans="8:8">
      <c r="H36577" t="s">
        <v>33540</v>
      </c>
    </row>
    <row r="36578" spans="8:8">
      <c r="H36578" t="s">
        <v>33541</v>
      </c>
    </row>
    <row r="36579" spans="8:8">
      <c r="H36579" t="s">
        <v>33542</v>
      </c>
    </row>
    <row r="36580" spans="8:8">
      <c r="H36580" t="s">
        <v>33543</v>
      </c>
    </row>
    <row r="36581" spans="8:8">
      <c r="H36581" t="s">
        <v>33544</v>
      </c>
    </row>
    <row r="36582" spans="8:8">
      <c r="H36582" t="s">
        <v>33545</v>
      </c>
    </row>
    <row r="36583" spans="8:8">
      <c r="H36583" t="s">
        <v>33546</v>
      </c>
    </row>
    <row r="36584" spans="8:8">
      <c r="H36584" t="s">
        <v>33547</v>
      </c>
    </row>
    <row r="36585" spans="8:8">
      <c r="H36585" t="s">
        <v>33548</v>
      </c>
    </row>
    <row r="36586" spans="8:8">
      <c r="H36586" t="s">
        <v>33549</v>
      </c>
    </row>
    <row r="36587" spans="8:8">
      <c r="H36587" t="s">
        <v>28470</v>
      </c>
    </row>
    <row r="36588" spans="8:8">
      <c r="H36588" t="s">
        <v>33550</v>
      </c>
    </row>
    <row r="36589" spans="8:8">
      <c r="H36589" t="s">
        <v>33551</v>
      </c>
    </row>
    <row r="36590" spans="8:8">
      <c r="H36590" t="s">
        <v>33552</v>
      </c>
    </row>
    <row r="36591" spans="8:8">
      <c r="H36591" t="s">
        <v>33553</v>
      </c>
    </row>
    <row r="36592" spans="8:8">
      <c r="H36592" t="s">
        <v>33554</v>
      </c>
    </row>
    <row r="36593" spans="8:8">
      <c r="H36593" t="s">
        <v>33555</v>
      </c>
    </row>
    <row r="36594" spans="8:8">
      <c r="H36594" t="s">
        <v>33556</v>
      </c>
    </row>
    <row r="36595" spans="8:8">
      <c r="H36595" t="s">
        <v>33557</v>
      </c>
    </row>
    <row r="36596" spans="8:8">
      <c r="H36596" t="s">
        <v>33558</v>
      </c>
    </row>
    <row r="36597" spans="8:8">
      <c r="H36597" t="s">
        <v>33559</v>
      </c>
    </row>
    <row r="36598" spans="8:8">
      <c r="H36598" t="s">
        <v>33560</v>
      </c>
    </row>
    <row r="36599" spans="8:8">
      <c r="H36599" t="s">
        <v>33561</v>
      </c>
    </row>
    <row r="36600" spans="8:8">
      <c r="H36600" t="s">
        <v>33562</v>
      </c>
    </row>
    <row r="36601" spans="8:8">
      <c r="H36601" t="s">
        <v>33563</v>
      </c>
    </row>
    <row r="36602" spans="8:8">
      <c r="H36602" t="s">
        <v>33564</v>
      </c>
    </row>
    <row r="36603" spans="8:8">
      <c r="H36603" t="s">
        <v>33565</v>
      </c>
    </row>
    <row r="36604" spans="8:8">
      <c r="H36604" t="s">
        <v>33566</v>
      </c>
    </row>
    <row r="36605" spans="8:8">
      <c r="H36605" t="s">
        <v>33567</v>
      </c>
    </row>
    <row r="36606" spans="8:8">
      <c r="H36606" t="s">
        <v>33568</v>
      </c>
    </row>
    <row r="36607" spans="8:8">
      <c r="H36607" t="s">
        <v>33569</v>
      </c>
    </row>
    <row r="36608" spans="8:8">
      <c r="H36608" t="s">
        <v>22590</v>
      </c>
    </row>
    <row r="36609" spans="6:8">
      <c r="H36609" t="s">
        <v>33570</v>
      </c>
    </row>
    <row r="36610" spans="6:8">
      <c r="F36610" t="s">
        <v>14130</v>
      </c>
      <c r="G36610" t="s">
        <v>18120</v>
      </c>
      <c r="H36610" t="s">
        <v>33571</v>
      </c>
    </row>
    <row r="36611" spans="6:8">
      <c r="F36611" t="s">
        <v>13758</v>
      </c>
      <c r="G36611" t="s">
        <v>17817</v>
      </c>
      <c r="H36611" t="s">
        <v>30899</v>
      </c>
    </row>
    <row r="36612" spans="6:8">
      <c r="H36612" t="s">
        <v>33572</v>
      </c>
    </row>
    <row r="36613" spans="6:8">
      <c r="H36613" t="s">
        <v>19721</v>
      </c>
    </row>
    <row r="36614" spans="6:8">
      <c r="H36614" t="s">
        <v>33573</v>
      </c>
    </row>
    <row r="36615" spans="6:8">
      <c r="H36615" t="s">
        <v>33574</v>
      </c>
    </row>
    <row r="36616" spans="6:8">
      <c r="H36616" t="s">
        <v>33575</v>
      </c>
    </row>
    <row r="36617" spans="6:8">
      <c r="H36617" t="s">
        <v>33576</v>
      </c>
    </row>
    <row r="36618" spans="6:8">
      <c r="H36618" t="s">
        <v>33577</v>
      </c>
    </row>
    <row r="36619" spans="6:8">
      <c r="H36619" t="s">
        <v>33578</v>
      </c>
    </row>
    <row r="36620" spans="6:8">
      <c r="H36620" t="s">
        <v>33579</v>
      </c>
    </row>
    <row r="36621" spans="6:8">
      <c r="H36621" t="s">
        <v>33580</v>
      </c>
    </row>
    <row r="36622" spans="6:8">
      <c r="H36622" t="s">
        <v>33581</v>
      </c>
    </row>
    <row r="36623" spans="6:8">
      <c r="H36623" t="s">
        <v>33582</v>
      </c>
    </row>
    <row r="36624" spans="6:8">
      <c r="H36624" t="s">
        <v>33583</v>
      </c>
    </row>
    <row r="36625" spans="8:8">
      <c r="H36625" t="s">
        <v>33584</v>
      </c>
    </row>
    <row r="36626" spans="8:8">
      <c r="H36626" t="s">
        <v>33585</v>
      </c>
    </row>
    <row r="36627" spans="8:8">
      <c r="H36627" t="s">
        <v>33586</v>
      </c>
    </row>
    <row r="36628" spans="8:8">
      <c r="H36628" t="s">
        <v>26758</v>
      </c>
    </row>
    <row r="36629" spans="8:8">
      <c r="H36629" t="s">
        <v>33587</v>
      </c>
    </row>
    <row r="36630" spans="8:8">
      <c r="H36630" t="s">
        <v>26759</v>
      </c>
    </row>
    <row r="36631" spans="8:8">
      <c r="H36631" t="s">
        <v>33588</v>
      </c>
    </row>
    <row r="36632" spans="8:8">
      <c r="H36632" t="s">
        <v>33589</v>
      </c>
    </row>
    <row r="36633" spans="8:8">
      <c r="H36633" t="s">
        <v>33590</v>
      </c>
    </row>
    <row r="36634" spans="8:8">
      <c r="H36634" t="s">
        <v>33591</v>
      </c>
    </row>
    <row r="36635" spans="8:8">
      <c r="H36635" t="s">
        <v>33592</v>
      </c>
    </row>
    <row r="36636" spans="8:8">
      <c r="H36636" t="s">
        <v>33593</v>
      </c>
    </row>
    <row r="36637" spans="8:8">
      <c r="H36637" t="s">
        <v>33594</v>
      </c>
    </row>
    <row r="36638" spans="8:8">
      <c r="H36638" t="s">
        <v>33595</v>
      </c>
    </row>
    <row r="36639" spans="8:8">
      <c r="H36639" t="s">
        <v>21323</v>
      </c>
    </row>
    <row r="36640" spans="8:8">
      <c r="H36640" t="s">
        <v>33596</v>
      </c>
    </row>
    <row r="36641" spans="1:8">
      <c r="H36641" t="s">
        <v>33596</v>
      </c>
    </row>
    <row r="36642" spans="1:8">
      <c r="H36642" t="s">
        <v>33597</v>
      </c>
    </row>
    <row r="36643" spans="1:8">
      <c r="H36643" t="s">
        <v>33598</v>
      </c>
    </row>
    <row r="36644" spans="1:8">
      <c r="H36644" t="s">
        <v>33599</v>
      </c>
    </row>
    <row r="36645" spans="1:8">
      <c r="H36645" t="s">
        <v>33600</v>
      </c>
    </row>
    <row r="36646" spans="1:8">
      <c r="H36646" t="s">
        <v>33601</v>
      </c>
    </row>
    <row r="36647" spans="1:8">
      <c r="H36647" t="s">
        <v>33602</v>
      </c>
    </row>
    <row r="36648" spans="1:8">
      <c r="H36648" t="s">
        <v>33586</v>
      </c>
    </row>
    <row r="36649" spans="1:8">
      <c r="H36649" t="s">
        <v>33603</v>
      </c>
    </row>
    <row r="36650" spans="1:8">
      <c r="H36650" t="s">
        <v>33604</v>
      </c>
    </row>
    <row r="36651" spans="1:8">
      <c r="H36651" t="s">
        <v>33605</v>
      </c>
    </row>
    <row r="36652" spans="1:8">
      <c r="H36652" t="s">
        <v>21400</v>
      </c>
    </row>
    <row r="36653" spans="1:8">
      <c r="H36653" t="s">
        <v>33606</v>
      </c>
    </row>
    <row r="36654" spans="1:8">
      <c r="H36654" t="s">
        <v>33607</v>
      </c>
    </row>
    <row r="36655" spans="1:8">
      <c r="H36655" t="s">
        <v>33608</v>
      </c>
    </row>
    <row r="36656" spans="1:8">
      <c r="A36656" t="s">
        <v>2991</v>
      </c>
      <c r="B36656">
        <f>HYPERLINK("https://android.googlesource.com/platform/cts/+/fec2d1dfb5f1ddc103930f4a705f7dd966bf6b49", "fec2d1dfb5f1ddc103930f4a705f7dd966bf6b49")</f>
        <v>0</v>
      </c>
      <c r="C36656">
        <f>HYPERLINK("https://android.googlesource.com/platform/cts/+/33f6d5733bdf2042fe89ad965ad7e3825b854121", "33f6d5733bdf2042fe89ad965ad7e3825b854121")</f>
        <v>0</v>
      </c>
      <c r="D36656" t="s">
        <v>5195</v>
      </c>
      <c r="E36656" t="s">
        <v>8713</v>
      </c>
      <c r="F36656" t="s">
        <v>14024</v>
      </c>
      <c r="G36656" t="s">
        <v>16875</v>
      </c>
      <c r="H36656" t="s">
        <v>33609</v>
      </c>
    </row>
    <row r="36657" spans="1:8">
      <c r="A36657" t="s">
        <v>2992</v>
      </c>
      <c r="B36657">
        <f>HYPERLINK("https://android.googlesource.com/platform/cts/+/b5f559ea401d58812b7865fa8c36dd1e9174ffef", "b5f559ea401d58812b7865fa8c36dd1e9174ffef")</f>
        <v>0</v>
      </c>
      <c r="C36657">
        <f>HYPERLINK("https://android.googlesource.com/platform/cts/+/50b5c3681c8d40eca56f2beb9e215421b9a9a286", "50b5c3681c8d40eca56f2beb9e215421b9a9a286")</f>
        <v>0</v>
      </c>
      <c r="D36657" t="s">
        <v>5272</v>
      </c>
      <c r="E36657" t="s">
        <v>8714</v>
      </c>
      <c r="F36657" t="s">
        <v>14131</v>
      </c>
      <c r="G36657" t="s">
        <v>18053</v>
      </c>
      <c r="H36657" t="s">
        <v>33110</v>
      </c>
    </row>
    <row r="36658" spans="1:8">
      <c r="A36658" t="s">
        <v>2993</v>
      </c>
      <c r="B36658">
        <f>HYPERLINK("https://android.googlesource.com/platform/cts/+/40cbd3cbf81766b620cdb1600d88c11f1e700da8", "40cbd3cbf81766b620cdb1600d88c11f1e700da8")</f>
        <v>0</v>
      </c>
      <c r="C36658">
        <f>HYPERLINK("https://android.googlesource.com/platform/cts/+/d9b7d4f050eb5e015923bf263c3e117cdeaab57e", "d9b7d4f050eb5e015923bf263c3e117cdeaab57e")</f>
        <v>0</v>
      </c>
      <c r="D36658" t="s">
        <v>5096</v>
      </c>
      <c r="E36658" t="s">
        <v>8715</v>
      </c>
      <c r="F36658" t="s">
        <v>14132</v>
      </c>
      <c r="G36658" t="s">
        <v>18121</v>
      </c>
      <c r="H36658" t="s">
        <v>33610</v>
      </c>
    </row>
    <row r="36659" spans="1:8">
      <c r="A36659" t="s">
        <v>2994</v>
      </c>
      <c r="B36659">
        <f>HYPERLINK("https://android.googlesource.com/platform/cts/+/07ec0b1162c09a8adad532c897f044c0f43f70d9", "07ec0b1162c09a8adad532c897f044c0f43f70d9")</f>
        <v>0</v>
      </c>
      <c r="C36659">
        <f>HYPERLINK("https://android.googlesource.com/platform/cts/+/40cbd3cbf81766b620cdb1600d88c11f1e700da8", "40cbd3cbf81766b620cdb1600d88c11f1e700da8")</f>
        <v>0</v>
      </c>
      <c r="D36659" t="s">
        <v>5096</v>
      </c>
      <c r="E36659" t="s">
        <v>8716</v>
      </c>
      <c r="F36659" t="s">
        <v>14132</v>
      </c>
      <c r="G36659" t="s">
        <v>18121</v>
      </c>
      <c r="H36659" t="s">
        <v>33611</v>
      </c>
    </row>
    <row r="36660" spans="1:8">
      <c r="H36660" t="s">
        <v>33612</v>
      </c>
    </row>
    <row r="36661" spans="1:8">
      <c r="H36661" t="s">
        <v>33613</v>
      </c>
    </row>
    <row r="36662" spans="1:8">
      <c r="H36662" t="s">
        <v>33614</v>
      </c>
    </row>
    <row r="36663" spans="1:8">
      <c r="H36663" t="s">
        <v>33615</v>
      </c>
    </row>
    <row r="36664" spans="1:8">
      <c r="A36664" t="s">
        <v>2995</v>
      </c>
      <c r="B36664">
        <f>HYPERLINK("https://android.googlesource.com/platform/cts/+/ed7ce0b2f9bc903cb4cdd828edf365e486c65fc5", "ed7ce0b2f9bc903cb4cdd828edf365e486c65fc5")</f>
        <v>0</v>
      </c>
      <c r="C36664">
        <f>HYPERLINK("https://android.googlesource.com/platform/cts/+/4630d23d545e6cf9cf60ede4164831f5cbf7aac2", "4630d23d545e6cf9cf60ede4164831f5cbf7aac2")</f>
        <v>0</v>
      </c>
      <c r="D36664" t="s">
        <v>5494</v>
      </c>
      <c r="E36664" t="s">
        <v>8717</v>
      </c>
      <c r="F36664" t="s">
        <v>14133</v>
      </c>
      <c r="G36664" t="s">
        <v>18122</v>
      </c>
      <c r="H36664" t="s">
        <v>33616</v>
      </c>
    </row>
    <row r="36665" spans="1:8">
      <c r="A36665" t="s">
        <v>2996</v>
      </c>
      <c r="B36665">
        <f>HYPERLINK("https://android.googlesource.com/platform/cts/+/afe2cb7724238e7701217476b902476b31941b15", "afe2cb7724238e7701217476b902476b31941b15")</f>
        <v>0</v>
      </c>
      <c r="C36665">
        <f>HYPERLINK("https://android.googlesource.com/platform/cts/+/2eb0d988e136c3796b9eeb5aef28afac68818f99", "2eb0d988e136c3796b9eeb5aef28afac68818f99")</f>
        <v>0</v>
      </c>
      <c r="D36665" t="s">
        <v>4981</v>
      </c>
      <c r="E36665" t="s">
        <v>8718</v>
      </c>
      <c r="F36665" t="s">
        <v>13225</v>
      </c>
      <c r="G36665" t="s">
        <v>17366</v>
      </c>
      <c r="H36665" t="s">
        <v>33617</v>
      </c>
    </row>
    <row r="36666" spans="1:8">
      <c r="A36666" t="s">
        <v>2997</v>
      </c>
      <c r="B36666">
        <f>HYPERLINK("https://android.googlesource.com/platform/cts/+/3e8c11a192a30d364700f234fa5ae981ecd347f8", "3e8c11a192a30d364700f234fa5ae981ecd347f8")</f>
        <v>0</v>
      </c>
      <c r="C36666">
        <f>HYPERLINK("https://android.googlesource.com/platform/cts/+/ed1b8285b94dc68f7afd9918d69d0922c65e9c2b", "ed1b8285b94dc68f7afd9918d69d0922c65e9c2b")</f>
        <v>0</v>
      </c>
      <c r="D36666" t="s">
        <v>5096</v>
      </c>
      <c r="E36666" t="s">
        <v>8719</v>
      </c>
      <c r="F36666" t="s">
        <v>14134</v>
      </c>
      <c r="G36666" t="s">
        <v>16863</v>
      </c>
      <c r="H36666" t="s">
        <v>33618</v>
      </c>
    </row>
    <row r="36667" spans="1:8">
      <c r="A36667" t="s">
        <v>2998</v>
      </c>
      <c r="B36667">
        <f>HYPERLINK("https://android.googlesource.com/platform/cts/+/eb86f4a3e4df80ac8b08c6215dd9a2f1ece41b72", "eb86f4a3e4df80ac8b08c6215dd9a2f1ece41b72")</f>
        <v>0</v>
      </c>
      <c r="C36667">
        <f>HYPERLINK("https://android.googlesource.com/platform/cts/+/f5dac30b105ca9959784dcb1ad503bd22d298805", "f5dac30b105ca9959784dcb1ad503bd22d298805")</f>
        <v>0</v>
      </c>
      <c r="D36667" t="s">
        <v>5244</v>
      </c>
      <c r="E36667" t="s">
        <v>8720</v>
      </c>
      <c r="F36667" t="s">
        <v>14065</v>
      </c>
      <c r="G36667" t="s">
        <v>18063</v>
      </c>
      <c r="H36667" t="s">
        <v>18863</v>
      </c>
    </row>
    <row r="36668" spans="1:8">
      <c r="H36668" t="s">
        <v>33619</v>
      </c>
    </row>
    <row r="36669" spans="1:8">
      <c r="H36669" t="s">
        <v>19933</v>
      </c>
    </row>
    <row r="36670" spans="1:8">
      <c r="H36670" t="s">
        <v>33620</v>
      </c>
    </row>
    <row r="36671" spans="1:8">
      <c r="A36671" t="s">
        <v>2999</v>
      </c>
      <c r="B36671">
        <f>HYPERLINK("https://android.googlesource.com/platform/cts/+/c59a2981727e0193d4ba7582ee0457078dd5af75", "c59a2981727e0193d4ba7582ee0457078dd5af75")</f>
        <v>0</v>
      </c>
      <c r="C36671">
        <f>HYPERLINK("https://android.googlesource.com/platform/cts/+/c0db8660d95bf9a6e141066af5714327c09b94e4", "c0db8660d95bf9a6e141066af5714327c09b94e4")</f>
        <v>0</v>
      </c>
      <c r="D36671" t="s">
        <v>5485</v>
      </c>
      <c r="E36671" t="s">
        <v>8721</v>
      </c>
      <c r="F36671" t="s">
        <v>14135</v>
      </c>
      <c r="G36671" t="s">
        <v>18123</v>
      </c>
      <c r="H36671" t="s">
        <v>33621</v>
      </c>
    </row>
    <row r="36672" spans="1:8">
      <c r="H36672" t="s">
        <v>33622</v>
      </c>
    </row>
    <row r="36673" spans="1:8">
      <c r="A36673" t="s">
        <v>3000</v>
      </c>
      <c r="B36673">
        <f>HYPERLINK("https://android.googlesource.com/platform/cts/+/1c95db2e84448b7164068c4b401f17966f6945d1", "1c95db2e84448b7164068c4b401f17966f6945d1")</f>
        <v>0</v>
      </c>
      <c r="C36673">
        <f>HYPERLINK("https://android.googlesource.com/platform/cts/+/ff85d9614ee5b1350bad1d70d90fc844fe412030", "ff85d9614ee5b1350bad1d70d90fc844fe412030")</f>
        <v>0</v>
      </c>
      <c r="D36673" t="s">
        <v>5108</v>
      </c>
      <c r="E36673" t="s">
        <v>8722</v>
      </c>
      <c r="F36673" t="s">
        <v>14055</v>
      </c>
      <c r="G36673" t="s">
        <v>17339</v>
      </c>
      <c r="H36673" t="s">
        <v>22581</v>
      </c>
    </row>
    <row r="36674" spans="1:8">
      <c r="F36674" t="s">
        <v>12665</v>
      </c>
      <c r="G36674" t="s">
        <v>16870</v>
      </c>
      <c r="H36674" t="s">
        <v>18829</v>
      </c>
    </row>
    <row r="36675" spans="1:8">
      <c r="H36675" t="s">
        <v>22581</v>
      </c>
    </row>
    <row r="36676" spans="1:8">
      <c r="H36676" t="s">
        <v>32566</v>
      </c>
    </row>
    <row r="36677" spans="1:8">
      <c r="A36677" t="s">
        <v>3001</v>
      </c>
      <c r="B36677">
        <f>HYPERLINK("https://android.googlesource.com/platform/cts/+/01d03c50305edda1446d747463d972011467f1c9", "01d03c50305edda1446d747463d972011467f1c9")</f>
        <v>0</v>
      </c>
      <c r="C36677">
        <f>HYPERLINK("https://android.googlesource.com/platform/cts/+/ba449f4bdd03eab5052a937712c19a8f40af3c03", "ba449f4bdd03eab5052a937712c19a8f40af3c03")</f>
        <v>0</v>
      </c>
      <c r="D36677" t="s">
        <v>5260</v>
      </c>
      <c r="E36677" t="s">
        <v>8723</v>
      </c>
      <c r="F36677" t="s">
        <v>10666</v>
      </c>
      <c r="G36677" t="s">
        <v>15067</v>
      </c>
      <c r="H36677" t="s">
        <v>33050</v>
      </c>
    </row>
    <row r="36678" spans="1:8">
      <c r="H36678" t="s">
        <v>33051</v>
      </c>
    </row>
    <row r="36679" spans="1:8">
      <c r="H36679" t="s">
        <v>33052</v>
      </c>
    </row>
    <row r="36680" spans="1:8">
      <c r="H36680" t="s">
        <v>33053</v>
      </c>
    </row>
    <row r="36681" spans="1:8">
      <c r="H36681" t="s">
        <v>33054</v>
      </c>
    </row>
    <row r="36682" spans="1:8">
      <c r="H36682" t="s">
        <v>33055</v>
      </c>
    </row>
    <row r="36683" spans="1:8">
      <c r="A36683" t="s">
        <v>3002</v>
      </c>
      <c r="B36683">
        <f>HYPERLINK("https://android.googlesource.com/platform/cts/+/c59890980266031bde48cae0e52cb07ecc5a5319", "c59890980266031bde48cae0e52cb07ecc5a5319")</f>
        <v>0</v>
      </c>
      <c r="C36683">
        <f>HYPERLINK("https://android.googlesource.com/platform/cts/+/49dacb566e75c8fec3ca38453d549dd6b9e3f964", "49dacb566e75c8fec3ca38453d549dd6b9e3f964")</f>
        <v>0</v>
      </c>
      <c r="D36683" t="s">
        <v>5472</v>
      </c>
      <c r="E36683" t="s">
        <v>8724</v>
      </c>
      <c r="F36683" t="s">
        <v>14136</v>
      </c>
      <c r="G36683" t="s">
        <v>18124</v>
      </c>
      <c r="H36683" t="s">
        <v>33623</v>
      </c>
    </row>
    <row r="36684" spans="1:8">
      <c r="F36684" t="s">
        <v>14137</v>
      </c>
      <c r="G36684" t="s">
        <v>18125</v>
      </c>
      <c r="H36684" t="s">
        <v>33624</v>
      </c>
    </row>
    <row r="36685" spans="1:8">
      <c r="F36685" t="s">
        <v>12743</v>
      </c>
      <c r="G36685" t="s">
        <v>16935</v>
      </c>
      <c r="H36685" t="s">
        <v>33623</v>
      </c>
    </row>
    <row r="36686" spans="1:8">
      <c r="H36686" t="s">
        <v>33624</v>
      </c>
    </row>
    <row r="36687" spans="1:8">
      <c r="F36687" t="s">
        <v>13136</v>
      </c>
      <c r="G36687" t="s">
        <v>17293</v>
      </c>
      <c r="H36687" t="s">
        <v>33623</v>
      </c>
    </row>
    <row r="36688" spans="1:8">
      <c r="H36688" t="s">
        <v>33624</v>
      </c>
    </row>
    <row r="36689" spans="1:8">
      <c r="F36689" t="s">
        <v>12745</v>
      </c>
      <c r="G36689" t="s">
        <v>16937</v>
      </c>
      <c r="H36689" t="s">
        <v>33624</v>
      </c>
    </row>
    <row r="36690" spans="1:8">
      <c r="A36690" t="s">
        <v>3003</v>
      </c>
      <c r="B36690">
        <f>HYPERLINK("https://android.googlesource.com/platform/cts/+/0506f98267f5134fb7b95a87caf8c62b08aba3d4", "0506f98267f5134fb7b95a87caf8c62b08aba3d4")</f>
        <v>0</v>
      </c>
      <c r="C36690">
        <f>HYPERLINK("https://android.googlesource.com/platform/cts/+/99fea9e2f95d2335ed2e9defd8ad3fda94e5ff39", "99fea9e2f95d2335ed2e9defd8ad3fda94e5ff39")</f>
        <v>0</v>
      </c>
      <c r="D36690" t="s">
        <v>5244</v>
      </c>
      <c r="E36690" t="s">
        <v>8725</v>
      </c>
      <c r="F36690" t="s">
        <v>14065</v>
      </c>
      <c r="G36690" t="s">
        <v>18063</v>
      </c>
      <c r="H36690" t="s">
        <v>33625</v>
      </c>
    </row>
    <row r="36691" spans="1:8">
      <c r="H36691" t="s">
        <v>33626</v>
      </c>
    </row>
    <row r="36692" spans="1:8">
      <c r="A36692" t="s">
        <v>3004</v>
      </c>
      <c r="B36692">
        <f>HYPERLINK("https://android.googlesource.com/platform/cts/+/d18b60daf288b7b58ea0ae3c9d219cfd50fa90db", "d18b60daf288b7b58ea0ae3c9d219cfd50fa90db")</f>
        <v>0</v>
      </c>
      <c r="C36692">
        <f>HYPERLINK("https://android.googlesource.com/platform/cts/+/5f5a3dfb2a84074518a70caf9f5efe953d6a42ec", "5f5a3dfb2a84074518a70caf9f5efe953d6a42ec")</f>
        <v>0</v>
      </c>
      <c r="D36692" t="s">
        <v>5456</v>
      </c>
      <c r="E36692" t="s">
        <v>8726</v>
      </c>
      <c r="F36692" t="s">
        <v>13846</v>
      </c>
      <c r="G36692" t="s">
        <v>17889</v>
      </c>
      <c r="H36692" t="s">
        <v>32992</v>
      </c>
    </row>
    <row r="36693" spans="1:8">
      <c r="F36693" t="s">
        <v>13899</v>
      </c>
      <c r="G36693" t="s">
        <v>17889</v>
      </c>
      <c r="H36693" t="s">
        <v>32992</v>
      </c>
    </row>
    <row r="36694" spans="1:8">
      <c r="A36694" t="s">
        <v>3005</v>
      </c>
      <c r="B36694">
        <f>HYPERLINK("https://android.googlesource.com/platform/cts/+/8acdac579558fa133dbb661ed001366b324774f8", "8acdac579558fa133dbb661ed001366b324774f8")</f>
        <v>0</v>
      </c>
      <c r="C36694">
        <f>HYPERLINK("https://android.googlesource.com/platform/cts/+/64e116df3192299b266289f1b235fcab29317c6a", "64e116df3192299b266289f1b235fcab29317c6a")</f>
        <v>0</v>
      </c>
      <c r="D36694" t="s">
        <v>5495</v>
      </c>
      <c r="E36694" t="s">
        <v>8727</v>
      </c>
      <c r="F36694" t="s">
        <v>14138</v>
      </c>
      <c r="G36694" t="s">
        <v>18126</v>
      </c>
      <c r="H36694" t="s">
        <v>33627</v>
      </c>
    </row>
    <row r="36695" spans="1:8">
      <c r="H36695" t="s">
        <v>33628</v>
      </c>
    </row>
    <row r="36696" spans="1:8">
      <c r="H36696" t="s">
        <v>33629</v>
      </c>
    </row>
    <row r="36697" spans="1:8">
      <c r="H36697" t="s">
        <v>33630</v>
      </c>
    </row>
    <row r="36698" spans="1:8">
      <c r="H36698" t="s">
        <v>33631</v>
      </c>
    </row>
    <row r="36699" spans="1:8">
      <c r="F36699" t="s">
        <v>12629</v>
      </c>
      <c r="G36699" t="s">
        <v>16838</v>
      </c>
      <c r="H36699" t="s">
        <v>33627</v>
      </c>
    </row>
    <row r="36700" spans="1:8">
      <c r="F36700" t="s">
        <v>12768</v>
      </c>
      <c r="G36700" t="s">
        <v>15710</v>
      </c>
      <c r="H36700" t="s">
        <v>33632</v>
      </c>
    </row>
    <row r="36701" spans="1:8">
      <c r="H36701" t="s">
        <v>33633</v>
      </c>
    </row>
    <row r="36702" spans="1:8">
      <c r="A36702" t="s">
        <v>3006</v>
      </c>
      <c r="B36702">
        <f>HYPERLINK("https://android.googlesource.com/platform/cts/+/cc2df551525d564950c4b0c74dc265efa2c03034", "cc2df551525d564950c4b0c74dc265efa2c03034")</f>
        <v>0</v>
      </c>
      <c r="C36702">
        <f>HYPERLINK("https://android.googlesource.com/platform/cts/+/fbbeba6bb9268d1666eb85b4bd16e9fe7a4db140", "fbbeba6bb9268d1666eb85b4bd16e9fe7a4db140")</f>
        <v>0</v>
      </c>
      <c r="D36702" t="s">
        <v>5148</v>
      </c>
      <c r="E36702" t="s">
        <v>8728</v>
      </c>
      <c r="F36702" t="s">
        <v>14139</v>
      </c>
      <c r="G36702" t="s">
        <v>18127</v>
      </c>
      <c r="H36702" t="s">
        <v>33634</v>
      </c>
    </row>
    <row r="36703" spans="1:8">
      <c r="A36703" t="s">
        <v>3007</v>
      </c>
      <c r="B36703">
        <f>HYPERLINK("https://android.googlesource.com/platform/cts/+/b82dca1add69f1c61444f027b40a540b25801dca", "b82dca1add69f1c61444f027b40a540b25801dca")</f>
        <v>0</v>
      </c>
      <c r="C36703">
        <f>HYPERLINK("https://android.googlesource.com/platform/cts/+/9746968f7fa01dca0b56ea0dc65e7f0a0d6ff2e1", "9746968f7fa01dca0b56ea0dc65e7f0a0d6ff2e1")</f>
        <v>0</v>
      </c>
      <c r="D36703" t="s">
        <v>5344</v>
      </c>
      <c r="E36703" t="s">
        <v>8729</v>
      </c>
      <c r="F36703" t="s">
        <v>13402</v>
      </c>
      <c r="G36703" t="s">
        <v>17528</v>
      </c>
      <c r="H36703" t="s">
        <v>33635</v>
      </c>
    </row>
    <row r="36704" spans="1:8">
      <c r="A36704" t="s">
        <v>3008</v>
      </c>
      <c r="B36704">
        <f>HYPERLINK("https://android.googlesource.com/platform/cts/+/97bf764630ad899ff7a179042dd9727117413bdc", "97bf764630ad899ff7a179042dd9727117413bdc")</f>
        <v>0</v>
      </c>
      <c r="C36704">
        <f>HYPERLINK("https://android.googlesource.com/platform/cts/+/0846894b0d4b1e6bcbc00d53a482279064843dc7", "0846894b0d4b1e6bcbc00d53a482279064843dc7")</f>
        <v>0</v>
      </c>
      <c r="D36704" t="s">
        <v>5263</v>
      </c>
      <c r="E36704" t="s">
        <v>8730</v>
      </c>
      <c r="F36704" t="s">
        <v>14140</v>
      </c>
      <c r="G36704" t="s">
        <v>18128</v>
      </c>
      <c r="H36704" t="s">
        <v>33636</v>
      </c>
    </row>
    <row r="36705" spans="1:8">
      <c r="A36705" t="s">
        <v>3009</v>
      </c>
      <c r="B36705">
        <f>HYPERLINK("https://android.googlesource.com/platform/cts/+/8fee40a9bd3333c1db63a55abb5b692ae59b9a90", "8fee40a9bd3333c1db63a55abb5b692ae59b9a90")</f>
        <v>0</v>
      </c>
      <c r="C36705">
        <f>HYPERLINK("https://android.googlesource.com/platform/cts/+/daa081af3c6243d1e7a65abe1c729f33da26b028", "daa081af3c6243d1e7a65abe1c729f33da26b028")</f>
        <v>0</v>
      </c>
      <c r="D36705" t="s">
        <v>5353</v>
      </c>
      <c r="E36705" t="s">
        <v>8731</v>
      </c>
      <c r="F36705" t="s">
        <v>12809</v>
      </c>
      <c r="G36705" t="s">
        <v>16990</v>
      </c>
      <c r="H36705" t="s">
        <v>33637</v>
      </c>
    </row>
    <row r="36706" spans="1:8">
      <c r="F36706" t="s">
        <v>12771</v>
      </c>
      <c r="G36706" t="s">
        <v>16958</v>
      </c>
      <c r="H36706" t="s">
        <v>33637</v>
      </c>
    </row>
    <row r="36707" spans="1:8">
      <c r="A36707" t="s">
        <v>3010</v>
      </c>
      <c r="B36707">
        <f>HYPERLINK("https://android.googlesource.com/platform/cts/+/4c563f41ff6798d733730201ac1329e19f61383d", "4c563f41ff6798d733730201ac1329e19f61383d")</f>
        <v>0</v>
      </c>
      <c r="C36707">
        <f>HYPERLINK("https://android.googlesource.com/platform/cts/+/b2d275d6f96c3914758e8d9fffb739ae4aaf5723", "b2d275d6f96c3914758e8d9fffb739ae4aaf5723")</f>
        <v>0</v>
      </c>
      <c r="D36707" t="s">
        <v>5456</v>
      </c>
      <c r="E36707" t="s">
        <v>8732</v>
      </c>
      <c r="F36707" t="s">
        <v>13846</v>
      </c>
      <c r="G36707" t="s">
        <v>17889</v>
      </c>
      <c r="H36707" t="s">
        <v>32997</v>
      </c>
    </row>
    <row r="36708" spans="1:8">
      <c r="F36708" t="s">
        <v>13899</v>
      </c>
      <c r="G36708" t="s">
        <v>17889</v>
      </c>
      <c r="H36708" t="s">
        <v>32998</v>
      </c>
    </row>
    <row r="36709" spans="1:8">
      <c r="H36709" t="s">
        <v>32997</v>
      </c>
    </row>
    <row r="36710" spans="1:8">
      <c r="A36710" t="s">
        <v>3011</v>
      </c>
      <c r="B36710">
        <f>HYPERLINK("https://android.googlesource.com/platform/cts/+/5b8ca384dcf6af547fd90c907ec9cabe90acd9dc", "5b8ca384dcf6af547fd90c907ec9cabe90acd9dc")</f>
        <v>0</v>
      </c>
      <c r="C36710">
        <f>HYPERLINK("https://android.googlesource.com/platform/cts/+/a02c4a8a6a9327903b95bb2072d7cee70e4b4650", "a02c4a8a6a9327903b95bb2072d7cee70e4b4650")</f>
        <v>0</v>
      </c>
      <c r="D36710" t="s">
        <v>5492</v>
      </c>
      <c r="E36710" t="s">
        <v>8733</v>
      </c>
      <c r="F36710" t="s">
        <v>13816</v>
      </c>
      <c r="G36710" t="s">
        <v>15089</v>
      </c>
      <c r="H36710" t="s">
        <v>33638</v>
      </c>
    </row>
    <row r="36711" spans="1:8">
      <c r="A36711" t="s">
        <v>3012</v>
      </c>
      <c r="B36711">
        <f>HYPERLINK("https://android.googlesource.com/platform/cts/+/431a17c36b6a49c9c815f1b41a908f2c03df97d6", "431a17c36b6a49c9c815f1b41a908f2c03df97d6")</f>
        <v>0</v>
      </c>
      <c r="C36711">
        <f>HYPERLINK("https://android.googlesource.com/platform/cts/+/d72c8d258a3494c49ab03be456e15aca65d893a2", "d72c8d258a3494c49ab03be456e15aca65d893a2")</f>
        <v>0</v>
      </c>
      <c r="D36711" t="s">
        <v>5298</v>
      </c>
      <c r="E36711" t="s">
        <v>8734</v>
      </c>
      <c r="F36711" t="s">
        <v>14141</v>
      </c>
      <c r="G36711" t="s">
        <v>18129</v>
      </c>
      <c r="H36711" t="s">
        <v>20083</v>
      </c>
    </row>
    <row r="36712" spans="1:8">
      <c r="H36712" t="s">
        <v>29082</v>
      </c>
    </row>
    <row r="36713" spans="1:8">
      <c r="H36713" t="s">
        <v>33639</v>
      </c>
    </row>
    <row r="36714" spans="1:8">
      <c r="H36714" t="s">
        <v>33640</v>
      </c>
    </row>
    <row r="36715" spans="1:8">
      <c r="H36715" t="s">
        <v>33641</v>
      </c>
    </row>
    <row r="36716" spans="1:8">
      <c r="H36716" t="s">
        <v>33256</v>
      </c>
    </row>
    <row r="36717" spans="1:8">
      <c r="F36717" t="s">
        <v>14142</v>
      </c>
      <c r="G36717" t="s">
        <v>18130</v>
      </c>
      <c r="H36717" t="s">
        <v>33642</v>
      </c>
    </row>
    <row r="36718" spans="1:8">
      <c r="H36718" t="s">
        <v>33643</v>
      </c>
    </row>
    <row r="36719" spans="1:8">
      <c r="H36719" t="s">
        <v>33644</v>
      </c>
    </row>
    <row r="36720" spans="1:8">
      <c r="A36720" t="s">
        <v>3013</v>
      </c>
      <c r="B36720">
        <f>HYPERLINK("https://android.googlesource.com/platform/cts/+/8b3e3b39a1311c8934cc694498f5c853671f8039", "8b3e3b39a1311c8934cc694498f5c853671f8039")</f>
        <v>0</v>
      </c>
      <c r="C36720">
        <f>HYPERLINK("https://android.googlesource.com/platform/cts/+/79a22b0f5a7cbfd439918824b05197a19ce2ac62", "79a22b0f5a7cbfd439918824b05197a19ce2ac62")</f>
        <v>0</v>
      </c>
      <c r="D36720" t="s">
        <v>5374</v>
      </c>
      <c r="E36720" t="s">
        <v>8735</v>
      </c>
      <c r="F36720" t="s">
        <v>13165</v>
      </c>
      <c r="G36720" t="s">
        <v>17315</v>
      </c>
      <c r="H36720" t="s">
        <v>33645</v>
      </c>
    </row>
    <row r="36721" spans="1:8">
      <c r="H36721" t="s">
        <v>33646</v>
      </c>
    </row>
    <row r="36722" spans="1:8">
      <c r="A36722" t="s">
        <v>3014</v>
      </c>
      <c r="B36722">
        <f>HYPERLINK("https://android.googlesource.com/platform/cts/+/b67db77351f3dad909ec53bb777bd2a60c67ad86", "b67db77351f3dad909ec53bb777bd2a60c67ad86")</f>
        <v>0</v>
      </c>
      <c r="C36722">
        <f>HYPERLINK("https://android.googlesource.com/platform/cts/+/36dcd1a620217e24698f79c4325f10dcebedd239", "36dcd1a620217e24698f79c4325f10dcebedd239")</f>
        <v>0</v>
      </c>
      <c r="D36722" t="s">
        <v>5374</v>
      </c>
      <c r="E36722" t="s">
        <v>8736</v>
      </c>
      <c r="F36722" t="s">
        <v>13165</v>
      </c>
      <c r="G36722" t="s">
        <v>17315</v>
      </c>
      <c r="H36722" t="s">
        <v>33645</v>
      </c>
    </row>
    <row r="36723" spans="1:8">
      <c r="H36723" t="s">
        <v>33646</v>
      </c>
    </row>
    <row r="36724" spans="1:8">
      <c r="A36724" t="s">
        <v>3015</v>
      </c>
      <c r="B36724">
        <f>HYPERLINK("https://android.googlesource.com/platform/cts/+/d21fb436ed0a5b65715f57f6858b03db6dd5cd42", "d21fb436ed0a5b65715f57f6858b03db6dd5cd42")</f>
        <v>0</v>
      </c>
      <c r="C36724">
        <f>HYPERLINK("https://android.googlesource.com/platform/cts/+/6513f90f1830a14c3206d7fef00e2ea74092b327", "6513f90f1830a14c3206d7fef00e2ea74092b327")</f>
        <v>0</v>
      </c>
      <c r="D36724" t="s">
        <v>5096</v>
      </c>
      <c r="E36724" t="s">
        <v>8737</v>
      </c>
      <c r="F36724" t="s">
        <v>14143</v>
      </c>
      <c r="G36724" t="s">
        <v>18131</v>
      </c>
      <c r="H36724" t="s">
        <v>33647</v>
      </c>
    </row>
    <row r="36725" spans="1:8">
      <c r="A36725" t="s">
        <v>3016</v>
      </c>
      <c r="B36725">
        <f>HYPERLINK("https://android.googlesource.com/platform/cts/+/742d846d447c0cbe14b7ec23ef9a6b4a1937c2db", "742d846d447c0cbe14b7ec23ef9a6b4a1937c2db")</f>
        <v>0</v>
      </c>
      <c r="C36725">
        <f>HYPERLINK("https://android.googlesource.com/platform/cts/+/4b78bcd343e24277b30b90ae0fbabc01ecd38c60", "4b78bcd343e24277b30b90ae0fbabc01ecd38c60")</f>
        <v>0</v>
      </c>
      <c r="D36725" t="s">
        <v>5389</v>
      </c>
      <c r="E36725" t="s">
        <v>8738</v>
      </c>
      <c r="F36725" t="s">
        <v>12897</v>
      </c>
      <c r="G36725" t="s">
        <v>16824</v>
      </c>
      <c r="H36725" t="s">
        <v>33648</v>
      </c>
    </row>
    <row r="36726" spans="1:8">
      <c r="H36726" t="s">
        <v>33649</v>
      </c>
    </row>
    <row r="36727" spans="1:8">
      <c r="F36727" t="s">
        <v>13992</v>
      </c>
      <c r="G36727" t="s">
        <v>16620</v>
      </c>
      <c r="H36727" t="s">
        <v>33650</v>
      </c>
    </row>
    <row r="36728" spans="1:8">
      <c r="H36728" t="s">
        <v>33651</v>
      </c>
    </row>
    <row r="36729" spans="1:8">
      <c r="F36729" t="s">
        <v>13816</v>
      </c>
      <c r="G36729" t="s">
        <v>15089</v>
      </c>
      <c r="H36729" t="s">
        <v>33652</v>
      </c>
    </row>
    <row r="36730" spans="1:8">
      <c r="H36730" t="s">
        <v>33653</v>
      </c>
    </row>
    <row r="36731" spans="1:8">
      <c r="H36731" t="s">
        <v>33654</v>
      </c>
    </row>
    <row r="36732" spans="1:8">
      <c r="H36732" t="s">
        <v>33655</v>
      </c>
    </row>
    <row r="36733" spans="1:8">
      <c r="A36733" t="s">
        <v>3017</v>
      </c>
      <c r="B36733">
        <f>HYPERLINK("https://android.googlesource.com/platform/cts/+/10c0c6699cdabec767a07c80962ab1f6def98ec7", "10c0c6699cdabec767a07c80962ab1f6def98ec7")</f>
        <v>0</v>
      </c>
      <c r="C36733">
        <f>HYPERLINK("https://android.googlesource.com/platform/cts/+/c09f046a08ac7e71f927aab69a6c33443ae8358f", "c09f046a08ac7e71f927aab69a6c33443ae8358f")</f>
        <v>0</v>
      </c>
      <c r="D36733" t="s">
        <v>5496</v>
      </c>
      <c r="E36733" t="s">
        <v>8739</v>
      </c>
      <c r="F36733" t="s">
        <v>14144</v>
      </c>
      <c r="G36733" t="s">
        <v>18132</v>
      </c>
      <c r="H36733" t="s">
        <v>19930</v>
      </c>
    </row>
    <row r="36734" spans="1:8">
      <c r="H36734" t="s">
        <v>33656</v>
      </c>
    </row>
    <row r="36735" spans="1:8">
      <c r="H36735" t="s">
        <v>33657</v>
      </c>
    </row>
    <row r="36736" spans="1:8">
      <c r="H36736" t="s">
        <v>33658</v>
      </c>
    </row>
    <row r="36737" spans="1:8">
      <c r="H36737" t="s">
        <v>33659</v>
      </c>
    </row>
    <row r="36738" spans="1:8">
      <c r="A36738" t="s">
        <v>3018</v>
      </c>
      <c r="B36738">
        <f>HYPERLINK("https://android.googlesource.com/platform/cts/+/28f717b227f801799dabcb1b105fd77fde32b5da", "28f717b227f801799dabcb1b105fd77fde32b5da")</f>
        <v>0</v>
      </c>
      <c r="C36738">
        <f>HYPERLINK("https://android.googlesource.com/platform/cts/+/46cfea1d50b9b8fd085e99b7e73188856e955a5e", "46cfea1d50b9b8fd085e99b7e73188856e955a5e")</f>
        <v>0</v>
      </c>
      <c r="D36738" t="s">
        <v>5497</v>
      </c>
      <c r="E36738" t="s">
        <v>8740</v>
      </c>
      <c r="F36738" t="s">
        <v>14145</v>
      </c>
      <c r="G36738" t="s">
        <v>18133</v>
      </c>
      <c r="H36738" t="s">
        <v>33660</v>
      </c>
    </row>
    <row r="36739" spans="1:8">
      <c r="A36739" t="s">
        <v>3019</v>
      </c>
      <c r="B36739">
        <f>HYPERLINK("https://android.googlesource.com/platform/cts/+/0348914459ba54f9b059ffde5e8c7e3924f86a65", "0348914459ba54f9b059ffde5e8c7e3924f86a65")</f>
        <v>0</v>
      </c>
      <c r="C36739">
        <f>HYPERLINK("https://android.googlesource.com/platform/cts/+/4eb5b9ddd2499d93aed357b53313d611915ca49b", "4eb5b9ddd2499d93aed357b53313d611915ca49b")</f>
        <v>0</v>
      </c>
      <c r="D36739" t="s">
        <v>5363</v>
      </c>
      <c r="E36739" t="s">
        <v>8741</v>
      </c>
      <c r="F36739" t="s">
        <v>14146</v>
      </c>
      <c r="G36739" t="s">
        <v>18134</v>
      </c>
      <c r="H36739" t="s">
        <v>32901</v>
      </c>
    </row>
    <row r="36740" spans="1:8">
      <c r="A36740" t="s">
        <v>3020</v>
      </c>
      <c r="B36740">
        <f>HYPERLINK("https://android.googlesource.com/platform/cts/+/387842de5107d186619035483e89b40e97c49757", "387842de5107d186619035483e89b40e97c49757")</f>
        <v>0</v>
      </c>
      <c r="C36740">
        <f>HYPERLINK("https://android.googlesource.com/platform/cts/+/56a12fbf6b7362c8801ae7d58b253ffa1fd30ef0", "56a12fbf6b7362c8801ae7d58b253ffa1fd30ef0")</f>
        <v>0</v>
      </c>
      <c r="D36740" t="s">
        <v>5374</v>
      </c>
      <c r="E36740" t="s">
        <v>8742</v>
      </c>
      <c r="F36740" t="s">
        <v>12733</v>
      </c>
      <c r="G36740" t="s">
        <v>16854</v>
      </c>
      <c r="H36740" t="s">
        <v>33661</v>
      </c>
    </row>
    <row r="36741" spans="1:8">
      <c r="H36741" t="s">
        <v>33662</v>
      </c>
    </row>
    <row r="36742" spans="1:8">
      <c r="A36742" t="s">
        <v>3021</v>
      </c>
      <c r="B36742">
        <f>HYPERLINK("https://android.googlesource.com/platform/cts/+/edacbc2d13ac5ba68863a10f1e7cd2b331d7ed0c", "edacbc2d13ac5ba68863a10f1e7cd2b331d7ed0c")</f>
        <v>0</v>
      </c>
      <c r="C36742">
        <f>HYPERLINK("https://android.googlesource.com/platform/cts/+/4517d6673ca6fb5f335ecfc2df0a5ff34a5c1cf1", "4517d6673ca6fb5f335ecfc2df0a5ff34a5c1cf1")</f>
        <v>0</v>
      </c>
      <c r="D36742" t="s">
        <v>5498</v>
      </c>
      <c r="E36742" t="s">
        <v>8743</v>
      </c>
      <c r="F36742" t="s">
        <v>14147</v>
      </c>
      <c r="G36742" t="s">
        <v>18135</v>
      </c>
      <c r="H36742" t="s">
        <v>19175</v>
      </c>
    </row>
    <row r="36743" spans="1:8">
      <c r="H36743" t="s">
        <v>33663</v>
      </c>
    </row>
    <row r="36744" spans="1:8">
      <c r="A36744" t="s">
        <v>3022</v>
      </c>
      <c r="B36744">
        <f>HYPERLINK("https://android.googlesource.com/platform/cts/+/31f7fe5296db62c4c4fe6a63a6d02937c738f981", "31f7fe5296db62c4c4fe6a63a6d02937c738f981")</f>
        <v>0</v>
      </c>
      <c r="C36744">
        <f>HYPERLINK("https://android.googlesource.com/platform/cts/+/aeb6702f8f752164577069cf54cd9b7196d5a6f8", "aeb6702f8f752164577069cf54cd9b7196d5a6f8")</f>
        <v>0</v>
      </c>
      <c r="D36744" t="s">
        <v>5263</v>
      </c>
      <c r="E36744" t="s">
        <v>8744</v>
      </c>
      <c r="F36744" t="s">
        <v>14140</v>
      </c>
      <c r="G36744" t="s">
        <v>18128</v>
      </c>
      <c r="H36744" t="s">
        <v>33664</v>
      </c>
    </row>
    <row r="36745" spans="1:8">
      <c r="A36745" t="s">
        <v>3023</v>
      </c>
      <c r="B36745">
        <f>HYPERLINK("https://android.googlesource.com/platform/cts/+/e5308a346c1f721ad4273a324d637c644d3f2848", "e5308a346c1f721ad4273a324d637c644d3f2848")</f>
        <v>0</v>
      </c>
      <c r="C36745">
        <f>HYPERLINK("https://android.googlesource.com/platform/cts/+/69a1926280355194514a78960c461f259516c998", "69a1926280355194514a78960c461f259516c998")</f>
        <v>0</v>
      </c>
      <c r="D36745" t="s">
        <v>5499</v>
      </c>
      <c r="E36745" t="s">
        <v>8745</v>
      </c>
      <c r="F36745" t="s">
        <v>12239</v>
      </c>
      <c r="G36745" t="s">
        <v>16469</v>
      </c>
      <c r="H36745" t="s">
        <v>33665</v>
      </c>
    </row>
    <row r="36746" spans="1:8">
      <c r="A36746" t="s">
        <v>3024</v>
      </c>
      <c r="B36746">
        <f>HYPERLINK("https://android.googlesource.com/platform/cts/+/f912225e90b6a2b605c0ee284575859fb800fb4e", "f912225e90b6a2b605c0ee284575859fb800fb4e")</f>
        <v>0</v>
      </c>
      <c r="C36746">
        <f>HYPERLINK("https://android.googlesource.com/platform/cts/+/69a1926280355194514a78960c461f259516c998", "69a1926280355194514a78960c461f259516c998")</f>
        <v>0</v>
      </c>
      <c r="D36746" t="s">
        <v>5396</v>
      </c>
      <c r="E36746" t="s">
        <v>8746</v>
      </c>
      <c r="F36746" t="s">
        <v>14051</v>
      </c>
      <c r="G36746" t="s">
        <v>18050</v>
      </c>
      <c r="H36746" t="s">
        <v>33666</v>
      </c>
    </row>
    <row r="36747" spans="1:8">
      <c r="H36747" t="s">
        <v>33667</v>
      </c>
    </row>
    <row r="36748" spans="1:8">
      <c r="A36748" t="s">
        <v>3025</v>
      </c>
      <c r="B36748">
        <f>HYPERLINK("https://android.googlesource.com/platform/cts/+/a5d61fb3f1f2305dc978de705226ffa1ec9d77c0", "a5d61fb3f1f2305dc978de705226ffa1ec9d77c0")</f>
        <v>0</v>
      </c>
      <c r="C36748">
        <f>HYPERLINK("https://android.googlesource.com/platform/cts/+/a2340bfd4c3b742d8ce373abbe730e575339eb57", "a2340bfd4c3b742d8ce373abbe730e575339eb57")</f>
        <v>0</v>
      </c>
      <c r="D36748" t="s">
        <v>5260</v>
      </c>
      <c r="E36748" t="s">
        <v>8747</v>
      </c>
      <c r="F36748" t="s">
        <v>10666</v>
      </c>
      <c r="G36748" t="s">
        <v>15067</v>
      </c>
      <c r="H36748" t="s">
        <v>33050</v>
      </c>
    </row>
    <row r="36749" spans="1:8">
      <c r="H36749" t="s">
        <v>33051</v>
      </c>
    </row>
    <row r="36750" spans="1:8">
      <c r="H36750" t="s">
        <v>33052</v>
      </c>
    </row>
    <row r="36751" spans="1:8">
      <c r="H36751" t="s">
        <v>33053</v>
      </c>
    </row>
    <row r="36752" spans="1:8">
      <c r="H36752" t="s">
        <v>33054</v>
      </c>
    </row>
    <row r="36753" spans="1:8">
      <c r="H36753" t="s">
        <v>33055</v>
      </c>
    </row>
    <row r="36754" spans="1:8">
      <c r="A36754" t="s">
        <v>3026</v>
      </c>
      <c r="B36754">
        <f>HYPERLINK("https://android.googlesource.com/platform/cts/+/1dccf8810dbf5fc9e14a0a1f9f290bfe57da6a58", "1dccf8810dbf5fc9e14a0a1f9f290bfe57da6a58")</f>
        <v>0</v>
      </c>
      <c r="C36754">
        <f>HYPERLINK("https://android.googlesource.com/platform/cts/+/aa9cdd2beeeb2f44c0d299464a092f66b12a39b1", "aa9cdd2beeeb2f44c0d299464a092f66b12a39b1")</f>
        <v>0</v>
      </c>
      <c r="D36754" t="s">
        <v>5135</v>
      </c>
      <c r="E36754" t="s">
        <v>8748</v>
      </c>
      <c r="F36754" t="s">
        <v>12772</v>
      </c>
      <c r="G36754" t="s">
        <v>16543</v>
      </c>
      <c r="H36754" t="s">
        <v>33668</v>
      </c>
    </row>
    <row r="36755" spans="1:8">
      <c r="H36755" t="s">
        <v>33669</v>
      </c>
    </row>
    <row r="36756" spans="1:8">
      <c r="A36756" t="s">
        <v>3027</v>
      </c>
      <c r="B36756">
        <f>HYPERLINK("https://android.googlesource.com/platform/cts/+/945a2263bca8dd2b532cad8cdc6351ef9757cf51", "945a2263bca8dd2b532cad8cdc6351ef9757cf51")</f>
        <v>0</v>
      </c>
      <c r="C36756">
        <f>HYPERLINK("https://android.googlesource.com/platform/cts/+/29e416738d03780dfff3213eb6eadcf2e688732a", "29e416738d03780dfff3213eb6eadcf2e688732a")</f>
        <v>0</v>
      </c>
      <c r="D36756" t="s">
        <v>5438</v>
      </c>
      <c r="E36756" t="s">
        <v>8749</v>
      </c>
      <c r="F36756" t="s">
        <v>14148</v>
      </c>
      <c r="G36756" t="s">
        <v>18136</v>
      </c>
      <c r="H36756" t="s">
        <v>33670</v>
      </c>
    </row>
    <row r="36757" spans="1:8">
      <c r="A36757" t="s">
        <v>3028</v>
      </c>
      <c r="B36757">
        <f>HYPERLINK("https://android.googlesource.com/platform/cts/+/671791634ad0eecd56c6fed3bd3ed16257676267", "671791634ad0eecd56c6fed3bd3ed16257676267")</f>
        <v>0</v>
      </c>
      <c r="C36757">
        <f>HYPERLINK("https://android.googlesource.com/platform/cts/+/d87e04f2caa693daa3f1eeae9eb5f94b32278825", "d87e04f2caa693daa3f1eeae9eb5f94b32278825")</f>
        <v>0</v>
      </c>
      <c r="D36757" t="s">
        <v>5051</v>
      </c>
      <c r="E36757" t="s">
        <v>8750</v>
      </c>
      <c r="F36757" t="s">
        <v>14149</v>
      </c>
      <c r="G36757" t="s">
        <v>18137</v>
      </c>
      <c r="H36757" t="s">
        <v>19981</v>
      </c>
    </row>
    <row r="36758" spans="1:8">
      <c r="H36758" t="s">
        <v>33671</v>
      </c>
    </row>
    <row r="36759" spans="1:8">
      <c r="H36759" t="s">
        <v>33672</v>
      </c>
    </row>
    <row r="36760" spans="1:8">
      <c r="A36760" t="s">
        <v>3029</v>
      </c>
      <c r="B36760">
        <f>HYPERLINK("https://android.googlesource.com/platform/cts/+/010b529a32709ec87fe72ae0caaabe9457c914dc", "010b529a32709ec87fe72ae0caaabe9457c914dc")</f>
        <v>0</v>
      </c>
      <c r="C36760">
        <f>HYPERLINK("https://android.googlesource.com/platform/cts/+/b92708f85749d870b27ae8a96aac4110f557da80", "b92708f85749d870b27ae8a96aac4110f557da80")</f>
        <v>0</v>
      </c>
      <c r="D36760" t="s">
        <v>5363</v>
      </c>
      <c r="E36760" t="s">
        <v>8751</v>
      </c>
      <c r="F36760" t="s">
        <v>14150</v>
      </c>
      <c r="G36760" t="s">
        <v>18138</v>
      </c>
      <c r="H36760" t="s">
        <v>33673</v>
      </c>
    </row>
    <row r="36761" spans="1:8">
      <c r="A36761" t="s">
        <v>3030</v>
      </c>
      <c r="B36761">
        <f>HYPERLINK("https://android.googlesource.com/platform/cts/+/8e992996bdc78bcc7479e04c376b97e1bc3f0061", "8e992996bdc78bcc7479e04c376b97e1bc3f0061")</f>
        <v>0</v>
      </c>
      <c r="C36761">
        <f>HYPERLINK("https://android.googlesource.com/platform/cts/+/7c8104b2ea854ce1aa5d7940723d8c5eeab03589", "7c8104b2ea854ce1aa5d7940723d8c5eeab03589")</f>
        <v>0</v>
      </c>
      <c r="D36761" t="s">
        <v>5500</v>
      </c>
      <c r="E36761" t="s">
        <v>8752</v>
      </c>
      <c r="F36761" t="s">
        <v>14151</v>
      </c>
      <c r="G36761" t="s">
        <v>18139</v>
      </c>
      <c r="H36761" t="s">
        <v>33606</v>
      </c>
    </row>
    <row r="36762" spans="1:8">
      <c r="A36762" t="s">
        <v>3031</v>
      </c>
      <c r="B36762">
        <f>HYPERLINK("https://android.googlesource.com/platform/cts/+/d2e0b3bda26616429d5e3e6a5960cffa50950a35", "d2e0b3bda26616429d5e3e6a5960cffa50950a35")</f>
        <v>0</v>
      </c>
      <c r="C36762">
        <f>HYPERLINK("https://android.googlesource.com/platform/cts/+/69a1926280355194514a78960c461f259516c998", "69a1926280355194514a78960c461f259516c998")</f>
        <v>0</v>
      </c>
      <c r="D36762" t="s">
        <v>5465</v>
      </c>
      <c r="E36762" t="s">
        <v>8753</v>
      </c>
      <c r="F36762" t="s">
        <v>14152</v>
      </c>
      <c r="G36762" t="s">
        <v>18052</v>
      </c>
      <c r="H36762" t="s">
        <v>33674</v>
      </c>
    </row>
    <row r="36763" spans="1:8">
      <c r="F36763" t="s">
        <v>14153</v>
      </c>
      <c r="G36763" t="s">
        <v>18140</v>
      </c>
      <c r="H36763" t="s">
        <v>33674</v>
      </c>
    </row>
    <row r="36764" spans="1:8">
      <c r="A36764" t="s">
        <v>3032</v>
      </c>
      <c r="B36764">
        <f>HYPERLINK("https://android.googlesource.com/platform/cts/+/6425a32f2ca122e2c926e4c6e65a6ebe58e3ff1d", "6425a32f2ca122e2c926e4c6e65a6ebe58e3ff1d")</f>
        <v>0</v>
      </c>
      <c r="C36764">
        <f>HYPERLINK("https://android.googlesource.com/platform/cts/+/ac88cea396505f1ca96c9b80fc247fe96eaa0e5c", "ac88cea396505f1ca96c9b80fc247fe96eaa0e5c")</f>
        <v>0</v>
      </c>
      <c r="D36764" t="s">
        <v>4978</v>
      </c>
      <c r="E36764" t="s">
        <v>8754</v>
      </c>
      <c r="F36764" t="s">
        <v>13391</v>
      </c>
      <c r="G36764" t="s">
        <v>17517</v>
      </c>
      <c r="H36764" t="s">
        <v>33675</v>
      </c>
    </row>
    <row r="36765" spans="1:8">
      <c r="A36765" t="s">
        <v>3033</v>
      </c>
      <c r="B36765">
        <f>HYPERLINK("https://android.googlesource.com/platform/cts/+/b3039fd8ccc1e601bb608d4b0b80ce19fc778420", "b3039fd8ccc1e601bb608d4b0b80ce19fc778420")</f>
        <v>0</v>
      </c>
      <c r="C36765">
        <f>HYPERLINK("https://android.googlesource.com/platform/cts/+/0743c3e6f762e706e2b6f8e2e0e84431a6b77cdf", "0743c3e6f762e706e2b6f8e2e0e84431a6b77cdf")</f>
        <v>0</v>
      </c>
      <c r="D36765" t="s">
        <v>5396</v>
      </c>
      <c r="E36765" t="s">
        <v>8755</v>
      </c>
      <c r="F36765" t="s">
        <v>14051</v>
      </c>
      <c r="G36765" t="s">
        <v>18050</v>
      </c>
      <c r="H36765" t="s">
        <v>33666</v>
      </c>
    </row>
    <row r="36766" spans="1:8">
      <c r="H36766" t="s">
        <v>33667</v>
      </c>
    </row>
    <row r="36767" spans="1:8">
      <c r="A36767" t="s">
        <v>3034</v>
      </c>
      <c r="B36767">
        <f>HYPERLINK("https://android.googlesource.com/platform/cts/+/f0fe8c545f920e93c5fe706b377223648c8b5ba8", "f0fe8c545f920e93c5fe706b377223648c8b5ba8")</f>
        <v>0</v>
      </c>
      <c r="C36767">
        <f>HYPERLINK("https://android.googlesource.com/platform/cts/+/56ee5b1ac4419952784fafd1baf1483f3c467494", "56ee5b1ac4419952784fafd1baf1483f3c467494")</f>
        <v>0</v>
      </c>
      <c r="D36767" t="s">
        <v>5447</v>
      </c>
      <c r="E36767" t="s">
        <v>8756</v>
      </c>
      <c r="F36767" t="s">
        <v>14086</v>
      </c>
      <c r="G36767" t="s">
        <v>18082</v>
      </c>
      <c r="H36767" t="s">
        <v>19743</v>
      </c>
    </row>
    <row r="36768" spans="1:8">
      <c r="A36768" t="s">
        <v>3035</v>
      </c>
      <c r="B36768">
        <f>HYPERLINK("https://android.googlesource.com/platform/cts/+/7a1edbf498714ccd9d551e172ee7bf9a87a6e454", "7a1edbf498714ccd9d551e172ee7bf9a87a6e454")</f>
        <v>0</v>
      </c>
      <c r="C36768">
        <f>HYPERLINK("https://android.googlesource.com/platform/cts/+/4915739873529466b50f51d39608089b32e34cc6", "4915739873529466b50f51d39608089b32e34cc6")</f>
        <v>0</v>
      </c>
      <c r="D36768" t="s">
        <v>5494</v>
      </c>
      <c r="E36768" t="s">
        <v>8757</v>
      </c>
      <c r="F36768" t="s">
        <v>14133</v>
      </c>
      <c r="G36768" t="s">
        <v>18122</v>
      </c>
      <c r="H36768" t="s">
        <v>33616</v>
      </c>
    </row>
    <row r="36769" spans="1:8">
      <c r="A36769" t="s">
        <v>3036</v>
      </c>
      <c r="B36769">
        <f>HYPERLINK("https://android.googlesource.com/platform/cts/+/f87f3afff210800fb6e920309fd15885d751496c", "f87f3afff210800fb6e920309fd15885d751496c")</f>
        <v>0</v>
      </c>
      <c r="C36769">
        <f>HYPERLINK("https://android.googlesource.com/platform/cts/+/f4f834af0a88e2a4d6f1d3d8358ce00f98fea8b0", "f4f834af0a88e2a4d6f1d3d8358ce00f98fea8b0")</f>
        <v>0</v>
      </c>
      <c r="D36769" t="s">
        <v>5471</v>
      </c>
      <c r="E36769" t="s">
        <v>8758</v>
      </c>
      <c r="F36769" t="s">
        <v>14154</v>
      </c>
      <c r="G36769" t="s">
        <v>18141</v>
      </c>
      <c r="H36769" t="s">
        <v>33676</v>
      </c>
    </row>
    <row r="36770" spans="1:8">
      <c r="H36770" t="s">
        <v>33677</v>
      </c>
    </row>
    <row r="36771" spans="1:8">
      <c r="H36771" t="s">
        <v>33678</v>
      </c>
    </row>
    <row r="36772" spans="1:8">
      <c r="H36772" t="s">
        <v>33679</v>
      </c>
    </row>
    <row r="36773" spans="1:8">
      <c r="H36773" t="s">
        <v>33680</v>
      </c>
    </row>
    <row r="36774" spans="1:8">
      <c r="H36774" t="s">
        <v>33681</v>
      </c>
    </row>
    <row r="36775" spans="1:8">
      <c r="H36775" t="s">
        <v>33682</v>
      </c>
    </row>
    <row r="36776" spans="1:8">
      <c r="F36776" t="s">
        <v>14155</v>
      </c>
      <c r="G36776" t="s">
        <v>18142</v>
      </c>
      <c r="H36776" t="s">
        <v>33683</v>
      </c>
    </row>
    <row r="36777" spans="1:8">
      <c r="A36777" t="s">
        <v>3037</v>
      </c>
      <c r="B36777">
        <f>HYPERLINK("https://android.googlesource.com/platform/cts/+/7b39f6f8d89a910950362be2a6441f8eea026c56", "7b39f6f8d89a910950362be2a6441f8eea026c56")</f>
        <v>0</v>
      </c>
      <c r="C36777">
        <f>HYPERLINK("https://android.googlesource.com/platform/cts/+/c80f0cd09ac9a5d6d2f2920bf400a9e0f37c3b23", "c80f0cd09ac9a5d6d2f2920bf400a9e0f37c3b23")</f>
        <v>0</v>
      </c>
      <c r="D36777" t="s">
        <v>5489</v>
      </c>
      <c r="E36777" t="s">
        <v>8759</v>
      </c>
      <c r="F36777" t="s">
        <v>13576</v>
      </c>
      <c r="G36777" t="s">
        <v>16477</v>
      </c>
      <c r="H36777" t="s">
        <v>33684</v>
      </c>
    </row>
    <row r="36778" spans="1:8">
      <c r="A36778" t="s">
        <v>3038</v>
      </c>
      <c r="B36778">
        <f>HYPERLINK("https://android.googlesource.com/platform/cts/+/058149f4bd769f8360dea00453060a4c96958f5a", "058149f4bd769f8360dea00453060a4c96958f5a")</f>
        <v>0</v>
      </c>
      <c r="C36778">
        <f>HYPERLINK("https://android.googlesource.com/platform/cts/+/a1415c6288634c2f65c0dbfe021c57e08dc4a282", "a1415c6288634c2f65c0dbfe021c57e08dc4a282")</f>
        <v>0</v>
      </c>
      <c r="D36778" t="s">
        <v>5435</v>
      </c>
      <c r="E36778" t="s">
        <v>8760</v>
      </c>
      <c r="F36778" t="s">
        <v>13716</v>
      </c>
      <c r="G36778" t="s">
        <v>17783</v>
      </c>
      <c r="H36778" t="s">
        <v>33685</v>
      </c>
    </row>
    <row r="36779" spans="1:8">
      <c r="A36779" t="s">
        <v>3039</v>
      </c>
      <c r="B36779">
        <f>HYPERLINK("https://android.googlesource.com/platform/cts/+/8e8b5e7380f5f1828cdb0eace3cbac0069aff72a", "8e8b5e7380f5f1828cdb0eace3cbac0069aff72a")</f>
        <v>0</v>
      </c>
      <c r="C36779">
        <f>HYPERLINK("https://android.googlesource.com/platform/cts/+/a1415c6288634c2f65c0dbfe021c57e08dc4a282", "a1415c6288634c2f65c0dbfe021c57e08dc4a282")</f>
        <v>0</v>
      </c>
      <c r="D36779" t="s">
        <v>5435</v>
      </c>
      <c r="E36779" t="s">
        <v>8761</v>
      </c>
      <c r="F36779" t="s">
        <v>13716</v>
      </c>
      <c r="G36779" t="s">
        <v>17783</v>
      </c>
      <c r="H36779" t="s">
        <v>33686</v>
      </c>
    </row>
    <row r="36780" spans="1:8">
      <c r="A36780" t="s">
        <v>3040</v>
      </c>
      <c r="B36780">
        <f>HYPERLINK("https://android.googlesource.com/platform/cts/+/1d0b3013ec6dd410ffe595c5d3ac53c17ec982ec", "1d0b3013ec6dd410ffe595c5d3ac53c17ec982ec")</f>
        <v>0</v>
      </c>
      <c r="C36780">
        <f>HYPERLINK("https://android.googlesource.com/platform/cts/+/56ee5b1ac4419952784fafd1baf1483f3c467494", "56ee5b1ac4419952784fafd1baf1483f3c467494")</f>
        <v>0</v>
      </c>
      <c r="D36780" t="s">
        <v>5244</v>
      </c>
      <c r="E36780" t="s">
        <v>8762</v>
      </c>
      <c r="F36780" t="s">
        <v>14156</v>
      </c>
      <c r="G36780" t="s">
        <v>18073</v>
      </c>
      <c r="H36780" t="s">
        <v>18829</v>
      </c>
    </row>
    <row r="36781" spans="1:8">
      <c r="H36781" t="s">
        <v>19933</v>
      </c>
    </row>
    <row r="36782" spans="1:8">
      <c r="F36782" t="s">
        <v>14157</v>
      </c>
      <c r="G36782" t="s">
        <v>18143</v>
      </c>
      <c r="H36782" t="s">
        <v>18829</v>
      </c>
    </row>
    <row r="36783" spans="1:8">
      <c r="H36783" t="s">
        <v>19933</v>
      </c>
    </row>
    <row r="36784" spans="1:8">
      <c r="A36784" t="s">
        <v>3041</v>
      </c>
      <c r="B36784">
        <f>HYPERLINK("https://android.googlesource.com/platform/cts/+/15f50bd5e02b39b43c2335f123b51cdcc8bb8467", "15f50bd5e02b39b43c2335f123b51cdcc8bb8467")</f>
        <v>0</v>
      </c>
      <c r="C36784">
        <f>HYPERLINK("https://android.googlesource.com/platform/cts/+/c515138d65cf220877cf0a65c594945ebff3f213", "c515138d65cf220877cf0a65c594945ebff3f213")</f>
        <v>0</v>
      </c>
      <c r="D36784" t="s">
        <v>5456</v>
      </c>
      <c r="E36784" t="s">
        <v>8763</v>
      </c>
      <c r="F36784" t="s">
        <v>13846</v>
      </c>
      <c r="G36784" t="s">
        <v>17889</v>
      </c>
      <c r="H36784" t="s">
        <v>32977</v>
      </c>
    </row>
    <row r="36785" spans="1:8">
      <c r="H36785" t="s">
        <v>32978</v>
      </c>
    </row>
    <row r="36786" spans="1:8">
      <c r="H36786" t="s">
        <v>32979</v>
      </c>
    </row>
    <row r="36787" spans="1:8">
      <c r="H36787" t="s">
        <v>32980</v>
      </c>
    </row>
    <row r="36788" spans="1:8">
      <c r="H36788" t="s">
        <v>32981</v>
      </c>
    </row>
    <row r="36789" spans="1:8">
      <c r="H36789" t="s">
        <v>32982</v>
      </c>
    </row>
    <row r="36790" spans="1:8">
      <c r="H36790" t="s">
        <v>32983</v>
      </c>
    </row>
    <row r="36791" spans="1:8">
      <c r="F36791" t="s">
        <v>13899</v>
      </c>
      <c r="G36791" t="s">
        <v>17889</v>
      </c>
      <c r="H36791" t="s">
        <v>32977</v>
      </c>
    </row>
    <row r="36792" spans="1:8">
      <c r="H36792" t="s">
        <v>32978</v>
      </c>
    </row>
    <row r="36793" spans="1:8">
      <c r="H36793" t="s">
        <v>32979</v>
      </c>
    </row>
    <row r="36794" spans="1:8">
      <c r="H36794" t="s">
        <v>32980</v>
      </c>
    </row>
    <row r="36795" spans="1:8">
      <c r="H36795" t="s">
        <v>32981</v>
      </c>
    </row>
    <row r="36796" spans="1:8">
      <c r="H36796" t="s">
        <v>32982</v>
      </c>
    </row>
    <row r="36797" spans="1:8">
      <c r="H36797" t="s">
        <v>32984</v>
      </c>
    </row>
    <row r="36798" spans="1:8">
      <c r="A36798" t="s">
        <v>3042</v>
      </c>
      <c r="B36798">
        <f>HYPERLINK("https://android.googlesource.com/platform/cts/+/15d09023ea6c8b610a5b339bc9ce2a0395685fe3", "15d09023ea6c8b610a5b339bc9ce2a0395685fe3")</f>
        <v>0</v>
      </c>
      <c r="C36798">
        <f>HYPERLINK("https://android.googlesource.com/platform/cts/+/d9a459d23f774df42fa238b1d7336d4803b45b88", "d9a459d23f774df42fa238b1d7336d4803b45b88")</f>
        <v>0</v>
      </c>
      <c r="D36798" t="s">
        <v>5501</v>
      </c>
      <c r="E36798" t="s">
        <v>8764</v>
      </c>
      <c r="F36798" t="s">
        <v>14158</v>
      </c>
      <c r="G36798" t="s">
        <v>18144</v>
      </c>
      <c r="H36798" t="s">
        <v>33606</v>
      </c>
    </row>
    <row r="36799" spans="1:8">
      <c r="H36799" t="s">
        <v>26622</v>
      </c>
    </row>
    <row r="36800" spans="1:8">
      <c r="A36800" t="s">
        <v>3043</v>
      </c>
      <c r="B36800">
        <f>HYPERLINK("https://android.googlesource.com/platform/cts/+/1d0deb55d1d0c3c38de5677425c8d1b7a1953959", "1d0deb55d1d0c3c38de5677425c8d1b7a1953959")</f>
        <v>0</v>
      </c>
      <c r="C36800">
        <f>HYPERLINK("https://android.googlesource.com/platform/cts/+/f6c39a268ce6e437000bd9533a0b528a8f926b40", "f6c39a268ce6e437000bd9533a0b528a8f926b40")</f>
        <v>0</v>
      </c>
      <c r="D36800" t="s">
        <v>5501</v>
      </c>
      <c r="E36800" t="s">
        <v>8765</v>
      </c>
      <c r="F36800" t="s">
        <v>14158</v>
      </c>
      <c r="G36800" t="s">
        <v>18144</v>
      </c>
      <c r="H36800" t="s">
        <v>33687</v>
      </c>
    </row>
    <row r="36801" spans="1:8">
      <c r="A36801" t="s">
        <v>3044</v>
      </c>
      <c r="B36801">
        <f>HYPERLINK("https://android.googlesource.com/platform/cts/+/d4db34f465c85f167865cf8b6ecdb3ecfd572a21", "d4db34f465c85f167865cf8b6ecdb3ecfd572a21")</f>
        <v>0</v>
      </c>
      <c r="C36801">
        <f>HYPERLINK("https://android.googlesource.com/platform/cts/+/af74220edc1e298281c848be5fc96f60ffe404d3", "af74220edc1e298281c848be5fc96f60ffe404d3")</f>
        <v>0</v>
      </c>
      <c r="D36801" t="s">
        <v>5465</v>
      </c>
      <c r="E36801" t="s">
        <v>8766</v>
      </c>
      <c r="F36801" t="s">
        <v>14153</v>
      </c>
      <c r="G36801" t="s">
        <v>18140</v>
      </c>
      <c r="H36801" t="s">
        <v>33688</v>
      </c>
    </row>
    <row r="36802" spans="1:8">
      <c r="A36802" t="s">
        <v>3045</v>
      </c>
      <c r="B36802">
        <f>HYPERLINK("https://android.googlesource.com/platform/cts/+/82d51cb37c8ac78c18627e97502aa76cafba44e9", "82d51cb37c8ac78c18627e97502aa76cafba44e9")</f>
        <v>0</v>
      </c>
      <c r="C36802">
        <f>HYPERLINK("https://android.googlesource.com/platform/cts/+/62df50db6521dc6bf897ed07d42ee62dbf83a5ba", "62df50db6521dc6bf897ed07d42ee62dbf83a5ba")</f>
        <v>0</v>
      </c>
      <c r="D36802" t="s">
        <v>5195</v>
      </c>
      <c r="E36802" t="s">
        <v>8767</v>
      </c>
      <c r="F36802" t="s">
        <v>13888</v>
      </c>
      <c r="G36802" t="s">
        <v>15054</v>
      </c>
      <c r="H36802" t="s">
        <v>33056</v>
      </c>
    </row>
    <row r="36803" spans="1:8">
      <c r="A36803" t="s">
        <v>3046</v>
      </c>
      <c r="B36803">
        <f>HYPERLINK("https://android.googlesource.com/platform/cts/+/960944aeaf7f5b4f3ff624ea87c308e2058db675", "960944aeaf7f5b4f3ff624ea87c308e2058db675")</f>
        <v>0</v>
      </c>
      <c r="C36803">
        <f>HYPERLINK("https://android.googlesource.com/platform/cts/+/4fca2c3c3aa9b3b39b634f57b965388f047a3925", "4fca2c3c3aa9b3b39b634f57b965388f047a3925")</f>
        <v>0</v>
      </c>
      <c r="D36803" t="s">
        <v>5502</v>
      </c>
      <c r="E36803" t="s">
        <v>8768</v>
      </c>
      <c r="F36803" t="s">
        <v>14159</v>
      </c>
      <c r="G36803" t="s">
        <v>18145</v>
      </c>
      <c r="H36803" t="s">
        <v>33689</v>
      </c>
    </row>
    <row r="36804" spans="1:8">
      <c r="A36804" t="s">
        <v>3047</v>
      </c>
      <c r="B36804">
        <f>HYPERLINK("https://android.googlesource.com/platform/cts/+/ca9d3af9ccf2479eef230a6ef5ea84ee6455661e", "ca9d3af9ccf2479eef230a6ef5ea84ee6455661e")</f>
        <v>0</v>
      </c>
      <c r="C36804">
        <f>HYPERLINK("https://android.googlesource.com/platform/cts/+/18fffbf71aed8a1435b2bfd6ba5b08f0c9f9d6ae", "18fffbf71aed8a1435b2bfd6ba5b08f0c9f9d6ae")</f>
        <v>0</v>
      </c>
      <c r="D36804" t="s">
        <v>5447</v>
      </c>
      <c r="E36804" t="s">
        <v>8769</v>
      </c>
      <c r="F36804" t="s">
        <v>14086</v>
      </c>
      <c r="G36804" t="s">
        <v>18082</v>
      </c>
      <c r="H36804" t="s">
        <v>33690</v>
      </c>
    </row>
    <row r="36805" spans="1:8">
      <c r="A36805" t="s">
        <v>3048</v>
      </c>
      <c r="B36805">
        <f>HYPERLINK("https://android.googlesource.com/platform/cts/+/c06aeddcf97e2beb2f113e3df81e1def41ddeeeb", "c06aeddcf97e2beb2f113e3df81e1def41ddeeeb")</f>
        <v>0</v>
      </c>
      <c r="C36805">
        <f>HYPERLINK("https://android.googlesource.com/platform/cts/+/6968a6fb322d66626667f5731fe94253eeada3fe", "6968a6fb322d66626667f5731fe94253eeada3fe")</f>
        <v>0</v>
      </c>
      <c r="D36805" t="s">
        <v>5374</v>
      </c>
      <c r="E36805" t="s">
        <v>8770</v>
      </c>
      <c r="F36805" t="s">
        <v>13165</v>
      </c>
      <c r="G36805" t="s">
        <v>17315</v>
      </c>
      <c r="H36805" t="s">
        <v>33691</v>
      </c>
    </row>
    <row r="36806" spans="1:8">
      <c r="H36806" t="s">
        <v>33692</v>
      </c>
    </row>
    <row r="36807" spans="1:8">
      <c r="H36807" t="s">
        <v>33693</v>
      </c>
    </row>
    <row r="36808" spans="1:8">
      <c r="H36808" t="s">
        <v>33694</v>
      </c>
    </row>
    <row r="36809" spans="1:8">
      <c r="H36809" t="s">
        <v>33695</v>
      </c>
    </row>
    <row r="36810" spans="1:8">
      <c r="A36810" t="s">
        <v>3049</v>
      </c>
      <c r="B36810">
        <f>HYPERLINK("https://android.googlesource.com/platform/cts/+/853aaaf849d3c58a7d2e8532ec59004892c8d023", "853aaaf849d3c58a7d2e8532ec59004892c8d023")</f>
        <v>0</v>
      </c>
      <c r="C36810">
        <f>HYPERLINK("https://android.googlesource.com/platform/cts/+/18fffbf71aed8a1435b2bfd6ba5b08f0c9f9d6ae", "18fffbf71aed8a1435b2bfd6ba5b08f0c9f9d6ae")</f>
        <v>0</v>
      </c>
      <c r="D36810" t="s">
        <v>5454</v>
      </c>
      <c r="E36810" t="s">
        <v>8771</v>
      </c>
      <c r="F36810" t="s">
        <v>14124</v>
      </c>
      <c r="G36810" t="s">
        <v>18114</v>
      </c>
      <c r="H36810" t="s">
        <v>33696</v>
      </c>
    </row>
    <row r="36811" spans="1:8">
      <c r="A36811" t="s">
        <v>3050</v>
      </c>
      <c r="B36811">
        <f>HYPERLINK("https://android.googlesource.com/platform/cts/+/8e9d03a790a41afc0868c32dc423da01d62f7874", "8e9d03a790a41afc0868c32dc423da01d62f7874")</f>
        <v>0</v>
      </c>
      <c r="C36811">
        <f>HYPERLINK("https://android.googlesource.com/platform/cts/+/4fca2c3c3aa9b3b39b634f57b965388f047a3925", "4fca2c3c3aa9b3b39b634f57b965388f047a3925")</f>
        <v>0</v>
      </c>
      <c r="D36811" t="s">
        <v>5419</v>
      </c>
      <c r="E36811" t="s">
        <v>8772</v>
      </c>
      <c r="F36811" t="s">
        <v>10595</v>
      </c>
      <c r="G36811" t="s">
        <v>14998</v>
      </c>
      <c r="H36811" t="s">
        <v>33697</v>
      </c>
    </row>
    <row r="36812" spans="1:8">
      <c r="H36812" t="s">
        <v>33698</v>
      </c>
    </row>
    <row r="36813" spans="1:8">
      <c r="A36813" t="s">
        <v>3051</v>
      </c>
      <c r="B36813">
        <f>HYPERLINK("https://android.googlesource.com/platform/cts/+/85aa82209712d0bd40da1fd3fec3a7e7caede017", "85aa82209712d0bd40da1fd3fec3a7e7caede017")</f>
        <v>0</v>
      </c>
      <c r="C36813">
        <f>HYPERLINK("https://android.googlesource.com/platform/cts/+/13437f63e7028fecca13bfba19880fb6902f50a1", "13437f63e7028fecca13bfba19880fb6902f50a1")</f>
        <v>0</v>
      </c>
      <c r="D36813" t="s">
        <v>5502</v>
      </c>
      <c r="E36813" t="s">
        <v>8773</v>
      </c>
      <c r="F36813" t="s">
        <v>14159</v>
      </c>
      <c r="G36813" t="s">
        <v>18145</v>
      </c>
      <c r="H36813" t="s">
        <v>33689</v>
      </c>
    </row>
    <row r="36814" spans="1:8">
      <c r="A36814" t="s">
        <v>3052</v>
      </c>
      <c r="B36814">
        <f>HYPERLINK("https://android.googlesource.com/platform/cts/+/4223e8c3c7250c76d9946e92b5ed856120ccc7f9", "4223e8c3c7250c76d9946e92b5ed856120ccc7f9")</f>
        <v>0</v>
      </c>
      <c r="C36814">
        <f>HYPERLINK("https://android.googlesource.com/platform/cts/+/9cc3ed5c03dd80ad773e7e958d0fad3f7d75a9e3", "9cc3ed5c03dd80ad773e7e958d0fad3f7d75a9e3")</f>
        <v>0</v>
      </c>
      <c r="D36814" t="s">
        <v>5419</v>
      </c>
      <c r="E36814" t="s">
        <v>8774</v>
      </c>
      <c r="F36814" t="s">
        <v>10595</v>
      </c>
      <c r="G36814" t="s">
        <v>14998</v>
      </c>
      <c r="H36814" t="s">
        <v>33697</v>
      </c>
    </row>
    <row r="36815" spans="1:8">
      <c r="H36815" t="s">
        <v>33698</v>
      </c>
    </row>
    <row r="36816" spans="1:8">
      <c r="A36816" t="s">
        <v>3053</v>
      </c>
      <c r="B36816">
        <f>HYPERLINK("https://android.googlesource.com/platform/cts/+/6200d3481134be81f15e0dbd5bc9b06ac9d96687", "6200d3481134be81f15e0dbd5bc9b06ac9d96687")</f>
        <v>0</v>
      </c>
      <c r="C36816">
        <f>HYPERLINK("https://android.googlesource.com/platform/cts/+/72bb6aa1c8dfce650fd399b79615686e0709d85a", "72bb6aa1c8dfce650fd399b79615686e0709d85a")</f>
        <v>0</v>
      </c>
      <c r="D36816" t="s">
        <v>5242</v>
      </c>
      <c r="E36816" t="s">
        <v>8775</v>
      </c>
      <c r="F36816" t="s">
        <v>13992</v>
      </c>
      <c r="G36816" t="s">
        <v>16620</v>
      </c>
      <c r="H36816" t="s">
        <v>33367</v>
      </c>
    </row>
    <row r="36817" spans="1:8">
      <c r="H36817" t="s">
        <v>33368</v>
      </c>
    </row>
    <row r="36818" spans="1:8">
      <c r="H36818" t="s">
        <v>33369</v>
      </c>
    </row>
    <row r="36819" spans="1:8">
      <c r="A36819" t="s">
        <v>3054</v>
      </c>
      <c r="B36819">
        <f>HYPERLINK("https://android.googlesource.com/platform/cts/+/d8dad41fd038dc63bf32b0b3f58cd8c6ff8bddcc", "d8dad41fd038dc63bf32b0b3f58cd8c6ff8bddcc")</f>
        <v>0</v>
      </c>
      <c r="C36819">
        <f>HYPERLINK("https://android.googlesource.com/platform/cts/+/f97071794ea4366287903f618051bf5a011a5d4e", "f97071794ea4366287903f618051bf5a011a5d4e")</f>
        <v>0</v>
      </c>
      <c r="D36819" t="s">
        <v>5474</v>
      </c>
      <c r="E36819" t="s">
        <v>8776</v>
      </c>
      <c r="F36819" t="s">
        <v>14160</v>
      </c>
      <c r="G36819" t="s">
        <v>18146</v>
      </c>
      <c r="H36819" t="s">
        <v>33699</v>
      </c>
    </row>
    <row r="36820" spans="1:8">
      <c r="H36820" t="s">
        <v>33700</v>
      </c>
    </row>
    <row r="36821" spans="1:8">
      <c r="H36821" t="s">
        <v>32314</v>
      </c>
    </row>
    <row r="36822" spans="1:8">
      <c r="A36822" t="s">
        <v>3055</v>
      </c>
      <c r="B36822">
        <f>HYPERLINK("https://android.googlesource.com/platform/cts/+/bf2025eede194a9d102cf52a415ed9db203d3ce9", "bf2025eede194a9d102cf52a415ed9db203d3ce9")</f>
        <v>0</v>
      </c>
      <c r="C36822">
        <f>HYPERLINK("https://android.googlesource.com/platform/cts/+/01f490b331cae169aaca5d8be8c0b664c80cfd89", "01f490b331cae169aaca5d8be8c0b664c80cfd89")</f>
        <v>0</v>
      </c>
      <c r="D36822" t="s">
        <v>5277</v>
      </c>
      <c r="E36822" t="s">
        <v>8777</v>
      </c>
      <c r="F36822" t="s">
        <v>12984</v>
      </c>
      <c r="G36822" t="s">
        <v>17148</v>
      </c>
      <c r="H36822" t="s">
        <v>33701</v>
      </c>
    </row>
    <row r="36823" spans="1:8">
      <c r="A36823" t="s">
        <v>3056</v>
      </c>
      <c r="B36823">
        <f>HYPERLINK("https://android.googlesource.com/platform/cts/+/e3818cb317ad9e166129e81766ad018cb84ad9df", "e3818cb317ad9e166129e81766ad018cb84ad9df")</f>
        <v>0</v>
      </c>
      <c r="C36823">
        <f>HYPERLINK("https://android.googlesource.com/platform/cts/+/555cdc63ddb1047bdc6694cad69bd902b4eec11a", "555cdc63ddb1047bdc6694cad69bd902b4eec11a")</f>
        <v>0</v>
      </c>
      <c r="D36823" t="s">
        <v>5500</v>
      </c>
      <c r="E36823" t="s">
        <v>8778</v>
      </c>
      <c r="F36823" t="s">
        <v>14161</v>
      </c>
      <c r="G36823" t="s">
        <v>18139</v>
      </c>
      <c r="H36823" t="s">
        <v>33606</v>
      </c>
    </row>
    <row r="36824" spans="1:8">
      <c r="A36824" t="s">
        <v>3057</v>
      </c>
      <c r="B36824">
        <f>HYPERLINK("https://android.googlesource.com/platform/cts/+/76783f3cf9e19a900996c5156ea60076d5da2a06", "76783f3cf9e19a900996c5156ea60076d5da2a06")</f>
        <v>0</v>
      </c>
      <c r="C36824">
        <f>HYPERLINK("https://android.googlesource.com/platform/cts/+/018f7d5f8dbeb09f12217f65e3ec4b27484fb4ff", "018f7d5f8dbeb09f12217f65e3ec4b27484fb4ff")</f>
        <v>0</v>
      </c>
      <c r="D36824" t="s">
        <v>5368</v>
      </c>
      <c r="E36824" t="s">
        <v>8779</v>
      </c>
      <c r="F36824" t="s">
        <v>14162</v>
      </c>
      <c r="G36824" t="s">
        <v>17751</v>
      </c>
      <c r="H36824" t="s">
        <v>33702</v>
      </c>
    </row>
    <row r="36825" spans="1:8">
      <c r="H36825" t="s">
        <v>30861</v>
      </c>
    </row>
    <row r="36826" spans="1:8">
      <c r="A36826" t="s">
        <v>3058</v>
      </c>
      <c r="B36826">
        <f>HYPERLINK("https://android.googlesource.com/platform/cts/+/a7d58d87ab6ffe7a3e3b169560a55c76f2e2caa4", "a7d58d87ab6ffe7a3e3b169560a55c76f2e2caa4")</f>
        <v>0</v>
      </c>
      <c r="C36826">
        <f>HYPERLINK("https://android.googlesource.com/platform/cts/+/155dba77863d58e72597d1e1cc4f7499faba424d", "155dba77863d58e72597d1e1cc4f7499faba424d")</f>
        <v>0</v>
      </c>
      <c r="D36826" t="s">
        <v>5389</v>
      </c>
      <c r="E36826" t="s">
        <v>8780</v>
      </c>
      <c r="F36826" t="s">
        <v>12897</v>
      </c>
      <c r="G36826" t="s">
        <v>16824</v>
      </c>
      <c r="H36826" t="s">
        <v>33648</v>
      </c>
    </row>
    <row r="36827" spans="1:8">
      <c r="H36827" t="s">
        <v>33649</v>
      </c>
    </row>
    <row r="36828" spans="1:8">
      <c r="F36828" t="s">
        <v>13992</v>
      </c>
      <c r="G36828" t="s">
        <v>16620</v>
      </c>
      <c r="H36828" t="s">
        <v>33650</v>
      </c>
    </row>
    <row r="36829" spans="1:8">
      <c r="H36829" t="s">
        <v>33651</v>
      </c>
    </row>
    <row r="36830" spans="1:8">
      <c r="F36830" t="s">
        <v>13816</v>
      </c>
      <c r="G36830" t="s">
        <v>15089</v>
      </c>
      <c r="H36830" t="s">
        <v>33652</v>
      </c>
    </row>
    <row r="36831" spans="1:8">
      <c r="H36831" t="s">
        <v>33653</v>
      </c>
    </row>
    <row r="36832" spans="1:8">
      <c r="H36832" t="s">
        <v>33654</v>
      </c>
    </row>
    <row r="36833" spans="1:8">
      <c r="H36833" t="s">
        <v>33655</v>
      </c>
    </row>
    <row r="36834" spans="1:8">
      <c r="A36834" t="s">
        <v>3059</v>
      </c>
      <c r="B36834">
        <f>HYPERLINK("https://android.googlesource.com/platform/cts/+/d670540224578c52d62d8459d7a997d52b2b4c62", "d670540224578c52d62d8459d7a997d52b2b4c62")</f>
        <v>0</v>
      </c>
      <c r="C36834">
        <f>HYPERLINK("https://android.googlesource.com/platform/cts/+/a71306e7a3f123317b0ac054f885050e58b9ca6a", "a71306e7a3f123317b0ac054f885050e58b9ca6a")</f>
        <v>0</v>
      </c>
      <c r="D36834" t="s">
        <v>5334</v>
      </c>
      <c r="E36834" t="s">
        <v>8781</v>
      </c>
      <c r="F36834" t="s">
        <v>14163</v>
      </c>
      <c r="G36834" t="s">
        <v>17781</v>
      </c>
      <c r="H36834" t="s">
        <v>33039</v>
      </c>
    </row>
    <row r="36835" spans="1:8">
      <c r="H36835" t="s">
        <v>33703</v>
      </c>
    </row>
    <row r="36836" spans="1:8">
      <c r="F36836" t="s">
        <v>13713</v>
      </c>
      <c r="G36836" t="s">
        <v>17781</v>
      </c>
      <c r="H36836" t="s">
        <v>33704</v>
      </c>
    </row>
    <row r="36837" spans="1:8">
      <c r="H36837" t="s">
        <v>33703</v>
      </c>
    </row>
    <row r="36838" spans="1:8">
      <c r="F36838" t="s">
        <v>12629</v>
      </c>
      <c r="G36838" t="s">
        <v>16838</v>
      </c>
      <c r="H36838" t="s">
        <v>33704</v>
      </c>
    </row>
    <row r="36839" spans="1:8">
      <c r="F36839" t="s">
        <v>14122</v>
      </c>
      <c r="G36839" t="s">
        <v>18112</v>
      </c>
      <c r="H36839" t="s">
        <v>33039</v>
      </c>
    </row>
    <row r="36840" spans="1:8">
      <c r="A36840" t="s">
        <v>3060</v>
      </c>
      <c r="B36840">
        <f>HYPERLINK("https://android.googlesource.com/platform/cts/+/4745d6930f24693c26011be5f0463cbe48be0816", "4745d6930f24693c26011be5f0463cbe48be0816")</f>
        <v>0</v>
      </c>
      <c r="C36840">
        <f>HYPERLINK("https://android.googlesource.com/platform/cts/+/8563ca4cde28aaf9b0415b4809ef3359f1eeee20", "8563ca4cde28aaf9b0415b4809ef3359f1eeee20")</f>
        <v>0</v>
      </c>
      <c r="D36840" t="s">
        <v>5481</v>
      </c>
      <c r="E36840" t="s">
        <v>8782</v>
      </c>
      <c r="F36840" t="s">
        <v>14124</v>
      </c>
      <c r="G36840" t="s">
        <v>18114</v>
      </c>
      <c r="H36840" t="s">
        <v>33705</v>
      </c>
    </row>
    <row r="36841" spans="1:8">
      <c r="H36841" t="s">
        <v>33706</v>
      </c>
    </row>
    <row r="36842" spans="1:8">
      <c r="H36842" t="s">
        <v>33707</v>
      </c>
    </row>
    <row r="36843" spans="1:8">
      <c r="A36843" t="s">
        <v>3061</v>
      </c>
      <c r="B36843">
        <f>HYPERLINK("https://android.googlesource.com/platform/cts/+/7559ab67157fcc40d8d5f5f45f26cabe4f233681", "7559ab67157fcc40d8d5f5f45f26cabe4f233681")</f>
        <v>0</v>
      </c>
      <c r="C36843">
        <f>HYPERLINK("https://android.googlesource.com/platform/cts/+/a23a23d6fde204ac7255fd4b31a7324c304895dd", "a23a23d6fde204ac7255fd4b31a7324c304895dd")</f>
        <v>0</v>
      </c>
      <c r="D36843" t="s">
        <v>5268</v>
      </c>
      <c r="E36843" t="s">
        <v>8783</v>
      </c>
      <c r="F36843" t="s">
        <v>14158</v>
      </c>
      <c r="G36843" t="s">
        <v>18144</v>
      </c>
      <c r="H36843" t="s">
        <v>33606</v>
      </c>
    </row>
    <row r="36844" spans="1:8">
      <c r="H36844" t="s">
        <v>26622</v>
      </c>
    </row>
    <row r="36845" spans="1:8">
      <c r="A36845" t="s">
        <v>3062</v>
      </c>
      <c r="B36845">
        <f>HYPERLINK("https://android.googlesource.com/platform/cts/+/ed932a3bbfa58c7584bd178b64cec24393ec3802", "ed932a3bbfa58c7584bd178b64cec24393ec3802")</f>
        <v>0</v>
      </c>
      <c r="C36845">
        <f>HYPERLINK("https://android.googlesource.com/platform/cts/+/9456832958490a257a2b517c10ce1a891fb18a69", "9456832958490a257a2b517c10ce1a891fb18a69")</f>
        <v>0</v>
      </c>
      <c r="D36845" t="s">
        <v>5268</v>
      </c>
      <c r="E36845" t="s">
        <v>8784</v>
      </c>
      <c r="F36845" t="s">
        <v>14158</v>
      </c>
      <c r="G36845" t="s">
        <v>18144</v>
      </c>
      <c r="H36845" t="s">
        <v>33687</v>
      </c>
    </row>
    <row r="36846" spans="1:8">
      <c r="A36846" t="s">
        <v>3063</v>
      </c>
      <c r="B36846">
        <f>HYPERLINK("https://android.googlesource.com/platform/cts/+/7a7df0c674444214063142513ff538c340cb9d01", "7a7df0c674444214063142513ff538c340cb9d01")</f>
        <v>0</v>
      </c>
      <c r="C36846">
        <f>HYPERLINK("https://android.googlesource.com/platform/cts/+/58f0bdb90ff6b9243e76f382e0cbadc0cb7e7657", "58f0bdb90ff6b9243e76f382e0cbadc0cb7e7657")</f>
        <v>0</v>
      </c>
      <c r="D36846" t="s">
        <v>5503</v>
      </c>
      <c r="E36846" t="s">
        <v>8785</v>
      </c>
      <c r="F36846" t="s">
        <v>14164</v>
      </c>
      <c r="G36846" t="s">
        <v>18147</v>
      </c>
      <c r="H36846" t="s">
        <v>33708</v>
      </c>
    </row>
    <row r="36847" spans="1:8">
      <c r="H36847" t="s">
        <v>33709</v>
      </c>
    </row>
    <row r="36848" spans="1:8">
      <c r="A36848" t="s">
        <v>3064</v>
      </c>
      <c r="B36848">
        <f>HYPERLINK("https://android.googlesource.com/platform/cts/+/d0a28fbfd2de7bfc45a5cc7c0f4f71638be383d6", "d0a28fbfd2de7bfc45a5cc7c0f4f71638be383d6")</f>
        <v>0</v>
      </c>
      <c r="C36848">
        <f>HYPERLINK("https://android.googlesource.com/platform/cts/+/fac88fb4fb1eb9812300d8ead9bfbbe24c968ba6", "fac88fb4fb1eb9812300d8ead9bfbbe24c968ba6")</f>
        <v>0</v>
      </c>
      <c r="D36848" t="s">
        <v>5096</v>
      </c>
      <c r="E36848" t="s">
        <v>8786</v>
      </c>
      <c r="F36848" t="s">
        <v>14165</v>
      </c>
      <c r="G36848" t="s">
        <v>17361</v>
      </c>
      <c r="H36848" t="s">
        <v>33710</v>
      </c>
    </row>
    <row r="36849" spans="1:8">
      <c r="A36849" t="s">
        <v>3065</v>
      </c>
      <c r="B36849">
        <f>HYPERLINK("https://android.googlesource.com/platform/cts/+/bc5777af3aeef2ee8186477061cb0469ecbb112a", "bc5777af3aeef2ee8186477061cb0469ecbb112a")</f>
        <v>0</v>
      </c>
      <c r="C36849">
        <f>HYPERLINK("https://android.googlesource.com/platform/cts/+/98adfc01a082dadbe9581e35ba471d6d06781450", "98adfc01a082dadbe9581e35ba471d6d06781450")</f>
        <v>0</v>
      </c>
      <c r="D36849" t="s">
        <v>5046</v>
      </c>
      <c r="E36849" t="s">
        <v>8787</v>
      </c>
      <c r="F36849" t="s">
        <v>14166</v>
      </c>
      <c r="G36849" t="s">
        <v>17357</v>
      </c>
      <c r="H36849" t="s">
        <v>28593</v>
      </c>
    </row>
    <row r="36850" spans="1:8">
      <c r="A36850" t="s">
        <v>3066</v>
      </c>
      <c r="B36850">
        <f>HYPERLINK("https://android.googlesource.com/platform/cts/+/80180cd678dc3f44d4f097b000bb0b3386065308", "80180cd678dc3f44d4f097b000bb0b3386065308")</f>
        <v>0</v>
      </c>
      <c r="C36850">
        <f>HYPERLINK("https://android.googlesource.com/platform/cts/+/11c53df7b56f63d76a28d995140c62e1a2c14093", "11c53df7b56f63d76a28d995140c62e1a2c14093")</f>
        <v>0</v>
      </c>
      <c r="D36850" t="s">
        <v>5219</v>
      </c>
      <c r="E36850" t="s">
        <v>8788</v>
      </c>
      <c r="F36850" t="s">
        <v>14167</v>
      </c>
      <c r="G36850" t="s">
        <v>18148</v>
      </c>
      <c r="H36850" t="s">
        <v>33711</v>
      </c>
    </row>
    <row r="36851" spans="1:8">
      <c r="H36851" t="s">
        <v>33712</v>
      </c>
    </row>
    <row r="36852" spans="1:8">
      <c r="H36852" t="s">
        <v>33713</v>
      </c>
    </row>
    <row r="36853" spans="1:8">
      <c r="H36853" t="s">
        <v>33714</v>
      </c>
    </row>
    <row r="36854" spans="1:8">
      <c r="H36854" t="s">
        <v>33715</v>
      </c>
    </row>
    <row r="36855" spans="1:8">
      <c r="H36855" t="s">
        <v>33716</v>
      </c>
    </row>
    <row r="36856" spans="1:8">
      <c r="H36856" t="s">
        <v>32999</v>
      </c>
    </row>
    <row r="36857" spans="1:8">
      <c r="H36857" t="s">
        <v>33717</v>
      </c>
    </row>
    <row r="36858" spans="1:8">
      <c r="H36858" t="s">
        <v>33718</v>
      </c>
    </row>
    <row r="36859" spans="1:8">
      <c r="H36859" t="s">
        <v>33719</v>
      </c>
    </row>
    <row r="36860" spans="1:8">
      <c r="H36860" t="s">
        <v>33720</v>
      </c>
    </row>
    <row r="36861" spans="1:8">
      <c r="H36861" t="s">
        <v>33721</v>
      </c>
    </row>
    <row r="36862" spans="1:8">
      <c r="H36862" t="s">
        <v>33722</v>
      </c>
    </row>
    <row r="36863" spans="1:8">
      <c r="H36863" t="s">
        <v>33723</v>
      </c>
    </row>
    <row r="36864" spans="1:8">
      <c r="H36864" t="s">
        <v>33724</v>
      </c>
    </row>
    <row r="36865" spans="1:8">
      <c r="H36865" t="s">
        <v>33725</v>
      </c>
    </row>
    <row r="36866" spans="1:8">
      <c r="H36866" t="s">
        <v>33726</v>
      </c>
    </row>
    <row r="36867" spans="1:8">
      <c r="H36867" t="s">
        <v>33727</v>
      </c>
    </row>
    <row r="36868" spans="1:8">
      <c r="H36868" t="s">
        <v>33728</v>
      </c>
    </row>
    <row r="36869" spans="1:8">
      <c r="H36869" t="s">
        <v>33729</v>
      </c>
    </row>
    <row r="36870" spans="1:8">
      <c r="A36870" t="s">
        <v>3067</v>
      </c>
      <c r="B36870">
        <f>HYPERLINK("https://android.googlesource.com/platform/cts/+/9a8db49662e50b40d3a21f951b6c9b0b5a2dfd93", "9a8db49662e50b40d3a21f951b6c9b0b5a2dfd93")</f>
        <v>0</v>
      </c>
      <c r="C36870">
        <f>HYPERLINK("https://android.googlesource.com/platform/cts/+/684bffdb0dc893d64ec8b47ef0c27bcc5dcb36ee", "684bffdb0dc893d64ec8b47ef0c27bcc5dcb36ee")</f>
        <v>0</v>
      </c>
      <c r="D36870" t="s">
        <v>5435</v>
      </c>
      <c r="E36870" t="s">
        <v>8789</v>
      </c>
      <c r="F36870" t="s">
        <v>12710</v>
      </c>
      <c r="G36870" t="s">
        <v>16911</v>
      </c>
      <c r="H36870" t="s">
        <v>33730</v>
      </c>
    </row>
    <row r="36871" spans="1:8">
      <c r="A36871" t="s">
        <v>3068</v>
      </c>
      <c r="B36871">
        <f>HYPERLINK("https://android.googlesource.com/platform/cts/+/80f993d0bc8a3d151b87bc0b2e89eedd6bb840f7", "80f993d0bc8a3d151b87bc0b2e89eedd6bb840f7")</f>
        <v>0</v>
      </c>
      <c r="C36871">
        <f>HYPERLINK("https://android.googlesource.com/platform/cts/+/2436078ec52d48155f114117f3e1e6c0ff32475b", "2436078ec52d48155f114117f3e1e6c0ff32475b")</f>
        <v>0</v>
      </c>
      <c r="D36871" t="s">
        <v>5096</v>
      </c>
      <c r="E36871" t="s">
        <v>8790</v>
      </c>
      <c r="F36871" t="s">
        <v>14168</v>
      </c>
      <c r="G36871" t="s">
        <v>18149</v>
      </c>
      <c r="H36871" t="s">
        <v>33731</v>
      </c>
    </row>
    <row r="36872" spans="1:8">
      <c r="A36872" t="s">
        <v>3069</v>
      </c>
      <c r="B36872">
        <f>HYPERLINK("https://android.googlesource.com/platform/cts/+/4bb872fcfe7b2649e385dc50b5cbcb005051d54e", "4bb872fcfe7b2649e385dc50b5cbcb005051d54e")</f>
        <v>0</v>
      </c>
      <c r="C36872">
        <f>HYPERLINK("https://android.googlesource.com/platform/cts/+/7b05b2df8931319e57eb3da2cdb4c57e1179dcdb", "7b05b2df8931319e57eb3da2cdb4c57e1179dcdb")</f>
        <v>0</v>
      </c>
      <c r="D36872" t="s">
        <v>5451</v>
      </c>
      <c r="E36872" t="s">
        <v>8791</v>
      </c>
      <c r="F36872" t="s">
        <v>13403</v>
      </c>
      <c r="G36872" t="s">
        <v>17529</v>
      </c>
      <c r="H36872" t="s">
        <v>33732</v>
      </c>
    </row>
    <row r="36873" spans="1:8">
      <c r="H36873" t="s">
        <v>33733</v>
      </c>
    </row>
    <row r="36874" spans="1:8">
      <c r="H36874" t="s">
        <v>33734</v>
      </c>
    </row>
    <row r="36875" spans="1:8">
      <c r="H36875" t="s">
        <v>33735</v>
      </c>
    </row>
    <row r="36876" spans="1:8">
      <c r="H36876" t="s">
        <v>33736</v>
      </c>
    </row>
    <row r="36877" spans="1:8">
      <c r="H36877" t="s">
        <v>33737</v>
      </c>
    </row>
    <row r="36878" spans="1:8">
      <c r="H36878" t="s">
        <v>29683</v>
      </c>
    </row>
    <row r="36879" spans="1:8">
      <c r="H36879" t="s">
        <v>33738</v>
      </c>
    </row>
    <row r="36880" spans="1:8">
      <c r="H36880" t="s">
        <v>33739</v>
      </c>
    </row>
    <row r="36881" spans="1:8">
      <c r="F36881" t="s">
        <v>13230</v>
      </c>
      <c r="G36881" t="s">
        <v>17371</v>
      </c>
      <c r="H36881" t="s">
        <v>33740</v>
      </c>
    </row>
    <row r="36882" spans="1:8">
      <c r="H36882" t="s">
        <v>33741</v>
      </c>
    </row>
    <row r="36883" spans="1:8">
      <c r="F36883" t="s">
        <v>14169</v>
      </c>
      <c r="G36883" t="s">
        <v>18150</v>
      </c>
      <c r="H36883" t="s">
        <v>33742</v>
      </c>
    </row>
    <row r="36884" spans="1:8">
      <c r="H36884" t="s">
        <v>33732</v>
      </c>
    </row>
    <row r="36885" spans="1:8">
      <c r="H36885" t="s">
        <v>33735</v>
      </c>
    </row>
    <row r="36886" spans="1:8">
      <c r="H36886" t="s">
        <v>33736</v>
      </c>
    </row>
    <row r="36887" spans="1:8">
      <c r="H36887" t="s">
        <v>33737</v>
      </c>
    </row>
    <row r="36888" spans="1:8">
      <c r="F36888" t="s">
        <v>14123</v>
      </c>
      <c r="G36888" t="s">
        <v>18113</v>
      </c>
      <c r="H36888" t="s">
        <v>33743</v>
      </c>
    </row>
    <row r="36889" spans="1:8">
      <c r="H36889" t="s">
        <v>33744</v>
      </c>
    </row>
    <row r="36890" spans="1:8">
      <c r="H36890" t="s">
        <v>33745</v>
      </c>
    </row>
    <row r="36891" spans="1:8">
      <c r="H36891" t="s">
        <v>33746</v>
      </c>
    </row>
    <row r="36892" spans="1:8">
      <c r="H36892" t="s">
        <v>33747</v>
      </c>
    </row>
    <row r="36893" spans="1:8">
      <c r="A36893" t="s">
        <v>3070</v>
      </c>
      <c r="B36893">
        <f>HYPERLINK("https://android.googlesource.com/platform/cts/+/3269a1c3196540588a3e32380f85da5f8ff4b8ce", "3269a1c3196540588a3e32380f85da5f8ff4b8ce")</f>
        <v>0</v>
      </c>
      <c r="C36893">
        <f>HYPERLINK("https://android.googlesource.com/platform/cts/+/4129ddfd7dc56b1dad09022d5ef192913e100a8e", "4129ddfd7dc56b1dad09022d5ef192913e100a8e")</f>
        <v>0</v>
      </c>
      <c r="D36893" t="s">
        <v>5504</v>
      </c>
      <c r="E36893" t="s">
        <v>8792</v>
      </c>
      <c r="F36893" t="s">
        <v>14170</v>
      </c>
      <c r="G36893" t="s">
        <v>18151</v>
      </c>
      <c r="H36893" t="s">
        <v>33748</v>
      </c>
    </row>
    <row r="36894" spans="1:8">
      <c r="H36894" t="s">
        <v>33749</v>
      </c>
    </row>
    <row r="36895" spans="1:8">
      <c r="H36895" t="s">
        <v>33750</v>
      </c>
    </row>
    <row r="36896" spans="1:8">
      <c r="H36896" t="s">
        <v>33751</v>
      </c>
    </row>
    <row r="36897" spans="1:8">
      <c r="H36897" t="s">
        <v>33752</v>
      </c>
    </row>
    <row r="36898" spans="1:8">
      <c r="H36898" t="s">
        <v>33753</v>
      </c>
    </row>
    <row r="36899" spans="1:8">
      <c r="A36899" t="s">
        <v>3071</v>
      </c>
      <c r="B36899">
        <f>HYPERLINK("https://android.googlesource.com/platform/cts/+/668291193b0cf7726c9cb163d3331b6102337314", "668291193b0cf7726c9cb163d3331b6102337314")</f>
        <v>0</v>
      </c>
      <c r="C36899">
        <f>HYPERLINK("https://android.googlesource.com/platform/cts/+/6f52092642bc21691e839d989ea80d78c39e127d", "6f52092642bc21691e839d989ea80d78c39e127d")</f>
        <v>0</v>
      </c>
      <c r="D36899" t="s">
        <v>5504</v>
      </c>
      <c r="E36899" t="s">
        <v>8793</v>
      </c>
      <c r="F36899" t="s">
        <v>14171</v>
      </c>
      <c r="G36899" t="s">
        <v>18151</v>
      </c>
      <c r="H36899" t="s">
        <v>33748</v>
      </c>
    </row>
    <row r="36900" spans="1:8">
      <c r="H36900" t="s">
        <v>33749</v>
      </c>
    </row>
    <row r="36901" spans="1:8">
      <c r="H36901" t="s">
        <v>33750</v>
      </c>
    </row>
    <row r="36902" spans="1:8">
      <c r="H36902" t="s">
        <v>33751</v>
      </c>
    </row>
    <row r="36903" spans="1:8">
      <c r="H36903" t="s">
        <v>33752</v>
      </c>
    </row>
    <row r="36904" spans="1:8">
      <c r="H36904" t="s">
        <v>33753</v>
      </c>
    </row>
    <row r="36905" spans="1:8">
      <c r="A36905" t="s">
        <v>3072</v>
      </c>
      <c r="B36905">
        <f>HYPERLINK("https://android.googlesource.com/platform/cts/+/b42fd3ade80aa38de1ddb2d71d0ac7aa7b524b81", "b42fd3ade80aa38de1ddb2d71d0ac7aa7b524b81")</f>
        <v>0</v>
      </c>
      <c r="C36905">
        <f>HYPERLINK("https://android.googlesource.com/platform/cts/+/912a74c66c95f6f1680c8d1b4f6c2dfac4b4bc34", "912a74c66c95f6f1680c8d1b4f6c2dfac4b4bc34")</f>
        <v>0</v>
      </c>
      <c r="D36905" t="s">
        <v>5492</v>
      </c>
      <c r="E36905" t="s">
        <v>8794</v>
      </c>
      <c r="F36905" t="s">
        <v>13816</v>
      </c>
      <c r="G36905" t="s">
        <v>15089</v>
      </c>
      <c r="H36905" t="s">
        <v>33638</v>
      </c>
    </row>
    <row r="36906" spans="1:8">
      <c r="A36906" t="s">
        <v>3073</v>
      </c>
      <c r="B36906">
        <f>HYPERLINK("https://android.googlesource.com/platform/cts/+/1e9fe81c584f7a5c5ce2a0638408c348a42fca78", "1e9fe81c584f7a5c5ce2a0638408c348a42fca78")</f>
        <v>0</v>
      </c>
      <c r="C36906">
        <f>HYPERLINK("https://android.googlesource.com/platform/cts/+/339dfb440f4a686b34ec2167669292de0738dd43", "339dfb440f4a686b34ec2167669292de0738dd43")</f>
        <v>0</v>
      </c>
      <c r="D36906" t="s">
        <v>5439</v>
      </c>
      <c r="E36906" t="s">
        <v>8795</v>
      </c>
      <c r="F36906" t="s">
        <v>12741</v>
      </c>
      <c r="G36906" t="s">
        <v>16933</v>
      </c>
      <c r="H36906" t="s">
        <v>33754</v>
      </c>
    </row>
    <row r="36907" spans="1:8">
      <c r="H36907" t="s">
        <v>33755</v>
      </c>
    </row>
    <row r="36908" spans="1:8">
      <c r="H36908" t="s">
        <v>33756</v>
      </c>
    </row>
    <row r="36909" spans="1:8">
      <c r="A36909" t="s">
        <v>3074</v>
      </c>
      <c r="B36909">
        <f>HYPERLINK("https://android.googlesource.com/platform/cts/+/d1edeea21106ba1f8a8ca1efe6f4be46c68600a9", "d1edeea21106ba1f8a8ca1efe6f4be46c68600a9")</f>
        <v>0</v>
      </c>
      <c r="C36909">
        <f>HYPERLINK("https://android.googlesource.com/platform/cts/+/eeba8606c84d1e4243fcd52ab388770cafa2884b", "eeba8606c84d1e4243fcd52ab388770cafa2884b")</f>
        <v>0</v>
      </c>
      <c r="D36909" t="s">
        <v>5489</v>
      </c>
      <c r="E36909" t="s">
        <v>8796</v>
      </c>
      <c r="F36909" t="s">
        <v>13576</v>
      </c>
      <c r="G36909" t="s">
        <v>16477</v>
      </c>
      <c r="H36909" t="s">
        <v>32467</v>
      </c>
    </row>
    <row r="36910" spans="1:8">
      <c r="A36910" t="s">
        <v>3075</v>
      </c>
      <c r="B36910">
        <f>HYPERLINK("https://android.googlesource.com/platform/cts/+/457b8ad3ef02d0a3fe31623d301560870690b79a", "457b8ad3ef02d0a3fe31623d301560870690b79a")</f>
        <v>0</v>
      </c>
      <c r="C36910">
        <f>HYPERLINK("https://android.googlesource.com/platform/cts/+/d1bab0f9a3dbc3e88d0d02e46df08f817039ce20", "d1bab0f9a3dbc3e88d0d02e46df08f817039ce20")</f>
        <v>0</v>
      </c>
      <c r="D36910" t="s">
        <v>5505</v>
      </c>
      <c r="E36910" t="s">
        <v>8797</v>
      </c>
      <c r="F36910" t="s">
        <v>14172</v>
      </c>
      <c r="G36910" t="s">
        <v>18152</v>
      </c>
      <c r="H36910" t="s">
        <v>33757</v>
      </c>
    </row>
    <row r="36911" spans="1:8">
      <c r="A36911" t="s">
        <v>3076</v>
      </c>
      <c r="B36911">
        <f>HYPERLINK("https://android.googlesource.com/platform/cts/+/0c066b3b1d0fe0719bb8cd1b1689ddd363f70dc8", "0c066b3b1d0fe0719bb8cd1b1689ddd363f70dc8")</f>
        <v>0</v>
      </c>
      <c r="C36911">
        <f>HYPERLINK("https://android.googlesource.com/platform/cts/+/36aab9c27e4d0043a78be763979890b3df2b0224", "36aab9c27e4d0043a78be763979890b3df2b0224")</f>
        <v>0</v>
      </c>
      <c r="D36911" t="s">
        <v>5470</v>
      </c>
      <c r="E36911" t="s">
        <v>8798</v>
      </c>
      <c r="F36911" t="s">
        <v>14165</v>
      </c>
      <c r="G36911" t="s">
        <v>17361</v>
      </c>
      <c r="H36911" t="s">
        <v>33758</v>
      </c>
    </row>
    <row r="36912" spans="1:8">
      <c r="A36912" t="s">
        <v>3077</v>
      </c>
      <c r="B36912">
        <f>HYPERLINK("https://android.googlesource.com/platform/cts/+/828e0f66fb1cdbbda18d56fae49a0ef52aa8351c", "828e0f66fb1cdbbda18d56fae49a0ef52aa8351c")</f>
        <v>0</v>
      </c>
      <c r="C36912">
        <f>HYPERLINK("https://android.googlesource.com/platform/cts/+/32df2278d923ab6f2238595e80c3bacec5bce58b", "32df2278d923ab6f2238595e80c3bacec5bce58b")</f>
        <v>0</v>
      </c>
      <c r="D36912" t="s">
        <v>5443</v>
      </c>
      <c r="E36912" t="s">
        <v>8799</v>
      </c>
      <c r="F36912" t="s">
        <v>12710</v>
      </c>
      <c r="G36912" t="s">
        <v>16911</v>
      </c>
      <c r="H36912" t="s">
        <v>33759</v>
      </c>
    </row>
    <row r="36913" spans="1:8">
      <c r="A36913" t="s">
        <v>3078</v>
      </c>
      <c r="B36913">
        <f>HYPERLINK("https://android.googlesource.com/platform/cts/+/82bd5aa20d645f7bbe255293333d338c559d8fc2", "82bd5aa20d645f7bbe255293333d338c559d8fc2")</f>
        <v>0</v>
      </c>
      <c r="C36913">
        <f>HYPERLINK("https://android.googlesource.com/platform/cts/+/9deb286ecbd59b59e2c31f94c94b6181c6e92c12", "9deb286ecbd59b59e2c31f94c94b6181c6e92c12")</f>
        <v>0</v>
      </c>
      <c r="D36913" t="s">
        <v>5443</v>
      </c>
      <c r="E36913" t="s">
        <v>8800</v>
      </c>
      <c r="F36913" t="s">
        <v>12710</v>
      </c>
      <c r="G36913" t="s">
        <v>16911</v>
      </c>
      <c r="H36913" t="s">
        <v>33759</v>
      </c>
    </row>
    <row r="36914" spans="1:8">
      <c r="A36914" t="s">
        <v>3079</v>
      </c>
      <c r="B36914">
        <f>HYPERLINK("https://android.googlesource.com/platform/cts/+/ec93220c6185cfd0f530b9ddce5ae8f0ff164a4d", "ec93220c6185cfd0f530b9ddce5ae8f0ff164a4d")</f>
        <v>0</v>
      </c>
      <c r="C36914">
        <f>HYPERLINK("https://android.googlesource.com/platform/cts/+/d5122b1900d0a8b05bae36140b721a66884e2e5d", "d5122b1900d0a8b05bae36140b721a66884e2e5d")</f>
        <v>0</v>
      </c>
      <c r="D36914" t="s">
        <v>5443</v>
      </c>
      <c r="E36914" t="s">
        <v>8801</v>
      </c>
      <c r="F36914" t="s">
        <v>12710</v>
      </c>
      <c r="G36914" t="s">
        <v>16911</v>
      </c>
      <c r="H36914" t="s">
        <v>33759</v>
      </c>
    </row>
    <row r="36915" spans="1:8">
      <c r="A36915" t="s">
        <v>3080</v>
      </c>
      <c r="B36915">
        <f>HYPERLINK("https://android.googlesource.com/platform/cts/+/1868155cb281853d707ba755b9df042140fc1928", "1868155cb281853d707ba755b9df042140fc1928")</f>
        <v>0</v>
      </c>
      <c r="C36915">
        <f>HYPERLINK("https://android.googlesource.com/platform/cts/+/93067a4c06bde9efc258ced59128c62f8099318c", "93067a4c06bde9efc258ced59128c62f8099318c")</f>
        <v>0</v>
      </c>
      <c r="D36915" t="s">
        <v>5443</v>
      </c>
      <c r="E36915" t="s">
        <v>8801</v>
      </c>
      <c r="F36915" t="s">
        <v>12710</v>
      </c>
      <c r="G36915" t="s">
        <v>16911</v>
      </c>
      <c r="H36915" t="s">
        <v>33759</v>
      </c>
    </row>
    <row r="36916" spans="1:8">
      <c r="A36916" t="s">
        <v>3081</v>
      </c>
      <c r="B36916">
        <f>HYPERLINK("https://android.googlesource.com/platform/cts/+/c010341da6ac2537ca3b106e4c5a881df3c7fa68", "c010341da6ac2537ca3b106e4c5a881df3c7fa68")</f>
        <v>0</v>
      </c>
      <c r="C36916">
        <f>HYPERLINK("https://android.googlesource.com/platform/cts/+/5bd5ac6f7e4179bbd548f0372f743b3f74f1692c", "5bd5ac6f7e4179bbd548f0372f743b3f74f1692c")</f>
        <v>0</v>
      </c>
      <c r="D36916" t="s">
        <v>5506</v>
      </c>
      <c r="E36916" t="s">
        <v>8802</v>
      </c>
      <c r="F36916" t="s">
        <v>12741</v>
      </c>
      <c r="G36916" t="s">
        <v>16933</v>
      </c>
      <c r="H36916" t="s">
        <v>33754</v>
      </c>
    </row>
    <row r="36917" spans="1:8">
      <c r="H36917" t="s">
        <v>33755</v>
      </c>
    </row>
    <row r="36918" spans="1:8">
      <c r="H36918" t="s">
        <v>33756</v>
      </c>
    </row>
    <row r="36919" spans="1:8">
      <c r="A36919" t="s">
        <v>3082</v>
      </c>
      <c r="B36919">
        <f>HYPERLINK("https://android.googlesource.com/platform/cts/+/00b3ff062b4606dacc8cb9802eed1616bb021c96", "00b3ff062b4606dacc8cb9802eed1616bb021c96")</f>
        <v>0</v>
      </c>
      <c r="C36919">
        <f>HYPERLINK("https://android.googlesource.com/platform/cts/+/0f0b828841a198a4948142051250d4b5f196c613", "0f0b828841a198a4948142051250d4b5f196c613")</f>
        <v>0</v>
      </c>
      <c r="D36919" t="s">
        <v>5223</v>
      </c>
      <c r="E36919" t="s">
        <v>8803</v>
      </c>
      <c r="F36919" t="s">
        <v>14173</v>
      </c>
      <c r="G36919" t="s">
        <v>18153</v>
      </c>
      <c r="H36919" t="s">
        <v>33760</v>
      </c>
    </row>
    <row r="36920" spans="1:8">
      <c r="H36920" t="s">
        <v>33761</v>
      </c>
    </row>
    <row r="36921" spans="1:8">
      <c r="F36921" t="s">
        <v>14174</v>
      </c>
      <c r="G36921" t="s">
        <v>18154</v>
      </c>
      <c r="H36921" t="s">
        <v>18829</v>
      </c>
    </row>
    <row r="36922" spans="1:8">
      <c r="H36922" t="s">
        <v>18836</v>
      </c>
    </row>
    <row r="36923" spans="1:8">
      <c r="H36923" t="s">
        <v>19013</v>
      </c>
    </row>
    <row r="36924" spans="1:8">
      <c r="H36924" t="s">
        <v>18835</v>
      </c>
    </row>
    <row r="36925" spans="1:8">
      <c r="H36925" t="s">
        <v>33762</v>
      </c>
    </row>
    <row r="36926" spans="1:8">
      <c r="F36926" t="s">
        <v>14175</v>
      </c>
      <c r="G36926" t="s">
        <v>18155</v>
      </c>
      <c r="H36926" t="s">
        <v>18829</v>
      </c>
    </row>
    <row r="36927" spans="1:8">
      <c r="H36927" t="s">
        <v>18836</v>
      </c>
    </row>
    <row r="36928" spans="1:8">
      <c r="H36928" t="s">
        <v>19013</v>
      </c>
    </row>
    <row r="36929" spans="1:8">
      <c r="H36929" t="s">
        <v>18835</v>
      </c>
    </row>
    <row r="36930" spans="1:8">
      <c r="H36930" t="s">
        <v>33762</v>
      </c>
    </row>
    <row r="36931" spans="1:8">
      <c r="A36931" t="s">
        <v>3083</v>
      </c>
      <c r="B36931">
        <f>HYPERLINK("https://android.googlesource.com/platform/cts/+/9be6d5fff80cbf6b98fd57d89c3af12bf344ba9c", "9be6d5fff80cbf6b98fd57d89c3af12bf344ba9c")</f>
        <v>0</v>
      </c>
      <c r="C36931">
        <f>HYPERLINK("https://android.googlesource.com/platform/cts/+/41de39170128cd48d87711cd04a38f686e8e27c6", "41de39170128cd48d87711cd04a38f686e8e27c6")</f>
        <v>0</v>
      </c>
      <c r="D36931" t="s">
        <v>5277</v>
      </c>
      <c r="E36931" t="s">
        <v>8804</v>
      </c>
      <c r="F36931" t="s">
        <v>14028</v>
      </c>
      <c r="G36931" t="s">
        <v>18156</v>
      </c>
      <c r="H36931" t="s">
        <v>22678</v>
      </c>
    </row>
    <row r="36932" spans="1:8">
      <c r="H36932" t="s">
        <v>18829</v>
      </c>
    </row>
    <row r="36933" spans="1:8">
      <c r="H36933" t="s">
        <v>18863</v>
      </c>
    </row>
    <row r="36934" spans="1:8">
      <c r="H36934" t="s">
        <v>33763</v>
      </c>
    </row>
    <row r="36935" spans="1:8">
      <c r="H36935" t="s">
        <v>33764</v>
      </c>
    </row>
    <row r="36936" spans="1:8">
      <c r="A36936" t="s">
        <v>3084</v>
      </c>
      <c r="B36936">
        <f>HYPERLINK("https://android.googlesource.com/platform/cts/+/0223410f99c32004961e92a3063c83c4334f1206", "0223410f99c32004961e92a3063c83c4334f1206")</f>
        <v>0</v>
      </c>
      <c r="C36936">
        <f>HYPERLINK("https://android.googlesource.com/platform/cts/+/10c0719be30d6035c8f0fe2fd9cd877cd0ee29cd", "10c0719be30d6035c8f0fe2fd9cd877cd0ee29cd")</f>
        <v>0</v>
      </c>
      <c r="D36936" t="s">
        <v>5342</v>
      </c>
      <c r="E36936" t="s">
        <v>8805</v>
      </c>
      <c r="F36936" t="s">
        <v>14176</v>
      </c>
      <c r="G36936" t="s">
        <v>18157</v>
      </c>
      <c r="H36936" t="s">
        <v>32569</v>
      </c>
    </row>
    <row r="36937" spans="1:8">
      <c r="A36937" t="s">
        <v>3085</v>
      </c>
      <c r="B36937">
        <f>HYPERLINK("https://android.googlesource.com/platform/cts/+/02b422d497074981332952e65e304893334f82af", "02b422d497074981332952e65e304893334f82af")</f>
        <v>0</v>
      </c>
      <c r="C36937">
        <f>HYPERLINK("https://android.googlesource.com/platform/cts/+/b3163061a0cc98af7bdb4c51620dc02262bef0d3", "b3163061a0cc98af7bdb4c51620dc02262bef0d3")</f>
        <v>0</v>
      </c>
      <c r="D36937" t="s">
        <v>5504</v>
      </c>
      <c r="E36937" t="s">
        <v>8806</v>
      </c>
      <c r="F36937" t="s">
        <v>14171</v>
      </c>
      <c r="G36937" t="s">
        <v>18151</v>
      </c>
      <c r="H36937" t="s">
        <v>33748</v>
      </c>
    </row>
    <row r="36938" spans="1:8">
      <c r="H36938" t="s">
        <v>33749</v>
      </c>
    </row>
    <row r="36939" spans="1:8">
      <c r="H36939" t="s">
        <v>33750</v>
      </c>
    </row>
    <row r="36940" spans="1:8">
      <c r="H36940" t="s">
        <v>33751</v>
      </c>
    </row>
    <row r="36941" spans="1:8">
      <c r="H36941" t="s">
        <v>33752</v>
      </c>
    </row>
    <row r="36942" spans="1:8">
      <c r="H36942" t="s">
        <v>33753</v>
      </c>
    </row>
    <row r="36943" spans="1:8">
      <c r="A36943" t="s">
        <v>3086</v>
      </c>
      <c r="B36943">
        <f>HYPERLINK("https://android.googlesource.com/platform/cts/+/7429851405a82c9fac7b1540646331bc1da699c3", "7429851405a82c9fac7b1540646331bc1da699c3")</f>
        <v>0</v>
      </c>
      <c r="C36943">
        <f>HYPERLINK("https://android.googlesource.com/platform/cts/+/a14ae1101a7ef76ec9365f1098b2df25c4860974", "a14ae1101a7ef76ec9365f1098b2df25c4860974")</f>
        <v>0</v>
      </c>
      <c r="D36943" t="s">
        <v>5443</v>
      </c>
      <c r="E36943" t="s">
        <v>8807</v>
      </c>
      <c r="F36943" t="s">
        <v>12710</v>
      </c>
      <c r="G36943" t="s">
        <v>16911</v>
      </c>
      <c r="H36943" t="s">
        <v>33765</v>
      </c>
    </row>
    <row r="36944" spans="1:8">
      <c r="A36944" t="s">
        <v>3087</v>
      </c>
      <c r="B36944">
        <f>HYPERLINK("https://android.googlesource.com/platform/cts/+/ea9e366aa024b4f4a34a3070945de54ab8ab7c65", "ea9e366aa024b4f4a34a3070945de54ab8ab7c65")</f>
        <v>0</v>
      </c>
      <c r="C36944">
        <f>HYPERLINK("https://android.googlesource.com/platform/cts/+/7429851405a82c9fac7b1540646331bc1da699c3", "7429851405a82c9fac7b1540646331bc1da699c3")</f>
        <v>0</v>
      </c>
      <c r="D36944" t="s">
        <v>5443</v>
      </c>
      <c r="E36944" t="s">
        <v>8808</v>
      </c>
      <c r="F36944" t="s">
        <v>12710</v>
      </c>
      <c r="G36944" t="s">
        <v>16911</v>
      </c>
      <c r="H36944" t="s">
        <v>33766</v>
      </c>
    </row>
    <row r="36945" spans="1:8">
      <c r="H36945" t="s">
        <v>33767</v>
      </c>
    </row>
    <row r="36946" spans="1:8">
      <c r="A36946" t="s">
        <v>3088</v>
      </c>
      <c r="B36946">
        <f>HYPERLINK("https://android.googlesource.com/platform/cts/+/eca2ea189a0dbc04ebf571afdc5eeffc4c673b51", "eca2ea189a0dbc04ebf571afdc5eeffc4c673b51")</f>
        <v>0</v>
      </c>
      <c r="C36946">
        <f>HYPERLINK("https://android.googlesource.com/platform/cts/+/6a9cfbf2b7feef8209b87f33cb8cdb96a6e98b37", "6a9cfbf2b7feef8209b87f33cb8cdb96a6e98b37")</f>
        <v>0</v>
      </c>
      <c r="D36946" t="s">
        <v>5443</v>
      </c>
      <c r="E36946" t="s">
        <v>8809</v>
      </c>
      <c r="F36946" t="s">
        <v>12710</v>
      </c>
      <c r="G36946" t="s">
        <v>16911</v>
      </c>
      <c r="H36946" t="s">
        <v>33765</v>
      </c>
    </row>
    <row r="36947" spans="1:8">
      <c r="A36947" t="s">
        <v>3089</v>
      </c>
      <c r="B36947">
        <f>HYPERLINK("https://android.googlesource.com/platform/cts/+/3c2302d46733433d8642c6f8b4b0b3d6b6325769", "3c2302d46733433d8642c6f8b4b0b3d6b6325769")</f>
        <v>0</v>
      </c>
      <c r="C36947">
        <f>HYPERLINK("https://android.googlesource.com/platform/cts/+/eca2ea189a0dbc04ebf571afdc5eeffc4c673b51", "eca2ea189a0dbc04ebf571afdc5eeffc4c673b51")</f>
        <v>0</v>
      </c>
      <c r="D36947" t="s">
        <v>5443</v>
      </c>
      <c r="E36947" t="s">
        <v>8810</v>
      </c>
      <c r="F36947" t="s">
        <v>12710</v>
      </c>
      <c r="G36947" t="s">
        <v>16911</v>
      </c>
      <c r="H36947" t="s">
        <v>33766</v>
      </c>
    </row>
    <row r="36948" spans="1:8">
      <c r="H36948" t="s">
        <v>33767</v>
      </c>
    </row>
    <row r="36949" spans="1:8">
      <c r="A36949" t="s">
        <v>3090</v>
      </c>
      <c r="B36949">
        <f>HYPERLINK("https://android.googlesource.com/platform/cts/+/2d0bb8ef878743d69de875732a12dbf64bd6fb29", "2d0bb8ef878743d69de875732a12dbf64bd6fb29")</f>
        <v>0</v>
      </c>
      <c r="C36949">
        <f>HYPERLINK("https://android.googlesource.com/platform/cts/+/d5d4e62e44b3aed06c1298b387b98f3fda7478cc", "d5d4e62e44b3aed06c1298b387b98f3fda7478cc")</f>
        <v>0</v>
      </c>
      <c r="D36949" t="s">
        <v>5443</v>
      </c>
      <c r="E36949" t="s">
        <v>8811</v>
      </c>
      <c r="F36949" t="s">
        <v>12710</v>
      </c>
      <c r="G36949" t="s">
        <v>16911</v>
      </c>
      <c r="H36949" t="s">
        <v>33730</v>
      </c>
    </row>
    <row r="36950" spans="1:8">
      <c r="A36950" t="s">
        <v>3091</v>
      </c>
      <c r="B36950">
        <f>HYPERLINK("https://android.googlesource.com/platform/cts/+/b1e06d11a97309d2ee8c4975b4fdb299bc89c8a5", "b1e06d11a97309d2ee8c4975b4fdb299bc89c8a5")</f>
        <v>0</v>
      </c>
      <c r="C36950">
        <f>HYPERLINK("https://android.googlesource.com/platform/cts/+/2d0bb8ef878743d69de875732a12dbf64bd6fb29", "2d0bb8ef878743d69de875732a12dbf64bd6fb29")</f>
        <v>0</v>
      </c>
      <c r="D36950" t="s">
        <v>5443</v>
      </c>
      <c r="E36950" t="s">
        <v>8812</v>
      </c>
      <c r="F36950" t="s">
        <v>12710</v>
      </c>
      <c r="G36950" t="s">
        <v>16911</v>
      </c>
      <c r="H36950" t="s">
        <v>33765</v>
      </c>
    </row>
    <row r="36951" spans="1:8">
      <c r="A36951" t="s">
        <v>3092</v>
      </c>
      <c r="B36951">
        <f>HYPERLINK("https://android.googlesource.com/platform/cts/+/e0584e311dad492836717e8069fe089ed93950c6", "e0584e311dad492836717e8069fe089ed93950c6")</f>
        <v>0</v>
      </c>
      <c r="C36951">
        <f>HYPERLINK("https://android.googlesource.com/platform/cts/+/b1e06d11a97309d2ee8c4975b4fdb299bc89c8a5", "b1e06d11a97309d2ee8c4975b4fdb299bc89c8a5")</f>
        <v>0</v>
      </c>
      <c r="D36951" t="s">
        <v>5443</v>
      </c>
      <c r="E36951" t="s">
        <v>8813</v>
      </c>
      <c r="F36951" t="s">
        <v>12710</v>
      </c>
      <c r="G36951" t="s">
        <v>16911</v>
      </c>
      <c r="H36951" t="s">
        <v>33766</v>
      </c>
    </row>
    <row r="36952" spans="1:8">
      <c r="H36952" t="s">
        <v>33767</v>
      </c>
    </row>
    <row r="36953" spans="1:8">
      <c r="A36953" t="s">
        <v>3093</v>
      </c>
      <c r="B36953">
        <f>HYPERLINK("https://android.googlesource.com/platform/cts/+/dc5b4413eefbbebdcba000ce05c1c4040316dabc", "dc5b4413eefbbebdcba000ce05c1c4040316dabc")</f>
        <v>0</v>
      </c>
      <c r="C36953">
        <f>HYPERLINK("https://android.googlesource.com/platform/cts/+/57e9da96af43593640a9fe9e2f1a3ae138869af4", "57e9da96af43593640a9fe9e2f1a3ae138869af4")</f>
        <v>0</v>
      </c>
      <c r="D36953" t="s">
        <v>5472</v>
      </c>
      <c r="E36953" t="s">
        <v>8814</v>
      </c>
      <c r="F36953" t="s">
        <v>13135</v>
      </c>
      <c r="G36953" t="s">
        <v>16874</v>
      </c>
      <c r="H36953" t="s">
        <v>33768</v>
      </c>
    </row>
    <row r="36954" spans="1:8">
      <c r="A36954" t="s">
        <v>3094</v>
      </c>
      <c r="B36954">
        <f>HYPERLINK("https://android.googlesource.com/platform/cts/+/621fd75805f987d290bc29c5c700f90be0ea162e", "621fd75805f987d290bc29c5c700f90be0ea162e")</f>
        <v>0</v>
      </c>
      <c r="C36954">
        <f>HYPERLINK("https://android.googlesource.com/platform/cts/+/2e1b5c1c74e4ff88f1ea354f3c8d5a20da528b34", "2e1b5c1c74e4ff88f1ea354f3c8d5a20da528b34")</f>
        <v>0</v>
      </c>
      <c r="D36954" t="s">
        <v>5304</v>
      </c>
      <c r="E36954" t="s">
        <v>8815</v>
      </c>
      <c r="F36954" t="s">
        <v>14177</v>
      </c>
      <c r="G36954" t="s">
        <v>18158</v>
      </c>
      <c r="H36954" t="s">
        <v>33769</v>
      </c>
    </row>
    <row r="36955" spans="1:8">
      <c r="A36955" t="s">
        <v>3095</v>
      </c>
      <c r="B36955">
        <f>HYPERLINK("https://android.googlesource.com/platform/cts/+/64e454ae187b86c40125128c4163b64fe96afa81", "64e454ae187b86c40125128c4163b64fe96afa81")</f>
        <v>0</v>
      </c>
      <c r="C36955">
        <f>HYPERLINK("https://android.googlesource.com/platform/cts/+/cc3a0ef5dcd2ce32ee549d54fdecf4e95f3b5069", "cc3a0ef5dcd2ce32ee549d54fdecf4e95f3b5069")</f>
        <v>0</v>
      </c>
      <c r="D36955" t="s">
        <v>5503</v>
      </c>
      <c r="E36955" t="s">
        <v>8816</v>
      </c>
      <c r="F36955" t="s">
        <v>14164</v>
      </c>
      <c r="G36955" t="s">
        <v>18147</v>
      </c>
      <c r="H36955" t="s">
        <v>33708</v>
      </c>
    </row>
    <row r="36956" spans="1:8">
      <c r="H36956" t="s">
        <v>33709</v>
      </c>
    </row>
    <row r="36957" spans="1:8">
      <c r="A36957" t="s">
        <v>3096</v>
      </c>
      <c r="B36957">
        <f>HYPERLINK("https://android.googlesource.com/platform/cts/+/3967836210a52ec8d0f229edad0c8c27f26145ae", "3967836210a52ec8d0f229edad0c8c27f26145ae")</f>
        <v>0</v>
      </c>
      <c r="C36957">
        <f>HYPERLINK("https://android.googlesource.com/platform/cts/+/45d4a2a705eedc6971d07592d77aefc2f7f9765d", "45d4a2a705eedc6971d07592d77aefc2f7f9765d")</f>
        <v>0</v>
      </c>
      <c r="D36957" t="s">
        <v>5357</v>
      </c>
      <c r="E36957" t="s">
        <v>8817</v>
      </c>
      <c r="F36957" t="s">
        <v>14178</v>
      </c>
      <c r="G36957" t="s">
        <v>18159</v>
      </c>
      <c r="H36957" t="s">
        <v>33770</v>
      </c>
    </row>
    <row r="36958" spans="1:8">
      <c r="H36958" t="s">
        <v>33771</v>
      </c>
    </row>
    <row r="36959" spans="1:8">
      <c r="H36959" t="s">
        <v>33772</v>
      </c>
    </row>
    <row r="36960" spans="1:8">
      <c r="H36960" t="s">
        <v>33773</v>
      </c>
    </row>
    <row r="36961" spans="1:8">
      <c r="H36961" t="s">
        <v>33774</v>
      </c>
    </row>
    <row r="36962" spans="1:8">
      <c r="H36962" t="s">
        <v>33775</v>
      </c>
    </row>
    <row r="36963" spans="1:8">
      <c r="H36963" t="s">
        <v>33026</v>
      </c>
    </row>
    <row r="36964" spans="1:8">
      <c r="H36964" t="s">
        <v>33776</v>
      </c>
    </row>
    <row r="36965" spans="1:8">
      <c r="H36965" t="s">
        <v>33777</v>
      </c>
    </row>
    <row r="36966" spans="1:8">
      <c r="H36966" t="s">
        <v>33778</v>
      </c>
    </row>
    <row r="36967" spans="1:8">
      <c r="A36967" t="s">
        <v>3097</v>
      </c>
      <c r="B36967">
        <f>HYPERLINK("https://android.googlesource.com/platform/cts/+/9a7d62adc73ed23b499065704e7c5f2a8525089f", "9a7d62adc73ed23b499065704e7c5f2a8525089f")</f>
        <v>0</v>
      </c>
      <c r="C36967">
        <f>HYPERLINK("https://android.googlesource.com/platform/cts/+/6872d5d93a43a90557476ce439340abd1b8a7ad6", "6872d5d93a43a90557476ce439340abd1b8a7ad6")</f>
        <v>0</v>
      </c>
      <c r="D36967" t="s">
        <v>5507</v>
      </c>
      <c r="E36967" t="s">
        <v>8818</v>
      </c>
      <c r="F36967" t="s">
        <v>14121</v>
      </c>
      <c r="G36967" t="s">
        <v>16426</v>
      </c>
      <c r="H36967" t="s">
        <v>30392</v>
      </c>
    </row>
    <row r="36968" spans="1:8">
      <c r="H36968" t="s">
        <v>30393</v>
      </c>
    </row>
    <row r="36969" spans="1:8">
      <c r="A36969" t="s">
        <v>3098</v>
      </c>
      <c r="B36969">
        <f>HYPERLINK("https://android.googlesource.com/platform/cts/+/8d0d97929c3c0a2478111a35be5ec9b263e8944b", "8d0d97929c3c0a2478111a35be5ec9b263e8944b")</f>
        <v>0</v>
      </c>
      <c r="C36969">
        <f>HYPERLINK("https://android.googlesource.com/platform/cts/+/bda65c6c2c18a5b7536c87d742727c1640065b6f", "bda65c6c2c18a5b7536c87d742727c1640065b6f")</f>
        <v>0</v>
      </c>
      <c r="D36969" t="s">
        <v>5508</v>
      </c>
      <c r="E36969" t="s">
        <v>8819</v>
      </c>
      <c r="F36969" t="s">
        <v>14179</v>
      </c>
      <c r="G36969" t="s">
        <v>18160</v>
      </c>
      <c r="H36969" t="s">
        <v>33779</v>
      </c>
    </row>
    <row r="36970" spans="1:8">
      <c r="A36970" t="s">
        <v>3099</v>
      </c>
      <c r="B36970">
        <f>HYPERLINK("https://android.googlesource.com/platform/cts/+/cd6f0776d7f12dc927b008a692439611bea444de", "cd6f0776d7f12dc927b008a692439611bea444de")</f>
        <v>0</v>
      </c>
      <c r="C36970">
        <f>HYPERLINK("https://android.googlesource.com/platform/cts/+/30066abec0a07eb753a21f93048afcdf269737ac", "30066abec0a07eb753a21f93048afcdf269737ac")</f>
        <v>0</v>
      </c>
      <c r="D36970" t="s">
        <v>5509</v>
      </c>
      <c r="E36970" t="s">
        <v>8820</v>
      </c>
      <c r="F36970" t="s">
        <v>14180</v>
      </c>
      <c r="G36970" t="s">
        <v>18161</v>
      </c>
      <c r="H36970" t="s">
        <v>33780</v>
      </c>
    </row>
    <row r="36971" spans="1:8">
      <c r="A36971" t="s">
        <v>3100</v>
      </c>
      <c r="B36971">
        <f>HYPERLINK("https://android.googlesource.com/platform/cts/+/584873ad9f77dfbd694d0fa7a2cb52dc116b3006", "584873ad9f77dfbd694d0fa7a2cb52dc116b3006")</f>
        <v>0</v>
      </c>
      <c r="C36971">
        <f>HYPERLINK("https://android.googlesource.com/platform/cts/+/cd6f0776d7f12dc927b008a692439611bea444de", "cd6f0776d7f12dc927b008a692439611bea444de")</f>
        <v>0</v>
      </c>
      <c r="D36971" t="s">
        <v>5509</v>
      </c>
      <c r="E36971" t="s">
        <v>8821</v>
      </c>
      <c r="F36971" t="s">
        <v>14180</v>
      </c>
      <c r="G36971" t="s">
        <v>18161</v>
      </c>
      <c r="H36971" t="s">
        <v>33781</v>
      </c>
    </row>
    <row r="36972" spans="1:8">
      <c r="A36972" t="s">
        <v>3101</v>
      </c>
      <c r="B36972">
        <f>HYPERLINK("https://android.googlesource.com/platform/cts/+/c4387eebbbb31da5d56f10460d01b7c8fb903131", "c4387eebbbb31da5d56f10460d01b7c8fb903131")</f>
        <v>0</v>
      </c>
      <c r="C36972">
        <f>HYPERLINK("https://android.googlesource.com/platform/cts/+/584873ad9f77dfbd694d0fa7a2cb52dc116b3006", "584873ad9f77dfbd694d0fa7a2cb52dc116b3006")</f>
        <v>0</v>
      </c>
      <c r="D36972" t="s">
        <v>5509</v>
      </c>
      <c r="E36972" t="s">
        <v>8822</v>
      </c>
      <c r="F36972" t="s">
        <v>14180</v>
      </c>
      <c r="G36972" t="s">
        <v>18161</v>
      </c>
      <c r="H36972" t="s">
        <v>33782</v>
      </c>
    </row>
    <row r="36973" spans="1:8">
      <c r="A36973" t="s">
        <v>3102</v>
      </c>
      <c r="B36973">
        <f>HYPERLINK("https://android.googlesource.com/platform/cts/+/9552dd6f14277ec27c50255b0fd33cc392333b62", "9552dd6f14277ec27c50255b0fd33cc392333b62")</f>
        <v>0</v>
      </c>
      <c r="C36973">
        <f>HYPERLINK("https://android.googlesource.com/platform/cts/+/354521679b06419983d4f2049ac782bb9c55c1db", "354521679b06419983d4f2049ac782bb9c55c1db")</f>
        <v>0</v>
      </c>
      <c r="D36973" t="s">
        <v>5443</v>
      </c>
      <c r="E36973" t="s">
        <v>8801</v>
      </c>
      <c r="F36973" t="s">
        <v>12710</v>
      </c>
      <c r="G36973" t="s">
        <v>16911</v>
      </c>
      <c r="H36973" t="s">
        <v>33759</v>
      </c>
    </row>
    <row r="36974" spans="1:8">
      <c r="A36974" t="s">
        <v>3103</v>
      </c>
      <c r="B36974">
        <f>HYPERLINK("https://android.googlesource.com/platform/cts/+/37c85e4fc4a17134ab6b8006fe3ee78faf34a4d7", "37c85e4fc4a17134ab6b8006fe3ee78faf34a4d7")</f>
        <v>0</v>
      </c>
      <c r="C36974">
        <f>HYPERLINK("https://android.googlesource.com/platform/cts/+/0112fc5b0f0836ea7e0bc4fddc84bc28f0adbcf8", "0112fc5b0f0836ea7e0bc4fddc84bc28f0adbcf8")</f>
        <v>0</v>
      </c>
      <c r="D36974" t="s">
        <v>5189</v>
      </c>
      <c r="E36974" t="s">
        <v>8823</v>
      </c>
      <c r="F36974" t="s">
        <v>14136</v>
      </c>
      <c r="G36974" t="s">
        <v>18124</v>
      </c>
      <c r="H36974" t="s">
        <v>33783</v>
      </c>
    </row>
    <row r="36975" spans="1:8">
      <c r="A36975" t="s">
        <v>3104</v>
      </c>
      <c r="B36975">
        <f>HYPERLINK("https://android.googlesource.com/platform/cts/+/3ebe147b4b94be6de0335d5feb7538e5a8748d67", "3ebe147b4b94be6de0335d5feb7538e5a8748d67")</f>
        <v>0</v>
      </c>
      <c r="C36975">
        <f>HYPERLINK("https://android.googlesource.com/platform/cts/+/6262ae9b537bf71b1e416f912074a65eb6ebf3db", "6262ae9b537bf71b1e416f912074a65eb6ebf3db")</f>
        <v>0</v>
      </c>
      <c r="D36975" t="s">
        <v>5503</v>
      </c>
      <c r="E36975" t="s">
        <v>8816</v>
      </c>
      <c r="F36975" t="s">
        <v>14164</v>
      </c>
      <c r="G36975" t="s">
        <v>18147</v>
      </c>
      <c r="H36975" t="s">
        <v>33708</v>
      </c>
    </row>
    <row r="36976" spans="1:8">
      <c r="H36976" t="s">
        <v>33709</v>
      </c>
    </row>
    <row r="36977" spans="1:8">
      <c r="A36977" t="s">
        <v>3105</v>
      </c>
      <c r="B36977">
        <f>HYPERLINK("https://android.googlesource.com/platform/cts/+/64b2035a1046f5ff2bdb092747d14a7ef09aea49", "64b2035a1046f5ff2bdb092747d14a7ef09aea49")</f>
        <v>0</v>
      </c>
      <c r="C36977">
        <f>HYPERLINK("https://android.googlesource.com/platform/cts/+/aba879935f33b17e2d8aac1e758ae87ef7084113", "aba879935f33b17e2d8aac1e758ae87ef7084113")</f>
        <v>0</v>
      </c>
      <c r="D36977" t="s">
        <v>5443</v>
      </c>
      <c r="E36977" t="s">
        <v>8800</v>
      </c>
      <c r="F36977" t="s">
        <v>12710</v>
      </c>
      <c r="G36977" t="s">
        <v>16911</v>
      </c>
      <c r="H36977" t="s">
        <v>33759</v>
      </c>
    </row>
    <row r="36978" spans="1:8">
      <c r="A36978" t="s">
        <v>3106</v>
      </c>
      <c r="B36978">
        <f>HYPERLINK("https://android.googlesource.com/platform/cts/+/43658873a0edf4693c78ea7408408075cfee14f4", "43658873a0edf4693c78ea7408408075cfee14f4")</f>
        <v>0</v>
      </c>
      <c r="C36978">
        <f>HYPERLINK("https://android.googlesource.com/platform/cts/+/02b53f420a31e33ad1bf282a9315ad66660c3278", "02b53f420a31e33ad1bf282a9315ad66660c3278")</f>
        <v>0</v>
      </c>
      <c r="D36978" t="s">
        <v>5510</v>
      </c>
      <c r="E36978" t="s">
        <v>8824</v>
      </c>
      <c r="F36978" t="s">
        <v>14181</v>
      </c>
      <c r="G36978" t="s">
        <v>18162</v>
      </c>
      <c r="H36978" t="s">
        <v>33784</v>
      </c>
    </row>
    <row r="36979" spans="1:8">
      <c r="H36979" t="s">
        <v>33785</v>
      </c>
    </row>
    <row r="36980" spans="1:8">
      <c r="F36980" t="s">
        <v>14182</v>
      </c>
      <c r="G36980" t="s">
        <v>18163</v>
      </c>
      <c r="H36980" t="s">
        <v>33786</v>
      </c>
    </row>
    <row r="36981" spans="1:8">
      <c r="A36981" t="s">
        <v>3107</v>
      </c>
      <c r="B36981">
        <f>HYPERLINK("https://android.googlesource.com/platform/cts/+/4158a9719c9f7fb834466f52fd094fb010ce47b6", "4158a9719c9f7fb834466f52fd094fb010ce47b6")</f>
        <v>0</v>
      </c>
      <c r="C36981">
        <f>HYPERLINK("https://android.googlesource.com/platform/cts/+/6224b64ebebaa0ff66571b54e586d4948674c935", "6224b64ebebaa0ff66571b54e586d4948674c935")</f>
        <v>0</v>
      </c>
      <c r="D36981" t="s">
        <v>5489</v>
      </c>
      <c r="E36981" t="s">
        <v>8825</v>
      </c>
      <c r="F36981" t="s">
        <v>13576</v>
      </c>
      <c r="G36981" t="s">
        <v>16477</v>
      </c>
      <c r="H36981" t="s">
        <v>32531</v>
      </c>
    </row>
    <row r="36982" spans="1:8">
      <c r="A36982" t="s">
        <v>3108</v>
      </c>
      <c r="B36982">
        <f>HYPERLINK("https://android.googlesource.com/platform/cts/+/d0f2799fa642bafbb1bb4ea08b3ca3e72ac39b37", "d0f2799fa642bafbb1bb4ea08b3ca3e72ac39b37")</f>
        <v>0</v>
      </c>
      <c r="C36982">
        <f>HYPERLINK("https://android.googlesource.com/platform/cts/+/83ba0672a19643a420183cb9940c13eec3e9d3e1", "83ba0672a19643a420183cb9940c13eec3e9d3e1")</f>
        <v>0</v>
      </c>
      <c r="D36982" t="s">
        <v>5443</v>
      </c>
      <c r="E36982" t="s">
        <v>8800</v>
      </c>
      <c r="F36982" t="s">
        <v>12710</v>
      </c>
      <c r="G36982" t="s">
        <v>16911</v>
      </c>
      <c r="H36982" t="s">
        <v>33759</v>
      </c>
    </row>
    <row r="36983" spans="1:8">
      <c r="A36983" t="s">
        <v>3109</v>
      </c>
      <c r="B36983">
        <f>HYPERLINK("https://android.googlesource.com/platform/cts/+/fd490a4dbe0394b5eaa1d614267a60bf914f79bf", "fd490a4dbe0394b5eaa1d614267a60bf914f79bf")</f>
        <v>0</v>
      </c>
      <c r="C36983">
        <f>HYPERLINK("https://android.googlesource.com/platform/cts/+/ba947fb6d73a1f38c996090c50375d1c70bc9b16", "ba947fb6d73a1f38c996090c50375d1c70bc9b16")</f>
        <v>0</v>
      </c>
      <c r="D36983" t="s">
        <v>5511</v>
      </c>
      <c r="E36983" t="s">
        <v>8826</v>
      </c>
      <c r="F36983" t="s">
        <v>14164</v>
      </c>
      <c r="G36983" t="s">
        <v>18147</v>
      </c>
      <c r="H36983" t="s">
        <v>33787</v>
      </c>
    </row>
    <row r="36984" spans="1:8">
      <c r="A36984" t="s">
        <v>3110</v>
      </c>
      <c r="B36984">
        <f>HYPERLINK("https://android.googlesource.com/platform/cts/+/a540ba77f393df32eecca11089b76e614720ca29", "a540ba77f393df32eecca11089b76e614720ca29")</f>
        <v>0</v>
      </c>
      <c r="C36984">
        <f>HYPERLINK("https://android.googlesource.com/platform/cts/+/ec4187ee55b047fd129f01e2484ab739ce7d335f", "ec4187ee55b047fd129f01e2484ab739ce7d335f")</f>
        <v>0</v>
      </c>
      <c r="D36984" t="s">
        <v>5481</v>
      </c>
      <c r="E36984" t="s">
        <v>8827</v>
      </c>
      <c r="F36984" t="s">
        <v>14124</v>
      </c>
      <c r="G36984" t="s">
        <v>18114</v>
      </c>
      <c r="H36984" t="s">
        <v>33788</v>
      </c>
    </row>
    <row r="36985" spans="1:8">
      <c r="A36985" t="s">
        <v>3111</v>
      </c>
      <c r="B36985">
        <f>HYPERLINK("https://android.googlesource.com/platform/cts/+/5ed995f69f82a726267e137a2a613e31866ea851", "5ed995f69f82a726267e137a2a613e31866ea851")</f>
        <v>0</v>
      </c>
      <c r="C36985">
        <f>HYPERLINK("https://android.googlesource.com/platform/cts/+/ffc622eb79a00c0f2e167ade8977aece0c62ac8e", "ffc622eb79a00c0f2e167ade8977aece0c62ac8e")</f>
        <v>0</v>
      </c>
      <c r="D36985" t="s">
        <v>5374</v>
      </c>
      <c r="E36985" t="s">
        <v>8828</v>
      </c>
      <c r="F36985" t="s">
        <v>13165</v>
      </c>
      <c r="G36985" t="s">
        <v>17315</v>
      </c>
      <c r="H36985" t="s">
        <v>33789</v>
      </c>
    </row>
    <row r="36986" spans="1:8">
      <c r="H36986" t="s">
        <v>33790</v>
      </c>
    </row>
    <row r="36987" spans="1:8">
      <c r="H36987" t="s">
        <v>33791</v>
      </c>
    </row>
    <row r="36988" spans="1:8">
      <c r="H36988" t="s">
        <v>33792</v>
      </c>
    </row>
    <row r="36989" spans="1:8">
      <c r="H36989" t="s">
        <v>33793</v>
      </c>
    </row>
    <row r="36990" spans="1:8">
      <c r="H36990" t="s">
        <v>33794</v>
      </c>
    </row>
    <row r="36991" spans="1:8">
      <c r="H36991" t="s">
        <v>33795</v>
      </c>
    </row>
    <row r="36992" spans="1:8">
      <c r="H36992" t="s">
        <v>33796</v>
      </c>
    </row>
    <row r="36993" spans="1:8">
      <c r="H36993" t="s">
        <v>33797</v>
      </c>
    </row>
    <row r="36994" spans="1:8">
      <c r="H36994" t="s">
        <v>33798</v>
      </c>
    </row>
    <row r="36995" spans="1:8">
      <c r="H36995" t="s">
        <v>33799</v>
      </c>
    </row>
    <row r="36996" spans="1:8">
      <c r="A36996" t="s">
        <v>3112</v>
      </c>
      <c r="B36996">
        <f>HYPERLINK("https://android.googlesource.com/platform/cts/+/88b423ebe0a738fd6149a18309cdbfee96296e38", "88b423ebe0a738fd6149a18309cdbfee96296e38")</f>
        <v>0</v>
      </c>
      <c r="C36996">
        <f>HYPERLINK("https://android.googlesource.com/platform/cts/+/b3d3ab708e697af9bda641476478a9b4b482cb7a", "b3d3ab708e697af9bda641476478a9b4b482cb7a")</f>
        <v>0</v>
      </c>
      <c r="D36996" t="s">
        <v>5481</v>
      </c>
      <c r="E36996" t="s">
        <v>8829</v>
      </c>
      <c r="F36996" t="s">
        <v>13707</v>
      </c>
      <c r="G36996" t="s">
        <v>17775</v>
      </c>
      <c r="H36996" t="s">
        <v>33800</v>
      </c>
    </row>
    <row r="36997" spans="1:8">
      <c r="A36997" t="s">
        <v>3113</v>
      </c>
      <c r="B36997">
        <f>HYPERLINK("https://android.googlesource.com/platform/cts/+/a672b5751d99d8dd966645dc75195e85643deb60", "a672b5751d99d8dd966645dc75195e85643deb60")</f>
        <v>0</v>
      </c>
      <c r="C36997">
        <f>HYPERLINK("https://android.googlesource.com/platform/cts/+/fc80d4cc95536675f67f0b112e2ccd6d5e337152", "fc80d4cc95536675f67f0b112e2ccd6d5e337152")</f>
        <v>0</v>
      </c>
      <c r="D36997" t="s">
        <v>5512</v>
      </c>
      <c r="E36997" t="s">
        <v>8830</v>
      </c>
      <c r="F36997" t="s">
        <v>14183</v>
      </c>
      <c r="G36997" t="s">
        <v>18164</v>
      </c>
      <c r="H36997" t="s">
        <v>19267</v>
      </c>
    </row>
    <row r="36998" spans="1:8">
      <c r="H36998" t="s">
        <v>18829</v>
      </c>
    </row>
    <row r="36999" spans="1:8">
      <c r="H36999" t="s">
        <v>18863</v>
      </c>
    </row>
    <row r="37000" spans="1:8">
      <c r="H37000" t="s">
        <v>33801</v>
      </c>
    </row>
    <row r="37001" spans="1:8">
      <c r="H37001" t="s">
        <v>33802</v>
      </c>
    </row>
    <row r="37002" spans="1:8">
      <c r="H37002" t="s">
        <v>33803</v>
      </c>
    </row>
    <row r="37003" spans="1:8">
      <c r="H37003" t="s">
        <v>33804</v>
      </c>
    </row>
    <row r="37004" spans="1:8">
      <c r="H37004" t="s">
        <v>20083</v>
      </c>
    </row>
    <row r="37005" spans="1:8">
      <c r="H37005" t="s">
        <v>33805</v>
      </c>
    </row>
    <row r="37006" spans="1:8">
      <c r="H37006" t="s">
        <v>33806</v>
      </c>
    </row>
    <row r="37007" spans="1:8">
      <c r="H37007" t="s">
        <v>33807</v>
      </c>
    </row>
    <row r="37008" spans="1:8">
      <c r="H37008" t="s">
        <v>19655</v>
      </c>
    </row>
    <row r="37009" spans="8:8">
      <c r="H37009" t="s">
        <v>33808</v>
      </c>
    </row>
    <row r="37010" spans="8:8">
      <c r="H37010" t="s">
        <v>33809</v>
      </c>
    </row>
    <row r="37011" spans="8:8">
      <c r="H37011" t="s">
        <v>33810</v>
      </c>
    </row>
    <row r="37012" spans="8:8">
      <c r="H37012" t="s">
        <v>33811</v>
      </c>
    </row>
    <row r="37013" spans="8:8">
      <c r="H37013" t="s">
        <v>33812</v>
      </c>
    </row>
    <row r="37014" spans="8:8">
      <c r="H37014" t="s">
        <v>33813</v>
      </c>
    </row>
    <row r="37015" spans="8:8">
      <c r="H37015" t="s">
        <v>33814</v>
      </c>
    </row>
    <row r="37016" spans="8:8">
      <c r="H37016" t="s">
        <v>33815</v>
      </c>
    </row>
    <row r="37017" spans="8:8">
      <c r="H37017" t="s">
        <v>33816</v>
      </c>
    </row>
    <row r="37018" spans="8:8">
      <c r="H37018" t="s">
        <v>33817</v>
      </c>
    </row>
    <row r="37019" spans="8:8">
      <c r="H37019" t="s">
        <v>33818</v>
      </c>
    </row>
    <row r="37020" spans="8:8">
      <c r="H37020" t="s">
        <v>33819</v>
      </c>
    </row>
    <row r="37021" spans="8:8">
      <c r="H37021" t="s">
        <v>20083</v>
      </c>
    </row>
    <row r="37022" spans="8:8">
      <c r="H37022" t="s">
        <v>31277</v>
      </c>
    </row>
    <row r="37023" spans="8:8">
      <c r="H37023" t="s">
        <v>33820</v>
      </c>
    </row>
    <row r="37024" spans="8:8">
      <c r="H37024" t="s">
        <v>33821</v>
      </c>
    </row>
    <row r="37025" spans="1:8">
      <c r="A37025" t="s">
        <v>3114</v>
      </c>
      <c r="B37025">
        <f>HYPERLINK("https://android.googlesource.com/platform/cts/+/02afda6fcc15ee8c1b3b80ed09194baf96c84a3d", "02afda6fcc15ee8c1b3b80ed09194baf96c84a3d")</f>
        <v>0</v>
      </c>
      <c r="C37025">
        <f>HYPERLINK("https://android.googlesource.com/platform/cts/+/140ea4b8d2624656efb6f09c8546642bbcb13bfa", "140ea4b8d2624656efb6f09c8546642bbcb13bfa")</f>
        <v>0</v>
      </c>
      <c r="D37025" t="s">
        <v>5513</v>
      </c>
      <c r="E37025" t="s">
        <v>8831</v>
      </c>
      <c r="F37025" t="s">
        <v>14184</v>
      </c>
      <c r="G37025" t="s">
        <v>18165</v>
      </c>
      <c r="H37025" t="s">
        <v>33822</v>
      </c>
    </row>
    <row r="37026" spans="1:8">
      <c r="A37026" t="s">
        <v>3115</v>
      </c>
      <c r="B37026">
        <f>HYPERLINK("https://android.googlesource.com/platform/cts/+/da9158bba60ba74dc30fc379716c878a37cfc003", "da9158bba60ba74dc30fc379716c878a37cfc003")</f>
        <v>0</v>
      </c>
      <c r="C37026">
        <f>HYPERLINK("https://android.googlesource.com/platform/cts/+/b3d3ab708e697af9bda641476478a9b4b482cb7a", "b3d3ab708e697af9bda641476478a9b4b482cb7a")</f>
        <v>0</v>
      </c>
      <c r="D37026" t="s">
        <v>5514</v>
      </c>
      <c r="E37026" t="s">
        <v>8832</v>
      </c>
      <c r="F37026" t="s">
        <v>13311</v>
      </c>
      <c r="G37026" t="s">
        <v>16471</v>
      </c>
      <c r="H37026" t="s">
        <v>33823</v>
      </c>
    </row>
    <row r="37027" spans="1:8">
      <c r="A37027" t="s">
        <v>3116</v>
      </c>
      <c r="B37027">
        <f>HYPERLINK("https://android.googlesource.com/platform/cts/+/1a07a0226b918ceca94efa835b30f4c51eb26182", "1a07a0226b918ceca94efa835b30f4c51eb26182")</f>
        <v>0</v>
      </c>
      <c r="C37027">
        <f>HYPERLINK("https://android.googlesource.com/platform/cts/+/3047367b6eea6b2539bc2f106549999b7055f486", "3047367b6eea6b2539bc2f106549999b7055f486")</f>
        <v>0</v>
      </c>
      <c r="D37027" t="s">
        <v>5473</v>
      </c>
      <c r="E37027" t="s">
        <v>8833</v>
      </c>
      <c r="F37027" t="s">
        <v>14185</v>
      </c>
      <c r="G37027" t="s">
        <v>18166</v>
      </c>
      <c r="H37027" t="s">
        <v>33824</v>
      </c>
    </row>
    <row r="37028" spans="1:8">
      <c r="H37028" t="s">
        <v>33825</v>
      </c>
    </row>
    <row r="37029" spans="1:8">
      <c r="H37029" t="s">
        <v>33826</v>
      </c>
    </row>
    <row r="37030" spans="1:8">
      <c r="H37030" t="s">
        <v>33827</v>
      </c>
    </row>
    <row r="37031" spans="1:8">
      <c r="H37031" t="s">
        <v>33828</v>
      </c>
    </row>
    <row r="37032" spans="1:8">
      <c r="H37032" t="s">
        <v>33829</v>
      </c>
    </row>
    <row r="37033" spans="1:8">
      <c r="H37033" t="s">
        <v>33830</v>
      </c>
    </row>
    <row r="37034" spans="1:8">
      <c r="H37034" t="s">
        <v>33831</v>
      </c>
    </row>
    <row r="37035" spans="1:8">
      <c r="H37035" t="s">
        <v>33832</v>
      </c>
    </row>
    <row r="37036" spans="1:8">
      <c r="H37036" t="s">
        <v>33833</v>
      </c>
    </row>
    <row r="37037" spans="1:8">
      <c r="H37037" t="s">
        <v>33834</v>
      </c>
    </row>
    <row r="37038" spans="1:8">
      <c r="H37038" t="s">
        <v>33835</v>
      </c>
    </row>
    <row r="37039" spans="1:8">
      <c r="H37039" t="s">
        <v>33836</v>
      </c>
    </row>
    <row r="37040" spans="1:8">
      <c r="H37040" t="s">
        <v>33837</v>
      </c>
    </row>
    <row r="37041" spans="8:8">
      <c r="H37041" t="s">
        <v>33838</v>
      </c>
    </row>
    <row r="37042" spans="8:8">
      <c r="H37042" t="s">
        <v>33839</v>
      </c>
    </row>
    <row r="37043" spans="8:8">
      <c r="H37043" t="s">
        <v>33840</v>
      </c>
    </row>
    <row r="37044" spans="8:8">
      <c r="H37044" t="s">
        <v>33841</v>
      </c>
    </row>
    <row r="37045" spans="8:8">
      <c r="H37045" t="s">
        <v>33842</v>
      </c>
    </row>
    <row r="37046" spans="8:8">
      <c r="H37046" t="s">
        <v>33843</v>
      </c>
    </row>
    <row r="37047" spans="8:8">
      <c r="H37047" t="s">
        <v>33844</v>
      </c>
    </row>
    <row r="37048" spans="8:8">
      <c r="H37048" t="s">
        <v>33845</v>
      </c>
    </row>
    <row r="37049" spans="8:8">
      <c r="H37049" t="s">
        <v>33846</v>
      </c>
    </row>
    <row r="37050" spans="8:8">
      <c r="H37050" t="s">
        <v>33847</v>
      </c>
    </row>
    <row r="37051" spans="8:8">
      <c r="H37051" t="s">
        <v>33848</v>
      </c>
    </row>
    <row r="37052" spans="8:8">
      <c r="H37052" t="s">
        <v>33849</v>
      </c>
    </row>
    <row r="37053" spans="8:8">
      <c r="H37053" t="s">
        <v>33850</v>
      </c>
    </row>
    <row r="37054" spans="8:8">
      <c r="H37054" t="s">
        <v>33851</v>
      </c>
    </row>
    <row r="37055" spans="8:8">
      <c r="H37055" t="s">
        <v>33852</v>
      </c>
    </row>
    <row r="37056" spans="8:8">
      <c r="H37056" t="s">
        <v>33853</v>
      </c>
    </row>
    <row r="37057" spans="1:8">
      <c r="H37057" t="s">
        <v>33854</v>
      </c>
    </row>
    <row r="37058" spans="1:8">
      <c r="H37058" t="s">
        <v>33855</v>
      </c>
    </row>
    <row r="37059" spans="1:8">
      <c r="H37059" t="s">
        <v>33856</v>
      </c>
    </row>
    <row r="37060" spans="1:8">
      <c r="H37060" t="s">
        <v>33857</v>
      </c>
    </row>
    <row r="37061" spans="1:8">
      <c r="H37061" t="s">
        <v>33858</v>
      </c>
    </row>
    <row r="37062" spans="1:8">
      <c r="H37062" t="s">
        <v>33859</v>
      </c>
    </row>
    <row r="37063" spans="1:8">
      <c r="H37063" t="s">
        <v>33860</v>
      </c>
    </row>
    <row r="37064" spans="1:8">
      <c r="H37064" t="s">
        <v>33861</v>
      </c>
    </row>
    <row r="37065" spans="1:8">
      <c r="H37065" t="s">
        <v>33862</v>
      </c>
    </row>
    <row r="37066" spans="1:8">
      <c r="H37066" t="s">
        <v>33863</v>
      </c>
    </row>
    <row r="37067" spans="1:8">
      <c r="A37067" t="s">
        <v>3117</v>
      </c>
      <c r="B37067">
        <f>HYPERLINK("https://android.googlesource.com/platform/cts/+/91918926e8ab6411266e070e225e9f0fe5ab0b70", "91918926e8ab6411266e070e225e9f0fe5ab0b70")</f>
        <v>0</v>
      </c>
      <c r="C37067">
        <f>HYPERLINK("https://android.googlesource.com/platform/cts/+/2fb31579bfc425aec628dcbd5d72a719b17b0279", "2fb31579bfc425aec628dcbd5d72a719b17b0279")</f>
        <v>0</v>
      </c>
      <c r="D37067" t="s">
        <v>5507</v>
      </c>
      <c r="E37067" t="s">
        <v>8834</v>
      </c>
      <c r="F37067" t="s">
        <v>13357</v>
      </c>
      <c r="G37067" t="s">
        <v>17484</v>
      </c>
      <c r="H37067" t="s">
        <v>33864</v>
      </c>
    </row>
    <row r="37068" spans="1:8">
      <c r="H37068" t="s">
        <v>33865</v>
      </c>
    </row>
    <row r="37069" spans="1:8">
      <c r="H37069" t="s">
        <v>33866</v>
      </c>
    </row>
    <row r="37070" spans="1:8">
      <c r="H37070" t="s">
        <v>33867</v>
      </c>
    </row>
    <row r="37071" spans="1:8">
      <c r="H37071" t="s">
        <v>33868</v>
      </c>
    </row>
    <row r="37072" spans="1:8">
      <c r="H37072" t="s">
        <v>33869</v>
      </c>
    </row>
    <row r="37073" spans="1:8">
      <c r="H37073" t="s">
        <v>33870</v>
      </c>
    </row>
    <row r="37074" spans="1:8">
      <c r="H37074" t="s">
        <v>33871</v>
      </c>
    </row>
    <row r="37075" spans="1:8">
      <c r="H37075" t="s">
        <v>33872</v>
      </c>
    </row>
    <row r="37076" spans="1:8">
      <c r="H37076" t="s">
        <v>33873</v>
      </c>
    </row>
    <row r="37077" spans="1:8">
      <c r="H37077" t="s">
        <v>33874</v>
      </c>
    </row>
    <row r="37078" spans="1:8">
      <c r="H37078" t="s">
        <v>33875</v>
      </c>
    </row>
    <row r="37079" spans="1:8">
      <c r="H37079" t="s">
        <v>33876</v>
      </c>
    </row>
    <row r="37080" spans="1:8">
      <c r="H37080" t="s">
        <v>33877</v>
      </c>
    </row>
    <row r="37081" spans="1:8">
      <c r="H37081" t="s">
        <v>33878</v>
      </c>
    </row>
    <row r="37082" spans="1:8">
      <c r="H37082" t="s">
        <v>33879</v>
      </c>
    </row>
    <row r="37083" spans="1:8">
      <c r="H37083" t="s">
        <v>33880</v>
      </c>
    </row>
    <row r="37084" spans="1:8">
      <c r="H37084" t="s">
        <v>33881</v>
      </c>
    </row>
    <row r="37085" spans="1:8">
      <c r="H37085" t="s">
        <v>33882</v>
      </c>
    </row>
    <row r="37086" spans="1:8">
      <c r="A37086" t="s">
        <v>3118</v>
      </c>
      <c r="B37086">
        <f>HYPERLINK("https://android.googlesource.com/platform/cts/+/a157dc2cee95b5bdf2522ef9d94021cfece0a3ac", "a157dc2cee95b5bdf2522ef9d94021cfece0a3ac")</f>
        <v>0</v>
      </c>
      <c r="C37086">
        <f>HYPERLINK("https://android.googlesource.com/platform/cts/+/91918926e8ab6411266e070e225e9f0fe5ab0b70", "91918926e8ab6411266e070e225e9f0fe5ab0b70")</f>
        <v>0</v>
      </c>
      <c r="D37086" t="s">
        <v>5507</v>
      </c>
      <c r="E37086" t="s">
        <v>8835</v>
      </c>
      <c r="F37086" t="s">
        <v>14186</v>
      </c>
      <c r="G37086" t="s">
        <v>16552</v>
      </c>
      <c r="H37086" t="s">
        <v>33883</v>
      </c>
    </row>
    <row r="37087" spans="1:8">
      <c r="A37087" t="s">
        <v>3119</v>
      </c>
      <c r="B37087">
        <f>HYPERLINK("https://android.googlesource.com/platform/cts/+/35b59a4edc280ad4398c9d4bd8b51770d3cbc76f", "35b59a4edc280ad4398c9d4bd8b51770d3cbc76f")</f>
        <v>0</v>
      </c>
      <c r="C37087">
        <f>HYPERLINK("https://android.googlesource.com/platform/cts/+/3c69bc43a1a6a1195c32b2f2c9933ed28a62157e", "3c69bc43a1a6a1195c32b2f2c9933ed28a62157e")</f>
        <v>0</v>
      </c>
      <c r="D37087" t="s">
        <v>5272</v>
      </c>
      <c r="E37087" t="s">
        <v>8836</v>
      </c>
      <c r="F37087" t="s">
        <v>13284</v>
      </c>
      <c r="G37087" t="s">
        <v>17421</v>
      </c>
      <c r="H37087" t="s">
        <v>26282</v>
      </c>
    </row>
    <row r="37088" spans="1:8">
      <c r="F37088" t="s">
        <v>14187</v>
      </c>
      <c r="G37088" t="s">
        <v>18167</v>
      </c>
      <c r="H37088" t="s">
        <v>18829</v>
      </c>
    </row>
    <row r="37089" spans="1:8">
      <c r="H37089" t="s">
        <v>18863</v>
      </c>
    </row>
    <row r="37090" spans="1:8">
      <c r="H37090" t="s">
        <v>33113</v>
      </c>
    </row>
    <row r="37091" spans="1:8">
      <c r="H37091" t="s">
        <v>33114</v>
      </c>
    </row>
    <row r="37092" spans="1:8">
      <c r="H37092" t="s">
        <v>33115</v>
      </c>
    </row>
    <row r="37093" spans="1:8">
      <c r="H37093" t="s">
        <v>26282</v>
      </c>
    </row>
    <row r="37094" spans="1:8">
      <c r="H37094" t="s">
        <v>33884</v>
      </c>
    </row>
    <row r="37095" spans="1:8">
      <c r="H37095" t="s">
        <v>33885</v>
      </c>
    </row>
    <row r="37096" spans="1:8">
      <c r="H37096" t="s">
        <v>33886</v>
      </c>
    </row>
    <row r="37097" spans="1:8">
      <c r="H37097" t="s">
        <v>33887</v>
      </c>
    </row>
    <row r="37098" spans="1:8">
      <c r="H37098" t="s">
        <v>33888</v>
      </c>
    </row>
    <row r="37099" spans="1:8">
      <c r="H37099" t="s">
        <v>33889</v>
      </c>
    </row>
    <row r="37100" spans="1:8">
      <c r="H37100" t="s">
        <v>33890</v>
      </c>
    </row>
    <row r="37101" spans="1:8">
      <c r="H37101" t="s">
        <v>33891</v>
      </c>
    </row>
    <row r="37102" spans="1:8">
      <c r="H37102" t="s">
        <v>33892</v>
      </c>
    </row>
    <row r="37103" spans="1:8">
      <c r="A37103" t="s">
        <v>3120</v>
      </c>
      <c r="B37103">
        <f>HYPERLINK("https://android.googlesource.com/platform/cts/+/59e08dbc0ee51cf88d3fcf59bb5df2bd6d7ed1cb", "59e08dbc0ee51cf88d3fcf59bb5df2bd6d7ed1cb")</f>
        <v>0</v>
      </c>
      <c r="C37103">
        <f>HYPERLINK("https://android.googlesource.com/platform/cts/+/8eb897ac241434e09ec32d0a56e4cddaaba02f7b", "8eb897ac241434e09ec32d0a56e4cddaaba02f7b")</f>
        <v>0</v>
      </c>
      <c r="D37103" t="s">
        <v>5508</v>
      </c>
      <c r="E37103" t="s">
        <v>8837</v>
      </c>
      <c r="F37103" t="s">
        <v>14179</v>
      </c>
      <c r="G37103" t="s">
        <v>18160</v>
      </c>
      <c r="H37103" t="s">
        <v>33779</v>
      </c>
    </row>
    <row r="37104" spans="1:8">
      <c r="A37104" t="s">
        <v>3121</v>
      </c>
      <c r="B37104">
        <f>HYPERLINK("https://android.googlesource.com/platform/cts/+/aa1ede8be8677cce4dd971fcf49445729a1fe803", "aa1ede8be8677cce4dd971fcf49445729a1fe803")</f>
        <v>0</v>
      </c>
      <c r="C37104">
        <f>HYPERLINK("https://android.googlesource.com/platform/cts/+/c3a5d7d014a0618de47e9a7b8a52056bb0b0ac44", "c3a5d7d014a0618de47e9a7b8a52056bb0b0ac44")</f>
        <v>0</v>
      </c>
      <c r="D37104" t="s">
        <v>5513</v>
      </c>
      <c r="E37104" t="s">
        <v>8838</v>
      </c>
      <c r="F37104" t="s">
        <v>14184</v>
      </c>
      <c r="G37104" t="s">
        <v>18165</v>
      </c>
      <c r="H37104" t="s">
        <v>33822</v>
      </c>
    </row>
    <row r="37105" spans="1:8">
      <c r="A37105" t="s">
        <v>3122</v>
      </c>
      <c r="B37105">
        <f>HYPERLINK("https://android.googlesource.com/platform/cts/+/b7c9acf11a121291975f752b5fc1d1b3ad047c10", "b7c9acf11a121291975f752b5fc1d1b3ad047c10")</f>
        <v>0</v>
      </c>
      <c r="C37105">
        <f>HYPERLINK("https://android.googlesource.com/platform/cts/+/c0cf0eec37f17a156b43727c6fa2ce5ed32c4b40", "c0cf0eec37f17a156b43727c6fa2ce5ed32c4b40")</f>
        <v>0</v>
      </c>
      <c r="D37105" t="s">
        <v>5096</v>
      </c>
      <c r="E37105" t="s">
        <v>8839</v>
      </c>
      <c r="F37105" t="s">
        <v>14165</v>
      </c>
      <c r="G37105" t="s">
        <v>17361</v>
      </c>
      <c r="H37105" t="s">
        <v>33893</v>
      </c>
    </row>
    <row r="37106" spans="1:8">
      <c r="A37106" t="s">
        <v>3123</v>
      </c>
      <c r="B37106">
        <f>HYPERLINK("https://android.googlesource.com/platform/cts/+/1c14a93e39410c5a4515e0eff7d0e299ae014164", "1c14a93e39410c5a4515e0eff7d0e299ae014164")</f>
        <v>0</v>
      </c>
      <c r="C37106">
        <f>HYPERLINK("https://android.googlesource.com/platform/cts/+/8952224479769b4ba3557ac134d8c853f4c90c48", "8952224479769b4ba3557ac134d8c853f4c90c48")</f>
        <v>0</v>
      </c>
      <c r="D37106" t="s">
        <v>5363</v>
      </c>
      <c r="E37106" t="s">
        <v>8840</v>
      </c>
      <c r="F37106" t="s">
        <v>14033</v>
      </c>
      <c r="G37106" t="s">
        <v>18030</v>
      </c>
      <c r="H37106" t="s">
        <v>32856</v>
      </c>
    </row>
    <row r="37107" spans="1:8">
      <c r="H37107" t="s">
        <v>32924</v>
      </c>
    </row>
    <row r="37108" spans="1:8">
      <c r="H37108" t="s">
        <v>32925</v>
      </c>
    </row>
    <row r="37109" spans="1:8">
      <c r="H37109" t="s">
        <v>32933</v>
      </c>
    </row>
    <row r="37110" spans="1:8">
      <c r="H37110" t="s">
        <v>33894</v>
      </c>
    </row>
    <row r="37111" spans="1:8">
      <c r="A37111" t="s">
        <v>3124</v>
      </c>
      <c r="B37111">
        <f>HYPERLINK("https://android.googlesource.com/platform/cts/+/c5afdc881bc708bbe90409784bd4319e89b9c743", "c5afdc881bc708bbe90409784bd4319e89b9c743")</f>
        <v>0</v>
      </c>
      <c r="C37111">
        <f>HYPERLINK("https://android.googlesource.com/platform/cts/+/35074dc15f7fd18ad768292b1f6883a08b2f402b", "35074dc15f7fd18ad768292b1f6883a08b2f402b")</f>
        <v>0</v>
      </c>
      <c r="D37111" t="s">
        <v>5502</v>
      </c>
      <c r="E37111" t="s">
        <v>8841</v>
      </c>
      <c r="F37111" t="s">
        <v>14188</v>
      </c>
      <c r="G37111" t="s">
        <v>18168</v>
      </c>
      <c r="H37111" t="s">
        <v>33895</v>
      </c>
    </row>
    <row r="37112" spans="1:8">
      <c r="H37112" t="s">
        <v>33896</v>
      </c>
    </row>
    <row r="37113" spans="1:8">
      <c r="H37113" t="s">
        <v>18836</v>
      </c>
    </row>
    <row r="37114" spans="1:8">
      <c r="H37114" t="s">
        <v>19010</v>
      </c>
    </row>
    <row r="37115" spans="1:8">
      <c r="H37115" t="s">
        <v>33897</v>
      </c>
    </row>
    <row r="37116" spans="1:8">
      <c r="H37116" t="s">
        <v>33898</v>
      </c>
    </row>
    <row r="37117" spans="1:8">
      <c r="A37117" t="s">
        <v>3125</v>
      </c>
      <c r="B37117">
        <f>HYPERLINK("https://android.googlesource.com/platform/cts/+/0aa51fceeec7d72520571d9f1f1232511cbc1f6b", "0aa51fceeec7d72520571d9f1f1232511cbc1f6b")</f>
        <v>0</v>
      </c>
      <c r="C37117">
        <f>HYPERLINK("https://android.googlesource.com/platform/cts/+/9e2b08c2eefe8451af1f3c4760e524f0dbaf2074", "9e2b08c2eefe8451af1f3c4760e524f0dbaf2074")</f>
        <v>0</v>
      </c>
      <c r="D37117" t="s">
        <v>5515</v>
      </c>
      <c r="E37117" t="s">
        <v>8842</v>
      </c>
      <c r="F37117" t="s">
        <v>14084</v>
      </c>
      <c r="G37117" t="s">
        <v>18080</v>
      </c>
      <c r="H37117" t="s">
        <v>33899</v>
      </c>
    </row>
    <row r="37118" spans="1:8">
      <c r="H37118" t="s">
        <v>33900</v>
      </c>
    </row>
    <row r="37119" spans="1:8">
      <c r="A37119" t="s">
        <v>3126</v>
      </c>
      <c r="B37119">
        <f>HYPERLINK("https://android.googlesource.com/platform/cts/+/203b3c7cfc10ca0651aad8e75ebd5c573b303002", "203b3c7cfc10ca0651aad8e75ebd5c573b303002")</f>
        <v>0</v>
      </c>
      <c r="C37119">
        <f>HYPERLINK("https://android.googlesource.com/platform/cts/+/1f3dab8daf977436eb03c033e4985638dd567247", "1f3dab8daf977436eb03c033e4985638dd567247")</f>
        <v>0</v>
      </c>
      <c r="D37119" t="s">
        <v>5502</v>
      </c>
      <c r="E37119" t="s">
        <v>8843</v>
      </c>
      <c r="F37119" t="s">
        <v>14188</v>
      </c>
      <c r="G37119" t="s">
        <v>18168</v>
      </c>
      <c r="H37119" t="s">
        <v>33895</v>
      </c>
    </row>
    <row r="37120" spans="1:8">
      <c r="H37120" t="s">
        <v>33896</v>
      </c>
    </row>
    <row r="37121" spans="1:8">
      <c r="H37121" t="s">
        <v>18836</v>
      </c>
    </row>
    <row r="37122" spans="1:8">
      <c r="H37122" t="s">
        <v>19010</v>
      </c>
    </row>
    <row r="37123" spans="1:8">
      <c r="H37123" t="s">
        <v>33897</v>
      </c>
    </row>
    <row r="37124" spans="1:8">
      <c r="H37124" t="s">
        <v>33898</v>
      </c>
    </row>
    <row r="37125" spans="1:8">
      <c r="A37125" t="s">
        <v>3127</v>
      </c>
      <c r="B37125">
        <f>HYPERLINK("https://android.googlesource.com/platform/cts/+/7bac17e6ddb3c7fe0b47c1c5092a317ad14663c4", "7bac17e6ddb3c7fe0b47c1c5092a317ad14663c4")</f>
        <v>0</v>
      </c>
      <c r="C37125">
        <f>HYPERLINK("https://android.googlesource.com/platform/cts/+/4bf642bcd9796a67451e09adc55ec71c600c4764", "4bf642bcd9796a67451e09adc55ec71c600c4764")</f>
        <v>0</v>
      </c>
      <c r="D37125" t="s">
        <v>5482</v>
      </c>
      <c r="E37125" t="s">
        <v>8844</v>
      </c>
      <c r="F37125" t="s">
        <v>14102</v>
      </c>
      <c r="G37125" t="s">
        <v>18095</v>
      </c>
      <c r="H37125" t="s">
        <v>33901</v>
      </c>
    </row>
    <row r="37126" spans="1:8">
      <c r="A37126" t="s">
        <v>3128</v>
      </c>
      <c r="B37126">
        <f>HYPERLINK("https://android.googlesource.com/platform/cts/+/b58ec1c04ea66db742c97c9683ead4b87ddbd11b", "b58ec1c04ea66db742c97c9683ead4b87ddbd11b")</f>
        <v>0</v>
      </c>
      <c r="C37126">
        <f>HYPERLINK("https://android.googlesource.com/platform/cts/+/0b753940813981a0a4563b9c79e911547c8579a2", "0b753940813981a0a4563b9c79e911547c8579a2")</f>
        <v>0</v>
      </c>
      <c r="D37126" t="s">
        <v>5512</v>
      </c>
      <c r="E37126" t="s">
        <v>8845</v>
      </c>
      <c r="F37126" t="s">
        <v>13990</v>
      </c>
      <c r="G37126" t="s">
        <v>18009</v>
      </c>
      <c r="H37126" t="s">
        <v>33902</v>
      </c>
    </row>
    <row r="37127" spans="1:8">
      <c r="A37127" t="s">
        <v>3129</v>
      </c>
      <c r="B37127">
        <f>HYPERLINK("https://android.googlesource.com/platform/cts/+/04e6fd7033732ca5fdf7039f038def121013dccb", "04e6fd7033732ca5fdf7039f038def121013dccb")</f>
        <v>0</v>
      </c>
      <c r="C37127">
        <f>HYPERLINK("https://android.googlesource.com/platform/cts/+/3f7907ff684f7119dbfa290d8c4691c6b995582d", "3f7907ff684f7119dbfa290d8c4691c6b995582d")</f>
        <v>0</v>
      </c>
      <c r="D37127" t="s">
        <v>5516</v>
      </c>
      <c r="E37127" t="s">
        <v>8846</v>
      </c>
      <c r="F37127" t="s">
        <v>13182</v>
      </c>
      <c r="G37127" t="s">
        <v>17326</v>
      </c>
      <c r="H37127" t="s">
        <v>32669</v>
      </c>
    </row>
    <row r="37128" spans="1:8">
      <c r="H37128" t="s">
        <v>32670</v>
      </c>
    </row>
    <row r="37129" spans="1:8">
      <c r="F37129" t="s">
        <v>13183</v>
      </c>
      <c r="G37129" t="s">
        <v>17327</v>
      </c>
      <c r="H37129" t="s">
        <v>32669</v>
      </c>
    </row>
    <row r="37130" spans="1:8">
      <c r="F37130" t="s">
        <v>13184</v>
      </c>
      <c r="G37130" t="s">
        <v>17328</v>
      </c>
      <c r="H37130" t="s">
        <v>32669</v>
      </c>
    </row>
    <row r="37131" spans="1:8">
      <c r="H37131" t="s">
        <v>32670</v>
      </c>
    </row>
    <row r="37132" spans="1:8">
      <c r="F37132" t="s">
        <v>12893</v>
      </c>
      <c r="G37132" t="s">
        <v>17060</v>
      </c>
      <c r="H37132" t="s">
        <v>32669</v>
      </c>
    </row>
    <row r="37133" spans="1:8">
      <c r="F37133" t="s">
        <v>13857</v>
      </c>
      <c r="G37133" t="s">
        <v>17899</v>
      </c>
      <c r="H37133" t="s">
        <v>32669</v>
      </c>
    </row>
    <row r="37134" spans="1:8">
      <c r="H37134" t="s">
        <v>32671</v>
      </c>
    </row>
    <row r="37135" spans="1:8">
      <c r="F37135" t="s">
        <v>13185</v>
      </c>
      <c r="G37135" t="s">
        <v>17329</v>
      </c>
      <c r="H37135" t="s">
        <v>32669</v>
      </c>
    </row>
    <row r="37136" spans="1:8">
      <c r="H37136" t="s">
        <v>32670</v>
      </c>
    </row>
    <row r="37137" spans="1:8">
      <c r="F37137" t="s">
        <v>13186</v>
      </c>
      <c r="G37137" t="s">
        <v>17330</v>
      </c>
      <c r="H37137" t="s">
        <v>32669</v>
      </c>
    </row>
    <row r="37138" spans="1:8">
      <c r="F37138" t="s">
        <v>13976</v>
      </c>
      <c r="G37138" t="s">
        <v>18001</v>
      </c>
      <c r="H37138" t="s">
        <v>32671</v>
      </c>
    </row>
    <row r="37139" spans="1:8">
      <c r="F37139" t="s">
        <v>13977</v>
      </c>
      <c r="G37139" t="s">
        <v>18002</v>
      </c>
      <c r="H37139" t="s">
        <v>32672</v>
      </c>
    </row>
    <row r="37140" spans="1:8">
      <c r="H37140" t="s">
        <v>32673</v>
      </c>
    </row>
    <row r="37141" spans="1:8">
      <c r="A37141" t="s">
        <v>3130</v>
      </c>
      <c r="B37141">
        <f>HYPERLINK("https://android.googlesource.com/platform/cts/+/1c5950a84a82647b0354464321d8fdff41abd0e0", "1c5950a84a82647b0354464321d8fdff41abd0e0")</f>
        <v>0</v>
      </c>
      <c r="C37141">
        <f>HYPERLINK("https://android.googlesource.com/platform/cts/+/86f97af41c9ab8096600961c1d5923616743e7c4", "86f97af41c9ab8096600961c1d5923616743e7c4")</f>
        <v>0</v>
      </c>
      <c r="D37141" t="s">
        <v>5507</v>
      </c>
      <c r="E37141" t="s">
        <v>8847</v>
      </c>
      <c r="F37141" t="s">
        <v>14121</v>
      </c>
      <c r="G37141" t="s">
        <v>16426</v>
      </c>
      <c r="H37141" t="s">
        <v>30392</v>
      </c>
    </row>
    <row r="37142" spans="1:8">
      <c r="H37142" t="s">
        <v>30393</v>
      </c>
    </row>
    <row r="37143" spans="1:8">
      <c r="A37143" t="s">
        <v>3131</v>
      </c>
      <c r="B37143">
        <f>HYPERLINK("https://android.googlesource.com/platform/cts/+/e1275aa1b3e35335f3c2dc72ef7c0088897f6804", "e1275aa1b3e35335f3c2dc72ef7c0088897f6804")</f>
        <v>0</v>
      </c>
      <c r="C37143">
        <f>HYPERLINK("https://android.googlesource.com/platform/cts/+/69d129d7d21a303b2da3ad5d8da38be22ed13f4c", "69d129d7d21a303b2da3ad5d8da38be22ed13f4c")</f>
        <v>0</v>
      </c>
      <c r="D37143" t="s">
        <v>5497</v>
      </c>
      <c r="E37143" t="s">
        <v>8848</v>
      </c>
      <c r="F37143" t="s">
        <v>14145</v>
      </c>
      <c r="G37143" t="s">
        <v>18133</v>
      </c>
      <c r="H37143" t="s">
        <v>33903</v>
      </c>
    </row>
    <row r="37144" spans="1:8">
      <c r="A37144" t="s">
        <v>3132</v>
      </c>
      <c r="B37144">
        <f>HYPERLINK("https://android.googlesource.com/platform/cts/+/3f140e8024bf5f283eb8577fb7572594bed9427d", "3f140e8024bf5f283eb8577fb7572594bed9427d")</f>
        <v>0</v>
      </c>
      <c r="C37144">
        <f>HYPERLINK("https://android.googlesource.com/platform/cts/+/7a1edbf498714ccd9d551e172ee7bf9a87a6e454", "7a1edbf498714ccd9d551e172ee7bf9a87a6e454")</f>
        <v>0</v>
      </c>
      <c r="D37144" t="s">
        <v>5494</v>
      </c>
      <c r="E37144" t="s">
        <v>8849</v>
      </c>
      <c r="F37144" t="s">
        <v>14133</v>
      </c>
      <c r="G37144" t="s">
        <v>18122</v>
      </c>
      <c r="H37144" t="s">
        <v>33904</v>
      </c>
    </row>
    <row r="37145" spans="1:8">
      <c r="A37145" t="s">
        <v>3133</v>
      </c>
      <c r="B37145">
        <f>HYPERLINK("https://android.googlesource.com/platform/cts/+/fcf6fac99205152eb48ca0e5958118a9c27e3f9b", "fcf6fac99205152eb48ca0e5958118a9c27e3f9b")</f>
        <v>0</v>
      </c>
      <c r="C37145">
        <f>HYPERLINK("https://android.googlesource.com/platform/cts/+/c1ae52ac69d5a58b573592a72ea290923fe4e15b", "c1ae52ac69d5a58b573592a72ea290923fe4e15b")</f>
        <v>0</v>
      </c>
      <c r="D37145" t="s">
        <v>5494</v>
      </c>
      <c r="E37145" t="s">
        <v>8850</v>
      </c>
      <c r="F37145" t="s">
        <v>14133</v>
      </c>
      <c r="G37145" t="s">
        <v>18122</v>
      </c>
      <c r="H37145" t="s">
        <v>33904</v>
      </c>
    </row>
    <row r="37146" spans="1:8">
      <c r="A37146" t="s">
        <v>3134</v>
      </c>
      <c r="B37146">
        <f>HYPERLINK("https://android.googlesource.com/platform/cts/+/bd679fdac9eba1c5b8b64eed41ae968f93ac16bf", "bd679fdac9eba1c5b8b64eed41ae968f93ac16bf")</f>
        <v>0</v>
      </c>
      <c r="C37146">
        <f>HYPERLINK("https://android.googlesource.com/platform/cts/+/d719a72c716c906cdd47091237d2a7c189bf75b1", "d719a72c716c906cdd47091237d2a7c189bf75b1")</f>
        <v>0</v>
      </c>
      <c r="D37146" t="s">
        <v>5473</v>
      </c>
      <c r="E37146" t="s">
        <v>8851</v>
      </c>
      <c r="F37146" t="s">
        <v>14185</v>
      </c>
      <c r="G37146" t="s">
        <v>18166</v>
      </c>
      <c r="H37146" t="s">
        <v>33905</v>
      </c>
    </row>
    <row r="37147" spans="1:8">
      <c r="A37147" t="s">
        <v>3135</v>
      </c>
      <c r="B37147">
        <f>HYPERLINK("https://android.googlesource.com/platform/cts/+/2778a5c4258fe732b963838deee4cd1a4b2a3980", "2778a5c4258fe732b963838deee4cd1a4b2a3980")</f>
        <v>0</v>
      </c>
      <c r="C37147">
        <f>HYPERLINK("https://android.googlesource.com/platform/cts/+/ae621cb53ea14e430ec4a768e6bf9b4363931ccc", "ae621cb53ea14e430ec4a768e6bf9b4363931ccc")</f>
        <v>0</v>
      </c>
      <c r="D37147" t="s">
        <v>5443</v>
      </c>
      <c r="E37147" t="s">
        <v>8852</v>
      </c>
      <c r="F37147" t="s">
        <v>13550</v>
      </c>
      <c r="G37147" t="s">
        <v>17569</v>
      </c>
      <c r="H37147" t="s">
        <v>33906</v>
      </c>
    </row>
    <row r="37148" spans="1:8">
      <c r="A37148" t="s">
        <v>3136</v>
      </c>
      <c r="B37148">
        <f>HYPERLINK("https://android.googlesource.com/platform/cts/+/ac34967dba05fa78db298c5e500c387c3d2517e2", "ac34967dba05fa78db298c5e500c387c3d2517e2")</f>
        <v>0</v>
      </c>
      <c r="C37148">
        <f>HYPERLINK("https://android.googlesource.com/platform/cts/+/04e6fd7033732ca5fdf7039f038def121013dccb", "04e6fd7033732ca5fdf7039f038def121013dccb")</f>
        <v>0</v>
      </c>
      <c r="D37148" t="s">
        <v>5517</v>
      </c>
      <c r="E37148" t="s">
        <v>8853</v>
      </c>
      <c r="F37148" t="s">
        <v>13977</v>
      </c>
      <c r="G37148" t="s">
        <v>18002</v>
      </c>
      <c r="H37148" t="s">
        <v>33907</v>
      </c>
    </row>
    <row r="37149" spans="1:8">
      <c r="H37149" t="s">
        <v>33908</v>
      </c>
    </row>
    <row r="37150" spans="1:8">
      <c r="A37150" t="s">
        <v>3137</v>
      </c>
      <c r="B37150">
        <f>HYPERLINK("https://android.googlesource.com/platform/cts/+/423f3deece28096078a2555c0c6945a1b9d5799d", "423f3deece28096078a2555c0c6945a1b9d5799d")</f>
        <v>0</v>
      </c>
      <c r="C37150">
        <f>HYPERLINK("https://android.googlesource.com/platform/cts/+/a70f55909db3f19bf87eb223f6eb919d58c1b2ad", "a70f55909db3f19bf87eb223f6eb919d58c1b2ad")</f>
        <v>0</v>
      </c>
      <c r="D37150" t="s">
        <v>5518</v>
      </c>
      <c r="E37150" t="s">
        <v>8854</v>
      </c>
      <c r="F37150" t="s">
        <v>13371</v>
      </c>
      <c r="G37150" t="s">
        <v>17498</v>
      </c>
      <c r="H37150" t="s">
        <v>33909</v>
      </c>
    </row>
    <row r="37151" spans="1:8">
      <c r="H37151" t="s">
        <v>33910</v>
      </c>
    </row>
    <row r="37152" spans="1:8">
      <c r="H37152" t="s">
        <v>33911</v>
      </c>
    </row>
    <row r="37153" spans="1:8">
      <c r="H37153" t="s">
        <v>33912</v>
      </c>
    </row>
    <row r="37154" spans="1:8">
      <c r="A37154" t="s">
        <v>3138</v>
      </c>
      <c r="B37154">
        <f>HYPERLINK("https://android.googlesource.com/platform/cts/+/85b5246de15577b5462b9db1a18bb5db1d63cd74", "85b5246de15577b5462b9db1a18bb5db1d63cd74")</f>
        <v>0</v>
      </c>
      <c r="C37154">
        <f>HYPERLINK("https://android.googlesource.com/platform/cts/+/3eec0692c7ab8ed72723e2889aa747b5b44296f5", "3eec0692c7ab8ed72723e2889aa747b5b44296f5")</f>
        <v>0</v>
      </c>
      <c r="D37154" t="s">
        <v>5244</v>
      </c>
      <c r="E37154" t="s">
        <v>8855</v>
      </c>
      <c r="F37154" t="s">
        <v>14065</v>
      </c>
      <c r="G37154" t="s">
        <v>18063</v>
      </c>
      <c r="H37154" t="s">
        <v>33913</v>
      </c>
    </row>
    <row r="37155" spans="1:8">
      <c r="A37155" t="s">
        <v>3139</v>
      </c>
      <c r="B37155">
        <f>HYPERLINK("https://android.googlesource.com/platform/cts/+/b86ca26f564331f38504467ff4ee22b2a9c64ce0", "b86ca26f564331f38504467ff4ee22b2a9c64ce0")</f>
        <v>0</v>
      </c>
      <c r="C37155">
        <f>HYPERLINK("https://android.googlesource.com/platform/cts/+/df7fbead757009549fc1a2ee19ccdaa1196b01c0", "df7fbead757009549fc1a2ee19ccdaa1196b01c0")</f>
        <v>0</v>
      </c>
      <c r="D37155" t="s">
        <v>5051</v>
      </c>
      <c r="E37155" t="s">
        <v>8856</v>
      </c>
      <c r="F37155" t="s">
        <v>14149</v>
      </c>
      <c r="G37155" t="s">
        <v>18137</v>
      </c>
      <c r="H37155" t="s">
        <v>19981</v>
      </c>
    </row>
    <row r="37156" spans="1:8">
      <c r="H37156" t="s">
        <v>33671</v>
      </c>
    </row>
    <row r="37157" spans="1:8">
      <c r="H37157" t="s">
        <v>33672</v>
      </c>
    </row>
    <row r="37158" spans="1:8">
      <c r="A37158" t="s">
        <v>3140</v>
      </c>
      <c r="B37158">
        <f>HYPERLINK("https://android.googlesource.com/platform/cts/+/c0040804980269064fa2a4e08707b8a64919fe6f", "c0040804980269064fa2a4e08707b8a64919fe6f")</f>
        <v>0</v>
      </c>
      <c r="C37158">
        <f>HYPERLINK("https://android.googlesource.com/platform/cts/+/f93bb39f66760c1ecaf14c3b7d0ebdf04be12a14", "f93bb39f66760c1ecaf14c3b7d0ebdf04be12a14")</f>
        <v>0</v>
      </c>
      <c r="D37158" t="s">
        <v>5512</v>
      </c>
      <c r="E37158" t="s">
        <v>8857</v>
      </c>
      <c r="F37158" t="s">
        <v>13990</v>
      </c>
      <c r="G37158" t="s">
        <v>18009</v>
      </c>
      <c r="H37158" t="s">
        <v>33902</v>
      </c>
    </row>
    <row r="37159" spans="1:8">
      <c r="A37159" t="s">
        <v>3141</v>
      </c>
      <c r="B37159">
        <f>HYPERLINK("https://android.googlesource.com/platform/cts/+/a57cfc167fdc49c4cd91e7b4cf2f5f0b47e03e14", "a57cfc167fdc49c4cd91e7b4cf2f5f0b47e03e14")</f>
        <v>0</v>
      </c>
      <c r="C37159">
        <f>HYPERLINK("https://android.googlesource.com/platform/cts/+/b3705b190f03f63d6f6b9c296b770581af927477", "b3705b190f03f63d6f6b9c296b770581af927477")</f>
        <v>0</v>
      </c>
      <c r="D37159" t="s">
        <v>5244</v>
      </c>
      <c r="E37159" t="s">
        <v>8858</v>
      </c>
      <c r="F37159" t="s">
        <v>13182</v>
      </c>
      <c r="G37159" t="s">
        <v>17326</v>
      </c>
      <c r="H37159" t="s">
        <v>32669</v>
      </c>
    </row>
    <row r="37160" spans="1:8">
      <c r="H37160" t="s">
        <v>32670</v>
      </c>
    </row>
    <row r="37161" spans="1:8">
      <c r="F37161" t="s">
        <v>13183</v>
      </c>
      <c r="G37161" t="s">
        <v>17327</v>
      </c>
      <c r="H37161" t="s">
        <v>32669</v>
      </c>
    </row>
    <row r="37162" spans="1:8">
      <c r="F37162" t="s">
        <v>13184</v>
      </c>
      <c r="G37162" t="s">
        <v>17328</v>
      </c>
      <c r="H37162" t="s">
        <v>32669</v>
      </c>
    </row>
    <row r="37163" spans="1:8">
      <c r="H37163" t="s">
        <v>32670</v>
      </c>
    </row>
    <row r="37164" spans="1:8">
      <c r="F37164" t="s">
        <v>12893</v>
      </c>
      <c r="G37164" t="s">
        <v>17060</v>
      </c>
      <c r="H37164" t="s">
        <v>32669</v>
      </c>
    </row>
    <row r="37165" spans="1:8">
      <c r="F37165" t="s">
        <v>13857</v>
      </c>
      <c r="G37165" t="s">
        <v>17899</v>
      </c>
      <c r="H37165" t="s">
        <v>32669</v>
      </c>
    </row>
    <row r="37166" spans="1:8">
      <c r="H37166" t="s">
        <v>32671</v>
      </c>
    </row>
    <row r="37167" spans="1:8">
      <c r="F37167" t="s">
        <v>13185</v>
      </c>
      <c r="G37167" t="s">
        <v>17329</v>
      </c>
      <c r="H37167" t="s">
        <v>32669</v>
      </c>
    </row>
    <row r="37168" spans="1:8">
      <c r="H37168" t="s">
        <v>32670</v>
      </c>
    </row>
    <row r="37169" spans="1:8">
      <c r="F37169" t="s">
        <v>13186</v>
      </c>
      <c r="G37169" t="s">
        <v>17330</v>
      </c>
      <c r="H37169" t="s">
        <v>32669</v>
      </c>
    </row>
    <row r="37170" spans="1:8">
      <c r="F37170" t="s">
        <v>13976</v>
      </c>
      <c r="G37170" t="s">
        <v>18001</v>
      </c>
      <c r="H37170" t="s">
        <v>32671</v>
      </c>
    </row>
    <row r="37171" spans="1:8">
      <c r="F37171" t="s">
        <v>13977</v>
      </c>
      <c r="G37171" t="s">
        <v>18002</v>
      </c>
      <c r="H37171" t="s">
        <v>32672</v>
      </c>
    </row>
    <row r="37172" spans="1:8">
      <c r="H37172" t="s">
        <v>32673</v>
      </c>
    </row>
    <row r="37173" spans="1:8">
      <c r="A37173" t="s">
        <v>3142</v>
      </c>
      <c r="B37173">
        <f>HYPERLINK("https://android.googlesource.com/platform/cts/+/b83ae81876ce6f20557f33d7f2908852ea1648c4", "b83ae81876ce6f20557f33d7f2908852ea1648c4")</f>
        <v>0</v>
      </c>
      <c r="C37173">
        <f>HYPERLINK("https://android.googlesource.com/platform/cts/+/443be8a371182ce9c605164fbb1efad05880dfdf", "443be8a371182ce9c605164fbb1efad05880dfdf")</f>
        <v>0</v>
      </c>
      <c r="D37173" t="s">
        <v>5195</v>
      </c>
      <c r="E37173" t="s">
        <v>8859</v>
      </c>
      <c r="F37173" t="s">
        <v>14189</v>
      </c>
      <c r="G37173" t="s">
        <v>14997</v>
      </c>
      <c r="H37173" t="s">
        <v>18834</v>
      </c>
    </row>
    <row r="37174" spans="1:8">
      <c r="H37174" t="s">
        <v>33914</v>
      </c>
    </row>
    <row r="37175" spans="1:8">
      <c r="H37175" t="s">
        <v>32851</v>
      </c>
    </row>
    <row r="37176" spans="1:8">
      <c r="H37176" t="s">
        <v>33915</v>
      </c>
    </row>
    <row r="37177" spans="1:8">
      <c r="A37177" t="s">
        <v>3143</v>
      </c>
      <c r="B37177">
        <f>HYPERLINK("https://android.googlesource.com/platform/cts/+/7299e11c49ffb7f44924705c1a84291eade5f940", "7299e11c49ffb7f44924705c1a84291eade5f940")</f>
        <v>0</v>
      </c>
      <c r="C37177">
        <f>HYPERLINK("https://android.googlesource.com/platform/cts/+/c0452589756bd12a53efb6813f44fb395598833f", "c0452589756bd12a53efb6813f44fb395598833f")</f>
        <v>0</v>
      </c>
      <c r="D37177" t="s">
        <v>5396</v>
      </c>
      <c r="E37177" t="s">
        <v>8860</v>
      </c>
      <c r="F37177" t="s">
        <v>14190</v>
      </c>
      <c r="G37177" t="s">
        <v>18169</v>
      </c>
      <c r="H37177" t="s">
        <v>19019</v>
      </c>
    </row>
    <row r="37178" spans="1:8">
      <c r="A37178" t="s">
        <v>3144</v>
      </c>
      <c r="B37178">
        <f>HYPERLINK("https://android.googlesource.com/platform/cts/+/3932868028ee5d7f4c6393f7b8a032ab3a5b2913", "3932868028ee5d7f4c6393f7b8a032ab3a5b2913")</f>
        <v>0</v>
      </c>
      <c r="C37178">
        <f>HYPERLINK("https://android.googlesource.com/platform/cts/+/2965b90eb6113c97c37fcbf0fd38d24269f946d6", "2965b90eb6113c97c37fcbf0fd38d24269f946d6")</f>
        <v>0</v>
      </c>
      <c r="D37178" t="s">
        <v>5482</v>
      </c>
      <c r="E37178" t="s">
        <v>8861</v>
      </c>
      <c r="F37178" t="s">
        <v>14102</v>
      </c>
      <c r="G37178" t="s">
        <v>18095</v>
      </c>
      <c r="H37178" t="s">
        <v>33901</v>
      </c>
    </row>
    <row r="37179" spans="1:8">
      <c r="A37179" t="s">
        <v>3145</v>
      </c>
      <c r="B37179">
        <f>HYPERLINK("https://android.googlesource.com/platform/cts/+/fe9f261b0548e4804abdb6aef65bc4e1e60841dd", "fe9f261b0548e4804abdb6aef65bc4e1e60841dd")</f>
        <v>0</v>
      </c>
      <c r="C37179">
        <f>HYPERLINK("https://android.googlesource.com/platform/cts/+/e60bc5920214bd89b9d1c93c5b431f8fc603fa10", "e60bc5920214bd89b9d1c93c5b431f8fc603fa10")</f>
        <v>0</v>
      </c>
      <c r="D37179" t="s">
        <v>5396</v>
      </c>
      <c r="E37179" t="s">
        <v>8862</v>
      </c>
      <c r="F37179" t="s">
        <v>14190</v>
      </c>
      <c r="G37179" t="s">
        <v>18169</v>
      </c>
      <c r="H37179" t="s">
        <v>19019</v>
      </c>
    </row>
    <row r="37180" spans="1:8">
      <c r="A37180" t="s">
        <v>3146</v>
      </c>
      <c r="B37180">
        <f>HYPERLINK("https://android.googlesource.com/platform/cts/+/679fae2f7a5516002c0f74ecdbc380ca52fec0e3", "679fae2f7a5516002c0f74ecdbc380ca52fec0e3")</f>
        <v>0</v>
      </c>
      <c r="C37180">
        <f>HYPERLINK("https://android.googlesource.com/platform/cts/+/ab7673ec7e011eb2b1827a33ba93afefb7311258", "ab7673ec7e011eb2b1827a33ba93afefb7311258")</f>
        <v>0</v>
      </c>
      <c r="D37180" t="s">
        <v>5519</v>
      </c>
      <c r="E37180" t="s">
        <v>8863</v>
      </c>
      <c r="F37180" t="s">
        <v>13834</v>
      </c>
      <c r="G37180" t="s">
        <v>17877</v>
      </c>
      <c r="H37180" t="s">
        <v>33916</v>
      </c>
    </row>
    <row r="37181" spans="1:8">
      <c r="A37181" t="s">
        <v>3147</v>
      </c>
      <c r="B37181">
        <f>HYPERLINK("https://android.googlesource.com/platform/cts/+/6f5a165799e908bb1d6e059ac4fa6ed97b49e286", "6f5a165799e908bb1d6e059ac4fa6ed97b49e286")</f>
        <v>0</v>
      </c>
      <c r="C37181">
        <f>HYPERLINK("https://android.googlesource.com/platform/cts/+/d8ac710eb882060de1b868b7194d033e5b417398", "d8ac710eb882060de1b868b7194d033e5b417398")</f>
        <v>0</v>
      </c>
      <c r="D37181" t="s">
        <v>5244</v>
      </c>
      <c r="E37181" t="s">
        <v>8858</v>
      </c>
      <c r="F37181" t="s">
        <v>13182</v>
      </c>
      <c r="G37181" t="s">
        <v>17326</v>
      </c>
      <c r="H37181" t="s">
        <v>32669</v>
      </c>
    </row>
    <row r="37182" spans="1:8">
      <c r="H37182" t="s">
        <v>32670</v>
      </c>
    </row>
    <row r="37183" spans="1:8">
      <c r="F37183" t="s">
        <v>13183</v>
      </c>
      <c r="G37183" t="s">
        <v>17327</v>
      </c>
      <c r="H37183" t="s">
        <v>32669</v>
      </c>
    </row>
    <row r="37184" spans="1:8">
      <c r="F37184" t="s">
        <v>13184</v>
      </c>
      <c r="G37184" t="s">
        <v>17328</v>
      </c>
      <c r="H37184" t="s">
        <v>32669</v>
      </c>
    </row>
    <row r="37185" spans="1:8">
      <c r="H37185" t="s">
        <v>32670</v>
      </c>
    </row>
    <row r="37186" spans="1:8">
      <c r="F37186" t="s">
        <v>12893</v>
      </c>
      <c r="G37186" t="s">
        <v>17060</v>
      </c>
      <c r="H37186" t="s">
        <v>32669</v>
      </c>
    </row>
    <row r="37187" spans="1:8">
      <c r="F37187" t="s">
        <v>13857</v>
      </c>
      <c r="G37187" t="s">
        <v>17899</v>
      </c>
      <c r="H37187" t="s">
        <v>32669</v>
      </c>
    </row>
    <row r="37188" spans="1:8">
      <c r="H37188" t="s">
        <v>32671</v>
      </c>
    </row>
    <row r="37189" spans="1:8">
      <c r="F37189" t="s">
        <v>13185</v>
      </c>
      <c r="G37189" t="s">
        <v>17329</v>
      </c>
      <c r="H37189" t="s">
        <v>32669</v>
      </c>
    </row>
    <row r="37190" spans="1:8">
      <c r="H37190" t="s">
        <v>32670</v>
      </c>
    </row>
    <row r="37191" spans="1:8">
      <c r="F37191" t="s">
        <v>13186</v>
      </c>
      <c r="G37191" t="s">
        <v>17330</v>
      </c>
      <c r="H37191" t="s">
        <v>32669</v>
      </c>
    </row>
    <row r="37192" spans="1:8">
      <c r="F37192" t="s">
        <v>13976</v>
      </c>
      <c r="G37192" t="s">
        <v>18001</v>
      </c>
      <c r="H37192" t="s">
        <v>32671</v>
      </c>
    </row>
    <row r="37193" spans="1:8">
      <c r="F37193" t="s">
        <v>13977</v>
      </c>
      <c r="G37193" t="s">
        <v>18002</v>
      </c>
      <c r="H37193" t="s">
        <v>32672</v>
      </c>
    </row>
    <row r="37194" spans="1:8">
      <c r="H37194" t="s">
        <v>32673</v>
      </c>
    </row>
    <row r="37195" spans="1:8">
      <c r="A37195" t="s">
        <v>3148</v>
      </c>
      <c r="B37195">
        <f>HYPERLINK("https://android.googlesource.com/platform/cts/+/05c9dc2d20d0b0231616a25d02ac8ecb6d678a24", "05c9dc2d20d0b0231616a25d02ac8ecb6d678a24")</f>
        <v>0</v>
      </c>
      <c r="C37195">
        <f>HYPERLINK("https://android.googlesource.com/platform/cts/+/f26a0c2541402aafad152b5d018c4413d463eb5b", "f26a0c2541402aafad152b5d018c4413d463eb5b")</f>
        <v>0</v>
      </c>
      <c r="D37195" t="s">
        <v>5520</v>
      </c>
      <c r="E37195" t="s">
        <v>8864</v>
      </c>
      <c r="F37195" t="s">
        <v>13650</v>
      </c>
      <c r="G37195" t="s">
        <v>17726</v>
      </c>
      <c r="H37195" t="s">
        <v>33917</v>
      </c>
    </row>
    <row r="37196" spans="1:8">
      <c r="H37196" t="s">
        <v>33918</v>
      </c>
    </row>
    <row r="37197" spans="1:8">
      <c r="H37197" t="s">
        <v>33919</v>
      </c>
    </row>
    <row r="37198" spans="1:8">
      <c r="A37198" t="s">
        <v>3149</v>
      </c>
      <c r="B37198">
        <f>HYPERLINK("https://android.googlesource.com/platform/cts/+/ed7e1b59b9480a2e15d0d192de32c5cbb88dc53f", "ed7e1b59b9480a2e15d0d192de32c5cbb88dc53f")</f>
        <v>0</v>
      </c>
      <c r="C37198">
        <f>HYPERLINK("https://android.googlesource.com/platform/cts/+/23ec81674a505fd4859e8d6524ac89a6fde6b16d", "23ec81674a505fd4859e8d6524ac89a6fde6b16d")</f>
        <v>0</v>
      </c>
      <c r="D37198" t="s">
        <v>5482</v>
      </c>
      <c r="E37198" t="s">
        <v>8865</v>
      </c>
      <c r="F37198" t="s">
        <v>14102</v>
      </c>
      <c r="G37198" t="s">
        <v>18095</v>
      </c>
      <c r="H37198" t="s">
        <v>33920</v>
      </c>
    </row>
    <row r="37199" spans="1:8">
      <c r="H37199" t="s">
        <v>33921</v>
      </c>
    </row>
    <row r="37200" spans="1:8">
      <c r="H37200" t="s">
        <v>33922</v>
      </c>
    </row>
    <row r="37201" spans="1:8">
      <c r="H37201" t="s">
        <v>33923</v>
      </c>
    </row>
    <row r="37202" spans="1:8">
      <c r="A37202" t="s">
        <v>3150</v>
      </c>
      <c r="B37202">
        <f>HYPERLINK("https://android.googlesource.com/platform/cts/+/2dbd6e63e346f53f5564770b0b41812b3db52d60", "2dbd6e63e346f53f5564770b0b41812b3db52d60")</f>
        <v>0</v>
      </c>
      <c r="C37202">
        <f>HYPERLINK("https://android.googlesource.com/platform/cts/+/05c9dc2d20d0b0231616a25d02ac8ecb6d678a24", "05c9dc2d20d0b0231616a25d02ac8ecb6d678a24")</f>
        <v>0</v>
      </c>
      <c r="D37202" t="s">
        <v>5482</v>
      </c>
      <c r="E37202" t="s">
        <v>8866</v>
      </c>
      <c r="F37202" t="s">
        <v>14102</v>
      </c>
      <c r="G37202" t="s">
        <v>18095</v>
      </c>
      <c r="H37202" t="s">
        <v>33920</v>
      </c>
    </row>
    <row r="37203" spans="1:8">
      <c r="H37203" t="s">
        <v>33921</v>
      </c>
    </row>
    <row r="37204" spans="1:8">
      <c r="H37204" t="s">
        <v>33922</v>
      </c>
    </row>
    <row r="37205" spans="1:8">
      <c r="H37205" t="s">
        <v>33923</v>
      </c>
    </row>
    <row r="37206" spans="1:8">
      <c r="A37206" t="s">
        <v>3151</v>
      </c>
      <c r="B37206">
        <f>HYPERLINK("https://android.googlesource.com/platform/cts/+/f127baa4607e1f9905100c71ab93b5d0cc078f1a", "f127baa4607e1f9905100c71ab93b5d0cc078f1a")</f>
        <v>0</v>
      </c>
      <c r="C37206">
        <f>HYPERLINK("https://android.googlesource.com/platform/cts/+/93acf85d8bdb610b569ff3a857093195d4d65884", "93acf85d8bdb610b569ff3a857093195d4d65884")</f>
        <v>0</v>
      </c>
      <c r="D37206" t="s">
        <v>5513</v>
      </c>
      <c r="E37206" t="s">
        <v>8867</v>
      </c>
      <c r="F37206" t="s">
        <v>14191</v>
      </c>
      <c r="G37206" t="s">
        <v>18170</v>
      </c>
      <c r="H37206" t="s">
        <v>33924</v>
      </c>
    </row>
    <row r="37207" spans="1:8">
      <c r="A37207" t="s">
        <v>3152</v>
      </c>
      <c r="B37207">
        <f>HYPERLINK("https://android.googlesource.com/platform/cts/+/51d629daf1c85bf12a00eaaa3c45c641673fa6d8", "51d629daf1c85bf12a00eaaa3c45c641673fa6d8")</f>
        <v>0</v>
      </c>
      <c r="C37207">
        <f>HYPERLINK("https://android.googlesource.com/platform/cts/+/82661c7936457b3a8ef92349025dad9d8326fd0f", "82661c7936457b3a8ef92349025dad9d8326fd0f")</f>
        <v>0</v>
      </c>
      <c r="D37207" t="s">
        <v>5117</v>
      </c>
      <c r="E37207" t="s">
        <v>8868</v>
      </c>
      <c r="F37207" t="s">
        <v>13839</v>
      </c>
      <c r="G37207" t="s">
        <v>17882</v>
      </c>
      <c r="H37207" t="s">
        <v>19981</v>
      </c>
    </row>
    <row r="37208" spans="1:8">
      <c r="H37208" t="s">
        <v>33925</v>
      </c>
    </row>
    <row r="37209" spans="1:8">
      <c r="H37209" t="s">
        <v>33925</v>
      </c>
    </row>
    <row r="37210" spans="1:8">
      <c r="H37210" t="s">
        <v>33925</v>
      </c>
    </row>
    <row r="37211" spans="1:8">
      <c r="H37211" t="s">
        <v>33926</v>
      </c>
    </row>
    <row r="37212" spans="1:8">
      <c r="H37212" t="s">
        <v>33927</v>
      </c>
    </row>
    <row r="37213" spans="1:8">
      <c r="H37213" t="s">
        <v>33928</v>
      </c>
    </row>
    <row r="37214" spans="1:8">
      <c r="H37214" t="s">
        <v>33929</v>
      </c>
    </row>
    <row r="37215" spans="1:8">
      <c r="H37215" t="s">
        <v>33930</v>
      </c>
    </row>
    <row r="37216" spans="1:8">
      <c r="H37216" t="s">
        <v>33931</v>
      </c>
    </row>
    <row r="37217" spans="8:8">
      <c r="H37217" t="s">
        <v>33932</v>
      </c>
    </row>
    <row r="37218" spans="8:8">
      <c r="H37218" t="s">
        <v>33933</v>
      </c>
    </row>
    <row r="37219" spans="8:8">
      <c r="H37219" t="s">
        <v>33934</v>
      </c>
    </row>
    <row r="37220" spans="8:8">
      <c r="H37220" t="s">
        <v>33935</v>
      </c>
    </row>
    <row r="37221" spans="8:8">
      <c r="H37221" t="s">
        <v>33936</v>
      </c>
    </row>
    <row r="37222" spans="8:8">
      <c r="H37222" t="s">
        <v>33937</v>
      </c>
    </row>
    <row r="37223" spans="8:8">
      <c r="H37223" t="s">
        <v>33938</v>
      </c>
    </row>
    <row r="37224" spans="8:8">
      <c r="H37224" t="s">
        <v>33939</v>
      </c>
    </row>
    <row r="37225" spans="8:8">
      <c r="H37225" t="s">
        <v>33940</v>
      </c>
    </row>
    <row r="37226" spans="8:8">
      <c r="H37226" t="s">
        <v>33941</v>
      </c>
    </row>
    <row r="37227" spans="8:8">
      <c r="H37227" t="s">
        <v>33942</v>
      </c>
    </row>
    <row r="37228" spans="8:8">
      <c r="H37228" t="s">
        <v>33943</v>
      </c>
    </row>
    <row r="37229" spans="8:8">
      <c r="H37229" t="s">
        <v>33944</v>
      </c>
    </row>
    <row r="37230" spans="8:8">
      <c r="H37230" t="s">
        <v>33945</v>
      </c>
    </row>
    <row r="37231" spans="8:8">
      <c r="H37231" t="s">
        <v>33946</v>
      </c>
    </row>
    <row r="37232" spans="8:8">
      <c r="H37232" t="s">
        <v>33947</v>
      </c>
    </row>
    <row r="37233" spans="1:8">
      <c r="H37233" t="s">
        <v>33948</v>
      </c>
    </row>
    <row r="37234" spans="1:8">
      <c r="H37234" t="s">
        <v>33949</v>
      </c>
    </row>
    <row r="37235" spans="1:8">
      <c r="H37235" t="s">
        <v>33950</v>
      </c>
    </row>
    <row r="37236" spans="1:8">
      <c r="A37236" t="s">
        <v>3153</v>
      </c>
      <c r="B37236">
        <f>HYPERLINK("https://android.googlesource.com/platform/cts/+/d53641246cb86e028c0b4b071d59f5cda03a56c1", "d53641246cb86e028c0b4b071d59f5cda03a56c1")</f>
        <v>0</v>
      </c>
      <c r="C37236">
        <f>HYPERLINK("https://android.googlesource.com/platform/cts/+/15df6723bf904f19e571102ebc1f570739040ec2", "15df6723bf904f19e571102ebc1f570739040ec2")</f>
        <v>0</v>
      </c>
      <c r="D37236" t="s">
        <v>5513</v>
      </c>
      <c r="E37236" t="s">
        <v>8869</v>
      </c>
      <c r="F37236" t="s">
        <v>14191</v>
      </c>
      <c r="G37236" t="s">
        <v>18170</v>
      </c>
      <c r="H37236" t="s">
        <v>33924</v>
      </c>
    </row>
    <row r="37237" spans="1:8">
      <c r="A37237" t="s">
        <v>3154</v>
      </c>
      <c r="B37237">
        <f>HYPERLINK("https://android.googlesource.com/platform/cts/+/5aa49c157e2f76cd7c3bc6b465fc6f8c91ecdca7", "5aa49c157e2f76cd7c3bc6b465fc6f8c91ecdca7")</f>
        <v>0</v>
      </c>
      <c r="C37237">
        <f>HYPERLINK("https://android.googlesource.com/platform/cts/+/14d0904234fb57d5c9612d8ed7468d8145d92ce8", "14d0904234fb57d5c9612d8ed7468d8145d92ce8")</f>
        <v>0</v>
      </c>
      <c r="D37237" t="s">
        <v>5521</v>
      </c>
      <c r="E37237" t="s">
        <v>8870</v>
      </c>
      <c r="F37237" t="s">
        <v>13757</v>
      </c>
      <c r="G37237" t="s">
        <v>17816</v>
      </c>
      <c r="H37237" t="s">
        <v>33951</v>
      </c>
    </row>
    <row r="37238" spans="1:8">
      <c r="H37238" t="s">
        <v>19496</v>
      </c>
    </row>
    <row r="37239" spans="1:8">
      <c r="H37239" t="s">
        <v>33952</v>
      </c>
    </row>
    <row r="37240" spans="1:8">
      <c r="H37240" t="s">
        <v>33953</v>
      </c>
    </row>
    <row r="37241" spans="1:8">
      <c r="A37241" t="s">
        <v>3155</v>
      </c>
      <c r="B37241">
        <f>HYPERLINK("https://android.googlesource.com/platform/cts/+/613609187fa3fec9ce09d49a7e241d4c6b8172d6", "613609187fa3fec9ce09d49a7e241d4c6b8172d6")</f>
        <v>0</v>
      </c>
      <c r="C37241">
        <f>HYPERLINK("https://android.googlesource.com/platform/cts/+/420c28d9fa7a1bac6f678f987bf5b79bab424e83", "420c28d9fa7a1bac6f678f987bf5b79bab424e83")</f>
        <v>0</v>
      </c>
      <c r="D37241" t="s">
        <v>4973</v>
      </c>
      <c r="E37241" t="s">
        <v>8871</v>
      </c>
      <c r="F37241" t="s">
        <v>14192</v>
      </c>
      <c r="G37241" t="s">
        <v>18171</v>
      </c>
      <c r="H37241" t="s">
        <v>31438</v>
      </c>
    </row>
    <row r="37242" spans="1:8">
      <c r="H37242" t="s">
        <v>29719</v>
      </c>
    </row>
    <row r="37243" spans="1:8">
      <c r="A37243" t="s">
        <v>3156</v>
      </c>
      <c r="B37243">
        <f>HYPERLINK("https://android.googlesource.com/platform/cts/+/9d83bb18bd41136dbd29ac3f5375dc361198742a", "9d83bb18bd41136dbd29ac3f5375dc361198742a")</f>
        <v>0</v>
      </c>
      <c r="C37243">
        <f>HYPERLINK("https://android.googlesource.com/platform/cts/+/4795216e44546d511fbdbd52ac0e86262f554607", "4795216e44546d511fbdbd52ac0e86262f554607")</f>
        <v>0</v>
      </c>
      <c r="D37243" t="s">
        <v>5443</v>
      </c>
      <c r="E37243" t="s">
        <v>8872</v>
      </c>
      <c r="F37243" t="s">
        <v>13990</v>
      </c>
      <c r="G37243" t="s">
        <v>18009</v>
      </c>
      <c r="H37243" t="s">
        <v>33954</v>
      </c>
    </row>
    <row r="37244" spans="1:8">
      <c r="A37244" t="s">
        <v>3157</v>
      </c>
      <c r="B37244">
        <f>HYPERLINK("https://android.googlesource.com/platform/cts/+/e15fef902f4bac20c71679822ec3cebb712cabab", "e15fef902f4bac20c71679822ec3cebb712cabab")</f>
        <v>0</v>
      </c>
      <c r="C37244">
        <f>HYPERLINK("https://android.googlesource.com/platform/cts/+/7af55189966e6a9fd1c3e41c454269bd2814b980", "7af55189966e6a9fd1c3e41c454269bd2814b980")</f>
        <v>0</v>
      </c>
      <c r="D37244" t="s">
        <v>5494</v>
      </c>
      <c r="E37244" t="s">
        <v>8873</v>
      </c>
      <c r="F37244" t="s">
        <v>14133</v>
      </c>
      <c r="G37244" t="s">
        <v>18122</v>
      </c>
      <c r="H37244" t="s">
        <v>33616</v>
      </c>
    </row>
    <row r="37245" spans="1:8">
      <c r="A37245" t="s">
        <v>3158</v>
      </c>
      <c r="B37245">
        <f>HYPERLINK("https://android.googlesource.com/platform/cts/+/a2e577aa547397cbe2ee961871147f1493bd36f0", "a2e577aa547397cbe2ee961871147f1493bd36f0")</f>
        <v>0</v>
      </c>
      <c r="C37245">
        <f>HYPERLINK("https://android.googlesource.com/platform/cts/+/ffb5d6546f8b6049ef0a6091cee26e027727194b", "ffb5d6546f8b6049ef0a6091cee26e027727194b")</f>
        <v>0</v>
      </c>
      <c r="D37245" t="s">
        <v>5483</v>
      </c>
      <c r="E37245" t="s">
        <v>8874</v>
      </c>
      <c r="F37245" t="s">
        <v>14193</v>
      </c>
      <c r="G37245" t="s">
        <v>18172</v>
      </c>
      <c r="H37245" t="s">
        <v>33955</v>
      </c>
    </row>
    <row r="37246" spans="1:8">
      <c r="A37246" t="s">
        <v>3159</v>
      </c>
      <c r="B37246">
        <f>HYPERLINK("https://android.googlesource.com/platform/cts/+/c2eb53ddc801f742c52e2bf7ad0b9128b12b365e", "c2eb53ddc801f742c52e2bf7ad0b9128b12b365e")</f>
        <v>0</v>
      </c>
      <c r="C37246">
        <f>HYPERLINK("https://android.googlesource.com/platform/cts/+/09c17b2d0f03b745d9d36c42b61d9b1e671fb536", "09c17b2d0f03b745d9d36c42b61d9b1e671fb536")</f>
        <v>0</v>
      </c>
      <c r="D37246" t="s">
        <v>5518</v>
      </c>
      <c r="E37246" t="s">
        <v>8875</v>
      </c>
      <c r="F37246" t="s">
        <v>13371</v>
      </c>
      <c r="G37246" t="s">
        <v>17498</v>
      </c>
      <c r="H37246" t="s">
        <v>33909</v>
      </c>
    </row>
    <row r="37247" spans="1:8">
      <c r="H37247" t="s">
        <v>33910</v>
      </c>
    </row>
    <row r="37248" spans="1:8">
      <c r="H37248" t="s">
        <v>33911</v>
      </c>
    </row>
    <row r="37249" spans="1:8">
      <c r="H37249" t="s">
        <v>33912</v>
      </c>
    </row>
    <row r="37250" spans="1:8">
      <c r="A37250" t="s">
        <v>3160</v>
      </c>
      <c r="B37250">
        <f>HYPERLINK("https://android.googlesource.com/platform/cts/+/7be3f6431529e3ecf1bcfcbf25b14832613f5dad", "7be3f6431529e3ecf1bcfcbf25b14832613f5dad")</f>
        <v>0</v>
      </c>
      <c r="C37250">
        <f>HYPERLINK("https://android.googlesource.com/platform/cts/+/a7dcdb475eba403bc19f234157bd5a31656684b9", "a7dcdb475eba403bc19f234157bd5a31656684b9")</f>
        <v>0</v>
      </c>
      <c r="D37250" t="s">
        <v>5494</v>
      </c>
      <c r="E37250" t="s">
        <v>8876</v>
      </c>
      <c r="F37250" t="s">
        <v>14133</v>
      </c>
      <c r="G37250" t="s">
        <v>18122</v>
      </c>
      <c r="H37250" t="s">
        <v>33616</v>
      </c>
    </row>
    <row r="37251" spans="1:8">
      <c r="A37251" t="s">
        <v>3161</v>
      </c>
      <c r="B37251">
        <f>HYPERLINK("https://android.googlesource.com/platform/cts/+/52983e2746ed6a149ccd7337e243a0fb71248519", "52983e2746ed6a149ccd7337e243a0fb71248519")</f>
        <v>0</v>
      </c>
      <c r="C37251">
        <f>HYPERLINK("https://android.googlesource.com/platform/cts/+/a7dcdb475eba403bc19f234157bd5a31656684b9", "a7dcdb475eba403bc19f234157bd5a31656684b9")</f>
        <v>0</v>
      </c>
      <c r="D37251" t="s">
        <v>5512</v>
      </c>
      <c r="E37251" t="s">
        <v>8877</v>
      </c>
      <c r="F37251" t="s">
        <v>12710</v>
      </c>
      <c r="G37251" t="s">
        <v>16911</v>
      </c>
      <c r="H37251" t="s">
        <v>33765</v>
      </c>
    </row>
    <row r="37252" spans="1:8">
      <c r="A37252" t="s">
        <v>3162</v>
      </c>
      <c r="B37252">
        <f>HYPERLINK("https://android.googlesource.com/platform/cts/+/4a2b7c15bf19a045187ae7b5c8c86641d8aa740f", "4a2b7c15bf19a045187ae7b5c8c86641d8aa740f")</f>
        <v>0</v>
      </c>
      <c r="C37252">
        <f>HYPERLINK("https://android.googlesource.com/platform/cts/+/3d1dda9e3cf179b8fb4d20610a2538178e7b64d1", "3d1dda9e3cf179b8fb4d20610a2538178e7b64d1")</f>
        <v>0</v>
      </c>
      <c r="D37252" t="s">
        <v>5512</v>
      </c>
      <c r="E37252" t="s">
        <v>8878</v>
      </c>
      <c r="F37252" t="s">
        <v>12710</v>
      </c>
      <c r="G37252" t="s">
        <v>16911</v>
      </c>
      <c r="H37252" t="s">
        <v>33765</v>
      </c>
    </row>
    <row r="37253" spans="1:8">
      <c r="A37253" t="s">
        <v>3163</v>
      </c>
      <c r="B37253">
        <f>HYPERLINK("https://android.googlesource.com/platform/cts/+/037e8a0a8bdecaf69b3933e9a40ad1b7fd93f205", "037e8a0a8bdecaf69b3933e9a40ad1b7fd93f205")</f>
        <v>0</v>
      </c>
      <c r="C37253">
        <f>HYPERLINK("https://android.googlesource.com/platform/cts/+/d61d5021ce81d829c4c2d57eb0d6db2b2976b725", "d61d5021ce81d829c4c2d57eb0d6db2b2976b725")</f>
        <v>0</v>
      </c>
      <c r="D37253" t="s">
        <v>5512</v>
      </c>
      <c r="E37253" t="s">
        <v>8879</v>
      </c>
      <c r="F37253" t="s">
        <v>13990</v>
      </c>
      <c r="G37253" t="s">
        <v>18009</v>
      </c>
      <c r="H37253" t="s">
        <v>33956</v>
      </c>
    </row>
    <row r="37254" spans="1:8">
      <c r="A37254" t="s">
        <v>3164</v>
      </c>
      <c r="B37254">
        <f>HYPERLINK("https://android.googlesource.com/platform/cts/+/8ae79c20a9dace79c7f9d35f811ac898ca33ea5a", "8ae79c20a9dace79c7f9d35f811ac898ca33ea5a")</f>
        <v>0</v>
      </c>
      <c r="C37254">
        <f>HYPERLINK("https://android.googlesource.com/platform/cts/+/8da7c240d47e1c1a5abb762c11f1bd50290b83fe", "8da7c240d47e1c1a5abb762c11f1bd50290b83fe")</f>
        <v>0</v>
      </c>
      <c r="D37254" t="s">
        <v>5522</v>
      </c>
      <c r="E37254" t="s">
        <v>8880</v>
      </c>
      <c r="F37254" t="s">
        <v>14194</v>
      </c>
      <c r="G37254" t="s">
        <v>18173</v>
      </c>
      <c r="H37254" t="s">
        <v>33957</v>
      </c>
    </row>
    <row r="37255" spans="1:8">
      <c r="H37255" t="s">
        <v>33958</v>
      </c>
    </row>
    <row r="37256" spans="1:8">
      <c r="H37256" t="s">
        <v>33959</v>
      </c>
    </row>
    <row r="37257" spans="1:8">
      <c r="H37257" t="s">
        <v>33960</v>
      </c>
    </row>
    <row r="37258" spans="1:8">
      <c r="H37258" t="s">
        <v>33961</v>
      </c>
    </row>
    <row r="37259" spans="1:8">
      <c r="H37259" t="s">
        <v>33962</v>
      </c>
    </row>
    <row r="37260" spans="1:8">
      <c r="H37260" t="s">
        <v>33963</v>
      </c>
    </row>
    <row r="37261" spans="1:8">
      <c r="H37261" t="s">
        <v>33964</v>
      </c>
    </row>
    <row r="37262" spans="1:8">
      <c r="H37262" t="s">
        <v>33965</v>
      </c>
    </row>
    <row r="37263" spans="1:8">
      <c r="H37263" t="s">
        <v>33966</v>
      </c>
    </row>
    <row r="37264" spans="1:8">
      <c r="H37264" t="s">
        <v>33967</v>
      </c>
    </row>
    <row r="37265" spans="1:8">
      <c r="H37265" t="s">
        <v>33968</v>
      </c>
    </row>
    <row r="37266" spans="1:8">
      <c r="A37266" t="s">
        <v>3165</v>
      </c>
      <c r="B37266">
        <f>HYPERLINK("https://android.googlesource.com/platform/cts/+/5794e172abbca64ce639deb29393f4e43fe99922", "5794e172abbca64ce639deb29393f4e43fe99922")</f>
        <v>0</v>
      </c>
      <c r="C37266">
        <f>HYPERLINK("https://android.googlesource.com/platform/cts/+/5704a410c2a76ebc3229bf660b03713fa4ec48c0", "5704a410c2a76ebc3229bf660b03713fa4ec48c0")</f>
        <v>0</v>
      </c>
      <c r="D37266" t="s">
        <v>4973</v>
      </c>
      <c r="E37266" t="s">
        <v>8881</v>
      </c>
      <c r="F37266" t="s">
        <v>13741</v>
      </c>
      <c r="G37266" t="s">
        <v>17801</v>
      </c>
      <c r="H37266" t="s">
        <v>18829</v>
      </c>
    </row>
    <row r="37267" spans="1:8">
      <c r="F37267" t="s">
        <v>13159</v>
      </c>
      <c r="G37267" t="s">
        <v>17310</v>
      </c>
      <c r="H37267" t="s">
        <v>18829</v>
      </c>
    </row>
    <row r="37268" spans="1:8">
      <c r="A37268" t="s">
        <v>3166</v>
      </c>
      <c r="B37268">
        <f>HYPERLINK("https://android.googlesource.com/platform/cts/+/3eb0939122d6d9de8e0edda6eb9c47b2190528a4", "3eb0939122d6d9de8e0edda6eb9c47b2190528a4")</f>
        <v>0</v>
      </c>
      <c r="C37268">
        <f>HYPERLINK("https://android.googlesource.com/platform/cts/+/15c34db7dbe3add0d3795e9e6b8a69633b39fefa", "15c34db7dbe3add0d3795e9e6b8a69633b39fefa")</f>
        <v>0</v>
      </c>
      <c r="D37268" t="s">
        <v>5501</v>
      </c>
      <c r="E37268" t="s">
        <v>8882</v>
      </c>
      <c r="F37268" t="s">
        <v>14195</v>
      </c>
      <c r="G37268" t="s">
        <v>18174</v>
      </c>
      <c r="H37268" t="s">
        <v>19372</v>
      </c>
    </row>
    <row r="37269" spans="1:8">
      <c r="A37269" t="s">
        <v>3167</v>
      </c>
      <c r="B37269">
        <f>HYPERLINK("https://android.googlesource.com/platform/cts/+/b46b97a4e7abc062800b51151701d165b59f0104", "b46b97a4e7abc062800b51151701d165b59f0104")</f>
        <v>0</v>
      </c>
      <c r="C37269">
        <f>HYPERLINK("https://android.googlesource.com/platform/cts/+/dacde15c5ce841d5efedfd71bbc6f0ed8a0d7d0b", "dacde15c5ce841d5efedfd71bbc6f0ed8a0d7d0b")</f>
        <v>0</v>
      </c>
      <c r="D37269" t="s">
        <v>5523</v>
      </c>
      <c r="E37269" t="s">
        <v>8883</v>
      </c>
      <c r="F37269" t="s">
        <v>14196</v>
      </c>
      <c r="G37269" t="s">
        <v>18175</v>
      </c>
      <c r="H37269" t="s">
        <v>33969</v>
      </c>
    </row>
    <row r="37270" spans="1:8">
      <c r="A37270" t="s">
        <v>3168</v>
      </c>
      <c r="B37270">
        <f>HYPERLINK("https://android.googlesource.com/platform/cts/+/e5a396ce501475fe3f7ba3caa8d5978da986b9db", "e5a396ce501475fe3f7ba3caa8d5978da986b9db")</f>
        <v>0</v>
      </c>
      <c r="C37270">
        <f>HYPERLINK("https://android.googlesource.com/platform/cts/+/db1c28346c86cda192d09b6d71a12210d3a9e063", "db1c28346c86cda192d09b6d71a12210d3a9e063")</f>
        <v>0</v>
      </c>
      <c r="D37270" t="s">
        <v>5134</v>
      </c>
      <c r="E37270" t="s">
        <v>8884</v>
      </c>
      <c r="F37270" t="s">
        <v>14197</v>
      </c>
      <c r="G37270" t="s">
        <v>18176</v>
      </c>
      <c r="H37270" t="s">
        <v>18829</v>
      </c>
    </row>
    <row r="37271" spans="1:8">
      <c r="H37271" t="s">
        <v>33970</v>
      </c>
    </row>
    <row r="37272" spans="1:8">
      <c r="H37272" t="s">
        <v>33971</v>
      </c>
    </row>
    <row r="37273" spans="1:8">
      <c r="H37273" t="s">
        <v>33972</v>
      </c>
    </row>
    <row r="37274" spans="1:8">
      <c r="H37274" t="s">
        <v>33973</v>
      </c>
    </row>
    <row r="37275" spans="1:8">
      <c r="H37275" t="s">
        <v>33974</v>
      </c>
    </row>
    <row r="37276" spans="1:8">
      <c r="H37276" t="s">
        <v>33975</v>
      </c>
    </row>
    <row r="37277" spans="1:8">
      <c r="H37277" t="s">
        <v>33976</v>
      </c>
    </row>
    <row r="37278" spans="1:8">
      <c r="H37278" t="s">
        <v>33977</v>
      </c>
    </row>
    <row r="37279" spans="1:8">
      <c r="H37279" t="s">
        <v>33978</v>
      </c>
    </row>
    <row r="37280" spans="1:8">
      <c r="H37280" t="s">
        <v>33979</v>
      </c>
    </row>
    <row r="37281" spans="1:8">
      <c r="H37281" t="s">
        <v>33980</v>
      </c>
    </row>
    <row r="37282" spans="1:8">
      <c r="H37282" t="s">
        <v>33498</v>
      </c>
    </row>
    <row r="37283" spans="1:8">
      <c r="H37283" t="s">
        <v>33981</v>
      </c>
    </row>
    <row r="37284" spans="1:8">
      <c r="H37284" t="s">
        <v>33982</v>
      </c>
    </row>
    <row r="37285" spans="1:8">
      <c r="H37285" t="s">
        <v>33983</v>
      </c>
    </row>
    <row r="37286" spans="1:8">
      <c r="H37286" t="s">
        <v>33984</v>
      </c>
    </row>
    <row r="37287" spans="1:8">
      <c r="H37287" t="s">
        <v>33985</v>
      </c>
    </row>
    <row r="37288" spans="1:8">
      <c r="H37288" t="s">
        <v>33986</v>
      </c>
    </row>
    <row r="37289" spans="1:8">
      <c r="H37289" t="s">
        <v>32404</v>
      </c>
    </row>
    <row r="37290" spans="1:8">
      <c r="H37290" t="s">
        <v>33987</v>
      </c>
    </row>
    <row r="37291" spans="1:8">
      <c r="A37291" t="s">
        <v>3169</v>
      </c>
      <c r="B37291">
        <f>HYPERLINK("https://android.googlesource.com/platform/cts/+/f9f74f9e2ece1c7eb766f9168e29d5b8ce13ad45", "f9f74f9e2ece1c7eb766f9168e29d5b8ce13ad45")</f>
        <v>0</v>
      </c>
      <c r="C37291">
        <f>HYPERLINK("https://android.googlesource.com/platform/cts/+/e7ec86069e04f93b91c49b9d56ae4c07e01a11d6", "e7ec86069e04f93b91c49b9d56ae4c07e01a11d6")</f>
        <v>0</v>
      </c>
      <c r="D37291" t="s">
        <v>5427</v>
      </c>
      <c r="E37291" t="s">
        <v>8885</v>
      </c>
      <c r="F37291" t="s">
        <v>13548</v>
      </c>
      <c r="G37291" t="s">
        <v>15171</v>
      </c>
      <c r="H37291" t="s">
        <v>20343</v>
      </c>
    </row>
    <row r="37292" spans="1:8">
      <c r="A37292" t="s">
        <v>3170</v>
      </c>
      <c r="B37292">
        <f>HYPERLINK("https://android.googlesource.com/platform/cts/+/db2a44e0d6ca616ea779f7ce8416576a6d6de65a", "db2a44e0d6ca616ea779f7ce8416576a6d6de65a")</f>
        <v>0</v>
      </c>
      <c r="C37292">
        <f>HYPERLINK("https://android.googlesource.com/platform/cts/+/02485f6c6f06b328f87643e1b1ff3412e29a4e9c", "02485f6c6f06b328f87643e1b1ff3412e29a4e9c")</f>
        <v>0</v>
      </c>
      <c r="D37292" t="s">
        <v>5524</v>
      </c>
      <c r="E37292" t="s">
        <v>8886</v>
      </c>
      <c r="F37292" t="s">
        <v>14198</v>
      </c>
      <c r="G37292" t="s">
        <v>18177</v>
      </c>
      <c r="H37292" t="s">
        <v>33988</v>
      </c>
    </row>
    <row r="37293" spans="1:8">
      <c r="A37293" t="s">
        <v>3171</v>
      </c>
      <c r="B37293">
        <f>HYPERLINK("https://android.googlesource.com/platform/cts/+/c58d612f2de930e3ff94a535cc6ba262a36b14a6", "c58d612f2de930e3ff94a535cc6ba262a36b14a6")</f>
        <v>0</v>
      </c>
      <c r="C37293">
        <f>HYPERLINK("https://android.googlesource.com/platform/cts/+/adae68c82b4c55bc1ab9a014a559d4bd7bfe3b94", "adae68c82b4c55bc1ab9a014a559d4bd7bfe3b94")</f>
        <v>0</v>
      </c>
      <c r="D37293" t="s">
        <v>5139</v>
      </c>
      <c r="E37293" t="s">
        <v>8887</v>
      </c>
      <c r="F37293" t="s">
        <v>13816</v>
      </c>
      <c r="G37293" t="s">
        <v>15089</v>
      </c>
      <c r="H37293" t="s">
        <v>33989</v>
      </c>
    </row>
    <row r="37294" spans="1:8">
      <c r="H37294" t="s">
        <v>33990</v>
      </c>
    </row>
    <row r="37295" spans="1:8">
      <c r="H37295" t="s">
        <v>33991</v>
      </c>
    </row>
    <row r="37296" spans="1:8">
      <c r="H37296" t="s">
        <v>33992</v>
      </c>
    </row>
    <row r="37297" spans="1:8">
      <c r="H37297" t="s">
        <v>20126</v>
      </c>
    </row>
    <row r="37298" spans="1:8">
      <c r="A37298" t="s">
        <v>3172</v>
      </c>
      <c r="B37298">
        <f>HYPERLINK("https://android.googlesource.com/platform/cts/+/4a0826f00fa3674858f223b05275a47d6056ab2e", "4a0826f00fa3674858f223b05275a47d6056ab2e")</f>
        <v>0</v>
      </c>
      <c r="C37298">
        <f>HYPERLINK("https://android.googlesource.com/platform/cts/+/28e757a78f29863c84ffef0ac3ac997b4a8f11f0", "28e757a78f29863c84ffef0ac3ac997b4a8f11f0")</f>
        <v>0</v>
      </c>
      <c r="D37298" t="s">
        <v>5117</v>
      </c>
      <c r="E37298" t="s">
        <v>8888</v>
      </c>
      <c r="F37298" t="s">
        <v>12243</v>
      </c>
      <c r="G37298" t="s">
        <v>16474</v>
      </c>
      <c r="H37298" t="s">
        <v>33993</v>
      </c>
    </row>
    <row r="37299" spans="1:8">
      <c r="H37299" t="s">
        <v>33994</v>
      </c>
    </row>
    <row r="37300" spans="1:8">
      <c r="A37300" t="s">
        <v>3173</v>
      </c>
      <c r="B37300">
        <f>HYPERLINK("https://android.googlesource.com/platform/cts/+/563dc74407adc595ba84021e09203971a7c71e28", "563dc74407adc595ba84021e09203971a7c71e28")</f>
        <v>0</v>
      </c>
      <c r="C37300">
        <f>HYPERLINK("https://android.googlesource.com/platform/cts/+/29ea696b682e3d22b040bcfafcad8ff04b36d260", "29ea696b682e3d22b040bcfafcad8ff04b36d260")</f>
        <v>0</v>
      </c>
      <c r="D37300" t="s">
        <v>5472</v>
      </c>
      <c r="E37300" t="s">
        <v>8889</v>
      </c>
      <c r="F37300" t="s">
        <v>14062</v>
      </c>
      <c r="G37300" t="s">
        <v>18060</v>
      </c>
      <c r="H37300" t="s">
        <v>33995</v>
      </c>
    </row>
    <row r="37301" spans="1:8">
      <c r="H37301" t="s">
        <v>33996</v>
      </c>
    </row>
    <row r="37302" spans="1:8">
      <c r="H37302" t="s">
        <v>33997</v>
      </c>
    </row>
    <row r="37303" spans="1:8">
      <c r="F37303" t="s">
        <v>14122</v>
      </c>
      <c r="G37303" t="s">
        <v>18112</v>
      </c>
      <c r="H37303" t="s">
        <v>33998</v>
      </c>
    </row>
    <row r="37304" spans="1:8">
      <c r="A37304" t="s">
        <v>3174</v>
      </c>
      <c r="B37304">
        <f>HYPERLINK("https://android.googlesource.com/platform/cts/+/7de87b4c8132b93f282268188e927875db360f6a", "7de87b4c8132b93f282268188e927875db360f6a")</f>
        <v>0</v>
      </c>
      <c r="C37304">
        <f>HYPERLINK("https://android.googlesource.com/platform/cts/+/23dd62631d9fe9213773d0fe39f6261544644011", "23dd62631d9fe9213773d0fe39f6261544644011")</f>
        <v>0</v>
      </c>
      <c r="D37304" t="s">
        <v>5525</v>
      </c>
      <c r="E37304" t="s">
        <v>8890</v>
      </c>
      <c r="F37304" t="s">
        <v>13703</v>
      </c>
      <c r="G37304" t="s">
        <v>17771</v>
      </c>
      <c r="H37304" t="s">
        <v>33999</v>
      </c>
    </row>
    <row r="37305" spans="1:8">
      <c r="H37305" t="s">
        <v>34000</v>
      </c>
    </row>
    <row r="37306" spans="1:8">
      <c r="A37306" t="s">
        <v>3175</v>
      </c>
      <c r="B37306">
        <f>HYPERLINK("https://android.googlesource.com/platform/cts/+/02a66d3355f399b83be12c724c1e3149af60cf7c", "02a66d3355f399b83be12c724c1e3149af60cf7c")</f>
        <v>0</v>
      </c>
      <c r="C37306">
        <f>HYPERLINK("https://android.googlesource.com/platform/cts/+/47618dd61cfb39d68b4a5341999917b1d96b1975", "47618dd61cfb39d68b4a5341999917b1d96b1975")</f>
        <v>0</v>
      </c>
      <c r="D37306" t="s">
        <v>5526</v>
      </c>
      <c r="E37306" t="s">
        <v>8891</v>
      </c>
      <c r="F37306" t="s">
        <v>13227</v>
      </c>
      <c r="G37306" t="s">
        <v>17368</v>
      </c>
      <c r="H37306" t="s">
        <v>29751</v>
      </c>
    </row>
    <row r="37307" spans="1:8">
      <c r="A37307" t="s">
        <v>3176</v>
      </c>
      <c r="B37307">
        <f>HYPERLINK("https://android.googlesource.com/platform/cts/+/fd75864da2796bcda58f036b0adf711a0854259f", "fd75864da2796bcda58f036b0adf711a0854259f")</f>
        <v>0</v>
      </c>
      <c r="C37307">
        <f>HYPERLINK("https://android.googlesource.com/platform/cts/+/47618dd61cfb39d68b4a5341999917b1d96b1975", "47618dd61cfb39d68b4a5341999917b1d96b1975")</f>
        <v>0</v>
      </c>
      <c r="D37307" t="s">
        <v>5526</v>
      </c>
      <c r="E37307" t="s">
        <v>8892</v>
      </c>
      <c r="F37307" t="s">
        <v>13223</v>
      </c>
      <c r="G37307" t="s">
        <v>17365</v>
      </c>
      <c r="H37307" t="s">
        <v>34001</v>
      </c>
    </row>
    <row r="37308" spans="1:8">
      <c r="H37308" t="s">
        <v>34002</v>
      </c>
    </row>
    <row r="37309" spans="1:8">
      <c r="H37309" t="s">
        <v>34003</v>
      </c>
    </row>
    <row r="37310" spans="1:8">
      <c r="F37310" t="s">
        <v>14199</v>
      </c>
      <c r="G37310" t="s">
        <v>18178</v>
      </c>
      <c r="H37310" t="s">
        <v>18863</v>
      </c>
    </row>
    <row r="37311" spans="1:8">
      <c r="H37311" t="s">
        <v>34004</v>
      </c>
    </row>
    <row r="37312" spans="1:8">
      <c r="H37312" t="s">
        <v>34005</v>
      </c>
    </row>
    <row r="37313" spans="1:8">
      <c r="H37313" t="s">
        <v>34006</v>
      </c>
    </row>
    <row r="37314" spans="1:8">
      <c r="H37314" t="s">
        <v>34007</v>
      </c>
    </row>
    <row r="37315" spans="1:8">
      <c r="H37315" t="s">
        <v>34008</v>
      </c>
    </row>
    <row r="37316" spans="1:8">
      <c r="H37316" t="s">
        <v>34008</v>
      </c>
    </row>
    <row r="37317" spans="1:8">
      <c r="H37317" t="s">
        <v>34009</v>
      </c>
    </row>
    <row r="37318" spans="1:8">
      <c r="H37318" t="s">
        <v>34010</v>
      </c>
    </row>
    <row r="37319" spans="1:8">
      <c r="H37319" t="s">
        <v>34011</v>
      </c>
    </row>
    <row r="37320" spans="1:8">
      <c r="H37320" t="s">
        <v>34012</v>
      </c>
    </row>
    <row r="37321" spans="1:8">
      <c r="H37321" t="s">
        <v>34013</v>
      </c>
    </row>
    <row r="37322" spans="1:8">
      <c r="A37322" t="s">
        <v>3177</v>
      </c>
      <c r="B37322">
        <f>HYPERLINK("https://android.googlesource.com/platform/cts/+/09bff236b7157684b4024a61edd68daa9ef7d074", "09bff236b7157684b4024a61edd68daa9ef7d074")</f>
        <v>0</v>
      </c>
      <c r="C37322">
        <f>HYPERLINK("https://android.googlesource.com/platform/cts/+/1802dfa0317fbcf986d401db6c8f81a339d1884d", "1802dfa0317fbcf986d401db6c8f81a339d1884d")</f>
        <v>0</v>
      </c>
      <c r="D37322" t="s">
        <v>5452</v>
      </c>
      <c r="E37322" t="s">
        <v>8893</v>
      </c>
      <c r="F37322" t="s">
        <v>14034</v>
      </c>
      <c r="G37322" t="s">
        <v>18024</v>
      </c>
      <c r="H37322" t="s">
        <v>33004</v>
      </c>
    </row>
    <row r="37323" spans="1:8">
      <c r="H37323" t="s">
        <v>33005</v>
      </c>
    </row>
    <row r="37324" spans="1:8">
      <c r="A37324" t="s">
        <v>3178</v>
      </c>
      <c r="B37324">
        <f>HYPERLINK("https://android.googlesource.com/platform/cts/+/11d02c8d75d35c2fd3b3c98c2773b5b25d015ce8", "11d02c8d75d35c2fd3b3c98c2773b5b25d015ce8")</f>
        <v>0</v>
      </c>
      <c r="C37324">
        <f>HYPERLINK("https://android.googlesource.com/platform/cts/+/49b2a2136961b9e348cf1a31aab6e698dfcf33f3", "49b2a2136961b9e348cf1a31aab6e698dfcf33f3")</f>
        <v>0</v>
      </c>
      <c r="D37324" t="s">
        <v>5334</v>
      </c>
      <c r="E37324" t="s">
        <v>8894</v>
      </c>
      <c r="F37324" t="s">
        <v>14200</v>
      </c>
      <c r="G37324" t="s">
        <v>18179</v>
      </c>
      <c r="H37324" t="s">
        <v>34014</v>
      </c>
    </row>
    <row r="37325" spans="1:8">
      <c r="H37325" t="s">
        <v>34015</v>
      </c>
    </row>
    <row r="37326" spans="1:8">
      <c r="A37326" t="s">
        <v>3179</v>
      </c>
      <c r="B37326">
        <f>HYPERLINK("https://android.googlesource.com/platform/cts/+/55de88314923bd2211aa640f510fab3f6aacaf7f", "55de88314923bd2211aa640f510fab3f6aacaf7f")</f>
        <v>0</v>
      </c>
      <c r="C37326">
        <f>HYPERLINK("https://android.googlesource.com/platform/cts/+/d5aa68c56a5ad76821980ed0cc01eb231057f4b0", "d5aa68c56a5ad76821980ed0cc01eb231057f4b0")</f>
        <v>0</v>
      </c>
      <c r="D37326" t="s">
        <v>5341</v>
      </c>
      <c r="E37326" t="s">
        <v>8895</v>
      </c>
      <c r="F37326" t="s">
        <v>13827</v>
      </c>
      <c r="G37326" t="s">
        <v>17871</v>
      </c>
      <c r="H37326" t="s">
        <v>34016</v>
      </c>
    </row>
    <row r="37327" spans="1:8">
      <c r="H37327" t="s">
        <v>34017</v>
      </c>
    </row>
    <row r="37328" spans="1:8">
      <c r="H37328" t="s">
        <v>34018</v>
      </c>
    </row>
    <row r="37329" spans="1:8">
      <c r="A37329" t="s">
        <v>3180</v>
      </c>
      <c r="B37329">
        <f>HYPERLINK("https://android.googlesource.com/platform/cts/+/166cb721441dcccbbe209d29709043e4bb75a8e9", "166cb721441dcccbbe209d29709043e4bb75a8e9")</f>
        <v>0</v>
      </c>
      <c r="C37329">
        <f>HYPERLINK("https://android.googlesource.com/platform/cts/+/1a159c86f74c110acebcefde8a357cb8f52287de", "1a159c86f74c110acebcefde8a357cb8f52287de")</f>
        <v>0</v>
      </c>
      <c r="D37329" t="s">
        <v>5516</v>
      </c>
      <c r="E37329" t="s">
        <v>8896</v>
      </c>
      <c r="F37329" t="s">
        <v>13977</v>
      </c>
      <c r="G37329" t="s">
        <v>18002</v>
      </c>
      <c r="H37329" t="s">
        <v>34019</v>
      </c>
    </row>
    <row r="37330" spans="1:8">
      <c r="H37330" t="s">
        <v>34020</v>
      </c>
    </row>
    <row r="37331" spans="1:8">
      <c r="A37331" t="s">
        <v>3181</v>
      </c>
      <c r="B37331">
        <f>HYPERLINK("https://android.googlesource.com/platform/cts/+/d965d484f3b2edd0ea3d95eb1848333ca522e0b3", "d965d484f3b2edd0ea3d95eb1848333ca522e0b3")</f>
        <v>0</v>
      </c>
      <c r="C37331">
        <f>HYPERLINK("https://android.googlesource.com/platform/cts/+/f83c47ca3f794c0bbb678e8f3605e4bfa2ead0e2", "f83c47ca3f794c0bbb678e8f3605e4bfa2ead0e2")</f>
        <v>0</v>
      </c>
      <c r="D37331" t="s">
        <v>5516</v>
      </c>
      <c r="E37331" t="s">
        <v>8897</v>
      </c>
      <c r="F37331" t="s">
        <v>13977</v>
      </c>
      <c r="G37331" t="s">
        <v>18002</v>
      </c>
      <c r="H37331" t="s">
        <v>34019</v>
      </c>
    </row>
    <row r="37332" spans="1:8">
      <c r="H37332" t="s">
        <v>34020</v>
      </c>
    </row>
    <row r="37333" spans="1:8">
      <c r="A37333" t="s">
        <v>3182</v>
      </c>
      <c r="B37333">
        <f>HYPERLINK("https://android.googlesource.com/platform/cts/+/d0d9f7e9467ca8407f2254c3b16d7686950dc795", "d0d9f7e9467ca8407f2254c3b16d7686950dc795")</f>
        <v>0</v>
      </c>
      <c r="C37333">
        <f>HYPERLINK("https://android.googlesource.com/platform/cts/+/5d4b9941a1abbb2da6add1144be76d8c8f45aadf", "5d4b9941a1abbb2da6add1144be76d8c8f45aadf")</f>
        <v>0</v>
      </c>
      <c r="D37333" t="s">
        <v>5374</v>
      </c>
      <c r="E37333" t="s">
        <v>8898</v>
      </c>
      <c r="F37333" t="s">
        <v>13165</v>
      </c>
      <c r="G37333" t="s">
        <v>17315</v>
      </c>
      <c r="H37333" t="s">
        <v>34021</v>
      </c>
    </row>
    <row r="37334" spans="1:8">
      <c r="A37334" t="s">
        <v>3183</v>
      </c>
      <c r="B37334">
        <f>HYPERLINK("https://android.googlesource.com/platform/cts/+/11f49d2ec8cbfeee4e048c82910f5786665902f4", "11f49d2ec8cbfeee4e048c82910f5786665902f4")</f>
        <v>0</v>
      </c>
      <c r="C37334">
        <f>HYPERLINK("https://android.googlesource.com/platform/cts/+/bcd6370fc6bac1d96804479abc40093920cca5df", "bcd6370fc6bac1d96804479abc40093920cca5df")</f>
        <v>0</v>
      </c>
      <c r="D37334" t="s">
        <v>5494</v>
      </c>
      <c r="E37334" t="s">
        <v>8899</v>
      </c>
      <c r="F37334" t="s">
        <v>14133</v>
      </c>
      <c r="G37334" t="s">
        <v>18122</v>
      </c>
      <c r="H37334" t="s">
        <v>28425</v>
      </c>
    </row>
    <row r="37335" spans="1:8">
      <c r="H37335" t="s">
        <v>28427</v>
      </c>
    </row>
    <row r="37336" spans="1:8">
      <c r="F37336" t="s">
        <v>14201</v>
      </c>
      <c r="G37336" t="s">
        <v>18180</v>
      </c>
      <c r="H37336" t="s">
        <v>19019</v>
      </c>
    </row>
    <row r="37337" spans="1:8">
      <c r="H37337" t="s">
        <v>34022</v>
      </c>
    </row>
    <row r="37338" spans="1:8">
      <c r="H37338" t="s">
        <v>34023</v>
      </c>
    </row>
    <row r="37339" spans="1:8">
      <c r="A37339" t="s">
        <v>3184</v>
      </c>
      <c r="B37339">
        <f>HYPERLINK("https://android.googlesource.com/platform/cts/+/944ce72b37e15a5625549aff593fcd311eca0e59", "944ce72b37e15a5625549aff593fcd311eca0e59")</f>
        <v>0</v>
      </c>
      <c r="C37339">
        <f>HYPERLINK("https://android.googlesource.com/platform/cts/+/96fa812ac1b2d1dd7dd434e15616503ea8d2990a", "96fa812ac1b2d1dd7dd434e15616503ea8d2990a")</f>
        <v>0</v>
      </c>
      <c r="D37339" t="s">
        <v>5494</v>
      </c>
      <c r="E37339" t="s">
        <v>8900</v>
      </c>
      <c r="F37339" t="s">
        <v>14133</v>
      </c>
      <c r="G37339" t="s">
        <v>18122</v>
      </c>
      <c r="H37339" t="s">
        <v>28425</v>
      </c>
    </row>
    <row r="37340" spans="1:8">
      <c r="H37340" t="s">
        <v>28427</v>
      </c>
    </row>
    <row r="37341" spans="1:8">
      <c r="F37341" t="s">
        <v>14201</v>
      </c>
      <c r="G37341" t="s">
        <v>18180</v>
      </c>
      <c r="H37341" t="s">
        <v>19019</v>
      </c>
    </row>
    <row r="37342" spans="1:8">
      <c r="H37342" t="s">
        <v>34022</v>
      </c>
    </row>
    <row r="37343" spans="1:8">
      <c r="H37343" t="s">
        <v>34023</v>
      </c>
    </row>
    <row r="37344" spans="1:8">
      <c r="A37344" t="s">
        <v>3185</v>
      </c>
      <c r="B37344">
        <f>HYPERLINK("https://android.googlesource.com/platform/cts/+/1aecd2cb09decf70f457f07a44ef1edf22bcf286", "1aecd2cb09decf70f457f07a44ef1edf22bcf286")</f>
        <v>0</v>
      </c>
      <c r="C37344">
        <f>HYPERLINK("https://android.googlesource.com/platform/cts/+/808520feac531864be1cbf9018b0ab7c641ae3c7", "808520feac531864be1cbf9018b0ab7c641ae3c7")</f>
        <v>0</v>
      </c>
      <c r="D37344" t="s">
        <v>5277</v>
      </c>
      <c r="E37344" t="s">
        <v>8901</v>
      </c>
      <c r="F37344" t="s">
        <v>13912</v>
      </c>
      <c r="G37344" t="s">
        <v>17949</v>
      </c>
      <c r="H37344" t="s">
        <v>34024</v>
      </c>
    </row>
    <row r="37345" spans="1:8">
      <c r="A37345" t="s">
        <v>3186</v>
      </c>
      <c r="B37345">
        <f>HYPERLINK("https://android.googlesource.com/platform/cts/+/c89ed95219a4235f78bab6289e80d5d02cb72398", "c89ed95219a4235f78bab6289e80d5d02cb72398")</f>
        <v>0</v>
      </c>
      <c r="C37345">
        <f>HYPERLINK("https://android.googlesource.com/platform/cts/+/b1d5e2b89cf58084fa2d33ac018da2ee3c3920af", "b1d5e2b89cf58084fa2d33ac018da2ee3c3920af")</f>
        <v>0</v>
      </c>
      <c r="D37345" t="s">
        <v>5357</v>
      </c>
      <c r="E37345" t="s">
        <v>8902</v>
      </c>
      <c r="F37345" t="s">
        <v>14202</v>
      </c>
      <c r="G37345" t="s">
        <v>17995</v>
      </c>
      <c r="H37345" t="s">
        <v>34025</v>
      </c>
    </row>
    <row r="37346" spans="1:8">
      <c r="A37346" t="s">
        <v>3187</v>
      </c>
      <c r="B37346">
        <f>HYPERLINK("https://android.googlesource.com/platform/cts/+/2fb5b154a346742aa2b09720722fa28e6f932248", "2fb5b154a346742aa2b09720722fa28e6f932248")</f>
        <v>0</v>
      </c>
      <c r="C37346">
        <f>HYPERLINK("https://android.googlesource.com/platform/cts/+/837699c3c44cd3f44e20510a46820b8fb1213401", "837699c3c44cd3f44e20510a46820b8fb1213401")</f>
        <v>0</v>
      </c>
      <c r="D37346" t="s">
        <v>5473</v>
      </c>
      <c r="E37346" t="s">
        <v>8903</v>
      </c>
      <c r="F37346" t="s">
        <v>14185</v>
      </c>
      <c r="G37346" t="s">
        <v>18166</v>
      </c>
      <c r="H37346" t="s">
        <v>34026</v>
      </c>
    </row>
    <row r="37347" spans="1:8">
      <c r="H37347" t="s">
        <v>34026</v>
      </c>
    </row>
    <row r="37348" spans="1:8">
      <c r="H37348" t="s">
        <v>34027</v>
      </c>
    </row>
    <row r="37349" spans="1:8">
      <c r="A37349" t="s">
        <v>3188</v>
      </c>
      <c r="B37349">
        <f>HYPERLINK("https://android.googlesource.com/platform/cts/+/a812c6a4dc4104081889c5127807bfa58077510a", "a812c6a4dc4104081889c5127807bfa58077510a")</f>
        <v>0</v>
      </c>
      <c r="C37349">
        <f>HYPERLINK("https://android.googlesource.com/platform/cts/+/357f3b0f3b5565e860122e0641bd7a591ef08fa6", "357f3b0f3b5565e860122e0641bd7a591ef08fa6")</f>
        <v>0</v>
      </c>
      <c r="D37349" t="s">
        <v>5268</v>
      </c>
      <c r="E37349" t="s">
        <v>8882</v>
      </c>
      <c r="F37349" t="s">
        <v>14195</v>
      </c>
      <c r="G37349" t="s">
        <v>18174</v>
      </c>
      <c r="H37349" t="s">
        <v>19372</v>
      </c>
    </row>
    <row r="37350" spans="1:8">
      <c r="A37350" t="s">
        <v>3189</v>
      </c>
      <c r="B37350">
        <f>HYPERLINK("https://android.googlesource.com/platform/cts/+/686f2a1606e2fc1e204a543fd21c54af420a6f7d", "686f2a1606e2fc1e204a543fd21c54af420a6f7d")</f>
        <v>0</v>
      </c>
      <c r="C37350">
        <f>HYPERLINK("https://android.googlesource.com/platform/cts/+/60b56dc370eec169fbd47574d189cc1049a7d6ba", "60b56dc370eec169fbd47574d189cc1049a7d6ba")</f>
        <v>0</v>
      </c>
      <c r="D37350" t="s">
        <v>5117</v>
      </c>
      <c r="E37350" t="s">
        <v>8904</v>
      </c>
      <c r="F37350" t="s">
        <v>14203</v>
      </c>
      <c r="G37350" t="s">
        <v>16863</v>
      </c>
      <c r="H37350" t="s">
        <v>19019</v>
      </c>
    </row>
    <row r="37351" spans="1:8">
      <c r="H37351" t="s">
        <v>34022</v>
      </c>
    </row>
    <row r="37352" spans="1:8">
      <c r="H37352" t="s">
        <v>34023</v>
      </c>
    </row>
    <row r="37353" spans="1:8">
      <c r="H37353" t="s">
        <v>34028</v>
      </c>
    </row>
    <row r="37354" spans="1:8">
      <c r="A37354" t="s">
        <v>3190</v>
      </c>
      <c r="B37354">
        <f>HYPERLINK("https://android.googlesource.com/platform/cts/+/c61e6801ceac79cdedb9858b65e9c8ee9e9ee46d", "c61e6801ceac79cdedb9858b65e9c8ee9e9ee46d")</f>
        <v>0</v>
      </c>
      <c r="C37354">
        <f>HYPERLINK("https://android.googlesource.com/platform/cts/+/f40c6a371ae9371e8eaf47a65adfb651c7c79915", "f40c6a371ae9371e8eaf47a65adfb651c7c79915")</f>
        <v>0</v>
      </c>
      <c r="D37354" t="s">
        <v>5290</v>
      </c>
      <c r="E37354" t="s">
        <v>8905</v>
      </c>
      <c r="F37354" t="s">
        <v>14204</v>
      </c>
      <c r="G37354" t="s">
        <v>16848</v>
      </c>
      <c r="H37354" t="s">
        <v>34029</v>
      </c>
    </row>
    <row r="37355" spans="1:8">
      <c r="A37355" t="s">
        <v>3191</v>
      </c>
      <c r="B37355">
        <f>HYPERLINK("https://android.googlesource.com/platform/cts/+/beb49990df5d3a6304baab3531bb470f274edd2b", "beb49990df5d3a6304baab3531bb470f274edd2b")</f>
        <v>0</v>
      </c>
      <c r="C37355">
        <f>HYPERLINK("https://android.googlesource.com/platform/cts/+/bcd6370fc6bac1d96804479abc40093920cca5df", "bcd6370fc6bac1d96804479abc40093920cca5df")</f>
        <v>0</v>
      </c>
      <c r="D37355" t="s">
        <v>5463</v>
      </c>
      <c r="E37355" t="s">
        <v>8906</v>
      </c>
      <c r="F37355" t="s">
        <v>14205</v>
      </c>
      <c r="G37355" t="s">
        <v>18181</v>
      </c>
      <c r="H37355" t="s">
        <v>18829</v>
      </c>
    </row>
    <row r="37356" spans="1:8">
      <c r="H37356" t="s">
        <v>18863</v>
      </c>
    </row>
    <row r="37357" spans="1:8">
      <c r="H37357" t="s">
        <v>34030</v>
      </c>
    </row>
    <row r="37358" spans="1:8">
      <c r="H37358" t="s">
        <v>34031</v>
      </c>
    </row>
    <row r="37359" spans="1:8">
      <c r="H37359" t="s">
        <v>34032</v>
      </c>
    </row>
    <row r="37360" spans="1:8">
      <c r="F37360" t="s">
        <v>13348</v>
      </c>
      <c r="G37360" t="s">
        <v>17475</v>
      </c>
      <c r="H37360" t="s">
        <v>34033</v>
      </c>
    </row>
    <row r="37361" spans="1:8">
      <c r="A37361" t="s">
        <v>3192</v>
      </c>
      <c r="B37361">
        <f>HYPERLINK("https://android.googlesource.com/platform/cts/+/343e16244a21adcfe402e67b64a618dc8c48f81c", "343e16244a21adcfe402e67b64a618dc8c48f81c")</f>
        <v>0</v>
      </c>
      <c r="C37361">
        <f>HYPERLINK("https://android.googlesource.com/platform/cts/+/fec07ed43e59ecad51f87e11de2da8639e7d9b74", "fec07ed43e59ecad51f87e11de2da8639e7d9b74")</f>
        <v>0</v>
      </c>
      <c r="D37361" t="s">
        <v>5497</v>
      </c>
      <c r="E37361" t="s">
        <v>8907</v>
      </c>
      <c r="F37361" t="s">
        <v>14145</v>
      </c>
      <c r="G37361" t="s">
        <v>18133</v>
      </c>
      <c r="H37361" t="s">
        <v>34034</v>
      </c>
    </row>
    <row r="37362" spans="1:8">
      <c r="H37362" t="s">
        <v>34035</v>
      </c>
    </row>
    <row r="37363" spans="1:8">
      <c r="H37363" t="s">
        <v>34036</v>
      </c>
    </row>
    <row r="37364" spans="1:8">
      <c r="H37364" t="s">
        <v>34037</v>
      </c>
    </row>
    <row r="37365" spans="1:8">
      <c r="H37365" t="s">
        <v>34038</v>
      </c>
    </row>
    <row r="37366" spans="1:8">
      <c r="A37366" t="s">
        <v>3193</v>
      </c>
      <c r="B37366">
        <f>HYPERLINK("https://android.googlesource.com/platform/cts/+/8bd319eec6bf9325b7d7f95a379edd75d63daffd", "8bd319eec6bf9325b7d7f95a379edd75d63daffd")</f>
        <v>0</v>
      </c>
      <c r="C37366">
        <f>HYPERLINK("https://android.googlesource.com/platform/cts/+/f623437c5ed7c93062431a73ef59eed6e857367d", "f623437c5ed7c93062431a73ef59eed6e857367d")</f>
        <v>0</v>
      </c>
      <c r="D37366" t="s">
        <v>5527</v>
      </c>
      <c r="E37366" t="s">
        <v>8908</v>
      </c>
      <c r="F37366" t="s">
        <v>14206</v>
      </c>
      <c r="G37366" t="s">
        <v>18182</v>
      </c>
      <c r="H37366" t="s">
        <v>34039</v>
      </c>
    </row>
    <row r="37367" spans="1:8">
      <c r="H37367" t="s">
        <v>34040</v>
      </c>
    </row>
    <row r="37368" spans="1:8">
      <c r="H37368" t="s">
        <v>34041</v>
      </c>
    </row>
    <row r="37369" spans="1:8">
      <c r="H37369" t="s">
        <v>34042</v>
      </c>
    </row>
    <row r="37370" spans="1:8">
      <c r="F37370" t="s">
        <v>14158</v>
      </c>
      <c r="G37370" t="s">
        <v>18144</v>
      </c>
      <c r="H37370" t="s">
        <v>34039</v>
      </c>
    </row>
    <row r="37371" spans="1:8">
      <c r="H37371" t="s">
        <v>34043</v>
      </c>
    </row>
    <row r="37372" spans="1:8">
      <c r="H37372" t="s">
        <v>34040</v>
      </c>
    </row>
    <row r="37373" spans="1:8">
      <c r="H37373" t="s">
        <v>34042</v>
      </c>
    </row>
    <row r="37374" spans="1:8">
      <c r="H37374" t="s">
        <v>34042</v>
      </c>
    </row>
    <row r="37375" spans="1:8">
      <c r="H37375" t="s">
        <v>34044</v>
      </c>
    </row>
    <row r="37376" spans="1:8">
      <c r="H37376" t="s">
        <v>34045</v>
      </c>
    </row>
    <row r="37377" spans="1:8">
      <c r="H37377" t="s">
        <v>34041</v>
      </c>
    </row>
    <row r="37378" spans="1:8">
      <c r="H37378" t="s">
        <v>34046</v>
      </c>
    </row>
    <row r="37379" spans="1:8">
      <c r="H37379" t="s">
        <v>34047</v>
      </c>
    </row>
    <row r="37380" spans="1:8">
      <c r="F37380" t="s">
        <v>14207</v>
      </c>
      <c r="G37380" t="s">
        <v>18183</v>
      </c>
      <c r="H37380" t="s">
        <v>34039</v>
      </c>
    </row>
    <row r="37381" spans="1:8">
      <c r="H37381" t="s">
        <v>34048</v>
      </c>
    </row>
    <row r="37382" spans="1:8">
      <c r="H37382" t="s">
        <v>34049</v>
      </c>
    </row>
    <row r="37383" spans="1:8">
      <c r="H37383" t="s">
        <v>34042</v>
      </c>
    </row>
    <row r="37384" spans="1:8">
      <c r="H37384" t="s">
        <v>34047</v>
      </c>
    </row>
    <row r="37385" spans="1:8">
      <c r="F37385" t="s">
        <v>14208</v>
      </c>
      <c r="G37385" t="s">
        <v>18184</v>
      </c>
      <c r="H37385" t="s">
        <v>34042</v>
      </c>
    </row>
    <row r="37386" spans="1:8">
      <c r="H37386" t="s">
        <v>34044</v>
      </c>
    </row>
    <row r="37387" spans="1:8">
      <c r="A37387" t="s">
        <v>3194</v>
      </c>
      <c r="B37387">
        <f>HYPERLINK("https://android.googlesource.com/platform/cts/+/402f9aed16d5413003008334525720a695e47fda", "402f9aed16d5413003008334525720a695e47fda")</f>
        <v>0</v>
      </c>
      <c r="C37387">
        <f>HYPERLINK("https://android.googlesource.com/platform/cts/+/a84bc3ab2d1c30cf30da2a012aebaab09f9bcb32", "a84bc3ab2d1c30cf30da2a012aebaab09f9bcb32")</f>
        <v>0</v>
      </c>
      <c r="D37387" t="s">
        <v>5528</v>
      </c>
      <c r="E37387" t="s">
        <v>8909</v>
      </c>
      <c r="F37387" t="s">
        <v>14209</v>
      </c>
      <c r="G37387" t="s">
        <v>18185</v>
      </c>
      <c r="H37387" t="s">
        <v>34050</v>
      </c>
    </row>
    <row r="37388" spans="1:8">
      <c r="A37388" t="s">
        <v>3195</v>
      </c>
      <c r="B37388">
        <f>HYPERLINK("https://android.googlesource.com/platform/cts/+/dd9608b7d1147a4eaf36ea634b9fc2f0feca1145", "dd9608b7d1147a4eaf36ea634b9fc2f0feca1145")</f>
        <v>0</v>
      </c>
      <c r="C37388">
        <f>HYPERLINK("https://android.googlesource.com/platform/cts/+/cf657ee140543d30027ac4a252cc55185180f534", "cf657ee140543d30027ac4a252cc55185180f534")</f>
        <v>0</v>
      </c>
      <c r="D37388" t="s">
        <v>5390</v>
      </c>
      <c r="E37388" t="s">
        <v>8910</v>
      </c>
      <c r="F37388" t="s">
        <v>13837</v>
      </c>
      <c r="G37388" t="s">
        <v>17880</v>
      </c>
      <c r="H37388" t="s">
        <v>34051</v>
      </c>
    </row>
    <row r="37389" spans="1:8">
      <c r="H37389" t="s">
        <v>34052</v>
      </c>
    </row>
    <row r="37390" spans="1:8">
      <c r="F37390" t="s">
        <v>14210</v>
      </c>
      <c r="G37390" t="s">
        <v>18186</v>
      </c>
      <c r="H37390" t="s">
        <v>34051</v>
      </c>
    </row>
    <row r="37391" spans="1:8">
      <c r="H37391" t="s">
        <v>34052</v>
      </c>
    </row>
    <row r="37392" spans="1:8">
      <c r="A37392" t="s">
        <v>3196</v>
      </c>
      <c r="B37392">
        <f>HYPERLINK("https://android.googlesource.com/platform/cts/+/b741818542eb5a87a62ec32d3bb7bca3f33db80e", "b741818542eb5a87a62ec32d3bb7bca3f33db80e")</f>
        <v>0</v>
      </c>
      <c r="C37392">
        <f>HYPERLINK("https://android.googlesource.com/platform/cts/+/76b52ecb3ab88946d8a9e63195c3fd6382c2ae96", "76b52ecb3ab88946d8a9e63195c3fd6382c2ae96")</f>
        <v>0</v>
      </c>
      <c r="D37392" t="s">
        <v>5494</v>
      </c>
      <c r="E37392" t="s">
        <v>8911</v>
      </c>
      <c r="F37392" t="s">
        <v>14203</v>
      </c>
      <c r="G37392" t="s">
        <v>16863</v>
      </c>
      <c r="H37392" t="s">
        <v>19019</v>
      </c>
    </row>
    <row r="37393" spans="1:8">
      <c r="H37393" t="s">
        <v>34022</v>
      </c>
    </row>
    <row r="37394" spans="1:8">
      <c r="H37394" t="s">
        <v>34023</v>
      </c>
    </row>
    <row r="37395" spans="1:8">
      <c r="H37395" t="s">
        <v>34028</v>
      </c>
    </row>
    <row r="37396" spans="1:8">
      <c r="A37396" t="s">
        <v>3197</v>
      </c>
      <c r="B37396">
        <f>HYPERLINK("https://android.googlesource.com/platform/cts/+/e921151a1d56a737804682207c324fa06e7fd48b", "e921151a1d56a737804682207c324fa06e7fd48b")</f>
        <v>0</v>
      </c>
      <c r="C37396">
        <f>HYPERLINK("https://android.googlesource.com/platform/cts/+/11fed5ac0f9147287c328733c31397ce5e058dc9", "11fed5ac0f9147287c328733c31397ce5e058dc9")</f>
        <v>0</v>
      </c>
      <c r="D37396" t="s">
        <v>5268</v>
      </c>
      <c r="E37396" t="s">
        <v>8908</v>
      </c>
      <c r="F37396" t="s">
        <v>14206</v>
      </c>
      <c r="G37396" t="s">
        <v>18182</v>
      </c>
      <c r="H37396" t="s">
        <v>34039</v>
      </c>
    </row>
    <row r="37397" spans="1:8">
      <c r="H37397" t="s">
        <v>34040</v>
      </c>
    </row>
    <row r="37398" spans="1:8">
      <c r="H37398" t="s">
        <v>34041</v>
      </c>
    </row>
    <row r="37399" spans="1:8">
      <c r="H37399" t="s">
        <v>34042</v>
      </c>
    </row>
    <row r="37400" spans="1:8">
      <c r="F37400" t="s">
        <v>14158</v>
      </c>
      <c r="G37400" t="s">
        <v>18144</v>
      </c>
      <c r="H37400" t="s">
        <v>34039</v>
      </c>
    </row>
    <row r="37401" spans="1:8">
      <c r="H37401" t="s">
        <v>34043</v>
      </c>
    </row>
    <row r="37402" spans="1:8">
      <c r="H37402" t="s">
        <v>34040</v>
      </c>
    </row>
    <row r="37403" spans="1:8">
      <c r="H37403" t="s">
        <v>34042</v>
      </c>
    </row>
    <row r="37404" spans="1:8">
      <c r="H37404" t="s">
        <v>34042</v>
      </c>
    </row>
    <row r="37405" spans="1:8">
      <c r="H37405" t="s">
        <v>34044</v>
      </c>
    </row>
    <row r="37406" spans="1:8">
      <c r="H37406" t="s">
        <v>34045</v>
      </c>
    </row>
    <row r="37407" spans="1:8">
      <c r="H37407" t="s">
        <v>34041</v>
      </c>
    </row>
    <row r="37408" spans="1:8">
      <c r="H37408" t="s">
        <v>34046</v>
      </c>
    </row>
    <row r="37409" spans="1:8">
      <c r="H37409" t="s">
        <v>34047</v>
      </c>
    </row>
    <row r="37410" spans="1:8">
      <c r="F37410" t="s">
        <v>14207</v>
      </c>
      <c r="G37410" t="s">
        <v>18183</v>
      </c>
      <c r="H37410" t="s">
        <v>34039</v>
      </c>
    </row>
    <row r="37411" spans="1:8">
      <c r="H37411" t="s">
        <v>34048</v>
      </c>
    </row>
    <row r="37412" spans="1:8">
      <c r="H37412" t="s">
        <v>34049</v>
      </c>
    </row>
    <row r="37413" spans="1:8">
      <c r="H37413" t="s">
        <v>34042</v>
      </c>
    </row>
    <row r="37414" spans="1:8">
      <c r="H37414" t="s">
        <v>34047</v>
      </c>
    </row>
    <row r="37415" spans="1:8">
      <c r="F37415" t="s">
        <v>14208</v>
      </c>
      <c r="G37415" t="s">
        <v>18184</v>
      </c>
      <c r="H37415" t="s">
        <v>34042</v>
      </c>
    </row>
    <row r="37416" spans="1:8">
      <c r="H37416" t="s">
        <v>34044</v>
      </c>
    </row>
    <row r="37417" spans="1:8">
      <c r="A37417" t="s">
        <v>3198</v>
      </c>
      <c r="B37417">
        <f>HYPERLINK("https://android.googlesource.com/platform/cts/+/04745e831c97fa0e93510f00941718ccd7dad6d2", "04745e831c97fa0e93510f00941718ccd7dad6d2")</f>
        <v>0</v>
      </c>
      <c r="C37417">
        <f>HYPERLINK("https://android.googlesource.com/platform/cts/+/31fd3082c73ba1b2d62a9831a23dbfd1a41fe54e", "31fd3082c73ba1b2d62a9831a23dbfd1a41fe54e")</f>
        <v>0</v>
      </c>
      <c r="D37417" t="s">
        <v>5390</v>
      </c>
      <c r="E37417" t="s">
        <v>8912</v>
      </c>
      <c r="F37417" t="s">
        <v>13837</v>
      </c>
      <c r="G37417" t="s">
        <v>17880</v>
      </c>
      <c r="H37417" t="s">
        <v>34051</v>
      </c>
    </row>
    <row r="37418" spans="1:8">
      <c r="H37418" t="s">
        <v>34052</v>
      </c>
    </row>
    <row r="37419" spans="1:8">
      <c r="F37419" t="s">
        <v>14210</v>
      </c>
      <c r="G37419" t="s">
        <v>18186</v>
      </c>
      <c r="H37419" t="s">
        <v>34051</v>
      </c>
    </row>
    <row r="37420" spans="1:8">
      <c r="H37420" t="s">
        <v>34052</v>
      </c>
    </row>
    <row r="37421" spans="1:8">
      <c r="A37421" t="s">
        <v>3199</v>
      </c>
      <c r="B37421">
        <f>HYPERLINK("https://android.googlesource.com/platform/cts/+/02a9713829637145183cb9fa40d1367caab765c3", "02a9713829637145183cb9fa40d1367caab765c3")</f>
        <v>0</v>
      </c>
      <c r="C37421">
        <f>HYPERLINK("https://android.googlesource.com/platform/cts/+/f5f257256a57666bf35a6ce702e9e29358464975", "f5f257256a57666bf35a6ce702e9e29358464975")</f>
        <v>0</v>
      </c>
      <c r="D37421" t="s">
        <v>5529</v>
      </c>
      <c r="E37421" t="s">
        <v>8913</v>
      </c>
      <c r="F37421" t="s">
        <v>13236</v>
      </c>
      <c r="G37421" t="s">
        <v>17375</v>
      </c>
      <c r="H37421" t="s">
        <v>32339</v>
      </c>
    </row>
    <row r="37422" spans="1:8">
      <c r="A37422" t="s">
        <v>3200</v>
      </c>
      <c r="B37422">
        <f>HYPERLINK("https://android.googlesource.com/platform/cts/+/6600da32750b83d792b021ec4b086a5d59ae80b6", "6600da32750b83d792b021ec4b086a5d59ae80b6")</f>
        <v>0</v>
      </c>
      <c r="C37422">
        <f>HYPERLINK("https://android.googlesource.com/platform/cts/+/37a3c0dec2d85daed49ae120653638d7d596385d", "37a3c0dec2d85daed49ae120653638d7d596385d")</f>
        <v>0</v>
      </c>
      <c r="D37422" t="s">
        <v>4981</v>
      </c>
      <c r="E37422" t="s">
        <v>8914</v>
      </c>
      <c r="F37422" t="s">
        <v>14211</v>
      </c>
      <c r="G37422" t="s">
        <v>17748</v>
      </c>
      <c r="H37422" t="s">
        <v>34053</v>
      </c>
    </row>
    <row r="37423" spans="1:8">
      <c r="F37423" t="s">
        <v>14212</v>
      </c>
      <c r="G37423" t="s">
        <v>17807</v>
      </c>
      <c r="H37423" t="s">
        <v>34054</v>
      </c>
    </row>
    <row r="37424" spans="1:8">
      <c r="A37424" t="s">
        <v>3201</v>
      </c>
      <c r="B37424">
        <f>HYPERLINK("https://android.googlesource.com/platform/cts/+/f5357b5cfeac6f499600d3c02eac24120f286bc7", "f5357b5cfeac6f499600d3c02eac24120f286bc7")</f>
        <v>0</v>
      </c>
      <c r="C37424">
        <f>HYPERLINK("https://android.googlesource.com/platform/cts/+/7577513d022b125f5f55c67bbdcdb482c825ea91", "7577513d022b125f5f55c67bbdcdb482c825ea91")</f>
        <v>0</v>
      </c>
      <c r="D37424" t="s">
        <v>5530</v>
      </c>
      <c r="E37424" t="s">
        <v>8915</v>
      </c>
      <c r="F37424" t="s">
        <v>14213</v>
      </c>
      <c r="G37424" t="s">
        <v>18187</v>
      </c>
      <c r="H37424" t="s">
        <v>34055</v>
      </c>
    </row>
    <row r="37425" spans="1:8">
      <c r="H37425" t="s">
        <v>26282</v>
      </c>
    </row>
    <row r="37426" spans="1:8">
      <c r="H37426" t="s">
        <v>20012</v>
      </c>
    </row>
    <row r="37427" spans="1:8">
      <c r="H37427" t="s">
        <v>34056</v>
      </c>
    </row>
    <row r="37428" spans="1:8">
      <c r="H37428" t="s">
        <v>18927</v>
      </c>
    </row>
    <row r="37429" spans="1:8">
      <c r="A37429" t="s">
        <v>3202</v>
      </c>
      <c r="B37429">
        <f>HYPERLINK("https://android.googlesource.com/platform/cts/+/f44117f90b64bc06c76eb6dcc00250ebd8ac0fc2", "f44117f90b64bc06c76eb6dcc00250ebd8ac0fc2")</f>
        <v>0</v>
      </c>
      <c r="C37429">
        <f>HYPERLINK("https://android.googlesource.com/platform/cts/+/28e4db098fd898eb601066a15d20786f50c1ed4f", "28e4db098fd898eb601066a15d20786f50c1ed4f")</f>
        <v>0</v>
      </c>
      <c r="D37429" t="s">
        <v>5195</v>
      </c>
      <c r="E37429" t="s">
        <v>8916</v>
      </c>
      <c r="F37429" t="s">
        <v>13816</v>
      </c>
      <c r="G37429" t="s">
        <v>15089</v>
      </c>
      <c r="H37429" t="s">
        <v>34057</v>
      </c>
    </row>
    <row r="37430" spans="1:8">
      <c r="H37430" t="s">
        <v>34058</v>
      </c>
    </row>
    <row r="37431" spans="1:8">
      <c r="H37431" t="s">
        <v>34059</v>
      </c>
    </row>
    <row r="37432" spans="1:8">
      <c r="H37432" t="s">
        <v>34060</v>
      </c>
    </row>
    <row r="37433" spans="1:8">
      <c r="H37433" t="s">
        <v>34061</v>
      </c>
    </row>
    <row r="37434" spans="1:8">
      <c r="H37434" t="s">
        <v>34062</v>
      </c>
    </row>
    <row r="37435" spans="1:8">
      <c r="H37435" t="s">
        <v>34063</v>
      </c>
    </row>
    <row r="37436" spans="1:8">
      <c r="H37436" t="s">
        <v>34064</v>
      </c>
    </row>
    <row r="37437" spans="1:8">
      <c r="H37437" t="s">
        <v>34065</v>
      </c>
    </row>
    <row r="37438" spans="1:8">
      <c r="H37438" t="s">
        <v>34066</v>
      </c>
    </row>
    <row r="37439" spans="1:8">
      <c r="H37439" t="s">
        <v>34067</v>
      </c>
    </row>
    <row r="37440" spans="1:8">
      <c r="H37440" t="s">
        <v>34068</v>
      </c>
    </row>
    <row r="37441" spans="1:8">
      <c r="H37441" t="s">
        <v>34069</v>
      </c>
    </row>
    <row r="37442" spans="1:8">
      <c r="A37442" t="s">
        <v>3203</v>
      </c>
      <c r="B37442">
        <f>HYPERLINK("https://android.googlesource.com/platform/cts/+/d0449b2b17291658168090c234f9135923826ade", "d0449b2b17291658168090c234f9135923826ade")</f>
        <v>0</v>
      </c>
      <c r="C37442">
        <f>HYPERLINK("https://android.googlesource.com/platform/cts/+/018f1f77593bd2c1123b1edba93e762bf0178fea", "018f1f77593bd2c1123b1edba93e762bf0178fea")</f>
        <v>0</v>
      </c>
      <c r="D37442" t="s">
        <v>5513</v>
      </c>
      <c r="E37442" t="s">
        <v>8917</v>
      </c>
      <c r="F37442" t="s">
        <v>14214</v>
      </c>
      <c r="G37442" t="s">
        <v>18188</v>
      </c>
      <c r="H37442" t="s">
        <v>34070</v>
      </c>
    </row>
    <row r="37443" spans="1:8">
      <c r="H37443" t="s">
        <v>34071</v>
      </c>
    </row>
    <row r="37444" spans="1:8">
      <c r="A37444" t="s">
        <v>3204</v>
      </c>
      <c r="B37444">
        <f>HYPERLINK("https://android.googlesource.com/platform/cts/+/9780db52625073ddbe48c2e93bc32ecb0618f40d", "9780db52625073ddbe48c2e93bc32ecb0618f40d")</f>
        <v>0</v>
      </c>
      <c r="C37444">
        <f>HYPERLINK("https://android.googlesource.com/platform/cts/+/e6476ccb1093ad9d2e05184c4c761e5cd3119a1b", "e6476ccb1093ad9d2e05184c4c761e5cd3119a1b")</f>
        <v>0</v>
      </c>
      <c r="D37444" t="s">
        <v>5512</v>
      </c>
      <c r="E37444" t="s">
        <v>8918</v>
      </c>
      <c r="F37444" t="s">
        <v>13990</v>
      </c>
      <c r="G37444" t="s">
        <v>18009</v>
      </c>
      <c r="H37444" t="s">
        <v>34072</v>
      </c>
    </row>
    <row r="37445" spans="1:8">
      <c r="H37445" t="s">
        <v>34073</v>
      </c>
    </row>
    <row r="37446" spans="1:8">
      <c r="F37446" t="s">
        <v>13716</v>
      </c>
      <c r="G37446" t="s">
        <v>17783</v>
      </c>
      <c r="H37446" t="s">
        <v>34074</v>
      </c>
    </row>
    <row r="37447" spans="1:8">
      <c r="A37447" t="s">
        <v>3205</v>
      </c>
      <c r="B37447">
        <f>HYPERLINK("https://android.googlesource.com/platform/cts/+/fd2497b470d07329bfddc759c0710db0b4177f4f", "fd2497b470d07329bfddc759c0710db0b4177f4f")</f>
        <v>0</v>
      </c>
      <c r="C37447">
        <f>HYPERLINK("https://android.googlesource.com/platform/cts/+/21a8e036f423d83ab3a263ca0ec4cebc15ba7d44", "21a8e036f423d83ab3a263ca0ec4cebc15ba7d44")</f>
        <v>0</v>
      </c>
      <c r="D37447" t="s">
        <v>5390</v>
      </c>
      <c r="E37447" t="s">
        <v>8919</v>
      </c>
      <c r="F37447" t="s">
        <v>13837</v>
      </c>
      <c r="G37447" t="s">
        <v>17880</v>
      </c>
      <c r="H37447" t="s">
        <v>34051</v>
      </c>
    </row>
    <row r="37448" spans="1:8">
      <c r="H37448" t="s">
        <v>34052</v>
      </c>
    </row>
    <row r="37449" spans="1:8">
      <c r="F37449" t="s">
        <v>14210</v>
      </c>
      <c r="G37449" t="s">
        <v>18186</v>
      </c>
      <c r="H37449" t="s">
        <v>34051</v>
      </c>
    </row>
    <row r="37450" spans="1:8">
      <c r="H37450" t="s">
        <v>34052</v>
      </c>
    </row>
    <row r="37451" spans="1:8">
      <c r="A37451" t="s">
        <v>3206</v>
      </c>
      <c r="B37451">
        <f>HYPERLINK("https://android.googlesource.com/platform/cts/+/f77cfb9375575c4c995e7d0c9cfe005fe1200c42", "f77cfb9375575c4c995e7d0c9cfe005fe1200c42")</f>
        <v>0</v>
      </c>
      <c r="C37451">
        <f>HYPERLINK("https://android.googlesource.com/platform/cts/+/28e4db098fd898eb601066a15d20786f50c1ed4f", "28e4db098fd898eb601066a15d20786f50c1ed4f")</f>
        <v>0</v>
      </c>
      <c r="D37451" t="s">
        <v>5195</v>
      </c>
      <c r="E37451" t="s">
        <v>8920</v>
      </c>
      <c r="F37451" t="s">
        <v>14215</v>
      </c>
      <c r="G37451" t="s">
        <v>18189</v>
      </c>
      <c r="H37451" t="s">
        <v>34075</v>
      </c>
    </row>
    <row r="37452" spans="1:8">
      <c r="A37452" t="s">
        <v>3207</v>
      </c>
      <c r="B37452">
        <f>HYPERLINK("https://android.googlesource.com/platform/cts/+/161806066f237ec1bc45459ca7b3b959772ae790", "161806066f237ec1bc45459ca7b3b959772ae790")</f>
        <v>0</v>
      </c>
      <c r="C37452">
        <f>HYPERLINK("https://android.googlesource.com/platform/cts/+/d0449b2b17291658168090c234f9135923826ade", "d0449b2b17291658168090c234f9135923826ade")</f>
        <v>0</v>
      </c>
      <c r="D37452" t="s">
        <v>5513</v>
      </c>
      <c r="E37452" t="s">
        <v>8921</v>
      </c>
      <c r="F37452" t="s">
        <v>14214</v>
      </c>
      <c r="G37452" t="s">
        <v>18188</v>
      </c>
      <c r="H37452" t="s">
        <v>34076</v>
      </c>
    </row>
    <row r="37453" spans="1:8">
      <c r="H37453" t="s">
        <v>34077</v>
      </c>
    </row>
    <row r="37454" spans="1:8">
      <c r="A37454" t="s">
        <v>3208</v>
      </c>
      <c r="B37454">
        <f>HYPERLINK("https://android.googlesource.com/platform/cts/+/b775c3f41ea679eedd582bc395c3c31b9250af26", "b775c3f41ea679eedd582bc395c3c31b9250af26")</f>
        <v>0</v>
      </c>
      <c r="C37454">
        <f>HYPERLINK("https://android.googlesource.com/platform/cts/+/ff921555f11bc7b160ab36b0e7f6521818066df2", "ff921555f11bc7b160ab36b0e7f6521818066df2")</f>
        <v>0</v>
      </c>
      <c r="D37454" t="s">
        <v>5512</v>
      </c>
      <c r="E37454" t="s">
        <v>8922</v>
      </c>
      <c r="F37454" t="s">
        <v>13990</v>
      </c>
      <c r="G37454" t="s">
        <v>18009</v>
      </c>
      <c r="H37454" t="s">
        <v>34072</v>
      </c>
    </row>
    <row r="37455" spans="1:8">
      <c r="H37455" t="s">
        <v>34073</v>
      </c>
    </row>
    <row r="37456" spans="1:8">
      <c r="F37456" t="s">
        <v>13716</v>
      </c>
      <c r="G37456" t="s">
        <v>17783</v>
      </c>
      <c r="H37456" t="s">
        <v>34074</v>
      </c>
    </row>
    <row r="37457" spans="1:8">
      <c r="A37457" t="s">
        <v>3209</v>
      </c>
      <c r="B37457">
        <f>HYPERLINK("https://android.googlesource.com/platform/cts/+/4a31c32381400815c5a76c391f1488a147272baa", "4a31c32381400815c5a76c391f1488a147272baa")</f>
        <v>0</v>
      </c>
      <c r="C37457">
        <f>HYPERLINK("https://android.googlesource.com/platform/cts/+/74675352b4c52bfc1f64af236595bc5f60f7d66b", "74675352b4c52bfc1f64af236595bc5f60f7d66b")</f>
        <v>0</v>
      </c>
      <c r="D37457" t="s">
        <v>5334</v>
      </c>
      <c r="E37457" t="s">
        <v>8923</v>
      </c>
      <c r="F37457" t="s">
        <v>14200</v>
      </c>
      <c r="G37457" t="s">
        <v>18179</v>
      </c>
      <c r="H37457" t="s">
        <v>34078</v>
      </c>
    </row>
    <row r="37458" spans="1:8">
      <c r="A37458" t="s">
        <v>3210</v>
      </c>
      <c r="B37458">
        <f>HYPERLINK("https://android.googlesource.com/platform/cts/+/c7f6f65340fd16ff5c00dd5cb15e5ba9b19a2f6b", "c7f6f65340fd16ff5c00dd5cb15e5ba9b19a2f6b")</f>
        <v>0</v>
      </c>
      <c r="C37458">
        <f>HYPERLINK("https://android.googlesource.com/platform/cts/+/95815add6db82c7a503fa28d64779ce51a9b6893", "95815add6db82c7a503fa28d64779ce51a9b6893")</f>
        <v>0</v>
      </c>
      <c r="D37458" t="s">
        <v>5531</v>
      </c>
      <c r="E37458" t="s">
        <v>8924</v>
      </c>
      <c r="F37458" t="s">
        <v>10700</v>
      </c>
      <c r="G37458" t="s">
        <v>15100</v>
      </c>
      <c r="H37458" t="s">
        <v>34079</v>
      </c>
    </row>
    <row r="37459" spans="1:8">
      <c r="H37459" t="s">
        <v>34080</v>
      </c>
    </row>
    <row r="37460" spans="1:8">
      <c r="A37460" t="s">
        <v>3211</v>
      </c>
      <c r="B37460">
        <f>HYPERLINK("https://android.googlesource.com/platform/cts/+/5093eeb3b7c8647e593030d8a4fd72705dbd1217", "5093eeb3b7c8647e593030d8a4fd72705dbd1217")</f>
        <v>0</v>
      </c>
      <c r="C37460">
        <f>HYPERLINK("https://android.googlesource.com/platform/cts/+/b951822b4955a16047b1d1a671cf7aa49164122e", "b951822b4955a16047b1d1a671cf7aa49164122e")</f>
        <v>0</v>
      </c>
      <c r="D37460" t="s">
        <v>5529</v>
      </c>
      <c r="E37460" t="s">
        <v>8925</v>
      </c>
      <c r="F37460" t="s">
        <v>13236</v>
      </c>
      <c r="G37460" t="s">
        <v>17375</v>
      </c>
      <c r="H37460" t="s">
        <v>32339</v>
      </c>
    </row>
    <row r="37461" spans="1:8">
      <c r="A37461" t="s">
        <v>3212</v>
      </c>
      <c r="B37461">
        <f>HYPERLINK("https://android.googlesource.com/platform/cts/+/9c92fa8c06077ce8a6bd4d19d6c86a9f314edc77", "9c92fa8c06077ce8a6bd4d19d6c86a9f314edc77")</f>
        <v>0</v>
      </c>
      <c r="C37461">
        <f>HYPERLINK("https://android.googlesource.com/platform/cts/+/f32b8eaa519577c47f33538c1487283335c4bb07", "f32b8eaa519577c47f33538c1487283335c4bb07")</f>
        <v>0</v>
      </c>
      <c r="D37461" t="s">
        <v>5512</v>
      </c>
      <c r="E37461" t="s">
        <v>8926</v>
      </c>
      <c r="F37461" t="s">
        <v>13716</v>
      </c>
      <c r="G37461" t="s">
        <v>17783</v>
      </c>
      <c r="H37461" t="s">
        <v>34081</v>
      </c>
    </row>
    <row r="37462" spans="1:8">
      <c r="A37462" t="s">
        <v>3213</v>
      </c>
      <c r="B37462">
        <f>HYPERLINK("https://android.googlesource.com/platform/cts/+/38eb4f4c71bd03a14fbb11006a8e01cc42d15609", "38eb4f4c71bd03a14fbb11006a8e01cc42d15609")</f>
        <v>0</v>
      </c>
      <c r="C37462">
        <f>HYPERLINK("https://android.googlesource.com/platform/cts/+/b951822b4955a16047b1d1a671cf7aa49164122e", "b951822b4955a16047b1d1a671cf7aa49164122e")</f>
        <v>0</v>
      </c>
      <c r="D37462" t="s">
        <v>5531</v>
      </c>
      <c r="E37462" t="s">
        <v>8927</v>
      </c>
      <c r="F37462" t="s">
        <v>10700</v>
      </c>
      <c r="G37462" t="s">
        <v>15100</v>
      </c>
      <c r="H37462" t="s">
        <v>34079</v>
      </c>
    </row>
    <row r="37463" spans="1:8">
      <c r="H37463" t="s">
        <v>34080</v>
      </c>
    </row>
    <row r="37464" spans="1:8">
      <c r="A37464" t="s">
        <v>3214</v>
      </c>
      <c r="B37464">
        <f>HYPERLINK("https://android.googlesource.com/platform/cts/+/45f9d50325a648a22fd38671753216a934cdfb10", "45f9d50325a648a22fd38671753216a934cdfb10")</f>
        <v>0</v>
      </c>
      <c r="C37464">
        <f>HYPERLINK("https://android.googlesource.com/platform/cts/+/7906b85aeacf5e6529e110efa091f8adfe421367", "7906b85aeacf5e6529e110efa091f8adfe421367")</f>
        <v>0</v>
      </c>
      <c r="D37464" t="s">
        <v>5512</v>
      </c>
      <c r="E37464" t="s">
        <v>8928</v>
      </c>
      <c r="F37464" t="s">
        <v>13990</v>
      </c>
      <c r="G37464" t="s">
        <v>18009</v>
      </c>
      <c r="H37464" t="s">
        <v>34082</v>
      </c>
    </row>
    <row r="37465" spans="1:8">
      <c r="A37465" t="s">
        <v>3215</v>
      </c>
      <c r="B37465">
        <f>HYPERLINK("https://android.googlesource.com/platform/cts/+/85be141e0f506c52f0e0b1752c74db5190e42047", "85be141e0f506c52f0e0b1752c74db5190e42047")</f>
        <v>0</v>
      </c>
      <c r="C37465">
        <f>HYPERLINK("https://android.googlesource.com/platform/cts/+/312421a3578799fb9adeb86d0b06098ca13adfb4", "312421a3578799fb9adeb86d0b06098ca13adfb4")</f>
        <v>0</v>
      </c>
      <c r="D37465" t="s">
        <v>5390</v>
      </c>
      <c r="E37465" t="s">
        <v>8929</v>
      </c>
      <c r="F37465" t="s">
        <v>13837</v>
      </c>
      <c r="G37465" t="s">
        <v>17880</v>
      </c>
      <c r="H37465" t="s">
        <v>34051</v>
      </c>
    </row>
    <row r="37466" spans="1:8">
      <c r="H37466" t="s">
        <v>34052</v>
      </c>
    </row>
    <row r="37467" spans="1:8">
      <c r="F37467" t="s">
        <v>14210</v>
      </c>
      <c r="G37467" t="s">
        <v>18186</v>
      </c>
      <c r="H37467" t="s">
        <v>34051</v>
      </c>
    </row>
    <row r="37468" spans="1:8">
      <c r="H37468" t="s">
        <v>34052</v>
      </c>
    </row>
    <row r="37469" spans="1:8">
      <c r="A37469" t="s">
        <v>3216</v>
      </c>
      <c r="B37469">
        <f>HYPERLINK("https://android.googlesource.com/platform/cts/+/e2c4e6af12bd4608f3188d202f24474be15896ce", "e2c4e6af12bd4608f3188d202f24474be15896ce")</f>
        <v>0</v>
      </c>
      <c r="C37469">
        <f>HYPERLINK("https://android.googlesource.com/platform/cts/+/0e38f6056ba7291a6a6fe0eb6c2d5ba83d033840", "0e38f6056ba7291a6a6fe0eb6c2d5ba83d033840")</f>
        <v>0</v>
      </c>
      <c r="D37469" t="s">
        <v>5513</v>
      </c>
      <c r="E37469" t="s">
        <v>8930</v>
      </c>
      <c r="F37469" t="s">
        <v>14214</v>
      </c>
      <c r="G37469" t="s">
        <v>18188</v>
      </c>
      <c r="H37469" t="s">
        <v>34070</v>
      </c>
    </row>
    <row r="37470" spans="1:8">
      <c r="H37470" t="s">
        <v>34071</v>
      </c>
    </row>
    <row r="37471" spans="1:8">
      <c r="A37471" t="s">
        <v>3217</v>
      </c>
      <c r="B37471">
        <f>HYPERLINK("https://android.googlesource.com/platform/cts/+/0b46baa43247dff955614b16b842ab2f63cdce18", "0b46baa43247dff955614b16b842ab2f63cdce18")</f>
        <v>0</v>
      </c>
      <c r="C37471">
        <f>HYPERLINK("https://android.googlesource.com/platform/cts/+/e2c4e6af12bd4608f3188d202f24474be15896ce", "e2c4e6af12bd4608f3188d202f24474be15896ce")</f>
        <v>0</v>
      </c>
      <c r="D37471" t="s">
        <v>5513</v>
      </c>
      <c r="E37471" t="s">
        <v>8931</v>
      </c>
      <c r="F37471" t="s">
        <v>14214</v>
      </c>
      <c r="G37471" t="s">
        <v>18188</v>
      </c>
      <c r="H37471" t="s">
        <v>34076</v>
      </c>
    </row>
    <row r="37472" spans="1:8">
      <c r="H37472" t="s">
        <v>34077</v>
      </c>
    </row>
    <row r="37473" spans="1:8">
      <c r="A37473" t="s">
        <v>3218</v>
      </c>
      <c r="B37473">
        <f>HYPERLINK("https://android.googlesource.com/platform/cts/+/2e59a5e9b0f18c603dc8d8447c9fc56163fbb94e", "2e59a5e9b0f18c603dc8d8447c9fc56163fbb94e")</f>
        <v>0</v>
      </c>
      <c r="C37473">
        <f>HYPERLINK("https://android.googlesource.com/platform/cts/+/7c10b4dd03f25c0aee296f543b9a4acf7abd38af", "7c10b4dd03f25c0aee296f543b9a4acf7abd38af")</f>
        <v>0</v>
      </c>
      <c r="D37473" t="s">
        <v>5523</v>
      </c>
      <c r="E37473" t="s">
        <v>8932</v>
      </c>
      <c r="F37473" t="s">
        <v>14196</v>
      </c>
      <c r="G37473" t="s">
        <v>18175</v>
      </c>
      <c r="H37473" t="s">
        <v>34083</v>
      </c>
    </row>
    <row r="37474" spans="1:8">
      <c r="H37474" t="s">
        <v>34084</v>
      </c>
    </row>
    <row r="37475" spans="1:8">
      <c r="A37475" t="s">
        <v>3219</v>
      </c>
      <c r="B37475">
        <f>HYPERLINK("https://android.googlesource.com/platform/cts/+/022fe2a4112c5cee8cc24a70a679058edcc19842", "022fe2a4112c5cee8cc24a70a679058edcc19842")</f>
        <v>0</v>
      </c>
      <c r="C37475">
        <f>HYPERLINK("https://android.googlesource.com/platform/cts/+/b504fec6e151aebf1c14fbf642d7d37741f98da5", "b504fec6e151aebf1c14fbf642d7d37741f98da5")</f>
        <v>0</v>
      </c>
      <c r="D37475" t="s">
        <v>5523</v>
      </c>
      <c r="E37475" t="s">
        <v>8933</v>
      </c>
      <c r="F37475" t="s">
        <v>14196</v>
      </c>
      <c r="G37475" t="s">
        <v>18175</v>
      </c>
      <c r="H37475" t="s">
        <v>34085</v>
      </c>
    </row>
    <row r="37476" spans="1:8">
      <c r="H37476" t="s">
        <v>34086</v>
      </c>
    </row>
    <row r="37477" spans="1:8">
      <c r="H37477" t="s">
        <v>34087</v>
      </c>
    </row>
    <row r="37478" spans="1:8">
      <c r="H37478" t="s">
        <v>34088</v>
      </c>
    </row>
    <row r="37479" spans="1:8">
      <c r="H37479" t="s">
        <v>34089</v>
      </c>
    </row>
    <row r="37480" spans="1:8">
      <c r="A37480" t="s">
        <v>3220</v>
      </c>
      <c r="B37480">
        <f>HYPERLINK("https://android.googlesource.com/platform/cts/+/33e3811072bb5364252b0ddb4defe9715045fa8c", "33e3811072bb5364252b0ddb4defe9715045fa8c")</f>
        <v>0</v>
      </c>
      <c r="C37480">
        <f>HYPERLINK("https://android.googlesource.com/platform/cts/+/bf4dc1a6e1ce899451c3f1319b203d4b1da0ad81", "bf4dc1a6e1ce899451c3f1319b203d4b1da0ad81")</f>
        <v>0</v>
      </c>
      <c r="D37480" t="s">
        <v>5532</v>
      </c>
      <c r="E37480" t="s">
        <v>8934</v>
      </c>
      <c r="F37480" t="s">
        <v>14216</v>
      </c>
      <c r="G37480" t="s">
        <v>16863</v>
      </c>
      <c r="H37480" t="s">
        <v>32338</v>
      </c>
    </row>
    <row r="37481" spans="1:8">
      <c r="A37481" t="s">
        <v>3221</v>
      </c>
      <c r="B37481">
        <f>HYPERLINK("https://android.googlesource.com/platform/cts/+/bd967da6488f24043d1806176e2725b3bf85a12f", "bd967da6488f24043d1806176e2725b3bf85a12f")</f>
        <v>0</v>
      </c>
      <c r="C37481">
        <f>HYPERLINK("https://android.googlesource.com/platform/cts/+/1b4096625b07ac4f71e7e484e79b7796a6420f01", "1b4096625b07ac4f71e7e484e79b7796a6420f01")</f>
        <v>0</v>
      </c>
      <c r="D37481" t="s">
        <v>5533</v>
      </c>
      <c r="E37481" t="s">
        <v>8935</v>
      </c>
      <c r="F37481" t="s">
        <v>13977</v>
      </c>
      <c r="G37481" t="s">
        <v>18002</v>
      </c>
      <c r="H37481" t="s">
        <v>34090</v>
      </c>
    </row>
    <row r="37482" spans="1:8">
      <c r="A37482" t="s">
        <v>3222</v>
      </c>
      <c r="B37482">
        <f>HYPERLINK("https://android.googlesource.com/platform/cts/+/2716fc4f27b2f1905e7f1b504ccebe9128beadcd", "2716fc4f27b2f1905e7f1b504ccebe9128beadcd")</f>
        <v>0</v>
      </c>
      <c r="C37482">
        <f>HYPERLINK("https://android.googlesource.com/platform/cts/+/312421a3578799fb9adeb86d0b06098ca13adfb4", "312421a3578799fb9adeb86d0b06098ca13adfb4")</f>
        <v>0</v>
      </c>
      <c r="D37482" t="s">
        <v>5481</v>
      </c>
      <c r="E37482" t="s">
        <v>8936</v>
      </c>
      <c r="F37482" t="s">
        <v>14217</v>
      </c>
      <c r="G37482" t="s">
        <v>18190</v>
      </c>
      <c r="H37482" t="s">
        <v>34091</v>
      </c>
    </row>
    <row r="37483" spans="1:8">
      <c r="H37483" t="s">
        <v>34092</v>
      </c>
    </row>
    <row r="37484" spans="1:8">
      <c r="A37484" t="s">
        <v>3223</v>
      </c>
      <c r="B37484">
        <f>HYPERLINK("https://android.googlesource.com/platform/cts/+/b78a1eb7b8e5c7304f52d3e1a58555d839c906c2", "b78a1eb7b8e5c7304f52d3e1a58555d839c906c2")</f>
        <v>0</v>
      </c>
      <c r="C37484">
        <f>HYPERLINK("https://android.googlesource.com/platform/cts/+/357f3b0f3b5565e860122e0641bd7a591ef08fa6", "357f3b0f3b5565e860122e0641bd7a591ef08fa6")</f>
        <v>0</v>
      </c>
      <c r="D37484" t="s">
        <v>5472</v>
      </c>
      <c r="E37484" t="s">
        <v>8937</v>
      </c>
      <c r="F37484" t="s">
        <v>14218</v>
      </c>
      <c r="G37484" t="s">
        <v>18191</v>
      </c>
      <c r="H37484" t="s">
        <v>18863</v>
      </c>
    </row>
    <row r="37485" spans="1:8">
      <c r="H37485" t="s">
        <v>34093</v>
      </c>
    </row>
    <row r="37486" spans="1:8">
      <c r="H37486" t="s">
        <v>34094</v>
      </c>
    </row>
    <row r="37487" spans="1:8">
      <c r="H37487" t="s">
        <v>34095</v>
      </c>
    </row>
    <row r="37488" spans="1:8">
      <c r="H37488" t="s">
        <v>34096</v>
      </c>
    </row>
    <row r="37489" spans="1:8">
      <c r="F37489" t="s">
        <v>14122</v>
      </c>
      <c r="G37489" t="s">
        <v>18112</v>
      </c>
      <c r="H37489" t="s">
        <v>34097</v>
      </c>
    </row>
    <row r="37490" spans="1:8">
      <c r="A37490" t="s">
        <v>3224</v>
      </c>
      <c r="B37490">
        <f>HYPERLINK("https://android.googlesource.com/platform/cts/+/98fb26a2672810d40ef00be7ba9e27a6b4573b57", "98fb26a2672810d40ef00be7ba9e27a6b4573b57")</f>
        <v>0</v>
      </c>
      <c r="C37490">
        <f>HYPERLINK("https://android.googlesource.com/platform/cts/+/191d399685b8e3457fe98985a88655524da5cdb2", "191d399685b8e3457fe98985a88655524da5cdb2")</f>
        <v>0</v>
      </c>
      <c r="D37490" t="s">
        <v>5533</v>
      </c>
      <c r="E37490" t="s">
        <v>8938</v>
      </c>
      <c r="F37490" t="s">
        <v>13977</v>
      </c>
      <c r="G37490" t="s">
        <v>18002</v>
      </c>
      <c r="H37490" t="s">
        <v>34090</v>
      </c>
    </row>
    <row r="37491" spans="1:8">
      <c r="A37491" t="s">
        <v>3225</v>
      </c>
      <c r="B37491">
        <f>HYPERLINK("https://android.googlesource.com/platform/cts/+/9df518cf92606d54361f640e8dfd6e51ffe7efdd", "9df518cf92606d54361f640e8dfd6e51ffe7efdd")</f>
        <v>0</v>
      </c>
      <c r="C37491">
        <f>HYPERLINK("https://android.googlesource.com/platform/cts/+/4daa5ad747f322420ccd8772e811c9b17b771ea1", "4daa5ad747f322420ccd8772e811c9b17b771ea1")</f>
        <v>0</v>
      </c>
      <c r="D37491" t="s">
        <v>5500</v>
      </c>
      <c r="E37491" t="s">
        <v>8939</v>
      </c>
      <c r="F37491" t="s">
        <v>14161</v>
      </c>
      <c r="G37491" t="s">
        <v>18139</v>
      </c>
      <c r="H37491" t="s">
        <v>33606</v>
      </c>
    </row>
    <row r="37492" spans="1:8">
      <c r="A37492" t="s">
        <v>3226</v>
      </c>
      <c r="B37492">
        <f>HYPERLINK("https://android.googlesource.com/platform/cts/+/03d8be54d0155d1858a778bd5444b1097599d3bb", "03d8be54d0155d1858a778bd5444b1097599d3bb")</f>
        <v>0</v>
      </c>
      <c r="C37492">
        <f>HYPERLINK("https://android.googlesource.com/platform/cts/+/c7b075695e3e93b1c516e3ebe6cb94678b6e5718", "c7b075695e3e93b1c516e3ebe6cb94678b6e5718")</f>
        <v>0</v>
      </c>
      <c r="D37492" t="s">
        <v>5534</v>
      </c>
      <c r="E37492" t="s">
        <v>8940</v>
      </c>
      <c r="F37492" t="s">
        <v>14219</v>
      </c>
      <c r="G37492" t="s">
        <v>18192</v>
      </c>
      <c r="H37492" t="s">
        <v>34098</v>
      </c>
    </row>
    <row r="37493" spans="1:8">
      <c r="A37493" t="s">
        <v>3226</v>
      </c>
      <c r="B37493">
        <f>HYPERLINK("https://android.googlesource.com/platform/cts/+/dd66be457327e826b965fd6619f313ab1cb731c0", "dd66be457327e826b965fd6619f313ab1cb731c0")</f>
        <v>0</v>
      </c>
      <c r="C37493">
        <f>HYPERLINK("https://android.googlesource.com/platform/cts/+/53f94070f82d30a68a5c6242a6e8f6481498df3a", "53f94070f82d30a68a5c6242a6e8f6481498df3a")</f>
        <v>0</v>
      </c>
      <c r="D37493" t="s">
        <v>5534</v>
      </c>
      <c r="E37493" t="s">
        <v>8941</v>
      </c>
      <c r="F37493" t="s">
        <v>14219</v>
      </c>
      <c r="G37493" t="s">
        <v>18192</v>
      </c>
      <c r="H37493" t="s">
        <v>34099</v>
      </c>
    </row>
    <row r="37494" spans="1:8">
      <c r="A37494" t="s">
        <v>3227</v>
      </c>
      <c r="B37494">
        <f>HYPERLINK("https://android.googlesource.com/platform/cts/+/4af7f62c031fc1cd6c9fd0bf24bebd8768d5d6d2", "4af7f62c031fc1cd6c9fd0bf24bebd8768d5d6d2")</f>
        <v>0</v>
      </c>
      <c r="C37494">
        <f>HYPERLINK("https://android.googlesource.com/platform/cts/+/afe84db29c7c22faec7dd5a182e2b0ba6b39f7d3", "afe84db29c7c22faec7dd5a182e2b0ba6b39f7d3")</f>
        <v>0</v>
      </c>
      <c r="D37494" t="s">
        <v>5512</v>
      </c>
      <c r="E37494" t="s">
        <v>8942</v>
      </c>
      <c r="F37494" t="s">
        <v>13990</v>
      </c>
      <c r="G37494" t="s">
        <v>18009</v>
      </c>
      <c r="H37494" t="s">
        <v>34072</v>
      </c>
    </row>
    <row r="37495" spans="1:8">
      <c r="A37495" t="s">
        <v>3228</v>
      </c>
      <c r="B37495">
        <f>HYPERLINK("https://android.googlesource.com/platform/cts/+/a8aba9454403f780b568e7b3444ef73117d517f8", "a8aba9454403f780b568e7b3444ef73117d517f8")</f>
        <v>0</v>
      </c>
      <c r="C37495">
        <f>HYPERLINK("https://android.googlesource.com/platform/cts/+/4af7f62c031fc1cd6c9fd0bf24bebd8768d5d6d2", "4af7f62c031fc1cd6c9fd0bf24bebd8768d5d6d2")</f>
        <v>0</v>
      </c>
      <c r="D37495" t="s">
        <v>5512</v>
      </c>
      <c r="E37495" t="s">
        <v>8943</v>
      </c>
      <c r="F37495" t="s">
        <v>13990</v>
      </c>
      <c r="G37495" t="s">
        <v>18009</v>
      </c>
      <c r="H37495" t="s">
        <v>34073</v>
      </c>
    </row>
    <row r="37496" spans="1:8">
      <c r="A37496" t="s">
        <v>3229</v>
      </c>
      <c r="B37496">
        <f>HYPERLINK("https://android.googlesource.com/platform/cts/+/5d583f0760f27a046e89a6d9c44239fbc6470b62", "5d583f0760f27a046e89a6d9c44239fbc6470b62")</f>
        <v>0</v>
      </c>
      <c r="C37496">
        <f>HYPERLINK("https://android.googlesource.com/platform/cts/+/a8aba9454403f780b568e7b3444ef73117d517f8", "a8aba9454403f780b568e7b3444ef73117d517f8")</f>
        <v>0</v>
      </c>
      <c r="D37496" t="s">
        <v>5512</v>
      </c>
      <c r="E37496" t="s">
        <v>8944</v>
      </c>
      <c r="F37496" t="s">
        <v>13990</v>
      </c>
      <c r="G37496" t="s">
        <v>18009</v>
      </c>
      <c r="H37496" t="s">
        <v>34100</v>
      </c>
    </row>
    <row r="37497" spans="1:8">
      <c r="A37497" t="s">
        <v>3230</v>
      </c>
      <c r="B37497">
        <f>HYPERLINK("https://android.googlesource.com/platform/cts/+/2dfcba1e4d4c9b825ec3cbe6478d3d394c9741f0", "2dfcba1e4d4c9b825ec3cbe6478d3d394c9741f0")</f>
        <v>0</v>
      </c>
      <c r="C37497">
        <f>HYPERLINK("https://android.googlesource.com/platform/cts/+/5d583f0760f27a046e89a6d9c44239fbc6470b62", "5d583f0760f27a046e89a6d9c44239fbc6470b62")</f>
        <v>0</v>
      </c>
      <c r="D37497" t="s">
        <v>5512</v>
      </c>
      <c r="E37497" t="s">
        <v>8945</v>
      </c>
      <c r="F37497" t="s">
        <v>13990</v>
      </c>
      <c r="G37497" t="s">
        <v>18009</v>
      </c>
      <c r="H37497" t="s">
        <v>34101</v>
      </c>
    </row>
    <row r="37498" spans="1:8">
      <c r="A37498" t="s">
        <v>3231</v>
      </c>
      <c r="B37498">
        <f>HYPERLINK("https://android.googlesource.com/platform/cts/+/91ef66a12b162e1afe470a0ac0c983efe2f7704c", "91ef66a12b162e1afe470a0ac0c983efe2f7704c")</f>
        <v>0</v>
      </c>
      <c r="C37498">
        <f>HYPERLINK("https://android.googlesource.com/platform/cts/+/2dfcba1e4d4c9b825ec3cbe6478d3d394c9741f0", "2dfcba1e4d4c9b825ec3cbe6478d3d394c9741f0")</f>
        <v>0</v>
      </c>
      <c r="D37498" t="s">
        <v>5512</v>
      </c>
      <c r="E37498" t="s">
        <v>8946</v>
      </c>
      <c r="F37498" t="s">
        <v>13990</v>
      </c>
      <c r="G37498" t="s">
        <v>18009</v>
      </c>
      <c r="H37498" t="s">
        <v>34102</v>
      </c>
    </row>
    <row r="37499" spans="1:8">
      <c r="A37499" t="s">
        <v>3232</v>
      </c>
      <c r="B37499">
        <f>HYPERLINK("https://android.googlesource.com/platform/cts/+/2cb23eedf80f26451b04a89f6173444f948126a9", "2cb23eedf80f26451b04a89f6173444f948126a9")</f>
        <v>0</v>
      </c>
      <c r="C37499">
        <f>HYPERLINK("https://android.googlesource.com/platform/cts/+/ce56f6595f19fde51648fb6acfbe96ad5741e4e5", "ce56f6595f19fde51648fb6acfbe96ad5741e4e5")</f>
        <v>0</v>
      </c>
      <c r="D37499" t="s">
        <v>5512</v>
      </c>
      <c r="E37499" t="s">
        <v>8947</v>
      </c>
      <c r="F37499" t="s">
        <v>13990</v>
      </c>
      <c r="G37499" t="s">
        <v>18009</v>
      </c>
      <c r="H37499" t="s">
        <v>34103</v>
      </c>
    </row>
    <row r="37500" spans="1:8">
      <c r="A37500" t="s">
        <v>3233</v>
      </c>
      <c r="B37500">
        <f>HYPERLINK("https://android.googlesource.com/platform/cts/+/9effb8f16ca25b588731a5c94a15c66058e34bcb", "9effb8f16ca25b588731a5c94a15c66058e34bcb")</f>
        <v>0</v>
      </c>
      <c r="C37500">
        <f>HYPERLINK("https://android.googlesource.com/platform/cts/+/d279ef85653c1110ca84409d849722bbce5de32d", "d279ef85653c1110ca84409d849722bbce5de32d")</f>
        <v>0</v>
      </c>
      <c r="D37500" t="s">
        <v>5288</v>
      </c>
      <c r="E37500" t="s">
        <v>8948</v>
      </c>
      <c r="F37500" t="s">
        <v>14220</v>
      </c>
      <c r="G37500" t="s">
        <v>18193</v>
      </c>
      <c r="H37500" t="s">
        <v>34104</v>
      </c>
    </row>
    <row r="37501" spans="1:8">
      <c r="A37501" t="s">
        <v>3234</v>
      </c>
      <c r="B37501">
        <f>HYPERLINK("https://android.googlesource.com/platform/cts/+/30432fa7640603c1e746b7d8c83e2e6052d8f967", "30432fa7640603c1e746b7d8c83e2e6052d8f967")</f>
        <v>0</v>
      </c>
      <c r="C37501">
        <f>HYPERLINK("https://android.googlesource.com/platform/cts/+/03553b723b72a878d90bbf9010108bdc997821c1", "03553b723b72a878d90bbf9010108bdc997821c1")</f>
        <v>0</v>
      </c>
      <c r="D37501" t="s">
        <v>5271</v>
      </c>
      <c r="E37501" t="s">
        <v>8949</v>
      </c>
      <c r="F37501" t="s">
        <v>13928</v>
      </c>
      <c r="G37501" t="s">
        <v>17964</v>
      </c>
      <c r="H37501" t="s">
        <v>34105</v>
      </c>
    </row>
    <row r="37502" spans="1:8">
      <c r="H37502" t="s">
        <v>34106</v>
      </c>
    </row>
    <row r="37503" spans="1:8">
      <c r="H37503" t="s">
        <v>34107</v>
      </c>
    </row>
    <row r="37504" spans="1:8">
      <c r="H37504" t="s">
        <v>31669</v>
      </c>
    </row>
    <row r="37505" spans="1:8">
      <c r="H37505" t="s">
        <v>34108</v>
      </c>
    </row>
    <row r="37506" spans="1:8">
      <c r="H37506" t="s">
        <v>34109</v>
      </c>
    </row>
    <row r="37507" spans="1:8">
      <c r="A37507" t="s">
        <v>3235</v>
      </c>
      <c r="B37507">
        <f>HYPERLINK("https://android.googlesource.com/platform/cts/+/5197494f6bfedb1d2d1ed60e7b41dab1177d0922", "5197494f6bfedb1d2d1ed60e7b41dab1177d0922")</f>
        <v>0</v>
      </c>
      <c r="C37507">
        <f>HYPERLINK("https://android.googlesource.com/platform/cts/+/b04678d72a6145a2dd25437d2ea8d4acb1982e0d", "b04678d72a6145a2dd25437d2ea8d4acb1982e0d")</f>
        <v>0</v>
      </c>
      <c r="D37507" t="s">
        <v>5108</v>
      </c>
      <c r="E37507" t="s">
        <v>8950</v>
      </c>
      <c r="F37507" t="s">
        <v>14221</v>
      </c>
      <c r="G37507" t="s">
        <v>18194</v>
      </c>
      <c r="H37507" t="s">
        <v>18829</v>
      </c>
    </row>
    <row r="37508" spans="1:8">
      <c r="H37508" t="s">
        <v>18863</v>
      </c>
    </row>
    <row r="37509" spans="1:8">
      <c r="H37509" t="s">
        <v>31746</v>
      </c>
    </row>
    <row r="37510" spans="1:8">
      <c r="F37510" t="s">
        <v>12743</v>
      </c>
      <c r="G37510" t="s">
        <v>16935</v>
      </c>
      <c r="H37510" t="s">
        <v>34110</v>
      </c>
    </row>
    <row r="37511" spans="1:8">
      <c r="A37511" t="s">
        <v>3236</v>
      </c>
      <c r="B37511">
        <f>HYPERLINK("https://android.googlesource.com/platform/cts/+/0f5ac24098056e0391db0cc244e25440948574f2", "0f5ac24098056e0391db0cc244e25440948574f2")</f>
        <v>0</v>
      </c>
      <c r="C37511">
        <f>HYPERLINK("https://android.googlesource.com/platform/cts/+/c05b74c3235be123060485cf2df4121faec2e355", "c05b74c3235be123060485cf2df4121faec2e355")</f>
        <v>0</v>
      </c>
      <c r="D37511" t="s">
        <v>5526</v>
      </c>
      <c r="E37511" t="s">
        <v>8951</v>
      </c>
      <c r="F37511" t="s">
        <v>13227</v>
      </c>
      <c r="G37511" t="s">
        <v>17368</v>
      </c>
      <c r="H37511" t="s">
        <v>34111</v>
      </c>
    </row>
    <row r="37512" spans="1:8">
      <c r="H37512" t="s">
        <v>34112</v>
      </c>
    </row>
    <row r="37513" spans="1:8">
      <c r="H37513" t="s">
        <v>34113</v>
      </c>
    </row>
    <row r="37514" spans="1:8">
      <c r="H37514" t="s">
        <v>29749</v>
      </c>
    </row>
    <row r="37515" spans="1:8">
      <c r="H37515" t="s">
        <v>34114</v>
      </c>
    </row>
    <row r="37516" spans="1:8">
      <c r="H37516" t="s">
        <v>34115</v>
      </c>
    </row>
    <row r="37517" spans="1:8">
      <c r="H37517" t="s">
        <v>34116</v>
      </c>
    </row>
    <row r="37518" spans="1:8">
      <c r="H37518" t="s">
        <v>34117</v>
      </c>
    </row>
    <row r="37519" spans="1:8">
      <c r="A37519" t="s">
        <v>3237</v>
      </c>
      <c r="B37519">
        <f>HYPERLINK("https://android.googlesource.com/platform/cts/+/e19a04da9d2ff0993af8884888bb4a327c546098", "e19a04da9d2ff0993af8884888bb4a327c546098")</f>
        <v>0</v>
      </c>
      <c r="C37519">
        <f>HYPERLINK("https://android.googlesource.com/platform/cts/+/0ef85ff5a391fe81fb7d06959566d869f805f8b5", "0ef85ff5a391fe81fb7d06959566d869f805f8b5")</f>
        <v>0</v>
      </c>
      <c r="D37519" t="s">
        <v>5271</v>
      </c>
      <c r="E37519" t="s">
        <v>8952</v>
      </c>
      <c r="F37519" t="s">
        <v>14222</v>
      </c>
      <c r="G37519" t="s">
        <v>18195</v>
      </c>
      <c r="H37519" t="s">
        <v>34118</v>
      </c>
    </row>
    <row r="37520" spans="1:8">
      <c r="A37520" t="s">
        <v>3238</v>
      </c>
      <c r="B37520">
        <f>HYPERLINK("https://android.googlesource.com/platform/cts/+/2e94b5aebb8462b1143cefccbb29138860eeb276", "2e94b5aebb8462b1143cefccbb29138860eeb276")</f>
        <v>0</v>
      </c>
      <c r="C37520">
        <f>HYPERLINK("https://android.googlesource.com/platform/cts/+/b504fec6e151aebf1c14fbf642d7d37741f98da5", "b504fec6e151aebf1c14fbf642d7d37741f98da5")</f>
        <v>0</v>
      </c>
      <c r="D37520" t="s">
        <v>5478</v>
      </c>
      <c r="E37520" t="s">
        <v>8953</v>
      </c>
      <c r="F37520" t="s">
        <v>13333</v>
      </c>
      <c r="G37520" t="s">
        <v>17463</v>
      </c>
      <c r="H37520" t="s">
        <v>34119</v>
      </c>
    </row>
    <row r="37521" spans="1:8">
      <c r="F37521" t="s">
        <v>12232</v>
      </c>
      <c r="G37521" t="s">
        <v>16462</v>
      </c>
      <c r="H37521" t="s">
        <v>34120</v>
      </c>
    </row>
    <row r="37522" spans="1:8">
      <c r="F37522" t="s">
        <v>14103</v>
      </c>
      <c r="G37522" t="s">
        <v>18096</v>
      </c>
      <c r="H37522" t="s">
        <v>34119</v>
      </c>
    </row>
    <row r="37523" spans="1:8">
      <c r="F37523" t="s">
        <v>14104</v>
      </c>
      <c r="G37523" t="s">
        <v>18097</v>
      </c>
      <c r="H37523" t="s">
        <v>34119</v>
      </c>
    </row>
    <row r="37524" spans="1:8">
      <c r="F37524" t="s">
        <v>14105</v>
      </c>
      <c r="G37524" t="s">
        <v>18098</v>
      </c>
      <c r="H37524" t="s">
        <v>34119</v>
      </c>
    </row>
    <row r="37525" spans="1:8">
      <c r="A37525" t="s">
        <v>3239</v>
      </c>
      <c r="B37525">
        <f>HYPERLINK("https://android.googlesource.com/platform/cts/+/276939443254c3504c0ded22cfde9b8044ae9577", "276939443254c3504c0ded22cfde9b8044ae9577")</f>
        <v>0</v>
      </c>
      <c r="C37525">
        <f>HYPERLINK("https://android.googlesource.com/platform/cts/+/f9e5832511aa4c940f88bd5df61ee3571a545a97", "f9e5832511aa4c940f88bd5df61ee3571a545a97")</f>
        <v>0</v>
      </c>
      <c r="D37525" t="s">
        <v>5271</v>
      </c>
      <c r="E37525" t="s">
        <v>8954</v>
      </c>
      <c r="F37525" t="s">
        <v>13928</v>
      </c>
      <c r="G37525" t="s">
        <v>17964</v>
      </c>
      <c r="H37525" t="s">
        <v>34105</v>
      </c>
    </row>
    <row r="37526" spans="1:8">
      <c r="H37526" t="s">
        <v>34106</v>
      </c>
    </row>
    <row r="37527" spans="1:8">
      <c r="H37527" t="s">
        <v>34107</v>
      </c>
    </row>
    <row r="37528" spans="1:8">
      <c r="H37528" t="s">
        <v>31669</v>
      </c>
    </row>
    <row r="37529" spans="1:8">
      <c r="H37529" t="s">
        <v>34108</v>
      </c>
    </row>
    <row r="37530" spans="1:8">
      <c r="H37530" t="s">
        <v>34109</v>
      </c>
    </row>
    <row r="37531" spans="1:8">
      <c r="A37531" t="s">
        <v>3240</v>
      </c>
      <c r="B37531">
        <f>HYPERLINK("https://android.googlesource.com/platform/cts/+/443f5d465114daa7e1c6b999e3e5507b6c93b009", "443f5d465114daa7e1c6b999e3e5507b6c93b009")</f>
        <v>0</v>
      </c>
      <c r="C37531">
        <f>HYPERLINK("https://android.googlesource.com/platform/cts/+/c6fdba89213ed37b3e067d637a0feb1927b2d4ce", "c6fdba89213ed37b3e067d637a0feb1927b2d4ce")</f>
        <v>0</v>
      </c>
      <c r="D37531" t="s">
        <v>5271</v>
      </c>
      <c r="E37531" t="s">
        <v>8955</v>
      </c>
      <c r="F37531" t="s">
        <v>14222</v>
      </c>
      <c r="G37531" t="s">
        <v>18195</v>
      </c>
      <c r="H37531" t="s">
        <v>34118</v>
      </c>
    </row>
    <row r="37532" spans="1:8">
      <c r="A37532" t="s">
        <v>3241</v>
      </c>
      <c r="B37532">
        <f>HYPERLINK("https://android.googlesource.com/platform/cts/+/c20af566d1cf995469cef87b3c74f000a3fb8f7a", "c20af566d1cf995469cef87b3c74f000a3fb8f7a")</f>
        <v>0</v>
      </c>
      <c r="C37532">
        <f>HYPERLINK("https://android.googlesource.com/platform/cts/+/dade1ce0207859d7bcb92d13df671bbfcb16c392", "dade1ce0207859d7bcb92d13df671bbfcb16c392")</f>
        <v>0</v>
      </c>
      <c r="D37532" t="s">
        <v>5481</v>
      </c>
      <c r="E37532" t="s">
        <v>8956</v>
      </c>
      <c r="F37532" t="s">
        <v>14217</v>
      </c>
      <c r="G37532" t="s">
        <v>18190</v>
      </c>
      <c r="H37532" t="s">
        <v>18829</v>
      </c>
    </row>
    <row r="37533" spans="1:8">
      <c r="H37533" t="s">
        <v>19982</v>
      </c>
    </row>
    <row r="37534" spans="1:8">
      <c r="H37534" t="s">
        <v>34121</v>
      </c>
    </row>
    <row r="37535" spans="1:8">
      <c r="H37535" t="s">
        <v>34122</v>
      </c>
    </row>
    <row r="37536" spans="1:8">
      <c r="H37536" t="s">
        <v>34123</v>
      </c>
    </row>
    <row r="37537" spans="1:8">
      <c r="H37537" t="s">
        <v>34124</v>
      </c>
    </row>
    <row r="37538" spans="1:8">
      <c r="H37538" t="s">
        <v>34125</v>
      </c>
    </row>
    <row r="37539" spans="1:8">
      <c r="H37539" t="s">
        <v>34126</v>
      </c>
    </row>
    <row r="37540" spans="1:8">
      <c r="H37540" t="s">
        <v>34127</v>
      </c>
    </row>
    <row r="37541" spans="1:8">
      <c r="H37541" t="s">
        <v>34128</v>
      </c>
    </row>
    <row r="37542" spans="1:8">
      <c r="H37542" t="s">
        <v>34129</v>
      </c>
    </row>
    <row r="37543" spans="1:8">
      <c r="H37543" t="s">
        <v>34130</v>
      </c>
    </row>
    <row r="37544" spans="1:8">
      <c r="A37544" t="s">
        <v>3242</v>
      </c>
      <c r="B37544">
        <f>HYPERLINK("https://android.googlesource.com/platform/cts/+/6e0254906b8cd1e296efb1dfaa76c48d78cbf35a", "6e0254906b8cd1e296efb1dfaa76c48d78cbf35a")</f>
        <v>0</v>
      </c>
      <c r="C37544">
        <f>HYPERLINK("https://android.googlesource.com/platform/cts/+/f9e5832511aa4c940f88bd5df61ee3571a545a97", "f9e5832511aa4c940f88bd5df61ee3571a545a97")</f>
        <v>0</v>
      </c>
      <c r="D37544" t="s">
        <v>5535</v>
      </c>
      <c r="E37544" t="s">
        <v>8957</v>
      </c>
      <c r="F37544" t="s">
        <v>14223</v>
      </c>
      <c r="G37544" t="s">
        <v>18196</v>
      </c>
      <c r="H37544" t="s">
        <v>34131</v>
      </c>
    </row>
    <row r="37545" spans="1:8">
      <c r="A37545" t="s">
        <v>3243</v>
      </c>
      <c r="B37545">
        <f>HYPERLINK("https://android.googlesource.com/platform/cts/+/da08a3e90af5a988cc4a4c83064b173270b2ce67", "da08a3e90af5a988cc4a4c83064b173270b2ce67")</f>
        <v>0</v>
      </c>
      <c r="C37545">
        <f>HYPERLINK("https://android.googlesource.com/platform/cts/+/92edd3c687e284bee408f128bbc91d1456d5a65d", "92edd3c687e284bee408f128bbc91d1456d5a65d")</f>
        <v>0</v>
      </c>
      <c r="D37545" t="s">
        <v>5429</v>
      </c>
      <c r="E37545" t="s">
        <v>8958</v>
      </c>
      <c r="F37545" t="s">
        <v>14224</v>
      </c>
      <c r="G37545" t="s">
        <v>18197</v>
      </c>
      <c r="H37545" t="s">
        <v>18829</v>
      </c>
    </row>
    <row r="37546" spans="1:8">
      <c r="A37546" t="s">
        <v>3244</v>
      </c>
      <c r="B37546">
        <f>HYPERLINK("https://android.googlesource.com/platform/cts/+/85df0868e65840adbb98dce68197d94ca5fae97f", "85df0868e65840adbb98dce68197d94ca5fae97f")</f>
        <v>0</v>
      </c>
      <c r="C37546">
        <f>HYPERLINK("https://android.googlesource.com/platform/cts/+/d8f1c821104ad894b9e1b3e85784a88b0169a851", "d8f1c821104ad894b9e1b3e85784a88b0169a851")</f>
        <v>0</v>
      </c>
      <c r="D37546" t="s">
        <v>5096</v>
      </c>
      <c r="E37546" t="s">
        <v>8959</v>
      </c>
      <c r="F37546" t="s">
        <v>14134</v>
      </c>
      <c r="G37546" t="s">
        <v>16863</v>
      </c>
      <c r="H37546" t="s">
        <v>33618</v>
      </c>
    </row>
    <row r="37547" spans="1:8">
      <c r="A37547" t="s">
        <v>3245</v>
      </c>
      <c r="B37547">
        <f>HYPERLINK("https://android.googlesource.com/platform/cts/+/f8fead4518047c9767d6cadce561026e4ec2ceb7", "f8fead4518047c9767d6cadce561026e4ec2ceb7")</f>
        <v>0</v>
      </c>
      <c r="C37547">
        <f>HYPERLINK("https://android.googlesource.com/platform/cts/+/d9f9f93f405eb836c6ed570d5d03c7c968ada2a5", "d9f9f93f405eb836c6ed570d5d03c7c968ada2a5")</f>
        <v>0</v>
      </c>
      <c r="D37547" t="s">
        <v>5536</v>
      </c>
      <c r="E37547" t="s">
        <v>8960</v>
      </c>
      <c r="F37547" t="s">
        <v>14225</v>
      </c>
      <c r="G37547" t="s">
        <v>15691</v>
      </c>
      <c r="H37547" t="s">
        <v>34132</v>
      </c>
    </row>
    <row r="37548" spans="1:8">
      <c r="A37548" t="s">
        <v>3246</v>
      </c>
      <c r="B37548">
        <f>HYPERLINK("https://android.googlesource.com/platform/cts/+/6e72bbb2fcc969f888b1fffb05794cb05fd032bb", "6e72bbb2fcc969f888b1fffb05794cb05fd032bb")</f>
        <v>0</v>
      </c>
      <c r="C37548">
        <f>HYPERLINK("https://android.googlesource.com/platform/cts/+/4e615d0683588ee85409b93d1f5d37dd51bbbec1", "4e615d0683588ee85409b93d1f5d37dd51bbbec1")</f>
        <v>0</v>
      </c>
      <c r="D37548" t="s">
        <v>5195</v>
      </c>
      <c r="E37548" t="s">
        <v>8920</v>
      </c>
      <c r="F37548" t="s">
        <v>14215</v>
      </c>
      <c r="G37548" t="s">
        <v>18189</v>
      </c>
      <c r="H37548" t="s">
        <v>34075</v>
      </c>
    </row>
    <row r="37549" spans="1:8">
      <c r="A37549" t="s">
        <v>3247</v>
      </c>
      <c r="B37549">
        <f>HYPERLINK("https://android.googlesource.com/platform/cts/+/16a1d099f104cf9f808c7925dd3251c2cc806a22", "16a1d099f104cf9f808c7925dd3251c2cc806a22")</f>
        <v>0</v>
      </c>
      <c r="C37549">
        <f>HYPERLINK("https://android.googlesource.com/platform/cts/+/3efeb79582d9555e8c9e9f286c17bd405d4cd159", "3efeb79582d9555e8c9e9f286c17bd405d4cd159")</f>
        <v>0</v>
      </c>
      <c r="D37549" t="s">
        <v>5342</v>
      </c>
      <c r="E37549" t="s">
        <v>8961</v>
      </c>
      <c r="F37549" t="s">
        <v>12419</v>
      </c>
      <c r="G37549" t="s">
        <v>16641</v>
      </c>
      <c r="H37549" t="s">
        <v>34133</v>
      </c>
    </row>
    <row r="37550" spans="1:8">
      <c r="A37550" t="s">
        <v>3248</v>
      </c>
      <c r="B37550">
        <f>HYPERLINK("https://android.googlesource.com/platform/cts/+/aebd69814cf2cd71ed8a85d8bd1ba270d4588d7c", "aebd69814cf2cd71ed8a85d8bd1ba270d4588d7c")</f>
        <v>0</v>
      </c>
      <c r="C37550">
        <f>HYPERLINK("https://android.googlesource.com/platform/cts/+/89a5bba7ca54f7bf286030707333a91868783ed0", "89a5bba7ca54f7bf286030707333a91868783ed0")</f>
        <v>0</v>
      </c>
      <c r="D37550" t="s">
        <v>5272</v>
      </c>
      <c r="E37550" t="s">
        <v>8962</v>
      </c>
      <c r="F37550" t="s">
        <v>13398</v>
      </c>
      <c r="G37550" t="s">
        <v>17524</v>
      </c>
      <c r="H37550" t="s">
        <v>34134</v>
      </c>
    </row>
    <row r="37551" spans="1:8">
      <c r="A37551" t="s">
        <v>3249</v>
      </c>
      <c r="B37551">
        <f>HYPERLINK("https://android.googlesource.com/platform/cts/+/5fdff1d80882cc4c8b3e7fcd4882d9c81c222882", "5fdff1d80882cc4c8b3e7fcd4882d9c81c222882")</f>
        <v>0</v>
      </c>
      <c r="C37551">
        <f>HYPERLINK("https://android.googlesource.com/platform/cts/+/da5f3c62b1643cac3a35307f15c7aef74f937fea", "da5f3c62b1643cac3a35307f15c7aef74f937fea")</f>
        <v>0</v>
      </c>
      <c r="D37551" t="s">
        <v>5463</v>
      </c>
      <c r="E37551" t="s">
        <v>8963</v>
      </c>
      <c r="F37551" t="s">
        <v>12166</v>
      </c>
      <c r="G37551" t="s">
        <v>16406</v>
      </c>
      <c r="H37551" t="s">
        <v>34135</v>
      </c>
    </row>
    <row r="37552" spans="1:8">
      <c r="H37552" t="s">
        <v>34136</v>
      </c>
    </row>
    <row r="37553" spans="1:8">
      <c r="A37553" t="s">
        <v>3250</v>
      </c>
      <c r="B37553">
        <f>HYPERLINK("https://android.googlesource.com/platform/cts/+/a31cfcb5cd98c2d1ac67dec1998a396d11b6c325", "a31cfcb5cd98c2d1ac67dec1998a396d11b6c325")</f>
        <v>0</v>
      </c>
      <c r="C37553">
        <f>HYPERLINK("https://android.googlesource.com/platform/cts/+/5c291cbbd4a9f1577600ec74d4c957d0b9e619b6", "5c291cbbd4a9f1577600ec74d4c957d0b9e619b6")</f>
        <v>0</v>
      </c>
      <c r="D37553" t="s">
        <v>5537</v>
      </c>
      <c r="E37553" t="s">
        <v>8964</v>
      </c>
      <c r="F37553" t="s">
        <v>10691</v>
      </c>
      <c r="G37553" t="s">
        <v>15091</v>
      </c>
      <c r="H37553" t="s">
        <v>34137</v>
      </c>
    </row>
    <row r="37554" spans="1:8">
      <c r="A37554" t="s">
        <v>3251</v>
      </c>
      <c r="B37554">
        <f>HYPERLINK("https://android.googlesource.com/platform/cts/+/a863af090f3358a8c6d68a1d24b8ae7ff4c542b9", "a863af090f3358a8c6d68a1d24b8ae7ff4c542b9")</f>
        <v>0</v>
      </c>
      <c r="C37554">
        <f>HYPERLINK("https://android.googlesource.com/platform/cts/+/acdf727fc1dbd06cbdb82aba88d7fa502587f189", "acdf727fc1dbd06cbdb82aba88d7fa502587f189")</f>
        <v>0</v>
      </c>
      <c r="D37554" t="s">
        <v>5513</v>
      </c>
      <c r="E37554" t="s">
        <v>8965</v>
      </c>
      <c r="F37554" t="s">
        <v>14214</v>
      </c>
      <c r="G37554" t="s">
        <v>18188</v>
      </c>
      <c r="H37554" t="s">
        <v>34138</v>
      </c>
    </row>
    <row r="37555" spans="1:8">
      <c r="A37555" t="s">
        <v>3252</v>
      </c>
      <c r="B37555">
        <f>HYPERLINK("https://android.googlesource.com/platform/cts/+/db7a85b4389bfedecd728ea6c00e5c9a3eda4aad", "db7a85b4389bfedecd728ea6c00e5c9a3eda4aad")</f>
        <v>0</v>
      </c>
      <c r="C37555">
        <f>HYPERLINK("https://android.googlesource.com/platform/cts/+/f17f9dd519e8424956c52e02a856100e885f9f48", "f17f9dd519e8424956c52e02a856100e885f9f48")</f>
        <v>0</v>
      </c>
      <c r="D37555" t="s">
        <v>4963</v>
      </c>
      <c r="E37555" t="s">
        <v>8966</v>
      </c>
      <c r="F37555" t="s">
        <v>14226</v>
      </c>
      <c r="G37555" t="s">
        <v>18198</v>
      </c>
      <c r="H37555" t="s">
        <v>34139</v>
      </c>
    </row>
    <row r="37556" spans="1:8">
      <c r="A37556" t="s">
        <v>3253</v>
      </c>
      <c r="B37556">
        <f>HYPERLINK("https://android.googlesource.com/platform/cts/+/b305b705adb11c8ac7261cd87043592b6cb30150", "b305b705adb11c8ac7261cd87043592b6cb30150")</f>
        <v>0</v>
      </c>
      <c r="C37556">
        <f>HYPERLINK("https://android.googlesource.com/platform/cts/+/182a41ecb27712ade5e60113c561067e58aa83eb", "182a41ecb27712ade5e60113c561067e58aa83eb")</f>
        <v>0</v>
      </c>
      <c r="D37556" t="s">
        <v>5134</v>
      </c>
      <c r="E37556" t="s">
        <v>8967</v>
      </c>
      <c r="F37556" t="s">
        <v>13703</v>
      </c>
      <c r="G37556" t="s">
        <v>17771</v>
      </c>
      <c r="H37556" t="s">
        <v>33999</v>
      </c>
    </row>
    <row r="37557" spans="1:8">
      <c r="H37557" t="s">
        <v>34000</v>
      </c>
    </row>
    <row r="37558" spans="1:8">
      <c r="A37558" t="s">
        <v>3254</v>
      </c>
      <c r="B37558">
        <f>HYPERLINK("https://android.googlesource.com/platform/cts/+/c9e9a2b27d188ca4d9e800cdeecfee675da1ff4a", "c9e9a2b27d188ca4d9e800cdeecfee675da1ff4a")</f>
        <v>0</v>
      </c>
      <c r="C37558">
        <f>HYPERLINK("https://android.googlesource.com/platform/cts/+/2a3e73df0397a66a77ac1310c5df5754eb71b46e", "2a3e73df0397a66a77ac1310c5df5754eb71b46e")</f>
        <v>0</v>
      </c>
      <c r="D37558" t="s">
        <v>5513</v>
      </c>
      <c r="E37558" t="s">
        <v>8968</v>
      </c>
      <c r="F37558" t="s">
        <v>14214</v>
      </c>
      <c r="G37558" t="s">
        <v>18188</v>
      </c>
      <c r="H37558" t="s">
        <v>34138</v>
      </c>
    </row>
    <row r="37559" spans="1:8">
      <c r="A37559" t="s">
        <v>3255</v>
      </c>
      <c r="B37559">
        <f>HYPERLINK("https://android.googlesource.com/platform/cts/+/603cbfa60bbbf6d0bd12b1a78ff08ad98435ae7a", "603cbfa60bbbf6d0bd12b1a78ff08ad98435ae7a")</f>
        <v>0</v>
      </c>
      <c r="C37559">
        <f>HYPERLINK("https://android.googlesource.com/platform/cts/+/635d0ffd86736bbbc0544da47bb6d92b77cfa7c3", "635d0ffd86736bbbc0544da47bb6d92b77cfa7c3")</f>
        <v>0</v>
      </c>
      <c r="D37559" t="s">
        <v>5537</v>
      </c>
      <c r="E37559" t="s">
        <v>8969</v>
      </c>
      <c r="F37559" t="s">
        <v>10691</v>
      </c>
      <c r="G37559" t="s">
        <v>15091</v>
      </c>
      <c r="H37559" t="s">
        <v>34137</v>
      </c>
    </row>
    <row r="37560" spans="1:8">
      <c r="A37560" t="s">
        <v>3256</v>
      </c>
      <c r="B37560">
        <f>HYPERLINK("https://android.googlesource.com/platform/cts/+/dd982c4778d1ff438720e69e9b444ca06321b8af", "dd982c4778d1ff438720e69e9b444ca06321b8af")</f>
        <v>0</v>
      </c>
      <c r="C37560">
        <f>HYPERLINK("https://android.googlesource.com/platform/cts/+/4477aae861eaef3442a796480d82cd0e3b27344a", "4477aae861eaef3442a796480d82cd0e3b27344a")</f>
        <v>0</v>
      </c>
      <c r="D37560" t="s">
        <v>5538</v>
      </c>
      <c r="E37560" t="s">
        <v>8914</v>
      </c>
      <c r="F37560" t="s">
        <v>13678</v>
      </c>
      <c r="G37560" t="s">
        <v>17748</v>
      </c>
      <c r="H37560" t="s">
        <v>34053</v>
      </c>
    </row>
    <row r="37561" spans="1:8">
      <c r="F37561" t="s">
        <v>13747</v>
      </c>
      <c r="G37561" t="s">
        <v>17807</v>
      </c>
      <c r="H37561" t="s">
        <v>34054</v>
      </c>
    </row>
    <row r="37562" spans="1:8">
      <c r="A37562" t="s">
        <v>3257</v>
      </c>
      <c r="B37562">
        <f>HYPERLINK("https://android.googlesource.com/platform/cts/+/620ec9543fcc2e07953f099a4f63581c9c00816c", "620ec9543fcc2e07953f099a4f63581c9c00816c")</f>
        <v>0</v>
      </c>
      <c r="C37562">
        <f>HYPERLINK("https://android.googlesource.com/platform/cts/+/fdab0241b8a0444b9d5c1eddd73438cd7c2af667", "fdab0241b8a0444b9d5c1eddd73438cd7c2af667")</f>
        <v>0</v>
      </c>
      <c r="D37562" t="s">
        <v>5338</v>
      </c>
      <c r="E37562" t="s">
        <v>8970</v>
      </c>
      <c r="F37562" t="s">
        <v>14227</v>
      </c>
      <c r="G37562" t="s">
        <v>18199</v>
      </c>
      <c r="H37562" t="s">
        <v>34140</v>
      </c>
    </row>
    <row r="37563" spans="1:8">
      <c r="A37563" t="s">
        <v>3258</v>
      </c>
      <c r="B37563">
        <f>HYPERLINK("https://android.googlesource.com/platform/cts/+/0e89756ca48bde9538f6609658289d832667bc27", "0e89756ca48bde9538f6609658289d832667bc27")</f>
        <v>0</v>
      </c>
      <c r="C37563">
        <f>HYPERLINK("https://android.googlesource.com/platform/cts/+/dfc82330313cb711c607dc63e02e9f95c021e0fa", "dfc82330313cb711c607dc63e02e9f95c021e0fa")</f>
        <v>0</v>
      </c>
      <c r="D37563" t="s">
        <v>5478</v>
      </c>
      <c r="E37563" t="s">
        <v>8971</v>
      </c>
      <c r="F37563" t="s">
        <v>14228</v>
      </c>
      <c r="G37563" t="s">
        <v>18200</v>
      </c>
      <c r="H37563" t="s">
        <v>34141</v>
      </c>
    </row>
    <row r="37564" spans="1:8">
      <c r="F37564" t="s">
        <v>14229</v>
      </c>
      <c r="G37564" t="s">
        <v>18201</v>
      </c>
      <c r="H37564" t="s">
        <v>34141</v>
      </c>
    </row>
    <row r="37565" spans="1:8">
      <c r="A37565" t="s">
        <v>3259</v>
      </c>
      <c r="B37565">
        <f>HYPERLINK("https://android.googlesource.com/platform/cts/+/c0ce6574df7f69ef2edb923fc5ec0af4fb9266c9", "c0ce6574df7f69ef2edb923fc5ec0af4fb9266c9")</f>
        <v>0</v>
      </c>
      <c r="C37565">
        <f>HYPERLINK("https://android.googlesource.com/platform/cts/+/75b9a8634f166e9aa3bd3ea35d87738d71b999fb", "75b9a8634f166e9aa3bd3ea35d87738d71b999fb")</f>
        <v>0</v>
      </c>
      <c r="D37565" t="s">
        <v>5416</v>
      </c>
      <c r="E37565" t="s">
        <v>8972</v>
      </c>
      <c r="F37565" t="s">
        <v>13502</v>
      </c>
      <c r="G37565" t="s">
        <v>17620</v>
      </c>
      <c r="H37565" t="s">
        <v>18829</v>
      </c>
    </row>
    <row r="37566" spans="1:8">
      <c r="H37566" t="s">
        <v>34142</v>
      </c>
    </row>
    <row r="37567" spans="1:8">
      <c r="H37567" t="s">
        <v>34143</v>
      </c>
    </row>
    <row r="37568" spans="1:8">
      <c r="H37568" t="s">
        <v>34144</v>
      </c>
    </row>
    <row r="37569" spans="1:8">
      <c r="H37569" t="s">
        <v>34145</v>
      </c>
    </row>
    <row r="37570" spans="1:8">
      <c r="H37570" t="s">
        <v>34146</v>
      </c>
    </row>
    <row r="37571" spans="1:8">
      <c r="A37571" t="s">
        <v>3260</v>
      </c>
      <c r="B37571">
        <f>HYPERLINK("https://android.googlesource.com/platform/cts/+/eaad5e660303cce8eb334f09ecde5a2fb12f4db2", "eaad5e660303cce8eb334f09ecde5a2fb12f4db2")</f>
        <v>0</v>
      </c>
      <c r="C37571">
        <f>HYPERLINK("https://android.googlesource.com/platform/cts/+/357d7bc5725a9bdedea64d9c364c3c4f4dacc22c", "357d7bc5725a9bdedea64d9c364c3c4f4dacc22c")</f>
        <v>0</v>
      </c>
      <c r="D37571" t="s">
        <v>5447</v>
      </c>
      <c r="E37571" t="s">
        <v>8973</v>
      </c>
      <c r="F37571" t="s">
        <v>12844</v>
      </c>
      <c r="G37571" t="s">
        <v>17016</v>
      </c>
      <c r="H37571" t="s">
        <v>34147</v>
      </c>
    </row>
    <row r="37572" spans="1:8">
      <c r="H37572" t="s">
        <v>34148</v>
      </c>
    </row>
    <row r="37573" spans="1:8">
      <c r="A37573" t="s">
        <v>3261</v>
      </c>
      <c r="B37573">
        <f>HYPERLINK("https://android.googlesource.com/platform/cts/+/6d2ffafc88fc11eca19cd45e7c867427eb9917eb", "6d2ffafc88fc11eca19cd45e7c867427eb9917eb")</f>
        <v>0</v>
      </c>
      <c r="C37573">
        <f>HYPERLINK("https://android.googlesource.com/platform/cts/+/53396d44091d0d9894ad239c84427732e67aefc3", "53396d44091d0d9894ad239c84427732e67aefc3")</f>
        <v>0</v>
      </c>
      <c r="D37573" t="s">
        <v>5326</v>
      </c>
      <c r="E37573" t="s">
        <v>8974</v>
      </c>
      <c r="F37573" t="s">
        <v>14216</v>
      </c>
      <c r="G37573" t="s">
        <v>16863</v>
      </c>
      <c r="H37573" t="s">
        <v>32338</v>
      </c>
    </row>
    <row r="37574" spans="1:8">
      <c r="A37574" t="s">
        <v>3262</v>
      </c>
      <c r="B37574">
        <f>HYPERLINK("https://android.googlesource.com/platform/cts/+/0b3382a1e134746074f3afc2593039a38c41ab12", "0b3382a1e134746074f3afc2593039a38c41ab12")</f>
        <v>0</v>
      </c>
      <c r="C37574">
        <f>HYPERLINK("https://android.googlesource.com/platform/cts/+/41959ad743b2803898713da1e2d0a3e40ece7520", "41959ad743b2803898713da1e2d0a3e40ece7520")</f>
        <v>0</v>
      </c>
      <c r="D37574" t="s">
        <v>5177</v>
      </c>
      <c r="E37574" t="s">
        <v>8975</v>
      </c>
      <c r="F37574" t="s">
        <v>14230</v>
      </c>
      <c r="G37574" t="s">
        <v>18202</v>
      </c>
      <c r="H37574" t="s">
        <v>34149</v>
      </c>
    </row>
    <row r="37575" spans="1:8">
      <c r="H37575" t="s">
        <v>34150</v>
      </c>
    </row>
    <row r="37576" spans="1:8">
      <c r="H37576" t="s">
        <v>34151</v>
      </c>
    </row>
    <row r="37577" spans="1:8">
      <c r="H37577" t="s">
        <v>34152</v>
      </c>
    </row>
    <row r="37578" spans="1:8">
      <c r="H37578" t="s">
        <v>27195</v>
      </c>
    </row>
    <row r="37579" spans="1:8">
      <c r="H37579" t="s">
        <v>31403</v>
      </c>
    </row>
    <row r="37580" spans="1:8">
      <c r="H37580" t="s">
        <v>25704</v>
      </c>
    </row>
    <row r="37581" spans="1:8">
      <c r="H37581" t="s">
        <v>34153</v>
      </c>
    </row>
    <row r="37582" spans="1:8">
      <c r="H37582" t="s">
        <v>34153</v>
      </c>
    </row>
    <row r="37583" spans="1:8">
      <c r="H37583" t="s">
        <v>32296</v>
      </c>
    </row>
    <row r="37584" spans="1:8">
      <c r="H37584" t="s">
        <v>25704</v>
      </c>
    </row>
    <row r="37585" spans="1:8">
      <c r="H37585" t="s">
        <v>18853</v>
      </c>
    </row>
    <row r="37586" spans="1:8">
      <c r="H37586" t="s">
        <v>34154</v>
      </c>
    </row>
    <row r="37587" spans="1:8">
      <c r="H37587" t="s">
        <v>34155</v>
      </c>
    </row>
    <row r="37588" spans="1:8">
      <c r="H37588" t="s">
        <v>34156</v>
      </c>
    </row>
    <row r="37589" spans="1:8">
      <c r="H37589" t="s">
        <v>34157</v>
      </c>
    </row>
    <row r="37590" spans="1:8">
      <c r="A37590" t="s">
        <v>3263</v>
      </c>
      <c r="B37590">
        <f>HYPERLINK("https://android.googlesource.com/platform/cts/+/e8c5f3b7b7e26ce55869d3bdd147e5abe22451ed", "e8c5f3b7b7e26ce55869d3bdd147e5abe22451ed")</f>
        <v>0</v>
      </c>
      <c r="C37590">
        <f>HYPERLINK("https://android.googlesource.com/platform/cts/+/8f903fa80d270579309f77d438745ccd0b81339c", "8f903fa80d270579309f77d438745ccd0b81339c")</f>
        <v>0</v>
      </c>
      <c r="D37590" t="s">
        <v>5195</v>
      </c>
      <c r="E37590" t="s">
        <v>8976</v>
      </c>
      <c r="F37590" t="s">
        <v>13816</v>
      </c>
      <c r="G37590" t="s">
        <v>15089</v>
      </c>
      <c r="H37590" t="s">
        <v>34057</v>
      </c>
    </row>
    <row r="37591" spans="1:8">
      <c r="H37591" t="s">
        <v>34058</v>
      </c>
    </row>
    <row r="37592" spans="1:8">
      <c r="H37592" t="s">
        <v>34059</v>
      </c>
    </row>
    <row r="37593" spans="1:8">
      <c r="H37593" t="s">
        <v>34060</v>
      </c>
    </row>
    <row r="37594" spans="1:8">
      <c r="H37594" t="s">
        <v>34061</v>
      </c>
    </row>
    <row r="37595" spans="1:8">
      <c r="H37595" t="s">
        <v>34063</v>
      </c>
    </row>
    <row r="37596" spans="1:8">
      <c r="H37596" t="s">
        <v>34066</v>
      </c>
    </row>
    <row r="37597" spans="1:8">
      <c r="H37597" t="s">
        <v>34068</v>
      </c>
    </row>
    <row r="37598" spans="1:8">
      <c r="H37598" t="s">
        <v>34069</v>
      </c>
    </row>
    <row r="37599" spans="1:8">
      <c r="A37599" t="s">
        <v>3264</v>
      </c>
      <c r="B37599">
        <f>HYPERLINK("https://android.googlesource.com/platform/cts/+/9b02e0f6f48d1a07f635e54da4f98dd1a04d176c", "9b02e0f6f48d1a07f635e54da4f98dd1a04d176c")</f>
        <v>0</v>
      </c>
      <c r="C37599">
        <f>HYPERLINK("https://android.googlesource.com/platform/cts/+/903c413fd5f9513eda0eaceecd54a34463e24a5e", "903c413fd5f9513eda0eaceecd54a34463e24a5e")</f>
        <v>0</v>
      </c>
      <c r="D37599" t="s">
        <v>4976</v>
      </c>
      <c r="E37599" t="s">
        <v>8977</v>
      </c>
      <c r="F37599" t="s">
        <v>14230</v>
      </c>
      <c r="G37599" t="s">
        <v>18202</v>
      </c>
      <c r="H37599" t="s">
        <v>34158</v>
      </c>
    </row>
    <row r="37600" spans="1:8">
      <c r="H37600" t="s">
        <v>34158</v>
      </c>
    </row>
    <row r="37601" spans="8:8">
      <c r="H37601" t="s">
        <v>34149</v>
      </c>
    </row>
    <row r="37602" spans="8:8">
      <c r="H37602" t="s">
        <v>34150</v>
      </c>
    </row>
    <row r="37603" spans="8:8">
      <c r="H37603" t="s">
        <v>34151</v>
      </c>
    </row>
    <row r="37604" spans="8:8">
      <c r="H37604" t="s">
        <v>34152</v>
      </c>
    </row>
    <row r="37605" spans="8:8">
      <c r="H37605" t="s">
        <v>27195</v>
      </c>
    </row>
    <row r="37606" spans="8:8">
      <c r="H37606" t="s">
        <v>31403</v>
      </c>
    </row>
    <row r="37607" spans="8:8">
      <c r="H37607" t="s">
        <v>25704</v>
      </c>
    </row>
    <row r="37608" spans="8:8">
      <c r="H37608" t="s">
        <v>34153</v>
      </c>
    </row>
    <row r="37609" spans="8:8">
      <c r="H37609" t="s">
        <v>34153</v>
      </c>
    </row>
    <row r="37610" spans="8:8">
      <c r="H37610" t="s">
        <v>32296</v>
      </c>
    </row>
    <row r="37611" spans="8:8">
      <c r="H37611" t="s">
        <v>25704</v>
      </c>
    </row>
    <row r="37612" spans="8:8">
      <c r="H37612" t="s">
        <v>18853</v>
      </c>
    </row>
    <row r="37613" spans="8:8">
      <c r="H37613" t="s">
        <v>34154</v>
      </c>
    </row>
    <row r="37614" spans="8:8">
      <c r="H37614" t="s">
        <v>34155</v>
      </c>
    </row>
    <row r="37615" spans="8:8">
      <c r="H37615" t="s">
        <v>34156</v>
      </c>
    </row>
    <row r="37616" spans="8:8">
      <c r="H37616" t="s">
        <v>34157</v>
      </c>
    </row>
    <row r="37617" spans="1:8">
      <c r="A37617" t="s">
        <v>3265</v>
      </c>
      <c r="B37617">
        <f>HYPERLINK("https://android.googlesource.com/platform/cts/+/a8a90255d43845e307b6d133c710b802dbece622", "a8a90255d43845e307b6d133c710b802dbece622")</f>
        <v>0</v>
      </c>
      <c r="C37617">
        <f>HYPERLINK("https://android.googlesource.com/platform/cts/+/4c2a3f0d0f9dac9bea02d5a45901f89e24d6597c", "4c2a3f0d0f9dac9bea02d5a45901f89e24d6597c")</f>
        <v>0</v>
      </c>
      <c r="D37617" t="s">
        <v>5341</v>
      </c>
      <c r="E37617" t="s">
        <v>8978</v>
      </c>
      <c r="F37617" t="s">
        <v>13707</v>
      </c>
      <c r="G37617" t="s">
        <v>17775</v>
      </c>
      <c r="H37617" t="s">
        <v>31045</v>
      </c>
    </row>
    <row r="37618" spans="1:8">
      <c r="H37618" t="s">
        <v>34159</v>
      </c>
    </row>
    <row r="37619" spans="1:8">
      <c r="H37619" t="s">
        <v>34160</v>
      </c>
    </row>
    <row r="37620" spans="1:8">
      <c r="A37620" t="s">
        <v>3266</v>
      </c>
      <c r="B37620">
        <f>HYPERLINK("https://android.googlesource.com/platform/cts/+/b461df77cf8ba58562198967fac308bac77f6644", "b461df77cf8ba58562198967fac308bac77f6644")</f>
        <v>0</v>
      </c>
      <c r="C37620">
        <f>HYPERLINK("https://android.googlesource.com/platform/cts/+/761d30432b4b3b5e5b233140fa4d651cb0e89174", "761d30432b4b3b5e5b233140fa4d651cb0e89174")</f>
        <v>0</v>
      </c>
      <c r="D37620" t="s">
        <v>5415</v>
      </c>
      <c r="E37620" t="s">
        <v>8979</v>
      </c>
      <c r="F37620" t="s">
        <v>14231</v>
      </c>
      <c r="G37620" t="s">
        <v>17928</v>
      </c>
      <c r="H37620" t="s">
        <v>34161</v>
      </c>
    </row>
    <row r="37621" spans="1:8">
      <c r="A37621" t="s">
        <v>3267</v>
      </c>
      <c r="B37621">
        <f>HYPERLINK("https://android.googlesource.com/platform/cts/+/bd6ac252660c6b78999a9bf7113640496f630331", "bd6ac252660c6b78999a9bf7113640496f630331")</f>
        <v>0</v>
      </c>
      <c r="C37621">
        <f>HYPERLINK("https://android.googlesource.com/platform/cts/+/b510e6c9d6fc2885f9730e860f5fa25ea843ac9d", "b510e6c9d6fc2885f9730e860f5fa25ea843ac9d")</f>
        <v>0</v>
      </c>
      <c r="D37621" t="s">
        <v>5416</v>
      </c>
      <c r="E37621" t="s">
        <v>8980</v>
      </c>
      <c r="F37621" t="s">
        <v>13502</v>
      </c>
      <c r="G37621" t="s">
        <v>17620</v>
      </c>
      <c r="H37621" t="s">
        <v>33218</v>
      </c>
    </row>
    <row r="37622" spans="1:8">
      <c r="H37622" t="s">
        <v>21518</v>
      </c>
    </row>
    <row r="37623" spans="1:8">
      <c r="H37623" t="s">
        <v>34142</v>
      </c>
    </row>
    <row r="37624" spans="1:8">
      <c r="H37624" t="s">
        <v>34143</v>
      </c>
    </row>
    <row r="37625" spans="1:8">
      <c r="H37625" t="s">
        <v>34144</v>
      </c>
    </row>
    <row r="37626" spans="1:8">
      <c r="H37626" t="s">
        <v>34145</v>
      </c>
    </row>
    <row r="37627" spans="1:8">
      <c r="H37627" t="s">
        <v>34146</v>
      </c>
    </row>
    <row r="37628" spans="1:8">
      <c r="A37628" t="s">
        <v>3268</v>
      </c>
      <c r="B37628">
        <f>HYPERLINK("https://android.googlesource.com/platform/cts/+/cea8b19c53ee7724ffd1804971ec952f910970a6", "cea8b19c53ee7724ffd1804971ec952f910970a6")</f>
        <v>0</v>
      </c>
      <c r="C37628">
        <f>HYPERLINK("https://android.googlesource.com/platform/cts/+/1755cc13b3651b08ac6d2eb2215fd952dcb244bd", "1755cc13b3651b08ac6d2eb2215fd952dcb244bd")</f>
        <v>0</v>
      </c>
      <c r="D37628" t="s">
        <v>5416</v>
      </c>
      <c r="E37628" t="s">
        <v>8980</v>
      </c>
      <c r="F37628" t="s">
        <v>13502</v>
      </c>
      <c r="G37628" t="s">
        <v>17620</v>
      </c>
      <c r="H37628" t="s">
        <v>33218</v>
      </c>
    </row>
    <row r="37629" spans="1:8">
      <c r="H37629" t="s">
        <v>21518</v>
      </c>
    </row>
    <row r="37630" spans="1:8">
      <c r="H37630" t="s">
        <v>34142</v>
      </c>
    </row>
    <row r="37631" spans="1:8">
      <c r="H37631" t="s">
        <v>34143</v>
      </c>
    </row>
    <row r="37632" spans="1:8">
      <c r="H37632" t="s">
        <v>34144</v>
      </c>
    </row>
    <row r="37633" spans="1:8">
      <c r="H37633" t="s">
        <v>34145</v>
      </c>
    </row>
    <row r="37634" spans="1:8">
      <c r="H37634" t="s">
        <v>34146</v>
      </c>
    </row>
    <row r="37635" spans="1:8">
      <c r="A37635" t="s">
        <v>3269</v>
      </c>
      <c r="B37635">
        <f>HYPERLINK("https://android.googlesource.com/platform/cts/+/aba7075fea7a761b796240fcd6142f142e6819ab", "aba7075fea7a761b796240fcd6142f142e6819ab")</f>
        <v>0</v>
      </c>
      <c r="C37635">
        <f>HYPERLINK("https://android.googlesource.com/platform/cts/+/df8182e6332b1dfb0d35d81daf0d8ffc93b93ad5", "df8182e6332b1dfb0d35d81daf0d8ffc93b93ad5")</f>
        <v>0</v>
      </c>
      <c r="D37635" t="s">
        <v>5042</v>
      </c>
      <c r="E37635" t="s">
        <v>8981</v>
      </c>
      <c r="F37635" t="s">
        <v>14232</v>
      </c>
      <c r="G37635" t="s">
        <v>18203</v>
      </c>
      <c r="H37635" t="s">
        <v>18829</v>
      </c>
    </row>
    <row r="37636" spans="1:8">
      <c r="H37636" t="s">
        <v>34162</v>
      </c>
    </row>
    <row r="37637" spans="1:8">
      <c r="H37637" t="s">
        <v>34163</v>
      </c>
    </row>
    <row r="37638" spans="1:8">
      <c r="H37638" t="s">
        <v>34164</v>
      </c>
    </row>
    <row r="37639" spans="1:8">
      <c r="H37639" t="s">
        <v>34165</v>
      </c>
    </row>
    <row r="37640" spans="1:8">
      <c r="H37640" t="s">
        <v>34166</v>
      </c>
    </row>
    <row r="37641" spans="1:8">
      <c r="H37641" t="s">
        <v>34167</v>
      </c>
    </row>
    <row r="37642" spans="1:8">
      <c r="H37642" t="s">
        <v>34168</v>
      </c>
    </row>
    <row r="37643" spans="1:8">
      <c r="H37643" t="s">
        <v>34169</v>
      </c>
    </row>
    <row r="37644" spans="1:8">
      <c r="H37644" t="s">
        <v>34170</v>
      </c>
    </row>
    <row r="37645" spans="1:8">
      <c r="H37645" t="s">
        <v>34171</v>
      </c>
    </row>
    <row r="37646" spans="1:8">
      <c r="H37646" t="s">
        <v>34172</v>
      </c>
    </row>
    <row r="37647" spans="1:8">
      <c r="H37647" t="s">
        <v>34173</v>
      </c>
    </row>
    <row r="37648" spans="1:8">
      <c r="H37648" t="s">
        <v>34174</v>
      </c>
    </row>
    <row r="37649" spans="1:8">
      <c r="H37649" t="s">
        <v>34175</v>
      </c>
    </row>
    <row r="37650" spans="1:8">
      <c r="H37650" t="s">
        <v>34176</v>
      </c>
    </row>
    <row r="37651" spans="1:8">
      <c r="H37651" t="s">
        <v>34177</v>
      </c>
    </row>
    <row r="37652" spans="1:8">
      <c r="H37652" t="s">
        <v>34178</v>
      </c>
    </row>
    <row r="37653" spans="1:8">
      <c r="H37653" t="s">
        <v>34179</v>
      </c>
    </row>
    <row r="37654" spans="1:8">
      <c r="H37654" t="s">
        <v>34180</v>
      </c>
    </row>
    <row r="37655" spans="1:8">
      <c r="H37655" t="s">
        <v>34181</v>
      </c>
    </row>
    <row r="37656" spans="1:8">
      <c r="H37656" t="s">
        <v>34182</v>
      </c>
    </row>
    <row r="37657" spans="1:8">
      <c r="H37657" t="s">
        <v>34183</v>
      </c>
    </row>
    <row r="37658" spans="1:8">
      <c r="H37658" t="s">
        <v>34184</v>
      </c>
    </row>
    <row r="37659" spans="1:8">
      <c r="H37659" t="s">
        <v>34185</v>
      </c>
    </row>
    <row r="37660" spans="1:8">
      <c r="A37660" t="s">
        <v>3270</v>
      </c>
      <c r="B37660">
        <f>HYPERLINK("https://android.googlesource.com/platform/cts/+/07328404320381176c5003534bd76140e0e3be1f", "07328404320381176c5003534bd76140e0e3be1f")</f>
        <v>0</v>
      </c>
      <c r="C37660">
        <f>HYPERLINK("https://android.googlesource.com/platform/cts/+/ec7602654c204c441a3efcbc5cd2a39aaf143d74", "ec7602654c204c441a3efcbc5cd2a39aaf143d74")</f>
        <v>0</v>
      </c>
      <c r="D37660" t="s">
        <v>5244</v>
      </c>
      <c r="E37660" t="s">
        <v>8982</v>
      </c>
      <c r="F37660" t="s">
        <v>14065</v>
      </c>
      <c r="G37660" t="s">
        <v>18063</v>
      </c>
      <c r="H37660" t="s">
        <v>34186</v>
      </c>
    </row>
    <row r="37661" spans="1:8">
      <c r="A37661" t="s">
        <v>3271</v>
      </c>
      <c r="B37661">
        <f>HYPERLINK("https://android.googlesource.com/platform/cts/+/fadf88db914f8d32ce7ce76e2d669361ceeeebeb", "fadf88db914f8d32ce7ce76e2d669361ceeeebeb")</f>
        <v>0</v>
      </c>
      <c r="C37661">
        <f>HYPERLINK("https://android.googlesource.com/platform/cts/+/8556750c00b72cbc2c1a782f2139d1f9b0847b3b", "8556750c00b72cbc2c1a782f2139d1f9b0847b3b")</f>
        <v>0</v>
      </c>
      <c r="D37661" t="s">
        <v>4978</v>
      </c>
      <c r="E37661" t="s">
        <v>8983</v>
      </c>
      <c r="F37661" t="s">
        <v>13735</v>
      </c>
      <c r="G37661" t="s">
        <v>16637</v>
      </c>
      <c r="H37661" t="s">
        <v>32345</v>
      </c>
    </row>
    <row r="37662" spans="1:8">
      <c r="A37662" t="s">
        <v>3272</v>
      </c>
      <c r="B37662">
        <f>HYPERLINK("https://android.googlesource.com/platform/cts/+/b8c2f87127a50a517be88f0bf5bffc22b5854fa7", "b8c2f87127a50a517be88f0bf5bffc22b5854fa7")</f>
        <v>0</v>
      </c>
      <c r="C37662">
        <f>HYPERLINK("https://android.googlesource.com/platform/cts/+/de20b5f10992942b6d573463ed165442ce30615b", "de20b5f10992942b6d573463ed165442ce30615b")</f>
        <v>0</v>
      </c>
      <c r="D37662" t="s">
        <v>5478</v>
      </c>
      <c r="E37662" t="s">
        <v>8984</v>
      </c>
      <c r="F37662" t="s">
        <v>14233</v>
      </c>
      <c r="G37662" t="s">
        <v>16863</v>
      </c>
      <c r="H37662" t="s">
        <v>34187</v>
      </c>
    </row>
    <row r="37663" spans="1:8">
      <c r="A37663" t="s">
        <v>3273</v>
      </c>
      <c r="B37663">
        <f>HYPERLINK("https://android.googlesource.com/platform/cts/+/ddd855ca08293604d7a04b412391584979a83195", "ddd855ca08293604d7a04b412391584979a83195")</f>
        <v>0</v>
      </c>
      <c r="C37663">
        <f>HYPERLINK("https://android.googlesource.com/platform/cts/+/46c062a108656aaf7a9f29b05fba464c077a2e4c", "46c062a108656aaf7a9f29b05fba464c077a2e4c")</f>
        <v>0</v>
      </c>
      <c r="D37663" t="s">
        <v>5539</v>
      </c>
      <c r="E37663" t="s">
        <v>8985</v>
      </c>
      <c r="F37663" t="s">
        <v>12410</v>
      </c>
      <c r="G37663" t="s">
        <v>16632</v>
      </c>
      <c r="H37663" t="s">
        <v>34188</v>
      </c>
    </row>
    <row r="37664" spans="1:8">
      <c r="A37664" t="s">
        <v>3274</v>
      </c>
      <c r="B37664">
        <f>HYPERLINK("https://android.googlesource.com/platform/cts/+/5ac0171f917c8e8285554892b8d9d6f26aee40fd", "5ac0171f917c8e8285554892b8d9d6f26aee40fd")</f>
        <v>0</v>
      </c>
      <c r="C37664">
        <f>HYPERLINK("https://android.googlesource.com/platform/cts/+/67d907e12c036a0fb934b607798a69a97f0c7f61", "67d907e12c036a0fb934b607798a69a97f0c7f61")</f>
        <v>0</v>
      </c>
      <c r="D37664" t="s">
        <v>5400</v>
      </c>
      <c r="E37664" t="s">
        <v>8986</v>
      </c>
      <c r="F37664" t="s">
        <v>14234</v>
      </c>
      <c r="G37664" t="s">
        <v>18204</v>
      </c>
      <c r="H37664" t="s">
        <v>34189</v>
      </c>
    </row>
    <row r="37665" spans="1:8">
      <c r="A37665" t="s">
        <v>3275</v>
      </c>
      <c r="B37665">
        <f>HYPERLINK("https://android.googlesource.com/platform/cts/+/b247239cffdba7a9767a21ca6dc31755e782160c", "b247239cffdba7a9767a21ca6dc31755e782160c")</f>
        <v>0</v>
      </c>
      <c r="C37665">
        <f>HYPERLINK("https://android.googlesource.com/platform/cts/+/5f66384c4b5b90b642edc1be1d2f1eee2b705030", "5f66384c4b5b90b642edc1be1d2f1eee2b705030")</f>
        <v>0</v>
      </c>
      <c r="D37665" t="s">
        <v>5526</v>
      </c>
      <c r="E37665" t="s">
        <v>8987</v>
      </c>
      <c r="F37665" t="s">
        <v>13488</v>
      </c>
      <c r="G37665" t="s">
        <v>17607</v>
      </c>
      <c r="H37665" t="s">
        <v>34190</v>
      </c>
    </row>
    <row r="37666" spans="1:8">
      <c r="H37666" t="s">
        <v>34191</v>
      </c>
    </row>
    <row r="37667" spans="1:8">
      <c r="H37667" t="s">
        <v>34192</v>
      </c>
    </row>
    <row r="37668" spans="1:8">
      <c r="H37668" t="s">
        <v>34193</v>
      </c>
    </row>
    <row r="37669" spans="1:8">
      <c r="H37669" t="s">
        <v>34194</v>
      </c>
    </row>
    <row r="37670" spans="1:8">
      <c r="H37670" t="s">
        <v>34195</v>
      </c>
    </row>
    <row r="37671" spans="1:8">
      <c r="H37671" t="s">
        <v>34196</v>
      </c>
    </row>
    <row r="37672" spans="1:8">
      <c r="A37672" t="s">
        <v>3276</v>
      </c>
      <c r="B37672">
        <f>HYPERLINK("https://android.googlesource.com/platform/cts/+/3983b703d60c39cce415594902c796aff4fc575d", "3983b703d60c39cce415594902c796aff4fc575d")</f>
        <v>0</v>
      </c>
      <c r="C37672">
        <f>HYPERLINK("https://android.googlesource.com/platform/cts/+/d03c8da4cc9d4c08015d9c8d4b0328455141ca6a", "d03c8da4cc9d4c08015d9c8d4b0328455141ca6a")</f>
        <v>0</v>
      </c>
      <c r="D37672" t="s">
        <v>5383</v>
      </c>
      <c r="E37672" t="s">
        <v>8988</v>
      </c>
      <c r="F37672" t="s">
        <v>13924</v>
      </c>
      <c r="G37672" t="s">
        <v>17960</v>
      </c>
      <c r="H37672" t="s">
        <v>34197</v>
      </c>
    </row>
    <row r="37673" spans="1:8">
      <c r="H37673" t="s">
        <v>34198</v>
      </c>
    </row>
    <row r="37674" spans="1:8">
      <c r="A37674" t="s">
        <v>3277</v>
      </c>
      <c r="B37674">
        <f>HYPERLINK("https://android.googlesource.com/platform/cts/+/e9d2af285469f29a150ff6357377f3af0fa4e71c", "e9d2af285469f29a150ff6357377f3af0fa4e71c")</f>
        <v>0</v>
      </c>
      <c r="C37674">
        <f>HYPERLINK("https://android.googlesource.com/platform/cts/+/af9678539b1e1a89cfe86c8321450fb929e959ec", "af9678539b1e1a89cfe86c8321450fb929e959ec")</f>
        <v>0</v>
      </c>
      <c r="D37674" t="s">
        <v>5268</v>
      </c>
      <c r="E37674" t="s">
        <v>8989</v>
      </c>
      <c r="F37674" t="s">
        <v>12410</v>
      </c>
      <c r="G37674" t="s">
        <v>16632</v>
      </c>
      <c r="H37674" t="s">
        <v>34188</v>
      </c>
    </row>
    <row r="37675" spans="1:8">
      <c r="A37675" t="s">
        <v>3278</v>
      </c>
      <c r="B37675">
        <f>HYPERLINK("https://android.googlesource.com/platform/cts/+/a46878acfe983999956aa2ab2ac5bc87405367a4", "a46878acfe983999956aa2ab2ac5bc87405367a4")</f>
        <v>0</v>
      </c>
      <c r="C37675">
        <f>HYPERLINK("https://android.googlesource.com/platform/cts/+/ec7602654c204c441a3efcbc5cd2a39aaf143d74", "ec7602654c204c441a3efcbc5cd2a39aaf143d74")</f>
        <v>0</v>
      </c>
      <c r="D37675" t="s">
        <v>5540</v>
      </c>
      <c r="E37675" t="s">
        <v>8990</v>
      </c>
      <c r="F37675" t="s">
        <v>14165</v>
      </c>
      <c r="G37675" t="s">
        <v>17361</v>
      </c>
      <c r="H37675" t="s">
        <v>34199</v>
      </c>
    </row>
    <row r="37676" spans="1:8">
      <c r="A37676" t="s">
        <v>3279</v>
      </c>
      <c r="B37676">
        <f>HYPERLINK("https://android.googlesource.com/platform/cts/+/fd06674a160ce7d0eb7e8c7e6495320a05fc65cc", "fd06674a160ce7d0eb7e8c7e6495320a05fc65cc")</f>
        <v>0</v>
      </c>
      <c r="C37676">
        <f>HYPERLINK("https://android.googlesource.com/platform/cts/+/44767fd020924d0cbf14972b6748feedf222c159", "44767fd020924d0cbf14972b6748feedf222c159")</f>
        <v>0</v>
      </c>
      <c r="D37676" t="s">
        <v>5541</v>
      </c>
      <c r="E37676" t="s">
        <v>8991</v>
      </c>
      <c r="F37676" t="s">
        <v>13335</v>
      </c>
      <c r="G37676" t="s">
        <v>17465</v>
      </c>
      <c r="H37676" t="s">
        <v>34200</v>
      </c>
    </row>
    <row r="37677" spans="1:8">
      <c r="A37677" t="s">
        <v>3280</v>
      </c>
      <c r="B37677">
        <f>HYPERLINK("https://android.googlesource.com/platform/cts/+/9c5e09e7512100b305c603f3ede5da4a1237ce81", "9c5e09e7512100b305c603f3ede5da4a1237ce81")</f>
        <v>0</v>
      </c>
      <c r="C37677">
        <f>HYPERLINK("https://android.googlesource.com/platform/cts/+/46c062a108656aaf7a9f29b05fba464c077a2e4c", "46c062a108656aaf7a9f29b05fba464c077a2e4c")</f>
        <v>0</v>
      </c>
      <c r="D37677" t="s">
        <v>5108</v>
      </c>
      <c r="E37677" t="s">
        <v>8992</v>
      </c>
      <c r="F37677" t="s">
        <v>13971</v>
      </c>
      <c r="G37677" t="s">
        <v>17996</v>
      </c>
      <c r="H37677" t="s">
        <v>34201</v>
      </c>
    </row>
    <row r="37678" spans="1:8">
      <c r="A37678" t="s">
        <v>3281</v>
      </c>
      <c r="B37678">
        <f>HYPERLINK("https://android.googlesource.com/platform/cts/+/8eac859d54c1ca82ed472c2126c0bfe88abef302", "8eac859d54c1ca82ed472c2126c0bfe88abef302")</f>
        <v>0</v>
      </c>
      <c r="C37678">
        <f>HYPERLINK("https://android.googlesource.com/platform/cts/+/df897bd993d9df6d49d183cfe4bf2a37b8ba5057", "df897bd993d9df6d49d183cfe4bf2a37b8ba5057")</f>
        <v>0</v>
      </c>
      <c r="D37678" t="s">
        <v>5108</v>
      </c>
      <c r="E37678" t="s">
        <v>8992</v>
      </c>
      <c r="F37678" t="s">
        <v>13971</v>
      </c>
      <c r="G37678" t="s">
        <v>17996</v>
      </c>
      <c r="H37678" t="s">
        <v>34201</v>
      </c>
    </row>
    <row r="37679" spans="1:8">
      <c r="A37679" t="s">
        <v>3282</v>
      </c>
      <c r="B37679">
        <f>HYPERLINK("https://android.googlesource.com/platform/cts/+/bd1f1a2cdb8e11fd85d10a8ead341d49a2d0c8a6", "bd1f1a2cdb8e11fd85d10a8ead341d49a2d0c8a6")</f>
        <v>0</v>
      </c>
      <c r="C37679">
        <f>HYPERLINK("https://android.googlesource.com/platform/cts/+/e818b872a5e5317393cfe2d861f65bad4526cbcd", "e818b872a5e5317393cfe2d861f65bad4526cbcd")</f>
        <v>0</v>
      </c>
      <c r="D37679" t="s">
        <v>5108</v>
      </c>
      <c r="E37679" t="s">
        <v>8993</v>
      </c>
      <c r="F37679" t="s">
        <v>13971</v>
      </c>
      <c r="G37679" t="s">
        <v>17996</v>
      </c>
      <c r="H37679" t="s">
        <v>34201</v>
      </c>
    </row>
    <row r="37680" spans="1:8">
      <c r="A37680" t="s">
        <v>3283</v>
      </c>
      <c r="B37680">
        <f>HYPERLINK("https://android.googlesource.com/platform/cts/+/135d42f49f69524c08d7d4e8e30b25428797f177", "135d42f49f69524c08d7d4e8e30b25428797f177")</f>
        <v>0</v>
      </c>
      <c r="C37680">
        <f>HYPERLINK("https://android.googlesource.com/platform/cts/+/a5e0960ced01bfbb19e84a84e19c37ea1d32ce3b", "a5e0960ced01bfbb19e84a84e19c37ea1d32ce3b")</f>
        <v>0</v>
      </c>
      <c r="D37680" t="s">
        <v>5542</v>
      </c>
      <c r="E37680" t="s">
        <v>8994</v>
      </c>
      <c r="F37680" t="s">
        <v>14235</v>
      </c>
      <c r="G37680" t="s">
        <v>18205</v>
      </c>
      <c r="H37680" t="s">
        <v>34202</v>
      </c>
    </row>
    <row r="37681" spans="1:8">
      <c r="A37681" t="s">
        <v>3284</v>
      </c>
      <c r="B37681">
        <f>HYPERLINK("https://android.googlesource.com/platform/cts/+/28c6e7605a250c5bebbe3612647a832eac1e49b8", "28c6e7605a250c5bebbe3612647a832eac1e49b8")</f>
        <v>0</v>
      </c>
      <c r="C37681">
        <f>HYPERLINK("https://android.googlesource.com/platform/cts/+/fd06674a160ce7d0eb7e8c7e6495320a05fc65cc", "fd06674a160ce7d0eb7e8c7e6495320a05fc65cc")</f>
        <v>0</v>
      </c>
      <c r="D37681" t="s">
        <v>5543</v>
      </c>
      <c r="E37681" t="s">
        <v>8995</v>
      </c>
      <c r="F37681" t="s">
        <v>13335</v>
      </c>
      <c r="G37681" t="s">
        <v>17465</v>
      </c>
      <c r="H37681" t="s">
        <v>34203</v>
      </c>
    </row>
    <row r="37682" spans="1:8">
      <c r="H37682" t="s">
        <v>34204</v>
      </c>
    </row>
    <row r="37683" spans="1:8">
      <c r="A37683" t="s">
        <v>3285</v>
      </c>
      <c r="B37683">
        <f>HYPERLINK("https://android.googlesource.com/platform/cts/+/35e43278c6cfafa2c4f2d9d24c6085288aacda51", "35e43278c6cfafa2c4f2d9d24c6085288aacda51")</f>
        <v>0</v>
      </c>
      <c r="C37683">
        <f>HYPERLINK("https://android.googlesource.com/platform/cts/+/e29ca93e8260be1f031521c0e225fc976b4b15e5", "e29ca93e8260be1f031521c0e225fc976b4b15e5")</f>
        <v>0</v>
      </c>
      <c r="D37683" t="s">
        <v>5400</v>
      </c>
      <c r="E37683" t="s">
        <v>8996</v>
      </c>
      <c r="F37683" t="s">
        <v>14234</v>
      </c>
      <c r="G37683" t="s">
        <v>18204</v>
      </c>
      <c r="H37683" t="s">
        <v>34189</v>
      </c>
    </row>
    <row r="37684" spans="1:8">
      <c r="A37684" t="s">
        <v>3286</v>
      </c>
      <c r="B37684">
        <f>HYPERLINK("https://android.googlesource.com/platform/cts/+/92969540b5c4564a904f3dc80ce129c2c879211b", "92969540b5c4564a904f3dc80ce129c2c879211b")</f>
        <v>0</v>
      </c>
      <c r="C37684">
        <f>HYPERLINK("https://android.googlesource.com/platform/cts/+/09247ab515e31fabe810cc10ecc93d9975aec511", "09247ab515e31fabe810cc10ecc93d9975aec511")</f>
        <v>0</v>
      </c>
      <c r="D37684" t="s">
        <v>5544</v>
      </c>
      <c r="E37684" t="s">
        <v>8997</v>
      </c>
      <c r="F37684" t="s">
        <v>14235</v>
      </c>
      <c r="G37684" t="s">
        <v>18205</v>
      </c>
      <c r="H37684" t="s">
        <v>34202</v>
      </c>
    </row>
    <row r="37685" spans="1:8">
      <c r="A37685" t="s">
        <v>3287</v>
      </c>
      <c r="B37685">
        <f>HYPERLINK("https://android.googlesource.com/platform/cts/+/9d8153a667d44deb0d5f021250112593988d2fd9", "9d8153a667d44deb0d5f021250112593988d2fd9")</f>
        <v>0</v>
      </c>
      <c r="C37685">
        <f>HYPERLINK("https://android.googlesource.com/platform/cts/+/63c138cb1c0867ddb693f87f801097f58e840dc1", "63c138cb1c0867ddb693f87f801097f58e840dc1")</f>
        <v>0</v>
      </c>
      <c r="D37685" t="s">
        <v>5545</v>
      </c>
      <c r="E37685" t="s">
        <v>8998</v>
      </c>
      <c r="F37685" t="s">
        <v>14236</v>
      </c>
      <c r="G37685" t="s">
        <v>18206</v>
      </c>
      <c r="H37685" t="s">
        <v>34205</v>
      </c>
    </row>
    <row r="37686" spans="1:8">
      <c r="H37686" t="s">
        <v>34206</v>
      </c>
    </row>
    <row r="37687" spans="1:8">
      <c r="H37687" t="s">
        <v>34207</v>
      </c>
    </row>
    <row r="37688" spans="1:8">
      <c r="H37688" t="s">
        <v>34208</v>
      </c>
    </row>
    <row r="37689" spans="1:8">
      <c r="H37689" t="s">
        <v>34209</v>
      </c>
    </row>
    <row r="37690" spans="1:8">
      <c r="H37690" t="s">
        <v>34210</v>
      </c>
    </row>
    <row r="37691" spans="1:8">
      <c r="H37691" t="s">
        <v>34211</v>
      </c>
    </row>
    <row r="37692" spans="1:8">
      <c r="H37692" t="s">
        <v>34212</v>
      </c>
    </row>
    <row r="37693" spans="1:8">
      <c r="H37693" t="s">
        <v>34213</v>
      </c>
    </row>
    <row r="37694" spans="1:8">
      <c r="H37694" t="s">
        <v>34214</v>
      </c>
    </row>
    <row r="37695" spans="1:8">
      <c r="H37695" t="s">
        <v>34215</v>
      </c>
    </row>
    <row r="37696" spans="1:8">
      <c r="H37696" t="s">
        <v>34216</v>
      </c>
    </row>
    <row r="37697" spans="1:8">
      <c r="H37697" t="s">
        <v>34217</v>
      </c>
    </row>
    <row r="37698" spans="1:8">
      <c r="H37698" t="s">
        <v>34218</v>
      </c>
    </row>
    <row r="37699" spans="1:8">
      <c r="H37699" t="s">
        <v>34219</v>
      </c>
    </row>
    <row r="37700" spans="1:8">
      <c r="H37700" t="s">
        <v>34220</v>
      </c>
    </row>
    <row r="37701" spans="1:8">
      <c r="H37701" t="s">
        <v>34221</v>
      </c>
    </row>
    <row r="37702" spans="1:8">
      <c r="H37702" t="s">
        <v>34222</v>
      </c>
    </row>
    <row r="37703" spans="1:8">
      <c r="H37703" t="s">
        <v>34223</v>
      </c>
    </row>
    <row r="37704" spans="1:8">
      <c r="H37704" t="s">
        <v>34224</v>
      </c>
    </row>
    <row r="37705" spans="1:8">
      <c r="H37705" t="s">
        <v>34225</v>
      </c>
    </row>
    <row r="37706" spans="1:8">
      <c r="H37706" t="s">
        <v>34226</v>
      </c>
    </row>
    <row r="37707" spans="1:8">
      <c r="H37707" t="s">
        <v>34227</v>
      </c>
    </row>
    <row r="37708" spans="1:8">
      <c r="H37708" t="s">
        <v>34228</v>
      </c>
    </row>
    <row r="37709" spans="1:8">
      <c r="H37709" t="s">
        <v>34229</v>
      </c>
    </row>
    <row r="37710" spans="1:8">
      <c r="H37710" t="s">
        <v>34230</v>
      </c>
    </row>
    <row r="37711" spans="1:8">
      <c r="H37711" t="s">
        <v>34231</v>
      </c>
    </row>
    <row r="37712" spans="1:8">
      <c r="A37712" t="s">
        <v>3288</v>
      </c>
      <c r="B37712">
        <f>HYPERLINK("https://android.googlesource.com/platform/cts/+/fceba2788d94937297abc9b24f0d7778ef24e6b0", "fceba2788d94937297abc9b24f0d7778ef24e6b0")</f>
        <v>0</v>
      </c>
      <c r="C37712">
        <f>HYPERLINK("https://android.googlesource.com/platform/cts/+/732e8c0a45377477346c270a2bc46ec3f0bd220f", "732e8c0a45377477346c270a2bc46ec3f0bd220f")</f>
        <v>0</v>
      </c>
      <c r="D37712" t="s">
        <v>5512</v>
      </c>
      <c r="E37712" t="s">
        <v>8999</v>
      </c>
      <c r="F37712" t="s">
        <v>13716</v>
      </c>
      <c r="G37712" t="s">
        <v>17783</v>
      </c>
      <c r="H37712" t="s">
        <v>34232</v>
      </c>
    </row>
    <row r="37713" spans="1:8">
      <c r="A37713" t="s">
        <v>3289</v>
      </c>
      <c r="B37713">
        <f>HYPERLINK("https://android.googlesource.com/platform/cts/+/7b408341bae581d6e7c42da9220c05192d47f9d4", "7b408341bae581d6e7c42da9220c05192d47f9d4")</f>
        <v>0</v>
      </c>
      <c r="C37713">
        <f>HYPERLINK("https://android.googlesource.com/platform/cts/+/b5f3746ea912fc0e96070d5f205e703ba2e24535", "b5f3746ea912fc0e96070d5f205e703ba2e24535")</f>
        <v>0</v>
      </c>
      <c r="D37713" t="s">
        <v>5512</v>
      </c>
      <c r="E37713" t="s">
        <v>9000</v>
      </c>
      <c r="F37713" t="s">
        <v>13716</v>
      </c>
      <c r="G37713" t="s">
        <v>17783</v>
      </c>
      <c r="H37713" t="s">
        <v>34232</v>
      </c>
    </row>
    <row r="37714" spans="1:8">
      <c r="A37714" t="s">
        <v>3290</v>
      </c>
      <c r="B37714">
        <f>HYPERLINK("https://android.googlesource.com/platform/cts/+/6821fbe308db9f18b9a70cc2f2a011b703cdc754", "6821fbe308db9f18b9a70cc2f2a011b703cdc754")</f>
        <v>0</v>
      </c>
      <c r="C37714">
        <f>HYPERLINK("https://android.googlesource.com/platform/cts/+/3413f284a5c3090c963ad2be81eac497d1bed564", "3413f284a5c3090c963ad2be81eac497d1bed564")</f>
        <v>0</v>
      </c>
      <c r="D37714" t="s">
        <v>5383</v>
      </c>
      <c r="E37714" t="s">
        <v>9001</v>
      </c>
      <c r="F37714" t="s">
        <v>13924</v>
      </c>
      <c r="G37714" t="s">
        <v>17960</v>
      </c>
      <c r="H37714" t="s">
        <v>34233</v>
      </c>
    </row>
    <row r="37715" spans="1:8">
      <c r="A37715" t="s">
        <v>3291</v>
      </c>
      <c r="B37715">
        <f>HYPERLINK("https://android.googlesource.com/platform/cts/+/fd069513059a6263ec30632df578b2025a678e35", "fd069513059a6263ec30632df578b2025a678e35")</f>
        <v>0</v>
      </c>
      <c r="C37715">
        <f>HYPERLINK("https://android.googlesource.com/platform/cts/+/dc5c2a4cf56e5327fecd30fe67e4e99987ce5356", "dc5c2a4cf56e5327fecd30fe67e4e99987ce5356")</f>
        <v>0</v>
      </c>
      <c r="D37715" t="s">
        <v>5546</v>
      </c>
      <c r="E37715" t="s">
        <v>9002</v>
      </c>
      <c r="F37715" t="s">
        <v>14237</v>
      </c>
      <c r="G37715" t="s">
        <v>18207</v>
      </c>
      <c r="H37715" t="s">
        <v>34234</v>
      </c>
    </row>
    <row r="37716" spans="1:8">
      <c r="F37716" t="s">
        <v>14233</v>
      </c>
      <c r="G37716" t="s">
        <v>16863</v>
      </c>
      <c r="H37716" t="s">
        <v>34235</v>
      </c>
    </row>
    <row r="37717" spans="1:8">
      <c r="F37717" t="s">
        <v>14227</v>
      </c>
      <c r="G37717" t="s">
        <v>18199</v>
      </c>
      <c r="H37717" t="s">
        <v>34234</v>
      </c>
    </row>
    <row r="37718" spans="1:8">
      <c r="A37718" t="s">
        <v>3292</v>
      </c>
      <c r="B37718">
        <f>HYPERLINK("https://android.googlesource.com/platform/cts/+/17614741c5eae4472e1b05377f5fc025b64a8dd4", "17614741c5eae4472e1b05377f5fc025b64a8dd4")</f>
        <v>0</v>
      </c>
      <c r="C37718">
        <f>HYPERLINK("https://android.googlesource.com/platform/cts/+/37132e1b58e52226afd30a3ec9397de97ffca21b", "37132e1b58e52226afd30a3ec9397de97ffca21b")</f>
        <v>0</v>
      </c>
      <c r="D37718" t="s">
        <v>5454</v>
      </c>
      <c r="E37718" t="s">
        <v>9003</v>
      </c>
      <c r="F37718" t="s">
        <v>14124</v>
      </c>
      <c r="G37718" t="s">
        <v>18114</v>
      </c>
      <c r="H37718" t="s">
        <v>34236</v>
      </c>
    </row>
    <row r="37719" spans="1:8">
      <c r="A37719" t="s">
        <v>3293</v>
      </c>
      <c r="B37719">
        <f>HYPERLINK("https://android.googlesource.com/platform/cts/+/9e66e02eb203137725cf13a528b7bc0d5f2a8573", "9e66e02eb203137725cf13a528b7bc0d5f2a8573")</f>
        <v>0</v>
      </c>
      <c r="C37719">
        <f>HYPERLINK("https://android.googlesource.com/platform/cts/+/d6ab2b01c13d327e427d5b8eb59eeada489f25ec", "d6ab2b01c13d327e427d5b8eb59eeada489f25ec")</f>
        <v>0</v>
      </c>
      <c r="D37719" t="s">
        <v>5455</v>
      </c>
      <c r="E37719" t="s">
        <v>9004</v>
      </c>
      <c r="F37719" t="s">
        <v>13846</v>
      </c>
      <c r="G37719" t="s">
        <v>17889</v>
      </c>
      <c r="H37719" t="s">
        <v>32630</v>
      </c>
    </row>
    <row r="37720" spans="1:8">
      <c r="H37720" t="s">
        <v>32636</v>
      </c>
    </row>
    <row r="37721" spans="1:8">
      <c r="A37721" t="s">
        <v>3294</v>
      </c>
      <c r="B37721">
        <f>HYPERLINK("https://android.googlesource.com/platform/cts/+/fdc78aff310afdf3bcc0a51f756276b29158a089", "fdc78aff310afdf3bcc0a51f756276b29158a089")</f>
        <v>0</v>
      </c>
      <c r="C37721">
        <f>HYPERLINK("https://android.googlesource.com/platform/cts/+/9e66e02eb203137725cf13a528b7bc0d5f2a8573", "9e66e02eb203137725cf13a528b7bc0d5f2a8573")</f>
        <v>0</v>
      </c>
      <c r="D37721" t="s">
        <v>5455</v>
      </c>
      <c r="E37721" t="s">
        <v>9005</v>
      </c>
      <c r="F37721" t="s">
        <v>13846</v>
      </c>
      <c r="G37721" t="s">
        <v>17889</v>
      </c>
      <c r="H37721" t="s">
        <v>29531</v>
      </c>
    </row>
    <row r="37722" spans="1:8">
      <c r="A37722" t="s">
        <v>3295</v>
      </c>
      <c r="B37722">
        <f>HYPERLINK("https://android.googlesource.com/platform/cts/+/32be7d8ab605c45f5bb7e61ba274dc461af98952", "32be7d8ab605c45f5bb7e61ba274dc461af98952")</f>
        <v>0</v>
      </c>
      <c r="C37722">
        <f>HYPERLINK("https://android.googlesource.com/platform/cts/+/fdc78aff310afdf3bcc0a51f756276b29158a089", "fdc78aff310afdf3bcc0a51f756276b29158a089")</f>
        <v>0</v>
      </c>
      <c r="D37722" t="s">
        <v>5455</v>
      </c>
      <c r="E37722" t="s">
        <v>9006</v>
      </c>
      <c r="F37722" t="s">
        <v>13970</v>
      </c>
      <c r="G37722" t="s">
        <v>17995</v>
      </c>
      <c r="H37722" t="s">
        <v>34237</v>
      </c>
    </row>
    <row r="37723" spans="1:8">
      <c r="A37723" t="s">
        <v>3296</v>
      </c>
      <c r="B37723">
        <f>HYPERLINK("https://android.googlesource.com/platform/cts/+/1ef9a451772c0920427012d640cf35058c839a42", "1ef9a451772c0920427012d640cf35058c839a42")</f>
        <v>0</v>
      </c>
      <c r="C37723">
        <f>HYPERLINK("https://android.googlesource.com/platform/cts/+/722f174e036e0205b9a136a7591500d8da619490", "722f174e036e0205b9a136a7591500d8da619490")</f>
        <v>0</v>
      </c>
      <c r="D37723" t="s">
        <v>5541</v>
      </c>
      <c r="E37723" t="s">
        <v>9007</v>
      </c>
      <c r="F37723" t="s">
        <v>13335</v>
      </c>
      <c r="G37723" t="s">
        <v>17465</v>
      </c>
      <c r="H37723" t="s">
        <v>34200</v>
      </c>
    </row>
    <row r="37724" spans="1:8">
      <c r="A37724" t="s">
        <v>3297</v>
      </c>
      <c r="B37724">
        <f>HYPERLINK("https://android.googlesource.com/platform/cts/+/ff63058131bcc0cc75f6148184f4143b41afdf17", "ff63058131bcc0cc75f6148184f4143b41afdf17")</f>
        <v>0</v>
      </c>
      <c r="C37724">
        <f>HYPERLINK("https://android.googlesource.com/platform/cts/+/722f174e036e0205b9a136a7591500d8da619490", "722f174e036e0205b9a136a7591500d8da619490")</f>
        <v>0</v>
      </c>
      <c r="D37724" t="s">
        <v>5458</v>
      </c>
      <c r="E37724" t="s">
        <v>9008</v>
      </c>
      <c r="F37724" t="s">
        <v>13718</v>
      </c>
      <c r="G37724" t="s">
        <v>17785</v>
      </c>
      <c r="H37724" t="s">
        <v>34238</v>
      </c>
    </row>
    <row r="37725" spans="1:8">
      <c r="F37725" t="s">
        <v>13816</v>
      </c>
      <c r="G37725" t="s">
        <v>15089</v>
      </c>
      <c r="H37725" t="s">
        <v>34238</v>
      </c>
    </row>
    <row r="37726" spans="1:8">
      <c r="A37726" t="s">
        <v>3298</v>
      </c>
      <c r="B37726">
        <f>HYPERLINK("https://android.googlesource.com/platform/cts/+/5440b72febe19a4d43903b349645568c5e1ffe8d", "5440b72febe19a4d43903b349645568c5e1ffe8d")</f>
        <v>0</v>
      </c>
      <c r="C37726">
        <f>HYPERLINK("https://android.googlesource.com/platform/cts/+/444f2206131c253a9e94e55c6fc0be36db12a841", "444f2206131c253a9e94e55c6fc0be36db12a841")</f>
        <v>0</v>
      </c>
      <c r="D37726" t="s">
        <v>5338</v>
      </c>
      <c r="E37726" t="s">
        <v>9009</v>
      </c>
      <c r="F37726" t="s">
        <v>12166</v>
      </c>
      <c r="G37726" t="s">
        <v>16406</v>
      </c>
      <c r="H37726" t="s">
        <v>34135</v>
      </c>
    </row>
    <row r="37727" spans="1:8">
      <c r="H37727" t="s">
        <v>34136</v>
      </c>
    </row>
    <row r="37728" spans="1:8">
      <c r="A37728" t="s">
        <v>3299</v>
      </c>
      <c r="B37728">
        <f>HYPERLINK("https://android.googlesource.com/platform/cts/+/c31d5107f34bafad2e92d8cb32e0ae9b0feb5d2f", "c31d5107f34bafad2e92d8cb32e0ae9b0feb5d2f")</f>
        <v>0</v>
      </c>
      <c r="C37728">
        <f>HYPERLINK("https://android.googlesource.com/platform/cts/+/b9190706623d237ffbc9a1894c2400e541a4f7ce", "b9190706623d237ffbc9a1894c2400e541a4f7ce")</f>
        <v>0</v>
      </c>
      <c r="D37728" t="s">
        <v>5547</v>
      </c>
      <c r="E37728" t="s">
        <v>9010</v>
      </c>
      <c r="F37728" t="s">
        <v>14238</v>
      </c>
      <c r="G37728" t="s">
        <v>18208</v>
      </c>
      <c r="H37728" t="s">
        <v>34239</v>
      </c>
    </row>
    <row r="37729" spans="1:8">
      <c r="F37729" t="s">
        <v>14239</v>
      </c>
      <c r="G37729" t="s">
        <v>18209</v>
      </c>
      <c r="H37729" t="s">
        <v>33660</v>
      </c>
    </row>
    <row r="37730" spans="1:8">
      <c r="F37730" t="s">
        <v>14145</v>
      </c>
      <c r="G37730" t="s">
        <v>18133</v>
      </c>
      <c r="H37730" t="s">
        <v>34240</v>
      </c>
    </row>
    <row r="37731" spans="1:8">
      <c r="H37731" t="s">
        <v>34241</v>
      </c>
    </row>
    <row r="37732" spans="1:8">
      <c r="F37732" t="s">
        <v>14240</v>
      </c>
      <c r="G37732" t="s">
        <v>18209</v>
      </c>
      <c r="H37732" t="s">
        <v>33660</v>
      </c>
    </row>
    <row r="37733" spans="1:8">
      <c r="H37733" t="s">
        <v>33660</v>
      </c>
    </row>
    <row r="37734" spans="1:8">
      <c r="H37734" t="s">
        <v>34242</v>
      </c>
    </row>
    <row r="37735" spans="1:8">
      <c r="A37735" t="s">
        <v>3300</v>
      </c>
      <c r="B37735">
        <f>HYPERLINK("https://android.googlesource.com/platform/cts/+/d17cdc171877394ea630a13a7b4f624bf8efa144", "d17cdc171877394ea630a13a7b4f624bf8efa144")</f>
        <v>0</v>
      </c>
      <c r="C37735">
        <f>HYPERLINK("https://android.googlesource.com/platform/cts/+/48bb20c7a0dbdf5fe3160b52f8c609b6561f7fd9", "48bb20c7a0dbdf5fe3160b52f8c609b6561f7fd9")</f>
        <v>0</v>
      </c>
      <c r="D37735" t="s">
        <v>5338</v>
      </c>
      <c r="E37735" t="s">
        <v>9011</v>
      </c>
      <c r="F37735" t="s">
        <v>14227</v>
      </c>
      <c r="G37735" t="s">
        <v>18199</v>
      </c>
      <c r="H37735" t="s">
        <v>34140</v>
      </c>
    </row>
    <row r="37736" spans="1:8">
      <c r="A37736" t="s">
        <v>3301</v>
      </c>
      <c r="B37736">
        <f>HYPERLINK("https://android.googlesource.com/platform/cts/+/db51df2ee581df48940620a6ef5a0aa6a5edfd22", "db51df2ee581df48940620a6ef5a0aa6a5edfd22")</f>
        <v>0</v>
      </c>
      <c r="C37736">
        <f>HYPERLINK("https://android.googlesource.com/platform/cts/+/026d8ea88b07708ca567faf52e1c366d907a1064", "026d8ea88b07708ca567faf52e1c366d907a1064")</f>
        <v>0</v>
      </c>
      <c r="D37736" t="s">
        <v>5338</v>
      </c>
      <c r="E37736" t="s">
        <v>9012</v>
      </c>
      <c r="F37736" t="s">
        <v>14228</v>
      </c>
      <c r="G37736" t="s">
        <v>18200</v>
      </c>
      <c r="H37736" t="s">
        <v>34141</v>
      </c>
    </row>
    <row r="37737" spans="1:8">
      <c r="F37737" t="s">
        <v>14229</v>
      </c>
      <c r="G37737" t="s">
        <v>18201</v>
      </c>
      <c r="H37737" t="s">
        <v>34141</v>
      </c>
    </row>
    <row r="37738" spans="1:8">
      <c r="A37738" t="s">
        <v>3302</v>
      </c>
      <c r="B37738">
        <f>HYPERLINK("https://android.googlesource.com/platform/cts/+/ad4b1bb03ae94e6ffeb7558fcd18a2623b49f2ca", "ad4b1bb03ae94e6ffeb7558fcd18a2623b49f2ca")</f>
        <v>0</v>
      </c>
      <c r="C37738">
        <f>HYPERLINK("https://android.googlesource.com/platform/cts/+/6534a7d9481a48f8b02e9b7b0d8618a4f2920858", "6534a7d9481a48f8b02e9b7b0d8618a4f2920858")</f>
        <v>0</v>
      </c>
      <c r="D37738" t="s">
        <v>5338</v>
      </c>
      <c r="E37738" t="s">
        <v>9013</v>
      </c>
      <c r="F37738" t="s">
        <v>14233</v>
      </c>
      <c r="G37738" t="s">
        <v>16863</v>
      </c>
      <c r="H37738" t="s">
        <v>34187</v>
      </c>
    </row>
    <row r="37739" spans="1:8">
      <c r="A37739" t="s">
        <v>3303</v>
      </c>
      <c r="B37739">
        <f>HYPERLINK("https://android.googlesource.com/platform/cts/+/b02ff6009f4f823a193d9069459da04ae19eb2de", "b02ff6009f4f823a193d9069459da04ae19eb2de")</f>
        <v>0</v>
      </c>
      <c r="C37739">
        <f>HYPERLINK("https://android.googlesource.com/platform/cts/+/9267dfba58c18c530837dcd09ba7842a0065bf4d", "9267dfba58c18c530837dcd09ba7842a0065bf4d")</f>
        <v>0</v>
      </c>
      <c r="D37739" t="s">
        <v>5338</v>
      </c>
      <c r="E37739" t="s">
        <v>9014</v>
      </c>
      <c r="F37739" t="s">
        <v>14231</v>
      </c>
      <c r="G37739" t="s">
        <v>17928</v>
      </c>
      <c r="H37739" t="s">
        <v>34161</v>
      </c>
    </row>
    <row r="37740" spans="1:8">
      <c r="A37740" t="s">
        <v>3304</v>
      </c>
      <c r="B37740">
        <f>HYPERLINK("https://android.googlesource.com/platform/cts/+/ea82456484d16498013e98532a1d9ea774275e04", "ea82456484d16498013e98532a1d9ea774275e04")</f>
        <v>0</v>
      </c>
      <c r="C37740">
        <f>HYPERLINK("https://android.googlesource.com/platform/cts/+/8a94a9f06686322950728b90b36324672f7d44f8", "8a94a9f06686322950728b90b36324672f7d44f8")</f>
        <v>0</v>
      </c>
      <c r="D37740" t="s">
        <v>5548</v>
      </c>
      <c r="E37740" t="s">
        <v>9015</v>
      </c>
      <c r="F37740" t="s">
        <v>14241</v>
      </c>
      <c r="G37740" t="s">
        <v>18210</v>
      </c>
      <c r="H37740" t="s">
        <v>34243</v>
      </c>
    </row>
    <row r="37741" spans="1:8">
      <c r="H37741" t="s">
        <v>34244</v>
      </c>
    </row>
    <row r="37742" spans="1:8">
      <c r="H37742" t="s">
        <v>34245</v>
      </c>
    </row>
    <row r="37743" spans="1:8">
      <c r="F37743" t="s">
        <v>14242</v>
      </c>
      <c r="G37743" t="s">
        <v>18210</v>
      </c>
      <c r="H37743" t="s">
        <v>34246</v>
      </c>
    </row>
    <row r="37744" spans="1:8">
      <c r="H37744" t="s">
        <v>34247</v>
      </c>
    </row>
    <row r="37745" spans="1:8">
      <c r="A37745" t="s">
        <v>3305</v>
      </c>
      <c r="B37745">
        <f>HYPERLINK("https://android.googlesource.com/platform/cts/+/29b926598c74b9a7d84c93695be63c170c965fc1", "29b926598c74b9a7d84c93695be63c170c965fc1")</f>
        <v>0</v>
      </c>
      <c r="C37745">
        <f>HYPERLINK("https://android.googlesource.com/platform/cts/+/1b03792c75747be9bfba72b75674a1e10816c0ef", "1b03792c75747be9bfba72b75674a1e10816c0ef")</f>
        <v>0</v>
      </c>
      <c r="D37745" t="s">
        <v>5290</v>
      </c>
      <c r="E37745" t="s">
        <v>9016</v>
      </c>
      <c r="F37745" t="s">
        <v>14243</v>
      </c>
      <c r="G37745" t="s">
        <v>18211</v>
      </c>
      <c r="H37745" t="s">
        <v>34248</v>
      </c>
    </row>
    <row r="37746" spans="1:8">
      <c r="H37746" t="s">
        <v>34249</v>
      </c>
    </row>
    <row r="37747" spans="1:8">
      <c r="H37747" t="s">
        <v>34250</v>
      </c>
    </row>
    <row r="37748" spans="1:8">
      <c r="H37748" t="s">
        <v>34251</v>
      </c>
    </row>
    <row r="37749" spans="1:8">
      <c r="H37749" t="s">
        <v>34252</v>
      </c>
    </row>
    <row r="37750" spans="1:8">
      <c r="H37750" t="s">
        <v>34253</v>
      </c>
    </row>
    <row r="37751" spans="1:8">
      <c r="A37751" t="s">
        <v>3306</v>
      </c>
      <c r="B37751">
        <f>HYPERLINK("https://android.googlesource.com/platform/cts/+/e8d9df36f37c1d33abaee12f1904b1181010600c", "e8d9df36f37c1d33abaee12f1904b1181010600c")</f>
        <v>0</v>
      </c>
      <c r="C37751">
        <f>HYPERLINK("https://android.googlesource.com/platform/cts/+/96ff6febd236acdec81649bc883f081642ea5bce", "96ff6febd236acdec81649bc883f081642ea5bce")</f>
        <v>0</v>
      </c>
      <c r="D37751" t="s">
        <v>5455</v>
      </c>
      <c r="E37751" t="s">
        <v>9017</v>
      </c>
      <c r="F37751" t="s">
        <v>13846</v>
      </c>
      <c r="G37751" t="s">
        <v>17889</v>
      </c>
      <c r="H37751" t="s">
        <v>34237</v>
      </c>
    </row>
    <row r="37752" spans="1:8">
      <c r="H37752" t="s">
        <v>34254</v>
      </c>
    </row>
    <row r="37753" spans="1:8">
      <c r="H37753" t="s">
        <v>34255</v>
      </c>
    </row>
    <row r="37754" spans="1:8">
      <c r="A37754" t="s">
        <v>3307</v>
      </c>
      <c r="B37754">
        <f>HYPERLINK("https://android.googlesource.com/platform/cts/+/2004caa73d71da035f0738b8777a2ac0ec1ac228", "2004caa73d71da035f0738b8777a2ac0ec1ac228")</f>
        <v>0</v>
      </c>
      <c r="C37754">
        <f>HYPERLINK("https://android.googlesource.com/platform/cts/+/a7d4f4b4ffe9d3a8a1e6bb27998518e1b4aa98c6", "a7d4f4b4ffe9d3a8a1e6bb27998518e1b4aa98c6")</f>
        <v>0</v>
      </c>
      <c r="D37754" t="s">
        <v>5458</v>
      </c>
      <c r="E37754" t="s">
        <v>9018</v>
      </c>
      <c r="F37754" t="s">
        <v>13718</v>
      </c>
      <c r="G37754" t="s">
        <v>17785</v>
      </c>
      <c r="H37754" t="s">
        <v>34238</v>
      </c>
    </row>
    <row r="37755" spans="1:8">
      <c r="F37755" t="s">
        <v>13816</v>
      </c>
      <c r="G37755" t="s">
        <v>15089</v>
      </c>
      <c r="H37755" t="s">
        <v>34238</v>
      </c>
    </row>
    <row r="37756" spans="1:8">
      <c r="A37756" t="s">
        <v>3308</v>
      </c>
      <c r="B37756">
        <f>HYPERLINK("https://android.googlesource.com/platform/cts/+/5d2c289a2be62a9e0a26a3409eb4ce2b2628f08d", "5d2c289a2be62a9e0a26a3409eb4ce2b2628f08d")</f>
        <v>0</v>
      </c>
      <c r="C37756">
        <f>HYPERLINK("https://android.googlesource.com/platform/cts/+/02640c450c01823937daed369927ea9c50d67359", "02640c450c01823937daed369927ea9c50d67359")</f>
        <v>0</v>
      </c>
      <c r="D37756" t="s">
        <v>5533</v>
      </c>
      <c r="E37756" t="s">
        <v>9019</v>
      </c>
      <c r="F37756" t="s">
        <v>13977</v>
      </c>
      <c r="G37756" t="s">
        <v>18002</v>
      </c>
      <c r="H37756" t="s">
        <v>34256</v>
      </c>
    </row>
    <row r="37757" spans="1:8">
      <c r="H37757" t="s">
        <v>34257</v>
      </c>
    </row>
    <row r="37758" spans="1:8">
      <c r="A37758" t="s">
        <v>3309</v>
      </c>
      <c r="B37758">
        <f>HYPERLINK("https://android.googlesource.com/platform/cts/+/64a21e976e04fd84b27081327add715559832e38", "64a21e976e04fd84b27081327add715559832e38")</f>
        <v>0</v>
      </c>
      <c r="C37758">
        <f>HYPERLINK("https://android.googlesource.com/platform/cts/+/b4fe936ea07cb2da95841d9c9ca94b7e53285b05", "b4fe936ea07cb2da95841d9c9ca94b7e53285b05")</f>
        <v>0</v>
      </c>
      <c r="D37758" t="s">
        <v>5471</v>
      </c>
      <c r="E37758" t="s">
        <v>9020</v>
      </c>
      <c r="F37758" t="s">
        <v>14244</v>
      </c>
      <c r="G37758" t="s">
        <v>18212</v>
      </c>
      <c r="H37758" t="s">
        <v>34258</v>
      </c>
    </row>
    <row r="37759" spans="1:8">
      <c r="A37759" t="s">
        <v>3310</v>
      </c>
      <c r="B37759">
        <f>HYPERLINK("https://android.googlesource.com/platform/cts/+/995733cc1dd62bada2135be6f89a6153af20cf34", "995733cc1dd62bada2135be6f89a6153af20cf34")</f>
        <v>0</v>
      </c>
      <c r="C37759">
        <f>HYPERLINK("https://android.googlesource.com/platform/cts/+/6e9a69fc522491cc8bbf1bed83a4ad8fc1737506", "6e9a69fc522491cc8bbf1bed83a4ad8fc1737506")</f>
        <v>0</v>
      </c>
      <c r="D37759" t="s">
        <v>5533</v>
      </c>
      <c r="E37759" t="s">
        <v>9021</v>
      </c>
      <c r="F37759" t="s">
        <v>13977</v>
      </c>
      <c r="G37759" t="s">
        <v>18002</v>
      </c>
      <c r="H37759" t="s">
        <v>34256</v>
      </c>
    </row>
    <row r="37760" spans="1:8">
      <c r="H37760" t="s">
        <v>34257</v>
      </c>
    </row>
    <row r="37761" spans="1:8">
      <c r="A37761" t="s">
        <v>3311</v>
      </c>
      <c r="B37761">
        <f>HYPERLINK("https://android.googlesource.com/platform/cts/+/582c26bb3ce789edb9951b2e5d1483994abfd135", "582c26bb3ce789edb9951b2e5d1483994abfd135")</f>
        <v>0</v>
      </c>
      <c r="C37761">
        <f>HYPERLINK("https://android.googlesource.com/platform/cts/+/eb8705e62a64426d2f3946eee71d57a97d0d0e44", "eb8705e62a64426d2f3946eee71d57a97d0d0e44")</f>
        <v>0</v>
      </c>
      <c r="D37761" t="s">
        <v>5463</v>
      </c>
      <c r="E37761" t="s">
        <v>9022</v>
      </c>
      <c r="F37761" t="s">
        <v>14245</v>
      </c>
      <c r="G37761" t="s">
        <v>18213</v>
      </c>
      <c r="H37761" t="s">
        <v>34259</v>
      </c>
    </row>
    <row r="37762" spans="1:8">
      <c r="H37762" t="s">
        <v>34260</v>
      </c>
    </row>
    <row r="37763" spans="1:8">
      <c r="A37763" t="s">
        <v>3312</v>
      </c>
      <c r="B37763">
        <f>HYPERLINK("https://android.googlesource.com/platform/cts/+/6fa0df9701ea7f3fb9b5d4742e6b26afc702c8f9", "6fa0df9701ea7f3fb9b5d4742e6b26afc702c8f9")</f>
        <v>0</v>
      </c>
      <c r="C37763">
        <f>HYPERLINK("https://android.googlesource.com/platform/cts/+/87564f017b250700e13b9e39909b8406253d2533", "87564f017b250700e13b9e39909b8406253d2533")</f>
        <v>0</v>
      </c>
      <c r="D37763" t="s">
        <v>5288</v>
      </c>
      <c r="E37763" t="s">
        <v>9023</v>
      </c>
      <c r="F37763" t="s">
        <v>13752</v>
      </c>
      <c r="G37763" t="s">
        <v>17812</v>
      </c>
      <c r="H37763" t="s">
        <v>34261</v>
      </c>
    </row>
    <row r="37764" spans="1:8">
      <c r="H37764" t="s">
        <v>34262</v>
      </c>
    </row>
    <row r="37765" spans="1:8">
      <c r="H37765" t="s">
        <v>34263</v>
      </c>
    </row>
    <row r="37766" spans="1:8">
      <c r="H37766" t="s">
        <v>34264</v>
      </c>
    </row>
    <row r="37767" spans="1:8">
      <c r="H37767" t="s">
        <v>34265</v>
      </c>
    </row>
    <row r="37768" spans="1:8">
      <c r="H37768" t="s">
        <v>34266</v>
      </c>
    </row>
    <row r="37769" spans="1:8">
      <c r="H37769" t="s">
        <v>34267</v>
      </c>
    </row>
    <row r="37770" spans="1:8">
      <c r="H37770" t="s">
        <v>34268</v>
      </c>
    </row>
    <row r="37771" spans="1:8">
      <c r="H37771" t="s">
        <v>34269</v>
      </c>
    </row>
    <row r="37772" spans="1:8">
      <c r="H37772" t="s">
        <v>34270</v>
      </c>
    </row>
    <row r="37773" spans="1:8">
      <c r="H37773" t="s">
        <v>34271</v>
      </c>
    </row>
    <row r="37774" spans="1:8">
      <c r="H37774" t="s">
        <v>34272</v>
      </c>
    </row>
    <row r="37775" spans="1:8">
      <c r="H37775" t="s">
        <v>32707</v>
      </c>
    </row>
    <row r="37776" spans="1:8">
      <c r="H37776" t="s">
        <v>34273</v>
      </c>
    </row>
    <row r="37777" spans="8:8">
      <c r="H37777" t="s">
        <v>34274</v>
      </c>
    </row>
    <row r="37778" spans="8:8">
      <c r="H37778" t="s">
        <v>34275</v>
      </c>
    </row>
    <row r="37779" spans="8:8">
      <c r="H37779" t="s">
        <v>34276</v>
      </c>
    </row>
    <row r="37780" spans="8:8">
      <c r="H37780" t="s">
        <v>34277</v>
      </c>
    </row>
    <row r="37781" spans="8:8">
      <c r="H37781" t="s">
        <v>34278</v>
      </c>
    </row>
    <row r="37782" spans="8:8">
      <c r="H37782" t="s">
        <v>34279</v>
      </c>
    </row>
    <row r="37783" spans="8:8">
      <c r="H37783" t="s">
        <v>34280</v>
      </c>
    </row>
    <row r="37784" spans="8:8">
      <c r="H37784" t="s">
        <v>34281</v>
      </c>
    </row>
    <row r="37785" spans="8:8">
      <c r="H37785" t="s">
        <v>34282</v>
      </c>
    </row>
    <row r="37786" spans="8:8">
      <c r="H37786" t="s">
        <v>34283</v>
      </c>
    </row>
    <row r="37787" spans="8:8">
      <c r="H37787" t="s">
        <v>34284</v>
      </c>
    </row>
    <row r="37788" spans="8:8">
      <c r="H37788" t="s">
        <v>34285</v>
      </c>
    </row>
    <row r="37789" spans="8:8">
      <c r="H37789" t="s">
        <v>34286</v>
      </c>
    </row>
    <row r="37790" spans="8:8">
      <c r="H37790" t="s">
        <v>34287</v>
      </c>
    </row>
    <row r="37791" spans="8:8">
      <c r="H37791" t="s">
        <v>34288</v>
      </c>
    </row>
    <row r="37792" spans="8:8">
      <c r="H37792" t="s">
        <v>29582</v>
      </c>
    </row>
    <row r="37793" spans="1:8">
      <c r="F37793" t="s">
        <v>12419</v>
      </c>
      <c r="G37793" t="s">
        <v>16641</v>
      </c>
      <c r="H37793" t="s">
        <v>32610</v>
      </c>
    </row>
    <row r="37794" spans="1:8">
      <c r="H37794" t="s">
        <v>32611</v>
      </c>
    </row>
    <row r="37795" spans="1:8">
      <c r="H37795" t="s">
        <v>32612</v>
      </c>
    </row>
    <row r="37796" spans="1:8">
      <c r="H37796" t="s">
        <v>32613</v>
      </c>
    </row>
    <row r="37797" spans="1:8">
      <c r="H37797" t="s">
        <v>32614</v>
      </c>
    </row>
    <row r="37798" spans="1:8">
      <c r="A37798" t="s">
        <v>3313</v>
      </c>
      <c r="B37798">
        <f>HYPERLINK("https://android.googlesource.com/platform/cts/+/4df708527566c70035d113ec708cf5eb73a4e96e", "4df708527566c70035d113ec708cf5eb73a4e96e")</f>
        <v>0</v>
      </c>
      <c r="C37798">
        <f>HYPERLINK("https://android.googlesource.com/platform/cts/+/defd1aa6fd75ae572b2d9860b1ebc46bab905339", "defd1aa6fd75ae572b2d9860b1ebc46bab905339")</f>
        <v>0</v>
      </c>
      <c r="D37798" t="s">
        <v>5549</v>
      </c>
      <c r="E37798" t="s">
        <v>8702</v>
      </c>
      <c r="F37798" t="s">
        <v>10696</v>
      </c>
      <c r="G37798" t="s">
        <v>15096</v>
      </c>
      <c r="H37798" t="s">
        <v>33518</v>
      </c>
    </row>
    <row r="37799" spans="1:8">
      <c r="A37799" t="s">
        <v>3314</v>
      </c>
      <c r="B37799">
        <f>HYPERLINK("https://android.googlesource.com/platform/cts/+/dbcdd4a6cec4dbc5d986d0ede5e8fc4c8bcd96ab", "dbcdd4a6cec4dbc5d986d0ede5e8fc4c8bcd96ab")</f>
        <v>0</v>
      </c>
      <c r="C37799">
        <f>HYPERLINK("https://android.googlesource.com/platform/cts/+/d78f60c7c2d9f3383e02cddc4187f8632d3bea02", "d78f60c7c2d9f3383e02cddc4187f8632d3bea02")</f>
        <v>0</v>
      </c>
      <c r="D37799" t="s">
        <v>5463</v>
      </c>
      <c r="E37799" t="s">
        <v>9024</v>
      </c>
      <c r="F37799" t="s">
        <v>14245</v>
      </c>
      <c r="G37799" t="s">
        <v>18213</v>
      </c>
      <c r="H37799" t="s">
        <v>34259</v>
      </c>
    </row>
    <row r="37800" spans="1:8">
      <c r="H37800" t="s">
        <v>34260</v>
      </c>
    </row>
    <row r="37801" spans="1:8">
      <c r="A37801" t="s">
        <v>3315</v>
      </c>
      <c r="B37801">
        <f>HYPERLINK("https://android.googlesource.com/platform/cts/+/f440a29be1e8bf61650c806d0e4ebc1f4a26581e", "f440a29be1e8bf61650c806d0e4ebc1f4a26581e")</f>
        <v>0</v>
      </c>
      <c r="C37801">
        <f>HYPERLINK("https://android.googlesource.com/platform/cts/+/f7898a64351119ade7f24692264dcca05491028a", "f7898a64351119ade7f24692264dcca05491028a")</f>
        <v>0</v>
      </c>
      <c r="D37801" t="s">
        <v>4974</v>
      </c>
      <c r="E37801" t="s">
        <v>9025</v>
      </c>
      <c r="F37801" t="s">
        <v>12570</v>
      </c>
      <c r="G37801" t="s">
        <v>16786</v>
      </c>
      <c r="H37801" t="s">
        <v>34289</v>
      </c>
    </row>
    <row r="37802" spans="1:8">
      <c r="A37802" t="s">
        <v>3316</v>
      </c>
      <c r="B37802">
        <f>HYPERLINK("https://android.googlesource.com/platform/cts/+/ebf24a0c4fc2b236d7c585864fa1801ae9842eb1", "ebf24a0c4fc2b236d7c585864fa1801ae9842eb1")</f>
        <v>0</v>
      </c>
      <c r="C37802">
        <f>HYPERLINK("https://android.googlesource.com/platform/cts/+/217b7e16c91320c10064b31f38d91f12db86094a", "217b7e16c91320c10064b31f38d91f12db86094a")</f>
        <v>0</v>
      </c>
      <c r="D37802" t="s">
        <v>5512</v>
      </c>
      <c r="E37802" t="s">
        <v>9026</v>
      </c>
      <c r="F37802" t="s">
        <v>13990</v>
      </c>
      <c r="G37802" t="s">
        <v>18009</v>
      </c>
      <c r="H37802" t="s">
        <v>34290</v>
      </c>
    </row>
    <row r="37803" spans="1:8">
      <c r="A37803" t="s">
        <v>3317</v>
      </c>
      <c r="B37803">
        <f>HYPERLINK("https://android.googlesource.com/platform/cts/+/4bd03ac09dd13ea428c3a981530f49739ec1be37", "4bd03ac09dd13ea428c3a981530f49739ec1be37")</f>
        <v>0</v>
      </c>
      <c r="C37803">
        <f>HYPERLINK("https://android.googlesource.com/platform/cts/+/ebf24a0c4fc2b236d7c585864fa1801ae9842eb1", "ebf24a0c4fc2b236d7c585864fa1801ae9842eb1")</f>
        <v>0</v>
      </c>
      <c r="D37803" t="s">
        <v>5512</v>
      </c>
      <c r="E37803" t="s">
        <v>9027</v>
      </c>
      <c r="F37803" t="s">
        <v>13990</v>
      </c>
      <c r="G37803" t="s">
        <v>18009</v>
      </c>
      <c r="H37803" t="s">
        <v>34291</v>
      </c>
    </row>
    <row r="37804" spans="1:8">
      <c r="A37804" t="s">
        <v>3318</v>
      </c>
      <c r="B37804">
        <f>HYPERLINK("https://android.googlesource.com/platform/cts/+/a67bea89b81bdf1b035f2257184e9e83ecaab870", "a67bea89b81bdf1b035f2257184e9e83ecaab870")</f>
        <v>0</v>
      </c>
      <c r="C37804">
        <f>HYPERLINK("https://android.googlesource.com/platform/cts/+/4bd03ac09dd13ea428c3a981530f49739ec1be37", "4bd03ac09dd13ea428c3a981530f49739ec1be37")</f>
        <v>0</v>
      </c>
      <c r="D37804" t="s">
        <v>5512</v>
      </c>
      <c r="E37804" t="s">
        <v>9028</v>
      </c>
      <c r="F37804" t="s">
        <v>13990</v>
      </c>
      <c r="G37804" t="s">
        <v>18009</v>
      </c>
      <c r="H37804" t="s">
        <v>34292</v>
      </c>
    </row>
    <row r="37805" spans="1:8">
      <c r="A37805" t="s">
        <v>3319</v>
      </c>
      <c r="B37805">
        <f>HYPERLINK("https://android.googlesource.com/platform/cts/+/d901f6bf5f13ac505882dac6ed822be0871358e7", "d901f6bf5f13ac505882dac6ed822be0871358e7")</f>
        <v>0</v>
      </c>
      <c r="C37805">
        <f>HYPERLINK("https://android.googlesource.com/platform/cts/+/a67bea89b81bdf1b035f2257184e9e83ecaab870", "a67bea89b81bdf1b035f2257184e9e83ecaab870")</f>
        <v>0</v>
      </c>
      <c r="D37805" t="s">
        <v>5512</v>
      </c>
      <c r="E37805" t="s">
        <v>9029</v>
      </c>
      <c r="F37805" t="s">
        <v>13990</v>
      </c>
      <c r="G37805" t="s">
        <v>18009</v>
      </c>
      <c r="H37805" t="s">
        <v>34293</v>
      </c>
    </row>
    <row r="37806" spans="1:8">
      <c r="A37806" t="s">
        <v>3320</v>
      </c>
      <c r="B37806">
        <f>HYPERLINK("https://android.googlesource.com/platform/cts/+/70173f2aac2d1a3abb15fa592b8f5c7e8820b891", "70173f2aac2d1a3abb15fa592b8f5c7e8820b891")</f>
        <v>0</v>
      </c>
      <c r="C37806">
        <f>HYPERLINK("https://android.googlesource.com/platform/cts/+/d901f6bf5f13ac505882dac6ed822be0871358e7", "d901f6bf5f13ac505882dac6ed822be0871358e7")</f>
        <v>0</v>
      </c>
      <c r="D37806" t="s">
        <v>5512</v>
      </c>
      <c r="E37806" t="s">
        <v>9030</v>
      </c>
      <c r="F37806" t="s">
        <v>13990</v>
      </c>
      <c r="G37806" t="s">
        <v>18009</v>
      </c>
      <c r="H37806" t="s">
        <v>34294</v>
      </c>
    </row>
    <row r="37807" spans="1:8">
      <c r="A37807" t="s">
        <v>3321</v>
      </c>
      <c r="B37807">
        <f>HYPERLINK("https://android.googlesource.com/platform/cts/+/f190957b1691000803268f9d0a65b1786bfb19c7", "f190957b1691000803268f9d0a65b1786bfb19c7")</f>
        <v>0</v>
      </c>
      <c r="C37807">
        <f>HYPERLINK("https://android.googlesource.com/platform/cts/+/70173f2aac2d1a3abb15fa592b8f5c7e8820b891", "70173f2aac2d1a3abb15fa592b8f5c7e8820b891")</f>
        <v>0</v>
      </c>
      <c r="D37807" t="s">
        <v>5512</v>
      </c>
      <c r="E37807" t="s">
        <v>9031</v>
      </c>
      <c r="F37807" t="s">
        <v>13990</v>
      </c>
      <c r="G37807" t="s">
        <v>18009</v>
      </c>
      <c r="H37807" t="s">
        <v>34100</v>
      </c>
    </row>
    <row r="37808" spans="1:8">
      <c r="A37808" t="s">
        <v>3322</v>
      </c>
      <c r="B37808">
        <f>HYPERLINK("https://android.googlesource.com/platform/cts/+/4a1ee646ffb45f45f156e493edb0d8b9b74adcfe", "4a1ee646ffb45f45f156e493edb0d8b9b74adcfe")</f>
        <v>0</v>
      </c>
      <c r="C37808">
        <f>HYPERLINK("https://android.googlesource.com/platform/cts/+/76d04449a4ad03f99f48756d5752a609eaa2703e", "76d04449a4ad03f99f48756d5752a609eaa2703e")</f>
        <v>0</v>
      </c>
      <c r="D37808" t="s">
        <v>5383</v>
      </c>
      <c r="E37808" t="s">
        <v>9032</v>
      </c>
      <c r="F37808" t="s">
        <v>13924</v>
      </c>
      <c r="G37808" t="s">
        <v>17960</v>
      </c>
      <c r="H37808" t="s">
        <v>34197</v>
      </c>
    </row>
    <row r="37809" spans="1:8">
      <c r="H37809" t="s">
        <v>34233</v>
      </c>
    </row>
    <row r="37810" spans="1:8">
      <c r="H37810" t="s">
        <v>34198</v>
      </c>
    </row>
    <row r="37811" spans="1:8">
      <c r="A37811" t="s">
        <v>3323</v>
      </c>
      <c r="B37811">
        <f>HYPERLINK("https://android.googlesource.com/platform/cts/+/992ac029edc872fdcf14b0c75236dd3709b256ad", "992ac029edc872fdcf14b0c75236dd3709b256ad")</f>
        <v>0</v>
      </c>
      <c r="C37811">
        <f>HYPERLINK("https://android.googlesource.com/platform/cts/+/29dacb9d55431146b589ef800e5f0c83b7b41bf8", "29dacb9d55431146b589ef800e5f0c83b7b41bf8")</f>
        <v>0</v>
      </c>
      <c r="D37811" t="s">
        <v>5550</v>
      </c>
      <c r="E37811" t="s">
        <v>9033</v>
      </c>
      <c r="F37811" t="s">
        <v>14246</v>
      </c>
      <c r="G37811" t="s">
        <v>17814</v>
      </c>
      <c r="H37811" t="s">
        <v>34295</v>
      </c>
    </row>
    <row r="37812" spans="1:8">
      <c r="H37812" t="s">
        <v>34296</v>
      </c>
    </row>
    <row r="37813" spans="1:8">
      <c r="H37813" t="s">
        <v>34297</v>
      </c>
    </row>
    <row r="37814" spans="1:8">
      <c r="H37814" t="s">
        <v>34298</v>
      </c>
    </row>
    <row r="37815" spans="1:8">
      <c r="H37815" t="s">
        <v>34299</v>
      </c>
    </row>
    <row r="37816" spans="1:8">
      <c r="H37816" t="s">
        <v>34300</v>
      </c>
    </row>
    <row r="37817" spans="1:8">
      <c r="H37817" t="s">
        <v>34301</v>
      </c>
    </row>
    <row r="37818" spans="1:8">
      <c r="H37818" t="s">
        <v>34302</v>
      </c>
    </row>
    <row r="37819" spans="1:8">
      <c r="H37819" t="s">
        <v>34303</v>
      </c>
    </row>
    <row r="37820" spans="1:8">
      <c r="H37820" t="s">
        <v>34304</v>
      </c>
    </row>
    <row r="37821" spans="1:8">
      <c r="F37821" t="s">
        <v>14091</v>
      </c>
      <c r="G37821" t="s">
        <v>17434</v>
      </c>
      <c r="H37821" t="s">
        <v>34305</v>
      </c>
    </row>
    <row r="37822" spans="1:8">
      <c r="H37822" t="s">
        <v>18863</v>
      </c>
    </row>
    <row r="37823" spans="1:8">
      <c r="H37823" t="s">
        <v>34306</v>
      </c>
    </row>
    <row r="37824" spans="1:8">
      <c r="H37824" t="s">
        <v>34307</v>
      </c>
    </row>
    <row r="37825" spans="8:8">
      <c r="H37825" t="s">
        <v>29061</v>
      </c>
    </row>
    <row r="37826" spans="8:8">
      <c r="H37826" t="s">
        <v>34308</v>
      </c>
    </row>
    <row r="37827" spans="8:8">
      <c r="H37827" t="s">
        <v>34309</v>
      </c>
    </row>
    <row r="37828" spans="8:8">
      <c r="H37828" t="s">
        <v>34310</v>
      </c>
    </row>
    <row r="37829" spans="8:8">
      <c r="H37829" t="s">
        <v>34311</v>
      </c>
    </row>
    <row r="37830" spans="8:8">
      <c r="H37830" t="s">
        <v>34312</v>
      </c>
    </row>
    <row r="37831" spans="8:8">
      <c r="H37831" t="s">
        <v>34313</v>
      </c>
    </row>
    <row r="37832" spans="8:8">
      <c r="H37832" t="s">
        <v>34314</v>
      </c>
    </row>
    <row r="37833" spans="8:8">
      <c r="H37833" t="s">
        <v>34315</v>
      </c>
    </row>
    <row r="37834" spans="8:8">
      <c r="H37834" t="s">
        <v>34316</v>
      </c>
    </row>
    <row r="37835" spans="8:8">
      <c r="H37835" t="s">
        <v>34317</v>
      </c>
    </row>
    <row r="37836" spans="8:8">
      <c r="H37836" t="s">
        <v>29065</v>
      </c>
    </row>
    <row r="37837" spans="8:8">
      <c r="H37837" t="s">
        <v>34318</v>
      </c>
    </row>
    <row r="37838" spans="8:8">
      <c r="H37838" t="s">
        <v>34319</v>
      </c>
    </row>
    <row r="37839" spans="8:8">
      <c r="H37839" t="s">
        <v>34319</v>
      </c>
    </row>
    <row r="37840" spans="8:8">
      <c r="H37840" t="s">
        <v>34319</v>
      </c>
    </row>
    <row r="37841" spans="6:8">
      <c r="H37841" t="s">
        <v>34319</v>
      </c>
    </row>
    <row r="37842" spans="6:8">
      <c r="H37842" t="s">
        <v>34319</v>
      </c>
    </row>
    <row r="37843" spans="6:8">
      <c r="F37843" t="s">
        <v>14247</v>
      </c>
      <c r="G37843" t="s">
        <v>17656</v>
      </c>
      <c r="H37843" t="s">
        <v>34320</v>
      </c>
    </row>
    <row r="37844" spans="6:8">
      <c r="H37844" t="s">
        <v>34321</v>
      </c>
    </row>
    <row r="37845" spans="6:8">
      <c r="H37845" t="s">
        <v>34322</v>
      </c>
    </row>
    <row r="37846" spans="6:8">
      <c r="H37846" t="s">
        <v>34323</v>
      </c>
    </row>
    <row r="37847" spans="6:8">
      <c r="H37847" t="s">
        <v>34324</v>
      </c>
    </row>
    <row r="37848" spans="6:8">
      <c r="H37848" t="s">
        <v>34325</v>
      </c>
    </row>
    <row r="37849" spans="6:8">
      <c r="H37849" t="s">
        <v>34326</v>
      </c>
    </row>
    <row r="37850" spans="6:8">
      <c r="H37850" t="s">
        <v>34327</v>
      </c>
    </row>
    <row r="37851" spans="6:8">
      <c r="H37851" t="s">
        <v>34328</v>
      </c>
    </row>
    <row r="37852" spans="6:8">
      <c r="H37852" t="s">
        <v>34329</v>
      </c>
    </row>
    <row r="37853" spans="6:8">
      <c r="H37853" t="s">
        <v>34330</v>
      </c>
    </row>
    <row r="37854" spans="6:8">
      <c r="H37854" t="s">
        <v>34331</v>
      </c>
    </row>
    <row r="37855" spans="6:8">
      <c r="H37855" t="s">
        <v>34332</v>
      </c>
    </row>
    <row r="37856" spans="6:8">
      <c r="H37856" t="s">
        <v>34333</v>
      </c>
    </row>
    <row r="37857" spans="1:8">
      <c r="H37857" t="s">
        <v>34334</v>
      </c>
    </row>
    <row r="37858" spans="1:8">
      <c r="H37858" t="s">
        <v>34335</v>
      </c>
    </row>
    <row r="37859" spans="1:8">
      <c r="H37859" t="s">
        <v>34336</v>
      </c>
    </row>
    <row r="37860" spans="1:8">
      <c r="H37860" t="s">
        <v>34337</v>
      </c>
    </row>
    <row r="37861" spans="1:8">
      <c r="H37861" t="s">
        <v>34338</v>
      </c>
    </row>
    <row r="37862" spans="1:8">
      <c r="H37862" t="s">
        <v>34339</v>
      </c>
    </row>
    <row r="37863" spans="1:8">
      <c r="H37863" t="s">
        <v>34340</v>
      </c>
    </row>
    <row r="37864" spans="1:8">
      <c r="H37864" t="s">
        <v>34341</v>
      </c>
    </row>
    <row r="37865" spans="1:8">
      <c r="H37865" t="s">
        <v>34342</v>
      </c>
    </row>
    <row r="37866" spans="1:8">
      <c r="H37866" t="s">
        <v>34343</v>
      </c>
    </row>
    <row r="37867" spans="1:8">
      <c r="H37867" t="s">
        <v>34344</v>
      </c>
    </row>
    <row r="37868" spans="1:8">
      <c r="H37868" t="s">
        <v>34345</v>
      </c>
    </row>
    <row r="37869" spans="1:8">
      <c r="H37869" t="s">
        <v>34346</v>
      </c>
    </row>
    <row r="37870" spans="1:8">
      <c r="H37870" t="s">
        <v>34347</v>
      </c>
    </row>
    <row r="37871" spans="1:8">
      <c r="H37871" t="s">
        <v>34348</v>
      </c>
    </row>
    <row r="37872" spans="1:8">
      <c r="A37872" t="s">
        <v>3324</v>
      </c>
      <c r="B37872">
        <f>HYPERLINK("https://android.googlesource.com/platform/cts/+/6f8a90d74db448330779729330cafd84721eaddd", "6f8a90d74db448330779729330cafd84721eaddd")</f>
        <v>0</v>
      </c>
      <c r="C37872">
        <f>HYPERLINK("https://android.googlesource.com/platform/cts/+/b991fe5a03e9820ecb68faececb38f1b852366b3", "b991fe5a03e9820ecb68faececb38f1b852366b3")</f>
        <v>0</v>
      </c>
      <c r="D37872" t="s">
        <v>5447</v>
      </c>
      <c r="E37872" t="s">
        <v>9034</v>
      </c>
      <c r="F37872" t="s">
        <v>13968</v>
      </c>
      <c r="G37872" t="s">
        <v>17993</v>
      </c>
      <c r="H37872" t="s">
        <v>34349</v>
      </c>
    </row>
    <row r="37873" spans="1:8">
      <c r="A37873" t="s">
        <v>3325</v>
      </c>
      <c r="B37873">
        <f>HYPERLINK("https://android.googlesource.com/platform/cts/+/030a920e3219f26c2acf9cec2523b0d1b26f3fa9", "030a920e3219f26c2acf9cec2523b0d1b26f3fa9")</f>
        <v>0</v>
      </c>
      <c r="C37873">
        <f>HYPERLINK("https://android.googlesource.com/platform/cts/+/fb8ea5a6b4c8fce41108226343cf38bc643103e7", "fb8ea5a6b4c8fce41108226343cf38bc643103e7")</f>
        <v>0</v>
      </c>
      <c r="D37873" t="s">
        <v>5551</v>
      </c>
      <c r="E37873" t="s">
        <v>9035</v>
      </c>
      <c r="F37873" t="s">
        <v>14248</v>
      </c>
      <c r="G37873" t="s">
        <v>17675</v>
      </c>
      <c r="H37873" t="s">
        <v>34350</v>
      </c>
    </row>
    <row r="37874" spans="1:8">
      <c r="A37874" t="s">
        <v>3326</v>
      </c>
      <c r="B37874">
        <f>HYPERLINK("https://android.googlesource.com/platform/cts/+/18872459bfdf7cf9db88ae1111a2bb09b967e3fb", "18872459bfdf7cf9db88ae1111a2bb09b967e3fb")</f>
        <v>0</v>
      </c>
      <c r="C37874">
        <f>HYPERLINK("https://android.googlesource.com/platform/cts/+/ebd607ad0da2cbbf93e093f9e6cf9c1ac0654c33", "ebd607ad0da2cbbf93e093f9e6cf9c1ac0654c33")</f>
        <v>0</v>
      </c>
      <c r="D37874" t="s">
        <v>5552</v>
      </c>
      <c r="E37874" t="s">
        <v>9036</v>
      </c>
      <c r="F37874" t="s">
        <v>14244</v>
      </c>
      <c r="G37874" t="s">
        <v>18212</v>
      </c>
      <c r="H37874" t="s">
        <v>34258</v>
      </c>
    </row>
    <row r="37875" spans="1:8">
      <c r="A37875" t="s">
        <v>3327</v>
      </c>
      <c r="B37875">
        <f>HYPERLINK("https://android.googlesource.com/platform/cts/+/5b19bc353a7bd9dfe5c485157ccff30f420f537c", "5b19bc353a7bd9dfe5c485157ccff30f420f537c")</f>
        <v>0</v>
      </c>
      <c r="C37875">
        <f>HYPERLINK("https://android.googlesource.com/platform/cts/+/596f5f731df684f7a3bec1a2a6e61c77bb647c6a", "596f5f731df684f7a3bec1a2a6e61c77bb647c6a")</f>
        <v>0</v>
      </c>
      <c r="D37875" t="s">
        <v>5541</v>
      </c>
      <c r="E37875" t="s">
        <v>9037</v>
      </c>
      <c r="F37875" t="s">
        <v>13335</v>
      </c>
      <c r="G37875" t="s">
        <v>17465</v>
      </c>
      <c r="H37875" t="s">
        <v>34203</v>
      </c>
    </row>
    <row r="37876" spans="1:8">
      <c r="H37876" t="s">
        <v>34204</v>
      </c>
    </row>
    <row r="37877" spans="1:8">
      <c r="A37877" t="s">
        <v>3328</v>
      </c>
      <c r="B37877">
        <f>HYPERLINK("https://android.googlesource.com/platform/cts/+/678eb4f9dd13e2b4adde67751982af5b282f65ee", "678eb4f9dd13e2b4adde67751982af5b282f65ee")</f>
        <v>0</v>
      </c>
      <c r="C37877">
        <f>HYPERLINK("https://android.googlesource.com/platform/cts/+/3eeaacfd0f1bbb7634a6cf69f399fb40a87c3948", "3eeaacfd0f1bbb7634a6cf69f399fb40a87c3948")</f>
        <v>0</v>
      </c>
      <c r="D37877" t="s">
        <v>5288</v>
      </c>
      <c r="E37877" t="s">
        <v>9038</v>
      </c>
      <c r="F37877" t="s">
        <v>13752</v>
      </c>
      <c r="G37877" t="s">
        <v>17812</v>
      </c>
      <c r="H37877" t="s">
        <v>34261</v>
      </c>
    </row>
    <row r="37878" spans="1:8">
      <c r="H37878" t="s">
        <v>34262</v>
      </c>
    </row>
    <row r="37879" spans="1:8">
      <c r="H37879" t="s">
        <v>34263</v>
      </c>
    </row>
    <row r="37880" spans="1:8">
      <c r="H37880" t="s">
        <v>34264</v>
      </c>
    </row>
    <row r="37881" spans="1:8">
      <c r="H37881" t="s">
        <v>34265</v>
      </c>
    </row>
    <row r="37882" spans="1:8">
      <c r="H37882" t="s">
        <v>34266</v>
      </c>
    </row>
    <row r="37883" spans="1:8">
      <c r="H37883" t="s">
        <v>34267</v>
      </c>
    </row>
    <row r="37884" spans="1:8">
      <c r="H37884" t="s">
        <v>34268</v>
      </c>
    </row>
    <row r="37885" spans="1:8">
      <c r="H37885" t="s">
        <v>34269</v>
      </c>
    </row>
    <row r="37886" spans="1:8">
      <c r="H37886" t="s">
        <v>34270</v>
      </c>
    </row>
    <row r="37887" spans="1:8">
      <c r="H37887" t="s">
        <v>34271</v>
      </c>
    </row>
    <row r="37888" spans="1:8">
      <c r="H37888" t="s">
        <v>34272</v>
      </c>
    </row>
    <row r="37889" spans="8:8">
      <c r="H37889" t="s">
        <v>34273</v>
      </c>
    </row>
    <row r="37890" spans="8:8">
      <c r="H37890" t="s">
        <v>34274</v>
      </c>
    </row>
    <row r="37891" spans="8:8">
      <c r="H37891" t="s">
        <v>34275</v>
      </c>
    </row>
    <row r="37892" spans="8:8">
      <c r="H37892" t="s">
        <v>34276</v>
      </c>
    </row>
    <row r="37893" spans="8:8">
      <c r="H37893" t="s">
        <v>34277</v>
      </c>
    </row>
    <row r="37894" spans="8:8">
      <c r="H37894" t="s">
        <v>34278</v>
      </c>
    </row>
    <row r="37895" spans="8:8">
      <c r="H37895" t="s">
        <v>34279</v>
      </c>
    </row>
    <row r="37896" spans="8:8">
      <c r="H37896" t="s">
        <v>34280</v>
      </c>
    </row>
    <row r="37897" spans="8:8">
      <c r="H37897" t="s">
        <v>34281</v>
      </c>
    </row>
    <row r="37898" spans="8:8">
      <c r="H37898" t="s">
        <v>34282</v>
      </c>
    </row>
    <row r="37899" spans="8:8">
      <c r="H37899" t="s">
        <v>34283</v>
      </c>
    </row>
    <row r="37900" spans="8:8">
      <c r="H37900" t="s">
        <v>34284</v>
      </c>
    </row>
    <row r="37901" spans="8:8">
      <c r="H37901" t="s">
        <v>34285</v>
      </c>
    </row>
    <row r="37902" spans="8:8">
      <c r="H37902" t="s">
        <v>34286</v>
      </c>
    </row>
    <row r="37903" spans="8:8">
      <c r="H37903" t="s">
        <v>34287</v>
      </c>
    </row>
    <row r="37904" spans="8:8">
      <c r="H37904" t="s">
        <v>34288</v>
      </c>
    </row>
    <row r="37905" spans="1:8">
      <c r="H37905" t="s">
        <v>29582</v>
      </c>
    </row>
    <row r="37906" spans="1:8">
      <c r="F37906" t="s">
        <v>14249</v>
      </c>
      <c r="G37906" t="s">
        <v>18214</v>
      </c>
      <c r="H37906" t="s">
        <v>32610</v>
      </c>
    </row>
    <row r="37907" spans="1:8">
      <c r="H37907" t="s">
        <v>32611</v>
      </c>
    </row>
    <row r="37908" spans="1:8">
      <c r="H37908" t="s">
        <v>32612</v>
      </c>
    </row>
    <row r="37909" spans="1:8">
      <c r="H37909" t="s">
        <v>32613</v>
      </c>
    </row>
    <row r="37910" spans="1:8">
      <c r="H37910" t="s">
        <v>32614</v>
      </c>
    </row>
    <row r="37911" spans="1:8">
      <c r="A37911" t="s">
        <v>3329</v>
      </c>
      <c r="B37911">
        <f>HYPERLINK("https://android.googlesource.com/platform/cts/+/67d182168a0d6dac5ff0df061c8efd67f5091055", "67d182168a0d6dac5ff0df061c8efd67f5091055")</f>
        <v>0</v>
      </c>
      <c r="C37911">
        <f>HYPERLINK("https://android.googlesource.com/platform/cts/+/29224dee851591fac9e276f9b3254afdc82b6816", "29224dee851591fac9e276f9b3254afdc82b6816")</f>
        <v>0</v>
      </c>
      <c r="D37911" t="s">
        <v>5260</v>
      </c>
      <c r="E37911" t="s">
        <v>9039</v>
      </c>
      <c r="F37911" t="s">
        <v>10687</v>
      </c>
      <c r="G37911" t="s">
        <v>15087</v>
      </c>
      <c r="H37911" t="s">
        <v>34351</v>
      </c>
    </row>
    <row r="37912" spans="1:8">
      <c r="H37912" t="s">
        <v>34352</v>
      </c>
    </row>
    <row r="37913" spans="1:8">
      <c r="A37913" t="s">
        <v>3330</v>
      </c>
      <c r="B37913">
        <f>HYPERLINK("https://android.googlesource.com/platform/cts/+/19ff1b7dfea1ada771a20089824fc5f75866ea4f", "19ff1b7dfea1ada771a20089824fc5f75866ea4f")</f>
        <v>0</v>
      </c>
      <c r="C37913">
        <f>HYPERLINK("https://android.googlesource.com/platform/cts/+/2d07a845dd77abe581aa7c33786c1e4d2f3d95d4", "2d07a845dd77abe581aa7c33786c1e4d2f3d95d4")</f>
        <v>0</v>
      </c>
      <c r="D37913" t="s">
        <v>5553</v>
      </c>
      <c r="E37913" t="s">
        <v>9040</v>
      </c>
      <c r="F37913" t="s">
        <v>14250</v>
      </c>
      <c r="G37913" t="s">
        <v>18215</v>
      </c>
      <c r="H37913" t="s">
        <v>34353</v>
      </c>
    </row>
    <row r="37914" spans="1:8">
      <c r="H37914" t="s">
        <v>32846</v>
      </c>
    </row>
    <row r="37915" spans="1:8">
      <c r="H37915" t="s">
        <v>32847</v>
      </c>
    </row>
    <row r="37916" spans="1:8">
      <c r="A37916" t="s">
        <v>3331</v>
      </c>
      <c r="B37916">
        <f>HYPERLINK("https://android.googlesource.com/platform/cts/+/72377a35feb33febf4d6287c0d133f2114edf4e7", "72377a35feb33febf4d6287c0d133f2114edf4e7")</f>
        <v>0</v>
      </c>
      <c r="C37916">
        <f>HYPERLINK("https://android.googlesource.com/platform/cts/+/2c0b9cf698a9b33a68b401a968b1fb4bdaf162ba", "2c0b9cf698a9b33a68b401a968b1fb4bdaf162ba")</f>
        <v>0</v>
      </c>
      <c r="D37916" t="s">
        <v>5439</v>
      </c>
      <c r="E37916" t="s">
        <v>9041</v>
      </c>
      <c r="F37916" t="s">
        <v>14244</v>
      </c>
      <c r="G37916" t="s">
        <v>18212</v>
      </c>
      <c r="H37916" t="s">
        <v>34258</v>
      </c>
    </row>
    <row r="37917" spans="1:8">
      <c r="F37917" t="s">
        <v>13968</v>
      </c>
      <c r="G37917" t="s">
        <v>17993</v>
      </c>
      <c r="H37917" t="s">
        <v>34349</v>
      </c>
    </row>
    <row r="37918" spans="1:8">
      <c r="F37918" t="s">
        <v>10696</v>
      </c>
      <c r="G37918" t="s">
        <v>15096</v>
      </c>
      <c r="H37918" t="s">
        <v>33518</v>
      </c>
    </row>
    <row r="37919" spans="1:8">
      <c r="A37919" t="s">
        <v>3332</v>
      </c>
      <c r="B37919">
        <f>HYPERLINK("https://android.googlesource.com/platform/cts/+/7efaba755726a476b17e90d03061a538ac198f74", "7efaba755726a476b17e90d03061a538ac198f74")</f>
        <v>0</v>
      </c>
      <c r="C37919">
        <f>HYPERLINK("https://android.googlesource.com/platform/cts/+/e9278e42f302f7f44b5c7f9d39728009796b49ce", "e9278e42f302f7f44b5c7f9d39728009796b49ce")</f>
        <v>0</v>
      </c>
      <c r="D37919" t="s">
        <v>5439</v>
      </c>
      <c r="E37919" t="s">
        <v>9042</v>
      </c>
      <c r="F37919" t="s">
        <v>14244</v>
      </c>
      <c r="G37919" t="s">
        <v>18212</v>
      </c>
      <c r="H37919" t="s">
        <v>34258</v>
      </c>
    </row>
    <row r="37920" spans="1:8">
      <c r="F37920" t="s">
        <v>13968</v>
      </c>
      <c r="G37920" t="s">
        <v>17993</v>
      </c>
      <c r="H37920" t="s">
        <v>34349</v>
      </c>
    </row>
    <row r="37921" spans="1:8">
      <c r="F37921" t="s">
        <v>10696</v>
      </c>
      <c r="G37921" t="s">
        <v>15096</v>
      </c>
      <c r="H37921" t="s">
        <v>33518</v>
      </c>
    </row>
    <row r="37922" spans="1:8">
      <c r="A37922" t="s">
        <v>3333</v>
      </c>
      <c r="B37922">
        <f>HYPERLINK("https://android.googlesource.com/platform/cts/+/3ae8a25e96f545e582fa924662aaf9baaf2a72cf", "3ae8a25e96f545e582fa924662aaf9baaf2a72cf")</f>
        <v>0</v>
      </c>
      <c r="C37922">
        <f>HYPERLINK("https://android.googlesource.com/platform/cts/+/7498c0fe87e19db804d0ac2c9b46b8b0256eed59", "7498c0fe87e19db804d0ac2c9b46b8b0256eed59")</f>
        <v>0</v>
      </c>
      <c r="D37922" t="s">
        <v>5439</v>
      </c>
      <c r="E37922" t="s">
        <v>9043</v>
      </c>
      <c r="F37922" t="s">
        <v>14244</v>
      </c>
      <c r="G37922" t="s">
        <v>18212</v>
      </c>
      <c r="H37922" t="s">
        <v>34258</v>
      </c>
    </row>
    <row r="37923" spans="1:8">
      <c r="F37923" t="s">
        <v>13968</v>
      </c>
      <c r="G37923" t="s">
        <v>17993</v>
      </c>
      <c r="H37923" t="s">
        <v>34349</v>
      </c>
    </row>
    <row r="37924" spans="1:8">
      <c r="A37924" t="s">
        <v>3334</v>
      </c>
      <c r="B37924">
        <f>HYPERLINK("https://android.googlesource.com/platform/cts/+/18e3dfef969a7a8199c161613519fb31813764d5", "18e3dfef969a7a8199c161613519fb31813764d5")</f>
        <v>0</v>
      </c>
      <c r="C37924">
        <f>HYPERLINK("https://android.googlesource.com/platform/cts/+/d0b98b8f6e982127c8acde8a55605a6b24c4fa23", "d0b98b8f6e982127c8acde8a55605a6b24c4fa23")</f>
        <v>0</v>
      </c>
      <c r="D37924" t="s">
        <v>5439</v>
      </c>
      <c r="E37924" t="s">
        <v>9044</v>
      </c>
      <c r="F37924" t="s">
        <v>14244</v>
      </c>
      <c r="G37924" t="s">
        <v>18212</v>
      </c>
      <c r="H37924" t="s">
        <v>34258</v>
      </c>
    </row>
    <row r="37925" spans="1:8">
      <c r="F37925" t="s">
        <v>13968</v>
      </c>
      <c r="G37925" t="s">
        <v>17993</v>
      </c>
      <c r="H37925" t="s">
        <v>34349</v>
      </c>
    </row>
    <row r="37926" spans="1:8">
      <c r="F37926" t="s">
        <v>10696</v>
      </c>
      <c r="G37926" t="s">
        <v>15096</v>
      </c>
      <c r="H37926" t="s">
        <v>33518</v>
      </c>
    </row>
    <row r="37927" spans="1:8">
      <c r="A37927" t="s">
        <v>3335</v>
      </c>
      <c r="B37927">
        <f>HYPERLINK("https://android.googlesource.com/platform/cts/+/c759cb4ec47bf6c5540531da5b8f537a2e4ef319", "c759cb4ec47bf6c5540531da5b8f537a2e4ef319")</f>
        <v>0</v>
      </c>
      <c r="C37927">
        <f>HYPERLINK("https://android.googlesource.com/platform/cts/+/2716d0e067e5a11e6c304943dbe53c071c29ade1", "2716d0e067e5a11e6c304943dbe53c071c29ade1")</f>
        <v>0</v>
      </c>
      <c r="D37927" t="s">
        <v>5554</v>
      </c>
      <c r="E37927" t="s">
        <v>9045</v>
      </c>
      <c r="F37927" t="s">
        <v>14059</v>
      </c>
      <c r="G37927" t="s">
        <v>18057</v>
      </c>
      <c r="H37927" t="s">
        <v>18829</v>
      </c>
    </row>
    <row r="37928" spans="1:8">
      <c r="H37928" t="s">
        <v>33136</v>
      </c>
    </row>
    <row r="37929" spans="1:8">
      <c r="A37929" t="s">
        <v>3336</v>
      </c>
      <c r="B37929">
        <f>HYPERLINK("https://android.googlesource.com/platform/cts/+/6305774a70fd4fa91964fb803d19c55b3f505e02", "6305774a70fd4fa91964fb803d19c55b3f505e02")</f>
        <v>0</v>
      </c>
      <c r="C37929">
        <f>HYPERLINK("https://android.googlesource.com/platform/cts/+/5bbe179c89cf82f72e0bd7f90d70549c6abe1fc3", "5bbe179c89cf82f72e0bd7f90d70549c6abe1fc3")</f>
        <v>0</v>
      </c>
      <c r="D37929" t="s">
        <v>5182</v>
      </c>
      <c r="E37929" t="s">
        <v>9046</v>
      </c>
      <c r="F37929" t="s">
        <v>12820</v>
      </c>
      <c r="G37929" t="s">
        <v>16999</v>
      </c>
      <c r="H37929" t="s">
        <v>34354</v>
      </c>
    </row>
    <row r="37930" spans="1:8">
      <c r="H37930" t="s">
        <v>34355</v>
      </c>
    </row>
    <row r="37931" spans="1:8">
      <c r="H37931" t="s">
        <v>34356</v>
      </c>
    </row>
    <row r="37932" spans="1:8">
      <c r="H37932" t="s">
        <v>34357</v>
      </c>
    </row>
    <row r="37933" spans="1:8">
      <c r="H37933" t="s">
        <v>34358</v>
      </c>
    </row>
    <row r="37934" spans="1:8">
      <c r="H37934" t="s">
        <v>34359</v>
      </c>
    </row>
    <row r="37935" spans="1:8">
      <c r="H37935" t="s">
        <v>34360</v>
      </c>
    </row>
    <row r="37936" spans="1:8">
      <c r="H37936" t="s">
        <v>34361</v>
      </c>
    </row>
    <row r="37937" spans="1:8">
      <c r="A37937" t="s">
        <v>3337</v>
      </c>
      <c r="B37937">
        <f>HYPERLINK("https://android.googlesource.com/platform/cts/+/302b7d23f8535e426afc97f4079f3e4b1d18c093", "302b7d23f8535e426afc97f4079f3e4b1d18c093")</f>
        <v>0</v>
      </c>
      <c r="C37937">
        <f>HYPERLINK("https://android.googlesource.com/platform/cts/+/ce66cb541b016dbfbcd32b3f588ec47290b8bc78", "ce66cb541b016dbfbcd32b3f588ec47290b8bc78")</f>
        <v>0</v>
      </c>
      <c r="D37937" t="s">
        <v>5486</v>
      </c>
      <c r="E37937" t="s">
        <v>9047</v>
      </c>
      <c r="F37937" t="s">
        <v>13317</v>
      </c>
      <c r="G37937" t="s">
        <v>17448</v>
      </c>
      <c r="H37937" t="s">
        <v>34362</v>
      </c>
    </row>
    <row r="37938" spans="1:8">
      <c r="H37938" t="s">
        <v>34363</v>
      </c>
    </row>
    <row r="37939" spans="1:8">
      <c r="H37939" t="s">
        <v>34364</v>
      </c>
    </row>
    <row r="37940" spans="1:8">
      <c r="A37940" t="s">
        <v>3338</v>
      </c>
      <c r="B37940">
        <f>HYPERLINK("https://android.googlesource.com/platform/cts/+/38cee2c065bc21304fd4d562adc1773610530c00", "38cee2c065bc21304fd4d562adc1773610530c00")</f>
        <v>0</v>
      </c>
      <c r="C37940">
        <f>HYPERLINK("https://android.googlesource.com/platform/cts/+/768307da1038370c177ddb806accd898a2cd7a45", "768307da1038370c177ddb806accd898a2cd7a45")</f>
        <v>0</v>
      </c>
      <c r="D37940" t="s">
        <v>5555</v>
      </c>
      <c r="E37940" t="s">
        <v>9048</v>
      </c>
      <c r="F37940" t="s">
        <v>12232</v>
      </c>
      <c r="G37940" t="s">
        <v>16462</v>
      </c>
      <c r="H37940" t="s">
        <v>34365</v>
      </c>
    </row>
    <row r="37941" spans="1:8">
      <c r="H37941" t="s">
        <v>34366</v>
      </c>
    </row>
    <row r="37942" spans="1:8">
      <c r="A37942" t="s">
        <v>3339</v>
      </c>
      <c r="B37942">
        <f>HYPERLINK("https://android.googlesource.com/platform/cts/+/f7efe762bdba6b93b364904aa55b0cc7616e8ab8", "f7efe762bdba6b93b364904aa55b0cc7616e8ab8")</f>
        <v>0</v>
      </c>
      <c r="C37942">
        <f>HYPERLINK("https://android.googlesource.com/platform/cts/+/08e3e4216ae6f7b7bf4ebabe57bcda46d804e2d7", "08e3e4216ae6f7b7bf4ebabe57bcda46d804e2d7")</f>
        <v>0</v>
      </c>
      <c r="D37942" t="s">
        <v>5260</v>
      </c>
      <c r="E37942" t="s">
        <v>9039</v>
      </c>
      <c r="F37942" t="s">
        <v>10687</v>
      </c>
      <c r="G37942" t="s">
        <v>15087</v>
      </c>
      <c r="H37942" t="s">
        <v>34351</v>
      </c>
    </row>
    <row r="37943" spans="1:8">
      <c r="H37943" t="s">
        <v>34352</v>
      </c>
    </row>
    <row r="37944" spans="1:8">
      <c r="A37944" t="s">
        <v>3340</v>
      </c>
      <c r="B37944">
        <f>HYPERLINK("https://android.googlesource.com/platform/cts/+/4e00c8d6d3c817040c738ded37b9997881ab8969", "4e00c8d6d3c817040c738ded37b9997881ab8969")</f>
        <v>0</v>
      </c>
      <c r="C37944">
        <f>HYPERLINK("https://android.googlesource.com/platform/cts/+/5b19bc353a7bd9dfe5c485157ccff30f420f537c", "5b19bc353a7bd9dfe5c485157ccff30f420f537c")</f>
        <v>0</v>
      </c>
      <c r="D37944" t="s">
        <v>5541</v>
      </c>
      <c r="E37944" t="s">
        <v>9049</v>
      </c>
      <c r="F37944" t="s">
        <v>14251</v>
      </c>
      <c r="G37944" t="s">
        <v>18216</v>
      </c>
      <c r="H37944" t="s">
        <v>34367</v>
      </c>
    </row>
    <row r="37945" spans="1:8">
      <c r="A37945" t="s">
        <v>3341</v>
      </c>
      <c r="B37945">
        <f>HYPERLINK("https://android.googlesource.com/platform/cts/+/99a9e684e88671fa029128b4dab143300bacc526", "99a9e684e88671fa029128b4dab143300bacc526")</f>
        <v>0</v>
      </c>
      <c r="C37945">
        <f>HYPERLINK("https://android.googlesource.com/platform/cts/+/7965ebc14521bc04a81906987e7479b09007dee6", "7965ebc14521bc04a81906987e7479b09007dee6")</f>
        <v>0</v>
      </c>
      <c r="D37945" t="s">
        <v>5486</v>
      </c>
      <c r="E37945" t="s">
        <v>9050</v>
      </c>
      <c r="F37945" t="s">
        <v>13317</v>
      </c>
      <c r="G37945" t="s">
        <v>17448</v>
      </c>
      <c r="H37945" t="s">
        <v>34362</v>
      </c>
    </row>
    <row r="37946" spans="1:8">
      <c r="H37946" t="s">
        <v>34363</v>
      </c>
    </row>
    <row r="37947" spans="1:8">
      <c r="H37947" t="s">
        <v>34364</v>
      </c>
    </row>
    <row r="37948" spans="1:8">
      <c r="A37948" t="s">
        <v>3342</v>
      </c>
      <c r="B37948">
        <f>HYPERLINK("https://android.googlesource.com/platform/cts/+/b30636ac616f25485b520a3ce66ab405057484e1", "b30636ac616f25485b520a3ce66ab405057484e1")</f>
        <v>0</v>
      </c>
      <c r="C37948">
        <f>HYPERLINK("https://android.googlesource.com/platform/cts/+/e966fa5f32b36f4b7024d6ee528f5b50b540d7c8", "e966fa5f32b36f4b7024d6ee528f5b50b540d7c8")</f>
        <v>0</v>
      </c>
      <c r="D37948" t="s">
        <v>5272</v>
      </c>
      <c r="E37948" t="s">
        <v>9051</v>
      </c>
      <c r="F37948" t="s">
        <v>13398</v>
      </c>
      <c r="G37948" t="s">
        <v>17524</v>
      </c>
      <c r="H37948" t="s">
        <v>34134</v>
      </c>
    </row>
    <row r="37949" spans="1:8">
      <c r="A37949" t="s">
        <v>3343</v>
      </c>
      <c r="B37949">
        <f>HYPERLINK("https://android.googlesource.com/platform/cts/+/9ee5ae231446a1d4643487248b63a0ff4cd2c362", "9ee5ae231446a1d4643487248b63a0ff4cd2c362")</f>
        <v>0</v>
      </c>
      <c r="C37949">
        <f>HYPERLINK("https://android.googlesource.com/platform/cts/+/912c1373399c66a75004889e6b554de91446ebb6", "912c1373399c66a75004889e6b554de91446ebb6")</f>
        <v>0</v>
      </c>
      <c r="D37949" t="s">
        <v>5315</v>
      </c>
      <c r="E37949" t="s">
        <v>9052</v>
      </c>
      <c r="F37949" t="s">
        <v>13412</v>
      </c>
      <c r="G37949" t="s">
        <v>17538</v>
      </c>
      <c r="H37949" t="s">
        <v>32732</v>
      </c>
    </row>
    <row r="37950" spans="1:8">
      <c r="H37950" t="s">
        <v>32733</v>
      </c>
    </row>
    <row r="37951" spans="1:8">
      <c r="H37951" t="s">
        <v>32734</v>
      </c>
    </row>
    <row r="37952" spans="1:8">
      <c r="H37952" t="s">
        <v>32735</v>
      </c>
    </row>
    <row r="37953" spans="1:8">
      <c r="H37953" t="s">
        <v>32736</v>
      </c>
    </row>
    <row r="37954" spans="1:8">
      <c r="H37954" t="s">
        <v>32737</v>
      </c>
    </row>
    <row r="37955" spans="1:8">
      <c r="H37955" t="s">
        <v>32738</v>
      </c>
    </row>
    <row r="37956" spans="1:8">
      <c r="A37956" t="s">
        <v>3344</v>
      </c>
      <c r="B37956">
        <f>HYPERLINK("https://android.googlesource.com/platform/cts/+/f1080f70698e587bda00315a67fa07abe845a3a5", "f1080f70698e587bda00315a67fa07abe845a3a5")</f>
        <v>0</v>
      </c>
      <c r="C37956">
        <f>HYPERLINK("https://android.googlesource.com/platform/cts/+/f7930883389b9b34143d4a8ed1b4fa9372ac2735", "f7930883389b9b34143d4a8ed1b4fa9372ac2735")</f>
        <v>0</v>
      </c>
      <c r="D37956" t="s">
        <v>5189</v>
      </c>
      <c r="E37956" t="s">
        <v>9053</v>
      </c>
      <c r="F37956" t="s">
        <v>14077</v>
      </c>
      <c r="G37956" t="s">
        <v>18075</v>
      </c>
      <c r="H37956" t="s">
        <v>34368</v>
      </c>
    </row>
    <row r="37957" spans="1:8">
      <c r="A37957" t="s">
        <v>3345</v>
      </c>
      <c r="B37957">
        <f>HYPERLINK("https://android.googlesource.com/platform/cts/+/cf1cb01100c635f57ee99db26010a0eccc64cc54", "cf1cb01100c635f57ee99db26010a0eccc64cc54")</f>
        <v>0</v>
      </c>
      <c r="C37957">
        <f>HYPERLINK("https://android.googlesource.com/platform/cts/+/01e2c05230532723125efbd9ad56ccaacf076191", "01e2c05230532723125efbd9ad56ccaacf076191")</f>
        <v>0</v>
      </c>
      <c r="D37957" t="s">
        <v>5051</v>
      </c>
      <c r="E37957" t="s">
        <v>9054</v>
      </c>
      <c r="F37957" t="s">
        <v>13850</v>
      </c>
      <c r="G37957" t="s">
        <v>16816</v>
      </c>
      <c r="H37957" t="s">
        <v>34369</v>
      </c>
    </row>
    <row r="37958" spans="1:8">
      <c r="A37958" t="s">
        <v>3346</v>
      </c>
      <c r="B37958">
        <f>HYPERLINK("https://android.googlesource.com/platform/cts/+/3cc0b52170518590009ae6aff6c887c49734fa2d", "3cc0b52170518590009ae6aff6c887c49734fa2d")</f>
        <v>0</v>
      </c>
      <c r="C37958">
        <f>HYPERLINK("https://android.googlesource.com/platform/cts/+/77a4c4378fb21731dc9acbd8b57b4455ec0b31f5", "77a4c4378fb21731dc9acbd8b57b4455ec0b31f5")</f>
        <v>0</v>
      </c>
      <c r="D37958" t="s">
        <v>5439</v>
      </c>
      <c r="E37958" t="s">
        <v>9055</v>
      </c>
      <c r="F37958" t="s">
        <v>14244</v>
      </c>
      <c r="G37958" t="s">
        <v>18212</v>
      </c>
      <c r="H37958" t="s">
        <v>34258</v>
      </c>
    </row>
    <row r="37959" spans="1:8">
      <c r="F37959" t="s">
        <v>13968</v>
      </c>
      <c r="G37959" t="s">
        <v>17993</v>
      </c>
      <c r="H37959" t="s">
        <v>34349</v>
      </c>
    </row>
    <row r="37960" spans="1:8">
      <c r="A37960" t="s">
        <v>3347</v>
      </c>
      <c r="B37960">
        <f>HYPERLINK("https://android.googlesource.com/platform/cts/+/1694ae40f8d5f07d7cd0035a6707421aa98eb138", "1694ae40f8d5f07d7cd0035a6707421aa98eb138")</f>
        <v>0</v>
      </c>
      <c r="C37960">
        <f>HYPERLINK("https://android.googlesource.com/platform/cts/+/cb8b808d3d1bf5ee012c38ca9270743fb5d7574f", "cb8b808d3d1bf5ee012c38ca9270743fb5d7574f")</f>
        <v>0</v>
      </c>
      <c r="D37960" t="s">
        <v>5416</v>
      </c>
      <c r="E37960" t="s">
        <v>9056</v>
      </c>
      <c r="F37960" t="s">
        <v>13502</v>
      </c>
      <c r="G37960" t="s">
        <v>17620</v>
      </c>
      <c r="H37960" t="s">
        <v>34142</v>
      </c>
    </row>
    <row r="37961" spans="1:8">
      <c r="H37961" t="s">
        <v>34146</v>
      </c>
    </row>
    <row r="37962" spans="1:8">
      <c r="A37962" t="s">
        <v>3348</v>
      </c>
      <c r="B37962">
        <f>HYPERLINK("https://android.googlesource.com/platform/cts/+/465631f79b0f7ee7cae5648155e4ea1bf36540c2", "465631f79b0f7ee7cae5648155e4ea1bf36540c2")</f>
        <v>0</v>
      </c>
      <c r="C37962">
        <f>HYPERLINK("https://android.googlesource.com/platform/cts/+/7abe3e0d31151e47df25d21874314ca90c2dde5a", "7abe3e0d31151e47df25d21874314ca90c2dde5a")</f>
        <v>0</v>
      </c>
      <c r="D37962" t="s">
        <v>5416</v>
      </c>
      <c r="E37962" t="s">
        <v>9056</v>
      </c>
      <c r="F37962" t="s">
        <v>13502</v>
      </c>
      <c r="G37962" t="s">
        <v>17620</v>
      </c>
      <c r="H37962" t="s">
        <v>34142</v>
      </c>
    </row>
    <row r="37963" spans="1:8">
      <c r="H37963" t="s">
        <v>34146</v>
      </c>
    </row>
    <row r="37964" spans="1:8">
      <c r="A37964" t="s">
        <v>3349</v>
      </c>
      <c r="B37964">
        <f>HYPERLINK("https://android.googlesource.com/platform/cts/+/3972892e9b51db3fb97312458def30ca5b657b61", "3972892e9b51db3fb97312458def30ca5b657b61")</f>
        <v>0</v>
      </c>
      <c r="C37964">
        <f>HYPERLINK("https://android.googlesource.com/platform/cts/+/7fe91df272dd19b274b1cebcdb9e8c4a153a4d92", "7fe91df272dd19b274b1cebcdb9e8c4a153a4d92")</f>
        <v>0</v>
      </c>
      <c r="D37964" t="s">
        <v>5416</v>
      </c>
      <c r="E37964" t="s">
        <v>9056</v>
      </c>
      <c r="F37964" t="s">
        <v>13502</v>
      </c>
      <c r="G37964" t="s">
        <v>17620</v>
      </c>
      <c r="H37964" t="s">
        <v>34142</v>
      </c>
    </row>
    <row r="37965" spans="1:8">
      <c r="H37965" t="s">
        <v>34146</v>
      </c>
    </row>
    <row r="37966" spans="1:8">
      <c r="A37966" t="s">
        <v>3350</v>
      </c>
      <c r="B37966">
        <f>HYPERLINK("https://android.googlesource.com/platform/cts/+/1400fb83d50d2d48d809873cf5f8cd1d83da1497", "1400fb83d50d2d48d809873cf5f8cd1d83da1497")</f>
        <v>0</v>
      </c>
      <c r="C37966">
        <f>HYPERLINK("https://android.googlesource.com/platform/cts/+/6c591cf4358562cd8da9a673606435139413b979", "6c591cf4358562cd8da9a673606435139413b979")</f>
        <v>0</v>
      </c>
      <c r="D37966" t="s">
        <v>5116</v>
      </c>
      <c r="E37966" t="s">
        <v>9057</v>
      </c>
      <c r="F37966" t="s">
        <v>13412</v>
      </c>
      <c r="G37966" t="s">
        <v>17538</v>
      </c>
      <c r="H37966" t="s">
        <v>32732</v>
      </c>
    </row>
    <row r="37967" spans="1:8">
      <c r="H37967" t="s">
        <v>32733</v>
      </c>
    </row>
    <row r="37968" spans="1:8">
      <c r="H37968" t="s">
        <v>32734</v>
      </c>
    </row>
    <row r="37969" spans="1:8">
      <c r="H37969" t="s">
        <v>32735</v>
      </c>
    </row>
    <row r="37970" spans="1:8">
      <c r="H37970" t="s">
        <v>32736</v>
      </c>
    </row>
    <row r="37971" spans="1:8">
      <c r="H37971" t="s">
        <v>32737</v>
      </c>
    </row>
    <row r="37972" spans="1:8">
      <c r="H37972" t="s">
        <v>32738</v>
      </c>
    </row>
    <row r="37973" spans="1:8">
      <c r="A37973" t="s">
        <v>3351</v>
      </c>
      <c r="B37973">
        <f>HYPERLINK("https://android.googlesource.com/platform/cts/+/8df3d47f9a4a8bca764c2fbe00cb6163c611e931", "8df3d47f9a4a8bca764c2fbe00cb6163c611e931")</f>
        <v>0</v>
      </c>
      <c r="C37973">
        <f>HYPERLINK("https://android.googlesource.com/platform/cts/+/8614365e5c8f09b889497cc77584c30faa013707", "8614365e5c8f09b889497cc77584c30faa013707")</f>
        <v>0</v>
      </c>
      <c r="D37973" t="s">
        <v>5456</v>
      </c>
      <c r="E37973" t="s">
        <v>9058</v>
      </c>
      <c r="F37973" t="s">
        <v>14023</v>
      </c>
      <c r="G37973" t="s">
        <v>18032</v>
      </c>
      <c r="H37973" t="s">
        <v>34370</v>
      </c>
    </row>
    <row r="37974" spans="1:8">
      <c r="F37974" t="s">
        <v>13899</v>
      </c>
      <c r="G37974" t="s">
        <v>17889</v>
      </c>
      <c r="H37974" t="s">
        <v>34252</v>
      </c>
    </row>
    <row r="37975" spans="1:8">
      <c r="A37975" t="s">
        <v>3352</v>
      </c>
      <c r="B37975">
        <f>HYPERLINK("https://android.googlesource.com/platform/cts/+/41b4fe7b48acd35bd97f7f8cb78e19ab8a80338c", "41b4fe7b48acd35bd97f7f8cb78e19ab8a80338c")</f>
        <v>0</v>
      </c>
      <c r="C37975">
        <f>HYPERLINK("https://android.googlesource.com/platform/cts/+/9dde962659640331751871b83c4370bb894ca35c", "9dde962659640331751871b83c4370bb894ca35c")</f>
        <v>0</v>
      </c>
      <c r="D37975" t="s">
        <v>5051</v>
      </c>
      <c r="E37975" t="s">
        <v>9059</v>
      </c>
      <c r="F37975" t="s">
        <v>13850</v>
      </c>
      <c r="G37975" t="s">
        <v>16816</v>
      </c>
      <c r="H37975" t="s">
        <v>34369</v>
      </c>
    </row>
    <row r="37976" spans="1:8">
      <c r="A37976" t="s">
        <v>3353</v>
      </c>
      <c r="B37976">
        <f>HYPERLINK("https://android.googlesource.com/platform/cts/+/e4d5eec90d677b78202fdce4e8ec5d46d1af6f82", "e4d5eec90d677b78202fdce4e8ec5d46d1af6f82")</f>
        <v>0</v>
      </c>
      <c r="C37976">
        <f>HYPERLINK("https://android.googlesource.com/platform/cts/+/8d3e3cb25ce9fc3a78c00edddccd0393673119f1", "8d3e3cb25ce9fc3a78c00edddccd0393673119f1")</f>
        <v>0</v>
      </c>
      <c r="D37976" t="s">
        <v>5051</v>
      </c>
      <c r="E37976" t="s">
        <v>9060</v>
      </c>
      <c r="F37976" t="s">
        <v>13850</v>
      </c>
      <c r="G37976" t="s">
        <v>16816</v>
      </c>
      <c r="H37976" t="s">
        <v>34369</v>
      </c>
    </row>
    <row r="37977" spans="1:8">
      <c r="A37977" t="s">
        <v>3354</v>
      </c>
      <c r="B37977">
        <f>HYPERLINK("https://android.googlesource.com/platform/cts/+/c92a9a698d1ead08974ea30b9552747dbc5fdf1e", "c92a9a698d1ead08974ea30b9552747dbc5fdf1e")</f>
        <v>0</v>
      </c>
      <c r="C37977">
        <f>HYPERLINK("https://android.googlesource.com/platform/cts/+/b104b5d6e8c645c3e8c6d2288943106f00f309f2", "b104b5d6e8c645c3e8c6d2288943106f00f309f2")</f>
        <v>0</v>
      </c>
      <c r="D37977" t="s">
        <v>5350</v>
      </c>
      <c r="E37977" t="s">
        <v>9061</v>
      </c>
      <c r="F37977" t="s">
        <v>14252</v>
      </c>
      <c r="G37977" t="s">
        <v>18217</v>
      </c>
      <c r="H37977" t="s">
        <v>34371</v>
      </c>
    </row>
    <row r="37978" spans="1:8">
      <c r="A37978" t="s">
        <v>3355</v>
      </c>
      <c r="B37978">
        <f>HYPERLINK("https://android.googlesource.com/platform/cts/+/13c76d106a7352d1b2693390de4b7e5a14c3a24b", "13c76d106a7352d1b2693390de4b7e5a14c3a24b")</f>
        <v>0</v>
      </c>
      <c r="C37978">
        <f>HYPERLINK("https://android.googlesource.com/platform/cts/+/815316cfa4a644617034b31ae9b52858621532fd", "815316cfa4a644617034b31ae9b52858621532fd")</f>
        <v>0</v>
      </c>
      <c r="D37978" t="s">
        <v>5416</v>
      </c>
      <c r="E37978" t="s">
        <v>9056</v>
      </c>
      <c r="F37978" t="s">
        <v>13502</v>
      </c>
      <c r="G37978" t="s">
        <v>17620</v>
      </c>
      <c r="H37978" t="s">
        <v>34142</v>
      </c>
    </row>
    <row r="37979" spans="1:8">
      <c r="H37979" t="s">
        <v>34146</v>
      </c>
    </row>
    <row r="37980" spans="1:8">
      <c r="A37980" t="s">
        <v>3356</v>
      </c>
      <c r="B37980">
        <f>HYPERLINK("https://android.googlesource.com/platform/cts/+/28f1a22b24bdeab969a36c5eb9e9c117a84dd8aa", "28f1a22b24bdeab969a36c5eb9e9c117a84dd8aa")</f>
        <v>0</v>
      </c>
      <c r="C37980">
        <f>HYPERLINK("https://android.googlesource.com/platform/cts/+/8e5fbeb1bdad0fba0aa110ffac0356f72f0af12a", "8e5fbeb1bdad0fba0aa110ffac0356f72f0af12a")</f>
        <v>0</v>
      </c>
      <c r="D37980" t="s">
        <v>5051</v>
      </c>
      <c r="E37980" t="s">
        <v>9062</v>
      </c>
      <c r="F37980" t="s">
        <v>13850</v>
      </c>
      <c r="G37980" t="s">
        <v>16816</v>
      </c>
      <c r="H37980" t="s">
        <v>34369</v>
      </c>
    </row>
    <row r="37981" spans="1:8">
      <c r="A37981" t="s">
        <v>3357</v>
      </c>
      <c r="B37981">
        <f>HYPERLINK("https://android.googlesource.com/platform/cts/+/a87e239055a3b8a33122cf2ace4949c9b2f86c91", "a87e239055a3b8a33122cf2ace4949c9b2f86c91")</f>
        <v>0</v>
      </c>
      <c r="C37981">
        <f>HYPERLINK("https://android.googlesource.com/platform/cts/+/14da5ba226b461c0b91b25e0d45e589645871081", "14da5ba226b461c0b91b25e0d45e589645871081")</f>
        <v>0</v>
      </c>
      <c r="D37981" t="s">
        <v>5556</v>
      </c>
      <c r="E37981" t="s">
        <v>9063</v>
      </c>
      <c r="F37981" t="s">
        <v>14239</v>
      </c>
      <c r="G37981" t="s">
        <v>18209</v>
      </c>
      <c r="H37981" t="s">
        <v>33660</v>
      </c>
    </row>
    <row r="37982" spans="1:8">
      <c r="F37982" t="s">
        <v>14240</v>
      </c>
      <c r="G37982" t="s">
        <v>18209</v>
      </c>
      <c r="H37982" t="s">
        <v>33660</v>
      </c>
    </row>
    <row r="37983" spans="1:8">
      <c r="A37983" t="s">
        <v>3358</v>
      </c>
      <c r="B37983">
        <f>HYPERLINK("https://android.googlesource.com/platform/cts/+/13866a821de6427a8842d82786b71b4bcd75eea7", "13866a821de6427a8842d82786b71b4bcd75eea7")</f>
        <v>0</v>
      </c>
      <c r="C37983">
        <f>HYPERLINK("https://android.googlesource.com/platform/cts/+/1db7f8489674e70e1a9260a2be4143847532a38d", "1db7f8489674e70e1a9260a2be4143847532a38d")</f>
        <v>0</v>
      </c>
      <c r="D37983" t="s">
        <v>5456</v>
      </c>
      <c r="E37983" t="s">
        <v>9064</v>
      </c>
      <c r="F37983" t="s">
        <v>14023</v>
      </c>
      <c r="G37983" t="s">
        <v>18032</v>
      </c>
      <c r="H37983" t="s">
        <v>34372</v>
      </c>
    </row>
    <row r="37984" spans="1:8">
      <c r="F37984" t="s">
        <v>13846</v>
      </c>
      <c r="G37984" t="s">
        <v>17889</v>
      </c>
      <c r="H37984" t="s">
        <v>34372</v>
      </c>
    </row>
    <row r="37985" spans="1:8">
      <c r="F37985" t="s">
        <v>13899</v>
      </c>
      <c r="G37985" t="s">
        <v>17889</v>
      </c>
      <c r="H37985" t="s">
        <v>34372</v>
      </c>
    </row>
    <row r="37986" spans="1:8">
      <c r="A37986" t="s">
        <v>3359</v>
      </c>
      <c r="B37986">
        <f>HYPERLINK("https://android.googlesource.com/platform/cts/+/6e23bc5d0f20f4ff5fcd29234efd7f704ed6a168", "6e23bc5d0f20f4ff5fcd29234efd7f704ed6a168")</f>
        <v>0</v>
      </c>
      <c r="C37986">
        <f>HYPERLINK("https://android.googlesource.com/platform/cts/+/13866a821de6427a8842d82786b71b4bcd75eea7", "13866a821de6427a8842d82786b71b4bcd75eea7")</f>
        <v>0</v>
      </c>
      <c r="D37986" t="s">
        <v>5456</v>
      </c>
      <c r="E37986" t="s">
        <v>9065</v>
      </c>
      <c r="F37986" t="s">
        <v>14023</v>
      </c>
      <c r="G37986" t="s">
        <v>18032</v>
      </c>
      <c r="H37986" t="s">
        <v>34251</v>
      </c>
    </row>
    <row r="37987" spans="1:8">
      <c r="H37987" t="s">
        <v>34253</v>
      </c>
    </row>
    <row r="37988" spans="1:8">
      <c r="F37988" t="s">
        <v>13899</v>
      </c>
      <c r="G37988" t="s">
        <v>17889</v>
      </c>
      <c r="H37988" t="s">
        <v>34251</v>
      </c>
    </row>
    <row r="37989" spans="1:8">
      <c r="H37989" t="s">
        <v>34253</v>
      </c>
    </row>
    <row r="37990" spans="1:8">
      <c r="A37990" t="s">
        <v>3360</v>
      </c>
      <c r="B37990">
        <f>HYPERLINK("https://android.googlesource.com/platform/cts/+/0d73217be674017e156c3b426684d40cf13c1fce", "0d73217be674017e156c3b426684d40cf13c1fce")</f>
        <v>0</v>
      </c>
      <c r="C37990">
        <f>HYPERLINK("https://android.googlesource.com/platform/cts/+/490b78764cce77e9a12303ac1d3748fadb2068a6", "490b78764cce77e9a12303ac1d3748fadb2068a6")</f>
        <v>0</v>
      </c>
      <c r="D37990" t="s">
        <v>5456</v>
      </c>
      <c r="E37990" t="s">
        <v>9066</v>
      </c>
      <c r="F37990" t="s">
        <v>13846</v>
      </c>
      <c r="G37990" t="s">
        <v>17889</v>
      </c>
      <c r="H37990" t="s">
        <v>34373</v>
      </c>
    </row>
    <row r="37991" spans="1:8">
      <c r="A37991" t="s">
        <v>3361</v>
      </c>
      <c r="B37991">
        <f>HYPERLINK("https://android.googlesource.com/platform/cts/+/5961e8d5388d68a051e440dccfa95953b4018904", "5961e8d5388d68a051e440dccfa95953b4018904")</f>
        <v>0</v>
      </c>
      <c r="C37991">
        <f>HYPERLINK("https://android.googlesource.com/platform/cts/+/427a30db119ef92bf8d612de4f604d9e87862ce1", "427a30db119ef92bf8d612de4f604d9e87862ce1")</f>
        <v>0</v>
      </c>
      <c r="D37991" t="s">
        <v>5557</v>
      </c>
      <c r="E37991" t="s">
        <v>9067</v>
      </c>
      <c r="F37991" t="s">
        <v>13021</v>
      </c>
      <c r="G37991" t="s">
        <v>17185</v>
      </c>
      <c r="H37991" t="s">
        <v>34374</v>
      </c>
    </row>
    <row r="37992" spans="1:8">
      <c r="H37992" t="s">
        <v>34375</v>
      </c>
    </row>
    <row r="37993" spans="1:8">
      <c r="A37993" t="s">
        <v>3362</v>
      </c>
      <c r="B37993">
        <f>HYPERLINK("https://android.googlesource.com/platform/cts/+/02be782417ea1f646964c3c45e791c1773f4da6d", "02be782417ea1f646964c3c45e791c1773f4da6d")</f>
        <v>0</v>
      </c>
      <c r="C37993">
        <f>HYPERLINK("https://android.googlesource.com/platform/cts/+/f06316a937c8da1e129b45e7569ce5882d9e9795", "f06316a937c8da1e129b45e7569ce5882d9e9795")</f>
        <v>0</v>
      </c>
      <c r="D37993" t="s">
        <v>5472</v>
      </c>
      <c r="E37993" t="s">
        <v>9068</v>
      </c>
      <c r="F37993" t="s">
        <v>13815</v>
      </c>
      <c r="G37993" t="s">
        <v>17862</v>
      </c>
      <c r="H37993" t="s">
        <v>34376</v>
      </c>
    </row>
    <row r="37994" spans="1:8">
      <c r="H37994" t="s">
        <v>34377</v>
      </c>
    </row>
    <row r="37995" spans="1:8">
      <c r="H37995" t="s">
        <v>25779</v>
      </c>
    </row>
    <row r="37996" spans="1:8">
      <c r="H37996" t="s">
        <v>25780</v>
      </c>
    </row>
    <row r="37997" spans="1:8">
      <c r="H37997" t="s">
        <v>34378</v>
      </c>
    </row>
    <row r="37998" spans="1:8">
      <c r="H37998" t="s">
        <v>34379</v>
      </c>
    </row>
    <row r="37999" spans="1:8">
      <c r="H37999" t="s">
        <v>34380</v>
      </c>
    </row>
    <row r="38000" spans="1:8">
      <c r="H38000" t="s">
        <v>34381</v>
      </c>
    </row>
    <row r="38001" spans="8:8">
      <c r="H38001" t="s">
        <v>34382</v>
      </c>
    </row>
    <row r="38002" spans="8:8">
      <c r="H38002" t="s">
        <v>34383</v>
      </c>
    </row>
    <row r="38003" spans="8:8">
      <c r="H38003" t="s">
        <v>34384</v>
      </c>
    </row>
    <row r="38004" spans="8:8">
      <c r="H38004" t="s">
        <v>34385</v>
      </c>
    </row>
    <row r="38005" spans="8:8">
      <c r="H38005" t="s">
        <v>34386</v>
      </c>
    </row>
    <row r="38006" spans="8:8">
      <c r="H38006" t="s">
        <v>34387</v>
      </c>
    </row>
    <row r="38007" spans="8:8">
      <c r="H38007" t="s">
        <v>34388</v>
      </c>
    </row>
    <row r="38008" spans="8:8">
      <c r="H38008" t="s">
        <v>34389</v>
      </c>
    </row>
    <row r="38009" spans="8:8">
      <c r="H38009" t="s">
        <v>34389</v>
      </c>
    </row>
    <row r="38010" spans="8:8">
      <c r="H38010" t="s">
        <v>34389</v>
      </c>
    </row>
    <row r="38011" spans="8:8">
      <c r="H38011" t="s">
        <v>34390</v>
      </c>
    </row>
    <row r="38012" spans="8:8">
      <c r="H38012" t="s">
        <v>34391</v>
      </c>
    </row>
    <row r="38013" spans="8:8">
      <c r="H38013" t="s">
        <v>34392</v>
      </c>
    </row>
    <row r="38014" spans="8:8">
      <c r="H38014" t="s">
        <v>34389</v>
      </c>
    </row>
    <row r="38015" spans="8:8">
      <c r="H38015" t="s">
        <v>34393</v>
      </c>
    </row>
    <row r="38016" spans="8:8">
      <c r="H38016" t="s">
        <v>34390</v>
      </c>
    </row>
    <row r="38017" spans="1:8">
      <c r="H38017" t="s">
        <v>34394</v>
      </c>
    </row>
    <row r="38018" spans="1:8">
      <c r="H38018" t="s">
        <v>34391</v>
      </c>
    </row>
    <row r="38019" spans="1:8">
      <c r="H38019" t="s">
        <v>34392</v>
      </c>
    </row>
    <row r="38020" spans="1:8">
      <c r="H38020" t="s">
        <v>34395</v>
      </c>
    </row>
    <row r="38021" spans="1:8">
      <c r="H38021" t="s">
        <v>19019</v>
      </c>
    </row>
    <row r="38022" spans="1:8">
      <c r="H38022" t="s">
        <v>20237</v>
      </c>
    </row>
    <row r="38023" spans="1:8">
      <c r="H38023" t="s">
        <v>34396</v>
      </c>
    </row>
    <row r="38024" spans="1:8">
      <c r="A38024" t="s">
        <v>3363</v>
      </c>
      <c r="B38024">
        <f>HYPERLINK("https://android.googlesource.com/platform/cts/+/a8014f80e8fc3b62aaf51b7a84e78741c572ebc1", "a8014f80e8fc3b62aaf51b7a84e78741c572ebc1")</f>
        <v>0</v>
      </c>
      <c r="C38024">
        <f>HYPERLINK("https://android.googlesource.com/platform/cts/+/c2aa3f14b1c5a5f760d763e5ac9ca4f0e97073ff", "c2aa3f14b1c5a5f760d763e5ac9ca4f0e97073ff")</f>
        <v>0</v>
      </c>
      <c r="D38024" t="s">
        <v>5558</v>
      </c>
      <c r="E38024" t="s">
        <v>9069</v>
      </c>
      <c r="F38024" t="s">
        <v>13165</v>
      </c>
      <c r="G38024" t="s">
        <v>17315</v>
      </c>
      <c r="H38024" t="s">
        <v>34397</v>
      </c>
    </row>
    <row r="38025" spans="1:8">
      <c r="A38025" t="s">
        <v>3364</v>
      </c>
      <c r="B38025">
        <f>HYPERLINK("https://android.googlesource.com/platform/cts/+/cc244bf268572a652c93845affb64b77872bacc6", "cc244bf268572a652c93845affb64b77872bacc6")</f>
        <v>0</v>
      </c>
      <c r="C38025">
        <f>HYPERLINK("https://android.googlesource.com/platform/cts/+/8fe84d69a60cc7534351650c7dac6ad163a90ebf", "8fe84d69a60cc7534351650c7dac6ad163a90ebf")</f>
        <v>0</v>
      </c>
      <c r="D38025" t="s">
        <v>5501</v>
      </c>
      <c r="E38025" t="s">
        <v>9070</v>
      </c>
      <c r="F38025" t="s">
        <v>14158</v>
      </c>
      <c r="G38025" t="s">
        <v>18144</v>
      </c>
      <c r="H38025" t="s">
        <v>34398</v>
      </c>
    </row>
    <row r="38026" spans="1:8">
      <c r="A38026" t="s">
        <v>3365</v>
      </c>
      <c r="B38026">
        <f>HYPERLINK("https://android.googlesource.com/platform/cts/+/60290aea0a85715fb7f53ca5fb7066a717988617", "60290aea0a85715fb7f53ca5fb7066a717988617")</f>
        <v>0</v>
      </c>
      <c r="C38026">
        <f>HYPERLINK("https://android.googlesource.com/platform/cts/+/079ac4a79b7c086bcc81c2341f6539c90f014ad4", "079ac4a79b7c086bcc81c2341f6539c90f014ad4")</f>
        <v>0</v>
      </c>
      <c r="D38026" t="s">
        <v>5501</v>
      </c>
      <c r="E38026" t="s">
        <v>9071</v>
      </c>
      <c r="F38026" t="s">
        <v>14206</v>
      </c>
      <c r="G38026" t="s">
        <v>18182</v>
      </c>
      <c r="H38026" t="s">
        <v>34399</v>
      </c>
    </row>
    <row r="38027" spans="1:8">
      <c r="H38027" t="s">
        <v>34400</v>
      </c>
    </row>
    <row r="38028" spans="1:8">
      <c r="H38028" t="s">
        <v>34401</v>
      </c>
    </row>
    <row r="38029" spans="1:8">
      <c r="A38029" t="s">
        <v>3366</v>
      </c>
      <c r="B38029">
        <f>HYPERLINK("https://android.googlesource.com/platform/cts/+/13630ec861e76845615788fda572a972f3819f22", "13630ec861e76845615788fda572a972f3819f22")</f>
        <v>0</v>
      </c>
      <c r="C38029">
        <f>HYPERLINK("https://android.googlesource.com/platform/cts/+/abf1eccee4ea5f11613c3f4c5f52abe2035b054e", "abf1eccee4ea5f11613c3f4c5f52abe2035b054e")</f>
        <v>0</v>
      </c>
      <c r="D38029" t="s">
        <v>5559</v>
      </c>
      <c r="E38029" t="s">
        <v>9072</v>
      </c>
      <c r="F38029" t="s">
        <v>14195</v>
      </c>
      <c r="G38029" t="s">
        <v>18174</v>
      </c>
      <c r="H38029" t="s">
        <v>34402</v>
      </c>
    </row>
    <row r="38030" spans="1:8">
      <c r="A38030" t="s">
        <v>3367</v>
      </c>
      <c r="B38030">
        <f>HYPERLINK("https://android.googlesource.com/platform/cts/+/b5a87e7577bdf46b52814b31e981e5123a653bf0", "b5a87e7577bdf46b52814b31e981e5123a653bf0")</f>
        <v>0</v>
      </c>
      <c r="C38030">
        <f>HYPERLINK("https://android.googlesource.com/platform/cts/+/3269b24b39838538a3aeca24c59b5d4f1cacd8f3", "3269b24b39838538a3aeca24c59b5d4f1cacd8f3")</f>
        <v>0</v>
      </c>
      <c r="D38030" t="s">
        <v>5272</v>
      </c>
      <c r="E38030" t="s">
        <v>9073</v>
      </c>
      <c r="F38030" t="s">
        <v>14253</v>
      </c>
      <c r="G38030" t="s">
        <v>18218</v>
      </c>
      <c r="H38030" t="s">
        <v>34403</v>
      </c>
    </row>
    <row r="38031" spans="1:8">
      <c r="A38031" t="s">
        <v>3368</v>
      </c>
      <c r="B38031">
        <f>HYPERLINK("https://android.googlesource.com/platform/cts/+/0979278260ded623fe08a225cb3a72a85582ed59", "0979278260ded623fe08a225cb3a72a85582ed59")</f>
        <v>0</v>
      </c>
      <c r="C38031">
        <f>HYPERLINK("https://android.googlesource.com/platform/cts/+/3269b24b39838538a3aeca24c59b5d4f1cacd8f3", "3269b24b39838538a3aeca24c59b5d4f1cacd8f3")</f>
        <v>0</v>
      </c>
      <c r="D38031" t="s">
        <v>5272</v>
      </c>
      <c r="E38031" t="s">
        <v>9074</v>
      </c>
      <c r="F38031" t="s">
        <v>14254</v>
      </c>
      <c r="G38031" t="s">
        <v>18219</v>
      </c>
      <c r="H38031" t="s">
        <v>18829</v>
      </c>
    </row>
    <row r="38032" spans="1:8">
      <c r="A38032" t="s">
        <v>3369</v>
      </c>
      <c r="B38032">
        <f>HYPERLINK("https://android.googlesource.com/platform/cts/+/1aede175ccdf926b5c5bfb1d86685513ebfbb976", "1aede175ccdf926b5c5bfb1d86685513ebfbb976")</f>
        <v>0</v>
      </c>
      <c r="C38032">
        <f>HYPERLINK("https://android.googlesource.com/platform/cts/+/7e1e49cff5c66a005e4909c3c8bae42f5a4aeeb6", "7e1e49cff5c66a005e4909c3c8bae42f5a4aeeb6")</f>
        <v>0</v>
      </c>
      <c r="D38032" t="s">
        <v>5438</v>
      </c>
      <c r="E38032" t="s">
        <v>9075</v>
      </c>
      <c r="F38032" t="s">
        <v>13257</v>
      </c>
      <c r="G38032" t="s">
        <v>17395</v>
      </c>
      <c r="H38032" t="s">
        <v>34404</v>
      </c>
    </row>
    <row r="38033" spans="8:8">
      <c r="H38033" t="s">
        <v>34405</v>
      </c>
    </row>
    <row r="38034" spans="8:8">
      <c r="H38034" t="s">
        <v>34406</v>
      </c>
    </row>
    <row r="38035" spans="8:8">
      <c r="H38035" t="s">
        <v>34407</v>
      </c>
    </row>
    <row r="38036" spans="8:8">
      <c r="H38036" t="s">
        <v>34408</v>
      </c>
    </row>
    <row r="38037" spans="8:8">
      <c r="H38037" t="s">
        <v>34409</v>
      </c>
    </row>
    <row r="38038" spans="8:8">
      <c r="H38038" t="s">
        <v>34410</v>
      </c>
    </row>
    <row r="38039" spans="8:8">
      <c r="H38039" t="s">
        <v>34411</v>
      </c>
    </row>
    <row r="38040" spans="8:8">
      <c r="H38040" t="s">
        <v>34412</v>
      </c>
    </row>
    <row r="38041" spans="8:8">
      <c r="H38041" t="s">
        <v>34413</v>
      </c>
    </row>
    <row r="38042" spans="8:8">
      <c r="H38042" t="s">
        <v>34414</v>
      </c>
    </row>
    <row r="38043" spans="8:8">
      <c r="H38043" t="s">
        <v>34415</v>
      </c>
    </row>
    <row r="38044" spans="8:8">
      <c r="H38044" t="s">
        <v>34416</v>
      </c>
    </row>
    <row r="38045" spans="8:8">
      <c r="H38045" t="s">
        <v>34417</v>
      </c>
    </row>
    <row r="38046" spans="8:8">
      <c r="H38046" t="s">
        <v>34418</v>
      </c>
    </row>
    <row r="38047" spans="8:8">
      <c r="H38047" t="s">
        <v>34419</v>
      </c>
    </row>
    <row r="38048" spans="8:8">
      <c r="H38048" t="s">
        <v>34420</v>
      </c>
    </row>
    <row r="38049" spans="8:8">
      <c r="H38049" t="s">
        <v>34421</v>
      </c>
    </row>
    <row r="38050" spans="8:8">
      <c r="H38050" t="s">
        <v>34422</v>
      </c>
    </row>
    <row r="38051" spans="8:8">
      <c r="H38051" t="s">
        <v>34423</v>
      </c>
    </row>
    <row r="38052" spans="8:8">
      <c r="H38052" t="s">
        <v>34424</v>
      </c>
    </row>
    <row r="38053" spans="8:8">
      <c r="H38053" t="s">
        <v>34425</v>
      </c>
    </row>
    <row r="38054" spans="8:8">
      <c r="H38054" t="s">
        <v>34426</v>
      </c>
    </row>
    <row r="38055" spans="8:8">
      <c r="H38055" t="s">
        <v>34427</v>
      </c>
    </row>
    <row r="38056" spans="8:8">
      <c r="H38056" t="s">
        <v>34428</v>
      </c>
    </row>
    <row r="38057" spans="8:8">
      <c r="H38057" t="s">
        <v>34429</v>
      </c>
    </row>
    <row r="38058" spans="8:8">
      <c r="H38058" t="s">
        <v>34430</v>
      </c>
    </row>
    <row r="38059" spans="8:8">
      <c r="H38059" t="s">
        <v>34431</v>
      </c>
    </row>
    <row r="38060" spans="8:8">
      <c r="H38060" t="s">
        <v>34432</v>
      </c>
    </row>
    <row r="38061" spans="8:8">
      <c r="H38061" t="s">
        <v>34433</v>
      </c>
    </row>
    <row r="38062" spans="8:8">
      <c r="H38062" t="s">
        <v>34434</v>
      </c>
    </row>
    <row r="38063" spans="8:8">
      <c r="H38063" t="s">
        <v>34435</v>
      </c>
    </row>
    <row r="38064" spans="8:8">
      <c r="H38064" t="s">
        <v>34436</v>
      </c>
    </row>
    <row r="38065" spans="1:8">
      <c r="H38065" t="s">
        <v>34437</v>
      </c>
    </row>
    <row r="38066" spans="1:8">
      <c r="A38066" t="s">
        <v>3370</v>
      </c>
      <c r="B38066">
        <f>HYPERLINK("https://android.googlesource.com/platform/cts/+/20bb0057d75a759389d0c1ca5f84395d3ce30251", "20bb0057d75a759389d0c1ca5f84395d3ce30251")</f>
        <v>0</v>
      </c>
      <c r="C38066">
        <f>HYPERLINK("https://android.googlesource.com/platform/cts/+/e4d00cbcc13a032cb227beee2f718cf1bed12010", "e4d00cbcc13a032cb227beee2f718cf1bed12010")</f>
        <v>0</v>
      </c>
      <c r="D38066" t="s">
        <v>5558</v>
      </c>
      <c r="E38066" t="s">
        <v>9076</v>
      </c>
      <c r="F38066" t="s">
        <v>13165</v>
      </c>
      <c r="G38066" t="s">
        <v>17315</v>
      </c>
      <c r="H38066" t="s">
        <v>34397</v>
      </c>
    </row>
    <row r="38067" spans="1:8">
      <c r="A38067" t="s">
        <v>3371</v>
      </c>
      <c r="B38067">
        <f>HYPERLINK("https://android.googlesource.com/platform/cts/+/7b9e760b3dbc5f256c68e663a7385729c3ad1312", "7b9e760b3dbc5f256c68e663a7385729c3ad1312")</f>
        <v>0</v>
      </c>
      <c r="C38067">
        <f>HYPERLINK("https://android.googlesource.com/platform/cts/+/1ea17f28ee6f06c67a1d1756f051344d64dc6776", "1ea17f28ee6f06c67a1d1756f051344d64dc6776")</f>
        <v>0</v>
      </c>
      <c r="D38067" t="s">
        <v>5497</v>
      </c>
      <c r="E38067" t="s">
        <v>9077</v>
      </c>
      <c r="F38067" t="s">
        <v>14145</v>
      </c>
      <c r="G38067" t="s">
        <v>18133</v>
      </c>
      <c r="H38067" t="s">
        <v>34438</v>
      </c>
    </row>
    <row r="38068" spans="1:8">
      <c r="A38068" t="s">
        <v>3372</v>
      </c>
      <c r="B38068">
        <f>HYPERLINK("https://android.googlesource.com/platform/cts/+/94eec46283fdfb081148c5c887bf0ad58691409f", "94eec46283fdfb081148c5c887bf0ad58691409f")</f>
        <v>0</v>
      </c>
      <c r="C38068">
        <f>HYPERLINK("https://android.googlesource.com/platform/cts/+/c6fee6c910b2feaec67d7477cc2b78d13d2e2c25", "c6fee6c910b2feaec67d7477cc2b78d13d2e2c25")</f>
        <v>0</v>
      </c>
      <c r="D38068" t="s">
        <v>5541</v>
      </c>
      <c r="E38068" t="s">
        <v>9078</v>
      </c>
      <c r="F38068" t="s">
        <v>14251</v>
      </c>
      <c r="G38068" t="s">
        <v>18216</v>
      </c>
      <c r="H38068" t="s">
        <v>34439</v>
      </c>
    </row>
    <row r="38069" spans="1:8">
      <c r="F38069" t="s">
        <v>13335</v>
      </c>
      <c r="G38069" t="s">
        <v>17465</v>
      </c>
      <c r="H38069" t="s">
        <v>34440</v>
      </c>
    </row>
    <row r="38070" spans="1:8">
      <c r="A38070" t="s">
        <v>3373</v>
      </c>
      <c r="B38070">
        <f>HYPERLINK("https://android.googlesource.com/platform/cts/+/cc69d23758981b5f6a11850106870199b46dcc12", "cc69d23758981b5f6a11850106870199b46dcc12")</f>
        <v>0</v>
      </c>
      <c r="C38070">
        <f>HYPERLINK("https://android.googlesource.com/platform/cts/+/78279bdf1484095e09a8a123f8109510733e9740", "78279bdf1484095e09a8a123f8109510733e9740")</f>
        <v>0</v>
      </c>
      <c r="D38070" t="s">
        <v>5355</v>
      </c>
      <c r="E38070" t="s">
        <v>9079</v>
      </c>
      <c r="F38070" t="s">
        <v>12817</v>
      </c>
      <c r="G38070" t="s">
        <v>16629</v>
      </c>
      <c r="H38070" t="s">
        <v>34441</v>
      </c>
    </row>
    <row r="38071" spans="1:8">
      <c r="A38071" t="s">
        <v>3374</v>
      </c>
      <c r="B38071">
        <f>HYPERLINK("https://android.googlesource.com/platform/cts/+/e7920a2b36a188d10bcb57ef6d74fd7baa42d6bc", "e7920a2b36a188d10bcb57ef6d74fd7baa42d6bc")</f>
        <v>0</v>
      </c>
      <c r="C38071">
        <f>HYPERLINK("https://android.googlesource.com/platform/cts/+/d698c9e71efb082613a2b110be98383baaa9d8ad", "d698c9e71efb082613a2b110be98383baaa9d8ad")</f>
        <v>0</v>
      </c>
      <c r="D38071" t="s">
        <v>5560</v>
      </c>
      <c r="E38071" t="s">
        <v>9080</v>
      </c>
      <c r="F38071" t="s">
        <v>14255</v>
      </c>
      <c r="G38071" t="s">
        <v>18220</v>
      </c>
      <c r="H38071" t="s">
        <v>34442</v>
      </c>
    </row>
    <row r="38072" spans="1:8">
      <c r="A38072" t="s">
        <v>3375</v>
      </c>
      <c r="B38072">
        <f>HYPERLINK("https://android.googlesource.com/platform/cts/+/1fa07cb0f0e1e88c0b12989f6b6da980973f8928", "1fa07cb0f0e1e88c0b12989f6b6da980973f8928")</f>
        <v>0</v>
      </c>
      <c r="C38072">
        <f>HYPERLINK("https://android.googlesource.com/platform/cts/+/ba6ebdbb9215d1f5666a72a7c9c2ec1135c27048", "ba6ebdbb9215d1f5666a72a7c9c2ec1135c27048")</f>
        <v>0</v>
      </c>
      <c r="D38072" t="s">
        <v>5561</v>
      </c>
      <c r="E38072" t="s">
        <v>9081</v>
      </c>
      <c r="F38072" t="s">
        <v>13924</v>
      </c>
      <c r="G38072" t="s">
        <v>17960</v>
      </c>
      <c r="H38072" t="s">
        <v>34443</v>
      </c>
    </row>
    <row r="38073" spans="1:8">
      <c r="H38073" t="s">
        <v>34444</v>
      </c>
    </row>
    <row r="38074" spans="1:8">
      <c r="H38074" t="s">
        <v>34445</v>
      </c>
    </row>
    <row r="38075" spans="1:8">
      <c r="A38075" t="s">
        <v>3376</v>
      </c>
      <c r="B38075">
        <f>HYPERLINK("https://android.googlesource.com/platform/cts/+/43e30fbdee1df93bbbf68cc753c20e14f8b4d02e", "43e30fbdee1df93bbbf68cc753c20e14f8b4d02e")</f>
        <v>0</v>
      </c>
      <c r="C38075">
        <f>HYPERLINK("https://android.googlesource.com/platform/cts/+/cdcd99836200940c93cf1ca64d83e1ce91f7ecf2", "cdcd99836200940c93cf1ca64d83e1ce91f7ecf2")</f>
        <v>0</v>
      </c>
      <c r="D38075" t="s">
        <v>5540</v>
      </c>
      <c r="E38075" t="s">
        <v>9082</v>
      </c>
      <c r="F38075" t="s">
        <v>14165</v>
      </c>
      <c r="G38075" t="s">
        <v>17361</v>
      </c>
      <c r="H38075" t="s">
        <v>34446</v>
      </c>
    </row>
    <row r="38076" spans="1:8">
      <c r="A38076" t="s">
        <v>3377</v>
      </c>
      <c r="B38076">
        <f>HYPERLINK("https://android.googlesource.com/platform/cts/+/53bfba03a740627df67063ba6efbfb83a3a796b0", "53bfba03a740627df67063ba6efbfb83a3a796b0")</f>
        <v>0</v>
      </c>
      <c r="C38076">
        <f>HYPERLINK("https://android.googlesource.com/platform/cts/+/76a1c3cbc7a45d489fbc7d5a910ef888ae33a559", "76a1c3cbc7a45d489fbc7d5a910ef888ae33a559")</f>
        <v>0</v>
      </c>
      <c r="D38076" t="s">
        <v>5363</v>
      </c>
      <c r="E38076" t="s">
        <v>9083</v>
      </c>
      <c r="F38076" t="s">
        <v>14033</v>
      </c>
      <c r="G38076" t="s">
        <v>18030</v>
      </c>
      <c r="H38076" t="s">
        <v>32917</v>
      </c>
    </row>
    <row r="38077" spans="1:8">
      <c r="H38077" t="s">
        <v>32918</v>
      </c>
    </row>
    <row r="38078" spans="1:8">
      <c r="A38078" t="s">
        <v>3378</v>
      </c>
      <c r="B38078">
        <f>HYPERLINK("https://android.googlesource.com/platform/cts/+/544368f38a9e303de42d6dffb7defd1e357f41ad", "544368f38a9e303de42d6dffb7defd1e357f41ad")</f>
        <v>0</v>
      </c>
      <c r="C38078">
        <f>HYPERLINK("https://android.googlesource.com/platform/cts/+/76a1c3cbc7a45d489fbc7d5a910ef888ae33a559", "76a1c3cbc7a45d489fbc7d5a910ef888ae33a559")</f>
        <v>0</v>
      </c>
      <c r="D38078" t="s">
        <v>5548</v>
      </c>
      <c r="E38078" t="s">
        <v>9084</v>
      </c>
      <c r="F38078" t="s">
        <v>14242</v>
      </c>
      <c r="G38078" t="s">
        <v>18210</v>
      </c>
      <c r="H38078" t="s">
        <v>34447</v>
      </c>
    </row>
    <row r="38079" spans="1:8">
      <c r="H38079" t="s">
        <v>34448</v>
      </c>
    </row>
    <row r="38080" spans="1:8">
      <c r="A38080" t="s">
        <v>3379</v>
      </c>
      <c r="B38080">
        <f>HYPERLINK("https://android.googlesource.com/platform/cts/+/da098759703aa1cec89c8de1247092e8c967bdbd", "da098759703aa1cec89c8de1247092e8c967bdbd")</f>
        <v>0</v>
      </c>
      <c r="C38080">
        <f>HYPERLINK("https://android.googlesource.com/platform/cts/+/76a1c3cbc7a45d489fbc7d5a910ef888ae33a559", "76a1c3cbc7a45d489fbc7d5a910ef888ae33a559")</f>
        <v>0</v>
      </c>
      <c r="D38080" t="s">
        <v>5562</v>
      </c>
      <c r="E38080" t="s">
        <v>9085</v>
      </c>
      <c r="F38080" t="s">
        <v>14256</v>
      </c>
      <c r="G38080" t="s">
        <v>18221</v>
      </c>
      <c r="H38080" t="s">
        <v>18829</v>
      </c>
    </row>
    <row r="38081" spans="1:8">
      <c r="A38081" t="s">
        <v>3380</v>
      </c>
      <c r="B38081">
        <f>HYPERLINK("https://android.googlesource.com/platform/cts/+/5b08961299d45712f3f752ff2107a8d10b422066", "5b08961299d45712f3f752ff2107a8d10b422066")</f>
        <v>0</v>
      </c>
      <c r="C38081">
        <f>HYPERLINK("https://android.googlesource.com/platform/cts/+/21e872a4d0e9450f6002398939d06bd70200b484", "21e872a4d0e9450f6002398939d06bd70200b484")</f>
        <v>0</v>
      </c>
      <c r="D38081" t="s">
        <v>5562</v>
      </c>
      <c r="E38081" t="s">
        <v>9086</v>
      </c>
      <c r="F38081" t="s">
        <v>14256</v>
      </c>
      <c r="G38081" t="s">
        <v>18221</v>
      </c>
      <c r="H38081" t="s">
        <v>18829</v>
      </c>
    </row>
    <row r="38082" spans="1:8">
      <c r="A38082" t="s">
        <v>3381</v>
      </c>
      <c r="B38082">
        <f>HYPERLINK("https://android.googlesource.com/platform/cts/+/0dd816b6d16d9e7058064ca9825e248fcf8de08d", "0dd816b6d16d9e7058064ca9825e248fcf8de08d")</f>
        <v>0</v>
      </c>
      <c r="C38082">
        <f>HYPERLINK("https://android.googlesource.com/platform/cts/+/5ba29323c280ec242a44182a171741093fdf9daf", "5ba29323c280ec242a44182a171741093fdf9daf")</f>
        <v>0</v>
      </c>
      <c r="D38082" t="s">
        <v>5304</v>
      </c>
      <c r="E38082" t="s">
        <v>9087</v>
      </c>
      <c r="F38082" t="s">
        <v>13816</v>
      </c>
      <c r="G38082" t="s">
        <v>15089</v>
      </c>
      <c r="H38082" t="s">
        <v>34449</v>
      </c>
    </row>
    <row r="38083" spans="1:8">
      <c r="A38083" t="s">
        <v>3382</v>
      </c>
      <c r="B38083">
        <f>HYPERLINK("https://android.googlesource.com/platform/cts/+/4128f2a4fdba49f9e7d7f8a7ec8d752f27a853ca", "4128f2a4fdba49f9e7d7f8a7ec8d752f27a853ca")</f>
        <v>0</v>
      </c>
      <c r="C38083">
        <f>HYPERLINK("https://android.googlesource.com/platform/cts/+/13719122c3f2307755dbabf51e221e8bf37d0153", "13719122c3f2307755dbabf51e221e8bf37d0153")</f>
        <v>0</v>
      </c>
      <c r="D38083" t="s">
        <v>5304</v>
      </c>
      <c r="E38083" t="s">
        <v>9088</v>
      </c>
      <c r="F38083" t="s">
        <v>13816</v>
      </c>
      <c r="G38083" t="s">
        <v>15089</v>
      </c>
      <c r="H38083" t="s">
        <v>34449</v>
      </c>
    </row>
    <row r="38084" spans="1:8">
      <c r="A38084" t="s">
        <v>3383</v>
      </c>
      <c r="B38084">
        <f>HYPERLINK("https://android.googlesource.com/platform/cts/+/59e0b647403fc087ad39b55279091aec916d900b", "59e0b647403fc087ad39b55279091aec916d900b")</f>
        <v>0</v>
      </c>
      <c r="C38084">
        <f>HYPERLINK("https://android.googlesource.com/platform/cts/+/c72bd42f1754f642e1978f80cdc198fef137b0fe", "c72bd42f1754f642e1978f80cdc198fef137b0fe")</f>
        <v>0</v>
      </c>
      <c r="D38084" t="s">
        <v>5304</v>
      </c>
      <c r="E38084" t="s">
        <v>9089</v>
      </c>
      <c r="F38084" t="s">
        <v>13816</v>
      </c>
      <c r="G38084" t="s">
        <v>15089</v>
      </c>
      <c r="H38084" t="s">
        <v>34449</v>
      </c>
    </row>
    <row r="38085" spans="1:8">
      <c r="A38085" t="s">
        <v>3384</v>
      </c>
      <c r="B38085">
        <f>HYPERLINK("https://android.googlesource.com/platform/cts/+/59f947b6adfa108fd8a0922f0b01b31639992554", "59f947b6adfa108fd8a0922f0b01b31639992554")</f>
        <v>0</v>
      </c>
      <c r="C38085">
        <f>HYPERLINK("https://android.googlesource.com/platform/cts/+/9d9baf36e20e81515f01a62ff3e2977ed8671e6b", "9d9baf36e20e81515f01a62ff3e2977ed8671e6b")</f>
        <v>0</v>
      </c>
      <c r="D38085" t="s">
        <v>5452</v>
      </c>
      <c r="E38085" t="s">
        <v>9090</v>
      </c>
      <c r="F38085" t="s">
        <v>13171</v>
      </c>
      <c r="G38085" t="s">
        <v>16410</v>
      </c>
      <c r="H38085" t="s">
        <v>34450</v>
      </c>
    </row>
    <row r="38086" spans="1:8">
      <c r="A38086" t="s">
        <v>3385</v>
      </c>
      <c r="B38086">
        <f>HYPERLINK("https://android.googlesource.com/platform/cts/+/04b5f2ffd32f946e99f1c217f294c19647d54211", "04b5f2ffd32f946e99f1c217f294c19647d54211")</f>
        <v>0</v>
      </c>
      <c r="C38086">
        <f>HYPERLINK("https://android.googlesource.com/platform/cts/+/ad007c78c81b502c107ffa2569d907a8e29099b5", "ad007c78c81b502c107ffa2569d907a8e29099b5")</f>
        <v>0</v>
      </c>
      <c r="D38086" t="s">
        <v>5511</v>
      </c>
      <c r="E38086" t="s">
        <v>9091</v>
      </c>
      <c r="F38086" t="s">
        <v>14164</v>
      </c>
      <c r="G38086" t="s">
        <v>18147</v>
      </c>
      <c r="H38086" t="s">
        <v>33709</v>
      </c>
    </row>
    <row r="38087" spans="1:8">
      <c r="A38087" t="s">
        <v>3386</v>
      </c>
      <c r="B38087">
        <f>HYPERLINK("https://android.googlesource.com/platform/cts/+/3aca264e3ce49c6bb46bd371eb37b5aeec058938", "3aca264e3ce49c6bb46bd371eb37b5aeec058938")</f>
        <v>0</v>
      </c>
      <c r="C38087">
        <f>HYPERLINK("https://android.googlesource.com/platform/cts/+/9928da26c2ac82a69a4b707ff20d110ce37a4bf6", "9928da26c2ac82a69a4b707ff20d110ce37a4bf6")</f>
        <v>0</v>
      </c>
      <c r="D38087" t="s">
        <v>5511</v>
      </c>
      <c r="E38087" t="s">
        <v>9092</v>
      </c>
      <c r="F38087" t="s">
        <v>14257</v>
      </c>
      <c r="G38087" t="s">
        <v>18222</v>
      </c>
      <c r="H38087" t="s">
        <v>34451</v>
      </c>
    </row>
    <row r="38088" spans="1:8">
      <c r="F38088" t="s">
        <v>14258</v>
      </c>
      <c r="G38088" t="s">
        <v>18223</v>
      </c>
      <c r="H38088" t="s">
        <v>18829</v>
      </c>
    </row>
    <row r="38089" spans="1:8">
      <c r="H38089" t="s">
        <v>18863</v>
      </c>
    </row>
    <row r="38090" spans="1:8">
      <c r="H38090" t="s">
        <v>33708</v>
      </c>
    </row>
    <row r="38091" spans="1:8">
      <c r="H38091" t="s">
        <v>33709</v>
      </c>
    </row>
    <row r="38092" spans="1:8">
      <c r="F38092" t="s">
        <v>14259</v>
      </c>
      <c r="G38092" t="s">
        <v>18224</v>
      </c>
      <c r="H38092" t="s">
        <v>18829</v>
      </c>
    </row>
    <row r="38093" spans="1:8">
      <c r="H38093" t="s">
        <v>18863</v>
      </c>
    </row>
    <row r="38094" spans="1:8">
      <c r="H38094" t="s">
        <v>33708</v>
      </c>
    </row>
    <row r="38095" spans="1:8">
      <c r="H38095" t="s">
        <v>33709</v>
      </c>
    </row>
    <row r="38096" spans="1:8">
      <c r="F38096" t="s">
        <v>14164</v>
      </c>
      <c r="G38096" t="s">
        <v>18225</v>
      </c>
      <c r="H38096" t="s">
        <v>18829</v>
      </c>
    </row>
    <row r="38097" spans="1:8">
      <c r="H38097" t="s">
        <v>18863</v>
      </c>
    </row>
    <row r="38098" spans="1:8">
      <c r="H38098" t="s">
        <v>34452</v>
      </c>
    </row>
    <row r="38099" spans="1:8">
      <c r="H38099" t="s">
        <v>33787</v>
      </c>
    </row>
    <row r="38100" spans="1:8">
      <c r="H38100" t="s">
        <v>34453</v>
      </c>
    </row>
    <row r="38101" spans="1:8">
      <c r="H38101" t="s">
        <v>34454</v>
      </c>
    </row>
    <row r="38102" spans="1:8">
      <c r="A38102" t="s">
        <v>3387</v>
      </c>
      <c r="B38102">
        <f>HYPERLINK("https://android.googlesource.com/platform/cts/+/4f4511d942c610905dbdc873d8ea145ae7ff603b", "4f4511d942c610905dbdc873d8ea145ae7ff603b")</f>
        <v>0</v>
      </c>
      <c r="C38102">
        <f>HYPERLINK("https://android.googlesource.com/platform/cts/+/9d9baf36e20e81515f01a62ff3e2977ed8671e6b", "9d9baf36e20e81515f01a62ff3e2977ed8671e6b")</f>
        <v>0</v>
      </c>
      <c r="D38102" t="s">
        <v>5427</v>
      </c>
      <c r="E38102" t="s">
        <v>9093</v>
      </c>
      <c r="F38102" t="s">
        <v>12846</v>
      </c>
      <c r="G38102" t="s">
        <v>17017</v>
      </c>
      <c r="H38102" t="s">
        <v>34455</v>
      </c>
    </row>
    <row r="38103" spans="1:8">
      <c r="H38103" t="s">
        <v>34456</v>
      </c>
    </row>
    <row r="38104" spans="1:8">
      <c r="A38104" t="s">
        <v>3388</v>
      </c>
      <c r="B38104">
        <f>HYPERLINK("https://android.googlesource.com/platform/cts/+/be41e0178a0f34e29a26c8ba28abfaf5e19ead99", "be41e0178a0f34e29a26c8ba28abfaf5e19ead99")</f>
        <v>0</v>
      </c>
      <c r="C38104">
        <f>HYPERLINK("https://android.googlesource.com/platform/cts/+/4124e98dd06bbc0ba3715e46c07b5fe31bf9a46f", "4124e98dd06bbc0ba3715e46c07b5fe31bf9a46f")</f>
        <v>0</v>
      </c>
      <c r="D38104" t="s">
        <v>5304</v>
      </c>
      <c r="E38104" t="s">
        <v>9094</v>
      </c>
      <c r="F38104" t="s">
        <v>13816</v>
      </c>
      <c r="G38104" t="s">
        <v>15089</v>
      </c>
      <c r="H38104" t="s">
        <v>34449</v>
      </c>
    </row>
    <row r="38105" spans="1:8">
      <c r="A38105" t="s">
        <v>3389</v>
      </c>
      <c r="B38105">
        <f>HYPERLINK("https://android.googlesource.com/platform/cts/+/f547faccf1063e9980c441a0c35fe4672a8748d7", "f547faccf1063e9980c441a0c35fe4672a8748d7")</f>
        <v>0</v>
      </c>
      <c r="C38105">
        <f>HYPERLINK("https://android.googlesource.com/platform/cts/+/ca53a5945dab24fbe6105694202a17197074d422", "ca53a5945dab24fbe6105694202a17197074d422")</f>
        <v>0</v>
      </c>
      <c r="D38105" t="s">
        <v>5304</v>
      </c>
      <c r="E38105" t="s">
        <v>9094</v>
      </c>
      <c r="F38105" t="s">
        <v>13816</v>
      </c>
      <c r="G38105" t="s">
        <v>15089</v>
      </c>
      <c r="H38105" t="s">
        <v>34449</v>
      </c>
    </row>
    <row r="38106" spans="1:8">
      <c r="A38106" t="s">
        <v>3390</v>
      </c>
      <c r="B38106">
        <f>HYPERLINK("https://android.googlesource.com/platform/cts/+/aaec5b12dd548e859bb19fff22e3eee98002bbb0", "aaec5b12dd548e859bb19fff22e3eee98002bbb0")</f>
        <v>0</v>
      </c>
      <c r="C38106">
        <f>HYPERLINK("https://android.googlesource.com/platform/cts/+/62852fe6326ea9c23a0b53223e8712a4ccfd677f", "62852fe6326ea9c23a0b53223e8712a4ccfd677f")</f>
        <v>0</v>
      </c>
      <c r="D38106" t="s">
        <v>5511</v>
      </c>
      <c r="E38106" t="s">
        <v>9092</v>
      </c>
      <c r="F38106" t="s">
        <v>14257</v>
      </c>
      <c r="G38106" t="s">
        <v>18222</v>
      </c>
      <c r="H38106" t="s">
        <v>34451</v>
      </c>
    </row>
    <row r="38107" spans="1:8">
      <c r="F38107" t="s">
        <v>14258</v>
      </c>
      <c r="G38107" t="s">
        <v>18223</v>
      </c>
      <c r="H38107" t="s">
        <v>18829</v>
      </c>
    </row>
    <row r="38108" spans="1:8">
      <c r="H38108" t="s">
        <v>18863</v>
      </c>
    </row>
    <row r="38109" spans="1:8">
      <c r="H38109" t="s">
        <v>33708</v>
      </c>
    </row>
    <row r="38110" spans="1:8">
      <c r="H38110" t="s">
        <v>33709</v>
      </c>
    </row>
    <row r="38111" spans="1:8">
      <c r="F38111" t="s">
        <v>14164</v>
      </c>
      <c r="G38111" t="s">
        <v>18226</v>
      </c>
      <c r="H38111" t="s">
        <v>18829</v>
      </c>
    </row>
    <row r="38112" spans="1:8">
      <c r="H38112" t="s">
        <v>18863</v>
      </c>
    </row>
    <row r="38113" spans="1:8">
      <c r="H38113" t="s">
        <v>33708</v>
      </c>
    </row>
    <row r="38114" spans="1:8">
      <c r="H38114" t="s">
        <v>33709</v>
      </c>
    </row>
    <row r="38115" spans="1:8">
      <c r="F38115" t="s">
        <v>14259</v>
      </c>
      <c r="G38115" t="s">
        <v>18224</v>
      </c>
      <c r="H38115" t="s">
        <v>18829</v>
      </c>
    </row>
    <row r="38116" spans="1:8">
      <c r="H38116" t="s">
        <v>18863</v>
      </c>
    </row>
    <row r="38117" spans="1:8">
      <c r="H38117" t="s">
        <v>33708</v>
      </c>
    </row>
    <row r="38118" spans="1:8">
      <c r="H38118" t="s">
        <v>33709</v>
      </c>
    </row>
    <row r="38119" spans="1:8">
      <c r="A38119" t="s">
        <v>3391</v>
      </c>
      <c r="B38119">
        <f>HYPERLINK("https://android.googlesource.com/platform/cts/+/fe4b36631513b0b7cb58fa1b5d5a8541878a75b1", "fe4b36631513b0b7cb58fa1b5d5a8541878a75b1")</f>
        <v>0</v>
      </c>
      <c r="C38119">
        <f>HYPERLINK("https://android.googlesource.com/platform/cts/+/a8388ccee7315f14e1d02ea3b4d540234fd94a31", "a8388ccee7315f14e1d02ea3b4d540234fd94a31")</f>
        <v>0</v>
      </c>
      <c r="D38119" t="s">
        <v>5563</v>
      </c>
      <c r="E38119" t="s">
        <v>9095</v>
      </c>
      <c r="F38119" t="s">
        <v>14260</v>
      </c>
      <c r="G38119" t="s">
        <v>18227</v>
      </c>
      <c r="H38119" t="s">
        <v>34457</v>
      </c>
    </row>
    <row r="38120" spans="1:8">
      <c r="A38120" t="s">
        <v>3392</v>
      </c>
      <c r="B38120">
        <f>HYPERLINK("https://android.googlesource.com/platform/cts/+/5d9710d5b72136b2face76b578ac120ad6ed931e", "5d9710d5b72136b2face76b578ac120ad6ed931e")</f>
        <v>0</v>
      </c>
      <c r="C38120">
        <f>HYPERLINK("https://android.googlesource.com/platform/cts/+/5600812cbeddd7ac16ba72c6322f4f30a8d66739", "5600812cbeddd7ac16ba72c6322f4f30a8d66739")</f>
        <v>0</v>
      </c>
      <c r="D38120" t="s">
        <v>5153</v>
      </c>
      <c r="E38120" t="s">
        <v>9096</v>
      </c>
      <c r="F38120" t="s">
        <v>14261</v>
      </c>
      <c r="G38120" t="s">
        <v>18228</v>
      </c>
      <c r="H38120" t="s">
        <v>32639</v>
      </c>
    </row>
    <row r="38121" spans="1:8">
      <c r="H38121" t="s">
        <v>34458</v>
      </c>
    </row>
    <row r="38122" spans="1:8">
      <c r="H38122" t="s">
        <v>34459</v>
      </c>
    </row>
    <row r="38123" spans="1:8">
      <c r="H38123" t="s">
        <v>34460</v>
      </c>
    </row>
    <row r="38124" spans="1:8">
      <c r="H38124" t="s">
        <v>34461</v>
      </c>
    </row>
    <row r="38125" spans="1:8">
      <c r="H38125" t="s">
        <v>34462</v>
      </c>
    </row>
    <row r="38126" spans="1:8">
      <c r="H38126" t="s">
        <v>34463</v>
      </c>
    </row>
    <row r="38127" spans="1:8">
      <c r="H38127" t="s">
        <v>34464</v>
      </c>
    </row>
    <row r="38128" spans="1:8">
      <c r="H38128" t="s">
        <v>34465</v>
      </c>
    </row>
    <row r="38129" spans="1:8">
      <c r="H38129" t="s">
        <v>34465</v>
      </c>
    </row>
    <row r="38130" spans="1:8">
      <c r="H38130" t="s">
        <v>34465</v>
      </c>
    </row>
    <row r="38131" spans="1:8">
      <c r="H38131" t="s">
        <v>34466</v>
      </c>
    </row>
    <row r="38132" spans="1:8">
      <c r="H38132" t="s">
        <v>34467</v>
      </c>
    </row>
    <row r="38133" spans="1:8">
      <c r="H38133" t="s">
        <v>34468</v>
      </c>
    </row>
    <row r="38134" spans="1:8">
      <c r="H38134" t="s">
        <v>34469</v>
      </c>
    </row>
    <row r="38135" spans="1:8">
      <c r="H38135" t="s">
        <v>19791</v>
      </c>
    </row>
    <row r="38136" spans="1:8">
      <c r="H38136" t="s">
        <v>34470</v>
      </c>
    </row>
    <row r="38137" spans="1:8">
      <c r="H38137" t="s">
        <v>34471</v>
      </c>
    </row>
    <row r="38138" spans="1:8">
      <c r="A38138" t="s">
        <v>3393</v>
      </c>
      <c r="B38138">
        <f>HYPERLINK("https://android.googlesource.com/platform/cts/+/659c6ed9623919233d919228111104c4afec0852", "659c6ed9623919233d919228111104c4afec0852")</f>
        <v>0</v>
      </c>
      <c r="C38138">
        <f>HYPERLINK("https://android.googlesource.com/platform/cts/+/8791c13b560b58efbe30be5f0f62f1574131a7b8", "8791c13b560b58efbe30be5f0f62f1574131a7b8")</f>
        <v>0</v>
      </c>
      <c r="D38138" t="s">
        <v>5564</v>
      </c>
      <c r="E38138" t="s">
        <v>9097</v>
      </c>
      <c r="F38138" t="s">
        <v>12820</v>
      </c>
      <c r="G38138" t="s">
        <v>16999</v>
      </c>
      <c r="H38138" t="s">
        <v>34354</v>
      </c>
    </row>
    <row r="38139" spans="1:8">
      <c r="H38139" t="s">
        <v>34355</v>
      </c>
    </row>
    <row r="38140" spans="1:8">
      <c r="H38140" t="s">
        <v>34356</v>
      </c>
    </row>
    <row r="38141" spans="1:8">
      <c r="H38141" t="s">
        <v>34357</v>
      </c>
    </row>
    <row r="38142" spans="1:8">
      <c r="H38142" t="s">
        <v>34358</v>
      </c>
    </row>
    <row r="38143" spans="1:8">
      <c r="H38143" t="s">
        <v>34359</v>
      </c>
    </row>
    <row r="38144" spans="1:8">
      <c r="H38144" t="s">
        <v>34360</v>
      </c>
    </row>
    <row r="38145" spans="1:8">
      <c r="H38145" t="s">
        <v>34361</v>
      </c>
    </row>
    <row r="38146" spans="1:8">
      <c r="A38146" t="s">
        <v>3394</v>
      </c>
      <c r="B38146">
        <f>HYPERLINK("https://android.googlesource.com/platform/cts/+/ffc5993e18818edd1c8763c5f4bcf9c35508bb1e", "ffc5993e18818edd1c8763c5f4bcf9c35508bb1e")</f>
        <v>0</v>
      </c>
      <c r="C38146">
        <f>HYPERLINK("https://android.googlesource.com/platform/cts/+/89d35014d6dfa205544c480be1bd1da14ea0ee5c", "89d35014d6dfa205544c480be1bd1da14ea0ee5c")</f>
        <v>0</v>
      </c>
      <c r="D38146" t="s">
        <v>5438</v>
      </c>
      <c r="E38146" t="s">
        <v>9098</v>
      </c>
      <c r="F38146" t="s">
        <v>13428</v>
      </c>
      <c r="G38146" t="s">
        <v>17552</v>
      </c>
      <c r="H38146" t="s">
        <v>34472</v>
      </c>
    </row>
    <row r="38147" spans="1:8">
      <c r="A38147" t="s">
        <v>3395</v>
      </c>
      <c r="B38147">
        <f>HYPERLINK("https://android.googlesource.com/platform/cts/+/9e0978104b4068eaae059f743271a60d98ec8531", "9e0978104b4068eaae059f743271a60d98ec8531")</f>
        <v>0</v>
      </c>
      <c r="C38147">
        <f>HYPERLINK("https://android.googlesource.com/platform/cts/+/73bad6b1d1ce23bc811cccd04845db00d4d36d8c", "73bad6b1d1ce23bc811cccd04845db00d4d36d8c")</f>
        <v>0</v>
      </c>
      <c r="D38147" t="s">
        <v>5565</v>
      </c>
      <c r="E38147" t="s">
        <v>9099</v>
      </c>
      <c r="F38147" t="s">
        <v>13888</v>
      </c>
      <c r="G38147" t="s">
        <v>15054</v>
      </c>
      <c r="H38147" t="s">
        <v>34473</v>
      </c>
    </row>
    <row r="38148" spans="1:8">
      <c r="H38148" t="s">
        <v>34474</v>
      </c>
    </row>
    <row r="38149" spans="1:8">
      <c r="A38149" t="s">
        <v>3396</v>
      </c>
      <c r="B38149">
        <f>HYPERLINK("https://android.googlesource.com/platform/cts/+/93df1739893c4975e8b4ce1a67b9fab0cc34a505", "93df1739893c4975e8b4ce1a67b9fab0cc34a505")</f>
        <v>0</v>
      </c>
      <c r="C38149">
        <f>HYPERLINK("https://android.googlesource.com/platform/cts/+/1162accbb644c9acb3e127ba770a850e0675f0d5", "1162accbb644c9acb3e127ba770a850e0675f0d5")</f>
        <v>0</v>
      </c>
      <c r="D38149" t="s">
        <v>5012</v>
      </c>
      <c r="E38149" t="s">
        <v>9100</v>
      </c>
      <c r="F38149" t="s">
        <v>14262</v>
      </c>
      <c r="G38149" t="s">
        <v>18229</v>
      </c>
      <c r="H38149" t="s">
        <v>34475</v>
      </c>
    </row>
    <row r="38150" spans="1:8">
      <c r="H38150" t="s">
        <v>34476</v>
      </c>
    </row>
    <row r="38151" spans="1:8">
      <c r="A38151" t="s">
        <v>3397</v>
      </c>
      <c r="B38151">
        <f>HYPERLINK("https://android.googlesource.com/platform/cts/+/16a726d6a23926f2939e5258dc86277c17815e77", "16a726d6a23926f2939e5258dc86277c17815e77")</f>
        <v>0</v>
      </c>
      <c r="C38151">
        <f>HYPERLINK("https://android.googlesource.com/platform/cts/+/a00d5a70c8fd3212da2cbfab60d0324ea1ef11d5", "a00d5a70c8fd3212da2cbfab60d0324ea1ef11d5")</f>
        <v>0</v>
      </c>
      <c r="D38151" t="s">
        <v>5148</v>
      </c>
      <c r="E38151" t="s">
        <v>9101</v>
      </c>
      <c r="F38151" t="s">
        <v>13888</v>
      </c>
      <c r="G38151" t="s">
        <v>15054</v>
      </c>
      <c r="H38151" t="s">
        <v>34473</v>
      </c>
    </row>
    <row r="38152" spans="1:8">
      <c r="H38152" t="s">
        <v>34474</v>
      </c>
    </row>
    <row r="38153" spans="1:8">
      <c r="A38153" t="s">
        <v>3398</v>
      </c>
      <c r="B38153">
        <f>HYPERLINK("https://android.googlesource.com/platform/cts/+/bd5fb8176a38d325f17dd93fe60f5c229b61a95d", "bd5fb8176a38d325f17dd93fe60f5c229b61a95d")</f>
        <v>0</v>
      </c>
      <c r="C38153">
        <f>HYPERLINK("https://android.googlesource.com/platform/cts/+/c437c54cc83ef5bf4ff1d7f354e2d32d7e2cc36f", "c437c54cc83ef5bf4ff1d7f354e2d32d7e2cc36f")</f>
        <v>0</v>
      </c>
      <c r="D38153" t="s">
        <v>5134</v>
      </c>
      <c r="E38153" t="s">
        <v>9102</v>
      </c>
      <c r="F38153" t="s">
        <v>14263</v>
      </c>
      <c r="G38153" t="s">
        <v>18230</v>
      </c>
      <c r="H38153" t="s">
        <v>18829</v>
      </c>
    </row>
    <row r="38154" spans="1:8">
      <c r="F38154" t="s">
        <v>14264</v>
      </c>
      <c r="G38154" t="s">
        <v>18231</v>
      </c>
      <c r="H38154" t="s">
        <v>19982</v>
      </c>
    </row>
    <row r="38155" spans="1:8">
      <c r="A38155" t="s">
        <v>3399</v>
      </c>
      <c r="B38155">
        <f>HYPERLINK("https://android.googlesource.com/platform/cts/+/fa57fadec7d0297ff967c22022de6dbc1d7c6d2b", "fa57fadec7d0297ff967c22022de6dbc1d7c6d2b")</f>
        <v>0</v>
      </c>
      <c r="C38155">
        <f>HYPERLINK("https://android.googlesource.com/platform/cts/+/4847ab67dba08f9d99bf4f86ea3eee99f3a31a1b", "4847ab67dba08f9d99bf4f86ea3eee99f3a31a1b")</f>
        <v>0</v>
      </c>
      <c r="D38155" t="s">
        <v>5409</v>
      </c>
      <c r="E38155" t="s">
        <v>9103</v>
      </c>
      <c r="F38155" t="s">
        <v>14265</v>
      </c>
      <c r="G38155" t="s">
        <v>18232</v>
      </c>
      <c r="H38155" t="s">
        <v>34477</v>
      </c>
    </row>
    <row r="38156" spans="1:8">
      <c r="H38156" t="s">
        <v>34478</v>
      </c>
    </row>
    <row r="38157" spans="1:8">
      <c r="A38157" t="s">
        <v>3400</v>
      </c>
      <c r="B38157">
        <f>HYPERLINK("https://android.googlesource.com/platform/cts/+/474ff831362ed2a758aebb044b87488489263b7c", "474ff831362ed2a758aebb044b87488489263b7c")</f>
        <v>0</v>
      </c>
      <c r="C38157">
        <f>HYPERLINK("https://android.googlesource.com/platform/cts/+/2bbbb818495f862d7cab22499294cdeb718f9a90", "2bbbb818495f862d7cab22499294cdeb718f9a90")</f>
        <v>0</v>
      </c>
      <c r="D38157" t="s">
        <v>5409</v>
      </c>
      <c r="E38157" t="s">
        <v>9104</v>
      </c>
      <c r="F38157" t="s">
        <v>14265</v>
      </c>
      <c r="G38157" t="s">
        <v>18232</v>
      </c>
      <c r="H38157" t="s">
        <v>34479</v>
      </c>
    </row>
    <row r="38158" spans="1:8">
      <c r="H38158" t="s">
        <v>34480</v>
      </c>
    </row>
    <row r="38159" spans="1:8">
      <c r="A38159" t="s">
        <v>3401</v>
      </c>
      <c r="B38159">
        <f>HYPERLINK("https://android.googlesource.com/platform/cts/+/afc6dbbd4d57bdc3092e786840a6076e695c1b40", "afc6dbbd4d57bdc3092e786840a6076e695c1b40")</f>
        <v>0</v>
      </c>
      <c r="C38159">
        <f>HYPERLINK("https://android.googlesource.com/platform/cts/+/8b062de7404af9af3d8d36a99c76dcbc213d8424", "8b062de7404af9af3d8d36a99c76dcbc213d8424")</f>
        <v>0</v>
      </c>
      <c r="D38159" t="s">
        <v>5182</v>
      </c>
      <c r="E38159" t="s">
        <v>9105</v>
      </c>
      <c r="F38159" t="s">
        <v>12820</v>
      </c>
      <c r="G38159" t="s">
        <v>16999</v>
      </c>
      <c r="H38159" t="s">
        <v>34481</v>
      </c>
    </row>
    <row r="38160" spans="1:8">
      <c r="A38160" t="s">
        <v>3402</v>
      </c>
      <c r="B38160">
        <f>HYPERLINK("https://android.googlesource.com/platform/cts/+/ef10ef25df679e0689bacf94e63820ddb70dd6a2", "ef10ef25df679e0689bacf94e63820ddb70dd6a2")</f>
        <v>0</v>
      </c>
      <c r="C38160">
        <f>HYPERLINK("https://android.googlesource.com/platform/cts/+/6bcfb542223ca5895b38a391d6dc70fc7b226e7e", "6bcfb542223ca5895b38a391d6dc70fc7b226e7e")</f>
        <v>0</v>
      </c>
      <c r="D38160" t="s">
        <v>5566</v>
      </c>
      <c r="E38160" t="s">
        <v>9106</v>
      </c>
      <c r="F38160" t="s">
        <v>13391</v>
      </c>
      <c r="G38160" t="s">
        <v>17517</v>
      </c>
      <c r="H38160" t="s">
        <v>34482</v>
      </c>
    </row>
    <row r="38161" spans="1:8">
      <c r="A38161" t="s">
        <v>3403</v>
      </c>
      <c r="B38161">
        <f>HYPERLINK("https://android.googlesource.com/platform/cts/+/a13c0b1772833350892ba94c12be832168514ea1", "a13c0b1772833350892ba94c12be832168514ea1")</f>
        <v>0</v>
      </c>
      <c r="C38161">
        <f>HYPERLINK("https://android.googlesource.com/platform/cts/+/58f1a042e14b93e6bedc0e796b5b181c6457643c", "58f1a042e14b93e6bedc0e796b5b181c6457643c")</f>
        <v>0</v>
      </c>
      <c r="D38161" t="s">
        <v>5476</v>
      </c>
      <c r="E38161" t="s">
        <v>9107</v>
      </c>
      <c r="F38161" t="s">
        <v>14076</v>
      </c>
      <c r="G38161" t="s">
        <v>18074</v>
      </c>
      <c r="H38161" t="s">
        <v>18863</v>
      </c>
    </row>
    <row r="38162" spans="1:8">
      <c r="H38162" t="s">
        <v>34483</v>
      </c>
    </row>
    <row r="38163" spans="1:8">
      <c r="A38163" t="s">
        <v>3404</v>
      </c>
      <c r="B38163">
        <f>HYPERLINK("https://android.googlesource.com/platform/cts/+/edf79a939516ccc6274f2ad69108a1ca9dcac07c", "edf79a939516ccc6274f2ad69108a1ca9dcac07c")</f>
        <v>0</v>
      </c>
      <c r="C38163">
        <f>HYPERLINK("https://android.googlesource.com/platform/cts/+/52ea97202c07e53e6168435350bef9bc5d607cf0", "52ea97202c07e53e6168435350bef9bc5d607cf0")</f>
        <v>0</v>
      </c>
      <c r="D38163" t="s">
        <v>5501</v>
      </c>
      <c r="E38163" t="s">
        <v>9108</v>
      </c>
      <c r="F38163" t="s">
        <v>14230</v>
      </c>
      <c r="G38163" t="s">
        <v>18202</v>
      </c>
      <c r="H38163" t="s">
        <v>34484</v>
      </c>
    </row>
    <row r="38164" spans="1:8">
      <c r="H38164" t="s">
        <v>34485</v>
      </c>
    </row>
    <row r="38165" spans="1:8">
      <c r="H38165" t="s">
        <v>34486</v>
      </c>
    </row>
    <row r="38166" spans="1:8">
      <c r="H38166" t="s">
        <v>34487</v>
      </c>
    </row>
    <row r="38167" spans="1:8">
      <c r="H38167" t="s">
        <v>34488</v>
      </c>
    </row>
    <row r="38168" spans="1:8">
      <c r="H38168" t="s">
        <v>34489</v>
      </c>
    </row>
    <row r="38169" spans="1:8">
      <c r="H38169" t="s">
        <v>34490</v>
      </c>
    </row>
    <row r="38170" spans="1:8">
      <c r="H38170" t="s">
        <v>34149</v>
      </c>
    </row>
    <row r="38171" spans="1:8">
      <c r="H38171" t="s">
        <v>34150</v>
      </c>
    </row>
    <row r="38172" spans="1:8">
      <c r="H38172" t="s">
        <v>34151</v>
      </c>
    </row>
    <row r="38173" spans="1:8">
      <c r="H38173" t="s">
        <v>34154</v>
      </c>
    </row>
    <row r="38174" spans="1:8">
      <c r="H38174" t="s">
        <v>34155</v>
      </c>
    </row>
    <row r="38175" spans="1:8">
      <c r="H38175" t="s">
        <v>34157</v>
      </c>
    </row>
    <row r="38176" spans="1:8">
      <c r="H38176" t="s">
        <v>34491</v>
      </c>
    </row>
    <row r="38177" spans="1:8">
      <c r="H38177" t="s">
        <v>34492</v>
      </c>
    </row>
    <row r="38178" spans="1:8">
      <c r="H38178" t="s">
        <v>34493</v>
      </c>
    </row>
    <row r="38179" spans="1:8">
      <c r="H38179" t="s">
        <v>34494</v>
      </c>
    </row>
    <row r="38180" spans="1:8">
      <c r="H38180" t="s">
        <v>34495</v>
      </c>
    </row>
    <row r="38181" spans="1:8">
      <c r="A38181" t="s">
        <v>3405</v>
      </c>
      <c r="B38181">
        <f>HYPERLINK("https://android.googlesource.com/platform/cts/+/ac1adbab4cae41154683a0f4d2211c630f142cf8", "ac1adbab4cae41154683a0f4d2211c630f142cf8")</f>
        <v>0</v>
      </c>
      <c r="C38181">
        <f>HYPERLINK("https://android.googlesource.com/platform/cts/+/9e465ae301aa6fdc0022c197e25b2ee40717e656", "9e465ae301aa6fdc0022c197e25b2ee40717e656")</f>
        <v>0</v>
      </c>
      <c r="D38181" t="s">
        <v>5134</v>
      </c>
      <c r="E38181" t="s">
        <v>9109</v>
      </c>
      <c r="F38181" t="s">
        <v>13463</v>
      </c>
      <c r="G38181" t="s">
        <v>17582</v>
      </c>
      <c r="H38181" t="s">
        <v>22587</v>
      </c>
    </row>
    <row r="38182" spans="1:8">
      <c r="H38182" t="s">
        <v>34496</v>
      </c>
    </row>
    <row r="38183" spans="1:8">
      <c r="H38183" t="s">
        <v>31593</v>
      </c>
    </row>
    <row r="38184" spans="1:8">
      <c r="F38184" t="s">
        <v>13932</v>
      </c>
      <c r="G38184" t="s">
        <v>17966</v>
      </c>
      <c r="H38184" t="s">
        <v>34497</v>
      </c>
    </row>
    <row r="38185" spans="1:8">
      <c r="A38185" t="s">
        <v>3406</v>
      </c>
      <c r="B38185">
        <f>HYPERLINK("https://android.googlesource.com/platform/cts/+/927ad37e0ac7d0a863d14f5beba3eb9a5b1d4db0", "927ad37e0ac7d0a863d14f5beba3eb9a5b1d4db0")</f>
        <v>0</v>
      </c>
      <c r="C38185">
        <f>HYPERLINK("https://android.googlesource.com/platform/cts/+/c9f205644f21db10904502c1c4117f6409f2a9c1", "c9f205644f21db10904502c1c4117f6409f2a9c1")</f>
        <v>0</v>
      </c>
      <c r="D38185" t="s">
        <v>5416</v>
      </c>
      <c r="E38185" t="s">
        <v>9110</v>
      </c>
      <c r="F38185" t="s">
        <v>13367</v>
      </c>
      <c r="G38185" t="s">
        <v>17493</v>
      </c>
      <c r="H38185" t="s">
        <v>19933</v>
      </c>
    </row>
    <row r="38186" spans="1:8">
      <c r="F38186" t="s">
        <v>13368</v>
      </c>
      <c r="G38186" t="s">
        <v>17494</v>
      </c>
      <c r="H38186" t="s">
        <v>19933</v>
      </c>
    </row>
    <row r="38187" spans="1:8">
      <c r="A38187" t="s">
        <v>3407</v>
      </c>
      <c r="B38187">
        <f>HYPERLINK("https://android.googlesource.com/platform/cts/+/83489ce9cdb2733949f135e323920890803130e3", "83489ce9cdb2733949f135e323920890803130e3")</f>
        <v>0</v>
      </c>
      <c r="C38187">
        <f>HYPERLINK("https://android.googlesource.com/platform/cts/+/068976f51a44a198dfb3ed67400d4f3fdd9a133a", "068976f51a44a198dfb3ed67400d4f3fdd9a133a")</f>
        <v>0</v>
      </c>
      <c r="D38187" t="s">
        <v>5268</v>
      </c>
      <c r="E38187" t="s">
        <v>9111</v>
      </c>
      <c r="F38187" t="s">
        <v>12398</v>
      </c>
      <c r="G38187" t="s">
        <v>16621</v>
      </c>
      <c r="H38187" t="s">
        <v>34498</v>
      </c>
    </row>
    <row r="38188" spans="1:8">
      <c r="A38188" t="s">
        <v>3408</v>
      </c>
      <c r="B38188">
        <f>HYPERLINK("https://android.googlesource.com/platform/cts/+/0ee356e8b2116932e9b4c2662e84e7ea388d1d2b", "0ee356e8b2116932e9b4c2662e84e7ea388d1d2b")</f>
        <v>0</v>
      </c>
      <c r="C38188">
        <f>HYPERLINK("https://android.googlesource.com/platform/cts/+/60f40c6bffc696ee28769b49caec7aaf76e13490", "60f40c6bffc696ee28769b49caec7aaf76e13490")</f>
        <v>0</v>
      </c>
      <c r="D38188" t="s">
        <v>5541</v>
      </c>
      <c r="E38188" t="s">
        <v>9112</v>
      </c>
      <c r="F38188" t="s">
        <v>13335</v>
      </c>
      <c r="G38188" t="s">
        <v>17465</v>
      </c>
      <c r="H38188" t="s">
        <v>34499</v>
      </c>
    </row>
    <row r="38189" spans="1:8">
      <c r="H38189" t="s">
        <v>34367</v>
      </c>
    </row>
    <row r="38190" spans="1:8">
      <c r="H38190" t="s">
        <v>34500</v>
      </c>
    </row>
    <row r="38191" spans="1:8">
      <c r="A38191" t="s">
        <v>3409</v>
      </c>
      <c r="B38191">
        <f>HYPERLINK("https://android.googlesource.com/platform/cts/+/72ca5ac7742ce1cd4c8441f321881fb1cf1c8e8b", "72ca5ac7742ce1cd4c8441f321881fb1cf1c8e8b")</f>
        <v>0</v>
      </c>
      <c r="C38191">
        <f>HYPERLINK("https://android.googlesource.com/platform/cts/+/6c88403737d3c34e4e5a1a8d1eeeefeadedb1b8f", "6c88403737d3c34e4e5a1a8d1eeeefeadedb1b8f")</f>
        <v>0</v>
      </c>
      <c r="D38191" t="s">
        <v>5474</v>
      </c>
      <c r="E38191" t="s">
        <v>9113</v>
      </c>
      <c r="F38191" t="s">
        <v>13333</v>
      </c>
      <c r="G38191" t="s">
        <v>17463</v>
      </c>
      <c r="H38191" t="s">
        <v>34501</v>
      </c>
    </row>
    <row r="38192" spans="1:8">
      <c r="H38192" t="s">
        <v>34502</v>
      </c>
    </row>
    <row r="38193" spans="1:8">
      <c r="H38193" t="s">
        <v>34503</v>
      </c>
    </row>
    <row r="38194" spans="1:8">
      <c r="H38194" t="s">
        <v>34504</v>
      </c>
    </row>
    <row r="38195" spans="1:8">
      <c r="F38195" t="s">
        <v>13902</v>
      </c>
      <c r="G38195" t="s">
        <v>17939</v>
      </c>
      <c r="H38195" t="s">
        <v>34505</v>
      </c>
    </row>
    <row r="38196" spans="1:8">
      <c r="H38196" t="s">
        <v>34506</v>
      </c>
    </row>
    <row r="38197" spans="1:8">
      <c r="H38197" t="s">
        <v>34507</v>
      </c>
    </row>
    <row r="38198" spans="1:8">
      <c r="A38198" t="s">
        <v>3410</v>
      </c>
      <c r="B38198">
        <f>HYPERLINK("https://android.googlesource.com/platform/cts/+/909349ea0bc42496d948445178cb587a3325172b", "909349ea0bc42496d948445178cb587a3325172b")</f>
        <v>0</v>
      </c>
      <c r="C38198">
        <f>HYPERLINK("https://android.googlesource.com/platform/cts/+/ec5a8216d3b95cad660dfe5754c4e2845ad022af", "ec5a8216d3b95cad660dfe5754c4e2845ad022af")</f>
        <v>0</v>
      </c>
      <c r="D38198" t="s">
        <v>5567</v>
      </c>
      <c r="E38198" t="s">
        <v>9114</v>
      </c>
      <c r="F38198" t="s">
        <v>14266</v>
      </c>
      <c r="G38198" t="s">
        <v>18233</v>
      </c>
      <c r="H38198" t="s">
        <v>34508</v>
      </c>
    </row>
    <row r="38199" spans="1:8">
      <c r="H38199" t="s">
        <v>34509</v>
      </c>
    </row>
    <row r="38200" spans="1:8">
      <c r="H38200" t="s">
        <v>34510</v>
      </c>
    </row>
    <row r="38201" spans="1:8">
      <c r="H38201" t="s">
        <v>34511</v>
      </c>
    </row>
    <row r="38202" spans="1:8">
      <c r="H38202" t="s">
        <v>34512</v>
      </c>
    </row>
    <row r="38203" spans="1:8">
      <c r="H38203" t="s">
        <v>34513</v>
      </c>
    </row>
    <row r="38204" spans="1:8">
      <c r="H38204" t="s">
        <v>34514</v>
      </c>
    </row>
    <row r="38205" spans="1:8">
      <c r="H38205" t="s">
        <v>18863</v>
      </c>
    </row>
    <row r="38206" spans="1:8">
      <c r="H38206" t="s">
        <v>34515</v>
      </c>
    </row>
    <row r="38207" spans="1:8">
      <c r="H38207" t="s">
        <v>34516</v>
      </c>
    </row>
    <row r="38208" spans="1:8">
      <c r="H38208" t="s">
        <v>34517</v>
      </c>
    </row>
    <row r="38209" spans="1:8">
      <c r="H38209" t="s">
        <v>34518</v>
      </c>
    </row>
    <row r="38210" spans="1:8">
      <c r="H38210" t="s">
        <v>34519</v>
      </c>
    </row>
    <row r="38211" spans="1:8">
      <c r="H38211" t="s">
        <v>34520</v>
      </c>
    </row>
    <row r="38212" spans="1:8">
      <c r="H38212" t="s">
        <v>34521</v>
      </c>
    </row>
    <row r="38213" spans="1:8">
      <c r="A38213" t="s">
        <v>3411</v>
      </c>
      <c r="B38213">
        <f>HYPERLINK("https://android.googlesource.com/platform/cts/+/e4acae7f8f02de9839f1b0b3545b254396777c2e", "e4acae7f8f02de9839f1b0b3545b254396777c2e")</f>
        <v>0</v>
      </c>
      <c r="C38213">
        <f>HYPERLINK("https://android.googlesource.com/platform/cts/+/10b200e9311d8631023a082a113d62cd9ae520cb", "10b200e9311d8631023a082a113d62cd9ae520cb")</f>
        <v>0</v>
      </c>
      <c r="D38213" t="s">
        <v>5354</v>
      </c>
      <c r="E38213" t="s">
        <v>9115</v>
      </c>
      <c r="F38213" t="s">
        <v>14267</v>
      </c>
      <c r="G38213" t="s">
        <v>18234</v>
      </c>
      <c r="H38213" t="s">
        <v>34522</v>
      </c>
    </row>
    <row r="38214" spans="1:8">
      <c r="A38214" t="s">
        <v>3412</v>
      </c>
      <c r="B38214">
        <f>HYPERLINK("https://android.googlesource.com/platform/cts/+/ccfd370f7c345a1e0da5d6c71903c0be81b66046", "ccfd370f7c345a1e0da5d6c71903c0be81b66046")</f>
        <v>0</v>
      </c>
      <c r="C38214">
        <f>HYPERLINK("https://android.googlesource.com/platform/cts/+/70a201393b990a0eb3ad5a7387c7b3d3a4c0951a", "70a201393b990a0eb3ad5a7387c7b3d3a4c0951a")</f>
        <v>0</v>
      </c>
      <c r="D38214" t="s">
        <v>5141</v>
      </c>
      <c r="E38214" t="s">
        <v>9116</v>
      </c>
      <c r="F38214" t="s">
        <v>14268</v>
      </c>
      <c r="G38214" t="s">
        <v>18235</v>
      </c>
      <c r="H38214" t="s">
        <v>34523</v>
      </c>
    </row>
    <row r="38215" spans="1:8">
      <c r="A38215" t="s">
        <v>3413</v>
      </c>
      <c r="B38215">
        <f>HYPERLINK("https://android.googlesource.com/platform/cts/+/9390fa136ce8e0bd6fe8472862ef2fedb3aa47da", "9390fa136ce8e0bd6fe8472862ef2fedb3aa47da")</f>
        <v>0</v>
      </c>
      <c r="C38215">
        <f>HYPERLINK("https://android.googlesource.com/platform/cts/+/1d2c79746ecfb1a8bc4e0eb100119a347ce94593", "1d2c79746ecfb1a8bc4e0eb100119a347ce94593")</f>
        <v>0</v>
      </c>
      <c r="D38215" t="s">
        <v>5141</v>
      </c>
      <c r="E38215" t="s">
        <v>9116</v>
      </c>
      <c r="F38215" t="s">
        <v>14268</v>
      </c>
      <c r="G38215" t="s">
        <v>18235</v>
      </c>
      <c r="H38215" t="s">
        <v>34523</v>
      </c>
    </row>
    <row r="38216" spans="1:8">
      <c r="A38216" t="s">
        <v>3414</v>
      </c>
      <c r="B38216">
        <f>HYPERLINK("https://android.googlesource.com/platform/cts/+/92f090dfe7a47de2a150bee1176c7a24ba9eaea4", "92f090dfe7a47de2a150bee1176c7a24ba9eaea4")</f>
        <v>0</v>
      </c>
      <c r="C38216">
        <f>HYPERLINK("https://android.googlesource.com/platform/cts/+/448a3e0c93820e7df58f11ab77a89d9d7411a899", "448a3e0c93820e7df58f11ab77a89d9d7411a899")</f>
        <v>0</v>
      </c>
      <c r="D38216" t="s">
        <v>5141</v>
      </c>
      <c r="E38216" t="s">
        <v>9116</v>
      </c>
      <c r="F38216" t="s">
        <v>14268</v>
      </c>
      <c r="G38216" t="s">
        <v>18235</v>
      </c>
      <c r="H38216" t="s">
        <v>34523</v>
      </c>
    </row>
    <row r="38217" spans="1:8">
      <c r="A38217" t="s">
        <v>3415</v>
      </c>
      <c r="B38217">
        <f>HYPERLINK("https://android.googlesource.com/platform/cts/+/0742137add9da14e28ad7c1ae49cfc28d4d55e76", "0742137add9da14e28ad7c1ae49cfc28d4d55e76")</f>
        <v>0</v>
      </c>
      <c r="C38217">
        <f>HYPERLINK("https://android.googlesource.com/platform/cts/+/3a5a6e793dcc76ca847942d2870b3f12a33b3513", "3a5a6e793dcc76ca847942d2870b3f12a33b3513")</f>
        <v>0</v>
      </c>
      <c r="D38217" t="s">
        <v>5565</v>
      </c>
      <c r="E38217" t="s">
        <v>9117</v>
      </c>
      <c r="F38217" t="s">
        <v>13888</v>
      </c>
      <c r="G38217" t="s">
        <v>15054</v>
      </c>
      <c r="H38217" t="s">
        <v>34524</v>
      </c>
    </row>
    <row r="38218" spans="1:8">
      <c r="A38218" t="s">
        <v>3416</v>
      </c>
      <c r="B38218">
        <f>HYPERLINK("https://android.googlesource.com/platform/cts/+/5fcdfbaef2997c2ce581439c44352fbe8ddbc2b3", "5fcdfbaef2997c2ce581439c44352fbe8ddbc2b3")</f>
        <v>0</v>
      </c>
      <c r="C38218">
        <f>HYPERLINK("https://android.googlesource.com/platform/cts/+/92a7060dda9433a4ecc39181bd20d0f718eac7c1", "92a7060dda9433a4ecc39181bd20d0f718eac7c1")</f>
        <v>0</v>
      </c>
      <c r="D38218" t="s">
        <v>5568</v>
      </c>
      <c r="E38218" t="s">
        <v>9118</v>
      </c>
      <c r="F38218" t="s">
        <v>14269</v>
      </c>
      <c r="G38218" t="s">
        <v>18236</v>
      </c>
      <c r="H38218" t="s">
        <v>34249</v>
      </c>
    </row>
    <row r="38219" spans="1:8">
      <c r="H38219" t="s">
        <v>34250</v>
      </c>
    </row>
    <row r="38220" spans="1:8">
      <c r="H38220" t="s">
        <v>34525</v>
      </c>
    </row>
    <row r="38221" spans="1:8">
      <c r="H38221" t="s">
        <v>34526</v>
      </c>
    </row>
    <row r="38222" spans="1:8">
      <c r="H38222" t="s">
        <v>34527</v>
      </c>
    </row>
    <row r="38223" spans="1:8">
      <c r="H38223" t="s">
        <v>34528</v>
      </c>
    </row>
    <row r="38224" spans="1:8">
      <c r="H38224" t="s">
        <v>34529</v>
      </c>
    </row>
    <row r="38225" spans="8:8">
      <c r="H38225" t="s">
        <v>34530</v>
      </c>
    </row>
    <row r="38226" spans="8:8">
      <c r="H38226" t="s">
        <v>34531</v>
      </c>
    </row>
    <row r="38227" spans="8:8">
      <c r="H38227" t="s">
        <v>34532</v>
      </c>
    </row>
    <row r="38228" spans="8:8">
      <c r="H38228" t="s">
        <v>34533</v>
      </c>
    </row>
    <row r="38229" spans="8:8">
      <c r="H38229" t="s">
        <v>34534</v>
      </c>
    </row>
    <row r="38230" spans="8:8">
      <c r="H38230" t="s">
        <v>34535</v>
      </c>
    </row>
    <row r="38231" spans="8:8">
      <c r="H38231" t="s">
        <v>34536</v>
      </c>
    </row>
    <row r="38232" spans="8:8">
      <c r="H38232" t="s">
        <v>34537</v>
      </c>
    </row>
    <row r="38233" spans="8:8">
      <c r="H38233" t="s">
        <v>34538</v>
      </c>
    </row>
    <row r="38234" spans="8:8">
      <c r="H38234" t="s">
        <v>34539</v>
      </c>
    </row>
    <row r="38235" spans="8:8">
      <c r="H38235" t="s">
        <v>34540</v>
      </c>
    </row>
    <row r="38236" spans="8:8">
      <c r="H38236" t="s">
        <v>34541</v>
      </c>
    </row>
    <row r="38237" spans="8:8">
      <c r="H38237" t="s">
        <v>34542</v>
      </c>
    </row>
    <row r="38238" spans="8:8">
      <c r="H38238" t="s">
        <v>34543</v>
      </c>
    </row>
    <row r="38239" spans="8:8">
      <c r="H38239" t="s">
        <v>34544</v>
      </c>
    </row>
    <row r="38240" spans="8:8">
      <c r="H38240" t="s">
        <v>34545</v>
      </c>
    </row>
    <row r="38241" spans="8:8">
      <c r="H38241" t="s">
        <v>34546</v>
      </c>
    </row>
    <row r="38242" spans="8:8">
      <c r="H38242" t="s">
        <v>34547</v>
      </c>
    </row>
    <row r="38243" spans="8:8">
      <c r="H38243" t="s">
        <v>34548</v>
      </c>
    </row>
    <row r="38244" spans="8:8">
      <c r="H38244" t="s">
        <v>34549</v>
      </c>
    </row>
    <row r="38245" spans="8:8">
      <c r="H38245" t="s">
        <v>34550</v>
      </c>
    </row>
    <row r="38246" spans="8:8">
      <c r="H38246" t="s">
        <v>34551</v>
      </c>
    </row>
    <row r="38247" spans="8:8">
      <c r="H38247" t="s">
        <v>34552</v>
      </c>
    </row>
    <row r="38248" spans="8:8">
      <c r="H38248" t="s">
        <v>34553</v>
      </c>
    </row>
    <row r="38249" spans="8:8">
      <c r="H38249" t="s">
        <v>34554</v>
      </c>
    </row>
    <row r="38250" spans="8:8">
      <c r="H38250" t="s">
        <v>34555</v>
      </c>
    </row>
    <row r="38251" spans="8:8">
      <c r="H38251" t="s">
        <v>34556</v>
      </c>
    </row>
    <row r="38252" spans="8:8">
      <c r="H38252" t="s">
        <v>34557</v>
      </c>
    </row>
    <row r="38253" spans="8:8">
      <c r="H38253" t="s">
        <v>34558</v>
      </c>
    </row>
    <row r="38254" spans="8:8">
      <c r="H38254" t="s">
        <v>34559</v>
      </c>
    </row>
    <row r="38255" spans="8:8">
      <c r="H38255" t="s">
        <v>34560</v>
      </c>
    </row>
    <row r="38256" spans="8:8">
      <c r="H38256" t="s">
        <v>34561</v>
      </c>
    </row>
    <row r="38257" spans="8:8">
      <c r="H38257" t="s">
        <v>34562</v>
      </c>
    </row>
    <row r="38258" spans="8:8">
      <c r="H38258" t="s">
        <v>34563</v>
      </c>
    </row>
    <row r="38259" spans="8:8">
      <c r="H38259" t="s">
        <v>19019</v>
      </c>
    </row>
    <row r="38260" spans="8:8">
      <c r="H38260" t="s">
        <v>34564</v>
      </c>
    </row>
    <row r="38261" spans="8:8">
      <c r="H38261" t="s">
        <v>34565</v>
      </c>
    </row>
    <row r="38262" spans="8:8">
      <c r="H38262" t="s">
        <v>34566</v>
      </c>
    </row>
    <row r="38263" spans="8:8">
      <c r="H38263" t="s">
        <v>34567</v>
      </c>
    </row>
    <row r="38264" spans="8:8">
      <c r="H38264" t="s">
        <v>34568</v>
      </c>
    </row>
    <row r="38265" spans="8:8">
      <c r="H38265" t="s">
        <v>19019</v>
      </c>
    </row>
    <row r="38266" spans="8:8">
      <c r="H38266" t="s">
        <v>34569</v>
      </c>
    </row>
    <row r="38267" spans="8:8">
      <c r="H38267" t="s">
        <v>34570</v>
      </c>
    </row>
    <row r="38268" spans="8:8">
      <c r="H38268" t="s">
        <v>34571</v>
      </c>
    </row>
    <row r="38269" spans="8:8">
      <c r="H38269" t="s">
        <v>34572</v>
      </c>
    </row>
    <row r="38270" spans="8:8">
      <c r="H38270" t="s">
        <v>34573</v>
      </c>
    </row>
    <row r="38271" spans="8:8">
      <c r="H38271" t="s">
        <v>34573</v>
      </c>
    </row>
    <row r="38272" spans="8:8">
      <c r="H38272" t="s">
        <v>34574</v>
      </c>
    </row>
    <row r="38273" spans="1:8">
      <c r="H38273" t="s">
        <v>34575</v>
      </c>
    </row>
    <row r="38274" spans="1:8">
      <c r="A38274" t="s">
        <v>3417</v>
      </c>
      <c r="B38274">
        <f>HYPERLINK("https://android.googlesource.com/platform/cts/+/a8343bab5fc0a62d6577eb8ea9ac6fd914c116e6", "a8343bab5fc0a62d6577eb8ea9ac6fd914c116e6")</f>
        <v>0</v>
      </c>
      <c r="C38274">
        <f>HYPERLINK("https://android.googlesource.com/platform/cts/+/cdea5c6fc36c5ca29ab60d11dd882b77b1274375", "cdea5c6fc36c5ca29ab60d11dd882b77b1274375")</f>
        <v>0</v>
      </c>
      <c r="D38274" t="s">
        <v>5134</v>
      </c>
      <c r="E38274" t="s">
        <v>9119</v>
      </c>
      <c r="F38274" t="s">
        <v>14270</v>
      </c>
      <c r="G38274" t="s">
        <v>18237</v>
      </c>
      <c r="H38274" t="s">
        <v>19905</v>
      </c>
    </row>
    <row r="38275" spans="1:8">
      <c r="F38275" t="s">
        <v>14271</v>
      </c>
      <c r="G38275" t="s">
        <v>18238</v>
      </c>
      <c r="H38275" t="s">
        <v>19905</v>
      </c>
    </row>
    <row r="38276" spans="1:8">
      <c r="F38276" t="s">
        <v>14237</v>
      </c>
      <c r="G38276" t="s">
        <v>18207</v>
      </c>
      <c r="H38276" t="s">
        <v>19905</v>
      </c>
    </row>
    <row r="38277" spans="1:8">
      <c r="A38277" t="s">
        <v>3418</v>
      </c>
      <c r="B38277">
        <f>HYPERLINK("https://android.googlesource.com/platform/cts/+/8423e8642efe7c93051c91e5ac26ef6956c7f464", "8423e8642efe7c93051c91e5ac26ef6956c7f464")</f>
        <v>0</v>
      </c>
      <c r="C38277">
        <f>HYPERLINK("https://android.googlesource.com/platform/cts/+/52e2d1e190f7e82d267140a82c8ea11f32464ed3", "52e2d1e190f7e82d267140a82c8ea11f32464ed3")</f>
        <v>0</v>
      </c>
      <c r="D38277" t="s">
        <v>5134</v>
      </c>
      <c r="E38277" t="s">
        <v>9120</v>
      </c>
      <c r="F38277" t="s">
        <v>13349</v>
      </c>
      <c r="G38277" t="s">
        <v>17476</v>
      </c>
      <c r="H38277" t="s">
        <v>18863</v>
      </c>
    </row>
    <row r="38278" spans="1:8">
      <c r="A38278" t="s">
        <v>3419</v>
      </c>
      <c r="B38278">
        <f>HYPERLINK("https://android.googlesource.com/platform/cts/+/4846f5fcf2b45aa6e48488a1ffe7939fcc9e6da7", "4846f5fcf2b45aa6e48488a1ffe7939fcc9e6da7")</f>
        <v>0</v>
      </c>
      <c r="C38278">
        <f>HYPERLINK("https://android.googlesource.com/platform/cts/+/ed7ae19ac395aa57c0fc766e175bb266bb0209ff", "ed7ae19ac395aa57c0fc766e175bb266bb0209ff")</f>
        <v>0</v>
      </c>
      <c r="D38278" t="s">
        <v>5134</v>
      </c>
      <c r="E38278" t="s">
        <v>9121</v>
      </c>
      <c r="F38278" t="s">
        <v>13349</v>
      </c>
      <c r="G38278" t="s">
        <v>17476</v>
      </c>
      <c r="H38278" t="s">
        <v>18863</v>
      </c>
    </row>
    <row r="38279" spans="1:8">
      <c r="A38279" t="s">
        <v>3420</v>
      </c>
      <c r="B38279">
        <f>HYPERLINK("https://android.googlesource.com/platform/cts/+/6d89b9bfb0e8b8309e19be675ae54567a5332f85", "6d89b9bfb0e8b8309e19be675ae54567a5332f85")</f>
        <v>0</v>
      </c>
      <c r="C38279">
        <f>HYPERLINK("https://android.googlesource.com/platform/cts/+/e8995fddeb54adb5571bec3e1f53843c8d906160", "e8995fddeb54adb5571bec3e1f53843c8d906160")</f>
        <v>0</v>
      </c>
      <c r="D38279" t="s">
        <v>5141</v>
      </c>
      <c r="E38279" t="s">
        <v>9122</v>
      </c>
      <c r="F38279" t="s">
        <v>14268</v>
      </c>
      <c r="G38279" t="s">
        <v>18235</v>
      </c>
      <c r="H38279" t="s">
        <v>34523</v>
      </c>
    </row>
    <row r="38280" spans="1:8">
      <c r="A38280" t="s">
        <v>3421</v>
      </c>
      <c r="B38280">
        <f>HYPERLINK("https://android.googlesource.com/platform/cts/+/54d2aa9985f2d6172d28d277feda51df40bae829", "54d2aa9985f2d6172d28d277feda51df40bae829")</f>
        <v>0</v>
      </c>
      <c r="C38280">
        <f>HYPERLINK("https://android.googlesource.com/platform/cts/+/e321bc2a1f38a341fdb0392b9d121fae33e9ef9a", "e321bc2a1f38a341fdb0392b9d121fae33e9ef9a")</f>
        <v>0</v>
      </c>
      <c r="D38280" t="s">
        <v>5141</v>
      </c>
      <c r="E38280" t="s">
        <v>9122</v>
      </c>
      <c r="F38280" t="s">
        <v>14268</v>
      </c>
      <c r="G38280" t="s">
        <v>18235</v>
      </c>
      <c r="H38280" t="s">
        <v>34523</v>
      </c>
    </row>
    <row r="38281" spans="1:8">
      <c r="A38281" t="s">
        <v>3422</v>
      </c>
      <c r="B38281">
        <f>HYPERLINK("https://android.googlesource.com/platform/cts/+/ce6e9c1a82a71499e5ecb237eed74eb57e0f0488", "ce6e9c1a82a71499e5ecb237eed74eb57e0f0488")</f>
        <v>0</v>
      </c>
      <c r="C38281">
        <f>HYPERLINK("https://android.googlesource.com/platform/cts/+/6339e0434e1d38e2440e00e476350075c0e8a564", "6339e0434e1d38e2440e00e476350075c0e8a564")</f>
        <v>0</v>
      </c>
      <c r="D38281" t="s">
        <v>5134</v>
      </c>
      <c r="E38281" t="s">
        <v>9123</v>
      </c>
      <c r="F38281" t="s">
        <v>14272</v>
      </c>
      <c r="G38281" t="s">
        <v>18239</v>
      </c>
      <c r="H38281" t="s">
        <v>34576</v>
      </c>
    </row>
    <row r="38282" spans="1:8">
      <c r="H38282" t="s">
        <v>34577</v>
      </c>
    </row>
    <row r="38283" spans="1:8">
      <c r="H38283" t="s">
        <v>34578</v>
      </c>
    </row>
    <row r="38284" spans="1:8">
      <c r="A38284" t="s">
        <v>3423</v>
      </c>
      <c r="B38284">
        <f>HYPERLINK("https://android.googlesource.com/platform/cts/+/b825aff135710b8b2345e80988d4dd436b4b3ca0", "b825aff135710b8b2345e80988d4dd436b4b3ca0")</f>
        <v>0</v>
      </c>
      <c r="C38284">
        <f>HYPERLINK("https://android.googlesource.com/platform/cts/+/3a925eb92b54e7d506a595779d300c4457100e2e", "3a925eb92b54e7d506a595779d300c4457100e2e")</f>
        <v>0</v>
      </c>
      <c r="D38284" t="s">
        <v>5416</v>
      </c>
      <c r="E38284" t="s">
        <v>9124</v>
      </c>
      <c r="F38284" t="s">
        <v>13367</v>
      </c>
      <c r="G38284" t="s">
        <v>17493</v>
      </c>
      <c r="H38284" t="s">
        <v>19933</v>
      </c>
    </row>
    <row r="38285" spans="1:8">
      <c r="F38285" t="s">
        <v>13368</v>
      </c>
      <c r="G38285" t="s">
        <v>17494</v>
      </c>
      <c r="H38285" t="s">
        <v>19933</v>
      </c>
    </row>
    <row r="38286" spans="1:8">
      <c r="A38286" t="s">
        <v>3424</v>
      </c>
      <c r="B38286">
        <f>HYPERLINK("https://android.googlesource.com/platform/cts/+/d4734faba1811c29e02d645e754fe41abecf14a0", "d4734faba1811c29e02d645e754fe41abecf14a0")</f>
        <v>0</v>
      </c>
      <c r="C38286">
        <f>HYPERLINK("https://android.googlesource.com/platform/cts/+/049df7dec896b76e63cb90d703385daab724ae99", "049df7dec896b76e63cb90d703385daab724ae99")</f>
        <v>0</v>
      </c>
      <c r="D38286" t="s">
        <v>5134</v>
      </c>
      <c r="E38286" t="s">
        <v>9125</v>
      </c>
      <c r="F38286" t="s">
        <v>13349</v>
      </c>
      <c r="G38286" t="s">
        <v>17476</v>
      </c>
      <c r="H38286" t="s">
        <v>18863</v>
      </c>
    </row>
    <row r="38287" spans="1:8">
      <c r="A38287" t="s">
        <v>3425</v>
      </c>
      <c r="B38287">
        <f>HYPERLINK("https://android.googlesource.com/platform/cts/+/01dab99f298de3a292aab13075372c92130a8300", "01dab99f298de3a292aab13075372c92130a8300")</f>
        <v>0</v>
      </c>
      <c r="C38287">
        <f>HYPERLINK("https://android.googlesource.com/platform/cts/+/ec25a81f4ca94428c0a77f776ced8c0389cad250", "ec25a81f4ca94428c0a77f776ced8c0389cad250")</f>
        <v>0</v>
      </c>
      <c r="D38287" t="s">
        <v>5160</v>
      </c>
      <c r="E38287" t="s">
        <v>9126</v>
      </c>
      <c r="F38287" t="s">
        <v>13701</v>
      </c>
      <c r="G38287" t="s">
        <v>17769</v>
      </c>
      <c r="H38287" t="s">
        <v>22639</v>
      </c>
    </row>
    <row r="38288" spans="1:8">
      <c r="H38288" t="s">
        <v>31023</v>
      </c>
    </row>
    <row r="38289" spans="1:8">
      <c r="A38289" t="s">
        <v>3426</v>
      </c>
      <c r="B38289">
        <f>HYPERLINK("https://android.googlesource.com/platform/cts/+/717e99b3bfcd9dcef442858c6d512b2422ae69c3", "717e99b3bfcd9dcef442858c6d512b2422ae69c3")</f>
        <v>0</v>
      </c>
      <c r="C38289">
        <f>HYPERLINK("https://android.googlesource.com/platform/cts/+/3d2478407493aa479f4a73bd37931423c6f2efe7", "3d2478407493aa479f4a73bd37931423c6f2efe7")</f>
        <v>0</v>
      </c>
      <c r="D38289" t="s">
        <v>5134</v>
      </c>
      <c r="E38289" t="s">
        <v>9127</v>
      </c>
      <c r="F38289" t="s">
        <v>14264</v>
      </c>
      <c r="G38289" t="s">
        <v>18231</v>
      </c>
      <c r="H38289" t="s">
        <v>18829</v>
      </c>
    </row>
    <row r="38290" spans="1:8">
      <c r="A38290" t="s">
        <v>3427</v>
      </c>
      <c r="B38290">
        <f>HYPERLINK("https://android.googlesource.com/platform/cts/+/fac2b8c8b0937e841bc9eb4ccac630b3c3058798", "fac2b8c8b0937e841bc9eb4ccac630b3c3058798")</f>
        <v>0</v>
      </c>
      <c r="C38290">
        <f>HYPERLINK("https://android.googlesource.com/platform/cts/+/11eecc19c5a08d143e1ad972fc69642837c0e881", "11eecc19c5a08d143e1ad972fc69642837c0e881")</f>
        <v>0</v>
      </c>
      <c r="D38290" t="s">
        <v>5242</v>
      </c>
      <c r="E38290" t="s">
        <v>9128</v>
      </c>
      <c r="F38290" t="s">
        <v>13816</v>
      </c>
      <c r="G38290" t="s">
        <v>15089</v>
      </c>
      <c r="H38290" t="s">
        <v>34057</v>
      </c>
    </row>
    <row r="38291" spans="1:8">
      <c r="H38291" t="s">
        <v>34058</v>
      </c>
    </row>
    <row r="38292" spans="1:8">
      <c r="H38292" t="s">
        <v>34059</v>
      </c>
    </row>
    <row r="38293" spans="1:8">
      <c r="H38293" t="s">
        <v>34060</v>
      </c>
    </row>
    <row r="38294" spans="1:8">
      <c r="H38294" t="s">
        <v>34061</v>
      </c>
    </row>
    <row r="38295" spans="1:8">
      <c r="H38295" t="s">
        <v>34063</v>
      </c>
    </row>
    <row r="38296" spans="1:8">
      <c r="H38296" t="s">
        <v>34066</v>
      </c>
    </row>
    <row r="38297" spans="1:8">
      <c r="H38297" t="s">
        <v>34068</v>
      </c>
    </row>
    <row r="38298" spans="1:8">
      <c r="H38298" t="s">
        <v>34069</v>
      </c>
    </row>
    <row r="38299" spans="1:8">
      <c r="A38299" t="s">
        <v>3428</v>
      </c>
      <c r="B38299">
        <f>HYPERLINK("https://android.googlesource.com/platform/cts/+/00f8b9703f3161dc02106bb580abc776c4cd93a3", "00f8b9703f3161dc02106bb580abc776c4cd93a3")</f>
        <v>0</v>
      </c>
      <c r="C38299">
        <f>HYPERLINK("https://android.googlesource.com/platform/cts/+/3379691627c48ed350db72ad31fe538b44267703", "3379691627c48ed350db72ad31fe538b44267703")</f>
        <v>0</v>
      </c>
      <c r="D38299" t="s">
        <v>5559</v>
      </c>
      <c r="E38299" t="s">
        <v>9129</v>
      </c>
      <c r="F38299" t="s">
        <v>13755</v>
      </c>
      <c r="G38299" t="s">
        <v>17815</v>
      </c>
      <c r="H38299" t="s">
        <v>34579</v>
      </c>
    </row>
    <row r="38300" spans="1:8">
      <c r="H38300" t="s">
        <v>34580</v>
      </c>
    </row>
    <row r="38301" spans="1:8">
      <c r="H38301" t="s">
        <v>34581</v>
      </c>
    </row>
    <row r="38302" spans="1:8">
      <c r="H38302" t="s">
        <v>34582</v>
      </c>
    </row>
    <row r="38303" spans="1:8">
      <c r="H38303" t="s">
        <v>34583</v>
      </c>
    </row>
    <row r="38304" spans="1:8">
      <c r="H38304" t="s">
        <v>34584</v>
      </c>
    </row>
    <row r="38305" spans="1:8">
      <c r="H38305" t="s">
        <v>34585</v>
      </c>
    </row>
    <row r="38306" spans="1:8">
      <c r="H38306" t="s">
        <v>34586</v>
      </c>
    </row>
    <row r="38307" spans="1:8">
      <c r="H38307" t="s">
        <v>34587</v>
      </c>
    </row>
    <row r="38308" spans="1:8">
      <c r="H38308" t="s">
        <v>34588</v>
      </c>
    </row>
    <row r="38309" spans="1:8">
      <c r="H38309" t="s">
        <v>34589</v>
      </c>
    </row>
    <row r="38310" spans="1:8">
      <c r="A38310" t="s">
        <v>3429</v>
      </c>
      <c r="B38310">
        <f>HYPERLINK("https://android.googlesource.com/platform/cts/+/f022b071b5d30361b8f77ab28ba49dafbc896e1e", "f022b071b5d30361b8f77ab28ba49dafbc896e1e")</f>
        <v>0</v>
      </c>
      <c r="C38310">
        <f>HYPERLINK("https://android.googlesource.com/platform/cts/+/0faa1f0840f155958ab31735d18a1a7d9d7f1cc2", "0faa1f0840f155958ab31735d18a1a7d9d7f1cc2")</f>
        <v>0</v>
      </c>
      <c r="D38310" t="s">
        <v>5546</v>
      </c>
      <c r="E38310" t="s">
        <v>9130</v>
      </c>
      <c r="F38310" t="s">
        <v>14237</v>
      </c>
      <c r="G38310" t="s">
        <v>18207</v>
      </c>
      <c r="H38310" t="s">
        <v>34590</v>
      </c>
    </row>
    <row r="38311" spans="1:8">
      <c r="H38311" t="s">
        <v>34591</v>
      </c>
    </row>
    <row r="38312" spans="1:8">
      <c r="H38312" t="s">
        <v>34592</v>
      </c>
    </row>
    <row r="38313" spans="1:8">
      <c r="H38313" t="s">
        <v>34593</v>
      </c>
    </row>
    <row r="38314" spans="1:8">
      <c r="H38314" t="s">
        <v>34594</v>
      </c>
    </row>
    <row r="38315" spans="1:8">
      <c r="H38315" t="s">
        <v>34595</v>
      </c>
    </row>
    <row r="38316" spans="1:8">
      <c r="H38316" t="s">
        <v>34596</v>
      </c>
    </row>
    <row r="38317" spans="1:8">
      <c r="H38317" t="s">
        <v>34597</v>
      </c>
    </row>
    <row r="38318" spans="1:8">
      <c r="H38318" t="s">
        <v>34598</v>
      </c>
    </row>
    <row r="38319" spans="1:8">
      <c r="H38319" t="s">
        <v>34599</v>
      </c>
    </row>
    <row r="38320" spans="1:8">
      <c r="H38320" t="s">
        <v>34600</v>
      </c>
    </row>
    <row r="38321" spans="8:8">
      <c r="H38321" t="s">
        <v>34601</v>
      </c>
    </row>
    <row r="38322" spans="8:8">
      <c r="H38322" t="s">
        <v>34602</v>
      </c>
    </row>
    <row r="38323" spans="8:8">
      <c r="H38323" t="s">
        <v>34603</v>
      </c>
    </row>
    <row r="38324" spans="8:8">
      <c r="H38324" t="s">
        <v>34604</v>
      </c>
    </row>
    <row r="38325" spans="8:8">
      <c r="H38325" t="s">
        <v>34605</v>
      </c>
    </row>
    <row r="38326" spans="8:8">
      <c r="H38326" t="s">
        <v>34606</v>
      </c>
    </row>
    <row r="38327" spans="8:8">
      <c r="H38327" t="s">
        <v>34607</v>
      </c>
    </row>
    <row r="38328" spans="8:8">
      <c r="H38328" t="s">
        <v>34608</v>
      </c>
    </row>
    <row r="38329" spans="8:8">
      <c r="H38329" t="s">
        <v>34609</v>
      </c>
    </row>
    <row r="38330" spans="8:8">
      <c r="H38330" t="s">
        <v>34610</v>
      </c>
    </row>
    <row r="38331" spans="8:8">
      <c r="H38331" t="s">
        <v>34611</v>
      </c>
    </row>
    <row r="38332" spans="8:8">
      <c r="H38332" t="s">
        <v>34612</v>
      </c>
    </row>
    <row r="38333" spans="8:8">
      <c r="H38333" t="s">
        <v>34613</v>
      </c>
    </row>
    <row r="38334" spans="8:8">
      <c r="H38334" t="s">
        <v>34614</v>
      </c>
    </row>
    <row r="38335" spans="8:8">
      <c r="H38335" t="s">
        <v>34615</v>
      </c>
    </row>
    <row r="38336" spans="8:8">
      <c r="H38336" t="s">
        <v>34616</v>
      </c>
    </row>
    <row r="38337" spans="1:8">
      <c r="H38337" t="s">
        <v>34617</v>
      </c>
    </row>
    <row r="38338" spans="1:8">
      <c r="A38338" t="s">
        <v>3430</v>
      </c>
      <c r="B38338">
        <f>HYPERLINK("https://android.googlesource.com/platform/cts/+/4ecd0fbe8004fdccf975c0ed904a3a19ae621058", "4ecd0fbe8004fdccf975c0ed904a3a19ae621058")</f>
        <v>0</v>
      </c>
      <c r="C38338">
        <f>HYPERLINK("https://android.googlesource.com/platform/cts/+/3d2478407493aa479f4a73bd37931423c6f2efe7", "3d2478407493aa479f4a73bd37931423c6f2efe7")</f>
        <v>0</v>
      </c>
      <c r="D38338" t="s">
        <v>5569</v>
      </c>
      <c r="E38338" t="s">
        <v>9131</v>
      </c>
      <c r="F38338" t="s">
        <v>14273</v>
      </c>
      <c r="G38338" t="s">
        <v>18240</v>
      </c>
      <c r="H38338" t="s">
        <v>34618</v>
      </c>
    </row>
    <row r="38339" spans="1:8">
      <c r="A38339" t="s">
        <v>3431</v>
      </c>
      <c r="B38339">
        <f>HYPERLINK("https://android.googlesource.com/platform/cts/+/409293999541c73d493a83cfaa722363492509cc", "409293999541c73d493a83cfaa722363492509cc")</f>
        <v>0</v>
      </c>
      <c r="C38339">
        <f>HYPERLINK("https://android.googlesource.com/platform/cts/+/89cee0f19cc92cc64c416f099704f3b6d1eda52a", "89cee0f19cc92cc64c416f099704f3b6d1eda52a")</f>
        <v>0</v>
      </c>
      <c r="D38339" t="s">
        <v>5416</v>
      </c>
      <c r="E38339" t="s">
        <v>9132</v>
      </c>
      <c r="F38339" t="s">
        <v>13367</v>
      </c>
      <c r="G38339" t="s">
        <v>17493</v>
      </c>
      <c r="H38339" t="s">
        <v>34619</v>
      </c>
    </row>
    <row r="38340" spans="1:8">
      <c r="H38340" t="s">
        <v>34620</v>
      </c>
    </row>
    <row r="38341" spans="1:8">
      <c r="F38341" t="s">
        <v>13368</v>
      </c>
      <c r="G38341" t="s">
        <v>17494</v>
      </c>
      <c r="H38341" t="s">
        <v>34621</v>
      </c>
    </row>
    <row r="38342" spans="1:8">
      <c r="A38342" t="s">
        <v>3432</v>
      </c>
      <c r="B38342">
        <f>HYPERLINK("https://android.googlesource.com/platform/cts/+/1ffa1adbd445a414e354b94181f4bdf64d038e3e", "1ffa1adbd445a414e354b94181f4bdf64d038e3e")</f>
        <v>0</v>
      </c>
      <c r="C38342">
        <f>HYPERLINK("https://android.googlesource.com/platform/cts/+/053d5c98f8e43e2d9dddee160aa3b8b418da8833", "053d5c98f8e43e2d9dddee160aa3b8b418da8833")</f>
        <v>0</v>
      </c>
      <c r="D38342" t="s">
        <v>5566</v>
      </c>
      <c r="E38342" t="s">
        <v>9106</v>
      </c>
      <c r="F38342" t="s">
        <v>13391</v>
      </c>
      <c r="G38342" t="s">
        <v>17517</v>
      </c>
      <c r="H38342" t="s">
        <v>34482</v>
      </c>
    </row>
    <row r="38343" spans="1:8">
      <c r="A38343" t="s">
        <v>3433</v>
      </c>
      <c r="B38343">
        <f>HYPERLINK("https://android.googlesource.com/platform/cts/+/09b9ea21d5d4545ea8cef21d714bc301021b5468", "09b9ea21d5d4545ea8cef21d714bc301021b5468")</f>
        <v>0</v>
      </c>
      <c r="C38343">
        <f>HYPERLINK("https://android.googlesource.com/platform/cts/+/f0076aeb585aa97e9cf3503a5935ac1095e989fc", "f0076aeb585aa97e9cf3503a5935ac1095e989fc")</f>
        <v>0</v>
      </c>
      <c r="D38343" t="s">
        <v>5511</v>
      </c>
      <c r="E38343" t="s">
        <v>9133</v>
      </c>
      <c r="F38343" t="s">
        <v>14274</v>
      </c>
      <c r="G38343" t="s">
        <v>18241</v>
      </c>
      <c r="H38343" t="s">
        <v>33709</v>
      </c>
    </row>
    <row r="38344" spans="1:8">
      <c r="F38344" t="s">
        <v>14275</v>
      </c>
      <c r="G38344" t="s">
        <v>18242</v>
      </c>
      <c r="H38344" t="s">
        <v>33709</v>
      </c>
    </row>
    <row r="38345" spans="1:8">
      <c r="F38345" t="s">
        <v>14276</v>
      </c>
      <c r="G38345" t="s">
        <v>18226</v>
      </c>
      <c r="H38345" t="s">
        <v>33709</v>
      </c>
    </row>
    <row r="38346" spans="1:8">
      <c r="F38346" t="s">
        <v>14277</v>
      </c>
      <c r="G38346" t="s">
        <v>18224</v>
      </c>
      <c r="H38346" t="s">
        <v>33709</v>
      </c>
    </row>
    <row r="38347" spans="1:8">
      <c r="F38347" t="s">
        <v>14278</v>
      </c>
      <c r="G38347" t="s">
        <v>18225</v>
      </c>
      <c r="H38347" t="s">
        <v>33787</v>
      </c>
    </row>
    <row r="38348" spans="1:8">
      <c r="A38348" t="s">
        <v>3434</v>
      </c>
      <c r="B38348">
        <f>HYPERLINK("https://android.googlesource.com/platform/cts/+/bbee0bfab532c3e22833dbcdd4495562e70d1b43", "bbee0bfab532c3e22833dbcdd4495562e70d1b43")</f>
        <v>0</v>
      </c>
      <c r="C38348">
        <f>HYPERLINK("https://android.googlesource.com/platform/cts/+/3379691627c48ed350db72ad31fe538b44267703", "3379691627c48ed350db72ad31fe538b44267703")</f>
        <v>0</v>
      </c>
      <c r="D38348" t="s">
        <v>5511</v>
      </c>
      <c r="E38348" t="s">
        <v>9133</v>
      </c>
      <c r="F38348" t="s">
        <v>14274</v>
      </c>
      <c r="G38348" t="s">
        <v>18241</v>
      </c>
      <c r="H38348" t="s">
        <v>33709</v>
      </c>
    </row>
    <row r="38349" spans="1:8">
      <c r="F38349" t="s">
        <v>14275</v>
      </c>
      <c r="G38349" t="s">
        <v>18242</v>
      </c>
      <c r="H38349" t="s">
        <v>33709</v>
      </c>
    </row>
    <row r="38350" spans="1:8">
      <c r="F38350" t="s">
        <v>14276</v>
      </c>
      <c r="G38350" t="s">
        <v>18226</v>
      </c>
      <c r="H38350" t="s">
        <v>33709</v>
      </c>
    </row>
    <row r="38351" spans="1:8">
      <c r="F38351" t="s">
        <v>14277</v>
      </c>
      <c r="G38351" t="s">
        <v>18224</v>
      </c>
      <c r="H38351" t="s">
        <v>33709</v>
      </c>
    </row>
    <row r="38352" spans="1:8">
      <c r="F38352" t="s">
        <v>14278</v>
      </c>
      <c r="G38352" t="s">
        <v>18225</v>
      </c>
      <c r="H38352" t="s">
        <v>33787</v>
      </c>
    </row>
    <row r="38353" spans="1:8">
      <c r="A38353" t="s">
        <v>3435</v>
      </c>
      <c r="B38353">
        <f>HYPERLINK("https://android.googlesource.com/platform/cts/+/4fb54f1fa131bb03499483b6787c38c039b16060", "4fb54f1fa131bb03499483b6787c38c039b16060")</f>
        <v>0</v>
      </c>
      <c r="C38353">
        <f>HYPERLINK("https://android.googlesource.com/platform/cts/+/7976eeabd477f21bb84cf9c343f800758d142f17", "7976eeabd477f21bb84cf9c343f800758d142f17")</f>
        <v>0</v>
      </c>
      <c r="D38353" t="s">
        <v>5546</v>
      </c>
      <c r="E38353" t="s">
        <v>9130</v>
      </c>
      <c r="F38353" t="s">
        <v>14237</v>
      </c>
      <c r="G38353" t="s">
        <v>18207</v>
      </c>
      <c r="H38353" t="s">
        <v>34590</v>
      </c>
    </row>
    <row r="38354" spans="1:8">
      <c r="H38354" t="s">
        <v>34591</v>
      </c>
    </row>
    <row r="38355" spans="1:8">
      <c r="H38355" t="s">
        <v>34592</v>
      </c>
    </row>
    <row r="38356" spans="1:8">
      <c r="H38356" t="s">
        <v>34593</v>
      </c>
    </row>
    <row r="38357" spans="1:8">
      <c r="H38357" t="s">
        <v>34594</v>
      </c>
    </row>
    <row r="38358" spans="1:8">
      <c r="H38358" t="s">
        <v>34595</v>
      </c>
    </row>
    <row r="38359" spans="1:8">
      <c r="H38359" t="s">
        <v>34596</v>
      </c>
    </row>
    <row r="38360" spans="1:8">
      <c r="H38360" t="s">
        <v>34597</v>
      </c>
    </row>
    <row r="38361" spans="1:8">
      <c r="H38361" t="s">
        <v>34598</v>
      </c>
    </row>
    <row r="38362" spans="1:8">
      <c r="H38362" t="s">
        <v>34599</v>
      </c>
    </row>
    <row r="38363" spans="1:8">
      <c r="H38363" t="s">
        <v>34600</v>
      </c>
    </row>
    <row r="38364" spans="1:8">
      <c r="H38364" t="s">
        <v>34601</v>
      </c>
    </row>
    <row r="38365" spans="1:8">
      <c r="H38365" t="s">
        <v>34602</v>
      </c>
    </row>
    <row r="38366" spans="1:8">
      <c r="H38366" t="s">
        <v>34603</v>
      </c>
    </row>
    <row r="38367" spans="1:8">
      <c r="H38367" t="s">
        <v>34604</v>
      </c>
    </row>
    <row r="38368" spans="1:8">
      <c r="H38368" t="s">
        <v>34605</v>
      </c>
    </row>
    <row r="38369" spans="1:8">
      <c r="H38369" t="s">
        <v>34606</v>
      </c>
    </row>
    <row r="38370" spans="1:8">
      <c r="H38370" t="s">
        <v>34607</v>
      </c>
    </row>
    <row r="38371" spans="1:8">
      <c r="H38371" t="s">
        <v>34608</v>
      </c>
    </row>
    <row r="38372" spans="1:8">
      <c r="H38372" t="s">
        <v>34609</v>
      </c>
    </row>
    <row r="38373" spans="1:8">
      <c r="H38373" t="s">
        <v>34610</v>
      </c>
    </row>
    <row r="38374" spans="1:8">
      <c r="H38374" t="s">
        <v>34611</v>
      </c>
    </row>
    <row r="38375" spans="1:8">
      <c r="H38375" t="s">
        <v>34612</v>
      </c>
    </row>
    <row r="38376" spans="1:8">
      <c r="H38376" t="s">
        <v>34613</v>
      </c>
    </row>
    <row r="38377" spans="1:8">
      <c r="H38377" t="s">
        <v>34614</v>
      </c>
    </row>
    <row r="38378" spans="1:8">
      <c r="H38378" t="s">
        <v>34615</v>
      </c>
    </row>
    <row r="38379" spans="1:8">
      <c r="H38379" t="s">
        <v>34616</v>
      </c>
    </row>
    <row r="38380" spans="1:8">
      <c r="H38380" t="s">
        <v>34617</v>
      </c>
    </row>
    <row r="38381" spans="1:8">
      <c r="A38381" t="s">
        <v>3436</v>
      </c>
      <c r="B38381">
        <f>HYPERLINK("https://android.googlesource.com/platform/cts/+/fd08a5617992f39a220d539dfb40575ae0a71d4d", "fd08a5617992f39a220d539dfb40575ae0a71d4d")</f>
        <v>0</v>
      </c>
      <c r="C38381">
        <f>HYPERLINK("https://android.googlesource.com/platform/cts/+/7c0e306d023a933b10ba07ea8d6f883263427d68", "7c0e306d023a933b10ba07ea8d6f883263427d68")</f>
        <v>0</v>
      </c>
      <c r="D38381" t="s">
        <v>5564</v>
      </c>
      <c r="E38381" t="s">
        <v>9134</v>
      </c>
      <c r="F38381" t="s">
        <v>12820</v>
      </c>
      <c r="G38381" t="s">
        <v>16999</v>
      </c>
      <c r="H38381" t="s">
        <v>34481</v>
      </c>
    </row>
    <row r="38382" spans="1:8">
      <c r="A38382" t="s">
        <v>3437</v>
      </c>
      <c r="B38382">
        <f>HYPERLINK("https://android.googlesource.com/platform/cts/+/4a59553535e39f49f5c1bb40e6cc343217042e16", "4a59553535e39f49f5c1bb40e6cc343217042e16")</f>
        <v>0</v>
      </c>
      <c r="C38382">
        <f>HYPERLINK("https://android.googlesource.com/platform/cts/+/19e8448388e40b65601f4091c04d2bc2208a3bac", "19e8448388e40b65601f4091c04d2bc2208a3bac")</f>
        <v>0</v>
      </c>
      <c r="D38382" t="s">
        <v>5456</v>
      </c>
      <c r="E38382" t="s">
        <v>9135</v>
      </c>
      <c r="F38382" t="s">
        <v>14023</v>
      </c>
      <c r="G38382" t="s">
        <v>18032</v>
      </c>
      <c r="H38382" t="s">
        <v>34370</v>
      </c>
    </row>
    <row r="38383" spans="1:8">
      <c r="F38383" t="s">
        <v>13899</v>
      </c>
      <c r="G38383" t="s">
        <v>17889</v>
      </c>
      <c r="H38383" t="s">
        <v>34252</v>
      </c>
    </row>
    <row r="38384" spans="1:8">
      <c r="A38384" t="s">
        <v>3438</v>
      </c>
      <c r="B38384">
        <f>HYPERLINK("https://android.googlesource.com/platform/cts/+/5308884945cea01debcbecb7e8c0f3e3817afc43", "5308884945cea01debcbecb7e8c0f3e3817afc43")</f>
        <v>0</v>
      </c>
      <c r="C38384">
        <f>HYPERLINK("https://android.googlesource.com/platform/cts/+/9a054528289ada68c20692deb1b9d3ea6e20721e", "9a054528289ada68c20692deb1b9d3ea6e20721e")</f>
        <v>0</v>
      </c>
      <c r="D38384" t="s">
        <v>5397</v>
      </c>
      <c r="E38384" t="s">
        <v>9136</v>
      </c>
      <c r="F38384" t="s">
        <v>14023</v>
      </c>
      <c r="G38384" t="s">
        <v>18032</v>
      </c>
      <c r="H38384" t="s">
        <v>34370</v>
      </c>
    </row>
    <row r="38385" spans="1:8">
      <c r="F38385" t="s">
        <v>13899</v>
      </c>
      <c r="G38385" t="s">
        <v>17889</v>
      </c>
      <c r="H38385" t="s">
        <v>34252</v>
      </c>
    </row>
    <row r="38386" spans="1:8">
      <c r="A38386" t="s">
        <v>3439</v>
      </c>
      <c r="B38386">
        <f>HYPERLINK("https://android.googlesource.com/platform/cts/+/79f37757f831d0e2d007e5f96ac90fd191296fd5", "79f37757f831d0e2d007e5f96ac90fd191296fd5")</f>
        <v>0</v>
      </c>
      <c r="C38386">
        <f>HYPERLINK("https://android.googlesource.com/platform/cts/+/91c0cf70b4c1534da908f02ad541813303c9ed0b", "91c0cf70b4c1534da908f02ad541813303c9ed0b")</f>
        <v>0</v>
      </c>
      <c r="D38386" t="s">
        <v>5527</v>
      </c>
      <c r="E38386" t="s">
        <v>9137</v>
      </c>
      <c r="F38386" t="s">
        <v>12570</v>
      </c>
      <c r="G38386" t="s">
        <v>16786</v>
      </c>
      <c r="H38386" t="s">
        <v>34622</v>
      </c>
    </row>
    <row r="38387" spans="1:8">
      <c r="A38387" t="s">
        <v>3440</v>
      </c>
      <c r="B38387">
        <f>HYPERLINK("https://android.googlesource.com/platform/cts/+/be0683bc6a0057811480fc74d440db3749873dc3", "be0683bc6a0057811480fc74d440db3749873dc3")</f>
        <v>0</v>
      </c>
      <c r="C38387">
        <f>HYPERLINK("https://android.googlesource.com/platform/cts/+/1fa7a248d198aed79cd52b1a608d70784daeb3e3", "1fa7a248d198aed79cd52b1a608d70784daeb3e3")</f>
        <v>0</v>
      </c>
      <c r="D38387" t="s">
        <v>5363</v>
      </c>
      <c r="E38387" t="s">
        <v>9138</v>
      </c>
      <c r="F38387" t="s">
        <v>14033</v>
      </c>
      <c r="G38387" t="s">
        <v>18030</v>
      </c>
      <c r="H38387" t="s">
        <v>34623</v>
      </c>
    </row>
    <row r="38388" spans="1:8">
      <c r="F38388" t="s">
        <v>14150</v>
      </c>
      <c r="G38388" t="s">
        <v>18138</v>
      </c>
      <c r="H38388" t="s">
        <v>32808</v>
      </c>
    </row>
    <row r="38389" spans="1:8">
      <c r="H38389" t="s">
        <v>32811</v>
      </c>
    </row>
    <row r="38390" spans="1:8">
      <c r="H38390" t="s">
        <v>32810</v>
      </c>
    </row>
    <row r="38391" spans="1:8">
      <c r="H38391" t="s">
        <v>32809</v>
      </c>
    </row>
    <row r="38392" spans="1:8">
      <c r="H38392" t="s">
        <v>18829</v>
      </c>
    </row>
    <row r="38393" spans="1:8">
      <c r="H38393" t="s">
        <v>18863</v>
      </c>
    </row>
    <row r="38394" spans="1:8">
      <c r="H38394" t="s">
        <v>33673</v>
      </c>
    </row>
    <row r="38395" spans="1:8">
      <c r="H38395" t="s">
        <v>34624</v>
      </c>
    </row>
    <row r="38396" spans="1:8">
      <c r="H38396" t="s">
        <v>34625</v>
      </c>
    </row>
    <row r="38397" spans="1:8">
      <c r="H38397" t="s">
        <v>34626</v>
      </c>
    </row>
    <row r="38398" spans="1:8">
      <c r="H38398" t="s">
        <v>34627</v>
      </c>
    </row>
    <row r="38399" spans="1:8">
      <c r="H38399" t="s">
        <v>34628</v>
      </c>
    </row>
    <row r="38400" spans="1:8">
      <c r="H38400" t="s">
        <v>34629</v>
      </c>
    </row>
    <row r="38401" spans="1:8">
      <c r="A38401" t="s">
        <v>3441</v>
      </c>
      <c r="B38401">
        <f>HYPERLINK("https://android.googlesource.com/platform/cts/+/701870a357b0dbd96819aaa405a3df465d3932ae", "701870a357b0dbd96819aaa405a3df465d3932ae")</f>
        <v>0</v>
      </c>
      <c r="C38401">
        <f>HYPERLINK("https://android.googlesource.com/platform/cts/+/489405a729d252b23676ca7640e70cd4391908d8", "489405a729d252b23676ca7640e70cd4391908d8")</f>
        <v>0</v>
      </c>
      <c r="D38401" t="s">
        <v>5456</v>
      </c>
      <c r="E38401" t="s">
        <v>9139</v>
      </c>
      <c r="F38401" t="s">
        <v>14023</v>
      </c>
      <c r="G38401" t="s">
        <v>18032</v>
      </c>
      <c r="H38401" t="s">
        <v>34370</v>
      </c>
    </row>
    <row r="38402" spans="1:8">
      <c r="F38402" t="s">
        <v>13899</v>
      </c>
      <c r="G38402" t="s">
        <v>17889</v>
      </c>
      <c r="H38402" t="s">
        <v>34252</v>
      </c>
    </row>
    <row r="38403" spans="1:8">
      <c r="A38403" t="s">
        <v>3442</v>
      </c>
      <c r="B38403">
        <f>HYPERLINK("https://android.googlesource.com/platform/cts/+/db515c956e5749df6a8c2850a98a5371c0b59d1b", "db515c956e5749df6a8c2850a98a5371c0b59d1b")</f>
        <v>0</v>
      </c>
      <c r="C38403">
        <f>HYPERLINK("https://android.googlesource.com/platform/cts/+/316d878f101f566924094fab7d3cec8f8d1d9270", "316d878f101f566924094fab7d3cec8f8d1d9270")</f>
        <v>0</v>
      </c>
      <c r="D38403" t="s">
        <v>5570</v>
      </c>
      <c r="E38403" t="s">
        <v>9034</v>
      </c>
      <c r="F38403" t="s">
        <v>13968</v>
      </c>
      <c r="G38403" t="s">
        <v>17993</v>
      </c>
      <c r="H38403" t="s">
        <v>34349</v>
      </c>
    </row>
    <row r="38404" spans="1:8">
      <c r="A38404" t="s">
        <v>3443</v>
      </c>
      <c r="B38404">
        <f>HYPERLINK("https://android.googlesource.com/platform/cts/+/9499857dbaae0707092729e12cde66385247a18c", "9499857dbaae0707092729e12cde66385247a18c")</f>
        <v>0</v>
      </c>
      <c r="C38404">
        <f>HYPERLINK("https://android.googlesource.com/platform/cts/+/96f929ca5552eabbee91c60c50a4ce5ac464d071", "96f929ca5552eabbee91c60c50a4ce5ac464d071")</f>
        <v>0</v>
      </c>
      <c r="D38404" t="s">
        <v>5427</v>
      </c>
      <c r="E38404" t="s">
        <v>9140</v>
      </c>
      <c r="F38404" t="s">
        <v>13910</v>
      </c>
      <c r="G38404" t="s">
        <v>18243</v>
      </c>
      <c r="H38404" t="s">
        <v>18829</v>
      </c>
    </row>
    <row r="38405" spans="1:8">
      <c r="H38405" t="s">
        <v>18863</v>
      </c>
    </row>
    <row r="38406" spans="1:8">
      <c r="H38406" t="s">
        <v>34630</v>
      </c>
    </row>
    <row r="38407" spans="1:8">
      <c r="H38407" t="s">
        <v>34631</v>
      </c>
    </row>
    <row r="38408" spans="1:8">
      <c r="H38408" t="s">
        <v>34632</v>
      </c>
    </row>
    <row r="38409" spans="1:8">
      <c r="H38409" t="s">
        <v>34633</v>
      </c>
    </row>
    <row r="38410" spans="1:8">
      <c r="H38410" t="s">
        <v>34634</v>
      </c>
    </row>
    <row r="38411" spans="1:8">
      <c r="H38411" t="s">
        <v>34635</v>
      </c>
    </row>
    <row r="38412" spans="1:8">
      <c r="H38412" t="s">
        <v>34636</v>
      </c>
    </row>
    <row r="38413" spans="1:8">
      <c r="H38413" t="s">
        <v>34637</v>
      </c>
    </row>
    <row r="38414" spans="1:8">
      <c r="H38414" t="s">
        <v>34638</v>
      </c>
    </row>
    <row r="38415" spans="1:8">
      <c r="H38415" t="s">
        <v>34639</v>
      </c>
    </row>
    <row r="38416" spans="1:8">
      <c r="H38416" t="s">
        <v>34639</v>
      </c>
    </row>
    <row r="38417" spans="1:8">
      <c r="A38417" t="s">
        <v>3444</v>
      </c>
      <c r="B38417">
        <f>HYPERLINK("https://android.googlesource.com/platform/cts/+/23a1d5993e800abe65467e95b81377ee10e7c9cb", "23a1d5993e800abe65467e95b81377ee10e7c9cb")</f>
        <v>0</v>
      </c>
      <c r="C38417">
        <f>HYPERLINK("https://android.googlesource.com/platform/cts/+/fded564c3e8438c5d64d32f622da44d8e5bc6c17", "fded564c3e8438c5d64d32f622da44d8e5bc6c17")</f>
        <v>0</v>
      </c>
      <c r="D38417" t="s">
        <v>5541</v>
      </c>
      <c r="E38417" t="s">
        <v>9141</v>
      </c>
      <c r="F38417" t="s">
        <v>14171</v>
      </c>
      <c r="G38417" t="s">
        <v>18151</v>
      </c>
      <c r="H38417" t="s">
        <v>34640</v>
      </c>
    </row>
    <row r="38418" spans="1:8">
      <c r="H38418" t="s">
        <v>33752</v>
      </c>
    </row>
    <row r="38419" spans="1:8">
      <c r="A38419" t="s">
        <v>3445</v>
      </c>
      <c r="B38419">
        <f>HYPERLINK("https://android.googlesource.com/platform/cts/+/ca618e0bdd22803901c8ebc920392c43b17537fb", "ca618e0bdd22803901c8ebc920392c43b17537fb")</f>
        <v>0</v>
      </c>
      <c r="C38419">
        <f>HYPERLINK("https://android.googlesource.com/platform/cts/+/50bca75597f931a2a85c1a810bdbea1a75943800", "50bca75597f931a2a85c1a810bdbea1a75943800")</f>
        <v>0</v>
      </c>
      <c r="D38419" t="s">
        <v>5456</v>
      </c>
      <c r="E38419" t="s">
        <v>9142</v>
      </c>
      <c r="F38419" t="s">
        <v>14023</v>
      </c>
      <c r="G38419" t="s">
        <v>18032</v>
      </c>
      <c r="H38419" t="s">
        <v>34372</v>
      </c>
    </row>
    <row r="38420" spans="1:8">
      <c r="F38420" t="s">
        <v>13846</v>
      </c>
      <c r="G38420" t="s">
        <v>17889</v>
      </c>
      <c r="H38420" t="s">
        <v>34372</v>
      </c>
    </row>
    <row r="38421" spans="1:8">
      <c r="F38421" t="s">
        <v>13899</v>
      </c>
      <c r="G38421" t="s">
        <v>17889</v>
      </c>
      <c r="H38421" t="s">
        <v>34372</v>
      </c>
    </row>
    <row r="38422" spans="1:8">
      <c r="A38422" t="s">
        <v>3446</v>
      </c>
      <c r="B38422">
        <f>HYPERLINK("https://android.googlesource.com/platform/cts/+/a2a6f5ec9308a911e191bd8bbdc92c1736bbd1e6", "a2a6f5ec9308a911e191bd8bbdc92c1736bbd1e6")</f>
        <v>0</v>
      </c>
      <c r="C38422">
        <f>HYPERLINK("https://android.googlesource.com/platform/cts/+/e147ab9a9a9a0568e78e67f523d726017e97255c", "e147ab9a9a9a0568e78e67f523d726017e97255c")</f>
        <v>0</v>
      </c>
      <c r="D38422" t="s">
        <v>5456</v>
      </c>
      <c r="E38422" t="s">
        <v>9142</v>
      </c>
      <c r="F38422" t="s">
        <v>14023</v>
      </c>
      <c r="G38422" t="s">
        <v>18032</v>
      </c>
      <c r="H38422" t="s">
        <v>34372</v>
      </c>
    </row>
    <row r="38423" spans="1:8">
      <c r="F38423" t="s">
        <v>13846</v>
      </c>
      <c r="G38423" t="s">
        <v>17889</v>
      </c>
      <c r="H38423" t="s">
        <v>34372</v>
      </c>
    </row>
    <row r="38424" spans="1:8">
      <c r="F38424" t="s">
        <v>13899</v>
      </c>
      <c r="G38424" t="s">
        <v>17889</v>
      </c>
      <c r="H38424" t="s">
        <v>34372</v>
      </c>
    </row>
    <row r="38425" spans="1:8">
      <c r="A38425" t="s">
        <v>3447</v>
      </c>
      <c r="B38425">
        <f>HYPERLINK("https://android.googlesource.com/platform/cts/+/07f9b485cbd8a0c7bab1f2d5696af4e7a783de08", "07f9b485cbd8a0c7bab1f2d5696af4e7a783de08")</f>
        <v>0</v>
      </c>
      <c r="C38425">
        <f>HYPERLINK("https://android.googlesource.com/platform/cts/+/ce6ec74952adcba203e6d974711c5f913c6f57a1", "ce6ec74952adcba203e6d974711c5f913c6f57a1")</f>
        <v>0</v>
      </c>
      <c r="D38425" t="s">
        <v>5272</v>
      </c>
      <c r="E38425" t="s">
        <v>9143</v>
      </c>
      <c r="F38425" t="s">
        <v>13757</v>
      </c>
      <c r="G38425" t="s">
        <v>17816</v>
      </c>
      <c r="H38425" t="s">
        <v>34641</v>
      </c>
    </row>
    <row r="38426" spans="1:8">
      <c r="A38426" t="s">
        <v>3448</v>
      </c>
      <c r="B38426">
        <f>HYPERLINK("https://android.googlesource.com/platform/cts/+/180fab120032f2e3856448d26a3dd8fa5e2db717", "180fab120032f2e3856448d26a3dd8fa5e2db717")</f>
        <v>0</v>
      </c>
      <c r="C38426">
        <f>HYPERLINK("https://android.googlesource.com/platform/cts/+/1852778c8e370448a9a5aa7dfe1cce02ab9c4e29", "1852778c8e370448a9a5aa7dfe1cce02ab9c4e29")</f>
        <v>0</v>
      </c>
      <c r="D38426" t="s">
        <v>5341</v>
      </c>
      <c r="E38426" t="s">
        <v>9144</v>
      </c>
      <c r="F38426" t="s">
        <v>13707</v>
      </c>
      <c r="G38426" t="s">
        <v>17775</v>
      </c>
      <c r="H38426" t="s">
        <v>31045</v>
      </c>
    </row>
    <row r="38427" spans="1:8">
      <c r="H38427" t="s">
        <v>34159</v>
      </c>
    </row>
    <row r="38428" spans="1:8">
      <c r="H38428" t="s">
        <v>34160</v>
      </c>
    </row>
    <row r="38429" spans="1:8">
      <c r="A38429" t="s">
        <v>3449</v>
      </c>
      <c r="B38429">
        <f>HYPERLINK("https://android.googlesource.com/platform/cts/+/3cbf533b8d061b28e019425b42dda6c828459448", "3cbf533b8d061b28e019425b42dda6c828459448")</f>
        <v>0</v>
      </c>
      <c r="C38429">
        <f>HYPERLINK("https://android.googlesource.com/platform/cts/+/7c4b980daeae937b49fdbaf530e199ade3758e53", "7c4b980daeae937b49fdbaf530e199ade3758e53")</f>
        <v>0</v>
      </c>
      <c r="D38429" t="s">
        <v>5341</v>
      </c>
      <c r="E38429" t="s">
        <v>9145</v>
      </c>
      <c r="F38429" t="s">
        <v>13707</v>
      </c>
      <c r="G38429" t="s">
        <v>17775</v>
      </c>
      <c r="H38429" t="s">
        <v>31045</v>
      </c>
    </row>
    <row r="38430" spans="1:8">
      <c r="H38430" t="s">
        <v>34159</v>
      </c>
    </row>
    <row r="38431" spans="1:8">
      <c r="A38431" t="s">
        <v>3450</v>
      </c>
      <c r="B38431">
        <f>HYPERLINK("https://android.googlesource.com/platform/cts/+/ac352163e0660fe6344fac8d21583fbbe1bb511b", "ac352163e0660fe6344fac8d21583fbbe1bb511b")</f>
        <v>0</v>
      </c>
      <c r="C38431">
        <f>HYPERLINK("https://android.googlesource.com/platform/cts/+/519bc482080bb41fd29892305f9205ef1a042221", "519bc482080bb41fd29892305f9205ef1a042221")</f>
        <v>0</v>
      </c>
      <c r="D38431" t="s">
        <v>5180</v>
      </c>
      <c r="E38431" t="s">
        <v>9146</v>
      </c>
      <c r="F38431" t="s">
        <v>14279</v>
      </c>
      <c r="G38431" t="s">
        <v>18244</v>
      </c>
      <c r="H38431" t="s">
        <v>34642</v>
      </c>
    </row>
    <row r="38432" spans="1:8">
      <c r="A38432" t="s">
        <v>3451</v>
      </c>
      <c r="B38432">
        <f>HYPERLINK("https://android.googlesource.com/platform/cts/+/d08c53f2b5f8917816f44c227588a1fb14cb7612", "d08c53f2b5f8917816f44c227588a1fb14cb7612")</f>
        <v>0</v>
      </c>
      <c r="C38432">
        <f>HYPERLINK("https://android.googlesource.com/platform/cts/+/24224c0e36b7e6f202dfb477d875a768cc5605c8", "24224c0e36b7e6f202dfb477d875a768cc5605c8")</f>
        <v>0</v>
      </c>
      <c r="D38432" t="s">
        <v>5473</v>
      </c>
      <c r="E38432" t="s">
        <v>9147</v>
      </c>
      <c r="F38432" t="s">
        <v>14280</v>
      </c>
      <c r="G38432" t="s">
        <v>18245</v>
      </c>
      <c r="H38432" t="s">
        <v>34643</v>
      </c>
    </row>
    <row r="38433" spans="1:8">
      <c r="F38433" t="s">
        <v>12861</v>
      </c>
      <c r="G38433" t="s">
        <v>17030</v>
      </c>
      <c r="H38433" t="s">
        <v>34644</v>
      </c>
    </row>
    <row r="38434" spans="1:8">
      <c r="A38434" t="s">
        <v>3452</v>
      </c>
      <c r="B38434">
        <f>HYPERLINK("https://android.googlesource.com/platform/cts/+/0b75210d5360c9dd9fb838cf99f2ea5981fb0397", "0b75210d5360c9dd9fb838cf99f2ea5981fb0397")</f>
        <v>0</v>
      </c>
      <c r="C38434">
        <f>HYPERLINK("https://android.googlesource.com/platform/cts/+/95d24a74ce0c9879e51ea1aaea2d406d530bef34", "95d24a74ce0c9879e51ea1aaea2d406d530bef34")</f>
        <v>0</v>
      </c>
      <c r="D38434" t="s">
        <v>5012</v>
      </c>
      <c r="E38434" t="s">
        <v>9148</v>
      </c>
      <c r="F38434" t="s">
        <v>13817</v>
      </c>
      <c r="G38434" t="s">
        <v>17715</v>
      </c>
      <c r="H38434" t="s">
        <v>34645</v>
      </c>
    </row>
    <row r="38435" spans="1:8">
      <c r="A38435" t="s">
        <v>3453</v>
      </c>
      <c r="B38435">
        <f>HYPERLINK("https://android.googlesource.com/platform/cts/+/5ea00c2cbc90582874c5001673f8adc725f0ce89", "5ea00c2cbc90582874c5001673f8adc725f0ce89")</f>
        <v>0</v>
      </c>
      <c r="C38435">
        <f>HYPERLINK("https://android.googlesource.com/platform/cts/+/ca618e0bdd22803901c8ebc920392c43b17537fb", "ca618e0bdd22803901c8ebc920392c43b17537fb")</f>
        <v>0</v>
      </c>
      <c r="D38435" t="s">
        <v>5456</v>
      </c>
      <c r="E38435" t="s">
        <v>9149</v>
      </c>
      <c r="F38435" t="s">
        <v>14023</v>
      </c>
      <c r="G38435" t="s">
        <v>18032</v>
      </c>
      <c r="H38435" t="s">
        <v>34251</v>
      </c>
    </row>
    <row r="38436" spans="1:8">
      <c r="H38436" t="s">
        <v>34253</v>
      </c>
    </row>
    <row r="38437" spans="1:8">
      <c r="F38437" t="s">
        <v>13899</v>
      </c>
      <c r="G38437" t="s">
        <v>17889</v>
      </c>
      <c r="H38437" t="s">
        <v>34251</v>
      </c>
    </row>
    <row r="38438" spans="1:8">
      <c r="H38438" t="s">
        <v>34253</v>
      </c>
    </row>
    <row r="38439" spans="1:8">
      <c r="A38439" t="s">
        <v>3454</v>
      </c>
      <c r="B38439">
        <f>HYPERLINK("https://android.googlesource.com/platform/cts/+/d818137beccf15b03f25fdf11ff0769a19087da5", "d818137beccf15b03f25fdf11ff0769a19087da5")</f>
        <v>0</v>
      </c>
      <c r="C38439">
        <f>HYPERLINK("https://android.googlesource.com/platform/cts/+/5ea00c2cbc90582874c5001673f8adc725f0ce89", "5ea00c2cbc90582874c5001673f8adc725f0ce89")</f>
        <v>0</v>
      </c>
      <c r="D38439" t="s">
        <v>5456</v>
      </c>
      <c r="E38439" t="s">
        <v>9150</v>
      </c>
      <c r="F38439" t="s">
        <v>13846</v>
      </c>
      <c r="G38439" t="s">
        <v>17889</v>
      </c>
      <c r="H38439" t="s">
        <v>34373</v>
      </c>
    </row>
    <row r="38440" spans="1:8">
      <c r="A38440" t="s">
        <v>3455</v>
      </c>
      <c r="B38440">
        <f>HYPERLINK("https://android.googlesource.com/platform/cts/+/c9c3fde5d5ac014f093f03a9e698d37358747a62", "c9c3fde5d5ac014f093f03a9e698d37358747a62")</f>
        <v>0</v>
      </c>
      <c r="C38440">
        <f>HYPERLINK("https://android.googlesource.com/platform/cts/+/6ca342a0ef73285ae341771e6f95ce344cf811fd", "6ca342a0ef73285ae341771e6f95ce344cf811fd")</f>
        <v>0</v>
      </c>
      <c r="D38440" t="s">
        <v>5512</v>
      </c>
      <c r="E38440" t="s">
        <v>9151</v>
      </c>
      <c r="F38440" t="s">
        <v>13990</v>
      </c>
      <c r="G38440" t="s">
        <v>18009</v>
      </c>
      <c r="H38440" t="s">
        <v>34646</v>
      </c>
    </row>
    <row r="38441" spans="1:8">
      <c r="A38441" t="s">
        <v>3456</v>
      </c>
      <c r="B38441">
        <f>HYPERLINK("https://android.googlesource.com/platform/cts/+/32798d7c5eea72af2e5bca2aac3ecc4fc6a8bc1f", "32798d7c5eea72af2e5bca2aac3ecc4fc6a8bc1f")</f>
        <v>0</v>
      </c>
      <c r="C38441">
        <f>HYPERLINK("https://android.googlesource.com/platform/cts/+/c9c3fde5d5ac014f093f03a9e698d37358747a62", "c9c3fde5d5ac014f093f03a9e698d37358747a62")</f>
        <v>0</v>
      </c>
      <c r="D38441" t="s">
        <v>5512</v>
      </c>
      <c r="E38441" t="s">
        <v>9152</v>
      </c>
      <c r="F38441" t="s">
        <v>13990</v>
      </c>
      <c r="G38441" t="s">
        <v>18009</v>
      </c>
      <c r="H38441" t="s">
        <v>34647</v>
      </c>
    </row>
    <row r="38442" spans="1:8">
      <c r="A38442" t="s">
        <v>3457</v>
      </c>
      <c r="B38442">
        <f>HYPERLINK("https://android.googlesource.com/platform/cts/+/5ed2c3f8ea18c00eb564e785e58c3b47de553bf0", "5ed2c3f8ea18c00eb564e785e58c3b47de553bf0")</f>
        <v>0</v>
      </c>
      <c r="C38442">
        <f>HYPERLINK("https://android.googlesource.com/platform/cts/+/32798d7c5eea72af2e5bca2aac3ecc4fc6a8bc1f", "32798d7c5eea72af2e5bca2aac3ecc4fc6a8bc1f")</f>
        <v>0</v>
      </c>
      <c r="D38442" t="s">
        <v>5512</v>
      </c>
      <c r="E38442" t="s">
        <v>9153</v>
      </c>
      <c r="F38442" t="s">
        <v>13990</v>
      </c>
      <c r="G38442" t="s">
        <v>18009</v>
      </c>
      <c r="H38442" t="s">
        <v>34648</v>
      </c>
    </row>
    <row r="38443" spans="1:8">
      <c r="A38443" t="s">
        <v>3458</v>
      </c>
      <c r="B38443">
        <f>HYPERLINK("https://android.googlesource.com/platform/cts/+/83b1b45fbc7612152c7db87bb3ecfdd2ae65fc3d", "83b1b45fbc7612152c7db87bb3ecfdd2ae65fc3d")</f>
        <v>0</v>
      </c>
      <c r="C38443">
        <f>HYPERLINK("https://android.googlesource.com/platform/cts/+/918ddde8412416e35055e9a0fe9021dcc7744fd8", "918ddde8412416e35055e9a0fe9021dcc7744fd8")</f>
        <v>0</v>
      </c>
      <c r="D38443" t="s">
        <v>5571</v>
      </c>
      <c r="E38443" t="s">
        <v>9154</v>
      </c>
      <c r="F38443" t="s">
        <v>12845</v>
      </c>
      <c r="G38443" t="s">
        <v>16561</v>
      </c>
      <c r="H38443" t="s">
        <v>34649</v>
      </c>
    </row>
    <row r="38444" spans="1:8">
      <c r="H38444" t="s">
        <v>34650</v>
      </c>
    </row>
    <row r="38445" spans="1:8">
      <c r="A38445" t="s">
        <v>3459</v>
      </c>
      <c r="B38445">
        <f>HYPERLINK("https://android.googlesource.com/platform/cts/+/82cc1a4d79e7a450159ecea6e9fb9176de01166b", "82cc1a4d79e7a450159ecea6e9fb9176de01166b")</f>
        <v>0</v>
      </c>
      <c r="C38445">
        <f>HYPERLINK("https://android.googlesource.com/platform/cts/+/5ed789ac41cfaed7d608f9b2c45a3293ed0f8a8b", "5ed789ac41cfaed7d608f9b2c45a3293ed0f8a8b")</f>
        <v>0</v>
      </c>
      <c r="D38445" t="s">
        <v>5571</v>
      </c>
      <c r="E38445" t="s">
        <v>9155</v>
      </c>
      <c r="F38445" t="s">
        <v>12845</v>
      </c>
      <c r="G38445" t="s">
        <v>16561</v>
      </c>
      <c r="H38445" t="s">
        <v>34649</v>
      </c>
    </row>
    <row r="38446" spans="1:8">
      <c r="H38446" t="s">
        <v>34650</v>
      </c>
    </row>
    <row r="38447" spans="1:8">
      <c r="A38447" t="s">
        <v>3460</v>
      </c>
      <c r="B38447">
        <f>HYPERLINK("https://android.googlesource.com/platform/cts/+/f762bd55745c1cecbe3386f51bb310ba2422bcf2", "f762bd55745c1cecbe3386f51bb310ba2422bcf2")</f>
        <v>0</v>
      </c>
      <c r="C38447">
        <f>HYPERLINK("https://android.googlesource.com/platform/cts/+/9d9a48de808d34a0dd40ca5d7636b5ef4aa00cd5", "9d9a48de808d34a0dd40ca5d7636b5ef4aa00cd5")</f>
        <v>0</v>
      </c>
      <c r="D38447" t="s">
        <v>5571</v>
      </c>
      <c r="E38447" t="s">
        <v>9156</v>
      </c>
      <c r="F38447" t="s">
        <v>12845</v>
      </c>
      <c r="G38447" t="s">
        <v>16561</v>
      </c>
      <c r="H38447" t="s">
        <v>34649</v>
      </c>
    </row>
    <row r="38448" spans="1:8">
      <c r="H38448" t="s">
        <v>34650</v>
      </c>
    </row>
    <row r="38449" spans="1:8">
      <c r="A38449" t="s">
        <v>3461</v>
      </c>
      <c r="B38449">
        <f>HYPERLINK("https://android.googlesource.com/platform/cts/+/6af4bd7e7a4d60138b3e00de4c91592242449bb7", "6af4bd7e7a4d60138b3e00de4c91592242449bb7")</f>
        <v>0</v>
      </c>
      <c r="C38449">
        <f>HYPERLINK("https://android.googlesource.com/platform/cts/+/c1e9b69f502c2f5baed1662cf4814a8a06ceea50", "c1e9b69f502c2f5baed1662cf4814a8a06ceea50")</f>
        <v>0</v>
      </c>
      <c r="D38449" t="s">
        <v>5085</v>
      </c>
      <c r="E38449" t="s">
        <v>9157</v>
      </c>
      <c r="F38449" t="s">
        <v>12897</v>
      </c>
      <c r="G38449" t="s">
        <v>16824</v>
      </c>
      <c r="H38449" t="s">
        <v>34651</v>
      </c>
    </row>
    <row r="38450" spans="1:8">
      <c r="A38450" t="s">
        <v>3462</v>
      </c>
      <c r="B38450">
        <f>HYPERLINK("https://android.googlesource.com/platform/cts/+/0ec11d079d64601d6665c44afedba31ed05e6f73", "0ec11d079d64601d6665c44afedba31ed05e6f73")</f>
        <v>0</v>
      </c>
      <c r="C38450">
        <f>HYPERLINK("https://android.googlesource.com/platform/cts/+/24e02a40e26a4b0a885b9b71d70b24c2193a04a8", "24e02a40e26a4b0a885b9b71d70b24c2193a04a8")</f>
        <v>0</v>
      </c>
      <c r="D38450" t="s">
        <v>5527</v>
      </c>
      <c r="E38450" t="s">
        <v>9158</v>
      </c>
      <c r="F38450" t="s">
        <v>12820</v>
      </c>
      <c r="G38450" t="s">
        <v>16999</v>
      </c>
      <c r="H38450" t="s">
        <v>32229</v>
      </c>
    </row>
    <row r="38451" spans="1:8">
      <c r="A38451" t="s">
        <v>3463</v>
      </c>
      <c r="B38451">
        <f>HYPERLINK("https://android.googlesource.com/platform/cts/+/053bf11f11ec215de735ac4b29246ad26b249f1e", "053bf11f11ec215de735ac4b29246ad26b249f1e")</f>
        <v>0</v>
      </c>
      <c r="C38451">
        <f>HYPERLINK("https://android.googlesource.com/platform/cts/+/a30d1901367915aaefb4defe82230c7d7ebf6f5c", "a30d1901367915aaefb4defe82230c7d7ebf6f5c")</f>
        <v>0</v>
      </c>
      <c r="D38451" t="s">
        <v>5012</v>
      </c>
      <c r="E38451" t="s">
        <v>9159</v>
      </c>
      <c r="F38451" t="s">
        <v>13817</v>
      </c>
      <c r="G38451" t="s">
        <v>17715</v>
      </c>
      <c r="H38451" t="s">
        <v>34645</v>
      </c>
    </row>
    <row r="38452" spans="1:8">
      <c r="A38452" t="s">
        <v>3464</v>
      </c>
      <c r="B38452">
        <f>HYPERLINK("https://android.googlesource.com/platform/cts/+/bcbcc9aee54941c6ee0ca82d13a4cbffbe38686b", "bcbcc9aee54941c6ee0ca82d13a4cbffbe38686b")</f>
        <v>0</v>
      </c>
      <c r="C38452">
        <f>HYPERLINK("https://android.googlesource.com/platform/cts/+/24e02a40e26a4b0a885b9b71d70b24c2193a04a8", "24e02a40e26a4b0a885b9b71d70b24c2193a04a8")</f>
        <v>0</v>
      </c>
      <c r="D38452" t="s">
        <v>5559</v>
      </c>
      <c r="E38452" t="s">
        <v>9160</v>
      </c>
      <c r="F38452" t="s">
        <v>12332</v>
      </c>
      <c r="G38452" t="s">
        <v>16560</v>
      </c>
      <c r="H38452" t="s">
        <v>34652</v>
      </c>
    </row>
    <row r="38453" spans="1:8">
      <c r="A38453" t="s">
        <v>3465</v>
      </c>
      <c r="B38453">
        <f>HYPERLINK("https://android.googlesource.com/platform/cts/+/e2064c34236d1b1be0458b4d3625052d8c39b060", "e2064c34236d1b1be0458b4d3625052d8c39b060")</f>
        <v>0</v>
      </c>
      <c r="C38453">
        <f>HYPERLINK("https://android.googlesource.com/platform/cts/+/d61e778eaf901bccadefe6c64054ff9754e895e8", "d61e778eaf901bccadefe6c64054ff9754e895e8")</f>
        <v>0</v>
      </c>
      <c r="D38453" t="s">
        <v>5141</v>
      </c>
      <c r="E38453" t="s">
        <v>9161</v>
      </c>
      <c r="F38453" t="s">
        <v>14281</v>
      </c>
      <c r="G38453" t="s">
        <v>18246</v>
      </c>
      <c r="H38453" t="s">
        <v>34653</v>
      </c>
    </row>
    <row r="38454" spans="1:8">
      <c r="H38454" t="s">
        <v>34654</v>
      </c>
    </row>
    <row r="38455" spans="1:8">
      <c r="H38455" t="s">
        <v>34655</v>
      </c>
    </row>
    <row r="38456" spans="1:8">
      <c r="H38456" t="s">
        <v>34656</v>
      </c>
    </row>
    <row r="38457" spans="1:8">
      <c r="H38457" t="s">
        <v>34657</v>
      </c>
    </row>
    <row r="38458" spans="1:8">
      <c r="F38458" t="s">
        <v>14282</v>
      </c>
      <c r="G38458" t="s">
        <v>18247</v>
      </c>
      <c r="H38458" t="s">
        <v>34658</v>
      </c>
    </row>
    <row r="38459" spans="1:8">
      <c r="H38459" t="s">
        <v>34659</v>
      </c>
    </row>
    <row r="38460" spans="1:8">
      <c r="H38460" t="s">
        <v>34660</v>
      </c>
    </row>
    <row r="38461" spans="1:8">
      <c r="H38461" t="s">
        <v>34661</v>
      </c>
    </row>
    <row r="38462" spans="1:8">
      <c r="H38462" t="s">
        <v>34662</v>
      </c>
    </row>
    <row r="38463" spans="1:8">
      <c r="H38463" t="s">
        <v>34663</v>
      </c>
    </row>
    <row r="38464" spans="1:8">
      <c r="H38464" t="s">
        <v>34664</v>
      </c>
    </row>
    <row r="38465" spans="1:8">
      <c r="H38465" t="s">
        <v>34665</v>
      </c>
    </row>
    <row r="38466" spans="1:8">
      <c r="H38466" t="s">
        <v>34666</v>
      </c>
    </row>
    <row r="38467" spans="1:8">
      <c r="H38467" t="s">
        <v>34667</v>
      </c>
    </row>
    <row r="38468" spans="1:8">
      <c r="H38468" t="s">
        <v>34668</v>
      </c>
    </row>
    <row r="38469" spans="1:8">
      <c r="F38469" t="s">
        <v>14283</v>
      </c>
      <c r="G38469" t="s">
        <v>18248</v>
      </c>
      <c r="H38469" t="s">
        <v>34669</v>
      </c>
    </row>
    <row r="38470" spans="1:8">
      <c r="H38470" t="s">
        <v>34670</v>
      </c>
    </row>
    <row r="38471" spans="1:8">
      <c r="A38471" t="s">
        <v>3466</v>
      </c>
      <c r="B38471">
        <f>HYPERLINK("https://android.googlesource.com/platform/cts/+/dd849f6358222818e01e280a2e449e930ed50b50", "dd849f6358222818e01e280a2e449e930ed50b50")</f>
        <v>0</v>
      </c>
      <c r="C38471">
        <f>HYPERLINK("https://android.googlesource.com/platform/cts/+/705c87f96cab36b43b8b51bdf076214cdbff0835", "705c87f96cab36b43b8b51bdf076214cdbff0835")</f>
        <v>0</v>
      </c>
      <c r="D38471" t="s">
        <v>5272</v>
      </c>
      <c r="E38471" t="s">
        <v>9162</v>
      </c>
      <c r="F38471" t="s">
        <v>14131</v>
      </c>
      <c r="G38471" t="s">
        <v>18053</v>
      </c>
      <c r="H38471" t="s">
        <v>34671</v>
      </c>
    </row>
    <row r="38472" spans="1:8">
      <c r="A38472" t="s">
        <v>3467</v>
      </c>
      <c r="B38472">
        <f>HYPERLINK("https://android.googlesource.com/platform/cts/+/4b9ed6d0d168ebfe261f9e211a733d749d4a6ad0", "4b9ed6d0d168ebfe261f9e211a733d749d4a6ad0")</f>
        <v>0</v>
      </c>
      <c r="C38472">
        <f>HYPERLINK("https://android.googlesource.com/platform/cts/+/cc2825d011b9a1125ba45e88efec97dd1ca064bc", "cc2825d011b9a1125ba45e88efec97dd1ca064bc")</f>
        <v>0</v>
      </c>
      <c r="D38472" t="s">
        <v>5263</v>
      </c>
      <c r="E38472" t="s">
        <v>9106</v>
      </c>
      <c r="F38472" t="s">
        <v>13391</v>
      </c>
      <c r="G38472" t="s">
        <v>17517</v>
      </c>
      <c r="H38472" t="s">
        <v>34482</v>
      </c>
    </row>
    <row r="38473" spans="1:8">
      <c r="A38473" t="s">
        <v>3468</v>
      </c>
      <c r="B38473">
        <f>HYPERLINK("https://android.googlesource.com/platform/cts/+/a0fa78158b3ef3813621d79b0e8e5958521dd3b3", "a0fa78158b3ef3813621d79b0e8e5958521dd3b3")</f>
        <v>0</v>
      </c>
      <c r="C38473">
        <f>HYPERLINK("https://android.googlesource.com/platform/cts/+/536251f755ae225a1041c4375b9ba8af83bf1df2", "536251f755ae225a1041c4375b9ba8af83bf1df2")</f>
        <v>0</v>
      </c>
      <c r="D38473" t="s">
        <v>5263</v>
      </c>
      <c r="E38473" t="s">
        <v>9163</v>
      </c>
      <c r="F38473" t="s">
        <v>13391</v>
      </c>
      <c r="G38473" t="s">
        <v>17517</v>
      </c>
      <c r="H38473" t="s">
        <v>34482</v>
      </c>
    </row>
    <row r="38474" spans="1:8">
      <c r="A38474" t="s">
        <v>3469</v>
      </c>
      <c r="B38474">
        <f>HYPERLINK("https://android.googlesource.com/platform/cts/+/9757ed948c02f0000f74ae2752e64b511eb49dcb", "9757ed948c02f0000f74ae2752e64b511eb49dcb")</f>
        <v>0</v>
      </c>
      <c r="C38474">
        <f>HYPERLINK("https://android.googlesource.com/platform/cts/+/d66584847243e450f0e3df13095831f84aeee67e", "d66584847243e450f0e3df13095831f84aeee67e")</f>
        <v>0</v>
      </c>
      <c r="D38474" t="s">
        <v>5108</v>
      </c>
      <c r="E38474" t="s">
        <v>9164</v>
      </c>
      <c r="F38474" t="s">
        <v>13752</v>
      </c>
      <c r="G38474" t="s">
        <v>17812</v>
      </c>
      <c r="H38474" t="s">
        <v>34261</v>
      </c>
    </row>
    <row r="38475" spans="1:8">
      <c r="H38475" t="s">
        <v>34262</v>
      </c>
    </row>
    <row r="38476" spans="1:8">
      <c r="H38476" t="s">
        <v>34263</v>
      </c>
    </row>
    <row r="38477" spans="1:8">
      <c r="H38477" t="s">
        <v>34264</v>
      </c>
    </row>
    <row r="38478" spans="1:8">
      <c r="H38478" t="s">
        <v>34265</v>
      </c>
    </row>
    <row r="38479" spans="1:8">
      <c r="H38479" t="s">
        <v>34266</v>
      </c>
    </row>
    <row r="38480" spans="1:8">
      <c r="H38480" t="s">
        <v>34267</v>
      </c>
    </row>
    <row r="38481" spans="8:8">
      <c r="H38481" t="s">
        <v>34268</v>
      </c>
    </row>
    <row r="38482" spans="8:8">
      <c r="H38482" t="s">
        <v>34269</v>
      </c>
    </row>
    <row r="38483" spans="8:8">
      <c r="H38483" t="s">
        <v>34270</v>
      </c>
    </row>
    <row r="38484" spans="8:8">
      <c r="H38484" t="s">
        <v>34271</v>
      </c>
    </row>
    <row r="38485" spans="8:8">
      <c r="H38485" t="s">
        <v>34272</v>
      </c>
    </row>
    <row r="38486" spans="8:8">
      <c r="H38486" t="s">
        <v>34273</v>
      </c>
    </row>
    <row r="38487" spans="8:8">
      <c r="H38487" t="s">
        <v>34274</v>
      </c>
    </row>
    <row r="38488" spans="8:8">
      <c r="H38488" t="s">
        <v>34275</v>
      </c>
    </row>
    <row r="38489" spans="8:8">
      <c r="H38489" t="s">
        <v>34276</v>
      </c>
    </row>
    <row r="38490" spans="8:8">
      <c r="H38490" t="s">
        <v>34277</v>
      </c>
    </row>
    <row r="38491" spans="8:8">
      <c r="H38491" t="s">
        <v>34278</v>
      </c>
    </row>
    <row r="38492" spans="8:8">
      <c r="H38492" t="s">
        <v>34279</v>
      </c>
    </row>
    <row r="38493" spans="8:8">
      <c r="H38493" t="s">
        <v>34280</v>
      </c>
    </row>
    <row r="38494" spans="8:8">
      <c r="H38494" t="s">
        <v>34281</v>
      </c>
    </row>
    <row r="38495" spans="8:8">
      <c r="H38495" t="s">
        <v>34282</v>
      </c>
    </row>
    <row r="38496" spans="8:8">
      <c r="H38496" t="s">
        <v>34283</v>
      </c>
    </row>
    <row r="38497" spans="1:8">
      <c r="H38497" t="s">
        <v>34284</v>
      </c>
    </row>
    <row r="38498" spans="1:8">
      <c r="H38498" t="s">
        <v>34285</v>
      </c>
    </row>
    <row r="38499" spans="1:8">
      <c r="H38499" t="s">
        <v>34286</v>
      </c>
    </row>
    <row r="38500" spans="1:8">
      <c r="H38500" t="s">
        <v>34287</v>
      </c>
    </row>
    <row r="38501" spans="1:8">
      <c r="H38501" t="s">
        <v>34288</v>
      </c>
    </row>
    <row r="38502" spans="1:8">
      <c r="H38502" t="s">
        <v>29582</v>
      </c>
    </row>
    <row r="38503" spans="1:8">
      <c r="F38503" t="s">
        <v>14249</v>
      </c>
      <c r="G38503" t="s">
        <v>18214</v>
      </c>
      <c r="H38503" t="s">
        <v>32610</v>
      </c>
    </row>
    <row r="38504" spans="1:8">
      <c r="H38504" t="s">
        <v>32611</v>
      </c>
    </row>
    <row r="38505" spans="1:8">
      <c r="H38505" t="s">
        <v>32612</v>
      </c>
    </row>
    <row r="38506" spans="1:8">
      <c r="H38506" t="s">
        <v>32613</v>
      </c>
    </row>
    <row r="38507" spans="1:8">
      <c r="H38507" t="s">
        <v>32614</v>
      </c>
    </row>
    <row r="38508" spans="1:8">
      <c r="A38508" t="s">
        <v>3470</v>
      </c>
      <c r="B38508">
        <f>HYPERLINK("https://android.googlesource.com/platform/cts/+/f3d71794ed927fe38a874a33c2aa3ddc1d505a0d", "f3d71794ed927fe38a874a33c2aa3ddc1d505a0d")</f>
        <v>0</v>
      </c>
      <c r="C38508">
        <f>HYPERLINK("https://android.googlesource.com/platform/cts/+/99087367281b24f09c82830ff755ebb0e0f12df7", "99087367281b24f09c82830ff755ebb0e0f12df7")</f>
        <v>0</v>
      </c>
      <c r="D38508" t="s">
        <v>5482</v>
      </c>
      <c r="E38508" t="s">
        <v>9165</v>
      </c>
      <c r="F38508" t="s">
        <v>14102</v>
      </c>
      <c r="G38508" t="s">
        <v>18095</v>
      </c>
      <c r="H38508" t="s">
        <v>34672</v>
      </c>
    </row>
    <row r="38509" spans="1:8">
      <c r="H38509" t="s">
        <v>34673</v>
      </c>
    </row>
    <row r="38510" spans="1:8">
      <c r="H38510" t="s">
        <v>34674</v>
      </c>
    </row>
    <row r="38511" spans="1:8">
      <c r="H38511" t="s">
        <v>34675</v>
      </c>
    </row>
    <row r="38512" spans="1:8">
      <c r="H38512" t="s">
        <v>34676</v>
      </c>
    </row>
    <row r="38513" spans="8:8">
      <c r="H38513" t="s">
        <v>34677</v>
      </c>
    </row>
    <row r="38514" spans="8:8">
      <c r="H38514" t="s">
        <v>34678</v>
      </c>
    </row>
    <row r="38515" spans="8:8">
      <c r="H38515" t="s">
        <v>18930</v>
      </c>
    </row>
    <row r="38516" spans="8:8">
      <c r="H38516" t="s">
        <v>33452</v>
      </c>
    </row>
    <row r="38517" spans="8:8">
      <c r="H38517" t="s">
        <v>33453</v>
      </c>
    </row>
    <row r="38518" spans="8:8">
      <c r="H38518" t="s">
        <v>34679</v>
      </c>
    </row>
    <row r="38519" spans="8:8">
      <c r="H38519" t="s">
        <v>34680</v>
      </c>
    </row>
    <row r="38520" spans="8:8">
      <c r="H38520" t="s">
        <v>34681</v>
      </c>
    </row>
    <row r="38521" spans="8:8">
      <c r="H38521" t="s">
        <v>34681</v>
      </c>
    </row>
    <row r="38522" spans="8:8">
      <c r="H38522" t="s">
        <v>34676</v>
      </c>
    </row>
    <row r="38523" spans="8:8">
      <c r="H38523" t="s">
        <v>34682</v>
      </c>
    </row>
    <row r="38524" spans="8:8">
      <c r="H38524" t="s">
        <v>34683</v>
      </c>
    </row>
    <row r="38525" spans="8:8">
      <c r="H38525" t="s">
        <v>34684</v>
      </c>
    </row>
    <row r="38526" spans="8:8">
      <c r="H38526" t="s">
        <v>34685</v>
      </c>
    </row>
    <row r="38527" spans="8:8">
      <c r="H38527" t="s">
        <v>34686</v>
      </c>
    </row>
    <row r="38528" spans="8:8">
      <c r="H38528" t="s">
        <v>20177</v>
      </c>
    </row>
    <row r="38529" spans="8:8">
      <c r="H38529" t="s">
        <v>34687</v>
      </c>
    </row>
    <row r="38530" spans="8:8">
      <c r="H38530" t="s">
        <v>34688</v>
      </c>
    </row>
    <row r="38531" spans="8:8">
      <c r="H38531" t="s">
        <v>34689</v>
      </c>
    </row>
    <row r="38532" spans="8:8">
      <c r="H38532" t="s">
        <v>34690</v>
      </c>
    </row>
    <row r="38533" spans="8:8">
      <c r="H38533" t="s">
        <v>34691</v>
      </c>
    </row>
    <row r="38534" spans="8:8">
      <c r="H38534" t="s">
        <v>34692</v>
      </c>
    </row>
    <row r="38535" spans="8:8">
      <c r="H38535" t="s">
        <v>34693</v>
      </c>
    </row>
    <row r="38536" spans="8:8">
      <c r="H38536" t="s">
        <v>34694</v>
      </c>
    </row>
    <row r="38537" spans="8:8">
      <c r="H38537" t="s">
        <v>34695</v>
      </c>
    </row>
    <row r="38538" spans="8:8">
      <c r="H38538" t="s">
        <v>34696</v>
      </c>
    </row>
    <row r="38539" spans="8:8">
      <c r="H38539" t="s">
        <v>34697</v>
      </c>
    </row>
    <row r="38540" spans="8:8">
      <c r="H38540" t="s">
        <v>34698</v>
      </c>
    </row>
    <row r="38541" spans="8:8">
      <c r="H38541" t="s">
        <v>34699</v>
      </c>
    </row>
    <row r="38542" spans="8:8">
      <c r="H38542" t="s">
        <v>34700</v>
      </c>
    </row>
    <row r="38543" spans="8:8">
      <c r="H38543" t="s">
        <v>34701</v>
      </c>
    </row>
    <row r="38544" spans="8:8">
      <c r="H38544" t="s">
        <v>34702</v>
      </c>
    </row>
    <row r="38545" spans="1:8">
      <c r="H38545" t="s">
        <v>34703</v>
      </c>
    </row>
    <row r="38546" spans="1:8">
      <c r="H38546" t="s">
        <v>34704</v>
      </c>
    </row>
    <row r="38547" spans="1:8">
      <c r="A38547" t="s">
        <v>3471</v>
      </c>
      <c r="B38547">
        <f>HYPERLINK("https://android.googlesource.com/platform/cts/+/f339996b84571ed48e4f6f980a7e9ea73458e0ba", "f339996b84571ed48e4f6f980a7e9ea73458e0ba")</f>
        <v>0</v>
      </c>
      <c r="C38547">
        <f>HYPERLINK("https://android.googlesource.com/platform/cts/+/a3bb10ba80c603783f51d8f5ec5744b800e0c987", "a3bb10ba80c603783f51d8f5ec5744b800e0c987")</f>
        <v>0</v>
      </c>
      <c r="D38547" t="s">
        <v>5482</v>
      </c>
      <c r="E38547" t="s">
        <v>9166</v>
      </c>
      <c r="F38547" t="s">
        <v>14102</v>
      </c>
      <c r="G38547" t="s">
        <v>18095</v>
      </c>
      <c r="H38547" t="s">
        <v>34672</v>
      </c>
    </row>
    <row r="38548" spans="1:8">
      <c r="H38548" t="s">
        <v>34673</v>
      </c>
    </row>
    <row r="38549" spans="1:8">
      <c r="H38549" t="s">
        <v>34674</v>
      </c>
    </row>
    <row r="38550" spans="1:8">
      <c r="H38550" t="s">
        <v>34675</v>
      </c>
    </row>
    <row r="38551" spans="1:8">
      <c r="H38551" t="s">
        <v>34676</v>
      </c>
    </row>
    <row r="38552" spans="1:8">
      <c r="H38552" t="s">
        <v>34677</v>
      </c>
    </row>
    <row r="38553" spans="1:8">
      <c r="H38553" t="s">
        <v>34678</v>
      </c>
    </row>
    <row r="38554" spans="1:8">
      <c r="H38554" t="s">
        <v>18930</v>
      </c>
    </row>
    <row r="38555" spans="1:8">
      <c r="H38555" t="s">
        <v>33452</v>
      </c>
    </row>
    <row r="38556" spans="1:8">
      <c r="H38556" t="s">
        <v>33453</v>
      </c>
    </row>
    <row r="38557" spans="1:8">
      <c r="H38557" t="s">
        <v>34679</v>
      </c>
    </row>
    <row r="38558" spans="1:8">
      <c r="H38558" t="s">
        <v>34680</v>
      </c>
    </row>
    <row r="38559" spans="1:8">
      <c r="H38559" t="s">
        <v>34681</v>
      </c>
    </row>
    <row r="38560" spans="1:8">
      <c r="H38560" t="s">
        <v>34681</v>
      </c>
    </row>
    <row r="38561" spans="8:8">
      <c r="H38561" t="s">
        <v>34676</v>
      </c>
    </row>
    <row r="38562" spans="8:8">
      <c r="H38562" t="s">
        <v>34682</v>
      </c>
    </row>
    <row r="38563" spans="8:8">
      <c r="H38563" t="s">
        <v>34683</v>
      </c>
    </row>
    <row r="38564" spans="8:8">
      <c r="H38564" t="s">
        <v>34684</v>
      </c>
    </row>
    <row r="38565" spans="8:8">
      <c r="H38565" t="s">
        <v>34685</v>
      </c>
    </row>
    <row r="38566" spans="8:8">
      <c r="H38566" t="s">
        <v>34686</v>
      </c>
    </row>
    <row r="38567" spans="8:8">
      <c r="H38567" t="s">
        <v>20177</v>
      </c>
    </row>
    <row r="38568" spans="8:8">
      <c r="H38568" t="s">
        <v>34687</v>
      </c>
    </row>
    <row r="38569" spans="8:8">
      <c r="H38569" t="s">
        <v>34688</v>
      </c>
    </row>
    <row r="38570" spans="8:8">
      <c r="H38570" t="s">
        <v>34689</v>
      </c>
    </row>
    <row r="38571" spans="8:8">
      <c r="H38571" t="s">
        <v>34690</v>
      </c>
    </row>
    <row r="38572" spans="8:8">
      <c r="H38572" t="s">
        <v>34691</v>
      </c>
    </row>
    <row r="38573" spans="8:8">
      <c r="H38573" t="s">
        <v>34692</v>
      </c>
    </row>
    <row r="38574" spans="8:8">
      <c r="H38574" t="s">
        <v>34693</v>
      </c>
    </row>
    <row r="38575" spans="8:8">
      <c r="H38575" t="s">
        <v>34694</v>
      </c>
    </row>
    <row r="38576" spans="8:8">
      <c r="H38576" t="s">
        <v>34695</v>
      </c>
    </row>
    <row r="38577" spans="1:8">
      <c r="H38577" t="s">
        <v>34696</v>
      </c>
    </row>
    <row r="38578" spans="1:8">
      <c r="H38578" t="s">
        <v>34697</v>
      </c>
    </row>
    <row r="38579" spans="1:8">
      <c r="H38579" t="s">
        <v>34698</v>
      </c>
    </row>
    <row r="38580" spans="1:8">
      <c r="H38580" t="s">
        <v>34699</v>
      </c>
    </row>
    <row r="38581" spans="1:8">
      <c r="H38581" t="s">
        <v>34700</v>
      </c>
    </row>
    <row r="38582" spans="1:8">
      <c r="H38582" t="s">
        <v>34701</v>
      </c>
    </row>
    <row r="38583" spans="1:8">
      <c r="H38583" t="s">
        <v>34702</v>
      </c>
    </row>
    <row r="38584" spans="1:8">
      <c r="H38584" t="s">
        <v>34703</v>
      </c>
    </row>
    <row r="38585" spans="1:8">
      <c r="H38585" t="s">
        <v>34704</v>
      </c>
    </row>
    <row r="38586" spans="1:8">
      <c r="A38586" t="s">
        <v>3472</v>
      </c>
      <c r="B38586">
        <f>HYPERLINK("https://android.googlesource.com/platform/cts/+/01cb62ad5bc7a83eb46db2e81e6c646022e60940", "01cb62ad5bc7a83eb46db2e81e6c646022e60940")</f>
        <v>0</v>
      </c>
      <c r="C38586">
        <f>HYPERLINK("https://android.googlesource.com/platform/cts/+/c58c5ba8c2b21e539edacb909a75c4a973cd1747", "c58c5ba8c2b21e539edacb909a75c4a973cd1747")</f>
        <v>0</v>
      </c>
      <c r="D38586" t="s">
        <v>5572</v>
      </c>
      <c r="E38586" t="s">
        <v>9167</v>
      </c>
      <c r="F38586" t="s">
        <v>13728</v>
      </c>
      <c r="G38586" t="s">
        <v>17790</v>
      </c>
      <c r="H38586" t="s">
        <v>34705</v>
      </c>
    </row>
    <row r="38587" spans="1:8">
      <c r="H38587" t="s">
        <v>34706</v>
      </c>
    </row>
    <row r="38588" spans="1:8">
      <c r="F38588" t="s">
        <v>14284</v>
      </c>
      <c r="G38588" t="s">
        <v>18249</v>
      </c>
      <c r="H38588" t="s">
        <v>34705</v>
      </c>
    </row>
    <row r="38589" spans="1:8">
      <c r="H38589" t="s">
        <v>34706</v>
      </c>
    </row>
    <row r="38590" spans="1:8">
      <c r="H38590" t="s">
        <v>34707</v>
      </c>
    </row>
    <row r="38591" spans="1:8">
      <c r="H38591" t="s">
        <v>34708</v>
      </c>
    </row>
    <row r="38592" spans="1:8">
      <c r="A38592" t="s">
        <v>3473</v>
      </c>
      <c r="B38592">
        <f>HYPERLINK("https://android.googlesource.com/platform/cts/+/b181e8e20b9990042955896f77bc83d06db90ab5", "b181e8e20b9990042955896f77bc83d06db90ab5")</f>
        <v>0</v>
      </c>
      <c r="C38592">
        <f>HYPERLINK("https://android.googlesource.com/platform/cts/+/cc20f90675a7ea1ba8fa9a8868bfaddd8e572a96", "cc20f90675a7ea1ba8fa9a8868bfaddd8e572a96")</f>
        <v>0</v>
      </c>
      <c r="D38592" t="s">
        <v>5272</v>
      </c>
      <c r="E38592" t="s">
        <v>9168</v>
      </c>
      <c r="F38592" t="s">
        <v>14285</v>
      </c>
      <c r="G38592" t="s">
        <v>16898</v>
      </c>
      <c r="H38592" t="s">
        <v>34709</v>
      </c>
    </row>
    <row r="38593" spans="1:8">
      <c r="H38593" t="s">
        <v>34710</v>
      </c>
    </row>
    <row r="38594" spans="1:8">
      <c r="A38594" t="s">
        <v>3474</v>
      </c>
      <c r="B38594">
        <f>HYPERLINK("https://android.googlesource.com/platform/cts/+/5671bd99654d5ab6c7e2da098cb8036f8cfe4c3a", "5671bd99654d5ab6c7e2da098cb8036f8cfe4c3a")</f>
        <v>0</v>
      </c>
      <c r="C38594">
        <f>HYPERLINK("https://android.googlesource.com/platform/cts/+/6541395f9deb8201985d3cd63f10f294c58de2d8", "6541395f9deb8201985d3cd63f10f294c58de2d8")</f>
        <v>0</v>
      </c>
      <c r="D38594" t="s">
        <v>5275</v>
      </c>
      <c r="E38594" t="s">
        <v>9169</v>
      </c>
      <c r="F38594" t="s">
        <v>14171</v>
      </c>
      <c r="G38594" t="s">
        <v>18151</v>
      </c>
      <c r="H38594" t="s">
        <v>34711</v>
      </c>
    </row>
    <row r="38595" spans="1:8">
      <c r="H38595" t="s">
        <v>34712</v>
      </c>
    </row>
    <row r="38596" spans="1:8">
      <c r="A38596" t="s">
        <v>3475</v>
      </c>
      <c r="B38596">
        <f>HYPERLINK("https://android.googlesource.com/platform/cts/+/4dc5b0fa72dc5e5cbfbca877ceadefb6a0aa7f1e", "4dc5b0fa72dc5e5cbfbca877ceadefb6a0aa7f1e")</f>
        <v>0</v>
      </c>
      <c r="C38596">
        <f>HYPERLINK("https://android.googlesource.com/platform/cts/+/878282d800a26bff920ebe18ea2249e352300099", "878282d800a26bff920ebe18ea2249e352300099")</f>
        <v>0</v>
      </c>
      <c r="D38596" t="s">
        <v>5275</v>
      </c>
      <c r="E38596" t="s">
        <v>9169</v>
      </c>
      <c r="F38596" t="s">
        <v>14171</v>
      </c>
      <c r="G38596" t="s">
        <v>18151</v>
      </c>
      <c r="H38596" t="s">
        <v>34711</v>
      </c>
    </row>
    <row r="38597" spans="1:8">
      <c r="H38597" t="s">
        <v>34712</v>
      </c>
    </row>
    <row r="38598" spans="1:8">
      <c r="A38598" t="s">
        <v>3476</v>
      </c>
      <c r="B38598">
        <f>HYPERLINK("https://android.googlesource.com/platform/cts/+/e76a4513861ff2d60f70eee769dcb784ab58b6d6", "e76a4513861ff2d60f70eee769dcb784ab58b6d6")</f>
        <v>0</v>
      </c>
      <c r="C38598">
        <f>HYPERLINK("https://android.googlesource.com/platform/cts/+/99bba807c9360ad876a52a08e84bc0bdc79c2623", "99bba807c9360ad876a52a08e84bc0bdc79c2623")</f>
        <v>0</v>
      </c>
      <c r="D38598" t="s">
        <v>5526</v>
      </c>
      <c r="E38598" t="s">
        <v>9170</v>
      </c>
      <c r="F38598" t="s">
        <v>14286</v>
      </c>
      <c r="G38598" t="s">
        <v>18250</v>
      </c>
      <c r="H38598" t="s">
        <v>34713</v>
      </c>
    </row>
    <row r="38599" spans="1:8">
      <c r="A38599" t="s">
        <v>3477</v>
      </c>
      <c r="B38599">
        <f>HYPERLINK("https://android.googlesource.com/platform/cts/+/d50aee07a82026fc7756145d51ac4e37640a86ac", "d50aee07a82026fc7756145d51ac4e37640a86ac")</f>
        <v>0</v>
      </c>
      <c r="C38599">
        <f>HYPERLINK("https://android.googlesource.com/platform/cts/+/d92d6fc90177f5180c3d01455df9eff36501ed49", "d92d6fc90177f5180c3d01455df9eff36501ed49")</f>
        <v>0</v>
      </c>
      <c r="D38599" t="s">
        <v>5357</v>
      </c>
      <c r="E38599" t="s">
        <v>9171</v>
      </c>
      <c r="F38599" t="s">
        <v>13203</v>
      </c>
      <c r="G38599" t="s">
        <v>17345</v>
      </c>
      <c r="H38599" t="s">
        <v>34714</v>
      </c>
    </row>
    <row r="38600" spans="1:8">
      <c r="H38600" t="s">
        <v>34715</v>
      </c>
    </row>
    <row r="38601" spans="1:8">
      <c r="F38601" t="s">
        <v>13191</v>
      </c>
      <c r="G38601" t="s">
        <v>17334</v>
      </c>
      <c r="H38601" t="s">
        <v>34714</v>
      </c>
    </row>
    <row r="38602" spans="1:8">
      <c r="H38602" t="s">
        <v>34715</v>
      </c>
    </row>
    <row r="38603" spans="1:8">
      <c r="H38603" t="s">
        <v>34716</v>
      </c>
    </row>
    <row r="38604" spans="1:8">
      <c r="H38604" t="s">
        <v>34717</v>
      </c>
    </row>
    <row r="38605" spans="1:8">
      <c r="A38605" t="s">
        <v>3478</v>
      </c>
      <c r="B38605">
        <f>HYPERLINK("https://android.googlesource.com/platform/cts/+/94f875844831a258cd87189a07d54a7e87bbcef6", "94f875844831a258cd87189a07d54a7e87bbcef6")</f>
        <v>0</v>
      </c>
      <c r="C38605">
        <f>HYPERLINK("https://android.googlesource.com/platform/cts/+/21b2e5d0302161f515f2a9cf720d3849c269fb49", "21b2e5d0302161f515f2a9cf720d3849c269fb49")</f>
        <v>0</v>
      </c>
      <c r="D38605" t="s">
        <v>5108</v>
      </c>
      <c r="E38605" t="s">
        <v>9172</v>
      </c>
      <c r="F38605" t="s">
        <v>14287</v>
      </c>
      <c r="G38605" t="s">
        <v>18251</v>
      </c>
      <c r="H38605" t="s">
        <v>34718</v>
      </c>
    </row>
    <row r="38606" spans="1:8">
      <c r="F38606" t="s">
        <v>12915</v>
      </c>
      <c r="G38606" t="s">
        <v>17080</v>
      </c>
      <c r="H38606" t="s">
        <v>34719</v>
      </c>
    </row>
    <row r="38607" spans="1:8">
      <c r="H38607" t="s">
        <v>34720</v>
      </c>
    </row>
    <row r="38608" spans="1:8">
      <c r="F38608" t="s">
        <v>13971</v>
      </c>
      <c r="G38608" t="s">
        <v>17996</v>
      </c>
      <c r="H38608" t="s">
        <v>34721</v>
      </c>
    </row>
    <row r="38609" spans="6:8">
      <c r="F38609" t="s">
        <v>14288</v>
      </c>
      <c r="G38609" t="s">
        <v>16823</v>
      </c>
      <c r="H38609" t="s">
        <v>34722</v>
      </c>
    </row>
    <row r="38610" spans="6:8">
      <c r="H38610" t="s">
        <v>34723</v>
      </c>
    </row>
    <row r="38611" spans="6:8">
      <c r="H38611" t="s">
        <v>34724</v>
      </c>
    </row>
    <row r="38612" spans="6:8">
      <c r="H38612" t="s">
        <v>34725</v>
      </c>
    </row>
    <row r="38613" spans="6:8">
      <c r="H38613" t="s">
        <v>34726</v>
      </c>
    </row>
    <row r="38614" spans="6:8">
      <c r="H38614" t="s">
        <v>34727</v>
      </c>
    </row>
    <row r="38615" spans="6:8">
      <c r="H38615" t="s">
        <v>34728</v>
      </c>
    </row>
    <row r="38616" spans="6:8">
      <c r="H38616" t="s">
        <v>34729</v>
      </c>
    </row>
    <row r="38617" spans="6:8">
      <c r="H38617" t="s">
        <v>34730</v>
      </c>
    </row>
    <row r="38618" spans="6:8">
      <c r="F38618" t="s">
        <v>14289</v>
      </c>
      <c r="G38618" t="s">
        <v>17655</v>
      </c>
      <c r="H38618" t="s">
        <v>30452</v>
      </c>
    </row>
    <row r="38619" spans="6:8">
      <c r="F38619" t="s">
        <v>13206</v>
      </c>
      <c r="G38619" t="s">
        <v>17348</v>
      </c>
      <c r="H38619" t="s">
        <v>34731</v>
      </c>
    </row>
    <row r="38620" spans="6:8">
      <c r="H38620" t="s">
        <v>34732</v>
      </c>
    </row>
    <row r="38621" spans="6:8">
      <c r="H38621" t="s">
        <v>34733</v>
      </c>
    </row>
    <row r="38622" spans="6:8">
      <c r="F38622" t="s">
        <v>14290</v>
      </c>
      <c r="G38622" t="s">
        <v>18252</v>
      </c>
      <c r="H38622" t="s">
        <v>19981</v>
      </c>
    </row>
    <row r="38623" spans="6:8">
      <c r="H38623" t="s">
        <v>34734</v>
      </c>
    </row>
    <row r="38624" spans="6:8">
      <c r="F38624" t="s">
        <v>13346</v>
      </c>
      <c r="G38624" t="s">
        <v>17474</v>
      </c>
      <c r="H38624" t="s">
        <v>34735</v>
      </c>
    </row>
    <row r="38625" spans="6:8">
      <c r="H38625" t="s">
        <v>34736</v>
      </c>
    </row>
    <row r="38626" spans="6:8">
      <c r="H38626" t="s">
        <v>34737</v>
      </c>
    </row>
    <row r="38627" spans="6:8">
      <c r="F38627" t="s">
        <v>13390</v>
      </c>
      <c r="G38627" t="s">
        <v>17513</v>
      </c>
      <c r="H38627" t="s">
        <v>19019</v>
      </c>
    </row>
    <row r="38628" spans="6:8">
      <c r="F38628" t="s">
        <v>14291</v>
      </c>
      <c r="G38628" t="s">
        <v>18253</v>
      </c>
      <c r="H38628" t="s">
        <v>34738</v>
      </c>
    </row>
    <row r="38629" spans="6:8">
      <c r="H38629" t="s">
        <v>34739</v>
      </c>
    </row>
    <row r="38630" spans="6:8">
      <c r="H38630" t="s">
        <v>34740</v>
      </c>
    </row>
    <row r="38631" spans="6:8">
      <c r="H38631" t="s">
        <v>34741</v>
      </c>
    </row>
    <row r="38632" spans="6:8">
      <c r="H38632" t="s">
        <v>34742</v>
      </c>
    </row>
    <row r="38633" spans="6:8">
      <c r="H38633" t="s">
        <v>31971</v>
      </c>
    </row>
    <row r="38634" spans="6:8">
      <c r="H38634" t="s">
        <v>31971</v>
      </c>
    </row>
    <row r="38635" spans="6:8">
      <c r="H38635" t="s">
        <v>34743</v>
      </c>
    </row>
    <row r="38636" spans="6:8">
      <c r="H38636" t="s">
        <v>34744</v>
      </c>
    </row>
    <row r="38637" spans="6:8">
      <c r="H38637" t="s">
        <v>34745</v>
      </c>
    </row>
    <row r="38638" spans="6:8">
      <c r="H38638" t="s">
        <v>26315</v>
      </c>
    </row>
    <row r="38639" spans="6:8">
      <c r="H38639" t="s">
        <v>34746</v>
      </c>
    </row>
    <row r="38640" spans="6:8">
      <c r="H38640" t="s">
        <v>34747</v>
      </c>
    </row>
    <row r="38641" spans="6:8">
      <c r="H38641" t="s">
        <v>34748</v>
      </c>
    </row>
    <row r="38642" spans="6:8">
      <c r="F38642" t="s">
        <v>14292</v>
      </c>
      <c r="G38642" t="s">
        <v>18254</v>
      </c>
      <c r="H38642" t="s">
        <v>20083</v>
      </c>
    </row>
    <row r="38643" spans="6:8">
      <c r="H38643" t="s">
        <v>27192</v>
      </c>
    </row>
    <row r="38644" spans="6:8">
      <c r="H38644" t="s">
        <v>34283</v>
      </c>
    </row>
    <row r="38645" spans="6:8">
      <c r="H38645" t="s">
        <v>34749</v>
      </c>
    </row>
    <row r="38646" spans="6:8">
      <c r="F38646" t="s">
        <v>14293</v>
      </c>
      <c r="G38646" t="s">
        <v>18255</v>
      </c>
      <c r="H38646" t="s">
        <v>34750</v>
      </c>
    </row>
    <row r="38647" spans="6:8">
      <c r="H38647" t="s">
        <v>34751</v>
      </c>
    </row>
    <row r="38648" spans="6:8">
      <c r="F38648" t="s">
        <v>14153</v>
      </c>
      <c r="G38648" t="s">
        <v>18140</v>
      </c>
      <c r="H38648" t="s">
        <v>34752</v>
      </c>
    </row>
    <row r="38649" spans="6:8">
      <c r="F38649" t="s">
        <v>12743</v>
      </c>
      <c r="G38649" t="s">
        <v>16935</v>
      </c>
      <c r="H38649" t="s">
        <v>34753</v>
      </c>
    </row>
    <row r="38650" spans="6:8">
      <c r="F38650" t="s">
        <v>14249</v>
      </c>
      <c r="G38650" t="s">
        <v>18214</v>
      </c>
      <c r="H38650" t="s">
        <v>32584</v>
      </c>
    </row>
    <row r="38651" spans="6:8">
      <c r="H38651" t="s">
        <v>32585</v>
      </c>
    </row>
    <row r="38652" spans="6:8">
      <c r="H38652" t="s">
        <v>32586</v>
      </c>
    </row>
    <row r="38653" spans="6:8">
      <c r="H38653" t="s">
        <v>34754</v>
      </c>
    </row>
    <row r="38654" spans="6:8">
      <c r="H38654" t="s">
        <v>34755</v>
      </c>
    </row>
    <row r="38655" spans="6:8">
      <c r="H38655" t="s">
        <v>34756</v>
      </c>
    </row>
    <row r="38656" spans="6:8">
      <c r="H38656" t="s">
        <v>34757</v>
      </c>
    </row>
    <row r="38657" spans="1:8">
      <c r="H38657" t="s">
        <v>34758</v>
      </c>
    </row>
    <row r="38658" spans="1:8">
      <c r="H38658" t="s">
        <v>32617</v>
      </c>
    </row>
    <row r="38659" spans="1:8">
      <c r="H38659" t="s">
        <v>34759</v>
      </c>
    </row>
    <row r="38660" spans="1:8">
      <c r="F38660" t="s">
        <v>12419</v>
      </c>
      <c r="G38660" t="s">
        <v>16641</v>
      </c>
      <c r="H38660" t="s">
        <v>34007</v>
      </c>
    </row>
    <row r="38661" spans="1:8">
      <c r="F38661" t="s">
        <v>14294</v>
      </c>
      <c r="G38661" t="s">
        <v>18256</v>
      </c>
      <c r="H38661" t="s">
        <v>32580</v>
      </c>
    </row>
    <row r="38662" spans="1:8">
      <c r="F38662" t="s">
        <v>13229</v>
      </c>
      <c r="G38662" t="s">
        <v>17370</v>
      </c>
      <c r="H38662" t="s">
        <v>33497</v>
      </c>
    </row>
    <row r="38663" spans="1:8">
      <c r="F38663" t="s">
        <v>13136</v>
      </c>
      <c r="G38663" t="s">
        <v>17293</v>
      </c>
      <c r="H38663" t="s">
        <v>34753</v>
      </c>
    </row>
    <row r="38664" spans="1:8">
      <c r="F38664" t="s">
        <v>12745</v>
      </c>
      <c r="G38664" t="s">
        <v>16937</v>
      </c>
      <c r="H38664" t="s">
        <v>34753</v>
      </c>
    </row>
    <row r="38665" spans="1:8">
      <c r="A38665" t="s">
        <v>3479</v>
      </c>
      <c r="B38665">
        <f>HYPERLINK("https://android.googlesource.com/platform/cts/+/360a7b37c2964499a40f3a07ad2f24d10b072437", "360a7b37c2964499a40f3a07ad2f24d10b072437")</f>
        <v>0</v>
      </c>
      <c r="C38665">
        <f>HYPERLINK("https://android.googlesource.com/platform/cts/+/06d44e38847a8a0bcb3349907fb4bce1ab6d4aa8", "06d44e38847a8a0bcb3349907fb4bce1ab6d4aa8")</f>
        <v>0</v>
      </c>
      <c r="D38665" t="s">
        <v>5108</v>
      </c>
      <c r="E38665" t="s">
        <v>9173</v>
      </c>
      <c r="F38665" t="s">
        <v>14287</v>
      </c>
      <c r="G38665" t="s">
        <v>18251</v>
      </c>
      <c r="H38665" t="s">
        <v>34718</v>
      </c>
    </row>
    <row r="38666" spans="1:8">
      <c r="F38666" t="s">
        <v>12915</v>
      </c>
      <c r="G38666" t="s">
        <v>17080</v>
      </c>
      <c r="H38666" t="s">
        <v>34719</v>
      </c>
    </row>
    <row r="38667" spans="1:8">
      <c r="H38667" t="s">
        <v>34720</v>
      </c>
    </row>
    <row r="38668" spans="1:8">
      <c r="F38668" t="s">
        <v>13971</v>
      </c>
      <c r="G38668" t="s">
        <v>17996</v>
      </c>
      <c r="H38668" t="s">
        <v>34721</v>
      </c>
    </row>
    <row r="38669" spans="1:8">
      <c r="F38669" t="s">
        <v>14288</v>
      </c>
      <c r="G38669" t="s">
        <v>16823</v>
      </c>
      <c r="H38669" t="s">
        <v>34722</v>
      </c>
    </row>
    <row r="38670" spans="1:8">
      <c r="H38670" t="s">
        <v>34723</v>
      </c>
    </row>
    <row r="38671" spans="1:8">
      <c r="H38671" t="s">
        <v>34724</v>
      </c>
    </row>
    <row r="38672" spans="1:8">
      <c r="H38672" t="s">
        <v>34725</v>
      </c>
    </row>
    <row r="38673" spans="6:8">
      <c r="H38673" t="s">
        <v>34726</v>
      </c>
    </row>
    <row r="38674" spans="6:8">
      <c r="H38674" t="s">
        <v>34727</v>
      </c>
    </row>
    <row r="38675" spans="6:8">
      <c r="H38675" t="s">
        <v>34728</v>
      </c>
    </row>
    <row r="38676" spans="6:8">
      <c r="H38676" t="s">
        <v>34729</v>
      </c>
    </row>
    <row r="38677" spans="6:8">
      <c r="H38677" t="s">
        <v>34730</v>
      </c>
    </row>
    <row r="38678" spans="6:8">
      <c r="F38678" t="s">
        <v>14289</v>
      </c>
      <c r="G38678" t="s">
        <v>17655</v>
      </c>
      <c r="H38678" t="s">
        <v>30452</v>
      </c>
    </row>
    <row r="38679" spans="6:8">
      <c r="F38679" t="s">
        <v>13206</v>
      </c>
      <c r="G38679" t="s">
        <v>17348</v>
      </c>
      <c r="H38679" t="s">
        <v>34731</v>
      </c>
    </row>
    <row r="38680" spans="6:8">
      <c r="H38680" t="s">
        <v>34732</v>
      </c>
    </row>
    <row r="38681" spans="6:8">
      <c r="H38681" t="s">
        <v>34733</v>
      </c>
    </row>
    <row r="38682" spans="6:8">
      <c r="F38682" t="s">
        <v>14290</v>
      </c>
      <c r="G38682" t="s">
        <v>18252</v>
      </c>
      <c r="H38682" t="s">
        <v>19981</v>
      </c>
    </row>
    <row r="38683" spans="6:8">
      <c r="H38683" t="s">
        <v>34734</v>
      </c>
    </row>
    <row r="38684" spans="6:8">
      <c r="F38684" t="s">
        <v>13346</v>
      </c>
      <c r="G38684" t="s">
        <v>17474</v>
      </c>
      <c r="H38684" t="s">
        <v>34735</v>
      </c>
    </row>
    <row r="38685" spans="6:8">
      <c r="H38685" t="s">
        <v>34736</v>
      </c>
    </row>
    <row r="38686" spans="6:8">
      <c r="H38686" t="s">
        <v>34737</v>
      </c>
    </row>
    <row r="38687" spans="6:8">
      <c r="F38687" t="s">
        <v>13390</v>
      </c>
      <c r="G38687" t="s">
        <v>17513</v>
      </c>
      <c r="H38687" t="s">
        <v>19019</v>
      </c>
    </row>
    <row r="38688" spans="6:8">
      <c r="F38688" t="s">
        <v>14291</v>
      </c>
      <c r="G38688" t="s">
        <v>18253</v>
      </c>
      <c r="H38688" t="s">
        <v>34738</v>
      </c>
    </row>
    <row r="38689" spans="6:8">
      <c r="H38689" t="s">
        <v>34739</v>
      </c>
    </row>
    <row r="38690" spans="6:8">
      <c r="H38690" t="s">
        <v>34740</v>
      </c>
    </row>
    <row r="38691" spans="6:8">
      <c r="H38691" t="s">
        <v>34741</v>
      </c>
    </row>
    <row r="38692" spans="6:8">
      <c r="H38692" t="s">
        <v>34742</v>
      </c>
    </row>
    <row r="38693" spans="6:8">
      <c r="H38693" t="s">
        <v>31971</v>
      </c>
    </row>
    <row r="38694" spans="6:8">
      <c r="H38694" t="s">
        <v>31971</v>
      </c>
    </row>
    <row r="38695" spans="6:8">
      <c r="H38695" t="s">
        <v>34743</v>
      </c>
    </row>
    <row r="38696" spans="6:8">
      <c r="H38696" t="s">
        <v>34744</v>
      </c>
    </row>
    <row r="38697" spans="6:8">
      <c r="H38697" t="s">
        <v>34745</v>
      </c>
    </row>
    <row r="38698" spans="6:8">
      <c r="H38698" t="s">
        <v>26315</v>
      </c>
    </row>
    <row r="38699" spans="6:8">
      <c r="H38699" t="s">
        <v>34746</v>
      </c>
    </row>
    <row r="38700" spans="6:8">
      <c r="H38700" t="s">
        <v>34747</v>
      </c>
    </row>
    <row r="38701" spans="6:8">
      <c r="H38701" t="s">
        <v>34748</v>
      </c>
    </row>
    <row r="38702" spans="6:8">
      <c r="F38702" t="s">
        <v>14292</v>
      </c>
      <c r="G38702" t="s">
        <v>18254</v>
      </c>
      <c r="H38702" t="s">
        <v>20083</v>
      </c>
    </row>
    <row r="38703" spans="6:8">
      <c r="H38703" t="s">
        <v>27192</v>
      </c>
    </row>
    <row r="38704" spans="6:8">
      <c r="H38704" t="s">
        <v>34283</v>
      </c>
    </row>
    <row r="38705" spans="6:8">
      <c r="H38705" t="s">
        <v>34749</v>
      </c>
    </row>
    <row r="38706" spans="6:8">
      <c r="F38706" t="s">
        <v>14293</v>
      </c>
      <c r="G38706" t="s">
        <v>18255</v>
      </c>
      <c r="H38706" t="s">
        <v>34750</v>
      </c>
    </row>
    <row r="38707" spans="6:8">
      <c r="H38707" t="s">
        <v>34751</v>
      </c>
    </row>
    <row r="38708" spans="6:8">
      <c r="F38708" t="s">
        <v>14153</v>
      </c>
      <c r="G38708" t="s">
        <v>18140</v>
      </c>
      <c r="H38708" t="s">
        <v>34752</v>
      </c>
    </row>
    <row r="38709" spans="6:8">
      <c r="F38709" t="s">
        <v>12743</v>
      </c>
      <c r="G38709" t="s">
        <v>16935</v>
      </c>
      <c r="H38709" t="s">
        <v>34753</v>
      </c>
    </row>
    <row r="38710" spans="6:8">
      <c r="F38710" t="s">
        <v>14249</v>
      </c>
      <c r="G38710" t="s">
        <v>18214</v>
      </c>
      <c r="H38710" t="s">
        <v>32584</v>
      </c>
    </row>
    <row r="38711" spans="6:8">
      <c r="H38711" t="s">
        <v>32585</v>
      </c>
    </row>
    <row r="38712" spans="6:8">
      <c r="H38712" t="s">
        <v>32586</v>
      </c>
    </row>
    <row r="38713" spans="6:8">
      <c r="H38713" t="s">
        <v>34754</v>
      </c>
    </row>
    <row r="38714" spans="6:8">
      <c r="H38714" t="s">
        <v>34755</v>
      </c>
    </row>
    <row r="38715" spans="6:8">
      <c r="H38715" t="s">
        <v>34756</v>
      </c>
    </row>
    <row r="38716" spans="6:8">
      <c r="H38716" t="s">
        <v>34757</v>
      </c>
    </row>
    <row r="38717" spans="6:8">
      <c r="H38717" t="s">
        <v>34758</v>
      </c>
    </row>
    <row r="38718" spans="6:8">
      <c r="H38718" t="s">
        <v>32617</v>
      </c>
    </row>
    <row r="38719" spans="6:8">
      <c r="H38719" t="s">
        <v>34759</v>
      </c>
    </row>
    <row r="38720" spans="6:8">
      <c r="F38720" t="s">
        <v>12419</v>
      </c>
      <c r="G38720" t="s">
        <v>16641</v>
      </c>
      <c r="H38720" t="s">
        <v>34007</v>
      </c>
    </row>
    <row r="38721" spans="1:8">
      <c r="F38721" t="s">
        <v>14294</v>
      </c>
      <c r="G38721" t="s">
        <v>18256</v>
      </c>
      <c r="H38721" t="s">
        <v>32580</v>
      </c>
    </row>
    <row r="38722" spans="1:8">
      <c r="F38722" t="s">
        <v>13229</v>
      </c>
      <c r="G38722" t="s">
        <v>17370</v>
      </c>
      <c r="H38722" t="s">
        <v>33497</v>
      </c>
    </row>
    <row r="38723" spans="1:8">
      <c r="F38723" t="s">
        <v>13136</v>
      </c>
      <c r="G38723" t="s">
        <v>17293</v>
      </c>
      <c r="H38723" t="s">
        <v>34753</v>
      </c>
    </row>
    <row r="38724" spans="1:8">
      <c r="F38724" t="s">
        <v>12745</v>
      </c>
      <c r="G38724" t="s">
        <v>16937</v>
      </c>
      <c r="H38724" t="s">
        <v>34753</v>
      </c>
    </row>
    <row r="38725" spans="1:8">
      <c r="A38725" t="s">
        <v>3480</v>
      </c>
      <c r="B38725">
        <f>HYPERLINK("https://android.googlesource.com/platform/cts/+/1c9aafbbcf16a532935ebbf446309a0e9292d282", "1c9aafbbcf16a532935ebbf446309a0e9292d282")</f>
        <v>0</v>
      </c>
      <c r="C38725">
        <f>HYPERLINK("https://android.googlesource.com/platform/cts/+/8a1bac93f9bbb80e86539b4d50d290aa24198558", "8a1bac93f9bbb80e86539b4d50d290aa24198558")</f>
        <v>0</v>
      </c>
      <c r="D38725" t="s">
        <v>5573</v>
      </c>
      <c r="E38725" t="s">
        <v>9174</v>
      </c>
      <c r="F38725" t="s">
        <v>14295</v>
      </c>
      <c r="G38725" t="s">
        <v>18257</v>
      </c>
      <c r="H38725" t="s">
        <v>34760</v>
      </c>
    </row>
    <row r="38726" spans="1:8">
      <c r="H38726" t="s">
        <v>34761</v>
      </c>
    </row>
    <row r="38727" spans="1:8">
      <c r="A38727" t="s">
        <v>3481</v>
      </c>
      <c r="B38727">
        <f>HYPERLINK("https://android.googlesource.com/platform/cts/+/620aa837a5534311b645f206a2f69786e145bd25", "620aa837a5534311b645f206a2f69786e145bd25")</f>
        <v>0</v>
      </c>
      <c r="C38727">
        <f>HYPERLINK("https://android.googlesource.com/platform/cts/+/b639906399b24bbb9500f6f1b3b61b6e1b1ff215", "b639906399b24bbb9500f6f1b3b61b6e1b1ff215")</f>
        <v>0</v>
      </c>
      <c r="D38727" t="s">
        <v>5556</v>
      </c>
      <c r="E38727" t="s">
        <v>9175</v>
      </c>
      <c r="F38727" t="s">
        <v>14296</v>
      </c>
      <c r="G38727" t="s">
        <v>18022</v>
      </c>
      <c r="H38727" t="s">
        <v>34762</v>
      </c>
    </row>
    <row r="38728" spans="1:8">
      <c r="H38728" t="s">
        <v>34763</v>
      </c>
    </row>
    <row r="38729" spans="1:8">
      <c r="H38729" t="s">
        <v>34764</v>
      </c>
    </row>
    <row r="38730" spans="1:8">
      <c r="A38730" t="s">
        <v>3482</v>
      </c>
      <c r="B38730">
        <f>HYPERLINK("https://android.googlesource.com/platform/cts/+/ccca1ccda73da8b6289bacd6ffd0b9619470d8c3", "ccca1ccda73da8b6289bacd6ffd0b9619470d8c3")</f>
        <v>0</v>
      </c>
      <c r="C38730">
        <f>HYPERLINK("https://android.googlesource.com/platform/cts/+/6aa9a8cc64d788589c997be3d4f903f5352a13c0", "6aa9a8cc64d788589c997be3d4f903f5352a13c0")</f>
        <v>0</v>
      </c>
      <c r="D38730" t="s">
        <v>5574</v>
      </c>
      <c r="E38730" t="s">
        <v>9176</v>
      </c>
      <c r="F38730" t="s">
        <v>14272</v>
      </c>
      <c r="G38730" t="s">
        <v>18239</v>
      </c>
      <c r="H38730" t="s">
        <v>34765</v>
      </c>
    </row>
    <row r="38731" spans="1:8">
      <c r="A38731" t="s">
        <v>3483</v>
      </c>
      <c r="B38731">
        <f>HYPERLINK("https://android.googlesource.com/platform/cts/+/555514036c6465b61ca8f386c7871887698cc239", "555514036c6465b61ca8f386c7871887698cc239")</f>
        <v>0</v>
      </c>
      <c r="C38731">
        <f>HYPERLINK("https://android.googlesource.com/platform/cts/+/94f875844831a258cd87189a07d54a7e87bbcef6", "94f875844831a258cd87189a07d54a7e87bbcef6")</f>
        <v>0</v>
      </c>
      <c r="D38731" t="s">
        <v>5108</v>
      </c>
      <c r="E38731" t="s">
        <v>9177</v>
      </c>
      <c r="F38731" t="s">
        <v>13206</v>
      </c>
      <c r="G38731" t="s">
        <v>17348</v>
      </c>
      <c r="H38731" t="s">
        <v>34766</v>
      </c>
    </row>
    <row r="38732" spans="1:8">
      <c r="H38732" t="s">
        <v>34767</v>
      </c>
    </row>
    <row r="38733" spans="1:8">
      <c r="H38733" t="s">
        <v>34768</v>
      </c>
    </row>
    <row r="38734" spans="1:8">
      <c r="A38734" t="s">
        <v>3484</v>
      </c>
      <c r="B38734">
        <f>HYPERLINK("https://android.googlesource.com/platform/cts/+/f68e610a959eba1242392860ed648f8787ddd837", "f68e610a959eba1242392860ed648f8787ddd837")</f>
        <v>0</v>
      </c>
      <c r="C38734">
        <f>HYPERLINK("https://android.googlesource.com/platform/cts/+/009f442809e64ebd7747f3f9ffa78536396f7421", "009f442809e64ebd7747f3f9ffa78536396f7421")</f>
        <v>0</v>
      </c>
      <c r="D38734" t="s">
        <v>5556</v>
      </c>
      <c r="E38734" t="s">
        <v>9178</v>
      </c>
      <c r="F38734" t="s">
        <v>14297</v>
      </c>
      <c r="G38734" t="s">
        <v>18022</v>
      </c>
      <c r="H38734" t="s">
        <v>34769</v>
      </c>
    </row>
    <row r="38735" spans="1:8">
      <c r="A38735" t="s">
        <v>3485</v>
      </c>
      <c r="B38735">
        <f>HYPERLINK("https://android.googlesource.com/platform/cts/+/575d939f1225b5107a3100a69dbc2df99c20b749", "575d939f1225b5107a3100a69dbc2df99c20b749")</f>
        <v>0</v>
      </c>
      <c r="C38735">
        <f>HYPERLINK("https://android.googlesource.com/platform/cts/+/c28f44a3abb6da4f24f11670a7816f39abba914d", "c28f44a3abb6da4f24f11670a7816f39abba914d")</f>
        <v>0</v>
      </c>
      <c r="D38735" t="s">
        <v>5556</v>
      </c>
      <c r="E38735" t="s">
        <v>9179</v>
      </c>
      <c r="F38735" t="s">
        <v>14297</v>
      </c>
      <c r="G38735" t="s">
        <v>18022</v>
      </c>
      <c r="H38735" t="s">
        <v>34762</v>
      </c>
    </row>
    <row r="38736" spans="1:8">
      <c r="A38736" t="s">
        <v>3486</v>
      </c>
      <c r="B38736">
        <f>HYPERLINK("https://android.googlesource.com/platform/cts/+/8e3d022b648a99041364e598017383f92d731b6d", "8e3d022b648a99041364e598017383f92d731b6d")</f>
        <v>0</v>
      </c>
      <c r="C38736">
        <f>HYPERLINK("https://android.googlesource.com/platform/cts/+/7416bdea2796b42bd24bbfed09fbdcb0d63edd02", "7416bdea2796b42bd24bbfed09fbdcb0d63edd02")</f>
        <v>0</v>
      </c>
      <c r="D38736" t="s">
        <v>5568</v>
      </c>
      <c r="E38736" t="s">
        <v>9180</v>
      </c>
      <c r="F38736" t="s">
        <v>10699</v>
      </c>
      <c r="G38736" t="s">
        <v>15099</v>
      </c>
      <c r="H38736" t="s">
        <v>34770</v>
      </c>
    </row>
    <row r="38737" spans="1:8">
      <c r="F38737" t="s">
        <v>14298</v>
      </c>
      <c r="G38737" t="s">
        <v>18236</v>
      </c>
      <c r="H38737" t="s">
        <v>34771</v>
      </c>
    </row>
    <row r="38738" spans="1:8">
      <c r="H38738" t="s">
        <v>34533</v>
      </c>
    </row>
    <row r="38739" spans="1:8">
      <c r="H38739" t="s">
        <v>34568</v>
      </c>
    </row>
    <row r="38740" spans="1:8">
      <c r="H38740" t="s">
        <v>34569</v>
      </c>
    </row>
    <row r="38741" spans="1:8">
      <c r="A38741" t="s">
        <v>3487</v>
      </c>
      <c r="B38741">
        <f>HYPERLINK("https://android.googlesource.com/platform/cts/+/40bc18f8dcaa8c5d15a4283fbebd2832253b1ba4", "40bc18f8dcaa8c5d15a4283fbebd2832253b1ba4")</f>
        <v>0</v>
      </c>
      <c r="C38741">
        <f>HYPERLINK("https://android.googlesource.com/platform/cts/+/d694092800a1302b53a4339203450459a59ec197", "d694092800a1302b53a4339203450459a59ec197")</f>
        <v>0</v>
      </c>
      <c r="D38741" t="s">
        <v>5231</v>
      </c>
      <c r="E38741" t="s">
        <v>9181</v>
      </c>
      <c r="F38741" t="s">
        <v>14299</v>
      </c>
      <c r="G38741" t="s">
        <v>18258</v>
      </c>
      <c r="H38741" t="s">
        <v>18829</v>
      </c>
    </row>
    <row r="38742" spans="1:8">
      <c r="H38742" t="s">
        <v>34772</v>
      </c>
    </row>
    <row r="38743" spans="1:8">
      <c r="A38743" t="s">
        <v>3488</v>
      </c>
      <c r="B38743">
        <f>HYPERLINK("https://android.googlesource.com/platform/cts/+/5745fa902a8c319625e033f88678d6d021ec307b", "5745fa902a8c319625e033f88678d6d021ec307b")</f>
        <v>0</v>
      </c>
      <c r="C38743">
        <f>HYPERLINK("https://android.googlesource.com/platform/cts/+/a402925a5b33b57ca2452b2615c265556312f057", "a402925a5b33b57ca2452b2615c265556312f057")</f>
        <v>0</v>
      </c>
      <c r="D38743" t="s">
        <v>5277</v>
      </c>
      <c r="E38743" t="s">
        <v>9182</v>
      </c>
      <c r="F38743" t="s">
        <v>14300</v>
      </c>
      <c r="G38743" t="s">
        <v>18259</v>
      </c>
      <c r="H38743" t="s">
        <v>34773</v>
      </c>
    </row>
    <row r="38744" spans="1:8">
      <c r="H38744" t="s">
        <v>34774</v>
      </c>
    </row>
    <row r="38745" spans="1:8">
      <c r="H38745" t="s">
        <v>34775</v>
      </c>
    </row>
    <row r="38746" spans="1:8">
      <c r="A38746" t="s">
        <v>3489</v>
      </c>
      <c r="B38746">
        <f>HYPERLINK("https://android.googlesource.com/platform/cts/+/36de324a2f6758c90a838851fe528212b86327af", "36de324a2f6758c90a838851fe528212b86327af")</f>
        <v>0</v>
      </c>
      <c r="C38746">
        <f>HYPERLINK("https://android.googlesource.com/platform/cts/+/5745fa902a8c319625e033f88678d6d021ec307b", "5745fa902a8c319625e033f88678d6d021ec307b")</f>
        <v>0</v>
      </c>
      <c r="D38746" t="s">
        <v>5277</v>
      </c>
      <c r="E38746" t="s">
        <v>9183</v>
      </c>
      <c r="F38746" t="s">
        <v>14301</v>
      </c>
      <c r="G38746" t="s">
        <v>18260</v>
      </c>
      <c r="H38746" t="s">
        <v>19019</v>
      </c>
    </row>
    <row r="38747" spans="1:8">
      <c r="H38747" t="s">
        <v>34776</v>
      </c>
    </row>
    <row r="38748" spans="1:8">
      <c r="H38748" t="s">
        <v>34777</v>
      </c>
    </row>
    <row r="38749" spans="1:8">
      <c r="F38749" t="s">
        <v>14300</v>
      </c>
      <c r="G38749" t="s">
        <v>18259</v>
      </c>
      <c r="H38749" t="s">
        <v>34778</v>
      </c>
    </row>
    <row r="38750" spans="1:8">
      <c r="H38750" t="s">
        <v>34779</v>
      </c>
    </row>
    <row r="38751" spans="1:8">
      <c r="A38751" t="s">
        <v>3490</v>
      </c>
      <c r="B38751">
        <f>HYPERLINK("https://android.googlesource.com/platform/cts/+/ec307a85f6d288a683e5fd5e6bf02ea654cba967", "ec307a85f6d288a683e5fd5e6bf02ea654cba967")</f>
        <v>0</v>
      </c>
      <c r="C38751">
        <f>HYPERLINK("https://android.googlesource.com/platform/cts/+/499088a952ede861f386b233a96b76edcd4574cc", "499088a952ede861f386b233a96b76edcd4574cc")</f>
        <v>0</v>
      </c>
      <c r="D38751" t="s">
        <v>5568</v>
      </c>
      <c r="E38751" t="s">
        <v>9184</v>
      </c>
      <c r="F38751" t="s">
        <v>14298</v>
      </c>
      <c r="G38751" t="s">
        <v>18261</v>
      </c>
      <c r="H38751" t="s">
        <v>34249</v>
      </c>
    </row>
    <row r="38752" spans="1:8">
      <c r="H38752" t="s">
        <v>34250</v>
      </c>
    </row>
    <row r="38753" spans="8:8">
      <c r="H38753" t="s">
        <v>34526</v>
      </c>
    </row>
    <row r="38754" spans="8:8">
      <c r="H38754" t="s">
        <v>34780</v>
      </c>
    </row>
    <row r="38755" spans="8:8">
      <c r="H38755" t="s">
        <v>34529</v>
      </c>
    </row>
    <row r="38756" spans="8:8">
      <c r="H38756" t="s">
        <v>34781</v>
      </c>
    </row>
    <row r="38757" spans="8:8">
      <c r="H38757" t="s">
        <v>34782</v>
      </c>
    </row>
    <row r="38758" spans="8:8">
      <c r="H38758" t="s">
        <v>34531</v>
      </c>
    </row>
    <row r="38759" spans="8:8">
      <c r="H38759" t="s">
        <v>34783</v>
      </c>
    </row>
    <row r="38760" spans="8:8">
      <c r="H38760" t="s">
        <v>34534</v>
      </c>
    </row>
    <row r="38761" spans="8:8">
      <c r="H38761" t="s">
        <v>34535</v>
      </c>
    </row>
    <row r="38762" spans="8:8">
      <c r="H38762" t="s">
        <v>34536</v>
      </c>
    </row>
    <row r="38763" spans="8:8">
      <c r="H38763" t="s">
        <v>34537</v>
      </c>
    </row>
    <row r="38764" spans="8:8">
      <c r="H38764" t="s">
        <v>34538</v>
      </c>
    </row>
    <row r="38765" spans="8:8">
      <c r="H38765" t="s">
        <v>34539</v>
      </c>
    </row>
    <row r="38766" spans="8:8">
      <c r="H38766" t="s">
        <v>34540</v>
      </c>
    </row>
    <row r="38767" spans="8:8">
      <c r="H38767" t="s">
        <v>34541</v>
      </c>
    </row>
    <row r="38768" spans="8:8">
      <c r="H38768" t="s">
        <v>34542</v>
      </c>
    </row>
    <row r="38769" spans="8:8">
      <c r="H38769" t="s">
        <v>34543</v>
      </c>
    </row>
    <row r="38770" spans="8:8">
      <c r="H38770" t="s">
        <v>34544</v>
      </c>
    </row>
    <row r="38771" spans="8:8">
      <c r="H38771" t="s">
        <v>34784</v>
      </c>
    </row>
    <row r="38772" spans="8:8">
      <c r="H38772" t="s">
        <v>34546</v>
      </c>
    </row>
    <row r="38773" spans="8:8">
      <c r="H38773" t="s">
        <v>34547</v>
      </c>
    </row>
    <row r="38774" spans="8:8">
      <c r="H38774" t="s">
        <v>34785</v>
      </c>
    </row>
    <row r="38775" spans="8:8">
      <c r="H38775" t="s">
        <v>34549</v>
      </c>
    </row>
    <row r="38776" spans="8:8">
      <c r="H38776" t="s">
        <v>34786</v>
      </c>
    </row>
    <row r="38777" spans="8:8">
      <c r="H38777" t="s">
        <v>34551</v>
      </c>
    </row>
    <row r="38778" spans="8:8">
      <c r="H38778" t="s">
        <v>34552</v>
      </c>
    </row>
    <row r="38779" spans="8:8">
      <c r="H38779" t="s">
        <v>34787</v>
      </c>
    </row>
    <row r="38780" spans="8:8">
      <c r="H38780" t="s">
        <v>34788</v>
      </c>
    </row>
    <row r="38781" spans="8:8">
      <c r="H38781" t="s">
        <v>34789</v>
      </c>
    </row>
    <row r="38782" spans="8:8">
      <c r="H38782" t="s">
        <v>34790</v>
      </c>
    </row>
    <row r="38783" spans="8:8">
      <c r="H38783" t="s">
        <v>34791</v>
      </c>
    </row>
    <row r="38784" spans="8:8">
      <c r="H38784" t="s">
        <v>34555</v>
      </c>
    </row>
    <row r="38785" spans="8:8">
      <c r="H38785" t="s">
        <v>34556</v>
      </c>
    </row>
    <row r="38786" spans="8:8">
      <c r="H38786" t="s">
        <v>34792</v>
      </c>
    </row>
    <row r="38787" spans="8:8">
      <c r="H38787" t="s">
        <v>34558</v>
      </c>
    </row>
    <row r="38788" spans="8:8">
      <c r="H38788" t="s">
        <v>34559</v>
      </c>
    </row>
    <row r="38789" spans="8:8">
      <c r="H38789" t="s">
        <v>34560</v>
      </c>
    </row>
    <row r="38790" spans="8:8">
      <c r="H38790" t="s">
        <v>34793</v>
      </c>
    </row>
    <row r="38791" spans="8:8">
      <c r="H38791" t="s">
        <v>34794</v>
      </c>
    </row>
    <row r="38792" spans="8:8">
      <c r="H38792" t="s">
        <v>34561</v>
      </c>
    </row>
    <row r="38793" spans="8:8">
      <c r="H38793" t="s">
        <v>34562</v>
      </c>
    </row>
    <row r="38794" spans="8:8">
      <c r="H38794" t="s">
        <v>34563</v>
      </c>
    </row>
    <row r="38795" spans="8:8">
      <c r="H38795" t="s">
        <v>19019</v>
      </c>
    </row>
    <row r="38796" spans="8:8">
      <c r="H38796" t="s">
        <v>34564</v>
      </c>
    </row>
    <row r="38797" spans="8:8">
      <c r="H38797" t="s">
        <v>34565</v>
      </c>
    </row>
    <row r="38798" spans="8:8">
      <c r="H38798" t="s">
        <v>34566</v>
      </c>
    </row>
    <row r="38799" spans="8:8">
      <c r="H38799" t="s">
        <v>34567</v>
      </c>
    </row>
    <row r="38800" spans="8:8">
      <c r="H38800" t="s">
        <v>34795</v>
      </c>
    </row>
    <row r="38801" spans="1:8">
      <c r="H38801" t="s">
        <v>34570</v>
      </c>
    </row>
    <row r="38802" spans="1:8">
      <c r="H38802" t="s">
        <v>34571</v>
      </c>
    </row>
    <row r="38803" spans="1:8">
      <c r="H38803" t="s">
        <v>34572</v>
      </c>
    </row>
    <row r="38804" spans="1:8">
      <c r="H38804" t="s">
        <v>34572</v>
      </c>
    </row>
    <row r="38805" spans="1:8">
      <c r="H38805" t="s">
        <v>34573</v>
      </c>
    </row>
    <row r="38806" spans="1:8">
      <c r="H38806" t="s">
        <v>34573</v>
      </c>
    </row>
    <row r="38807" spans="1:8">
      <c r="H38807" t="s">
        <v>34574</v>
      </c>
    </row>
    <row r="38808" spans="1:8">
      <c r="H38808" t="s">
        <v>34575</v>
      </c>
    </row>
    <row r="38809" spans="1:8">
      <c r="H38809" t="s">
        <v>34796</v>
      </c>
    </row>
    <row r="38810" spans="1:8">
      <c r="H38810" t="s">
        <v>34797</v>
      </c>
    </row>
    <row r="38811" spans="1:8">
      <c r="H38811" t="s">
        <v>34797</v>
      </c>
    </row>
    <row r="38812" spans="1:8">
      <c r="H38812" t="s">
        <v>34798</v>
      </c>
    </row>
    <row r="38813" spans="1:8">
      <c r="H38813" t="s">
        <v>22005</v>
      </c>
    </row>
    <row r="38814" spans="1:8">
      <c r="H38814" t="s">
        <v>34799</v>
      </c>
    </row>
    <row r="38815" spans="1:8">
      <c r="A38815" t="s">
        <v>3491</v>
      </c>
      <c r="B38815">
        <f>HYPERLINK("https://android.googlesource.com/platform/cts/+/d2a8c14d06874a96da08a43d1c060ef6e5de8095", "d2a8c14d06874a96da08a43d1c060ef6e5de8095")</f>
        <v>0</v>
      </c>
      <c r="C38815">
        <f>HYPERLINK("https://android.googlesource.com/platform/cts/+/36de324a2f6758c90a838851fe528212b86327af", "36de324a2f6758c90a838851fe528212b86327af")</f>
        <v>0</v>
      </c>
      <c r="D38815" t="s">
        <v>5277</v>
      </c>
      <c r="E38815" t="s">
        <v>9185</v>
      </c>
      <c r="F38815" t="s">
        <v>14302</v>
      </c>
      <c r="G38815" t="s">
        <v>18260</v>
      </c>
      <c r="H38815" t="s">
        <v>34800</v>
      </c>
    </row>
    <row r="38816" spans="1:8">
      <c r="H38816" t="s">
        <v>34777</v>
      </c>
    </row>
    <row r="38817" spans="1:8">
      <c r="A38817" t="s">
        <v>3492</v>
      </c>
      <c r="B38817">
        <f>HYPERLINK("https://android.googlesource.com/platform/cts/+/aab22ebff6a8b6889b571829e9a1be9d06bb4cee", "aab22ebff6a8b6889b571829e9a1be9d06bb4cee")</f>
        <v>0</v>
      </c>
      <c r="C38817">
        <f>HYPERLINK("https://android.googlesource.com/platform/cts/+/1c29eff3b822d70abbac9b13270aecb5ae32693b", "1c29eff3b822d70abbac9b13270aecb5ae32693b")</f>
        <v>0</v>
      </c>
      <c r="D38817" t="s">
        <v>5231</v>
      </c>
      <c r="E38817" t="s">
        <v>9186</v>
      </c>
      <c r="F38817" t="s">
        <v>14299</v>
      </c>
      <c r="G38817" t="s">
        <v>18258</v>
      </c>
      <c r="H38817" t="s">
        <v>18829</v>
      </c>
    </row>
    <row r="38818" spans="1:8">
      <c r="H38818" t="s">
        <v>34772</v>
      </c>
    </row>
    <row r="38819" spans="1:8">
      <c r="A38819" t="s">
        <v>3493</v>
      </c>
      <c r="B38819">
        <f>HYPERLINK("https://android.googlesource.com/platform/cts/+/c55056dd13bfb0e8b3d04c5b882e1b5049adfbf9", "c55056dd13bfb0e8b3d04c5b882e1b5049adfbf9")</f>
        <v>0</v>
      </c>
      <c r="C38819">
        <f>HYPERLINK("https://android.googlesource.com/platform/cts/+/e63ef94f984f46c37e2d4adb95f64309351b4cb7", "e63ef94f984f46c37e2d4adb95f64309351b4cb7")</f>
        <v>0</v>
      </c>
      <c r="D38819" t="s">
        <v>5355</v>
      </c>
      <c r="E38819" t="s">
        <v>9187</v>
      </c>
      <c r="F38819" t="s">
        <v>14303</v>
      </c>
      <c r="G38819" t="s">
        <v>17388</v>
      </c>
      <c r="H38819" t="s">
        <v>34801</v>
      </c>
    </row>
    <row r="38820" spans="1:8">
      <c r="H38820" t="s">
        <v>34802</v>
      </c>
    </row>
    <row r="38821" spans="1:8">
      <c r="A38821" t="s">
        <v>3494</v>
      </c>
      <c r="B38821">
        <f>HYPERLINK("https://android.googlesource.com/platform/cts/+/2507fe4f2804a387f1cfa9c35b79a64dd07f104d", "2507fe4f2804a387f1cfa9c35b79a64dd07f104d")</f>
        <v>0</v>
      </c>
      <c r="C38821">
        <f>HYPERLINK("https://android.googlesource.com/platform/cts/+/5f75fff523b3a66e8489a96bc1833d80ca3b4eaa", "5f75fff523b3a66e8489a96bc1833d80ca3b4eaa")</f>
        <v>0</v>
      </c>
      <c r="D38821" t="s">
        <v>5508</v>
      </c>
      <c r="E38821" t="s">
        <v>9188</v>
      </c>
      <c r="F38821" t="s">
        <v>13816</v>
      </c>
      <c r="G38821" t="s">
        <v>15089</v>
      </c>
      <c r="H38821" t="s">
        <v>34803</v>
      </c>
    </row>
    <row r="38822" spans="1:8">
      <c r="A38822" t="s">
        <v>3495</v>
      </c>
      <c r="B38822">
        <f>HYPERLINK("https://android.googlesource.com/platform/cts/+/ae36862ebaeb9d4ecb08460b310c812cc4de48f0", "ae36862ebaeb9d4ecb08460b310c812cc4de48f0")</f>
        <v>0</v>
      </c>
      <c r="C38822">
        <f>HYPERLINK("https://android.googlesource.com/platform/cts/+/4e4e66c1d6262881fe7229f806b276993377868d", "4e4e66c1d6262881fe7229f806b276993377868d")</f>
        <v>0</v>
      </c>
      <c r="D38822" t="s">
        <v>5195</v>
      </c>
      <c r="E38822" t="s">
        <v>9189</v>
      </c>
      <c r="F38822" t="s">
        <v>14189</v>
      </c>
      <c r="G38822" t="s">
        <v>14997</v>
      </c>
      <c r="H38822" t="s">
        <v>18834</v>
      </c>
    </row>
    <row r="38823" spans="1:8">
      <c r="H38823" t="s">
        <v>33914</v>
      </c>
    </row>
    <row r="38824" spans="1:8">
      <c r="H38824" t="s">
        <v>32851</v>
      </c>
    </row>
    <row r="38825" spans="1:8">
      <c r="H38825" t="s">
        <v>33915</v>
      </c>
    </row>
    <row r="38826" spans="1:8">
      <c r="A38826" t="s">
        <v>3496</v>
      </c>
      <c r="B38826">
        <f>HYPERLINK("https://android.googlesource.com/platform/cts/+/e33cbf95138460868b85770b699822ec0ba1ecc1", "e33cbf95138460868b85770b699822ec0ba1ecc1")</f>
        <v>0</v>
      </c>
      <c r="C38826">
        <f>HYPERLINK("https://android.googlesource.com/platform/cts/+/e0c11bad5efc5a975d637acaa66a5b4d936d3ec3", "e0c11bad5efc5a975d637acaa66a5b4d936d3ec3")</f>
        <v>0</v>
      </c>
      <c r="D38826" t="s">
        <v>5551</v>
      </c>
      <c r="E38826" t="s">
        <v>9190</v>
      </c>
      <c r="F38826" t="s">
        <v>14248</v>
      </c>
      <c r="G38826" t="s">
        <v>17675</v>
      </c>
      <c r="H38826" t="s">
        <v>34350</v>
      </c>
    </row>
    <row r="38827" spans="1:8">
      <c r="A38827" t="s">
        <v>3497</v>
      </c>
      <c r="B38827">
        <f>HYPERLINK("https://android.googlesource.com/platform/cts/+/c145703828cffc38301e13514bb9e766b49effbf", "c145703828cffc38301e13514bb9e766b49effbf")</f>
        <v>0</v>
      </c>
      <c r="C38827">
        <f>HYPERLINK("https://android.googlesource.com/platform/cts/+/270dd0ade1f14e1ad2ab331baef87f6a57e916a7", "270dd0ade1f14e1ad2ab331baef87f6a57e916a7")</f>
        <v>0</v>
      </c>
      <c r="D38827" t="s">
        <v>5354</v>
      </c>
      <c r="E38827" t="s">
        <v>9191</v>
      </c>
      <c r="F38827" t="s">
        <v>14267</v>
      </c>
      <c r="G38827" t="s">
        <v>18234</v>
      </c>
      <c r="H38827" t="s">
        <v>34804</v>
      </c>
    </row>
    <row r="38828" spans="1:8">
      <c r="A38828" t="s">
        <v>3498</v>
      </c>
      <c r="B38828">
        <f>HYPERLINK("https://android.googlesource.com/platform/cts/+/333b4a627bd9005d8f115a15e1938f3aec894ce7", "333b4a627bd9005d8f115a15e1938f3aec894ce7")</f>
        <v>0</v>
      </c>
      <c r="C38828">
        <f>HYPERLINK("https://android.googlesource.com/platform/cts/+/65dc0a4bba0749767e2746cea08a654e51699918", "65dc0a4bba0749767e2746cea08a654e51699918")</f>
        <v>0</v>
      </c>
      <c r="D38828" t="s">
        <v>5575</v>
      </c>
      <c r="E38828" t="s">
        <v>9192</v>
      </c>
      <c r="F38828" t="s">
        <v>14076</v>
      </c>
      <c r="G38828" t="s">
        <v>18074</v>
      </c>
      <c r="H38828" t="s">
        <v>34805</v>
      </c>
    </row>
    <row r="38829" spans="1:8">
      <c r="A38829" t="s">
        <v>3499</v>
      </c>
      <c r="B38829">
        <f>HYPERLINK("https://android.googlesource.com/platform/cts/+/cc8762514e9b4c0283554fe76693402b5001e4cb", "cc8762514e9b4c0283554fe76693402b5001e4cb")</f>
        <v>0</v>
      </c>
      <c r="C38829">
        <f>HYPERLINK("https://android.googlesource.com/platform/cts/+/92c4602f55c886e53f5b959832d03c84beda9cef", "92c4602f55c886e53f5b959832d03c84beda9cef")</f>
        <v>0</v>
      </c>
      <c r="D38829" t="s">
        <v>5473</v>
      </c>
      <c r="E38829" t="s">
        <v>9193</v>
      </c>
      <c r="F38829" t="s">
        <v>14185</v>
      </c>
      <c r="G38829" t="s">
        <v>18166</v>
      </c>
      <c r="H38829" t="s">
        <v>34806</v>
      </c>
    </row>
    <row r="38830" spans="1:8">
      <c r="A38830" t="s">
        <v>3500</v>
      </c>
      <c r="B38830">
        <f>HYPERLINK("https://android.googlesource.com/platform/cts/+/935d71a4a157f12a9907139bbc1b6178f541f1f6", "935d71a4a157f12a9907139bbc1b6178f541f1f6")</f>
        <v>0</v>
      </c>
      <c r="C38830">
        <f>HYPERLINK("https://android.googlesource.com/platform/cts/+/7168452074033d83d2767ebfa958331a0c50bbd6", "7168452074033d83d2767ebfa958331a0c50bbd6")</f>
        <v>0</v>
      </c>
      <c r="D38830" t="s">
        <v>5576</v>
      </c>
      <c r="E38830" t="s">
        <v>9194</v>
      </c>
      <c r="F38830" t="s">
        <v>13857</v>
      </c>
      <c r="G38830" t="s">
        <v>17899</v>
      </c>
      <c r="H38830" t="s">
        <v>18829</v>
      </c>
    </row>
    <row r="38831" spans="1:8">
      <c r="H38831" t="s">
        <v>18863</v>
      </c>
    </row>
    <row r="38832" spans="1:8">
      <c r="H38832" t="s">
        <v>34807</v>
      </c>
    </row>
    <row r="38833" spans="6:8">
      <c r="H38833" t="s">
        <v>34808</v>
      </c>
    </row>
    <row r="38834" spans="6:8">
      <c r="H38834" t="s">
        <v>34809</v>
      </c>
    </row>
    <row r="38835" spans="6:8">
      <c r="H38835" t="s">
        <v>34810</v>
      </c>
    </row>
    <row r="38836" spans="6:8">
      <c r="H38836" t="s">
        <v>34811</v>
      </c>
    </row>
    <row r="38837" spans="6:8">
      <c r="H38837" t="s">
        <v>34812</v>
      </c>
    </row>
    <row r="38838" spans="6:8">
      <c r="H38838" t="s">
        <v>34813</v>
      </c>
    </row>
    <row r="38839" spans="6:8">
      <c r="F38839" t="s">
        <v>13976</v>
      </c>
      <c r="G38839" t="s">
        <v>18001</v>
      </c>
      <c r="H38839" t="s">
        <v>18829</v>
      </c>
    </row>
    <row r="38840" spans="6:8">
      <c r="H38840" t="s">
        <v>18863</v>
      </c>
    </row>
    <row r="38841" spans="6:8">
      <c r="H38841" t="s">
        <v>34814</v>
      </c>
    </row>
    <row r="38842" spans="6:8">
      <c r="H38842" t="s">
        <v>34815</v>
      </c>
    </row>
    <row r="38843" spans="6:8">
      <c r="H38843" t="s">
        <v>34816</v>
      </c>
    </row>
    <row r="38844" spans="6:8">
      <c r="H38844" t="s">
        <v>34817</v>
      </c>
    </row>
    <row r="38845" spans="6:8">
      <c r="H38845" t="s">
        <v>34818</v>
      </c>
    </row>
    <row r="38846" spans="6:8">
      <c r="H38846" t="s">
        <v>34819</v>
      </c>
    </row>
    <row r="38847" spans="6:8">
      <c r="H38847" t="s">
        <v>34820</v>
      </c>
    </row>
    <row r="38848" spans="6:8">
      <c r="H38848" t="s">
        <v>34821</v>
      </c>
    </row>
    <row r="38849" spans="6:8">
      <c r="H38849" t="s">
        <v>34822</v>
      </c>
    </row>
    <row r="38850" spans="6:8">
      <c r="F38850" t="s">
        <v>13977</v>
      </c>
      <c r="G38850" t="s">
        <v>18002</v>
      </c>
      <c r="H38850" t="s">
        <v>34823</v>
      </c>
    </row>
    <row r="38851" spans="6:8">
      <c r="H38851" t="s">
        <v>18930</v>
      </c>
    </row>
    <row r="38852" spans="6:8">
      <c r="H38852" t="s">
        <v>19372</v>
      </c>
    </row>
    <row r="38853" spans="6:8">
      <c r="H38853" t="s">
        <v>34824</v>
      </c>
    </row>
    <row r="38854" spans="6:8">
      <c r="H38854" t="s">
        <v>34825</v>
      </c>
    </row>
    <row r="38855" spans="6:8">
      <c r="H38855" t="s">
        <v>34826</v>
      </c>
    </row>
    <row r="38856" spans="6:8">
      <c r="H38856" t="s">
        <v>34827</v>
      </c>
    </row>
    <row r="38857" spans="6:8">
      <c r="H38857" t="s">
        <v>31669</v>
      </c>
    </row>
    <row r="38858" spans="6:8">
      <c r="H38858" t="s">
        <v>32387</v>
      </c>
    </row>
    <row r="38859" spans="6:8">
      <c r="H38859" t="s">
        <v>34828</v>
      </c>
    </row>
    <row r="38860" spans="6:8">
      <c r="H38860" t="s">
        <v>31986</v>
      </c>
    </row>
    <row r="38861" spans="6:8">
      <c r="H38861" t="s">
        <v>34829</v>
      </c>
    </row>
    <row r="38862" spans="6:8">
      <c r="H38862" t="s">
        <v>34830</v>
      </c>
    </row>
    <row r="38863" spans="6:8">
      <c r="H38863" t="s">
        <v>34831</v>
      </c>
    </row>
    <row r="38864" spans="6:8">
      <c r="H38864" t="s">
        <v>34832</v>
      </c>
    </row>
    <row r="38865" spans="6:8">
      <c r="H38865" t="s">
        <v>18829</v>
      </c>
    </row>
    <row r="38866" spans="6:8">
      <c r="H38866" t="s">
        <v>18863</v>
      </c>
    </row>
    <row r="38867" spans="6:8">
      <c r="H38867" t="s">
        <v>33907</v>
      </c>
    </row>
    <row r="38868" spans="6:8">
      <c r="H38868" t="s">
        <v>33908</v>
      </c>
    </row>
    <row r="38869" spans="6:8">
      <c r="F38869" t="s">
        <v>12416</v>
      </c>
      <c r="G38869" t="s">
        <v>16638</v>
      </c>
      <c r="H38869" t="s">
        <v>26496</v>
      </c>
    </row>
    <row r="38870" spans="6:8">
      <c r="H38870" t="s">
        <v>18829</v>
      </c>
    </row>
    <row r="38871" spans="6:8">
      <c r="H38871" t="s">
        <v>18863</v>
      </c>
    </row>
    <row r="38872" spans="6:8">
      <c r="H38872" t="s">
        <v>34833</v>
      </c>
    </row>
    <row r="38873" spans="6:8">
      <c r="H38873" t="s">
        <v>34834</v>
      </c>
    </row>
    <row r="38874" spans="6:8">
      <c r="H38874" t="s">
        <v>34835</v>
      </c>
    </row>
    <row r="38875" spans="6:8">
      <c r="H38875" t="s">
        <v>29215</v>
      </c>
    </row>
    <row r="38876" spans="6:8">
      <c r="H38876" t="s">
        <v>27130</v>
      </c>
    </row>
    <row r="38877" spans="6:8">
      <c r="H38877" t="s">
        <v>34836</v>
      </c>
    </row>
    <row r="38878" spans="6:8">
      <c r="H38878" t="s">
        <v>34837</v>
      </c>
    </row>
    <row r="38879" spans="6:8">
      <c r="H38879" t="s">
        <v>34838</v>
      </c>
    </row>
    <row r="38880" spans="6:8">
      <c r="H38880" t="s">
        <v>34839</v>
      </c>
    </row>
    <row r="38881" spans="8:8">
      <c r="H38881" t="s">
        <v>34840</v>
      </c>
    </row>
    <row r="38882" spans="8:8">
      <c r="H38882" t="s">
        <v>34841</v>
      </c>
    </row>
    <row r="38883" spans="8:8">
      <c r="H38883" t="s">
        <v>34842</v>
      </c>
    </row>
    <row r="38884" spans="8:8">
      <c r="H38884" t="s">
        <v>34843</v>
      </c>
    </row>
    <row r="38885" spans="8:8">
      <c r="H38885" t="s">
        <v>34844</v>
      </c>
    </row>
    <row r="38886" spans="8:8">
      <c r="H38886" t="s">
        <v>34845</v>
      </c>
    </row>
    <row r="38887" spans="8:8">
      <c r="H38887" t="s">
        <v>34846</v>
      </c>
    </row>
    <row r="38888" spans="8:8">
      <c r="H38888" t="s">
        <v>34847</v>
      </c>
    </row>
    <row r="38889" spans="8:8">
      <c r="H38889" t="s">
        <v>31500</v>
      </c>
    </row>
    <row r="38890" spans="8:8">
      <c r="H38890" t="s">
        <v>34848</v>
      </c>
    </row>
    <row r="38891" spans="8:8">
      <c r="H38891" t="s">
        <v>34051</v>
      </c>
    </row>
    <row r="38892" spans="8:8">
      <c r="H38892" t="s">
        <v>34052</v>
      </c>
    </row>
    <row r="38893" spans="8:8">
      <c r="H38893" t="s">
        <v>34849</v>
      </c>
    </row>
    <row r="38894" spans="8:8">
      <c r="H38894" t="s">
        <v>34850</v>
      </c>
    </row>
    <row r="38895" spans="8:8">
      <c r="H38895" t="s">
        <v>34851</v>
      </c>
    </row>
    <row r="38896" spans="8:8">
      <c r="H38896" t="s">
        <v>26751</v>
      </c>
    </row>
    <row r="38897" spans="8:8">
      <c r="H38897" t="s">
        <v>34852</v>
      </c>
    </row>
    <row r="38898" spans="8:8">
      <c r="H38898" t="s">
        <v>34853</v>
      </c>
    </row>
    <row r="38899" spans="8:8">
      <c r="H38899" t="s">
        <v>34854</v>
      </c>
    </row>
    <row r="38900" spans="8:8">
      <c r="H38900" t="s">
        <v>34855</v>
      </c>
    </row>
    <row r="38901" spans="8:8">
      <c r="H38901" t="s">
        <v>34856</v>
      </c>
    </row>
    <row r="38902" spans="8:8">
      <c r="H38902" t="s">
        <v>34857</v>
      </c>
    </row>
    <row r="38903" spans="8:8">
      <c r="H38903" t="s">
        <v>34858</v>
      </c>
    </row>
    <row r="38904" spans="8:8">
      <c r="H38904" t="s">
        <v>34859</v>
      </c>
    </row>
    <row r="38905" spans="8:8">
      <c r="H38905" t="s">
        <v>34860</v>
      </c>
    </row>
    <row r="38906" spans="8:8">
      <c r="H38906" t="s">
        <v>34861</v>
      </c>
    </row>
    <row r="38907" spans="8:8">
      <c r="H38907" t="s">
        <v>34862</v>
      </c>
    </row>
    <row r="38908" spans="8:8">
      <c r="H38908" t="s">
        <v>34863</v>
      </c>
    </row>
    <row r="38909" spans="8:8">
      <c r="H38909" t="s">
        <v>34864</v>
      </c>
    </row>
    <row r="38910" spans="8:8">
      <c r="H38910" t="s">
        <v>34865</v>
      </c>
    </row>
    <row r="38911" spans="8:8">
      <c r="H38911" t="s">
        <v>34866</v>
      </c>
    </row>
    <row r="38912" spans="8:8">
      <c r="H38912" t="s">
        <v>34866</v>
      </c>
    </row>
    <row r="38913" spans="6:8">
      <c r="H38913" t="s">
        <v>34867</v>
      </c>
    </row>
    <row r="38914" spans="6:8">
      <c r="H38914" t="s">
        <v>34868</v>
      </c>
    </row>
    <row r="38915" spans="6:8">
      <c r="H38915" t="s">
        <v>34869</v>
      </c>
    </row>
    <row r="38916" spans="6:8">
      <c r="H38916" t="s">
        <v>19019</v>
      </c>
    </row>
    <row r="38917" spans="6:8">
      <c r="H38917" t="s">
        <v>34870</v>
      </c>
    </row>
    <row r="38918" spans="6:8">
      <c r="H38918" t="s">
        <v>32277</v>
      </c>
    </row>
    <row r="38919" spans="6:8">
      <c r="H38919" t="s">
        <v>19019</v>
      </c>
    </row>
    <row r="38920" spans="6:8">
      <c r="H38920" t="s">
        <v>24966</v>
      </c>
    </row>
    <row r="38921" spans="6:8">
      <c r="F38921" t="s">
        <v>14304</v>
      </c>
      <c r="G38921" t="s">
        <v>18262</v>
      </c>
      <c r="H38921" t="s">
        <v>20244</v>
      </c>
    </row>
    <row r="38922" spans="6:8">
      <c r="H38922" t="s">
        <v>19233</v>
      </c>
    </row>
    <row r="38923" spans="6:8">
      <c r="H38923" t="s">
        <v>18829</v>
      </c>
    </row>
    <row r="38924" spans="6:8">
      <c r="H38924" t="s">
        <v>34871</v>
      </c>
    </row>
    <row r="38925" spans="6:8">
      <c r="H38925" t="s">
        <v>25643</v>
      </c>
    </row>
    <row r="38926" spans="6:8">
      <c r="H38926" t="s">
        <v>31039</v>
      </c>
    </row>
    <row r="38927" spans="6:8">
      <c r="H38927" t="s">
        <v>34872</v>
      </c>
    </row>
    <row r="38928" spans="6:8">
      <c r="H38928" t="s">
        <v>34873</v>
      </c>
    </row>
    <row r="38929" spans="6:8">
      <c r="H38929" t="s">
        <v>34874</v>
      </c>
    </row>
    <row r="38930" spans="6:8">
      <c r="H38930" t="s">
        <v>34875</v>
      </c>
    </row>
    <row r="38931" spans="6:8">
      <c r="H38931" t="s">
        <v>31037</v>
      </c>
    </row>
    <row r="38932" spans="6:8">
      <c r="F38932" t="s">
        <v>13941</v>
      </c>
      <c r="G38932" t="s">
        <v>17972</v>
      </c>
      <c r="H38932" t="s">
        <v>18829</v>
      </c>
    </row>
    <row r="38933" spans="6:8">
      <c r="H38933" t="s">
        <v>32340</v>
      </c>
    </row>
    <row r="38934" spans="6:8">
      <c r="H38934" t="s">
        <v>32342</v>
      </c>
    </row>
    <row r="38935" spans="6:8">
      <c r="H38935" t="s">
        <v>32341</v>
      </c>
    </row>
    <row r="38936" spans="6:8">
      <c r="H38936" t="s">
        <v>32343</v>
      </c>
    </row>
    <row r="38937" spans="6:8">
      <c r="F38937" t="s">
        <v>14305</v>
      </c>
      <c r="G38937" t="s">
        <v>18005</v>
      </c>
      <c r="H38937" t="s">
        <v>19981</v>
      </c>
    </row>
    <row r="38938" spans="6:8">
      <c r="H38938" t="s">
        <v>34876</v>
      </c>
    </row>
    <row r="38939" spans="6:8">
      <c r="H38939" t="s">
        <v>34877</v>
      </c>
    </row>
    <row r="38940" spans="6:8">
      <c r="H38940" t="s">
        <v>34878</v>
      </c>
    </row>
    <row r="38941" spans="6:8">
      <c r="H38941" t="s">
        <v>34879</v>
      </c>
    </row>
    <row r="38942" spans="6:8">
      <c r="F38942" t="s">
        <v>14234</v>
      </c>
      <c r="G38942" t="s">
        <v>18204</v>
      </c>
      <c r="H38942" t="s">
        <v>18829</v>
      </c>
    </row>
    <row r="38943" spans="6:8">
      <c r="H38943" t="s">
        <v>18863</v>
      </c>
    </row>
    <row r="38944" spans="6:8">
      <c r="H38944" t="s">
        <v>34880</v>
      </c>
    </row>
    <row r="38945" spans="8:8">
      <c r="H38945" t="s">
        <v>34881</v>
      </c>
    </row>
    <row r="38946" spans="8:8">
      <c r="H38946" t="s">
        <v>34882</v>
      </c>
    </row>
    <row r="38947" spans="8:8">
      <c r="H38947" t="s">
        <v>34883</v>
      </c>
    </row>
    <row r="38948" spans="8:8">
      <c r="H38948" t="s">
        <v>34884</v>
      </c>
    </row>
    <row r="38949" spans="8:8">
      <c r="H38949" t="s">
        <v>34885</v>
      </c>
    </row>
    <row r="38950" spans="8:8">
      <c r="H38950" t="s">
        <v>34886</v>
      </c>
    </row>
    <row r="38951" spans="8:8">
      <c r="H38951" t="s">
        <v>34887</v>
      </c>
    </row>
    <row r="38952" spans="8:8">
      <c r="H38952" t="s">
        <v>34888</v>
      </c>
    </row>
    <row r="38953" spans="8:8">
      <c r="H38953" t="s">
        <v>34889</v>
      </c>
    </row>
    <row r="38954" spans="8:8">
      <c r="H38954" t="s">
        <v>34890</v>
      </c>
    </row>
    <row r="38955" spans="8:8">
      <c r="H38955" t="s">
        <v>34891</v>
      </c>
    </row>
    <row r="38956" spans="8:8">
      <c r="H38956" t="s">
        <v>34891</v>
      </c>
    </row>
    <row r="38957" spans="8:8">
      <c r="H38957" t="s">
        <v>34892</v>
      </c>
    </row>
    <row r="38958" spans="8:8">
      <c r="H38958" t="s">
        <v>34893</v>
      </c>
    </row>
    <row r="38959" spans="8:8">
      <c r="H38959" t="s">
        <v>34894</v>
      </c>
    </row>
    <row r="38960" spans="8:8">
      <c r="H38960" t="s">
        <v>34895</v>
      </c>
    </row>
    <row r="38961" spans="6:8">
      <c r="H38961" t="s">
        <v>34896</v>
      </c>
    </row>
    <row r="38962" spans="6:8">
      <c r="H38962" t="s">
        <v>34897</v>
      </c>
    </row>
    <row r="38963" spans="6:8">
      <c r="H38963" t="s">
        <v>34898</v>
      </c>
    </row>
    <row r="38964" spans="6:8">
      <c r="H38964" t="s">
        <v>34899</v>
      </c>
    </row>
    <row r="38965" spans="6:8">
      <c r="H38965" t="s">
        <v>34900</v>
      </c>
    </row>
    <row r="38966" spans="6:8">
      <c r="H38966" t="s">
        <v>34900</v>
      </c>
    </row>
    <row r="38967" spans="6:8">
      <c r="H38967" t="s">
        <v>34901</v>
      </c>
    </row>
    <row r="38968" spans="6:8">
      <c r="H38968" t="s">
        <v>34902</v>
      </c>
    </row>
    <row r="38969" spans="6:8">
      <c r="H38969" t="s">
        <v>34020</v>
      </c>
    </row>
    <row r="38970" spans="6:8">
      <c r="H38970" t="s">
        <v>34903</v>
      </c>
    </row>
    <row r="38971" spans="6:8">
      <c r="H38971" t="s">
        <v>19019</v>
      </c>
    </row>
    <row r="38972" spans="6:8">
      <c r="H38972" t="s">
        <v>34904</v>
      </c>
    </row>
    <row r="38973" spans="6:8">
      <c r="F38973" t="s">
        <v>10700</v>
      </c>
      <c r="G38973" t="s">
        <v>15100</v>
      </c>
      <c r="H38973" t="s">
        <v>18829</v>
      </c>
    </row>
    <row r="38974" spans="6:8">
      <c r="H38974" t="s">
        <v>18863</v>
      </c>
    </row>
    <row r="38975" spans="6:8">
      <c r="H38975" t="s">
        <v>34905</v>
      </c>
    </row>
    <row r="38976" spans="6:8">
      <c r="H38976" t="s">
        <v>34906</v>
      </c>
    </row>
    <row r="38977" spans="8:8">
      <c r="H38977" t="s">
        <v>22508</v>
      </c>
    </row>
    <row r="38978" spans="8:8">
      <c r="H38978" t="s">
        <v>34907</v>
      </c>
    </row>
    <row r="38979" spans="8:8">
      <c r="H38979" t="s">
        <v>34908</v>
      </c>
    </row>
    <row r="38980" spans="8:8">
      <c r="H38980" t="s">
        <v>34909</v>
      </c>
    </row>
    <row r="38981" spans="8:8">
      <c r="H38981" t="s">
        <v>34910</v>
      </c>
    </row>
    <row r="38982" spans="8:8">
      <c r="H38982" t="s">
        <v>34911</v>
      </c>
    </row>
    <row r="38983" spans="8:8">
      <c r="H38983" t="s">
        <v>34912</v>
      </c>
    </row>
    <row r="38984" spans="8:8">
      <c r="H38984" t="s">
        <v>34913</v>
      </c>
    </row>
    <row r="38985" spans="8:8">
      <c r="H38985" t="s">
        <v>34914</v>
      </c>
    </row>
    <row r="38986" spans="8:8">
      <c r="H38986" t="s">
        <v>34915</v>
      </c>
    </row>
    <row r="38987" spans="8:8">
      <c r="H38987" t="s">
        <v>34916</v>
      </c>
    </row>
    <row r="38988" spans="8:8">
      <c r="H38988" t="s">
        <v>34917</v>
      </c>
    </row>
    <row r="38989" spans="8:8">
      <c r="H38989" t="s">
        <v>25838</v>
      </c>
    </row>
    <row r="38990" spans="8:8">
      <c r="H38990" t="s">
        <v>34918</v>
      </c>
    </row>
    <row r="38991" spans="8:8">
      <c r="H38991" t="s">
        <v>34919</v>
      </c>
    </row>
    <row r="38992" spans="8:8">
      <c r="H38992" t="s">
        <v>34920</v>
      </c>
    </row>
    <row r="38993" spans="8:8">
      <c r="H38993" t="s">
        <v>25839</v>
      </c>
    </row>
    <row r="38994" spans="8:8">
      <c r="H38994" t="s">
        <v>27479</v>
      </c>
    </row>
    <row r="38995" spans="8:8">
      <c r="H38995" t="s">
        <v>32382</v>
      </c>
    </row>
    <row r="38996" spans="8:8">
      <c r="H38996" t="s">
        <v>34921</v>
      </c>
    </row>
    <row r="38997" spans="8:8">
      <c r="H38997" t="s">
        <v>34922</v>
      </c>
    </row>
    <row r="38998" spans="8:8">
      <c r="H38998" t="s">
        <v>34923</v>
      </c>
    </row>
    <row r="38999" spans="8:8">
      <c r="H38999" t="s">
        <v>34924</v>
      </c>
    </row>
    <row r="39000" spans="8:8">
      <c r="H39000" t="s">
        <v>34925</v>
      </c>
    </row>
    <row r="39001" spans="8:8">
      <c r="H39001" t="s">
        <v>34926</v>
      </c>
    </row>
    <row r="39002" spans="8:8">
      <c r="H39002" t="s">
        <v>34927</v>
      </c>
    </row>
    <row r="39003" spans="8:8">
      <c r="H39003" t="s">
        <v>34928</v>
      </c>
    </row>
    <row r="39004" spans="8:8">
      <c r="H39004" t="s">
        <v>34929</v>
      </c>
    </row>
    <row r="39005" spans="8:8">
      <c r="H39005" t="s">
        <v>34930</v>
      </c>
    </row>
    <row r="39006" spans="8:8">
      <c r="H39006" t="s">
        <v>34931</v>
      </c>
    </row>
    <row r="39007" spans="8:8">
      <c r="H39007" t="s">
        <v>34932</v>
      </c>
    </row>
    <row r="39008" spans="8:8">
      <c r="H39008" t="s">
        <v>34933</v>
      </c>
    </row>
    <row r="39009" spans="8:8">
      <c r="H39009" t="s">
        <v>34934</v>
      </c>
    </row>
    <row r="39010" spans="8:8">
      <c r="H39010" t="s">
        <v>34935</v>
      </c>
    </row>
    <row r="39011" spans="8:8">
      <c r="H39011" t="s">
        <v>34676</v>
      </c>
    </row>
    <row r="39012" spans="8:8">
      <c r="H39012" t="s">
        <v>34936</v>
      </c>
    </row>
    <row r="39013" spans="8:8">
      <c r="H39013" t="s">
        <v>34937</v>
      </c>
    </row>
    <row r="39014" spans="8:8">
      <c r="H39014" t="s">
        <v>34938</v>
      </c>
    </row>
    <row r="39015" spans="8:8">
      <c r="H39015" t="s">
        <v>19372</v>
      </c>
    </row>
    <row r="39016" spans="8:8">
      <c r="H39016" t="s">
        <v>18930</v>
      </c>
    </row>
    <row r="39017" spans="8:8">
      <c r="H39017" t="s">
        <v>34939</v>
      </c>
    </row>
    <row r="39018" spans="8:8">
      <c r="H39018" t="s">
        <v>34940</v>
      </c>
    </row>
    <row r="39019" spans="8:8">
      <c r="H39019" t="s">
        <v>20177</v>
      </c>
    </row>
    <row r="39020" spans="8:8">
      <c r="H39020" t="s">
        <v>33901</v>
      </c>
    </row>
    <row r="39021" spans="8:8">
      <c r="H39021" t="s">
        <v>34827</v>
      </c>
    </row>
    <row r="39022" spans="8:8">
      <c r="H39022" t="s">
        <v>34941</v>
      </c>
    </row>
    <row r="39023" spans="8:8">
      <c r="H39023" t="s">
        <v>34942</v>
      </c>
    </row>
    <row r="39024" spans="8:8">
      <c r="H39024" t="s">
        <v>34943</v>
      </c>
    </row>
    <row r="39025" spans="8:8">
      <c r="H39025" t="s">
        <v>34944</v>
      </c>
    </row>
    <row r="39026" spans="8:8">
      <c r="H39026" t="s">
        <v>34945</v>
      </c>
    </row>
    <row r="39027" spans="8:8">
      <c r="H39027" t="s">
        <v>34946</v>
      </c>
    </row>
    <row r="39028" spans="8:8">
      <c r="H39028" t="s">
        <v>34947</v>
      </c>
    </row>
    <row r="39029" spans="8:8">
      <c r="H39029" t="s">
        <v>34948</v>
      </c>
    </row>
    <row r="39030" spans="8:8">
      <c r="H39030" t="s">
        <v>34949</v>
      </c>
    </row>
    <row r="39031" spans="8:8">
      <c r="H39031" t="s">
        <v>34950</v>
      </c>
    </row>
    <row r="39032" spans="8:8">
      <c r="H39032" t="s">
        <v>34951</v>
      </c>
    </row>
    <row r="39033" spans="8:8">
      <c r="H39033" t="s">
        <v>34952</v>
      </c>
    </row>
    <row r="39034" spans="8:8">
      <c r="H39034" t="s">
        <v>34953</v>
      </c>
    </row>
    <row r="39035" spans="8:8">
      <c r="H39035" t="s">
        <v>34954</v>
      </c>
    </row>
    <row r="39036" spans="8:8">
      <c r="H39036" t="s">
        <v>34955</v>
      </c>
    </row>
    <row r="39037" spans="8:8">
      <c r="H39037" t="s">
        <v>34956</v>
      </c>
    </row>
    <row r="39038" spans="8:8">
      <c r="H39038" t="s">
        <v>34957</v>
      </c>
    </row>
    <row r="39039" spans="8:8">
      <c r="H39039" t="s">
        <v>34958</v>
      </c>
    </row>
    <row r="39040" spans="8:8">
      <c r="H39040" t="s">
        <v>34959</v>
      </c>
    </row>
    <row r="39041" spans="6:8">
      <c r="H39041" t="s">
        <v>34960</v>
      </c>
    </row>
    <row r="39042" spans="6:8">
      <c r="H39042" t="s">
        <v>34006</v>
      </c>
    </row>
    <row r="39043" spans="6:8">
      <c r="H39043" t="s">
        <v>34961</v>
      </c>
    </row>
    <row r="39044" spans="6:8">
      <c r="H39044" t="s">
        <v>34962</v>
      </c>
    </row>
    <row r="39045" spans="6:8">
      <c r="H39045" t="s">
        <v>34963</v>
      </c>
    </row>
    <row r="39046" spans="6:8">
      <c r="H39046" t="s">
        <v>31668</v>
      </c>
    </row>
    <row r="39047" spans="6:8">
      <c r="H39047" t="s">
        <v>32385</v>
      </c>
    </row>
    <row r="39048" spans="6:8">
      <c r="H39048" t="s">
        <v>34964</v>
      </c>
    </row>
    <row r="39049" spans="6:8">
      <c r="H39049" t="s">
        <v>34965</v>
      </c>
    </row>
    <row r="39050" spans="6:8">
      <c r="H39050" t="s">
        <v>34966</v>
      </c>
    </row>
    <row r="39051" spans="6:8">
      <c r="F39051" t="s">
        <v>14306</v>
      </c>
      <c r="G39051" t="s">
        <v>18263</v>
      </c>
      <c r="H39051" t="s">
        <v>34967</v>
      </c>
    </row>
    <row r="39052" spans="6:8">
      <c r="F39052" t="s">
        <v>13837</v>
      </c>
      <c r="G39052" t="s">
        <v>17880</v>
      </c>
      <c r="H39052" t="s">
        <v>18829</v>
      </c>
    </row>
    <row r="39053" spans="6:8">
      <c r="H39053" t="s">
        <v>18863</v>
      </c>
    </row>
    <row r="39054" spans="6:8">
      <c r="H39054" t="s">
        <v>34968</v>
      </c>
    </row>
    <row r="39055" spans="6:8">
      <c r="H39055" t="s">
        <v>34969</v>
      </c>
    </row>
    <row r="39056" spans="6:8">
      <c r="H39056" t="s">
        <v>27735</v>
      </c>
    </row>
    <row r="39057" spans="8:8">
      <c r="H39057" t="s">
        <v>34970</v>
      </c>
    </row>
    <row r="39058" spans="8:8">
      <c r="H39058" t="s">
        <v>34971</v>
      </c>
    </row>
    <row r="39059" spans="8:8">
      <c r="H39059" t="s">
        <v>34972</v>
      </c>
    </row>
    <row r="39060" spans="8:8">
      <c r="H39060" t="s">
        <v>34973</v>
      </c>
    </row>
    <row r="39061" spans="8:8">
      <c r="H39061" t="s">
        <v>34974</v>
      </c>
    </row>
    <row r="39062" spans="8:8">
      <c r="H39062" t="s">
        <v>34975</v>
      </c>
    </row>
    <row r="39063" spans="8:8">
      <c r="H39063" t="s">
        <v>34975</v>
      </c>
    </row>
    <row r="39064" spans="8:8">
      <c r="H39064" t="s">
        <v>31970</v>
      </c>
    </row>
    <row r="39065" spans="8:8">
      <c r="H39065" t="s">
        <v>31970</v>
      </c>
    </row>
    <row r="39066" spans="8:8">
      <c r="H39066" t="s">
        <v>34976</v>
      </c>
    </row>
    <row r="39067" spans="8:8">
      <c r="H39067" t="s">
        <v>31971</v>
      </c>
    </row>
    <row r="39068" spans="8:8">
      <c r="H39068" t="s">
        <v>20177</v>
      </c>
    </row>
    <row r="39069" spans="8:8">
      <c r="H39069" t="s">
        <v>31967</v>
      </c>
    </row>
    <row r="39070" spans="8:8">
      <c r="H39070" t="s">
        <v>34977</v>
      </c>
    </row>
    <row r="39071" spans="8:8">
      <c r="H39071" t="s">
        <v>34978</v>
      </c>
    </row>
    <row r="39072" spans="8:8">
      <c r="H39072" t="s">
        <v>34979</v>
      </c>
    </row>
    <row r="39073" spans="8:8">
      <c r="H39073" t="s">
        <v>31852</v>
      </c>
    </row>
    <row r="39074" spans="8:8">
      <c r="H39074" t="s">
        <v>34980</v>
      </c>
    </row>
    <row r="39075" spans="8:8">
      <c r="H39075" t="s">
        <v>34981</v>
      </c>
    </row>
    <row r="39076" spans="8:8">
      <c r="H39076" t="s">
        <v>34982</v>
      </c>
    </row>
    <row r="39077" spans="8:8">
      <c r="H39077" t="s">
        <v>34983</v>
      </c>
    </row>
    <row r="39078" spans="8:8">
      <c r="H39078" t="s">
        <v>34984</v>
      </c>
    </row>
    <row r="39079" spans="8:8">
      <c r="H39079" t="s">
        <v>34985</v>
      </c>
    </row>
    <row r="39080" spans="8:8">
      <c r="H39080" t="s">
        <v>34986</v>
      </c>
    </row>
    <row r="39081" spans="8:8">
      <c r="H39081" t="s">
        <v>34987</v>
      </c>
    </row>
    <row r="39082" spans="8:8">
      <c r="H39082" t="s">
        <v>34988</v>
      </c>
    </row>
    <row r="39083" spans="8:8">
      <c r="H39083" t="s">
        <v>34989</v>
      </c>
    </row>
    <row r="39084" spans="8:8">
      <c r="H39084" t="s">
        <v>34990</v>
      </c>
    </row>
    <row r="39085" spans="8:8">
      <c r="H39085" t="s">
        <v>34991</v>
      </c>
    </row>
    <row r="39086" spans="8:8">
      <c r="H39086" t="s">
        <v>34992</v>
      </c>
    </row>
    <row r="39087" spans="8:8">
      <c r="H39087" t="s">
        <v>34993</v>
      </c>
    </row>
    <row r="39088" spans="8:8">
      <c r="H39088" t="s">
        <v>34994</v>
      </c>
    </row>
    <row r="39089" spans="8:8">
      <c r="H39089" t="s">
        <v>34995</v>
      </c>
    </row>
    <row r="39090" spans="8:8">
      <c r="H39090" t="s">
        <v>34996</v>
      </c>
    </row>
    <row r="39091" spans="8:8">
      <c r="H39091" t="s">
        <v>34997</v>
      </c>
    </row>
    <row r="39092" spans="8:8">
      <c r="H39092" t="s">
        <v>31970</v>
      </c>
    </row>
    <row r="39093" spans="8:8">
      <c r="H39093" t="s">
        <v>34976</v>
      </c>
    </row>
    <row r="39094" spans="8:8">
      <c r="H39094" t="s">
        <v>34998</v>
      </c>
    </row>
    <row r="39095" spans="8:8">
      <c r="H39095" t="s">
        <v>34999</v>
      </c>
    </row>
    <row r="39096" spans="8:8">
      <c r="H39096" t="s">
        <v>35000</v>
      </c>
    </row>
    <row r="39097" spans="8:8">
      <c r="H39097" t="s">
        <v>35001</v>
      </c>
    </row>
    <row r="39098" spans="8:8">
      <c r="H39098" t="s">
        <v>31971</v>
      </c>
    </row>
    <row r="39099" spans="8:8">
      <c r="H39099" t="s">
        <v>20177</v>
      </c>
    </row>
    <row r="39100" spans="8:8">
      <c r="H39100" t="s">
        <v>35002</v>
      </c>
    </row>
    <row r="39101" spans="8:8">
      <c r="H39101" t="s">
        <v>35003</v>
      </c>
    </row>
    <row r="39102" spans="8:8">
      <c r="H39102" t="s">
        <v>35004</v>
      </c>
    </row>
    <row r="39103" spans="8:8">
      <c r="H39103" t="s">
        <v>35005</v>
      </c>
    </row>
    <row r="39104" spans="8:8">
      <c r="H39104" t="s">
        <v>35006</v>
      </c>
    </row>
    <row r="39105" spans="6:8">
      <c r="H39105" t="s">
        <v>35007</v>
      </c>
    </row>
    <row r="39106" spans="6:8">
      <c r="H39106" t="s">
        <v>35008</v>
      </c>
    </row>
    <row r="39107" spans="6:8">
      <c r="H39107" t="s">
        <v>35009</v>
      </c>
    </row>
    <row r="39108" spans="6:8">
      <c r="H39108" t="s">
        <v>35010</v>
      </c>
    </row>
    <row r="39109" spans="6:8">
      <c r="H39109" t="s">
        <v>35011</v>
      </c>
    </row>
    <row r="39110" spans="6:8">
      <c r="H39110" t="s">
        <v>35012</v>
      </c>
    </row>
    <row r="39111" spans="6:8">
      <c r="H39111" t="s">
        <v>35013</v>
      </c>
    </row>
    <row r="39112" spans="6:8">
      <c r="H39112" t="s">
        <v>35014</v>
      </c>
    </row>
    <row r="39113" spans="6:8">
      <c r="H39113" t="s">
        <v>35015</v>
      </c>
    </row>
    <row r="39114" spans="6:8">
      <c r="F39114" t="s">
        <v>12201</v>
      </c>
      <c r="G39114" t="s">
        <v>16439</v>
      </c>
      <c r="H39114" t="s">
        <v>18829</v>
      </c>
    </row>
    <row r="39115" spans="6:8">
      <c r="H39115" t="s">
        <v>21327</v>
      </c>
    </row>
    <row r="39116" spans="6:8">
      <c r="H39116" t="s">
        <v>21328</v>
      </c>
    </row>
    <row r="39117" spans="6:8">
      <c r="H39117" t="s">
        <v>35016</v>
      </c>
    </row>
    <row r="39118" spans="6:8">
      <c r="H39118" t="s">
        <v>35017</v>
      </c>
    </row>
    <row r="39119" spans="6:8">
      <c r="F39119" t="s">
        <v>14222</v>
      </c>
      <c r="G39119" t="s">
        <v>18195</v>
      </c>
      <c r="H39119" t="s">
        <v>35018</v>
      </c>
    </row>
    <row r="39120" spans="6:8">
      <c r="H39120" t="s">
        <v>18863</v>
      </c>
    </row>
    <row r="39121" spans="8:8">
      <c r="H39121" t="s">
        <v>34106</v>
      </c>
    </row>
    <row r="39122" spans="8:8">
      <c r="H39122" t="s">
        <v>35019</v>
      </c>
    </row>
    <row r="39123" spans="8:8">
      <c r="H39123" t="s">
        <v>35020</v>
      </c>
    </row>
    <row r="39124" spans="8:8">
      <c r="H39124" t="s">
        <v>35020</v>
      </c>
    </row>
    <row r="39125" spans="8:8">
      <c r="H39125" t="s">
        <v>35021</v>
      </c>
    </row>
    <row r="39126" spans="8:8">
      <c r="H39126" t="s">
        <v>35022</v>
      </c>
    </row>
    <row r="39127" spans="8:8">
      <c r="H39127" t="s">
        <v>35023</v>
      </c>
    </row>
    <row r="39128" spans="8:8">
      <c r="H39128" t="s">
        <v>35024</v>
      </c>
    </row>
    <row r="39129" spans="8:8">
      <c r="H39129" t="s">
        <v>35025</v>
      </c>
    </row>
    <row r="39130" spans="8:8">
      <c r="H39130" t="s">
        <v>35026</v>
      </c>
    </row>
    <row r="39131" spans="8:8">
      <c r="H39131" t="s">
        <v>35027</v>
      </c>
    </row>
    <row r="39132" spans="8:8">
      <c r="H39132" t="s">
        <v>35028</v>
      </c>
    </row>
    <row r="39133" spans="8:8">
      <c r="H39133" t="s">
        <v>35029</v>
      </c>
    </row>
    <row r="39134" spans="8:8">
      <c r="H39134" t="s">
        <v>35030</v>
      </c>
    </row>
    <row r="39135" spans="8:8">
      <c r="H39135" t="s">
        <v>35031</v>
      </c>
    </row>
    <row r="39136" spans="8:8">
      <c r="H39136" t="s">
        <v>35032</v>
      </c>
    </row>
    <row r="39137" spans="6:8">
      <c r="H39137" t="s">
        <v>35033</v>
      </c>
    </row>
    <row r="39138" spans="6:8">
      <c r="H39138" t="s">
        <v>35034</v>
      </c>
    </row>
    <row r="39139" spans="6:8">
      <c r="H39139" t="s">
        <v>35035</v>
      </c>
    </row>
    <row r="39140" spans="6:8">
      <c r="H39140" t="s">
        <v>35036</v>
      </c>
    </row>
    <row r="39141" spans="6:8">
      <c r="H39141" t="s">
        <v>35037</v>
      </c>
    </row>
    <row r="39142" spans="6:8">
      <c r="H39142" t="s">
        <v>35038</v>
      </c>
    </row>
    <row r="39143" spans="6:8">
      <c r="H39143" t="s">
        <v>35039</v>
      </c>
    </row>
    <row r="39144" spans="6:8">
      <c r="F39144" t="s">
        <v>14307</v>
      </c>
      <c r="G39144" t="s">
        <v>18264</v>
      </c>
      <c r="H39144" t="s">
        <v>35040</v>
      </c>
    </row>
    <row r="39145" spans="6:8">
      <c r="H39145" t="s">
        <v>35041</v>
      </c>
    </row>
    <row r="39146" spans="6:8">
      <c r="H39146" t="s">
        <v>35042</v>
      </c>
    </row>
    <row r="39147" spans="6:8">
      <c r="H39147" t="s">
        <v>35043</v>
      </c>
    </row>
    <row r="39148" spans="6:8">
      <c r="H39148" t="s">
        <v>35044</v>
      </c>
    </row>
    <row r="39149" spans="6:8">
      <c r="H39149" t="s">
        <v>35045</v>
      </c>
    </row>
    <row r="39150" spans="6:8">
      <c r="H39150" t="s">
        <v>35046</v>
      </c>
    </row>
    <row r="39151" spans="6:8">
      <c r="H39151" t="s">
        <v>35047</v>
      </c>
    </row>
    <row r="39152" spans="6:8">
      <c r="F39152" t="s">
        <v>14159</v>
      </c>
      <c r="G39152" t="s">
        <v>18145</v>
      </c>
      <c r="H39152" t="s">
        <v>18829</v>
      </c>
    </row>
    <row r="39153" spans="6:8">
      <c r="H39153" t="s">
        <v>18836</v>
      </c>
    </row>
    <row r="39154" spans="6:8">
      <c r="H39154" t="s">
        <v>35048</v>
      </c>
    </row>
    <row r="39155" spans="6:8">
      <c r="H39155" t="s">
        <v>35049</v>
      </c>
    </row>
    <row r="39156" spans="6:8">
      <c r="H39156" t="s">
        <v>35050</v>
      </c>
    </row>
    <row r="39157" spans="6:8">
      <c r="F39157" t="s">
        <v>14308</v>
      </c>
      <c r="G39157" t="s">
        <v>18265</v>
      </c>
      <c r="H39157" t="s">
        <v>18829</v>
      </c>
    </row>
    <row r="39158" spans="6:8">
      <c r="H39158" t="s">
        <v>26408</v>
      </c>
    </row>
    <row r="39159" spans="6:8">
      <c r="H39159" t="s">
        <v>30464</v>
      </c>
    </row>
    <row r="39160" spans="6:8">
      <c r="H39160" t="s">
        <v>30466</v>
      </c>
    </row>
    <row r="39161" spans="6:8">
      <c r="H39161" t="s">
        <v>35051</v>
      </c>
    </row>
    <row r="39162" spans="6:8">
      <c r="H39162" t="s">
        <v>35052</v>
      </c>
    </row>
    <row r="39163" spans="6:8">
      <c r="H39163" t="s">
        <v>35053</v>
      </c>
    </row>
    <row r="39164" spans="6:8">
      <c r="H39164" t="s">
        <v>30466</v>
      </c>
    </row>
    <row r="39165" spans="6:8">
      <c r="H39165" t="s">
        <v>25704</v>
      </c>
    </row>
    <row r="39166" spans="6:8">
      <c r="H39166" t="s">
        <v>35054</v>
      </c>
    </row>
    <row r="39167" spans="6:8">
      <c r="H39167" t="s">
        <v>35055</v>
      </c>
    </row>
    <row r="39168" spans="6:8">
      <c r="H39168" t="s">
        <v>35056</v>
      </c>
    </row>
    <row r="39169" spans="8:8">
      <c r="H39169" t="s">
        <v>35057</v>
      </c>
    </row>
    <row r="39170" spans="8:8">
      <c r="H39170" t="s">
        <v>35058</v>
      </c>
    </row>
    <row r="39171" spans="8:8">
      <c r="H39171" t="s">
        <v>35059</v>
      </c>
    </row>
    <row r="39172" spans="8:8">
      <c r="H39172" t="s">
        <v>35059</v>
      </c>
    </row>
    <row r="39173" spans="8:8">
      <c r="H39173" t="s">
        <v>35052</v>
      </c>
    </row>
    <row r="39174" spans="8:8">
      <c r="H39174" t="s">
        <v>35058</v>
      </c>
    </row>
    <row r="39175" spans="8:8">
      <c r="H39175" t="s">
        <v>30466</v>
      </c>
    </row>
    <row r="39176" spans="8:8">
      <c r="H39176" t="s">
        <v>25704</v>
      </c>
    </row>
    <row r="39177" spans="8:8">
      <c r="H39177" t="s">
        <v>35053</v>
      </c>
    </row>
    <row r="39178" spans="8:8">
      <c r="H39178" t="s">
        <v>35054</v>
      </c>
    </row>
    <row r="39179" spans="8:8">
      <c r="H39179" t="s">
        <v>35055</v>
      </c>
    </row>
    <row r="39180" spans="8:8">
      <c r="H39180" t="s">
        <v>35060</v>
      </c>
    </row>
    <row r="39181" spans="8:8">
      <c r="H39181" t="s">
        <v>35052</v>
      </c>
    </row>
    <row r="39182" spans="8:8">
      <c r="H39182" t="s">
        <v>35053</v>
      </c>
    </row>
    <row r="39183" spans="8:8">
      <c r="H39183" t="s">
        <v>30466</v>
      </c>
    </row>
    <row r="39184" spans="8:8">
      <c r="H39184" t="s">
        <v>25704</v>
      </c>
    </row>
    <row r="39185" spans="8:8">
      <c r="H39185" t="s">
        <v>35054</v>
      </c>
    </row>
    <row r="39186" spans="8:8">
      <c r="H39186" t="s">
        <v>35055</v>
      </c>
    </row>
    <row r="39187" spans="8:8">
      <c r="H39187" t="s">
        <v>35061</v>
      </c>
    </row>
    <row r="39188" spans="8:8">
      <c r="H39188" t="s">
        <v>35062</v>
      </c>
    </row>
    <row r="39189" spans="8:8">
      <c r="H39189" t="s">
        <v>35063</v>
      </c>
    </row>
    <row r="39190" spans="8:8">
      <c r="H39190" t="s">
        <v>35064</v>
      </c>
    </row>
    <row r="39191" spans="8:8">
      <c r="H39191" t="s">
        <v>35065</v>
      </c>
    </row>
    <row r="39192" spans="8:8">
      <c r="H39192" t="s">
        <v>35066</v>
      </c>
    </row>
    <row r="39193" spans="8:8">
      <c r="H39193" t="s">
        <v>35067</v>
      </c>
    </row>
    <row r="39194" spans="8:8">
      <c r="H39194" t="s">
        <v>35068</v>
      </c>
    </row>
    <row r="39195" spans="8:8">
      <c r="H39195" t="s">
        <v>30465</v>
      </c>
    </row>
    <row r="39196" spans="8:8">
      <c r="H39196" t="s">
        <v>35069</v>
      </c>
    </row>
    <row r="39197" spans="8:8">
      <c r="H39197" t="s">
        <v>35070</v>
      </c>
    </row>
    <row r="39198" spans="8:8">
      <c r="H39198" t="s">
        <v>35071</v>
      </c>
    </row>
    <row r="39199" spans="8:8">
      <c r="H39199" t="s">
        <v>35072</v>
      </c>
    </row>
    <row r="39200" spans="8:8">
      <c r="H39200" t="s">
        <v>35073</v>
      </c>
    </row>
    <row r="39201" spans="6:8">
      <c r="H39201" t="s">
        <v>35074</v>
      </c>
    </row>
    <row r="39202" spans="6:8">
      <c r="H39202" t="s">
        <v>35075</v>
      </c>
    </row>
    <row r="39203" spans="6:8">
      <c r="F39203" t="s">
        <v>13309</v>
      </c>
      <c r="G39203" t="s">
        <v>17442</v>
      </c>
      <c r="H39203" t="s">
        <v>29102</v>
      </c>
    </row>
    <row r="39204" spans="6:8">
      <c r="H39204" t="s">
        <v>35076</v>
      </c>
    </row>
    <row r="39205" spans="6:8">
      <c r="H39205" t="s">
        <v>35077</v>
      </c>
    </row>
    <row r="39206" spans="6:8">
      <c r="H39206" t="s">
        <v>35078</v>
      </c>
    </row>
    <row r="39207" spans="6:8">
      <c r="H39207" t="s">
        <v>35079</v>
      </c>
    </row>
    <row r="39208" spans="6:8">
      <c r="H39208" t="s">
        <v>29103</v>
      </c>
    </row>
    <row r="39209" spans="6:8">
      <c r="H39209" t="s">
        <v>35080</v>
      </c>
    </row>
    <row r="39210" spans="6:8">
      <c r="H39210" t="s">
        <v>35081</v>
      </c>
    </row>
    <row r="39211" spans="6:8">
      <c r="H39211" t="s">
        <v>35082</v>
      </c>
    </row>
    <row r="39212" spans="6:8">
      <c r="H39212" t="s">
        <v>35083</v>
      </c>
    </row>
    <row r="39213" spans="6:8">
      <c r="H39213" t="s">
        <v>35084</v>
      </c>
    </row>
    <row r="39214" spans="6:8">
      <c r="H39214" t="s">
        <v>35085</v>
      </c>
    </row>
    <row r="39215" spans="6:8">
      <c r="H39215" t="s">
        <v>35086</v>
      </c>
    </row>
    <row r="39216" spans="6:8">
      <c r="H39216" t="s">
        <v>35087</v>
      </c>
    </row>
    <row r="39217" spans="8:8">
      <c r="H39217" t="s">
        <v>35088</v>
      </c>
    </row>
    <row r="39218" spans="8:8">
      <c r="H39218" t="s">
        <v>35089</v>
      </c>
    </row>
    <row r="39219" spans="8:8">
      <c r="H39219" t="s">
        <v>35090</v>
      </c>
    </row>
    <row r="39220" spans="8:8">
      <c r="H39220" t="s">
        <v>35091</v>
      </c>
    </row>
    <row r="39221" spans="8:8">
      <c r="H39221" t="s">
        <v>35092</v>
      </c>
    </row>
    <row r="39222" spans="8:8">
      <c r="H39222" t="s">
        <v>35093</v>
      </c>
    </row>
    <row r="39223" spans="8:8">
      <c r="H39223" t="s">
        <v>35094</v>
      </c>
    </row>
    <row r="39224" spans="8:8">
      <c r="H39224" t="s">
        <v>35095</v>
      </c>
    </row>
    <row r="39225" spans="8:8">
      <c r="H39225" t="s">
        <v>35096</v>
      </c>
    </row>
    <row r="39226" spans="8:8">
      <c r="H39226" t="s">
        <v>35097</v>
      </c>
    </row>
    <row r="39227" spans="8:8">
      <c r="H39227" t="s">
        <v>35098</v>
      </c>
    </row>
    <row r="39228" spans="8:8">
      <c r="H39228" t="s">
        <v>35099</v>
      </c>
    </row>
    <row r="39229" spans="8:8">
      <c r="H39229" t="s">
        <v>35100</v>
      </c>
    </row>
    <row r="39230" spans="8:8">
      <c r="H39230" t="s">
        <v>35101</v>
      </c>
    </row>
    <row r="39231" spans="8:8">
      <c r="H39231" t="s">
        <v>35102</v>
      </c>
    </row>
    <row r="39232" spans="8:8">
      <c r="H39232" t="s">
        <v>35103</v>
      </c>
    </row>
    <row r="39233" spans="8:8">
      <c r="H39233" t="s">
        <v>35104</v>
      </c>
    </row>
    <row r="39234" spans="8:8">
      <c r="H39234" t="s">
        <v>35105</v>
      </c>
    </row>
    <row r="39235" spans="8:8">
      <c r="H39235" t="s">
        <v>35106</v>
      </c>
    </row>
    <row r="39236" spans="8:8">
      <c r="H39236" t="s">
        <v>35107</v>
      </c>
    </row>
    <row r="39237" spans="8:8">
      <c r="H39237" t="s">
        <v>35108</v>
      </c>
    </row>
    <row r="39238" spans="8:8">
      <c r="H39238" t="s">
        <v>35109</v>
      </c>
    </row>
    <row r="39239" spans="8:8">
      <c r="H39239" t="s">
        <v>35110</v>
      </c>
    </row>
    <row r="39240" spans="8:8">
      <c r="H39240" t="s">
        <v>35111</v>
      </c>
    </row>
    <row r="39241" spans="8:8">
      <c r="H39241" t="s">
        <v>35112</v>
      </c>
    </row>
    <row r="39242" spans="8:8">
      <c r="H39242" t="s">
        <v>35113</v>
      </c>
    </row>
    <row r="39243" spans="8:8">
      <c r="H39243" t="s">
        <v>35114</v>
      </c>
    </row>
    <row r="39244" spans="8:8">
      <c r="H39244" t="s">
        <v>35115</v>
      </c>
    </row>
    <row r="39245" spans="8:8">
      <c r="H39245" t="s">
        <v>35116</v>
      </c>
    </row>
    <row r="39246" spans="8:8">
      <c r="H39246" t="s">
        <v>35117</v>
      </c>
    </row>
    <row r="39247" spans="8:8">
      <c r="H39247" t="s">
        <v>35118</v>
      </c>
    </row>
    <row r="39248" spans="8:8">
      <c r="H39248" t="s">
        <v>35119</v>
      </c>
    </row>
    <row r="39249" spans="8:8">
      <c r="H39249" t="s">
        <v>35120</v>
      </c>
    </row>
    <row r="39250" spans="8:8">
      <c r="H39250" t="s">
        <v>35121</v>
      </c>
    </row>
    <row r="39251" spans="8:8">
      <c r="H39251" t="s">
        <v>35122</v>
      </c>
    </row>
    <row r="39252" spans="8:8">
      <c r="H39252" t="s">
        <v>35123</v>
      </c>
    </row>
    <row r="39253" spans="8:8">
      <c r="H39253" t="s">
        <v>35124</v>
      </c>
    </row>
    <row r="39254" spans="8:8">
      <c r="H39254" t="s">
        <v>35125</v>
      </c>
    </row>
    <row r="39255" spans="8:8">
      <c r="H39255" t="s">
        <v>35126</v>
      </c>
    </row>
    <row r="39256" spans="8:8">
      <c r="H39256" t="s">
        <v>35127</v>
      </c>
    </row>
    <row r="39257" spans="8:8">
      <c r="H39257" t="s">
        <v>35128</v>
      </c>
    </row>
    <row r="39258" spans="8:8">
      <c r="H39258" t="s">
        <v>35129</v>
      </c>
    </row>
    <row r="39259" spans="8:8">
      <c r="H39259" t="s">
        <v>35130</v>
      </c>
    </row>
    <row r="39260" spans="8:8">
      <c r="H39260" t="s">
        <v>35131</v>
      </c>
    </row>
    <row r="39261" spans="8:8">
      <c r="H39261" t="s">
        <v>35132</v>
      </c>
    </row>
    <row r="39262" spans="8:8">
      <c r="H39262" t="s">
        <v>35133</v>
      </c>
    </row>
    <row r="39263" spans="8:8">
      <c r="H39263" t="s">
        <v>35134</v>
      </c>
    </row>
    <row r="39264" spans="8:8">
      <c r="H39264" t="s">
        <v>35135</v>
      </c>
    </row>
    <row r="39265" spans="8:8">
      <c r="H39265" t="s">
        <v>35136</v>
      </c>
    </row>
    <row r="39266" spans="8:8">
      <c r="H39266" t="s">
        <v>35137</v>
      </c>
    </row>
    <row r="39267" spans="8:8">
      <c r="H39267" t="s">
        <v>35138</v>
      </c>
    </row>
    <row r="39268" spans="8:8">
      <c r="H39268" t="s">
        <v>35139</v>
      </c>
    </row>
    <row r="39269" spans="8:8">
      <c r="H39269" t="s">
        <v>35140</v>
      </c>
    </row>
    <row r="39270" spans="8:8">
      <c r="H39270" t="s">
        <v>35141</v>
      </c>
    </row>
    <row r="39271" spans="8:8">
      <c r="H39271" t="s">
        <v>35142</v>
      </c>
    </row>
    <row r="39272" spans="8:8">
      <c r="H39272" t="s">
        <v>35143</v>
      </c>
    </row>
    <row r="39273" spans="8:8">
      <c r="H39273" t="s">
        <v>35144</v>
      </c>
    </row>
    <row r="39274" spans="8:8">
      <c r="H39274" t="s">
        <v>35145</v>
      </c>
    </row>
    <row r="39275" spans="8:8">
      <c r="H39275" t="s">
        <v>35146</v>
      </c>
    </row>
    <row r="39276" spans="8:8">
      <c r="H39276" t="s">
        <v>35147</v>
      </c>
    </row>
    <row r="39277" spans="8:8">
      <c r="H39277" t="s">
        <v>35148</v>
      </c>
    </row>
    <row r="39278" spans="8:8">
      <c r="H39278" t="s">
        <v>35149</v>
      </c>
    </row>
    <row r="39279" spans="8:8">
      <c r="H39279" t="s">
        <v>35150</v>
      </c>
    </row>
    <row r="39280" spans="8:8">
      <c r="H39280" t="s">
        <v>35151</v>
      </c>
    </row>
    <row r="39281" spans="6:8">
      <c r="H39281" t="s">
        <v>35152</v>
      </c>
    </row>
    <row r="39282" spans="6:8">
      <c r="H39282" t="s">
        <v>35153</v>
      </c>
    </row>
    <row r="39283" spans="6:8">
      <c r="H39283" t="s">
        <v>35154</v>
      </c>
    </row>
    <row r="39284" spans="6:8">
      <c r="H39284" t="s">
        <v>35155</v>
      </c>
    </row>
    <row r="39285" spans="6:8">
      <c r="H39285" t="s">
        <v>35156</v>
      </c>
    </row>
    <row r="39286" spans="6:8">
      <c r="F39286" t="s">
        <v>13928</v>
      </c>
      <c r="G39286" t="s">
        <v>17964</v>
      </c>
      <c r="H39286" t="s">
        <v>35157</v>
      </c>
    </row>
    <row r="39287" spans="6:8">
      <c r="H39287" t="s">
        <v>18829</v>
      </c>
    </row>
    <row r="39288" spans="6:8">
      <c r="H39288" t="s">
        <v>35158</v>
      </c>
    </row>
    <row r="39289" spans="6:8">
      <c r="H39289" t="s">
        <v>35159</v>
      </c>
    </row>
    <row r="39290" spans="6:8">
      <c r="H39290" t="s">
        <v>35160</v>
      </c>
    </row>
    <row r="39291" spans="6:8">
      <c r="H39291" t="s">
        <v>35161</v>
      </c>
    </row>
    <row r="39292" spans="6:8">
      <c r="H39292" t="s">
        <v>35162</v>
      </c>
    </row>
    <row r="39293" spans="6:8">
      <c r="H39293" t="s">
        <v>35162</v>
      </c>
    </row>
    <row r="39294" spans="6:8">
      <c r="H39294" t="s">
        <v>35162</v>
      </c>
    </row>
    <row r="39295" spans="6:8">
      <c r="H39295" t="s">
        <v>35163</v>
      </c>
    </row>
    <row r="39296" spans="6:8">
      <c r="H39296" t="s">
        <v>35164</v>
      </c>
    </row>
    <row r="39297" spans="8:8">
      <c r="H39297" t="s">
        <v>35165</v>
      </c>
    </row>
    <row r="39298" spans="8:8">
      <c r="H39298" t="s">
        <v>35166</v>
      </c>
    </row>
    <row r="39299" spans="8:8">
      <c r="H39299" t="s">
        <v>35167</v>
      </c>
    </row>
    <row r="39300" spans="8:8">
      <c r="H39300" t="s">
        <v>35168</v>
      </c>
    </row>
    <row r="39301" spans="8:8">
      <c r="H39301" t="s">
        <v>35169</v>
      </c>
    </row>
    <row r="39302" spans="8:8">
      <c r="H39302" t="s">
        <v>35170</v>
      </c>
    </row>
    <row r="39303" spans="8:8">
      <c r="H39303" t="s">
        <v>35171</v>
      </c>
    </row>
    <row r="39304" spans="8:8">
      <c r="H39304" t="s">
        <v>35172</v>
      </c>
    </row>
    <row r="39305" spans="8:8">
      <c r="H39305" t="s">
        <v>35173</v>
      </c>
    </row>
    <row r="39306" spans="8:8">
      <c r="H39306" t="s">
        <v>35174</v>
      </c>
    </row>
    <row r="39307" spans="8:8">
      <c r="H39307" t="s">
        <v>35175</v>
      </c>
    </row>
    <row r="39308" spans="8:8">
      <c r="H39308" t="s">
        <v>35176</v>
      </c>
    </row>
    <row r="39309" spans="8:8">
      <c r="H39309" t="s">
        <v>35177</v>
      </c>
    </row>
    <row r="39310" spans="8:8">
      <c r="H39310" t="s">
        <v>35178</v>
      </c>
    </row>
    <row r="39311" spans="8:8">
      <c r="H39311" t="s">
        <v>35179</v>
      </c>
    </row>
    <row r="39312" spans="8:8">
      <c r="H39312" t="s">
        <v>35180</v>
      </c>
    </row>
    <row r="39313" spans="8:8">
      <c r="H39313" t="s">
        <v>35181</v>
      </c>
    </row>
    <row r="39314" spans="8:8">
      <c r="H39314" t="s">
        <v>35182</v>
      </c>
    </row>
    <row r="39315" spans="8:8">
      <c r="H39315" t="s">
        <v>35183</v>
      </c>
    </row>
    <row r="39316" spans="8:8">
      <c r="H39316" t="s">
        <v>35184</v>
      </c>
    </row>
    <row r="39317" spans="8:8">
      <c r="H39317" t="s">
        <v>35185</v>
      </c>
    </row>
    <row r="39318" spans="8:8">
      <c r="H39318" t="s">
        <v>35186</v>
      </c>
    </row>
    <row r="39319" spans="8:8">
      <c r="H39319" t="s">
        <v>35187</v>
      </c>
    </row>
    <row r="39320" spans="8:8">
      <c r="H39320" t="s">
        <v>35188</v>
      </c>
    </row>
    <row r="39321" spans="8:8">
      <c r="H39321" t="s">
        <v>35189</v>
      </c>
    </row>
    <row r="39322" spans="8:8">
      <c r="H39322" t="s">
        <v>35190</v>
      </c>
    </row>
    <row r="39323" spans="8:8">
      <c r="H39323" t="s">
        <v>35191</v>
      </c>
    </row>
    <row r="39324" spans="8:8">
      <c r="H39324" t="s">
        <v>35192</v>
      </c>
    </row>
    <row r="39325" spans="8:8">
      <c r="H39325" t="s">
        <v>35193</v>
      </c>
    </row>
    <row r="39326" spans="8:8">
      <c r="H39326" t="s">
        <v>35194</v>
      </c>
    </row>
    <row r="39327" spans="8:8">
      <c r="H39327" t="s">
        <v>35195</v>
      </c>
    </row>
    <row r="39328" spans="8:8">
      <c r="H39328" t="s">
        <v>35196</v>
      </c>
    </row>
    <row r="39329" spans="6:8">
      <c r="H39329" t="s">
        <v>35197</v>
      </c>
    </row>
    <row r="39330" spans="6:8">
      <c r="H39330" t="s">
        <v>35198</v>
      </c>
    </row>
    <row r="39331" spans="6:8">
      <c r="F39331" t="s">
        <v>12740</v>
      </c>
      <c r="G39331" t="s">
        <v>16932</v>
      </c>
      <c r="H39331" t="s">
        <v>35199</v>
      </c>
    </row>
    <row r="39332" spans="6:8">
      <c r="F39332" t="s">
        <v>10615</v>
      </c>
      <c r="G39332" t="s">
        <v>15018</v>
      </c>
      <c r="H39332" t="s">
        <v>35200</v>
      </c>
    </row>
    <row r="39333" spans="6:8">
      <c r="F39333" t="s">
        <v>10616</v>
      </c>
      <c r="G39333" t="s">
        <v>15019</v>
      </c>
      <c r="H39333" t="s">
        <v>19183</v>
      </c>
    </row>
    <row r="39334" spans="6:8">
      <c r="H39334" t="s">
        <v>19184</v>
      </c>
    </row>
    <row r="39335" spans="6:8">
      <c r="F39335" t="s">
        <v>13133</v>
      </c>
      <c r="G39335" t="s">
        <v>17291</v>
      </c>
      <c r="H39335" t="s">
        <v>35201</v>
      </c>
    </row>
    <row r="39336" spans="6:8">
      <c r="H39336" t="s">
        <v>25716</v>
      </c>
    </row>
    <row r="39337" spans="6:8">
      <c r="H39337" t="s">
        <v>28041</v>
      </c>
    </row>
    <row r="39338" spans="6:8">
      <c r="H39338" t="s">
        <v>28042</v>
      </c>
    </row>
    <row r="39339" spans="6:8">
      <c r="H39339" t="s">
        <v>35202</v>
      </c>
    </row>
    <row r="39340" spans="6:8">
      <c r="H39340" t="s">
        <v>35203</v>
      </c>
    </row>
    <row r="39341" spans="6:8">
      <c r="H39341" t="s">
        <v>35204</v>
      </c>
    </row>
    <row r="39342" spans="6:8">
      <c r="H39342" t="s">
        <v>35205</v>
      </c>
    </row>
    <row r="39343" spans="6:8">
      <c r="H39343" t="s">
        <v>35206</v>
      </c>
    </row>
    <row r="39344" spans="6:8">
      <c r="H39344" t="s">
        <v>18927</v>
      </c>
    </row>
    <row r="39345" spans="6:8">
      <c r="H39345" t="s">
        <v>35207</v>
      </c>
    </row>
    <row r="39346" spans="6:8">
      <c r="H39346" t="s">
        <v>35208</v>
      </c>
    </row>
    <row r="39347" spans="6:8">
      <c r="H39347" t="s">
        <v>25720</v>
      </c>
    </row>
    <row r="39348" spans="6:8">
      <c r="H39348" t="s">
        <v>28043</v>
      </c>
    </row>
    <row r="39349" spans="6:8">
      <c r="H39349" t="s">
        <v>28044</v>
      </c>
    </row>
    <row r="39350" spans="6:8">
      <c r="H39350" t="s">
        <v>28045</v>
      </c>
    </row>
    <row r="39351" spans="6:8">
      <c r="H39351" t="s">
        <v>28046</v>
      </c>
    </row>
    <row r="39352" spans="6:8">
      <c r="H39352" t="s">
        <v>28047</v>
      </c>
    </row>
    <row r="39353" spans="6:8">
      <c r="H39353" t="s">
        <v>28048</v>
      </c>
    </row>
    <row r="39354" spans="6:8">
      <c r="H39354" t="s">
        <v>25704</v>
      </c>
    </row>
    <row r="39355" spans="6:8">
      <c r="F39355" t="s">
        <v>14309</v>
      </c>
      <c r="G39355" t="s">
        <v>18266</v>
      </c>
      <c r="H39355" t="s">
        <v>18924</v>
      </c>
    </row>
    <row r="39356" spans="6:8">
      <c r="H39356" t="s">
        <v>35209</v>
      </c>
    </row>
    <row r="39357" spans="6:8">
      <c r="H39357" t="s">
        <v>35210</v>
      </c>
    </row>
    <row r="39358" spans="6:8">
      <c r="H39358" t="s">
        <v>35211</v>
      </c>
    </row>
    <row r="39359" spans="6:8">
      <c r="H39359" t="s">
        <v>35212</v>
      </c>
    </row>
    <row r="39360" spans="6:8">
      <c r="H39360" t="s">
        <v>35213</v>
      </c>
    </row>
    <row r="39361" spans="6:8">
      <c r="H39361" t="s">
        <v>35214</v>
      </c>
    </row>
    <row r="39362" spans="6:8">
      <c r="H39362" t="s">
        <v>35215</v>
      </c>
    </row>
    <row r="39363" spans="6:8">
      <c r="F39363" t="s">
        <v>14310</v>
      </c>
      <c r="G39363" t="s">
        <v>18267</v>
      </c>
      <c r="H39363" t="s">
        <v>18829</v>
      </c>
    </row>
    <row r="39364" spans="6:8">
      <c r="H39364" t="s">
        <v>35216</v>
      </c>
    </row>
    <row r="39365" spans="6:8">
      <c r="F39365" t="s">
        <v>14210</v>
      </c>
      <c r="G39365" t="s">
        <v>18186</v>
      </c>
      <c r="H39365" t="s">
        <v>18829</v>
      </c>
    </row>
    <row r="39366" spans="6:8">
      <c r="H39366" t="s">
        <v>18863</v>
      </c>
    </row>
    <row r="39367" spans="6:8">
      <c r="H39367" t="s">
        <v>34969</v>
      </c>
    </row>
    <row r="39368" spans="6:8">
      <c r="H39368" t="s">
        <v>35217</v>
      </c>
    </row>
    <row r="39369" spans="6:8">
      <c r="H39369" t="s">
        <v>35218</v>
      </c>
    </row>
    <row r="39370" spans="6:8">
      <c r="H39370" t="s">
        <v>35219</v>
      </c>
    </row>
    <row r="39371" spans="6:8">
      <c r="H39371" t="s">
        <v>35220</v>
      </c>
    </row>
    <row r="39372" spans="6:8">
      <c r="H39372" t="s">
        <v>35221</v>
      </c>
    </row>
    <row r="39373" spans="6:8">
      <c r="H39373" t="s">
        <v>35222</v>
      </c>
    </row>
    <row r="39374" spans="6:8">
      <c r="H39374" t="s">
        <v>35223</v>
      </c>
    </row>
    <row r="39375" spans="6:8">
      <c r="H39375" t="s">
        <v>35224</v>
      </c>
    </row>
    <row r="39376" spans="6:8">
      <c r="F39376" t="s">
        <v>10617</v>
      </c>
      <c r="G39376" t="s">
        <v>15020</v>
      </c>
      <c r="H39376" t="s">
        <v>19183</v>
      </c>
    </row>
    <row r="39377" spans="6:8">
      <c r="H39377" t="s">
        <v>19184</v>
      </c>
    </row>
    <row r="39378" spans="6:8">
      <c r="F39378" t="s">
        <v>10618</v>
      </c>
      <c r="G39378" t="s">
        <v>15021</v>
      </c>
      <c r="H39378" t="s">
        <v>19183</v>
      </c>
    </row>
    <row r="39379" spans="6:8">
      <c r="H39379" t="s">
        <v>19184</v>
      </c>
    </row>
    <row r="39380" spans="6:8">
      <c r="F39380" t="s">
        <v>13556</v>
      </c>
      <c r="G39380" t="s">
        <v>17663</v>
      </c>
      <c r="H39380" t="s">
        <v>35225</v>
      </c>
    </row>
    <row r="39381" spans="6:8">
      <c r="H39381" t="s">
        <v>35226</v>
      </c>
    </row>
    <row r="39382" spans="6:8">
      <c r="H39382" t="s">
        <v>35227</v>
      </c>
    </row>
    <row r="39383" spans="6:8">
      <c r="H39383" t="s">
        <v>35228</v>
      </c>
    </row>
    <row r="39384" spans="6:8">
      <c r="H39384" t="s">
        <v>35229</v>
      </c>
    </row>
    <row r="39385" spans="6:8">
      <c r="H39385" t="s">
        <v>35230</v>
      </c>
    </row>
    <row r="39386" spans="6:8">
      <c r="H39386" t="s">
        <v>35231</v>
      </c>
    </row>
    <row r="39387" spans="6:8">
      <c r="H39387" t="s">
        <v>35232</v>
      </c>
    </row>
    <row r="39388" spans="6:8">
      <c r="H39388" t="s">
        <v>35233</v>
      </c>
    </row>
    <row r="39389" spans="6:8">
      <c r="H39389" t="s">
        <v>35234</v>
      </c>
    </row>
    <row r="39390" spans="6:8">
      <c r="H39390" t="s">
        <v>35235</v>
      </c>
    </row>
    <row r="39391" spans="6:8">
      <c r="H39391" t="s">
        <v>35236</v>
      </c>
    </row>
    <row r="39392" spans="6:8">
      <c r="F39392" t="s">
        <v>14311</v>
      </c>
      <c r="G39392" t="s">
        <v>18268</v>
      </c>
      <c r="H39392" t="s">
        <v>18829</v>
      </c>
    </row>
    <row r="39393" spans="6:8">
      <c r="H39393" t="s">
        <v>35237</v>
      </c>
    </row>
    <row r="39394" spans="6:8">
      <c r="H39394" t="s">
        <v>35238</v>
      </c>
    </row>
    <row r="39395" spans="6:8">
      <c r="H39395" t="s">
        <v>35239</v>
      </c>
    </row>
    <row r="39396" spans="6:8">
      <c r="F39396" t="s">
        <v>14312</v>
      </c>
      <c r="G39396" t="s">
        <v>18269</v>
      </c>
      <c r="H39396" t="s">
        <v>18829</v>
      </c>
    </row>
    <row r="39397" spans="6:8">
      <c r="H39397" t="s">
        <v>18863</v>
      </c>
    </row>
    <row r="39398" spans="6:8">
      <c r="H39398" t="s">
        <v>31527</v>
      </c>
    </row>
    <row r="39399" spans="6:8">
      <c r="H39399" t="s">
        <v>35240</v>
      </c>
    </row>
    <row r="39400" spans="6:8">
      <c r="H39400" t="s">
        <v>35241</v>
      </c>
    </row>
    <row r="39401" spans="6:8">
      <c r="H39401" t="s">
        <v>34968</v>
      </c>
    </row>
    <row r="39402" spans="6:8">
      <c r="H39402" t="s">
        <v>35242</v>
      </c>
    </row>
    <row r="39403" spans="6:8">
      <c r="H39403" t="s">
        <v>35243</v>
      </c>
    </row>
    <row r="39404" spans="6:8">
      <c r="H39404" t="s">
        <v>35244</v>
      </c>
    </row>
    <row r="39405" spans="6:8">
      <c r="H39405" t="s">
        <v>31775</v>
      </c>
    </row>
    <row r="39406" spans="6:8">
      <c r="H39406" t="s">
        <v>35245</v>
      </c>
    </row>
    <row r="39407" spans="6:8">
      <c r="H39407" t="s">
        <v>35246</v>
      </c>
    </row>
    <row r="39408" spans="6:8">
      <c r="F39408" t="s">
        <v>14313</v>
      </c>
      <c r="G39408" t="s">
        <v>18270</v>
      </c>
      <c r="H39408" t="s">
        <v>18836</v>
      </c>
    </row>
    <row r="39409" spans="6:8">
      <c r="H39409" t="s">
        <v>35247</v>
      </c>
    </row>
    <row r="39410" spans="6:8">
      <c r="H39410" t="s">
        <v>35248</v>
      </c>
    </row>
    <row r="39411" spans="6:8">
      <c r="H39411" t="s">
        <v>35249</v>
      </c>
    </row>
    <row r="39412" spans="6:8">
      <c r="H39412" t="s">
        <v>35048</v>
      </c>
    </row>
    <row r="39413" spans="6:8">
      <c r="F39413" t="s">
        <v>10600</v>
      </c>
      <c r="G39413" t="s">
        <v>15003</v>
      </c>
      <c r="H39413" t="s">
        <v>18836</v>
      </c>
    </row>
    <row r="39414" spans="6:8">
      <c r="H39414" t="s">
        <v>35250</v>
      </c>
    </row>
    <row r="39415" spans="6:8">
      <c r="F39415" t="s">
        <v>14314</v>
      </c>
      <c r="G39415" t="s">
        <v>18271</v>
      </c>
      <c r="H39415" t="s">
        <v>35251</v>
      </c>
    </row>
    <row r="39416" spans="6:8">
      <c r="H39416" t="s">
        <v>35252</v>
      </c>
    </row>
    <row r="39417" spans="6:8">
      <c r="H39417" t="s">
        <v>35253</v>
      </c>
    </row>
    <row r="39418" spans="6:8">
      <c r="F39418" t="s">
        <v>13960</v>
      </c>
      <c r="G39418" t="s">
        <v>17986</v>
      </c>
      <c r="H39418" t="s">
        <v>18829</v>
      </c>
    </row>
    <row r="39419" spans="6:8">
      <c r="H39419" t="s">
        <v>35254</v>
      </c>
    </row>
    <row r="39420" spans="6:8">
      <c r="H39420" t="s">
        <v>35255</v>
      </c>
    </row>
    <row r="39421" spans="6:8">
      <c r="H39421" t="s">
        <v>35250</v>
      </c>
    </row>
    <row r="39422" spans="6:8">
      <c r="H39422" t="s">
        <v>35256</v>
      </c>
    </row>
    <row r="39423" spans="6:8">
      <c r="H39423" t="s">
        <v>35257</v>
      </c>
    </row>
    <row r="39424" spans="6:8">
      <c r="H39424" t="s">
        <v>35258</v>
      </c>
    </row>
    <row r="39425" spans="6:8">
      <c r="H39425" t="s">
        <v>35259</v>
      </c>
    </row>
    <row r="39426" spans="6:8">
      <c r="H39426" t="s">
        <v>35260</v>
      </c>
    </row>
    <row r="39427" spans="6:8">
      <c r="H39427" t="s">
        <v>35261</v>
      </c>
    </row>
    <row r="39428" spans="6:8">
      <c r="H39428" t="s">
        <v>35262</v>
      </c>
    </row>
    <row r="39429" spans="6:8">
      <c r="H39429" t="s">
        <v>20340</v>
      </c>
    </row>
    <row r="39430" spans="6:8">
      <c r="F39430" t="s">
        <v>14315</v>
      </c>
      <c r="G39430" t="s">
        <v>18272</v>
      </c>
      <c r="H39430" t="s">
        <v>19981</v>
      </c>
    </row>
    <row r="39431" spans="6:8">
      <c r="H39431" t="s">
        <v>35263</v>
      </c>
    </row>
    <row r="39432" spans="6:8">
      <c r="H39432" t="s">
        <v>34877</v>
      </c>
    </row>
    <row r="39433" spans="6:8">
      <c r="H39433" t="s">
        <v>35264</v>
      </c>
    </row>
    <row r="39434" spans="6:8">
      <c r="H39434" t="s">
        <v>35265</v>
      </c>
    </row>
    <row r="39435" spans="6:8">
      <c r="F39435" t="s">
        <v>10726</v>
      </c>
      <c r="G39435" t="s">
        <v>15125</v>
      </c>
      <c r="H39435" t="s">
        <v>22023</v>
      </c>
    </row>
    <row r="39436" spans="6:8">
      <c r="H39436" t="s">
        <v>35266</v>
      </c>
    </row>
    <row r="39437" spans="6:8">
      <c r="H39437" t="s">
        <v>35267</v>
      </c>
    </row>
    <row r="39438" spans="6:8">
      <c r="H39438" t="s">
        <v>35268</v>
      </c>
    </row>
    <row r="39439" spans="6:8">
      <c r="H39439" t="s">
        <v>35269</v>
      </c>
    </row>
    <row r="39440" spans="6:8">
      <c r="H39440" t="s">
        <v>35270</v>
      </c>
    </row>
    <row r="39441" spans="6:8">
      <c r="H39441" t="s">
        <v>35271</v>
      </c>
    </row>
    <row r="39442" spans="6:8">
      <c r="F39442" t="s">
        <v>11449</v>
      </c>
      <c r="G39442" t="s">
        <v>15689</v>
      </c>
      <c r="H39442" t="s">
        <v>31759</v>
      </c>
    </row>
    <row r="39443" spans="6:8">
      <c r="H39443" t="s">
        <v>35272</v>
      </c>
    </row>
    <row r="39444" spans="6:8">
      <c r="H39444" t="s">
        <v>35273</v>
      </c>
    </row>
    <row r="39445" spans="6:8">
      <c r="H39445" t="s">
        <v>35274</v>
      </c>
    </row>
    <row r="39446" spans="6:8">
      <c r="H39446" t="s">
        <v>35275</v>
      </c>
    </row>
    <row r="39447" spans="6:8">
      <c r="H39447" t="s">
        <v>35276</v>
      </c>
    </row>
    <row r="39448" spans="6:8">
      <c r="H39448" t="s">
        <v>35277</v>
      </c>
    </row>
    <row r="39449" spans="6:8">
      <c r="H39449" t="s">
        <v>35278</v>
      </c>
    </row>
    <row r="39450" spans="6:8">
      <c r="H39450" t="s">
        <v>35279</v>
      </c>
    </row>
    <row r="39451" spans="6:8">
      <c r="H39451" t="s">
        <v>35280</v>
      </c>
    </row>
    <row r="39452" spans="6:8">
      <c r="H39452" t="s">
        <v>35281</v>
      </c>
    </row>
    <row r="39453" spans="6:8">
      <c r="H39453" t="s">
        <v>35282</v>
      </c>
    </row>
    <row r="39454" spans="6:8">
      <c r="H39454" t="s">
        <v>35283</v>
      </c>
    </row>
    <row r="39455" spans="6:8">
      <c r="H39455" t="s">
        <v>35284</v>
      </c>
    </row>
    <row r="39456" spans="6:8">
      <c r="H39456" t="s">
        <v>35285</v>
      </c>
    </row>
    <row r="39457" spans="8:8">
      <c r="H39457" t="s">
        <v>35286</v>
      </c>
    </row>
    <row r="39458" spans="8:8">
      <c r="H39458" t="s">
        <v>35287</v>
      </c>
    </row>
    <row r="39459" spans="8:8">
      <c r="H39459" t="s">
        <v>35288</v>
      </c>
    </row>
    <row r="39460" spans="8:8">
      <c r="H39460" t="s">
        <v>35289</v>
      </c>
    </row>
    <row r="39461" spans="8:8">
      <c r="H39461" t="s">
        <v>35290</v>
      </c>
    </row>
    <row r="39462" spans="8:8">
      <c r="H39462" t="s">
        <v>35290</v>
      </c>
    </row>
    <row r="39463" spans="8:8">
      <c r="H39463" t="s">
        <v>35291</v>
      </c>
    </row>
    <row r="39464" spans="8:8">
      <c r="H39464" t="s">
        <v>35292</v>
      </c>
    </row>
    <row r="39465" spans="8:8">
      <c r="H39465" t="s">
        <v>35293</v>
      </c>
    </row>
    <row r="39466" spans="8:8">
      <c r="H39466" t="s">
        <v>35294</v>
      </c>
    </row>
    <row r="39467" spans="8:8">
      <c r="H39467" t="s">
        <v>35295</v>
      </c>
    </row>
    <row r="39468" spans="8:8">
      <c r="H39468" t="s">
        <v>35296</v>
      </c>
    </row>
    <row r="39469" spans="8:8">
      <c r="H39469" t="s">
        <v>35297</v>
      </c>
    </row>
    <row r="39470" spans="8:8">
      <c r="H39470" t="s">
        <v>35298</v>
      </c>
    </row>
    <row r="39471" spans="8:8">
      <c r="H39471" t="s">
        <v>35299</v>
      </c>
    </row>
    <row r="39472" spans="8:8">
      <c r="H39472" t="s">
        <v>35300</v>
      </c>
    </row>
    <row r="39473" spans="6:8">
      <c r="H39473" t="s">
        <v>35301</v>
      </c>
    </row>
    <row r="39474" spans="6:8">
      <c r="H39474" t="s">
        <v>35302</v>
      </c>
    </row>
    <row r="39475" spans="6:8">
      <c r="H39475" t="s">
        <v>35303</v>
      </c>
    </row>
    <row r="39476" spans="6:8">
      <c r="H39476" t="s">
        <v>35304</v>
      </c>
    </row>
    <row r="39477" spans="6:8">
      <c r="H39477" t="s">
        <v>35305</v>
      </c>
    </row>
    <row r="39478" spans="6:8">
      <c r="H39478" t="s">
        <v>35306</v>
      </c>
    </row>
    <row r="39479" spans="6:8">
      <c r="F39479" t="s">
        <v>14316</v>
      </c>
      <c r="G39479" t="s">
        <v>18273</v>
      </c>
      <c r="H39479" t="s">
        <v>35307</v>
      </c>
    </row>
    <row r="39480" spans="6:8">
      <c r="F39480" t="s">
        <v>14317</v>
      </c>
      <c r="G39480" t="s">
        <v>18274</v>
      </c>
      <c r="H39480" t="s">
        <v>35308</v>
      </c>
    </row>
    <row r="39481" spans="6:8">
      <c r="H39481" t="s">
        <v>35309</v>
      </c>
    </row>
    <row r="39482" spans="6:8">
      <c r="H39482" t="s">
        <v>35310</v>
      </c>
    </row>
    <row r="39483" spans="6:8">
      <c r="H39483" t="s">
        <v>35311</v>
      </c>
    </row>
    <row r="39484" spans="6:8">
      <c r="H39484" t="s">
        <v>35312</v>
      </c>
    </row>
    <row r="39485" spans="6:8">
      <c r="H39485" t="s">
        <v>35312</v>
      </c>
    </row>
    <row r="39486" spans="6:8">
      <c r="H39486" t="s">
        <v>35313</v>
      </c>
    </row>
    <row r="39487" spans="6:8">
      <c r="H39487" t="s">
        <v>19333</v>
      </c>
    </row>
    <row r="39488" spans="6:8">
      <c r="H39488" t="s">
        <v>35314</v>
      </c>
    </row>
    <row r="39489" spans="6:8">
      <c r="H39489" t="s">
        <v>35315</v>
      </c>
    </row>
    <row r="39490" spans="6:8">
      <c r="H39490" t="s">
        <v>35316</v>
      </c>
    </row>
    <row r="39491" spans="6:8">
      <c r="F39491" t="s">
        <v>14318</v>
      </c>
      <c r="G39491" t="s">
        <v>18275</v>
      </c>
      <c r="H39491" t="s">
        <v>35317</v>
      </c>
    </row>
    <row r="39492" spans="6:8">
      <c r="F39492" t="s">
        <v>14319</v>
      </c>
      <c r="G39492" t="s">
        <v>18276</v>
      </c>
      <c r="H39492" t="s">
        <v>18836</v>
      </c>
    </row>
    <row r="39493" spans="6:8">
      <c r="F39493" t="s">
        <v>14320</v>
      </c>
      <c r="G39493" t="s">
        <v>18277</v>
      </c>
      <c r="H39493" t="s">
        <v>30172</v>
      </c>
    </row>
    <row r="39494" spans="6:8">
      <c r="H39494" t="s">
        <v>35318</v>
      </c>
    </row>
    <row r="39495" spans="6:8">
      <c r="H39495" t="s">
        <v>35319</v>
      </c>
    </row>
    <row r="39496" spans="6:8">
      <c r="H39496" t="s">
        <v>35320</v>
      </c>
    </row>
    <row r="39497" spans="6:8">
      <c r="H39497" t="s">
        <v>35321</v>
      </c>
    </row>
    <row r="39498" spans="6:8">
      <c r="H39498" t="s">
        <v>35322</v>
      </c>
    </row>
    <row r="39499" spans="6:8">
      <c r="F39499" t="s">
        <v>14321</v>
      </c>
      <c r="G39499" t="s">
        <v>18278</v>
      </c>
      <c r="H39499" t="s">
        <v>35323</v>
      </c>
    </row>
    <row r="39500" spans="6:8">
      <c r="H39500" t="s">
        <v>35324</v>
      </c>
    </row>
    <row r="39501" spans="6:8">
      <c r="H39501" t="s">
        <v>35325</v>
      </c>
    </row>
    <row r="39502" spans="6:8">
      <c r="H39502" t="s">
        <v>35326</v>
      </c>
    </row>
    <row r="39503" spans="6:8">
      <c r="H39503" t="s">
        <v>35327</v>
      </c>
    </row>
    <row r="39504" spans="6:8">
      <c r="H39504" t="s">
        <v>35328</v>
      </c>
    </row>
    <row r="39505" spans="6:8">
      <c r="F39505" t="s">
        <v>14322</v>
      </c>
      <c r="G39505" t="s">
        <v>18279</v>
      </c>
      <c r="H39505" t="s">
        <v>27516</v>
      </c>
    </row>
    <row r="39506" spans="6:8">
      <c r="H39506" t="s">
        <v>22358</v>
      </c>
    </row>
    <row r="39507" spans="6:8">
      <c r="H39507" t="s">
        <v>35329</v>
      </c>
    </row>
    <row r="39508" spans="6:8">
      <c r="H39508" t="s">
        <v>35330</v>
      </c>
    </row>
    <row r="39509" spans="6:8">
      <c r="F39509" t="s">
        <v>14323</v>
      </c>
      <c r="G39509" t="s">
        <v>18280</v>
      </c>
      <c r="H39509" t="s">
        <v>18829</v>
      </c>
    </row>
    <row r="39510" spans="6:8">
      <c r="H39510" t="s">
        <v>18863</v>
      </c>
    </row>
    <row r="39511" spans="6:8">
      <c r="H39511" t="s">
        <v>35331</v>
      </c>
    </row>
    <row r="39512" spans="6:8">
      <c r="H39512" t="s">
        <v>35332</v>
      </c>
    </row>
    <row r="39513" spans="6:8">
      <c r="H39513" t="s">
        <v>35333</v>
      </c>
    </row>
    <row r="39514" spans="6:8">
      <c r="H39514" t="s">
        <v>29840</v>
      </c>
    </row>
    <row r="39515" spans="6:8">
      <c r="H39515" t="s">
        <v>35334</v>
      </c>
    </row>
    <row r="39516" spans="6:8">
      <c r="H39516" t="s">
        <v>35335</v>
      </c>
    </row>
    <row r="39517" spans="6:8">
      <c r="H39517" t="s">
        <v>19007</v>
      </c>
    </row>
    <row r="39518" spans="6:8">
      <c r="H39518" t="s">
        <v>35336</v>
      </c>
    </row>
    <row r="39519" spans="6:8">
      <c r="F39519" t="s">
        <v>14324</v>
      </c>
      <c r="G39519" t="s">
        <v>18281</v>
      </c>
      <c r="H39519" t="s">
        <v>35337</v>
      </c>
    </row>
    <row r="39520" spans="6:8">
      <c r="H39520" t="s">
        <v>35338</v>
      </c>
    </row>
    <row r="39521" spans="6:8">
      <c r="H39521" t="s">
        <v>35339</v>
      </c>
    </row>
    <row r="39522" spans="6:8">
      <c r="H39522" t="s">
        <v>35340</v>
      </c>
    </row>
    <row r="39523" spans="6:8">
      <c r="H39523" t="s">
        <v>35341</v>
      </c>
    </row>
    <row r="39524" spans="6:8">
      <c r="H39524" t="s">
        <v>35342</v>
      </c>
    </row>
    <row r="39525" spans="6:8">
      <c r="F39525" t="s">
        <v>14102</v>
      </c>
      <c r="G39525" t="s">
        <v>18095</v>
      </c>
      <c r="H39525" t="s">
        <v>34079</v>
      </c>
    </row>
    <row r="39526" spans="6:8">
      <c r="H39526" t="s">
        <v>34080</v>
      </c>
    </row>
    <row r="39527" spans="6:8">
      <c r="H39527" t="s">
        <v>18829</v>
      </c>
    </row>
    <row r="39528" spans="6:8">
      <c r="H39528" t="s">
        <v>18863</v>
      </c>
    </row>
    <row r="39529" spans="6:8">
      <c r="H39529" t="s">
        <v>35343</v>
      </c>
    </row>
    <row r="39530" spans="6:8">
      <c r="H39530" t="s">
        <v>19019</v>
      </c>
    </row>
    <row r="39531" spans="6:8">
      <c r="H39531" t="s">
        <v>35344</v>
      </c>
    </row>
    <row r="39532" spans="6:8">
      <c r="H39532" t="s">
        <v>35345</v>
      </c>
    </row>
    <row r="39533" spans="6:8">
      <c r="H39533" t="s">
        <v>35346</v>
      </c>
    </row>
    <row r="39534" spans="6:8">
      <c r="H39534" t="s">
        <v>35347</v>
      </c>
    </row>
    <row r="39535" spans="6:8">
      <c r="H39535" t="s">
        <v>35348</v>
      </c>
    </row>
    <row r="39536" spans="6:8">
      <c r="H39536" t="s">
        <v>35349</v>
      </c>
    </row>
    <row r="39537" spans="1:8">
      <c r="H39537" t="s">
        <v>35350</v>
      </c>
    </row>
    <row r="39538" spans="1:8">
      <c r="H39538" t="s">
        <v>35351</v>
      </c>
    </row>
    <row r="39539" spans="1:8">
      <c r="H39539" t="s">
        <v>35352</v>
      </c>
    </row>
    <row r="39540" spans="1:8">
      <c r="H39540" t="s">
        <v>35353</v>
      </c>
    </row>
    <row r="39541" spans="1:8">
      <c r="H39541" t="s">
        <v>35354</v>
      </c>
    </row>
    <row r="39542" spans="1:8">
      <c r="H39542" t="s">
        <v>35355</v>
      </c>
    </row>
    <row r="39543" spans="1:8">
      <c r="H39543" t="s">
        <v>24966</v>
      </c>
    </row>
    <row r="39544" spans="1:8">
      <c r="H39544" t="s">
        <v>35356</v>
      </c>
    </row>
    <row r="39545" spans="1:8">
      <c r="H39545" t="s">
        <v>35357</v>
      </c>
    </row>
    <row r="39546" spans="1:8">
      <c r="H39546" t="s">
        <v>35358</v>
      </c>
    </row>
    <row r="39547" spans="1:8">
      <c r="H39547" t="s">
        <v>35359</v>
      </c>
    </row>
    <row r="39548" spans="1:8">
      <c r="A39548" t="s">
        <v>3501</v>
      </c>
      <c r="B39548">
        <f>HYPERLINK("https://android.googlesource.com/platform/cts/+/bb3ff4198092ee8a4a95c2f4b900bb4fbc69a38a", "bb3ff4198092ee8a4a95c2f4b900bb4fbc69a38a")</f>
        <v>0</v>
      </c>
      <c r="C39548">
        <f>HYPERLINK("https://android.googlesource.com/platform/cts/+/29241a943a681670aa8b20f32e1f06171c553af9", "29241a943a681670aa8b20f32e1f06171c553af9")</f>
        <v>0</v>
      </c>
      <c r="D39548" t="s">
        <v>5576</v>
      </c>
      <c r="E39548" t="s">
        <v>9195</v>
      </c>
      <c r="F39548" t="s">
        <v>13857</v>
      </c>
      <c r="G39548" t="s">
        <v>17899</v>
      </c>
      <c r="H39548" t="s">
        <v>18829</v>
      </c>
    </row>
    <row r="39549" spans="1:8">
      <c r="H39549" t="s">
        <v>18863</v>
      </c>
    </row>
    <row r="39550" spans="1:8">
      <c r="H39550" t="s">
        <v>34807</v>
      </c>
    </row>
    <row r="39551" spans="1:8">
      <c r="H39551" t="s">
        <v>34808</v>
      </c>
    </row>
    <row r="39552" spans="1:8">
      <c r="H39552" t="s">
        <v>34809</v>
      </c>
    </row>
    <row r="39553" spans="6:8">
      <c r="H39553" t="s">
        <v>34810</v>
      </c>
    </row>
    <row r="39554" spans="6:8">
      <c r="H39554" t="s">
        <v>34811</v>
      </c>
    </row>
    <row r="39555" spans="6:8">
      <c r="H39555" t="s">
        <v>34812</v>
      </c>
    </row>
    <row r="39556" spans="6:8">
      <c r="H39556" t="s">
        <v>34813</v>
      </c>
    </row>
    <row r="39557" spans="6:8">
      <c r="F39557" t="s">
        <v>13976</v>
      </c>
      <c r="G39557" t="s">
        <v>18001</v>
      </c>
      <c r="H39557" t="s">
        <v>18829</v>
      </c>
    </row>
    <row r="39558" spans="6:8">
      <c r="H39558" t="s">
        <v>18863</v>
      </c>
    </row>
    <row r="39559" spans="6:8">
      <c r="H39559" t="s">
        <v>34814</v>
      </c>
    </row>
    <row r="39560" spans="6:8">
      <c r="H39560" t="s">
        <v>34815</v>
      </c>
    </row>
    <row r="39561" spans="6:8">
      <c r="H39561" t="s">
        <v>34816</v>
      </c>
    </row>
    <row r="39562" spans="6:8">
      <c r="H39562" t="s">
        <v>34817</v>
      </c>
    </row>
    <row r="39563" spans="6:8">
      <c r="H39563" t="s">
        <v>34818</v>
      </c>
    </row>
    <row r="39564" spans="6:8">
      <c r="H39564" t="s">
        <v>34819</v>
      </c>
    </row>
    <row r="39565" spans="6:8">
      <c r="H39565" t="s">
        <v>34820</v>
      </c>
    </row>
    <row r="39566" spans="6:8">
      <c r="H39566" t="s">
        <v>34821</v>
      </c>
    </row>
    <row r="39567" spans="6:8">
      <c r="H39567" t="s">
        <v>34822</v>
      </c>
    </row>
    <row r="39568" spans="6:8">
      <c r="F39568" t="s">
        <v>13977</v>
      </c>
      <c r="G39568" t="s">
        <v>18002</v>
      </c>
      <c r="H39568" t="s">
        <v>34823</v>
      </c>
    </row>
    <row r="39569" spans="8:8">
      <c r="H39569" t="s">
        <v>18930</v>
      </c>
    </row>
    <row r="39570" spans="8:8">
      <c r="H39570" t="s">
        <v>19372</v>
      </c>
    </row>
    <row r="39571" spans="8:8">
      <c r="H39571" t="s">
        <v>34824</v>
      </c>
    </row>
    <row r="39572" spans="8:8">
      <c r="H39572" t="s">
        <v>34825</v>
      </c>
    </row>
    <row r="39573" spans="8:8">
      <c r="H39573" t="s">
        <v>34826</v>
      </c>
    </row>
    <row r="39574" spans="8:8">
      <c r="H39574" t="s">
        <v>34827</v>
      </c>
    </row>
    <row r="39575" spans="8:8">
      <c r="H39575" t="s">
        <v>31669</v>
      </c>
    </row>
    <row r="39576" spans="8:8">
      <c r="H39576" t="s">
        <v>32387</v>
      </c>
    </row>
    <row r="39577" spans="8:8">
      <c r="H39577" t="s">
        <v>34828</v>
      </c>
    </row>
    <row r="39578" spans="8:8">
      <c r="H39578" t="s">
        <v>31986</v>
      </c>
    </row>
    <row r="39579" spans="8:8">
      <c r="H39579" t="s">
        <v>34829</v>
      </c>
    </row>
    <row r="39580" spans="8:8">
      <c r="H39580" t="s">
        <v>34830</v>
      </c>
    </row>
    <row r="39581" spans="8:8">
      <c r="H39581" t="s">
        <v>34831</v>
      </c>
    </row>
    <row r="39582" spans="8:8">
      <c r="H39582" t="s">
        <v>34832</v>
      </c>
    </row>
    <row r="39583" spans="8:8">
      <c r="H39583" t="s">
        <v>18829</v>
      </c>
    </row>
    <row r="39584" spans="8:8">
      <c r="H39584" t="s">
        <v>18863</v>
      </c>
    </row>
    <row r="39585" spans="6:8">
      <c r="H39585" t="s">
        <v>33907</v>
      </c>
    </row>
    <row r="39586" spans="6:8">
      <c r="H39586" t="s">
        <v>33908</v>
      </c>
    </row>
    <row r="39587" spans="6:8">
      <c r="F39587" t="s">
        <v>12416</v>
      </c>
      <c r="G39587" t="s">
        <v>16638</v>
      </c>
      <c r="H39587" t="s">
        <v>26496</v>
      </c>
    </row>
    <row r="39588" spans="6:8">
      <c r="H39588" t="s">
        <v>18829</v>
      </c>
    </row>
    <row r="39589" spans="6:8">
      <c r="H39589" t="s">
        <v>18863</v>
      </c>
    </row>
    <row r="39590" spans="6:8">
      <c r="H39590" t="s">
        <v>34833</v>
      </c>
    </row>
    <row r="39591" spans="6:8">
      <c r="H39591" t="s">
        <v>34834</v>
      </c>
    </row>
    <row r="39592" spans="6:8">
      <c r="H39592" t="s">
        <v>34835</v>
      </c>
    </row>
    <row r="39593" spans="6:8">
      <c r="H39593" t="s">
        <v>29215</v>
      </c>
    </row>
    <row r="39594" spans="6:8">
      <c r="H39594" t="s">
        <v>27130</v>
      </c>
    </row>
    <row r="39595" spans="6:8">
      <c r="H39595" t="s">
        <v>34836</v>
      </c>
    </row>
    <row r="39596" spans="6:8">
      <c r="H39596" t="s">
        <v>34837</v>
      </c>
    </row>
    <row r="39597" spans="6:8">
      <c r="H39597" t="s">
        <v>34838</v>
      </c>
    </row>
    <row r="39598" spans="6:8">
      <c r="H39598" t="s">
        <v>34839</v>
      </c>
    </row>
    <row r="39599" spans="6:8">
      <c r="H39599" t="s">
        <v>34840</v>
      </c>
    </row>
    <row r="39600" spans="6:8">
      <c r="H39600" t="s">
        <v>34841</v>
      </c>
    </row>
    <row r="39601" spans="8:8">
      <c r="H39601" t="s">
        <v>34842</v>
      </c>
    </row>
    <row r="39602" spans="8:8">
      <c r="H39602" t="s">
        <v>34843</v>
      </c>
    </row>
    <row r="39603" spans="8:8">
      <c r="H39603" t="s">
        <v>34844</v>
      </c>
    </row>
    <row r="39604" spans="8:8">
      <c r="H39604" t="s">
        <v>34845</v>
      </c>
    </row>
    <row r="39605" spans="8:8">
      <c r="H39605" t="s">
        <v>34846</v>
      </c>
    </row>
    <row r="39606" spans="8:8">
      <c r="H39606" t="s">
        <v>34847</v>
      </c>
    </row>
    <row r="39607" spans="8:8">
      <c r="H39607" t="s">
        <v>31500</v>
      </c>
    </row>
    <row r="39608" spans="8:8">
      <c r="H39608" t="s">
        <v>34848</v>
      </c>
    </row>
    <row r="39609" spans="8:8">
      <c r="H39609" t="s">
        <v>34051</v>
      </c>
    </row>
    <row r="39610" spans="8:8">
      <c r="H39610" t="s">
        <v>34052</v>
      </c>
    </row>
    <row r="39611" spans="8:8">
      <c r="H39611" t="s">
        <v>34849</v>
      </c>
    </row>
    <row r="39612" spans="8:8">
      <c r="H39612" t="s">
        <v>34850</v>
      </c>
    </row>
    <row r="39613" spans="8:8">
      <c r="H39613" t="s">
        <v>34851</v>
      </c>
    </row>
    <row r="39614" spans="8:8">
      <c r="H39614" t="s">
        <v>26751</v>
      </c>
    </row>
    <row r="39615" spans="8:8">
      <c r="H39615" t="s">
        <v>34852</v>
      </c>
    </row>
    <row r="39616" spans="8:8">
      <c r="H39616" t="s">
        <v>34853</v>
      </c>
    </row>
    <row r="39617" spans="8:8">
      <c r="H39617" t="s">
        <v>34854</v>
      </c>
    </row>
    <row r="39618" spans="8:8">
      <c r="H39618" t="s">
        <v>34855</v>
      </c>
    </row>
    <row r="39619" spans="8:8">
      <c r="H39619" t="s">
        <v>34856</v>
      </c>
    </row>
    <row r="39620" spans="8:8">
      <c r="H39620" t="s">
        <v>34857</v>
      </c>
    </row>
    <row r="39621" spans="8:8">
      <c r="H39621" t="s">
        <v>34858</v>
      </c>
    </row>
    <row r="39622" spans="8:8">
      <c r="H39622" t="s">
        <v>34859</v>
      </c>
    </row>
    <row r="39623" spans="8:8">
      <c r="H39623" t="s">
        <v>34860</v>
      </c>
    </row>
    <row r="39624" spans="8:8">
      <c r="H39624" t="s">
        <v>34861</v>
      </c>
    </row>
    <row r="39625" spans="8:8">
      <c r="H39625" t="s">
        <v>34862</v>
      </c>
    </row>
    <row r="39626" spans="8:8">
      <c r="H39626" t="s">
        <v>34863</v>
      </c>
    </row>
    <row r="39627" spans="8:8">
      <c r="H39627" t="s">
        <v>34864</v>
      </c>
    </row>
    <row r="39628" spans="8:8">
      <c r="H39628" t="s">
        <v>34865</v>
      </c>
    </row>
    <row r="39629" spans="8:8">
      <c r="H39629" t="s">
        <v>34866</v>
      </c>
    </row>
    <row r="39630" spans="8:8">
      <c r="H39630" t="s">
        <v>34866</v>
      </c>
    </row>
    <row r="39631" spans="8:8">
      <c r="H39631" t="s">
        <v>34867</v>
      </c>
    </row>
    <row r="39632" spans="8:8">
      <c r="H39632" t="s">
        <v>34868</v>
      </c>
    </row>
    <row r="39633" spans="6:8">
      <c r="H39633" t="s">
        <v>34869</v>
      </c>
    </row>
    <row r="39634" spans="6:8">
      <c r="H39634" t="s">
        <v>19019</v>
      </c>
    </row>
    <row r="39635" spans="6:8">
      <c r="H39635" t="s">
        <v>34870</v>
      </c>
    </row>
    <row r="39636" spans="6:8">
      <c r="H39636" t="s">
        <v>32277</v>
      </c>
    </row>
    <row r="39637" spans="6:8">
      <c r="H39637" t="s">
        <v>19019</v>
      </c>
    </row>
    <row r="39638" spans="6:8">
      <c r="H39638" t="s">
        <v>24966</v>
      </c>
    </row>
    <row r="39639" spans="6:8">
      <c r="F39639" t="s">
        <v>14304</v>
      </c>
      <c r="G39639" t="s">
        <v>18262</v>
      </c>
      <c r="H39639" t="s">
        <v>20244</v>
      </c>
    </row>
    <row r="39640" spans="6:8">
      <c r="H39640" t="s">
        <v>19233</v>
      </c>
    </row>
    <row r="39641" spans="6:8">
      <c r="H39641" t="s">
        <v>18829</v>
      </c>
    </row>
    <row r="39642" spans="6:8">
      <c r="H39642" t="s">
        <v>34871</v>
      </c>
    </row>
    <row r="39643" spans="6:8">
      <c r="H39643" t="s">
        <v>25643</v>
      </c>
    </row>
    <row r="39644" spans="6:8">
      <c r="H39644" t="s">
        <v>31039</v>
      </c>
    </row>
    <row r="39645" spans="6:8">
      <c r="H39645" t="s">
        <v>34872</v>
      </c>
    </row>
    <row r="39646" spans="6:8">
      <c r="H39646" t="s">
        <v>34873</v>
      </c>
    </row>
    <row r="39647" spans="6:8">
      <c r="H39647" t="s">
        <v>34874</v>
      </c>
    </row>
    <row r="39648" spans="6:8">
      <c r="H39648" t="s">
        <v>34875</v>
      </c>
    </row>
    <row r="39649" spans="6:8">
      <c r="H39649" t="s">
        <v>31037</v>
      </c>
    </row>
    <row r="39650" spans="6:8">
      <c r="F39650" t="s">
        <v>13941</v>
      </c>
      <c r="G39650" t="s">
        <v>17972</v>
      </c>
      <c r="H39650" t="s">
        <v>18829</v>
      </c>
    </row>
    <row r="39651" spans="6:8">
      <c r="H39651" t="s">
        <v>32340</v>
      </c>
    </row>
    <row r="39652" spans="6:8">
      <c r="H39652" t="s">
        <v>32342</v>
      </c>
    </row>
    <row r="39653" spans="6:8">
      <c r="H39653" t="s">
        <v>32341</v>
      </c>
    </row>
    <row r="39654" spans="6:8">
      <c r="H39654" t="s">
        <v>32343</v>
      </c>
    </row>
    <row r="39655" spans="6:8">
      <c r="F39655" t="s">
        <v>14305</v>
      </c>
      <c r="G39655" t="s">
        <v>18005</v>
      </c>
      <c r="H39655" t="s">
        <v>19981</v>
      </c>
    </row>
    <row r="39656" spans="6:8">
      <c r="H39656" t="s">
        <v>34876</v>
      </c>
    </row>
    <row r="39657" spans="6:8">
      <c r="H39657" t="s">
        <v>34877</v>
      </c>
    </row>
    <row r="39658" spans="6:8">
      <c r="H39658" t="s">
        <v>34878</v>
      </c>
    </row>
    <row r="39659" spans="6:8">
      <c r="H39659" t="s">
        <v>34879</v>
      </c>
    </row>
    <row r="39660" spans="6:8">
      <c r="F39660" t="s">
        <v>14234</v>
      </c>
      <c r="G39660" t="s">
        <v>18204</v>
      </c>
      <c r="H39660" t="s">
        <v>18829</v>
      </c>
    </row>
    <row r="39661" spans="6:8">
      <c r="H39661" t="s">
        <v>18863</v>
      </c>
    </row>
    <row r="39662" spans="6:8">
      <c r="H39662" t="s">
        <v>34880</v>
      </c>
    </row>
    <row r="39663" spans="6:8">
      <c r="H39663" t="s">
        <v>34881</v>
      </c>
    </row>
    <row r="39664" spans="6:8">
      <c r="H39664" t="s">
        <v>34882</v>
      </c>
    </row>
    <row r="39665" spans="8:8">
      <c r="H39665" t="s">
        <v>34883</v>
      </c>
    </row>
    <row r="39666" spans="8:8">
      <c r="H39666" t="s">
        <v>34884</v>
      </c>
    </row>
    <row r="39667" spans="8:8">
      <c r="H39667" t="s">
        <v>34885</v>
      </c>
    </row>
    <row r="39668" spans="8:8">
      <c r="H39668" t="s">
        <v>34886</v>
      </c>
    </row>
    <row r="39669" spans="8:8">
      <c r="H39669" t="s">
        <v>34887</v>
      </c>
    </row>
    <row r="39670" spans="8:8">
      <c r="H39670" t="s">
        <v>34888</v>
      </c>
    </row>
    <row r="39671" spans="8:8">
      <c r="H39671" t="s">
        <v>34889</v>
      </c>
    </row>
    <row r="39672" spans="8:8">
      <c r="H39672" t="s">
        <v>34890</v>
      </c>
    </row>
    <row r="39673" spans="8:8">
      <c r="H39673" t="s">
        <v>34891</v>
      </c>
    </row>
    <row r="39674" spans="8:8">
      <c r="H39674" t="s">
        <v>34891</v>
      </c>
    </row>
    <row r="39675" spans="8:8">
      <c r="H39675" t="s">
        <v>34892</v>
      </c>
    </row>
    <row r="39676" spans="8:8">
      <c r="H39676" t="s">
        <v>34893</v>
      </c>
    </row>
    <row r="39677" spans="8:8">
      <c r="H39677" t="s">
        <v>34894</v>
      </c>
    </row>
    <row r="39678" spans="8:8">
      <c r="H39678" t="s">
        <v>34895</v>
      </c>
    </row>
    <row r="39679" spans="8:8">
      <c r="H39679" t="s">
        <v>34896</v>
      </c>
    </row>
    <row r="39680" spans="8:8">
      <c r="H39680" t="s">
        <v>34897</v>
      </c>
    </row>
    <row r="39681" spans="6:8">
      <c r="H39681" t="s">
        <v>34898</v>
      </c>
    </row>
    <row r="39682" spans="6:8">
      <c r="H39682" t="s">
        <v>34899</v>
      </c>
    </row>
    <row r="39683" spans="6:8">
      <c r="H39683" t="s">
        <v>34900</v>
      </c>
    </row>
    <row r="39684" spans="6:8">
      <c r="H39684" t="s">
        <v>34900</v>
      </c>
    </row>
    <row r="39685" spans="6:8">
      <c r="H39685" t="s">
        <v>34901</v>
      </c>
    </row>
    <row r="39686" spans="6:8">
      <c r="H39686" t="s">
        <v>34902</v>
      </c>
    </row>
    <row r="39687" spans="6:8">
      <c r="H39687" t="s">
        <v>34020</v>
      </c>
    </row>
    <row r="39688" spans="6:8">
      <c r="H39688" t="s">
        <v>34903</v>
      </c>
    </row>
    <row r="39689" spans="6:8">
      <c r="H39689" t="s">
        <v>19019</v>
      </c>
    </row>
    <row r="39690" spans="6:8">
      <c r="H39690" t="s">
        <v>34904</v>
      </c>
    </row>
    <row r="39691" spans="6:8">
      <c r="F39691" t="s">
        <v>10700</v>
      </c>
      <c r="G39691" t="s">
        <v>15100</v>
      </c>
      <c r="H39691" t="s">
        <v>18829</v>
      </c>
    </row>
    <row r="39692" spans="6:8">
      <c r="H39692" t="s">
        <v>18863</v>
      </c>
    </row>
    <row r="39693" spans="6:8">
      <c r="H39693" t="s">
        <v>34905</v>
      </c>
    </row>
    <row r="39694" spans="6:8">
      <c r="H39694" t="s">
        <v>34906</v>
      </c>
    </row>
    <row r="39695" spans="6:8">
      <c r="H39695" t="s">
        <v>22508</v>
      </c>
    </row>
    <row r="39696" spans="6:8">
      <c r="H39696" t="s">
        <v>34907</v>
      </c>
    </row>
    <row r="39697" spans="8:8">
      <c r="H39697" t="s">
        <v>34908</v>
      </c>
    </row>
    <row r="39698" spans="8:8">
      <c r="H39698" t="s">
        <v>34909</v>
      </c>
    </row>
    <row r="39699" spans="8:8">
      <c r="H39699" t="s">
        <v>34910</v>
      </c>
    </row>
    <row r="39700" spans="8:8">
      <c r="H39700" t="s">
        <v>34911</v>
      </c>
    </row>
    <row r="39701" spans="8:8">
      <c r="H39701" t="s">
        <v>34912</v>
      </c>
    </row>
    <row r="39702" spans="8:8">
      <c r="H39702" t="s">
        <v>34913</v>
      </c>
    </row>
    <row r="39703" spans="8:8">
      <c r="H39703" t="s">
        <v>34914</v>
      </c>
    </row>
    <row r="39704" spans="8:8">
      <c r="H39704" t="s">
        <v>34915</v>
      </c>
    </row>
    <row r="39705" spans="8:8">
      <c r="H39705" t="s">
        <v>34916</v>
      </c>
    </row>
    <row r="39706" spans="8:8">
      <c r="H39706" t="s">
        <v>34917</v>
      </c>
    </row>
    <row r="39707" spans="8:8">
      <c r="H39707" t="s">
        <v>25838</v>
      </c>
    </row>
    <row r="39708" spans="8:8">
      <c r="H39708" t="s">
        <v>34918</v>
      </c>
    </row>
    <row r="39709" spans="8:8">
      <c r="H39709" t="s">
        <v>34919</v>
      </c>
    </row>
    <row r="39710" spans="8:8">
      <c r="H39710" t="s">
        <v>34920</v>
      </c>
    </row>
    <row r="39711" spans="8:8">
      <c r="H39711" t="s">
        <v>25839</v>
      </c>
    </row>
    <row r="39712" spans="8:8">
      <c r="H39712" t="s">
        <v>27479</v>
      </c>
    </row>
    <row r="39713" spans="8:8">
      <c r="H39713" t="s">
        <v>32382</v>
      </c>
    </row>
    <row r="39714" spans="8:8">
      <c r="H39714" t="s">
        <v>34921</v>
      </c>
    </row>
    <row r="39715" spans="8:8">
      <c r="H39715" t="s">
        <v>34922</v>
      </c>
    </row>
    <row r="39716" spans="8:8">
      <c r="H39716" t="s">
        <v>34923</v>
      </c>
    </row>
    <row r="39717" spans="8:8">
      <c r="H39717" t="s">
        <v>34924</v>
      </c>
    </row>
    <row r="39718" spans="8:8">
      <c r="H39718" t="s">
        <v>34925</v>
      </c>
    </row>
    <row r="39719" spans="8:8">
      <c r="H39719" t="s">
        <v>34926</v>
      </c>
    </row>
    <row r="39720" spans="8:8">
      <c r="H39720" t="s">
        <v>34927</v>
      </c>
    </row>
    <row r="39721" spans="8:8">
      <c r="H39721" t="s">
        <v>34928</v>
      </c>
    </row>
    <row r="39722" spans="8:8">
      <c r="H39722" t="s">
        <v>34929</v>
      </c>
    </row>
    <row r="39723" spans="8:8">
      <c r="H39723" t="s">
        <v>34930</v>
      </c>
    </row>
    <row r="39724" spans="8:8">
      <c r="H39724" t="s">
        <v>34931</v>
      </c>
    </row>
    <row r="39725" spans="8:8">
      <c r="H39725" t="s">
        <v>34932</v>
      </c>
    </row>
    <row r="39726" spans="8:8">
      <c r="H39726" t="s">
        <v>34933</v>
      </c>
    </row>
    <row r="39727" spans="8:8">
      <c r="H39727" t="s">
        <v>34934</v>
      </c>
    </row>
    <row r="39728" spans="8:8">
      <c r="H39728" t="s">
        <v>34935</v>
      </c>
    </row>
    <row r="39729" spans="8:8">
      <c r="H39729" t="s">
        <v>34676</v>
      </c>
    </row>
    <row r="39730" spans="8:8">
      <c r="H39730" t="s">
        <v>34936</v>
      </c>
    </row>
    <row r="39731" spans="8:8">
      <c r="H39731" t="s">
        <v>34937</v>
      </c>
    </row>
    <row r="39732" spans="8:8">
      <c r="H39732" t="s">
        <v>34938</v>
      </c>
    </row>
    <row r="39733" spans="8:8">
      <c r="H39733" t="s">
        <v>19372</v>
      </c>
    </row>
    <row r="39734" spans="8:8">
      <c r="H39734" t="s">
        <v>18930</v>
      </c>
    </row>
    <row r="39735" spans="8:8">
      <c r="H39735" t="s">
        <v>34939</v>
      </c>
    </row>
    <row r="39736" spans="8:8">
      <c r="H39736" t="s">
        <v>34940</v>
      </c>
    </row>
    <row r="39737" spans="8:8">
      <c r="H39737" t="s">
        <v>20177</v>
      </c>
    </row>
    <row r="39738" spans="8:8">
      <c r="H39738" t="s">
        <v>33901</v>
      </c>
    </row>
    <row r="39739" spans="8:8">
      <c r="H39739" t="s">
        <v>34827</v>
      </c>
    </row>
    <row r="39740" spans="8:8">
      <c r="H39740" t="s">
        <v>34941</v>
      </c>
    </row>
    <row r="39741" spans="8:8">
      <c r="H39741" t="s">
        <v>34942</v>
      </c>
    </row>
    <row r="39742" spans="8:8">
      <c r="H39742" t="s">
        <v>34943</v>
      </c>
    </row>
    <row r="39743" spans="8:8">
      <c r="H39743" t="s">
        <v>34944</v>
      </c>
    </row>
    <row r="39744" spans="8:8">
      <c r="H39744" t="s">
        <v>34945</v>
      </c>
    </row>
    <row r="39745" spans="8:8">
      <c r="H39745" t="s">
        <v>34946</v>
      </c>
    </row>
    <row r="39746" spans="8:8">
      <c r="H39746" t="s">
        <v>34947</v>
      </c>
    </row>
    <row r="39747" spans="8:8">
      <c r="H39747" t="s">
        <v>34948</v>
      </c>
    </row>
    <row r="39748" spans="8:8">
      <c r="H39748" t="s">
        <v>34949</v>
      </c>
    </row>
    <row r="39749" spans="8:8">
      <c r="H39749" t="s">
        <v>34950</v>
      </c>
    </row>
    <row r="39750" spans="8:8">
      <c r="H39750" t="s">
        <v>34951</v>
      </c>
    </row>
    <row r="39751" spans="8:8">
      <c r="H39751" t="s">
        <v>34952</v>
      </c>
    </row>
    <row r="39752" spans="8:8">
      <c r="H39752" t="s">
        <v>34953</v>
      </c>
    </row>
    <row r="39753" spans="8:8">
      <c r="H39753" t="s">
        <v>34954</v>
      </c>
    </row>
    <row r="39754" spans="8:8">
      <c r="H39754" t="s">
        <v>34955</v>
      </c>
    </row>
    <row r="39755" spans="8:8">
      <c r="H39755" t="s">
        <v>34956</v>
      </c>
    </row>
    <row r="39756" spans="8:8">
      <c r="H39756" t="s">
        <v>34957</v>
      </c>
    </row>
    <row r="39757" spans="8:8">
      <c r="H39757" t="s">
        <v>34958</v>
      </c>
    </row>
    <row r="39758" spans="8:8">
      <c r="H39758" t="s">
        <v>34959</v>
      </c>
    </row>
    <row r="39759" spans="8:8">
      <c r="H39759" t="s">
        <v>34960</v>
      </c>
    </row>
    <row r="39760" spans="8:8">
      <c r="H39760" t="s">
        <v>34006</v>
      </c>
    </row>
    <row r="39761" spans="6:8">
      <c r="H39761" t="s">
        <v>34961</v>
      </c>
    </row>
    <row r="39762" spans="6:8">
      <c r="H39762" t="s">
        <v>34962</v>
      </c>
    </row>
    <row r="39763" spans="6:8">
      <c r="H39763" t="s">
        <v>34963</v>
      </c>
    </row>
    <row r="39764" spans="6:8">
      <c r="H39764" t="s">
        <v>31668</v>
      </c>
    </row>
    <row r="39765" spans="6:8">
      <c r="H39765" t="s">
        <v>32385</v>
      </c>
    </row>
    <row r="39766" spans="6:8">
      <c r="H39766" t="s">
        <v>34964</v>
      </c>
    </row>
    <row r="39767" spans="6:8">
      <c r="H39767" t="s">
        <v>34965</v>
      </c>
    </row>
    <row r="39768" spans="6:8">
      <c r="H39768" t="s">
        <v>34966</v>
      </c>
    </row>
    <row r="39769" spans="6:8">
      <c r="F39769" t="s">
        <v>14306</v>
      </c>
      <c r="G39769" t="s">
        <v>18263</v>
      </c>
      <c r="H39769" t="s">
        <v>34967</v>
      </c>
    </row>
    <row r="39770" spans="6:8">
      <c r="F39770" t="s">
        <v>13837</v>
      </c>
      <c r="G39770" t="s">
        <v>17880</v>
      </c>
      <c r="H39770" t="s">
        <v>18829</v>
      </c>
    </row>
    <row r="39771" spans="6:8">
      <c r="H39771" t="s">
        <v>18863</v>
      </c>
    </row>
    <row r="39772" spans="6:8">
      <c r="H39772" t="s">
        <v>34968</v>
      </c>
    </row>
    <row r="39773" spans="6:8">
      <c r="H39773" t="s">
        <v>34969</v>
      </c>
    </row>
    <row r="39774" spans="6:8">
      <c r="H39774" t="s">
        <v>27735</v>
      </c>
    </row>
    <row r="39775" spans="6:8">
      <c r="H39775" t="s">
        <v>34970</v>
      </c>
    </row>
    <row r="39776" spans="6:8">
      <c r="H39776" t="s">
        <v>34971</v>
      </c>
    </row>
    <row r="39777" spans="8:8">
      <c r="H39777" t="s">
        <v>34972</v>
      </c>
    </row>
    <row r="39778" spans="8:8">
      <c r="H39778" t="s">
        <v>34973</v>
      </c>
    </row>
    <row r="39779" spans="8:8">
      <c r="H39779" t="s">
        <v>34974</v>
      </c>
    </row>
    <row r="39780" spans="8:8">
      <c r="H39780" t="s">
        <v>34975</v>
      </c>
    </row>
    <row r="39781" spans="8:8">
      <c r="H39781" t="s">
        <v>34975</v>
      </c>
    </row>
    <row r="39782" spans="8:8">
      <c r="H39782" t="s">
        <v>31970</v>
      </c>
    </row>
    <row r="39783" spans="8:8">
      <c r="H39783" t="s">
        <v>31970</v>
      </c>
    </row>
    <row r="39784" spans="8:8">
      <c r="H39784" t="s">
        <v>34976</v>
      </c>
    </row>
    <row r="39785" spans="8:8">
      <c r="H39785" t="s">
        <v>31971</v>
      </c>
    </row>
    <row r="39786" spans="8:8">
      <c r="H39786" t="s">
        <v>20177</v>
      </c>
    </row>
    <row r="39787" spans="8:8">
      <c r="H39787" t="s">
        <v>31967</v>
      </c>
    </row>
    <row r="39788" spans="8:8">
      <c r="H39788" t="s">
        <v>34977</v>
      </c>
    </row>
    <row r="39789" spans="8:8">
      <c r="H39789" t="s">
        <v>34978</v>
      </c>
    </row>
    <row r="39790" spans="8:8">
      <c r="H39790" t="s">
        <v>34979</v>
      </c>
    </row>
    <row r="39791" spans="8:8">
      <c r="H39791" t="s">
        <v>31852</v>
      </c>
    </row>
    <row r="39792" spans="8:8">
      <c r="H39792" t="s">
        <v>34980</v>
      </c>
    </row>
    <row r="39793" spans="8:8">
      <c r="H39793" t="s">
        <v>34981</v>
      </c>
    </row>
    <row r="39794" spans="8:8">
      <c r="H39794" t="s">
        <v>34982</v>
      </c>
    </row>
    <row r="39795" spans="8:8">
      <c r="H39795" t="s">
        <v>34983</v>
      </c>
    </row>
    <row r="39796" spans="8:8">
      <c r="H39796" t="s">
        <v>34984</v>
      </c>
    </row>
    <row r="39797" spans="8:8">
      <c r="H39797" t="s">
        <v>34985</v>
      </c>
    </row>
    <row r="39798" spans="8:8">
      <c r="H39798" t="s">
        <v>34986</v>
      </c>
    </row>
    <row r="39799" spans="8:8">
      <c r="H39799" t="s">
        <v>34987</v>
      </c>
    </row>
    <row r="39800" spans="8:8">
      <c r="H39800" t="s">
        <v>34988</v>
      </c>
    </row>
    <row r="39801" spans="8:8">
      <c r="H39801" t="s">
        <v>34989</v>
      </c>
    </row>
    <row r="39802" spans="8:8">
      <c r="H39802" t="s">
        <v>34990</v>
      </c>
    </row>
    <row r="39803" spans="8:8">
      <c r="H39803" t="s">
        <v>34991</v>
      </c>
    </row>
    <row r="39804" spans="8:8">
      <c r="H39804" t="s">
        <v>34992</v>
      </c>
    </row>
    <row r="39805" spans="8:8">
      <c r="H39805" t="s">
        <v>34993</v>
      </c>
    </row>
    <row r="39806" spans="8:8">
      <c r="H39806" t="s">
        <v>34994</v>
      </c>
    </row>
    <row r="39807" spans="8:8">
      <c r="H39807" t="s">
        <v>34995</v>
      </c>
    </row>
    <row r="39808" spans="8:8">
      <c r="H39808" t="s">
        <v>34996</v>
      </c>
    </row>
    <row r="39809" spans="8:8">
      <c r="H39809" t="s">
        <v>34997</v>
      </c>
    </row>
    <row r="39810" spans="8:8">
      <c r="H39810" t="s">
        <v>31970</v>
      </c>
    </row>
    <row r="39811" spans="8:8">
      <c r="H39811" t="s">
        <v>34976</v>
      </c>
    </row>
    <row r="39812" spans="8:8">
      <c r="H39812" t="s">
        <v>34998</v>
      </c>
    </row>
    <row r="39813" spans="8:8">
      <c r="H39813" t="s">
        <v>34999</v>
      </c>
    </row>
    <row r="39814" spans="8:8">
      <c r="H39814" t="s">
        <v>35000</v>
      </c>
    </row>
    <row r="39815" spans="8:8">
      <c r="H39815" t="s">
        <v>35001</v>
      </c>
    </row>
    <row r="39816" spans="8:8">
      <c r="H39816" t="s">
        <v>31971</v>
      </c>
    </row>
    <row r="39817" spans="8:8">
      <c r="H39817" t="s">
        <v>20177</v>
      </c>
    </row>
    <row r="39818" spans="8:8">
      <c r="H39818" t="s">
        <v>35002</v>
      </c>
    </row>
    <row r="39819" spans="8:8">
      <c r="H39819" t="s">
        <v>35003</v>
      </c>
    </row>
    <row r="39820" spans="8:8">
      <c r="H39820" t="s">
        <v>35004</v>
      </c>
    </row>
    <row r="39821" spans="8:8">
      <c r="H39821" t="s">
        <v>35005</v>
      </c>
    </row>
    <row r="39822" spans="8:8">
      <c r="H39822" t="s">
        <v>35006</v>
      </c>
    </row>
    <row r="39823" spans="8:8">
      <c r="H39823" t="s">
        <v>35007</v>
      </c>
    </row>
    <row r="39824" spans="8:8">
      <c r="H39824" t="s">
        <v>35008</v>
      </c>
    </row>
    <row r="39825" spans="6:8">
      <c r="H39825" t="s">
        <v>35009</v>
      </c>
    </row>
    <row r="39826" spans="6:8">
      <c r="H39826" t="s">
        <v>35010</v>
      </c>
    </row>
    <row r="39827" spans="6:8">
      <c r="H39827" t="s">
        <v>35011</v>
      </c>
    </row>
    <row r="39828" spans="6:8">
      <c r="H39828" t="s">
        <v>35012</v>
      </c>
    </row>
    <row r="39829" spans="6:8">
      <c r="H39829" t="s">
        <v>35013</v>
      </c>
    </row>
    <row r="39830" spans="6:8">
      <c r="H39830" t="s">
        <v>35014</v>
      </c>
    </row>
    <row r="39831" spans="6:8">
      <c r="H39831" t="s">
        <v>35015</v>
      </c>
    </row>
    <row r="39832" spans="6:8">
      <c r="F39832" t="s">
        <v>12201</v>
      </c>
      <c r="G39832" t="s">
        <v>16439</v>
      </c>
      <c r="H39832" t="s">
        <v>18829</v>
      </c>
    </row>
    <row r="39833" spans="6:8">
      <c r="H39833" t="s">
        <v>21327</v>
      </c>
    </row>
    <row r="39834" spans="6:8">
      <c r="H39834" t="s">
        <v>21328</v>
      </c>
    </row>
    <row r="39835" spans="6:8">
      <c r="H39835" t="s">
        <v>35016</v>
      </c>
    </row>
    <row r="39836" spans="6:8">
      <c r="H39836" t="s">
        <v>35017</v>
      </c>
    </row>
    <row r="39837" spans="6:8">
      <c r="F39837" t="s">
        <v>14222</v>
      </c>
      <c r="G39837" t="s">
        <v>18195</v>
      </c>
      <c r="H39837" t="s">
        <v>35018</v>
      </c>
    </row>
    <row r="39838" spans="6:8">
      <c r="H39838" t="s">
        <v>18863</v>
      </c>
    </row>
    <row r="39839" spans="6:8">
      <c r="H39839" t="s">
        <v>34106</v>
      </c>
    </row>
    <row r="39840" spans="6:8">
      <c r="H39840" t="s">
        <v>35019</v>
      </c>
    </row>
    <row r="39841" spans="8:8">
      <c r="H39841" t="s">
        <v>35020</v>
      </c>
    </row>
    <row r="39842" spans="8:8">
      <c r="H39842" t="s">
        <v>35020</v>
      </c>
    </row>
    <row r="39843" spans="8:8">
      <c r="H39843" t="s">
        <v>35021</v>
      </c>
    </row>
    <row r="39844" spans="8:8">
      <c r="H39844" t="s">
        <v>35022</v>
      </c>
    </row>
    <row r="39845" spans="8:8">
      <c r="H39845" t="s">
        <v>35023</v>
      </c>
    </row>
    <row r="39846" spans="8:8">
      <c r="H39846" t="s">
        <v>35024</v>
      </c>
    </row>
    <row r="39847" spans="8:8">
      <c r="H39847" t="s">
        <v>35025</v>
      </c>
    </row>
    <row r="39848" spans="8:8">
      <c r="H39848" t="s">
        <v>35026</v>
      </c>
    </row>
    <row r="39849" spans="8:8">
      <c r="H39849" t="s">
        <v>35027</v>
      </c>
    </row>
    <row r="39850" spans="8:8">
      <c r="H39850" t="s">
        <v>35028</v>
      </c>
    </row>
    <row r="39851" spans="8:8">
      <c r="H39851" t="s">
        <v>35029</v>
      </c>
    </row>
    <row r="39852" spans="8:8">
      <c r="H39852" t="s">
        <v>35030</v>
      </c>
    </row>
    <row r="39853" spans="8:8">
      <c r="H39853" t="s">
        <v>35031</v>
      </c>
    </row>
    <row r="39854" spans="8:8">
      <c r="H39854" t="s">
        <v>35032</v>
      </c>
    </row>
    <row r="39855" spans="8:8">
      <c r="H39855" t="s">
        <v>35033</v>
      </c>
    </row>
    <row r="39856" spans="8:8">
      <c r="H39856" t="s">
        <v>35034</v>
      </c>
    </row>
    <row r="39857" spans="6:8">
      <c r="H39857" t="s">
        <v>35035</v>
      </c>
    </row>
    <row r="39858" spans="6:8">
      <c r="H39858" t="s">
        <v>35036</v>
      </c>
    </row>
    <row r="39859" spans="6:8">
      <c r="H39859" t="s">
        <v>35037</v>
      </c>
    </row>
    <row r="39860" spans="6:8">
      <c r="H39860" t="s">
        <v>35038</v>
      </c>
    </row>
    <row r="39861" spans="6:8">
      <c r="H39861" t="s">
        <v>35039</v>
      </c>
    </row>
    <row r="39862" spans="6:8">
      <c r="F39862" t="s">
        <v>14307</v>
      </c>
      <c r="G39862" t="s">
        <v>18264</v>
      </c>
      <c r="H39862" t="s">
        <v>35040</v>
      </c>
    </row>
    <row r="39863" spans="6:8">
      <c r="H39863" t="s">
        <v>35041</v>
      </c>
    </row>
    <row r="39864" spans="6:8">
      <c r="H39864" t="s">
        <v>35042</v>
      </c>
    </row>
    <row r="39865" spans="6:8">
      <c r="H39865" t="s">
        <v>35043</v>
      </c>
    </row>
    <row r="39866" spans="6:8">
      <c r="H39866" t="s">
        <v>35044</v>
      </c>
    </row>
    <row r="39867" spans="6:8">
      <c r="H39867" t="s">
        <v>35045</v>
      </c>
    </row>
    <row r="39868" spans="6:8">
      <c r="H39868" t="s">
        <v>35046</v>
      </c>
    </row>
    <row r="39869" spans="6:8">
      <c r="H39869" t="s">
        <v>35047</v>
      </c>
    </row>
    <row r="39870" spans="6:8">
      <c r="F39870" t="s">
        <v>14159</v>
      </c>
      <c r="G39870" t="s">
        <v>18145</v>
      </c>
      <c r="H39870" t="s">
        <v>18829</v>
      </c>
    </row>
    <row r="39871" spans="6:8">
      <c r="H39871" t="s">
        <v>18836</v>
      </c>
    </row>
    <row r="39872" spans="6:8">
      <c r="H39872" t="s">
        <v>35048</v>
      </c>
    </row>
    <row r="39873" spans="6:8">
      <c r="H39873" t="s">
        <v>35049</v>
      </c>
    </row>
    <row r="39874" spans="6:8">
      <c r="H39874" t="s">
        <v>35050</v>
      </c>
    </row>
    <row r="39875" spans="6:8">
      <c r="F39875" t="s">
        <v>14308</v>
      </c>
      <c r="G39875" t="s">
        <v>18265</v>
      </c>
      <c r="H39875" t="s">
        <v>18829</v>
      </c>
    </row>
    <row r="39876" spans="6:8">
      <c r="H39876" t="s">
        <v>26408</v>
      </c>
    </row>
    <row r="39877" spans="6:8">
      <c r="H39877" t="s">
        <v>30464</v>
      </c>
    </row>
    <row r="39878" spans="6:8">
      <c r="H39878" t="s">
        <v>30466</v>
      </c>
    </row>
    <row r="39879" spans="6:8">
      <c r="H39879" t="s">
        <v>35051</v>
      </c>
    </row>
    <row r="39880" spans="6:8">
      <c r="H39880" t="s">
        <v>35052</v>
      </c>
    </row>
    <row r="39881" spans="6:8">
      <c r="H39881" t="s">
        <v>35053</v>
      </c>
    </row>
    <row r="39882" spans="6:8">
      <c r="H39882" t="s">
        <v>30466</v>
      </c>
    </row>
    <row r="39883" spans="6:8">
      <c r="H39883" t="s">
        <v>25704</v>
      </c>
    </row>
    <row r="39884" spans="6:8">
      <c r="H39884" t="s">
        <v>35054</v>
      </c>
    </row>
    <row r="39885" spans="6:8">
      <c r="H39885" t="s">
        <v>35055</v>
      </c>
    </row>
    <row r="39886" spans="6:8">
      <c r="H39886" t="s">
        <v>35056</v>
      </c>
    </row>
    <row r="39887" spans="6:8">
      <c r="H39887" t="s">
        <v>35057</v>
      </c>
    </row>
    <row r="39888" spans="6:8">
      <c r="H39888" t="s">
        <v>35058</v>
      </c>
    </row>
    <row r="39889" spans="8:8">
      <c r="H39889" t="s">
        <v>35059</v>
      </c>
    </row>
    <row r="39890" spans="8:8">
      <c r="H39890" t="s">
        <v>35059</v>
      </c>
    </row>
    <row r="39891" spans="8:8">
      <c r="H39891" t="s">
        <v>35052</v>
      </c>
    </row>
    <row r="39892" spans="8:8">
      <c r="H39892" t="s">
        <v>35058</v>
      </c>
    </row>
    <row r="39893" spans="8:8">
      <c r="H39893" t="s">
        <v>30466</v>
      </c>
    </row>
    <row r="39894" spans="8:8">
      <c r="H39894" t="s">
        <v>25704</v>
      </c>
    </row>
    <row r="39895" spans="8:8">
      <c r="H39895" t="s">
        <v>35053</v>
      </c>
    </row>
    <row r="39896" spans="8:8">
      <c r="H39896" t="s">
        <v>35054</v>
      </c>
    </row>
    <row r="39897" spans="8:8">
      <c r="H39897" t="s">
        <v>35055</v>
      </c>
    </row>
    <row r="39898" spans="8:8">
      <c r="H39898" t="s">
        <v>35060</v>
      </c>
    </row>
    <row r="39899" spans="8:8">
      <c r="H39899" t="s">
        <v>35052</v>
      </c>
    </row>
    <row r="39900" spans="8:8">
      <c r="H39900" t="s">
        <v>35053</v>
      </c>
    </row>
    <row r="39901" spans="8:8">
      <c r="H39901" t="s">
        <v>30466</v>
      </c>
    </row>
    <row r="39902" spans="8:8">
      <c r="H39902" t="s">
        <v>25704</v>
      </c>
    </row>
    <row r="39903" spans="8:8">
      <c r="H39903" t="s">
        <v>35054</v>
      </c>
    </row>
    <row r="39904" spans="8:8">
      <c r="H39904" t="s">
        <v>35055</v>
      </c>
    </row>
    <row r="39905" spans="8:8">
      <c r="H39905" t="s">
        <v>35061</v>
      </c>
    </row>
    <row r="39906" spans="8:8">
      <c r="H39906" t="s">
        <v>35062</v>
      </c>
    </row>
    <row r="39907" spans="8:8">
      <c r="H39907" t="s">
        <v>35063</v>
      </c>
    </row>
    <row r="39908" spans="8:8">
      <c r="H39908" t="s">
        <v>35064</v>
      </c>
    </row>
    <row r="39909" spans="8:8">
      <c r="H39909" t="s">
        <v>35065</v>
      </c>
    </row>
    <row r="39910" spans="8:8">
      <c r="H39910" t="s">
        <v>35066</v>
      </c>
    </row>
    <row r="39911" spans="8:8">
      <c r="H39911" t="s">
        <v>35067</v>
      </c>
    </row>
    <row r="39912" spans="8:8">
      <c r="H39912" t="s">
        <v>35068</v>
      </c>
    </row>
    <row r="39913" spans="8:8">
      <c r="H39913" t="s">
        <v>30465</v>
      </c>
    </row>
    <row r="39914" spans="8:8">
      <c r="H39914" t="s">
        <v>35069</v>
      </c>
    </row>
    <row r="39915" spans="8:8">
      <c r="H39915" t="s">
        <v>35070</v>
      </c>
    </row>
    <row r="39916" spans="8:8">
      <c r="H39916" t="s">
        <v>35071</v>
      </c>
    </row>
    <row r="39917" spans="8:8">
      <c r="H39917" t="s">
        <v>35072</v>
      </c>
    </row>
    <row r="39918" spans="8:8">
      <c r="H39918" t="s">
        <v>35073</v>
      </c>
    </row>
    <row r="39919" spans="8:8">
      <c r="H39919" t="s">
        <v>35074</v>
      </c>
    </row>
    <row r="39920" spans="8:8">
      <c r="H39920" t="s">
        <v>35075</v>
      </c>
    </row>
    <row r="39921" spans="6:8">
      <c r="F39921" t="s">
        <v>13309</v>
      </c>
      <c r="G39921" t="s">
        <v>17442</v>
      </c>
      <c r="H39921" t="s">
        <v>29102</v>
      </c>
    </row>
    <row r="39922" spans="6:8">
      <c r="H39922" t="s">
        <v>35076</v>
      </c>
    </row>
    <row r="39923" spans="6:8">
      <c r="H39923" t="s">
        <v>35077</v>
      </c>
    </row>
    <row r="39924" spans="6:8">
      <c r="H39924" t="s">
        <v>35078</v>
      </c>
    </row>
    <row r="39925" spans="6:8">
      <c r="H39925" t="s">
        <v>35079</v>
      </c>
    </row>
    <row r="39926" spans="6:8">
      <c r="H39926" t="s">
        <v>29103</v>
      </c>
    </row>
    <row r="39927" spans="6:8">
      <c r="H39927" t="s">
        <v>35080</v>
      </c>
    </row>
    <row r="39928" spans="6:8">
      <c r="H39928" t="s">
        <v>35081</v>
      </c>
    </row>
    <row r="39929" spans="6:8">
      <c r="H39929" t="s">
        <v>35082</v>
      </c>
    </row>
    <row r="39930" spans="6:8">
      <c r="H39930" t="s">
        <v>35083</v>
      </c>
    </row>
    <row r="39931" spans="6:8">
      <c r="H39931" t="s">
        <v>35084</v>
      </c>
    </row>
    <row r="39932" spans="6:8">
      <c r="H39932" t="s">
        <v>35085</v>
      </c>
    </row>
    <row r="39933" spans="6:8">
      <c r="H39933" t="s">
        <v>35086</v>
      </c>
    </row>
    <row r="39934" spans="6:8">
      <c r="H39934" t="s">
        <v>35087</v>
      </c>
    </row>
    <row r="39935" spans="6:8">
      <c r="H39935" t="s">
        <v>35088</v>
      </c>
    </row>
    <row r="39936" spans="6:8">
      <c r="H39936" t="s">
        <v>35089</v>
      </c>
    </row>
    <row r="39937" spans="8:8">
      <c r="H39937" t="s">
        <v>35090</v>
      </c>
    </row>
    <row r="39938" spans="8:8">
      <c r="H39938" t="s">
        <v>35091</v>
      </c>
    </row>
    <row r="39939" spans="8:8">
      <c r="H39939" t="s">
        <v>35092</v>
      </c>
    </row>
    <row r="39940" spans="8:8">
      <c r="H39940" t="s">
        <v>35093</v>
      </c>
    </row>
    <row r="39941" spans="8:8">
      <c r="H39941" t="s">
        <v>35094</v>
      </c>
    </row>
    <row r="39942" spans="8:8">
      <c r="H39942" t="s">
        <v>35095</v>
      </c>
    </row>
    <row r="39943" spans="8:8">
      <c r="H39943" t="s">
        <v>35096</v>
      </c>
    </row>
    <row r="39944" spans="8:8">
      <c r="H39944" t="s">
        <v>35097</v>
      </c>
    </row>
    <row r="39945" spans="8:8">
      <c r="H39945" t="s">
        <v>35098</v>
      </c>
    </row>
    <row r="39946" spans="8:8">
      <c r="H39946" t="s">
        <v>35099</v>
      </c>
    </row>
    <row r="39947" spans="8:8">
      <c r="H39947" t="s">
        <v>35100</v>
      </c>
    </row>
    <row r="39948" spans="8:8">
      <c r="H39948" t="s">
        <v>35101</v>
      </c>
    </row>
    <row r="39949" spans="8:8">
      <c r="H39949" t="s">
        <v>35102</v>
      </c>
    </row>
    <row r="39950" spans="8:8">
      <c r="H39950" t="s">
        <v>35103</v>
      </c>
    </row>
    <row r="39951" spans="8:8">
      <c r="H39951" t="s">
        <v>35104</v>
      </c>
    </row>
    <row r="39952" spans="8:8">
      <c r="H39952" t="s">
        <v>35105</v>
      </c>
    </row>
    <row r="39953" spans="8:8">
      <c r="H39953" t="s">
        <v>35106</v>
      </c>
    </row>
    <row r="39954" spans="8:8">
      <c r="H39954" t="s">
        <v>35107</v>
      </c>
    </row>
    <row r="39955" spans="8:8">
      <c r="H39955" t="s">
        <v>35108</v>
      </c>
    </row>
    <row r="39956" spans="8:8">
      <c r="H39956" t="s">
        <v>35109</v>
      </c>
    </row>
    <row r="39957" spans="8:8">
      <c r="H39957" t="s">
        <v>35110</v>
      </c>
    </row>
    <row r="39958" spans="8:8">
      <c r="H39958" t="s">
        <v>35111</v>
      </c>
    </row>
    <row r="39959" spans="8:8">
      <c r="H39959" t="s">
        <v>35112</v>
      </c>
    </row>
    <row r="39960" spans="8:8">
      <c r="H39960" t="s">
        <v>35113</v>
      </c>
    </row>
    <row r="39961" spans="8:8">
      <c r="H39961" t="s">
        <v>35114</v>
      </c>
    </row>
    <row r="39962" spans="8:8">
      <c r="H39962" t="s">
        <v>35115</v>
      </c>
    </row>
    <row r="39963" spans="8:8">
      <c r="H39963" t="s">
        <v>35116</v>
      </c>
    </row>
    <row r="39964" spans="8:8">
      <c r="H39964" t="s">
        <v>35117</v>
      </c>
    </row>
    <row r="39965" spans="8:8">
      <c r="H39965" t="s">
        <v>35118</v>
      </c>
    </row>
    <row r="39966" spans="8:8">
      <c r="H39966" t="s">
        <v>35119</v>
      </c>
    </row>
    <row r="39967" spans="8:8">
      <c r="H39967" t="s">
        <v>35120</v>
      </c>
    </row>
    <row r="39968" spans="8:8">
      <c r="H39968" t="s">
        <v>35121</v>
      </c>
    </row>
    <row r="39969" spans="8:8">
      <c r="H39969" t="s">
        <v>35122</v>
      </c>
    </row>
    <row r="39970" spans="8:8">
      <c r="H39970" t="s">
        <v>35123</v>
      </c>
    </row>
    <row r="39971" spans="8:8">
      <c r="H39971" t="s">
        <v>35124</v>
      </c>
    </row>
    <row r="39972" spans="8:8">
      <c r="H39972" t="s">
        <v>35125</v>
      </c>
    </row>
    <row r="39973" spans="8:8">
      <c r="H39973" t="s">
        <v>35126</v>
      </c>
    </row>
    <row r="39974" spans="8:8">
      <c r="H39974" t="s">
        <v>35127</v>
      </c>
    </row>
    <row r="39975" spans="8:8">
      <c r="H39975" t="s">
        <v>35128</v>
      </c>
    </row>
    <row r="39976" spans="8:8">
      <c r="H39976" t="s">
        <v>35129</v>
      </c>
    </row>
    <row r="39977" spans="8:8">
      <c r="H39977" t="s">
        <v>35130</v>
      </c>
    </row>
    <row r="39978" spans="8:8">
      <c r="H39978" t="s">
        <v>35131</v>
      </c>
    </row>
    <row r="39979" spans="8:8">
      <c r="H39979" t="s">
        <v>35132</v>
      </c>
    </row>
    <row r="39980" spans="8:8">
      <c r="H39980" t="s">
        <v>35133</v>
      </c>
    </row>
    <row r="39981" spans="8:8">
      <c r="H39981" t="s">
        <v>35134</v>
      </c>
    </row>
    <row r="39982" spans="8:8">
      <c r="H39982" t="s">
        <v>35135</v>
      </c>
    </row>
    <row r="39983" spans="8:8">
      <c r="H39983" t="s">
        <v>35136</v>
      </c>
    </row>
    <row r="39984" spans="8:8">
      <c r="H39984" t="s">
        <v>35137</v>
      </c>
    </row>
    <row r="39985" spans="8:8">
      <c r="H39985" t="s">
        <v>35138</v>
      </c>
    </row>
    <row r="39986" spans="8:8">
      <c r="H39986" t="s">
        <v>35139</v>
      </c>
    </row>
    <row r="39987" spans="8:8">
      <c r="H39987" t="s">
        <v>35140</v>
      </c>
    </row>
    <row r="39988" spans="8:8">
      <c r="H39988" t="s">
        <v>35141</v>
      </c>
    </row>
    <row r="39989" spans="8:8">
      <c r="H39989" t="s">
        <v>35142</v>
      </c>
    </row>
    <row r="39990" spans="8:8">
      <c r="H39990" t="s">
        <v>35143</v>
      </c>
    </row>
    <row r="39991" spans="8:8">
      <c r="H39991" t="s">
        <v>35144</v>
      </c>
    </row>
    <row r="39992" spans="8:8">
      <c r="H39992" t="s">
        <v>35145</v>
      </c>
    </row>
    <row r="39993" spans="8:8">
      <c r="H39993" t="s">
        <v>35146</v>
      </c>
    </row>
    <row r="39994" spans="8:8">
      <c r="H39994" t="s">
        <v>35147</v>
      </c>
    </row>
    <row r="39995" spans="8:8">
      <c r="H39995" t="s">
        <v>35148</v>
      </c>
    </row>
    <row r="39996" spans="8:8">
      <c r="H39996" t="s">
        <v>35149</v>
      </c>
    </row>
    <row r="39997" spans="8:8">
      <c r="H39997" t="s">
        <v>35150</v>
      </c>
    </row>
    <row r="39998" spans="8:8">
      <c r="H39998" t="s">
        <v>35151</v>
      </c>
    </row>
    <row r="39999" spans="8:8">
      <c r="H39999" t="s">
        <v>35152</v>
      </c>
    </row>
    <row r="40000" spans="8:8">
      <c r="H40000" t="s">
        <v>35153</v>
      </c>
    </row>
    <row r="40001" spans="6:8">
      <c r="H40001" t="s">
        <v>35154</v>
      </c>
    </row>
    <row r="40002" spans="6:8">
      <c r="H40002" t="s">
        <v>35155</v>
      </c>
    </row>
    <row r="40003" spans="6:8">
      <c r="H40003" t="s">
        <v>35156</v>
      </c>
    </row>
    <row r="40004" spans="6:8">
      <c r="F40004" t="s">
        <v>13928</v>
      </c>
      <c r="G40004" t="s">
        <v>17964</v>
      </c>
      <c r="H40004" t="s">
        <v>35157</v>
      </c>
    </row>
    <row r="40005" spans="6:8">
      <c r="H40005" t="s">
        <v>18829</v>
      </c>
    </row>
    <row r="40006" spans="6:8">
      <c r="H40006" t="s">
        <v>35158</v>
      </c>
    </row>
    <row r="40007" spans="6:8">
      <c r="H40007" t="s">
        <v>35159</v>
      </c>
    </row>
    <row r="40008" spans="6:8">
      <c r="H40008" t="s">
        <v>35160</v>
      </c>
    </row>
    <row r="40009" spans="6:8">
      <c r="H40009" t="s">
        <v>35161</v>
      </c>
    </row>
    <row r="40010" spans="6:8">
      <c r="H40010" t="s">
        <v>35162</v>
      </c>
    </row>
    <row r="40011" spans="6:8">
      <c r="H40011" t="s">
        <v>35162</v>
      </c>
    </row>
    <row r="40012" spans="6:8">
      <c r="H40012" t="s">
        <v>35162</v>
      </c>
    </row>
    <row r="40013" spans="6:8">
      <c r="H40013" t="s">
        <v>35163</v>
      </c>
    </row>
    <row r="40014" spans="6:8">
      <c r="H40014" t="s">
        <v>35164</v>
      </c>
    </row>
    <row r="40015" spans="6:8">
      <c r="H40015" t="s">
        <v>35165</v>
      </c>
    </row>
    <row r="40016" spans="6:8">
      <c r="H40016" t="s">
        <v>35166</v>
      </c>
    </row>
    <row r="40017" spans="8:8">
      <c r="H40017" t="s">
        <v>35167</v>
      </c>
    </row>
    <row r="40018" spans="8:8">
      <c r="H40018" t="s">
        <v>35168</v>
      </c>
    </row>
    <row r="40019" spans="8:8">
      <c r="H40019" t="s">
        <v>35169</v>
      </c>
    </row>
    <row r="40020" spans="8:8">
      <c r="H40020" t="s">
        <v>35170</v>
      </c>
    </row>
    <row r="40021" spans="8:8">
      <c r="H40021" t="s">
        <v>35171</v>
      </c>
    </row>
    <row r="40022" spans="8:8">
      <c r="H40022" t="s">
        <v>35172</v>
      </c>
    </row>
    <row r="40023" spans="8:8">
      <c r="H40023" t="s">
        <v>35173</v>
      </c>
    </row>
    <row r="40024" spans="8:8">
      <c r="H40024" t="s">
        <v>35174</v>
      </c>
    </row>
    <row r="40025" spans="8:8">
      <c r="H40025" t="s">
        <v>35175</v>
      </c>
    </row>
    <row r="40026" spans="8:8">
      <c r="H40026" t="s">
        <v>35176</v>
      </c>
    </row>
    <row r="40027" spans="8:8">
      <c r="H40027" t="s">
        <v>35177</v>
      </c>
    </row>
    <row r="40028" spans="8:8">
      <c r="H40028" t="s">
        <v>35178</v>
      </c>
    </row>
    <row r="40029" spans="8:8">
      <c r="H40029" t="s">
        <v>35179</v>
      </c>
    </row>
    <row r="40030" spans="8:8">
      <c r="H40030" t="s">
        <v>35180</v>
      </c>
    </row>
    <row r="40031" spans="8:8">
      <c r="H40031" t="s">
        <v>35181</v>
      </c>
    </row>
    <row r="40032" spans="8:8">
      <c r="H40032" t="s">
        <v>35182</v>
      </c>
    </row>
    <row r="40033" spans="8:8">
      <c r="H40033" t="s">
        <v>35183</v>
      </c>
    </row>
    <row r="40034" spans="8:8">
      <c r="H40034" t="s">
        <v>35184</v>
      </c>
    </row>
    <row r="40035" spans="8:8">
      <c r="H40035" t="s">
        <v>35185</v>
      </c>
    </row>
    <row r="40036" spans="8:8">
      <c r="H40036" t="s">
        <v>35186</v>
      </c>
    </row>
    <row r="40037" spans="8:8">
      <c r="H40037" t="s">
        <v>35187</v>
      </c>
    </row>
    <row r="40038" spans="8:8">
      <c r="H40038" t="s">
        <v>35188</v>
      </c>
    </row>
    <row r="40039" spans="8:8">
      <c r="H40039" t="s">
        <v>35189</v>
      </c>
    </row>
    <row r="40040" spans="8:8">
      <c r="H40040" t="s">
        <v>35190</v>
      </c>
    </row>
    <row r="40041" spans="8:8">
      <c r="H40041" t="s">
        <v>35191</v>
      </c>
    </row>
    <row r="40042" spans="8:8">
      <c r="H40042" t="s">
        <v>35192</v>
      </c>
    </row>
    <row r="40043" spans="8:8">
      <c r="H40043" t="s">
        <v>35193</v>
      </c>
    </row>
    <row r="40044" spans="8:8">
      <c r="H40044" t="s">
        <v>35194</v>
      </c>
    </row>
    <row r="40045" spans="8:8">
      <c r="H40045" t="s">
        <v>35195</v>
      </c>
    </row>
    <row r="40046" spans="8:8">
      <c r="H40046" t="s">
        <v>35196</v>
      </c>
    </row>
    <row r="40047" spans="8:8">
      <c r="H40047" t="s">
        <v>35197</v>
      </c>
    </row>
    <row r="40048" spans="8:8">
      <c r="H40048" t="s">
        <v>35198</v>
      </c>
    </row>
    <row r="40049" spans="6:8">
      <c r="F40049" t="s">
        <v>12740</v>
      </c>
      <c r="G40049" t="s">
        <v>16932</v>
      </c>
      <c r="H40049" t="s">
        <v>35199</v>
      </c>
    </row>
    <row r="40050" spans="6:8">
      <c r="F40050" t="s">
        <v>10615</v>
      </c>
      <c r="G40050" t="s">
        <v>15018</v>
      </c>
      <c r="H40050" t="s">
        <v>35200</v>
      </c>
    </row>
    <row r="40051" spans="6:8">
      <c r="F40051" t="s">
        <v>10616</v>
      </c>
      <c r="G40051" t="s">
        <v>15019</v>
      </c>
      <c r="H40051" t="s">
        <v>19183</v>
      </c>
    </row>
    <row r="40052" spans="6:8">
      <c r="H40052" t="s">
        <v>19184</v>
      </c>
    </row>
    <row r="40053" spans="6:8">
      <c r="F40053" t="s">
        <v>13133</v>
      </c>
      <c r="G40053" t="s">
        <v>17291</v>
      </c>
      <c r="H40053" t="s">
        <v>35201</v>
      </c>
    </row>
    <row r="40054" spans="6:8">
      <c r="H40054" t="s">
        <v>25716</v>
      </c>
    </row>
    <row r="40055" spans="6:8">
      <c r="H40055" t="s">
        <v>28041</v>
      </c>
    </row>
    <row r="40056" spans="6:8">
      <c r="H40056" t="s">
        <v>28042</v>
      </c>
    </row>
    <row r="40057" spans="6:8">
      <c r="H40057" t="s">
        <v>35202</v>
      </c>
    </row>
    <row r="40058" spans="6:8">
      <c r="H40058" t="s">
        <v>35203</v>
      </c>
    </row>
    <row r="40059" spans="6:8">
      <c r="H40059" t="s">
        <v>35204</v>
      </c>
    </row>
    <row r="40060" spans="6:8">
      <c r="H40060" t="s">
        <v>35205</v>
      </c>
    </row>
    <row r="40061" spans="6:8">
      <c r="H40061" t="s">
        <v>35206</v>
      </c>
    </row>
    <row r="40062" spans="6:8">
      <c r="H40062" t="s">
        <v>18927</v>
      </c>
    </row>
    <row r="40063" spans="6:8">
      <c r="H40063" t="s">
        <v>35207</v>
      </c>
    </row>
    <row r="40064" spans="6:8">
      <c r="H40064" t="s">
        <v>35208</v>
      </c>
    </row>
    <row r="40065" spans="6:8">
      <c r="H40065" t="s">
        <v>25720</v>
      </c>
    </row>
    <row r="40066" spans="6:8">
      <c r="H40066" t="s">
        <v>28043</v>
      </c>
    </row>
    <row r="40067" spans="6:8">
      <c r="H40067" t="s">
        <v>28044</v>
      </c>
    </row>
    <row r="40068" spans="6:8">
      <c r="H40068" t="s">
        <v>28045</v>
      </c>
    </row>
    <row r="40069" spans="6:8">
      <c r="H40069" t="s">
        <v>28046</v>
      </c>
    </row>
    <row r="40070" spans="6:8">
      <c r="H40070" t="s">
        <v>28047</v>
      </c>
    </row>
    <row r="40071" spans="6:8">
      <c r="H40071" t="s">
        <v>28048</v>
      </c>
    </row>
    <row r="40072" spans="6:8">
      <c r="H40072" t="s">
        <v>25704</v>
      </c>
    </row>
    <row r="40073" spans="6:8">
      <c r="F40073" t="s">
        <v>14309</v>
      </c>
      <c r="G40073" t="s">
        <v>18266</v>
      </c>
      <c r="H40073" t="s">
        <v>18924</v>
      </c>
    </row>
    <row r="40074" spans="6:8">
      <c r="H40074" t="s">
        <v>35209</v>
      </c>
    </row>
    <row r="40075" spans="6:8">
      <c r="H40075" t="s">
        <v>35210</v>
      </c>
    </row>
    <row r="40076" spans="6:8">
      <c r="H40076" t="s">
        <v>35211</v>
      </c>
    </row>
    <row r="40077" spans="6:8">
      <c r="H40077" t="s">
        <v>35212</v>
      </c>
    </row>
    <row r="40078" spans="6:8">
      <c r="H40078" t="s">
        <v>35213</v>
      </c>
    </row>
    <row r="40079" spans="6:8">
      <c r="H40079" t="s">
        <v>35214</v>
      </c>
    </row>
    <row r="40080" spans="6:8">
      <c r="H40080" t="s">
        <v>35215</v>
      </c>
    </row>
    <row r="40081" spans="6:8">
      <c r="F40081" t="s">
        <v>14310</v>
      </c>
      <c r="G40081" t="s">
        <v>18267</v>
      </c>
      <c r="H40081" t="s">
        <v>18829</v>
      </c>
    </row>
    <row r="40082" spans="6:8">
      <c r="H40082" t="s">
        <v>35216</v>
      </c>
    </row>
    <row r="40083" spans="6:8">
      <c r="F40083" t="s">
        <v>14210</v>
      </c>
      <c r="G40083" t="s">
        <v>18186</v>
      </c>
      <c r="H40083" t="s">
        <v>18829</v>
      </c>
    </row>
    <row r="40084" spans="6:8">
      <c r="H40084" t="s">
        <v>18863</v>
      </c>
    </row>
    <row r="40085" spans="6:8">
      <c r="H40085" t="s">
        <v>34969</v>
      </c>
    </row>
    <row r="40086" spans="6:8">
      <c r="H40086" t="s">
        <v>35217</v>
      </c>
    </row>
    <row r="40087" spans="6:8">
      <c r="H40087" t="s">
        <v>35218</v>
      </c>
    </row>
    <row r="40088" spans="6:8">
      <c r="H40088" t="s">
        <v>35219</v>
      </c>
    </row>
    <row r="40089" spans="6:8">
      <c r="H40089" t="s">
        <v>35220</v>
      </c>
    </row>
    <row r="40090" spans="6:8">
      <c r="H40090" t="s">
        <v>35221</v>
      </c>
    </row>
    <row r="40091" spans="6:8">
      <c r="H40091" t="s">
        <v>35222</v>
      </c>
    </row>
    <row r="40092" spans="6:8">
      <c r="H40092" t="s">
        <v>35223</v>
      </c>
    </row>
    <row r="40093" spans="6:8">
      <c r="H40093" t="s">
        <v>35224</v>
      </c>
    </row>
    <row r="40094" spans="6:8">
      <c r="F40094" t="s">
        <v>10617</v>
      </c>
      <c r="G40094" t="s">
        <v>15020</v>
      </c>
      <c r="H40094" t="s">
        <v>19183</v>
      </c>
    </row>
    <row r="40095" spans="6:8">
      <c r="H40095" t="s">
        <v>19184</v>
      </c>
    </row>
    <row r="40096" spans="6:8">
      <c r="F40096" t="s">
        <v>10618</v>
      </c>
      <c r="G40096" t="s">
        <v>15021</v>
      </c>
      <c r="H40096" t="s">
        <v>19183</v>
      </c>
    </row>
    <row r="40097" spans="6:8">
      <c r="H40097" t="s">
        <v>19184</v>
      </c>
    </row>
    <row r="40098" spans="6:8">
      <c r="F40098" t="s">
        <v>13556</v>
      </c>
      <c r="G40098" t="s">
        <v>17663</v>
      </c>
      <c r="H40098" t="s">
        <v>35225</v>
      </c>
    </row>
    <row r="40099" spans="6:8">
      <c r="H40099" t="s">
        <v>35226</v>
      </c>
    </row>
    <row r="40100" spans="6:8">
      <c r="H40100" t="s">
        <v>35227</v>
      </c>
    </row>
    <row r="40101" spans="6:8">
      <c r="H40101" t="s">
        <v>35228</v>
      </c>
    </row>
    <row r="40102" spans="6:8">
      <c r="H40102" t="s">
        <v>35229</v>
      </c>
    </row>
    <row r="40103" spans="6:8">
      <c r="H40103" t="s">
        <v>35230</v>
      </c>
    </row>
    <row r="40104" spans="6:8">
      <c r="H40104" t="s">
        <v>35231</v>
      </c>
    </row>
    <row r="40105" spans="6:8">
      <c r="H40105" t="s">
        <v>35232</v>
      </c>
    </row>
    <row r="40106" spans="6:8">
      <c r="H40106" t="s">
        <v>35233</v>
      </c>
    </row>
    <row r="40107" spans="6:8">
      <c r="H40107" t="s">
        <v>35234</v>
      </c>
    </row>
    <row r="40108" spans="6:8">
      <c r="H40108" t="s">
        <v>35235</v>
      </c>
    </row>
    <row r="40109" spans="6:8">
      <c r="H40109" t="s">
        <v>35236</v>
      </c>
    </row>
    <row r="40110" spans="6:8">
      <c r="F40110" t="s">
        <v>14311</v>
      </c>
      <c r="G40110" t="s">
        <v>18268</v>
      </c>
      <c r="H40110" t="s">
        <v>18829</v>
      </c>
    </row>
    <row r="40111" spans="6:8">
      <c r="H40111" t="s">
        <v>35237</v>
      </c>
    </row>
    <row r="40112" spans="6:8">
      <c r="H40112" t="s">
        <v>35238</v>
      </c>
    </row>
    <row r="40113" spans="6:8">
      <c r="H40113" t="s">
        <v>35239</v>
      </c>
    </row>
    <row r="40114" spans="6:8">
      <c r="F40114" t="s">
        <v>14312</v>
      </c>
      <c r="G40114" t="s">
        <v>18269</v>
      </c>
      <c r="H40114" t="s">
        <v>18829</v>
      </c>
    </row>
    <row r="40115" spans="6:8">
      <c r="H40115" t="s">
        <v>18863</v>
      </c>
    </row>
    <row r="40116" spans="6:8">
      <c r="H40116" t="s">
        <v>31527</v>
      </c>
    </row>
    <row r="40117" spans="6:8">
      <c r="H40117" t="s">
        <v>35240</v>
      </c>
    </row>
    <row r="40118" spans="6:8">
      <c r="H40118" t="s">
        <v>35241</v>
      </c>
    </row>
    <row r="40119" spans="6:8">
      <c r="H40119" t="s">
        <v>34968</v>
      </c>
    </row>
    <row r="40120" spans="6:8">
      <c r="H40120" t="s">
        <v>35242</v>
      </c>
    </row>
    <row r="40121" spans="6:8">
      <c r="H40121" t="s">
        <v>35243</v>
      </c>
    </row>
    <row r="40122" spans="6:8">
      <c r="H40122" t="s">
        <v>35244</v>
      </c>
    </row>
    <row r="40123" spans="6:8">
      <c r="H40123" t="s">
        <v>31775</v>
      </c>
    </row>
    <row r="40124" spans="6:8">
      <c r="H40124" t="s">
        <v>35245</v>
      </c>
    </row>
    <row r="40125" spans="6:8">
      <c r="H40125" t="s">
        <v>35246</v>
      </c>
    </row>
    <row r="40126" spans="6:8">
      <c r="F40126" t="s">
        <v>14313</v>
      </c>
      <c r="G40126" t="s">
        <v>18270</v>
      </c>
      <c r="H40126" t="s">
        <v>18836</v>
      </c>
    </row>
    <row r="40127" spans="6:8">
      <c r="H40127" t="s">
        <v>35247</v>
      </c>
    </row>
    <row r="40128" spans="6:8">
      <c r="H40128" t="s">
        <v>35248</v>
      </c>
    </row>
    <row r="40129" spans="6:8">
      <c r="H40129" t="s">
        <v>35249</v>
      </c>
    </row>
    <row r="40130" spans="6:8">
      <c r="H40130" t="s">
        <v>35048</v>
      </c>
    </row>
    <row r="40131" spans="6:8">
      <c r="F40131" t="s">
        <v>10600</v>
      </c>
      <c r="G40131" t="s">
        <v>15003</v>
      </c>
      <c r="H40131" t="s">
        <v>18836</v>
      </c>
    </row>
    <row r="40132" spans="6:8">
      <c r="H40132" t="s">
        <v>35250</v>
      </c>
    </row>
    <row r="40133" spans="6:8">
      <c r="F40133" t="s">
        <v>14314</v>
      </c>
      <c r="G40133" t="s">
        <v>18271</v>
      </c>
      <c r="H40133" t="s">
        <v>35251</v>
      </c>
    </row>
    <row r="40134" spans="6:8">
      <c r="H40134" t="s">
        <v>35252</v>
      </c>
    </row>
    <row r="40135" spans="6:8">
      <c r="H40135" t="s">
        <v>35253</v>
      </c>
    </row>
    <row r="40136" spans="6:8">
      <c r="F40136" t="s">
        <v>13960</v>
      </c>
      <c r="G40136" t="s">
        <v>17986</v>
      </c>
      <c r="H40136" t="s">
        <v>18829</v>
      </c>
    </row>
    <row r="40137" spans="6:8">
      <c r="H40137" t="s">
        <v>35254</v>
      </c>
    </row>
    <row r="40138" spans="6:8">
      <c r="H40138" t="s">
        <v>35255</v>
      </c>
    </row>
    <row r="40139" spans="6:8">
      <c r="H40139" t="s">
        <v>35250</v>
      </c>
    </row>
    <row r="40140" spans="6:8">
      <c r="H40140" t="s">
        <v>35256</v>
      </c>
    </row>
    <row r="40141" spans="6:8">
      <c r="H40141" t="s">
        <v>35257</v>
      </c>
    </row>
    <row r="40142" spans="6:8">
      <c r="H40142" t="s">
        <v>35258</v>
      </c>
    </row>
    <row r="40143" spans="6:8">
      <c r="H40143" t="s">
        <v>35259</v>
      </c>
    </row>
    <row r="40144" spans="6:8">
      <c r="H40144" t="s">
        <v>35260</v>
      </c>
    </row>
    <row r="40145" spans="6:8">
      <c r="H40145" t="s">
        <v>35261</v>
      </c>
    </row>
    <row r="40146" spans="6:8">
      <c r="H40146" t="s">
        <v>35262</v>
      </c>
    </row>
    <row r="40147" spans="6:8">
      <c r="H40147" t="s">
        <v>20340</v>
      </c>
    </row>
    <row r="40148" spans="6:8">
      <c r="F40148" t="s">
        <v>14315</v>
      </c>
      <c r="G40148" t="s">
        <v>18272</v>
      </c>
      <c r="H40148" t="s">
        <v>19981</v>
      </c>
    </row>
    <row r="40149" spans="6:8">
      <c r="H40149" t="s">
        <v>35263</v>
      </c>
    </row>
    <row r="40150" spans="6:8">
      <c r="H40150" t="s">
        <v>34877</v>
      </c>
    </row>
    <row r="40151" spans="6:8">
      <c r="H40151" t="s">
        <v>35264</v>
      </c>
    </row>
    <row r="40152" spans="6:8">
      <c r="H40152" t="s">
        <v>35265</v>
      </c>
    </row>
    <row r="40153" spans="6:8">
      <c r="F40153" t="s">
        <v>10726</v>
      </c>
      <c r="G40153" t="s">
        <v>15125</v>
      </c>
      <c r="H40153" t="s">
        <v>22023</v>
      </c>
    </row>
    <row r="40154" spans="6:8">
      <c r="H40154" t="s">
        <v>35266</v>
      </c>
    </row>
    <row r="40155" spans="6:8">
      <c r="H40155" t="s">
        <v>35267</v>
      </c>
    </row>
    <row r="40156" spans="6:8">
      <c r="H40156" t="s">
        <v>35268</v>
      </c>
    </row>
    <row r="40157" spans="6:8">
      <c r="H40157" t="s">
        <v>35269</v>
      </c>
    </row>
    <row r="40158" spans="6:8">
      <c r="H40158" t="s">
        <v>35270</v>
      </c>
    </row>
    <row r="40159" spans="6:8">
      <c r="H40159" t="s">
        <v>35271</v>
      </c>
    </row>
    <row r="40160" spans="6:8">
      <c r="F40160" t="s">
        <v>11449</v>
      </c>
      <c r="G40160" t="s">
        <v>15689</v>
      </c>
      <c r="H40160" t="s">
        <v>31759</v>
      </c>
    </row>
    <row r="40161" spans="8:8">
      <c r="H40161" t="s">
        <v>35272</v>
      </c>
    </row>
    <row r="40162" spans="8:8">
      <c r="H40162" t="s">
        <v>35273</v>
      </c>
    </row>
    <row r="40163" spans="8:8">
      <c r="H40163" t="s">
        <v>35274</v>
      </c>
    </row>
    <row r="40164" spans="8:8">
      <c r="H40164" t="s">
        <v>35275</v>
      </c>
    </row>
    <row r="40165" spans="8:8">
      <c r="H40165" t="s">
        <v>35276</v>
      </c>
    </row>
    <row r="40166" spans="8:8">
      <c r="H40166" t="s">
        <v>35277</v>
      </c>
    </row>
    <row r="40167" spans="8:8">
      <c r="H40167" t="s">
        <v>35278</v>
      </c>
    </row>
    <row r="40168" spans="8:8">
      <c r="H40168" t="s">
        <v>35279</v>
      </c>
    </row>
    <row r="40169" spans="8:8">
      <c r="H40169" t="s">
        <v>35280</v>
      </c>
    </row>
    <row r="40170" spans="8:8">
      <c r="H40170" t="s">
        <v>35281</v>
      </c>
    </row>
    <row r="40171" spans="8:8">
      <c r="H40171" t="s">
        <v>35282</v>
      </c>
    </row>
    <row r="40172" spans="8:8">
      <c r="H40172" t="s">
        <v>35283</v>
      </c>
    </row>
    <row r="40173" spans="8:8">
      <c r="H40173" t="s">
        <v>35284</v>
      </c>
    </row>
    <row r="40174" spans="8:8">
      <c r="H40174" t="s">
        <v>35285</v>
      </c>
    </row>
    <row r="40175" spans="8:8">
      <c r="H40175" t="s">
        <v>35286</v>
      </c>
    </row>
    <row r="40176" spans="8:8">
      <c r="H40176" t="s">
        <v>35287</v>
      </c>
    </row>
    <row r="40177" spans="8:8">
      <c r="H40177" t="s">
        <v>35288</v>
      </c>
    </row>
    <row r="40178" spans="8:8">
      <c r="H40178" t="s">
        <v>35289</v>
      </c>
    </row>
    <row r="40179" spans="8:8">
      <c r="H40179" t="s">
        <v>35290</v>
      </c>
    </row>
    <row r="40180" spans="8:8">
      <c r="H40180" t="s">
        <v>35290</v>
      </c>
    </row>
    <row r="40181" spans="8:8">
      <c r="H40181" t="s">
        <v>35291</v>
      </c>
    </row>
    <row r="40182" spans="8:8">
      <c r="H40182" t="s">
        <v>35292</v>
      </c>
    </row>
    <row r="40183" spans="8:8">
      <c r="H40183" t="s">
        <v>35293</v>
      </c>
    </row>
    <row r="40184" spans="8:8">
      <c r="H40184" t="s">
        <v>35294</v>
      </c>
    </row>
    <row r="40185" spans="8:8">
      <c r="H40185" t="s">
        <v>35295</v>
      </c>
    </row>
    <row r="40186" spans="8:8">
      <c r="H40186" t="s">
        <v>35296</v>
      </c>
    </row>
    <row r="40187" spans="8:8">
      <c r="H40187" t="s">
        <v>35297</v>
      </c>
    </row>
    <row r="40188" spans="8:8">
      <c r="H40188" t="s">
        <v>35298</v>
      </c>
    </row>
    <row r="40189" spans="8:8">
      <c r="H40189" t="s">
        <v>35299</v>
      </c>
    </row>
    <row r="40190" spans="8:8">
      <c r="H40190" t="s">
        <v>35300</v>
      </c>
    </row>
    <row r="40191" spans="8:8">
      <c r="H40191" t="s">
        <v>35301</v>
      </c>
    </row>
    <row r="40192" spans="8:8">
      <c r="H40192" t="s">
        <v>35302</v>
      </c>
    </row>
    <row r="40193" spans="6:8">
      <c r="H40193" t="s">
        <v>35303</v>
      </c>
    </row>
    <row r="40194" spans="6:8">
      <c r="H40194" t="s">
        <v>35304</v>
      </c>
    </row>
    <row r="40195" spans="6:8">
      <c r="H40195" t="s">
        <v>35305</v>
      </c>
    </row>
    <row r="40196" spans="6:8">
      <c r="H40196" t="s">
        <v>35306</v>
      </c>
    </row>
    <row r="40197" spans="6:8">
      <c r="F40197" t="s">
        <v>14316</v>
      </c>
      <c r="G40197" t="s">
        <v>18273</v>
      </c>
      <c r="H40197" t="s">
        <v>35307</v>
      </c>
    </row>
    <row r="40198" spans="6:8">
      <c r="F40198" t="s">
        <v>14317</v>
      </c>
      <c r="G40198" t="s">
        <v>18274</v>
      </c>
      <c r="H40198" t="s">
        <v>35308</v>
      </c>
    </row>
    <row r="40199" spans="6:8">
      <c r="H40199" t="s">
        <v>35309</v>
      </c>
    </row>
    <row r="40200" spans="6:8">
      <c r="H40200" t="s">
        <v>35310</v>
      </c>
    </row>
    <row r="40201" spans="6:8">
      <c r="H40201" t="s">
        <v>35311</v>
      </c>
    </row>
    <row r="40202" spans="6:8">
      <c r="H40202" t="s">
        <v>35312</v>
      </c>
    </row>
    <row r="40203" spans="6:8">
      <c r="H40203" t="s">
        <v>35312</v>
      </c>
    </row>
    <row r="40204" spans="6:8">
      <c r="H40204" t="s">
        <v>35313</v>
      </c>
    </row>
    <row r="40205" spans="6:8">
      <c r="H40205" t="s">
        <v>19333</v>
      </c>
    </row>
    <row r="40206" spans="6:8">
      <c r="H40206" t="s">
        <v>35314</v>
      </c>
    </row>
    <row r="40207" spans="6:8">
      <c r="H40207" t="s">
        <v>35315</v>
      </c>
    </row>
    <row r="40208" spans="6:8">
      <c r="H40208" t="s">
        <v>35316</v>
      </c>
    </row>
    <row r="40209" spans="6:8">
      <c r="F40209" t="s">
        <v>14318</v>
      </c>
      <c r="G40209" t="s">
        <v>18275</v>
      </c>
      <c r="H40209" t="s">
        <v>35317</v>
      </c>
    </row>
    <row r="40210" spans="6:8">
      <c r="F40210" t="s">
        <v>14319</v>
      </c>
      <c r="G40210" t="s">
        <v>18276</v>
      </c>
      <c r="H40210" t="s">
        <v>18836</v>
      </c>
    </row>
    <row r="40211" spans="6:8">
      <c r="F40211" t="s">
        <v>14320</v>
      </c>
      <c r="G40211" t="s">
        <v>18277</v>
      </c>
      <c r="H40211" t="s">
        <v>30172</v>
      </c>
    </row>
    <row r="40212" spans="6:8">
      <c r="H40212" t="s">
        <v>35318</v>
      </c>
    </row>
    <row r="40213" spans="6:8">
      <c r="H40213" t="s">
        <v>35319</v>
      </c>
    </row>
    <row r="40214" spans="6:8">
      <c r="H40214" t="s">
        <v>35320</v>
      </c>
    </row>
    <row r="40215" spans="6:8">
      <c r="H40215" t="s">
        <v>35321</v>
      </c>
    </row>
    <row r="40216" spans="6:8">
      <c r="H40216" t="s">
        <v>35322</v>
      </c>
    </row>
    <row r="40217" spans="6:8">
      <c r="F40217" t="s">
        <v>14321</v>
      </c>
      <c r="G40217" t="s">
        <v>18278</v>
      </c>
      <c r="H40217" t="s">
        <v>35323</v>
      </c>
    </row>
    <row r="40218" spans="6:8">
      <c r="H40218" t="s">
        <v>35324</v>
      </c>
    </row>
    <row r="40219" spans="6:8">
      <c r="H40219" t="s">
        <v>35325</v>
      </c>
    </row>
    <row r="40220" spans="6:8">
      <c r="H40220" t="s">
        <v>35326</v>
      </c>
    </row>
    <row r="40221" spans="6:8">
      <c r="H40221" t="s">
        <v>35327</v>
      </c>
    </row>
    <row r="40222" spans="6:8">
      <c r="H40222" t="s">
        <v>35328</v>
      </c>
    </row>
    <row r="40223" spans="6:8">
      <c r="F40223" t="s">
        <v>14322</v>
      </c>
      <c r="G40223" t="s">
        <v>18279</v>
      </c>
      <c r="H40223" t="s">
        <v>27516</v>
      </c>
    </row>
    <row r="40224" spans="6:8">
      <c r="H40224" t="s">
        <v>22358</v>
      </c>
    </row>
    <row r="40225" spans="6:8">
      <c r="H40225" t="s">
        <v>35329</v>
      </c>
    </row>
    <row r="40226" spans="6:8">
      <c r="H40226" t="s">
        <v>35330</v>
      </c>
    </row>
    <row r="40227" spans="6:8">
      <c r="F40227" t="s">
        <v>14323</v>
      </c>
      <c r="G40227" t="s">
        <v>18280</v>
      </c>
      <c r="H40227" t="s">
        <v>18829</v>
      </c>
    </row>
    <row r="40228" spans="6:8">
      <c r="H40228" t="s">
        <v>18863</v>
      </c>
    </row>
    <row r="40229" spans="6:8">
      <c r="H40229" t="s">
        <v>35331</v>
      </c>
    </row>
    <row r="40230" spans="6:8">
      <c r="H40230" t="s">
        <v>35332</v>
      </c>
    </row>
    <row r="40231" spans="6:8">
      <c r="H40231" t="s">
        <v>35333</v>
      </c>
    </row>
    <row r="40232" spans="6:8">
      <c r="H40232" t="s">
        <v>29840</v>
      </c>
    </row>
    <row r="40233" spans="6:8">
      <c r="H40233" t="s">
        <v>35334</v>
      </c>
    </row>
    <row r="40234" spans="6:8">
      <c r="H40234" t="s">
        <v>35335</v>
      </c>
    </row>
    <row r="40235" spans="6:8">
      <c r="H40235" t="s">
        <v>19007</v>
      </c>
    </row>
    <row r="40236" spans="6:8">
      <c r="H40236" t="s">
        <v>35336</v>
      </c>
    </row>
    <row r="40237" spans="6:8">
      <c r="F40237" t="s">
        <v>14324</v>
      </c>
      <c r="G40237" t="s">
        <v>18281</v>
      </c>
      <c r="H40237" t="s">
        <v>35337</v>
      </c>
    </row>
    <row r="40238" spans="6:8">
      <c r="H40238" t="s">
        <v>35338</v>
      </c>
    </row>
    <row r="40239" spans="6:8">
      <c r="H40239" t="s">
        <v>35339</v>
      </c>
    </row>
    <row r="40240" spans="6:8">
      <c r="H40240" t="s">
        <v>35340</v>
      </c>
    </row>
    <row r="40241" spans="6:8">
      <c r="H40241" t="s">
        <v>35341</v>
      </c>
    </row>
    <row r="40242" spans="6:8">
      <c r="H40242" t="s">
        <v>35342</v>
      </c>
    </row>
    <row r="40243" spans="6:8">
      <c r="F40243" t="s">
        <v>14102</v>
      </c>
      <c r="G40243" t="s">
        <v>18095</v>
      </c>
      <c r="H40243" t="s">
        <v>34079</v>
      </c>
    </row>
    <row r="40244" spans="6:8">
      <c r="H40244" t="s">
        <v>34080</v>
      </c>
    </row>
    <row r="40245" spans="6:8">
      <c r="H40245" t="s">
        <v>18829</v>
      </c>
    </row>
    <row r="40246" spans="6:8">
      <c r="H40246" t="s">
        <v>18863</v>
      </c>
    </row>
    <row r="40247" spans="6:8">
      <c r="H40247" t="s">
        <v>35343</v>
      </c>
    </row>
    <row r="40248" spans="6:8">
      <c r="H40248" t="s">
        <v>19019</v>
      </c>
    </row>
    <row r="40249" spans="6:8">
      <c r="H40249" t="s">
        <v>35344</v>
      </c>
    </row>
    <row r="40250" spans="6:8">
      <c r="H40250" t="s">
        <v>35345</v>
      </c>
    </row>
    <row r="40251" spans="6:8">
      <c r="H40251" t="s">
        <v>35346</v>
      </c>
    </row>
    <row r="40252" spans="6:8">
      <c r="H40252" t="s">
        <v>35347</v>
      </c>
    </row>
    <row r="40253" spans="6:8">
      <c r="H40253" t="s">
        <v>35348</v>
      </c>
    </row>
    <row r="40254" spans="6:8">
      <c r="H40254" t="s">
        <v>35349</v>
      </c>
    </row>
    <row r="40255" spans="6:8">
      <c r="H40255" t="s">
        <v>35350</v>
      </c>
    </row>
    <row r="40256" spans="6:8">
      <c r="H40256" t="s">
        <v>35351</v>
      </c>
    </row>
    <row r="40257" spans="1:8">
      <c r="H40257" t="s">
        <v>35352</v>
      </c>
    </row>
    <row r="40258" spans="1:8">
      <c r="H40258" t="s">
        <v>35353</v>
      </c>
    </row>
    <row r="40259" spans="1:8">
      <c r="H40259" t="s">
        <v>35354</v>
      </c>
    </row>
    <row r="40260" spans="1:8">
      <c r="H40260" t="s">
        <v>35355</v>
      </c>
    </row>
    <row r="40261" spans="1:8">
      <c r="H40261" t="s">
        <v>24966</v>
      </c>
    </row>
    <row r="40262" spans="1:8">
      <c r="H40262" t="s">
        <v>35356</v>
      </c>
    </row>
    <row r="40263" spans="1:8">
      <c r="H40263" t="s">
        <v>35357</v>
      </c>
    </row>
    <row r="40264" spans="1:8">
      <c r="H40264" t="s">
        <v>35358</v>
      </c>
    </row>
    <row r="40265" spans="1:8">
      <c r="H40265" t="s">
        <v>35359</v>
      </c>
    </row>
    <row r="40266" spans="1:8">
      <c r="A40266" t="s">
        <v>3502</v>
      </c>
      <c r="B40266">
        <f>HYPERLINK("https://android.googlesource.com/platform/cts/+/9264c752461a1476246dcc4d586c844794b7435c", "9264c752461a1476246dcc4d586c844794b7435c")</f>
        <v>0</v>
      </c>
      <c r="C40266">
        <f>HYPERLINK("https://android.googlesource.com/platform/cts/+/30c8fbb9ab306be5cdc03795a39a3b194564e857", "30c8fbb9ab306be5cdc03795a39a3b194564e857")</f>
        <v>0</v>
      </c>
      <c r="D40266" t="s">
        <v>5482</v>
      </c>
      <c r="E40266" t="s">
        <v>9196</v>
      </c>
      <c r="F40266" t="s">
        <v>14102</v>
      </c>
      <c r="G40266" t="s">
        <v>18095</v>
      </c>
      <c r="H40266" t="s">
        <v>34672</v>
      </c>
    </row>
    <row r="40267" spans="1:8">
      <c r="H40267" t="s">
        <v>34673</v>
      </c>
    </row>
    <row r="40268" spans="1:8">
      <c r="H40268" t="s">
        <v>34674</v>
      </c>
    </row>
    <row r="40269" spans="1:8">
      <c r="H40269" t="s">
        <v>34675</v>
      </c>
    </row>
    <row r="40270" spans="1:8">
      <c r="H40270" t="s">
        <v>34676</v>
      </c>
    </row>
    <row r="40271" spans="1:8">
      <c r="H40271" t="s">
        <v>34677</v>
      </c>
    </row>
    <row r="40272" spans="1:8">
      <c r="H40272" t="s">
        <v>34678</v>
      </c>
    </row>
    <row r="40273" spans="8:8">
      <c r="H40273" t="s">
        <v>18930</v>
      </c>
    </row>
    <row r="40274" spans="8:8">
      <c r="H40274" t="s">
        <v>33452</v>
      </c>
    </row>
    <row r="40275" spans="8:8">
      <c r="H40275" t="s">
        <v>33453</v>
      </c>
    </row>
    <row r="40276" spans="8:8">
      <c r="H40276" t="s">
        <v>34679</v>
      </c>
    </row>
    <row r="40277" spans="8:8">
      <c r="H40277" t="s">
        <v>34680</v>
      </c>
    </row>
    <row r="40278" spans="8:8">
      <c r="H40278" t="s">
        <v>34681</v>
      </c>
    </row>
    <row r="40279" spans="8:8">
      <c r="H40279" t="s">
        <v>34681</v>
      </c>
    </row>
    <row r="40280" spans="8:8">
      <c r="H40280" t="s">
        <v>34676</v>
      </c>
    </row>
    <row r="40281" spans="8:8">
      <c r="H40281" t="s">
        <v>34682</v>
      </c>
    </row>
    <row r="40282" spans="8:8">
      <c r="H40282" t="s">
        <v>34683</v>
      </c>
    </row>
    <row r="40283" spans="8:8">
      <c r="H40283" t="s">
        <v>34684</v>
      </c>
    </row>
    <row r="40284" spans="8:8">
      <c r="H40284" t="s">
        <v>34685</v>
      </c>
    </row>
    <row r="40285" spans="8:8">
      <c r="H40285" t="s">
        <v>34686</v>
      </c>
    </row>
    <row r="40286" spans="8:8">
      <c r="H40286" t="s">
        <v>20177</v>
      </c>
    </row>
    <row r="40287" spans="8:8">
      <c r="H40287" t="s">
        <v>34687</v>
      </c>
    </row>
    <row r="40288" spans="8:8">
      <c r="H40288" t="s">
        <v>34688</v>
      </c>
    </row>
    <row r="40289" spans="8:8">
      <c r="H40289" t="s">
        <v>34689</v>
      </c>
    </row>
    <row r="40290" spans="8:8">
      <c r="H40290" t="s">
        <v>34690</v>
      </c>
    </row>
    <row r="40291" spans="8:8">
      <c r="H40291" t="s">
        <v>34691</v>
      </c>
    </row>
    <row r="40292" spans="8:8">
      <c r="H40292" t="s">
        <v>34692</v>
      </c>
    </row>
    <row r="40293" spans="8:8">
      <c r="H40293" t="s">
        <v>34693</v>
      </c>
    </row>
    <row r="40294" spans="8:8">
      <c r="H40294" t="s">
        <v>34694</v>
      </c>
    </row>
    <row r="40295" spans="8:8">
      <c r="H40295" t="s">
        <v>34695</v>
      </c>
    </row>
    <row r="40296" spans="8:8">
      <c r="H40296" t="s">
        <v>34696</v>
      </c>
    </row>
    <row r="40297" spans="8:8">
      <c r="H40297" t="s">
        <v>34697</v>
      </c>
    </row>
    <row r="40298" spans="8:8">
      <c r="H40298" t="s">
        <v>34698</v>
      </c>
    </row>
    <row r="40299" spans="8:8">
      <c r="H40299" t="s">
        <v>34699</v>
      </c>
    </row>
    <row r="40300" spans="8:8">
      <c r="H40300" t="s">
        <v>34700</v>
      </c>
    </row>
    <row r="40301" spans="8:8">
      <c r="H40301" t="s">
        <v>34701</v>
      </c>
    </row>
    <row r="40302" spans="8:8">
      <c r="H40302" t="s">
        <v>34702</v>
      </c>
    </row>
    <row r="40303" spans="8:8">
      <c r="H40303" t="s">
        <v>34703</v>
      </c>
    </row>
    <row r="40304" spans="8:8">
      <c r="H40304" t="s">
        <v>34704</v>
      </c>
    </row>
    <row r="40305" spans="1:8">
      <c r="A40305" t="s">
        <v>3503</v>
      </c>
      <c r="B40305">
        <f>HYPERLINK("https://android.googlesource.com/platform/cts/+/daf55da8c6be33c9421e0ff5d4f7e03c7c75c0bd", "daf55da8c6be33c9421e0ff5d4f7e03c7c75c0bd")</f>
        <v>0</v>
      </c>
      <c r="C40305">
        <f>HYPERLINK("https://android.googlesource.com/platform/cts/+/57a7572fe52032f6656b77decb0acb7846e62f36", "57a7572fe52032f6656b77decb0acb7846e62f36")</f>
        <v>0</v>
      </c>
      <c r="D40305" t="s">
        <v>5576</v>
      </c>
      <c r="E40305" t="s">
        <v>9197</v>
      </c>
      <c r="F40305" t="s">
        <v>13857</v>
      </c>
      <c r="G40305" t="s">
        <v>17899</v>
      </c>
      <c r="H40305" t="s">
        <v>18829</v>
      </c>
    </row>
    <row r="40306" spans="1:8">
      <c r="H40306" t="s">
        <v>18863</v>
      </c>
    </row>
    <row r="40307" spans="1:8">
      <c r="H40307" t="s">
        <v>34807</v>
      </c>
    </row>
    <row r="40308" spans="1:8">
      <c r="H40308" t="s">
        <v>34808</v>
      </c>
    </row>
    <row r="40309" spans="1:8">
      <c r="H40309" t="s">
        <v>34809</v>
      </c>
    </row>
    <row r="40310" spans="1:8">
      <c r="H40310" t="s">
        <v>34810</v>
      </c>
    </row>
    <row r="40311" spans="1:8">
      <c r="H40311" t="s">
        <v>34811</v>
      </c>
    </row>
    <row r="40312" spans="1:8">
      <c r="H40312" t="s">
        <v>34812</v>
      </c>
    </row>
    <row r="40313" spans="1:8">
      <c r="H40313" t="s">
        <v>34813</v>
      </c>
    </row>
    <row r="40314" spans="1:8">
      <c r="F40314" t="s">
        <v>13976</v>
      </c>
      <c r="G40314" t="s">
        <v>18001</v>
      </c>
      <c r="H40314" t="s">
        <v>18829</v>
      </c>
    </row>
    <row r="40315" spans="1:8">
      <c r="H40315" t="s">
        <v>18863</v>
      </c>
    </row>
    <row r="40316" spans="1:8">
      <c r="H40316" t="s">
        <v>34814</v>
      </c>
    </row>
    <row r="40317" spans="1:8">
      <c r="H40317" t="s">
        <v>34815</v>
      </c>
    </row>
    <row r="40318" spans="1:8">
      <c r="H40318" t="s">
        <v>34816</v>
      </c>
    </row>
    <row r="40319" spans="1:8">
      <c r="H40319" t="s">
        <v>34817</v>
      </c>
    </row>
    <row r="40320" spans="1:8">
      <c r="H40320" t="s">
        <v>34818</v>
      </c>
    </row>
    <row r="40321" spans="6:8">
      <c r="H40321" t="s">
        <v>34819</v>
      </c>
    </row>
    <row r="40322" spans="6:8">
      <c r="H40322" t="s">
        <v>34820</v>
      </c>
    </row>
    <row r="40323" spans="6:8">
      <c r="H40323" t="s">
        <v>34821</v>
      </c>
    </row>
    <row r="40324" spans="6:8">
      <c r="H40324" t="s">
        <v>34822</v>
      </c>
    </row>
    <row r="40325" spans="6:8">
      <c r="F40325" t="s">
        <v>13977</v>
      </c>
      <c r="G40325" t="s">
        <v>18002</v>
      </c>
      <c r="H40325" t="s">
        <v>34823</v>
      </c>
    </row>
    <row r="40326" spans="6:8">
      <c r="H40326" t="s">
        <v>18930</v>
      </c>
    </row>
    <row r="40327" spans="6:8">
      <c r="H40327" t="s">
        <v>19372</v>
      </c>
    </row>
    <row r="40328" spans="6:8">
      <c r="H40328" t="s">
        <v>34824</v>
      </c>
    </row>
    <row r="40329" spans="6:8">
      <c r="H40329" t="s">
        <v>34825</v>
      </c>
    </row>
    <row r="40330" spans="6:8">
      <c r="H40330" t="s">
        <v>34826</v>
      </c>
    </row>
    <row r="40331" spans="6:8">
      <c r="H40331" t="s">
        <v>34827</v>
      </c>
    </row>
    <row r="40332" spans="6:8">
      <c r="H40332" t="s">
        <v>31669</v>
      </c>
    </row>
    <row r="40333" spans="6:8">
      <c r="H40333" t="s">
        <v>32387</v>
      </c>
    </row>
    <row r="40334" spans="6:8">
      <c r="H40334" t="s">
        <v>34828</v>
      </c>
    </row>
    <row r="40335" spans="6:8">
      <c r="H40335" t="s">
        <v>31986</v>
      </c>
    </row>
    <row r="40336" spans="6:8">
      <c r="H40336" t="s">
        <v>34829</v>
      </c>
    </row>
    <row r="40337" spans="6:8">
      <c r="H40337" t="s">
        <v>34830</v>
      </c>
    </row>
    <row r="40338" spans="6:8">
      <c r="H40338" t="s">
        <v>34831</v>
      </c>
    </row>
    <row r="40339" spans="6:8">
      <c r="H40339" t="s">
        <v>34832</v>
      </c>
    </row>
    <row r="40340" spans="6:8">
      <c r="H40340" t="s">
        <v>18829</v>
      </c>
    </row>
    <row r="40341" spans="6:8">
      <c r="H40341" t="s">
        <v>18863</v>
      </c>
    </row>
    <row r="40342" spans="6:8">
      <c r="H40342" t="s">
        <v>33907</v>
      </c>
    </row>
    <row r="40343" spans="6:8">
      <c r="H40343" t="s">
        <v>33908</v>
      </c>
    </row>
    <row r="40344" spans="6:8">
      <c r="F40344" t="s">
        <v>12416</v>
      </c>
      <c r="G40344" t="s">
        <v>16638</v>
      </c>
      <c r="H40344" t="s">
        <v>26496</v>
      </c>
    </row>
    <row r="40345" spans="6:8">
      <c r="H40345" t="s">
        <v>18829</v>
      </c>
    </row>
    <row r="40346" spans="6:8">
      <c r="H40346" t="s">
        <v>18863</v>
      </c>
    </row>
    <row r="40347" spans="6:8">
      <c r="H40347" t="s">
        <v>34833</v>
      </c>
    </row>
    <row r="40348" spans="6:8">
      <c r="H40348" t="s">
        <v>34834</v>
      </c>
    </row>
    <row r="40349" spans="6:8">
      <c r="H40349" t="s">
        <v>34835</v>
      </c>
    </row>
    <row r="40350" spans="6:8">
      <c r="H40350" t="s">
        <v>29215</v>
      </c>
    </row>
    <row r="40351" spans="6:8">
      <c r="H40351" t="s">
        <v>27130</v>
      </c>
    </row>
    <row r="40352" spans="6:8">
      <c r="H40352" t="s">
        <v>34836</v>
      </c>
    </row>
    <row r="40353" spans="8:8">
      <c r="H40353" t="s">
        <v>34837</v>
      </c>
    </row>
    <row r="40354" spans="8:8">
      <c r="H40354" t="s">
        <v>34838</v>
      </c>
    </row>
    <row r="40355" spans="8:8">
      <c r="H40355" t="s">
        <v>34839</v>
      </c>
    </row>
    <row r="40356" spans="8:8">
      <c r="H40356" t="s">
        <v>34840</v>
      </c>
    </row>
    <row r="40357" spans="8:8">
      <c r="H40357" t="s">
        <v>34841</v>
      </c>
    </row>
    <row r="40358" spans="8:8">
      <c r="H40358" t="s">
        <v>34842</v>
      </c>
    </row>
    <row r="40359" spans="8:8">
      <c r="H40359" t="s">
        <v>34843</v>
      </c>
    </row>
    <row r="40360" spans="8:8">
      <c r="H40360" t="s">
        <v>34844</v>
      </c>
    </row>
    <row r="40361" spans="8:8">
      <c r="H40361" t="s">
        <v>34845</v>
      </c>
    </row>
    <row r="40362" spans="8:8">
      <c r="H40362" t="s">
        <v>34846</v>
      </c>
    </row>
    <row r="40363" spans="8:8">
      <c r="H40363" t="s">
        <v>34847</v>
      </c>
    </row>
    <row r="40364" spans="8:8">
      <c r="H40364" t="s">
        <v>31500</v>
      </c>
    </row>
    <row r="40365" spans="8:8">
      <c r="H40365" t="s">
        <v>34848</v>
      </c>
    </row>
    <row r="40366" spans="8:8">
      <c r="H40366" t="s">
        <v>34051</v>
      </c>
    </row>
    <row r="40367" spans="8:8">
      <c r="H40367" t="s">
        <v>34052</v>
      </c>
    </row>
    <row r="40368" spans="8:8">
      <c r="H40368" t="s">
        <v>34849</v>
      </c>
    </row>
    <row r="40369" spans="8:8">
      <c r="H40369" t="s">
        <v>34850</v>
      </c>
    </row>
    <row r="40370" spans="8:8">
      <c r="H40370" t="s">
        <v>34851</v>
      </c>
    </row>
    <row r="40371" spans="8:8">
      <c r="H40371" t="s">
        <v>26751</v>
      </c>
    </row>
    <row r="40372" spans="8:8">
      <c r="H40372" t="s">
        <v>34852</v>
      </c>
    </row>
    <row r="40373" spans="8:8">
      <c r="H40373" t="s">
        <v>34853</v>
      </c>
    </row>
    <row r="40374" spans="8:8">
      <c r="H40374" t="s">
        <v>34854</v>
      </c>
    </row>
    <row r="40375" spans="8:8">
      <c r="H40375" t="s">
        <v>34855</v>
      </c>
    </row>
    <row r="40376" spans="8:8">
      <c r="H40376" t="s">
        <v>34856</v>
      </c>
    </row>
    <row r="40377" spans="8:8">
      <c r="H40377" t="s">
        <v>34857</v>
      </c>
    </row>
    <row r="40378" spans="8:8">
      <c r="H40378" t="s">
        <v>34858</v>
      </c>
    </row>
    <row r="40379" spans="8:8">
      <c r="H40379" t="s">
        <v>34859</v>
      </c>
    </row>
    <row r="40380" spans="8:8">
      <c r="H40380" t="s">
        <v>34860</v>
      </c>
    </row>
    <row r="40381" spans="8:8">
      <c r="H40381" t="s">
        <v>34861</v>
      </c>
    </row>
    <row r="40382" spans="8:8">
      <c r="H40382" t="s">
        <v>34862</v>
      </c>
    </row>
    <row r="40383" spans="8:8">
      <c r="H40383" t="s">
        <v>34863</v>
      </c>
    </row>
    <row r="40384" spans="8:8">
      <c r="H40384" t="s">
        <v>34864</v>
      </c>
    </row>
    <row r="40385" spans="6:8">
      <c r="H40385" t="s">
        <v>34865</v>
      </c>
    </row>
    <row r="40386" spans="6:8">
      <c r="H40386" t="s">
        <v>34866</v>
      </c>
    </row>
    <row r="40387" spans="6:8">
      <c r="H40387" t="s">
        <v>34866</v>
      </c>
    </row>
    <row r="40388" spans="6:8">
      <c r="H40388" t="s">
        <v>34867</v>
      </c>
    </row>
    <row r="40389" spans="6:8">
      <c r="H40389" t="s">
        <v>34868</v>
      </c>
    </row>
    <row r="40390" spans="6:8">
      <c r="H40390" t="s">
        <v>34869</v>
      </c>
    </row>
    <row r="40391" spans="6:8">
      <c r="H40391" t="s">
        <v>19019</v>
      </c>
    </row>
    <row r="40392" spans="6:8">
      <c r="H40392" t="s">
        <v>34870</v>
      </c>
    </row>
    <row r="40393" spans="6:8">
      <c r="H40393" t="s">
        <v>32277</v>
      </c>
    </row>
    <row r="40394" spans="6:8">
      <c r="H40394" t="s">
        <v>19019</v>
      </c>
    </row>
    <row r="40395" spans="6:8">
      <c r="H40395" t="s">
        <v>24966</v>
      </c>
    </row>
    <row r="40396" spans="6:8">
      <c r="F40396" t="s">
        <v>14304</v>
      </c>
      <c r="G40396" t="s">
        <v>18262</v>
      </c>
      <c r="H40396" t="s">
        <v>20244</v>
      </c>
    </row>
    <row r="40397" spans="6:8">
      <c r="H40397" t="s">
        <v>19233</v>
      </c>
    </row>
    <row r="40398" spans="6:8">
      <c r="H40398" t="s">
        <v>18829</v>
      </c>
    </row>
    <row r="40399" spans="6:8">
      <c r="H40399" t="s">
        <v>34871</v>
      </c>
    </row>
    <row r="40400" spans="6:8">
      <c r="H40400" t="s">
        <v>25643</v>
      </c>
    </row>
    <row r="40401" spans="6:8">
      <c r="H40401" t="s">
        <v>31039</v>
      </c>
    </row>
    <row r="40402" spans="6:8">
      <c r="H40402" t="s">
        <v>34872</v>
      </c>
    </row>
    <row r="40403" spans="6:8">
      <c r="H40403" t="s">
        <v>34873</v>
      </c>
    </row>
    <row r="40404" spans="6:8">
      <c r="H40404" t="s">
        <v>34874</v>
      </c>
    </row>
    <row r="40405" spans="6:8">
      <c r="H40405" t="s">
        <v>34875</v>
      </c>
    </row>
    <row r="40406" spans="6:8">
      <c r="H40406" t="s">
        <v>31037</v>
      </c>
    </row>
    <row r="40407" spans="6:8">
      <c r="F40407" t="s">
        <v>13941</v>
      </c>
      <c r="G40407" t="s">
        <v>17972</v>
      </c>
      <c r="H40407" t="s">
        <v>18829</v>
      </c>
    </row>
    <row r="40408" spans="6:8">
      <c r="H40408" t="s">
        <v>32340</v>
      </c>
    </row>
    <row r="40409" spans="6:8">
      <c r="H40409" t="s">
        <v>32342</v>
      </c>
    </row>
    <row r="40410" spans="6:8">
      <c r="H40410" t="s">
        <v>32341</v>
      </c>
    </row>
    <row r="40411" spans="6:8">
      <c r="H40411" t="s">
        <v>32343</v>
      </c>
    </row>
    <row r="40412" spans="6:8">
      <c r="F40412" t="s">
        <v>14305</v>
      </c>
      <c r="G40412" t="s">
        <v>18005</v>
      </c>
      <c r="H40412" t="s">
        <v>19981</v>
      </c>
    </row>
    <row r="40413" spans="6:8">
      <c r="H40413" t="s">
        <v>34876</v>
      </c>
    </row>
    <row r="40414" spans="6:8">
      <c r="H40414" t="s">
        <v>34877</v>
      </c>
    </row>
    <row r="40415" spans="6:8">
      <c r="H40415" t="s">
        <v>34878</v>
      </c>
    </row>
    <row r="40416" spans="6:8">
      <c r="H40416" t="s">
        <v>34879</v>
      </c>
    </row>
    <row r="40417" spans="6:8">
      <c r="F40417" t="s">
        <v>14234</v>
      </c>
      <c r="G40417" t="s">
        <v>18204</v>
      </c>
      <c r="H40417" t="s">
        <v>18829</v>
      </c>
    </row>
    <row r="40418" spans="6:8">
      <c r="H40418" t="s">
        <v>18863</v>
      </c>
    </row>
    <row r="40419" spans="6:8">
      <c r="H40419" t="s">
        <v>34880</v>
      </c>
    </row>
    <row r="40420" spans="6:8">
      <c r="H40420" t="s">
        <v>34881</v>
      </c>
    </row>
    <row r="40421" spans="6:8">
      <c r="H40421" t="s">
        <v>34882</v>
      </c>
    </row>
    <row r="40422" spans="6:8">
      <c r="H40422" t="s">
        <v>34883</v>
      </c>
    </row>
    <row r="40423" spans="6:8">
      <c r="H40423" t="s">
        <v>34884</v>
      </c>
    </row>
    <row r="40424" spans="6:8">
      <c r="H40424" t="s">
        <v>34885</v>
      </c>
    </row>
    <row r="40425" spans="6:8">
      <c r="H40425" t="s">
        <v>34886</v>
      </c>
    </row>
    <row r="40426" spans="6:8">
      <c r="H40426" t="s">
        <v>34887</v>
      </c>
    </row>
    <row r="40427" spans="6:8">
      <c r="H40427" t="s">
        <v>34888</v>
      </c>
    </row>
    <row r="40428" spans="6:8">
      <c r="H40428" t="s">
        <v>34889</v>
      </c>
    </row>
    <row r="40429" spans="6:8">
      <c r="H40429" t="s">
        <v>34890</v>
      </c>
    </row>
    <row r="40430" spans="6:8">
      <c r="H40430" t="s">
        <v>34891</v>
      </c>
    </row>
    <row r="40431" spans="6:8">
      <c r="H40431" t="s">
        <v>34891</v>
      </c>
    </row>
    <row r="40432" spans="6:8">
      <c r="H40432" t="s">
        <v>34892</v>
      </c>
    </row>
    <row r="40433" spans="6:8">
      <c r="H40433" t="s">
        <v>34893</v>
      </c>
    </row>
    <row r="40434" spans="6:8">
      <c r="H40434" t="s">
        <v>34894</v>
      </c>
    </row>
    <row r="40435" spans="6:8">
      <c r="H40435" t="s">
        <v>34895</v>
      </c>
    </row>
    <row r="40436" spans="6:8">
      <c r="H40436" t="s">
        <v>34896</v>
      </c>
    </row>
    <row r="40437" spans="6:8">
      <c r="H40437" t="s">
        <v>34897</v>
      </c>
    </row>
    <row r="40438" spans="6:8">
      <c r="H40438" t="s">
        <v>34898</v>
      </c>
    </row>
    <row r="40439" spans="6:8">
      <c r="H40439" t="s">
        <v>34899</v>
      </c>
    </row>
    <row r="40440" spans="6:8">
      <c r="H40440" t="s">
        <v>34900</v>
      </c>
    </row>
    <row r="40441" spans="6:8">
      <c r="H40441" t="s">
        <v>34900</v>
      </c>
    </row>
    <row r="40442" spans="6:8">
      <c r="H40442" t="s">
        <v>34901</v>
      </c>
    </row>
    <row r="40443" spans="6:8">
      <c r="H40443" t="s">
        <v>34902</v>
      </c>
    </row>
    <row r="40444" spans="6:8">
      <c r="H40444" t="s">
        <v>34020</v>
      </c>
    </row>
    <row r="40445" spans="6:8">
      <c r="H40445" t="s">
        <v>34903</v>
      </c>
    </row>
    <row r="40446" spans="6:8">
      <c r="H40446" t="s">
        <v>19019</v>
      </c>
    </row>
    <row r="40447" spans="6:8">
      <c r="H40447" t="s">
        <v>34904</v>
      </c>
    </row>
    <row r="40448" spans="6:8">
      <c r="F40448" t="s">
        <v>10700</v>
      </c>
      <c r="G40448" t="s">
        <v>15100</v>
      </c>
      <c r="H40448" t="s">
        <v>18829</v>
      </c>
    </row>
    <row r="40449" spans="8:8">
      <c r="H40449" t="s">
        <v>18863</v>
      </c>
    </row>
    <row r="40450" spans="8:8">
      <c r="H40450" t="s">
        <v>34905</v>
      </c>
    </row>
    <row r="40451" spans="8:8">
      <c r="H40451" t="s">
        <v>34906</v>
      </c>
    </row>
    <row r="40452" spans="8:8">
      <c r="H40452" t="s">
        <v>22508</v>
      </c>
    </row>
    <row r="40453" spans="8:8">
      <c r="H40453" t="s">
        <v>34907</v>
      </c>
    </row>
    <row r="40454" spans="8:8">
      <c r="H40454" t="s">
        <v>34908</v>
      </c>
    </row>
    <row r="40455" spans="8:8">
      <c r="H40455" t="s">
        <v>34909</v>
      </c>
    </row>
    <row r="40456" spans="8:8">
      <c r="H40456" t="s">
        <v>34910</v>
      </c>
    </row>
    <row r="40457" spans="8:8">
      <c r="H40457" t="s">
        <v>34911</v>
      </c>
    </row>
    <row r="40458" spans="8:8">
      <c r="H40458" t="s">
        <v>34912</v>
      </c>
    </row>
    <row r="40459" spans="8:8">
      <c r="H40459" t="s">
        <v>34913</v>
      </c>
    </row>
    <row r="40460" spans="8:8">
      <c r="H40460" t="s">
        <v>34914</v>
      </c>
    </row>
    <row r="40461" spans="8:8">
      <c r="H40461" t="s">
        <v>34915</v>
      </c>
    </row>
    <row r="40462" spans="8:8">
      <c r="H40462" t="s">
        <v>34916</v>
      </c>
    </row>
    <row r="40463" spans="8:8">
      <c r="H40463" t="s">
        <v>34917</v>
      </c>
    </row>
    <row r="40464" spans="8:8">
      <c r="H40464" t="s">
        <v>25838</v>
      </c>
    </row>
    <row r="40465" spans="8:8">
      <c r="H40465" t="s">
        <v>34918</v>
      </c>
    </row>
    <row r="40466" spans="8:8">
      <c r="H40466" t="s">
        <v>34919</v>
      </c>
    </row>
    <row r="40467" spans="8:8">
      <c r="H40467" t="s">
        <v>34920</v>
      </c>
    </row>
    <row r="40468" spans="8:8">
      <c r="H40468" t="s">
        <v>25839</v>
      </c>
    </row>
    <row r="40469" spans="8:8">
      <c r="H40469" t="s">
        <v>27479</v>
      </c>
    </row>
    <row r="40470" spans="8:8">
      <c r="H40470" t="s">
        <v>32382</v>
      </c>
    </row>
    <row r="40471" spans="8:8">
      <c r="H40471" t="s">
        <v>34921</v>
      </c>
    </row>
    <row r="40472" spans="8:8">
      <c r="H40472" t="s">
        <v>34922</v>
      </c>
    </row>
    <row r="40473" spans="8:8">
      <c r="H40473" t="s">
        <v>34923</v>
      </c>
    </row>
    <row r="40474" spans="8:8">
      <c r="H40474" t="s">
        <v>34924</v>
      </c>
    </row>
    <row r="40475" spans="8:8">
      <c r="H40475" t="s">
        <v>34925</v>
      </c>
    </row>
    <row r="40476" spans="8:8">
      <c r="H40476" t="s">
        <v>34926</v>
      </c>
    </row>
    <row r="40477" spans="8:8">
      <c r="H40477" t="s">
        <v>34927</v>
      </c>
    </row>
    <row r="40478" spans="8:8">
      <c r="H40478" t="s">
        <v>34928</v>
      </c>
    </row>
    <row r="40479" spans="8:8">
      <c r="H40479" t="s">
        <v>34929</v>
      </c>
    </row>
    <row r="40480" spans="8:8">
      <c r="H40480" t="s">
        <v>34930</v>
      </c>
    </row>
    <row r="40481" spans="8:8">
      <c r="H40481" t="s">
        <v>34931</v>
      </c>
    </row>
    <row r="40482" spans="8:8">
      <c r="H40482" t="s">
        <v>34932</v>
      </c>
    </row>
    <row r="40483" spans="8:8">
      <c r="H40483" t="s">
        <v>34933</v>
      </c>
    </row>
    <row r="40484" spans="8:8">
      <c r="H40484" t="s">
        <v>34934</v>
      </c>
    </row>
    <row r="40485" spans="8:8">
      <c r="H40485" t="s">
        <v>34935</v>
      </c>
    </row>
    <row r="40486" spans="8:8">
      <c r="H40486" t="s">
        <v>34676</v>
      </c>
    </row>
    <row r="40487" spans="8:8">
      <c r="H40487" t="s">
        <v>34936</v>
      </c>
    </row>
    <row r="40488" spans="8:8">
      <c r="H40488" t="s">
        <v>34937</v>
      </c>
    </row>
    <row r="40489" spans="8:8">
      <c r="H40489" t="s">
        <v>34938</v>
      </c>
    </row>
    <row r="40490" spans="8:8">
      <c r="H40490" t="s">
        <v>19372</v>
      </c>
    </row>
    <row r="40491" spans="8:8">
      <c r="H40491" t="s">
        <v>18930</v>
      </c>
    </row>
    <row r="40492" spans="8:8">
      <c r="H40492" t="s">
        <v>34939</v>
      </c>
    </row>
    <row r="40493" spans="8:8">
      <c r="H40493" t="s">
        <v>34940</v>
      </c>
    </row>
    <row r="40494" spans="8:8">
      <c r="H40494" t="s">
        <v>20177</v>
      </c>
    </row>
    <row r="40495" spans="8:8">
      <c r="H40495" t="s">
        <v>33901</v>
      </c>
    </row>
    <row r="40496" spans="8:8">
      <c r="H40496" t="s">
        <v>34827</v>
      </c>
    </row>
    <row r="40497" spans="8:8">
      <c r="H40497" t="s">
        <v>34941</v>
      </c>
    </row>
    <row r="40498" spans="8:8">
      <c r="H40498" t="s">
        <v>34942</v>
      </c>
    </row>
    <row r="40499" spans="8:8">
      <c r="H40499" t="s">
        <v>34943</v>
      </c>
    </row>
    <row r="40500" spans="8:8">
      <c r="H40500" t="s">
        <v>34944</v>
      </c>
    </row>
    <row r="40501" spans="8:8">
      <c r="H40501" t="s">
        <v>34945</v>
      </c>
    </row>
    <row r="40502" spans="8:8">
      <c r="H40502" t="s">
        <v>34946</v>
      </c>
    </row>
    <row r="40503" spans="8:8">
      <c r="H40503" t="s">
        <v>34947</v>
      </c>
    </row>
    <row r="40504" spans="8:8">
      <c r="H40504" t="s">
        <v>34948</v>
      </c>
    </row>
    <row r="40505" spans="8:8">
      <c r="H40505" t="s">
        <v>34949</v>
      </c>
    </row>
    <row r="40506" spans="8:8">
      <c r="H40506" t="s">
        <v>34950</v>
      </c>
    </row>
    <row r="40507" spans="8:8">
      <c r="H40507" t="s">
        <v>34951</v>
      </c>
    </row>
    <row r="40508" spans="8:8">
      <c r="H40508" t="s">
        <v>34952</v>
      </c>
    </row>
    <row r="40509" spans="8:8">
      <c r="H40509" t="s">
        <v>34953</v>
      </c>
    </row>
    <row r="40510" spans="8:8">
      <c r="H40510" t="s">
        <v>34954</v>
      </c>
    </row>
    <row r="40511" spans="8:8">
      <c r="H40511" t="s">
        <v>34955</v>
      </c>
    </row>
    <row r="40512" spans="8:8">
      <c r="H40512" t="s">
        <v>34956</v>
      </c>
    </row>
    <row r="40513" spans="6:8">
      <c r="H40513" t="s">
        <v>34957</v>
      </c>
    </row>
    <row r="40514" spans="6:8">
      <c r="H40514" t="s">
        <v>34958</v>
      </c>
    </row>
    <row r="40515" spans="6:8">
      <c r="H40515" t="s">
        <v>34959</v>
      </c>
    </row>
    <row r="40516" spans="6:8">
      <c r="H40516" t="s">
        <v>34960</v>
      </c>
    </row>
    <row r="40517" spans="6:8">
      <c r="H40517" t="s">
        <v>34006</v>
      </c>
    </row>
    <row r="40518" spans="6:8">
      <c r="H40518" t="s">
        <v>34961</v>
      </c>
    </row>
    <row r="40519" spans="6:8">
      <c r="H40519" t="s">
        <v>34962</v>
      </c>
    </row>
    <row r="40520" spans="6:8">
      <c r="H40520" t="s">
        <v>34963</v>
      </c>
    </row>
    <row r="40521" spans="6:8">
      <c r="H40521" t="s">
        <v>31668</v>
      </c>
    </row>
    <row r="40522" spans="6:8">
      <c r="H40522" t="s">
        <v>32385</v>
      </c>
    </row>
    <row r="40523" spans="6:8">
      <c r="H40523" t="s">
        <v>34964</v>
      </c>
    </row>
    <row r="40524" spans="6:8">
      <c r="H40524" t="s">
        <v>34965</v>
      </c>
    </row>
    <row r="40525" spans="6:8">
      <c r="H40525" t="s">
        <v>34966</v>
      </c>
    </row>
    <row r="40526" spans="6:8">
      <c r="F40526" t="s">
        <v>14306</v>
      </c>
      <c r="G40526" t="s">
        <v>18263</v>
      </c>
      <c r="H40526" t="s">
        <v>34967</v>
      </c>
    </row>
    <row r="40527" spans="6:8">
      <c r="F40527" t="s">
        <v>13837</v>
      </c>
      <c r="G40527" t="s">
        <v>17880</v>
      </c>
      <c r="H40527" t="s">
        <v>18829</v>
      </c>
    </row>
    <row r="40528" spans="6:8">
      <c r="H40528" t="s">
        <v>18863</v>
      </c>
    </row>
    <row r="40529" spans="8:8">
      <c r="H40529" t="s">
        <v>34968</v>
      </c>
    </row>
    <row r="40530" spans="8:8">
      <c r="H40530" t="s">
        <v>34969</v>
      </c>
    </row>
    <row r="40531" spans="8:8">
      <c r="H40531" t="s">
        <v>27735</v>
      </c>
    </row>
    <row r="40532" spans="8:8">
      <c r="H40532" t="s">
        <v>34970</v>
      </c>
    </row>
    <row r="40533" spans="8:8">
      <c r="H40533" t="s">
        <v>34971</v>
      </c>
    </row>
    <row r="40534" spans="8:8">
      <c r="H40534" t="s">
        <v>34972</v>
      </c>
    </row>
    <row r="40535" spans="8:8">
      <c r="H40535" t="s">
        <v>34973</v>
      </c>
    </row>
    <row r="40536" spans="8:8">
      <c r="H40536" t="s">
        <v>34974</v>
      </c>
    </row>
    <row r="40537" spans="8:8">
      <c r="H40537" t="s">
        <v>34975</v>
      </c>
    </row>
    <row r="40538" spans="8:8">
      <c r="H40538" t="s">
        <v>34975</v>
      </c>
    </row>
    <row r="40539" spans="8:8">
      <c r="H40539" t="s">
        <v>31970</v>
      </c>
    </row>
    <row r="40540" spans="8:8">
      <c r="H40540" t="s">
        <v>31970</v>
      </c>
    </row>
    <row r="40541" spans="8:8">
      <c r="H40541" t="s">
        <v>34976</v>
      </c>
    </row>
    <row r="40542" spans="8:8">
      <c r="H40542" t="s">
        <v>31971</v>
      </c>
    </row>
    <row r="40543" spans="8:8">
      <c r="H40543" t="s">
        <v>20177</v>
      </c>
    </row>
    <row r="40544" spans="8:8">
      <c r="H40544" t="s">
        <v>31967</v>
      </c>
    </row>
    <row r="40545" spans="8:8">
      <c r="H40545" t="s">
        <v>34977</v>
      </c>
    </row>
    <row r="40546" spans="8:8">
      <c r="H40546" t="s">
        <v>34978</v>
      </c>
    </row>
    <row r="40547" spans="8:8">
      <c r="H40547" t="s">
        <v>34979</v>
      </c>
    </row>
    <row r="40548" spans="8:8">
      <c r="H40548" t="s">
        <v>31852</v>
      </c>
    </row>
    <row r="40549" spans="8:8">
      <c r="H40549" t="s">
        <v>34980</v>
      </c>
    </row>
    <row r="40550" spans="8:8">
      <c r="H40550" t="s">
        <v>34981</v>
      </c>
    </row>
    <row r="40551" spans="8:8">
      <c r="H40551" t="s">
        <v>34982</v>
      </c>
    </row>
    <row r="40552" spans="8:8">
      <c r="H40552" t="s">
        <v>34983</v>
      </c>
    </row>
    <row r="40553" spans="8:8">
      <c r="H40553" t="s">
        <v>34984</v>
      </c>
    </row>
    <row r="40554" spans="8:8">
      <c r="H40554" t="s">
        <v>34985</v>
      </c>
    </row>
    <row r="40555" spans="8:8">
      <c r="H40555" t="s">
        <v>34986</v>
      </c>
    </row>
    <row r="40556" spans="8:8">
      <c r="H40556" t="s">
        <v>34987</v>
      </c>
    </row>
    <row r="40557" spans="8:8">
      <c r="H40557" t="s">
        <v>34988</v>
      </c>
    </row>
    <row r="40558" spans="8:8">
      <c r="H40558" t="s">
        <v>34989</v>
      </c>
    </row>
    <row r="40559" spans="8:8">
      <c r="H40559" t="s">
        <v>34990</v>
      </c>
    </row>
    <row r="40560" spans="8:8">
      <c r="H40560" t="s">
        <v>34991</v>
      </c>
    </row>
    <row r="40561" spans="8:8">
      <c r="H40561" t="s">
        <v>34992</v>
      </c>
    </row>
    <row r="40562" spans="8:8">
      <c r="H40562" t="s">
        <v>34993</v>
      </c>
    </row>
    <row r="40563" spans="8:8">
      <c r="H40563" t="s">
        <v>34994</v>
      </c>
    </row>
    <row r="40564" spans="8:8">
      <c r="H40564" t="s">
        <v>34995</v>
      </c>
    </row>
    <row r="40565" spans="8:8">
      <c r="H40565" t="s">
        <v>34996</v>
      </c>
    </row>
    <row r="40566" spans="8:8">
      <c r="H40566" t="s">
        <v>34997</v>
      </c>
    </row>
    <row r="40567" spans="8:8">
      <c r="H40567" t="s">
        <v>31970</v>
      </c>
    </row>
    <row r="40568" spans="8:8">
      <c r="H40568" t="s">
        <v>34976</v>
      </c>
    </row>
    <row r="40569" spans="8:8">
      <c r="H40569" t="s">
        <v>34998</v>
      </c>
    </row>
    <row r="40570" spans="8:8">
      <c r="H40570" t="s">
        <v>34999</v>
      </c>
    </row>
    <row r="40571" spans="8:8">
      <c r="H40571" t="s">
        <v>35000</v>
      </c>
    </row>
    <row r="40572" spans="8:8">
      <c r="H40572" t="s">
        <v>35001</v>
      </c>
    </row>
    <row r="40573" spans="8:8">
      <c r="H40573" t="s">
        <v>31971</v>
      </c>
    </row>
    <row r="40574" spans="8:8">
      <c r="H40574" t="s">
        <v>20177</v>
      </c>
    </row>
    <row r="40575" spans="8:8">
      <c r="H40575" t="s">
        <v>35002</v>
      </c>
    </row>
    <row r="40576" spans="8:8">
      <c r="H40576" t="s">
        <v>35003</v>
      </c>
    </row>
    <row r="40577" spans="6:8">
      <c r="H40577" t="s">
        <v>35004</v>
      </c>
    </row>
    <row r="40578" spans="6:8">
      <c r="H40578" t="s">
        <v>35005</v>
      </c>
    </row>
    <row r="40579" spans="6:8">
      <c r="H40579" t="s">
        <v>35006</v>
      </c>
    </row>
    <row r="40580" spans="6:8">
      <c r="H40580" t="s">
        <v>35007</v>
      </c>
    </row>
    <row r="40581" spans="6:8">
      <c r="H40581" t="s">
        <v>35008</v>
      </c>
    </row>
    <row r="40582" spans="6:8">
      <c r="H40582" t="s">
        <v>35009</v>
      </c>
    </row>
    <row r="40583" spans="6:8">
      <c r="H40583" t="s">
        <v>35010</v>
      </c>
    </row>
    <row r="40584" spans="6:8">
      <c r="H40584" t="s">
        <v>35011</v>
      </c>
    </row>
    <row r="40585" spans="6:8">
      <c r="H40585" t="s">
        <v>35012</v>
      </c>
    </row>
    <row r="40586" spans="6:8">
      <c r="H40586" t="s">
        <v>35013</v>
      </c>
    </row>
    <row r="40587" spans="6:8">
      <c r="H40587" t="s">
        <v>35014</v>
      </c>
    </row>
    <row r="40588" spans="6:8">
      <c r="H40588" t="s">
        <v>35015</v>
      </c>
    </row>
    <row r="40589" spans="6:8">
      <c r="F40589" t="s">
        <v>12201</v>
      </c>
      <c r="G40589" t="s">
        <v>16439</v>
      </c>
      <c r="H40589" t="s">
        <v>18829</v>
      </c>
    </row>
    <row r="40590" spans="6:8">
      <c r="H40590" t="s">
        <v>21327</v>
      </c>
    </row>
    <row r="40591" spans="6:8">
      <c r="H40591" t="s">
        <v>21328</v>
      </c>
    </row>
    <row r="40592" spans="6:8">
      <c r="H40592" t="s">
        <v>35016</v>
      </c>
    </row>
    <row r="40593" spans="6:8">
      <c r="H40593" t="s">
        <v>35017</v>
      </c>
    </row>
    <row r="40594" spans="6:8">
      <c r="F40594" t="s">
        <v>14222</v>
      </c>
      <c r="G40594" t="s">
        <v>18195</v>
      </c>
      <c r="H40594" t="s">
        <v>35018</v>
      </c>
    </row>
    <row r="40595" spans="6:8">
      <c r="H40595" t="s">
        <v>18863</v>
      </c>
    </row>
    <row r="40596" spans="6:8">
      <c r="H40596" t="s">
        <v>34106</v>
      </c>
    </row>
    <row r="40597" spans="6:8">
      <c r="H40597" t="s">
        <v>35019</v>
      </c>
    </row>
    <row r="40598" spans="6:8">
      <c r="H40598" t="s">
        <v>35020</v>
      </c>
    </row>
    <row r="40599" spans="6:8">
      <c r="H40599" t="s">
        <v>35020</v>
      </c>
    </row>
    <row r="40600" spans="6:8">
      <c r="H40600" t="s">
        <v>35021</v>
      </c>
    </row>
    <row r="40601" spans="6:8">
      <c r="H40601" t="s">
        <v>35022</v>
      </c>
    </row>
    <row r="40602" spans="6:8">
      <c r="H40602" t="s">
        <v>35023</v>
      </c>
    </row>
    <row r="40603" spans="6:8">
      <c r="H40603" t="s">
        <v>35024</v>
      </c>
    </row>
    <row r="40604" spans="6:8">
      <c r="H40604" t="s">
        <v>35025</v>
      </c>
    </row>
    <row r="40605" spans="6:8">
      <c r="H40605" t="s">
        <v>35026</v>
      </c>
    </row>
    <row r="40606" spans="6:8">
      <c r="H40606" t="s">
        <v>35027</v>
      </c>
    </row>
    <row r="40607" spans="6:8">
      <c r="H40607" t="s">
        <v>35028</v>
      </c>
    </row>
    <row r="40608" spans="6:8">
      <c r="H40608" t="s">
        <v>35029</v>
      </c>
    </row>
    <row r="40609" spans="6:8">
      <c r="H40609" t="s">
        <v>35030</v>
      </c>
    </row>
    <row r="40610" spans="6:8">
      <c r="H40610" t="s">
        <v>35031</v>
      </c>
    </row>
    <row r="40611" spans="6:8">
      <c r="H40611" t="s">
        <v>35032</v>
      </c>
    </row>
    <row r="40612" spans="6:8">
      <c r="H40612" t="s">
        <v>35033</v>
      </c>
    </row>
    <row r="40613" spans="6:8">
      <c r="H40613" t="s">
        <v>35034</v>
      </c>
    </row>
    <row r="40614" spans="6:8">
      <c r="H40614" t="s">
        <v>35035</v>
      </c>
    </row>
    <row r="40615" spans="6:8">
      <c r="H40615" t="s">
        <v>35036</v>
      </c>
    </row>
    <row r="40616" spans="6:8">
      <c r="H40616" t="s">
        <v>35037</v>
      </c>
    </row>
    <row r="40617" spans="6:8">
      <c r="H40617" t="s">
        <v>35038</v>
      </c>
    </row>
    <row r="40618" spans="6:8">
      <c r="H40618" t="s">
        <v>35039</v>
      </c>
    </row>
    <row r="40619" spans="6:8">
      <c r="F40619" t="s">
        <v>14307</v>
      </c>
      <c r="G40619" t="s">
        <v>18264</v>
      </c>
      <c r="H40619" t="s">
        <v>35040</v>
      </c>
    </row>
    <row r="40620" spans="6:8">
      <c r="H40620" t="s">
        <v>35041</v>
      </c>
    </row>
    <row r="40621" spans="6:8">
      <c r="H40621" t="s">
        <v>35042</v>
      </c>
    </row>
    <row r="40622" spans="6:8">
      <c r="H40622" t="s">
        <v>35043</v>
      </c>
    </row>
    <row r="40623" spans="6:8">
      <c r="H40623" t="s">
        <v>35044</v>
      </c>
    </row>
    <row r="40624" spans="6:8">
      <c r="H40624" t="s">
        <v>35045</v>
      </c>
    </row>
    <row r="40625" spans="6:8">
      <c r="H40625" t="s">
        <v>35046</v>
      </c>
    </row>
    <row r="40626" spans="6:8">
      <c r="H40626" t="s">
        <v>35047</v>
      </c>
    </row>
    <row r="40627" spans="6:8">
      <c r="F40627" t="s">
        <v>14159</v>
      </c>
      <c r="G40627" t="s">
        <v>18145</v>
      </c>
      <c r="H40627" t="s">
        <v>18829</v>
      </c>
    </row>
    <row r="40628" spans="6:8">
      <c r="H40628" t="s">
        <v>18836</v>
      </c>
    </row>
    <row r="40629" spans="6:8">
      <c r="H40629" t="s">
        <v>35048</v>
      </c>
    </row>
    <row r="40630" spans="6:8">
      <c r="H40630" t="s">
        <v>35049</v>
      </c>
    </row>
    <row r="40631" spans="6:8">
      <c r="H40631" t="s">
        <v>35050</v>
      </c>
    </row>
    <row r="40632" spans="6:8">
      <c r="F40632" t="s">
        <v>14308</v>
      </c>
      <c r="G40632" t="s">
        <v>18265</v>
      </c>
      <c r="H40632" t="s">
        <v>18829</v>
      </c>
    </row>
    <row r="40633" spans="6:8">
      <c r="H40633" t="s">
        <v>26408</v>
      </c>
    </row>
    <row r="40634" spans="6:8">
      <c r="H40634" t="s">
        <v>30464</v>
      </c>
    </row>
    <row r="40635" spans="6:8">
      <c r="H40635" t="s">
        <v>30466</v>
      </c>
    </row>
    <row r="40636" spans="6:8">
      <c r="H40636" t="s">
        <v>35051</v>
      </c>
    </row>
    <row r="40637" spans="6:8">
      <c r="H40637" t="s">
        <v>35052</v>
      </c>
    </row>
    <row r="40638" spans="6:8">
      <c r="H40638" t="s">
        <v>35053</v>
      </c>
    </row>
    <row r="40639" spans="6:8">
      <c r="H40639" t="s">
        <v>30466</v>
      </c>
    </row>
    <row r="40640" spans="6:8">
      <c r="H40640" t="s">
        <v>25704</v>
      </c>
    </row>
    <row r="40641" spans="8:8">
      <c r="H40641" t="s">
        <v>35054</v>
      </c>
    </row>
    <row r="40642" spans="8:8">
      <c r="H40642" t="s">
        <v>35055</v>
      </c>
    </row>
    <row r="40643" spans="8:8">
      <c r="H40643" t="s">
        <v>35056</v>
      </c>
    </row>
    <row r="40644" spans="8:8">
      <c r="H40644" t="s">
        <v>35057</v>
      </c>
    </row>
    <row r="40645" spans="8:8">
      <c r="H40645" t="s">
        <v>35058</v>
      </c>
    </row>
    <row r="40646" spans="8:8">
      <c r="H40646" t="s">
        <v>35059</v>
      </c>
    </row>
    <row r="40647" spans="8:8">
      <c r="H40647" t="s">
        <v>35059</v>
      </c>
    </row>
    <row r="40648" spans="8:8">
      <c r="H40648" t="s">
        <v>35052</v>
      </c>
    </row>
    <row r="40649" spans="8:8">
      <c r="H40649" t="s">
        <v>35058</v>
      </c>
    </row>
    <row r="40650" spans="8:8">
      <c r="H40650" t="s">
        <v>30466</v>
      </c>
    </row>
    <row r="40651" spans="8:8">
      <c r="H40651" t="s">
        <v>25704</v>
      </c>
    </row>
    <row r="40652" spans="8:8">
      <c r="H40652" t="s">
        <v>35053</v>
      </c>
    </row>
    <row r="40653" spans="8:8">
      <c r="H40653" t="s">
        <v>35054</v>
      </c>
    </row>
    <row r="40654" spans="8:8">
      <c r="H40654" t="s">
        <v>35055</v>
      </c>
    </row>
    <row r="40655" spans="8:8">
      <c r="H40655" t="s">
        <v>35060</v>
      </c>
    </row>
    <row r="40656" spans="8:8">
      <c r="H40656" t="s">
        <v>35052</v>
      </c>
    </row>
    <row r="40657" spans="8:8">
      <c r="H40657" t="s">
        <v>35053</v>
      </c>
    </row>
    <row r="40658" spans="8:8">
      <c r="H40658" t="s">
        <v>30466</v>
      </c>
    </row>
    <row r="40659" spans="8:8">
      <c r="H40659" t="s">
        <v>25704</v>
      </c>
    </row>
    <row r="40660" spans="8:8">
      <c r="H40660" t="s">
        <v>35054</v>
      </c>
    </row>
    <row r="40661" spans="8:8">
      <c r="H40661" t="s">
        <v>35055</v>
      </c>
    </row>
    <row r="40662" spans="8:8">
      <c r="H40662" t="s">
        <v>35061</v>
      </c>
    </row>
    <row r="40663" spans="8:8">
      <c r="H40663" t="s">
        <v>35062</v>
      </c>
    </row>
    <row r="40664" spans="8:8">
      <c r="H40664" t="s">
        <v>35063</v>
      </c>
    </row>
    <row r="40665" spans="8:8">
      <c r="H40665" t="s">
        <v>35064</v>
      </c>
    </row>
    <row r="40666" spans="8:8">
      <c r="H40666" t="s">
        <v>35065</v>
      </c>
    </row>
    <row r="40667" spans="8:8">
      <c r="H40667" t="s">
        <v>35066</v>
      </c>
    </row>
    <row r="40668" spans="8:8">
      <c r="H40668" t="s">
        <v>35067</v>
      </c>
    </row>
    <row r="40669" spans="8:8">
      <c r="H40669" t="s">
        <v>35068</v>
      </c>
    </row>
    <row r="40670" spans="8:8">
      <c r="H40670" t="s">
        <v>30465</v>
      </c>
    </row>
    <row r="40671" spans="8:8">
      <c r="H40671" t="s">
        <v>35069</v>
      </c>
    </row>
    <row r="40672" spans="8:8">
      <c r="H40672" t="s">
        <v>35070</v>
      </c>
    </row>
    <row r="40673" spans="6:8">
      <c r="H40673" t="s">
        <v>35071</v>
      </c>
    </row>
    <row r="40674" spans="6:8">
      <c r="H40674" t="s">
        <v>35072</v>
      </c>
    </row>
    <row r="40675" spans="6:8">
      <c r="H40675" t="s">
        <v>35073</v>
      </c>
    </row>
    <row r="40676" spans="6:8">
      <c r="H40676" t="s">
        <v>35074</v>
      </c>
    </row>
    <row r="40677" spans="6:8">
      <c r="H40677" t="s">
        <v>35075</v>
      </c>
    </row>
    <row r="40678" spans="6:8">
      <c r="F40678" t="s">
        <v>13309</v>
      </c>
      <c r="G40678" t="s">
        <v>17442</v>
      </c>
      <c r="H40678" t="s">
        <v>29102</v>
      </c>
    </row>
    <row r="40679" spans="6:8">
      <c r="H40679" t="s">
        <v>35076</v>
      </c>
    </row>
    <row r="40680" spans="6:8">
      <c r="H40680" t="s">
        <v>35077</v>
      </c>
    </row>
    <row r="40681" spans="6:8">
      <c r="H40681" t="s">
        <v>35078</v>
      </c>
    </row>
    <row r="40682" spans="6:8">
      <c r="H40682" t="s">
        <v>35079</v>
      </c>
    </row>
    <row r="40683" spans="6:8">
      <c r="H40683" t="s">
        <v>29103</v>
      </c>
    </row>
    <row r="40684" spans="6:8">
      <c r="H40684" t="s">
        <v>35080</v>
      </c>
    </row>
    <row r="40685" spans="6:8">
      <c r="H40685" t="s">
        <v>35081</v>
      </c>
    </row>
    <row r="40686" spans="6:8">
      <c r="H40686" t="s">
        <v>35082</v>
      </c>
    </row>
    <row r="40687" spans="6:8">
      <c r="H40687" t="s">
        <v>35083</v>
      </c>
    </row>
    <row r="40688" spans="6:8">
      <c r="H40688" t="s">
        <v>35084</v>
      </c>
    </row>
    <row r="40689" spans="8:8">
      <c r="H40689" t="s">
        <v>35085</v>
      </c>
    </row>
    <row r="40690" spans="8:8">
      <c r="H40690" t="s">
        <v>35086</v>
      </c>
    </row>
    <row r="40691" spans="8:8">
      <c r="H40691" t="s">
        <v>35087</v>
      </c>
    </row>
    <row r="40692" spans="8:8">
      <c r="H40692" t="s">
        <v>35088</v>
      </c>
    </row>
    <row r="40693" spans="8:8">
      <c r="H40693" t="s">
        <v>35089</v>
      </c>
    </row>
    <row r="40694" spans="8:8">
      <c r="H40694" t="s">
        <v>35090</v>
      </c>
    </row>
    <row r="40695" spans="8:8">
      <c r="H40695" t="s">
        <v>35091</v>
      </c>
    </row>
    <row r="40696" spans="8:8">
      <c r="H40696" t="s">
        <v>35092</v>
      </c>
    </row>
    <row r="40697" spans="8:8">
      <c r="H40697" t="s">
        <v>35093</v>
      </c>
    </row>
    <row r="40698" spans="8:8">
      <c r="H40698" t="s">
        <v>35094</v>
      </c>
    </row>
    <row r="40699" spans="8:8">
      <c r="H40699" t="s">
        <v>35095</v>
      </c>
    </row>
    <row r="40700" spans="8:8">
      <c r="H40700" t="s">
        <v>35096</v>
      </c>
    </row>
    <row r="40701" spans="8:8">
      <c r="H40701" t="s">
        <v>35097</v>
      </c>
    </row>
    <row r="40702" spans="8:8">
      <c r="H40702" t="s">
        <v>35098</v>
      </c>
    </row>
    <row r="40703" spans="8:8">
      <c r="H40703" t="s">
        <v>35099</v>
      </c>
    </row>
    <row r="40704" spans="8:8">
      <c r="H40704" t="s">
        <v>35100</v>
      </c>
    </row>
    <row r="40705" spans="8:8">
      <c r="H40705" t="s">
        <v>35101</v>
      </c>
    </row>
    <row r="40706" spans="8:8">
      <c r="H40706" t="s">
        <v>35102</v>
      </c>
    </row>
    <row r="40707" spans="8:8">
      <c r="H40707" t="s">
        <v>35103</v>
      </c>
    </row>
    <row r="40708" spans="8:8">
      <c r="H40708" t="s">
        <v>35104</v>
      </c>
    </row>
    <row r="40709" spans="8:8">
      <c r="H40709" t="s">
        <v>35105</v>
      </c>
    </row>
    <row r="40710" spans="8:8">
      <c r="H40710" t="s">
        <v>35106</v>
      </c>
    </row>
    <row r="40711" spans="8:8">
      <c r="H40711" t="s">
        <v>35107</v>
      </c>
    </row>
    <row r="40712" spans="8:8">
      <c r="H40712" t="s">
        <v>35108</v>
      </c>
    </row>
    <row r="40713" spans="8:8">
      <c r="H40713" t="s">
        <v>35109</v>
      </c>
    </row>
    <row r="40714" spans="8:8">
      <c r="H40714" t="s">
        <v>35110</v>
      </c>
    </row>
    <row r="40715" spans="8:8">
      <c r="H40715" t="s">
        <v>35111</v>
      </c>
    </row>
    <row r="40716" spans="8:8">
      <c r="H40716" t="s">
        <v>35112</v>
      </c>
    </row>
    <row r="40717" spans="8:8">
      <c r="H40717" t="s">
        <v>35113</v>
      </c>
    </row>
    <row r="40718" spans="8:8">
      <c r="H40718" t="s">
        <v>35114</v>
      </c>
    </row>
    <row r="40719" spans="8:8">
      <c r="H40719" t="s">
        <v>35115</v>
      </c>
    </row>
    <row r="40720" spans="8:8">
      <c r="H40720" t="s">
        <v>35116</v>
      </c>
    </row>
    <row r="40721" spans="8:8">
      <c r="H40721" t="s">
        <v>35117</v>
      </c>
    </row>
    <row r="40722" spans="8:8">
      <c r="H40722" t="s">
        <v>35118</v>
      </c>
    </row>
    <row r="40723" spans="8:8">
      <c r="H40723" t="s">
        <v>35119</v>
      </c>
    </row>
    <row r="40724" spans="8:8">
      <c r="H40724" t="s">
        <v>35120</v>
      </c>
    </row>
    <row r="40725" spans="8:8">
      <c r="H40725" t="s">
        <v>35121</v>
      </c>
    </row>
    <row r="40726" spans="8:8">
      <c r="H40726" t="s">
        <v>35122</v>
      </c>
    </row>
    <row r="40727" spans="8:8">
      <c r="H40727" t="s">
        <v>35123</v>
      </c>
    </row>
    <row r="40728" spans="8:8">
      <c r="H40728" t="s">
        <v>35124</v>
      </c>
    </row>
    <row r="40729" spans="8:8">
      <c r="H40729" t="s">
        <v>35125</v>
      </c>
    </row>
    <row r="40730" spans="8:8">
      <c r="H40730" t="s">
        <v>35126</v>
      </c>
    </row>
    <row r="40731" spans="8:8">
      <c r="H40731" t="s">
        <v>35127</v>
      </c>
    </row>
    <row r="40732" spans="8:8">
      <c r="H40732" t="s">
        <v>35128</v>
      </c>
    </row>
    <row r="40733" spans="8:8">
      <c r="H40733" t="s">
        <v>35129</v>
      </c>
    </row>
    <row r="40734" spans="8:8">
      <c r="H40734" t="s">
        <v>35130</v>
      </c>
    </row>
    <row r="40735" spans="8:8">
      <c r="H40735" t="s">
        <v>35131</v>
      </c>
    </row>
    <row r="40736" spans="8:8">
      <c r="H40736" t="s">
        <v>35132</v>
      </c>
    </row>
    <row r="40737" spans="8:8">
      <c r="H40737" t="s">
        <v>35133</v>
      </c>
    </row>
    <row r="40738" spans="8:8">
      <c r="H40738" t="s">
        <v>35134</v>
      </c>
    </row>
    <row r="40739" spans="8:8">
      <c r="H40739" t="s">
        <v>35135</v>
      </c>
    </row>
    <row r="40740" spans="8:8">
      <c r="H40740" t="s">
        <v>35136</v>
      </c>
    </row>
    <row r="40741" spans="8:8">
      <c r="H40741" t="s">
        <v>35137</v>
      </c>
    </row>
    <row r="40742" spans="8:8">
      <c r="H40742" t="s">
        <v>35138</v>
      </c>
    </row>
    <row r="40743" spans="8:8">
      <c r="H40743" t="s">
        <v>35139</v>
      </c>
    </row>
    <row r="40744" spans="8:8">
      <c r="H40744" t="s">
        <v>35140</v>
      </c>
    </row>
    <row r="40745" spans="8:8">
      <c r="H40745" t="s">
        <v>35141</v>
      </c>
    </row>
    <row r="40746" spans="8:8">
      <c r="H40746" t="s">
        <v>35142</v>
      </c>
    </row>
    <row r="40747" spans="8:8">
      <c r="H40747" t="s">
        <v>35143</v>
      </c>
    </row>
    <row r="40748" spans="8:8">
      <c r="H40748" t="s">
        <v>35144</v>
      </c>
    </row>
    <row r="40749" spans="8:8">
      <c r="H40749" t="s">
        <v>35145</v>
      </c>
    </row>
    <row r="40750" spans="8:8">
      <c r="H40750" t="s">
        <v>35146</v>
      </c>
    </row>
    <row r="40751" spans="8:8">
      <c r="H40751" t="s">
        <v>35147</v>
      </c>
    </row>
    <row r="40752" spans="8:8">
      <c r="H40752" t="s">
        <v>35148</v>
      </c>
    </row>
    <row r="40753" spans="6:8">
      <c r="H40753" t="s">
        <v>35149</v>
      </c>
    </row>
    <row r="40754" spans="6:8">
      <c r="H40754" t="s">
        <v>35150</v>
      </c>
    </row>
    <row r="40755" spans="6:8">
      <c r="H40755" t="s">
        <v>35151</v>
      </c>
    </row>
    <row r="40756" spans="6:8">
      <c r="H40756" t="s">
        <v>35152</v>
      </c>
    </row>
    <row r="40757" spans="6:8">
      <c r="H40757" t="s">
        <v>35153</v>
      </c>
    </row>
    <row r="40758" spans="6:8">
      <c r="H40758" t="s">
        <v>35154</v>
      </c>
    </row>
    <row r="40759" spans="6:8">
      <c r="H40759" t="s">
        <v>35155</v>
      </c>
    </row>
    <row r="40760" spans="6:8">
      <c r="H40760" t="s">
        <v>35156</v>
      </c>
    </row>
    <row r="40761" spans="6:8">
      <c r="F40761" t="s">
        <v>13928</v>
      </c>
      <c r="G40761" t="s">
        <v>17964</v>
      </c>
      <c r="H40761" t="s">
        <v>35157</v>
      </c>
    </row>
    <row r="40762" spans="6:8">
      <c r="H40762" t="s">
        <v>18829</v>
      </c>
    </row>
    <row r="40763" spans="6:8">
      <c r="H40763" t="s">
        <v>35158</v>
      </c>
    </row>
    <row r="40764" spans="6:8">
      <c r="H40764" t="s">
        <v>35159</v>
      </c>
    </row>
    <row r="40765" spans="6:8">
      <c r="H40765" t="s">
        <v>35160</v>
      </c>
    </row>
    <row r="40766" spans="6:8">
      <c r="H40766" t="s">
        <v>35161</v>
      </c>
    </row>
    <row r="40767" spans="6:8">
      <c r="H40767" t="s">
        <v>35162</v>
      </c>
    </row>
    <row r="40768" spans="6:8">
      <c r="H40768" t="s">
        <v>35162</v>
      </c>
    </row>
    <row r="40769" spans="8:8">
      <c r="H40769" t="s">
        <v>35162</v>
      </c>
    </row>
    <row r="40770" spans="8:8">
      <c r="H40770" t="s">
        <v>35163</v>
      </c>
    </row>
    <row r="40771" spans="8:8">
      <c r="H40771" t="s">
        <v>35164</v>
      </c>
    </row>
    <row r="40772" spans="8:8">
      <c r="H40772" t="s">
        <v>35165</v>
      </c>
    </row>
    <row r="40773" spans="8:8">
      <c r="H40773" t="s">
        <v>35166</v>
      </c>
    </row>
    <row r="40774" spans="8:8">
      <c r="H40774" t="s">
        <v>35167</v>
      </c>
    </row>
    <row r="40775" spans="8:8">
      <c r="H40775" t="s">
        <v>35168</v>
      </c>
    </row>
    <row r="40776" spans="8:8">
      <c r="H40776" t="s">
        <v>35169</v>
      </c>
    </row>
    <row r="40777" spans="8:8">
      <c r="H40777" t="s">
        <v>35170</v>
      </c>
    </row>
    <row r="40778" spans="8:8">
      <c r="H40778" t="s">
        <v>35171</v>
      </c>
    </row>
    <row r="40779" spans="8:8">
      <c r="H40779" t="s">
        <v>35172</v>
      </c>
    </row>
    <row r="40780" spans="8:8">
      <c r="H40780" t="s">
        <v>35173</v>
      </c>
    </row>
    <row r="40781" spans="8:8">
      <c r="H40781" t="s">
        <v>35174</v>
      </c>
    </row>
    <row r="40782" spans="8:8">
      <c r="H40782" t="s">
        <v>35175</v>
      </c>
    </row>
    <row r="40783" spans="8:8">
      <c r="H40783" t="s">
        <v>35176</v>
      </c>
    </row>
    <row r="40784" spans="8:8">
      <c r="H40784" t="s">
        <v>35177</v>
      </c>
    </row>
    <row r="40785" spans="8:8">
      <c r="H40785" t="s">
        <v>35178</v>
      </c>
    </row>
    <row r="40786" spans="8:8">
      <c r="H40786" t="s">
        <v>35179</v>
      </c>
    </row>
    <row r="40787" spans="8:8">
      <c r="H40787" t="s">
        <v>35180</v>
      </c>
    </row>
    <row r="40788" spans="8:8">
      <c r="H40788" t="s">
        <v>35181</v>
      </c>
    </row>
    <row r="40789" spans="8:8">
      <c r="H40789" t="s">
        <v>35182</v>
      </c>
    </row>
    <row r="40790" spans="8:8">
      <c r="H40790" t="s">
        <v>35183</v>
      </c>
    </row>
    <row r="40791" spans="8:8">
      <c r="H40791" t="s">
        <v>35184</v>
      </c>
    </row>
    <row r="40792" spans="8:8">
      <c r="H40792" t="s">
        <v>35185</v>
      </c>
    </row>
    <row r="40793" spans="8:8">
      <c r="H40793" t="s">
        <v>35186</v>
      </c>
    </row>
    <row r="40794" spans="8:8">
      <c r="H40794" t="s">
        <v>35187</v>
      </c>
    </row>
    <row r="40795" spans="8:8">
      <c r="H40795" t="s">
        <v>35188</v>
      </c>
    </row>
    <row r="40796" spans="8:8">
      <c r="H40796" t="s">
        <v>35189</v>
      </c>
    </row>
    <row r="40797" spans="8:8">
      <c r="H40797" t="s">
        <v>35190</v>
      </c>
    </row>
    <row r="40798" spans="8:8">
      <c r="H40798" t="s">
        <v>35191</v>
      </c>
    </row>
    <row r="40799" spans="8:8">
      <c r="H40799" t="s">
        <v>35192</v>
      </c>
    </row>
    <row r="40800" spans="8:8">
      <c r="H40800" t="s">
        <v>35193</v>
      </c>
    </row>
    <row r="40801" spans="6:8">
      <c r="H40801" t="s">
        <v>35194</v>
      </c>
    </row>
    <row r="40802" spans="6:8">
      <c r="H40802" t="s">
        <v>35195</v>
      </c>
    </row>
    <row r="40803" spans="6:8">
      <c r="H40803" t="s">
        <v>35196</v>
      </c>
    </row>
    <row r="40804" spans="6:8">
      <c r="H40804" t="s">
        <v>35197</v>
      </c>
    </row>
    <row r="40805" spans="6:8">
      <c r="H40805" t="s">
        <v>35198</v>
      </c>
    </row>
    <row r="40806" spans="6:8">
      <c r="F40806" t="s">
        <v>12740</v>
      </c>
      <c r="G40806" t="s">
        <v>16932</v>
      </c>
      <c r="H40806" t="s">
        <v>35199</v>
      </c>
    </row>
    <row r="40807" spans="6:8">
      <c r="F40807" t="s">
        <v>10615</v>
      </c>
      <c r="G40807" t="s">
        <v>15018</v>
      </c>
      <c r="H40807" t="s">
        <v>35200</v>
      </c>
    </row>
    <row r="40808" spans="6:8">
      <c r="F40808" t="s">
        <v>10616</v>
      </c>
      <c r="G40808" t="s">
        <v>15019</v>
      </c>
      <c r="H40808" t="s">
        <v>19183</v>
      </c>
    </row>
    <row r="40809" spans="6:8">
      <c r="H40809" t="s">
        <v>19184</v>
      </c>
    </row>
    <row r="40810" spans="6:8">
      <c r="F40810" t="s">
        <v>13133</v>
      </c>
      <c r="G40810" t="s">
        <v>17291</v>
      </c>
      <c r="H40810" t="s">
        <v>35201</v>
      </c>
    </row>
    <row r="40811" spans="6:8">
      <c r="H40811" t="s">
        <v>25716</v>
      </c>
    </row>
    <row r="40812" spans="6:8">
      <c r="H40812" t="s">
        <v>28041</v>
      </c>
    </row>
    <row r="40813" spans="6:8">
      <c r="H40813" t="s">
        <v>28042</v>
      </c>
    </row>
    <row r="40814" spans="6:8">
      <c r="H40814" t="s">
        <v>35202</v>
      </c>
    </row>
    <row r="40815" spans="6:8">
      <c r="H40815" t="s">
        <v>35203</v>
      </c>
    </row>
    <row r="40816" spans="6:8">
      <c r="H40816" t="s">
        <v>35204</v>
      </c>
    </row>
    <row r="40817" spans="6:8">
      <c r="H40817" t="s">
        <v>35205</v>
      </c>
    </row>
    <row r="40818" spans="6:8">
      <c r="H40818" t="s">
        <v>35206</v>
      </c>
    </row>
    <row r="40819" spans="6:8">
      <c r="H40819" t="s">
        <v>18927</v>
      </c>
    </row>
    <row r="40820" spans="6:8">
      <c r="H40820" t="s">
        <v>35207</v>
      </c>
    </row>
    <row r="40821" spans="6:8">
      <c r="H40821" t="s">
        <v>35208</v>
      </c>
    </row>
    <row r="40822" spans="6:8">
      <c r="H40822" t="s">
        <v>25720</v>
      </c>
    </row>
    <row r="40823" spans="6:8">
      <c r="H40823" t="s">
        <v>28043</v>
      </c>
    </row>
    <row r="40824" spans="6:8">
      <c r="H40824" t="s">
        <v>28044</v>
      </c>
    </row>
    <row r="40825" spans="6:8">
      <c r="H40825" t="s">
        <v>28045</v>
      </c>
    </row>
    <row r="40826" spans="6:8">
      <c r="H40826" t="s">
        <v>28046</v>
      </c>
    </row>
    <row r="40827" spans="6:8">
      <c r="H40827" t="s">
        <v>28047</v>
      </c>
    </row>
    <row r="40828" spans="6:8">
      <c r="H40828" t="s">
        <v>28048</v>
      </c>
    </row>
    <row r="40829" spans="6:8">
      <c r="H40829" t="s">
        <v>25704</v>
      </c>
    </row>
    <row r="40830" spans="6:8">
      <c r="F40830" t="s">
        <v>14309</v>
      </c>
      <c r="G40830" t="s">
        <v>18266</v>
      </c>
      <c r="H40830" t="s">
        <v>18924</v>
      </c>
    </row>
    <row r="40831" spans="6:8">
      <c r="H40831" t="s">
        <v>35209</v>
      </c>
    </row>
    <row r="40832" spans="6:8">
      <c r="H40832" t="s">
        <v>35210</v>
      </c>
    </row>
    <row r="40833" spans="6:8">
      <c r="H40833" t="s">
        <v>35211</v>
      </c>
    </row>
    <row r="40834" spans="6:8">
      <c r="H40834" t="s">
        <v>35212</v>
      </c>
    </row>
    <row r="40835" spans="6:8">
      <c r="H40835" t="s">
        <v>35213</v>
      </c>
    </row>
    <row r="40836" spans="6:8">
      <c r="H40836" t="s">
        <v>35214</v>
      </c>
    </row>
    <row r="40837" spans="6:8">
      <c r="H40837" t="s">
        <v>35215</v>
      </c>
    </row>
    <row r="40838" spans="6:8">
      <c r="F40838" t="s">
        <v>14310</v>
      </c>
      <c r="G40838" t="s">
        <v>18267</v>
      </c>
      <c r="H40838" t="s">
        <v>18829</v>
      </c>
    </row>
    <row r="40839" spans="6:8">
      <c r="H40839" t="s">
        <v>35216</v>
      </c>
    </row>
    <row r="40840" spans="6:8">
      <c r="F40840" t="s">
        <v>14210</v>
      </c>
      <c r="G40840" t="s">
        <v>18186</v>
      </c>
      <c r="H40840" t="s">
        <v>18829</v>
      </c>
    </row>
    <row r="40841" spans="6:8">
      <c r="H40841" t="s">
        <v>18863</v>
      </c>
    </row>
    <row r="40842" spans="6:8">
      <c r="H40842" t="s">
        <v>34969</v>
      </c>
    </row>
    <row r="40843" spans="6:8">
      <c r="H40843" t="s">
        <v>35217</v>
      </c>
    </row>
    <row r="40844" spans="6:8">
      <c r="H40844" t="s">
        <v>35218</v>
      </c>
    </row>
    <row r="40845" spans="6:8">
      <c r="H40845" t="s">
        <v>35219</v>
      </c>
    </row>
    <row r="40846" spans="6:8">
      <c r="H40846" t="s">
        <v>35220</v>
      </c>
    </row>
    <row r="40847" spans="6:8">
      <c r="H40847" t="s">
        <v>35221</v>
      </c>
    </row>
    <row r="40848" spans="6:8">
      <c r="H40848" t="s">
        <v>35222</v>
      </c>
    </row>
    <row r="40849" spans="6:8">
      <c r="H40849" t="s">
        <v>35223</v>
      </c>
    </row>
    <row r="40850" spans="6:8">
      <c r="H40850" t="s">
        <v>35224</v>
      </c>
    </row>
    <row r="40851" spans="6:8">
      <c r="F40851" t="s">
        <v>10617</v>
      </c>
      <c r="G40851" t="s">
        <v>15020</v>
      </c>
      <c r="H40851" t="s">
        <v>19183</v>
      </c>
    </row>
    <row r="40852" spans="6:8">
      <c r="H40852" t="s">
        <v>19184</v>
      </c>
    </row>
    <row r="40853" spans="6:8">
      <c r="F40853" t="s">
        <v>10618</v>
      </c>
      <c r="G40853" t="s">
        <v>15021</v>
      </c>
      <c r="H40853" t="s">
        <v>19183</v>
      </c>
    </row>
    <row r="40854" spans="6:8">
      <c r="H40854" t="s">
        <v>19184</v>
      </c>
    </row>
    <row r="40855" spans="6:8">
      <c r="F40855" t="s">
        <v>13556</v>
      </c>
      <c r="G40855" t="s">
        <v>17663</v>
      </c>
      <c r="H40855" t="s">
        <v>35225</v>
      </c>
    </row>
    <row r="40856" spans="6:8">
      <c r="H40856" t="s">
        <v>35226</v>
      </c>
    </row>
    <row r="40857" spans="6:8">
      <c r="H40857" t="s">
        <v>35227</v>
      </c>
    </row>
    <row r="40858" spans="6:8">
      <c r="H40858" t="s">
        <v>35228</v>
      </c>
    </row>
    <row r="40859" spans="6:8">
      <c r="H40859" t="s">
        <v>35229</v>
      </c>
    </row>
    <row r="40860" spans="6:8">
      <c r="H40860" t="s">
        <v>35230</v>
      </c>
    </row>
    <row r="40861" spans="6:8">
      <c r="H40861" t="s">
        <v>35231</v>
      </c>
    </row>
    <row r="40862" spans="6:8">
      <c r="H40862" t="s">
        <v>35232</v>
      </c>
    </row>
    <row r="40863" spans="6:8">
      <c r="H40863" t="s">
        <v>35233</v>
      </c>
    </row>
    <row r="40864" spans="6:8">
      <c r="H40864" t="s">
        <v>35234</v>
      </c>
    </row>
    <row r="40865" spans="6:8">
      <c r="H40865" t="s">
        <v>35235</v>
      </c>
    </row>
    <row r="40866" spans="6:8">
      <c r="H40866" t="s">
        <v>35236</v>
      </c>
    </row>
    <row r="40867" spans="6:8">
      <c r="F40867" t="s">
        <v>14311</v>
      </c>
      <c r="G40867" t="s">
        <v>18268</v>
      </c>
      <c r="H40867" t="s">
        <v>18829</v>
      </c>
    </row>
    <row r="40868" spans="6:8">
      <c r="H40868" t="s">
        <v>35237</v>
      </c>
    </row>
    <row r="40869" spans="6:8">
      <c r="H40869" t="s">
        <v>35238</v>
      </c>
    </row>
    <row r="40870" spans="6:8">
      <c r="H40870" t="s">
        <v>35239</v>
      </c>
    </row>
    <row r="40871" spans="6:8">
      <c r="F40871" t="s">
        <v>14312</v>
      </c>
      <c r="G40871" t="s">
        <v>18269</v>
      </c>
      <c r="H40871" t="s">
        <v>18829</v>
      </c>
    </row>
    <row r="40872" spans="6:8">
      <c r="H40872" t="s">
        <v>18863</v>
      </c>
    </row>
    <row r="40873" spans="6:8">
      <c r="H40873" t="s">
        <v>31527</v>
      </c>
    </row>
    <row r="40874" spans="6:8">
      <c r="H40874" t="s">
        <v>35240</v>
      </c>
    </row>
    <row r="40875" spans="6:8">
      <c r="H40875" t="s">
        <v>35241</v>
      </c>
    </row>
    <row r="40876" spans="6:8">
      <c r="H40876" t="s">
        <v>34968</v>
      </c>
    </row>
    <row r="40877" spans="6:8">
      <c r="H40877" t="s">
        <v>35242</v>
      </c>
    </row>
    <row r="40878" spans="6:8">
      <c r="H40878" t="s">
        <v>35243</v>
      </c>
    </row>
    <row r="40879" spans="6:8">
      <c r="H40879" t="s">
        <v>35244</v>
      </c>
    </row>
    <row r="40880" spans="6:8">
      <c r="H40880" t="s">
        <v>31775</v>
      </c>
    </row>
    <row r="40881" spans="6:8">
      <c r="H40881" t="s">
        <v>35245</v>
      </c>
    </row>
    <row r="40882" spans="6:8">
      <c r="H40882" t="s">
        <v>35246</v>
      </c>
    </row>
    <row r="40883" spans="6:8">
      <c r="F40883" t="s">
        <v>14313</v>
      </c>
      <c r="G40883" t="s">
        <v>18270</v>
      </c>
      <c r="H40883" t="s">
        <v>18836</v>
      </c>
    </row>
    <row r="40884" spans="6:8">
      <c r="H40884" t="s">
        <v>35247</v>
      </c>
    </row>
    <row r="40885" spans="6:8">
      <c r="H40885" t="s">
        <v>35248</v>
      </c>
    </row>
    <row r="40886" spans="6:8">
      <c r="H40886" t="s">
        <v>35249</v>
      </c>
    </row>
    <row r="40887" spans="6:8">
      <c r="H40887" t="s">
        <v>35048</v>
      </c>
    </row>
    <row r="40888" spans="6:8">
      <c r="F40888" t="s">
        <v>10600</v>
      </c>
      <c r="G40888" t="s">
        <v>15003</v>
      </c>
      <c r="H40888" t="s">
        <v>18836</v>
      </c>
    </row>
    <row r="40889" spans="6:8">
      <c r="H40889" t="s">
        <v>35250</v>
      </c>
    </row>
    <row r="40890" spans="6:8">
      <c r="F40890" t="s">
        <v>14314</v>
      </c>
      <c r="G40890" t="s">
        <v>18271</v>
      </c>
      <c r="H40890" t="s">
        <v>35251</v>
      </c>
    </row>
    <row r="40891" spans="6:8">
      <c r="H40891" t="s">
        <v>35252</v>
      </c>
    </row>
    <row r="40892" spans="6:8">
      <c r="H40892" t="s">
        <v>35253</v>
      </c>
    </row>
    <row r="40893" spans="6:8">
      <c r="F40893" t="s">
        <v>13960</v>
      </c>
      <c r="G40893" t="s">
        <v>17986</v>
      </c>
      <c r="H40893" t="s">
        <v>18829</v>
      </c>
    </row>
    <row r="40894" spans="6:8">
      <c r="H40894" t="s">
        <v>35254</v>
      </c>
    </row>
    <row r="40895" spans="6:8">
      <c r="H40895" t="s">
        <v>35255</v>
      </c>
    </row>
    <row r="40896" spans="6:8">
      <c r="H40896" t="s">
        <v>35250</v>
      </c>
    </row>
    <row r="40897" spans="6:8">
      <c r="H40897" t="s">
        <v>35256</v>
      </c>
    </row>
    <row r="40898" spans="6:8">
      <c r="H40898" t="s">
        <v>35257</v>
      </c>
    </row>
    <row r="40899" spans="6:8">
      <c r="H40899" t="s">
        <v>35258</v>
      </c>
    </row>
    <row r="40900" spans="6:8">
      <c r="H40900" t="s">
        <v>35259</v>
      </c>
    </row>
    <row r="40901" spans="6:8">
      <c r="H40901" t="s">
        <v>35260</v>
      </c>
    </row>
    <row r="40902" spans="6:8">
      <c r="H40902" t="s">
        <v>35261</v>
      </c>
    </row>
    <row r="40903" spans="6:8">
      <c r="H40903" t="s">
        <v>35262</v>
      </c>
    </row>
    <row r="40904" spans="6:8">
      <c r="H40904" t="s">
        <v>20340</v>
      </c>
    </row>
    <row r="40905" spans="6:8">
      <c r="F40905" t="s">
        <v>14315</v>
      </c>
      <c r="G40905" t="s">
        <v>18272</v>
      </c>
      <c r="H40905" t="s">
        <v>19981</v>
      </c>
    </row>
    <row r="40906" spans="6:8">
      <c r="H40906" t="s">
        <v>35263</v>
      </c>
    </row>
    <row r="40907" spans="6:8">
      <c r="H40907" t="s">
        <v>34877</v>
      </c>
    </row>
    <row r="40908" spans="6:8">
      <c r="H40908" t="s">
        <v>35264</v>
      </c>
    </row>
    <row r="40909" spans="6:8">
      <c r="H40909" t="s">
        <v>35265</v>
      </c>
    </row>
    <row r="40910" spans="6:8">
      <c r="F40910" t="s">
        <v>10726</v>
      </c>
      <c r="G40910" t="s">
        <v>15125</v>
      </c>
      <c r="H40910" t="s">
        <v>22023</v>
      </c>
    </row>
    <row r="40911" spans="6:8">
      <c r="H40911" t="s">
        <v>35266</v>
      </c>
    </row>
    <row r="40912" spans="6:8">
      <c r="H40912" t="s">
        <v>35267</v>
      </c>
    </row>
    <row r="40913" spans="6:8">
      <c r="H40913" t="s">
        <v>35268</v>
      </c>
    </row>
    <row r="40914" spans="6:8">
      <c r="H40914" t="s">
        <v>35269</v>
      </c>
    </row>
    <row r="40915" spans="6:8">
      <c r="H40915" t="s">
        <v>35270</v>
      </c>
    </row>
    <row r="40916" spans="6:8">
      <c r="H40916" t="s">
        <v>35271</v>
      </c>
    </row>
    <row r="40917" spans="6:8">
      <c r="F40917" t="s">
        <v>11449</v>
      </c>
      <c r="G40917" t="s">
        <v>15689</v>
      </c>
      <c r="H40917" t="s">
        <v>31759</v>
      </c>
    </row>
    <row r="40918" spans="6:8">
      <c r="H40918" t="s">
        <v>35272</v>
      </c>
    </row>
    <row r="40919" spans="6:8">
      <c r="H40919" t="s">
        <v>35273</v>
      </c>
    </row>
    <row r="40920" spans="6:8">
      <c r="H40920" t="s">
        <v>35274</v>
      </c>
    </row>
    <row r="40921" spans="6:8">
      <c r="H40921" t="s">
        <v>35275</v>
      </c>
    </row>
    <row r="40922" spans="6:8">
      <c r="H40922" t="s">
        <v>35276</v>
      </c>
    </row>
    <row r="40923" spans="6:8">
      <c r="H40923" t="s">
        <v>35277</v>
      </c>
    </row>
    <row r="40924" spans="6:8">
      <c r="H40924" t="s">
        <v>35278</v>
      </c>
    </row>
    <row r="40925" spans="6:8">
      <c r="H40925" t="s">
        <v>35279</v>
      </c>
    </row>
    <row r="40926" spans="6:8">
      <c r="H40926" t="s">
        <v>35280</v>
      </c>
    </row>
    <row r="40927" spans="6:8">
      <c r="H40927" t="s">
        <v>35281</v>
      </c>
    </row>
    <row r="40928" spans="6:8">
      <c r="H40928" t="s">
        <v>35282</v>
      </c>
    </row>
    <row r="40929" spans="8:8">
      <c r="H40929" t="s">
        <v>35283</v>
      </c>
    </row>
    <row r="40930" spans="8:8">
      <c r="H40930" t="s">
        <v>35284</v>
      </c>
    </row>
    <row r="40931" spans="8:8">
      <c r="H40931" t="s">
        <v>35285</v>
      </c>
    </row>
    <row r="40932" spans="8:8">
      <c r="H40932" t="s">
        <v>35286</v>
      </c>
    </row>
    <row r="40933" spans="8:8">
      <c r="H40933" t="s">
        <v>35287</v>
      </c>
    </row>
    <row r="40934" spans="8:8">
      <c r="H40934" t="s">
        <v>35288</v>
      </c>
    </row>
    <row r="40935" spans="8:8">
      <c r="H40935" t="s">
        <v>35289</v>
      </c>
    </row>
    <row r="40936" spans="8:8">
      <c r="H40936" t="s">
        <v>35290</v>
      </c>
    </row>
    <row r="40937" spans="8:8">
      <c r="H40937" t="s">
        <v>35290</v>
      </c>
    </row>
    <row r="40938" spans="8:8">
      <c r="H40938" t="s">
        <v>35291</v>
      </c>
    </row>
    <row r="40939" spans="8:8">
      <c r="H40939" t="s">
        <v>35292</v>
      </c>
    </row>
    <row r="40940" spans="8:8">
      <c r="H40940" t="s">
        <v>35293</v>
      </c>
    </row>
    <row r="40941" spans="8:8">
      <c r="H40941" t="s">
        <v>35294</v>
      </c>
    </row>
    <row r="40942" spans="8:8">
      <c r="H40942" t="s">
        <v>35295</v>
      </c>
    </row>
    <row r="40943" spans="8:8">
      <c r="H40943" t="s">
        <v>35296</v>
      </c>
    </row>
    <row r="40944" spans="8:8">
      <c r="H40944" t="s">
        <v>35297</v>
      </c>
    </row>
    <row r="40945" spans="6:8">
      <c r="H40945" t="s">
        <v>35298</v>
      </c>
    </row>
    <row r="40946" spans="6:8">
      <c r="H40946" t="s">
        <v>35299</v>
      </c>
    </row>
    <row r="40947" spans="6:8">
      <c r="H40947" t="s">
        <v>35300</v>
      </c>
    </row>
    <row r="40948" spans="6:8">
      <c r="H40948" t="s">
        <v>35301</v>
      </c>
    </row>
    <row r="40949" spans="6:8">
      <c r="H40949" t="s">
        <v>35302</v>
      </c>
    </row>
    <row r="40950" spans="6:8">
      <c r="H40950" t="s">
        <v>35303</v>
      </c>
    </row>
    <row r="40951" spans="6:8">
      <c r="H40951" t="s">
        <v>35304</v>
      </c>
    </row>
    <row r="40952" spans="6:8">
      <c r="H40952" t="s">
        <v>35305</v>
      </c>
    </row>
    <row r="40953" spans="6:8">
      <c r="H40953" t="s">
        <v>35306</v>
      </c>
    </row>
    <row r="40954" spans="6:8">
      <c r="F40954" t="s">
        <v>14316</v>
      </c>
      <c r="G40954" t="s">
        <v>18273</v>
      </c>
      <c r="H40954" t="s">
        <v>35307</v>
      </c>
    </row>
    <row r="40955" spans="6:8">
      <c r="F40955" t="s">
        <v>14317</v>
      </c>
      <c r="G40955" t="s">
        <v>18274</v>
      </c>
      <c r="H40955" t="s">
        <v>35308</v>
      </c>
    </row>
    <row r="40956" spans="6:8">
      <c r="H40956" t="s">
        <v>35309</v>
      </c>
    </row>
    <row r="40957" spans="6:8">
      <c r="H40957" t="s">
        <v>35310</v>
      </c>
    </row>
    <row r="40958" spans="6:8">
      <c r="H40958" t="s">
        <v>35311</v>
      </c>
    </row>
    <row r="40959" spans="6:8">
      <c r="H40959" t="s">
        <v>35312</v>
      </c>
    </row>
    <row r="40960" spans="6:8">
      <c r="H40960" t="s">
        <v>35312</v>
      </c>
    </row>
    <row r="40961" spans="6:8">
      <c r="H40961" t="s">
        <v>35313</v>
      </c>
    </row>
    <row r="40962" spans="6:8">
      <c r="H40962" t="s">
        <v>19333</v>
      </c>
    </row>
    <row r="40963" spans="6:8">
      <c r="H40963" t="s">
        <v>35314</v>
      </c>
    </row>
    <row r="40964" spans="6:8">
      <c r="H40964" t="s">
        <v>35315</v>
      </c>
    </row>
    <row r="40965" spans="6:8">
      <c r="H40965" t="s">
        <v>35316</v>
      </c>
    </row>
    <row r="40966" spans="6:8">
      <c r="F40966" t="s">
        <v>14318</v>
      </c>
      <c r="G40966" t="s">
        <v>18275</v>
      </c>
      <c r="H40966" t="s">
        <v>35317</v>
      </c>
    </row>
    <row r="40967" spans="6:8">
      <c r="F40967" t="s">
        <v>14319</v>
      </c>
      <c r="G40967" t="s">
        <v>18276</v>
      </c>
      <c r="H40967" t="s">
        <v>18836</v>
      </c>
    </row>
    <row r="40968" spans="6:8">
      <c r="F40968" t="s">
        <v>14320</v>
      </c>
      <c r="G40968" t="s">
        <v>18277</v>
      </c>
      <c r="H40968" t="s">
        <v>30172</v>
      </c>
    </row>
    <row r="40969" spans="6:8">
      <c r="H40969" t="s">
        <v>35318</v>
      </c>
    </row>
    <row r="40970" spans="6:8">
      <c r="H40970" t="s">
        <v>35319</v>
      </c>
    </row>
    <row r="40971" spans="6:8">
      <c r="H40971" t="s">
        <v>35320</v>
      </c>
    </row>
    <row r="40972" spans="6:8">
      <c r="H40972" t="s">
        <v>35321</v>
      </c>
    </row>
    <row r="40973" spans="6:8">
      <c r="H40973" t="s">
        <v>35322</v>
      </c>
    </row>
    <row r="40974" spans="6:8">
      <c r="F40974" t="s">
        <v>14321</v>
      </c>
      <c r="G40974" t="s">
        <v>18278</v>
      </c>
      <c r="H40974" t="s">
        <v>35323</v>
      </c>
    </row>
    <row r="40975" spans="6:8">
      <c r="H40975" t="s">
        <v>35324</v>
      </c>
    </row>
    <row r="40976" spans="6:8">
      <c r="H40976" t="s">
        <v>35325</v>
      </c>
    </row>
    <row r="40977" spans="6:8">
      <c r="H40977" t="s">
        <v>35326</v>
      </c>
    </row>
    <row r="40978" spans="6:8">
      <c r="H40978" t="s">
        <v>35327</v>
      </c>
    </row>
    <row r="40979" spans="6:8">
      <c r="H40979" t="s">
        <v>35328</v>
      </c>
    </row>
    <row r="40980" spans="6:8">
      <c r="F40980" t="s">
        <v>14322</v>
      </c>
      <c r="G40980" t="s">
        <v>18279</v>
      </c>
      <c r="H40980" t="s">
        <v>27516</v>
      </c>
    </row>
    <row r="40981" spans="6:8">
      <c r="H40981" t="s">
        <v>22358</v>
      </c>
    </row>
    <row r="40982" spans="6:8">
      <c r="H40982" t="s">
        <v>35329</v>
      </c>
    </row>
    <row r="40983" spans="6:8">
      <c r="H40983" t="s">
        <v>35330</v>
      </c>
    </row>
    <row r="40984" spans="6:8">
      <c r="F40984" t="s">
        <v>14323</v>
      </c>
      <c r="G40984" t="s">
        <v>18280</v>
      </c>
      <c r="H40984" t="s">
        <v>18829</v>
      </c>
    </row>
    <row r="40985" spans="6:8">
      <c r="H40985" t="s">
        <v>18863</v>
      </c>
    </row>
    <row r="40986" spans="6:8">
      <c r="H40986" t="s">
        <v>35331</v>
      </c>
    </row>
    <row r="40987" spans="6:8">
      <c r="H40987" t="s">
        <v>35332</v>
      </c>
    </row>
    <row r="40988" spans="6:8">
      <c r="H40988" t="s">
        <v>35333</v>
      </c>
    </row>
    <row r="40989" spans="6:8">
      <c r="H40989" t="s">
        <v>29840</v>
      </c>
    </row>
    <row r="40990" spans="6:8">
      <c r="H40990" t="s">
        <v>35334</v>
      </c>
    </row>
    <row r="40991" spans="6:8">
      <c r="H40991" t="s">
        <v>35335</v>
      </c>
    </row>
    <row r="40992" spans="6:8">
      <c r="H40992" t="s">
        <v>19007</v>
      </c>
    </row>
    <row r="40993" spans="6:8">
      <c r="H40993" t="s">
        <v>35336</v>
      </c>
    </row>
    <row r="40994" spans="6:8">
      <c r="F40994" t="s">
        <v>14324</v>
      </c>
      <c r="G40994" t="s">
        <v>18281</v>
      </c>
      <c r="H40994" t="s">
        <v>35337</v>
      </c>
    </row>
    <row r="40995" spans="6:8">
      <c r="H40995" t="s">
        <v>35338</v>
      </c>
    </row>
    <row r="40996" spans="6:8">
      <c r="H40996" t="s">
        <v>35339</v>
      </c>
    </row>
    <row r="40997" spans="6:8">
      <c r="H40997" t="s">
        <v>35340</v>
      </c>
    </row>
    <row r="40998" spans="6:8">
      <c r="H40998" t="s">
        <v>35341</v>
      </c>
    </row>
    <row r="40999" spans="6:8">
      <c r="H40999" t="s">
        <v>35342</v>
      </c>
    </row>
    <row r="41000" spans="6:8">
      <c r="F41000" t="s">
        <v>14102</v>
      </c>
      <c r="G41000" t="s">
        <v>18095</v>
      </c>
      <c r="H41000" t="s">
        <v>34079</v>
      </c>
    </row>
    <row r="41001" spans="6:8">
      <c r="H41001" t="s">
        <v>34080</v>
      </c>
    </row>
    <row r="41002" spans="6:8">
      <c r="H41002" t="s">
        <v>18829</v>
      </c>
    </row>
    <row r="41003" spans="6:8">
      <c r="H41003" t="s">
        <v>18863</v>
      </c>
    </row>
    <row r="41004" spans="6:8">
      <c r="H41004" t="s">
        <v>35343</v>
      </c>
    </row>
    <row r="41005" spans="6:8">
      <c r="H41005" t="s">
        <v>19019</v>
      </c>
    </row>
    <row r="41006" spans="6:8">
      <c r="H41006" t="s">
        <v>35344</v>
      </c>
    </row>
    <row r="41007" spans="6:8">
      <c r="H41007" t="s">
        <v>35345</v>
      </c>
    </row>
    <row r="41008" spans="6:8">
      <c r="H41008" t="s">
        <v>35346</v>
      </c>
    </row>
    <row r="41009" spans="1:8">
      <c r="H41009" t="s">
        <v>35347</v>
      </c>
    </row>
    <row r="41010" spans="1:8">
      <c r="H41010" t="s">
        <v>35348</v>
      </c>
    </row>
    <row r="41011" spans="1:8">
      <c r="H41011" t="s">
        <v>35349</v>
      </c>
    </row>
    <row r="41012" spans="1:8">
      <c r="H41012" t="s">
        <v>35350</v>
      </c>
    </row>
    <row r="41013" spans="1:8">
      <c r="H41013" t="s">
        <v>35351</v>
      </c>
    </row>
    <row r="41014" spans="1:8">
      <c r="H41014" t="s">
        <v>35352</v>
      </c>
    </row>
    <row r="41015" spans="1:8">
      <c r="H41015" t="s">
        <v>35353</v>
      </c>
    </row>
    <row r="41016" spans="1:8">
      <c r="H41016" t="s">
        <v>35354</v>
      </c>
    </row>
    <row r="41017" spans="1:8">
      <c r="H41017" t="s">
        <v>35355</v>
      </c>
    </row>
    <row r="41018" spans="1:8">
      <c r="H41018" t="s">
        <v>24966</v>
      </c>
    </row>
    <row r="41019" spans="1:8">
      <c r="H41019" t="s">
        <v>35356</v>
      </c>
    </row>
    <row r="41020" spans="1:8">
      <c r="H41020" t="s">
        <v>35357</v>
      </c>
    </row>
    <row r="41021" spans="1:8">
      <c r="H41021" t="s">
        <v>35358</v>
      </c>
    </row>
    <row r="41022" spans="1:8">
      <c r="H41022" t="s">
        <v>35359</v>
      </c>
    </row>
    <row r="41023" spans="1:8">
      <c r="A41023" t="s">
        <v>3504</v>
      </c>
      <c r="B41023">
        <f>HYPERLINK("https://android.googlesource.com/platform/cts/+/11b7995d722e2365b1db426fadbeaac9e50d2f1e", "11b7995d722e2365b1db426fadbeaac9e50d2f1e")</f>
        <v>0</v>
      </c>
      <c r="C41023">
        <f>HYPERLINK("https://android.googlesource.com/platform/cts/+/ce5ac3c10780be2aab4f37342150eca46cc415d7", "ce5ac3c10780be2aab4f37342150eca46cc415d7")</f>
        <v>0</v>
      </c>
      <c r="D41023" t="s">
        <v>5485</v>
      </c>
      <c r="E41023" t="s">
        <v>9198</v>
      </c>
      <c r="F41023" t="s">
        <v>12617</v>
      </c>
      <c r="G41023" t="s">
        <v>15155</v>
      </c>
      <c r="H41023" t="s">
        <v>35360</v>
      </c>
    </row>
    <row r="41024" spans="1:8">
      <c r="A41024" t="s">
        <v>3505</v>
      </c>
      <c r="B41024">
        <f>HYPERLINK("https://android.googlesource.com/platform/cts/+/2bc5d17211e4bb9e9f60c08d3a82f7377c4080e5", "2bc5d17211e4bb9e9f60c08d3a82f7377c4080e5")</f>
        <v>0</v>
      </c>
      <c r="C41024">
        <f>HYPERLINK("https://android.googlesource.com/platform/cts/+/2cdb98fc16e2f854300adaa7a3b776a41ed40b77", "2cdb98fc16e2f854300adaa7a3b776a41ed40b77")</f>
        <v>0</v>
      </c>
      <c r="D41024" t="s">
        <v>5260</v>
      </c>
      <c r="E41024" t="s">
        <v>9199</v>
      </c>
      <c r="F41024" t="s">
        <v>14325</v>
      </c>
      <c r="G41024" t="s">
        <v>18282</v>
      </c>
      <c r="H41024" t="s">
        <v>18829</v>
      </c>
    </row>
    <row r="41025" spans="1:8">
      <c r="H41025" t="s">
        <v>35361</v>
      </c>
    </row>
    <row r="41026" spans="1:8">
      <c r="H41026" t="s">
        <v>35362</v>
      </c>
    </row>
    <row r="41027" spans="1:8">
      <c r="H41027" t="s">
        <v>35363</v>
      </c>
    </row>
    <row r="41028" spans="1:8">
      <c r="A41028" t="s">
        <v>3506</v>
      </c>
      <c r="B41028">
        <f>HYPERLINK("https://android.googlesource.com/platform/cts/+/5e5e6fab77295819ea83f742fba1a8ef5c147be8", "5e5e6fab77295819ea83f742fba1a8ef5c147be8")</f>
        <v>0</v>
      </c>
      <c r="C41028">
        <f>HYPERLINK("https://android.googlesource.com/platform/cts/+/c758cc645a3d0ff21ecdf8fcef5c43b8648e75ee", "c758cc645a3d0ff21ecdf8fcef5c43b8648e75ee")</f>
        <v>0</v>
      </c>
      <c r="D41028" t="s">
        <v>5576</v>
      </c>
      <c r="E41028" t="s">
        <v>9200</v>
      </c>
      <c r="F41028" t="s">
        <v>13857</v>
      </c>
      <c r="G41028" t="s">
        <v>17899</v>
      </c>
      <c r="H41028" t="s">
        <v>18829</v>
      </c>
    </row>
    <row r="41029" spans="1:8">
      <c r="H41029" t="s">
        <v>18863</v>
      </c>
    </row>
    <row r="41030" spans="1:8">
      <c r="H41030" t="s">
        <v>34807</v>
      </c>
    </row>
    <row r="41031" spans="1:8">
      <c r="H41031" t="s">
        <v>34808</v>
      </c>
    </row>
    <row r="41032" spans="1:8">
      <c r="H41032" t="s">
        <v>34809</v>
      </c>
    </row>
    <row r="41033" spans="1:8">
      <c r="H41033" t="s">
        <v>34810</v>
      </c>
    </row>
    <row r="41034" spans="1:8">
      <c r="H41034" t="s">
        <v>34811</v>
      </c>
    </row>
    <row r="41035" spans="1:8">
      <c r="H41035" t="s">
        <v>34812</v>
      </c>
    </row>
    <row r="41036" spans="1:8">
      <c r="H41036" t="s">
        <v>34813</v>
      </c>
    </row>
    <row r="41037" spans="1:8">
      <c r="F41037" t="s">
        <v>13976</v>
      </c>
      <c r="G41037" t="s">
        <v>18001</v>
      </c>
      <c r="H41037" t="s">
        <v>18829</v>
      </c>
    </row>
    <row r="41038" spans="1:8">
      <c r="H41038" t="s">
        <v>18863</v>
      </c>
    </row>
    <row r="41039" spans="1:8">
      <c r="H41039" t="s">
        <v>34814</v>
      </c>
    </row>
    <row r="41040" spans="1:8">
      <c r="H41040" t="s">
        <v>34815</v>
      </c>
    </row>
    <row r="41041" spans="6:8">
      <c r="H41041" t="s">
        <v>34816</v>
      </c>
    </row>
    <row r="41042" spans="6:8">
      <c r="H41042" t="s">
        <v>34817</v>
      </c>
    </row>
    <row r="41043" spans="6:8">
      <c r="H41043" t="s">
        <v>34818</v>
      </c>
    </row>
    <row r="41044" spans="6:8">
      <c r="H41044" t="s">
        <v>34819</v>
      </c>
    </row>
    <row r="41045" spans="6:8">
      <c r="H41045" t="s">
        <v>34820</v>
      </c>
    </row>
    <row r="41046" spans="6:8">
      <c r="H41046" t="s">
        <v>34821</v>
      </c>
    </row>
    <row r="41047" spans="6:8">
      <c r="H41047" t="s">
        <v>34822</v>
      </c>
    </row>
    <row r="41048" spans="6:8">
      <c r="F41048" t="s">
        <v>13977</v>
      </c>
      <c r="G41048" t="s">
        <v>18002</v>
      </c>
      <c r="H41048" t="s">
        <v>34823</v>
      </c>
    </row>
    <row r="41049" spans="6:8">
      <c r="H41049" t="s">
        <v>18930</v>
      </c>
    </row>
    <row r="41050" spans="6:8">
      <c r="H41050" t="s">
        <v>19372</v>
      </c>
    </row>
    <row r="41051" spans="6:8">
      <c r="H41051" t="s">
        <v>34824</v>
      </c>
    </row>
    <row r="41052" spans="6:8">
      <c r="H41052" t="s">
        <v>34825</v>
      </c>
    </row>
    <row r="41053" spans="6:8">
      <c r="H41053" t="s">
        <v>34826</v>
      </c>
    </row>
    <row r="41054" spans="6:8">
      <c r="H41054" t="s">
        <v>34827</v>
      </c>
    </row>
    <row r="41055" spans="6:8">
      <c r="H41055" t="s">
        <v>31669</v>
      </c>
    </row>
    <row r="41056" spans="6:8">
      <c r="H41056" t="s">
        <v>32387</v>
      </c>
    </row>
    <row r="41057" spans="6:8">
      <c r="H41057" t="s">
        <v>34828</v>
      </c>
    </row>
    <row r="41058" spans="6:8">
      <c r="H41058" t="s">
        <v>31986</v>
      </c>
    </row>
    <row r="41059" spans="6:8">
      <c r="H41059" t="s">
        <v>34829</v>
      </c>
    </row>
    <row r="41060" spans="6:8">
      <c r="H41060" t="s">
        <v>34830</v>
      </c>
    </row>
    <row r="41061" spans="6:8">
      <c r="H41061" t="s">
        <v>34831</v>
      </c>
    </row>
    <row r="41062" spans="6:8">
      <c r="H41062" t="s">
        <v>34832</v>
      </c>
    </row>
    <row r="41063" spans="6:8">
      <c r="H41063" t="s">
        <v>18829</v>
      </c>
    </row>
    <row r="41064" spans="6:8">
      <c r="H41064" t="s">
        <v>18863</v>
      </c>
    </row>
    <row r="41065" spans="6:8">
      <c r="H41065" t="s">
        <v>33907</v>
      </c>
    </row>
    <row r="41066" spans="6:8">
      <c r="H41066" t="s">
        <v>33908</v>
      </c>
    </row>
    <row r="41067" spans="6:8">
      <c r="F41067" t="s">
        <v>12416</v>
      </c>
      <c r="G41067" t="s">
        <v>16638</v>
      </c>
      <c r="H41067" t="s">
        <v>26496</v>
      </c>
    </row>
    <row r="41068" spans="6:8">
      <c r="H41068" t="s">
        <v>18829</v>
      </c>
    </row>
    <row r="41069" spans="6:8">
      <c r="H41069" t="s">
        <v>18863</v>
      </c>
    </row>
    <row r="41070" spans="6:8">
      <c r="H41070" t="s">
        <v>34833</v>
      </c>
    </row>
    <row r="41071" spans="6:8">
      <c r="H41071" t="s">
        <v>34834</v>
      </c>
    </row>
    <row r="41072" spans="6:8">
      <c r="H41072" t="s">
        <v>34835</v>
      </c>
    </row>
    <row r="41073" spans="8:8">
      <c r="H41073" t="s">
        <v>29215</v>
      </c>
    </row>
    <row r="41074" spans="8:8">
      <c r="H41074" t="s">
        <v>27130</v>
      </c>
    </row>
    <row r="41075" spans="8:8">
      <c r="H41075" t="s">
        <v>34836</v>
      </c>
    </row>
    <row r="41076" spans="8:8">
      <c r="H41076" t="s">
        <v>34837</v>
      </c>
    </row>
    <row r="41077" spans="8:8">
      <c r="H41077" t="s">
        <v>34838</v>
      </c>
    </row>
    <row r="41078" spans="8:8">
      <c r="H41078" t="s">
        <v>34839</v>
      </c>
    </row>
    <row r="41079" spans="8:8">
      <c r="H41079" t="s">
        <v>34840</v>
      </c>
    </row>
    <row r="41080" spans="8:8">
      <c r="H41080" t="s">
        <v>34841</v>
      </c>
    </row>
    <row r="41081" spans="8:8">
      <c r="H41081" t="s">
        <v>34842</v>
      </c>
    </row>
    <row r="41082" spans="8:8">
      <c r="H41082" t="s">
        <v>34843</v>
      </c>
    </row>
    <row r="41083" spans="8:8">
      <c r="H41083" t="s">
        <v>34844</v>
      </c>
    </row>
    <row r="41084" spans="8:8">
      <c r="H41084" t="s">
        <v>34845</v>
      </c>
    </row>
    <row r="41085" spans="8:8">
      <c r="H41085" t="s">
        <v>34846</v>
      </c>
    </row>
    <row r="41086" spans="8:8">
      <c r="H41086" t="s">
        <v>34847</v>
      </c>
    </row>
    <row r="41087" spans="8:8">
      <c r="H41087" t="s">
        <v>31500</v>
      </c>
    </row>
    <row r="41088" spans="8:8">
      <c r="H41088" t="s">
        <v>34848</v>
      </c>
    </row>
    <row r="41089" spans="8:8">
      <c r="H41089" t="s">
        <v>34051</v>
      </c>
    </row>
    <row r="41090" spans="8:8">
      <c r="H41090" t="s">
        <v>34052</v>
      </c>
    </row>
    <row r="41091" spans="8:8">
      <c r="H41091" t="s">
        <v>34849</v>
      </c>
    </row>
    <row r="41092" spans="8:8">
      <c r="H41092" t="s">
        <v>34850</v>
      </c>
    </row>
    <row r="41093" spans="8:8">
      <c r="H41093" t="s">
        <v>34851</v>
      </c>
    </row>
    <row r="41094" spans="8:8">
      <c r="H41094" t="s">
        <v>26751</v>
      </c>
    </row>
    <row r="41095" spans="8:8">
      <c r="H41095" t="s">
        <v>34852</v>
      </c>
    </row>
    <row r="41096" spans="8:8">
      <c r="H41096" t="s">
        <v>34853</v>
      </c>
    </row>
    <row r="41097" spans="8:8">
      <c r="H41097" t="s">
        <v>34854</v>
      </c>
    </row>
    <row r="41098" spans="8:8">
      <c r="H41098" t="s">
        <v>34855</v>
      </c>
    </row>
    <row r="41099" spans="8:8">
      <c r="H41099" t="s">
        <v>34856</v>
      </c>
    </row>
    <row r="41100" spans="8:8">
      <c r="H41100" t="s">
        <v>34857</v>
      </c>
    </row>
    <row r="41101" spans="8:8">
      <c r="H41101" t="s">
        <v>34858</v>
      </c>
    </row>
    <row r="41102" spans="8:8">
      <c r="H41102" t="s">
        <v>34859</v>
      </c>
    </row>
    <row r="41103" spans="8:8">
      <c r="H41103" t="s">
        <v>34860</v>
      </c>
    </row>
    <row r="41104" spans="8:8">
      <c r="H41104" t="s">
        <v>34861</v>
      </c>
    </row>
    <row r="41105" spans="6:8">
      <c r="H41105" t="s">
        <v>34862</v>
      </c>
    </row>
    <row r="41106" spans="6:8">
      <c r="H41106" t="s">
        <v>34863</v>
      </c>
    </row>
    <row r="41107" spans="6:8">
      <c r="H41107" t="s">
        <v>34864</v>
      </c>
    </row>
    <row r="41108" spans="6:8">
      <c r="H41108" t="s">
        <v>34865</v>
      </c>
    </row>
    <row r="41109" spans="6:8">
      <c r="H41109" t="s">
        <v>34866</v>
      </c>
    </row>
    <row r="41110" spans="6:8">
      <c r="H41110" t="s">
        <v>34866</v>
      </c>
    </row>
    <row r="41111" spans="6:8">
      <c r="H41111" t="s">
        <v>34867</v>
      </c>
    </row>
    <row r="41112" spans="6:8">
      <c r="H41112" t="s">
        <v>34868</v>
      </c>
    </row>
    <row r="41113" spans="6:8">
      <c r="H41113" t="s">
        <v>34869</v>
      </c>
    </row>
    <row r="41114" spans="6:8">
      <c r="H41114" t="s">
        <v>19019</v>
      </c>
    </row>
    <row r="41115" spans="6:8">
      <c r="F41115" t="s">
        <v>14304</v>
      </c>
      <c r="G41115" t="s">
        <v>18262</v>
      </c>
      <c r="H41115" t="s">
        <v>20244</v>
      </c>
    </row>
    <row r="41116" spans="6:8">
      <c r="H41116" t="s">
        <v>19233</v>
      </c>
    </row>
    <row r="41117" spans="6:8">
      <c r="H41117" t="s">
        <v>18829</v>
      </c>
    </row>
    <row r="41118" spans="6:8">
      <c r="H41118" t="s">
        <v>34871</v>
      </c>
    </row>
    <row r="41119" spans="6:8">
      <c r="H41119" t="s">
        <v>25643</v>
      </c>
    </row>
    <row r="41120" spans="6:8">
      <c r="H41120" t="s">
        <v>31039</v>
      </c>
    </row>
    <row r="41121" spans="6:8">
      <c r="H41121" t="s">
        <v>34872</v>
      </c>
    </row>
    <row r="41122" spans="6:8">
      <c r="H41122" t="s">
        <v>34873</v>
      </c>
    </row>
    <row r="41123" spans="6:8">
      <c r="H41123" t="s">
        <v>34874</v>
      </c>
    </row>
    <row r="41124" spans="6:8">
      <c r="H41124" t="s">
        <v>34875</v>
      </c>
    </row>
    <row r="41125" spans="6:8">
      <c r="H41125" t="s">
        <v>31037</v>
      </c>
    </row>
    <row r="41126" spans="6:8">
      <c r="F41126" t="s">
        <v>13941</v>
      </c>
      <c r="G41126" t="s">
        <v>17972</v>
      </c>
      <c r="H41126" t="s">
        <v>18829</v>
      </c>
    </row>
    <row r="41127" spans="6:8">
      <c r="H41127" t="s">
        <v>32340</v>
      </c>
    </row>
    <row r="41128" spans="6:8">
      <c r="H41128" t="s">
        <v>32342</v>
      </c>
    </row>
    <row r="41129" spans="6:8">
      <c r="H41129" t="s">
        <v>32341</v>
      </c>
    </row>
    <row r="41130" spans="6:8">
      <c r="H41130" t="s">
        <v>32343</v>
      </c>
    </row>
    <row r="41131" spans="6:8">
      <c r="F41131" t="s">
        <v>14305</v>
      </c>
      <c r="G41131" t="s">
        <v>18005</v>
      </c>
      <c r="H41131" t="s">
        <v>19981</v>
      </c>
    </row>
    <row r="41132" spans="6:8">
      <c r="H41132" t="s">
        <v>34876</v>
      </c>
    </row>
    <row r="41133" spans="6:8">
      <c r="H41133" t="s">
        <v>34877</v>
      </c>
    </row>
    <row r="41134" spans="6:8">
      <c r="H41134" t="s">
        <v>34878</v>
      </c>
    </row>
    <row r="41135" spans="6:8">
      <c r="H41135" t="s">
        <v>34879</v>
      </c>
    </row>
    <row r="41136" spans="6:8">
      <c r="F41136" t="s">
        <v>14234</v>
      </c>
      <c r="G41136" t="s">
        <v>18204</v>
      </c>
      <c r="H41136" t="s">
        <v>18829</v>
      </c>
    </row>
    <row r="41137" spans="8:8">
      <c r="H41137" t="s">
        <v>18863</v>
      </c>
    </row>
    <row r="41138" spans="8:8">
      <c r="H41138" t="s">
        <v>34880</v>
      </c>
    </row>
    <row r="41139" spans="8:8">
      <c r="H41139" t="s">
        <v>34881</v>
      </c>
    </row>
    <row r="41140" spans="8:8">
      <c r="H41140" t="s">
        <v>34882</v>
      </c>
    </row>
    <row r="41141" spans="8:8">
      <c r="H41141" t="s">
        <v>34883</v>
      </c>
    </row>
    <row r="41142" spans="8:8">
      <c r="H41142" t="s">
        <v>34884</v>
      </c>
    </row>
    <row r="41143" spans="8:8">
      <c r="H41143" t="s">
        <v>34885</v>
      </c>
    </row>
    <row r="41144" spans="8:8">
      <c r="H41144" t="s">
        <v>34886</v>
      </c>
    </row>
    <row r="41145" spans="8:8">
      <c r="H41145" t="s">
        <v>34887</v>
      </c>
    </row>
    <row r="41146" spans="8:8">
      <c r="H41146" t="s">
        <v>34888</v>
      </c>
    </row>
    <row r="41147" spans="8:8">
      <c r="H41147" t="s">
        <v>34889</v>
      </c>
    </row>
    <row r="41148" spans="8:8">
      <c r="H41148" t="s">
        <v>34890</v>
      </c>
    </row>
    <row r="41149" spans="8:8">
      <c r="H41149" t="s">
        <v>34891</v>
      </c>
    </row>
    <row r="41150" spans="8:8">
      <c r="H41150" t="s">
        <v>34891</v>
      </c>
    </row>
    <row r="41151" spans="8:8">
      <c r="H41151" t="s">
        <v>34892</v>
      </c>
    </row>
    <row r="41152" spans="8:8">
      <c r="H41152" t="s">
        <v>34893</v>
      </c>
    </row>
    <row r="41153" spans="6:8">
      <c r="H41153" t="s">
        <v>34894</v>
      </c>
    </row>
    <row r="41154" spans="6:8">
      <c r="H41154" t="s">
        <v>34895</v>
      </c>
    </row>
    <row r="41155" spans="6:8">
      <c r="H41155" t="s">
        <v>34896</v>
      </c>
    </row>
    <row r="41156" spans="6:8">
      <c r="H41156" t="s">
        <v>34897</v>
      </c>
    </row>
    <row r="41157" spans="6:8">
      <c r="H41157" t="s">
        <v>34898</v>
      </c>
    </row>
    <row r="41158" spans="6:8">
      <c r="H41158" t="s">
        <v>34899</v>
      </c>
    </row>
    <row r="41159" spans="6:8">
      <c r="H41159" t="s">
        <v>34900</v>
      </c>
    </row>
    <row r="41160" spans="6:8">
      <c r="H41160" t="s">
        <v>34900</v>
      </c>
    </row>
    <row r="41161" spans="6:8">
      <c r="H41161" t="s">
        <v>34901</v>
      </c>
    </row>
    <row r="41162" spans="6:8">
      <c r="H41162" t="s">
        <v>34902</v>
      </c>
    </row>
    <row r="41163" spans="6:8">
      <c r="H41163" t="s">
        <v>34020</v>
      </c>
    </row>
    <row r="41164" spans="6:8">
      <c r="H41164" t="s">
        <v>34903</v>
      </c>
    </row>
    <row r="41165" spans="6:8">
      <c r="H41165" t="s">
        <v>19019</v>
      </c>
    </row>
    <row r="41166" spans="6:8">
      <c r="H41166" t="s">
        <v>34904</v>
      </c>
    </row>
    <row r="41167" spans="6:8">
      <c r="F41167" t="s">
        <v>10700</v>
      </c>
      <c r="G41167" t="s">
        <v>15100</v>
      </c>
      <c r="H41167" t="s">
        <v>18829</v>
      </c>
    </row>
    <row r="41168" spans="6:8">
      <c r="H41168" t="s">
        <v>18863</v>
      </c>
    </row>
    <row r="41169" spans="8:8">
      <c r="H41169" t="s">
        <v>34905</v>
      </c>
    </row>
    <row r="41170" spans="8:8">
      <c r="H41170" t="s">
        <v>34906</v>
      </c>
    </row>
    <row r="41171" spans="8:8">
      <c r="H41171" t="s">
        <v>22508</v>
      </c>
    </row>
    <row r="41172" spans="8:8">
      <c r="H41172" t="s">
        <v>34907</v>
      </c>
    </row>
    <row r="41173" spans="8:8">
      <c r="H41173" t="s">
        <v>34908</v>
      </c>
    </row>
    <row r="41174" spans="8:8">
      <c r="H41174" t="s">
        <v>34909</v>
      </c>
    </row>
    <row r="41175" spans="8:8">
      <c r="H41175" t="s">
        <v>34910</v>
      </c>
    </row>
    <row r="41176" spans="8:8">
      <c r="H41176" t="s">
        <v>34911</v>
      </c>
    </row>
    <row r="41177" spans="8:8">
      <c r="H41177" t="s">
        <v>34912</v>
      </c>
    </row>
    <row r="41178" spans="8:8">
      <c r="H41178" t="s">
        <v>34913</v>
      </c>
    </row>
    <row r="41179" spans="8:8">
      <c r="H41179" t="s">
        <v>34914</v>
      </c>
    </row>
    <row r="41180" spans="8:8">
      <c r="H41180" t="s">
        <v>34915</v>
      </c>
    </row>
    <row r="41181" spans="8:8">
      <c r="H41181" t="s">
        <v>34916</v>
      </c>
    </row>
    <row r="41182" spans="8:8">
      <c r="H41182" t="s">
        <v>34917</v>
      </c>
    </row>
    <row r="41183" spans="8:8">
      <c r="H41183" t="s">
        <v>25838</v>
      </c>
    </row>
    <row r="41184" spans="8:8">
      <c r="H41184" t="s">
        <v>34918</v>
      </c>
    </row>
    <row r="41185" spans="8:8">
      <c r="H41185" t="s">
        <v>34919</v>
      </c>
    </row>
    <row r="41186" spans="8:8">
      <c r="H41186" t="s">
        <v>34920</v>
      </c>
    </row>
    <row r="41187" spans="8:8">
      <c r="H41187" t="s">
        <v>25839</v>
      </c>
    </row>
    <row r="41188" spans="8:8">
      <c r="H41188" t="s">
        <v>27479</v>
      </c>
    </row>
    <row r="41189" spans="8:8">
      <c r="H41189" t="s">
        <v>32382</v>
      </c>
    </row>
    <row r="41190" spans="8:8">
      <c r="H41190" t="s">
        <v>34922</v>
      </c>
    </row>
    <row r="41191" spans="8:8">
      <c r="H41191" t="s">
        <v>34923</v>
      </c>
    </row>
    <row r="41192" spans="8:8">
      <c r="H41192" t="s">
        <v>34924</v>
      </c>
    </row>
    <row r="41193" spans="8:8">
      <c r="H41193" t="s">
        <v>34925</v>
      </c>
    </row>
    <row r="41194" spans="8:8">
      <c r="H41194" t="s">
        <v>34926</v>
      </c>
    </row>
    <row r="41195" spans="8:8">
      <c r="H41195" t="s">
        <v>34927</v>
      </c>
    </row>
    <row r="41196" spans="8:8">
      <c r="H41196" t="s">
        <v>34928</v>
      </c>
    </row>
    <row r="41197" spans="8:8">
      <c r="H41197" t="s">
        <v>34929</v>
      </c>
    </row>
    <row r="41198" spans="8:8">
      <c r="H41198" t="s">
        <v>34930</v>
      </c>
    </row>
    <row r="41199" spans="8:8">
      <c r="H41199" t="s">
        <v>34931</v>
      </c>
    </row>
    <row r="41200" spans="8:8">
      <c r="H41200" t="s">
        <v>34932</v>
      </c>
    </row>
    <row r="41201" spans="8:8">
      <c r="H41201" t="s">
        <v>34933</v>
      </c>
    </row>
    <row r="41202" spans="8:8">
      <c r="H41202" t="s">
        <v>34934</v>
      </c>
    </row>
    <row r="41203" spans="8:8">
      <c r="H41203" t="s">
        <v>34935</v>
      </c>
    </row>
    <row r="41204" spans="8:8">
      <c r="H41204" t="s">
        <v>34676</v>
      </c>
    </row>
    <row r="41205" spans="8:8">
      <c r="H41205" t="s">
        <v>34936</v>
      </c>
    </row>
    <row r="41206" spans="8:8">
      <c r="H41206" t="s">
        <v>34937</v>
      </c>
    </row>
    <row r="41207" spans="8:8">
      <c r="H41207" t="s">
        <v>34938</v>
      </c>
    </row>
    <row r="41208" spans="8:8">
      <c r="H41208" t="s">
        <v>19372</v>
      </c>
    </row>
    <row r="41209" spans="8:8">
      <c r="H41209" t="s">
        <v>18930</v>
      </c>
    </row>
    <row r="41210" spans="8:8">
      <c r="H41210" t="s">
        <v>34939</v>
      </c>
    </row>
    <row r="41211" spans="8:8">
      <c r="H41211" t="s">
        <v>34940</v>
      </c>
    </row>
    <row r="41212" spans="8:8">
      <c r="H41212" t="s">
        <v>20177</v>
      </c>
    </row>
    <row r="41213" spans="8:8">
      <c r="H41213" t="s">
        <v>33901</v>
      </c>
    </row>
    <row r="41214" spans="8:8">
      <c r="H41214" t="s">
        <v>34827</v>
      </c>
    </row>
    <row r="41215" spans="8:8">
      <c r="H41215" t="s">
        <v>34941</v>
      </c>
    </row>
    <row r="41216" spans="8:8">
      <c r="H41216" t="s">
        <v>34942</v>
      </c>
    </row>
    <row r="41217" spans="8:8">
      <c r="H41217" t="s">
        <v>34943</v>
      </c>
    </row>
    <row r="41218" spans="8:8">
      <c r="H41218" t="s">
        <v>34944</v>
      </c>
    </row>
    <row r="41219" spans="8:8">
      <c r="H41219" t="s">
        <v>34945</v>
      </c>
    </row>
    <row r="41220" spans="8:8">
      <c r="H41220" t="s">
        <v>34946</v>
      </c>
    </row>
    <row r="41221" spans="8:8">
      <c r="H41221" t="s">
        <v>34947</v>
      </c>
    </row>
    <row r="41222" spans="8:8">
      <c r="H41222" t="s">
        <v>34948</v>
      </c>
    </row>
    <row r="41223" spans="8:8">
      <c r="H41223" t="s">
        <v>34949</v>
      </c>
    </row>
    <row r="41224" spans="8:8">
      <c r="H41224" t="s">
        <v>34950</v>
      </c>
    </row>
    <row r="41225" spans="8:8">
      <c r="H41225" t="s">
        <v>34951</v>
      </c>
    </row>
    <row r="41226" spans="8:8">
      <c r="H41226" t="s">
        <v>34952</v>
      </c>
    </row>
    <row r="41227" spans="8:8">
      <c r="H41227" t="s">
        <v>34953</v>
      </c>
    </row>
    <row r="41228" spans="8:8">
      <c r="H41228" t="s">
        <v>34954</v>
      </c>
    </row>
    <row r="41229" spans="8:8">
      <c r="H41229" t="s">
        <v>34955</v>
      </c>
    </row>
    <row r="41230" spans="8:8">
      <c r="H41230" t="s">
        <v>34956</v>
      </c>
    </row>
    <row r="41231" spans="8:8">
      <c r="H41231" t="s">
        <v>34957</v>
      </c>
    </row>
    <row r="41232" spans="8:8">
      <c r="H41232" t="s">
        <v>34958</v>
      </c>
    </row>
    <row r="41233" spans="6:8">
      <c r="H41233" t="s">
        <v>34959</v>
      </c>
    </row>
    <row r="41234" spans="6:8">
      <c r="H41234" t="s">
        <v>34960</v>
      </c>
    </row>
    <row r="41235" spans="6:8">
      <c r="H41235" t="s">
        <v>34006</v>
      </c>
    </row>
    <row r="41236" spans="6:8">
      <c r="H41236" t="s">
        <v>34961</v>
      </c>
    </row>
    <row r="41237" spans="6:8">
      <c r="F41237" t="s">
        <v>14306</v>
      </c>
      <c r="G41237" t="s">
        <v>18263</v>
      </c>
      <c r="H41237" t="s">
        <v>34967</v>
      </c>
    </row>
    <row r="41238" spans="6:8">
      <c r="F41238" t="s">
        <v>13837</v>
      </c>
      <c r="G41238" t="s">
        <v>17880</v>
      </c>
      <c r="H41238" t="s">
        <v>18829</v>
      </c>
    </row>
    <row r="41239" spans="6:8">
      <c r="H41239" t="s">
        <v>18863</v>
      </c>
    </row>
    <row r="41240" spans="6:8">
      <c r="H41240" t="s">
        <v>34968</v>
      </c>
    </row>
    <row r="41241" spans="6:8">
      <c r="H41241" t="s">
        <v>34969</v>
      </c>
    </row>
    <row r="41242" spans="6:8">
      <c r="H41242" t="s">
        <v>27735</v>
      </c>
    </row>
    <row r="41243" spans="6:8">
      <c r="H41243" t="s">
        <v>34970</v>
      </c>
    </row>
    <row r="41244" spans="6:8">
      <c r="H41244" t="s">
        <v>34971</v>
      </c>
    </row>
    <row r="41245" spans="6:8">
      <c r="H41245" t="s">
        <v>34972</v>
      </c>
    </row>
    <row r="41246" spans="6:8">
      <c r="H41246" t="s">
        <v>34973</v>
      </c>
    </row>
    <row r="41247" spans="6:8">
      <c r="H41247" t="s">
        <v>34974</v>
      </c>
    </row>
    <row r="41248" spans="6:8">
      <c r="H41248" t="s">
        <v>34975</v>
      </c>
    </row>
    <row r="41249" spans="8:8">
      <c r="H41249" t="s">
        <v>34975</v>
      </c>
    </row>
    <row r="41250" spans="8:8">
      <c r="H41250" t="s">
        <v>31970</v>
      </c>
    </row>
    <row r="41251" spans="8:8">
      <c r="H41251" t="s">
        <v>31970</v>
      </c>
    </row>
    <row r="41252" spans="8:8">
      <c r="H41252" t="s">
        <v>34976</v>
      </c>
    </row>
    <row r="41253" spans="8:8">
      <c r="H41253" t="s">
        <v>31971</v>
      </c>
    </row>
    <row r="41254" spans="8:8">
      <c r="H41254" t="s">
        <v>20177</v>
      </c>
    </row>
    <row r="41255" spans="8:8">
      <c r="H41255" t="s">
        <v>31967</v>
      </c>
    </row>
    <row r="41256" spans="8:8">
      <c r="H41256" t="s">
        <v>34977</v>
      </c>
    </row>
    <row r="41257" spans="8:8">
      <c r="H41257" t="s">
        <v>34978</v>
      </c>
    </row>
    <row r="41258" spans="8:8">
      <c r="H41258" t="s">
        <v>34979</v>
      </c>
    </row>
    <row r="41259" spans="8:8">
      <c r="H41259" t="s">
        <v>31852</v>
      </c>
    </row>
    <row r="41260" spans="8:8">
      <c r="H41260" t="s">
        <v>34980</v>
      </c>
    </row>
    <row r="41261" spans="8:8">
      <c r="H41261" t="s">
        <v>34981</v>
      </c>
    </row>
    <row r="41262" spans="8:8">
      <c r="H41262" t="s">
        <v>34982</v>
      </c>
    </row>
    <row r="41263" spans="8:8">
      <c r="H41263" t="s">
        <v>34983</v>
      </c>
    </row>
    <row r="41264" spans="8:8">
      <c r="H41264" t="s">
        <v>34984</v>
      </c>
    </row>
    <row r="41265" spans="8:8">
      <c r="H41265" t="s">
        <v>34985</v>
      </c>
    </row>
    <row r="41266" spans="8:8">
      <c r="H41266" t="s">
        <v>34986</v>
      </c>
    </row>
    <row r="41267" spans="8:8">
      <c r="H41267" t="s">
        <v>34987</v>
      </c>
    </row>
    <row r="41268" spans="8:8">
      <c r="H41268" t="s">
        <v>34988</v>
      </c>
    </row>
    <row r="41269" spans="8:8">
      <c r="H41269" t="s">
        <v>34989</v>
      </c>
    </row>
    <row r="41270" spans="8:8">
      <c r="H41270" t="s">
        <v>34990</v>
      </c>
    </row>
    <row r="41271" spans="8:8">
      <c r="H41271" t="s">
        <v>34991</v>
      </c>
    </row>
    <row r="41272" spans="8:8">
      <c r="H41272" t="s">
        <v>34992</v>
      </c>
    </row>
    <row r="41273" spans="8:8">
      <c r="H41273" t="s">
        <v>34993</v>
      </c>
    </row>
    <row r="41274" spans="8:8">
      <c r="H41274" t="s">
        <v>34994</v>
      </c>
    </row>
    <row r="41275" spans="8:8">
      <c r="H41275" t="s">
        <v>34995</v>
      </c>
    </row>
    <row r="41276" spans="8:8">
      <c r="H41276" t="s">
        <v>34996</v>
      </c>
    </row>
    <row r="41277" spans="8:8">
      <c r="H41277" t="s">
        <v>34997</v>
      </c>
    </row>
    <row r="41278" spans="8:8">
      <c r="H41278" t="s">
        <v>31970</v>
      </c>
    </row>
    <row r="41279" spans="8:8">
      <c r="H41279" t="s">
        <v>34976</v>
      </c>
    </row>
    <row r="41280" spans="8:8">
      <c r="H41280" t="s">
        <v>34998</v>
      </c>
    </row>
    <row r="41281" spans="8:8">
      <c r="H41281" t="s">
        <v>34999</v>
      </c>
    </row>
    <row r="41282" spans="8:8">
      <c r="H41282" t="s">
        <v>35000</v>
      </c>
    </row>
    <row r="41283" spans="8:8">
      <c r="H41283" t="s">
        <v>35001</v>
      </c>
    </row>
    <row r="41284" spans="8:8">
      <c r="H41284" t="s">
        <v>31971</v>
      </c>
    </row>
    <row r="41285" spans="8:8">
      <c r="H41285" t="s">
        <v>20177</v>
      </c>
    </row>
    <row r="41286" spans="8:8">
      <c r="H41286" t="s">
        <v>35002</v>
      </c>
    </row>
    <row r="41287" spans="8:8">
      <c r="H41287" t="s">
        <v>35003</v>
      </c>
    </row>
    <row r="41288" spans="8:8">
      <c r="H41288" t="s">
        <v>35004</v>
      </c>
    </row>
    <row r="41289" spans="8:8">
      <c r="H41289" t="s">
        <v>35005</v>
      </c>
    </row>
    <row r="41290" spans="8:8">
      <c r="H41290" t="s">
        <v>35006</v>
      </c>
    </row>
    <row r="41291" spans="8:8">
      <c r="H41291" t="s">
        <v>35007</v>
      </c>
    </row>
    <row r="41292" spans="8:8">
      <c r="H41292" t="s">
        <v>35008</v>
      </c>
    </row>
    <row r="41293" spans="8:8">
      <c r="H41293" t="s">
        <v>35009</v>
      </c>
    </row>
    <row r="41294" spans="8:8">
      <c r="H41294" t="s">
        <v>35010</v>
      </c>
    </row>
    <row r="41295" spans="8:8">
      <c r="H41295" t="s">
        <v>35011</v>
      </c>
    </row>
    <row r="41296" spans="8:8">
      <c r="H41296" t="s">
        <v>35012</v>
      </c>
    </row>
    <row r="41297" spans="6:8">
      <c r="H41297" t="s">
        <v>35013</v>
      </c>
    </row>
    <row r="41298" spans="6:8">
      <c r="H41298" t="s">
        <v>35014</v>
      </c>
    </row>
    <row r="41299" spans="6:8">
      <c r="H41299" t="s">
        <v>35015</v>
      </c>
    </row>
    <row r="41300" spans="6:8">
      <c r="F41300" t="s">
        <v>12201</v>
      </c>
      <c r="G41300" t="s">
        <v>16439</v>
      </c>
      <c r="H41300" t="s">
        <v>18829</v>
      </c>
    </row>
    <row r="41301" spans="6:8">
      <c r="H41301" t="s">
        <v>21327</v>
      </c>
    </row>
    <row r="41302" spans="6:8">
      <c r="H41302" t="s">
        <v>21328</v>
      </c>
    </row>
    <row r="41303" spans="6:8">
      <c r="H41303" t="s">
        <v>35016</v>
      </c>
    </row>
    <row r="41304" spans="6:8">
      <c r="H41304" t="s">
        <v>35017</v>
      </c>
    </row>
    <row r="41305" spans="6:8">
      <c r="F41305" t="s">
        <v>14222</v>
      </c>
      <c r="G41305" t="s">
        <v>18195</v>
      </c>
      <c r="H41305" t="s">
        <v>35018</v>
      </c>
    </row>
    <row r="41306" spans="6:8">
      <c r="H41306" t="s">
        <v>18863</v>
      </c>
    </row>
    <row r="41307" spans="6:8">
      <c r="H41307" t="s">
        <v>34106</v>
      </c>
    </row>
    <row r="41308" spans="6:8">
      <c r="H41308" t="s">
        <v>35019</v>
      </c>
    </row>
    <row r="41309" spans="6:8">
      <c r="H41309" t="s">
        <v>35020</v>
      </c>
    </row>
    <row r="41310" spans="6:8">
      <c r="H41310" t="s">
        <v>35020</v>
      </c>
    </row>
    <row r="41311" spans="6:8">
      <c r="H41311" t="s">
        <v>35021</v>
      </c>
    </row>
    <row r="41312" spans="6:8">
      <c r="H41312" t="s">
        <v>35022</v>
      </c>
    </row>
    <row r="41313" spans="8:8">
      <c r="H41313" t="s">
        <v>35023</v>
      </c>
    </row>
    <row r="41314" spans="8:8">
      <c r="H41314" t="s">
        <v>35024</v>
      </c>
    </row>
    <row r="41315" spans="8:8">
      <c r="H41315" t="s">
        <v>35025</v>
      </c>
    </row>
    <row r="41316" spans="8:8">
      <c r="H41316" t="s">
        <v>35026</v>
      </c>
    </row>
    <row r="41317" spans="8:8">
      <c r="H41317" t="s">
        <v>35027</v>
      </c>
    </row>
    <row r="41318" spans="8:8">
      <c r="H41318" t="s">
        <v>35028</v>
      </c>
    </row>
    <row r="41319" spans="8:8">
      <c r="H41319" t="s">
        <v>35029</v>
      </c>
    </row>
    <row r="41320" spans="8:8">
      <c r="H41320" t="s">
        <v>35030</v>
      </c>
    </row>
    <row r="41321" spans="8:8">
      <c r="H41321" t="s">
        <v>35031</v>
      </c>
    </row>
    <row r="41322" spans="8:8">
      <c r="H41322" t="s">
        <v>35032</v>
      </c>
    </row>
    <row r="41323" spans="8:8">
      <c r="H41323" t="s">
        <v>35033</v>
      </c>
    </row>
    <row r="41324" spans="8:8">
      <c r="H41324" t="s">
        <v>35034</v>
      </c>
    </row>
    <row r="41325" spans="8:8">
      <c r="H41325" t="s">
        <v>35035</v>
      </c>
    </row>
    <row r="41326" spans="8:8">
      <c r="H41326" t="s">
        <v>35036</v>
      </c>
    </row>
    <row r="41327" spans="8:8">
      <c r="H41327" t="s">
        <v>35037</v>
      </c>
    </row>
    <row r="41328" spans="8:8">
      <c r="H41328" t="s">
        <v>35038</v>
      </c>
    </row>
    <row r="41329" spans="6:8">
      <c r="H41329" t="s">
        <v>35039</v>
      </c>
    </row>
    <row r="41330" spans="6:8">
      <c r="F41330" t="s">
        <v>14307</v>
      </c>
      <c r="G41330" t="s">
        <v>18264</v>
      </c>
      <c r="H41330" t="s">
        <v>35040</v>
      </c>
    </row>
    <row r="41331" spans="6:8">
      <c r="H41331" t="s">
        <v>35041</v>
      </c>
    </row>
    <row r="41332" spans="6:8">
      <c r="H41332" t="s">
        <v>35042</v>
      </c>
    </row>
    <row r="41333" spans="6:8">
      <c r="H41333" t="s">
        <v>35043</v>
      </c>
    </row>
    <row r="41334" spans="6:8">
      <c r="H41334" t="s">
        <v>35044</v>
      </c>
    </row>
    <row r="41335" spans="6:8">
      <c r="H41335" t="s">
        <v>35045</v>
      </c>
    </row>
    <row r="41336" spans="6:8">
      <c r="H41336" t="s">
        <v>35046</v>
      </c>
    </row>
    <row r="41337" spans="6:8">
      <c r="H41337" t="s">
        <v>35047</v>
      </c>
    </row>
    <row r="41338" spans="6:8">
      <c r="F41338" t="s">
        <v>14159</v>
      </c>
      <c r="G41338" t="s">
        <v>18145</v>
      </c>
      <c r="H41338" t="s">
        <v>18829</v>
      </c>
    </row>
    <row r="41339" spans="6:8">
      <c r="H41339" t="s">
        <v>18836</v>
      </c>
    </row>
    <row r="41340" spans="6:8">
      <c r="H41340" t="s">
        <v>35048</v>
      </c>
    </row>
    <row r="41341" spans="6:8">
      <c r="H41341" t="s">
        <v>35049</v>
      </c>
    </row>
    <row r="41342" spans="6:8">
      <c r="H41342" t="s">
        <v>35050</v>
      </c>
    </row>
    <row r="41343" spans="6:8">
      <c r="F41343" t="s">
        <v>14308</v>
      </c>
      <c r="G41343" t="s">
        <v>18265</v>
      </c>
      <c r="H41343" t="s">
        <v>18829</v>
      </c>
    </row>
    <row r="41344" spans="6:8">
      <c r="H41344" t="s">
        <v>26408</v>
      </c>
    </row>
    <row r="41345" spans="8:8">
      <c r="H41345" t="s">
        <v>30464</v>
      </c>
    </row>
    <row r="41346" spans="8:8">
      <c r="H41346" t="s">
        <v>30466</v>
      </c>
    </row>
    <row r="41347" spans="8:8">
      <c r="H41347" t="s">
        <v>35051</v>
      </c>
    </row>
    <row r="41348" spans="8:8">
      <c r="H41348" t="s">
        <v>35052</v>
      </c>
    </row>
    <row r="41349" spans="8:8">
      <c r="H41349" t="s">
        <v>35053</v>
      </c>
    </row>
    <row r="41350" spans="8:8">
      <c r="H41350" t="s">
        <v>30466</v>
      </c>
    </row>
    <row r="41351" spans="8:8">
      <c r="H41351" t="s">
        <v>25704</v>
      </c>
    </row>
    <row r="41352" spans="8:8">
      <c r="H41352" t="s">
        <v>35054</v>
      </c>
    </row>
    <row r="41353" spans="8:8">
      <c r="H41353" t="s">
        <v>35055</v>
      </c>
    </row>
    <row r="41354" spans="8:8">
      <c r="H41354" t="s">
        <v>35056</v>
      </c>
    </row>
    <row r="41355" spans="8:8">
      <c r="H41355" t="s">
        <v>35057</v>
      </c>
    </row>
    <row r="41356" spans="8:8">
      <c r="H41356" t="s">
        <v>35058</v>
      </c>
    </row>
    <row r="41357" spans="8:8">
      <c r="H41357" t="s">
        <v>35059</v>
      </c>
    </row>
    <row r="41358" spans="8:8">
      <c r="H41358" t="s">
        <v>35059</v>
      </c>
    </row>
    <row r="41359" spans="8:8">
      <c r="H41359" t="s">
        <v>35052</v>
      </c>
    </row>
    <row r="41360" spans="8:8">
      <c r="H41360" t="s">
        <v>35058</v>
      </c>
    </row>
    <row r="41361" spans="8:8">
      <c r="H41361" t="s">
        <v>30466</v>
      </c>
    </row>
    <row r="41362" spans="8:8">
      <c r="H41362" t="s">
        <v>25704</v>
      </c>
    </row>
    <row r="41363" spans="8:8">
      <c r="H41363" t="s">
        <v>35053</v>
      </c>
    </row>
    <row r="41364" spans="8:8">
      <c r="H41364" t="s">
        <v>35054</v>
      </c>
    </row>
    <row r="41365" spans="8:8">
      <c r="H41365" t="s">
        <v>35055</v>
      </c>
    </row>
    <row r="41366" spans="8:8">
      <c r="H41366" t="s">
        <v>35060</v>
      </c>
    </row>
    <row r="41367" spans="8:8">
      <c r="H41367" t="s">
        <v>35052</v>
      </c>
    </row>
    <row r="41368" spans="8:8">
      <c r="H41368" t="s">
        <v>35053</v>
      </c>
    </row>
    <row r="41369" spans="8:8">
      <c r="H41369" t="s">
        <v>30466</v>
      </c>
    </row>
    <row r="41370" spans="8:8">
      <c r="H41370" t="s">
        <v>25704</v>
      </c>
    </row>
    <row r="41371" spans="8:8">
      <c r="H41371" t="s">
        <v>35054</v>
      </c>
    </row>
    <row r="41372" spans="8:8">
      <c r="H41372" t="s">
        <v>35055</v>
      </c>
    </row>
    <row r="41373" spans="8:8">
      <c r="H41373" t="s">
        <v>35061</v>
      </c>
    </row>
    <row r="41374" spans="8:8">
      <c r="H41374" t="s">
        <v>35062</v>
      </c>
    </row>
    <row r="41375" spans="8:8">
      <c r="H41375" t="s">
        <v>35063</v>
      </c>
    </row>
    <row r="41376" spans="8:8">
      <c r="H41376" t="s">
        <v>35064</v>
      </c>
    </row>
    <row r="41377" spans="6:8">
      <c r="H41377" t="s">
        <v>35065</v>
      </c>
    </row>
    <row r="41378" spans="6:8">
      <c r="H41378" t="s">
        <v>35066</v>
      </c>
    </row>
    <row r="41379" spans="6:8">
      <c r="H41379" t="s">
        <v>35067</v>
      </c>
    </row>
    <row r="41380" spans="6:8">
      <c r="H41380" t="s">
        <v>35068</v>
      </c>
    </row>
    <row r="41381" spans="6:8">
      <c r="H41381" t="s">
        <v>30465</v>
      </c>
    </row>
    <row r="41382" spans="6:8">
      <c r="H41382" t="s">
        <v>35069</v>
      </c>
    </row>
    <row r="41383" spans="6:8">
      <c r="H41383" t="s">
        <v>35070</v>
      </c>
    </row>
    <row r="41384" spans="6:8">
      <c r="H41384" t="s">
        <v>35071</v>
      </c>
    </row>
    <row r="41385" spans="6:8">
      <c r="H41385" t="s">
        <v>35072</v>
      </c>
    </row>
    <row r="41386" spans="6:8">
      <c r="H41386" t="s">
        <v>35073</v>
      </c>
    </row>
    <row r="41387" spans="6:8">
      <c r="H41387" t="s">
        <v>35074</v>
      </c>
    </row>
    <row r="41388" spans="6:8">
      <c r="H41388" t="s">
        <v>35075</v>
      </c>
    </row>
    <row r="41389" spans="6:8">
      <c r="F41389" t="s">
        <v>13309</v>
      </c>
      <c r="G41389" t="s">
        <v>17442</v>
      </c>
      <c r="H41389" t="s">
        <v>29102</v>
      </c>
    </row>
    <row r="41390" spans="6:8">
      <c r="H41390" t="s">
        <v>35076</v>
      </c>
    </row>
    <row r="41391" spans="6:8">
      <c r="H41391" t="s">
        <v>35077</v>
      </c>
    </row>
    <row r="41392" spans="6:8">
      <c r="H41392" t="s">
        <v>35078</v>
      </c>
    </row>
    <row r="41393" spans="8:8">
      <c r="H41393" t="s">
        <v>35079</v>
      </c>
    </row>
    <row r="41394" spans="8:8">
      <c r="H41394" t="s">
        <v>29103</v>
      </c>
    </row>
    <row r="41395" spans="8:8">
      <c r="H41395" t="s">
        <v>35080</v>
      </c>
    </row>
    <row r="41396" spans="8:8">
      <c r="H41396" t="s">
        <v>35081</v>
      </c>
    </row>
    <row r="41397" spans="8:8">
      <c r="H41397" t="s">
        <v>35082</v>
      </c>
    </row>
    <row r="41398" spans="8:8">
      <c r="H41398" t="s">
        <v>35083</v>
      </c>
    </row>
    <row r="41399" spans="8:8">
      <c r="H41399" t="s">
        <v>35084</v>
      </c>
    </row>
    <row r="41400" spans="8:8">
      <c r="H41400" t="s">
        <v>35085</v>
      </c>
    </row>
    <row r="41401" spans="8:8">
      <c r="H41401" t="s">
        <v>35086</v>
      </c>
    </row>
    <row r="41402" spans="8:8">
      <c r="H41402" t="s">
        <v>35087</v>
      </c>
    </row>
    <row r="41403" spans="8:8">
      <c r="H41403" t="s">
        <v>35088</v>
      </c>
    </row>
    <row r="41404" spans="8:8">
      <c r="H41404" t="s">
        <v>35089</v>
      </c>
    </row>
    <row r="41405" spans="8:8">
      <c r="H41405" t="s">
        <v>35090</v>
      </c>
    </row>
    <row r="41406" spans="8:8">
      <c r="H41406" t="s">
        <v>35091</v>
      </c>
    </row>
    <row r="41407" spans="8:8">
      <c r="H41407" t="s">
        <v>35092</v>
      </c>
    </row>
    <row r="41408" spans="8:8">
      <c r="H41408" t="s">
        <v>35093</v>
      </c>
    </row>
    <row r="41409" spans="8:8">
      <c r="H41409" t="s">
        <v>35094</v>
      </c>
    </row>
    <row r="41410" spans="8:8">
      <c r="H41410" t="s">
        <v>35095</v>
      </c>
    </row>
    <row r="41411" spans="8:8">
      <c r="H41411" t="s">
        <v>35096</v>
      </c>
    </row>
    <row r="41412" spans="8:8">
      <c r="H41412" t="s">
        <v>35097</v>
      </c>
    </row>
    <row r="41413" spans="8:8">
      <c r="H41413" t="s">
        <v>35098</v>
      </c>
    </row>
    <row r="41414" spans="8:8">
      <c r="H41414" t="s">
        <v>35099</v>
      </c>
    </row>
    <row r="41415" spans="8:8">
      <c r="H41415" t="s">
        <v>35100</v>
      </c>
    </row>
    <row r="41416" spans="8:8">
      <c r="H41416" t="s">
        <v>35101</v>
      </c>
    </row>
    <row r="41417" spans="8:8">
      <c r="H41417" t="s">
        <v>35102</v>
      </c>
    </row>
    <row r="41418" spans="8:8">
      <c r="H41418" t="s">
        <v>35103</v>
      </c>
    </row>
    <row r="41419" spans="8:8">
      <c r="H41419" t="s">
        <v>35104</v>
      </c>
    </row>
    <row r="41420" spans="8:8">
      <c r="H41420" t="s">
        <v>35105</v>
      </c>
    </row>
    <row r="41421" spans="8:8">
      <c r="H41421" t="s">
        <v>35106</v>
      </c>
    </row>
    <row r="41422" spans="8:8">
      <c r="H41422" t="s">
        <v>35107</v>
      </c>
    </row>
    <row r="41423" spans="8:8">
      <c r="H41423" t="s">
        <v>35108</v>
      </c>
    </row>
    <row r="41424" spans="8:8">
      <c r="H41424" t="s">
        <v>35109</v>
      </c>
    </row>
    <row r="41425" spans="8:8">
      <c r="H41425" t="s">
        <v>35110</v>
      </c>
    </row>
    <row r="41426" spans="8:8">
      <c r="H41426" t="s">
        <v>35111</v>
      </c>
    </row>
    <row r="41427" spans="8:8">
      <c r="H41427" t="s">
        <v>35112</v>
      </c>
    </row>
    <row r="41428" spans="8:8">
      <c r="H41428" t="s">
        <v>35113</v>
      </c>
    </row>
    <row r="41429" spans="8:8">
      <c r="H41429" t="s">
        <v>35114</v>
      </c>
    </row>
    <row r="41430" spans="8:8">
      <c r="H41430" t="s">
        <v>35115</v>
      </c>
    </row>
    <row r="41431" spans="8:8">
      <c r="H41431" t="s">
        <v>35116</v>
      </c>
    </row>
    <row r="41432" spans="8:8">
      <c r="H41432" t="s">
        <v>35117</v>
      </c>
    </row>
    <row r="41433" spans="8:8">
      <c r="H41433" t="s">
        <v>35118</v>
      </c>
    </row>
    <row r="41434" spans="8:8">
      <c r="H41434" t="s">
        <v>35119</v>
      </c>
    </row>
    <row r="41435" spans="8:8">
      <c r="H41435" t="s">
        <v>35120</v>
      </c>
    </row>
    <row r="41436" spans="8:8">
      <c r="H41436" t="s">
        <v>35121</v>
      </c>
    </row>
    <row r="41437" spans="8:8">
      <c r="H41437" t="s">
        <v>35122</v>
      </c>
    </row>
    <row r="41438" spans="8:8">
      <c r="H41438" t="s">
        <v>35123</v>
      </c>
    </row>
    <row r="41439" spans="8:8">
      <c r="H41439" t="s">
        <v>35124</v>
      </c>
    </row>
    <row r="41440" spans="8:8">
      <c r="H41440" t="s">
        <v>35125</v>
      </c>
    </row>
    <row r="41441" spans="8:8">
      <c r="H41441" t="s">
        <v>35126</v>
      </c>
    </row>
    <row r="41442" spans="8:8">
      <c r="H41442" t="s">
        <v>35127</v>
      </c>
    </row>
    <row r="41443" spans="8:8">
      <c r="H41443" t="s">
        <v>35128</v>
      </c>
    </row>
    <row r="41444" spans="8:8">
      <c r="H41444" t="s">
        <v>35129</v>
      </c>
    </row>
    <row r="41445" spans="8:8">
      <c r="H41445" t="s">
        <v>35130</v>
      </c>
    </row>
    <row r="41446" spans="8:8">
      <c r="H41446" t="s">
        <v>35131</v>
      </c>
    </row>
    <row r="41447" spans="8:8">
      <c r="H41447" t="s">
        <v>35132</v>
      </c>
    </row>
    <row r="41448" spans="8:8">
      <c r="H41448" t="s">
        <v>35133</v>
      </c>
    </row>
    <row r="41449" spans="8:8">
      <c r="H41449" t="s">
        <v>35134</v>
      </c>
    </row>
    <row r="41450" spans="8:8">
      <c r="H41450" t="s">
        <v>35135</v>
      </c>
    </row>
    <row r="41451" spans="8:8">
      <c r="H41451" t="s">
        <v>35136</v>
      </c>
    </row>
    <row r="41452" spans="8:8">
      <c r="H41452" t="s">
        <v>35137</v>
      </c>
    </row>
    <row r="41453" spans="8:8">
      <c r="H41453" t="s">
        <v>35138</v>
      </c>
    </row>
    <row r="41454" spans="8:8">
      <c r="H41454" t="s">
        <v>35139</v>
      </c>
    </row>
    <row r="41455" spans="8:8">
      <c r="H41455" t="s">
        <v>35140</v>
      </c>
    </row>
    <row r="41456" spans="8:8">
      <c r="H41456" t="s">
        <v>35141</v>
      </c>
    </row>
    <row r="41457" spans="6:8">
      <c r="H41457" t="s">
        <v>35142</v>
      </c>
    </row>
    <row r="41458" spans="6:8">
      <c r="H41458" t="s">
        <v>35143</v>
      </c>
    </row>
    <row r="41459" spans="6:8">
      <c r="H41459" t="s">
        <v>35144</v>
      </c>
    </row>
    <row r="41460" spans="6:8">
      <c r="H41460" t="s">
        <v>35145</v>
      </c>
    </row>
    <row r="41461" spans="6:8">
      <c r="H41461" t="s">
        <v>35146</v>
      </c>
    </row>
    <row r="41462" spans="6:8">
      <c r="H41462" t="s">
        <v>35147</v>
      </c>
    </row>
    <row r="41463" spans="6:8">
      <c r="H41463" t="s">
        <v>35148</v>
      </c>
    </row>
    <row r="41464" spans="6:8">
      <c r="H41464" t="s">
        <v>35149</v>
      </c>
    </row>
    <row r="41465" spans="6:8">
      <c r="H41465" t="s">
        <v>35150</v>
      </c>
    </row>
    <row r="41466" spans="6:8">
      <c r="H41466" t="s">
        <v>35151</v>
      </c>
    </row>
    <row r="41467" spans="6:8">
      <c r="H41467" t="s">
        <v>35152</v>
      </c>
    </row>
    <row r="41468" spans="6:8">
      <c r="H41468" t="s">
        <v>35153</v>
      </c>
    </row>
    <row r="41469" spans="6:8">
      <c r="H41469" t="s">
        <v>35154</v>
      </c>
    </row>
    <row r="41470" spans="6:8">
      <c r="H41470" t="s">
        <v>35155</v>
      </c>
    </row>
    <row r="41471" spans="6:8">
      <c r="H41471" t="s">
        <v>35156</v>
      </c>
    </row>
    <row r="41472" spans="6:8">
      <c r="F41472" t="s">
        <v>13928</v>
      </c>
      <c r="G41472" t="s">
        <v>17964</v>
      </c>
      <c r="H41472" t="s">
        <v>35157</v>
      </c>
    </row>
    <row r="41473" spans="8:8">
      <c r="H41473" t="s">
        <v>18829</v>
      </c>
    </row>
    <row r="41474" spans="8:8">
      <c r="H41474" t="s">
        <v>35158</v>
      </c>
    </row>
    <row r="41475" spans="8:8">
      <c r="H41475" t="s">
        <v>35159</v>
      </c>
    </row>
    <row r="41476" spans="8:8">
      <c r="H41476" t="s">
        <v>35160</v>
      </c>
    </row>
    <row r="41477" spans="8:8">
      <c r="H41477" t="s">
        <v>35161</v>
      </c>
    </row>
    <row r="41478" spans="8:8">
      <c r="H41478" t="s">
        <v>35162</v>
      </c>
    </row>
    <row r="41479" spans="8:8">
      <c r="H41479" t="s">
        <v>35162</v>
      </c>
    </row>
    <row r="41480" spans="8:8">
      <c r="H41480" t="s">
        <v>35162</v>
      </c>
    </row>
    <row r="41481" spans="8:8">
      <c r="H41481" t="s">
        <v>35163</v>
      </c>
    </row>
    <row r="41482" spans="8:8">
      <c r="H41482" t="s">
        <v>35164</v>
      </c>
    </row>
    <row r="41483" spans="8:8">
      <c r="H41483" t="s">
        <v>35165</v>
      </c>
    </row>
    <row r="41484" spans="8:8">
      <c r="H41484" t="s">
        <v>35166</v>
      </c>
    </row>
    <row r="41485" spans="8:8">
      <c r="H41485" t="s">
        <v>35167</v>
      </c>
    </row>
    <row r="41486" spans="8:8">
      <c r="H41486" t="s">
        <v>35168</v>
      </c>
    </row>
    <row r="41487" spans="8:8">
      <c r="H41487" t="s">
        <v>35169</v>
      </c>
    </row>
    <row r="41488" spans="8:8">
      <c r="H41488" t="s">
        <v>35170</v>
      </c>
    </row>
    <row r="41489" spans="8:8">
      <c r="H41489" t="s">
        <v>35171</v>
      </c>
    </row>
    <row r="41490" spans="8:8">
      <c r="H41490" t="s">
        <v>35172</v>
      </c>
    </row>
    <row r="41491" spans="8:8">
      <c r="H41491" t="s">
        <v>35173</v>
      </c>
    </row>
    <row r="41492" spans="8:8">
      <c r="H41492" t="s">
        <v>35174</v>
      </c>
    </row>
    <row r="41493" spans="8:8">
      <c r="H41493" t="s">
        <v>35175</v>
      </c>
    </row>
    <row r="41494" spans="8:8">
      <c r="H41494" t="s">
        <v>35176</v>
      </c>
    </row>
    <row r="41495" spans="8:8">
      <c r="H41495" t="s">
        <v>35177</v>
      </c>
    </row>
    <row r="41496" spans="8:8">
      <c r="H41496" t="s">
        <v>35178</v>
      </c>
    </row>
    <row r="41497" spans="8:8">
      <c r="H41497" t="s">
        <v>35179</v>
      </c>
    </row>
    <row r="41498" spans="8:8">
      <c r="H41498" t="s">
        <v>35180</v>
      </c>
    </row>
    <row r="41499" spans="8:8">
      <c r="H41499" t="s">
        <v>35181</v>
      </c>
    </row>
    <row r="41500" spans="8:8">
      <c r="H41500" t="s">
        <v>35182</v>
      </c>
    </row>
    <row r="41501" spans="8:8">
      <c r="H41501" t="s">
        <v>35183</v>
      </c>
    </row>
    <row r="41502" spans="8:8">
      <c r="H41502" t="s">
        <v>35184</v>
      </c>
    </row>
    <row r="41503" spans="8:8">
      <c r="H41503" t="s">
        <v>35185</v>
      </c>
    </row>
    <row r="41504" spans="8:8">
      <c r="H41504" t="s">
        <v>35186</v>
      </c>
    </row>
    <row r="41505" spans="6:8">
      <c r="H41505" t="s">
        <v>35187</v>
      </c>
    </row>
    <row r="41506" spans="6:8">
      <c r="H41506" t="s">
        <v>35188</v>
      </c>
    </row>
    <row r="41507" spans="6:8">
      <c r="H41507" t="s">
        <v>35189</v>
      </c>
    </row>
    <row r="41508" spans="6:8">
      <c r="H41508" t="s">
        <v>35190</v>
      </c>
    </row>
    <row r="41509" spans="6:8">
      <c r="H41509" t="s">
        <v>35191</v>
      </c>
    </row>
    <row r="41510" spans="6:8">
      <c r="H41510" t="s">
        <v>35192</v>
      </c>
    </row>
    <row r="41511" spans="6:8">
      <c r="H41511" t="s">
        <v>35193</v>
      </c>
    </row>
    <row r="41512" spans="6:8">
      <c r="H41512" t="s">
        <v>35194</v>
      </c>
    </row>
    <row r="41513" spans="6:8">
      <c r="H41513" t="s">
        <v>35195</v>
      </c>
    </row>
    <row r="41514" spans="6:8">
      <c r="H41514" t="s">
        <v>35196</v>
      </c>
    </row>
    <row r="41515" spans="6:8">
      <c r="H41515" t="s">
        <v>35197</v>
      </c>
    </row>
    <row r="41516" spans="6:8">
      <c r="H41516" t="s">
        <v>35198</v>
      </c>
    </row>
    <row r="41517" spans="6:8">
      <c r="F41517" t="s">
        <v>12740</v>
      </c>
      <c r="G41517" t="s">
        <v>16932</v>
      </c>
      <c r="H41517" t="s">
        <v>35199</v>
      </c>
    </row>
    <row r="41518" spans="6:8">
      <c r="F41518" t="s">
        <v>10615</v>
      </c>
      <c r="G41518" t="s">
        <v>15018</v>
      </c>
      <c r="H41518" t="s">
        <v>35200</v>
      </c>
    </row>
    <row r="41519" spans="6:8">
      <c r="F41519" t="s">
        <v>10616</v>
      </c>
      <c r="G41519" t="s">
        <v>15019</v>
      </c>
      <c r="H41519" t="s">
        <v>19183</v>
      </c>
    </row>
    <row r="41520" spans="6:8">
      <c r="H41520" t="s">
        <v>19184</v>
      </c>
    </row>
    <row r="41521" spans="6:8">
      <c r="F41521" t="s">
        <v>13133</v>
      </c>
      <c r="G41521" t="s">
        <v>17291</v>
      </c>
      <c r="H41521" t="s">
        <v>35201</v>
      </c>
    </row>
    <row r="41522" spans="6:8">
      <c r="H41522" t="s">
        <v>25716</v>
      </c>
    </row>
    <row r="41523" spans="6:8">
      <c r="H41523" t="s">
        <v>28041</v>
      </c>
    </row>
    <row r="41524" spans="6:8">
      <c r="H41524" t="s">
        <v>28042</v>
      </c>
    </row>
    <row r="41525" spans="6:8">
      <c r="H41525" t="s">
        <v>35202</v>
      </c>
    </row>
    <row r="41526" spans="6:8">
      <c r="H41526" t="s">
        <v>35203</v>
      </c>
    </row>
    <row r="41527" spans="6:8">
      <c r="H41527" t="s">
        <v>35204</v>
      </c>
    </row>
    <row r="41528" spans="6:8">
      <c r="H41528" t="s">
        <v>35205</v>
      </c>
    </row>
    <row r="41529" spans="6:8">
      <c r="H41529" t="s">
        <v>35206</v>
      </c>
    </row>
    <row r="41530" spans="6:8">
      <c r="H41530" t="s">
        <v>18927</v>
      </c>
    </row>
    <row r="41531" spans="6:8">
      <c r="H41531" t="s">
        <v>35207</v>
      </c>
    </row>
    <row r="41532" spans="6:8">
      <c r="H41532" t="s">
        <v>35208</v>
      </c>
    </row>
    <row r="41533" spans="6:8">
      <c r="H41533" t="s">
        <v>25720</v>
      </c>
    </row>
    <row r="41534" spans="6:8">
      <c r="H41534" t="s">
        <v>28043</v>
      </c>
    </row>
    <row r="41535" spans="6:8">
      <c r="H41535" t="s">
        <v>28044</v>
      </c>
    </row>
    <row r="41536" spans="6:8">
      <c r="H41536" t="s">
        <v>28045</v>
      </c>
    </row>
    <row r="41537" spans="6:8">
      <c r="H41537" t="s">
        <v>28046</v>
      </c>
    </row>
    <row r="41538" spans="6:8">
      <c r="H41538" t="s">
        <v>28047</v>
      </c>
    </row>
    <row r="41539" spans="6:8">
      <c r="H41539" t="s">
        <v>28048</v>
      </c>
    </row>
    <row r="41540" spans="6:8">
      <c r="H41540" t="s">
        <v>25704</v>
      </c>
    </row>
    <row r="41541" spans="6:8">
      <c r="F41541" t="s">
        <v>14309</v>
      </c>
      <c r="G41541" t="s">
        <v>18266</v>
      </c>
      <c r="H41541" t="s">
        <v>18924</v>
      </c>
    </row>
    <row r="41542" spans="6:8">
      <c r="H41542" t="s">
        <v>35209</v>
      </c>
    </row>
    <row r="41543" spans="6:8">
      <c r="H41543" t="s">
        <v>35210</v>
      </c>
    </row>
    <row r="41544" spans="6:8">
      <c r="H41544" t="s">
        <v>35211</v>
      </c>
    </row>
    <row r="41545" spans="6:8">
      <c r="H41545" t="s">
        <v>35212</v>
      </c>
    </row>
    <row r="41546" spans="6:8">
      <c r="H41546" t="s">
        <v>35213</v>
      </c>
    </row>
    <row r="41547" spans="6:8">
      <c r="H41547" t="s">
        <v>35214</v>
      </c>
    </row>
    <row r="41548" spans="6:8">
      <c r="H41548" t="s">
        <v>35215</v>
      </c>
    </row>
    <row r="41549" spans="6:8">
      <c r="F41549" t="s">
        <v>14310</v>
      </c>
      <c r="G41549" t="s">
        <v>18267</v>
      </c>
      <c r="H41549" t="s">
        <v>18829</v>
      </c>
    </row>
    <row r="41550" spans="6:8">
      <c r="H41550" t="s">
        <v>35216</v>
      </c>
    </row>
    <row r="41551" spans="6:8">
      <c r="F41551" t="s">
        <v>14210</v>
      </c>
      <c r="G41551" t="s">
        <v>18186</v>
      </c>
      <c r="H41551" t="s">
        <v>18829</v>
      </c>
    </row>
    <row r="41552" spans="6:8">
      <c r="H41552" t="s">
        <v>18863</v>
      </c>
    </row>
    <row r="41553" spans="6:8">
      <c r="H41553" t="s">
        <v>34969</v>
      </c>
    </row>
    <row r="41554" spans="6:8">
      <c r="H41554" t="s">
        <v>35217</v>
      </c>
    </row>
    <row r="41555" spans="6:8">
      <c r="H41555" t="s">
        <v>35218</v>
      </c>
    </row>
    <row r="41556" spans="6:8">
      <c r="H41556" t="s">
        <v>35219</v>
      </c>
    </row>
    <row r="41557" spans="6:8">
      <c r="H41557" t="s">
        <v>35220</v>
      </c>
    </row>
    <row r="41558" spans="6:8">
      <c r="H41558" t="s">
        <v>35221</v>
      </c>
    </row>
    <row r="41559" spans="6:8">
      <c r="H41559" t="s">
        <v>35222</v>
      </c>
    </row>
    <row r="41560" spans="6:8">
      <c r="H41560" t="s">
        <v>35223</v>
      </c>
    </row>
    <row r="41561" spans="6:8">
      <c r="H41561" t="s">
        <v>35224</v>
      </c>
    </row>
    <row r="41562" spans="6:8">
      <c r="F41562" t="s">
        <v>10617</v>
      </c>
      <c r="G41562" t="s">
        <v>15020</v>
      </c>
      <c r="H41562" t="s">
        <v>19183</v>
      </c>
    </row>
    <row r="41563" spans="6:8">
      <c r="H41563" t="s">
        <v>19184</v>
      </c>
    </row>
    <row r="41564" spans="6:8">
      <c r="F41564" t="s">
        <v>10618</v>
      </c>
      <c r="G41564" t="s">
        <v>15021</v>
      </c>
      <c r="H41564" t="s">
        <v>19183</v>
      </c>
    </row>
    <row r="41565" spans="6:8">
      <c r="H41565" t="s">
        <v>19184</v>
      </c>
    </row>
    <row r="41566" spans="6:8">
      <c r="F41566" t="s">
        <v>13556</v>
      </c>
      <c r="G41566" t="s">
        <v>17663</v>
      </c>
      <c r="H41566" t="s">
        <v>35225</v>
      </c>
    </row>
    <row r="41567" spans="6:8">
      <c r="H41567" t="s">
        <v>35226</v>
      </c>
    </row>
    <row r="41568" spans="6:8">
      <c r="H41568" t="s">
        <v>35227</v>
      </c>
    </row>
    <row r="41569" spans="6:8">
      <c r="H41569" t="s">
        <v>35228</v>
      </c>
    </row>
    <row r="41570" spans="6:8">
      <c r="H41570" t="s">
        <v>35229</v>
      </c>
    </row>
    <row r="41571" spans="6:8">
      <c r="H41571" t="s">
        <v>35230</v>
      </c>
    </row>
    <row r="41572" spans="6:8">
      <c r="H41572" t="s">
        <v>35231</v>
      </c>
    </row>
    <row r="41573" spans="6:8">
      <c r="H41573" t="s">
        <v>35232</v>
      </c>
    </row>
    <row r="41574" spans="6:8">
      <c r="H41574" t="s">
        <v>35233</v>
      </c>
    </row>
    <row r="41575" spans="6:8">
      <c r="H41575" t="s">
        <v>35234</v>
      </c>
    </row>
    <row r="41576" spans="6:8">
      <c r="H41576" t="s">
        <v>35235</v>
      </c>
    </row>
    <row r="41577" spans="6:8">
      <c r="H41577" t="s">
        <v>35236</v>
      </c>
    </row>
    <row r="41578" spans="6:8">
      <c r="F41578" t="s">
        <v>14311</v>
      </c>
      <c r="G41578" t="s">
        <v>18268</v>
      </c>
      <c r="H41578" t="s">
        <v>18829</v>
      </c>
    </row>
    <row r="41579" spans="6:8">
      <c r="H41579" t="s">
        <v>35237</v>
      </c>
    </row>
    <row r="41580" spans="6:8">
      <c r="H41580" t="s">
        <v>35238</v>
      </c>
    </row>
    <row r="41581" spans="6:8">
      <c r="H41581" t="s">
        <v>35239</v>
      </c>
    </row>
    <row r="41582" spans="6:8">
      <c r="F41582" t="s">
        <v>14312</v>
      </c>
      <c r="G41582" t="s">
        <v>18269</v>
      </c>
      <c r="H41582" t="s">
        <v>18829</v>
      </c>
    </row>
    <row r="41583" spans="6:8">
      <c r="H41583" t="s">
        <v>18863</v>
      </c>
    </row>
    <row r="41584" spans="6:8">
      <c r="H41584" t="s">
        <v>31527</v>
      </c>
    </row>
    <row r="41585" spans="6:8">
      <c r="H41585" t="s">
        <v>35240</v>
      </c>
    </row>
    <row r="41586" spans="6:8">
      <c r="H41586" t="s">
        <v>35241</v>
      </c>
    </row>
    <row r="41587" spans="6:8">
      <c r="H41587" t="s">
        <v>34968</v>
      </c>
    </row>
    <row r="41588" spans="6:8">
      <c r="H41588" t="s">
        <v>35242</v>
      </c>
    </row>
    <row r="41589" spans="6:8">
      <c r="H41589" t="s">
        <v>35243</v>
      </c>
    </row>
    <row r="41590" spans="6:8">
      <c r="H41590" t="s">
        <v>35244</v>
      </c>
    </row>
    <row r="41591" spans="6:8">
      <c r="H41591" t="s">
        <v>31775</v>
      </c>
    </row>
    <row r="41592" spans="6:8">
      <c r="H41592" t="s">
        <v>35245</v>
      </c>
    </row>
    <row r="41593" spans="6:8">
      <c r="H41593" t="s">
        <v>35246</v>
      </c>
    </row>
    <row r="41594" spans="6:8">
      <c r="F41594" t="s">
        <v>14313</v>
      </c>
      <c r="G41594" t="s">
        <v>18270</v>
      </c>
      <c r="H41594" t="s">
        <v>18836</v>
      </c>
    </row>
    <row r="41595" spans="6:8">
      <c r="H41595" t="s">
        <v>35247</v>
      </c>
    </row>
    <row r="41596" spans="6:8">
      <c r="H41596" t="s">
        <v>35248</v>
      </c>
    </row>
    <row r="41597" spans="6:8">
      <c r="H41597" t="s">
        <v>35249</v>
      </c>
    </row>
    <row r="41598" spans="6:8">
      <c r="H41598" t="s">
        <v>35048</v>
      </c>
    </row>
    <row r="41599" spans="6:8">
      <c r="F41599" t="s">
        <v>10600</v>
      </c>
      <c r="G41599" t="s">
        <v>15003</v>
      </c>
      <c r="H41599" t="s">
        <v>18836</v>
      </c>
    </row>
    <row r="41600" spans="6:8">
      <c r="H41600" t="s">
        <v>35250</v>
      </c>
    </row>
    <row r="41601" spans="6:8">
      <c r="F41601" t="s">
        <v>14314</v>
      </c>
      <c r="G41601" t="s">
        <v>18271</v>
      </c>
      <c r="H41601" t="s">
        <v>35251</v>
      </c>
    </row>
    <row r="41602" spans="6:8">
      <c r="H41602" t="s">
        <v>35252</v>
      </c>
    </row>
    <row r="41603" spans="6:8">
      <c r="H41603" t="s">
        <v>35253</v>
      </c>
    </row>
    <row r="41604" spans="6:8">
      <c r="F41604" t="s">
        <v>13960</v>
      </c>
      <c r="G41604" t="s">
        <v>17986</v>
      </c>
      <c r="H41604" t="s">
        <v>18829</v>
      </c>
    </row>
    <row r="41605" spans="6:8">
      <c r="H41605" t="s">
        <v>35254</v>
      </c>
    </row>
    <row r="41606" spans="6:8">
      <c r="H41606" t="s">
        <v>35255</v>
      </c>
    </row>
    <row r="41607" spans="6:8">
      <c r="H41607" t="s">
        <v>35250</v>
      </c>
    </row>
    <row r="41608" spans="6:8">
      <c r="H41608" t="s">
        <v>35256</v>
      </c>
    </row>
    <row r="41609" spans="6:8">
      <c r="H41609" t="s">
        <v>35257</v>
      </c>
    </row>
    <row r="41610" spans="6:8">
      <c r="H41610" t="s">
        <v>35258</v>
      </c>
    </row>
    <row r="41611" spans="6:8">
      <c r="H41611" t="s">
        <v>35259</v>
      </c>
    </row>
    <row r="41612" spans="6:8">
      <c r="H41612" t="s">
        <v>35260</v>
      </c>
    </row>
    <row r="41613" spans="6:8">
      <c r="H41613" t="s">
        <v>35261</v>
      </c>
    </row>
    <row r="41614" spans="6:8">
      <c r="H41614" t="s">
        <v>35262</v>
      </c>
    </row>
    <row r="41615" spans="6:8">
      <c r="H41615" t="s">
        <v>20340</v>
      </c>
    </row>
    <row r="41616" spans="6:8">
      <c r="F41616" t="s">
        <v>14315</v>
      </c>
      <c r="G41616" t="s">
        <v>18272</v>
      </c>
      <c r="H41616" t="s">
        <v>19981</v>
      </c>
    </row>
    <row r="41617" spans="6:8">
      <c r="H41617" t="s">
        <v>35263</v>
      </c>
    </row>
    <row r="41618" spans="6:8">
      <c r="H41618" t="s">
        <v>34877</v>
      </c>
    </row>
    <row r="41619" spans="6:8">
      <c r="H41619" t="s">
        <v>35264</v>
      </c>
    </row>
    <row r="41620" spans="6:8">
      <c r="H41620" t="s">
        <v>35265</v>
      </c>
    </row>
    <row r="41621" spans="6:8">
      <c r="F41621" t="s">
        <v>10726</v>
      </c>
      <c r="G41621" t="s">
        <v>15125</v>
      </c>
      <c r="H41621" t="s">
        <v>22023</v>
      </c>
    </row>
    <row r="41622" spans="6:8">
      <c r="H41622" t="s">
        <v>35266</v>
      </c>
    </row>
    <row r="41623" spans="6:8">
      <c r="H41623" t="s">
        <v>35267</v>
      </c>
    </row>
    <row r="41624" spans="6:8">
      <c r="H41624" t="s">
        <v>35268</v>
      </c>
    </row>
    <row r="41625" spans="6:8">
      <c r="H41625" t="s">
        <v>35269</v>
      </c>
    </row>
    <row r="41626" spans="6:8">
      <c r="H41626" t="s">
        <v>35270</v>
      </c>
    </row>
    <row r="41627" spans="6:8">
      <c r="H41627" t="s">
        <v>35271</v>
      </c>
    </row>
    <row r="41628" spans="6:8">
      <c r="F41628" t="s">
        <v>11449</v>
      </c>
      <c r="G41628" t="s">
        <v>15689</v>
      </c>
      <c r="H41628" t="s">
        <v>31759</v>
      </c>
    </row>
    <row r="41629" spans="6:8">
      <c r="H41629" t="s">
        <v>35272</v>
      </c>
    </row>
    <row r="41630" spans="6:8">
      <c r="H41630" t="s">
        <v>35273</v>
      </c>
    </row>
    <row r="41631" spans="6:8">
      <c r="H41631" t="s">
        <v>35274</v>
      </c>
    </row>
    <row r="41632" spans="6:8">
      <c r="H41632" t="s">
        <v>35275</v>
      </c>
    </row>
    <row r="41633" spans="8:8">
      <c r="H41633" t="s">
        <v>35276</v>
      </c>
    </row>
    <row r="41634" spans="8:8">
      <c r="H41634" t="s">
        <v>35277</v>
      </c>
    </row>
    <row r="41635" spans="8:8">
      <c r="H41635" t="s">
        <v>35278</v>
      </c>
    </row>
    <row r="41636" spans="8:8">
      <c r="H41636" t="s">
        <v>35279</v>
      </c>
    </row>
    <row r="41637" spans="8:8">
      <c r="H41637" t="s">
        <v>35280</v>
      </c>
    </row>
    <row r="41638" spans="8:8">
      <c r="H41638" t="s">
        <v>35281</v>
      </c>
    </row>
    <row r="41639" spans="8:8">
      <c r="H41639" t="s">
        <v>35282</v>
      </c>
    </row>
    <row r="41640" spans="8:8">
      <c r="H41640" t="s">
        <v>35283</v>
      </c>
    </row>
    <row r="41641" spans="8:8">
      <c r="H41641" t="s">
        <v>35284</v>
      </c>
    </row>
    <row r="41642" spans="8:8">
      <c r="H41642" t="s">
        <v>35285</v>
      </c>
    </row>
    <row r="41643" spans="8:8">
      <c r="H41643" t="s">
        <v>35286</v>
      </c>
    </row>
    <row r="41644" spans="8:8">
      <c r="H41644" t="s">
        <v>35287</v>
      </c>
    </row>
    <row r="41645" spans="8:8">
      <c r="H41645" t="s">
        <v>35288</v>
      </c>
    </row>
    <row r="41646" spans="8:8">
      <c r="H41646" t="s">
        <v>35289</v>
      </c>
    </row>
    <row r="41647" spans="8:8">
      <c r="H41647" t="s">
        <v>35290</v>
      </c>
    </row>
    <row r="41648" spans="8:8">
      <c r="H41648" t="s">
        <v>35290</v>
      </c>
    </row>
    <row r="41649" spans="8:8">
      <c r="H41649" t="s">
        <v>35291</v>
      </c>
    </row>
    <row r="41650" spans="8:8">
      <c r="H41650" t="s">
        <v>35292</v>
      </c>
    </row>
    <row r="41651" spans="8:8">
      <c r="H41651" t="s">
        <v>35293</v>
      </c>
    </row>
    <row r="41652" spans="8:8">
      <c r="H41652" t="s">
        <v>35294</v>
      </c>
    </row>
    <row r="41653" spans="8:8">
      <c r="H41653" t="s">
        <v>35295</v>
      </c>
    </row>
    <row r="41654" spans="8:8">
      <c r="H41654" t="s">
        <v>35296</v>
      </c>
    </row>
    <row r="41655" spans="8:8">
      <c r="H41655" t="s">
        <v>35297</v>
      </c>
    </row>
    <row r="41656" spans="8:8">
      <c r="H41656" t="s">
        <v>35298</v>
      </c>
    </row>
    <row r="41657" spans="8:8">
      <c r="H41657" t="s">
        <v>35299</v>
      </c>
    </row>
    <row r="41658" spans="8:8">
      <c r="H41658" t="s">
        <v>35300</v>
      </c>
    </row>
    <row r="41659" spans="8:8">
      <c r="H41659" t="s">
        <v>35301</v>
      </c>
    </row>
    <row r="41660" spans="8:8">
      <c r="H41660" t="s">
        <v>35302</v>
      </c>
    </row>
    <row r="41661" spans="8:8">
      <c r="H41661" t="s">
        <v>35303</v>
      </c>
    </row>
    <row r="41662" spans="8:8">
      <c r="H41662" t="s">
        <v>35304</v>
      </c>
    </row>
    <row r="41663" spans="8:8">
      <c r="H41663" t="s">
        <v>35305</v>
      </c>
    </row>
    <row r="41664" spans="8:8">
      <c r="H41664" t="s">
        <v>35306</v>
      </c>
    </row>
    <row r="41665" spans="6:8">
      <c r="F41665" t="s">
        <v>14316</v>
      </c>
      <c r="G41665" t="s">
        <v>18273</v>
      </c>
      <c r="H41665" t="s">
        <v>35307</v>
      </c>
    </row>
    <row r="41666" spans="6:8">
      <c r="F41666" t="s">
        <v>14317</v>
      </c>
      <c r="G41666" t="s">
        <v>18274</v>
      </c>
      <c r="H41666" t="s">
        <v>35308</v>
      </c>
    </row>
    <row r="41667" spans="6:8">
      <c r="H41667" t="s">
        <v>35309</v>
      </c>
    </row>
    <row r="41668" spans="6:8">
      <c r="H41668" t="s">
        <v>35310</v>
      </c>
    </row>
    <row r="41669" spans="6:8">
      <c r="H41669" t="s">
        <v>35311</v>
      </c>
    </row>
    <row r="41670" spans="6:8">
      <c r="H41670" t="s">
        <v>35312</v>
      </c>
    </row>
    <row r="41671" spans="6:8">
      <c r="H41671" t="s">
        <v>35312</v>
      </c>
    </row>
    <row r="41672" spans="6:8">
      <c r="H41672" t="s">
        <v>35313</v>
      </c>
    </row>
    <row r="41673" spans="6:8">
      <c r="H41673" t="s">
        <v>19333</v>
      </c>
    </row>
    <row r="41674" spans="6:8">
      <c r="H41674" t="s">
        <v>35314</v>
      </c>
    </row>
    <row r="41675" spans="6:8">
      <c r="H41675" t="s">
        <v>35315</v>
      </c>
    </row>
    <row r="41676" spans="6:8">
      <c r="H41676" t="s">
        <v>35316</v>
      </c>
    </row>
    <row r="41677" spans="6:8">
      <c r="F41677" t="s">
        <v>14318</v>
      </c>
      <c r="G41677" t="s">
        <v>18275</v>
      </c>
      <c r="H41677" t="s">
        <v>35317</v>
      </c>
    </row>
    <row r="41678" spans="6:8">
      <c r="F41678" t="s">
        <v>14319</v>
      </c>
      <c r="G41678" t="s">
        <v>18276</v>
      </c>
      <c r="H41678" t="s">
        <v>18836</v>
      </c>
    </row>
    <row r="41679" spans="6:8">
      <c r="F41679" t="s">
        <v>14320</v>
      </c>
      <c r="G41679" t="s">
        <v>18277</v>
      </c>
      <c r="H41679" t="s">
        <v>30172</v>
      </c>
    </row>
    <row r="41680" spans="6:8">
      <c r="H41680" t="s">
        <v>35318</v>
      </c>
    </row>
    <row r="41681" spans="6:8">
      <c r="H41681" t="s">
        <v>35319</v>
      </c>
    </row>
    <row r="41682" spans="6:8">
      <c r="H41682" t="s">
        <v>35320</v>
      </c>
    </row>
    <row r="41683" spans="6:8">
      <c r="H41683" t="s">
        <v>35321</v>
      </c>
    </row>
    <row r="41684" spans="6:8">
      <c r="H41684" t="s">
        <v>35322</v>
      </c>
    </row>
    <row r="41685" spans="6:8">
      <c r="F41685" t="s">
        <v>14321</v>
      </c>
      <c r="G41685" t="s">
        <v>18278</v>
      </c>
      <c r="H41685" t="s">
        <v>35323</v>
      </c>
    </row>
    <row r="41686" spans="6:8">
      <c r="H41686" t="s">
        <v>35324</v>
      </c>
    </row>
    <row r="41687" spans="6:8">
      <c r="H41687" t="s">
        <v>35325</v>
      </c>
    </row>
    <row r="41688" spans="6:8">
      <c r="H41688" t="s">
        <v>35326</v>
      </c>
    </row>
    <row r="41689" spans="6:8">
      <c r="H41689" t="s">
        <v>35327</v>
      </c>
    </row>
    <row r="41690" spans="6:8">
      <c r="H41690" t="s">
        <v>35328</v>
      </c>
    </row>
    <row r="41691" spans="6:8">
      <c r="F41691" t="s">
        <v>14322</v>
      </c>
      <c r="G41691" t="s">
        <v>18279</v>
      </c>
      <c r="H41691" t="s">
        <v>27516</v>
      </c>
    </row>
    <row r="41692" spans="6:8">
      <c r="H41692" t="s">
        <v>22358</v>
      </c>
    </row>
    <row r="41693" spans="6:8">
      <c r="H41693" t="s">
        <v>35329</v>
      </c>
    </row>
    <row r="41694" spans="6:8">
      <c r="H41694" t="s">
        <v>35330</v>
      </c>
    </row>
    <row r="41695" spans="6:8">
      <c r="F41695" t="s">
        <v>14323</v>
      </c>
      <c r="G41695" t="s">
        <v>18280</v>
      </c>
      <c r="H41695" t="s">
        <v>18829</v>
      </c>
    </row>
    <row r="41696" spans="6:8">
      <c r="H41696" t="s">
        <v>18863</v>
      </c>
    </row>
    <row r="41697" spans="6:8">
      <c r="H41697" t="s">
        <v>35331</v>
      </c>
    </row>
    <row r="41698" spans="6:8">
      <c r="H41698" t="s">
        <v>35332</v>
      </c>
    </row>
    <row r="41699" spans="6:8">
      <c r="H41699" t="s">
        <v>35333</v>
      </c>
    </row>
    <row r="41700" spans="6:8">
      <c r="H41700" t="s">
        <v>29840</v>
      </c>
    </row>
    <row r="41701" spans="6:8">
      <c r="H41701" t="s">
        <v>35334</v>
      </c>
    </row>
    <row r="41702" spans="6:8">
      <c r="H41702" t="s">
        <v>35335</v>
      </c>
    </row>
    <row r="41703" spans="6:8">
      <c r="H41703" t="s">
        <v>19007</v>
      </c>
    </row>
    <row r="41704" spans="6:8">
      <c r="H41704" t="s">
        <v>35336</v>
      </c>
    </row>
    <row r="41705" spans="6:8">
      <c r="F41705" t="s">
        <v>14324</v>
      </c>
      <c r="G41705" t="s">
        <v>18281</v>
      </c>
      <c r="H41705" t="s">
        <v>35337</v>
      </c>
    </row>
    <row r="41706" spans="6:8">
      <c r="H41706" t="s">
        <v>35338</v>
      </c>
    </row>
    <row r="41707" spans="6:8">
      <c r="H41707" t="s">
        <v>35339</v>
      </c>
    </row>
    <row r="41708" spans="6:8">
      <c r="H41708" t="s">
        <v>35340</v>
      </c>
    </row>
    <row r="41709" spans="6:8">
      <c r="H41709" t="s">
        <v>35341</v>
      </c>
    </row>
    <row r="41710" spans="6:8">
      <c r="H41710" t="s">
        <v>35342</v>
      </c>
    </row>
    <row r="41711" spans="6:8">
      <c r="F41711" t="s">
        <v>14102</v>
      </c>
      <c r="G41711" t="s">
        <v>18095</v>
      </c>
      <c r="H41711" t="s">
        <v>34079</v>
      </c>
    </row>
    <row r="41712" spans="6:8">
      <c r="H41712" t="s">
        <v>34080</v>
      </c>
    </row>
    <row r="41713" spans="8:8">
      <c r="H41713" t="s">
        <v>18829</v>
      </c>
    </row>
    <row r="41714" spans="8:8">
      <c r="H41714" t="s">
        <v>18863</v>
      </c>
    </row>
    <row r="41715" spans="8:8">
      <c r="H41715" t="s">
        <v>35343</v>
      </c>
    </row>
    <row r="41716" spans="8:8">
      <c r="H41716" t="s">
        <v>19019</v>
      </c>
    </row>
    <row r="41717" spans="8:8">
      <c r="H41717" t="s">
        <v>35344</v>
      </c>
    </row>
    <row r="41718" spans="8:8">
      <c r="H41718" t="s">
        <v>35345</v>
      </c>
    </row>
    <row r="41719" spans="8:8">
      <c r="H41719" t="s">
        <v>35346</v>
      </c>
    </row>
    <row r="41720" spans="8:8">
      <c r="H41720" t="s">
        <v>35347</v>
      </c>
    </row>
    <row r="41721" spans="8:8">
      <c r="H41721" t="s">
        <v>35348</v>
      </c>
    </row>
    <row r="41722" spans="8:8">
      <c r="H41722" t="s">
        <v>35349</v>
      </c>
    </row>
    <row r="41723" spans="8:8">
      <c r="H41723" t="s">
        <v>35350</v>
      </c>
    </row>
    <row r="41724" spans="8:8">
      <c r="H41724" t="s">
        <v>35351</v>
      </c>
    </row>
    <row r="41725" spans="8:8">
      <c r="H41725" t="s">
        <v>35352</v>
      </c>
    </row>
    <row r="41726" spans="8:8">
      <c r="H41726" t="s">
        <v>35353</v>
      </c>
    </row>
    <row r="41727" spans="8:8">
      <c r="H41727" t="s">
        <v>35354</v>
      </c>
    </row>
    <row r="41728" spans="8:8">
      <c r="H41728" t="s">
        <v>35355</v>
      </c>
    </row>
    <row r="41729" spans="1:8">
      <c r="H41729" t="s">
        <v>24966</v>
      </c>
    </row>
    <row r="41730" spans="1:8">
      <c r="H41730" t="s">
        <v>35356</v>
      </c>
    </row>
    <row r="41731" spans="1:8">
      <c r="H41731" t="s">
        <v>35357</v>
      </c>
    </row>
    <row r="41732" spans="1:8">
      <c r="H41732" t="s">
        <v>35358</v>
      </c>
    </row>
    <row r="41733" spans="1:8">
      <c r="H41733" t="s">
        <v>35359</v>
      </c>
    </row>
    <row r="41734" spans="1:8">
      <c r="A41734" t="s">
        <v>3507</v>
      </c>
      <c r="B41734">
        <f>HYPERLINK("https://android.googlesource.com/platform/cts/+/1e7db08346f5634967f8328fd48a265c6d7b001b", "1e7db08346f5634967f8328fd48a265c6d7b001b")</f>
        <v>0</v>
      </c>
      <c r="C41734">
        <f>HYPERLINK("https://android.googlesource.com/platform/cts/+/ce5ac3c10780be2aab4f37342150eca46cc415d7", "ce5ac3c10780be2aab4f37342150eca46cc415d7")</f>
        <v>0</v>
      </c>
      <c r="D41734" t="s">
        <v>5577</v>
      </c>
      <c r="E41734" t="s">
        <v>9201</v>
      </c>
      <c r="F41734" t="s">
        <v>13972</v>
      </c>
      <c r="G41734" t="s">
        <v>17997</v>
      </c>
      <c r="H41734" t="s">
        <v>35364</v>
      </c>
    </row>
    <row r="41735" spans="1:8">
      <c r="H41735" t="s">
        <v>35365</v>
      </c>
    </row>
    <row r="41736" spans="1:8">
      <c r="H41736" t="s">
        <v>35366</v>
      </c>
    </row>
    <row r="41737" spans="1:8">
      <c r="H41737" t="s">
        <v>35367</v>
      </c>
    </row>
    <row r="41738" spans="1:8">
      <c r="H41738" t="s">
        <v>35368</v>
      </c>
    </row>
    <row r="41739" spans="1:8">
      <c r="H41739" t="s">
        <v>35369</v>
      </c>
    </row>
    <row r="41740" spans="1:8">
      <c r="A41740" t="s">
        <v>3508</v>
      </c>
      <c r="B41740">
        <f>HYPERLINK("https://android.googlesource.com/platform/cts/+/6955d33cabced75ae1992638d0c2b7d2986ff53a", "6955d33cabced75ae1992638d0c2b7d2986ff53a")</f>
        <v>0</v>
      </c>
      <c r="C41740">
        <f>HYPERLINK("https://android.googlesource.com/platform/cts/+/0d43f7e9de7b3a689ec72a2db259160540f9a4f4", "0d43f7e9de7b3a689ec72a2db259160540f9a4f4")</f>
        <v>0</v>
      </c>
      <c r="D41740" t="s">
        <v>5576</v>
      </c>
      <c r="E41740" t="s">
        <v>9202</v>
      </c>
      <c r="F41740" t="s">
        <v>13857</v>
      </c>
      <c r="G41740" t="s">
        <v>17899</v>
      </c>
      <c r="H41740" t="s">
        <v>18829</v>
      </c>
    </row>
    <row r="41741" spans="1:8">
      <c r="H41741" t="s">
        <v>18863</v>
      </c>
    </row>
    <row r="41742" spans="1:8">
      <c r="H41742" t="s">
        <v>34807</v>
      </c>
    </row>
    <row r="41743" spans="1:8">
      <c r="H41743" t="s">
        <v>34808</v>
      </c>
    </row>
    <row r="41744" spans="1:8">
      <c r="H41744" t="s">
        <v>34809</v>
      </c>
    </row>
    <row r="41745" spans="6:8">
      <c r="H41745" t="s">
        <v>34810</v>
      </c>
    </row>
    <row r="41746" spans="6:8">
      <c r="H41746" t="s">
        <v>34811</v>
      </c>
    </row>
    <row r="41747" spans="6:8">
      <c r="H41747" t="s">
        <v>34812</v>
      </c>
    </row>
    <row r="41748" spans="6:8">
      <c r="H41748" t="s">
        <v>34813</v>
      </c>
    </row>
    <row r="41749" spans="6:8">
      <c r="F41749" t="s">
        <v>13976</v>
      </c>
      <c r="G41749" t="s">
        <v>18001</v>
      </c>
      <c r="H41749" t="s">
        <v>18829</v>
      </c>
    </row>
    <row r="41750" spans="6:8">
      <c r="H41750" t="s">
        <v>18863</v>
      </c>
    </row>
    <row r="41751" spans="6:8">
      <c r="H41751" t="s">
        <v>34814</v>
      </c>
    </row>
    <row r="41752" spans="6:8">
      <c r="H41752" t="s">
        <v>34815</v>
      </c>
    </row>
    <row r="41753" spans="6:8">
      <c r="H41753" t="s">
        <v>34816</v>
      </c>
    </row>
    <row r="41754" spans="6:8">
      <c r="H41754" t="s">
        <v>34817</v>
      </c>
    </row>
    <row r="41755" spans="6:8">
      <c r="H41755" t="s">
        <v>34818</v>
      </c>
    </row>
    <row r="41756" spans="6:8">
      <c r="H41756" t="s">
        <v>34819</v>
      </c>
    </row>
    <row r="41757" spans="6:8">
      <c r="H41757" t="s">
        <v>34820</v>
      </c>
    </row>
    <row r="41758" spans="6:8">
      <c r="H41758" t="s">
        <v>34821</v>
      </c>
    </row>
    <row r="41759" spans="6:8">
      <c r="H41759" t="s">
        <v>34822</v>
      </c>
    </row>
    <row r="41760" spans="6:8">
      <c r="F41760" t="s">
        <v>13977</v>
      </c>
      <c r="G41760" t="s">
        <v>18002</v>
      </c>
      <c r="H41760" t="s">
        <v>34823</v>
      </c>
    </row>
    <row r="41761" spans="8:8">
      <c r="H41761" t="s">
        <v>18930</v>
      </c>
    </row>
    <row r="41762" spans="8:8">
      <c r="H41762" t="s">
        <v>19372</v>
      </c>
    </row>
    <row r="41763" spans="8:8">
      <c r="H41763" t="s">
        <v>34824</v>
      </c>
    </row>
    <row r="41764" spans="8:8">
      <c r="H41764" t="s">
        <v>34825</v>
      </c>
    </row>
    <row r="41765" spans="8:8">
      <c r="H41765" t="s">
        <v>34826</v>
      </c>
    </row>
    <row r="41766" spans="8:8">
      <c r="H41766" t="s">
        <v>34827</v>
      </c>
    </row>
    <row r="41767" spans="8:8">
      <c r="H41767" t="s">
        <v>31669</v>
      </c>
    </row>
    <row r="41768" spans="8:8">
      <c r="H41768" t="s">
        <v>32387</v>
      </c>
    </row>
    <row r="41769" spans="8:8">
      <c r="H41769" t="s">
        <v>34828</v>
      </c>
    </row>
    <row r="41770" spans="8:8">
      <c r="H41770" t="s">
        <v>31986</v>
      </c>
    </row>
    <row r="41771" spans="8:8">
      <c r="H41771" t="s">
        <v>34829</v>
      </c>
    </row>
    <row r="41772" spans="8:8">
      <c r="H41772" t="s">
        <v>34830</v>
      </c>
    </row>
    <row r="41773" spans="8:8">
      <c r="H41773" t="s">
        <v>34831</v>
      </c>
    </row>
    <row r="41774" spans="8:8">
      <c r="H41774" t="s">
        <v>34832</v>
      </c>
    </row>
    <row r="41775" spans="8:8">
      <c r="H41775" t="s">
        <v>18829</v>
      </c>
    </row>
    <row r="41776" spans="8:8">
      <c r="H41776" t="s">
        <v>18863</v>
      </c>
    </row>
    <row r="41777" spans="6:8">
      <c r="H41777" t="s">
        <v>33907</v>
      </c>
    </row>
    <row r="41778" spans="6:8">
      <c r="H41778" t="s">
        <v>33908</v>
      </c>
    </row>
    <row r="41779" spans="6:8">
      <c r="F41779" t="s">
        <v>12416</v>
      </c>
      <c r="G41779" t="s">
        <v>16638</v>
      </c>
      <c r="H41779" t="s">
        <v>26496</v>
      </c>
    </row>
    <row r="41780" spans="6:8">
      <c r="H41780" t="s">
        <v>18829</v>
      </c>
    </row>
    <row r="41781" spans="6:8">
      <c r="H41781" t="s">
        <v>18863</v>
      </c>
    </row>
    <row r="41782" spans="6:8">
      <c r="H41782" t="s">
        <v>34833</v>
      </c>
    </row>
    <row r="41783" spans="6:8">
      <c r="H41783" t="s">
        <v>34834</v>
      </c>
    </row>
    <row r="41784" spans="6:8">
      <c r="H41784" t="s">
        <v>34835</v>
      </c>
    </row>
    <row r="41785" spans="6:8">
      <c r="H41785" t="s">
        <v>29215</v>
      </c>
    </row>
    <row r="41786" spans="6:8">
      <c r="H41786" t="s">
        <v>27130</v>
      </c>
    </row>
    <row r="41787" spans="6:8">
      <c r="H41787" t="s">
        <v>34836</v>
      </c>
    </row>
    <row r="41788" spans="6:8">
      <c r="H41788" t="s">
        <v>34837</v>
      </c>
    </row>
    <row r="41789" spans="6:8">
      <c r="H41789" t="s">
        <v>34838</v>
      </c>
    </row>
    <row r="41790" spans="6:8">
      <c r="H41790" t="s">
        <v>34839</v>
      </c>
    </row>
    <row r="41791" spans="6:8">
      <c r="H41791" t="s">
        <v>34840</v>
      </c>
    </row>
    <row r="41792" spans="6:8">
      <c r="H41792" t="s">
        <v>34841</v>
      </c>
    </row>
    <row r="41793" spans="8:8">
      <c r="H41793" t="s">
        <v>34842</v>
      </c>
    </row>
    <row r="41794" spans="8:8">
      <c r="H41794" t="s">
        <v>34843</v>
      </c>
    </row>
    <row r="41795" spans="8:8">
      <c r="H41795" t="s">
        <v>34844</v>
      </c>
    </row>
    <row r="41796" spans="8:8">
      <c r="H41796" t="s">
        <v>34845</v>
      </c>
    </row>
    <row r="41797" spans="8:8">
      <c r="H41797" t="s">
        <v>34846</v>
      </c>
    </row>
    <row r="41798" spans="8:8">
      <c r="H41798" t="s">
        <v>34847</v>
      </c>
    </row>
    <row r="41799" spans="8:8">
      <c r="H41799" t="s">
        <v>31500</v>
      </c>
    </row>
    <row r="41800" spans="8:8">
      <c r="H41800" t="s">
        <v>34848</v>
      </c>
    </row>
    <row r="41801" spans="8:8">
      <c r="H41801" t="s">
        <v>34051</v>
      </c>
    </row>
    <row r="41802" spans="8:8">
      <c r="H41802" t="s">
        <v>34052</v>
      </c>
    </row>
    <row r="41803" spans="8:8">
      <c r="H41803" t="s">
        <v>34849</v>
      </c>
    </row>
    <row r="41804" spans="8:8">
      <c r="H41804" t="s">
        <v>34850</v>
      </c>
    </row>
    <row r="41805" spans="8:8">
      <c r="H41805" t="s">
        <v>34851</v>
      </c>
    </row>
    <row r="41806" spans="8:8">
      <c r="H41806" t="s">
        <v>26751</v>
      </c>
    </row>
    <row r="41807" spans="8:8">
      <c r="H41807" t="s">
        <v>34852</v>
      </c>
    </row>
    <row r="41808" spans="8:8">
      <c r="H41808" t="s">
        <v>34853</v>
      </c>
    </row>
    <row r="41809" spans="8:8">
      <c r="H41809" t="s">
        <v>34854</v>
      </c>
    </row>
    <row r="41810" spans="8:8">
      <c r="H41810" t="s">
        <v>34855</v>
      </c>
    </row>
    <row r="41811" spans="8:8">
      <c r="H41811" t="s">
        <v>34856</v>
      </c>
    </row>
    <row r="41812" spans="8:8">
      <c r="H41812" t="s">
        <v>34857</v>
      </c>
    </row>
    <row r="41813" spans="8:8">
      <c r="H41813" t="s">
        <v>34858</v>
      </c>
    </row>
    <row r="41814" spans="8:8">
      <c r="H41814" t="s">
        <v>34859</v>
      </c>
    </row>
    <row r="41815" spans="8:8">
      <c r="H41815" t="s">
        <v>34860</v>
      </c>
    </row>
    <row r="41816" spans="8:8">
      <c r="H41816" t="s">
        <v>34861</v>
      </c>
    </row>
    <row r="41817" spans="8:8">
      <c r="H41817" t="s">
        <v>34862</v>
      </c>
    </row>
    <row r="41818" spans="8:8">
      <c r="H41818" t="s">
        <v>34863</v>
      </c>
    </row>
    <row r="41819" spans="8:8">
      <c r="H41819" t="s">
        <v>34864</v>
      </c>
    </row>
    <row r="41820" spans="8:8">
      <c r="H41820" t="s">
        <v>34865</v>
      </c>
    </row>
    <row r="41821" spans="8:8">
      <c r="H41821" t="s">
        <v>34866</v>
      </c>
    </row>
    <row r="41822" spans="8:8">
      <c r="H41822" t="s">
        <v>34866</v>
      </c>
    </row>
    <row r="41823" spans="8:8">
      <c r="H41823" t="s">
        <v>34867</v>
      </c>
    </row>
    <row r="41824" spans="8:8">
      <c r="H41824" t="s">
        <v>34868</v>
      </c>
    </row>
    <row r="41825" spans="6:8">
      <c r="H41825" t="s">
        <v>34869</v>
      </c>
    </row>
    <row r="41826" spans="6:8">
      <c r="H41826" t="s">
        <v>19019</v>
      </c>
    </row>
    <row r="41827" spans="6:8">
      <c r="H41827" t="s">
        <v>34870</v>
      </c>
    </row>
    <row r="41828" spans="6:8">
      <c r="H41828" t="s">
        <v>32277</v>
      </c>
    </row>
    <row r="41829" spans="6:8">
      <c r="H41829" t="s">
        <v>19019</v>
      </c>
    </row>
    <row r="41830" spans="6:8">
      <c r="H41830" t="s">
        <v>24966</v>
      </c>
    </row>
    <row r="41831" spans="6:8">
      <c r="F41831" t="s">
        <v>14304</v>
      </c>
      <c r="G41831" t="s">
        <v>18262</v>
      </c>
      <c r="H41831" t="s">
        <v>20244</v>
      </c>
    </row>
    <row r="41832" spans="6:8">
      <c r="H41832" t="s">
        <v>19233</v>
      </c>
    </row>
    <row r="41833" spans="6:8">
      <c r="H41833" t="s">
        <v>18829</v>
      </c>
    </row>
    <row r="41834" spans="6:8">
      <c r="H41834" t="s">
        <v>34871</v>
      </c>
    </row>
    <row r="41835" spans="6:8">
      <c r="H41835" t="s">
        <v>25643</v>
      </c>
    </row>
    <row r="41836" spans="6:8">
      <c r="H41836" t="s">
        <v>31039</v>
      </c>
    </row>
    <row r="41837" spans="6:8">
      <c r="H41837" t="s">
        <v>34872</v>
      </c>
    </row>
    <row r="41838" spans="6:8">
      <c r="H41838" t="s">
        <v>34873</v>
      </c>
    </row>
    <row r="41839" spans="6:8">
      <c r="H41839" t="s">
        <v>34874</v>
      </c>
    </row>
    <row r="41840" spans="6:8">
      <c r="H41840" t="s">
        <v>34875</v>
      </c>
    </row>
    <row r="41841" spans="6:8">
      <c r="H41841" t="s">
        <v>31037</v>
      </c>
    </row>
    <row r="41842" spans="6:8">
      <c r="F41842" t="s">
        <v>13941</v>
      </c>
      <c r="G41842" t="s">
        <v>17972</v>
      </c>
      <c r="H41842" t="s">
        <v>18829</v>
      </c>
    </row>
    <row r="41843" spans="6:8">
      <c r="H41843" t="s">
        <v>32340</v>
      </c>
    </row>
    <row r="41844" spans="6:8">
      <c r="H41844" t="s">
        <v>32342</v>
      </c>
    </row>
    <row r="41845" spans="6:8">
      <c r="H41845" t="s">
        <v>32341</v>
      </c>
    </row>
    <row r="41846" spans="6:8">
      <c r="H41846" t="s">
        <v>32343</v>
      </c>
    </row>
    <row r="41847" spans="6:8">
      <c r="F41847" t="s">
        <v>14305</v>
      </c>
      <c r="G41847" t="s">
        <v>18005</v>
      </c>
      <c r="H41847" t="s">
        <v>19981</v>
      </c>
    </row>
    <row r="41848" spans="6:8">
      <c r="H41848" t="s">
        <v>34876</v>
      </c>
    </row>
    <row r="41849" spans="6:8">
      <c r="H41849" t="s">
        <v>34877</v>
      </c>
    </row>
    <row r="41850" spans="6:8">
      <c r="H41850" t="s">
        <v>34878</v>
      </c>
    </row>
    <row r="41851" spans="6:8">
      <c r="H41851" t="s">
        <v>34879</v>
      </c>
    </row>
    <row r="41852" spans="6:8">
      <c r="F41852" t="s">
        <v>14234</v>
      </c>
      <c r="G41852" t="s">
        <v>18204</v>
      </c>
      <c r="H41852" t="s">
        <v>18829</v>
      </c>
    </row>
    <row r="41853" spans="6:8">
      <c r="H41853" t="s">
        <v>18863</v>
      </c>
    </row>
    <row r="41854" spans="6:8">
      <c r="H41854" t="s">
        <v>34880</v>
      </c>
    </row>
    <row r="41855" spans="6:8">
      <c r="H41855" t="s">
        <v>34881</v>
      </c>
    </row>
    <row r="41856" spans="6:8">
      <c r="H41856" t="s">
        <v>34882</v>
      </c>
    </row>
    <row r="41857" spans="8:8">
      <c r="H41857" t="s">
        <v>34883</v>
      </c>
    </row>
    <row r="41858" spans="8:8">
      <c r="H41858" t="s">
        <v>34884</v>
      </c>
    </row>
    <row r="41859" spans="8:8">
      <c r="H41859" t="s">
        <v>34885</v>
      </c>
    </row>
    <row r="41860" spans="8:8">
      <c r="H41860" t="s">
        <v>34886</v>
      </c>
    </row>
    <row r="41861" spans="8:8">
      <c r="H41861" t="s">
        <v>34887</v>
      </c>
    </row>
    <row r="41862" spans="8:8">
      <c r="H41862" t="s">
        <v>34888</v>
      </c>
    </row>
    <row r="41863" spans="8:8">
      <c r="H41863" t="s">
        <v>34889</v>
      </c>
    </row>
    <row r="41864" spans="8:8">
      <c r="H41864" t="s">
        <v>34890</v>
      </c>
    </row>
    <row r="41865" spans="8:8">
      <c r="H41865" t="s">
        <v>34891</v>
      </c>
    </row>
    <row r="41866" spans="8:8">
      <c r="H41866" t="s">
        <v>34891</v>
      </c>
    </row>
    <row r="41867" spans="8:8">
      <c r="H41867" t="s">
        <v>34892</v>
      </c>
    </row>
    <row r="41868" spans="8:8">
      <c r="H41868" t="s">
        <v>34893</v>
      </c>
    </row>
    <row r="41869" spans="8:8">
      <c r="H41869" t="s">
        <v>34894</v>
      </c>
    </row>
    <row r="41870" spans="8:8">
      <c r="H41870" t="s">
        <v>34895</v>
      </c>
    </row>
    <row r="41871" spans="8:8">
      <c r="H41871" t="s">
        <v>34896</v>
      </c>
    </row>
    <row r="41872" spans="8:8">
      <c r="H41872" t="s">
        <v>34897</v>
      </c>
    </row>
    <row r="41873" spans="6:8">
      <c r="H41873" t="s">
        <v>34898</v>
      </c>
    </row>
    <row r="41874" spans="6:8">
      <c r="H41874" t="s">
        <v>34899</v>
      </c>
    </row>
    <row r="41875" spans="6:8">
      <c r="H41875" t="s">
        <v>34900</v>
      </c>
    </row>
    <row r="41876" spans="6:8">
      <c r="H41876" t="s">
        <v>34900</v>
      </c>
    </row>
    <row r="41877" spans="6:8">
      <c r="H41877" t="s">
        <v>34901</v>
      </c>
    </row>
    <row r="41878" spans="6:8">
      <c r="H41878" t="s">
        <v>34902</v>
      </c>
    </row>
    <row r="41879" spans="6:8">
      <c r="H41879" t="s">
        <v>34020</v>
      </c>
    </row>
    <row r="41880" spans="6:8">
      <c r="H41880" t="s">
        <v>34903</v>
      </c>
    </row>
    <row r="41881" spans="6:8">
      <c r="H41881" t="s">
        <v>19019</v>
      </c>
    </row>
    <row r="41882" spans="6:8">
      <c r="H41882" t="s">
        <v>34904</v>
      </c>
    </row>
    <row r="41883" spans="6:8">
      <c r="F41883" t="s">
        <v>10700</v>
      </c>
      <c r="G41883" t="s">
        <v>15100</v>
      </c>
      <c r="H41883" t="s">
        <v>18829</v>
      </c>
    </row>
    <row r="41884" spans="6:8">
      <c r="H41884" t="s">
        <v>18863</v>
      </c>
    </row>
    <row r="41885" spans="6:8">
      <c r="H41885" t="s">
        <v>34905</v>
      </c>
    </row>
    <row r="41886" spans="6:8">
      <c r="H41886" t="s">
        <v>34906</v>
      </c>
    </row>
    <row r="41887" spans="6:8">
      <c r="H41887" t="s">
        <v>22508</v>
      </c>
    </row>
    <row r="41888" spans="6:8">
      <c r="H41888" t="s">
        <v>34907</v>
      </c>
    </row>
    <row r="41889" spans="8:8">
      <c r="H41889" t="s">
        <v>34908</v>
      </c>
    </row>
    <row r="41890" spans="8:8">
      <c r="H41890" t="s">
        <v>34909</v>
      </c>
    </row>
    <row r="41891" spans="8:8">
      <c r="H41891" t="s">
        <v>34910</v>
      </c>
    </row>
    <row r="41892" spans="8:8">
      <c r="H41892" t="s">
        <v>34911</v>
      </c>
    </row>
    <row r="41893" spans="8:8">
      <c r="H41893" t="s">
        <v>34912</v>
      </c>
    </row>
    <row r="41894" spans="8:8">
      <c r="H41894" t="s">
        <v>34913</v>
      </c>
    </row>
    <row r="41895" spans="8:8">
      <c r="H41895" t="s">
        <v>34914</v>
      </c>
    </row>
    <row r="41896" spans="8:8">
      <c r="H41896" t="s">
        <v>34915</v>
      </c>
    </row>
    <row r="41897" spans="8:8">
      <c r="H41897" t="s">
        <v>34916</v>
      </c>
    </row>
    <row r="41898" spans="8:8">
      <c r="H41898" t="s">
        <v>34917</v>
      </c>
    </row>
    <row r="41899" spans="8:8">
      <c r="H41899" t="s">
        <v>25838</v>
      </c>
    </row>
    <row r="41900" spans="8:8">
      <c r="H41900" t="s">
        <v>34918</v>
      </c>
    </row>
    <row r="41901" spans="8:8">
      <c r="H41901" t="s">
        <v>34919</v>
      </c>
    </row>
    <row r="41902" spans="8:8">
      <c r="H41902" t="s">
        <v>34920</v>
      </c>
    </row>
    <row r="41903" spans="8:8">
      <c r="H41903" t="s">
        <v>25839</v>
      </c>
    </row>
    <row r="41904" spans="8:8">
      <c r="H41904" t="s">
        <v>27479</v>
      </c>
    </row>
    <row r="41905" spans="8:8">
      <c r="H41905" t="s">
        <v>32382</v>
      </c>
    </row>
    <row r="41906" spans="8:8">
      <c r="H41906" t="s">
        <v>34921</v>
      </c>
    </row>
    <row r="41907" spans="8:8">
      <c r="H41907" t="s">
        <v>34922</v>
      </c>
    </row>
    <row r="41908" spans="8:8">
      <c r="H41908" t="s">
        <v>34923</v>
      </c>
    </row>
    <row r="41909" spans="8:8">
      <c r="H41909" t="s">
        <v>34924</v>
      </c>
    </row>
    <row r="41910" spans="8:8">
      <c r="H41910" t="s">
        <v>34925</v>
      </c>
    </row>
    <row r="41911" spans="8:8">
      <c r="H41911" t="s">
        <v>34926</v>
      </c>
    </row>
    <row r="41912" spans="8:8">
      <c r="H41912" t="s">
        <v>34927</v>
      </c>
    </row>
    <row r="41913" spans="8:8">
      <c r="H41913" t="s">
        <v>34928</v>
      </c>
    </row>
    <row r="41914" spans="8:8">
      <c r="H41914" t="s">
        <v>34929</v>
      </c>
    </row>
    <row r="41915" spans="8:8">
      <c r="H41915" t="s">
        <v>34930</v>
      </c>
    </row>
    <row r="41916" spans="8:8">
      <c r="H41916" t="s">
        <v>34931</v>
      </c>
    </row>
    <row r="41917" spans="8:8">
      <c r="H41917" t="s">
        <v>34932</v>
      </c>
    </row>
    <row r="41918" spans="8:8">
      <c r="H41918" t="s">
        <v>34933</v>
      </c>
    </row>
    <row r="41919" spans="8:8">
      <c r="H41919" t="s">
        <v>34934</v>
      </c>
    </row>
    <row r="41920" spans="8:8">
      <c r="H41920" t="s">
        <v>34935</v>
      </c>
    </row>
    <row r="41921" spans="8:8">
      <c r="H41921" t="s">
        <v>34676</v>
      </c>
    </row>
    <row r="41922" spans="8:8">
      <c r="H41922" t="s">
        <v>34936</v>
      </c>
    </row>
    <row r="41923" spans="8:8">
      <c r="H41923" t="s">
        <v>34937</v>
      </c>
    </row>
    <row r="41924" spans="8:8">
      <c r="H41924" t="s">
        <v>34938</v>
      </c>
    </row>
    <row r="41925" spans="8:8">
      <c r="H41925" t="s">
        <v>19372</v>
      </c>
    </row>
    <row r="41926" spans="8:8">
      <c r="H41926" t="s">
        <v>18930</v>
      </c>
    </row>
    <row r="41927" spans="8:8">
      <c r="H41927" t="s">
        <v>34939</v>
      </c>
    </row>
    <row r="41928" spans="8:8">
      <c r="H41928" t="s">
        <v>34940</v>
      </c>
    </row>
    <row r="41929" spans="8:8">
      <c r="H41929" t="s">
        <v>20177</v>
      </c>
    </row>
    <row r="41930" spans="8:8">
      <c r="H41930" t="s">
        <v>33901</v>
      </c>
    </row>
    <row r="41931" spans="8:8">
      <c r="H41931" t="s">
        <v>34827</v>
      </c>
    </row>
    <row r="41932" spans="8:8">
      <c r="H41932" t="s">
        <v>34941</v>
      </c>
    </row>
    <row r="41933" spans="8:8">
      <c r="H41933" t="s">
        <v>34942</v>
      </c>
    </row>
    <row r="41934" spans="8:8">
      <c r="H41934" t="s">
        <v>34943</v>
      </c>
    </row>
    <row r="41935" spans="8:8">
      <c r="H41935" t="s">
        <v>34944</v>
      </c>
    </row>
    <row r="41936" spans="8:8">
      <c r="H41936" t="s">
        <v>34945</v>
      </c>
    </row>
    <row r="41937" spans="8:8">
      <c r="H41937" t="s">
        <v>34946</v>
      </c>
    </row>
    <row r="41938" spans="8:8">
      <c r="H41938" t="s">
        <v>34947</v>
      </c>
    </row>
    <row r="41939" spans="8:8">
      <c r="H41939" t="s">
        <v>34948</v>
      </c>
    </row>
    <row r="41940" spans="8:8">
      <c r="H41940" t="s">
        <v>34949</v>
      </c>
    </row>
    <row r="41941" spans="8:8">
      <c r="H41941" t="s">
        <v>34950</v>
      </c>
    </row>
    <row r="41942" spans="8:8">
      <c r="H41942" t="s">
        <v>34951</v>
      </c>
    </row>
    <row r="41943" spans="8:8">
      <c r="H41943" t="s">
        <v>34952</v>
      </c>
    </row>
    <row r="41944" spans="8:8">
      <c r="H41944" t="s">
        <v>34953</v>
      </c>
    </row>
    <row r="41945" spans="8:8">
      <c r="H41945" t="s">
        <v>34954</v>
      </c>
    </row>
    <row r="41946" spans="8:8">
      <c r="H41946" t="s">
        <v>34955</v>
      </c>
    </row>
    <row r="41947" spans="8:8">
      <c r="H41947" t="s">
        <v>34956</v>
      </c>
    </row>
    <row r="41948" spans="8:8">
      <c r="H41948" t="s">
        <v>34957</v>
      </c>
    </row>
    <row r="41949" spans="8:8">
      <c r="H41949" t="s">
        <v>34958</v>
      </c>
    </row>
    <row r="41950" spans="8:8">
      <c r="H41950" t="s">
        <v>34959</v>
      </c>
    </row>
    <row r="41951" spans="8:8">
      <c r="H41951" t="s">
        <v>34960</v>
      </c>
    </row>
    <row r="41952" spans="8:8">
      <c r="H41952" t="s">
        <v>34006</v>
      </c>
    </row>
    <row r="41953" spans="6:8">
      <c r="H41953" t="s">
        <v>34961</v>
      </c>
    </row>
    <row r="41954" spans="6:8">
      <c r="H41954" t="s">
        <v>34962</v>
      </c>
    </row>
    <row r="41955" spans="6:8">
      <c r="H41955" t="s">
        <v>34963</v>
      </c>
    </row>
    <row r="41956" spans="6:8">
      <c r="H41956" t="s">
        <v>31668</v>
      </c>
    </row>
    <row r="41957" spans="6:8">
      <c r="H41957" t="s">
        <v>32385</v>
      </c>
    </row>
    <row r="41958" spans="6:8">
      <c r="H41958" t="s">
        <v>34964</v>
      </c>
    </row>
    <row r="41959" spans="6:8">
      <c r="H41959" t="s">
        <v>34965</v>
      </c>
    </row>
    <row r="41960" spans="6:8">
      <c r="H41960" t="s">
        <v>34966</v>
      </c>
    </row>
    <row r="41961" spans="6:8">
      <c r="F41961" t="s">
        <v>14306</v>
      </c>
      <c r="G41961" t="s">
        <v>18263</v>
      </c>
      <c r="H41961" t="s">
        <v>34967</v>
      </c>
    </row>
    <row r="41962" spans="6:8">
      <c r="F41962" t="s">
        <v>13837</v>
      </c>
      <c r="G41962" t="s">
        <v>17880</v>
      </c>
      <c r="H41962" t="s">
        <v>18829</v>
      </c>
    </row>
    <row r="41963" spans="6:8">
      <c r="H41963" t="s">
        <v>18863</v>
      </c>
    </row>
    <row r="41964" spans="6:8">
      <c r="H41964" t="s">
        <v>34968</v>
      </c>
    </row>
    <row r="41965" spans="6:8">
      <c r="H41965" t="s">
        <v>34969</v>
      </c>
    </row>
    <row r="41966" spans="6:8">
      <c r="H41966" t="s">
        <v>27735</v>
      </c>
    </row>
    <row r="41967" spans="6:8">
      <c r="H41967" t="s">
        <v>34970</v>
      </c>
    </row>
    <row r="41968" spans="6:8">
      <c r="H41968" t="s">
        <v>34971</v>
      </c>
    </row>
    <row r="41969" spans="8:8">
      <c r="H41969" t="s">
        <v>34972</v>
      </c>
    </row>
    <row r="41970" spans="8:8">
      <c r="H41970" t="s">
        <v>34973</v>
      </c>
    </row>
    <row r="41971" spans="8:8">
      <c r="H41971" t="s">
        <v>34974</v>
      </c>
    </row>
    <row r="41972" spans="8:8">
      <c r="H41972" t="s">
        <v>34975</v>
      </c>
    </row>
    <row r="41973" spans="8:8">
      <c r="H41973" t="s">
        <v>34975</v>
      </c>
    </row>
    <row r="41974" spans="8:8">
      <c r="H41974" t="s">
        <v>31970</v>
      </c>
    </row>
    <row r="41975" spans="8:8">
      <c r="H41975" t="s">
        <v>31970</v>
      </c>
    </row>
    <row r="41976" spans="8:8">
      <c r="H41976" t="s">
        <v>34976</v>
      </c>
    </row>
    <row r="41977" spans="8:8">
      <c r="H41977" t="s">
        <v>31971</v>
      </c>
    </row>
    <row r="41978" spans="8:8">
      <c r="H41978" t="s">
        <v>20177</v>
      </c>
    </row>
    <row r="41979" spans="8:8">
      <c r="H41979" t="s">
        <v>31967</v>
      </c>
    </row>
    <row r="41980" spans="8:8">
      <c r="H41980" t="s">
        <v>34977</v>
      </c>
    </row>
    <row r="41981" spans="8:8">
      <c r="H41981" t="s">
        <v>34978</v>
      </c>
    </row>
    <row r="41982" spans="8:8">
      <c r="H41982" t="s">
        <v>34979</v>
      </c>
    </row>
    <row r="41983" spans="8:8">
      <c r="H41983" t="s">
        <v>31852</v>
      </c>
    </row>
    <row r="41984" spans="8:8">
      <c r="H41984" t="s">
        <v>34980</v>
      </c>
    </row>
    <row r="41985" spans="8:8">
      <c r="H41985" t="s">
        <v>34981</v>
      </c>
    </row>
    <row r="41986" spans="8:8">
      <c r="H41986" t="s">
        <v>34982</v>
      </c>
    </row>
    <row r="41987" spans="8:8">
      <c r="H41987" t="s">
        <v>34983</v>
      </c>
    </row>
    <row r="41988" spans="8:8">
      <c r="H41988" t="s">
        <v>34984</v>
      </c>
    </row>
    <row r="41989" spans="8:8">
      <c r="H41989" t="s">
        <v>34985</v>
      </c>
    </row>
    <row r="41990" spans="8:8">
      <c r="H41990" t="s">
        <v>34986</v>
      </c>
    </row>
    <row r="41991" spans="8:8">
      <c r="H41991" t="s">
        <v>34987</v>
      </c>
    </row>
    <row r="41992" spans="8:8">
      <c r="H41992" t="s">
        <v>34988</v>
      </c>
    </row>
    <row r="41993" spans="8:8">
      <c r="H41993" t="s">
        <v>34989</v>
      </c>
    </row>
    <row r="41994" spans="8:8">
      <c r="H41994" t="s">
        <v>34990</v>
      </c>
    </row>
    <row r="41995" spans="8:8">
      <c r="H41995" t="s">
        <v>34991</v>
      </c>
    </row>
    <row r="41996" spans="8:8">
      <c r="H41996" t="s">
        <v>34992</v>
      </c>
    </row>
    <row r="41997" spans="8:8">
      <c r="H41997" t="s">
        <v>34993</v>
      </c>
    </row>
    <row r="41998" spans="8:8">
      <c r="H41998" t="s">
        <v>34994</v>
      </c>
    </row>
    <row r="41999" spans="8:8">
      <c r="H41999" t="s">
        <v>34995</v>
      </c>
    </row>
    <row r="42000" spans="8:8">
      <c r="H42000" t="s">
        <v>34996</v>
      </c>
    </row>
    <row r="42001" spans="8:8">
      <c r="H42001" t="s">
        <v>34997</v>
      </c>
    </row>
    <row r="42002" spans="8:8">
      <c r="H42002" t="s">
        <v>31970</v>
      </c>
    </row>
    <row r="42003" spans="8:8">
      <c r="H42003" t="s">
        <v>34976</v>
      </c>
    </row>
    <row r="42004" spans="8:8">
      <c r="H42004" t="s">
        <v>34998</v>
      </c>
    </row>
    <row r="42005" spans="8:8">
      <c r="H42005" t="s">
        <v>34999</v>
      </c>
    </row>
    <row r="42006" spans="8:8">
      <c r="H42006" t="s">
        <v>35000</v>
      </c>
    </row>
    <row r="42007" spans="8:8">
      <c r="H42007" t="s">
        <v>35001</v>
      </c>
    </row>
    <row r="42008" spans="8:8">
      <c r="H42008" t="s">
        <v>31971</v>
      </c>
    </row>
    <row r="42009" spans="8:8">
      <c r="H42009" t="s">
        <v>20177</v>
      </c>
    </row>
    <row r="42010" spans="8:8">
      <c r="H42010" t="s">
        <v>35002</v>
      </c>
    </row>
    <row r="42011" spans="8:8">
      <c r="H42011" t="s">
        <v>35003</v>
      </c>
    </row>
    <row r="42012" spans="8:8">
      <c r="H42012" t="s">
        <v>35004</v>
      </c>
    </row>
    <row r="42013" spans="8:8">
      <c r="H42013" t="s">
        <v>35005</v>
      </c>
    </row>
    <row r="42014" spans="8:8">
      <c r="H42014" t="s">
        <v>35006</v>
      </c>
    </row>
    <row r="42015" spans="8:8">
      <c r="H42015" t="s">
        <v>35007</v>
      </c>
    </row>
    <row r="42016" spans="8:8">
      <c r="H42016" t="s">
        <v>35008</v>
      </c>
    </row>
    <row r="42017" spans="6:8">
      <c r="H42017" t="s">
        <v>35009</v>
      </c>
    </row>
    <row r="42018" spans="6:8">
      <c r="H42018" t="s">
        <v>35010</v>
      </c>
    </row>
    <row r="42019" spans="6:8">
      <c r="H42019" t="s">
        <v>35011</v>
      </c>
    </row>
    <row r="42020" spans="6:8">
      <c r="H42020" t="s">
        <v>35012</v>
      </c>
    </row>
    <row r="42021" spans="6:8">
      <c r="H42021" t="s">
        <v>35013</v>
      </c>
    </row>
    <row r="42022" spans="6:8">
      <c r="H42022" t="s">
        <v>35014</v>
      </c>
    </row>
    <row r="42023" spans="6:8">
      <c r="H42023" t="s">
        <v>35015</v>
      </c>
    </row>
    <row r="42024" spans="6:8">
      <c r="F42024" t="s">
        <v>12201</v>
      </c>
      <c r="G42024" t="s">
        <v>16439</v>
      </c>
      <c r="H42024" t="s">
        <v>18829</v>
      </c>
    </row>
    <row r="42025" spans="6:8">
      <c r="H42025" t="s">
        <v>21327</v>
      </c>
    </row>
    <row r="42026" spans="6:8">
      <c r="H42026" t="s">
        <v>21328</v>
      </c>
    </row>
    <row r="42027" spans="6:8">
      <c r="H42027" t="s">
        <v>35016</v>
      </c>
    </row>
    <row r="42028" spans="6:8">
      <c r="H42028" t="s">
        <v>35017</v>
      </c>
    </row>
    <row r="42029" spans="6:8">
      <c r="F42029" t="s">
        <v>14222</v>
      </c>
      <c r="G42029" t="s">
        <v>18195</v>
      </c>
      <c r="H42029" t="s">
        <v>35018</v>
      </c>
    </row>
    <row r="42030" spans="6:8">
      <c r="H42030" t="s">
        <v>18863</v>
      </c>
    </row>
    <row r="42031" spans="6:8">
      <c r="H42031" t="s">
        <v>34106</v>
      </c>
    </row>
    <row r="42032" spans="6:8">
      <c r="H42032" t="s">
        <v>35019</v>
      </c>
    </row>
    <row r="42033" spans="8:8">
      <c r="H42033" t="s">
        <v>35020</v>
      </c>
    </row>
    <row r="42034" spans="8:8">
      <c r="H42034" t="s">
        <v>35020</v>
      </c>
    </row>
    <row r="42035" spans="8:8">
      <c r="H42035" t="s">
        <v>35021</v>
      </c>
    </row>
    <row r="42036" spans="8:8">
      <c r="H42036" t="s">
        <v>35022</v>
      </c>
    </row>
    <row r="42037" spans="8:8">
      <c r="H42037" t="s">
        <v>35023</v>
      </c>
    </row>
    <row r="42038" spans="8:8">
      <c r="H42038" t="s">
        <v>35024</v>
      </c>
    </row>
    <row r="42039" spans="8:8">
      <c r="H42039" t="s">
        <v>35025</v>
      </c>
    </row>
    <row r="42040" spans="8:8">
      <c r="H42040" t="s">
        <v>35026</v>
      </c>
    </row>
    <row r="42041" spans="8:8">
      <c r="H42041" t="s">
        <v>35027</v>
      </c>
    </row>
    <row r="42042" spans="8:8">
      <c r="H42042" t="s">
        <v>35028</v>
      </c>
    </row>
    <row r="42043" spans="8:8">
      <c r="H42043" t="s">
        <v>35029</v>
      </c>
    </row>
    <row r="42044" spans="8:8">
      <c r="H42044" t="s">
        <v>35030</v>
      </c>
    </row>
    <row r="42045" spans="8:8">
      <c r="H42045" t="s">
        <v>35031</v>
      </c>
    </row>
    <row r="42046" spans="8:8">
      <c r="H42046" t="s">
        <v>35032</v>
      </c>
    </row>
    <row r="42047" spans="8:8">
      <c r="H42047" t="s">
        <v>35033</v>
      </c>
    </row>
    <row r="42048" spans="8:8">
      <c r="H42048" t="s">
        <v>35034</v>
      </c>
    </row>
    <row r="42049" spans="6:8">
      <c r="H42049" t="s">
        <v>35035</v>
      </c>
    </row>
    <row r="42050" spans="6:8">
      <c r="H42050" t="s">
        <v>35036</v>
      </c>
    </row>
    <row r="42051" spans="6:8">
      <c r="H42051" t="s">
        <v>35037</v>
      </c>
    </row>
    <row r="42052" spans="6:8">
      <c r="H42052" t="s">
        <v>35038</v>
      </c>
    </row>
    <row r="42053" spans="6:8">
      <c r="H42053" t="s">
        <v>35039</v>
      </c>
    </row>
    <row r="42054" spans="6:8">
      <c r="F42054" t="s">
        <v>14307</v>
      </c>
      <c r="G42054" t="s">
        <v>18264</v>
      </c>
      <c r="H42054" t="s">
        <v>35040</v>
      </c>
    </row>
    <row r="42055" spans="6:8">
      <c r="H42055" t="s">
        <v>35041</v>
      </c>
    </row>
    <row r="42056" spans="6:8">
      <c r="H42056" t="s">
        <v>35042</v>
      </c>
    </row>
    <row r="42057" spans="6:8">
      <c r="H42057" t="s">
        <v>35043</v>
      </c>
    </row>
    <row r="42058" spans="6:8">
      <c r="H42058" t="s">
        <v>35044</v>
      </c>
    </row>
    <row r="42059" spans="6:8">
      <c r="H42059" t="s">
        <v>35045</v>
      </c>
    </row>
    <row r="42060" spans="6:8">
      <c r="H42060" t="s">
        <v>35046</v>
      </c>
    </row>
    <row r="42061" spans="6:8">
      <c r="H42061" t="s">
        <v>35047</v>
      </c>
    </row>
    <row r="42062" spans="6:8">
      <c r="F42062" t="s">
        <v>14159</v>
      </c>
      <c r="G42062" t="s">
        <v>18145</v>
      </c>
      <c r="H42062" t="s">
        <v>18829</v>
      </c>
    </row>
    <row r="42063" spans="6:8">
      <c r="H42063" t="s">
        <v>18836</v>
      </c>
    </row>
    <row r="42064" spans="6:8">
      <c r="H42064" t="s">
        <v>35048</v>
      </c>
    </row>
    <row r="42065" spans="6:8">
      <c r="H42065" t="s">
        <v>35049</v>
      </c>
    </row>
    <row r="42066" spans="6:8">
      <c r="H42066" t="s">
        <v>35050</v>
      </c>
    </row>
    <row r="42067" spans="6:8">
      <c r="F42067" t="s">
        <v>14308</v>
      </c>
      <c r="G42067" t="s">
        <v>18265</v>
      </c>
      <c r="H42067" t="s">
        <v>18829</v>
      </c>
    </row>
    <row r="42068" spans="6:8">
      <c r="H42068" t="s">
        <v>26408</v>
      </c>
    </row>
    <row r="42069" spans="6:8">
      <c r="H42069" t="s">
        <v>30464</v>
      </c>
    </row>
    <row r="42070" spans="6:8">
      <c r="H42070" t="s">
        <v>30466</v>
      </c>
    </row>
    <row r="42071" spans="6:8">
      <c r="H42071" t="s">
        <v>35051</v>
      </c>
    </row>
    <row r="42072" spans="6:8">
      <c r="H42072" t="s">
        <v>35052</v>
      </c>
    </row>
    <row r="42073" spans="6:8">
      <c r="H42073" t="s">
        <v>35053</v>
      </c>
    </row>
    <row r="42074" spans="6:8">
      <c r="H42074" t="s">
        <v>30466</v>
      </c>
    </row>
    <row r="42075" spans="6:8">
      <c r="H42075" t="s">
        <v>25704</v>
      </c>
    </row>
    <row r="42076" spans="6:8">
      <c r="H42076" t="s">
        <v>35054</v>
      </c>
    </row>
    <row r="42077" spans="6:8">
      <c r="H42077" t="s">
        <v>35055</v>
      </c>
    </row>
    <row r="42078" spans="6:8">
      <c r="H42078" t="s">
        <v>35056</v>
      </c>
    </row>
    <row r="42079" spans="6:8">
      <c r="H42079" t="s">
        <v>35057</v>
      </c>
    </row>
    <row r="42080" spans="6:8">
      <c r="H42080" t="s">
        <v>35058</v>
      </c>
    </row>
    <row r="42081" spans="8:8">
      <c r="H42081" t="s">
        <v>35059</v>
      </c>
    </row>
    <row r="42082" spans="8:8">
      <c r="H42082" t="s">
        <v>35059</v>
      </c>
    </row>
    <row r="42083" spans="8:8">
      <c r="H42083" t="s">
        <v>35052</v>
      </c>
    </row>
    <row r="42084" spans="8:8">
      <c r="H42084" t="s">
        <v>35058</v>
      </c>
    </row>
    <row r="42085" spans="8:8">
      <c r="H42085" t="s">
        <v>30466</v>
      </c>
    </row>
    <row r="42086" spans="8:8">
      <c r="H42086" t="s">
        <v>25704</v>
      </c>
    </row>
    <row r="42087" spans="8:8">
      <c r="H42087" t="s">
        <v>35053</v>
      </c>
    </row>
    <row r="42088" spans="8:8">
      <c r="H42088" t="s">
        <v>35054</v>
      </c>
    </row>
    <row r="42089" spans="8:8">
      <c r="H42089" t="s">
        <v>35055</v>
      </c>
    </row>
    <row r="42090" spans="8:8">
      <c r="H42090" t="s">
        <v>35060</v>
      </c>
    </row>
    <row r="42091" spans="8:8">
      <c r="H42091" t="s">
        <v>35052</v>
      </c>
    </row>
    <row r="42092" spans="8:8">
      <c r="H42092" t="s">
        <v>35053</v>
      </c>
    </row>
    <row r="42093" spans="8:8">
      <c r="H42093" t="s">
        <v>30466</v>
      </c>
    </row>
    <row r="42094" spans="8:8">
      <c r="H42094" t="s">
        <v>25704</v>
      </c>
    </row>
    <row r="42095" spans="8:8">
      <c r="H42095" t="s">
        <v>35054</v>
      </c>
    </row>
    <row r="42096" spans="8:8">
      <c r="H42096" t="s">
        <v>35055</v>
      </c>
    </row>
    <row r="42097" spans="8:8">
      <c r="H42097" t="s">
        <v>35061</v>
      </c>
    </row>
    <row r="42098" spans="8:8">
      <c r="H42098" t="s">
        <v>35062</v>
      </c>
    </row>
    <row r="42099" spans="8:8">
      <c r="H42099" t="s">
        <v>35063</v>
      </c>
    </row>
    <row r="42100" spans="8:8">
      <c r="H42100" t="s">
        <v>35064</v>
      </c>
    </row>
    <row r="42101" spans="8:8">
      <c r="H42101" t="s">
        <v>35065</v>
      </c>
    </row>
    <row r="42102" spans="8:8">
      <c r="H42102" t="s">
        <v>35066</v>
      </c>
    </row>
    <row r="42103" spans="8:8">
      <c r="H42103" t="s">
        <v>35067</v>
      </c>
    </row>
    <row r="42104" spans="8:8">
      <c r="H42104" t="s">
        <v>35068</v>
      </c>
    </row>
    <row r="42105" spans="8:8">
      <c r="H42105" t="s">
        <v>30465</v>
      </c>
    </row>
    <row r="42106" spans="8:8">
      <c r="H42106" t="s">
        <v>35069</v>
      </c>
    </row>
    <row r="42107" spans="8:8">
      <c r="H42107" t="s">
        <v>35070</v>
      </c>
    </row>
    <row r="42108" spans="8:8">
      <c r="H42108" t="s">
        <v>35071</v>
      </c>
    </row>
    <row r="42109" spans="8:8">
      <c r="H42109" t="s">
        <v>35072</v>
      </c>
    </row>
    <row r="42110" spans="8:8">
      <c r="H42110" t="s">
        <v>35073</v>
      </c>
    </row>
    <row r="42111" spans="8:8">
      <c r="H42111" t="s">
        <v>35074</v>
      </c>
    </row>
    <row r="42112" spans="8:8">
      <c r="H42112" t="s">
        <v>35075</v>
      </c>
    </row>
    <row r="42113" spans="6:8">
      <c r="F42113" t="s">
        <v>13309</v>
      </c>
      <c r="G42113" t="s">
        <v>17442</v>
      </c>
      <c r="H42113" t="s">
        <v>29102</v>
      </c>
    </row>
    <row r="42114" spans="6:8">
      <c r="H42114" t="s">
        <v>35076</v>
      </c>
    </row>
    <row r="42115" spans="6:8">
      <c r="H42115" t="s">
        <v>35077</v>
      </c>
    </row>
    <row r="42116" spans="6:8">
      <c r="H42116" t="s">
        <v>35078</v>
      </c>
    </row>
    <row r="42117" spans="6:8">
      <c r="H42117" t="s">
        <v>35079</v>
      </c>
    </row>
    <row r="42118" spans="6:8">
      <c r="H42118" t="s">
        <v>29103</v>
      </c>
    </row>
    <row r="42119" spans="6:8">
      <c r="H42119" t="s">
        <v>35080</v>
      </c>
    </row>
    <row r="42120" spans="6:8">
      <c r="H42120" t="s">
        <v>35081</v>
      </c>
    </row>
    <row r="42121" spans="6:8">
      <c r="H42121" t="s">
        <v>35082</v>
      </c>
    </row>
    <row r="42122" spans="6:8">
      <c r="H42122" t="s">
        <v>35083</v>
      </c>
    </row>
    <row r="42123" spans="6:8">
      <c r="H42123" t="s">
        <v>35084</v>
      </c>
    </row>
    <row r="42124" spans="6:8">
      <c r="H42124" t="s">
        <v>35085</v>
      </c>
    </row>
    <row r="42125" spans="6:8">
      <c r="H42125" t="s">
        <v>35086</v>
      </c>
    </row>
    <row r="42126" spans="6:8">
      <c r="H42126" t="s">
        <v>35087</v>
      </c>
    </row>
    <row r="42127" spans="6:8">
      <c r="H42127" t="s">
        <v>35088</v>
      </c>
    </row>
    <row r="42128" spans="6:8">
      <c r="H42128" t="s">
        <v>35089</v>
      </c>
    </row>
    <row r="42129" spans="8:8">
      <c r="H42129" t="s">
        <v>35090</v>
      </c>
    </row>
    <row r="42130" spans="8:8">
      <c r="H42130" t="s">
        <v>35091</v>
      </c>
    </row>
    <row r="42131" spans="8:8">
      <c r="H42131" t="s">
        <v>35092</v>
      </c>
    </row>
    <row r="42132" spans="8:8">
      <c r="H42132" t="s">
        <v>35093</v>
      </c>
    </row>
    <row r="42133" spans="8:8">
      <c r="H42133" t="s">
        <v>35094</v>
      </c>
    </row>
    <row r="42134" spans="8:8">
      <c r="H42134" t="s">
        <v>35095</v>
      </c>
    </row>
    <row r="42135" spans="8:8">
      <c r="H42135" t="s">
        <v>35096</v>
      </c>
    </row>
    <row r="42136" spans="8:8">
      <c r="H42136" t="s">
        <v>35097</v>
      </c>
    </row>
    <row r="42137" spans="8:8">
      <c r="H42137" t="s">
        <v>35098</v>
      </c>
    </row>
    <row r="42138" spans="8:8">
      <c r="H42138" t="s">
        <v>35099</v>
      </c>
    </row>
    <row r="42139" spans="8:8">
      <c r="H42139" t="s">
        <v>35100</v>
      </c>
    </row>
    <row r="42140" spans="8:8">
      <c r="H42140" t="s">
        <v>35101</v>
      </c>
    </row>
    <row r="42141" spans="8:8">
      <c r="H42141" t="s">
        <v>35102</v>
      </c>
    </row>
    <row r="42142" spans="8:8">
      <c r="H42142" t="s">
        <v>35103</v>
      </c>
    </row>
    <row r="42143" spans="8:8">
      <c r="H42143" t="s">
        <v>35104</v>
      </c>
    </row>
    <row r="42144" spans="8:8">
      <c r="H42144" t="s">
        <v>35105</v>
      </c>
    </row>
    <row r="42145" spans="8:8">
      <c r="H42145" t="s">
        <v>35106</v>
      </c>
    </row>
    <row r="42146" spans="8:8">
      <c r="H42146" t="s">
        <v>35107</v>
      </c>
    </row>
    <row r="42147" spans="8:8">
      <c r="H42147" t="s">
        <v>35108</v>
      </c>
    </row>
    <row r="42148" spans="8:8">
      <c r="H42148" t="s">
        <v>35109</v>
      </c>
    </row>
    <row r="42149" spans="8:8">
      <c r="H42149" t="s">
        <v>35110</v>
      </c>
    </row>
    <row r="42150" spans="8:8">
      <c r="H42150" t="s">
        <v>35111</v>
      </c>
    </row>
    <row r="42151" spans="8:8">
      <c r="H42151" t="s">
        <v>35112</v>
      </c>
    </row>
    <row r="42152" spans="8:8">
      <c r="H42152" t="s">
        <v>35113</v>
      </c>
    </row>
    <row r="42153" spans="8:8">
      <c r="H42153" t="s">
        <v>35114</v>
      </c>
    </row>
    <row r="42154" spans="8:8">
      <c r="H42154" t="s">
        <v>35115</v>
      </c>
    </row>
    <row r="42155" spans="8:8">
      <c r="H42155" t="s">
        <v>35116</v>
      </c>
    </row>
    <row r="42156" spans="8:8">
      <c r="H42156" t="s">
        <v>35117</v>
      </c>
    </row>
    <row r="42157" spans="8:8">
      <c r="H42157" t="s">
        <v>35118</v>
      </c>
    </row>
    <row r="42158" spans="8:8">
      <c r="H42158" t="s">
        <v>35119</v>
      </c>
    </row>
    <row r="42159" spans="8:8">
      <c r="H42159" t="s">
        <v>35120</v>
      </c>
    </row>
    <row r="42160" spans="8:8">
      <c r="H42160" t="s">
        <v>35121</v>
      </c>
    </row>
    <row r="42161" spans="8:8">
      <c r="H42161" t="s">
        <v>35122</v>
      </c>
    </row>
    <row r="42162" spans="8:8">
      <c r="H42162" t="s">
        <v>35123</v>
      </c>
    </row>
    <row r="42163" spans="8:8">
      <c r="H42163" t="s">
        <v>35124</v>
      </c>
    </row>
    <row r="42164" spans="8:8">
      <c r="H42164" t="s">
        <v>35125</v>
      </c>
    </row>
    <row r="42165" spans="8:8">
      <c r="H42165" t="s">
        <v>35126</v>
      </c>
    </row>
    <row r="42166" spans="8:8">
      <c r="H42166" t="s">
        <v>35127</v>
      </c>
    </row>
    <row r="42167" spans="8:8">
      <c r="H42167" t="s">
        <v>35128</v>
      </c>
    </row>
    <row r="42168" spans="8:8">
      <c r="H42168" t="s">
        <v>35129</v>
      </c>
    </row>
    <row r="42169" spans="8:8">
      <c r="H42169" t="s">
        <v>35130</v>
      </c>
    </row>
    <row r="42170" spans="8:8">
      <c r="H42170" t="s">
        <v>35131</v>
      </c>
    </row>
    <row r="42171" spans="8:8">
      <c r="H42171" t="s">
        <v>35132</v>
      </c>
    </row>
    <row r="42172" spans="8:8">
      <c r="H42172" t="s">
        <v>35133</v>
      </c>
    </row>
    <row r="42173" spans="8:8">
      <c r="H42173" t="s">
        <v>35134</v>
      </c>
    </row>
    <row r="42174" spans="8:8">
      <c r="H42174" t="s">
        <v>35135</v>
      </c>
    </row>
    <row r="42175" spans="8:8">
      <c r="H42175" t="s">
        <v>35136</v>
      </c>
    </row>
    <row r="42176" spans="8:8">
      <c r="H42176" t="s">
        <v>35137</v>
      </c>
    </row>
    <row r="42177" spans="8:8">
      <c r="H42177" t="s">
        <v>35138</v>
      </c>
    </row>
    <row r="42178" spans="8:8">
      <c r="H42178" t="s">
        <v>35139</v>
      </c>
    </row>
    <row r="42179" spans="8:8">
      <c r="H42179" t="s">
        <v>35140</v>
      </c>
    </row>
    <row r="42180" spans="8:8">
      <c r="H42180" t="s">
        <v>35141</v>
      </c>
    </row>
    <row r="42181" spans="8:8">
      <c r="H42181" t="s">
        <v>35142</v>
      </c>
    </row>
    <row r="42182" spans="8:8">
      <c r="H42182" t="s">
        <v>35143</v>
      </c>
    </row>
    <row r="42183" spans="8:8">
      <c r="H42183" t="s">
        <v>35144</v>
      </c>
    </row>
    <row r="42184" spans="8:8">
      <c r="H42184" t="s">
        <v>35145</v>
      </c>
    </row>
    <row r="42185" spans="8:8">
      <c r="H42185" t="s">
        <v>35146</v>
      </c>
    </row>
    <row r="42186" spans="8:8">
      <c r="H42186" t="s">
        <v>35147</v>
      </c>
    </row>
    <row r="42187" spans="8:8">
      <c r="H42187" t="s">
        <v>35148</v>
      </c>
    </row>
    <row r="42188" spans="8:8">
      <c r="H42188" t="s">
        <v>35149</v>
      </c>
    </row>
    <row r="42189" spans="8:8">
      <c r="H42189" t="s">
        <v>35150</v>
      </c>
    </row>
    <row r="42190" spans="8:8">
      <c r="H42190" t="s">
        <v>35151</v>
      </c>
    </row>
    <row r="42191" spans="8:8">
      <c r="H42191" t="s">
        <v>35152</v>
      </c>
    </row>
    <row r="42192" spans="8:8">
      <c r="H42192" t="s">
        <v>35153</v>
      </c>
    </row>
    <row r="42193" spans="6:8">
      <c r="H42193" t="s">
        <v>35154</v>
      </c>
    </row>
    <row r="42194" spans="6:8">
      <c r="H42194" t="s">
        <v>35155</v>
      </c>
    </row>
    <row r="42195" spans="6:8">
      <c r="H42195" t="s">
        <v>35156</v>
      </c>
    </row>
    <row r="42196" spans="6:8">
      <c r="F42196" t="s">
        <v>13928</v>
      </c>
      <c r="G42196" t="s">
        <v>17964</v>
      </c>
      <c r="H42196" t="s">
        <v>35157</v>
      </c>
    </row>
    <row r="42197" spans="6:8">
      <c r="H42197" t="s">
        <v>18829</v>
      </c>
    </row>
    <row r="42198" spans="6:8">
      <c r="H42198" t="s">
        <v>35158</v>
      </c>
    </row>
    <row r="42199" spans="6:8">
      <c r="H42199" t="s">
        <v>35159</v>
      </c>
    </row>
    <row r="42200" spans="6:8">
      <c r="H42200" t="s">
        <v>35160</v>
      </c>
    </row>
    <row r="42201" spans="6:8">
      <c r="H42201" t="s">
        <v>35161</v>
      </c>
    </row>
    <row r="42202" spans="6:8">
      <c r="H42202" t="s">
        <v>35162</v>
      </c>
    </row>
    <row r="42203" spans="6:8">
      <c r="H42203" t="s">
        <v>35162</v>
      </c>
    </row>
    <row r="42204" spans="6:8">
      <c r="H42204" t="s">
        <v>35162</v>
      </c>
    </row>
    <row r="42205" spans="6:8">
      <c r="H42205" t="s">
        <v>35163</v>
      </c>
    </row>
    <row r="42206" spans="6:8">
      <c r="H42206" t="s">
        <v>35164</v>
      </c>
    </row>
    <row r="42207" spans="6:8">
      <c r="H42207" t="s">
        <v>35165</v>
      </c>
    </row>
    <row r="42208" spans="6:8">
      <c r="H42208" t="s">
        <v>35166</v>
      </c>
    </row>
    <row r="42209" spans="8:8">
      <c r="H42209" t="s">
        <v>35167</v>
      </c>
    </row>
    <row r="42210" spans="8:8">
      <c r="H42210" t="s">
        <v>35168</v>
      </c>
    </row>
    <row r="42211" spans="8:8">
      <c r="H42211" t="s">
        <v>35169</v>
      </c>
    </row>
    <row r="42212" spans="8:8">
      <c r="H42212" t="s">
        <v>35170</v>
      </c>
    </row>
    <row r="42213" spans="8:8">
      <c r="H42213" t="s">
        <v>35171</v>
      </c>
    </row>
    <row r="42214" spans="8:8">
      <c r="H42214" t="s">
        <v>35172</v>
      </c>
    </row>
    <row r="42215" spans="8:8">
      <c r="H42215" t="s">
        <v>35173</v>
      </c>
    </row>
    <row r="42216" spans="8:8">
      <c r="H42216" t="s">
        <v>35174</v>
      </c>
    </row>
    <row r="42217" spans="8:8">
      <c r="H42217" t="s">
        <v>35175</v>
      </c>
    </row>
    <row r="42218" spans="8:8">
      <c r="H42218" t="s">
        <v>35176</v>
      </c>
    </row>
    <row r="42219" spans="8:8">
      <c r="H42219" t="s">
        <v>35177</v>
      </c>
    </row>
    <row r="42220" spans="8:8">
      <c r="H42220" t="s">
        <v>35178</v>
      </c>
    </row>
    <row r="42221" spans="8:8">
      <c r="H42221" t="s">
        <v>35179</v>
      </c>
    </row>
    <row r="42222" spans="8:8">
      <c r="H42222" t="s">
        <v>35180</v>
      </c>
    </row>
    <row r="42223" spans="8:8">
      <c r="H42223" t="s">
        <v>35181</v>
      </c>
    </row>
    <row r="42224" spans="8:8">
      <c r="H42224" t="s">
        <v>35182</v>
      </c>
    </row>
    <row r="42225" spans="8:8">
      <c r="H42225" t="s">
        <v>35183</v>
      </c>
    </row>
    <row r="42226" spans="8:8">
      <c r="H42226" t="s">
        <v>35184</v>
      </c>
    </row>
    <row r="42227" spans="8:8">
      <c r="H42227" t="s">
        <v>35185</v>
      </c>
    </row>
    <row r="42228" spans="8:8">
      <c r="H42228" t="s">
        <v>35186</v>
      </c>
    </row>
    <row r="42229" spans="8:8">
      <c r="H42229" t="s">
        <v>35187</v>
      </c>
    </row>
    <row r="42230" spans="8:8">
      <c r="H42230" t="s">
        <v>35188</v>
      </c>
    </row>
    <row r="42231" spans="8:8">
      <c r="H42231" t="s">
        <v>35189</v>
      </c>
    </row>
    <row r="42232" spans="8:8">
      <c r="H42232" t="s">
        <v>35190</v>
      </c>
    </row>
    <row r="42233" spans="8:8">
      <c r="H42233" t="s">
        <v>35191</v>
      </c>
    </row>
    <row r="42234" spans="8:8">
      <c r="H42234" t="s">
        <v>35192</v>
      </c>
    </row>
    <row r="42235" spans="8:8">
      <c r="H42235" t="s">
        <v>35193</v>
      </c>
    </row>
    <row r="42236" spans="8:8">
      <c r="H42236" t="s">
        <v>35194</v>
      </c>
    </row>
    <row r="42237" spans="8:8">
      <c r="H42237" t="s">
        <v>35195</v>
      </c>
    </row>
    <row r="42238" spans="8:8">
      <c r="H42238" t="s">
        <v>35196</v>
      </c>
    </row>
    <row r="42239" spans="8:8">
      <c r="H42239" t="s">
        <v>35197</v>
      </c>
    </row>
    <row r="42240" spans="8:8">
      <c r="H42240" t="s">
        <v>35198</v>
      </c>
    </row>
    <row r="42241" spans="6:8">
      <c r="F42241" t="s">
        <v>12740</v>
      </c>
      <c r="G42241" t="s">
        <v>16932</v>
      </c>
      <c r="H42241" t="s">
        <v>35199</v>
      </c>
    </row>
    <row r="42242" spans="6:8">
      <c r="F42242" t="s">
        <v>10615</v>
      </c>
      <c r="G42242" t="s">
        <v>15018</v>
      </c>
      <c r="H42242" t="s">
        <v>35200</v>
      </c>
    </row>
    <row r="42243" spans="6:8">
      <c r="F42243" t="s">
        <v>10616</v>
      </c>
      <c r="G42243" t="s">
        <v>15019</v>
      </c>
      <c r="H42243" t="s">
        <v>19183</v>
      </c>
    </row>
    <row r="42244" spans="6:8">
      <c r="H42244" t="s">
        <v>19184</v>
      </c>
    </row>
    <row r="42245" spans="6:8">
      <c r="F42245" t="s">
        <v>13133</v>
      </c>
      <c r="G42245" t="s">
        <v>17291</v>
      </c>
      <c r="H42245" t="s">
        <v>35201</v>
      </c>
    </row>
    <row r="42246" spans="6:8">
      <c r="H42246" t="s">
        <v>25716</v>
      </c>
    </row>
    <row r="42247" spans="6:8">
      <c r="H42247" t="s">
        <v>28041</v>
      </c>
    </row>
    <row r="42248" spans="6:8">
      <c r="H42248" t="s">
        <v>28042</v>
      </c>
    </row>
    <row r="42249" spans="6:8">
      <c r="H42249" t="s">
        <v>35202</v>
      </c>
    </row>
    <row r="42250" spans="6:8">
      <c r="H42250" t="s">
        <v>35203</v>
      </c>
    </row>
    <row r="42251" spans="6:8">
      <c r="H42251" t="s">
        <v>35204</v>
      </c>
    </row>
    <row r="42252" spans="6:8">
      <c r="H42252" t="s">
        <v>35205</v>
      </c>
    </row>
    <row r="42253" spans="6:8">
      <c r="H42253" t="s">
        <v>35206</v>
      </c>
    </row>
    <row r="42254" spans="6:8">
      <c r="H42254" t="s">
        <v>18927</v>
      </c>
    </row>
    <row r="42255" spans="6:8">
      <c r="H42255" t="s">
        <v>35207</v>
      </c>
    </row>
    <row r="42256" spans="6:8">
      <c r="H42256" t="s">
        <v>35208</v>
      </c>
    </row>
    <row r="42257" spans="6:8">
      <c r="H42257" t="s">
        <v>25720</v>
      </c>
    </row>
    <row r="42258" spans="6:8">
      <c r="H42258" t="s">
        <v>28043</v>
      </c>
    </row>
    <row r="42259" spans="6:8">
      <c r="H42259" t="s">
        <v>28044</v>
      </c>
    </row>
    <row r="42260" spans="6:8">
      <c r="H42260" t="s">
        <v>28045</v>
      </c>
    </row>
    <row r="42261" spans="6:8">
      <c r="H42261" t="s">
        <v>28046</v>
      </c>
    </row>
    <row r="42262" spans="6:8">
      <c r="H42262" t="s">
        <v>28047</v>
      </c>
    </row>
    <row r="42263" spans="6:8">
      <c r="H42263" t="s">
        <v>28048</v>
      </c>
    </row>
    <row r="42264" spans="6:8">
      <c r="H42264" t="s">
        <v>25704</v>
      </c>
    </row>
    <row r="42265" spans="6:8">
      <c r="F42265" t="s">
        <v>14309</v>
      </c>
      <c r="G42265" t="s">
        <v>18266</v>
      </c>
      <c r="H42265" t="s">
        <v>18924</v>
      </c>
    </row>
    <row r="42266" spans="6:8">
      <c r="H42266" t="s">
        <v>35209</v>
      </c>
    </row>
    <row r="42267" spans="6:8">
      <c r="H42267" t="s">
        <v>35210</v>
      </c>
    </row>
    <row r="42268" spans="6:8">
      <c r="H42268" t="s">
        <v>35211</v>
      </c>
    </row>
    <row r="42269" spans="6:8">
      <c r="H42269" t="s">
        <v>35212</v>
      </c>
    </row>
    <row r="42270" spans="6:8">
      <c r="H42270" t="s">
        <v>35213</v>
      </c>
    </row>
    <row r="42271" spans="6:8">
      <c r="H42271" t="s">
        <v>35214</v>
      </c>
    </row>
    <row r="42272" spans="6:8">
      <c r="H42272" t="s">
        <v>35215</v>
      </c>
    </row>
    <row r="42273" spans="6:8">
      <c r="F42273" t="s">
        <v>14310</v>
      </c>
      <c r="G42273" t="s">
        <v>18267</v>
      </c>
      <c r="H42273" t="s">
        <v>18829</v>
      </c>
    </row>
    <row r="42274" spans="6:8">
      <c r="H42274" t="s">
        <v>35216</v>
      </c>
    </row>
    <row r="42275" spans="6:8">
      <c r="F42275" t="s">
        <v>14210</v>
      </c>
      <c r="G42275" t="s">
        <v>18186</v>
      </c>
      <c r="H42275" t="s">
        <v>18829</v>
      </c>
    </row>
    <row r="42276" spans="6:8">
      <c r="H42276" t="s">
        <v>18863</v>
      </c>
    </row>
    <row r="42277" spans="6:8">
      <c r="H42277" t="s">
        <v>34969</v>
      </c>
    </row>
    <row r="42278" spans="6:8">
      <c r="H42278" t="s">
        <v>35217</v>
      </c>
    </row>
    <row r="42279" spans="6:8">
      <c r="H42279" t="s">
        <v>35218</v>
      </c>
    </row>
    <row r="42280" spans="6:8">
      <c r="H42280" t="s">
        <v>35219</v>
      </c>
    </row>
    <row r="42281" spans="6:8">
      <c r="H42281" t="s">
        <v>35220</v>
      </c>
    </row>
    <row r="42282" spans="6:8">
      <c r="H42282" t="s">
        <v>35221</v>
      </c>
    </row>
    <row r="42283" spans="6:8">
      <c r="H42283" t="s">
        <v>35222</v>
      </c>
    </row>
    <row r="42284" spans="6:8">
      <c r="H42284" t="s">
        <v>35223</v>
      </c>
    </row>
    <row r="42285" spans="6:8">
      <c r="H42285" t="s">
        <v>35224</v>
      </c>
    </row>
    <row r="42286" spans="6:8">
      <c r="F42286" t="s">
        <v>10617</v>
      </c>
      <c r="G42286" t="s">
        <v>15020</v>
      </c>
      <c r="H42286" t="s">
        <v>19183</v>
      </c>
    </row>
    <row r="42287" spans="6:8">
      <c r="H42287" t="s">
        <v>19184</v>
      </c>
    </row>
    <row r="42288" spans="6:8">
      <c r="F42288" t="s">
        <v>10618</v>
      </c>
      <c r="G42288" t="s">
        <v>15021</v>
      </c>
      <c r="H42288" t="s">
        <v>19183</v>
      </c>
    </row>
    <row r="42289" spans="6:8">
      <c r="H42289" t="s">
        <v>19184</v>
      </c>
    </row>
    <row r="42290" spans="6:8">
      <c r="F42290" t="s">
        <v>13556</v>
      </c>
      <c r="G42290" t="s">
        <v>17663</v>
      </c>
      <c r="H42290" t="s">
        <v>35225</v>
      </c>
    </row>
    <row r="42291" spans="6:8">
      <c r="H42291" t="s">
        <v>35226</v>
      </c>
    </row>
    <row r="42292" spans="6:8">
      <c r="H42292" t="s">
        <v>35227</v>
      </c>
    </row>
    <row r="42293" spans="6:8">
      <c r="H42293" t="s">
        <v>35228</v>
      </c>
    </row>
    <row r="42294" spans="6:8">
      <c r="H42294" t="s">
        <v>35229</v>
      </c>
    </row>
    <row r="42295" spans="6:8">
      <c r="H42295" t="s">
        <v>35230</v>
      </c>
    </row>
    <row r="42296" spans="6:8">
      <c r="H42296" t="s">
        <v>35231</v>
      </c>
    </row>
    <row r="42297" spans="6:8">
      <c r="H42297" t="s">
        <v>35232</v>
      </c>
    </row>
    <row r="42298" spans="6:8">
      <c r="H42298" t="s">
        <v>35233</v>
      </c>
    </row>
    <row r="42299" spans="6:8">
      <c r="H42299" t="s">
        <v>35234</v>
      </c>
    </row>
    <row r="42300" spans="6:8">
      <c r="H42300" t="s">
        <v>35235</v>
      </c>
    </row>
    <row r="42301" spans="6:8">
      <c r="H42301" t="s">
        <v>35236</v>
      </c>
    </row>
    <row r="42302" spans="6:8">
      <c r="F42302" t="s">
        <v>14311</v>
      </c>
      <c r="G42302" t="s">
        <v>18268</v>
      </c>
      <c r="H42302" t="s">
        <v>18829</v>
      </c>
    </row>
    <row r="42303" spans="6:8">
      <c r="H42303" t="s">
        <v>35237</v>
      </c>
    </row>
    <row r="42304" spans="6:8">
      <c r="H42304" t="s">
        <v>35238</v>
      </c>
    </row>
    <row r="42305" spans="6:8">
      <c r="H42305" t="s">
        <v>35239</v>
      </c>
    </row>
    <row r="42306" spans="6:8">
      <c r="F42306" t="s">
        <v>14312</v>
      </c>
      <c r="G42306" t="s">
        <v>18269</v>
      </c>
      <c r="H42306" t="s">
        <v>18829</v>
      </c>
    </row>
    <row r="42307" spans="6:8">
      <c r="H42307" t="s">
        <v>18863</v>
      </c>
    </row>
    <row r="42308" spans="6:8">
      <c r="H42308" t="s">
        <v>31527</v>
      </c>
    </row>
    <row r="42309" spans="6:8">
      <c r="H42309" t="s">
        <v>35240</v>
      </c>
    </row>
    <row r="42310" spans="6:8">
      <c r="H42310" t="s">
        <v>35241</v>
      </c>
    </row>
    <row r="42311" spans="6:8">
      <c r="H42311" t="s">
        <v>34968</v>
      </c>
    </row>
    <row r="42312" spans="6:8">
      <c r="H42312" t="s">
        <v>35242</v>
      </c>
    </row>
    <row r="42313" spans="6:8">
      <c r="H42313" t="s">
        <v>35243</v>
      </c>
    </row>
    <row r="42314" spans="6:8">
      <c r="H42314" t="s">
        <v>35244</v>
      </c>
    </row>
    <row r="42315" spans="6:8">
      <c r="H42315" t="s">
        <v>31775</v>
      </c>
    </row>
    <row r="42316" spans="6:8">
      <c r="H42316" t="s">
        <v>35245</v>
      </c>
    </row>
    <row r="42317" spans="6:8">
      <c r="H42317" t="s">
        <v>35246</v>
      </c>
    </row>
    <row r="42318" spans="6:8">
      <c r="F42318" t="s">
        <v>14313</v>
      </c>
      <c r="G42318" t="s">
        <v>18270</v>
      </c>
      <c r="H42318" t="s">
        <v>18836</v>
      </c>
    </row>
    <row r="42319" spans="6:8">
      <c r="H42319" t="s">
        <v>35247</v>
      </c>
    </row>
    <row r="42320" spans="6:8">
      <c r="H42320" t="s">
        <v>35248</v>
      </c>
    </row>
    <row r="42321" spans="6:8">
      <c r="H42321" t="s">
        <v>35249</v>
      </c>
    </row>
    <row r="42322" spans="6:8">
      <c r="H42322" t="s">
        <v>35048</v>
      </c>
    </row>
    <row r="42323" spans="6:8">
      <c r="F42323" t="s">
        <v>10600</v>
      </c>
      <c r="G42323" t="s">
        <v>15003</v>
      </c>
      <c r="H42323" t="s">
        <v>18836</v>
      </c>
    </row>
    <row r="42324" spans="6:8">
      <c r="H42324" t="s">
        <v>35250</v>
      </c>
    </row>
    <row r="42325" spans="6:8">
      <c r="F42325" t="s">
        <v>14314</v>
      </c>
      <c r="G42325" t="s">
        <v>18271</v>
      </c>
      <c r="H42325" t="s">
        <v>35251</v>
      </c>
    </row>
    <row r="42326" spans="6:8">
      <c r="H42326" t="s">
        <v>35252</v>
      </c>
    </row>
    <row r="42327" spans="6:8">
      <c r="H42327" t="s">
        <v>35253</v>
      </c>
    </row>
    <row r="42328" spans="6:8">
      <c r="F42328" t="s">
        <v>13960</v>
      </c>
      <c r="G42328" t="s">
        <v>17986</v>
      </c>
      <c r="H42328" t="s">
        <v>18829</v>
      </c>
    </row>
    <row r="42329" spans="6:8">
      <c r="H42329" t="s">
        <v>35254</v>
      </c>
    </row>
    <row r="42330" spans="6:8">
      <c r="H42330" t="s">
        <v>35255</v>
      </c>
    </row>
    <row r="42331" spans="6:8">
      <c r="H42331" t="s">
        <v>35250</v>
      </c>
    </row>
    <row r="42332" spans="6:8">
      <c r="H42332" t="s">
        <v>35256</v>
      </c>
    </row>
    <row r="42333" spans="6:8">
      <c r="H42333" t="s">
        <v>35257</v>
      </c>
    </row>
    <row r="42334" spans="6:8">
      <c r="H42334" t="s">
        <v>35258</v>
      </c>
    </row>
    <row r="42335" spans="6:8">
      <c r="H42335" t="s">
        <v>35259</v>
      </c>
    </row>
    <row r="42336" spans="6:8">
      <c r="H42336" t="s">
        <v>35260</v>
      </c>
    </row>
    <row r="42337" spans="6:8">
      <c r="H42337" t="s">
        <v>35261</v>
      </c>
    </row>
    <row r="42338" spans="6:8">
      <c r="H42338" t="s">
        <v>35262</v>
      </c>
    </row>
    <row r="42339" spans="6:8">
      <c r="H42339" t="s">
        <v>20340</v>
      </c>
    </row>
    <row r="42340" spans="6:8">
      <c r="F42340" t="s">
        <v>14315</v>
      </c>
      <c r="G42340" t="s">
        <v>18272</v>
      </c>
      <c r="H42340" t="s">
        <v>19981</v>
      </c>
    </row>
    <row r="42341" spans="6:8">
      <c r="H42341" t="s">
        <v>35263</v>
      </c>
    </row>
    <row r="42342" spans="6:8">
      <c r="H42342" t="s">
        <v>34877</v>
      </c>
    </row>
    <row r="42343" spans="6:8">
      <c r="H42343" t="s">
        <v>35264</v>
      </c>
    </row>
    <row r="42344" spans="6:8">
      <c r="H42344" t="s">
        <v>35265</v>
      </c>
    </row>
    <row r="42345" spans="6:8">
      <c r="F42345" t="s">
        <v>10726</v>
      </c>
      <c r="G42345" t="s">
        <v>15125</v>
      </c>
      <c r="H42345" t="s">
        <v>22023</v>
      </c>
    </row>
    <row r="42346" spans="6:8">
      <c r="H42346" t="s">
        <v>35266</v>
      </c>
    </row>
    <row r="42347" spans="6:8">
      <c r="H42347" t="s">
        <v>35267</v>
      </c>
    </row>
    <row r="42348" spans="6:8">
      <c r="H42348" t="s">
        <v>35268</v>
      </c>
    </row>
    <row r="42349" spans="6:8">
      <c r="H42349" t="s">
        <v>35269</v>
      </c>
    </row>
    <row r="42350" spans="6:8">
      <c r="H42350" t="s">
        <v>35270</v>
      </c>
    </row>
    <row r="42351" spans="6:8">
      <c r="H42351" t="s">
        <v>35271</v>
      </c>
    </row>
    <row r="42352" spans="6:8">
      <c r="F42352" t="s">
        <v>11449</v>
      </c>
      <c r="G42352" t="s">
        <v>15689</v>
      </c>
      <c r="H42352" t="s">
        <v>31759</v>
      </c>
    </row>
    <row r="42353" spans="8:8">
      <c r="H42353" t="s">
        <v>35272</v>
      </c>
    </row>
    <row r="42354" spans="8:8">
      <c r="H42354" t="s">
        <v>35273</v>
      </c>
    </row>
    <row r="42355" spans="8:8">
      <c r="H42355" t="s">
        <v>35274</v>
      </c>
    </row>
    <row r="42356" spans="8:8">
      <c r="H42356" t="s">
        <v>35275</v>
      </c>
    </row>
    <row r="42357" spans="8:8">
      <c r="H42357" t="s">
        <v>35276</v>
      </c>
    </row>
    <row r="42358" spans="8:8">
      <c r="H42358" t="s">
        <v>35277</v>
      </c>
    </row>
    <row r="42359" spans="8:8">
      <c r="H42359" t="s">
        <v>35278</v>
      </c>
    </row>
    <row r="42360" spans="8:8">
      <c r="H42360" t="s">
        <v>35279</v>
      </c>
    </row>
    <row r="42361" spans="8:8">
      <c r="H42361" t="s">
        <v>35280</v>
      </c>
    </row>
    <row r="42362" spans="8:8">
      <c r="H42362" t="s">
        <v>35281</v>
      </c>
    </row>
    <row r="42363" spans="8:8">
      <c r="H42363" t="s">
        <v>35282</v>
      </c>
    </row>
    <row r="42364" spans="8:8">
      <c r="H42364" t="s">
        <v>35283</v>
      </c>
    </row>
    <row r="42365" spans="8:8">
      <c r="H42365" t="s">
        <v>35284</v>
      </c>
    </row>
    <row r="42366" spans="8:8">
      <c r="H42366" t="s">
        <v>35285</v>
      </c>
    </row>
    <row r="42367" spans="8:8">
      <c r="H42367" t="s">
        <v>35286</v>
      </c>
    </row>
    <row r="42368" spans="8:8">
      <c r="H42368" t="s">
        <v>35287</v>
      </c>
    </row>
    <row r="42369" spans="8:8">
      <c r="H42369" t="s">
        <v>35288</v>
      </c>
    </row>
    <row r="42370" spans="8:8">
      <c r="H42370" t="s">
        <v>35289</v>
      </c>
    </row>
    <row r="42371" spans="8:8">
      <c r="H42371" t="s">
        <v>35290</v>
      </c>
    </row>
    <row r="42372" spans="8:8">
      <c r="H42372" t="s">
        <v>35290</v>
      </c>
    </row>
    <row r="42373" spans="8:8">
      <c r="H42373" t="s">
        <v>35291</v>
      </c>
    </row>
    <row r="42374" spans="8:8">
      <c r="H42374" t="s">
        <v>35292</v>
      </c>
    </row>
    <row r="42375" spans="8:8">
      <c r="H42375" t="s">
        <v>35293</v>
      </c>
    </row>
    <row r="42376" spans="8:8">
      <c r="H42376" t="s">
        <v>35294</v>
      </c>
    </row>
    <row r="42377" spans="8:8">
      <c r="H42377" t="s">
        <v>35295</v>
      </c>
    </row>
    <row r="42378" spans="8:8">
      <c r="H42378" t="s">
        <v>35296</v>
      </c>
    </row>
    <row r="42379" spans="8:8">
      <c r="H42379" t="s">
        <v>35297</v>
      </c>
    </row>
    <row r="42380" spans="8:8">
      <c r="H42380" t="s">
        <v>35298</v>
      </c>
    </row>
    <row r="42381" spans="8:8">
      <c r="H42381" t="s">
        <v>35299</v>
      </c>
    </row>
    <row r="42382" spans="8:8">
      <c r="H42382" t="s">
        <v>35300</v>
      </c>
    </row>
    <row r="42383" spans="8:8">
      <c r="H42383" t="s">
        <v>35301</v>
      </c>
    </row>
    <row r="42384" spans="8:8">
      <c r="H42384" t="s">
        <v>35302</v>
      </c>
    </row>
    <row r="42385" spans="6:8">
      <c r="H42385" t="s">
        <v>35303</v>
      </c>
    </row>
    <row r="42386" spans="6:8">
      <c r="H42386" t="s">
        <v>35304</v>
      </c>
    </row>
    <row r="42387" spans="6:8">
      <c r="H42387" t="s">
        <v>35305</v>
      </c>
    </row>
    <row r="42388" spans="6:8">
      <c r="H42388" t="s">
        <v>35306</v>
      </c>
    </row>
    <row r="42389" spans="6:8">
      <c r="F42389" t="s">
        <v>14316</v>
      </c>
      <c r="G42389" t="s">
        <v>18273</v>
      </c>
      <c r="H42389" t="s">
        <v>35307</v>
      </c>
    </row>
    <row r="42390" spans="6:8">
      <c r="F42390" t="s">
        <v>14317</v>
      </c>
      <c r="G42390" t="s">
        <v>18274</v>
      </c>
      <c r="H42390" t="s">
        <v>35308</v>
      </c>
    </row>
    <row r="42391" spans="6:8">
      <c r="H42391" t="s">
        <v>35309</v>
      </c>
    </row>
    <row r="42392" spans="6:8">
      <c r="H42392" t="s">
        <v>35310</v>
      </c>
    </row>
    <row r="42393" spans="6:8">
      <c r="H42393" t="s">
        <v>35311</v>
      </c>
    </row>
    <row r="42394" spans="6:8">
      <c r="H42394" t="s">
        <v>35312</v>
      </c>
    </row>
    <row r="42395" spans="6:8">
      <c r="H42395" t="s">
        <v>35312</v>
      </c>
    </row>
    <row r="42396" spans="6:8">
      <c r="H42396" t="s">
        <v>35313</v>
      </c>
    </row>
    <row r="42397" spans="6:8">
      <c r="H42397" t="s">
        <v>19333</v>
      </c>
    </row>
    <row r="42398" spans="6:8">
      <c r="H42398" t="s">
        <v>35314</v>
      </c>
    </row>
    <row r="42399" spans="6:8">
      <c r="H42399" t="s">
        <v>35315</v>
      </c>
    </row>
    <row r="42400" spans="6:8">
      <c r="H42400" t="s">
        <v>35316</v>
      </c>
    </row>
    <row r="42401" spans="6:8">
      <c r="F42401" t="s">
        <v>14318</v>
      </c>
      <c r="G42401" t="s">
        <v>18275</v>
      </c>
      <c r="H42401" t="s">
        <v>35317</v>
      </c>
    </row>
    <row r="42402" spans="6:8">
      <c r="F42402" t="s">
        <v>14319</v>
      </c>
      <c r="G42402" t="s">
        <v>18276</v>
      </c>
      <c r="H42402" t="s">
        <v>18836</v>
      </c>
    </row>
    <row r="42403" spans="6:8">
      <c r="F42403" t="s">
        <v>14320</v>
      </c>
      <c r="G42403" t="s">
        <v>18277</v>
      </c>
      <c r="H42403" t="s">
        <v>30172</v>
      </c>
    </row>
    <row r="42404" spans="6:8">
      <c r="H42404" t="s">
        <v>35318</v>
      </c>
    </row>
    <row r="42405" spans="6:8">
      <c r="H42405" t="s">
        <v>35319</v>
      </c>
    </row>
    <row r="42406" spans="6:8">
      <c r="H42406" t="s">
        <v>35320</v>
      </c>
    </row>
    <row r="42407" spans="6:8">
      <c r="H42407" t="s">
        <v>35321</v>
      </c>
    </row>
    <row r="42408" spans="6:8">
      <c r="H42408" t="s">
        <v>35322</v>
      </c>
    </row>
    <row r="42409" spans="6:8">
      <c r="F42409" t="s">
        <v>14321</v>
      </c>
      <c r="G42409" t="s">
        <v>18278</v>
      </c>
      <c r="H42409" t="s">
        <v>35323</v>
      </c>
    </row>
    <row r="42410" spans="6:8">
      <c r="H42410" t="s">
        <v>35324</v>
      </c>
    </row>
    <row r="42411" spans="6:8">
      <c r="H42411" t="s">
        <v>35325</v>
      </c>
    </row>
    <row r="42412" spans="6:8">
      <c r="H42412" t="s">
        <v>35326</v>
      </c>
    </row>
    <row r="42413" spans="6:8">
      <c r="H42413" t="s">
        <v>35327</v>
      </c>
    </row>
    <row r="42414" spans="6:8">
      <c r="H42414" t="s">
        <v>35328</v>
      </c>
    </row>
    <row r="42415" spans="6:8">
      <c r="F42415" t="s">
        <v>14322</v>
      </c>
      <c r="G42415" t="s">
        <v>18279</v>
      </c>
      <c r="H42415" t="s">
        <v>27516</v>
      </c>
    </row>
    <row r="42416" spans="6:8">
      <c r="H42416" t="s">
        <v>22358</v>
      </c>
    </row>
    <row r="42417" spans="6:8">
      <c r="H42417" t="s">
        <v>35329</v>
      </c>
    </row>
    <row r="42418" spans="6:8">
      <c r="H42418" t="s">
        <v>35330</v>
      </c>
    </row>
    <row r="42419" spans="6:8">
      <c r="F42419" t="s">
        <v>14323</v>
      </c>
      <c r="G42419" t="s">
        <v>18280</v>
      </c>
      <c r="H42419" t="s">
        <v>18829</v>
      </c>
    </row>
    <row r="42420" spans="6:8">
      <c r="H42420" t="s">
        <v>18863</v>
      </c>
    </row>
    <row r="42421" spans="6:8">
      <c r="H42421" t="s">
        <v>35331</v>
      </c>
    </row>
    <row r="42422" spans="6:8">
      <c r="H42422" t="s">
        <v>35332</v>
      </c>
    </row>
    <row r="42423" spans="6:8">
      <c r="H42423" t="s">
        <v>35333</v>
      </c>
    </row>
    <row r="42424" spans="6:8">
      <c r="H42424" t="s">
        <v>29840</v>
      </c>
    </row>
    <row r="42425" spans="6:8">
      <c r="H42425" t="s">
        <v>35334</v>
      </c>
    </row>
    <row r="42426" spans="6:8">
      <c r="H42426" t="s">
        <v>35335</v>
      </c>
    </row>
    <row r="42427" spans="6:8">
      <c r="H42427" t="s">
        <v>19007</v>
      </c>
    </row>
    <row r="42428" spans="6:8">
      <c r="H42428" t="s">
        <v>35336</v>
      </c>
    </row>
    <row r="42429" spans="6:8">
      <c r="F42429" t="s">
        <v>14324</v>
      </c>
      <c r="G42429" t="s">
        <v>18281</v>
      </c>
      <c r="H42429" t="s">
        <v>35337</v>
      </c>
    </row>
    <row r="42430" spans="6:8">
      <c r="H42430" t="s">
        <v>35338</v>
      </c>
    </row>
    <row r="42431" spans="6:8">
      <c r="H42431" t="s">
        <v>35339</v>
      </c>
    </row>
    <row r="42432" spans="6:8">
      <c r="H42432" t="s">
        <v>35340</v>
      </c>
    </row>
    <row r="42433" spans="6:8">
      <c r="H42433" t="s">
        <v>35341</v>
      </c>
    </row>
    <row r="42434" spans="6:8">
      <c r="H42434" t="s">
        <v>35342</v>
      </c>
    </row>
    <row r="42435" spans="6:8">
      <c r="F42435" t="s">
        <v>14102</v>
      </c>
      <c r="G42435" t="s">
        <v>18095</v>
      </c>
      <c r="H42435" t="s">
        <v>34079</v>
      </c>
    </row>
    <row r="42436" spans="6:8">
      <c r="H42436" t="s">
        <v>34080</v>
      </c>
    </row>
    <row r="42437" spans="6:8">
      <c r="H42437" t="s">
        <v>18829</v>
      </c>
    </row>
    <row r="42438" spans="6:8">
      <c r="H42438" t="s">
        <v>18863</v>
      </c>
    </row>
    <row r="42439" spans="6:8">
      <c r="H42439" t="s">
        <v>35343</v>
      </c>
    </row>
    <row r="42440" spans="6:8">
      <c r="H42440" t="s">
        <v>19019</v>
      </c>
    </row>
    <row r="42441" spans="6:8">
      <c r="H42441" t="s">
        <v>35344</v>
      </c>
    </row>
    <row r="42442" spans="6:8">
      <c r="H42442" t="s">
        <v>35345</v>
      </c>
    </row>
    <row r="42443" spans="6:8">
      <c r="H42443" t="s">
        <v>35346</v>
      </c>
    </row>
    <row r="42444" spans="6:8">
      <c r="H42444" t="s">
        <v>35347</v>
      </c>
    </row>
    <row r="42445" spans="6:8">
      <c r="H42445" t="s">
        <v>35348</v>
      </c>
    </row>
    <row r="42446" spans="6:8">
      <c r="H42446" t="s">
        <v>35349</v>
      </c>
    </row>
    <row r="42447" spans="6:8">
      <c r="H42447" t="s">
        <v>35350</v>
      </c>
    </row>
    <row r="42448" spans="6:8">
      <c r="H42448" t="s">
        <v>35351</v>
      </c>
    </row>
    <row r="42449" spans="1:8">
      <c r="H42449" t="s">
        <v>35352</v>
      </c>
    </row>
    <row r="42450" spans="1:8">
      <c r="H42450" t="s">
        <v>35353</v>
      </c>
    </row>
    <row r="42451" spans="1:8">
      <c r="H42451" t="s">
        <v>35354</v>
      </c>
    </row>
    <row r="42452" spans="1:8">
      <c r="H42452" t="s">
        <v>35355</v>
      </c>
    </row>
    <row r="42453" spans="1:8">
      <c r="H42453" t="s">
        <v>24966</v>
      </c>
    </row>
    <row r="42454" spans="1:8">
      <c r="H42454" t="s">
        <v>35356</v>
      </c>
    </row>
    <row r="42455" spans="1:8">
      <c r="H42455" t="s">
        <v>35357</v>
      </c>
    </row>
    <row r="42456" spans="1:8">
      <c r="H42456" t="s">
        <v>35358</v>
      </c>
    </row>
    <row r="42457" spans="1:8">
      <c r="H42457" t="s">
        <v>35359</v>
      </c>
    </row>
    <row r="42458" spans="1:8">
      <c r="A42458" t="s">
        <v>3509</v>
      </c>
      <c r="B42458">
        <f>HYPERLINK("https://android.googlesource.com/platform/cts/+/0422ee2cb32c900b3911f40c67f9dedb3f780da6", "0422ee2cb32c900b3911f40c67f9dedb3f780da6")</f>
        <v>0</v>
      </c>
      <c r="C42458">
        <f>HYPERLINK("https://android.googlesource.com/platform/cts/+/c29ffa3e5caa87117802312775d947a642d8798c", "c29ffa3e5caa87117802312775d947a642d8798c")</f>
        <v>0</v>
      </c>
      <c r="D42458" t="s">
        <v>5576</v>
      </c>
      <c r="E42458" t="s">
        <v>9203</v>
      </c>
      <c r="F42458" t="s">
        <v>13857</v>
      </c>
      <c r="G42458" t="s">
        <v>17899</v>
      </c>
      <c r="H42458" t="s">
        <v>18829</v>
      </c>
    </row>
    <row r="42459" spans="1:8">
      <c r="H42459" t="s">
        <v>18863</v>
      </c>
    </row>
    <row r="42460" spans="1:8">
      <c r="H42460" t="s">
        <v>34807</v>
      </c>
    </row>
    <row r="42461" spans="1:8">
      <c r="H42461" t="s">
        <v>34808</v>
      </c>
    </row>
    <row r="42462" spans="1:8">
      <c r="H42462" t="s">
        <v>34809</v>
      </c>
    </row>
    <row r="42463" spans="1:8">
      <c r="H42463" t="s">
        <v>34810</v>
      </c>
    </row>
    <row r="42464" spans="1:8">
      <c r="H42464" t="s">
        <v>34811</v>
      </c>
    </row>
    <row r="42465" spans="6:8">
      <c r="H42465" t="s">
        <v>34812</v>
      </c>
    </row>
    <row r="42466" spans="6:8">
      <c r="H42466" t="s">
        <v>34813</v>
      </c>
    </row>
    <row r="42467" spans="6:8">
      <c r="F42467" t="s">
        <v>13976</v>
      </c>
      <c r="G42467" t="s">
        <v>18001</v>
      </c>
      <c r="H42467" t="s">
        <v>18829</v>
      </c>
    </row>
    <row r="42468" spans="6:8">
      <c r="H42468" t="s">
        <v>18863</v>
      </c>
    </row>
    <row r="42469" spans="6:8">
      <c r="H42469" t="s">
        <v>34814</v>
      </c>
    </row>
    <row r="42470" spans="6:8">
      <c r="H42470" t="s">
        <v>34815</v>
      </c>
    </row>
    <row r="42471" spans="6:8">
      <c r="H42471" t="s">
        <v>34816</v>
      </c>
    </row>
    <row r="42472" spans="6:8">
      <c r="H42472" t="s">
        <v>34817</v>
      </c>
    </row>
    <row r="42473" spans="6:8">
      <c r="H42473" t="s">
        <v>34818</v>
      </c>
    </row>
    <row r="42474" spans="6:8">
      <c r="H42474" t="s">
        <v>34819</v>
      </c>
    </row>
    <row r="42475" spans="6:8">
      <c r="H42475" t="s">
        <v>34820</v>
      </c>
    </row>
    <row r="42476" spans="6:8">
      <c r="H42476" t="s">
        <v>34821</v>
      </c>
    </row>
    <row r="42477" spans="6:8">
      <c r="H42477" t="s">
        <v>34822</v>
      </c>
    </row>
    <row r="42478" spans="6:8">
      <c r="F42478" t="s">
        <v>13977</v>
      </c>
      <c r="G42478" t="s">
        <v>18002</v>
      </c>
      <c r="H42478" t="s">
        <v>34823</v>
      </c>
    </row>
    <row r="42479" spans="6:8">
      <c r="H42479" t="s">
        <v>18930</v>
      </c>
    </row>
    <row r="42480" spans="6:8">
      <c r="H42480" t="s">
        <v>19372</v>
      </c>
    </row>
    <row r="42481" spans="8:8">
      <c r="H42481" t="s">
        <v>34824</v>
      </c>
    </row>
    <row r="42482" spans="8:8">
      <c r="H42482" t="s">
        <v>34825</v>
      </c>
    </row>
    <row r="42483" spans="8:8">
      <c r="H42483" t="s">
        <v>34826</v>
      </c>
    </row>
    <row r="42484" spans="8:8">
      <c r="H42484" t="s">
        <v>34827</v>
      </c>
    </row>
    <row r="42485" spans="8:8">
      <c r="H42485" t="s">
        <v>31669</v>
      </c>
    </row>
    <row r="42486" spans="8:8">
      <c r="H42486" t="s">
        <v>32387</v>
      </c>
    </row>
    <row r="42487" spans="8:8">
      <c r="H42487" t="s">
        <v>34828</v>
      </c>
    </row>
    <row r="42488" spans="8:8">
      <c r="H42488" t="s">
        <v>31986</v>
      </c>
    </row>
    <row r="42489" spans="8:8">
      <c r="H42489" t="s">
        <v>34829</v>
      </c>
    </row>
    <row r="42490" spans="8:8">
      <c r="H42490" t="s">
        <v>34830</v>
      </c>
    </row>
    <row r="42491" spans="8:8">
      <c r="H42491" t="s">
        <v>34831</v>
      </c>
    </row>
    <row r="42492" spans="8:8">
      <c r="H42492" t="s">
        <v>34832</v>
      </c>
    </row>
    <row r="42493" spans="8:8">
      <c r="H42493" t="s">
        <v>18829</v>
      </c>
    </row>
    <row r="42494" spans="8:8">
      <c r="H42494" t="s">
        <v>18863</v>
      </c>
    </row>
    <row r="42495" spans="8:8">
      <c r="H42495" t="s">
        <v>33907</v>
      </c>
    </row>
    <row r="42496" spans="8:8">
      <c r="H42496" t="s">
        <v>33908</v>
      </c>
    </row>
    <row r="42497" spans="6:8">
      <c r="F42497" t="s">
        <v>12416</v>
      </c>
      <c r="G42497" t="s">
        <v>16638</v>
      </c>
      <c r="H42497" t="s">
        <v>26496</v>
      </c>
    </row>
    <row r="42498" spans="6:8">
      <c r="H42498" t="s">
        <v>18829</v>
      </c>
    </row>
    <row r="42499" spans="6:8">
      <c r="H42499" t="s">
        <v>18863</v>
      </c>
    </row>
    <row r="42500" spans="6:8">
      <c r="H42500" t="s">
        <v>34833</v>
      </c>
    </row>
    <row r="42501" spans="6:8">
      <c r="H42501" t="s">
        <v>34834</v>
      </c>
    </row>
    <row r="42502" spans="6:8">
      <c r="H42502" t="s">
        <v>34835</v>
      </c>
    </row>
    <row r="42503" spans="6:8">
      <c r="H42503" t="s">
        <v>29215</v>
      </c>
    </row>
    <row r="42504" spans="6:8">
      <c r="H42504" t="s">
        <v>27130</v>
      </c>
    </row>
    <row r="42505" spans="6:8">
      <c r="H42505" t="s">
        <v>34836</v>
      </c>
    </row>
    <row r="42506" spans="6:8">
      <c r="H42506" t="s">
        <v>34837</v>
      </c>
    </row>
    <row r="42507" spans="6:8">
      <c r="H42507" t="s">
        <v>34838</v>
      </c>
    </row>
    <row r="42508" spans="6:8">
      <c r="H42508" t="s">
        <v>34839</v>
      </c>
    </row>
    <row r="42509" spans="6:8">
      <c r="H42509" t="s">
        <v>34840</v>
      </c>
    </row>
    <row r="42510" spans="6:8">
      <c r="H42510" t="s">
        <v>34841</v>
      </c>
    </row>
    <row r="42511" spans="6:8">
      <c r="H42511" t="s">
        <v>34842</v>
      </c>
    </row>
    <row r="42512" spans="6:8">
      <c r="H42512" t="s">
        <v>34843</v>
      </c>
    </row>
    <row r="42513" spans="8:8">
      <c r="H42513" t="s">
        <v>34844</v>
      </c>
    </row>
    <row r="42514" spans="8:8">
      <c r="H42514" t="s">
        <v>34845</v>
      </c>
    </row>
    <row r="42515" spans="8:8">
      <c r="H42515" t="s">
        <v>34846</v>
      </c>
    </row>
    <row r="42516" spans="8:8">
      <c r="H42516" t="s">
        <v>34847</v>
      </c>
    </row>
    <row r="42517" spans="8:8">
      <c r="H42517" t="s">
        <v>31500</v>
      </c>
    </row>
    <row r="42518" spans="8:8">
      <c r="H42518" t="s">
        <v>34848</v>
      </c>
    </row>
    <row r="42519" spans="8:8">
      <c r="H42519" t="s">
        <v>34051</v>
      </c>
    </row>
    <row r="42520" spans="8:8">
      <c r="H42520" t="s">
        <v>34052</v>
      </c>
    </row>
    <row r="42521" spans="8:8">
      <c r="H42521" t="s">
        <v>34849</v>
      </c>
    </row>
    <row r="42522" spans="8:8">
      <c r="H42522" t="s">
        <v>34850</v>
      </c>
    </row>
    <row r="42523" spans="8:8">
      <c r="H42523" t="s">
        <v>34851</v>
      </c>
    </row>
    <row r="42524" spans="8:8">
      <c r="H42524" t="s">
        <v>26751</v>
      </c>
    </row>
    <row r="42525" spans="8:8">
      <c r="H42525" t="s">
        <v>34852</v>
      </c>
    </row>
    <row r="42526" spans="8:8">
      <c r="H42526" t="s">
        <v>34853</v>
      </c>
    </row>
    <row r="42527" spans="8:8">
      <c r="H42527" t="s">
        <v>34854</v>
      </c>
    </row>
    <row r="42528" spans="8:8">
      <c r="H42528" t="s">
        <v>34855</v>
      </c>
    </row>
    <row r="42529" spans="8:8">
      <c r="H42529" t="s">
        <v>34856</v>
      </c>
    </row>
    <row r="42530" spans="8:8">
      <c r="H42530" t="s">
        <v>34857</v>
      </c>
    </row>
    <row r="42531" spans="8:8">
      <c r="H42531" t="s">
        <v>34858</v>
      </c>
    </row>
    <row r="42532" spans="8:8">
      <c r="H42532" t="s">
        <v>34859</v>
      </c>
    </row>
    <row r="42533" spans="8:8">
      <c r="H42533" t="s">
        <v>34860</v>
      </c>
    </row>
    <row r="42534" spans="8:8">
      <c r="H42534" t="s">
        <v>34861</v>
      </c>
    </row>
    <row r="42535" spans="8:8">
      <c r="H42535" t="s">
        <v>34862</v>
      </c>
    </row>
    <row r="42536" spans="8:8">
      <c r="H42536" t="s">
        <v>34863</v>
      </c>
    </row>
    <row r="42537" spans="8:8">
      <c r="H42537" t="s">
        <v>34864</v>
      </c>
    </row>
    <row r="42538" spans="8:8">
      <c r="H42538" t="s">
        <v>34865</v>
      </c>
    </row>
    <row r="42539" spans="8:8">
      <c r="H42539" t="s">
        <v>34866</v>
      </c>
    </row>
    <row r="42540" spans="8:8">
      <c r="H42540" t="s">
        <v>34866</v>
      </c>
    </row>
    <row r="42541" spans="8:8">
      <c r="H42541" t="s">
        <v>34867</v>
      </c>
    </row>
    <row r="42542" spans="8:8">
      <c r="H42542" t="s">
        <v>34868</v>
      </c>
    </row>
    <row r="42543" spans="8:8">
      <c r="H42543" t="s">
        <v>34869</v>
      </c>
    </row>
    <row r="42544" spans="8:8">
      <c r="H42544" t="s">
        <v>19019</v>
      </c>
    </row>
    <row r="42545" spans="6:8">
      <c r="H42545" t="s">
        <v>34870</v>
      </c>
    </row>
    <row r="42546" spans="6:8">
      <c r="H42546" t="s">
        <v>32277</v>
      </c>
    </row>
    <row r="42547" spans="6:8">
      <c r="H42547" t="s">
        <v>19019</v>
      </c>
    </row>
    <row r="42548" spans="6:8">
      <c r="H42548" t="s">
        <v>24966</v>
      </c>
    </row>
    <row r="42549" spans="6:8">
      <c r="F42549" t="s">
        <v>14304</v>
      </c>
      <c r="G42549" t="s">
        <v>18262</v>
      </c>
      <c r="H42549" t="s">
        <v>20244</v>
      </c>
    </row>
    <row r="42550" spans="6:8">
      <c r="H42550" t="s">
        <v>19233</v>
      </c>
    </row>
    <row r="42551" spans="6:8">
      <c r="H42551" t="s">
        <v>18829</v>
      </c>
    </row>
    <row r="42552" spans="6:8">
      <c r="H42552" t="s">
        <v>34871</v>
      </c>
    </row>
    <row r="42553" spans="6:8">
      <c r="H42553" t="s">
        <v>25643</v>
      </c>
    </row>
    <row r="42554" spans="6:8">
      <c r="H42554" t="s">
        <v>31039</v>
      </c>
    </row>
    <row r="42555" spans="6:8">
      <c r="H42555" t="s">
        <v>34872</v>
      </c>
    </row>
    <row r="42556" spans="6:8">
      <c r="H42556" t="s">
        <v>34873</v>
      </c>
    </row>
    <row r="42557" spans="6:8">
      <c r="H42557" t="s">
        <v>34874</v>
      </c>
    </row>
    <row r="42558" spans="6:8">
      <c r="H42558" t="s">
        <v>34875</v>
      </c>
    </row>
    <row r="42559" spans="6:8">
      <c r="H42559" t="s">
        <v>31037</v>
      </c>
    </row>
    <row r="42560" spans="6:8">
      <c r="F42560" t="s">
        <v>13941</v>
      </c>
      <c r="G42560" t="s">
        <v>17972</v>
      </c>
      <c r="H42560" t="s">
        <v>18829</v>
      </c>
    </row>
    <row r="42561" spans="6:8">
      <c r="H42561" t="s">
        <v>32340</v>
      </c>
    </row>
    <row r="42562" spans="6:8">
      <c r="H42562" t="s">
        <v>32342</v>
      </c>
    </row>
    <row r="42563" spans="6:8">
      <c r="H42563" t="s">
        <v>32341</v>
      </c>
    </row>
    <row r="42564" spans="6:8">
      <c r="H42564" t="s">
        <v>32343</v>
      </c>
    </row>
    <row r="42565" spans="6:8">
      <c r="F42565" t="s">
        <v>14305</v>
      </c>
      <c r="G42565" t="s">
        <v>18005</v>
      </c>
      <c r="H42565" t="s">
        <v>19981</v>
      </c>
    </row>
    <row r="42566" spans="6:8">
      <c r="H42566" t="s">
        <v>34876</v>
      </c>
    </row>
    <row r="42567" spans="6:8">
      <c r="H42567" t="s">
        <v>34877</v>
      </c>
    </row>
    <row r="42568" spans="6:8">
      <c r="H42568" t="s">
        <v>34878</v>
      </c>
    </row>
    <row r="42569" spans="6:8">
      <c r="H42569" t="s">
        <v>34879</v>
      </c>
    </row>
    <row r="42570" spans="6:8">
      <c r="F42570" t="s">
        <v>14234</v>
      </c>
      <c r="G42570" t="s">
        <v>18204</v>
      </c>
      <c r="H42570" t="s">
        <v>18829</v>
      </c>
    </row>
    <row r="42571" spans="6:8">
      <c r="H42571" t="s">
        <v>18863</v>
      </c>
    </row>
    <row r="42572" spans="6:8">
      <c r="H42572" t="s">
        <v>34880</v>
      </c>
    </row>
    <row r="42573" spans="6:8">
      <c r="H42573" t="s">
        <v>34881</v>
      </c>
    </row>
    <row r="42574" spans="6:8">
      <c r="H42574" t="s">
        <v>34882</v>
      </c>
    </row>
    <row r="42575" spans="6:8">
      <c r="H42575" t="s">
        <v>34883</v>
      </c>
    </row>
    <row r="42576" spans="6:8">
      <c r="H42576" t="s">
        <v>34884</v>
      </c>
    </row>
    <row r="42577" spans="8:8">
      <c r="H42577" t="s">
        <v>34885</v>
      </c>
    </row>
    <row r="42578" spans="8:8">
      <c r="H42578" t="s">
        <v>34886</v>
      </c>
    </row>
    <row r="42579" spans="8:8">
      <c r="H42579" t="s">
        <v>34887</v>
      </c>
    </row>
    <row r="42580" spans="8:8">
      <c r="H42580" t="s">
        <v>34888</v>
      </c>
    </row>
    <row r="42581" spans="8:8">
      <c r="H42581" t="s">
        <v>34889</v>
      </c>
    </row>
    <row r="42582" spans="8:8">
      <c r="H42582" t="s">
        <v>34890</v>
      </c>
    </row>
    <row r="42583" spans="8:8">
      <c r="H42583" t="s">
        <v>34891</v>
      </c>
    </row>
    <row r="42584" spans="8:8">
      <c r="H42584" t="s">
        <v>34891</v>
      </c>
    </row>
    <row r="42585" spans="8:8">
      <c r="H42585" t="s">
        <v>34892</v>
      </c>
    </row>
    <row r="42586" spans="8:8">
      <c r="H42586" t="s">
        <v>34893</v>
      </c>
    </row>
    <row r="42587" spans="8:8">
      <c r="H42587" t="s">
        <v>34894</v>
      </c>
    </row>
    <row r="42588" spans="8:8">
      <c r="H42588" t="s">
        <v>34895</v>
      </c>
    </row>
    <row r="42589" spans="8:8">
      <c r="H42589" t="s">
        <v>34896</v>
      </c>
    </row>
    <row r="42590" spans="8:8">
      <c r="H42590" t="s">
        <v>34897</v>
      </c>
    </row>
    <row r="42591" spans="8:8">
      <c r="H42591" t="s">
        <v>34898</v>
      </c>
    </row>
    <row r="42592" spans="8:8">
      <c r="H42592" t="s">
        <v>34899</v>
      </c>
    </row>
    <row r="42593" spans="6:8">
      <c r="H42593" t="s">
        <v>34900</v>
      </c>
    </row>
    <row r="42594" spans="6:8">
      <c r="H42594" t="s">
        <v>34900</v>
      </c>
    </row>
    <row r="42595" spans="6:8">
      <c r="H42595" t="s">
        <v>34901</v>
      </c>
    </row>
    <row r="42596" spans="6:8">
      <c r="H42596" t="s">
        <v>34902</v>
      </c>
    </row>
    <row r="42597" spans="6:8">
      <c r="H42597" t="s">
        <v>34020</v>
      </c>
    </row>
    <row r="42598" spans="6:8">
      <c r="H42598" t="s">
        <v>34903</v>
      </c>
    </row>
    <row r="42599" spans="6:8">
      <c r="H42599" t="s">
        <v>19019</v>
      </c>
    </row>
    <row r="42600" spans="6:8">
      <c r="H42600" t="s">
        <v>34904</v>
      </c>
    </row>
    <row r="42601" spans="6:8">
      <c r="F42601" t="s">
        <v>10700</v>
      </c>
      <c r="G42601" t="s">
        <v>15100</v>
      </c>
      <c r="H42601" t="s">
        <v>18829</v>
      </c>
    </row>
    <row r="42602" spans="6:8">
      <c r="H42602" t="s">
        <v>18863</v>
      </c>
    </row>
    <row r="42603" spans="6:8">
      <c r="H42603" t="s">
        <v>34905</v>
      </c>
    </row>
    <row r="42604" spans="6:8">
      <c r="H42604" t="s">
        <v>34906</v>
      </c>
    </row>
    <row r="42605" spans="6:8">
      <c r="H42605" t="s">
        <v>22508</v>
      </c>
    </row>
    <row r="42606" spans="6:8">
      <c r="H42606" t="s">
        <v>34907</v>
      </c>
    </row>
    <row r="42607" spans="6:8">
      <c r="H42607" t="s">
        <v>34908</v>
      </c>
    </row>
    <row r="42608" spans="6:8">
      <c r="H42608" t="s">
        <v>34909</v>
      </c>
    </row>
    <row r="42609" spans="8:8">
      <c r="H42609" t="s">
        <v>34910</v>
      </c>
    </row>
    <row r="42610" spans="8:8">
      <c r="H42610" t="s">
        <v>34911</v>
      </c>
    </row>
    <row r="42611" spans="8:8">
      <c r="H42611" t="s">
        <v>34912</v>
      </c>
    </row>
    <row r="42612" spans="8:8">
      <c r="H42612" t="s">
        <v>34913</v>
      </c>
    </row>
    <row r="42613" spans="8:8">
      <c r="H42613" t="s">
        <v>34914</v>
      </c>
    </row>
    <row r="42614" spans="8:8">
      <c r="H42614" t="s">
        <v>34915</v>
      </c>
    </row>
    <row r="42615" spans="8:8">
      <c r="H42615" t="s">
        <v>34916</v>
      </c>
    </row>
    <row r="42616" spans="8:8">
      <c r="H42616" t="s">
        <v>34917</v>
      </c>
    </row>
    <row r="42617" spans="8:8">
      <c r="H42617" t="s">
        <v>25838</v>
      </c>
    </row>
    <row r="42618" spans="8:8">
      <c r="H42618" t="s">
        <v>34918</v>
      </c>
    </row>
    <row r="42619" spans="8:8">
      <c r="H42619" t="s">
        <v>34919</v>
      </c>
    </row>
    <row r="42620" spans="8:8">
      <c r="H42620" t="s">
        <v>34920</v>
      </c>
    </row>
    <row r="42621" spans="8:8">
      <c r="H42621" t="s">
        <v>25839</v>
      </c>
    </row>
    <row r="42622" spans="8:8">
      <c r="H42622" t="s">
        <v>27479</v>
      </c>
    </row>
    <row r="42623" spans="8:8">
      <c r="H42623" t="s">
        <v>32382</v>
      </c>
    </row>
    <row r="42624" spans="8:8">
      <c r="H42624" t="s">
        <v>34921</v>
      </c>
    </row>
    <row r="42625" spans="8:8">
      <c r="H42625" t="s">
        <v>34922</v>
      </c>
    </row>
    <row r="42626" spans="8:8">
      <c r="H42626" t="s">
        <v>34923</v>
      </c>
    </row>
    <row r="42627" spans="8:8">
      <c r="H42627" t="s">
        <v>34924</v>
      </c>
    </row>
    <row r="42628" spans="8:8">
      <c r="H42628" t="s">
        <v>34925</v>
      </c>
    </row>
    <row r="42629" spans="8:8">
      <c r="H42629" t="s">
        <v>34926</v>
      </c>
    </row>
    <row r="42630" spans="8:8">
      <c r="H42630" t="s">
        <v>34927</v>
      </c>
    </row>
    <row r="42631" spans="8:8">
      <c r="H42631" t="s">
        <v>34928</v>
      </c>
    </row>
    <row r="42632" spans="8:8">
      <c r="H42632" t="s">
        <v>34929</v>
      </c>
    </row>
    <row r="42633" spans="8:8">
      <c r="H42633" t="s">
        <v>34930</v>
      </c>
    </row>
    <row r="42634" spans="8:8">
      <c r="H42634" t="s">
        <v>34931</v>
      </c>
    </row>
    <row r="42635" spans="8:8">
      <c r="H42635" t="s">
        <v>34932</v>
      </c>
    </row>
    <row r="42636" spans="8:8">
      <c r="H42636" t="s">
        <v>34933</v>
      </c>
    </row>
    <row r="42637" spans="8:8">
      <c r="H42637" t="s">
        <v>34934</v>
      </c>
    </row>
    <row r="42638" spans="8:8">
      <c r="H42638" t="s">
        <v>34935</v>
      </c>
    </row>
    <row r="42639" spans="8:8">
      <c r="H42639" t="s">
        <v>34676</v>
      </c>
    </row>
    <row r="42640" spans="8:8">
      <c r="H42640" t="s">
        <v>34936</v>
      </c>
    </row>
    <row r="42641" spans="8:8">
      <c r="H42641" t="s">
        <v>34937</v>
      </c>
    </row>
    <row r="42642" spans="8:8">
      <c r="H42642" t="s">
        <v>34938</v>
      </c>
    </row>
    <row r="42643" spans="8:8">
      <c r="H42643" t="s">
        <v>19372</v>
      </c>
    </row>
    <row r="42644" spans="8:8">
      <c r="H42644" t="s">
        <v>18930</v>
      </c>
    </row>
    <row r="42645" spans="8:8">
      <c r="H42645" t="s">
        <v>34939</v>
      </c>
    </row>
    <row r="42646" spans="8:8">
      <c r="H42646" t="s">
        <v>34940</v>
      </c>
    </row>
    <row r="42647" spans="8:8">
      <c r="H42647" t="s">
        <v>20177</v>
      </c>
    </row>
    <row r="42648" spans="8:8">
      <c r="H42648" t="s">
        <v>33901</v>
      </c>
    </row>
    <row r="42649" spans="8:8">
      <c r="H42649" t="s">
        <v>34827</v>
      </c>
    </row>
    <row r="42650" spans="8:8">
      <c r="H42650" t="s">
        <v>34941</v>
      </c>
    </row>
    <row r="42651" spans="8:8">
      <c r="H42651" t="s">
        <v>34942</v>
      </c>
    </row>
    <row r="42652" spans="8:8">
      <c r="H42652" t="s">
        <v>34943</v>
      </c>
    </row>
    <row r="42653" spans="8:8">
      <c r="H42653" t="s">
        <v>34944</v>
      </c>
    </row>
    <row r="42654" spans="8:8">
      <c r="H42654" t="s">
        <v>34945</v>
      </c>
    </row>
    <row r="42655" spans="8:8">
      <c r="H42655" t="s">
        <v>34946</v>
      </c>
    </row>
    <row r="42656" spans="8:8">
      <c r="H42656" t="s">
        <v>34947</v>
      </c>
    </row>
    <row r="42657" spans="8:8">
      <c r="H42657" t="s">
        <v>34948</v>
      </c>
    </row>
    <row r="42658" spans="8:8">
      <c r="H42658" t="s">
        <v>34949</v>
      </c>
    </row>
    <row r="42659" spans="8:8">
      <c r="H42659" t="s">
        <v>34950</v>
      </c>
    </row>
    <row r="42660" spans="8:8">
      <c r="H42660" t="s">
        <v>34951</v>
      </c>
    </row>
    <row r="42661" spans="8:8">
      <c r="H42661" t="s">
        <v>34952</v>
      </c>
    </row>
    <row r="42662" spans="8:8">
      <c r="H42662" t="s">
        <v>34953</v>
      </c>
    </row>
    <row r="42663" spans="8:8">
      <c r="H42663" t="s">
        <v>34954</v>
      </c>
    </row>
    <row r="42664" spans="8:8">
      <c r="H42664" t="s">
        <v>34955</v>
      </c>
    </row>
    <row r="42665" spans="8:8">
      <c r="H42665" t="s">
        <v>34956</v>
      </c>
    </row>
    <row r="42666" spans="8:8">
      <c r="H42666" t="s">
        <v>34957</v>
      </c>
    </row>
    <row r="42667" spans="8:8">
      <c r="H42667" t="s">
        <v>34958</v>
      </c>
    </row>
    <row r="42668" spans="8:8">
      <c r="H42668" t="s">
        <v>34959</v>
      </c>
    </row>
    <row r="42669" spans="8:8">
      <c r="H42669" t="s">
        <v>34960</v>
      </c>
    </row>
    <row r="42670" spans="8:8">
      <c r="H42670" t="s">
        <v>34006</v>
      </c>
    </row>
    <row r="42671" spans="8:8">
      <c r="H42671" t="s">
        <v>34961</v>
      </c>
    </row>
    <row r="42672" spans="8:8">
      <c r="H42672" t="s">
        <v>34962</v>
      </c>
    </row>
    <row r="42673" spans="6:8">
      <c r="H42673" t="s">
        <v>34963</v>
      </c>
    </row>
    <row r="42674" spans="6:8">
      <c r="H42674" t="s">
        <v>31668</v>
      </c>
    </row>
    <row r="42675" spans="6:8">
      <c r="H42675" t="s">
        <v>32385</v>
      </c>
    </row>
    <row r="42676" spans="6:8">
      <c r="H42676" t="s">
        <v>34964</v>
      </c>
    </row>
    <row r="42677" spans="6:8">
      <c r="H42677" t="s">
        <v>34965</v>
      </c>
    </row>
    <row r="42678" spans="6:8">
      <c r="H42678" t="s">
        <v>34966</v>
      </c>
    </row>
    <row r="42679" spans="6:8">
      <c r="F42679" t="s">
        <v>14306</v>
      </c>
      <c r="G42679" t="s">
        <v>18263</v>
      </c>
      <c r="H42679" t="s">
        <v>34967</v>
      </c>
    </row>
    <row r="42680" spans="6:8">
      <c r="F42680" t="s">
        <v>13837</v>
      </c>
      <c r="G42680" t="s">
        <v>17880</v>
      </c>
      <c r="H42680" t="s">
        <v>18829</v>
      </c>
    </row>
    <row r="42681" spans="6:8">
      <c r="H42681" t="s">
        <v>18863</v>
      </c>
    </row>
    <row r="42682" spans="6:8">
      <c r="H42682" t="s">
        <v>34968</v>
      </c>
    </row>
    <row r="42683" spans="6:8">
      <c r="H42683" t="s">
        <v>34969</v>
      </c>
    </row>
    <row r="42684" spans="6:8">
      <c r="H42684" t="s">
        <v>27735</v>
      </c>
    </row>
    <row r="42685" spans="6:8">
      <c r="H42685" t="s">
        <v>34970</v>
      </c>
    </row>
    <row r="42686" spans="6:8">
      <c r="H42686" t="s">
        <v>34971</v>
      </c>
    </row>
    <row r="42687" spans="6:8">
      <c r="H42687" t="s">
        <v>34972</v>
      </c>
    </row>
    <row r="42688" spans="6:8">
      <c r="H42688" t="s">
        <v>34973</v>
      </c>
    </row>
    <row r="42689" spans="8:8">
      <c r="H42689" t="s">
        <v>34974</v>
      </c>
    </row>
    <row r="42690" spans="8:8">
      <c r="H42690" t="s">
        <v>34975</v>
      </c>
    </row>
    <row r="42691" spans="8:8">
      <c r="H42691" t="s">
        <v>34975</v>
      </c>
    </row>
    <row r="42692" spans="8:8">
      <c r="H42692" t="s">
        <v>31970</v>
      </c>
    </row>
    <row r="42693" spans="8:8">
      <c r="H42693" t="s">
        <v>31970</v>
      </c>
    </row>
    <row r="42694" spans="8:8">
      <c r="H42694" t="s">
        <v>34976</v>
      </c>
    </row>
    <row r="42695" spans="8:8">
      <c r="H42695" t="s">
        <v>31971</v>
      </c>
    </row>
    <row r="42696" spans="8:8">
      <c r="H42696" t="s">
        <v>20177</v>
      </c>
    </row>
    <row r="42697" spans="8:8">
      <c r="H42697" t="s">
        <v>31967</v>
      </c>
    </row>
    <row r="42698" spans="8:8">
      <c r="H42698" t="s">
        <v>34977</v>
      </c>
    </row>
    <row r="42699" spans="8:8">
      <c r="H42699" t="s">
        <v>34978</v>
      </c>
    </row>
    <row r="42700" spans="8:8">
      <c r="H42700" t="s">
        <v>34979</v>
      </c>
    </row>
    <row r="42701" spans="8:8">
      <c r="H42701" t="s">
        <v>31852</v>
      </c>
    </row>
    <row r="42702" spans="8:8">
      <c r="H42702" t="s">
        <v>34980</v>
      </c>
    </row>
    <row r="42703" spans="8:8">
      <c r="H42703" t="s">
        <v>34981</v>
      </c>
    </row>
    <row r="42704" spans="8:8">
      <c r="H42704" t="s">
        <v>34982</v>
      </c>
    </row>
    <row r="42705" spans="8:8">
      <c r="H42705" t="s">
        <v>34983</v>
      </c>
    </row>
    <row r="42706" spans="8:8">
      <c r="H42706" t="s">
        <v>34984</v>
      </c>
    </row>
    <row r="42707" spans="8:8">
      <c r="H42707" t="s">
        <v>34985</v>
      </c>
    </row>
    <row r="42708" spans="8:8">
      <c r="H42708" t="s">
        <v>34986</v>
      </c>
    </row>
    <row r="42709" spans="8:8">
      <c r="H42709" t="s">
        <v>34987</v>
      </c>
    </row>
    <row r="42710" spans="8:8">
      <c r="H42710" t="s">
        <v>34988</v>
      </c>
    </row>
    <row r="42711" spans="8:8">
      <c r="H42711" t="s">
        <v>34989</v>
      </c>
    </row>
    <row r="42712" spans="8:8">
      <c r="H42712" t="s">
        <v>34990</v>
      </c>
    </row>
    <row r="42713" spans="8:8">
      <c r="H42713" t="s">
        <v>34991</v>
      </c>
    </row>
    <row r="42714" spans="8:8">
      <c r="H42714" t="s">
        <v>34992</v>
      </c>
    </row>
    <row r="42715" spans="8:8">
      <c r="H42715" t="s">
        <v>34993</v>
      </c>
    </row>
    <row r="42716" spans="8:8">
      <c r="H42716" t="s">
        <v>34994</v>
      </c>
    </row>
    <row r="42717" spans="8:8">
      <c r="H42717" t="s">
        <v>34995</v>
      </c>
    </row>
    <row r="42718" spans="8:8">
      <c r="H42718" t="s">
        <v>34996</v>
      </c>
    </row>
    <row r="42719" spans="8:8">
      <c r="H42719" t="s">
        <v>34997</v>
      </c>
    </row>
    <row r="42720" spans="8:8">
      <c r="H42720" t="s">
        <v>31970</v>
      </c>
    </row>
    <row r="42721" spans="8:8">
      <c r="H42721" t="s">
        <v>34976</v>
      </c>
    </row>
    <row r="42722" spans="8:8">
      <c r="H42722" t="s">
        <v>34998</v>
      </c>
    </row>
    <row r="42723" spans="8:8">
      <c r="H42723" t="s">
        <v>34999</v>
      </c>
    </row>
    <row r="42724" spans="8:8">
      <c r="H42724" t="s">
        <v>35000</v>
      </c>
    </row>
    <row r="42725" spans="8:8">
      <c r="H42725" t="s">
        <v>35001</v>
      </c>
    </row>
    <row r="42726" spans="8:8">
      <c r="H42726" t="s">
        <v>31971</v>
      </c>
    </row>
    <row r="42727" spans="8:8">
      <c r="H42727" t="s">
        <v>20177</v>
      </c>
    </row>
    <row r="42728" spans="8:8">
      <c r="H42728" t="s">
        <v>35002</v>
      </c>
    </row>
    <row r="42729" spans="8:8">
      <c r="H42729" t="s">
        <v>35003</v>
      </c>
    </row>
    <row r="42730" spans="8:8">
      <c r="H42730" t="s">
        <v>35004</v>
      </c>
    </row>
    <row r="42731" spans="8:8">
      <c r="H42731" t="s">
        <v>35005</v>
      </c>
    </row>
    <row r="42732" spans="8:8">
      <c r="H42732" t="s">
        <v>35006</v>
      </c>
    </row>
    <row r="42733" spans="8:8">
      <c r="H42733" t="s">
        <v>35007</v>
      </c>
    </row>
    <row r="42734" spans="8:8">
      <c r="H42734" t="s">
        <v>35008</v>
      </c>
    </row>
    <row r="42735" spans="8:8">
      <c r="H42735" t="s">
        <v>35009</v>
      </c>
    </row>
    <row r="42736" spans="8:8">
      <c r="H42736" t="s">
        <v>35010</v>
      </c>
    </row>
    <row r="42737" spans="6:8">
      <c r="H42737" t="s">
        <v>35011</v>
      </c>
    </row>
    <row r="42738" spans="6:8">
      <c r="H42738" t="s">
        <v>35012</v>
      </c>
    </row>
    <row r="42739" spans="6:8">
      <c r="H42739" t="s">
        <v>35013</v>
      </c>
    </row>
    <row r="42740" spans="6:8">
      <c r="H42740" t="s">
        <v>35014</v>
      </c>
    </row>
    <row r="42741" spans="6:8">
      <c r="H42741" t="s">
        <v>35015</v>
      </c>
    </row>
    <row r="42742" spans="6:8">
      <c r="F42742" t="s">
        <v>12201</v>
      </c>
      <c r="G42742" t="s">
        <v>16439</v>
      </c>
      <c r="H42742" t="s">
        <v>18829</v>
      </c>
    </row>
    <row r="42743" spans="6:8">
      <c r="H42743" t="s">
        <v>21327</v>
      </c>
    </row>
    <row r="42744" spans="6:8">
      <c r="H42744" t="s">
        <v>21328</v>
      </c>
    </row>
    <row r="42745" spans="6:8">
      <c r="H42745" t="s">
        <v>35016</v>
      </c>
    </row>
    <row r="42746" spans="6:8">
      <c r="H42746" t="s">
        <v>35017</v>
      </c>
    </row>
    <row r="42747" spans="6:8">
      <c r="F42747" t="s">
        <v>14222</v>
      </c>
      <c r="G42747" t="s">
        <v>18195</v>
      </c>
      <c r="H42747" t="s">
        <v>35018</v>
      </c>
    </row>
    <row r="42748" spans="6:8">
      <c r="H42748" t="s">
        <v>18863</v>
      </c>
    </row>
    <row r="42749" spans="6:8">
      <c r="H42749" t="s">
        <v>34106</v>
      </c>
    </row>
    <row r="42750" spans="6:8">
      <c r="H42750" t="s">
        <v>35019</v>
      </c>
    </row>
    <row r="42751" spans="6:8">
      <c r="H42751" t="s">
        <v>35020</v>
      </c>
    </row>
    <row r="42752" spans="6:8">
      <c r="H42752" t="s">
        <v>35020</v>
      </c>
    </row>
    <row r="42753" spans="8:8">
      <c r="H42753" t="s">
        <v>35021</v>
      </c>
    </row>
    <row r="42754" spans="8:8">
      <c r="H42754" t="s">
        <v>35022</v>
      </c>
    </row>
    <row r="42755" spans="8:8">
      <c r="H42755" t="s">
        <v>35023</v>
      </c>
    </row>
    <row r="42756" spans="8:8">
      <c r="H42756" t="s">
        <v>35024</v>
      </c>
    </row>
    <row r="42757" spans="8:8">
      <c r="H42757" t="s">
        <v>35025</v>
      </c>
    </row>
    <row r="42758" spans="8:8">
      <c r="H42758" t="s">
        <v>35026</v>
      </c>
    </row>
    <row r="42759" spans="8:8">
      <c r="H42759" t="s">
        <v>35027</v>
      </c>
    </row>
    <row r="42760" spans="8:8">
      <c r="H42760" t="s">
        <v>35028</v>
      </c>
    </row>
    <row r="42761" spans="8:8">
      <c r="H42761" t="s">
        <v>35029</v>
      </c>
    </row>
    <row r="42762" spans="8:8">
      <c r="H42762" t="s">
        <v>35030</v>
      </c>
    </row>
    <row r="42763" spans="8:8">
      <c r="H42763" t="s">
        <v>35031</v>
      </c>
    </row>
    <row r="42764" spans="8:8">
      <c r="H42764" t="s">
        <v>35032</v>
      </c>
    </row>
    <row r="42765" spans="8:8">
      <c r="H42765" t="s">
        <v>35033</v>
      </c>
    </row>
    <row r="42766" spans="8:8">
      <c r="H42766" t="s">
        <v>35034</v>
      </c>
    </row>
    <row r="42767" spans="8:8">
      <c r="H42767" t="s">
        <v>35035</v>
      </c>
    </row>
    <row r="42768" spans="8:8">
      <c r="H42768" t="s">
        <v>35036</v>
      </c>
    </row>
    <row r="42769" spans="6:8">
      <c r="H42769" t="s">
        <v>35037</v>
      </c>
    </row>
    <row r="42770" spans="6:8">
      <c r="H42770" t="s">
        <v>35038</v>
      </c>
    </row>
    <row r="42771" spans="6:8">
      <c r="H42771" t="s">
        <v>35039</v>
      </c>
    </row>
    <row r="42772" spans="6:8">
      <c r="F42772" t="s">
        <v>14307</v>
      </c>
      <c r="G42772" t="s">
        <v>18264</v>
      </c>
      <c r="H42772" t="s">
        <v>35040</v>
      </c>
    </row>
    <row r="42773" spans="6:8">
      <c r="H42773" t="s">
        <v>35041</v>
      </c>
    </row>
    <row r="42774" spans="6:8">
      <c r="H42774" t="s">
        <v>35042</v>
      </c>
    </row>
    <row r="42775" spans="6:8">
      <c r="H42775" t="s">
        <v>35043</v>
      </c>
    </row>
    <row r="42776" spans="6:8">
      <c r="H42776" t="s">
        <v>35044</v>
      </c>
    </row>
    <row r="42777" spans="6:8">
      <c r="H42777" t="s">
        <v>35045</v>
      </c>
    </row>
    <row r="42778" spans="6:8">
      <c r="H42778" t="s">
        <v>35046</v>
      </c>
    </row>
    <row r="42779" spans="6:8">
      <c r="H42779" t="s">
        <v>35047</v>
      </c>
    </row>
    <row r="42780" spans="6:8">
      <c r="F42780" t="s">
        <v>14159</v>
      </c>
      <c r="G42780" t="s">
        <v>18145</v>
      </c>
      <c r="H42780" t="s">
        <v>18829</v>
      </c>
    </row>
    <row r="42781" spans="6:8">
      <c r="H42781" t="s">
        <v>18836</v>
      </c>
    </row>
    <row r="42782" spans="6:8">
      <c r="H42782" t="s">
        <v>35048</v>
      </c>
    </row>
    <row r="42783" spans="6:8">
      <c r="H42783" t="s">
        <v>35049</v>
      </c>
    </row>
    <row r="42784" spans="6:8">
      <c r="H42784" t="s">
        <v>35050</v>
      </c>
    </row>
    <row r="42785" spans="6:8">
      <c r="F42785" t="s">
        <v>14308</v>
      </c>
      <c r="G42785" t="s">
        <v>18265</v>
      </c>
      <c r="H42785" t="s">
        <v>18829</v>
      </c>
    </row>
    <row r="42786" spans="6:8">
      <c r="H42786" t="s">
        <v>26408</v>
      </c>
    </row>
    <row r="42787" spans="6:8">
      <c r="H42787" t="s">
        <v>30464</v>
      </c>
    </row>
    <row r="42788" spans="6:8">
      <c r="H42788" t="s">
        <v>30466</v>
      </c>
    </row>
    <row r="42789" spans="6:8">
      <c r="H42789" t="s">
        <v>35051</v>
      </c>
    </row>
    <row r="42790" spans="6:8">
      <c r="H42790" t="s">
        <v>35052</v>
      </c>
    </row>
    <row r="42791" spans="6:8">
      <c r="H42791" t="s">
        <v>35053</v>
      </c>
    </row>
    <row r="42792" spans="6:8">
      <c r="H42792" t="s">
        <v>30466</v>
      </c>
    </row>
    <row r="42793" spans="6:8">
      <c r="H42793" t="s">
        <v>25704</v>
      </c>
    </row>
    <row r="42794" spans="6:8">
      <c r="H42794" t="s">
        <v>35054</v>
      </c>
    </row>
    <row r="42795" spans="6:8">
      <c r="H42795" t="s">
        <v>35055</v>
      </c>
    </row>
    <row r="42796" spans="6:8">
      <c r="H42796" t="s">
        <v>35056</v>
      </c>
    </row>
    <row r="42797" spans="6:8">
      <c r="H42797" t="s">
        <v>35057</v>
      </c>
    </row>
    <row r="42798" spans="6:8">
      <c r="H42798" t="s">
        <v>35058</v>
      </c>
    </row>
    <row r="42799" spans="6:8">
      <c r="H42799" t="s">
        <v>35059</v>
      </c>
    </row>
    <row r="42800" spans="6:8">
      <c r="H42800" t="s">
        <v>35059</v>
      </c>
    </row>
    <row r="42801" spans="8:8">
      <c r="H42801" t="s">
        <v>35052</v>
      </c>
    </row>
    <row r="42802" spans="8:8">
      <c r="H42802" t="s">
        <v>35058</v>
      </c>
    </row>
    <row r="42803" spans="8:8">
      <c r="H42803" t="s">
        <v>30466</v>
      </c>
    </row>
    <row r="42804" spans="8:8">
      <c r="H42804" t="s">
        <v>25704</v>
      </c>
    </row>
    <row r="42805" spans="8:8">
      <c r="H42805" t="s">
        <v>35053</v>
      </c>
    </row>
    <row r="42806" spans="8:8">
      <c r="H42806" t="s">
        <v>35054</v>
      </c>
    </row>
    <row r="42807" spans="8:8">
      <c r="H42807" t="s">
        <v>35055</v>
      </c>
    </row>
    <row r="42808" spans="8:8">
      <c r="H42808" t="s">
        <v>35060</v>
      </c>
    </row>
    <row r="42809" spans="8:8">
      <c r="H42809" t="s">
        <v>35052</v>
      </c>
    </row>
    <row r="42810" spans="8:8">
      <c r="H42810" t="s">
        <v>35053</v>
      </c>
    </row>
    <row r="42811" spans="8:8">
      <c r="H42811" t="s">
        <v>30466</v>
      </c>
    </row>
    <row r="42812" spans="8:8">
      <c r="H42812" t="s">
        <v>25704</v>
      </c>
    </row>
    <row r="42813" spans="8:8">
      <c r="H42813" t="s">
        <v>35054</v>
      </c>
    </row>
    <row r="42814" spans="8:8">
      <c r="H42814" t="s">
        <v>35055</v>
      </c>
    </row>
    <row r="42815" spans="8:8">
      <c r="H42815" t="s">
        <v>35061</v>
      </c>
    </row>
    <row r="42816" spans="8:8">
      <c r="H42816" t="s">
        <v>35062</v>
      </c>
    </row>
    <row r="42817" spans="6:8">
      <c r="H42817" t="s">
        <v>35063</v>
      </c>
    </row>
    <row r="42818" spans="6:8">
      <c r="H42818" t="s">
        <v>35064</v>
      </c>
    </row>
    <row r="42819" spans="6:8">
      <c r="H42819" t="s">
        <v>35065</v>
      </c>
    </row>
    <row r="42820" spans="6:8">
      <c r="H42820" t="s">
        <v>35066</v>
      </c>
    </row>
    <row r="42821" spans="6:8">
      <c r="H42821" t="s">
        <v>35067</v>
      </c>
    </row>
    <row r="42822" spans="6:8">
      <c r="H42822" t="s">
        <v>35068</v>
      </c>
    </row>
    <row r="42823" spans="6:8">
      <c r="H42823" t="s">
        <v>30465</v>
      </c>
    </row>
    <row r="42824" spans="6:8">
      <c r="H42824" t="s">
        <v>35069</v>
      </c>
    </row>
    <row r="42825" spans="6:8">
      <c r="H42825" t="s">
        <v>35070</v>
      </c>
    </row>
    <row r="42826" spans="6:8">
      <c r="H42826" t="s">
        <v>35071</v>
      </c>
    </row>
    <row r="42827" spans="6:8">
      <c r="H42827" t="s">
        <v>35072</v>
      </c>
    </row>
    <row r="42828" spans="6:8">
      <c r="H42828" t="s">
        <v>35073</v>
      </c>
    </row>
    <row r="42829" spans="6:8">
      <c r="H42829" t="s">
        <v>35074</v>
      </c>
    </row>
    <row r="42830" spans="6:8">
      <c r="H42830" t="s">
        <v>35075</v>
      </c>
    </row>
    <row r="42831" spans="6:8">
      <c r="F42831" t="s">
        <v>13309</v>
      </c>
      <c r="G42831" t="s">
        <v>17442</v>
      </c>
      <c r="H42831" t="s">
        <v>29102</v>
      </c>
    </row>
    <row r="42832" spans="6:8">
      <c r="H42832" t="s">
        <v>35076</v>
      </c>
    </row>
    <row r="42833" spans="8:8">
      <c r="H42833" t="s">
        <v>35077</v>
      </c>
    </row>
    <row r="42834" spans="8:8">
      <c r="H42834" t="s">
        <v>35078</v>
      </c>
    </row>
    <row r="42835" spans="8:8">
      <c r="H42835" t="s">
        <v>35079</v>
      </c>
    </row>
    <row r="42836" spans="8:8">
      <c r="H42836" t="s">
        <v>29103</v>
      </c>
    </row>
    <row r="42837" spans="8:8">
      <c r="H42837" t="s">
        <v>35080</v>
      </c>
    </row>
    <row r="42838" spans="8:8">
      <c r="H42838" t="s">
        <v>35081</v>
      </c>
    </row>
    <row r="42839" spans="8:8">
      <c r="H42839" t="s">
        <v>35082</v>
      </c>
    </row>
    <row r="42840" spans="8:8">
      <c r="H42840" t="s">
        <v>35083</v>
      </c>
    </row>
    <row r="42841" spans="8:8">
      <c r="H42841" t="s">
        <v>35084</v>
      </c>
    </row>
    <row r="42842" spans="8:8">
      <c r="H42842" t="s">
        <v>35085</v>
      </c>
    </row>
    <row r="42843" spans="8:8">
      <c r="H42843" t="s">
        <v>35086</v>
      </c>
    </row>
    <row r="42844" spans="8:8">
      <c r="H42844" t="s">
        <v>35087</v>
      </c>
    </row>
    <row r="42845" spans="8:8">
      <c r="H42845" t="s">
        <v>35088</v>
      </c>
    </row>
    <row r="42846" spans="8:8">
      <c r="H42846" t="s">
        <v>35089</v>
      </c>
    </row>
    <row r="42847" spans="8:8">
      <c r="H42847" t="s">
        <v>35090</v>
      </c>
    </row>
    <row r="42848" spans="8:8">
      <c r="H42848" t="s">
        <v>35091</v>
      </c>
    </row>
    <row r="42849" spans="8:8">
      <c r="H42849" t="s">
        <v>35092</v>
      </c>
    </row>
    <row r="42850" spans="8:8">
      <c r="H42850" t="s">
        <v>35093</v>
      </c>
    </row>
    <row r="42851" spans="8:8">
      <c r="H42851" t="s">
        <v>35094</v>
      </c>
    </row>
    <row r="42852" spans="8:8">
      <c r="H42852" t="s">
        <v>35095</v>
      </c>
    </row>
    <row r="42853" spans="8:8">
      <c r="H42853" t="s">
        <v>35096</v>
      </c>
    </row>
    <row r="42854" spans="8:8">
      <c r="H42854" t="s">
        <v>35097</v>
      </c>
    </row>
    <row r="42855" spans="8:8">
      <c r="H42855" t="s">
        <v>35098</v>
      </c>
    </row>
    <row r="42856" spans="8:8">
      <c r="H42856" t="s">
        <v>35099</v>
      </c>
    </row>
    <row r="42857" spans="8:8">
      <c r="H42857" t="s">
        <v>35100</v>
      </c>
    </row>
    <row r="42858" spans="8:8">
      <c r="H42858" t="s">
        <v>35101</v>
      </c>
    </row>
    <row r="42859" spans="8:8">
      <c r="H42859" t="s">
        <v>35102</v>
      </c>
    </row>
    <row r="42860" spans="8:8">
      <c r="H42860" t="s">
        <v>35103</v>
      </c>
    </row>
    <row r="42861" spans="8:8">
      <c r="H42861" t="s">
        <v>35104</v>
      </c>
    </row>
    <row r="42862" spans="8:8">
      <c r="H42862" t="s">
        <v>35105</v>
      </c>
    </row>
    <row r="42863" spans="8:8">
      <c r="H42863" t="s">
        <v>35106</v>
      </c>
    </row>
    <row r="42864" spans="8:8">
      <c r="H42864" t="s">
        <v>35107</v>
      </c>
    </row>
    <row r="42865" spans="8:8">
      <c r="H42865" t="s">
        <v>35108</v>
      </c>
    </row>
    <row r="42866" spans="8:8">
      <c r="H42866" t="s">
        <v>35109</v>
      </c>
    </row>
    <row r="42867" spans="8:8">
      <c r="H42867" t="s">
        <v>35110</v>
      </c>
    </row>
    <row r="42868" spans="8:8">
      <c r="H42868" t="s">
        <v>35111</v>
      </c>
    </row>
    <row r="42869" spans="8:8">
      <c r="H42869" t="s">
        <v>35112</v>
      </c>
    </row>
    <row r="42870" spans="8:8">
      <c r="H42870" t="s">
        <v>35113</v>
      </c>
    </row>
    <row r="42871" spans="8:8">
      <c r="H42871" t="s">
        <v>35114</v>
      </c>
    </row>
    <row r="42872" spans="8:8">
      <c r="H42872" t="s">
        <v>35115</v>
      </c>
    </row>
    <row r="42873" spans="8:8">
      <c r="H42873" t="s">
        <v>35116</v>
      </c>
    </row>
    <row r="42874" spans="8:8">
      <c r="H42874" t="s">
        <v>35117</v>
      </c>
    </row>
    <row r="42875" spans="8:8">
      <c r="H42875" t="s">
        <v>35118</v>
      </c>
    </row>
    <row r="42876" spans="8:8">
      <c r="H42876" t="s">
        <v>35119</v>
      </c>
    </row>
    <row r="42877" spans="8:8">
      <c r="H42877" t="s">
        <v>35120</v>
      </c>
    </row>
    <row r="42878" spans="8:8">
      <c r="H42878" t="s">
        <v>35121</v>
      </c>
    </row>
    <row r="42879" spans="8:8">
      <c r="H42879" t="s">
        <v>35122</v>
      </c>
    </row>
    <row r="42880" spans="8:8">
      <c r="H42880" t="s">
        <v>35123</v>
      </c>
    </row>
    <row r="42881" spans="8:8">
      <c r="H42881" t="s">
        <v>35124</v>
      </c>
    </row>
    <row r="42882" spans="8:8">
      <c r="H42882" t="s">
        <v>35125</v>
      </c>
    </row>
    <row r="42883" spans="8:8">
      <c r="H42883" t="s">
        <v>35126</v>
      </c>
    </row>
    <row r="42884" spans="8:8">
      <c r="H42884" t="s">
        <v>35127</v>
      </c>
    </row>
    <row r="42885" spans="8:8">
      <c r="H42885" t="s">
        <v>35128</v>
      </c>
    </row>
    <row r="42886" spans="8:8">
      <c r="H42886" t="s">
        <v>35129</v>
      </c>
    </row>
    <row r="42887" spans="8:8">
      <c r="H42887" t="s">
        <v>35130</v>
      </c>
    </row>
    <row r="42888" spans="8:8">
      <c r="H42888" t="s">
        <v>35131</v>
      </c>
    </row>
    <row r="42889" spans="8:8">
      <c r="H42889" t="s">
        <v>35132</v>
      </c>
    </row>
    <row r="42890" spans="8:8">
      <c r="H42890" t="s">
        <v>35133</v>
      </c>
    </row>
    <row r="42891" spans="8:8">
      <c r="H42891" t="s">
        <v>35134</v>
      </c>
    </row>
    <row r="42892" spans="8:8">
      <c r="H42892" t="s">
        <v>35135</v>
      </c>
    </row>
    <row r="42893" spans="8:8">
      <c r="H42893" t="s">
        <v>35136</v>
      </c>
    </row>
    <row r="42894" spans="8:8">
      <c r="H42894" t="s">
        <v>35137</v>
      </c>
    </row>
    <row r="42895" spans="8:8">
      <c r="H42895" t="s">
        <v>35138</v>
      </c>
    </row>
    <row r="42896" spans="8:8">
      <c r="H42896" t="s">
        <v>35139</v>
      </c>
    </row>
    <row r="42897" spans="8:8">
      <c r="H42897" t="s">
        <v>35140</v>
      </c>
    </row>
    <row r="42898" spans="8:8">
      <c r="H42898" t="s">
        <v>35141</v>
      </c>
    </row>
    <row r="42899" spans="8:8">
      <c r="H42899" t="s">
        <v>35142</v>
      </c>
    </row>
    <row r="42900" spans="8:8">
      <c r="H42900" t="s">
        <v>35143</v>
      </c>
    </row>
    <row r="42901" spans="8:8">
      <c r="H42901" t="s">
        <v>35144</v>
      </c>
    </row>
    <row r="42902" spans="8:8">
      <c r="H42902" t="s">
        <v>35145</v>
      </c>
    </row>
    <row r="42903" spans="8:8">
      <c r="H42903" t="s">
        <v>35146</v>
      </c>
    </row>
    <row r="42904" spans="8:8">
      <c r="H42904" t="s">
        <v>35147</v>
      </c>
    </row>
    <row r="42905" spans="8:8">
      <c r="H42905" t="s">
        <v>35148</v>
      </c>
    </row>
    <row r="42906" spans="8:8">
      <c r="H42906" t="s">
        <v>35149</v>
      </c>
    </row>
    <row r="42907" spans="8:8">
      <c r="H42907" t="s">
        <v>35150</v>
      </c>
    </row>
    <row r="42908" spans="8:8">
      <c r="H42908" t="s">
        <v>35151</v>
      </c>
    </row>
    <row r="42909" spans="8:8">
      <c r="H42909" t="s">
        <v>35152</v>
      </c>
    </row>
    <row r="42910" spans="8:8">
      <c r="H42910" t="s">
        <v>35153</v>
      </c>
    </row>
    <row r="42911" spans="8:8">
      <c r="H42911" t="s">
        <v>35154</v>
      </c>
    </row>
    <row r="42912" spans="8:8">
      <c r="H42912" t="s">
        <v>35155</v>
      </c>
    </row>
    <row r="42913" spans="6:8">
      <c r="H42913" t="s">
        <v>35156</v>
      </c>
    </row>
    <row r="42914" spans="6:8">
      <c r="F42914" t="s">
        <v>13928</v>
      </c>
      <c r="G42914" t="s">
        <v>17964</v>
      </c>
      <c r="H42914" t="s">
        <v>35157</v>
      </c>
    </row>
    <row r="42915" spans="6:8">
      <c r="H42915" t="s">
        <v>18829</v>
      </c>
    </row>
    <row r="42916" spans="6:8">
      <c r="H42916" t="s">
        <v>35158</v>
      </c>
    </row>
    <row r="42917" spans="6:8">
      <c r="H42917" t="s">
        <v>35159</v>
      </c>
    </row>
    <row r="42918" spans="6:8">
      <c r="H42918" t="s">
        <v>35160</v>
      </c>
    </row>
    <row r="42919" spans="6:8">
      <c r="H42919" t="s">
        <v>35161</v>
      </c>
    </row>
    <row r="42920" spans="6:8">
      <c r="H42920" t="s">
        <v>35162</v>
      </c>
    </row>
    <row r="42921" spans="6:8">
      <c r="H42921" t="s">
        <v>35162</v>
      </c>
    </row>
    <row r="42922" spans="6:8">
      <c r="H42922" t="s">
        <v>35162</v>
      </c>
    </row>
    <row r="42923" spans="6:8">
      <c r="H42923" t="s">
        <v>35163</v>
      </c>
    </row>
    <row r="42924" spans="6:8">
      <c r="H42924" t="s">
        <v>35164</v>
      </c>
    </row>
    <row r="42925" spans="6:8">
      <c r="H42925" t="s">
        <v>35165</v>
      </c>
    </row>
    <row r="42926" spans="6:8">
      <c r="H42926" t="s">
        <v>35166</v>
      </c>
    </row>
    <row r="42927" spans="6:8">
      <c r="H42927" t="s">
        <v>35167</v>
      </c>
    </row>
    <row r="42928" spans="6:8">
      <c r="H42928" t="s">
        <v>35168</v>
      </c>
    </row>
    <row r="42929" spans="8:8">
      <c r="H42929" t="s">
        <v>35169</v>
      </c>
    </row>
    <row r="42930" spans="8:8">
      <c r="H42930" t="s">
        <v>35170</v>
      </c>
    </row>
    <row r="42931" spans="8:8">
      <c r="H42931" t="s">
        <v>35171</v>
      </c>
    </row>
    <row r="42932" spans="8:8">
      <c r="H42932" t="s">
        <v>35172</v>
      </c>
    </row>
    <row r="42933" spans="8:8">
      <c r="H42933" t="s">
        <v>35173</v>
      </c>
    </row>
    <row r="42934" spans="8:8">
      <c r="H42934" t="s">
        <v>35174</v>
      </c>
    </row>
    <row r="42935" spans="8:8">
      <c r="H42935" t="s">
        <v>35175</v>
      </c>
    </row>
    <row r="42936" spans="8:8">
      <c r="H42936" t="s">
        <v>35176</v>
      </c>
    </row>
    <row r="42937" spans="8:8">
      <c r="H42937" t="s">
        <v>35177</v>
      </c>
    </row>
    <row r="42938" spans="8:8">
      <c r="H42938" t="s">
        <v>35178</v>
      </c>
    </row>
    <row r="42939" spans="8:8">
      <c r="H42939" t="s">
        <v>35179</v>
      </c>
    </row>
    <row r="42940" spans="8:8">
      <c r="H42940" t="s">
        <v>35180</v>
      </c>
    </row>
    <row r="42941" spans="8:8">
      <c r="H42941" t="s">
        <v>35181</v>
      </c>
    </row>
    <row r="42942" spans="8:8">
      <c r="H42942" t="s">
        <v>35182</v>
      </c>
    </row>
    <row r="42943" spans="8:8">
      <c r="H42943" t="s">
        <v>35183</v>
      </c>
    </row>
    <row r="42944" spans="8:8">
      <c r="H42944" t="s">
        <v>35184</v>
      </c>
    </row>
    <row r="42945" spans="6:8">
      <c r="H42945" t="s">
        <v>35185</v>
      </c>
    </row>
    <row r="42946" spans="6:8">
      <c r="H42946" t="s">
        <v>35186</v>
      </c>
    </row>
    <row r="42947" spans="6:8">
      <c r="H42947" t="s">
        <v>35187</v>
      </c>
    </row>
    <row r="42948" spans="6:8">
      <c r="H42948" t="s">
        <v>35188</v>
      </c>
    </row>
    <row r="42949" spans="6:8">
      <c r="H42949" t="s">
        <v>35189</v>
      </c>
    </row>
    <row r="42950" spans="6:8">
      <c r="H42950" t="s">
        <v>35190</v>
      </c>
    </row>
    <row r="42951" spans="6:8">
      <c r="H42951" t="s">
        <v>35191</v>
      </c>
    </row>
    <row r="42952" spans="6:8">
      <c r="H42952" t="s">
        <v>35192</v>
      </c>
    </row>
    <row r="42953" spans="6:8">
      <c r="H42953" t="s">
        <v>35193</v>
      </c>
    </row>
    <row r="42954" spans="6:8">
      <c r="H42954" t="s">
        <v>35194</v>
      </c>
    </row>
    <row r="42955" spans="6:8">
      <c r="H42955" t="s">
        <v>35195</v>
      </c>
    </row>
    <row r="42956" spans="6:8">
      <c r="H42956" t="s">
        <v>35196</v>
      </c>
    </row>
    <row r="42957" spans="6:8">
      <c r="H42957" t="s">
        <v>35197</v>
      </c>
    </row>
    <row r="42958" spans="6:8">
      <c r="H42958" t="s">
        <v>35198</v>
      </c>
    </row>
    <row r="42959" spans="6:8">
      <c r="F42959" t="s">
        <v>12740</v>
      </c>
      <c r="G42959" t="s">
        <v>16932</v>
      </c>
      <c r="H42959" t="s">
        <v>35199</v>
      </c>
    </row>
    <row r="42960" spans="6:8">
      <c r="F42960" t="s">
        <v>10615</v>
      </c>
      <c r="G42960" t="s">
        <v>15018</v>
      </c>
      <c r="H42960" t="s">
        <v>35200</v>
      </c>
    </row>
    <row r="42961" spans="6:8">
      <c r="F42961" t="s">
        <v>10616</v>
      </c>
      <c r="G42961" t="s">
        <v>15019</v>
      </c>
      <c r="H42961" t="s">
        <v>19183</v>
      </c>
    </row>
    <row r="42962" spans="6:8">
      <c r="H42962" t="s">
        <v>19184</v>
      </c>
    </row>
    <row r="42963" spans="6:8">
      <c r="F42963" t="s">
        <v>13133</v>
      </c>
      <c r="G42963" t="s">
        <v>17291</v>
      </c>
      <c r="H42963" t="s">
        <v>35201</v>
      </c>
    </row>
    <row r="42964" spans="6:8">
      <c r="H42964" t="s">
        <v>25716</v>
      </c>
    </row>
    <row r="42965" spans="6:8">
      <c r="H42965" t="s">
        <v>28041</v>
      </c>
    </row>
    <row r="42966" spans="6:8">
      <c r="H42966" t="s">
        <v>28042</v>
      </c>
    </row>
    <row r="42967" spans="6:8">
      <c r="H42967" t="s">
        <v>35202</v>
      </c>
    </row>
    <row r="42968" spans="6:8">
      <c r="H42968" t="s">
        <v>35203</v>
      </c>
    </row>
    <row r="42969" spans="6:8">
      <c r="H42969" t="s">
        <v>35204</v>
      </c>
    </row>
    <row r="42970" spans="6:8">
      <c r="H42970" t="s">
        <v>35205</v>
      </c>
    </row>
    <row r="42971" spans="6:8">
      <c r="H42971" t="s">
        <v>35206</v>
      </c>
    </row>
    <row r="42972" spans="6:8">
      <c r="H42972" t="s">
        <v>18927</v>
      </c>
    </row>
    <row r="42973" spans="6:8">
      <c r="H42973" t="s">
        <v>35207</v>
      </c>
    </row>
    <row r="42974" spans="6:8">
      <c r="H42974" t="s">
        <v>35208</v>
      </c>
    </row>
    <row r="42975" spans="6:8">
      <c r="H42975" t="s">
        <v>25720</v>
      </c>
    </row>
    <row r="42976" spans="6:8">
      <c r="H42976" t="s">
        <v>28043</v>
      </c>
    </row>
    <row r="42977" spans="6:8">
      <c r="H42977" t="s">
        <v>28044</v>
      </c>
    </row>
    <row r="42978" spans="6:8">
      <c r="H42978" t="s">
        <v>28045</v>
      </c>
    </row>
    <row r="42979" spans="6:8">
      <c r="H42979" t="s">
        <v>28046</v>
      </c>
    </row>
    <row r="42980" spans="6:8">
      <c r="H42980" t="s">
        <v>28047</v>
      </c>
    </row>
    <row r="42981" spans="6:8">
      <c r="H42981" t="s">
        <v>28048</v>
      </c>
    </row>
    <row r="42982" spans="6:8">
      <c r="H42982" t="s">
        <v>25704</v>
      </c>
    </row>
    <row r="42983" spans="6:8">
      <c r="F42983" t="s">
        <v>14309</v>
      </c>
      <c r="G42983" t="s">
        <v>18266</v>
      </c>
      <c r="H42983" t="s">
        <v>18924</v>
      </c>
    </row>
    <row r="42984" spans="6:8">
      <c r="H42984" t="s">
        <v>35209</v>
      </c>
    </row>
    <row r="42985" spans="6:8">
      <c r="H42985" t="s">
        <v>35210</v>
      </c>
    </row>
    <row r="42986" spans="6:8">
      <c r="H42986" t="s">
        <v>35211</v>
      </c>
    </row>
    <row r="42987" spans="6:8">
      <c r="H42987" t="s">
        <v>35212</v>
      </c>
    </row>
    <row r="42988" spans="6:8">
      <c r="H42988" t="s">
        <v>35213</v>
      </c>
    </row>
    <row r="42989" spans="6:8">
      <c r="H42989" t="s">
        <v>35214</v>
      </c>
    </row>
    <row r="42990" spans="6:8">
      <c r="H42990" t="s">
        <v>35215</v>
      </c>
    </row>
    <row r="42991" spans="6:8">
      <c r="F42991" t="s">
        <v>14310</v>
      </c>
      <c r="G42991" t="s">
        <v>18267</v>
      </c>
      <c r="H42991" t="s">
        <v>18829</v>
      </c>
    </row>
    <row r="42992" spans="6:8">
      <c r="H42992" t="s">
        <v>35216</v>
      </c>
    </row>
    <row r="42993" spans="6:8">
      <c r="F42993" t="s">
        <v>14210</v>
      </c>
      <c r="G42993" t="s">
        <v>18186</v>
      </c>
      <c r="H42993" t="s">
        <v>18829</v>
      </c>
    </row>
    <row r="42994" spans="6:8">
      <c r="H42994" t="s">
        <v>18863</v>
      </c>
    </row>
    <row r="42995" spans="6:8">
      <c r="H42995" t="s">
        <v>34969</v>
      </c>
    </row>
    <row r="42996" spans="6:8">
      <c r="H42996" t="s">
        <v>35217</v>
      </c>
    </row>
    <row r="42997" spans="6:8">
      <c r="H42997" t="s">
        <v>35218</v>
      </c>
    </row>
    <row r="42998" spans="6:8">
      <c r="H42998" t="s">
        <v>35219</v>
      </c>
    </row>
    <row r="42999" spans="6:8">
      <c r="H42999" t="s">
        <v>35220</v>
      </c>
    </row>
    <row r="43000" spans="6:8">
      <c r="H43000" t="s">
        <v>35221</v>
      </c>
    </row>
    <row r="43001" spans="6:8">
      <c r="H43001" t="s">
        <v>35222</v>
      </c>
    </row>
    <row r="43002" spans="6:8">
      <c r="H43002" t="s">
        <v>35223</v>
      </c>
    </row>
    <row r="43003" spans="6:8">
      <c r="H43003" t="s">
        <v>35224</v>
      </c>
    </row>
    <row r="43004" spans="6:8">
      <c r="F43004" t="s">
        <v>10617</v>
      </c>
      <c r="G43004" t="s">
        <v>15020</v>
      </c>
      <c r="H43004" t="s">
        <v>19183</v>
      </c>
    </row>
    <row r="43005" spans="6:8">
      <c r="H43005" t="s">
        <v>19184</v>
      </c>
    </row>
    <row r="43006" spans="6:8">
      <c r="F43006" t="s">
        <v>10618</v>
      </c>
      <c r="G43006" t="s">
        <v>15021</v>
      </c>
      <c r="H43006" t="s">
        <v>19183</v>
      </c>
    </row>
    <row r="43007" spans="6:8">
      <c r="H43007" t="s">
        <v>19184</v>
      </c>
    </row>
    <row r="43008" spans="6:8">
      <c r="F43008" t="s">
        <v>13556</v>
      </c>
      <c r="G43008" t="s">
        <v>17663</v>
      </c>
      <c r="H43008" t="s">
        <v>35225</v>
      </c>
    </row>
    <row r="43009" spans="6:8">
      <c r="H43009" t="s">
        <v>35226</v>
      </c>
    </row>
    <row r="43010" spans="6:8">
      <c r="H43010" t="s">
        <v>35227</v>
      </c>
    </row>
    <row r="43011" spans="6:8">
      <c r="H43011" t="s">
        <v>35228</v>
      </c>
    </row>
    <row r="43012" spans="6:8">
      <c r="H43012" t="s">
        <v>35229</v>
      </c>
    </row>
    <row r="43013" spans="6:8">
      <c r="H43013" t="s">
        <v>35230</v>
      </c>
    </row>
    <row r="43014" spans="6:8">
      <c r="H43014" t="s">
        <v>35231</v>
      </c>
    </row>
    <row r="43015" spans="6:8">
      <c r="H43015" t="s">
        <v>35232</v>
      </c>
    </row>
    <row r="43016" spans="6:8">
      <c r="H43016" t="s">
        <v>35233</v>
      </c>
    </row>
    <row r="43017" spans="6:8">
      <c r="H43017" t="s">
        <v>35234</v>
      </c>
    </row>
    <row r="43018" spans="6:8">
      <c r="H43018" t="s">
        <v>35235</v>
      </c>
    </row>
    <row r="43019" spans="6:8">
      <c r="H43019" t="s">
        <v>35236</v>
      </c>
    </row>
    <row r="43020" spans="6:8">
      <c r="F43020" t="s">
        <v>14311</v>
      </c>
      <c r="G43020" t="s">
        <v>18268</v>
      </c>
      <c r="H43020" t="s">
        <v>18829</v>
      </c>
    </row>
    <row r="43021" spans="6:8">
      <c r="H43021" t="s">
        <v>35237</v>
      </c>
    </row>
    <row r="43022" spans="6:8">
      <c r="H43022" t="s">
        <v>35238</v>
      </c>
    </row>
    <row r="43023" spans="6:8">
      <c r="H43023" t="s">
        <v>35239</v>
      </c>
    </row>
    <row r="43024" spans="6:8">
      <c r="F43024" t="s">
        <v>14312</v>
      </c>
      <c r="G43024" t="s">
        <v>18269</v>
      </c>
      <c r="H43024" t="s">
        <v>18829</v>
      </c>
    </row>
    <row r="43025" spans="6:8">
      <c r="H43025" t="s">
        <v>18863</v>
      </c>
    </row>
    <row r="43026" spans="6:8">
      <c r="H43026" t="s">
        <v>31527</v>
      </c>
    </row>
    <row r="43027" spans="6:8">
      <c r="H43027" t="s">
        <v>35240</v>
      </c>
    </row>
    <row r="43028" spans="6:8">
      <c r="H43028" t="s">
        <v>35241</v>
      </c>
    </row>
    <row r="43029" spans="6:8">
      <c r="H43029" t="s">
        <v>34968</v>
      </c>
    </row>
    <row r="43030" spans="6:8">
      <c r="H43030" t="s">
        <v>35242</v>
      </c>
    </row>
    <row r="43031" spans="6:8">
      <c r="H43031" t="s">
        <v>35243</v>
      </c>
    </row>
    <row r="43032" spans="6:8">
      <c r="H43032" t="s">
        <v>35244</v>
      </c>
    </row>
    <row r="43033" spans="6:8">
      <c r="H43033" t="s">
        <v>31775</v>
      </c>
    </row>
    <row r="43034" spans="6:8">
      <c r="H43034" t="s">
        <v>35245</v>
      </c>
    </row>
    <row r="43035" spans="6:8">
      <c r="H43035" t="s">
        <v>35246</v>
      </c>
    </row>
    <row r="43036" spans="6:8">
      <c r="F43036" t="s">
        <v>14313</v>
      </c>
      <c r="G43036" t="s">
        <v>18270</v>
      </c>
      <c r="H43036" t="s">
        <v>18836</v>
      </c>
    </row>
    <row r="43037" spans="6:8">
      <c r="H43037" t="s">
        <v>35247</v>
      </c>
    </row>
    <row r="43038" spans="6:8">
      <c r="H43038" t="s">
        <v>35248</v>
      </c>
    </row>
    <row r="43039" spans="6:8">
      <c r="H43039" t="s">
        <v>35249</v>
      </c>
    </row>
    <row r="43040" spans="6:8">
      <c r="H43040" t="s">
        <v>35048</v>
      </c>
    </row>
    <row r="43041" spans="6:8">
      <c r="F43041" t="s">
        <v>10600</v>
      </c>
      <c r="G43041" t="s">
        <v>15003</v>
      </c>
      <c r="H43041" t="s">
        <v>18836</v>
      </c>
    </row>
    <row r="43042" spans="6:8">
      <c r="H43042" t="s">
        <v>35250</v>
      </c>
    </row>
    <row r="43043" spans="6:8">
      <c r="F43043" t="s">
        <v>14314</v>
      </c>
      <c r="G43043" t="s">
        <v>18271</v>
      </c>
      <c r="H43043" t="s">
        <v>35251</v>
      </c>
    </row>
    <row r="43044" spans="6:8">
      <c r="H43044" t="s">
        <v>35252</v>
      </c>
    </row>
    <row r="43045" spans="6:8">
      <c r="H43045" t="s">
        <v>35253</v>
      </c>
    </row>
    <row r="43046" spans="6:8">
      <c r="F43046" t="s">
        <v>13960</v>
      </c>
      <c r="G43046" t="s">
        <v>17986</v>
      </c>
      <c r="H43046" t="s">
        <v>18829</v>
      </c>
    </row>
    <row r="43047" spans="6:8">
      <c r="H43047" t="s">
        <v>35254</v>
      </c>
    </row>
    <row r="43048" spans="6:8">
      <c r="H43048" t="s">
        <v>35255</v>
      </c>
    </row>
    <row r="43049" spans="6:8">
      <c r="H43049" t="s">
        <v>35250</v>
      </c>
    </row>
    <row r="43050" spans="6:8">
      <c r="H43050" t="s">
        <v>35256</v>
      </c>
    </row>
    <row r="43051" spans="6:8">
      <c r="H43051" t="s">
        <v>35257</v>
      </c>
    </row>
    <row r="43052" spans="6:8">
      <c r="H43052" t="s">
        <v>35258</v>
      </c>
    </row>
    <row r="43053" spans="6:8">
      <c r="H43053" t="s">
        <v>35259</v>
      </c>
    </row>
    <row r="43054" spans="6:8">
      <c r="H43054" t="s">
        <v>35260</v>
      </c>
    </row>
    <row r="43055" spans="6:8">
      <c r="H43055" t="s">
        <v>35261</v>
      </c>
    </row>
    <row r="43056" spans="6:8">
      <c r="H43056" t="s">
        <v>35262</v>
      </c>
    </row>
    <row r="43057" spans="6:8">
      <c r="H43057" t="s">
        <v>20340</v>
      </c>
    </row>
    <row r="43058" spans="6:8">
      <c r="F43058" t="s">
        <v>14315</v>
      </c>
      <c r="G43058" t="s">
        <v>18272</v>
      </c>
      <c r="H43058" t="s">
        <v>19981</v>
      </c>
    </row>
    <row r="43059" spans="6:8">
      <c r="H43059" t="s">
        <v>35263</v>
      </c>
    </row>
    <row r="43060" spans="6:8">
      <c r="H43060" t="s">
        <v>34877</v>
      </c>
    </row>
    <row r="43061" spans="6:8">
      <c r="H43061" t="s">
        <v>35264</v>
      </c>
    </row>
    <row r="43062" spans="6:8">
      <c r="H43062" t="s">
        <v>35265</v>
      </c>
    </row>
    <row r="43063" spans="6:8">
      <c r="F43063" t="s">
        <v>10726</v>
      </c>
      <c r="G43063" t="s">
        <v>15125</v>
      </c>
      <c r="H43063" t="s">
        <v>22023</v>
      </c>
    </row>
    <row r="43064" spans="6:8">
      <c r="H43064" t="s">
        <v>35266</v>
      </c>
    </row>
    <row r="43065" spans="6:8">
      <c r="H43065" t="s">
        <v>35267</v>
      </c>
    </row>
    <row r="43066" spans="6:8">
      <c r="H43066" t="s">
        <v>35268</v>
      </c>
    </row>
    <row r="43067" spans="6:8">
      <c r="H43067" t="s">
        <v>35269</v>
      </c>
    </row>
    <row r="43068" spans="6:8">
      <c r="H43068" t="s">
        <v>35270</v>
      </c>
    </row>
    <row r="43069" spans="6:8">
      <c r="H43069" t="s">
        <v>35271</v>
      </c>
    </row>
    <row r="43070" spans="6:8">
      <c r="F43070" t="s">
        <v>11449</v>
      </c>
      <c r="G43070" t="s">
        <v>15689</v>
      </c>
      <c r="H43070" t="s">
        <v>31759</v>
      </c>
    </row>
    <row r="43071" spans="6:8">
      <c r="H43071" t="s">
        <v>35272</v>
      </c>
    </row>
    <row r="43072" spans="6:8">
      <c r="H43072" t="s">
        <v>35273</v>
      </c>
    </row>
    <row r="43073" spans="8:8">
      <c r="H43073" t="s">
        <v>35274</v>
      </c>
    </row>
    <row r="43074" spans="8:8">
      <c r="H43074" t="s">
        <v>35275</v>
      </c>
    </row>
    <row r="43075" spans="8:8">
      <c r="H43075" t="s">
        <v>35276</v>
      </c>
    </row>
    <row r="43076" spans="8:8">
      <c r="H43076" t="s">
        <v>35277</v>
      </c>
    </row>
    <row r="43077" spans="8:8">
      <c r="H43077" t="s">
        <v>35278</v>
      </c>
    </row>
    <row r="43078" spans="8:8">
      <c r="H43078" t="s">
        <v>35279</v>
      </c>
    </row>
    <row r="43079" spans="8:8">
      <c r="H43079" t="s">
        <v>35280</v>
      </c>
    </row>
    <row r="43080" spans="8:8">
      <c r="H43080" t="s">
        <v>35281</v>
      </c>
    </row>
    <row r="43081" spans="8:8">
      <c r="H43081" t="s">
        <v>35282</v>
      </c>
    </row>
    <row r="43082" spans="8:8">
      <c r="H43082" t="s">
        <v>35283</v>
      </c>
    </row>
    <row r="43083" spans="8:8">
      <c r="H43083" t="s">
        <v>35284</v>
      </c>
    </row>
    <row r="43084" spans="8:8">
      <c r="H43084" t="s">
        <v>35285</v>
      </c>
    </row>
    <row r="43085" spans="8:8">
      <c r="H43085" t="s">
        <v>35286</v>
      </c>
    </row>
    <row r="43086" spans="8:8">
      <c r="H43086" t="s">
        <v>35287</v>
      </c>
    </row>
    <row r="43087" spans="8:8">
      <c r="H43087" t="s">
        <v>35288</v>
      </c>
    </row>
    <row r="43088" spans="8:8">
      <c r="H43088" t="s">
        <v>35289</v>
      </c>
    </row>
    <row r="43089" spans="8:8">
      <c r="H43089" t="s">
        <v>35290</v>
      </c>
    </row>
    <row r="43090" spans="8:8">
      <c r="H43090" t="s">
        <v>35290</v>
      </c>
    </row>
    <row r="43091" spans="8:8">
      <c r="H43091" t="s">
        <v>35291</v>
      </c>
    </row>
    <row r="43092" spans="8:8">
      <c r="H43092" t="s">
        <v>35292</v>
      </c>
    </row>
    <row r="43093" spans="8:8">
      <c r="H43093" t="s">
        <v>35293</v>
      </c>
    </row>
    <row r="43094" spans="8:8">
      <c r="H43094" t="s">
        <v>35294</v>
      </c>
    </row>
    <row r="43095" spans="8:8">
      <c r="H43095" t="s">
        <v>35295</v>
      </c>
    </row>
    <row r="43096" spans="8:8">
      <c r="H43096" t="s">
        <v>35296</v>
      </c>
    </row>
    <row r="43097" spans="8:8">
      <c r="H43097" t="s">
        <v>35297</v>
      </c>
    </row>
    <row r="43098" spans="8:8">
      <c r="H43098" t="s">
        <v>35298</v>
      </c>
    </row>
    <row r="43099" spans="8:8">
      <c r="H43099" t="s">
        <v>35299</v>
      </c>
    </row>
    <row r="43100" spans="8:8">
      <c r="H43100" t="s">
        <v>35300</v>
      </c>
    </row>
    <row r="43101" spans="8:8">
      <c r="H43101" t="s">
        <v>35301</v>
      </c>
    </row>
    <row r="43102" spans="8:8">
      <c r="H43102" t="s">
        <v>35302</v>
      </c>
    </row>
    <row r="43103" spans="8:8">
      <c r="H43103" t="s">
        <v>35303</v>
      </c>
    </row>
    <row r="43104" spans="8:8">
      <c r="H43104" t="s">
        <v>35304</v>
      </c>
    </row>
    <row r="43105" spans="6:8">
      <c r="H43105" t="s">
        <v>35305</v>
      </c>
    </row>
    <row r="43106" spans="6:8">
      <c r="H43106" t="s">
        <v>35306</v>
      </c>
    </row>
    <row r="43107" spans="6:8">
      <c r="F43107" t="s">
        <v>14316</v>
      </c>
      <c r="G43107" t="s">
        <v>18273</v>
      </c>
      <c r="H43107" t="s">
        <v>35307</v>
      </c>
    </row>
    <row r="43108" spans="6:8">
      <c r="F43108" t="s">
        <v>14317</v>
      </c>
      <c r="G43108" t="s">
        <v>18274</v>
      </c>
      <c r="H43108" t="s">
        <v>35308</v>
      </c>
    </row>
    <row r="43109" spans="6:8">
      <c r="H43109" t="s">
        <v>35309</v>
      </c>
    </row>
    <row r="43110" spans="6:8">
      <c r="H43110" t="s">
        <v>35310</v>
      </c>
    </row>
    <row r="43111" spans="6:8">
      <c r="H43111" t="s">
        <v>35311</v>
      </c>
    </row>
    <row r="43112" spans="6:8">
      <c r="H43112" t="s">
        <v>35312</v>
      </c>
    </row>
    <row r="43113" spans="6:8">
      <c r="H43113" t="s">
        <v>35312</v>
      </c>
    </row>
    <row r="43114" spans="6:8">
      <c r="H43114" t="s">
        <v>35313</v>
      </c>
    </row>
    <row r="43115" spans="6:8">
      <c r="H43115" t="s">
        <v>19333</v>
      </c>
    </row>
    <row r="43116" spans="6:8">
      <c r="H43116" t="s">
        <v>35314</v>
      </c>
    </row>
    <row r="43117" spans="6:8">
      <c r="H43117" t="s">
        <v>35315</v>
      </c>
    </row>
    <row r="43118" spans="6:8">
      <c r="H43118" t="s">
        <v>35316</v>
      </c>
    </row>
    <row r="43119" spans="6:8">
      <c r="F43119" t="s">
        <v>14318</v>
      </c>
      <c r="G43119" t="s">
        <v>18275</v>
      </c>
      <c r="H43119" t="s">
        <v>35317</v>
      </c>
    </row>
    <row r="43120" spans="6:8">
      <c r="F43120" t="s">
        <v>14319</v>
      </c>
      <c r="G43120" t="s">
        <v>18276</v>
      </c>
      <c r="H43120" t="s">
        <v>18836</v>
      </c>
    </row>
    <row r="43121" spans="6:8">
      <c r="F43121" t="s">
        <v>14320</v>
      </c>
      <c r="G43121" t="s">
        <v>18277</v>
      </c>
      <c r="H43121" t="s">
        <v>30172</v>
      </c>
    </row>
    <row r="43122" spans="6:8">
      <c r="H43122" t="s">
        <v>35318</v>
      </c>
    </row>
    <row r="43123" spans="6:8">
      <c r="H43123" t="s">
        <v>35319</v>
      </c>
    </row>
    <row r="43124" spans="6:8">
      <c r="H43124" t="s">
        <v>35320</v>
      </c>
    </row>
    <row r="43125" spans="6:8">
      <c r="H43125" t="s">
        <v>35321</v>
      </c>
    </row>
    <row r="43126" spans="6:8">
      <c r="H43126" t="s">
        <v>35322</v>
      </c>
    </row>
    <row r="43127" spans="6:8">
      <c r="F43127" t="s">
        <v>14321</v>
      </c>
      <c r="G43127" t="s">
        <v>18278</v>
      </c>
      <c r="H43127" t="s">
        <v>35323</v>
      </c>
    </row>
    <row r="43128" spans="6:8">
      <c r="H43128" t="s">
        <v>35324</v>
      </c>
    </row>
    <row r="43129" spans="6:8">
      <c r="H43129" t="s">
        <v>35325</v>
      </c>
    </row>
    <row r="43130" spans="6:8">
      <c r="H43130" t="s">
        <v>35326</v>
      </c>
    </row>
    <row r="43131" spans="6:8">
      <c r="H43131" t="s">
        <v>35327</v>
      </c>
    </row>
    <row r="43132" spans="6:8">
      <c r="H43132" t="s">
        <v>35328</v>
      </c>
    </row>
    <row r="43133" spans="6:8">
      <c r="F43133" t="s">
        <v>14322</v>
      </c>
      <c r="G43133" t="s">
        <v>18279</v>
      </c>
      <c r="H43133" t="s">
        <v>27516</v>
      </c>
    </row>
    <row r="43134" spans="6:8">
      <c r="H43134" t="s">
        <v>22358</v>
      </c>
    </row>
    <row r="43135" spans="6:8">
      <c r="H43135" t="s">
        <v>35329</v>
      </c>
    </row>
    <row r="43136" spans="6:8">
      <c r="H43136" t="s">
        <v>35330</v>
      </c>
    </row>
    <row r="43137" spans="6:8">
      <c r="F43137" t="s">
        <v>14323</v>
      </c>
      <c r="G43137" t="s">
        <v>18280</v>
      </c>
      <c r="H43137" t="s">
        <v>18829</v>
      </c>
    </row>
    <row r="43138" spans="6:8">
      <c r="H43138" t="s">
        <v>18863</v>
      </c>
    </row>
    <row r="43139" spans="6:8">
      <c r="H43139" t="s">
        <v>35331</v>
      </c>
    </row>
    <row r="43140" spans="6:8">
      <c r="H43140" t="s">
        <v>35332</v>
      </c>
    </row>
    <row r="43141" spans="6:8">
      <c r="H43141" t="s">
        <v>35333</v>
      </c>
    </row>
    <row r="43142" spans="6:8">
      <c r="H43142" t="s">
        <v>29840</v>
      </c>
    </row>
    <row r="43143" spans="6:8">
      <c r="H43143" t="s">
        <v>35334</v>
      </c>
    </row>
    <row r="43144" spans="6:8">
      <c r="H43144" t="s">
        <v>35335</v>
      </c>
    </row>
    <row r="43145" spans="6:8">
      <c r="H43145" t="s">
        <v>19007</v>
      </c>
    </row>
    <row r="43146" spans="6:8">
      <c r="H43146" t="s">
        <v>35336</v>
      </c>
    </row>
    <row r="43147" spans="6:8">
      <c r="F43147" t="s">
        <v>14324</v>
      </c>
      <c r="G43147" t="s">
        <v>18281</v>
      </c>
      <c r="H43147" t="s">
        <v>35337</v>
      </c>
    </row>
    <row r="43148" spans="6:8">
      <c r="H43148" t="s">
        <v>35338</v>
      </c>
    </row>
    <row r="43149" spans="6:8">
      <c r="H43149" t="s">
        <v>35339</v>
      </c>
    </row>
    <row r="43150" spans="6:8">
      <c r="H43150" t="s">
        <v>35340</v>
      </c>
    </row>
    <row r="43151" spans="6:8">
      <c r="H43151" t="s">
        <v>35341</v>
      </c>
    </row>
    <row r="43152" spans="6:8">
      <c r="H43152" t="s">
        <v>35342</v>
      </c>
    </row>
    <row r="43153" spans="6:8">
      <c r="F43153" t="s">
        <v>14102</v>
      </c>
      <c r="G43153" t="s">
        <v>18095</v>
      </c>
      <c r="H43153" t="s">
        <v>34079</v>
      </c>
    </row>
    <row r="43154" spans="6:8">
      <c r="H43154" t="s">
        <v>34080</v>
      </c>
    </row>
    <row r="43155" spans="6:8">
      <c r="H43155" t="s">
        <v>18829</v>
      </c>
    </row>
    <row r="43156" spans="6:8">
      <c r="H43156" t="s">
        <v>18863</v>
      </c>
    </row>
    <row r="43157" spans="6:8">
      <c r="H43157" t="s">
        <v>35343</v>
      </c>
    </row>
    <row r="43158" spans="6:8">
      <c r="H43158" t="s">
        <v>19019</v>
      </c>
    </row>
    <row r="43159" spans="6:8">
      <c r="H43159" t="s">
        <v>35344</v>
      </c>
    </row>
    <row r="43160" spans="6:8">
      <c r="H43160" t="s">
        <v>35345</v>
      </c>
    </row>
    <row r="43161" spans="6:8">
      <c r="H43161" t="s">
        <v>35346</v>
      </c>
    </row>
    <row r="43162" spans="6:8">
      <c r="H43162" t="s">
        <v>35347</v>
      </c>
    </row>
    <row r="43163" spans="6:8">
      <c r="H43163" t="s">
        <v>35348</v>
      </c>
    </row>
    <row r="43164" spans="6:8">
      <c r="H43164" t="s">
        <v>35349</v>
      </c>
    </row>
    <row r="43165" spans="6:8">
      <c r="H43165" t="s">
        <v>35350</v>
      </c>
    </row>
    <row r="43166" spans="6:8">
      <c r="H43166" t="s">
        <v>35351</v>
      </c>
    </row>
    <row r="43167" spans="6:8">
      <c r="H43167" t="s">
        <v>35352</v>
      </c>
    </row>
    <row r="43168" spans="6:8">
      <c r="H43168" t="s">
        <v>35353</v>
      </c>
    </row>
    <row r="43169" spans="1:8">
      <c r="H43169" t="s">
        <v>35354</v>
      </c>
    </row>
    <row r="43170" spans="1:8">
      <c r="H43170" t="s">
        <v>35355</v>
      </c>
    </row>
    <row r="43171" spans="1:8">
      <c r="H43171" t="s">
        <v>24966</v>
      </c>
    </row>
    <row r="43172" spans="1:8">
      <c r="H43172" t="s">
        <v>35356</v>
      </c>
    </row>
    <row r="43173" spans="1:8">
      <c r="H43173" t="s">
        <v>35357</v>
      </c>
    </row>
    <row r="43174" spans="1:8">
      <c r="H43174" t="s">
        <v>35358</v>
      </c>
    </row>
    <row r="43175" spans="1:8">
      <c r="H43175" t="s">
        <v>35359</v>
      </c>
    </row>
    <row r="43176" spans="1:8">
      <c r="A43176" t="s">
        <v>3510</v>
      </c>
      <c r="B43176">
        <f>HYPERLINK("https://android.googlesource.com/platform/cts/+/cf680b3192a4664beff0eb0fe7402f6f356d9321", "cf680b3192a4664beff0eb0fe7402f6f356d9321")</f>
        <v>0</v>
      </c>
      <c r="C43176">
        <f>HYPERLINK("https://android.googlesource.com/platform/cts/+/9472c735e9f7b4a01116aaf76d9a28a0c173eb89", "9472c735e9f7b4a01116aaf76d9a28a0c173eb89")</f>
        <v>0</v>
      </c>
      <c r="D43176" t="s">
        <v>5479</v>
      </c>
      <c r="E43176" t="s">
        <v>9204</v>
      </c>
      <c r="F43176" t="s">
        <v>14326</v>
      </c>
      <c r="G43176" t="s">
        <v>17580</v>
      </c>
      <c r="H43176" t="s">
        <v>35370</v>
      </c>
    </row>
    <row r="43177" spans="1:8">
      <c r="H43177" t="s">
        <v>35371</v>
      </c>
    </row>
    <row r="43178" spans="1:8">
      <c r="A43178" t="s">
        <v>3511</v>
      </c>
      <c r="B43178">
        <f>HYPERLINK("https://android.googlesource.com/platform/cts/+/4aa01f128535516f59aad284fff4655a98be9141", "4aa01f128535516f59aad284fff4655a98be9141")</f>
        <v>0</v>
      </c>
      <c r="C43178">
        <f>HYPERLINK("https://android.googlesource.com/platform/cts/+/4e7afeea74381004a5241947c918e49235459813", "4e7afeea74381004a5241947c918e49235459813")</f>
        <v>0</v>
      </c>
      <c r="D43178" t="s">
        <v>5578</v>
      </c>
      <c r="E43178" t="s">
        <v>9205</v>
      </c>
      <c r="F43178" t="s">
        <v>14327</v>
      </c>
      <c r="G43178" t="s">
        <v>18283</v>
      </c>
      <c r="H43178" t="s">
        <v>18863</v>
      </c>
    </row>
    <row r="43179" spans="1:8">
      <c r="A43179" t="s">
        <v>3512</v>
      </c>
      <c r="B43179">
        <f>HYPERLINK("https://android.googlesource.com/platform/cts/+/5900ef04a2f091c50b0dc1e52c624bc51489311d", "5900ef04a2f091c50b0dc1e52c624bc51489311d")</f>
        <v>0</v>
      </c>
      <c r="C43179">
        <f>HYPERLINK("https://android.googlesource.com/platform/cts/+/62a42b9122cd623e94be84e850e76b64f4898a42", "62a42b9122cd623e94be84e850e76b64f4898a42")</f>
        <v>0</v>
      </c>
      <c r="D43179" t="s">
        <v>5578</v>
      </c>
      <c r="E43179" t="s">
        <v>9206</v>
      </c>
      <c r="F43179" t="s">
        <v>14327</v>
      </c>
      <c r="G43179" t="s">
        <v>18283</v>
      </c>
      <c r="H43179" t="s">
        <v>18863</v>
      </c>
    </row>
    <row r="43180" spans="1:8">
      <c r="A43180" t="s">
        <v>3513</v>
      </c>
      <c r="B43180">
        <f>HYPERLINK("https://android.googlesource.com/platform/cts/+/ddae370baeba47bf924c49ae819ed186aa0a309e", "ddae370baeba47bf924c49ae819ed186aa0a309e")</f>
        <v>0</v>
      </c>
      <c r="C43180">
        <f>HYPERLINK("https://android.googlesource.com/platform/cts/+/d20def7a68989bf98cae53df1c7f38801a5527e7", "d20def7a68989bf98cae53df1c7f38801a5527e7")</f>
        <v>0</v>
      </c>
      <c r="D43180" t="s">
        <v>5578</v>
      </c>
      <c r="E43180" t="s">
        <v>9207</v>
      </c>
      <c r="F43180" t="s">
        <v>14327</v>
      </c>
      <c r="G43180" t="s">
        <v>18283</v>
      </c>
      <c r="H43180" t="s">
        <v>18863</v>
      </c>
    </row>
    <row r="43181" spans="1:8">
      <c r="A43181" t="s">
        <v>3514</v>
      </c>
      <c r="B43181">
        <f>HYPERLINK("https://android.googlesource.com/platform/cts/+/b50578ed7ce9ed6be50be4bd7568948cf99888af", "b50578ed7ce9ed6be50be4bd7568948cf99888af")</f>
        <v>0</v>
      </c>
      <c r="C43181">
        <f>HYPERLINK("https://android.googlesource.com/platform/cts/+/5f42b0dbc3745b0f351ae0ab63dacefd105a903e", "5f42b0dbc3745b0f351ae0ab63dacefd105a903e")</f>
        <v>0</v>
      </c>
      <c r="D43181" t="s">
        <v>5180</v>
      </c>
      <c r="E43181" t="s">
        <v>9208</v>
      </c>
      <c r="F43181" t="s">
        <v>12610</v>
      </c>
      <c r="G43181" t="s">
        <v>16821</v>
      </c>
      <c r="H43181" t="s">
        <v>35372</v>
      </c>
    </row>
    <row r="43182" spans="1:8">
      <c r="A43182" t="s">
        <v>3515</v>
      </c>
      <c r="B43182">
        <f>HYPERLINK("https://android.googlesource.com/platform/cts/+/9beb020a9a174fbcc226a3802f1c5d5d22847024", "9beb020a9a174fbcc226a3802f1c5d5d22847024")</f>
        <v>0</v>
      </c>
      <c r="C43182">
        <f>HYPERLINK("https://android.googlesource.com/platform/cts/+/8c01d76146f53397207001a6e1bc2bc1c27b2b22", "8c01d76146f53397207001a6e1bc2bc1c27b2b22")</f>
        <v>0</v>
      </c>
      <c r="D43182" t="s">
        <v>5579</v>
      </c>
      <c r="E43182" t="s">
        <v>9209</v>
      </c>
      <c r="F43182" t="s">
        <v>14328</v>
      </c>
      <c r="G43182" t="s">
        <v>18167</v>
      </c>
      <c r="H43182" t="s">
        <v>35373</v>
      </c>
    </row>
    <row r="43183" spans="1:8">
      <c r="H43183" t="s">
        <v>35374</v>
      </c>
    </row>
    <row r="43184" spans="1:8">
      <c r="H43184" t="s">
        <v>35375</v>
      </c>
    </row>
    <row r="43185" spans="1:8">
      <c r="H43185" t="s">
        <v>35376</v>
      </c>
    </row>
    <row r="43186" spans="1:8">
      <c r="F43186" t="s">
        <v>13466</v>
      </c>
      <c r="G43186" t="s">
        <v>17585</v>
      </c>
      <c r="H43186" t="s">
        <v>35377</v>
      </c>
    </row>
    <row r="43187" spans="1:8">
      <c r="A43187" t="s">
        <v>3516</v>
      </c>
      <c r="B43187">
        <f>HYPERLINK("https://android.googlesource.com/platform/cts/+/d3849f67bde8088a8a4791717b0a12cdf0788e0b", "d3849f67bde8088a8a4791717b0a12cdf0788e0b")</f>
        <v>0</v>
      </c>
      <c r="C43187">
        <f>HYPERLINK("https://android.googlesource.com/platform/cts/+/0ea87acbf6d1bd5cdc5a4b4ed2a5d12410d8540f", "0ea87acbf6d1bd5cdc5a4b4ed2a5d12410d8540f")</f>
        <v>0</v>
      </c>
      <c r="D43187" t="s">
        <v>5580</v>
      </c>
      <c r="E43187" t="s">
        <v>9210</v>
      </c>
      <c r="F43187" t="s">
        <v>14329</v>
      </c>
      <c r="G43187" t="s">
        <v>18284</v>
      </c>
      <c r="H43187" t="s">
        <v>18829</v>
      </c>
    </row>
    <row r="43188" spans="1:8">
      <c r="H43188" t="s">
        <v>18863</v>
      </c>
    </row>
    <row r="43189" spans="1:8">
      <c r="H43189" t="s">
        <v>35378</v>
      </c>
    </row>
    <row r="43190" spans="1:8">
      <c r="H43190" t="s">
        <v>35379</v>
      </c>
    </row>
    <row r="43191" spans="1:8">
      <c r="H43191" t="s">
        <v>22057</v>
      </c>
    </row>
    <row r="43192" spans="1:8">
      <c r="H43192" t="s">
        <v>26870</v>
      </c>
    </row>
    <row r="43193" spans="1:8">
      <c r="H43193" t="s">
        <v>35380</v>
      </c>
    </row>
    <row r="43194" spans="1:8">
      <c r="H43194" t="s">
        <v>35381</v>
      </c>
    </row>
    <row r="43195" spans="1:8">
      <c r="A43195" t="s">
        <v>3517</v>
      </c>
      <c r="B43195">
        <f>HYPERLINK("https://android.googlesource.com/platform/cts/+/b6784f0204dfade00fcfa0f3688a44c8614f842a", "b6784f0204dfade00fcfa0f3688a44c8614f842a")</f>
        <v>0</v>
      </c>
      <c r="C43195">
        <f>HYPERLINK("https://android.googlesource.com/platform/cts/+/ac4a0506f05ab34b6fa75355cef5bf18aaef22f6", "ac4a0506f05ab34b6fa75355cef5bf18aaef22f6")</f>
        <v>0</v>
      </c>
      <c r="D43195" t="s">
        <v>5501</v>
      </c>
      <c r="E43195" t="s">
        <v>9211</v>
      </c>
      <c r="F43195" t="s">
        <v>14230</v>
      </c>
      <c r="G43195" t="s">
        <v>18202</v>
      </c>
      <c r="H43195" t="s">
        <v>34487</v>
      </c>
    </row>
    <row r="43196" spans="1:8">
      <c r="A43196" t="s">
        <v>3518</v>
      </c>
      <c r="B43196">
        <f>HYPERLINK("https://android.googlesource.com/platform/cts/+/8ffe1a6882ae2ced9ce8abd9bd7105541d3c17f4", "8ffe1a6882ae2ced9ce8abd9bd7105541d3c17f4")</f>
        <v>0</v>
      </c>
      <c r="C43196">
        <f>HYPERLINK("https://android.googlesource.com/platform/cts/+/2e52d9678e8f36bef1fea5a103ed91f274a70460", "2e52d9678e8f36bef1fea5a103ed91f274a70460")</f>
        <v>0</v>
      </c>
      <c r="D43196" t="s">
        <v>5577</v>
      </c>
      <c r="E43196" t="s">
        <v>9212</v>
      </c>
      <c r="F43196" t="s">
        <v>13972</v>
      </c>
      <c r="G43196" t="s">
        <v>17997</v>
      </c>
      <c r="H43196" t="s">
        <v>35364</v>
      </c>
    </row>
    <row r="43197" spans="1:8">
      <c r="H43197" t="s">
        <v>35365</v>
      </c>
    </row>
    <row r="43198" spans="1:8">
      <c r="H43198" t="s">
        <v>35366</v>
      </c>
    </row>
    <row r="43199" spans="1:8">
      <c r="H43199" t="s">
        <v>35367</v>
      </c>
    </row>
    <row r="43200" spans="1:8">
      <c r="H43200" t="s">
        <v>35368</v>
      </c>
    </row>
    <row r="43201" spans="1:8">
      <c r="H43201" t="s">
        <v>35369</v>
      </c>
    </row>
    <row r="43202" spans="1:8">
      <c r="A43202" t="s">
        <v>3519</v>
      </c>
      <c r="B43202">
        <f>HYPERLINK("https://android.googlesource.com/platform/cts/+/29d18c2b214ba6493cf6d2fc92ecb713d63d7914", "29d18c2b214ba6493cf6d2fc92ecb713d63d7914")</f>
        <v>0</v>
      </c>
      <c r="C43202">
        <f>HYPERLINK("https://android.googlesource.com/platform/cts/+/9d8295be9d69e632222c7636d4892a8163e6d51f", "9d8295be9d69e632222c7636d4892a8163e6d51f")</f>
        <v>0</v>
      </c>
      <c r="D43202" t="s">
        <v>5577</v>
      </c>
      <c r="E43202" t="s">
        <v>9212</v>
      </c>
      <c r="F43202" t="s">
        <v>13972</v>
      </c>
      <c r="G43202" t="s">
        <v>17997</v>
      </c>
      <c r="H43202" t="s">
        <v>35364</v>
      </c>
    </row>
    <row r="43203" spans="1:8">
      <c r="H43203" t="s">
        <v>35365</v>
      </c>
    </row>
    <row r="43204" spans="1:8">
      <c r="H43204" t="s">
        <v>35366</v>
      </c>
    </row>
    <row r="43205" spans="1:8">
      <c r="H43205" t="s">
        <v>35367</v>
      </c>
    </row>
    <row r="43206" spans="1:8">
      <c r="H43206" t="s">
        <v>35368</v>
      </c>
    </row>
    <row r="43207" spans="1:8">
      <c r="H43207" t="s">
        <v>35369</v>
      </c>
    </row>
    <row r="43208" spans="1:8">
      <c r="A43208" t="s">
        <v>3520</v>
      </c>
      <c r="B43208">
        <f>HYPERLINK("https://android.googlesource.com/platform/cts/+/42e049f49561e868640faa972618eaa1dfc124a9", "42e049f49561e868640faa972618eaa1dfc124a9")</f>
        <v>0</v>
      </c>
      <c r="C43208">
        <f>HYPERLINK("https://android.googlesource.com/platform/cts/+/c6fa98579501a4adadbb2f2607d869bbc7f0ee07", "c6fa98579501a4adadbb2f2607d869bbc7f0ee07")</f>
        <v>0</v>
      </c>
      <c r="D43208" t="s">
        <v>5581</v>
      </c>
      <c r="E43208" t="s">
        <v>9213</v>
      </c>
      <c r="F43208" t="s">
        <v>10794</v>
      </c>
      <c r="G43208" t="s">
        <v>15189</v>
      </c>
      <c r="H43208" t="s">
        <v>35382</v>
      </c>
    </row>
    <row r="43209" spans="1:8">
      <c r="H43209" t="s">
        <v>35383</v>
      </c>
    </row>
    <row r="43210" spans="1:8">
      <c r="H43210" t="s">
        <v>35384</v>
      </c>
    </row>
    <row r="43211" spans="1:8">
      <c r="H43211" t="s">
        <v>35385</v>
      </c>
    </row>
    <row r="43212" spans="1:8">
      <c r="H43212" t="s">
        <v>35386</v>
      </c>
    </row>
    <row r="43213" spans="1:8">
      <c r="A43213" t="s">
        <v>3521</v>
      </c>
      <c r="B43213">
        <f>HYPERLINK("https://android.googlesource.com/platform/cts/+/45ea237dd937067be1233d14c2527bd893a4cfea", "45ea237dd937067be1233d14c2527bd893a4cfea")</f>
        <v>0</v>
      </c>
      <c r="C43213">
        <f>HYPERLINK("https://android.googlesource.com/platform/cts/+/9971c5affac56ee76095f5aa38bad11719b1947c", "9971c5affac56ee76095f5aa38bad11719b1947c")</f>
        <v>0</v>
      </c>
      <c r="D43213" t="s">
        <v>5577</v>
      </c>
      <c r="E43213" t="s">
        <v>9214</v>
      </c>
      <c r="F43213" t="s">
        <v>13972</v>
      </c>
      <c r="G43213" t="s">
        <v>17997</v>
      </c>
      <c r="H43213" t="s">
        <v>35364</v>
      </c>
    </row>
    <row r="43214" spans="1:8">
      <c r="H43214" t="s">
        <v>35365</v>
      </c>
    </row>
    <row r="43215" spans="1:8">
      <c r="H43215" t="s">
        <v>35366</v>
      </c>
    </row>
    <row r="43216" spans="1:8">
      <c r="H43216" t="s">
        <v>35367</v>
      </c>
    </row>
    <row r="43217" spans="1:8">
      <c r="H43217" t="s">
        <v>35368</v>
      </c>
    </row>
    <row r="43218" spans="1:8">
      <c r="H43218" t="s">
        <v>35369</v>
      </c>
    </row>
    <row r="43219" spans="1:8">
      <c r="A43219" t="s">
        <v>3522</v>
      </c>
      <c r="B43219">
        <f>HYPERLINK("https://android.googlesource.com/platform/cts/+/7bb543e2b767fc6856984980aab3a00d6299cdc6", "7bb543e2b767fc6856984980aab3a00d6299cdc6")</f>
        <v>0</v>
      </c>
      <c r="C43219">
        <f>HYPERLINK("https://android.googlesource.com/platform/cts/+/9971c5affac56ee76095f5aa38bad11719b1947c", "9971c5affac56ee76095f5aa38bad11719b1947c")</f>
        <v>0</v>
      </c>
      <c r="D43219" t="s">
        <v>5576</v>
      </c>
      <c r="E43219" t="s">
        <v>9215</v>
      </c>
      <c r="F43219" t="s">
        <v>14330</v>
      </c>
      <c r="G43219" t="s">
        <v>18285</v>
      </c>
      <c r="H43219" t="s">
        <v>35387</v>
      </c>
    </row>
    <row r="43220" spans="1:8">
      <c r="H43220" t="s">
        <v>35388</v>
      </c>
    </row>
    <row r="43221" spans="1:8">
      <c r="F43221" t="s">
        <v>14331</v>
      </c>
      <c r="G43221" t="s">
        <v>18286</v>
      </c>
      <c r="H43221" t="s">
        <v>35389</v>
      </c>
    </row>
    <row r="43222" spans="1:8">
      <c r="H43222" t="s">
        <v>35390</v>
      </c>
    </row>
    <row r="43223" spans="1:8">
      <c r="H43223" t="s">
        <v>35391</v>
      </c>
    </row>
    <row r="43224" spans="1:8">
      <c r="H43224" t="s">
        <v>35392</v>
      </c>
    </row>
    <row r="43225" spans="1:8">
      <c r="H43225" t="s">
        <v>35393</v>
      </c>
    </row>
    <row r="43226" spans="1:8">
      <c r="H43226" t="s">
        <v>35394</v>
      </c>
    </row>
    <row r="43227" spans="1:8">
      <c r="H43227" t="s">
        <v>35395</v>
      </c>
    </row>
    <row r="43228" spans="1:8">
      <c r="H43228" t="s">
        <v>35396</v>
      </c>
    </row>
    <row r="43229" spans="1:8">
      <c r="H43229" t="s">
        <v>35397</v>
      </c>
    </row>
    <row r="43230" spans="1:8">
      <c r="H43230" t="s">
        <v>35398</v>
      </c>
    </row>
    <row r="43231" spans="1:8">
      <c r="H43231" t="s">
        <v>35399</v>
      </c>
    </row>
    <row r="43232" spans="1:8">
      <c r="H43232" t="s">
        <v>35400</v>
      </c>
    </row>
    <row r="43233" spans="6:8">
      <c r="H43233" t="s">
        <v>35401</v>
      </c>
    </row>
    <row r="43234" spans="6:8">
      <c r="F43234" t="s">
        <v>14332</v>
      </c>
      <c r="G43234" t="s">
        <v>18287</v>
      </c>
      <c r="H43234" t="s">
        <v>35402</v>
      </c>
    </row>
    <row r="43235" spans="6:8">
      <c r="H43235" t="s">
        <v>35403</v>
      </c>
    </row>
    <row r="43236" spans="6:8">
      <c r="H43236" t="s">
        <v>35404</v>
      </c>
    </row>
    <row r="43237" spans="6:8">
      <c r="H43237" t="s">
        <v>35405</v>
      </c>
    </row>
    <row r="43238" spans="6:8">
      <c r="H43238" t="s">
        <v>35406</v>
      </c>
    </row>
    <row r="43239" spans="6:8">
      <c r="H43239" t="s">
        <v>35407</v>
      </c>
    </row>
    <row r="43240" spans="6:8">
      <c r="F43240" t="s">
        <v>14333</v>
      </c>
      <c r="G43240" t="s">
        <v>18288</v>
      </c>
      <c r="H43240" t="s">
        <v>35408</v>
      </c>
    </row>
    <row r="43241" spans="6:8">
      <c r="H43241" t="s">
        <v>34138</v>
      </c>
    </row>
    <row r="43242" spans="6:8">
      <c r="H43242" t="s">
        <v>35409</v>
      </c>
    </row>
    <row r="43243" spans="6:8">
      <c r="F43243" t="s">
        <v>14334</v>
      </c>
      <c r="G43243" t="s">
        <v>18289</v>
      </c>
      <c r="H43243" t="s">
        <v>35410</v>
      </c>
    </row>
    <row r="43244" spans="6:8">
      <c r="H43244" t="s">
        <v>34138</v>
      </c>
    </row>
    <row r="43245" spans="6:8">
      <c r="H43245" t="s">
        <v>35409</v>
      </c>
    </row>
    <row r="43246" spans="6:8">
      <c r="F43246" t="s">
        <v>14335</v>
      </c>
      <c r="G43246" t="s">
        <v>18170</v>
      </c>
      <c r="H43246" t="s">
        <v>18829</v>
      </c>
    </row>
    <row r="43247" spans="6:8">
      <c r="H43247" t="s">
        <v>18863</v>
      </c>
    </row>
    <row r="43248" spans="6:8">
      <c r="H43248" t="s">
        <v>35411</v>
      </c>
    </row>
    <row r="43249" spans="8:8">
      <c r="H43249" t="s">
        <v>35412</v>
      </c>
    </row>
    <row r="43250" spans="8:8">
      <c r="H43250" t="s">
        <v>35413</v>
      </c>
    </row>
    <row r="43251" spans="8:8">
      <c r="H43251" t="s">
        <v>35414</v>
      </c>
    </row>
    <row r="43252" spans="8:8">
      <c r="H43252" t="s">
        <v>35415</v>
      </c>
    </row>
    <row r="43253" spans="8:8">
      <c r="H43253" t="s">
        <v>35416</v>
      </c>
    </row>
    <row r="43254" spans="8:8">
      <c r="H43254" t="s">
        <v>35417</v>
      </c>
    </row>
    <row r="43255" spans="8:8">
      <c r="H43255" t="s">
        <v>35418</v>
      </c>
    </row>
    <row r="43256" spans="8:8">
      <c r="H43256" t="s">
        <v>35419</v>
      </c>
    </row>
    <row r="43257" spans="8:8">
      <c r="H43257" t="s">
        <v>35420</v>
      </c>
    </row>
    <row r="43258" spans="8:8">
      <c r="H43258" t="s">
        <v>35421</v>
      </c>
    </row>
    <row r="43259" spans="8:8">
      <c r="H43259" t="s">
        <v>35422</v>
      </c>
    </row>
    <row r="43260" spans="8:8">
      <c r="H43260" t="s">
        <v>35423</v>
      </c>
    </row>
    <row r="43261" spans="8:8">
      <c r="H43261" t="s">
        <v>35424</v>
      </c>
    </row>
    <row r="43262" spans="8:8">
      <c r="H43262" t="s">
        <v>35425</v>
      </c>
    </row>
    <row r="43263" spans="8:8">
      <c r="H43263" t="s">
        <v>35426</v>
      </c>
    </row>
    <row r="43264" spans="8:8">
      <c r="H43264" t="s">
        <v>35427</v>
      </c>
    </row>
    <row r="43265" spans="6:8">
      <c r="H43265" t="s">
        <v>35428</v>
      </c>
    </row>
    <row r="43266" spans="6:8">
      <c r="F43266" t="s">
        <v>14336</v>
      </c>
      <c r="G43266" t="s">
        <v>18188</v>
      </c>
      <c r="H43266" t="s">
        <v>35429</v>
      </c>
    </row>
    <row r="43267" spans="6:8">
      <c r="H43267" t="s">
        <v>35430</v>
      </c>
    </row>
    <row r="43268" spans="6:8">
      <c r="H43268" t="s">
        <v>34077</v>
      </c>
    </row>
    <row r="43269" spans="6:8">
      <c r="H43269" t="s">
        <v>35431</v>
      </c>
    </row>
    <row r="43270" spans="6:8">
      <c r="H43270" t="s">
        <v>35432</v>
      </c>
    </row>
    <row r="43271" spans="6:8">
      <c r="H43271" t="s">
        <v>35433</v>
      </c>
    </row>
    <row r="43272" spans="6:8">
      <c r="H43272" t="s">
        <v>35434</v>
      </c>
    </row>
    <row r="43273" spans="6:8">
      <c r="H43273" t="s">
        <v>35435</v>
      </c>
    </row>
    <row r="43274" spans="6:8">
      <c r="H43274" t="s">
        <v>35436</v>
      </c>
    </row>
    <row r="43275" spans="6:8">
      <c r="H43275" t="s">
        <v>35437</v>
      </c>
    </row>
    <row r="43276" spans="6:8">
      <c r="H43276" t="s">
        <v>35438</v>
      </c>
    </row>
    <row r="43277" spans="6:8">
      <c r="F43277" t="s">
        <v>14337</v>
      </c>
      <c r="G43277" t="s">
        <v>18290</v>
      </c>
      <c r="H43277" t="s">
        <v>34138</v>
      </c>
    </row>
    <row r="43278" spans="6:8">
      <c r="H43278" t="s">
        <v>35439</v>
      </c>
    </row>
    <row r="43279" spans="6:8">
      <c r="H43279" t="s">
        <v>35440</v>
      </c>
    </row>
    <row r="43280" spans="6:8">
      <c r="H43280" t="s">
        <v>35441</v>
      </c>
    </row>
    <row r="43281" spans="6:8">
      <c r="F43281" t="s">
        <v>14338</v>
      </c>
      <c r="G43281" t="s">
        <v>18165</v>
      </c>
      <c r="H43281" t="s">
        <v>35442</v>
      </c>
    </row>
    <row r="43282" spans="6:8">
      <c r="H43282" t="s">
        <v>35443</v>
      </c>
    </row>
    <row r="43283" spans="6:8">
      <c r="H43283" t="s">
        <v>35443</v>
      </c>
    </row>
    <row r="43284" spans="6:8">
      <c r="H43284" t="s">
        <v>35444</v>
      </c>
    </row>
    <row r="43285" spans="6:8">
      <c r="H43285" t="s">
        <v>35445</v>
      </c>
    </row>
    <row r="43286" spans="6:8">
      <c r="H43286" t="s">
        <v>35446</v>
      </c>
    </row>
    <row r="43287" spans="6:8">
      <c r="H43287" t="s">
        <v>35446</v>
      </c>
    </row>
    <row r="43288" spans="6:8">
      <c r="H43288" t="s">
        <v>35447</v>
      </c>
    </row>
    <row r="43289" spans="6:8">
      <c r="H43289" t="s">
        <v>35448</v>
      </c>
    </row>
    <row r="43290" spans="6:8">
      <c r="H43290" t="s">
        <v>35449</v>
      </c>
    </row>
    <row r="43291" spans="6:8">
      <c r="H43291" t="s">
        <v>35450</v>
      </c>
    </row>
    <row r="43292" spans="6:8">
      <c r="H43292" t="s">
        <v>35451</v>
      </c>
    </row>
    <row r="43293" spans="6:8">
      <c r="H43293" t="s">
        <v>35452</v>
      </c>
    </row>
    <row r="43294" spans="6:8">
      <c r="H43294" t="s">
        <v>35453</v>
      </c>
    </row>
    <row r="43295" spans="6:8">
      <c r="H43295" t="s">
        <v>35454</v>
      </c>
    </row>
    <row r="43296" spans="6:8">
      <c r="H43296" t="s">
        <v>35455</v>
      </c>
    </row>
    <row r="43297" spans="1:8">
      <c r="F43297" t="s">
        <v>14339</v>
      </c>
      <c r="G43297" t="s">
        <v>18291</v>
      </c>
      <c r="H43297" t="s">
        <v>31669</v>
      </c>
    </row>
    <row r="43298" spans="1:8">
      <c r="H43298" t="s">
        <v>34108</v>
      </c>
    </row>
    <row r="43299" spans="1:8">
      <c r="H43299" t="s">
        <v>34107</v>
      </c>
    </row>
    <row r="43300" spans="1:8">
      <c r="A43300" t="s">
        <v>3523</v>
      </c>
      <c r="B43300">
        <f>HYPERLINK("https://android.googlesource.com/platform/cts/+/5e5fc947a5dca78dd7f8e93cbca684f2b7c03d78", "5e5fc947a5dca78dd7f8e93cbca684f2b7c03d78")</f>
        <v>0</v>
      </c>
      <c r="C43300">
        <f>HYPERLINK("https://android.googlesource.com/platform/cts/+/19208093cf851e82a2b1a52db9b7ff8073a5bddb", "19208093cf851e82a2b1a52db9b7ff8073a5bddb")</f>
        <v>0</v>
      </c>
      <c r="D43300" t="s">
        <v>5478</v>
      </c>
      <c r="E43300" t="s">
        <v>9216</v>
      </c>
      <c r="F43300" t="s">
        <v>14340</v>
      </c>
      <c r="G43300" t="s">
        <v>18292</v>
      </c>
      <c r="H43300" t="s">
        <v>19905</v>
      </c>
    </row>
    <row r="43301" spans="1:8">
      <c r="A43301" t="s">
        <v>3524</v>
      </c>
      <c r="B43301">
        <f>HYPERLINK("https://android.googlesource.com/platform/cts/+/eee4e833098ec6c7799f5e5af71b61b85b20d7c5", "eee4e833098ec6c7799f5e5af71b61b85b20d7c5")</f>
        <v>0</v>
      </c>
      <c r="C43301">
        <f>HYPERLINK("https://android.googlesource.com/platform/cts/+/a4a325463e1d603f6c3060bd06507bd4422b0e82", "a4a325463e1d603f6c3060bd06507bd4422b0e82")</f>
        <v>0</v>
      </c>
      <c r="D43301" t="s">
        <v>5195</v>
      </c>
      <c r="E43301" t="s">
        <v>9217</v>
      </c>
      <c r="F43301" t="s">
        <v>14341</v>
      </c>
      <c r="G43301" t="s">
        <v>18293</v>
      </c>
      <c r="H43301" t="s">
        <v>35456</v>
      </c>
    </row>
    <row r="43302" spans="1:8">
      <c r="H43302" t="s">
        <v>35457</v>
      </c>
    </row>
    <row r="43303" spans="1:8">
      <c r="H43303" t="s">
        <v>35458</v>
      </c>
    </row>
    <row r="43304" spans="1:8">
      <c r="A43304" t="s">
        <v>3525</v>
      </c>
      <c r="B43304">
        <f>HYPERLINK("https://android.googlesource.com/platform/cts/+/73301c9be01ef39f5d7adb5796316e150539e706", "73301c9be01ef39f5d7adb5796316e150539e706")</f>
        <v>0</v>
      </c>
      <c r="C43304">
        <f>HYPERLINK("https://android.googlesource.com/platform/cts/+/6ac169cbdf4698002b807010562a216445e75cc2", "6ac169cbdf4698002b807010562a216445e75cc2")</f>
        <v>0</v>
      </c>
      <c r="D43304" t="s">
        <v>5576</v>
      </c>
      <c r="E43304" t="s">
        <v>9218</v>
      </c>
      <c r="F43304" t="s">
        <v>14330</v>
      </c>
      <c r="G43304" t="s">
        <v>18285</v>
      </c>
      <c r="H43304" t="s">
        <v>35387</v>
      </c>
    </row>
    <row r="43305" spans="1:8">
      <c r="H43305" t="s">
        <v>35388</v>
      </c>
    </row>
    <row r="43306" spans="1:8">
      <c r="F43306" t="s">
        <v>14331</v>
      </c>
      <c r="G43306" t="s">
        <v>18286</v>
      </c>
      <c r="H43306" t="s">
        <v>35389</v>
      </c>
    </row>
    <row r="43307" spans="1:8">
      <c r="H43307" t="s">
        <v>35390</v>
      </c>
    </row>
    <row r="43308" spans="1:8">
      <c r="H43308" t="s">
        <v>35391</v>
      </c>
    </row>
    <row r="43309" spans="1:8">
      <c r="H43309" t="s">
        <v>35392</v>
      </c>
    </row>
    <row r="43310" spans="1:8">
      <c r="H43310" t="s">
        <v>35393</v>
      </c>
    </row>
    <row r="43311" spans="1:8">
      <c r="H43311" t="s">
        <v>35394</v>
      </c>
    </row>
    <row r="43312" spans="1:8">
      <c r="H43312" t="s">
        <v>35395</v>
      </c>
    </row>
    <row r="43313" spans="6:8">
      <c r="H43313" t="s">
        <v>35396</v>
      </c>
    </row>
    <row r="43314" spans="6:8">
      <c r="H43314" t="s">
        <v>35397</v>
      </c>
    </row>
    <row r="43315" spans="6:8">
      <c r="H43315" t="s">
        <v>35398</v>
      </c>
    </row>
    <row r="43316" spans="6:8">
      <c r="H43316" t="s">
        <v>35399</v>
      </c>
    </row>
    <row r="43317" spans="6:8">
      <c r="H43317" t="s">
        <v>35400</v>
      </c>
    </row>
    <row r="43318" spans="6:8">
      <c r="H43318" t="s">
        <v>35401</v>
      </c>
    </row>
    <row r="43319" spans="6:8">
      <c r="F43319" t="s">
        <v>14332</v>
      </c>
      <c r="G43319" t="s">
        <v>18287</v>
      </c>
      <c r="H43319" t="s">
        <v>35402</v>
      </c>
    </row>
    <row r="43320" spans="6:8">
      <c r="H43320" t="s">
        <v>35403</v>
      </c>
    </row>
    <row r="43321" spans="6:8">
      <c r="H43321" t="s">
        <v>35404</v>
      </c>
    </row>
    <row r="43322" spans="6:8">
      <c r="H43322" t="s">
        <v>35405</v>
      </c>
    </row>
    <row r="43323" spans="6:8">
      <c r="H43323" t="s">
        <v>35406</v>
      </c>
    </row>
    <row r="43324" spans="6:8">
      <c r="H43324" t="s">
        <v>35407</v>
      </c>
    </row>
    <row r="43325" spans="6:8">
      <c r="F43325" t="s">
        <v>14333</v>
      </c>
      <c r="G43325" t="s">
        <v>18288</v>
      </c>
      <c r="H43325" t="s">
        <v>35408</v>
      </c>
    </row>
    <row r="43326" spans="6:8">
      <c r="H43326" t="s">
        <v>34138</v>
      </c>
    </row>
    <row r="43327" spans="6:8">
      <c r="H43327" t="s">
        <v>35409</v>
      </c>
    </row>
    <row r="43328" spans="6:8">
      <c r="F43328" t="s">
        <v>14334</v>
      </c>
      <c r="G43328" t="s">
        <v>18289</v>
      </c>
      <c r="H43328" t="s">
        <v>35410</v>
      </c>
    </row>
    <row r="43329" spans="6:8">
      <c r="H43329" t="s">
        <v>34138</v>
      </c>
    </row>
    <row r="43330" spans="6:8">
      <c r="H43330" t="s">
        <v>35409</v>
      </c>
    </row>
    <row r="43331" spans="6:8">
      <c r="F43331" t="s">
        <v>14335</v>
      </c>
      <c r="G43331" t="s">
        <v>18170</v>
      </c>
      <c r="H43331" t="s">
        <v>18829</v>
      </c>
    </row>
    <row r="43332" spans="6:8">
      <c r="H43332" t="s">
        <v>18863</v>
      </c>
    </row>
    <row r="43333" spans="6:8">
      <c r="H43333" t="s">
        <v>35411</v>
      </c>
    </row>
    <row r="43334" spans="6:8">
      <c r="H43334" t="s">
        <v>35412</v>
      </c>
    </row>
    <row r="43335" spans="6:8">
      <c r="H43335" t="s">
        <v>35413</v>
      </c>
    </row>
    <row r="43336" spans="6:8">
      <c r="H43336" t="s">
        <v>35414</v>
      </c>
    </row>
    <row r="43337" spans="6:8">
      <c r="H43337" t="s">
        <v>35415</v>
      </c>
    </row>
    <row r="43338" spans="6:8">
      <c r="H43338" t="s">
        <v>35416</v>
      </c>
    </row>
    <row r="43339" spans="6:8">
      <c r="H43339" t="s">
        <v>35417</v>
      </c>
    </row>
    <row r="43340" spans="6:8">
      <c r="H43340" t="s">
        <v>35418</v>
      </c>
    </row>
    <row r="43341" spans="6:8">
      <c r="H43341" t="s">
        <v>35419</v>
      </c>
    </row>
    <row r="43342" spans="6:8">
      <c r="H43342" t="s">
        <v>35420</v>
      </c>
    </row>
    <row r="43343" spans="6:8">
      <c r="H43343" t="s">
        <v>35421</v>
      </c>
    </row>
    <row r="43344" spans="6:8">
      <c r="H43344" t="s">
        <v>35422</v>
      </c>
    </row>
    <row r="43345" spans="6:8">
      <c r="H43345" t="s">
        <v>35423</v>
      </c>
    </row>
    <row r="43346" spans="6:8">
      <c r="H43346" t="s">
        <v>35424</v>
      </c>
    </row>
    <row r="43347" spans="6:8">
      <c r="H43347" t="s">
        <v>35425</v>
      </c>
    </row>
    <row r="43348" spans="6:8">
      <c r="H43348" t="s">
        <v>35426</v>
      </c>
    </row>
    <row r="43349" spans="6:8">
      <c r="H43349" t="s">
        <v>35427</v>
      </c>
    </row>
    <row r="43350" spans="6:8">
      <c r="H43350" t="s">
        <v>35428</v>
      </c>
    </row>
    <row r="43351" spans="6:8">
      <c r="F43351" t="s">
        <v>14336</v>
      </c>
      <c r="G43351" t="s">
        <v>18188</v>
      </c>
      <c r="H43351" t="s">
        <v>35429</v>
      </c>
    </row>
    <row r="43352" spans="6:8">
      <c r="H43352" t="s">
        <v>35430</v>
      </c>
    </row>
    <row r="43353" spans="6:8">
      <c r="H43353" t="s">
        <v>34077</v>
      </c>
    </row>
    <row r="43354" spans="6:8">
      <c r="H43354" t="s">
        <v>35431</v>
      </c>
    </row>
    <row r="43355" spans="6:8">
      <c r="H43355" t="s">
        <v>35432</v>
      </c>
    </row>
    <row r="43356" spans="6:8">
      <c r="H43356" t="s">
        <v>35433</v>
      </c>
    </row>
    <row r="43357" spans="6:8">
      <c r="H43357" t="s">
        <v>35434</v>
      </c>
    </row>
    <row r="43358" spans="6:8">
      <c r="H43358" t="s">
        <v>35435</v>
      </c>
    </row>
    <row r="43359" spans="6:8">
      <c r="H43359" t="s">
        <v>35436</v>
      </c>
    </row>
    <row r="43360" spans="6:8">
      <c r="H43360" t="s">
        <v>35437</v>
      </c>
    </row>
    <row r="43361" spans="6:8">
      <c r="H43361" t="s">
        <v>35438</v>
      </c>
    </row>
    <row r="43362" spans="6:8">
      <c r="F43362" t="s">
        <v>14337</v>
      </c>
      <c r="G43362" t="s">
        <v>18290</v>
      </c>
      <c r="H43362" t="s">
        <v>34138</v>
      </c>
    </row>
    <row r="43363" spans="6:8">
      <c r="H43363" t="s">
        <v>35439</v>
      </c>
    </row>
    <row r="43364" spans="6:8">
      <c r="H43364" t="s">
        <v>35440</v>
      </c>
    </row>
    <row r="43365" spans="6:8">
      <c r="H43365" t="s">
        <v>35441</v>
      </c>
    </row>
    <row r="43366" spans="6:8">
      <c r="F43366" t="s">
        <v>14338</v>
      </c>
      <c r="G43366" t="s">
        <v>18165</v>
      </c>
      <c r="H43366" t="s">
        <v>35442</v>
      </c>
    </row>
    <row r="43367" spans="6:8">
      <c r="H43367" t="s">
        <v>35443</v>
      </c>
    </row>
    <row r="43368" spans="6:8">
      <c r="H43368" t="s">
        <v>35443</v>
      </c>
    </row>
    <row r="43369" spans="6:8">
      <c r="H43369" t="s">
        <v>35444</v>
      </c>
    </row>
    <row r="43370" spans="6:8">
      <c r="H43370" t="s">
        <v>35445</v>
      </c>
    </row>
    <row r="43371" spans="6:8">
      <c r="H43371" t="s">
        <v>35446</v>
      </c>
    </row>
    <row r="43372" spans="6:8">
      <c r="H43372" t="s">
        <v>35446</v>
      </c>
    </row>
    <row r="43373" spans="6:8">
      <c r="H43373" t="s">
        <v>35447</v>
      </c>
    </row>
    <row r="43374" spans="6:8">
      <c r="H43374" t="s">
        <v>35448</v>
      </c>
    </row>
    <row r="43375" spans="6:8">
      <c r="H43375" t="s">
        <v>35449</v>
      </c>
    </row>
    <row r="43376" spans="6:8">
      <c r="H43376" t="s">
        <v>35450</v>
      </c>
    </row>
    <row r="43377" spans="1:8">
      <c r="H43377" t="s">
        <v>35451</v>
      </c>
    </row>
    <row r="43378" spans="1:8">
      <c r="H43378" t="s">
        <v>35452</v>
      </c>
    </row>
    <row r="43379" spans="1:8">
      <c r="H43379" t="s">
        <v>35453</v>
      </c>
    </row>
    <row r="43380" spans="1:8">
      <c r="H43380" t="s">
        <v>35454</v>
      </c>
    </row>
    <row r="43381" spans="1:8">
      <c r="H43381" t="s">
        <v>35455</v>
      </c>
    </row>
    <row r="43382" spans="1:8">
      <c r="F43382" t="s">
        <v>14339</v>
      </c>
      <c r="G43382" t="s">
        <v>18291</v>
      </c>
      <c r="H43382" t="s">
        <v>31669</v>
      </c>
    </row>
    <row r="43383" spans="1:8">
      <c r="H43383" t="s">
        <v>34108</v>
      </c>
    </row>
    <row r="43384" spans="1:8">
      <c r="H43384" t="s">
        <v>34107</v>
      </c>
    </row>
    <row r="43385" spans="1:8">
      <c r="A43385" t="s">
        <v>3526</v>
      </c>
      <c r="B43385">
        <f>HYPERLINK("https://android.googlesource.com/platform/cts/+/9d8fc44d75c7f1ee6020ce84d0ad41c834f37fda", "9d8fc44d75c7f1ee6020ce84d0ad41c834f37fda")</f>
        <v>0</v>
      </c>
      <c r="C43385">
        <f>HYPERLINK("https://android.googlesource.com/platform/cts/+/81009a9aed5f9a6c1d8c4aeb10a8e5f5018ac2b1", "81009a9aed5f9a6c1d8c4aeb10a8e5f5018ac2b1")</f>
        <v>0</v>
      </c>
      <c r="D43385" t="s">
        <v>5582</v>
      </c>
      <c r="E43385" t="s">
        <v>9219</v>
      </c>
      <c r="F43385" t="s">
        <v>12984</v>
      </c>
      <c r="G43385" t="s">
        <v>17148</v>
      </c>
      <c r="H43385" t="s">
        <v>35459</v>
      </c>
    </row>
    <row r="43386" spans="1:8">
      <c r="H43386" t="s">
        <v>35460</v>
      </c>
    </row>
    <row r="43387" spans="1:8">
      <c r="H43387" t="s">
        <v>35461</v>
      </c>
    </row>
    <row r="43388" spans="1:8">
      <c r="H43388" t="s">
        <v>35462</v>
      </c>
    </row>
    <row r="43389" spans="1:8">
      <c r="H43389" t="s">
        <v>35463</v>
      </c>
    </row>
    <row r="43390" spans="1:8">
      <c r="H43390" t="s">
        <v>35464</v>
      </c>
    </row>
    <row r="43391" spans="1:8">
      <c r="H43391" t="s">
        <v>35465</v>
      </c>
    </row>
    <row r="43392" spans="1:8">
      <c r="A43392" t="s">
        <v>3527</v>
      </c>
      <c r="B43392">
        <f>HYPERLINK("https://android.googlesource.com/platform/cts/+/8b78eb66a3d9e3eb66b5a1a57a14818b84a795b8", "8b78eb66a3d9e3eb66b5a1a57a14818b84a795b8")</f>
        <v>0</v>
      </c>
      <c r="C43392">
        <f>HYPERLINK("https://android.googlesource.com/platform/cts/+/cf680b3192a4664beff0eb0fe7402f6f356d9321", "cf680b3192a4664beff0eb0fe7402f6f356d9321")</f>
        <v>0</v>
      </c>
      <c r="D43392" t="s">
        <v>5583</v>
      </c>
      <c r="E43392" t="s">
        <v>9220</v>
      </c>
      <c r="F43392" t="s">
        <v>14326</v>
      </c>
      <c r="G43392" t="s">
        <v>17580</v>
      </c>
      <c r="H43392" t="s">
        <v>35466</v>
      </c>
    </row>
    <row r="43393" spans="1:8">
      <c r="H43393" t="s">
        <v>33155</v>
      </c>
    </row>
    <row r="43394" spans="1:8">
      <c r="A43394" t="s">
        <v>3528</v>
      </c>
      <c r="B43394">
        <f>HYPERLINK("https://android.googlesource.com/platform/cts/+/78dafef8ebb140b5911645720c4d583e99a4d3b3", "78dafef8ebb140b5911645720c4d583e99a4d3b3")</f>
        <v>0</v>
      </c>
      <c r="C43394">
        <f>HYPERLINK("https://android.googlesource.com/platform/cts/+/049a84f58ea3e512c881001e2037cdfb3fe18910", "049a84f58ea3e512c881001e2037cdfb3fe18910")</f>
        <v>0</v>
      </c>
      <c r="D43394" t="s">
        <v>5584</v>
      </c>
      <c r="E43394" t="s">
        <v>9221</v>
      </c>
      <c r="F43394" t="s">
        <v>14270</v>
      </c>
      <c r="G43394" t="s">
        <v>18237</v>
      </c>
      <c r="H43394" t="s">
        <v>19905</v>
      </c>
    </row>
    <row r="43395" spans="1:8">
      <c r="F43395" t="s">
        <v>14271</v>
      </c>
      <c r="G43395" t="s">
        <v>18238</v>
      </c>
      <c r="H43395" t="s">
        <v>19905</v>
      </c>
    </row>
    <row r="43396" spans="1:8">
      <c r="F43396" t="s">
        <v>14237</v>
      </c>
      <c r="G43396" t="s">
        <v>18207</v>
      </c>
      <c r="H43396" t="s">
        <v>19905</v>
      </c>
    </row>
    <row r="43397" spans="1:8">
      <c r="A43397" t="s">
        <v>3529</v>
      </c>
      <c r="B43397">
        <f>HYPERLINK("https://android.googlesource.com/platform/cts/+/dfca2cc86b12c93319554f27c1077e46d5b31eb0", "dfca2cc86b12c93319554f27c1077e46d5b31eb0")</f>
        <v>0</v>
      </c>
      <c r="C43397">
        <f>HYPERLINK("https://android.googlesource.com/platform/cts/+/522fb3734f33e48f85cddda101728fc23e66a11f", "522fb3734f33e48f85cddda101728fc23e66a11f")</f>
        <v>0</v>
      </c>
      <c r="D43397" t="s">
        <v>5584</v>
      </c>
      <c r="E43397" t="s">
        <v>9221</v>
      </c>
      <c r="F43397" t="s">
        <v>14270</v>
      </c>
      <c r="G43397" t="s">
        <v>18237</v>
      </c>
      <c r="H43397" t="s">
        <v>19905</v>
      </c>
    </row>
    <row r="43398" spans="1:8">
      <c r="F43398" t="s">
        <v>14271</v>
      </c>
      <c r="G43398" t="s">
        <v>18238</v>
      </c>
      <c r="H43398" t="s">
        <v>19905</v>
      </c>
    </row>
    <row r="43399" spans="1:8">
      <c r="F43399" t="s">
        <v>14237</v>
      </c>
      <c r="G43399" t="s">
        <v>18207</v>
      </c>
      <c r="H43399" t="s">
        <v>19905</v>
      </c>
    </row>
    <row r="43400" spans="1:8">
      <c r="A43400" t="s">
        <v>3530</v>
      </c>
      <c r="B43400">
        <f>HYPERLINK("https://android.googlesource.com/platform/cts/+/b66f71b48aa7156818d61877f3585ecfbe31092a", "b66f71b48aa7156818d61877f3585ecfbe31092a")</f>
        <v>0</v>
      </c>
      <c r="C43400">
        <f>HYPERLINK("https://android.googlesource.com/platform/cts/+/39824628c94b704a90939278d4be53f35065cc80", "39824628c94b704a90939278d4be53f35065cc80")</f>
        <v>0</v>
      </c>
      <c r="D43400" t="s">
        <v>5298</v>
      </c>
      <c r="E43400" t="s">
        <v>9222</v>
      </c>
      <c r="F43400" t="s">
        <v>14342</v>
      </c>
      <c r="G43400" t="s">
        <v>18294</v>
      </c>
      <c r="H43400" t="s">
        <v>26282</v>
      </c>
    </row>
    <row r="43401" spans="1:8">
      <c r="H43401" t="s">
        <v>35467</v>
      </c>
    </row>
    <row r="43402" spans="1:8">
      <c r="H43402" t="s">
        <v>35468</v>
      </c>
    </row>
    <row r="43403" spans="1:8">
      <c r="A43403" t="s">
        <v>3531</v>
      </c>
      <c r="B43403">
        <f>HYPERLINK("https://android.googlesource.com/platform/cts/+/5a258c2c1979205bf9c6dfc3f06039f300a605f5", "5a258c2c1979205bf9c6dfc3f06039f300a605f5")</f>
        <v>0</v>
      </c>
      <c r="C43403">
        <f>HYPERLINK("https://android.googlesource.com/platform/cts/+/8b78eb66a3d9e3eb66b5a1a57a14818b84a795b8", "8b78eb66a3d9e3eb66b5a1a57a14818b84a795b8")</f>
        <v>0</v>
      </c>
      <c r="D43403" t="s">
        <v>5479</v>
      </c>
      <c r="E43403" t="s">
        <v>9223</v>
      </c>
      <c r="F43403" t="s">
        <v>14326</v>
      </c>
      <c r="G43403" t="s">
        <v>17580</v>
      </c>
      <c r="H43403" t="s">
        <v>35370</v>
      </c>
    </row>
    <row r="43404" spans="1:8">
      <c r="H43404" t="s">
        <v>35371</v>
      </c>
    </row>
    <row r="43405" spans="1:8">
      <c r="A43405" t="s">
        <v>3532</v>
      </c>
      <c r="B43405">
        <f>HYPERLINK("https://android.googlesource.com/platform/cts/+/815968ef87a93460aadc18235c586a40a0536641", "815968ef87a93460aadc18235c586a40a0536641")</f>
        <v>0</v>
      </c>
      <c r="C43405">
        <f>HYPERLINK("https://android.googlesource.com/platform/cts/+/e0664c07eef8171686c6c4341d5443c95e43a5a2", "e0664c07eef8171686c6c4341d5443c95e43a5a2")</f>
        <v>0</v>
      </c>
      <c r="D43405" t="s">
        <v>5585</v>
      </c>
      <c r="E43405" t="s">
        <v>9224</v>
      </c>
      <c r="F43405" t="s">
        <v>13788</v>
      </c>
      <c r="G43405" t="s">
        <v>17841</v>
      </c>
      <c r="H43405" t="s">
        <v>35469</v>
      </c>
    </row>
    <row r="43406" spans="1:8">
      <c r="A43406" t="s">
        <v>3533</v>
      </c>
      <c r="B43406">
        <f>HYPERLINK("https://android.googlesource.com/platform/cts/+/fd74311a40b5fda4ec9aa3b538fbaa1c1a7d60ec", "fd74311a40b5fda4ec9aa3b538fbaa1c1a7d60ec")</f>
        <v>0</v>
      </c>
      <c r="C43406">
        <f>HYPERLINK("https://android.googlesource.com/platform/cts/+/e9f54bd852b327c8b1df443a4e69e47b7032304e", "e9f54bd852b327c8b1df443a4e69e47b7032304e")</f>
        <v>0</v>
      </c>
      <c r="D43406" t="s">
        <v>5586</v>
      </c>
      <c r="E43406" t="s">
        <v>9225</v>
      </c>
      <c r="F43406" t="s">
        <v>13992</v>
      </c>
      <c r="G43406" t="s">
        <v>16620</v>
      </c>
      <c r="H43406" t="s">
        <v>35470</v>
      </c>
    </row>
    <row r="43407" spans="1:8">
      <c r="A43407" t="s">
        <v>3534</v>
      </c>
      <c r="B43407">
        <f>HYPERLINK("https://android.googlesource.com/platform/cts/+/1105323a9a41ff790999be29c36d91612ca0e6a1", "1105323a9a41ff790999be29c36d91612ca0e6a1")</f>
        <v>0</v>
      </c>
      <c r="C43407">
        <f>HYPERLINK("https://android.googlesource.com/platform/cts/+/4fe939235d3abc21793a73d96644724f5b34e828", "4fe939235d3abc21793a73d96644724f5b34e828")</f>
        <v>0</v>
      </c>
      <c r="D43407" t="s">
        <v>5587</v>
      </c>
      <c r="E43407" t="s">
        <v>9226</v>
      </c>
      <c r="F43407" t="s">
        <v>12659</v>
      </c>
      <c r="G43407" t="s">
        <v>16864</v>
      </c>
      <c r="H43407" t="s">
        <v>30853</v>
      </c>
    </row>
    <row r="43408" spans="1:8">
      <c r="A43408" t="s">
        <v>3535</v>
      </c>
      <c r="B43408">
        <f>HYPERLINK("https://android.googlesource.com/platform/cts/+/602944c30c6f55595e07a26568a4086aa1a603cd", "602944c30c6f55595e07a26568a4086aa1a603cd")</f>
        <v>0</v>
      </c>
      <c r="C43408">
        <f>HYPERLINK("https://android.googlesource.com/platform/cts/+/4af542362317dfec074b8c013d54b26c6dae4af5", "4af542362317dfec074b8c013d54b26c6dae4af5")</f>
        <v>0</v>
      </c>
      <c r="D43408" t="s">
        <v>5562</v>
      </c>
      <c r="E43408" t="s">
        <v>9227</v>
      </c>
      <c r="F43408" t="s">
        <v>14343</v>
      </c>
      <c r="G43408" t="s">
        <v>18295</v>
      </c>
      <c r="H43408" t="s">
        <v>35471</v>
      </c>
    </row>
    <row r="43409" spans="1:8">
      <c r="A43409" t="s">
        <v>3536</v>
      </c>
      <c r="B43409">
        <f>HYPERLINK("https://android.googlesource.com/platform/cts/+/14c6b5553e853d6fb052c540c2f322c16d5f55bd", "14c6b5553e853d6fb052c540c2f322c16d5f55bd")</f>
        <v>0</v>
      </c>
      <c r="C43409">
        <f>HYPERLINK("https://android.googlesource.com/platform/cts/+/80c0f7669cd261d445050fb65261a3eac5288c73", "80c0f7669cd261d445050fb65261a3eac5288c73")</f>
        <v>0</v>
      </c>
      <c r="D43409" t="s">
        <v>5588</v>
      </c>
      <c r="E43409" t="s">
        <v>9228</v>
      </c>
      <c r="F43409" t="s">
        <v>12845</v>
      </c>
      <c r="G43409" t="s">
        <v>16561</v>
      </c>
      <c r="H43409" t="s">
        <v>35472</v>
      </c>
    </row>
    <row r="43410" spans="1:8">
      <c r="H43410" t="s">
        <v>35473</v>
      </c>
    </row>
    <row r="43411" spans="1:8">
      <c r="A43411" t="s">
        <v>3537</v>
      </c>
      <c r="B43411">
        <f>HYPERLINK("https://android.googlesource.com/platform/cts/+/45c59233628a428d4503b905e9c7804d871313e3", "45c59233628a428d4503b905e9c7804d871313e3")</f>
        <v>0</v>
      </c>
      <c r="C43411">
        <f>HYPERLINK("https://android.googlesource.com/platform/cts/+/e0d85459c1a03e9142ffb672e651b2e428ab4f34", "e0d85459c1a03e9142ffb672e651b2e428ab4f34")</f>
        <v>0</v>
      </c>
      <c r="D43411" t="s">
        <v>5541</v>
      </c>
      <c r="E43411" t="s">
        <v>9229</v>
      </c>
      <c r="F43411" t="s">
        <v>14344</v>
      </c>
      <c r="G43411" t="s">
        <v>18296</v>
      </c>
      <c r="H43411" t="s">
        <v>35474</v>
      </c>
    </row>
    <row r="43412" spans="1:8">
      <c r="H43412" t="s">
        <v>35475</v>
      </c>
    </row>
    <row r="43413" spans="1:8">
      <c r="H43413" t="s">
        <v>35476</v>
      </c>
    </row>
    <row r="43414" spans="1:8">
      <c r="H43414" t="s">
        <v>35477</v>
      </c>
    </row>
    <row r="43415" spans="1:8">
      <c r="H43415" t="s">
        <v>35478</v>
      </c>
    </row>
    <row r="43416" spans="1:8">
      <c r="H43416" t="s">
        <v>35479</v>
      </c>
    </row>
    <row r="43417" spans="1:8">
      <c r="H43417" t="s">
        <v>35480</v>
      </c>
    </row>
    <row r="43418" spans="1:8">
      <c r="H43418" t="s">
        <v>35481</v>
      </c>
    </row>
    <row r="43419" spans="1:8">
      <c r="H43419" t="s">
        <v>35482</v>
      </c>
    </row>
    <row r="43420" spans="1:8">
      <c r="H43420" t="s">
        <v>35483</v>
      </c>
    </row>
    <row r="43421" spans="1:8">
      <c r="H43421" t="s">
        <v>35484</v>
      </c>
    </row>
    <row r="43422" spans="1:8">
      <c r="H43422" t="s">
        <v>35485</v>
      </c>
    </row>
    <row r="43423" spans="1:8">
      <c r="H43423" t="s">
        <v>35486</v>
      </c>
    </row>
    <row r="43424" spans="1:8">
      <c r="A43424" t="s">
        <v>3538</v>
      </c>
      <c r="B43424">
        <f>HYPERLINK("https://android.googlesource.com/platform/cts/+/47b1a869586847ff0eba34bb0098dc9b383e3fc6", "47b1a869586847ff0eba34bb0098dc9b383e3fc6")</f>
        <v>0</v>
      </c>
      <c r="C43424">
        <f>HYPERLINK("https://android.googlesource.com/platform/cts/+/640bbb63607f9c1bdb0aec806e7ed5ac458e36dc", "640bbb63607f9c1bdb0aec806e7ed5ac458e36dc")</f>
        <v>0</v>
      </c>
      <c r="D43424" t="s">
        <v>5508</v>
      </c>
      <c r="E43424" t="s">
        <v>9230</v>
      </c>
      <c r="F43424" t="s">
        <v>13816</v>
      </c>
      <c r="G43424" t="s">
        <v>15089</v>
      </c>
      <c r="H43424" t="s">
        <v>34803</v>
      </c>
    </row>
    <row r="43425" spans="1:8">
      <c r="A43425" t="s">
        <v>3539</v>
      </c>
      <c r="B43425">
        <f>HYPERLINK("https://android.googlesource.com/platform/cts/+/7ac4ac68d61e6dacd21a5233b096429766757574", "7ac4ac68d61e6dacd21a5233b096429766757574")</f>
        <v>0</v>
      </c>
      <c r="C43425">
        <f>HYPERLINK("https://android.googlesource.com/platform/cts/+/9ac10a899fcac897c78c6344b4bf836c5366f4de", "9ac10a899fcac897c78c6344b4bf836c5366f4de")</f>
        <v>0</v>
      </c>
      <c r="D43425" t="s">
        <v>5177</v>
      </c>
      <c r="E43425" t="s">
        <v>9231</v>
      </c>
      <c r="F43425" t="s">
        <v>14343</v>
      </c>
      <c r="G43425" t="s">
        <v>18295</v>
      </c>
      <c r="H43425" t="s">
        <v>35471</v>
      </c>
    </row>
    <row r="43426" spans="1:8">
      <c r="A43426" t="s">
        <v>3540</v>
      </c>
      <c r="B43426">
        <f>HYPERLINK("https://android.googlesource.com/platform/cts/+/1c6308ce4831b5f8bb9995054c61f2d8ba024825", "1c6308ce4831b5f8bb9995054c61f2d8ba024825")</f>
        <v>0</v>
      </c>
      <c r="C43426">
        <f>HYPERLINK("https://android.googlesource.com/platform/cts/+/487dbf47f9ccc9edbff96c69e4a473e2d5f1c17c", "487dbf47f9ccc9edbff96c69e4a473e2d5f1c17c")</f>
        <v>0</v>
      </c>
      <c r="D43426" t="s">
        <v>5195</v>
      </c>
      <c r="E43426" t="s">
        <v>9232</v>
      </c>
      <c r="F43426" t="s">
        <v>13992</v>
      </c>
      <c r="G43426" t="s">
        <v>16620</v>
      </c>
      <c r="H43426" t="s">
        <v>35487</v>
      </c>
    </row>
    <row r="43427" spans="1:8">
      <c r="H43427" t="s">
        <v>35488</v>
      </c>
    </row>
    <row r="43428" spans="1:8">
      <c r="H43428" t="s">
        <v>35489</v>
      </c>
    </row>
    <row r="43429" spans="1:8">
      <c r="H43429" t="s">
        <v>35490</v>
      </c>
    </row>
    <row r="43430" spans="1:8">
      <c r="H43430" t="s">
        <v>35491</v>
      </c>
    </row>
    <row r="43431" spans="1:8">
      <c r="H43431" t="s">
        <v>35492</v>
      </c>
    </row>
    <row r="43432" spans="1:8">
      <c r="H43432" t="s">
        <v>35493</v>
      </c>
    </row>
    <row r="43433" spans="1:8">
      <c r="H43433" t="s">
        <v>35494</v>
      </c>
    </row>
    <row r="43434" spans="1:8">
      <c r="H43434" t="s">
        <v>35495</v>
      </c>
    </row>
    <row r="43435" spans="1:8">
      <c r="H43435" t="s">
        <v>35496</v>
      </c>
    </row>
    <row r="43436" spans="1:8">
      <c r="A43436" t="s">
        <v>3540</v>
      </c>
      <c r="B43436">
        <f>HYPERLINK("https://android.googlesource.com/platform/cts/+/53a00c03d57d69a1a33684c393996e6a6dba9da7", "53a00c03d57d69a1a33684c393996e6a6dba9da7")</f>
        <v>0</v>
      </c>
      <c r="C43436">
        <f>HYPERLINK("https://android.googlesource.com/platform/cts/+/1c6308ce4831b5f8bb9995054c61f2d8ba024825", "1c6308ce4831b5f8bb9995054c61f2d8ba024825")</f>
        <v>0</v>
      </c>
      <c r="D43436" t="s">
        <v>5195</v>
      </c>
      <c r="E43436" t="s">
        <v>9233</v>
      </c>
      <c r="F43436" t="s">
        <v>13992</v>
      </c>
      <c r="G43436" t="s">
        <v>16620</v>
      </c>
      <c r="H43436" t="s">
        <v>35497</v>
      </c>
    </row>
    <row r="43437" spans="1:8">
      <c r="H43437" t="s">
        <v>35498</v>
      </c>
    </row>
    <row r="43438" spans="1:8">
      <c r="H43438" t="s">
        <v>35499</v>
      </c>
    </row>
    <row r="43439" spans="1:8">
      <c r="H43439" t="s">
        <v>35500</v>
      </c>
    </row>
    <row r="43440" spans="1:8">
      <c r="H43440" t="s">
        <v>35501</v>
      </c>
    </row>
    <row r="43441" spans="1:8">
      <c r="H43441" t="s">
        <v>35501</v>
      </c>
    </row>
    <row r="43442" spans="1:8">
      <c r="H43442" t="s">
        <v>35502</v>
      </c>
    </row>
    <row r="43443" spans="1:8">
      <c r="H43443" t="s">
        <v>35503</v>
      </c>
    </row>
    <row r="43444" spans="1:8">
      <c r="H43444" t="s">
        <v>35504</v>
      </c>
    </row>
    <row r="43445" spans="1:8">
      <c r="H43445" t="s">
        <v>35505</v>
      </c>
    </row>
    <row r="43446" spans="1:8">
      <c r="H43446" t="s">
        <v>35506</v>
      </c>
    </row>
    <row r="43447" spans="1:8">
      <c r="H43447" t="s">
        <v>35507</v>
      </c>
    </row>
    <row r="43448" spans="1:8">
      <c r="H43448" t="s">
        <v>35508</v>
      </c>
    </row>
    <row r="43449" spans="1:8">
      <c r="A43449" t="s">
        <v>3540</v>
      </c>
      <c r="B43449">
        <f>HYPERLINK("https://android.googlesource.com/platform/cts/+/95f64e7951a5ba6c2ace333a8d51c4658e07cfcd", "95f64e7951a5ba6c2ace333a8d51c4658e07cfcd")</f>
        <v>0</v>
      </c>
      <c r="C43449">
        <f>HYPERLINK("https://android.googlesource.com/platform/cts/+/53a00c03d57d69a1a33684c393996e6a6dba9da7", "53a00c03d57d69a1a33684c393996e6a6dba9da7")</f>
        <v>0</v>
      </c>
      <c r="D43449" t="s">
        <v>5195</v>
      </c>
      <c r="E43449" t="s">
        <v>9234</v>
      </c>
      <c r="F43449" t="s">
        <v>13992</v>
      </c>
      <c r="G43449" t="s">
        <v>16620</v>
      </c>
      <c r="H43449" t="s">
        <v>35509</v>
      </c>
    </row>
    <row r="43450" spans="1:8">
      <c r="H43450" t="s">
        <v>35510</v>
      </c>
    </row>
    <row r="43451" spans="1:8">
      <c r="H43451" t="s">
        <v>35511</v>
      </c>
    </row>
    <row r="43452" spans="1:8">
      <c r="H43452" t="s">
        <v>35512</v>
      </c>
    </row>
    <row r="43453" spans="1:8">
      <c r="H43453" t="s">
        <v>35513</v>
      </c>
    </row>
    <row r="43454" spans="1:8">
      <c r="H43454" t="s">
        <v>35514</v>
      </c>
    </row>
    <row r="43455" spans="1:8">
      <c r="H43455" t="s">
        <v>35515</v>
      </c>
    </row>
    <row r="43456" spans="1:8">
      <c r="H43456" t="s">
        <v>35516</v>
      </c>
    </row>
    <row r="43457" spans="1:8">
      <c r="H43457" t="s">
        <v>35517</v>
      </c>
    </row>
    <row r="43458" spans="1:8">
      <c r="H43458" t="s">
        <v>35518</v>
      </c>
    </row>
    <row r="43459" spans="1:8">
      <c r="H43459" t="s">
        <v>35519</v>
      </c>
    </row>
    <row r="43460" spans="1:8">
      <c r="H43460" t="s">
        <v>35520</v>
      </c>
    </row>
    <row r="43461" spans="1:8">
      <c r="H43461" t="s">
        <v>35521</v>
      </c>
    </row>
    <row r="43462" spans="1:8">
      <c r="A43462" t="s">
        <v>3540</v>
      </c>
      <c r="B43462">
        <f>HYPERLINK("https://android.googlesource.com/platform/cts/+/91b4c4b4ad3954cbfc45fbe006796e9a294e4d08", "91b4c4b4ad3954cbfc45fbe006796e9a294e4d08")</f>
        <v>0</v>
      </c>
      <c r="C43462">
        <f>HYPERLINK("https://android.googlesource.com/platform/cts/+/95f64e7951a5ba6c2ace333a8d51c4658e07cfcd", "95f64e7951a5ba6c2ace333a8d51c4658e07cfcd")</f>
        <v>0</v>
      </c>
      <c r="D43462" t="s">
        <v>5195</v>
      </c>
      <c r="E43462" t="s">
        <v>9235</v>
      </c>
      <c r="F43462" t="s">
        <v>13992</v>
      </c>
      <c r="G43462" t="s">
        <v>16620</v>
      </c>
      <c r="H43462" t="s">
        <v>35522</v>
      </c>
    </row>
    <row r="43463" spans="1:8">
      <c r="H43463" t="s">
        <v>35523</v>
      </c>
    </row>
    <row r="43464" spans="1:8">
      <c r="H43464" t="s">
        <v>35524</v>
      </c>
    </row>
    <row r="43465" spans="1:8">
      <c r="H43465" t="s">
        <v>35525</v>
      </c>
    </row>
    <row r="43466" spans="1:8">
      <c r="H43466" t="s">
        <v>35526</v>
      </c>
    </row>
    <row r="43467" spans="1:8">
      <c r="H43467" t="s">
        <v>35527</v>
      </c>
    </row>
    <row r="43468" spans="1:8">
      <c r="H43468" t="s">
        <v>35528</v>
      </c>
    </row>
    <row r="43469" spans="1:8">
      <c r="H43469" t="s">
        <v>35529</v>
      </c>
    </row>
    <row r="43470" spans="1:8">
      <c r="H43470" t="s">
        <v>35530</v>
      </c>
    </row>
    <row r="43471" spans="1:8">
      <c r="H43471" t="s">
        <v>35531</v>
      </c>
    </row>
    <row r="43472" spans="1:8">
      <c r="H43472" t="s">
        <v>35532</v>
      </c>
    </row>
    <row r="43473" spans="1:8">
      <c r="H43473" t="s">
        <v>35533</v>
      </c>
    </row>
    <row r="43474" spans="1:8">
      <c r="H43474" t="s">
        <v>35534</v>
      </c>
    </row>
    <row r="43475" spans="1:8">
      <c r="H43475" t="s">
        <v>35535</v>
      </c>
    </row>
    <row r="43476" spans="1:8">
      <c r="H43476" t="s">
        <v>35536</v>
      </c>
    </row>
    <row r="43477" spans="1:8">
      <c r="H43477" t="s">
        <v>35537</v>
      </c>
    </row>
    <row r="43478" spans="1:8">
      <c r="A43478" t="s">
        <v>3540</v>
      </c>
      <c r="B43478">
        <f>HYPERLINK("https://android.googlesource.com/platform/cts/+/c92831a16175036bee5059fb34a754e0a6613df8", "c92831a16175036bee5059fb34a754e0a6613df8")</f>
        <v>0</v>
      </c>
      <c r="C43478">
        <f>HYPERLINK("https://android.googlesource.com/platform/cts/+/91b4c4b4ad3954cbfc45fbe006796e9a294e4d08", "91b4c4b4ad3954cbfc45fbe006796e9a294e4d08")</f>
        <v>0</v>
      </c>
      <c r="D43478" t="s">
        <v>5195</v>
      </c>
      <c r="E43478" t="s">
        <v>9236</v>
      </c>
      <c r="F43478" t="s">
        <v>13816</v>
      </c>
      <c r="G43478" t="s">
        <v>15089</v>
      </c>
      <c r="H43478" t="s">
        <v>35505</v>
      </c>
    </row>
    <row r="43479" spans="1:8">
      <c r="H43479" t="s">
        <v>35538</v>
      </c>
    </row>
    <row r="43480" spans="1:8">
      <c r="H43480" t="s">
        <v>35539</v>
      </c>
    </row>
    <row r="43481" spans="1:8">
      <c r="H43481" t="s">
        <v>35540</v>
      </c>
    </row>
    <row r="43482" spans="1:8">
      <c r="A43482" t="s">
        <v>3541</v>
      </c>
      <c r="B43482">
        <f>HYPERLINK("https://android.googlesource.com/platform/cts/+/ab1c3c8886231e2990e6685a1e2d64153bf64c02", "ab1c3c8886231e2990e6685a1e2d64153bf64c02")</f>
        <v>0</v>
      </c>
      <c r="C43482">
        <f>HYPERLINK("https://android.googlesource.com/platform/cts/+/f59f868aacad66140bd7a383b9c9db7164edb346", "f59f868aacad66140bd7a383b9c9db7164edb346")</f>
        <v>0</v>
      </c>
      <c r="D43482" t="s">
        <v>5298</v>
      </c>
      <c r="E43482" t="s">
        <v>9237</v>
      </c>
      <c r="F43482" t="s">
        <v>14345</v>
      </c>
      <c r="G43482" t="s">
        <v>18297</v>
      </c>
      <c r="H43482" t="s">
        <v>35541</v>
      </c>
    </row>
    <row r="43483" spans="1:8">
      <c r="A43483" t="s">
        <v>3542</v>
      </c>
      <c r="B43483">
        <f>HYPERLINK("https://android.googlesource.com/platform/cts/+/7658463e83bc94ff4b2f4178668b6b2c968b651a", "7658463e83bc94ff4b2f4178668b6b2c968b651a")</f>
        <v>0</v>
      </c>
      <c r="C43483">
        <f>HYPERLINK("https://android.googlesource.com/platform/cts/+/dd0357841e582ed5f20bb35e8c73b9514e21f112", "dd0357841e582ed5f20bb35e8c73b9514e21f112")</f>
        <v>0</v>
      </c>
      <c r="D43483" t="s">
        <v>5189</v>
      </c>
      <c r="E43483" t="s">
        <v>9238</v>
      </c>
      <c r="F43483" t="s">
        <v>14077</v>
      </c>
      <c r="G43483" t="s">
        <v>18075</v>
      </c>
      <c r="H43483" t="s">
        <v>34368</v>
      </c>
    </row>
    <row r="43484" spans="1:8">
      <c r="A43484" t="s">
        <v>3543</v>
      </c>
      <c r="B43484">
        <f>HYPERLINK("https://android.googlesource.com/platform/cts/+/d6937fae1f406cef0f80d6eb703ad51a9e0df019", "d6937fae1f406cef0f80d6eb703ad51a9e0df019")</f>
        <v>0</v>
      </c>
      <c r="C43484">
        <f>HYPERLINK("https://android.googlesource.com/platform/cts/+/553d272d9e927862cb4de08f3699592cf4bf9738", "553d272d9e927862cb4de08f3699592cf4bf9738")</f>
        <v>0</v>
      </c>
      <c r="D43484" t="s">
        <v>5189</v>
      </c>
      <c r="E43484" t="s">
        <v>9239</v>
      </c>
      <c r="F43484" t="s">
        <v>14077</v>
      </c>
      <c r="G43484" t="s">
        <v>18075</v>
      </c>
      <c r="H43484" t="s">
        <v>34368</v>
      </c>
    </row>
    <row r="43485" spans="1:8">
      <c r="A43485" t="s">
        <v>3544</v>
      </c>
      <c r="B43485">
        <f>HYPERLINK("https://android.googlesource.com/platform/cts/+/0b118dc1f075d60904eabbd2f9f40710c4597a4a", "0b118dc1f075d60904eabbd2f9f40710c4597a4a")</f>
        <v>0</v>
      </c>
      <c r="C43485">
        <f>HYPERLINK("https://android.googlesource.com/platform/cts/+/8a158ee730271017ec3852f85e38afbe58cdb766", "8a158ee730271017ec3852f85e38afbe58cdb766")</f>
        <v>0</v>
      </c>
      <c r="D43485" t="s">
        <v>5182</v>
      </c>
      <c r="E43485" t="s">
        <v>9240</v>
      </c>
      <c r="F43485" t="s">
        <v>12820</v>
      </c>
      <c r="G43485" t="s">
        <v>16999</v>
      </c>
      <c r="H43485" t="s">
        <v>35542</v>
      </c>
    </row>
    <row r="43486" spans="1:8">
      <c r="A43486" t="s">
        <v>3545</v>
      </c>
      <c r="B43486">
        <f>HYPERLINK("https://android.googlesource.com/platform/cts/+/0be144a10f415dc7d47916df1100cc3dce305360", "0be144a10f415dc7d47916df1100cc3dce305360")</f>
        <v>0</v>
      </c>
      <c r="C43486">
        <f>HYPERLINK("https://android.googlesource.com/platform/cts/+/8809e6eba385c95eab69009050fcc5e218a8d6ca", "8809e6eba385c95eab69009050fcc5e218a8d6ca")</f>
        <v>0</v>
      </c>
      <c r="D43486" t="s">
        <v>5415</v>
      </c>
      <c r="E43486" t="s">
        <v>9241</v>
      </c>
      <c r="F43486" t="s">
        <v>14346</v>
      </c>
      <c r="G43486" t="s">
        <v>18045</v>
      </c>
      <c r="H43486" t="s">
        <v>35543</v>
      </c>
    </row>
    <row r="43487" spans="1:8">
      <c r="H43487" t="s">
        <v>35544</v>
      </c>
    </row>
    <row r="43488" spans="1:8">
      <c r="A43488" t="s">
        <v>3546</v>
      </c>
      <c r="B43488">
        <f>HYPERLINK("https://android.googlesource.com/platform/cts/+/af7ce216051ff21639808318b31a7ce1e1b6caee", "af7ce216051ff21639808318b31a7ce1e1b6caee")</f>
        <v>0</v>
      </c>
      <c r="C43488">
        <f>HYPERLINK("https://android.googlesource.com/platform/cts/+/c7bed5eae57eb362613a595a9de981fbe7d6507e", "c7bed5eae57eb362613a595a9de981fbe7d6507e")</f>
        <v>0</v>
      </c>
      <c r="D43488" t="s">
        <v>5415</v>
      </c>
      <c r="E43488" t="s">
        <v>9242</v>
      </c>
      <c r="F43488" t="s">
        <v>14346</v>
      </c>
      <c r="G43488" t="s">
        <v>18045</v>
      </c>
      <c r="H43488" t="s">
        <v>35543</v>
      </c>
    </row>
    <row r="43489" spans="1:8">
      <c r="H43489" t="s">
        <v>35544</v>
      </c>
    </row>
    <row r="43490" spans="1:8">
      <c r="A43490" t="s">
        <v>3547</v>
      </c>
      <c r="B43490">
        <f>HYPERLINK("https://android.googlesource.com/platform/cts/+/50054a0a35dd7a0866999644a16ddc5ac8cdf9ca", "50054a0a35dd7a0866999644a16ddc5ac8cdf9ca")</f>
        <v>0</v>
      </c>
      <c r="C43490">
        <f>HYPERLINK("https://android.googlesource.com/platform/cts/+/10721726f4477f534addc39b0291eacfab7734ed", "10721726f4477f534addc39b0291eacfab7734ed")</f>
        <v>0</v>
      </c>
      <c r="D43490" t="s">
        <v>5153</v>
      </c>
      <c r="E43490" t="s">
        <v>9243</v>
      </c>
      <c r="F43490" t="s">
        <v>14347</v>
      </c>
      <c r="G43490" t="s">
        <v>18298</v>
      </c>
      <c r="H43490" t="s">
        <v>35545</v>
      </c>
    </row>
    <row r="43491" spans="1:8">
      <c r="F43491" t="s">
        <v>14348</v>
      </c>
      <c r="G43491" t="s">
        <v>18299</v>
      </c>
      <c r="H43491" t="s">
        <v>35545</v>
      </c>
    </row>
    <row r="43492" spans="1:8">
      <c r="A43492" t="s">
        <v>3548</v>
      </c>
      <c r="B43492">
        <f>HYPERLINK("https://android.googlesource.com/platform/cts/+/6149b2845677bc88c4e27c35e633bcf2f6809401", "6149b2845677bc88c4e27c35e633bcf2f6809401")</f>
        <v>0</v>
      </c>
      <c r="C43492">
        <f>HYPERLINK("https://android.googlesource.com/platform/cts/+/10721726f4477f534addc39b0291eacfab7734ed", "10721726f4477f534addc39b0291eacfab7734ed")</f>
        <v>0</v>
      </c>
      <c r="D43492" t="s">
        <v>5438</v>
      </c>
      <c r="E43492" t="s">
        <v>9244</v>
      </c>
      <c r="F43492" t="s">
        <v>14349</v>
      </c>
      <c r="G43492" t="s">
        <v>18300</v>
      </c>
      <c r="H43492" t="s">
        <v>35546</v>
      </c>
    </row>
    <row r="43493" spans="1:8">
      <c r="H43493" t="s">
        <v>35547</v>
      </c>
    </row>
    <row r="43494" spans="1:8">
      <c r="H43494" t="s">
        <v>35548</v>
      </c>
    </row>
    <row r="43495" spans="1:8">
      <c r="A43495" t="s">
        <v>3549</v>
      </c>
      <c r="B43495">
        <f>HYPERLINK("https://android.googlesource.com/platform/cts/+/206f1b68df1fccaab547759338ff334d22616c6f", "206f1b68df1fccaab547759338ff334d22616c6f")</f>
        <v>0</v>
      </c>
      <c r="C43495">
        <f>HYPERLINK("https://android.googlesource.com/platform/cts/+/ac008bf0ff1714ffb37154567d7fa9aaade91d57", "ac008bf0ff1714ffb37154567d7fa9aaade91d57")</f>
        <v>0</v>
      </c>
      <c r="D43495" t="s">
        <v>5586</v>
      </c>
      <c r="E43495" t="s">
        <v>9245</v>
      </c>
      <c r="F43495" t="s">
        <v>13992</v>
      </c>
      <c r="G43495" t="s">
        <v>16620</v>
      </c>
      <c r="H43495" t="s">
        <v>35470</v>
      </c>
    </row>
    <row r="43496" spans="1:8">
      <c r="A43496" t="s">
        <v>3550</v>
      </c>
      <c r="B43496">
        <f>HYPERLINK("https://android.googlesource.com/platform/cts/+/33f78ee32e879f6a0ef271264b391c370770d914", "33f78ee32e879f6a0ef271264b391c370770d914")</f>
        <v>0</v>
      </c>
      <c r="C43496">
        <f>HYPERLINK("https://android.googlesource.com/platform/cts/+/10721726f4477f534addc39b0291eacfab7734ed", "10721726f4477f534addc39b0291eacfab7734ed")</f>
        <v>0</v>
      </c>
      <c r="D43496" t="s">
        <v>5290</v>
      </c>
      <c r="E43496" t="s">
        <v>9246</v>
      </c>
      <c r="F43496" t="s">
        <v>14350</v>
      </c>
      <c r="G43496" t="s">
        <v>18301</v>
      </c>
      <c r="H43496" t="s">
        <v>35549</v>
      </c>
    </row>
    <row r="43497" spans="1:8">
      <c r="A43497" t="s">
        <v>3551</v>
      </c>
      <c r="B43497">
        <f>HYPERLINK("https://android.googlesource.com/platform/cts/+/0c35cc2e801c0deaa00c84b2f3753a16e5d5000f", "0c35cc2e801c0deaa00c84b2f3753a16e5d5000f")</f>
        <v>0</v>
      </c>
      <c r="C43497">
        <f>HYPERLINK("https://android.googlesource.com/platform/cts/+/48ed8de64232d459d14bfd50614f985e5d4163c2", "48ed8de64232d459d14bfd50614f985e5d4163c2")</f>
        <v>0</v>
      </c>
      <c r="D43497" t="s">
        <v>5474</v>
      </c>
      <c r="E43497" t="s">
        <v>9247</v>
      </c>
      <c r="F43497" t="s">
        <v>14351</v>
      </c>
      <c r="G43497" t="s">
        <v>18302</v>
      </c>
      <c r="H43497" t="s">
        <v>18916</v>
      </c>
    </row>
    <row r="43498" spans="1:8">
      <c r="A43498" t="s">
        <v>3552</v>
      </c>
      <c r="B43498">
        <f>HYPERLINK("https://android.googlesource.com/platform/cts/+/2520a01d1392d6a19f4b2af6da137d4069e04e7e", "2520a01d1392d6a19f4b2af6da137d4069e04e7e")</f>
        <v>0</v>
      </c>
      <c r="C43498">
        <f>HYPERLINK("https://android.googlesource.com/platform/cts/+/825e54ed10d3dcd65a75e74c08eae3eabe59bae0", "825e54ed10d3dcd65a75e74c08eae3eabe59bae0")</f>
        <v>0</v>
      </c>
      <c r="D43498" t="s">
        <v>5568</v>
      </c>
      <c r="E43498" t="s">
        <v>9248</v>
      </c>
      <c r="F43498" t="s">
        <v>14352</v>
      </c>
      <c r="G43498" t="s">
        <v>18261</v>
      </c>
      <c r="H43498" t="s">
        <v>34567</v>
      </c>
    </row>
    <row r="43499" spans="1:8">
      <c r="H43499" t="s">
        <v>34795</v>
      </c>
    </row>
    <row r="43500" spans="1:8">
      <c r="H43500" t="s">
        <v>34797</v>
      </c>
    </row>
    <row r="43501" spans="1:8">
      <c r="H43501" t="s">
        <v>34797</v>
      </c>
    </row>
    <row r="43502" spans="1:8">
      <c r="H43502" t="s">
        <v>34798</v>
      </c>
    </row>
    <row r="43503" spans="1:8">
      <c r="H43503" t="s">
        <v>22005</v>
      </c>
    </row>
    <row r="43504" spans="1:8">
      <c r="H43504" t="s">
        <v>34799</v>
      </c>
    </row>
    <row r="43505" spans="1:8">
      <c r="A43505" t="s">
        <v>3553</v>
      </c>
      <c r="B43505">
        <f>HYPERLINK("https://android.googlesource.com/platform/cts/+/0138863190bbcf9572442132b155155dce02a367", "0138863190bbcf9572442132b155155dce02a367")</f>
        <v>0</v>
      </c>
      <c r="C43505">
        <f>HYPERLINK("https://android.googlesource.com/platform/cts/+/60dbc583890a78ed1945452520adc8610b0cd34d", "60dbc583890a78ed1945452520adc8610b0cd34d")</f>
        <v>0</v>
      </c>
      <c r="D43505" t="s">
        <v>5338</v>
      </c>
      <c r="E43505" t="s">
        <v>9249</v>
      </c>
      <c r="F43505" t="s">
        <v>14353</v>
      </c>
      <c r="G43505" t="s">
        <v>18303</v>
      </c>
      <c r="H43505" t="s">
        <v>35550</v>
      </c>
    </row>
    <row r="43506" spans="1:8">
      <c r="H43506" t="s">
        <v>35551</v>
      </c>
    </row>
    <row r="43507" spans="1:8">
      <c r="F43507" t="s">
        <v>14354</v>
      </c>
      <c r="G43507" t="s">
        <v>18304</v>
      </c>
      <c r="H43507" t="s">
        <v>35552</v>
      </c>
    </row>
    <row r="43508" spans="1:8">
      <c r="H43508" t="s">
        <v>35553</v>
      </c>
    </row>
    <row r="43509" spans="1:8">
      <c r="H43509" t="s">
        <v>35550</v>
      </c>
    </row>
    <row r="43510" spans="1:8">
      <c r="F43510" t="s">
        <v>14340</v>
      </c>
      <c r="G43510" t="s">
        <v>18292</v>
      </c>
      <c r="H43510" t="s">
        <v>34590</v>
      </c>
    </row>
    <row r="43511" spans="1:8">
      <c r="H43511" t="s">
        <v>34591</v>
      </c>
    </row>
    <row r="43512" spans="1:8">
      <c r="H43512" t="s">
        <v>34592</v>
      </c>
    </row>
    <row r="43513" spans="1:8">
      <c r="H43513" t="s">
        <v>34593</v>
      </c>
    </row>
    <row r="43514" spans="1:8">
      <c r="H43514" t="s">
        <v>34594</v>
      </c>
    </row>
    <row r="43515" spans="1:8">
      <c r="H43515" t="s">
        <v>34595</v>
      </c>
    </row>
    <row r="43516" spans="1:8">
      <c r="H43516" t="s">
        <v>34596</v>
      </c>
    </row>
    <row r="43517" spans="1:8">
      <c r="H43517" t="s">
        <v>34597</v>
      </c>
    </row>
    <row r="43518" spans="1:8">
      <c r="H43518" t="s">
        <v>34598</v>
      </c>
    </row>
    <row r="43519" spans="1:8">
      <c r="H43519" t="s">
        <v>34599</v>
      </c>
    </row>
    <row r="43520" spans="1:8">
      <c r="H43520" t="s">
        <v>34600</v>
      </c>
    </row>
    <row r="43521" spans="6:8">
      <c r="H43521" t="s">
        <v>34601</v>
      </c>
    </row>
    <row r="43522" spans="6:8">
      <c r="H43522" t="s">
        <v>34602</v>
      </c>
    </row>
    <row r="43523" spans="6:8">
      <c r="H43523" t="s">
        <v>34603</v>
      </c>
    </row>
    <row r="43524" spans="6:8">
      <c r="H43524" t="s">
        <v>34604</v>
      </c>
    </row>
    <row r="43525" spans="6:8">
      <c r="H43525" t="s">
        <v>34605</v>
      </c>
    </row>
    <row r="43526" spans="6:8">
      <c r="H43526" t="s">
        <v>34613</v>
      </c>
    </row>
    <row r="43527" spans="6:8">
      <c r="H43527" t="s">
        <v>35554</v>
      </c>
    </row>
    <row r="43528" spans="6:8">
      <c r="H43528" t="s">
        <v>34614</v>
      </c>
    </row>
    <row r="43529" spans="6:8">
      <c r="H43529" t="s">
        <v>34615</v>
      </c>
    </row>
    <row r="43530" spans="6:8">
      <c r="H43530" t="s">
        <v>34612</v>
      </c>
    </row>
    <row r="43531" spans="6:8">
      <c r="F43531" t="s">
        <v>14237</v>
      </c>
      <c r="G43531" t="s">
        <v>18207</v>
      </c>
      <c r="H43531" t="s">
        <v>35555</v>
      </c>
    </row>
    <row r="43532" spans="6:8">
      <c r="H43532" t="s">
        <v>35556</v>
      </c>
    </row>
    <row r="43533" spans="6:8">
      <c r="H43533" t="s">
        <v>35557</v>
      </c>
    </row>
    <row r="43534" spans="6:8">
      <c r="H43534" t="s">
        <v>35558</v>
      </c>
    </row>
    <row r="43535" spans="6:8">
      <c r="H43535" t="s">
        <v>35559</v>
      </c>
    </row>
    <row r="43536" spans="6:8">
      <c r="H43536" t="s">
        <v>35560</v>
      </c>
    </row>
    <row r="43537" spans="8:8">
      <c r="H43537" t="s">
        <v>35561</v>
      </c>
    </row>
    <row r="43538" spans="8:8">
      <c r="H43538" t="s">
        <v>35562</v>
      </c>
    </row>
    <row r="43539" spans="8:8">
      <c r="H43539" t="s">
        <v>35563</v>
      </c>
    </row>
    <row r="43540" spans="8:8">
      <c r="H43540" t="s">
        <v>35564</v>
      </c>
    </row>
    <row r="43541" spans="8:8">
      <c r="H43541" t="s">
        <v>35565</v>
      </c>
    </row>
    <row r="43542" spans="8:8">
      <c r="H43542" t="s">
        <v>35566</v>
      </c>
    </row>
    <row r="43543" spans="8:8">
      <c r="H43543" t="s">
        <v>34606</v>
      </c>
    </row>
    <row r="43544" spans="8:8">
      <c r="H43544" t="s">
        <v>35567</v>
      </c>
    </row>
    <row r="43545" spans="8:8">
      <c r="H43545" t="s">
        <v>35568</v>
      </c>
    </row>
    <row r="43546" spans="8:8">
      <c r="H43546" t="s">
        <v>35569</v>
      </c>
    </row>
    <row r="43547" spans="8:8">
      <c r="H43547" t="s">
        <v>35570</v>
      </c>
    </row>
    <row r="43548" spans="8:8">
      <c r="H43548" t="s">
        <v>35571</v>
      </c>
    </row>
    <row r="43549" spans="8:8">
      <c r="H43549" t="s">
        <v>35572</v>
      </c>
    </row>
    <row r="43550" spans="8:8">
      <c r="H43550" t="s">
        <v>35573</v>
      </c>
    </row>
    <row r="43551" spans="8:8">
      <c r="H43551" t="s">
        <v>35574</v>
      </c>
    </row>
    <row r="43552" spans="8:8">
      <c r="H43552" t="s">
        <v>35575</v>
      </c>
    </row>
    <row r="43553" spans="6:8">
      <c r="H43553" t="s">
        <v>35576</v>
      </c>
    </row>
    <row r="43554" spans="6:8">
      <c r="H43554" t="s">
        <v>34234</v>
      </c>
    </row>
    <row r="43555" spans="6:8">
      <c r="H43555" t="s">
        <v>35577</v>
      </c>
    </row>
    <row r="43556" spans="6:8">
      <c r="F43556" t="s">
        <v>14233</v>
      </c>
      <c r="G43556" t="s">
        <v>16863</v>
      </c>
      <c r="H43556" t="s">
        <v>35578</v>
      </c>
    </row>
    <row r="43557" spans="6:8">
      <c r="F43557" t="s">
        <v>14227</v>
      </c>
      <c r="G43557" t="s">
        <v>18199</v>
      </c>
      <c r="H43557" t="s">
        <v>34590</v>
      </c>
    </row>
    <row r="43558" spans="6:8">
      <c r="H43558" t="s">
        <v>34591</v>
      </c>
    </row>
    <row r="43559" spans="6:8">
      <c r="H43559" t="s">
        <v>34592</v>
      </c>
    </row>
    <row r="43560" spans="6:8">
      <c r="H43560" t="s">
        <v>35555</v>
      </c>
    </row>
    <row r="43561" spans="6:8">
      <c r="H43561" t="s">
        <v>34593</v>
      </c>
    </row>
    <row r="43562" spans="6:8">
      <c r="H43562" t="s">
        <v>34594</v>
      </c>
    </row>
    <row r="43563" spans="6:8">
      <c r="H43563" t="s">
        <v>35566</v>
      </c>
    </row>
    <row r="43564" spans="6:8">
      <c r="H43564" t="s">
        <v>35556</v>
      </c>
    </row>
    <row r="43565" spans="6:8">
      <c r="H43565" t="s">
        <v>35557</v>
      </c>
    </row>
    <row r="43566" spans="6:8">
      <c r="H43566" t="s">
        <v>34595</v>
      </c>
    </row>
    <row r="43567" spans="6:8">
      <c r="H43567" t="s">
        <v>34596</v>
      </c>
    </row>
    <row r="43568" spans="6:8">
      <c r="H43568" t="s">
        <v>34597</v>
      </c>
    </row>
    <row r="43569" spans="8:8">
      <c r="H43569" t="s">
        <v>35558</v>
      </c>
    </row>
    <row r="43570" spans="8:8">
      <c r="H43570" t="s">
        <v>35559</v>
      </c>
    </row>
    <row r="43571" spans="8:8">
      <c r="H43571" t="s">
        <v>34598</v>
      </c>
    </row>
    <row r="43572" spans="8:8">
      <c r="H43572" t="s">
        <v>34599</v>
      </c>
    </row>
    <row r="43573" spans="8:8">
      <c r="H43573" t="s">
        <v>35579</v>
      </c>
    </row>
    <row r="43574" spans="8:8">
      <c r="H43574" t="s">
        <v>35580</v>
      </c>
    </row>
    <row r="43575" spans="8:8">
      <c r="H43575" t="s">
        <v>35581</v>
      </c>
    </row>
    <row r="43576" spans="8:8">
      <c r="H43576" t="s">
        <v>35582</v>
      </c>
    </row>
    <row r="43577" spans="8:8">
      <c r="H43577" t="s">
        <v>35583</v>
      </c>
    </row>
    <row r="43578" spans="8:8">
      <c r="H43578" t="s">
        <v>35584</v>
      </c>
    </row>
    <row r="43579" spans="8:8">
      <c r="H43579" t="s">
        <v>35585</v>
      </c>
    </row>
    <row r="43580" spans="8:8">
      <c r="H43580" t="s">
        <v>35586</v>
      </c>
    </row>
    <row r="43581" spans="8:8">
      <c r="H43581" t="s">
        <v>35587</v>
      </c>
    </row>
    <row r="43582" spans="8:8">
      <c r="H43582" t="s">
        <v>35588</v>
      </c>
    </row>
    <row r="43583" spans="8:8">
      <c r="H43583" t="s">
        <v>35589</v>
      </c>
    </row>
    <row r="43584" spans="8:8">
      <c r="H43584" t="s">
        <v>35590</v>
      </c>
    </row>
    <row r="43585" spans="8:8">
      <c r="H43585" t="s">
        <v>35591</v>
      </c>
    </row>
    <row r="43586" spans="8:8">
      <c r="H43586" t="s">
        <v>35592</v>
      </c>
    </row>
    <row r="43587" spans="8:8">
      <c r="H43587" t="s">
        <v>35593</v>
      </c>
    </row>
    <row r="43588" spans="8:8">
      <c r="H43588" t="s">
        <v>35594</v>
      </c>
    </row>
    <row r="43589" spans="8:8">
      <c r="H43589" t="s">
        <v>35595</v>
      </c>
    </row>
    <row r="43590" spans="8:8">
      <c r="H43590" t="s">
        <v>35596</v>
      </c>
    </row>
    <row r="43591" spans="8:8">
      <c r="H43591" t="s">
        <v>35597</v>
      </c>
    </row>
    <row r="43592" spans="8:8">
      <c r="H43592" t="s">
        <v>35598</v>
      </c>
    </row>
    <row r="43593" spans="8:8">
      <c r="H43593" t="s">
        <v>35599</v>
      </c>
    </row>
    <row r="43594" spans="8:8">
      <c r="H43594" t="s">
        <v>35600</v>
      </c>
    </row>
    <row r="43595" spans="8:8">
      <c r="H43595" t="s">
        <v>35601</v>
      </c>
    </row>
    <row r="43596" spans="8:8">
      <c r="H43596" t="s">
        <v>35602</v>
      </c>
    </row>
    <row r="43597" spans="8:8">
      <c r="H43597" t="s">
        <v>35603</v>
      </c>
    </row>
    <row r="43598" spans="8:8">
      <c r="H43598" t="s">
        <v>34604</v>
      </c>
    </row>
    <row r="43599" spans="8:8">
      <c r="H43599" t="s">
        <v>34605</v>
      </c>
    </row>
    <row r="43600" spans="8:8">
      <c r="H43600" t="s">
        <v>34606</v>
      </c>
    </row>
    <row r="43601" spans="8:8">
      <c r="H43601" t="s">
        <v>35561</v>
      </c>
    </row>
    <row r="43602" spans="8:8">
      <c r="H43602" t="s">
        <v>35562</v>
      </c>
    </row>
    <row r="43603" spans="8:8">
      <c r="H43603" t="s">
        <v>34602</v>
      </c>
    </row>
    <row r="43604" spans="8:8">
      <c r="H43604" t="s">
        <v>35563</v>
      </c>
    </row>
    <row r="43605" spans="8:8">
      <c r="H43605" t="s">
        <v>34603</v>
      </c>
    </row>
    <row r="43606" spans="8:8">
      <c r="H43606" t="s">
        <v>35564</v>
      </c>
    </row>
    <row r="43607" spans="8:8">
      <c r="H43607" t="s">
        <v>35565</v>
      </c>
    </row>
    <row r="43608" spans="8:8">
      <c r="H43608" t="s">
        <v>35604</v>
      </c>
    </row>
    <row r="43609" spans="8:8">
      <c r="H43609" t="s">
        <v>34609</v>
      </c>
    </row>
    <row r="43610" spans="8:8">
      <c r="H43610" t="s">
        <v>34610</v>
      </c>
    </row>
    <row r="43611" spans="8:8">
      <c r="H43611" t="s">
        <v>34611</v>
      </c>
    </row>
    <row r="43612" spans="8:8">
      <c r="H43612" t="s">
        <v>35568</v>
      </c>
    </row>
    <row r="43613" spans="8:8">
      <c r="H43613" t="s">
        <v>35569</v>
      </c>
    </row>
    <row r="43614" spans="8:8">
      <c r="H43614" t="s">
        <v>35570</v>
      </c>
    </row>
    <row r="43615" spans="8:8">
      <c r="H43615" t="s">
        <v>35572</v>
      </c>
    </row>
    <row r="43616" spans="8:8">
      <c r="H43616" t="s">
        <v>35571</v>
      </c>
    </row>
    <row r="43617" spans="1:8">
      <c r="H43617" t="s">
        <v>34612</v>
      </c>
    </row>
    <row r="43618" spans="1:8">
      <c r="H43618" t="s">
        <v>35573</v>
      </c>
    </row>
    <row r="43619" spans="1:8">
      <c r="H43619" t="s">
        <v>34613</v>
      </c>
    </row>
    <row r="43620" spans="1:8">
      <c r="H43620" t="s">
        <v>34614</v>
      </c>
    </row>
    <row r="43621" spans="1:8">
      <c r="H43621" t="s">
        <v>34615</v>
      </c>
    </row>
    <row r="43622" spans="1:8">
      <c r="H43622" t="s">
        <v>35574</v>
      </c>
    </row>
    <row r="43623" spans="1:8">
      <c r="H43623" t="s">
        <v>35575</v>
      </c>
    </row>
    <row r="43624" spans="1:8">
      <c r="H43624" t="s">
        <v>35576</v>
      </c>
    </row>
    <row r="43625" spans="1:8">
      <c r="H43625" t="s">
        <v>34234</v>
      </c>
    </row>
    <row r="43626" spans="1:8">
      <c r="H43626" t="s">
        <v>35577</v>
      </c>
    </row>
    <row r="43627" spans="1:8">
      <c r="A43627" t="s">
        <v>3554</v>
      </c>
      <c r="B43627">
        <f>HYPERLINK("https://android.googlesource.com/platform/cts/+/6085f6e7b8b230f447a75ff444edb8f65ecc2162", "6085f6e7b8b230f447a75ff444edb8f65ecc2162")</f>
        <v>0</v>
      </c>
      <c r="C43627">
        <f>HYPERLINK("https://android.googlesource.com/platform/cts/+/c1daf4238e5d80c1f620de9c616958687a23c440", "c1daf4238e5d80c1f620de9c616958687a23c440")</f>
        <v>0</v>
      </c>
      <c r="D43627" t="s">
        <v>5352</v>
      </c>
      <c r="E43627" t="s">
        <v>9250</v>
      </c>
      <c r="F43627" t="s">
        <v>14355</v>
      </c>
      <c r="G43627" t="s">
        <v>18305</v>
      </c>
      <c r="H43627" t="s">
        <v>18829</v>
      </c>
    </row>
    <row r="43628" spans="1:8">
      <c r="H43628" t="s">
        <v>18863</v>
      </c>
    </row>
    <row r="43629" spans="1:8">
      <c r="H43629" t="s">
        <v>35605</v>
      </c>
    </row>
    <row r="43630" spans="1:8">
      <c r="A43630" t="s">
        <v>3555</v>
      </c>
      <c r="B43630">
        <f>HYPERLINK("https://android.googlesource.com/platform/cts/+/669ff082132104e42230b68eb54a9a9817ed5736", "669ff082132104e42230b68eb54a9a9817ed5736")</f>
        <v>0</v>
      </c>
      <c r="C43630">
        <f>HYPERLINK("https://android.googlesource.com/platform/cts/+/6d3b722efa61fab0a10ab857a5cc83bbe949fd6e", "6d3b722efa61fab0a10ab857a5cc83bbe949fd6e")</f>
        <v>0</v>
      </c>
      <c r="D43630" t="s">
        <v>5509</v>
      </c>
      <c r="E43630" t="s">
        <v>9251</v>
      </c>
      <c r="F43630" t="s">
        <v>12368</v>
      </c>
      <c r="G43630" t="s">
        <v>16595</v>
      </c>
      <c r="H43630" t="s">
        <v>35606</v>
      </c>
    </row>
    <row r="43631" spans="1:8">
      <c r="H43631" t="s">
        <v>35607</v>
      </c>
    </row>
    <row r="43632" spans="1:8">
      <c r="H43632" t="s">
        <v>35608</v>
      </c>
    </row>
    <row r="43633" spans="1:8">
      <c r="A43633" t="s">
        <v>3556</v>
      </c>
      <c r="B43633">
        <f>HYPERLINK("https://android.googlesource.com/platform/cts/+/57303b9f4deaee96e84bf700aa555e65ece45f35", "57303b9f4deaee96e84bf700aa555e65ece45f35")</f>
        <v>0</v>
      </c>
      <c r="C43633">
        <f>HYPERLINK("https://android.googlesource.com/platform/cts/+/669ff082132104e42230b68eb54a9a9817ed5736", "669ff082132104e42230b68eb54a9a9817ed5736")</f>
        <v>0</v>
      </c>
      <c r="D43633" t="s">
        <v>5509</v>
      </c>
      <c r="E43633" t="s">
        <v>9252</v>
      </c>
      <c r="F43633" t="s">
        <v>12368</v>
      </c>
      <c r="G43633" t="s">
        <v>16595</v>
      </c>
      <c r="H43633" t="s">
        <v>35609</v>
      </c>
    </row>
    <row r="43634" spans="1:8">
      <c r="A43634" t="s">
        <v>3557</v>
      </c>
      <c r="B43634">
        <f>HYPERLINK("https://android.googlesource.com/platform/cts/+/39b96926aad856dcbc67ae1c992d6dc01c9ff36a", "39b96926aad856dcbc67ae1c992d6dc01c9ff36a")</f>
        <v>0</v>
      </c>
      <c r="C43634">
        <f>HYPERLINK("https://android.googlesource.com/platform/cts/+/5a258c2c1979205bf9c6dfc3f06039f300a605f5", "5a258c2c1979205bf9c6dfc3f06039f300a605f5")</f>
        <v>0</v>
      </c>
      <c r="D43634" t="s">
        <v>5479</v>
      </c>
      <c r="E43634" t="s">
        <v>9253</v>
      </c>
      <c r="F43634" t="s">
        <v>14326</v>
      </c>
      <c r="G43634" t="s">
        <v>17580</v>
      </c>
      <c r="H43634" t="s">
        <v>35466</v>
      </c>
    </row>
    <row r="43635" spans="1:8">
      <c r="H43635" t="s">
        <v>33155</v>
      </c>
    </row>
    <row r="43636" spans="1:8">
      <c r="A43636" t="s">
        <v>3558</v>
      </c>
      <c r="B43636">
        <f>HYPERLINK("https://android.googlesource.com/platform/cts/+/5a4233f88af077ea9dc2672c004e3b57c9af425f", "5a4233f88af077ea9dc2672c004e3b57c9af425f")</f>
        <v>0</v>
      </c>
      <c r="C43636">
        <f>HYPERLINK("https://android.googlesource.com/platform/cts/+/752b518cd9a8399c1e498bbe28e48b287e1ad748", "752b518cd9a8399c1e498bbe28e48b287e1ad748")</f>
        <v>0</v>
      </c>
      <c r="D43636" t="s">
        <v>5509</v>
      </c>
      <c r="E43636" t="s">
        <v>9254</v>
      </c>
      <c r="F43636" t="s">
        <v>12368</v>
      </c>
      <c r="G43636" t="s">
        <v>16595</v>
      </c>
      <c r="H43636" t="s">
        <v>35610</v>
      </c>
    </row>
    <row r="43637" spans="1:8">
      <c r="A43637" t="s">
        <v>3559</v>
      </c>
      <c r="B43637">
        <f>HYPERLINK("https://android.googlesource.com/platform/cts/+/65bd11a0ff7ee22e5c10630383f029639e5b67b8", "65bd11a0ff7ee22e5c10630383f029639e5b67b8")</f>
        <v>0</v>
      </c>
      <c r="C43637">
        <f>HYPERLINK("https://android.googlesource.com/platform/cts/+/72faa82fe942593e401902f28d3ca5a3b84bad3d", "72faa82fe942593e401902f28d3ca5a3b84bad3d")</f>
        <v>0</v>
      </c>
      <c r="D43637" t="s">
        <v>5338</v>
      </c>
      <c r="E43637" t="s">
        <v>9255</v>
      </c>
      <c r="F43637" t="s">
        <v>14270</v>
      </c>
      <c r="G43637" t="s">
        <v>18237</v>
      </c>
      <c r="H43637" t="s">
        <v>19905</v>
      </c>
    </row>
    <row r="43638" spans="1:8">
      <c r="F43638" t="s">
        <v>14271</v>
      </c>
      <c r="G43638" t="s">
        <v>18238</v>
      </c>
      <c r="H43638" t="s">
        <v>19905</v>
      </c>
    </row>
    <row r="43639" spans="1:8">
      <c r="F43639" t="s">
        <v>14237</v>
      </c>
      <c r="G43639" t="s">
        <v>18207</v>
      </c>
      <c r="H43639" t="s">
        <v>19905</v>
      </c>
    </row>
    <row r="43640" spans="1:8">
      <c r="A43640" t="s">
        <v>3560</v>
      </c>
      <c r="B43640">
        <f>HYPERLINK("https://android.googlesource.com/platform/cts/+/ae1cb11f9543586c3df3dca42c80c8165f5f1774", "ae1cb11f9543586c3df3dca42c80c8165f5f1774")</f>
        <v>0</v>
      </c>
      <c r="C43640">
        <f>HYPERLINK("https://android.googlesource.com/platform/cts/+/9117fc135967e7d87013f1234dccb9ef87c4f750", "9117fc135967e7d87013f1234dccb9ef87c4f750")</f>
        <v>0</v>
      </c>
      <c r="D43640" t="s">
        <v>5338</v>
      </c>
      <c r="E43640" t="s">
        <v>9256</v>
      </c>
      <c r="F43640" t="s">
        <v>14340</v>
      </c>
      <c r="G43640" t="s">
        <v>18292</v>
      </c>
      <c r="H43640" t="s">
        <v>19905</v>
      </c>
    </row>
    <row r="43641" spans="1:8">
      <c r="A43641" t="s">
        <v>3561</v>
      </c>
      <c r="B43641">
        <f>HYPERLINK("https://android.googlesource.com/platform/cts/+/d6990872252d7c3a824bda6706fdbe5e4bc403c5", "d6990872252d7c3a824bda6706fdbe5e4bc403c5")</f>
        <v>0</v>
      </c>
      <c r="C43641">
        <f>HYPERLINK("https://android.googlesource.com/platform/cts/+/5a4233f88af077ea9dc2672c004e3b57c9af425f", "5a4233f88af077ea9dc2672c004e3b57c9af425f")</f>
        <v>0</v>
      </c>
      <c r="D43641" t="s">
        <v>5509</v>
      </c>
      <c r="E43641" t="s">
        <v>9257</v>
      </c>
      <c r="F43641" t="s">
        <v>12368</v>
      </c>
      <c r="G43641" t="s">
        <v>16595</v>
      </c>
      <c r="H43641" t="s">
        <v>35611</v>
      </c>
    </row>
    <row r="43642" spans="1:8">
      <c r="H43642" t="s">
        <v>35612</v>
      </c>
    </row>
    <row r="43643" spans="1:8">
      <c r="H43643" t="s">
        <v>35613</v>
      </c>
    </row>
    <row r="43644" spans="1:8">
      <c r="A43644" t="s">
        <v>3562</v>
      </c>
      <c r="B43644">
        <f>HYPERLINK("https://android.googlesource.com/platform/cts/+/ce65d38bb1d4f42f0d8917845a9a1b8efdb86aeb", "ce65d38bb1d4f42f0d8917845a9a1b8efdb86aeb")</f>
        <v>0</v>
      </c>
      <c r="C43644">
        <f>HYPERLINK("https://android.googlesource.com/platform/cts/+/6315d03ea15ea80dbce7c50b5e15affa6e08b1d9", "6315d03ea15ea80dbce7c50b5e15affa6e08b1d9")</f>
        <v>0</v>
      </c>
      <c r="D43644" t="s">
        <v>5585</v>
      </c>
      <c r="E43644" t="s">
        <v>9258</v>
      </c>
      <c r="F43644" t="s">
        <v>13788</v>
      </c>
      <c r="G43644" t="s">
        <v>17841</v>
      </c>
      <c r="H43644" t="s">
        <v>35469</v>
      </c>
    </row>
    <row r="43645" spans="1:8">
      <c r="A43645" t="s">
        <v>3563</v>
      </c>
      <c r="B43645">
        <f>HYPERLINK("https://android.googlesource.com/platform/cts/+/048fcbb121c9369b791bafa023017588613e8274", "048fcbb121c9369b791bafa023017588613e8274")</f>
        <v>0</v>
      </c>
      <c r="C43645">
        <f>HYPERLINK("https://android.googlesource.com/platform/cts/+/cd03b9db2e35765fb881af0e0ce3ecfd7fb8156d", "cd03b9db2e35765fb881af0e0ce3ecfd7fb8156d")</f>
        <v>0</v>
      </c>
      <c r="D43645" t="s">
        <v>5338</v>
      </c>
      <c r="E43645" t="s">
        <v>9259</v>
      </c>
      <c r="F43645" t="s">
        <v>14353</v>
      </c>
      <c r="G43645" t="s">
        <v>18303</v>
      </c>
      <c r="H43645" t="s">
        <v>35550</v>
      </c>
    </row>
    <row r="43646" spans="1:8">
      <c r="H43646" t="s">
        <v>35551</v>
      </c>
    </row>
    <row r="43647" spans="1:8">
      <c r="F43647" t="s">
        <v>14354</v>
      </c>
      <c r="G43647" t="s">
        <v>18304</v>
      </c>
      <c r="H43647" t="s">
        <v>35552</v>
      </c>
    </row>
    <row r="43648" spans="1:8">
      <c r="H43648" t="s">
        <v>35553</v>
      </c>
    </row>
    <row r="43649" spans="6:8">
      <c r="H43649" t="s">
        <v>35550</v>
      </c>
    </row>
    <row r="43650" spans="6:8">
      <c r="F43650" t="s">
        <v>14340</v>
      </c>
      <c r="G43650" t="s">
        <v>18292</v>
      </c>
      <c r="H43650" t="s">
        <v>34590</v>
      </c>
    </row>
    <row r="43651" spans="6:8">
      <c r="H43651" t="s">
        <v>34591</v>
      </c>
    </row>
    <row r="43652" spans="6:8">
      <c r="H43652" t="s">
        <v>34592</v>
      </c>
    </row>
    <row r="43653" spans="6:8">
      <c r="H43653" t="s">
        <v>34593</v>
      </c>
    </row>
    <row r="43654" spans="6:8">
      <c r="H43654" t="s">
        <v>34594</v>
      </c>
    </row>
    <row r="43655" spans="6:8">
      <c r="H43655" t="s">
        <v>34595</v>
      </c>
    </row>
    <row r="43656" spans="6:8">
      <c r="H43656" t="s">
        <v>34596</v>
      </c>
    </row>
    <row r="43657" spans="6:8">
      <c r="H43657" t="s">
        <v>34597</v>
      </c>
    </row>
    <row r="43658" spans="6:8">
      <c r="H43658" t="s">
        <v>34598</v>
      </c>
    </row>
    <row r="43659" spans="6:8">
      <c r="H43659" t="s">
        <v>34599</v>
      </c>
    </row>
    <row r="43660" spans="6:8">
      <c r="H43660" t="s">
        <v>34600</v>
      </c>
    </row>
    <row r="43661" spans="6:8">
      <c r="H43661" t="s">
        <v>34601</v>
      </c>
    </row>
    <row r="43662" spans="6:8">
      <c r="H43662" t="s">
        <v>34602</v>
      </c>
    </row>
    <row r="43663" spans="6:8">
      <c r="H43663" t="s">
        <v>34603</v>
      </c>
    </row>
    <row r="43664" spans="6:8">
      <c r="H43664" t="s">
        <v>34604</v>
      </c>
    </row>
    <row r="43665" spans="6:8">
      <c r="H43665" t="s">
        <v>34605</v>
      </c>
    </row>
    <row r="43666" spans="6:8">
      <c r="H43666" t="s">
        <v>34613</v>
      </c>
    </row>
    <row r="43667" spans="6:8">
      <c r="H43667" t="s">
        <v>35554</v>
      </c>
    </row>
    <row r="43668" spans="6:8">
      <c r="H43668" t="s">
        <v>34614</v>
      </c>
    </row>
    <row r="43669" spans="6:8">
      <c r="H43669" t="s">
        <v>34615</v>
      </c>
    </row>
    <row r="43670" spans="6:8">
      <c r="H43670" t="s">
        <v>34612</v>
      </c>
    </row>
    <row r="43671" spans="6:8">
      <c r="F43671" t="s">
        <v>14237</v>
      </c>
      <c r="G43671" t="s">
        <v>18207</v>
      </c>
      <c r="H43671" t="s">
        <v>35555</v>
      </c>
    </row>
    <row r="43672" spans="6:8">
      <c r="H43672" t="s">
        <v>35556</v>
      </c>
    </row>
    <row r="43673" spans="6:8">
      <c r="H43673" t="s">
        <v>35557</v>
      </c>
    </row>
    <row r="43674" spans="6:8">
      <c r="H43674" t="s">
        <v>35558</v>
      </c>
    </row>
    <row r="43675" spans="6:8">
      <c r="H43675" t="s">
        <v>35559</v>
      </c>
    </row>
    <row r="43676" spans="6:8">
      <c r="H43676" t="s">
        <v>35560</v>
      </c>
    </row>
    <row r="43677" spans="6:8">
      <c r="H43677" t="s">
        <v>35561</v>
      </c>
    </row>
    <row r="43678" spans="6:8">
      <c r="H43678" t="s">
        <v>35562</v>
      </c>
    </row>
    <row r="43679" spans="6:8">
      <c r="H43679" t="s">
        <v>35563</v>
      </c>
    </row>
    <row r="43680" spans="6:8">
      <c r="H43680" t="s">
        <v>35564</v>
      </c>
    </row>
    <row r="43681" spans="6:8">
      <c r="H43681" t="s">
        <v>35565</v>
      </c>
    </row>
    <row r="43682" spans="6:8">
      <c r="H43682" t="s">
        <v>35566</v>
      </c>
    </row>
    <row r="43683" spans="6:8">
      <c r="H43683" t="s">
        <v>34606</v>
      </c>
    </row>
    <row r="43684" spans="6:8">
      <c r="H43684" t="s">
        <v>35567</v>
      </c>
    </row>
    <row r="43685" spans="6:8">
      <c r="H43685" t="s">
        <v>35568</v>
      </c>
    </row>
    <row r="43686" spans="6:8">
      <c r="H43686" t="s">
        <v>35569</v>
      </c>
    </row>
    <row r="43687" spans="6:8">
      <c r="H43687" t="s">
        <v>35570</v>
      </c>
    </row>
    <row r="43688" spans="6:8">
      <c r="H43688" t="s">
        <v>35571</v>
      </c>
    </row>
    <row r="43689" spans="6:8">
      <c r="H43689" t="s">
        <v>35572</v>
      </c>
    </row>
    <row r="43690" spans="6:8">
      <c r="H43690" t="s">
        <v>35573</v>
      </c>
    </row>
    <row r="43691" spans="6:8">
      <c r="H43691" t="s">
        <v>35574</v>
      </c>
    </row>
    <row r="43692" spans="6:8">
      <c r="H43692" t="s">
        <v>35575</v>
      </c>
    </row>
    <row r="43693" spans="6:8">
      <c r="H43693" t="s">
        <v>35576</v>
      </c>
    </row>
    <row r="43694" spans="6:8">
      <c r="H43694" t="s">
        <v>34234</v>
      </c>
    </row>
    <row r="43695" spans="6:8">
      <c r="H43695" t="s">
        <v>35577</v>
      </c>
    </row>
    <row r="43696" spans="6:8">
      <c r="F43696" t="s">
        <v>14233</v>
      </c>
      <c r="G43696" t="s">
        <v>16863</v>
      </c>
      <c r="H43696" t="s">
        <v>35578</v>
      </c>
    </row>
    <row r="43697" spans="6:8">
      <c r="F43697" t="s">
        <v>14227</v>
      </c>
      <c r="G43697" t="s">
        <v>18199</v>
      </c>
      <c r="H43697" t="s">
        <v>34590</v>
      </c>
    </row>
    <row r="43698" spans="6:8">
      <c r="H43698" t="s">
        <v>34591</v>
      </c>
    </row>
    <row r="43699" spans="6:8">
      <c r="H43699" t="s">
        <v>34592</v>
      </c>
    </row>
    <row r="43700" spans="6:8">
      <c r="H43700" t="s">
        <v>35555</v>
      </c>
    </row>
    <row r="43701" spans="6:8">
      <c r="H43701" t="s">
        <v>34593</v>
      </c>
    </row>
    <row r="43702" spans="6:8">
      <c r="H43702" t="s">
        <v>34594</v>
      </c>
    </row>
    <row r="43703" spans="6:8">
      <c r="H43703" t="s">
        <v>35566</v>
      </c>
    </row>
    <row r="43704" spans="6:8">
      <c r="H43704" t="s">
        <v>35556</v>
      </c>
    </row>
    <row r="43705" spans="6:8">
      <c r="H43705" t="s">
        <v>35557</v>
      </c>
    </row>
    <row r="43706" spans="6:8">
      <c r="H43706" t="s">
        <v>34595</v>
      </c>
    </row>
    <row r="43707" spans="6:8">
      <c r="H43707" t="s">
        <v>34596</v>
      </c>
    </row>
    <row r="43708" spans="6:8">
      <c r="H43708" t="s">
        <v>34597</v>
      </c>
    </row>
    <row r="43709" spans="6:8">
      <c r="H43709" t="s">
        <v>35558</v>
      </c>
    </row>
    <row r="43710" spans="6:8">
      <c r="H43710" t="s">
        <v>35559</v>
      </c>
    </row>
    <row r="43711" spans="6:8">
      <c r="H43711" t="s">
        <v>34598</v>
      </c>
    </row>
    <row r="43712" spans="6:8">
      <c r="H43712" t="s">
        <v>34599</v>
      </c>
    </row>
    <row r="43713" spans="8:8">
      <c r="H43713" t="s">
        <v>35579</v>
      </c>
    </row>
    <row r="43714" spans="8:8">
      <c r="H43714" t="s">
        <v>35580</v>
      </c>
    </row>
    <row r="43715" spans="8:8">
      <c r="H43715" t="s">
        <v>35581</v>
      </c>
    </row>
    <row r="43716" spans="8:8">
      <c r="H43716" t="s">
        <v>35582</v>
      </c>
    </row>
    <row r="43717" spans="8:8">
      <c r="H43717" t="s">
        <v>35583</v>
      </c>
    </row>
    <row r="43718" spans="8:8">
      <c r="H43718" t="s">
        <v>35584</v>
      </c>
    </row>
    <row r="43719" spans="8:8">
      <c r="H43719" t="s">
        <v>35585</v>
      </c>
    </row>
    <row r="43720" spans="8:8">
      <c r="H43720" t="s">
        <v>35586</v>
      </c>
    </row>
    <row r="43721" spans="8:8">
      <c r="H43721" t="s">
        <v>35587</v>
      </c>
    </row>
    <row r="43722" spans="8:8">
      <c r="H43722" t="s">
        <v>35588</v>
      </c>
    </row>
    <row r="43723" spans="8:8">
      <c r="H43723" t="s">
        <v>35589</v>
      </c>
    </row>
    <row r="43724" spans="8:8">
      <c r="H43724" t="s">
        <v>35590</v>
      </c>
    </row>
    <row r="43725" spans="8:8">
      <c r="H43725" t="s">
        <v>35591</v>
      </c>
    </row>
    <row r="43726" spans="8:8">
      <c r="H43726" t="s">
        <v>35592</v>
      </c>
    </row>
    <row r="43727" spans="8:8">
      <c r="H43727" t="s">
        <v>35593</v>
      </c>
    </row>
    <row r="43728" spans="8:8">
      <c r="H43728" t="s">
        <v>35594</v>
      </c>
    </row>
    <row r="43729" spans="8:8">
      <c r="H43729" t="s">
        <v>35595</v>
      </c>
    </row>
    <row r="43730" spans="8:8">
      <c r="H43730" t="s">
        <v>35596</v>
      </c>
    </row>
    <row r="43731" spans="8:8">
      <c r="H43731" t="s">
        <v>35597</v>
      </c>
    </row>
    <row r="43732" spans="8:8">
      <c r="H43732" t="s">
        <v>35598</v>
      </c>
    </row>
    <row r="43733" spans="8:8">
      <c r="H43733" t="s">
        <v>35599</v>
      </c>
    </row>
    <row r="43734" spans="8:8">
      <c r="H43734" t="s">
        <v>35600</v>
      </c>
    </row>
    <row r="43735" spans="8:8">
      <c r="H43735" t="s">
        <v>35601</v>
      </c>
    </row>
    <row r="43736" spans="8:8">
      <c r="H43736" t="s">
        <v>35602</v>
      </c>
    </row>
    <row r="43737" spans="8:8">
      <c r="H43737" t="s">
        <v>35603</v>
      </c>
    </row>
    <row r="43738" spans="8:8">
      <c r="H43738" t="s">
        <v>34604</v>
      </c>
    </row>
    <row r="43739" spans="8:8">
      <c r="H43739" t="s">
        <v>34605</v>
      </c>
    </row>
    <row r="43740" spans="8:8">
      <c r="H43740" t="s">
        <v>34606</v>
      </c>
    </row>
    <row r="43741" spans="8:8">
      <c r="H43741" t="s">
        <v>35561</v>
      </c>
    </row>
    <row r="43742" spans="8:8">
      <c r="H43742" t="s">
        <v>35562</v>
      </c>
    </row>
    <row r="43743" spans="8:8">
      <c r="H43743" t="s">
        <v>34602</v>
      </c>
    </row>
    <row r="43744" spans="8:8">
      <c r="H43744" t="s">
        <v>35563</v>
      </c>
    </row>
    <row r="43745" spans="8:8">
      <c r="H43745" t="s">
        <v>34603</v>
      </c>
    </row>
    <row r="43746" spans="8:8">
      <c r="H43746" t="s">
        <v>35564</v>
      </c>
    </row>
    <row r="43747" spans="8:8">
      <c r="H43747" t="s">
        <v>35565</v>
      </c>
    </row>
    <row r="43748" spans="8:8">
      <c r="H43748" t="s">
        <v>35604</v>
      </c>
    </row>
    <row r="43749" spans="8:8">
      <c r="H43749" t="s">
        <v>34609</v>
      </c>
    </row>
    <row r="43750" spans="8:8">
      <c r="H43750" t="s">
        <v>34610</v>
      </c>
    </row>
    <row r="43751" spans="8:8">
      <c r="H43751" t="s">
        <v>34611</v>
      </c>
    </row>
    <row r="43752" spans="8:8">
      <c r="H43752" t="s">
        <v>35568</v>
      </c>
    </row>
    <row r="43753" spans="8:8">
      <c r="H43753" t="s">
        <v>35569</v>
      </c>
    </row>
    <row r="43754" spans="8:8">
      <c r="H43754" t="s">
        <v>35570</v>
      </c>
    </row>
    <row r="43755" spans="8:8">
      <c r="H43755" t="s">
        <v>35572</v>
      </c>
    </row>
    <row r="43756" spans="8:8">
      <c r="H43756" t="s">
        <v>35571</v>
      </c>
    </row>
    <row r="43757" spans="8:8">
      <c r="H43757" t="s">
        <v>34612</v>
      </c>
    </row>
    <row r="43758" spans="8:8">
      <c r="H43758" t="s">
        <v>35573</v>
      </c>
    </row>
    <row r="43759" spans="8:8">
      <c r="H43759" t="s">
        <v>34613</v>
      </c>
    </row>
    <row r="43760" spans="8:8">
      <c r="H43760" t="s">
        <v>34614</v>
      </c>
    </row>
    <row r="43761" spans="1:8">
      <c r="H43761" t="s">
        <v>34615</v>
      </c>
    </row>
    <row r="43762" spans="1:8">
      <c r="H43762" t="s">
        <v>35574</v>
      </c>
    </row>
    <row r="43763" spans="1:8">
      <c r="H43763" t="s">
        <v>35575</v>
      </c>
    </row>
    <row r="43764" spans="1:8">
      <c r="H43764" t="s">
        <v>35576</v>
      </c>
    </row>
    <row r="43765" spans="1:8">
      <c r="H43765" t="s">
        <v>34234</v>
      </c>
    </row>
    <row r="43766" spans="1:8">
      <c r="H43766" t="s">
        <v>35577</v>
      </c>
    </row>
    <row r="43767" spans="1:8">
      <c r="A43767" t="s">
        <v>3564</v>
      </c>
      <c r="B43767">
        <f>HYPERLINK("https://android.googlesource.com/platform/cts/+/c450167c7626def6b8168e405a6fafd9c459a35e", "c450167c7626def6b8168e405a6fafd9c459a35e")</f>
        <v>0</v>
      </c>
      <c r="C43767">
        <f>HYPERLINK("https://android.googlesource.com/platform/cts/+/ab1c0376c6d774a555e09fb68886b57d27ad77b0", "ab1c0376c6d774a555e09fb68886b57d27ad77b0")</f>
        <v>0</v>
      </c>
      <c r="D43767" t="s">
        <v>5452</v>
      </c>
      <c r="E43767" t="s">
        <v>9260</v>
      </c>
      <c r="F43767" t="s">
        <v>14118</v>
      </c>
      <c r="G43767" t="s">
        <v>18110</v>
      </c>
      <c r="H43767" t="s">
        <v>35614</v>
      </c>
    </row>
    <row r="43768" spans="1:8">
      <c r="H43768" t="s">
        <v>35615</v>
      </c>
    </row>
    <row r="43769" spans="1:8">
      <c r="A43769" t="s">
        <v>3565</v>
      </c>
      <c r="B43769">
        <f>HYPERLINK("https://android.googlesource.com/platform/cts/+/5ee2d13e4f2e07a2605e6959b5aa8ef484d26f83", "5ee2d13e4f2e07a2605e6959b5aa8ef484d26f83")</f>
        <v>0</v>
      </c>
      <c r="C43769">
        <f>HYPERLINK("https://android.googlesource.com/platform/cts/+/a68a229ed2b39165a2dc51590490d012bc66dc10", "a68a229ed2b39165a2dc51590490d012bc66dc10")</f>
        <v>0</v>
      </c>
      <c r="D43769" t="s">
        <v>5589</v>
      </c>
      <c r="E43769" t="s">
        <v>9261</v>
      </c>
      <c r="F43769" t="s">
        <v>14356</v>
      </c>
      <c r="G43769" t="s">
        <v>18306</v>
      </c>
      <c r="H43769" t="s">
        <v>32846</v>
      </c>
    </row>
    <row r="43770" spans="1:8">
      <c r="A43770" t="s">
        <v>3566</v>
      </c>
      <c r="B43770">
        <f>HYPERLINK("https://android.googlesource.com/platform/cts/+/8e7a043eed6919aa5f42a1c6545f44147a46e917", "8e7a043eed6919aa5f42a1c6545f44147a46e917")</f>
        <v>0</v>
      </c>
      <c r="C43770">
        <f>HYPERLINK("https://android.googlesource.com/platform/cts/+/11da39eb7d366565b5de3bf532f799cbaaa14778", "11da39eb7d366565b5de3bf532f799cbaaa14778")</f>
        <v>0</v>
      </c>
      <c r="D43770" t="s">
        <v>5399</v>
      </c>
      <c r="E43770" t="s">
        <v>9262</v>
      </c>
      <c r="F43770" t="s">
        <v>14357</v>
      </c>
      <c r="G43770" t="s">
        <v>15140</v>
      </c>
      <c r="H43770" t="s">
        <v>19289</v>
      </c>
    </row>
    <row r="43771" spans="1:8">
      <c r="H43771" t="s">
        <v>19290</v>
      </c>
    </row>
    <row r="43772" spans="1:8">
      <c r="H43772" t="s">
        <v>19291</v>
      </c>
    </row>
    <row r="43773" spans="1:8">
      <c r="A43773" t="s">
        <v>3567</v>
      </c>
      <c r="B43773">
        <f>HYPERLINK("https://android.googlesource.com/platform/cts/+/603232c8685fd1cdefe6649789882fabc9ae8208", "603232c8685fd1cdefe6649789882fabc9ae8208")</f>
        <v>0</v>
      </c>
      <c r="C43773">
        <f>HYPERLINK("https://android.googlesource.com/platform/cts/+/47b5f1e3a743b392cf329a8051dd1c24be9e5931", "47b5f1e3a743b392cf329a8051dd1c24be9e5931")</f>
        <v>0</v>
      </c>
      <c r="D43773" t="s">
        <v>5590</v>
      </c>
      <c r="E43773" t="s">
        <v>9263</v>
      </c>
      <c r="F43773" t="s">
        <v>12700</v>
      </c>
      <c r="G43773" t="s">
        <v>16903</v>
      </c>
      <c r="H43773" t="s">
        <v>18829</v>
      </c>
    </row>
    <row r="43774" spans="1:8">
      <c r="H43774" t="s">
        <v>18863</v>
      </c>
    </row>
    <row r="43775" spans="1:8">
      <c r="H43775" t="s">
        <v>30633</v>
      </c>
    </row>
    <row r="43776" spans="1:8">
      <c r="F43776" t="s">
        <v>14358</v>
      </c>
      <c r="G43776" t="s">
        <v>17681</v>
      </c>
      <c r="H43776" t="s">
        <v>25988</v>
      </c>
    </row>
    <row r="43777" spans="1:8">
      <c r="A43777" t="s">
        <v>3568</v>
      </c>
      <c r="B43777">
        <f>HYPERLINK("https://android.googlesource.com/platform/cts/+/94ea2cabb3eb6356287d2c3354cf894bd7cc6909", "94ea2cabb3eb6356287d2c3354cf894bd7cc6909")</f>
        <v>0</v>
      </c>
      <c r="C43777">
        <f>HYPERLINK("https://android.googlesource.com/platform/cts/+/1c6c7d1a81c513f20c04b1ad469370bf31d150c1", "1c6c7d1a81c513f20c04b1ad469370bf31d150c1")</f>
        <v>0</v>
      </c>
      <c r="D43777" t="s">
        <v>5591</v>
      </c>
      <c r="E43777" t="s">
        <v>9264</v>
      </c>
      <c r="F43777" t="s">
        <v>14359</v>
      </c>
      <c r="G43777" t="s">
        <v>17156</v>
      </c>
      <c r="H43777" t="s">
        <v>35616</v>
      </c>
    </row>
    <row r="43778" spans="1:8">
      <c r="H43778" t="s">
        <v>35617</v>
      </c>
    </row>
    <row r="43779" spans="1:8">
      <c r="A43779" t="s">
        <v>3569</v>
      </c>
      <c r="B43779">
        <f>HYPERLINK("https://android.googlesource.com/platform/cts/+/a6474fb67281488c36aa3907b7f5d31b3bddad71", "a6474fb67281488c36aa3907b7f5d31b3bddad71")</f>
        <v>0</v>
      </c>
      <c r="C43779">
        <f>HYPERLINK("https://android.googlesource.com/platform/cts/+/f16fbea05c3e8b27935970c5a294232f14e4f2fd", "f16fbea05c3e8b27935970c5a294232f14e4f2fd")</f>
        <v>0</v>
      </c>
      <c r="D43779" t="s">
        <v>5260</v>
      </c>
      <c r="E43779" t="s">
        <v>9265</v>
      </c>
      <c r="F43779" t="s">
        <v>14360</v>
      </c>
      <c r="G43779" t="s">
        <v>18307</v>
      </c>
      <c r="H43779" t="s">
        <v>35618</v>
      </c>
    </row>
    <row r="43780" spans="1:8">
      <c r="A43780" t="s">
        <v>3569</v>
      </c>
      <c r="B43780">
        <f>HYPERLINK("https://android.googlesource.com/platform/cts/+/dd34ab9bfe066898735c0d66345694084258c07e", "dd34ab9bfe066898735c0d66345694084258c07e")</f>
        <v>0</v>
      </c>
      <c r="C43780">
        <f>HYPERLINK("https://android.googlesource.com/platform/cts/+/a6474fb67281488c36aa3907b7f5d31b3bddad71", "a6474fb67281488c36aa3907b7f5d31b3bddad71")</f>
        <v>0</v>
      </c>
      <c r="D43780" t="s">
        <v>5260</v>
      </c>
      <c r="E43780" t="s">
        <v>9266</v>
      </c>
      <c r="F43780" t="s">
        <v>14360</v>
      </c>
      <c r="G43780" t="s">
        <v>18307</v>
      </c>
      <c r="H43780" t="s">
        <v>22212</v>
      </c>
    </row>
    <row r="43781" spans="1:8">
      <c r="H43781" t="s">
        <v>22218</v>
      </c>
    </row>
    <row r="43782" spans="1:8">
      <c r="A43782" t="s">
        <v>3570</v>
      </c>
      <c r="B43782">
        <f>HYPERLINK("https://android.googlesource.com/platform/cts/+/4629a0d02216300cccf54bbd117714b8816aeab7", "4629a0d02216300cccf54bbd117714b8816aeab7")</f>
        <v>0</v>
      </c>
      <c r="C43782">
        <f>HYPERLINK("https://android.googlesource.com/platform/cts/+/ab1c0376c6d774a555e09fb68886b57d27ad77b0", "ab1c0376c6d774a555e09fb68886b57d27ad77b0")</f>
        <v>0</v>
      </c>
      <c r="D43782" t="s">
        <v>5338</v>
      </c>
      <c r="E43782" t="s">
        <v>9267</v>
      </c>
      <c r="F43782" t="s">
        <v>14353</v>
      </c>
      <c r="G43782" t="s">
        <v>18303</v>
      </c>
      <c r="H43782" t="s">
        <v>35604</v>
      </c>
    </row>
    <row r="43783" spans="1:8">
      <c r="A43783" t="s">
        <v>3571</v>
      </c>
      <c r="B43783">
        <f>HYPERLINK("https://android.googlesource.com/platform/cts/+/8cffd0983c8722a4edfd8a0817bbf5dea9a879b4", "8cffd0983c8722a4edfd8a0817bbf5dea9a879b4")</f>
        <v>0</v>
      </c>
      <c r="C43783">
        <f>HYPERLINK("https://android.googlesource.com/platform/cts/+/e1f83e5e0d681c1f8ffd451342581afbd30727af", "e1f83e5e0d681c1f8ffd451342581afbd30727af")</f>
        <v>0</v>
      </c>
      <c r="D43783" t="s">
        <v>4965</v>
      </c>
      <c r="E43783" t="s">
        <v>9268</v>
      </c>
      <c r="F43783" t="s">
        <v>14361</v>
      </c>
      <c r="G43783" t="s">
        <v>18308</v>
      </c>
      <c r="H43783" t="s">
        <v>35619</v>
      </c>
    </row>
    <row r="43784" spans="1:8">
      <c r="A43784" t="s">
        <v>3572</v>
      </c>
      <c r="B43784">
        <f>HYPERLINK("https://android.googlesource.com/platform/cts/+/716d3968778d0cec3cdcf1d6f63f2e416cfbb3f2", "716d3968778d0cec3cdcf1d6f63f2e416cfbb3f2")</f>
        <v>0</v>
      </c>
      <c r="C43784">
        <f>HYPERLINK("https://android.googlesource.com/platform/cts/+/1b52f32fec75c7a352090de40099db51bca9bc9f", "1b52f32fec75c7a352090de40099db51bca9bc9f")</f>
        <v>0</v>
      </c>
      <c r="D43784" t="s">
        <v>5460</v>
      </c>
      <c r="E43784" t="s">
        <v>9269</v>
      </c>
      <c r="F43784" t="s">
        <v>14362</v>
      </c>
      <c r="G43784" t="s">
        <v>18309</v>
      </c>
      <c r="H43784" t="s">
        <v>35620</v>
      </c>
    </row>
    <row r="43785" spans="1:8">
      <c r="A43785" t="s">
        <v>3573</v>
      </c>
      <c r="B43785">
        <f>HYPERLINK("https://android.googlesource.com/platform/cts/+/cf57fd89bd249758813ee22f805053634698dec0", "cf57fd89bd249758813ee22f805053634698dec0")</f>
        <v>0</v>
      </c>
      <c r="C43785">
        <f>HYPERLINK("https://android.googlesource.com/platform/cts/+/624f7827756d96db7d18b76c1aa0c42b1ffe9034", "624f7827756d96db7d18b76c1aa0c42b1ffe9034")</f>
        <v>0</v>
      </c>
      <c r="D43785" t="s">
        <v>5338</v>
      </c>
      <c r="E43785" t="s">
        <v>9270</v>
      </c>
      <c r="F43785" t="s">
        <v>14353</v>
      </c>
      <c r="G43785" t="s">
        <v>18303</v>
      </c>
      <c r="H43785" t="s">
        <v>35604</v>
      </c>
    </row>
    <row r="43786" spans="1:8">
      <c r="A43786" t="s">
        <v>3574</v>
      </c>
      <c r="B43786">
        <f>HYPERLINK("https://android.googlesource.com/platform/cts/+/3ca81c5c96a9c2429e7bb88e458336251b0e739c", "3ca81c5c96a9c2429e7bb88e458336251b0e739c")</f>
        <v>0</v>
      </c>
      <c r="C43786">
        <f>HYPERLINK("https://android.googlesource.com/platform/cts/+/d9660dd247f2b317b041c2f94d3191df0202ab10", "d9660dd247f2b317b041c2f94d3191df0202ab10")</f>
        <v>0</v>
      </c>
      <c r="D43786" t="s">
        <v>5479</v>
      </c>
      <c r="E43786" t="s">
        <v>9271</v>
      </c>
      <c r="F43786" t="s">
        <v>14326</v>
      </c>
      <c r="G43786" t="s">
        <v>17580</v>
      </c>
      <c r="H43786" t="s">
        <v>35371</v>
      </c>
    </row>
    <row r="43787" spans="1:8">
      <c r="A43787" t="s">
        <v>3575</v>
      </c>
      <c r="B43787">
        <f>HYPERLINK("https://android.googlesource.com/platform/cts/+/740f57d2a3988a3322a39968ff78f2d455dedfe0", "740f57d2a3988a3322a39968ff78f2d455dedfe0")</f>
        <v>0</v>
      </c>
      <c r="C43787">
        <f>HYPERLINK("https://android.googlesource.com/platform/cts/+/e92a808cfdb80a10930dbc32004482c2d4378f6c", "e92a808cfdb80a10930dbc32004482c2d4378f6c")</f>
        <v>0</v>
      </c>
      <c r="D43787" t="s">
        <v>5172</v>
      </c>
      <c r="E43787" t="s">
        <v>9272</v>
      </c>
      <c r="F43787" t="s">
        <v>14363</v>
      </c>
      <c r="G43787" t="s">
        <v>18310</v>
      </c>
      <c r="H43787" t="s">
        <v>35621</v>
      </c>
    </row>
    <row r="43788" spans="1:8">
      <c r="A43788" t="s">
        <v>3576</v>
      </c>
      <c r="B43788">
        <f>HYPERLINK("https://android.googlesource.com/platform/cts/+/ee29cbc0767ad2c555f020e007f64778d01f1635", "ee29cbc0767ad2c555f020e007f64778d01f1635")</f>
        <v>0</v>
      </c>
      <c r="C43788">
        <f>HYPERLINK("https://android.googlesource.com/platform/cts/+/86fbb4e1361cac525c71a630f6012c7c3cbe6eba", "86fbb4e1361cac525c71a630f6012c7c3cbe6eba")</f>
        <v>0</v>
      </c>
      <c r="D43788" t="s">
        <v>5582</v>
      </c>
      <c r="E43788" t="s">
        <v>9273</v>
      </c>
      <c r="F43788" t="s">
        <v>12984</v>
      </c>
      <c r="G43788" t="s">
        <v>17148</v>
      </c>
      <c r="H43788" t="s">
        <v>35622</v>
      </c>
    </row>
    <row r="43789" spans="1:8">
      <c r="A43789" t="s">
        <v>3577</v>
      </c>
      <c r="B43789">
        <f>HYPERLINK("https://android.googlesource.com/platform/cts/+/272a3dcd31e95978736040616d891ab02bc545b8", "272a3dcd31e95978736040616d891ab02bc545b8")</f>
        <v>0</v>
      </c>
      <c r="C43789">
        <f>HYPERLINK("https://android.googlesource.com/platform/cts/+/578efc8dc2444938788a8f38ed1c523209dd065e", "578efc8dc2444938788a8f38ed1c523209dd065e")</f>
        <v>0</v>
      </c>
      <c r="D43789" t="s">
        <v>5592</v>
      </c>
      <c r="E43789" t="s">
        <v>9274</v>
      </c>
      <c r="F43789" t="s">
        <v>13555</v>
      </c>
      <c r="G43789" t="s">
        <v>17362</v>
      </c>
      <c r="H43789" t="s">
        <v>28659</v>
      </c>
    </row>
    <row r="43790" spans="1:8">
      <c r="H43790" t="s">
        <v>28660</v>
      </c>
    </row>
    <row r="43791" spans="1:8">
      <c r="A43791" t="s">
        <v>3578</v>
      </c>
      <c r="B43791">
        <f>HYPERLINK("https://android.googlesource.com/platform/cts/+/b4a7eb92ac6ee989984dacb416a2e47acccd1e92", "b4a7eb92ac6ee989984dacb416a2e47acccd1e92")</f>
        <v>0</v>
      </c>
      <c r="C43791">
        <f>HYPERLINK("https://android.googlesource.com/platform/cts/+/812232f6956389fd99f3c6649351e43711d84732", "812232f6956389fd99f3c6649351e43711d84732")</f>
        <v>0</v>
      </c>
      <c r="D43791" t="s">
        <v>5460</v>
      </c>
      <c r="E43791" t="s">
        <v>9275</v>
      </c>
      <c r="F43791" t="s">
        <v>14362</v>
      </c>
      <c r="G43791" t="s">
        <v>18309</v>
      </c>
      <c r="H43791" t="s">
        <v>35623</v>
      </c>
    </row>
    <row r="43792" spans="1:8">
      <c r="A43792" t="s">
        <v>3579</v>
      </c>
      <c r="B43792">
        <f>HYPERLINK("https://android.googlesource.com/platform/cts/+/965d590a9553482458b51d95821898ded81cc3f7", "965d590a9553482458b51d95821898ded81cc3f7")</f>
        <v>0</v>
      </c>
      <c r="C43792">
        <f>HYPERLINK("https://android.googlesource.com/platform/cts/+/72539ebe4ee947ba91b8dd8997232533f3d89f57", "72539ebe4ee947ba91b8dd8997232533f3d89f57")</f>
        <v>0</v>
      </c>
      <c r="D43792" t="s">
        <v>5576</v>
      </c>
      <c r="E43792" t="s">
        <v>9276</v>
      </c>
      <c r="F43792" t="s">
        <v>14364</v>
      </c>
      <c r="G43792" t="s">
        <v>18311</v>
      </c>
      <c r="H43792" t="s">
        <v>18829</v>
      </c>
    </row>
    <row r="43793" spans="1:8">
      <c r="H43793" t="s">
        <v>35624</v>
      </c>
    </row>
    <row r="43794" spans="1:8">
      <c r="H43794" t="s">
        <v>35625</v>
      </c>
    </row>
    <row r="43795" spans="1:8">
      <c r="H43795" t="s">
        <v>35626</v>
      </c>
    </row>
    <row r="43796" spans="1:8">
      <c r="H43796" t="s">
        <v>30644</v>
      </c>
    </row>
    <row r="43797" spans="1:8">
      <c r="H43797" t="s">
        <v>35627</v>
      </c>
    </row>
    <row r="43798" spans="1:8">
      <c r="H43798" t="s">
        <v>35628</v>
      </c>
    </row>
    <row r="43799" spans="1:8">
      <c r="H43799" t="s">
        <v>35629</v>
      </c>
    </row>
    <row r="43800" spans="1:8">
      <c r="H43800" t="s">
        <v>35630</v>
      </c>
    </row>
    <row r="43801" spans="1:8">
      <c r="F43801" t="s">
        <v>14365</v>
      </c>
      <c r="G43801" t="s">
        <v>18312</v>
      </c>
      <c r="H43801" t="s">
        <v>35631</v>
      </c>
    </row>
    <row r="43802" spans="1:8">
      <c r="H43802" t="s">
        <v>35632</v>
      </c>
    </row>
    <row r="43803" spans="1:8">
      <c r="H43803" t="s">
        <v>35633</v>
      </c>
    </row>
    <row r="43804" spans="1:8">
      <c r="H43804" t="s">
        <v>35634</v>
      </c>
    </row>
    <row r="43805" spans="1:8">
      <c r="H43805" t="s">
        <v>35635</v>
      </c>
    </row>
    <row r="43806" spans="1:8">
      <c r="A43806" t="s">
        <v>3580</v>
      </c>
      <c r="B43806">
        <f>HYPERLINK("https://android.googlesource.com/platform/cts/+/d1f33a1d9c9a362c4c7fd413f98c9caf59d7ef5f", "d1f33a1d9c9a362c4c7fd413f98c9caf59d7ef5f")</f>
        <v>0</v>
      </c>
      <c r="C43806">
        <f>HYPERLINK("https://android.googlesource.com/platform/cts/+/1d23325c7c40ba1953c0e9a144760cc71bc5466c", "1d23325c7c40ba1953c0e9a144760cc71bc5466c")</f>
        <v>0</v>
      </c>
      <c r="D43806" t="s">
        <v>5593</v>
      </c>
      <c r="E43806" t="s">
        <v>9277</v>
      </c>
      <c r="F43806" t="s">
        <v>14325</v>
      </c>
      <c r="G43806" t="s">
        <v>18282</v>
      </c>
      <c r="H43806" t="s">
        <v>18829</v>
      </c>
    </row>
    <row r="43807" spans="1:8">
      <c r="H43807" t="s">
        <v>35361</v>
      </c>
    </row>
    <row r="43808" spans="1:8">
      <c r="H43808" t="s">
        <v>35362</v>
      </c>
    </row>
    <row r="43809" spans="1:8">
      <c r="H43809" t="s">
        <v>35363</v>
      </c>
    </row>
    <row r="43810" spans="1:8">
      <c r="A43810" t="s">
        <v>3581</v>
      </c>
      <c r="B43810">
        <f>HYPERLINK("https://android.googlesource.com/platform/cts/+/3d1fa3290dcb84e1eb11f7b7734cbbb5915e360a", "3d1fa3290dcb84e1eb11f7b7734cbbb5915e360a")</f>
        <v>0</v>
      </c>
      <c r="C43810">
        <f>HYPERLINK("https://android.googlesource.com/platform/cts/+/fc8049ad9e826ed40e4b263e71085e57e6c82c83", "fc8049ad9e826ed40e4b263e71085e57e6c82c83")</f>
        <v>0</v>
      </c>
      <c r="D43810" t="s">
        <v>5028</v>
      </c>
      <c r="E43810" t="s">
        <v>9278</v>
      </c>
      <c r="F43810" t="s">
        <v>14044</v>
      </c>
      <c r="G43810" t="s">
        <v>16815</v>
      </c>
      <c r="H43810" t="s">
        <v>35636</v>
      </c>
    </row>
    <row r="43811" spans="1:8">
      <c r="H43811" t="s">
        <v>35637</v>
      </c>
    </row>
    <row r="43812" spans="1:8">
      <c r="H43812" t="s">
        <v>21997</v>
      </c>
    </row>
    <row r="43813" spans="1:8">
      <c r="H43813" t="s">
        <v>35638</v>
      </c>
    </row>
    <row r="43814" spans="1:8">
      <c r="A43814" t="s">
        <v>3582</v>
      </c>
      <c r="B43814">
        <f>HYPERLINK("https://android.googlesource.com/platform/cts/+/137fe48ac871a5d7742c8d436cfd488499e33d02", "137fe48ac871a5d7742c8d436cfd488499e33d02")</f>
        <v>0</v>
      </c>
      <c r="C43814">
        <f>HYPERLINK("https://android.googlesource.com/platform/cts/+/29c178269ce848f702582b231b167c4a33a7b62f", "29c178269ce848f702582b231b167c4a33a7b62f")</f>
        <v>0</v>
      </c>
      <c r="D43814" t="s">
        <v>5576</v>
      </c>
      <c r="E43814" t="s">
        <v>9279</v>
      </c>
      <c r="F43814" t="s">
        <v>14364</v>
      </c>
      <c r="G43814" t="s">
        <v>18311</v>
      </c>
      <c r="H43814" t="s">
        <v>18829</v>
      </c>
    </row>
    <row r="43815" spans="1:8">
      <c r="H43815" t="s">
        <v>35624</v>
      </c>
    </row>
    <row r="43816" spans="1:8">
      <c r="H43816" t="s">
        <v>35625</v>
      </c>
    </row>
    <row r="43817" spans="1:8">
      <c r="H43817" t="s">
        <v>35626</v>
      </c>
    </row>
    <row r="43818" spans="1:8">
      <c r="H43818" t="s">
        <v>30644</v>
      </c>
    </row>
    <row r="43819" spans="1:8">
      <c r="H43819" t="s">
        <v>35627</v>
      </c>
    </row>
    <row r="43820" spans="1:8">
      <c r="H43820" t="s">
        <v>35628</v>
      </c>
    </row>
    <row r="43821" spans="1:8">
      <c r="H43821" t="s">
        <v>35629</v>
      </c>
    </row>
    <row r="43822" spans="1:8">
      <c r="H43822" t="s">
        <v>35630</v>
      </c>
    </row>
    <row r="43823" spans="1:8">
      <c r="F43823" t="s">
        <v>14365</v>
      </c>
      <c r="G43823" t="s">
        <v>18312</v>
      </c>
      <c r="H43823" t="s">
        <v>35631</v>
      </c>
    </row>
    <row r="43824" spans="1:8">
      <c r="H43824" t="s">
        <v>35632</v>
      </c>
    </row>
    <row r="43825" spans="1:8">
      <c r="H43825" t="s">
        <v>35633</v>
      </c>
    </row>
    <row r="43826" spans="1:8">
      <c r="H43826" t="s">
        <v>35634</v>
      </c>
    </row>
    <row r="43827" spans="1:8">
      <c r="H43827" t="s">
        <v>35635</v>
      </c>
    </row>
    <row r="43828" spans="1:8">
      <c r="A43828" t="s">
        <v>3583</v>
      </c>
      <c r="B43828">
        <f>HYPERLINK("https://android.googlesource.com/platform/cts/+/243c09441556d33d043498791e125ef23981aea8", "243c09441556d33d043498791e125ef23981aea8")</f>
        <v>0</v>
      </c>
      <c r="C43828">
        <f>HYPERLINK("https://android.googlesource.com/platform/cts/+/3492046a8020e91c6cc16af0dad9a03f06b60542", "3492046a8020e91c6cc16af0dad9a03f06b60542")</f>
        <v>0</v>
      </c>
      <c r="D43828" t="s">
        <v>5594</v>
      </c>
      <c r="E43828" t="s">
        <v>9280</v>
      </c>
      <c r="F43828" t="s">
        <v>14096</v>
      </c>
      <c r="G43828" t="s">
        <v>18089</v>
      </c>
      <c r="H43828" t="s">
        <v>18829</v>
      </c>
    </row>
    <row r="43829" spans="1:8">
      <c r="H43829" t="s">
        <v>33394</v>
      </c>
    </row>
    <row r="43830" spans="1:8">
      <c r="H43830" t="s">
        <v>33395</v>
      </c>
    </row>
    <row r="43831" spans="1:8">
      <c r="H43831" t="s">
        <v>33396</v>
      </c>
    </row>
    <row r="43832" spans="1:8">
      <c r="A43832" t="s">
        <v>3584</v>
      </c>
      <c r="B43832">
        <f>HYPERLINK("https://android.googlesource.com/platform/cts/+/518075bb2d2765a6dc909577ea2e4bfc2d32d752", "518075bb2d2765a6dc909577ea2e4bfc2d32d752")</f>
        <v>0</v>
      </c>
      <c r="C43832">
        <f>HYPERLINK("https://android.googlesource.com/platform/cts/+/2dfe0faf482d24553c66016598061e5c02d10a83", "2dfe0faf482d24553c66016598061e5c02d10a83")</f>
        <v>0</v>
      </c>
      <c r="D43832" t="s">
        <v>5594</v>
      </c>
      <c r="E43832" t="s">
        <v>9281</v>
      </c>
      <c r="F43832" t="s">
        <v>14096</v>
      </c>
      <c r="G43832" t="s">
        <v>18089</v>
      </c>
      <c r="H43832" t="s">
        <v>18829</v>
      </c>
    </row>
    <row r="43833" spans="1:8">
      <c r="H43833" t="s">
        <v>33394</v>
      </c>
    </row>
    <row r="43834" spans="1:8">
      <c r="H43834" t="s">
        <v>33395</v>
      </c>
    </row>
    <row r="43835" spans="1:8">
      <c r="H43835" t="s">
        <v>33396</v>
      </c>
    </row>
    <row r="43836" spans="1:8">
      <c r="A43836" t="s">
        <v>3585</v>
      </c>
      <c r="B43836">
        <f>HYPERLINK("https://android.googlesource.com/platform/cts/+/ac18702b07e2bd7f10b7670d768162524875ed88", "ac18702b07e2bd7f10b7670d768162524875ed88")</f>
        <v>0</v>
      </c>
      <c r="C43836">
        <f>HYPERLINK("https://android.googlesource.com/platform/cts/+/f4e8ac0fb21b1c376eb57dbe0fac8cdfe5ce2a63", "f4e8ac0fb21b1c376eb57dbe0fac8cdfe5ce2a63")</f>
        <v>0</v>
      </c>
      <c r="D43836" t="s">
        <v>5290</v>
      </c>
      <c r="E43836" t="s">
        <v>9282</v>
      </c>
      <c r="F43836" t="s">
        <v>14350</v>
      </c>
      <c r="G43836" t="s">
        <v>18301</v>
      </c>
      <c r="H43836" t="s">
        <v>35639</v>
      </c>
    </row>
    <row r="43837" spans="1:8">
      <c r="H43837" t="s">
        <v>35640</v>
      </c>
    </row>
    <row r="43838" spans="1:8">
      <c r="A43838" t="s">
        <v>3586</v>
      </c>
      <c r="B43838">
        <f>HYPERLINK("https://android.googlesource.com/platform/cts/+/8dbab4b1ebf95fb4115fb20712bb8be0725a3c6d", "8dbab4b1ebf95fb4115fb20712bb8be0725a3c6d")</f>
        <v>0</v>
      </c>
      <c r="C43838">
        <f>HYPERLINK("https://android.googlesource.com/platform/cts/+/ba62c613379fa1e1b05bb0cd234d50fe466fe14d", "ba62c613379fa1e1b05bb0cd234d50fe466fe14d")</f>
        <v>0</v>
      </c>
      <c r="D43838" t="s">
        <v>5189</v>
      </c>
      <c r="E43838" t="s">
        <v>9283</v>
      </c>
      <c r="F43838" t="s">
        <v>12768</v>
      </c>
      <c r="G43838" t="s">
        <v>15710</v>
      </c>
      <c r="H43838" t="s">
        <v>35641</v>
      </c>
    </row>
    <row r="43839" spans="1:8">
      <c r="H43839" t="s">
        <v>35642</v>
      </c>
    </row>
    <row r="43840" spans="1:8">
      <c r="A43840" t="s">
        <v>3587</v>
      </c>
      <c r="B43840">
        <f>HYPERLINK("https://android.googlesource.com/platform/cts/+/f7fba69af21ab9c6993215e6308c8cde11c43866", "f7fba69af21ab9c6993215e6308c8cde11c43866")</f>
        <v>0</v>
      </c>
      <c r="C43840">
        <f>HYPERLINK("https://android.googlesource.com/platform/cts/+/64cb5b554e879c06cd327c5798727ad187f0c1b6", "64cb5b554e879c06cd327c5798727ad187f0c1b6")</f>
        <v>0</v>
      </c>
      <c r="D43840" t="s">
        <v>5409</v>
      </c>
      <c r="E43840" t="s">
        <v>9284</v>
      </c>
      <c r="F43840" t="s">
        <v>14366</v>
      </c>
      <c r="G43840" t="s">
        <v>18313</v>
      </c>
      <c r="H43840" t="s">
        <v>35643</v>
      </c>
    </row>
    <row r="43841" spans="1:8">
      <c r="A43841" t="s">
        <v>3588</v>
      </c>
      <c r="B43841">
        <f>HYPERLINK("https://android.googlesource.com/platform/cts/+/d4e9864eefe0f85319b622aa131b7ed01c0ac549", "d4e9864eefe0f85319b622aa131b7ed01c0ac549")</f>
        <v>0</v>
      </c>
      <c r="C43841">
        <f>HYPERLINK("https://android.googlesource.com/platform/cts/+/497aa577f5f03992175b5b354f517224968f87f8", "497aa577f5f03992175b5b354f517224968f87f8")</f>
        <v>0</v>
      </c>
      <c r="D43841" t="s">
        <v>5576</v>
      </c>
      <c r="E43841" t="s">
        <v>9285</v>
      </c>
      <c r="F43841" t="s">
        <v>14364</v>
      </c>
      <c r="G43841" t="s">
        <v>18311</v>
      </c>
      <c r="H43841" t="s">
        <v>18829</v>
      </c>
    </row>
    <row r="43842" spans="1:8">
      <c r="H43842" t="s">
        <v>35624</v>
      </c>
    </row>
    <row r="43843" spans="1:8">
      <c r="H43843" t="s">
        <v>35625</v>
      </c>
    </row>
    <row r="43844" spans="1:8">
      <c r="H43844" t="s">
        <v>35626</v>
      </c>
    </row>
    <row r="43845" spans="1:8">
      <c r="H43845" t="s">
        <v>30644</v>
      </c>
    </row>
    <row r="43846" spans="1:8">
      <c r="H43846" t="s">
        <v>35627</v>
      </c>
    </row>
    <row r="43847" spans="1:8">
      <c r="H43847" t="s">
        <v>35628</v>
      </c>
    </row>
    <row r="43848" spans="1:8">
      <c r="H43848" t="s">
        <v>35629</v>
      </c>
    </row>
    <row r="43849" spans="1:8">
      <c r="H43849" t="s">
        <v>35630</v>
      </c>
    </row>
    <row r="43850" spans="1:8">
      <c r="F43850" t="s">
        <v>14365</v>
      </c>
      <c r="G43850" t="s">
        <v>18312</v>
      </c>
      <c r="H43850" t="s">
        <v>35631</v>
      </c>
    </row>
    <row r="43851" spans="1:8">
      <c r="H43851" t="s">
        <v>35632</v>
      </c>
    </row>
    <row r="43852" spans="1:8">
      <c r="H43852" t="s">
        <v>35633</v>
      </c>
    </row>
    <row r="43853" spans="1:8">
      <c r="H43853" t="s">
        <v>35634</v>
      </c>
    </row>
    <row r="43854" spans="1:8">
      <c r="H43854" t="s">
        <v>35635</v>
      </c>
    </row>
    <row r="43855" spans="1:8">
      <c r="A43855" t="s">
        <v>3589</v>
      </c>
      <c r="B43855">
        <f>HYPERLINK("https://android.googlesource.com/platform/cts/+/775dfac6979493ef28fd212f5d4402d3a676189c", "775dfac6979493ef28fd212f5d4402d3a676189c")</f>
        <v>0</v>
      </c>
      <c r="C43855">
        <f>HYPERLINK("https://android.googlesource.com/platform/cts/+/d1f9faf14717d527034d4ccee660f8e82f54487a", "d1f9faf14717d527034d4ccee660f8e82f54487a")</f>
        <v>0</v>
      </c>
      <c r="D43855" t="s">
        <v>5576</v>
      </c>
      <c r="E43855" t="s">
        <v>9286</v>
      </c>
      <c r="F43855" t="s">
        <v>14364</v>
      </c>
      <c r="G43855" t="s">
        <v>18311</v>
      </c>
      <c r="H43855" t="s">
        <v>18829</v>
      </c>
    </row>
    <row r="43856" spans="1:8">
      <c r="H43856" t="s">
        <v>35624</v>
      </c>
    </row>
    <row r="43857" spans="1:8">
      <c r="H43857" t="s">
        <v>35625</v>
      </c>
    </row>
    <row r="43858" spans="1:8">
      <c r="H43858" t="s">
        <v>35626</v>
      </c>
    </row>
    <row r="43859" spans="1:8">
      <c r="H43859" t="s">
        <v>30644</v>
      </c>
    </row>
    <row r="43860" spans="1:8">
      <c r="H43860" t="s">
        <v>35627</v>
      </c>
    </row>
    <row r="43861" spans="1:8">
      <c r="H43861" t="s">
        <v>35628</v>
      </c>
    </row>
    <row r="43862" spans="1:8">
      <c r="H43862" t="s">
        <v>35629</v>
      </c>
    </row>
    <row r="43863" spans="1:8">
      <c r="H43863" t="s">
        <v>35630</v>
      </c>
    </row>
    <row r="43864" spans="1:8">
      <c r="F43864" t="s">
        <v>14365</v>
      </c>
      <c r="G43864" t="s">
        <v>18312</v>
      </c>
      <c r="H43864" t="s">
        <v>35631</v>
      </c>
    </row>
    <row r="43865" spans="1:8">
      <c r="H43865" t="s">
        <v>35632</v>
      </c>
    </row>
    <row r="43866" spans="1:8">
      <c r="H43866" t="s">
        <v>35633</v>
      </c>
    </row>
    <row r="43867" spans="1:8">
      <c r="H43867" t="s">
        <v>35634</v>
      </c>
    </row>
    <row r="43868" spans="1:8">
      <c r="H43868" t="s">
        <v>35635</v>
      </c>
    </row>
    <row r="43869" spans="1:8">
      <c r="A43869" t="s">
        <v>3590</v>
      </c>
      <c r="B43869">
        <f>HYPERLINK("https://android.googlesource.com/platform/cts/+/bc993bf15fe67ee6a11ab083cb69fa77d9fc5157", "bc993bf15fe67ee6a11ab083cb69fa77d9fc5157")</f>
        <v>0</v>
      </c>
      <c r="C43869">
        <f>HYPERLINK("https://android.googlesource.com/platform/cts/+/27358bdf67dbdb345d9278f34b7859ed8fd55715", "27358bdf67dbdb345d9278f34b7859ed8fd55715")</f>
        <v>0</v>
      </c>
      <c r="D43869" t="s">
        <v>5576</v>
      </c>
      <c r="E43869" t="s">
        <v>9287</v>
      </c>
      <c r="F43869" t="s">
        <v>14364</v>
      </c>
      <c r="G43869" t="s">
        <v>18311</v>
      </c>
      <c r="H43869" t="s">
        <v>18829</v>
      </c>
    </row>
    <row r="43870" spans="1:8">
      <c r="H43870" t="s">
        <v>35624</v>
      </c>
    </row>
    <row r="43871" spans="1:8">
      <c r="H43871" t="s">
        <v>35625</v>
      </c>
    </row>
    <row r="43872" spans="1:8">
      <c r="H43872" t="s">
        <v>35626</v>
      </c>
    </row>
    <row r="43873" spans="1:8">
      <c r="H43873" t="s">
        <v>30644</v>
      </c>
    </row>
    <row r="43874" spans="1:8">
      <c r="H43874" t="s">
        <v>35627</v>
      </c>
    </row>
    <row r="43875" spans="1:8">
      <c r="H43875" t="s">
        <v>35628</v>
      </c>
    </row>
    <row r="43876" spans="1:8">
      <c r="H43876" t="s">
        <v>35629</v>
      </c>
    </row>
    <row r="43877" spans="1:8">
      <c r="H43877" t="s">
        <v>35630</v>
      </c>
    </row>
    <row r="43878" spans="1:8">
      <c r="F43878" t="s">
        <v>14365</v>
      </c>
      <c r="G43878" t="s">
        <v>18312</v>
      </c>
      <c r="H43878" t="s">
        <v>35631</v>
      </c>
    </row>
    <row r="43879" spans="1:8">
      <c r="H43879" t="s">
        <v>35632</v>
      </c>
    </row>
    <row r="43880" spans="1:8">
      <c r="H43880" t="s">
        <v>35633</v>
      </c>
    </row>
    <row r="43881" spans="1:8">
      <c r="H43881" t="s">
        <v>35634</v>
      </c>
    </row>
    <row r="43882" spans="1:8">
      <c r="H43882" t="s">
        <v>35635</v>
      </c>
    </row>
    <row r="43883" spans="1:8">
      <c r="A43883" t="s">
        <v>3591</v>
      </c>
      <c r="B43883">
        <f>HYPERLINK("https://android.googlesource.com/platform/cts/+/ad88fa35cdbf80e254a96a1c4d079e1cc0624ce8", "ad88fa35cdbf80e254a96a1c4d079e1cc0624ce8")</f>
        <v>0</v>
      </c>
      <c r="C43883">
        <f>HYPERLINK("https://android.googlesource.com/platform/cts/+/bba5db52cb663c6a29f980bca1649a714361d747", "bba5db52cb663c6a29f980bca1649a714361d747")</f>
        <v>0</v>
      </c>
      <c r="D43883" t="s">
        <v>5277</v>
      </c>
      <c r="E43883" t="s">
        <v>9288</v>
      </c>
      <c r="F43883" t="s">
        <v>13165</v>
      </c>
      <c r="G43883" t="s">
        <v>17315</v>
      </c>
      <c r="H43883" t="s">
        <v>24966</v>
      </c>
    </row>
    <row r="43884" spans="1:8">
      <c r="H43884" t="s">
        <v>19753</v>
      </c>
    </row>
    <row r="43885" spans="1:8">
      <c r="H43885" t="s">
        <v>19754</v>
      </c>
    </row>
    <row r="43886" spans="1:8">
      <c r="A43886" t="s">
        <v>3592</v>
      </c>
      <c r="B43886">
        <f>HYPERLINK("https://android.googlesource.com/platform/cts/+/e7e79cf75ee4c8b9faf4145098cae0a19aa59f9b", "e7e79cf75ee4c8b9faf4145098cae0a19aa59f9b")</f>
        <v>0</v>
      </c>
      <c r="C43886">
        <f>HYPERLINK("https://android.googlesource.com/platform/cts/+/a55fddd08b1db6c4668d593bb05f4b7954e74d6f", "a55fddd08b1db6c4668d593bb05f4b7954e74d6f")</f>
        <v>0</v>
      </c>
      <c r="D43886" t="s">
        <v>5473</v>
      </c>
      <c r="E43886" t="s">
        <v>9289</v>
      </c>
      <c r="F43886" t="s">
        <v>14367</v>
      </c>
      <c r="G43886" t="s">
        <v>17582</v>
      </c>
      <c r="H43886" t="s">
        <v>20244</v>
      </c>
    </row>
    <row r="43887" spans="1:8">
      <c r="H43887" t="s">
        <v>19905</v>
      </c>
    </row>
    <row r="43888" spans="1:8">
      <c r="H43888" t="s">
        <v>22591</v>
      </c>
    </row>
    <row r="43889" spans="1:8">
      <c r="F43889" t="s">
        <v>13352</v>
      </c>
      <c r="G43889" t="s">
        <v>17479</v>
      </c>
      <c r="H43889" t="s">
        <v>35644</v>
      </c>
    </row>
    <row r="43890" spans="1:8">
      <c r="A43890" t="s">
        <v>3593</v>
      </c>
      <c r="B43890">
        <f>HYPERLINK("https://android.googlesource.com/platform/cts/+/75e5ec51077cb16adbc3d99eebfb3148e5ea5a89", "75e5ec51077cb16adbc3d99eebfb3148e5ea5a89")</f>
        <v>0</v>
      </c>
      <c r="C43890">
        <f>HYPERLINK("https://android.googlesource.com/platform/cts/+/3ca81c5c96a9c2429e7bb88e458336251b0e739c", "3ca81c5c96a9c2429e7bb88e458336251b0e739c")</f>
        <v>0</v>
      </c>
      <c r="D43890" t="s">
        <v>5479</v>
      </c>
      <c r="E43890" t="s">
        <v>9290</v>
      </c>
      <c r="F43890" t="s">
        <v>14326</v>
      </c>
      <c r="G43890" t="s">
        <v>17580</v>
      </c>
      <c r="H43890" t="s">
        <v>33155</v>
      </c>
    </row>
    <row r="43891" spans="1:8">
      <c r="A43891" t="s">
        <v>3594</v>
      </c>
      <c r="B43891">
        <f>HYPERLINK("https://android.googlesource.com/platform/cts/+/8bf6b9afcef5e142aa3e3bcd50f4557b2b19b2e8", "8bf6b9afcef5e142aa3e3bcd50f4557b2b19b2e8")</f>
        <v>0</v>
      </c>
      <c r="C43891">
        <f>HYPERLINK("https://android.googlesource.com/platform/cts/+/ff991a757194b1e7f01e9d91f36453d7d3e4f4ff", "ff991a757194b1e7f01e9d91f36453d7d3e4f4ff")</f>
        <v>0</v>
      </c>
      <c r="D43891" t="s">
        <v>5275</v>
      </c>
      <c r="E43891" t="s">
        <v>9291</v>
      </c>
      <c r="F43891" t="s">
        <v>14326</v>
      </c>
      <c r="G43891" t="s">
        <v>17580</v>
      </c>
      <c r="H43891" t="s">
        <v>33155</v>
      </c>
    </row>
    <row r="43892" spans="1:8">
      <c r="A43892" t="s">
        <v>3595</v>
      </c>
      <c r="B43892">
        <f>HYPERLINK("https://android.googlesource.com/platform/cts/+/e7ad4067ad14f26b68acd39076e5f155ca34bf5e", "e7ad4067ad14f26b68acd39076e5f155ca34bf5e")</f>
        <v>0</v>
      </c>
      <c r="C43892">
        <f>HYPERLINK("https://android.googlesource.com/platform/cts/+/f27d2c046ee12d481a876956b00f98eecb4f6a7d", "f27d2c046ee12d481a876956b00f98eecb4f6a7d")</f>
        <v>0</v>
      </c>
      <c r="D43892" t="s">
        <v>5479</v>
      </c>
      <c r="E43892" t="s">
        <v>9292</v>
      </c>
      <c r="F43892" t="s">
        <v>14326</v>
      </c>
      <c r="G43892" t="s">
        <v>17580</v>
      </c>
      <c r="H43892" t="s">
        <v>35371</v>
      </c>
    </row>
    <row r="43893" spans="1:8">
      <c r="A43893" t="s">
        <v>3596</v>
      </c>
      <c r="B43893">
        <f>HYPERLINK("https://android.googlesource.com/platform/cts/+/0c63ecd7ca015f5c15fad83aaacc234ef6fbedae", "0c63ecd7ca015f5c15fad83aaacc234ef6fbedae")</f>
        <v>0</v>
      </c>
      <c r="C43893">
        <f>HYPERLINK("https://android.googlesource.com/platform/cts/+/bba5db52cb663c6a29f980bca1649a714361d747", "bba5db52cb663c6a29f980bca1649a714361d747")</f>
        <v>0</v>
      </c>
      <c r="D43893" t="s">
        <v>5172</v>
      </c>
      <c r="E43893" t="s">
        <v>9293</v>
      </c>
      <c r="F43893" t="s">
        <v>14363</v>
      </c>
      <c r="G43893" t="s">
        <v>18310</v>
      </c>
      <c r="H43893" t="s">
        <v>35645</v>
      </c>
    </row>
    <row r="43894" spans="1:8">
      <c r="H43894" t="s">
        <v>35646</v>
      </c>
    </row>
    <row r="43895" spans="1:8">
      <c r="H43895" t="s">
        <v>35647</v>
      </c>
    </row>
    <row r="43896" spans="1:8">
      <c r="H43896" t="s">
        <v>35648</v>
      </c>
    </row>
    <row r="43897" spans="1:8">
      <c r="H43897" t="s">
        <v>35649</v>
      </c>
    </row>
    <row r="43898" spans="1:8">
      <c r="A43898" t="s">
        <v>3597</v>
      </c>
      <c r="B43898">
        <f>HYPERLINK("https://android.googlesource.com/platform/cts/+/c1b50cb8d55c2ea2c58c7408bad15e531cffccbb", "c1b50cb8d55c2ea2c58c7408bad15e531cffccbb")</f>
        <v>0</v>
      </c>
      <c r="C43898">
        <f>HYPERLINK("https://android.googlesource.com/platform/cts/+/0c63ecd7ca015f5c15fad83aaacc234ef6fbedae", "0c63ecd7ca015f5c15fad83aaacc234ef6fbedae")</f>
        <v>0</v>
      </c>
      <c r="D43898" t="s">
        <v>5172</v>
      </c>
      <c r="E43898" t="s">
        <v>9294</v>
      </c>
      <c r="F43898" t="s">
        <v>14363</v>
      </c>
      <c r="G43898" t="s">
        <v>18310</v>
      </c>
      <c r="H43898" t="s">
        <v>35650</v>
      </c>
    </row>
    <row r="43899" spans="1:8">
      <c r="A43899" t="s">
        <v>3598</v>
      </c>
      <c r="B43899">
        <f>HYPERLINK("https://android.googlesource.com/platform/cts/+/42af6c778f03b191087c3d18627dfe766f069d88", "42af6c778f03b191087c3d18627dfe766f069d88")</f>
        <v>0</v>
      </c>
      <c r="C43899">
        <f>HYPERLINK("https://android.googlesource.com/platform/cts/+/15c4b89caceb7b0582d40a900fa0c33724753686", "15c4b89caceb7b0582d40a900fa0c33724753686")</f>
        <v>0</v>
      </c>
      <c r="D43899" t="s">
        <v>5577</v>
      </c>
      <c r="E43899" t="s">
        <v>9295</v>
      </c>
      <c r="F43899" t="s">
        <v>13972</v>
      </c>
      <c r="G43899" t="s">
        <v>17997</v>
      </c>
      <c r="H43899" t="s">
        <v>35364</v>
      </c>
    </row>
    <row r="43900" spans="1:8">
      <c r="H43900" t="s">
        <v>35365</v>
      </c>
    </row>
    <row r="43901" spans="1:8">
      <c r="H43901" t="s">
        <v>35366</v>
      </c>
    </row>
    <row r="43902" spans="1:8">
      <c r="H43902" t="s">
        <v>35367</v>
      </c>
    </row>
    <row r="43903" spans="1:8">
      <c r="H43903" t="s">
        <v>35368</v>
      </c>
    </row>
    <row r="43904" spans="1:8">
      <c r="H43904" t="s">
        <v>35369</v>
      </c>
    </row>
    <row r="43905" spans="1:8">
      <c r="A43905" t="s">
        <v>3599</v>
      </c>
      <c r="B43905">
        <f>HYPERLINK("https://android.googlesource.com/platform/cts/+/c9b135f36a162148e2af4da01fcc6f7cab793d1c", "c9b135f36a162148e2af4da01fcc6f7cab793d1c")</f>
        <v>0</v>
      </c>
      <c r="C43905">
        <f>HYPERLINK("https://android.googlesource.com/platform/cts/+/31d7f2b85fbdbef585330d0f1321c224d757cb96", "31d7f2b85fbdbef585330d0f1321c224d757cb96")</f>
        <v>0</v>
      </c>
      <c r="D43905" t="s">
        <v>5595</v>
      </c>
      <c r="E43905" t="s">
        <v>9296</v>
      </c>
      <c r="F43905" t="s">
        <v>14069</v>
      </c>
      <c r="G43905" t="s">
        <v>18067</v>
      </c>
      <c r="H43905" t="s">
        <v>35651</v>
      </c>
    </row>
    <row r="43906" spans="1:8">
      <c r="A43906" t="s">
        <v>3600</v>
      </c>
      <c r="B43906">
        <f>HYPERLINK("https://android.googlesource.com/platform/cts/+/e4f4f1f7b7cab3292cc5b25e7a372b03139dfb94", "e4f4f1f7b7cab3292cc5b25e7a372b03139dfb94")</f>
        <v>0</v>
      </c>
      <c r="C43906">
        <f>HYPERLINK("https://android.googlesource.com/platform/cts/+/102b80f2a97d19bd72064826b925d7a09fa207e3", "102b80f2a97d19bd72064826b925d7a09fa207e3")</f>
        <v>0</v>
      </c>
      <c r="D43906" t="s">
        <v>5449</v>
      </c>
      <c r="E43906" t="s">
        <v>9297</v>
      </c>
      <c r="F43906" t="s">
        <v>14368</v>
      </c>
      <c r="G43906" t="s">
        <v>18018</v>
      </c>
      <c r="H43906" t="s">
        <v>35652</v>
      </c>
    </row>
    <row r="43907" spans="1:8">
      <c r="H43907" t="s">
        <v>35653</v>
      </c>
    </row>
    <row r="43908" spans="1:8">
      <c r="A43908" t="s">
        <v>3601</v>
      </c>
      <c r="B43908">
        <f>HYPERLINK("https://android.googlesource.com/platform/cts/+/20abd7558ceffb2fa3a90f6e086fdc84809d4cf9", "20abd7558ceffb2fa3a90f6e086fdc84809d4cf9")</f>
        <v>0</v>
      </c>
      <c r="C43908">
        <f>HYPERLINK("https://android.googlesource.com/platform/cts/+/102b80f2a97d19bd72064826b925d7a09fa207e3", "102b80f2a97d19bd72064826b925d7a09fa207e3")</f>
        <v>0</v>
      </c>
      <c r="D43908" t="s">
        <v>5449</v>
      </c>
      <c r="E43908" t="s">
        <v>9298</v>
      </c>
      <c r="F43908" t="s">
        <v>14369</v>
      </c>
      <c r="G43908" t="s">
        <v>18314</v>
      </c>
      <c r="H43908" t="s">
        <v>35654</v>
      </c>
    </row>
    <row r="43909" spans="1:8">
      <c r="A43909" t="s">
        <v>3602</v>
      </c>
      <c r="B43909">
        <f>HYPERLINK("https://android.googlesource.com/platform/cts/+/1223d2a688dce02796dc820e77b7528ffe374ec3", "1223d2a688dce02796dc820e77b7528ffe374ec3")</f>
        <v>0</v>
      </c>
      <c r="C43909">
        <f>HYPERLINK("https://android.googlesource.com/platform/cts/+/102b80f2a97d19bd72064826b925d7a09fa207e3", "102b80f2a97d19bd72064826b925d7a09fa207e3")</f>
        <v>0</v>
      </c>
      <c r="D43909" t="s">
        <v>5449</v>
      </c>
      <c r="E43909" t="s">
        <v>9299</v>
      </c>
      <c r="F43909" t="s">
        <v>14370</v>
      </c>
      <c r="G43909" t="s">
        <v>18020</v>
      </c>
      <c r="H43909" t="s">
        <v>35655</v>
      </c>
    </row>
    <row r="43910" spans="1:8">
      <c r="A43910" t="s">
        <v>3603</v>
      </c>
      <c r="B43910">
        <f>HYPERLINK("https://android.googlesource.com/platform/cts/+/ceb11c3738a955d407bb04438c1e49988678f3a9", "ceb11c3738a955d407bb04438c1e49988678f3a9")</f>
        <v>0</v>
      </c>
      <c r="C43910">
        <f>HYPERLINK("https://android.googlesource.com/platform/cts/+/f95e1398d019611b02b7de975dd1eeb4b4d038f0", "f95e1398d019611b02b7de975dd1eeb4b4d038f0")</f>
        <v>0</v>
      </c>
      <c r="D43910" t="s">
        <v>5473</v>
      </c>
      <c r="E43910" t="s">
        <v>9300</v>
      </c>
      <c r="F43910" t="s">
        <v>14367</v>
      </c>
      <c r="G43910" t="s">
        <v>17582</v>
      </c>
      <c r="H43910" t="s">
        <v>20244</v>
      </c>
    </row>
    <row r="43911" spans="1:8">
      <c r="H43911" t="s">
        <v>19905</v>
      </c>
    </row>
    <row r="43912" spans="1:8">
      <c r="H43912" t="s">
        <v>22591</v>
      </c>
    </row>
    <row r="43913" spans="1:8">
      <c r="F43913" t="s">
        <v>13352</v>
      </c>
      <c r="G43913" t="s">
        <v>17479</v>
      </c>
      <c r="H43913" t="s">
        <v>35644</v>
      </c>
    </row>
    <row r="43914" spans="1:8">
      <c r="A43914" t="s">
        <v>3604</v>
      </c>
      <c r="B43914">
        <f>HYPERLINK("https://android.googlesource.com/platform/cts/+/79008dedb3ab0d5fc07e6de06b79aaa1e539f856", "79008dedb3ab0d5fc07e6de06b79aaa1e539f856")</f>
        <v>0</v>
      </c>
      <c r="C43914">
        <f>HYPERLINK("https://android.googlesource.com/platform/cts/+/7876640469b31c9df8f24b018b75880d667640ba", "7876640469b31c9df8f24b018b75880d667640ba")</f>
        <v>0</v>
      </c>
      <c r="D43914" t="s">
        <v>5272</v>
      </c>
      <c r="E43914" t="s">
        <v>9301</v>
      </c>
      <c r="F43914" t="s">
        <v>14371</v>
      </c>
      <c r="G43914" t="s">
        <v>18315</v>
      </c>
      <c r="H43914" t="s">
        <v>35656</v>
      </c>
    </row>
    <row r="43915" spans="1:8">
      <c r="F43915" t="s">
        <v>14372</v>
      </c>
      <c r="G43915" t="s">
        <v>18316</v>
      </c>
      <c r="H43915" t="s">
        <v>35657</v>
      </c>
    </row>
    <row r="43916" spans="1:8">
      <c r="A43916" t="s">
        <v>3605</v>
      </c>
      <c r="B43916">
        <f>HYPERLINK("https://android.googlesource.com/platform/cts/+/2da34fba3cb892d7f44894967765d00327c2ede7", "2da34fba3cb892d7f44894967765d00327c2ede7")</f>
        <v>0</v>
      </c>
      <c r="C43916">
        <f>HYPERLINK("https://android.googlesource.com/platform/cts/+/98f55d32f99c90afc570fb68feb2b2d7df8bbe53", "98f55d32f99c90afc570fb68feb2b2d7df8bbe53")</f>
        <v>0</v>
      </c>
      <c r="D43916" t="s">
        <v>5172</v>
      </c>
      <c r="E43916" t="s">
        <v>9302</v>
      </c>
      <c r="F43916" t="s">
        <v>14363</v>
      </c>
      <c r="G43916" t="s">
        <v>18310</v>
      </c>
      <c r="H43916" t="s">
        <v>35658</v>
      </c>
    </row>
    <row r="43917" spans="1:8">
      <c r="H43917" t="s">
        <v>35659</v>
      </c>
    </row>
    <row r="43918" spans="1:8">
      <c r="A43918" t="s">
        <v>3606</v>
      </c>
      <c r="B43918">
        <f>HYPERLINK("https://android.googlesource.com/platform/cts/+/da2921e3f14c0762d5b813100e4283aeab92b8f4", "da2921e3f14c0762d5b813100e4283aeab92b8f4")</f>
        <v>0</v>
      </c>
      <c r="C43918">
        <f>HYPERLINK("https://android.googlesource.com/platform/cts/+/91b1d879991a883af9dc17c3e8b1e43114e5cfa2", "91b1d879991a883af9dc17c3e8b1e43114e5cfa2")</f>
        <v>0</v>
      </c>
      <c r="D43918" t="s">
        <v>5473</v>
      </c>
      <c r="E43918" t="s">
        <v>9300</v>
      </c>
      <c r="F43918" t="s">
        <v>14367</v>
      </c>
      <c r="G43918" t="s">
        <v>17582</v>
      </c>
      <c r="H43918" t="s">
        <v>20244</v>
      </c>
    </row>
    <row r="43919" spans="1:8">
      <c r="H43919" t="s">
        <v>19905</v>
      </c>
    </row>
    <row r="43920" spans="1:8">
      <c r="H43920" t="s">
        <v>22591</v>
      </c>
    </row>
    <row r="43921" spans="1:8">
      <c r="F43921" t="s">
        <v>13352</v>
      </c>
      <c r="G43921" t="s">
        <v>17479</v>
      </c>
      <c r="H43921" t="s">
        <v>35644</v>
      </c>
    </row>
    <row r="43922" spans="1:8">
      <c r="A43922" t="s">
        <v>3607</v>
      </c>
      <c r="B43922">
        <f>HYPERLINK("https://android.googlesource.com/platform/cts/+/863aa55514471331042305af1d22fd061d1b7758", "863aa55514471331042305af1d22fd061d1b7758")</f>
        <v>0</v>
      </c>
      <c r="C43922">
        <f>HYPERLINK("https://android.googlesource.com/platform/cts/+/29b85fc36501627b66c40529b001c3e0d5c9db69", "29b85fc36501627b66c40529b001c3e0d5c9db69")</f>
        <v>0</v>
      </c>
      <c r="D43922" t="s">
        <v>5476</v>
      </c>
      <c r="E43922" t="s">
        <v>9303</v>
      </c>
      <c r="F43922" t="s">
        <v>14076</v>
      </c>
      <c r="G43922" t="s">
        <v>18074</v>
      </c>
      <c r="H43922" t="s">
        <v>18829</v>
      </c>
    </row>
    <row r="43923" spans="1:8">
      <c r="H43923" t="s">
        <v>33154</v>
      </c>
    </row>
    <row r="43924" spans="1:8">
      <c r="H43924" t="s">
        <v>33512</v>
      </c>
    </row>
    <row r="43925" spans="1:8">
      <c r="H43925" t="s">
        <v>33513</v>
      </c>
    </row>
    <row r="43926" spans="1:8">
      <c r="H43926" t="s">
        <v>33217</v>
      </c>
    </row>
    <row r="43927" spans="1:8">
      <c r="H43927" t="s">
        <v>35660</v>
      </c>
    </row>
    <row r="43928" spans="1:8">
      <c r="H43928" t="s">
        <v>35661</v>
      </c>
    </row>
    <row r="43929" spans="1:8">
      <c r="H43929" t="s">
        <v>35662</v>
      </c>
    </row>
    <row r="43930" spans="1:8">
      <c r="H43930" t="s">
        <v>35663</v>
      </c>
    </row>
    <row r="43931" spans="1:8">
      <c r="H43931" t="s">
        <v>33396</v>
      </c>
    </row>
    <row r="43932" spans="1:8">
      <c r="H43932" t="s">
        <v>35664</v>
      </c>
    </row>
    <row r="43933" spans="1:8">
      <c r="H43933" t="s">
        <v>35664</v>
      </c>
    </row>
    <row r="43934" spans="1:8">
      <c r="F43934" t="s">
        <v>14373</v>
      </c>
      <c r="G43934" t="s">
        <v>18317</v>
      </c>
      <c r="H43934" t="s">
        <v>18829</v>
      </c>
    </row>
    <row r="43935" spans="1:8">
      <c r="H43935" t="s">
        <v>33217</v>
      </c>
    </row>
    <row r="43936" spans="1:8">
      <c r="H43936" t="s">
        <v>35664</v>
      </c>
    </row>
    <row r="43937" spans="1:8">
      <c r="H43937" t="s">
        <v>35664</v>
      </c>
    </row>
    <row r="43938" spans="1:8">
      <c r="A43938" t="s">
        <v>3608</v>
      </c>
      <c r="B43938">
        <f>HYPERLINK("https://android.googlesource.com/platform/cts/+/a60a7b90e928bf6d4ef0252dae40cfb612638e61", "a60a7b90e928bf6d4ef0252dae40cfb612638e61")</f>
        <v>0</v>
      </c>
      <c r="C43938">
        <f>HYPERLINK("https://android.googlesource.com/platform/cts/+/f5f28b4b09bdb11fd94a26f5509afb0a0f9972f2", "f5f28b4b09bdb11fd94a26f5509afb0a0f9972f2")</f>
        <v>0</v>
      </c>
      <c r="D43938" t="s">
        <v>5497</v>
      </c>
      <c r="E43938" t="s">
        <v>9304</v>
      </c>
      <c r="F43938" t="s">
        <v>14374</v>
      </c>
      <c r="G43938" t="s">
        <v>18318</v>
      </c>
      <c r="H43938" t="s">
        <v>35665</v>
      </c>
    </row>
    <row r="43939" spans="1:8">
      <c r="H43939" t="s">
        <v>35666</v>
      </c>
    </row>
    <row r="43940" spans="1:8">
      <c r="H43940" t="s">
        <v>35667</v>
      </c>
    </row>
    <row r="43941" spans="1:8">
      <c r="H43941" t="s">
        <v>35668</v>
      </c>
    </row>
    <row r="43942" spans="1:8">
      <c r="H43942" t="s">
        <v>35669</v>
      </c>
    </row>
    <row r="43943" spans="1:8">
      <c r="H43943" t="s">
        <v>35670</v>
      </c>
    </row>
    <row r="43944" spans="1:8">
      <c r="A43944" t="s">
        <v>3609</v>
      </c>
      <c r="B43944">
        <f>HYPERLINK("https://android.googlesource.com/platform/cts/+/6ef52f01f25ae198973721b31b1513b525f4e356", "6ef52f01f25ae198973721b31b1513b525f4e356")</f>
        <v>0</v>
      </c>
      <c r="C43944">
        <f>HYPERLINK("https://android.googlesource.com/platform/cts/+/02bd4fff603ecb6b1fa01d986448dbdfa561ccfd", "02bd4fff603ecb6b1fa01d986448dbdfa561ccfd")</f>
        <v>0</v>
      </c>
      <c r="D43944" t="s">
        <v>5338</v>
      </c>
      <c r="E43944" t="s">
        <v>9305</v>
      </c>
      <c r="F43944" t="s">
        <v>14353</v>
      </c>
      <c r="G43944" t="s">
        <v>18303</v>
      </c>
      <c r="H43944" t="s">
        <v>35671</v>
      </c>
    </row>
    <row r="43945" spans="1:8">
      <c r="H43945" t="s">
        <v>19981</v>
      </c>
    </row>
    <row r="43946" spans="1:8">
      <c r="H43946" t="s">
        <v>35672</v>
      </c>
    </row>
    <row r="43947" spans="1:8">
      <c r="F43947" t="s">
        <v>14354</v>
      </c>
      <c r="G43947" t="s">
        <v>18304</v>
      </c>
      <c r="H43947" t="s">
        <v>19981</v>
      </c>
    </row>
    <row r="43948" spans="1:8">
      <c r="F43948" t="s">
        <v>14237</v>
      </c>
      <c r="G43948" t="s">
        <v>18207</v>
      </c>
      <c r="H43948" t="s">
        <v>35673</v>
      </c>
    </row>
    <row r="43949" spans="1:8">
      <c r="H43949" t="s">
        <v>35674</v>
      </c>
    </row>
    <row r="43950" spans="1:8">
      <c r="H43950" t="s">
        <v>35675</v>
      </c>
    </row>
    <row r="43951" spans="1:8">
      <c r="H43951" t="s">
        <v>35676</v>
      </c>
    </row>
    <row r="43952" spans="1:8">
      <c r="H43952" t="s">
        <v>35677</v>
      </c>
    </row>
    <row r="43953" spans="6:8">
      <c r="F43953" t="s">
        <v>14227</v>
      </c>
      <c r="G43953" t="s">
        <v>18199</v>
      </c>
      <c r="H43953" t="s">
        <v>35673</v>
      </c>
    </row>
    <row r="43954" spans="6:8">
      <c r="H43954" t="s">
        <v>35675</v>
      </c>
    </row>
    <row r="43955" spans="6:8">
      <c r="H43955" t="s">
        <v>35674</v>
      </c>
    </row>
    <row r="43956" spans="6:8">
      <c r="H43956" t="s">
        <v>35567</v>
      </c>
    </row>
    <row r="43957" spans="6:8">
      <c r="H43957" t="s">
        <v>35676</v>
      </c>
    </row>
    <row r="43958" spans="6:8">
      <c r="H43958" t="s">
        <v>35678</v>
      </c>
    </row>
    <row r="43959" spans="6:8">
      <c r="H43959" t="s">
        <v>35679</v>
      </c>
    </row>
    <row r="43960" spans="6:8">
      <c r="H43960" t="s">
        <v>35680</v>
      </c>
    </row>
    <row r="43961" spans="6:8">
      <c r="H43961" t="s">
        <v>35681</v>
      </c>
    </row>
    <row r="43962" spans="6:8">
      <c r="H43962" t="s">
        <v>35682</v>
      </c>
    </row>
    <row r="43963" spans="6:8">
      <c r="H43963" t="s">
        <v>35683</v>
      </c>
    </row>
    <row r="43964" spans="6:8">
      <c r="H43964" t="s">
        <v>35684</v>
      </c>
    </row>
    <row r="43965" spans="6:8">
      <c r="H43965" t="s">
        <v>35685</v>
      </c>
    </row>
    <row r="43966" spans="6:8">
      <c r="H43966" t="s">
        <v>35686</v>
      </c>
    </row>
    <row r="43967" spans="6:8">
      <c r="H43967" t="s">
        <v>35687</v>
      </c>
    </row>
    <row r="43968" spans="6:8">
      <c r="H43968" t="s">
        <v>35688</v>
      </c>
    </row>
    <row r="43969" spans="1:8">
      <c r="H43969" t="s">
        <v>35689</v>
      </c>
    </row>
    <row r="43970" spans="1:8">
      <c r="H43970" t="s">
        <v>35690</v>
      </c>
    </row>
    <row r="43971" spans="1:8">
      <c r="H43971" t="s">
        <v>35691</v>
      </c>
    </row>
    <row r="43972" spans="1:8">
      <c r="H43972" t="s">
        <v>35692</v>
      </c>
    </row>
    <row r="43973" spans="1:8">
      <c r="H43973" t="s">
        <v>35693</v>
      </c>
    </row>
    <row r="43974" spans="1:8">
      <c r="H43974" t="s">
        <v>35694</v>
      </c>
    </row>
    <row r="43975" spans="1:8">
      <c r="H43975" t="s">
        <v>35695</v>
      </c>
    </row>
    <row r="43976" spans="1:8">
      <c r="H43976" t="s">
        <v>35696</v>
      </c>
    </row>
    <row r="43977" spans="1:8">
      <c r="H43977" t="s">
        <v>35697</v>
      </c>
    </row>
    <row r="43978" spans="1:8">
      <c r="H43978" t="s">
        <v>35698</v>
      </c>
    </row>
    <row r="43979" spans="1:8">
      <c r="H43979" t="s">
        <v>35699</v>
      </c>
    </row>
    <row r="43980" spans="1:8">
      <c r="H43980" t="s">
        <v>35700</v>
      </c>
    </row>
    <row r="43981" spans="1:8">
      <c r="A43981" t="s">
        <v>3610</v>
      </c>
      <c r="B43981">
        <f>HYPERLINK("https://android.googlesource.com/platform/cts/+/2dfec23107b07ad604d67765ceb2e2db5996f6e0", "2dfec23107b07ad604d67765ceb2e2db5996f6e0")</f>
        <v>0</v>
      </c>
      <c r="C43981">
        <f>HYPERLINK("https://android.googlesource.com/platform/cts/+/02bd4fff603ecb6b1fa01d986448dbdfa561ccfd", "02bd4fff603ecb6b1fa01d986448dbdfa561ccfd")</f>
        <v>0</v>
      </c>
      <c r="D43981" t="s">
        <v>5447</v>
      </c>
      <c r="E43981" t="s">
        <v>9306</v>
      </c>
      <c r="F43981" t="s">
        <v>12842</v>
      </c>
      <c r="G43981" t="s">
        <v>15690</v>
      </c>
      <c r="H43981" t="s">
        <v>35701</v>
      </c>
    </row>
    <row r="43982" spans="1:8">
      <c r="A43982" t="s">
        <v>3611</v>
      </c>
      <c r="B43982">
        <f>HYPERLINK("https://android.googlesource.com/platform/cts/+/7d9110fd5538708bb7ec688a7b5d11c28801af6f", "7d9110fd5538708bb7ec688a7b5d11c28801af6f")</f>
        <v>0</v>
      </c>
      <c r="C43982">
        <f>HYPERLINK("https://android.googlesource.com/platform/cts/+/a42619410be2974a4f472286d68a922c8e3e001e", "a42619410be2974a4f472286d68a922c8e3e001e")</f>
        <v>0</v>
      </c>
      <c r="D43982" t="s">
        <v>5338</v>
      </c>
      <c r="E43982" t="s">
        <v>9307</v>
      </c>
      <c r="F43982" t="s">
        <v>14353</v>
      </c>
      <c r="G43982" t="s">
        <v>18303</v>
      </c>
      <c r="H43982" t="s">
        <v>35671</v>
      </c>
    </row>
    <row r="43983" spans="1:8">
      <c r="H43983" t="s">
        <v>19981</v>
      </c>
    </row>
    <row r="43984" spans="1:8">
      <c r="H43984" t="s">
        <v>35672</v>
      </c>
    </row>
    <row r="43985" spans="6:8">
      <c r="F43985" t="s">
        <v>14354</v>
      </c>
      <c r="G43985" t="s">
        <v>18304</v>
      </c>
      <c r="H43985" t="s">
        <v>19981</v>
      </c>
    </row>
    <row r="43986" spans="6:8">
      <c r="F43986" t="s">
        <v>14237</v>
      </c>
      <c r="G43986" t="s">
        <v>18207</v>
      </c>
      <c r="H43986" t="s">
        <v>35673</v>
      </c>
    </row>
    <row r="43987" spans="6:8">
      <c r="H43987" t="s">
        <v>35674</v>
      </c>
    </row>
    <row r="43988" spans="6:8">
      <c r="H43988" t="s">
        <v>35675</v>
      </c>
    </row>
    <row r="43989" spans="6:8">
      <c r="H43989" t="s">
        <v>35676</v>
      </c>
    </row>
    <row r="43990" spans="6:8">
      <c r="H43990" t="s">
        <v>35677</v>
      </c>
    </row>
    <row r="43991" spans="6:8">
      <c r="F43991" t="s">
        <v>14227</v>
      </c>
      <c r="G43991" t="s">
        <v>18199</v>
      </c>
      <c r="H43991" t="s">
        <v>35673</v>
      </c>
    </row>
    <row r="43992" spans="6:8">
      <c r="H43992" t="s">
        <v>35675</v>
      </c>
    </row>
    <row r="43993" spans="6:8">
      <c r="H43993" t="s">
        <v>35674</v>
      </c>
    </row>
    <row r="43994" spans="6:8">
      <c r="H43994" t="s">
        <v>35567</v>
      </c>
    </row>
    <row r="43995" spans="6:8">
      <c r="H43995" t="s">
        <v>35676</v>
      </c>
    </row>
    <row r="43996" spans="6:8">
      <c r="H43996" t="s">
        <v>35678</v>
      </c>
    </row>
    <row r="43997" spans="6:8">
      <c r="H43997" t="s">
        <v>35679</v>
      </c>
    </row>
    <row r="43998" spans="6:8">
      <c r="H43998" t="s">
        <v>35680</v>
      </c>
    </row>
    <row r="43999" spans="6:8">
      <c r="H43999" t="s">
        <v>35681</v>
      </c>
    </row>
    <row r="44000" spans="6:8">
      <c r="H44000" t="s">
        <v>35682</v>
      </c>
    </row>
    <row r="44001" spans="8:8">
      <c r="H44001" t="s">
        <v>35683</v>
      </c>
    </row>
    <row r="44002" spans="8:8">
      <c r="H44002" t="s">
        <v>35684</v>
      </c>
    </row>
    <row r="44003" spans="8:8">
      <c r="H44003" t="s">
        <v>35685</v>
      </c>
    </row>
    <row r="44004" spans="8:8">
      <c r="H44004" t="s">
        <v>35686</v>
      </c>
    </row>
    <row r="44005" spans="8:8">
      <c r="H44005" t="s">
        <v>35687</v>
      </c>
    </row>
    <row r="44006" spans="8:8">
      <c r="H44006" t="s">
        <v>35688</v>
      </c>
    </row>
    <row r="44007" spans="8:8">
      <c r="H44007" t="s">
        <v>35689</v>
      </c>
    </row>
    <row r="44008" spans="8:8">
      <c r="H44008" t="s">
        <v>35690</v>
      </c>
    </row>
    <row r="44009" spans="8:8">
      <c r="H44009" t="s">
        <v>35691</v>
      </c>
    </row>
    <row r="44010" spans="8:8">
      <c r="H44010" t="s">
        <v>35692</v>
      </c>
    </row>
    <row r="44011" spans="8:8">
      <c r="H44011" t="s">
        <v>35693</v>
      </c>
    </row>
    <row r="44012" spans="8:8">
      <c r="H44012" t="s">
        <v>35694</v>
      </c>
    </row>
    <row r="44013" spans="8:8">
      <c r="H44013" t="s">
        <v>35695</v>
      </c>
    </row>
    <row r="44014" spans="8:8">
      <c r="H44014" t="s">
        <v>35696</v>
      </c>
    </row>
    <row r="44015" spans="8:8">
      <c r="H44015" t="s">
        <v>35697</v>
      </c>
    </row>
    <row r="44016" spans="8:8">
      <c r="H44016" t="s">
        <v>35698</v>
      </c>
    </row>
    <row r="44017" spans="1:8">
      <c r="H44017" t="s">
        <v>35699</v>
      </c>
    </row>
    <row r="44018" spans="1:8">
      <c r="H44018" t="s">
        <v>35700</v>
      </c>
    </row>
    <row r="44019" spans="1:8">
      <c r="A44019" t="s">
        <v>3612</v>
      </c>
      <c r="B44019">
        <f>HYPERLINK("https://android.googlesource.com/platform/cts/+/158be6c15daf0d2e486749646ceb8f106b403013", "158be6c15daf0d2e486749646ceb8f106b403013")</f>
        <v>0</v>
      </c>
      <c r="C44019">
        <f>HYPERLINK("https://android.googlesource.com/platform/cts/+/8b0e26a4f09ea7bc5e653836933590e84b0f5afe", "8b0e26a4f09ea7bc5e653836933590e84b0f5afe")</f>
        <v>0</v>
      </c>
      <c r="D44019" t="s">
        <v>5595</v>
      </c>
      <c r="E44019" t="s">
        <v>9308</v>
      </c>
      <c r="F44019" t="s">
        <v>14069</v>
      </c>
      <c r="G44019" t="s">
        <v>18067</v>
      </c>
      <c r="H44019" t="s">
        <v>35651</v>
      </c>
    </row>
    <row r="44020" spans="1:8">
      <c r="A44020" t="s">
        <v>3613</v>
      </c>
      <c r="B44020">
        <f>HYPERLINK("https://android.googlesource.com/platform/cts/+/b5daf6c5c279bb53600c837ef70da138bffd0b58", "b5daf6c5c279bb53600c837ef70da138bffd0b58")</f>
        <v>0</v>
      </c>
      <c r="C44020">
        <f>HYPERLINK("https://android.googlesource.com/platform/cts/+/4b8cf2ed0b08d0fa468125f93d37bbf4ff169469", "4b8cf2ed0b08d0fa468125f93d37bbf4ff169469")</f>
        <v>0</v>
      </c>
      <c r="D44020" t="s">
        <v>5277</v>
      </c>
      <c r="E44020" t="s">
        <v>9309</v>
      </c>
      <c r="F44020" t="s">
        <v>14302</v>
      </c>
      <c r="G44020" t="s">
        <v>18260</v>
      </c>
      <c r="H44020" t="s">
        <v>20083</v>
      </c>
    </row>
    <row r="44021" spans="1:8">
      <c r="H44021" t="s">
        <v>31277</v>
      </c>
    </row>
    <row r="44022" spans="1:8">
      <c r="H44022" t="s">
        <v>26262</v>
      </c>
    </row>
    <row r="44023" spans="1:8">
      <c r="H44023" t="s">
        <v>35702</v>
      </c>
    </row>
    <row r="44024" spans="1:8">
      <c r="H44024" t="s">
        <v>35703</v>
      </c>
    </row>
    <row r="44025" spans="1:8">
      <c r="H44025" t="s">
        <v>35704</v>
      </c>
    </row>
    <row r="44026" spans="1:8">
      <c r="H44026" t="s">
        <v>35705</v>
      </c>
    </row>
    <row r="44027" spans="1:8">
      <c r="H44027" t="s">
        <v>19496</v>
      </c>
    </row>
    <row r="44028" spans="1:8">
      <c r="F44028" t="s">
        <v>14300</v>
      </c>
      <c r="G44028" t="s">
        <v>18259</v>
      </c>
      <c r="H44028" t="s">
        <v>35706</v>
      </c>
    </row>
    <row r="44029" spans="1:8">
      <c r="H44029" t="s">
        <v>35707</v>
      </c>
    </row>
    <row r="44030" spans="1:8">
      <c r="H44030" t="s">
        <v>35708</v>
      </c>
    </row>
    <row r="44031" spans="1:8">
      <c r="H44031" t="s">
        <v>35709</v>
      </c>
    </row>
    <row r="44032" spans="1:8">
      <c r="H44032" t="s">
        <v>35710</v>
      </c>
    </row>
    <row r="44033" spans="1:8">
      <c r="H44033" t="s">
        <v>35710</v>
      </c>
    </row>
    <row r="44034" spans="1:8">
      <c r="H44034" t="s">
        <v>20083</v>
      </c>
    </row>
    <row r="44035" spans="1:8">
      <c r="H44035" t="s">
        <v>24966</v>
      </c>
    </row>
    <row r="44036" spans="1:8">
      <c r="H44036" t="s">
        <v>19753</v>
      </c>
    </row>
    <row r="44037" spans="1:8">
      <c r="H44037" t="s">
        <v>19754</v>
      </c>
    </row>
    <row r="44038" spans="1:8">
      <c r="A44038" t="s">
        <v>3614</v>
      </c>
      <c r="B44038">
        <f>HYPERLINK("https://android.googlesource.com/platform/cts/+/1a3672e1c4b7054baeeec804e831aa5c1ef3260e", "1a3672e1c4b7054baeeec804e831aa5c1ef3260e")</f>
        <v>0</v>
      </c>
      <c r="C44038">
        <f>HYPERLINK("https://android.googlesource.com/platform/cts/+/ec7950d61a925e755a4edb7b70dea037347b8d4e", "ec7950d61a925e755a4edb7b70dea037347b8d4e")</f>
        <v>0</v>
      </c>
      <c r="D44038" t="s">
        <v>5481</v>
      </c>
      <c r="E44038" t="s">
        <v>9310</v>
      </c>
      <c r="F44038" t="s">
        <v>14375</v>
      </c>
      <c r="G44038" t="s">
        <v>18319</v>
      </c>
      <c r="H44038" t="s">
        <v>18863</v>
      </c>
    </row>
    <row r="44039" spans="1:8">
      <c r="H44039" t="s">
        <v>35711</v>
      </c>
    </row>
    <row r="44040" spans="1:8">
      <c r="H44040" t="s">
        <v>35712</v>
      </c>
    </row>
    <row r="44041" spans="1:8">
      <c r="H44041" t="s">
        <v>35713</v>
      </c>
    </row>
    <row r="44042" spans="1:8">
      <c r="H44042" t="s">
        <v>35714</v>
      </c>
    </row>
    <row r="44043" spans="1:8">
      <c r="A44043" t="s">
        <v>3615</v>
      </c>
      <c r="B44043">
        <f>HYPERLINK("https://android.googlesource.com/platform/cts/+/eb8aef6b857c709380215d1870ea17749cdf0741", "eb8aef6b857c709380215d1870ea17749cdf0741")</f>
        <v>0</v>
      </c>
      <c r="C44043">
        <f>HYPERLINK("https://android.googlesource.com/platform/cts/+/8a50276ed6a964ade069922419dc5f61de65af1c", "8a50276ed6a964ade069922419dc5f61de65af1c")</f>
        <v>0</v>
      </c>
      <c r="D44043" t="s">
        <v>5481</v>
      </c>
      <c r="E44043" t="s">
        <v>9310</v>
      </c>
      <c r="F44043" t="s">
        <v>14375</v>
      </c>
      <c r="G44043" t="s">
        <v>18319</v>
      </c>
      <c r="H44043" t="s">
        <v>18863</v>
      </c>
    </row>
    <row r="44044" spans="1:8">
      <c r="H44044" t="s">
        <v>35711</v>
      </c>
    </row>
    <row r="44045" spans="1:8">
      <c r="H44045" t="s">
        <v>35712</v>
      </c>
    </row>
    <row r="44046" spans="1:8">
      <c r="H44046" t="s">
        <v>35713</v>
      </c>
    </row>
    <row r="44047" spans="1:8">
      <c r="H44047" t="s">
        <v>35714</v>
      </c>
    </row>
    <row r="44048" spans="1:8">
      <c r="A44048" t="s">
        <v>3616</v>
      </c>
      <c r="B44048">
        <f>HYPERLINK("https://android.googlesource.com/platform/cts/+/b6b97896499a38bd31848a8070a05da14c7fbdf4", "b6b97896499a38bd31848a8070a05da14c7fbdf4")</f>
        <v>0</v>
      </c>
      <c r="C44048">
        <f>HYPERLINK("https://android.googlesource.com/platform/cts/+/d2a024e36a85dac1f2d26a9e76ff6f9ebb8be96b", "d2a024e36a85dac1f2d26a9e76ff6f9ebb8be96b")</f>
        <v>0</v>
      </c>
      <c r="D44048" t="s">
        <v>5497</v>
      </c>
      <c r="E44048" t="s">
        <v>9311</v>
      </c>
      <c r="F44048" t="s">
        <v>14145</v>
      </c>
      <c r="G44048" t="s">
        <v>18133</v>
      </c>
      <c r="H44048" t="s">
        <v>35715</v>
      </c>
    </row>
    <row r="44049" spans="1:8">
      <c r="H44049" t="s">
        <v>35716</v>
      </c>
    </row>
    <row r="44050" spans="1:8">
      <c r="H44050" t="s">
        <v>35717</v>
      </c>
    </row>
    <row r="44051" spans="1:8">
      <c r="H44051" t="s">
        <v>35718</v>
      </c>
    </row>
    <row r="44052" spans="1:8">
      <c r="H44052" t="s">
        <v>35719</v>
      </c>
    </row>
    <row r="44053" spans="1:8">
      <c r="A44053" t="s">
        <v>3617</v>
      </c>
      <c r="B44053">
        <f>HYPERLINK("https://android.googlesource.com/platform/cts/+/77870f94a276516de7359248ad51187eaa87790b", "77870f94a276516de7359248ad51187eaa87790b")</f>
        <v>0</v>
      </c>
      <c r="C44053">
        <f>HYPERLINK("https://android.googlesource.com/platform/cts/+/5848a6cfe71845e0f8bf65e4431d310b40b10580", "5848a6cfe71845e0f8bf65e4431d310b40b10580")</f>
        <v>0</v>
      </c>
      <c r="D44053" t="s">
        <v>5497</v>
      </c>
      <c r="E44053" t="s">
        <v>9312</v>
      </c>
      <c r="F44053" t="s">
        <v>14376</v>
      </c>
      <c r="G44053" t="s">
        <v>18320</v>
      </c>
      <c r="H44053" t="s">
        <v>35720</v>
      </c>
    </row>
    <row r="44054" spans="1:8">
      <c r="H44054" t="s">
        <v>35721</v>
      </c>
    </row>
    <row r="44055" spans="1:8">
      <c r="H44055" t="s">
        <v>35722</v>
      </c>
    </row>
    <row r="44056" spans="1:8">
      <c r="H44056" t="s">
        <v>35723</v>
      </c>
    </row>
    <row r="44057" spans="1:8">
      <c r="A44057" t="s">
        <v>3618</v>
      </c>
      <c r="B44057">
        <f>HYPERLINK("https://android.googlesource.com/platform/cts/+/04f61b186f7df0868b4e6276cf0e2718b49cdb05", "04f61b186f7df0868b4e6276cf0e2718b49cdb05")</f>
        <v>0</v>
      </c>
      <c r="C44057">
        <f>HYPERLINK("https://android.googlesource.com/platform/cts/+/621d4ce1dce580d11f915c86381afa43fbc4f09e", "621d4ce1dce580d11f915c86381afa43fbc4f09e")</f>
        <v>0</v>
      </c>
      <c r="D44057" t="s">
        <v>5484</v>
      </c>
      <c r="E44057" t="s">
        <v>9313</v>
      </c>
      <c r="F44057" t="s">
        <v>14377</v>
      </c>
      <c r="G44057" t="s">
        <v>18321</v>
      </c>
      <c r="H44057" t="s">
        <v>35724</v>
      </c>
    </row>
    <row r="44058" spans="1:8">
      <c r="H44058" t="s">
        <v>35725</v>
      </c>
    </row>
    <row r="44059" spans="1:8">
      <c r="H44059" t="s">
        <v>35726</v>
      </c>
    </row>
    <row r="44060" spans="1:8">
      <c r="A44060" t="s">
        <v>3619</v>
      </c>
      <c r="B44060">
        <f>HYPERLINK("https://android.googlesource.com/platform/cts/+/2211125686a36a8a135cdd8ec27634e1241baeaf", "2211125686a36a8a135cdd8ec27634e1241baeaf")</f>
        <v>0</v>
      </c>
      <c r="C44060">
        <f>HYPERLINK("https://android.googlesource.com/platform/cts/+/ef67a136f7a111ea016e98e77e06e09f5de50dbf", "ef67a136f7a111ea016e98e77e06e09f5de50dbf")</f>
        <v>0</v>
      </c>
      <c r="D44060" t="s">
        <v>5449</v>
      </c>
      <c r="E44060" t="s">
        <v>9314</v>
      </c>
      <c r="F44060" t="s">
        <v>14238</v>
      </c>
      <c r="G44060" t="s">
        <v>18208</v>
      </c>
      <c r="H44060" t="s">
        <v>35727</v>
      </c>
    </row>
    <row r="44061" spans="1:8">
      <c r="H44061" t="s">
        <v>35728</v>
      </c>
    </row>
    <row r="44062" spans="1:8">
      <c r="H44062" t="s">
        <v>35729</v>
      </c>
    </row>
    <row r="44063" spans="1:8">
      <c r="H44063" t="s">
        <v>35730</v>
      </c>
    </row>
    <row r="44064" spans="1:8">
      <c r="H44064" t="s">
        <v>35731</v>
      </c>
    </row>
    <row r="44065" spans="1:8">
      <c r="H44065" t="s">
        <v>35732</v>
      </c>
    </row>
    <row r="44066" spans="1:8">
      <c r="H44066" t="s">
        <v>35733</v>
      </c>
    </row>
    <row r="44067" spans="1:8">
      <c r="A44067" t="s">
        <v>3620</v>
      </c>
      <c r="B44067">
        <f>HYPERLINK("https://android.googlesource.com/platform/cts/+/9e5b3e13c8d1c1b13b251d0def1c0e5fc38afce6", "9e5b3e13c8d1c1b13b251d0def1c0e5fc38afce6")</f>
        <v>0</v>
      </c>
      <c r="C44067">
        <f>HYPERLINK("https://android.googlesource.com/platform/cts/+/b3714499ee29dcfd3f54b2ec4b094b3e2224c10e", "b3714499ee29dcfd3f54b2ec4b094b3e2224c10e")</f>
        <v>0</v>
      </c>
      <c r="D44067" t="s">
        <v>5504</v>
      </c>
      <c r="E44067" t="s">
        <v>9315</v>
      </c>
      <c r="F44067" t="s">
        <v>14378</v>
      </c>
      <c r="G44067" t="s">
        <v>18322</v>
      </c>
      <c r="H44067" t="s">
        <v>35734</v>
      </c>
    </row>
    <row r="44068" spans="1:8">
      <c r="H44068" t="s">
        <v>35735</v>
      </c>
    </row>
    <row r="44069" spans="1:8">
      <c r="A44069" t="s">
        <v>3621</v>
      </c>
      <c r="B44069">
        <f>HYPERLINK("https://android.googlesource.com/platform/cts/+/40182c157d3d072a95b516c88011335d79a19879", "40182c157d3d072a95b516c88011335d79a19879")</f>
        <v>0</v>
      </c>
      <c r="C44069">
        <f>HYPERLINK("https://android.googlesource.com/platform/cts/+/a9f85dfd09fa049cb54f703841bbd02202ca571b", "a9f85dfd09fa049cb54f703841bbd02202ca571b")</f>
        <v>0</v>
      </c>
      <c r="D44069" t="s">
        <v>5562</v>
      </c>
      <c r="E44069" t="s">
        <v>9316</v>
      </c>
      <c r="F44069" t="s">
        <v>14379</v>
      </c>
      <c r="G44069" t="s">
        <v>18323</v>
      </c>
      <c r="H44069" t="s">
        <v>35736</v>
      </c>
    </row>
    <row r="44070" spans="1:8">
      <c r="H44070" t="s">
        <v>35737</v>
      </c>
    </row>
    <row r="44071" spans="1:8">
      <c r="H44071" t="s">
        <v>35738</v>
      </c>
    </row>
    <row r="44072" spans="1:8">
      <c r="H44072" t="s">
        <v>34824</v>
      </c>
    </row>
    <row r="44073" spans="1:8">
      <c r="H44073" t="s">
        <v>19372</v>
      </c>
    </row>
    <row r="44074" spans="1:8">
      <c r="H44074" t="s">
        <v>18930</v>
      </c>
    </row>
    <row r="44075" spans="1:8">
      <c r="H44075" t="s">
        <v>35739</v>
      </c>
    </row>
    <row r="44076" spans="1:8">
      <c r="A44076" t="s">
        <v>3622</v>
      </c>
      <c r="B44076">
        <f>HYPERLINK("https://android.googlesource.com/platform/cts/+/85c73c9b8703857367027ec7cf045db05cad3959", "85c73c9b8703857367027ec7cf045db05cad3959")</f>
        <v>0</v>
      </c>
      <c r="C44076">
        <f>HYPERLINK("https://android.googlesource.com/platform/cts/+/2327f3ef31c3b4517ab5cb1bb0ef910e673276b4", "2327f3ef31c3b4517ab5cb1bb0ef910e673276b4")</f>
        <v>0</v>
      </c>
      <c r="D44076" t="s">
        <v>5596</v>
      </c>
      <c r="E44076" t="s">
        <v>9317</v>
      </c>
      <c r="F44076" t="s">
        <v>14380</v>
      </c>
      <c r="G44076" t="s">
        <v>18324</v>
      </c>
      <c r="H44076" t="s">
        <v>35740</v>
      </c>
    </row>
    <row r="44077" spans="1:8">
      <c r="A44077" t="s">
        <v>3623</v>
      </c>
      <c r="B44077">
        <f>HYPERLINK("https://android.googlesource.com/platform/cts/+/8d65fd974abf0e9d7c010e7758da8a87914767a0", "8d65fd974abf0e9d7c010e7758da8a87914767a0")</f>
        <v>0</v>
      </c>
      <c r="C44077">
        <f>HYPERLINK("https://android.googlesource.com/platform/cts/+/daf833b5e400aacde5f312c0263c99230cfe145d", "daf833b5e400aacde5f312c0263c99230cfe145d")</f>
        <v>0</v>
      </c>
      <c r="D44077" t="s">
        <v>5355</v>
      </c>
      <c r="E44077" t="s">
        <v>9318</v>
      </c>
      <c r="F44077" t="s">
        <v>13728</v>
      </c>
      <c r="G44077" t="s">
        <v>17790</v>
      </c>
      <c r="H44077" t="s">
        <v>35741</v>
      </c>
    </row>
    <row r="44078" spans="1:8">
      <c r="A44078" t="s">
        <v>3624</v>
      </c>
      <c r="B44078">
        <f>HYPERLINK("https://android.googlesource.com/platform/cts/+/5f846dd44ec40e5118b0344c29a5cd823a577494", "5f846dd44ec40e5118b0344c29a5cd823a577494")</f>
        <v>0</v>
      </c>
      <c r="C44078">
        <f>HYPERLINK("https://android.googlesource.com/platform/cts/+/0d00b8fac45150d18f21ce25072fa65b9561d9b4", "0d00b8fac45150d18f21ce25072fa65b9561d9b4")</f>
        <v>0</v>
      </c>
      <c r="D44078" t="s">
        <v>5492</v>
      </c>
      <c r="E44078" t="s">
        <v>9319</v>
      </c>
      <c r="F44078" t="s">
        <v>14381</v>
      </c>
      <c r="G44078" t="s">
        <v>18325</v>
      </c>
      <c r="H44078" t="s">
        <v>35742</v>
      </c>
    </row>
    <row r="44079" spans="1:8">
      <c r="H44079" t="s">
        <v>28611</v>
      </c>
    </row>
    <row r="44080" spans="1:8">
      <c r="H44080" t="s">
        <v>35743</v>
      </c>
    </row>
    <row r="44081" spans="1:8">
      <c r="H44081" t="s">
        <v>35050</v>
      </c>
    </row>
    <row r="44082" spans="1:8">
      <c r="A44082" t="s">
        <v>3625</v>
      </c>
      <c r="B44082">
        <f>HYPERLINK("https://android.googlesource.com/platform/cts/+/f0110fcea425a1f615cc211df217447ef22d42a0", "f0110fcea425a1f615cc211df217447ef22d42a0")</f>
        <v>0</v>
      </c>
      <c r="C44082">
        <f>HYPERLINK("https://android.googlesource.com/platform/cts/+/84c4af3ae992b5f70664b5fbf331c7d9bdbb2459", "84c4af3ae992b5f70664b5fbf331c7d9bdbb2459")</f>
        <v>0</v>
      </c>
      <c r="D44082" t="s">
        <v>5409</v>
      </c>
      <c r="E44082" t="s">
        <v>9320</v>
      </c>
      <c r="F44082" t="s">
        <v>14382</v>
      </c>
      <c r="G44082" t="s">
        <v>18326</v>
      </c>
      <c r="H44082" t="s">
        <v>35744</v>
      </c>
    </row>
    <row r="44083" spans="1:8">
      <c r="A44083" t="s">
        <v>3626</v>
      </c>
      <c r="B44083">
        <f>HYPERLINK("https://android.googlesource.com/platform/cts/+/cb23e002948a8d4251e397ecafb2f8cbce9b1f9b", "cb23e002948a8d4251e397ecafb2f8cbce9b1f9b")</f>
        <v>0</v>
      </c>
      <c r="C44083">
        <f>HYPERLINK("https://android.googlesource.com/platform/cts/+/bfe1191ad843ade05656a0cc5437839918d02995", "bfe1191ad843ade05656a0cc5437839918d02995")</f>
        <v>0</v>
      </c>
      <c r="D44083" t="s">
        <v>5417</v>
      </c>
      <c r="E44083" t="s">
        <v>9321</v>
      </c>
      <c r="F44083" t="s">
        <v>14383</v>
      </c>
      <c r="G44083" t="s">
        <v>18327</v>
      </c>
      <c r="H44083" t="s">
        <v>35745</v>
      </c>
    </row>
    <row r="44084" spans="1:8">
      <c r="A44084" t="s">
        <v>3627</v>
      </c>
      <c r="B44084">
        <f>HYPERLINK("https://android.googlesource.com/platform/cts/+/f3df80250737314b0ae76ec1396a4604f91fdf85", "f3df80250737314b0ae76ec1396a4604f91fdf85")</f>
        <v>0</v>
      </c>
      <c r="C44084">
        <f>HYPERLINK("https://android.googlesource.com/platform/cts/+/14b8c6f04c32ee2aaa5871ffcf3573364c5229a6", "14b8c6f04c32ee2aaa5871ffcf3573364c5229a6")</f>
        <v>0</v>
      </c>
      <c r="D44084" t="s">
        <v>5363</v>
      </c>
      <c r="E44084" t="s">
        <v>9322</v>
      </c>
      <c r="F44084" t="s">
        <v>14097</v>
      </c>
      <c r="G44084" t="s">
        <v>18090</v>
      </c>
      <c r="H44084" t="s">
        <v>18829</v>
      </c>
    </row>
    <row r="44085" spans="1:8">
      <c r="H44085" t="s">
        <v>18863</v>
      </c>
    </row>
    <row r="44086" spans="1:8">
      <c r="H44086" t="s">
        <v>33400</v>
      </c>
    </row>
    <row r="44087" spans="1:8">
      <c r="H44087" t="s">
        <v>33401</v>
      </c>
    </row>
    <row r="44088" spans="1:8">
      <c r="H44088" t="s">
        <v>33403</v>
      </c>
    </row>
    <row r="44089" spans="1:8">
      <c r="F44089" t="s">
        <v>14033</v>
      </c>
      <c r="G44089" t="s">
        <v>18030</v>
      </c>
      <c r="H44089" t="s">
        <v>32932</v>
      </c>
    </row>
    <row r="44090" spans="1:8">
      <c r="F44090" t="s">
        <v>14189</v>
      </c>
      <c r="G44090" t="s">
        <v>14997</v>
      </c>
      <c r="H44090" t="s">
        <v>35746</v>
      </c>
    </row>
    <row r="44091" spans="1:8">
      <c r="H44091" t="s">
        <v>35747</v>
      </c>
    </row>
    <row r="44092" spans="1:8">
      <c r="H44092" t="s">
        <v>32922</v>
      </c>
    </row>
    <row r="44093" spans="1:8">
      <c r="H44093" t="s">
        <v>32904</v>
      </c>
    </row>
    <row r="44094" spans="1:8">
      <c r="A44094" t="s">
        <v>3628</v>
      </c>
      <c r="B44094">
        <f>HYPERLINK("https://android.googlesource.com/platform/cts/+/f708f205b1ab22810b539cbf9c078ffab69b7e47", "f708f205b1ab22810b539cbf9c078ffab69b7e47")</f>
        <v>0</v>
      </c>
      <c r="C44094">
        <f>HYPERLINK("https://android.googlesource.com/platform/cts/+/47a3ecaf6ffa8d28522a968c141ac49e2a38d319", "47a3ecaf6ffa8d28522a968c141ac49e2a38d319")</f>
        <v>0</v>
      </c>
      <c r="D44094" t="s">
        <v>5417</v>
      </c>
      <c r="E44094" t="s">
        <v>9321</v>
      </c>
      <c r="F44094" t="s">
        <v>14383</v>
      </c>
      <c r="G44094" t="s">
        <v>18327</v>
      </c>
      <c r="H44094" t="s">
        <v>35745</v>
      </c>
    </row>
    <row r="44095" spans="1:8">
      <c r="A44095" t="s">
        <v>3629</v>
      </c>
      <c r="B44095">
        <f>HYPERLINK("https://android.googlesource.com/platform/cts/+/1986437989eb6d08436c7f2a88ebb90dd92e4243", "1986437989eb6d08436c7f2a88ebb90dd92e4243")</f>
        <v>0</v>
      </c>
      <c r="C44095">
        <f>HYPERLINK("https://android.googlesource.com/platform/cts/+/bba587afac2691d0375baf8a9dd96c9f077b6588", "bba587afac2691d0375baf8a9dd96c9f077b6588")</f>
        <v>0</v>
      </c>
      <c r="D44095" t="s">
        <v>5568</v>
      </c>
      <c r="E44095" t="s">
        <v>9323</v>
      </c>
      <c r="F44095" t="s">
        <v>14352</v>
      </c>
      <c r="G44095" t="s">
        <v>18261</v>
      </c>
      <c r="H44095" t="s">
        <v>34782</v>
      </c>
    </row>
    <row r="44096" spans="1:8">
      <c r="H44096" t="s">
        <v>34531</v>
      </c>
    </row>
    <row r="44097" spans="1:8">
      <c r="H44097" t="s">
        <v>34783</v>
      </c>
    </row>
    <row r="44098" spans="1:8">
      <c r="H44098" t="s">
        <v>34559</v>
      </c>
    </row>
    <row r="44099" spans="1:8">
      <c r="H44099" t="s">
        <v>34560</v>
      </c>
    </row>
    <row r="44100" spans="1:8">
      <c r="A44100" t="s">
        <v>3630</v>
      </c>
      <c r="B44100">
        <f>HYPERLINK("https://android.googlesource.com/platform/cts/+/4e8a6d367b6568614391b323a466f60b17d4ef01", "4e8a6d367b6568614391b323a466f60b17d4ef01")</f>
        <v>0</v>
      </c>
      <c r="C44100">
        <f>HYPERLINK("https://android.googlesource.com/platform/cts/+/9a6a60a64131de1fef055d296970d6a7fdd8f18a", "9a6a60a64131de1fef055d296970d6a7fdd8f18a")</f>
        <v>0</v>
      </c>
      <c r="D44100" t="s">
        <v>5563</v>
      </c>
      <c r="E44100" t="s">
        <v>9324</v>
      </c>
      <c r="F44100" t="s">
        <v>14260</v>
      </c>
      <c r="G44100" t="s">
        <v>18227</v>
      </c>
      <c r="H44100" t="s">
        <v>34457</v>
      </c>
    </row>
    <row r="44101" spans="1:8">
      <c r="A44101" t="s">
        <v>3631</v>
      </c>
      <c r="B44101">
        <f>HYPERLINK("https://android.googlesource.com/platform/cts/+/f59121f5d7963589fd6e424e91136fe17277205e", "f59121f5d7963589fd6e424e91136fe17277205e")</f>
        <v>0</v>
      </c>
      <c r="C44101">
        <f>HYPERLINK("https://android.googlesource.com/platform/cts/+/f4c7ae29646dde92d21c7353c3cc1a80063bb7e8", "f4c7ae29646dde92d21c7353c3cc1a80063bb7e8")</f>
        <v>0</v>
      </c>
      <c r="D44101" t="s">
        <v>5304</v>
      </c>
      <c r="E44101" t="s">
        <v>9325</v>
      </c>
      <c r="F44101" t="s">
        <v>14384</v>
      </c>
      <c r="G44101" t="s">
        <v>18328</v>
      </c>
      <c r="H44101" t="s">
        <v>35748</v>
      </c>
    </row>
    <row r="44102" spans="1:8">
      <c r="H44102" t="s">
        <v>35749</v>
      </c>
    </row>
    <row r="44103" spans="1:8">
      <c r="A44103" t="s">
        <v>3632</v>
      </c>
      <c r="B44103">
        <f>HYPERLINK("https://android.googlesource.com/platform/cts/+/915b5160fe62a193c3dd1fa8cf79a88f1507b01e", "915b5160fe62a193c3dd1fa8cf79a88f1507b01e")</f>
        <v>0</v>
      </c>
      <c r="C44103">
        <f>HYPERLINK("https://android.googlesource.com/platform/cts/+/f5a5e2fe5ba460bc729b012c5d82b59fc5dfc1bc", "f5a5e2fe5ba460bc729b012c5d82b59fc5dfc1bc")</f>
        <v>0</v>
      </c>
      <c r="D44103" t="s">
        <v>5597</v>
      </c>
      <c r="E44103" t="s">
        <v>9326</v>
      </c>
      <c r="F44103" t="s">
        <v>14385</v>
      </c>
      <c r="G44103" t="s">
        <v>18329</v>
      </c>
      <c r="H44103" t="s">
        <v>35750</v>
      </c>
    </row>
    <row r="44104" spans="1:8">
      <c r="A44104" t="s">
        <v>3633</v>
      </c>
      <c r="B44104">
        <f>HYPERLINK("https://android.googlesource.com/platform/cts/+/8ee63009c642a48c3390e0cba63ddda36ca61319", "8ee63009c642a48c3390e0cba63ddda36ca61319")</f>
        <v>0</v>
      </c>
      <c r="C44104">
        <f>HYPERLINK("https://android.googlesource.com/platform/cts/+/401c5cc503944e92e57f928523dfaaabe7712fd7", "401c5cc503944e92e57f928523dfaaabe7712fd7")</f>
        <v>0</v>
      </c>
      <c r="D44104" t="s">
        <v>5130</v>
      </c>
      <c r="E44104" t="s">
        <v>9327</v>
      </c>
      <c r="F44104" t="s">
        <v>14386</v>
      </c>
      <c r="G44104" t="s">
        <v>18330</v>
      </c>
      <c r="H44104" t="s">
        <v>35751</v>
      </c>
    </row>
    <row r="44105" spans="1:8">
      <c r="H44105" t="s">
        <v>35752</v>
      </c>
    </row>
    <row r="44106" spans="1:8">
      <c r="A44106" t="s">
        <v>3634</v>
      </c>
      <c r="B44106">
        <f>HYPERLINK("https://android.googlesource.com/platform/cts/+/3b6d77bc0ef3b2e4f4ac099f0f0bd8edba0c9f31", "3b6d77bc0ef3b2e4f4ac099f0f0bd8edba0c9f31")</f>
        <v>0</v>
      </c>
      <c r="C44106">
        <f>HYPERLINK("https://android.googlesource.com/platform/cts/+/85a8d740a7253e3e6adb0e9e68cefa48ca754e27", "85a8d740a7253e3e6adb0e9e68cefa48ca754e27")</f>
        <v>0</v>
      </c>
      <c r="D44106" t="s">
        <v>5598</v>
      </c>
      <c r="E44106" t="s">
        <v>9328</v>
      </c>
      <c r="F44106" t="s">
        <v>14387</v>
      </c>
      <c r="G44106" t="s">
        <v>17643</v>
      </c>
      <c r="H44106" t="s">
        <v>35753</v>
      </c>
    </row>
    <row r="44107" spans="1:8">
      <c r="F44107" t="s">
        <v>14388</v>
      </c>
      <c r="G44107" t="s">
        <v>17644</v>
      </c>
      <c r="H44107" t="s">
        <v>35754</v>
      </c>
    </row>
    <row r="44108" spans="1:8">
      <c r="A44108" t="s">
        <v>3635</v>
      </c>
      <c r="B44108">
        <f>HYPERLINK("https://android.googlesource.com/platform/cts/+/019d1addc5a94351ffb23ecbc8d38564a1006952", "019d1addc5a94351ffb23ecbc8d38564a1006952")</f>
        <v>0</v>
      </c>
      <c r="C44108">
        <f>HYPERLINK("https://android.googlesource.com/platform/cts/+/8861a1bbe79835c47fc94601716f94721d6d27f4", "8861a1bbe79835c47fc94601716f94721d6d27f4")</f>
        <v>0</v>
      </c>
      <c r="D44108" t="s">
        <v>5582</v>
      </c>
      <c r="E44108" t="s">
        <v>9329</v>
      </c>
      <c r="F44108" t="s">
        <v>12984</v>
      </c>
      <c r="G44108" t="s">
        <v>17148</v>
      </c>
      <c r="H44108" t="s">
        <v>35755</v>
      </c>
    </row>
    <row r="44109" spans="1:8">
      <c r="F44109" t="s">
        <v>14389</v>
      </c>
      <c r="G44109" t="s">
        <v>17148</v>
      </c>
      <c r="H44109" t="s">
        <v>35755</v>
      </c>
    </row>
    <row r="44110" spans="1:8">
      <c r="A44110" t="s">
        <v>3636</v>
      </c>
      <c r="B44110">
        <f>HYPERLINK("https://android.googlesource.com/platform/cts/+/ae7c11a66974c127bc3758d03b18bf8e0fb7782a", "ae7c11a66974c127bc3758d03b18bf8e0fb7782a")</f>
        <v>0</v>
      </c>
      <c r="C44110">
        <f>HYPERLINK("https://android.googlesource.com/platform/cts/+/ad91678eeeddc900ae09aa92ade770ecfb357b40", "ad91678eeeddc900ae09aa92ade770ecfb357b40")</f>
        <v>0</v>
      </c>
      <c r="D44110" t="s">
        <v>5290</v>
      </c>
      <c r="E44110" t="s">
        <v>9330</v>
      </c>
      <c r="F44110" t="s">
        <v>14390</v>
      </c>
      <c r="G44110" t="s">
        <v>18331</v>
      </c>
      <c r="H44110" t="s">
        <v>32593</v>
      </c>
    </row>
    <row r="44111" spans="1:8">
      <c r="H44111" t="s">
        <v>35756</v>
      </c>
    </row>
    <row r="44112" spans="1:8">
      <c r="H44112" t="s">
        <v>35757</v>
      </c>
    </row>
    <row r="44113" spans="1:8">
      <c r="A44113" t="s">
        <v>3637</v>
      </c>
      <c r="B44113">
        <f>HYPERLINK("https://android.googlesource.com/platform/cts/+/9e9e2aa88003e97ad566be85b70047799af0ee3a", "9e9e2aa88003e97ad566be85b70047799af0ee3a")</f>
        <v>0</v>
      </c>
      <c r="C44113">
        <f>HYPERLINK("https://android.googlesource.com/platform/cts/+/0b290d8c8e2fddfb0e5383e0c19d8df745e82849", "0b290d8c8e2fddfb0e5383e0c19d8df745e82849")</f>
        <v>0</v>
      </c>
      <c r="D44113" t="s">
        <v>5599</v>
      </c>
      <c r="E44113" t="s">
        <v>9331</v>
      </c>
      <c r="F44113" t="s">
        <v>14391</v>
      </c>
      <c r="G44113" t="s">
        <v>18332</v>
      </c>
      <c r="H44113" t="s">
        <v>18829</v>
      </c>
    </row>
    <row r="44114" spans="1:8">
      <c r="H44114" t="s">
        <v>35758</v>
      </c>
    </row>
    <row r="44115" spans="1:8">
      <c r="H44115" t="s">
        <v>35759</v>
      </c>
    </row>
    <row r="44116" spans="1:8">
      <c r="H44116" t="s">
        <v>35760</v>
      </c>
    </row>
    <row r="44117" spans="1:8">
      <c r="H44117" t="s">
        <v>35761</v>
      </c>
    </row>
    <row r="44118" spans="1:8">
      <c r="H44118" t="s">
        <v>35762</v>
      </c>
    </row>
    <row r="44119" spans="1:8">
      <c r="H44119" t="s">
        <v>35763</v>
      </c>
    </row>
    <row r="44120" spans="1:8">
      <c r="H44120" t="s">
        <v>35764</v>
      </c>
    </row>
    <row r="44121" spans="1:8">
      <c r="H44121" t="s">
        <v>35765</v>
      </c>
    </row>
    <row r="44122" spans="1:8">
      <c r="H44122" t="s">
        <v>35766</v>
      </c>
    </row>
    <row r="44123" spans="1:8">
      <c r="F44123" t="s">
        <v>14392</v>
      </c>
      <c r="G44123" t="s">
        <v>18333</v>
      </c>
      <c r="H44123" t="s">
        <v>18863</v>
      </c>
    </row>
    <row r="44124" spans="1:8">
      <c r="H44124" t="s">
        <v>35767</v>
      </c>
    </row>
    <row r="44125" spans="1:8">
      <c r="H44125" t="s">
        <v>35768</v>
      </c>
    </row>
    <row r="44126" spans="1:8">
      <c r="H44126" t="s">
        <v>35769</v>
      </c>
    </row>
    <row r="44127" spans="1:8">
      <c r="A44127" t="s">
        <v>3638</v>
      </c>
      <c r="B44127">
        <f>HYPERLINK("https://android.googlesource.com/platform/cts/+/c077873a2a067c9568b577581dd822dda900e3f6", "c077873a2a067c9568b577581dd822dda900e3f6")</f>
        <v>0</v>
      </c>
      <c r="C44127">
        <f>HYPERLINK("https://android.googlesource.com/platform/cts/+/ad91678eeeddc900ae09aa92ade770ecfb357b40", "ad91678eeeddc900ae09aa92ade770ecfb357b40")</f>
        <v>0</v>
      </c>
      <c r="D44127" t="s">
        <v>5569</v>
      </c>
      <c r="E44127" t="s">
        <v>9332</v>
      </c>
      <c r="F44127" t="s">
        <v>13511</v>
      </c>
      <c r="G44127" t="s">
        <v>17628</v>
      </c>
      <c r="H44127" t="s">
        <v>35770</v>
      </c>
    </row>
    <row r="44128" spans="1:8">
      <c r="H44128" t="s">
        <v>35771</v>
      </c>
    </row>
    <row r="44129" spans="1:8">
      <c r="A44129" t="s">
        <v>3639</v>
      </c>
      <c r="B44129">
        <f>HYPERLINK("https://android.googlesource.com/platform/cts/+/279970a27b5046fa0197956c22ab24cd5b7d9952", "279970a27b5046fa0197956c22ab24cd5b7d9952")</f>
        <v>0</v>
      </c>
      <c r="C44129">
        <f>HYPERLINK("https://android.googlesource.com/platform/cts/+/236b5678f31077a3261d2778784e8d6165a705f3", "236b5678f31077a3261d2778784e8d6165a705f3")</f>
        <v>0</v>
      </c>
      <c r="D44129" t="s">
        <v>5595</v>
      </c>
      <c r="E44129" t="s">
        <v>9333</v>
      </c>
      <c r="F44129" t="s">
        <v>14069</v>
      </c>
      <c r="G44129" t="s">
        <v>18067</v>
      </c>
      <c r="H44129" t="s">
        <v>35772</v>
      </c>
    </row>
    <row r="44130" spans="1:8">
      <c r="A44130" t="s">
        <v>3640</v>
      </c>
      <c r="B44130">
        <f>HYPERLINK("https://android.googlesource.com/platform/cts/+/56effbc14c6b181680d0a3667eddbced05e57116", "56effbc14c6b181680d0a3667eddbced05e57116")</f>
        <v>0</v>
      </c>
      <c r="C44130">
        <f>HYPERLINK("https://android.googlesource.com/platform/cts/+/401c5cc503944e92e57f928523dfaaabe7712fd7", "401c5cc503944e92e57f928523dfaaabe7712fd7")</f>
        <v>0</v>
      </c>
      <c r="D44130" t="s">
        <v>5556</v>
      </c>
      <c r="E44130" t="s">
        <v>9334</v>
      </c>
      <c r="F44130" t="s">
        <v>14393</v>
      </c>
      <c r="G44130" t="s">
        <v>18025</v>
      </c>
      <c r="H44130" t="s">
        <v>35773</v>
      </c>
    </row>
    <row r="44131" spans="1:8">
      <c r="H44131" t="s">
        <v>35774</v>
      </c>
    </row>
    <row r="44132" spans="1:8">
      <c r="H44132" t="s">
        <v>35775</v>
      </c>
    </row>
    <row r="44133" spans="1:8">
      <c r="A44133" t="s">
        <v>3641</v>
      </c>
      <c r="B44133">
        <f>HYPERLINK("https://android.googlesource.com/platform/cts/+/e23336a5398536b3b1b826dd16b986e201296828", "e23336a5398536b3b1b826dd16b986e201296828")</f>
        <v>0</v>
      </c>
      <c r="C44133">
        <f>HYPERLINK("https://android.googlesource.com/platform/cts/+/2442f91db3a9137ab817f6e0af0966dd68325360", "2442f91db3a9137ab817f6e0af0966dd68325360")</f>
        <v>0</v>
      </c>
      <c r="D44133" t="s">
        <v>5449</v>
      </c>
      <c r="E44133" t="s">
        <v>9335</v>
      </c>
      <c r="F44133" t="s">
        <v>14393</v>
      </c>
      <c r="G44133" t="s">
        <v>18025</v>
      </c>
      <c r="H44133" t="s">
        <v>35773</v>
      </c>
    </row>
    <row r="44134" spans="1:8">
      <c r="H44134" t="s">
        <v>35774</v>
      </c>
    </row>
    <row r="44135" spans="1:8">
      <c r="H44135" t="s">
        <v>35775</v>
      </c>
    </row>
    <row r="44136" spans="1:8">
      <c r="A44136" t="s">
        <v>3642</v>
      </c>
      <c r="B44136">
        <f>HYPERLINK("https://android.googlesource.com/platform/cts/+/c72fee93e949c07233bfdb95a0f0db522a949afd", "c72fee93e949c07233bfdb95a0f0db522a949afd")</f>
        <v>0</v>
      </c>
      <c r="C44136">
        <f>HYPERLINK("https://android.googlesource.com/platform/cts/+/11463c4f840d7f2c467dda05d544e73a51960e3d", "11463c4f840d7f2c467dda05d544e73a51960e3d")</f>
        <v>0</v>
      </c>
      <c r="D44136" t="s">
        <v>5504</v>
      </c>
      <c r="E44136" t="s">
        <v>9336</v>
      </c>
      <c r="F44136" t="s">
        <v>14378</v>
      </c>
      <c r="G44136" t="s">
        <v>18322</v>
      </c>
      <c r="H44136" t="s">
        <v>20083</v>
      </c>
    </row>
    <row r="44137" spans="1:8">
      <c r="H44137" t="s">
        <v>26262</v>
      </c>
    </row>
    <row r="44138" spans="1:8">
      <c r="A44138" t="s">
        <v>3643</v>
      </c>
      <c r="B44138">
        <f>HYPERLINK("https://android.googlesource.com/platform/cts/+/9a6929cc1f3dd26e1cfcbc594bc9a9e8602b3c2e", "9a6929cc1f3dd26e1cfcbc594bc9a9e8602b3c2e")</f>
        <v>0</v>
      </c>
      <c r="C44138">
        <f>HYPERLINK("https://android.googlesource.com/platform/cts/+/2e24a4c03186a289c6ac4b5afc188c1f2e99237f", "2e24a4c03186a289c6ac4b5afc188c1f2e99237f")</f>
        <v>0</v>
      </c>
      <c r="D44138" t="s">
        <v>5470</v>
      </c>
      <c r="E44138" t="s">
        <v>9337</v>
      </c>
      <c r="F44138" t="s">
        <v>14394</v>
      </c>
      <c r="G44138" t="s">
        <v>17002</v>
      </c>
      <c r="H44138" t="s">
        <v>35776</v>
      </c>
    </row>
    <row r="44139" spans="1:8">
      <c r="H44139" t="s">
        <v>35777</v>
      </c>
    </row>
    <row r="44140" spans="1:8">
      <c r="H44140" t="s">
        <v>35778</v>
      </c>
    </row>
    <row r="44141" spans="1:8">
      <c r="H44141" t="s">
        <v>35779</v>
      </c>
    </row>
    <row r="44142" spans="1:8">
      <c r="H44142" t="s">
        <v>35780</v>
      </c>
    </row>
    <row r="44143" spans="1:8">
      <c r="H44143" t="s">
        <v>35780</v>
      </c>
    </row>
    <row r="44144" spans="1:8">
      <c r="H44144" t="s">
        <v>35781</v>
      </c>
    </row>
    <row r="44145" spans="1:8">
      <c r="H44145" t="s">
        <v>35781</v>
      </c>
    </row>
    <row r="44146" spans="1:8">
      <c r="H44146" t="s">
        <v>35782</v>
      </c>
    </row>
    <row r="44147" spans="1:8">
      <c r="H44147" t="s">
        <v>35783</v>
      </c>
    </row>
    <row r="44148" spans="1:8">
      <c r="H44148" t="s">
        <v>35784</v>
      </c>
    </row>
    <row r="44149" spans="1:8">
      <c r="H44149" t="s">
        <v>35785</v>
      </c>
    </row>
    <row r="44150" spans="1:8">
      <c r="H44150" t="s">
        <v>18829</v>
      </c>
    </row>
    <row r="44151" spans="1:8">
      <c r="H44151" t="s">
        <v>18863</v>
      </c>
    </row>
    <row r="44152" spans="1:8">
      <c r="H44152" t="s">
        <v>35786</v>
      </c>
    </row>
    <row r="44153" spans="1:8">
      <c r="H44153" t="s">
        <v>35787</v>
      </c>
    </row>
    <row r="44154" spans="1:8">
      <c r="H44154" t="s">
        <v>35788</v>
      </c>
    </row>
    <row r="44155" spans="1:8">
      <c r="A44155" t="s">
        <v>3644</v>
      </c>
      <c r="B44155">
        <f>HYPERLINK("https://android.googlesource.com/platform/cts/+/2b476735d744b485904994a26aa49e98a8fce80e", "2b476735d744b485904994a26aa49e98a8fce80e")</f>
        <v>0</v>
      </c>
      <c r="C44155">
        <f>HYPERLINK("https://android.googlesource.com/platform/cts/+/4082124096862b4d0fdd891f9aab2e9ee8e949b7", "4082124096862b4d0fdd891f9aab2e9ee8e949b7")</f>
        <v>0</v>
      </c>
      <c r="D44155" t="s">
        <v>5481</v>
      </c>
      <c r="E44155" t="s">
        <v>9338</v>
      </c>
      <c r="F44155" t="s">
        <v>14395</v>
      </c>
      <c r="G44155" t="s">
        <v>18334</v>
      </c>
      <c r="H44155" t="s">
        <v>18829</v>
      </c>
    </row>
    <row r="44156" spans="1:8">
      <c r="H44156" t="s">
        <v>18863</v>
      </c>
    </row>
    <row r="44157" spans="1:8">
      <c r="H44157" t="s">
        <v>35789</v>
      </c>
    </row>
    <row r="44158" spans="1:8">
      <c r="A44158" t="s">
        <v>3645</v>
      </c>
      <c r="B44158">
        <f>HYPERLINK("https://android.googlesource.com/platform/cts/+/4f6e1a29557fb11b8e81860266aa6233aeb0a730", "4f6e1a29557fb11b8e81860266aa6233aeb0a730")</f>
        <v>0</v>
      </c>
      <c r="C44158">
        <f>HYPERLINK("https://android.googlesource.com/platform/cts/+/9fc28c83dd068fae4229d06f62d3a50f58578881", "9fc28c83dd068fae4229d06f62d3a50f58578881")</f>
        <v>0</v>
      </c>
      <c r="D44158" t="s">
        <v>5357</v>
      </c>
      <c r="E44158" t="s">
        <v>9339</v>
      </c>
      <c r="F44158" t="s">
        <v>14396</v>
      </c>
      <c r="G44158" t="s">
        <v>18335</v>
      </c>
      <c r="H44158" t="s">
        <v>35790</v>
      </c>
    </row>
    <row r="44159" spans="1:8">
      <c r="H44159" t="s">
        <v>35791</v>
      </c>
    </row>
    <row r="44160" spans="1:8">
      <c r="H44160" t="s">
        <v>35792</v>
      </c>
    </row>
    <row r="44161" spans="1:8">
      <c r="H44161" t="s">
        <v>35793</v>
      </c>
    </row>
    <row r="44162" spans="1:8">
      <c r="H44162" t="s">
        <v>35794</v>
      </c>
    </row>
    <row r="44163" spans="1:8">
      <c r="H44163" t="s">
        <v>35795</v>
      </c>
    </row>
    <row r="44164" spans="1:8">
      <c r="H44164" t="s">
        <v>35796</v>
      </c>
    </row>
    <row r="44165" spans="1:8">
      <c r="H44165" t="s">
        <v>35797</v>
      </c>
    </row>
    <row r="44166" spans="1:8">
      <c r="H44166" t="s">
        <v>35798</v>
      </c>
    </row>
    <row r="44167" spans="1:8">
      <c r="H44167" t="s">
        <v>35799</v>
      </c>
    </row>
    <row r="44168" spans="1:8">
      <c r="F44168" t="s">
        <v>14397</v>
      </c>
      <c r="G44168" t="s">
        <v>18336</v>
      </c>
      <c r="H44168" t="s">
        <v>35800</v>
      </c>
    </row>
    <row r="44169" spans="1:8">
      <c r="H44169" t="s">
        <v>35801</v>
      </c>
    </row>
    <row r="44170" spans="1:8">
      <c r="H44170" t="s">
        <v>35802</v>
      </c>
    </row>
    <row r="44171" spans="1:8">
      <c r="H44171" t="s">
        <v>35803</v>
      </c>
    </row>
    <row r="44172" spans="1:8">
      <c r="A44172" t="s">
        <v>3646</v>
      </c>
      <c r="B44172">
        <f>HYPERLINK("https://android.googlesource.com/platform/cts/+/b548aac6081a6899e966d7a8d961f2a47147e244", "b548aac6081a6899e966d7a8d961f2a47147e244")</f>
        <v>0</v>
      </c>
      <c r="C44172">
        <f>HYPERLINK("https://android.googlesource.com/platform/cts/+/57fc44dcc189019aa2e7fa534087e8dcbc5e4b6f", "57fc44dcc189019aa2e7fa534087e8dcbc5e4b6f")</f>
        <v>0</v>
      </c>
      <c r="D44172" t="s">
        <v>5600</v>
      </c>
      <c r="E44172" t="s">
        <v>9340</v>
      </c>
      <c r="F44172" t="s">
        <v>14398</v>
      </c>
      <c r="G44172" t="s">
        <v>18337</v>
      </c>
      <c r="H44172" t="s">
        <v>35804</v>
      </c>
    </row>
    <row r="44173" spans="1:8">
      <c r="H44173" t="s">
        <v>35805</v>
      </c>
    </row>
    <row r="44174" spans="1:8">
      <c r="H44174" t="s">
        <v>35806</v>
      </c>
    </row>
    <row r="44175" spans="1:8">
      <c r="H44175" t="s">
        <v>35807</v>
      </c>
    </row>
    <row r="44176" spans="1:8">
      <c r="H44176" t="s">
        <v>35808</v>
      </c>
    </row>
    <row r="44177" spans="1:8">
      <c r="H44177" t="s">
        <v>35809</v>
      </c>
    </row>
    <row r="44178" spans="1:8">
      <c r="A44178" t="s">
        <v>3647</v>
      </c>
      <c r="B44178">
        <f>HYPERLINK("https://android.googlesource.com/platform/cts/+/a17420bd2bf72cbe35f95e190432bad039482cce", "a17420bd2bf72cbe35f95e190432bad039482cce")</f>
        <v>0</v>
      </c>
      <c r="C44178">
        <f>HYPERLINK("https://android.googlesource.com/platform/cts/+/e2fce9947573bd82c5486779c6fdaac5bfd41694", "e2fce9947573bd82c5486779c6fdaac5bfd41694")</f>
        <v>0</v>
      </c>
      <c r="D44178" t="s">
        <v>5290</v>
      </c>
      <c r="E44178" t="s">
        <v>9341</v>
      </c>
      <c r="F44178" t="s">
        <v>13136</v>
      </c>
      <c r="G44178" t="s">
        <v>17293</v>
      </c>
      <c r="H44178" t="s">
        <v>31218</v>
      </c>
    </row>
    <row r="44179" spans="1:8">
      <c r="A44179" t="s">
        <v>3648</v>
      </c>
      <c r="B44179">
        <f>HYPERLINK("https://android.googlesource.com/platform/cts/+/f5f6e029bf704207585d23c4d9cf8ef095422e1b", "f5f6e029bf704207585d23c4d9cf8ef095422e1b")</f>
        <v>0</v>
      </c>
      <c r="C44179">
        <f>HYPERLINK("https://android.googlesource.com/platform/cts/+/2e24a4c03186a289c6ac4b5afc188c1f2e99237f", "2e24a4c03186a289c6ac4b5afc188c1f2e99237f")</f>
        <v>0</v>
      </c>
      <c r="D44179" t="s">
        <v>5595</v>
      </c>
      <c r="E44179" t="s">
        <v>9342</v>
      </c>
      <c r="F44179" t="s">
        <v>14069</v>
      </c>
      <c r="G44179" t="s">
        <v>18067</v>
      </c>
      <c r="H44179" t="s">
        <v>35772</v>
      </c>
    </row>
    <row r="44180" spans="1:8">
      <c r="A44180" t="s">
        <v>3649</v>
      </c>
      <c r="B44180">
        <f>HYPERLINK("https://android.googlesource.com/platform/cts/+/cc667a6e7c04a873fe9e93d2e7736f2dab9c5f51", "cc667a6e7c04a873fe9e93d2e7736f2dab9c5f51")</f>
        <v>0</v>
      </c>
      <c r="C44180">
        <f>HYPERLINK("https://android.googlesource.com/platform/cts/+/85a53b87aa9787f81e33a8d37ee973e259cd788e", "85a53b87aa9787f81e33a8d37ee973e259cd788e")</f>
        <v>0</v>
      </c>
      <c r="D44180" t="s">
        <v>5122</v>
      </c>
      <c r="E44180" t="s">
        <v>9343</v>
      </c>
      <c r="F44180" t="s">
        <v>14399</v>
      </c>
      <c r="G44180" t="s">
        <v>18042</v>
      </c>
      <c r="H44180" t="s">
        <v>35810</v>
      </c>
    </row>
    <row r="44181" spans="1:8">
      <c r="A44181" t="s">
        <v>3650</v>
      </c>
      <c r="B44181">
        <f>HYPERLINK("https://android.googlesource.com/platform/cts/+/700041392600676be14d21f1f8d6211795cf7ea2", "700041392600676be14d21f1f8d6211795cf7ea2")</f>
        <v>0</v>
      </c>
      <c r="C44181">
        <f>HYPERLINK("https://android.googlesource.com/platform/cts/+/1eeed57bd9d9716017397afd6cd690d41ca34d0a", "1eeed57bd9d9716017397afd6cd690d41ca34d0a")</f>
        <v>0</v>
      </c>
      <c r="D44181" t="s">
        <v>5601</v>
      </c>
      <c r="E44181" t="s">
        <v>9344</v>
      </c>
      <c r="F44181" t="s">
        <v>14400</v>
      </c>
      <c r="G44181" t="s">
        <v>18338</v>
      </c>
      <c r="H44181" t="s">
        <v>35811</v>
      </c>
    </row>
    <row r="44182" spans="1:8">
      <c r="A44182" t="s">
        <v>3651</v>
      </c>
      <c r="B44182">
        <f>HYPERLINK("https://android.googlesource.com/platform/cts/+/7c70195b2ff4cb36e4d5225eb923efc8c4f54383", "7c70195b2ff4cb36e4d5225eb923efc8c4f54383")</f>
        <v>0</v>
      </c>
      <c r="C44182">
        <f>HYPERLINK("https://android.googlesource.com/platform/cts/+/54fbb2308b789c8b75a9d3d7b10e2af12b5f9d09", "54fbb2308b789c8b75a9d3d7b10e2af12b5f9d09")</f>
        <v>0</v>
      </c>
      <c r="D44182" t="s">
        <v>5556</v>
      </c>
      <c r="E44182" t="s">
        <v>9345</v>
      </c>
      <c r="F44182" t="s">
        <v>14401</v>
      </c>
      <c r="G44182" t="s">
        <v>18339</v>
      </c>
      <c r="H44182" t="s">
        <v>18863</v>
      </c>
    </row>
    <row r="44183" spans="1:8">
      <c r="A44183" t="s">
        <v>3652</v>
      </c>
      <c r="B44183">
        <f>HYPERLINK("https://android.googlesource.com/platform/cts/+/4d223872913e38165da51f7c571696bdd5de79d3", "4d223872913e38165da51f7c571696bdd5de79d3")</f>
        <v>0</v>
      </c>
      <c r="C44183">
        <f>HYPERLINK("https://android.googlesource.com/platform/cts/+/08667c38ea97129cecec6c29a5e06f9555cfda72", "08667c38ea97129cecec6c29a5e06f9555cfda72")</f>
        <v>0</v>
      </c>
      <c r="D44183" t="s">
        <v>5562</v>
      </c>
      <c r="E44183" t="s">
        <v>9346</v>
      </c>
      <c r="F44183" t="s">
        <v>14402</v>
      </c>
      <c r="G44183" t="s">
        <v>18340</v>
      </c>
      <c r="H44183" t="s">
        <v>35812</v>
      </c>
    </row>
    <row r="44184" spans="1:8">
      <c r="A44184" t="s">
        <v>3653</v>
      </c>
      <c r="B44184">
        <f>HYPERLINK("https://android.googlesource.com/platform/cts/+/96b2c8b149bd7844f6aecc38062ffc84532ffc98", "96b2c8b149bd7844f6aecc38062ffc84532ffc98")</f>
        <v>0</v>
      </c>
      <c r="C44184">
        <f>HYPERLINK("https://android.googlesource.com/platform/cts/+/9bb281447a206f2744b7a5013ff2923b08879dd3", "9bb281447a206f2744b7a5013ff2923b08879dd3")</f>
        <v>0</v>
      </c>
      <c r="D44184" t="s">
        <v>5602</v>
      </c>
      <c r="E44184" t="s">
        <v>9347</v>
      </c>
      <c r="F44184" t="s">
        <v>12659</v>
      </c>
      <c r="G44184" t="s">
        <v>16864</v>
      </c>
      <c r="H44184" t="s">
        <v>26118</v>
      </c>
    </row>
    <row r="44185" spans="1:8">
      <c r="F44185" t="s">
        <v>12646</v>
      </c>
      <c r="G44185" t="s">
        <v>14989</v>
      </c>
      <c r="H44185" t="s">
        <v>26118</v>
      </c>
    </row>
    <row r="44186" spans="1:8">
      <c r="A44186" t="s">
        <v>3654</v>
      </c>
      <c r="B44186">
        <f>HYPERLINK("https://android.googlesource.com/platform/cts/+/05a3a55c88a6d7fa6f5ba201642ce35c9ccef964", "05a3a55c88a6d7fa6f5ba201642ce35c9ccef964")</f>
        <v>0</v>
      </c>
      <c r="C44186">
        <f>HYPERLINK("https://android.googlesource.com/platform/cts/+/dad3b9fde12c63d178280bf371cec2c023f8bcde", "dad3b9fde12c63d178280bf371cec2c023f8bcde")</f>
        <v>0</v>
      </c>
      <c r="D44186" t="s">
        <v>5277</v>
      </c>
      <c r="E44186" t="s">
        <v>9348</v>
      </c>
      <c r="F44186" t="s">
        <v>14300</v>
      </c>
      <c r="G44186" t="s">
        <v>18259</v>
      </c>
      <c r="H44186" t="s">
        <v>35813</v>
      </c>
    </row>
    <row r="44187" spans="1:8">
      <c r="H44187" t="s">
        <v>35814</v>
      </c>
    </row>
    <row r="44188" spans="1:8">
      <c r="A44188" t="s">
        <v>3655</v>
      </c>
      <c r="B44188">
        <f>HYPERLINK("https://android.googlesource.com/platform/cts/+/deb679b8f6c25eccf0ffcdcf19906cb108e526b0", "deb679b8f6c25eccf0ffcdcf19906cb108e526b0")</f>
        <v>0</v>
      </c>
      <c r="C44188">
        <f>HYPERLINK("https://android.googlesource.com/platform/cts/+/1ad342522f300c79503fe6c5e9f7be5e6e8a6ce8", "1ad342522f300c79503fe6c5e9f7be5e6e8a6ce8")</f>
        <v>0</v>
      </c>
      <c r="D44188" t="s">
        <v>5476</v>
      </c>
      <c r="E44188" t="s">
        <v>9349</v>
      </c>
      <c r="F44188" t="s">
        <v>14403</v>
      </c>
      <c r="G44188" t="s">
        <v>18341</v>
      </c>
      <c r="H44188" t="s">
        <v>35815</v>
      </c>
    </row>
    <row r="44189" spans="1:8">
      <c r="A44189" t="s">
        <v>3656</v>
      </c>
      <c r="B44189">
        <f>HYPERLINK("https://android.googlesource.com/platform/cts/+/66105c386ba0503ef3b6d6ef24b2e5420382d62d", "66105c386ba0503ef3b6d6ef24b2e5420382d62d")</f>
        <v>0</v>
      </c>
      <c r="C44189">
        <f>HYPERLINK("https://android.googlesource.com/platform/cts/+/bd4d419ab7ee040a7127faffb889d626a642c96c", "bd4d419ab7ee040a7127faffb889d626a642c96c")</f>
        <v>0</v>
      </c>
      <c r="D44189" t="s">
        <v>5172</v>
      </c>
      <c r="E44189" t="s">
        <v>9350</v>
      </c>
      <c r="F44189" t="s">
        <v>14404</v>
      </c>
      <c r="G44189" t="s">
        <v>18342</v>
      </c>
      <c r="H44189" t="s">
        <v>35816</v>
      </c>
    </row>
    <row r="44190" spans="1:8">
      <c r="A44190" t="s">
        <v>3657</v>
      </c>
      <c r="B44190">
        <f>HYPERLINK("https://android.googlesource.com/platform/cts/+/840728b25e4b5151a740d3ea022b9b5f5b974f29", "840728b25e4b5151a740d3ea022b9b5f5b974f29")</f>
        <v>0</v>
      </c>
      <c r="C44190">
        <f>HYPERLINK("https://android.googlesource.com/platform/cts/+/659cd92d3e2f52db91937af8bcec11f6256d21fb", "659cd92d3e2f52db91937af8bcec11f6256d21fb")</f>
        <v>0</v>
      </c>
      <c r="D44190" t="s">
        <v>5341</v>
      </c>
      <c r="E44190" t="s">
        <v>9351</v>
      </c>
      <c r="F44190" t="s">
        <v>13827</v>
      </c>
      <c r="G44190" t="s">
        <v>17871</v>
      </c>
      <c r="H44190" t="s">
        <v>35817</v>
      </c>
    </row>
    <row r="44191" spans="1:8">
      <c r="A44191" t="s">
        <v>3658</v>
      </c>
      <c r="B44191">
        <f>HYPERLINK("https://android.googlesource.com/platform/cts/+/7c6d5e5f21c3863f5b68715d297bee8d031edba0", "7c6d5e5f21c3863f5b68715d297bee8d031edba0")</f>
        <v>0</v>
      </c>
      <c r="C44191">
        <f>HYPERLINK("https://android.googlesource.com/platform/cts/+/45a4f985e46c5dfc7934b3d64a11ed0c31811b02", "45a4f985e46c5dfc7934b3d64a11ed0c31811b02")</f>
        <v>0</v>
      </c>
      <c r="D44191" t="s">
        <v>5134</v>
      </c>
      <c r="E44191" t="s">
        <v>9352</v>
      </c>
      <c r="F44191" t="s">
        <v>12428</v>
      </c>
      <c r="G44191" t="s">
        <v>16619</v>
      </c>
      <c r="H44191" t="s">
        <v>35818</v>
      </c>
    </row>
    <row r="44192" spans="1:8">
      <c r="F44192" t="s">
        <v>12629</v>
      </c>
      <c r="G44192" t="s">
        <v>16838</v>
      </c>
      <c r="H44192" t="s">
        <v>18829</v>
      </c>
    </row>
    <row r="44193" spans="1:8">
      <c r="H44193" t="s">
        <v>18863</v>
      </c>
    </row>
    <row r="44194" spans="1:8">
      <c r="H44194" t="s">
        <v>35819</v>
      </c>
    </row>
    <row r="44195" spans="1:8">
      <c r="F44195" t="s">
        <v>12746</v>
      </c>
      <c r="G44195" t="s">
        <v>16938</v>
      </c>
      <c r="H44195" t="s">
        <v>35820</v>
      </c>
    </row>
    <row r="44196" spans="1:8">
      <c r="A44196" t="s">
        <v>3659</v>
      </c>
      <c r="B44196">
        <f>HYPERLINK("https://android.googlesource.com/platform/cts/+/b9eadef62357268cb6ccbba6ddd50a7f461c0633", "b9eadef62357268cb6ccbba6ddd50a7f461c0633")</f>
        <v>0</v>
      </c>
      <c r="C44196">
        <f>HYPERLINK("https://android.googlesource.com/platform/cts/+/7c6d5e5f21c3863f5b68715d297bee8d031edba0", "7c6d5e5f21c3863f5b68715d297bee8d031edba0")</f>
        <v>0</v>
      </c>
      <c r="D44196" t="s">
        <v>5134</v>
      </c>
      <c r="E44196" t="s">
        <v>9353</v>
      </c>
      <c r="F44196" t="s">
        <v>14405</v>
      </c>
      <c r="G44196" t="s">
        <v>18343</v>
      </c>
      <c r="H44196" t="s">
        <v>18829</v>
      </c>
    </row>
    <row r="44197" spans="1:8">
      <c r="F44197" t="s">
        <v>12428</v>
      </c>
      <c r="G44197" t="s">
        <v>16619</v>
      </c>
      <c r="H44197" t="s">
        <v>35821</v>
      </c>
    </row>
    <row r="44198" spans="1:8">
      <c r="H44198" t="s">
        <v>33169</v>
      </c>
    </row>
    <row r="44199" spans="1:8">
      <c r="F44199" t="s">
        <v>14406</v>
      </c>
      <c r="G44199" t="s">
        <v>18344</v>
      </c>
      <c r="H44199" t="s">
        <v>35822</v>
      </c>
    </row>
    <row r="44200" spans="1:8">
      <c r="F44200" t="s">
        <v>14407</v>
      </c>
      <c r="G44200" t="s">
        <v>18345</v>
      </c>
      <c r="H44200" t="s">
        <v>18863</v>
      </c>
    </row>
    <row r="44201" spans="1:8">
      <c r="H44201" t="s">
        <v>35822</v>
      </c>
    </row>
    <row r="44202" spans="1:8">
      <c r="F44202" t="s">
        <v>12419</v>
      </c>
      <c r="G44202" t="s">
        <v>16641</v>
      </c>
      <c r="H44202" t="s">
        <v>35823</v>
      </c>
    </row>
    <row r="44203" spans="1:8">
      <c r="A44203" t="s">
        <v>3660</v>
      </c>
      <c r="B44203">
        <f>HYPERLINK("https://android.googlesource.com/platform/cts/+/1ca518c1ec75b8307126991ae2d253911b2be10c", "1ca518c1ec75b8307126991ae2d253911b2be10c")</f>
        <v>0</v>
      </c>
      <c r="C44203">
        <f>HYPERLINK("https://android.googlesource.com/platform/cts/+/be11279225d8e713d04a92fbb67f5ee6a579e8ae", "be11279225d8e713d04a92fbb67f5ee6a579e8ae")</f>
        <v>0</v>
      </c>
      <c r="D44203" t="s">
        <v>5153</v>
      </c>
      <c r="E44203" t="s">
        <v>9354</v>
      </c>
      <c r="F44203" t="s">
        <v>14408</v>
      </c>
      <c r="G44203" t="s">
        <v>18346</v>
      </c>
      <c r="H44203" t="s">
        <v>18829</v>
      </c>
    </row>
    <row r="44204" spans="1:8">
      <c r="H44204" t="s">
        <v>18863</v>
      </c>
    </row>
    <row r="44205" spans="1:8">
      <c r="H44205" t="s">
        <v>35824</v>
      </c>
    </row>
    <row r="44206" spans="1:8">
      <c r="H44206" t="s">
        <v>35825</v>
      </c>
    </row>
    <row r="44207" spans="1:8">
      <c r="H44207" t="s">
        <v>35826</v>
      </c>
    </row>
    <row r="44208" spans="1:8">
      <c r="H44208" t="s">
        <v>35827</v>
      </c>
    </row>
    <row r="44209" spans="1:8">
      <c r="H44209" t="s">
        <v>35828</v>
      </c>
    </row>
    <row r="44210" spans="1:8">
      <c r="H44210" t="s">
        <v>35829</v>
      </c>
    </row>
    <row r="44211" spans="1:8">
      <c r="F44211" t="s">
        <v>14409</v>
      </c>
      <c r="G44211" t="s">
        <v>18347</v>
      </c>
      <c r="H44211" t="s">
        <v>35824</v>
      </c>
    </row>
    <row r="44212" spans="1:8">
      <c r="H44212" t="s">
        <v>35825</v>
      </c>
    </row>
    <row r="44213" spans="1:8">
      <c r="H44213" t="s">
        <v>35826</v>
      </c>
    </row>
    <row r="44214" spans="1:8">
      <c r="H44214" t="s">
        <v>35830</v>
      </c>
    </row>
    <row r="44215" spans="1:8">
      <c r="H44215" t="s">
        <v>35827</v>
      </c>
    </row>
    <row r="44216" spans="1:8">
      <c r="H44216" t="s">
        <v>35828</v>
      </c>
    </row>
    <row r="44217" spans="1:8">
      <c r="H44217" t="s">
        <v>35829</v>
      </c>
    </row>
    <row r="44218" spans="1:8">
      <c r="A44218" t="s">
        <v>3661</v>
      </c>
      <c r="B44218">
        <f>HYPERLINK("https://android.googlesource.com/platform/cts/+/97bbf7b6d74aff307295c8c123d9d2ba680855aa", "97bbf7b6d74aff307295c8c123d9d2ba680855aa")</f>
        <v>0</v>
      </c>
      <c r="C44218">
        <f>HYPERLINK("https://android.googlesource.com/platform/cts/+/d0d06d44858609655636674d7521b63a5e8b4d29", "d0d06d44858609655636674d7521b63a5e8b4d29")</f>
        <v>0</v>
      </c>
      <c r="D44218" t="s">
        <v>5134</v>
      </c>
      <c r="E44218" t="s">
        <v>9355</v>
      </c>
      <c r="F44218" t="s">
        <v>12428</v>
      </c>
      <c r="G44218" t="s">
        <v>16619</v>
      </c>
      <c r="H44218" t="s">
        <v>35822</v>
      </c>
    </row>
    <row r="44219" spans="1:8">
      <c r="H44219" t="s">
        <v>35831</v>
      </c>
    </row>
    <row r="44220" spans="1:8">
      <c r="H44220" t="s">
        <v>35832</v>
      </c>
    </row>
    <row r="44221" spans="1:8">
      <c r="H44221" t="s">
        <v>35833</v>
      </c>
    </row>
    <row r="44222" spans="1:8">
      <c r="F44222" t="s">
        <v>14410</v>
      </c>
      <c r="G44222" t="s">
        <v>18348</v>
      </c>
      <c r="H44222" t="s">
        <v>18829</v>
      </c>
    </row>
    <row r="44223" spans="1:8">
      <c r="F44223" t="s">
        <v>12746</v>
      </c>
      <c r="G44223" t="s">
        <v>16938</v>
      </c>
      <c r="H44223" t="s">
        <v>18829</v>
      </c>
    </row>
    <row r="44224" spans="1:8">
      <c r="A44224" t="s">
        <v>3662</v>
      </c>
      <c r="B44224">
        <f>HYPERLINK("https://android.googlesource.com/platform/cts/+/f76892d82777a2714d30066022d7481351f6de8b", "f76892d82777a2714d30066022d7481351f6de8b")</f>
        <v>0</v>
      </c>
      <c r="C44224">
        <f>HYPERLINK("https://android.googlesource.com/platform/cts/+/20f34d628023729870e6240d803b96e63b1a8770", "20f34d628023729870e6240d803b96e63b1a8770")</f>
        <v>0</v>
      </c>
      <c r="D44224" t="s">
        <v>5275</v>
      </c>
      <c r="E44224" t="s">
        <v>9356</v>
      </c>
      <c r="F44224" t="s">
        <v>14408</v>
      </c>
      <c r="G44224" t="s">
        <v>18346</v>
      </c>
      <c r="H44224" t="s">
        <v>18829</v>
      </c>
    </row>
    <row r="44225" spans="1:8">
      <c r="H44225" t="s">
        <v>18863</v>
      </c>
    </row>
    <row r="44226" spans="1:8">
      <c r="H44226" t="s">
        <v>35824</v>
      </c>
    </row>
    <row r="44227" spans="1:8">
      <c r="H44227" t="s">
        <v>35825</v>
      </c>
    </row>
    <row r="44228" spans="1:8">
      <c r="H44228" t="s">
        <v>35826</v>
      </c>
    </row>
    <row r="44229" spans="1:8">
      <c r="H44229" t="s">
        <v>35827</v>
      </c>
    </row>
    <row r="44230" spans="1:8">
      <c r="H44230" t="s">
        <v>35828</v>
      </c>
    </row>
    <row r="44231" spans="1:8">
      <c r="H44231" t="s">
        <v>35829</v>
      </c>
    </row>
    <row r="44232" spans="1:8">
      <c r="F44232" t="s">
        <v>14409</v>
      </c>
      <c r="G44232" t="s">
        <v>18347</v>
      </c>
      <c r="H44232" t="s">
        <v>35824</v>
      </c>
    </row>
    <row r="44233" spans="1:8">
      <c r="H44233" t="s">
        <v>35825</v>
      </c>
    </row>
    <row r="44234" spans="1:8">
      <c r="H44234" t="s">
        <v>35826</v>
      </c>
    </row>
    <row r="44235" spans="1:8">
      <c r="H44235" t="s">
        <v>35830</v>
      </c>
    </row>
    <row r="44236" spans="1:8">
      <c r="H44236" t="s">
        <v>35827</v>
      </c>
    </row>
    <row r="44237" spans="1:8">
      <c r="H44237" t="s">
        <v>35828</v>
      </c>
    </row>
    <row r="44238" spans="1:8">
      <c r="H44238" t="s">
        <v>35829</v>
      </c>
    </row>
    <row r="44239" spans="1:8">
      <c r="A44239" t="s">
        <v>3663</v>
      </c>
      <c r="B44239">
        <f>HYPERLINK("https://android.googlesource.com/platform/cts/+/c752d30b1b5ce680986f79ee5e3da80875bd0aaa", "c752d30b1b5ce680986f79ee5e3da80875bd0aaa")</f>
        <v>0</v>
      </c>
      <c r="C44239">
        <f>HYPERLINK("https://android.googlesource.com/platform/cts/+/7a4c4215fdc12ce3ee551dcc7c1d6356832aa8d2", "7a4c4215fdc12ce3ee551dcc7c1d6356832aa8d2")</f>
        <v>0</v>
      </c>
      <c r="D44239" t="s">
        <v>5454</v>
      </c>
      <c r="E44239" t="s">
        <v>9357</v>
      </c>
      <c r="F44239" t="s">
        <v>14261</v>
      </c>
      <c r="G44239" t="s">
        <v>18228</v>
      </c>
      <c r="H44239" t="s">
        <v>35834</v>
      </c>
    </row>
    <row r="44240" spans="1:8">
      <c r="A44240" t="s">
        <v>3664</v>
      </c>
      <c r="B44240">
        <f>HYPERLINK("https://android.googlesource.com/platform/cts/+/0771bbacb4333a6ffab8945864f81cc843edd75f", "0771bbacb4333a6ffab8945864f81cc843edd75f")</f>
        <v>0</v>
      </c>
      <c r="C44240">
        <f>HYPERLINK("https://android.googlesource.com/platform/cts/+/900c61ee2a2070e004a127a2284c4b9b9140db5a", "900c61ee2a2070e004a127a2284c4b9b9140db5a")</f>
        <v>0</v>
      </c>
      <c r="D44240" t="s">
        <v>5589</v>
      </c>
      <c r="E44240" t="s">
        <v>9358</v>
      </c>
      <c r="F44240" t="s">
        <v>14411</v>
      </c>
      <c r="G44240" t="s">
        <v>18349</v>
      </c>
      <c r="H44240" t="s">
        <v>35835</v>
      </c>
    </row>
    <row r="44241" spans="1:8">
      <c r="F44241" t="s">
        <v>14412</v>
      </c>
      <c r="G44241" t="s">
        <v>18350</v>
      </c>
      <c r="H44241" t="s">
        <v>35835</v>
      </c>
    </row>
    <row r="44242" spans="1:8">
      <c r="A44242" t="s">
        <v>3665</v>
      </c>
      <c r="B44242">
        <f>HYPERLINK("https://android.googlesource.com/platform/cts/+/e1bf609082de503d000d8deb6275677546b0d2f9", "e1bf609082de503d000d8deb6275677546b0d2f9")</f>
        <v>0</v>
      </c>
      <c r="C44242">
        <f>HYPERLINK("https://android.googlesource.com/platform/cts/+/ff4749840999f59b24a3729f45d03f34f636d808", "ff4749840999f59b24a3729f45d03f34f636d808")</f>
        <v>0</v>
      </c>
      <c r="D44242" t="s">
        <v>5134</v>
      </c>
      <c r="E44242" t="s">
        <v>9359</v>
      </c>
      <c r="F44242" t="s">
        <v>12428</v>
      </c>
      <c r="G44242" t="s">
        <v>16619</v>
      </c>
      <c r="H44242" t="s">
        <v>35822</v>
      </c>
    </row>
    <row r="44243" spans="1:8">
      <c r="H44243" t="s">
        <v>35831</v>
      </c>
    </row>
    <row r="44244" spans="1:8">
      <c r="H44244" t="s">
        <v>35832</v>
      </c>
    </row>
    <row r="44245" spans="1:8">
      <c r="H44245" t="s">
        <v>35833</v>
      </c>
    </row>
    <row r="44246" spans="1:8">
      <c r="F44246" t="s">
        <v>14410</v>
      </c>
      <c r="G44246" t="s">
        <v>18348</v>
      </c>
      <c r="H44246" t="s">
        <v>18829</v>
      </c>
    </row>
    <row r="44247" spans="1:8">
      <c r="F44247" t="s">
        <v>12746</v>
      </c>
      <c r="G44247" t="s">
        <v>16938</v>
      </c>
      <c r="H44247" t="s">
        <v>18829</v>
      </c>
    </row>
    <row r="44248" spans="1:8">
      <c r="A44248" t="s">
        <v>3666</v>
      </c>
      <c r="B44248">
        <f>HYPERLINK("https://android.googlesource.com/platform/cts/+/00a2a679bb6c1bb425295ee68f88cfa74e664cba", "00a2a679bb6c1bb425295ee68f88cfa74e664cba")</f>
        <v>0</v>
      </c>
      <c r="C44248">
        <f>HYPERLINK("https://android.googlesource.com/platform/cts/+/e9d1e5ec15a4498e236d8ed555bf2a58c0b94e96", "e9d1e5ec15a4498e236d8ed555bf2a58c0b94e96")</f>
        <v>0</v>
      </c>
      <c r="D44248" t="s">
        <v>5467</v>
      </c>
      <c r="E44248" t="s">
        <v>9360</v>
      </c>
      <c r="F44248" t="s">
        <v>14413</v>
      </c>
      <c r="G44248" t="s">
        <v>18351</v>
      </c>
      <c r="H44248" t="s">
        <v>35836</v>
      </c>
    </row>
    <row r="44249" spans="1:8">
      <c r="A44249" t="s">
        <v>3667</v>
      </c>
      <c r="B44249">
        <f>HYPERLINK("https://android.googlesource.com/platform/cts/+/f08e6810e0fdf23d9789ad1487a3e1c3c4e21b89", "f08e6810e0fdf23d9789ad1487a3e1c3c4e21b89")</f>
        <v>0</v>
      </c>
      <c r="C44249">
        <f>HYPERLINK("https://android.googlesource.com/platform/cts/+/c7dbadf96d7e16180b7275146c9ad86e2700fd47", "c7dbadf96d7e16180b7275146c9ad86e2700fd47")</f>
        <v>0</v>
      </c>
      <c r="D44249" t="s">
        <v>5569</v>
      </c>
      <c r="E44249" t="s">
        <v>9361</v>
      </c>
      <c r="F44249" t="s">
        <v>14414</v>
      </c>
      <c r="G44249" t="s">
        <v>18352</v>
      </c>
      <c r="H44249" t="s">
        <v>35837</v>
      </c>
    </row>
    <row r="44250" spans="1:8">
      <c r="H44250" t="s">
        <v>18896</v>
      </c>
    </row>
    <row r="44251" spans="1:8">
      <c r="A44251" t="s">
        <v>3668</v>
      </c>
      <c r="B44251">
        <f>HYPERLINK("https://android.googlesource.com/platform/cts/+/fa59f3619cb53ca6dc028257425bf9fd732b80c5", "fa59f3619cb53ca6dc028257425bf9fd732b80c5")</f>
        <v>0</v>
      </c>
      <c r="C44251">
        <f>HYPERLINK("https://android.googlesource.com/platform/cts/+/fa136b4e17b354e7a5467c86ccdaeb91b9692b5b", "fa136b4e17b354e7a5467c86ccdaeb91b9692b5b")</f>
        <v>0</v>
      </c>
      <c r="D44251" t="s">
        <v>5603</v>
      </c>
      <c r="E44251" t="s">
        <v>9362</v>
      </c>
      <c r="F44251" t="s">
        <v>13812</v>
      </c>
      <c r="G44251" t="s">
        <v>17859</v>
      </c>
      <c r="H44251" t="s">
        <v>35838</v>
      </c>
    </row>
    <row r="44252" spans="1:8">
      <c r="A44252" t="s">
        <v>3669</v>
      </c>
      <c r="B44252">
        <f>HYPERLINK("https://android.googlesource.com/platform/cts/+/b7c7dec1a12abe25eee95d1573bc4090aee1fed7", "b7c7dec1a12abe25eee95d1573bc4090aee1fed7")</f>
        <v>0</v>
      </c>
      <c r="C44252">
        <f>HYPERLINK("https://android.googlesource.com/platform/cts/+/916fe17a496024a78d5b63d0b964e3378a463f26", "916fe17a496024a78d5b63d0b964e3378a463f26")</f>
        <v>0</v>
      </c>
      <c r="D44252" t="s">
        <v>5601</v>
      </c>
      <c r="E44252" t="s">
        <v>9363</v>
      </c>
      <c r="F44252" t="s">
        <v>14400</v>
      </c>
      <c r="G44252" t="s">
        <v>18338</v>
      </c>
      <c r="H44252" t="s">
        <v>35811</v>
      </c>
    </row>
    <row r="44253" spans="1:8">
      <c r="A44253" t="s">
        <v>3670</v>
      </c>
      <c r="B44253">
        <f>HYPERLINK("https://android.googlesource.com/platform/cts/+/e61862fbf2ee482f7c6bf12c796e242f7292a544", "e61862fbf2ee482f7c6bf12c796e242f7292a544")</f>
        <v>0</v>
      </c>
      <c r="C44253">
        <f>HYPERLINK("https://android.googlesource.com/platform/cts/+/80add1aab6c2040bf283aa30d723bef3b90e7b17", "80add1aab6c2040bf283aa30d723bef3b90e7b17")</f>
        <v>0</v>
      </c>
      <c r="D44253" t="s">
        <v>5409</v>
      </c>
      <c r="E44253" t="s">
        <v>9364</v>
      </c>
      <c r="F44253" t="s">
        <v>14415</v>
      </c>
      <c r="G44253" t="s">
        <v>18353</v>
      </c>
      <c r="H44253" t="s">
        <v>35839</v>
      </c>
    </row>
    <row r="44254" spans="1:8">
      <c r="H44254" t="s">
        <v>35840</v>
      </c>
    </row>
    <row r="44255" spans="1:8">
      <c r="A44255" t="s">
        <v>3671</v>
      </c>
      <c r="B44255">
        <f>HYPERLINK("https://android.googlesource.com/platform/cts/+/b11ebfe78026accc1c92608cd2d3a28adb164654", "b11ebfe78026accc1c92608cd2d3a28adb164654")</f>
        <v>0</v>
      </c>
      <c r="C44255">
        <f>HYPERLINK("https://android.googlesource.com/platform/cts/+/63ce6e9ce701a1e7df3f43e2627bb624a437bd99", "63ce6e9ce701a1e7df3f43e2627bb624a437bd99")</f>
        <v>0</v>
      </c>
      <c r="D44255" t="s">
        <v>5478</v>
      </c>
      <c r="E44255" t="s">
        <v>9365</v>
      </c>
      <c r="F44255" t="s">
        <v>14353</v>
      </c>
      <c r="G44255" t="s">
        <v>18303</v>
      </c>
      <c r="H44255" t="s">
        <v>35841</v>
      </c>
    </row>
    <row r="44256" spans="1:8">
      <c r="H44256" t="s">
        <v>35842</v>
      </c>
    </row>
    <row r="44257" spans="1:8">
      <c r="H44257" t="s">
        <v>35843</v>
      </c>
    </row>
    <row r="44258" spans="1:8">
      <c r="F44258" t="s">
        <v>14354</v>
      </c>
      <c r="G44258" t="s">
        <v>18304</v>
      </c>
      <c r="H44258" t="s">
        <v>35842</v>
      </c>
    </row>
    <row r="44259" spans="1:8">
      <c r="H44259" t="s">
        <v>35844</v>
      </c>
    </row>
    <row r="44260" spans="1:8">
      <c r="H44260" t="s">
        <v>35845</v>
      </c>
    </row>
    <row r="44261" spans="1:8">
      <c r="H44261" t="s">
        <v>35843</v>
      </c>
    </row>
    <row r="44262" spans="1:8">
      <c r="A44262" t="s">
        <v>3672</v>
      </c>
      <c r="B44262">
        <f>HYPERLINK("https://android.googlesource.com/platform/cts/+/7a6ca152350aeec9089d44c1caa1296116f81df9", "7a6ca152350aeec9089d44c1caa1296116f81df9")</f>
        <v>0</v>
      </c>
      <c r="C44262">
        <f>HYPERLINK("https://android.googlesource.com/platform/cts/+/9183dd5673a6904d4f5fcb1792176799053f37d1", "9183dd5673a6904d4f5fcb1792176799053f37d1")</f>
        <v>0</v>
      </c>
      <c r="D44262" t="s">
        <v>5134</v>
      </c>
      <c r="E44262" t="s">
        <v>9366</v>
      </c>
      <c r="F44262" t="s">
        <v>14416</v>
      </c>
      <c r="G44262" t="s">
        <v>18354</v>
      </c>
      <c r="H44262" t="s">
        <v>35846</v>
      </c>
    </row>
    <row r="44263" spans="1:8">
      <c r="A44263" t="s">
        <v>3673</v>
      </c>
      <c r="B44263">
        <f>HYPERLINK("https://android.googlesource.com/platform/cts/+/1682aedd2fb21c28f1b6a1fb1b78d0627e6c5214", "1682aedd2fb21c28f1b6a1fb1b78d0627e6c5214")</f>
        <v>0</v>
      </c>
      <c r="C44263">
        <f>HYPERLINK("https://android.googlesource.com/platform/cts/+/b9a20510542359c8f2c1228b931742f0e51ecf6e", "b9a20510542359c8f2c1228b931742f0e51ecf6e")</f>
        <v>0</v>
      </c>
      <c r="D44263" t="s">
        <v>5604</v>
      </c>
      <c r="E44263" t="s">
        <v>9367</v>
      </c>
      <c r="F44263" t="s">
        <v>12931</v>
      </c>
      <c r="G44263" t="s">
        <v>17096</v>
      </c>
      <c r="H44263" t="s">
        <v>35847</v>
      </c>
    </row>
    <row r="44264" spans="1:8">
      <c r="H44264" t="s">
        <v>35848</v>
      </c>
    </row>
    <row r="44265" spans="1:8">
      <c r="A44265" t="s">
        <v>3674</v>
      </c>
      <c r="B44265">
        <f>HYPERLINK("https://android.googlesource.com/platform/cts/+/a09a09c43c186353e42f7abdda8d0c69d06ddf4d", "a09a09c43c186353e42f7abdda8d0c69d06ddf4d")</f>
        <v>0</v>
      </c>
      <c r="C44265">
        <f>HYPERLINK("https://android.googlesource.com/platform/cts/+/2ede7d8bdff53b35e95aafaab228bc7ab881a8bd", "2ede7d8bdff53b35e95aafaab228bc7ab881a8bd")</f>
        <v>0</v>
      </c>
      <c r="D44265" t="s">
        <v>5478</v>
      </c>
      <c r="E44265" t="s">
        <v>9368</v>
      </c>
      <c r="F44265" t="s">
        <v>14353</v>
      </c>
      <c r="G44265" t="s">
        <v>18303</v>
      </c>
      <c r="H44265" t="s">
        <v>35841</v>
      </c>
    </row>
    <row r="44266" spans="1:8">
      <c r="H44266" t="s">
        <v>35842</v>
      </c>
    </row>
    <row r="44267" spans="1:8">
      <c r="H44267" t="s">
        <v>35843</v>
      </c>
    </row>
    <row r="44268" spans="1:8">
      <c r="F44268" t="s">
        <v>14354</v>
      </c>
      <c r="G44268" t="s">
        <v>18304</v>
      </c>
      <c r="H44268" t="s">
        <v>35842</v>
      </c>
    </row>
    <row r="44269" spans="1:8">
      <c r="H44269" t="s">
        <v>35844</v>
      </c>
    </row>
    <row r="44270" spans="1:8">
      <c r="H44270" t="s">
        <v>35845</v>
      </c>
    </row>
    <row r="44271" spans="1:8">
      <c r="H44271" t="s">
        <v>35843</v>
      </c>
    </row>
    <row r="44272" spans="1:8">
      <c r="A44272" t="s">
        <v>3675</v>
      </c>
      <c r="B44272">
        <f>HYPERLINK("https://android.googlesource.com/platform/cts/+/c2886fc1d3671d85100e32fca5a1f4231d379ccd", "c2886fc1d3671d85100e32fca5a1f4231d379ccd")</f>
        <v>0</v>
      </c>
      <c r="C44272">
        <f>HYPERLINK("https://android.googlesource.com/platform/cts/+/155348000b00841b52453b3bd4b072385b578053", "155348000b00841b52453b3bd4b072385b578053")</f>
        <v>0</v>
      </c>
      <c r="D44272" t="s">
        <v>5478</v>
      </c>
      <c r="E44272" t="s">
        <v>9368</v>
      </c>
      <c r="F44272" t="s">
        <v>14353</v>
      </c>
      <c r="G44272" t="s">
        <v>18303</v>
      </c>
      <c r="H44272" t="s">
        <v>35841</v>
      </c>
    </row>
    <row r="44273" spans="1:8">
      <c r="H44273" t="s">
        <v>35842</v>
      </c>
    </row>
    <row r="44274" spans="1:8">
      <c r="H44274" t="s">
        <v>35843</v>
      </c>
    </row>
    <row r="44275" spans="1:8">
      <c r="F44275" t="s">
        <v>14354</v>
      </c>
      <c r="G44275" t="s">
        <v>18304</v>
      </c>
      <c r="H44275" t="s">
        <v>35842</v>
      </c>
    </row>
    <row r="44276" spans="1:8">
      <c r="H44276" t="s">
        <v>35844</v>
      </c>
    </row>
    <row r="44277" spans="1:8">
      <c r="H44277" t="s">
        <v>35845</v>
      </c>
    </row>
    <row r="44278" spans="1:8">
      <c r="H44278" t="s">
        <v>35843</v>
      </c>
    </row>
    <row r="44279" spans="1:8">
      <c r="A44279" t="s">
        <v>3676</v>
      </c>
      <c r="B44279">
        <f>HYPERLINK("https://android.googlesource.com/platform/cts/+/d581e577fe3d8145daf53fdd83b2e8e603849f70", "d581e577fe3d8145daf53fdd83b2e8e603849f70")</f>
        <v>0</v>
      </c>
      <c r="C44279">
        <f>HYPERLINK("https://android.googlesource.com/platform/cts/+/588107d402d2966ab58bb3695609c2ce7d4b2ab8", "588107d402d2966ab58bb3695609c2ce7d4b2ab8")</f>
        <v>0</v>
      </c>
      <c r="D44279" t="s">
        <v>5122</v>
      </c>
      <c r="E44279" t="s">
        <v>9369</v>
      </c>
      <c r="F44279" t="s">
        <v>14417</v>
      </c>
      <c r="G44279" t="s">
        <v>18355</v>
      </c>
      <c r="H44279" t="s">
        <v>35849</v>
      </c>
    </row>
    <row r="44280" spans="1:8">
      <c r="A44280" t="s">
        <v>3677</v>
      </c>
      <c r="B44280">
        <f>HYPERLINK("https://android.googlesource.com/platform/cts/+/4ebe63904c9e6a93a7daa407502d437a28c0b3ed", "4ebe63904c9e6a93a7daa407502d437a28c0b3ed")</f>
        <v>0</v>
      </c>
      <c r="C44280">
        <f>HYPERLINK("https://android.googlesource.com/platform/cts/+/34009642dfe3e058220d58b58dc63421208db15b", "34009642dfe3e058220d58b58dc63421208db15b")</f>
        <v>0</v>
      </c>
      <c r="D44280" t="s">
        <v>5603</v>
      </c>
      <c r="E44280" t="s">
        <v>9370</v>
      </c>
      <c r="F44280" t="s">
        <v>13812</v>
      </c>
      <c r="G44280" t="s">
        <v>17859</v>
      </c>
      <c r="H44280" t="s">
        <v>35838</v>
      </c>
    </row>
    <row r="44281" spans="1:8">
      <c r="A44281" t="s">
        <v>3678</v>
      </c>
      <c r="B44281">
        <f>HYPERLINK("https://android.googlesource.com/platform/cts/+/caab6840b29fbb8eb58733b0cca2222a5c173419", "caab6840b29fbb8eb58733b0cca2222a5c173419")</f>
        <v>0</v>
      </c>
      <c r="C44281">
        <f>HYPERLINK("https://android.googlesource.com/platform/cts/+/0cf5d9aadb22ee2e77a801efac8fe34a61f92782", "0cf5d9aadb22ee2e77a801efac8fe34a61f92782")</f>
        <v>0</v>
      </c>
      <c r="D44281" t="s">
        <v>5298</v>
      </c>
      <c r="E44281" t="s">
        <v>9371</v>
      </c>
      <c r="F44281" t="s">
        <v>14342</v>
      </c>
      <c r="G44281" t="s">
        <v>18294</v>
      </c>
      <c r="H44281" t="s">
        <v>35850</v>
      </c>
    </row>
    <row r="44282" spans="1:8">
      <c r="A44282" t="s">
        <v>3679</v>
      </c>
      <c r="B44282">
        <f>HYPERLINK("https://android.googlesource.com/platform/cts/+/1c294a3235a9599c66070dd5d5edac445f5c3cfa", "1c294a3235a9599c66070dd5d5edac445f5c3cfa")</f>
        <v>0</v>
      </c>
      <c r="C44282">
        <f>HYPERLINK("https://android.googlesource.com/platform/cts/+/2f2414e92f9a2b3618dca223caff3adea1ab1e7b", "2f2414e92f9a2b3618dca223caff3adea1ab1e7b")</f>
        <v>0</v>
      </c>
      <c r="D44282" t="s">
        <v>5383</v>
      </c>
      <c r="E44282" t="s">
        <v>9372</v>
      </c>
      <c r="F44282" t="s">
        <v>13800</v>
      </c>
      <c r="G44282" t="s">
        <v>17851</v>
      </c>
      <c r="H44282" t="s">
        <v>35851</v>
      </c>
    </row>
    <row r="44283" spans="1:8">
      <c r="A44283" t="s">
        <v>3680</v>
      </c>
      <c r="B44283">
        <f>HYPERLINK("https://android.googlesource.com/platform/cts/+/eee45819a9b305dc49892dfb5d96859fc557d602", "eee45819a9b305dc49892dfb5d96859fc557d602")</f>
        <v>0</v>
      </c>
      <c r="C44283">
        <f>HYPERLINK("https://android.googlesource.com/platform/cts/+/fbe57ebc17d58605766c48dd9e9fe8e02e383665", "fbe57ebc17d58605766c48dd9e9fe8e02e383665")</f>
        <v>0</v>
      </c>
      <c r="D44283" t="s">
        <v>5409</v>
      </c>
      <c r="E44283" t="s">
        <v>9373</v>
      </c>
      <c r="F44283" t="s">
        <v>14415</v>
      </c>
      <c r="G44283" t="s">
        <v>18353</v>
      </c>
      <c r="H44283" t="s">
        <v>35839</v>
      </c>
    </row>
    <row r="44284" spans="1:8">
      <c r="H44284" t="s">
        <v>35840</v>
      </c>
    </row>
    <row r="44285" spans="1:8">
      <c r="A44285" t="s">
        <v>3681</v>
      </c>
      <c r="B44285">
        <f>HYPERLINK("https://android.googlesource.com/platform/cts/+/9c45f4205f7275431f35df51dbf72fee53c5c43f", "9c45f4205f7275431f35df51dbf72fee53c5c43f")</f>
        <v>0</v>
      </c>
      <c r="C44285">
        <f>HYPERLINK("https://android.googlesource.com/platform/cts/+/8954e8567aaa8a7b2fb2ef2d3fe6b0dfdcc1d72b", "8954e8567aaa8a7b2fb2ef2d3fe6b0dfdcc1d72b")</f>
        <v>0</v>
      </c>
      <c r="D44285" t="s">
        <v>5409</v>
      </c>
      <c r="E44285" t="s">
        <v>9374</v>
      </c>
      <c r="F44285" t="s">
        <v>14418</v>
      </c>
      <c r="G44285" t="s">
        <v>18356</v>
      </c>
      <c r="H44285" t="s">
        <v>35852</v>
      </c>
    </row>
    <row r="44286" spans="1:8">
      <c r="H44286" t="s">
        <v>35853</v>
      </c>
    </row>
    <row r="44287" spans="1:8">
      <c r="H44287" t="s">
        <v>35854</v>
      </c>
    </row>
    <row r="44288" spans="1:8">
      <c r="H44288" t="s">
        <v>35855</v>
      </c>
    </row>
    <row r="44289" spans="1:8">
      <c r="F44289" t="s">
        <v>14419</v>
      </c>
      <c r="G44289" t="s">
        <v>18357</v>
      </c>
      <c r="H44289" t="s">
        <v>35856</v>
      </c>
    </row>
    <row r="44290" spans="1:8">
      <c r="H44290" t="s">
        <v>35857</v>
      </c>
    </row>
    <row r="44291" spans="1:8">
      <c r="H44291" t="s">
        <v>35858</v>
      </c>
    </row>
    <row r="44292" spans="1:8">
      <c r="H44292" t="s">
        <v>35859</v>
      </c>
    </row>
    <row r="44293" spans="1:8">
      <c r="H44293" t="s">
        <v>35860</v>
      </c>
    </row>
    <row r="44294" spans="1:8">
      <c r="H44294" t="s">
        <v>35861</v>
      </c>
    </row>
    <row r="44295" spans="1:8">
      <c r="H44295" t="s">
        <v>35862</v>
      </c>
    </row>
    <row r="44296" spans="1:8">
      <c r="A44296" t="s">
        <v>3682</v>
      </c>
      <c r="B44296">
        <f>HYPERLINK("https://android.googlesource.com/platform/cts/+/cf33928a7582908148e181754898d29a344177f0", "cf33928a7582908148e181754898d29a344177f0")</f>
        <v>0</v>
      </c>
      <c r="C44296">
        <f>HYPERLINK("https://android.googlesource.com/platform/cts/+/764aafbc1307c22dc77a60f11d12a6ac1cf148d4", "764aafbc1307c22dc77a60f11d12a6ac1cf148d4")</f>
        <v>0</v>
      </c>
      <c r="D44296" t="s">
        <v>5263</v>
      </c>
      <c r="E44296" t="s">
        <v>9375</v>
      </c>
      <c r="F44296" t="s">
        <v>14420</v>
      </c>
      <c r="G44296" t="s">
        <v>18358</v>
      </c>
      <c r="H44296" t="s">
        <v>35863</v>
      </c>
    </row>
    <row r="44297" spans="1:8">
      <c r="A44297" t="s">
        <v>3683</v>
      </c>
      <c r="B44297">
        <f>HYPERLINK("https://android.googlesource.com/platform/cts/+/24bcccc230dabfbaca82843ad91b887dad0a0a2e", "24bcccc230dabfbaca82843ad91b887dad0a0a2e")</f>
        <v>0</v>
      </c>
      <c r="C44297">
        <f>HYPERLINK("https://android.googlesource.com/platform/cts/+/7b3a54d3e7e54dcea549d309adebf67dc9ac4e7a", "7b3a54d3e7e54dcea549d309adebf67dc9ac4e7a")</f>
        <v>0</v>
      </c>
      <c r="D44297" t="s">
        <v>5605</v>
      </c>
      <c r="E44297" t="s">
        <v>9376</v>
      </c>
      <c r="F44297" t="s">
        <v>14165</v>
      </c>
      <c r="G44297" t="s">
        <v>17361</v>
      </c>
      <c r="H44297" t="s">
        <v>35864</v>
      </c>
    </row>
    <row r="44298" spans="1:8">
      <c r="A44298" t="s">
        <v>3684</v>
      </c>
      <c r="B44298">
        <f>HYPERLINK("https://android.googlesource.com/platform/cts/+/65d7e393944ad7754cb76b8cfff1148528094ad5", "65d7e393944ad7754cb76b8cfff1148528094ad5")</f>
        <v>0</v>
      </c>
      <c r="C44298">
        <f>HYPERLINK("https://android.googlesource.com/platform/cts/+/ff4749840999f59b24a3729f45d03f34f636d808", "ff4749840999f59b24a3729f45d03f34f636d808")</f>
        <v>0</v>
      </c>
      <c r="D44298" t="s">
        <v>5160</v>
      </c>
      <c r="E44298" t="s">
        <v>9377</v>
      </c>
      <c r="F44298" t="s">
        <v>14421</v>
      </c>
      <c r="G44298" t="s">
        <v>18359</v>
      </c>
      <c r="H44298" t="s">
        <v>35865</v>
      </c>
    </row>
    <row r="44299" spans="1:8">
      <c r="A44299" t="s">
        <v>3685</v>
      </c>
      <c r="B44299">
        <f>HYPERLINK("https://android.googlesource.com/platform/cts/+/597179087b65dbd5f4322a827d61ca370179580d", "597179087b65dbd5f4322a827d61ca370179580d")</f>
        <v>0</v>
      </c>
      <c r="C44299">
        <f>HYPERLINK("https://android.googlesource.com/platform/cts/+/cb6e391ab342f639e1b711ee4aa1c2957239feb7", "cb6e391ab342f639e1b711ee4aa1c2957239feb7")</f>
        <v>0</v>
      </c>
      <c r="D44299" t="s">
        <v>5606</v>
      </c>
      <c r="E44299" t="s">
        <v>9378</v>
      </c>
      <c r="F44299" t="s">
        <v>14422</v>
      </c>
      <c r="G44299" t="s">
        <v>18360</v>
      </c>
      <c r="H44299" t="s">
        <v>35866</v>
      </c>
    </row>
    <row r="44300" spans="1:8">
      <c r="F44300" t="s">
        <v>13858</v>
      </c>
      <c r="G44300" t="s">
        <v>17900</v>
      </c>
      <c r="H44300" t="s">
        <v>35867</v>
      </c>
    </row>
    <row r="44301" spans="1:8">
      <c r="A44301" t="s">
        <v>3686</v>
      </c>
      <c r="B44301">
        <f>HYPERLINK("https://android.googlesource.com/platform/cts/+/db23a27be1a7454574aace812df7cfe81932571a", "db23a27be1a7454574aace812df7cfe81932571a")</f>
        <v>0</v>
      </c>
      <c r="C44301">
        <f>HYPERLINK("https://android.googlesource.com/platform/cts/+/1c92e7782fc4e3724bab38f6d58922555181a10d", "1c92e7782fc4e3724bab38f6d58922555181a10d")</f>
        <v>0</v>
      </c>
      <c r="D44301" t="s">
        <v>5409</v>
      </c>
      <c r="E44301" t="s">
        <v>9379</v>
      </c>
      <c r="F44301" t="s">
        <v>14418</v>
      </c>
      <c r="G44301" t="s">
        <v>18356</v>
      </c>
      <c r="H44301" t="s">
        <v>35852</v>
      </c>
    </row>
    <row r="44302" spans="1:8">
      <c r="H44302" t="s">
        <v>35853</v>
      </c>
    </row>
    <row r="44303" spans="1:8">
      <c r="H44303" t="s">
        <v>35854</v>
      </c>
    </row>
    <row r="44304" spans="1:8">
      <c r="H44304" t="s">
        <v>35855</v>
      </c>
    </row>
    <row r="44305" spans="1:8">
      <c r="F44305" t="s">
        <v>14419</v>
      </c>
      <c r="G44305" t="s">
        <v>18357</v>
      </c>
      <c r="H44305" t="s">
        <v>35856</v>
      </c>
    </row>
    <row r="44306" spans="1:8">
      <c r="H44306" t="s">
        <v>35857</v>
      </c>
    </row>
    <row r="44307" spans="1:8">
      <c r="H44307" t="s">
        <v>35858</v>
      </c>
    </row>
    <row r="44308" spans="1:8">
      <c r="H44308" t="s">
        <v>35859</v>
      </c>
    </row>
    <row r="44309" spans="1:8">
      <c r="H44309" t="s">
        <v>35860</v>
      </c>
    </row>
    <row r="44310" spans="1:8">
      <c r="H44310" t="s">
        <v>35861</v>
      </c>
    </row>
    <row r="44311" spans="1:8">
      <c r="H44311" t="s">
        <v>35862</v>
      </c>
    </row>
    <row r="44312" spans="1:8">
      <c r="A44312" t="s">
        <v>3687</v>
      </c>
      <c r="B44312">
        <f>HYPERLINK("https://android.googlesource.com/platform/cts/+/109b7ea3a8556f30eb060af8fd366f31c10e323e", "109b7ea3a8556f30eb060af8fd366f31c10e323e")</f>
        <v>0</v>
      </c>
      <c r="C44312">
        <f>HYPERLINK("https://android.googlesource.com/platform/cts/+/4842a395a29440ea5092eb675cee9e7ec7270506", "4842a395a29440ea5092eb675cee9e7ec7270506")</f>
        <v>0</v>
      </c>
      <c r="D44312" t="s">
        <v>5556</v>
      </c>
      <c r="E44312" t="s">
        <v>9380</v>
      </c>
      <c r="F44312" t="s">
        <v>14423</v>
      </c>
      <c r="G44312" t="s">
        <v>18361</v>
      </c>
      <c r="H44312" t="s">
        <v>18829</v>
      </c>
    </row>
    <row r="44313" spans="1:8">
      <c r="H44313" t="s">
        <v>18863</v>
      </c>
    </row>
    <row r="44314" spans="1:8">
      <c r="H44314" t="s">
        <v>35868</v>
      </c>
    </row>
    <row r="44315" spans="1:8">
      <c r="H44315" t="s">
        <v>35869</v>
      </c>
    </row>
    <row r="44316" spans="1:8">
      <c r="H44316" t="s">
        <v>35870</v>
      </c>
    </row>
    <row r="44317" spans="1:8">
      <c r="H44317" t="s">
        <v>35871</v>
      </c>
    </row>
    <row r="44318" spans="1:8">
      <c r="H44318" t="s">
        <v>35872</v>
      </c>
    </row>
    <row r="44319" spans="1:8">
      <c r="H44319" t="s">
        <v>35873</v>
      </c>
    </row>
    <row r="44320" spans="1:8">
      <c r="H44320" t="s">
        <v>35874</v>
      </c>
    </row>
    <row r="44321" spans="1:8">
      <c r="H44321" t="s">
        <v>35875</v>
      </c>
    </row>
    <row r="44322" spans="1:8">
      <c r="H44322" t="s">
        <v>35876</v>
      </c>
    </row>
    <row r="44323" spans="1:8">
      <c r="F44323" t="s">
        <v>14401</v>
      </c>
      <c r="G44323" t="s">
        <v>18339</v>
      </c>
      <c r="H44323" t="s">
        <v>18829</v>
      </c>
    </row>
    <row r="44324" spans="1:8">
      <c r="H44324" t="s">
        <v>18929</v>
      </c>
    </row>
    <row r="44325" spans="1:8">
      <c r="H44325" t="s">
        <v>18929</v>
      </c>
    </row>
    <row r="44326" spans="1:8">
      <c r="H44326" t="s">
        <v>35868</v>
      </c>
    </row>
    <row r="44327" spans="1:8">
      <c r="A44327" t="s">
        <v>3688</v>
      </c>
      <c r="B44327">
        <f>HYPERLINK("https://android.googlesource.com/platform/cts/+/d8742b9dfbb0aa7b38ba99cf2ed8ab50c41b3ed0", "d8742b9dfbb0aa7b38ba99cf2ed8ab50c41b3ed0")</f>
        <v>0</v>
      </c>
      <c r="C44327">
        <f>HYPERLINK("https://android.googlesource.com/platform/cts/+/902393b2a29573e16bdc6dc70741cbeff5a851dc", "902393b2a29573e16bdc6dc70741cbeff5a851dc")</f>
        <v>0</v>
      </c>
      <c r="D44327" t="s">
        <v>5454</v>
      </c>
      <c r="E44327" t="s">
        <v>9381</v>
      </c>
      <c r="F44327" t="s">
        <v>14261</v>
      </c>
      <c r="G44327" t="s">
        <v>18228</v>
      </c>
      <c r="H44327" t="s">
        <v>34468</v>
      </c>
    </row>
    <row r="44328" spans="1:8">
      <c r="H44328" t="s">
        <v>34469</v>
      </c>
    </row>
    <row r="44329" spans="1:8">
      <c r="H44329" t="s">
        <v>19791</v>
      </c>
    </row>
    <row r="44330" spans="1:8">
      <c r="A44330" t="s">
        <v>3689</v>
      </c>
      <c r="B44330">
        <f>HYPERLINK("https://android.googlesource.com/platform/cts/+/52523ea6f997e2e17c103f5a58a04c32903c5444", "52523ea6f997e2e17c103f5a58a04c32903c5444")</f>
        <v>0</v>
      </c>
      <c r="C44330">
        <f>HYPERLINK("https://android.googlesource.com/platform/cts/+/80e640446b498be1ab931f11b8e7b45621af3e05", "80e640446b498be1ab931f11b8e7b45621af3e05")</f>
        <v>0</v>
      </c>
      <c r="D44330" t="s">
        <v>5426</v>
      </c>
      <c r="E44330" t="s">
        <v>9382</v>
      </c>
      <c r="F44330" t="s">
        <v>14424</v>
      </c>
      <c r="G44330" t="s">
        <v>18362</v>
      </c>
      <c r="H44330" t="s">
        <v>35877</v>
      </c>
    </row>
    <row r="44331" spans="1:8">
      <c r="H44331" t="s">
        <v>35878</v>
      </c>
    </row>
    <row r="44332" spans="1:8">
      <c r="A44332" t="s">
        <v>3690</v>
      </c>
      <c r="B44332">
        <f>HYPERLINK("https://android.googlesource.com/platform/cts/+/8ac626d8c1bfe72bae4a2118f98287576768ef07", "8ac626d8c1bfe72bae4a2118f98287576768ef07")</f>
        <v>0</v>
      </c>
      <c r="C44332">
        <f>HYPERLINK("https://android.googlesource.com/platform/cts/+/254ce309f042650ee33d952d1c2fa6b30b879f92", "254ce309f042650ee33d952d1c2fa6b30b879f92")</f>
        <v>0</v>
      </c>
      <c r="D44332" t="s">
        <v>5591</v>
      </c>
      <c r="E44332" t="s">
        <v>9383</v>
      </c>
      <c r="F44332" t="s">
        <v>10794</v>
      </c>
      <c r="G44332" t="s">
        <v>15189</v>
      </c>
      <c r="H44332" t="s">
        <v>35879</v>
      </c>
    </row>
    <row r="44333" spans="1:8">
      <c r="A44333" t="s">
        <v>3691</v>
      </c>
      <c r="B44333">
        <f>HYPERLINK("https://android.googlesource.com/platform/cts/+/119b728e53bdda3042b9285cb9b9d2928221d68a", "119b728e53bdda3042b9285cb9b9d2928221d68a")</f>
        <v>0</v>
      </c>
      <c r="C44333">
        <f>HYPERLINK("https://android.googlesource.com/platform/cts/+/f6a2fb718b0b1e6ca3e6df81eb8b44d4beeee1a2", "f6a2fb718b0b1e6ca3e6df81eb8b44d4beeee1a2")</f>
        <v>0</v>
      </c>
      <c r="D44333" t="s">
        <v>5607</v>
      </c>
      <c r="E44333" t="s">
        <v>9384</v>
      </c>
      <c r="F44333" t="s">
        <v>13087</v>
      </c>
      <c r="G44333" t="s">
        <v>17249</v>
      </c>
      <c r="H44333" t="s">
        <v>35880</v>
      </c>
    </row>
    <row r="44334" spans="1:8">
      <c r="A44334" t="s">
        <v>3692</v>
      </c>
      <c r="B44334">
        <f>HYPERLINK("https://android.googlesource.com/platform/cts/+/b003c7b6b126e4fa61dd684b3d64fe63ea8e9693", "b003c7b6b126e4fa61dd684b3d64fe63ea8e9693")</f>
        <v>0</v>
      </c>
      <c r="C44334">
        <f>HYPERLINK("https://android.googlesource.com/platform/cts/+/dfefe81c0dbb6fa5e913bc154618c613327b26ee", "dfefe81c0dbb6fa5e913bc154618c613327b26ee")</f>
        <v>0</v>
      </c>
      <c r="D44334" t="s">
        <v>5606</v>
      </c>
      <c r="E44334" t="s">
        <v>9385</v>
      </c>
      <c r="F44334" t="s">
        <v>14422</v>
      </c>
      <c r="G44334" t="s">
        <v>18360</v>
      </c>
      <c r="H44334" t="s">
        <v>35866</v>
      </c>
    </row>
    <row r="44335" spans="1:8">
      <c r="F44335" t="s">
        <v>13858</v>
      </c>
      <c r="G44335" t="s">
        <v>17900</v>
      </c>
      <c r="H44335" t="s">
        <v>35867</v>
      </c>
    </row>
    <row r="44336" spans="1:8">
      <c r="A44336" t="s">
        <v>3693</v>
      </c>
      <c r="B44336">
        <f>HYPERLINK("https://android.googlesource.com/platform/cts/+/e591a3a7fab090e387741a7a6a898d79a784adf0", "e591a3a7fab090e387741a7a6a898d79a784adf0")</f>
        <v>0</v>
      </c>
      <c r="C44336">
        <f>HYPERLINK("https://android.googlesource.com/platform/cts/+/66fcbbde6611cdac546e8128674526f4f1fad5ef", "66fcbbde6611cdac546e8128674526f4f1fad5ef")</f>
        <v>0</v>
      </c>
      <c r="D44336" t="s">
        <v>5608</v>
      </c>
      <c r="E44336" t="s">
        <v>9386</v>
      </c>
      <c r="F44336" t="s">
        <v>12787</v>
      </c>
      <c r="G44336" t="s">
        <v>16971</v>
      </c>
      <c r="H44336" t="s">
        <v>35881</v>
      </c>
    </row>
    <row r="44337" spans="1:8">
      <c r="A44337" t="s">
        <v>3694</v>
      </c>
      <c r="B44337">
        <f>HYPERLINK("https://android.googlesource.com/platform/cts/+/53745d243da26c3f1af4fa3b6fd2643d706e8a2a", "53745d243da26c3f1af4fa3b6fd2643d706e8a2a")</f>
        <v>0</v>
      </c>
      <c r="C44337">
        <f>HYPERLINK("https://android.googlesource.com/platform/cts/+/271b0600c27a0f357e3afa02d8a52317fac0c13c", "271b0600c27a0f357e3afa02d8a52317fac0c13c")</f>
        <v>0</v>
      </c>
      <c r="D44337" t="s">
        <v>5481</v>
      </c>
      <c r="E44337" t="s">
        <v>9387</v>
      </c>
      <c r="F44337" t="s">
        <v>14375</v>
      </c>
      <c r="G44337" t="s">
        <v>18319</v>
      </c>
      <c r="H44337" t="s">
        <v>18863</v>
      </c>
    </row>
    <row r="44338" spans="1:8">
      <c r="H44338" t="s">
        <v>35711</v>
      </c>
    </row>
    <row r="44339" spans="1:8">
      <c r="H44339" t="s">
        <v>35712</v>
      </c>
    </row>
    <row r="44340" spans="1:8">
      <c r="H44340" t="s">
        <v>35713</v>
      </c>
    </row>
    <row r="44341" spans="1:8">
      <c r="H44341" t="s">
        <v>35714</v>
      </c>
    </row>
    <row r="44342" spans="1:8">
      <c r="A44342" t="s">
        <v>3695</v>
      </c>
      <c r="B44342">
        <f>HYPERLINK("https://android.googlesource.com/platform/cts/+/17c1655d745615784212adcb82a2ee73d8fbeee9", "17c1655d745615784212adcb82a2ee73d8fbeee9")</f>
        <v>0</v>
      </c>
      <c r="C44342">
        <f>HYPERLINK("https://android.googlesource.com/platform/cts/+/a2c070114d3644d5024eaf622ea274809c580e63", "a2c070114d3644d5024eaf622ea274809c580e63")</f>
        <v>0</v>
      </c>
      <c r="D44342" t="s">
        <v>5492</v>
      </c>
      <c r="E44342" t="s">
        <v>9388</v>
      </c>
      <c r="F44342" t="s">
        <v>14381</v>
      </c>
      <c r="G44342" t="s">
        <v>18325</v>
      </c>
      <c r="H44342" t="s">
        <v>35742</v>
      </c>
    </row>
    <row r="44343" spans="1:8">
      <c r="H44343" t="s">
        <v>28611</v>
      </c>
    </row>
    <row r="44344" spans="1:8">
      <c r="H44344" t="s">
        <v>35743</v>
      </c>
    </row>
    <row r="44345" spans="1:8">
      <c r="H44345" t="s">
        <v>35050</v>
      </c>
    </row>
    <row r="44346" spans="1:8">
      <c r="A44346" t="s">
        <v>3696</v>
      </c>
      <c r="B44346">
        <f>HYPERLINK("https://android.googlesource.com/platform/cts/+/924b35c42d8ef5afbdde2b2d4976bd53b17637c9", "924b35c42d8ef5afbdde2b2d4976bd53b17637c9")</f>
        <v>0</v>
      </c>
      <c r="C44346">
        <f>HYPERLINK("https://android.googlesource.com/platform/cts/+/0c88e430f1a7f311eb81793342f91ae429bf3929", "0c88e430f1a7f311eb81793342f91ae429bf3929")</f>
        <v>0</v>
      </c>
      <c r="D44346" t="s">
        <v>5463</v>
      </c>
      <c r="E44346" t="s">
        <v>9389</v>
      </c>
      <c r="F44346" t="s">
        <v>13333</v>
      </c>
      <c r="G44346" t="s">
        <v>17463</v>
      </c>
      <c r="H44346" t="s">
        <v>35882</v>
      </c>
    </row>
    <row r="44347" spans="1:8">
      <c r="A44347" t="s">
        <v>3697</v>
      </c>
      <c r="B44347">
        <f>HYPERLINK("https://android.googlesource.com/platform/cts/+/7b5150898bdd0642eab54c6431631f1c1f679f43", "7b5150898bdd0642eab54c6431631f1c1f679f43")</f>
        <v>0</v>
      </c>
      <c r="C44347">
        <f>HYPERLINK("https://android.googlesource.com/platform/cts/+/c8b1ca170f766b388b8489be5086b7b5f92dceef", "c8b1ca170f766b388b8489be5086b7b5f92dceef")</f>
        <v>0</v>
      </c>
      <c r="D44347" t="s">
        <v>5609</v>
      </c>
      <c r="E44347" t="s">
        <v>9390</v>
      </c>
      <c r="F44347" t="s">
        <v>14425</v>
      </c>
      <c r="G44347" t="s">
        <v>18363</v>
      </c>
      <c r="H44347" t="s">
        <v>35883</v>
      </c>
    </row>
    <row r="44348" spans="1:8">
      <c r="F44348" t="s">
        <v>14278</v>
      </c>
      <c r="G44348" t="s">
        <v>18225</v>
      </c>
      <c r="H44348" t="s">
        <v>34453</v>
      </c>
    </row>
    <row r="44349" spans="1:8">
      <c r="A44349" t="s">
        <v>3698</v>
      </c>
      <c r="B44349">
        <f>HYPERLINK("https://android.googlesource.com/platform/cts/+/1a37c61c41b35893eff1f7244092d2605bda45df", "1a37c61c41b35893eff1f7244092d2605bda45df")</f>
        <v>0</v>
      </c>
      <c r="C44349">
        <f>HYPERLINK("https://android.googlesource.com/platform/cts/+/13b39244db81f182ceaf2c666183b8605db44a4b", "13b39244db81f182ceaf2c666183b8605db44a4b")</f>
        <v>0</v>
      </c>
      <c r="D44349" t="s">
        <v>5272</v>
      </c>
      <c r="E44349" t="s">
        <v>9391</v>
      </c>
      <c r="F44349" t="s">
        <v>13398</v>
      </c>
      <c r="G44349" t="s">
        <v>17524</v>
      </c>
      <c r="H44349" t="s">
        <v>35884</v>
      </c>
    </row>
    <row r="44350" spans="1:8">
      <c r="A44350" t="s">
        <v>3699</v>
      </c>
      <c r="B44350">
        <f>HYPERLINK("https://android.googlesource.com/platform/cts/+/60e04b9a45de3cee64d371af0f4664798f7862d1", "60e04b9a45de3cee64d371af0f4664798f7862d1")</f>
        <v>0</v>
      </c>
      <c r="C44350">
        <f>HYPERLINK("https://android.googlesource.com/platform/cts/+/7083ebff8c4476e4e2e527740348fb9734e56859", "7083ebff8c4476e4e2e527740348fb9734e56859")</f>
        <v>0</v>
      </c>
      <c r="D44350" t="s">
        <v>5409</v>
      </c>
      <c r="E44350" t="s">
        <v>9392</v>
      </c>
      <c r="F44350" t="s">
        <v>14415</v>
      </c>
      <c r="G44350" t="s">
        <v>18353</v>
      </c>
      <c r="H44350" t="s">
        <v>35885</v>
      </c>
    </row>
    <row r="44351" spans="1:8">
      <c r="H44351" t="s">
        <v>35886</v>
      </c>
    </row>
    <row r="44352" spans="1:8">
      <c r="H44352" t="s">
        <v>35887</v>
      </c>
    </row>
    <row r="44353" spans="1:8">
      <c r="H44353" t="s">
        <v>35888</v>
      </c>
    </row>
    <row r="44354" spans="1:8">
      <c r="H44354" t="s">
        <v>35889</v>
      </c>
    </row>
    <row r="44355" spans="1:8">
      <c r="H44355" t="s">
        <v>35890</v>
      </c>
    </row>
    <row r="44356" spans="1:8">
      <c r="F44356" t="s">
        <v>14426</v>
      </c>
      <c r="G44356" t="s">
        <v>18364</v>
      </c>
      <c r="H44356" t="s">
        <v>35891</v>
      </c>
    </row>
    <row r="44357" spans="1:8">
      <c r="H44357" t="s">
        <v>35892</v>
      </c>
    </row>
    <row r="44358" spans="1:8">
      <c r="H44358" t="s">
        <v>35893</v>
      </c>
    </row>
    <row r="44359" spans="1:8">
      <c r="H44359" t="s">
        <v>35894</v>
      </c>
    </row>
    <row r="44360" spans="1:8">
      <c r="H44360" t="s">
        <v>35895</v>
      </c>
    </row>
    <row r="44361" spans="1:8">
      <c r="H44361" t="s">
        <v>35896</v>
      </c>
    </row>
    <row r="44362" spans="1:8">
      <c r="H44362" t="s">
        <v>35897</v>
      </c>
    </row>
    <row r="44363" spans="1:8">
      <c r="A44363" t="s">
        <v>3700</v>
      </c>
      <c r="B44363">
        <f>HYPERLINK("https://android.googlesource.com/platform/cts/+/fb4fb361a882e74aa927d893838387dc7b28f27c", "fb4fb361a882e74aa927d893838387dc7b28f27c")</f>
        <v>0</v>
      </c>
      <c r="C44363">
        <f>HYPERLINK("https://android.googlesource.com/platform/cts/+/21d7bfaa0431b14bfd2354df5188e90fd71eb8d1", "21d7bfaa0431b14bfd2354df5188e90fd71eb8d1")</f>
        <v>0</v>
      </c>
      <c r="D44363" t="s">
        <v>5472</v>
      </c>
      <c r="E44363" t="s">
        <v>9393</v>
      </c>
      <c r="F44363" t="s">
        <v>14427</v>
      </c>
      <c r="G44363" t="s">
        <v>18365</v>
      </c>
      <c r="H44363" t="s">
        <v>28516</v>
      </c>
    </row>
    <row r="44364" spans="1:8">
      <c r="F44364" t="s">
        <v>14428</v>
      </c>
      <c r="G44364" t="s">
        <v>18366</v>
      </c>
      <c r="H44364" t="s">
        <v>35898</v>
      </c>
    </row>
    <row r="44365" spans="1:8">
      <c r="A44365" t="s">
        <v>3701</v>
      </c>
      <c r="B44365">
        <f>HYPERLINK("https://android.googlesource.com/platform/cts/+/3290c2a651bf9f2178c115b104474e2decd939cf", "3290c2a651bf9f2178c115b104474e2decd939cf")</f>
        <v>0</v>
      </c>
      <c r="C44365">
        <f>HYPERLINK("https://android.googlesource.com/platform/cts/+/74d190b89db8bcd7f24965af1e2238293e508f38", "74d190b89db8bcd7f24965af1e2238293e508f38")</f>
        <v>0</v>
      </c>
      <c r="D44365" t="s">
        <v>5389</v>
      </c>
      <c r="E44365" t="s">
        <v>9394</v>
      </c>
      <c r="F44365" t="s">
        <v>13993</v>
      </c>
      <c r="G44365" t="s">
        <v>16600</v>
      </c>
      <c r="H44365" t="s">
        <v>35899</v>
      </c>
    </row>
    <row r="44366" spans="1:8">
      <c r="A44366" t="s">
        <v>3702</v>
      </c>
      <c r="B44366">
        <f>HYPERLINK("https://android.googlesource.com/platform/cts/+/144ae7702574c3f3fa5405f8d82f26cdc7eeae22", "144ae7702574c3f3fa5405f8d82f26cdc7eeae22")</f>
        <v>0</v>
      </c>
      <c r="C44366">
        <f>HYPERLINK("https://android.googlesource.com/platform/cts/+/c8815838bb7d0115ed66afef9385af8e5963dbf7", "c8815838bb7d0115ed66afef9385af8e5963dbf7")</f>
        <v>0</v>
      </c>
      <c r="D44366" t="s">
        <v>5272</v>
      </c>
      <c r="E44366" t="s">
        <v>9395</v>
      </c>
      <c r="F44366" t="s">
        <v>14131</v>
      </c>
      <c r="G44366" t="s">
        <v>18053</v>
      </c>
      <c r="H44366" t="s">
        <v>29011</v>
      </c>
    </row>
    <row r="44367" spans="1:8">
      <c r="A44367" t="s">
        <v>3703</v>
      </c>
      <c r="B44367">
        <f>HYPERLINK("https://android.googlesource.com/platform/cts/+/6330289d8ea4b5ec74c786c10fe655cd5f71116d", "6330289d8ea4b5ec74c786c10fe655cd5f71116d")</f>
        <v>0</v>
      </c>
      <c r="C44367">
        <f>HYPERLINK("https://android.googlesource.com/platform/cts/+/f2e93410cb21bcdac2528a8400b3b33ff36fe816", "f2e93410cb21bcdac2528a8400b3b33ff36fe816")</f>
        <v>0</v>
      </c>
      <c r="D44367" t="s">
        <v>5585</v>
      </c>
      <c r="E44367" t="s">
        <v>9258</v>
      </c>
      <c r="F44367" t="s">
        <v>13788</v>
      </c>
      <c r="G44367" t="s">
        <v>17841</v>
      </c>
      <c r="H44367" t="s">
        <v>35469</v>
      </c>
    </row>
    <row r="44368" spans="1:8">
      <c r="A44368" t="s">
        <v>3704</v>
      </c>
      <c r="B44368">
        <f>HYPERLINK("https://android.googlesource.com/platform/cts/+/0fba4ab4bd06798ffd29b25e7ee2e4e96e8e12df", "0fba4ab4bd06798ffd29b25e7ee2e4e96e8e12df")</f>
        <v>0</v>
      </c>
      <c r="C44368">
        <f>HYPERLINK("https://android.googlesource.com/platform/cts/+/66fa206e7be19ed5cf9b0a1c63ef13d3e4e36c2b", "66fa206e7be19ed5cf9b0a1c63ef13d3e4e36c2b")</f>
        <v>0</v>
      </c>
      <c r="D44368" t="s">
        <v>4947</v>
      </c>
      <c r="E44368" t="s">
        <v>9396</v>
      </c>
      <c r="F44368" t="s">
        <v>14429</v>
      </c>
      <c r="G44368" t="s">
        <v>15683</v>
      </c>
      <c r="H44368" t="s">
        <v>35900</v>
      </c>
    </row>
    <row r="44369" spans="1:8">
      <c r="H44369" t="s">
        <v>35901</v>
      </c>
    </row>
    <row r="44370" spans="1:8">
      <c r="H44370" t="s">
        <v>35902</v>
      </c>
    </row>
    <row r="44371" spans="1:8">
      <c r="H44371" t="s">
        <v>21518</v>
      </c>
    </row>
    <row r="44372" spans="1:8">
      <c r="A44372" t="s">
        <v>3705</v>
      </c>
      <c r="B44372">
        <f>HYPERLINK("https://android.googlesource.com/platform/cts/+/bb88afe42f859b88c1c2a8bf284917fc3502d886", "bb88afe42f859b88c1c2a8bf284917fc3502d886")</f>
        <v>0</v>
      </c>
      <c r="C44372">
        <f>HYPERLINK("https://android.googlesource.com/platform/cts/+/03104aae3963e395ab9681f2b540b7168fa52849", "03104aae3963e395ab9681f2b540b7168fa52849")</f>
        <v>0</v>
      </c>
      <c r="D44372" t="s">
        <v>5320</v>
      </c>
      <c r="E44372" t="s">
        <v>9397</v>
      </c>
      <c r="F44372" t="s">
        <v>14430</v>
      </c>
      <c r="G44372" t="s">
        <v>18367</v>
      </c>
      <c r="H44372" t="s">
        <v>35903</v>
      </c>
    </row>
    <row r="44373" spans="1:8">
      <c r="H44373" t="s">
        <v>35904</v>
      </c>
    </row>
    <row r="44374" spans="1:8">
      <c r="F44374" t="s">
        <v>14431</v>
      </c>
      <c r="G44374" t="s">
        <v>18368</v>
      </c>
      <c r="H44374" t="s">
        <v>35905</v>
      </c>
    </row>
    <row r="44375" spans="1:8">
      <c r="H44375" t="s">
        <v>35906</v>
      </c>
    </row>
    <row r="44376" spans="1:8">
      <c r="H44376" t="s">
        <v>35907</v>
      </c>
    </row>
    <row r="44377" spans="1:8">
      <c r="H44377" t="s">
        <v>35908</v>
      </c>
    </row>
    <row r="44378" spans="1:8">
      <c r="A44378" t="s">
        <v>3706</v>
      </c>
      <c r="B44378">
        <f>HYPERLINK("https://android.googlesource.com/platform/cts/+/7db64a057729da5408b43f50d64539364ecdf04b", "7db64a057729da5408b43f50d64539364ecdf04b")</f>
        <v>0</v>
      </c>
      <c r="C44378">
        <f>HYPERLINK("https://android.googlesource.com/platform/cts/+/88f60bd816fd82adf5cf7ebb8e03936b21f31481", "88f60bd816fd82adf5cf7ebb8e03936b21f31481")</f>
        <v>0</v>
      </c>
      <c r="D44378" t="s">
        <v>5334</v>
      </c>
      <c r="E44378" t="s">
        <v>9398</v>
      </c>
      <c r="F44378" t="s">
        <v>14200</v>
      </c>
      <c r="G44378" t="s">
        <v>18179</v>
      </c>
      <c r="H44378" t="s">
        <v>35909</v>
      </c>
    </row>
    <row r="44379" spans="1:8">
      <c r="H44379" t="s">
        <v>35910</v>
      </c>
    </row>
    <row r="44380" spans="1:8">
      <c r="A44380" t="s">
        <v>3707</v>
      </c>
      <c r="B44380">
        <f>HYPERLINK("https://android.googlesource.com/platform/cts/+/5f47892997e6f9ce2541d4fcfc8b0e0d4ad6ca88", "5f47892997e6f9ce2541d4fcfc8b0e0d4ad6ca88")</f>
        <v>0</v>
      </c>
      <c r="C44380">
        <f>HYPERLINK("https://android.googlesource.com/platform/cts/+/5abab3cfc29f8edd91b916a07d5d6ae031dc3166", "5abab3cfc29f8edd91b916a07d5d6ae031dc3166")</f>
        <v>0</v>
      </c>
      <c r="D44380" t="s">
        <v>5610</v>
      </c>
      <c r="E44380" t="s">
        <v>9399</v>
      </c>
      <c r="F44380" t="s">
        <v>14432</v>
      </c>
      <c r="G44380" t="s">
        <v>18369</v>
      </c>
      <c r="H44380" t="s">
        <v>35911</v>
      </c>
    </row>
    <row r="44381" spans="1:8">
      <c r="A44381" t="s">
        <v>3708</v>
      </c>
      <c r="B44381">
        <f>HYPERLINK("https://android.googlesource.com/platform/cts/+/4b3e082fc5c8e47a636e56acc3fbc7df506d3832", "4b3e082fc5c8e47a636e56acc3fbc7df506d3832")</f>
        <v>0</v>
      </c>
      <c r="C44381">
        <f>HYPERLINK("https://android.googlesource.com/platform/cts/+/eae64ad64ceaae11cd57eb06321ce1a0ae4594da", "eae64ad64ceaae11cd57eb06321ce1a0ae4594da")</f>
        <v>0</v>
      </c>
      <c r="D44381" t="s">
        <v>5409</v>
      </c>
      <c r="E44381" t="s">
        <v>9400</v>
      </c>
      <c r="F44381" t="s">
        <v>14426</v>
      </c>
      <c r="G44381" t="s">
        <v>18364</v>
      </c>
      <c r="H44381" t="s">
        <v>35912</v>
      </c>
    </row>
    <row r="44382" spans="1:8">
      <c r="H44382" t="s">
        <v>35913</v>
      </c>
    </row>
    <row r="44383" spans="1:8">
      <c r="H44383" t="s">
        <v>35914</v>
      </c>
    </row>
    <row r="44384" spans="1:8">
      <c r="A44384" t="s">
        <v>3709</v>
      </c>
      <c r="B44384">
        <f>HYPERLINK("https://android.googlesource.com/platform/cts/+/aa4a265aaf1ba92a3ca0ddc99366ac38f710b389", "aa4a265aaf1ba92a3ca0ddc99366ac38f710b389")</f>
        <v>0</v>
      </c>
      <c r="C44384">
        <f>HYPERLINK("https://android.googlesource.com/platform/cts/+/4e0dc3077e494f20cf249ecdc2aaf52e39c32462", "4e0dc3077e494f20cf249ecdc2aaf52e39c32462")</f>
        <v>0</v>
      </c>
      <c r="D44384" t="s">
        <v>5611</v>
      </c>
      <c r="E44384" t="s">
        <v>9401</v>
      </c>
      <c r="F44384" t="s">
        <v>14433</v>
      </c>
      <c r="G44384" t="s">
        <v>17405</v>
      </c>
      <c r="H44384" t="s">
        <v>35915</v>
      </c>
    </row>
    <row r="44385" spans="1:8">
      <c r="H44385" t="s">
        <v>35916</v>
      </c>
    </row>
    <row r="44386" spans="1:8">
      <c r="H44386" t="s">
        <v>35917</v>
      </c>
    </row>
    <row r="44387" spans="1:8">
      <c r="H44387" t="s">
        <v>35918</v>
      </c>
    </row>
    <row r="44388" spans="1:8">
      <c r="A44388" t="s">
        <v>3710</v>
      </c>
      <c r="B44388">
        <f>HYPERLINK("https://android.googlesource.com/platform/cts/+/20266a1b0495455fc7ffe2392981f5675df5cda7", "20266a1b0495455fc7ffe2392981f5675df5cda7")</f>
        <v>0</v>
      </c>
      <c r="C44388">
        <f>HYPERLINK("https://android.googlesource.com/platform/cts/+/a1cb34db8a66ae88f9d889781faf0195031553e5", "a1cb34db8a66ae88f9d889781faf0195031553e5")</f>
        <v>0</v>
      </c>
      <c r="D44388" t="s">
        <v>5610</v>
      </c>
      <c r="E44388" t="s">
        <v>9402</v>
      </c>
      <c r="F44388" t="s">
        <v>14434</v>
      </c>
      <c r="G44388" t="s">
        <v>18370</v>
      </c>
      <c r="H44388" t="s">
        <v>35919</v>
      </c>
    </row>
    <row r="44389" spans="1:8">
      <c r="H44389" t="s">
        <v>35920</v>
      </c>
    </row>
    <row r="44390" spans="1:8">
      <c r="H44390" t="s">
        <v>35921</v>
      </c>
    </row>
    <row r="44391" spans="1:8">
      <c r="H44391" t="s">
        <v>35922</v>
      </c>
    </row>
    <row r="44392" spans="1:8">
      <c r="H44392" t="s">
        <v>35923</v>
      </c>
    </row>
    <row r="44393" spans="1:8">
      <c r="A44393" t="s">
        <v>3711</v>
      </c>
      <c r="B44393">
        <f>HYPERLINK("https://android.googlesource.com/platform/cts/+/bab2c0ec57f1bcfdc85290789ff68edaa958aed6", "bab2c0ec57f1bcfdc85290789ff68edaa958aed6")</f>
        <v>0</v>
      </c>
      <c r="C44393">
        <f>HYPERLINK("https://android.googlesource.com/platform/cts/+/aa4a265aaf1ba92a3ca0ddc99366ac38f710b389", "aa4a265aaf1ba92a3ca0ddc99366ac38f710b389")</f>
        <v>0</v>
      </c>
      <c r="D44393" t="s">
        <v>5611</v>
      </c>
      <c r="E44393" t="s">
        <v>9403</v>
      </c>
      <c r="F44393" t="s">
        <v>14433</v>
      </c>
      <c r="G44393" t="s">
        <v>17405</v>
      </c>
      <c r="H44393" t="s">
        <v>35924</v>
      </c>
    </row>
    <row r="44394" spans="1:8">
      <c r="H44394" t="s">
        <v>35925</v>
      </c>
    </row>
    <row r="44395" spans="1:8">
      <c r="A44395" t="s">
        <v>3712</v>
      </c>
      <c r="B44395">
        <f>HYPERLINK("https://android.googlesource.com/platform/cts/+/f216db853c67a28fcf56856656c84fb7c2eba209", "f216db853c67a28fcf56856656c84fb7c2eba209")</f>
        <v>0</v>
      </c>
      <c r="C44395">
        <f>HYPERLINK("https://android.googlesource.com/platform/cts/+/ff61afe7fc9ea695396261bed6c5e8548b1e98bf", "ff61afe7fc9ea695396261bed6c5e8548b1e98bf")</f>
        <v>0</v>
      </c>
      <c r="D44395" t="s">
        <v>5472</v>
      </c>
      <c r="E44395" t="s">
        <v>9404</v>
      </c>
      <c r="F44395" t="s">
        <v>14427</v>
      </c>
      <c r="G44395" t="s">
        <v>18365</v>
      </c>
      <c r="H44395" t="s">
        <v>28516</v>
      </c>
    </row>
    <row r="44396" spans="1:8">
      <c r="F44396" t="s">
        <v>14428</v>
      </c>
      <c r="G44396" t="s">
        <v>18366</v>
      </c>
      <c r="H44396" t="s">
        <v>35898</v>
      </c>
    </row>
    <row r="44397" spans="1:8">
      <c r="A44397" t="s">
        <v>3713</v>
      </c>
      <c r="B44397">
        <f>HYPERLINK("https://android.googlesource.com/platform/cts/+/2d323220882daff57ff3ac004d613f38825417db", "2d323220882daff57ff3ac004d613f38825417db")</f>
        <v>0</v>
      </c>
      <c r="C44397">
        <f>HYPERLINK("https://android.googlesource.com/platform/cts/+/a18b0c73c187d2332aa628864fd31ba126301972", "a18b0c73c187d2332aa628864fd31ba126301972")</f>
        <v>0</v>
      </c>
      <c r="D44397" t="s">
        <v>5409</v>
      </c>
      <c r="E44397" t="s">
        <v>9405</v>
      </c>
      <c r="F44397" t="s">
        <v>14435</v>
      </c>
      <c r="G44397" t="s">
        <v>18371</v>
      </c>
      <c r="H44397" t="s">
        <v>22587</v>
      </c>
    </row>
    <row r="44398" spans="1:8">
      <c r="F44398" t="s">
        <v>14426</v>
      </c>
      <c r="G44398" t="s">
        <v>18364</v>
      </c>
      <c r="H44398" t="s">
        <v>35926</v>
      </c>
    </row>
    <row r="44399" spans="1:8">
      <c r="A44399" t="s">
        <v>3714</v>
      </c>
      <c r="B44399">
        <f>HYPERLINK("https://android.googlesource.com/platform/cts/+/6be532e67610c4b55a98a56bd39ff14ee08176c5", "6be532e67610c4b55a98a56bd39ff14ee08176c5")</f>
        <v>0</v>
      </c>
      <c r="C44399">
        <f>HYPERLINK("https://android.googlesource.com/platform/cts/+/5e87fed73f13a0d6e9e74b6c9934307888260260", "5e87fed73f13a0d6e9e74b6c9934307888260260")</f>
        <v>0</v>
      </c>
      <c r="D44399" t="s">
        <v>5612</v>
      </c>
      <c r="E44399" t="s">
        <v>9406</v>
      </c>
      <c r="F44399" t="s">
        <v>14349</v>
      </c>
      <c r="G44399" t="s">
        <v>18300</v>
      </c>
      <c r="H44399" t="s">
        <v>35927</v>
      </c>
    </row>
    <row r="44400" spans="1:8">
      <c r="F44400" t="s">
        <v>14436</v>
      </c>
      <c r="G44400" t="s">
        <v>18372</v>
      </c>
      <c r="H44400" t="s">
        <v>19981</v>
      </c>
    </row>
    <row r="44401" spans="1:8">
      <c r="H44401" t="s">
        <v>35928</v>
      </c>
    </row>
    <row r="44402" spans="1:8">
      <c r="H44402" t="s">
        <v>35929</v>
      </c>
    </row>
    <row r="44403" spans="1:8">
      <c r="H44403" t="s">
        <v>32363</v>
      </c>
    </row>
    <row r="44404" spans="1:8">
      <c r="A44404" t="s">
        <v>3715</v>
      </c>
      <c r="B44404">
        <f>HYPERLINK("https://android.googlesource.com/platform/cts/+/e7eb2de25c5a2d18319472ee45e813f9eea9ff47", "e7eb2de25c5a2d18319472ee45e813f9eea9ff47")</f>
        <v>0</v>
      </c>
      <c r="C44404">
        <f>HYPERLINK("https://android.googlesource.com/platform/cts/+/43f3cc5d4707d1ca15d34167f4ee4e92d1b59b16", "43f3cc5d4707d1ca15d34167f4ee4e92d1b59b16")</f>
        <v>0</v>
      </c>
      <c r="D44404" t="s">
        <v>5219</v>
      </c>
      <c r="E44404" t="s">
        <v>9407</v>
      </c>
      <c r="F44404" t="s">
        <v>13501</v>
      </c>
      <c r="G44404" t="s">
        <v>17619</v>
      </c>
      <c r="H44404" t="s">
        <v>35930</v>
      </c>
    </row>
    <row r="44405" spans="1:8">
      <c r="H44405" t="s">
        <v>35931</v>
      </c>
    </row>
    <row r="44406" spans="1:8">
      <c r="H44406" t="s">
        <v>35932</v>
      </c>
    </row>
    <row r="44407" spans="1:8">
      <c r="H44407" t="s">
        <v>35933</v>
      </c>
    </row>
    <row r="44408" spans="1:8">
      <c r="H44408" t="s">
        <v>35934</v>
      </c>
    </row>
    <row r="44409" spans="1:8">
      <c r="H44409" t="s">
        <v>35935</v>
      </c>
    </row>
    <row r="44410" spans="1:8">
      <c r="A44410" t="s">
        <v>3716</v>
      </c>
      <c r="B44410">
        <f>HYPERLINK("https://android.googlesource.com/platform/cts/+/11b15822fffd3792082d0cfa71ba9b1196b122fa", "11b15822fffd3792082d0cfa71ba9b1196b122fa")</f>
        <v>0</v>
      </c>
      <c r="C44410">
        <f>HYPERLINK("https://android.googlesource.com/platform/cts/+/9e948cd4f3af46dc80ea9b95c0fcd76295df5ee1", "9e948cd4f3af46dc80ea9b95c0fcd76295df5ee1")</f>
        <v>0</v>
      </c>
      <c r="D44410" t="s">
        <v>5139</v>
      </c>
      <c r="E44410" t="s">
        <v>9408</v>
      </c>
      <c r="F44410" t="s">
        <v>14437</v>
      </c>
      <c r="G44410" t="s">
        <v>18373</v>
      </c>
      <c r="H44410" t="s">
        <v>18829</v>
      </c>
    </row>
    <row r="44411" spans="1:8">
      <c r="H44411" t="s">
        <v>18863</v>
      </c>
    </row>
    <row r="44412" spans="1:8">
      <c r="H44412" t="s">
        <v>35936</v>
      </c>
    </row>
    <row r="44413" spans="1:8">
      <c r="H44413" t="s">
        <v>35937</v>
      </c>
    </row>
    <row r="44414" spans="1:8">
      <c r="H44414" t="s">
        <v>35938</v>
      </c>
    </row>
    <row r="44415" spans="1:8">
      <c r="H44415" t="s">
        <v>35939</v>
      </c>
    </row>
    <row r="44416" spans="1:8">
      <c r="H44416" t="s">
        <v>35940</v>
      </c>
    </row>
    <row r="44417" spans="1:8">
      <c r="H44417" t="s">
        <v>26552</v>
      </c>
    </row>
    <row r="44418" spans="1:8">
      <c r="H44418" t="s">
        <v>35941</v>
      </c>
    </row>
    <row r="44419" spans="1:8">
      <c r="H44419" t="s">
        <v>35942</v>
      </c>
    </row>
    <row r="44420" spans="1:8">
      <c r="H44420" t="s">
        <v>35943</v>
      </c>
    </row>
    <row r="44421" spans="1:8">
      <c r="H44421" t="s">
        <v>19460</v>
      </c>
    </row>
    <row r="44422" spans="1:8">
      <c r="H44422" t="s">
        <v>35944</v>
      </c>
    </row>
    <row r="44423" spans="1:8">
      <c r="A44423" t="s">
        <v>3717</v>
      </c>
      <c r="B44423">
        <f>HYPERLINK("https://android.googlesource.com/platform/cts/+/38cddea524fb05c850c637ee2b84c7a837b3d4f2", "38cddea524fb05c850c637ee2b84c7a837b3d4f2")</f>
        <v>0</v>
      </c>
      <c r="C44423">
        <f>HYPERLINK("https://android.googlesource.com/platform/cts/+/2ab5921beeb521e3c03db6a0140f4c8c9d8cb6f4", "2ab5921beeb521e3c03db6a0140f4c8c9d8cb6f4")</f>
        <v>0</v>
      </c>
      <c r="D44423" t="s">
        <v>5313</v>
      </c>
      <c r="E44423" t="s">
        <v>9409</v>
      </c>
      <c r="F44423" t="s">
        <v>14165</v>
      </c>
      <c r="G44423" t="s">
        <v>17361</v>
      </c>
      <c r="H44423" t="s">
        <v>35945</v>
      </c>
    </row>
    <row r="44424" spans="1:8">
      <c r="A44424" t="s">
        <v>3718</v>
      </c>
      <c r="B44424">
        <f>HYPERLINK("https://android.googlesource.com/platform/cts/+/21e5c3b197c57ef4db5f85a587fab78e738eaab2", "21e5c3b197c57ef4db5f85a587fab78e738eaab2")</f>
        <v>0</v>
      </c>
      <c r="C44424">
        <f>HYPERLINK("https://android.googlesource.com/platform/cts/+/5034b1b9858fec36dda3ab5ba6039d6c69fe326d", "5034b1b9858fec36dda3ab5ba6039d6c69fe326d")</f>
        <v>0</v>
      </c>
      <c r="D44424" t="s">
        <v>5322</v>
      </c>
      <c r="E44424" t="s">
        <v>9410</v>
      </c>
      <c r="F44424" t="s">
        <v>14438</v>
      </c>
      <c r="G44424" t="s">
        <v>18374</v>
      </c>
      <c r="H44424" t="s">
        <v>35946</v>
      </c>
    </row>
    <row r="44425" spans="1:8">
      <c r="H44425" t="s">
        <v>35947</v>
      </c>
    </row>
    <row r="44426" spans="1:8">
      <c r="H44426" t="s">
        <v>35948</v>
      </c>
    </row>
    <row r="44427" spans="1:8">
      <c r="A44427" t="s">
        <v>3719</v>
      </c>
      <c r="B44427">
        <f>HYPERLINK("https://android.googlesource.com/platform/cts/+/e1e15921ecf7a35f367bc14640c2bf96eed0adaf", "e1e15921ecf7a35f367bc14640c2bf96eed0adaf")</f>
        <v>0</v>
      </c>
      <c r="C44427">
        <f>HYPERLINK("https://android.googlesource.com/platform/cts/+/fce9afd1a2c3500404fd05d27d794cefa19cdfad", "fce9afd1a2c3500404fd05d27d794cefa19cdfad")</f>
        <v>0</v>
      </c>
      <c r="D44427" t="s">
        <v>5272</v>
      </c>
      <c r="E44427" t="s">
        <v>9411</v>
      </c>
      <c r="F44427" t="s">
        <v>14253</v>
      </c>
      <c r="G44427" t="s">
        <v>18218</v>
      </c>
      <c r="H44427" t="s">
        <v>35949</v>
      </c>
    </row>
    <row r="44428" spans="1:8">
      <c r="A44428" t="s">
        <v>3720</v>
      </c>
      <c r="B44428">
        <f>HYPERLINK("https://android.googlesource.com/platform/cts/+/2c54e55c23c43c4e8ac1c229120b5915d70bd85f", "2c54e55c23c43c4e8ac1c229120b5915d70bd85f")</f>
        <v>0</v>
      </c>
      <c r="C44428">
        <f>HYPERLINK("https://android.googlesource.com/platform/cts/+/fda263aa96497860500874dfa569fe087a7bb292", "fda263aa96497860500874dfa569fe087a7bb292")</f>
        <v>0</v>
      </c>
      <c r="D44428" t="s">
        <v>5172</v>
      </c>
      <c r="E44428" t="s">
        <v>9412</v>
      </c>
      <c r="F44428" t="s">
        <v>14363</v>
      </c>
      <c r="G44428" t="s">
        <v>18310</v>
      </c>
      <c r="H44428" t="s">
        <v>35950</v>
      </c>
    </row>
    <row r="44429" spans="1:8">
      <c r="A44429" t="s">
        <v>3721</v>
      </c>
      <c r="B44429">
        <f>HYPERLINK("https://android.googlesource.com/platform/cts/+/9d769516486602a8b75b5e7ef62586d7743fff4c", "9d769516486602a8b75b5e7ef62586d7743fff4c")</f>
        <v>0</v>
      </c>
      <c r="C44429">
        <f>HYPERLINK("https://android.googlesource.com/platform/cts/+/fce9afd1a2c3500404fd05d27d794cefa19cdfad", "fce9afd1a2c3500404fd05d27d794cefa19cdfad")</f>
        <v>0</v>
      </c>
      <c r="D44429" t="s">
        <v>4971</v>
      </c>
      <c r="E44429" t="s">
        <v>9413</v>
      </c>
      <c r="F44429" t="s">
        <v>10946</v>
      </c>
      <c r="G44429" t="s">
        <v>15339</v>
      </c>
      <c r="H44429" t="s">
        <v>35951</v>
      </c>
    </row>
    <row r="44430" spans="1:8">
      <c r="H44430" t="s">
        <v>35952</v>
      </c>
    </row>
    <row r="44431" spans="1:8">
      <c r="H44431" t="s">
        <v>35953</v>
      </c>
    </row>
    <row r="44432" spans="1:8">
      <c r="H44432" t="s">
        <v>32356</v>
      </c>
    </row>
    <row r="44433" spans="1:8">
      <c r="F44433" t="s">
        <v>10947</v>
      </c>
      <c r="G44433" t="s">
        <v>15340</v>
      </c>
      <c r="H44433" t="s">
        <v>35954</v>
      </c>
    </row>
    <row r="44434" spans="1:8">
      <c r="H44434" t="s">
        <v>35955</v>
      </c>
    </row>
    <row r="44435" spans="1:8">
      <c r="H44435" t="s">
        <v>35953</v>
      </c>
    </row>
    <row r="44436" spans="1:8">
      <c r="H44436" t="s">
        <v>32356</v>
      </c>
    </row>
    <row r="44437" spans="1:8">
      <c r="A44437" t="s">
        <v>3722</v>
      </c>
      <c r="B44437">
        <f>HYPERLINK("https://android.googlesource.com/platform/cts/+/68da822a574af9474011cdb165ef8810bcd2b6ab", "68da822a574af9474011cdb165ef8810bcd2b6ab")</f>
        <v>0</v>
      </c>
      <c r="C44437">
        <f>HYPERLINK("https://android.googlesource.com/platform/cts/+/113217ea9581c5ed37c868d242fee4f8484f3f6c", "113217ea9581c5ed37c868d242fee4f8484f3f6c")</f>
        <v>0</v>
      </c>
      <c r="D44437" t="s">
        <v>5511</v>
      </c>
      <c r="E44437" t="s">
        <v>9414</v>
      </c>
      <c r="F44437" t="s">
        <v>14274</v>
      </c>
      <c r="G44437" t="s">
        <v>18241</v>
      </c>
      <c r="H44437" t="s">
        <v>26751</v>
      </c>
    </row>
    <row r="44438" spans="1:8">
      <c r="H44438" t="s">
        <v>33708</v>
      </c>
    </row>
    <row r="44439" spans="1:8">
      <c r="F44439" t="s">
        <v>14275</v>
      </c>
      <c r="G44439" t="s">
        <v>18242</v>
      </c>
      <c r="H44439" t="s">
        <v>26751</v>
      </c>
    </row>
    <row r="44440" spans="1:8">
      <c r="H44440" t="s">
        <v>33708</v>
      </c>
    </row>
    <row r="44441" spans="1:8">
      <c r="F44441" t="s">
        <v>14276</v>
      </c>
      <c r="G44441" t="s">
        <v>18226</v>
      </c>
      <c r="H44441" t="s">
        <v>26751</v>
      </c>
    </row>
    <row r="44442" spans="1:8">
      <c r="H44442" t="s">
        <v>33708</v>
      </c>
    </row>
    <row r="44443" spans="1:8">
      <c r="H44443" t="s">
        <v>35956</v>
      </c>
    </row>
    <row r="44444" spans="1:8">
      <c r="H44444" t="s">
        <v>35957</v>
      </c>
    </row>
    <row r="44445" spans="1:8">
      <c r="F44445" t="s">
        <v>14277</v>
      </c>
      <c r="G44445" t="s">
        <v>18224</v>
      </c>
      <c r="H44445" t="s">
        <v>26751</v>
      </c>
    </row>
    <row r="44446" spans="1:8">
      <c r="H44446" t="s">
        <v>33708</v>
      </c>
    </row>
    <row r="44447" spans="1:8">
      <c r="F44447" t="s">
        <v>14278</v>
      </c>
      <c r="G44447" t="s">
        <v>18225</v>
      </c>
      <c r="H44447" t="s">
        <v>35958</v>
      </c>
    </row>
    <row r="44448" spans="1:8">
      <c r="H44448" t="s">
        <v>35956</v>
      </c>
    </row>
    <row r="44449" spans="1:8">
      <c r="H44449" t="s">
        <v>35957</v>
      </c>
    </row>
    <row r="44450" spans="1:8">
      <c r="A44450" t="s">
        <v>3723</v>
      </c>
      <c r="B44450">
        <f>HYPERLINK("https://android.googlesource.com/platform/cts/+/ef6edecf268527442dd90fbcc63f77a6561373d3", "ef6edecf268527442dd90fbcc63f77a6561373d3")</f>
        <v>0</v>
      </c>
      <c r="C44450">
        <f>HYPERLINK("https://android.googlesource.com/platform/cts/+/5418b106a946d65f469cfd96ff9434eff3c0a173", "5418b106a946d65f469cfd96ff9434eff3c0a173")</f>
        <v>0</v>
      </c>
      <c r="D44450" t="s">
        <v>5134</v>
      </c>
      <c r="E44450" t="s">
        <v>9415</v>
      </c>
      <c r="F44450" t="s">
        <v>12629</v>
      </c>
      <c r="G44450" t="s">
        <v>16838</v>
      </c>
      <c r="H44450" t="s">
        <v>35959</v>
      </c>
    </row>
    <row r="44451" spans="1:8">
      <c r="F44451" t="s">
        <v>12394</v>
      </c>
      <c r="G44451" t="s">
        <v>17294</v>
      </c>
      <c r="H44451" t="s">
        <v>35959</v>
      </c>
    </row>
    <row r="44452" spans="1:8">
      <c r="A44452" t="s">
        <v>3724</v>
      </c>
      <c r="B44452">
        <f>HYPERLINK("https://android.googlesource.com/platform/cts/+/3f560afdd56778949224ea016fc7b719d4dc6af3", "3f560afdd56778949224ea016fc7b719d4dc6af3")</f>
        <v>0</v>
      </c>
      <c r="C44452">
        <f>HYPERLINK("https://android.googlesource.com/platform/cts/+/bfbc00c20d0c3f659c16b8df652155df0e7a229a", "bfbc00c20d0c3f659c16b8df652155df0e7a229a")</f>
        <v>0</v>
      </c>
      <c r="D44452" t="s">
        <v>5609</v>
      </c>
      <c r="E44452" t="s">
        <v>9416</v>
      </c>
      <c r="F44452" t="s">
        <v>14425</v>
      </c>
      <c r="G44452" t="s">
        <v>18363</v>
      </c>
      <c r="H44452" t="s">
        <v>35883</v>
      </c>
    </row>
    <row r="44453" spans="1:8">
      <c r="F44453" t="s">
        <v>14278</v>
      </c>
      <c r="G44453" t="s">
        <v>18225</v>
      </c>
      <c r="H44453" t="s">
        <v>34453</v>
      </c>
    </row>
    <row r="44454" spans="1:8">
      <c r="A44454" t="s">
        <v>3725</v>
      </c>
      <c r="B44454">
        <f>HYPERLINK("https://android.googlesource.com/platform/cts/+/c56248b24692663cc6a1dac973d5d41067d5d3ed", "c56248b24692663cc6a1dac973d5d41067d5d3ed")</f>
        <v>0</v>
      </c>
      <c r="C44454">
        <f>HYPERLINK("https://android.googlesource.com/platform/cts/+/3f560afdd56778949224ea016fc7b719d4dc6af3", "3f560afdd56778949224ea016fc7b719d4dc6af3")</f>
        <v>0</v>
      </c>
      <c r="D44454" t="s">
        <v>5609</v>
      </c>
      <c r="E44454" t="s">
        <v>9417</v>
      </c>
      <c r="F44454" t="s">
        <v>14274</v>
      </c>
      <c r="G44454" t="s">
        <v>18241</v>
      </c>
      <c r="H44454" t="s">
        <v>26751</v>
      </c>
    </row>
    <row r="44455" spans="1:8">
      <c r="H44455" t="s">
        <v>33708</v>
      </c>
    </row>
    <row r="44456" spans="1:8">
      <c r="F44456" t="s">
        <v>14275</v>
      </c>
      <c r="G44456" t="s">
        <v>18242</v>
      </c>
      <c r="H44456" t="s">
        <v>26751</v>
      </c>
    </row>
    <row r="44457" spans="1:8">
      <c r="H44457" t="s">
        <v>33708</v>
      </c>
    </row>
    <row r="44458" spans="1:8">
      <c r="F44458" t="s">
        <v>14276</v>
      </c>
      <c r="G44458" t="s">
        <v>18226</v>
      </c>
      <c r="H44458" t="s">
        <v>26751</v>
      </c>
    </row>
    <row r="44459" spans="1:8">
      <c r="H44459" t="s">
        <v>33708</v>
      </c>
    </row>
    <row r="44460" spans="1:8">
      <c r="H44460" t="s">
        <v>35956</v>
      </c>
    </row>
    <row r="44461" spans="1:8">
      <c r="H44461" t="s">
        <v>35957</v>
      </c>
    </row>
    <row r="44462" spans="1:8">
      <c r="F44462" t="s">
        <v>14277</v>
      </c>
      <c r="G44462" t="s">
        <v>18224</v>
      </c>
      <c r="H44462" t="s">
        <v>26751</v>
      </c>
    </row>
    <row r="44463" spans="1:8">
      <c r="H44463" t="s">
        <v>33708</v>
      </c>
    </row>
    <row r="44464" spans="1:8">
      <c r="F44464" t="s">
        <v>14278</v>
      </c>
      <c r="G44464" t="s">
        <v>18225</v>
      </c>
      <c r="H44464" t="s">
        <v>35958</v>
      </c>
    </row>
    <row r="44465" spans="1:8">
      <c r="H44465" t="s">
        <v>35956</v>
      </c>
    </row>
    <row r="44466" spans="1:8">
      <c r="H44466" t="s">
        <v>35957</v>
      </c>
    </row>
    <row r="44467" spans="1:8">
      <c r="A44467" t="s">
        <v>3726</v>
      </c>
      <c r="B44467">
        <f>HYPERLINK("https://android.googlesource.com/platform/cts/+/83d6781e60e445f82d7d46f2fe5177466bfa9889", "83d6781e60e445f82d7d46f2fe5177466bfa9889")</f>
        <v>0</v>
      </c>
      <c r="C44467">
        <f>HYPERLINK("https://android.googlesource.com/platform/cts/+/d55e9ed1871c2a81cbd3e8f8f53645b0fb6ba1e0", "d55e9ed1871c2a81cbd3e8f8f53645b0fb6ba1e0")</f>
        <v>0</v>
      </c>
      <c r="D44467" t="s">
        <v>5526</v>
      </c>
      <c r="E44467" t="s">
        <v>9418</v>
      </c>
      <c r="F44467" t="s">
        <v>14439</v>
      </c>
      <c r="G44467" t="s">
        <v>18375</v>
      </c>
      <c r="H44467" t="s">
        <v>18863</v>
      </c>
    </row>
    <row r="44468" spans="1:8">
      <c r="H44468" t="s">
        <v>35960</v>
      </c>
    </row>
    <row r="44469" spans="1:8">
      <c r="H44469" t="s">
        <v>35961</v>
      </c>
    </row>
    <row r="44470" spans="1:8">
      <c r="H44470" t="s">
        <v>35962</v>
      </c>
    </row>
    <row r="44471" spans="1:8">
      <c r="H44471" t="s">
        <v>35963</v>
      </c>
    </row>
    <row r="44472" spans="1:8">
      <c r="H44472" t="s">
        <v>35964</v>
      </c>
    </row>
    <row r="44473" spans="1:8">
      <c r="H44473" t="s">
        <v>35965</v>
      </c>
    </row>
    <row r="44474" spans="1:8">
      <c r="H44474" t="s">
        <v>35966</v>
      </c>
    </row>
    <row r="44475" spans="1:8">
      <c r="H44475" t="s">
        <v>35967</v>
      </c>
    </row>
    <row r="44476" spans="1:8">
      <c r="H44476" t="s">
        <v>35968</v>
      </c>
    </row>
    <row r="44477" spans="1:8">
      <c r="H44477" t="s">
        <v>35969</v>
      </c>
    </row>
    <row r="44478" spans="1:8">
      <c r="A44478" t="s">
        <v>3727</v>
      </c>
      <c r="B44478">
        <f>HYPERLINK("https://android.googlesource.com/platform/cts/+/c91d2447f2913ab3739308732d1379a62d7e4f94", "c91d2447f2913ab3739308732d1379a62d7e4f94")</f>
        <v>0</v>
      </c>
      <c r="C44478">
        <f>HYPERLINK("https://android.googlesource.com/platform/cts/+/c7c52424bfd75372369c1e86d504d76c2280f70e", "c7c52424bfd75372369c1e86d504d76c2280f70e")</f>
        <v>0</v>
      </c>
      <c r="D44478" t="s">
        <v>5134</v>
      </c>
      <c r="E44478" t="s">
        <v>9419</v>
      </c>
      <c r="F44478" t="s">
        <v>12901</v>
      </c>
      <c r="G44478" t="s">
        <v>17068</v>
      </c>
      <c r="H44478" t="s">
        <v>35970</v>
      </c>
    </row>
    <row r="44479" spans="1:8">
      <c r="H44479" t="s">
        <v>19019</v>
      </c>
    </row>
    <row r="44480" spans="1:8">
      <c r="H44480" t="s">
        <v>35971</v>
      </c>
    </row>
    <row r="44481" spans="1:8">
      <c r="A44481" t="s">
        <v>3728</v>
      </c>
      <c r="B44481">
        <f>HYPERLINK("https://android.googlesource.com/platform/cts/+/6fbcac0cdf2f256eb2811b931cc8a64af2654f35", "6fbcac0cdf2f256eb2811b931cc8a64af2654f35")</f>
        <v>0</v>
      </c>
      <c r="C44481">
        <f>HYPERLINK("https://android.googlesource.com/platform/cts/+/a069b5e6b7abbdae88b26c69845df0b8110e23d9", "a069b5e6b7abbdae88b26c69845df0b8110e23d9")</f>
        <v>0</v>
      </c>
      <c r="D44481" t="s">
        <v>5445</v>
      </c>
      <c r="E44481" t="s">
        <v>9420</v>
      </c>
      <c r="F44481" t="s">
        <v>14440</v>
      </c>
      <c r="G44481" t="s">
        <v>18376</v>
      </c>
      <c r="H44481" t="s">
        <v>35972</v>
      </c>
    </row>
    <row r="44482" spans="1:8">
      <c r="A44482" t="s">
        <v>3729</v>
      </c>
      <c r="B44482">
        <f>HYPERLINK("https://android.googlesource.com/platform/cts/+/31d8d8db847f3af3fe9418f801bd3299821c630d", "31d8d8db847f3af3fe9418f801bd3299821c630d")</f>
        <v>0</v>
      </c>
      <c r="C44482">
        <f>HYPERLINK("https://android.googlesource.com/platform/cts/+/0568efb5a632d0f67cc5614c96f4a62cc31ea71a", "0568efb5a632d0f67cc5614c96f4a62cc31ea71a")</f>
        <v>0</v>
      </c>
      <c r="D44482" t="s">
        <v>5096</v>
      </c>
      <c r="E44482" t="s">
        <v>9421</v>
      </c>
      <c r="F44482" t="s">
        <v>14441</v>
      </c>
      <c r="G44482" t="s">
        <v>18377</v>
      </c>
      <c r="H44482" t="s">
        <v>35973</v>
      </c>
    </row>
    <row r="44483" spans="1:8">
      <c r="H44483" t="s">
        <v>32999</v>
      </c>
    </row>
    <row r="44484" spans="1:8">
      <c r="H44484" t="s">
        <v>35974</v>
      </c>
    </row>
    <row r="44485" spans="1:8">
      <c r="H44485" t="s">
        <v>35975</v>
      </c>
    </row>
    <row r="44486" spans="1:8">
      <c r="H44486" t="s">
        <v>35976</v>
      </c>
    </row>
    <row r="44487" spans="1:8">
      <c r="H44487" t="s">
        <v>35977</v>
      </c>
    </row>
    <row r="44488" spans="1:8">
      <c r="H44488" t="s">
        <v>35978</v>
      </c>
    </row>
    <row r="44489" spans="1:8">
      <c r="H44489" t="s">
        <v>35979</v>
      </c>
    </row>
    <row r="44490" spans="1:8">
      <c r="H44490" t="s">
        <v>31669</v>
      </c>
    </row>
    <row r="44491" spans="1:8">
      <c r="H44491" t="s">
        <v>32388</v>
      </c>
    </row>
    <row r="44492" spans="1:8">
      <c r="H44492" t="s">
        <v>35980</v>
      </c>
    </row>
    <row r="44493" spans="1:8">
      <c r="H44493" t="s">
        <v>35981</v>
      </c>
    </row>
    <row r="44494" spans="1:8">
      <c r="H44494" t="s">
        <v>35982</v>
      </c>
    </row>
    <row r="44495" spans="1:8">
      <c r="H44495" t="s">
        <v>31788</v>
      </c>
    </row>
    <row r="44496" spans="1:8">
      <c r="H44496" t="s">
        <v>31789</v>
      </c>
    </row>
    <row r="44497" spans="6:8">
      <c r="H44497" t="s">
        <v>35983</v>
      </c>
    </row>
    <row r="44498" spans="6:8">
      <c r="H44498" t="s">
        <v>35984</v>
      </c>
    </row>
    <row r="44499" spans="6:8">
      <c r="H44499" t="s">
        <v>35985</v>
      </c>
    </row>
    <row r="44500" spans="6:8">
      <c r="F44500" t="s">
        <v>14442</v>
      </c>
      <c r="G44500" t="s">
        <v>18378</v>
      </c>
      <c r="H44500" t="s">
        <v>35973</v>
      </c>
    </row>
    <row r="44501" spans="6:8">
      <c r="H44501" t="s">
        <v>32999</v>
      </c>
    </row>
    <row r="44502" spans="6:8">
      <c r="H44502" t="s">
        <v>35974</v>
      </c>
    </row>
    <row r="44503" spans="6:8">
      <c r="H44503" t="s">
        <v>35975</v>
      </c>
    </row>
    <row r="44504" spans="6:8">
      <c r="H44504" t="s">
        <v>35976</v>
      </c>
    </row>
    <row r="44505" spans="6:8">
      <c r="H44505" t="s">
        <v>35977</v>
      </c>
    </row>
    <row r="44506" spans="6:8">
      <c r="H44506" t="s">
        <v>35978</v>
      </c>
    </row>
    <row r="44507" spans="6:8">
      <c r="H44507" t="s">
        <v>35979</v>
      </c>
    </row>
    <row r="44508" spans="6:8">
      <c r="H44508" t="s">
        <v>31669</v>
      </c>
    </row>
    <row r="44509" spans="6:8">
      <c r="H44509" t="s">
        <v>32388</v>
      </c>
    </row>
    <row r="44510" spans="6:8">
      <c r="H44510" t="s">
        <v>35986</v>
      </c>
    </row>
    <row r="44511" spans="6:8">
      <c r="H44511" t="s">
        <v>35987</v>
      </c>
    </row>
    <row r="44512" spans="6:8">
      <c r="H44512" t="s">
        <v>34746</v>
      </c>
    </row>
    <row r="44513" spans="6:8">
      <c r="H44513" t="s">
        <v>35988</v>
      </c>
    </row>
    <row r="44514" spans="6:8">
      <c r="H44514" t="s">
        <v>35989</v>
      </c>
    </row>
    <row r="44515" spans="6:8">
      <c r="H44515" t="s">
        <v>35990</v>
      </c>
    </row>
    <row r="44516" spans="6:8">
      <c r="H44516" t="s">
        <v>35991</v>
      </c>
    </row>
    <row r="44517" spans="6:8">
      <c r="H44517" t="s">
        <v>35992</v>
      </c>
    </row>
    <row r="44518" spans="6:8">
      <c r="H44518" t="s">
        <v>35981</v>
      </c>
    </row>
    <row r="44519" spans="6:8">
      <c r="H44519" t="s">
        <v>35982</v>
      </c>
    </row>
    <row r="44520" spans="6:8">
      <c r="H44520" t="s">
        <v>31788</v>
      </c>
    </row>
    <row r="44521" spans="6:8">
      <c r="H44521" t="s">
        <v>31789</v>
      </c>
    </row>
    <row r="44522" spans="6:8">
      <c r="H44522" t="s">
        <v>35983</v>
      </c>
    </row>
    <row r="44523" spans="6:8">
      <c r="H44523" t="s">
        <v>35993</v>
      </c>
    </row>
    <row r="44524" spans="6:8">
      <c r="H44524" t="s">
        <v>35985</v>
      </c>
    </row>
    <row r="44525" spans="6:8">
      <c r="F44525" t="s">
        <v>14443</v>
      </c>
      <c r="G44525" t="s">
        <v>18121</v>
      </c>
      <c r="H44525" t="s">
        <v>35973</v>
      </c>
    </row>
    <row r="44526" spans="6:8">
      <c r="H44526" t="s">
        <v>32999</v>
      </c>
    </row>
    <row r="44527" spans="6:8">
      <c r="H44527" t="s">
        <v>35974</v>
      </c>
    </row>
    <row r="44528" spans="6:8">
      <c r="H44528" t="s">
        <v>35979</v>
      </c>
    </row>
    <row r="44529" spans="6:8">
      <c r="H44529" t="s">
        <v>31669</v>
      </c>
    </row>
    <row r="44530" spans="6:8">
      <c r="H44530" t="s">
        <v>32388</v>
      </c>
    </row>
    <row r="44531" spans="6:8">
      <c r="H44531" t="s">
        <v>35986</v>
      </c>
    </row>
    <row r="44532" spans="6:8">
      <c r="H44532" t="s">
        <v>35987</v>
      </c>
    </row>
    <row r="44533" spans="6:8">
      <c r="H44533" t="s">
        <v>34746</v>
      </c>
    </row>
    <row r="44534" spans="6:8">
      <c r="H44534" t="s">
        <v>35988</v>
      </c>
    </row>
    <row r="44535" spans="6:8">
      <c r="H44535" t="s">
        <v>35989</v>
      </c>
    </row>
    <row r="44536" spans="6:8">
      <c r="H44536" t="s">
        <v>35990</v>
      </c>
    </row>
    <row r="44537" spans="6:8">
      <c r="H44537" t="s">
        <v>35991</v>
      </c>
    </row>
    <row r="44538" spans="6:8">
      <c r="H44538" t="s">
        <v>35992</v>
      </c>
    </row>
    <row r="44539" spans="6:8">
      <c r="H44539" t="s">
        <v>35981</v>
      </c>
    </row>
    <row r="44540" spans="6:8">
      <c r="H44540" t="s">
        <v>35994</v>
      </c>
    </row>
    <row r="44541" spans="6:8">
      <c r="H44541" t="s">
        <v>35975</v>
      </c>
    </row>
    <row r="44542" spans="6:8">
      <c r="H44542" t="s">
        <v>35976</v>
      </c>
    </row>
    <row r="44543" spans="6:8">
      <c r="H44543" t="s">
        <v>35995</v>
      </c>
    </row>
    <row r="44544" spans="6:8">
      <c r="F44544" t="s">
        <v>14295</v>
      </c>
      <c r="G44544" t="s">
        <v>18257</v>
      </c>
      <c r="H44544" t="s">
        <v>35973</v>
      </c>
    </row>
    <row r="44545" spans="1:8">
      <c r="H44545" t="s">
        <v>32999</v>
      </c>
    </row>
    <row r="44546" spans="1:8">
      <c r="H44546" t="s">
        <v>35974</v>
      </c>
    </row>
    <row r="44547" spans="1:8">
      <c r="H44547" t="s">
        <v>35984</v>
      </c>
    </row>
    <row r="44548" spans="1:8">
      <c r="H44548" t="s">
        <v>35979</v>
      </c>
    </row>
    <row r="44549" spans="1:8">
      <c r="H44549" t="s">
        <v>31669</v>
      </c>
    </row>
    <row r="44550" spans="1:8">
      <c r="H44550" t="s">
        <v>32388</v>
      </c>
    </row>
    <row r="44551" spans="1:8">
      <c r="H44551" t="s">
        <v>35978</v>
      </c>
    </row>
    <row r="44552" spans="1:8">
      <c r="H44552" t="s">
        <v>35996</v>
      </c>
    </row>
    <row r="44553" spans="1:8">
      <c r="A44553" t="s">
        <v>3730</v>
      </c>
      <c r="B44553">
        <f>HYPERLINK("https://android.googlesource.com/platform/cts/+/4b6a943d058ea5390ed5e21cd3db26727049df05", "4b6a943d058ea5390ed5e21cd3db26727049df05")</f>
        <v>0</v>
      </c>
      <c r="C44553">
        <f>HYPERLINK("https://android.googlesource.com/platform/cts/+/1cb88b8acd7abb57f3e86bdd70a3476dfb42d5c6", "1cb88b8acd7abb57f3e86bdd70a3476dfb42d5c6")</f>
        <v>0</v>
      </c>
      <c r="D44553" t="s">
        <v>5613</v>
      </c>
      <c r="E44553" t="s">
        <v>9422</v>
      </c>
      <c r="F44553" t="s">
        <v>14444</v>
      </c>
      <c r="G44553" t="s">
        <v>18379</v>
      </c>
      <c r="H44553" t="s">
        <v>35997</v>
      </c>
    </row>
    <row r="44554" spans="1:8">
      <c r="F44554" t="s">
        <v>14445</v>
      </c>
      <c r="G44554" t="s">
        <v>18380</v>
      </c>
      <c r="H44554" t="s">
        <v>35998</v>
      </c>
    </row>
    <row r="44555" spans="1:8">
      <c r="A44555" t="s">
        <v>3731</v>
      </c>
      <c r="B44555">
        <f>HYPERLINK("https://android.googlesource.com/platform/cts/+/8a6ab2481d75b63cf31620f6a30cd924f405988e", "8a6ab2481d75b63cf31620f6a30cd924f405988e")</f>
        <v>0</v>
      </c>
      <c r="C44555">
        <f>HYPERLINK("https://android.googlesource.com/platform/cts/+/74edde3fcdbe3c546c535fa8fcd6ad465b7f0e09", "74edde3fcdbe3c546c535fa8fcd6ad465b7f0e09")</f>
        <v>0</v>
      </c>
      <c r="D44555" t="s">
        <v>5569</v>
      </c>
      <c r="E44555" t="s">
        <v>9423</v>
      </c>
      <c r="F44555" t="s">
        <v>14446</v>
      </c>
      <c r="G44555" t="s">
        <v>18381</v>
      </c>
      <c r="H44555" t="s">
        <v>35999</v>
      </c>
    </row>
    <row r="44556" spans="1:8">
      <c r="H44556" t="s">
        <v>36000</v>
      </c>
    </row>
    <row r="44557" spans="1:8">
      <c r="F44557" t="s">
        <v>14414</v>
      </c>
      <c r="G44557" t="s">
        <v>18352</v>
      </c>
      <c r="H44557" t="s">
        <v>36001</v>
      </c>
    </row>
    <row r="44558" spans="1:8">
      <c r="H44558" t="s">
        <v>36002</v>
      </c>
    </row>
    <row r="44559" spans="1:8">
      <c r="A44559" t="s">
        <v>3732</v>
      </c>
      <c r="B44559">
        <f>HYPERLINK("https://android.googlesource.com/platform/cts/+/8fd8fdcc467953bcec65fddc8c0a237f2b3c6f31", "8fd8fdcc467953bcec65fddc8c0a237f2b3c6f31")</f>
        <v>0</v>
      </c>
      <c r="C44559">
        <f>HYPERLINK("https://android.googlesource.com/platform/cts/+/e5c823749a8cdd82b2d43997f1086fd424dd0e81", "e5c823749a8cdd82b2d43997f1086fd424dd0e81")</f>
        <v>0</v>
      </c>
      <c r="D44559" t="s">
        <v>5409</v>
      </c>
      <c r="E44559" t="s">
        <v>9424</v>
      </c>
      <c r="F44559" t="s">
        <v>14447</v>
      </c>
      <c r="G44559" t="s">
        <v>18382</v>
      </c>
      <c r="H44559" t="s">
        <v>36003</v>
      </c>
    </row>
    <row r="44560" spans="1:8">
      <c r="A44560" t="s">
        <v>3733</v>
      </c>
      <c r="B44560">
        <f>HYPERLINK("https://android.googlesource.com/platform/cts/+/b7cfa1e06a11b3c1a0f3ee3c29ab175e73200d13", "b7cfa1e06a11b3c1a0f3ee3c29ab175e73200d13")</f>
        <v>0</v>
      </c>
      <c r="C44560">
        <f>HYPERLINK("https://android.googlesource.com/platform/cts/+/8fd8fdcc467953bcec65fddc8c0a237f2b3c6f31", "8fd8fdcc467953bcec65fddc8c0a237f2b3c6f31")</f>
        <v>0</v>
      </c>
      <c r="D44560" t="s">
        <v>5409</v>
      </c>
      <c r="E44560" t="s">
        <v>9425</v>
      </c>
      <c r="F44560" t="s">
        <v>14448</v>
      </c>
      <c r="G44560" t="s">
        <v>18383</v>
      </c>
      <c r="H44560" t="s">
        <v>36004</v>
      </c>
    </row>
    <row r="44561" spans="1:8">
      <c r="H44561" t="s">
        <v>36005</v>
      </c>
    </row>
    <row r="44562" spans="1:8">
      <c r="A44562" t="s">
        <v>3734</v>
      </c>
      <c r="B44562">
        <f>HYPERLINK("https://android.googlesource.com/platform/cts/+/e4e67c08d245ccfb445fdf8e1ed1a44c1ee69322", "e4e67c08d245ccfb445fdf8e1ed1a44c1ee69322")</f>
        <v>0</v>
      </c>
      <c r="C44562">
        <f>HYPERLINK("https://android.googlesource.com/platform/cts/+/74edde3fcdbe3c546c535fa8fcd6ad465b7f0e09", "74edde3fcdbe3c546c535fa8fcd6ad465b7f0e09")</f>
        <v>0</v>
      </c>
      <c r="D44562" t="s">
        <v>5573</v>
      </c>
      <c r="E44562" t="s">
        <v>9426</v>
      </c>
      <c r="F44562" t="s">
        <v>14165</v>
      </c>
      <c r="G44562" t="s">
        <v>17361</v>
      </c>
      <c r="H44562" t="s">
        <v>36006</v>
      </c>
    </row>
    <row r="44563" spans="1:8">
      <c r="A44563" t="s">
        <v>3735</v>
      </c>
      <c r="B44563">
        <f>HYPERLINK("https://android.googlesource.com/platform/cts/+/af4876f720a1a3107e1eef2d8ae6a9a12cecdaec", "af4876f720a1a3107e1eef2d8ae6a9a12cecdaec")</f>
        <v>0</v>
      </c>
      <c r="C44563">
        <f>HYPERLINK("https://android.googlesource.com/platform/cts/+/571fec2537da2c7507d376de364938ca0001a8cd", "571fec2537da2c7507d376de364938ca0001a8cd")</f>
        <v>0</v>
      </c>
      <c r="D44563" t="s">
        <v>5614</v>
      </c>
      <c r="E44563" t="s">
        <v>9427</v>
      </c>
      <c r="F44563" t="s">
        <v>13171</v>
      </c>
      <c r="G44563" t="s">
        <v>16410</v>
      </c>
      <c r="H44563" t="s">
        <v>36007</v>
      </c>
    </row>
    <row r="44564" spans="1:8">
      <c r="A44564" t="s">
        <v>3736</v>
      </c>
      <c r="B44564">
        <f>HYPERLINK("https://android.googlesource.com/platform/cts/+/df8143501a2d0915714047e02e7035c292b49c6b", "df8143501a2d0915714047e02e7035c292b49c6b")</f>
        <v>0</v>
      </c>
      <c r="C44564">
        <f>HYPERLINK("https://android.googlesource.com/platform/cts/+/576ca5f604f7c35c7e3874f28b22d322fbca26de", "576ca5f604f7c35c7e3874f28b22d322fbca26de")</f>
        <v>0</v>
      </c>
      <c r="D44564" t="s">
        <v>5417</v>
      </c>
      <c r="E44564" t="s">
        <v>9428</v>
      </c>
      <c r="F44564" t="s">
        <v>14033</v>
      </c>
      <c r="G44564" t="s">
        <v>18030</v>
      </c>
      <c r="H44564" t="s">
        <v>36008</v>
      </c>
    </row>
    <row r="44565" spans="1:8">
      <c r="A44565" t="s">
        <v>3737</v>
      </c>
      <c r="B44565">
        <f>HYPERLINK("https://android.googlesource.com/platform/cts/+/db38189de799f2e5ea11db7f3c4db82ac2efbef6", "db38189de799f2e5ea11db7f3c4db82ac2efbef6")</f>
        <v>0</v>
      </c>
      <c r="C44565">
        <f>HYPERLINK("https://android.googlesource.com/platform/cts/+/6a446b36070a0063b94e1cbb0383316e1304ed18", "6a446b36070a0063b94e1cbb0383316e1304ed18")</f>
        <v>0</v>
      </c>
      <c r="D44565" t="s">
        <v>5406</v>
      </c>
      <c r="E44565" t="s">
        <v>9429</v>
      </c>
      <c r="F44565" t="s">
        <v>14449</v>
      </c>
      <c r="G44565" t="s">
        <v>18384</v>
      </c>
      <c r="H44565" t="s">
        <v>30030</v>
      </c>
    </row>
    <row r="44566" spans="1:8">
      <c r="H44566" t="s">
        <v>36009</v>
      </c>
    </row>
    <row r="44567" spans="1:8">
      <c r="F44567" t="s">
        <v>14450</v>
      </c>
      <c r="G44567" t="s">
        <v>18385</v>
      </c>
      <c r="H44567" t="s">
        <v>36010</v>
      </c>
    </row>
    <row r="44568" spans="1:8">
      <c r="A44568" t="s">
        <v>3738</v>
      </c>
      <c r="B44568">
        <f>HYPERLINK("https://android.googlesource.com/platform/cts/+/f0441482337ce61b0aea8b814a36f08b55c673b6", "f0441482337ce61b0aea8b814a36f08b55c673b6")</f>
        <v>0</v>
      </c>
      <c r="C44568">
        <f>HYPERLINK("https://android.googlesource.com/platform/cts/+/f264954af926255a3811a0b9d09a7a8db2f084a7", "f264954af926255a3811a0b9d09a7a8db2f084a7")</f>
        <v>0</v>
      </c>
      <c r="D44568" t="s">
        <v>5134</v>
      </c>
      <c r="E44568" t="s">
        <v>9430</v>
      </c>
      <c r="F44568" t="s">
        <v>12901</v>
      </c>
      <c r="G44568" t="s">
        <v>17068</v>
      </c>
      <c r="H44568" t="s">
        <v>33981</v>
      </c>
    </row>
    <row r="44569" spans="1:8">
      <c r="H44569" t="s">
        <v>33498</v>
      </c>
    </row>
    <row r="44570" spans="1:8">
      <c r="H44570" t="s">
        <v>36011</v>
      </c>
    </row>
    <row r="44571" spans="1:8">
      <c r="H44571" t="s">
        <v>36012</v>
      </c>
    </row>
    <row r="44572" spans="1:8">
      <c r="H44572" t="s">
        <v>36013</v>
      </c>
    </row>
    <row r="44573" spans="1:8">
      <c r="H44573" t="s">
        <v>36014</v>
      </c>
    </row>
    <row r="44574" spans="1:8">
      <c r="A44574" t="s">
        <v>3739</v>
      </c>
      <c r="B44574">
        <f>HYPERLINK("https://android.googlesource.com/platform/cts/+/3f29a3c391b7addf26bf4be28674b85f04ddca7a", "3f29a3c391b7addf26bf4be28674b85f04ddca7a")</f>
        <v>0</v>
      </c>
      <c r="C44574">
        <f>HYPERLINK("https://android.googlesource.com/platform/cts/+/e1d5ee1ea81a406a2d935574dc3f6888d1c23c51", "e1d5ee1ea81a406a2d935574dc3f6888d1c23c51")</f>
        <v>0</v>
      </c>
      <c r="D44574" t="s">
        <v>5051</v>
      </c>
      <c r="E44574" t="s">
        <v>9431</v>
      </c>
      <c r="F44574" t="s">
        <v>14440</v>
      </c>
      <c r="G44574" t="s">
        <v>18376</v>
      </c>
      <c r="H44574" t="s">
        <v>36015</v>
      </c>
    </row>
    <row r="44575" spans="1:8">
      <c r="H44575" t="s">
        <v>36016</v>
      </c>
    </row>
    <row r="44576" spans="1:8">
      <c r="H44576" t="s">
        <v>36017</v>
      </c>
    </row>
    <row r="44577" spans="1:8">
      <c r="A44577" t="s">
        <v>3740</v>
      </c>
      <c r="B44577">
        <f>HYPERLINK("https://android.googlesource.com/platform/cts/+/e6e62dc8404d042f071760f1335b35aa116d3236", "e6e62dc8404d042f071760f1335b35aa116d3236")</f>
        <v>0</v>
      </c>
      <c r="C44577">
        <f>HYPERLINK("https://android.googlesource.com/platform/cts/+/675d85d9a24003e0992475703249a98fed616496", "675d85d9a24003e0992475703249a98fed616496")</f>
        <v>0</v>
      </c>
      <c r="D44577" t="s">
        <v>5409</v>
      </c>
      <c r="E44577" t="s">
        <v>9432</v>
      </c>
      <c r="F44577" t="s">
        <v>14451</v>
      </c>
      <c r="G44577" t="s">
        <v>18386</v>
      </c>
      <c r="H44577" t="s">
        <v>30327</v>
      </c>
    </row>
    <row r="44578" spans="1:8">
      <c r="H44578" t="s">
        <v>36018</v>
      </c>
    </row>
    <row r="44579" spans="1:8">
      <c r="H44579" t="s">
        <v>36019</v>
      </c>
    </row>
    <row r="44580" spans="1:8">
      <c r="H44580" t="s">
        <v>36020</v>
      </c>
    </row>
    <row r="44581" spans="1:8">
      <c r="H44581" t="s">
        <v>36021</v>
      </c>
    </row>
    <row r="44582" spans="1:8">
      <c r="H44582" t="s">
        <v>36022</v>
      </c>
    </row>
    <row r="44583" spans="1:8">
      <c r="H44583" t="s">
        <v>36023</v>
      </c>
    </row>
    <row r="44584" spans="1:8">
      <c r="H44584" t="s">
        <v>36024</v>
      </c>
    </row>
    <row r="44585" spans="1:8">
      <c r="H44585" t="s">
        <v>36025</v>
      </c>
    </row>
    <row r="44586" spans="1:8">
      <c r="H44586" t="s">
        <v>36026</v>
      </c>
    </row>
    <row r="44587" spans="1:8">
      <c r="H44587" t="s">
        <v>36027</v>
      </c>
    </row>
    <row r="44588" spans="1:8">
      <c r="H44588" t="s">
        <v>36028</v>
      </c>
    </row>
    <row r="44589" spans="1:8">
      <c r="H44589" t="s">
        <v>36029</v>
      </c>
    </row>
    <row r="44590" spans="1:8">
      <c r="A44590" t="s">
        <v>3741</v>
      </c>
      <c r="B44590">
        <f>HYPERLINK("https://android.googlesource.com/platform/cts/+/274bbe081f3553cfca6f7206afde650b21092ae8", "274bbe081f3553cfca6f7206afde650b21092ae8")</f>
        <v>0</v>
      </c>
      <c r="C44590">
        <f>HYPERLINK("https://android.googlesource.com/platform/cts/+/8fa0a17c661617da954e06cfa888078de773dbd1", "8fa0a17c661617da954e06cfa888078de773dbd1")</f>
        <v>0</v>
      </c>
      <c r="D44590" t="s">
        <v>5409</v>
      </c>
      <c r="E44590" t="s">
        <v>9433</v>
      </c>
      <c r="F44590" t="s">
        <v>14415</v>
      </c>
      <c r="G44590" t="s">
        <v>18353</v>
      </c>
      <c r="H44590" t="s">
        <v>22587</v>
      </c>
    </row>
    <row r="44591" spans="1:8">
      <c r="F44591" t="s">
        <v>14426</v>
      </c>
      <c r="G44591" t="s">
        <v>18364</v>
      </c>
      <c r="H44591" t="s">
        <v>22587</v>
      </c>
    </row>
    <row r="44592" spans="1:8">
      <c r="H44592" t="s">
        <v>33498</v>
      </c>
    </row>
    <row r="44593" spans="1:8">
      <c r="A44593" t="s">
        <v>3742</v>
      </c>
      <c r="B44593">
        <f>HYPERLINK("https://android.googlesource.com/platform/cts/+/c8fbdf78ba45998832f137231d153d9b2fef05b3", "c8fbdf78ba45998832f137231d153d9b2fef05b3")</f>
        <v>0</v>
      </c>
      <c r="C44593">
        <f>HYPERLINK("https://android.googlesource.com/platform/cts/+/41ae130b6e11d90518dc4a7d2477352499bf237f", "41ae130b6e11d90518dc4a7d2477352499bf237f")</f>
        <v>0</v>
      </c>
      <c r="D44593" t="s">
        <v>5409</v>
      </c>
      <c r="E44593" t="s">
        <v>9434</v>
      </c>
      <c r="F44593" t="s">
        <v>14426</v>
      </c>
      <c r="G44593" t="s">
        <v>18364</v>
      </c>
      <c r="H44593" t="s">
        <v>36030</v>
      </c>
    </row>
    <row r="44594" spans="1:8">
      <c r="H44594" t="s">
        <v>36031</v>
      </c>
    </row>
    <row r="44595" spans="1:8">
      <c r="H44595" t="s">
        <v>36032</v>
      </c>
    </row>
    <row r="44596" spans="1:8">
      <c r="A44596" t="s">
        <v>3743</v>
      </c>
      <c r="B44596">
        <f>HYPERLINK("https://android.googlesource.com/platform/cts/+/4ecc10012f85911353b7f924f7cf7d6b0d4290d0", "4ecc10012f85911353b7f924f7cf7d6b0d4290d0")</f>
        <v>0</v>
      </c>
      <c r="C44596">
        <f>HYPERLINK("https://android.googlesource.com/platform/cts/+/3d87c3ae994ec7d4496cb0c62ae3c517a3aecc0c", "3d87c3ae994ec7d4496cb0c62ae3c517a3aecc0c")</f>
        <v>0</v>
      </c>
      <c r="D44596" t="s">
        <v>5409</v>
      </c>
      <c r="E44596" t="s">
        <v>9435</v>
      </c>
      <c r="F44596" t="s">
        <v>14451</v>
      </c>
      <c r="G44596" t="s">
        <v>18386</v>
      </c>
      <c r="H44596" t="s">
        <v>36033</v>
      </c>
    </row>
    <row r="44597" spans="1:8">
      <c r="A44597" t="s">
        <v>3744</v>
      </c>
      <c r="B44597">
        <f>HYPERLINK("https://android.googlesource.com/platform/cts/+/d2b2f01dd292a939f4bac72c0c19fd36b3bb5588", "d2b2f01dd292a939f4bac72c0c19fd36b3bb5588")</f>
        <v>0</v>
      </c>
      <c r="C44597">
        <f>HYPERLINK("https://android.googlesource.com/platform/cts/+/ce2d2633ad00e8f2d0ea59c0c1e972f29c8a0661", "ce2d2633ad00e8f2d0ea59c0c1e972f29c8a0661")</f>
        <v>0</v>
      </c>
      <c r="D44597" t="s">
        <v>5051</v>
      </c>
      <c r="E44597" t="s">
        <v>9436</v>
      </c>
      <c r="F44597" t="s">
        <v>14440</v>
      </c>
      <c r="G44597" t="s">
        <v>18376</v>
      </c>
      <c r="H44597" t="s">
        <v>36015</v>
      </c>
    </row>
    <row r="44598" spans="1:8">
      <c r="H44598" t="s">
        <v>36016</v>
      </c>
    </row>
    <row r="44599" spans="1:8">
      <c r="H44599" t="s">
        <v>36017</v>
      </c>
    </row>
    <row r="44600" spans="1:8">
      <c r="A44600" t="s">
        <v>3745</v>
      </c>
      <c r="B44600">
        <f>HYPERLINK("https://android.googlesource.com/platform/cts/+/efee9aec2a652f3467d8da58ab9f70f673660c3c", "efee9aec2a652f3467d8da58ab9f70f673660c3c")</f>
        <v>0</v>
      </c>
      <c r="C44600">
        <f>HYPERLINK("https://android.googlesource.com/platform/cts/+/981000112934c5117c1d6e171dd85093e02a2086", "981000112934c5117c1d6e171dd85093e02a2086")</f>
        <v>0</v>
      </c>
      <c r="D44600" t="s">
        <v>5139</v>
      </c>
      <c r="E44600" t="s">
        <v>9437</v>
      </c>
      <c r="F44600" t="s">
        <v>13978</v>
      </c>
      <c r="G44600" t="s">
        <v>18003</v>
      </c>
      <c r="H44600" t="s">
        <v>36034</v>
      </c>
    </row>
    <row r="44601" spans="1:8">
      <c r="A44601" t="s">
        <v>3746</v>
      </c>
      <c r="B44601">
        <f>HYPERLINK("https://android.googlesource.com/platform/cts/+/c88850c7c737d21c5b07e110b89f1de282838eca", "c88850c7c737d21c5b07e110b89f1de282838eca")</f>
        <v>0</v>
      </c>
      <c r="C44601">
        <f>HYPERLINK("https://android.googlesource.com/platform/cts/+/42b0c79b60cbfb151f7b4f9e053fc716c41c2c51", "42b0c79b60cbfb151f7b4f9e053fc716c41c2c51")</f>
        <v>0</v>
      </c>
      <c r="D44601" t="s">
        <v>5526</v>
      </c>
      <c r="E44601" t="s">
        <v>9438</v>
      </c>
      <c r="F44601" t="s">
        <v>14439</v>
      </c>
      <c r="G44601" t="s">
        <v>18375</v>
      </c>
      <c r="H44601" t="s">
        <v>18863</v>
      </c>
    </row>
    <row r="44602" spans="1:8">
      <c r="H44602" t="s">
        <v>35960</v>
      </c>
    </row>
    <row r="44603" spans="1:8">
      <c r="H44603" t="s">
        <v>35961</v>
      </c>
    </row>
    <row r="44604" spans="1:8">
      <c r="H44604" t="s">
        <v>35962</v>
      </c>
    </row>
    <row r="44605" spans="1:8">
      <c r="H44605" t="s">
        <v>35963</v>
      </c>
    </row>
    <row r="44606" spans="1:8">
      <c r="H44606" t="s">
        <v>35964</v>
      </c>
    </row>
    <row r="44607" spans="1:8">
      <c r="H44607" t="s">
        <v>35965</v>
      </c>
    </row>
    <row r="44608" spans="1:8">
      <c r="H44608" t="s">
        <v>35966</v>
      </c>
    </row>
    <row r="44609" spans="1:8">
      <c r="H44609" t="s">
        <v>35967</v>
      </c>
    </row>
    <row r="44610" spans="1:8">
      <c r="H44610" t="s">
        <v>35968</v>
      </c>
    </row>
    <row r="44611" spans="1:8">
      <c r="H44611" t="s">
        <v>35969</v>
      </c>
    </row>
    <row r="44612" spans="1:8">
      <c r="A44612" t="s">
        <v>3747</v>
      </c>
      <c r="B44612">
        <f>HYPERLINK("https://android.googlesource.com/platform/cts/+/206d8c16beeb10c6e074f9d11e912b08b7c9e334", "206d8c16beeb10c6e074f9d11e912b08b7c9e334")</f>
        <v>0</v>
      </c>
      <c r="C44612">
        <f>HYPERLINK("https://android.googlesource.com/platform/cts/+/bb6067542f038846f978ab964f226f8fd48f0012", "bb6067542f038846f978ab964f226f8fd48f0012")</f>
        <v>0</v>
      </c>
      <c r="D44612" t="s">
        <v>5408</v>
      </c>
      <c r="E44612" t="s">
        <v>9439</v>
      </c>
      <c r="F44612" t="s">
        <v>14128</v>
      </c>
      <c r="G44612" t="s">
        <v>18118</v>
      </c>
      <c r="H44612" t="s">
        <v>36035</v>
      </c>
    </row>
    <row r="44613" spans="1:8">
      <c r="A44613" t="s">
        <v>3748</v>
      </c>
      <c r="B44613">
        <f>HYPERLINK("https://android.googlesource.com/platform/cts/+/ffe16c9fc8cae179c6ac90cac988a5c6d5cf6f92", "ffe16c9fc8cae179c6ac90cac988a5c6d5cf6f92")</f>
        <v>0</v>
      </c>
      <c r="C44613">
        <f>HYPERLINK("https://android.googlesource.com/platform/cts/+/e25704d8305e8f7a556987f20a2bb869adb86e49", "e25704d8305e8f7a556987f20a2bb869adb86e49")</f>
        <v>0</v>
      </c>
      <c r="D44613" t="s">
        <v>5615</v>
      </c>
      <c r="E44613" t="s">
        <v>9440</v>
      </c>
      <c r="F44613" t="s">
        <v>14209</v>
      </c>
      <c r="G44613" t="s">
        <v>18185</v>
      </c>
      <c r="H44613" t="s">
        <v>36036</v>
      </c>
    </row>
    <row r="44614" spans="1:8">
      <c r="A44614" t="s">
        <v>3749</v>
      </c>
      <c r="B44614">
        <f>HYPERLINK("https://android.googlesource.com/platform/cts/+/f6d02a83a6410811118ef424c8d988a381c3c572", "f6d02a83a6410811118ef424c8d988a381c3c572")</f>
        <v>0</v>
      </c>
      <c r="C44614">
        <f>HYPERLINK("https://android.googlesource.com/platform/cts/+/9f07542f5fc80fc55d842ed88834750dd89e6e3e", "9f07542f5fc80fc55d842ed88834750dd89e6e3e")</f>
        <v>0</v>
      </c>
      <c r="D44614" t="s">
        <v>5244</v>
      </c>
      <c r="E44614" t="s">
        <v>9441</v>
      </c>
      <c r="F44614" t="s">
        <v>14452</v>
      </c>
      <c r="G44614" t="s">
        <v>18387</v>
      </c>
      <c r="H44614" t="s">
        <v>18893</v>
      </c>
    </row>
    <row r="44615" spans="1:8">
      <c r="A44615" t="s">
        <v>3750</v>
      </c>
      <c r="B44615">
        <f>HYPERLINK("https://android.googlesource.com/platform/cts/+/fac247161a6b4f5b449c3f41a76d7884aa623227", "fac247161a6b4f5b449c3f41a76d7884aa623227")</f>
        <v>0</v>
      </c>
      <c r="C44615">
        <f>HYPERLINK("https://android.googlesource.com/platform/cts/+/f264954af926255a3811a0b9d09a7a8db2f084a7", "f264954af926255a3811a0b9d09a7a8db2f084a7")</f>
        <v>0</v>
      </c>
      <c r="D44615" t="s">
        <v>5493</v>
      </c>
      <c r="E44615" t="s">
        <v>9442</v>
      </c>
      <c r="F44615" t="s">
        <v>13271</v>
      </c>
      <c r="G44615" t="s">
        <v>17408</v>
      </c>
      <c r="H44615" t="s">
        <v>36037</v>
      </c>
    </row>
    <row r="44616" spans="1:8">
      <c r="H44616" t="s">
        <v>36038</v>
      </c>
    </row>
    <row r="44617" spans="1:8">
      <c r="A44617" t="s">
        <v>3751</v>
      </c>
      <c r="B44617">
        <f>HYPERLINK("https://android.googlesource.com/platform/cts/+/9570b0a128a725238667360614a19e14b1e7a6a1", "9570b0a128a725238667360614a19e14b1e7a6a1")</f>
        <v>0</v>
      </c>
      <c r="C44617">
        <f>HYPERLINK("https://android.googlesource.com/platform/cts/+/44b29dfe2e95da372ebc55ba70106d0eb0d29523", "44b29dfe2e95da372ebc55ba70106d0eb0d29523")</f>
        <v>0</v>
      </c>
      <c r="D44617" t="s">
        <v>5389</v>
      </c>
      <c r="E44617" t="s">
        <v>9443</v>
      </c>
      <c r="F44617" t="s">
        <v>13993</v>
      </c>
      <c r="G44617" t="s">
        <v>16600</v>
      </c>
      <c r="H44617" t="s">
        <v>35899</v>
      </c>
    </row>
    <row r="44618" spans="1:8">
      <c r="A44618" t="s">
        <v>3752</v>
      </c>
      <c r="B44618">
        <f>HYPERLINK("https://android.googlesource.com/platform/cts/+/a23fa28e585dd6da6e9cfcdec4b7ea0047d8274f", "a23fa28e585dd6da6e9cfcdec4b7ea0047d8274f")</f>
        <v>0</v>
      </c>
      <c r="C44618">
        <f>HYPERLINK("https://android.googlesource.com/platform/cts/+/c1d86c003a06efff27816c2d001f25a78298f268", "c1d86c003a06efff27816c2d001f25a78298f268")</f>
        <v>0</v>
      </c>
      <c r="D44618" t="s">
        <v>5389</v>
      </c>
      <c r="E44618" t="s">
        <v>9444</v>
      </c>
      <c r="F44618" t="s">
        <v>13993</v>
      </c>
      <c r="G44618" t="s">
        <v>16600</v>
      </c>
      <c r="H44618" t="s">
        <v>35899</v>
      </c>
    </row>
    <row r="44619" spans="1:8">
      <c r="A44619" t="s">
        <v>3753</v>
      </c>
      <c r="B44619">
        <f>HYPERLINK("https://android.googlesource.com/platform/cts/+/1f5fef414ffbc411e4541538b8cd17f79c18f6b2", "1f5fef414ffbc411e4541538b8cd17f79c18f6b2")</f>
        <v>0</v>
      </c>
      <c r="C44619">
        <f>HYPERLINK("https://android.googlesource.com/platform/cts/+/a462bd99f5ef00f9649edfe47fe7dc417944c8c6", "a462bd99f5ef00f9649edfe47fe7dc417944c8c6")</f>
        <v>0</v>
      </c>
      <c r="D44619" t="s">
        <v>5134</v>
      </c>
      <c r="E44619" t="s">
        <v>9445</v>
      </c>
      <c r="F44619" t="s">
        <v>12901</v>
      </c>
      <c r="G44619" t="s">
        <v>17068</v>
      </c>
      <c r="H44619" t="s">
        <v>18829</v>
      </c>
    </row>
    <row r="44620" spans="1:8">
      <c r="A44620" t="s">
        <v>3754</v>
      </c>
      <c r="B44620">
        <f>HYPERLINK("https://android.googlesource.com/platform/cts/+/a22fe7140e2f5fe79e5ef72e61a8ef6a5d5e368f", "a22fe7140e2f5fe79e5ef72e61a8ef6a5d5e368f")</f>
        <v>0</v>
      </c>
      <c r="C44620">
        <f>HYPERLINK("https://android.googlesource.com/platform/cts/+/2ff6a90313bbf7c4e17b60b7445715f6ccf186b2", "2ff6a90313bbf7c4e17b60b7445715f6ccf186b2")</f>
        <v>0</v>
      </c>
      <c r="D44620" t="s">
        <v>5616</v>
      </c>
      <c r="E44620" t="s">
        <v>9446</v>
      </c>
      <c r="F44620" t="s">
        <v>14453</v>
      </c>
      <c r="G44620" t="s">
        <v>18388</v>
      </c>
      <c r="H44620" t="s">
        <v>36039</v>
      </c>
    </row>
    <row r="44621" spans="1:8">
      <c r="H44621" t="s">
        <v>36040</v>
      </c>
    </row>
    <row r="44622" spans="1:8">
      <c r="A44622" t="s">
        <v>3755</v>
      </c>
      <c r="B44622">
        <f>HYPERLINK("https://android.googlesource.com/platform/cts/+/4a06ed539bdb2ba461adfa4bfe3991e185a3070e", "4a06ed539bdb2ba461adfa4bfe3991e185a3070e")</f>
        <v>0</v>
      </c>
      <c r="C44622">
        <f>HYPERLINK("https://android.googlesource.com/platform/cts/+/ae698835be3bfb2092f558f8d810dc8ea3a7a0f1", "ae698835be3bfb2092f558f8d810dc8ea3a7a0f1")</f>
        <v>0</v>
      </c>
      <c r="D44622" t="s">
        <v>5595</v>
      </c>
      <c r="E44622" t="s">
        <v>9447</v>
      </c>
      <c r="F44622" t="s">
        <v>14069</v>
      </c>
      <c r="G44622" t="s">
        <v>18067</v>
      </c>
      <c r="H44622" t="s">
        <v>36041</v>
      </c>
    </row>
    <row r="44623" spans="1:8">
      <c r="H44623" t="s">
        <v>34904</v>
      </c>
    </row>
    <row r="44624" spans="1:8">
      <c r="F44624" t="s">
        <v>14454</v>
      </c>
      <c r="G44624" t="s">
        <v>18389</v>
      </c>
      <c r="H44624" t="s">
        <v>36042</v>
      </c>
    </row>
    <row r="44625" spans="1:8">
      <c r="A44625" t="s">
        <v>3756</v>
      </c>
      <c r="B44625">
        <f>HYPERLINK("https://android.googlesource.com/platform/cts/+/ab3f8b42c44441909df1ee36f1ffb555949cb4ef", "ab3f8b42c44441909df1ee36f1ffb555949cb4ef")</f>
        <v>0</v>
      </c>
      <c r="C44625">
        <f>HYPERLINK("https://android.googlesource.com/platform/cts/+/04dfa0ad01ed4ff3afd0547722f676bc4933b4f4", "04dfa0ad01ed4ff3afd0547722f676bc4933b4f4")</f>
        <v>0</v>
      </c>
      <c r="D44625" t="s">
        <v>5599</v>
      </c>
      <c r="E44625" t="s">
        <v>9448</v>
      </c>
      <c r="F44625" t="s">
        <v>14455</v>
      </c>
      <c r="G44625" t="s">
        <v>18390</v>
      </c>
      <c r="H44625" t="s">
        <v>36043</v>
      </c>
    </row>
    <row r="44626" spans="1:8">
      <c r="A44626" t="s">
        <v>3757</v>
      </c>
      <c r="B44626">
        <f>HYPERLINK("https://android.googlesource.com/platform/cts/+/885786e9032d921c4f01e4f0da8167ba33330c13", "885786e9032d921c4f01e4f0da8167ba33330c13")</f>
        <v>0</v>
      </c>
      <c r="C44626">
        <f>HYPERLINK("https://android.googlesource.com/platform/cts/+/61cb276ddcb5ab91bc8fcb0a525dd61e3391f8b9", "61cb276ddcb5ab91bc8fcb0a525dd61e3391f8b9")</f>
        <v>0</v>
      </c>
      <c r="D44626" t="s">
        <v>5444</v>
      </c>
      <c r="E44626" t="s">
        <v>9449</v>
      </c>
      <c r="F44626" t="s">
        <v>14456</v>
      </c>
      <c r="G44626" t="s">
        <v>16873</v>
      </c>
      <c r="H44626" t="s">
        <v>36044</v>
      </c>
    </row>
    <row r="44627" spans="1:8">
      <c r="A44627" t="s">
        <v>3758</v>
      </c>
      <c r="B44627">
        <f>HYPERLINK("https://android.googlesource.com/platform/cts/+/57d9b6ae3fe73b4277251da50631c7837565655e", "57d9b6ae3fe73b4277251da50631c7837565655e")</f>
        <v>0</v>
      </c>
      <c r="C44627">
        <f>HYPERLINK("https://android.googlesource.com/platform/cts/+/1a74341cd5e78f2eb02c3edf78d06fae961e641e", "1a74341cd5e78f2eb02c3edf78d06fae961e641e")</f>
        <v>0</v>
      </c>
      <c r="D44627" t="s">
        <v>5485</v>
      </c>
      <c r="E44627" t="s">
        <v>9450</v>
      </c>
      <c r="F44627" t="s">
        <v>14457</v>
      </c>
      <c r="G44627" t="s">
        <v>18391</v>
      </c>
      <c r="H44627" t="s">
        <v>30378</v>
      </c>
    </row>
    <row r="44628" spans="1:8">
      <c r="F44628" t="s">
        <v>13790</v>
      </c>
      <c r="G44628" t="s">
        <v>17519</v>
      </c>
      <c r="H44628" t="s">
        <v>36045</v>
      </c>
    </row>
    <row r="44629" spans="1:8">
      <c r="A44629" t="s">
        <v>3759</v>
      </c>
      <c r="B44629">
        <f>HYPERLINK("https://android.googlesource.com/platform/cts/+/242e5f715d5a1c260501fa6c1e92eb68bd65869e", "242e5f715d5a1c260501fa6c1e92eb68bd65869e")</f>
        <v>0</v>
      </c>
      <c r="C44629">
        <f>HYPERLINK("https://android.googlesource.com/platform/cts/+/df0a53b4f1df6ffe1969a8fd17399c11333943e7", "df0a53b4f1df6ffe1969a8fd17399c11333943e7")</f>
        <v>0</v>
      </c>
      <c r="D44629" t="s">
        <v>5096</v>
      </c>
      <c r="E44629" t="s">
        <v>9451</v>
      </c>
      <c r="F44629" t="s">
        <v>14441</v>
      </c>
      <c r="G44629" t="s">
        <v>18377</v>
      </c>
      <c r="H44629" t="s">
        <v>36046</v>
      </c>
    </row>
    <row r="44630" spans="1:8">
      <c r="A44630" t="s">
        <v>3760</v>
      </c>
      <c r="B44630">
        <f>HYPERLINK("https://android.googlesource.com/platform/cts/+/0d95ff431226ad9c44060b21464814f382123b0d", "0d95ff431226ad9c44060b21464814f382123b0d")</f>
        <v>0</v>
      </c>
      <c r="C44630">
        <f>HYPERLINK("https://android.googlesource.com/platform/cts/+/228e804a6f8f6a2e3b096a8120fcdcf42ab1c606", "228e804a6f8f6a2e3b096a8120fcdcf42ab1c606")</f>
        <v>0</v>
      </c>
      <c r="D44630" t="s">
        <v>4931</v>
      </c>
      <c r="E44630" t="s">
        <v>9452</v>
      </c>
      <c r="F44630" t="s">
        <v>14458</v>
      </c>
      <c r="G44630" t="s">
        <v>18392</v>
      </c>
      <c r="H44630" t="s">
        <v>36047</v>
      </c>
    </row>
    <row r="44631" spans="1:8">
      <c r="H44631" t="s">
        <v>36048</v>
      </c>
    </row>
    <row r="44632" spans="1:8">
      <c r="H44632" t="s">
        <v>36049</v>
      </c>
    </row>
    <row r="44633" spans="1:8">
      <c r="H44633" t="s">
        <v>36050</v>
      </c>
    </row>
    <row r="44634" spans="1:8">
      <c r="A44634" t="s">
        <v>3761</v>
      </c>
      <c r="B44634">
        <f>HYPERLINK("https://android.googlesource.com/platform/cts/+/d68e6af369d83ead7c67d6224ddaa88feefcdb19", "d68e6af369d83ead7c67d6224ddaa88feefcdb19")</f>
        <v>0</v>
      </c>
      <c r="C44634">
        <f>HYPERLINK("https://android.googlesource.com/platform/cts/+/655b2d4edc3ca285350ba44b3553e21024c5c841", "655b2d4edc3ca285350ba44b3553e21024c5c841")</f>
        <v>0</v>
      </c>
      <c r="D44634" t="s">
        <v>5610</v>
      </c>
      <c r="E44634" t="s">
        <v>9453</v>
      </c>
      <c r="F44634" t="s">
        <v>14459</v>
      </c>
      <c r="G44634" t="s">
        <v>18393</v>
      </c>
      <c r="H44634" t="s">
        <v>36051</v>
      </c>
    </row>
    <row r="44635" spans="1:8">
      <c r="A44635" t="s">
        <v>3762</v>
      </c>
      <c r="B44635">
        <f>HYPERLINK("https://android.googlesource.com/platform/cts/+/d4f6e6351acd502553b818af63aee91a5fc2a7e2", "d4f6e6351acd502553b818af63aee91a5fc2a7e2")</f>
        <v>0</v>
      </c>
      <c r="C44635">
        <f>HYPERLINK("https://android.googlesource.com/platform/cts/+/0f8ffe9f7c16c628cba8dd778566c6558666dd43", "0f8ffe9f7c16c628cba8dd778566c6558666dd43")</f>
        <v>0</v>
      </c>
      <c r="D44635" t="s">
        <v>5046</v>
      </c>
      <c r="E44635" t="s">
        <v>9454</v>
      </c>
      <c r="F44635" t="s">
        <v>13487</v>
      </c>
      <c r="G44635" t="s">
        <v>17044</v>
      </c>
      <c r="H44635" t="s">
        <v>36052</v>
      </c>
    </row>
    <row r="44636" spans="1:8">
      <c r="H44636" t="s">
        <v>35713</v>
      </c>
    </row>
    <row r="44637" spans="1:8">
      <c r="A44637" t="s">
        <v>3763</v>
      </c>
      <c r="B44637">
        <f>HYPERLINK("https://android.googlesource.com/platform/cts/+/3076a43b1e5cb9de8ae380c001fe6db3a4ec7cbd", "3076a43b1e5cb9de8ae380c001fe6db3a4ec7cbd")</f>
        <v>0</v>
      </c>
      <c r="C44637">
        <f>HYPERLINK("https://android.googlesource.com/platform/cts/+/1f7ebb050117fe2d53845a99a6828beb223d80a1", "1f7ebb050117fe2d53845a99a6828beb223d80a1")</f>
        <v>0</v>
      </c>
      <c r="D44637" t="s">
        <v>5595</v>
      </c>
      <c r="E44637" t="s">
        <v>9455</v>
      </c>
      <c r="F44637" t="s">
        <v>14069</v>
      </c>
      <c r="G44637" t="s">
        <v>18067</v>
      </c>
      <c r="H44637" t="s">
        <v>36041</v>
      </c>
    </row>
    <row r="44638" spans="1:8">
      <c r="H44638" t="s">
        <v>34904</v>
      </c>
    </row>
    <row r="44639" spans="1:8">
      <c r="F44639" t="s">
        <v>14454</v>
      </c>
      <c r="G44639" t="s">
        <v>18389</v>
      </c>
      <c r="H44639" t="s">
        <v>36042</v>
      </c>
    </row>
    <row r="44640" spans="1:8">
      <c r="A44640" t="s">
        <v>3764</v>
      </c>
      <c r="B44640">
        <f>HYPERLINK("https://android.googlesource.com/platform/cts/+/308e143330eb08d91f584571049e53ba3f5c605a", "308e143330eb08d91f584571049e53ba3f5c605a")</f>
        <v>0</v>
      </c>
      <c r="C44640">
        <f>HYPERLINK("https://android.googlesource.com/platform/cts/+/9f49a7164a4f4ba8bc6c01bb7875425941f01e7a", "9f49a7164a4f4ba8bc6c01bb7875425941f01e7a")</f>
        <v>0</v>
      </c>
      <c r="D44640" t="s">
        <v>5421</v>
      </c>
      <c r="E44640" t="s">
        <v>9456</v>
      </c>
      <c r="F44640" t="s">
        <v>13480</v>
      </c>
      <c r="G44640" t="s">
        <v>17598</v>
      </c>
      <c r="H44640" t="s">
        <v>19982</v>
      </c>
    </row>
    <row r="44641" spans="1:8">
      <c r="H44641" t="s">
        <v>36053</v>
      </c>
    </row>
    <row r="44642" spans="1:8">
      <c r="H44642" t="s">
        <v>36054</v>
      </c>
    </row>
    <row r="44643" spans="1:8">
      <c r="H44643" t="s">
        <v>36055</v>
      </c>
    </row>
    <row r="44644" spans="1:8">
      <c r="H44644" t="s">
        <v>36056</v>
      </c>
    </row>
    <row r="44645" spans="1:8">
      <c r="H44645" t="s">
        <v>36057</v>
      </c>
    </row>
    <row r="44646" spans="1:8">
      <c r="H44646" t="s">
        <v>36058</v>
      </c>
    </row>
    <row r="44647" spans="1:8">
      <c r="H44647" t="s">
        <v>36059</v>
      </c>
    </row>
    <row r="44648" spans="1:8">
      <c r="H44648" t="s">
        <v>36060</v>
      </c>
    </row>
    <row r="44649" spans="1:8">
      <c r="H44649" t="s">
        <v>36061</v>
      </c>
    </row>
    <row r="44650" spans="1:8">
      <c r="H44650" t="s">
        <v>36062</v>
      </c>
    </row>
    <row r="44651" spans="1:8">
      <c r="H44651" t="s">
        <v>36063</v>
      </c>
    </row>
    <row r="44652" spans="1:8">
      <c r="A44652" t="s">
        <v>3765</v>
      </c>
      <c r="B44652">
        <f>HYPERLINK("https://android.googlesource.com/platform/cts/+/f2e5c563f7078c2a6f2dff0ed2a27da947df60a5", "f2e5c563f7078c2a6f2dff0ed2a27da947df60a5")</f>
        <v>0</v>
      </c>
      <c r="C44652">
        <f>HYPERLINK("https://android.googlesource.com/platform/cts/+/7675c179d6cd5c0c40f8a34031d8325c1eca0c68", "7675c179d6cd5c0c40f8a34031d8325c1eca0c68")</f>
        <v>0</v>
      </c>
      <c r="D44652" t="s">
        <v>5195</v>
      </c>
      <c r="E44652" t="s">
        <v>9457</v>
      </c>
      <c r="F44652" t="s">
        <v>14341</v>
      </c>
      <c r="G44652" t="s">
        <v>18293</v>
      </c>
      <c r="H44652" t="s">
        <v>35456</v>
      </c>
    </row>
    <row r="44653" spans="1:8">
      <c r="H44653" t="s">
        <v>35457</v>
      </c>
    </row>
    <row r="44654" spans="1:8">
      <c r="H44654" t="s">
        <v>35458</v>
      </c>
    </row>
    <row r="44655" spans="1:8">
      <c r="A44655" t="s">
        <v>3766</v>
      </c>
      <c r="B44655">
        <f>HYPERLINK("https://android.googlesource.com/platform/cts/+/c6a92e77549f0ac33887591fe2de0d798fb3a9c9", "c6a92e77549f0ac33887591fe2de0d798fb3a9c9")</f>
        <v>0</v>
      </c>
      <c r="C44655">
        <f>HYPERLINK("https://android.googlesource.com/platform/cts/+/13dfad89384b4254c83af6a6a5d7bfe7fc4c0baf", "13dfad89384b4254c83af6a6a5d7bfe7fc4c0baf")</f>
        <v>0</v>
      </c>
      <c r="D44655" t="s">
        <v>5195</v>
      </c>
      <c r="E44655" t="s">
        <v>9458</v>
      </c>
      <c r="F44655" t="s">
        <v>14440</v>
      </c>
      <c r="G44655" t="s">
        <v>18376</v>
      </c>
      <c r="H44655" t="s">
        <v>35972</v>
      </c>
    </row>
    <row r="44656" spans="1:8">
      <c r="A44656" t="s">
        <v>3767</v>
      </c>
      <c r="B44656">
        <f>HYPERLINK("https://android.googlesource.com/platform/cts/+/38deaf17b013c247c90537bb4ab3853be2d0a3e5", "38deaf17b013c247c90537bb4ab3853be2d0a3e5")</f>
        <v>0</v>
      </c>
      <c r="C44656">
        <f>HYPERLINK("https://android.googlesource.com/platform/cts/+/74edde3fcdbe3c546c535fa8fcd6ad465b7f0e09", "74edde3fcdbe3c546c535fa8fcd6ad465b7f0e09")</f>
        <v>0</v>
      </c>
      <c r="D44656" t="s">
        <v>5586</v>
      </c>
      <c r="E44656" t="s">
        <v>9459</v>
      </c>
      <c r="F44656" t="s">
        <v>13992</v>
      </c>
      <c r="G44656" t="s">
        <v>16620</v>
      </c>
      <c r="H44656" t="s">
        <v>35522</v>
      </c>
    </row>
    <row r="44657" spans="8:8">
      <c r="H44657" t="s">
        <v>35523</v>
      </c>
    </row>
    <row r="44658" spans="8:8">
      <c r="H44658" t="s">
        <v>36064</v>
      </c>
    </row>
    <row r="44659" spans="8:8">
      <c r="H44659" t="s">
        <v>35524</v>
      </c>
    </row>
    <row r="44660" spans="8:8">
      <c r="H44660" t="s">
        <v>35525</v>
      </c>
    </row>
    <row r="44661" spans="8:8">
      <c r="H44661" t="s">
        <v>35526</v>
      </c>
    </row>
    <row r="44662" spans="8:8">
      <c r="H44662" t="s">
        <v>35527</v>
      </c>
    </row>
    <row r="44663" spans="8:8">
      <c r="H44663" t="s">
        <v>35528</v>
      </c>
    </row>
    <row r="44664" spans="8:8">
      <c r="H44664" t="s">
        <v>35529</v>
      </c>
    </row>
    <row r="44665" spans="8:8">
      <c r="H44665" t="s">
        <v>35530</v>
      </c>
    </row>
    <row r="44666" spans="8:8">
      <c r="H44666" t="s">
        <v>35531</v>
      </c>
    </row>
    <row r="44667" spans="8:8">
      <c r="H44667" t="s">
        <v>35532</v>
      </c>
    </row>
    <row r="44668" spans="8:8">
      <c r="H44668" t="s">
        <v>35533</v>
      </c>
    </row>
    <row r="44669" spans="8:8">
      <c r="H44669" t="s">
        <v>35534</v>
      </c>
    </row>
    <row r="44670" spans="8:8">
      <c r="H44670" t="s">
        <v>35535</v>
      </c>
    </row>
    <row r="44671" spans="8:8">
      <c r="H44671" t="s">
        <v>35536</v>
      </c>
    </row>
    <row r="44672" spans="8:8">
      <c r="H44672" t="s">
        <v>35537</v>
      </c>
    </row>
    <row r="44673" spans="8:8">
      <c r="H44673" t="s">
        <v>35509</v>
      </c>
    </row>
    <row r="44674" spans="8:8">
      <c r="H44674" t="s">
        <v>35510</v>
      </c>
    </row>
    <row r="44675" spans="8:8">
      <c r="H44675" t="s">
        <v>35511</v>
      </c>
    </row>
    <row r="44676" spans="8:8">
      <c r="H44676" t="s">
        <v>35512</v>
      </c>
    </row>
    <row r="44677" spans="8:8">
      <c r="H44677" t="s">
        <v>35513</v>
      </c>
    </row>
    <row r="44678" spans="8:8">
      <c r="H44678" t="s">
        <v>35514</v>
      </c>
    </row>
    <row r="44679" spans="8:8">
      <c r="H44679" t="s">
        <v>35515</v>
      </c>
    </row>
    <row r="44680" spans="8:8">
      <c r="H44680" t="s">
        <v>35516</v>
      </c>
    </row>
    <row r="44681" spans="8:8">
      <c r="H44681" t="s">
        <v>35517</v>
      </c>
    </row>
    <row r="44682" spans="8:8">
      <c r="H44682" t="s">
        <v>35518</v>
      </c>
    </row>
    <row r="44683" spans="8:8">
      <c r="H44683" t="s">
        <v>35519</v>
      </c>
    </row>
    <row r="44684" spans="8:8">
      <c r="H44684" t="s">
        <v>35520</v>
      </c>
    </row>
    <row r="44685" spans="8:8">
      <c r="H44685" t="s">
        <v>35521</v>
      </c>
    </row>
    <row r="44686" spans="8:8">
      <c r="H44686" t="s">
        <v>35497</v>
      </c>
    </row>
    <row r="44687" spans="8:8">
      <c r="H44687" t="s">
        <v>35498</v>
      </c>
    </row>
    <row r="44688" spans="8:8">
      <c r="H44688" t="s">
        <v>35499</v>
      </c>
    </row>
    <row r="44689" spans="8:8">
      <c r="H44689" t="s">
        <v>35500</v>
      </c>
    </row>
    <row r="44690" spans="8:8">
      <c r="H44690" t="s">
        <v>35501</v>
      </c>
    </row>
    <row r="44691" spans="8:8">
      <c r="H44691" t="s">
        <v>35502</v>
      </c>
    </row>
    <row r="44692" spans="8:8">
      <c r="H44692" t="s">
        <v>35503</v>
      </c>
    </row>
    <row r="44693" spans="8:8">
      <c r="H44693" t="s">
        <v>35504</v>
      </c>
    </row>
    <row r="44694" spans="8:8">
      <c r="H44694" t="s">
        <v>35505</v>
      </c>
    </row>
    <row r="44695" spans="8:8">
      <c r="H44695" t="s">
        <v>35506</v>
      </c>
    </row>
    <row r="44696" spans="8:8">
      <c r="H44696" t="s">
        <v>35507</v>
      </c>
    </row>
    <row r="44697" spans="8:8">
      <c r="H44697" t="s">
        <v>35508</v>
      </c>
    </row>
    <row r="44698" spans="8:8">
      <c r="H44698" t="s">
        <v>35487</v>
      </c>
    </row>
    <row r="44699" spans="8:8">
      <c r="H44699" t="s">
        <v>35488</v>
      </c>
    </row>
    <row r="44700" spans="8:8">
      <c r="H44700" t="s">
        <v>35489</v>
      </c>
    </row>
    <row r="44701" spans="8:8">
      <c r="H44701" t="s">
        <v>35490</v>
      </c>
    </row>
    <row r="44702" spans="8:8">
      <c r="H44702" t="s">
        <v>35491</v>
      </c>
    </row>
    <row r="44703" spans="8:8">
      <c r="H44703" t="s">
        <v>35492</v>
      </c>
    </row>
    <row r="44704" spans="8:8">
      <c r="H44704" t="s">
        <v>35493</v>
      </c>
    </row>
    <row r="44705" spans="1:8">
      <c r="H44705" t="s">
        <v>35494</v>
      </c>
    </row>
    <row r="44706" spans="1:8">
      <c r="H44706" t="s">
        <v>35495</v>
      </c>
    </row>
    <row r="44707" spans="1:8">
      <c r="H44707" t="s">
        <v>35496</v>
      </c>
    </row>
    <row r="44708" spans="1:8">
      <c r="H44708" t="s">
        <v>36065</v>
      </c>
    </row>
    <row r="44709" spans="1:8">
      <c r="H44709" t="s">
        <v>36066</v>
      </c>
    </row>
    <row r="44710" spans="1:8">
      <c r="H44710" t="s">
        <v>36067</v>
      </c>
    </row>
    <row r="44711" spans="1:8">
      <c r="H44711" t="s">
        <v>36068</v>
      </c>
    </row>
    <row r="44712" spans="1:8">
      <c r="F44712" t="s">
        <v>13816</v>
      </c>
      <c r="G44712" t="s">
        <v>15089</v>
      </c>
      <c r="H44712" t="s">
        <v>36069</v>
      </c>
    </row>
    <row r="44713" spans="1:8">
      <c r="H44713" t="s">
        <v>36070</v>
      </c>
    </row>
    <row r="44714" spans="1:8">
      <c r="H44714" t="s">
        <v>35527</v>
      </c>
    </row>
    <row r="44715" spans="1:8">
      <c r="H44715" t="s">
        <v>36071</v>
      </c>
    </row>
    <row r="44716" spans="1:8">
      <c r="H44716" t="s">
        <v>35505</v>
      </c>
    </row>
    <row r="44717" spans="1:8">
      <c r="H44717" t="s">
        <v>35538</v>
      </c>
    </row>
    <row r="44718" spans="1:8">
      <c r="A44718" t="s">
        <v>3768</v>
      </c>
      <c r="B44718">
        <f>HYPERLINK("https://android.googlesource.com/platform/cts/+/20e3f9cd460947f6967fe34d7b1c4f14d84502e8", "20e3f9cd460947f6967fe34d7b1c4f14d84502e8")</f>
        <v>0</v>
      </c>
      <c r="C44718">
        <f>HYPERLINK("https://android.googlesource.com/platform/cts/+/426b88617c889d15a9b689e062095187af528213", "426b88617c889d15a9b689e062095187af528213")</f>
        <v>0</v>
      </c>
      <c r="D44718" t="s">
        <v>5617</v>
      </c>
      <c r="E44718" t="s">
        <v>9460</v>
      </c>
      <c r="F44718" t="s">
        <v>14460</v>
      </c>
      <c r="G44718" t="s">
        <v>18394</v>
      </c>
      <c r="H44718" t="s">
        <v>36072</v>
      </c>
    </row>
    <row r="44719" spans="1:8">
      <c r="H44719" t="s">
        <v>36073</v>
      </c>
    </row>
    <row r="44720" spans="1:8">
      <c r="H44720" t="s">
        <v>36074</v>
      </c>
    </row>
    <row r="44721" spans="1:8">
      <c r="A44721" t="s">
        <v>3769</v>
      </c>
      <c r="B44721">
        <f>HYPERLINK("https://android.googlesource.com/platform/cts/+/14c8d61ecaefa5c18ab02be789e018f522da64bc", "14c8d61ecaefa5c18ab02be789e018f522da64bc")</f>
        <v>0</v>
      </c>
      <c r="C44721">
        <f>HYPERLINK("https://android.googlesource.com/platform/cts/+/19835ead4b5423d48882dfcef9ae9f4d8d0735d9", "19835ead4b5423d48882dfcef9ae9f4d8d0735d9")</f>
        <v>0</v>
      </c>
      <c r="D44721" t="s">
        <v>5465</v>
      </c>
      <c r="E44721" t="s">
        <v>9461</v>
      </c>
      <c r="F44721" t="s">
        <v>14461</v>
      </c>
      <c r="G44721" t="s">
        <v>15710</v>
      </c>
      <c r="H44721" t="s">
        <v>36075</v>
      </c>
    </row>
    <row r="44722" spans="1:8">
      <c r="H44722" t="s">
        <v>36076</v>
      </c>
    </row>
    <row r="44723" spans="1:8">
      <c r="H44723" t="s">
        <v>36077</v>
      </c>
    </row>
    <row r="44724" spans="1:8">
      <c r="H44724" t="s">
        <v>36078</v>
      </c>
    </row>
    <row r="44725" spans="1:8">
      <c r="A44725" t="s">
        <v>3770</v>
      </c>
      <c r="B44725">
        <f>HYPERLINK("https://android.googlesource.com/platform/cts/+/507331e75a672ffd569b567664ace93f4ccd5aca", "507331e75a672ffd569b567664ace93f4ccd5aca")</f>
        <v>0</v>
      </c>
      <c r="C44725">
        <f>HYPERLINK("https://android.googlesource.com/platform/cts/+/14c8d61ecaefa5c18ab02be789e018f522da64bc", "14c8d61ecaefa5c18ab02be789e018f522da64bc")</f>
        <v>0</v>
      </c>
      <c r="D44725" t="s">
        <v>5465</v>
      </c>
      <c r="E44725" t="s">
        <v>9462</v>
      </c>
      <c r="F44725" t="s">
        <v>14461</v>
      </c>
      <c r="G44725" t="s">
        <v>15710</v>
      </c>
      <c r="H44725" t="s">
        <v>36079</v>
      </c>
    </row>
    <row r="44726" spans="1:8">
      <c r="H44726" t="s">
        <v>36080</v>
      </c>
    </row>
    <row r="44727" spans="1:8">
      <c r="H44727" t="s">
        <v>36081</v>
      </c>
    </row>
    <row r="44728" spans="1:8">
      <c r="H44728" t="s">
        <v>36082</v>
      </c>
    </row>
    <row r="44729" spans="1:8">
      <c r="H44729" t="s">
        <v>36083</v>
      </c>
    </row>
    <row r="44730" spans="1:8">
      <c r="H44730" t="s">
        <v>36083</v>
      </c>
    </row>
    <row r="44731" spans="1:8">
      <c r="A44731" t="s">
        <v>3771</v>
      </c>
      <c r="B44731">
        <f>HYPERLINK("https://android.googlesource.com/platform/cts/+/91ddf93d28ecb35f13ec398df0a7b2e9c830e1a0", "91ddf93d28ecb35f13ec398df0a7b2e9c830e1a0")</f>
        <v>0</v>
      </c>
      <c r="C44731">
        <f>HYPERLINK("https://android.googlesource.com/platform/cts/+/a0e4e03bd5e99e1718196b977f9dd87712ff851d", "a0e4e03bd5e99e1718196b977f9dd87712ff851d")</f>
        <v>0</v>
      </c>
      <c r="D44731" t="s">
        <v>5409</v>
      </c>
      <c r="E44731" t="s">
        <v>9463</v>
      </c>
      <c r="F44731" t="s">
        <v>14462</v>
      </c>
      <c r="G44731" t="s">
        <v>18326</v>
      </c>
      <c r="H44731" t="s">
        <v>36084</v>
      </c>
    </row>
    <row r="44732" spans="1:8">
      <c r="H44732" t="s">
        <v>36085</v>
      </c>
    </row>
    <row r="44733" spans="1:8">
      <c r="H44733" t="s">
        <v>36086</v>
      </c>
    </row>
    <row r="44734" spans="1:8">
      <c r="H44734" t="s">
        <v>33498</v>
      </c>
    </row>
    <row r="44735" spans="1:8">
      <c r="A44735" t="s">
        <v>3772</v>
      </c>
      <c r="B44735">
        <f>HYPERLINK("https://android.googlesource.com/platform/cts/+/e0bf90376a384064fcd28706caa018436b30c538", "e0bf90376a384064fcd28706caa018436b30c538")</f>
        <v>0</v>
      </c>
      <c r="C44735">
        <f>HYPERLINK("https://android.googlesource.com/platform/cts/+/a0e4e03bd5e99e1718196b977f9dd87712ff851d", "a0e4e03bd5e99e1718196b977f9dd87712ff851d")</f>
        <v>0</v>
      </c>
      <c r="D44735" t="s">
        <v>5409</v>
      </c>
      <c r="E44735" t="s">
        <v>9464</v>
      </c>
      <c r="F44735" t="s">
        <v>14451</v>
      </c>
      <c r="G44735" t="s">
        <v>18386</v>
      </c>
      <c r="H44735" t="s">
        <v>36087</v>
      </c>
    </row>
    <row r="44736" spans="1:8">
      <c r="A44736" t="s">
        <v>3773</v>
      </c>
      <c r="B44736">
        <f>HYPERLINK("https://android.googlesource.com/platform/cts/+/59bc219e12663ae8d63f7fcf23f6396acda4eb76", "59bc219e12663ae8d63f7fcf23f6396acda4eb76")</f>
        <v>0</v>
      </c>
      <c r="C44736">
        <f>HYPERLINK("https://android.googlesource.com/platform/cts/+/af11f658364615d5dfefed3c4f6dc96a458ed209", "af11f658364615d5dfefed3c4f6dc96a458ed209")</f>
        <v>0</v>
      </c>
      <c r="D44736" t="s">
        <v>5472</v>
      </c>
      <c r="E44736" t="s">
        <v>9465</v>
      </c>
      <c r="F44736" t="s">
        <v>14463</v>
      </c>
      <c r="G44736" t="s">
        <v>18395</v>
      </c>
      <c r="H44736" t="s">
        <v>36088</v>
      </c>
    </row>
    <row r="44737" spans="1:8">
      <c r="H44737" t="s">
        <v>36089</v>
      </c>
    </row>
    <row r="44738" spans="1:8">
      <c r="F44738" t="s">
        <v>14464</v>
      </c>
      <c r="G44738" t="s">
        <v>18396</v>
      </c>
      <c r="H44738" t="s">
        <v>36088</v>
      </c>
    </row>
    <row r="44739" spans="1:8">
      <c r="H44739" t="s">
        <v>36090</v>
      </c>
    </row>
    <row r="44740" spans="1:8">
      <c r="A44740" t="s">
        <v>3774</v>
      </c>
      <c r="B44740">
        <f>HYPERLINK("https://android.googlesource.com/platform/cts/+/a879dd563b4a32f4e4ff43529e90b73ecd4f7cda", "a879dd563b4a32f4e4ff43529e90b73ecd4f7cda")</f>
        <v>0</v>
      </c>
      <c r="C44740">
        <f>HYPERLINK("https://android.googlesource.com/platform/cts/+/29bb7918fcecdd907e5433d4083ca0872f516fda", "29bb7918fcecdd907e5433d4083ca0872f516fda")</f>
        <v>0</v>
      </c>
      <c r="D44740" t="s">
        <v>5443</v>
      </c>
      <c r="E44740" t="s">
        <v>9466</v>
      </c>
      <c r="F44740" t="s">
        <v>12710</v>
      </c>
      <c r="G44740" t="s">
        <v>16911</v>
      </c>
      <c r="H44740" t="s">
        <v>30890</v>
      </c>
    </row>
    <row r="44741" spans="1:8">
      <c r="A44741" t="s">
        <v>3775</v>
      </c>
      <c r="B44741">
        <f>HYPERLINK("https://android.googlesource.com/platform/cts/+/8b26dd68dc520f33a37fe5c3536a205429bd27b4", "8b26dd68dc520f33a37fe5c3536a205429bd27b4")</f>
        <v>0</v>
      </c>
      <c r="C44741">
        <f>HYPERLINK("https://android.googlesource.com/platform/cts/+/b3aa4ab390608f6bb99679fb4e71cff7ed66ff64", "b3aa4ab390608f6bb99679fb4e71cff7ed66ff64")</f>
        <v>0</v>
      </c>
      <c r="D44741" t="s">
        <v>5443</v>
      </c>
      <c r="E44741" t="s">
        <v>9467</v>
      </c>
      <c r="F44741" t="s">
        <v>12710</v>
      </c>
      <c r="G44741" t="s">
        <v>16911</v>
      </c>
      <c r="H44741" t="s">
        <v>30890</v>
      </c>
    </row>
    <row r="44742" spans="1:8">
      <c r="A44742" t="s">
        <v>3776</v>
      </c>
      <c r="B44742">
        <f>HYPERLINK("https://android.googlesource.com/platform/cts/+/655d4e3764b8be23d8328548f0a096fe4ef0d01e", "655d4e3764b8be23d8328548f0a096fe4ef0d01e")</f>
        <v>0</v>
      </c>
      <c r="C44742">
        <f>HYPERLINK("https://android.googlesource.com/platform/cts/+/e90726f8742838f37634f68779d24d2f574dfe4e", "e90726f8742838f37634f68779d24d2f574dfe4e")</f>
        <v>0</v>
      </c>
      <c r="D44742" t="s">
        <v>5134</v>
      </c>
      <c r="E44742" t="s">
        <v>9468</v>
      </c>
      <c r="F44742" t="s">
        <v>14465</v>
      </c>
      <c r="G44742" t="s">
        <v>18397</v>
      </c>
      <c r="H44742" t="s">
        <v>36091</v>
      </c>
    </row>
    <row r="44743" spans="1:8">
      <c r="A44743" t="s">
        <v>3777</v>
      </c>
      <c r="B44743">
        <f>HYPERLINK("https://android.googlesource.com/platform/cts/+/b1a479baa4bc9cb00aab3e83db148f60b3cc1e15", "b1a479baa4bc9cb00aab3e83db148f60b3cc1e15")</f>
        <v>0</v>
      </c>
      <c r="C44743">
        <f>HYPERLINK("https://android.googlesource.com/platform/cts/+/a5d2e46a3c7ad04f05ff154859ee39bafdf9a64b", "a5d2e46a3c7ad04f05ff154859ee39bafdf9a64b")</f>
        <v>0</v>
      </c>
      <c r="D44743" t="s">
        <v>5618</v>
      </c>
      <c r="E44743" t="s">
        <v>9469</v>
      </c>
      <c r="F44743" t="s">
        <v>14466</v>
      </c>
      <c r="G44743" t="s">
        <v>18398</v>
      </c>
      <c r="H44743" t="s">
        <v>36092</v>
      </c>
    </row>
    <row r="44744" spans="1:8">
      <c r="A44744" t="s">
        <v>3778</v>
      </c>
      <c r="B44744">
        <f>HYPERLINK("https://android.googlesource.com/platform/cts/+/c86d5462ac806dd2500bb44bac671e5e7f09cfd2", "c86d5462ac806dd2500bb44bac671e5e7f09cfd2")</f>
        <v>0</v>
      </c>
      <c r="C44744">
        <f>HYPERLINK("https://android.googlesource.com/platform/cts/+/e971fb9e2e58b48b22ffc66493d57edd755f5821", "e971fb9e2e58b48b22ffc66493d57edd755f5821")</f>
        <v>0</v>
      </c>
      <c r="D44744" t="s">
        <v>5619</v>
      </c>
      <c r="E44744" t="s">
        <v>9470</v>
      </c>
      <c r="F44744" t="s">
        <v>14467</v>
      </c>
      <c r="G44744" t="s">
        <v>18399</v>
      </c>
      <c r="H44744" t="s">
        <v>36093</v>
      </c>
    </row>
    <row r="44745" spans="1:8">
      <c r="A44745" t="s">
        <v>3779</v>
      </c>
      <c r="B44745">
        <f>HYPERLINK("https://android.googlesource.com/platform/cts/+/b736905caa5c80fa2b927759d5328341cb831c23", "b736905caa5c80fa2b927759d5328341cb831c23")</f>
        <v>0</v>
      </c>
      <c r="C44745">
        <f>HYPERLINK("https://android.googlesource.com/platform/cts/+/13dfad89384b4254c83af6a6a5d7bfe7fc4c0baf", "13dfad89384b4254c83af6a6a5d7bfe7fc4c0baf")</f>
        <v>0</v>
      </c>
      <c r="D44745" t="s">
        <v>5589</v>
      </c>
      <c r="E44745" t="s">
        <v>9471</v>
      </c>
      <c r="F44745" t="s">
        <v>14468</v>
      </c>
      <c r="G44745" t="s">
        <v>18400</v>
      </c>
      <c r="H44745" t="s">
        <v>36094</v>
      </c>
    </row>
    <row r="44746" spans="1:8">
      <c r="A44746" t="s">
        <v>3780</v>
      </c>
      <c r="B44746">
        <f>HYPERLINK("https://android.googlesource.com/platform/cts/+/970b8706e4b0c3c08000027f76e174c042fb20c7", "970b8706e4b0c3c08000027f76e174c042fb20c7")</f>
        <v>0</v>
      </c>
      <c r="C44746">
        <f>HYPERLINK("https://android.googlesource.com/platform/cts/+/27377273576357da0e8e98541da1c98d0054a801", "27377273576357da0e8e98541da1c98d0054a801")</f>
        <v>0</v>
      </c>
      <c r="D44746" t="s">
        <v>5454</v>
      </c>
      <c r="E44746" t="s">
        <v>9472</v>
      </c>
      <c r="F44746" t="s">
        <v>14124</v>
      </c>
      <c r="G44746" t="s">
        <v>18114</v>
      </c>
      <c r="H44746" t="s">
        <v>36095</v>
      </c>
    </row>
    <row r="44747" spans="1:8">
      <c r="A44747" t="s">
        <v>3781</v>
      </c>
      <c r="B44747">
        <f>HYPERLINK("https://android.googlesource.com/platform/cts/+/e48216b9c1fb548510656d4b986460c51b428432", "e48216b9c1fb548510656d4b986460c51b428432")</f>
        <v>0</v>
      </c>
      <c r="C44747">
        <f>HYPERLINK("https://android.googlesource.com/platform/cts/+/e06c631f3b4161cb873d351a7a72f69fc0133ddb", "e06c631f3b4161cb873d351a7a72f69fc0133ddb")</f>
        <v>0</v>
      </c>
      <c r="D44747" t="s">
        <v>5602</v>
      </c>
      <c r="E44747" t="s">
        <v>9473</v>
      </c>
      <c r="F44747" t="s">
        <v>12599</v>
      </c>
      <c r="G44747" t="s">
        <v>16812</v>
      </c>
      <c r="H44747" t="s">
        <v>36096</v>
      </c>
    </row>
    <row r="44748" spans="1:8">
      <c r="A44748" t="s">
        <v>3782</v>
      </c>
      <c r="B44748">
        <f>HYPERLINK("https://android.googlesource.com/platform/cts/+/29d582d24158d7b9db2486a58d4802afa96cdce8", "29d582d24158d7b9db2486a58d4802afa96cdce8")</f>
        <v>0</v>
      </c>
      <c r="C44748">
        <f>HYPERLINK("https://android.googlesource.com/platform/cts/+/debcf497bfc7562d0d58ba09aaa5fd3de5bdfca8", "debcf497bfc7562d0d58ba09aaa5fd3de5bdfca8")</f>
        <v>0</v>
      </c>
      <c r="D44748" t="s">
        <v>5096</v>
      </c>
      <c r="E44748" t="s">
        <v>9474</v>
      </c>
      <c r="F44748" t="s">
        <v>14469</v>
      </c>
      <c r="G44748" t="s">
        <v>18401</v>
      </c>
      <c r="H44748" t="s">
        <v>35973</v>
      </c>
    </row>
    <row r="44749" spans="1:8">
      <c r="H44749" t="s">
        <v>32999</v>
      </c>
    </row>
    <row r="44750" spans="1:8">
      <c r="H44750" t="s">
        <v>35974</v>
      </c>
    </row>
    <row r="44751" spans="1:8">
      <c r="A44751" t="s">
        <v>3783</v>
      </c>
      <c r="B44751">
        <f>HYPERLINK("https://android.googlesource.com/platform/cts/+/3755bffaedf2a2824fd30fdbb24c7401ec2816e5", "3755bffaedf2a2824fd30fdbb24c7401ec2816e5")</f>
        <v>0</v>
      </c>
      <c r="C44751">
        <f>HYPERLINK("https://android.googlesource.com/platform/cts/+/2d7144b53f96b0eebb0f18130dc2cc64aeb97c3f", "2d7144b53f96b0eebb0f18130dc2cc64aeb97c3f")</f>
        <v>0</v>
      </c>
      <c r="D44751" t="s">
        <v>5454</v>
      </c>
      <c r="E44751" t="s">
        <v>9475</v>
      </c>
      <c r="F44751" t="s">
        <v>14124</v>
      </c>
      <c r="G44751" t="s">
        <v>18114</v>
      </c>
      <c r="H44751" t="s">
        <v>36097</v>
      </c>
    </row>
    <row r="44752" spans="1:8">
      <c r="A44752" t="s">
        <v>3784</v>
      </c>
      <c r="B44752">
        <f>HYPERLINK("https://android.googlesource.com/platform/cts/+/eb22a257e1d5a15f511ac23e4602c2cb520e1c36", "eb22a257e1d5a15f511ac23e4602c2cb520e1c36")</f>
        <v>0</v>
      </c>
      <c r="C44752">
        <f>HYPERLINK("https://android.googlesource.com/platform/cts/+/9dd0ca338dd497b2e41d07444240d5ac03c20a79", "9dd0ca338dd497b2e41d07444240d5ac03c20a79")</f>
        <v>0</v>
      </c>
      <c r="D44752" t="s">
        <v>5586</v>
      </c>
      <c r="E44752" t="s">
        <v>9476</v>
      </c>
      <c r="F44752" t="s">
        <v>13992</v>
      </c>
      <c r="G44752" t="s">
        <v>16620</v>
      </c>
      <c r="H44752" t="s">
        <v>35522</v>
      </c>
    </row>
    <row r="44753" spans="8:8">
      <c r="H44753" t="s">
        <v>35523</v>
      </c>
    </row>
    <row r="44754" spans="8:8">
      <c r="H44754" t="s">
        <v>36064</v>
      </c>
    </row>
    <row r="44755" spans="8:8">
      <c r="H44755" t="s">
        <v>35524</v>
      </c>
    </row>
    <row r="44756" spans="8:8">
      <c r="H44756" t="s">
        <v>35525</v>
      </c>
    </row>
    <row r="44757" spans="8:8">
      <c r="H44757" t="s">
        <v>35526</v>
      </c>
    </row>
    <row r="44758" spans="8:8">
      <c r="H44758" t="s">
        <v>35527</v>
      </c>
    </row>
    <row r="44759" spans="8:8">
      <c r="H44759" t="s">
        <v>35528</v>
      </c>
    </row>
    <row r="44760" spans="8:8">
      <c r="H44760" t="s">
        <v>35529</v>
      </c>
    </row>
    <row r="44761" spans="8:8">
      <c r="H44761" t="s">
        <v>35530</v>
      </c>
    </row>
    <row r="44762" spans="8:8">
      <c r="H44762" t="s">
        <v>35531</v>
      </c>
    </row>
    <row r="44763" spans="8:8">
      <c r="H44763" t="s">
        <v>35532</v>
      </c>
    </row>
    <row r="44764" spans="8:8">
      <c r="H44764" t="s">
        <v>35533</v>
      </c>
    </row>
    <row r="44765" spans="8:8">
      <c r="H44765" t="s">
        <v>35534</v>
      </c>
    </row>
    <row r="44766" spans="8:8">
      <c r="H44766" t="s">
        <v>35535</v>
      </c>
    </row>
    <row r="44767" spans="8:8">
      <c r="H44767" t="s">
        <v>35536</v>
      </c>
    </row>
    <row r="44768" spans="8:8">
      <c r="H44768" t="s">
        <v>35537</v>
      </c>
    </row>
    <row r="44769" spans="8:8">
      <c r="H44769" t="s">
        <v>35509</v>
      </c>
    </row>
    <row r="44770" spans="8:8">
      <c r="H44770" t="s">
        <v>35510</v>
      </c>
    </row>
    <row r="44771" spans="8:8">
      <c r="H44771" t="s">
        <v>35511</v>
      </c>
    </row>
    <row r="44772" spans="8:8">
      <c r="H44772" t="s">
        <v>35512</v>
      </c>
    </row>
    <row r="44773" spans="8:8">
      <c r="H44773" t="s">
        <v>35513</v>
      </c>
    </row>
    <row r="44774" spans="8:8">
      <c r="H44774" t="s">
        <v>35514</v>
      </c>
    </row>
    <row r="44775" spans="8:8">
      <c r="H44775" t="s">
        <v>35515</v>
      </c>
    </row>
    <row r="44776" spans="8:8">
      <c r="H44776" t="s">
        <v>35516</v>
      </c>
    </row>
    <row r="44777" spans="8:8">
      <c r="H44777" t="s">
        <v>35517</v>
      </c>
    </row>
    <row r="44778" spans="8:8">
      <c r="H44778" t="s">
        <v>35518</v>
      </c>
    </row>
    <row r="44779" spans="8:8">
      <c r="H44779" t="s">
        <v>35519</v>
      </c>
    </row>
    <row r="44780" spans="8:8">
      <c r="H44780" t="s">
        <v>35520</v>
      </c>
    </row>
    <row r="44781" spans="8:8">
      <c r="H44781" t="s">
        <v>35521</v>
      </c>
    </row>
    <row r="44782" spans="8:8">
      <c r="H44782" t="s">
        <v>35497</v>
      </c>
    </row>
    <row r="44783" spans="8:8">
      <c r="H44783" t="s">
        <v>35498</v>
      </c>
    </row>
    <row r="44784" spans="8:8">
      <c r="H44784" t="s">
        <v>35499</v>
      </c>
    </row>
    <row r="44785" spans="8:8">
      <c r="H44785" t="s">
        <v>35500</v>
      </c>
    </row>
    <row r="44786" spans="8:8">
      <c r="H44786" t="s">
        <v>35501</v>
      </c>
    </row>
    <row r="44787" spans="8:8">
      <c r="H44787" t="s">
        <v>35502</v>
      </c>
    </row>
    <row r="44788" spans="8:8">
      <c r="H44788" t="s">
        <v>35503</v>
      </c>
    </row>
    <row r="44789" spans="8:8">
      <c r="H44789" t="s">
        <v>35504</v>
      </c>
    </row>
    <row r="44790" spans="8:8">
      <c r="H44790" t="s">
        <v>35505</v>
      </c>
    </row>
    <row r="44791" spans="8:8">
      <c r="H44791" t="s">
        <v>35506</v>
      </c>
    </row>
    <row r="44792" spans="8:8">
      <c r="H44792" t="s">
        <v>35507</v>
      </c>
    </row>
    <row r="44793" spans="8:8">
      <c r="H44793" t="s">
        <v>35508</v>
      </c>
    </row>
    <row r="44794" spans="8:8">
      <c r="H44794" t="s">
        <v>35487</v>
      </c>
    </row>
    <row r="44795" spans="8:8">
      <c r="H44795" t="s">
        <v>35488</v>
      </c>
    </row>
    <row r="44796" spans="8:8">
      <c r="H44796" t="s">
        <v>35489</v>
      </c>
    </row>
    <row r="44797" spans="8:8">
      <c r="H44797" t="s">
        <v>35490</v>
      </c>
    </row>
    <row r="44798" spans="8:8">
      <c r="H44798" t="s">
        <v>35491</v>
      </c>
    </row>
    <row r="44799" spans="8:8">
      <c r="H44799" t="s">
        <v>35492</v>
      </c>
    </row>
    <row r="44800" spans="8:8">
      <c r="H44800" t="s">
        <v>35493</v>
      </c>
    </row>
    <row r="44801" spans="1:8">
      <c r="H44801" t="s">
        <v>35494</v>
      </c>
    </row>
    <row r="44802" spans="1:8">
      <c r="H44802" t="s">
        <v>35495</v>
      </c>
    </row>
    <row r="44803" spans="1:8">
      <c r="H44803" t="s">
        <v>35496</v>
      </c>
    </row>
    <row r="44804" spans="1:8">
      <c r="H44804" t="s">
        <v>36065</v>
      </c>
    </row>
    <row r="44805" spans="1:8">
      <c r="H44805" t="s">
        <v>36066</v>
      </c>
    </row>
    <row r="44806" spans="1:8">
      <c r="H44806" t="s">
        <v>36067</v>
      </c>
    </row>
    <row r="44807" spans="1:8">
      <c r="H44807" t="s">
        <v>36068</v>
      </c>
    </row>
    <row r="44808" spans="1:8">
      <c r="F44808" t="s">
        <v>13816</v>
      </c>
      <c r="G44808" t="s">
        <v>15089</v>
      </c>
      <c r="H44808" t="s">
        <v>36069</v>
      </c>
    </row>
    <row r="44809" spans="1:8">
      <c r="H44809" t="s">
        <v>35527</v>
      </c>
    </row>
    <row r="44810" spans="1:8">
      <c r="H44810" t="s">
        <v>36071</v>
      </c>
    </row>
    <row r="44811" spans="1:8">
      <c r="H44811" t="s">
        <v>35505</v>
      </c>
    </row>
    <row r="44812" spans="1:8">
      <c r="H44812" t="s">
        <v>35538</v>
      </c>
    </row>
    <row r="44813" spans="1:8">
      <c r="A44813" t="s">
        <v>3785</v>
      </c>
      <c r="B44813">
        <f>HYPERLINK("https://android.googlesource.com/platform/cts/+/aadbba4b67ce30d55456ff7aa3ab10529da33361", "aadbba4b67ce30d55456ff7aa3ab10529da33361")</f>
        <v>0</v>
      </c>
      <c r="C44813">
        <f>HYPERLINK("https://android.googlesource.com/platform/cts/+/ac2b1c2ad2998f524e90a4bb5d29f162bb05eda2", "ac2b1c2ad2998f524e90a4bb5d29f162bb05eda2")</f>
        <v>0</v>
      </c>
      <c r="D44813" t="s">
        <v>5191</v>
      </c>
      <c r="E44813" t="s">
        <v>9477</v>
      </c>
      <c r="F44813" t="s">
        <v>13501</v>
      </c>
      <c r="G44813" t="s">
        <v>17619</v>
      </c>
      <c r="H44813" t="s">
        <v>35930</v>
      </c>
    </row>
    <row r="44814" spans="1:8">
      <c r="H44814" t="s">
        <v>35931</v>
      </c>
    </row>
    <row r="44815" spans="1:8">
      <c r="H44815" t="s">
        <v>35932</v>
      </c>
    </row>
    <row r="44816" spans="1:8">
      <c r="H44816" t="s">
        <v>35933</v>
      </c>
    </row>
    <row r="44817" spans="1:8">
      <c r="H44817" t="s">
        <v>35934</v>
      </c>
    </row>
    <row r="44818" spans="1:8">
      <c r="H44818" t="s">
        <v>35935</v>
      </c>
    </row>
    <row r="44819" spans="1:8">
      <c r="A44819" t="s">
        <v>3786</v>
      </c>
      <c r="B44819">
        <f>HYPERLINK("https://android.googlesource.com/platform/cts/+/a82a746f44649b689f330c035bebfb13dab3d967", "a82a746f44649b689f330c035bebfb13dab3d967")</f>
        <v>0</v>
      </c>
      <c r="C44819">
        <f>HYPERLINK("https://android.googlesource.com/platform/cts/+/c9239353f9b933687cdfcfafc7b61d45cf94593e", "c9239353f9b933687cdfcfafc7b61d45cf94593e")</f>
        <v>0</v>
      </c>
      <c r="D44819" t="s">
        <v>5141</v>
      </c>
      <c r="E44819" t="s">
        <v>9478</v>
      </c>
      <c r="F44819" t="s">
        <v>14470</v>
      </c>
      <c r="G44819" t="s">
        <v>18402</v>
      </c>
      <c r="H44819" t="s">
        <v>36098</v>
      </c>
    </row>
    <row r="44820" spans="1:8">
      <c r="H44820" t="s">
        <v>36099</v>
      </c>
    </row>
    <row r="44821" spans="1:8">
      <c r="H44821" t="s">
        <v>36100</v>
      </c>
    </row>
    <row r="44822" spans="1:8">
      <c r="H44822" t="s">
        <v>36101</v>
      </c>
    </row>
    <row r="44823" spans="1:8">
      <c r="H44823" t="s">
        <v>36102</v>
      </c>
    </row>
    <row r="44824" spans="1:8">
      <c r="A44824" t="s">
        <v>3787</v>
      </c>
      <c r="B44824">
        <f>HYPERLINK("https://android.googlesource.com/platform/cts/+/31ead20c54016e43b1368756f4cd7ff96818cb2c", "31ead20c54016e43b1368756f4cd7ff96818cb2c")</f>
        <v>0</v>
      </c>
      <c r="C44824">
        <f>HYPERLINK("https://android.googlesource.com/platform/cts/+/c8bfbf423dd30d19097b84a18138194cf0e1c283", "c8bfbf423dd30d19097b84a18138194cf0e1c283")</f>
        <v>0</v>
      </c>
      <c r="D44824" t="s">
        <v>5344</v>
      </c>
      <c r="E44824" t="s">
        <v>9479</v>
      </c>
      <c r="F44824" t="s">
        <v>14471</v>
      </c>
      <c r="G44824" t="s">
        <v>18403</v>
      </c>
      <c r="H44824" t="s">
        <v>36103</v>
      </c>
    </row>
    <row r="44825" spans="1:8">
      <c r="H44825" t="s">
        <v>36104</v>
      </c>
    </row>
    <row r="44826" spans="1:8">
      <c r="H44826" t="s">
        <v>36105</v>
      </c>
    </row>
    <row r="44827" spans="1:8">
      <c r="H44827" t="s">
        <v>36106</v>
      </c>
    </row>
    <row r="44828" spans="1:8">
      <c r="H44828" t="s">
        <v>36107</v>
      </c>
    </row>
    <row r="44829" spans="1:8">
      <c r="F44829" t="s">
        <v>14472</v>
      </c>
      <c r="G44829" t="s">
        <v>18404</v>
      </c>
      <c r="H44829" t="s">
        <v>36108</v>
      </c>
    </row>
    <row r="44830" spans="1:8">
      <c r="H44830" t="s">
        <v>36107</v>
      </c>
    </row>
    <row r="44831" spans="1:8">
      <c r="F44831" t="s">
        <v>14473</v>
      </c>
      <c r="G44831" t="s">
        <v>18405</v>
      </c>
      <c r="H44831" t="s">
        <v>36109</v>
      </c>
    </row>
    <row r="44832" spans="1:8">
      <c r="H44832" t="s">
        <v>36110</v>
      </c>
    </row>
    <row r="44833" spans="1:8">
      <c r="H44833" t="s">
        <v>36111</v>
      </c>
    </row>
    <row r="44834" spans="1:8">
      <c r="H44834" t="s">
        <v>36106</v>
      </c>
    </row>
    <row r="44835" spans="1:8">
      <c r="H44835" t="s">
        <v>36112</v>
      </c>
    </row>
    <row r="44836" spans="1:8">
      <c r="H44836" t="s">
        <v>36113</v>
      </c>
    </row>
    <row r="44837" spans="1:8">
      <c r="A44837" t="s">
        <v>3788</v>
      </c>
      <c r="B44837">
        <f>HYPERLINK("https://android.googlesource.com/platform/cts/+/288545c3f3a2a7ceca79374740d5c5601f4c8396", "288545c3f3a2a7ceca79374740d5c5601f4c8396")</f>
        <v>0</v>
      </c>
      <c r="C44837">
        <f>HYPERLINK("https://android.googlesource.com/platform/cts/+/14e5e01228ba74d66c3f213435597bd7b92a87de", "14e5e01228ba74d66c3f213435597bd7b92a87de")</f>
        <v>0</v>
      </c>
      <c r="D44837" t="s">
        <v>5406</v>
      </c>
      <c r="E44837" t="s">
        <v>9480</v>
      </c>
      <c r="F44837" t="s">
        <v>14449</v>
      </c>
      <c r="G44837" t="s">
        <v>18384</v>
      </c>
      <c r="H44837" t="s">
        <v>30030</v>
      </c>
    </row>
    <row r="44838" spans="1:8">
      <c r="H44838" t="s">
        <v>36009</v>
      </c>
    </row>
    <row r="44839" spans="1:8">
      <c r="F44839" t="s">
        <v>14450</v>
      </c>
      <c r="G44839" t="s">
        <v>18385</v>
      </c>
      <c r="H44839" t="s">
        <v>36010</v>
      </c>
    </row>
    <row r="44840" spans="1:8">
      <c r="A44840" t="s">
        <v>3789</v>
      </c>
      <c r="B44840">
        <f>HYPERLINK("https://android.googlesource.com/platform/cts/+/83e8e03d3b181d87d807341e94be32afe52cb300", "83e8e03d3b181d87d807341e94be32afe52cb300")</f>
        <v>0</v>
      </c>
      <c r="C44840">
        <f>HYPERLINK("https://android.googlesource.com/platform/cts/+/8e4050810ef02c4a6a384ac6165cb0d6c904e304", "8e4050810ef02c4a6a384ac6165cb0d6c904e304")</f>
        <v>0</v>
      </c>
      <c r="D44840" t="s">
        <v>5400</v>
      </c>
      <c r="E44840" t="s">
        <v>9481</v>
      </c>
      <c r="F44840" t="s">
        <v>14474</v>
      </c>
      <c r="G44840" t="s">
        <v>18406</v>
      </c>
      <c r="H44840" t="s">
        <v>36039</v>
      </c>
    </row>
    <row r="44841" spans="1:8">
      <c r="H44841" t="s">
        <v>36114</v>
      </c>
    </row>
    <row r="44842" spans="1:8">
      <c r="H44842" t="s">
        <v>36115</v>
      </c>
    </row>
    <row r="44843" spans="1:8">
      <c r="H44843" t="s">
        <v>36116</v>
      </c>
    </row>
    <row r="44844" spans="1:8">
      <c r="A44844" t="s">
        <v>3790</v>
      </c>
      <c r="B44844">
        <f>HYPERLINK("https://android.googlesource.com/platform/cts/+/66ccad22914e25dd88ee6e9812883a5fa7ebff1e", "66ccad22914e25dd88ee6e9812883a5fa7ebff1e")</f>
        <v>0</v>
      </c>
      <c r="C44844">
        <f>HYPERLINK("https://android.googlesource.com/platform/cts/+/2eac328180a72a7e6a68880c18679be3ed4c68f2", "2eac328180a72a7e6a68880c18679be3ed4c68f2")</f>
        <v>0</v>
      </c>
      <c r="D44844" t="s">
        <v>5620</v>
      </c>
      <c r="E44844" t="s">
        <v>9482</v>
      </c>
      <c r="F44844" t="s">
        <v>14475</v>
      </c>
      <c r="G44844" t="s">
        <v>18407</v>
      </c>
      <c r="H44844" t="s">
        <v>36117</v>
      </c>
    </row>
    <row r="44845" spans="1:8">
      <c r="H44845" t="s">
        <v>36118</v>
      </c>
    </row>
    <row r="44846" spans="1:8">
      <c r="H44846" t="s">
        <v>36119</v>
      </c>
    </row>
    <row r="44847" spans="1:8">
      <c r="A44847" t="s">
        <v>3791</v>
      </c>
      <c r="B44847">
        <f>HYPERLINK("https://android.googlesource.com/platform/cts/+/61cb11294e006a30c3f8c58c378622501dd62a1b", "61cb11294e006a30c3f8c58c378622501dd62a1b")</f>
        <v>0</v>
      </c>
      <c r="C44847">
        <f>HYPERLINK("https://android.googlesource.com/platform/cts/+/1594a7161e27f9e5ef3e0602f2230262d6530472", "1594a7161e27f9e5ef3e0602f2230262d6530472")</f>
        <v>0</v>
      </c>
      <c r="D44847" t="s">
        <v>5517</v>
      </c>
      <c r="E44847" t="s">
        <v>9483</v>
      </c>
      <c r="F44847" t="s">
        <v>13470</v>
      </c>
      <c r="G44847" t="s">
        <v>17589</v>
      </c>
      <c r="H44847" t="s">
        <v>36120</v>
      </c>
    </row>
    <row r="44848" spans="1:8">
      <c r="A44848" t="s">
        <v>3792</v>
      </c>
      <c r="B44848">
        <f>HYPERLINK("https://android.googlesource.com/platform/cts/+/c0e975a9eff62ff0f4c6ef725e29d79c08b65da1", "c0e975a9eff62ff0f4c6ef725e29d79c08b65da1")</f>
        <v>0</v>
      </c>
      <c r="C44848">
        <f>HYPERLINK("https://android.googlesource.com/platform/cts/+/1594a7161e27f9e5ef3e0602f2230262d6530472", "1594a7161e27f9e5ef3e0602f2230262d6530472")</f>
        <v>0</v>
      </c>
      <c r="D44848" t="s">
        <v>5438</v>
      </c>
      <c r="E44848" t="s">
        <v>9484</v>
      </c>
      <c r="F44848" t="s">
        <v>14476</v>
      </c>
      <c r="G44848" t="s">
        <v>18408</v>
      </c>
      <c r="H44848" t="s">
        <v>36121</v>
      </c>
    </row>
    <row r="44849" spans="1:8">
      <c r="H44849" t="s">
        <v>36122</v>
      </c>
    </row>
    <row r="44850" spans="1:8">
      <c r="A44850" t="s">
        <v>3793</v>
      </c>
      <c r="B44850">
        <f>HYPERLINK("https://android.googlesource.com/platform/cts/+/ea4c9fa12bdf09e16698c66c3b9f15b470baa67f", "ea4c9fa12bdf09e16698c66c3b9f15b470baa67f")</f>
        <v>0</v>
      </c>
      <c r="C44850">
        <f>HYPERLINK("https://android.googlesource.com/platform/cts/+/d472e426a7e093dae9172360c4e2ed0a5540fd5a", "d472e426a7e093dae9172360c4e2ed0a5540fd5a")</f>
        <v>0</v>
      </c>
      <c r="D44850" t="s">
        <v>5243</v>
      </c>
      <c r="E44850" t="s">
        <v>9485</v>
      </c>
      <c r="F44850" t="s">
        <v>13103</v>
      </c>
      <c r="G44850" t="s">
        <v>17265</v>
      </c>
      <c r="H44850" t="s">
        <v>36123</v>
      </c>
    </row>
    <row r="44851" spans="1:8">
      <c r="A44851" t="s">
        <v>3794</v>
      </c>
      <c r="B44851">
        <f>HYPERLINK("https://android.googlesource.com/platform/cts/+/c4c7f6b73dbe72f4dd02c65419e1f2dcdc890036", "c4c7f6b73dbe72f4dd02c65419e1f2dcdc890036")</f>
        <v>0</v>
      </c>
      <c r="C44851">
        <f>HYPERLINK("https://android.googlesource.com/platform/cts/+/42875b120b2568e530a53193d1ba42601ddb725f", "42875b120b2568e530a53193d1ba42601ddb725f")</f>
        <v>0</v>
      </c>
      <c r="D44851" t="s">
        <v>5520</v>
      </c>
      <c r="E44851" t="s">
        <v>9486</v>
      </c>
      <c r="F44851" t="s">
        <v>14477</v>
      </c>
      <c r="G44851" t="s">
        <v>18409</v>
      </c>
      <c r="H44851" t="s">
        <v>19981</v>
      </c>
    </row>
    <row r="44852" spans="1:8">
      <c r="H44852" t="s">
        <v>36124</v>
      </c>
    </row>
    <row r="44853" spans="1:8">
      <c r="F44853" t="s">
        <v>14478</v>
      </c>
      <c r="G44853" t="s">
        <v>18410</v>
      </c>
      <c r="H44853" t="s">
        <v>36125</v>
      </c>
    </row>
    <row r="44854" spans="1:8">
      <c r="A44854" t="s">
        <v>3795</v>
      </c>
      <c r="B44854">
        <f>HYPERLINK("https://android.googlesource.com/platform/cts/+/4557400153796e4f55bd6b5d78b985e9e1beaccf", "4557400153796e4f55bd6b5d78b985e9e1beaccf")</f>
        <v>0</v>
      </c>
      <c r="C44854">
        <f>HYPERLINK("https://android.googlesource.com/platform/cts/+/e8fc1139cb4879052aeb4d9511b90f5c07defdbb", "e8fc1139cb4879052aeb4d9511b90f5c07defdbb")</f>
        <v>0</v>
      </c>
      <c r="D44854" t="s">
        <v>5400</v>
      </c>
      <c r="E44854" t="s">
        <v>9487</v>
      </c>
      <c r="F44854" t="s">
        <v>14474</v>
      </c>
      <c r="G44854" t="s">
        <v>18406</v>
      </c>
      <c r="H44854" t="s">
        <v>36039</v>
      </c>
    </row>
    <row r="44855" spans="1:8">
      <c r="H44855" t="s">
        <v>36114</v>
      </c>
    </row>
    <row r="44856" spans="1:8">
      <c r="H44856" t="s">
        <v>36115</v>
      </c>
    </row>
    <row r="44857" spans="1:8">
      <c r="H44857" t="s">
        <v>36116</v>
      </c>
    </row>
    <row r="44858" spans="1:8">
      <c r="A44858" t="s">
        <v>3796</v>
      </c>
      <c r="B44858">
        <f>HYPERLINK("https://android.googlesource.com/platform/cts/+/adaa33aeb593a7fb15f1fba98c4deff59c176649", "adaa33aeb593a7fb15f1fba98c4deff59c176649")</f>
        <v>0</v>
      </c>
      <c r="C44858">
        <f>HYPERLINK("https://android.googlesource.com/platform/cts/+/f456df86f911a1fd3b469ff362dd08c6e45635b6", "f456df86f911a1fd3b469ff362dd08c6e45635b6")</f>
        <v>0</v>
      </c>
      <c r="D44858" t="s">
        <v>5148</v>
      </c>
      <c r="E44858" t="s">
        <v>9488</v>
      </c>
      <c r="F44858" t="s">
        <v>14479</v>
      </c>
      <c r="G44858" t="s">
        <v>18411</v>
      </c>
      <c r="H44858" t="s">
        <v>30245</v>
      </c>
    </row>
    <row r="44859" spans="1:8">
      <c r="H44859" t="s">
        <v>30245</v>
      </c>
    </row>
    <row r="44860" spans="1:8">
      <c r="H44860" t="s">
        <v>36126</v>
      </c>
    </row>
    <row r="44861" spans="1:8">
      <c r="A44861" t="s">
        <v>3797</v>
      </c>
      <c r="B44861">
        <f>HYPERLINK("https://android.googlesource.com/platform/cts/+/756d82ce7d5f752c7fd55deaf7fd9c1ea2b5f464", "756d82ce7d5f752c7fd55deaf7fd9c1ea2b5f464")</f>
        <v>0</v>
      </c>
      <c r="C44861">
        <f>HYPERLINK("https://android.googlesource.com/platform/cts/+/e8fc1139cb4879052aeb4d9511b90f5c07defdbb", "e8fc1139cb4879052aeb4d9511b90f5c07defdbb")</f>
        <v>0</v>
      </c>
      <c r="D44861" t="s">
        <v>5400</v>
      </c>
      <c r="E44861" t="s">
        <v>9489</v>
      </c>
      <c r="F44861" t="s">
        <v>14474</v>
      </c>
      <c r="G44861" t="s">
        <v>18406</v>
      </c>
      <c r="H44861" t="s">
        <v>36127</v>
      </c>
    </row>
    <row r="44862" spans="1:8">
      <c r="H44862" t="s">
        <v>36128</v>
      </c>
    </row>
    <row r="44863" spans="1:8">
      <c r="A44863" t="s">
        <v>3798</v>
      </c>
      <c r="B44863">
        <f>HYPERLINK("https://android.googlesource.com/platform/cts/+/ee99c17a59eddd5e819118e29c9c08b08560a61e", "ee99c17a59eddd5e819118e29c9c08b08560a61e")</f>
        <v>0</v>
      </c>
      <c r="C44863">
        <f>HYPERLINK("https://android.googlesource.com/platform/cts/+/9168462b987d9fd220094009c75b548517f1bf28", "9168462b987d9fd220094009c75b548517f1bf28")</f>
        <v>0</v>
      </c>
      <c r="D44863" t="s">
        <v>5359</v>
      </c>
      <c r="E44863" t="s">
        <v>9490</v>
      </c>
      <c r="F44863" t="s">
        <v>14480</v>
      </c>
      <c r="G44863" t="s">
        <v>18412</v>
      </c>
      <c r="H44863" t="s">
        <v>36129</v>
      </c>
    </row>
    <row r="44864" spans="1:8">
      <c r="A44864" t="s">
        <v>3799</v>
      </c>
      <c r="B44864">
        <f>HYPERLINK("https://android.googlesource.com/platform/cts/+/3358e6bbc28405c65a2778649f2391d9d356bed3", "3358e6bbc28405c65a2778649f2391d9d356bed3")</f>
        <v>0</v>
      </c>
      <c r="C44864">
        <f>HYPERLINK("https://android.googlesource.com/platform/cts/+/23e5bd0b7a8fcc173f56b56daa96007b4be983f8", "23e5bd0b7a8fcc173f56b56daa96007b4be983f8")</f>
        <v>0</v>
      </c>
      <c r="D44864" t="s">
        <v>5046</v>
      </c>
      <c r="E44864" t="s">
        <v>9491</v>
      </c>
      <c r="F44864" t="s">
        <v>13487</v>
      </c>
      <c r="G44864" t="s">
        <v>17044</v>
      </c>
      <c r="H44864" t="s">
        <v>36052</v>
      </c>
    </row>
    <row r="44865" spans="1:8">
      <c r="H44865" t="s">
        <v>35713</v>
      </c>
    </row>
    <row r="44866" spans="1:8">
      <c r="H44866" t="s">
        <v>36130</v>
      </c>
    </row>
    <row r="44867" spans="1:8">
      <c r="H44867" t="s">
        <v>36131</v>
      </c>
    </row>
    <row r="44868" spans="1:8">
      <c r="A44868" t="s">
        <v>3800</v>
      </c>
      <c r="B44868">
        <f>HYPERLINK("https://android.googlesource.com/platform/cts/+/770558a62436b6ea5a035ee5961b8b0984b7338d", "770558a62436b6ea5a035ee5961b8b0984b7338d")</f>
        <v>0</v>
      </c>
      <c r="C44868">
        <f>HYPERLINK("https://android.googlesource.com/platform/cts/+/f7adba966f7997f90e90f1471e8d8b5440a57eea", "f7adba966f7997f90e90f1471e8d8b5440a57eea")</f>
        <v>0</v>
      </c>
      <c r="D44868" t="s">
        <v>5417</v>
      </c>
      <c r="E44868" t="s">
        <v>9492</v>
      </c>
      <c r="F44868" t="s">
        <v>14161</v>
      </c>
      <c r="G44868" t="s">
        <v>18139</v>
      </c>
      <c r="H44868" t="s">
        <v>36132</v>
      </c>
    </row>
    <row r="44869" spans="1:8">
      <c r="A44869" t="s">
        <v>3801</v>
      </c>
      <c r="B44869">
        <f>HYPERLINK("https://android.googlesource.com/platform/cts/+/712a07b43c1624643b2a482083d5cce0e09aaabc", "712a07b43c1624643b2a482083d5cce0e09aaabc")</f>
        <v>0</v>
      </c>
      <c r="C44869">
        <f>HYPERLINK("https://android.googlesource.com/platform/cts/+/38180946f4c2dfa7f126901524d62b0ce3942b2e", "38180946f4c2dfa7f126901524d62b0ce3942b2e")</f>
        <v>0</v>
      </c>
      <c r="D44869" t="s">
        <v>5621</v>
      </c>
      <c r="E44869" t="s">
        <v>9493</v>
      </c>
      <c r="F44869" t="s">
        <v>13816</v>
      </c>
      <c r="G44869" t="s">
        <v>15089</v>
      </c>
      <c r="H44869" t="s">
        <v>36133</v>
      </c>
    </row>
    <row r="44870" spans="1:8">
      <c r="A44870" t="s">
        <v>3802</v>
      </c>
      <c r="B44870">
        <f>HYPERLINK("https://android.googlesource.com/platform/cts/+/121c56fdc7045d578f5dd3a7309332b5c9a518b1", "121c56fdc7045d578f5dd3a7309332b5c9a518b1")</f>
        <v>0</v>
      </c>
      <c r="C44870">
        <f>HYPERLINK("https://android.googlesource.com/platform/cts/+/e54119d00f9bfd5b24b8eef836c59d0597513783", "e54119d00f9bfd5b24b8eef836c59d0597513783")</f>
        <v>0</v>
      </c>
      <c r="D44870" t="s">
        <v>5134</v>
      </c>
      <c r="E44870" t="s">
        <v>9494</v>
      </c>
      <c r="F44870" t="s">
        <v>14422</v>
      </c>
      <c r="G44870" t="s">
        <v>18360</v>
      </c>
      <c r="H44870" t="s">
        <v>36134</v>
      </c>
    </row>
    <row r="44871" spans="1:8">
      <c r="A44871" t="s">
        <v>3803</v>
      </c>
      <c r="B44871">
        <f>HYPERLINK("https://android.googlesource.com/platform/cts/+/14dd0dd325906b15198cea5271f40f18550bcf15", "14dd0dd325906b15198cea5271f40f18550bcf15")</f>
        <v>0</v>
      </c>
      <c r="C44871">
        <f>HYPERLINK("https://android.googlesource.com/platform/cts/+/f84f610a508b167db13c144bdd3c35c324e485f8", "f84f610a508b167db13c144bdd3c35c324e485f8")</f>
        <v>0</v>
      </c>
      <c r="D44871" t="s">
        <v>5622</v>
      </c>
      <c r="E44871" t="s">
        <v>9495</v>
      </c>
      <c r="F44871" t="s">
        <v>14469</v>
      </c>
      <c r="G44871" t="s">
        <v>18401</v>
      </c>
      <c r="H44871" t="s">
        <v>27192</v>
      </c>
    </row>
    <row r="44872" spans="1:8">
      <c r="A44872" t="s">
        <v>3804</v>
      </c>
      <c r="B44872">
        <f>HYPERLINK("https://android.googlesource.com/platform/cts/+/0509935f93e3f487a233d9777eb4a8cc42a6af65", "0509935f93e3f487a233d9777eb4a8cc42a6af65")</f>
        <v>0</v>
      </c>
      <c r="C44872">
        <f>HYPERLINK("https://android.googlesource.com/platform/cts/+/9dbed0abf489dfa3e889ce0202cca43747e8945d", "9dbed0abf489dfa3e889ce0202cca43747e8945d")</f>
        <v>0</v>
      </c>
      <c r="D44872" t="s">
        <v>5180</v>
      </c>
      <c r="E44872" t="s">
        <v>9496</v>
      </c>
      <c r="F44872" t="s">
        <v>14481</v>
      </c>
      <c r="G44872" t="s">
        <v>18413</v>
      </c>
      <c r="H44872" t="s">
        <v>36135</v>
      </c>
    </row>
    <row r="44873" spans="1:8">
      <c r="A44873" t="s">
        <v>3805</v>
      </c>
      <c r="B44873">
        <f>HYPERLINK("https://android.googlesource.com/platform/cts/+/82495fad66080319cd7301814ad94b2d29f6c51e", "82495fad66080319cd7301814ad94b2d29f6c51e")</f>
        <v>0</v>
      </c>
      <c r="C44873">
        <f>HYPERLINK("https://android.googlesource.com/platform/cts/+/75665417c4052b6addff92f1445bd14beac9bf73", "75665417c4052b6addff92f1445bd14beac9bf73")</f>
        <v>0</v>
      </c>
      <c r="D44873" t="s">
        <v>5219</v>
      </c>
      <c r="E44873" t="s">
        <v>9497</v>
      </c>
      <c r="F44873" t="s">
        <v>14482</v>
      </c>
      <c r="G44873" t="s">
        <v>18414</v>
      </c>
      <c r="H44873" t="s">
        <v>36136</v>
      </c>
    </row>
    <row r="44874" spans="1:8">
      <c r="H44874" t="s">
        <v>36137</v>
      </c>
    </row>
    <row r="44875" spans="1:8">
      <c r="H44875" t="s">
        <v>36138</v>
      </c>
    </row>
    <row r="44876" spans="1:8">
      <c r="H44876" t="s">
        <v>36139</v>
      </c>
    </row>
    <row r="44877" spans="1:8">
      <c r="H44877" t="s">
        <v>36140</v>
      </c>
    </row>
    <row r="44878" spans="1:8">
      <c r="H44878" t="s">
        <v>36141</v>
      </c>
    </row>
    <row r="44879" spans="1:8">
      <c r="H44879" t="s">
        <v>36142</v>
      </c>
    </row>
    <row r="44880" spans="1:8">
      <c r="H44880" t="s">
        <v>36143</v>
      </c>
    </row>
    <row r="44881" spans="8:8">
      <c r="H44881" t="s">
        <v>36144</v>
      </c>
    </row>
    <row r="44882" spans="8:8">
      <c r="H44882" t="s">
        <v>36145</v>
      </c>
    </row>
    <row r="44883" spans="8:8">
      <c r="H44883" t="s">
        <v>36146</v>
      </c>
    </row>
    <row r="44884" spans="8:8">
      <c r="H44884" t="s">
        <v>36147</v>
      </c>
    </row>
    <row r="44885" spans="8:8">
      <c r="H44885" t="s">
        <v>36148</v>
      </c>
    </row>
    <row r="44886" spans="8:8">
      <c r="H44886" t="s">
        <v>36149</v>
      </c>
    </row>
    <row r="44887" spans="8:8">
      <c r="H44887" t="s">
        <v>36150</v>
      </c>
    </row>
    <row r="44888" spans="8:8">
      <c r="H44888" t="s">
        <v>36151</v>
      </c>
    </row>
    <row r="44889" spans="8:8">
      <c r="H44889" t="s">
        <v>36152</v>
      </c>
    </row>
    <row r="44890" spans="8:8">
      <c r="H44890" t="s">
        <v>36153</v>
      </c>
    </row>
    <row r="44891" spans="8:8">
      <c r="H44891" t="s">
        <v>36154</v>
      </c>
    </row>
    <row r="44892" spans="8:8">
      <c r="H44892" t="s">
        <v>36155</v>
      </c>
    </row>
    <row r="44893" spans="8:8">
      <c r="H44893" t="s">
        <v>36156</v>
      </c>
    </row>
    <row r="44894" spans="8:8">
      <c r="H44894" t="s">
        <v>36157</v>
      </c>
    </row>
    <row r="44895" spans="8:8">
      <c r="H44895" t="s">
        <v>36158</v>
      </c>
    </row>
    <row r="44896" spans="8:8">
      <c r="H44896" t="s">
        <v>36159</v>
      </c>
    </row>
    <row r="44897" spans="1:8">
      <c r="H44897" t="s">
        <v>36160</v>
      </c>
    </row>
    <row r="44898" spans="1:8">
      <c r="H44898" t="s">
        <v>36161</v>
      </c>
    </row>
    <row r="44899" spans="1:8">
      <c r="H44899" t="s">
        <v>36162</v>
      </c>
    </row>
    <row r="44900" spans="1:8">
      <c r="H44900" t="s">
        <v>36163</v>
      </c>
    </row>
    <row r="44901" spans="1:8">
      <c r="A44901" t="s">
        <v>3806</v>
      </c>
      <c r="B44901">
        <f>HYPERLINK("https://android.googlesource.com/platform/cts/+/37e3cd4567aa37f49188f4675b8fb7513cea7f96", "37e3cd4567aa37f49188f4675b8fb7513cea7f96")</f>
        <v>0</v>
      </c>
      <c r="C44901">
        <f>HYPERLINK("https://android.googlesource.com/platform/cts/+/712a07b43c1624643b2a482083d5cce0e09aaabc", "712a07b43c1624643b2a482083d5cce0e09aaabc")</f>
        <v>0</v>
      </c>
      <c r="D44901" t="s">
        <v>5623</v>
      </c>
      <c r="E44901" t="s">
        <v>9498</v>
      </c>
      <c r="F44901" t="s">
        <v>14483</v>
      </c>
      <c r="G44901" t="s">
        <v>18415</v>
      </c>
      <c r="H44901" t="s">
        <v>36164</v>
      </c>
    </row>
    <row r="44902" spans="1:8">
      <c r="H44902" t="s">
        <v>36165</v>
      </c>
    </row>
    <row r="44903" spans="1:8">
      <c r="A44903" t="s">
        <v>3807</v>
      </c>
      <c r="B44903">
        <f>HYPERLINK("https://android.googlesource.com/platform/cts/+/5fc25d369ed05d9b8cd2fb3dbb5209926ac54923", "5fc25d369ed05d9b8cd2fb3dbb5209926ac54923")</f>
        <v>0</v>
      </c>
      <c r="C44903">
        <f>HYPERLINK("https://android.googlesource.com/platform/cts/+/d49a9a56d85eea82e7ea696183c2d564a3bd6eb3", "d49a9a56d85eea82e7ea696183c2d564a3bd6eb3")</f>
        <v>0</v>
      </c>
      <c r="D44903" t="s">
        <v>5180</v>
      </c>
      <c r="E44903" t="s">
        <v>9499</v>
      </c>
      <c r="F44903" t="s">
        <v>14481</v>
      </c>
      <c r="G44903" t="s">
        <v>18413</v>
      </c>
      <c r="H44903" t="s">
        <v>36166</v>
      </c>
    </row>
    <row r="44904" spans="1:8">
      <c r="H44904" t="s">
        <v>36167</v>
      </c>
    </row>
    <row r="44905" spans="1:8">
      <c r="H44905" t="s">
        <v>36168</v>
      </c>
    </row>
    <row r="44906" spans="1:8">
      <c r="A44906" t="s">
        <v>3808</v>
      </c>
      <c r="B44906">
        <f>HYPERLINK("https://android.googlesource.com/platform/cts/+/267489424548261ebf34db7c9938b07c1166c9cb", "267489424548261ebf34db7c9938b07c1166c9cb")</f>
        <v>0</v>
      </c>
      <c r="C44906">
        <f>HYPERLINK("https://android.googlesource.com/platform/cts/+/93d6d7aac39a81ab4b4e727cee3c8ea0a808c9b8", "93d6d7aac39a81ab4b4e727cee3c8ea0a808c9b8")</f>
        <v>0</v>
      </c>
      <c r="D44906" t="s">
        <v>5621</v>
      </c>
      <c r="E44906" t="s">
        <v>9500</v>
      </c>
      <c r="F44906" t="s">
        <v>13816</v>
      </c>
      <c r="G44906" t="s">
        <v>15089</v>
      </c>
      <c r="H44906" t="s">
        <v>36133</v>
      </c>
    </row>
    <row r="44907" spans="1:8">
      <c r="A44907" t="s">
        <v>3809</v>
      </c>
      <c r="B44907">
        <f>HYPERLINK("https://android.googlesource.com/platform/cts/+/92abe57f355a3f845b8bd100664766121f6c8f5c", "92abe57f355a3f845b8bd100664766121f6c8f5c")</f>
        <v>0</v>
      </c>
      <c r="C44907">
        <f>HYPERLINK("https://android.googlesource.com/platform/cts/+/ace4f4d8065734bc8e9d9ddd6af323331225c296", "ace4f4d8065734bc8e9d9ddd6af323331225c296")</f>
        <v>0</v>
      </c>
      <c r="D44907" t="s">
        <v>5624</v>
      </c>
      <c r="E44907" t="s">
        <v>9501</v>
      </c>
      <c r="F44907" t="s">
        <v>12176</v>
      </c>
      <c r="G44907" t="s">
        <v>16415</v>
      </c>
      <c r="H44907" t="s">
        <v>36169</v>
      </c>
    </row>
    <row r="44908" spans="1:8">
      <c r="A44908" t="s">
        <v>3810</v>
      </c>
      <c r="B44908">
        <f>HYPERLINK("https://android.googlesource.com/platform/cts/+/aefee4c9ff841ada03a631b13079d370dbcdb66f", "aefee4c9ff841ada03a631b13079d370dbcdb66f")</f>
        <v>0</v>
      </c>
      <c r="C44908">
        <f>HYPERLINK("https://android.googlesource.com/platform/cts/+/64687baae4d38761c49d6f1c274322e0e7cffd5f", "64687baae4d38761c49d6f1c274322e0e7cffd5f")</f>
        <v>0</v>
      </c>
      <c r="D44908" t="s">
        <v>5595</v>
      </c>
      <c r="E44908" t="s">
        <v>9502</v>
      </c>
      <c r="F44908" t="s">
        <v>14484</v>
      </c>
      <c r="G44908" t="s">
        <v>18416</v>
      </c>
      <c r="H44908" t="s">
        <v>36170</v>
      </c>
    </row>
    <row r="44909" spans="1:8">
      <c r="A44909" t="s">
        <v>3811</v>
      </c>
      <c r="B44909">
        <f>HYPERLINK("https://android.googlesource.com/platform/cts/+/5fb0d1f79d7265aa1ad014211905088f124b902a", "5fb0d1f79d7265aa1ad014211905088f124b902a")</f>
        <v>0</v>
      </c>
      <c r="C44909">
        <f>HYPERLINK("https://android.googlesource.com/platform/cts/+/9460d743902a1f8ba8943dc8c5ca1a92535feb9c", "9460d743902a1f8ba8943dc8c5ca1a92535feb9c")</f>
        <v>0</v>
      </c>
      <c r="D44909" t="s">
        <v>5574</v>
      </c>
      <c r="E44909" t="s">
        <v>9503</v>
      </c>
      <c r="F44909" t="s">
        <v>14485</v>
      </c>
      <c r="G44909" t="s">
        <v>17560</v>
      </c>
      <c r="H44909" t="s">
        <v>36171</v>
      </c>
    </row>
    <row r="44910" spans="1:8">
      <c r="H44910" t="s">
        <v>36172</v>
      </c>
    </row>
    <row r="44911" spans="1:8">
      <c r="A44911" t="s">
        <v>3812</v>
      </c>
      <c r="B44911">
        <f>HYPERLINK("https://android.googlesource.com/platform/cts/+/ade68bcb5882e6b78e8cb3e26a625a54ee612675", "ade68bcb5882e6b78e8cb3e26a625a54ee612675")</f>
        <v>0</v>
      </c>
      <c r="C44911">
        <f>HYPERLINK("https://android.googlesource.com/platform/cts/+/ef3cae7c99ea4adb3a561ea6a69f4a8cd023aac9", "ef3cae7c99ea4adb3a561ea6a69f4a8cd023aac9")</f>
        <v>0</v>
      </c>
      <c r="D44911" t="s">
        <v>5313</v>
      </c>
      <c r="E44911" t="s">
        <v>9504</v>
      </c>
      <c r="F44911" t="s">
        <v>14165</v>
      </c>
      <c r="G44911" t="s">
        <v>17361</v>
      </c>
      <c r="H44911" t="s">
        <v>36173</v>
      </c>
    </row>
    <row r="44912" spans="1:8">
      <c r="A44912" t="s">
        <v>3813</v>
      </c>
      <c r="B44912">
        <f>HYPERLINK("https://android.googlesource.com/platform/cts/+/415954122309dd40be8c34a954a2e900161ffe5d", "415954122309dd40be8c34a954a2e900161ffe5d")</f>
        <v>0</v>
      </c>
      <c r="C44912">
        <f>HYPERLINK("https://android.googlesource.com/platform/cts/+/f26efb19e329f3adc61b0cd567ce6263349cbf83", "f26efb19e329f3adc61b0cd567ce6263349cbf83")</f>
        <v>0</v>
      </c>
      <c r="D44912" t="s">
        <v>5625</v>
      </c>
      <c r="E44912" t="s">
        <v>9505</v>
      </c>
      <c r="F44912" t="s">
        <v>13816</v>
      </c>
      <c r="G44912" t="s">
        <v>15089</v>
      </c>
      <c r="H44912" t="s">
        <v>36174</v>
      </c>
    </row>
    <row r="44913" spans="1:8">
      <c r="A44913" t="s">
        <v>3814</v>
      </c>
      <c r="B44913">
        <f>HYPERLINK("https://android.googlesource.com/platform/cts/+/90e66e3ab0c4644aa2fcc602417272181dc2ef58", "90e66e3ab0c4644aa2fcc602417272181dc2ef58")</f>
        <v>0</v>
      </c>
      <c r="C44913">
        <f>HYPERLINK("https://android.googlesource.com/platform/cts/+/7aab706761435cf5393bbb56649491d8c35ae02d", "7aab706761435cf5393bbb56649491d8c35ae02d")</f>
        <v>0</v>
      </c>
      <c r="D44913" t="s">
        <v>5585</v>
      </c>
      <c r="E44913" t="s">
        <v>9506</v>
      </c>
      <c r="F44913" t="s">
        <v>13788</v>
      </c>
      <c r="G44913" t="s">
        <v>17841</v>
      </c>
      <c r="H44913" t="s">
        <v>35469</v>
      </c>
    </row>
    <row r="44914" spans="1:8">
      <c r="A44914" t="s">
        <v>3815</v>
      </c>
      <c r="B44914">
        <f>HYPERLINK("https://android.googlesource.com/platform/cts/+/0a20f28651319eb6bdc435bc0f28a3b07dac10bf", "0a20f28651319eb6bdc435bc0f28a3b07dac10bf")</f>
        <v>0</v>
      </c>
      <c r="C44914">
        <f>HYPERLINK("https://android.googlesource.com/platform/cts/+/5305d570f88227be93318747650edeb506b63f92", "5305d570f88227be93318747650edeb506b63f92")</f>
        <v>0</v>
      </c>
      <c r="D44914" t="s">
        <v>5621</v>
      </c>
      <c r="E44914" t="s">
        <v>9507</v>
      </c>
      <c r="F44914" t="s">
        <v>13816</v>
      </c>
      <c r="G44914" t="s">
        <v>15089</v>
      </c>
      <c r="H44914" t="s">
        <v>36133</v>
      </c>
    </row>
    <row r="44915" spans="1:8">
      <c r="A44915" t="s">
        <v>3816</v>
      </c>
      <c r="B44915">
        <f>HYPERLINK("https://android.googlesource.com/platform/cts/+/36e91eaa361500c4a7f367cd6394d948be5b29ed", "36e91eaa361500c4a7f367cd6394d948be5b29ed")</f>
        <v>0</v>
      </c>
      <c r="C44915">
        <f>HYPERLINK("https://android.googlesource.com/platform/cts/+/22cead5e78ccf47a2b28c68b7486e16c53630c25", "22cead5e78ccf47a2b28c68b7486e16c53630c25")</f>
        <v>0</v>
      </c>
      <c r="D44915" t="s">
        <v>5585</v>
      </c>
      <c r="E44915" t="s">
        <v>9508</v>
      </c>
      <c r="F44915" t="s">
        <v>13788</v>
      </c>
      <c r="G44915" t="s">
        <v>17841</v>
      </c>
      <c r="H44915" t="s">
        <v>35469</v>
      </c>
    </row>
    <row r="44916" spans="1:8">
      <c r="A44916" t="s">
        <v>3817</v>
      </c>
      <c r="B44916">
        <f>HYPERLINK("https://android.googlesource.com/platform/cts/+/cb0ce7b15bf0597c67a121fe498a7b9187c7b93a", "cb0ce7b15bf0597c67a121fe498a7b9187c7b93a")</f>
        <v>0</v>
      </c>
      <c r="C44916">
        <f>HYPERLINK("https://android.googlesource.com/platform/cts/+/01923684d0485d039317f879049a910106d53aec", "01923684d0485d039317f879049a910106d53aec")</f>
        <v>0</v>
      </c>
      <c r="D44916" t="s">
        <v>5469</v>
      </c>
      <c r="E44916" t="s">
        <v>9509</v>
      </c>
      <c r="F44916" t="s">
        <v>14486</v>
      </c>
      <c r="G44916" t="s">
        <v>18417</v>
      </c>
      <c r="H44916" t="s">
        <v>36175</v>
      </c>
    </row>
    <row r="44917" spans="1:8">
      <c r="H44917" t="s">
        <v>36176</v>
      </c>
    </row>
    <row r="44918" spans="1:8">
      <c r="A44918" t="s">
        <v>3818</v>
      </c>
      <c r="B44918">
        <f>HYPERLINK("https://android.googlesource.com/platform/cts/+/1b14ed81f9d84f93ce74f9104dfd05c1bb14fc8c", "1b14ed81f9d84f93ce74f9104dfd05c1bb14fc8c")</f>
        <v>0</v>
      </c>
      <c r="C44918">
        <f>HYPERLINK("https://android.googlesource.com/platform/cts/+/6d40d66e7ef35c61117eac9a67756448c38e322a", "6d40d66e7ef35c61117eac9a67756448c38e322a")</f>
        <v>0</v>
      </c>
      <c r="D44918" t="s">
        <v>5139</v>
      </c>
      <c r="E44918" t="s">
        <v>9510</v>
      </c>
      <c r="F44918" t="s">
        <v>14487</v>
      </c>
      <c r="G44918" t="s">
        <v>18418</v>
      </c>
      <c r="H44918" t="s">
        <v>36177</v>
      </c>
    </row>
    <row r="44919" spans="1:8">
      <c r="H44919" t="s">
        <v>36178</v>
      </c>
    </row>
    <row r="44920" spans="1:8">
      <c r="H44920" t="s">
        <v>36179</v>
      </c>
    </row>
    <row r="44921" spans="1:8">
      <c r="F44921" t="s">
        <v>12931</v>
      </c>
      <c r="G44921" t="s">
        <v>17096</v>
      </c>
      <c r="H44921" t="s">
        <v>36180</v>
      </c>
    </row>
    <row r="44922" spans="1:8">
      <c r="A44922" t="s">
        <v>3819</v>
      </c>
      <c r="B44922">
        <f>HYPERLINK("https://android.googlesource.com/platform/cts/+/3e7ff67f105be00b55411abc7d138413c8077405", "3e7ff67f105be00b55411abc7d138413c8077405")</f>
        <v>0</v>
      </c>
      <c r="C44922">
        <f>HYPERLINK("https://android.googlesource.com/platform/cts/+/93d6d7aac39a81ab4b4e727cee3c8ea0a808c9b8", "93d6d7aac39a81ab4b4e727cee3c8ea0a808c9b8")</f>
        <v>0</v>
      </c>
      <c r="D44922" t="s">
        <v>5272</v>
      </c>
      <c r="E44922" t="s">
        <v>9511</v>
      </c>
      <c r="F44922" t="s">
        <v>13757</v>
      </c>
      <c r="G44922" t="s">
        <v>17816</v>
      </c>
      <c r="H44922" t="s">
        <v>36181</v>
      </c>
    </row>
    <row r="44923" spans="1:8">
      <c r="A44923" t="s">
        <v>3820</v>
      </c>
      <c r="B44923">
        <f>HYPERLINK("https://android.googlesource.com/platform/cts/+/1773bd5a8578ad9f4deac92814d405940f1b0066", "1773bd5a8578ad9f4deac92814d405940f1b0066")</f>
        <v>0</v>
      </c>
      <c r="C44923">
        <f>HYPERLINK("https://android.googlesource.com/platform/cts/+/87a4f8487a7063b22a5caf67f8c82c3c9a5d0193", "87a4f8487a7063b22a5caf67f8c82c3c9a5d0193")</f>
        <v>0</v>
      </c>
      <c r="D44923" t="s">
        <v>5344</v>
      </c>
      <c r="E44923" t="s">
        <v>9512</v>
      </c>
      <c r="F44923" t="s">
        <v>14473</v>
      </c>
      <c r="G44923" t="s">
        <v>18405</v>
      </c>
      <c r="H44923" t="s">
        <v>36182</v>
      </c>
    </row>
    <row r="44924" spans="1:8">
      <c r="H44924" t="s">
        <v>36183</v>
      </c>
    </row>
    <row r="44925" spans="1:8">
      <c r="A44925" t="s">
        <v>3821</v>
      </c>
      <c r="B44925">
        <f>HYPERLINK("https://android.googlesource.com/platform/cts/+/322fb2ba83471676eadc04fef924a89e207c8454", "322fb2ba83471676eadc04fef924a89e207c8454")</f>
        <v>0</v>
      </c>
      <c r="C44925">
        <f>HYPERLINK("https://android.googlesource.com/platform/cts/+/8ab92a6edc6d558a0a01b9ffd2d45c958ea93bcc", "8ab92a6edc6d558a0a01b9ffd2d45c958ea93bcc")</f>
        <v>0</v>
      </c>
      <c r="D44925" t="s">
        <v>5344</v>
      </c>
      <c r="E44925" t="s">
        <v>9513</v>
      </c>
      <c r="F44925" t="s">
        <v>14476</v>
      </c>
      <c r="G44925" t="s">
        <v>18408</v>
      </c>
      <c r="H44925" t="s">
        <v>36184</v>
      </c>
    </row>
    <row r="44926" spans="1:8">
      <c r="A44926" t="s">
        <v>3822</v>
      </c>
      <c r="B44926">
        <f>HYPERLINK("https://android.googlesource.com/platform/cts/+/7f65c7bbc4049f4e4f9fed4bc977e6b75b01b67c", "7f65c7bbc4049f4e4f9fed4bc977e6b75b01b67c")</f>
        <v>0</v>
      </c>
      <c r="C44926">
        <f>HYPERLINK("https://android.googlesource.com/platform/cts/+/4db3203acb645ecca876b22f5789ddcc182c852d", "4db3203acb645ecca876b22f5789ddcc182c852d")</f>
        <v>0</v>
      </c>
      <c r="D44926" t="s">
        <v>5528</v>
      </c>
      <c r="E44926" t="s">
        <v>9514</v>
      </c>
      <c r="F44926" t="s">
        <v>14488</v>
      </c>
      <c r="G44926" t="s">
        <v>17893</v>
      </c>
      <c r="H44926" t="s">
        <v>33185</v>
      </c>
    </row>
    <row r="44927" spans="1:8">
      <c r="H44927" t="s">
        <v>36185</v>
      </c>
    </row>
    <row r="44928" spans="1:8">
      <c r="A44928" t="s">
        <v>3823</v>
      </c>
      <c r="B44928">
        <f>HYPERLINK("https://android.googlesource.com/platform/cts/+/129e1a3d4626f32043cc33a4aab24edd35cc5433", "129e1a3d4626f32043cc33a4aab24edd35cc5433")</f>
        <v>0</v>
      </c>
      <c r="C44928">
        <f>HYPERLINK("https://android.googlesource.com/platform/cts/+/87e381e1c22ef37bf0f4cb8de27ee68262d9c494", "87e381e1c22ef37bf0f4cb8de27ee68262d9c494")</f>
        <v>0</v>
      </c>
      <c r="D44928" t="s">
        <v>5626</v>
      </c>
      <c r="E44928" t="s">
        <v>9515</v>
      </c>
      <c r="F44928" t="s">
        <v>14489</v>
      </c>
      <c r="G44928" t="s">
        <v>18419</v>
      </c>
      <c r="H44928" t="s">
        <v>36186</v>
      </c>
    </row>
    <row r="44929" spans="1:8">
      <c r="A44929" t="s">
        <v>3824</v>
      </c>
      <c r="B44929">
        <f>HYPERLINK("https://android.googlesource.com/platform/cts/+/b78ef2fcd435330b5ed4ae8eea5be2b14c775534", "b78ef2fcd435330b5ed4ae8eea5be2b14c775534")</f>
        <v>0</v>
      </c>
      <c r="C44929">
        <f>HYPERLINK("https://android.googlesource.com/platform/cts/+/0e4961682815c4e940a6bdb243f948c3ff77ce12", "0e4961682815c4e940a6bdb243f948c3ff77ce12")</f>
        <v>0</v>
      </c>
      <c r="D44929" t="s">
        <v>5465</v>
      </c>
      <c r="E44929" t="s">
        <v>9516</v>
      </c>
      <c r="F44929" t="s">
        <v>14490</v>
      </c>
      <c r="G44929" t="s">
        <v>18420</v>
      </c>
      <c r="H44929" t="s">
        <v>18829</v>
      </c>
    </row>
    <row r="44930" spans="1:8">
      <c r="H44930" t="s">
        <v>18863</v>
      </c>
    </row>
    <row r="44931" spans="1:8">
      <c r="H44931" t="s">
        <v>36187</v>
      </c>
    </row>
    <row r="44932" spans="1:8">
      <c r="H44932" t="s">
        <v>36188</v>
      </c>
    </row>
    <row r="44933" spans="1:8">
      <c r="H44933" t="s">
        <v>36189</v>
      </c>
    </row>
    <row r="44934" spans="1:8">
      <c r="H44934" t="s">
        <v>36190</v>
      </c>
    </row>
    <row r="44935" spans="1:8">
      <c r="H44935" t="s">
        <v>36191</v>
      </c>
    </row>
    <row r="44936" spans="1:8">
      <c r="H44936" t="s">
        <v>36192</v>
      </c>
    </row>
    <row r="44937" spans="1:8">
      <c r="H44937" t="s">
        <v>36193</v>
      </c>
    </row>
    <row r="44938" spans="1:8">
      <c r="H44938" t="s">
        <v>36192</v>
      </c>
    </row>
    <row r="44939" spans="1:8">
      <c r="F44939" t="s">
        <v>13213</v>
      </c>
      <c r="G44939" t="s">
        <v>17354</v>
      </c>
      <c r="H44939" t="s">
        <v>36194</v>
      </c>
    </row>
    <row r="44940" spans="1:8">
      <c r="H44940" t="s">
        <v>18829</v>
      </c>
    </row>
    <row r="44941" spans="1:8">
      <c r="H44941" t="s">
        <v>36195</v>
      </c>
    </row>
    <row r="44942" spans="1:8">
      <c r="H44942" t="s">
        <v>36196</v>
      </c>
    </row>
    <row r="44943" spans="1:8">
      <c r="H44943" t="s">
        <v>36197</v>
      </c>
    </row>
    <row r="44944" spans="1:8">
      <c r="H44944" t="s">
        <v>36198</v>
      </c>
    </row>
    <row r="44945" spans="6:8">
      <c r="H44945" t="s">
        <v>36199</v>
      </c>
    </row>
    <row r="44946" spans="6:8">
      <c r="H44946" t="s">
        <v>36200</v>
      </c>
    </row>
    <row r="44947" spans="6:8">
      <c r="H44947" t="s">
        <v>36201</v>
      </c>
    </row>
    <row r="44948" spans="6:8">
      <c r="H44948" t="s">
        <v>36202</v>
      </c>
    </row>
    <row r="44949" spans="6:8">
      <c r="H44949" t="s">
        <v>36203</v>
      </c>
    </row>
    <row r="44950" spans="6:8">
      <c r="H44950" t="s">
        <v>36204</v>
      </c>
    </row>
    <row r="44951" spans="6:8">
      <c r="H44951" t="s">
        <v>36205</v>
      </c>
    </row>
    <row r="44952" spans="6:8">
      <c r="H44952" t="s">
        <v>36206</v>
      </c>
    </row>
    <row r="44953" spans="6:8">
      <c r="H44953" t="s">
        <v>36207</v>
      </c>
    </row>
    <row r="44954" spans="6:8">
      <c r="F44954" t="s">
        <v>12629</v>
      </c>
      <c r="G44954" t="s">
        <v>16838</v>
      </c>
      <c r="H44954" t="s">
        <v>36208</v>
      </c>
    </row>
    <row r="44955" spans="6:8">
      <c r="F44955" t="s">
        <v>14491</v>
      </c>
      <c r="G44955" t="s">
        <v>18054</v>
      </c>
      <c r="H44955" t="s">
        <v>18829</v>
      </c>
    </row>
    <row r="44956" spans="6:8">
      <c r="H44956" t="s">
        <v>18863</v>
      </c>
    </row>
    <row r="44957" spans="6:8">
      <c r="H44957" t="s">
        <v>36209</v>
      </c>
    </row>
    <row r="44958" spans="6:8">
      <c r="H44958" t="s">
        <v>36210</v>
      </c>
    </row>
    <row r="44959" spans="6:8">
      <c r="H44959" t="s">
        <v>36199</v>
      </c>
    </row>
    <row r="44960" spans="6:8">
      <c r="H44960" t="s">
        <v>36211</v>
      </c>
    </row>
    <row r="44961" spans="1:8">
      <c r="H44961" t="s">
        <v>36212</v>
      </c>
    </row>
    <row r="44962" spans="1:8">
      <c r="H44962" t="s">
        <v>36213</v>
      </c>
    </row>
    <row r="44963" spans="1:8">
      <c r="H44963" t="s">
        <v>36203</v>
      </c>
    </row>
    <row r="44964" spans="1:8">
      <c r="H44964" t="s">
        <v>36214</v>
      </c>
    </row>
    <row r="44965" spans="1:8">
      <c r="A44965" t="s">
        <v>3825</v>
      </c>
      <c r="B44965">
        <f>HYPERLINK("https://android.googlesource.com/platform/cts/+/ae719f7fa897c98b65e737352a095f24bc03689b", "ae719f7fa897c98b65e737352a095f24bc03689b")</f>
        <v>0</v>
      </c>
      <c r="C44965">
        <f>HYPERLINK("https://android.googlesource.com/platform/cts/+/88e78f0599b97b0a76f48b785ddca4306e8aeb32", "88e78f0599b97b0a76f48b785ddca4306e8aeb32")</f>
        <v>0</v>
      </c>
      <c r="D44965" t="s">
        <v>5594</v>
      </c>
      <c r="E44965" t="s">
        <v>9517</v>
      </c>
      <c r="F44965" t="s">
        <v>14492</v>
      </c>
      <c r="G44965" t="s">
        <v>18421</v>
      </c>
      <c r="H44965" t="s">
        <v>36215</v>
      </c>
    </row>
    <row r="44966" spans="1:8">
      <c r="H44966" t="s">
        <v>36216</v>
      </c>
    </row>
    <row r="44967" spans="1:8">
      <c r="H44967" t="s">
        <v>36217</v>
      </c>
    </row>
    <row r="44968" spans="1:8">
      <c r="H44968" t="s">
        <v>36218</v>
      </c>
    </row>
    <row r="44969" spans="1:8">
      <c r="A44969" t="s">
        <v>3826</v>
      </c>
      <c r="B44969">
        <f>HYPERLINK("https://android.googlesource.com/platform/cts/+/f3fec269d1d29a769ce3b1f88ac0a168ce1774f8", "f3fec269d1d29a769ce3b1f88ac0a168ce1774f8")</f>
        <v>0</v>
      </c>
      <c r="C44969">
        <f>HYPERLINK("https://android.googlesource.com/platform/cts/+/1223db40dc37175ef3bd92ea07df71c7775d7891", "1223db40dc37175ef3bd92ea07df71c7775d7891")</f>
        <v>0</v>
      </c>
      <c r="D44969" t="s">
        <v>5272</v>
      </c>
      <c r="E44969" t="s">
        <v>9518</v>
      </c>
      <c r="F44969" t="s">
        <v>13810</v>
      </c>
      <c r="G44969" t="s">
        <v>17734</v>
      </c>
      <c r="H44969" t="s">
        <v>29725</v>
      </c>
    </row>
    <row r="44970" spans="1:8">
      <c r="A44970" t="s">
        <v>3827</v>
      </c>
      <c r="B44970">
        <f>HYPERLINK("https://android.googlesource.com/platform/cts/+/2c97403b1cd8eab88a1040eb56b8c189ef26a18a", "2c97403b1cd8eab88a1040eb56b8c189ef26a18a")</f>
        <v>0</v>
      </c>
      <c r="C44970">
        <f>HYPERLINK("https://android.googlesource.com/platform/cts/+/3b004a9d735080674a304031cf798ce3250c6156", "3b004a9d735080674a304031cf798ce3250c6156")</f>
        <v>0</v>
      </c>
      <c r="D44970" t="s">
        <v>5409</v>
      </c>
      <c r="E44970" t="s">
        <v>9519</v>
      </c>
      <c r="F44970" t="s">
        <v>14448</v>
      </c>
      <c r="G44970" t="s">
        <v>18383</v>
      </c>
      <c r="H44970" t="s">
        <v>36219</v>
      </c>
    </row>
    <row r="44971" spans="1:8">
      <c r="H44971" t="s">
        <v>36220</v>
      </c>
    </row>
    <row r="44972" spans="1:8">
      <c r="A44972" t="s">
        <v>3828</v>
      </c>
      <c r="B44972">
        <f>HYPERLINK("https://android.googlesource.com/platform/cts/+/d92c21cc0f1d1ae1bbbd044f8aef1a8c0806e33d", "d92c21cc0f1d1ae1bbbd044f8aef1a8c0806e33d")</f>
        <v>0</v>
      </c>
      <c r="C44972">
        <f>HYPERLINK("https://android.googlesource.com/platform/cts/+/86d80e05f06f363b569c2c8944ca81df3d02f1ff", "86d80e05f06f363b569c2c8944ca81df3d02f1ff")</f>
        <v>0</v>
      </c>
      <c r="D44972" t="s">
        <v>5627</v>
      </c>
      <c r="E44972" t="s">
        <v>9520</v>
      </c>
      <c r="F44972" t="s">
        <v>14493</v>
      </c>
      <c r="G44972" t="s">
        <v>18422</v>
      </c>
      <c r="H44972" t="s">
        <v>18829</v>
      </c>
    </row>
    <row r="44973" spans="1:8">
      <c r="H44973" t="s">
        <v>36221</v>
      </c>
    </row>
    <row r="44974" spans="1:8">
      <c r="H44974" t="s">
        <v>36222</v>
      </c>
    </row>
    <row r="44975" spans="1:8">
      <c r="A44975" t="s">
        <v>3829</v>
      </c>
      <c r="B44975">
        <f>HYPERLINK("https://android.googlesource.com/platform/cts/+/1a3e61bcd3a7dff712c5bdcbc411a94f5fc99aa3", "1a3e61bcd3a7dff712c5bdcbc411a94f5fc99aa3")</f>
        <v>0</v>
      </c>
      <c r="C44975">
        <f>HYPERLINK("https://android.googlesource.com/platform/cts/+/8ab92a6edc6d558a0a01b9ffd2d45c958ea93bcc", "8ab92a6edc6d558a0a01b9ffd2d45c958ea93bcc")</f>
        <v>0</v>
      </c>
      <c r="D44975" t="s">
        <v>5627</v>
      </c>
      <c r="E44975" t="s">
        <v>9521</v>
      </c>
      <c r="F44975" t="s">
        <v>14493</v>
      </c>
      <c r="G44975" t="s">
        <v>18422</v>
      </c>
      <c r="H44975" t="s">
        <v>18829</v>
      </c>
    </row>
    <row r="44976" spans="1:8">
      <c r="H44976" t="s">
        <v>36221</v>
      </c>
    </row>
    <row r="44977" spans="1:8">
      <c r="H44977" t="s">
        <v>36222</v>
      </c>
    </row>
    <row r="44978" spans="1:8">
      <c r="A44978" t="s">
        <v>3830</v>
      </c>
      <c r="B44978">
        <f>HYPERLINK("https://android.googlesource.com/platform/cts/+/df77d2ed74c46a61440ecc4678e53a1c5f2af9dc", "df77d2ed74c46a61440ecc4678e53a1c5f2af9dc")</f>
        <v>0</v>
      </c>
      <c r="C44978">
        <f>HYPERLINK("https://android.googlesource.com/platform/cts/+/4963dcfab9cbff7f76b45ab001eb22caad6857c5", "4963dcfab9cbff7f76b45ab001eb22caad6857c5")</f>
        <v>0</v>
      </c>
      <c r="D44978" t="s">
        <v>5389</v>
      </c>
      <c r="E44978" t="s">
        <v>9522</v>
      </c>
      <c r="F44978" t="s">
        <v>14136</v>
      </c>
      <c r="G44978" t="s">
        <v>18124</v>
      </c>
      <c r="H44978" t="s">
        <v>36223</v>
      </c>
    </row>
    <row r="44979" spans="1:8">
      <c r="F44979" t="s">
        <v>14494</v>
      </c>
      <c r="G44979" t="s">
        <v>18423</v>
      </c>
      <c r="H44979" t="s">
        <v>36224</v>
      </c>
    </row>
    <row r="44980" spans="1:8">
      <c r="F44980" t="s">
        <v>13136</v>
      </c>
      <c r="G44980" t="s">
        <v>17293</v>
      </c>
      <c r="H44980" t="s">
        <v>36225</v>
      </c>
    </row>
    <row r="44981" spans="1:8">
      <c r="H44981" t="s">
        <v>36226</v>
      </c>
    </row>
    <row r="44982" spans="1:8">
      <c r="F44982" t="s">
        <v>12768</v>
      </c>
      <c r="G44982" t="s">
        <v>15710</v>
      </c>
      <c r="H44982" t="s">
        <v>36227</v>
      </c>
    </row>
    <row r="44983" spans="1:8">
      <c r="A44983" t="s">
        <v>3831</v>
      </c>
      <c r="B44983">
        <f>HYPERLINK("https://android.googlesource.com/platform/cts/+/7f7daca8ee63267a33a2ae7e603be814d68db4d6", "7f7daca8ee63267a33a2ae7e603be814d68db4d6")</f>
        <v>0</v>
      </c>
      <c r="C44983">
        <f>HYPERLINK("https://android.googlesource.com/platform/cts/+/b347e16f08deefe77050035caf6b26436db8d779", "b347e16f08deefe77050035caf6b26436db8d779")</f>
        <v>0</v>
      </c>
      <c r="D44983" t="s">
        <v>5628</v>
      </c>
      <c r="E44983" t="s">
        <v>9523</v>
      </c>
      <c r="F44983" t="s">
        <v>13332</v>
      </c>
      <c r="G44983" t="s">
        <v>17462</v>
      </c>
      <c r="H44983" t="s">
        <v>36228</v>
      </c>
    </row>
    <row r="44984" spans="1:8">
      <c r="F44984" t="s">
        <v>14495</v>
      </c>
      <c r="G44984" t="s">
        <v>17952</v>
      </c>
      <c r="H44984" t="s">
        <v>20244</v>
      </c>
    </row>
    <row r="44985" spans="1:8">
      <c r="H44985" t="s">
        <v>19233</v>
      </c>
    </row>
    <row r="44986" spans="1:8">
      <c r="F44986" t="s">
        <v>14496</v>
      </c>
      <c r="G44986" t="s">
        <v>18424</v>
      </c>
      <c r="H44986" t="s">
        <v>19233</v>
      </c>
    </row>
    <row r="44987" spans="1:8">
      <c r="F44987" t="s">
        <v>12817</v>
      </c>
      <c r="G44987" t="s">
        <v>16629</v>
      </c>
      <c r="H44987" t="s">
        <v>20244</v>
      </c>
    </row>
    <row r="44988" spans="1:8">
      <c r="H44988" t="s">
        <v>19233</v>
      </c>
    </row>
    <row r="44989" spans="1:8">
      <c r="A44989" t="s">
        <v>3832</v>
      </c>
      <c r="B44989">
        <f>HYPERLINK("https://android.googlesource.com/platform/cts/+/476b198aa47a903c3b8290725bc9a20ec58f4f9c", "476b198aa47a903c3b8290725bc9a20ec58f4f9c")</f>
        <v>0</v>
      </c>
      <c r="C44989">
        <f>HYPERLINK("https://android.googlesource.com/platform/cts/+/f0439b19cf3a8475d70ac5d60567b3c011494662", "f0439b19cf3a8475d70ac5d60567b3c011494662")</f>
        <v>0</v>
      </c>
      <c r="D44989" t="s">
        <v>5313</v>
      </c>
      <c r="E44989" t="s">
        <v>9524</v>
      </c>
      <c r="F44989" t="s">
        <v>14165</v>
      </c>
      <c r="G44989" t="s">
        <v>17361</v>
      </c>
      <c r="H44989" t="s">
        <v>32811</v>
      </c>
    </row>
    <row r="44990" spans="1:8">
      <c r="A44990" t="s">
        <v>3833</v>
      </c>
      <c r="B44990">
        <f>HYPERLINK("https://android.googlesource.com/platform/cts/+/036a096e5b44895a3a640851143cf04784d0fc3d", "036a096e5b44895a3a640851143cf04784d0fc3d")</f>
        <v>0</v>
      </c>
      <c r="C44990">
        <f>HYPERLINK("https://android.googlesource.com/platform/cts/+/a653074e7458c1c5ce8303508da7392be4d9a98c", "a653074e7458c1c5ce8303508da7392be4d9a98c")</f>
        <v>0</v>
      </c>
      <c r="D44990" t="s">
        <v>5523</v>
      </c>
      <c r="E44990" t="s">
        <v>9525</v>
      </c>
      <c r="F44990" t="s">
        <v>14497</v>
      </c>
      <c r="G44990" t="s">
        <v>18425</v>
      </c>
      <c r="H44990" t="s">
        <v>36229</v>
      </c>
    </row>
    <row r="44991" spans="1:8">
      <c r="A44991" t="s">
        <v>3834</v>
      </c>
      <c r="B44991">
        <f>HYPERLINK("https://android.googlesource.com/platform/cts/+/137f731e1c8f3f558e70476792600cbbae3aeebe", "137f731e1c8f3f558e70476792600cbbae3aeebe")</f>
        <v>0</v>
      </c>
      <c r="C44991">
        <f>HYPERLINK("https://android.googlesource.com/platform/cts/+/e2a95e10930ff9d0365cf70a1e952545da7fef8e", "e2a95e10930ff9d0365cf70a1e952545da7fef8e")</f>
        <v>0</v>
      </c>
      <c r="D44991" t="s">
        <v>5476</v>
      </c>
      <c r="E44991" t="s">
        <v>9526</v>
      </c>
      <c r="F44991" t="s">
        <v>14403</v>
      </c>
      <c r="G44991" t="s">
        <v>18341</v>
      </c>
      <c r="H44991" t="s">
        <v>36230</v>
      </c>
    </row>
    <row r="44992" spans="1:8">
      <c r="A44992" t="s">
        <v>3835</v>
      </c>
      <c r="B44992">
        <f>HYPERLINK("https://android.googlesource.com/platform/cts/+/7dd6f5a6dae8793588df137d6f92b70fb8f22bec", "7dd6f5a6dae8793588df137d6f92b70fb8f22bec")</f>
        <v>0</v>
      </c>
      <c r="C44992">
        <f>HYPERLINK("https://android.googlesource.com/platform/cts/+/8ab92a6edc6d558a0a01b9ffd2d45c958ea93bcc", "8ab92a6edc6d558a0a01b9ffd2d45c958ea93bcc")</f>
        <v>0</v>
      </c>
      <c r="D44992" t="s">
        <v>5108</v>
      </c>
      <c r="E44992" t="s">
        <v>9527</v>
      </c>
      <c r="F44992" t="s">
        <v>14498</v>
      </c>
      <c r="G44992" t="s">
        <v>17341</v>
      </c>
      <c r="H44992" t="s">
        <v>18863</v>
      </c>
    </row>
    <row r="44993" spans="1:8">
      <c r="A44993" t="s">
        <v>3836</v>
      </c>
      <c r="B44993">
        <f>HYPERLINK("https://android.googlesource.com/platform/cts/+/9990f53dda0866488947e35845a089d97ca2ffc1", "9990f53dda0866488947e35845a089d97ca2ffc1")</f>
        <v>0</v>
      </c>
      <c r="C44993">
        <f>HYPERLINK("https://android.googlesource.com/platform/cts/+/bfb199d5bec35cdee8dc05efccbcc3739ab15672", "bfb199d5bec35cdee8dc05efccbcc3739ab15672")</f>
        <v>0</v>
      </c>
      <c r="D44993" t="s">
        <v>5441</v>
      </c>
      <c r="E44993" t="s">
        <v>9528</v>
      </c>
      <c r="F44993" t="s">
        <v>14499</v>
      </c>
      <c r="G44993" t="s">
        <v>18426</v>
      </c>
      <c r="H44993" t="s">
        <v>36231</v>
      </c>
    </row>
    <row r="44994" spans="1:8">
      <c r="H44994" t="s">
        <v>36232</v>
      </c>
    </row>
    <row r="44995" spans="1:8">
      <c r="F44995" t="s">
        <v>14195</v>
      </c>
      <c r="G44995" t="s">
        <v>18174</v>
      </c>
      <c r="H44995" t="s">
        <v>36233</v>
      </c>
    </row>
    <row r="44996" spans="1:8">
      <c r="H44996" t="s">
        <v>36234</v>
      </c>
    </row>
    <row r="44997" spans="1:8">
      <c r="H44997" t="s">
        <v>36235</v>
      </c>
    </row>
    <row r="44998" spans="1:8">
      <c r="H44998" t="s">
        <v>36236</v>
      </c>
    </row>
    <row r="44999" spans="1:8">
      <c r="H44999" t="s">
        <v>36237</v>
      </c>
    </row>
    <row r="45000" spans="1:8">
      <c r="H45000" t="s">
        <v>36073</v>
      </c>
    </row>
    <row r="45001" spans="1:8">
      <c r="H45001" t="s">
        <v>36238</v>
      </c>
    </row>
    <row r="45002" spans="1:8">
      <c r="H45002" t="s">
        <v>36239</v>
      </c>
    </row>
    <row r="45003" spans="1:8">
      <c r="H45003" t="s">
        <v>36240</v>
      </c>
    </row>
    <row r="45004" spans="1:8">
      <c r="H45004" t="s">
        <v>36241</v>
      </c>
    </row>
    <row r="45005" spans="1:8">
      <c r="H45005" t="s">
        <v>36242</v>
      </c>
    </row>
    <row r="45006" spans="1:8">
      <c r="A45006" t="s">
        <v>3837</v>
      </c>
      <c r="B45006">
        <f>HYPERLINK("https://android.googlesource.com/platform/cts/+/875484d7ec8caf990f36b847ba5bf8b5df9c3475", "875484d7ec8caf990f36b847ba5bf8b5df9c3475")</f>
        <v>0</v>
      </c>
      <c r="C45006">
        <f>HYPERLINK("https://android.googlesource.com/platform/cts/+/79c040eaa0551c44b4ddfc846941b5ef6260ea5e", "79c040eaa0551c44b4ddfc846941b5ef6260ea5e")</f>
        <v>0</v>
      </c>
      <c r="D45006" t="s">
        <v>5467</v>
      </c>
      <c r="E45006" t="s">
        <v>9529</v>
      </c>
      <c r="F45006" t="s">
        <v>14095</v>
      </c>
      <c r="G45006" t="s">
        <v>18088</v>
      </c>
      <c r="H45006" t="s">
        <v>36243</v>
      </c>
    </row>
    <row r="45007" spans="1:8">
      <c r="A45007" t="s">
        <v>3838</v>
      </c>
      <c r="B45007">
        <f>HYPERLINK("https://android.googlesource.com/platform/cts/+/71f86f9820055d60b9a65a842d519d061f47a935", "71f86f9820055d60b9a65a842d519d061f47a935")</f>
        <v>0</v>
      </c>
      <c r="C45007">
        <f>HYPERLINK("https://android.googlesource.com/platform/cts/+/e2a95e10930ff9d0365cf70a1e952545da7fef8e", "e2a95e10930ff9d0365cf70a1e952545da7fef8e")</f>
        <v>0</v>
      </c>
      <c r="D45007" t="s">
        <v>5134</v>
      </c>
      <c r="E45007" t="s">
        <v>9530</v>
      </c>
      <c r="F45007" t="s">
        <v>12428</v>
      </c>
      <c r="G45007" t="s">
        <v>16619</v>
      </c>
      <c r="H45007" t="s">
        <v>36244</v>
      </c>
    </row>
    <row r="45008" spans="1:8">
      <c r="F45008" t="s">
        <v>13229</v>
      </c>
      <c r="G45008" t="s">
        <v>17370</v>
      </c>
      <c r="H45008" t="s">
        <v>36245</v>
      </c>
    </row>
    <row r="45009" spans="1:8">
      <c r="A45009" t="s">
        <v>3839</v>
      </c>
      <c r="B45009">
        <f>HYPERLINK("https://android.googlesource.com/platform/cts/+/3eacc9bc5fea1d1e5870bbe3cc179de06b9b8afa", "3eacc9bc5fea1d1e5870bbe3cc179de06b9b8afa")</f>
        <v>0</v>
      </c>
      <c r="C45009">
        <f>HYPERLINK("https://android.googlesource.com/platform/cts/+/0db222e07e3366d729f43a72b12d3ac56b672ef0", "0db222e07e3366d729f43a72b12d3ac56b672ef0")</f>
        <v>0</v>
      </c>
      <c r="D45009" t="s">
        <v>5272</v>
      </c>
      <c r="E45009" t="s">
        <v>9531</v>
      </c>
      <c r="F45009" t="s">
        <v>13757</v>
      </c>
      <c r="G45009" t="s">
        <v>17816</v>
      </c>
      <c r="H45009" t="s">
        <v>36246</v>
      </c>
    </row>
    <row r="45010" spans="1:8">
      <c r="H45010" t="s">
        <v>36246</v>
      </c>
    </row>
    <row r="45011" spans="1:8">
      <c r="H45011" t="s">
        <v>36246</v>
      </c>
    </row>
    <row r="45012" spans="1:8">
      <c r="A45012" t="s">
        <v>3840</v>
      </c>
      <c r="B45012">
        <f>HYPERLINK("https://android.googlesource.com/platform/cts/+/5a2fbe8705fcdb0569dc3d15906bf3b81d6de1d3", "5a2fbe8705fcdb0569dc3d15906bf3b81d6de1d3")</f>
        <v>0</v>
      </c>
      <c r="C45012">
        <f>HYPERLINK("https://android.googlesource.com/platform/cts/+/4992324ec6dab3ac0d7ccf7ba1f5b9e3061b401c", "4992324ec6dab3ac0d7ccf7ba1f5b9e3061b401c")</f>
        <v>0</v>
      </c>
      <c r="D45012" t="s">
        <v>5512</v>
      </c>
      <c r="E45012" t="s">
        <v>9532</v>
      </c>
      <c r="F45012" t="s">
        <v>13716</v>
      </c>
      <c r="G45012" t="s">
        <v>17783</v>
      </c>
      <c r="H45012" t="s">
        <v>36247</v>
      </c>
    </row>
    <row r="45013" spans="1:8">
      <c r="A45013" t="s">
        <v>3841</v>
      </c>
      <c r="B45013">
        <f>HYPERLINK("https://android.googlesource.com/platform/cts/+/7e91f8d25623f323fee891b4adf3b57a391812e0", "7e91f8d25623f323fee891b4adf3b57a391812e0")</f>
        <v>0</v>
      </c>
      <c r="C45013">
        <f>HYPERLINK("https://android.googlesource.com/platform/cts/+/497968cea349588be5226ba17b9b7bc7ce63ada8", "497968cea349588be5226ba17b9b7bc7ce63ada8")</f>
        <v>0</v>
      </c>
      <c r="D45013" t="s">
        <v>5341</v>
      </c>
      <c r="E45013" t="s">
        <v>9533</v>
      </c>
      <c r="F45013" t="s">
        <v>13827</v>
      </c>
      <c r="G45013" t="s">
        <v>17871</v>
      </c>
      <c r="H45013" t="s">
        <v>36248</v>
      </c>
    </row>
    <row r="45014" spans="1:8">
      <c r="A45014" t="s">
        <v>3842</v>
      </c>
      <c r="B45014">
        <f>HYPERLINK("https://android.googlesource.com/platform/cts/+/e00bc51c4cf2d0b5085f8bae4d93cdf2babc54b3", "e00bc51c4cf2d0b5085f8bae4d93cdf2babc54b3")</f>
        <v>0</v>
      </c>
      <c r="C45014">
        <f>HYPERLINK("https://android.googlesource.com/platform/cts/+/22e3ccd1b4daf08bc39b26d162b6b122750bc1d7", "22e3ccd1b4daf08bc39b26d162b6b122750bc1d7")</f>
        <v>0</v>
      </c>
      <c r="D45014" t="s">
        <v>5568</v>
      </c>
      <c r="E45014" t="s">
        <v>9534</v>
      </c>
      <c r="F45014" t="s">
        <v>14500</v>
      </c>
      <c r="G45014" t="s">
        <v>18427</v>
      </c>
      <c r="H45014" t="s">
        <v>34249</v>
      </c>
    </row>
    <row r="45015" spans="1:8">
      <c r="H45015" t="s">
        <v>36249</v>
      </c>
    </row>
    <row r="45016" spans="1:8">
      <c r="H45016" t="s">
        <v>36250</v>
      </c>
    </row>
    <row r="45017" spans="1:8">
      <c r="H45017" t="s">
        <v>36251</v>
      </c>
    </row>
    <row r="45018" spans="1:8">
      <c r="H45018" t="s">
        <v>36252</v>
      </c>
    </row>
    <row r="45019" spans="1:8">
      <c r="H45019" t="s">
        <v>36253</v>
      </c>
    </row>
    <row r="45020" spans="1:8">
      <c r="H45020" t="s">
        <v>36254</v>
      </c>
    </row>
    <row r="45021" spans="1:8">
      <c r="H45021" t="s">
        <v>36255</v>
      </c>
    </row>
    <row r="45022" spans="1:8">
      <c r="H45022" t="s">
        <v>36256</v>
      </c>
    </row>
    <row r="45023" spans="1:8">
      <c r="H45023" t="s">
        <v>36257</v>
      </c>
    </row>
    <row r="45024" spans="1:8">
      <c r="H45024" t="s">
        <v>36258</v>
      </c>
    </row>
    <row r="45025" spans="6:8">
      <c r="H45025" t="s">
        <v>22005</v>
      </c>
    </row>
    <row r="45026" spans="6:8">
      <c r="F45026" t="s">
        <v>14352</v>
      </c>
      <c r="G45026" t="s">
        <v>18428</v>
      </c>
      <c r="H45026" t="s">
        <v>34249</v>
      </c>
    </row>
    <row r="45027" spans="6:8">
      <c r="H45027" t="s">
        <v>34250</v>
      </c>
    </row>
    <row r="45028" spans="6:8">
      <c r="H45028" t="s">
        <v>34526</v>
      </c>
    </row>
    <row r="45029" spans="6:8">
      <c r="H45029" t="s">
        <v>34780</v>
      </c>
    </row>
    <row r="45030" spans="6:8">
      <c r="H45030" t="s">
        <v>34529</v>
      </c>
    </row>
    <row r="45031" spans="6:8">
      <c r="H45031" t="s">
        <v>34781</v>
      </c>
    </row>
    <row r="45032" spans="6:8">
      <c r="H45032" t="s">
        <v>34534</v>
      </c>
    </row>
    <row r="45033" spans="6:8">
      <c r="H45033" t="s">
        <v>34535</v>
      </c>
    </row>
    <row r="45034" spans="6:8">
      <c r="H45034" t="s">
        <v>34536</v>
      </c>
    </row>
    <row r="45035" spans="6:8">
      <c r="H45035" t="s">
        <v>34537</v>
      </c>
    </row>
    <row r="45036" spans="6:8">
      <c r="H45036" t="s">
        <v>34538</v>
      </c>
    </row>
    <row r="45037" spans="6:8">
      <c r="H45037" t="s">
        <v>34539</v>
      </c>
    </row>
    <row r="45038" spans="6:8">
      <c r="H45038" t="s">
        <v>34540</v>
      </c>
    </row>
    <row r="45039" spans="6:8">
      <c r="H45039" t="s">
        <v>34541</v>
      </c>
    </row>
    <row r="45040" spans="6:8">
      <c r="H45040" t="s">
        <v>34542</v>
      </c>
    </row>
    <row r="45041" spans="8:8">
      <c r="H45041" t="s">
        <v>34543</v>
      </c>
    </row>
    <row r="45042" spans="8:8">
      <c r="H45042" t="s">
        <v>34544</v>
      </c>
    </row>
    <row r="45043" spans="8:8">
      <c r="H45043" t="s">
        <v>34784</v>
      </c>
    </row>
    <row r="45044" spans="8:8">
      <c r="H45044" t="s">
        <v>34546</v>
      </c>
    </row>
    <row r="45045" spans="8:8">
      <c r="H45045" t="s">
        <v>34547</v>
      </c>
    </row>
    <row r="45046" spans="8:8">
      <c r="H45046" t="s">
        <v>34785</v>
      </c>
    </row>
    <row r="45047" spans="8:8">
      <c r="H45047" t="s">
        <v>34549</v>
      </c>
    </row>
    <row r="45048" spans="8:8">
      <c r="H45048" t="s">
        <v>34786</v>
      </c>
    </row>
    <row r="45049" spans="8:8">
      <c r="H45049" t="s">
        <v>34551</v>
      </c>
    </row>
    <row r="45050" spans="8:8">
      <c r="H45050" t="s">
        <v>34552</v>
      </c>
    </row>
    <row r="45051" spans="8:8">
      <c r="H45051" t="s">
        <v>34787</v>
      </c>
    </row>
    <row r="45052" spans="8:8">
      <c r="H45052" t="s">
        <v>34788</v>
      </c>
    </row>
    <row r="45053" spans="8:8">
      <c r="H45053" t="s">
        <v>34789</v>
      </c>
    </row>
    <row r="45054" spans="8:8">
      <c r="H45054" t="s">
        <v>34790</v>
      </c>
    </row>
    <row r="45055" spans="8:8">
      <c r="H45055" t="s">
        <v>34791</v>
      </c>
    </row>
    <row r="45056" spans="8:8">
      <c r="H45056" t="s">
        <v>34555</v>
      </c>
    </row>
    <row r="45057" spans="8:8">
      <c r="H45057" t="s">
        <v>36259</v>
      </c>
    </row>
    <row r="45058" spans="8:8">
      <c r="H45058" t="s">
        <v>36260</v>
      </c>
    </row>
    <row r="45059" spans="8:8">
      <c r="H45059" t="s">
        <v>36261</v>
      </c>
    </row>
    <row r="45060" spans="8:8">
      <c r="H45060" t="s">
        <v>34556</v>
      </c>
    </row>
    <row r="45061" spans="8:8">
      <c r="H45061" t="s">
        <v>34792</v>
      </c>
    </row>
    <row r="45062" spans="8:8">
      <c r="H45062" t="s">
        <v>34558</v>
      </c>
    </row>
    <row r="45063" spans="8:8">
      <c r="H45063" t="s">
        <v>34793</v>
      </c>
    </row>
    <row r="45064" spans="8:8">
      <c r="H45064" t="s">
        <v>34794</v>
      </c>
    </row>
    <row r="45065" spans="8:8">
      <c r="H45065" t="s">
        <v>34561</v>
      </c>
    </row>
    <row r="45066" spans="8:8">
      <c r="H45066" t="s">
        <v>34562</v>
      </c>
    </row>
    <row r="45067" spans="8:8">
      <c r="H45067" t="s">
        <v>34563</v>
      </c>
    </row>
    <row r="45068" spans="8:8">
      <c r="H45068" t="s">
        <v>19019</v>
      </c>
    </row>
    <row r="45069" spans="8:8">
      <c r="H45069" t="s">
        <v>34564</v>
      </c>
    </row>
    <row r="45070" spans="8:8">
      <c r="H45070" t="s">
        <v>34565</v>
      </c>
    </row>
    <row r="45071" spans="8:8">
      <c r="H45071" t="s">
        <v>34566</v>
      </c>
    </row>
    <row r="45072" spans="8:8">
      <c r="H45072" t="s">
        <v>34570</v>
      </c>
    </row>
    <row r="45073" spans="1:8">
      <c r="H45073" t="s">
        <v>34571</v>
      </c>
    </row>
    <row r="45074" spans="1:8">
      <c r="H45074" t="s">
        <v>34572</v>
      </c>
    </row>
    <row r="45075" spans="1:8">
      <c r="H45075" t="s">
        <v>34572</v>
      </c>
    </row>
    <row r="45076" spans="1:8">
      <c r="H45076" t="s">
        <v>34573</v>
      </c>
    </row>
    <row r="45077" spans="1:8">
      <c r="H45077" t="s">
        <v>34574</v>
      </c>
    </row>
    <row r="45078" spans="1:8">
      <c r="H45078" t="s">
        <v>34575</v>
      </c>
    </row>
    <row r="45079" spans="1:8">
      <c r="H45079" t="s">
        <v>34796</v>
      </c>
    </row>
    <row r="45080" spans="1:8">
      <c r="H45080" t="s">
        <v>36257</v>
      </c>
    </row>
    <row r="45081" spans="1:8">
      <c r="H45081" t="s">
        <v>36257</v>
      </c>
    </row>
    <row r="45082" spans="1:8">
      <c r="H45082" t="s">
        <v>36258</v>
      </c>
    </row>
    <row r="45083" spans="1:8">
      <c r="H45083" t="s">
        <v>22005</v>
      </c>
    </row>
    <row r="45084" spans="1:8">
      <c r="H45084" t="s">
        <v>34799</v>
      </c>
    </row>
    <row r="45085" spans="1:8">
      <c r="A45085" t="s">
        <v>3843</v>
      </c>
      <c r="B45085">
        <f>HYPERLINK("https://android.googlesource.com/platform/cts/+/155b85d90141ed12f4077f804253ffaf79e95f45", "155b85d90141ed12f4077f804253ffaf79e95f45")</f>
        <v>0</v>
      </c>
      <c r="C45085">
        <f>HYPERLINK("https://android.googlesource.com/platform/cts/+/5dd49e680a905b6fb0acd556f892c47f08f3c34e", "5dd49e680a905b6fb0acd556f892c47f08f3c34e")</f>
        <v>0</v>
      </c>
      <c r="D45085" t="s">
        <v>5585</v>
      </c>
      <c r="E45085" t="s">
        <v>9535</v>
      </c>
      <c r="F45085" t="s">
        <v>14501</v>
      </c>
      <c r="G45085" t="s">
        <v>18429</v>
      </c>
      <c r="H45085" t="s">
        <v>22586</v>
      </c>
    </row>
    <row r="45086" spans="1:8">
      <c r="H45086" t="s">
        <v>36262</v>
      </c>
    </row>
    <row r="45087" spans="1:8">
      <c r="H45087" t="s">
        <v>36263</v>
      </c>
    </row>
    <row r="45088" spans="1:8">
      <c r="H45088" t="s">
        <v>18930</v>
      </c>
    </row>
    <row r="45089" spans="1:8">
      <c r="H45089" t="s">
        <v>36264</v>
      </c>
    </row>
    <row r="45090" spans="1:8">
      <c r="H45090" t="s">
        <v>36265</v>
      </c>
    </row>
    <row r="45091" spans="1:8">
      <c r="H45091" t="s">
        <v>36266</v>
      </c>
    </row>
    <row r="45092" spans="1:8">
      <c r="H45092" t="s">
        <v>36267</v>
      </c>
    </row>
    <row r="45093" spans="1:8">
      <c r="H45093" t="s">
        <v>36268</v>
      </c>
    </row>
    <row r="45094" spans="1:8">
      <c r="H45094" t="s">
        <v>36269</v>
      </c>
    </row>
    <row r="45095" spans="1:8">
      <c r="H45095" t="s">
        <v>36270</v>
      </c>
    </row>
    <row r="45096" spans="1:8">
      <c r="H45096" t="s">
        <v>36271</v>
      </c>
    </row>
    <row r="45097" spans="1:8">
      <c r="H45097" t="s">
        <v>36272</v>
      </c>
    </row>
    <row r="45098" spans="1:8">
      <c r="H45098" t="s">
        <v>36273</v>
      </c>
    </row>
    <row r="45099" spans="1:8">
      <c r="H45099" t="s">
        <v>36274</v>
      </c>
    </row>
    <row r="45100" spans="1:8">
      <c r="H45100" t="s">
        <v>36275</v>
      </c>
    </row>
    <row r="45101" spans="1:8">
      <c r="H45101" t="s">
        <v>36276</v>
      </c>
    </row>
    <row r="45102" spans="1:8">
      <c r="A45102" t="s">
        <v>3844</v>
      </c>
      <c r="B45102">
        <f>HYPERLINK("https://android.googlesource.com/platform/cts/+/85b976f5f69b0e94e1125f4ae4d649b3b798e369", "85b976f5f69b0e94e1125f4ae4d649b3b798e369")</f>
        <v>0</v>
      </c>
      <c r="C45102">
        <f>HYPERLINK("https://android.googlesource.com/platform/cts/+/6fbaf25a2647bcca3312c43199b67d007cf9ea5b", "6fbaf25a2647bcca3312c43199b67d007cf9ea5b")</f>
        <v>0</v>
      </c>
      <c r="D45102" t="s">
        <v>5629</v>
      </c>
      <c r="E45102" t="s">
        <v>9536</v>
      </c>
      <c r="F45102" t="s">
        <v>12771</v>
      </c>
      <c r="G45102" t="s">
        <v>16958</v>
      </c>
      <c r="H45102" t="s">
        <v>36277</v>
      </c>
    </row>
    <row r="45103" spans="1:8">
      <c r="A45103" t="s">
        <v>3845</v>
      </c>
      <c r="B45103">
        <f>HYPERLINK("https://android.googlesource.com/platform/cts/+/8e5161b9cebb8a05d3347d5faffce9a3cdbc2182", "8e5161b9cebb8a05d3347d5faffce9a3cdbc2182")</f>
        <v>0</v>
      </c>
      <c r="C45103">
        <f>HYPERLINK("https://android.googlesource.com/platform/cts/+/6873977dc86bf3e4877f57f33d3ee441c8542da6", "6873977dc86bf3e4877f57f33d3ee441c8542da6")</f>
        <v>0</v>
      </c>
      <c r="D45103" t="s">
        <v>5141</v>
      </c>
      <c r="E45103" t="s">
        <v>9537</v>
      </c>
      <c r="F45103" t="s">
        <v>14502</v>
      </c>
      <c r="G45103" t="s">
        <v>18430</v>
      </c>
      <c r="H45103" t="s">
        <v>36278</v>
      </c>
    </row>
    <row r="45104" spans="1:8">
      <c r="H45104" t="s">
        <v>36279</v>
      </c>
    </row>
    <row r="45105" spans="1:8">
      <c r="A45105" t="s">
        <v>3846</v>
      </c>
      <c r="B45105">
        <f>HYPERLINK("https://android.googlesource.com/platform/cts/+/dc72ac1bae1574f327b26addd27a4406a4e3f500", "dc72ac1bae1574f327b26addd27a4406a4e3f500")</f>
        <v>0</v>
      </c>
      <c r="C45105">
        <f>HYPERLINK("https://android.googlesource.com/platform/cts/+/84b4130529bdf6d1f2cbe314b5f4e62aaa169beb", "84b4130529bdf6d1f2cbe314b5f4e62aaa169beb")</f>
        <v>0</v>
      </c>
      <c r="D45105" t="s">
        <v>5453</v>
      </c>
      <c r="E45105" t="s">
        <v>9538</v>
      </c>
      <c r="F45105" t="s">
        <v>14343</v>
      </c>
      <c r="G45105" t="s">
        <v>18295</v>
      </c>
      <c r="H45105" t="s">
        <v>35471</v>
      </c>
    </row>
    <row r="45106" spans="1:8">
      <c r="A45106" t="s">
        <v>3847</v>
      </c>
      <c r="B45106">
        <f>HYPERLINK("https://android.googlesource.com/platform/cts/+/6a1cd3ed58bad146080815f8caa7a4d5fec52c97", "6a1cd3ed58bad146080815f8caa7a4d5fec52c97")</f>
        <v>0</v>
      </c>
      <c r="C45106">
        <f>HYPERLINK("https://android.googlesource.com/platform/cts/+/b04db1866bfbdca48ecdc0afa8666167fa9ed6f7", "b04db1866bfbdca48ecdc0afa8666167fa9ed6f7")</f>
        <v>0</v>
      </c>
      <c r="D45106" t="s">
        <v>5266</v>
      </c>
      <c r="E45106" t="s">
        <v>9539</v>
      </c>
      <c r="F45106" t="s">
        <v>14503</v>
      </c>
      <c r="G45106" t="s">
        <v>18431</v>
      </c>
      <c r="H45106" t="s">
        <v>26522</v>
      </c>
    </row>
    <row r="45107" spans="1:8">
      <c r="A45107" t="s">
        <v>3848</v>
      </c>
      <c r="B45107">
        <f>HYPERLINK("https://android.googlesource.com/platform/cts/+/e6fea471de5dbf948364e2797609d13014b181dc", "e6fea471de5dbf948364e2797609d13014b181dc")</f>
        <v>0</v>
      </c>
      <c r="C45107">
        <f>HYPERLINK("https://android.googlesource.com/platform/cts/+/d3631b1d3dc8bee50d8a772133997e343a5d574a", "d3631b1d3dc8bee50d8a772133997e343a5d574a")</f>
        <v>0</v>
      </c>
      <c r="D45107" t="s">
        <v>5298</v>
      </c>
      <c r="E45107" t="s">
        <v>9540</v>
      </c>
      <c r="F45107" t="s">
        <v>14504</v>
      </c>
      <c r="G45107" t="s">
        <v>18432</v>
      </c>
      <c r="H45107" t="s">
        <v>27250</v>
      </c>
    </row>
    <row r="45108" spans="1:8">
      <c r="H45108" t="s">
        <v>36280</v>
      </c>
    </row>
    <row r="45109" spans="1:8">
      <c r="H45109" t="s">
        <v>20083</v>
      </c>
    </row>
    <row r="45110" spans="1:8">
      <c r="H45110" t="s">
        <v>36281</v>
      </c>
    </row>
    <row r="45111" spans="1:8">
      <c r="A45111" t="s">
        <v>3849</v>
      </c>
      <c r="B45111">
        <f>HYPERLINK("https://android.googlesource.com/platform/cts/+/9f2d51e0b9cc4f1963e2278f3aee10a69055dd1a", "9f2d51e0b9cc4f1963e2278f3aee10a69055dd1a")</f>
        <v>0</v>
      </c>
      <c r="C45111">
        <f>HYPERLINK("https://android.googlesource.com/platform/cts/+/84f8df939620f3adb32abce19eb92341b65da29c", "84f8df939620f3adb32abce19eb92341b65da29c")</f>
        <v>0</v>
      </c>
      <c r="D45111" t="s">
        <v>5498</v>
      </c>
      <c r="E45111" t="s">
        <v>9541</v>
      </c>
      <c r="F45111" t="s">
        <v>14147</v>
      </c>
      <c r="G45111" t="s">
        <v>18135</v>
      </c>
      <c r="H45111" t="s">
        <v>36282</v>
      </c>
    </row>
    <row r="45112" spans="1:8">
      <c r="A45112" t="s">
        <v>3850</v>
      </c>
      <c r="B45112">
        <f>HYPERLINK("https://android.googlesource.com/platform/cts/+/e8ac3c4991940ead8367e1f9552bb6dcc6a05ba5", "e8ac3c4991940ead8367e1f9552bb6dcc6a05ba5")</f>
        <v>0</v>
      </c>
      <c r="C45112">
        <f>HYPERLINK("https://android.googlesource.com/platform/cts/+/e6fea471de5dbf948364e2797609d13014b181dc", "e6fea471de5dbf948364e2797609d13014b181dc")</f>
        <v>0</v>
      </c>
      <c r="D45112" t="s">
        <v>5298</v>
      </c>
      <c r="E45112" t="s">
        <v>9542</v>
      </c>
      <c r="F45112" t="s">
        <v>14345</v>
      </c>
      <c r="G45112" t="s">
        <v>18297</v>
      </c>
      <c r="H45112" t="s">
        <v>36283</v>
      </c>
    </row>
    <row r="45113" spans="1:8">
      <c r="A45113" t="s">
        <v>3851</v>
      </c>
      <c r="B45113">
        <f>HYPERLINK("https://android.googlesource.com/platform/cts/+/dfc6a6893b051b716e8dec22e2411d9f3119c56f", "dfc6a6893b051b716e8dec22e2411d9f3119c56f")</f>
        <v>0</v>
      </c>
      <c r="C45113">
        <f>HYPERLINK("https://android.googlesource.com/platform/cts/+/ec3e618916929e3add7b0b1bb18b286ea8c74585", "ec3e618916929e3add7b0b1bb18b286ea8c74585")</f>
        <v>0</v>
      </c>
      <c r="D45113" t="s">
        <v>5389</v>
      </c>
      <c r="E45113" t="s">
        <v>9543</v>
      </c>
      <c r="F45113" t="s">
        <v>14494</v>
      </c>
      <c r="G45113" t="s">
        <v>18433</v>
      </c>
      <c r="H45113" t="s">
        <v>18829</v>
      </c>
    </row>
    <row r="45114" spans="1:8">
      <c r="H45114" t="s">
        <v>18863</v>
      </c>
    </row>
    <row r="45115" spans="1:8">
      <c r="H45115" t="s">
        <v>36284</v>
      </c>
    </row>
    <row r="45116" spans="1:8">
      <c r="A45116" t="s">
        <v>3852</v>
      </c>
      <c r="B45116">
        <f>HYPERLINK("https://android.googlesource.com/platform/cts/+/71085156d03e2cf50508b729c1c8e3ffe229905a", "71085156d03e2cf50508b729c1c8e3ffe229905a")</f>
        <v>0</v>
      </c>
      <c r="C45116">
        <f>HYPERLINK("https://android.googlesource.com/platform/cts/+/e0fd24d05f394fab17b9ea9922c3a54d8939ea3f", "e0fd24d05f394fab17b9ea9922c3a54d8939ea3f")</f>
        <v>0</v>
      </c>
      <c r="D45116" t="s">
        <v>5040</v>
      </c>
      <c r="E45116" t="s">
        <v>9544</v>
      </c>
      <c r="F45116" t="s">
        <v>14505</v>
      </c>
      <c r="G45116" t="s">
        <v>18434</v>
      </c>
      <c r="H45116" t="s">
        <v>18829</v>
      </c>
    </row>
    <row r="45117" spans="1:8">
      <c r="H45117" t="s">
        <v>18863</v>
      </c>
    </row>
    <row r="45118" spans="1:8">
      <c r="H45118" t="s">
        <v>36285</v>
      </c>
    </row>
    <row r="45119" spans="1:8">
      <c r="H45119" t="s">
        <v>36286</v>
      </c>
    </row>
    <row r="45120" spans="1:8">
      <c r="H45120" t="s">
        <v>36287</v>
      </c>
    </row>
    <row r="45121" spans="8:8">
      <c r="H45121" t="s">
        <v>36288</v>
      </c>
    </row>
    <row r="45122" spans="8:8">
      <c r="H45122" t="s">
        <v>36289</v>
      </c>
    </row>
    <row r="45123" spans="8:8">
      <c r="H45123" t="s">
        <v>36290</v>
      </c>
    </row>
    <row r="45124" spans="8:8">
      <c r="H45124" t="s">
        <v>36291</v>
      </c>
    </row>
    <row r="45125" spans="8:8">
      <c r="H45125" t="s">
        <v>36292</v>
      </c>
    </row>
    <row r="45126" spans="8:8">
      <c r="H45126" t="s">
        <v>36293</v>
      </c>
    </row>
    <row r="45127" spans="8:8">
      <c r="H45127" t="s">
        <v>36294</v>
      </c>
    </row>
    <row r="45128" spans="8:8">
      <c r="H45128" t="s">
        <v>36295</v>
      </c>
    </row>
    <row r="45129" spans="8:8">
      <c r="H45129" t="s">
        <v>36296</v>
      </c>
    </row>
    <row r="45130" spans="8:8">
      <c r="H45130" t="s">
        <v>36297</v>
      </c>
    </row>
    <row r="45131" spans="8:8">
      <c r="H45131" t="s">
        <v>36298</v>
      </c>
    </row>
    <row r="45132" spans="8:8">
      <c r="H45132" t="s">
        <v>36299</v>
      </c>
    </row>
    <row r="45133" spans="8:8">
      <c r="H45133" t="s">
        <v>36300</v>
      </c>
    </row>
    <row r="45134" spans="8:8">
      <c r="H45134" t="s">
        <v>36301</v>
      </c>
    </row>
    <row r="45135" spans="8:8">
      <c r="H45135" t="s">
        <v>36302</v>
      </c>
    </row>
    <row r="45136" spans="8:8">
      <c r="H45136" t="s">
        <v>36303</v>
      </c>
    </row>
    <row r="45137" spans="1:8">
      <c r="H45137" t="s">
        <v>36304</v>
      </c>
    </row>
    <row r="45138" spans="1:8">
      <c r="H45138" t="s">
        <v>36305</v>
      </c>
    </row>
    <row r="45139" spans="1:8">
      <c r="A45139" t="s">
        <v>3853</v>
      </c>
      <c r="B45139">
        <f>HYPERLINK("https://android.googlesource.com/platform/cts/+/4a06d3a2365c93d5c8687a6f87f5fccc67ddd8be", "4a06d3a2365c93d5c8687a6f87f5fccc67ddd8be")</f>
        <v>0</v>
      </c>
      <c r="C45139">
        <f>HYPERLINK("https://android.googlesource.com/platform/cts/+/617319a492cb64d548269743deecfd2a9ba0589f", "617319a492cb64d548269743deecfd2a9ba0589f")</f>
        <v>0</v>
      </c>
      <c r="D45139" t="s">
        <v>5298</v>
      </c>
      <c r="E45139" t="s">
        <v>9545</v>
      </c>
      <c r="F45139" t="s">
        <v>14345</v>
      </c>
      <c r="G45139" t="s">
        <v>18297</v>
      </c>
      <c r="H45139" t="s">
        <v>19721</v>
      </c>
    </row>
    <row r="45140" spans="1:8">
      <c r="H45140" t="s">
        <v>35850</v>
      </c>
    </row>
    <row r="45141" spans="1:8">
      <c r="H45141" t="s">
        <v>36306</v>
      </c>
    </row>
    <row r="45142" spans="1:8">
      <c r="H45142" t="s">
        <v>36307</v>
      </c>
    </row>
    <row r="45143" spans="1:8">
      <c r="H45143" t="s">
        <v>36308</v>
      </c>
    </row>
    <row r="45144" spans="1:8">
      <c r="H45144" t="s">
        <v>36309</v>
      </c>
    </row>
    <row r="45145" spans="1:8">
      <c r="H45145" t="s">
        <v>22150</v>
      </c>
    </row>
    <row r="45146" spans="1:8">
      <c r="H45146" t="s">
        <v>36310</v>
      </c>
    </row>
    <row r="45147" spans="1:8">
      <c r="H45147" t="s">
        <v>36311</v>
      </c>
    </row>
    <row r="45148" spans="1:8">
      <c r="H45148" t="s">
        <v>36312</v>
      </c>
    </row>
    <row r="45149" spans="1:8">
      <c r="H45149" t="s">
        <v>36313</v>
      </c>
    </row>
    <row r="45150" spans="1:8">
      <c r="H45150" t="s">
        <v>36314</v>
      </c>
    </row>
    <row r="45151" spans="1:8">
      <c r="H45151" t="s">
        <v>36315</v>
      </c>
    </row>
    <row r="45152" spans="1:8">
      <c r="H45152" t="s">
        <v>36316</v>
      </c>
    </row>
    <row r="45153" spans="8:8">
      <c r="H45153" t="s">
        <v>36317</v>
      </c>
    </row>
    <row r="45154" spans="8:8">
      <c r="H45154" t="s">
        <v>18829</v>
      </c>
    </row>
    <row r="45155" spans="8:8">
      <c r="H45155" t="s">
        <v>31527</v>
      </c>
    </row>
    <row r="45156" spans="8:8">
      <c r="H45156" t="s">
        <v>36318</v>
      </c>
    </row>
    <row r="45157" spans="8:8">
      <c r="H45157" t="s">
        <v>36319</v>
      </c>
    </row>
    <row r="45158" spans="8:8">
      <c r="H45158" t="s">
        <v>36320</v>
      </c>
    </row>
    <row r="45159" spans="8:8">
      <c r="H45159" t="s">
        <v>36321</v>
      </c>
    </row>
    <row r="45160" spans="8:8">
      <c r="H45160" t="s">
        <v>36322</v>
      </c>
    </row>
    <row r="45161" spans="8:8">
      <c r="H45161" t="s">
        <v>36323</v>
      </c>
    </row>
    <row r="45162" spans="8:8">
      <c r="H45162" t="s">
        <v>36324</v>
      </c>
    </row>
    <row r="45163" spans="8:8">
      <c r="H45163" t="s">
        <v>36325</v>
      </c>
    </row>
    <row r="45164" spans="8:8">
      <c r="H45164" t="s">
        <v>36326</v>
      </c>
    </row>
    <row r="45165" spans="8:8">
      <c r="H45165" t="s">
        <v>36327</v>
      </c>
    </row>
    <row r="45166" spans="8:8">
      <c r="H45166" t="s">
        <v>36328</v>
      </c>
    </row>
    <row r="45167" spans="8:8">
      <c r="H45167" t="s">
        <v>36329</v>
      </c>
    </row>
    <row r="45168" spans="8:8">
      <c r="H45168" t="s">
        <v>36330</v>
      </c>
    </row>
    <row r="45169" spans="1:8">
      <c r="H45169" t="s">
        <v>36331</v>
      </c>
    </row>
    <row r="45170" spans="1:8">
      <c r="H45170" t="s">
        <v>36332</v>
      </c>
    </row>
    <row r="45171" spans="1:8">
      <c r="H45171" t="s">
        <v>36333</v>
      </c>
    </row>
    <row r="45172" spans="1:8">
      <c r="H45172" t="s">
        <v>36334</v>
      </c>
    </row>
    <row r="45173" spans="1:8">
      <c r="H45173" t="s">
        <v>36335</v>
      </c>
    </row>
    <row r="45174" spans="1:8">
      <c r="H45174" t="s">
        <v>36336</v>
      </c>
    </row>
    <row r="45175" spans="1:8">
      <c r="H45175" t="s">
        <v>36337</v>
      </c>
    </row>
    <row r="45176" spans="1:8">
      <c r="H45176" t="s">
        <v>36338</v>
      </c>
    </row>
    <row r="45177" spans="1:8">
      <c r="H45177" t="s">
        <v>36339</v>
      </c>
    </row>
    <row r="45178" spans="1:8">
      <c r="H45178" t="s">
        <v>36340</v>
      </c>
    </row>
    <row r="45179" spans="1:8">
      <c r="H45179" t="s">
        <v>36341</v>
      </c>
    </row>
    <row r="45180" spans="1:8">
      <c r="H45180" t="s">
        <v>36342</v>
      </c>
    </row>
    <row r="45181" spans="1:8">
      <c r="H45181" t="s">
        <v>36343</v>
      </c>
    </row>
    <row r="45182" spans="1:8">
      <c r="A45182" t="s">
        <v>3854</v>
      </c>
      <c r="B45182">
        <f>HYPERLINK("https://android.googlesource.com/platform/cts/+/2485744cbe9766b086e1e620f12d69193821be1c", "2485744cbe9766b086e1e620f12d69193821be1c")</f>
        <v>0</v>
      </c>
      <c r="C45182">
        <f>HYPERLINK("https://android.googlesource.com/platform/cts/+/fe165bccc3dd7b623909137d9e796631fb2363f2", "fe165bccc3dd7b623909137d9e796631fb2363f2")</f>
        <v>0</v>
      </c>
      <c r="D45182" t="s">
        <v>5526</v>
      </c>
      <c r="E45182" t="s">
        <v>9546</v>
      </c>
      <c r="F45182" t="s">
        <v>13227</v>
      </c>
      <c r="G45182" t="s">
        <v>17368</v>
      </c>
      <c r="H45182" t="s">
        <v>36344</v>
      </c>
    </row>
    <row r="45183" spans="1:8">
      <c r="A45183" t="s">
        <v>3855</v>
      </c>
      <c r="B45183">
        <f>HYPERLINK("https://android.googlesource.com/platform/cts/+/b7c673f8986186279106945a59599712121cc18b", "b7c673f8986186279106945a59599712121cc18b")</f>
        <v>0</v>
      </c>
      <c r="C45183">
        <f>HYPERLINK("https://android.googlesource.com/platform/cts/+/2204a8616b54ff8af9c56acb8286be5eed11b683", "2204a8616b54ff8af9c56acb8286be5eed11b683")</f>
        <v>0</v>
      </c>
      <c r="D45183" t="s">
        <v>5030</v>
      </c>
      <c r="E45183" t="s">
        <v>9547</v>
      </c>
      <c r="F45183" t="s">
        <v>14506</v>
      </c>
      <c r="G45183" t="s">
        <v>18435</v>
      </c>
      <c r="H45183" t="s">
        <v>36345</v>
      </c>
    </row>
    <row r="45184" spans="1:8">
      <c r="H45184" t="s">
        <v>36346</v>
      </c>
    </row>
    <row r="45185" spans="1:8">
      <c r="A45185" t="s">
        <v>3856</v>
      </c>
      <c r="B45185">
        <f>HYPERLINK("https://android.googlesource.com/platform/cts/+/309d16407d5662cf50e6237d7addb3ac893f8f0a", "309d16407d5662cf50e6237d7addb3ac893f8f0a")</f>
        <v>0</v>
      </c>
      <c r="C45185">
        <f>HYPERLINK("https://android.googlesource.com/platform/cts/+/be3765ad318d61dcb6b79176ede73a243b96b5be", "be3765ad318d61dcb6b79176ede73a243b96b5be")</f>
        <v>0</v>
      </c>
      <c r="D45185" t="s">
        <v>5556</v>
      </c>
      <c r="E45185" t="s">
        <v>9548</v>
      </c>
      <c r="F45185" t="s">
        <v>14238</v>
      </c>
      <c r="G45185" t="s">
        <v>18208</v>
      </c>
      <c r="H45185" t="s">
        <v>36347</v>
      </c>
    </row>
    <row r="45186" spans="1:8">
      <c r="H45186" t="s">
        <v>36348</v>
      </c>
    </row>
    <row r="45187" spans="1:8">
      <c r="H45187" t="s">
        <v>36349</v>
      </c>
    </row>
    <row r="45188" spans="1:8">
      <c r="H45188" t="s">
        <v>36350</v>
      </c>
    </row>
    <row r="45189" spans="1:8">
      <c r="F45189" t="s">
        <v>14507</v>
      </c>
      <c r="G45189" t="s">
        <v>18208</v>
      </c>
      <c r="H45189" t="s">
        <v>36347</v>
      </c>
    </row>
    <row r="45190" spans="1:8">
      <c r="H45190" t="s">
        <v>36348</v>
      </c>
    </row>
    <row r="45191" spans="1:8">
      <c r="H45191" t="s">
        <v>36349</v>
      </c>
    </row>
    <row r="45192" spans="1:8">
      <c r="H45192" t="s">
        <v>36350</v>
      </c>
    </row>
    <row r="45193" spans="1:8">
      <c r="F45193" t="s">
        <v>14296</v>
      </c>
      <c r="G45193" t="s">
        <v>18022</v>
      </c>
      <c r="H45193" t="s">
        <v>36347</v>
      </c>
    </row>
    <row r="45194" spans="1:8">
      <c r="H45194" t="s">
        <v>36348</v>
      </c>
    </row>
    <row r="45195" spans="1:8">
      <c r="H45195" t="s">
        <v>36349</v>
      </c>
    </row>
    <row r="45196" spans="1:8">
      <c r="H45196" t="s">
        <v>36350</v>
      </c>
    </row>
    <row r="45197" spans="1:8">
      <c r="A45197" t="s">
        <v>3857</v>
      </c>
      <c r="B45197">
        <f>HYPERLINK("https://android.googlesource.com/platform/cts/+/bc244ae8d96eaf24a9b4a74a69d41ccbc5348271", "bc244ae8d96eaf24a9b4a74a69d41ccbc5348271")</f>
        <v>0</v>
      </c>
      <c r="C45197">
        <f>HYPERLINK("https://android.googlesource.com/platform/cts/+/2a831adebbadade6146b71e0fea8ad4284ecb67d", "2a831adebbadade6146b71e0fea8ad4284ecb67d")</f>
        <v>0</v>
      </c>
      <c r="D45197" t="s">
        <v>5630</v>
      </c>
      <c r="E45197" t="s">
        <v>9549</v>
      </c>
      <c r="F45197" t="s">
        <v>14353</v>
      </c>
      <c r="G45197" t="s">
        <v>18303</v>
      </c>
      <c r="H45197" t="s">
        <v>36351</v>
      </c>
    </row>
    <row r="45198" spans="1:8">
      <c r="H45198" t="s">
        <v>36352</v>
      </c>
    </row>
    <row r="45199" spans="1:8">
      <c r="H45199" t="s">
        <v>36353</v>
      </c>
    </row>
    <row r="45200" spans="1:8">
      <c r="H45200" t="s">
        <v>36354</v>
      </c>
    </row>
    <row r="45201" spans="1:8">
      <c r="A45201" t="s">
        <v>3858</v>
      </c>
      <c r="B45201">
        <f>HYPERLINK("https://android.googlesource.com/platform/cts/+/d15a5cee3c935541ef074efda87b0610f86b3efb", "d15a5cee3c935541ef074efda87b0610f86b3efb")</f>
        <v>0</v>
      </c>
      <c r="C45201">
        <f>HYPERLINK("https://android.googlesource.com/platform/cts/+/fd52dc0b5372b2ed6ce1b50f53331e774ffc31a6", "fd52dc0b5372b2ed6ce1b50f53331e774ffc31a6")</f>
        <v>0</v>
      </c>
      <c r="D45201" t="s">
        <v>5467</v>
      </c>
      <c r="E45201" t="s">
        <v>9550</v>
      </c>
      <c r="F45201" t="s">
        <v>14095</v>
      </c>
      <c r="G45201" t="s">
        <v>18088</v>
      </c>
      <c r="H45201" t="s">
        <v>36355</v>
      </c>
    </row>
    <row r="45202" spans="1:8">
      <c r="A45202" t="s">
        <v>3859</v>
      </c>
      <c r="B45202">
        <f>HYPERLINK("https://android.googlesource.com/platform/cts/+/36ad1c6050195a1f0d05117fcc439a96e1e070b1", "36ad1c6050195a1f0d05117fcc439a96e1e070b1")</f>
        <v>0</v>
      </c>
      <c r="C45202">
        <f>HYPERLINK("https://android.googlesource.com/platform/cts/+/849c933b77e09d0edd41b4a8988499f887d6f78a", "849c933b77e09d0edd41b4a8988499f887d6f78a")</f>
        <v>0</v>
      </c>
      <c r="D45202" t="s">
        <v>5594</v>
      </c>
      <c r="E45202" t="s">
        <v>9551</v>
      </c>
      <c r="F45202" t="s">
        <v>13275</v>
      </c>
      <c r="G45202" t="s">
        <v>17412</v>
      </c>
      <c r="H45202" t="s">
        <v>36356</v>
      </c>
    </row>
    <row r="45203" spans="1:8">
      <c r="A45203" t="s">
        <v>3860</v>
      </c>
      <c r="B45203">
        <f>HYPERLINK("https://android.googlesource.com/platform/cts/+/779e4cc83e18f6d66138c74080d00cda23a5681b", "779e4cc83e18f6d66138c74080d00cda23a5681b")</f>
        <v>0</v>
      </c>
      <c r="C45203">
        <f>HYPERLINK("https://android.googlesource.com/platform/cts/+/c76d3e01da6b792601f0cf9f0e71535461056cc6", "c76d3e01da6b792601f0cf9f0e71535461056cc6")</f>
        <v>0</v>
      </c>
      <c r="D45203" t="s">
        <v>5298</v>
      </c>
      <c r="E45203" t="s">
        <v>9552</v>
      </c>
      <c r="F45203" t="s">
        <v>14508</v>
      </c>
      <c r="G45203" t="s">
        <v>18436</v>
      </c>
      <c r="H45203" t="s">
        <v>36357</v>
      </c>
    </row>
    <row r="45204" spans="1:8">
      <c r="A45204" t="s">
        <v>3861</v>
      </c>
      <c r="B45204">
        <f>HYPERLINK("https://android.googlesource.com/platform/cts/+/9386dd76d122b5961825f3639b7d313f1f712001", "9386dd76d122b5961825f3639b7d313f1f712001")</f>
        <v>0</v>
      </c>
      <c r="C45204">
        <f>HYPERLINK("https://android.googlesource.com/platform/cts/+/02c4665500afe5594ba587a4a1549578c182fd75", "02c4665500afe5594ba587a4a1549578c182fd75")</f>
        <v>0</v>
      </c>
      <c r="D45204" t="s">
        <v>5272</v>
      </c>
      <c r="E45204" t="s">
        <v>9553</v>
      </c>
      <c r="F45204" t="s">
        <v>14328</v>
      </c>
      <c r="G45204" t="s">
        <v>18167</v>
      </c>
      <c r="H45204" t="s">
        <v>33885</v>
      </c>
    </row>
    <row r="45205" spans="1:8">
      <c r="A45205" t="s">
        <v>3862</v>
      </c>
      <c r="B45205">
        <f>HYPERLINK("https://android.googlesource.com/platform/cts/+/4f2c685242bd9de29389e86c4e62520ac996ac9f", "4f2c685242bd9de29389e86c4e62520ac996ac9f")</f>
        <v>0</v>
      </c>
      <c r="C45205">
        <f>HYPERLINK("https://android.googlesource.com/platform/cts/+/e602b1bd2cc223156ecbb3f75877e98bc5c575b1", "e602b1bd2cc223156ecbb3f75877e98bc5c575b1")</f>
        <v>0</v>
      </c>
      <c r="D45205" t="s">
        <v>5298</v>
      </c>
      <c r="E45205" t="s">
        <v>9554</v>
      </c>
      <c r="F45205" t="s">
        <v>14508</v>
      </c>
      <c r="G45205" t="s">
        <v>18436</v>
      </c>
      <c r="H45205" t="s">
        <v>36358</v>
      </c>
    </row>
    <row r="45206" spans="1:8">
      <c r="A45206" t="s">
        <v>3863</v>
      </c>
      <c r="B45206">
        <f>HYPERLINK("https://android.googlesource.com/platform/cts/+/0247d320c26ae0befd0a618e66ee3e8ee1bae574", "0247d320c26ae0befd0a618e66ee3e8ee1bae574")</f>
        <v>0</v>
      </c>
      <c r="C45206">
        <f>HYPERLINK("https://android.googlesource.com/platform/cts/+/535f72d8c9ce450b62b0d484f88d91f299299930", "535f72d8c9ce450b62b0d484f88d91f299299930")</f>
        <v>0</v>
      </c>
      <c r="D45206" t="s">
        <v>4949</v>
      </c>
      <c r="E45206" t="s">
        <v>9555</v>
      </c>
      <c r="F45206" t="s">
        <v>12808</v>
      </c>
      <c r="G45206" t="s">
        <v>16989</v>
      </c>
      <c r="H45206" t="s">
        <v>36359</v>
      </c>
    </row>
    <row r="45207" spans="1:8">
      <c r="A45207" t="s">
        <v>3864</v>
      </c>
      <c r="B45207">
        <f>HYPERLINK("https://android.googlesource.com/platform/cts/+/d51900afba884b8a0af1755c65809d7541594a5f", "d51900afba884b8a0af1755c65809d7541594a5f")</f>
        <v>0</v>
      </c>
      <c r="C45207">
        <f>HYPERLINK("https://android.googlesource.com/platform/cts/+/bb9fa03641a76d82701b1fa4ebf7ed4f124cf7ed", "bb9fa03641a76d82701b1fa4ebf7ed4f124cf7ed")</f>
        <v>0</v>
      </c>
      <c r="D45207" t="s">
        <v>5266</v>
      </c>
      <c r="E45207" t="s">
        <v>9556</v>
      </c>
      <c r="F45207" t="s">
        <v>14503</v>
      </c>
      <c r="G45207" t="s">
        <v>18431</v>
      </c>
      <c r="H45207" t="s">
        <v>27522</v>
      </c>
    </row>
    <row r="45208" spans="1:8">
      <c r="A45208" t="s">
        <v>3865</v>
      </c>
      <c r="B45208">
        <f>HYPERLINK("https://android.googlesource.com/platform/cts/+/23a30e752b64a391485cff67cf52ef1824b324bf", "23a30e752b64a391485cff67cf52ef1824b324bf")</f>
        <v>0</v>
      </c>
      <c r="C45208">
        <f>HYPERLINK("https://android.googlesource.com/platform/cts/+/2aa3e2cec3fedd0b12222737e503d6f37a7b9a68", "2aa3e2cec3fedd0b12222737e503d6f37a7b9a68")</f>
        <v>0</v>
      </c>
      <c r="D45208" t="s">
        <v>5207</v>
      </c>
      <c r="E45208" t="s">
        <v>9557</v>
      </c>
      <c r="F45208" t="s">
        <v>12345</v>
      </c>
      <c r="G45208" t="s">
        <v>16573</v>
      </c>
      <c r="H45208" t="s">
        <v>36360</v>
      </c>
    </row>
    <row r="45209" spans="1:8">
      <c r="A45209" t="s">
        <v>3866</v>
      </c>
      <c r="B45209">
        <f>HYPERLINK("https://android.googlesource.com/platform/cts/+/f26a0679bde669bb47e718683c159e86b2c80da4", "f26a0679bde669bb47e718683c159e86b2c80da4")</f>
        <v>0</v>
      </c>
      <c r="C45209">
        <f>HYPERLINK("https://android.googlesource.com/platform/cts/+/32cd41a8844ffa6d033286f93fea192f9c9ecfb8", "32cd41a8844ffa6d033286f93fea192f9c9ecfb8")</f>
        <v>0</v>
      </c>
      <c r="D45209" t="s">
        <v>5272</v>
      </c>
      <c r="E45209" t="s">
        <v>9558</v>
      </c>
      <c r="F45209" t="s">
        <v>13757</v>
      </c>
      <c r="G45209" t="s">
        <v>17816</v>
      </c>
      <c r="H45209" t="s">
        <v>36361</v>
      </c>
    </row>
    <row r="45210" spans="1:8">
      <c r="H45210" t="s">
        <v>36362</v>
      </c>
    </row>
    <row r="45211" spans="1:8">
      <c r="A45211" t="s">
        <v>3867</v>
      </c>
      <c r="B45211">
        <f>HYPERLINK("https://android.googlesource.com/platform/cts/+/286f6609c79437e4f0200b3a27ad740b847a6960", "286f6609c79437e4f0200b3a27ad740b847a6960")</f>
        <v>0</v>
      </c>
      <c r="C45211">
        <f>HYPERLINK("https://android.googlesource.com/platform/cts/+/e343c526a589a1deedb781e9e00adac1c6cfff92", "e343c526a589a1deedb781e9e00adac1c6cfff92")</f>
        <v>0</v>
      </c>
      <c r="D45211" t="s">
        <v>5298</v>
      </c>
      <c r="E45211" t="s">
        <v>9559</v>
      </c>
      <c r="F45211" t="s">
        <v>14508</v>
      </c>
      <c r="G45211" t="s">
        <v>18436</v>
      </c>
      <c r="H45211" t="s">
        <v>36363</v>
      </c>
    </row>
    <row r="45212" spans="1:8">
      <c r="H45212" t="s">
        <v>36364</v>
      </c>
    </row>
    <row r="45213" spans="1:8">
      <c r="H45213" t="s">
        <v>36365</v>
      </c>
    </row>
    <row r="45214" spans="1:8">
      <c r="H45214" t="s">
        <v>36366</v>
      </c>
    </row>
    <row r="45215" spans="1:8">
      <c r="A45215" t="s">
        <v>3868</v>
      </c>
      <c r="B45215">
        <f>HYPERLINK("https://android.googlesource.com/platform/cts/+/d961ff000457a9ff659bfe8863fd7ee0899df3d7", "d961ff000457a9ff659bfe8863fd7ee0899df3d7")</f>
        <v>0</v>
      </c>
      <c r="C45215">
        <f>HYPERLINK("https://android.googlesource.com/platform/cts/+/286f6609c79437e4f0200b3a27ad740b847a6960", "286f6609c79437e4f0200b3a27ad740b847a6960")</f>
        <v>0</v>
      </c>
      <c r="D45215" t="s">
        <v>5298</v>
      </c>
      <c r="E45215" t="s">
        <v>9560</v>
      </c>
      <c r="F45215" t="s">
        <v>14508</v>
      </c>
      <c r="G45215" t="s">
        <v>18436</v>
      </c>
      <c r="H45215" t="s">
        <v>36367</v>
      </c>
    </row>
    <row r="45216" spans="1:8">
      <c r="H45216" t="s">
        <v>36368</v>
      </c>
    </row>
    <row r="45217" spans="1:8">
      <c r="A45217" t="s">
        <v>3869</v>
      </c>
      <c r="B45217">
        <f>HYPERLINK("https://android.googlesource.com/platform/cts/+/35e5d2d987b43cea5059cb9dc040ab9873474305", "35e5d2d987b43cea5059cb9dc040ab9873474305")</f>
        <v>0</v>
      </c>
      <c r="C45217">
        <f>HYPERLINK("https://android.googlesource.com/platform/cts/+/d961ff000457a9ff659bfe8863fd7ee0899df3d7", "d961ff000457a9ff659bfe8863fd7ee0899df3d7")</f>
        <v>0</v>
      </c>
      <c r="D45217" t="s">
        <v>5298</v>
      </c>
      <c r="E45217" t="s">
        <v>9561</v>
      </c>
      <c r="F45217" t="s">
        <v>14508</v>
      </c>
      <c r="G45217" t="s">
        <v>18436</v>
      </c>
      <c r="H45217" t="s">
        <v>36369</v>
      </c>
    </row>
    <row r="45218" spans="1:8">
      <c r="A45218" t="s">
        <v>3870</v>
      </c>
      <c r="B45218">
        <f>HYPERLINK("https://android.googlesource.com/platform/cts/+/bfb3c50d70c57d9968714548163f9b681f1ad5ad", "bfb3c50d70c57d9968714548163f9b681f1ad5ad")</f>
        <v>0</v>
      </c>
      <c r="C45218">
        <f>HYPERLINK("https://android.googlesource.com/platform/cts/+/41ffc7cfe08e49aa053ad7a05f57253a70aed66e", "41ffc7cfe08e49aa053ad7a05f57253a70aed66e")</f>
        <v>0</v>
      </c>
      <c r="D45218" t="s">
        <v>5620</v>
      </c>
      <c r="E45218" t="s">
        <v>9562</v>
      </c>
      <c r="F45218" t="s">
        <v>14475</v>
      </c>
      <c r="G45218" t="s">
        <v>18407</v>
      </c>
      <c r="H45218" t="s">
        <v>36370</v>
      </c>
    </row>
    <row r="45219" spans="1:8">
      <c r="H45219" t="s">
        <v>36371</v>
      </c>
    </row>
    <row r="45220" spans="1:8">
      <c r="H45220" t="s">
        <v>36372</v>
      </c>
    </row>
    <row r="45221" spans="1:8">
      <c r="A45221" t="s">
        <v>3871</v>
      </c>
      <c r="B45221">
        <f>HYPERLINK("https://android.googlesource.com/platform/cts/+/6fdb474ec24b5dc19d75428eb1cabd821e32e199", "6fdb474ec24b5dc19d75428eb1cabd821e32e199")</f>
        <v>0</v>
      </c>
      <c r="C45221">
        <f>HYPERLINK("https://android.googlesource.com/platform/cts/+/3ee9e4da84e3cbe965c6cc8a0eb80613edebc1d1", "3ee9e4da84e3cbe965c6cc8a0eb80613edebc1d1")</f>
        <v>0</v>
      </c>
      <c r="D45221" t="s">
        <v>5497</v>
      </c>
      <c r="E45221" t="s">
        <v>9563</v>
      </c>
      <c r="F45221" t="s">
        <v>14238</v>
      </c>
      <c r="G45221" t="s">
        <v>18208</v>
      </c>
      <c r="H45221" t="s">
        <v>36347</v>
      </c>
    </row>
    <row r="45222" spans="1:8">
      <c r="H45222" t="s">
        <v>36348</v>
      </c>
    </row>
    <row r="45223" spans="1:8">
      <c r="H45223" t="s">
        <v>36349</v>
      </c>
    </row>
    <row r="45224" spans="1:8">
      <c r="H45224" t="s">
        <v>36350</v>
      </c>
    </row>
    <row r="45225" spans="1:8">
      <c r="F45225" t="s">
        <v>14507</v>
      </c>
      <c r="G45225" t="s">
        <v>18208</v>
      </c>
      <c r="H45225" t="s">
        <v>36347</v>
      </c>
    </row>
    <row r="45226" spans="1:8">
      <c r="H45226" t="s">
        <v>36348</v>
      </c>
    </row>
    <row r="45227" spans="1:8">
      <c r="H45227" t="s">
        <v>36349</v>
      </c>
    </row>
    <row r="45228" spans="1:8">
      <c r="H45228" t="s">
        <v>36350</v>
      </c>
    </row>
    <row r="45229" spans="1:8">
      <c r="F45229" t="s">
        <v>14296</v>
      </c>
      <c r="G45229" t="s">
        <v>18022</v>
      </c>
      <c r="H45229" t="s">
        <v>36347</v>
      </c>
    </row>
    <row r="45230" spans="1:8">
      <c r="H45230" t="s">
        <v>36348</v>
      </c>
    </row>
    <row r="45231" spans="1:8">
      <c r="H45231" t="s">
        <v>36349</v>
      </c>
    </row>
    <row r="45232" spans="1:8">
      <c r="H45232" t="s">
        <v>36350</v>
      </c>
    </row>
    <row r="45233" spans="1:8">
      <c r="A45233" t="s">
        <v>3872</v>
      </c>
      <c r="B45233">
        <f>HYPERLINK("https://android.googlesource.com/platform/cts/+/fedeb4935776bc790830f0c8f7bd083b3e5156a8", "fedeb4935776bc790830f0c8f7bd083b3e5156a8")</f>
        <v>0</v>
      </c>
      <c r="C45233">
        <f>HYPERLINK("https://android.googlesource.com/platform/cts/+/75939e6100124670e5c17c9903695484807444cc", "75939e6100124670e5c17c9903695484807444cc")</f>
        <v>0</v>
      </c>
      <c r="D45233" t="s">
        <v>5040</v>
      </c>
      <c r="E45233" t="s">
        <v>9564</v>
      </c>
      <c r="F45233" t="s">
        <v>14509</v>
      </c>
      <c r="G45233" t="s">
        <v>18437</v>
      </c>
      <c r="H45233" t="s">
        <v>36298</v>
      </c>
    </row>
    <row r="45234" spans="1:8">
      <c r="F45234" t="s">
        <v>14510</v>
      </c>
      <c r="G45234" t="s">
        <v>18438</v>
      </c>
      <c r="H45234" t="s">
        <v>36373</v>
      </c>
    </row>
    <row r="45235" spans="1:8">
      <c r="A45235" t="s">
        <v>3873</v>
      </c>
      <c r="B45235">
        <f>HYPERLINK("https://android.googlesource.com/platform/cts/+/92fc57bfe3e17d8a84f7d0eab1d2b7797ef01c25", "92fc57bfe3e17d8a84f7d0eab1d2b7797ef01c25")</f>
        <v>0</v>
      </c>
      <c r="C45235">
        <f>HYPERLINK("https://android.googlesource.com/platform/cts/+/c653b31ee329e2d26400b3750f1ecf8363ab2e2e", "c653b31ee329e2d26400b3750f1ecf8363ab2e2e")</f>
        <v>0</v>
      </c>
      <c r="D45235" t="s">
        <v>5290</v>
      </c>
      <c r="E45235" t="s">
        <v>9565</v>
      </c>
      <c r="F45235" t="s">
        <v>14136</v>
      </c>
      <c r="G45235" t="s">
        <v>18124</v>
      </c>
      <c r="H45235" t="s">
        <v>36374</v>
      </c>
    </row>
    <row r="45236" spans="1:8">
      <c r="F45236" t="s">
        <v>14511</v>
      </c>
      <c r="G45236" t="s">
        <v>18439</v>
      </c>
      <c r="H45236" t="s">
        <v>18829</v>
      </c>
    </row>
    <row r="45237" spans="1:8">
      <c r="H45237" t="s">
        <v>18863</v>
      </c>
    </row>
    <row r="45238" spans="1:8">
      <c r="H45238" t="s">
        <v>36284</v>
      </c>
    </row>
    <row r="45239" spans="1:8">
      <c r="F45239" t="s">
        <v>13136</v>
      </c>
      <c r="G45239" t="s">
        <v>17293</v>
      </c>
      <c r="H45239" t="s">
        <v>36375</v>
      </c>
    </row>
    <row r="45240" spans="1:8">
      <c r="H45240" t="s">
        <v>36376</v>
      </c>
    </row>
    <row r="45241" spans="1:8">
      <c r="F45241" t="s">
        <v>12768</v>
      </c>
      <c r="G45241" t="s">
        <v>15710</v>
      </c>
      <c r="H45241" t="s">
        <v>36377</v>
      </c>
    </row>
    <row r="45242" spans="1:8">
      <c r="A45242" t="s">
        <v>3874</v>
      </c>
      <c r="B45242">
        <f>HYPERLINK("https://android.googlesource.com/platform/cts/+/0ce6ebc955bd89484985c77d45bdba9d997a48c3", "0ce6ebc955bd89484985c77d45bdba9d997a48c3")</f>
        <v>0</v>
      </c>
      <c r="C45242">
        <f>HYPERLINK("https://android.googlesource.com/platform/cts/+/e23c77cfcf5c8d8f64a00a511b39165f762f15f1", "e23c77cfcf5c8d8f64a00a511b39165f762f15f1")</f>
        <v>0</v>
      </c>
      <c r="D45242" t="s">
        <v>5631</v>
      </c>
      <c r="E45242" t="s">
        <v>9566</v>
      </c>
      <c r="F45242" t="s">
        <v>14437</v>
      </c>
      <c r="G45242" t="s">
        <v>18373</v>
      </c>
      <c r="H45242" t="s">
        <v>35939</v>
      </c>
    </row>
    <row r="45243" spans="1:8">
      <c r="A45243" t="s">
        <v>3875</v>
      </c>
      <c r="B45243">
        <f>HYPERLINK("https://android.googlesource.com/platform/cts/+/cb6630062f4e5a0c75257b7e9b7e10ca1f9eb60b", "cb6630062f4e5a0c75257b7e9b7e10ca1f9eb60b")</f>
        <v>0</v>
      </c>
      <c r="C45243">
        <f>HYPERLINK("https://android.googlesource.com/platform/cts/+/a5a7dbd10872f847887616679821ea469d7fdc09", "a5a7dbd10872f847887616679821ea469d7fdc09")</f>
        <v>0</v>
      </c>
      <c r="D45243" t="s">
        <v>5604</v>
      </c>
      <c r="E45243" t="s">
        <v>9567</v>
      </c>
      <c r="F45243" t="s">
        <v>12931</v>
      </c>
      <c r="G45243" t="s">
        <v>17096</v>
      </c>
      <c r="H45243" t="s">
        <v>36378</v>
      </c>
    </row>
    <row r="45244" spans="1:8">
      <c r="H45244" t="s">
        <v>36379</v>
      </c>
    </row>
    <row r="45245" spans="1:8">
      <c r="A45245" t="s">
        <v>3876</v>
      </c>
      <c r="B45245">
        <f>HYPERLINK("https://android.googlesource.com/platform/cts/+/8f1425ed98ece332e41e65ffbbd99e3692f4229b", "8f1425ed98ece332e41e65ffbbd99e3692f4229b")</f>
        <v>0</v>
      </c>
      <c r="C45245">
        <f>HYPERLINK("https://android.googlesource.com/platform/cts/+/7238bb700ba33c9e2229b23550d4d2911dc0b0cd", "7238bb700ba33c9e2229b23550d4d2911dc0b0cd")</f>
        <v>0</v>
      </c>
      <c r="D45245" t="s">
        <v>5219</v>
      </c>
      <c r="E45245" t="s">
        <v>9568</v>
      </c>
      <c r="F45245" t="s">
        <v>14512</v>
      </c>
      <c r="G45245" t="s">
        <v>18414</v>
      </c>
      <c r="H45245" t="s">
        <v>36136</v>
      </c>
    </row>
    <row r="45246" spans="1:8">
      <c r="A45246" t="s">
        <v>3877</v>
      </c>
      <c r="B45246">
        <f>HYPERLINK("https://android.googlesource.com/platform/cts/+/c54eb812bb73b0adb63e60b2c182bc9730861879", "c54eb812bb73b0adb63e60b2c182bc9730861879")</f>
        <v>0</v>
      </c>
      <c r="C45246">
        <f>HYPERLINK("https://android.googlesource.com/platform/cts/+/e7ad4067ad14f26b68acd39076e5f155ca34bf5e", "e7ad4067ad14f26b68acd39076e5f155ca34bf5e")</f>
        <v>0</v>
      </c>
      <c r="D45246" t="s">
        <v>5479</v>
      </c>
      <c r="E45246" t="s">
        <v>9569</v>
      </c>
      <c r="F45246" t="s">
        <v>14326</v>
      </c>
      <c r="G45246" t="s">
        <v>17580</v>
      </c>
      <c r="H45246" t="s">
        <v>33155</v>
      </c>
    </row>
    <row r="45247" spans="1:8">
      <c r="A45247" t="s">
        <v>3878</v>
      </c>
      <c r="B45247">
        <f>HYPERLINK("https://android.googlesource.com/platform/cts/+/0570c795f3475c66046784ec07465ab513e066f9", "0570c795f3475c66046784ec07465ab513e066f9")</f>
        <v>0</v>
      </c>
      <c r="C45247">
        <f>HYPERLINK("https://android.googlesource.com/platform/cts/+/1f9efadea92989fd9a65ca110fac23db440c8189", "1f9efadea92989fd9a65ca110fac23db440c8189")</f>
        <v>0</v>
      </c>
      <c r="D45247" t="s">
        <v>5040</v>
      </c>
      <c r="E45247" t="s">
        <v>9570</v>
      </c>
      <c r="F45247" t="s">
        <v>14509</v>
      </c>
      <c r="G45247" t="s">
        <v>18437</v>
      </c>
      <c r="H45247" t="s">
        <v>36380</v>
      </c>
    </row>
    <row r="45248" spans="1:8">
      <c r="H45248" t="s">
        <v>36381</v>
      </c>
    </row>
    <row r="45249" spans="1:8">
      <c r="H45249" t="s">
        <v>36382</v>
      </c>
    </row>
    <row r="45250" spans="1:8">
      <c r="A45250" t="s">
        <v>3879</v>
      </c>
      <c r="B45250">
        <f>HYPERLINK("https://android.googlesource.com/platform/cts/+/ed482fa972f4d2bc4ea81043c25b86e33d437ad0", "ed482fa972f4d2bc4ea81043c25b86e33d437ad0")</f>
        <v>0</v>
      </c>
      <c r="C45250">
        <f>HYPERLINK("https://android.googlesource.com/platform/cts/+/42848db93ccf88017f8b7154c09d29b4c5254448", "42848db93ccf88017f8b7154c09d29b4c5254448")</f>
        <v>0</v>
      </c>
      <c r="D45250" t="s">
        <v>5632</v>
      </c>
      <c r="E45250" t="s">
        <v>9571</v>
      </c>
      <c r="F45250" t="s">
        <v>12771</v>
      </c>
      <c r="G45250" t="s">
        <v>16958</v>
      </c>
      <c r="H45250" t="s">
        <v>36277</v>
      </c>
    </row>
    <row r="45251" spans="1:8">
      <c r="A45251" t="s">
        <v>3880</v>
      </c>
      <c r="B45251">
        <f>HYPERLINK("https://android.googlesource.com/platform/cts/+/10b09e0f6d041c770eca22b586752492b5dd4b55", "10b09e0f6d041c770eca22b586752492b5dd4b55")</f>
        <v>0</v>
      </c>
      <c r="C45251">
        <f>HYPERLINK("https://android.googlesource.com/platform/cts/+/0455d9d9931f79aca118aacbc6033a288d0cced0", "0455d9d9931f79aca118aacbc6033a288d0cced0")</f>
        <v>0</v>
      </c>
      <c r="D45251" t="s">
        <v>5633</v>
      </c>
      <c r="E45251" t="s">
        <v>9572</v>
      </c>
      <c r="F45251" t="s">
        <v>13398</v>
      </c>
      <c r="G45251" t="s">
        <v>17524</v>
      </c>
      <c r="H45251" t="s">
        <v>36383</v>
      </c>
    </row>
    <row r="45252" spans="1:8">
      <c r="H45252" t="s">
        <v>36384</v>
      </c>
    </row>
    <row r="45253" spans="1:8">
      <c r="A45253" t="s">
        <v>3881</v>
      </c>
      <c r="B45253">
        <f>HYPERLINK("https://android.googlesource.com/platform/cts/+/d177ed874400e7a0782310e97929039a6507e986", "d177ed874400e7a0782310e97929039a6507e986")</f>
        <v>0</v>
      </c>
      <c r="C45253">
        <f>HYPERLINK("https://android.googlesource.com/platform/cts/+/1f9efadea92989fd9a65ca110fac23db440c8189", "1f9efadea92989fd9a65ca110fac23db440c8189")</f>
        <v>0</v>
      </c>
      <c r="D45253" t="s">
        <v>5040</v>
      </c>
      <c r="E45253" t="s">
        <v>9573</v>
      </c>
      <c r="F45253" t="s">
        <v>14513</v>
      </c>
      <c r="G45253" t="s">
        <v>18440</v>
      </c>
      <c r="H45253" t="s">
        <v>36385</v>
      </c>
    </row>
    <row r="45254" spans="1:8">
      <c r="H45254" t="s">
        <v>36386</v>
      </c>
    </row>
    <row r="45255" spans="1:8">
      <c r="H45255" t="s">
        <v>36387</v>
      </c>
    </row>
    <row r="45256" spans="1:8">
      <c r="A45256" t="s">
        <v>3882</v>
      </c>
      <c r="B45256">
        <f>HYPERLINK("https://android.googlesource.com/platform/cts/+/ae313c4242e7566e1fe80ad0d10b176731cc81d3", "ae313c4242e7566e1fe80ad0d10b176731cc81d3")</f>
        <v>0</v>
      </c>
      <c r="C45256">
        <f>HYPERLINK("https://android.googlesource.com/platform/cts/+/28ba09b90f59916f88d390d53625bf10d69c06fb", "28ba09b90f59916f88d390d53625bf10d69c06fb")</f>
        <v>0</v>
      </c>
      <c r="D45256" t="s">
        <v>5304</v>
      </c>
      <c r="E45256" t="s">
        <v>9574</v>
      </c>
      <c r="F45256" t="s">
        <v>14514</v>
      </c>
      <c r="G45256" t="s">
        <v>18441</v>
      </c>
      <c r="H45256" t="s">
        <v>36388</v>
      </c>
    </row>
    <row r="45257" spans="1:8">
      <c r="H45257" t="s">
        <v>36389</v>
      </c>
    </row>
    <row r="45258" spans="1:8">
      <c r="F45258" t="s">
        <v>14515</v>
      </c>
      <c r="G45258" t="s">
        <v>18442</v>
      </c>
      <c r="H45258" t="s">
        <v>36390</v>
      </c>
    </row>
    <row r="45259" spans="1:8">
      <c r="A45259" t="s">
        <v>3883</v>
      </c>
      <c r="B45259">
        <f>HYPERLINK("https://android.googlesource.com/platform/cts/+/54d3e58cb122b5a08c137dc1c5dabfd6dadaa6af", "54d3e58cb122b5a08c137dc1c5dabfd6dadaa6af")</f>
        <v>0</v>
      </c>
      <c r="C45259">
        <f>HYPERLINK("https://android.googlesource.com/platform/cts/+/27232fa1daf12885d9edc772a5e62b921ad2711c", "27232fa1daf12885d9edc772a5e62b921ad2711c")</f>
        <v>0</v>
      </c>
      <c r="D45259" t="s">
        <v>5392</v>
      </c>
      <c r="E45259" t="s">
        <v>9575</v>
      </c>
      <c r="F45259" t="s">
        <v>14516</v>
      </c>
      <c r="G45259" t="s">
        <v>18443</v>
      </c>
      <c r="H45259" t="s">
        <v>36391</v>
      </c>
    </row>
    <row r="45260" spans="1:8">
      <c r="A45260" t="s">
        <v>3884</v>
      </c>
      <c r="B45260">
        <f>HYPERLINK("https://android.googlesource.com/platform/cts/+/6aac6b9c19968d1c9210d33d8019c863e301d210", "6aac6b9c19968d1c9210d33d8019c863e301d210")</f>
        <v>0</v>
      </c>
      <c r="C45260">
        <f>HYPERLINK("https://android.googlesource.com/platform/cts/+/88503a163dfc59507c4ce11df70e894ce26321e1", "88503a163dfc59507c4ce11df70e894ce26321e1")</f>
        <v>0</v>
      </c>
      <c r="D45260" t="s">
        <v>5569</v>
      </c>
      <c r="E45260" t="s">
        <v>9576</v>
      </c>
      <c r="F45260" t="s">
        <v>14517</v>
      </c>
      <c r="G45260" t="s">
        <v>18444</v>
      </c>
      <c r="H45260" t="s">
        <v>36392</v>
      </c>
    </row>
    <row r="45261" spans="1:8">
      <c r="H45261" t="s">
        <v>36393</v>
      </c>
    </row>
    <row r="45262" spans="1:8">
      <c r="H45262" t="s">
        <v>36394</v>
      </c>
    </row>
    <row r="45263" spans="1:8">
      <c r="H45263" t="s">
        <v>36395</v>
      </c>
    </row>
    <row r="45264" spans="1:8">
      <c r="H45264" t="s">
        <v>36396</v>
      </c>
    </row>
    <row r="45265" spans="8:8">
      <c r="H45265" t="s">
        <v>36397</v>
      </c>
    </row>
    <row r="45266" spans="8:8">
      <c r="H45266" t="s">
        <v>36398</v>
      </c>
    </row>
    <row r="45267" spans="8:8">
      <c r="H45267" t="s">
        <v>36399</v>
      </c>
    </row>
    <row r="45268" spans="8:8">
      <c r="H45268" t="s">
        <v>36400</v>
      </c>
    </row>
    <row r="45269" spans="8:8">
      <c r="H45269" t="s">
        <v>36401</v>
      </c>
    </row>
    <row r="45270" spans="8:8">
      <c r="H45270" t="s">
        <v>36402</v>
      </c>
    </row>
    <row r="45271" spans="8:8">
      <c r="H45271" t="s">
        <v>36403</v>
      </c>
    </row>
    <row r="45272" spans="8:8">
      <c r="H45272" t="s">
        <v>36404</v>
      </c>
    </row>
    <row r="45273" spans="8:8">
      <c r="H45273" t="s">
        <v>36405</v>
      </c>
    </row>
    <row r="45274" spans="8:8">
      <c r="H45274" t="s">
        <v>36406</v>
      </c>
    </row>
    <row r="45275" spans="8:8">
      <c r="H45275" t="s">
        <v>36407</v>
      </c>
    </row>
    <row r="45276" spans="8:8">
      <c r="H45276" t="s">
        <v>19013</v>
      </c>
    </row>
    <row r="45277" spans="8:8">
      <c r="H45277" t="s">
        <v>19010</v>
      </c>
    </row>
    <row r="45278" spans="8:8">
      <c r="H45278" t="s">
        <v>36408</v>
      </c>
    </row>
    <row r="45279" spans="8:8">
      <c r="H45279" t="s">
        <v>36409</v>
      </c>
    </row>
    <row r="45280" spans="8:8">
      <c r="H45280" t="s">
        <v>36410</v>
      </c>
    </row>
    <row r="45281" spans="1:8">
      <c r="H45281" t="s">
        <v>36411</v>
      </c>
    </row>
    <row r="45282" spans="1:8">
      <c r="H45282" t="s">
        <v>36412</v>
      </c>
    </row>
    <row r="45283" spans="1:8">
      <c r="H45283" t="s">
        <v>36413</v>
      </c>
    </row>
    <row r="45284" spans="1:8">
      <c r="H45284" t="s">
        <v>36414</v>
      </c>
    </row>
    <row r="45285" spans="1:8">
      <c r="F45285" t="s">
        <v>14518</v>
      </c>
      <c r="G45285" t="s">
        <v>18445</v>
      </c>
      <c r="H45285" t="s">
        <v>36415</v>
      </c>
    </row>
    <row r="45286" spans="1:8">
      <c r="A45286" t="s">
        <v>3885</v>
      </c>
      <c r="B45286">
        <f>HYPERLINK("https://android.googlesource.com/platform/cts/+/7b63032221d28bb59e87740e830d4cc368cb9004", "7b63032221d28bb59e87740e830d4cc368cb9004")</f>
        <v>0</v>
      </c>
      <c r="C45286">
        <f>HYPERLINK("https://android.googlesource.com/platform/cts/+/fa2710bf92e23044f01ffda29209f698c50250e5", "fa2710bf92e23044f01ffda29209f698c50250e5")</f>
        <v>0</v>
      </c>
      <c r="D45286" t="s">
        <v>5546</v>
      </c>
      <c r="E45286" t="s">
        <v>9577</v>
      </c>
      <c r="F45286" t="s">
        <v>10599</v>
      </c>
      <c r="G45286" t="s">
        <v>15002</v>
      </c>
      <c r="H45286" t="s">
        <v>36416</v>
      </c>
    </row>
    <row r="45287" spans="1:8">
      <c r="H45287" t="s">
        <v>36417</v>
      </c>
    </row>
    <row r="45288" spans="1:8">
      <c r="H45288" t="s">
        <v>36418</v>
      </c>
    </row>
    <row r="45289" spans="1:8">
      <c r="H45289" t="s">
        <v>36419</v>
      </c>
    </row>
    <row r="45290" spans="1:8">
      <c r="A45290" t="s">
        <v>3886</v>
      </c>
      <c r="B45290">
        <f>HYPERLINK("https://android.googlesource.com/platform/cts/+/9719c03cb1319dae2249c3416ea5e0332df78df8", "9719c03cb1319dae2249c3416ea5e0332df78df8")</f>
        <v>0</v>
      </c>
      <c r="C45290">
        <f>HYPERLINK("https://android.googlesource.com/platform/cts/+/d6b489634930762f47ef9b926b6573e4e14b2864", "d6b489634930762f47ef9b926b6573e4e14b2864")</f>
        <v>0</v>
      </c>
      <c r="D45290" t="s">
        <v>5481</v>
      </c>
      <c r="E45290" t="s">
        <v>9578</v>
      </c>
      <c r="F45290" t="s">
        <v>14124</v>
      </c>
      <c r="G45290" t="s">
        <v>18114</v>
      </c>
      <c r="H45290" t="s">
        <v>36420</v>
      </c>
    </row>
    <row r="45291" spans="1:8">
      <c r="A45291" t="s">
        <v>3887</v>
      </c>
      <c r="B45291">
        <f>HYPERLINK("https://android.googlesource.com/platform/cts/+/fb6a260625746fdab6212e8727674b77d9e60a8c", "fb6a260625746fdab6212e8727674b77d9e60a8c")</f>
        <v>0</v>
      </c>
      <c r="C45291">
        <f>HYPERLINK("https://android.googlesource.com/platform/cts/+/7ff5b8db4bc121578b666b39ca14b615eb3bbe6c", "7ff5b8db4bc121578b666b39ca14b615eb3bbe6c")</f>
        <v>0</v>
      </c>
      <c r="D45291" t="s">
        <v>5604</v>
      </c>
      <c r="E45291" t="s">
        <v>9579</v>
      </c>
      <c r="F45291" t="s">
        <v>12931</v>
      </c>
      <c r="G45291" t="s">
        <v>17096</v>
      </c>
      <c r="H45291" t="s">
        <v>36421</v>
      </c>
    </row>
    <row r="45292" spans="1:8">
      <c r="A45292" t="s">
        <v>3888</v>
      </c>
      <c r="B45292">
        <f>HYPERLINK("https://android.googlesource.com/platform/cts/+/ecc80d464730c9406dfeae4e582b921bef7a32fa", "ecc80d464730c9406dfeae4e582b921bef7a32fa")</f>
        <v>0</v>
      </c>
      <c r="C45292">
        <f>HYPERLINK("https://android.googlesource.com/platform/cts/+/e32af8ac1c2d231d9e2d7af595635f6d3a75da3b", "e32af8ac1c2d231d9e2d7af595635f6d3a75da3b")</f>
        <v>0</v>
      </c>
      <c r="D45292" t="s">
        <v>5575</v>
      </c>
      <c r="E45292" t="s">
        <v>9580</v>
      </c>
      <c r="F45292" t="s">
        <v>14519</v>
      </c>
      <c r="G45292" t="s">
        <v>18446</v>
      </c>
      <c r="H45292" t="s">
        <v>18829</v>
      </c>
    </row>
    <row r="45293" spans="1:8">
      <c r="H45293" t="s">
        <v>33513</v>
      </c>
    </row>
    <row r="45294" spans="1:8">
      <c r="H45294" t="s">
        <v>36422</v>
      </c>
    </row>
    <row r="45295" spans="1:8">
      <c r="H45295" t="s">
        <v>36423</v>
      </c>
    </row>
    <row r="45296" spans="1:8">
      <c r="H45296" t="s">
        <v>36424</v>
      </c>
    </row>
    <row r="45297" spans="1:8">
      <c r="A45297" t="s">
        <v>3889</v>
      </c>
      <c r="B45297">
        <f>HYPERLINK("https://android.googlesource.com/platform/cts/+/ebbe9219bfc3950da9e69f31619c4013b855e0a3", "ebbe9219bfc3950da9e69f31619c4013b855e0a3")</f>
        <v>0</v>
      </c>
      <c r="C45297">
        <f>HYPERLINK("https://android.googlesource.com/platform/cts/+/1f9efadea92989fd9a65ca110fac23db440c8189", "1f9efadea92989fd9a65ca110fac23db440c8189")</f>
        <v>0</v>
      </c>
      <c r="D45297" t="s">
        <v>5463</v>
      </c>
      <c r="E45297" t="s">
        <v>9581</v>
      </c>
      <c r="F45297" t="s">
        <v>14237</v>
      </c>
      <c r="G45297" t="s">
        <v>18207</v>
      </c>
      <c r="H45297" t="s">
        <v>36425</v>
      </c>
    </row>
    <row r="45298" spans="1:8">
      <c r="H45298" t="s">
        <v>36426</v>
      </c>
    </row>
    <row r="45299" spans="1:8">
      <c r="H45299" t="s">
        <v>36427</v>
      </c>
    </row>
    <row r="45300" spans="1:8">
      <c r="H45300" t="s">
        <v>36428</v>
      </c>
    </row>
    <row r="45301" spans="1:8">
      <c r="F45301" t="s">
        <v>14520</v>
      </c>
      <c r="G45301" t="s">
        <v>18447</v>
      </c>
      <c r="H45301" t="s">
        <v>36427</v>
      </c>
    </row>
    <row r="45302" spans="1:8">
      <c r="F45302" t="s">
        <v>14227</v>
      </c>
      <c r="G45302" t="s">
        <v>18199</v>
      </c>
      <c r="H45302" t="s">
        <v>36426</v>
      </c>
    </row>
    <row r="45303" spans="1:8">
      <c r="H45303" t="s">
        <v>36428</v>
      </c>
    </row>
    <row r="45304" spans="1:8">
      <c r="H45304" t="s">
        <v>36429</v>
      </c>
    </row>
    <row r="45305" spans="1:8">
      <c r="A45305" t="s">
        <v>3890</v>
      </c>
      <c r="B45305">
        <f>HYPERLINK("https://android.googlesource.com/platform/cts/+/51395fe94c356da5d782d2c52ce45ba8a60eadd4", "51395fe94c356da5d782d2c52ce45ba8a60eadd4")</f>
        <v>0</v>
      </c>
      <c r="C45305">
        <f>HYPERLINK("https://android.googlesource.com/platform/cts/+/1f9efadea92989fd9a65ca110fac23db440c8189", "1f9efadea92989fd9a65ca110fac23db440c8189")</f>
        <v>0</v>
      </c>
      <c r="D45305" t="s">
        <v>5463</v>
      </c>
      <c r="E45305" t="s">
        <v>9582</v>
      </c>
      <c r="F45305" t="s">
        <v>13887</v>
      </c>
      <c r="G45305" t="s">
        <v>17319</v>
      </c>
      <c r="H45305" t="s">
        <v>36430</v>
      </c>
    </row>
    <row r="45306" spans="1:8">
      <c r="A45306" t="s">
        <v>3891</v>
      </c>
      <c r="B45306">
        <f>HYPERLINK("https://android.googlesource.com/platform/cts/+/da0a4d8965039961eb3917c2aaf0ff2b7b101fb1", "da0a4d8965039961eb3917c2aaf0ff2b7b101fb1")</f>
        <v>0</v>
      </c>
      <c r="C45306">
        <f>HYPERLINK("https://android.googlesource.com/platform/cts/+/f8fa53406f9be9f737ae97ed09f3e08aa82765b7", "f8fa53406f9be9f737ae97ed09f3e08aa82765b7")</f>
        <v>0</v>
      </c>
      <c r="D45306" t="s">
        <v>5582</v>
      </c>
      <c r="E45306" t="s">
        <v>9583</v>
      </c>
      <c r="F45306" t="s">
        <v>12984</v>
      </c>
      <c r="G45306" t="s">
        <v>17148</v>
      </c>
      <c r="H45306" t="s">
        <v>36431</v>
      </c>
    </row>
    <row r="45307" spans="1:8">
      <c r="A45307" t="s">
        <v>3892</v>
      </c>
      <c r="B45307">
        <f>HYPERLINK("https://android.googlesource.com/platform/cts/+/e03dddfc786ce4889b5216a63344c83363b2cdf4", "e03dddfc786ce4889b5216a63344c83363b2cdf4")</f>
        <v>0</v>
      </c>
      <c r="C45307">
        <f>HYPERLINK("https://android.googlesource.com/platform/cts/+/f9e6392fb9738b91776c89897b665f493d927ef8", "f9e6392fb9738b91776c89897b665f493d927ef8")</f>
        <v>0</v>
      </c>
      <c r="D45307" t="s">
        <v>5634</v>
      </c>
      <c r="E45307" t="s">
        <v>9584</v>
      </c>
      <c r="F45307" t="s">
        <v>14521</v>
      </c>
      <c r="G45307" t="s">
        <v>18448</v>
      </c>
      <c r="H45307" t="s">
        <v>31841</v>
      </c>
    </row>
    <row r="45308" spans="1:8">
      <c r="F45308" t="s">
        <v>13718</v>
      </c>
      <c r="G45308" t="s">
        <v>17785</v>
      </c>
      <c r="H45308" t="s">
        <v>31838</v>
      </c>
    </row>
    <row r="45309" spans="1:8">
      <c r="H45309" t="s">
        <v>31839</v>
      </c>
    </row>
    <row r="45310" spans="1:8">
      <c r="H45310" t="s">
        <v>31840</v>
      </c>
    </row>
    <row r="45311" spans="1:8">
      <c r="H45311" t="s">
        <v>31841</v>
      </c>
    </row>
    <row r="45312" spans="1:8">
      <c r="F45312" t="s">
        <v>14522</v>
      </c>
      <c r="G45312" t="s">
        <v>18449</v>
      </c>
      <c r="H45312" t="s">
        <v>36432</v>
      </c>
    </row>
    <row r="45313" spans="1:8">
      <c r="H45313" t="s">
        <v>36433</v>
      </c>
    </row>
    <row r="45314" spans="1:8">
      <c r="H45314" t="s">
        <v>36434</v>
      </c>
    </row>
    <row r="45315" spans="1:8">
      <c r="H45315" t="s">
        <v>36435</v>
      </c>
    </row>
    <row r="45316" spans="1:8">
      <c r="A45316" t="s">
        <v>3893</v>
      </c>
      <c r="B45316">
        <f>HYPERLINK("https://android.googlesource.com/platform/cts/+/7def2ffd576dce4279f15b2469cbca68d9c9024c", "7def2ffd576dce4279f15b2469cbca68d9c9024c")</f>
        <v>0</v>
      </c>
      <c r="C45316">
        <f>HYPERLINK("https://android.googlesource.com/platform/cts/+/96233a1e3ed73a8ebeae228d84a082be28a1841d", "96233a1e3ed73a8ebeae228d84a082be28a1841d")</f>
        <v>0</v>
      </c>
      <c r="D45316" t="s">
        <v>5478</v>
      </c>
      <c r="E45316" t="s">
        <v>9585</v>
      </c>
      <c r="F45316" t="s">
        <v>14523</v>
      </c>
      <c r="G45316" t="s">
        <v>18450</v>
      </c>
      <c r="H45316" t="s">
        <v>36436</v>
      </c>
    </row>
    <row r="45317" spans="1:8">
      <c r="A45317" t="s">
        <v>3894</v>
      </c>
      <c r="B45317">
        <f>HYPERLINK("https://android.googlesource.com/platform/cts/+/13a8e822b3fe6c9ab29f3d271e6382e4078e69c2", "13a8e822b3fe6c9ab29f3d271e6382e4078e69c2")</f>
        <v>0</v>
      </c>
      <c r="C45317">
        <f>HYPERLINK("https://android.googlesource.com/platform/cts/+/aaf5749b7b609bd138fe96d7702279a4be8b49db", "aaf5749b7b609bd138fe96d7702279a4be8b49db")</f>
        <v>0</v>
      </c>
      <c r="D45317" t="s">
        <v>5635</v>
      </c>
      <c r="E45317" t="s">
        <v>9586</v>
      </c>
      <c r="F45317" t="s">
        <v>14524</v>
      </c>
      <c r="G45317" t="s">
        <v>18451</v>
      </c>
      <c r="H45317" t="s">
        <v>36437</v>
      </c>
    </row>
    <row r="45318" spans="1:8">
      <c r="H45318" t="s">
        <v>34672</v>
      </c>
    </row>
    <row r="45319" spans="1:8">
      <c r="A45319" t="s">
        <v>3895</v>
      </c>
      <c r="B45319">
        <f>HYPERLINK("https://android.googlesource.com/platform/cts/+/1792746833a333aa56d896d07bb72a0ca94e491c", "1792746833a333aa56d896d07bb72a0ca94e491c")</f>
        <v>0</v>
      </c>
      <c r="C45319">
        <f>HYPERLINK("https://android.googlesource.com/platform/cts/+/e00bc51c4cf2d0b5085f8bae4d93cdf2babc54b3", "e00bc51c4cf2d0b5085f8bae4d93cdf2babc54b3")</f>
        <v>0</v>
      </c>
      <c r="D45319" t="s">
        <v>5568</v>
      </c>
      <c r="E45319" t="s">
        <v>9587</v>
      </c>
      <c r="F45319" t="s">
        <v>14525</v>
      </c>
      <c r="G45319" t="s">
        <v>18452</v>
      </c>
      <c r="H45319" t="s">
        <v>36438</v>
      </c>
    </row>
    <row r="45320" spans="1:8">
      <c r="H45320" t="s">
        <v>36439</v>
      </c>
    </row>
    <row r="45321" spans="1:8">
      <c r="A45321" t="s">
        <v>3896</v>
      </c>
      <c r="B45321">
        <f>HYPERLINK("https://android.googlesource.com/platform/cts/+/21cd4133ed9852c8682b15c4f580eccb9f106ffb", "21cd4133ed9852c8682b15c4f580eccb9f106ffb")</f>
        <v>0</v>
      </c>
      <c r="C45321">
        <f>HYPERLINK("https://android.googlesource.com/platform/cts/+/ecc80d464730c9406dfeae4e582b921bef7a32fa", "ecc80d464730c9406dfeae4e582b921bef7a32fa")</f>
        <v>0</v>
      </c>
      <c r="D45321" t="s">
        <v>5623</v>
      </c>
      <c r="E45321" t="s">
        <v>9588</v>
      </c>
      <c r="F45321" t="s">
        <v>14526</v>
      </c>
      <c r="G45321" t="s">
        <v>18453</v>
      </c>
      <c r="H45321" t="s">
        <v>18829</v>
      </c>
    </row>
    <row r="45322" spans="1:8">
      <c r="H45322" t="s">
        <v>18863</v>
      </c>
    </row>
    <row r="45323" spans="1:8">
      <c r="H45323" t="s">
        <v>36440</v>
      </c>
    </row>
    <row r="45324" spans="1:8">
      <c r="F45324" t="s">
        <v>14527</v>
      </c>
      <c r="G45324" t="s">
        <v>17612</v>
      </c>
      <c r="H45324" t="s">
        <v>18829</v>
      </c>
    </row>
    <row r="45325" spans="1:8">
      <c r="H45325" t="s">
        <v>33513</v>
      </c>
    </row>
    <row r="45326" spans="1:8">
      <c r="H45326" t="s">
        <v>36422</v>
      </c>
    </row>
    <row r="45327" spans="1:8">
      <c r="H45327" t="s">
        <v>36423</v>
      </c>
    </row>
    <row r="45328" spans="1:8">
      <c r="H45328" t="s">
        <v>36424</v>
      </c>
    </row>
    <row r="45329" spans="1:8">
      <c r="F45329" t="s">
        <v>14528</v>
      </c>
      <c r="G45329" t="s">
        <v>18446</v>
      </c>
      <c r="H45329" t="s">
        <v>18829</v>
      </c>
    </row>
    <row r="45330" spans="1:8">
      <c r="H45330" t="s">
        <v>36441</v>
      </c>
    </row>
    <row r="45331" spans="1:8">
      <c r="H45331" t="s">
        <v>36442</v>
      </c>
    </row>
    <row r="45332" spans="1:8">
      <c r="A45332" t="s">
        <v>3897</v>
      </c>
      <c r="B45332">
        <f>HYPERLINK("https://android.googlesource.com/platform/cts/+/ed5b8ec3a245787e44d4c6ecfc34b72c45951f91", "ed5b8ec3a245787e44d4c6ecfc34b72c45951f91")</f>
        <v>0</v>
      </c>
      <c r="C45332">
        <f>HYPERLINK("https://android.googlesource.com/platform/cts/+/1e7dcda221f82941fdcf0655c452848b6d40a855", "1e7dcda221f82941fdcf0655c452848b6d40a855")</f>
        <v>0</v>
      </c>
      <c r="D45332" t="s">
        <v>5540</v>
      </c>
      <c r="E45332" t="s">
        <v>9589</v>
      </c>
      <c r="F45332" t="s">
        <v>14529</v>
      </c>
      <c r="G45332" t="s">
        <v>18454</v>
      </c>
      <c r="H45332" t="s">
        <v>26953</v>
      </c>
    </row>
    <row r="45333" spans="1:8">
      <c r="A45333" t="s">
        <v>3898</v>
      </c>
      <c r="B45333">
        <f>HYPERLINK("https://android.googlesource.com/platform/cts/+/bb7d1744d6e5ccf9818c23c747c4ff85f7cb62c5", "bb7d1744d6e5ccf9818c23c747c4ff85f7cb62c5")</f>
        <v>0</v>
      </c>
      <c r="C45333">
        <f>HYPERLINK("https://android.googlesource.com/platform/cts/+/a202e70364a0b518b61f733ee60622ddd9997f77", "a202e70364a0b518b61f733ee60622ddd9997f77")</f>
        <v>0</v>
      </c>
      <c r="D45333" t="s">
        <v>5141</v>
      </c>
      <c r="E45333" t="s">
        <v>9590</v>
      </c>
      <c r="F45333" t="s">
        <v>14530</v>
      </c>
      <c r="G45333" t="s">
        <v>18430</v>
      </c>
      <c r="H45333" t="s">
        <v>36443</v>
      </c>
    </row>
    <row r="45334" spans="1:8">
      <c r="A45334" t="s">
        <v>3899</v>
      </c>
      <c r="B45334">
        <f>HYPERLINK("https://android.googlesource.com/platform/cts/+/a7edc3660e332275bf88b98308f4589a4a88d48a", "a7edc3660e332275bf88b98308f4589a4a88d48a")</f>
        <v>0</v>
      </c>
      <c r="C45334">
        <f>HYPERLINK("https://android.googlesource.com/platform/cts/+/70bd9fda65698f0faf7e48e2677b91b991c24f66", "70bd9fda65698f0faf7e48e2677b91b991c24f66")</f>
        <v>0</v>
      </c>
      <c r="D45334" t="s">
        <v>5636</v>
      </c>
      <c r="E45334" t="s">
        <v>9591</v>
      </c>
      <c r="F45334" t="s">
        <v>14531</v>
      </c>
      <c r="G45334" t="s">
        <v>18455</v>
      </c>
      <c r="H45334" t="s">
        <v>36444</v>
      </c>
    </row>
    <row r="45335" spans="1:8">
      <c r="A45335" t="s">
        <v>3900</v>
      </c>
      <c r="B45335">
        <f>HYPERLINK("https://android.googlesource.com/platform/cts/+/1b8594e37d645fcc48eae9ccc4d6fc8c551c609e", "1b8594e37d645fcc48eae9ccc4d6fc8c551c609e")</f>
        <v>0</v>
      </c>
      <c r="C45335">
        <f>HYPERLINK("https://android.googlesource.com/platform/cts/+/8ee5ab6a8921ff930bcd6492bf18cf2f1c2bf856", "8ee5ab6a8921ff930bcd6492bf18cf2f1c2bf856")</f>
        <v>0</v>
      </c>
      <c r="D45335" t="s">
        <v>5012</v>
      </c>
      <c r="E45335" t="s">
        <v>9592</v>
      </c>
      <c r="F45335" t="s">
        <v>14532</v>
      </c>
      <c r="G45335" t="s">
        <v>18456</v>
      </c>
      <c r="H45335" t="s">
        <v>36445</v>
      </c>
    </row>
    <row r="45336" spans="1:8">
      <c r="H45336" t="s">
        <v>29883</v>
      </c>
    </row>
    <row r="45337" spans="1:8">
      <c r="H45337" t="s">
        <v>36446</v>
      </c>
    </row>
    <row r="45338" spans="1:8">
      <c r="H45338" t="s">
        <v>29882</v>
      </c>
    </row>
    <row r="45339" spans="1:8">
      <c r="H45339" t="s">
        <v>29882</v>
      </c>
    </row>
    <row r="45340" spans="1:8">
      <c r="H45340" t="s">
        <v>36447</v>
      </c>
    </row>
    <row r="45341" spans="1:8">
      <c r="H45341" t="s">
        <v>36448</v>
      </c>
    </row>
    <row r="45342" spans="1:8">
      <c r="H45342" t="s">
        <v>36449</v>
      </c>
    </row>
    <row r="45343" spans="1:8">
      <c r="H45343" t="s">
        <v>21486</v>
      </c>
    </row>
    <row r="45344" spans="1:8">
      <c r="H45344" t="s">
        <v>29435</v>
      </c>
    </row>
    <row r="45345" spans="1:8">
      <c r="H45345" t="s">
        <v>21486</v>
      </c>
    </row>
    <row r="45346" spans="1:8">
      <c r="H45346" t="s">
        <v>29436</v>
      </c>
    </row>
    <row r="45347" spans="1:8">
      <c r="A45347" t="s">
        <v>3901</v>
      </c>
      <c r="B45347">
        <f>HYPERLINK("https://android.googlesource.com/platform/cts/+/f4bebea1c24041e2c3b59bc8d68f5a1762f8f7ec", "f4bebea1c24041e2c3b59bc8d68f5a1762f8f7ec")</f>
        <v>0</v>
      </c>
      <c r="C45347">
        <f>HYPERLINK("https://android.googlesource.com/platform/cts/+/24e2acc8e1bce69200da152f568a3e1a6dc3b998", "24e2acc8e1bce69200da152f568a3e1a6dc3b998")</f>
        <v>0</v>
      </c>
      <c r="D45347" t="s">
        <v>5134</v>
      </c>
      <c r="E45347" t="s">
        <v>9255</v>
      </c>
      <c r="F45347" t="s">
        <v>14270</v>
      </c>
      <c r="G45347" t="s">
        <v>18237</v>
      </c>
      <c r="H45347" t="s">
        <v>19905</v>
      </c>
    </row>
    <row r="45348" spans="1:8">
      <c r="F45348" t="s">
        <v>14271</v>
      </c>
      <c r="G45348" t="s">
        <v>18238</v>
      </c>
      <c r="H45348" t="s">
        <v>19905</v>
      </c>
    </row>
    <row r="45349" spans="1:8">
      <c r="F45349" t="s">
        <v>14237</v>
      </c>
      <c r="G45349" t="s">
        <v>18207</v>
      </c>
      <c r="H45349" t="s">
        <v>19905</v>
      </c>
    </row>
    <row r="45350" spans="1:8">
      <c r="A45350" t="s">
        <v>3902</v>
      </c>
      <c r="B45350">
        <f>HYPERLINK("https://android.googlesource.com/platform/cts/+/d6e85b08b71a74e4be91dabf61ace5bd59fd3c32", "d6e85b08b71a74e4be91dabf61ace5bd59fd3c32")</f>
        <v>0</v>
      </c>
      <c r="C45350">
        <f>HYPERLINK("https://android.googlesource.com/platform/cts/+/69d14fe9139bf919b895d05a27800fc0be24e611", "69d14fe9139bf919b895d05a27800fc0be24e611")</f>
        <v>0</v>
      </c>
      <c r="D45350" t="s">
        <v>5594</v>
      </c>
      <c r="E45350" t="s">
        <v>9593</v>
      </c>
      <c r="F45350" t="s">
        <v>13275</v>
      </c>
      <c r="G45350" t="s">
        <v>17412</v>
      </c>
      <c r="H45350" t="s">
        <v>36356</v>
      </c>
    </row>
    <row r="45351" spans="1:8">
      <c r="A45351" t="s">
        <v>3903</v>
      </c>
      <c r="B45351">
        <f>HYPERLINK("https://android.googlesource.com/platform/cts/+/3911d4c0e1ffd5e37b2bacab04ae8281be13c306", "3911d4c0e1ffd5e37b2bacab04ae8281be13c306")</f>
        <v>0</v>
      </c>
      <c r="C45351">
        <f>HYPERLINK("https://android.googlesource.com/platform/cts/+/904b58cbd4e8b8795ca5110f52f8e8e4e23b7263", "904b58cbd4e8b8795ca5110f52f8e8e4e23b7263")</f>
        <v>0</v>
      </c>
      <c r="D45351" t="s">
        <v>5637</v>
      </c>
      <c r="E45351" t="s">
        <v>9594</v>
      </c>
      <c r="F45351" t="s">
        <v>12931</v>
      </c>
      <c r="G45351" t="s">
        <v>17096</v>
      </c>
      <c r="H45351" t="s">
        <v>36450</v>
      </c>
    </row>
    <row r="45352" spans="1:8">
      <c r="A45352" t="s">
        <v>3904</v>
      </c>
      <c r="B45352">
        <f>HYPERLINK("https://android.googlesource.com/platform/cts/+/1b8506bb40b84757a95206100e26af9c046d9b19", "1b8506bb40b84757a95206100e26af9c046d9b19")</f>
        <v>0</v>
      </c>
      <c r="C45352">
        <f>HYPERLINK("https://android.googlesource.com/platform/cts/+/5e5ba0a487af4ba1e79e576e1579ac37a527eb7b", "5e5ba0a487af4ba1e79e576e1579ac37a527eb7b")</f>
        <v>0</v>
      </c>
      <c r="D45352" t="s">
        <v>5638</v>
      </c>
      <c r="E45352" t="s">
        <v>9595</v>
      </c>
      <c r="F45352" t="s">
        <v>14533</v>
      </c>
      <c r="G45352" t="s">
        <v>18457</v>
      </c>
      <c r="H45352" t="s">
        <v>18863</v>
      </c>
    </row>
    <row r="45353" spans="1:8">
      <c r="A45353" t="s">
        <v>3905</v>
      </c>
      <c r="B45353">
        <f>HYPERLINK("https://android.googlesource.com/platform/cts/+/3512568d1933372d924a86c2c6f0a2b1b12c6f0e", "3512568d1933372d924a86c2c6f0a2b1b12c6f0e")</f>
        <v>0</v>
      </c>
      <c r="C45353">
        <f>HYPERLINK("https://android.googlesource.com/platform/cts/+/a4a265875bd7edc97277f338360cd1865dca7ffa", "a4a265875bd7edc97277f338360cd1865dca7ffa")</f>
        <v>0</v>
      </c>
      <c r="D45353" t="s">
        <v>5564</v>
      </c>
      <c r="E45353" t="s">
        <v>9596</v>
      </c>
      <c r="F45353" t="s">
        <v>14534</v>
      </c>
      <c r="G45353" t="s">
        <v>18458</v>
      </c>
      <c r="H45353" t="s">
        <v>36451</v>
      </c>
    </row>
    <row r="45354" spans="1:8">
      <c r="A45354" t="s">
        <v>3906</v>
      </c>
      <c r="B45354">
        <f>HYPERLINK("https://android.googlesource.com/platform/cts/+/9f260ead83e7f4e05ffa15b9d6ea43dcd8317b7b", "9f260ead83e7f4e05ffa15b9d6ea43dcd8317b7b")</f>
        <v>0</v>
      </c>
      <c r="C45354">
        <f>HYPERLINK("https://android.googlesource.com/platform/cts/+/3ec279489fd11bf441131d9e1fd91d0e3f365d4a", "3ec279489fd11bf441131d9e1fd91d0e3f365d4a")</f>
        <v>0</v>
      </c>
      <c r="D45354" t="s">
        <v>4931</v>
      </c>
      <c r="E45354" t="s">
        <v>9597</v>
      </c>
      <c r="F45354" t="s">
        <v>12569</v>
      </c>
      <c r="G45354" t="s">
        <v>16785</v>
      </c>
      <c r="H45354" t="s">
        <v>36452</v>
      </c>
    </row>
    <row r="45355" spans="1:8">
      <c r="A45355" t="s">
        <v>3907</v>
      </c>
      <c r="B45355">
        <f>HYPERLINK("https://android.googlesource.com/platform/cts/+/c136e051a34aca1a0fc40b6867b38dc3c3167162", "c136e051a34aca1a0fc40b6867b38dc3c3167162")</f>
        <v>0</v>
      </c>
      <c r="C45355">
        <f>HYPERLINK("https://android.googlesource.com/platform/cts/+/05bfab14d70c8f8c575f25ac4269cb6d2d17a419", "05bfab14d70c8f8c575f25ac4269cb6d2d17a419")</f>
        <v>0</v>
      </c>
      <c r="D45355" t="s">
        <v>5476</v>
      </c>
      <c r="E45355" t="s">
        <v>9598</v>
      </c>
      <c r="F45355" t="s">
        <v>14403</v>
      </c>
      <c r="G45355" t="s">
        <v>18341</v>
      </c>
      <c r="H45355" t="s">
        <v>36453</v>
      </c>
    </row>
    <row r="45356" spans="1:8">
      <c r="F45356" t="s">
        <v>14535</v>
      </c>
      <c r="G45356" t="s">
        <v>18459</v>
      </c>
      <c r="H45356" t="s">
        <v>36454</v>
      </c>
    </row>
    <row r="45357" spans="1:8">
      <c r="A45357" t="s">
        <v>3908</v>
      </c>
      <c r="B45357">
        <f>HYPERLINK("https://android.googlesource.com/platform/cts/+/821c55cc9e5e26f6ddd684360b82fa4c009eb458", "821c55cc9e5e26f6ddd684360b82fa4c009eb458")</f>
        <v>0</v>
      </c>
      <c r="C45357">
        <f>HYPERLINK("https://android.googlesource.com/platform/cts/+/a06439cc4a47cc7592e6147a6dd3ad6d64bf6776", "a06439cc4a47cc7592e6147a6dd3ad6d64bf6776")</f>
        <v>0</v>
      </c>
      <c r="D45357" t="s">
        <v>5453</v>
      </c>
      <c r="E45357" t="s">
        <v>9599</v>
      </c>
      <c r="F45357" t="s">
        <v>14343</v>
      </c>
      <c r="G45357" t="s">
        <v>18295</v>
      </c>
      <c r="H45357" t="s">
        <v>36455</v>
      </c>
    </row>
    <row r="45358" spans="1:8">
      <c r="H45358" t="s">
        <v>36456</v>
      </c>
    </row>
    <row r="45359" spans="1:8">
      <c r="H45359" t="s">
        <v>36457</v>
      </c>
    </row>
    <row r="45360" spans="1:8">
      <c r="H45360" t="s">
        <v>36458</v>
      </c>
    </row>
    <row r="45361" spans="1:8">
      <c r="H45361" t="s">
        <v>36459</v>
      </c>
    </row>
    <row r="45362" spans="1:8">
      <c r="H45362" t="s">
        <v>36460</v>
      </c>
    </row>
    <row r="45363" spans="1:8">
      <c r="H45363" t="s">
        <v>36461</v>
      </c>
    </row>
    <row r="45364" spans="1:8">
      <c r="H45364" t="s">
        <v>36462</v>
      </c>
    </row>
    <row r="45365" spans="1:8">
      <c r="H45365" t="s">
        <v>36463</v>
      </c>
    </row>
    <row r="45366" spans="1:8">
      <c r="H45366" t="s">
        <v>36464</v>
      </c>
    </row>
    <row r="45367" spans="1:8">
      <c r="H45367" t="s">
        <v>36465</v>
      </c>
    </row>
    <row r="45368" spans="1:8">
      <c r="H45368" t="s">
        <v>19372</v>
      </c>
    </row>
    <row r="45369" spans="1:8">
      <c r="H45369" t="s">
        <v>34824</v>
      </c>
    </row>
    <row r="45370" spans="1:8">
      <c r="H45370" t="s">
        <v>18930</v>
      </c>
    </row>
    <row r="45371" spans="1:8">
      <c r="A45371" t="s">
        <v>3909</v>
      </c>
      <c r="B45371">
        <f>HYPERLINK("https://android.googlesource.com/platform/cts/+/13270cedb6841733ae0202f15c85361b9763b624", "13270cedb6841733ae0202f15c85361b9763b624")</f>
        <v>0</v>
      </c>
      <c r="C45371">
        <f>HYPERLINK("https://android.googlesource.com/platform/cts/+/70bd9fda65698f0faf7e48e2677b91b991c24f66", "70bd9fda65698f0faf7e48e2677b91b991c24f66")</f>
        <v>0</v>
      </c>
      <c r="D45371" t="s">
        <v>5304</v>
      </c>
      <c r="E45371" t="s">
        <v>9600</v>
      </c>
      <c r="F45371" t="s">
        <v>14177</v>
      </c>
      <c r="G45371" t="s">
        <v>18158</v>
      </c>
      <c r="H45371" t="s">
        <v>36466</v>
      </c>
    </row>
    <row r="45372" spans="1:8">
      <c r="H45372" t="s">
        <v>36467</v>
      </c>
    </row>
    <row r="45373" spans="1:8">
      <c r="A45373" t="s">
        <v>3910</v>
      </c>
      <c r="B45373">
        <f>HYPERLINK("https://android.googlesource.com/platform/cts/+/5dd87cb2966b9122191d361bc6f7711ace1b6848", "5dd87cb2966b9122191d361bc6f7711ace1b6848")</f>
        <v>0</v>
      </c>
      <c r="C45373">
        <f>HYPERLINK("https://android.googlesource.com/platform/cts/+/d1945a5d4f909ff40370948baf5e3cfcc60198b3", "d1945a5d4f909ff40370948baf5e3cfcc60198b3")</f>
        <v>0</v>
      </c>
      <c r="D45373" t="s">
        <v>5453</v>
      </c>
      <c r="E45373" t="s">
        <v>9601</v>
      </c>
      <c r="F45373" t="s">
        <v>14343</v>
      </c>
      <c r="G45373" t="s">
        <v>18295</v>
      </c>
      <c r="H45373" t="s">
        <v>36455</v>
      </c>
    </row>
    <row r="45374" spans="1:8">
      <c r="H45374" t="s">
        <v>36456</v>
      </c>
    </row>
    <row r="45375" spans="1:8">
      <c r="H45375" t="s">
        <v>36457</v>
      </c>
    </row>
    <row r="45376" spans="1:8">
      <c r="H45376" t="s">
        <v>36458</v>
      </c>
    </row>
    <row r="45377" spans="1:8">
      <c r="H45377" t="s">
        <v>36459</v>
      </c>
    </row>
    <row r="45378" spans="1:8">
      <c r="H45378" t="s">
        <v>36460</v>
      </c>
    </row>
    <row r="45379" spans="1:8">
      <c r="H45379" t="s">
        <v>36461</v>
      </c>
    </row>
    <row r="45380" spans="1:8">
      <c r="H45380" t="s">
        <v>36462</v>
      </c>
    </row>
    <row r="45381" spans="1:8">
      <c r="H45381" t="s">
        <v>36463</v>
      </c>
    </row>
    <row r="45382" spans="1:8">
      <c r="H45382" t="s">
        <v>36464</v>
      </c>
    </row>
    <row r="45383" spans="1:8">
      <c r="H45383" t="s">
        <v>36465</v>
      </c>
    </row>
    <row r="45384" spans="1:8">
      <c r="H45384" t="s">
        <v>19372</v>
      </c>
    </row>
    <row r="45385" spans="1:8">
      <c r="H45385" t="s">
        <v>34824</v>
      </c>
    </row>
    <row r="45386" spans="1:8">
      <c r="H45386" t="s">
        <v>18930</v>
      </c>
    </row>
    <row r="45387" spans="1:8">
      <c r="A45387" t="s">
        <v>3911</v>
      </c>
      <c r="B45387">
        <f>HYPERLINK("https://android.googlesource.com/platform/cts/+/2d7798c3dfed44dffd01d651632f090801e3c946", "2d7798c3dfed44dffd01d651632f090801e3c946")</f>
        <v>0</v>
      </c>
      <c r="C45387">
        <f>HYPERLINK("https://android.googlesource.com/platform/cts/+/5d9b8c1988379b202a8f2677adadc0e8313024ab", "5d9b8c1988379b202a8f2677adadc0e8313024ab")</f>
        <v>0</v>
      </c>
      <c r="D45387" t="s">
        <v>5304</v>
      </c>
      <c r="E45387" t="s">
        <v>9602</v>
      </c>
      <c r="F45387" t="s">
        <v>14384</v>
      </c>
      <c r="G45387" t="s">
        <v>18328</v>
      </c>
      <c r="H45387" t="s">
        <v>36468</v>
      </c>
    </row>
    <row r="45388" spans="1:8">
      <c r="F45388" t="s">
        <v>14515</v>
      </c>
      <c r="G45388" t="s">
        <v>18442</v>
      </c>
      <c r="H45388" t="s">
        <v>36469</v>
      </c>
    </row>
    <row r="45389" spans="1:8">
      <c r="A45389" t="s">
        <v>3912</v>
      </c>
      <c r="B45389">
        <f>HYPERLINK("https://android.googlesource.com/platform/cts/+/0a750aac5b6ae122f330b09cfa3029b023f43bbe", "0a750aac5b6ae122f330b09cfa3029b023f43bbe")</f>
        <v>0</v>
      </c>
      <c r="C45389">
        <f>HYPERLINK("https://android.googlesource.com/platform/cts/+/3a6fd71158c4427ff1beff4787aed3d7efe05531", "3a6fd71158c4427ff1beff4787aed3d7efe05531")</f>
        <v>0</v>
      </c>
      <c r="D45389" t="s">
        <v>5485</v>
      </c>
      <c r="E45389" t="s">
        <v>9603</v>
      </c>
      <c r="F45389" t="s">
        <v>14457</v>
      </c>
      <c r="G45389" t="s">
        <v>18391</v>
      </c>
      <c r="H45389" t="s">
        <v>31591</v>
      </c>
    </row>
    <row r="45390" spans="1:8">
      <c r="A45390" t="s">
        <v>3913</v>
      </c>
      <c r="B45390">
        <f>HYPERLINK("https://android.googlesource.com/platform/cts/+/b424ed2794e6da17666a2a3820937e61ebf4a58f", "b424ed2794e6da17666a2a3820937e61ebf4a58f")</f>
        <v>0</v>
      </c>
      <c r="C45390">
        <f>HYPERLINK("https://android.googlesource.com/platform/cts/+/4551581bf692481b467415746d7b3da06bc73624", "4551581bf692481b467415746d7b3da06bc73624")</f>
        <v>0</v>
      </c>
      <c r="D45390" t="s">
        <v>5266</v>
      </c>
      <c r="E45390" t="s">
        <v>9604</v>
      </c>
      <c r="F45390" t="s">
        <v>14503</v>
      </c>
      <c r="G45390" t="s">
        <v>18431</v>
      </c>
      <c r="H45390" t="s">
        <v>36470</v>
      </c>
    </row>
    <row r="45391" spans="1:8">
      <c r="H45391" t="s">
        <v>36471</v>
      </c>
    </row>
    <row r="45392" spans="1:8">
      <c r="H45392" t="s">
        <v>18863</v>
      </c>
    </row>
    <row r="45393" spans="8:8">
      <c r="H45393" t="s">
        <v>36472</v>
      </c>
    </row>
    <row r="45394" spans="8:8">
      <c r="H45394" t="s">
        <v>36473</v>
      </c>
    </row>
    <row r="45395" spans="8:8">
      <c r="H45395" t="s">
        <v>18927</v>
      </c>
    </row>
    <row r="45396" spans="8:8">
      <c r="H45396" t="s">
        <v>36474</v>
      </c>
    </row>
    <row r="45397" spans="8:8">
      <c r="H45397" t="s">
        <v>36475</v>
      </c>
    </row>
    <row r="45398" spans="8:8">
      <c r="H45398" t="s">
        <v>36476</v>
      </c>
    </row>
    <row r="45399" spans="8:8">
      <c r="H45399" t="s">
        <v>36477</v>
      </c>
    </row>
    <row r="45400" spans="8:8">
      <c r="H45400" t="s">
        <v>36478</v>
      </c>
    </row>
    <row r="45401" spans="8:8">
      <c r="H45401" t="s">
        <v>36479</v>
      </c>
    </row>
    <row r="45402" spans="8:8">
      <c r="H45402" t="s">
        <v>36480</v>
      </c>
    </row>
    <row r="45403" spans="8:8">
      <c r="H45403" t="s">
        <v>36480</v>
      </c>
    </row>
    <row r="45404" spans="8:8">
      <c r="H45404" t="s">
        <v>36481</v>
      </c>
    </row>
    <row r="45405" spans="8:8">
      <c r="H45405" t="s">
        <v>36481</v>
      </c>
    </row>
    <row r="45406" spans="8:8">
      <c r="H45406" t="s">
        <v>36482</v>
      </c>
    </row>
    <row r="45407" spans="8:8">
      <c r="H45407" t="s">
        <v>36482</v>
      </c>
    </row>
    <row r="45408" spans="8:8">
      <c r="H45408" t="s">
        <v>36483</v>
      </c>
    </row>
    <row r="45409" spans="8:8">
      <c r="H45409" t="s">
        <v>36483</v>
      </c>
    </row>
    <row r="45410" spans="8:8">
      <c r="H45410" t="s">
        <v>36484</v>
      </c>
    </row>
    <row r="45411" spans="8:8">
      <c r="H45411" t="s">
        <v>36484</v>
      </c>
    </row>
    <row r="45412" spans="8:8">
      <c r="H45412" t="s">
        <v>36485</v>
      </c>
    </row>
    <row r="45413" spans="8:8">
      <c r="H45413" t="s">
        <v>36485</v>
      </c>
    </row>
    <row r="45414" spans="8:8">
      <c r="H45414" t="s">
        <v>36486</v>
      </c>
    </row>
    <row r="45415" spans="8:8">
      <c r="H45415" t="s">
        <v>36486</v>
      </c>
    </row>
    <row r="45416" spans="8:8">
      <c r="H45416" t="s">
        <v>36487</v>
      </c>
    </row>
    <row r="45417" spans="8:8">
      <c r="H45417" t="s">
        <v>36487</v>
      </c>
    </row>
    <row r="45418" spans="8:8">
      <c r="H45418" t="s">
        <v>36488</v>
      </c>
    </row>
    <row r="45419" spans="8:8">
      <c r="H45419" t="s">
        <v>36489</v>
      </c>
    </row>
    <row r="45420" spans="8:8">
      <c r="H45420" t="s">
        <v>36490</v>
      </c>
    </row>
    <row r="45421" spans="8:8">
      <c r="H45421" t="s">
        <v>36491</v>
      </c>
    </row>
    <row r="45422" spans="8:8">
      <c r="H45422" t="s">
        <v>36492</v>
      </c>
    </row>
    <row r="45423" spans="8:8">
      <c r="H45423" t="s">
        <v>36493</v>
      </c>
    </row>
    <row r="45424" spans="8:8">
      <c r="H45424" t="s">
        <v>36494</v>
      </c>
    </row>
    <row r="45425" spans="1:8">
      <c r="H45425" t="s">
        <v>36495</v>
      </c>
    </row>
    <row r="45426" spans="1:8">
      <c r="H45426" t="s">
        <v>36496</v>
      </c>
    </row>
    <row r="45427" spans="1:8">
      <c r="A45427" t="s">
        <v>3914</v>
      </c>
      <c r="B45427">
        <f>HYPERLINK("https://android.googlesource.com/platform/cts/+/8ecfdd5b6c59437fc53d7c0ed85fe4e9680770c8", "8ecfdd5b6c59437fc53d7c0ed85fe4e9680770c8")</f>
        <v>0</v>
      </c>
      <c r="C45427">
        <f>HYPERLINK("https://android.googlesource.com/platform/cts/+/bc3200842ce0ac40dc84ef8d8025615ed5c7be4c", "bc3200842ce0ac40dc84ef8d8025615ed5c7be4c")</f>
        <v>0</v>
      </c>
      <c r="D45427" t="s">
        <v>5096</v>
      </c>
      <c r="E45427" t="s">
        <v>9605</v>
      </c>
      <c r="F45427" t="s">
        <v>14536</v>
      </c>
      <c r="G45427" t="s">
        <v>18460</v>
      </c>
      <c r="H45427" t="s">
        <v>36497</v>
      </c>
    </row>
    <row r="45428" spans="1:8">
      <c r="A45428" t="s">
        <v>3915</v>
      </c>
      <c r="B45428">
        <f>HYPERLINK("https://android.googlesource.com/platform/cts/+/c60efa820a097ac13c0054f60b0689407fe9d06e", "c60efa820a097ac13c0054f60b0689407fe9d06e")</f>
        <v>0</v>
      </c>
      <c r="C45428">
        <f>HYPERLINK("https://android.googlesource.com/platform/cts/+/32d9ec12ff4847c9f1fdc18b6864d765bbb81def", "32d9ec12ff4847c9f1fdc18b6864d765bbb81def")</f>
        <v>0</v>
      </c>
      <c r="D45428" t="s">
        <v>5639</v>
      </c>
      <c r="E45428" t="s">
        <v>9606</v>
      </c>
      <c r="F45428" t="s">
        <v>14537</v>
      </c>
      <c r="G45428" t="s">
        <v>18461</v>
      </c>
      <c r="H45428" t="s">
        <v>36498</v>
      </c>
    </row>
    <row r="45429" spans="1:8">
      <c r="A45429" t="s">
        <v>3916</v>
      </c>
      <c r="B45429">
        <f>HYPERLINK("https://android.googlesource.com/platform/cts/+/7b07039d26e44c573a43f4673cd5be3ada726cc6", "7b07039d26e44c573a43f4673cd5be3ada726cc6")</f>
        <v>0</v>
      </c>
      <c r="C45429">
        <f>HYPERLINK("https://android.googlesource.com/platform/cts/+/aacd54a217f18d73880232520a022cc0519ef817", "aacd54a217f18d73880232520a022cc0519ef817")</f>
        <v>0</v>
      </c>
      <c r="D45429" t="s">
        <v>5191</v>
      </c>
      <c r="E45429" t="s">
        <v>9607</v>
      </c>
      <c r="F45429" t="s">
        <v>14538</v>
      </c>
      <c r="G45429" t="s">
        <v>18462</v>
      </c>
      <c r="H45429" t="s">
        <v>36499</v>
      </c>
    </row>
    <row r="45430" spans="1:8">
      <c r="H45430" t="s">
        <v>36500</v>
      </c>
    </row>
    <row r="45431" spans="1:8">
      <c r="H45431" t="s">
        <v>36501</v>
      </c>
    </row>
    <row r="45432" spans="1:8">
      <c r="H45432" t="s">
        <v>36502</v>
      </c>
    </row>
    <row r="45433" spans="1:8">
      <c r="H45433" t="s">
        <v>36503</v>
      </c>
    </row>
    <row r="45434" spans="1:8">
      <c r="A45434" t="s">
        <v>3917</v>
      </c>
      <c r="B45434">
        <f>HYPERLINK("https://android.googlesource.com/platform/cts/+/5c99b73f9fddac776336b03b325ed0e3d4fe1a67", "5c99b73f9fddac776336b03b325ed0e3d4fe1a67")</f>
        <v>0</v>
      </c>
      <c r="C45434">
        <f>HYPERLINK("https://android.googlesource.com/platform/cts/+/8e7e4c1fd3d14c6bcddda3b88585ca12a4514c5f", "8e7e4c1fd3d14c6bcddda3b88585ca12a4514c5f")</f>
        <v>0</v>
      </c>
      <c r="D45434" t="s">
        <v>5575</v>
      </c>
      <c r="E45434" t="s">
        <v>9608</v>
      </c>
      <c r="F45434" t="s">
        <v>14519</v>
      </c>
      <c r="G45434" t="s">
        <v>18446</v>
      </c>
      <c r="H45434" t="s">
        <v>18829</v>
      </c>
    </row>
    <row r="45435" spans="1:8">
      <c r="H45435" t="s">
        <v>33513</v>
      </c>
    </row>
    <row r="45436" spans="1:8">
      <c r="H45436" t="s">
        <v>36422</v>
      </c>
    </row>
    <row r="45437" spans="1:8">
      <c r="H45437" t="s">
        <v>36423</v>
      </c>
    </row>
    <row r="45438" spans="1:8">
      <c r="H45438" t="s">
        <v>36424</v>
      </c>
    </row>
    <row r="45439" spans="1:8">
      <c r="A45439" t="s">
        <v>3918</v>
      </c>
      <c r="B45439">
        <f>HYPERLINK("https://android.googlesource.com/platform/cts/+/0a16cd0c2a2cf0fa966d08e69bfe9a42de6934a8", "0a16cd0c2a2cf0fa966d08e69bfe9a42de6934a8")</f>
        <v>0</v>
      </c>
      <c r="C45439">
        <f>HYPERLINK("https://android.googlesource.com/platform/cts/+/cd5f8c0e722ad87783c8a5f182f98d0c67f2893d", "cd5f8c0e722ad87783c8a5f182f98d0c67f2893d")</f>
        <v>0</v>
      </c>
      <c r="D45439" t="s">
        <v>5640</v>
      </c>
      <c r="E45439" t="s">
        <v>9609</v>
      </c>
      <c r="F45439" t="s">
        <v>14539</v>
      </c>
      <c r="G45439" t="s">
        <v>18463</v>
      </c>
      <c r="H45439" t="s">
        <v>36504</v>
      </c>
    </row>
    <row r="45440" spans="1:8">
      <c r="H45440" t="s">
        <v>36505</v>
      </c>
    </row>
    <row r="45441" spans="1:8">
      <c r="F45441" t="s">
        <v>14540</v>
      </c>
      <c r="G45441" t="s">
        <v>18464</v>
      </c>
      <c r="H45441" t="s">
        <v>36506</v>
      </c>
    </row>
    <row r="45442" spans="1:8">
      <c r="H45442" t="s">
        <v>36507</v>
      </c>
    </row>
    <row r="45443" spans="1:8">
      <c r="F45443" t="s">
        <v>12743</v>
      </c>
      <c r="G45443" t="s">
        <v>16935</v>
      </c>
      <c r="H45443" t="s">
        <v>36508</v>
      </c>
    </row>
    <row r="45444" spans="1:8">
      <c r="H45444" t="s">
        <v>36509</v>
      </c>
    </row>
    <row r="45445" spans="1:8">
      <c r="H45445" t="s">
        <v>36510</v>
      </c>
    </row>
    <row r="45446" spans="1:8">
      <c r="H45446" t="s">
        <v>36511</v>
      </c>
    </row>
    <row r="45447" spans="1:8">
      <c r="A45447" t="s">
        <v>3919</v>
      </c>
      <c r="B45447">
        <f>HYPERLINK("https://android.googlesource.com/platform/cts/+/ec71320019d999cf3424f09f8dbece5f552b19d8", "ec71320019d999cf3424f09f8dbece5f552b19d8")</f>
        <v>0</v>
      </c>
      <c r="C45447">
        <f>HYPERLINK("https://android.googlesource.com/platform/cts/+/536f8e489877eda4f4a00a7f868cdd0838eaaa33", "536f8e489877eda4f4a00a7f868cdd0838eaaa33")</f>
        <v>0</v>
      </c>
      <c r="D45447" t="s">
        <v>5134</v>
      </c>
      <c r="E45447" t="s">
        <v>9610</v>
      </c>
      <c r="F45447" t="s">
        <v>14541</v>
      </c>
      <c r="G45447" t="s">
        <v>18465</v>
      </c>
      <c r="H45447" t="s">
        <v>36512</v>
      </c>
    </row>
    <row r="45448" spans="1:8">
      <c r="A45448" t="s">
        <v>3920</v>
      </c>
      <c r="B45448">
        <f>HYPERLINK("https://android.googlesource.com/platform/cts/+/fa6253e4aac9b96eb14a47e5068774f721a02177", "fa6253e4aac9b96eb14a47e5068774f721a02177")</f>
        <v>0</v>
      </c>
      <c r="C45448">
        <f>HYPERLINK("https://android.googlesource.com/platform/cts/+/c1c728bab71c2973d02edc05942e95bb19d6d268", "c1c728bab71c2973d02edc05942e95bb19d6d268")</f>
        <v>0</v>
      </c>
      <c r="D45448" t="s">
        <v>5409</v>
      </c>
      <c r="E45448" t="s">
        <v>9611</v>
      </c>
      <c r="F45448" t="s">
        <v>14451</v>
      </c>
      <c r="G45448" t="s">
        <v>18386</v>
      </c>
      <c r="H45448" t="s">
        <v>18863</v>
      </c>
    </row>
    <row r="45449" spans="1:8">
      <c r="A45449" t="s">
        <v>3921</v>
      </c>
      <c r="B45449">
        <f>HYPERLINK("https://android.googlesource.com/platform/cts/+/8ab862bcb5fd005034f79d45dfc8441cbd3db374", "8ab862bcb5fd005034f79d45dfc8441cbd3db374")</f>
        <v>0</v>
      </c>
      <c r="C45449">
        <f>HYPERLINK("https://android.googlesource.com/platform/cts/+/0d3b33bbbb2b0289db3226da6eb17f7b0dc9f62f", "0d3b33bbbb2b0289db3226da6eb17f7b0dc9f62f")</f>
        <v>0</v>
      </c>
      <c r="D45449" t="s">
        <v>5409</v>
      </c>
      <c r="E45449" t="s">
        <v>9612</v>
      </c>
      <c r="F45449" t="s">
        <v>14542</v>
      </c>
      <c r="G45449" t="s">
        <v>18466</v>
      </c>
      <c r="H45449" t="s">
        <v>36513</v>
      </c>
    </row>
    <row r="45450" spans="1:8">
      <c r="A45450" t="s">
        <v>3922</v>
      </c>
      <c r="B45450">
        <f>HYPERLINK("https://android.googlesource.com/platform/cts/+/778b4997f6e63136ed17e42533e252cd979c8d08", "778b4997f6e63136ed17e42533e252cd979c8d08")</f>
        <v>0</v>
      </c>
      <c r="C45450">
        <f>HYPERLINK("https://android.googlesource.com/platform/cts/+/80a9221f8114cfca5760e356e1a7a26d5d47eaba", "80a9221f8114cfca5760e356e1a7a26d5d47eaba")</f>
        <v>0</v>
      </c>
      <c r="D45450" t="s">
        <v>5574</v>
      </c>
      <c r="E45450" t="s">
        <v>9613</v>
      </c>
      <c r="F45450" t="s">
        <v>13229</v>
      </c>
      <c r="G45450" t="s">
        <v>17370</v>
      </c>
      <c r="H45450" t="s">
        <v>36514</v>
      </c>
    </row>
    <row r="45451" spans="1:8">
      <c r="A45451" t="s">
        <v>3923</v>
      </c>
      <c r="B45451">
        <f>HYPERLINK("https://android.googlesource.com/platform/cts/+/4e216176fc6af68d1168302f5ee74ca3c326b5df", "4e216176fc6af68d1168302f5ee74ca3c326b5df")</f>
        <v>0</v>
      </c>
      <c r="C45451">
        <f>HYPERLINK("https://android.googlesource.com/platform/cts/+/536f8e489877eda4f4a00a7f868cdd0838eaaa33", "536f8e489877eda4f4a00a7f868cdd0838eaaa33")</f>
        <v>0</v>
      </c>
      <c r="D45451" t="s">
        <v>5508</v>
      </c>
      <c r="E45451" t="s">
        <v>9614</v>
      </c>
      <c r="F45451" t="s">
        <v>13816</v>
      </c>
      <c r="G45451" t="s">
        <v>15089</v>
      </c>
      <c r="H45451" t="s">
        <v>36515</v>
      </c>
    </row>
    <row r="45452" spans="1:8">
      <c r="H45452" t="s">
        <v>36516</v>
      </c>
    </row>
    <row r="45453" spans="1:8">
      <c r="A45453" t="s">
        <v>3924</v>
      </c>
      <c r="B45453">
        <f>HYPERLINK("https://android.googlesource.com/platform/cts/+/98a24158d5d485cbc024668693fce88085679c97", "98a24158d5d485cbc024668693fce88085679c97")</f>
        <v>0</v>
      </c>
      <c r="C45453">
        <f>HYPERLINK("https://android.googlesource.com/platform/cts/+/dca1d50757c86b90e1ce97551c31b11f8e6d6b18", "dca1d50757c86b90e1ce97551c31b11f8e6d6b18")</f>
        <v>0</v>
      </c>
      <c r="D45453" t="s">
        <v>5546</v>
      </c>
      <c r="E45453" t="s">
        <v>9615</v>
      </c>
      <c r="F45453" t="s">
        <v>14353</v>
      </c>
      <c r="G45453" t="s">
        <v>18303</v>
      </c>
      <c r="H45453" t="s">
        <v>36517</v>
      </c>
    </row>
    <row r="45454" spans="1:8">
      <c r="H45454" t="s">
        <v>36518</v>
      </c>
    </row>
    <row r="45455" spans="1:8">
      <c r="H45455" t="s">
        <v>36519</v>
      </c>
    </row>
    <row r="45456" spans="1:8">
      <c r="H45456" t="s">
        <v>36520</v>
      </c>
    </row>
    <row r="45457" spans="8:8">
      <c r="H45457" t="s">
        <v>36521</v>
      </c>
    </row>
    <row r="45458" spans="8:8">
      <c r="H45458" t="s">
        <v>36522</v>
      </c>
    </row>
    <row r="45459" spans="8:8">
      <c r="H45459" t="s">
        <v>36523</v>
      </c>
    </row>
    <row r="45460" spans="8:8">
      <c r="H45460" t="s">
        <v>36524</v>
      </c>
    </row>
    <row r="45461" spans="8:8">
      <c r="H45461" t="s">
        <v>36525</v>
      </c>
    </row>
    <row r="45462" spans="8:8">
      <c r="H45462" t="s">
        <v>36526</v>
      </c>
    </row>
    <row r="45463" spans="8:8">
      <c r="H45463" t="s">
        <v>36527</v>
      </c>
    </row>
    <row r="45464" spans="8:8">
      <c r="H45464" t="s">
        <v>36528</v>
      </c>
    </row>
    <row r="45465" spans="8:8">
      <c r="H45465" t="s">
        <v>36529</v>
      </c>
    </row>
    <row r="45466" spans="8:8">
      <c r="H45466" t="s">
        <v>36530</v>
      </c>
    </row>
    <row r="45467" spans="8:8">
      <c r="H45467" t="s">
        <v>36531</v>
      </c>
    </row>
    <row r="45468" spans="8:8">
      <c r="H45468" t="s">
        <v>36532</v>
      </c>
    </row>
    <row r="45469" spans="8:8">
      <c r="H45469" t="s">
        <v>36533</v>
      </c>
    </row>
    <row r="45470" spans="8:8">
      <c r="H45470" t="s">
        <v>36534</v>
      </c>
    </row>
    <row r="45471" spans="8:8">
      <c r="H45471" t="s">
        <v>36535</v>
      </c>
    </row>
    <row r="45472" spans="8:8">
      <c r="H45472" t="s">
        <v>36536</v>
      </c>
    </row>
    <row r="45473" spans="1:8">
      <c r="H45473" t="s">
        <v>36537</v>
      </c>
    </row>
    <row r="45474" spans="1:8">
      <c r="H45474" t="s">
        <v>36538</v>
      </c>
    </row>
    <row r="45475" spans="1:8">
      <c r="H45475" t="s">
        <v>36539</v>
      </c>
    </row>
    <row r="45476" spans="1:8">
      <c r="H45476" t="s">
        <v>36540</v>
      </c>
    </row>
    <row r="45477" spans="1:8">
      <c r="H45477" t="s">
        <v>36541</v>
      </c>
    </row>
    <row r="45478" spans="1:8">
      <c r="A45478" t="s">
        <v>3925</v>
      </c>
      <c r="B45478">
        <f>HYPERLINK("https://android.googlesource.com/platform/cts/+/e3cb35b834a3546b31853a4f9331732282a2a9ad", "e3cb35b834a3546b31853a4f9331732282a2a9ad")</f>
        <v>0</v>
      </c>
      <c r="C45478">
        <f>HYPERLINK("https://android.googlesource.com/platform/cts/+/da3ec6cab03d2da7fb82d613c9546a1417d8c79e", "da3ec6cab03d2da7fb82d613c9546a1417d8c79e")</f>
        <v>0</v>
      </c>
      <c r="D45478" t="s">
        <v>5140</v>
      </c>
      <c r="E45478" t="s">
        <v>9616</v>
      </c>
      <c r="F45478" t="s">
        <v>12166</v>
      </c>
      <c r="G45478" t="s">
        <v>16406</v>
      </c>
      <c r="H45478" t="s">
        <v>36542</v>
      </c>
    </row>
    <row r="45479" spans="1:8">
      <c r="A45479" t="s">
        <v>3926</v>
      </c>
      <c r="B45479">
        <f>HYPERLINK("https://android.googlesource.com/platform/cts/+/633e4f4068f650b1f079912fe5ac6f3547d98fdc", "633e4f4068f650b1f079912fe5ac6f3547d98fdc")</f>
        <v>0</v>
      </c>
      <c r="C45479">
        <f>HYPERLINK("https://android.googlesource.com/platform/cts/+/560f05d709c76c92850ddbdb410835601be778b1", "560f05d709c76c92850ddbdb410835601be778b1")</f>
        <v>0</v>
      </c>
      <c r="D45479" t="s">
        <v>5526</v>
      </c>
      <c r="E45479" t="s">
        <v>9617</v>
      </c>
      <c r="F45479" t="s">
        <v>14543</v>
      </c>
      <c r="G45479" t="s">
        <v>18467</v>
      </c>
      <c r="H45479" t="s">
        <v>36543</v>
      </c>
    </row>
    <row r="45480" spans="1:8">
      <c r="H45480" t="s">
        <v>36544</v>
      </c>
    </row>
    <row r="45481" spans="1:8">
      <c r="H45481" t="s">
        <v>36545</v>
      </c>
    </row>
    <row r="45482" spans="1:8">
      <c r="H45482" t="s">
        <v>36546</v>
      </c>
    </row>
    <row r="45483" spans="1:8">
      <c r="H45483" t="s">
        <v>36547</v>
      </c>
    </row>
    <row r="45484" spans="1:8">
      <c r="H45484" t="s">
        <v>36548</v>
      </c>
    </row>
    <row r="45485" spans="1:8">
      <c r="H45485" t="s">
        <v>36549</v>
      </c>
    </row>
    <row r="45486" spans="1:8">
      <c r="H45486" t="s">
        <v>36550</v>
      </c>
    </row>
    <row r="45487" spans="1:8">
      <c r="H45487" t="s">
        <v>36551</v>
      </c>
    </row>
    <row r="45488" spans="1:8">
      <c r="H45488" t="s">
        <v>36552</v>
      </c>
    </row>
    <row r="45489" spans="1:8">
      <c r="H45489" t="s">
        <v>36553</v>
      </c>
    </row>
    <row r="45490" spans="1:8">
      <c r="F45490" t="s">
        <v>14544</v>
      </c>
      <c r="G45490" t="s">
        <v>17541</v>
      </c>
      <c r="H45490" t="s">
        <v>29731</v>
      </c>
    </row>
    <row r="45491" spans="1:8">
      <c r="H45491" t="s">
        <v>36554</v>
      </c>
    </row>
    <row r="45492" spans="1:8">
      <c r="H45492" t="s">
        <v>36555</v>
      </c>
    </row>
    <row r="45493" spans="1:8">
      <c r="H45493" t="s">
        <v>36556</v>
      </c>
    </row>
    <row r="45494" spans="1:8">
      <c r="H45494" t="s">
        <v>29732</v>
      </c>
    </row>
    <row r="45495" spans="1:8">
      <c r="H45495" t="s">
        <v>36557</v>
      </c>
    </row>
    <row r="45496" spans="1:8">
      <c r="H45496" t="s">
        <v>36558</v>
      </c>
    </row>
    <row r="45497" spans="1:8">
      <c r="H45497" t="s">
        <v>36559</v>
      </c>
    </row>
    <row r="45498" spans="1:8">
      <c r="H45498" t="s">
        <v>36560</v>
      </c>
    </row>
    <row r="45499" spans="1:8">
      <c r="A45499" t="s">
        <v>3927</v>
      </c>
      <c r="B45499">
        <f>HYPERLINK("https://android.googlesource.com/platform/cts/+/50c58445fa6f0fb634c145bc03e3cb6712136c4d", "50c58445fa6f0fb634c145bc03e3cb6712136c4d")</f>
        <v>0</v>
      </c>
      <c r="C45499">
        <f>HYPERLINK("https://android.googlesource.com/platform/cts/+/8752b0347330f4dc97ab3b5c2c7caf223b8cc5c4", "8752b0347330f4dc97ab3b5c2c7caf223b8cc5c4")</f>
        <v>0</v>
      </c>
      <c r="D45499" t="s">
        <v>5604</v>
      </c>
      <c r="E45499" t="s">
        <v>9618</v>
      </c>
      <c r="F45499" t="s">
        <v>12931</v>
      </c>
      <c r="G45499" t="s">
        <v>17096</v>
      </c>
      <c r="H45499" t="s">
        <v>19981</v>
      </c>
    </row>
    <row r="45500" spans="1:8">
      <c r="A45500" t="s">
        <v>3928</v>
      </c>
      <c r="B45500">
        <f>HYPERLINK("https://android.googlesource.com/platform/cts/+/41934babd352330399e9c5a68c6576845c4a6af3", "41934babd352330399e9c5a68c6576845c4a6af3")</f>
        <v>0</v>
      </c>
      <c r="C45500">
        <f>HYPERLINK("https://android.googlesource.com/platform/cts/+/d73492460a91a8c85a87d6182a7daeaadedeff85", "d73492460a91a8c85a87d6182a7daeaadedeff85")</f>
        <v>0</v>
      </c>
      <c r="D45500" t="s">
        <v>5304</v>
      </c>
      <c r="E45500" t="s">
        <v>9619</v>
      </c>
      <c r="F45500" t="s">
        <v>14177</v>
      </c>
      <c r="G45500" t="s">
        <v>18158</v>
      </c>
      <c r="H45500" t="s">
        <v>36466</v>
      </c>
    </row>
    <row r="45501" spans="1:8">
      <c r="H45501" t="s">
        <v>36467</v>
      </c>
    </row>
    <row r="45502" spans="1:8">
      <c r="A45502" t="s">
        <v>3929</v>
      </c>
      <c r="B45502">
        <f>HYPERLINK("https://android.googlesource.com/platform/cts/+/64c50d363c4fc1b3e66a5b02b0bea0245db2a8c5", "64c50d363c4fc1b3e66a5b02b0bea0245db2a8c5")</f>
        <v>0</v>
      </c>
      <c r="C45502">
        <f>HYPERLINK("https://android.googlesource.com/platform/cts/+/b8d2e8941dd9ec8a94c0f16945583589e81fecd2", "b8d2e8941dd9ec8a94c0f16945583589e81fecd2")</f>
        <v>0</v>
      </c>
      <c r="D45502" t="s">
        <v>5641</v>
      </c>
      <c r="E45502" t="s">
        <v>9620</v>
      </c>
      <c r="F45502" t="s">
        <v>13335</v>
      </c>
      <c r="G45502" t="s">
        <v>17465</v>
      </c>
      <c r="H45502" t="s">
        <v>34203</v>
      </c>
    </row>
    <row r="45503" spans="1:8">
      <c r="H45503" t="s">
        <v>34204</v>
      </c>
    </row>
    <row r="45504" spans="1:8">
      <c r="A45504" t="s">
        <v>3930</v>
      </c>
      <c r="B45504">
        <f>HYPERLINK("https://android.googlesource.com/platform/cts/+/82f14b2ada1c56a521e200334a03edd7340661a3", "82f14b2ada1c56a521e200334a03edd7340661a3")</f>
        <v>0</v>
      </c>
      <c r="C45504">
        <f>HYPERLINK("https://android.googlesource.com/platform/cts/+/d73492460a91a8c85a87d6182a7daeaadedeff85", "d73492460a91a8c85a87d6182a7daeaadedeff85")</f>
        <v>0</v>
      </c>
      <c r="D45504" t="s">
        <v>5304</v>
      </c>
      <c r="E45504" t="s">
        <v>9621</v>
      </c>
      <c r="F45504" t="s">
        <v>14514</v>
      </c>
      <c r="G45504" t="s">
        <v>18441</v>
      </c>
      <c r="H45504" t="s">
        <v>36561</v>
      </c>
    </row>
    <row r="45505" spans="1:8">
      <c r="F45505" t="s">
        <v>14515</v>
      </c>
      <c r="G45505" t="s">
        <v>18442</v>
      </c>
      <c r="H45505" t="s">
        <v>36562</v>
      </c>
    </row>
    <row r="45506" spans="1:8">
      <c r="A45506" t="s">
        <v>3931</v>
      </c>
      <c r="B45506">
        <f>HYPERLINK("https://android.googlesource.com/platform/cts/+/1fa47a182037b1c5e4ad81f867853595d4e98eed", "1fa47a182037b1c5e4ad81f867853595d4e98eed")</f>
        <v>0</v>
      </c>
      <c r="C45506">
        <f>HYPERLINK("https://android.googlesource.com/platform/cts/+/294d9a77864d2b810fa0bd3499cef11c461baf0b", "294d9a77864d2b810fa0bd3499cef11c461baf0b")</f>
        <v>0</v>
      </c>
      <c r="D45506" t="s">
        <v>5046</v>
      </c>
      <c r="E45506" t="s">
        <v>9622</v>
      </c>
      <c r="F45506" t="s">
        <v>13923</v>
      </c>
      <c r="G45506" t="s">
        <v>17959</v>
      </c>
      <c r="H45506" t="s">
        <v>36563</v>
      </c>
    </row>
    <row r="45507" spans="1:8">
      <c r="A45507" t="s">
        <v>3932</v>
      </c>
      <c r="B45507">
        <f>HYPERLINK("https://android.googlesource.com/platform/cts/+/2ca5d92c679ef6253c10c35a3013b4b19fa684cd", "2ca5d92c679ef6253c10c35a3013b4b19fa684cd")</f>
        <v>0</v>
      </c>
      <c r="C45507">
        <f>HYPERLINK("https://android.googlesource.com/platform/cts/+/603535b6926382c888035747b4cba60c76772cbd", "603535b6926382c888035747b4cba60c76772cbd")</f>
        <v>0</v>
      </c>
      <c r="D45507" t="s">
        <v>5473</v>
      </c>
      <c r="E45507" t="s">
        <v>9623</v>
      </c>
      <c r="F45507" t="s">
        <v>14545</v>
      </c>
      <c r="G45507" t="s">
        <v>18468</v>
      </c>
      <c r="H45507" t="s">
        <v>36564</v>
      </c>
    </row>
    <row r="45508" spans="1:8">
      <c r="H45508" t="s">
        <v>36565</v>
      </c>
    </row>
    <row r="45509" spans="1:8">
      <c r="A45509" t="s">
        <v>3933</v>
      </c>
      <c r="B45509">
        <f>HYPERLINK("https://android.googlesource.com/platform/cts/+/1a968eacfec8c49f1c12b2f20be62c533b834f79", "1a968eacfec8c49f1c12b2f20be62c533b834f79")</f>
        <v>0</v>
      </c>
      <c r="C45509">
        <f>HYPERLINK("https://android.googlesource.com/platform/cts/+/c0fe20267e36ef21007d4a9ebc4b8d3d07effe12", "c0fe20267e36ef21007d4a9ebc4b8d3d07effe12")</f>
        <v>0</v>
      </c>
      <c r="D45509" t="s">
        <v>5642</v>
      </c>
      <c r="E45509" t="s">
        <v>9624</v>
      </c>
      <c r="F45509" t="s">
        <v>14546</v>
      </c>
      <c r="G45509" t="s">
        <v>18469</v>
      </c>
      <c r="H45509" t="s">
        <v>36566</v>
      </c>
    </row>
    <row r="45510" spans="1:8">
      <c r="H45510" t="s">
        <v>36567</v>
      </c>
    </row>
    <row r="45511" spans="1:8">
      <c r="H45511" t="s">
        <v>36568</v>
      </c>
    </row>
    <row r="45512" spans="1:8">
      <c r="H45512" t="s">
        <v>36569</v>
      </c>
    </row>
    <row r="45513" spans="1:8">
      <c r="H45513" t="s">
        <v>36570</v>
      </c>
    </row>
    <row r="45514" spans="1:8">
      <c r="F45514" t="s">
        <v>14547</v>
      </c>
      <c r="G45514" t="s">
        <v>18470</v>
      </c>
      <c r="H45514" t="s">
        <v>36571</v>
      </c>
    </row>
    <row r="45515" spans="1:8">
      <c r="H45515" t="s">
        <v>36572</v>
      </c>
    </row>
    <row r="45516" spans="1:8">
      <c r="H45516" t="s">
        <v>36573</v>
      </c>
    </row>
    <row r="45517" spans="1:8">
      <c r="H45517" t="s">
        <v>36574</v>
      </c>
    </row>
    <row r="45518" spans="1:8">
      <c r="H45518" t="s">
        <v>36575</v>
      </c>
    </row>
    <row r="45519" spans="1:8">
      <c r="A45519" t="s">
        <v>3934</v>
      </c>
      <c r="B45519">
        <f>HYPERLINK("https://android.googlesource.com/platform/cts/+/ee14dc6439f0a3edf5bce8fc0785749ece3572ab", "ee14dc6439f0a3edf5bce8fc0785749ece3572ab")</f>
        <v>0</v>
      </c>
      <c r="C45519">
        <f>HYPERLINK("https://android.googlesource.com/platform/cts/+/130c66d22146fb1671f63c4f4e8ee588a867a84d", "130c66d22146fb1671f63c4f4e8ee588a867a84d")</f>
        <v>0</v>
      </c>
      <c r="D45519" t="s">
        <v>5643</v>
      </c>
      <c r="E45519" t="s">
        <v>9625</v>
      </c>
      <c r="F45519" t="s">
        <v>12817</v>
      </c>
      <c r="G45519" t="s">
        <v>16629</v>
      </c>
      <c r="H45519" t="s">
        <v>36576</v>
      </c>
    </row>
    <row r="45520" spans="1:8">
      <c r="A45520" t="s">
        <v>3935</v>
      </c>
      <c r="B45520">
        <f>HYPERLINK("https://android.googlesource.com/platform/cts/+/9a2293a03ab84bd20fa9ee56486d7cc89c76fb73", "9a2293a03ab84bd20fa9ee56486d7cc89c76fb73")</f>
        <v>0</v>
      </c>
      <c r="C45520">
        <f>HYPERLINK("https://android.googlesource.com/platform/cts/+/1b3cbec4fc74bd2da98e51c6dfd8ab24edee7d6d", "1b3cbec4fc74bd2da98e51c6dfd8ab24edee7d6d")</f>
        <v>0</v>
      </c>
      <c r="D45520" t="s">
        <v>5272</v>
      </c>
      <c r="E45520" t="s">
        <v>9626</v>
      </c>
      <c r="F45520" t="s">
        <v>13500</v>
      </c>
      <c r="G45520" t="s">
        <v>17618</v>
      </c>
      <c r="H45520" t="s">
        <v>32404</v>
      </c>
    </row>
    <row r="45521" spans="1:8">
      <c r="A45521" t="s">
        <v>3936</v>
      </c>
      <c r="B45521">
        <f>HYPERLINK("https://android.googlesource.com/platform/cts/+/bec8a4d86fb8af213c49bb8d7a76ce0c5b0546d1", "bec8a4d86fb8af213c49bb8d7a76ce0c5b0546d1")</f>
        <v>0</v>
      </c>
      <c r="C45521">
        <f>HYPERLINK("https://android.googlesource.com/platform/cts/+/349fdad3e5fae9bfdc2d3ba7b5582d4cce8d3927", "349fdad3e5fae9bfdc2d3ba7b5582d4cce8d3927")</f>
        <v>0</v>
      </c>
      <c r="D45521" t="s">
        <v>4971</v>
      </c>
      <c r="E45521" t="s">
        <v>9627</v>
      </c>
      <c r="F45521" t="s">
        <v>10946</v>
      </c>
      <c r="G45521" t="s">
        <v>15339</v>
      </c>
      <c r="H45521" t="s">
        <v>36577</v>
      </c>
    </row>
    <row r="45522" spans="1:8">
      <c r="F45522" t="s">
        <v>10604</v>
      </c>
      <c r="G45522" t="s">
        <v>15007</v>
      </c>
      <c r="H45522" t="s">
        <v>36577</v>
      </c>
    </row>
    <row r="45523" spans="1:8">
      <c r="F45523" t="s">
        <v>10947</v>
      </c>
      <c r="G45523" t="s">
        <v>15340</v>
      </c>
      <c r="H45523" t="s">
        <v>36577</v>
      </c>
    </row>
    <row r="45524" spans="1:8">
      <c r="A45524" t="s">
        <v>3937</v>
      </c>
      <c r="B45524">
        <f>HYPERLINK("https://android.googlesource.com/platform/cts/+/ea8f262f08a80ca81225623226dbc870281ee79c", "ea8f262f08a80ca81225623226dbc870281ee79c")</f>
        <v>0</v>
      </c>
      <c r="C45524">
        <f>HYPERLINK("https://android.googlesource.com/platform/cts/+/d692c46272011d89a403bc36720171cf02c131e1", "d692c46272011d89a403bc36720171cf02c131e1")</f>
        <v>0</v>
      </c>
      <c r="D45524" t="s">
        <v>5438</v>
      </c>
      <c r="E45524" t="s">
        <v>9628</v>
      </c>
      <c r="F45524" t="s">
        <v>14548</v>
      </c>
      <c r="G45524" t="s">
        <v>18471</v>
      </c>
      <c r="H45524" t="s">
        <v>36578</v>
      </c>
    </row>
    <row r="45525" spans="1:8">
      <c r="A45525" t="s">
        <v>3938</v>
      </c>
      <c r="B45525">
        <f>HYPERLINK("https://android.googlesource.com/platform/cts/+/0836ad1799b0943a327b28ded2ecbd753c4e4805", "0836ad1799b0943a327b28ded2ecbd753c4e4805")</f>
        <v>0</v>
      </c>
      <c r="C45525">
        <f>HYPERLINK("https://android.googlesource.com/platform/cts/+/6dfdbb1ab69462153c917408298e9e7d5c5233e7", "6dfdbb1ab69462153c917408298e9e7d5c5233e7")</f>
        <v>0</v>
      </c>
      <c r="D45525" t="s">
        <v>5644</v>
      </c>
      <c r="E45525" t="s">
        <v>9629</v>
      </c>
      <c r="F45525" t="s">
        <v>14549</v>
      </c>
      <c r="G45525" t="s">
        <v>18472</v>
      </c>
      <c r="H45525" t="s">
        <v>36579</v>
      </c>
    </row>
    <row r="45526" spans="1:8">
      <c r="H45526" t="s">
        <v>18829</v>
      </c>
    </row>
    <row r="45527" spans="1:8">
      <c r="H45527" t="s">
        <v>18863</v>
      </c>
    </row>
    <row r="45528" spans="1:8">
      <c r="H45528" t="s">
        <v>36580</v>
      </c>
    </row>
    <row r="45529" spans="1:8">
      <c r="H45529" t="s">
        <v>36581</v>
      </c>
    </row>
    <row r="45530" spans="1:8">
      <c r="H45530" t="s">
        <v>36582</v>
      </c>
    </row>
    <row r="45531" spans="1:8">
      <c r="H45531" t="s">
        <v>36583</v>
      </c>
    </row>
    <row r="45532" spans="1:8">
      <c r="H45532" t="s">
        <v>36584</v>
      </c>
    </row>
    <row r="45533" spans="1:8">
      <c r="H45533" t="s">
        <v>36585</v>
      </c>
    </row>
    <row r="45534" spans="1:8">
      <c r="H45534" t="s">
        <v>36586</v>
      </c>
    </row>
    <row r="45535" spans="1:8">
      <c r="H45535" t="s">
        <v>36587</v>
      </c>
    </row>
    <row r="45536" spans="1:8">
      <c r="H45536" t="s">
        <v>36588</v>
      </c>
    </row>
    <row r="45537" spans="1:8">
      <c r="H45537" t="s">
        <v>36589</v>
      </c>
    </row>
    <row r="45538" spans="1:8">
      <c r="H45538" t="s">
        <v>36590</v>
      </c>
    </row>
    <row r="45539" spans="1:8">
      <c r="H45539" t="s">
        <v>36591</v>
      </c>
    </row>
    <row r="45540" spans="1:8">
      <c r="H45540" t="s">
        <v>36592</v>
      </c>
    </row>
    <row r="45541" spans="1:8">
      <c r="H45541" t="s">
        <v>36593</v>
      </c>
    </row>
    <row r="45542" spans="1:8">
      <c r="A45542" t="s">
        <v>3939</v>
      </c>
      <c r="B45542">
        <f>HYPERLINK("https://android.googlesource.com/platform/cts/+/1a6dddbad00897cf6d326adc2b9257e016fb729c", "1a6dddbad00897cf6d326adc2b9257e016fb729c")</f>
        <v>0</v>
      </c>
      <c r="C45542">
        <f>HYPERLINK("https://android.googlesource.com/platform/cts/+/c95a016fa40b899ce9df434c47b15b2daad34411", "c95a016fa40b899ce9df434c47b15b2daad34411")</f>
        <v>0</v>
      </c>
      <c r="D45542" t="s">
        <v>5153</v>
      </c>
      <c r="E45542" t="s">
        <v>9630</v>
      </c>
      <c r="F45542" t="s">
        <v>13225</v>
      </c>
      <c r="G45542" t="s">
        <v>17366</v>
      </c>
      <c r="H45542" t="s">
        <v>36594</v>
      </c>
    </row>
    <row r="45543" spans="1:8">
      <c r="A45543" t="s">
        <v>3940</v>
      </c>
      <c r="B45543">
        <f>HYPERLINK("https://android.googlesource.com/platform/cts/+/ae5ed84067c663a76ed81de266c65044622e0f75", "ae5ed84067c663a76ed81de266c65044622e0f75")</f>
        <v>0</v>
      </c>
      <c r="C45543">
        <f>HYPERLINK("https://android.googlesource.com/platform/cts/+/4bbc4daccfe8e33503d935ce977829bab21a5487", "4bbc4daccfe8e33503d935ce977829bab21a5487")</f>
        <v>0</v>
      </c>
      <c r="D45543" t="s">
        <v>5645</v>
      </c>
      <c r="E45543" t="s">
        <v>9631</v>
      </c>
      <c r="F45543" t="s">
        <v>13171</v>
      </c>
      <c r="G45543" t="s">
        <v>16410</v>
      </c>
      <c r="H45543" t="s">
        <v>36595</v>
      </c>
    </row>
    <row r="45544" spans="1:8">
      <c r="A45544" t="s">
        <v>3941</v>
      </c>
      <c r="B45544">
        <f>HYPERLINK("https://android.googlesource.com/platform/cts/+/cb1cf40fe21fc865edc78a2938f49a5f66b08881", "cb1cf40fe21fc865edc78a2938f49a5f66b08881")</f>
        <v>0</v>
      </c>
      <c r="C45544">
        <f>HYPERLINK("https://android.googlesource.com/platform/cts/+/0353ae5f34f5f847ae18aad4644bbc700d554534", "0353ae5f34f5f847ae18aad4644bbc700d554534")</f>
        <v>0</v>
      </c>
      <c r="D45544" t="s">
        <v>5579</v>
      </c>
      <c r="E45544" t="s">
        <v>9632</v>
      </c>
      <c r="F45544" t="s">
        <v>12741</v>
      </c>
      <c r="G45544" t="s">
        <v>16933</v>
      </c>
      <c r="H45544" t="s">
        <v>36596</v>
      </c>
    </row>
    <row r="45545" spans="1:8">
      <c r="H45545" t="s">
        <v>36597</v>
      </c>
    </row>
    <row r="45546" spans="1:8">
      <c r="A45546" t="s">
        <v>3942</v>
      </c>
      <c r="B45546">
        <f>HYPERLINK("https://android.googlesource.com/platform/cts/+/6019f9b2987cc25aec3c28abb01dce6d89e33e9c", "6019f9b2987cc25aec3c28abb01dce6d89e33e9c")</f>
        <v>0</v>
      </c>
      <c r="C45546">
        <f>HYPERLINK("https://android.googlesource.com/platform/cts/+/63d06190e7e8b86ec1fb67e0cef78209adfdcd34", "63d06190e7e8b86ec1fb67e0cef78209adfdcd34")</f>
        <v>0</v>
      </c>
      <c r="D45546" t="s">
        <v>5134</v>
      </c>
      <c r="E45546" t="s">
        <v>9633</v>
      </c>
      <c r="F45546" t="s">
        <v>14550</v>
      </c>
      <c r="G45546" t="s">
        <v>18473</v>
      </c>
      <c r="H45546" t="s">
        <v>36598</v>
      </c>
    </row>
    <row r="45547" spans="1:8">
      <c r="A45547" t="s">
        <v>3943</v>
      </c>
      <c r="B45547">
        <f>HYPERLINK("https://android.googlesource.com/platform/cts/+/23c3466a65d1f023c1cabde0684c77defc38024f", "23c3466a65d1f023c1cabde0684c77defc38024f")</f>
        <v>0</v>
      </c>
      <c r="C45547">
        <f>HYPERLINK("https://android.googlesource.com/platform/cts/+/c1ae0e8fbf008d72fb5fb96288f1ffe06c4fd99d", "c1ae0e8fbf008d72fb5fb96288f1ffe06c4fd99d")</f>
        <v>0</v>
      </c>
      <c r="D45547" t="s">
        <v>5578</v>
      </c>
      <c r="E45547" t="s">
        <v>9634</v>
      </c>
      <c r="F45547" t="s">
        <v>14327</v>
      </c>
      <c r="G45547" t="s">
        <v>18283</v>
      </c>
      <c r="H45547" t="s">
        <v>18863</v>
      </c>
    </row>
    <row r="45548" spans="1:8">
      <c r="A45548" t="s">
        <v>3944</v>
      </c>
      <c r="B45548">
        <f>HYPERLINK("https://android.googlesource.com/platform/cts/+/65c15dcbeb754605a778f9cd5c908757fe966df7", "65c15dcbeb754605a778f9cd5c908757fe966df7")</f>
        <v>0</v>
      </c>
      <c r="C45548">
        <f>HYPERLINK("https://android.googlesource.com/platform/cts/+/98a24158d5d485cbc024668693fce88085679c97", "98a24158d5d485cbc024668693fce88085679c97")</f>
        <v>0</v>
      </c>
      <c r="D45548" t="s">
        <v>5546</v>
      </c>
      <c r="E45548" t="s">
        <v>9635</v>
      </c>
      <c r="F45548" t="s">
        <v>14551</v>
      </c>
      <c r="G45548" t="s">
        <v>18474</v>
      </c>
      <c r="H45548" t="s">
        <v>36599</v>
      </c>
    </row>
    <row r="45549" spans="1:8">
      <c r="A45549" t="s">
        <v>3945</v>
      </c>
      <c r="B45549">
        <f>HYPERLINK("https://android.googlesource.com/platform/cts/+/cdaa22a3a4b8a687c05f769b7900fee2d2f152bf", "cdaa22a3a4b8a687c05f769b7900fee2d2f152bf")</f>
        <v>0</v>
      </c>
      <c r="C45549">
        <f>HYPERLINK("https://android.googlesource.com/platform/cts/+/0486746ea9f27879151ccca58f104832db5f80c1", "0486746ea9f27879151ccca58f104832db5f80c1")</f>
        <v>0</v>
      </c>
      <c r="D45549" t="s">
        <v>5178</v>
      </c>
      <c r="E45549" t="s">
        <v>9636</v>
      </c>
      <c r="F45549" t="s">
        <v>14552</v>
      </c>
      <c r="G45549" t="s">
        <v>18475</v>
      </c>
      <c r="H45549" t="s">
        <v>27522</v>
      </c>
    </row>
    <row r="45550" spans="1:8">
      <c r="H45550" t="s">
        <v>36600</v>
      </c>
    </row>
    <row r="45551" spans="1:8">
      <c r="H45551" t="s">
        <v>25668</v>
      </c>
    </row>
    <row r="45552" spans="1:8">
      <c r="H45552" t="s">
        <v>26786</v>
      </c>
    </row>
    <row r="45553" spans="1:8">
      <c r="H45553" t="s">
        <v>18891</v>
      </c>
    </row>
    <row r="45554" spans="1:8">
      <c r="H45554" t="s">
        <v>18882</v>
      </c>
    </row>
    <row r="45555" spans="1:8">
      <c r="H45555" t="s">
        <v>19981</v>
      </c>
    </row>
    <row r="45556" spans="1:8">
      <c r="H45556" t="s">
        <v>18863</v>
      </c>
    </row>
    <row r="45557" spans="1:8">
      <c r="H45557" t="s">
        <v>29753</v>
      </c>
    </row>
    <row r="45558" spans="1:8">
      <c r="A45558" t="s">
        <v>3946</v>
      </c>
      <c r="B45558">
        <f>HYPERLINK("https://android.googlesource.com/platform/cts/+/de82e152a92fa025ed6ba79c82c9e80866329bff", "de82e152a92fa025ed6ba79c82c9e80866329bff")</f>
        <v>0</v>
      </c>
      <c r="C45558">
        <f>HYPERLINK("https://android.googlesource.com/platform/cts/+/267938a5061f8c5bb0c4fe585d1ab2b790d9b133", "267938a5061f8c5bb0c4fe585d1ab2b790d9b133")</f>
        <v>0</v>
      </c>
      <c r="D45558" t="s">
        <v>5501</v>
      </c>
      <c r="E45558" t="s">
        <v>9637</v>
      </c>
      <c r="F45558" t="s">
        <v>14553</v>
      </c>
      <c r="G45558" t="s">
        <v>18476</v>
      </c>
      <c r="H45558" t="s">
        <v>36601</v>
      </c>
    </row>
    <row r="45559" spans="1:8">
      <c r="H45559" t="s">
        <v>20340</v>
      </c>
    </row>
    <row r="45560" spans="1:8">
      <c r="A45560" t="s">
        <v>3947</v>
      </c>
      <c r="B45560">
        <f>HYPERLINK("https://android.googlesource.com/platform/cts/+/d76443927c8ab8b3a2fd230e8958f6b0c00b7450", "d76443927c8ab8b3a2fd230e8958f6b0c00b7450")</f>
        <v>0</v>
      </c>
      <c r="C45560">
        <f>HYPERLINK("https://android.googlesource.com/platform/cts/+/18964991d67521f07f9010d2a842cce7ed84b113", "18964991d67521f07f9010d2a842cce7ed84b113")</f>
        <v>0</v>
      </c>
      <c r="D45560" t="s">
        <v>5604</v>
      </c>
      <c r="E45560" t="s">
        <v>9638</v>
      </c>
      <c r="F45560" t="s">
        <v>14554</v>
      </c>
      <c r="G45560" t="s">
        <v>18477</v>
      </c>
      <c r="H45560" t="s">
        <v>36602</v>
      </c>
    </row>
    <row r="45561" spans="1:8">
      <c r="H45561" t="s">
        <v>36603</v>
      </c>
    </row>
    <row r="45562" spans="1:8">
      <c r="H45562" t="s">
        <v>36604</v>
      </c>
    </row>
    <row r="45563" spans="1:8">
      <c r="A45563" t="s">
        <v>3948</v>
      </c>
      <c r="B45563">
        <f>HYPERLINK("https://android.googlesource.com/platform/cts/+/bc709949f0cf55936bfc62e0ad308bb50d4d670f", "bc709949f0cf55936bfc62e0ad308bb50d4d670f")</f>
        <v>0</v>
      </c>
      <c r="C45563">
        <f>HYPERLINK("https://android.googlesource.com/platform/cts/+/72be712df18c0744797622aa06ef933f330d394e", "72be712df18c0744797622aa06ef933f330d394e")</f>
        <v>0</v>
      </c>
      <c r="D45563" t="s">
        <v>5409</v>
      </c>
      <c r="E45563" t="s">
        <v>9639</v>
      </c>
      <c r="F45563" t="s">
        <v>14461</v>
      </c>
      <c r="G45563" t="s">
        <v>15710</v>
      </c>
      <c r="H45563" t="s">
        <v>36605</v>
      </c>
    </row>
    <row r="45564" spans="1:8">
      <c r="A45564" t="s">
        <v>3949</v>
      </c>
      <c r="B45564">
        <f>HYPERLINK("https://android.googlesource.com/platform/cts/+/4cfcf23543adcf3f4d6a792e393d0ce5b100da80", "4cfcf23543adcf3f4d6a792e393d0ce5b100da80")</f>
        <v>0</v>
      </c>
      <c r="C45564">
        <f>HYPERLINK("https://android.googlesource.com/platform/cts/+/c22b81480078da56968ef0b80e2f41b256ddbd8b", "c22b81480078da56968ef0b80e2f41b256ddbd8b")</f>
        <v>0</v>
      </c>
      <c r="D45564" t="s">
        <v>5085</v>
      </c>
      <c r="E45564" t="s">
        <v>9640</v>
      </c>
      <c r="F45564" t="s">
        <v>13224</v>
      </c>
      <c r="G45564" t="s">
        <v>15138</v>
      </c>
      <c r="H45564" t="s">
        <v>36606</v>
      </c>
    </row>
    <row r="45565" spans="1:8">
      <c r="A45565" t="s">
        <v>3950</v>
      </c>
      <c r="B45565">
        <f>HYPERLINK("https://android.googlesource.com/platform/cts/+/9a333ea719b4d73b2d9c3ccf45d30f4f119d44fb", "9a333ea719b4d73b2d9c3ccf45d30f4f119d44fb")</f>
        <v>0</v>
      </c>
      <c r="C45565">
        <f>HYPERLINK("https://android.googlesource.com/platform/cts/+/cd11af187893596778e86fc396b2f2d2c8b29f62", "cd11af187893596778e86fc396b2f2d2c8b29f62")</f>
        <v>0</v>
      </c>
      <c r="D45565" t="s">
        <v>5275</v>
      </c>
      <c r="E45565" t="s">
        <v>9641</v>
      </c>
      <c r="F45565" t="s">
        <v>13224</v>
      </c>
      <c r="G45565" t="s">
        <v>15138</v>
      </c>
      <c r="H45565" t="s">
        <v>36606</v>
      </c>
    </row>
    <row r="45566" spans="1:8">
      <c r="A45566" t="s">
        <v>3951</v>
      </c>
      <c r="B45566">
        <f>HYPERLINK("https://android.googlesource.com/platform/cts/+/df86d7e15150fdafe183fa6901a86919f8cc0cfb", "df86d7e15150fdafe183fa6901a86919f8cc0cfb")</f>
        <v>0</v>
      </c>
      <c r="C45566">
        <f>HYPERLINK("https://android.googlesource.com/platform/cts/+/4e0657d0fb4cff9ee83f9efb77476be0c3adef5c", "4e0657d0fb4cff9ee83f9efb77476be0c3adef5c")</f>
        <v>0</v>
      </c>
      <c r="D45566" t="s">
        <v>5275</v>
      </c>
      <c r="E45566" t="s">
        <v>9641</v>
      </c>
      <c r="F45566" t="s">
        <v>13224</v>
      </c>
      <c r="G45566" t="s">
        <v>15138</v>
      </c>
      <c r="H45566" t="s">
        <v>36606</v>
      </c>
    </row>
    <row r="45567" spans="1:8">
      <c r="A45567" t="s">
        <v>3952</v>
      </c>
      <c r="B45567">
        <f>HYPERLINK("https://android.googlesource.com/platform/cts/+/4d648b00fdf19b2983dcb02e51e426549b92fec5", "4d648b00fdf19b2983dcb02e51e426549b92fec5")</f>
        <v>0</v>
      </c>
      <c r="C45567">
        <f>HYPERLINK("https://android.googlesource.com/platform/cts/+/5f6aa28eb9394dd4539bd0858aa5bf4fb8824354", "5f6aa28eb9394dd4539bd0858aa5bf4fb8824354")</f>
        <v>0</v>
      </c>
      <c r="D45567" t="s">
        <v>5275</v>
      </c>
      <c r="E45567" t="s">
        <v>9641</v>
      </c>
      <c r="F45567" t="s">
        <v>13224</v>
      </c>
      <c r="G45567" t="s">
        <v>15138</v>
      </c>
      <c r="H45567" t="s">
        <v>36606</v>
      </c>
    </row>
    <row r="45568" spans="1:8">
      <c r="A45568" t="s">
        <v>3953</v>
      </c>
      <c r="B45568">
        <f>HYPERLINK("https://android.googlesource.com/platform/cts/+/a58a382bfa81b2a305fca935448bca96aac9b72a", "a58a382bfa81b2a305fca935448bca96aac9b72a")</f>
        <v>0</v>
      </c>
      <c r="C45568">
        <f>HYPERLINK("https://android.googlesource.com/platform/cts/+/44c1d0bdaf4605da55a68443d81210383558a166", "44c1d0bdaf4605da55a68443d81210383558a166")</f>
        <v>0</v>
      </c>
      <c r="D45568" t="s">
        <v>5153</v>
      </c>
      <c r="E45568" t="s">
        <v>9642</v>
      </c>
      <c r="F45568" t="s">
        <v>12808</v>
      </c>
      <c r="G45568" t="s">
        <v>16989</v>
      </c>
      <c r="H45568" t="s">
        <v>30338</v>
      </c>
    </row>
    <row r="45569" spans="1:8">
      <c r="A45569" t="s">
        <v>3954</v>
      </c>
      <c r="B45569">
        <f>HYPERLINK("https://android.googlesource.com/platform/cts/+/acf4c504675085d56a68a6cbca331ca0422f033d", "acf4c504675085d56a68a6cbca331ca0422f033d")</f>
        <v>0</v>
      </c>
      <c r="C45569">
        <f>HYPERLINK("https://android.googlesource.com/platform/cts/+/9b0fea5a45bc62a19126a6f0436d1be55a3ffb69", "9b0fea5a45bc62a19126a6f0436d1be55a3ffb69")</f>
        <v>0</v>
      </c>
      <c r="D45569" t="s">
        <v>5574</v>
      </c>
      <c r="E45569" t="s">
        <v>9643</v>
      </c>
      <c r="F45569" t="s">
        <v>12428</v>
      </c>
      <c r="G45569" t="s">
        <v>16619</v>
      </c>
      <c r="H45569" t="s">
        <v>36607</v>
      </c>
    </row>
    <row r="45570" spans="1:8">
      <c r="H45570" t="s">
        <v>36608</v>
      </c>
    </row>
    <row r="45571" spans="1:8">
      <c r="A45571" t="s">
        <v>3955</v>
      </c>
      <c r="B45571">
        <f>HYPERLINK("https://android.googlesource.com/platform/cts/+/c23b3a56e611367f37468a26bf5a3887521e3ae9", "c23b3a56e611367f37468a26bf5a3887521e3ae9")</f>
        <v>0</v>
      </c>
      <c r="C45571">
        <f>HYPERLINK("https://android.googlesource.com/platform/cts/+/890ceb1193784d3637714c259cf13218da76bd4c", "890ceb1193784d3637714c259cf13218da76bd4c")</f>
        <v>0</v>
      </c>
      <c r="D45571" t="s">
        <v>5428</v>
      </c>
      <c r="E45571" t="s">
        <v>9644</v>
      </c>
      <c r="F45571" t="s">
        <v>14430</v>
      </c>
      <c r="G45571" t="s">
        <v>18367</v>
      </c>
      <c r="H45571" t="s">
        <v>36609</v>
      </c>
    </row>
    <row r="45572" spans="1:8">
      <c r="H45572" t="s">
        <v>36610</v>
      </c>
    </row>
    <row r="45573" spans="1:8">
      <c r="H45573" t="s">
        <v>36611</v>
      </c>
    </row>
    <row r="45574" spans="1:8">
      <c r="H45574" t="s">
        <v>36612</v>
      </c>
    </row>
    <row r="45575" spans="1:8">
      <c r="F45575" t="s">
        <v>14431</v>
      </c>
      <c r="G45575" t="s">
        <v>18368</v>
      </c>
      <c r="H45575" t="s">
        <v>36613</v>
      </c>
    </row>
    <row r="45576" spans="1:8">
      <c r="H45576" t="s">
        <v>36614</v>
      </c>
    </row>
    <row r="45577" spans="1:8">
      <c r="H45577" t="s">
        <v>36615</v>
      </c>
    </row>
    <row r="45578" spans="1:8">
      <c r="H45578" t="s">
        <v>36616</v>
      </c>
    </row>
    <row r="45579" spans="1:8">
      <c r="H45579" t="s">
        <v>36617</v>
      </c>
    </row>
    <row r="45580" spans="1:8">
      <c r="H45580" t="s">
        <v>36618</v>
      </c>
    </row>
    <row r="45581" spans="1:8">
      <c r="A45581" t="s">
        <v>3956</v>
      </c>
      <c r="B45581">
        <f>HYPERLINK("https://android.googlesource.com/platform/cts/+/1b00016229ebdc000ab729b94d303ee2cf77a418", "1b00016229ebdc000ab729b94d303ee2cf77a418")</f>
        <v>0</v>
      </c>
      <c r="C45581">
        <f>HYPERLINK("https://android.googlesource.com/platform/cts/+/84598b17873446d0c422c638626e0717d5b3e396", "84598b17873446d0c422c638626e0717d5b3e396")</f>
        <v>0</v>
      </c>
      <c r="D45581" t="s">
        <v>5493</v>
      </c>
      <c r="E45581" t="s">
        <v>9645</v>
      </c>
      <c r="F45581" t="s">
        <v>13968</v>
      </c>
      <c r="G45581" t="s">
        <v>17993</v>
      </c>
      <c r="H45581" t="s">
        <v>33345</v>
      </c>
    </row>
    <row r="45582" spans="1:8">
      <c r="H45582" t="s">
        <v>36619</v>
      </c>
    </row>
    <row r="45583" spans="1:8">
      <c r="H45583" t="s">
        <v>18829</v>
      </c>
    </row>
    <row r="45584" spans="1:8">
      <c r="H45584" t="s">
        <v>18863</v>
      </c>
    </row>
    <row r="45585" spans="1:8">
      <c r="H45585" t="s">
        <v>36620</v>
      </c>
    </row>
    <row r="45586" spans="1:8">
      <c r="H45586" t="s">
        <v>36621</v>
      </c>
    </row>
    <row r="45587" spans="1:8">
      <c r="H45587" t="s">
        <v>36622</v>
      </c>
    </row>
    <row r="45588" spans="1:8">
      <c r="H45588" t="s">
        <v>36623</v>
      </c>
    </row>
    <row r="45589" spans="1:8">
      <c r="H45589" t="s">
        <v>36624</v>
      </c>
    </row>
    <row r="45590" spans="1:8">
      <c r="H45590" t="s">
        <v>36625</v>
      </c>
    </row>
    <row r="45591" spans="1:8">
      <c r="H45591" t="s">
        <v>20083</v>
      </c>
    </row>
    <row r="45592" spans="1:8">
      <c r="H45592" t="s">
        <v>36626</v>
      </c>
    </row>
    <row r="45593" spans="1:8">
      <c r="H45593" t="s">
        <v>20083</v>
      </c>
    </row>
    <row r="45594" spans="1:8">
      <c r="A45594" t="s">
        <v>3957</v>
      </c>
      <c r="B45594">
        <f>HYPERLINK("https://android.googlesource.com/platform/cts/+/30dfdb35aac627e18dbb05bf8c7a905b1e89df8b", "30dfdb35aac627e18dbb05bf8c7a905b1e89df8b")</f>
        <v>0</v>
      </c>
      <c r="C45594">
        <f>HYPERLINK("https://android.googlesource.com/platform/cts/+/e7b3c7a8f4e852361474eb682e3e3bc3f13eda86", "e7b3c7a8f4e852361474eb682e3e3bc3f13eda86")</f>
        <v>0</v>
      </c>
      <c r="D45594" t="s">
        <v>5409</v>
      </c>
      <c r="E45594" t="s">
        <v>9646</v>
      </c>
      <c r="F45594" t="s">
        <v>14555</v>
      </c>
      <c r="G45594" t="s">
        <v>17862</v>
      </c>
      <c r="H45594" t="s">
        <v>36627</v>
      </c>
    </row>
    <row r="45595" spans="1:8">
      <c r="A45595" t="s">
        <v>3958</v>
      </c>
      <c r="B45595">
        <f>HYPERLINK("https://android.googlesource.com/platform/cts/+/65eb9c316b5c0fe3f2b5a55909fa4cd9ef6839c8", "65eb9c316b5c0fe3f2b5a55909fa4cd9ef6839c8")</f>
        <v>0</v>
      </c>
      <c r="C45595">
        <f>HYPERLINK("https://android.googlesource.com/platform/cts/+/32ee9ae735281cabb2660f1247ac8a0a268d315e", "32ee9ae735281cabb2660f1247ac8a0a268d315e")</f>
        <v>0</v>
      </c>
      <c r="D45595" t="s">
        <v>5646</v>
      </c>
      <c r="E45595" t="s">
        <v>9647</v>
      </c>
      <c r="F45595" t="s">
        <v>14165</v>
      </c>
      <c r="G45595" t="s">
        <v>17361</v>
      </c>
      <c r="H45595" t="s">
        <v>36628</v>
      </c>
    </row>
    <row r="45596" spans="1:8">
      <c r="A45596" t="s">
        <v>3959</v>
      </c>
      <c r="B45596">
        <f>HYPERLINK("https://android.googlesource.com/platform/cts/+/51ba130cf8573a5d485d394486b5ac68fdbf520e", "51ba130cf8573a5d485d394486b5ac68fdbf520e")</f>
        <v>0</v>
      </c>
      <c r="C45596">
        <f>HYPERLINK("https://android.googlesource.com/platform/cts/+/c3e61ad03e7e0a7e87d757f3e0bf960559bc1a9a", "c3e61ad03e7e0a7e87d757f3e0bf960559bc1a9a")</f>
        <v>0</v>
      </c>
      <c r="D45596" t="s">
        <v>5493</v>
      </c>
      <c r="E45596" t="s">
        <v>9648</v>
      </c>
      <c r="F45596" t="s">
        <v>13923</v>
      </c>
      <c r="G45596" t="s">
        <v>17959</v>
      </c>
      <c r="H45596" t="s">
        <v>18829</v>
      </c>
    </row>
    <row r="45597" spans="1:8">
      <c r="H45597" t="s">
        <v>18863</v>
      </c>
    </row>
    <row r="45598" spans="1:8">
      <c r="H45598" t="s">
        <v>26292</v>
      </c>
    </row>
    <row r="45599" spans="1:8">
      <c r="H45599" t="s">
        <v>36629</v>
      </c>
    </row>
    <row r="45600" spans="1:8">
      <c r="H45600" t="s">
        <v>36630</v>
      </c>
    </row>
    <row r="45601" spans="1:8">
      <c r="H45601" t="s">
        <v>36631</v>
      </c>
    </row>
    <row r="45602" spans="1:8">
      <c r="H45602" t="s">
        <v>36632</v>
      </c>
    </row>
    <row r="45603" spans="1:8">
      <c r="H45603" t="s">
        <v>36633</v>
      </c>
    </row>
    <row r="45604" spans="1:8">
      <c r="H45604" t="s">
        <v>36625</v>
      </c>
    </row>
    <row r="45605" spans="1:8">
      <c r="H45605" t="s">
        <v>36634</v>
      </c>
    </row>
    <row r="45606" spans="1:8">
      <c r="H45606" t="s">
        <v>20083</v>
      </c>
    </row>
    <row r="45607" spans="1:8">
      <c r="H45607" t="s">
        <v>36626</v>
      </c>
    </row>
    <row r="45608" spans="1:8">
      <c r="A45608" t="s">
        <v>3960</v>
      </c>
      <c r="B45608">
        <f>HYPERLINK("https://android.googlesource.com/platform/cts/+/fe05e687e1631884e02681b1f21ae9cf67f386e5", "fe05e687e1631884e02681b1f21ae9cf67f386e5")</f>
        <v>0</v>
      </c>
      <c r="C45608">
        <f>HYPERLINK("https://android.googlesource.com/platform/cts/+/a8801b0d706b9476c802bb8888c5c20600bfe1f7", "a8801b0d706b9476c802bb8888c5c20600bfe1f7")</f>
        <v>0</v>
      </c>
      <c r="D45608" t="s">
        <v>5575</v>
      </c>
      <c r="E45608" t="s">
        <v>9649</v>
      </c>
      <c r="F45608" t="s">
        <v>14526</v>
      </c>
      <c r="G45608" t="s">
        <v>18453</v>
      </c>
      <c r="H45608" t="s">
        <v>18829</v>
      </c>
    </row>
    <row r="45609" spans="1:8">
      <c r="H45609" t="s">
        <v>18863</v>
      </c>
    </row>
    <row r="45610" spans="1:8">
      <c r="H45610" t="s">
        <v>36440</v>
      </c>
    </row>
    <row r="45611" spans="1:8">
      <c r="F45611" t="s">
        <v>14556</v>
      </c>
      <c r="G45611" t="s">
        <v>18478</v>
      </c>
      <c r="H45611" t="s">
        <v>18829</v>
      </c>
    </row>
    <row r="45612" spans="1:8">
      <c r="H45612" t="s">
        <v>36635</v>
      </c>
    </row>
    <row r="45613" spans="1:8">
      <c r="A45613" t="s">
        <v>3961</v>
      </c>
      <c r="B45613">
        <f>HYPERLINK("https://android.googlesource.com/platform/cts/+/f7e4b12a7fcff540895a4dd2978c4137e9915590", "f7e4b12a7fcff540895a4dd2978c4137e9915590")</f>
        <v>0</v>
      </c>
      <c r="C45613">
        <f>HYPERLINK("https://android.googlesource.com/platform/cts/+/a8801b0d706b9476c802bb8888c5c20600bfe1f7", "a8801b0d706b9476c802bb8888c5c20600bfe1f7")</f>
        <v>0</v>
      </c>
      <c r="D45613" t="s">
        <v>5465</v>
      </c>
      <c r="E45613" t="s">
        <v>9650</v>
      </c>
      <c r="F45613" t="s">
        <v>14557</v>
      </c>
      <c r="G45613" t="s">
        <v>18479</v>
      </c>
      <c r="H45613" t="s">
        <v>18896</v>
      </c>
    </row>
    <row r="45614" spans="1:8">
      <c r="A45614" t="s">
        <v>3962</v>
      </c>
      <c r="B45614">
        <f>HYPERLINK("https://android.googlesource.com/platform/cts/+/8dc77bbe5f999ab7f15bea7fc8b4cd67319ca96f", "8dc77bbe5f999ab7f15bea7fc8b4cd67319ca96f")</f>
        <v>0</v>
      </c>
      <c r="C45614">
        <f>HYPERLINK("https://android.googlesource.com/platform/cts/+/365ce401c9ba381ac95218cb0bf4dea04e12f5e2", "365ce401c9ba381ac95218cb0bf4dea04e12f5e2")</f>
        <v>0</v>
      </c>
      <c r="D45614" t="s">
        <v>4947</v>
      </c>
      <c r="E45614" t="s">
        <v>9651</v>
      </c>
      <c r="F45614" t="s">
        <v>13990</v>
      </c>
      <c r="G45614" t="s">
        <v>18009</v>
      </c>
      <c r="H45614" t="s">
        <v>36636</v>
      </c>
    </row>
    <row r="45615" spans="1:8">
      <c r="A45615" t="s">
        <v>3963</v>
      </c>
      <c r="B45615">
        <f>HYPERLINK("https://android.googlesource.com/platform/cts/+/ec14a9f47aa7932aa200145c801c2f5f5f96fe2a", "ec14a9f47aa7932aa200145c801c2f5f5f96fe2a")</f>
        <v>0</v>
      </c>
      <c r="C45615">
        <f>HYPERLINK("https://android.googlesource.com/platform/cts/+/62dd217e8e17bd661bee924d20ed22441ebd6ff3", "62dd217e8e17bd661bee924d20ed22441ebd6ff3")</f>
        <v>0</v>
      </c>
      <c r="D45615" t="s">
        <v>5647</v>
      </c>
      <c r="E45615" t="s">
        <v>9652</v>
      </c>
      <c r="F45615" t="s">
        <v>13911</v>
      </c>
      <c r="G45615" t="s">
        <v>17948</v>
      </c>
      <c r="H45615" t="s">
        <v>18863</v>
      </c>
    </row>
    <row r="45616" spans="1:8">
      <c r="A45616" t="s">
        <v>3964</v>
      </c>
      <c r="B45616">
        <f>HYPERLINK("https://android.googlesource.com/platform/cts/+/ea8dca1a0ce7a17a97c7e070dcbfd6b40299b8d6", "ea8dca1a0ce7a17a97c7e070dcbfd6b40299b8d6")</f>
        <v>0</v>
      </c>
      <c r="C45616">
        <f>HYPERLINK("https://android.googlesource.com/platform/cts/+/46d513312813702077d64dac05b0222c22d2c475", "46d513312813702077d64dac05b0222c22d2c475")</f>
        <v>0</v>
      </c>
      <c r="D45616" t="s">
        <v>4947</v>
      </c>
      <c r="E45616" t="s">
        <v>9653</v>
      </c>
      <c r="F45616" t="s">
        <v>13990</v>
      </c>
      <c r="G45616" t="s">
        <v>18009</v>
      </c>
      <c r="H45616" t="s">
        <v>36636</v>
      </c>
    </row>
    <row r="45617" spans="1:8">
      <c r="A45617" t="s">
        <v>3965</v>
      </c>
      <c r="B45617">
        <f>HYPERLINK("https://android.googlesource.com/platform/cts/+/3db3c932273ef37ee298b64f46274424afa20824", "3db3c932273ef37ee298b64f46274424afa20824")</f>
        <v>0</v>
      </c>
      <c r="C45617">
        <f>HYPERLINK("https://android.googlesource.com/platform/cts/+/2b80a95295935a866bb4d931dc37f05d705587b1", "2b80a95295935a866bb4d931dc37f05d705587b1")</f>
        <v>0</v>
      </c>
      <c r="D45617" t="s">
        <v>5341</v>
      </c>
      <c r="E45617" t="s">
        <v>9654</v>
      </c>
      <c r="F45617" t="s">
        <v>13827</v>
      </c>
      <c r="G45617" t="s">
        <v>17871</v>
      </c>
      <c r="H45617" t="s">
        <v>36248</v>
      </c>
    </row>
    <row r="45618" spans="1:8">
      <c r="A45618" t="s">
        <v>3966</v>
      </c>
      <c r="B45618">
        <f>HYPERLINK("https://android.googlesource.com/platform/cts/+/601ff87ae9d3b76a6130c2dafe87ce8f4e145b72", "601ff87ae9d3b76a6130c2dafe87ce8f4e145b72")</f>
        <v>0</v>
      </c>
      <c r="C45618">
        <f>HYPERLINK("https://android.googlesource.com/platform/cts/+/46d513312813702077d64dac05b0222c22d2c475", "46d513312813702077d64dac05b0222c22d2c475")</f>
        <v>0</v>
      </c>
      <c r="D45618" t="s">
        <v>5438</v>
      </c>
      <c r="E45618" t="s">
        <v>9655</v>
      </c>
      <c r="F45618" t="s">
        <v>14486</v>
      </c>
      <c r="G45618" t="s">
        <v>18417</v>
      </c>
      <c r="H45618" t="s">
        <v>36637</v>
      </c>
    </row>
    <row r="45619" spans="1:8">
      <c r="A45619" t="s">
        <v>3967</v>
      </c>
      <c r="B45619">
        <f>HYPERLINK("https://android.googlesource.com/platform/cts/+/7cc41fccbf3b949dc86fe9d24c799d13d690a24b", "7cc41fccbf3b949dc86fe9d24c799d13d690a24b")</f>
        <v>0</v>
      </c>
      <c r="C45619">
        <f>HYPERLINK("https://android.googlesource.com/platform/cts/+/cf5f2a4dc0361cd2c513104a473c3d336810a2b5", "cf5f2a4dc0361cd2c513104a473c3d336810a2b5")</f>
        <v>0</v>
      </c>
      <c r="D45619" t="s">
        <v>5454</v>
      </c>
      <c r="E45619" t="s">
        <v>9656</v>
      </c>
      <c r="F45619" t="s">
        <v>14438</v>
      </c>
      <c r="G45619" t="s">
        <v>18374</v>
      </c>
      <c r="H45619" t="s">
        <v>36638</v>
      </c>
    </row>
    <row r="45620" spans="1:8">
      <c r="H45620" t="s">
        <v>36639</v>
      </c>
    </row>
    <row r="45621" spans="1:8">
      <c r="H45621" t="s">
        <v>36640</v>
      </c>
    </row>
    <row r="45622" spans="1:8">
      <c r="H45622" t="s">
        <v>36641</v>
      </c>
    </row>
    <row r="45623" spans="1:8">
      <c r="A45623" t="s">
        <v>3968</v>
      </c>
      <c r="B45623">
        <f>HYPERLINK("https://android.googlesource.com/platform/cts/+/3dc0c7f09388d42590e8191c8ad1c4df831c9360", "3dc0c7f09388d42590e8191c8ad1c4df831c9360")</f>
        <v>0</v>
      </c>
      <c r="C45623">
        <f>HYPERLINK("https://android.googlesource.com/platform/cts/+/9137e98f795f9104efb261afc2cb8b5c4cd5923f", "9137e98f795f9104efb261afc2cb8b5c4cd5923f")</f>
        <v>0</v>
      </c>
      <c r="D45623" t="s">
        <v>5479</v>
      </c>
      <c r="E45623" t="s">
        <v>9657</v>
      </c>
      <c r="F45623" t="s">
        <v>14326</v>
      </c>
      <c r="G45623" t="s">
        <v>17580</v>
      </c>
      <c r="H45623" t="s">
        <v>35370</v>
      </c>
    </row>
    <row r="45624" spans="1:8">
      <c r="H45624" t="s">
        <v>35371</v>
      </c>
    </row>
    <row r="45625" spans="1:8">
      <c r="A45625" t="s">
        <v>3969</v>
      </c>
      <c r="B45625">
        <f>HYPERLINK("https://android.googlesource.com/platform/cts/+/512626d453eb2b7f1b2469ff2586a53be25738bd", "512626d453eb2b7f1b2469ff2586a53be25738bd")</f>
        <v>0</v>
      </c>
      <c r="C45625">
        <f>HYPERLINK("https://android.googlesource.com/platform/cts/+/64a74e69c7b246e522d98d489e5dd02a6e228a91", "64a74e69c7b246e522d98d489e5dd02a6e228a91")</f>
        <v>0</v>
      </c>
      <c r="D45625" t="s">
        <v>5409</v>
      </c>
      <c r="E45625" t="s">
        <v>9658</v>
      </c>
      <c r="F45625" t="s">
        <v>14558</v>
      </c>
      <c r="G45625" t="s">
        <v>18480</v>
      </c>
      <c r="H45625" t="s">
        <v>36642</v>
      </c>
    </row>
    <row r="45626" spans="1:8">
      <c r="A45626" t="s">
        <v>3970</v>
      </c>
      <c r="B45626">
        <f>HYPERLINK("https://android.googlesource.com/platform/cts/+/3050ab708df7c0c1b7e01bd6ca75733264b6416c", "3050ab708df7c0c1b7e01bd6ca75733264b6416c")</f>
        <v>0</v>
      </c>
      <c r="C45626">
        <f>HYPERLINK("https://android.googlesource.com/platform/cts/+/a8801b0d706b9476c802bb8888c5c20600bfe1f7", "a8801b0d706b9476c802bb8888c5c20600bfe1f7")</f>
        <v>0</v>
      </c>
      <c r="D45626" t="s">
        <v>5465</v>
      </c>
      <c r="E45626" t="s">
        <v>9659</v>
      </c>
      <c r="F45626" t="s">
        <v>14152</v>
      </c>
      <c r="G45626" t="s">
        <v>18052</v>
      </c>
      <c r="H45626" t="s">
        <v>33101</v>
      </c>
    </row>
    <row r="45627" spans="1:8">
      <c r="A45627" t="s">
        <v>3971</v>
      </c>
      <c r="B45627">
        <f>HYPERLINK("https://android.googlesource.com/platform/cts/+/79611f2de1db20d593dde7cdb49ca03f27fe18cc", "79611f2de1db20d593dde7cdb49ca03f27fe18cc")</f>
        <v>0</v>
      </c>
      <c r="C45627">
        <f>HYPERLINK("https://android.googlesource.com/platform/cts/+/47af8fc5358999ae557853ec066dcaf8495ec25a", "47af8fc5358999ae557853ec066dcaf8495ec25a")</f>
        <v>0</v>
      </c>
      <c r="D45627" t="s">
        <v>5197</v>
      </c>
      <c r="E45627" t="s">
        <v>9660</v>
      </c>
      <c r="F45627" t="s">
        <v>14386</v>
      </c>
      <c r="G45627" t="s">
        <v>18330</v>
      </c>
      <c r="H45627" t="s">
        <v>36643</v>
      </c>
    </row>
    <row r="45628" spans="1:8">
      <c r="H45628" t="s">
        <v>36643</v>
      </c>
    </row>
    <row r="45629" spans="1:8">
      <c r="A45629" t="s">
        <v>3972</v>
      </c>
      <c r="B45629">
        <f>HYPERLINK("https://android.googlesource.com/platform/cts/+/65697def09a14e381daa541a9660cd13032893d8", "65697def09a14e381daa541a9660cd13032893d8")</f>
        <v>0</v>
      </c>
      <c r="C45629">
        <f>HYPERLINK("https://android.googlesource.com/platform/cts/+/3c2c5e47381ad23db063ab7b7b765f554e90d3ff", "3c2c5e47381ad23db063ab7b7b765f554e90d3ff")</f>
        <v>0</v>
      </c>
      <c r="D45629" t="s">
        <v>5648</v>
      </c>
      <c r="E45629" t="s">
        <v>9661</v>
      </c>
      <c r="F45629" t="s">
        <v>14559</v>
      </c>
      <c r="G45629" t="s">
        <v>18481</v>
      </c>
      <c r="H45629" t="s">
        <v>36644</v>
      </c>
    </row>
    <row r="45630" spans="1:8">
      <c r="A45630" t="s">
        <v>3973</v>
      </c>
      <c r="B45630">
        <f>HYPERLINK("https://android.googlesource.com/platform/cts/+/e25ab39765a4aaad8199227c7356d6e0e94aa976", "e25ab39765a4aaad8199227c7356d6e0e94aa976")</f>
        <v>0</v>
      </c>
      <c r="C45630">
        <f>HYPERLINK("https://android.googlesource.com/platform/cts/+/7572eb0aa5ff5c36015189914bf79db3c6ec93af", "7572eb0aa5ff5c36015189914bf79db3c6ec93af")</f>
        <v>0</v>
      </c>
      <c r="D45630" t="s">
        <v>5649</v>
      </c>
      <c r="E45630" t="s">
        <v>9662</v>
      </c>
      <c r="F45630" t="s">
        <v>12629</v>
      </c>
      <c r="G45630" t="s">
        <v>16838</v>
      </c>
      <c r="H45630" t="s">
        <v>36645</v>
      </c>
    </row>
    <row r="45631" spans="1:8">
      <c r="A45631" t="s">
        <v>3974</v>
      </c>
      <c r="B45631">
        <f>HYPERLINK("https://android.googlesource.com/platform/cts/+/0a0678cfdb0374f1dffbe87e032636f4afaf00b6", "0a0678cfdb0374f1dffbe87e032636f4afaf00b6")</f>
        <v>0</v>
      </c>
      <c r="C45631">
        <f>HYPERLINK("https://android.googlesource.com/platform/cts/+/f07d11fad7e3d862a45019cbbca9a87e5e29f63f", "f07d11fad7e3d862a45019cbbca9a87e5e29f63f")</f>
        <v>0</v>
      </c>
      <c r="D45631" t="s">
        <v>5584</v>
      </c>
      <c r="E45631" t="s">
        <v>9663</v>
      </c>
      <c r="F45631" t="s">
        <v>14272</v>
      </c>
      <c r="G45631" t="s">
        <v>18239</v>
      </c>
      <c r="H45631" t="s">
        <v>36646</v>
      </c>
    </row>
    <row r="45632" spans="1:8">
      <c r="H45632" t="s">
        <v>36647</v>
      </c>
    </row>
    <row r="45633" spans="1:8">
      <c r="H45633" t="s">
        <v>36648</v>
      </c>
    </row>
    <row r="45634" spans="1:8">
      <c r="A45634" t="s">
        <v>3975</v>
      </c>
      <c r="B45634">
        <f>HYPERLINK("https://android.googlesource.com/platform/cts/+/3c0172e93399bf203ce3d37653b5dd5d76c773a7", "3c0172e93399bf203ce3d37653b5dd5d76c773a7")</f>
        <v>0</v>
      </c>
      <c r="C45634">
        <f>HYPERLINK("https://android.googlesource.com/platform/cts/+/f07d11fad7e3d862a45019cbbca9a87e5e29f63f", "f07d11fad7e3d862a45019cbbca9a87e5e29f63f")</f>
        <v>0</v>
      </c>
      <c r="D45634" t="s">
        <v>5344</v>
      </c>
      <c r="E45634" t="s">
        <v>9664</v>
      </c>
      <c r="F45634" t="s">
        <v>14476</v>
      </c>
      <c r="G45634" t="s">
        <v>18408</v>
      </c>
      <c r="H45634" t="s">
        <v>36649</v>
      </c>
    </row>
    <row r="45635" spans="1:8">
      <c r="A45635" t="s">
        <v>3976</v>
      </c>
      <c r="B45635">
        <f>HYPERLINK("https://android.googlesource.com/platform/cts/+/d8c020ac7eccb4274e94f17afb37e440e713234e", "d8c020ac7eccb4274e94f17afb37e440e713234e")</f>
        <v>0</v>
      </c>
      <c r="C45635">
        <f>HYPERLINK("https://android.googlesource.com/platform/cts/+/2527569bc27c71e0030433da6b714d97dca85460", "2527569bc27c71e0030433da6b714d97dca85460")</f>
        <v>0</v>
      </c>
      <c r="D45635" t="s">
        <v>5409</v>
      </c>
      <c r="E45635" t="s">
        <v>9665</v>
      </c>
      <c r="F45635" t="s">
        <v>14288</v>
      </c>
      <c r="G45635" t="s">
        <v>16823</v>
      </c>
      <c r="H45635" t="s">
        <v>36650</v>
      </c>
    </row>
    <row r="45636" spans="1:8">
      <c r="A45636" t="s">
        <v>3977</v>
      </c>
      <c r="B45636">
        <f>HYPERLINK("https://android.googlesource.com/platform/cts/+/3307dc96d60b1ccec4e7a66866e9a71fe3aced05", "3307dc96d60b1ccec4e7a66866e9a71fe3aced05")</f>
        <v>0</v>
      </c>
      <c r="C45636">
        <f>HYPERLINK("https://android.googlesource.com/platform/cts/+/cc4d2aeee47db733a28b20838518e21da895c38a", "cc4d2aeee47db733a28b20838518e21da895c38a")</f>
        <v>0</v>
      </c>
      <c r="D45636" t="s">
        <v>5467</v>
      </c>
      <c r="E45636" t="s">
        <v>9666</v>
      </c>
      <c r="F45636" t="s">
        <v>14177</v>
      </c>
      <c r="G45636" t="s">
        <v>18158</v>
      </c>
      <c r="H45636" t="s">
        <v>36651</v>
      </c>
    </row>
    <row r="45637" spans="1:8">
      <c r="A45637" t="s">
        <v>3978</v>
      </c>
      <c r="B45637">
        <f>HYPERLINK("https://android.googlesource.com/platform/cts/+/eaed0cdeee06f358e16ef7365ccc9616da08dc19", "eaed0cdeee06f358e16ef7365ccc9616da08dc19")</f>
        <v>0</v>
      </c>
      <c r="C45637">
        <f>HYPERLINK("https://android.googlesource.com/platform/cts/+/64a74e69c7b246e522d98d489e5dd02a6e228a91", "64a74e69c7b246e522d98d489e5dd02a6e228a91")</f>
        <v>0</v>
      </c>
      <c r="D45637" t="s">
        <v>5451</v>
      </c>
      <c r="E45637" t="s">
        <v>9667</v>
      </c>
      <c r="F45637" t="s">
        <v>14560</v>
      </c>
      <c r="G45637" t="s">
        <v>18482</v>
      </c>
      <c r="H45637" t="s">
        <v>36652</v>
      </c>
    </row>
    <row r="45638" spans="1:8">
      <c r="H45638" t="s">
        <v>36653</v>
      </c>
    </row>
    <row r="45639" spans="1:8">
      <c r="H45639" t="s">
        <v>36654</v>
      </c>
    </row>
    <row r="45640" spans="1:8">
      <c r="H45640" t="s">
        <v>36655</v>
      </c>
    </row>
    <row r="45641" spans="1:8">
      <c r="H45641" t="s">
        <v>36656</v>
      </c>
    </row>
    <row r="45642" spans="1:8">
      <c r="F45642" t="s">
        <v>14123</v>
      </c>
      <c r="G45642" t="s">
        <v>18113</v>
      </c>
      <c r="H45642" t="s">
        <v>36657</v>
      </c>
    </row>
    <row r="45643" spans="1:8">
      <c r="A45643" t="s">
        <v>3979</v>
      </c>
      <c r="B45643">
        <f>HYPERLINK("https://android.googlesource.com/platform/cts/+/cca9b202a3dd16fef484823d72a014c773e6342f", "cca9b202a3dd16fef484823d72a014c773e6342f")</f>
        <v>0</v>
      </c>
      <c r="C45643">
        <f>HYPERLINK("https://android.googlesource.com/platform/cts/+/60619110148c53629bbe5fefe44cd018ded529d7", "60619110148c53629bbe5fefe44cd018ded529d7")</f>
        <v>0</v>
      </c>
      <c r="D45643" t="s">
        <v>5642</v>
      </c>
      <c r="E45643" t="s">
        <v>9668</v>
      </c>
      <c r="F45643" t="s">
        <v>14546</v>
      </c>
      <c r="G45643" t="s">
        <v>18469</v>
      </c>
      <c r="H45643" t="s">
        <v>36658</v>
      </c>
    </row>
    <row r="45644" spans="1:8">
      <c r="H45644" t="s">
        <v>36659</v>
      </c>
    </row>
    <row r="45645" spans="1:8">
      <c r="H45645" t="s">
        <v>36660</v>
      </c>
    </row>
    <row r="45646" spans="1:8">
      <c r="H45646" t="s">
        <v>36661</v>
      </c>
    </row>
    <row r="45647" spans="1:8">
      <c r="H45647" t="s">
        <v>36662</v>
      </c>
    </row>
    <row r="45648" spans="1:8">
      <c r="H45648" t="s">
        <v>36663</v>
      </c>
    </row>
    <row r="45649" spans="1:8">
      <c r="H45649" t="s">
        <v>36664</v>
      </c>
    </row>
    <row r="45650" spans="1:8">
      <c r="H45650" t="s">
        <v>36665</v>
      </c>
    </row>
    <row r="45651" spans="1:8">
      <c r="H45651" t="s">
        <v>36666</v>
      </c>
    </row>
    <row r="45652" spans="1:8">
      <c r="F45652" t="s">
        <v>14547</v>
      </c>
      <c r="G45652" t="s">
        <v>18470</v>
      </c>
      <c r="H45652" t="s">
        <v>36667</v>
      </c>
    </row>
    <row r="45653" spans="1:8">
      <c r="H45653" t="s">
        <v>36668</v>
      </c>
    </row>
    <row r="45654" spans="1:8">
      <c r="H45654" t="s">
        <v>36669</v>
      </c>
    </row>
    <row r="45655" spans="1:8">
      <c r="H45655" t="s">
        <v>36670</v>
      </c>
    </row>
    <row r="45656" spans="1:8">
      <c r="H45656" t="s">
        <v>36671</v>
      </c>
    </row>
    <row r="45657" spans="1:8">
      <c r="H45657" t="s">
        <v>36672</v>
      </c>
    </row>
    <row r="45658" spans="1:8">
      <c r="H45658" t="s">
        <v>36673</v>
      </c>
    </row>
    <row r="45659" spans="1:8">
      <c r="H45659" t="s">
        <v>36674</v>
      </c>
    </row>
    <row r="45660" spans="1:8">
      <c r="H45660" t="s">
        <v>36675</v>
      </c>
    </row>
    <row r="45661" spans="1:8">
      <c r="A45661" t="s">
        <v>3980</v>
      </c>
      <c r="B45661">
        <f>HYPERLINK("https://android.googlesource.com/platform/cts/+/e7c640451dac889b1c9af91360eb716091460b18", "e7c640451dac889b1c9af91360eb716091460b18")</f>
        <v>0</v>
      </c>
      <c r="C45661">
        <f>HYPERLINK("https://android.googlesource.com/platform/cts/+/45dd53474134b2043258f436a97a594f748c1699", "45dd53474134b2043258f436a97a594f748c1699")</f>
        <v>0</v>
      </c>
      <c r="D45661" t="s">
        <v>5642</v>
      </c>
      <c r="E45661" t="s">
        <v>9669</v>
      </c>
      <c r="F45661" t="s">
        <v>14546</v>
      </c>
      <c r="G45661" t="s">
        <v>18469</v>
      </c>
      <c r="H45661" t="s">
        <v>36658</v>
      </c>
    </row>
    <row r="45662" spans="1:8">
      <c r="H45662" t="s">
        <v>36659</v>
      </c>
    </row>
    <row r="45663" spans="1:8">
      <c r="H45663" t="s">
        <v>36660</v>
      </c>
    </row>
    <row r="45664" spans="1:8">
      <c r="H45664" t="s">
        <v>36661</v>
      </c>
    </row>
    <row r="45665" spans="1:8">
      <c r="H45665" t="s">
        <v>36662</v>
      </c>
    </row>
    <row r="45666" spans="1:8">
      <c r="H45666" t="s">
        <v>36663</v>
      </c>
    </row>
    <row r="45667" spans="1:8">
      <c r="H45667" t="s">
        <v>36664</v>
      </c>
    </row>
    <row r="45668" spans="1:8">
      <c r="H45668" t="s">
        <v>36665</v>
      </c>
    </row>
    <row r="45669" spans="1:8">
      <c r="H45669" t="s">
        <v>36666</v>
      </c>
    </row>
    <row r="45670" spans="1:8">
      <c r="F45670" t="s">
        <v>14547</v>
      </c>
      <c r="G45670" t="s">
        <v>18470</v>
      </c>
      <c r="H45670" t="s">
        <v>36667</v>
      </c>
    </row>
    <row r="45671" spans="1:8">
      <c r="H45671" t="s">
        <v>36668</v>
      </c>
    </row>
    <row r="45672" spans="1:8">
      <c r="H45672" t="s">
        <v>36669</v>
      </c>
    </row>
    <row r="45673" spans="1:8">
      <c r="H45673" t="s">
        <v>36670</v>
      </c>
    </row>
    <row r="45674" spans="1:8">
      <c r="H45674" t="s">
        <v>36671</v>
      </c>
    </row>
    <row r="45675" spans="1:8">
      <c r="H45675" t="s">
        <v>36672</v>
      </c>
    </row>
    <row r="45676" spans="1:8">
      <c r="H45676" t="s">
        <v>36673</v>
      </c>
    </row>
    <row r="45677" spans="1:8">
      <c r="H45677" t="s">
        <v>36674</v>
      </c>
    </row>
    <row r="45678" spans="1:8">
      <c r="H45678" t="s">
        <v>36675</v>
      </c>
    </row>
    <row r="45679" spans="1:8">
      <c r="A45679" t="s">
        <v>3981</v>
      </c>
      <c r="B45679">
        <f>HYPERLINK("https://android.googlesource.com/platform/cts/+/999e7f18512837d6b9442b692650f8302d1808c1", "999e7f18512837d6b9442b692650f8302d1808c1")</f>
        <v>0</v>
      </c>
      <c r="C45679">
        <f>HYPERLINK("https://android.googlesource.com/platform/cts/+/c0384579767bf4c9c004905b2f60943f45a69192", "c0384579767bf4c9c004905b2f60943f45a69192")</f>
        <v>0</v>
      </c>
      <c r="D45679" t="s">
        <v>5409</v>
      </c>
      <c r="E45679" t="s">
        <v>9670</v>
      </c>
      <c r="F45679" t="s">
        <v>14288</v>
      </c>
      <c r="G45679" t="s">
        <v>16823</v>
      </c>
      <c r="H45679" t="s">
        <v>36676</v>
      </c>
    </row>
    <row r="45680" spans="1:8">
      <c r="F45680" t="s">
        <v>13229</v>
      </c>
      <c r="G45680" t="s">
        <v>17370</v>
      </c>
      <c r="H45680" t="s">
        <v>36677</v>
      </c>
    </row>
    <row r="45681" spans="1:8">
      <c r="A45681" t="s">
        <v>3982</v>
      </c>
      <c r="B45681">
        <f>HYPERLINK("https://android.googlesource.com/platform/cts/+/c72e392a578ee108c35d810e58ba0d4a768fc5e4", "c72e392a578ee108c35d810e58ba0d4a768fc5e4")</f>
        <v>0</v>
      </c>
      <c r="C45681">
        <f>HYPERLINK("https://android.googlesource.com/platform/cts/+/b617825c0d3ae2dc4ddbffac91a8861fa6beaae1", "b617825c0d3ae2dc4ddbffac91a8861fa6beaae1")</f>
        <v>0</v>
      </c>
      <c r="D45681" t="s">
        <v>5409</v>
      </c>
      <c r="E45681" t="s">
        <v>9671</v>
      </c>
      <c r="F45681" t="s">
        <v>13229</v>
      </c>
      <c r="G45681" t="s">
        <v>17370</v>
      </c>
      <c r="H45681" t="s">
        <v>36678</v>
      </c>
    </row>
    <row r="45682" spans="1:8">
      <c r="A45682" t="s">
        <v>3983</v>
      </c>
      <c r="B45682">
        <f>HYPERLINK("https://android.googlesource.com/platform/cts/+/1c17d7aceb6de02d31f0e20ef1d479e524ebecb3", "1c17d7aceb6de02d31f0e20ef1d479e524ebecb3")</f>
        <v>0</v>
      </c>
      <c r="C45682">
        <f>HYPERLINK("https://android.googlesource.com/platform/cts/+/6836f03faf3287cbfb88dcb6cf6a77badb7cbdea", "6836f03faf3287cbfb88dcb6cf6a77badb7cbdea")</f>
        <v>0</v>
      </c>
      <c r="D45682" t="s">
        <v>5438</v>
      </c>
      <c r="E45682" t="s">
        <v>9672</v>
      </c>
      <c r="F45682" t="s">
        <v>14548</v>
      </c>
      <c r="G45682" t="s">
        <v>18471</v>
      </c>
      <c r="H45682" t="s">
        <v>32363</v>
      </c>
    </row>
    <row r="45683" spans="1:8">
      <c r="H45683" t="s">
        <v>36679</v>
      </c>
    </row>
    <row r="45684" spans="1:8">
      <c r="H45684" t="s">
        <v>33027</v>
      </c>
    </row>
    <row r="45685" spans="1:8">
      <c r="H45685" t="s">
        <v>36680</v>
      </c>
    </row>
    <row r="45686" spans="1:8">
      <c r="H45686" t="s">
        <v>36681</v>
      </c>
    </row>
    <row r="45687" spans="1:8">
      <c r="H45687" t="s">
        <v>36682</v>
      </c>
    </row>
    <row r="45688" spans="1:8">
      <c r="H45688" t="s">
        <v>36683</v>
      </c>
    </row>
    <row r="45689" spans="1:8">
      <c r="H45689" t="s">
        <v>36684</v>
      </c>
    </row>
    <row r="45690" spans="1:8">
      <c r="H45690" t="s">
        <v>34939</v>
      </c>
    </row>
    <row r="45691" spans="1:8">
      <c r="H45691" t="s">
        <v>36685</v>
      </c>
    </row>
    <row r="45692" spans="1:8">
      <c r="H45692" t="s">
        <v>36686</v>
      </c>
    </row>
    <row r="45693" spans="1:8">
      <c r="H45693" t="s">
        <v>19001</v>
      </c>
    </row>
    <row r="45694" spans="1:8">
      <c r="A45694" t="s">
        <v>3984</v>
      </c>
      <c r="B45694">
        <f>HYPERLINK("https://android.googlesource.com/platform/cts/+/6f26d026535eb7e9e0521be5c2a810498985f0a5", "6f26d026535eb7e9e0521be5c2a810498985f0a5")</f>
        <v>0</v>
      </c>
      <c r="C45694">
        <f>HYPERLINK("https://android.googlesource.com/platform/cts/+/d6af77d19233a9ef9cf550f8e720442e678b5962", "d6af77d19233a9ef9cf550f8e720442e678b5962")</f>
        <v>0</v>
      </c>
      <c r="D45694" t="s">
        <v>5467</v>
      </c>
      <c r="E45694" t="s">
        <v>9673</v>
      </c>
      <c r="F45694" t="s">
        <v>14177</v>
      </c>
      <c r="G45694" t="s">
        <v>18158</v>
      </c>
      <c r="H45694" t="s">
        <v>36651</v>
      </c>
    </row>
    <row r="45695" spans="1:8">
      <c r="A45695" t="s">
        <v>3985</v>
      </c>
      <c r="B45695">
        <f>HYPERLINK("https://android.googlesource.com/platform/cts/+/73ef3fb7a0c675826b81ee2547cd860b1796b7e0", "73ef3fb7a0c675826b81ee2547cd860b1796b7e0")</f>
        <v>0</v>
      </c>
      <c r="C45695">
        <f>HYPERLINK("https://android.googlesource.com/platform/cts/+/bb207989733952563c83deec304be828b5b37e25", "bb207989733952563c83deec304be828b5b37e25")</f>
        <v>0</v>
      </c>
      <c r="D45695" t="s">
        <v>5409</v>
      </c>
      <c r="E45695" t="s">
        <v>9674</v>
      </c>
      <c r="F45695" t="s">
        <v>14288</v>
      </c>
      <c r="G45695" t="s">
        <v>16823</v>
      </c>
      <c r="H45695" t="s">
        <v>36687</v>
      </c>
    </row>
    <row r="45696" spans="1:8">
      <c r="H45696" t="s">
        <v>36688</v>
      </c>
    </row>
    <row r="45697" spans="1:8">
      <c r="A45697" t="s">
        <v>3986</v>
      </c>
      <c r="B45697">
        <f>HYPERLINK("https://android.googlesource.com/platform/cts/+/d44094511ef6abf261841c7380bafb610b01a5af", "d44094511ef6abf261841c7380bafb610b01a5af")</f>
        <v>0</v>
      </c>
      <c r="C45697">
        <f>HYPERLINK("https://android.googlesource.com/platform/cts/+/88e3aa3f95450120fc231f7ab3639a23620a2e49", "88e3aa3f95450120fc231f7ab3639a23620a2e49")</f>
        <v>0</v>
      </c>
      <c r="D45697" t="s">
        <v>5134</v>
      </c>
      <c r="E45697" t="s">
        <v>9675</v>
      </c>
      <c r="F45697" t="s">
        <v>12428</v>
      </c>
      <c r="G45697" t="s">
        <v>16619</v>
      </c>
      <c r="H45697" t="s">
        <v>36689</v>
      </c>
    </row>
    <row r="45698" spans="1:8">
      <c r="A45698" t="s">
        <v>3987</v>
      </c>
      <c r="B45698">
        <f>HYPERLINK("https://android.googlesource.com/platform/cts/+/0b61e8e11d8ce7f23ce194801abc84f0109106da", "0b61e8e11d8ce7f23ce194801abc84f0109106da")</f>
        <v>0</v>
      </c>
      <c r="C45698">
        <f>HYPERLINK("https://android.googlesource.com/platform/cts/+/bb207989733952563c83deec304be828b5b37e25", "bb207989733952563c83deec304be828b5b37e25")</f>
        <v>0</v>
      </c>
      <c r="D45698" t="s">
        <v>5189</v>
      </c>
      <c r="E45698" t="s">
        <v>9676</v>
      </c>
      <c r="F45698" t="s">
        <v>14561</v>
      </c>
      <c r="G45698" t="s">
        <v>18483</v>
      </c>
      <c r="H45698" t="s">
        <v>18829</v>
      </c>
    </row>
    <row r="45699" spans="1:8">
      <c r="H45699" t="s">
        <v>36690</v>
      </c>
    </row>
    <row r="45700" spans="1:8">
      <c r="H45700" t="s">
        <v>36691</v>
      </c>
    </row>
    <row r="45701" spans="1:8">
      <c r="H45701" t="s">
        <v>36692</v>
      </c>
    </row>
    <row r="45702" spans="1:8">
      <c r="H45702" t="s">
        <v>36693</v>
      </c>
    </row>
    <row r="45703" spans="1:8">
      <c r="H45703" t="s">
        <v>36694</v>
      </c>
    </row>
    <row r="45704" spans="1:8">
      <c r="H45704" t="s">
        <v>36695</v>
      </c>
    </row>
    <row r="45705" spans="1:8">
      <c r="F45705" t="s">
        <v>14122</v>
      </c>
      <c r="G45705" t="s">
        <v>18112</v>
      </c>
      <c r="H45705" t="s">
        <v>36696</v>
      </c>
    </row>
    <row r="45706" spans="1:8">
      <c r="A45706" t="s">
        <v>3988</v>
      </c>
      <c r="B45706">
        <f>HYPERLINK("https://android.googlesource.com/platform/cts/+/d8ea19ef288b216d10b2e9ecd4b5625a19965d27", "d8ea19ef288b216d10b2e9ecd4b5625a19965d27")</f>
        <v>0</v>
      </c>
      <c r="C45706">
        <f>HYPERLINK("https://android.googlesource.com/platform/cts/+/b74a2c82db4f3a30a8fc2e66ff743cbfbbe59ef2", "b74a2c82db4f3a30a8fc2e66ff743cbfbbe59ef2")</f>
        <v>0</v>
      </c>
      <c r="D45706" t="s">
        <v>5389</v>
      </c>
      <c r="E45706" t="s">
        <v>9677</v>
      </c>
      <c r="F45706" t="s">
        <v>14562</v>
      </c>
      <c r="G45706" t="s">
        <v>18484</v>
      </c>
      <c r="H45706" t="s">
        <v>36697</v>
      </c>
    </row>
    <row r="45707" spans="1:8">
      <c r="H45707" t="s">
        <v>36698</v>
      </c>
    </row>
    <row r="45708" spans="1:8">
      <c r="A45708" t="s">
        <v>3989</v>
      </c>
      <c r="B45708">
        <f>HYPERLINK("https://android.googlesource.com/platform/cts/+/8f869bdcbfbb654deca3922e59ee692c66746ad1", "8f869bdcbfbb654deca3922e59ee692c66746ad1")</f>
        <v>0</v>
      </c>
      <c r="C45708">
        <f>HYPERLINK("https://android.googlesource.com/platform/cts/+/8d9d2d19e0b77db9dfeb9d3dc0453be602fac546", "8d9d2d19e0b77db9dfeb9d3dc0453be602fac546")</f>
        <v>0</v>
      </c>
      <c r="D45708" t="s">
        <v>5277</v>
      </c>
      <c r="E45708" t="s">
        <v>9678</v>
      </c>
      <c r="F45708" t="s">
        <v>13912</v>
      </c>
      <c r="G45708" t="s">
        <v>17949</v>
      </c>
      <c r="H45708" t="s">
        <v>36699</v>
      </c>
    </row>
    <row r="45709" spans="1:8">
      <c r="A45709" t="s">
        <v>3990</v>
      </c>
      <c r="B45709">
        <f>HYPERLINK("https://android.googlesource.com/platform/cts/+/7c80c698f1db290fda5f79fb3b59fdbb5695397b", "7c80c698f1db290fda5f79fb3b59fdbb5695397b")</f>
        <v>0</v>
      </c>
      <c r="C45709">
        <f>HYPERLINK("https://android.googlesource.com/platform/cts/+/e8378ac231d78069d3642f1a62f8a1eb01b8afbe", "e8378ac231d78069d3642f1a62f8a1eb01b8afbe")</f>
        <v>0</v>
      </c>
      <c r="D45709" t="s">
        <v>5520</v>
      </c>
      <c r="E45709" t="s">
        <v>9679</v>
      </c>
      <c r="F45709" t="s">
        <v>14563</v>
      </c>
      <c r="G45709" t="s">
        <v>18409</v>
      </c>
      <c r="H45709" t="s">
        <v>36700</v>
      </c>
    </row>
    <row r="45710" spans="1:8">
      <c r="H45710" t="s">
        <v>36701</v>
      </c>
    </row>
    <row r="45711" spans="1:8">
      <c r="H45711" t="s">
        <v>36702</v>
      </c>
    </row>
    <row r="45712" spans="1:8">
      <c r="A45712" t="s">
        <v>3991</v>
      </c>
      <c r="B45712">
        <f>HYPERLINK("https://android.googlesource.com/platform/cts/+/f262890a4e58085b81f8c3ca72087de35c8e9370", "f262890a4e58085b81f8c3ca72087de35c8e9370")</f>
        <v>0</v>
      </c>
      <c r="C45712">
        <f>HYPERLINK("https://android.googlesource.com/platform/cts/+/10060c45baf30f53ae900c0f07777bc358e5f651", "10060c45baf30f53ae900c0f07777bc358e5f651")</f>
        <v>0</v>
      </c>
      <c r="D45712" t="s">
        <v>5454</v>
      </c>
      <c r="E45712" t="s">
        <v>9680</v>
      </c>
      <c r="F45712" t="s">
        <v>14124</v>
      </c>
      <c r="G45712" t="s">
        <v>18114</v>
      </c>
      <c r="H45712" t="s">
        <v>34236</v>
      </c>
    </row>
    <row r="45713" spans="1:8">
      <c r="A45713" t="s">
        <v>3992</v>
      </c>
      <c r="B45713">
        <f>HYPERLINK("https://android.googlesource.com/platform/cts/+/f427ddbad01aee1673ed6544fe00d925c3a0a23b", "f427ddbad01aee1673ed6544fe00d925c3a0a23b")</f>
        <v>0</v>
      </c>
      <c r="C45713">
        <f>HYPERLINK("https://android.googlesource.com/platform/cts/+/00b9d2c21d7dc282db6f43954a615d9281f31b75", "00b9d2c21d7dc282db6f43954a615d9281f31b75")</f>
        <v>0</v>
      </c>
      <c r="D45713" t="s">
        <v>5344</v>
      </c>
      <c r="E45713" t="s">
        <v>9681</v>
      </c>
      <c r="F45713" t="s">
        <v>14472</v>
      </c>
      <c r="G45713" t="s">
        <v>18404</v>
      </c>
      <c r="H45713" t="s">
        <v>36703</v>
      </c>
    </row>
    <row r="45714" spans="1:8">
      <c r="A45714" t="s">
        <v>3993</v>
      </c>
      <c r="B45714">
        <f>HYPERLINK("https://android.googlesource.com/platform/cts/+/3c0aed7e969db154bca39582803623e6a0937427", "3c0aed7e969db154bca39582803623e6a0937427")</f>
        <v>0</v>
      </c>
      <c r="C45714">
        <f>HYPERLINK("https://android.googlesource.com/platform/cts/+/78d29f78bfb4ed2c1efa49a1d3d1993572a0cf5a", "78d29f78bfb4ed2c1efa49a1d3d1993572a0cf5a")</f>
        <v>0</v>
      </c>
      <c r="D45714" t="s">
        <v>5501</v>
      </c>
      <c r="E45714" t="s">
        <v>9682</v>
      </c>
      <c r="F45714" t="s">
        <v>14207</v>
      </c>
      <c r="G45714" t="s">
        <v>18183</v>
      </c>
      <c r="H45714" t="s">
        <v>36704</v>
      </c>
    </row>
    <row r="45715" spans="1:8">
      <c r="H45715" t="s">
        <v>36705</v>
      </c>
    </row>
    <row r="45716" spans="1:8">
      <c r="H45716" t="s">
        <v>36706</v>
      </c>
    </row>
    <row r="45717" spans="1:8">
      <c r="H45717" t="s">
        <v>36707</v>
      </c>
    </row>
    <row r="45718" spans="1:8">
      <c r="F45718" t="s">
        <v>14208</v>
      </c>
      <c r="G45718" t="s">
        <v>18184</v>
      </c>
      <c r="H45718" t="s">
        <v>34044</v>
      </c>
    </row>
    <row r="45719" spans="1:8">
      <c r="A45719" t="s">
        <v>3994</v>
      </c>
      <c r="B45719">
        <f>HYPERLINK("https://android.googlesource.com/platform/cts/+/3bc123cd9dbf8b6e05c6ef1e6d69b71bd982bfb6", "3bc123cd9dbf8b6e05c6ef1e6d69b71bd982bfb6")</f>
        <v>0</v>
      </c>
      <c r="C45719">
        <f>HYPERLINK("https://android.googlesource.com/platform/cts/+/5cc331ecf031cec9fb46eab8fca4bded3f459899", "5cc331ecf031cec9fb46eab8fca4bded3f459899")</f>
        <v>0</v>
      </c>
      <c r="D45719" t="s">
        <v>4981</v>
      </c>
      <c r="E45719" t="s">
        <v>9683</v>
      </c>
      <c r="F45719" t="s">
        <v>14384</v>
      </c>
      <c r="G45719" t="s">
        <v>18328</v>
      </c>
      <c r="H45719" t="s">
        <v>36708</v>
      </c>
    </row>
    <row r="45720" spans="1:8">
      <c r="H45720" t="s">
        <v>36709</v>
      </c>
    </row>
    <row r="45721" spans="1:8">
      <c r="H45721" t="s">
        <v>36710</v>
      </c>
    </row>
    <row r="45722" spans="1:8">
      <c r="F45722" t="s">
        <v>14514</v>
      </c>
      <c r="G45722" t="s">
        <v>18441</v>
      </c>
      <c r="H45722" t="s">
        <v>36711</v>
      </c>
    </row>
    <row r="45723" spans="1:8">
      <c r="A45723" t="s">
        <v>3995</v>
      </c>
      <c r="B45723">
        <f>HYPERLINK("https://android.googlesource.com/platform/cts/+/5a7ff81ae9667670ccb056540666e9a9cecaf63e", "5a7ff81ae9667670ccb056540666e9a9cecaf63e")</f>
        <v>0</v>
      </c>
      <c r="C45723">
        <f>HYPERLINK("https://android.googlesource.com/platform/cts/+/9e4fd04dbeebd9915f8c0c39c83e4c1b1b6f1f4c", "9e4fd04dbeebd9915f8c0c39c83e4c1b1b6f1f4c")</f>
        <v>0</v>
      </c>
      <c r="D45723" t="s">
        <v>5616</v>
      </c>
      <c r="E45723" t="s">
        <v>9684</v>
      </c>
      <c r="F45723" t="s">
        <v>14549</v>
      </c>
      <c r="G45723" t="s">
        <v>18472</v>
      </c>
      <c r="H45723" t="s">
        <v>36712</v>
      </c>
    </row>
    <row r="45724" spans="1:8">
      <c r="H45724" t="s">
        <v>36713</v>
      </c>
    </row>
    <row r="45725" spans="1:8">
      <c r="A45725" t="s">
        <v>3996</v>
      </c>
      <c r="B45725">
        <f>HYPERLINK("https://android.googlesource.com/platform/cts/+/508fa7b6eeccfaed824f15bf21374d7d5a3a0654", "508fa7b6eeccfaed824f15bf21374d7d5a3a0654")</f>
        <v>0</v>
      </c>
      <c r="C45725">
        <f>HYPERLINK("https://android.googlesource.com/platform/cts/+/44759aad42644f2328a7a96757bc043cabf9629d", "44759aad42644f2328a7a96757bc043cabf9629d")</f>
        <v>0</v>
      </c>
      <c r="D45725" t="s">
        <v>5451</v>
      </c>
      <c r="E45725" t="s">
        <v>9685</v>
      </c>
      <c r="F45725" t="s">
        <v>14560</v>
      </c>
      <c r="G45725" t="s">
        <v>18482</v>
      </c>
      <c r="H45725" t="s">
        <v>36652</v>
      </c>
    </row>
    <row r="45726" spans="1:8">
      <c r="H45726" t="s">
        <v>36653</v>
      </c>
    </row>
    <row r="45727" spans="1:8">
      <c r="H45727" t="s">
        <v>36654</v>
      </c>
    </row>
    <row r="45728" spans="1:8">
      <c r="H45728" t="s">
        <v>36655</v>
      </c>
    </row>
    <row r="45729" spans="1:8">
      <c r="H45729" t="s">
        <v>36656</v>
      </c>
    </row>
    <row r="45730" spans="1:8">
      <c r="F45730" t="s">
        <v>14123</v>
      </c>
      <c r="G45730" t="s">
        <v>18113</v>
      </c>
      <c r="H45730" t="s">
        <v>36657</v>
      </c>
    </row>
    <row r="45731" spans="1:8">
      <c r="A45731" t="s">
        <v>3997</v>
      </c>
      <c r="B45731">
        <f>HYPERLINK("https://android.googlesource.com/platform/cts/+/1922998a79f2412d331cb3ae6395e9d8a85944d5", "1922998a79f2412d331cb3ae6395e9d8a85944d5")</f>
        <v>0</v>
      </c>
      <c r="C45731">
        <f>HYPERLINK("https://android.googlesource.com/platform/cts/+/8e66e6db44088ad90cf72f6dd3f86ab978112130", "8e66e6db44088ad90cf72f6dd3f86ab978112130")</f>
        <v>0</v>
      </c>
      <c r="D45731" t="s">
        <v>5404</v>
      </c>
      <c r="E45731" t="s">
        <v>9686</v>
      </c>
      <c r="F45731" t="s">
        <v>14564</v>
      </c>
      <c r="G45731" t="s">
        <v>18485</v>
      </c>
      <c r="H45731" t="s">
        <v>36714</v>
      </c>
    </row>
    <row r="45732" spans="1:8">
      <c r="H45732" t="s">
        <v>36715</v>
      </c>
    </row>
    <row r="45733" spans="1:8">
      <c r="H45733" t="s">
        <v>36716</v>
      </c>
    </row>
    <row r="45734" spans="1:8">
      <c r="H45734" t="s">
        <v>36717</v>
      </c>
    </row>
    <row r="45735" spans="1:8">
      <c r="H45735" t="s">
        <v>36718</v>
      </c>
    </row>
    <row r="45736" spans="1:8">
      <c r="H45736" t="s">
        <v>36719</v>
      </c>
    </row>
    <row r="45737" spans="1:8">
      <c r="H45737" t="s">
        <v>36719</v>
      </c>
    </row>
    <row r="45738" spans="1:8">
      <c r="H45738" t="s">
        <v>36719</v>
      </c>
    </row>
    <row r="45739" spans="1:8">
      <c r="A45739" t="s">
        <v>3998</v>
      </c>
      <c r="B45739">
        <f>HYPERLINK("https://android.googlesource.com/platform/cts/+/57cf825f0baa3d0e143f7fe5d5a804b0a23a1763", "57cf825f0baa3d0e143f7fe5d5a804b0a23a1763")</f>
        <v>0</v>
      </c>
      <c r="C45739">
        <f>HYPERLINK("https://android.googlesource.com/platform/cts/+/3a3f0b0def9c9fcc9c40bff93e649d06c2ff79ac", "3a3f0b0def9c9fcc9c40bff93e649d06c2ff79ac")</f>
        <v>0</v>
      </c>
      <c r="D45739" t="s">
        <v>5315</v>
      </c>
      <c r="E45739" t="s">
        <v>9687</v>
      </c>
      <c r="F45739" t="s">
        <v>13463</v>
      </c>
      <c r="G45739" t="s">
        <v>17582</v>
      </c>
      <c r="H45739" t="s">
        <v>19233</v>
      </c>
    </row>
    <row r="45740" spans="1:8">
      <c r="H45740" t="s">
        <v>19232</v>
      </c>
    </row>
    <row r="45741" spans="1:8">
      <c r="A45741" t="s">
        <v>3999</v>
      </c>
      <c r="B45741">
        <f>HYPERLINK("https://android.googlesource.com/platform/cts/+/d557b424d248d168184afa8ced9bba58925cd4c0", "d557b424d248d168184afa8ced9bba58925cd4c0")</f>
        <v>0</v>
      </c>
      <c r="C45741">
        <f>HYPERLINK("https://android.googlesource.com/platform/cts/+/b5e5a0112da5035900899a0baa6293c2aa50dff4", "b5e5a0112da5035900899a0baa6293c2aa50dff4")</f>
        <v>0</v>
      </c>
      <c r="D45741" t="s">
        <v>5134</v>
      </c>
      <c r="E45741" t="s">
        <v>9688</v>
      </c>
      <c r="F45741" t="s">
        <v>13135</v>
      </c>
      <c r="G45741" t="s">
        <v>16874</v>
      </c>
      <c r="H45741" t="s">
        <v>18829</v>
      </c>
    </row>
    <row r="45742" spans="1:8">
      <c r="A45742" t="s">
        <v>4000</v>
      </c>
      <c r="B45742">
        <f>HYPERLINK("https://android.googlesource.com/platform/cts/+/76c3da108770f272bc2e110298483e7cca29248f", "76c3da108770f272bc2e110298483e7cca29248f")</f>
        <v>0</v>
      </c>
      <c r="C45742">
        <f>HYPERLINK("https://android.googlesource.com/platform/cts/+/fc8af023273af221f96bd49b5b456f48529071bb", "fc8af023273af221f96bd49b5b456f48529071bb")</f>
        <v>0</v>
      </c>
      <c r="D45742" t="s">
        <v>5481</v>
      </c>
      <c r="E45742" t="s">
        <v>9689</v>
      </c>
      <c r="F45742" t="s">
        <v>14408</v>
      </c>
      <c r="G45742" t="s">
        <v>18346</v>
      </c>
      <c r="H45742" t="s">
        <v>35824</v>
      </c>
    </row>
    <row r="45743" spans="1:8">
      <c r="H45743" t="s">
        <v>35825</v>
      </c>
    </row>
    <row r="45744" spans="1:8">
      <c r="H45744" t="s">
        <v>35826</v>
      </c>
    </row>
    <row r="45745" spans="1:8">
      <c r="F45745" t="s">
        <v>14409</v>
      </c>
      <c r="G45745" t="s">
        <v>18347</v>
      </c>
      <c r="H45745" t="s">
        <v>35824</v>
      </c>
    </row>
    <row r="45746" spans="1:8">
      <c r="H45746" t="s">
        <v>35825</v>
      </c>
    </row>
    <row r="45747" spans="1:8">
      <c r="H45747" t="s">
        <v>35826</v>
      </c>
    </row>
    <row r="45748" spans="1:8">
      <c r="H45748" t="s">
        <v>36720</v>
      </c>
    </row>
    <row r="45749" spans="1:8">
      <c r="H45749" t="s">
        <v>35830</v>
      </c>
    </row>
    <row r="45750" spans="1:8">
      <c r="A45750" t="s">
        <v>4001</v>
      </c>
      <c r="B45750">
        <f>HYPERLINK("https://android.googlesource.com/platform/cts/+/d3eff39a6ca28394d66e917b4087c962f2c7d6a0", "d3eff39a6ca28394d66e917b4087c962f2c7d6a0")</f>
        <v>0</v>
      </c>
      <c r="C45750">
        <f>HYPERLINK("https://android.googlesource.com/platform/cts/+/03312c2012be9a8fe1f49a4148333bfb1ad43bc3", "03312c2012be9a8fe1f49a4148333bfb1ad43bc3")</f>
        <v>0</v>
      </c>
      <c r="D45750" t="s">
        <v>5520</v>
      </c>
      <c r="E45750" t="s">
        <v>9690</v>
      </c>
      <c r="F45750" t="s">
        <v>14563</v>
      </c>
      <c r="G45750" t="s">
        <v>18409</v>
      </c>
      <c r="H45750" t="s">
        <v>36721</v>
      </c>
    </row>
    <row r="45751" spans="1:8">
      <c r="A45751" t="s">
        <v>4002</v>
      </c>
      <c r="B45751">
        <f>HYPERLINK("https://android.googlesource.com/platform/cts/+/8277bbafcbea38acc4b788a941a8b0280fe48c45", "8277bbafcbea38acc4b788a941a8b0280fe48c45")</f>
        <v>0</v>
      </c>
      <c r="C45751">
        <f>HYPERLINK("https://android.googlesource.com/platform/cts/+/29172309bbf6435784e3b958a24f697f5136715a", "29172309bbf6435784e3b958a24f697f5136715a")</f>
        <v>0</v>
      </c>
      <c r="D45751" t="s">
        <v>5428</v>
      </c>
      <c r="E45751" t="s">
        <v>9691</v>
      </c>
      <c r="F45751" t="s">
        <v>14430</v>
      </c>
      <c r="G45751" t="s">
        <v>18367</v>
      </c>
      <c r="H45751" t="s">
        <v>36609</v>
      </c>
    </row>
    <row r="45752" spans="1:8">
      <c r="H45752" t="s">
        <v>36610</v>
      </c>
    </row>
    <row r="45753" spans="1:8">
      <c r="H45753" t="s">
        <v>36611</v>
      </c>
    </row>
    <row r="45754" spans="1:8">
      <c r="H45754" t="s">
        <v>36612</v>
      </c>
    </row>
    <row r="45755" spans="1:8">
      <c r="F45755" t="s">
        <v>14431</v>
      </c>
      <c r="G45755" t="s">
        <v>18368</v>
      </c>
      <c r="H45755" t="s">
        <v>36613</v>
      </c>
    </row>
    <row r="45756" spans="1:8">
      <c r="H45756" t="s">
        <v>36614</v>
      </c>
    </row>
    <row r="45757" spans="1:8">
      <c r="H45757" t="s">
        <v>36615</v>
      </c>
    </row>
    <row r="45758" spans="1:8">
      <c r="H45758" t="s">
        <v>36616</v>
      </c>
    </row>
    <row r="45759" spans="1:8">
      <c r="H45759" t="s">
        <v>36617</v>
      </c>
    </row>
    <row r="45760" spans="1:8">
      <c r="H45760" t="s">
        <v>36618</v>
      </c>
    </row>
    <row r="45761" spans="1:8">
      <c r="A45761" t="s">
        <v>4003</v>
      </c>
      <c r="B45761">
        <f>HYPERLINK("https://android.googlesource.com/platform/cts/+/90000c20030008d737f6ee65c81c8393e45194fe", "90000c20030008d737f6ee65c81c8393e45194fe")</f>
        <v>0</v>
      </c>
      <c r="C45761">
        <f>HYPERLINK("https://android.googlesource.com/platform/cts/+/e93a641857a9bb1fee90baa6cbba021807e53001", "e93a641857a9bb1fee90baa6cbba021807e53001")</f>
        <v>0</v>
      </c>
      <c r="D45761" t="s">
        <v>5409</v>
      </c>
      <c r="E45761" t="s">
        <v>9692</v>
      </c>
      <c r="F45761" t="s">
        <v>14462</v>
      </c>
      <c r="G45761" t="s">
        <v>18326</v>
      </c>
      <c r="H45761" t="s">
        <v>36722</v>
      </c>
    </row>
    <row r="45762" spans="1:8">
      <c r="H45762" t="s">
        <v>36723</v>
      </c>
    </row>
    <row r="45763" spans="1:8">
      <c r="H45763" t="s">
        <v>36724</v>
      </c>
    </row>
    <row r="45764" spans="1:8">
      <c r="H45764" t="s">
        <v>36725</v>
      </c>
    </row>
    <row r="45765" spans="1:8">
      <c r="H45765" t="s">
        <v>36726</v>
      </c>
    </row>
    <row r="45766" spans="1:8">
      <c r="H45766" t="s">
        <v>36727</v>
      </c>
    </row>
    <row r="45767" spans="1:8">
      <c r="H45767" t="s">
        <v>36728</v>
      </c>
    </row>
    <row r="45768" spans="1:8">
      <c r="H45768" t="s">
        <v>36729</v>
      </c>
    </row>
    <row r="45769" spans="1:8">
      <c r="A45769" t="s">
        <v>4004</v>
      </c>
      <c r="B45769">
        <f>HYPERLINK("https://android.googlesource.com/platform/cts/+/3e430f34b417a246fec3be79828f16d2947d5d96", "3e430f34b417a246fec3be79828f16d2947d5d96")</f>
        <v>0</v>
      </c>
      <c r="C45769">
        <f>HYPERLINK("https://android.googlesource.com/platform/cts/+/62ccea72b764ba0504c42f4c1af66ac341babee8", "62ccea72b764ba0504c42f4c1af66ac341babee8")</f>
        <v>0</v>
      </c>
      <c r="D45769" t="s">
        <v>5481</v>
      </c>
      <c r="E45769" t="s">
        <v>9693</v>
      </c>
      <c r="F45769" t="s">
        <v>14408</v>
      </c>
      <c r="G45769" t="s">
        <v>18346</v>
      </c>
      <c r="H45769" t="s">
        <v>36730</v>
      </c>
    </row>
    <row r="45770" spans="1:8">
      <c r="H45770" t="s">
        <v>36731</v>
      </c>
    </row>
    <row r="45771" spans="1:8">
      <c r="F45771" t="s">
        <v>14409</v>
      </c>
      <c r="G45771" t="s">
        <v>18347</v>
      </c>
      <c r="H45771" t="s">
        <v>36730</v>
      </c>
    </row>
    <row r="45772" spans="1:8">
      <c r="H45772" t="s">
        <v>36731</v>
      </c>
    </row>
    <row r="45773" spans="1:8">
      <c r="A45773" t="s">
        <v>4005</v>
      </c>
      <c r="B45773">
        <f>HYPERLINK("https://android.googlesource.com/platform/cts/+/d1cce47035b827bfa05746ab6d0c7cfed2812d67", "d1cce47035b827bfa05746ab6d0c7cfed2812d67")</f>
        <v>0</v>
      </c>
      <c r="C45773">
        <f>HYPERLINK("https://android.googlesource.com/platform/cts/+/b46e16b9dcb73ea672792315ca6a309fe82a591d", "b46e16b9dcb73ea672792315ca6a309fe82a591d")</f>
        <v>0</v>
      </c>
      <c r="D45773" t="s">
        <v>5650</v>
      </c>
      <c r="E45773" t="s">
        <v>9694</v>
      </c>
      <c r="F45773" t="s">
        <v>13026</v>
      </c>
      <c r="G45773" t="s">
        <v>17190</v>
      </c>
      <c r="H45773" t="s">
        <v>36732</v>
      </c>
    </row>
    <row r="45774" spans="1:8">
      <c r="A45774" t="s">
        <v>4006</v>
      </c>
      <c r="B45774">
        <f>HYPERLINK("https://android.googlesource.com/platform/cts/+/a04d6480062c773f3ec39059984e9fadfb085046", "a04d6480062c773f3ec39059984e9fadfb085046")</f>
        <v>0</v>
      </c>
      <c r="C45774">
        <f>HYPERLINK("https://android.googlesource.com/platform/cts/+/7664217338131316354a46ffe5f7591684f295f4", "7664217338131316354a46ffe5f7591684f295f4")</f>
        <v>0</v>
      </c>
      <c r="D45774" t="s">
        <v>5635</v>
      </c>
      <c r="E45774" t="s">
        <v>9695</v>
      </c>
      <c r="F45774" t="s">
        <v>14524</v>
      </c>
      <c r="G45774" t="s">
        <v>18451</v>
      </c>
      <c r="H45774" t="s">
        <v>36733</v>
      </c>
    </row>
    <row r="45775" spans="1:8">
      <c r="A45775" t="s">
        <v>4007</v>
      </c>
      <c r="B45775">
        <f>HYPERLINK("https://android.googlesource.com/platform/cts/+/877369606b43987d33c7bd79e36bbbd28393aad7", "877369606b43987d33c7bd79e36bbbd28393aad7")</f>
        <v>0</v>
      </c>
      <c r="C45775">
        <f>HYPERLINK("https://android.googlesource.com/platform/cts/+/0563cc2ea1665ea784f6f4c33d61b4dba2f1d90a", "0563cc2ea1665ea784f6f4c33d61b4dba2f1d90a")</f>
        <v>0</v>
      </c>
      <c r="D45775" t="s">
        <v>5635</v>
      </c>
      <c r="E45775" t="s">
        <v>9696</v>
      </c>
      <c r="F45775" t="s">
        <v>14524</v>
      </c>
      <c r="G45775" t="s">
        <v>18451</v>
      </c>
      <c r="H45775" t="s">
        <v>36733</v>
      </c>
    </row>
    <row r="45776" spans="1:8">
      <c r="A45776" t="s">
        <v>4008</v>
      </c>
      <c r="B45776">
        <f>HYPERLINK("https://android.googlesource.com/platform/cts/+/3fa67914753253c5ab6f04b9e7d8392e3bebcbdd", "3fa67914753253c5ab6f04b9e7d8392e3bebcbdd")</f>
        <v>0</v>
      </c>
      <c r="C45776">
        <f>HYPERLINK("https://android.googlesource.com/platform/cts/+/377e15b74624e79e5047709d9a04c6f0185bdf61", "377e15b74624e79e5047709d9a04c6f0185bdf61")</f>
        <v>0</v>
      </c>
      <c r="D45776" t="s">
        <v>5244</v>
      </c>
      <c r="E45776" t="s">
        <v>9697</v>
      </c>
      <c r="F45776" t="s">
        <v>14565</v>
      </c>
      <c r="G45776" t="s">
        <v>18486</v>
      </c>
      <c r="H45776" t="s">
        <v>36734</v>
      </c>
    </row>
    <row r="45777" spans="1:8">
      <c r="A45777" t="s">
        <v>4009</v>
      </c>
      <c r="B45777">
        <f>HYPERLINK("https://android.googlesource.com/platform/cts/+/b202b84b19f4799a9acc7e2ff8bd8875ba52a4f2", "b202b84b19f4799a9acc7e2ff8bd8875ba52a4f2")</f>
        <v>0</v>
      </c>
      <c r="C45777">
        <f>HYPERLINK("https://android.googlesource.com/platform/cts/+/06f4ef2c067ae80b51db03ba2a3040202e6807fc", "06f4ef2c067ae80b51db03ba2a3040202e6807fc")</f>
        <v>0</v>
      </c>
      <c r="D45777" t="s">
        <v>5651</v>
      </c>
      <c r="E45777" t="s">
        <v>9698</v>
      </c>
      <c r="F45777" t="s">
        <v>14559</v>
      </c>
      <c r="G45777" t="s">
        <v>18481</v>
      </c>
      <c r="H45777" t="s">
        <v>36644</v>
      </c>
    </row>
    <row r="45778" spans="1:8">
      <c r="A45778" t="s">
        <v>4010</v>
      </c>
      <c r="B45778">
        <f>HYPERLINK("https://android.googlesource.com/platform/cts/+/65a4670def89b344da29c033e1009e3c24da03b9", "65a4670def89b344da29c033e1009e3c24da03b9")</f>
        <v>0</v>
      </c>
      <c r="C45778">
        <f>HYPERLINK("https://android.googlesource.com/platform/cts/+/da4e96bdb8887291d368ab1d652c663e4b97e156", "da4e96bdb8887291d368ab1d652c663e4b97e156")</f>
        <v>0</v>
      </c>
      <c r="D45778" t="s">
        <v>5626</v>
      </c>
      <c r="E45778" t="s">
        <v>9699</v>
      </c>
      <c r="F45778" t="s">
        <v>14566</v>
      </c>
      <c r="G45778" t="s">
        <v>18487</v>
      </c>
      <c r="H45778" t="s">
        <v>36735</v>
      </c>
    </row>
    <row r="45779" spans="1:8">
      <c r="H45779" t="s">
        <v>36735</v>
      </c>
    </row>
    <row r="45780" spans="1:8">
      <c r="A45780" t="s">
        <v>4011</v>
      </c>
      <c r="B45780">
        <f>HYPERLINK("https://android.googlesource.com/platform/cts/+/a8d94ba1a2cf834b4bf96f397008fa3328c31fa7", "a8d94ba1a2cf834b4bf96f397008fa3328c31fa7")</f>
        <v>0</v>
      </c>
      <c r="C45780">
        <f>HYPERLINK("https://android.googlesource.com/platform/cts/+/8a3a54d1a538619409c91bb8959e86066683a4d7", "8a3a54d1a538619409c91bb8959e86066683a4d7")</f>
        <v>0</v>
      </c>
      <c r="D45780" t="s">
        <v>5409</v>
      </c>
      <c r="E45780" t="s">
        <v>9700</v>
      </c>
      <c r="F45780" t="s">
        <v>14288</v>
      </c>
      <c r="G45780" t="s">
        <v>16823</v>
      </c>
      <c r="H45780" t="s">
        <v>36736</v>
      </c>
    </row>
    <row r="45781" spans="1:8">
      <c r="A45781" t="s">
        <v>4012</v>
      </c>
      <c r="B45781">
        <f>HYPERLINK("https://android.googlesource.com/platform/cts/+/622176141e62ba787df9c5454b76add2951884c5", "622176141e62ba787df9c5454b76add2951884c5")</f>
        <v>0</v>
      </c>
      <c r="C45781">
        <f>HYPERLINK("https://android.googlesource.com/platform/cts/+/73262980b72e39e7238dd088387f62d7d09b9654", "73262980b72e39e7238dd088387f62d7d09b9654")</f>
        <v>0</v>
      </c>
      <c r="D45781" t="s">
        <v>5051</v>
      </c>
      <c r="E45781" t="s">
        <v>9701</v>
      </c>
      <c r="F45781" t="s">
        <v>13868</v>
      </c>
      <c r="G45781" t="s">
        <v>17907</v>
      </c>
      <c r="H45781" t="s">
        <v>36737</v>
      </c>
    </row>
    <row r="45782" spans="1:8">
      <c r="H45782" t="s">
        <v>36738</v>
      </c>
    </row>
    <row r="45783" spans="1:8">
      <c r="H45783" t="s">
        <v>36739</v>
      </c>
    </row>
    <row r="45784" spans="1:8">
      <c r="H45784" t="s">
        <v>36740</v>
      </c>
    </row>
    <row r="45785" spans="1:8">
      <c r="H45785" t="s">
        <v>36741</v>
      </c>
    </row>
    <row r="45786" spans="1:8">
      <c r="H45786" t="s">
        <v>36742</v>
      </c>
    </row>
    <row r="45787" spans="1:8">
      <c r="A45787" t="s">
        <v>4013</v>
      </c>
      <c r="B45787">
        <f>HYPERLINK("https://android.googlesource.com/platform/cts/+/ace3af75c4e5518f17a42be6eb5362cd21b86bb0", "ace3af75c4e5518f17a42be6eb5362cd21b86bb0")</f>
        <v>0</v>
      </c>
      <c r="C45787">
        <f>HYPERLINK("https://android.googlesource.com/platform/cts/+/a50f90aeacf47dcc26698c17437efecc72ba5e79", "a50f90aeacf47dcc26698c17437efecc72ba5e79")</f>
        <v>0</v>
      </c>
      <c r="D45787" t="s">
        <v>5626</v>
      </c>
      <c r="E45787" t="s">
        <v>9702</v>
      </c>
      <c r="F45787" t="s">
        <v>14566</v>
      </c>
      <c r="G45787" t="s">
        <v>18487</v>
      </c>
      <c r="H45787" t="s">
        <v>36735</v>
      </c>
    </row>
    <row r="45788" spans="1:8">
      <c r="H45788" t="s">
        <v>36735</v>
      </c>
    </row>
    <row r="45789" spans="1:8">
      <c r="A45789" t="s">
        <v>4014</v>
      </c>
      <c r="B45789">
        <f>HYPERLINK("https://android.googlesource.com/platform/cts/+/6b73c6af729626ec4bb8faeb728f50c8081701ec", "6b73c6af729626ec4bb8faeb728f50c8081701ec")</f>
        <v>0</v>
      </c>
      <c r="C45789">
        <f>HYPERLINK("https://android.googlesource.com/platform/cts/+/1a40cd613a59dd5e324a17db317f1f7adcf7cdfd", "1a40cd613a59dd5e324a17db317f1f7adcf7cdfd")</f>
        <v>0</v>
      </c>
      <c r="D45789" t="s">
        <v>5648</v>
      </c>
      <c r="E45789" t="s">
        <v>9703</v>
      </c>
      <c r="F45789" t="s">
        <v>14559</v>
      </c>
      <c r="G45789" t="s">
        <v>18481</v>
      </c>
      <c r="H45789" t="s">
        <v>36743</v>
      </c>
    </row>
    <row r="45790" spans="1:8">
      <c r="H45790" t="s">
        <v>36744</v>
      </c>
    </row>
    <row r="45791" spans="1:8">
      <c r="H45791" t="s">
        <v>36745</v>
      </c>
    </row>
    <row r="45792" spans="1:8">
      <c r="A45792" t="s">
        <v>4015</v>
      </c>
      <c r="B45792">
        <f>HYPERLINK("https://android.googlesource.com/platform/cts/+/db7177e9e28e59b9071227c4820d5b674bcc01b1", "db7177e9e28e59b9071227c4820d5b674bcc01b1")</f>
        <v>0</v>
      </c>
      <c r="C45792">
        <f>HYPERLINK("https://android.googlesource.com/platform/cts/+/0b67602f96f5a58dd983524b14e17a32706b90a9", "0b67602f96f5a58dd983524b14e17a32706b90a9")</f>
        <v>0</v>
      </c>
      <c r="D45792" t="s">
        <v>5134</v>
      </c>
      <c r="E45792" t="s">
        <v>9704</v>
      </c>
      <c r="F45792" t="s">
        <v>14272</v>
      </c>
      <c r="G45792" t="s">
        <v>18239</v>
      </c>
      <c r="H45792" t="s">
        <v>31908</v>
      </c>
    </row>
    <row r="45793" spans="1:8">
      <c r="A45793" t="s">
        <v>4016</v>
      </c>
      <c r="B45793">
        <f>HYPERLINK("https://android.googlesource.com/platform/cts/+/027abfdd60833b219cf71dabae82098e60af1555", "027abfdd60833b219cf71dabae82098e60af1555")</f>
        <v>0</v>
      </c>
      <c r="C45793">
        <f>HYPERLINK("https://android.googlesource.com/platform/cts/+/e49b13f24c2bd693b9c608f710ebf798c8bb0279", "e49b13f24c2bd693b9c608f710ebf798c8bb0279")</f>
        <v>0</v>
      </c>
      <c r="D45793" t="s">
        <v>5134</v>
      </c>
      <c r="E45793" t="s">
        <v>9705</v>
      </c>
      <c r="F45793" t="s">
        <v>14272</v>
      </c>
      <c r="G45793" t="s">
        <v>18239</v>
      </c>
      <c r="H45793" t="s">
        <v>31908</v>
      </c>
    </row>
    <row r="45794" spans="1:8">
      <c r="A45794" t="s">
        <v>4017</v>
      </c>
      <c r="B45794">
        <f>HYPERLINK("https://android.googlesource.com/platform/cts/+/9159227c1b3f99ac2ad85ba2ec60e87afcb32af2", "9159227c1b3f99ac2ad85ba2ec60e87afcb32af2")</f>
        <v>0</v>
      </c>
      <c r="C45794">
        <f>HYPERLINK("https://android.googlesource.com/platform/cts/+/b7e7421f7f4ee390df3ac527c54adbf6312bb2fe", "b7e7421f7f4ee390df3ac527c54adbf6312bb2fe")</f>
        <v>0</v>
      </c>
      <c r="D45794" t="s">
        <v>5648</v>
      </c>
      <c r="E45794" t="s">
        <v>9706</v>
      </c>
      <c r="F45794" t="s">
        <v>14559</v>
      </c>
      <c r="G45794" t="s">
        <v>18481</v>
      </c>
      <c r="H45794" t="s">
        <v>36743</v>
      </c>
    </row>
    <row r="45795" spans="1:8">
      <c r="H45795" t="s">
        <v>36744</v>
      </c>
    </row>
    <row r="45796" spans="1:8">
      <c r="H45796" t="s">
        <v>36745</v>
      </c>
    </row>
    <row r="45797" spans="1:8">
      <c r="A45797" t="s">
        <v>4018</v>
      </c>
      <c r="B45797">
        <f>HYPERLINK("https://android.googlesource.com/platform/cts/+/70b76ee18cd1594699a20bc1403fb521bfdd7eb4", "70b76ee18cd1594699a20bc1403fb521bfdd7eb4")</f>
        <v>0</v>
      </c>
      <c r="C45797">
        <f>HYPERLINK("https://android.googlesource.com/platform/cts/+/41c49c889a0a83c0cd90dc36c15df0f93aa16e87", "41c49c889a0a83c0cd90dc36c15df0f93aa16e87")</f>
        <v>0</v>
      </c>
      <c r="D45797" t="s">
        <v>5409</v>
      </c>
      <c r="E45797" t="s">
        <v>9707</v>
      </c>
      <c r="F45797" t="s">
        <v>14288</v>
      </c>
      <c r="G45797" t="s">
        <v>16823</v>
      </c>
      <c r="H45797" t="s">
        <v>36746</v>
      </c>
    </row>
    <row r="45798" spans="1:8">
      <c r="A45798" t="s">
        <v>4019</v>
      </c>
      <c r="B45798">
        <f>HYPERLINK("https://android.googlesource.com/platform/cts/+/978a4d0e86f0bd1408c11a7435a6bc0d9868875e", "978a4d0e86f0bd1408c11a7435a6bc0d9868875e")</f>
        <v>0</v>
      </c>
      <c r="C45798">
        <f>HYPERLINK("https://android.googlesource.com/platform/cts/+/70b76ee18cd1594699a20bc1403fb521bfdd7eb4", "70b76ee18cd1594699a20bc1403fb521bfdd7eb4")</f>
        <v>0</v>
      </c>
      <c r="D45798" t="s">
        <v>5409</v>
      </c>
      <c r="E45798" t="s">
        <v>9708</v>
      </c>
      <c r="F45798" t="s">
        <v>14288</v>
      </c>
      <c r="G45798" t="s">
        <v>16823</v>
      </c>
      <c r="H45798" t="s">
        <v>36747</v>
      </c>
    </row>
    <row r="45799" spans="1:8">
      <c r="A45799" t="s">
        <v>4020</v>
      </c>
      <c r="B45799">
        <f>HYPERLINK("https://android.googlesource.com/platform/cts/+/bdd3051da854cbc66ca0b27adcc956cdbb2674f5", "bdd3051da854cbc66ca0b27adcc956cdbb2674f5")</f>
        <v>0</v>
      </c>
      <c r="C45799">
        <f>HYPERLINK("https://android.googlesource.com/platform/cts/+/978a4d0e86f0bd1408c11a7435a6bc0d9868875e", "978a4d0e86f0bd1408c11a7435a6bc0d9868875e")</f>
        <v>0</v>
      </c>
      <c r="D45799" t="s">
        <v>5409</v>
      </c>
      <c r="E45799" t="s">
        <v>9709</v>
      </c>
      <c r="F45799" t="s">
        <v>14288</v>
      </c>
      <c r="G45799" t="s">
        <v>16823</v>
      </c>
      <c r="H45799" t="s">
        <v>36748</v>
      </c>
    </row>
    <row r="45800" spans="1:8">
      <c r="A45800" t="s">
        <v>4021</v>
      </c>
      <c r="B45800">
        <f>HYPERLINK("https://android.googlesource.com/platform/cts/+/28f302011235238e450b81d5cd2785b043048f66", "28f302011235238e450b81d5cd2785b043048f66")</f>
        <v>0</v>
      </c>
      <c r="C45800">
        <f>HYPERLINK("https://android.googlesource.com/platform/cts/+/6a2236a6376053d35773150f4adceaa1a7d5d814", "6a2236a6376053d35773150f4adceaa1a7d5d814")</f>
        <v>0</v>
      </c>
      <c r="D45800" t="s">
        <v>5485</v>
      </c>
      <c r="E45800" t="s">
        <v>9710</v>
      </c>
      <c r="F45800" t="s">
        <v>13790</v>
      </c>
      <c r="G45800" t="s">
        <v>17519</v>
      </c>
      <c r="H45800" t="s">
        <v>36749</v>
      </c>
    </row>
    <row r="45801" spans="1:8">
      <c r="A45801" t="s">
        <v>4022</v>
      </c>
      <c r="B45801">
        <f>HYPERLINK("https://android.googlesource.com/platform/cts/+/58ad974b47b564f19796dbdb49c1b9b27907ce71", "58ad974b47b564f19796dbdb49c1b9b27907ce71")</f>
        <v>0</v>
      </c>
      <c r="C45801">
        <f>HYPERLINK("https://android.googlesource.com/platform/cts/+/486190bc278f063142d7ac169c226a37f05bf18d", "486190bc278f063142d7ac169c226a37f05bf18d")</f>
        <v>0</v>
      </c>
      <c r="D45801" t="s">
        <v>5547</v>
      </c>
      <c r="E45801" t="s">
        <v>9711</v>
      </c>
      <c r="F45801" t="s">
        <v>14566</v>
      </c>
      <c r="G45801" t="s">
        <v>18487</v>
      </c>
      <c r="H45801" t="s">
        <v>36735</v>
      </c>
    </row>
    <row r="45802" spans="1:8">
      <c r="H45802" t="s">
        <v>36735</v>
      </c>
    </row>
    <row r="45803" spans="1:8">
      <c r="A45803" t="s">
        <v>4023</v>
      </c>
      <c r="B45803">
        <f>HYPERLINK("https://android.googlesource.com/platform/cts/+/68e022fe0eb23b86f5524c88308e68575022a49b", "68e022fe0eb23b86f5524c88308e68575022a49b")</f>
        <v>0</v>
      </c>
      <c r="C45803">
        <f>HYPERLINK("https://android.googlesource.com/platform/cts/+/71eba730c1f634b455e008e6777a6083788fee72", "71eba730c1f634b455e008e6777a6083788fee72")</f>
        <v>0</v>
      </c>
      <c r="D45803" t="s">
        <v>5644</v>
      </c>
      <c r="E45803" t="s">
        <v>9712</v>
      </c>
      <c r="F45803" t="s">
        <v>14567</v>
      </c>
      <c r="G45803" t="s">
        <v>18488</v>
      </c>
      <c r="H45803" t="s">
        <v>36750</v>
      </c>
    </row>
    <row r="45804" spans="1:8">
      <c r="H45804" t="s">
        <v>19372</v>
      </c>
    </row>
    <row r="45805" spans="1:8">
      <c r="H45805" t="s">
        <v>34824</v>
      </c>
    </row>
    <row r="45806" spans="1:8">
      <c r="A45806" t="s">
        <v>4024</v>
      </c>
      <c r="B45806">
        <f>HYPERLINK("https://android.googlesource.com/platform/cts/+/f6c8f9156f57a8c7a7915965cd9221c038dc1848", "f6c8f9156f57a8c7a7915965cd9221c038dc1848")</f>
        <v>0</v>
      </c>
      <c r="C45806">
        <f>HYPERLINK("https://android.googlesource.com/platform/cts/+/88447a0721522681668c34a9adad9db2375f3ad3", "88447a0721522681668c34a9adad9db2375f3ad3")</f>
        <v>0</v>
      </c>
      <c r="D45806" t="s">
        <v>5652</v>
      </c>
      <c r="E45806" t="s">
        <v>9713</v>
      </c>
      <c r="F45806" t="s">
        <v>14568</v>
      </c>
      <c r="G45806" t="s">
        <v>18489</v>
      </c>
      <c r="H45806" t="s">
        <v>36751</v>
      </c>
    </row>
    <row r="45807" spans="1:8">
      <c r="H45807" t="s">
        <v>36752</v>
      </c>
    </row>
    <row r="45808" spans="1:8">
      <c r="A45808" t="s">
        <v>4025</v>
      </c>
      <c r="B45808">
        <f>HYPERLINK("https://android.googlesource.com/platform/cts/+/4083793ec0f20e3e9551f78cba8c71cfe91c167d", "4083793ec0f20e3e9551f78cba8c71cfe91c167d")</f>
        <v>0</v>
      </c>
      <c r="C45808">
        <f>HYPERLINK("https://android.googlesource.com/platform/cts/+/bdd3051da854cbc66ca0b27adcc956cdbb2674f5", "bdd3051da854cbc66ca0b27adcc956cdbb2674f5")</f>
        <v>0</v>
      </c>
      <c r="D45808" t="s">
        <v>5409</v>
      </c>
      <c r="E45808" t="s">
        <v>9714</v>
      </c>
      <c r="F45808" t="s">
        <v>14569</v>
      </c>
      <c r="G45808" t="s">
        <v>18490</v>
      </c>
      <c r="H45808" t="s">
        <v>19426</v>
      </c>
    </row>
    <row r="45809" spans="1:8">
      <c r="H45809" t="s">
        <v>36753</v>
      </c>
    </row>
    <row r="45810" spans="1:8">
      <c r="A45810" t="s">
        <v>4026</v>
      </c>
      <c r="B45810">
        <f>HYPERLINK("https://android.googlesource.com/platform/cts/+/e4e0046a1199b2bcb76b5ffe14af94ebd3671cf2", "e4e0046a1199b2bcb76b5ffe14af94ebd3671cf2")</f>
        <v>0</v>
      </c>
      <c r="C45810">
        <f>HYPERLINK("https://android.googlesource.com/platform/cts/+/bf2229b5b21f4dbedd53df9c4fdbfd9cf6894750", "bf2229b5b21f4dbedd53df9c4fdbfd9cf6894750")</f>
        <v>0</v>
      </c>
      <c r="D45810" t="s">
        <v>5546</v>
      </c>
      <c r="E45810" t="s">
        <v>9715</v>
      </c>
      <c r="F45810" t="s">
        <v>14353</v>
      </c>
      <c r="G45810" t="s">
        <v>18303</v>
      </c>
      <c r="H45810" t="s">
        <v>35571</v>
      </c>
    </row>
    <row r="45811" spans="1:8">
      <c r="A45811" t="s">
        <v>4027</v>
      </c>
      <c r="B45811">
        <f>HYPERLINK("https://android.googlesource.com/platform/cts/+/844415b0fbdd3ba69e67263a0d7f220c4d45aad8", "844415b0fbdd3ba69e67263a0d7f220c4d45aad8")</f>
        <v>0</v>
      </c>
      <c r="C45811">
        <f>HYPERLINK("https://android.googlesource.com/platform/cts/+/ec975bf3456b3e0c4a645dd4d3ba6e25a443f5ac", "ec975bf3456b3e0c4a645dd4d3ba6e25a443f5ac")</f>
        <v>0</v>
      </c>
      <c r="D45811" t="s">
        <v>5416</v>
      </c>
      <c r="E45811" t="s">
        <v>9716</v>
      </c>
      <c r="F45811" t="s">
        <v>12419</v>
      </c>
      <c r="G45811" t="s">
        <v>16641</v>
      </c>
      <c r="H45811" t="s">
        <v>36754</v>
      </c>
    </row>
    <row r="45812" spans="1:8">
      <c r="H45812" t="s">
        <v>36755</v>
      </c>
    </row>
    <row r="45813" spans="1:8">
      <c r="H45813" t="s">
        <v>36756</v>
      </c>
    </row>
    <row r="45814" spans="1:8">
      <c r="H45814" t="s">
        <v>36757</v>
      </c>
    </row>
    <row r="45815" spans="1:8">
      <c r="A45815" t="s">
        <v>4028</v>
      </c>
      <c r="B45815">
        <f>HYPERLINK("https://android.googlesource.com/platform/cts/+/8d95e8991dabdfe1bb93216919153e247a55973a", "8d95e8991dabdfe1bb93216919153e247a55973a")</f>
        <v>0</v>
      </c>
      <c r="C45815">
        <f>HYPERLINK("https://android.googlesource.com/platform/cts/+/344a96ab723acee8861f98b5a9cf182326636e91", "344a96ab723acee8861f98b5a9cf182326636e91")</f>
        <v>0</v>
      </c>
      <c r="D45815" t="s">
        <v>5219</v>
      </c>
      <c r="E45815" t="s">
        <v>9717</v>
      </c>
      <c r="F45815" t="s">
        <v>14512</v>
      </c>
      <c r="G45815" t="s">
        <v>18414</v>
      </c>
      <c r="H45815" t="s">
        <v>36758</v>
      </c>
    </row>
    <row r="45816" spans="1:8">
      <c r="A45816" t="s">
        <v>4029</v>
      </c>
      <c r="B45816">
        <f>HYPERLINK("https://android.googlesource.com/platform/cts/+/88b472f4643e91d6d35c44b1743f11ca266bb0b2", "88b472f4643e91d6d35c44b1743f11ca266bb0b2")</f>
        <v>0</v>
      </c>
      <c r="C45816">
        <f>HYPERLINK("https://android.googlesource.com/platform/cts/+/c374d7dae75b2f304d2f8c21911445830d69c48d", "c374d7dae75b2f304d2f8c21911445830d69c48d")</f>
        <v>0</v>
      </c>
      <c r="D45816" t="s">
        <v>5653</v>
      </c>
      <c r="E45816" t="s">
        <v>9718</v>
      </c>
      <c r="F45816" t="s">
        <v>12224</v>
      </c>
      <c r="G45816" t="s">
        <v>16454</v>
      </c>
      <c r="H45816" t="s">
        <v>36759</v>
      </c>
    </row>
    <row r="45817" spans="1:8">
      <c r="A45817" t="s">
        <v>4030</v>
      </c>
      <c r="B45817">
        <f>HYPERLINK("https://android.googlesource.com/platform/cts/+/b99fd7a89cf86034b9c619bf4ded2619641a2599", "b99fd7a89cf86034b9c619bf4ded2619641a2599")</f>
        <v>0</v>
      </c>
      <c r="C45817">
        <f>HYPERLINK("https://android.googlesource.com/platform/cts/+/beeef7fa9a327fafb715a1e290a8b3857e9189aa", "beeef7fa9a327fafb715a1e290a8b3857e9189aa")</f>
        <v>0</v>
      </c>
      <c r="D45817" t="s">
        <v>5653</v>
      </c>
      <c r="E45817" t="s">
        <v>9719</v>
      </c>
      <c r="F45817" t="s">
        <v>12224</v>
      </c>
      <c r="G45817" t="s">
        <v>16454</v>
      </c>
      <c r="H45817" t="s">
        <v>36759</v>
      </c>
    </row>
    <row r="45818" spans="1:8">
      <c r="A45818" t="s">
        <v>4031</v>
      </c>
      <c r="B45818">
        <f>HYPERLINK("https://android.googlesource.com/platform/cts/+/c5da66ad93ecaf52420b8ff9667fe62e53fd71a5", "c5da66ad93ecaf52420b8ff9667fe62e53fd71a5")</f>
        <v>0</v>
      </c>
      <c r="C45818">
        <f>HYPERLINK("https://android.googlesource.com/platform/cts/+/8ebd21feea7d79325ce546f24d38cbd233704c37", "8ebd21feea7d79325ce546f24d38cbd233704c37")</f>
        <v>0</v>
      </c>
      <c r="D45818" t="s">
        <v>5479</v>
      </c>
      <c r="E45818" t="s">
        <v>9720</v>
      </c>
      <c r="F45818" t="s">
        <v>14570</v>
      </c>
      <c r="G45818" t="s">
        <v>17580</v>
      </c>
      <c r="H45818" t="s">
        <v>36760</v>
      </c>
    </row>
    <row r="45819" spans="1:8">
      <c r="A45819" t="s">
        <v>4032</v>
      </c>
      <c r="B45819">
        <f>HYPERLINK("https://android.googlesource.com/platform/cts/+/2bb4a2716deb778f5b0691835834cb06bec1741b", "2bb4a2716deb778f5b0691835834cb06bec1741b")</f>
        <v>0</v>
      </c>
      <c r="C45819">
        <f>HYPERLINK("https://android.googlesource.com/platform/cts/+/a36c458280fefbf2d5069bb125415539ee4f7b9d", "a36c458280fefbf2d5069bb125415539ee4f7b9d")</f>
        <v>0</v>
      </c>
      <c r="D45819" t="s">
        <v>5134</v>
      </c>
      <c r="E45819" t="s">
        <v>9721</v>
      </c>
      <c r="F45819" t="s">
        <v>14571</v>
      </c>
      <c r="G45819" t="s">
        <v>18491</v>
      </c>
      <c r="H45819" t="s">
        <v>18829</v>
      </c>
    </row>
    <row r="45820" spans="1:8">
      <c r="F45820" t="s">
        <v>14572</v>
      </c>
      <c r="G45820" t="s">
        <v>18492</v>
      </c>
      <c r="H45820" t="s">
        <v>18829</v>
      </c>
    </row>
    <row r="45821" spans="1:8">
      <c r="F45821" t="s">
        <v>14573</v>
      </c>
      <c r="G45821" t="s">
        <v>18493</v>
      </c>
      <c r="H45821" t="s">
        <v>18829</v>
      </c>
    </row>
    <row r="45822" spans="1:8">
      <c r="F45822" t="s">
        <v>14574</v>
      </c>
      <c r="G45822" t="s">
        <v>18494</v>
      </c>
      <c r="H45822" t="s">
        <v>18829</v>
      </c>
    </row>
    <row r="45823" spans="1:8">
      <c r="F45823" t="s">
        <v>14575</v>
      </c>
      <c r="G45823" t="s">
        <v>18495</v>
      </c>
      <c r="H45823" t="s">
        <v>18829</v>
      </c>
    </row>
    <row r="45824" spans="1:8">
      <c r="F45824" t="s">
        <v>14576</v>
      </c>
      <c r="G45824" t="s">
        <v>18496</v>
      </c>
      <c r="H45824" t="s">
        <v>18829</v>
      </c>
    </row>
    <row r="45825" spans="1:8">
      <c r="A45825" t="s">
        <v>4033</v>
      </c>
      <c r="B45825">
        <f>HYPERLINK("https://android.googlesource.com/platform/cts/+/b851ea539e61adbc9938f1047e807fbceaf383e1", "b851ea539e61adbc9938f1047e807fbceaf383e1")</f>
        <v>0</v>
      </c>
      <c r="C45825">
        <f>HYPERLINK("https://android.googlesource.com/platform/cts/+/de8f3f8ffd1738d6dea5b0eb2d456dcf6e41e2bd", "de8f3f8ffd1738d6dea5b0eb2d456dcf6e41e2bd")</f>
        <v>0</v>
      </c>
      <c r="D45825" t="s">
        <v>4973</v>
      </c>
      <c r="E45825" t="s">
        <v>9722</v>
      </c>
      <c r="F45825" t="s">
        <v>13480</v>
      </c>
      <c r="G45825" t="s">
        <v>17598</v>
      </c>
      <c r="H45825" t="s">
        <v>36055</v>
      </c>
    </row>
    <row r="45826" spans="1:8">
      <c r="H45826" t="s">
        <v>36062</v>
      </c>
    </row>
    <row r="45827" spans="1:8">
      <c r="A45827" t="s">
        <v>4034</v>
      </c>
      <c r="B45827">
        <f>HYPERLINK("https://android.googlesource.com/platform/cts/+/12f01cc3944a9735c9cab69ba952992ffaf481c6", "12f01cc3944a9735c9cab69ba952992ffaf481c6")</f>
        <v>0</v>
      </c>
      <c r="C45827">
        <f>HYPERLINK("https://android.googlesource.com/platform/cts/+/eb567c0eeb21ce7177028fda238e5a49bc1f6f2d", "eb567c0eeb21ce7177028fda238e5a49bc1f6f2d")</f>
        <v>0</v>
      </c>
      <c r="D45827" t="s">
        <v>5595</v>
      </c>
      <c r="E45827" t="s">
        <v>9723</v>
      </c>
      <c r="F45827" t="s">
        <v>13851</v>
      </c>
      <c r="G45827" t="s">
        <v>17893</v>
      </c>
      <c r="H45827" t="s">
        <v>36170</v>
      </c>
    </row>
    <row r="45828" spans="1:8">
      <c r="A45828" t="s">
        <v>4035</v>
      </c>
      <c r="B45828">
        <f>HYPERLINK("https://android.googlesource.com/platform/cts/+/be1698d1575fe1eba163444f250dd4c08abc643e", "be1698d1575fe1eba163444f250dd4c08abc643e")</f>
        <v>0</v>
      </c>
      <c r="C45828">
        <f>HYPERLINK("https://android.googlesource.com/platform/cts/+/7aa548bd03e5f4ec9268b674d46b1c9f159e3ece", "7aa548bd03e5f4ec9268b674d46b1c9f159e3ece")</f>
        <v>0</v>
      </c>
      <c r="D45828" t="s">
        <v>5595</v>
      </c>
      <c r="E45828" t="s">
        <v>9724</v>
      </c>
      <c r="F45828" t="s">
        <v>13851</v>
      </c>
      <c r="G45828" t="s">
        <v>17893</v>
      </c>
      <c r="H45828" t="s">
        <v>36170</v>
      </c>
    </row>
    <row r="45829" spans="1:8">
      <c r="A45829" t="s">
        <v>4036</v>
      </c>
      <c r="B45829">
        <f>HYPERLINK("https://android.googlesource.com/platform/cts/+/d3420a571f0ad9dd0bda47069694ed3ff21414e5", "d3420a571f0ad9dd0bda47069694ed3ff21414e5")</f>
        <v>0</v>
      </c>
      <c r="C45829">
        <f>HYPERLINK("https://android.googlesource.com/platform/cts/+/46d4255b981b1251033bf4dc7d523d6f05fc8adf", "46d4255b981b1251033bf4dc7d523d6f05fc8adf")</f>
        <v>0</v>
      </c>
      <c r="D45829" t="s">
        <v>5541</v>
      </c>
      <c r="E45829" t="s">
        <v>9725</v>
      </c>
      <c r="F45829" t="s">
        <v>14577</v>
      </c>
      <c r="G45829" t="s">
        <v>18497</v>
      </c>
      <c r="H45829" t="s">
        <v>36761</v>
      </c>
    </row>
    <row r="45830" spans="1:8">
      <c r="A45830" t="s">
        <v>4037</v>
      </c>
      <c r="B45830">
        <f>HYPERLINK("https://android.googlesource.com/platform/cts/+/1192a565a3c62ce9ce857632e6756c9db1ef6328", "1192a565a3c62ce9ce857632e6756c9db1ef6328")</f>
        <v>0</v>
      </c>
      <c r="C45830">
        <f>HYPERLINK("https://android.googlesource.com/platform/cts/+/a2003e4af530ff316924bd3d149e87b1c84bac8a", "a2003e4af530ff316924bd3d149e87b1c84bac8a")</f>
        <v>0</v>
      </c>
      <c r="D45830" t="s">
        <v>5409</v>
      </c>
      <c r="E45830" t="s">
        <v>9726</v>
      </c>
      <c r="F45830" t="s">
        <v>14569</v>
      </c>
      <c r="G45830" t="s">
        <v>18490</v>
      </c>
      <c r="H45830" t="s">
        <v>36762</v>
      </c>
    </row>
    <row r="45831" spans="1:8">
      <c r="F45831" t="s">
        <v>14578</v>
      </c>
      <c r="G45831" t="s">
        <v>16823</v>
      </c>
      <c r="H45831" t="s">
        <v>36763</v>
      </c>
    </row>
    <row r="45832" spans="1:8">
      <c r="H45832" t="s">
        <v>36764</v>
      </c>
    </row>
    <row r="45833" spans="1:8">
      <c r="A45833" t="s">
        <v>4038</v>
      </c>
      <c r="B45833">
        <f>HYPERLINK("https://android.googlesource.com/platform/cts/+/d21e4d043a67a278ff5c4a640f53fe4f9900c929", "d21e4d043a67a278ff5c4a640f53fe4f9900c929")</f>
        <v>0</v>
      </c>
      <c r="C45833">
        <f>HYPERLINK("https://android.googlesource.com/platform/cts/+/76b21a1a35b64496b837ceaf0a5d4040c4875180", "76b21a1a35b64496b837ceaf0a5d4040c4875180")</f>
        <v>0</v>
      </c>
      <c r="D45833" t="s">
        <v>5134</v>
      </c>
      <c r="E45833" t="s">
        <v>9727</v>
      </c>
      <c r="F45833" t="s">
        <v>13229</v>
      </c>
      <c r="G45833" t="s">
        <v>17370</v>
      </c>
      <c r="H45833" t="s">
        <v>30571</v>
      </c>
    </row>
    <row r="45834" spans="1:8">
      <c r="H45834" t="s">
        <v>36765</v>
      </c>
    </row>
    <row r="45835" spans="1:8">
      <c r="H45835" t="s">
        <v>36766</v>
      </c>
    </row>
    <row r="45836" spans="1:8">
      <c r="H45836" t="s">
        <v>36767</v>
      </c>
    </row>
    <row r="45837" spans="1:8">
      <c r="H45837" t="s">
        <v>36768</v>
      </c>
    </row>
    <row r="45838" spans="1:8">
      <c r="A45838" t="s">
        <v>4039</v>
      </c>
      <c r="B45838">
        <f>HYPERLINK("https://android.googlesource.com/platform/cts/+/cd2c57174f171f12274228663f107bf867671fef", "cd2c57174f171f12274228663f107bf867671fef")</f>
        <v>0</v>
      </c>
      <c r="C45838">
        <f>HYPERLINK("https://android.googlesource.com/platform/cts/+/c26dfa37666e07a9cb3cf2c236c4c814b0d634eb", "c26dfa37666e07a9cb3cf2c236c4c814b0d634eb")</f>
        <v>0</v>
      </c>
      <c r="D45838" t="s">
        <v>5460</v>
      </c>
      <c r="E45838" t="s">
        <v>9728</v>
      </c>
      <c r="F45838" t="s">
        <v>13417</v>
      </c>
      <c r="G45838" t="s">
        <v>17543</v>
      </c>
      <c r="H45838" t="s">
        <v>36769</v>
      </c>
    </row>
    <row r="45839" spans="1:8">
      <c r="A45839" t="s">
        <v>4040</v>
      </c>
      <c r="B45839">
        <f>HYPERLINK("https://android.googlesource.com/platform/cts/+/5ec64f5c564f9aeaab97766862c333181edeac44", "5ec64f5c564f9aeaab97766862c333181edeac44")</f>
        <v>0</v>
      </c>
      <c r="C45839">
        <f>HYPERLINK("https://android.googlesource.com/platform/cts/+/88fc0a0863c80320d29616186f6eaae47f71591e", "88fc0a0863c80320d29616186f6eaae47f71591e")</f>
        <v>0</v>
      </c>
      <c r="D45839" t="s">
        <v>5454</v>
      </c>
      <c r="E45839" t="s">
        <v>9729</v>
      </c>
      <c r="F45839" t="s">
        <v>14124</v>
      </c>
      <c r="G45839" t="s">
        <v>18114</v>
      </c>
      <c r="H45839" t="s">
        <v>36770</v>
      </c>
    </row>
    <row r="45840" spans="1:8">
      <c r="H45840" t="s">
        <v>36771</v>
      </c>
    </row>
    <row r="45841" spans="1:8">
      <c r="A45841" t="s">
        <v>4041</v>
      </c>
      <c r="B45841">
        <f>HYPERLINK("https://android.googlesource.com/platform/cts/+/5b85f69bddc904207f1ded385f1e69fb742be7a4", "5b85f69bddc904207f1ded385f1e69fb742be7a4")</f>
        <v>0</v>
      </c>
      <c r="C45841">
        <f>HYPERLINK("https://android.googlesource.com/platform/cts/+/a210002bee0d953bec7d6b45f4199cf8ed74ea3c", "a210002bee0d953bec7d6b45f4199cf8ed74ea3c")</f>
        <v>0</v>
      </c>
      <c r="D45841" t="s">
        <v>5409</v>
      </c>
      <c r="E45841" t="s">
        <v>9730</v>
      </c>
      <c r="F45841" t="s">
        <v>14579</v>
      </c>
      <c r="G45841" t="s">
        <v>18498</v>
      </c>
      <c r="H45841" t="s">
        <v>36772</v>
      </c>
    </row>
    <row r="45842" spans="1:8">
      <c r="H45842" t="s">
        <v>36773</v>
      </c>
    </row>
    <row r="45843" spans="1:8">
      <c r="H45843" t="s">
        <v>36774</v>
      </c>
    </row>
    <row r="45844" spans="1:8">
      <c r="H45844" t="s">
        <v>21184</v>
      </c>
    </row>
    <row r="45845" spans="1:8">
      <c r="F45845" t="s">
        <v>14580</v>
      </c>
      <c r="G45845" t="s">
        <v>18499</v>
      </c>
      <c r="H45845" t="s">
        <v>36775</v>
      </c>
    </row>
    <row r="45846" spans="1:8">
      <c r="H45846" t="s">
        <v>36776</v>
      </c>
    </row>
    <row r="45847" spans="1:8">
      <c r="H45847" t="s">
        <v>36777</v>
      </c>
    </row>
    <row r="45848" spans="1:8">
      <c r="A45848" t="s">
        <v>4042</v>
      </c>
      <c r="B45848">
        <f>HYPERLINK("https://android.googlesource.com/platform/cts/+/acb99ba1eaad4eb21d6e0a11f3f52c2937795faa", "acb99ba1eaad4eb21d6e0a11f3f52c2937795faa")</f>
        <v>0</v>
      </c>
      <c r="C45848">
        <f>HYPERLINK("https://android.googlesource.com/platform/cts/+/5b85f69bddc904207f1ded385f1e69fb742be7a4", "5b85f69bddc904207f1ded385f1e69fb742be7a4")</f>
        <v>0</v>
      </c>
      <c r="D45848" t="s">
        <v>5409</v>
      </c>
      <c r="E45848" t="s">
        <v>9731</v>
      </c>
      <c r="F45848" t="s">
        <v>14288</v>
      </c>
      <c r="G45848" t="s">
        <v>16823</v>
      </c>
      <c r="H45848" t="s">
        <v>36778</v>
      </c>
    </row>
    <row r="45849" spans="1:8">
      <c r="A45849" t="s">
        <v>4043</v>
      </c>
      <c r="B45849">
        <f>HYPERLINK("https://android.googlesource.com/platform/cts/+/b4bd34cb1be5a3c115b368514eba3dcbbb0b0587", "b4bd34cb1be5a3c115b368514eba3dcbbb0b0587")</f>
        <v>0</v>
      </c>
      <c r="C45849">
        <f>HYPERLINK("https://android.googlesource.com/platform/cts/+/54bbcfc447e18355dc03906a17d2b30b239d3fd8", "54bbcfc447e18355dc03906a17d2b30b239d3fd8")</f>
        <v>0</v>
      </c>
      <c r="D45849" t="s">
        <v>5409</v>
      </c>
      <c r="E45849" t="s">
        <v>9732</v>
      </c>
      <c r="F45849" t="s">
        <v>14288</v>
      </c>
      <c r="G45849" t="s">
        <v>16823</v>
      </c>
      <c r="H45849" t="s">
        <v>36779</v>
      </c>
    </row>
    <row r="45850" spans="1:8">
      <c r="A45850" t="s">
        <v>4044</v>
      </c>
      <c r="B45850">
        <f>HYPERLINK("https://android.googlesource.com/platform/cts/+/31ca1ab44160145a8b71e01dc5b39c8cfd109db3", "31ca1ab44160145a8b71e01dc5b39c8cfd109db3")</f>
        <v>0</v>
      </c>
      <c r="C45850">
        <f>HYPERLINK("https://android.googlesource.com/platform/cts/+/b4bd34cb1be5a3c115b368514eba3dcbbb0b0587", "b4bd34cb1be5a3c115b368514eba3dcbbb0b0587")</f>
        <v>0</v>
      </c>
      <c r="D45850" t="s">
        <v>5409</v>
      </c>
      <c r="E45850" t="s">
        <v>9733</v>
      </c>
      <c r="F45850" t="s">
        <v>14288</v>
      </c>
      <c r="G45850" t="s">
        <v>16823</v>
      </c>
      <c r="H45850" t="s">
        <v>36780</v>
      </c>
    </row>
    <row r="45851" spans="1:8">
      <c r="A45851" t="s">
        <v>4045</v>
      </c>
      <c r="B45851">
        <f>HYPERLINK("https://android.googlesource.com/platform/cts/+/8f3cb666377fd338c2cd38e6f3418b16c3a5d7d3", "8f3cb666377fd338c2cd38e6f3418b16c3a5d7d3")</f>
        <v>0</v>
      </c>
      <c r="C45851">
        <f>HYPERLINK("https://android.googlesource.com/platform/cts/+/31ca1ab44160145a8b71e01dc5b39c8cfd109db3", "31ca1ab44160145a8b71e01dc5b39c8cfd109db3")</f>
        <v>0</v>
      </c>
      <c r="D45851" t="s">
        <v>5409</v>
      </c>
      <c r="E45851" t="s">
        <v>9734</v>
      </c>
      <c r="F45851" t="s">
        <v>14288</v>
      </c>
      <c r="G45851" t="s">
        <v>16823</v>
      </c>
      <c r="H45851" t="s">
        <v>36781</v>
      </c>
    </row>
    <row r="45852" spans="1:8">
      <c r="A45852" t="s">
        <v>4046</v>
      </c>
      <c r="B45852">
        <f>HYPERLINK("https://android.googlesource.com/platform/cts/+/3982a5edc283cd9e120f82b7ef2a3896fc3b7aba", "3982a5edc283cd9e120f82b7ef2a3896fc3b7aba")</f>
        <v>0</v>
      </c>
      <c r="C45852">
        <f>HYPERLINK("https://android.googlesource.com/platform/cts/+/8f3cb666377fd338c2cd38e6f3418b16c3a5d7d3", "8f3cb666377fd338c2cd38e6f3418b16c3a5d7d3")</f>
        <v>0</v>
      </c>
      <c r="D45852" t="s">
        <v>5409</v>
      </c>
      <c r="E45852" t="s">
        <v>9735</v>
      </c>
      <c r="F45852" t="s">
        <v>14288</v>
      </c>
      <c r="G45852" t="s">
        <v>16823</v>
      </c>
      <c r="H45852" t="s">
        <v>36782</v>
      </c>
    </row>
    <row r="45853" spans="1:8">
      <c r="A45853" t="s">
        <v>4047</v>
      </c>
      <c r="B45853">
        <f>HYPERLINK("https://android.googlesource.com/platform/cts/+/d974bcee37beac80054aea9e74ccd3ee327a73fc", "d974bcee37beac80054aea9e74ccd3ee327a73fc")</f>
        <v>0</v>
      </c>
      <c r="C45853">
        <f>HYPERLINK("https://android.googlesource.com/platform/cts/+/3982a5edc283cd9e120f82b7ef2a3896fc3b7aba", "3982a5edc283cd9e120f82b7ef2a3896fc3b7aba")</f>
        <v>0</v>
      </c>
      <c r="D45853" t="s">
        <v>5409</v>
      </c>
      <c r="E45853" t="s">
        <v>9736</v>
      </c>
      <c r="F45853" t="s">
        <v>14288</v>
      </c>
      <c r="G45853" t="s">
        <v>16823</v>
      </c>
      <c r="H45853" t="s">
        <v>36783</v>
      </c>
    </row>
    <row r="45854" spans="1:8">
      <c r="H45854" t="s">
        <v>33212</v>
      </c>
    </row>
    <row r="45855" spans="1:8">
      <c r="A45855" t="s">
        <v>4048</v>
      </c>
      <c r="B45855">
        <f>HYPERLINK("https://android.googlesource.com/platform/cts/+/dc84de9046e300cb55d66bbdac65e5e09bd8d57e", "dc84de9046e300cb55d66bbdac65e5e09bd8d57e")</f>
        <v>0</v>
      </c>
      <c r="C45855">
        <f>HYPERLINK("https://android.googlesource.com/platform/cts/+/d974bcee37beac80054aea9e74ccd3ee327a73fc", "d974bcee37beac80054aea9e74ccd3ee327a73fc")</f>
        <v>0</v>
      </c>
      <c r="D45855" t="s">
        <v>5409</v>
      </c>
      <c r="E45855" t="s">
        <v>9737</v>
      </c>
      <c r="F45855" t="s">
        <v>14288</v>
      </c>
      <c r="G45855" t="s">
        <v>16823</v>
      </c>
      <c r="H45855" t="s">
        <v>36784</v>
      </c>
    </row>
    <row r="45856" spans="1:8">
      <c r="H45856" t="s">
        <v>36785</v>
      </c>
    </row>
    <row r="45857" spans="1:8">
      <c r="H45857" t="s">
        <v>36786</v>
      </c>
    </row>
    <row r="45858" spans="1:8">
      <c r="A45858" t="s">
        <v>4049</v>
      </c>
      <c r="B45858">
        <f>HYPERLINK("https://android.googlesource.com/platform/cts/+/74d03b55341050e0fbd7f398c4b013a79ae44f78", "74d03b55341050e0fbd7f398c4b013a79ae44f78")</f>
        <v>0</v>
      </c>
      <c r="C45858">
        <f>HYPERLINK("https://android.googlesource.com/platform/cts/+/82b92b436506bb7a814b2eb55e73fe1f9f7c58b6", "82b92b436506bb7a814b2eb55e73fe1f9f7c58b6")</f>
        <v>0</v>
      </c>
      <c r="D45858" t="s">
        <v>5633</v>
      </c>
      <c r="E45858" t="s">
        <v>9738</v>
      </c>
      <c r="F45858" t="s">
        <v>13398</v>
      </c>
      <c r="G45858" t="s">
        <v>17524</v>
      </c>
      <c r="H45858" t="s">
        <v>36787</v>
      </c>
    </row>
    <row r="45859" spans="1:8">
      <c r="H45859" t="s">
        <v>36788</v>
      </c>
    </row>
    <row r="45860" spans="1:8">
      <c r="A45860" t="s">
        <v>4050</v>
      </c>
      <c r="B45860">
        <f>HYPERLINK("https://android.googlesource.com/platform/cts/+/bd81f2228d771aac9808212899a600effc59ffc6", "bd81f2228d771aac9808212899a600effc59ffc6")</f>
        <v>0</v>
      </c>
      <c r="C45860">
        <f>HYPERLINK("https://android.googlesource.com/platform/cts/+/14aa702ef3f14ae40c56d77a0351e2713f15bd54", "14aa702ef3f14ae40c56d77a0351e2713f15bd54")</f>
        <v>0</v>
      </c>
      <c r="D45860" t="s">
        <v>5624</v>
      </c>
      <c r="E45860" t="s">
        <v>9739</v>
      </c>
      <c r="F45860" t="s">
        <v>12176</v>
      </c>
      <c r="G45860" t="s">
        <v>16415</v>
      </c>
      <c r="H45860" t="s">
        <v>36789</v>
      </c>
    </row>
    <row r="45861" spans="1:8">
      <c r="H45861" t="s">
        <v>36790</v>
      </c>
    </row>
    <row r="45862" spans="1:8">
      <c r="H45862" t="s">
        <v>36791</v>
      </c>
    </row>
    <row r="45863" spans="1:8">
      <c r="H45863" t="s">
        <v>36792</v>
      </c>
    </row>
    <row r="45864" spans="1:8">
      <c r="A45864" t="s">
        <v>4051</v>
      </c>
      <c r="B45864">
        <f>HYPERLINK("https://android.googlesource.com/platform/cts/+/f5066e1a1d349eb8ba7687117cd666695dedd65c", "f5066e1a1d349eb8ba7687117cd666695dedd65c")</f>
        <v>0</v>
      </c>
      <c r="C45864">
        <f>HYPERLINK("https://android.googlesource.com/platform/cts/+/c4742a3343b7ffff2408c760b1baee40d42d1ab0", "c4742a3343b7ffff2408c760b1baee40d42d1ab0")</f>
        <v>0</v>
      </c>
      <c r="D45864" t="s">
        <v>5135</v>
      </c>
      <c r="E45864" t="s">
        <v>9740</v>
      </c>
      <c r="F45864" t="s">
        <v>13391</v>
      </c>
      <c r="G45864" t="s">
        <v>17517</v>
      </c>
      <c r="H45864" t="s">
        <v>36793</v>
      </c>
    </row>
    <row r="45865" spans="1:8">
      <c r="A45865" t="s">
        <v>4052</v>
      </c>
      <c r="B45865">
        <f>HYPERLINK("https://android.googlesource.com/platform/cts/+/39c56015870b62a846660506d923f8c2f70099ac", "39c56015870b62a846660506d923f8c2f70099ac")</f>
        <v>0</v>
      </c>
      <c r="C45865">
        <f>HYPERLINK("https://android.googlesource.com/platform/cts/+/7850aadcf3ca1f987a42bf0f17c76a800c487f17", "7850aadcf3ca1f987a42bf0f17c76a800c487f17")</f>
        <v>0</v>
      </c>
      <c r="D45865" t="s">
        <v>5409</v>
      </c>
      <c r="E45865" t="s">
        <v>9741</v>
      </c>
      <c r="F45865" t="s">
        <v>14581</v>
      </c>
      <c r="G45865" t="s">
        <v>18500</v>
      </c>
      <c r="H45865" t="s">
        <v>36794</v>
      </c>
    </row>
    <row r="45866" spans="1:8">
      <c r="A45866" t="s">
        <v>4053</v>
      </c>
      <c r="B45866">
        <f>HYPERLINK("https://android.googlesource.com/platform/cts/+/4abe91d464e849cdee2ad325cfdd24a8ae48e446", "4abe91d464e849cdee2ad325cfdd24a8ae48e446")</f>
        <v>0</v>
      </c>
      <c r="C45866">
        <f>HYPERLINK("https://android.googlesource.com/platform/cts/+/9a7361602b746fb1bc7d0d17f88b7d503eaffb46", "9a7361602b746fb1bc7d0d17f88b7d503eaffb46")</f>
        <v>0</v>
      </c>
      <c r="D45866" t="s">
        <v>5476</v>
      </c>
      <c r="E45866" t="s">
        <v>9742</v>
      </c>
      <c r="F45866" t="s">
        <v>14582</v>
      </c>
      <c r="G45866" t="s">
        <v>18501</v>
      </c>
      <c r="H45866" t="s">
        <v>36795</v>
      </c>
    </row>
    <row r="45867" spans="1:8">
      <c r="A45867" t="s">
        <v>4054</v>
      </c>
      <c r="B45867">
        <f>HYPERLINK("https://android.googlesource.com/platform/cts/+/92af64b27b19c48e70a5ddbd7fb0b93f09304757", "92af64b27b19c48e70a5ddbd7fb0b93f09304757")</f>
        <v>0</v>
      </c>
      <c r="C45867">
        <f>HYPERLINK("https://android.googlesource.com/platform/cts/+/2a67ece590659ee406b90aadc160272cc0dabfc0", "2a67ece590659ee406b90aadc160272cc0dabfc0")</f>
        <v>0</v>
      </c>
      <c r="D45867" t="s">
        <v>5654</v>
      </c>
      <c r="E45867" t="s">
        <v>9743</v>
      </c>
      <c r="F45867" t="s">
        <v>14583</v>
      </c>
      <c r="G45867" t="s">
        <v>18502</v>
      </c>
      <c r="H45867" t="s">
        <v>36796</v>
      </c>
    </row>
    <row r="45868" spans="1:8">
      <c r="A45868" t="s">
        <v>4055</v>
      </c>
      <c r="B45868">
        <f>HYPERLINK("https://android.googlesource.com/platform/cts/+/84d364e984c30d0f2cfcb871a77119626372d266", "84d364e984c30d0f2cfcb871a77119626372d266")</f>
        <v>0</v>
      </c>
      <c r="C45868">
        <f>HYPERLINK("https://android.googlesource.com/platform/cts/+/dbe3ab8aded4bc833eeb2b77357be670cba37c84", "dbe3ab8aded4bc833eeb2b77357be670cba37c84")</f>
        <v>0</v>
      </c>
      <c r="D45868" t="s">
        <v>5135</v>
      </c>
      <c r="E45868" t="s">
        <v>9740</v>
      </c>
      <c r="F45868" t="s">
        <v>13391</v>
      </c>
      <c r="G45868" t="s">
        <v>17517</v>
      </c>
      <c r="H45868" t="s">
        <v>36793</v>
      </c>
    </row>
    <row r="45869" spans="1:8">
      <c r="A45869" t="s">
        <v>4056</v>
      </c>
      <c r="B45869">
        <f>HYPERLINK("https://android.googlesource.com/platform/cts/+/25e29b0f9979ca7b2806491564f246376feb9e9f", "25e29b0f9979ca7b2806491564f246376feb9e9f")</f>
        <v>0</v>
      </c>
      <c r="C45869">
        <f>HYPERLINK("https://android.googlesource.com/platform/cts/+/33d78c89d164b033729f0ca17e87ab26afe9e423", "33d78c89d164b033729f0ca17e87ab26afe9e423")</f>
        <v>0</v>
      </c>
      <c r="D45869" t="s">
        <v>5409</v>
      </c>
      <c r="E45869" t="s">
        <v>9744</v>
      </c>
      <c r="F45869" t="s">
        <v>14584</v>
      </c>
      <c r="G45869" t="s">
        <v>18357</v>
      </c>
      <c r="H45869" t="s">
        <v>36797</v>
      </c>
    </row>
    <row r="45870" spans="1:8">
      <c r="H45870" t="s">
        <v>36798</v>
      </c>
    </row>
    <row r="45871" spans="1:8">
      <c r="H45871" t="s">
        <v>36799</v>
      </c>
    </row>
    <row r="45872" spans="1:8">
      <c r="H45872" t="s">
        <v>36800</v>
      </c>
    </row>
    <row r="45873" spans="6:8">
      <c r="F45873" t="s">
        <v>14585</v>
      </c>
      <c r="G45873" t="s">
        <v>18503</v>
      </c>
      <c r="H45873" t="s">
        <v>36797</v>
      </c>
    </row>
    <row r="45874" spans="6:8">
      <c r="H45874" t="s">
        <v>36798</v>
      </c>
    </row>
    <row r="45875" spans="6:8">
      <c r="H45875" t="s">
        <v>36799</v>
      </c>
    </row>
    <row r="45876" spans="6:8">
      <c r="H45876" t="s">
        <v>36800</v>
      </c>
    </row>
    <row r="45877" spans="6:8">
      <c r="F45877" t="s">
        <v>14586</v>
      </c>
      <c r="G45877" t="s">
        <v>18504</v>
      </c>
      <c r="H45877" t="s">
        <v>36797</v>
      </c>
    </row>
    <row r="45878" spans="6:8">
      <c r="H45878" t="s">
        <v>36798</v>
      </c>
    </row>
    <row r="45879" spans="6:8">
      <c r="H45879" t="s">
        <v>36799</v>
      </c>
    </row>
    <row r="45880" spans="6:8">
      <c r="H45880" t="s">
        <v>36800</v>
      </c>
    </row>
    <row r="45881" spans="6:8">
      <c r="F45881" t="s">
        <v>14587</v>
      </c>
      <c r="G45881" t="s">
        <v>18505</v>
      </c>
      <c r="H45881" t="s">
        <v>36797</v>
      </c>
    </row>
    <row r="45882" spans="6:8">
      <c r="H45882" t="s">
        <v>36798</v>
      </c>
    </row>
    <row r="45883" spans="6:8">
      <c r="H45883" t="s">
        <v>36799</v>
      </c>
    </row>
    <row r="45884" spans="6:8">
      <c r="H45884" t="s">
        <v>36800</v>
      </c>
    </row>
    <row r="45885" spans="6:8">
      <c r="F45885" t="s">
        <v>14588</v>
      </c>
      <c r="G45885" t="s">
        <v>18506</v>
      </c>
      <c r="H45885" t="s">
        <v>36797</v>
      </c>
    </row>
    <row r="45886" spans="6:8">
      <c r="H45886" t="s">
        <v>36798</v>
      </c>
    </row>
    <row r="45887" spans="6:8">
      <c r="H45887" t="s">
        <v>36799</v>
      </c>
    </row>
    <row r="45888" spans="6:8">
      <c r="H45888" t="s">
        <v>36800</v>
      </c>
    </row>
    <row r="45889" spans="1:8">
      <c r="F45889" t="s">
        <v>14589</v>
      </c>
      <c r="G45889" t="s">
        <v>18507</v>
      </c>
      <c r="H45889" t="s">
        <v>36797</v>
      </c>
    </row>
    <row r="45890" spans="1:8">
      <c r="H45890" t="s">
        <v>36798</v>
      </c>
    </row>
    <row r="45891" spans="1:8">
      <c r="H45891" t="s">
        <v>36799</v>
      </c>
    </row>
    <row r="45892" spans="1:8">
      <c r="H45892" t="s">
        <v>36800</v>
      </c>
    </row>
    <row r="45893" spans="1:8">
      <c r="F45893" t="s">
        <v>14590</v>
      </c>
      <c r="G45893" t="s">
        <v>18508</v>
      </c>
      <c r="H45893" t="s">
        <v>36797</v>
      </c>
    </row>
    <row r="45894" spans="1:8">
      <c r="H45894" t="s">
        <v>36798</v>
      </c>
    </row>
    <row r="45895" spans="1:8">
      <c r="H45895" t="s">
        <v>36799</v>
      </c>
    </row>
    <row r="45896" spans="1:8">
      <c r="H45896" t="s">
        <v>36800</v>
      </c>
    </row>
    <row r="45897" spans="1:8">
      <c r="F45897" t="s">
        <v>14591</v>
      </c>
      <c r="G45897" t="s">
        <v>15004</v>
      </c>
      <c r="H45897" t="s">
        <v>36801</v>
      </c>
    </row>
    <row r="45898" spans="1:8">
      <c r="H45898" t="s">
        <v>36802</v>
      </c>
    </row>
    <row r="45899" spans="1:8">
      <c r="H45899" t="s">
        <v>36803</v>
      </c>
    </row>
    <row r="45900" spans="1:8">
      <c r="H45900" t="s">
        <v>36804</v>
      </c>
    </row>
    <row r="45901" spans="1:8">
      <c r="A45901" t="s">
        <v>4057</v>
      </c>
      <c r="B45901">
        <f>HYPERLINK("https://android.googlesource.com/platform/cts/+/cfda91d6f75a354a484e9a44d80943016650280d", "cfda91d6f75a354a484e9a44d80943016650280d")</f>
        <v>0</v>
      </c>
      <c r="C45901">
        <f>HYPERLINK("https://android.googlesource.com/platform/cts/+/9e43735f96dc7b5f4107885469197498aa34c451", "9e43735f96dc7b5f4107885469197498aa34c451")</f>
        <v>0</v>
      </c>
      <c r="D45901" t="s">
        <v>5409</v>
      </c>
      <c r="E45901" t="s">
        <v>9745</v>
      </c>
      <c r="F45901" t="s">
        <v>14592</v>
      </c>
      <c r="G45901" t="s">
        <v>18509</v>
      </c>
      <c r="H45901" t="s">
        <v>36805</v>
      </c>
    </row>
    <row r="45902" spans="1:8">
      <c r="H45902" t="s">
        <v>36806</v>
      </c>
    </row>
    <row r="45903" spans="1:8">
      <c r="H45903" t="s">
        <v>36807</v>
      </c>
    </row>
    <row r="45904" spans="1:8">
      <c r="H45904" t="s">
        <v>36808</v>
      </c>
    </row>
    <row r="45905" spans="1:8">
      <c r="H45905" t="s">
        <v>36809</v>
      </c>
    </row>
    <row r="45906" spans="1:8">
      <c r="H45906" t="s">
        <v>36810</v>
      </c>
    </row>
    <row r="45907" spans="1:8">
      <c r="A45907" t="s">
        <v>4058</v>
      </c>
      <c r="B45907">
        <f>HYPERLINK("https://android.googlesource.com/platform/cts/+/339037a2fa3671bd5c2fbc65b40adeb062d43d9b", "339037a2fa3671bd5c2fbc65b40adeb062d43d9b")</f>
        <v>0</v>
      </c>
      <c r="C45907">
        <f>HYPERLINK("https://android.googlesource.com/platform/cts/+/cfda91d6f75a354a484e9a44d80943016650280d", "cfda91d6f75a354a484e9a44d80943016650280d")</f>
        <v>0</v>
      </c>
      <c r="D45907" t="s">
        <v>5409</v>
      </c>
      <c r="E45907" t="s">
        <v>9746</v>
      </c>
      <c r="F45907" t="s">
        <v>14593</v>
      </c>
      <c r="G45907" t="s">
        <v>18510</v>
      </c>
      <c r="H45907" t="s">
        <v>36811</v>
      </c>
    </row>
    <row r="45908" spans="1:8">
      <c r="A45908" t="s">
        <v>4059</v>
      </c>
      <c r="B45908">
        <f>HYPERLINK("https://android.googlesource.com/platform/cts/+/8ef187622ee31c14c2f1a4cfdcf9b77ba9cb3941", "8ef187622ee31c14c2f1a4cfdcf9b77ba9cb3941")</f>
        <v>0</v>
      </c>
      <c r="C45908">
        <f>HYPERLINK("https://android.googlesource.com/platform/cts/+/6a925b334338b231d2415243ac91a780332276fd", "6a925b334338b231d2415243ac91a780332276fd")</f>
        <v>0</v>
      </c>
      <c r="D45908" t="s">
        <v>5409</v>
      </c>
      <c r="E45908" t="s">
        <v>9747</v>
      </c>
      <c r="F45908" t="s">
        <v>14288</v>
      </c>
      <c r="G45908" t="s">
        <v>16823</v>
      </c>
      <c r="H45908" t="s">
        <v>36812</v>
      </c>
    </row>
    <row r="45909" spans="1:8">
      <c r="A45909" t="s">
        <v>4060</v>
      </c>
      <c r="B45909">
        <f>HYPERLINK("https://android.googlesource.com/platform/cts/+/53f6df771b69707424f6ef66511b1556d393c2b3", "53f6df771b69707424f6ef66511b1556d393c2b3")</f>
        <v>0</v>
      </c>
      <c r="C45909">
        <f>HYPERLINK("https://android.googlesource.com/platform/cts/+/8ef187622ee31c14c2f1a4cfdcf9b77ba9cb3941", "8ef187622ee31c14c2f1a4cfdcf9b77ba9cb3941")</f>
        <v>0</v>
      </c>
      <c r="D45909" t="s">
        <v>5409</v>
      </c>
      <c r="E45909" t="s">
        <v>9748</v>
      </c>
      <c r="F45909" t="s">
        <v>14288</v>
      </c>
      <c r="G45909" t="s">
        <v>16823</v>
      </c>
      <c r="H45909" t="s">
        <v>36813</v>
      </c>
    </row>
    <row r="45910" spans="1:8">
      <c r="A45910" t="s">
        <v>4061</v>
      </c>
      <c r="B45910">
        <f>HYPERLINK("https://android.googlesource.com/platform/cts/+/b6457332199d648e6e29c0d6d8747740e9a04ee9", "b6457332199d648e6e29c0d6d8747740e9a04ee9")</f>
        <v>0</v>
      </c>
      <c r="C45910">
        <f>HYPERLINK("https://android.googlesource.com/platform/cts/+/53f6df771b69707424f6ef66511b1556d393c2b3", "53f6df771b69707424f6ef66511b1556d393c2b3")</f>
        <v>0</v>
      </c>
      <c r="D45910" t="s">
        <v>5409</v>
      </c>
      <c r="E45910" t="s">
        <v>9749</v>
      </c>
      <c r="F45910" t="s">
        <v>14288</v>
      </c>
      <c r="G45910" t="s">
        <v>16823</v>
      </c>
      <c r="H45910" t="s">
        <v>36814</v>
      </c>
    </row>
    <row r="45911" spans="1:8">
      <c r="H45911" t="s">
        <v>36815</v>
      </c>
    </row>
    <row r="45912" spans="1:8">
      <c r="H45912" t="s">
        <v>36816</v>
      </c>
    </row>
    <row r="45913" spans="1:8">
      <c r="H45913" t="s">
        <v>36817</v>
      </c>
    </row>
    <row r="45914" spans="1:8">
      <c r="H45914" t="s">
        <v>36818</v>
      </c>
    </row>
    <row r="45915" spans="1:8">
      <c r="H45915" t="s">
        <v>20012</v>
      </c>
    </row>
    <row r="45916" spans="1:8">
      <c r="A45916" t="s">
        <v>4062</v>
      </c>
      <c r="B45916">
        <f>HYPERLINK("https://android.googlesource.com/platform/cts/+/a0193e8b64626f92c6a36cb0e0e2219fbcce0b4f", "a0193e8b64626f92c6a36cb0e0e2219fbcce0b4f")</f>
        <v>0</v>
      </c>
      <c r="C45916">
        <f>HYPERLINK("https://android.googlesource.com/platform/cts/+/b6457332199d648e6e29c0d6d8747740e9a04ee9", "b6457332199d648e6e29c0d6d8747740e9a04ee9")</f>
        <v>0</v>
      </c>
      <c r="D45916" t="s">
        <v>5409</v>
      </c>
      <c r="E45916" t="s">
        <v>9750</v>
      </c>
      <c r="F45916" t="s">
        <v>14288</v>
      </c>
      <c r="G45916" t="s">
        <v>16823</v>
      </c>
      <c r="H45916" t="s">
        <v>22678</v>
      </c>
    </row>
    <row r="45917" spans="1:8">
      <c r="H45917" t="s">
        <v>18829</v>
      </c>
    </row>
    <row r="45918" spans="1:8">
      <c r="H45918" t="s">
        <v>18863</v>
      </c>
    </row>
    <row r="45919" spans="1:8">
      <c r="H45919" t="s">
        <v>36819</v>
      </c>
    </row>
    <row r="45920" spans="1:8">
      <c r="H45920" t="s">
        <v>36820</v>
      </c>
    </row>
    <row r="45921" spans="1:8">
      <c r="H45921" t="s">
        <v>36821</v>
      </c>
    </row>
    <row r="45922" spans="1:8">
      <c r="H45922" t="s">
        <v>26259</v>
      </c>
    </row>
    <row r="45923" spans="1:8">
      <c r="H45923" t="s">
        <v>26259</v>
      </c>
    </row>
    <row r="45924" spans="1:8">
      <c r="H45924" t="s">
        <v>36822</v>
      </c>
    </row>
    <row r="45925" spans="1:8">
      <c r="F45925" t="s">
        <v>12743</v>
      </c>
      <c r="G45925" t="s">
        <v>16935</v>
      </c>
      <c r="H45925" t="s">
        <v>28698</v>
      </c>
    </row>
    <row r="45926" spans="1:8">
      <c r="F45926" t="s">
        <v>13229</v>
      </c>
      <c r="G45926" t="s">
        <v>17370</v>
      </c>
      <c r="H45926" t="s">
        <v>32650</v>
      </c>
    </row>
    <row r="45927" spans="1:8">
      <c r="A45927" t="s">
        <v>4063</v>
      </c>
      <c r="B45927">
        <f>HYPERLINK("https://android.googlesource.com/platform/cts/+/4465c1053e4c9d1b0fd47f79ab2fccef46cbfbc3", "4465c1053e4c9d1b0fd47f79ab2fccef46cbfbc3")</f>
        <v>0</v>
      </c>
      <c r="C45927">
        <f>HYPERLINK("https://android.googlesource.com/platform/cts/+/545ce33e994bc6d43612636f079859f9d0596986", "545ce33e994bc6d43612636f079859f9d0596986")</f>
        <v>0</v>
      </c>
      <c r="D45927" t="s">
        <v>5655</v>
      </c>
      <c r="E45927" t="s">
        <v>9751</v>
      </c>
      <c r="F45927" t="s">
        <v>13972</v>
      </c>
      <c r="G45927" t="s">
        <v>17997</v>
      </c>
      <c r="H45927" t="s">
        <v>36823</v>
      </c>
    </row>
    <row r="45928" spans="1:8">
      <c r="A45928" t="s">
        <v>4064</v>
      </c>
      <c r="B45928">
        <f>HYPERLINK("https://android.googlesource.com/platform/cts/+/829d5e4e7304464c4722555c3529fc6210df262f", "829d5e4e7304464c4722555c3529fc6210df262f")</f>
        <v>0</v>
      </c>
      <c r="C45928">
        <f>HYPERLINK("https://android.googlesource.com/platform/cts/+/bd81f2228d771aac9808212899a600effc59ffc6", "bd81f2228d771aac9808212899a600effc59ffc6")</f>
        <v>0</v>
      </c>
      <c r="D45928" t="s">
        <v>5656</v>
      </c>
      <c r="E45928" t="s">
        <v>9752</v>
      </c>
      <c r="F45928" t="s">
        <v>12176</v>
      </c>
      <c r="G45928" t="s">
        <v>16415</v>
      </c>
      <c r="H45928" t="s">
        <v>36824</v>
      </c>
    </row>
    <row r="45929" spans="1:8">
      <c r="H45929" t="s">
        <v>36825</v>
      </c>
    </row>
    <row r="45930" spans="1:8">
      <c r="H45930" t="s">
        <v>36826</v>
      </c>
    </row>
    <row r="45931" spans="1:8">
      <c r="H45931" t="s">
        <v>36827</v>
      </c>
    </row>
    <row r="45932" spans="1:8">
      <c r="H45932" t="s">
        <v>36828</v>
      </c>
    </row>
    <row r="45933" spans="1:8">
      <c r="H45933" t="s">
        <v>36829</v>
      </c>
    </row>
    <row r="45934" spans="1:8">
      <c r="H45934" t="s">
        <v>36830</v>
      </c>
    </row>
    <row r="45935" spans="1:8">
      <c r="H45935" t="s">
        <v>36831</v>
      </c>
    </row>
    <row r="45936" spans="1:8">
      <c r="A45936" t="s">
        <v>4065</v>
      </c>
      <c r="B45936">
        <f>HYPERLINK("https://android.googlesource.com/platform/cts/+/cb983479a294803844eed1b05d4cea08ed5b8546", "cb983479a294803844eed1b05d4cea08ed5b8546")</f>
        <v>0</v>
      </c>
      <c r="C45936">
        <f>HYPERLINK("https://android.googlesource.com/platform/cts/+/ef63312983f1770df44884684d8b2c7266eb1786", "ef63312983f1770df44884684d8b2c7266eb1786")</f>
        <v>0</v>
      </c>
      <c r="D45936" t="s">
        <v>5624</v>
      </c>
      <c r="E45936" t="s">
        <v>9753</v>
      </c>
      <c r="F45936" t="s">
        <v>12176</v>
      </c>
      <c r="G45936" t="s">
        <v>16415</v>
      </c>
      <c r="H45936" t="s">
        <v>36789</v>
      </c>
    </row>
    <row r="45937" spans="1:8">
      <c r="H45937" t="s">
        <v>36790</v>
      </c>
    </row>
    <row r="45938" spans="1:8">
      <c r="H45938" t="s">
        <v>36791</v>
      </c>
    </row>
    <row r="45939" spans="1:8">
      <c r="H45939" t="s">
        <v>36792</v>
      </c>
    </row>
    <row r="45940" spans="1:8">
      <c r="A45940" t="s">
        <v>4066</v>
      </c>
      <c r="B45940">
        <f>HYPERLINK("https://android.googlesource.com/platform/cts/+/f22c02928c1dbd70085f31d59da32d1f928a6469", "f22c02928c1dbd70085f31d59da32d1f928a6469")</f>
        <v>0</v>
      </c>
      <c r="C45940">
        <f>HYPERLINK("https://android.googlesource.com/platform/cts/+/fd59cf5951ea7faa766ff9d66dece20fba341965", "fd59cf5951ea7faa766ff9d66dece20fba341965")</f>
        <v>0</v>
      </c>
      <c r="D45940" t="s">
        <v>5366</v>
      </c>
      <c r="E45940" t="s">
        <v>9754</v>
      </c>
      <c r="F45940" t="s">
        <v>13753</v>
      </c>
      <c r="G45940" t="s">
        <v>17813</v>
      </c>
      <c r="H45940" t="s">
        <v>36832</v>
      </c>
    </row>
    <row r="45941" spans="1:8">
      <c r="H45941" t="s">
        <v>36833</v>
      </c>
    </row>
    <row r="45942" spans="1:8">
      <c r="H45942" t="s">
        <v>36834</v>
      </c>
    </row>
    <row r="45943" spans="1:8">
      <c r="H45943" t="s">
        <v>36835</v>
      </c>
    </row>
    <row r="45944" spans="1:8">
      <c r="F45944" t="s">
        <v>14252</v>
      </c>
      <c r="G45944" t="s">
        <v>18217</v>
      </c>
      <c r="H45944" t="s">
        <v>36836</v>
      </c>
    </row>
    <row r="45945" spans="1:8">
      <c r="H45945" t="s">
        <v>36837</v>
      </c>
    </row>
    <row r="45946" spans="1:8">
      <c r="H45946" t="s">
        <v>18829</v>
      </c>
    </row>
    <row r="45947" spans="1:8">
      <c r="H45947" t="s">
        <v>18863</v>
      </c>
    </row>
    <row r="45948" spans="1:8">
      <c r="H45948" t="s">
        <v>36838</v>
      </c>
    </row>
    <row r="45949" spans="1:8">
      <c r="H45949" t="s">
        <v>36839</v>
      </c>
    </row>
    <row r="45950" spans="1:8">
      <c r="A45950" t="s">
        <v>4067</v>
      </c>
      <c r="B45950">
        <f>HYPERLINK("https://android.googlesource.com/platform/cts/+/92236ff8b2cb5085333a6847e97fde12c2ed32d1", "92236ff8b2cb5085333a6847e97fde12c2ed32d1")</f>
        <v>0</v>
      </c>
      <c r="C45950">
        <f>HYPERLINK("https://android.googlesource.com/platform/cts/+/a22031ffe4e9c114edaf40f834602f42baf2e8ea", "a22031ffe4e9c114edaf40f834602f42baf2e8ea")</f>
        <v>0</v>
      </c>
      <c r="D45950" t="s">
        <v>5617</v>
      </c>
      <c r="E45950" t="s">
        <v>9755</v>
      </c>
      <c r="F45950" t="s">
        <v>14594</v>
      </c>
      <c r="G45950" t="s">
        <v>18511</v>
      </c>
      <c r="H45950" t="s">
        <v>36840</v>
      </c>
    </row>
    <row r="45951" spans="1:8">
      <c r="H45951" t="s">
        <v>36841</v>
      </c>
    </row>
    <row r="45952" spans="1:8">
      <c r="F45952" t="s">
        <v>14595</v>
      </c>
      <c r="G45952" t="s">
        <v>18512</v>
      </c>
      <c r="H45952" t="s">
        <v>36842</v>
      </c>
    </row>
    <row r="45953" spans="1:8">
      <c r="H45953" t="s">
        <v>36843</v>
      </c>
    </row>
    <row r="45954" spans="1:8">
      <c r="H45954" t="s">
        <v>34042</v>
      </c>
    </row>
    <row r="45955" spans="1:8">
      <c r="F45955" t="s">
        <v>14596</v>
      </c>
      <c r="G45955" t="s">
        <v>18513</v>
      </c>
      <c r="H45955" t="s">
        <v>36844</v>
      </c>
    </row>
    <row r="45956" spans="1:8">
      <c r="H45956" t="s">
        <v>36845</v>
      </c>
    </row>
    <row r="45957" spans="1:8">
      <c r="H45957" t="s">
        <v>36846</v>
      </c>
    </row>
    <row r="45958" spans="1:8">
      <c r="A45958" t="s">
        <v>4068</v>
      </c>
      <c r="B45958">
        <f>HYPERLINK("https://android.googlesource.com/platform/cts/+/84c0c1d5eeb90653da9b30c9d85f09b3571568b5", "84c0c1d5eeb90653da9b30c9d85f09b3571568b5")</f>
        <v>0</v>
      </c>
      <c r="C45958">
        <f>HYPERLINK("https://android.googlesource.com/platform/cts/+/571a8a110ff5c15281c7e448e5c5a1838205122b", "571a8a110ff5c15281c7e448e5c5a1838205122b")</f>
        <v>0</v>
      </c>
      <c r="D45958" t="s">
        <v>5040</v>
      </c>
      <c r="E45958" t="s">
        <v>9756</v>
      </c>
      <c r="F45958" t="s">
        <v>14597</v>
      </c>
      <c r="G45958" t="s">
        <v>18440</v>
      </c>
      <c r="H45958" t="s">
        <v>36847</v>
      </c>
    </row>
    <row r="45959" spans="1:8">
      <c r="A45959" t="s">
        <v>4069</v>
      </c>
      <c r="B45959">
        <f>HYPERLINK("https://android.googlesource.com/platform/cts/+/929e35c4a53453d4d71d240e23c4822e86b7c1fb", "929e35c4a53453d4d71d240e23c4822e86b7c1fb")</f>
        <v>0</v>
      </c>
      <c r="C45959">
        <f>HYPERLINK("https://android.googlesource.com/platform/cts/+/96985e3eb9c520e19c00f1354a8fe26cf318db47", "96985e3eb9c520e19c00f1354a8fe26cf318db47")</f>
        <v>0</v>
      </c>
      <c r="D45959" t="s">
        <v>5633</v>
      </c>
      <c r="E45959" t="s">
        <v>9757</v>
      </c>
      <c r="F45959" t="s">
        <v>13398</v>
      </c>
      <c r="G45959" t="s">
        <v>17524</v>
      </c>
      <c r="H45959" t="s">
        <v>36848</v>
      </c>
    </row>
    <row r="45960" spans="1:8">
      <c r="A45960" t="s">
        <v>4070</v>
      </c>
      <c r="B45960">
        <f>HYPERLINK("https://android.googlesource.com/platform/cts/+/a28785a14c67a24877f1d48aa0956fd122c82a05", "a28785a14c67a24877f1d48aa0956fd122c82a05")</f>
        <v>0</v>
      </c>
      <c r="C45960">
        <f>HYPERLINK("https://android.googlesource.com/platform/cts/+/2351a964deb1dc06db025e0c433a8d696b84596b", "2351a964deb1dc06db025e0c433a8d696b84596b")</f>
        <v>0</v>
      </c>
      <c r="D45960" t="s">
        <v>5481</v>
      </c>
      <c r="E45960" t="s">
        <v>9758</v>
      </c>
      <c r="F45960" t="s">
        <v>14598</v>
      </c>
      <c r="G45960" t="s">
        <v>18514</v>
      </c>
      <c r="H45960" t="s">
        <v>36849</v>
      </c>
    </row>
    <row r="45961" spans="1:8">
      <c r="H45961" t="s">
        <v>36850</v>
      </c>
    </row>
    <row r="45962" spans="1:8">
      <c r="A45962" t="s">
        <v>4071</v>
      </c>
      <c r="B45962">
        <f>HYPERLINK("https://android.googlesource.com/platform/cts/+/a794b7d78fa4e8398cf04db7e02a46cc97e8526d", "a794b7d78fa4e8398cf04db7e02a46cc97e8526d")</f>
        <v>0</v>
      </c>
      <c r="C45962">
        <f>HYPERLINK("https://android.googlesource.com/platform/cts/+/66baade6fdd2337e863569a9b3af6818f20e2d22", "66baade6fdd2337e863569a9b3af6818f20e2d22")</f>
        <v>0</v>
      </c>
      <c r="D45962" t="s">
        <v>5617</v>
      </c>
      <c r="E45962" t="s">
        <v>9759</v>
      </c>
      <c r="F45962" t="s">
        <v>14599</v>
      </c>
      <c r="G45962" t="s">
        <v>18515</v>
      </c>
      <c r="H45962" t="s">
        <v>36851</v>
      </c>
    </row>
    <row r="45963" spans="1:8">
      <c r="H45963" t="s">
        <v>34045</v>
      </c>
    </row>
    <row r="45964" spans="1:8">
      <c r="F45964" t="s">
        <v>14600</v>
      </c>
      <c r="G45964" t="s">
        <v>18516</v>
      </c>
      <c r="H45964" t="s">
        <v>36852</v>
      </c>
    </row>
    <row r="45965" spans="1:8">
      <c r="H45965" t="s">
        <v>36853</v>
      </c>
    </row>
    <row r="45966" spans="1:8">
      <c r="H45966" t="s">
        <v>36854</v>
      </c>
    </row>
    <row r="45967" spans="1:8">
      <c r="H45967" t="s">
        <v>36855</v>
      </c>
    </row>
    <row r="45968" spans="1:8">
      <c r="A45968" t="s">
        <v>4072</v>
      </c>
      <c r="B45968">
        <f>HYPERLINK("https://android.googlesource.com/platform/cts/+/fdbebcda510299f470617e8f4afab6f1096313f6", "fdbebcda510299f470617e8f4afab6f1096313f6")</f>
        <v>0</v>
      </c>
      <c r="C45968">
        <f>HYPERLINK("https://android.googlesource.com/platform/cts/+/c8e16608b19f82295bdb42ddad671139f05129ce", "c8e16608b19f82295bdb42ddad671139f05129ce")</f>
        <v>0</v>
      </c>
      <c r="D45968" t="s">
        <v>5244</v>
      </c>
      <c r="E45968" t="s">
        <v>9760</v>
      </c>
      <c r="F45968" t="s">
        <v>14565</v>
      </c>
      <c r="G45968" t="s">
        <v>18486</v>
      </c>
      <c r="H45968" t="s">
        <v>18863</v>
      </c>
    </row>
    <row r="45969" spans="1:8">
      <c r="A45969" t="s">
        <v>4073</v>
      </c>
      <c r="B45969">
        <f>HYPERLINK("https://android.googlesource.com/platform/cts/+/18c4bcfcce7baf85e56042e3ab77f5892d9019b9", "18c4bcfcce7baf85e56042e3ab77f5892d9019b9")</f>
        <v>0</v>
      </c>
      <c r="C45969">
        <f>HYPERLINK("https://android.googlesource.com/platform/cts/+/5c52652b7162ca308f05b35009f2d9d12ef96db9", "5c52652b7162ca308f05b35009f2d9d12ef96db9")</f>
        <v>0</v>
      </c>
      <c r="D45969" t="s">
        <v>5657</v>
      </c>
      <c r="E45969" t="s">
        <v>9761</v>
      </c>
      <c r="F45969" t="s">
        <v>14601</v>
      </c>
      <c r="G45969" t="s">
        <v>18517</v>
      </c>
      <c r="H45969" t="s">
        <v>36856</v>
      </c>
    </row>
    <row r="45970" spans="1:8">
      <c r="A45970" t="s">
        <v>4074</v>
      </c>
      <c r="B45970">
        <f>HYPERLINK("https://android.googlesource.com/platform/cts/+/11447fb800a6321d1137abd430f38ab9d28e0700", "11447fb800a6321d1137abd430f38ab9d28e0700")</f>
        <v>0</v>
      </c>
      <c r="C45970">
        <f>HYPERLINK("https://android.googlesource.com/platform/cts/+/89b6b7107cf2f788ada01b4cd37a43aee70ff471", "89b6b7107cf2f788ada01b4cd37a43aee70ff471")</f>
        <v>0</v>
      </c>
      <c r="D45970" t="s">
        <v>5607</v>
      </c>
      <c r="E45970" t="s">
        <v>9762</v>
      </c>
      <c r="F45970" t="s">
        <v>14563</v>
      </c>
      <c r="G45970" t="s">
        <v>18409</v>
      </c>
      <c r="H45970" t="s">
        <v>36857</v>
      </c>
    </row>
    <row r="45971" spans="1:8">
      <c r="A45971" t="s">
        <v>4075</v>
      </c>
      <c r="B45971">
        <f>HYPERLINK("https://android.googlesource.com/platform/cts/+/d6416f6c1ba1b29f1bee853bc72d67230ad195f5", "d6416f6c1ba1b29f1bee853bc72d67230ad195f5")</f>
        <v>0</v>
      </c>
      <c r="C45971">
        <f>HYPERLINK("https://android.googlesource.com/platform/cts/+/beb84403b653b73428da06c747fc182ce2bdaed5", "beb84403b653b73428da06c747fc182ce2bdaed5")</f>
        <v>0</v>
      </c>
      <c r="D45971" t="s">
        <v>5400</v>
      </c>
      <c r="E45971" t="s">
        <v>9763</v>
      </c>
      <c r="F45971" t="s">
        <v>14474</v>
      </c>
      <c r="G45971" t="s">
        <v>18406</v>
      </c>
      <c r="H45971" t="s">
        <v>36858</v>
      </c>
    </row>
    <row r="45972" spans="1:8">
      <c r="H45972" t="s">
        <v>36858</v>
      </c>
    </row>
    <row r="45973" spans="1:8">
      <c r="A45973" t="s">
        <v>4076</v>
      </c>
      <c r="B45973">
        <f>HYPERLINK("https://android.googlesource.com/platform/cts/+/a5f0800d7b43d8ad5d73ed5437a7adcec1a22358", "a5f0800d7b43d8ad5d73ed5437a7adcec1a22358")</f>
        <v>0</v>
      </c>
      <c r="C45973">
        <f>HYPERLINK("https://android.googlesource.com/platform/cts/+/eb555cdd4c41591dd4811c98316ce6e7c02f8779", "eb555cdd4c41591dd4811c98316ce6e7c02f8779")</f>
        <v>0</v>
      </c>
      <c r="D45973" t="s">
        <v>5219</v>
      </c>
      <c r="E45973" t="s">
        <v>9764</v>
      </c>
      <c r="F45973" t="s">
        <v>14512</v>
      </c>
      <c r="G45973" t="s">
        <v>18414</v>
      </c>
      <c r="H45973" t="s">
        <v>36859</v>
      </c>
    </row>
    <row r="45974" spans="1:8">
      <c r="A45974" t="s">
        <v>4077</v>
      </c>
      <c r="B45974">
        <f>HYPERLINK("https://android.googlesource.com/platform/cts/+/e0453ae822136b3ee591aefeaa3efd9c9e8b4217", "e0453ae822136b3ee591aefeaa3efd9c9e8b4217")</f>
        <v>0</v>
      </c>
      <c r="C45974">
        <f>HYPERLINK("https://android.googlesource.com/platform/cts/+/20687daf1bffe90dcfeaf6fe0fc281f2c38f3b6d", "20687daf1bffe90dcfeaf6fe0fc281f2c38f3b6d")</f>
        <v>0</v>
      </c>
      <c r="D45974" t="s">
        <v>5272</v>
      </c>
      <c r="E45974" t="s">
        <v>9765</v>
      </c>
      <c r="F45974" t="s">
        <v>14602</v>
      </c>
      <c r="G45974" t="s">
        <v>18518</v>
      </c>
      <c r="H45974" t="s">
        <v>36860</v>
      </c>
    </row>
    <row r="45975" spans="1:8">
      <c r="A45975" t="s">
        <v>4078</v>
      </c>
      <c r="B45975">
        <f>HYPERLINK("https://android.googlesource.com/platform/cts/+/399d918e8b920cda68d72c29b2edd2bb2bc80c89", "399d918e8b920cda68d72c29b2edd2bb2bc80c89")</f>
        <v>0</v>
      </c>
      <c r="C45975">
        <f>HYPERLINK("https://android.googlesource.com/platform/cts/+/84c0c1d5eeb90653da9b30c9d85f09b3571568b5", "84c0c1d5eeb90653da9b30c9d85f09b3571568b5")</f>
        <v>0</v>
      </c>
      <c r="D45975" t="s">
        <v>5040</v>
      </c>
      <c r="E45975" t="s">
        <v>9766</v>
      </c>
      <c r="F45975" t="s">
        <v>14509</v>
      </c>
      <c r="G45975" t="s">
        <v>18437</v>
      </c>
      <c r="H45975" t="s">
        <v>18829</v>
      </c>
    </row>
    <row r="45976" spans="1:8">
      <c r="H45976" t="s">
        <v>18863</v>
      </c>
    </row>
    <row r="45977" spans="1:8">
      <c r="H45977" t="s">
        <v>36285</v>
      </c>
    </row>
    <row r="45978" spans="1:8">
      <c r="H45978" t="s">
        <v>36286</v>
      </c>
    </row>
    <row r="45979" spans="1:8">
      <c r="H45979" t="s">
        <v>36296</v>
      </c>
    </row>
    <row r="45980" spans="1:8">
      <c r="H45980" t="s">
        <v>36297</v>
      </c>
    </row>
    <row r="45981" spans="1:8">
      <c r="H45981" t="s">
        <v>36861</v>
      </c>
    </row>
    <row r="45982" spans="1:8">
      <c r="H45982" t="s">
        <v>36299</v>
      </c>
    </row>
    <row r="45983" spans="1:8">
      <c r="H45983" t="s">
        <v>36300</v>
      </c>
    </row>
    <row r="45984" spans="1:8">
      <c r="H45984" t="s">
        <v>36301</v>
      </c>
    </row>
    <row r="45985" spans="1:8">
      <c r="H45985" t="s">
        <v>36303</v>
      </c>
    </row>
    <row r="45986" spans="1:8">
      <c r="F45986" t="s">
        <v>14597</v>
      </c>
      <c r="G45986" t="s">
        <v>18440</v>
      </c>
      <c r="H45986" t="s">
        <v>36862</v>
      </c>
    </row>
    <row r="45987" spans="1:8">
      <c r="H45987" t="s">
        <v>36863</v>
      </c>
    </row>
    <row r="45988" spans="1:8">
      <c r="H45988" t="s">
        <v>36864</v>
      </c>
    </row>
    <row r="45989" spans="1:8">
      <c r="H45989" t="s">
        <v>36865</v>
      </c>
    </row>
    <row r="45990" spans="1:8">
      <c r="H45990" t="s">
        <v>36866</v>
      </c>
    </row>
    <row r="45991" spans="1:8">
      <c r="A45991" t="s">
        <v>4079</v>
      </c>
      <c r="B45991">
        <f>HYPERLINK("https://android.googlesource.com/platform/cts/+/829386b620dde8170ae47533a3b6b7bd75bc7565", "829386b620dde8170ae47533a3b6b7bd75bc7565")</f>
        <v>0</v>
      </c>
      <c r="C45991">
        <f>HYPERLINK("https://android.googlesource.com/platform/cts/+/1355cadedc27797470a534de824c05beba313736", "1355cadedc27797470a534de824c05beba313736")</f>
        <v>0</v>
      </c>
      <c r="D45991" t="s">
        <v>5409</v>
      </c>
      <c r="E45991" t="s">
        <v>9767</v>
      </c>
      <c r="F45991" t="s">
        <v>14462</v>
      </c>
      <c r="G45991" t="s">
        <v>18326</v>
      </c>
      <c r="H45991" t="s">
        <v>36867</v>
      </c>
    </row>
    <row r="45992" spans="1:8">
      <c r="H45992" t="s">
        <v>36868</v>
      </c>
    </row>
    <row r="45993" spans="1:8">
      <c r="H45993" t="s">
        <v>36869</v>
      </c>
    </row>
    <row r="45994" spans="1:8">
      <c r="H45994" t="s">
        <v>36870</v>
      </c>
    </row>
    <row r="45995" spans="1:8">
      <c r="H45995" t="s">
        <v>36871</v>
      </c>
    </row>
    <row r="45996" spans="1:8">
      <c r="H45996" t="s">
        <v>36872</v>
      </c>
    </row>
    <row r="45997" spans="1:8">
      <c r="H45997" t="s">
        <v>36873</v>
      </c>
    </row>
    <row r="45998" spans="1:8">
      <c r="H45998" t="s">
        <v>36874</v>
      </c>
    </row>
    <row r="45999" spans="1:8">
      <c r="H45999" t="s">
        <v>36875</v>
      </c>
    </row>
    <row r="46000" spans="1:8">
      <c r="H46000" t="s">
        <v>36876</v>
      </c>
    </row>
    <row r="46001" spans="8:8">
      <c r="H46001" t="s">
        <v>36877</v>
      </c>
    </row>
    <row r="46002" spans="8:8">
      <c r="H46002" t="s">
        <v>36878</v>
      </c>
    </row>
    <row r="46003" spans="8:8">
      <c r="H46003" t="s">
        <v>36879</v>
      </c>
    </row>
    <row r="46004" spans="8:8">
      <c r="H46004" t="s">
        <v>36880</v>
      </c>
    </row>
    <row r="46005" spans="8:8">
      <c r="H46005" t="s">
        <v>36881</v>
      </c>
    </row>
    <row r="46006" spans="8:8">
      <c r="H46006" t="s">
        <v>36882</v>
      </c>
    </row>
    <row r="46007" spans="8:8">
      <c r="H46007" t="s">
        <v>36883</v>
      </c>
    </row>
    <row r="46008" spans="8:8">
      <c r="H46008" t="s">
        <v>36884</v>
      </c>
    </row>
    <row r="46009" spans="8:8">
      <c r="H46009" t="s">
        <v>36885</v>
      </c>
    </row>
    <row r="46010" spans="8:8">
      <c r="H46010" t="s">
        <v>36886</v>
      </c>
    </row>
    <row r="46011" spans="8:8">
      <c r="H46011" t="s">
        <v>36887</v>
      </c>
    </row>
    <row r="46012" spans="8:8">
      <c r="H46012" t="s">
        <v>36888</v>
      </c>
    </row>
    <row r="46013" spans="8:8">
      <c r="H46013" t="s">
        <v>36889</v>
      </c>
    </row>
    <row r="46014" spans="8:8">
      <c r="H46014" t="s">
        <v>36890</v>
      </c>
    </row>
    <row r="46015" spans="8:8">
      <c r="H46015" t="s">
        <v>36891</v>
      </c>
    </row>
    <row r="46016" spans="8:8">
      <c r="H46016" t="s">
        <v>36892</v>
      </c>
    </row>
    <row r="46017" spans="8:8">
      <c r="H46017" t="s">
        <v>36893</v>
      </c>
    </row>
    <row r="46018" spans="8:8">
      <c r="H46018" t="s">
        <v>36894</v>
      </c>
    </row>
    <row r="46019" spans="8:8">
      <c r="H46019" t="s">
        <v>36895</v>
      </c>
    </row>
    <row r="46020" spans="8:8">
      <c r="H46020" t="s">
        <v>36896</v>
      </c>
    </row>
    <row r="46021" spans="8:8">
      <c r="H46021" t="s">
        <v>36897</v>
      </c>
    </row>
    <row r="46022" spans="8:8">
      <c r="H46022" t="s">
        <v>36898</v>
      </c>
    </row>
    <row r="46023" spans="8:8">
      <c r="H46023" t="s">
        <v>36899</v>
      </c>
    </row>
    <row r="46024" spans="8:8">
      <c r="H46024" t="s">
        <v>36900</v>
      </c>
    </row>
    <row r="46025" spans="8:8">
      <c r="H46025" t="s">
        <v>36901</v>
      </c>
    </row>
    <row r="46026" spans="8:8">
      <c r="H46026" t="s">
        <v>36902</v>
      </c>
    </row>
    <row r="46027" spans="8:8">
      <c r="H46027" t="s">
        <v>36903</v>
      </c>
    </row>
    <row r="46028" spans="8:8">
      <c r="H46028" t="s">
        <v>36904</v>
      </c>
    </row>
    <row r="46029" spans="8:8">
      <c r="H46029" t="s">
        <v>36905</v>
      </c>
    </row>
    <row r="46030" spans="8:8">
      <c r="H46030" t="s">
        <v>36906</v>
      </c>
    </row>
    <row r="46031" spans="8:8">
      <c r="H46031" t="s">
        <v>36907</v>
      </c>
    </row>
    <row r="46032" spans="8:8">
      <c r="H46032" t="s">
        <v>36908</v>
      </c>
    </row>
    <row r="46033" spans="1:8">
      <c r="H46033" t="s">
        <v>36909</v>
      </c>
    </row>
    <row r="46034" spans="1:8">
      <c r="H46034" t="s">
        <v>36910</v>
      </c>
    </row>
    <row r="46035" spans="1:8">
      <c r="H46035" t="s">
        <v>36911</v>
      </c>
    </row>
    <row r="46036" spans="1:8">
      <c r="H46036" t="s">
        <v>36912</v>
      </c>
    </row>
    <row r="46037" spans="1:8">
      <c r="A46037" t="s">
        <v>4080</v>
      </c>
      <c r="B46037">
        <f>HYPERLINK("https://android.googlesource.com/platform/cts/+/177e833a9b25ec90501ee98f062177f2b57f2611", "177e833a9b25ec90501ee98f062177f2b57f2611")</f>
        <v>0</v>
      </c>
      <c r="C46037">
        <f>HYPERLINK("https://android.googlesource.com/platform/cts/+/a0193e8b64626f92c6a36cb0e0e2219fbcce0b4f", "a0193e8b64626f92c6a36cb0e0e2219fbcce0b4f")</f>
        <v>0</v>
      </c>
      <c r="D46037" t="s">
        <v>5409</v>
      </c>
      <c r="E46037" t="s">
        <v>9768</v>
      </c>
      <c r="F46037" t="s">
        <v>14603</v>
      </c>
      <c r="G46037" t="s">
        <v>18519</v>
      </c>
      <c r="H46037" t="s">
        <v>36913</v>
      </c>
    </row>
    <row r="46038" spans="1:8">
      <c r="H46038" t="s">
        <v>36914</v>
      </c>
    </row>
    <row r="46039" spans="1:8">
      <c r="F46039" t="s">
        <v>13136</v>
      </c>
      <c r="G46039" t="s">
        <v>17293</v>
      </c>
      <c r="H46039" t="s">
        <v>28698</v>
      </c>
    </row>
    <row r="46040" spans="1:8">
      <c r="A46040" t="s">
        <v>4081</v>
      </c>
      <c r="B46040">
        <f>HYPERLINK("https://android.googlesource.com/platform/cts/+/fc53507da74861adec8321847e7902418ff9a553", "fc53507da74861adec8321847e7902418ff9a553")</f>
        <v>0</v>
      </c>
      <c r="C46040">
        <f>HYPERLINK("https://android.googlesource.com/platform/cts/+/372cbf7570b4f701f9b9984d95586130d9de8e1c", "372cbf7570b4f701f9b9984d95586130d9de8e1c")</f>
        <v>0</v>
      </c>
      <c r="D46040" t="s">
        <v>5428</v>
      </c>
      <c r="E46040" t="s">
        <v>9769</v>
      </c>
      <c r="F46040" t="s">
        <v>14604</v>
      </c>
      <c r="G46040" t="s">
        <v>18520</v>
      </c>
      <c r="H46040" t="s">
        <v>18829</v>
      </c>
    </row>
    <row r="46041" spans="1:8">
      <c r="H46041" t="s">
        <v>18863</v>
      </c>
    </row>
    <row r="46042" spans="1:8">
      <c r="H46042" t="s">
        <v>36915</v>
      </c>
    </row>
    <row r="46043" spans="1:8">
      <c r="H46043" t="s">
        <v>36916</v>
      </c>
    </row>
    <row r="46044" spans="1:8">
      <c r="H46044" t="s">
        <v>29719</v>
      </c>
    </row>
    <row r="46045" spans="1:8">
      <c r="H46045" t="s">
        <v>31438</v>
      </c>
    </row>
    <row r="46046" spans="1:8">
      <c r="A46046" t="s">
        <v>4082</v>
      </c>
      <c r="B46046">
        <f>HYPERLINK("https://android.googlesource.com/platform/cts/+/d303182399bfc0d15f7687c9664521aacee236b0", "d303182399bfc0d15f7687c9664521aacee236b0")</f>
        <v>0</v>
      </c>
      <c r="C46046">
        <f>HYPERLINK("https://android.googlesource.com/platform/cts/+/2d04aecf20acc2f34db257d18ea37e8e10fe6590", "2d04aecf20acc2f34db257d18ea37e8e10fe6590")</f>
        <v>0</v>
      </c>
      <c r="D46046" t="s">
        <v>5658</v>
      </c>
      <c r="E46046" t="s">
        <v>9770</v>
      </c>
      <c r="F46046" t="s">
        <v>14605</v>
      </c>
      <c r="G46046" t="s">
        <v>18521</v>
      </c>
      <c r="H46046" t="s">
        <v>36917</v>
      </c>
    </row>
    <row r="46047" spans="1:8">
      <c r="H46047" t="s">
        <v>36918</v>
      </c>
    </row>
    <row r="46048" spans="1:8">
      <c r="H46048" t="s">
        <v>36919</v>
      </c>
    </row>
    <row r="46049" spans="1:8">
      <c r="H46049" t="s">
        <v>36920</v>
      </c>
    </row>
    <row r="46050" spans="1:8">
      <c r="H46050" t="s">
        <v>36921</v>
      </c>
    </row>
    <row r="46051" spans="1:8">
      <c r="H46051" t="s">
        <v>36922</v>
      </c>
    </row>
    <row r="46052" spans="1:8">
      <c r="H46052" t="s">
        <v>36923</v>
      </c>
    </row>
    <row r="46053" spans="1:8">
      <c r="H46053" t="s">
        <v>36924</v>
      </c>
    </row>
    <row r="46054" spans="1:8">
      <c r="A46054" t="s">
        <v>4083</v>
      </c>
      <c r="B46054">
        <f>HYPERLINK("https://android.googlesource.com/platform/cts/+/d99aacffb19cacb5e499eb408cffaaa0e13082d9", "d99aacffb19cacb5e499eb408cffaaa0e13082d9")</f>
        <v>0</v>
      </c>
      <c r="C46054">
        <f>HYPERLINK("https://android.googlesource.com/platform/cts/+/8dca3f08e790556c42def133d23b7c002ca3608f", "8dca3f08e790556c42def133d23b7c002ca3608f")</f>
        <v>0</v>
      </c>
      <c r="D46054" t="s">
        <v>5268</v>
      </c>
      <c r="E46054" t="s">
        <v>9771</v>
      </c>
      <c r="F46054" t="s">
        <v>14207</v>
      </c>
      <c r="G46054" t="s">
        <v>18183</v>
      </c>
      <c r="H46054" t="s">
        <v>36704</v>
      </c>
    </row>
    <row r="46055" spans="1:8">
      <c r="H46055" t="s">
        <v>36705</v>
      </c>
    </row>
    <row r="46056" spans="1:8">
      <c r="H46056" t="s">
        <v>36706</v>
      </c>
    </row>
    <row r="46057" spans="1:8">
      <c r="H46057" t="s">
        <v>36707</v>
      </c>
    </row>
    <row r="46058" spans="1:8">
      <c r="F46058" t="s">
        <v>14208</v>
      </c>
      <c r="G46058" t="s">
        <v>18184</v>
      </c>
      <c r="H46058" t="s">
        <v>34044</v>
      </c>
    </row>
    <row r="46059" spans="1:8">
      <c r="A46059" t="s">
        <v>4084</v>
      </c>
      <c r="B46059">
        <f>HYPERLINK("https://android.googlesource.com/platform/cts/+/27aad09fd59b2d9395c2253b535de24753a801b5", "27aad09fd59b2d9395c2253b535de24753a801b5")</f>
        <v>0</v>
      </c>
      <c r="C46059">
        <f>HYPERLINK("https://android.googlesource.com/platform/cts/+/7f1a976ea7aff647838cd5552f26bce4d624b998", "7f1a976ea7aff647838cd5552f26bce4d624b998")</f>
        <v>0</v>
      </c>
      <c r="D46059" t="s">
        <v>5472</v>
      </c>
      <c r="E46059" t="s">
        <v>9772</v>
      </c>
      <c r="F46059" t="s">
        <v>12743</v>
      </c>
      <c r="G46059" t="s">
        <v>16935</v>
      </c>
      <c r="H46059" t="s">
        <v>36925</v>
      </c>
    </row>
    <row r="46060" spans="1:8">
      <c r="F46060" t="s">
        <v>13229</v>
      </c>
      <c r="G46060" t="s">
        <v>17370</v>
      </c>
      <c r="H46060" t="s">
        <v>36925</v>
      </c>
    </row>
    <row r="46061" spans="1:8">
      <c r="A46061" t="s">
        <v>4085</v>
      </c>
      <c r="B46061">
        <f>HYPERLINK("https://android.googlesource.com/platform/cts/+/bddb9a9d1df8b708ed8f1d7b0fd8a77bbdbed021", "bddb9a9d1df8b708ed8f1d7b0fd8a77bbdbed021")</f>
        <v>0</v>
      </c>
      <c r="C46061">
        <f>HYPERLINK("https://android.googlesource.com/platform/cts/+/2d04aecf20acc2f34db257d18ea37e8e10fe6590", "2d04aecf20acc2f34db257d18ea37e8e10fe6590")</f>
        <v>0</v>
      </c>
      <c r="D46061" t="s">
        <v>5657</v>
      </c>
      <c r="E46061" t="s">
        <v>9773</v>
      </c>
      <c r="F46061" t="s">
        <v>14023</v>
      </c>
      <c r="G46061" t="s">
        <v>18032</v>
      </c>
      <c r="H46061" t="s">
        <v>36926</v>
      </c>
    </row>
    <row r="46062" spans="1:8">
      <c r="A46062" t="s">
        <v>4086</v>
      </c>
      <c r="B46062">
        <f>HYPERLINK("https://android.googlesource.com/platform/cts/+/efe8ae86a745ca7c0382dc7a7abc12d160674a9c", "efe8ae86a745ca7c0382dc7a7abc12d160674a9c")</f>
        <v>0</v>
      </c>
      <c r="C46062">
        <f>HYPERLINK("https://android.googlesource.com/platform/cts/+/8d99d20d9310ff481ead5c64e436b2b4c7aae290", "8d99d20d9310ff481ead5c64e436b2b4c7aae290")</f>
        <v>0</v>
      </c>
      <c r="D46062" t="s">
        <v>5266</v>
      </c>
      <c r="E46062" t="s">
        <v>9774</v>
      </c>
      <c r="F46062" t="s">
        <v>13911</v>
      </c>
      <c r="G46062" t="s">
        <v>17948</v>
      </c>
      <c r="H46062" t="s">
        <v>36927</v>
      </c>
    </row>
    <row r="46063" spans="1:8">
      <c r="H46063" t="s">
        <v>19327</v>
      </c>
    </row>
    <row r="46064" spans="1:8">
      <c r="H46064" t="s">
        <v>36928</v>
      </c>
    </row>
    <row r="46065" spans="1:8">
      <c r="H46065" t="s">
        <v>36929</v>
      </c>
    </row>
    <row r="46066" spans="1:8">
      <c r="A46066" t="s">
        <v>4087</v>
      </c>
      <c r="B46066">
        <f>HYPERLINK("https://android.googlesource.com/platform/cts/+/f0a2e426ffc1515f72cafa4ddc809faeb53ed8d2", "f0a2e426ffc1515f72cafa4ddc809faeb53ed8d2")</f>
        <v>0</v>
      </c>
      <c r="C46066">
        <f>HYPERLINK("https://android.googlesource.com/platform/cts/+/63ca350d8a39ce08ad874e32ea0dda329658c600", "63ca350d8a39ce08ad874e32ea0dda329658c600")</f>
        <v>0</v>
      </c>
      <c r="D46066" t="s">
        <v>5520</v>
      </c>
      <c r="E46066" t="s">
        <v>9775</v>
      </c>
      <c r="F46066" t="s">
        <v>14606</v>
      </c>
      <c r="G46066" t="s">
        <v>18522</v>
      </c>
      <c r="H46066" t="s">
        <v>36930</v>
      </c>
    </row>
    <row r="46067" spans="1:8">
      <c r="A46067" t="s">
        <v>4088</v>
      </c>
      <c r="B46067">
        <f>HYPERLINK("https://android.googlesource.com/platform/cts/+/0432e15eb7247c0ebba999eead5056c972bf4bca", "0432e15eb7247c0ebba999eead5056c972bf4bca")</f>
        <v>0</v>
      </c>
      <c r="C46067">
        <f>HYPERLINK("https://android.googlesource.com/platform/cts/+/6abc394611e1ece901352d2e9c6b43100dcb5022", "6abc394611e1ece901352d2e9c6b43100dcb5022")</f>
        <v>0</v>
      </c>
      <c r="D46067" t="s">
        <v>5268</v>
      </c>
      <c r="E46067" t="s">
        <v>9776</v>
      </c>
      <c r="F46067" t="s">
        <v>14599</v>
      </c>
      <c r="G46067" t="s">
        <v>18515</v>
      </c>
      <c r="H46067" t="s">
        <v>36851</v>
      </c>
    </row>
    <row r="46068" spans="1:8">
      <c r="H46068" t="s">
        <v>34045</v>
      </c>
    </row>
    <row r="46069" spans="1:8">
      <c r="F46069" t="s">
        <v>14600</v>
      </c>
      <c r="G46069" t="s">
        <v>18516</v>
      </c>
      <c r="H46069" t="s">
        <v>36852</v>
      </c>
    </row>
    <row r="46070" spans="1:8">
      <c r="H46070" t="s">
        <v>36853</v>
      </c>
    </row>
    <row r="46071" spans="1:8">
      <c r="H46071" t="s">
        <v>36854</v>
      </c>
    </row>
    <row r="46072" spans="1:8">
      <c r="H46072" t="s">
        <v>36855</v>
      </c>
    </row>
    <row r="46073" spans="1:8">
      <c r="A46073" t="s">
        <v>4089</v>
      </c>
      <c r="B46073">
        <f>HYPERLINK("https://android.googlesource.com/platform/cts/+/0a26a5032520d51b141dbfbe3cf6b89e427e5bab", "0a26a5032520d51b141dbfbe3cf6b89e427e5bab")</f>
        <v>0</v>
      </c>
      <c r="C46073">
        <f>HYPERLINK("https://android.googlesource.com/platform/cts/+/9cef16ad1103f1ba278413396156dfec07050808", "9cef16ad1103f1ba278413396156dfec07050808")</f>
        <v>0</v>
      </c>
      <c r="D46073" t="s">
        <v>5659</v>
      </c>
      <c r="E46073" t="s">
        <v>9777</v>
      </c>
      <c r="F46073" t="s">
        <v>14570</v>
      </c>
      <c r="G46073" t="s">
        <v>17580</v>
      </c>
      <c r="H46073" t="s">
        <v>36931</v>
      </c>
    </row>
    <row r="46074" spans="1:8">
      <c r="F46074" t="s">
        <v>14116</v>
      </c>
      <c r="G46074" t="s">
        <v>17580</v>
      </c>
      <c r="H46074" t="s">
        <v>36932</v>
      </c>
    </row>
    <row r="46075" spans="1:8">
      <c r="F46075" t="s">
        <v>13723</v>
      </c>
      <c r="G46075" t="s">
        <v>17580</v>
      </c>
      <c r="H46075" t="s">
        <v>36932</v>
      </c>
    </row>
    <row r="46076" spans="1:8">
      <c r="F46076" t="s">
        <v>14326</v>
      </c>
      <c r="G46076" t="s">
        <v>17580</v>
      </c>
      <c r="H46076" t="s">
        <v>36932</v>
      </c>
    </row>
    <row r="46077" spans="1:8">
      <c r="F46077" t="s">
        <v>14607</v>
      </c>
      <c r="G46077" t="s">
        <v>17580</v>
      </c>
      <c r="H46077" t="s">
        <v>29899</v>
      </c>
    </row>
    <row r="46078" spans="1:8">
      <c r="H46078" t="s">
        <v>35466</v>
      </c>
    </row>
    <row r="46079" spans="1:8">
      <c r="H46079" t="s">
        <v>33155</v>
      </c>
    </row>
    <row r="46080" spans="1:8">
      <c r="H46080" t="s">
        <v>36932</v>
      </c>
    </row>
    <row r="46081" spans="1:8">
      <c r="H46081" t="s">
        <v>31246</v>
      </c>
    </row>
    <row r="46082" spans="1:8">
      <c r="H46082" t="s">
        <v>31244</v>
      </c>
    </row>
    <row r="46083" spans="1:8">
      <c r="H46083" t="s">
        <v>31245</v>
      </c>
    </row>
    <row r="46084" spans="1:8">
      <c r="H46084" t="s">
        <v>36933</v>
      </c>
    </row>
    <row r="46085" spans="1:8">
      <c r="F46085" t="s">
        <v>13724</v>
      </c>
      <c r="G46085" t="s">
        <v>17580</v>
      </c>
      <c r="H46085" t="s">
        <v>36931</v>
      </c>
    </row>
    <row r="46086" spans="1:8">
      <c r="A46086" t="s">
        <v>4090</v>
      </c>
      <c r="B46086">
        <f>HYPERLINK("https://android.googlesource.com/platform/cts/+/7c7e57c1abe2e0c3f80a8ad843cf002b53fd66a7", "7c7e57c1abe2e0c3f80a8ad843cf002b53fd66a7")</f>
        <v>0</v>
      </c>
      <c r="C46086">
        <f>HYPERLINK("https://android.googlesource.com/platform/cts/+/aa3294977fed579b18471cf4aee1043b68f407d9", "aa3294977fed579b18471cf4aee1043b68f407d9")</f>
        <v>0</v>
      </c>
      <c r="D46086" t="s">
        <v>5648</v>
      </c>
      <c r="E46086" t="s">
        <v>9778</v>
      </c>
      <c r="F46086" t="s">
        <v>14559</v>
      </c>
      <c r="G46086" t="s">
        <v>18481</v>
      </c>
      <c r="H46086" t="s">
        <v>36934</v>
      </c>
    </row>
    <row r="46087" spans="1:8">
      <c r="A46087" t="s">
        <v>4091</v>
      </c>
      <c r="B46087">
        <f>HYPERLINK("https://android.googlesource.com/platform/cts/+/dd4802c1ebb0605928c073857b0646d0612fe279", "dd4802c1ebb0605928c073857b0646d0612fe279")</f>
        <v>0</v>
      </c>
      <c r="C46087">
        <f>HYPERLINK("https://android.googlesource.com/platform/cts/+/6aee871b0542de20c263403b79734d4c8167ee86", "6aee871b0542de20c263403b79734d4c8167ee86")</f>
        <v>0</v>
      </c>
      <c r="D46087" t="s">
        <v>5409</v>
      </c>
      <c r="E46087" t="s">
        <v>9779</v>
      </c>
      <c r="F46087" t="s">
        <v>13971</v>
      </c>
      <c r="G46087" t="s">
        <v>17996</v>
      </c>
      <c r="H46087" t="s">
        <v>36935</v>
      </c>
    </row>
    <row r="46088" spans="1:8">
      <c r="H46088" t="s">
        <v>36936</v>
      </c>
    </row>
    <row r="46089" spans="1:8">
      <c r="F46089" t="s">
        <v>12743</v>
      </c>
      <c r="G46089" t="s">
        <v>16935</v>
      </c>
      <c r="H46089" t="s">
        <v>32976</v>
      </c>
    </row>
    <row r="46090" spans="1:8">
      <c r="F46090" t="s">
        <v>13136</v>
      </c>
      <c r="G46090" t="s">
        <v>17293</v>
      </c>
      <c r="H46090" t="s">
        <v>32976</v>
      </c>
    </row>
    <row r="46091" spans="1:8">
      <c r="A46091" t="s">
        <v>4092</v>
      </c>
      <c r="B46091">
        <f>HYPERLINK("https://android.googlesource.com/platform/cts/+/bfa8cabea09e163e7eb3610147d92b4bc4ebd67e", "bfa8cabea09e163e7eb3610147d92b4bc4ebd67e")</f>
        <v>0</v>
      </c>
      <c r="C46091">
        <f>HYPERLINK("https://android.googlesource.com/platform/cts/+/dd4802c1ebb0605928c073857b0646d0612fe279", "dd4802c1ebb0605928c073857b0646d0612fe279")</f>
        <v>0</v>
      </c>
      <c r="D46091" t="s">
        <v>5409</v>
      </c>
      <c r="E46091" t="s">
        <v>9780</v>
      </c>
      <c r="F46091" t="s">
        <v>13971</v>
      </c>
      <c r="G46091" t="s">
        <v>17996</v>
      </c>
      <c r="H46091" t="s">
        <v>36937</v>
      </c>
    </row>
    <row r="46092" spans="1:8">
      <c r="H46092" t="s">
        <v>33672</v>
      </c>
    </row>
    <row r="46093" spans="1:8">
      <c r="H46093" t="s">
        <v>36938</v>
      </c>
    </row>
    <row r="46094" spans="1:8">
      <c r="H46094" t="s">
        <v>36939</v>
      </c>
    </row>
    <row r="46095" spans="1:8">
      <c r="F46095" t="s">
        <v>12743</v>
      </c>
      <c r="G46095" t="s">
        <v>16935</v>
      </c>
      <c r="H46095" t="s">
        <v>36940</v>
      </c>
    </row>
    <row r="46096" spans="1:8">
      <c r="F46096" t="s">
        <v>13136</v>
      </c>
      <c r="G46096" t="s">
        <v>17293</v>
      </c>
      <c r="H46096" t="s">
        <v>36940</v>
      </c>
    </row>
    <row r="46097" spans="1:8">
      <c r="A46097" t="s">
        <v>4093</v>
      </c>
      <c r="B46097">
        <f>HYPERLINK("https://android.googlesource.com/platform/cts/+/4eb9d1b5d7b5c4cb5841dd49944b5545e8ad1ccf", "4eb9d1b5d7b5c4cb5841dd49944b5545e8ad1ccf")</f>
        <v>0</v>
      </c>
      <c r="C46097">
        <f>HYPERLINK("https://android.googlesource.com/platform/cts/+/bfa8cabea09e163e7eb3610147d92b4bc4ebd67e", "bfa8cabea09e163e7eb3610147d92b4bc4ebd67e")</f>
        <v>0</v>
      </c>
      <c r="D46097" t="s">
        <v>5409</v>
      </c>
      <c r="E46097" t="s">
        <v>9781</v>
      </c>
      <c r="F46097" t="s">
        <v>13971</v>
      </c>
      <c r="G46097" t="s">
        <v>17996</v>
      </c>
      <c r="H46097" t="s">
        <v>36941</v>
      </c>
    </row>
    <row r="46098" spans="1:8">
      <c r="H46098" t="s">
        <v>36942</v>
      </c>
    </row>
    <row r="46099" spans="1:8">
      <c r="H46099" t="s">
        <v>36943</v>
      </c>
    </row>
    <row r="46100" spans="1:8">
      <c r="F46100" t="s">
        <v>12743</v>
      </c>
      <c r="G46100" t="s">
        <v>16935</v>
      </c>
      <c r="H46100" t="s">
        <v>36944</v>
      </c>
    </row>
    <row r="46101" spans="1:8">
      <c r="F46101" t="s">
        <v>13136</v>
      </c>
      <c r="G46101" t="s">
        <v>17293</v>
      </c>
      <c r="H46101" t="s">
        <v>36944</v>
      </c>
    </row>
    <row r="46102" spans="1:8">
      <c r="F46102" t="s">
        <v>12745</v>
      </c>
      <c r="G46102" t="s">
        <v>16937</v>
      </c>
      <c r="H46102" t="s">
        <v>36944</v>
      </c>
    </row>
    <row r="46103" spans="1:8">
      <c r="A46103" t="s">
        <v>4094</v>
      </c>
      <c r="B46103">
        <f>HYPERLINK("https://android.googlesource.com/platform/cts/+/877920ebde5a98978fd86f88161af4d9f88b21e9", "877920ebde5a98978fd86f88161af4d9f88b21e9")</f>
        <v>0</v>
      </c>
      <c r="C46103">
        <f>HYPERLINK("https://android.googlesource.com/platform/cts/+/864d21f0dba6319aa662d2a09d16dec6f0e09ab7", "864d21f0dba6319aa662d2a09d16dec6f0e09ab7")</f>
        <v>0</v>
      </c>
      <c r="D46103" t="s">
        <v>5357</v>
      </c>
      <c r="E46103" t="s">
        <v>9782</v>
      </c>
      <c r="F46103" t="s">
        <v>14608</v>
      </c>
      <c r="G46103" t="s">
        <v>16873</v>
      </c>
      <c r="H46103" t="s">
        <v>36945</v>
      </c>
    </row>
    <row r="46104" spans="1:8">
      <c r="A46104" t="s">
        <v>4095</v>
      </c>
      <c r="B46104">
        <f>HYPERLINK("https://android.googlesource.com/platform/cts/+/0fbf86c05b8f046debdba70d868c979e761b0bcd", "0fbf86c05b8f046debdba70d868c979e761b0bcd")</f>
        <v>0</v>
      </c>
      <c r="C46104">
        <f>HYPERLINK("https://android.googlesource.com/platform/cts/+/f4b2dee788d731bbe0546b6ae7c0e7510fc512f5", "f4b2dee788d731bbe0546b6ae7c0e7510fc512f5")</f>
        <v>0</v>
      </c>
      <c r="D46104" t="s">
        <v>5030</v>
      </c>
      <c r="E46104" t="s">
        <v>9783</v>
      </c>
      <c r="F46104" t="s">
        <v>12656</v>
      </c>
      <c r="G46104" t="s">
        <v>16861</v>
      </c>
      <c r="H46104" t="s">
        <v>36946</v>
      </c>
    </row>
    <row r="46105" spans="1:8">
      <c r="H46105" t="s">
        <v>29898</v>
      </c>
    </row>
    <row r="46106" spans="1:8">
      <c r="F46106" t="s">
        <v>12782</v>
      </c>
      <c r="G46106" t="s">
        <v>16420</v>
      </c>
      <c r="H46106" t="s">
        <v>36946</v>
      </c>
    </row>
    <row r="46107" spans="1:8">
      <c r="H46107" t="s">
        <v>29898</v>
      </c>
    </row>
    <row r="46108" spans="1:8">
      <c r="A46108" t="s">
        <v>4096</v>
      </c>
      <c r="B46108">
        <f>HYPERLINK("https://android.googlesource.com/platform/cts/+/5f6c317ae06af358ffa326965cff7ddddb4bffc9", "5f6c317ae06af358ffa326965cff7ddddb4bffc9")</f>
        <v>0</v>
      </c>
      <c r="C46108">
        <f>HYPERLINK("https://android.googlesource.com/platform/cts/+/29fd8ba0a8456f2374da7af851f122d78e12cf1b", "29fd8ba0a8456f2374da7af851f122d78e12cf1b")</f>
        <v>0</v>
      </c>
      <c r="D46108" t="s">
        <v>5660</v>
      </c>
      <c r="E46108" t="s">
        <v>9784</v>
      </c>
      <c r="F46108" t="s">
        <v>14608</v>
      </c>
      <c r="G46108" t="s">
        <v>16873</v>
      </c>
      <c r="H46108" t="s">
        <v>36945</v>
      </c>
    </row>
    <row r="46109" spans="1:8">
      <c r="A46109" t="s">
        <v>4097</v>
      </c>
      <c r="B46109">
        <f>HYPERLINK("https://android.googlesource.com/platform/cts/+/62d0ca2b7de8429d6660079ae43c41efe17cb69b", "62d0ca2b7de8429d6660079ae43c41efe17cb69b")</f>
        <v>0</v>
      </c>
      <c r="C46109">
        <f>HYPERLINK("https://android.googlesource.com/platform/cts/+/1c44dbdf467c87250e3db4b39eb4fa6305c480fd", "1c44dbdf467c87250e3db4b39eb4fa6305c480fd")</f>
        <v>0</v>
      </c>
      <c r="D46109" t="s">
        <v>5660</v>
      </c>
      <c r="E46109" t="s">
        <v>9784</v>
      </c>
      <c r="F46109" t="s">
        <v>14608</v>
      </c>
      <c r="G46109" t="s">
        <v>16873</v>
      </c>
      <c r="H46109" t="s">
        <v>36945</v>
      </c>
    </row>
    <row r="46110" spans="1:8">
      <c r="A46110" t="s">
        <v>4098</v>
      </c>
      <c r="B46110">
        <f>HYPERLINK("https://android.googlesource.com/platform/cts/+/c9c80394b3d162493288d4a1d29472128743416c", "c9c80394b3d162493288d4a1d29472128743416c")</f>
        <v>0</v>
      </c>
      <c r="C46110">
        <f>HYPERLINK("https://android.googlesource.com/platform/cts/+/7a10e9522adb2e6d666cab57e4eaa3b4650a26b2", "7a10e9522adb2e6d666cab57e4eaa3b4650a26b2")</f>
        <v>0</v>
      </c>
      <c r="D46110" t="s">
        <v>5660</v>
      </c>
      <c r="E46110" t="s">
        <v>9784</v>
      </c>
      <c r="F46110" t="s">
        <v>14608</v>
      </c>
      <c r="G46110" t="s">
        <v>16873</v>
      </c>
      <c r="H46110" t="s">
        <v>36945</v>
      </c>
    </row>
    <row r="46111" spans="1:8">
      <c r="A46111" t="s">
        <v>4099</v>
      </c>
      <c r="B46111">
        <f>HYPERLINK("https://android.googlesource.com/platform/cts/+/e8a1d649357008d9ca0c3ffbe2e287e1f00a6401", "e8a1d649357008d9ca0c3ffbe2e287e1f00a6401")</f>
        <v>0</v>
      </c>
      <c r="C46111">
        <f>HYPERLINK("https://android.googlesource.com/platform/cts/+/224d5d9a67370c56651e9aa00c4ca73f168e3d65", "224d5d9a67370c56651e9aa00c4ca73f168e3d65")</f>
        <v>0</v>
      </c>
      <c r="D46111" t="s">
        <v>5409</v>
      </c>
      <c r="E46111" t="s">
        <v>9785</v>
      </c>
      <c r="F46111" t="s">
        <v>13971</v>
      </c>
      <c r="G46111" t="s">
        <v>17996</v>
      </c>
      <c r="H46111" t="s">
        <v>18829</v>
      </c>
    </row>
    <row r="46112" spans="1:8">
      <c r="H46112" t="s">
        <v>36947</v>
      </c>
    </row>
    <row r="46113" spans="6:8">
      <c r="H46113" t="s">
        <v>36948</v>
      </c>
    </row>
    <row r="46114" spans="6:8">
      <c r="H46114" t="s">
        <v>34201</v>
      </c>
    </row>
    <row r="46115" spans="6:8">
      <c r="H46115" t="s">
        <v>36949</v>
      </c>
    </row>
    <row r="46116" spans="6:8">
      <c r="H46116" t="s">
        <v>36950</v>
      </c>
    </row>
    <row r="46117" spans="6:8">
      <c r="H46117" t="s">
        <v>36951</v>
      </c>
    </row>
    <row r="46118" spans="6:8">
      <c r="H46118" t="s">
        <v>36952</v>
      </c>
    </row>
    <row r="46119" spans="6:8">
      <c r="H46119" t="s">
        <v>36953</v>
      </c>
    </row>
    <row r="46120" spans="6:8">
      <c r="H46120" t="s">
        <v>36954</v>
      </c>
    </row>
    <row r="46121" spans="6:8">
      <c r="H46121" t="s">
        <v>36955</v>
      </c>
    </row>
    <row r="46122" spans="6:8">
      <c r="H46122" t="s">
        <v>36956</v>
      </c>
    </row>
    <row r="46123" spans="6:8">
      <c r="F46123" t="s">
        <v>12743</v>
      </c>
      <c r="G46123" t="s">
        <v>16935</v>
      </c>
      <c r="H46123" t="s">
        <v>36957</v>
      </c>
    </row>
    <row r="46124" spans="6:8">
      <c r="H46124" t="s">
        <v>36958</v>
      </c>
    </row>
    <row r="46125" spans="6:8">
      <c r="F46125" t="s">
        <v>13136</v>
      </c>
      <c r="G46125" t="s">
        <v>17293</v>
      </c>
      <c r="H46125" t="s">
        <v>36957</v>
      </c>
    </row>
    <row r="46126" spans="6:8">
      <c r="H46126" t="s">
        <v>36958</v>
      </c>
    </row>
    <row r="46127" spans="6:8">
      <c r="F46127" t="s">
        <v>12745</v>
      </c>
      <c r="G46127" t="s">
        <v>16937</v>
      </c>
      <c r="H46127" t="s">
        <v>36957</v>
      </c>
    </row>
    <row r="46128" spans="6:8">
      <c r="H46128" t="s">
        <v>36958</v>
      </c>
    </row>
    <row r="46129" spans="1:8">
      <c r="A46129" t="s">
        <v>4100</v>
      </c>
      <c r="B46129">
        <f>HYPERLINK("https://android.googlesource.com/platform/cts/+/92fdae384a828e61e7ca6c0dbd16b819fb96063b", "92fdae384a828e61e7ca6c0dbd16b819fb96063b")</f>
        <v>0</v>
      </c>
      <c r="C46129">
        <f>HYPERLINK("https://android.googlesource.com/platform/cts/+/dd16a3f58e25d4a47d9186d1832eccbd0aa2b09a", "dd16a3f58e25d4a47d9186d1832eccbd0aa2b09a")</f>
        <v>0</v>
      </c>
      <c r="D46129" t="s">
        <v>5660</v>
      </c>
      <c r="E46129" t="s">
        <v>9784</v>
      </c>
      <c r="F46129" t="s">
        <v>14608</v>
      </c>
      <c r="G46129" t="s">
        <v>16873</v>
      </c>
      <c r="H46129" t="s">
        <v>36945</v>
      </c>
    </row>
    <row r="46130" spans="1:8">
      <c r="A46130" t="s">
        <v>4101</v>
      </c>
      <c r="B46130">
        <f>HYPERLINK("https://android.googlesource.com/platform/cts/+/e929430195e9b597666b40bb40017b213890f02d", "e929430195e9b597666b40bb40017b213890f02d")</f>
        <v>0</v>
      </c>
      <c r="C46130">
        <f>HYPERLINK("https://android.googlesource.com/platform/cts/+/c3815628735e6da17cdcbcaf373a93a00bb2a0cb", "c3815628735e6da17cdcbcaf373a93a00bb2a0cb")</f>
        <v>0</v>
      </c>
      <c r="D46130" t="s">
        <v>5660</v>
      </c>
      <c r="E46130" t="s">
        <v>9784</v>
      </c>
      <c r="F46130" t="s">
        <v>14608</v>
      </c>
      <c r="G46130" t="s">
        <v>16873</v>
      </c>
      <c r="H46130" t="s">
        <v>36945</v>
      </c>
    </row>
    <row r="46131" spans="1:8">
      <c r="A46131" t="s">
        <v>4102</v>
      </c>
      <c r="B46131">
        <f>HYPERLINK("https://android.googlesource.com/platform/cts/+/e36ae2e9104143a97d145f3d3cf438cca3d02d45", "e36ae2e9104143a97d145f3d3cf438cca3d02d45")</f>
        <v>0</v>
      </c>
      <c r="C46131">
        <f>HYPERLINK("https://android.googlesource.com/platform/cts/+/d33e485fa9712ef51d3cbe222d2de779203ab8fa", "d33e485fa9712ef51d3cbe222d2de779203ab8fa")</f>
        <v>0</v>
      </c>
      <c r="D46131" t="s">
        <v>5660</v>
      </c>
      <c r="E46131" t="s">
        <v>9784</v>
      </c>
      <c r="F46131" t="s">
        <v>14608</v>
      </c>
      <c r="G46131" t="s">
        <v>16873</v>
      </c>
      <c r="H46131" t="s">
        <v>36945</v>
      </c>
    </row>
    <row r="46132" spans="1:8">
      <c r="A46132" t="s">
        <v>4103</v>
      </c>
      <c r="B46132">
        <f>HYPERLINK("https://android.googlesource.com/platform/cts/+/4984843e45b71ae27fe6e8bec4c83a00264905c9", "4984843e45b71ae27fe6e8bec4c83a00264905c9")</f>
        <v>0</v>
      </c>
      <c r="C46132">
        <f>HYPERLINK("https://android.googlesource.com/platform/cts/+/baee13a93a0e96696235823c2fbab075e7bb201c", "baee13a93a0e96696235823c2fbab075e7bb201c")</f>
        <v>0</v>
      </c>
      <c r="D46132" t="s">
        <v>5268</v>
      </c>
      <c r="E46132" t="s">
        <v>9786</v>
      </c>
      <c r="F46132" t="s">
        <v>14594</v>
      </c>
      <c r="G46132" t="s">
        <v>18511</v>
      </c>
      <c r="H46132" t="s">
        <v>36840</v>
      </c>
    </row>
    <row r="46133" spans="1:8">
      <c r="H46133" t="s">
        <v>36841</v>
      </c>
    </row>
    <row r="46134" spans="1:8">
      <c r="F46134" t="s">
        <v>14595</v>
      </c>
      <c r="G46134" t="s">
        <v>18512</v>
      </c>
      <c r="H46134" t="s">
        <v>36842</v>
      </c>
    </row>
    <row r="46135" spans="1:8">
      <c r="H46135" t="s">
        <v>36843</v>
      </c>
    </row>
    <row r="46136" spans="1:8">
      <c r="H46136" t="s">
        <v>34042</v>
      </c>
    </row>
    <row r="46137" spans="1:8">
      <c r="F46137" t="s">
        <v>14596</v>
      </c>
      <c r="G46137" t="s">
        <v>18513</v>
      </c>
      <c r="H46137" t="s">
        <v>36844</v>
      </c>
    </row>
    <row r="46138" spans="1:8">
      <c r="H46138" t="s">
        <v>36845</v>
      </c>
    </row>
    <row r="46139" spans="1:8">
      <c r="H46139" t="s">
        <v>36846</v>
      </c>
    </row>
    <row r="46140" spans="1:8">
      <c r="A46140" t="s">
        <v>4104</v>
      </c>
      <c r="B46140">
        <f>HYPERLINK("https://android.googlesource.com/platform/cts/+/a869879d6a57993718f6ec598c592a462e285c52", "a869879d6a57993718f6ec598c592a462e285c52")</f>
        <v>0</v>
      </c>
      <c r="C46140">
        <f>HYPERLINK("https://android.googlesource.com/platform/cts/+/899ba622682001864b8499944152ca93538776f5", "899ba622682001864b8499944152ca93538776f5")</f>
        <v>0</v>
      </c>
      <c r="D46140" t="s">
        <v>5046</v>
      </c>
      <c r="E46140" t="s">
        <v>9787</v>
      </c>
      <c r="F46140" t="s">
        <v>14609</v>
      </c>
      <c r="G46140" t="s">
        <v>18523</v>
      </c>
      <c r="H46140" t="s">
        <v>36959</v>
      </c>
    </row>
    <row r="46141" spans="1:8">
      <c r="H46141" t="s">
        <v>36960</v>
      </c>
    </row>
    <row r="46142" spans="1:8">
      <c r="H46142" t="s">
        <v>36961</v>
      </c>
    </row>
    <row r="46143" spans="1:8">
      <c r="H46143" t="s">
        <v>25704</v>
      </c>
    </row>
    <row r="46144" spans="1:8">
      <c r="H46144" t="s">
        <v>36960</v>
      </c>
    </row>
    <row r="46145" spans="8:8">
      <c r="H46145" t="s">
        <v>36962</v>
      </c>
    </row>
    <row r="46146" spans="8:8">
      <c r="H46146" t="s">
        <v>36963</v>
      </c>
    </row>
    <row r="46147" spans="8:8">
      <c r="H46147" t="s">
        <v>36964</v>
      </c>
    </row>
    <row r="46148" spans="8:8">
      <c r="H46148" t="s">
        <v>36965</v>
      </c>
    </row>
    <row r="46149" spans="8:8">
      <c r="H46149" t="s">
        <v>36965</v>
      </c>
    </row>
    <row r="46150" spans="8:8">
      <c r="H46150" t="s">
        <v>36966</v>
      </c>
    </row>
    <row r="46151" spans="8:8">
      <c r="H46151" t="s">
        <v>36967</v>
      </c>
    </row>
    <row r="46152" spans="8:8">
      <c r="H46152" t="s">
        <v>36968</v>
      </c>
    </row>
    <row r="46153" spans="8:8">
      <c r="H46153" t="s">
        <v>36969</v>
      </c>
    </row>
    <row r="46154" spans="8:8">
      <c r="H46154" t="s">
        <v>36970</v>
      </c>
    </row>
    <row r="46155" spans="8:8">
      <c r="H46155" t="s">
        <v>36971</v>
      </c>
    </row>
    <row r="46156" spans="8:8">
      <c r="H46156" t="s">
        <v>36972</v>
      </c>
    </row>
    <row r="46157" spans="8:8">
      <c r="H46157" t="s">
        <v>36973</v>
      </c>
    </row>
    <row r="46158" spans="8:8">
      <c r="H46158" t="s">
        <v>36974</v>
      </c>
    </row>
    <row r="46159" spans="8:8">
      <c r="H46159" t="s">
        <v>36975</v>
      </c>
    </row>
    <row r="46160" spans="8:8">
      <c r="H46160" t="s">
        <v>36976</v>
      </c>
    </row>
    <row r="46161" spans="8:8">
      <c r="H46161" t="s">
        <v>36977</v>
      </c>
    </row>
    <row r="46162" spans="8:8">
      <c r="H46162" t="s">
        <v>36978</v>
      </c>
    </row>
    <row r="46163" spans="8:8">
      <c r="H46163" t="s">
        <v>36979</v>
      </c>
    </row>
    <row r="46164" spans="8:8">
      <c r="H46164" t="s">
        <v>36980</v>
      </c>
    </row>
    <row r="46165" spans="8:8">
      <c r="H46165" t="s">
        <v>36981</v>
      </c>
    </row>
    <row r="46166" spans="8:8">
      <c r="H46166" t="s">
        <v>36982</v>
      </c>
    </row>
    <row r="46167" spans="8:8">
      <c r="H46167" t="s">
        <v>36983</v>
      </c>
    </row>
    <row r="46168" spans="8:8">
      <c r="H46168" t="s">
        <v>36984</v>
      </c>
    </row>
    <row r="46169" spans="8:8">
      <c r="H46169" t="s">
        <v>36985</v>
      </c>
    </row>
    <row r="46170" spans="8:8">
      <c r="H46170" t="s">
        <v>36986</v>
      </c>
    </row>
    <row r="46171" spans="8:8">
      <c r="H46171" t="s">
        <v>36987</v>
      </c>
    </row>
    <row r="46172" spans="8:8">
      <c r="H46172" t="s">
        <v>36988</v>
      </c>
    </row>
    <row r="46173" spans="8:8">
      <c r="H46173" t="s">
        <v>36989</v>
      </c>
    </row>
    <row r="46174" spans="8:8">
      <c r="H46174" t="s">
        <v>28588</v>
      </c>
    </row>
    <row r="46175" spans="8:8">
      <c r="H46175" t="s">
        <v>36990</v>
      </c>
    </row>
    <row r="46176" spans="8:8">
      <c r="H46176" t="s">
        <v>36991</v>
      </c>
    </row>
    <row r="46177" spans="1:8">
      <c r="A46177" t="s">
        <v>4105</v>
      </c>
      <c r="B46177">
        <f>HYPERLINK("https://android.googlesource.com/platform/cts/+/e569085b6e96976583c6799ccd7969f902414c25", "e569085b6e96976583c6799ccd7969f902414c25")</f>
        <v>0</v>
      </c>
      <c r="C46177">
        <f>HYPERLINK("https://android.googlesource.com/platform/cts/+/f880cd9e6b085944fca390aba5f6ebf13e028b72", "f880cd9e6b085944fca390aba5f6ebf13e028b72")</f>
        <v>0</v>
      </c>
      <c r="D46177" t="s">
        <v>5541</v>
      </c>
      <c r="E46177" t="s">
        <v>9788</v>
      </c>
      <c r="F46177" t="s">
        <v>13335</v>
      </c>
      <c r="G46177" t="s">
        <v>17465</v>
      </c>
      <c r="H46177" t="s">
        <v>36992</v>
      </c>
    </row>
    <row r="46178" spans="1:8">
      <c r="A46178" t="s">
        <v>4106</v>
      </c>
      <c r="B46178">
        <f>HYPERLINK("https://android.googlesource.com/platform/cts/+/f4140de1cfd9ea4966f65adb2d2d40395abe8d61", "f4140de1cfd9ea4966f65adb2d2d40395abe8d61")</f>
        <v>0</v>
      </c>
      <c r="C46178">
        <f>HYPERLINK("https://android.googlesource.com/platform/cts/+/f9cdcaf4eff95f4ba1bff3d5156b6d65a337dac8", "f9cdcaf4eff95f4ba1bff3d5156b6d65a337dac8")</f>
        <v>0</v>
      </c>
      <c r="D46178" t="s">
        <v>5040</v>
      </c>
      <c r="E46178" t="s">
        <v>9789</v>
      </c>
      <c r="F46178" t="s">
        <v>14505</v>
      </c>
      <c r="G46178" t="s">
        <v>18434</v>
      </c>
      <c r="H46178" t="s">
        <v>36993</v>
      </c>
    </row>
    <row r="46179" spans="1:8">
      <c r="A46179" t="s">
        <v>4107</v>
      </c>
      <c r="B46179">
        <f>HYPERLINK("https://android.googlesource.com/platform/cts/+/4ed995d6bdbff2993c520c4c5a1688b609efaf9b", "4ed995d6bdbff2993c520c4c5a1688b609efaf9b")</f>
        <v>0</v>
      </c>
      <c r="C46179">
        <f>HYPERLINK("https://android.googlesource.com/platform/cts/+/f515ec334c221252336d55e38d3a16ee2bf30c78", "f515ec334c221252336d55e38d3a16ee2bf30c78")</f>
        <v>0</v>
      </c>
      <c r="D46179" t="s">
        <v>5189</v>
      </c>
      <c r="E46179" t="s">
        <v>9790</v>
      </c>
      <c r="F46179" t="s">
        <v>14350</v>
      </c>
      <c r="G46179" t="s">
        <v>18301</v>
      </c>
      <c r="H46179" t="s">
        <v>36994</v>
      </c>
    </row>
    <row r="46180" spans="1:8">
      <c r="A46180" t="s">
        <v>4108</v>
      </c>
      <c r="B46180">
        <f>HYPERLINK("https://android.googlesource.com/platform/cts/+/7b49e27c8e61c035c9fbd20ee7b2a5c1a9677fca", "7b49e27c8e61c035c9fbd20ee7b2a5c1a9677fca")</f>
        <v>0</v>
      </c>
      <c r="C46180">
        <f>HYPERLINK("https://android.googlesource.com/platform/cts/+/53dd2f62bb3cf70bb20b9a079e3345e4d01ea6e5", "53dd2f62bb3cf70bb20b9a079e3345e4d01ea6e5")</f>
        <v>0</v>
      </c>
      <c r="D46180" t="s">
        <v>5040</v>
      </c>
      <c r="E46180" t="s">
        <v>9791</v>
      </c>
      <c r="F46180" t="s">
        <v>14509</v>
      </c>
      <c r="G46180" t="s">
        <v>18437</v>
      </c>
      <c r="H46180" t="s">
        <v>36301</v>
      </c>
    </row>
    <row r="46181" spans="1:8">
      <c r="H46181" t="s">
        <v>36303</v>
      </c>
    </row>
    <row r="46182" spans="1:8">
      <c r="F46182" t="s">
        <v>14597</v>
      </c>
      <c r="G46182" t="s">
        <v>18440</v>
      </c>
      <c r="H46182" t="s">
        <v>36862</v>
      </c>
    </row>
    <row r="46183" spans="1:8">
      <c r="H46183" t="s">
        <v>36847</v>
      </c>
    </row>
    <row r="46184" spans="1:8">
      <c r="H46184" t="s">
        <v>36864</v>
      </c>
    </row>
    <row r="46185" spans="1:8">
      <c r="H46185" t="s">
        <v>36865</v>
      </c>
    </row>
    <row r="46186" spans="1:8">
      <c r="H46186" t="s">
        <v>36866</v>
      </c>
    </row>
    <row r="46187" spans="1:8">
      <c r="A46187" t="s">
        <v>4109</v>
      </c>
      <c r="B46187">
        <f>HYPERLINK("https://android.googlesource.com/platform/cts/+/a5113835eff40c09deef5a4db5bcb843d2207407", "a5113835eff40c09deef5a4db5bcb843d2207407")</f>
        <v>0</v>
      </c>
      <c r="C46187">
        <f>HYPERLINK("https://android.googlesource.com/platform/cts/+/edc4d3c568ded9b4dcf876e0da26e96bbcbcc79a", "edc4d3c568ded9b4dcf876e0da26e96bbcbcc79a")</f>
        <v>0</v>
      </c>
      <c r="D46187" t="s">
        <v>5040</v>
      </c>
      <c r="E46187" t="s">
        <v>9791</v>
      </c>
      <c r="F46187" t="s">
        <v>14509</v>
      </c>
      <c r="G46187" t="s">
        <v>18437</v>
      </c>
      <c r="H46187" t="s">
        <v>36301</v>
      </c>
    </row>
    <row r="46188" spans="1:8">
      <c r="H46188" t="s">
        <v>36303</v>
      </c>
    </row>
    <row r="46189" spans="1:8">
      <c r="F46189" t="s">
        <v>14597</v>
      </c>
      <c r="G46189" t="s">
        <v>18440</v>
      </c>
      <c r="H46189" t="s">
        <v>36862</v>
      </c>
    </row>
    <row r="46190" spans="1:8">
      <c r="H46190" t="s">
        <v>36847</v>
      </c>
    </row>
    <row r="46191" spans="1:8">
      <c r="H46191" t="s">
        <v>36864</v>
      </c>
    </row>
    <row r="46192" spans="1:8">
      <c r="H46192" t="s">
        <v>36865</v>
      </c>
    </row>
    <row r="46193" spans="1:8">
      <c r="H46193" t="s">
        <v>36866</v>
      </c>
    </row>
    <row r="46194" spans="1:8">
      <c r="A46194" t="s">
        <v>4110</v>
      </c>
      <c r="B46194">
        <f>HYPERLINK("https://android.googlesource.com/platform/cts/+/e23eecc315c59ed901c4fffa4196cc318f516a05", "e23eecc315c59ed901c4fffa4196cc318f516a05")</f>
        <v>0</v>
      </c>
      <c r="C46194">
        <f>HYPERLINK("https://android.googlesource.com/platform/cts/+/52407596fe885875d6445dd12496f52c4c9537b4", "52407596fe885875d6445dd12496f52c4c9537b4")</f>
        <v>0</v>
      </c>
      <c r="D46194" t="s">
        <v>5661</v>
      </c>
      <c r="E46194" t="s">
        <v>9792</v>
      </c>
      <c r="F46194" t="s">
        <v>14128</v>
      </c>
      <c r="G46194" t="s">
        <v>18118</v>
      </c>
      <c r="H46194" t="s">
        <v>36995</v>
      </c>
    </row>
    <row r="46195" spans="1:8">
      <c r="H46195" t="s">
        <v>36996</v>
      </c>
    </row>
    <row r="46196" spans="1:8">
      <c r="H46196" t="s">
        <v>36997</v>
      </c>
    </row>
    <row r="46197" spans="1:8">
      <c r="H46197" t="s">
        <v>36998</v>
      </c>
    </row>
    <row r="46198" spans="1:8">
      <c r="A46198" t="s">
        <v>4111</v>
      </c>
      <c r="B46198">
        <f>HYPERLINK("https://android.googlesource.com/platform/cts/+/b3487623e041d0733844f439f83f7ba97c385a1b", "b3487623e041d0733844f439f83f7ba97c385a1b")</f>
        <v>0</v>
      </c>
      <c r="C46198">
        <f>HYPERLINK("https://android.googlesource.com/platform/cts/+/b7d69f1d798012834b0965fa4a1595aeda11ce5f", "b7d69f1d798012834b0965fa4a1595aeda11ce5f")</f>
        <v>0</v>
      </c>
      <c r="D46198" t="s">
        <v>5588</v>
      </c>
      <c r="E46198" t="s">
        <v>9793</v>
      </c>
      <c r="F46198" t="s">
        <v>13548</v>
      </c>
      <c r="G46198" t="s">
        <v>15171</v>
      </c>
      <c r="H46198" t="s">
        <v>36999</v>
      </c>
    </row>
    <row r="46199" spans="1:8">
      <c r="A46199" t="s">
        <v>4112</v>
      </c>
      <c r="B46199">
        <f>HYPERLINK("https://android.googlesource.com/platform/cts/+/c6ec277571d10682027a37194f6f7c4f41f8929b", "c6ec277571d10682027a37194f6f7c4f41f8929b")</f>
        <v>0</v>
      </c>
      <c r="C46199">
        <f>HYPERLINK("https://android.googlesource.com/platform/cts/+/dbfca04d79eb6b46f15ea3bc5c2112d21008e616", "dbfca04d79eb6b46f15ea3bc5c2112d21008e616")</f>
        <v>0</v>
      </c>
      <c r="D46199" t="s">
        <v>5586</v>
      </c>
      <c r="E46199" t="s">
        <v>9794</v>
      </c>
      <c r="F46199" t="s">
        <v>13972</v>
      </c>
      <c r="G46199" t="s">
        <v>17997</v>
      </c>
      <c r="H46199" t="s">
        <v>37000</v>
      </c>
    </row>
    <row r="46200" spans="1:8">
      <c r="H46200" t="s">
        <v>37001</v>
      </c>
    </row>
    <row r="46201" spans="1:8">
      <c r="H46201" t="s">
        <v>37002</v>
      </c>
    </row>
    <row r="46202" spans="1:8">
      <c r="A46202" t="s">
        <v>4113</v>
      </c>
      <c r="B46202">
        <f>HYPERLINK("https://android.googlesource.com/platform/cts/+/15c39ae7c0d7b43e799326b1d41767c2cec40771", "15c39ae7c0d7b43e799326b1d41767c2cec40771")</f>
        <v>0</v>
      </c>
      <c r="C46202">
        <f>HYPERLINK("https://android.googlesource.com/platform/cts/+/f438dd26f008117adbfeb5b41d5e929b715af86c", "f438dd26f008117adbfeb5b41d5e929b715af86c")</f>
        <v>0</v>
      </c>
      <c r="D46202" t="s">
        <v>5272</v>
      </c>
      <c r="E46202" t="s">
        <v>9795</v>
      </c>
      <c r="F46202" t="s">
        <v>13810</v>
      </c>
      <c r="G46202" t="s">
        <v>17734</v>
      </c>
      <c r="H46202" t="s">
        <v>37003</v>
      </c>
    </row>
    <row r="46203" spans="1:8">
      <c r="A46203" t="s">
        <v>4114</v>
      </c>
      <c r="B46203">
        <f>HYPERLINK("https://android.googlesource.com/platform/cts/+/30381cd9aaa8e3fb8a18e2160c242a1dd6b530e1", "30381cd9aaa8e3fb8a18e2160c242a1dd6b530e1")</f>
        <v>0</v>
      </c>
      <c r="C46203">
        <f>HYPERLINK("https://android.googlesource.com/platform/cts/+/8a46eff2d6e934eebe727f42c66d425870650f34", "8a46eff2d6e934eebe727f42c66d425870650f34")</f>
        <v>0</v>
      </c>
      <c r="D46203" t="s">
        <v>5134</v>
      </c>
      <c r="E46203" t="s">
        <v>9796</v>
      </c>
      <c r="F46203" t="s">
        <v>13229</v>
      </c>
      <c r="G46203" t="s">
        <v>17370</v>
      </c>
      <c r="H46203" t="s">
        <v>25795</v>
      </c>
    </row>
    <row r="46204" spans="1:8">
      <c r="A46204" t="s">
        <v>4115</v>
      </c>
      <c r="B46204">
        <f>HYPERLINK("https://android.googlesource.com/platform/cts/+/4e9be5a06fe5c6b92716f04b0bbb3bd82850d018", "4e9be5a06fe5c6b92716f04b0bbb3bd82850d018")</f>
        <v>0</v>
      </c>
      <c r="C46204">
        <f>HYPERLINK("https://android.googlesource.com/platform/cts/+/5357d91deeb60d0891f7a6a0011214d7edf30a76", "5357d91deeb60d0891f7a6a0011214d7edf30a76")</f>
        <v>0</v>
      </c>
      <c r="D46204" t="s">
        <v>5191</v>
      </c>
      <c r="E46204" t="s">
        <v>9797</v>
      </c>
      <c r="F46204" t="s">
        <v>14610</v>
      </c>
      <c r="G46204" t="s">
        <v>18524</v>
      </c>
      <c r="H46204" t="s">
        <v>25497</v>
      </c>
    </row>
    <row r="46205" spans="1:8">
      <c r="H46205" t="s">
        <v>20244</v>
      </c>
    </row>
    <row r="46206" spans="1:8">
      <c r="H46206" t="s">
        <v>18829</v>
      </c>
    </row>
    <row r="46207" spans="1:8">
      <c r="H46207" t="s">
        <v>37004</v>
      </c>
    </row>
    <row r="46208" spans="1:8">
      <c r="H46208" t="s">
        <v>37005</v>
      </c>
    </row>
    <row r="46209" spans="1:8">
      <c r="F46209" t="s">
        <v>12619</v>
      </c>
      <c r="G46209" t="s">
        <v>16829</v>
      </c>
      <c r="H46209" t="s">
        <v>27000</v>
      </c>
    </row>
    <row r="46210" spans="1:8">
      <c r="A46210" t="s">
        <v>4116</v>
      </c>
      <c r="B46210">
        <f>HYPERLINK("https://android.googlesource.com/platform/cts/+/1c01e23aed32b1032d93afd0e93b9e3b4ddf171c", "1c01e23aed32b1032d93afd0e93b9e3b4ddf171c")</f>
        <v>0</v>
      </c>
      <c r="C46210">
        <f>HYPERLINK("https://android.googlesource.com/platform/cts/+/4cf28275ac7f2098518f6d13d36628545aa547cd", "4cf28275ac7f2098518f6d13d36628545aa547cd")</f>
        <v>0</v>
      </c>
      <c r="D46210" t="s">
        <v>5046</v>
      </c>
      <c r="E46210" t="s">
        <v>9798</v>
      </c>
      <c r="F46210" t="s">
        <v>14611</v>
      </c>
      <c r="G46210" t="s">
        <v>18525</v>
      </c>
      <c r="H46210" t="s">
        <v>37006</v>
      </c>
    </row>
    <row r="46211" spans="1:8">
      <c r="A46211" t="s">
        <v>4117</v>
      </c>
      <c r="B46211">
        <f>HYPERLINK("https://android.googlesource.com/platform/cts/+/a559d3fd02134563fcecf2201ea77cfa36d6b617", "a559d3fd02134563fcecf2201ea77cfa36d6b617")</f>
        <v>0</v>
      </c>
      <c r="C46211">
        <f>HYPERLINK("https://android.googlesource.com/platform/cts/+/c3e42593ed2f7abe0b09a0f0f69c92ab5a935588", "c3e42593ed2f7abe0b09a0f0f69c92ab5a935588")</f>
        <v>0</v>
      </c>
      <c r="D46211" t="s">
        <v>5574</v>
      </c>
      <c r="E46211" t="s">
        <v>9799</v>
      </c>
      <c r="F46211" t="s">
        <v>14612</v>
      </c>
      <c r="G46211" t="s">
        <v>18360</v>
      </c>
      <c r="H46211" t="s">
        <v>37007</v>
      </c>
    </row>
    <row r="46212" spans="1:8">
      <c r="A46212" t="s">
        <v>4118</v>
      </c>
      <c r="B46212">
        <f>HYPERLINK("https://android.googlesource.com/platform/cts/+/641e7af30ebe486915a2bfe2c2f5016712e92833", "641e7af30ebe486915a2bfe2c2f5016712e92833")</f>
        <v>0</v>
      </c>
      <c r="C46212">
        <f>HYPERLINK("https://android.googlesource.com/platform/cts/+/add5ea10adafbbbd40efb51708a3a85491729a49", "add5ea10adafbbbd40efb51708a3a85491729a49")</f>
        <v>0</v>
      </c>
      <c r="D46212" t="s">
        <v>5662</v>
      </c>
      <c r="E46212" t="s">
        <v>9800</v>
      </c>
      <c r="F46212" t="s">
        <v>14613</v>
      </c>
      <c r="G46212" t="s">
        <v>18453</v>
      </c>
      <c r="H46212" t="s">
        <v>37008</v>
      </c>
    </row>
    <row r="46213" spans="1:8">
      <c r="F46213" t="s">
        <v>14527</v>
      </c>
      <c r="G46213" t="s">
        <v>18446</v>
      </c>
      <c r="H46213" t="s">
        <v>37009</v>
      </c>
    </row>
    <row r="46214" spans="1:8">
      <c r="A46214" t="s">
        <v>4119</v>
      </c>
      <c r="B46214">
        <f>HYPERLINK("https://android.googlesource.com/platform/cts/+/1f0a59bcff44d94eed97af80300081c2cbee1a94", "1f0a59bcff44d94eed97af80300081c2cbee1a94")</f>
        <v>0</v>
      </c>
      <c r="C46214">
        <f>HYPERLINK("https://android.googlesource.com/platform/cts/+/85ffe417e8a794c76b53d19ced86f54ab345f9d3", "85ffe417e8a794c76b53d19ced86f54ab345f9d3")</f>
        <v>0</v>
      </c>
      <c r="D46214" t="s">
        <v>5038</v>
      </c>
      <c r="E46214" t="s">
        <v>9801</v>
      </c>
      <c r="F46214" t="s">
        <v>14497</v>
      </c>
      <c r="G46214" t="s">
        <v>18425</v>
      </c>
      <c r="H46214" t="s">
        <v>37010</v>
      </c>
    </row>
    <row r="46215" spans="1:8">
      <c r="F46215" t="s">
        <v>14545</v>
      </c>
      <c r="G46215" t="s">
        <v>18468</v>
      </c>
      <c r="H46215" t="s">
        <v>37011</v>
      </c>
    </row>
    <row r="46216" spans="1:8">
      <c r="A46216" t="s">
        <v>4120</v>
      </c>
      <c r="B46216">
        <f>HYPERLINK("https://android.googlesource.com/platform/cts/+/72ee4fe4894d0efbad956c68a747b250a9a813de", "72ee4fe4894d0efbad956c68a747b250a9a813de")</f>
        <v>0</v>
      </c>
      <c r="C46216">
        <f>HYPERLINK("https://android.googlesource.com/platform/cts/+/d33438ca83a8addba6f1f2c9710427002aee5327", "d33438ca83a8addba6f1f2c9710427002aee5327")</f>
        <v>0</v>
      </c>
      <c r="D46216" t="s">
        <v>5625</v>
      </c>
      <c r="E46216" t="s">
        <v>9802</v>
      </c>
      <c r="F46216" t="s">
        <v>13816</v>
      </c>
      <c r="G46216" t="s">
        <v>15089</v>
      </c>
      <c r="H46216" t="s">
        <v>36174</v>
      </c>
    </row>
    <row r="46217" spans="1:8">
      <c r="A46217" t="s">
        <v>4121</v>
      </c>
      <c r="B46217">
        <f>HYPERLINK("https://android.googlesource.com/platform/cts/+/9d6afd8a9d308b33f531a8930896f0a7bb56d32c", "9d6afd8a9d308b33f531a8930896f0a7bb56d32c")</f>
        <v>0</v>
      </c>
      <c r="C46217">
        <f>HYPERLINK("https://android.googlesource.com/platform/cts/+/7c72064c7a63c2e1f94b3739a8a3c69b8cf60467", "7c72064c7a63c2e1f94b3739a8a3c69b8cf60467")</f>
        <v>0</v>
      </c>
      <c r="D46217" t="s">
        <v>5180</v>
      </c>
      <c r="E46217" t="s">
        <v>9803</v>
      </c>
      <c r="F46217" t="s">
        <v>13187</v>
      </c>
      <c r="G46217" t="s">
        <v>17331</v>
      </c>
      <c r="H46217" t="s">
        <v>28459</v>
      </c>
    </row>
    <row r="46218" spans="1:8">
      <c r="A46218" t="s">
        <v>4122</v>
      </c>
      <c r="B46218">
        <f>HYPERLINK("https://android.googlesource.com/platform/cts/+/0fddc5e003cfe8535faf4f7742f32bb965ae18d4", "0fddc5e003cfe8535faf4f7742f32bb965ae18d4")</f>
        <v>0</v>
      </c>
      <c r="C46218">
        <f>HYPERLINK("https://android.googlesource.com/platform/cts/+/1fb5df26b2118e45ce8bb6198f9be07783731bb0", "1fb5df26b2118e45ce8bb6198f9be07783731bb0")</f>
        <v>0</v>
      </c>
      <c r="D46218" t="s">
        <v>5662</v>
      </c>
      <c r="E46218" t="s">
        <v>9804</v>
      </c>
      <c r="F46218" t="s">
        <v>14613</v>
      </c>
      <c r="G46218" t="s">
        <v>18453</v>
      </c>
      <c r="H46218" t="s">
        <v>37008</v>
      </c>
    </row>
    <row r="46219" spans="1:8">
      <c r="F46219" t="s">
        <v>14527</v>
      </c>
      <c r="G46219" t="s">
        <v>18446</v>
      </c>
      <c r="H46219" t="s">
        <v>37009</v>
      </c>
    </row>
    <row r="46220" spans="1:8">
      <c r="A46220" t="s">
        <v>4123</v>
      </c>
      <c r="B46220">
        <f>HYPERLINK("https://android.googlesource.com/platform/cts/+/8d3874f74b0746a389b17b47d3e1a9a00a88e17a", "8d3874f74b0746a389b17b47d3e1a9a00a88e17a")</f>
        <v>0</v>
      </c>
      <c r="C46220">
        <f>HYPERLINK("https://android.googlesource.com/platform/cts/+/6fbeccd5047257d8ca3958fde1ca6c1ab3ccfdb3", "6fbeccd5047257d8ca3958fde1ca6c1ab3ccfdb3")</f>
        <v>0</v>
      </c>
      <c r="D46220" t="s">
        <v>5602</v>
      </c>
      <c r="E46220" t="s">
        <v>9805</v>
      </c>
      <c r="F46220" t="s">
        <v>14614</v>
      </c>
      <c r="G46220" t="s">
        <v>18526</v>
      </c>
      <c r="H46220" t="s">
        <v>37012</v>
      </c>
    </row>
    <row r="46221" spans="1:8">
      <c r="A46221" t="s">
        <v>4124</v>
      </c>
      <c r="B46221">
        <f>HYPERLINK("https://android.googlesource.com/platform/cts/+/bfb7aa31fc59cad6431727af8d28e7634c28ea4e", "bfb7aa31fc59cad6431727af8d28e7634c28ea4e")</f>
        <v>0</v>
      </c>
      <c r="C46221">
        <f>HYPERLINK("https://android.googlesource.com/platform/cts/+/0c665519e1b44f97166ec62494c12fb8d72b0e15", "0c665519e1b44f97166ec62494c12fb8d72b0e15")</f>
        <v>0</v>
      </c>
      <c r="D46221" t="s">
        <v>5445</v>
      </c>
      <c r="E46221" t="s">
        <v>9806</v>
      </c>
      <c r="F46221" t="s">
        <v>14440</v>
      </c>
      <c r="G46221" t="s">
        <v>18376</v>
      </c>
      <c r="H46221" t="s">
        <v>36015</v>
      </c>
    </row>
    <row r="46222" spans="1:8">
      <c r="A46222" t="s">
        <v>4125</v>
      </c>
      <c r="B46222">
        <f>HYPERLINK("https://android.googlesource.com/platform/cts/+/2de3522f25bb7b053c195ac80140fd0a64458242", "2de3522f25bb7b053c195ac80140fd0a64458242")</f>
        <v>0</v>
      </c>
      <c r="C46222">
        <f>HYPERLINK("https://android.googlesource.com/platform/cts/+/24859ae71c0e72f55978e82a59065582b5f1c25d", "24859ae71c0e72f55978e82a59065582b5f1c25d")</f>
        <v>0</v>
      </c>
      <c r="D46222" t="s">
        <v>5219</v>
      </c>
      <c r="E46222" t="s">
        <v>9807</v>
      </c>
      <c r="F46222" t="s">
        <v>13478</v>
      </c>
      <c r="G46222" t="s">
        <v>17596</v>
      </c>
      <c r="H46222" t="s">
        <v>37013</v>
      </c>
    </row>
    <row r="46223" spans="1:8">
      <c r="H46223" t="s">
        <v>37014</v>
      </c>
    </row>
    <row r="46224" spans="1:8">
      <c r="F46224" t="s">
        <v>14512</v>
      </c>
      <c r="G46224" t="s">
        <v>18414</v>
      </c>
      <c r="H46224" t="s">
        <v>37015</v>
      </c>
    </row>
    <row r="46225" spans="1:8">
      <c r="A46225" t="s">
        <v>4126</v>
      </c>
      <c r="B46225">
        <f>HYPERLINK("https://android.googlesource.com/platform/cts/+/42ca4d0a218408eb74acea9350b8612a805a3664", "42ca4d0a218408eb74acea9350b8612a805a3664")</f>
        <v>0</v>
      </c>
      <c r="C46225">
        <f>HYPERLINK("https://android.googlesource.com/platform/cts/+/c6e55129870c940d70878109e0d714886a62e2e3", "c6e55129870c940d70878109e0d714886a62e2e3")</f>
        <v>0</v>
      </c>
      <c r="D46225" t="s">
        <v>5661</v>
      </c>
      <c r="E46225" t="s">
        <v>9808</v>
      </c>
      <c r="F46225" t="s">
        <v>14128</v>
      </c>
      <c r="G46225" t="s">
        <v>18118</v>
      </c>
      <c r="H46225" t="s">
        <v>36995</v>
      </c>
    </row>
    <row r="46226" spans="1:8">
      <c r="H46226" t="s">
        <v>36996</v>
      </c>
    </row>
    <row r="46227" spans="1:8">
      <c r="H46227" t="s">
        <v>36997</v>
      </c>
    </row>
    <row r="46228" spans="1:8">
      <c r="H46228" t="s">
        <v>36998</v>
      </c>
    </row>
    <row r="46229" spans="1:8">
      <c r="A46229" t="s">
        <v>4127</v>
      </c>
      <c r="B46229">
        <f>HYPERLINK("https://android.googlesource.com/platform/cts/+/b861418e5f9664be87dc5aaa60630c12c8ec08f2", "b861418e5f9664be87dc5aaa60630c12c8ec08f2")</f>
        <v>0</v>
      </c>
      <c r="C46229">
        <f>HYPERLINK("https://android.googlesource.com/platform/cts/+/821965037ffd92fa4c4fac54a700a0d7d76145d5", "821965037ffd92fa4c4fac54a700a0d7d76145d5")</f>
        <v>0</v>
      </c>
      <c r="D46229" t="s">
        <v>5030</v>
      </c>
      <c r="E46229" t="s">
        <v>9786</v>
      </c>
      <c r="F46229" t="s">
        <v>14594</v>
      </c>
      <c r="G46229" t="s">
        <v>18511</v>
      </c>
      <c r="H46229" t="s">
        <v>36840</v>
      </c>
    </row>
    <row r="46230" spans="1:8">
      <c r="H46230" t="s">
        <v>36841</v>
      </c>
    </row>
    <row r="46231" spans="1:8">
      <c r="F46231" t="s">
        <v>14595</v>
      </c>
      <c r="G46231" t="s">
        <v>18512</v>
      </c>
      <c r="H46231" t="s">
        <v>36842</v>
      </c>
    </row>
    <row r="46232" spans="1:8">
      <c r="H46232" t="s">
        <v>36843</v>
      </c>
    </row>
    <row r="46233" spans="1:8">
      <c r="H46233" t="s">
        <v>34042</v>
      </c>
    </row>
    <row r="46234" spans="1:8">
      <c r="F46234" t="s">
        <v>14596</v>
      </c>
      <c r="G46234" t="s">
        <v>18513</v>
      </c>
      <c r="H46234" t="s">
        <v>36844</v>
      </c>
    </row>
    <row r="46235" spans="1:8">
      <c r="H46235" t="s">
        <v>36845</v>
      </c>
    </row>
    <row r="46236" spans="1:8">
      <c r="H46236" t="s">
        <v>36846</v>
      </c>
    </row>
    <row r="46237" spans="1:8">
      <c r="A46237" t="s">
        <v>4128</v>
      </c>
      <c r="B46237">
        <f>HYPERLINK("https://android.googlesource.com/platform/cts/+/fdc0962018be0098285695cb4b756011e904417d", "fdc0962018be0098285695cb4b756011e904417d")</f>
        <v>0</v>
      </c>
      <c r="C46237">
        <f>HYPERLINK("https://android.googlesource.com/platform/cts/+/ebda9875c3b7c5c9c4ea277c3b43e4c1d4a7b58a", "ebda9875c3b7c5c9c4ea277c3b43e4c1d4a7b58a")</f>
        <v>0</v>
      </c>
      <c r="D46237" t="s">
        <v>5663</v>
      </c>
      <c r="E46237" t="s">
        <v>9809</v>
      </c>
      <c r="F46237" t="s">
        <v>14615</v>
      </c>
      <c r="G46237" t="s">
        <v>18527</v>
      </c>
      <c r="H46237" t="s">
        <v>37016</v>
      </c>
    </row>
    <row r="46238" spans="1:8">
      <c r="F46238" t="s">
        <v>14616</v>
      </c>
      <c r="G46238" t="s">
        <v>18528</v>
      </c>
      <c r="H46238" t="s">
        <v>18829</v>
      </c>
    </row>
    <row r="46239" spans="1:8">
      <c r="H46239" t="s">
        <v>18863</v>
      </c>
    </row>
    <row r="46240" spans="1:8">
      <c r="H46240" t="s">
        <v>37016</v>
      </c>
    </row>
    <row r="46241" spans="1:8">
      <c r="H46241" t="s">
        <v>37017</v>
      </c>
    </row>
    <row r="46242" spans="1:8">
      <c r="H46242" t="s">
        <v>37018</v>
      </c>
    </row>
    <row r="46243" spans="1:8">
      <c r="H46243" t="s">
        <v>37019</v>
      </c>
    </row>
    <row r="46244" spans="1:8">
      <c r="A46244" t="s">
        <v>4129</v>
      </c>
      <c r="B46244">
        <f>HYPERLINK("https://android.googlesource.com/platform/cts/+/0d43f1a5e2676518a662fc0d89baf95708bfe850", "0d43f1a5e2676518a662fc0d89baf95708bfe850")</f>
        <v>0</v>
      </c>
      <c r="C46244">
        <f>HYPERLINK("https://android.googlesource.com/platform/cts/+/4e516506764adf1e56c7e2df15beded450999089", "4e516506764adf1e56c7e2df15beded450999089")</f>
        <v>0</v>
      </c>
      <c r="D46244" t="s">
        <v>5445</v>
      </c>
      <c r="E46244" t="s">
        <v>9810</v>
      </c>
      <c r="F46244" t="s">
        <v>12864</v>
      </c>
      <c r="G46244" t="s">
        <v>17032</v>
      </c>
      <c r="H46244" t="s">
        <v>18829</v>
      </c>
    </row>
    <row r="46245" spans="1:8">
      <c r="A46245" t="s">
        <v>4130</v>
      </c>
      <c r="B46245">
        <f>HYPERLINK("https://android.googlesource.com/platform/cts/+/9ed23b903bd8d9b0196f5749c5a93a480f9733e0", "9ed23b903bd8d9b0196f5749c5a93a480f9733e0")</f>
        <v>0</v>
      </c>
      <c r="C46245">
        <f>HYPERLINK("https://android.googlesource.com/platform/cts/+/85ba0a083328904157d7029e5e2e6947377a94cc", "85ba0a083328904157d7029e5e2e6947377a94cc")</f>
        <v>0</v>
      </c>
      <c r="D46245" t="s">
        <v>5473</v>
      </c>
      <c r="E46245" t="s">
        <v>9811</v>
      </c>
      <c r="F46245" t="s">
        <v>14617</v>
      </c>
      <c r="G46245" t="s">
        <v>18529</v>
      </c>
      <c r="H46245" t="s">
        <v>37010</v>
      </c>
    </row>
    <row r="46246" spans="1:8">
      <c r="F46246" t="s">
        <v>14185</v>
      </c>
      <c r="G46246" t="s">
        <v>18166</v>
      </c>
      <c r="H46246" t="s">
        <v>37010</v>
      </c>
    </row>
    <row r="46247" spans="1:8">
      <c r="A46247" t="s">
        <v>4131</v>
      </c>
      <c r="B46247">
        <f>HYPERLINK("https://android.googlesource.com/platform/cts/+/06a84310f16c0aeaf323b1b2cbfb4c4e233c06ba", "06a84310f16c0aeaf323b1b2cbfb4c4e233c06ba")</f>
        <v>0</v>
      </c>
      <c r="C46247">
        <f>HYPERLINK("https://android.googlesource.com/platform/cts/+/d4b71441b44ccb6b687c1cf7b1bada503b60ad6b", "d4b71441b44ccb6b687c1cf7b1bada503b60ad6b")</f>
        <v>0</v>
      </c>
      <c r="D46247" t="s">
        <v>5409</v>
      </c>
      <c r="E46247" t="s">
        <v>9812</v>
      </c>
      <c r="F46247" t="s">
        <v>14618</v>
      </c>
      <c r="G46247" t="s">
        <v>18530</v>
      </c>
      <c r="H46247" t="s">
        <v>18829</v>
      </c>
    </row>
    <row r="46248" spans="1:8">
      <c r="H46248" t="s">
        <v>32598</v>
      </c>
    </row>
    <row r="46249" spans="1:8">
      <c r="H46249" t="s">
        <v>37020</v>
      </c>
    </row>
    <row r="46250" spans="1:8">
      <c r="H46250" t="s">
        <v>37021</v>
      </c>
    </row>
    <row r="46251" spans="1:8">
      <c r="H46251" t="s">
        <v>37022</v>
      </c>
    </row>
    <row r="46252" spans="1:8">
      <c r="H46252" t="s">
        <v>37023</v>
      </c>
    </row>
    <row r="46253" spans="1:8">
      <c r="H46253" t="s">
        <v>37024</v>
      </c>
    </row>
    <row r="46254" spans="1:8">
      <c r="F46254" t="s">
        <v>14619</v>
      </c>
      <c r="G46254" t="s">
        <v>18531</v>
      </c>
      <c r="H46254" t="s">
        <v>32598</v>
      </c>
    </row>
    <row r="46255" spans="1:8">
      <c r="H46255" t="s">
        <v>32599</v>
      </c>
    </row>
    <row r="46256" spans="1:8">
      <c r="H46256" t="s">
        <v>32600</v>
      </c>
    </row>
    <row r="46257" spans="1:8">
      <c r="H46257" t="s">
        <v>32601</v>
      </c>
    </row>
    <row r="46258" spans="1:8">
      <c r="H46258" t="s">
        <v>32597</v>
      </c>
    </row>
    <row r="46259" spans="1:8">
      <c r="A46259" t="s">
        <v>4132</v>
      </c>
      <c r="B46259">
        <f>HYPERLINK("https://android.googlesource.com/platform/cts/+/9adfa2d93b38785d0433065779cd7c4965fcc005", "9adfa2d93b38785d0433065779cd7c4965fcc005")</f>
        <v>0</v>
      </c>
      <c r="C46259">
        <f>HYPERLINK("https://android.googlesource.com/platform/cts/+/0ee905ad4b56b49066ae8e8596de2ecaa8b64072", "0ee905ad4b56b49066ae8e8596de2ecaa8b64072")</f>
        <v>0</v>
      </c>
      <c r="D46259" t="s">
        <v>5599</v>
      </c>
      <c r="E46259" t="s">
        <v>9813</v>
      </c>
      <c r="F46259" t="s">
        <v>14620</v>
      </c>
      <c r="G46259" t="s">
        <v>18532</v>
      </c>
      <c r="H46259" t="s">
        <v>37025</v>
      </c>
    </row>
    <row r="46260" spans="1:8">
      <c r="H46260" t="s">
        <v>37026</v>
      </c>
    </row>
    <row r="46261" spans="1:8">
      <c r="H46261" t="s">
        <v>37027</v>
      </c>
    </row>
    <row r="46262" spans="1:8">
      <c r="H46262" t="s">
        <v>37028</v>
      </c>
    </row>
    <row r="46263" spans="1:8">
      <c r="A46263" t="s">
        <v>4133</v>
      </c>
      <c r="B46263">
        <f>HYPERLINK("https://android.googlesource.com/platform/cts/+/7c5d2bc90886f36f7941698d2a4c766af1f07792", "7c5d2bc90886f36f7941698d2a4c766af1f07792")</f>
        <v>0</v>
      </c>
      <c r="C46263">
        <f>HYPERLINK("https://android.googlesource.com/platform/cts/+/dbedeae15ba8e966eb20bfbc5c0c0fb901567891", "dbedeae15ba8e966eb20bfbc5c0c0fb901567891")</f>
        <v>0</v>
      </c>
      <c r="D46263" t="s">
        <v>5313</v>
      </c>
      <c r="E46263" t="s">
        <v>9814</v>
      </c>
      <c r="F46263" t="s">
        <v>14165</v>
      </c>
      <c r="G46263" t="s">
        <v>17361</v>
      </c>
      <c r="H46263" t="s">
        <v>37029</v>
      </c>
    </row>
    <row r="46264" spans="1:8">
      <c r="A46264" t="s">
        <v>4134</v>
      </c>
      <c r="B46264">
        <f>HYPERLINK("https://android.googlesource.com/platform/cts/+/4ab8024b3c4dc967f3ac9c0addc917a76b19a13e", "4ab8024b3c4dc967f3ac9c0addc917a76b19a13e")</f>
        <v>0</v>
      </c>
      <c r="C46264">
        <f>HYPERLINK("https://android.googlesource.com/platform/cts/+/dbc6118981a8362b7cc671f4707a55a2f11978ec", "dbc6118981a8362b7cc671f4707a55a2f11978ec")</f>
        <v>0</v>
      </c>
      <c r="D46264" t="s">
        <v>5660</v>
      </c>
      <c r="E46264" t="s">
        <v>9815</v>
      </c>
      <c r="F46264" t="s">
        <v>13047</v>
      </c>
      <c r="G46264" t="s">
        <v>17211</v>
      </c>
      <c r="H46264" t="s">
        <v>37030</v>
      </c>
    </row>
    <row r="46265" spans="1:8">
      <c r="H46265" t="s">
        <v>27505</v>
      </c>
    </row>
    <row r="46266" spans="1:8">
      <c r="H46266" t="s">
        <v>37031</v>
      </c>
    </row>
    <row r="46267" spans="1:8">
      <c r="H46267" t="s">
        <v>37032</v>
      </c>
    </row>
    <row r="46268" spans="1:8">
      <c r="H46268" t="s">
        <v>37033</v>
      </c>
    </row>
    <row r="46269" spans="1:8">
      <c r="H46269" t="s">
        <v>37034</v>
      </c>
    </row>
    <row r="46270" spans="1:8">
      <c r="H46270" t="s">
        <v>37035</v>
      </c>
    </row>
    <row r="46271" spans="1:8">
      <c r="A46271" t="s">
        <v>4135</v>
      </c>
      <c r="B46271">
        <f>HYPERLINK("https://android.googlesource.com/platform/cts/+/5c17ed6ed301928ef09b80083aecde14eaaed96d", "5c17ed6ed301928ef09b80083aecde14eaaed96d")</f>
        <v>0</v>
      </c>
      <c r="C46271">
        <f>HYPERLINK("https://android.googlesource.com/platform/cts/+/6feb1b5e3fb274d8884aa4f50084285d27d109a7", "6feb1b5e3fb274d8884aa4f50084285d27d109a7")</f>
        <v>0</v>
      </c>
      <c r="D46271" t="s">
        <v>5664</v>
      </c>
      <c r="E46271" t="s">
        <v>9816</v>
      </c>
      <c r="F46271" t="s">
        <v>13047</v>
      </c>
      <c r="G46271" t="s">
        <v>17211</v>
      </c>
      <c r="H46271" t="s">
        <v>37030</v>
      </c>
    </row>
    <row r="46272" spans="1:8">
      <c r="H46272" t="s">
        <v>27505</v>
      </c>
    </row>
    <row r="46273" spans="1:8">
      <c r="H46273" t="s">
        <v>37031</v>
      </c>
    </row>
    <row r="46274" spans="1:8">
      <c r="H46274" t="s">
        <v>37032</v>
      </c>
    </row>
    <row r="46275" spans="1:8">
      <c r="H46275" t="s">
        <v>37033</v>
      </c>
    </row>
    <row r="46276" spans="1:8">
      <c r="H46276" t="s">
        <v>37034</v>
      </c>
    </row>
    <row r="46277" spans="1:8">
      <c r="H46277" t="s">
        <v>37035</v>
      </c>
    </row>
    <row r="46278" spans="1:8">
      <c r="A46278" t="s">
        <v>4136</v>
      </c>
      <c r="B46278">
        <f>HYPERLINK("https://android.googlesource.com/platform/cts/+/5f675e32e1799da8aba8748c5fa940a72c5593a5", "5f675e32e1799da8aba8748c5fa940a72c5593a5")</f>
        <v>0</v>
      </c>
      <c r="C46278">
        <f>HYPERLINK("https://android.googlesource.com/platform/cts/+/ec9b4e3f6877383500abe0c5c60cba3435bf5948", "ec9b4e3f6877383500abe0c5c60cba3435bf5948")</f>
        <v>0</v>
      </c>
      <c r="D46278" t="s">
        <v>5180</v>
      </c>
      <c r="E46278" t="s">
        <v>9817</v>
      </c>
      <c r="F46278" t="s">
        <v>13790</v>
      </c>
      <c r="G46278" t="s">
        <v>17519</v>
      </c>
      <c r="H46278" t="s">
        <v>37036</v>
      </c>
    </row>
    <row r="46279" spans="1:8">
      <c r="H46279" t="s">
        <v>37037</v>
      </c>
    </row>
    <row r="46280" spans="1:8">
      <c r="H46280" t="s">
        <v>37038</v>
      </c>
    </row>
    <row r="46281" spans="1:8">
      <c r="H46281" t="s">
        <v>37039</v>
      </c>
    </row>
    <row r="46282" spans="1:8">
      <c r="H46282" t="s">
        <v>37040</v>
      </c>
    </row>
    <row r="46283" spans="1:8">
      <c r="H46283" t="s">
        <v>37041</v>
      </c>
    </row>
    <row r="46284" spans="1:8">
      <c r="A46284" t="s">
        <v>4137</v>
      </c>
      <c r="B46284">
        <f>HYPERLINK("https://android.googlesource.com/platform/cts/+/2eca861ed7053667b6461a472cd7d759df69a516", "2eca861ed7053667b6461a472cd7d759df69a516")</f>
        <v>0</v>
      </c>
      <c r="C46284">
        <f>HYPERLINK("https://android.googlesource.com/platform/cts/+/4ab009d29db4ad2fe1cc66fd3d52b3cde0dab85d", "4ab009d29db4ad2fe1cc66fd3d52b3cde0dab85d")</f>
        <v>0</v>
      </c>
      <c r="D46284" t="s">
        <v>5313</v>
      </c>
      <c r="E46284" t="s">
        <v>9818</v>
      </c>
      <c r="F46284" t="s">
        <v>14165</v>
      </c>
      <c r="G46284" t="s">
        <v>17361</v>
      </c>
      <c r="H46284" t="s">
        <v>37029</v>
      </c>
    </row>
    <row r="46285" spans="1:8">
      <c r="A46285" t="s">
        <v>4138</v>
      </c>
      <c r="B46285">
        <f>HYPERLINK("https://android.googlesource.com/platform/cts/+/17738536724f3cbe14f5f8816f12d8f4e493cdd6", "17738536724f3cbe14f5f8816f12d8f4e493cdd6")</f>
        <v>0</v>
      </c>
      <c r="C46285">
        <f>HYPERLINK("https://android.googlesource.com/platform/cts/+/4665da0fe48cbbea93d22a0988a3abdb303bc4a5", "4665da0fe48cbbea93d22a0988a3abdb303bc4a5")</f>
        <v>0</v>
      </c>
      <c r="D46285" t="s">
        <v>5313</v>
      </c>
      <c r="E46285" t="s">
        <v>9819</v>
      </c>
      <c r="F46285" t="s">
        <v>14165</v>
      </c>
      <c r="G46285" t="s">
        <v>17361</v>
      </c>
      <c r="H46285" t="s">
        <v>37042</v>
      </c>
    </row>
    <row r="46286" spans="1:8">
      <c r="A46286" t="s">
        <v>4139</v>
      </c>
      <c r="B46286">
        <f>HYPERLINK("https://android.googlesource.com/platform/cts/+/e2dd9d95b57bc0406db3f3f80792cc9f9b2adfd6", "e2dd9d95b57bc0406db3f3f80792cc9f9b2adfd6")</f>
        <v>0</v>
      </c>
      <c r="C46286">
        <f>HYPERLINK("https://android.googlesource.com/platform/cts/+/13f45c03d5c447fc3db536128b8afff868f4c22e", "13f45c03d5c447fc3db536128b8afff868f4c22e")</f>
        <v>0</v>
      </c>
      <c r="D46286" t="s">
        <v>5415</v>
      </c>
      <c r="E46286" t="s">
        <v>9820</v>
      </c>
      <c r="F46286" t="s">
        <v>14363</v>
      </c>
      <c r="G46286" t="s">
        <v>18533</v>
      </c>
      <c r="H46286" t="s">
        <v>37043</v>
      </c>
    </row>
    <row r="46287" spans="1:8">
      <c r="H46287" t="s">
        <v>37044</v>
      </c>
    </row>
    <row r="46288" spans="1:8">
      <c r="H46288" t="s">
        <v>37045</v>
      </c>
    </row>
    <row r="46289" spans="8:8">
      <c r="H46289" t="s">
        <v>37046</v>
      </c>
    </row>
    <row r="46290" spans="8:8">
      <c r="H46290" t="s">
        <v>18829</v>
      </c>
    </row>
    <row r="46291" spans="8:8">
      <c r="H46291" t="s">
        <v>18863</v>
      </c>
    </row>
    <row r="46292" spans="8:8">
      <c r="H46292" t="s">
        <v>37047</v>
      </c>
    </row>
    <row r="46293" spans="8:8">
      <c r="H46293" t="s">
        <v>37048</v>
      </c>
    </row>
    <row r="46294" spans="8:8">
      <c r="H46294" t="s">
        <v>37049</v>
      </c>
    </row>
    <row r="46295" spans="8:8">
      <c r="H46295" t="s">
        <v>37050</v>
      </c>
    </row>
    <row r="46296" spans="8:8">
      <c r="H46296" t="s">
        <v>37051</v>
      </c>
    </row>
    <row r="46297" spans="8:8">
      <c r="H46297" t="s">
        <v>37052</v>
      </c>
    </row>
    <row r="46298" spans="8:8">
      <c r="H46298" t="s">
        <v>37053</v>
      </c>
    </row>
    <row r="46299" spans="8:8">
      <c r="H46299" t="s">
        <v>37054</v>
      </c>
    </row>
    <row r="46300" spans="8:8">
      <c r="H46300" t="s">
        <v>37055</v>
      </c>
    </row>
    <row r="46301" spans="8:8">
      <c r="H46301" t="s">
        <v>37056</v>
      </c>
    </row>
    <row r="46302" spans="8:8">
      <c r="H46302" t="s">
        <v>37057</v>
      </c>
    </row>
    <row r="46303" spans="8:8">
      <c r="H46303" t="s">
        <v>37058</v>
      </c>
    </row>
    <row r="46304" spans="8:8">
      <c r="H46304" t="s">
        <v>37059</v>
      </c>
    </row>
    <row r="46305" spans="1:8">
      <c r="H46305" t="s">
        <v>37060</v>
      </c>
    </row>
    <row r="46306" spans="1:8">
      <c r="H46306" t="s">
        <v>37061</v>
      </c>
    </row>
    <row r="46307" spans="1:8">
      <c r="H46307" t="s">
        <v>35650</v>
      </c>
    </row>
    <row r="46308" spans="1:8">
      <c r="H46308" t="s">
        <v>37062</v>
      </c>
    </row>
    <row r="46309" spans="1:8">
      <c r="H46309" t="s">
        <v>37063</v>
      </c>
    </row>
    <row r="46310" spans="1:8">
      <c r="H46310" t="s">
        <v>37064</v>
      </c>
    </row>
    <row r="46311" spans="1:8">
      <c r="H46311" t="s">
        <v>37065</v>
      </c>
    </row>
    <row r="46312" spans="1:8">
      <c r="H46312" t="s">
        <v>37066</v>
      </c>
    </row>
    <row r="46313" spans="1:8">
      <c r="H46313" t="s">
        <v>37067</v>
      </c>
    </row>
    <row r="46314" spans="1:8">
      <c r="H46314" t="s">
        <v>37068</v>
      </c>
    </row>
    <row r="46315" spans="1:8">
      <c r="H46315" t="s">
        <v>37069</v>
      </c>
    </row>
    <row r="46316" spans="1:8">
      <c r="H46316" t="s">
        <v>37070</v>
      </c>
    </row>
    <row r="46317" spans="1:8">
      <c r="A46317" t="s">
        <v>4140</v>
      </c>
      <c r="B46317">
        <f>HYPERLINK("https://android.googlesource.com/platform/cts/+/096679ebd011c37c59a29ee4bc43439bb8afd582", "096679ebd011c37c59a29ee4bc43439bb8afd582")</f>
        <v>0</v>
      </c>
      <c r="C46317">
        <f>HYPERLINK("https://android.googlesource.com/platform/cts/+/02bb69bfadb794321609589b29b8f0e2109b40e9", "02bb69bfadb794321609589b29b8f0e2109b40e9")</f>
        <v>0</v>
      </c>
      <c r="D46317" t="s">
        <v>5313</v>
      </c>
      <c r="E46317" t="s">
        <v>9821</v>
      </c>
      <c r="F46317" t="s">
        <v>14165</v>
      </c>
      <c r="G46317" t="s">
        <v>17361</v>
      </c>
      <c r="H46317" t="s">
        <v>37042</v>
      </c>
    </row>
    <row r="46318" spans="1:8">
      <c r="A46318" t="s">
        <v>4141</v>
      </c>
      <c r="B46318">
        <f>HYPERLINK("https://android.googlesource.com/platform/cts/+/0579b0ca6d4664ff28514fe7efd6c7543a5e6471", "0579b0ca6d4664ff28514fe7efd6c7543a5e6471")</f>
        <v>0</v>
      </c>
      <c r="C46318">
        <f>HYPERLINK("https://android.googlesource.com/platform/cts/+/ed55bee8e9e0f821a11c935a43a524c2495cad7f", "ed55bee8e9e0f821a11c935a43a524c2495cad7f")</f>
        <v>0</v>
      </c>
      <c r="D46318" t="s">
        <v>5313</v>
      </c>
      <c r="E46318" t="s">
        <v>9818</v>
      </c>
      <c r="F46318" t="s">
        <v>14165</v>
      </c>
      <c r="G46318" t="s">
        <v>17361</v>
      </c>
      <c r="H46318" t="s">
        <v>37029</v>
      </c>
    </row>
    <row r="46319" spans="1:8">
      <c r="A46319" t="s">
        <v>4142</v>
      </c>
      <c r="B46319">
        <f>HYPERLINK("https://android.googlesource.com/platform/cts/+/dcd6cbba2c4030aee2201121e7b2fea33ebbeaca", "dcd6cbba2c4030aee2201121e7b2fea33ebbeaca")</f>
        <v>0</v>
      </c>
      <c r="C46319">
        <f>HYPERLINK("https://android.googlesource.com/platform/cts/+/ed55bee8e9e0f821a11c935a43a524c2495cad7f", "ed55bee8e9e0f821a11c935a43a524c2495cad7f")</f>
        <v>0</v>
      </c>
      <c r="D46319" t="s">
        <v>5313</v>
      </c>
      <c r="E46319" t="s">
        <v>9821</v>
      </c>
      <c r="F46319" t="s">
        <v>14165</v>
      </c>
      <c r="G46319" t="s">
        <v>17361</v>
      </c>
      <c r="H46319" t="s">
        <v>37042</v>
      </c>
    </row>
    <row r="46320" spans="1:8">
      <c r="A46320" t="s">
        <v>4143</v>
      </c>
      <c r="B46320">
        <f>HYPERLINK("https://android.googlesource.com/platform/cts/+/4d6b858e0f9a908d5503539d7f8093cce8272e05", "4d6b858e0f9a908d5503539d7f8093cce8272e05")</f>
        <v>0</v>
      </c>
      <c r="C46320">
        <f>HYPERLINK("https://android.googlesource.com/platform/cts/+/785f64789bf862a64d0ccab46a79e809e7ea5515", "785f64789bf862a64d0ccab46a79e809e7ea5515")</f>
        <v>0</v>
      </c>
      <c r="D46320" t="s">
        <v>5455</v>
      </c>
      <c r="E46320" t="s">
        <v>9822</v>
      </c>
      <c r="F46320" t="s">
        <v>14621</v>
      </c>
      <c r="G46320" t="s">
        <v>18534</v>
      </c>
      <c r="H46320" t="s">
        <v>37071</v>
      </c>
    </row>
    <row r="46321" spans="1:8">
      <c r="A46321" t="s">
        <v>4144</v>
      </c>
      <c r="B46321">
        <f>HYPERLINK("https://android.googlesource.com/platform/cts/+/b0db4cae905b93d9cf0169700483eda4f8314a70", "b0db4cae905b93d9cf0169700483eda4f8314a70")</f>
        <v>0</v>
      </c>
      <c r="C46321">
        <f>HYPERLINK("https://android.googlesource.com/platform/cts/+/e32bcbf69b0b915d6606fb403dc2110f926bc482", "e32bcbf69b0b915d6606fb403dc2110f926bc482")</f>
        <v>0</v>
      </c>
      <c r="D46321" t="s">
        <v>5021</v>
      </c>
      <c r="E46321" t="s">
        <v>9823</v>
      </c>
      <c r="F46321" t="s">
        <v>13794</v>
      </c>
      <c r="G46321" t="s">
        <v>17846</v>
      </c>
      <c r="H46321" t="s">
        <v>29881</v>
      </c>
    </row>
    <row r="46322" spans="1:8">
      <c r="A46322" t="s">
        <v>4145</v>
      </c>
      <c r="B46322">
        <f>HYPERLINK("https://android.googlesource.com/platform/cts/+/89fcef3d3075dd5cc81d748d5455c27baf933ef7", "89fcef3d3075dd5cc81d748d5455c27baf933ef7")</f>
        <v>0</v>
      </c>
      <c r="C46322">
        <f>HYPERLINK("https://android.googlesource.com/platform/cts/+/ad2766255fd6e35ba3cd77c778313b1f248be34b", "ad2766255fd6e35ba3cd77c778313b1f248be34b")</f>
        <v>0</v>
      </c>
      <c r="D46322" t="s">
        <v>5586</v>
      </c>
      <c r="E46322" t="s">
        <v>9824</v>
      </c>
      <c r="F46322" t="s">
        <v>13972</v>
      </c>
      <c r="G46322" t="s">
        <v>17997</v>
      </c>
      <c r="H46322" t="s">
        <v>37000</v>
      </c>
    </row>
    <row r="46323" spans="1:8">
      <c r="H46323" t="s">
        <v>37001</v>
      </c>
    </row>
    <row r="46324" spans="1:8">
      <c r="H46324" t="s">
        <v>37002</v>
      </c>
    </row>
    <row r="46325" spans="1:8">
      <c r="A46325" t="s">
        <v>4146</v>
      </c>
      <c r="B46325">
        <f>HYPERLINK("https://android.googlesource.com/platform/cts/+/d3bb5ddf7c868c428e9396fecfcf1fb7e98fb917", "d3bb5ddf7c868c428e9396fecfcf1fb7e98fb917")</f>
        <v>0</v>
      </c>
      <c r="C46325">
        <f>HYPERLINK("https://android.googlesource.com/platform/cts/+/28b8d9a382241ce259c25e610d7030c5f0857c6a", "28b8d9a382241ce259c25e610d7030c5f0857c6a")</f>
        <v>0</v>
      </c>
      <c r="D46325" t="s">
        <v>5439</v>
      </c>
      <c r="E46325" t="s">
        <v>9825</v>
      </c>
      <c r="F46325" t="s">
        <v>14363</v>
      </c>
      <c r="G46325" t="s">
        <v>18533</v>
      </c>
      <c r="H46325" t="s">
        <v>37043</v>
      </c>
    </row>
    <row r="46326" spans="1:8">
      <c r="H46326" t="s">
        <v>37044</v>
      </c>
    </row>
    <row r="46327" spans="1:8">
      <c r="H46327" t="s">
        <v>37045</v>
      </c>
    </row>
    <row r="46328" spans="1:8">
      <c r="H46328" t="s">
        <v>37046</v>
      </c>
    </row>
    <row r="46329" spans="1:8">
      <c r="H46329" t="s">
        <v>18829</v>
      </c>
    </row>
    <row r="46330" spans="1:8">
      <c r="H46330" t="s">
        <v>18863</v>
      </c>
    </row>
    <row r="46331" spans="1:8">
      <c r="H46331" t="s">
        <v>37047</v>
      </c>
    </row>
    <row r="46332" spans="1:8">
      <c r="H46332" t="s">
        <v>37048</v>
      </c>
    </row>
    <row r="46333" spans="1:8">
      <c r="H46333" t="s">
        <v>37049</v>
      </c>
    </row>
    <row r="46334" spans="1:8">
      <c r="H46334" t="s">
        <v>37050</v>
      </c>
    </row>
    <row r="46335" spans="1:8">
      <c r="H46335" t="s">
        <v>37051</v>
      </c>
    </row>
    <row r="46336" spans="1:8">
      <c r="H46336" t="s">
        <v>37052</v>
      </c>
    </row>
    <row r="46337" spans="8:8">
      <c r="H46337" t="s">
        <v>37053</v>
      </c>
    </row>
    <row r="46338" spans="8:8">
      <c r="H46338" t="s">
        <v>37054</v>
      </c>
    </row>
    <row r="46339" spans="8:8">
      <c r="H46339" t="s">
        <v>37055</v>
      </c>
    </row>
    <row r="46340" spans="8:8">
      <c r="H46340" t="s">
        <v>37056</v>
      </c>
    </row>
    <row r="46341" spans="8:8">
      <c r="H46341" t="s">
        <v>37057</v>
      </c>
    </row>
    <row r="46342" spans="8:8">
      <c r="H46342" t="s">
        <v>37058</v>
      </c>
    </row>
    <row r="46343" spans="8:8">
      <c r="H46343" t="s">
        <v>37059</v>
      </c>
    </row>
    <row r="46344" spans="8:8">
      <c r="H46344" t="s">
        <v>37060</v>
      </c>
    </row>
    <row r="46345" spans="8:8">
      <c r="H46345" t="s">
        <v>37061</v>
      </c>
    </row>
    <row r="46346" spans="8:8">
      <c r="H46346" t="s">
        <v>35650</v>
      </c>
    </row>
    <row r="46347" spans="8:8">
      <c r="H46347" t="s">
        <v>37062</v>
      </c>
    </row>
    <row r="46348" spans="8:8">
      <c r="H46348" t="s">
        <v>37063</v>
      </c>
    </row>
    <row r="46349" spans="8:8">
      <c r="H46349" t="s">
        <v>37064</v>
      </c>
    </row>
    <row r="46350" spans="8:8">
      <c r="H46350" t="s">
        <v>37065</v>
      </c>
    </row>
    <row r="46351" spans="8:8">
      <c r="H46351" t="s">
        <v>37066</v>
      </c>
    </row>
    <row r="46352" spans="8:8">
      <c r="H46352" t="s">
        <v>37067</v>
      </c>
    </row>
    <row r="46353" spans="1:8">
      <c r="H46353" t="s">
        <v>37068</v>
      </c>
    </row>
    <row r="46354" spans="1:8">
      <c r="H46354" t="s">
        <v>37069</v>
      </c>
    </row>
    <row r="46355" spans="1:8">
      <c r="H46355" t="s">
        <v>37070</v>
      </c>
    </row>
    <row r="46356" spans="1:8">
      <c r="A46356" t="s">
        <v>4147</v>
      </c>
      <c r="B46356">
        <f>HYPERLINK("https://android.googlesource.com/platform/cts/+/90d8751403dec1cddf043aa36679f8f7722cca90", "90d8751403dec1cddf043aa36679f8f7722cca90")</f>
        <v>0</v>
      </c>
      <c r="C46356">
        <f>HYPERLINK("https://android.googlesource.com/platform/cts/+/71fde886f0cde33bbaed92dcc6c9b120b2113f1d", "71fde886f0cde33bbaed92dcc6c9b120b2113f1d")</f>
        <v>0</v>
      </c>
      <c r="D46356" t="s">
        <v>5021</v>
      </c>
      <c r="E46356" t="s">
        <v>9826</v>
      </c>
      <c r="F46356" t="s">
        <v>13794</v>
      </c>
      <c r="G46356" t="s">
        <v>17846</v>
      </c>
      <c r="H46356" t="s">
        <v>29881</v>
      </c>
    </row>
    <row r="46357" spans="1:8">
      <c r="A46357" t="s">
        <v>4148</v>
      </c>
      <c r="B46357">
        <f>HYPERLINK("https://android.googlesource.com/platform/cts/+/5675d5b40e6688b093a2d05afb5daab2a28a388e", "5675d5b40e6688b093a2d05afb5daab2a28a388e")</f>
        <v>0</v>
      </c>
      <c r="C46357">
        <f>HYPERLINK("https://android.googlesource.com/platform/cts/+/27cdd58435b1aaf80186e02dd280d4a373644916", "27cdd58435b1aaf80186e02dd280d4a373644916")</f>
        <v>0</v>
      </c>
      <c r="D46357" t="s">
        <v>5409</v>
      </c>
      <c r="E46357" t="s">
        <v>9827</v>
      </c>
      <c r="F46357" t="s">
        <v>14622</v>
      </c>
      <c r="G46357" t="s">
        <v>16942</v>
      </c>
      <c r="H46357" t="s">
        <v>37072</v>
      </c>
    </row>
    <row r="46358" spans="1:8">
      <c r="H46358" t="s">
        <v>37073</v>
      </c>
    </row>
    <row r="46359" spans="1:8">
      <c r="H46359" t="s">
        <v>37074</v>
      </c>
    </row>
    <row r="46360" spans="1:8">
      <c r="H46360" t="s">
        <v>28689</v>
      </c>
    </row>
    <row r="46361" spans="1:8">
      <c r="H46361" t="s">
        <v>28690</v>
      </c>
    </row>
    <row r="46362" spans="1:8">
      <c r="H46362" t="s">
        <v>28691</v>
      </c>
    </row>
    <row r="46363" spans="1:8">
      <c r="H46363" t="s">
        <v>28692</v>
      </c>
    </row>
    <row r="46364" spans="1:8">
      <c r="H46364" t="s">
        <v>37075</v>
      </c>
    </row>
    <row r="46365" spans="1:8">
      <c r="F46365" t="s">
        <v>14623</v>
      </c>
      <c r="G46365" t="s">
        <v>18359</v>
      </c>
      <c r="H46365" t="s">
        <v>37076</v>
      </c>
    </row>
    <row r="46366" spans="1:8">
      <c r="A46366" t="s">
        <v>4149</v>
      </c>
      <c r="B46366">
        <f>HYPERLINK("https://android.googlesource.com/platform/cts/+/120a3c504b1ac875788728047ad69ac543c28904", "120a3c504b1ac875788728047ad69ac543c28904")</f>
        <v>0</v>
      </c>
      <c r="C46366">
        <f>HYPERLINK("https://android.googlesource.com/platform/cts/+/428c27cbd2f78308af0eb32ec6bcb90fe27cb983", "428c27cbd2f78308af0eb32ec6bcb90fe27cb983")</f>
        <v>0</v>
      </c>
      <c r="D46366" t="s">
        <v>5660</v>
      </c>
      <c r="E46366" t="s">
        <v>9828</v>
      </c>
      <c r="F46366" t="s">
        <v>14363</v>
      </c>
      <c r="G46366" t="s">
        <v>18533</v>
      </c>
      <c r="H46366" t="s">
        <v>37043</v>
      </c>
    </row>
    <row r="46367" spans="1:8">
      <c r="H46367" t="s">
        <v>37044</v>
      </c>
    </row>
    <row r="46368" spans="1:8">
      <c r="H46368" t="s">
        <v>37045</v>
      </c>
    </row>
    <row r="46369" spans="8:8">
      <c r="H46369" t="s">
        <v>37046</v>
      </c>
    </row>
    <row r="46370" spans="8:8">
      <c r="H46370" t="s">
        <v>18829</v>
      </c>
    </row>
    <row r="46371" spans="8:8">
      <c r="H46371" t="s">
        <v>18863</v>
      </c>
    </row>
    <row r="46372" spans="8:8">
      <c r="H46372" t="s">
        <v>37047</v>
      </c>
    </row>
    <row r="46373" spans="8:8">
      <c r="H46373" t="s">
        <v>37048</v>
      </c>
    </row>
    <row r="46374" spans="8:8">
      <c r="H46374" t="s">
        <v>37049</v>
      </c>
    </row>
    <row r="46375" spans="8:8">
      <c r="H46375" t="s">
        <v>37050</v>
      </c>
    </row>
    <row r="46376" spans="8:8">
      <c r="H46376" t="s">
        <v>37051</v>
      </c>
    </row>
    <row r="46377" spans="8:8">
      <c r="H46377" t="s">
        <v>37052</v>
      </c>
    </row>
    <row r="46378" spans="8:8">
      <c r="H46378" t="s">
        <v>37053</v>
      </c>
    </row>
    <row r="46379" spans="8:8">
      <c r="H46379" t="s">
        <v>37054</v>
      </c>
    </row>
    <row r="46380" spans="8:8">
      <c r="H46380" t="s">
        <v>37055</v>
      </c>
    </row>
    <row r="46381" spans="8:8">
      <c r="H46381" t="s">
        <v>37056</v>
      </c>
    </row>
    <row r="46382" spans="8:8">
      <c r="H46382" t="s">
        <v>37057</v>
      </c>
    </row>
    <row r="46383" spans="8:8">
      <c r="H46383" t="s">
        <v>37058</v>
      </c>
    </row>
    <row r="46384" spans="8:8">
      <c r="H46384" t="s">
        <v>37059</v>
      </c>
    </row>
    <row r="46385" spans="1:8">
      <c r="H46385" t="s">
        <v>37060</v>
      </c>
    </row>
    <row r="46386" spans="1:8">
      <c r="H46386" t="s">
        <v>37061</v>
      </c>
    </row>
    <row r="46387" spans="1:8">
      <c r="H46387" t="s">
        <v>35650</v>
      </c>
    </row>
    <row r="46388" spans="1:8">
      <c r="H46388" t="s">
        <v>37062</v>
      </c>
    </row>
    <row r="46389" spans="1:8">
      <c r="H46389" t="s">
        <v>37063</v>
      </c>
    </row>
    <row r="46390" spans="1:8">
      <c r="H46390" t="s">
        <v>37064</v>
      </c>
    </row>
    <row r="46391" spans="1:8">
      <c r="H46391" t="s">
        <v>37065</v>
      </c>
    </row>
    <row r="46392" spans="1:8">
      <c r="H46392" t="s">
        <v>37066</v>
      </c>
    </row>
    <row r="46393" spans="1:8">
      <c r="H46393" t="s">
        <v>37067</v>
      </c>
    </row>
    <row r="46394" spans="1:8">
      <c r="H46394" t="s">
        <v>37068</v>
      </c>
    </row>
    <row r="46395" spans="1:8">
      <c r="H46395" t="s">
        <v>37069</v>
      </c>
    </row>
    <row r="46396" spans="1:8">
      <c r="H46396" t="s">
        <v>37070</v>
      </c>
    </row>
    <row r="46397" spans="1:8">
      <c r="A46397" t="s">
        <v>4150</v>
      </c>
      <c r="B46397">
        <f>HYPERLINK("https://android.googlesource.com/platform/cts/+/a64d39359ba56a03afa4f0b52c95c1257d04dbb0", "a64d39359ba56a03afa4f0b52c95c1257d04dbb0")</f>
        <v>0</v>
      </c>
      <c r="C46397">
        <f>HYPERLINK("https://android.googlesource.com/platform/cts/+/17ab24f97308322e6cdf518fe85d5ab6b748d4d4", "17ab24f97308322e6cdf518fe85d5ab6b748d4d4")</f>
        <v>0</v>
      </c>
      <c r="D46397" t="s">
        <v>5444</v>
      </c>
      <c r="E46397" t="s">
        <v>9829</v>
      </c>
      <c r="F46397" t="s">
        <v>14079</v>
      </c>
      <c r="G46397" t="s">
        <v>15084</v>
      </c>
      <c r="H46397" t="s">
        <v>28618</v>
      </c>
    </row>
    <row r="46398" spans="1:8">
      <c r="A46398" t="s">
        <v>4151</v>
      </c>
      <c r="B46398">
        <f>HYPERLINK("https://android.googlesource.com/platform/cts/+/b68a484e6fa0b7992809ba583a0f5fe915c3b557", "b68a484e6fa0b7992809ba583a0f5fe915c3b557")</f>
        <v>0</v>
      </c>
      <c r="C46398">
        <f>HYPERLINK("https://android.googlesource.com/platform/cts/+/226041e349bd8b9bc6fd64e14ae1df7eeee8dff3", "226041e349bd8b9bc6fd64e14ae1df7eeee8dff3")</f>
        <v>0</v>
      </c>
      <c r="D46398" t="s">
        <v>5288</v>
      </c>
      <c r="E46398" t="s">
        <v>9830</v>
      </c>
      <c r="F46398" t="s">
        <v>14624</v>
      </c>
      <c r="G46398" t="s">
        <v>18535</v>
      </c>
      <c r="H46398" t="s">
        <v>18863</v>
      </c>
    </row>
    <row r="46399" spans="1:8">
      <c r="H46399" t="s">
        <v>37077</v>
      </c>
    </row>
    <row r="46400" spans="1:8">
      <c r="H46400" t="s">
        <v>37078</v>
      </c>
    </row>
    <row r="46401" spans="1:8">
      <c r="H46401" t="s">
        <v>37079</v>
      </c>
    </row>
    <row r="46402" spans="1:8">
      <c r="H46402" t="s">
        <v>37080</v>
      </c>
    </row>
    <row r="46403" spans="1:8">
      <c r="H46403" t="s">
        <v>37081</v>
      </c>
    </row>
    <row r="46404" spans="1:8">
      <c r="H46404" t="s">
        <v>37082</v>
      </c>
    </row>
    <row r="46405" spans="1:8">
      <c r="H46405" t="s">
        <v>37083</v>
      </c>
    </row>
    <row r="46406" spans="1:8">
      <c r="H46406" t="s">
        <v>37084</v>
      </c>
    </row>
    <row r="46407" spans="1:8">
      <c r="H46407" t="s">
        <v>37085</v>
      </c>
    </row>
    <row r="46408" spans="1:8">
      <c r="H46408" t="s">
        <v>37086</v>
      </c>
    </row>
    <row r="46409" spans="1:8">
      <c r="H46409" t="s">
        <v>37087</v>
      </c>
    </row>
    <row r="46410" spans="1:8">
      <c r="H46410" t="s">
        <v>37088</v>
      </c>
    </row>
    <row r="46411" spans="1:8">
      <c r="H46411" t="s">
        <v>37089</v>
      </c>
    </row>
    <row r="46412" spans="1:8">
      <c r="H46412" t="s">
        <v>35694</v>
      </c>
    </row>
    <row r="46413" spans="1:8">
      <c r="F46413" t="s">
        <v>12743</v>
      </c>
      <c r="G46413" t="s">
        <v>16935</v>
      </c>
      <c r="H46413" t="s">
        <v>37090</v>
      </c>
    </row>
    <row r="46414" spans="1:8">
      <c r="A46414" t="s">
        <v>4152</v>
      </c>
      <c r="B46414">
        <f>HYPERLINK("https://android.googlesource.com/platform/cts/+/f7af5281506efc2746cee102cc235f6506e15488", "f7af5281506efc2746cee102cc235f6506e15488")</f>
        <v>0</v>
      </c>
      <c r="C46414">
        <f>HYPERLINK("https://android.googlesource.com/platform/cts/+/b86ba94b24a7144e4e25f22fcc998862a3244323", "b86ba94b24a7144e4e25f22fcc998862a3244323")</f>
        <v>0</v>
      </c>
      <c r="D46414" t="s">
        <v>5665</v>
      </c>
      <c r="E46414" t="s">
        <v>9831</v>
      </c>
      <c r="F46414" t="s">
        <v>14386</v>
      </c>
      <c r="G46414" t="s">
        <v>18330</v>
      </c>
      <c r="H46414" t="s">
        <v>37091</v>
      </c>
    </row>
    <row r="46415" spans="1:8">
      <c r="A46415" t="s">
        <v>4153</v>
      </c>
      <c r="B46415">
        <f>HYPERLINK("https://android.googlesource.com/platform/cts/+/cf99bde7f7c31557d5d769480cbc6b6a66613918", "cf99bde7f7c31557d5d769480cbc6b6a66613918")</f>
        <v>0</v>
      </c>
      <c r="C46415">
        <f>HYPERLINK("https://android.googlesource.com/platform/cts/+/48ce4d71dec5b37a874ddbdf7a7301dc60ebc810", "48ce4d71dec5b37a874ddbdf7a7301dc60ebc810")</f>
        <v>0</v>
      </c>
      <c r="D46415" t="s">
        <v>5307</v>
      </c>
      <c r="E46415" t="s">
        <v>9832</v>
      </c>
      <c r="F46415" t="s">
        <v>14531</v>
      </c>
      <c r="G46415" t="s">
        <v>18455</v>
      </c>
      <c r="H46415" t="s">
        <v>37092</v>
      </c>
    </row>
    <row r="46416" spans="1:8">
      <c r="A46416" t="s">
        <v>4154</v>
      </c>
      <c r="B46416">
        <f>HYPERLINK("https://android.googlesource.com/platform/cts/+/b7ba487215c7fd96fae16253a2f8beb76d7aa46b", "b7ba487215c7fd96fae16253a2f8beb76d7aa46b")</f>
        <v>0</v>
      </c>
      <c r="C46416">
        <f>HYPERLINK("https://android.googlesource.com/platform/cts/+/13fc085cb3a8641213a0a78511522bd864e3a4de", "13fc085cb3a8641213a0a78511522bd864e3a4de")</f>
        <v>0</v>
      </c>
      <c r="D46416" t="s">
        <v>5473</v>
      </c>
      <c r="E46416" t="s">
        <v>9833</v>
      </c>
      <c r="F46416" t="s">
        <v>10778</v>
      </c>
      <c r="G46416" t="s">
        <v>15174</v>
      </c>
      <c r="H46416" t="s">
        <v>32011</v>
      </c>
    </row>
    <row r="46417" spans="1:8">
      <c r="A46417" t="s">
        <v>4155</v>
      </c>
      <c r="B46417">
        <f>HYPERLINK("https://android.googlesource.com/platform/cts/+/f2bbc36145aab1cce9f2901301ac177827fda3b9", "f2bbc36145aab1cce9f2901301ac177827fda3b9")</f>
        <v>0</v>
      </c>
      <c r="C46417">
        <f>HYPERLINK("https://android.googlesource.com/platform/cts/+/9f3690e0426c253f25d888d347e5058c9a9bf0f7", "9f3690e0426c253f25d888d347e5058c9a9bf0f7")</f>
        <v>0</v>
      </c>
      <c r="D46417" t="s">
        <v>5541</v>
      </c>
      <c r="E46417" t="s">
        <v>9834</v>
      </c>
      <c r="F46417" t="s">
        <v>14625</v>
      </c>
      <c r="G46417" t="s">
        <v>18536</v>
      </c>
      <c r="H46417" t="s">
        <v>37093</v>
      </c>
    </row>
    <row r="46418" spans="1:8">
      <c r="H46418" t="s">
        <v>37094</v>
      </c>
    </row>
    <row r="46419" spans="1:8">
      <c r="H46419" t="s">
        <v>37095</v>
      </c>
    </row>
    <row r="46420" spans="1:8">
      <c r="A46420" t="s">
        <v>4156</v>
      </c>
      <c r="B46420">
        <f>HYPERLINK("https://android.googlesource.com/platform/cts/+/f8b0e6ddd4a7e14ac23511da768d5930b868d6ba", "f8b0e6ddd4a7e14ac23511da768d5930b868d6ba")</f>
        <v>0</v>
      </c>
      <c r="C46420">
        <f>HYPERLINK("https://android.googlesource.com/platform/cts/+/1712c1bf1df20f4d3bed44ef98c2c69cbb56471e", "1712c1bf1df20f4d3bed44ef98c2c69cbb56471e")</f>
        <v>0</v>
      </c>
      <c r="D46420" t="s">
        <v>5265</v>
      </c>
      <c r="E46420" t="s">
        <v>9835</v>
      </c>
      <c r="F46420" t="s">
        <v>14626</v>
      </c>
      <c r="G46420" t="s">
        <v>18537</v>
      </c>
      <c r="H46420" t="s">
        <v>37096</v>
      </c>
    </row>
    <row r="46421" spans="1:8">
      <c r="H46421" t="s">
        <v>37097</v>
      </c>
    </row>
    <row r="46422" spans="1:8">
      <c r="A46422" t="s">
        <v>4157</v>
      </c>
      <c r="B46422">
        <f>HYPERLINK("https://android.googlesource.com/platform/cts/+/07f3063588719ff79a300753401b2f4a2b6e5b96", "07f3063588719ff79a300753401b2f4a2b6e5b96")</f>
        <v>0</v>
      </c>
      <c r="C46422">
        <f>HYPERLINK("https://android.googlesource.com/platform/cts/+/43fa93bdf1f6e22bf9dcaeca2a14b185f32a8c3a", "43fa93bdf1f6e22bf9dcaeca2a14b185f32a8c3a")</f>
        <v>0</v>
      </c>
      <c r="D46422" t="s">
        <v>5642</v>
      </c>
      <c r="E46422" t="s">
        <v>9836</v>
      </c>
      <c r="F46422" t="s">
        <v>14627</v>
      </c>
      <c r="G46422" t="s">
        <v>18538</v>
      </c>
      <c r="H46422" t="s">
        <v>37098</v>
      </c>
    </row>
    <row r="46423" spans="1:8">
      <c r="A46423" t="s">
        <v>4158</v>
      </c>
      <c r="B46423">
        <f>HYPERLINK("https://android.googlesource.com/platform/cts/+/69c74c5a51133f5d4bbc8e78b9447cc1eff5b816", "69c74c5a51133f5d4bbc8e78b9447cc1eff5b816")</f>
        <v>0</v>
      </c>
      <c r="C46423">
        <f>HYPERLINK("https://android.googlesource.com/platform/cts/+/8218922559bcb2b1e57f10d614cee4ea187fb511", "8218922559bcb2b1e57f10d614cee4ea187fb511")</f>
        <v>0</v>
      </c>
      <c r="D46423" t="s">
        <v>5570</v>
      </c>
      <c r="E46423" t="s">
        <v>9837</v>
      </c>
      <c r="F46423" t="s">
        <v>14628</v>
      </c>
      <c r="G46423" t="s">
        <v>18539</v>
      </c>
      <c r="H46423" t="s">
        <v>37099</v>
      </c>
    </row>
    <row r="46424" spans="1:8">
      <c r="H46424" t="s">
        <v>37100</v>
      </c>
    </row>
    <row r="46425" spans="1:8">
      <c r="H46425" t="s">
        <v>37101</v>
      </c>
    </row>
    <row r="46426" spans="1:8">
      <c r="H46426" t="s">
        <v>37102</v>
      </c>
    </row>
    <row r="46427" spans="1:8">
      <c r="H46427" t="s">
        <v>37103</v>
      </c>
    </row>
    <row r="46428" spans="1:8">
      <c r="H46428" t="s">
        <v>37104</v>
      </c>
    </row>
    <row r="46429" spans="1:8">
      <c r="H46429" t="s">
        <v>37105</v>
      </c>
    </row>
    <row r="46430" spans="1:8">
      <c r="H46430" t="s">
        <v>37106</v>
      </c>
    </row>
    <row r="46431" spans="1:8">
      <c r="H46431" t="s">
        <v>37107</v>
      </c>
    </row>
    <row r="46432" spans="1:8">
      <c r="H46432" t="s">
        <v>37108</v>
      </c>
    </row>
    <row r="46433" spans="1:8">
      <c r="H46433" t="s">
        <v>37109</v>
      </c>
    </row>
    <row r="46434" spans="1:8">
      <c r="A46434" t="s">
        <v>4159</v>
      </c>
      <c r="B46434">
        <f>HYPERLINK("https://android.googlesource.com/platform/cts/+/cdb1f81b32743836934373a12fcbcc4f8ce4a163", "cdb1f81b32743836934373a12fcbcc4f8ce4a163")</f>
        <v>0</v>
      </c>
      <c r="C46434">
        <f>HYPERLINK("https://android.googlesource.com/platform/cts/+/74c87b8ffe29d945a34738e48ac6e6b61aab6c44", "74c87b8ffe29d945a34738e48ac6e6b61aab6c44")</f>
        <v>0</v>
      </c>
      <c r="D46434" t="s">
        <v>5408</v>
      </c>
      <c r="E46434" t="s">
        <v>9838</v>
      </c>
      <c r="F46434" t="s">
        <v>14629</v>
      </c>
      <c r="G46434" t="s">
        <v>18540</v>
      </c>
      <c r="H46434" t="s">
        <v>37110</v>
      </c>
    </row>
    <row r="46435" spans="1:8">
      <c r="F46435" t="s">
        <v>14630</v>
      </c>
      <c r="G46435" t="s">
        <v>18541</v>
      </c>
      <c r="H46435" t="s">
        <v>37110</v>
      </c>
    </row>
    <row r="46436" spans="1:8">
      <c r="A46436" t="s">
        <v>4160</v>
      </c>
      <c r="B46436">
        <f>HYPERLINK("https://android.googlesource.com/platform/cts/+/aafedb0bd34b07854d8a84e9a3d35478cbf920f9", "aafedb0bd34b07854d8a84e9a3d35478cbf920f9")</f>
        <v>0</v>
      </c>
      <c r="C46436">
        <f>HYPERLINK("https://android.googlesource.com/platform/cts/+/0be33f80cc418d8ae84d136c44a5d4146f03d7d8", "0be33f80cc418d8ae84d136c44a5d4146f03d7d8")</f>
        <v>0</v>
      </c>
      <c r="D46436" t="s">
        <v>5258</v>
      </c>
      <c r="E46436" t="s">
        <v>9839</v>
      </c>
      <c r="F46436" t="s">
        <v>14080</v>
      </c>
      <c r="G46436" t="s">
        <v>18077</v>
      </c>
      <c r="H46436" t="s">
        <v>37111</v>
      </c>
    </row>
    <row r="46437" spans="1:8">
      <c r="H46437" t="s">
        <v>37112</v>
      </c>
    </row>
    <row r="46438" spans="1:8">
      <c r="H46438" t="s">
        <v>37113</v>
      </c>
    </row>
    <row r="46439" spans="1:8">
      <c r="H46439" t="s">
        <v>37114</v>
      </c>
    </row>
    <row r="46440" spans="1:8">
      <c r="H46440" t="s">
        <v>37115</v>
      </c>
    </row>
    <row r="46441" spans="1:8">
      <c r="H46441" t="s">
        <v>37116</v>
      </c>
    </row>
    <row r="46442" spans="1:8">
      <c r="H46442" t="s">
        <v>37117</v>
      </c>
    </row>
    <row r="46443" spans="1:8">
      <c r="H46443" t="s">
        <v>37118</v>
      </c>
    </row>
    <row r="46444" spans="1:8">
      <c r="H46444" t="s">
        <v>20014</v>
      </c>
    </row>
    <row r="46445" spans="1:8">
      <c r="H46445" t="s">
        <v>37119</v>
      </c>
    </row>
    <row r="46446" spans="1:8">
      <c r="H46446" t="s">
        <v>37120</v>
      </c>
    </row>
    <row r="46447" spans="1:8">
      <c r="H46447" t="s">
        <v>37121</v>
      </c>
    </row>
    <row r="46448" spans="1:8">
      <c r="H46448" t="s">
        <v>37122</v>
      </c>
    </row>
    <row r="46449" spans="1:8">
      <c r="H46449" t="s">
        <v>37123</v>
      </c>
    </row>
    <row r="46450" spans="1:8">
      <c r="H46450" t="s">
        <v>37122</v>
      </c>
    </row>
    <row r="46451" spans="1:8">
      <c r="H46451" t="s">
        <v>37124</v>
      </c>
    </row>
    <row r="46452" spans="1:8">
      <c r="H46452" t="s">
        <v>25954</v>
      </c>
    </row>
    <row r="46453" spans="1:8">
      <c r="H46453" t="s">
        <v>37125</v>
      </c>
    </row>
    <row r="46454" spans="1:8">
      <c r="H46454" t="s">
        <v>37126</v>
      </c>
    </row>
    <row r="46455" spans="1:8">
      <c r="H46455" t="s">
        <v>18930</v>
      </c>
    </row>
    <row r="46456" spans="1:8">
      <c r="H46456" t="s">
        <v>37127</v>
      </c>
    </row>
    <row r="46457" spans="1:8">
      <c r="H46457" t="s">
        <v>37128</v>
      </c>
    </row>
    <row r="46458" spans="1:8">
      <c r="F46458" t="s">
        <v>12185</v>
      </c>
      <c r="G46458" t="s">
        <v>16424</v>
      </c>
      <c r="H46458" t="s">
        <v>37129</v>
      </c>
    </row>
    <row r="46459" spans="1:8">
      <c r="H46459" t="s">
        <v>37130</v>
      </c>
    </row>
    <row r="46460" spans="1:8">
      <c r="F46460" t="s">
        <v>14230</v>
      </c>
      <c r="G46460" t="s">
        <v>18202</v>
      </c>
      <c r="H46460" t="s">
        <v>37131</v>
      </c>
    </row>
    <row r="46461" spans="1:8">
      <c r="A46461" t="s">
        <v>4161</v>
      </c>
      <c r="B46461">
        <f>HYPERLINK("https://android.googlesource.com/platform/cts/+/1437ae85303879984e2a258f06426f71adf5be65", "1437ae85303879984e2a258f06426f71adf5be65")</f>
        <v>0</v>
      </c>
      <c r="C46461">
        <f>HYPERLINK("https://android.googlesource.com/platform/cts/+/1d6e7f8245a145cc885cb829cedce204ebc066e3", "1d6e7f8245a145cc885cb829cedce204ebc066e3")</f>
        <v>0</v>
      </c>
      <c r="D46461" t="s">
        <v>5569</v>
      </c>
      <c r="E46461" t="s">
        <v>9840</v>
      </c>
      <c r="F46461" t="s">
        <v>14446</v>
      </c>
      <c r="G46461" t="s">
        <v>18381</v>
      </c>
      <c r="H46461" t="s">
        <v>37132</v>
      </c>
    </row>
    <row r="46462" spans="1:8">
      <c r="H46462" t="s">
        <v>37133</v>
      </c>
    </row>
    <row r="46463" spans="1:8">
      <c r="F46463" t="s">
        <v>14414</v>
      </c>
      <c r="G46463" t="s">
        <v>18352</v>
      </c>
      <c r="H46463" t="s">
        <v>37132</v>
      </c>
    </row>
    <row r="46464" spans="1:8">
      <c r="H46464" t="s">
        <v>37133</v>
      </c>
    </row>
    <row r="46465" spans="1:8">
      <c r="A46465" t="s">
        <v>4162</v>
      </c>
      <c r="B46465">
        <f>HYPERLINK("https://android.googlesource.com/platform/cts/+/ec2e9aaa0957ec773c2d37008ba2af98313d4d58", "ec2e9aaa0957ec773c2d37008ba2af98313d4d58")</f>
        <v>0</v>
      </c>
      <c r="C46465">
        <f>HYPERLINK("https://android.googlesource.com/platform/cts/+/5cd84dbaef140091606678509c7824d6734012b8", "5cd84dbaef140091606678509c7824d6734012b8")</f>
        <v>0</v>
      </c>
      <c r="D46465" t="s">
        <v>5363</v>
      </c>
      <c r="E46465" t="s">
        <v>9841</v>
      </c>
      <c r="F46465" t="s">
        <v>14631</v>
      </c>
      <c r="G46465" t="s">
        <v>17876</v>
      </c>
      <c r="H46465" t="s">
        <v>18836</v>
      </c>
    </row>
    <row r="46466" spans="1:8">
      <c r="H46466" t="s">
        <v>19013</v>
      </c>
    </row>
    <row r="46467" spans="1:8">
      <c r="H46467" t="s">
        <v>37134</v>
      </c>
    </row>
    <row r="46468" spans="1:8">
      <c r="H46468" t="s">
        <v>37135</v>
      </c>
    </row>
    <row r="46469" spans="1:8">
      <c r="H46469" t="s">
        <v>37136</v>
      </c>
    </row>
    <row r="46470" spans="1:8">
      <c r="H46470" t="s">
        <v>37137</v>
      </c>
    </row>
    <row r="46471" spans="1:8">
      <c r="H46471" t="s">
        <v>37138</v>
      </c>
    </row>
    <row r="46472" spans="1:8">
      <c r="H46472" t="s">
        <v>37139</v>
      </c>
    </row>
    <row r="46473" spans="1:8">
      <c r="H46473" t="s">
        <v>37140</v>
      </c>
    </row>
    <row r="46474" spans="1:8">
      <c r="H46474" t="s">
        <v>37141</v>
      </c>
    </row>
    <row r="46475" spans="1:8">
      <c r="H46475" t="s">
        <v>37142</v>
      </c>
    </row>
    <row r="46476" spans="1:8">
      <c r="H46476" t="s">
        <v>37143</v>
      </c>
    </row>
    <row r="46477" spans="1:8">
      <c r="H46477" t="s">
        <v>37144</v>
      </c>
    </row>
    <row r="46478" spans="1:8">
      <c r="H46478" t="s">
        <v>37145</v>
      </c>
    </row>
    <row r="46479" spans="1:8">
      <c r="H46479" t="s">
        <v>37146</v>
      </c>
    </row>
    <row r="46480" spans="1:8">
      <c r="H46480" t="s">
        <v>31753</v>
      </c>
    </row>
    <row r="46481" spans="1:8">
      <c r="H46481" t="s">
        <v>37147</v>
      </c>
    </row>
    <row r="46482" spans="1:8">
      <c r="H46482" t="s">
        <v>19010</v>
      </c>
    </row>
    <row r="46483" spans="1:8">
      <c r="H46483" t="s">
        <v>18835</v>
      </c>
    </row>
    <row r="46484" spans="1:8">
      <c r="H46484" t="s">
        <v>37148</v>
      </c>
    </row>
    <row r="46485" spans="1:8">
      <c r="H46485" t="s">
        <v>37149</v>
      </c>
    </row>
    <row r="46486" spans="1:8">
      <c r="H46486" t="s">
        <v>37150</v>
      </c>
    </row>
    <row r="46487" spans="1:8">
      <c r="A46487" t="s">
        <v>4163</v>
      </c>
      <c r="B46487">
        <f>HYPERLINK("https://android.googlesource.com/platform/cts/+/9857a2272768fcd95861bcfb4164c4f66699f534", "9857a2272768fcd95861bcfb4164c4f66699f534")</f>
        <v>0</v>
      </c>
      <c r="C46487">
        <f>HYPERLINK("https://android.googlesource.com/platform/cts/+/77afa7149e2df4b01705763ad14b526668d22851", "77afa7149e2df4b01705763ad14b526668d22851")</f>
        <v>0</v>
      </c>
      <c r="D46487" t="s">
        <v>5638</v>
      </c>
      <c r="E46487" t="s">
        <v>9842</v>
      </c>
      <c r="F46487" t="s">
        <v>12871</v>
      </c>
      <c r="G46487" t="s">
        <v>17039</v>
      </c>
      <c r="H46487" t="s">
        <v>37151</v>
      </c>
    </row>
    <row r="46488" spans="1:8">
      <c r="A46488" t="s">
        <v>4164</v>
      </c>
      <c r="B46488">
        <f>HYPERLINK("https://android.googlesource.com/platform/cts/+/5d39eece835c7b3f8afa474807b88b2ce0c86136", "5d39eece835c7b3f8afa474807b88b2ce0c86136")</f>
        <v>0</v>
      </c>
      <c r="C46488">
        <f>HYPERLINK("https://android.googlesource.com/platform/cts/+/01b5ce4de9ac67a8770f125e3b4f3fc601e090fa", "01b5ce4de9ac67a8770f125e3b4f3fc601e090fa")</f>
        <v>0</v>
      </c>
      <c r="D46488" t="s">
        <v>5460</v>
      </c>
      <c r="E46488" t="s">
        <v>9843</v>
      </c>
      <c r="F46488" t="s">
        <v>14362</v>
      </c>
      <c r="G46488" t="s">
        <v>18309</v>
      </c>
      <c r="H46488" t="s">
        <v>37152</v>
      </c>
    </row>
    <row r="46489" spans="1:8">
      <c r="H46489" t="s">
        <v>37153</v>
      </c>
    </row>
    <row r="46490" spans="1:8">
      <c r="H46490" t="s">
        <v>37154</v>
      </c>
    </row>
    <row r="46491" spans="1:8">
      <c r="A46491" t="s">
        <v>4165</v>
      </c>
      <c r="B46491">
        <f>HYPERLINK("https://android.googlesource.com/platform/cts/+/7eba48a7093a8e595cda21377d44f9419ee8815c", "7eba48a7093a8e595cda21377d44f9419ee8815c")</f>
        <v>0</v>
      </c>
      <c r="C46491">
        <f>HYPERLINK("https://android.googlesource.com/platform/cts/+/d2b6a605234e16ccf321e892d3dd961c3c546488", "d2b6a605234e16ccf321e892d3dd961c3c546488")</f>
        <v>0</v>
      </c>
      <c r="D46491" t="s">
        <v>5438</v>
      </c>
      <c r="E46491" t="s">
        <v>9844</v>
      </c>
      <c r="F46491" t="s">
        <v>14399</v>
      </c>
      <c r="G46491" t="s">
        <v>18042</v>
      </c>
      <c r="H46491" t="s">
        <v>37155</v>
      </c>
    </row>
    <row r="46492" spans="1:8">
      <c r="A46492" t="s">
        <v>4166</v>
      </c>
      <c r="B46492">
        <f>HYPERLINK("https://android.googlesource.com/platform/cts/+/f3fcf464c8108580d022638eb96e8e484adad800", "f3fcf464c8108580d022638eb96e8e484adad800")</f>
        <v>0</v>
      </c>
      <c r="C46492">
        <f>HYPERLINK("https://android.googlesource.com/platform/cts/+/e870bd624677122dc166aac10eb2d78acba3ea8a", "e870bd624677122dc166aac10eb2d78acba3ea8a")</f>
        <v>0</v>
      </c>
      <c r="D46492" t="s">
        <v>5409</v>
      </c>
      <c r="E46492" t="s">
        <v>9830</v>
      </c>
      <c r="F46492" t="s">
        <v>14624</v>
      </c>
      <c r="G46492" t="s">
        <v>18535</v>
      </c>
      <c r="H46492" t="s">
        <v>18863</v>
      </c>
    </row>
    <row r="46493" spans="1:8">
      <c r="H46493" t="s">
        <v>37077</v>
      </c>
    </row>
    <row r="46494" spans="1:8">
      <c r="H46494" t="s">
        <v>37078</v>
      </c>
    </row>
    <row r="46495" spans="1:8">
      <c r="H46495" t="s">
        <v>37079</v>
      </c>
    </row>
    <row r="46496" spans="1:8">
      <c r="H46496" t="s">
        <v>37080</v>
      </c>
    </row>
    <row r="46497" spans="1:8">
      <c r="H46497" t="s">
        <v>37081</v>
      </c>
    </row>
    <row r="46498" spans="1:8">
      <c r="H46498" t="s">
        <v>37082</v>
      </c>
    </row>
    <row r="46499" spans="1:8">
      <c r="H46499" t="s">
        <v>37083</v>
      </c>
    </row>
    <row r="46500" spans="1:8">
      <c r="H46500" t="s">
        <v>37084</v>
      </c>
    </row>
    <row r="46501" spans="1:8">
      <c r="H46501" t="s">
        <v>37085</v>
      </c>
    </row>
    <row r="46502" spans="1:8">
      <c r="H46502" t="s">
        <v>37086</v>
      </c>
    </row>
    <row r="46503" spans="1:8">
      <c r="H46503" t="s">
        <v>37087</v>
      </c>
    </row>
    <row r="46504" spans="1:8">
      <c r="H46504" t="s">
        <v>37088</v>
      </c>
    </row>
    <row r="46505" spans="1:8">
      <c r="H46505" t="s">
        <v>37089</v>
      </c>
    </row>
    <row r="46506" spans="1:8">
      <c r="H46506" t="s">
        <v>35694</v>
      </c>
    </row>
    <row r="46507" spans="1:8">
      <c r="F46507" t="s">
        <v>12743</v>
      </c>
      <c r="G46507" t="s">
        <v>16935</v>
      </c>
      <c r="H46507" t="s">
        <v>37090</v>
      </c>
    </row>
    <row r="46508" spans="1:8">
      <c r="A46508" t="s">
        <v>4167</v>
      </c>
      <c r="B46508">
        <f>HYPERLINK("https://android.googlesource.com/platform/cts/+/3d2df9c448bea6fd762f047d9e86a5e32d2ee1c6", "3d2df9c448bea6fd762f047d9e86a5e32d2ee1c6")</f>
        <v>0</v>
      </c>
      <c r="C46508">
        <f>HYPERLINK("https://android.googlesource.com/platform/cts/+/0a911208cd0d0d1c6539d2fbcbe4bedea63a32e9", "0a911208cd0d0d1c6539d2fbcbe4bedea63a32e9")</f>
        <v>0</v>
      </c>
      <c r="D46508" t="s">
        <v>5160</v>
      </c>
      <c r="E46508" t="s">
        <v>9845</v>
      </c>
      <c r="F46508" t="s">
        <v>14632</v>
      </c>
      <c r="G46508" t="s">
        <v>18542</v>
      </c>
      <c r="H46508" t="s">
        <v>37156</v>
      </c>
    </row>
    <row r="46509" spans="1:8">
      <c r="A46509" t="s">
        <v>4168</v>
      </c>
      <c r="B46509">
        <f>HYPERLINK("https://android.googlesource.com/platform/cts/+/9c5e475cf71047612613e90ca4a3930875a4c9f8", "9c5e475cf71047612613e90ca4a3930875a4c9f8")</f>
        <v>0</v>
      </c>
      <c r="C46509">
        <f>HYPERLINK("https://android.googlesource.com/platform/cts/+/0a375bf1a064a47df5f60d071eb66e46f3a11ae2", "0a375bf1a064a47df5f60d071eb66e46f3a11ae2")</f>
        <v>0</v>
      </c>
      <c r="D46509" t="s">
        <v>5160</v>
      </c>
      <c r="E46509" t="s">
        <v>9846</v>
      </c>
      <c r="F46509" t="s">
        <v>14632</v>
      </c>
      <c r="G46509" t="s">
        <v>18542</v>
      </c>
      <c r="H46509" t="s">
        <v>37156</v>
      </c>
    </row>
    <row r="46510" spans="1:8">
      <c r="A46510" t="s">
        <v>4169</v>
      </c>
      <c r="B46510">
        <f>HYPERLINK("https://android.googlesource.com/platform/cts/+/91ed2b25db00e87e364c62752aa40ea403bbe355", "91ed2b25db00e87e364c62752aa40ea403bbe355")</f>
        <v>0</v>
      </c>
      <c r="C46510">
        <f>HYPERLINK("https://android.googlesource.com/platform/cts/+/8396cdaec1617ea697c81dc4050b1e00e20b5e16", "8396cdaec1617ea697c81dc4050b1e00e20b5e16")</f>
        <v>0</v>
      </c>
      <c r="D46510" t="s">
        <v>5355</v>
      </c>
      <c r="E46510" t="s">
        <v>9847</v>
      </c>
      <c r="F46510" t="s">
        <v>13728</v>
      </c>
      <c r="G46510" t="s">
        <v>17790</v>
      </c>
      <c r="H46510" t="s">
        <v>34705</v>
      </c>
    </row>
    <row r="46511" spans="1:8">
      <c r="H46511" t="s">
        <v>34706</v>
      </c>
    </row>
    <row r="46512" spans="1:8">
      <c r="F46512" t="s">
        <v>14284</v>
      </c>
      <c r="G46512" t="s">
        <v>18249</v>
      </c>
      <c r="H46512" t="s">
        <v>34705</v>
      </c>
    </row>
    <row r="46513" spans="1:8">
      <c r="H46513" t="s">
        <v>34706</v>
      </c>
    </row>
    <row r="46514" spans="1:8">
      <c r="A46514" t="s">
        <v>4170</v>
      </c>
      <c r="B46514">
        <f>HYPERLINK("https://android.googlesource.com/platform/cts/+/a56685ab1011ac99d472adb3a09e2e44673b4541", "a56685ab1011ac99d472adb3a09e2e44673b4541")</f>
        <v>0</v>
      </c>
      <c r="C46514">
        <f>HYPERLINK("https://android.googlesource.com/platform/cts/+/b20f83c51ed2d026c3da66669d398987e63bd305", "b20f83c51ed2d026c3da66669d398987e63bd305")</f>
        <v>0</v>
      </c>
      <c r="D46514" t="s">
        <v>5575</v>
      </c>
      <c r="E46514" t="s">
        <v>9848</v>
      </c>
      <c r="F46514" t="s">
        <v>14613</v>
      </c>
      <c r="G46514" t="s">
        <v>18453</v>
      </c>
      <c r="H46514" t="s">
        <v>36440</v>
      </c>
    </row>
    <row r="46515" spans="1:8">
      <c r="A46515" t="s">
        <v>4171</v>
      </c>
      <c r="B46515">
        <f>HYPERLINK("https://android.googlesource.com/platform/cts/+/20a0807dd0664d383a7250d8448b9bb03718cac3", "20a0807dd0664d383a7250d8448b9bb03718cac3")</f>
        <v>0</v>
      </c>
      <c r="C46515">
        <f>HYPERLINK("https://android.googlesource.com/platform/cts/+/f99710efde7198d02d85e757808171d4135d4350", "f99710efde7198d02d85e757808171d4135d4350")</f>
        <v>0</v>
      </c>
      <c r="D46515" t="s">
        <v>5472</v>
      </c>
      <c r="E46515" t="s">
        <v>9849</v>
      </c>
      <c r="F46515" t="s">
        <v>14204</v>
      </c>
      <c r="G46515" t="s">
        <v>16848</v>
      </c>
      <c r="H46515" t="s">
        <v>37157</v>
      </c>
    </row>
    <row r="46516" spans="1:8">
      <c r="A46516" t="s">
        <v>4172</v>
      </c>
      <c r="B46516">
        <f>HYPERLINK("https://android.googlesource.com/platform/cts/+/94f5857c8e2614456cf7137ede7d1b7a78bcec52", "94f5857c8e2614456cf7137ede7d1b7a78bcec52")</f>
        <v>0</v>
      </c>
      <c r="C46516">
        <f>HYPERLINK("https://android.googlesource.com/platform/cts/+/ffbe5f03c59e71ef0c56d7ea9bd9e278910bdad6", "ffbe5f03c59e71ef0c56d7ea9bd9e278910bdad6")</f>
        <v>0</v>
      </c>
      <c r="D46516" t="s">
        <v>5021</v>
      </c>
      <c r="E46516" t="s">
        <v>9850</v>
      </c>
      <c r="F46516" t="s">
        <v>13794</v>
      </c>
      <c r="G46516" t="s">
        <v>17846</v>
      </c>
      <c r="H46516" t="s">
        <v>29881</v>
      </c>
    </row>
    <row r="46517" spans="1:8">
      <c r="A46517" t="s">
        <v>4173</v>
      </c>
      <c r="B46517">
        <f>HYPERLINK("https://android.googlesource.com/platform/cts/+/58456bfeea410d2dcc44e9bdf96e0645b54d35fc", "58456bfeea410d2dcc44e9bdf96e0645b54d35fc")</f>
        <v>0</v>
      </c>
      <c r="C46517">
        <f>HYPERLINK("https://android.googlesource.com/platform/cts/+/5cd870fa497e364429757b1cc14fdc8f288ed83d", "5cd870fa497e364429757b1cc14fdc8f288ed83d")</f>
        <v>0</v>
      </c>
      <c r="D46517" t="s">
        <v>5353</v>
      </c>
      <c r="E46517" t="s">
        <v>9851</v>
      </c>
      <c r="F46517" t="s">
        <v>14633</v>
      </c>
      <c r="G46517" t="s">
        <v>18543</v>
      </c>
      <c r="H46517" t="s">
        <v>33071</v>
      </c>
    </row>
    <row r="46518" spans="1:8">
      <c r="A46518" t="s">
        <v>4174</v>
      </c>
      <c r="B46518">
        <f>HYPERLINK("https://android.googlesource.com/platform/cts/+/39e706334363df13acaac22185b92a45950d59d7", "39e706334363df13acaac22185b92a45950d59d7")</f>
        <v>0</v>
      </c>
      <c r="C46518">
        <f>HYPERLINK("https://android.googlesource.com/platform/cts/+/724a9cf12daf83c43f17a8a1a1b4ce65113adf58", "724a9cf12daf83c43f17a8a1a1b4ce65113adf58")</f>
        <v>0</v>
      </c>
      <c r="D46518" t="s">
        <v>5472</v>
      </c>
      <c r="E46518" t="s">
        <v>9852</v>
      </c>
      <c r="F46518" t="s">
        <v>14204</v>
      </c>
      <c r="G46518" t="s">
        <v>16848</v>
      </c>
      <c r="H46518" t="s">
        <v>37158</v>
      </c>
    </row>
    <row r="46519" spans="1:8">
      <c r="H46519" t="s">
        <v>37159</v>
      </c>
    </row>
    <row r="46520" spans="1:8">
      <c r="H46520" t="s">
        <v>37160</v>
      </c>
    </row>
    <row r="46521" spans="1:8">
      <c r="H46521" t="s">
        <v>37161</v>
      </c>
    </row>
    <row r="46522" spans="1:8">
      <c r="H46522" t="s">
        <v>37162</v>
      </c>
    </row>
    <row r="46523" spans="1:8">
      <c r="H46523" t="s">
        <v>37163</v>
      </c>
    </row>
    <row r="46524" spans="1:8">
      <c r="A46524" t="s">
        <v>4175</v>
      </c>
      <c r="B46524">
        <f>HYPERLINK("https://android.googlesource.com/platform/cts/+/132bc0d31ab56ca63a9fba2049885396bcb3e25e", "132bc0d31ab56ca63a9fba2049885396bcb3e25e")</f>
        <v>0</v>
      </c>
      <c r="C46524">
        <f>HYPERLINK("https://android.googlesource.com/platform/cts/+/724a9cf12daf83c43f17a8a1a1b4ce65113adf58", "724a9cf12daf83c43f17a8a1a1b4ce65113adf58")</f>
        <v>0</v>
      </c>
      <c r="D46524" t="s">
        <v>5472</v>
      </c>
      <c r="E46524" t="s">
        <v>9853</v>
      </c>
      <c r="F46524" t="s">
        <v>13386</v>
      </c>
      <c r="G46524" t="s">
        <v>17513</v>
      </c>
      <c r="H46524" t="s">
        <v>37164</v>
      </c>
    </row>
    <row r="46525" spans="1:8">
      <c r="H46525" t="s">
        <v>37165</v>
      </c>
    </row>
    <row r="46526" spans="1:8">
      <c r="H46526" t="s">
        <v>37166</v>
      </c>
    </row>
    <row r="46527" spans="1:8">
      <c r="H46527" t="s">
        <v>37167</v>
      </c>
    </row>
    <row r="46528" spans="1:8">
      <c r="H46528" t="s">
        <v>37168</v>
      </c>
    </row>
    <row r="46529" spans="1:8">
      <c r="H46529" t="s">
        <v>37169</v>
      </c>
    </row>
    <row r="46530" spans="1:8">
      <c r="A46530" t="s">
        <v>4176</v>
      </c>
      <c r="B46530">
        <f>HYPERLINK("https://android.googlesource.com/platform/cts/+/6c7a7c6f6199628b1d95b8789fb234bf4b1b319d", "6c7a7c6f6199628b1d95b8789fb234bf4b1b319d")</f>
        <v>0</v>
      </c>
      <c r="C46530">
        <f>HYPERLINK("https://android.googlesource.com/platform/cts/+/692d84644c93c20ba17cf97461fc13195bc4cfd9", "692d84644c93c20ba17cf97461fc13195bc4cfd9")</f>
        <v>0</v>
      </c>
      <c r="D46530" t="s">
        <v>5288</v>
      </c>
      <c r="E46530" t="s">
        <v>9854</v>
      </c>
      <c r="F46530" t="s">
        <v>14634</v>
      </c>
      <c r="G46530" t="s">
        <v>18544</v>
      </c>
      <c r="H46530" t="s">
        <v>37170</v>
      </c>
    </row>
    <row r="46531" spans="1:8">
      <c r="F46531" t="s">
        <v>12629</v>
      </c>
      <c r="G46531" t="s">
        <v>16838</v>
      </c>
      <c r="H46531" t="s">
        <v>37171</v>
      </c>
    </row>
    <row r="46532" spans="1:8">
      <c r="F46532" t="s">
        <v>12768</v>
      </c>
      <c r="G46532" t="s">
        <v>15710</v>
      </c>
      <c r="H46532" t="s">
        <v>37172</v>
      </c>
    </row>
    <row r="46533" spans="1:8">
      <c r="A46533" t="s">
        <v>4177</v>
      </c>
      <c r="B46533">
        <f>HYPERLINK("https://android.googlesource.com/platform/cts/+/a2b0a5c96fc226f23a932f50b8a308d381ed3f7c", "a2b0a5c96fc226f23a932f50b8a308d381ed3f7c")</f>
        <v>0</v>
      </c>
      <c r="C46533">
        <f>HYPERLINK("https://android.googlesource.com/platform/cts/+/013e31578044749c135e6cda48e1d62fae5fc7de", "013e31578044749c135e6cda48e1d62fae5fc7de")</f>
        <v>0</v>
      </c>
      <c r="D46533" t="s">
        <v>5666</v>
      </c>
      <c r="E46533" t="s">
        <v>9855</v>
      </c>
      <c r="F46533" t="s">
        <v>14635</v>
      </c>
      <c r="G46533" t="s">
        <v>18545</v>
      </c>
      <c r="H46533" t="s">
        <v>37173</v>
      </c>
    </row>
    <row r="46534" spans="1:8">
      <c r="H46534" t="s">
        <v>37174</v>
      </c>
    </row>
    <row r="46535" spans="1:8">
      <c r="A46535" t="s">
        <v>4178</v>
      </c>
      <c r="B46535">
        <f>HYPERLINK("https://android.googlesource.com/platform/cts/+/34b6954075b3d1f4486f031ad82bbb9972638903", "34b6954075b3d1f4486f031ad82bbb9972638903")</f>
        <v>0</v>
      </c>
      <c r="C46535">
        <f>HYPERLINK("https://android.googlesource.com/platform/cts/+/9a84d939ebc0533f9ee1ef49d164382e3408566f", "9a84d939ebc0533f9ee1ef49d164382e3408566f")</f>
        <v>0</v>
      </c>
      <c r="D46535" t="s">
        <v>5649</v>
      </c>
      <c r="E46535" t="s">
        <v>9856</v>
      </c>
      <c r="F46535" t="s">
        <v>12629</v>
      </c>
      <c r="G46535" t="s">
        <v>16838</v>
      </c>
      <c r="H46535" t="s">
        <v>37175</v>
      </c>
    </row>
    <row r="46536" spans="1:8">
      <c r="H46536" t="s">
        <v>37176</v>
      </c>
    </row>
    <row r="46537" spans="1:8">
      <c r="A46537" t="s">
        <v>4179</v>
      </c>
      <c r="B46537">
        <f>HYPERLINK("https://android.googlesource.com/platform/cts/+/333d93e6992584bc81f43c4ce1dcb338244abdff", "333d93e6992584bc81f43c4ce1dcb338244abdff")</f>
        <v>0</v>
      </c>
      <c r="C46537">
        <f>HYPERLINK("https://android.googlesource.com/platform/cts/+/692d84644c93c20ba17cf97461fc13195bc4cfd9", "692d84644c93c20ba17cf97461fc13195bc4cfd9")</f>
        <v>0</v>
      </c>
      <c r="D46537" t="s">
        <v>5189</v>
      </c>
      <c r="E46537" t="s">
        <v>9857</v>
      </c>
      <c r="F46537" t="s">
        <v>14636</v>
      </c>
      <c r="G46537" t="s">
        <v>18546</v>
      </c>
      <c r="H46537" t="s">
        <v>37177</v>
      </c>
    </row>
    <row r="46538" spans="1:8">
      <c r="F46538" t="s">
        <v>14249</v>
      </c>
      <c r="G46538" t="s">
        <v>18214</v>
      </c>
      <c r="H46538" t="s">
        <v>37178</v>
      </c>
    </row>
    <row r="46539" spans="1:8">
      <c r="A46539" t="s">
        <v>4180</v>
      </c>
      <c r="B46539">
        <f>HYPERLINK("https://android.googlesource.com/platform/cts/+/bb0aa86013029d702e36ca359368fc22d0902a35", "bb0aa86013029d702e36ca359368fc22d0902a35")</f>
        <v>0</v>
      </c>
      <c r="C46539">
        <f>HYPERLINK("https://android.googlesource.com/platform/cts/+/132bc0d31ab56ca63a9fba2049885396bcb3e25e", "132bc0d31ab56ca63a9fba2049885396bcb3e25e")</f>
        <v>0</v>
      </c>
      <c r="D46539" t="s">
        <v>5472</v>
      </c>
      <c r="E46539" t="s">
        <v>9858</v>
      </c>
      <c r="F46539" t="s">
        <v>13386</v>
      </c>
      <c r="G46539" t="s">
        <v>17513</v>
      </c>
      <c r="H46539" t="s">
        <v>18829</v>
      </c>
    </row>
    <row r="46540" spans="1:8">
      <c r="H46540" t="s">
        <v>18863</v>
      </c>
    </row>
    <row r="46541" spans="1:8">
      <c r="H46541" t="s">
        <v>26335</v>
      </c>
    </row>
    <row r="46542" spans="1:8">
      <c r="H46542" t="s">
        <v>26336</v>
      </c>
    </row>
    <row r="46543" spans="1:8">
      <c r="H46543" t="s">
        <v>26337</v>
      </c>
    </row>
    <row r="46544" spans="1:8">
      <c r="H46544" t="s">
        <v>26338</v>
      </c>
    </row>
    <row r="46545" spans="8:8">
      <c r="H46545" t="s">
        <v>26339</v>
      </c>
    </row>
    <row r="46546" spans="8:8">
      <c r="H46546" t="s">
        <v>26340</v>
      </c>
    </row>
    <row r="46547" spans="8:8">
      <c r="H46547" t="s">
        <v>26341</v>
      </c>
    </row>
    <row r="46548" spans="8:8">
      <c r="H46548" t="s">
        <v>26342</v>
      </c>
    </row>
    <row r="46549" spans="8:8">
      <c r="H46549" t="s">
        <v>37179</v>
      </c>
    </row>
    <row r="46550" spans="8:8">
      <c r="H46550" t="s">
        <v>37180</v>
      </c>
    </row>
    <row r="46551" spans="8:8">
      <c r="H46551" t="s">
        <v>37181</v>
      </c>
    </row>
    <row r="46552" spans="8:8">
      <c r="H46552" t="s">
        <v>37182</v>
      </c>
    </row>
    <row r="46553" spans="8:8">
      <c r="H46553" t="s">
        <v>37183</v>
      </c>
    </row>
    <row r="46554" spans="8:8">
      <c r="H46554" t="s">
        <v>26343</v>
      </c>
    </row>
    <row r="46555" spans="8:8">
      <c r="H46555" t="s">
        <v>26344</v>
      </c>
    </row>
    <row r="46556" spans="8:8">
      <c r="H46556" t="s">
        <v>37184</v>
      </c>
    </row>
    <row r="46557" spans="8:8">
      <c r="H46557" t="s">
        <v>37185</v>
      </c>
    </row>
    <row r="46558" spans="8:8">
      <c r="H46558" t="s">
        <v>26348</v>
      </c>
    </row>
    <row r="46559" spans="8:8">
      <c r="H46559" t="s">
        <v>26349</v>
      </c>
    </row>
    <row r="46560" spans="8:8">
      <c r="H46560" t="s">
        <v>26347</v>
      </c>
    </row>
    <row r="46561" spans="1:8">
      <c r="F46561" t="s">
        <v>12743</v>
      </c>
      <c r="G46561" t="s">
        <v>16935</v>
      </c>
      <c r="H46561" t="s">
        <v>29575</v>
      </c>
    </row>
    <row r="46562" spans="1:8">
      <c r="H46562" t="s">
        <v>37186</v>
      </c>
    </row>
    <row r="46563" spans="1:8">
      <c r="F46563" t="s">
        <v>13229</v>
      </c>
      <c r="G46563" t="s">
        <v>17370</v>
      </c>
      <c r="H46563" t="s">
        <v>29575</v>
      </c>
    </row>
    <row r="46564" spans="1:8">
      <c r="F46564" t="s">
        <v>13136</v>
      </c>
      <c r="G46564" t="s">
        <v>17293</v>
      </c>
      <c r="H46564" t="s">
        <v>29575</v>
      </c>
    </row>
    <row r="46565" spans="1:8">
      <c r="A46565" t="s">
        <v>4181</v>
      </c>
      <c r="B46565">
        <f>HYPERLINK("https://android.googlesource.com/platform/cts/+/a63c7ddc934b566430c6054099aae0abaf8f47fb", "a63c7ddc934b566430c6054099aae0abaf8f47fb")</f>
        <v>0</v>
      </c>
      <c r="C46565">
        <f>HYPERLINK("https://android.googlesource.com/platform/cts/+/724a9cf12daf83c43f17a8a1a1b4ce65113adf58", "724a9cf12daf83c43f17a8a1a1b4ce65113adf58")</f>
        <v>0</v>
      </c>
      <c r="D46565" t="s">
        <v>5472</v>
      </c>
      <c r="E46565" t="s">
        <v>9859</v>
      </c>
      <c r="F46565" t="s">
        <v>12901</v>
      </c>
      <c r="G46565" t="s">
        <v>17068</v>
      </c>
      <c r="H46565" t="s">
        <v>37187</v>
      </c>
    </row>
    <row r="46566" spans="1:8">
      <c r="F46566" t="s">
        <v>12629</v>
      </c>
      <c r="G46566" t="s">
        <v>16838</v>
      </c>
      <c r="H46566" t="s">
        <v>37187</v>
      </c>
    </row>
    <row r="46567" spans="1:8">
      <c r="A46567" t="s">
        <v>4182</v>
      </c>
      <c r="B46567">
        <f>HYPERLINK("https://android.googlesource.com/platform/cts/+/1153d2a56fed8cada5d73612e52f2da95d1a2e5f", "1153d2a56fed8cada5d73612e52f2da95d1a2e5f")</f>
        <v>0</v>
      </c>
      <c r="C46567">
        <f>HYPERLINK("https://android.googlesource.com/platform/cts/+/d80395fc8e414e1245da1d6b6e5d992e310ba178", "d80395fc8e414e1245da1d6b6e5d992e310ba178")</f>
        <v>0</v>
      </c>
      <c r="D46567" t="s">
        <v>5508</v>
      </c>
      <c r="E46567" t="s">
        <v>9860</v>
      </c>
      <c r="F46567" t="s">
        <v>14479</v>
      </c>
      <c r="G46567" t="s">
        <v>18411</v>
      </c>
      <c r="H46567" t="s">
        <v>30245</v>
      </c>
    </row>
    <row r="46568" spans="1:8">
      <c r="H46568" t="s">
        <v>30245</v>
      </c>
    </row>
    <row r="46569" spans="1:8">
      <c r="H46569" t="s">
        <v>36126</v>
      </c>
    </row>
    <row r="46570" spans="1:8">
      <c r="A46570" t="s">
        <v>4183</v>
      </c>
      <c r="B46570">
        <f>HYPERLINK("https://android.googlesource.com/platform/cts/+/f3e93d9f4eedff735ad6b8c576c33bf858528d10", "f3e93d9f4eedff735ad6b8c576c33bf858528d10")</f>
        <v>0</v>
      </c>
      <c r="C46570">
        <f>HYPERLINK("https://android.googlesource.com/platform/cts/+/b078cd136995ee5288808165a590fd60979c46a2", "b078cd136995ee5288808165a590fd60979c46a2")</f>
        <v>0</v>
      </c>
      <c r="D46570" t="s">
        <v>5649</v>
      </c>
      <c r="E46570" t="s">
        <v>9861</v>
      </c>
      <c r="F46570" t="s">
        <v>12629</v>
      </c>
      <c r="G46570" t="s">
        <v>16838</v>
      </c>
      <c r="H46570" t="s">
        <v>37188</v>
      </c>
    </row>
    <row r="46571" spans="1:8">
      <c r="H46571" t="s">
        <v>37189</v>
      </c>
    </row>
    <row r="46572" spans="1:8">
      <c r="A46572" t="s">
        <v>4184</v>
      </c>
      <c r="B46572">
        <f>HYPERLINK("https://android.googlesource.com/platform/cts/+/2fdb6dc04f0b3ca23dd7f6f83e6c7e0a5c855783", "2fdb6dc04f0b3ca23dd7f6f83e6c7e0a5c855783")</f>
        <v>0</v>
      </c>
      <c r="C46572">
        <f>HYPERLINK("https://android.googlesource.com/platform/cts/+/8862c6d82c0f1cc8a2c1de222fd2f9f964641c92", "8862c6d82c0f1cc8a2c1de222fd2f9f964641c92")</f>
        <v>0</v>
      </c>
      <c r="D46572" t="s">
        <v>5366</v>
      </c>
      <c r="E46572" t="s">
        <v>9862</v>
      </c>
      <c r="F46572" t="s">
        <v>13753</v>
      </c>
      <c r="G46572" t="s">
        <v>17813</v>
      </c>
      <c r="H46572" t="s">
        <v>36832</v>
      </c>
    </row>
    <row r="46573" spans="1:8">
      <c r="H46573" t="s">
        <v>36833</v>
      </c>
    </row>
    <row r="46574" spans="1:8">
      <c r="H46574" t="s">
        <v>36834</v>
      </c>
    </row>
    <row r="46575" spans="1:8">
      <c r="H46575" t="s">
        <v>36835</v>
      </c>
    </row>
    <row r="46576" spans="1:8">
      <c r="F46576" t="s">
        <v>14252</v>
      </c>
      <c r="G46576" t="s">
        <v>18217</v>
      </c>
      <c r="H46576" t="s">
        <v>36836</v>
      </c>
    </row>
    <row r="46577" spans="1:8">
      <c r="H46577" t="s">
        <v>36837</v>
      </c>
    </row>
    <row r="46578" spans="1:8">
      <c r="H46578" t="s">
        <v>18829</v>
      </c>
    </row>
    <row r="46579" spans="1:8">
      <c r="H46579" t="s">
        <v>18863</v>
      </c>
    </row>
    <row r="46580" spans="1:8">
      <c r="H46580" t="s">
        <v>36838</v>
      </c>
    </row>
    <row r="46581" spans="1:8">
      <c r="H46581" t="s">
        <v>36839</v>
      </c>
    </row>
    <row r="46582" spans="1:8">
      <c r="A46582" t="s">
        <v>4185</v>
      </c>
      <c r="B46582">
        <f>HYPERLINK("https://android.googlesource.com/platform/cts/+/d7e31245820ee86f49afa885098d7ab422201a1f", "d7e31245820ee86f49afa885098d7ab422201a1f")</f>
        <v>0</v>
      </c>
      <c r="C46582">
        <f>HYPERLINK("https://android.googlesource.com/platform/cts/+/692d84644c93c20ba17cf97461fc13195bc4cfd9", "692d84644c93c20ba17cf97461fc13195bc4cfd9")</f>
        <v>0</v>
      </c>
      <c r="D46582" t="s">
        <v>5663</v>
      </c>
      <c r="E46582" t="s">
        <v>9863</v>
      </c>
      <c r="F46582" t="s">
        <v>12743</v>
      </c>
      <c r="G46582" t="s">
        <v>16935</v>
      </c>
      <c r="H46582" t="s">
        <v>25800</v>
      </c>
    </row>
    <row r="46583" spans="1:8">
      <c r="H46583" t="s">
        <v>37190</v>
      </c>
    </row>
    <row r="46584" spans="1:8">
      <c r="F46584" t="s">
        <v>13136</v>
      </c>
      <c r="G46584" t="s">
        <v>17293</v>
      </c>
      <c r="H46584" t="s">
        <v>26248</v>
      </c>
    </row>
    <row r="46585" spans="1:8">
      <c r="A46585" t="s">
        <v>4186</v>
      </c>
      <c r="B46585">
        <f>HYPERLINK("https://android.googlesource.com/platform/cts/+/4e07b5c3f7685350445cdfb00ae282b3f21839af", "4e07b5c3f7685350445cdfb00ae282b3f21839af")</f>
        <v>0</v>
      </c>
      <c r="C46585">
        <f>HYPERLINK("https://android.googlesource.com/platform/cts/+/ccb3ed48d3083d615f4d1ec1d9a5771a0e45bf84", "ccb3ed48d3083d615f4d1ec1d9a5771a0e45bf84")</f>
        <v>0</v>
      </c>
      <c r="D46585" t="s">
        <v>5108</v>
      </c>
      <c r="E46585" t="s">
        <v>9864</v>
      </c>
      <c r="F46585" t="s">
        <v>12743</v>
      </c>
      <c r="G46585" t="s">
        <v>16935</v>
      </c>
      <c r="H46585" t="s">
        <v>37191</v>
      </c>
    </row>
    <row r="46586" spans="1:8">
      <c r="H46586" t="s">
        <v>37192</v>
      </c>
    </row>
    <row r="46587" spans="1:8">
      <c r="H46587" t="s">
        <v>37193</v>
      </c>
    </row>
    <row r="46588" spans="1:8">
      <c r="F46588" t="s">
        <v>14637</v>
      </c>
      <c r="G46588" t="s">
        <v>18547</v>
      </c>
      <c r="H46588" t="s">
        <v>18829</v>
      </c>
    </row>
    <row r="46589" spans="1:8">
      <c r="H46589" t="s">
        <v>37194</v>
      </c>
    </row>
    <row r="46590" spans="1:8">
      <c r="H46590" t="s">
        <v>37195</v>
      </c>
    </row>
    <row r="46591" spans="1:8">
      <c r="H46591" t="s">
        <v>37196</v>
      </c>
    </row>
    <row r="46592" spans="1:8">
      <c r="A46592" t="s">
        <v>4187</v>
      </c>
      <c r="B46592">
        <f>HYPERLINK("https://android.googlesource.com/platform/cts/+/178b0470093af65001fa04dd1f6296718ed250f4", "178b0470093af65001fa04dd1f6296718ed250f4")</f>
        <v>0</v>
      </c>
      <c r="C46592">
        <f>HYPERLINK("https://android.googlesource.com/platform/cts/+/a33e61fd5ff1916dd02aaa316ae36e9fc4312e7f", "a33e61fd5ff1916dd02aaa316ae36e9fc4312e7f")</f>
        <v>0</v>
      </c>
      <c r="D46592" t="s">
        <v>5653</v>
      </c>
      <c r="E46592" t="s">
        <v>9865</v>
      </c>
      <c r="F46592" t="s">
        <v>14614</v>
      </c>
      <c r="G46592" t="s">
        <v>18526</v>
      </c>
      <c r="H46592" t="s">
        <v>37012</v>
      </c>
    </row>
    <row r="46593" spans="1:8">
      <c r="A46593" t="s">
        <v>4188</v>
      </c>
      <c r="B46593">
        <f>HYPERLINK("https://android.googlesource.com/platform/cts/+/a3570f7505395d5be9f9b4177396ff4118614026", "a3570f7505395d5be9f9b4177396ff4118614026")</f>
        <v>0</v>
      </c>
      <c r="C46593">
        <f>HYPERLINK("https://android.googlesource.com/platform/cts/+/6c7a7c6f6199628b1d95b8789fb234bf4b1b319d", "6c7a7c6f6199628b1d95b8789fb234bf4b1b319d")</f>
        <v>0</v>
      </c>
      <c r="D46593" t="s">
        <v>5288</v>
      </c>
      <c r="E46593" t="s">
        <v>9866</v>
      </c>
      <c r="F46593" t="s">
        <v>14638</v>
      </c>
      <c r="G46593" t="s">
        <v>17583</v>
      </c>
      <c r="H46593" t="s">
        <v>18829</v>
      </c>
    </row>
    <row r="46594" spans="1:8">
      <c r="H46594" t="s">
        <v>18863</v>
      </c>
    </row>
    <row r="46595" spans="1:8">
      <c r="H46595" t="s">
        <v>26176</v>
      </c>
    </row>
    <row r="46596" spans="1:8">
      <c r="H46596" t="s">
        <v>29900</v>
      </c>
    </row>
    <row r="46597" spans="1:8">
      <c r="H46597" t="s">
        <v>37197</v>
      </c>
    </row>
    <row r="46598" spans="1:8">
      <c r="H46598" t="s">
        <v>37198</v>
      </c>
    </row>
    <row r="46599" spans="1:8">
      <c r="H46599" t="s">
        <v>26181</v>
      </c>
    </row>
    <row r="46600" spans="1:8">
      <c r="F46600" t="s">
        <v>12743</v>
      </c>
      <c r="G46600" t="s">
        <v>16935</v>
      </c>
      <c r="H46600" t="s">
        <v>37199</v>
      </c>
    </row>
    <row r="46601" spans="1:8">
      <c r="A46601" t="s">
        <v>4189</v>
      </c>
      <c r="B46601">
        <f>HYPERLINK("https://android.googlesource.com/platform/cts/+/4c0687ea68916fe734c19755891e9b710f66cbca", "4c0687ea68916fe734c19755891e9b710f66cbca")</f>
        <v>0</v>
      </c>
      <c r="C46601">
        <f>HYPERLINK("https://android.googlesource.com/platform/cts/+/8004f3719018d2d594f34fd7eb057f22da3803f5", "8004f3719018d2d594f34fd7eb057f22da3803f5")</f>
        <v>0</v>
      </c>
      <c r="D46601" t="s">
        <v>5541</v>
      </c>
      <c r="E46601" t="s">
        <v>9867</v>
      </c>
      <c r="F46601" t="s">
        <v>14625</v>
      </c>
      <c r="G46601" t="s">
        <v>18536</v>
      </c>
      <c r="H46601" t="s">
        <v>18863</v>
      </c>
    </row>
    <row r="46602" spans="1:8">
      <c r="A46602" t="s">
        <v>4190</v>
      </c>
      <c r="B46602">
        <f>HYPERLINK("https://android.googlesource.com/platform/cts/+/5bdafc5dd23e9793aaed1a56d1806eb0205408a3", "5bdafc5dd23e9793aaed1a56d1806eb0205408a3")</f>
        <v>0</v>
      </c>
      <c r="C46602">
        <f>HYPERLINK("https://android.googlesource.com/platform/cts/+/ee6f4d3e44916542555311681c6716c8d1887550", "ee6f4d3e44916542555311681c6716c8d1887550")</f>
        <v>0</v>
      </c>
      <c r="D46602" t="s">
        <v>5649</v>
      </c>
      <c r="E46602" t="s">
        <v>9868</v>
      </c>
      <c r="F46602" t="s">
        <v>12768</v>
      </c>
      <c r="G46602" t="s">
        <v>15710</v>
      </c>
      <c r="H46602" t="s">
        <v>37200</v>
      </c>
    </row>
    <row r="46603" spans="1:8">
      <c r="H46603" t="s">
        <v>37201</v>
      </c>
    </row>
    <row r="46604" spans="1:8">
      <c r="A46604" t="s">
        <v>4191</v>
      </c>
      <c r="B46604">
        <f>HYPERLINK("https://android.googlesource.com/platform/cts/+/f69babb2b15d84bb2edaa82980da1d49b2188e41", "f69babb2b15d84bb2edaa82980da1d49b2188e41")</f>
        <v>0</v>
      </c>
      <c r="C46604">
        <f>HYPERLINK("https://android.googlesource.com/platform/cts/+/c9476fcff9950c679860c9250310666e8f8ad96e", "c9476fcff9950c679860c9250310666e8f8ad96e")</f>
        <v>0</v>
      </c>
      <c r="D46604" t="s">
        <v>5666</v>
      </c>
      <c r="E46604" t="s">
        <v>9869</v>
      </c>
      <c r="F46604" t="s">
        <v>14635</v>
      </c>
      <c r="G46604" t="s">
        <v>18545</v>
      </c>
      <c r="H46604" t="s">
        <v>37173</v>
      </c>
    </row>
    <row r="46605" spans="1:8">
      <c r="H46605" t="s">
        <v>37174</v>
      </c>
    </row>
    <row r="46606" spans="1:8">
      <c r="A46606" t="s">
        <v>4192</v>
      </c>
      <c r="B46606">
        <f>HYPERLINK("https://android.googlesource.com/platform/cts/+/e99f8553bce8be74bd22516725ebb72c379e6c65", "e99f8553bce8be74bd22516725ebb72c379e6c65")</f>
        <v>0</v>
      </c>
      <c r="C46606">
        <f>HYPERLINK("https://android.googlesource.com/platform/cts/+/369712cd45cb8e0ef971df3e8a6fe352aefe5365", "369712cd45cb8e0ef971df3e8a6fe352aefe5365")</f>
        <v>0</v>
      </c>
      <c r="D46606" t="s">
        <v>5189</v>
      </c>
      <c r="E46606" t="s">
        <v>9870</v>
      </c>
      <c r="F46606" t="s">
        <v>14636</v>
      </c>
      <c r="G46606" t="s">
        <v>18546</v>
      </c>
      <c r="H46606" t="s">
        <v>18829</v>
      </c>
    </row>
    <row r="46607" spans="1:8">
      <c r="H46607" t="s">
        <v>19759</v>
      </c>
    </row>
    <row r="46608" spans="1:8">
      <c r="H46608" t="s">
        <v>37202</v>
      </c>
    </row>
    <row r="46609" spans="1:8">
      <c r="H46609" t="s">
        <v>37203</v>
      </c>
    </row>
    <row r="46610" spans="1:8">
      <c r="H46610" t="s">
        <v>37204</v>
      </c>
    </row>
    <row r="46611" spans="1:8">
      <c r="H46611" t="s">
        <v>37205</v>
      </c>
    </row>
    <row r="46612" spans="1:8">
      <c r="H46612" t="s">
        <v>37206</v>
      </c>
    </row>
    <row r="46613" spans="1:8">
      <c r="H46613" t="s">
        <v>37207</v>
      </c>
    </row>
    <row r="46614" spans="1:8">
      <c r="H46614" t="s">
        <v>37208</v>
      </c>
    </row>
    <row r="46615" spans="1:8">
      <c r="H46615" t="s">
        <v>37209</v>
      </c>
    </row>
    <row r="46616" spans="1:8">
      <c r="F46616" t="s">
        <v>14249</v>
      </c>
      <c r="G46616" t="s">
        <v>18214</v>
      </c>
      <c r="H46616" t="s">
        <v>32582</v>
      </c>
    </row>
    <row r="46617" spans="1:8">
      <c r="F46617" t="s">
        <v>14639</v>
      </c>
      <c r="G46617" t="s">
        <v>18193</v>
      </c>
      <c r="H46617" t="s">
        <v>37210</v>
      </c>
    </row>
    <row r="46618" spans="1:8">
      <c r="A46618" t="s">
        <v>4193</v>
      </c>
      <c r="B46618">
        <f>HYPERLINK("https://android.googlesource.com/platform/cts/+/2ec725eceae79fdef906e6f94aa167d1e6e2bb29", "2ec725eceae79fdef906e6f94aa167d1e6e2bb29")</f>
        <v>0</v>
      </c>
      <c r="C46618">
        <f>HYPERLINK("https://android.googlesource.com/platform/cts/+/b3aacd03d01e4933518ec68828af23f364545001", "b3aacd03d01e4933518ec68828af23f364545001")</f>
        <v>0</v>
      </c>
      <c r="D46618" t="s">
        <v>5667</v>
      </c>
      <c r="E46618" t="s">
        <v>9871</v>
      </c>
      <c r="F46618" t="s">
        <v>12768</v>
      </c>
      <c r="G46618" t="s">
        <v>15710</v>
      </c>
      <c r="H46618" t="s">
        <v>18863</v>
      </c>
    </row>
    <row r="46619" spans="1:8">
      <c r="A46619" t="s">
        <v>4194</v>
      </c>
      <c r="B46619">
        <f>HYPERLINK("https://android.googlesource.com/platform/cts/+/ec745eb5090af93714b806d3491a57719481355b", "ec745eb5090af93714b806d3491a57719481355b")</f>
        <v>0</v>
      </c>
      <c r="C46619">
        <f>HYPERLINK("https://android.googlesource.com/platform/cts/+/b8ce8d0c5bbbbcf3e47353154e7e02adf3ad288d", "b8ce8d0c5bbbbcf3e47353154e7e02adf3ad288d")</f>
        <v>0</v>
      </c>
      <c r="D46619" t="s">
        <v>5409</v>
      </c>
      <c r="E46619" t="s">
        <v>9872</v>
      </c>
      <c r="F46619" t="s">
        <v>14204</v>
      </c>
      <c r="G46619" t="s">
        <v>16848</v>
      </c>
      <c r="H46619" t="s">
        <v>37157</v>
      </c>
    </row>
    <row r="46620" spans="1:8">
      <c r="A46620" t="s">
        <v>4195</v>
      </c>
      <c r="B46620">
        <f>HYPERLINK("https://android.googlesource.com/platform/cts/+/c3ac3461de445cc0326bd3524d6221d9d170ea54", "c3ac3461de445cc0326bd3524d6221d9d170ea54")</f>
        <v>0</v>
      </c>
      <c r="C46620">
        <f>HYPERLINK("https://android.googlesource.com/platform/cts/+/b8ce8d0c5bbbbcf3e47353154e7e02adf3ad288d", "b8ce8d0c5bbbbcf3e47353154e7e02adf3ad288d")</f>
        <v>0</v>
      </c>
      <c r="D46620" t="s">
        <v>5409</v>
      </c>
      <c r="E46620" t="s">
        <v>9873</v>
      </c>
      <c r="F46620" t="s">
        <v>14634</v>
      </c>
      <c r="G46620" t="s">
        <v>18544</v>
      </c>
      <c r="H46620" t="s">
        <v>37170</v>
      </c>
    </row>
    <row r="46621" spans="1:8">
      <c r="F46621" t="s">
        <v>12629</v>
      </c>
      <c r="G46621" t="s">
        <v>16838</v>
      </c>
      <c r="H46621" t="s">
        <v>37171</v>
      </c>
    </row>
    <row r="46622" spans="1:8">
      <c r="F46622" t="s">
        <v>12768</v>
      </c>
      <c r="G46622" t="s">
        <v>15710</v>
      </c>
      <c r="H46622" t="s">
        <v>37172</v>
      </c>
    </row>
    <row r="46623" spans="1:8">
      <c r="A46623" t="s">
        <v>4196</v>
      </c>
      <c r="B46623">
        <f>HYPERLINK("https://android.googlesource.com/platform/cts/+/756cf630ae12c048d7122a933ca09fdc9533bbad", "756cf630ae12c048d7122a933ca09fdc9533bbad")</f>
        <v>0</v>
      </c>
      <c r="C46623">
        <f>HYPERLINK("https://android.googlesource.com/platform/cts/+/b8ce8d0c5bbbbcf3e47353154e7e02adf3ad288d", "b8ce8d0c5bbbbcf3e47353154e7e02adf3ad288d")</f>
        <v>0</v>
      </c>
      <c r="D46623" t="s">
        <v>5409</v>
      </c>
      <c r="E46623" t="s">
        <v>9874</v>
      </c>
      <c r="F46623" t="s">
        <v>13386</v>
      </c>
      <c r="G46623" t="s">
        <v>17513</v>
      </c>
      <c r="H46623" t="s">
        <v>37164</v>
      </c>
    </row>
    <row r="46624" spans="1:8">
      <c r="H46624" t="s">
        <v>37165</v>
      </c>
    </row>
    <row r="46625" spans="1:8">
      <c r="H46625" t="s">
        <v>37166</v>
      </c>
    </row>
    <row r="46626" spans="1:8">
      <c r="H46626" t="s">
        <v>37167</v>
      </c>
    </row>
    <row r="46627" spans="1:8">
      <c r="H46627" t="s">
        <v>37168</v>
      </c>
    </row>
    <row r="46628" spans="1:8">
      <c r="H46628" t="s">
        <v>37169</v>
      </c>
    </row>
    <row r="46629" spans="1:8">
      <c r="A46629" t="s">
        <v>4197</v>
      </c>
      <c r="B46629">
        <f>HYPERLINK("https://android.googlesource.com/platform/cts/+/f210afcca0eaf36462d48ae0066cb7d7f6f0ddd1", "f210afcca0eaf36462d48ae0066cb7d7f6f0ddd1")</f>
        <v>0</v>
      </c>
      <c r="C46629">
        <f>HYPERLINK("https://android.googlesource.com/platform/cts/+/b8ce8d0c5bbbbcf3e47353154e7e02adf3ad288d", "b8ce8d0c5bbbbcf3e47353154e7e02adf3ad288d")</f>
        <v>0</v>
      </c>
      <c r="D46629" t="s">
        <v>5409</v>
      </c>
      <c r="E46629" t="s">
        <v>9875</v>
      </c>
      <c r="F46629" t="s">
        <v>12629</v>
      </c>
      <c r="G46629" t="s">
        <v>16838</v>
      </c>
      <c r="H46629" t="s">
        <v>37175</v>
      </c>
    </row>
    <row r="46630" spans="1:8">
      <c r="H46630" t="s">
        <v>37176</v>
      </c>
    </row>
    <row r="46631" spans="1:8">
      <c r="A46631" t="s">
        <v>4198</v>
      </c>
      <c r="B46631">
        <f>HYPERLINK("https://android.googlesource.com/platform/cts/+/991969b98754ca27b2260051a1ae6adeea871e1a", "991969b98754ca27b2260051a1ae6adeea871e1a")</f>
        <v>0</v>
      </c>
      <c r="C46631">
        <f>HYPERLINK("https://android.googlesource.com/platform/cts/+/b8ce8d0c5bbbbcf3e47353154e7e02adf3ad288d", "b8ce8d0c5bbbbcf3e47353154e7e02adf3ad288d")</f>
        <v>0</v>
      </c>
      <c r="D46631" t="s">
        <v>5409</v>
      </c>
      <c r="E46631" t="s">
        <v>9876</v>
      </c>
      <c r="F46631" t="s">
        <v>12768</v>
      </c>
      <c r="G46631" t="s">
        <v>15710</v>
      </c>
      <c r="H46631" t="s">
        <v>37200</v>
      </c>
    </row>
    <row r="46632" spans="1:8">
      <c r="H46632" t="s">
        <v>37201</v>
      </c>
    </row>
    <row r="46633" spans="1:8">
      <c r="A46633" t="s">
        <v>4199</v>
      </c>
      <c r="B46633">
        <f>HYPERLINK("https://android.googlesource.com/platform/cts/+/793fbc1b82b6127cd481d524d3d7d5eec5d3a200", "793fbc1b82b6127cd481d524d3d7d5eec5d3a200")</f>
        <v>0</v>
      </c>
      <c r="C46633">
        <f>HYPERLINK("https://android.googlesource.com/platform/cts/+/b8ce8d0c5bbbbcf3e47353154e7e02adf3ad288d", "b8ce8d0c5bbbbcf3e47353154e7e02adf3ad288d")</f>
        <v>0</v>
      </c>
      <c r="D46633" t="s">
        <v>5409</v>
      </c>
      <c r="E46633" t="s">
        <v>9877</v>
      </c>
      <c r="F46633" t="s">
        <v>14636</v>
      </c>
      <c r="G46633" t="s">
        <v>18546</v>
      </c>
      <c r="H46633" t="s">
        <v>37177</v>
      </c>
    </row>
    <row r="46634" spans="1:8">
      <c r="F46634" t="s">
        <v>14249</v>
      </c>
      <c r="G46634" t="s">
        <v>18214</v>
      </c>
      <c r="H46634" t="s">
        <v>37178</v>
      </c>
    </row>
    <row r="46635" spans="1:8">
      <c r="A46635" t="s">
        <v>4200</v>
      </c>
      <c r="B46635">
        <f>HYPERLINK("https://android.googlesource.com/platform/cts/+/9616e202ebefe9b06733e9587226c8d8d04df6de", "9616e202ebefe9b06733e9587226c8d8d04df6de")</f>
        <v>0</v>
      </c>
      <c r="C46635">
        <f>HYPERLINK("https://android.googlesource.com/platform/cts/+/b8ce8d0c5bbbbcf3e47353154e7e02adf3ad288d", "b8ce8d0c5bbbbcf3e47353154e7e02adf3ad288d")</f>
        <v>0</v>
      </c>
      <c r="D46635" t="s">
        <v>5409</v>
      </c>
      <c r="E46635" t="s">
        <v>9878</v>
      </c>
      <c r="F46635" t="s">
        <v>12901</v>
      </c>
      <c r="G46635" t="s">
        <v>17068</v>
      </c>
      <c r="H46635" t="s">
        <v>37187</v>
      </c>
    </row>
    <row r="46636" spans="1:8">
      <c r="F46636" t="s">
        <v>12629</v>
      </c>
      <c r="G46636" t="s">
        <v>16838</v>
      </c>
      <c r="H46636" t="s">
        <v>37187</v>
      </c>
    </row>
    <row r="46637" spans="1:8">
      <c r="A46637" t="s">
        <v>4201</v>
      </c>
      <c r="B46637">
        <f>HYPERLINK("https://android.googlesource.com/platform/cts/+/ea09ee3d7cbc4131a392a6fbb5539c553430b21c", "ea09ee3d7cbc4131a392a6fbb5539c553430b21c")</f>
        <v>0</v>
      </c>
      <c r="C46637">
        <f>HYPERLINK("https://android.googlesource.com/platform/cts/+/b8ce8d0c5bbbbcf3e47353154e7e02adf3ad288d", "b8ce8d0c5bbbbcf3e47353154e7e02adf3ad288d")</f>
        <v>0</v>
      </c>
      <c r="D46637" t="s">
        <v>5409</v>
      </c>
      <c r="E46637" t="s">
        <v>9879</v>
      </c>
      <c r="F46637" t="s">
        <v>12743</v>
      </c>
      <c r="G46637" t="s">
        <v>16935</v>
      </c>
      <c r="H46637" t="s">
        <v>25800</v>
      </c>
    </row>
    <row r="46638" spans="1:8">
      <c r="H46638" t="s">
        <v>37190</v>
      </c>
    </row>
    <row r="46639" spans="1:8">
      <c r="F46639" t="s">
        <v>13136</v>
      </c>
      <c r="G46639" t="s">
        <v>17293</v>
      </c>
      <c r="H46639" t="s">
        <v>26248</v>
      </c>
    </row>
    <row r="46640" spans="1:8">
      <c r="A46640" t="s">
        <v>4202</v>
      </c>
      <c r="B46640">
        <f>HYPERLINK("https://android.googlesource.com/platform/cts/+/d1ef05a951d87214e357cf5f7a34e786bc5f6f6c", "d1ef05a951d87214e357cf5f7a34e786bc5f6f6c")</f>
        <v>0</v>
      </c>
      <c r="C46640">
        <f>HYPERLINK("https://android.googlesource.com/platform/cts/+/61543347bf1372868a5b6b9d3b3ca3f1bab913c4", "61543347bf1372868a5b6b9d3b3ca3f1bab913c4")</f>
        <v>0</v>
      </c>
      <c r="D46640" t="s">
        <v>5409</v>
      </c>
      <c r="E46640" t="s">
        <v>9880</v>
      </c>
      <c r="F46640" t="s">
        <v>12743</v>
      </c>
      <c r="G46640" t="s">
        <v>16935</v>
      </c>
      <c r="H46640" t="s">
        <v>37191</v>
      </c>
    </row>
    <row r="46641" spans="1:8">
      <c r="H46641" t="s">
        <v>37192</v>
      </c>
    </row>
    <row r="46642" spans="1:8">
      <c r="H46642" t="s">
        <v>37193</v>
      </c>
    </row>
    <row r="46643" spans="1:8">
      <c r="F46643" t="s">
        <v>14637</v>
      </c>
      <c r="G46643" t="s">
        <v>18547</v>
      </c>
      <c r="H46643" t="s">
        <v>18829</v>
      </c>
    </row>
    <row r="46644" spans="1:8">
      <c r="H46644" t="s">
        <v>37194</v>
      </c>
    </row>
    <row r="46645" spans="1:8">
      <c r="H46645" t="s">
        <v>37195</v>
      </c>
    </row>
    <row r="46646" spans="1:8">
      <c r="H46646" t="s">
        <v>37196</v>
      </c>
    </row>
    <row r="46647" spans="1:8">
      <c r="A46647" t="s">
        <v>4203</v>
      </c>
      <c r="B46647">
        <f>HYPERLINK("https://android.googlesource.com/platform/cts/+/cd15e19d00f4c3c8c8a485f84d530a5f9fdf0058", "cd15e19d00f4c3c8c8a485f84d530a5f9fdf0058")</f>
        <v>0</v>
      </c>
      <c r="C46647">
        <f>HYPERLINK("https://android.googlesource.com/platform/cts/+/6f45f3877b2b302b0a90e5ce506e4b46cc0f6dc9", "6f45f3877b2b302b0a90e5ce506e4b46cc0f6dc9")</f>
        <v>0</v>
      </c>
      <c r="D46647" t="s">
        <v>5409</v>
      </c>
      <c r="E46647" t="s">
        <v>9881</v>
      </c>
      <c r="F46647" t="s">
        <v>14204</v>
      </c>
      <c r="G46647" t="s">
        <v>16848</v>
      </c>
      <c r="H46647" t="s">
        <v>37158</v>
      </c>
    </row>
    <row r="46648" spans="1:8">
      <c r="H46648" t="s">
        <v>37159</v>
      </c>
    </row>
    <row r="46649" spans="1:8">
      <c r="H46649" t="s">
        <v>37160</v>
      </c>
    </row>
    <row r="46650" spans="1:8">
      <c r="H46650" t="s">
        <v>37161</v>
      </c>
    </row>
    <row r="46651" spans="1:8">
      <c r="H46651" t="s">
        <v>37162</v>
      </c>
    </row>
    <row r="46652" spans="1:8">
      <c r="H46652" t="s">
        <v>37163</v>
      </c>
    </row>
    <row r="46653" spans="1:8">
      <c r="A46653" t="s">
        <v>4204</v>
      </c>
      <c r="B46653">
        <f>HYPERLINK("https://android.googlesource.com/platform/cts/+/88c6d400448cf66a1d2a682cc95ad8444e147a0f", "88c6d400448cf66a1d2a682cc95ad8444e147a0f")</f>
        <v>0</v>
      </c>
      <c r="C46653">
        <f>HYPERLINK("https://android.googlesource.com/platform/cts/+/6f45f3877b2b302b0a90e5ce506e4b46cc0f6dc9", "6f45f3877b2b302b0a90e5ce506e4b46cc0f6dc9")</f>
        <v>0</v>
      </c>
      <c r="D46653" t="s">
        <v>5409</v>
      </c>
      <c r="E46653" t="s">
        <v>9882</v>
      </c>
      <c r="F46653" t="s">
        <v>13386</v>
      </c>
      <c r="G46653" t="s">
        <v>17513</v>
      </c>
      <c r="H46653" t="s">
        <v>18829</v>
      </c>
    </row>
    <row r="46654" spans="1:8">
      <c r="H46654" t="s">
        <v>18863</v>
      </c>
    </row>
    <row r="46655" spans="1:8">
      <c r="H46655" t="s">
        <v>26335</v>
      </c>
    </row>
    <row r="46656" spans="1:8">
      <c r="H46656" t="s">
        <v>26336</v>
      </c>
    </row>
    <row r="46657" spans="8:8">
      <c r="H46657" t="s">
        <v>26337</v>
      </c>
    </row>
    <row r="46658" spans="8:8">
      <c r="H46658" t="s">
        <v>26338</v>
      </c>
    </row>
    <row r="46659" spans="8:8">
      <c r="H46659" t="s">
        <v>26339</v>
      </c>
    </row>
    <row r="46660" spans="8:8">
      <c r="H46660" t="s">
        <v>26340</v>
      </c>
    </row>
    <row r="46661" spans="8:8">
      <c r="H46661" t="s">
        <v>26341</v>
      </c>
    </row>
    <row r="46662" spans="8:8">
      <c r="H46662" t="s">
        <v>26342</v>
      </c>
    </row>
    <row r="46663" spans="8:8">
      <c r="H46663" t="s">
        <v>37179</v>
      </c>
    </row>
    <row r="46664" spans="8:8">
      <c r="H46664" t="s">
        <v>37180</v>
      </c>
    </row>
    <row r="46665" spans="8:8">
      <c r="H46665" t="s">
        <v>37181</v>
      </c>
    </row>
    <row r="46666" spans="8:8">
      <c r="H46666" t="s">
        <v>37182</v>
      </c>
    </row>
    <row r="46667" spans="8:8">
      <c r="H46667" t="s">
        <v>37183</v>
      </c>
    </row>
    <row r="46668" spans="8:8">
      <c r="H46668" t="s">
        <v>26343</v>
      </c>
    </row>
    <row r="46669" spans="8:8">
      <c r="H46669" t="s">
        <v>26344</v>
      </c>
    </row>
    <row r="46670" spans="8:8">
      <c r="H46670" t="s">
        <v>37184</v>
      </c>
    </row>
    <row r="46671" spans="8:8">
      <c r="H46671" t="s">
        <v>37185</v>
      </c>
    </row>
    <row r="46672" spans="8:8">
      <c r="H46672" t="s">
        <v>26348</v>
      </c>
    </row>
    <row r="46673" spans="1:8">
      <c r="H46673" t="s">
        <v>26349</v>
      </c>
    </row>
    <row r="46674" spans="1:8">
      <c r="H46674" t="s">
        <v>26347</v>
      </c>
    </row>
    <row r="46675" spans="1:8">
      <c r="F46675" t="s">
        <v>12743</v>
      </c>
      <c r="G46675" t="s">
        <v>16935</v>
      </c>
      <c r="H46675" t="s">
        <v>29575</v>
      </c>
    </row>
    <row r="46676" spans="1:8">
      <c r="H46676" t="s">
        <v>37186</v>
      </c>
    </row>
    <row r="46677" spans="1:8">
      <c r="F46677" t="s">
        <v>13229</v>
      </c>
      <c r="G46677" t="s">
        <v>17370</v>
      </c>
      <c r="H46677" t="s">
        <v>29575</v>
      </c>
    </row>
    <row r="46678" spans="1:8">
      <c r="F46678" t="s">
        <v>13136</v>
      </c>
      <c r="G46678" t="s">
        <v>17293</v>
      </c>
      <c r="H46678" t="s">
        <v>29575</v>
      </c>
    </row>
    <row r="46679" spans="1:8">
      <c r="A46679" t="s">
        <v>4205</v>
      </c>
      <c r="B46679">
        <f>HYPERLINK("https://android.googlesource.com/platform/cts/+/0e6657c160ed64526d55f46810876b7317c354da", "0e6657c160ed64526d55f46810876b7317c354da")</f>
        <v>0</v>
      </c>
      <c r="C46679">
        <f>HYPERLINK("https://android.googlesource.com/platform/cts/+/6f45f3877b2b302b0a90e5ce506e4b46cc0f6dc9", "6f45f3877b2b302b0a90e5ce506e4b46cc0f6dc9")</f>
        <v>0</v>
      </c>
      <c r="D46679" t="s">
        <v>5409</v>
      </c>
      <c r="E46679" t="s">
        <v>9883</v>
      </c>
      <c r="F46679" t="s">
        <v>12629</v>
      </c>
      <c r="G46679" t="s">
        <v>16838</v>
      </c>
      <c r="H46679" t="s">
        <v>37188</v>
      </c>
    </row>
    <row r="46680" spans="1:8">
      <c r="H46680" t="s">
        <v>37189</v>
      </c>
    </row>
    <row r="46681" spans="1:8">
      <c r="A46681" t="s">
        <v>4206</v>
      </c>
      <c r="B46681">
        <f>HYPERLINK("https://android.googlesource.com/platform/cts/+/aa7bfd4ea9f03653368c1c644813ef410a9a1b17", "aa7bfd4ea9f03653368c1c644813ef410a9a1b17")</f>
        <v>0</v>
      </c>
      <c r="C46681">
        <f>HYPERLINK("https://android.googlesource.com/platform/cts/+/6f45f3877b2b302b0a90e5ce506e4b46cc0f6dc9", "6f45f3877b2b302b0a90e5ce506e4b46cc0f6dc9")</f>
        <v>0</v>
      </c>
      <c r="D46681" t="s">
        <v>5409</v>
      </c>
      <c r="E46681" t="s">
        <v>9884</v>
      </c>
      <c r="F46681" t="s">
        <v>14638</v>
      </c>
      <c r="G46681" t="s">
        <v>17583</v>
      </c>
      <c r="H46681" t="s">
        <v>18829</v>
      </c>
    </row>
    <row r="46682" spans="1:8">
      <c r="H46682" t="s">
        <v>18863</v>
      </c>
    </row>
    <row r="46683" spans="1:8">
      <c r="H46683" t="s">
        <v>26176</v>
      </c>
    </row>
    <row r="46684" spans="1:8">
      <c r="H46684" t="s">
        <v>29900</v>
      </c>
    </row>
    <row r="46685" spans="1:8">
      <c r="H46685" t="s">
        <v>37197</v>
      </c>
    </row>
    <row r="46686" spans="1:8">
      <c r="H46686" t="s">
        <v>37198</v>
      </c>
    </row>
    <row r="46687" spans="1:8">
      <c r="H46687" t="s">
        <v>26181</v>
      </c>
    </row>
    <row r="46688" spans="1:8">
      <c r="F46688" t="s">
        <v>12743</v>
      </c>
      <c r="G46688" t="s">
        <v>16935</v>
      </c>
      <c r="H46688" t="s">
        <v>37199</v>
      </c>
    </row>
    <row r="46689" spans="1:8">
      <c r="A46689" t="s">
        <v>4207</v>
      </c>
      <c r="B46689">
        <f>HYPERLINK("https://android.googlesource.com/platform/cts/+/2b1ebdf1d32305f93696fe863b5d4436ffef673b", "2b1ebdf1d32305f93696fe863b5d4436ffef673b")</f>
        <v>0</v>
      </c>
      <c r="C46689">
        <f>HYPERLINK("https://android.googlesource.com/platform/cts/+/6f45f3877b2b302b0a90e5ce506e4b46cc0f6dc9", "6f45f3877b2b302b0a90e5ce506e4b46cc0f6dc9")</f>
        <v>0</v>
      </c>
      <c r="D46689" t="s">
        <v>5409</v>
      </c>
      <c r="E46689" t="s">
        <v>9885</v>
      </c>
      <c r="F46689" t="s">
        <v>14636</v>
      </c>
      <c r="G46689" t="s">
        <v>18546</v>
      </c>
      <c r="H46689" t="s">
        <v>18829</v>
      </c>
    </row>
    <row r="46690" spans="1:8">
      <c r="H46690" t="s">
        <v>19759</v>
      </c>
    </row>
    <row r="46691" spans="1:8">
      <c r="H46691" t="s">
        <v>37202</v>
      </c>
    </row>
    <row r="46692" spans="1:8">
      <c r="H46692" t="s">
        <v>37203</v>
      </c>
    </row>
    <row r="46693" spans="1:8">
      <c r="H46693" t="s">
        <v>37204</v>
      </c>
    </row>
    <row r="46694" spans="1:8">
      <c r="H46694" t="s">
        <v>37205</v>
      </c>
    </row>
    <row r="46695" spans="1:8">
      <c r="H46695" t="s">
        <v>37206</v>
      </c>
    </row>
    <row r="46696" spans="1:8">
      <c r="H46696" t="s">
        <v>37207</v>
      </c>
    </row>
    <row r="46697" spans="1:8">
      <c r="H46697" t="s">
        <v>37208</v>
      </c>
    </row>
    <row r="46698" spans="1:8">
      <c r="H46698" t="s">
        <v>37209</v>
      </c>
    </row>
    <row r="46699" spans="1:8">
      <c r="F46699" t="s">
        <v>14249</v>
      </c>
      <c r="G46699" t="s">
        <v>18214</v>
      </c>
      <c r="H46699" t="s">
        <v>32582</v>
      </c>
    </row>
    <row r="46700" spans="1:8">
      <c r="F46700" t="s">
        <v>14639</v>
      </c>
      <c r="G46700" t="s">
        <v>18193</v>
      </c>
      <c r="H46700" t="s">
        <v>37210</v>
      </c>
    </row>
    <row r="46701" spans="1:8">
      <c r="A46701" t="s">
        <v>4208</v>
      </c>
      <c r="B46701">
        <f>HYPERLINK("https://android.googlesource.com/platform/cts/+/39a93cd2de0a607c065431f36fce66c1a0b998ad", "39a93cd2de0a607c065431f36fce66c1a0b998ad")</f>
        <v>0</v>
      </c>
      <c r="C46701">
        <f>HYPERLINK("https://android.googlesource.com/platform/cts/+/c52332283cde8061016dccc7491b744e52b30362", "c52332283cde8061016dccc7491b744e52b30362")</f>
        <v>0</v>
      </c>
      <c r="D46701" t="s">
        <v>5667</v>
      </c>
      <c r="E46701" t="s">
        <v>9886</v>
      </c>
      <c r="F46701" t="s">
        <v>12768</v>
      </c>
      <c r="G46701" t="s">
        <v>15710</v>
      </c>
      <c r="H46701" t="s">
        <v>18863</v>
      </c>
    </row>
    <row r="46702" spans="1:8">
      <c r="A46702" t="s">
        <v>4209</v>
      </c>
      <c r="B46702">
        <f>HYPERLINK("https://android.googlesource.com/platform/cts/+/d72f1a1a6f977a7e05fc96e24b4ecc6029e735f2", "d72f1a1a6f977a7e05fc96e24b4ecc6029e735f2")</f>
        <v>0</v>
      </c>
      <c r="C46702">
        <f>HYPERLINK("https://android.googlesource.com/platform/cts/+/9b7670cda1ca55700ecc1295d6b4a111594aeb56", "9b7670cda1ca55700ecc1295d6b4a111594aeb56")</f>
        <v>0</v>
      </c>
      <c r="D46702" t="s">
        <v>5396</v>
      </c>
      <c r="E46702" t="s">
        <v>9887</v>
      </c>
      <c r="F46702" t="s">
        <v>14051</v>
      </c>
      <c r="G46702" t="s">
        <v>18050</v>
      </c>
      <c r="H46702" t="s">
        <v>29587</v>
      </c>
    </row>
    <row r="46703" spans="1:8">
      <c r="H46703" t="s">
        <v>29587</v>
      </c>
    </row>
    <row r="46704" spans="1:8">
      <c r="H46704" t="s">
        <v>33483</v>
      </c>
    </row>
    <row r="46705" spans="8:8">
      <c r="H46705" t="s">
        <v>18829</v>
      </c>
    </row>
    <row r="46706" spans="8:8">
      <c r="H46706" t="s">
        <v>19982</v>
      </c>
    </row>
    <row r="46707" spans="8:8">
      <c r="H46707" t="s">
        <v>37211</v>
      </c>
    </row>
    <row r="46708" spans="8:8">
      <c r="H46708" t="s">
        <v>37212</v>
      </c>
    </row>
    <row r="46709" spans="8:8">
      <c r="H46709" t="s">
        <v>37213</v>
      </c>
    </row>
    <row r="46710" spans="8:8">
      <c r="H46710" t="s">
        <v>37214</v>
      </c>
    </row>
    <row r="46711" spans="8:8">
      <c r="H46711" t="s">
        <v>37215</v>
      </c>
    </row>
    <row r="46712" spans="8:8">
      <c r="H46712" t="s">
        <v>37216</v>
      </c>
    </row>
    <row r="46713" spans="8:8">
      <c r="H46713" t="s">
        <v>37217</v>
      </c>
    </row>
    <row r="46714" spans="8:8">
      <c r="H46714" t="s">
        <v>37218</v>
      </c>
    </row>
    <row r="46715" spans="8:8">
      <c r="H46715" t="s">
        <v>37219</v>
      </c>
    </row>
    <row r="46716" spans="8:8">
      <c r="H46716" t="s">
        <v>37220</v>
      </c>
    </row>
    <row r="46717" spans="8:8">
      <c r="H46717" t="s">
        <v>37221</v>
      </c>
    </row>
    <row r="46718" spans="8:8">
      <c r="H46718" t="s">
        <v>37222</v>
      </c>
    </row>
    <row r="46719" spans="8:8">
      <c r="H46719" t="s">
        <v>37223</v>
      </c>
    </row>
    <row r="46720" spans="8:8">
      <c r="H46720" t="s">
        <v>37224</v>
      </c>
    </row>
    <row r="46721" spans="6:8">
      <c r="H46721" t="s">
        <v>25960</v>
      </c>
    </row>
    <row r="46722" spans="6:8">
      <c r="H46722" t="s">
        <v>37225</v>
      </c>
    </row>
    <row r="46723" spans="6:8">
      <c r="H46723" t="s">
        <v>29898</v>
      </c>
    </row>
    <row r="46724" spans="6:8">
      <c r="F46724" t="s">
        <v>14640</v>
      </c>
      <c r="G46724" t="s">
        <v>18086</v>
      </c>
      <c r="H46724" t="s">
        <v>33378</v>
      </c>
    </row>
    <row r="46725" spans="6:8">
      <c r="H46725" t="s">
        <v>33379</v>
      </c>
    </row>
    <row r="46726" spans="6:8">
      <c r="H46726" t="s">
        <v>37226</v>
      </c>
    </row>
    <row r="46727" spans="6:8">
      <c r="H46727" t="s">
        <v>19019</v>
      </c>
    </row>
    <row r="46728" spans="6:8">
      <c r="H46728" t="s">
        <v>20083</v>
      </c>
    </row>
    <row r="46729" spans="6:8">
      <c r="H46729" t="s">
        <v>19538</v>
      </c>
    </row>
    <row r="46730" spans="6:8">
      <c r="H46730" t="s">
        <v>37227</v>
      </c>
    </row>
    <row r="46731" spans="6:8">
      <c r="H46731" t="s">
        <v>37228</v>
      </c>
    </row>
    <row r="46732" spans="6:8">
      <c r="H46732" t="s">
        <v>33203</v>
      </c>
    </row>
    <row r="46733" spans="6:8">
      <c r="H46733" t="s">
        <v>37229</v>
      </c>
    </row>
    <row r="46734" spans="6:8">
      <c r="F46734" t="s">
        <v>14190</v>
      </c>
      <c r="G46734" t="s">
        <v>18169</v>
      </c>
      <c r="H46734" t="s">
        <v>37226</v>
      </c>
    </row>
    <row r="46735" spans="6:8">
      <c r="H46735" t="s">
        <v>37230</v>
      </c>
    </row>
    <row r="46736" spans="6:8">
      <c r="H46736" t="s">
        <v>37231</v>
      </c>
    </row>
    <row r="46737" spans="1:8">
      <c r="H46737" t="s">
        <v>37232</v>
      </c>
    </row>
    <row r="46738" spans="1:8">
      <c r="H46738" t="s">
        <v>20237</v>
      </c>
    </row>
    <row r="46739" spans="1:8">
      <c r="H46739" t="s">
        <v>37233</v>
      </c>
    </row>
    <row r="46740" spans="1:8">
      <c r="A46740" t="s">
        <v>4210</v>
      </c>
      <c r="B46740">
        <f>HYPERLINK("https://android.googlesource.com/platform/cts/+/1d080b644c5937e431e97b9087a7315a5a922c31", "1d080b644c5937e431e97b9087a7315a5a922c31")</f>
        <v>0</v>
      </c>
      <c r="C46740">
        <f>HYPERLINK("https://android.googlesource.com/platform/cts/+/9b7670cda1ca55700ecc1295d6b4a111594aeb56", "9b7670cda1ca55700ecc1295d6b4a111594aeb56")</f>
        <v>0</v>
      </c>
      <c r="D46740" t="s">
        <v>5473</v>
      </c>
      <c r="E46740" t="s">
        <v>9888</v>
      </c>
      <c r="F46740" t="s">
        <v>14641</v>
      </c>
      <c r="G46740" t="s">
        <v>18548</v>
      </c>
      <c r="H46740" t="s">
        <v>37234</v>
      </c>
    </row>
    <row r="46741" spans="1:8">
      <c r="H46741" t="s">
        <v>18829</v>
      </c>
    </row>
    <row r="46742" spans="1:8">
      <c r="H46742" t="s">
        <v>18863</v>
      </c>
    </row>
    <row r="46743" spans="1:8">
      <c r="A46743" t="s">
        <v>4211</v>
      </c>
      <c r="B46743">
        <f>HYPERLINK("https://android.googlesource.com/platform/cts/+/d9ffd585837570b5f8b5f214bf9df058d03c34b8", "d9ffd585837570b5f8b5f214bf9df058d03c34b8")</f>
        <v>0</v>
      </c>
      <c r="C46743">
        <f>HYPERLINK("https://android.googlesource.com/platform/cts/+/1c61d5eb47077773f9d056aa5c746bd3245c6686", "1c61d5eb47077773f9d056aa5c746bd3245c6686")</f>
        <v>0</v>
      </c>
      <c r="D46743" t="s">
        <v>5396</v>
      </c>
      <c r="E46743" t="s">
        <v>9889</v>
      </c>
      <c r="F46743" t="s">
        <v>14051</v>
      </c>
      <c r="G46743" t="s">
        <v>18050</v>
      </c>
      <c r="H46743" t="s">
        <v>29587</v>
      </c>
    </row>
    <row r="46744" spans="1:8">
      <c r="H46744" t="s">
        <v>29587</v>
      </c>
    </row>
    <row r="46745" spans="1:8">
      <c r="H46745" t="s">
        <v>33483</v>
      </c>
    </row>
    <row r="46746" spans="1:8">
      <c r="H46746" t="s">
        <v>18829</v>
      </c>
    </row>
    <row r="46747" spans="1:8">
      <c r="H46747" t="s">
        <v>19982</v>
      </c>
    </row>
    <row r="46748" spans="1:8">
      <c r="H46748" t="s">
        <v>37211</v>
      </c>
    </row>
    <row r="46749" spans="1:8">
      <c r="H46749" t="s">
        <v>37212</v>
      </c>
    </row>
    <row r="46750" spans="1:8">
      <c r="H46750" t="s">
        <v>37213</v>
      </c>
    </row>
    <row r="46751" spans="1:8">
      <c r="H46751" t="s">
        <v>37214</v>
      </c>
    </row>
    <row r="46752" spans="1:8">
      <c r="H46752" t="s">
        <v>37215</v>
      </c>
    </row>
    <row r="46753" spans="6:8">
      <c r="H46753" t="s">
        <v>37216</v>
      </c>
    </row>
    <row r="46754" spans="6:8">
      <c r="H46754" t="s">
        <v>37217</v>
      </c>
    </row>
    <row r="46755" spans="6:8">
      <c r="H46755" t="s">
        <v>37218</v>
      </c>
    </row>
    <row r="46756" spans="6:8">
      <c r="H46756" t="s">
        <v>37219</v>
      </c>
    </row>
    <row r="46757" spans="6:8">
      <c r="H46757" t="s">
        <v>37220</v>
      </c>
    </row>
    <row r="46758" spans="6:8">
      <c r="H46758" t="s">
        <v>37221</v>
      </c>
    </row>
    <row r="46759" spans="6:8">
      <c r="H46759" t="s">
        <v>37222</v>
      </c>
    </row>
    <row r="46760" spans="6:8">
      <c r="H46760" t="s">
        <v>37223</v>
      </c>
    </row>
    <row r="46761" spans="6:8">
      <c r="H46761" t="s">
        <v>37224</v>
      </c>
    </row>
    <row r="46762" spans="6:8">
      <c r="H46762" t="s">
        <v>25960</v>
      </c>
    </row>
    <row r="46763" spans="6:8">
      <c r="H46763" t="s">
        <v>37225</v>
      </c>
    </row>
    <row r="46764" spans="6:8">
      <c r="H46764" t="s">
        <v>29898</v>
      </c>
    </row>
    <row r="46765" spans="6:8">
      <c r="F46765" t="s">
        <v>14640</v>
      </c>
      <c r="G46765" t="s">
        <v>18086</v>
      </c>
      <c r="H46765" t="s">
        <v>33378</v>
      </c>
    </row>
    <row r="46766" spans="6:8">
      <c r="H46766" t="s">
        <v>33379</v>
      </c>
    </row>
    <row r="46767" spans="6:8">
      <c r="H46767" t="s">
        <v>37226</v>
      </c>
    </row>
    <row r="46768" spans="6:8">
      <c r="H46768" t="s">
        <v>19019</v>
      </c>
    </row>
    <row r="46769" spans="1:8">
      <c r="H46769" t="s">
        <v>20083</v>
      </c>
    </row>
    <row r="46770" spans="1:8">
      <c r="H46770" t="s">
        <v>19538</v>
      </c>
    </row>
    <row r="46771" spans="1:8">
      <c r="H46771" t="s">
        <v>37227</v>
      </c>
    </row>
    <row r="46772" spans="1:8">
      <c r="H46772" t="s">
        <v>37228</v>
      </c>
    </row>
    <row r="46773" spans="1:8">
      <c r="H46773" t="s">
        <v>33203</v>
      </c>
    </row>
    <row r="46774" spans="1:8">
      <c r="H46774" t="s">
        <v>37229</v>
      </c>
    </row>
    <row r="46775" spans="1:8">
      <c r="F46775" t="s">
        <v>14190</v>
      </c>
      <c r="G46775" t="s">
        <v>18169</v>
      </c>
      <c r="H46775" t="s">
        <v>37226</v>
      </c>
    </row>
    <row r="46776" spans="1:8">
      <c r="H46776" t="s">
        <v>37230</v>
      </c>
    </row>
    <row r="46777" spans="1:8">
      <c r="H46777" t="s">
        <v>37231</v>
      </c>
    </row>
    <row r="46778" spans="1:8">
      <c r="H46778" t="s">
        <v>37232</v>
      </c>
    </row>
    <row r="46779" spans="1:8">
      <c r="H46779" t="s">
        <v>20237</v>
      </c>
    </row>
    <row r="46780" spans="1:8">
      <c r="H46780" t="s">
        <v>37233</v>
      </c>
    </row>
    <row r="46781" spans="1:8">
      <c r="A46781" t="s">
        <v>4212</v>
      </c>
      <c r="B46781">
        <f>HYPERLINK("https://android.googlesource.com/platform/cts/+/7d5c088d0a7a1eb4be676819cd3e7c9eeb8c6f66", "7d5c088d0a7a1eb4be676819cd3e7c9eeb8c6f66")</f>
        <v>0</v>
      </c>
      <c r="C46781">
        <f>HYPERLINK("https://android.googlesource.com/platform/cts/+/f5f4547f31021d88c411d133e8660b4f4cdb8fff", "f5f4547f31021d88c411d133e8660b4f4cdb8fff")</f>
        <v>0</v>
      </c>
      <c r="D46781" t="s">
        <v>5396</v>
      </c>
      <c r="E46781" t="s">
        <v>9890</v>
      </c>
      <c r="F46781" t="s">
        <v>14051</v>
      </c>
      <c r="G46781" t="s">
        <v>18050</v>
      </c>
      <c r="H46781" t="s">
        <v>29587</v>
      </c>
    </row>
    <row r="46782" spans="1:8">
      <c r="H46782" t="s">
        <v>29587</v>
      </c>
    </row>
    <row r="46783" spans="1:8">
      <c r="H46783" t="s">
        <v>33483</v>
      </c>
    </row>
    <row r="46784" spans="1:8">
      <c r="H46784" t="s">
        <v>18829</v>
      </c>
    </row>
    <row r="46785" spans="8:8">
      <c r="H46785" t="s">
        <v>19982</v>
      </c>
    </row>
    <row r="46786" spans="8:8">
      <c r="H46786" t="s">
        <v>37211</v>
      </c>
    </row>
    <row r="46787" spans="8:8">
      <c r="H46787" t="s">
        <v>37212</v>
      </c>
    </row>
    <row r="46788" spans="8:8">
      <c r="H46788" t="s">
        <v>37213</v>
      </c>
    </row>
    <row r="46789" spans="8:8">
      <c r="H46789" t="s">
        <v>37214</v>
      </c>
    </row>
    <row r="46790" spans="8:8">
      <c r="H46790" t="s">
        <v>37215</v>
      </c>
    </row>
    <row r="46791" spans="8:8">
      <c r="H46791" t="s">
        <v>37216</v>
      </c>
    </row>
    <row r="46792" spans="8:8">
      <c r="H46792" t="s">
        <v>37217</v>
      </c>
    </row>
    <row r="46793" spans="8:8">
      <c r="H46793" t="s">
        <v>37218</v>
      </c>
    </row>
    <row r="46794" spans="8:8">
      <c r="H46794" t="s">
        <v>37219</v>
      </c>
    </row>
    <row r="46795" spans="8:8">
      <c r="H46795" t="s">
        <v>37220</v>
      </c>
    </row>
    <row r="46796" spans="8:8">
      <c r="H46796" t="s">
        <v>37221</v>
      </c>
    </row>
    <row r="46797" spans="8:8">
      <c r="H46797" t="s">
        <v>37222</v>
      </c>
    </row>
    <row r="46798" spans="8:8">
      <c r="H46798" t="s">
        <v>37223</v>
      </c>
    </row>
    <row r="46799" spans="8:8">
      <c r="H46799" t="s">
        <v>37224</v>
      </c>
    </row>
    <row r="46800" spans="8:8">
      <c r="H46800" t="s">
        <v>25960</v>
      </c>
    </row>
    <row r="46801" spans="6:8">
      <c r="H46801" t="s">
        <v>37225</v>
      </c>
    </row>
    <row r="46802" spans="6:8">
      <c r="H46802" t="s">
        <v>29898</v>
      </c>
    </row>
    <row r="46803" spans="6:8">
      <c r="F46803" t="s">
        <v>14640</v>
      </c>
      <c r="G46803" t="s">
        <v>18086</v>
      </c>
      <c r="H46803" t="s">
        <v>33378</v>
      </c>
    </row>
    <row r="46804" spans="6:8">
      <c r="H46804" t="s">
        <v>33379</v>
      </c>
    </row>
    <row r="46805" spans="6:8">
      <c r="H46805" t="s">
        <v>37226</v>
      </c>
    </row>
    <row r="46806" spans="6:8">
      <c r="H46806" t="s">
        <v>19019</v>
      </c>
    </row>
    <row r="46807" spans="6:8">
      <c r="H46807" t="s">
        <v>20083</v>
      </c>
    </row>
    <row r="46808" spans="6:8">
      <c r="H46808" t="s">
        <v>19538</v>
      </c>
    </row>
    <row r="46809" spans="6:8">
      <c r="H46809" t="s">
        <v>37227</v>
      </c>
    </row>
    <row r="46810" spans="6:8">
      <c r="H46810" t="s">
        <v>37228</v>
      </c>
    </row>
    <row r="46811" spans="6:8">
      <c r="H46811" t="s">
        <v>33203</v>
      </c>
    </row>
    <row r="46812" spans="6:8">
      <c r="H46812" t="s">
        <v>37229</v>
      </c>
    </row>
    <row r="46813" spans="6:8">
      <c r="F46813" t="s">
        <v>14190</v>
      </c>
      <c r="G46813" t="s">
        <v>18169</v>
      </c>
      <c r="H46813" t="s">
        <v>37226</v>
      </c>
    </row>
    <row r="46814" spans="6:8">
      <c r="H46814" t="s">
        <v>37230</v>
      </c>
    </row>
    <row r="46815" spans="6:8">
      <c r="H46815" t="s">
        <v>37231</v>
      </c>
    </row>
    <row r="46816" spans="6:8">
      <c r="H46816" t="s">
        <v>37232</v>
      </c>
    </row>
    <row r="46817" spans="1:8">
      <c r="H46817" t="s">
        <v>20237</v>
      </c>
    </row>
    <row r="46818" spans="1:8">
      <c r="H46818" t="s">
        <v>37233</v>
      </c>
    </row>
    <row r="46819" spans="1:8">
      <c r="A46819" t="s">
        <v>4213</v>
      </c>
      <c r="B46819">
        <f>HYPERLINK("https://android.googlesource.com/platform/cts/+/e61e07e55b7911c66487f86937bf59928c9bbf52", "e61e07e55b7911c66487f86937bf59928c9bbf52")</f>
        <v>0</v>
      </c>
      <c r="C46819">
        <f>HYPERLINK("https://android.googlesource.com/platform/cts/+/07172db3746d097bc55315f211abb9d7195ab48e", "07172db3746d097bc55315f211abb9d7195ab48e")</f>
        <v>0</v>
      </c>
      <c r="D46819" t="s">
        <v>5654</v>
      </c>
      <c r="E46819" t="s">
        <v>9891</v>
      </c>
      <c r="F46819" t="s">
        <v>14583</v>
      </c>
      <c r="G46819" t="s">
        <v>18502</v>
      </c>
      <c r="H46819" t="s">
        <v>37235</v>
      </c>
    </row>
    <row r="46820" spans="1:8">
      <c r="H46820" t="s">
        <v>37236</v>
      </c>
    </row>
    <row r="46821" spans="1:8">
      <c r="H46821" t="s">
        <v>37237</v>
      </c>
    </row>
    <row r="46822" spans="1:8">
      <c r="H46822" t="s">
        <v>37238</v>
      </c>
    </row>
    <row r="46823" spans="1:8">
      <c r="H46823" t="s">
        <v>37239</v>
      </c>
    </row>
    <row r="46824" spans="1:8">
      <c r="H46824" t="s">
        <v>37240</v>
      </c>
    </row>
    <row r="46825" spans="1:8">
      <c r="A46825" t="s">
        <v>4214</v>
      </c>
      <c r="B46825">
        <f>HYPERLINK("https://android.googlesource.com/platform/cts/+/98cd83471ebb11791a8b10a74d9c3839b31a8dac", "98cd83471ebb11791a8b10a74d9c3839b31a8dac")</f>
        <v>0</v>
      </c>
      <c r="C46825">
        <f>HYPERLINK("https://android.googlesource.com/platform/cts/+/66fdb28b9da4e6bc0841ee3b30abe4f583d4e209", "66fdb28b9da4e6bc0841ee3b30abe4f583d4e209")</f>
        <v>0</v>
      </c>
      <c r="D46825" t="s">
        <v>5541</v>
      </c>
      <c r="E46825" t="s">
        <v>9892</v>
      </c>
      <c r="F46825" t="s">
        <v>14625</v>
      </c>
      <c r="G46825" t="s">
        <v>18536</v>
      </c>
      <c r="H46825" t="s">
        <v>37241</v>
      </c>
    </row>
    <row r="46826" spans="1:8">
      <c r="A46826" t="s">
        <v>4215</v>
      </c>
      <c r="B46826">
        <f>HYPERLINK("https://android.googlesource.com/platform/cts/+/99d1255bd10b24fa7bf3628d3f80540eab963f93", "99d1255bd10b24fa7bf3628d3f80540eab963f93")</f>
        <v>0</v>
      </c>
      <c r="C46826">
        <f>HYPERLINK("https://android.googlesource.com/platform/cts/+/ee6f4d3e44916542555311681c6716c8d1887550", "ee6f4d3e44916542555311681c6716c8d1887550")</f>
        <v>0</v>
      </c>
      <c r="D46826" t="s">
        <v>5649</v>
      </c>
      <c r="E46826" t="s">
        <v>9893</v>
      </c>
      <c r="F46826" t="s">
        <v>12629</v>
      </c>
      <c r="G46826" t="s">
        <v>16838</v>
      </c>
      <c r="H46826" t="s">
        <v>37242</v>
      </c>
    </row>
    <row r="46827" spans="1:8">
      <c r="H46827" t="s">
        <v>37243</v>
      </c>
    </row>
    <row r="46828" spans="1:8">
      <c r="A46828" t="s">
        <v>4216</v>
      </c>
      <c r="B46828">
        <f>HYPERLINK("https://android.googlesource.com/platform/cts/+/9d1a22116b0fe7b3ecab3292e0178cdfa5e45e21", "9d1a22116b0fe7b3ecab3292e0178cdfa5e45e21")</f>
        <v>0</v>
      </c>
      <c r="C46828">
        <f>HYPERLINK("https://android.googlesource.com/platform/cts/+/c81ff0cd772ecd93d5f719bdc2d165354b4d0f9d", "c81ff0cd772ecd93d5f719bdc2d165354b4d0f9d")</f>
        <v>0</v>
      </c>
      <c r="D46828" t="s">
        <v>5512</v>
      </c>
      <c r="E46828" t="s">
        <v>9894</v>
      </c>
      <c r="F46828" t="s">
        <v>13990</v>
      </c>
      <c r="G46828" t="s">
        <v>18009</v>
      </c>
      <c r="H46828" t="s">
        <v>37244</v>
      </c>
    </row>
    <row r="46829" spans="1:8">
      <c r="A46829" t="s">
        <v>4217</v>
      </c>
      <c r="B46829">
        <f>HYPERLINK("https://android.googlesource.com/platform/cts/+/42e27bb02992e4867d089dd2c53ceba09b11123b", "42e27bb02992e4867d089dd2c53ceba09b11123b")</f>
        <v>0</v>
      </c>
      <c r="C46829">
        <f>HYPERLINK("https://android.googlesource.com/platform/cts/+/8a33d4a865f2e44faaa8ae69d471356a4f88d948", "8a33d4a865f2e44faaa8ae69d471356a4f88d948")</f>
        <v>0</v>
      </c>
      <c r="D46829" t="s">
        <v>5512</v>
      </c>
      <c r="E46829" t="s">
        <v>9895</v>
      </c>
      <c r="F46829" t="s">
        <v>13990</v>
      </c>
      <c r="G46829" t="s">
        <v>18009</v>
      </c>
      <c r="H46829" t="s">
        <v>37244</v>
      </c>
    </row>
    <row r="46830" spans="1:8">
      <c r="A46830" t="s">
        <v>4218</v>
      </c>
      <c r="B46830">
        <f>HYPERLINK("https://android.googlesource.com/platform/cts/+/faf808e57b15bee8ad8fa360a64cdcd8fb698aa3", "faf808e57b15bee8ad8fa360a64cdcd8fb698aa3")</f>
        <v>0</v>
      </c>
      <c r="C46830">
        <f>HYPERLINK("https://android.googlesource.com/platform/cts/+/0c44a9950f9b243ab36ed6aeb7caf3cc2ca3d3e3", "0c44a9950f9b243ab36ed6aeb7caf3cc2ca3d3e3")</f>
        <v>0</v>
      </c>
      <c r="D46830" t="s">
        <v>5215</v>
      </c>
      <c r="E46830" t="s">
        <v>9896</v>
      </c>
      <c r="F46830" t="s">
        <v>12846</v>
      </c>
      <c r="G46830" t="s">
        <v>17017</v>
      </c>
      <c r="H46830" t="s">
        <v>37245</v>
      </c>
    </row>
    <row r="46831" spans="1:8">
      <c r="H46831" t="s">
        <v>37246</v>
      </c>
    </row>
    <row r="46832" spans="1:8">
      <c r="H46832" t="s">
        <v>37247</v>
      </c>
    </row>
    <row r="46833" spans="1:8">
      <c r="A46833" t="s">
        <v>4219</v>
      </c>
      <c r="B46833">
        <f>HYPERLINK("https://android.googlesource.com/platform/cts/+/9369eb7fa1a1c2b4a837ee88213de1b9448774c3", "9369eb7fa1a1c2b4a837ee88213de1b9448774c3")</f>
        <v>0</v>
      </c>
      <c r="C46833">
        <f>HYPERLINK("https://android.googlesource.com/platform/cts/+/a215978d84113147c4fd9b4f87533bb192a3dec2", "a215978d84113147c4fd9b4f87533bb192a3dec2")</f>
        <v>0</v>
      </c>
      <c r="D46833" t="s">
        <v>5512</v>
      </c>
      <c r="E46833" t="s">
        <v>9897</v>
      </c>
      <c r="F46833" t="s">
        <v>13990</v>
      </c>
      <c r="G46833" t="s">
        <v>18009</v>
      </c>
      <c r="H46833" t="s">
        <v>37244</v>
      </c>
    </row>
    <row r="46834" spans="1:8">
      <c r="A46834" t="s">
        <v>4220</v>
      </c>
      <c r="B46834">
        <f>HYPERLINK("https://android.googlesource.com/platform/cts/+/f280bb0d2d8babbe7951eab386f57fce8e605d75", "f280bb0d2d8babbe7951eab386f57fce8e605d75")</f>
        <v>0</v>
      </c>
      <c r="C46834">
        <f>HYPERLINK("https://android.googlesource.com/platform/cts/+/c81ff0cd772ecd93d5f719bdc2d165354b4d0f9d", "c81ff0cd772ecd93d5f719bdc2d165354b4d0f9d")</f>
        <v>0</v>
      </c>
      <c r="D46834" t="s">
        <v>5512</v>
      </c>
      <c r="E46834" t="s">
        <v>9898</v>
      </c>
      <c r="F46834" t="s">
        <v>13990</v>
      </c>
      <c r="G46834" t="s">
        <v>18009</v>
      </c>
      <c r="H46834" t="s">
        <v>37248</v>
      </c>
    </row>
    <row r="46835" spans="1:8">
      <c r="A46835" t="s">
        <v>4221</v>
      </c>
      <c r="B46835">
        <f>HYPERLINK("https://android.googlesource.com/platform/cts/+/24d7dc2ce2c94bc97a3dd3078709120a11c8a993", "24d7dc2ce2c94bc97a3dd3078709120a11c8a993")</f>
        <v>0</v>
      </c>
      <c r="C46835">
        <f>HYPERLINK("https://android.googlesource.com/platform/cts/+/a215978d84113147c4fd9b4f87533bb192a3dec2", "a215978d84113147c4fd9b4f87533bb192a3dec2")</f>
        <v>0</v>
      </c>
      <c r="D46835" t="s">
        <v>5512</v>
      </c>
      <c r="E46835" t="s">
        <v>9898</v>
      </c>
      <c r="F46835" t="s">
        <v>13990</v>
      </c>
      <c r="G46835" t="s">
        <v>18009</v>
      </c>
      <c r="H46835" t="s">
        <v>37248</v>
      </c>
    </row>
    <row r="46836" spans="1:8">
      <c r="A46836" t="s">
        <v>4222</v>
      </c>
      <c r="B46836">
        <f>HYPERLINK("https://android.googlesource.com/platform/cts/+/b8422223e6f72f5a3fc62f58f94b12f428dc8156", "b8422223e6f72f5a3fc62f58f94b12f428dc8156")</f>
        <v>0</v>
      </c>
      <c r="C46836">
        <f>HYPERLINK("https://android.googlesource.com/platform/cts/+/247d317952f8604e64046a342af2406b8024eee0", "247d317952f8604e64046a342af2406b8024eee0")</f>
        <v>0</v>
      </c>
      <c r="D46836" t="s">
        <v>5512</v>
      </c>
      <c r="E46836" t="s">
        <v>9899</v>
      </c>
      <c r="F46836" t="s">
        <v>13990</v>
      </c>
      <c r="G46836" t="s">
        <v>18009</v>
      </c>
      <c r="H46836" t="s">
        <v>37248</v>
      </c>
    </row>
    <row r="46837" spans="1:8">
      <c r="A46837" t="s">
        <v>4223</v>
      </c>
      <c r="B46837">
        <f>HYPERLINK("https://android.googlesource.com/platform/cts/+/ad6d66c2f6cbcb551c67f9d497f7520a84b42d95", "ad6d66c2f6cbcb551c67f9d497f7520a84b42d95")</f>
        <v>0</v>
      </c>
      <c r="C46837">
        <f>HYPERLINK("https://android.googlesource.com/platform/cts/+/dcf0f79fcca3fdf2c58e19947073e0a19dabc7dd", "dcf0f79fcca3fdf2c58e19947073e0a19dabc7dd")</f>
        <v>0</v>
      </c>
      <c r="D46837" t="s">
        <v>5396</v>
      </c>
      <c r="E46837" t="s">
        <v>9890</v>
      </c>
      <c r="F46837" t="s">
        <v>14051</v>
      </c>
      <c r="G46837" t="s">
        <v>18050</v>
      </c>
      <c r="H46837" t="s">
        <v>29587</v>
      </c>
    </row>
    <row r="46838" spans="1:8">
      <c r="H46838" t="s">
        <v>29587</v>
      </c>
    </row>
    <row r="46839" spans="1:8">
      <c r="H46839" t="s">
        <v>33483</v>
      </c>
    </row>
    <row r="46840" spans="1:8">
      <c r="H46840" t="s">
        <v>18829</v>
      </c>
    </row>
    <row r="46841" spans="1:8">
      <c r="H46841" t="s">
        <v>19982</v>
      </c>
    </row>
    <row r="46842" spans="1:8">
      <c r="H46842" t="s">
        <v>37211</v>
      </c>
    </row>
    <row r="46843" spans="1:8">
      <c r="H46843" t="s">
        <v>37212</v>
      </c>
    </row>
    <row r="46844" spans="1:8">
      <c r="H46844" t="s">
        <v>37213</v>
      </c>
    </row>
    <row r="46845" spans="1:8">
      <c r="H46845" t="s">
        <v>37214</v>
      </c>
    </row>
    <row r="46846" spans="1:8">
      <c r="H46846" t="s">
        <v>37215</v>
      </c>
    </row>
    <row r="46847" spans="1:8">
      <c r="H46847" t="s">
        <v>37216</v>
      </c>
    </row>
    <row r="46848" spans="1:8">
      <c r="H46848" t="s">
        <v>37217</v>
      </c>
    </row>
    <row r="46849" spans="6:8">
      <c r="H46849" t="s">
        <v>37218</v>
      </c>
    </row>
    <row r="46850" spans="6:8">
      <c r="H46850" t="s">
        <v>37219</v>
      </c>
    </row>
    <row r="46851" spans="6:8">
      <c r="H46851" t="s">
        <v>37220</v>
      </c>
    </row>
    <row r="46852" spans="6:8">
      <c r="H46852" t="s">
        <v>37221</v>
      </c>
    </row>
    <row r="46853" spans="6:8">
      <c r="H46853" t="s">
        <v>37222</v>
      </c>
    </row>
    <row r="46854" spans="6:8">
      <c r="H46854" t="s">
        <v>37223</v>
      </c>
    </row>
    <row r="46855" spans="6:8">
      <c r="H46855" t="s">
        <v>37224</v>
      </c>
    </row>
    <row r="46856" spans="6:8">
      <c r="H46856" t="s">
        <v>25960</v>
      </c>
    </row>
    <row r="46857" spans="6:8">
      <c r="H46857" t="s">
        <v>37225</v>
      </c>
    </row>
    <row r="46858" spans="6:8">
      <c r="H46858" t="s">
        <v>29898</v>
      </c>
    </row>
    <row r="46859" spans="6:8">
      <c r="F46859" t="s">
        <v>14640</v>
      </c>
      <c r="G46859" t="s">
        <v>18086</v>
      </c>
      <c r="H46859" t="s">
        <v>33378</v>
      </c>
    </row>
    <row r="46860" spans="6:8">
      <c r="H46860" t="s">
        <v>33379</v>
      </c>
    </row>
    <row r="46861" spans="6:8">
      <c r="H46861" t="s">
        <v>37226</v>
      </c>
    </row>
    <row r="46862" spans="6:8">
      <c r="H46862" t="s">
        <v>19019</v>
      </c>
    </row>
    <row r="46863" spans="6:8">
      <c r="H46863" t="s">
        <v>20083</v>
      </c>
    </row>
    <row r="46864" spans="6:8">
      <c r="H46864" t="s">
        <v>19538</v>
      </c>
    </row>
    <row r="46865" spans="1:8">
      <c r="H46865" t="s">
        <v>37227</v>
      </c>
    </row>
    <row r="46866" spans="1:8">
      <c r="H46866" t="s">
        <v>37228</v>
      </c>
    </row>
    <row r="46867" spans="1:8">
      <c r="H46867" t="s">
        <v>33203</v>
      </c>
    </row>
    <row r="46868" spans="1:8">
      <c r="H46868" t="s">
        <v>37229</v>
      </c>
    </row>
    <row r="46869" spans="1:8">
      <c r="F46869" t="s">
        <v>14190</v>
      </c>
      <c r="G46869" t="s">
        <v>18169</v>
      </c>
      <c r="H46869" t="s">
        <v>37226</v>
      </c>
    </row>
    <row r="46870" spans="1:8">
      <c r="H46870" t="s">
        <v>37230</v>
      </c>
    </row>
    <row r="46871" spans="1:8">
      <c r="H46871" t="s">
        <v>37231</v>
      </c>
    </row>
    <row r="46872" spans="1:8">
      <c r="H46872" t="s">
        <v>37232</v>
      </c>
    </row>
    <row r="46873" spans="1:8">
      <c r="H46873" t="s">
        <v>20237</v>
      </c>
    </row>
    <row r="46874" spans="1:8">
      <c r="H46874" t="s">
        <v>37233</v>
      </c>
    </row>
    <row r="46875" spans="1:8">
      <c r="A46875" t="s">
        <v>4224</v>
      </c>
      <c r="B46875">
        <f>HYPERLINK("https://android.googlesource.com/platform/cts/+/4559a26f1cebd203ac2d509a1c7b4f694256b332", "4559a26f1cebd203ac2d509a1c7b4f694256b332")</f>
        <v>0</v>
      </c>
      <c r="C46875">
        <f>HYPERLINK("https://android.googlesource.com/platform/cts/+/dad33f1bc67fa8cde11c210bc928392216f9fb05", "dad33f1bc67fa8cde11c210bc928392216f9fb05")</f>
        <v>0</v>
      </c>
      <c r="D46875" t="s">
        <v>5288</v>
      </c>
      <c r="E46875" t="s">
        <v>9900</v>
      </c>
      <c r="F46875" t="s">
        <v>14642</v>
      </c>
      <c r="G46875" t="s">
        <v>16934</v>
      </c>
      <c r="H46875" t="s">
        <v>18829</v>
      </c>
    </row>
    <row r="46876" spans="1:8">
      <c r="H46876" t="s">
        <v>37249</v>
      </c>
    </row>
    <row r="46877" spans="1:8">
      <c r="H46877" t="s">
        <v>37250</v>
      </c>
    </row>
    <row r="46878" spans="1:8">
      <c r="F46878" t="s">
        <v>12696</v>
      </c>
      <c r="G46878" t="s">
        <v>16900</v>
      </c>
      <c r="H46878" t="s">
        <v>37251</v>
      </c>
    </row>
    <row r="46879" spans="1:8">
      <c r="A46879" t="s">
        <v>4225</v>
      </c>
      <c r="B46879">
        <f>HYPERLINK("https://android.googlesource.com/platform/cts/+/7c74c746ffa289969da0c9aac585ba4daf50e1c6", "7c74c746ffa289969da0c9aac585ba4daf50e1c6")</f>
        <v>0</v>
      </c>
      <c r="C46879">
        <f>HYPERLINK("https://android.googlesource.com/platform/cts/+/958375f8281c1e812c8bd729cc6ead5af0db953e", "958375f8281c1e812c8bd729cc6ead5af0db953e")</f>
        <v>0</v>
      </c>
      <c r="D46879" t="s">
        <v>5215</v>
      </c>
      <c r="E46879" t="s">
        <v>9901</v>
      </c>
      <c r="F46879" t="s">
        <v>12846</v>
      </c>
      <c r="G46879" t="s">
        <v>17017</v>
      </c>
      <c r="H46879" t="s">
        <v>37245</v>
      </c>
    </row>
    <row r="46880" spans="1:8">
      <c r="H46880" t="s">
        <v>37246</v>
      </c>
    </row>
    <row r="46881" spans="1:8">
      <c r="H46881" t="s">
        <v>37247</v>
      </c>
    </row>
    <row r="46882" spans="1:8">
      <c r="A46882" t="s">
        <v>4226</v>
      </c>
      <c r="B46882">
        <f>HYPERLINK("https://android.googlesource.com/platform/cts/+/97893f2d88790dfdf38bc8368ed7f3a2c57f6784", "97893f2d88790dfdf38bc8368ed7f3a2c57f6784")</f>
        <v>0</v>
      </c>
      <c r="C46882">
        <f>HYPERLINK("https://android.googlesource.com/platform/cts/+/8a33d4a865f2e44faaa8ae69d471356a4f88d948", "8a33d4a865f2e44faaa8ae69d471356a4f88d948")</f>
        <v>0</v>
      </c>
      <c r="D46882" t="s">
        <v>5512</v>
      </c>
      <c r="E46882" t="s">
        <v>9898</v>
      </c>
      <c r="F46882" t="s">
        <v>13990</v>
      </c>
      <c r="G46882" t="s">
        <v>18009</v>
      </c>
      <c r="H46882" t="s">
        <v>37248</v>
      </c>
    </row>
    <row r="46883" spans="1:8">
      <c r="A46883" t="s">
        <v>4227</v>
      </c>
      <c r="B46883">
        <f>HYPERLINK("https://android.googlesource.com/platform/cts/+/559e728eceb473d530c7210f09b3016e3350cfb9", "559e728eceb473d530c7210f09b3016e3350cfb9")</f>
        <v>0</v>
      </c>
      <c r="C46883">
        <f>HYPERLINK("https://android.googlesource.com/platform/cts/+/49714aca592ebd6e22a1ae41ad45848719806ac3", "49714aca592ebd6e22a1ae41ad45848719806ac3")</f>
        <v>0</v>
      </c>
      <c r="D46883" t="s">
        <v>5512</v>
      </c>
      <c r="E46883" t="s">
        <v>9902</v>
      </c>
      <c r="F46883" t="s">
        <v>14643</v>
      </c>
      <c r="G46883" t="s">
        <v>18549</v>
      </c>
      <c r="H46883" t="s">
        <v>37252</v>
      </c>
    </row>
    <row r="46884" spans="1:8">
      <c r="H46884" t="s">
        <v>26273</v>
      </c>
    </row>
    <row r="46885" spans="1:8">
      <c r="A46885" t="s">
        <v>4228</v>
      </c>
      <c r="B46885">
        <f>HYPERLINK("https://android.googlesource.com/platform/cts/+/7abaa22e88229b0aac4d640336825b58415526df", "7abaa22e88229b0aac4d640336825b58415526df")</f>
        <v>0</v>
      </c>
      <c r="C46885">
        <f>HYPERLINK("https://android.googlesource.com/platform/cts/+/c9062e9a1df1a014195b2b5c092899cddf588372", "c9062e9a1df1a014195b2b5c092899cddf588372")</f>
        <v>0</v>
      </c>
      <c r="D46885" t="s">
        <v>5512</v>
      </c>
      <c r="E46885" t="s">
        <v>9903</v>
      </c>
      <c r="F46885" t="s">
        <v>14643</v>
      </c>
      <c r="G46885" t="s">
        <v>18549</v>
      </c>
      <c r="H46885" t="s">
        <v>37252</v>
      </c>
    </row>
    <row r="46886" spans="1:8">
      <c r="H46886" t="s">
        <v>26273</v>
      </c>
    </row>
    <row r="46887" spans="1:8">
      <c r="A46887" t="s">
        <v>4229</v>
      </c>
      <c r="B46887">
        <f>HYPERLINK("https://android.googlesource.com/platform/cts/+/ad6f866d5864c72fca38f46602ddbb9bf39d50e2", "ad6f866d5864c72fca38f46602ddbb9bf39d50e2")</f>
        <v>0</v>
      </c>
      <c r="C46887">
        <f>HYPERLINK("https://android.googlesource.com/platform/cts/+/bcd0e5cbaa242b9459a7c88867ff2e138597271d", "bcd0e5cbaa242b9459a7c88867ff2e138597271d")</f>
        <v>0</v>
      </c>
      <c r="D46887" t="s">
        <v>5366</v>
      </c>
      <c r="E46887" t="s">
        <v>9904</v>
      </c>
      <c r="F46887" t="s">
        <v>13753</v>
      </c>
      <c r="G46887" t="s">
        <v>17813</v>
      </c>
      <c r="H46887" t="s">
        <v>36832</v>
      </c>
    </row>
    <row r="46888" spans="1:8">
      <c r="H46888" t="s">
        <v>36833</v>
      </c>
    </row>
    <row r="46889" spans="1:8">
      <c r="H46889" t="s">
        <v>36834</v>
      </c>
    </row>
    <row r="46890" spans="1:8">
      <c r="H46890" t="s">
        <v>36835</v>
      </c>
    </row>
    <row r="46891" spans="1:8">
      <c r="F46891" t="s">
        <v>14252</v>
      </c>
      <c r="G46891" t="s">
        <v>18217</v>
      </c>
      <c r="H46891" t="s">
        <v>36836</v>
      </c>
    </row>
    <row r="46892" spans="1:8">
      <c r="H46892" t="s">
        <v>36837</v>
      </c>
    </row>
    <row r="46893" spans="1:8">
      <c r="H46893" t="s">
        <v>18829</v>
      </c>
    </row>
    <row r="46894" spans="1:8">
      <c r="H46894" t="s">
        <v>18863</v>
      </c>
    </row>
    <row r="46895" spans="1:8">
      <c r="H46895" t="s">
        <v>36838</v>
      </c>
    </row>
    <row r="46896" spans="1:8">
      <c r="H46896" t="s">
        <v>36839</v>
      </c>
    </row>
    <row r="46897" spans="1:8">
      <c r="A46897" t="s">
        <v>4230</v>
      </c>
      <c r="B46897">
        <f>HYPERLINK("https://android.googlesource.com/platform/cts/+/9d1204bccf203522b4d7ad656f36542bd83768d5", "9d1204bccf203522b4d7ad656f36542bd83768d5")</f>
        <v>0</v>
      </c>
      <c r="C46897">
        <f>HYPERLINK("https://android.googlesource.com/platform/cts/+/4acf91dfd0b761476b108c72e0c7f2fad5880479", "4acf91dfd0b761476b108c72e0c7f2fad5880479")</f>
        <v>0</v>
      </c>
      <c r="D46897" t="s">
        <v>5288</v>
      </c>
      <c r="E46897" t="s">
        <v>9905</v>
      </c>
      <c r="F46897" t="s">
        <v>14642</v>
      </c>
      <c r="G46897" t="s">
        <v>16934</v>
      </c>
      <c r="H46897" t="s">
        <v>18829</v>
      </c>
    </row>
    <row r="46898" spans="1:8">
      <c r="H46898" t="s">
        <v>37249</v>
      </c>
    </row>
    <row r="46899" spans="1:8">
      <c r="H46899" t="s">
        <v>37250</v>
      </c>
    </row>
    <row r="46900" spans="1:8">
      <c r="F46900" t="s">
        <v>12696</v>
      </c>
      <c r="G46900" t="s">
        <v>16900</v>
      </c>
      <c r="H46900" t="s">
        <v>37251</v>
      </c>
    </row>
    <row r="46901" spans="1:8">
      <c r="A46901" t="s">
        <v>4231</v>
      </c>
      <c r="B46901">
        <f>HYPERLINK("https://android.googlesource.com/platform/cts/+/519db55088c7ef993a9e86e1d906637f7bcdc7b9", "519db55088c7ef993a9e86e1d906637f7bcdc7b9")</f>
        <v>0</v>
      </c>
      <c r="C46901">
        <f>HYPERLINK("https://android.googlesource.com/platform/cts/+/e3116af2351c9b70b9cebadbd79fe91a5fdaa072", "e3116af2351c9b70b9cebadbd79fe91a5fdaa072")</f>
        <v>0</v>
      </c>
      <c r="D46901" t="s">
        <v>5562</v>
      </c>
      <c r="E46901" t="s">
        <v>9906</v>
      </c>
      <c r="F46901" t="s">
        <v>14644</v>
      </c>
      <c r="G46901" t="s">
        <v>18550</v>
      </c>
      <c r="H46901" t="s">
        <v>34249</v>
      </c>
    </row>
    <row r="46902" spans="1:8">
      <c r="H46902" t="s">
        <v>34250</v>
      </c>
    </row>
    <row r="46903" spans="1:8">
      <c r="H46903" t="s">
        <v>37253</v>
      </c>
    </row>
    <row r="46904" spans="1:8">
      <c r="A46904" t="s">
        <v>4232</v>
      </c>
      <c r="B46904">
        <f>HYPERLINK("https://android.googlesource.com/platform/cts/+/18293fdf90598703daf05fb0eee0083df7ddf001", "18293fdf90598703daf05fb0eee0083df7ddf001")</f>
        <v>0</v>
      </c>
      <c r="C46904">
        <f>HYPERLINK("https://android.googlesource.com/platform/cts/+/d447da75c1073b2e8397c4a60e5b89a84c17285d", "d447da75c1073b2e8397c4a60e5b89a84c17285d")</f>
        <v>0</v>
      </c>
      <c r="D46904" t="s">
        <v>5134</v>
      </c>
      <c r="E46904" t="s">
        <v>9907</v>
      </c>
      <c r="F46904" t="s">
        <v>12629</v>
      </c>
      <c r="G46904" t="s">
        <v>16838</v>
      </c>
      <c r="H46904" t="s">
        <v>37242</v>
      </c>
    </row>
    <row r="46905" spans="1:8">
      <c r="H46905" t="s">
        <v>37243</v>
      </c>
    </row>
    <row r="46906" spans="1:8">
      <c r="A46906" t="s">
        <v>4233</v>
      </c>
      <c r="B46906">
        <f>HYPERLINK("https://android.googlesource.com/platform/cts/+/bfc29adefdf45c0e53eae6ad6796fdb9ed5b26c3", "bfc29adefdf45c0e53eae6ad6796fdb9ed5b26c3")</f>
        <v>0</v>
      </c>
      <c r="C46906">
        <f>HYPERLINK("https://android.googlesource.com/platform/cts/+/07fba0c26d16a417e2f27f54e3e9c90a723bdf22", "07fba0c26d16a417e2f27f54e3e9c90a723bdf22")</f>
        <v>0</v>
      </c>
      <c r="D46906" t="s">
        <v>5452</v>
      </c>
      <c r="E46906" t="s">
        <v>9908</v>
      </c>
      <c r="F46906" t="s">
        <v>14645</v>
      </c>
      <c r="G46906" t="s">
        <v>18551</v>
      </c>
      <c r="H46906" t="s">
        <v>37254</v>
      </c>
    </row>
    <row r="46907" spans="1:8">
      <c r="A46907" t="s">
        <v>4234</v>
      </c>
      <c r="B46907">
        <f>HYPERLINK("https://android.googlesource.com/platform/cts/+/2d7f113734d6cdd29c9bca709f1fa5b4ccca30a2", "2d7f113734d6cdd29c9bca709f1fa5b4ccca30a2")</f>
        <v>0</v>
      </c>
      <c r="C46907">
        <f>HYPERLINK("https://android.googlesource.com/platform/cts/+/09dee81f2de9880f20fe856899a8cf3ad1bc15a4", "09dee81f2de9880f20fe856899a8cf3ad1bc15a4")</f>
        <v>0</v>
      </c>
      <c r="D46907" t="s">
        <v>5215</v>
      </c>
      <c r="E46907" t="s">
        <v>9901</v>
      </c>
      <c r="F46907" t="s">
        <v>12846</v>
      </c>
      <c r="G46907" t="s">
        <v>17017</v>
      </c>
      <c r="H46907" t="s">
        <v>37245</v>
      </c>
    </row>
    <row r="46908" spans="1:8">
      <c r="H46908" t="s">
        <v>37246</v>
      </c>
    </row>
    <row r="46909" spans="1:8">
      <c r="H46909" t="s">
        <v>37247</v>
      </c>
    </row>
    <row r="46910" spans="1:8">
      <c r="A46910" t="s">
        <v>4235</v>
      </c>
      <c r="B46910">
        <f>HYPERLINK("https://android.googlesource.com/platform/cts/+/efb866daf8dedd01ddd5738f96d74cb1ed79b0fe", "efb866daf8dedd01ddd5738f96d74cb1ed79b0fe")</f>
        <v>0</v>
      </c>
      <c r="C46910">
        <f>HYPERLINK("https://android.googlesource.com/platform/cts/+/e3a4737b6971db40ebc94fc669c8fb88ee3adbf9", "e3a4737b6971db40ebc94fc669c8fb88ee3adbf9")</f>
        <v>0</v>
      </c>
      <c r="D46910" t="s">
        <v>5624</v>
      </c>
      <c r="E46910" t="s">
        <v>9909</v>
      </c>
      <c r="F46910" t="s">
        <v>12176</v>
      </c>
      <c r="G46910" t="s">
        <v>16415</v>
      </c>
      <c r="H46910" t="s">
        <v>36824</v>
      </c>
    </row>
    <row r="46911" spans="1:8">
      <c r="H46911" t="s">
        <v>36825</v>
      </c>
    </row>
    <row r="46912" spans="1:8">
      <c r="H46912" t="s">
        <v>36826</v>
      </c>
    </row>
    <row r="46913" spans="1:8">
      <c r="H46913" t="s">
        <v>36827</v>
      </c>
    </row>
    <row r="46914" spans="1:8">
      <c r="H46914" t="s">
        <v>36828</v>
      </c>
    </row>
    <row r="46915" spans="1:8">
      <c r="H46915" t="s">
        <v>36829</v>
      </c>
    </row>
    <row r="46916" spans="1:8">
      <c r="H46916" t="s">
        <v>36830</v>
      </c>
    </row>
    <row r="46917" spans="1:8">
      <c r="H46917" t="s">
        <v>36831</v>
      </c>
    </row>
    <row r="46918" spans="1:8">
      <c r="H46918" t="s">
        <v>37255</v>
      </c>
    </row>
    <row r="46919" spans="1:8">
      <c r="H46919" t="s">
        <v>37256</v>
      </c>
    </row>
    <row r="46920" spans="1:8">
      <c r="H46920" t="s">
        <v>37257</v>
      </c>
    </row>
    <row r="46921" spans="1:8">
      <c r="H46921" t="s">
        <v>37258</v>
      </c>
    </row>
    <row r="46922" spans="1:8">
      <c r="H46922" t="s">
        <v>37259</v>
      </c>
    </row>
    <row r="46923" spans="1:8">
      <c r="H46923" t="s">
        <v>37260</v>
      </c>
    </row>
    <row r="46924" spans="1:8">
      <c r="H46924" t="s">
        <v>37261</v>
      </c>
    </row>
    <row r="46925" spans="1:8">
      <c r="H46925" t="s">
        <v>37262</v>
      </c>
    </row>
    <row r="46926" spans="1:8">
      <c r="H46926" t="s">
        <v>37263</v>
      </c>
    </row>
    <row r="46927" spans="1:8">
      <c r="A46927" t="s">
        <v>4236</v>
      </c>
      <c r="B46927">
        <f>HYPERLINK("https://android.googlesource.com/platform/cts/+/e7e9836fe6538337de4030fd65924158da6e6e62", "e7e9836fe6538337de4030fd65924158da6e6e62")</f>
        <v>0</v>
      </c>
      <c r="C46927">
        <f>HYPERLINK("https://android.googlesource.com/platform/cts/+/341404f5c9cb1b87cc39e9d4b826310d8abc5cde", "341404f5c9cb1b87cc39e9d4b826310d8abc5cde")</f>
        <v>0</v>
      </c>
      <c r="D46927" t="s">
        <v>5626</v>
      </c>
      <c r="E46927" t="s">
        <v>9910</v>
      </c>
      <c r="F46927" t="s">
        <v>14646</v>
      </c>
      <c r="G46927" t="s">
        <v>18419</v>
      </c>
      <c r="H46927" t="s">
        <v>37264</v>
      </c>
    </row>
    <row r="46928" spans="1:8">
      <c r="H46928" t="s">
        <v>36186</v>
      </c>
    </row>
    <row r="46929" spans="1:8">
      <c r="A46929" t="s">
        <v>4237</v>
      </c>
      <c r="B46929">
        <f>HYPERLINK("https://android.googlesource.com/platform/cts/+/9bf2f6a87f59d9ce75edf3b81349772e82d37a13", "9bf2f6a87f59d9ce75edf3b81349772e82d37a13")</f>
        <v>0</v>
      </c>
      <c r="C46929">
        <f>HYPERLINK("https://android.googlesource.com/platform/cts/+/5a0e697f7dac86c2be46baf79293d8343690bf06", "5a0e697f7dac86c2be46baf79293d8343690bf06")</f>
        <v>0</v>
      </c>
      <c r="D46929" t="s">
        <v>5668</v>
      </c>
      <c r="E46929" t="s">
        <v>9911</v>
      </c>
      <c r="F46929" t="s">
        <v>14647</v>
      </c>
      <c r="G46929" t="s">
        <v>18552</v>
      </c>
      <c r="H46929" t="s">
        <v>20126</v>
      </c>
    </row>
    <row r="46930" spans="1:8">
      <c r="A46930" t="s">
        <v>4238</v>
      </c>
      <c r="B46930">
        <f>HYPERLINK("https://android.googlesource.com/platform/cts/+/aabd92ec8ad799a8d095e438d3db45b5282abbef", "aabd92ec8ad799a8d095e438d3db45b5282abbef")</f>
        <v>0</v>
      </c>
      <c r="C46930">
        <f>HYPERLINK("https://android.googlesource.com/platform/cts/+/a810711fa65845c9668d7e8353dafa9a8376dd66", "a810711fa65845c9668d7e8353dafa9a8376dd66")</f>
        <v>0</v>
      </c>
      <c r="D46930" t="s">
        <v>5407</v>
      </c>
      <c r="E46930" t="s">
        <v>9912</v>
      </c>
      <c r="F46930" t="s">
        <v>12772</v>
      </c>
      <c r="G46930" t="s">
        <v>16543</v>
      </c>
      <c r="H46930" t="s">
        <v>37265</v>
      </c>
    </row>
    <row r="46931" spans="1:8">
      <c r="H46931" t="s">
        <v>37266</v>
      </c>
    </row>
    <row r="46932" spans="1:8">
      <c r="A46932" t="s">
        <v>4239</v>
      </c>
      <c r="B46932">
        <f>HYPERLINK("https://android.googlesource.com/platform/cts/+/1fc2ea00f06deaee7c0c2081edc1950d9c352cba", "1fc2ea00f06deaee7c0c2081edc1950d9c352cba")</f>
        <v>0</v>
      </c>
      <c r="C46932">
        <f>HYPERLINK("https://android.googlesource.com/platform/cts/+/127eae47a7b9470a550ac958cb68734c41beda42", "127eae47a7b9470a550ac958cb68734c41beda42")</f>
        <v>0</v>
      </c>
      <c r="D46932" t="s">
        <v>5357</v>
      </c>
      <c r="E46932" t="s">
        <v>9913</v>
      </c>
      <c r="F46932" t="s">
        <v>14608</v>
      </c>
      <c r="G46932" t="s">
        <v>16873</v>
      </c>
      <c r="H46932" t="s">
        <v>37267</v>
      </c>
    </row>
    <row r="46933" spans="1:8">
      <c r="A46933" t="s">
        <v>4240</v>
      </c>
      <c r="B46933">
        <f>HYPERLINK("https://android.googlesource.com/platform/cts/+/a0e22c26d0c63153ee7bde4d675657d480f842ae", "a0e22c26d0c63153ee7bde4d675657d480f842ae")</f>
        <v>0</v>
      </c>
      <c r="C46933">
        <f>HYPERLINK("https://android.googlesource.com/platform/cts/+/127eae47a7b9470a550ac958cb68734c41beda42", "127eae47a7b9470a550ac958cb68734c41beda42")</f>
        <v>0</v>
      </c>
      <c r="D46933" t="s">
        <v>5353</v>
      </c>
      <c r="E46933" t="s">
        <v>9914</v>
      </c>
      <c r="F46933" t="s">
        <v>14633</v>
      </c>
      <c r="G46933" t="s">
        <v>18543</v>
      </c>
      <c r="H46933" t="s">
        <v>37268</v>
      </c>
    </row>
    <row r="46934" spans="1:8">
      <c r="H46934" t="s">
        <v>37269</v>
      </c>
    </row>
    <row r="46935" spans="1:8">
      <c r="A46935" t="s">
        <v>4241</v>
      </c>
      <c r="B46935">
        <f>HYPERLINK("https://android.googlesource.com/platform/cts/+/943ecd04422acc1a27ef41ba529a61dc45286bd5", "943ecd04422acc1a27ef41ba529a61dc45286bd5")</f>
        <v>0</v>
      </c>
      <c r="C46935">
        <f>HYPERLINK("https://android.googlesource.com/platform/cts/+/83eb845462d621bf17685893c4e9435cae1f0fca", "83eb845462d621bf17685893c4e9435cae1f0fca")</f>
        <v>0</v>
      </c>
      <c r="D46935" t="s">
        <v>5446</v>
      </c>
      <c r="E46935" t="s">
        <v>9915</v>
      </c>
      <c r="F46935" t="s">
        <v>14648</v>
      </c>
      <c r="G46935" t="s">
        <v>16944</v>
      </c>
      <c r="H46935" t="s">
        <v>19998</v>
      </c>
    </row>
    <row r="46936" spans="1:8">
      <c r="H46936" t="s">
        <v>20083</v>
      </c>
    </row>
    <row r="46937" spans="1:8">
      <c r="H46937" t="s">
        <v>19928</v>
      </c>
    </row>
    <row r="46938" spans="1:8">
      <c r="H46938" t="s">
        <v>37270</v>
      </c>
    </row>
    <row r="46939" spans="1:8">
      <c r="H46939" t="s">
        <v>37271</v>
      </c>
    </row>
    <row r="46940" spans="1:8">
      <c r="H46940" t="s">
        <v>37272</v>
      </c>
    </row>
    <row r="46941" spans="1:8">
      <c r="H46941" t="s">
        <v>37273</v>
      </c>
    </row>
    <row r="46942" spans="1:8">
      <c r="H46942" t="s">
        <v>26264</v>
      </c>
    </row>
    <row r="46943" spans="1:8">
      <c r="H46943" t="s">
        <v>26265</v>
      </c>
    </row>
    <row r="46944" spans="1:8">
      <c r="H46944" t="s">
        <v>26266</v>
      </c>
    </row>
    <row r="46945" spans="1:8">
      <c r="H46945" t="s">
        <v>26261</v>
      </c>
    </row>
    <row r="46946" spans="1:8">
      <c r="H46946" t="s">
        <v>26263</v>
      </c>
    </row>
    <row r="46947" spans="1:8">
      <c r="A46947" t="s">
        <v>4242</v>
      </c>
      <c r="B46947">
        <f>HYPERLINK("https://android.googlesource.com/platform/cts/+/6632de7d76ddeb8e3ad48bc74cdb7974b14066a1", "6632de7d76ddeb8e3ad48bc74cdb7974b14066a1")</f>
        <v>0</v>
      </c>
      <c r="C46947">
        <f>HYPERLINK("https://android.googlesource.com/platform/cts/+/e590eabc49344c620255782d278c3d1528daef4e", "e590eabc49344c620255782d278c3d1528daef4e")</f>
        <v>0</v>
      </c>
      <c r="D46947" t="s">
        <v>5653</v>
      </c>
      <c r="E46947" t="s">
        <v>9916</v>
      </c>
      <c r="F46947" t="s">
        <v>14649</v>
      </c>
      <c r="G46947" t="s">
        <v>18553</v>
      </c>
      <c r="H46947" t="s">
        <v>37274</v>
      </c>
    </row>
    <row r="46948" spans="1:8">
      <c r="H46948" t="s">
        <v>37275</v>
      </c>
    </row>
    <row r="46949" spans="1:8">
      <c r="H46949" t="s">
        <v>37276</v>
      </c>
    </row>
    <row r="46950" spans="1:8">
      <c r="H46950" t="s">
        <v>37277</v>
      </c>
    </row>
    <row r="46951" spans="1:8">
      <c r="H46951" t="s">
        <v>37278</v>
      </c>
    </row>
    <row r="46952" spans="1:8">
      <c r="H46952" t="s">
        <v>37279</v>
      </c>
    </row>
    <row r="46953" spans="1:8">
      <c r="H46953" t="s">
        <v>37280</v>
      </c>
    </row>
    <row r="46954" spans="1:8">
      <c r="A46954" t="s">
        <v>4243</v>
      </c>
      <c r="B46954">
        <f>HYPERLINK("https://android.googlesource.com/platform/cts/+/9910ca9737f8838f6dc3a3d9d318f50339ff7cd4", "9910ca9737f8838f6dc3a3d9d318f50339ff7cd4")</f>
        <v>0</v>
      </c>
      <c r="C46954">
        <f>HYPERLINK("https://android.googlesource.com/platform/cts/+/0da7a74dc6555357aad4937ee257d37debc4c33e", "0da7a74dc6555357aad4937ee257d37debc4c33e")</f>
        <v>0</v>
      </c>
      <c r="D46954" t="s">
        <v>5669</v>
      </c>
      <c r="E46954" t="s">
        <v>9917</v>
      </c>
      <c r="F46954" t="s">
        <v>13277</v>
      </c>
      <c r="G46954" t="s">
        <v>17414</v>
      </c>
      <c r="H46954" t="s">
        <v>37281</v>
      </c>
    </row>
    <row r="46955" spans="1:8">
      <c r="A46955" t="s">
        <v>4244</v>
      </c>
      <c r="B46955">
        <f>HYPERLINK("https://android.googlesource.com/platform/cts/+/9322240219477ca7c9e76776e8638caa383ec6bc", "9322240219477ca7c9e76776e8638caa383ec6bc")</f>
        <v>0</v>
      </c>
      <c r="C46955">
        <f>HYPERLINK("https://android.googlesource.com/platform/cts/+/37e84d3c66a3558278722720d9475f7df08778c0", "37e84d3c66a3558278722720d9475f7df08778c0")</f>
        <v>0</v>
      </c>
      <c r="D46955" t="s">
        <v>5581</v>
      </c>
      <c r="E46955" t="s">
        <v>9918</v>
      </c>
      <c r="F46955" t="s">
        <v>13277</v>
      </c>
      <c r="G46955" t="s">
        <v>17414</v>
      </c>
      <c r="H46955" t="s">
        <v>37282</v>
      </c>
    </row>
    <row r="46956" spans="1:8">
      <c r="A46956" t="s">
        <v>4245</v>
      </c>
      <c r="B46956">
        <f>HYPERLINK("https://android.googlesource.com/platform/cts/+/70649d9494a55051bd7d0ec8d76d0b46bc385680", "70649d9494a55051bd7d0ec8d76d0b46bc385680")</f>
        <v>0</v>
      </c>
      <c r="C46956">
        <f>HYPERLINK("https://android.googlesource.com/platform/cts/+/d15299ff4667d76dd3645a35828977554017e60c", "d15299ff4667d76dd3645a35828977554017e60c")</f>
        <v>0</v>
      </c>
      <c r="D46956" t="s">
        <v>5668</v>
      </c>
      <c r="E46956" t="s">
        <v>9919</v>
      </c>
      <c r="F46956" t="s">
        <v>14647</v>
      </c>
      <c r="G46956" t="s">
        <v>18552</v>
      </c>
      <c r="H46956" t="s">
        <v>37283</v>
      </c>
    </row>
    <row r="46957" spans="1:8">
      <c r="A46957" t="s">
        <v>4246</v>
      </c>
      <c r="B46957">
        <f>HYPERLINK("https://android.googlesource.com/platform/cts/+/3a9a1258915313d31abaec431d6ded972ec7a048", "3a9a1258915313d31abaec431d6ded972ec7a048")</f>
        <v>0</v>
      </c>
      <c r="C46957">
        <f>HYPERLINK("https://android.googlesource.com/platform/cts/+/d2bf4c1eece051c163c059f4f68e059a2ae04c4a", "d2bf4c1eece051c163c059f4f68e059a2ae04c4a")</f>
        <v>0</v>
      </c>
      <c r="D46957" t="s">
        <v>5463</v>
      </c>
      <c r="E46957" t="s">
        <v>9920</v>
      </c>
      <c r="F46957" t="s">
        <v>14633</v>
      </c>
      <c r="G46957" t="s">
        <v>18543</v>
      </c>
      <c r="H46957" t="s">
        <v>18829</v>
      </c>
    </row>
    <row r="46958" spans="1:8">
      <c r="H46958" t="s">
        <v>37284</v>
      </c>
    </row>
    <row r="46959" spans="1:8">
      <c r="H46959" t="s">
        <v>37285</v>
      </c>
    </row>
    <row r="46960" spans="1:8">
      <c r="H46960" t="s">
        <v>37286</v>
      </c>
    </row>
    <row r="46961" spans="1:8">
      <c r="H46961" t="s">
        <v>37287</v>
      </c>
    </row>
    <row r="46962" spans="1:8">
      <c r="H46962" t="s">
        <v>37288</v>
      </c>
    </row>
    <row r="46963" spans="1:8">
      <c r="H46963" t="s">
        <v>37289</v>
      </c>
    </row>
    <row r="46964" spans="1:8">
      <c r="H46964" t="s">
        <v>37290</v>
      </c>
    </row>
    <row r="46965" spans="1:8">
      <c r="H46965" t="s">
        <v>37291</v>
      </c>
    </row>
    <row r="46966" spans="1:8">
      <c r="H46966" t="s">
        <v>37292</v>
      </c>
    </row>
    <row r="46967" spans="1:8">
      <c r="H46967" t="s">
        <v>37293</v>
      </c>
    </row>
    <row r="46968" spans="1:8">
      <c r="H46968" t="s">
        <v>37294</v>
      </c>
    </row>
    <row r="46969" spans="1:8">
      <c r="H46969" t="s">
        <v>37295</v>
      </c>
    </row>
    <row r="46970" spans="1:8">
      <c r="H46970" t="s">
        <v>37296</v>
      </c>
    </row>
    <row r="46971" spans="1:8">
      <c r="H46971" t="s">
        <v>37297</v>
      </c>
    </row>
    <row r="46972" spans="1:8">
      <c r="H46972" t="s">
        <v>37298</v>
      </c>
    </row>
    <row r="46973" spans="1:8">
      <c r="A46973" t="s">
        <v>4247</v>
      </c>
      <c r="B46973">
        <f>HYPERLINK("https://android.googlesource.com/platform/cts/+/da23ff289fdf28196e579904565c3f28e246d8b3", "da23ff289fdf28196e579904565c3f28e246d8b3")</f>
        <v>0</v>
      </c>
      <c r="C46973">
        <f>HYPERLINK("https://android.googlesource.com/platform/cts/+/d4d71111e3c3312a520ab8fdc21e9abbaba37a91", "d4d71111e3c3312a520ab8fdc21e9abbaba37a91")</f>
        <v>0</v>
      </c>
      <c r="D46973" t="s">
        <v>5407</v>
      </c>
      <c r="E46973" t="s">
        <v>9921</v>
      </c>
      <c r="F46973" t="s">
        <v>12772</v>
      </c>
      <c r="G46973" t="s">
        <v>16543</v>
      </c>
      <c r="H46973" t="s">
        <v>37265</v>
      </c>
    </row>
    <row r="46974" spans="1:8">
      <c r="H46974" t="s">
        <v>37266</v>
      </c>
    </row>
    <row r="46975" spans="1:8">
      <c r="A46975" t="s">
        <v>4248</v>
      </c>
      <c r="B46975">
        <f>HYPERLINK("https://android.googlesource.com/platform/cts/+/ffdcfed9d37b18a84eb1b7de9903ffb525becc8c", "ffdcfed9d37b18a84eb1b7de9903ffb525becc8c")</f>
        <v>0</v>
      </c>
      <c r="C46975">
        <f>HYPERLINK("https://android.googlesource.com/platform/cts/+/9c515b1f4e8ede1963257d1b658a06f19181ee4c", "9c515b1f4e8ede1963257d1b658a06f19181ee4c")</f>
        <v>0</v>
      </c>
      <c r="D46975" t="s">
        <v>5407</v>
      </c>
      <c r="E46975" t="s">
        <v>9921</v>
      </c>
      <c r="F46975" t="s">
        <v>12772</v>
      </c>
      <c r="G46975" t="s">
        <v>16543</v>
      </c>
      <c r="H46975" t="s">
        <v>37265</v>
      </c>
    </row>
    <row r="46976" spans="1:8">
      <c r="H46976" t="s">
        <v>37266</v>
      </c>
    </row>
    <row r="46977" spans="1:8">
      <c r="A46977" t="s">
        <v>4249</v>
      </c>
      <c r="B46977">
        <f>HYPERLINK("https://android.googlesource.com/platform/cts/+/11fd0b4694174f7495830e11119df13700b88ca4", "11fd0b4694174f7495830e11119df13700b88ca4")</f>
        <v>0</v>
      </c>
      <c r="C46977">
        <f>HYPERLINK("https://android.googlesource.com/platform/cts/+/716a822d4b1324a802bf67ff7e2250ecdd99e176", "716a822d4b1324a802bf67ff7e2250ecdd99e176")</f>
        <v>0</v>
      </c>
      <c r="D46977" t="s">
        <v>5642</v>
      </c>
      <c r="E46977" t="s">
        <v>9922</v>
      </c>
      <c r="F46977" t="s">
        <v>14627</v>
      </c>
      <c r="G46977" t="s">
        <v>18538</v>
      </c>
      <c r="H46977" t="s">
        <v>37299</v>
      </c>
    </row>
    <row r="46978" spans="1:8">
      <c r="A46978" t="s">
        <v>4250</v>
      </c>
      <c r="B46978">
        <f>HYPERLINK("https://android.googlesource.com/platform/cts/+/06a952a180e17fd5688b845566dbecb6411aa2a9", "06a952a180e17fd5688b845566dbecb6411aa2a9")</f>
        <v>0</v>
      </c>
      <c r="C46978">
        <f>HYPERLINK("https://android.googlesource.com/platform/cts/+/b003794023c050821258f5acf3988935784255c5", "b003794023c050821258f5acf3988935784255c5")</f>
        <v>0</v>
      </c>
      <c r="D46978" t="s">
        <v>5409</v>
      </c>
      <c r="E46978" t="s">
        <v>9923</v>
      </c>
      <c r="F46978" t="s">
        <v>14650</v>
      </c>
      <c r="G46978" t="s">
        <v>18554</v>
      </c>
      <c r="H46978" t="s">
        <v>37300</v>
      </c>
    </row>
    <row r="46979" spans="1:8">
      <c r="A46979" t="s">
        <v>4251</v>
      </c>
      <c r="B46979">
        <f>HYPERLINK("https://android.googlesource.com/platform/cts/+/1390ca540e3cc916e4a877207b7cc1c7928aa801", "1390ca540e3cc916e4a877207b7cc1c7928aa801")</f>
        <v>0</v>
      </c>
      <c r="C46979">
        <f>HYPERLINK("https://android.googlesource.com/platform/cts/+/06a952a180e17fd5688b845566dbecb6411aa2a9", "06a952a180e17fd5688b845566dbecb6411aa2a9")</f>
        <v>0</v>
      </c>
      <c r="D46979" t="s">
        <v>5409</v>
      </c>
      <c r="E46979" t="s">
        <v>9924</v>
      </c>
      <c r="F46979" t="s">
        <v>14462</v>
      </c>
      <c r="G46979" t="s">
        <v>18326</v>
      </c>
      <c r="H46979" t="s">
        <v>37301</v>
      </c>
    </row>
    <row r="46980" spans="1:8">
      <c r="H46980" t="s">
        <v>35545</v>
      </c>
    </row>
    <row r="46981" spans="1:8">
      <c r="F46981" t="s">
        <v>14558</v>
      </c>
      <c r="G46981" t="s">
        <v>18480</v>
      </c>
      <c r="H46981" t="s">
        <v>37302</v>
      </c>
    </row>
    <row r="46982" spans="1:8">
      <c r="H46982" t="s">
        <v>37303</v>
      </c>
    </row>
    <row r="46983" spans="1:8">
      <c r="F46983" t="s">
        <v>14651</v>
      </c>
      <c r="G46983" t="s">
        <v>17294</v>
      </c>
      <c r="H46983" t="s">
        <v>37301</v>
      </c>
    </row>
    <row r="46984" spans="1:8">
      <c r="H46984" t="s">
        <v>35545</v>
      </c>
    </row>
    <row r="46985" spans="1:8">
      <c r="F46985" t="s">
        <v>14652</v>
      </c>
      <c r="G46985" t="s">
        <v>18466</v>
      </c>
      <c r="H46985" t="s">
        <v>37304</v>
      </c>
    </row>
    <row r="46986" spans="1:8">
      <c r="H46986" t="s">
        <v>37305</v>
      </c>
    </row>
    <row r="46987" spans="1:8">
      <c r="H46987" t="s">
        <v>37306</v>
      </c>
    </row>
    <row r="46988" spans="1:8">
      <c r="H46988" t="s">
        <v>37307</v>
      </c>
    </row>
    <row r="46989" spans="1:8">
      <c r="H46989" t="s">
        <v>37308</v>
      </c>
    </row>
    <row r="46990" spans="1:8">
      <c r="H46990" t="s">
        <v>37309</v>
      </c>
    </row>
    <row r="46991" spans="1:8">
      <c r="H46991" t="s">
        <v>37310</v>
      </c>
    </row>
    <row r="46992" spans="1:8">
      <c r="H46992" t="s">
        <v>37311</v>
      </c>
    </row>
    <row r="46993" spans="1:8">
      <c r="H46993" t="s">
        <v>37312</v>
      </c>
    </row>
    <row r="46994" spans="1:8">
      <c r="H46994" t="s">
        <v>37313</v>
      </c>
    </row>
    <row r="46995" spans="1:8">
      <c r="A46995" t="s">
        <v>4252</v>
      </c>
      <c r="B46995">
        <f>HYPERLINK("https://android.googlesource.com/platform/cts/+/a3e396589b6417944e218d2b9bb471b8b7775b77", "a3e396589b6417944e218d2b9bb471b8b7775b77")</f>
        <v>0</v>
      </c>
      <c r="C46995">
        <f>HYPERLINK("https://android.googlesource.com/platform/cts/+/36cd61b368da3eb8f740708e1f076e5e262bd3a1", "36cd61b368da3eb8f740708e1f076e5e262bd3a1")</f>
        <v>0</v>
      </c>
      <c r="D46995" t="s">
        <v>5277</v>
      </c>
      <c r="E46995" t="s">
        <v>9925</v>
      </c>
      <c r="F46995" t="s">
        <v>10582</v>
      </c>
      <c r="G46995" t="s">
        <v>14985</v>
      </c>
      <c r="H46995" t="s">
        <v>37314</v>
      </c>
    </row>
    <row r="46996" spans="1:8">
      <c r="A46996" t="s">
        <v>4253</v>
      </c>
      <c r="B46996">
        <f>HYPERLINK("https://android.googlesource.com/platform/cts/+/712829f4f4409aa7b225e7c1000d508cd950a2fe", "712829f4f4409aa7b225e7c1000d508cd950a2fe")</f>
        <v>0</v>
      </c>
      <c r="C46996">
        <f>HYPERLINK("https://android.googlesource.com/platform/cts/+/2f9deea76d279c85481ba9c4a7ceca4a1eea32c7", "2f9deea76d279c85481ba9c4a7ceca4a1eea32c7")</f>
        <v>0</v>
      </c>
      <c r="D46996" t="s">
        <v>5562</v>
      </c>
      <c r="E46996" t="s">
        <v>9926</v>
      </c>
      <c r="F46996" t="s">
        <v>14644</v>
      </c>
      <c r="G46996" t="s">
        <v>18550</v>
      </c>
      <c r="H46996" t="s">
        <v>34249</v>
      </c>
    </row>
    <row r="46997" spans="1:8">
      <c r="H46997" t="s">
        <v>34250</v>
      </c>
    </row>
    <row r="46998" spans="1:8">
      <c r="H46998" t="s">
        <v>37253</v>
      </c>
    </row>
    <row r="46999" spans="1:8">
      <c r="A46999" t="s">
        <v>4254</v>
      </c>
      <c r="B46999">
        <f>HYPERLINK("https://android.googlesource.com/platform/cts/+/ba3984a30526bc115511fae47e71242385fdb70a", "ba3984a30526bc115511fae47e71242385fdb70a")</f>
        <v>0</v>
      </c>
      <c r="C46999">
        <f>HYPERLINK("https://android.googlesource.com/platform/cts/+/4808ec344564a33650b5ddfe091f407e190283d8", "4808ec344564a33650b5ddfe091f407e190283d8")</f>
        <v>0</v>
      </c>
      <c r="D46999" t="s">
        <v>5668</v>
      </c>
      <c r="E46999" t="s">
        <v>9927</v>
      </c>
      <c r="F46999" t="s">
        <v>14647</v>
      </c>
      <c r="G46999" t="s">
        <v>18552</v>
      </c>
      <c r="H46999" t="s">
        <v>37315</v>
      </c>
    </row>
    <row r="47000" spans="1:8">
      <c r="A47000" t="s">
        <v>4255</v>
      </c>
      <c r="B47000">
        <f>HYPERLINK("https://android.googlesource.com/platform/cts/+/fb218a175ac9101306009c75e337978786ebf466", "fb218a175ac9101306009c75e337978786ebf466")</f>
        <v>0</v>
      </c>
      <c r="C47000">
        <f>HYPERLINK("https://android.googlesource.com/platform/cts/+/fc8f3bae49e346ffc41ce131cb3f668d6ed9d5ac", "fc8f3bae49e346ffc41ce131cb3f668d6ed9d5ac")</f>
        <v>0</v>
      </c>
      <c r="D47000" t="s">
        <v>5453</v>
      </c>
      <c r="E47000" t="s">
        <v>9928</v>
      </c>
      <c r="F47000" t="s">
        <v>14644</v>
      </c>
      <c r="G47000" t="s">
        <v>18550</v>
      </c>
      <c r="H47000" t="s">
        <v>34249</v>
      </c>
    </row>
    <row r="47001" spans="1:8">
      <c r="H47001" t="s">
        <v>34250</v>
      </c>
    </row>
    <row r="47002" spans="1:8">
      <c r="H47002" t="s">
        <v>37253</v>
      </c>
    </row>
    <row r="47003" spans="1:8">
      <c r="A47003" t="s">
        <v>4256</v>
      </c>
      <c r="B47003">
        <f>HYPERLINK("https://android.googlesource.com/platform/cts/+/88a268b3acbe34a3bfe13a61d73e01fa984b6f52", "88a268b3acbe34a3bfe13a61d73e01fa984b6f52")</f>
        <v>0</v>
      </c>
      <c r="C47003">
        <f>HYPERLINK("https://android.googlesource.com/platform/cts/+/5959a156158a3d405f43fd6eb5dea1b8d9efbcdd", "5959a156158a3d405f43fd6eb5dea1b8d9efbcdd")</f>
        <v>0</v>
      </c>
      <c r="D47003" t="s">
        <v>5610</v>
      </c>
      <c r="E47003" t="s">
        <v>9929</v>
      </c>
      <c r="F47003" t="s">
        <v>14653</v>
      </c>
      <c r="G47003" t="s">
        <v>17776</v>
      </c>
      <c r="H47003" t="s">
        <v>37316</v>
      </c>
    </row>
    <row r="47004" spans="1:8">
      <c r="H47004" t="s">
        <v>37317</v>
      </c>
    </row>
    <row r="47005" spans="1:8">
      <c r="A47005" t="s">
        <v>4257</v>
      </c>
      <c r="B47005">
        <f>HYPERLINK("https://android.googlesource.com/platform/cts/+/72ebd316fd5dd45fc12e5a53063a766ac4cac3cf", "72ebd316fd5dd45fc12e5a53063a766ac4cac3cf")</f>
        <v>0</v>
      </c>
      <c r="C47005">
        <f>HYPERLINK("https://android.googlesource.com/platform/cts/+/58eb065433fa353c76e5974827b8072cb37dd236", "58eb065433fa353c76e5974827b8072cb37dd236")</f>
        <v>0</v>
      </c>
      <c r="D47005" t="s">
        <v>5243</v>
      </c>
      <c r="E47005" t="s">
        <v>9930</v>
      </c>
      <c r="F47005" t="s">
        <v>14654</v>
      </c>
      <c r="G47005" t="s">
        <v>18555</v>
      </c>
      <c r="H47005" t="s">
        <v>37318</v>
      </c>
    </row>
    <row r="47006" spans="1:8">
      <c r="H47006" t="s">
        <v>37319</v>
      </c>
    </row>
    <row r="47007" spans="1:8">
      <c r="H47007" t="s">
        <v>37320</v>
      </c>
    </row>
    <row r="47008" spans="1:8">
      <c r="H47008" t="s">
        <v>37321</v>
      </c>
    </row>
    <row r="47009" spans="1:8">
      <c r="H47009" t="s">
        <v>37322</v>
      </c>
    </row>
    <row r="47010" spans="1:8">
      <c r="H47010" t="s">
        <v>37323</v>
      </c>
    </row>
    <row r="47011" spans="1:8">
      <c r="H47011" t="s">
        <v>27897</v>
      </c>
    </row>
    <row r="47012" spans="1:8">
      <c r="H47012" t="s">
        <v>37324</v>
      </c>
    </row>
    <row r="47013" spans="1:8">
      <c r="H47013" t="s">
        <v>37325</v>
      </c>
    </row>
    <row r="47014" spans="1:8">
      <c r="H47014" t="s">
        <v>37326</v>
      </c>
    </row>
    <row r="47015" spans="1:8">
      <c r="H47015" t="s">
        <v>37327</v>
      </c>
    </row>
    <row r="47016" spans="1:8">
      <c r="H47016" t="s">
        <v>37328</v>
      </c>
    </row>
    <row r="47017" spans="1:8">
      <c r="A47017" t="s">
        <v>4258</v>
      </c>
      <c r="B47017">
        <f>HYPERLINK("https://android.googlesource.com/platform/cts/+/720457d8b2b6d6d57d553155d28062d43c42b2d4", "720457d8b2b6d6d57d553155d28062d43c42b2d4")</f>
        <v>0</v>
      </c>
      <c r="C47017">
        <f>HYPERLINK("https://android.googlesource.com/platform/cts/+/0703bb7a2bb2a62b5bb54ac6c6ac443101c658db", "0703bb7a2bb2a62b5bb54ac6c6ac443101c658db")</f>
        <v>0</v>
      </c>
      <c r="D47017" t="s">
        <v>5366</v>
      </c>
      <c r="E47017" t="s">
        <v>9931</v>
      </c>
      <c r="F47017" t="s">
        <v>13753</v>
      </c>
      <c r="G47017" t="s">
        <v>17813</v>
      </c>
      <c r="H47017" t="s">
        <v>36832</v>
      </c>
    </row>
    <row r="47018" spans="1:8">
      <c r="H47018" t="s">
        <v>36833</v>
      </c>
    </row>
    <row r="47019" spans="1:8">
      <c r="H47019" t="s">
        <v>36834</v>
      </c>
    </row>
    <row r="47020" spans="1:8">
      <c r="H47020" t="s">
        <v>36835</v>
      </c>
    </row>
    <row r="47021" spans="1:8">
      <c r="F47021" t="s">
        <v>14252</v>
      </c>
      <c r="G47021" t="s">
        <v>18217</v>
      </c>
      <c r="H47021" t="s">
        <v>36836</v>
      </c>
    </row>
    <row r="47022" spans="1:8">
      <c r="H47022" t="s">
        <v>36837</v>
      </c>
    </row>
    <row r="47023" spans="1:8">
      <c r="H47023" t="s">
        <v>18829</v>
      </c>
    </row>
    <row r="47024" spans="1:8">
      <c r="H47024" t="s">
        <v>18863</v>
      </c>
    </row>
    <row r="47025" spans="1:8">
      <c r="H47025" t="s">
        <v>36838</v>
      </c>
    </row>
    <row r="47026" spans="1:8">
      <c r="H47026" t="s">
        <v>36839</v>
      </c>
    </row>
    <row r="47027" spans="1:8">
      <c r="A47027" t="s">
        <v>4259</v>
      </c>
      <c r="B47027">
        <f>HYPERLINK("https://android.googlesource.com/platform/cts/+/6a5ca68bc2428959488f4a14d25cfa8d81398f6e", "6a5ca68bc2428959488f4a14d25cfa8d81398f6e")</f>
        <v>0</v>
      </c>
      <c r="C47027">
        <f>HYPERLINK("https://android.googlesource.com/platform/cts/+/edd1df745a2fb73ee7d4c87f0a8517c3b2edb57c", "edd1df745a2fb73ee7d4c87f0a8517c3b2edb57c")</f>
        <v>0</v>
      </c>
      <c r="D47027" t="s">
        <v>5626</v>
      </c>
      <c r="E47027" t="s">
        <v>9932</v>
      </c>
      <c r="F47027" t="s">
        <v>14655</v>
      </c>
      <c r="G47027" t="s">
        <v>18318</v>
      </c>
      <c r="H47027" t="s">
        <v>35667</v>
      </c>
    </row>
    <row r="47028" spans="1:8">
      <c r="A47028" t="s">
        <v>4260</v>
      </c>
      <c r="B47028">
        <f>HYPERLINK("https://android.googlesource.com/platform/cts/+/8c62a604f50b975c4a80ea0d4a0015a89d73c074", "8c62a604f50b975c4a80ea0d4a0015a89d73c074")</f>
        <v>0</v>
      </c>
      <c r="C47028">
        <f>HYPERLINK("https://android.googlesource.com/platform/cts/+/d69c7d3193f631796241195d7bf40d3beac4871e", "d69c7d3193f631796241195d7bf40d3beac4871e")</f>
        <v>0</v>
      </c>
      <c r="D47028" t="s">
        <v>5277</v>
      </c>
      <c r="E47028" t="s">
        <v>9933</v>
      </c>
      <c r="F47028" t="s">
        <v>10649</v>
      </c>
      <c r="G47028" t="s">
        <v>15050</v>
      </c>
      <c r="H47028" t="s">
        <v>37329</v>
      </c>
    </row>
    <row r="47029" spans="1:8">
      <c r="A47029" t="s">
        <v>4261</v>
      </c>
      <c r="B47029">
        <f>HYPERLINK("https://android.googlesource.com/platform/cts/+/b40b55f26a420205f380693ea3c84c67e4859e08", "b40b55f26a420205f380693ea3c84c67e4859e08")</f>
        <v>0</v>
      </c>
      <c r="C47029">
        <f>HYPERLINK("https://android.googlesource.com/platform/cts/+/7ae83970f045f404e66387ebe46be56f42ece9cf", "7ae83970f045f404e66387ebe46be56f42ece9cf")</f>
        <v>0</v>
      </c>
      <c r="D47029" t="s">
        <v>5456</v>
      </c>
      <c r="E47029" t="s">
        <v>9934</v>
      </c>
      <c r="F47029" t="s">
        <v>10608</v>
      </c>
      <c r="G47029" t="s">
        <v>15011</v>
      </c>
      <c r="H47029" t="s">
        <v>37330</v>
      </c>
    </row>
    <row r="47030" spans="1:8">
      <c r="A47030" t="s">
        <v>4262</v>
      </c>
      <c r="B47030">
        <f>HYPERLINK("https://android.googlesource.com/platform/cts/+/91b6c6ead2351220f97aef416f7a53dde3f81753", "91b6c6ead2351220f97aef416f7a53dde3f81753")</f>
        <v>0</v>
      </c>
      <c r="C47030">
        <f>HYPERLINK("https://android.googlesource.com/platform/cts/+/d573ace081783d694828d885c5ea30f1df08cdd9", "d573ace081783d694828d885c5ea30f1df08cdd9")</f>
        <v>0</v>
      </c>
      <c r="D47030" t="s">
        <v>5670</v>
      </c>
      <c r="E47030" t="s">
        <v>9935</v>
      </c>
      <c r="F47030" t="s">
        <v>13715</v>
      </c>
      <c r="G47030" t="s">
        <v>17782</v>
      </c>
      <c r="H47030" t="s">
        <v>18829</v>
      </c>
    </row>
    <row r="47031" spans="1:8">
      <c r="H47031" t="s">
        <v>18863</v>
      </c>
    </row>
    <row r="47032" spans="1:8">
      <c r="H47032" t="s">
        <v>37331</v>
      </c>
    </row>
    <row r="47033" spans="1:8">
      <c r="H47033" t="s">
        <v>37332</v>
      </c>
    </row>
    <row r="47034" spans="1:8">
      <c r="H47034" t="s">
        <v>34094</v>
      </c>
    </row>
    <row r="47035" spans="1:8">
      <c r="H47035" t="s">
        <v>34095</v>
      </c>
    </row>
    <row r="47036" spans="1:8">
      <c r="H47036" t="s">
        <v>34096</v>
      </c>
    </row>
    <row r="47037" spans="1:8">
      <c r="F47037" t="s">
        <v>12419</v>
      </c>
      <c r="G47037" t="s">
        <v>16641</v>
      </c>
      <c r="H47037" t="s">
        <v>37333</v>
      </c>
    </row>
    <row r="47038" spans="1:8">
      <c r="A47038" t="s">
        <v>4263</v>
      </c>
      <c r="B47038">
        <f>HYPERLINK("https://android.googlesource.com/platform/cts/+/c7336ca353c69877803ccd6620578117ce32796d", "c7336ca353c69877803ccd6620578117ce32796d")</f>
        <v>0</v>
      </c>
      <c r="C47038">
        <f>HYPERLINK("https://android.googlesource.com/platform/cts/+/d86b72df68c742ddafa0ba41e2fa1011f6445e6b", "d86b72df68c742ddafa0ba41e2fa1011f6445e6b")</f>
        <v>0</v>
      </c>
      <c r="D47038" t="s">
        <v>5046</v>
      </c>
      <c r="E47038" t="s">
        <v>9936</v>
      </c>
      <c r="F47038" t="s">
        <v>14267</v>
      </c>
      <c r="G47038" t="s">
        <v>18234</v>
      </c>
      <c r="H47038" t="s">
        <v>37334</v>
      </c>
    </row>
    <row r="47039" spans="1:8">
      <c r="H47039" t="s">
        <v>37335</v>
      </c>
    </row>
    <row r="47040" spans="1:8">
      <c r="H47040" t="s">
        <v>37336</v>
      </c>
    </row>
    <row r="47041" spans="1:8">
      <c r="F47041" t="s">
        <v>14656</v>
      </c>
      <c r="G47041" t="s">
        <v>17535</v>
      </c>
      <c r="H47041" t="s">
        <v>37335</v>
      </c>
    </row>
    <row r="47042" spans="1:8">
      <c r="H47042" t="s">
        <v>37335</v>
      </c>
    </row>
    <row r="47043" spans="1:8">
      <c r="H47043" t="s">
        <v>19475</v>
      </c>
    </row>
    <row r="47044" spans="1:8">
      <c r="A47044" t="s">
        <v>4264</v>
      </c>
      <c r="B47044">
        <f>HYPERLINK("https://android.googlesource.com/platform/cts/+/bcafea0a02586d7f1365d5da15176f0ad2be06f4", "bcafea0a02586d7f1365d5da15176f0ad2be06f4")</f>
        <v>0</v>
      </c>
      <c r="C47044">
        <f>HYPERLINK("https://android.googlesource.com/platform/cts/+/d629e29541de27451217980d665aaec21d3d4f1b", "d629e29541de27451217980d665aaec21d3d4f1b")</f>
        <v>0</v>
      </c>
      <c r="D47044" t="s">
        <v>5647</v>
      </c>
      <c r="E47044" t="s">
        <v>9937</v>
      </c>
      <c r="F47044" t="s">
        <v>14657</v>
      </c>
      <c r="G47044" t="s">
        <v>18556</v>
      </c>
      <c r="H47044" t="s">
        <v>37337</v>
      </c>
    </row>
    <row r="47045" spans="1:8">
      <c r="H47045" t="s">
        <v>37338</v>
      </c>
    </row>
    <row r="47046" spans="1:8">
      <c r="H47046" t="s">
        <v>37339</v>
      </c>
    </row>
    <row r="47047" spans="1:8">
      <c r="A47047" t="s">
        <v>4265</v>
      </c>
      <c r="B47047">
        <f>HYPERLINK("https://android.googlesource.com/platform/cts/+/308e79a056ce222fde9be4dc78a9fe378e98c106", "308e79a056ce222fde9be4dc78a9fe378e98c106")</f>
        <v>0</v>
      </c>
      <c r="C47047">
        <f>HYPERLINK("https://android.googlesource.com/platform/cts/+/ba9b476b4c2d8efe42f0d97fd81e6f06182a39c9", "ba9b476b4c2d8efe42f0d97fd81e6f06182a39c9")</f>
        <v>0</v>
      </c>
      <c r="D47047" t="s">
        <v>5478</v>
      </c>
      <c r="E47047" t="s">
        <v>9938</v>
      </c>
      <c r="F47047" t="s">
        <v>14353</v>
      </c>
      <c r="G47047" t="s">
        <v>18303</v>
      </c>
      <c r="H47047" t="s">
        <v>35682</v>
      </c>
    </row>
    <row r="47048" spans="1:8">
      <c r="A47048" t="s">
        <v>4266</v>
      </c>
      <c r="B47048">
        <f>HYPERLINK("https://android.googlesource.com/platform/cts/+/e08e076a9150b382f759c9ca106f964955484218", "e08e076a9150b382f759c9ca106f964955484218")</f>
        <v>0</v>
      </c>
      <c r="C47048">
        <f>HYPERLINK("https://android.googlesource.com/platform/cts/+/a5b1318612630ac196503a94d9c5148e4d6fcf3a", "a5b1318612630ac196503a94d9c5148e4d6fcf3a")</f>
        <v>0</v>
      </c>
      <c r="D47048" t="s">
        <v>5626</v>
      </c>
      <c r="E47048" t="s">
        <v>9939</v>
      </c>
      <c r="F47048" t="s">
        <v>14566</v>
      </c>
      <c r="G47048" t="s">
        <v>18487</v>
      </c>
      <c r="H47048" t="s">
        <v>37340</v>
      </c>
    </row>
    <row r="47049" spans="1:8">
      <c r="F47049" t="s">
        <v>14658</v>
      </c>
      <c r="G47049" t="s">
        <v>18019</v>
      </c>
      <c r="H47049" t="s">
        <v>37341</v>
      </c>
    </row>
    <row r="47050" spans="1:8">
      <c r="A47050" t="s">
        <v>4267</v>
      </c>
      <c r="B47050">
        <f>HYPERLINK("https://android.googlesource.com/platform/cts/+/9861f27c678073473f986370be6ab6f2b63285f8", "9861f27c678073473f986370be6ab6f2b63285f8")</f>
        <v>0</v>
      </c>
      <c r="C47050">
        <f>HYPERLINK("https://android.googlesource.com/platform/cts/+/1519127e03a0168602c2733204adfa46b027cf3e", "1519127e03a0168602c2733204adfa46b027cf3e")</f>
        <v>0</v>
      </c>
      <c r="D47050" t="s">
        <v>5046</v>
      </c>
      <c r="E47050" t="s">
        <v>9940</v>
      </c>
      <c r="F47050" t="s">
        <v>14267</v>
      </c>
      <c r="G47050" t="s">
        <v>18234</v>
      </c>
      <c r="H47050" t="s">
        <v>37334</v>
      </c>
    </row>
    <row r="47051" spans="1:8">
      <c r="H47051" t="s">
        <v>37335</v>
      </c>
    </row>
    <row r="47052" spans="1:8">
      <c r="H47052" t="s">
        <v>37336</v>
      </c>
    </row>
    <row r="47053" spans="1:8">
      <c r="F47053" t="s">
        <v>14656</v>
      </c>
      <c r="G47053" t="s">
        <v>17535</v>
      </c>
      <c r="H47053" t="s">
        <v>37335</v>
      </c>
    </row>
    <row r="47054" spans="1:8">
      <c r="H47054" t="s">
        <v>37335</v>
      </c>
    </row>
    <row r="47055" spans="1:8">
      <c r="H47055" t="s">
        <v>19475</v>
      </c>
    </row>
    <row r="47056" spans="1:8">
      <c r="A47056" t="s">
        <v>4268</v>
      </c>
      <c r="B47056">
        <f>HYPERLINK("https://android.googlesource.com/platform/cts/+/081dcfb14f6f627874b3ffddd54078ffc579f7cd", "081dcfb14f6f627874b3ffddd54078ffc579f7cd")</f>
        <v>0</v>
      </c>
      <c r="C47056">
        <f>HYPERLINK("https://android.googlesource.com/platform/cts/+/d1ae1a7b200bccfe5f7ece3eb3be38d0e142a035", "d1ae1a7b200bccfe5f7ece3eb3be38d0e142a035")</f>
        <v>0</v>
      </c>
      <c r="D47056" t="s">
        <v>5046</v>
      </c>
      <c r="E47056" t="s">
        <v>9941</v>
      </c>
      <c r="F47056" t="s">
        <v>14267</v>
      </c>
      <c r="G47056" t="s">
        <v>18234</v>
      </c>
      <c r="H47056" t="s">
        <v>37334</v>
      </c>
    </row>
    <row r="47057" spans="1:8">
      <c r="H47057" t="s">
        <v>37335</v>
      </c>
    </row>
    <row r="47058" spans="1:8">
      <c r="H47058" t="s">
        <v>37336</v>
      </c>
    </row>
    <row r="47059" spans="1:8">
      <c r="F47059" t="s">
        <v>14656</v>
      </c>
      <c r="G47059" t="s">
        <v>17535</v>
      </c>
      <c r="H47059" t="s">
        <v>37335</v>
      </c>
    </row>
    <row r="47060" spans="1:8">
      <c r="H47060" t="s">
        <v>37335</v>
      </c>
    </row>
    <row r="47061" spans="1:8">
      <c r="H47061" t="s">
        <v>19475</v>
      </c>
    </row>
    <row r="47062" spans="1:8">
      <c r="A47062" t="s">
        <v>4269</v>
      </c>
      <c r="B47062">
        <f>HYPERLINK("https://android.googlesource.com/platform/cts/+/76f8c4d9779305a1347a5e5fa4c927791929516a", "76f8c4d9779305a1347a5e5fa4c927791929516a")</f>
        <v>0</v>
      </c>
      <c r="C47062">
        <f>HYPERLINK("https://android.googlesource.com/platform/cts/+/d1ae1a7b200bccfe5f7ece3eb3be38d0e142a035", "d1ae1a7b200bccfe5f7ece3eb3be38d0e142a035")</f>
        <v>0</v>
      </c>
      <c r="D47062" t="s">
        <v>5668</v>
      </c>
      <c r="E47062" t="s">
        <v>9942</v>
      </c>
      <c r="F47062" t="s">
        <v>14647</v>
      </c>
      <c r="G47062" t="s">
        <v>18552</v>
      </c>
      <c r="H47062" t="s">
        <v>37342</v>
      </c>
    </row>
    <row r="47063" spans="1:8">
      <c r="A47063" t="s">
        <v>4270</v>
      </c>
      <c r="B47063">
        <f>HYPERLINK("https://android.googlesource.com/platform/cts/+/8e820b7745f9bf2d587ed13de43a9938938ae52c", "8e820b7745f9bf2d587ed13de43a9938938ae52c")</f>
        <v>0</v>
      </c>
      <c r="C47063">
        <f>HYPERLINK("https://android.googlesource.com/platform/cts/+/e1132f4bc6047d438e45338fc8ff5feb41ec02d6", "e1132f4bc6047d438e45338fc8ff5feb41ec02d6")</f>
        <v>0</v>
      </c>
      <c r="D47063" t="s">
        <v>5671</v>
      </c>
      <c r="E47063" t="s">
        <v>9943</v>
      </c>
      <c r="F47063" t="s">
        <v>13165</v>
      </c>
      <c r="G47063" t="s">
        <v>17315</v>
      </c>
      <c r="H47063" t="s">
        <v>37343</v>
      </c>
    </row>
    <row r="47064" spans="1:8">
      <c r="A47064" t="s">
        <v>4271</v>
      </c>
      <c r="B47064">
        <f>HYPERLINK("https://android.googlesource.com/platform/cts/+/2b8e820050dca6f1b97be6d01a7964140a6ab5d4", "2b8e820050dca6f1b97be6d01a7964140a6ab5d4")</f>
        <v>0</v>
      </c>
      <c r="C47064">
        <f>HYPERLINK("https://android.googlesource.com/platform/cts/+/57e815784b3bbd965e1fdb905da203e71cfbe6e1", "57e815784b3bbd965e1fdb905da203e71cfbe6e1")</f>
        <v>0</v>
      </c>
      <c r="D47064" t="s">
        <v>5046</v>
      </c>
      <c r="E47064" t="s">
        <v>9944</v>
      </c>
      <c r="F47064" t="s">
        <v>14267</v>
      </c>
      <c r="G47064" t="s">
        <v>18234</v>
      </c>
      <c r="H47064" t="s">
        <v>37334</v>
      </c>
    </row>
    <row r="47065" spans="1:8">
      <c r="H47065" t="s">
        <v>37335</v>
      </c>
    </row>
    <row r="47066" spans="1:8">
      <c r="H47066" t="s">
        <v>37336</v>
      </c>
    </row>
    <row r="47067" spans="1:8">
      <c r="F47067" t="s">
        <v>14656</v>
      </c>
      <c r="G47067" t="s">
        <v>17535</v>
      </c>
      <c r="H47067" t="s">
        <v>37335</v>
      </c>
    </row>
    <row r="47068" spans="1:8">
      <c r="H47068" t="s">
        <v>37335</v>
      </c>
    </row>
    <row r="47069" spans="1:8">
      <c r="H47069" t="s">
        <v>19475</v>
      </c>
    </row>
    <row r="47070" spans="1:8">
      <c r="A47070" t="s">
        <v>4272</v>
      </c>
      <c r="B47070">
        <f>HYPERLINK("https://android.googlesource.com/platform/cts/+/c18966e88504e6a6127fdac0e81cd907044f68ce", "c18966e88504e6a6127fdac0e81cd907044f68ce")</f>
        <v>0</v>
      </c>
      <c r="C47070">
        <f>HYPERLINK("https://android.googlesource.com/platform/cts/+/6f42ca0090b72ad3c8c2597f4c86aaa91b8c03ab", "6f42ca0090b72ad3c8c2597f4c86aaa91b8c03ab")</f>
        <v>0</v>
      </c>
      <c r="D47070" t="s">
        <v>5478</v>
      </c>
      <c r="E47070" t="s">
        <v>9945</v>
      </c>
      <c r="F47070" t="s">
        <v>14633</v>
      </c>
      <c r="G47070" t="s">
        <v>18543</v>
      </c>
      <c r="H47070" t="s">
        <v>33071</v>
      </c>
    </row>
    <row r="47071" spans="1:8">
      <c r="A47071" t="s">
        <v>4273</v>
      </c>
      <c r="B47071">
        <f>HYPERLINK("https://android.googlesource.com/platform/cts/+/9803c17523c450445068645ebf0791d53f13db41", "9803c17523c450445068645ebf0791d53f13db41")</f>
        <v>0</v>
      </c>
      <c r="C47071">
        <f>HYPERLINK("https://android.googlesource.com/platform/cts/+/99f349ae603dc0d50835e3918ee2361de60a7a23", "99f349ae603dc0d50835e3918ee2361de60a7a23")</f>
        <v>0</v>
      </c>
      <c r="D47071" t="s">
        <v>5478</v>
      </c>
      <c r="E47071" t="s">
        <v>9946</v>
      </c>
      <c r="F47071" t="s">
        <v>14633</v>
      </c>
      <c r="G47071" t="s">
        <v>18543</v>
      </c>
      <c r="H47071" t="s">
        <v>37268</v>
      </c>
    </row>
    <row r="47072" spans="1:8">
      <c r="H47072" t="s">
        <v>37269</v>
      </c>
    </row>
    <row r="47073" spans="1:8">
      <c r="A47073" t="s">
        <v>4274</v>
      </c>
      <c r="B47073">
        <f>HYPERLINK("https://android.googlesource.com/platform/cts/+/66b40111f60788694bce8ae4c9fd619419f068cd", "66b40111f60788694bce8ae4c9fd619419f068cd")</f>
        <v>0</v>
      </c>
      <c r="C47073">
        <f>HYPERLINK("https://android.googlesource.com/platform/cts/+/9803c17523c450445068645ebf0791d53f13db41", "9803c17523c450445068645ebf0791d53f13db41")</f>
        <v>0</v>
      </c>
      <c r="D47073" t="s">
        <v>5478</v>
      </c>
      <c r="E47073" t="s">
        <v>9947</v>
      </c>
      <c r="F47073" t="s">
        <v>14633</v>
      </c>
      <c r="G47073" t="s">
        <v>18543</v>
      </c>
      <c r="H47073" t="s">
        <v>18829</v>
      </c>
    </row>
    <row r="47074" spans="1:8">
      <c r="H47074" t="s">
        <v>37284</v>
      </c>
    </row>
    <row r="47075" spans="1:8">
      <c r="H47075" t="s">
        <v>37285</v>
      </c>
    </row>
    <row r="47076" spans="1:8">
      <c r="H47076" t="s">
        <v>37286</v>
      </c>
    </row>
    <row r="47077" spans="1:8">
      <c r="H47077" t="s">
        <v>37287</v>
      </c>
    </row>
    <row r="47078" spans="1:8">
      <c r="H47078" t="s">
        <v>37288</v>
      </c>
    </row>
    <row r="47079" spans="1:8">
      <c r="H47079" t="s">
        <v>37289</v>
      </c>
    </row>
    <row r="47080" spans="1:8">
      <c r="H47080" t="s">
        <v>37290</v>
      </c>
    </row>
    <row r="47081" spans="1:8">
      <c r="H47081" t="s">
        <v>37291</v>
      </c>
    </row>
    <row r="47082" spans="1:8">
      <c r="H47082" t="s">
        <v>37292</v>
      </c>
    </row>
    <row r="47083" spans="1:8">
      <c r="H47083" t="s">
        <v>37293</v>
      </c>
    </row>
    <row r="47084" spans="1:8">
      <c r="H47084" t="s">
        <v>37294</v>
      </c>
    </row>
    <row r="47085" spans="1:8">
      <c r="H47085" t="s">
        <v>37295</v>
      </c>
    </row>
    <row r="47086" spans="1:8">
      <c r="H47086" t="s">
        <v>37296</v>
      </c>
    </row>
    <row r="47087" spans="1:8">
      <c r="H47087" t="s">
        <v>37297</v>
      </c>
    </row>
    <row r="47088" spans="1:8">
      <c r="H47088" t="s">
        <v>37298</v>
      </c>
    </row>
    <row r="47089" spans="1:8">
      <c r="A47089" t="s">
        <v>4275</v>
      </c>
      <c r="B47089">
        <f>HYPERLINK("https://android.googlesource.com/platform/cts/+/5eaf7928b6cef42e0cc1eaa4fa15437f482fb674", "5eaf7928b6cef42e0cc1eaa4fa15437f482fb674")</f>
        <v>0</v>
      </c>
      <c r="C47089">
        <f>HYPERLINK("https://android.googlesource.com/platform/cts/+/7b836dfea66999014cae5385fad130f5f776b80f", "7b836dfea66999014cae5385fad130f5f776b80f")</f>
        <v>0</v>
      </c>
      <c r="D47089" t="s">
        <v>5478</v>
      </c>
      <c r="E47089" t="s">
        <v>9948</v>
      </c>
      <c r="F47089" t="s">
        <v>14353</v>
      </c>
      <c r="G47089" t="s">
        <v>18303</v>
      </c>
      <c r="H47089" t="s">
        <v>35682</v>
      </c>
    </row>
    <row r="47090" spans="1:8">
      <c r="A47090" t="s">
        <v>4276</v>
      </c>
      <c r="B47090">
        <f>HYPERLINK("https://android.googlesource.com/platform/cts/+/e0d3ae4b5e0c4224dcfb615d44f8b4ebe23edfbe", "e0d3ae4b5e0c4224dcfb615d44f8b4ebe23edfbe")</f>
        <v>0</v>
      </c>
      <c r="C47090">
        <f>HYPERLINK("https://android.googlesource.com/platform/cts/+/052c74c16c5c0a4ad0d857b3ad7401a8b4efa23a", "052c74c16c5c0a4ad0d857b3ad7401a8b4efa23a")</f>
        <v>0</v>
      </c>
      <c r="D47090" t="s">
        <v>5653</v>
      </c>
      <c r="E47090" t="s">
        <v>9949</v>
      </c>
      <c r="F47090" t="s">
        <v>14659</v>
      </c>
      <c r="G47090" t="s">
        <v>18557</v>
      </c>
      <c r="H47090" t="s">
        <v>37344</v>
      </c>
    </row>
    <row r="47091" spans="1:8">
      <c r="H47091" t="s">
        <v>37345</v>
      </c>
    </row>
    <row r="47092" spans="1:8">
      <c r="A47092" t="s">
        <v>4277</v>
      </c>
      <c r="B47092">
        <f>HYPERLINK("https://android.googlesource.com/platform/cts/+/48d3d5701c0a1cb56016e85295afb88480b7880e", "48d3d5701c0a1cb56016e85295afb88480b7880e")</f>
        <v>0</v>
      </c>
      <c r="C47092">
        <f>HYPERLINK("https://android.googlesource.com/platform/cts/+/0dfb3c3e065db6f5e6ac7dc61dcc964aec4474c3", "0dfb3c3e065db6f5e6ac7dc61dcc964aec4474c3")</f>
        <v>0</v>
      </c>
      <c r="D47092" t="s">
        <v>5266</v>
      </c>
      <c r="E47092" t="s">
        <v>9950</v>
      </c>
      <c r="F47092" t="s">
        <v>14503</v>
      </c>
      <c r="G47092" t="s">
        <v>18431</v>
      </c>
      <c r="H47092" t="s">
        <v>20168</v>
      </c>
    </row>
    <row r="47093" spans="1:8">
      <c r="A47093" t="s">
        <v>4278</v>
      </c>
      <c r="B47093">
        <f>HYPERLINK("https://android.googlesource.com/platform/cts/+/aa8eb177ed11b321be3581ad93ca356531e5fe19", "aa8eb177ed11b321be3581ad93ca356531e5fe19")</f>
        <v>0</v>
      </c>
      <c r="C47093">
        <f>HYPERLINK("https://android.googlesource.com/platform/cts/+/696ee033f29f135a22f16e8b0f8349314dda4244", "696ee033f29f135a22f16e8b0f8349314dda4244")</f>
        <v>0</v>
      </c>
      <c r="D47093" t="s">
        <v>5575</v>
      </c>
      <c r="E47093" t="s">
        <v>9951</v>
      </c>
      <c r="F47093" t="s">
        <v>14613</v>
      </c>
      <c r="G47093" t="s">
        <v>18453</v>
      </c>
      <c r="H47093" t="s">
        <v>37346</v>
      </c>
    </row>
    <row r="47094" spans="1:8">
      <c r="H47094" t="s">
        <v>37347</v>
      </c>
    </row>
    <row r="47095" spans="1:8">
      <c r="H47095" t="s">
        <v>37008</v>
      </c>
    </row>
    <row r="47096" spans="1:8">
      <c r="F47096" t="s">
        <v>14527</v>
      </c>
      <c r="G47096" t="s">
        <v>18446</v>
      </c>
      <c r="H47096" t="s">
        <v>37348</v>
      </c>
    </row>
    <row r="47097" spans="1:8">
      <c r="H47097" t="s">
        <v>37349</v>
      </c>
    </row>
    <row r="47098" spans="1:8">
      <c r="H47098" t="s">
        <v>37009</v>
      </c>
    </row>
    <row r="47099" spans="1:8">
      <c r="A47099" t="s">
        <v>4279</v>
      </c>
      <c r="B47099">
        <f>HYPERLINK("https://android.googlesource.com/platform/cts/+/d05ac6e6d21f04d901ff7257cf4522711fa50fb6", "d05ac6e6d21f04d901ff7257cf4522711fa50fb6")</f>
        <v>0</v>
      </c>
      <c r="C47099">
        <f>HYPERLINK("https://android.googlesource.com/platform/cts/+/a83edeb5c55cb90e6fd0de02a7ce7b07dcc5bf10", "a83edeb5c55cb90e6fd0de02a7ce7b07dcc5bf10")</f>
        <v>0</v>
      </c>
      <c r="D47099" t="s">
        <v>5638</v>
      </c>
      <c r="E47099" t="s">
        <v>9950</v>
      </c>
      <c r="F47099" t="s">
        <v>14503</v>
      </c>
      <c r="G47099" t="s">
        <v>18431</v>
      </c>
      <c r="H47099" t="s">
        <v>20168</v>
      </c>
    </row>
    <row r="47100" spans="1:8">
      <c r="A47100" t="s">
        <v>4280</v>
      </c>
      <c r="B47100">
        <f>HYPERLINK("https://android.googlesource.com/platform/cts/+/545bacef4f6fdff983f76a1ed8ef69deba58aabc", "545bacef4f6fdff983f76a1ed8ef69deba58aabc")</f>
        <v>0</v>
      </c>
      <c r="C47100">
        <f>HYPERLINK("https://android.googlesource.com/platform/cts/+/27bb8c34d663ecf5389b91c0d3a3945e20b6157b", "27bb8c34d663ecf5389b91c0d3a3945e20b6157b")</f>
        <v>0</v>
      </c>
      <c r="D47100" t="s">
        <v>5638</v>
      </c>
      <c r="E47100" t="s">
        <v>9950</v>
      </c>
      <c r="F47100" t="s">
        <v>14503</v>
      </c>
      <c r="G47100" t="s">
        <v>18431</v>
      </c>
      <c r="H47100" t="s">
        <v>20168</v>
      </c>
    </row>
    <row r="47101" spans="1:8">
      <c r="A47101" t="s">
        <v>4281</v>
      </c>
      <c r="B47101">
        <f>HYPERLINK("https://android.googlesource.com/platform/cts/+/b4795eea7e02167542636bcccfefda7906e63cc7", "b4795eea7e02167542636bcccfefda7906e63cc7")</f>
        <v>0</v>
      </c>
      <c r="C47101">
        <f>HYPERLINK("https://android.googlesource.com/platform/cts/+/ceb560799e00b675955e39d6c53ab6d4fc6a1915", "ceb560799e00b675955e39d6c53ab6d4fc6a1915")</f>
        <v>0</v>
      </c>
      <c r="D47101" t="s">
        <v>5638</v>
      </c>
      <c r="E47101" t="s">
        <v>9952</v>
      </c>
      <c r="F47101" t="s">
        <v>14503</v>
      </c>
      <c r="G47101" t="s">
        <v>18431</v>
      </c>
      <c r="H47101" t="s">
        <v>20168</v>
      </c>
    </row>
    <row r="47102" spans="1:8">
      <c r="A47102" t="s">
        <v>4282</v>
      </c>
      <c r="B47102">
        <f>HYPERLINK("https://android.googlesource.com/platform/cts/+/e4aacccf55be1f03c5f65fd6f79f59729cbc948a", "e4aacccf55be1f03c5f65fd6f79f59729cbc948a")</f>
        <v>0</v>
      </c>
      <c r="C47102">
        <f>HYPERLINK("https://android.googlesource.com/platform/cts/+/cfa0265ccaa8a42b1be0fa3fe1ce1d19c0d94d65", "cfa0265ccaa8a42b1be0fa3fe1ce1d19c0d94d65")</f>
        <v>0</v>
      </c>
      <c r="D47102" t="s">
        <v>4947</v>
      </c>
      <c r="E47102" t="s">
        <v>9953</v>
      </c>
      <c r="F47102" t="s">
        <v>14660</v>
      </c>
      <c r="G47102" t="s">
        <v>18558</v>
      </c>
      <c r="H47102" t="s">
        <v>37350</v>
      </c>
    </row>
    <row r="47103" spans="1:8">
      <c r="H47103" t="s">
        <v>37351</v>
      </c>
    </row>
    <row r="47104" spans="1:8">
      <c r="A47104" t="s">
        <v>4283</v>
      </c>
      <c r="B47104">
        <f>HYPERLINK("https://android.googlesource.com/platform/cts/+/dce9826c8638ac0c60556b391e34114298e03424", "dce9826c8638ac0c60556b391e34114298e03424")</f>
        <v>0</v>
      </c>
      <c r="C47104">
        <f>HYPERLINK("https://android.googlesource.com/platform/cts/+/e31d5144fd8fca8795cf6e2c6aaa55af05f2c10f", "e31d5144fd8fca8795cf6e2c6aaa55af05f2c10f")</f>
        <v>0</v>
      </c>
      <c r="D47104" t="s">
        <v>5263</v>
      </c>
      <c r="E47104" t="s">
        <v>9954</v>
      </c>
      <c r="F47104" t="s">
        <v>13391</v>
      </c>
      <c r="G47104" t="s">
        <v>17517</v>
      </c>
      <c r="H47104" t="s">
        <v>37352</v>
      </c>
    </row>
    <row r="47105" spans="1:8">
      <c r="A47105" t="s">
        <v>4284</v>
      </c>
      <c r="B47105">
        <f>HYPERLINK("https://android.googlesource.com/platform/cts/+/493aaa7ab7cfcca86c8434798fd722a3eb453d34", "493aaa7ab7cfcca86c8434798fd722a3eb453d34")</f>
        <v>0</v>
      </c>
      <c r="C47105">
        <f>HYPERLINK("https://android.googlesource.com/platform/cts/+/df132c09aa90d8d490e91fee14d14bd4a4dd568b", "df132c09aa90d8d490e91fee14d14bd4a4dd568b")</f>
        <v>0</v>
      </c>
      <c r="D47105" t="s">
        <v>5575</v>
      </c>
      <c r="E47105" t="s">
        <v>9955</v>
      </c>
      <c r="F47105" t="s">
        <v>14613</v>
      </c>
      <c r="G47105" t="s">
        <v>18453</v>
      </c>
      <c r="H47105" t="s">
        <v>37346</v>
      </c>
    </row>
    <row r="47106" spans="1:8">
      <c r="H47106" t="s">
        <v>37347</v>
      </c>
    </row>
    <row r="47107" spans="1:8">
      <c r="H47107" t="s">
        <v>37008</v>
      </c>
    </row>
    <row r="47108" spans="1:8">
      <c r="F47108" t="s">
        <v>14527</v>
      </c>
      <c r="G47108" t="s">
        <v>18446</v>
      </c>
      <c r="H47108" t="s">
        <v>37348</v>
      </c>
    </row>
    <row r="47109" spans="1:8">
      <c r="H47109" t="s">
        <v>37349</v>
      </c>
    </row>
    <row r="47110" spans="1:8">
      <c r="H47110" t="s">
        <v>37009</v>
      </c>
    </row>
    <row r="47111" spans="1:8">
      <c r="A47111" t="s">
        <v>4285</v>
      </c>
      <c r="B47111">
        <f>HYPERLINK("https://android.googlesource.com/platform/cts/+/d4db66b7d54735fa5cf301abd03e0193846ce44e", "d4db66b7d54735fa5cf301abd03e0193846ce44e")</f>
        <v>0</v>
      </c>
      <c r="C47111">
        <f>HYPERLINK("https://android.googlesource.com/platform/cts/+/2cf98282fb494bc4a44c479fe250fa1ac6b8c235", "2cf98282fb494bc4a44c479fe250fa1ac6b8c235")</f>
        <v>0</v>
      </c>
      <c r="D47111" t="s">
        <v>5672</v>
      </c>
      <c r="E47111" t="s">
        <v>9956</v>
      </c>
      <c r="F47111" t="s">
        <v>14661</v>
      </c>
      <c r="G47111" t="s">
        <v>18559</v>
      </c>
      <c r="H47111" t="s">
        <v>35666</v>
      </c>
    </row>
    <row r="47112" spans="1:8">
      <c r="A47112" t="s">
        <v>4286</v>
      </c>
      <c r="B47112">
        <f>HYPERLINK("https://android.googlesource.com/platform/cts/+/7b58bec9b75ca5e1ea3d7c23180f3506d57046ef", "7b58bec9b75ca5e1ea3d7c23180f3506d57046ef")</f>
        <v>0</v>
      </c>
      <c r="C47112">
        <f>HYPERLINK("https://android.googlesource.com/platform/cts/+/ba40891553de3d439408716f24f743625f72c09d", "ba40891553de3d439408716f24f743625f72c09d")</f>
        <v>0</v>
      </c>
      <c r="D47112" t="s">
        <v>5040</v>
      </c>
      <c r="E47112" t="s">
        <v>9957</v>
      </c>
      <c r="F47112" t="s">
        <v>14505</v>
      </c>
      <c r="G47112" t="s">
        <v>18434</v>
      </c>
      <c r="H47112" t="s">
        <v>37353</v>
      </c>
    </row>
    <row r="47113" spans="1:8">
      <c r="A47113" t="s">
        <v>4287</v>
      </c>
      <c r="B47113">
        <f>HYPERLINK("https://android.googlesource.com/platform/cts/+/8746cf43fc15e57145b0b0fe82023ed8fb942f82", "8746cf43fc15e57145b0b0fe82023ed8fb942f82")</f>
        <v>0</v>
      </c>
      <c r="C47113">
        <f>HYPERLINK("https://android.googlesource.com/platform/cts/+/d8c72027aacb89e8ab4a3e37b81c22044c2ef001", "d8c72027aacb89e8ab4a3e37b81c22044c2ef001")</f>
        <v>0</v>
      </c>
      <c r="D47113" t="s">
        <v>5409</v>
      </c>
      <c r="E47113" t="s">
        <v>9958</v>
      </c>
      <c r="F47113" t="s">
        <v>14448</v>
      </c>
      <c r="G47113" t="s">
        <v>18383</v>
      </c>
      <c r="H47113" t="s">
        <v>35545</v>
      </c>
    </row>
    <row r="47114" spans="1:8">
      <c r="H47114" t="s">
        <v>37354</v>
      </c>
    </row>
    <row r="47115" spans="1:8">
      <c r="H47115" t="s">
        <v>37355</v>
      </c>
    </row>
    <row r="47116" spans="1:8">
      <c r="H47116" t="s">
        <v>37356</v>
      </c>
    </row>
    <row r="47117" spans="1:8">
      <c r="H47117" t="s">
        <v>37357</v>
      </c>
    </row>
    <row r="47118" spans="1:8">
      <c r="H47118" t="s">
        <v>37358</v>
      </c>
    </row>
    <row r="47119" spans="1:8">
      <c r="H47119" t="s">
        <v>37359</v>
      </c>
    </row>
    <row r="47120" spans="1:8">
      <c r="H47120" t="s">
        <v>37360</v>
      </c>
    </row>
    <row r="47121" spans="8:8">
      <c r="H47121" t="s">
        <v>37361</v>
      </c>
    </row>
    <row r="47122" spans="8:8">
      <c r="H47122" t="s">
        <v>37362</v>
      </c>
    </row>
    <row r="47123" spans="8:8">
      <c r="H47123" t="s">
        <v>37363</v>
      </c>
    </row>
    <row r="47124" spans="8:8">
      <c r="H47124" t="s">
        <v>37364</v>
      </c>
    </row>
    <row r="47125" spans="8:8">
      <c r="H47125" t="s">
        <v>37365</v>
      </c>
    </row>
    <row r="47126" spans="8:8">
      <c r="H47126" t="s">
        <v>37366</v>
      </c>
    </row>
    <row r="47127" spans="8:8">
      <c r="H47127" t="s">
        <v>37367</v>
      </c>
    </row>
    <row r="47128" spans="8:8">
      <c r="H47128" t="s">
        <v>37368</v>
      </c>
    </row>
    <row r="47129" spans="8:8">
      <c r="H47129" t="s">
        <v>37369</v>
      </c>
    </row>
    <row r="47130" spans="8:8">
      <c r="H47130" t="s">
        <v>37370</v>
      </c>
    </row>
    <row r="47131" spans="8:8">
      <c r="H47131" t="s">
        <v>37371</v>
      </c>
    </row>
    <row r="47132" spans="8:8">
      <c r="H47132" t="s">
        <v>37372</v>
      </c>
    </row>
    <row r="47133" spans="8:8">
      <c r="H47133" t="s">
        <v>37373</v>
      </c>
    </row>
    <row r="47134" spans="8:8">
      <c r="H47134" t="s">
        <v>37374</v>
      </c>
    </row>
    <row r="47135" spans="8:8">
      <c r="H47135" t="s">
        <v>37375</v>
      </c>
    </row>
    <row r="47136" spans="8:8">
      <c r="H47136" t="s">
        <v>37376</v>
      </c>
    </row>
    <row r="47137" spans="1:8">
      <c r="H47137" t="s">
        <v>37377</v>
      </c>
    </row>
    <row r="47138" spans="1:8">
      <c r="H47138" t="s">
        <v>37378</v>
      </c>
    </row>
    <row r="47139" spans="1:8">
      <c r="H47139" t="s">
        <v>37379</v>
      </c>
    </row>
    <row r="47140" spans="1:8">
      <c r="F47140" t="s">
        <v>14650</v>
      </c>
      <c r="G47140" t="s">
        <v>18554</v>
      </c>
      <c r="H47140" t="s">
        <v>37380</v>
      </c>
    </row>
    <row r="47141" spans="1:8">
      <c r="H47141" t="s">
        <v>37381</v>
      </c>
    </row>
    <row r="47142" spans="1:8">
      <c r="H47142" t="s">
        <v>37382</v>
      </c>
    </row>
    <row r="47143" spans="1:8">
      <c r="H47143" t="s">
        <v>37383</v>
      </c>
    </row>
    <row r="47144" spans="1:8">
      <c r="H47144" t="s">
        <v>37384</v>
      </c>
    </row>
    <row r="47145" spans="1:8">
      <c r="F47145" t="s">
        <v>14662</v>
      </c>
      <c r="G47145" t="s">
        <v>17984</v>
      </c>
      <c r="H47145" t="s">
        <v>36762</v>
      </c>
    </row>
    <row r="47146" spans="1:8">
      <c r="H47146" t="s">
        <v>37385</v>
      </c>
    </row>
    <row r="47147" spans="1:8">
      <c r="F47147" t="s">
        <v>14663</v>
      </c>
      <c r="G47147" t="s">
        <v>18560</v>
      </c>
      <c r="H47147" t="s">
        <v>37386</v>
      </c>
    </row>
    <row r="47148" spans="1:8">
      <c r="F47148" t="s">
        <v>14464</v>
      </c>
      <c r="G47148" t="s">
        <v>18396</v>
      </c>
      <c r="H47148" t="s">
        <v>37387</v>
      </c>
    </row>
    <row r="47149" spans="1:8">
      <c r="H47149" t="s">
        <v>37388</v>
      </c>
    </row>
    <row r="47150" spans="1:8">
      <c r="F47150" t="s">
        <v>14664</v>
      </c>
      <c r="G47150" t="s">
        <v>18561</v>
      </c>
      <c r="H47150" t="s">
        <v>37389</v>
      </c>
    </row>
    <row r="47151" spans="1:8">
      <c r="F47151" t="s">
        <v>14665</v>
      </c>
      <c r="G47151" t="s">
        <v>18126</v>
      </c>
      <c r="H47151" t="s">
        <v>37390</v>
      </c>
    </row>
    <row r="47152" spans="1:8">
      <c r="A47152" t="s">
        <v>4288</v>
      </c>
      <c r="B47152">
        <f>HYPERLINK("https://android.googlesource.com/platform/cts/+/4a5478f1b121ee9c6652ea2370f10ed85ccf0652", "4a5478f1b121ee9c6652ea2370f10ed85ccf0652")</f>
        <v>0</v>
      </c>
      <c r="C47152">
        <f>HYPERLINK("https://android.googlesource.com/platform/cts/+/8746cf43fc15e57145b0b0fe82023ed8fb942f82", "8746cf43fc15e57145b0b0fe82023ed8fb942f82")</f>
        <v>0</v>
      </c>
      <c r="D47152" t="s">
        <v>5409</v>
      </c>
      <c r="E47152" t="s">
        <v>9959</v>
      </c>
      <c r="F47152" t="s">
        <v>14666</v>
      </c>
      <c r="G47152" t="s">
        <v>16838</v>
      </c>
      <c r="H47152" t="s">
        <v>37301</v>
      </c>
    </row>
    <row r="47153" spans="1:8">
      <c r="H47153" t="s">
        <v>35545</v>
      </c>
    </row>
    <row r="47154" spans="1:8">
      <c r="A47154" t="s">
        <v>4289</v>
      </c>
      <c r="B47154">
        <f>HYPERLINK("https://android.googlesource.com/platform/cts/+/c0bd8f59e55e1484d52cf2331fbbae9b344bce39", "c0bd8f59e55e1484d52cf2331fbbae9b344bce39")</f>
        <v>0</v>
      </c>
      <c r="C47154">
        <f>HYPERLINK("https://android.googlesource.com/platform/cts/+/fcefd7cc31eb8c7e66caea789ffc43531e9b4fcb", "fcefd7cc31eb8c7e66caea789ffc43531e9b4fcb")</f>
        <v>0</v>
      </c>
      <c r="D47154" t="s">
        <v>5610</v>
      </c>
      <c r="E47154" t="s">
        <v>9960</v>
      </c>
      <c r="F47154" t="s">
        <v>14434</v>
      </c>
      <c r="G47154" t="s">
        <v>18370</v>
      </c>
      <c r="H47154" t="s">
        <v>37391</v>
      </c>
    </row>
    <row r="47155" spans="1:8">
      <c r="H47155" t="s">
        <v>37392</v>
      </c>
    </row>
    <row r="47156" spans="1:8">
      <c r="H47156" t="s">
        <v>37393</v>
      </c>
    </row>
    <row r="47157" spans="1:8">
      <c r="H47157" t="s">
        <v>37394</v>
      </c>
    </row>
    <row r="47158" spans="1:8">
      <c r="A47158" t="s">
        <v>4290</v>
      </c>
      <c r="B47158">
        <f>HYPERLINK("https://android.googlesource.com/platform/cts/+/6891a89454eac3e86b7d7b09d8d8f48955e39e0d", "6891a89454eac3e86b7d7b09d8d8f48955e39e0d")</f>
        <v>0</v>
      </c>
      <c r="C47158">
        <f>HYPERLINK("https://android.googlesource.com/platform/cts/+/445a77d404624b63e4f3272c57cda1a8384b1d61", "445a77d404624b63e4f3272c57cda1a8384b1d61")</f>
        <v>0</v>
      </c>
      <c r="D47158" t="s">
        <v>5673</v>
      </c>
      <c r="E47158" t="s">
        <v>9961</v>
      </c>
      <c r="F47158" t="s">
        <v>14667</v>
      </c>
      <c r="G47158" t="s">
        <v>18562</v>
      </c>
      <c r="H47158" t="s">
        <v>18829</v>
      </c>
    </row>
    <row r="47159" spans="1:8">
      <c r="H47159" t="s">
        <v>37395</v>
      </c>
    </row>
    <row r="47160" spans="1:8">
      <c r="H47160" t="s">
        <v>37396</v>
      </c>
    </row>
    <row r="47161" spans="1:8">
      <c r="H47161" t="s">
        <v>37397</v>
      </c>
    </row>
    <row r="47162" spans="1:8">
      <c r="H47162" t="s">
        <v>37398</v>
      </c>
    </row>
    <row r="47163" spans="1:8">
      <c r="H47163" t="s">
        <v>37399</v>
      </c>
    </row>
    <row r="47164" spans="1:8">
      <c r="H47164" t="s">
        <v>37400</v>
      </c>
    </row>
    <row r="47165" spans="1:8">
      <c r="H47165" t="s">
        <v>37401</v>
      </c>
    </row>
    <row r="47166" spans="1:8">
      <c r="H47166" t="s">
        <v>37402</v>
      </c>
    </row>
    <row r="47167" spans="1:8">
      <c r="H47167" t="s">
        <v>37403</v>
      </c>
    </row>
    <row r="47168" spans="1:8">
      <c r="H47168" t="s">
        <v>37404</v>
      </c>
    </row>
    <row r="47169" spans="6:8">
      <c r="H47169" t="s">
        <v>37405</v>
      </c>
    </row>
    <row r="47170" spans="6:8">
      <c r="F47170" t="s">
        <v>14668</v>
      </c>
      <c r="G47170" t="s">
        <v>18563</v>
      </c>
      <c r="H47170" t="s">
        <v>20083</v>
      </c>
    </row>
    <row r="47171" spans="6:8">
      <c r="H47171" t="s">
        <v>26786</v>
      </c>
    </row>
    <row r="47172" spans="6:8">
      <c r="H47172" t="s">
        <v>29835</v>
      </c>
    </row>
    <row r="47173" spans="6:8">
      <c r="H47173" t="s">
        <v>37406</v>
      </c>
    </row>
    <row r="47174" spans="6:8">
      <c r="H47174" t="s">
        <v>26262</v>
      </c>
    </row>
    <row r="47175" spans="6:8">
      <c r="H47175" t="s">
        <v>37407</v>
      </c>
    </row>
    <row r="47176" spans="6:8">
      <c r="F47176" t="s">
        <v>14669</v>
      </c>
      <c r="G47176" t="s">
        <v>18564</v>
      </c>
      <c r="H47176" t="s">
        <v>30928</v>
      </c>
    </row>
    <row r="47177" spans="6:8">
      <c r="H47177" t="s">
        <v>37408</v>
      </c>
    </row>
    <row r="47178" spans="6:8">
      <c r="H47178" t="s">
        <v>37409</v>
      </c>
    </row>
    <row r="47179" spans="6:8">
      <c r="H47179" t="s">
        <v>37410</v>
      </c>
    </row>
    <row r="47180" spans="6:8">
      <c r="H47180" t="s">
        <v>37411</v>
      </c>
    </row>
    <row r="47181" spans="6:8">
      <c r="H47181" t="s">
        <v>37412</v>
      </c>
    </row>
    <row r="47182" spans="6:8">
      <c r="H47182" t="s">
        <v>37413</v>
      </c>
    </row>
    <row r="47183" spans="6:8">
      <c r="H47183" t="s">
        <v>37414</v>
      </c>
    </row>
    <row r="47184" spans="6:8">
      <c r="F47184" t="s">
        <v>14670</v>
      </c>
      <c r="G47184" t="s">
        <v>18565</v>
      </c>
      <c r="H47184" t="s">
        <v>30928</v>
      </c>
    </row>
    <row r="47185" spans="6:8">
      <c r="H47185" t="s">
        <v>37415</v>
      </c>
    </row>
    <row r="47186" spans="6:8">
      <c r="H47186" t="s">
        <v>37416</v>
      </c>
    </row>
    <row r="47187" spans="6:8">
      <c r="H47187" t="s">
        <v>18930</v>
      </c>
    </row>
    <row r="47188" spans="6:8">
      <c r="H47188" t="s">
        <v>19372</v>
      </c>
    </row>
    <row r="47189" spans="6:8">
      <c r="H47189" t="s">
        <v>34824</v>
      </c>
    </row>
    <row r="47190" spans="6:8">
      <c r="F47190" t="s">
        <v>14671</v>
      </c>
      <c r="G47190" t="s">
        <v>18566</v>
      </c>
      <c r="H47190" t="s">
        <v>30928</v>
      </c>
    </row>
    <row r="47191" spans="6:8">
      <c r="H47191" t="s">
        <v>37417</v>
      </c>
    </row>
    <row r="47192" spans="6:8">
      <c r="H47192" t="s">
        <v>37418</v>
      </c>
    </row>
    <row r="47193" spans="6:8">
      <c r="H47193" t="s">
        <v>19538</v>
      </c>
    </row>
    <row r="47194" spans="6:8">
      <c r="H47194" t="s">
        <v>18930</v>
      </c>
    </row>
    <row r="47195" spans="6:8">
      <c r="H47195" t="s">
        <v>19372</v>
      </c>
    </row>
    <row r="47196" spans="6:8">
      <c r="H47196" t="s">
        <v>34824</v>
      </c>
    </row>
    <row r="47197" spans="6:8">
      <c r="F47197" t="s">
        <v>14672</v>
      </c>
      <c r="G47197" t="s">
        <v>18567</v>
      </c>
      <c r="H47197" t="s">
        <v>30928</v>
      </c>
    </row>
    <row r="47198" spans="6:8">
      <c r="H47198" t="s">
        <v>37419</v>
      </c>
    </row>
    <row r="47199" spans="6:8">
      <c r="H47199" t="s">
        <v>37420</v>
      </c>
    </row>
    <row r="47200" spans="6:8">
      <c r="H47200" t="s">
        <v>18930</v>
      </c>
    </row>
    <row r="47201" spans="6:8">
      <c r="H47201" t="s">
        <v>19372</v>
      </c>
    </row>
    <row r="47202" spans="6:8">
      <c r="H47202" t="s">
        <v>34824</v>
      </c>
    </row>
    <row r="47203" spans="6:8">
      <c r="F47203" t="s">
        <v>14673</v>
      </c>
      <c r="G47203" t="s">
        <v>18568</v>
      </c>
      <c r="H47203" t="s">
        <v>30928</v>
      </c>
    </row>
    <row r="47204" spans="6:8">
      <c r="H47204" t="s">
        <v>37421</v>
      </c>
    </row>
    <row r="47205" spans="6:8">
      <c r="H47205" t="s">
        <v>37409</v>
      </c>
    </row>
    <row r="47206" spans="6:8">
      <c r="H47206" t="s">
        <v>37410</v>
      </c>
    </row>
    <row r="47207" spans="6:8">
      <c r="H47207" t="s">
        <v>37411</v>
      </c>
    </row>
    <row r="47208" spans="6:8">
      <c r="H47208" t="s">
        <v>37412</v>
      </c>
    </row>
    <row r="47209" spans="6:8">
      <c r="H47209" t="s">
        <v>37413</v>
      </c>
    </row>
    <row r="47210" spans="6:8">
      <c r="H47210" t="s">
        <v>37414</v>
      </c>
    </row>
    <row r="47211" spans="6:8">
      <c r="F47211" t="s">
        <v>14674</v>
      </c>
      <c r="G47211" t="s">
        <v>18569</v>
      </c>
      <c r="H47211" t="s">
        <v>30928</v>
      </c>
    </row>
    <row r="47212" spans="6:8">
      <c r="H47212" t="s">
        <v>37422</v>
      </c>
    </row>
    <row r="47213" spans="6:8">
      <c r="H47213" t="s">
        <v>37416</v>
      </c>
    </row>
    <row r="47214" spans="6:8">
      <c r="H47214" t="s">
        <v>18930</v>
      </c>
    </row>
    <row r="47215" spans="6:8">
      <c r="H47215" t="s">
        <v>19372</v>
      </c>
    </row>
    <row r="47216" spans="6:8">
      <c r="H47216" t="s">
        <v>34824</v>
      </c>
    </row>
    <row r="47217" spans="1:8">
      <c r="F47217" t="s">
        <v>14675</v>
      </c>
      <c r="G47217" t="s">
        <v>18570</v>
      </c>
      <c r="H47217" t="s">
        <v>30928</v>
      </c>
    </row>
    <row r="47218" spans="1:8">
      <c r="H47218" t="s">
        <v>37423</v>
      </c>
    </row>
    <row r="47219" spans="1:8">
      <c r="H47219" t="s">
        <v>37418</v>
      </c>
    </row>
    <row r="47220" spans="1:8">
      <c r="H47220" t="s">
        <v>19538</v>
      </c>
    </row>
    <row r="47221" spans="1:8">
      <c r="H47221" t="s">
        <v>18930</v>
      </c>
    </row>
    <row r="47222" spans="1:8">
      <c r="H47222" t="s">
        <v>19372</v>
      </c>
    </row>
    <row r="47223" spans="1:8">
      <c r="H47223" t="s">
        <v>34824</v>
      </c>
    </row>
    <row r="47224" spans="1:8">
      <c r="F47224" t="s">
        <v>14676</v>
      </c>
      <c r="G47224" t="s">
        <v>18571</v>
      </c>
      <c r="H47224" t="s">
        <v>30928</v>
      </c>
    </row>
    <row r="47225" spans="1:8">
      <c r="H47225" t="s">
        <v>37424</v>
      </c>
    </row>
    <row r="47226" spans="1:8">
      <c r="H47226" t="s">
        <v>37420</v>
      </c>
    </row>
    <row r="47227" spans="1:8">
      <c r="H47227" t="s">
        <v>18930</v>
      </c>
    </row>
    <row r="47228" spans="1:8">
      <c r="H47228" t="s">
        <v>19372</v>
      </c>
    </row>
    <row r="47229" spans="1:8">
      <c r="H47229" t="s">
        <v>34824</v>
      </c>
    </row>
    <row r="47230" spans="1:8">
      <c r="H47230" t="s">
        <v>37425</v>
      </c>
    </row>
    <row r="47231" spans="1:8">
      <c r="H47231" t="s">
        <v>37426</v>
      </c>
    </row>
    <row r="47232" spans="1:8">
      <c r="A47232" t="s">
        <v>4291</v>
      </c>
      <c r="B47232">
        <f>HYPERLINK("https://android.googlesource.com/platform/cts/+/ca52aec5d183d8d29fd13626eb345e13c24ba1de", "ca52aec5d183d8d29fd13626eb345e13c24ba1de")</f>
        <v>0</v>
      </c>
      <c r="C47232">
        <f>HYPERLINK("https://android.googlesource.com/platform/cts/+/9c44f454415b6230bdb29a4eca3a52190aa9d675", "9c44f454415b6230bdb29a4eca3a52190aa9d675")</f>
        <v>0</v>
      </c>
      <c r="D47232" t="s">
        <v>4947</v>
      </c>
      <c r="E47232" t="s">
        <v>9962</v>
      </c>
      <c r="F47232" t="s">
        <v>14660</v>
      </c>
      <c r="G47232" t="s">
        <v>18558</v>
      </c>
      <c r="H47232" t="s">
        <v>37350</v>
      </c>
    </row>
    <row r="47233" spans="1:8">
      <c r="H47233" t="s">
        <v>37351</v>
      </c>
    </row>
    <row r="47234" spans="1:8">
      <c r="A47234" t="s">
        <v>4292</v>
      </c>
      <c r="B47234">
        <f>HYPERLINK("https://android.googlesource.com/platform/cts/+/fe1db90775907d0d58002e0f7ff84435f10a6a23", "fe1db90775907d0d58002e0f7ff84435f10a6a23")</f>
        <v>0</v>
      </c>
      <c r="C47234">
        <f>HYPERLINK("https://android.googlesource.com/platform/cts/+/0e5d5c6a9dcc0c262ec9dbf00d70313fb93053ad", "0e5d5c6a9dcc0c262ec9dbf00d70313fb93053ad")</f>
        <v>0</v>
      </c>
      <c r="D47234" t="s">
        <v>4947</v>
      </c>
      <c r="E47234" t="s">
        <v>9963</v>
      </c>
      <c r="F47234" t="s">
        <v>14660</v>
      </c>
      <c r="G47234" t="s">
        <v>18558</v>
      </c>
      <c r="H47234" t="s">
        <v>37350</v>
      </c>
    </row>
    <row r="47235" spans="1:8">
      <c r="H47235" t="s">
        <v>37351</v>
      </c>
    </row>
    <row r="47236" spans="1:8">
      <c r="A47236" t="s">
        <v>4293</v>
      </c>
      <c r="B47236">
        <f>HYPERLINK("https://android.googlesource.com/platform/cts/+/3bb215dcaab08cc863eef5424b83f05c9f7ac402", "3bb215dcaab08cc863eef5424b83f05c9f7ac402")</f>
        <v>0</v>
      </c>
      <c r="C47236">
        <f>HYPERLINK("https://android.googlesource.com/platform/cts/+/f053fa4cf5d6b95d585745967f9fb4b564cd254a", "f053fa4cf5d6b95d585745967f9fb4b564cd254a")</f>
        <v>0</v>
      </c>
      <c r="D47236" t="s">
        <v>5674</v>
      </c>
      <c r="E47236" t="s">
        <v>9964</v>
      </c>
      <c r="F47236" t="s">
        <v>14677</v>
      </c>
      <c r="G47236" t="s">
        <v>18533</v>
      </c>
      <c r="H47236" t="s">
        <v>37427</v>
      </c>
    </row>
    <row r="47237" spans="1:8">
      <c r="A47237" t="s">
        <v>4294</v>
      </c>
      <c r="B47237">
        <f>HYPERLINK("https://android.googlesource.com/platform/cts/+/5c3ede8306be0aefe3a5651f4bf1b6af58b57c0c", "5c3ede8306be0aefe3a5651f4bf1b6af58b57c0c")</f>
        <v>0</v>
      </c>
      <c r="C47237">
        <f>HYPERLINK("https://android.googlesource.com/platform/cts/+/a78dabbdef44377ccdbed97981bd57bf1d00c347", "a78dabbdef44377ccdbed97981bd57bf1d00c347")</f>
        <v>0</v>
      </c>
      <c r="D47237" t="s">
        <v>5670</v>
      </c>
      <c r="E47237" t="s">
        <v>9965</v>
      </c>
      <c r="F47237" t="s">
        <v>14678</v>
      </c>
      <c r="G47237" t="s">
        <v>18572</v>
      </c>
      <c r="H47237" t="s">
        <v>37428</v>
      </c>
    </row>
    <row r="47238" spans="1:8">
      <c r="H47238" t="s">
        <v>37429</v>
      </c>
    </row>
    <row r="47239" spans="1:8">
      <c r="H47239" t="s">
        <v>37430</v>
      </c>
    </row>
    <row r="47240" spans="1:8">
      <c r="H47240" t="s">
        <v>37431</v>
      </c>
    </row>
    <row r="47241" spans="1:8">
      <c r="F47241" t="s">
        <v>14603</v>
      </c>
      <c r="G47241" t="s">
        <v>18519</v>
      </c>
      <c r="H47241" t="s">
        <v>37428</v>
      </c>
    </row>
    <row r="47242" spans="1:8">
      <c r="H47242" t="s">
        <v>37429</v>
      </c>
    </row>
    <row r="47243" spans="1:8">
      <c r="H47243" t="s">
        <v>37430</v>
      </c>
    </row>
    <row r="47244" spans="1:8">
      <c r="H47244" t="s">
        <v>37431</v>
      </c>
    </row>
    <row r="47245" spans="1:8">
      <c r="A47245" t="s">
        <v>4295</v>
      </c>
      <c r="B47245">
        <f>HYPERLINK("https://android.googlesource.com/platform/cts/+/d71df844e5e73672ea11d75d5a420daa1e41ca73", "d71df844e5e73672ea11d75d5a420daa1e41ca73")</f>
        <v>0</v>
      </c>
      <c r="C47245">
        <f>HYPERLINK("https://android.googlesource.com/platform/cts/+/1587451ee181e2e56e5daa4609c1a4a8936c7f64", "1587451ee181e2e56e5daa4609c1a4a8936c7f64")</f>
        <v>0</v>
      </c>
      <c r="D47245" t="s">
        <v>5564</v>
      </c>
      <c r="E47245" t="s">
        <v>9966</v>
      </c>
      <c r="F47245" t="s">
        <v>10778</v>
      </c>
      <c r="G47245" t="s">
        <v>15174</v>
      </c>
      <c r="H47245" t="s">
        <v>32011</v>
      </c>
    </row>
    <row r="47246" spans="1:8">
      <c r="A47246" t="s">
        <v>4296</v>
      </c>
      <c r="B47246">
        <f>HYPERLINK("https://android.googlesource.com/platform/cts/+/4fdb202d2a817a66ec183f153d016786a0128ef2", "4fdb202d2a817a66ec183f153d016786a0128ef2")</f>
        <v>0</v>
      </c>
      <c r="C47246">
        <f>HYPERLINK("https://android.googlesource.com/platform/cts/+/4317d82bf0075c41e90c6f666e42523ab5616f8a", "4317d82bf0075c41e90c6f666e42523ab5616f8a")</f>
        <v>0</v>
      </c>
      <c r="D47246" t="s">
        <v>5564</v>
      </c>
      <c r="E47246" t="s">
        <v>9967</v>
      </c>
      <c r="F47246" t="s">
        <v>14080</v>
      </c>
      <c r="G47246" t="s">
        <v>18077</v>
      </c>
      <c r="H47246" t="s">
        <v>37111</v>
      </c>
    </row>
    <row r="47247" spans="1:8">
      <c r="H47247" t="s">
        <v>37112</v>
      </c>
    </row>
    <row r="47248" spans="1:8">
      <c r="H47248" t="s">
        <v>37113</v>
      </c>
    </row>
    <row r="47249" spans="8:8">
      <c r="H47249" t="s">
        <v>37114</v>
      </c>
    </row>
    <row r="47250" spans="8:8">
      <c r="H47250" t="s">
        <v>37115</v>
      </c>
    </row>
    <row r="47251" spans="8:8">
      <c r="H47251" t="s">
        <v>37116</v>
      </c>
    </row>
    <row r="47252" spans="8:8">
      <c r="H47252" t="s">
        <v>37117</v>
      </c>
    </row>
    <row r="47253" spans="8:8">
      <c r="H47253" t="s">
        <v>37118</v>
      </c>
    </row>
    <row r="47254" spans="8:8">
      <c r="H47254" t="s">
        <v>20014</v>
      </c>
    </row>
    <row r="47255" spans="8:8">
      <c r="H47255" t="s">
        <v>37119</v>
      </c>
    </row>
    <row r="47256" spans="8:8">
      <c r="H47256" t="s">
        <v>37120</v>
      </c>
    </row>
    <row r="47257" spans="8:8">
      <c r="H47257" t="s">
        <v>37121</v>
      </c>
    </row>
    <row r="47258" spans="8:8">
      <c r="H47258" t="s">
        <v>37122</v>
      </c>
    </row>
    <row r="47259" spans="8:8">
      <c r="H47259" t="s">
        <v>37123</v>
      </c>
    </row>
    <row r="47260" spans="8:8">
      <c r="H47260" t="s">
        <v>37122</v>
      </c>
    </row>
    <row r="47261" spans="8:8">
      <c r="H47261" t="s">
        <v>37124</v>
      </c>
    </row>
    <row r="47262" spans="8:8">
      <c r="H47262" t="s">
        <v>25954</v>
      </c>
    </row>
    <row r="47263" spans="8:8">
      <c r="H47263" t="s">
        <v>37125</v>
      </c>
    </row>
    <row r="47264" spans="8:8">
      <c r="H47264" t="s">
        <v>37126</v>
      </c>
    </row>
    <row r="47265" spans="1:8">
      <c r="H47265" t="s">
        <v>18930</v>
      </c>
    </row>
    <row r="47266" spans="1:8">
      <c r="H47266" t="s">
        <v>37127</v>
      </c>
    </row>
    <row r="47267" spans="1:8">
      <c r="H47267" t="s">
        <v>37128</v>
      </c>
    </row>
    <row r="47268" spans="1:8">
      <c r="F47268" t="s">
        <v>12185</v>
      </c>
      <c r="G47268" t="s">
        <v>16424</v>
      </c>
      <c r="H47268" t="s">
        <v>37129</v>
      </c>
    </row>
    <row r="47269" spans="1:8">
      <c r="H47269" t="s">
        <v>37130</v>
      </c>
    </row>
    <row r="47270" spans="1:8">
      <c r="F47270" t="s">
        <v>14230</v>
      </c>
      <c r="G47270" t="s">
        <v>18202</v>
      </c>
      <c r="H47270" t="s">
        <v>37131</v>
      </c>
    </row>
    <row r="47271" spans="1:8">
      <c r="A47271" t="s">
        <v>4297</v>
      </c>
      <c r="B47271">
        <f>HYPERLINK("https://android.googlesource.com/platform/cts/+/f86a88f62bb8f22de60202cd2932d41da2974024", "f86a88f62bb8f22de60202cd2932d41da2974024")</f>
        <v>0</v>
      </c>
      <c r="C47271">
        <f>HYPERLINK("https://android.googlesource.com/platform/cts/+/33ad3e3be507eb5dc60d73acc006fc4cb73b58f7", "33ad3e3be507eb5dc60d73acc006fc4cb73b58f7")</f>
        <v>0</v>
      </c>
      <c r="D47271" t="s">
        <v>5675</v>
      </c>
      <c r="E47271" t="s">
        <v>9968</v>
      </c>
      <c r="F47271" t="s">
        <v>10715</v>
      </c>
      <c r="G47271" t="s">
        <v>15114</v>
      </c>
      <c r="H47271" t="s">
        <v>37432</v>
      </c>
    </row>
    <row r="47272" spans="1:8">
      <c r="A47272" t="s">
        <v>4298</v>
      </c>
      <c r="B47272">
        <f>HYPERLINK("https://android.googlesource.com/platform/cts/+/ba85310460bf2fd1d2ed070aa493b031cd2d1298", "ba85310460bf2fd1d2ed070aa493b031cd2d1298")</f>
        <v>0</v>
      </c>
      <c r="C47272">
        <f>HYPERLINK("https://android.googlesource.com/platform/cts/+/dd712d010488cc4bd8dd648e7c71267a4e6d4636", "dd712d010488cc4bd8dd648e7c71267a4e6d4636")</f>
        <v>0</v>
      </c>
      <c r="D47272" t="s">
        <v>5564</v>
      </c>
      <c r="E47272" t="s">
        <v>9969</v>
      </c>
      <c r="F47272" t="s">
        <v>13790</v>
      </c>
      <c r="G47272" t="s">
        <v>17519</v>
      </c>
      <c r="H47272" t="s">
        <v>37036</v>
      </c>
    </row>
    <row r="47273" spans="1:8">
      <c r="H47273" t="s">
        <v>37037</v>
      </c>
    </row>
    <row r="47274" spans="1:8">
      <c r="H47274" t="s">
        <v>37038</v>
      </c>
    </row>
    <row r="47275" spans="1:8">
      <c r="H47275" t="s">
        <v>37039</v>
      </c>
    </row>
    <row r="47276" spans="1:8">
      <c r="H47276" t="s">
        <v>37040</v>
      </c>
    </row>
    <row r="47277" spans="1:8">
      <c r="H47277" t="s">
        <v>37041</v>
      </c>
    </row>
    <row r="47278" spans="1:8">
      <c r="A47278" t="s">
        <v>4299</v>
      </c>
      <c r="B47278">
        <f>HYPERLINK("https://android.googlesource.com/platform/cts/+/cc9217d6b98985155ee2f7a64c173649302e4085", "cc9217d6b98985155ee2f7a64c173649302e4085")</f>
        <v>0</v>
      </c>
      <c r="C47278">
        <f>HYPERLINK("https://android.googlesource.com/platform/cts/+/43616b074cd9008a17652cf0baf4dd145f93850d", "43616b074cd9008a17652cf0baf4dd145f93850d")</f>
        <v>0</v>
      </c>
      <c r="D47278" t="s">
        <v>5449</v>
      </c>
      <c r="E47278" t="s">
        <v>9970</v>
      </c>
      <c r="F47278" t="s">
        <v>14646</v>
      </c>
      <c r="G47278" t="s">
        <v>18419</v>
      </c>
      <c r="H47278" t="s">
        <v>37264</v>
      </c>
    </row>
    <row r="47279" spans="1:8">
      <c r="H47279" t="s">
        <v>36186</v>
      </c>
    </row>
    <row r="47280" spans="1:8">
      <c r="A47280" t="s">
        <v>4300</v>
      </c>
      <c r="B47280">
        <f>HYPERLINK("https://android.googlesource.com/platform/cts/+/cda88f95929b2109437ab16e5a00142f784678fe", "cda88f95929b2109437ab16e5a00142f784678fe")</f>
        <v>0</v>
      </c>
      <c r="C47280">
        <f>HYPERLINK("https://android.googlesource.com/platform/cts/+/f1b0d10eb9fd0ba811e2730928c3167aaf1c180e", "f1b0d10eb9fd0ba811e2730928c3167aaf1c180e")</f>
        <v>0</v>
      </c>
      <c r="D47280" t="s">
        <v>5676</v>
      </c>
      <c r="E47280" t="s">
        <v>9971</v>
      </c>
      <c r="F47280" t="s">
        <v>14679</v>
      </c>
      <c r="G47280" t="s">
        <v>18573</v>
      </c>
      <c r="H47280" t="s">
        <v>37433</v>
      </c>
    </row>
    <row r="47281" spans="1:8">
      <c r="F47281" t="s">
        <v>14680</v>
      </c>
      <c r="G47281" t="s">
        <v>18574</v>
      </c>
      <c r="H47281" t="s">
        <v>37433</v>
      </c>
    </row>
    <row r="47282" spans="1:8">
      <c r="F47282" t="s">
        <v>13912</v>
      </c>
      <c r="G47282" t="s">
        <v>17949</v>
      </c>
      <c r="H47282" t="s">
        <v>37434</v>
      </c>
    </row>
    <row r="47283" spans="1:8">
      <c r="H47283" t="s">
        <v>37435</v>
      </c>
    </row>
    <row r="47284" spans="1:8">
      <c r="H47284" t="s">
        <v>37436</v>
      </c>
    </row>
    <row r="47285" spans="1:8">
      <c r="H47285" t="s">
        <v>37437</v>
      </c>
    </row>
    <row r="47286" spans="1:8">
      <c r="A47286" t="s">
        <v>4301</v>
      </c>
      <c r="B47286">
        <f>HYPERLINK("https://android.googlesource.com/platform/cts/+/30d97509c453f07b8e77ec0be25f1017e7ee088b", "30d97509c453f07b8e77ec0be25f1017e7ee088b")</f>
        <v>0</v>
      </c>
      <c r="C47286">
        <f>HYPERLINK("https://android.googlesource.com/platform/cts/+/4cdb93d3d9d80590f8a856e1d56bfc66699fd37c", "4cdb93d3d9d80590f8a856e1d56bfc66699fd37c")</f>
        <v>0</v>
      </c>
      <c r="D47286" t="s">
        <v>5046</v>
      </c>
      <c r="E47286" t="s">
        <v>9972</v>
      </c>
      <c r="F47286" t="s">
        <v>14656</v>
      </c>
      <c r="G47286" t="s">
        <v>17535</v>
      </c>
      <c r="H47286" t="s">
        <v>37335</v>
      </c>
    </row>
    <row r="47287" spans="1:8">
      <c r="H47287" t="s">
        <v>37335</v>
      </c>
    </row>
    <row r="47288" spans="1:8">
      <c r="H47288" t="s">
        <v>19475</v>
      </c>
    </row>
    <row r="47289" spans="1:8">
      <c r="A47289" t="s">
        <v>4302</v>
      </c>
      <c r="B47289">
        <f>HYPERLINK("https://android.googlesource.com/platform/cts/+/1037d0c4ff94272e92163fe0a34c5d2d4e1df426", "1037d0c4ff94272e92163fe0a34c5d2d4e1df426")</f>
        <v>0</v>
      </c>
      <c r="C47289">
        <f>HYPERLINK("https://android.googlesource.com/platform/cts/+/24278a9a5563b694edeaf2714c0cb309048994dc", "24278a9a5563b694edeaf2714c0cb309048994dc")</f>
        <v>0</v>
      </c>
      <c r="D47289" t="s">
        <v>5409</v>
      </c>
      <c r="E47289" t="s">
        <v>9973</v>
      </c>
      <c r="F47289" t="s">
        <v>14435</v>
      </c>
      <c r="G47289" t="s">
        <v>18371</v>
      </c>
      <c r="H47289" t="s">
        <v>35886</v>
      </c>
    </row>
    <row r="47290" spans="1:8">
      <c r="H47290" t="s">
        <v>35887</v>
      </c>
    </row>
    <row r="47291" spans="1:8">
      <c r="H47291" t="s">
        <v>35888</v>
      </c>
    </row>
    <row r="47292" spans="1:8">
      <c r="H47292" t="s">
        <v>37438</v>
      </c>
    </row>
    <row r="47293" spans="1:8">
      <c r="H47293" t="s">
        <v>37439</v>
      </c>
    </row>
    <row r="47294" spans="1:8">
      <c r="F47294" t="s">
        <v>14415</v>
      </c>
      <c r="G47294" t="s">
        <v>18353</v>
      </c>
      <c r="H47294" t="s">
        <v>37440</v>
      </c>
    </row>
    <row r="47295" spans="1:8">
      <c r="H47295" t="s">
        <v>37441</v>
      </c>
    </row>
    <row r="47296" spans="1:8">
      <c r="H47296" t="s">
        <v>37442</v>
      </c>
    </row>
    <row r="47297" spans="1:8">
      <c r="H47297" t="s">
        <v>37443</v>
      </c>
    </row>
    <row r="47298" spans="1:8">
      <c r="H47298" t="s">
        <v>37444</v>
      </c>
    </row>
    <row r="47299" spans="1:8">
      <c r="H47299" t="s">
        <v>37445</v>
      </c>
    </row>
    <row r="47300" spans="1:8">
      <c r="H47300" t="s">
        <v>37446</v>
      </c>
    </row>
    <row r="47301" spans="1:8">
      <c r="H47301" t="s">
        <v>37447</v>
      </c>
    </row>
    <row r="47302" spans="1:8">
      <c r="H47302" t="s">
        <v>37448</v>
      </c>
    </row>
    <row r="47303" spans="1:8">
      <c r="H47303" t="s">
        <v>37449</v>
      </c>
    </row>
    <row r="47304" spans="1:8">
      <c r="H47304" t="s">
        <v>37450</v>
      </c>
    </row>
    <row r="47305" spans="1:8">
      <c r="H47305" t="s">
        <v>37451</v>
      </c>
    </row>
    <row r="47306" spans="1:8">
      <c r="H47306" t="s">
        <v>37452</v>
      </c>
    </row>
    <row r="47307" spans="1:8">
      <c r="H47307" t="s">
        <v>37453</v>
      </c>
    </row>
    <row r="47308" spans="1:8">
      <c r="H47308" t="s">
        <v>37454</v>
      </c>
    </row>
    <row r="47309" spans="1:8">
      <c r="H47309" t="s">
        <v>37455</v>
      </c>
    </row>
    <row r="47310" spans="1:8">
      <c r="H47310" t="s">
        <v>37456</v>
      </c>
    </row>
    <row r="47311" spans="1:8">
      <c r="H47311" t="s">
        <v>37457</v>
      </c>
    </row>
    <row r="47312" spans="1:8">
      <c r="A47312" t="s">
        <v>4303</v>
      </c>
      <c r="B47312">
        <f>HYPERLINK("https://android.googlesource.com/platform/cts/+/84ab05f64b378e5a62a3460717c92d8a22c3a2e6", "84ab05f64b378e5a62a3460717c92d8a22c3a2e6")</f>
        <v>0</v>
      </c>
      <c r="C47312">
        <f>HYPERLINK("https://android.googlesource.com/platform/cts/+/e50529eaa641eff2700a2190b7d4c6d2ba5232a0", "e50529eaa641eff2700a2190b7d4c6d2ba5232a0")</f>
        <v>0</v>
      </c>
      <c r="D47312" t="s">
        <v>5673</v>
      </c>
      <c r="E47312" t="s">
        <v>9974</v>
      </c>
      <c r="F47312" t="s">
        <v>14681</v>
      </c>
      <c r="G47312" t="s">
        <v>18575</v>
      </c>
      <c r="H47312" t="s">
        <v>37458</v>
      </c>
    </row>
    <row r="47313" spans="1:8">
      <c r="H47313" t="s">
        <v>19743</v>
      </c>
    </row>
    <row r="47314" spans="1:8">
      <c r="H47314" t="s">
        <v>37459</v>
      </c>
    </row>
    <row r="47315" spans="1:8">
      <c r="A47315" t="s">
        <v>4304</v>
      </c>
      <c r="B47315">
        <f>HYPERLINK("https://android.googlesource.com/platform/cts/+/a29fefe06bcc3fe0aa647a412baf862926916efb", "a29fefe06bcc3fe0aa647a412baf862926916efb")</f>
        <v>0</v>
      </c>
      <c r="C47315">
        <f>HYPERLINK("https://android.googlesource.com/platform/cts/+/1037d0c4ff94272e92163fe0a34c5d2d4e1df426", "1037d0c4ff94272e92163fe0a34c5d2d4e1df426")</f>
        <v>0</v>
      </c>
      <c r="D47315" t="s">
        <v>5409</v>
      </c>
      <c r="E47315" t="s">
        <v>9975</v>
      </c>
      <c r="F47315" t="s">
        <v>14682</v>
      </c>
      <c r="G47315" t="s">
        <v>18576</v>
      </c>
      <c r="H47315" t="s">
        <v>37460</v>
      </c>
    </row>
    <row r="47316" spans="1:8">
      <c r="F47316" t="s">
        <v>14683</v>
      </c>
      <c r="G47316" t="s">
        <v>18499</v>
      </c>
      <c r="H47316" t="s">
        <v>18954</v>
      </c>
    </row>
    <row r="47317" spans="1:8">
      <c r="A47317" t="s">
        <v>4305</v>
      </c>
      <c r="B47317">
        <f>HYPERLINK("https://android.googlesource.com/platform/cts/+/c8ad0bfd00b8af7da8ec21c9fffb8ac5067eca25", "c8ad0bfd00b8af7da8ec21c9fffb8ac5067eca25")</f>
        <v>0</v>
      </c>
      <c r="C47317">
        <f>HYPERLINK("https://android.googlesource.com/platform/cts/+/e9a90d4104c283c003086afec8f84f0ab93c41a0", "e9a90d4104c283c003086afec8f84f0ab93c41a0")</f>
        <v>0</v>
      </c>
      <c r="D47317" t="s">
        <v>5478</v>
      </c>
      <c r="E47317" t="s">
        <v>9976</v>
      </c>
      <c r="F47317" t="s">
        <v>14633</v>
      </c>
      <c r="G47317" t="s">
        <v>18543</v>
      </c>
      <c r="H47317" t="s">
        <v>37461</v>
      </c>
    </row>
    <row r="47318" spans="1:8">
      <c r="A47318" t="s">
        <v>4306</v>
      </c>
      <c r="B47318">
        <f>HYPERLINK("https://android.googlesource.com/platform/cts/+/a9ffe30f5c6e432bdac4024019f38a94478b1c21", "a9ffe30f5c6e432bdac4024019f38a94478b1c21")</f>
        <v>0</v>
      </c>
      <c r="C47318">
        <f>HYPERLINK("https://android.googlesource.com/platform/cts/+/e13770a599867f5e73ba059222880d418790f69a", "e13770a599867f5e73ba059222880d418790f69a")</f>
        <v>0</v>
      </c>
      <c r="D47318" t="s">
        <v>5409</v>
      </c>
      <c r="E47318" t="s">
        <v>9977</v>
      </c>
      <c r="F47318" t="s">
        <v>14684</v>
      </c>
      <c r="G47318" t="s">
        <v>18577</v>
      </c>
      <c r="H47318" t="s">
        <v>19981</v>
      </c>
    </row>
    <row r="47319" spans="1:8">
      <c r="A47319" t="s">
        <v>4307</v>
      </c>
      <c r="B47319">
        <f>HYPERLINK("https://android.googlesource.com/platform/cts/+/966f8171b9baef889ff9aef096174a42d7263348", "966f8171b9baef889ff9aef096174a42d7263348")</f>
        <v>0</v>
      </c>
      <c r="C47319">
        <f>HYPERLINK("https://android.googlesource.com/platform/cts/+/2412d99bff0623939582be5b8022d616307da6d8", "2412d99bff0623939582be5b8022d616307da6d8")</f>
        <v>0</v>
      </c>
      <c r="D47319" t="s">
        <v>5409</v>
      </c>
      <c r="E47319" t="s">
        <v>9978</v>
      </c>
      <c r="F47319" t="s">
        <v>13815</v>
      </c>
      <c r="G47319" t="s">
        <v>17862</v>
      </c>
      <c r="H47319" t="s">
        <v>37462</v>
      </c>
    </row>
    <row r="47320" spans="1:8">
      <c r="H47320" t="s">
        <v>37463</v>
      </c>
    </row>
    <row r="47321" spans="1:8">
      <c r="H47321" t="s">
        <v>37464</v>
      </c>
    </row>
    <row r="47322" spans="1:8">
      <c r="H47322" t="s">
        <v>37465</v>
      </c>
    </row>
    <row r="47323" spans="1:8">
      <c r="H47323" t="s">
        <v>37466</v>
      </c>
    </row>
    <row r="47324" spans="1:8">
      <c r="H47324" t="s">
        <v>37467</v>
      </c>
    </row>
    <row r="47325" spans="1:8">
      <c r="H47325" t="s">
        <v>37468</v>
      </c>
    </row>
    <row r="47326" spans="1:8">
      <c r="H47326" t="s">
        <v>37469</v>
      </c>
    </row>
    <row r="47327" spans="1:8">
      <c r="H47327" t="s">
        <v>33376</v>
      </c>
    </row>
    <row r="47328" spans="1:8">
      <c r="H47328" t="s">
        <v>37470</v>
      </c>
    </row>
    <row r="47329" spans="1:8">
      <c r="H47329" t="s">
        <v>37471</v>
      </c>
    </row>
    <row r="47330" spans="1:8">
      <c r="H47330" t="s">
        <v>37472</v>
      </c>
    </row>
    <row r="47331" spans="1:8">
      <c r="H47331" t="s">
        <v>37473</v>
      </c>
    </row>
    <row r="47332" spans="1:8">
      <c r="F47332" t="s">
        <v>12743</v>
      </c>
      <c r="G47332" t="s">
        <v>16935</v>
      </c>
      <c r="H47332" t="s">
        <v>25778</v>
      </c>
    </row>
    <row r="47333" spans="1:8">
      <c r="H47333" t="s">
        <v>37474</v>
      </c>
    </row>
    <row r="47334" spans="1:8">
      <c r="H47334" t="s">
        <v>37475</v>
      </c>
    </row>
    <row r="47335" spans="1:8">
      <c r="H47335" t="s">
        <v>37476</v>
      </c>
    </row>
    <row r="47336" spans="1:8">
      <c r="H47336" t="s">
        <v>37469</v>
      </c>
    </row>
    <row r="47337" spans="1:8">
      <c r="F47337" t="s">
        <v>13229</v>
      </c>
      <c r="G47337" t="s">
        <v>17370</v>
      </c>
      <c r="H47337" t="s">
        <v>37477</v>
      </c>
    </row>
    <row r="47338" spans="1:8">
      <c r="H47338" t="s">
        <v>37475</v>
      </c>
    </row>
    <row r="47339" spans="1:8">
      <c r="H47339" t="s">
        <v>37469</v>
      </c>
    </row>
    <row r="47340" spans="1:8">
      <c r="H47340" t="s">
        <v>25778</v>
      </c>
    </row>
    <row r="47341" spans="1:8">
      <c r="H47341" t="s">
        <v>37478</v>
      </c>
    </row>
    <row r="47342" spans="1:8">
      <c r="H47342" t="s">
        <v>37479</v>
      </c>
    </row>
    <row r="47343" spans="1:8">
      <c r="F47343" t="s">
        <v>13136</v>
      </c>
      <c r="G47343" t="s">
        <v>17293</v>
      </c>
      <c r="H47343" t="s">
        <v>25778</v>
      </c>
    </row>
    <row r="47344" spans="1:8">
      <c r="A47344" t="s">
        <v>4308</v>
      </c>
      <c r="B47344">
        <f>HYPERLINK("https://android.googlesource.com/platform/cts/+/4ff50ba3bd079f37026c946d862c306acd3728f9", "4ff50ba3bd079f37026c946d862c306acd3728f9")</f>
        <v>0</v>
      </c>
      <c r="C47344">
        <f>HYPERLINK("https://android.googlesource.com/platform/cts/+/ba9cff808100137c310be6800e63bfb2886c26c1", "ba9cff808100137c310be6800e63bfb2886c26c1")</f>
        <v>0</v>
      </c>
      <c r="D47344" t="s">
        <v>5673</v>
      </c>
      <c r="E47344" t="s">
        <v>9979</v>
      </c>
      <c r="F47344" t="s">
        <v>14685</v>
      </c>
      <c r="G47344" t="s">
        <v>18575</v>
      </c>
      <c r="H47344" t="s">
        <v>37480</v>
      </c>
    </row>
    <row r="47345" spans="1:8">
      <c r="H47345" t="s">
        <v>19743</v>
      </c>
    </row>
    <row r="47346" spans="1:8">
      <c r="H47346" t="s">
        <v>18893</v>
      </c>
    </row>
    <row r="47347" spans="1:8">
      <c r="H47347" t="s">
        <v>37459</v>
      </c>
    </row>
    <row r="47348" spans="1:8">
      <c r="A47348" t="s">
        <v>4309</v>
      </c>
      <c r="B47348">
        <f>HYPERLINK("https://android.googlesource.com/platform/cts/+/2a67a4a8d4a03b068171698339ba78e8511b626a", "2a67a4a8d4a03b068171698339ba78e8511b626a")</f>
        <v>0</v>
      </c>
      <c r="C47348">
        <f>HYPERLINK("https://android.googlesource.com/platform/cts/+/fd75a4302a4b8a1f80457ad54358f5423e73faef", "fd75a4302a4b8a1f80457ad54358f5423e73faef")</f>
        <v>0</v>
      </c>
      <c r="D47348" t="s">
        <v>5449</v>
      </c>
      <c r="E47348" t="s">
        <v>9980</v>
      </c>
      <c r="F47348" t="s">
        <v>14655</v>
      </c>
      <c r="G47348" t="s">
        <v>18318</v>
      </c>
      <c r="H47348" t="s">
        <v>35667</v>
      </c>
    </row>
    <row r="47349" spans="1:8">
      <c r="A47349" t="s">
        <v>4310</v>
      </c>
      <c r="B47349">
        <f>HYPERLINK("https://android.googlesource.com/platform/cts/+/b4d225ea634b26347abc1337446f0ab6adbc4949", "b4d225ea634b26347abc1337446f0ab6adbc4949")</f>
        <v>0</v>
      </c>
      <c r="C47349">
        <f>HYPERLINK("https://android.googlesource.com/platform/cts/+/b0082c2ed4828ccd4313c5005f1f5da51b82e0c7", "b0082c2ed4828ccd4313c5005f1f5da51b82e0c7")</f>
        <v>0</v>
      </c>
      <c r="D47349" t="s">
        <v>5677</v>
      </c>
      <c r="E47349" t="s">
        <v>9981</v>
      </c>
      <c r="F47349" t="s">
        <v>13165</v>
      </c>
      <c r="G47349" t="s">
        <v>17315</v>
      </c>
      <c r="H47349" t="s">
        <v>37481</v>
      </c>
    </row>
    <row r="47350" spans="1:8">
      <c r="H47350" t="s">
        <v>37482</v>
      </c>
    </row>
    <row r="47351" spans="1:8">
      <c r="H47351" t="s">
        <v>37483</v>
      </c>
    </row>
    <row r="47352" spans="1:8">
      <c r="H47352" t="s">
        <v>37484</v>
      </c>
    </row>
    <row r="47353" spans="1:8">
      <c r="H47353" t="s">
        <v>37485</v>
      </c>
    </row>
    <row r="47354" spans="1:8">
      <c r="H47354" t="s">
        <v>37486</v>
      </c>
    </row>
    <row r="47355" spans="1:8">
      <c r="A47355" t="s">
        <v>4311</v>
      </c>
      <c r="B47355">
        <f>HYPERLINK("https://android.googlesource.com/platform/cts/+/4999a256fdaa0539b83f0a961b9c2cf1b10616d8", "4999a256fdaa0539b83f0a961b9c2cf1b10616d8")</f>
        <v>0</v>
      </c>
      <c r="C47355">
        <f>HYPERLINK("https://android.googlesource.com/platform/cts/+/224b0ea838b9995e1434f86eb87d2160f155799c", "224b0ea838b9995e1434f86eb87d2160f155799c")</f>
        <v>0</v>
      </c>
      <c r="D47355" t="s">
        <v>5366</v>
      </c>
      <c r="E47355" t="s">
        <v>9982</v>
      </c>
      <c r="F47355" t="s">
        <v>14686</v>
      </c>
      <c r="G47355" t="s">
        <v>16571</v>
      </c>
      <c r="H47355" t="s">
        <v>37487</v>
      </c>
    </row>
    <row r="47356" spans="1:8">
      <c r="A47356" t="s">
        <v>4312</v>
      </c>
      <c r="B47356">
        <f>HYPERLINK("https://android.googlesource.com/platform/cts/+/79511e16e638d5167d14b3b5585f7d69ef9264c9", "79511e16e638d5167d14b3b5585f7d69ef9264c9")</f>
        <v>0</v>
      </c>
      <c r="C47356">
        <f>HYPERLINK("https://android.googlesource.com/platform/cts/+/1aa123151cd9000ddcbd5dedf50526b412be91e3", "1aa123151cd9000ddcbd5dedf50526b412be91e3")</f>
        <v>0</v>
      </c>
      <c r="D47356" t="s">
        <v>5597</v>
      </c>
      <c r="E47356" t="s">
        <v>9983</v>
      </c>
      <c r="F47356" t="s">
        <v>14051</v>
      </c>
      <c r="G47356" t="s">
        <v>18050</v>
      </c>
      <c r="H47356" t="s">
        <v>29587</v>
      </c>
    </row>
    <row r="47357" spans="1:8">
      <c r="H47357" t="s">
        <v>29587</v>
      </c>
    </row>
    <row r="47358" spans="1:8">
      <c r="H47358" t="s">
        <v>33483</v>
      </c>
    </row>
    <row r="47359" spans="1:8">
      <c r="H47359" t="s">
        <v>18829</v>
      </c>
    </row>
    <row r="47360" spans="1:8">
      <c r="H47360" t="s">
        <v>19982</v>
      </c>
    </row>
    <row r="47361" spans="8:8">
      <c r="H47361" t="s">
        <v>37211</v>
      </c>
    </row>
    <row r="47362" spans="8:8">
      <c r="H47362" t="s">
        <v>37212</v>
      </c>
    </row>
    <row r="47363" spans="8:8">
      <c r="H47363" t="s">
        <v>37213</v>
      </c>
    </row>
    <row r="47364" spans="8:8">
      <c r="H47364" t="s">
        <v>37214</v>
      </c>
    </row>
    <row r="47365" spans="8:8">
      <c r="H47365" t="s">
        <v>37215</v>
      </c>
    </row>
    <row r="47366" spans="8:8">
      <c r="H47366" t="s">
        <v>37216</v>
      </c>
    </row>
    <row r="47367" spans="8:8">
      <c r="H47367" t="s">
        <v>37217</v>
      </c>
    </row>
    <row r="47368" spans="8:8">
      <c r="H47368" t="s">
        <v>37218</v>
      </c>
    </row>
    <row r="47369" spans="8:8">
      <c r="H47369" t="s">
        <v>37219</v>
      </c>
    </row>
    <row r="47370" spans="8:8">
      <c r="H47370" t="s">
        <v>37220</v>
      </c>
    </row>
    <row r="47371" spans="8:8">
      <c r="H47371" t="s">
        <v>37221</v>
      </c>
    </row>
    <row r="47372" spans="8:8">
      <c r="H47372" t="s">
        <v>37222</v>
      </c>
    </row>
    <row r="47373" spans="8:8">
      <c r="H47373" t="s">
        <v>37223</v>
      </c>
    </row>
    <row r="47374" spans="8:8">
      <c r="H47374" t="s">
        <v>37224</v>
      </c>
    </row>
    <row r="47375" spans="8:8">
      <c r="H47375" t="s">
        <v>25960</v>
      </c>
    </row>
    <row r="47376" spans="8:8">
      <c r="H47376" t="s">
        <v>37225</v>
      </c>
    </row>
    <row r="47377" spans="6:8">
      <c r="H47377" t="s">
        <v>29898</v>
      </c>
    </row>
    <row r="47378" spans="6:8">
      <c r="F47378" t="s">
        <v>14640</v>
      </c>
      <c r="G47378" t="s">
        <v>18086</v>
      </c>
      <c r="H47378" t="s">
        <v>33378</v>
      </c>
    </row>
    <row r="47379" spans="6:8">
      <c r="H47379" t="s">
        <v>33379</v>
      </c>
    </row>
    <row r="47380" spans="6:8">
      <c r="H47380" t="s">
        <v>37226</v>
      </c>
    </row>
    <row r="47381" spans="6:8">
      <c r="H47381" t="s">
        <v>19019</v>
      </c>
    </row>
    <row r="47382" spans="6:8">
      <c r="H47382" t="s">
        <v>20083</v>
      </c>
    </row>
    <row r="47383" spans="6:8">
      <c r="H47383" t="s">
        <v>19538</v>
      </c>
    </row>
    <row r="47384" spans="6:8">
      <c r="H47384" t="s">
        <v>37227</v>
      </c>
    </row>
    <row r="47385" spans="6:8">
      <c r="H47385" t="s">
        <v>37228</v>
      </c>
    </row>
    <row r="47386" spans="6:8">
      <c r="H47386" t="s">
        <v>33203</v>
      </c>
    </row>
    <row r="47387" spans="6:8">
      <c r="H47387" t="s">
        <v>37229</v>
      </c>
    </row>
    <row r="47388" spans="6:8">
      <c r="F47388" t="s">
        <v>14190</v>
      </c>
      <c r="G47388" t="s">
        <v>18169</v>
      </c>
      <c r="H47388" t="s">
        <v>37226</v>
      </c>
    </row>
    <row r="47389" spans="6:8">
      <c r="H47389" t="s">
        <v>37230</v>
      </c>
    </row>
    <row r="47390" spans="6:8">
      <c r="H47390" t="s">
        <v>37231</v>
      </c>
    </row>
    <row r="47391" spans="6:8">
      <c r="H47391" t="s">
        <v>37232</v>
      </c>
    </row>
    <row r="47392" spans="6:8">
      <c r="H47392" t="s">
        <v>20237</v>
      </c>
    </row>
    <row r="47393" spans="1:8">
      <c r="H47393" t="s">
        <v>37233</v>
      </c>
    </row>
    <row r="47394" spans="1:8">
      <c r="A47394" t="s">
        <v>4313</v>
      </c>
      <c r="B47394">
        <f>HYPERLINK("https://android.googlesource.com/platform/cts/+/aec4aff93ae52f1c07fc174f80dac5ccaf3d03fd", "aec4aff93ae52f1c07fc174f80dac5ccaf3d03fd")</f>
        <v>0</v>
      </c>
      <c r="C47394">
        <f>HYPERLINK("https://android.googlesource.com/platform/cts/+/63bc5529bbc07663daf38279eabd3b509916238c", "63bc5529bbc07663daf38279eabd3b509916238c")</f>
        <v>0</v>
      </c>
      <c r="D47394" t="s">
        <v>5272</v>
      </c>
      <c r="E47394" t="s">
        <v>9984</v>
      </c>
      <c r="F47394" t="s">
        <v>13284</v>
      </c>
      <c r="G47394" t="s">
        <v>17421</v>
      </c>
      <c r="H47394" t="s">
        <v>37488</v>
      </c>
    </row>
    <row r="47395" spans="1:8">
      <c r="A47395" t="s">
        <v>4314</v>
      </c>
      <c r="B47395">
        <f>HYPERLINK("https://android.googlesource.com/platform/cts/+/91b8ffcf84838a4ae86e49abbd9752557ccff82d", "91b8ffcf84838a4ae86e49abbd9752557ccff82d")</f>
        <v>0</v>
      </c>
      <c r="C47395">
        <f>HYPERLINK("https://android.googlesource.com/platform/cts/+/77964de8d5eda6eb18964bd9cfa9a7c239cb3e30", "77964de8d5eda6eb18964bd9cfa9a7c239cb3e30")</f>
        <v>0</v>
      </c>
      <c r="D47395" t="s">
        <v>5409</v>
      </c>
      <c r="E47395" t="s">
        <v>9985</v>
      </c>
      <c r="F47395" t="s">
        <v>14687</v>
      </c>
      <c r="G47395" t="s">
        <v>18578</v>
      </c>
      <c r="H47395" t="s">
        <v>26873</v>
      </c>
    </row>
    <row r="47396" spans="1:8">
      <c r="A47396" t="s">
        <v>4315</v>
      </c>
      <c r="B47396">
        <f>HYPERLINK("https://android.googlesource.com/platform/cts/+/efa04c02f21a2b6c0d6153c52966387daf58fc86", "efa04c02f21a2b6c0d6153c52966387daf58fc86")</f>
        <v>0</v>
      </c>
      <c r="C47396">
        <f>HYPERLINK("https://android.googlesource.com/platform/cts/+/91b8ffcf84838a4ae86e49abbd9752557ccff82d", "91b8ffcf84838a4ae86e49abbd9752557ccff82d")</f>
        <v>0</v>
      </c>
      <c r="D47396" t="s">
        <v>5409</v>
      </c>
      <c r="E47396" t="s">
        <v>9986</v>
      </c>
      <c r="F47396" t="s">
        <v>14683</v>
      </c>
      <c r="G47396" t="s">
        <v>18579</v>
      </c>
      <c r="H47396" t="s">
        <v>37489</v>
      </c>
    </row>
    <row r="47397" spans="1:8">
      <c r="H47397" t="s">
        <v>37490</v>
      </c>
    </row>
    <row r="47398" spans="1:8">
      <c r="H47398" t="s">
        <v>37491</v>
      </c>
    </row>
    <row r="47399" spans="1:8">
      <c r="H47399" t="s">
        <v>37492</v>
      </c>
    </row>
    <row r="47400" spans="1:8">
      <c r="H47400" t="s">
        <v>37493</v>
      </c>
    </row>
    <row r="47401" spans="1:8">
      <c r="H47401" t="s">
        <v>19972</v>
      </c>
    </row>
    <row r="47402" spans="1:8">
      <c r="H47402" t="s">
        <v>37494</v>
      </c>
    </row>
    <row r="47403" spans="1:8">
      <c r="H47403" t="s">
        <v>37494</v>
      </c>
    </row>
    <row r="47404" spans="1:8">
      <c r="H47404" t="s">
        <v>37495</v>
      </c>
    </row>
    <row r="47405" spans="1:8">
      <c r="H47405" t="s">
        <v>37496</v>
      </c>
    </row>
    <row r="47406" spans="1:8">
      <c r="H47406" t="s">
        <v>37496</v>
      </c>
    </row>
    <row r="47407" spans="1:8">
      <c r="H47407" t="s">
        <v>37497</v>
      </c>
    </row>
    <row r="47408" spans="1:8">
      <c r="H47408" t="s">
        <v>19382</v>
      </c>
    </row>
    <row r="47409" spans="6:8">
      <c r="H47409" t="s">
        <v>25704</v>
      </c>
    </row>
    <row r="47410" spans="6:8">
      <c r="H47410" t="s">
        <v>37498</v>
      </c>
    </row>
    <row r="47411" spans="6:8">
      <c r="H47411" t="s">
        <v>37499</v>
      </c>
    </row>
    <row r="47412" spans="6:8">
      <c r="H47412" t="s">
        <v>37500</v>
      </c>
    </row>
    <row r="47413" spans="6:8">
      <c r="H47413" t="s">
        <v>37501</v>
      </c>
    </row>
    <row r="47414" spans="6:8">
      <c r="H47414" t="s">
        <v>37502</v>
      </c>
    </row>
    <row r="47415" spans="6:8">
      <c r="H47415" t="s">
        <v>37503</v>
      </c>
    </row>
    <row r="47416" spans="6:8">
      <c r="H47416" t="s">
        <v>37504</v>
      </c>
    </row>
    <row r="47417" spans="6:8">
      <c r="H47417" t="s">
        <v>37505</v>
      </c>
    </row>
    <row r="47418" spans="6:8">
      <c r="H47418" t="s">
        <v>37506</v>
      </c>
    </row>
    <row r="47419" spans="6:8">
      <c r="H47419" t="s">
        <v>37507</v>
      </c>
    </row>
    <row r="47420" spans="6:8">
      <c r="H47420" t="s">
        <v>18930</v>
      </c>
    </row>
    <row r="47421" spans="6:8">
      <c r="F47421" t="s">
        <v>14684</v>
      </c>
      <c r="G47421" t="s">
        <v>18580</v>
      </c>
      <c r="H47421" t="s">
        <v>37508</v>
      </c>
    </row>
    <row r="47422" spans="6:8">
      <c r="H47422" t="s">
        <v>37509</v>
      </c>
    </row>
    <row r="47423" spans="6:8">
      <c r="H47423" t="s">
        <v>37510</v>
      </c>
    </row>
    <row r="47424" spans="6:8">
      <c r="H47424" t="s">
        <v>37511</v>
      </c>
    </row>
    <row r="47425" spans="8:8">
      <c r="H47425" t="s">
        <v>37512</v>
      </c>
    </row>
    <row r="47426" spans="8:8">
      <c r="H47426" t="s">
        <v>37513</v>
      </c>
    </row>
    <row r="47427" spans="8:8">
      <c r="H47427" t="s">
        <v>37514</v>
      </c>
    </row>
    <row r="47428" spans="8:8">
      <c r="H47428" t="s">
        <v>37515</v>
      </c>
    </row>
    <row r="47429" spans="8:8">
      <c r="H47429" t="s">
        <v>37516</v>
      </c>
    </row>
    <row r="47430" spans="8:8">
      <c r="H47430" t="s">
        <v>37517</v>
      </c>
    </row>
    <row r="47431" spans="8:8">
      <c r="H47431" t="s">
        <v>37518</v>
      </c>
    </row>
    <row r="47432" spans="8:8">
      <c r="H47432" t="s">
        <v>37519</v>
      </c>
    </row>
    <row r="47433" spans="8:8">
      <c r="H47433" t="s">
        <v>37520</v>
      </c>
    </row>
    <row r="47434" spans="8:8">
      <c r="H47434" t="s">
        <v>37521</v>
      </c>
    </row>
    <row r="47435" spans="8:8">
      <c r="H47435" t="s">
        <v>37522</v>
      </c>
    </row>
    <row r="47436" spans="8:8">
      <c r="H47436" t="s">
        <v>37523</v>
      </c>
    </row>
    <row r="47437" spans="8:8">
      <c r="H47437" t="s">
        <v>37524</v>
      </c>
    </row>
    <row r="47438" spans="8:8">
      <c r="H47438" t="s">
        <v>37525</v>
      </c>
    </row>
    <row r="47439" spans="8:8">
      <c r="H47439" t="s">
        <v>37526</v>
      </c>
    </row>
    <row r="47440" spans="8:8">
      <c r="H47440" t="s">
        <v>37527</v>
      </c>
    </row>
    <row r="47441" spans="1:8">
      <c r="H47441" t="s">
        <v>37528</v>
      </c>
    </row>
    <row r="47442" spans="1:8">
      <c r="H47442" t="s">
        <v>37529</v>
      </c>
    </row>
    <row r="47443" spans="1:8">
      <c r="H47443" t="s">
        <v>37530</v>
      </c>
    </row>
    <row r="47444" spans="1:8">
      <c r="H47444" t="s">
        <v>37531</v>
      </c>
    </row>
    <row r="47445" spans="1:8">
      <c r="H47445" t="s">
        <v>37532</v>
      </c>
    </row>
    <row r="47446" spans="1:8">
      <c r="H47446" t="s">
        <v>37533</v>
      </c>
    </row>
    <row r="47447" spans="1:8">
      <c r="H47447" t="s">
        <v>37534</v>
      </c>
    </row>
    <row r="47448" spans="1:8">
      <c r="A47448" t="s">
        <v>4316</v>
      </c>
      <c r="B47448">
        <f>HYPERLINK("https://android.googlesource.com/platform/cts/+/3de21b017a508d5a6e7ca39604842297bec69c18", "3de21b017a508d5a6e7ca39604842297bec69c18")</f>
        <v>0</v>
      </c>
      <c r="C47448">
        <f>HYPERLINK("https://android.googlesource.com/platform/cts/+/efa04c02f21a2b6c0d6153c52966387daf58fc86", "efa04c02f21a2b6c0d6153c52966387daf58fc86")</f>
        <v>0</v>
      </c>
      <c r="D47448" t="s">
        <v>5409</v>
      </c>
      <c r="E47448" t="s">
        <v>9987</v>
      </c>
      <c r="F47448" t="s">
        <v>14688</v>
      </c>
      <c r="G47448" t="s">
        <v>18581</v>
      </c>
      <c r="H47448" t="s">
        <v>37535</v>
      </c>
    </row>
    <row r="47449" spans="1:8">
      <c r="A47449" t="s">
        <v>4317</v>
      </c>
      <c r="B47449">
        <f>HYPERLINK("https://android.googlesource.com/platform/cts/+/f8ddcfd6b5f99ed55dd88abaac5837dc5fd06785", "f8ddcfd6b5f99ed55dd88abaac5837dc5fd06785")</f>
        <v>0</v>
      </c>
      <c r="C47449">
        <f>HYPERLINK("https://android.googlesource.com/platform/cts/+/760afcef9baa18c51a5455facd2df551a5c4c944", "760afcef9baa18c51a5455facd2df551a5c4c944")</f>
        <v>0</v>
      </c>
      <c r="D47449" t="s">
        <v>5409</v>
      </c>
      <c r="E47449" t="s">
        <v>9988</v>
      </c>
      <c r="F47449" t="s">
        <v>14688</v>
      </c>
      <c r="G47449" t="s">
        <v>18581</v>
      </c>
      <c r="H47449" t="s">
        <v>37536</v>
      </c>
    </row>
    <row r="47450" spans="1:8">
      <c r="A47450" t="s">
        <v>4318</v>
      </c>
      <c r="B47450">
        <f>HYPERLINK("https://android.googlesource.com/platform/cts/+/7c101de68f3f849470ecc6d75fbcd9c1278a03af", "7c101de68f3f849470ecc6d75fbcd9c1278a03af")</f>
        <v>0</v>
      </c>
      <c r="C47450">
        <f>HYPERLINK("https://android.googlesource.com/platform/cts/+/5dd890399e5b66dcc07ca449f031679512d95070", "5dd890399e5b66dcc07ca449f031679512d95070")</f>
        <v>0</v>
      </c>
      <c r="D47450" t="s">
        <v>5409</v>
      </c>
      <c r="E47450" t="s">
        <v>9989</v>
      </c>
      <c r="F47450" t="s">
        <v>14204</v>
      </c>
      <c r="G47450" t="s">
        <v>16848</v>
      </c>
      <c r="H47450" t="s">
        <v>37537</v>
      </c>
    </row>
    <row r="47451" spans="1:8">
      <c r="H47451" t="s">
        <v>37538</v>
      </c>
    </row>
    <row r="47452" spans="1:8">
      <c r="H47452" t="s">
        <v>37539</v>
      </c>
    </row>
    <row r="47453" spans="1:8">
      <c r="H47453" t="s">
        <v>37540</v>
      </c>
    </row>
    <row r="47454" spans="1:8">
      <c r="H47454" t="s">
        <v>37541</v>
      </c>
    </row>
    <row r="47455" spans="1:8">
      <c r="H47455" t="s">
        <v>37542</v>
      </c>
    </row>
    <row r="47456" spans="1:8">
      <c r="H47456" t="s">
        <v>37543</v>
      </c>
    </row>
    <row r="47457" spans="1:8">
      <c r="H47457" t="s">
        <v>37544</v>
      </c>
    </row>
    <row r="47458" spans="1:8">
      <c r="H47458" t="s">
        <v>37545</v>
      </c>
    </row>
    <row r="47459" spans="1:8">
      <c r="H47459" t="s">
        <v>37546</v>
      </c>
    </row>
    <row r="47460" spans="1:8">
      <c r="A47460" t="s">
        <v>4319</v>
      </c>
      <c r="B47460">
        <f>HYPERLINK("https://android.googlesource.com/platform/cts/+/0b68e70b5b975430b206336b27323d33ae3bb820", "0b68e70b5b975430b206336b27323d33ae3bb820")</f>
        <v>0</v>
      </c>
      <c r="C47460">
        <f>HYPERLINK("https://android.googlesource.com/platform/cts/+/77964de8d5eda6eb18964bd9cfa9a7c239cb3e30", "77964de8d5eda6eb18964bd9cfa9a7c239cb3e30")</f>
        <v>0</v>
      </c>
      <c r="D47460" t="s">
        <v>5409</v>
      </c>
      <c r="E47460" t="s">
        <v>9990</v>
      </c>
      <c r="F47460" t="s">
        <v>14689</v>
      </c>
      <c r="G47460" t="s">
        <v>16916</v>
      </c>
      <c r="H47460" t="s">
        <v>37547</v>
      </c>
    </row>
    <row r="47461" spans="1:8">
      <c r="H47461" t="s">
        <v>18829</v>
      </c>
    </row>
    <row r="47462" spans="1:8">
      <c r="H47462" t="s">
        <v>18863</v>
      </c>
    </row>
    <row r="47463" spans="1:8">
      <c r="H47463" t="s">
        <v>37548</v>
      </c>
    </row>
    <row r="47464" spans="1:8">
      <c r="H47464" t="s">
        <v>37549</v>
      </c>
    </row>
    <row r="47465" spans="1:8">
      <c r="H47465" t="s">
        <v>37550</v>
      </c>
    </row>
    <row r="47466" spans="1:8">
      <c r="H47466" t="s">
        <v>37551</v>
      </c>
    </row>
    <row r="47467" spans="1:8">
      <c r="H47467" t="s">
        <v>37552</v>
      </c>
    </row>
    <row r="47468" spans="1:8">
      <c r="H47468" t="s">
        <v>37553</v>
      </c>
    </row>
    <row r="47469" spans="1:8">
      <c r="H47469" t="s">
        <v>37554</v>
      </c>
    </row>
    <row r="47470" spans="1:8">
      <c r="H47470" t="s">
        <v>37555</v>
      </c>
    </row>
    <row r="47471" spans="1:8">
      <c r="H47471" t="s">
        <v>37556</v>
      </c>
    </row>
    <row r="47472" spans="1:8">
      <c r="H47472" t="s">
        <v>37557</v>
      </c>
    </row>
    <row r="47473" spans="6:8">
      <c r="H47473" t="s">
        <v>37558</v>
      </c>
    </row>
    <row r="47474" spans="6:8">
      <c r="F47474" t="s">
        <v>12743</v>
      </c>
      <c r="G47474" t="s">
        <v>16935</v>
      </c>
      <c r="H47474" t="s">
        <v>27107</v>
      </c>
    </row>
    <row r="47475" spans="6:8">
      <c r="H47475" t="s">
        <v>37559</v>
      </c>
    </row>
    <row r="47476" spans="6:8">
      <c r="F47476" t="s">
        <v>13229</v>
      </c>
      <c r="G47476" t="s">
        <v>17370</v>
      </c>
      <c r="H47476" t="s">
        <v>27107</v>
      </c>
    </row>
    <row r="47477" spans="6:8">
      <c r="H47477" t="s">
        <v>37559</v>
      </c>
    </row>
    <row r="47478" spans="6:8">
      <c r="F47478" t="s">
        <v>13136</v>
      </c>
      <c r="G47478" t="s">
        <v>17293</v>
      </c>
      <c r="H47478" t="s">
        <v>27107</v>
      </c>
    </row>
    <row r="47479" spans="6:8">
      <c r="F47479" t="s">
        <v>12745</v>
      </c>
      <c r="G47479" t="s">
        <v>16937</v>
      </c>
      <c r="H47479" t="s">
        <v>27107</v>
      </c>
    </row>
    <row r="47480" spans="6:8">
      <c r="H47480" t="s">
        <v>37559</v>
      </c>
    </row>
    <row r="47481" spans="6:8">
      <c r="F47481" t="s">
        <v>14690</v>
      </c>
      <c r="G47481" t="s">
        <v>16916</v>
      </c>
      <c r="H47481" t="s">
        <v>37560</v>
      </c>
    </row>
    <row r="47482" spans="6:8">
      <c r="H47482" t="s">
        <v>37561</v>
      </c>
    </row>
    <row r="47483" spans="6:8">
      <c r="H47483" t="s">
        <v>37562</v>
      </c>
    </row>
    <row r="47484" spans="6:8">
      <c r="H47484" t="s">
        <v>37563</v>
      </c>
    </row>
    <row r="47485" spans="6:8">
      <c r="H47485" t="s">
        <v>37564</v>
      </c>
    </row>
    <row r="47486" spans="6:8">
      <c r="H47486" t="s">
        <v>37565</v>
      </c>
    </row>
    <row r="47487" spans="6:8">
      <c r="H47487" t="s">
        <v>37566</v>
      </c>
    </row>
    <row r="47488" spans="6:8">
      <c r="H47488" t="s">
        <v>37567</v>
      </c>
    </row>
    <row r="47489" spans="1:8">
      <c r="H47489" t="s">
        <v>37568</v>
      </c>
    </row>
    <row r="47490" spans="1:8">
      <c r="A47490" t="s">
        <v>4320</v>
      </c>
      <c r="B47490">
        <f>HYPERLINK("https://android.googlesource.com/platform/cts/+/97f1e988c0958ac3fa878d980da3a1d62fdb2772", "97f1e988c0958ac3fa878d980da3a1d62fdb2772")</f>
        <v>0</v>
      </c>
      <c r="C47490">
        <f>HYPERLINK("https://android.googlesource.com/platform/cts/+/f7bbcd8b82329995948ad2d9dd0696df845f1fb6", "f7bbcd8b82329995948ad2d9dd0696df845f1fb6")</f>
        <v>0</v>
      </c>
      <c r="D47490" t="s">
        <v>5677</v>
      </c>
      <c r="E47490" t="s">
        <v>9991</v>
      </c>
      <c r="F47490" t="s">
        <v>14487</v>
      </c>
      <c r="G47490" t="s">
        <v>18418</v>
      </c>
      <c r="H47490" t="s">
        <v>37569</v>
      </c>
    </row>
    <row r="47491" spans="1:8">
      <c r="H47491" t="s">
        <v>37570</v>
      </c>
    </row>
    <row r="47492" spans="1:8">
      <c r="H47492" t="s">
        <v>37571</v>
      </c>
    </row>
    <row r="47493" spans="1:8">
      <c r="A47493" t="s">
        <v>4321</v>
      </c>
      <c r="B47493">
        <f>HYPERLINK("https://android.googlesource.com/platform/cts/+/ea45855805ef68d49509594d57f7f2621051f83f", "ea45855805ef68d49509594d57f7f2621051f83f")</f>
        <v>0</v>
      </c>
      <c r="C47493">
        <f>HYPERLINK("https://android.googlesource.com/platform/cts/+/e44913ac1e561a77976c534b96b41e17a44c6aeb", "e44913ac1e561a77976c534b96b41e17a44c6aeb")</f>
        <v>0</v>
      </c>
      <c r="D47493" t="s">
        <v>5660</v>
      </c>
      <c r="E47493" t="s">
        <v>9992</v>
      </c>
      <c r="F47493" t="s">
        <v>14487</v>
      </c>
      <c r="G47493" t="s">
        <v>18418</v>
      </c>
      <c r="H47493" t="s">
        <v>37569</v>
      </c>
    </row>
    <row r="47494" spans="1:8">
      <c r="H47494" t="s">
        <v>37570</v>
      </c>
    </row>
    <row r="47495" spans="1:8">
      <c r="H47495" t="s">
        <v>37571</v>
      </c>
    </row>
    <row r="47496" spans="1:8">
      <c r="A47496" t="s">
        <v>4322</v>
      </c>
      <c r="B47496">
        <f>HYPERLINK("https://android.googlesource.com/platform/cts/+/9877a122d69add931a3329633212e33376c9c4d8", "9877a122d69add931a3329633212e33376c9c4d8")</f>
        <v>0</v>
      </c>
      <c r="C47496">
        <f>HYPERLINK("https://android.googlesource.com/platform/cts/+/2c5dba4cc56f6d7db151021c4cc307ca4ff44997", "2c5dba4cc56f6d7db151021c4cc307ca4ff44997")</f>
        <v>0</v>
      </c>
      <c r="D47496" t="s">
        <v>5678</v>
      </c>
      <c r="E47496" t="s">
        <v>9993</v>
      </c>
      <c r="F47496" t="s">
        <v>14635</v>
      </c>
      <c r="G47496" t="s">
        <v>18545</v>
      </c>
      <c r="H47496" t="s">
        <v>37572</v>
      </c>
    </row>
    <row r="47497" spans="1:8">
      <c r="H47497" t="s">
        <v>37573</v>
      </c>
    </row>
    <row r="47498" spans="1:8">
      <c r="A47498" t="s">
        <v>4323</v>
      </c>
      <c r="B47498">
        <f>HYPERLINK("https://android.googlesource.com/platform/cts/+/7c6fa74a61d3da48add4d787636dde4bd8e4bcb8", "7c6fa74a61d3da48add4d787636dde4bd8e4bcb8")</f>
        <v>0</v>
      </c>
      <c r="C47498">
        <f>HYPERLINK("https://android.googlesource.com/platform/cts/+/0458171720478d24085f5ee98616da8062f7169b", "0458171720478d24085f5ee98616da8062f7169b")</f>
        <v>0</v>
      </c>
      <c r="D47498" t="s">
        <v>5409</v>
      </c>
      <c r="E47498" t="s">
        <v>9994</v>
      </c>
      <c r="F47498" t="s">
        <v>14691</v>
      </c>
      <c r="G47498" t="s">
        <v>17364</v>
      </c>
      <c r="H47498" t="s">
        <v>22678</v>
      </c>
    </row>
    <row r="47499" spans="1:8">
      <c r="H47499" t="s">
        <v>18829</v>
      </c>
    </row>
    <row r="47500" spans="1:8">
      <c r="H47500" t="s">
        <v>18863</v>
      </c>
    </row>
    <row r="47501" spans="1:8">
      <c r="H47501" t="s">
        <v>36690</v>
      </c>
    </row>
    <row r="47502" spans="1:8">
      <c r="H47502" t="s">
        <v>37574</v>
      </c>
    </row>
    <row r="47503" spans="1:8">
      <c r="H47503" t="s">
        <v>28689</v>
      </c>
    </row>
    <row r="47504" spans="1:8">
      <c r="H47504" t="s">
        <v>28690</v>
      </c>
    </row>
    <row r="47505" spans="6:8">
      <c r="H47505" t="s">
        <v>28691</v>
      </c>
    </row>
    <row r="47506" spans="6:8">
      <c r="H47506" t="s">
        <v>28692</v>
      </c>
    </row>
    <row r="47507" spans="6:8">
      <c r="H47507" t="s">
        <v>28051</v>
      </c>
    </row>
    <row r="47508" spans="6:8">
      <c r="H47508" t="s">
        <v>26260</v>
      </c>
    </row>
    <row r="47509" spans="6:8">
      <c r="H47509" t="s">
        <v>37575</v>
      </c>
    </row>
    <row r="47510" spans="6:8">
      <c r="F47510" t="s">
        <v>12751</v>
      </c>
      <c r="G47510" t="s">
        <v>16942</v>
      </c>
      <c r="H47510" t="s">
        <v>22678</v>
      </c>
    </row>
    <row r="47511" spans="6:8">
      <c r="H47511" t="s">
        <v>18829</v>
      </c>
    </row>
    <row r="47512" spans="6:8">
      <c r="H47512" t="s">
        <v>18863</v>
      </c>
    </row>
    <row r="47513" spans="6:8">
      <c r="H47513" t="s">
        <v>37073</v>
      </c>
    </row>
    <row r="47514" spans="6:8">
      <c r="H47514" t="s">
        <v>37074</v>
      </c>
    </row>
    <row r="47515" spans="6:8">
      <c r="H47515" t="s">
        <v>37576</v>
      </c>
    </row>
    <row r="47516" spans="6:8">
      <c r="H47516" t="s">
        <v>37577</v>
      </c>
    </row>
    <row r="47517" spans="6:8">
      <c r="H47517" t="s">
        <v>37578</v>
      </c>
    </row>
    <row r="47518" spans="6:8">
      <c r="H47518" t="s">
        <v>37579</v>
      </c>
    </row>
    <row r="47519" spans="6:8">
      <c r="H47519" t="s">
        <v>28689</v>
      </c>
    </row>
    <row r="47520" spans="6:8">
      <c r="H47520" t="s">
        <v>28690</v>
      </c>
    </row>
    <row r="47521" spans="1:8">
      <c r="H47521" t="s">
        <v>28691</v>
      </c>
    </row>
    <row r="47522" spans="1:8">
      <c r="H47522" t="s">
        <v>28692</v>
      </c>
    </row>
    <row r="47523" spans="1:8">
      <c r="H47523" t="s">
        <v>28051</v>
      </c>
    </row>
    <row r="47524" spans="1:8">
      <c r="H47524" t="s">
        <v>37580</v>
      </c>
    </row>
    <row r="47525" spans="1:8">
      <c r="H47525" t="s">
        <v>37581</v>
      </c>
    </row>
    <row r="47526" spans="1:8">
      <c r="F47526" t="s">
        <v>12743</v>
      </c>
      <c r="G47526" t="s">
        <v>16935</v>
      </c>
      <c r="H47526" t="s">
        <v>25795</v>
      </c>
    </row>
    <row r="47527" spans="1:8">
      <c r="F47527" t="s">
        <v>13229</v>
      </c>
      <c r="G47527" t="s">
        <v>17370</v>
      </c>
      <c r="H47527" t="s">
        <v>25795</v>
      </c>
    </row>
    <row r="47528" spans="1:8">
      <c r="A47528" t="s">
        <v>4324</v>
      </c>
      <c r="B47528">
        <f>HYPERLINK("https://android.googlesource.com/platform/cts/+/b858732d7fe874bad9e7145fff66e11e4a1a2ba1", "b858732d7fe874bad9e7145fff66e11e4a1a2ba1")</f>
        <v>0</v>
      </c>
      <c r="C47528">
        <f>HYPERLINK("https://android.googlesource.com/platform/cts/+/fb95db167c44339730bde359cbeb5555f83f45ff", "fb95db167c44339730bde359cbeb5555f83f45ff")</f>
        <v>0</v>
      </c>
      <c r="D47528" t="s">
        <v>5409</v>
      </c>
      <c r="E47528" t="s">
        <v>9995</v>
      </c>
      <c r="F47528" t="s">
        <v>12768</v>
      </c>
      <c r="G47528" t="s">
        <v>15710</v>
      </c>
      <c r="H47528" t="s">
        <v>37582</v>
      </c>
    </row>
    <row r="47529" spans="1:8">
      <c r="H47529" t="s">
        <v>25019</v>
      </c>
    </row>
    <row r="47530" spans="1:8">
      <c r="A47530" t="s">
        <v>4325</v>
      </c>
      <c r="B47530">
        <f>HYPERLINK("https://android.googlesource.com/platform/cts/+/b03c1bdb0c5e0dd0d36a0fa1b0616dd92b2705ba", "b03c1bdb0c5e0dd0d36a0fa1b0616dd92b2705ba")</f>
        <v>0</v>
      </c>
      <c r="C47530">
        <f>HYPERLINK("https://android.googlesource.com/platform/cts/+/7f2735dd3157dcc98e8419296dcc8cab7e7467df", "7f2735dd3157dcc98e8419296dcc8cab7e7467df")</f>
        <v>0</v>
      </c>
      <c r="D47530" t="s">
        <v>5085</v>
      </c>
      <c r="E47530" t="s">
        <v>9996</v>
      </c>
      <c r="F47530" t="s">
        <v>14692</v>
      </c>
      <c r="G47530" t="s">
        <v>18582</v>
      </c>
      <c r="H47530" t="s">
        <v>37583</v>
      </c>
    </row>
    <row r="47531" spans="1:8">
      <c r="H47531" t="s">
        <v>37584</v>
      </c>
    </row>
    <row r="47532" spans="1:8">
      <c r="H47532" t="s">
        <v>37585</v>
      </c>
    </row>
    <row r="47533" spans="1:8">
      <c r="A47533" t="s">
        <v>4326</v>
      </c>
      <c r="B47533">
        <f>HYPERLINK("https://android.googlesource.com/platform/cts/+/4c3fb4564420b2437bf3e4cd69f32ef7c7ab0f38", "4c3fb4564420b2437bf3e4cd69f32ef7c7ab0f38")</f>
        <v>0</v>
      </c>
      <c r="C47533">
        <f>HYPERLINK("https://android.googlesource.com/platform/cts/+/efeb4c4858338c11217ba3d801f665e7a1806bc7", "efeb4c4858338c11217ba3d801f665e7a1806bc7")</f>
        <v>0</v>
      </c>
      <c r="D47533" t="s">
        <v>5570</v>
      </c>
      <c r="E47533" t="s">
        <v>9997</v>
      </c>
      <c r="F47533" t="s">
        <v>14196</v>
      </c>
      <c r="G47533" t="s">
        <v>18175</v>
      </c>
      <c r="H47533" t="s">
        <v>19019</v>
      </c>
    </row>
    <row r="47534" spans="1:8">
      <c r="H47534" t="s">
        <v>37586</v>
      </c>
    </row>
    <row r="47535" spans="1:8">
      <c r="H47535" t="s">
        <v>37587</v>
      </c>
    </row>
    <row r="47536" spans="1:8">
      <c r="H47536" t="s">
        <v>37588</v>
      </c>
    </row>
    <row r="47537" spans="1:8">
      <c r="H47537" t="s">
        <v>37589</v>
      </c>
    </row>
    <row r="47538" spans="1:8">
      <c r="A47538" t="s">
        <v>4327</v>
      </c>
      <c r="B47538">
        <f>HYPERLINK("https://android.googlesource.com/platform/cts/+/b11f1a49ca1a2e683873fbf21cf04edfb126a529", "b11f1a49ca1a2e683873fbf21cf04edfb126a529")</f>
        <v>0</v>
      </c>
      <c r="C47538">
        <f>HYPERLINK("https://android.googlesource.com/platform/cts/+/044e51cb2296f3adbbd854150ee9081674c7660a", "044e51cb2296f3adbbd854150ee9081674c7660a")</f>
        <v>0</v>
      </c>
      <c r="D47538" t="s">
        <v>5383</v>
      </c>
      <c r="E47538" t="s">
        <v>9998</v>
      </c>
      <c r="F47538" t="s">
        <v>14693</v>
      </c>
      <c r="G47538" t="s">
        <v>18583</v>
      </c>
      <c r="H47538" t="s">
        <v>37590</v>
      </c>
    </row>
    <row r="47539" spans="1:8">
      <c r="H47539" t="s">
        <v>34672</v>
      </c>
    </row>
    <row r="47540" spans="1:8">
      <c r="A47540" t="s">
        <v>4328</v>
      </c>
      <c r="B47540">
        <f>HYPERLINK("https://android.googlesource.com/platform/cts/+/662f7f4f2bb0af0eb2bcea218c496779489875dd", "662f7f4f2bb0af0eb2bcea218c496779489875dd")</f>
        <v>0</v>
      </c>
      <c r="C47540">
        <f>HYPERLINK("https://android.googlesource.com/platform/cts/+/853b613e7cc9470562fa875feab0fa22b7332220", "853b613e7cc9470562fa875feab0fa22b7332220")</f>
        <v>0</v>
      </c>
      <c r="D47540" t="s">
        <v>5352</v>
      </c>
      <c r="E47540" t="s">
        <v>9999</v>
      </c>
      <c r="F47540" t="s">
        <v>14428</v>
      </c>
      <c r="G47540" t="s">
        <v>18366</v>
      </c>
      <c r="H47540" t="s">
        <v>22678</v>
      </c>
    </row>
    <row r="47541" spans="1:8">
      <c r="H47541" t="s">
        <v>18829</v>
      </c>
    </row>
    <row r="47542" spans="1:8">
      <c r="H47542" t="s">
        <v>18863</v>
      </c>
    </row>
    <row r="47543" spans="1:8">
      <c r="H47543" t="s">
        <v>37591</v>
      </c>
    </row>
    <row r="47544" spans="1:8">
      <c r="H47544" t="s">
        <v>37592</v>
      </c>
    </row>
    <row r="47545" spans="1:8">
      <c r="H47545" t="s">
        <v>37593</v>
      </c>
    </row>
    <row r="47546" spans="1:8">
      <c r="H47546" t="s">
        <v>37594</v>
      </c>
    </row>
    <row r="47547" spans="1:8">
      <c r="H47547" t="s">
        <v>37595</v>
      </c>
    </row>
    <row r="47548" spans="1:8">
      <c r="H47548" t="s">
        <v>37596</v>
      </c>
    </row>
    <row r="47549" spans="1:8">
      <c r="H47549" t="s">
        <v>37597</v>
      </c>
    </row>
    <row r="47550" spans="1:8">
      <c r="H47550" t="s">
        <v>37598</v>
      </c>
    </row>
    <row r="47551" spans="1:8">
      <c r="H47551" t="s">
        <v>37599</v>
      </c>
    </row>
    <row r="47552" spans="1:8">
      <c r="H47552" t="s">
        <v>37600</v>
      </c>
    </row>
    <row r="47553" spans="1:8">
      <c r="A47553" t="s">
        <v>4329</v>
      </c>
      <c r="B47553">
        <f>HYPERLINK("https://android.googlesource.com/platform/cts/+/facb2fc47608f26c1037a11b4d786c8b22e29059", "facb2fc47608f26c1037a11b4d786c8b22e29059")</f>
        <v>0</v>
      </c>
      <c r="C47553">
        <f>HYPERLINK("https://android.googlesource.com/platform/cts/+/f33a749c7f2fab2dea28b472ab033a4934e641fc", "f33a749c7f2fab2dea28b472ab033a4934e641fc")</f>
        <v>0</v>
      </c>
      <c r="D47553" t="s">
        <v>5409</v>
      </c>
      <c r="E47553" t="s">
        <v>10000</v>
      </c>
      <c r="F47553" t="s">
        <v>14428</v>
      </c>
      <c r="G47553" t="s">
        <v>18366</v>
      </c>
      <c r="H47553" t="s">
        <v>22678</v>
      </c>
    </row>
    <row r="47554" spans="1:8">
      <c r="H47554" t="s">
        <v>18829</v>
      </c>
    </row>
    <row r="47555" spans="1:8">
      <c r="H47555" t="s">
        <v>18863</v>
      </c>
    </row>
    <row r="47556" spans="1:8">
      <c r="H47556" t="s">
        <v>37591</v>
      </c>
    </row>
    <row r="47557" spans="1:8">
      <c r="H47557" t="s">
        <v>37592</v>
      </c>
    </row>
    <row r="47558" spans="1:8">
      <c r="H47558" t="s">
        <v>37593</v>
      </c>
    </row>
    <row r="47559" spans="1:8">
      <c r="H47559" t="s">
        <v>37594</v>
      </c>
    </row>
    <row r="47560" spans="1:8">
      <c r="H47560" t="s">
        <v>37595</v>
      </c>
    </row>
    <row r="47561" spans="1:8">
      <c r="H47561" t="s">
        <v>37596</v>
      </c>
    </row>
    <row r="47562" spans="1:8">
      <c r="H47562" t="s">
        <v>37597</v>
      </c>
    </row>
    <row r="47563" spans="1:8">
      <c r="H47563" t="s">
        <v>37598</v>
      </c>
    </row>
    <row r="47564" spans="1:8">
      <c r="H47564" t="s">
        <v>37599</v>
      </c>
    </row>
    <row r="47565" spans="1:8">
      <c r="H47565" t="s">
        <v>37600</v>
      </c>
    </row>
    <row r="47566" spans="1:8">
      <c r="A47566" t="s">
        <v>4330</v>
      </c>
      <c r="B47566">
        <f>HYPERLINK("https://android.googlesource.com/platform/cts/+/978ec3378fb379d9b62421a3206de6bbe08e839d", "978ec3378fb379d9b62421a3206de6bbe08e839d")</f>
        <v>0</v>
      </c>
      <c r="C47566">
        <f>HYPERLINK("https://android.googlesource.com/platform/cts/+/d205bb118373b8351dd0ed612ba1daf267533e36", "d205bb118373b8351dd0ed612ba1daf267533e36")</f>
        <v>0</v>
      </c>
      <c r="D47566" t="s">
        <v>5679</v>
      </c>
      <c r="E47566" t="s">
        <v>10001</v>
      </c>
      <c r="F47566" t="s">
        <v>14694</v>
      </c>
      <c r="G47566" t="s">
        <v>18584</v>
      </c>
      <c r="H47566" t="s">
        <v>37601</v>
      </c>
    </row>
    <row r="47567" spans="1:8">
      <c r="A47567" t="s">
        <v>4331</v>
      </c>
      <c r="B47567">
        <f>HYPERLINK("https://android.googlesource.com/platform/cts/+/554993ed26ae4b9cf68e2da9869fc6b7c0a1cb83", "554993ed26ae4b9cf68e2da9869fc6b7c0a1cb83")</f>
        <v>0</v>
      </c>
      <c r="C47567">
        <f>HYPERLINK("https://android.googlesource.com/platform/cts/+/8c465936942e70ac62e5f046d8238b9ec2b5ac14", "8c465936942e70ac62e5f046d8238b9ec2b5ac14")</f>
        <v>0</v>
      </c>
      <c r="D47567" t="s">
        <v>5096</v>
      </c>
      <c r="E47567" t="s">
        <v>10002</v>
      </c>
      <c r="F47567" t="s">
        <v>14695</v>
      </c>
      <c r="G47567" t="s">
        <v>18585</v>
      </c>
      <c r="H47567" t="s">
        <v>37602</v>
      </c>
    </row>
    <row r="47568" spans="1:8">
      <c r="A47568" t="s">
        <v>4332</v>
      </c>
      <c r="B47568">
        <f>HYPERLINK("https://android.googlesource.com/platform/cts/+/a7b051d008f68f9b7df271d7c47014333e0ba6d2", "a7b051d008f68f9b7df271d7c47014333e0ba6d2")</f>
        <v>0</v>
      </c>
      <c r="C47568">
        <f>HYPERLINK("https://android.googlesource.com/platform/cts/+/93ddd47863fc9b38ce77a61758f736f29f692f4e", "93ddd47863fc9b38ce77a61758f736f29f692f4e")</f>
        <v>0</v>
      </c>
      <c r="D47568" t="s">
        <v>5528</v>
      </c>
      <c r="E47568" t="s">
        <v>10003</v>
      </c>
      <c r="F47568" t="s">
        <v>13816</v>
      </c>
      <c r="G47568" t="s">
        <v>15089</v>
      </c>
      <c r="H47568" t="s">
        <v>37603</v>
      </c>
    </row>
    <row r="47569" spans="1:8">
      <c r="H47569" t="s">
        <v>37604</v>
      </c>
    </row>
    <row r="47570" spans="1:8">
      <c r="A47570" t="s">
        <v>4333</v>
      </c>
      <c r="B47570">
        <f>HYPERLINK("https://android.googlesource.com/platform/cts/+/2064493ecd95328c077d0ef91acaa8f0497f8227", "2064493ecd95328c077d0ef91acaa8f0497f8227")</f>
        <v>0</v>
      </c>
      <c r="C47570">
        <f>HYPERLINK("https://android.googlesource.com/platform/cts/+/68aa05329cc1c2bcb752a25e6021187f6bb0ef47", "68aa05329cc1c2bcb752a25e6021187f6bb0ef47")</f>
        <v>0</v>
      </c>
      <c r="D47570" t="s">
        <v>5443</v>
      </c>
      <c r="E47570" t="s">
        <v>10004</v>
      </c>
      <c r="F47570" t="s">
        <v>12710</v>
      </c>
      <c r="G47570" t="s">
        <v>16911</v>
      </c>
      <c r="H47570" t="s">
        <v>19981</v>
      </c>
    </row>
    <row r="47571" spans="1:8">
      <c r="H47571" t="s">
        <v>30899</v>
      </c>
    </row>
    <row r="47572" spans="1:8">
      <c r="A47572" t="s">
        <v>4334</v>
      </c>
      <c r="B47572">
        <f>HYPERLINK("https://android.googlesource.com/platform/cts/+/fa1c02c0dedd9fa842010a961765e62028bf693e", "fa1c02c0dedd9fa842010a961765e62028bf693e")</f>
        <v>0</v>
      </c>
      <c r="C47572">
        <f>HYPERLINK("https://android.googlesource.com/platform/cts/+/f045b9456f13353b4eaa8ab60bb5ae8feffc75e2", "f045b9456f13353b4eaa8ab60bb5ae8feffc75e2")</f>
        <v>0</v>
      </c>
      <c r="D47572" t="s">
        <v>5680</v>
      </c>
      <c r="E47572" t="s">
        <v>10005</v>
      </c>
      <c r="F47572" t="s">
        <v>14696</v>
      </c>
      <c r="G47572" t="s">
        <v>18555</v>
      </c>
      <c r="H47572" t="s">
        <v>37320</v>
      </c>
    </row>
    <row r="47573" spans="1:8">
      <c r="A47573" t="s">
        <v>4335</v>
      </c>
      <c r="B47573">
        <f>HYPERLINK("https://android.googlesource.com/platform/cts/+/d588c85553d5c78a9b80373548c0ee74d4798612", "d588c85553d5c78a9b80373548c0ee74d4798612")</f>
        <v>0</v>
      </c>
      <c r="C47573">
        <f>HYPERLINK("https://android.googlesource.com/platform/cts/+/bd23838f74942b108b04ba572d75b71a85b8a838", "bd23838f74942b108b04ba572d75b71a85b8a838")</f>
        <v>0</v>
      </c>
      <c r="D47573" t="s">
        <v>5575</v>
      </c>
      <c r="E47573" t="s">
        <v>10006</v>
      </c>
      <c r="F47573" t="s">
        <v>14613</v>
      </c>
      <c r="G47573" t="s">
        <v>18453</v>
      </c>
      <c r="H47573" t="s">
        <v>18863</v>
      </c>
    </row>
    <row r="47574" spans="1:8">
      <c r="A47574" t="s">
        <v>4336</v>
      </c>
      <c r="B47574">
        <f>HYPERLINK("https://android.googlesource.com/platform/cts/+/d68a19a553d2fd229bb4ad118fefae06c84f55a8", "d68a19a553d2fd229bb4ad118fefae06c84f55a8")</f>
        <v>0</v>
      </c>
      <c r="C47574">
        <f>HYPERLINK("https://android.googlesource.com/platform/cts/+/11d33b0ad9c0ae71b1093c95950161894fea7758", "11d33b0ad9c0ae71b1093c95950161894fea7758")</f>
        <v>0</v>
      </c>
      <c r="D47574" t="s">
        <v>5409</v>
      </c>
      <c r="E47574" t="s">
        <v>10007</v>
      </c>
      <c r="F47574" t="s">
        <v>14691</v>
      </c>
      <c r="G47574" t="s">
        <v>17364</v>
      </c>
      <c r="H47574" t="s">
        <v>22678</v>
      </c>
    </row>
    <row r="47575" spans="1:8">
      <c r="H47575" t="s">
        <v>18829</v>
      </c>
    </row>
    <row r="47576" spans="1:8">
      <c r="H47576" t="s">
        <v>18863</v>
      </c>
    </row>
    <row r="47577" spans="1:8">
      <c r="H47577" t="s">
        <v>36690</v>
      </c>
    </row>
    <row r="47578" spans="1:8">
      <c r="H47578" t="s">
        <v>37574</v>
      </c>
    </row>
    <row r="47579" spans="1:8">
      <c r="H47579" t="s">
        <v>28689</v>
      </c>
    </row>
    <row r="47580" spans="1:8">
      <c r="H47580" t="s">
        <v>28690</v>
      </c>
    </row>
    <row r="47581" spans="1:8">
      <c r="H47581" t="s">
        <v>28691</v>
      </c>
    </row>
    <row r="47582" spans="1:8">
      <c r="H47582" t="s">
        <v>28692</v>
      </c>
    </row>
    <row r="47583" spans="1:8">
      <c r="H47583" t="s">
        <v>28051</v>
      </c>
    </row>
    <row r="47584" spans="1:8">
      <c r="H47584" t="s">
        <v>26260</v>
      </c>
    </row>
    <row r="47585" spans="6:8">
      <c r="H47585" t="s">
        <v>37575</v>
      </c>
    </row>
    <row r="47586" spans="6:8">
      <c r="F47586" t="s">
        <v>14574</v>
      </c>
      <c r="G47586" t="s">
        <v>18494</v>
      </c>
      <c r="H47586" t="s">
        <v>37605</v>
      </c>
    </row>
    <row r="47587" spans="6:8">
      <c r="F47587" t="s">
        <v>12751</v>
      </c>
      <c r="G47587" t="s">
        <v>16942</v>
      </c>
      <c r="H47587" t="s">
        <v>22678</v>
      </c>
    </row>
    <row r="47588" spans="6:8">
      <c r="H47588" t="s">
        <v>18829</v>
      </c>
    </row>
    <row r="47589" spans="6:8">
      <c r="H47589" t="s">
        <v>18863</v>
      </c>
    </row>
    <row r="47590" spans="6:8">
      <c r="H47590" t="s">
        <v>37073</v>
      </c>
    </row>
    <row r="47591" spans="6:8">
      <c r="H47591" t="s">
        <v>37074</v>
      </c>
    </row>
    <row r="47592" spans="6:8">
      <c r="H47592" t="s">
        <v>37576</v>
      </c>
    </row>
    <row r="47593" spans="6:8">
      <c r="H47593" t="s">
        <v>37577</v>
      </c>
    </row>
    <row r="47594" spans="6:8">
      <c r="H47594" t="s">
        <v>37578</v>
      </c>
    </row>
    <row r="47595" spans="6:8">
      <c r="H47595" t="s">
        <v>37579</v>
      </c>
    </row>
    <row r="47596" spans="6:8">
      <c r="H47596" t="s">
        <v>28689</v>
      </c>
    </row>
    <row r="47597" spans="6:8">
      <c r="H47597" t="s">
        <v>28690</v>
      </c>
    </row>
    <row r="47598" spans="6:8">
      <c r="H47598" t="s">
        <v>28691</v>
      </c>
    </row>
    <row r="47599" spans="6:8">
      <c r="H47599" t="s">
        <v>28692</v>
      </c>
    </row>
    <row r="47600" spans="6:8">
      <c r="H47600" t="s">
        <v>28051</v>
      </c>
    </row>
    <row r="47601" spans="1:8">
      <c r="H47601" t="s">
        <v>37580</v>
      </c>
    </row>
    <row r="47602" spans="1:8">
      <c r="H47602" t="s">
        <v>37581</v>
      </c>
    </row>
    <row r="47603" spans="1:8">
      <c r="F47603" t="s">
        <v>12743</v>
      </c>
      <c r="G47603" t="s">
        <v>16935</v>
      </c>
      <c r="H47603" t="s">
        <v>25795</v>
      </c>
    </row>
    <row r="47604" spans="1:8">
      <c r="F47604" t="s">
        <v>13229</v>
      </c>
      <c r="G47604" t="s">
        <v>17370</v>
      </c>
      <c r="H47604" t="s">
        <v>25795</v>
      </c>
    </row>
    <row r="47605" spans="1:8">
      <c r="A47605" t="s">
        <v>4337</v>
      </c>
      <c r="B47605">
        <f>HYPERLINK("https://android.googlesource.com/platform/cts/+/b739d8a9a3cef09e1ecc1655416d7fe1dbb3b252", "b739d8a9a3cef09e1ecc1655416d7fe1dbb3b252")</f>
        <v>0</v>
      </c>
      <c r="C47605">
        <f>HYPERLINK("https://android.googlesource.com/platform/cts/+/464610904b6cb7029e0b2c035af8524d7264df1d", "464610904b6cb7029e0b2c035af8524d7264df1d")</f>
        <v>0</v>
      </c>
      <c r="D47605" t="s">
        <v>5681</v>
      </c>
      <c r="E47605" t="s">
        <v>10008</v>
      </c>
      <c r="F47605" t="s">
        <v>14697</v>
      </c>
      <c r="G47605" t="s">
        <v>17316</v>
      </c>
      <c r="H47605" t="s">
        <v>37606</v>
      </c>
    </row>
    <row r="47606" spans="1:8">
      <c r="H47606" t="s">
        <v>37607</v>
      </c>
    </row>
    <row r="47607" spans="1:8">
      <c r="H47607" t="s">
        <v>37608</v>
      </c>
    </row>
    <row r="47608" spans="1:8">
      <c r="H47608" t="s">
        <v>37609</v>
      </c>
    </row>
    <row r="47609" spans="1:8">
      <c r="F47609" t="s">
        <v>13392</v>
      </c>
      <c r="G47609" t="s">
        <v>17518</v>
      </c>
      <c r="H47609" t="s">
        <v>37610</v>
      </c>
    </row>
    <row r="47610" spans="1:8">
      <c r="H47610" t="s">
        <v>37611</v>
      </c>
    </row>
    <row r="47611" spans="1:8">
      <c r="A47611" t="s">
        <v>4338</v>
      </c>
      <c r="B47611">
        <f>HYPERLINK("https://android.googlesource.com/platform/cts/+/bfea2b429a1c1d118a394be5078d3fc0be403477", "bfea2b429a1c1d118a394be5078d3fc0be403477")</f>
        <v>0</v>
      </c>
      <c r="C47611">
        <f>HYPERLINK("https://android.googlesource.com/platform/cts/+/e49c76f519bbd7f07828bb94296989de2fd03248", "e49c76f519bbd7f07828bb94296989de2fd03248")</f>
        <v>0</v>
      </c>
      <c r="D47611" t="s">
        <v>5682</v>
      </c>
      <c r="E47611" t="s">
        <v>10009</v>
      </c>
      <c r="F47611" t="s">
        <v>14461</v>
      </c>
      <c r="G47611" t="s">
        <v>15710</v>
      </c>
      <c r="H47611" t="s">
        <v>37612</v>
      </c>
    </row>
    <row r="47612" spans="1:8">
      <c r="H47612" t="s">
        <v>37613</v>
      </c>
    </row>
    <row r="47613" spans="1:8">
      <c r="A47613" t="s">
        <v>4339</v>
      </c>
      <c r="B47613">
        <f>HYPERLINK("https://android.googlesource.com/platform/cts/+/ae237429df71618f02da7358472003f425121293", "ae237429df71618f02da7358472003f425121293")</f>
        <v>0</v>
      </c>
      <c r="C47613">
        <f>HYPERLINK("https://android.googlesource.com/platform/cts/+/0a74769c26e3ba5b7a76b41fcd077700f031d6e3", "0a74769c26e3ba5b7a76b41fcd077700f031d6e3")</f>
        <v>0</v>
      </c>
      <c r="D47613" t="s">
        <v>5637</v>
      </c>
      <c r="E47613" t="s">
        <v>10010</v>
      </c>
      <c r="F47613" t="s">
        <v>14698</v>
      </c>
      <c r="G47613" t="s">
        <v>18586</v>
      </c>
      <c r="H47613" t="s">
        <v>37614</v>
      </c>
    </row>
    <row r="47614" spans="1:8">
      <c r="A47614" t="s">
        <v>4340</v>
      </c>
      <c r="B47614">
        <f>HYPERLINK("https://android.googlesource.com/platform/cts/+/166b9a17d04a0d4eca4b75c4159045c4b307ffa9", "166b9a17d04a0d4eca4b75c4159045c4b307ffa9")</f>
        <v>0</v>
      </c>
      <c r="C47614">
        <f>HYPERLINK("https://android.googlesource.com/platform/cts/+/2633a24605535448374e2085e561e656de8faac5", "2633a24605535448374e2085e561e656de8faac5")</f>
        <v>0</v>
      </c>
      <c r="D47614" t="s">
        <v>5683</v>
      </c>
      <c r="E47614" t="s">
        <v>10011</v>
      </c>
      <c r="F47614" t="s">
        <v>14699</v>
      </c>
      <c r="G47614" t="s">
        <v>18587</v>
      </c>
      <c r="H47614" t="s">
        <v>37615</v>
      </c>
    </row>
    <row r="47615" spans="1:8">
      <c r="A47615" t="s">
        <v>4341</v>
      </c>
      <c r="B47615">
        <f>HYPERLINK("https://android.googlesource.com/platform/cts/+/ba05217fc12909c72174fa440a18ce70eeaef992", "ba05217fc12909c72174fa440a18ce70eeaef992")</f>
        <v>0</v>
      </c>
      <c r="C47615">
        <f>HYPERLINK("https://android.googlesource.com/platform/cts/+/2edddf622f0d9376c1aace0221d9d4484a76b174", "2edddf622f0d9376c1aace0221d9d4484a76b174")</f>
        <v>0</v>
      </c>
      <c r="D47615" t="s">
        <v>5383</v>
      </c>
      <c r="E47615" t="s">
        <v>10012</v>
      </c>
      <c r="F47615" t="s">
        <v>13548</v>
      </c>
      <c r="G47615" t="s">
        <v>15171</v>
      </c>
      <c r="H47615" t="s">
        <v>31032</v>
      </c>
    </row>
    <row r="47616" spans="1:8">
      <c r="H47616" t="s">
        <v>31032</v>
      </c>
    </row>
    <row r="47617" spans="1:8">
      <c r="H47617" t="s">
        <v>37616</v>
      </c>
    </row>
    <row r="47618" spans="1:8">
      <c r="A47618" t="s">
        <v>4342</v>
      </c>
      <c r="B47618">
        <f>HYPERLINK("https://android.googlesource.com/platform/cts/+/2fe93dc2852aa065ba90382426ac19998c617f33", "2fe93dc2852aa065ba90382426ac19998c617f33")</f>
        <v>0</v>
      </c>
      <c r="C47618">
        <f>HYPERLINK("https://android.googlesource.com/platform/cts/+/8eb73846ca0f4d7132cec27ad4fa155c6c5a1ac0", "8eb73846ca0f4d7132cec27ad4fa155c6c5a1ac0")</f>
        <v>0</v>
      </c>
      <c r="D47618" t="s">
        <v>5439</v>
      </c>
      <c r="E47618" t="s">
        <v>10013</v>
      </c>
      <c r="F47618" t="s">
        <v>14677</v>
      </c>
      <c r="G47618" t="s">
        <v>18533</v>
      </c>
      <c r="H47618" t="s">
        <v>37427</v>
      </c>
    </row>
    <row r="47619" spans="1:8">
      <c r="A47619" t="s">
        <v>4343</v>
      </c>
      <c r="B47619">
        <f>HYPERLINK("https://android.googlesource.com/platform/cts/+/51d1e27002686c3271a10c3f3de48b8e75e19125", "51d1e27002686c3271a10c3f3de48b8e75e19125")</f>
        <v>0</v>
      </c>
      <c r="C47619">
        <f>HYPERLINK("https://android.googlesource.com/platform/cts/+/7734362ee7e3fe0fc1d5fe07b2ebdc17db3eb152", "7734362ee7e3fe0fc1d5fe07b2ebdc17db3eb152")</f>
        <v>0</v>
      </c>
      <c r="D47619" t="s">
        <v>5681</v>
      </c>
      <c r="E47619" t="s">
        <v>10014</v>
      </c>
      <c r="F47619" t="s">
        <v>14697</v>
      </c>
      <c r="G47619" t="s">
        <v>17316</v>
      </c>
      <c r="H47619" t="s">
        <v>37617</v>
      </c>
    </row>
    <row r="47620" spans="1:8">
      <c r="H47620" t="s">
        <v>37618</v>
      </c>
    </row>
    <row r="47621" spans="1:8">
      <c r="H47621" t="s">
        <v>37619</v>
      </c>
    </row>
    <row r="47622" spans="1:8">
      <c r="H47622" t="s">
        <v>37620</v>
      </c>
    </row>
    <row r="47623" spans="1:8">
      <c r="F47623" t="s">
        <v>13392</v>
      </c>
      <c r="G47623" t="s">
        <v>17518</v>
      </c>
      <c r="H47623" t="s">
        <v>37617</v>
      </c>
    </row>
    <row r="47624" spans="1:8">
      <c r="H47624" t="s">
        <v>37621</v>
      </c>
    </row>
    <row r="47625" spans="1:8">
      <c r="H47625" t="s">
        <v>37619</v>
      </c>
    </row>
    <row r="47626" spans="1:8">
      <c r="A47626" t="s">
        <v>4344</v>
      </c>
      <c r="B47626">
        <f>HYPERLINK("https://android.googlesource.com/platform/cts/+/3a55fbaba310a3bdf3cceaf47d1a32c92c9b77d7", "3a55fbaba310a3bdf3cceaf47d1a32c92c9b77d7")</f>
        <v>0</v>
      </c>
      <c r="C47626">
        <f>HYPERLINK("https://android.googlesource.com/platform/cts/+/2ae4fbe7178ad94ac015d5040de67aac1922f1a0", "2ae4fbe7178ad94ac015d5040de67aac1922f1a0")</f>
        <v>0</v>
      </c>
      <c r="D47626" t="s">
        <v>5021</v>
      </c>
      <c r="E47626" t="s">
        <v>10015</v>
      </c>
      <c r="F47626" t="s">
        <v>14700</v>
      </c>
      <c r="G47626" t="s">
        <v>18588</v>
      </c>
      <c r="H47626" t="s">
        <v>29884</v>
      </c>
    </row>
    <row r="47627" spans="1:8">
      <c r="H47627" t="s">
        <v>29885</v>
      </c>
    </row>
    <row r="47628" spans="1:8">
      <c r="H47628" t="s">
        <v>29886</v>
      </c>
    </row>
    <row r="47629" spans="1:8">
      <c r="A47629" t="s">
        <v>4345</v>
      </c>
      <c r="B47629">
        <f>HYPERLINK("https://android.googlesource.com/platform/cts/+/c920bd1963b0399fabbbbbff6b2f6fb51ecfc0c1", "c920bd1963b0399fabbbbbff6b2f6fb51ecfc0c1")</f>
        <v>0</v>
      </c>
      <c r="C47629">
        <f>HYPERLINK("https://android.googlesource.com/platform/cts/+/80deec92067ccf648b13fbd5e24de8ec640e8b09", "80deec92067ccf648b13fbd5e24de8ec640e8b09")</f>
        <v>0</v>
      </c>
      <c r="D47629" t="s">
        <v>5684</v>
      </c>
      <c r="E47629" t="s">
        <v>10016</v>
      </c>
      <c r="F47629" t="s">
        <v>14701</v>
      </c>
      <c r="G47629" t="s">
        <v>18589</v>
      </c>
      <c r="H47629" t="s">
        <v>19981</v>
      </c>
    </row>
    <row r="47630" spans="1:8">
      <c r="A47630" t="s">
        <v>4346</v>
      </c>
      <c r="B47630">
        <f>HYPERLINK("https://android.googlesource.com/platform/cts/+/c9168ca1af170451667da872bc6f041831841728", "c9168ca1af170451667da872bc6f041831841728")</f>
        <v>0</v>
      </c>
      <c r="C47630">
        <f>HYPERLINK("https://android.googlesource.com/platform/cts/+/07298ed28ee5051503d33afdc8b1343a6b57c4ee", "07298ed28ee5051503d33afdc8b1343a6b57c4ee")</f>
        <v>0</v>
      </c>
      <c r="D47630" t="s">
        <v>5645</v>
      </c>
      <c r="E47630" t="s">
        <v>10017</v>
      </c>
      <c r="F47630" t="s">
        <v>12176</v>
      </c>
      <c r="G47630" t="s">
        <v>16415</v>
      </c>
      <c r="H47630" t="s">
        <v>37622</v>
      </c>
    </row>
    <row r="47631" spans="1:8">
      <c r="A47631" t="s">
        <v>4347</v>
      </c>
      <c r="B47631">
        <f>HYPERLINK("https://android.googlesource.com/platform/cts/+/562583f26131f45b7db32c50d2d2ce1f1465c167", "562583f26131f45b7db32c50d2d2ce1f1465c167")</f>
        <v>0</v>
      </c>
      <c r="C47631">
        <f>HYPERLINK("https://android.googlesource.com/platform/cts/+/da2602313a3029c44df290b5c232b68052f7e806", "da2602313a3029c44df290b5c232b68052f7e806")</f>
        <v>0</v>
      </c>
      <c r="D47631" t="s">
        <v>5409</v>
      </c>
      <c r="E47631" t="s">
        <v>10018</v>
      </c>
      <c r="F47631" t="s">
        <v>14702</v>
      </c>
      <c r="G47631" t="s">
        <v>18590</v>
      </c>
      <c r="H47631" t="s">
        <v>18829</v>
      </c>
    </row>
    <row r="47632" spans="1:8">
      <c r="H47632" t="s">
        <v>37623</v>
      </c>
    </row>
    <row r="47633" spans="1:8">
      <c r="H47633" t="s">
        <v>37624</v>
      </c>
    </row>
    <row r="47634" spans="1:8">
      <c r="H47634" t="s">
        <v>37625</v>
      </c>
    </row>
    <row r="47635" spans="1:8">
      <c r="H47635" t="s">
        <v>37626</v>
      </c>
    </row>
    <row r="47636" spans="1:8">
      <c r="H47636" t="s">
        <v>37627</v>
      </c>
    </row>
    <row r="47637" spans="1:8">
      <c r="H47637" t="s">
        <v>37628</v>
      </c>
    </row>
    <row r="47638" spans="1:8">
      <c r="H47638" t="s">
        <v>37629</v>
      </c>
    </row>
    <row r="47639" spans="1:8">
      <c r="H47639" t="s">
        <v>37630</v>
      </c>
    </row>
    <row r="47640" spans="1:8">
      <c r="H47640" t="s">
        <v>37631</v>
      </c>
    </row>
    <row r="47641" spans="1:8">
      <c r="H47641" t="s">
        <v>37632</v>
      </c>
    </row>
    <row r="47642" spans="1:8">
      <c r="H47642" t="s">
        <v>37633</v>
      </c>
    </row>
    <row r="47643" spans="1:8">
      <c r="H47643" t="s">
        <v>37634</v>
      </c>
    </row>
    <row r="47644" spans="1:8">
      <c r="H47644" t="s">
        <v>37635</v>
      </c>
    </row>
    <row r="47645" spans="1:8">
      <c r="H47645" t="s">
        <v>37636</v>
      </c>
    </row>
    <row r="47646" spans="1:8">
      <c r="H47646" t="s">
        <v>37637</v>
      </c>
    </row>
    <row r="47647" spans="1:8">
      <c r="H47647" t="s">
        <v>37638</v>
      </c>
    </row>
    <row r="47648" spans="1:8">
      <c r="A47648" t="s">
        <v>4348</v>
      </c>
      <c r="B47648">
        <f>HYPERLINK("https://android.googlesource.com/platform/cts/+/19b5e88bc64382ccc94c9c04d17ca64dbcb3b39b", "19b5e88bc64382ccc94c9c04d17ca64dbcb3b39b")</f>
        <v>0</v>
      </c>
      <c r="C47648">
        <f>HYPERLINK("https://android.googlesource.com/platform/cts/+/a3e55b33bea281b39d0bda9892ecc56fdf93e892", "a3e55b33bea281b39d0bda9892ecc56fdf93e892")</f>
        <v>0</v>
      </c>
      <c r="D47648" t="s">
        <v>5409</v>
      </c>
      <c r="E47648" t="s">
        <v>10019</v>
      </c>
      <c r="F47648" t="s">
        <v>14702</v>
      </c>
      <c r="G47648" t="s">
        <v>18590</v>
      </c>
      <c r="H47648" t="s">
        <v>18829</v>
      </c>
    </row>
    <row r="47649" spans="8:8">
      <c r="H47649" t="s">
        <v>37623</v>
      </c>
    </row>
    <row r="47650" spans="8:8">
      <c r="H47650" t="s">
        <v>37624</v>
      </c>
    </row>
    <row r="47651" spans="8:8">
      <c r="H47651" t="s">
        <v>37625</v>
      </c>
    </row>
    <row r="47652" spans="8:8">
      <c r="H47652" t="s">
        <v>37626</v>
      </c>
    </row>
    <row r="47653" spans="8:8">
      <c r="H47653" t="s">
        <v>37627</v>
      </c>
    </row>
    <row r="47654" spans="8:8">
      <c r="H47654" t="s">
        <v>37628</v>
      </c>
    </row>
    <row r="47655" spans="8:8">
      <c r="H47655" t="s">
        <v>37629</v>
      </c>
    </row>
    <row r="47656" spans="8:8">
      <c r="H47656" t="s">
        <v>37630</v>
      </c>
    </row>
    <row r="47657" spans="8:8">
      <c r="H47657" t="s">
        <v>37631</v>
      </c>
    </row>
    <row r="47658" spans="8:8">
      <c r="H47658" t="s">
        <v>37632</v>
      </c>
    </row>
    <row r="47659" spans="8:8">
      <c r="H47659" t="s">
        <v>37633</v>
      </c>
    </row>
    <row r="47660" spans="8:8">
      <c r="H47660" t="s">
        <v>37634</v>
      </c>
    </row>
    <row r="47661" spans="8:8">
      <c r="H47661" t="s">
        <v>37635</v>
      </c>
    </row>
    <row r="47662" spans="8:8">
      <c r="H47662" t="s">
        <v>37636</v>
      </c>
    </row>
    <row r="47663" spans="8:8">
      <c r="H47663" t="s">
        <v>37637</v>
      </c>
    </row>
    <row r="47664" spans="8:8">
      <c r="H47664" t="s">
        <v>37638</v>
      </c>
    </row>
    <row r="47665" spans="1:8">
      <c r="A47665" t="s">
        <v>4349</v>
      </c>
      <c r="B47665">
        <f>HYPERLINK("https://android.googlesource.com/platform/cts/+/3af98153ef190ab9c361f6ba4d3d5a26bebc8222", "3af98153ef190ab9c361f6ba4d3d5a26bebc8222")</f>
        <v>0</v>
      </c>
      <c r="C47665">
        <f>HYPERLINK("https://android.googlesource.com/platform/cts/+/74591bde48e5c7ade93c657e14aac80fed86a0eb", "74591bde48e5c7ade93c657e14aac80fed86a0eb")</f>
        <v>0</v>
      </c>
      <c r="D47665" t="s">
        <v>5685</v>
      </c>
      <c r="E47665" t="s">
        <v>10020</v>
      </c>
      <c r="F47665" t="s">
        <v>14540</v>
      </c>
      <c r="G47665" t="s">
        <v>18464</v>
      </c>
      <c r="H47665" t="s">
        <v>37639</v>
      </c>
    </row>
    <row r="47666" spans="1:8">
      <c r="F47666" t="s">
        <v>12743</v>
      </c>
      <c r="G47666" t="s">
        <v>16935</v>
      </c>
      <c r="H47666" t="s">
        <v>37639</v>
      </c>
    </row>
    <row r="47667" spans="1:8">
      <c r="A47667" t="s">
        <v>4350</v>
      </c>
      <c r="B47667">
        <f>HYPERLINK("https://android.googlesource.com/platform/cts/+/46f2ddb0a81aa9aa16c55d2889a465fbb3a4ae53", "46f2ddb0a81aa9aa16c55d2889a465fbb3a4ae53")</f>
        <v>0</v>
      </c>
      <c r="C47667">
        <f>HYPERLINK("https://android.googlesource.com/platform/cts/+/e2e18815334577c3889d620ef2e3b4f855f47a13", "e2e18815334577c3889d620ef2e3b4f855f47a13")</f>
        <v>0</v>
      </c>
      <c r="D47667" t="s">
        <v>5021</v>
      </c>
      <c r="E47667" t="s">
        <v>10021</v>
      </c>
      <c r="F47667" t="s">
        <v>14700</v>
      </c>
      <c r="G47667" t="s">
        <v>18588</v>
      </c>
      <c r="H47667" t="s">
        <v>29884</v>
      </c>
    </row>
    <row r="47668" spans="1:8">
      <c r="H47668" t="s">
        <v>29885</v>
      </c>
    </row>
    <row r="47669" spans="1:8">
      <c r="H47669" t="s">
        <v>29886</v>
      </c>
    </row>
    <row r="47670" spans="1:8">
      <c r="A47670" t="s">
        <v>4351</v>
      </c>
      <c r="B47670">
        <f>HYPERLINK("https://android.googlesource.com/platform/cts/+/fac20484489a1521b93da8efb8afd7e9e181f3cd", "fac20484489a1521b93da8efb8afd7e9e181f3cd")</f>
        <v>0</v>
      </c>
      <c r="C47670">
        <f>HYPERLINK("https://android.googlesource.com/platform/cts/+/db86295685fb2d24a838b2b1ee3e56b0e3c358fc", "db86295685fb2d24a838b2b1ee3e56b0e3c358fc")</f>
        <v>0</v>
      </c>
      <c r="D47670" t="s">
        <v>5569</v>
      </c>
      <c r="E47670" t="s">
        <v>10022</v>
      </c>
      <c r="F47670" t="s">
        <v>14273</v>
      </c>
      <c r="G47670" t="s">
        <v>18240</v>
      </c>
      <c r="H47670" t="s">
        <v>22334</v>
      </c>
    </row>
    <row r="47671" spans="1:8">
      <c r="H47671" t="s">
        <v>37640</v>
      </c>
    </row>
    <row r="47672" spans="1:8">
      <c r="A47672" t="s">
        <v>4352</v>
      </c>
      <c r="B47672">
        <f>HYPERLINK("https://android.googlesource.com/platform/cts/+/f51224949188a760cf007302fc29640951a45e7d", "f51224949188a760cf007302fc29640951a45e7d")</f>
        <v>0</v>
      </c>
      <c r="C47672">
        <f>HYPERLINK("https://android.googlesource.com/platform/cts/+/93c0427f66b8918067e8f45f0ad62dcd21da52d0", "93c0427f66b8918067e8f45f0ad62dcd21da52d0")</f>
        <v>0</v>
      </c>
      <c r="D47672" t="s">
        <v>5670</v>
      </c>
      <c r="E47672" t="s">
        <v>10023</v>
      </c>
      <c r="F47672" t="s">
        <v>14703</v>
      </c>
      <c r="G47672" t="s">
        <v>18591</v>
      </c>
      <c r="H47672" t="s">
        <v>37641</v>
      </c>
    </row>
    <row r="47673" spans="1:8">
      <c r="F47673" t="s">
        <v>14704</v>
      </c>
      <c r="G47673" t="s">
        <v>18592</v>
      </c>
      <c r="H47673" t="s">
        <v>18829</v>
      </c>
    </row>
    <row r="47674" spans="1:8">
      <c r="H47674" t="s">
        <v>37642</v>
      </c>
    </row>
    <row r="47675" spans="1:8">
      <c r="H47675" t="s">
        <v>37643</v>
      </c>
    </row>
    <row r="47676" spans="1:8">
      <c r="F47676" t="s">
        <v>14705</v>
      </c>
      <c r="G47676" t="s">
        <v>18593</v>
      </c>
      <c r="H47676" t="s">
        <v>37644</v>
      </c>
    </row>
    <row r="47677" spans="1:8">
      <c r="H47677" t="s">
        <v>37645</v>
      </c>
    </row>
    <row r="47678" spans="1:8">
      <c r="H47678" t="s">
        <v>37646</v>
      </c>
    </row>
    <row r="47679" spans="1:8">
      <c r="H47679" t="s">
        <v>37647</v>
      </c>
    </row>
    <row r="47680" spans="1:8">
      <c r="H47680" t="s">
        <v>37648</v>
      </c>
    </row>
    <row r="47681" spans="1:8">
      <c r="F47681" t="s">
        <v>14706</v>
      </c>
      <c r="G47681" t="s">
        <v>18594</v>
      </c>
      <c r="H47681" t="s">
        <v>37641</v>
      </c>
    </row>
    <row r="47682" spans="1:8">
      <c r="A47682" t="s">
        <v>4353</v>
      </c>
      <c r="B47682">
        <f>HYPERLINK("https://android.googlesource.com/platform/cts/+/bc80a038f8de952f31ac9396f00b3908ccf134e7", "bc80a038f8de952f31ac9396f00b3908ccf134e7")</f>
        <v>0</v>
      </c>
      <c r="C47682">
        <f>HYPERLINK("https://android.googlesource.com/platform/cts/+/5cc0002148066a6bc92bc761e08e31a431667e71", "5cc0002148066a6bc92bc761e08e31a431667e71")</f>
        <v>0</v>
      </c>
      <c r="D47682" t="s">
        <v>5686</v>
      </c>
      <c r="E47682" t="s">
        <v>10024</v>
      </c>
      <c r="F47682" t="s">
        <v>13225</v>
      </c>
      <c r="G47682" t="s">
        <v>17366</v>
      </c>
      <c r="H47682" t="s">
        <v>37649</v>
      </c>
    </row>
    <row r="47683" spans="1:8">
      <c r="A47683" t="s">
        <v>4354</v>
      </c>
      <c r="B47683">
        <f>HYPERLINK("https://android.googlesource.com/platform/cts/+/2aa2323360365d6c236d9a98c1c82b9fbd22de2f", "2aa2323360365d6c236d9a98c1c82b9fbd22de2f")</f>
        <v>0</v>
      </c>
      <c r="C47683">
        <f>HYPERLINK("https://android.googlesource.com/platform/cts/+/a76dbc6c8d82e5d2e20662f14d943819749f3d57", "a76dbc6c8d82e5d2e20662f14d943819749f3d57")</f>
        <v>0</v>
      </c>
      <c r="D47683" t="s">
        <v>5687</v>
      </c>
      <c r="E47683" t="s">
        <v>10025</v>
      </c>
      <c r="F47683" t="s">
        <v>13827</v>
      </c>
      <c r="G47683" t="s">
        <v>17871</v>
      </c>
      <c r="H47683" t="s">
        <v>28404</v>
      </c>
    </row>
    <row r="47684" spans="1:8">
      <c r="A47684" t="s">
        <v>4355</v>
      </c>
      <c r="B47684">
        <f>HYPERLINK("https://android.googlesource.com/platform/cts/+/4b73d374ef778ffcaa4bfd141a2b675872f93b24", "4b73d374ef778ffcaa4bfd141a2b675872f93b24")</f>
        <v>0</v>
      </c>
      <c r="C47684">
        <f>HYPERLINK("https://android.googlesource.com/platform/cts/+/35648503dfd4e0662e876614f883be2803c6c75e", "35648503dfd4e0662e876614f883be2803c6c75e")</f>
        <v>0</v>
      </c>
      <c r="D47684" t="s">
        <v>5688</v>
      </c>
      <c r="E47684" t="s">
        <v>10026</v>
      </c>
      <c r="F47684" t="s">
        <v>14536</v>
      </c>
      <c r="G47684" t="s">
        <v>18460</v>
      </c>
      <c r="H47684" t="s">
        <v>37650</v>
      </c>
    </row>
    <row r="47685" spans="1:8">
      <c r="A47685" t="s">
        <v>4356</v>
      </c>
      <c r="B47685">
        <f>HYPERLINK("https://android.googlesource.com/platform/cts/+/f45369f736584e1545d2b4f3204424c07f56c52f", "f45369f736584e1545d2b4f3204424c07f56c52f")</f>
        <v>0</v>
      </c>
      <c r="C47685">
        <f>HYPERLINK("https://android.googlesource.com/platform/cts/+/ad9dab12a47e721c21daaf598626f0966c218b99", "ad9dab12a47e721c21daaf598626f0966c218b99")</f>
        <v>0</v>
      </c>
      <c r="D47685" t="s">
        <v>5608</v>
      </c>
      <c r="E47685" t="s">
        <v>10027</v>
      </c>
      <c r="F47685" t="s">
        <v>12787</v>
      </c>
      <c r="G47685" t="s">
        <v>16971</v>
      </c>
      <c r="H47685" t="s">
        <v>35881</v>
      </c>
    </row>
    <row r="47686" spans="1:8">
      <c r="A47686" t="s">
        <v>4357</v>
      </c>
      <c r="B47686">
        <f>HYPERLINK("https://android.googlesource.com/platform/cts/+/3fe97654b19ddd310ee47d7ff3ab8a5fb6eb823c", "3fe97654b19ddd310ee47d7ff3ab8a5fb6eb823c")</f>
        <v>0</v>
      </c>
      <c r="C47686">
        <f>HYPERLINK("https://android.googlesource.com/platform/cts/+/19e702e9d30c8e2fe6eac7b1fd2c447af5a84af9", "19e702e9d30c8e2fe6eac7b1fd2c447af5a84af9")</f>
        <v>0</v>
      </c>
      <c r="D47686" t="s">
        <v>5437</v>
      </c>
      <c r="E47686" t="s">
        <v>10028</v>
      </c>
      <c r="F47686" t="s">
        <v>12845</v>
      </c>
      <c r="G47686" t="s">
        <v>16561</v>
      </c>
      <c r="H47686" t="s">
        <v>37651</v>
      </c>
    </row>
    <row r="47687" spans="1:8">
      <c r="A47687" t="s">
        <v>4358</v>
      </c>
      <c r="B47687">
        <f>HYPERLINK("https://android.googlesource.com/platform/cts/+/0c4d2d082b22dfc0ed6087de6bae9c08f43d057b", "0c4d2d082b22dfc0ed6087de6bae9c08f43d057b")</f>
        <v>0</v>
      </c>
      <c r="C47687">
        <f>HYPERLINK("https://android.googlesource.com/platform/cts/+/4dbc2330349f6002cc11be4d2cefe5aa9c4c1a7d", "4dbc2330349f6002cc11be4d2cefe5aa9c4c1a7d")</f>
        <v>0</v>
      </c>
      <c r="D47687" t="s">
        <v>5021</v>
      </c>
      <c r="E47687" t="s">
        <v>10015</v>
      </c>
      <c r="F47687" t="s">
        <v>14700</v>
      </c>
      <c r="G47687" t="s">
        <v>18588</v>
      </c>
      <c r="H47687" t="s">
        <v>29884</v>
      </c>
    </row>
    <row r="47688" spans="1:8">
      <c r="H47688" t="s">
        <v>29885</v>
      </c>
    </row>
    <row r="47689" spans="1:8">
      <c r="H47689" t="s">
        <v>29886</v>
      </c>
    </row>
    <row r="47690" spans="1:8">
      <c r="A47690" t="s">
        <v>4359</v>
      </c>
      <c r="B47690">
        <f>HYPERLINK("https://android.googlesource.com/platform/cts/+/e116edd8fc9e01bde4156ba43210c14a4190c7a5", "e116edd8fc9e01bde4156ba43210c14a4190c7a5")</f>
        <v>0</v>
      </c>
      <c r="C47690">
        <f>HYPERLINK("https://android.googlesource.com/platform/cts/+/74fad4d53b3e34921de625a64ae6d9f0aa1c832d", "74fad4d53b3e34921de625a64ae6d9f0aa1c832d")</f>
        <v>0</v>
      </c>
      <c r="D47690" t="s">
        <v>5610</v>
      </c>
      <c r="E47690" t="s">
        <v>10029</v>
      </c>
      <c r="F47690" t="s">
        <v>14653</v>
      </c>
      <c r="G47690" t="s">
        <v>17776</v>
      </c>
      <c r="H47690" t="s">
        <v>37652</v>
      </c>
    </row>
    <row r="47691" spans="1:8">
      <c r="H47691" t="s">
        <v>37653</v>
      </c>
    </row>
    <row r="47692" spans="1:8">
      <c r="A47692" t="s">
        <v>4360</v>
      </c>
      <c r="B47692">
        <f>HYPERLINK("https://android.googlesource.com/platform/cts/+/3219937dfdc8fd5981e62b6bdb9e00f3f4958450", "3219937dfdc8fd5981e62b6bdb9e00f3f4958450")</f>
        <v>0</v>
      </c>
      <c r="C47692">
        <f>HYPERLINK("https://android.googlesource.com/platform/cts/+/257528a5a6bcd0fb898f686b92cdb627fe6523ae", "257528a5a6bcd0fb898f686b92cdb627fe6523ae")</f>
        <v>0</v>
      </c>
      <c r="D47692" t="s">
        <v>5564</v>
      </c>
      <c r="E47692" t="s">
        <v>10030</v>
      </c>
      <c r="F47692" t="s">
        <v>11473</v>
      </c>
      <c r="G47692" t="s">
        <v>15713</v>
      </c>
      <c r="H47692" t="s">
        <v>18829</v>
      </c>
    </row>
    <row r="47693" spans="1:8">
      <c r="H47693" t="s">
        <v>18863</v>
      </c>
    </row>
    <row r="47694" spans="1:8">
      <c r="H47694" t="s">
        <v>37654</v>
      </c>
    </row>
    <row r="47695" spans="1:8">
      <c r="H47695" t="s">
        <v>18927</v>
      </c>
    </row>
    <row r="47696" spans="1:8">
      <c r="H47696" t="s">
        <v>34778</v>
      </c>
    </row>
    <row r="47697" spans="1:8">
      <c r="H47697" t="s">
        <v>36474</v>
      </c>
    </row>
    <row r="47698" spans="1:8">
      <c r="H47698" t="s">
        <v>37655</v>
      </c>
    </row>
    <row r="47699" spans="1:8">
      <c r="H47699" t="s">
        <v>37656</v>
      </c>
    </row>
    <row r="47700" spans="1:8">
      <c r="H47700" t="s">
        <v>37657</v>
      </c>
    </row>
    <row r="47701" spans="1:8">
      <c r="H47701" t="s">
        <v>37658</v>
      </c>
    </row>
    <row r="47702" spans="1:8">
      <c r="H47702" t="s">
        <v>37659</v>
      </c>
    </row>
    <row r="47703" spans="1:8">
      <c r="H47703" t="s">
        <v>37660</v>
      </c>
    </row>
    <row r="47704" spans="1:8">
      <c r="H47704" t="s">
        <v>37661</v>
      </c>
    </row>
    <row r="47705" spans="1:8">
      <c r="H47705" t="s">
        <v>37662</v>
      </c>
    </row>
    <row r="47706" spans="1:8">
      <c r="A47706" t="s">
        <v>4361</v>
      </c>
      <c r="B47706">
        <f>HYPERLINK("https://android.googlesource.com/platform/cts/+/54c24e7f93c63b4c1ce46d153ae0e2fd8b4cfb59", "54c24e7f93c63b4c1ce46d153ae0e2fd8b4cfb59")</f>
        <v>0</v>
      </c>
      <c r="C47706">
        <f>HYPERLINK("https://android.googlesource.com/platform/cts/+/b9f9454b2bfb1363086625735253181b19c66843", "b9f9454b2bfb1363086625735253181b19c66843")</f>
        <v>0</v>
      </c>
      <c r="D47706" t="s">
        <v>5520</v>
      </c>
      <c r="E47706" t="s">
        <v>10031</v>
      </c>
      <c r="F47706" t="s">
        <v>13918</v>
      </c>
      <c r="G47706" t="s">
        <v>17954</v>
      </c>
      <c r="H47706" t="s">
        <v>37663</v>
      </c>
    </row>
    <row r="47707" spans="1:8">
      <c r="H47707" t="s">
        <v>19882</v>
      </c>
    </row>
    <row r="47708" spans="1:8">
      <c r="A47708" t="s">
        <v>4362</v>
      </c>
      <c r="B47708">
        <f>HYPERLINK("https://android.googlesource.com/platform/cts/+/14259d3462c317060b229fb1a1611f5e6c6bf41f", "14259d3462c317060b229fb1a1611f5e6c6bf41f")</f>
        <v>0</v>
      </c>
      <c r="C47708">
        <f>HYPERLINK("https://android.googlesource.com/platform/cts/+/a12cb19293471a17727db644d0d410e0b153e99b", "a12cb19293471a17727db644d0d410e0b153e99b")</f>
        <v>0</v>
      </c>
      <c r="D47708" t="s">
        <v>5689</v>
      </c>
      <c r="E47708" t="s">
        <v>10032</v>
      </c>
      <c r="F47708" t="s">
        <v>13827</v>
      </c>
      <c r="G47708" t="s">
        <v>17871</v>
      </c>
      <c r="H47708" t="s">
        <v>28404</v>
      </c>
    </row>
    <row r="47709" spans="1:8">
      <c r="A47709" t="s">
        <v>4363</v>
      </c>
      <c r="B47709">
        <f>HYPERLINK("https://android.googlesource.com/platform/cts/+/295198846b3417033b8fa68dce92d2cacce20b89", "295198846b3417033b8fa68dce92d2cacce20b89")</f>
        <v>0</v>
      </c>
      <c r="C47709">
        <f>HYPERLINK("https://android.googlesource.com/platform/cts/+/e50790281b683df23f6dbb61f89ac708ddfad85b", "e50790281b683df23f6dbb61f89ac708ddfad85b")</f>
        <v>0</v>
      </c>
      <c r="D47709" t="s">
        <v>5690</v>
      </c>
      <c r="E47709" t="s">
        <v>10033</v>
      </c>
      <c r="F47709" t="s">
        <v>10784</v>
      </c>
      <c r="G47709" t="s">
        <v>15180</v>
      </c>
      <c r="H47709" t="s">
        <v>37664</v>
      </c>
    </row>
    <row r="47710" spans="1:8">
      <c r="A47710" t="s">
        <v>4364</v>
      </c>
      <c r="B47710">
        <f>HYPERLINK("https://android.googlesource.com/platform/cts/+/5038068e6d5b21c247c55edf7b3f911bdde192b9", "5038068e6d5b21c247c55edf7b3f911bdde192b9")</f>
        <v>0</v>
      </c>
      <c r="C47710">
        <f>HYPERLINK("https://android.googlesource.com/platform/cts/+/aeb423814a6bbbf7ab631e443632f84cc1d847e1", "aeb423814a6bbbf7ab631e443632f84cc1d847e1")</f>
        <v>0</v>
      </c>
      <c r="D47710" t="s">
        <v>5021</v>
      </c>
      <c r="E47710" t="s">
        <v>10034</v>
      </c>
      <c r="F47710" t="s">
        <v>14700</v>
      </c>
      <c r="G47710" t="s">
        <v>18588</v>
      </c>
      <c r="H47710" t="s">
        <v>29884</v>
      </c>
    </row>
    <row r="47711" spans="1:8">
      <c r="H47711" t="s">
        <v>29885</v>
      </c>
    </row>
    <row r="47712" spans="1:8">
      <c r="H47712" t="s">
        <v>29886</v>
      </c>
    </row>
    <row r="47713" spans="1:8">
      <c r="A47713" t="s">
        <v>4365</v>
      </c>
      <c r="B47713">
        <f>HYPERLINK("https://android.googlesource.com/platform/cts/+/baa38e9e92e8ba45bd30c8f5e0f073eaef3c742f", "baa38e9e92e8ba45bd30c8f5e0f073eaef3c742f")</f>
        <v>0</v>
      </c>
      <c r="C47713">
        <f>HYPERLINK("https://android.googlesource.com/platform/cts/+/7b1866771425dc22d5bb463997995878e86340d4", "7b1866771425dc22d5bb463997995878e86340d4")</f>
        <v>0</v>
      </c>
      <c r="D47713" t="s">
        <v>5581</v>
      </c>
      <c r="E47713" t="s">
        <v>10035</v>
      </c>
      <c r="F47713" t="s">
        <v>14707</v>
      </c>
      <c r="G47713" t="s">
        <v>18595</v>
      </c>
      <c r="H47713" t="s">
        <v>37665</v>
      </c>
    </row>
    <row r="47714" spans="1:8">
      <c r="H47714" t="s">
        <v>28456</v>
      </c>
    </row>
    <row r="47715" spans="1:8">
      <c r="A47715" t="s">
        <v>4366</v>
      </c>
      <c r="B47715">
        <f>HYPERLINK("https://android.googlesource.com/platform/cts/+/0aa5ab6e3b6a123b703f9f27be35b37ae109490f", "0aa5ab6e3b6a123b703f9f27be35b37ae109490f")</f>
        <v>0</v>
      </c>
      <c r="C47715">
        <f>HYPERLINK("https://android.googlesource.com/platform/cts/+/690f5a954398087be51ea15c39dac0644973c2d7", "690f5a954398087be51ea15c39dac0644973c2d7")</f>
        <v>0</v>
      </c>
      <c r="D47715" t="s">
        <v>5465</v>
      </c>
      <c r="E47715" t="s">
        <v>10036</v>
      </c>
      <c r="F47715" t="s">
        <v>14461</v>
      </c>
      <c r="G47715" t="s">
        <v>15710</v>
      </c>
      <c r="H47715" t="s">
        <v>37666</v>
      </c>
    </row>
    <row r="47716" spans="1:8">
      <c r="H47716" t="s">
        <v>37667</v>
      </c>
    </row>
    <row r="47717" spans="1:8">
      <c r="A47717" t="s">
        <v>4367</v>
      </c>
      <c r="B47717">
        <f>HYPERLINK("https://android.googlesource.com/platform/cts/+/475c4e6c657ec1edcafb487de774260e4342cbe8", "475c4e6c657ec1edcafb487de774260e4342cbe8")</f>
        <v>0</v>
      </c>
      <c r="C47717">
        <f>HYPERLINK("https://android.googlesource.com/platform/cts/+/fa7c1ee6ab2344a1fbbc1cc4d2936e9445cc005b", "fa7c1ee6ab2344a1fbbc1cc4d2936e9445cc005b")</f>
        <v>0</v>
      </c>
      <c r="D47717" t="s">
        <v>5527</v>
      </c>
      <c r="E47717" t="s">
        <v>10037</v>
      </c>
      <c r="F47717" t="s">
        <v>12185</v>
      </c>
      <c r="G47717" t="s">
        <v>16424</v>
      </c>
      <c r="H47717" t="s">
        <v>37668</v>
      </c>
    </row>
    <row r="47718" spans="1:8">
      <c r="H47718" t="s">
        <v>37668</v>
      </c>
    </row>
    <row r="47719" spans="1:8">
      <c r="H47719" t="s">
        <v>37668</v>
      </c>
    </row>
    <row r="47720" spans="1:8">
      <c r="H47720" t="s">
        <v>37668</v>
      </c>
    </row>
    <row r="47721" spans="1:8">
      <c r="H47721" t="s">
        <v>32296</v>
      </c>
    </row>
    <row r="47722" spans="1:8">
      <c r="H47722" t="s">
        <v>25704</v>
      </c>
    </row>
    <row r="47723" spans="1:8">
      <c r="H47723" t="s">
        <v>18853</v>
      </c>
    </row>
    <row r="47724" spans="1:8">
      <c r="H47724" t="s">
        <v>37669</v>
      </c>
    </row>
    <row r="47725" spans="1:8">
      <c r="H47725" t="s">
        <v>32296</v>
      </c>
    </row>
    <row r="47726" spans="1:8">
      <c r="H47726" t="s">
        <v>37670</v>
      </c>
    </row>
    <row r="47727" spans="1:8">
      <c r="H47727" t="s">
        <v>37670</v>
      </c>
    </row>
    <row r="47728" spans="1:8">
      <c r="H47728" t="s">
        <v>37671</v>
      </c>
    </row>
    <row r="47729" spans="1:8">
      <c r="H47729" t="s">
        <v>32296</v>
      </c>
    </row>
    <row r="47730" spans="1:8">
      <c r="H47730" t="s">
        <v>37672</v>
      </c>
    </row>
    <row r="47731" spans="1:8">
      <c r="A47731" t="s">
        <v>4368</v>
      </c>
      <c r="B47731">
        <f>HYPERLINK("https://android.googlesource.com/platform/cts/+/f8373d415676272af1ddba19dec530128cc1baad", "f8373d415676272af1ddba19dec530128cc1baad")</f>
        <v>0</v>
      </c>
      <c r="C47731">
        <f>HYPERLINK("https://android.googlesource.com/platform/cts/+/a2a40b2a74007be14817f75b3f884548baa7e3f8", "a2a40b2a74007be14817f75b3f884548baa7e3f8")</f>
        <v>0</v>
      </c>
      <c r="D47731" t="s">
        <v>5684</v>
      </c>
      <c r="E47731" t="s">
        <v>10038</v>
      </c>
      <c r="F47731" t="s">
        <v>14701</v>
      </c>
      <c r="G47731" t="s">
        <v>18589</v>
      </c>
      <c r="H47731" t="s">
        <v>19981</v>
      </c>
    </row>
    <row r="47732" spans="1:8">
      <c r="A47732" t="s">
        <v>4369</v>
      </c>
      <c r="B47732">
        <f>HYPERLINK("https://android.googlesource.com/platform/cts/+/9a30fca9f8f4c6da04af1c5a8895a18749acb094", "9a30fca9f8f4c6da04af1c5a8895a18749acb094")</f>
        <v>0</v>
      </c>
      <c r="C47732">
        <f>HYPERLINK("https://android.googlesource.com/platform/cts/+/0ddee11e4fef17db7d7e5538e8ffd80b4fd70b39", "0ddee11e4fef17db7d7e5538e8ffd80b4fd70b39")</f>
        <v>0</v>
      </c>
      <c r="D47732" t="s">
        <v>5409</v>
      </c>
      <c r="E47732" t="s">
        <v>10039</v>
      </c>
      <c r="F47732" t="s">
        <v>12743</v>
      </c>
      <c r="G47732" t="s">
        <v>16935</v>
      </c>
      <c r="H47732" t="s">
        <v>37673</v>
      </c>
    </row>
    <row r="47733" spans="1:8">
      <c r="H47733" t="s">
        <v>37674</v>
      </c>
    </row>
    <row r="47734" spans="1:8">
      <c r="H47734" t="s">
        <v>37675</v>
      </c>
    </row>
    <row r="47735" spans="1:8">
      <c r="H47735" t="s">
        <v>37676</v>
      </c>
    </row>
    <row r="47736" spans="1:8">
      <c r="F47736" t="s">
        <v>13229</v>
      </c>
      <c r="G47736" t="s">
        <v>17370</v>
      </c>
      <c r="H47736" t="s">
        <v>37673</v>
      </c>
    </row>
    <row r="47737" spans="1:8">
      <c r="H47737" t="s">
        <v>37674</v>
      </c>
    </row>
    <row r="47738" spans="1:8">
      <c r="A47738" t="s">
        <v>4370</v>
      </c>
      <c r="B47738">
        <f>HYPERLINK("https://android.googlesource.com/platform/cts/+/18087f6e41d5e6cc40d9f79ef4e0ff87a23c01af", "18087f6e41d5e6cc40d9f79ef4e0ff87a23c01af")</f>
        <v>0</v>
      </c>
      <c r="C47738">
        <f>HYPERLINK("https://android.googlesource.com/platform/cts/+/55e11d1cbf4812e764e1de79426a1dc27d225405", "55e11d1cbf4812e764e1de79426a1dc27d225405")</f>
        <v>0</v>
      </c>
      <c r="D47738" t="s">
        <v>5669</v>
      </c>
      <c r="E47738" t="s">
        <v>10040</v>
      </c>
      <c r="F47738" t="s">
        <v>13277</v>
      </c>
      <c r="G47738" t="s">
        <v>17414</v>
      </c>
      <c r="H47738" t="s">
        <v>37677</v>
      </c>
    </row>
    <row r="47739" spans="1:8">
      <c r="H47739" t="s">
        <v>37678</v>
      </c>
    </row>
    <row r="47740" spans="1:8">
      <c r="A47740" t="s">
        <v>4371</v>
      </c>
      <c r="B47740">
        <f>HYPERLINK("https://android.googlesource.com/platform/cts/+/51dfc93f1fc74b18f3fdd436ed86c90653fac446", "51dfc93f1fc74b18f3fdd436ed86c90653fac446")</f>
        <v>0</v>
      </c>
      <c r="C47740">
        <f>HYPERLINK("https://android.googlesource.com/platform/cts/+/08c9bda71c6c8dcd3c63794a23d07253f2953fff", "08c9bda71c6c8dcd3c63794a23d07253f2953fff")</f>
        <v>0</v>
      </c>
      <c r="D47740" t="s">
        <v>5453</v>
      </c>
      <c r="E47740" t="s">
        <v>10041</v>
      </c>
      <c r="F47740" t="s">
        <v>14343</v>
      </c>
      <c r="G47740" t="s">
        <v>18295</v>
      </c>
      <c r="H47740" t="s">
        <v>19981</v>
      </c>
    </row>
    <row r="47741" spans="1:8">
      <c r="A47741" t="s">
        <v>4372</v>
      </c>
      <c r="B47741">
        <f>HYPERLINK("https://android.googlesource.com/platform/cts/+/418686a7ed2571c73e4cddda6d2ada18448fbaea", "418686a7ed2571c73e4cddda6d2ada18448fbaea")</f>
        <v>0</v>
      </c>
      <c r="C47741">
        <f>HYPERLINK("https://android.googlesource.com/platform/cts/+/94c8f418ea0f577a272f459d6861342bcd82b79b", "94c8f418ea0f577a272f459d6861342bcd82b79b")</f>
        <v>0</v>
      </c>
      <c r="D47741" t="s">
        <v>5691</v>
      </c>
      <c r="E47741" t="s">
        <v>10042</v>
      </c>
      <c r="F47741" t="s">
        <v>12808</v>
      </c>
      <c r="G47741" t="s">
        <v>16989</v>
      </c>
      <c r="H47741" t="s">
        <v>30338</v>
      </c>
    </row>
    <row r="47742" spans="1:8">
      <c r="A47742" t="s">
        <v>4373</v>
      </c>
      <c r="B47742">
        <f>HYPERLINK("https://android.googlesource.com/platform/cts/+/c6a8df8de8b23036fb81162a3be3155cdcb2c825", "c6a8df8de8b23036fb81162a3be3155cdcb2c825")</f>
        <v>0</v>
      </c>
      <c r="C47742">
        <f>HYPERLINK("https://android.googlesource.com/platform/cts/+/6cf2f633f585a1eaacaa31ffe2caffd509355a88", "6cf2f633f585a1eaacaa31ffe2caffd509355a88")</f>
        <v>0</v>
      </c>
      <c r="D47742" t="s">
        <v>5463</v>
      </c>
      <c r="E47742" t="s">
        <v>10043</v>
      </c>
      <c r="F47742" t="s">
        <v>14701</v>
      </c>
      <c r="G47742" t="s">
        <v>18589</v>
      </c>
      <c r="H47742" t="s">
        <v>19981</v>
      </c>
    </row>
    <row r="47743" spans="1:8">
      <c r="A47743" t="s">
        <v>4374</v>
      </c>
      <c r="B47743">
        <f>HYPERLINK("https://android.googlesource.com/platform/cts/+/85e229416ca8bd1dba4b3994a6ad8e3908c69993", "85e229416ca8bd1dba4b3994a6ad8e3908c69993")</f>
        <v>0</v>
      </c>
      <c r="C47743">
        <f>HYPERLINK("https://android.googlesource.com/platform/cts/+/f4ef23411a5bc451714637166d95bb2e23d8785c", "f4ef23411a5bc451714637166d95bb2e23d8785c")</f>
        <v>0</v>
      </c>
      <c r="D47743" t="s">
        <v>5692</v>
      </c>
      <c r="E47743" t="s">
        <v>10044</v>
      </c>
      <c r="F47743" t="s">
        <v>14677</v>
      </c>
      <c r="G47743" t="s">
        <v>18533</v>
      </c>
      <c r="H47743" t="s">
        <v>37427</v>
      </c>
    </row>
    <row r="47744" spans="1:8">
      <c r="A47744" t="s">
        <v>4375</v>
      </c>
      <c r="B47744">
        <f>HYPERLINK("https://android.googlesource.com/platform/cts/+/4d2e1d03ebe075af399c256ea998b8c84b33a406", "4d2e1d03ebe075af399c256ea998b8c84b33a406")</f>
        <v>0</v>
      </c>
      <c r="C47744">
        <f>HYPERLINK("https://android.googlesource.com/platform/cts/+/172b613630a350ada5db1deea6cca4df9f38597e", "172b613630a350ada5db1deea6cca4df9f38597e")</f>
        <v>0</v>
      </c>
      <c r="D47744" t="s">
        <v>4965</v>
      </c>
      <c r="E47744" t="s">
        <v>10045</v>
      </c>
      <c r="F47744" t="s">
        <v>14503</v>
      </c>
      <c r="G47744" t="s">
        <v>18431</v>
      </c>
      <c r="H47744" t="s">
        <v>37679</v>
      </c>
    </row>
    <row r="47745" spans="1:8">
      <c r="A47745" t="s">
        <v>4376</v>
      </c>
      <c r="B47745">
        <f>HYPERLINK("https://android.googlesource.com/platform/cts/+/6b74d5aeff94db009ed8bfe23dfa9ec6c3bceb14", "6b74d5aeff94db009ed8bfe23dfa9ec6c3bceb14")</f>
        <v>0</v>
      </c>
      <c r="C47745">
        <f>HYPERLINK("https://android.googlesource.com/platform/cts/+/f1e81a83b9900a2311d2402940fa0d98b5fd18f4", "f1e81a83b9900a2311d2402940fa0d98b5fd18f4")</f>
        <v>0</v>
      </c>
      <c r="D47745" t="s">
        <v>5409</v>
      </c>
      <c r="E47745" t="s">
        <v>10046</v>
      </c>
      <c r="F47745" t="s">
        <v>14578</v>
      </c>
      <c r="G47745" t="s">
        <v>16823</v>
      </c>
      <c r="H47745" t="s">
        <v>37680</v>
      </c>
    </row>
    <row r="47746" spans="1:8">
      <c r="A47746" t="s">
        <v>4377</v>
      </c>
      <c r="B47746">
        <f>HYPERLINK("https://android.googlesource.com/platform/cts/+/9ced99f669b84e34fbbbcffffd2f4048587c8e7a", "9ced99f669b84e34fbbbcffffd2f4048587c8e7a")</f>
        <v>0</v>
      </c>
      <c r="C47746">
        <f>HYPERLINK("https://android.googlesource.com/platform/cts/+/d26e7bf2adefaf3c2431a5a46d580333d3bef8d6", "d26e7bf2adefaf3c2431a5a46d580333d3bef8d6")</f>
        <v>0</v>
      </c>
      <c r="D47746" t="s">
        <v>5021</v>
      </c>
      <c r="E47746" t="s">
        <v>10047</v>
      </c>
      <c r="F47746" t="s">
        <v>14700</v>
      </c>
      <c r="G47746" t="s">
        <v>18588</v>
      </c>
      <c r="H47746" t="s">
        <v>29884</v>
      </c>
    </row>
    <row r="47747" spans="1:8">
      <c r="H47747" t="s">
        <v>29885</v>
      </c>
    </row>
    <row r="47748" spans="1:8">
      <c r="H47748" t="s">
        <v>29886</v>
      </c>
    </row>
    <row r="47749" spans="1:8">
      <c r="A47749" t="s">
        <v>4378</v>
      </c>
      <c r="B47749">
        <f>HYPERLINK("https://android.googlesource.com/platform/cts/+/1f6856c65d27ec7adbbb54693bbd721e5e08a133", "1f6856c65d27ec7adbbb54693bbd721e5e08a133")</f>
        <v>0</v>
      </c>
      <c r="C47749">
        <f>HYPERLINK("https://android.googlesource.com/platform/cts/+/97d7d5f16429d09b8c23e66ff92c28074b491e14", "97d7d5f16429d09b8c23e66ff92c28074b491e14")</f>
        <v>0</v>
      </c>
      <c r="D47749" t="s">
        <v>5409</v>
      </c>
      <c r="E47749" t="s">
        <v>10048</v>
      </c>
      <c r="F47749" t="s">
        <v>14136</v>
      </c>
      <c r="G47749" t="s">
        <v>18124</v>
      </c>
      <c r="H47749" t="s">
        <v>37681</v>
      </c>
    </row>
    <row r="47750" spans="1:8">
      <c r="F47750" t="s">
        <v>14350</v>
      </c>
      <c r="G47750" t="s">
        <v>18301</v>
      </c>
      <c r="H47750" t="s">
        <v>37682</v>
      </c>
    </row>
    <row r="47751" spans="1:8">
      <c r="F47751" t="s">
        <v>12743</v>
      </c>
      <c r="G47751" t="s">
        <v>16935</v>
      </c>
      <c r="H47751" t="s">
        <v>37681</v>
      </c>
    </row>
    <row r="47752" spans="1:8">
      <c r="F47752" t="s">
        <v>14390</v>
      </c>
      <c r="G47752" t="s">
        <v>18331</v>
      </c>
      <c r="H47752" t="s">
        <v>30867</v>
      </c>
    </row>
    <row r="47753" spans="1:8">
      <c r="A47753" t="s">
        <v>4379</v>
      </c>
      <c r="B47753">
        <f>HYPERLINK("https://android.googlesource.com/platform/cts/+/aa572b329059d6ecda749bae1f32eaedad528d4e", "aa572b329059d6ecda749bae1f32eaedad528d4e")</f>
        <v>0</v>
      </c>
      <c r="C47753">
        <f>HYPERLINK("https://android.googlesource.com/platform/cts/+/4a8d8747786b23107a043cee0b1f8bd32215d949", "4a8d8747786b23107a043cee0b1f8bd32215d949")</f>
        <v>0</v>
      </c>
      <c r="D47753" t="s">
        <v>5547</v>
      </c>
      <c r="E47753" t="s">
        <v>10049</v>
      </c>
      <c r="F47753" t="s">
        <v>14658</v>
      </c>
      <c r="G47753" t="s">
        <v>18019</v>
      </c>
      <c r="H47753" t="s">
        <v>37683</v>
      </c>
    </row>
    <row r="47754" spans="1:8">
      <c r="A47754" t="s">
        <v>4380</v>
      </c>
      <c r="B47754">
        <f>HYPERLINK("https://android.googlesource.com/platform/cts/+/b85019552d10cf6576d1c84f1af0eb87ad595f63", "b85019552d10cf6576d1c84f1af0eb87ad595f63")</f>
        <v>0</v>
      </c>
      <c r="C47754">
        <f>HYPERLINK("https://android.googlesource.com/platform/cts/+/d938ad3a3883b4a8671006380a4525c5e50c5d2d", "d938ad3a3883b4a8671006380a4525c5e50c5d2d")</f>
        <v>0</v>
      </c>
      <c r="D47754" t="s">
        <v>5685</v>
      </c>
      <c r="E47754" t="s">
        <v>10050</v>
      </c>
      <c r="F47754" t="s">
        <v>14539</v>
      </c>
      <c r="G47754" t="s">
        <v>18463</v>
      </c>
      <c r="H47754" t="s">
        <v>37684</v>
      </c>
    </row>
    <row r="47755" spans="1:8">
      <c r="F47755" t="s">
        <v>12743</v>
      </c>
      <c r="G47755" t="s">
        <v>16935</v>
      </c>
      <c r="H47755" t="s">
        <v>37684</v>
      </c>
    </row>
    <row r="47756" spans="1:8">
      <c r="A47756" t="s">
        <v>4381</v>
      </c>
      <c r="B47756">
        <f>HYPERLINK("https://android.googlesource.com/platform/cts/+/52e1582c3ca0016f1f94b74b33b0a79e2b271723", "52e1582c3ca0016f1f94b74b33b0a79e2b271723")</f>
        <v>0</v>
      </c>
      <c r="C47756">
        <f>HYPERLINK("https://android.googlesource.com/platform/cts/+/06880e80e8163ce128d8bbd0f9ce7c88b7b04dd4", "06880e80e8163ce128d8bbd0f9ce7c88b7b04dd4")</f>
        <v>0</v>
      </c>
      <c r="D47756" t="s">
        <v>5690</v>
      </c>
      <c r="E47756" t="s">
        <v>10051</v>
      </c>
      <c r="F47756" t="s">
        <v>10784</v>
      </c>
      <c r="G47756" t="s">
        <v>15180</v>
      </c>
      <c r="H47756" t="s">
        <v>37664</v>
      </c>
    </row>
    <row r="47757" spans="1:8">
      <c r="A47757" t="s">
        <v>4382</v>
      </c>
      <c r="B47757">
        <f>HYPERLINK("https://android.googlesource.com/platform/cts/+/68df91e7deb4b34fb11d3a0c52476c9132e827f2", "68df91e7deb4b34fb11d3a0c52476c9132e827f2")</f>
        <v>0</v>
      </c>
      <c r="C47757">
        <f>HYPERLINK("https://android.googlesource.com/platform/cts/+/55e11d1cbf4812e764e1de79426a1dc27d225405", "55e11d1cbf4812e764e1de79426a1dc27d225405")</f>
        <v>0</v>
      </c>
      <c r="D47757" t="s">
        <v>5693</v>
      </c>
      <c r="E47757" t="s">
        <v>10052</v>
      </c>
      <c r="F47757" t="s">
        <v>13816</v>
      </c>
      <c r="G47757" t="s">
        <v>15089</v>
      </c>
      <c r="H47757" t="s">
        <v>37685</v>
      </c>
    </row>
    <row r="47758" spans="1:8">
      <c r="A47758" t="s">
        <v>4383</v>
      </c>
      <c r="B47758">
        <f>HYPERLINK("https://android.googlesource.com/platform/cts/+/8107a505b9872245ca145c76eff85151d5a44862", "8107a505b9872245ca145c76eff85151d5a44862")</f>
        <v>0</v>
      </c>
      <c r="C47758">
        <f>HYPERLINK("https://android.googlesource.com/platform/cts/+/d43140e13c389ef286ff90b66836281c93a3d90e", "d43140e13c389ef286ff90b66836281c93a3d90e")</f>
        <v>0</v>
      </c>
      <c r="D47758" t="s">
        <v>5653</v>
      </c>
      <c r="E47758" t="s">
        <v>10053</v>
      </c>
      <c r="F47758" t="s">
        <v>14614</v>
      </c>
      <c r="G47758" t="s">
        <v>18526</v>
      </c>
      <c r="H47758" t="s">
        <v>37686</v>
      </c>
    </row>
    <row r="47759" spans="1:8">
      <c r="A47759" t="s">
        <v>4384</v>
      </c>
      <c r="B47759">
        <f>HYPERLINK("https://android.googlesource.com/platform/cts/+/b4454b4ac95ea4076cc07152e288c78c0ebcb404", "b4454b4ac95ea4076cc07152e288c78c0ebcb404")</f>
        <v>0</v>
      </c>
      <c r="C47759">
        <f>HYPERLINK("https://android.googlesource.com/platform/cts/+/55e11d1cbf4812e764e1de79426a1dc27d225405", "55e11d1cbf4812e764e1de79426a1dc27d225405")</f>
        <v>0</v>
      </c>
      <c r="D47759" t="s">
        <v>5526</v>
      </c>
      <c r="E47759" t="s">
        <v>10054</v>
      </c>
      <c r="F47759" t="s">
        <v>14708</v>
      </c>
      <c r="G47759" t="s">
        <v>18596</v>
      </c>
      <c r="H47759" t="s">
        <v>18863</v>
      </c>
    </row>
    <row r="47760" spans="1:8">
      <c r="H47760" t="s">
        <v>34004</v>
      </c>
    </row>
    <row r="47761" spans="1:8">
      <c r="H47761" t="s">
        <v>34005</v>
      </c>
    </row>
    <row r="47762" spans="1:8">
      <c r="H47762" t="s">
        <v>37687</v>
      </c>
    </row>
    <row r="47763" spans="1:8">
      <c r="H47763" t="s">
        <v>37688</v>
      </c>
    </row>
    <row r="47764" spans="1:8">
      <c r="A47764" t="s">
        <v>4385</v>
      </c>
      <c r="B47764">
        <f>HYPERLINK("https://android.googlesource.com/platform/cts/+/50436356e25589a71583567a7bb64cce54eb9bcd", "50436356e25589a71583567a7bb64cce54eb9bcd")</f>
        <v>0</v>
      </c>
      <c r="C47764">
        <f>HYPERLINK("https://android.googlesource.com/platform/cts/+/cf2d1c32f349e8db998188126f43140dd5907985", "cf2d1c32f349e8db998188126f43140dd5907985")</f>
        <v>0</v>
      </c>
      <c r="D47764" t="s">
        <v>5605</v>
      </c>
      <c r="E47764" t="s">
        <v>10055</v>
      </c>
      <c r="F47764" t="s">
        <v>14295</v>
      </c>
      <c r="G47764" t="s">
        <v>18257</v>
      </c>
      <c r="H47764" t="s">
        <v>37689</v>
      </c>
    </row>
    <row r="47765" spans="1:8">
      <c r="A47765" t="s">
        <v>4386</v>
      </c>
      <c r="B47765">
        <f>HYPERLINK("https://android.googlesource.com/platform/cts/+/414f3a28d76642b7a81e842f1ef4facf055d6d6b", "414f3a28d76642b7a81e842f1ef4facf055d6d6b")</f>
        <v>0</v>
      </c>
      <c r="C47765">
        <f>HYPERLINK("https://android.googlesource.com/platform/cts/+/0a1c0aa887216492d0b85ed5f1df81b247d276bc", "0a1c0aa887216492d0b85ed5f1df81b247d276bc")</f>
        <v>0</v>
      </c>
      <c r="D47765" t="s">
        <v>5691</v>
      </c>
      <c r="E47765" t="s">
        <v>10056</v>
      </c>
      <c r="F47765" t="s">
        <v>12808</v>
      </c>
      <c r="G47765" t="s">
        <v>16989</v>
      </c>
      <c r="H47765" t="s">
        <v>30338</v>
      </c>
    </row>
    <row r="47766" spans="1:8">
      <c r="A47766" t="s">
        <v>4387</v>
      </c>
      <c r="B47766">
        <f>HYPERLINK("https://android.googlesource.com/platform/cts/+/24bfdb150a0ebeafa1e465a899bc63ca61663d78", "24bfdb150a0ebeafa1e465a899bc63ca61663d78")</f>
        <v>0</v>
      </c>
      <c r="C47766">
        <f>HYPERLINK("https://android.googlesource.com/platform/cts/+/96332e458ab5c8be69cdd7afbc07879eeb437059", "96332e458ab5c8be69cdd7afbc07879eeb437059")</f>
        <v>0</v>
      </c>
      <c r="D47766" t="s">
        <v>5409</v>
      </c>
      <c r="E47766" t="s">
        <v>10057</v>
      </c>
      <c r="F47766" t="s">
        <v>13974</v>
      </c>
      <c r="G47766" t="s">
        <v>17999</v>
      </c>
      <c r="H47766" t="s">
        <v>18829</v>
      </c>
    </row>
    <row r="47767" spans="1:8">
      <c r="H47767" t="s">
        <v>37690</v>
      </c>
    </row>
    <row r="47768" spans="1:8">
      <c r="H47768" t="s">
        <v>37691</v>
      </c>
    </row>
    <row r="47769" spans="1:8">
      <c r="F47769" t="s">
        <v>14038</v>
      </c>
      <c r="G47769" t="s">
        <v>18041</v>
      </c>
      <c r="H47769" t="s">
        <v>37690</v>
      </c>
    </row>
    <row r="47770" spans="1:8">
      <c r="H47770" t="s">
        <v>37691</v>
      </c>
    </row>
    <row r="47771" spans="1:8">
      <c r="F47771" t="s">
        <v>12762</v>
      </c>
      <c r="G47771" t="s">
        <v>16953</v>
      </c>
      <c r="H47771" t="s">
        <v>37690</v>
      </c>
    </row>
    <row r="47772" spans="1:8">
      <c r="F47772" t="s">
        <v>12743</v>
      </c>
      <c r="G47772" t="s">
        <v>16935</v>
      </c>
      <c r="H47772" t="s">
        <v>37690</v>
      </c>
    </row>
    <row r="47773" spans="1:8">
      <c r="F47773" t="s">
        <v>13229</v>
      </c>
      <c r="G47773" t="s">
        <v>17370</v>
      </c>
      <c r="H47773" t="s">
        <v>37690</v>
      </c>
    </row>
    <row r="47774" spans="1:8">
      <c r="A47774" t="s">
        <v>4388</v>
      </c>
      <c r="B47774">
        <f>HYPERLINK("https://android.googlesource.com/platform/cts/+/c1ccff8706d0d97de5b8695876e4676e9affd5b9", "c1ccff8706d0d97de5b8695876e4676e9affd5b9")</f>
        <v>0</v>
      </c>
      <c r="C47774">
        <f>HYPERLINK("https://android.googlesource.com/platform/cts/+/fc27256c3e834b01d535c0a2ca50ba5909a757a6", "fc27256c3e834b01d535c0a2ca50ba5909a757a6")</f>
        <v>0</v>
      </c>
      <c r="D47774" t="s">
        <v>5417</v>
      </c>
      <c r="E47774" t="s">
        <v>10058</v>
      </c>
      <c r="F47774" t="s">
        <v>14709</v>
      </c>
      <c r="G47774" t="s">
        <v>18597</v>
      </c>
      <c r="H47774" t="s">
        <v>37692</v>
      </c>
    </row>
    <row r="47775" spans="1:8">
      <c r="A47775" t="s">
        <v>4389</v>
      </c>
      <c r="B47775">
        <f>HYPERLINK("https://android.googlesource.com/platform/cts/+/5414292ca35cc795d34e86a0bc30028c504c9987", "5414292ca35cc795d34e86a0bc30028c504c9987")</f>
        <v>0</v>
      </c>
      <c r="C47775">
        <f>HYPERLINK("https://android.googlesource.com/platform/cts/+/9d6ba938f8f035974f3f2c3ca7470397921f8890", "9d6ba938f8f035974f3f2c3ca7470397921f8890")</f>
        <v>0</v>
      </c>
      <c r="D47775" t="s">
        <v>5366</v>
      </c>
      <c r="E47775" t="s">
        <v>10059</v>
      </c>
      <c r="F47775" t="s">
        <v>14686</v>
      </c>
      <c r="G47775" t="s">
        <v>16571</v>
      </c>
      <c r="H47775" t="s">
        <v>37487</v>
      </c>
    </row>
    <row r="47776" spans="1:8">
      <c r="A47776" t="s">
        <v>4390</v>
      </c>
      <c r="B47776">
        <f>HYPERLINK("https://android.googlesource.com/platform/cts/+/ea2732710900bdb550633ba522818c1bf9b2c68e", "ea2732710900bdb550633ba522818c1bf9b2c68e")</f>
        <v>0</v>
      </c>
      <c r="C47776">
        <f>HYPERLINK("https://android.googlesource.com/platform/cts/+/1ba02da34effd2260ac1d457c85ae71d8e9a8c1b", "1ba02da34effd2260ac1d457c85ae71d8e9a8c1b")</f>
        <v>0</v>
      </c>
      <c r="D47776" t="s">
        <v>5694</v>
      </c>
      <c r="E47776" t="s">
        <v>10060</v>
      </c>
      <c r="F47776" t="s">
        <v>14699</v>
      </c>
      <c r="G47776" t="s">
        <v>18587</v>
      </c>
      <c r="H47776" t="s">
        <v>37615</v>
      </c>
    </row>
    <row r="47777" spans="1:8">
      <c r="A47777" t="s">
        <v>4391</v>
      </c>
      <c r="B47777">
        <f>HYPERLINK("https://android.googlesource.com/platform/cts/+/fa3a99538ff1124586f9bb889ab909a853d55d71", "fa3a99538ff1124586f9bb889ab909a853d55d71")</f>
        <v>0</v>
      </c>
      <c r="C47777">
        <f>HYPERLINK("https://android.googlesource.com/platform/cts/+/42df9fa626b9885f906594642591dc133c8ae506", "42df9fa626b9885f906594642591dc133c8ae506")</f>
        <v>0</v>
      </c>
      <c r="D47777" t="s">
        <v>5046</v>
      </c>
      <c r="E47777" t="s">
        <v>10061</v>
      </c>
      <c r="F47777" t="s">
        <v>14710</v>
      </c>
      <c r="G47777" t="s">
        <v>18598</v>
      </c>
      <c r="H47777" t="s">
        <v>37693</v>
      </c>
    </row>
    <row r="47778" spans="1:8">
      <c r="H47778" t="s">
        <v>37694</v>
      </c>
    </row>
    <row r="47779" spans="1:8">
      <c r="H47779" t="s">
        <v>37695</v>
      </c>
    </row>
    <row r="47780" spans="1:8">
      <c r="A47780" t="s">
        <v>4392</v>
      </c>
      <c r="B47780">
        <f>HYPERLINK("https://android.googlesource.com/platform/cts/+/473715dfebbe96a6b0b9bd4823a2402bbe81e537", "473715dfebbe96a6b0b9bd4823a2402bbe81e537")</f>
        <v>0</v>
      </c>
      <c r="C47780">
        <f>HYPERLINK("https://android.googlesource.com/platform/cts/+/15de4e73f16cd93cde6890fd05046ad445405f7f", "15de4e73f16cd93cde6890fd05046ad445405f7f")</f>
        <v>0</v>
      </c>
      <c r="D47780" t="s">
        <v>5341</v>
      </c>
      <c r="E47780" t="s">
        <v>10062</v>
      </c>
      <c r="F47780" t="s">
        <v>13827</v>
      </c>
      <c r="G47780" t="s">
        <v>17871</v>
      </c>
      <c r="H47780" t="s">
        <v>37696</v>
      </c>
    </row>
    <row r="47781" spans="1:8">
      <c r="A47781" t="s">
        <v>4393</v>
      </c>
      <c r="B47781">
        <f>HYPERLINK("https://android.googlesource.com/platform/cts/+/fe2c9e9fb070ee40ae223375ed9143a927b96bf2", "fe2c9e9fb070ee40ae223375ed9143a927b96bf2")</f>
        <v>0</v>
      </c>
      <c r="C47781">
        <f>HYPERLINK("https://android.googlesource.com/platform/cts/+/473715dfebbe96a6b0b9bd4823a2402bbe81e537", "473715dfebbe96a6b0b9bd4823a2402bbe81e537")</f>
        <v>0</v>
      </c>
      <c r="D47781" t="s">
        <v>5341</v>
      </c>
      <c r="E47781" t="s">
        <v>10063</v>
      </c>
      <c r="F47781" t="s">
        <v>13827</v>
      </c>
      <c r="G47781" t="s">
        <v>17871</v>
      </c>
      <c r="H47781" t="s">
        <v>37697</v>
      </c>
    </row>
    <row r="47782" spans="1:8">
      <c r="A47782" t="s">
        <v>4394</v>
      </c>
      <c r="B47782">
        <f>HYPERLINK("https://android.googlesource.com/platform/cts/+/405bb1a7521e9277267252955e39cc0871f1f3df", "405bb1a7521e9277267252955e39cc0871f1f3df")</f>
        <v>0</v>
      </c>
      <c r="C47782">
        <f>HYPERLINK("https://android.googlesource.com/platform/cts/+/3b17ede113e8fab8c74fbefdc78aefe5b327f6d1", "3b17ede113e8fab8c74fbefdc78aefe5b327f6d1")</f>
        <v>0</v>
      </c>
      <c r="D47782" t="s">
        <v>5657</v>
      </c>
      <c r="E47782" t="s">
        <v>10064</v>
      </c>
      <c r="F47782" t="s">
        <v>14711</v>
      </c>
      <c r="G47782" t="s">
        <v>18599</v>
      </c>
      <c r="H47782" t="s">
        <v>37698</v>
      </c>
    </row>
    <row r="47783" spans="1:8">
      <c r="A47783" t="s">
        <v>4395</v>
      </c>
      <c r="B47783">
        <f>HYPERLINK("https://android.googlesource.com/platform/cts/+/6c301aaf258a2d5b01643f2250b667f9bcd031fe", "6c301aaf258a2d5b01643f2250b667f9bcd031fe")</f>
        <v>0</v>
      </c>
      <c r="C47783">
        <f>HYPERLINK("https://android.googlesource.com/platform/cts/+/fbace87a4e6f67b3ba8b6dc42a7f2814bfd6b10e", "fbace87a4e6f67b3ba8b6dc42a7f2814bfd6b10e")</f>
        <v>0</v>
      </c>
      <c r="D47783" t="s">
        <v>5595</v>
      </c>
      <c r="E47783" t="s">
        <v>10065</v>
      </c>
      <c r="F47783" t="s">
        <v>13816</v>
      </c>
      <c r="G47783" t="s">
        <v>15089</v>
      </c>
      <c r="H47783" t="s">
        <v>31838</v>
      </c>
    </row>
    <row r="47784" spans="1:8">
      <c r="F47784" t="s">
        <v>14712</v>
      </c>
      <c r="G47784" t="s">
        <v>17455</v>
      </c>
      <c r="H47784" t="s">
        <v>37699</v>
      </c>
    </row>
    <row r="47785" spans="1:8">
      <c r="A47785" t="s">
        <v>4396</v>
      </c>
      <c r="B47785">
        <f>HYPERLINK("https://android.googlesource.com/platform/cts/+/a0bf8cf9e1790da51184fae8437f99e854023326", "a0bf8cf9e1790da51184fae8437f99e854023326")</f>
        <v>0</v>
      </c>
      <c r="C47785">
        <f>HYPERLINK("https://android.googlesource.com/platform/cts/+/9195f0d26350abece32a4beedc2bc24da688bc9a", "9195f0d26350abece32a4beedc2bc24da688bc9a")</f>
        <v>0</v>
      </c>
      <c r="D47785" t="s">
        <v>5244</v>
      </c>
      <c r="E47785" t="s">
        <v>10066</v>
      </c>
      <c r="F47785" t="s">
        <v>14157</v>
      </c>
      <c r="G47785" t="s">
        <v>18143</v>
      </c>
      <c r="H47785" t="s">
        <v>37700</v>
      </c>
    </row>
    <row r="47786" spans="1:8">
      <c r="A47786" t="s">
        <v>4397</v>
      </c>
      <c r="B47786">
        <f>HYPERLINK("https://android.googlesource.com/platform/cts/+/3032e244f6a01ae6f08bb2db478aca5183913d0e", "3032e244f6a01ae6f08bb2db478aca5183913d0e")</f>
        <v>0</v>
      </c>
      <c r="C47786">
        <f>HYPERLINK("https://android.googlesource.com/platform/cts/+/fa1f3fb50d73c7622294b3562f8d5e1d818d15ae", "fa1f3fb50d73c7622294b3562f8d5e1d818d15ae")</f>
        <v>0</v>
      </c>
      <c r="D47786" t="s">
        <v>5540</v>
      </c>
      <c r="E47786" t="s">
        <v>10067</v>
      </c>
      <c r="F47786" t="s">
        <v>14165</v>
      </c>
      <c r="G47786" t="s">
        <v>17361</v>
      </c>
      <c r="H47786" t="s">
        <v>37701</v>
      </c>
    </row>
    <row r="47787" spans="1:8">
      <c r="A47787" t="s">
        <v>4398</v>
      </c>
      <c r="B47787">
        <f>HYPERLINK("https://android.googlesource.com/platform/cts/+/e648b106f405f1b0db568f1044dbd8405cc32c60", "e648b106f405f1b0db568f1044dbd8405cc32c60")</f>
        <v>0</v>
      </c>
      <c r="C47787">
        <f>HYPERLINK("https://android.googlesource.com/platform/cts/+/55438cc39c70b8e2c1c7e53e248de8fed7a9f2d6", "55438cc39c70b8e2c1c7e53e248de8fed7a9f2d6")</f>
        <v>0</v>
      </c>
      <c r="D47787" t="s">
        <v>5427</v>
      </c>
      <c r="E47787" t="s">
        <v>10068</v>
      </c>
      <c r="F47787" t="s">
        <v>13965</v>
      </c>
      <c r="G47787" t="s">
        <v>17990</v>
      </c>
      <c r="H47787" t="s">
        <v>37702</v>
      </c>
    </row>
    <row r="47788" spans="1:8">
      <c r="A47788" t="s">
        <v>4399</v>
      </c>
      <c r="B47788">
        <f>HYPERLINK("https://android.googlesource.com/platform/cts/+/054e4d1da1b8ac7740231396f5a2d7d08cf24336", "054e4d1da1b8ac7740231396f5a2d7d08cf24336")</f>
        <v>0</v>
      </c>
      <c r="C47788">
        <f>HYPERLINK("https://android.googlesource.com/platform/cts/+/bbf5b82c21f2bd825ced4d95a0cb7947e6376939", "bbf5b82c21f2bd825ced4d95a0cb7947e6376939")</f>
        <v>0</v>
      </c>
      <c r="D47788" t="s">
        <v>5681</v>
      </c>
      <c r="E47788" t="s">
        <v>10069</v>
      </c>
      <c r="F47788" t="s">
        <v>14713</v>
      </c>
      <c r="G47788" t="s">
        <v>18600</v>
      </c>
      <c r="H47788" t="s">
        <v>37703</v>
      </c>
    </row>
    <row r="47789" spans="1:8">
      <c r="H47789" t="s">
        <v>19496</v>
      </c>
    </row>
    <row r="47790" spans="1:8">
      <c r="F47790" t="s">
        <v>14714</v>
      </c>
      <c r="G47790" t="s">
        <v>18601</v>
      </c>
      <c r="H47790" t="s">
        <v>37704</v>
      </c>
    </row>
    <row r="47791" spans="1:8">
      <c r="H47791" t="s">
        <v>19496</v>
      </c>
    </row>
    <row r="47792" spans="1:8">
      <c r="A47792" t="s">
        <v>4400</v>
      </c>
      <c r="B47792">
        <f>HYPERLINK("https://android.googlesource.com/platform/cts/+/7a60317b587417f071bc6ab0c670c66b488e35b9", "7a60317b587417f071bc6ab0c670c66b488e35b9")</f>
        <v>0</v>
      </c>
      <c r="C47792">
        <f>HYPERLINK("https://android.googlesource.com/platform/cts/+/17e848e89df07027c6a718bb33f24d06d2d15366", "17e848e89df07027c6a718bb33f24d06d2d15366")</f>
        <v>0</v>
      </c>
      <c r="D47792" t="s">
        <v>5182</v>
      </c>
      <c r="E47792" t="s">
        <v>10070</v>
      </c>
      <c r="F47792" t="s">
        <v>14715</v>
      </c>
      <c r="G47792" t="s">
        <v>18602</v>
      </c>
      <c r="H47792" t="s">
        <v>37705</v>
      </c>
    </row>
    <row r="47793" spans="1:8">
      <c r="H47793" t="s">
        <v>18829</v>
      </c>
    </row>
    <row r="47794" spans="1:8">
      <c r="H47794" t="s">
        <v>18863</v>
      </c>
    </row>
    <row r="47795" spans="1:8">
      <c r="H47795" t="s">
        <v>37706</v>
      </c>
    </row>
    <row r="47796" spans="1:8">
      <c r="H47796" t="s">
        <v>37707</v>
      </c>
    </row>
    <row r="47797" spans="1:8">
      <c r="H47797" t="s">
        <v>37708</v>
      </c>
    </row>
    <row r="47798" spans="1:8">
      <c r="H47798" t="s">
        <v>37709</v>
      </c>
    </row>
    <row r="47799" spans="1:8">
      <c r="H47799" t="s">
        <v>37710</v>
      </c>
    </row>
    <row r="47800" spans="1:8">
      <c r="H47800" t="s">
        <v>37711</v>
      </c>
    </row>
    <row r="47801" spans="1:8">
      <c r="H47801" t="s">
        <v>37712</v>
      </c>
    </row>
    <row r="47802" spans="1:8">
      <c r="H47802" t="s">
        <v>37713</v>
      </c>
    </row>
    <row r="47803" spans="1:8">
      <c r="H47803" t="s">
        <v>37714</v>
      </c>
    </row>
    <row r="47804" spans="1:8">
      <c r="H47804" t="s">
        <v>37715</v>
      </c>
    </row>
    <row r="47805" spans="1:8">
      <c r="H47805" t="s">
        <v>37716</v>
      </c>
    </row>
    <row r="47806" spans="1:8">
      <c r="H47806" t="s">
        <v>37717</v>
      </c>
    </row>
    <row r="47807" spans="1:8">
      <c r="H47807" t="s">
        <v>18893</v>
      </c>
    </row>
    <row r="47808" spans="1:8">
      <c r="A47808" t="s">
        <v>4401</v>
      </c>
      <c r="B47808">
        <f>HYPERLINK("https://android.googlesource.com/platform/cts/+/1455b08e43f78c20399e9fae64d91a92cb64e584", "1455b08e43f78c20399e9fae64d91a92cb64e584")</f>
        <v>0</v>
      </c>
      <c r="C47808">
        <f>HYPERLINK("https://android.googlesource.com/platform/cts/+/fb3e4e5a13220e05e6e7d90556ced0667f511bfa", "fb3e4e5a13220e05e6e7d90556ced0667f511bfa")</f>
        <v>0</v>
      </c>
      <c r="D47808" t="s">
        <v>5598</v>
      </c>
      <c r="E47808" t="s">
        <v>10071</v>
      </c>
      <c r="F47808" t="s">
        <v>14388</v>
      </c>
      <c r="G47808" t="s">
        <v>17644</v>
      </c>
      <c r="H47808" t="s">
        <v>37718</v>
      </c>
    </row>
    <row r="47809" spans="1:8">
      <c r="H47809" t="s">
        <v>37719</v>
      </c>
    </row>
    <row r="47810" spans="1:8">
      <c r="A47810" t="s">
        <v>4402</v>
      </c>
      <c r="B47810">
        <f>HYPERLINK("https://android.googlesource.com/platform/cts/+/54c31e41132932492fcccfe0336f405138bfa454", "54c31e41132932492fcccfe0336f405138bfa454")</f>
        <v>0</v>
      </c>
      <c r="C47810">
        <f>HYPERLINK("https://android.googlesource.com/platform/cts/+/1589ac3f1024c9db651b0288a86587035f940829", "1589ac3f1024c9db651b0288a86587035f940829")</f>
        <v>0</v>
      </c>
      <c r="D47810" t="s">
        <v>5473</v>
      </c>
      <c r="E47810" t="s">
        <v>10072</v>
      </c>
      <c r="F47810" t="s">
        <v>14185</v>
      </c>
      <c r="G47810" t="s">
        <v>18166</v>
      </c>
      <c r="H47810" t="s">
        <v>37720</v>
      </c>
    </row>
    <row r="47811" spans="1:8">
      <c r="A47811" t="s">
        <v>4403</v>
      </c>
      <c r="B47811">
        <f>HYPERLINK("https://android.googlesource.com/platform/cts/+/468c83915c8b97b819c2e3f7391a7632175b031b", "468c83915c8b97b819c2e3f7391a7632175b031b")</f>
        <v>0</v>
      </c>
      <c r="C47811">
        <f>HYPERLINK("https://android.googlesource.com/platform/cts/+/4165e3b459a27888a26f6d984d9b12221e6dad9f", "4165e3b459a27888a26f6d984d9b12221e6dad9f")</f>
        <v>0</v>
      </c>
      <c r="D47811" t="s">
        <v>5695</v>
      </c>
      <c r="E47811" t="s">
        <v>10073</v>
      </c>
      <c r="F47811" t="s">
        <v>14196</v>
      </c>
      <c r="G47811" t="s">
        <v>18175</v>
      </c>
      <c r="H47811" t="s">
        <v>37721</v>
      </c>
    </row>
    <row r="47812" spans="1:8">
      <c r="A47812" t="s">
        <v>4404</v>
      </c>
      <c r="B47812">
        <f>HYPERLINK("https://android.googlesource.com/platform/cts/+/93e479813b6564b179d42d91bb5aed61b393f0a8", "93e479813b6564b179d42d91bb5aed61b393f0a8")</f>
        <v>0</v>
      </c>
      <c r="C47812">
        <f>HYPERLINK("https://android.googlesource.com/platform/cts/+/e8c1b8e3a818f990c7d2898c8987363316590b63", "e8c1b8e3a818f990c7d2898c8987363316590b63")</f>
        <v>0</v>
      </c>
      <c r="D47812" t="s">
        <v>5696</v>
      </c>
      <c r="E47812" t="s">
        <v>10074</v>
      </c>
      <c r="F47812" t="s">
        <v>13548</v>
      </c>
      <c r="G47812" t="s">
        <v>15171</v>
      </c>
      <c r="H47812" t="s">
        <v>37722</v>
      </c>
    </row>
    <row r="47813" spans="1:8">
      <c r="F47813" t="s">
        <v>14225</v>
      </c>
      <c r="G47813" t="s">
        <v>15691</v>
      </c>
      <c r="H47813" t="s">
        <v>37722</v>
      </c>
    </row>
    <row r="47814" spans="1:8">
      <c r="A47814" t="s">
        <v>4405</v>
      </c>
      <c r="B47814">
        <f>HYPERLINK("https://android.googlesource.com/platform/cts/+/2e9c8bf61f9d61cb7bd137cd4fb4b36114621e1e", "2e9c8bf61f9d61cb7bd137cd4fb4b36114621e1e")</f>
        <v>0</v>
      </c>
      <c r="C47814">
        <f>HYPERLINK("https://android.googlesource.com/platform/cts/+/b107357451d28bb9be485368feef246c9b2c7949", "b107357451d28bb9be485368feef246c9b2c7949")</f>
        <v>0</v>
      </c>
      <c r="D47814" t="s">
        <v>5697</v>
      </c>
      <c r="E47814" t="s">
        <v>10075</v>
      </c>
      <c r="F47814" t="s">
        <v>14267</v>
      </c>
      <c r="G47814" t="s">
        <v>18234</v>
      </c>
      <c r="H47814" t="s">
        <v>37723</v>
      </c>
    </row>
    <row r="47815" spans="1:8">
      <c r="A47815" t="s">
        <v>4406</v>
      </c>
      <c r="B47815">
        <f>HYPERLINK("https://android.googlesource.com/platform/cts/+/27887a50ff11a1e4769ff39979870923ce7e0f25", "27887a50ff11a1e4769ff39979870923ce7e0f25")</f>
        <v>0</v>
      </c>
      <c r="C47815">
        <f>HYPERLINK("https://android.googlesource.com/platform/cts/+/c21ab94d0d1ed450f5a0881103cbd5da616bec96", "c21ab94d0d1ed450f5a0881103cbd5da616bec96")</f>
        <v>0</v>
      </c>
      <c r="D47815" t="s">
        <v>5481</v>
      </c>
      <c r="E47815" t="s">
        <v>10076</v>
      </c>
      <c r="F47815" t="s">
        <v>14408</v>
      </c>
      <c r="G47815" t="s">
        <v>18346</v>
      </c>
      <c r="H47815" t="s">
        <v>36730</v>
      </c>
    </row>
    <row r="47816" spans="1:8">
      <c r="H47816" t="s">
        <v>36731</v>
      </c>
    </row>
    <row r="47817" spans="1:8">
      <c r="F47817" t="s">
        <v>14409</v>
      </c>
      <c r="G47817" t="s">
        <v>18347</v>
      </c>
      <c r="H47817" t="s">
        <v>36730</v>
      </c>
    </row>
    <row r="47818" spans="1:8">
      <c r="H47818" t="s">
        <v>36731</v>
      </c>
    </row>
    <row r="47819" spans="1:8">
      <c r="A47819" t="s">
        <v>4407</v>
      </c>
      <c r="B47819">
        <f>HYPERLINK("https://android.googlesource.com/platform/cts/+/7da23f3b662b11d051f54dd946cab27600ddde25", "7da23f3b662b11d051f54dd946cab27600ddde25")</f>
        <v>0</v>
      </c>
      <c r="C47819">
        <f>HYPERLINK("https://android.googlesource.com/platform/cts/+/f3e1e5af4472d6d8953e95add8e67a631ee3471d", "f3e1e5af4472d6d8953e95add8e67a631ee3471d")</f>
        <v>0</v>
      </c>
      <c r="D47819" t="s">
        <v>5038</v>
      </c>
      <c r="E47819" t="s">
        <v>10077</v>
      </c>
      <c r="F47819" t="s">
        <v>14716</v>
      </c>
      <c r="G47819" t="s">
        <v>18106</v>
      </c>
      <c r="H47819" t="s">
        <v>37724</v>
      </c>
    </row>
    <row r="47820" spans="1:8">
      <c r="A47820" t="s">
        <v>4408</v>
      </c>
      <c r="B47820">
        <f>HYPERLINK("https://android.googlesource.com/platform/cts/+/f2b0346a3b40f64394abea4d4a28de12fbca4938", "f2b0346a3b40f64394abea4d4a28de12fbca4938")</f>
        <v>0</v>
      </c>
      <c r="C47820">
        <f>HYPERLINK("https://android.googlesource.com/platform/cts/+/f3e1e5af4472d6d8953e95add8e67a631ee3471d", "f3e1e5af4472d6d8953e95add8e67a631ee3471d")</f>
        <v>0</v>
      </c>
      <c r="D47820" t="s">
        <v>5038</v>
      </c>
      <c r="E47820" t="s">
        <v>10078</v>
      </c>
      <c r="F47820" t="s">
        <v>14717</v>
      </c>
      <c r="G47820" t="s">
        <v>15723</v>
      </c>
      <c r="H47820" t="s">
        <v>37725</v>
      </c>
    </row>
    <row r="47821" spans="1:8">
      <c r="A47821" t="s">
        <v>4409</v>
      </c>
      <c r="B47821">
        <f>HYPERLINK("https://android.googlesource.com/platform/cts/+/8549571aef0edf62ecd5aea350e61c3fa600779c", "8549571aef0edf62ecd5aea350e61c3fa600779c")</f>
        <v>0</v>
      </c>
      <c r="C47821">
        <f>HYPERLINK("https://android.googlesource.com/platform/cts/+/f3e1e5af4472d6d8953e95add8e67a631ee3471d", "f3e1e5af4472d6d8953e95add8e67a631ee3471d")</f>
        <v>0</v>
      </c>
      <c r="D47821" t="s">
        <v>5038</v>
      </c>
      <c r="E47821" t="s">
        <v>10079</v>
      </c>
      <c r="F47821" t="s">
        <v>14717</v>
      </c>
      <c r="G47821" t="s">
        <v>15723</v>
      </c>
      <c r="H47821" t="s">
        <v>37726</v>
      </c>
    </row>
    <row r="47822" spans="1:8">
      <c r="A47822" t="s">
        <v>4410</v>
      </c>
      <c r="B47822">
        <f>HYPERLINK("https://android.googlesource.com/platform/cts/+/58725f2d18d1e28dfba444069d44859807dc37f0", "58725f2d18d1e28dfba444069d44859807dc37f0")</f>
        <v>0</v>
      </c>
      <c r="C47822">
        <f>HYPERLINK("https://android.googlesource.com/platform/cts/+/423bd800cc56d3a607c7b38af8913341ed0967bd", "423bd800cc56d3a607c7b38af8913341ed0967bd")</f>
        <v>0</v>
      </c>
      <c r="D47822" t="s">
        <v>5038</v>
      </c>
      <c r="E47822" t="s">
        <v>10080</v>
      </c>
      <c r="F47822" t="s">
        <v>14718</v>
      </c>
      <c r="G47822" t="s">
        <v>17454</v>
      </c>
      <c r="H47822" t="s">
        <v>37727</v>
      </c>
    </row>
    <row r="47823" spans="1:8">
      <c r="A47823" t="s">
        <v>4411</v>
      </c>
      <c r="B47823">
        <f>HYPERLINK("https://android.googlesource.com/platform/cts/+/9b2feaf29a741c12c71fe54403becb3477240398", "9b2feaf29a741c12c71fe54403becb3477240398")</f>
        <v>0</v>
      </c>
      <c r="C47823">
        <f>HYPERLINK("https://android.googlesource.com/platform/cts/+/ea62039fdd710b4a51dfd82dc36a6b41610c68da", "ea62039fdd710b4a51dfd82dc36a6b41610c68da")</f>
        <v>0</v>
      </c>
      <c r="D47823" t="s">
        <v>5449</v>
      </c>
      <c r="E47823" t="s">
        <v>10081</v>
      </c>
      <c r="F47823" t="s">
        <v>14655</v>
      </c>
      <c r="G47823" t="s">
        <v>18318</v>
      </c>
      <c r="H47823" t="s">
        <v>37728</v>
      </c>
    </row>
    <row r="47824" spans="1:8">
      <c r="F47824" t="s">
        <v>14719</v>
      </c>
      <c r="G47824" t="s">
        <v>18021</v>
      </c>
      <c r="H47824" t="s">
        <v>37728</v>
      </c>
    </row>
    <row r="47825" spans="1:8">
      <c r="F47825" t="s">
        <v>14720</v>
      </c>
      <c r="G47825" t="s">
        <v>18603</v>
      </c>
      <c r="H47825" t="s">
        <v>37728</v>
      </c>
    </row>
    <row r="47826" spans="1:8">
      <c r="A47826" t="s">
        <v>4412</v>
      </c>
      <c r="B47826">
        <f>HYPERLINK("https://android.googlesource.com/platform/cts/+/a73789cc495c978e489ae83b0c34238cdbb1311c", "a73789cc495c978e489ae83b0c34238cdbb1311c")</f>
        <v>0</v>
      </c>
      <c r="C47826">
        <f>HYPERLINK("https://android.googlesource.com/platform/cts/+/17619b59af43e427250d81cc5db87e5a76b79cc5", "17619b59af43e427250d81cc5db87e5a76b79cc5")</f>
        <v>0</v>
      </c>
      <c r="D47826" t="s">
        <v>5473</v>
      </c>
      <c r="E47826" t="s">
        <v>10082</v>
      </c>
      <c r="F47826" t="s">
        <v>14721</v>
      </c>
      <c r="G47826" t="s">
        <v>17815</v>
      </c>
      <c r="H47826" t="s">
        <v>34579</v>
      </c>
    </row>
    <row r="47827" spans="1:8">
      <c r="H47827" t="s">
        <v>34580</v>
      </c>
    </row>
    <row r="47828" spans="1:8">
      <c r="H47828" t="s">
        <v>34581</v>
      </c>
    </row>
    <row r="47829" spans="1:8">
      <c r="H47829" t="s">
        <v>34582</v>
      </c>
    </row>
    <row r="47830" spans="1:8">
      <c r="H47830" t="s">
        <v>34583</v>
      </c>
    </row>
    <row r="47831" spans="1:8">
      <c r="H47831" t="s">
        <v>34584</v>
      </c>
    </row>
    <row r="47832" spans="1:8">
      <c r="H47832" t="s">
        <v>34585</v>
      </c>
    </row>
    <row r="47833" spans="1:8">
      <c r="H47833" t="s">
        <v>34586</v>
      </c>
    </row>
    <row r="47834" spans="1:8">
      <c r="H47834" t="s">
        <v>34587</v>
      </c>
    </row>
    <row r="47835" spans="1:8">
      <c r="H47835" t="s">
        <v>34588</v>
      </c>
    </row>
    <row r="47836" spans="1:8">
      <c r="H47836" t="s">
        <v>34589</v>
      </c>
    </row>
    <row r="47837" spans="1:8">
      <c r="A47837" t="s">
        <v>4413</v>
      </c>
      <c r="B47837">
        <f>HYPERLINK("https://android.googlesource.com/platform/cts/+/a2242e432d11787c4b28022903707c5e0b8f82cf", "a2242e432d11787c4b28022903707c5e0b8f82cf")</f>
        <v>0</v>
      </c>
      <c r="C47837">
        <f>HYPERLINK("https://android.googlesource.com/platform/cts/+/640c4c3074568839a6c45e403b796622750d3615", "640c4c3074568839a6c45e403b796622750d3615")</f>
        <v>0</v>
      </c>
      <c r="D47837" t="s">
        <v>5564</v>
      </c>
      <c r="E47837" t="s">
        <v>10083</v>
      </c>
      <c r="F47837" t="s">
        <v>12176</v>
      </c>
      <c r="G47837" t="s">
        <v>16415</v>
      </c>
      <c r="H47837" t="s">
        <v>37622</v>
      </c>
    </row>
    <row r="47838" spans="1:8">
      <c r="A47838" t="s">
        <v>4414</v>
      </c>
      <c r="B47838">
        <f>HYPERLINK("https://android.googlesource.com/platform/cts/+/c7115b27815a37eeff102305ac1e283b21a38e5f", "c7115b27815a37eeff102305ac1e283b21a38e5f")</f>
        <v>0</v>
      </c>
      <c r="C47838">
        <f>HYPERLINK("https://android.googlesource.com/platform/cts/+/423bd800cc56d3a607c7b38af8913341ed0967bd", "423bd800cc56d3a607c7b38af8913341ed0967bd")</f>
        <v>0</v>
      </c>
      <c r="D47838" t="s">
        <v>5038</v>
      </c>
      <c r="E47838" t="s">
        <v>10084</v>
      </c>
      <c r="F47838" t="s">
        <v>14718</v>
      </c>
      <c r="G47838" t="s">
        <v>17454</v>
      </c>
      <c r="H47838" t="s">
        <v>37729</v>
      </c>
    </row>
    <row r="47839" spans="1:8">
      <c r="A47839" t="s">
        <v>4415</v>
      </c>
      <c r="B47839">
        <f>HYPERLINK("https://android.googlesource.com/platform/cts/+/ef27be1739b96d9264cb686b936f810beda9ed73", "ef27be1739b96d9264cb686b936f810beda9ed73")</f>
        <v>0</v>
      </c>
      <c r="C47839">
        <f>HYPERLINK("https://android.googlesource.com/platform/cts/+/423bd800cc56d3a607c7b38af8913341ed0967bd", "423bd800cc56d3a607c7b38af8913341ed0967bd")</f>
        <v>0</v>
      </c>
      <c r="D47839" t="s">
        <v>5038</v>
      </c>
      <c r="E47839" t="s">
        <v>10085</v>
      </c>
      <c r="F47839" t="s">
        <v>14718</v>
      </c>
      <c r="G47839" t="s">
        <v>17454</v>
      </c>
      <c r="H47839" t="s">
        <v>37730</v>
      </c>
    </row>
    <row r="47840" spans="1:8">
      <c r="A47840" t="s">
        <v>4416</v>
      </c>
      <c r="B47840">
        <f>HYPERLINK("https://android.googlesource.com/platform/cts/+/bab82993f314f56913e72b908bfe77d723da5c93", "bab82993f314f56913e72b908bfe77d723da5c93")</f>
        <v>0</v>
      </c>
      <c r="C47840">
        <f>HYPERLINK("https://android.googlesource.com/platform/cts/+/423bd800cc56d3a607c7b38af8913341ed0967bd", "423bd800cc56d3a607c7b38af8913341ed0967bd")</f>
        <v>0</v>
      </c>
      <c r="D47840" t="s">
        <v>5038</v>
      </c>
      <c r="E47840" t="s">
        <v>10086</v>
      </c>
      <c r="F47840" t="s">
        <v>14718</v>
      </c>
      <c r="G47840" t="s">
        <v>17454</v>
      </c>
      <c r="H47840" t="s">
        <v>37731</v>
      </c>
    </row>
    <row r="47841" spans="1:8">
      <c r="A47841" t="s">
        <v>4417</v>
      </c>
      <c r="B47841">
        <f>HYPERLINK("https://android.googlesource.com/platform/cts/+/c7d89845c1dbab4bda87f7679b8d6fa47708536d", "c7d89845c1dbab4bda87f7679b8d6fa47708536d")</f>
        <v>0</v>
      </c>
      <c r="C47841">
        <f>HYPERLINK("https://android.googlesource.com/platform/cts/+/5e3a4af9dd020a24b15c5b72d7e1daac295549f6", "5e3a4af9dd020a24b15c5b72d7e1daac295549f6")</f>
        <v>0</v>
      </c>
      <c r="D47841" t="s">
        <v>5134</v>
      </c>
      <c r="E47841" t="s">
        <v>10087</v>
      </c>
      <c r="F47841" t="s">
        <v>14722</v>
      </c>
      <c r="G47841" t="s">
        <v>16987</v>
      </c>
      <c r="H47841" t="s">
        <v>37732</v>
      </c>
    </row>
    <row r="47842" spans="1:8">
      <c r="A47842" t="s">
        <v>4418</v>
      </c>
      <c r="B47842">
        <f>HYPERLINK("https://android.googlesource.com/platform/cts/+/0640be0d2aeeedec6c53f4b4b6432982d8f3bf36", "0640be0d2aeeedec6c53f4b4b6432982d8f3bf36")</f>
        <v>0</v>
      </c>
      <c r="C47842">
        <f>HYPERLINK("https://android.googlesource.com/platform/cts/+/23f229f6696d5612318f32f846f1feb5cde39897", "23f229f6696d5612318f32f846f1feb5cde39897")</f>
        <v>0</v>
      </c>
      <c r="D47842" t="s">
        <v>5383</v>
      </c>
      <c r="E47842" t="s">
        <v>10088</v>
      </c>
      <c r="F47842" t="s">
        <v>13548</v>
      </c>
      <c r="G47842" t="s">
        <v>15171</v>
      </c>
      <c r="H47842" t="s">
        <v>31032</v>
      </c>
    </row>
    <row r="47843" spans="1:8">
      <c r="H47843" t="s">
        <v>31032</v>
      </c>
    </row>
    <row r="47844" spans="1:8">
      <c r="H47844" t="s">
        <v>37616</v>
      </c>
    </row>
    <row r="47845" spans="1:8">
      <c r="A47845" t="s">
        <v>4419</v>
      </c>
      <c r="B47845">
        <f>HYPERLINK("https://android.googlesource.com/platform/cts/+/fed08fea4f75261469e972ba03abf027055f6dba", "fed08fea4f75261469e972ba03abf027055f6dba")</f>
        <v>0</v>
      </c>
      <c r="C47845">
        <f>HYPERLINK("https://android.googlesource.com/platform/cts/+/1a6463c44989289bc0a755a978bfdd134a08338d", "1a6463c44989289bc0a755a978bfdd134a08338d")</f>
        <v>0</v>
      </c>
      <c r="D47845" t="s">
        <v>5698</v>
      </c>
      <c r="E47845" t="s">
        <v>10089</v>
      </c>
      <c r="F47845" t="s">
        <v>14723</v>
      </c>
      <c r="G47845" t="s">
        <v>18604</v>
      </c>
      <c r="H47845" t="s">
        <v>37733</v>
      </c>
    </row>
    <row r="47846" spans="1:8">
      <c r="H47846" t="s">
        <v>18829</v>
      </c>
    </row>
    <row r="47847" spans="1:8">
      <c r="H47847" t="s">
        <v>37734</v>
      </c>
    </row>
    <row r="47848" spans="1:8">
      <c r="H47848" t="s">
        <v>37735</v>
      </c>
    </row>
    <row r="47849" spans="1:8">
      <c r="H47849" t="s">
        <v>37736</v>
      </c>
    </row>
    <row r="47850" spans="1:8">
      <c r="H47850" t="s">
        <v>37737</v>
      </c>
    </row>
    <row r="47851" spans="1:8">
      <c r="H47851" t="s">
        <v>37738</v>
      </c>
    </row>
    <row r="47852" spans="1:8">
      <c r="H47852" t="s">
        <v>37739</v>
      </c>
    </row>
    <row r="47853" spans="1:8">
      <c r="H47853" t="s">
        <v>37740</v>
      </c>
    </row>
    <row r="47854" spans="1:8">
      <c r="A47854" t="s">
        <v>4420</v>
      </c>
      <c r="B47854">
        <f>HYPERLINK("https://android.googlesource.com/platform/cts/+/a538215827f029dcd43de8dd5f978d4211003219", "a538215827f029dcd43de8dd5f978d4211003219")</f>
        <v>0</v>
      </c>
      <c r="C47854">
        <f>HYPERLINK("https://android.googlesource.com/platform/cts/+/6a7835b7b0fbf1fb1fdbc6e395fb7a5db6a3ec63", "6a7835b7b0fbf1fb1fdbc6e395fb7a5db6a3ec63")</f>
        <v>0</v>
      </c>
      <c r="D47854" t="s">
        <v>5481</v>
      </c>
      <c r="E47854" t="s">
        <v>10090</v>
      </c>
      <c r="F47854" t="s">
        <v>14724</v>
      </c>
      <c r="G47854" t="s">
        <v>18605</v>
      </c>
      <c r="H47854" t="s">
        <v>19982</v>
      </c>
    </row>
    <row r="47855" spans="1:8">
      <c r="H47855" t="s">
        <v>37741</v>
      </c>
    </row>
    <row r="47856" spans="1:8">
      <c r="H47856" t="s">
        <v>37742</v>
      </c>
    </row>
    <row r="47857" spans="1:8">
      <c r="H47857" t="s">
        <v>29587</v>
      </c>
    </row>
    <row r="47858" spans="1:8">
      <c r="F47858" t="s">
        <v>14725</v>
      </c>
      <c r="G47858" t="s">
        <v>18606</v>
      </c>
      <c r="H47858" t="s">
        <v>37743</v>
      </c>
    </row>
    <row r="47859" spans="1:8">
      <c r="A47859" t="s">
        <v>4421</v>
      </c>
      <c r="B47859">
        <f>HYPERLINK("https://android.googlesource.com/platform/cts/+/7f49bd563bf2a5b7efaf2cb1971cb97cfc339690", "7f49bd563bf2a5b7efaf2cb1971cb97cfc339690")</f>
        <v>0</v>
      </c>
      <c r="C47859">
        <f>HYPERLINK("https://android.googlesource.com/platform/cts/+/8e6ee12a8056759fe28719fb0c335fe7320481d2", "8e6ee12a8056759fe28719fb0c335fe7320481d2")</f>
        <v>0</v>
      </c>
      <c r="D47859" t="s">
        <v>5699</v>
      </c>
      <c r="E47859" t="s">
        <v>10091</v>
      </c>
      <c r="F47859" t="s">
        <v>14726</v>
      </c>
      <c r="G47859" t="s">
        <v>18607</v>
      </c>
      <c r="H47859" t="s">
        <v>37744</v>
      </c>
    </row>
    <row r="47860" spans="1:8">
      <c r="A47860" t="s">
        <v>4422</v>
      </c>
      <c r="B47860">
        <f>HYPERLINK("https://android.googlesource.com/platform/cts/+/4f54a958350836f2ed080a9e926401d4471a4ceb", "4f54a958350836f2ed080a9e926401d4471a4ceb")</f>
        <v>0</v>
      </c>
      <c r="C47860">
        <f>HYPERLINK("https://android.googlesource.com/platform/cts/+/d8a0a4308bd39cbec9e3f6d96d14773143f48070", "d8a0a4308bd39cbec9e3f6d96d14773143f48070")</f>
        <v>0</v>
      </c>
      <c r="D47860" t="s">
        <v>5564</v>
      </c>
      <c r="E47860" t="s">
        <v>10092</v>
      </c>
      <c r="F47860" t="s">
        <v>12332</v>
      </c>
      <c r="G47860" t="s">
        <v>16560</v>
      </c>
      <c r="H47860" t="s">
        <v>37745</v>
      </c>
    </row>
    <row r="47861" spans="1:8">
      <c r="H47861" t="s">
        <v>37746</v>
      </c>
    </row>
    <row r="47862" spans="1:8">
      <c r="H47862" t="s">
        <v>37747</v>
      </c>
    </row>
    <row r="47863" spans="1:8">
      <c r="H47863" t="s">
        <v>37748</v>
      </c>
    </row>
    <row r="47864" spans="1:8">
      <c r="H47864" t="s">
        <v>37749</v>
      </c>
    </row>
    <row r="47865" spans="1:8">
      <c r="H47865" t="s">
        <v>37750</v>
      </c>
    </row>
    <row r="47866" spans="1:8">
      <c r="H47866" t="s">
        <v>37751</v>
      </c>
    </row>
    <row r="47867" spans="1:8">
      <c r="H47867" t="s">
        <v>26908</v>
      </c>
    </row>
    <row r="47868" spans="1:8">
      <c r="H47868" t="s">
        <v>37752</v>
      </c>
    </row>
    <row r="47869" spans="1:8">
      <c r="H47869" t="s">
        <v>37753</v>
      </c>
    </row>
    <row r="47870" spans="1:8">
      <c r="H47870" t="s">
        <v>37754</v>
      </c>
    </row>
    <row r="47871" spans="1:8">
      <c r="H47871" t="s">
        <v>37755</v>
      </c>
    </row>
    <row r="47872" spans="1:8">
      <c r="H47872" t="s">
        <v>37756</v>
      </c>
    </row>
    <row r="47873" spans="1:8">
      <c r="A47873" t="s">
        <v>4423</v>
      </c>
      <c r="B47873">
        <f>HYPERLINK("https://android.googlesource.com/platform/cts/+/c0ec3fa2f11f729621c49180e2181331b613a74b", "c0ec3fa2f11f729621c49180e2181331b613a74b")</f>
        <v>0</v>
      </c>
      <c r="C47873">
        <f>HYPERLINK("https://android.googlesource.com/platform/cts/+/2a77b6eeba9aab26f21b3eeb452b68f8f8f67e4f", "2a77b6eeba9aab26f21b3eeb452b68f8f8f67e4f")</f>
        <v>0</v>
      </c>
      <c r="D47873" t="s">
        <v>5038</v>
      </c>
      <c r="E47873" t="s">
        <v>10093</v>
      </c>
      <c r="F47873" t="s">
        <v>14718</v>
      </c>
      <c r="G47873" t="s">
        <v>17454</v>
      </c>
      <c r="H47873" t="s">
        <v>37757</v>
      </c>
    </row>
    <row r="47874" spans="1:8">
      <c r="A47874" t="s">
        <v>4424</v>
      </c>
      <c r="B47874">
        <f>HYPERLINK("https://android.googlesource.com/platform/cts/+/7f0dbcc6a79ca3db398cc7d3ac7bd596932f8917", "7f0dbcc6a79ca3db398cc7d3ac7bd596932f8917")</f>
        <v>0</v>
      </c>
      <c r="C47874">
        <f>HYPERLINK("https://android.googlesource.com/platform/cts/+/c0ec3fa2f11f729621c49180e2181331b613a74b", "c0ec3fa2f11f729621c49180e2181331b613a74b")</f>
        <v>0</v>
      </c>
      <c r="D47874" t="s">
        <v>5038</v>
      </c>
      <c r="E47874" t="s">
        <v>10094</v>
      </c>
      <c r="F47874" t="s">
        <v>14718</v>
      </c>
      <c r="G47874" t="s">
        <v>17454</v>
      </c>
      <c r="H47874" t="s">
        <v>37758</v>
      </c>
    </row>
    <row r="47875" spans="1:8">
      <c r="A47875" t="s">
        <v>4425</v>
      </c>
      <c r="B47875">
        <f>HYPERLINK("https://android.googlesource.com/platform/cts/+/77847af5fd63358fce91d9223a2fa410eb6ea74c", "77847af5fd63358fce91d9223a2fa410eb6ea74c")</f>
        <v>0</v>
      </c>
      <c r="C47875">
        <f>HYPERLINK("https://android.googlesource.com/platform/cts/+/a25121b8ed05d9395caceb2f777cd4f17b2e7409", "a25121b8ed05d9395caceb2f777cd4f17b2e7409")</f>
        <v>0</v>
      </c>
      <c r="D47875" t="s">
        <v>5191</v>
      </c>
      <c r="E47875" t="s">
        <v>10095</v>
      </c>
      <c r="F47875" t="s">
        <v>14727</v>
      </c>
      <c r="G47875" t="s">
        <v>18608</v>
      </c>
      <c r="H47875" t="s">
        <v>37759</v>
      </c>
    </row>
    <row r="47876" spans="1:8">
      <c r="A47876" t="s">
        <v>4426</v>
      </c>
      <c r="B47876">
        <f>HYPERLINK("https://android.googlesource.com/platform/cts/+/ed92b5d220fe0c2f4fcd34734e073c3fe9b48be8", "ed92b5d220fe0c2f4fcd34734e073c3fe9b48be8")</f>
        <v>0</v>
      </c>
      <c r="C47876">
        <f>HYPERLINK("https://android.googlesource.com/platform/cts/+/6f7f2e606bc096d2cac1da50b2c7b5b811bb7dbf", "6f7f2e606bc096d2cac1da50b2c7b5b811bb7dbf")</f>
        <v>0</v>
      </c>
      <c r="D47876" t="s">
        <v>5700</v>
      </c>
      <c r="E47876" t="s">
        <v>10096</v>
      </c>
      <c r="F47876" t="s">
        <v>14728</v>
      </c>
      <c r="G47876" t="s">
        <v>18609</v>
      </c>
      <c r="H47876" t="s">
        <v>37760</v>
      </c>
    </row>
    <row r="47877" spans="1:8">
      <c r="H47877" t="s">
        <v>37761</v>
      </c>
    </row>
    <row r="47878" spans="1:8">
      <c r="F47878" t="s">
        <v>14729</v>
      </c>
      <c r="G47878" t="s">
        <v>18610</v>
      </c>
      <c r="H47878" t="s">
        <v>37762</v>
      </c>
    </row>
    <row r="47879" spans="1:8">
      <c r="H47879" t="s">
        <v>27720</v>
      </c>
    </row>
    <row r="47880" spans="1:8">
      <c r="H47880" t="s">
        <v>37763</v>
      </c>
    </row>
    <row r="47881" spans="1:8">
      <c r="H47881" t="s">
        <v>37764</v>
      </c>
    </row>
    <row r="47882" spans="1:8">
      <c r="H47882" t="s">
        <v>37765</v>
      </c>
    </row>
    <row r="47883" spans="1:8">
      <c r="H47883" t="s">
        <v>37766</v>
      </c>
    </row>
    <row r="47884" spans="1:8">
      <c r="H47884" t="s">
        <v>37767</v>
      </c>
    </row>
    <row r="47885" spans="1:8">
      <c r="H47885" t="s">
        <v>37768</v>
      </c>
    </row>
    <row r="47886" spans="1:8">
      <c r="H47886" t="s">
        <v>37769</v>
      </c>
    </row>
    <row r="47887" spans="1:8">
      <c r="H47887" t="s">
        <v>37770</v>
      </c>
    </row>
    <row r="47888" spans="1:8">
      <c r="H47888" t="s">
        <v>37771</v>
      </c>
    </row>
    <row r="47889" spans="1:8">
      <c r="H47889" t="s">
        <v>37772</v>
      </c>
    </row>
    <row r="47890" spans="1:8">
      <c r="H47890" t="s">
        <v>37773</v>
      </c>
    </row>
    <row r="47891" spans="1:8">
      <c r="H47891" t="s">
        <v>37774</v>
      </c>
    </row>
    <row r="47892" spans="1:8">
      <c r="H47892" t="s">
        <v>37775</v>
      </c>
    </row>
    <row r="47893" spans="1:8">
      <c r="H47893" t="s">
        <v>37776</v>
      </c>
    </row>
    <row r="47894" spans="1:8">
      <c r="H47894" t="s">
        <v>37777</v>
      </c>
    </row>
    <row r="47895" spans="1:8">
      <c r="H47895" t="s">
        <v>37778</v>
      </c>
    </row>
    <row r="47896" spans="1:8">
      <c r="H47896" t="s">
        <v>37779</v>
      </c>
    </row>
    <row r="47897" spans="1:8">
      <c r="H47897" t="s">
        <v>37780</v>
      </c>
    </row>
    <row r="47898" spans="1:8">
      <c r="H47898" t="s">
        <v>37781</v>
      </c>
    </row>
    <row r="47899" spans="1:8">
      <c r="H47899" t="s">
        <v>37782</v>
      </c>
    </row>
    <row r="47900" spans="1:8">
      <c r="H47900" t="s">
        <v>37783</v>
      </c>
    </row>
    <row r="47901" spans="1:8">
      <c r="A47901" t="s">
        <v>4427</v>
      </c>
      <c r="B47901">
        <f>HYPERLINK("https://android.googlesource.com/platform/cts/+/fc5ada74e1e94e40ebf4dfe080a24c628107a207", "fc5ada74e1e94e40ebf4dfe080a24c628107a207")</f>
        <v>0</v>
      </c>
      <c r="C47901">
        <f>HYPERLINK("https://android.googlesource.com/platform/cts/+/4b94f1fdec5d53e85cef75aa38b5e0d426f794a4", "4b94f1fdec5d53e85cef75aa38b5e0d426f794a4")</f>
        <v>0</v>
      </c>
      <c r="D47901" t="s">
        <v>5660</v>
      </c>
      <c r="E47901" t="s">
        <v>10097</v>
      </c>
      <c r="F47901" t="s">
        <v>14728</v>
      </c>
      <c r="G47901" t="s">
        <v>18609</v>
      </c>
      <c r="H47901" t="s">
        <v>37760</v>
      </c>
    </row>
    <row r="47902" spans="1:8">
      <c r="H47902" t="s">
        <v>37761</v>
      </c>
    </row>
    <row r="47903" spans="1:8">
      <c r="F47903" t="s">
        <v>14729</v>
      </c>
      <c r="G47903" t="s">
        <v>18610</v>
      </c>
      <c r="H47903" t="s">
        <v>37762</v>
      </c>
    </row>
    <row r="47904" spans="1:8">
      <c r="H47904" t="s">
        <v>27720</v>
      </c>
    </row>
    <row r="47905" spans="8:8">
      <c r="H47905" t="s">
        <v>37763</v>
      </c>
    </row>
    <row r="47906" spans="8:8">
      <c r="H47906" t="s">
        <v>37764</v>
      </c>
    </row>
    <row r="47907" spans="8:8">
      <c r="H47907" t="s">
        <v>37765</v>
      </c>
    </row>
    <row r="47908" spans="8:8">
      <c r="H47908" t="s">
        <v>37766</v>
      </c>
    </row>
    <row r="47909" spans="8:8">
      <c r="H47909" t="s">
        <v>37767</v>
      </c>
    </row>
    <row r="47910" spans="8:8">
      <c r="H47910" t="s">
        <v>37768</v>
      </c>
    </row>
    <row r="47911" spans="8:8">
      <c r="H47911" t="s">
        <v>37769</v>
      </c>
    </row>
    <row r="47912" spans="8:8">
      <c r="H47912" t="s">
        <v>37770</v>
      </c>
    </row>
    <row r="47913" spans="8:8">
      <c r="H47913" t="s">
        <v>37771</v>
      </c>
    </row>
    <row r="47914" spans="8:8">
      <c r="H47914" t="s">
        <v>37772</v>
      </c>
    </row>
    <row r="47915" spans="8:8">
      <c r="H47915" t="s">
        <v>37773</v>
      </c>
    </row>
    <row r="47916" spans="8:8">
      <c r="H47916" t="s">
        <v>37774</v>
      </c>
    </row>
    <row r="47917" spans="8:8">
      <c r="H47917" t="s">
        <v>37775</v>
      </c>
    </row>
    <row r="47918" spans="8:8">
      <c r="H47918" t="s">
        <v>37776</v>
      </c>
    </row>
    <row r="47919" spans="8:8">
      <c r="H47919" t="s">
        <v>37777</v>
      </c>
    </row>
    <row r="47920" spans="8:8">
      <c r="H47920" t="s">
        <v>37778</v>
      </c>
    </row>
    <row r="47921" spans="1:8">
      <c r="H47921" t="s">
        <v>37779</v>
      </c>
    </row>
    <row r="47922" spans="1:8">
      <c r="H47922" t="s">
        <v>37780</v>
      </c>
    </row>
    <row r="47923" spans="1:8">
      <c r="H47923" t="s">
        <v>37781</v>
      </c>
    </row>
    <row r="47924" spans="1:8">
      <c r="H47924" t="s">
        <v>37782</v>
      </c>
    </row>
    <row r="47925" spans="1:8">
      <c r="H47925" t="s">
        <v>37783</v>
      </c>
    </row>
    <row r="47926" spans="1:8">
      <c r="A47926" t="s">
        <v>4428</v>
      </c>
      <c r="B47926">
        <f>HYPERLINK("https://android.googlesource.com/platform/cts/+/e203b03010575fd87ae7dd2c575815d794b5af61", "e203b03010575fd87ae7dd2c575815d794b5af61")</f>
        <v>0</v>
      </c>
      <c r="C47926">
        <f>HYPERLINK("https://android.googlesource.com/platform/cts/+/4442e8a59cc21b34aaac4bfb7ca36c33ab4f8730", "4442e8a59cc21b34aaac4bfb7ca36c33ab4f8730")</f>
        <v>0</v>
      </c>
      <c r="D47926" t="s">
        <v>5564</v>
      </c>
      <c r="E47926" t="s">
        <v>10098</v>
      </c>
      <c r="F47926" t="s">
        <v>12332</v>
      </c>
      <c r="G47926" t="s">
        <v>16560</v>
      </c>
      <c r="H47926" t="s">
        <v>37784</v>
      </c>
    </row>
    <row r="47927" spans="1:8">
      <c r="H47927" t="s">
        <v>37785</v>
      </c>
    </row>
    <row r="47928" spans="1:8">
      <c r="H47928" t="s">
        <v>37786</v>
      </c>
    </row>
    <row r="47929" spans="1:8">
      <c r="H47929" t="s">
        <v>37787</v>
      </c>
    </row>
    <row r="47930" spans="1:8">
      <c r="H47930" t="s">
        <v>37784</v>
      </c>
    </row>
    <row r="47931" spans="1:8">
      <c r="H47931" t="s">
        <v>37784</v>
      </c>
    </row>
    <row r="47932" spans="1:8">
      <c r="H47932" t="s">
        <v>37788</v>
      </c>
    </row>
    <row r="47933" spans="1:8">
      <c r="H47933" t="s">
        <v>37788</v>
      </c>
    </row>
    <row r="47934" spans="1:8">
      <c r="H47934" t="s">
        <v>37789</v>
      </c>
    </row>
    <row r="47935" spans="1:8">
      <c r="H47935" t="s">
        <v>20174</v>
      </c>
    </row>
    <row r="47936" spans="1:8">
      <c r="H47936" t="s">
        <v>20174</v>
      </c>
    </row>
    <row r="47937" spans="1:8">
      <c r="A47937" t="s">
        <v>4429</v>
      </c>
      <c r="B47937">
        <f>HYPERLINK("https://android.googlesource.com/platform/cts/+/b3fa9adc1430ad7e716bbe046bc0a6c9dac67013", "b3fa9adc1430ad7e716bbe046bc0a6c9dac67013")</f>
        <v>0</v>
      </c>
      <c r="C47937">
        <f>HYPERLINK("https://android.googlesource.com/platform/cts/+/fb33ad5df17245fc69ac1527a2e6d4f8a41be551", "fb33ad5df17245fc69ac1527a2e6d4f8a41be551")</f>
        <v>0</v>
      </c>
      <c r="D47937" t="s">
        <v>5243</v>
      </c>
      <c r="E47937" t="s">
        <v>10099</v>
      </c>
      <c r="F47937" t="s">
        <v>14696</v>
      </c>
      <c r="G47937" t="s">
        <v>18555</v>
      </c>
      <c r="H47937" t="s">
        <v>37319</v>
      </c>
    </row>
    <row r="47938" spans="1:8">
      <c r="H47938" t="s">
        <v>37790</v>
      </c>
    </row>
    <row r="47939" spans="1:8">
      <c r="H47939" t="s">
        <v>37791</v>
      </c>
    </row>
    <row r="47940" spans="1:8">
      <c r="A47940" t="s">
        <v>4430</v>
      </c>
      <c r="B47940">
        <f>HYPERLINK("https://android.googlesource.com/platform/cts/+/493b8d7d3b4d43e483c03b155d38057e3eacd3c9", "493b8d7d3b4d43e483c03b155d38057e3eacd3c9")</f>
        <v>0</v>
      </c>
      <c r="C47940">
        <f>HYPERLINK("https://android.googlesource.com/platform/cts/+/245f97758f65d5446b0ca2c0ab08b9c72c73a428", "245f97758f65d5446b0ca2c0ab08b9c72c73a428")</f>
        <v>0</v>
      </c>
      <c r="D47940" t="s">
        <v>5700</v>
      </c>
      <c r="E47940" t="s">
        <v>10100</v>
      </c>
      <c r="F47940" t="s">
        <v>14730</v>
      </c>
      <c r="G47940" t="s">
        <v>18611</v>
      </c>
      <c r="H47940" t="s">
        <v>37792</v>
      </c>
    </row>
    <row r="47941" spans="1:8">
      <c r="H47941" t="s">
        <v>19475</v>
      </c>
    </row>
    <row r="47942" spans="1:8">
      <c r="H47942" t="s">
        <v>36959</v>
      </c>
    </row>
    <row r="47943" spans="1:8">
      <c r="H47943" t="s">
        <v>19475</v>
      </c>
    </row>
    <row r="47944" spans="1:8">
      <c r="A47944" t="s">
        <v>4431</v>
      </c>
      <c r="B47944">
        <f>HYPERLINK("https://android.googlesource.com/platform/cts/+/93f558b615626e4a6a2e63c046d303000ddb96ea", "93f558b615626e4a6a2e63c046d303000ddb96ea")</f>
        <v>0</v>
      </c>
      <c r="C47944">
        <f>HYPERLINK("https://android.googlesource.com/platform/cts/+/a79a4f33e63a9f6f24efdfd0b914b89c31e59ff7", "a79a4f33e63a9f6f24efdfd0b914b89c31e59ff7")</f>
        <v>0</v>
      </c>
      <c r="D47944" t="s">
        <v>5118</v>
      </c>
      <c r="E47944" t="s">
        <v>10101</v>
      </c>
      <c r="F47944" t="s">
        <v>13165</v>
      </c>
      <c r="G47944" t="s">
        <v>17315</v>
      </c>
      <c r="H47944" t="s">
        <v>37793</v>
      </c>
    </row>
    <row r="47945" spans="1:8">
      <c r="A47945" t="s">
        <v>4432</v>
      </c>
      <c r="B47945">
        <f>HYPERLINK("https://android.googlesource.com/platform/cts/+/e4fd83b35b9a08a252bd8ffcdf3ac872c4f162fd", "e4fd83b35b9a08a252bd8ffcdf3ac872c4f162fd")</f>
        <v>0</v>
      </c>
      <c r="C47945">
        <f>HYPERLINK("https://android.googlesource.com/platform/cts/+/150b78826bbe95f74fc03718d1f267e2ae4cf291", "150b78826bbe95f74fc03718d1f267e2ae4cf291")</f>
        <v>0</v>
      </c>
      <c r="D47945" t="s">
        <v>5118</v>
      </c>
      <c r="E47945" t="s">
        <v>10101</v>
      </c>
      <c r="F47945" t="s">
        <v>13165</v>
      </c>
      <c r="G47945" t="s">
        <v>17315</v>
      </c>
      <c r="H47945" t="s">
        <v>37793</v>
      </c>
    </row>
    <row r="47946" spans="1:8">
      <c r="A47946" t="s">
        <v>4433</v>
      </c>
      <c r="B47946">
        <f>HYPERLINK("https://android.googlesource.com/platform/cts/+/d84e73becbfeb44c9426990111535dd3f952df87", "d84e73becbfeb44c9426990111535dd3f952df87")</f>
        <v>0</v>
      </c>
      <c r="C47946">
        <f>HYPERLINK("https://android.googlesource.com/platform/cts/+/2aeaaee25fa81017d7cdab07c42f4461a9b11617", "2aeaaee25fa81017d7cdab07c42f4461a9b11617")</f>
        <v>0</v>
      </c>
      <c r="D47946" t="s">
        <v>5118</v>
      </c>
      <c r="E47946" t="s">
        <v>10101</v>
      </c>
      <c r="F47946" t="s">
        <v>13165</v>
      </c>
      <c r="G47946" t="s">
        <v>17315</v>
      </c>
      <c r="H47946" t="s">
        <v>37793</v>
      </c>
    </row>
    <row r="47947" spans="1:8">
      <c r="A47947" t="s">
        <v>4434</v>
      </c>
      <c r="B47947">
        <f>HYPERLINK("https://android.googlesource.com/platform/cts/+/77408a8a033dfaff6b95670d83b88ae79c449391", "77408a8a033dfaff6b95670d83b88ae79c449391")</f>
        <v>0</v>
      </c>
      <c r="C47947">
        <f>HYPERLINK("https://android.googlesource.com/platform/cts/+/198882554896207baa9f61d58daf78dab1ab266c", "198882554896207baa9f61d58daf78dab1ab266c")</f>
        <v>0</v>
      </c>
      <c r="D47947" t="s">
        <v>5118</v>
      </c>
      <c r="E47947" t="s">
        <v>10101</v>
      </c>
      <c r="F47947" t="s">
        <v>13165</v>
      </c>
      <c r="G47947" t="s">
        <v>17315</v>
      </c>
      <c r="H47947" t="s">
        <v>37793</v>
      </c>
    </row>
    <row r="47948" spans="1:8">
      <c r="A47948" t="s">
        <v>4435</v>
      </c>
      <c r="B47948">
        <f>HYPERLINK("https://android.googlesource.com/platform/cts/+/e71f66ecc0dacc8e5d53afc2ef05112f1a19fe0c", "e71f66ecc0dacc8e5d53afc2ef05112f1a19fe0c")</f>
        <v>0</v>
      </c>
      <c r="C47948">
        <f>HYPERLINK("https://android.googlesource.com/platform/cts/+/6a7835b7b0fbf1fb1fdbc6e395fb7a5db6a3ec63", "6a7835b7b0fbf1fb1fdbc6e395fb7a5db6a3ec63")</f>
        <v>0</v>
      </c>
      <c r="D47948" t="s">
        <v>5363</v>
      </c>
      <c r="E47948" t="s">
        <v>10102</v>
      </c>
      <c r="F47948" t="s">
        <v>14731</v>
      </c>
      <c r="G47948" t="s">
        <v>18612</v>
      </c>
      <c r="H47948" t="s">
        <v>18836</v>
      </c>
    </row>
    <row r="47949" spans="1:8">
      <c r="H47949" t="s">
        <v>37794</v>
      </c>
    </row>
    <row r="47950" spans="1:8">
      <c r="A47950" t="s">
        <v>4436</v>
      </c>
      <c r="B47950">
        <f>HYPERLINK("https://android.googlesource.com/platform/cts/+/25dcb53a9f4aa687633997c5549e76d81ac7fe0d", "25dcb53a9f4aa687633997c5549e76d81ac7fe0d")</f>
        <v>0</v>
      </c>
      <c r="C47950">
        <f>HYPERLINK("https://android.googlesource.com/platform/cts/+/83eae417ee98b354f3b1291260e2d1622da2cb5a", "83eae417ee98b354f3b1291260e2d1622da2cb5a")</f>
        <v>0</v>
      </c>
      <c r="D47950" t="s">
        <v>5701</v>
      </c>
      <c r="E47950" t="s">
        <v>10103</v>
      </c>
      <c r="F47950" t="s">
        <v>14732</v>
      </c>
      <c r="G47950" t="s">
        <v>18613</v>
      </c>
      <c r="H47950" t="s">
        <v>37795</v>
      </c>
    </row>
    <row r="47951" spans="1:8">
      <c r="H47951" t="s">
        <v>37796</v>
      </c>
    </row>
    <row r="47952" spans="1:8">
      <c r="H47952" t="s">
        <v>37797</v>
      </c>
    </row>
    <row r="47953" spans="1:8">
      <c r="H47953" t="s">
        <v>37798</v>
      </c>
    </row>
    <row r="47954" spans="1:8">
      <c r="H47954" t="s">
        <v>37799</v>
      </c>
    </row>
    <row r="47955" spans="1:8">
      <c r="H47955" t="s">
        <v>37800</v>
      </c>
    </row>
    <row r="47956" spans="1:8">
      <c r="A47956" t="s">
        <v>4437</v>
      </c>
      <c r="B47956">
        <f>HYPERLINK("https://android.googlesource.com/platform/cts/+/54398272947bf56818ff304f57b8aa1781c78ac3", "54398272947bf56818ff304f57b8aa1781c78ac3")</f>
        <v>0</v>
      </c>
      <c r="C47956">
        <f>HYPERLINK("https://android.googlesource.com/platform/cts/+/ed7459d534cdc13be555b348ddcb25ecca4b3ab5", "ed7459d534cdc13be555b348ddcb25ecca4b3ab5")</f>
        <v>0</v>
      </c>
      <c r="D47956" t="s">
        <v>5523</v>
      </c>
      <c r="E47956" t="s">
        <v>10104</v>
      </c>
      <c r="F47956" t="s">
        <v>14733</v>
      </c>
      <c r="G47956" t="s">
        <v>18614</v>
      </c>
      <c r="H47956" t="s">
        <v>37801</v>
      </c>
    </row>
    <row r="47957" spans="1:8">
      <c r="H47957" t="s">
        <v>37802</v>
      </c>
    </row>
    <row r="47958" spans="1:8">
      <c r="H47958" t="s">
        <v>20206</v>
      </c>
    </row>
    <row r="47959" spans="1:8">
      <c r="H47959" t="s">
        <v>18829</v>
      </c>
    </row>
    <row r="47960" spans="1:8">
      <c r="H47960" t="s">
        <v>18863</v>
      </c>
    </row>
    <row r="47961" spans="1:8">
      <c r="H47961" t="s">
        <v>18836</v>
      </c>
    </row>
    <row r="47962" spans="1:8">
      <c r="H47962" t="s">
        <v>37803</v>
      </c>
    </row>
    <row r="47963" spans="1:8">
      <c r="A47963" t="s">
        <v>4438</v>
      </c>
      <c r="B47963">
        <f>HYPERLINK("https://android.googlesource.com/platform/cts/+/13016e250e25a406319211a8fa9bd779c618587e", "13016e250e25a406319211a8fa9bd779c618587e")</f>
        <v>0</v>
      </c>
      <c r="C47963">
        <f>HYPERLINK("https://android.googlesource.com/platform/cts/+/efc9b0e5db7c03456c8eeb2fabb8b570b7dd73e2", "efc9b0e5db7c03456c8eeb2fabb8b570b7dd73e2")</f>
        <v>0</v>
      </c>
      <c r="D47963" t="s">
        <v>5383</v>
      </c>
      <c r="E47963" t="s">
        <v>10105</v>
      </c>
      <c r="F47963" t="s">
        <v>13548</v>
      </c>
      <c r="G47963" t="s">
        <v>15171</v>
      </c>
      <c r="H47963" t="s">
        <v>31032</v>
      </c>
    </row>
    <row r="47964" spans="1:8">
      <c r="H47964" t="s">
        <v>31032</v>
      </c>
    </row>
    <row r="47965" spans="1:8">
      <c r="H47965" t="s">
        <v>37616</v>
      </c>
    </row>
    <row r="47966" spans="1:8">
      <c r="H47966" t="s">
        <v>37722</v>
      </c>
    </row>
    <row r="47967" spans="1:8">
      <c r="A47967" t="s">
        <v>4439</v>
      </c>
      <c r="B47967">
        <f>HYPERLINK("https://android.googlesource.com/platform/cts/+/1fa4768a49a917fa1ebb69fa93f87b5e4ea0eca8", "1fa4768a49a917fa1ebb69fa93f87b5e4ea0eca8")</f>
        <v>0</v>
      </c>
      <c r="C47967">
        <f>HYPERLINK("https://android.googlesource.com/platform/cts/+/df0fca84b162d158537717eb8cb110a3e9b4894e", "df0fca84b162d158537717eb8cb110a3e9b4894e")</f>
        <v>0</v>
      </c>
      <c r="D47967" t="s">
        <v>5244</v>
      </c>
      <c r="E47967" t="s">
        <v>10106</v>
      </c>
      <c r="F47967" t="s">
        <v>14734</v>
      </c>
      <c r="G47967" t="s">
        <v>18615</v>
      </c>
      <c r="H47967" t="s">
        <v>37804</v>
      </c>
    </row>
    <row r="47968" spans="1:8">
      <c r="A47968" t="s">
        <v>4440</v>
      </c>
      <c r="B47968">
        <f>HYPERLINK("https://android.googlesource.com/platform/cts/+/7948d4ce0835e16530bdc6668539e6f63d33f4c8", "7948d4ce0835e16530bdc6668539e6f63d33f4c8")</f>
        <v>0</v>
      </c>
      <c r="C47968">
        <f>HYPERLINK("https://android.googlesource.com/platform/cts/+/6ff2a32012af035eedfed15dc9d746e9c542f1de", "6ff2a32012af035eedfed15dc9d746e9c542f1de")</f>
        <v>0</v>
      </c>
      <c r="D47968" t="s">
        <v>5584</v>
      </c>
      <c r="E47968" t="s">
        <v>10107</v>
      </c>
      <c r="F47968" t="s">
        <v>14735</v>
      </c>
      <c r="G47968" t="s">
        <v>17345</v>
      </c>
      <c r="H47968" t="s">
        <v>37805</v>
      </c>
    </row>
    <row r="47969" spans="1:8">
      <c r="H47969" t="s">
        <v>37806</v>
      </c>
    </row>
    <row r="47970" spans="1:8">
      <c r="H47970" t="s">
        <v>37807</v>
      </c>
    </row>
    <row r="47971" spans="1:8">
      <c r="H47971" t="s">
        <v>37808</v>
      </c>
    </row>
    <row r="47972" spans="1:8">
      <c r="A47972" t="s">
        <v>4441</v>
      </c>
      <c r="B47972">
        <f>HYPERLINK("https://android.googlesource.com/platform/cts/+/2deb3b31533ac7e8cfbd434ebf69548ca0ec8e19", "2deb3b31533ac7e8cfbd434ebf69548ca0ec8e19")</f>
        <v>0</v>
      </c>
      <c r="C47972">
        <f>HYPERLINK("https://android.googlesource.com/platform/cts/+/89228705d002b34f8e6a55f36a5ad8e36b9c9e00", "89228705d002b34f8e6a55f36a5ad8e36b9c9e00")</f>
        <v>0</v>
      </c>
      <c r="D47972" t="s">
        <v>5504</v>
      </c>
      <c r="E47972" t="s">
        <v>10108</v>
      </c>
      <c r="F47972" t="s">
        <v>14300</v>
      </c>
      <c r="G47972" t="s">
        <v>18259</v>
      </c>
      <c r="H47972" t="s">
        <v>37809</v>
      </c>
    </row>
    <row r="47973" spans="1:8">
      <c r="H47973" t="s">
        <v>37810</v>
      </c>
    </row>
    <row r="47974" spans="1:8">
      <c r="H47974" t="s">
        <v>37811</v>
      </c>
    </row>
    <row r="47975" spans="1:8">
      <c r="H47975" t="s">
        <v>37812</v>
      </c>
    </row>
    <row r="47976" spans="1:8">
      <c r="H47976" t="s">
        <v>37813</v>
      </c>
    </row>
    <row r="47977" spans="1:8">
      <c r="H47977" t="s">
        <v>37814</v>
      </c>
    </row>
    <row r="47978" spans="1:8">
      <c r="H47978" t="s">
        <v>37815</v>
      </c>
    </row>
    <row r="47979" spans="1:8">
      <c r="A47979" t="s">
        <v>4442</v>
      </c>
      <c r="B47979">
        <f>HYPERLINK("https://android.googlesource.com/platform/cts/+/565d1686c730c6dee24103914bb52b63a164e73d", "565d1686c730c6dee24103914bb52b63a164e73d")</f>
        <v>0</v>
      </c>
      <c r="C47979">
        <f>HYPERLINK("https://android.googlesource.com/platform/cts/+/c29cf3af5ef8681e6cb4e03d969bf57f5b69cc1f", "c29cf3af5ef8681e6cb4e03d969bf57f5b69cc1f")</f>
        <v>0</v>
      </c>
      <c r="D47979" t="s">
        <v>5059</v>
      </c>
      <c r="E47979" t="s">
        <v>10109</v>
      </c>
      <c r="F47979" t="s">
        <v>14736</v>
      </c>
      <c r="G47979" t="s">
        <v>18616</v>
      </c>
      <c r="H47979" t="s">
        <v>37816</v>
      </c>
    </row>
    <row r="47980" spans="1:8">
      <c r="A47980" t="s">
        <v>4443</v>
      </c>
      <c r="B47980">
        <f>HYPERLINK("https://android.googlesource.com/platform/cts/+/f1bcc087b46e032b03c0104251f0078df556c2a1", "f1bcc087b46e032b03c0104251f0078df556c2a1")</f>
        <v>0</v>
      </c>
      <c r="C47980">
        <f>HYPERLINK("https://android.googlesource.com/platform/cts/+/1bb09c3f4397efc243c094e79cd22d156532a986", "1bb09c3f4397efc243c094e79cd22d156532a986")</f>
        <v>0</v>
      </c>
      <c r="D47980" t="s">
        <v>5564</v>
      </c>
      <c r="E47980" t="s">
        <v>10110</v>
      </c>
      <c r="F47980" t="s">
        <v>14737</v>
      </c>
      <c r="G47980" t="s">
        <v>16621</v>
      </c>
      <c r="H47980" t="s">
        <v>34498</v>
      </c>
    </row>
    <row r="47981" spans="1:8">
      <c r="A47981" t="s">
        <v>4444</v>
      </c>
      <c r="B47981">
        <f>HYPERLINK("https://android.googlesource.com/platform/cts/+/3f146cc6e7c777bd9fd454ed7aaf8183ef2ad64c", "3f146cc6e7c777bd9fd454ed7aaf8183ef2ad64c")</f>
        <v>0</v>
      </c>
      <c r="C47981">
        <f>HYPERLINK("https://android.googlesource.com/platform/cts/+/f1bcc087b46e032b03c0104251f0078df556c2a1", "f1bcc087b46e032b03c0104251f0078df556c2a1")</f>
        <v>0</v>
      </c>
      <c r="D47981" t="s">
        <v>5564</v>
      </c>
      <c r="E47981" t="s">
        <v>10111</v>
      </c>
      <c r="F47981" t="s">
        <v>14737</v>
      </c>
      <c r="G47981" t="s">
        <v>16621</v>
      </c>
      <c r="H47981" t="s">
        <v>19034</v>
      </c>
    </row>
    <row r="47982" spans="1:8">
      <c r="A47982" t="s">
        <v>4445</v>
      </c>
      <c r="B47982">
        <f>HYPERLINK("https://android.googlesource.com/platform/cts/+/304ee81e08ef62d93f260ab298d9e3ed23bbcb03", "304ee81e08ef62d93f260ab298d9e3ed23bbcb03")</f>
        <v>0</v>
      </c>
      <c r="C47982">
        <f>HYPERLINK("https://android.googlesource.com/platform/cts/+/3f146cc6e7c777bd9fd454ed7aaf8183ef2ad64c", "3f146cc6e7c777bd9fd454ed7aaf8183ef2ad64c")</f>
        <v>0</v>
      </c>
      <c r="D47982" t="s">
        <v>5564</v>
      </c>
      <c r="E47982" t="s">
        <v>10112</v>
      </c>
      <c r="F47982" t="s">
        <v>14737</v>
      </c>
      <c r="G47982" t="s">
        <v>16621</v>
      </c>
      <c r="H47982" t="s">
        <v>37817</v>
      </c>
    </row>
    <row r="47983" spans="1:8">
      <c r="H47983" t="s">
        <v>37818</v>
      </c>
    </row>
    <row r="47984" spans="1:8">
      <c r="H47984" t="s">
        <v>37819</v>
      </c>
    </row>
    <row r="47985" spans="8:8">
      <c r="H47985" t="s">
        <v>37820</v>
      </c>
    </row>
    <row r="47986" spans="8:8">
      <c r="H47986" t="s">
        <v>37821</v>
      </c>
    </row>
    <row r="47987" spans="8:8">
      <c r="H47987" t="s">
        <v>37822</v>
      </c>
    </row>
    <row r="47988" spans="8:8">
      <c r="H47988" t="s">
        <v>37823</v>
      </c>
    </row>
    <row r="47989" spans="8:8">
      <c r="H47989" t="s">
        <v>37824</v>
      </c>
    </row>
    <row r="47990" spans="8:8">
      <c r="H47990" t="s">
        <v>37825</v>
      </c>
    </row>
    <row r="47991" spans="8:8">
      <c r="H47991" t="s">
        <v>37826</v>
      </c>
    </row>
    <row r="47992" spans="8:8">
      <c r="H47992" t="s">
        <v>37827</v>
      </c>
    </row>
    <row r="47993" spans="8:8">
      <c r="H47993" t="s">
        <v>37828</v>
      </c>
    </row>
    <row r="47994" spans="8:8">
      <c r="H47994" t="s">
        <v>37829</v>
      </c>
    </row>
    <row r="47995" spans="8:8">
      <c r="H47995" t="s">
        <v>37830</v>
      </c>
    </row>
    <row r="47996" spans="8:8">
      <c r="H47996" t="s">
        <v>37831</v>
      </c>
    </row>
    <row r="47997" spans="8:8">
      <c r="H47997" t="s">
        <v>37832</v>
      </c>
    </row>
    <row r="47998" spans="8:8">
      <c r="H47998" t="s">
        <v>37833</v>
      </c>
    </row>
    <row r="47999" spans="8:8">
      <c r="H47999" t="s">
        <v>37834</v>
      </c>
    </row>
    <row r="48000" spans="8:8">
      <c r="H48000" t="s">
        <v>37835</v>
      </c>
    </row>
    <row r="48001" spans="8:8">
      <c r="H48001" t="s">
        <v>37836</v>
      </c>
    </row>
    <row r="48002" spans="8:8">
      <c r="H48002" t="s">
        <v>37837</v>
      </c>
    </row>
    <row r="48003" spans="8:8">
      <c r="H48003" t="s">
        <v>37838</v>
      </c>
    </row>
    <row r="48004" spans="8:8">
      <c r="H48004" t="s">
        <v>37839</v>
      </c>
    </row>
    <row r="48005" spans="8:8">
      <c r="H48005" t="s">
        <v>37840</v>
      </c>
    </row>
    <row r="48006" spans="8:8">
      <c r="H48006" t="s">
        <v>37841</v>
      </c>
    </row>
    <row r="48007" spans="8:8">
      <c r="H48007" t="s">
        <v>37842</v>
      </c>
    </row>
    <row r="48008" spans="8:8">
      <c r="H48008" t="s">
        <v>37843</v>
      </c>
    </row>
    <row r="48009" spans="8:8">
      <c r="H48009" t="s">
        <v>37844</v>
      </c>
    </row>
    <row r="48010" spans="8:8">
      <c r="H48010" t="s">
        <v>37845</v>
      </c>
    </row>
    <row r="48011" spans="8:8">
      <c r="H48011" t="s">
        <v>37846</v>
      </c>
    </row>
    <row r="48012" spans="8:8">
      <c r="H48012" t="s">
        <v>37847</v>
      </c>
    </row>
    <row r="48013" spans="8:8">
      <c r="H48013" t="s">
        <v>37848</v>
      </c>
    </row>
    <row r="48014" spans="8:8">
      <c r="H48014" t="s">
        <v>37849</v>
      </c>
    </row>
    <row r="48015" spans="8:8">
      <c r="H48015" t="s">
        <v>37850</v>
      </c>
    </row>
    <row r="48016" spans="8:8">
      <c r="H48016" t="s">
        <v>37851</v>
      </c>
    </row>
    <row r="48017" spans="1:8">
      <c r="H48017" t="s">
        <v>37852</v>
      </c>
    </row>
    <row r="48018" spans="1:8">
      <c r="H48018" t="s">
        <v>37853</v>
      </c>
    </row>
    <row r="48019" spans="1:8">
      <c r="H48019" t="s">
        <v>37854</v>
      </c>
    </row>
    <row r="48020" spans="1:8">
      <c r="H48020" t="s">
        <v>37855</v>
      </c>
    </row>
    <row r="48021" spans="1:8">
      <c r="H48021" t="s">
        <v>37856</v>
      </c>
    </row>
    <row r="48022" spans="1:8">
      <c r="H48022" t="s">
        <v>37857</v>
      </c>
    </row>
    <row r="48023" spans="1:8">
      <c r="H48023" t="s">
        <v>37858</v>
      </c>
    </row>
    <row r="48024" spans="1:8">
      <c r="H48024" t="s">
        <v>37859</v>
      </c>
    </row>
    <row r="48025" spans="1:8">
      <c r="A48025" t="s">
        <v>4446</v>
      </c>
      <c r="B48025">
        <f>HYPERLINK("https://android.googlesource.com/platform/cts/+/321d4cda73650bca2d269638460c27929c84dd96", "321d4cda73650bca2d269638460c27929c84dd96")</f>
        <v>0</v>
      </c>
      <c r="C48025">
        <f>HYPERLINK("https://android.googlesource.com/platform/cts/+/1bb09c3f4397efc243c094e79cd22d156532a986", "1bb09c3f4397efc243c094e79cd22d156532a986")</f>
        <v>0</v>
      </c>
      <c r="D48025" t="s">
        <v>5564</v>
      </c>
      <c r="E48025" t="s">
        <v>10113</v>
      </c>
      <c r="F48025" t="s">
        <v>13187</v>
      </c>
      <c r="G48025" t="s">
        <v>17331</v>
      </c>
      <c r="H48025" t="s">
        <v>28459</v>
      </c>
    </row>
    <row r="48026" spans="1:8">
      <c r="A48026" t="s">
        <v>4447</v>
      </c>
      <c r="B48026">
        <f>HYPERLINK("https://android.googlesource.com/platform/cts/+/09ea99caf36f8ff5c09b6539b1004c8f1bd253da", "09ea99caf36f8ff5c09b6539b1004c8f1bd253da")</f>
        <v>0</v>
      </c>
      <c r="C48026">
        <f>HYPERLINK("https://android.googlesource.com/platform/cts/+/1bb09c3f4397efc243c094e79cd22d156532a986", "1bb09c3f4397efc243c094e79cd22d156532a986")</f>
        <v>0</v>
      </c>
      <c r="D48026" t="s">
        <v>5564</v>
      </c>
      <c r="E48026" t="s">
        <v>10114</v>
      </c>
      <c r="F48026" t="s">
        <v>14641</v>
      </c>
      <c r="G48026" t="s">
        <v>18548</v>
      </c>
      <c r="H48026" t="s">
        <v>37234</v>
      </c>
    </row>
    <row r="48027" spans="1:8">
      <c r="H48027" t="s">
        <v>18829</v>
      </c>
    </row>
    <row r="48028" spans="1:8">
      <c r="H48028" t="s">
        <v>18863</v>
      </c>
    </row>
    <row r="48029" spans="1:8">
      <c r="A48029" t="s">
        <v>4448</v>
      </c>
      <c r="B48029">
        <f>HYPERLINK("https://android.googlesource.com/platform/cts/+/549332c969b607300dbf1a42f4808a62ba564040", "549332c969b607300dbf1a42f4808a62ba564040")</f>
        <v>0</v>
      </c>
      <c r="C48029">
        <f>HYPERLINK("https://android.googlesource.com/platform/cts/+/08fe878199ed5ba123501bbbfce1ca0b36cc27dd", "08fe878199ed5ba123501bbbfce1ca0b36cc27dd")</f>
        <v>0</v>
      </c>
      <c r="D48029" t="s">
        <v>5564</v>
      </c>
      <c r="E48029" t="s">
        <v>10115</v>
      </c>
      <c r="F48029" t="s">
        <v>14721</v>
      </c>
      <c r="G48029" t="s">
        <v>17815</v>
      </c>
      <c r="H48029" t="s">
        <v>34579</v>
      </c>
    </row>
    <row r="48030" spans="1:8">
      <c r="H48030" t="s">
        <v>34580</v>
      </c>
    </row>
    <row r="48031" spans="1:8">
      <c r="H48031" t="s">
        <v>34581</v>
      </c>
    </row>
    <row r="48032" spans="1:8">
      <c r="H48032" t="s">
        <v>34582</v>
      </c>
    </row>
    <row r="48033" spans="1:8">
      <c r="H48033" t="s">
        <v>34583</v>
      </c>
    </row>
    <row r="48034" spans="1:8">
      <c r="H48034" t="s">
        <v>34584</v>
      </c>
    </row>
    <row r="48035" spans="1:8">
      <c r="H48035" t="s">
        <v>34585</v>
      </c>
    </row>
    <row r="48036" spans="1:8">
      <c r="H48036" t="s">
        <v>34586</v>
      </c>
    </row>
    <row r="48037" spans="1:8">
      <c r="H48037" t="s">
        <v>34587</v>
      </c>
    </row>
    <row r="48038" spans="1:8">
      <c r="H48038" t="s">
        <v>34588</v>
      </c>
    </row>
    <row r="48039" spans="1:8">
      <c r="H48039" t="s">
        <v>34589</v>
      </c>
    </row>
    <row r="48040" spans="1:8">
      <c r="A48040" t="s">
        <v>4449</v>
      </c>
      <c r="B48040">
        <f>HYPERLINK("https://android.googlesource.com/platform/cts/+/da816eb1f661a6859d1ab89fffd49f04cf743ef2", "da816eb1f661a6859d1ab89fffd49f04cf743ef2")</f>
        <v>0</v>
      </c>
      <c r="C48040">
        <f>HYPERLINK("https://android.googlesource.com/platform/cts/+/de2d34fbe42917d2fccfc1b2e8f9fa13646ef0f7", "de2d34fbe42917d2fccfc1b2e8f9fa13646ef0f7")</f>
        <v>0</v>
      </c>
      <c r="D48040" t="s">
        <v>5660</v>
      </c>
      <c r="E48040" t="s">
        <v>10116</v>
      </c>
      <c r="F48040" t="s">
        <v>11433</v>
      </c>
      <c r="G48040" t="s">
        <v>15673</v>
      </c>
      <c r="H48040" t="s">
        <v>37860</v>
      </c>
    </row>
    <row r="48041" spans="1:8">
      <c r="H48041" t="s">
        <v>37861</v>
      </c>
    </row>
    <row r="48042" spans="1:8">
      <c r="H48042" t="s">
        <v>37862</v>
      </c>
    </row>
    <row r="48043" spans="1:8">
      <c r="H48043" t="s">
        <v>37863</v>
      </c>
    </row>
    <row r="48044" spans="1:8">
      <c r="H48044" t="s">
        <v>37864</v>
      </c>
    </row>
    <row r="48045" spans="1:8">
      <c r="H48045" t="s">
        <v>37865</v>
      </c>
    </row>
    <row r="48046" spans="1:8">
      <c r="A48046" t="s">
        <v>4450</v>
      </c>
      <c r="B48046">
        <f>HYPERLINK("https://android.googlesource.com/platform/cts/+/9404bd8e52785eb80408240092cad30c91e77bde", "9404bd8e52785eb80408240092cad30c91e77bde")</f>
        <v>0</v>
      </c>
      <c r="C48046">
        <f>HYPERLINK("https://android.googlesource.com/platform/cts/+/816f133942e42c98935056fc08d0244a7d57838c", "816f133942e42c98935056fc08d0244a7d57838c")</f>
        <v>0</v>
      </c>
      <c r="D48046" t="s">
        <v>5660</v>
      </c>
      <c r="E48046" t="s">
        <v>10116</v>
      </c>
      <c r="F48046" t="s">
        <v>11433</v>
      </c>
      <c r="G48046" t="s">
        <v>15673</v>
      </c>
      <c r="H48046" t="s">
        <v>37860</v>
      </c>
    </row>
    <row r="48047" spans="1:8">
      <c r="H48047" t="s">
        <v>37861</v>
      </c>
    </row>
    <row r="48048" spans="1:8">
      <c r="H48048" t="s">
        <v>37862</v>
      </c>
    </row>
    <row r="48049" spans="1:8">
      <c r="H48049" t="s">
        <v>37863</v>
      </c>
    </row>
    <row r="48050" spans="1:8">
      <c r="H48050" t="s">
        <v>37864</v>
      </c>
    </row>
    <row r="48051" spans="1:8">
      <c r="H48051" t="s">
        <v>37865</v>
      </c>
    </row>
    <row r="48052" spans="1:8">
      <c r="A48052" t="s">
        <v>4451</v>
      </c>
      <c r="B48052">
        <f>HYPERLINK("https://android.googlesource.com/platform/cts/+/da70318e3d974aba9db05dcbaf77130e886134a1", "da70318e3d974aba9db05dcbaf77130e886134a1")</f>
        <v>0</v>
      </c>
      <c r="C48052">
        <f>HYPERLINK("https://android.googlesource.com/platform/cts/+/2deb3b31533ac7e8cfbd434ebf69548ca0ec8e19", "2deb3b31533ac7e8cfbd434ebf69548ca0ec8e19")</f>
        <v>0</v>
      </c>
      <c r="D48052" t="s">
        <v>5702</v>
      </c>
      <c r="E48052" t="s">
        <v>10117</v>
      </c>
      <c r="F48052" t="s">
        <v>14300</v>
      </c>
      <c r="G48052" t="s">
        <v>18259</v>
      </c>
      <c r="H48052" t="s">
        <v>37866</v>
      </c>
    </row>
    <row r="48053" spans="1:8">
      <c r="H48053" t="s">
        <v>37867</v>
      </c>
    </row>
    <row r="48054" spans="1:8">
      <c r="H48054" t="s">
        <v>37868</v>
      </c>
    </row>
    <row r="48055" spans="1:8">
      <c r="H48055" t="s">
        <v>37869</v>
      </c>
    </row>
    <row r="48056" spans="1:8">
      <c r="H48056" t="s">
        <v>37870</v>
      </c>
    </row>
    <row r="48057" spans="1:8">
      <c r="A48057" t="s">
        <v>4452</v>
      </c>
      <c r="B48057">
        <f>HYPERLINK("https://android.googlesource.com/platform/cts/+/9f48672fe8aefafc2bb544a5db923a95cfee61cd", "9f48672fe8aefafc2bb544a5db923a95cfee61cd")</f>
        <v>0</v>
      </c>
      <c r="C48057">
        <f>HYPERLINK("https://android.googlesource.com/platform/cts/+/79dac82f2c8826d01b0b228e42023568200ac911", "79dac82f2c8826d01b0b228e42023568200ac911")</f>
        <v>0</v>
      </c>
      <c r="D48057" t="s">
        <v>5504</v>
      </c>
      <c r="E48057" t="s">
        <v>10118</v>
      </c>
      <c r="F48057" t="s">
        <v>14300</v>
      </c>
      <c r="G48057" t="s">
        <v>18259</v>
      </c>
      <c r="H48057" t="s">
        <v>37809</v>
      </c>
    </row>
    <row r="48058" spans="1:8">
      <c r="H48058" t="s">
        <v>37810</v>
      </c>
    </row>
    <row r="48059" spans="1:8">
      <c r="H48059" t="s">
        <v>37811</v>
      </c>
    </row>
    <row r="48060" spans="1:8">
      <c r="H48060" t="s">
        <v>37812</v>
      </c>
    </row>
    <row r="48061" spans="1:8">
      <c r="H48061" t="s">
        <v>37813</v>
      </c>
    </row>
    <row r="48062" spans="1:8">
      <c r="H48062" t="s">
        <v>37814</v>
      </c>
    </row>
    <row r="48063" spans="1:8">
      <c r="H48063" t="s">
        <v>37815</v>
      </c>
    </row>
    <row r="48064" spans="1:8">
      <c r="A48064" t="s">
        <v>4453</v>
      </c>
      <c r="B48064">
        <f>HYPERLINK("https://android.googlesource.com/platform/cts/+/64ad0009d8e02a9b40c54e50092d7b87e7e38de8", "64ad0009d8e02a9b40c54e50092d7b87e7e38de8")</f>
        <v>0</v>
      </c>
      <c r="C48064">
        <f>HYPERLINK("https://android.googlesource.com/platform/cts/+/0af0ca796fa87eb06093341634a13ff57eafda4a", "0af0ca796fa87eb06093341634a13ff57eafda4a")</f>
        <v>0</v>
      </c>
      <c r="D48064" t="s">
        <v>5703</v>
      </c>
      <c r="E48064" t="s">
        <v>10119</v>
      </c>
      <c r="F48064" t="s">
        <v>12241</v>
      </c>
      <c r="G48064" t="s">
        <v>16472</v>
      </c>
      <c r="H48064" t="s">
        <v>37871</v>
      </c>
    </row>
    <row r="48065" spans="1:8">
      <c r="A48065" t="s">
        <v>4454</v>
      </c>
      <c r="B48065">
        <f>HYPERLINK("https://android.googlesource.com/platform/cts/+/a415f0739fccbe5407052b27a7de74965ae1c0e8", "a415f0739fccbe5407052b27a7de74965ae1c0e8")</f>
        <v>0</v>
      </c>
      <c r="C48065">
        <f>HYPERLINK("https://android.googlesource.com/platform/cts/+/c7f14c6cd2e17ab1908a1c3f3a42a50eda85ea82", "c7f14c6cd2e17ab1908a1c3f3a42a50eda85ea82")</f>
        <v>0</v>
      </c>
      <c r="D48065" t="s">
        <v>5704</v>
      </c>
      <c r="E48065" t="s">
        <v>10120</v>
      </c>
      <c r="F48065" t="s">
        <v>14738</v>
      </c>
      <c r="G48065" t="s">
        <v>18617</v>
      </c>
      <c r="H48065" t="s">
        <v>37872</v>
      </c>
    </row>
    <row r="48066" spans="1:8">
      <c r="H48066" t="s">
        <v>30514</v>
      </c>
    </row>
    <row r="48067" spans="1:8">
      <c r="H48067" t="s">
        <v>37873</v>
      </c>
    </row>
    <row r="48068" spans="1:8">
      <c r="H48068" t="s">
        <v>37874</v>
      </c>
    </row>
    <row r="48069" spans="1:8">
      <c r="A48069" t="s">
        <v>4455</v>
      </c>
      <c r="B48069">
        <f>HYPERLINK("https://android.googlesource.com/platform/cts/+/166c6fda73c3938920f80ec4b93cd5877fbc691a", "166c6fda73c3938920f80ec4b93cd5877fbc691a")</f>
        <v>0</v>
      </c>
      <c r="C48069">
        <f>HYPERLINK("https://android.googlesource.com/platform/cts/+/f4b7d1720c21df71caf222449f5e9c8e536d6359", "f4b7d1720c21df71caf222449f5e9c8e536d6359")</f>
        <v>0</v>
      </c>
      <c r="D48069" t="s">
        <v>5118</v>
      </c>
      <c r="E48069" t="s">
        <v>10121</v>
      </c>
      <c r="F48069" t="s">
        <v>13165</v>
      </c>
      <c r="G48069" t="s">
        <v>17315</v>
      </c>
      <c r="H48069" t="s">
        <v>37793</v>
      </c>
    </row>
    <row r="48070" spans="1:8">
      <c r="A48070" t="s">
        <v>4456</v>
      </c>
      <c r="B48070">
        <f>HYPERLINK("https://android.googlesource.com/platform/cts/+/d4990dd801b20b8bbcacc541e84f07615baabb8f", "d4990dd801b20b8bbcacc541e84f07615baabb8f")</f>
        <v>0</v>
      </c>
      <c r="C48070">
        <f>HYPERLINK("https://android.googlesource.com/platform/cts/+/cac73c0ecd456ccd62e77aff7cff88c5f596202b", "cac73c0ecd456ccd62e77aff7cff88c5f596202b")</f>
        <v>0</v>
      </c>
      <c r="D48070" t="s">
        <v>5118</v>
      </c>
      <c r="E48070" t="s">
        <v>10121</v>
      </c>
      <c r="F48070" t="s">
        <v>13165</v>
      </c>
      <c r="G48070" t="s">
        <v>17315</v>
      </c>
      <c r="H48070" t="s">
        <v>37793</v>
      </c>
    </row>
    <row r="48071" spans="1:8">
      <c r="A48071" t="s">
        <v>4457</v>
      </c>
      <c r="B48071">
        <f>HYPERLINK("https://android.googlesource.com/platform/cts/+/4a24eb03fbaf7e75828fb815a9f2695c5c7f1b2f", "4a24eb03fbaf7e75828fb815a9f2695c5c7f1b2f")</f>
        <v>0</v>
      </c>
      <c r="C48071">
        <f>HYPERLINK("https://android.googlesource.com/platform/cts/+/722a221cded9b217ac56580882711815116b6bc8", "722a221cded9b217ac56580882711815116b6bc8")</f>
        <v>0</v>
      </c>
      <c r="D48071" t="s">
        <v>5118</v>
      </c>
      <c r="E48071" t="s">
        <v>10121</v>
      </c>
      <c r="F48071" t="s">
        <v>13165</v>
      </c>
      <c r="G48071" t="s">
        <v>17315</v>
      </c>
      <c r="H48071" t="s">
        <v>37793</v>
      </c>
    </row>
    <row r="48072" spans="1:8">
      <c r="A48072" t="s">
        <v>4458</v>
      </c>
      <c r="B48072">
        <f>HYPERLINK("https://android.googlesource.com/platform/cts/+/e61c6edfebe41513655e150e259956ec89f4ee9b", "e61c6edfebe41513655e150e259956ec89f4ee9b")</f>
        <v>0</v>
      </c>
      <c r="C48072">
        <f>HYPERLINK("https://android.googlesource.com/platform/cts/+/3bb8da604b4c066951a4912f3681cbc43dd67250", "3bb8da604b4c066951a4912f3681cbc43dd67250")</f>
        <v>0</v>
      </c>
      <c r="D48072" t="s">
        <v>5118</v>
      </c>
      <c r="E48072" t="s">
        <v>10121</v>
      </c>
      <c r="F48072" t="s">
        <v>13165</v>
      </c>
      <c r="G48072" t="s">
        <v>17315</v>
      </c>
      <c r="H48072" t="s">
        <v>37793</v>
      </c>
    </row>
    <row r="48073" spans="1:8">
      <c r="A48073" t="s">
        <v>4459</v>
      </c>
      <c r="B48073">
        <f>HYPERLINK("https://android.googlesource.com/platform/cts/+/736bc60035915ba6b3613c2f685fa220d556b1b4", "736bc60035915ba6b3613c2f685fa220d556b1b4")</f>
        <v>0</v>
      </c>
      <c r="C48073">
        <f>HYPERLINK("https://android.googlesource.com/platform/cts/+/116d83e00060b1520cb36719a5e2fe78419e0843", "116d83e00060b1520cb36719a5e2fe78419e0843")</f>
        <v>0</v>
      </c>
      <c r="D48073" t="s">
        <v>5584</v>
      </c>
      <c r="E48073" t="s">
        <v>10122</v>
      </c>
      <c r="F48073" t="s">
        <v>14739</v>
      </c>
      <c r="G48073" t="s">
        <v>18618</v>
      </c>
      <c r="H48073" t="s">
        <v>37875</v>
      </c>
    </row>
    <row r="48074" spans="1:8">
      <c r="A48074" t="s">
        <v>4460</v>
      </c>
      <c r="B48074">
        <f>HYPERLINK("https://android.googlesource.com/platform/cts/+/ecd96cf01a5a3461749b167f849c669a889caebe", "ecd96cf01a5a3461749b167f849c669a889caebe")</f>
        <v>0</v>
      </c>
      <c r="C48074">
        <f>HYPERLINK("https://android.googlesource.com/platform/cts/+/83fd247f8b7357d064c8f809dd742db3238b79e3", "83fd247f8b7357d064c8f809dd742db3238b79e3")</f>
        <v>0</v>
      </c>
      <c r="D48074" t="s">
        <v>5315</v>
      </c>
      <c r="E48074" t="s">
        <v>10123</v>
      </c>
      <c r="F48074" t="s">
        <v>14067</v>
      </c>
      <c r="G48074" t="s">
        <v>18065</v>
      </c>
      <c r="H48074" t="s">
        <v>37876</v>
      </c>
    </row>
    <row r="48075" spans="1:8">
      <c r="F48075" t="s">
        <v>14068</v>
      </c>
      <c r="G48075" t="s">
        <v>18066</v>
      </c>
      <c r="H48075" t="s">
        <v>37876</v>
      </c>
    </row>
    <row r="48076" spans="1:8">
      <c r="A48076" t="s">
        <v>4461</v>
      </c>
      <c r="B48076">
        <f>HYPERLINK("https://android.googlesource.com/platform/cts/+/a042cf3b90e6b8ffda2ee2a2560b6da5341ea501", "a042cf3b90e6b8ffda2ee2a2560b6da5341ea501")</f>
        <v>0</v>
      </c>
      <c r="C48076">
        <f>HYPERLINK("https://android.googlesource.com/platform/cts/+/94da53ac26428dd9f02dfe0cf5dc366516aa8ec5", "94da53ac26428dd9f02dfe0cf5dc366516aa8ec5")</f>
        <v>0</v>
      </c>
      <c r="D48076" t="s">
        <v>5660</v>
      </c>
      <c r="E48076" t="s">
        <v>10116</v>
      </c>
      <c r="F48076" t="s">
        <v>11433</v>
      </c>
      <c r="G48076" t="s">
        <v>15673</v>
      </c>
      <c r="H48076" t="s">
        <v>37860</v>
      </c>
    </row>
    <row r="48077" spans="1:8">
      <c r="H48077" t="s">
        <v>37861</v>
      </c>
    </row>
    <row r="48078" spans="1:8">
      <c r="H48078" t="s">
        <v>37862</v>
      </c>
    </row>
    <row r="48079" spans="1:8">
      <c r="H48079" t="s">
        <v>37863</v>
      </c>
    </row>
    <row r="48080" spans="1:8">
      <c r="H48080" t="s">
        <v>37864</v>
      </c>
    </row>
    <row r="48081" spans="1:8">
      <c r="H48081" t="s">
        <v>37865</v>
      </c>
    </row>
    <row r="48082" spans="1:8">
      <c r="A48082" t="s">
        <v>4462</v>
      </c>
      <c r="B48082">
        <f>HYPERLINK("https://android.googlesource.com/platform/cts/+/338ddca826ec519998afafcb40b3cd85883bdfc2", "338ddca826ec519998afafcb40b3cd85883bdfc2")</f>
        <v>0</v>
      </c>
      <c r="C48082">
        <f>HYPERLINK("https://android.googlesource.com/platform/cts/+/4b44c94295770b4898e61b320aaaf092ecdd3ab2", "4b44c94295770b4898e61b320aaaf092ecdd3ab2")</f>
        <v>0</v>
      </c>
      <c r="D48082" t="s">
        <v>5700</v>
      </c>
      <c r="E48082" t="s">
        <v>10124</v>
      </c>
      <c r="F48082" t="s">
        <v>14695</v>
      </c>
      <c r="G48082" t="s">
        <v>18585</v>
      </c>
      <c r="H48082" t="s">
        <v>37877</v>
      </c>
    </row>
    <row r="48083" spans="1:8">
      <c r="H48083" t="s">
        <v>37878</v>
      </c>
    </row>
    <row r="48084" spans="1:8">
      <c r="A48084" t="s">
        <v>4463</v>
      </c>
      <c r="B48084">
        <f>HYPERLINK("https://android.googlesource.com/platform/cts/+/7f576b769b901f7ab9e0d041fd78769a1a18a1c2", "7f576b769b901f7ab9e0d041fd78769a1a18a1c2")</f>
        <v>0</v>
      </c>
      <c r="C48084">
        <f>HYPERLINK("https://android.googlesource.com/platform/cts/+/3b542cabcf7f96cb90dfe137ed544644fafb5231", "3b542cabcf7f96cb90dfe137ed544644fafb5231")</f>
        <v>0</v>
      </c>
      <c r="D48084" t="s">
        <v>5705</v>
      </c>
      <c r="E48084" t="s">
        <v>10125</v>
      </c>
      <c r="F48084" t="s">
        <v>14740</v>
      </c>
      <c r="G48084" t="s">
        <v>18619</v>
      </c>
      <c r="H48084" t="s">
        <v>31042</v>
      </c>
    </row>
    <row r="48085" spans="1:8">
      <c r="H48085" t="s">
        <v>37879</v>
      </c>
    </row>
    <row r="48086" spans="1:8">
      <c r="H48086" t="s">
        <v>31044</v>
      </c>
    </row>
    <row r="48087" spans="1:8">
      <c r="H48087" t="s">
        <v>37880</v>
      </c>
    </row>
    <row r="48088" spans="1:8">
      <c r="H48088" t="s">
        <v>37881</v>
      </c>
    </row>
    <row r="48089" spans="1:8">
      <c r="H48089" t="s">
        <v>37882</v>
      </c>
    </row>
    <row r="48090" spans="1:8">
      <c r="H48090" t="s">
        <v>37883</v>
      </c>
    </row>
    <row r="48091" spans="1:8">
      <c r="H48091" t="s">
        <v>37884</v>
      </c>
    </row>
    <row r="48092" spans="1:8">
      <c r="H48092" t="s">
        <v>37885</v>
      </c>
    </row>
    <row r="48093" spans="1:8">
      <c r="H48093" t="s">
        <v>37886</v>
      </c>
    </row>
    <row r="48094" spans="1:8">
      <c r="H48094" t="s">
        <v>22586</v>
      </c>
    </row>
    <row r="48095" spans="1:8">
      <c r="H48095" t="s">
        <v>37887</v>
      </c>
    </row>
    <row r="48096" spans="1:8">
      <c r="H48096" t="s">
        <v>26759</v>
      </c>
    </row>
    <row r="48097" spans="1:8">
      <c r="H48097" t="s">
        <v>33588</v>
      </c>
    </row>
    <row r="48098" spans="1:8">
      <c r="H48098" t="s">
        <v>37888</v>
      </c>
    </row>
    <row r="48099" spans="1:8">
      <c r="H48099" t="s">
        <v>37889</v>
      </c>
    </row>
    <row r="48100" spans="1:8">
      <c r="H48100" t="s">
        <v>37890</v>
      </c>
    </row>
    <row r="48101" spans="1:8">
      <c r="H48101" t="s">
        <v>37891</v>
      </c>
    </row>
    <row r="48102" spans="1:8">
      <c r="H48102" t="s">
        <v>37892</v>
      </c>
    </row>
    <row r="48103" spans="1:8">
      <c r="A48103" t="s">
        <v>4464</v>
      </c>
      <c r="B48103">
        <f>HYPERLINK("https://android.googlesource.com/platform/cts/+/b1c02e1d0de3bf6e03075db0e35bfb441e679c0c", "b1c02e1d0de3bf6e03075db0e35bfb441e679c0c")</f>
        <v>0</v>
      </c>
      <c r="C48103">
        <f>HYPERLINK("https://android.googlesource.com/platform/cts/+/7f576b769b901f7ab9e0d041fd78769a1a18a1c2", "7f576b769b901f7ab9e0d041fd78769a1a18a1c2")</f>
        <v>0</v>
      </c>
      <c r="D48103" t="s">
        <v>5705</v>
      </c>
      <c r="E48103" t="s">
        <v>10126</v>
      </c>
      <c r="F48103" t="s">
        <v>14741</v>
      </c>
      <c r="G48103" t="s">
        <v>18619</v>
      </c>
      <c r="H48103" t="s">
        <v>37890</v>
      </c>
    </row>
    <row r="48104" spans="1:8">
      <c r="A48104" t="s">
        <v>4465</v>
      </c>
      <c r="B48104">
        <f>HYPERLINK("https://android.googlesource.com/platform/cts/+/9607c0a2309d280580cff32fcfeabb550b15ce21", "9607c0a2309d280580cff32fcfeabb550b15ce21")</f>
        <v>0</v>
      </c>
      <c r="C48104">
        <f>HYPERLINK("https://android.googlesource.com/platform/cts/+/a8790bee06d961a03ca34a17577596f44f60dbc4", "a8790bee06d961a03ca34a17577596f44f60dbc4")</f>
        <v>0</v>
      </c>
      <c r="D48104" t="s">
        <v>5706</v>
      </c>
      <c r="E48104" t="s">
        <v>10127</v>
      </c>
      <c r="F48104" t="s">
        <v>13307</v>
      </c>
      <c r="G48104" t="s">
        <v>16817</v>
      </c>
      <c r="H48104" t="s">
        <v>37893</v>
      </c>
    </row>
    <row r="48105" spans="1:8">
      <c r="A48105" t="s">
        <v>4466</v>
      </c>
      <c r="B48105">
        <f>HYPERLINK("https://android.googlesource.com/platform/cts/+/0f15462d7c484d485ee8093a192d306974ff876f", "0f15462d7c484d485ee8093a192d306974ff876f")</f>
        <v>0</v>
      </c>
      <c r="C48105">
        <f>HYPERLINK("https://android.googlesource.com/platform/cts/+/46bb5ebb24906e2e785bfd8dbf5ae5842abb6de3", "46bb5ebb24906e2e785bfd8dbf5ae5842abb6de3")</f>
        <v>0</v>
      </c>
      <c r="D48105" t="s">
        <v>5523</v>
      </c>
      <c r="E48105" t="s">
        <v>10128</v>
      </c>
      <c r="F48105" t="s">
        <v>14742</v>
      </c>
      <c r="G48105" t="s">
        <v>18614</v>
      </c>
      <c r="H48105" t="s">
        <v>37801</v>
      </c>
    </row>
    <row r="48106" spans="1:8">
      <c r="A48106" t="s">
        <v>4467</v>
      </c>
      <c r="B48106">
        <f>HYPERLINK("https://android.googlesource.com/platform/cts/+/9ca529aec0da8d804e80aab376e07a634e17a1ac", "9ca529aec0da8d804e80aab376e07a634e17a1ac")</f>
        <v>0</v>
      </c>
      <c r="C48106">
        <f>HYPERLINK("https://android.googlesource.com/platform/cts/+/f71c99c45dd3190e9e28c467c7a0d0b5366e1852", "f71c99c45dd3190e9e28c467c7a0d0b5366e1852")</f>
        <v>0</v>
      </c>
      <c r="D48106" t="s">
        <v>5584</v>
      </c>
      <c r="E48106" t="s">
        <v>10129</v>
      </c>
      <c r="F48106" t="s">
        <v>14743</v>
      </c>
      <c r="G48106" t="s">
        <v>18620</v>
      </c>
      <c r="H48106" t="s">
        <v>37894</v>
      </c>
    </row>
    <row r="48107" spans="1:8">
      <c r="A48107" t="s">
        <v>4468</v>
      </c>
      <c r="B48107">
        <f>HYPERLINK("https://android.googlesource.com/platform/cts/+/4eb7025c88ae3e293015c1a9ec6a6eb7325f187c", "4eb7025c88ae3e293015c1a9ec6a6eb7325f187c")</f>
        <v>0</v>
      </c>
      <c r="C48107">
        <f>HYPERLINK("https://android.googlesource.com/platform/cts/+/638dbaf891c2bee65860c7c4e51c847cfdf88990", "638dbaf891c2bee65860c7c4e51c847cfdf88990")</f>
        <v>0</v>
      </c>
      <c r="D48107" t="s">
        <v>5564</v>
      </c>
      <c r="E48107" t="s">
        <v>10130</v>
      </c>
      <c r="F48107" t="s">
        <v>14744</v>
      </c>
      <c r="G48107" t="s">
        <v>18202</v>
      </c>
      <c r="H48107" t="s">
        <v>34484</v>
      </c>
    </row>
    <row r="48108" spans="1:8">
      <c r="H48108" t="s">
        <v>34485</v>
      </c>
    </row>
    <row r="48109" spans="1:8">
      <c r="H48109" t="s">
        <v>34486</v>
      </c>
    </row>
    <row r="48110" spans="1:8">
      <c r="H48110" t="s">
        <v>34488</v>
      </c>
    </row>
    <row r="48111" spans="1:8">
      <c r="H48111" t="s">
        <v>34489</v>
      </c>
    </row>
    <row r="48112" spans="1:8">
      <c r="H48112" t="s">
        <v>34490</v>
      </c>
    </row>
    <row r="48113" spans="6:8">
      <c r="H48113" t="s">
        <v>34149</v>
      </c>
    </row>
    <row r="48114" spans="6:8">
      <c r="H48114" t="s">
        <v>34150</v>
      </c>
    </row>
    <row r="48115" spans="6:8">
      <c r="H48115" t="s">
        <v>34151</v>
      </c>
    </row>
    <row r="48116" spans="6:8">
      <c r="H48116" t="s">
        <v>34154</v>
      </c>
    </row>
    <row r="48117" spans="6:8">
      <c r="H48117" t="s">
        <v>34155</v>
      </c>
    </row>
    <row r="48118" spans="6:8">
      <c r="H48118" t="s">
        <v>34157</v>
      </c>
    </row>
    <row r="48119" spans="6:8">
      <c r="H48119" t="s">
        <v>34491</v>
      </c>
    </row>
    <row r="48120" spans="6:8">
      <c r="H48120" t="s">
        <v>34492</v>
      </c>
    </row>
    <row r="48121" spans="6:8">
      <c r="H48121" t="s">
        <v>34493</v>
      </c>
    </row>
    <row r="48122" spans="6:8">
      <c r="H48122" t="s">
        <v>34494</v>
      </c>
    </row>
    <row r="48123" spans="6:8">
      <c r="H48123" t="s">
        <v>34495</v>
      </c>
    </row>
    <row r="48124" spans="6:8">
      <c r="F48124" t="s">
        <v>12332</v>
      </c>
      <c r="G48124" t="s">
        <v>16560</v>
      </c>
      <c r="H48124" t="s">
        <v>37895</v>
      </c>
    </row>
    <row r="48125" spans="6:8">
      <c r="H48125" t="s">
        <v>37896</v>
      </c>
    </row>
    <row r="48126" spans="6:8">
      <c r="H48126" t="s">
        <v>37896</v>
      </c>
    </row>
    <row r="48127" spans="6:8">
      <c r="H48127" t="s">
        <v>37896</v>
      </c>
    </row>
    <row r="48128" spans="6:8">
      <c r="H48128" t="s">
        <v>37897</v>
      </c>
    </row>
    <row r="48129" spans="1:8">
      <c r="H48129" t="s">
        <v>37897</v>
      </c>
    </row>
    <row r="48130" spans="1:8">
      <c r="H48130" t="s">
        <v>37897</v>
      </c>
    </row>
    <row r="48131" spans="1:8">
      <c r="H48131" t="s">
        <v>37898</v>
      </c>
    </row>
    <row r="48132" spans="1:8">
      <c r="H48132" t="s">
        <v>37898</v>
      </c>
    </row>
    <row r="48133" spans="1:8">
      <c r="H48133" t="s">
        <v>34652</v>
      </c>
    </row>
    <row r="48134" spans="1:8">
      <c r="H48134" t="s">
        <v>37899</v>
      </c>
    </row>
    <row r="48135" spans="1:8">
      <c r="A48135" t="s">
        <v>4469</v>
      </c>
      <c r="B48135">
        <f>HYPERLINK("https://android.googlesource.com/platform/cts/+/fd2772894b2be84bda85735053ce99cf5eb73019", "fd2772894b2be84bda85735053ce99cf5eb73019")</f>
        <v>0</v>
      </c>
      <c r="C48135">
        <f>HYPERLINK("https://android.googlesource.com/platform/cts/+/3cd74e0c5ade6c71ad28d2f22a81e3d513da28d1", "3cd74e0c5ade6c71ad28d2f22a81e3d513da28d1")</f>
        <v>0</v>
      </c>
      <c r="D48135" t="s">
        <v>5005</v>
      </c>
      <c r="E48135" t="s">
        <v>10131</v>
      </c>
      <c r="F48135" t="s">
        <v>11193</v>
      </c>
      <c r="G48135" t="s">
        <v>15582</v>
      </c>
      <c r="H48135" t="s">
        <v>37900</v>
      </c>
    </row>
    <row r="48136" spans="1:8">
      <c r="H48136" t="s">
        <v>37901</v>
      </c>
    </row>
    <row r="48137" spans="1:8">
      <c r="H48137" t="s">
        <v>37902</v>
      </c>
    </row>
    <row r="48138" spans="1:8">
      <c r="H48138" t="s">
        <v>37903</v>
      </c>
    </row>
    <row r="48139" spans="1:8">
      <c r="A48139" t="s">
        <v>4470</v>
      </c>
      <c r="B48139">
        <f>HYPERLINK("https://android.googlesource.com/platform/cts/+/8e1825deb5bc45e2f846910a06c85f3796aca751", "8e1825deb5bc45e2f846910a06c85f3796aca751")</f>
        <v>0</v>
      </c>
      <c r="C48139">
        <f>HYPERLINK("https://android.googlesource.com/platform/cts/+/96d28299a08c549d7c7c29e0c5445a1db82753e9", "96d28299a08c549d7c7c29e0c5445a1db82753e9")</f>
        <v>0</v>
      </c>
      <c r="D48139" t="s">
        <v>5523</v>
      </c>
      <c r="E48139" t="s">
        <v>10132</v>
      </c>
      <c r="F48139" t="s">
        <v>14745</v>
      </c>
      <c r="G48139" t="s">
        <v>18621</v>
      </c>
      <c r="H48139" t="s">
        <v>25470</v>
      </c>
    </row>
    <row r="48140" spans="1:8">
      <c r="A48140" t="s">
        <v>4471</v>
      </c>
      <c r="B48140">
        <f>HYPERLINK("https://android.googlesource.com/platform/cts/+/2ed4675aa419b23a265af48f753b420942a6efc3", "2ed4675aa419b23a265af48f753b420942a6efc3")</f>
        <v>0</v>
      </c>
      <c r="C48140">
        <f>HYPERLINK("https://android.googlesource.com/platform/cts/+/1999665f21aaac8a8649c01b3c19c926b8aeffe7", "1999665f21aaac8a8649c01b3c19c926b8aeffe7")</f>
        <v>0</v>
      </c>
      <c r="D48140" t="s">
        <v>5707</v>
      </c>
      <c r="E48140" t="s">
        <v>10133</v>
      </c>
      <c r="F48140" t="s">
        <v>14568</v>
      </c>
      <c r="G48140" t="s">
        <v>18489</v>
      </c>
      <c r="H48140" t="s">
        <v>37904</v>
      </c>
    </row>
    <row r="48141" spans="1:8">
      <c r="H48141" t="s">
        <v>37905</v>
      </c>
    </row>
    <row r="48142" spans="1:8">
      <c r="H48142" t="s">
        <v>37906</v>
      </c>
    </row>
    <row r="48143" spans="1:8">
      <c r="A48143" t="s">
        <v>4472</v>
      </c>
      <c r="B48143">
        <f>HYPERLINK("https://android.googlesource.com/platform/cts/+/000baddf77a33fb83fbb689673db0612e0fcd4c3", "000baddf77a33fb83fbb689673db0612e0fcd4c3")</f>
        <v>0</v>
      </c>
      <c r="C48143">
        <f>HYPERLINK("https://android.googlesource.com/platform/cts/+/fdad79e5a4b15ff11a43404e3b1d78da33c0e947", "fdad79e5a4b15ff11a43404e3b1d78da33c0e947")</f>
        <v>0</v>
      </c>
      <c r="D48143" t="s">
        <v>5708</v>
      </c>
      <c r="E48143" t="s">
        <v>10134</v>
      </c>
      <c r="F48143" t="s">
        <v>13887</v>
      </c>
      <c r="G48143" t="s">
        <v>17319</v>
      </c>
      <c r="H48143" t="s">
        <v>37907</v>
      </c>
    </row>
    <row r="48144" spans="1:8">
      <c r="H48144" t="s">
        <v>37908</v>
      </c>
    </row>
    <row r="48145" spans="1:8">
      <c r="H48145" t="s">
        <v>37909</v>
      </c>
    </row>
    <row r="48146" spans="1:8">
      <c r="A48146" t="s">
        <v>4473</v>
      </c>
      <c r="B48146">
        <f>HYPERLINK("https://android.googlesource.com/platform/cts/+/6d92b65a98866b9804f6dfa750f43a1ce667ecd5", "6d92b65a98866b9804f6dfa750f43a1ce667ecd5")</f>
        <v>0</v>
      </c>
      <c r="C48146">
        <f>HYPERLINK("https://android.googlesource.com/platform/cts/+/4b9a3c7741e48f5dfaba63bcb2e8eb714147baa5", "4b9a3c7741e48f5dfaba63bcb2e8eb714147baa5")</f>
        <v>0</v>
      </c>
      <c r="D48146" t="s">
        <v>5569</v>
      </c>
      <c r="E48146" t="s">
        <v>10135</v>
      </c>
      <c r="F48146" t="s">
        <v>14446</v>
      </c>
      <c r="G48146" t="s">
        <v>18381</v>
      </c>
      <c r="H48146" t="s">
        <v>37910</v>
      </c>
    </row>
    <row r="48147" spans="1:8">
      <c r="A48147" t="s">
        <v>4474</v>
      </c>
      <c r="B48147">
        <f>HYPERLINK("https://android.googlesource.com/platform/cts/+/708e39e0abdfe1e975e39b17bd9ba5c525e16bd9", "708e39e0abdfe1e975e39b17bd9ba5c525e16bd9")</f>
        <v>0</v>
      </c>
      <c r="C48147">
        <f>HYPERLINK("https://android.googlesource.com/platform/cts/+/12fd1eb916b7dc15aad74d72b9d150d46b0db061", "12fd1eb916b7dc15aad74d72b9d150d46b0db061")</f>
        <v>0</v>
      </c>
      <c r="D48147" t="s">
        <v>5709</v>
      </c>
      <c r="E48147" t="s">
        <v>10136</v>
      </c>
      <c r="F48147" t="s">
        <v>13165</v>
      </c>
      <c r="G48147" t="s">
        <v>17315</v>
      </c>
      <c r="H48147" t="s">
        <v>37911</v>
      </c>
    </row>
    <row r="48148" spans="1:8">
      <c r="H48148" t="s">
        <v>31772</v>
      </c>
    </row>
    <row r="48149" spans="1:8">
      <c r="H48149" t="s">
        <v>31772</v>
      </c>
    </row>
    <row r="48150" spans="1:8">
      <c r="H48150" t="s">
        <v>31772</v>
      </c>
    </row>
    <row r="48151" spans="1:8">
      <c r="H48151" t="s">
        <v>37912</v>
      </c>
    </row>
    <row r="48152" spans="1:8">
      <c r="H48152" t="s">
        <v>37913</v>
      </c>
    </row>
    <row r="48153" spans="1:8">
      <c r="H48153" t="s">
        <v>37914</v>
      </c>
    </row>
    <row r="48154" spans="1:8">
      <c r="H48154" t="s">
        <v>37915</v>
      </c>
    </row>
    <row r="48155" spans="1:8">
      <c r="H48155" t="s">
        <v>37916</v>
      </c>
    </row>
    <row r="48156" spans="1:8">
      <c r="H48156" t="s">
        <v>37917</v>
      </c>
    </row>
    <row r="48157" spans="1:8">
      <c r="H48157" t="s">
        <v>37918</v>
      </c>
    </row>
    <row r="48158" spans="1:8">
      <c r="H48158" t="s">
        <v>31773</v>
      </c>
    </row>
    <row r="48159" spans="1:8">
      <c r="H48159" t="s">
        <v>31773</v>
      </c>
    </row>
    <row r="48160" spans="1:8">
      <c r="H48160" t="s">
        <v>37919</v>
      </c>
    </row>
    <row r="48161" spans="8:8">
      <c r="H48161" t="s">
        <v>37920</v>
      </c>
    </row>
    <row r="48162" spans="8:8">
      <c r="H48162" t="s">
        <v>37921</v>
      </c>
    </row>
    <row r="48163" spans="8:8">
      <c r="H48163" t="s">
        <v>31775</v>
      </c>
    </row>
    <row r="48164" spans="8:8">
      <c r="H48164" t="s">
        <v>37922</v>
      </c>
    </row>
    <row r="48165" spans="8:8">
      <c r="H48165" t="s">
        <v>37923</v>
      </c>
    </row>
    <row r="48166" spans="8:8">
      <c r="H48166" t="s">
        <v>37924</v>
      </c>
    </row>
    <row r="48167" spans="8:8">
      <c r="H48167" t="s">
        <v>37925</v>
      </c>
    </row>
    <row r="48168" spans="8:8">
      <c r="H48168" t="s">
        <v>37926</v>
      </c>
    </row>
    <row r="48169" spans="8:8">
      <c r="H48169" t="s">
        <v>37927</v>
      </c>
    </row>
    <row r="48170" spans="8:8">
      <c r="H48170" t="s">
        <v>37928</v>
      </c>
    </row>
    <row r="48171" spans="8:8">
      <c r="H48171" t="s">
        <v>37929</v>
      </c>
    </row>
    <row r="48172" spans="8:8">
      <c r="H48172" t="s">
        <v>37930</v>
      </c>
    </row>
    <row r="48173" spans="8:8">
      <c r="H48173" t="s">
        <v>37931</v>
      </c>
    </row>
    <row r="48174" spans="8:8">
      <c r="H48174" t="s">
        <v>37932</v>
      </c>
    </row>
    <row r="48175" spans="8:8">
      <c r="H48175" t="s">
        <v>37933</v>
      </c>
    </row>
    <row r="48176" spans="8:8">
      <c r="H48176" t="s">
        <v>37934</v>
      </c>
    </row>
    <row r="48177" spans="8:8">
      <c r="H48177" t="s">
        <v>37935</v>
      </c>
    </row>
    <row r="48178" spans="8:8">
      <c r="H48178" t="s">
        <v>37936</v>
      </c>
    </row>
    <row r="48179" spans="8:8">
      <c r="H48179" t="s">
        <v>37937</v>
      </c>
    </row>
    <row r="48180" spans="8:8">
      <c r="H48180" t="s">
        <v>37938</v>
      </c>
    </row>
    <row r="48181" spans="8:8">
      <c r="H48181" t="s">
        <v>37939</v>
      </c>
    </row>
    <row r="48182" spans="8:8">
      <c r="H48182" t="s">
        <v>37940</v>
      </c>
    </row>
    <row r="48183" spans="8:8">
      <c r="H48183" t="s">
        <v>37941</v>
      </c>
    </row>
    <row r="48184" spans="8:8">
      <c r="H48184" t="s">
        <v>37942</v>
      </c>
    </row>
    <row r="48185" spans="8:8">
      <c r="H48185" t="s">
        <v>37943</v>
      </c>
    </row>
    <row r="48186" spans="8:8">
      <c r="H48186" t="s">
        <v>37944</v>
      </c>
    </row>
    <row r="48187" spans="8:8">
      <c r="H48187" t="s">
        <v>37945</v>
      </c>
    </row>
    <row r="48188" spans="8:8">
      <c r="H48188" t="s">
        <v>37946</v>
      </c>
    </row>
    <row r="48189" spans="8:8">
      <c r="H48189" t="s">
        <v>37947</v>
      </c>
    </row>
    <row r="48190" spans="8:8">
      <c r="H48190" t="s">
        <v>37948</v>
      </c>
    </row>
    <row r="48191" spans="8:8">
      <c r="H48191" t="s">
        <v>37949</v>
      </c>
    </row>
    <row r="48192" spans="8:8">
      <c r="H48192" t="s">
        <v>37950</v>
      </c>
    </row>
    <row r="48193" spans="1:8">
      <c r="H48193" t="s">
        <v>37951</v>
      </c>
    </row>
    <row r="48194" spans="1:8">
      <c r="H48194" t="s">
        <v>37952</v>
      </c>
    </row>
    <row r="48195" spans="1:8">
      <c r="H48195" t="s">
        <v>37953</v>
      </c>
    </row>
    <row r="48196" spans="1:8">
      <c r="H48196" t="s">
        <v>37954</v>
      </c>
    </row>
    <row r="48197" spans="1:8">
      <c r="H48197" t="s">
        <v>37955</v>
      </c>
    </row>
    <row r="48198" spans="1:8">
      <c r="H48198" t="s">
        <v>37956</v>
      </c>
    </row>
    <row r="48199" spans="1:8">
      <c r="H48199" t="s">
        <v>37957</v>
      </c>
    </row>
    <row r="48200" spans="1:8">
      <c r="H48200" t="s">
        <v>37958</v>
      </c>
    </row>
    <row r="48201" spans="1:8">
      <c r="H48201" t="s">
        <v>37959</v>
      </c>
    </row>
    <row r="48202" spans="1:8">
      <c r="H48202" t="s">
        <v>37960</v>
      </c>
    </row>
    <row r="48203" spans="1:8">
      <c r="A48203" t="s">
        <v>4475</v>
      </c>
      <c r="B48203">
        <f>HYPERLINK("https://android.googlesource.com/platform/cts/+/8aa2ff2b46c82bdf1e91adc9c0eae65ccf1da82d", "8aa2ff2b46c82bdf1e91adc9c0eae65ccf1da82d")</f>
        <v>0</v>
      </c>
      <c r="C48203">
        <f>HYPERLINK("https://android.googlesource.com/platform/cts/+/0bb0c6886c962b347f657b852e986a4b58431607", "0bb0c6886c962b347f657b852e986a4b58431607")</f>
        <v>0</v>
      </c>
      <c r="D48203" t="s">
        <v>5392</v>
      </c>
      <c r="E48203" t="s">
        <v>10137</v>
      </c>
      <c r="F48203" t="s">
        <v>14746</v>
      </c>
      <c r="G48203" t="s">
        <v>18622</v>
      </c>
      <c r="H48203" t="s">
        <v>37961</v>
      </c>
    </row>
    <row r="48204" spans="1:8">
      <c r="H48204" t="s">
        <v>37962</v>
      </c>
    </row>
    <row r="48205" spans="1:8">
      <c r="H48205" t="s">
        <v>28611</v>
      </c>
    </row>
    <row r="48206" spans="1:8">
      <c r="A48206" t="s">
        <v>4476</v>
      </c>
      <c r="B48206">
        <f>HYPERLINK("https://android.googlesource.com/platform/cts/+/ecf6b37a9aec274f2185a2be7b3c665bd29c1e7e", "ecf6b37a9aec274f2185a2be7b3c665bd29c1e7e")</f>
        <v>0</v>
      </c>
      <c r="C48206">
        <f>HYPERLINK("https://android.googlesource.com/platform/cts/+/18e2b6f560b2e730a94e119a16a8a913704cbb6d", "18e2b6f560b2e730a94e119a16a8a913704cbb6d")</f>
        <v>0</v>
      </c>
      <c r="D48206" t="s">
        <v>5096</v>
      </c>
      <c r="E48206" t="s">
        <v>10138</v>
      </c>
      <c r="F48206" t="s">
        <v>14536</v>
      </c>
      <c r="G48206" t="s">
        <v>18460</v>
      </c>
      <c r="H48206" t="s">
        <v>37963</v>
      </c>
    </row>
    <row r="48207" spans="1:8">
      <c r="A48207" t="s">
        <v>4477</v>
      </c>
      <c r="B48207">
        <f>HYPERLINK("https://android.googlesource.com/platform/cts/+/13fa701c65c7bb3641a516bb174a184b6513c381", "13fa701c65c7bb3641a516bb174a184b6513c381")</f>
        <v>0</v>
      </c>
      <c r="C48207">
        <f>HYPERLINK("https://android.googlesource.com/platform/cts/+/6d92b65a98866b9804f6dfa750f43a1ce667ecd5", "6d92b65a98866b9804f6dfa750f43a1ce667ecd5")</f>
        <v>0</v>
      </c>
      <c r="D48207" t="s">
        <v>5569</v>
      </c>
      <c r="E48207" t="s">
        <v>10139</v>
      </c>
      <c r="F48207" t="s">
        <v>13511</v>
      </c>
      <c r="G48207" t="s">
        <v>17628</v>
      </c>
      <c r="H48207" t="s">
        <v>37964</v>
      </c>
    </row>
    <row r="48208" spans="1:8">
      <c r="H48208" t="s">
        <v>37965</v>
      </c>
    </row>
    <row r="48209" spans="1:8">
      <c r="A48209" t="s">
        <v>4478</v>
      </c>
      <c r="B48209">
        <f>HYPERLINK("https://android.googlesource.com/platform/cts/+/31cf1869eb64dd417b686cad2486687756a54a41", "31cf1869eb64dd417b686cad2486687756a54a41")</f>
        <v>0</v>
      </c>
      <c r="C48209">
        <f>HYPERLINK("https://android.googlesource.com/platform/cts/+/01316ae298f6acda9bb724f031bdc42f69450a02", "01316ae298f6acda9bb724f031bdc42f69450a02")</f>
        <v>0</v>
      </c>
      <c r="D48209" t="s">
        <v>5526</v>
      </c>
      <c r="E48209" t="s">
        <v>10140</v>
      </c>
      <c r="F48209" t="s">
        <v>14708</v>
      </c>
      <c r="G48209" t="s">
        <v>18596</v>
      </c>
      <c r="H48209" t="s">
        <v>18863</v>
      </c>
    </row>
    <row r="48210" spans="1:8">
      <c r="H48210" t="s">
        <v>34004</v>
      </c>
    </row>
    <row r="48211" spans="1:8">
      <c r="H48211" t="s">
        <v>34005</v>
      </c>
    </row>
    <row r="48212" spans="1:8">
      <c r="H48212" t="s">
        <v>37687</v>
      </c>
    </row>
    <row r="48213" spans="1:8">
      <c r="H48213" t="s">
        <v>37688</v>
      </c>
    </row>
    <row r="48214" spans="1:8">
      <c r="A48214" t="s">
        <v>4479</v>
      </c>
      <c r="B48214">
        <f>HYPERLINK("https://android.googlesource.com/platform/cts/+/c474567ba3371af0a23c4b803f2d05c239d87132", "c474567ba3371af0a23c4b803f2d05c239d87132")</f>
        <v>0</v>
      </c>
      <c r="C48214">
        <f>HYPERLINK("https://android.googlesource.com/platform/cts/+/21ecd17d99fe87912a61dd6a0225d4f7f4a2e3fd", "21ecd17d99fe87912a61dd6a0225d4f7f4a2e3fd")</f>
        <v>0</v>
      </c>
      <c r="D48214" t="s">
        <v>5455</v>
      </c>
      <c r="E48214" t="s">
        <v>10141</v>
      </c>
      <c r="F48214" t="s">
        <v>13846</v>
      </c>
      <c r="G48214" t="s">
        <v>17889</v>
      </c>
      <c r="H48214" t="s">
        <v>37966</v>
      </c>
    </row>
    <row r="48215" spans="1:8">
      <c r="H48215" t="s">
        <v>37967</v>
      </c>
    </row>
    <row r="48216" spans="1:8">
      <c r="H48216" t="s">
        <v>20237</v>
      </c>
    </row>
    <row r="48217" spans="1:8">
      <c r="A48217" t="s">
        <v>4480</v>
      </c>
      <c r="B48217">
        <f>HYPERLINK("https://android.googlesource.com/platform/cts/+/7f9853ecefa3091065fcb3ea81e075c41eebb576", "7f9853ecefa3091065fcb3ea81e075c41eebb576")</f>
        <v>0</v>
      </c>
      <c r="C48217">
        <f>HYPERLINK("https://android.googlesource.com/platform/cts/+/82982babfa9e64661c61d2976007f45da4d703c8", "82982babfa9e64661c61d2976007f45da4d703c8")</f>
        <v>0</v>
      </c>
      <c r="D48217" t="s">
        <v>5701</v>
      </c>
      <c r="E48217" t="s">
        <v>10142</v>
      </c>
      <c r="F48217" t="s">
        <v>14732</v>
      </c>
      <c r="G48217" t="s">
        <v>18613</v>
      </c>
      <c r="H48217" t="s">
        <v>37795</v>
      </c>
    </row>
    <row r="48218" spans="1:8">
      <c r="H48218" t="s">
        <v>37796</v>
      </c>
    </row>
    <row r="48219" spans="1:8">
      <c r="H48219" t="s">
        <v>37797</v>
      </c>
    </row>
    <row r="48220" spans="1:8">
      <c r="H48220" t="s">
        <v>37798</v>
      </c>
    </row>
    <row r="48221" spans="1:8">
      <c r="H48221" t="s">
        <v>37799</v>
      </c>
    </row>
    <row r="48222" spans="1:8">
      <c r="H48222" t="s">
        <v>37800</v>
      </c>
    </row>
    <row r="48223" spans="1:8">
      <c r="A48223" t="s">
        <v>4481</v>
      </c>
      <c r="B48223">
        <f>HYPERLINK("https://android.googlesource.com/platform/cts/+/b08465af689daa0734b70c23a1411212f4ed161c", "b08465af689daa0734b70c23a1411212f4ed161c")</f>
        <v>0</v>
      </c>
      <c r="C48223">
        <f>HYPERLINK("https://android.googlesource.com/platform/cts/+/92a6dcbe81c496a5f16854f8ab2d949155fbddb4", "92a6dcbe81c496a5f16854f8ab2d949155fbddb4")</f>
        <v>0</v>
      </c>
      <c r="D48223" t="s">
        <v>5021</v>
      </c>
      <c r="E48223" t="s">
        <v>10143</v>
      </c>
      <c r="F48223" t="s">
        <v>13391</v>
      </c>
      <c r="G48223" t="s">
        <v>17517</v>
      </c>
      <c r="H48223" t="s">
        <v>37968</v>
      </c>
    </row>
    <row r="48224" spans="1:8">
      <c r="H48224" t="s">
        <v>37968</v>
      </c>
    </row>
    <row r="48225" spans="1:8">
      <c r="A48225" t="s">
        <v>4482</v>
      </c>
      <c r="B48225">
        <f>HYPERLINK("https://android.googlesource.com/platform/cts/+/c6cb3f261cad3323f15c0c8dc848f11630baf62e", "c6cb3f261cad3323f15c0c8dc848f11630baf62e")</f>
        <v>0</v>
      </c>
      <c r="C48225">
        <f>HYPERLINK("https://android.googlesource.com/platform/cts/+/9aaf739ea6e18e54c61c24e8d4cba24e645d3225", "9aaf739ea6e18e54c61c24e8d4cba24e645d3225")</f>
        <v>0</v>
      </c>
      <c r="D48225" t="s">
        <v>5409</v>
      </c>
      <c r="E48225" t="s">
        <v>10144</v>
      </c>
      <c r="F48225" t="s">
        <v>14623</v>
      </c>
      <c r="G48225" t="s">
        <v>18359</v>
      </c>
      <c r="H48225" t="s">
        <v>37969</v>
      </c>
    </row>
    <row r="48226" spans="1:8">
      <c r="H48226" t="s">
        <v>37970</v>
      </c>
    </row>
    <row r="48227" spans="1:8">
      <c r="H48227" t="s">
        <v>37971</v>
      </c>
    </row>
    <row r="48228" spans="1:8">
      <c r="H48228" t="s">
        <v>37972</v>
      </c>
    </row>
    <row r="48229" spans="1:8">
      <c r="H48229" t="s">
        <v>37973</v>
      </c>
    </row>
    <row r="48230" spans="1:8">
      <c r="H48230" t="s">
        <v>37974</v>
      </c>
    </row>
    <row r="48231" spans="1:8">
      <c r="H48231" t="s">
        <v>37975</v>
      </c>
    </row>
    <row r="48232" spans="1:8">
      <c r="H48232" t="s">
        <v>37976</v>
      </c>
    </row>
    <row r="48233" spans="1:8">
      <c r="H48233" t="s">
        <v>37977</v>
      </c>
    </row>
    <row r="48234" spans="1:8">
      <c r="H48234" t="s">
        <v>37978</v>
      </c>
    </row>
    <row r="48235" spans="1:8">
      <c r="H48235" t="s">
        <v>37979</v>
      </c>
    </row>
    <row r="48236" spans="1:8">
      <c r="H48236" t="s">
        <v>37980</v>
      </c>
    </row>
    <row r="48237" spans="1:8">
      <c r="H48237" t="s">
        <v>37981</v>
      </c>
    </row>
    <row r="48238" spans="1:8">
      <c r="H48238" t="s">
        <v>37982</v>
      </c>
    </row>
    <row r="48239" spans="1:8">
      <c r="H48239" t="s">
        <v>37983</v>
      </c>
    </row>
    <row r="48240" spans="1:8">
      <c r="A48240" t="s">
        <v>4483</v>
      </c>
      <c r="B48240">
        <f>HYPERLINK("https://android.googlesource.com/platform/cts/+/0a5a256bb8e909e4085a117087aed92a49ddc5fe", "0a5a256bb8e909e4085a117087aed92a49ddc5fe")</f>
        <v>0</v>
      </c>
      <c r="C48240">
        <f>HYPERLINK("https://android.googlesource.com/platform/cts/+/062eadd2d34d9f4beb2a6eeea52e775f36735ad4", "062eadd2d34d9f4beb2a6eeea52e775f36735ad4")</f>
        <v>0</v>
      </c>
      <c r="D48240" t="s">
        <v>5313</v>
      </c>
      <c r="E48240" t="s">
        <v>10145</v>
      </c>
      <c r="F48240" t="s">
        <v>14165</v>
      </c>
      <c r="G48240" t="s">
        <v>17361</v>
      </c>
      <c r="H48240" t="s">
        <v>37984</v>
      </c>
    </row>
    <row r="48241" spans="1:8">
      <c r="A48241" t="s">
        <v>4484</v>
      </c>
      <c r="B48241">
        <f>HYPERLINK("https://android.googlesource.com/platform/cts/+/206f75cb972d6c216d3b2e79e14a689825b480cd", "206f75cb972d6c216d3b2e79e14a689825b480cd")</f>
        <v>0</v>
      </c>
      <c r="C48241">
        <f>HYPERLINK("https://android.googlesource.com/platform/cts/+/76ff53644c5ab373490dd6c0382f1e9193bbd2a2", "76ff53644c5ab373490dd6c0382f1e9193bbd2a2")</f>
        <v>0</v>
      </c>
      <c r="D48241" t="s">
        <v>5688</v>
      </c>
      <c r="E48241" t="s">
        <v>10146</v>
      </c>
      <c r="F48241" t="s">
        <v>14536</v>
      </c>
      <c r="G48241" t="s">
        <v>18460</v>
      </c>
      <c r="H48241" t="s">
        <v>37985</v>
      </c>
    </row>
    <row r="48242" spans="1:8">
      <c r="H48242" t="s">
        <v>37986</v>
      </c>
    </row>
    <row r="48243" spans="1:8">
      <c r="A48243" t="s">
        <v>4485</v>
      </c>
      <c r="B48243">
        <f>HYPERLINK("https://android.googlesource.com/platform/cts/+/2d66ee7ddded8d2e10e0bb7def23a4e0d8e38d9f", "2d66ee7ddded8d2e10e0bb7def23a4e0d8e38d9f")</f>
        <v>0</v>
      </c>
      <c r="C48243">
        <f>HYPERLINK("https://android.googlesource.com/platform/cts/+/ce8dc554d23406d2376e42436c80af1109e7d3b1", "ce8dc554d23406d2376e42436c80af1109e7d3b1")</f>
        <v>0</v>
      </c>
      <c r="D48243" t="s">
        <v>5038</v>
      </c>
      <c r="E48243" t="s">
        <v>10147</v>
      </c>
      <c r="F48243" t="s">
        <v>14718</v>
      </c>
      <c r="G48243" t="s">
        <v>17454</v>
      </c>
      <c r="H48243" t="s">
        <v>37729</v>
      </c>
    </row>
    <row r="48244" spans="1:8">
      <c r="A48244" t="s">
        <v>4486</v>
      </c>
      <c r="B48244">
        <f>HYPERLINK("https://android.googlesource.com/platform/cts/+/c87636e91d3e470286bb6f16b0ffa0a0bca37395", "c87636e91d3e470286bb6f16b0ffa0a0bca37395")</f>
        <v>0</v>
      </c>
      <c r="C48244">
        <f>HYPERLINK("https://android.googlesource.com/platform/cts/+/2d66ee7ddded8d2e10e0bb7def23a4e0d8e38d9f", "2d66ee7ddded8d2e10e0bb7def23a4e0d8e38d9f")</f>
        <v>0</v>
      </c>
      <c r="D48244" t="s">
        <v>5038</v>
      </c>
      <c r="E48244" t="s">
        <v>10148</v>
      </c>
      <c r="F48244" t="s">
        <v>14718</v>
      </c>
      <c r="G48244" t="s">
        <v>17454</v>
      </c>
      <c r="H48244" t="s">
        <v>37730</v>
      </c>
    </row>
    <row r="48245" spans="1:8">
      <c r="A48245" t="s">
        <v>4487</v>
      </c>
      <c r="B48245">
        <f>HYPERLINK("https://android.googlesource.com/platform/cts/+/0b9033f484f273bbf8aa05a87c33c133ce629933", "0b9033f484f273bbf8aa05a87c33c133ce629933")</f>
        <v>0</v>
      </c>
      <c r="C48245">
        <f>HYPERLINK("https://android.googlesource.com/platform/cts/+/c87636e91d3e470286bb6f16b0ffa0a0bca37395", "c87636e91d3e470286bb6f16b0ffa0a0bca37395")</f>
        <v>0</v>
      </c>
      <c r="D48245" t="s">
        <v>5038</v>
      </c>
      <c r="E48245" t="s">
        <v>10149</v>
      </c>
      <c r="F48245" t="s">
        <v>14718</v>
      </c>
      <c r="G48245" t="s">
        <v>17454</v>
      </c>
      <c r="H48245" t="s">
        <v>37731</v>
      </c>
    </row>
    <row r="48246" spans="1:8">
      <c r="A48246" t="s">
        <v>4488</v>
      </c>
      <c r="B48246">
        <f>HYPERLINK("https://android.googlesource.com/platform/cts/+/2171288b8d7b25704650e6d728703ae2c3702f28", "2171288b8d7b25704650e6d728703ae2c3702f28")</f>
        <v>0</v>
      </c>
      <c r="C48246">
        <f>HYPERLINK("https://android.googlesource.com/platform/cts/+/0b9033f484f273bbf8aa05a87c33c133ce629933", "0b9033f484f273bbf8aa05a87c33c133ce629933")</f>
        <v>0</v>
      </c>
      <c r="D48246" t="s">
        <v>5038</v>
      </c>
      <c r="E48246" t="s">
        <v>10150</v>
      </c>
      <c r="F48246" t="s">
        <v>14718</v>
      </c>
      <c r="G48246" t="s">
        <v>17454</v>
      </c>
      <c r="H48246" t="s">
        <v>37727</v>
      </c>
    </row>
    <row r="48247" spans="1:8">
      <c r="A48247" t="s">
        <v>4489</v>
      </c>
      <c r="B48247">
        <f>HYPERLINK("https://android.googlesource.com/platform/cts/+/a73075c0224835ff742fbc3ee7faceb2590ba7b2", "a73075c0224835ff742fbc3ee7faceb2590ba7b2")</f>
        <v>0</v>
      </c>
      <c r="C48247">
        <f>HYPERLINK("https://android.googlesource.com/platform/cts/+/831fc9f5c2b47b2a011e64791035f7099ddd2609", "831fc9f5c2b47b2a011e64791035f7099ddd2609")</f>
        <v>0</v>
      </c>
      <c r="D48247" t="s">
        <v>5038</v>
      </c>
      <c r="E48247" t="s">
        <v>10151</v>
      </c>
      <c r="F48247" t="s">
        <v>14718</v>
      </c>
      <c r="G48247" t="s">
        <v>17454</v>
      </c>
      <c r="H48247" t="s">
        <v>37757</v>
      </c>
    </row>
    <row r="48248" spans="1:8">
      <c r="A48248" t="s">
        <v>4490</v>
      </c>
      <c r="B48248">
        <f>HYPERLINK("https://android.googlesource.com/platform/cts/+/e4abf8d1b322d8c12b85a09b6786faac1c62cc0a", "e4abf8d1b322d8c12b85a09b6786faac1c62cc0a")</f>
        <v>0</v>
      </c>
      <c r="C48248">
        <f>HYPERLINK("https://android.googlesource.com/platform/cts/+/a73075c0224835ff742fbc3ee7faceb2590ba7b2", "a73075c0224835ff742fbc3ee7faceb2590ba7b2")</f>
        <v>0</v>
      </c>
      <c r="D48248" t="s">
        <v>5038</v>
      </c>
      <c r="E48248" t="s">
        <v>10152</v>
      </c>
      <c r="F48248" t="s">
        <v>14718</v>
      </c>
      <c r="G48248" t="s">
        <v>17454</v>
      </c>
      <c r="H48248" t="s">
        <v>37758</v>
      </c>
    </row>
    <row r="48249" spans="1:8">
      <c r="A48249" t="s">
        <v>4491</v>
      </c>
      <c r="B48249">
        <f>HYPERLINK("https://android.googlesource.com/platform/cts/+/d181132f6d33cad811464adef9070f5a2dfdbeb8", "d181132f6d33cad811464adef9070f5a2dfdbeb8")</f>
        <v>0</v>
      </c>
      <c r="C48249">
        <f>HYPERLINK("https://android.googlesource.com/platform/cts/+/7e192b98bc5795dc3ff05d7c0d9b70439873d224", "7e192b98bc5795dc3ff05d7c0d9b70439873d224")</f>
        <v>0</v>
      </c>
      <c r="D48249" t="s">
        <v>5244</v>
      </c>
      <c r="E48249" t="s">
        <v>10153</v>
      </c>
      <c r="F48249" t="s">
        <v>14747</v>
      </c>
      <c r="G48249" t="s">
        <v>18623</v>
      </c>
      <c r="H48249" t="s">
        <v>37987</v>
      </c>
    </row>
    <row r="48250" spans="1:8">
      <c r="A48250" t="s">
        <v>4492</v>
      </c>
      <c r="B48250">
        <f>HYPERLINK("https://android.googlesource.com/platform/cts/+/74b75168e112c73075076b902d2c2698f84719cf", "74b75168e112c73075076b902d2c2698f84719cf")</f>
        <v>0</v>
      </c>
      <c r="C48250">
        <f>HYPERLINK("https://android.googlesource.com/platform/cts/+/acefb3039399fdbda83c8bad3e0d239e30c66163", "acefb3039399fdbda83c8bad3e0d239e30c66163")</f>
        <v>0</v>
      </c>
      <c r="D48250" t="s">
        <v>5478</v>
      </c>
      <c r="E48250" t="s">
        <v>10154</v>
      </c>
      <c r="F48250" t="s">
        <v>14633</v>
      </c>
      <c r="G48250" t="s">
        <v>18543</v>
      </c>
      <c r="H48250" t="s">
        <v>37988</v>
      </c>
    </row>
    <row r="48251" spans="1:8">
      <c r="A48251" t="s">
        <v>4493</v>
      </c>
      <c r="B48251">
        <f>HYPERLINK("https://android.googlesource.com/platform/cts/+/449bf6037520ba672048764322f88ab607139348", "449bf6037520ba672048764322f88ab607139348")</f>
        <v>0</v>
      </c>
      <c r="C48251">
        <f>HYPERLINK("https://android.googlesource.com/platform/cts/+/7706876a3c8768b2ca2b0397bc97b4e93136f8e7", "7706876a3c8768b2ca2b0397bc97b4e93136f8e7")</f>
        <v>0</v>
      </c>
      <c r="D48251" t="s">
        <v>5667</v>
      </c>
      <c r="E48251" t="s">
        <v>10155</v>
      </c>
      <c r="F48251" t="s">
        <v>14539</v>
      </c>
      <c r="G48251" t="s">
        <v>18463</v>
      </c>
      <c r="H48251" t="s">
        <v>37989</v>
      </c>
    </row>
    <row r="48252" spans="1:8">
      <c r="H48252" t="s">
        <v>37990</v>
      </c>
    </row>
    <row r="48253" spans="1:8">
      <c r="F48253" t="s">
        <v>14540</v>
      </c>
      <c r="G48253" t="s">
        <v>18464</v>
      </c>
      <c r="H48253" t="s">
        <v>37991</v>
      </c>
    </row>
    <row r="48254" spans="1:8">
      <c r="H48254" t="s">
        <v>37992</v>
      </c>
    </row>
    <row r="48255" spans="1:8">
      <c r="F48255" t="s">
        <v>12743</v>
      </c>
      <c r="G48255" t="s">
        <v>16935</v>
      </c>
      <c r="H48255" t="s">
        <v>37991</v>
      </c>
    </row>
    <row r="48256" spans="1:8">
      <c r="H48256" t="s">
        <v>37992</v>
      </c>
    </row>
    <row r="48257" spans="1:8">
      <c r="H48257" t="s">
        <v>37989</v>
      </c>
    </row>
    <row r="48258" spans="1:8">
      <c r="H48258" t="s">
        <v>37990</v>
      </c>
    </row>
    <row r="48259" spans="1:8">
      <c r="A48259" t="s">
        <v>4494</v>
      </c>
      <c r="B48259">
        <f>HYPERLINK("https://android.googlesource.com/platform/cts/+/ea1e08eb05911dd8df6f0e4b528f870b5a9667ac", "ea1e08eb05911dd8df6f0e4b528f870b5a9667ac")</f>
        <v>0</v>
      </c>
      <c r="C48259">
        <f>HYPERLINK("https://android.googlesource.com/platform/cts/+/d0aec43d3ce58615a4b5320d2fbdfc83c9470d1f", "d0aec43d3ce58615a4b5320d2fbdfc83c9470d1f")</f>
        <v>0</v>
      </c>
      <c r="D48259" t="s">
        <v>5443</v>
      </c>
      <c r="E48259" t="s">
        <v>10156</v>
      </c>
      <c r="F48259" t="s">
        <v>12710</v>
      </c>
      <c r="G48259" t="s">
        <v>16911</v>
      </c>
      <c r="H48259" t="s">
        <v>19981</v>
      </c>
    </row>
    <row r="48260" spans="1:8">
      <c r="H48260" t="s">
        <v>30899</v>
      </c>
    </row>
    <row r="48261" spans="1:8">
      <c r="A48261" t="s">
        <v>4495</v>
      </c>
      <c r="B48261">
        <f>HYPERLINK("https://android.googlesource.com/platform/cts/+/fd44c83195d5d2591540651f8b5dfb1c6173def3", "fd44c83195d5d2591540651f8b5dfb1c6173def3")</f>
        <v>0</v>
      </c>
      <c r="C48261">
        <f>HYPERLINK("https://android.googlesource.com/platform/cts/+/682210fa4f3fc16a6c651a303002c44d806f511d", "682210fa4f3fc16a6c651a303002c44d806f511d")</f>
        <v>0</v>
      </c>
      <c r="D48261" t="s">
        <v>5564</v>
      </c>
      <c r="E48261" t="s">
        <v>10157</v>
      </c>
      <c r="F48261" t="s">
        <v>14737</v>
      </c>
      <c r="G48261" t="s">
        <v>16621</v>
      </c>
      <c r="H48261" t="s">
        <v>37993</v>
      </c>
    </row>
    <row r="48262" spans="1:8">
      <c r="H48262" t="s">
        <v>37994</v>
      </c>
    </row>
    <row r="48263" spans="1:8">
      <c r="H48263" t="s">
        <v>37995</v>
      </c>
    </row>
    <row r="48264" spans="1:8">
      <c r="A48264" t="s">
        <v>4496</v>
      </c>
      <c r="B48264">
        <f>HYPERLINK("https://android.googlesource.com/platform/cts/+/b3e4adc32a54d63eae5374be79ff6f673ed10c7d", "b3e4adc32a54d63eae5374be79ff6f673ed10c7d")</f>
        <v>0</v>
      </c>
      <c r="C48264">
        <f>HYPERLINK("https://android.googlesource.com/platform/cts/+/7ce573ed668c0c5d2f7f2180c09c844a26634ca9", "7ce573ed668c0c5d2f7f2180c09c844a26634ca9")</f>
        <v>0</v>
      </c>
      <c r="D48264" t="s">
        <v>5443</v>
      </c>
      <c r="E48264" t="s">
        <v>10158</v>
      </c>
      <c r="F48264" t="s">
        <v>12710</v>
      </c>
      <c r="G48264" t="s">
        <v>16911</v>
      </c>
      <c r="H48264" t="s">
        <v>19981</v>
      </c>
    </row>
    <row r="48265" spans="1:8">
      <c r="H48265" t="s">
        <v>30899</v>
      </c>
    </row>
    <row r="48266" spans="1:8">
      <c r="A48266" t="s">
        <v>4497</v>
      </c>
      <c r="B48266">
        <f>HYPERLINK("https://android.googlesource.com/platform/cts/+/3588aa80da491ff2ab097421e43f9802e97b139e", "3588aa80da491ff2ab097421e43f9802e97b139e")</f>
        <v>0</v>
      </c>
      <c r="C48266">
        <f>HYPERLINK("https://android.googlesource.com/platform/cts/+/30f754c624014836f63937f4753400847fdecc27", "30f754c624014836f63937f4753400847fdecc27")</f>
        <v>0</v>
      </c>
      <c r="D48266" t="s">
        <v>5477</v>
      </c>
      <c r="E48266" t="s">
        <v>10159</v>
      </c>
      <c r="F48266" t="s">
        <v>14748</v>
      </c>
      <c r="G48266" t="s">
        <v>18624</v>
      </c>
      <c r="H48266" t="s">
        <v>37996</v>
      </c>
    </row>
    <row r="48267" spans="1:8">
      <c r="H48267" t="s">
        <v>37997</v>
      </c>
    </row>
    <row r="48268" spans="1:8">
      <c r="H48268" t="s">
        <v>37998</v>
      </c>
    </row>
    <row r="48269" spans="1:8">
      <c r="H48269" t="s">
        <v>37999</v>
      </c>
    </row>
    <row r="48270" spans="1:8">
      <c r="A48270" t="s">
        <v>4498</v>
      </c>
      <c r="B48270">
        <f>HYPERLINK("https://android.googlesource.com/platform/cts/+/7ed13c7a408f402b90688ec455fac12139107775", "7ed13c7a408f402b90688ec455fac12139107775")</f>
        <v>0</v>
      </c>
      <c r="C48270">
        <f>HYPERLINK("https://android.googlesource.com/platform/cts/+/4c28a2b6672cafdfcbe0e934f61e41346a3f2c31", "4c28a2b6672cafdfcbe0e934f61e41346a3f2c31")</f>
        <v>0</v>
      </c>
      <c r="D48270" t="s">
        <v>5221</v>
      </c>
      <c r="E48270" t="s">
        <v>10160</v>
      </c>
      <c r="F48270" t="s">
        <v>14417</v>
      </c>
      <c r="G48270" t="s">
        <v>18355</v>
      </c>
      <c r="H48270" t="s">
        <v>38000</v>
      </c>
    </row>
    <row r="48271" spans="1:8">
      <c r="H48271" t="s">
        <v>38001</v>
      </c>
    </row>
    <row r="48272" spans="1:8">
      <c r="A48272" t="s">
        <v>4499</v>
      </c>
      <c r="B48272">
        <f>HYPERLINK("https://android.googlesource.com/platform/cts/+/5fe2fcc83c88f57dc47637036aac7ea9736f1626", "5fe2fcc83c88f57dc47637036aac7ea9736f1626")</f>
        <v>0</v>
      </c>
      <c r="C48272">
        <f>HYPERLINK("https://android.googlesource.com/platform/cts/+/18e736ac295613157a434975af0a5340d9e50a79", "18e736ac295613157a434975af0a5340d9e50a79")</f>
        <v>0</v>
      </c>
      <c r="D48272" t="s">
        <v>5605</v>
      </c>
      <c r="E48272" t="s">
        <v>10161</v>
      </c>
      <c r="F48272" t="s">
        <v>14303</v>
      </c>
      <c r="G48272" t="s">
        <v>17388</v>
      </c>
      <c r="H48272" t="s">
        <v>19019</v>
      </c>
    </row>
    <row r="48273" spans="1:8">
      <c r="H48273" t="s">
        <v>22505</v>
      </c>
    </row>
    <row r="48274" spans="1:8">
      <c r="A48274" t="s">
        <v>4500</v>
      </c>
      <c r="B48274">
        <f>HYPERLINK("https://android.googlesource.com/platform/cts/+/5f007964ab6c31e8efe235b8fa07a9879dfab22d", "5f007964ab6c31e8efe235b8fa07a9879dfab22d")</f>
        <v>0</v>
      </c>
      <c r="C48274">
        <f>HYPERLINK("https://android.googlesource.com/platform/cts/+/f40938b2bc37c42b601f6a974ad1060a72e50680", "f40938b2bc37c42b601f6a974ad1060a72e50680")</f>
        <v>0</v>
      </c>
      <c r="D48274" t="s">
        <v>5523</v>
      </c>
      <c r="E48274" t="s">
        <v>10162</v>
      </c>
      <c r="F48274" t="s">
        <v>12369</v>
      </c>
      <c r="G48274" t="s">
        <v>16596</v>
      </c>
      <c r="H48274" t="s">
        <v>38002</v>
      </c>
    </row>
    <row r="48275" spans="1:8">
      <c r="A48275" t="s">
        <v>4501</v>
      </c>
      <c r="B48275">
        <f>HYPERLINK("https://android.googlesource.com/platform/cts/+/4f171e0eb83b473a1a33e57f3dab2f16f67b57a0", "4f171e0eb83b473a1a33e57f3dab2f16f67b57a0")</f>
        <v>0</v>
      </c>
      <c r="C48275">
        <f>HYPERLINK("https://android.googlesource.com/platform/cts/+/1c7e56da269880e3a39c3566bcaf89d7e479c2eb", "1c7e56da269880e3a39c3566bcaf89d7e479c2eb")</f>
        <v>0</v>
      </c>
      <c r="D48275" t="s">
        <v>5708</v>
      </c>
      <c r="E48275" t="s">
        <v>10163</v>
      </c>
      <c r="F48275" t="s">
        <v>13887</v>
      </c>
      <c r="G48275" t="s">
        <v>17319</v>
      </c>
      <c r="H48275" t="s">
        <v>37907</v>
      </c>
    </row>
    <row r="48276" spans="1:8">
      <c r="H48276" t="s">
        <v>37908</v>
      </c>
    </row>
    <row r="48277" spans="1:8">
      <c r="H48277" t="s">
        <v>37909</v>
      </c>
    </row>
    <row r="48278" spans="1:8">
      <c r="A48278" t="s">
        <v>4502</v>
      </c>
      <c r="B48278">
        <f>HYPERLINK("https://android.googlesource.com/platform/cts/+/780465c10641027cc5c7f216a7f733174696a6ae", "780465c10641027cc5c7f216a7f733174696a6ae")</f>
        <v>0</v>
      </c>
      <c r="C48278">
        <f>HYPERLINK("https://android.googlesource.com/platform/cts/+/f0103aea9b747f6fa2037307d2e33fa77501182d", "f0103aea9b747f6fa2037307d2e33fa77501182d")</f>
        <v>0</v>
      </c>
      <c r="D48278" t="s">
        <v>5710</v>
      </c>
      <c r="E48278" t="s">
        <v>10164</v>
      </c>
      <c r="F48278" t="s">
        <v>14749</v>
      </c>
      <c r="G48278" t="s">
        <v>18625</v>
      </c>
      <c r="H48278" t="s">
        <v>19981</v>
      </c>
    </row>
    <row r="48279" spans="1:8">
      <c r="H48279" t="s">
        <v>18863</v>
      </c>
    </row>
    <row r="48280" spans="1:8">
      <c r="H48280" t="s">
        <v>32956</v>
      </c>
    </row>
    <row r="48281" spans="1:8">
      <c r="H48281" t="s">
        <v>38003</v>
      </c>
    </row>
    <row r="48282" spans="1:8">
      <c r="H48282" t="s">
        <v>38004</v>
      </c>
    </row>
    <row r="48283" spans="1:8">
      <c r="H48283" t="s">
        <v>38005</v>
      </c>
    </row>
    <row r="48284" spans="1:8">
      <c r="H48284" t="s">
        <v>25568</v>
      </c>
    </row>
    <row r="48285" spans="1:8">
      <c r="H48285" t="s">
        <v>30948</v>
      </c>
    </row>
    <row r="48286" spans="1:8">
      <c r="H48286" t="s">
        <v>38006</v>
      </c>
    </row>
    <row r="48287" spans="1:8">
      <c r="H48287" t="s">
        <v>20340</v>
      </c>
    </row>
    <row r="48288" spans="1:8">
      <c r="H48288" t="s">
        <v>38007</v>
      </c>
    </row>
    <row r="48289" spans="1:8">
      <c r="A48289" t="s">
        <v>4503</v>
      </c>
      <c r="B48289">
        <f>HYPERLINK("https://android.googlesource.com/platform/cts/+/a7c355bc059a44a659ce286169c8a69527bbe743", "a7c355bc059a44a659ce286169c8a69527bbe743")</f>
        <v>0</v>
      </c>
      <c r="C48289">
        <f>HYPERLINK("https://android.googlesource.com/platform/cts/+/8b7a46434b7b9db766dd20b76ab4ff6581ad92ac", "8b7a46434b7b9db766dd20b76ab4ff6581ad92ac")</f>
        <v>0</v>
      </c>
      <c r="D48289" t="s">
        <v>5711</v>
      </c>
      <c r="E48289" t="s">
        <v>10165</v>
      </c>
      <c r="F48289" t="s">
        <v>14750</v>
      </c>
      <c r="G48289" t="s">
        <v>18626</v>
      </c>
      <c r="H48289" t="s">
        <v>38008</v>
      </c>
    </row>
    <row r="48290" spans="1:8">
      <c r="A48290" t="s">
        <v>4504</v>
      </c>
      <c r="B48290">
        <f>HYPERLINK("https://android.googlesource.com/platform/cts/+/bb5a368b603bed8c9485a8fad616635364c47d61", "bb5a368b603bed8c9485a8fad616635364c47d61")</f>
        <v>0</v>
      </c>
      <c r="C48290">
        <f>HYPERLINK("https://android.googlesource.com/platform/cts/+/ca6344ead38423a6348f0240ce98982621d2f11d", "ca6344ead38423a6348f0240ce98982621d2f11d")</f>
        <v>0</v>
      </c>
      <c r="D48290" t="s">
        <v>5666</v>
      </c>
      <c r="E48290" t="s">
        <v>10166</v>
      </c>
      <c r="F48290" t="s">
        <v>14635</v>
      </c>
      <c r="G48290" t="s">
        <v>18545</v>
      </c>
      <c r="H48290" t="s">
        <v>38009</v>
      </c>
    </row>
    <row r="48291" spans="1:8">
      <c r="H48291" t="s">
        <v>38010</v>
      </c>
    </row>
    <row r="48292" spans="1:8">
      <c r="A48292" t="s">
        <v>4505</v>
      </c>
      <c r="B48292">
        <f>HYPERLINK("https://android.googlesource.com/platform/cts/+/fc1374c481b6a8b4d32f16fadd60e56902b27714", "fc1374c481b6a8b4d32f16fadd60e56902b27714")</f>
        <v>0</v>
      </c>
      <c r="C48292">
        <f>HYPERLINK("https://android.googlesource.com/platform/cts/+/5f970b91e3982c640ce88c4a931b8d0bcf623383", "5f970b91e3982c640ce88c4a931b8d0bcf623383")</f>
        <v>0</v>
      </c>
      <c r="D48292" t="s">
        <v>5605</v>
      </c>
      <c r="E48292" t="s">
        <v>10167</v>
      </c>
      <c r="F48292" t="s">
        <v>14303</v>
      </c>
      <c r="G48292" t="s">
        <v>17388</v>
      </c>
      <c r="H48292" t="s">
        <v>38011</v>
      </c>
    </row>
    <row r="48293" spans="1:8">
      <c r="A48293" t="s">
        <v>4506</v>
      </c>
      <c r="B48293">
        <f>HYPERLINK("https://android.googlesource.com/platform/cts/+/2683d003443de436a50a86bdc3f6ab2049f31ef2", "2683d003443de436a50a86bdc3f6ab2049f31ef2")</f>
        <v>0</v>
      </c>
      <c r="C48293">
        <f>HYPERLINK("https://android.googlesource.com/platform/cts/+/f3a999b728f083276ae951a82b61a907092e2b81", "f3a999b728f083276ae951a82b61a907092e2b81")</f>
        <v>0</v>
      </c>
      <c r="D48293" t="s">
        <v>5065</v>
      </c>
      <c r="E48293" t="s">
        <v>10168</v>
      </c>
      <c r="F48293" t="s">
        <v>12626</v>
      </c>
      <c r="G48293" t="s">
        <v>16836</v>
      </c>
      <c r="H48293" t="s">
        <v>38012</v>
      </c>
    </row>
    <row r="48294" spans="1:8">
      <c r="H48294" t="s">
        <v>38013</v>
      </c>
    </row>
    <row r="48295" spans="1:8">
      <c r="H48295" t="s">
        <v>38014</v>
      </c>
    </row>
    <row r="48296" spans="1:8">
      <c r="H48296" t="s">
        <v>38015</v>
      </c>
    </row>
    <row r="48297" spans="1:8">
      <c r="H48297" t="s">
        <v>38016</v>
      </c>
    </row>
    <row r="48298" spans="1:8">
      <c r="H48298" t="s">
        <v>38016</v>
      </c>
    </row>
    <row r="48299" spans="1:8">
      <c r="H48299" t="s">
        <v>38017</v>
      </c>
    </row>
    <row r="48300" spans="1:8">
      <c r="H48300" t="s">
        <v>18829</v>
      </c>
    </row>
    <row r="48301" spans="1:8">
      <c r="H48301" t="s">
        <v>18863</v>
      </c>
    </row>
    <row r="48302" spans="1:8">
      <c r="H48302" t="s">
        <v>30861</v>
      </c>
    </row>
    <row r="48303" spans="1:8">
      <c r="H48303" t="s">
        <v>38018</v>
      </c>
    </row>
    <row r="48304" spans="1:8">
      <c r="H48304" t="s">
        <v>38019</v>
      </c>
    </row>
    <row r="48305" spans="8:8">
      <c r="H48305" t="s">
        <v>38020</v>
      </c>
    </row>
    <row r="48306" spans="8:8">
      <c r="H48306" t="s">
        <v>38021</v>
      </c>
    </row>
    <row r="48307" spans="8:8">
      <c r="H48307" t="s">
        <v>31669</v>
      </c>
    </row>
    <row r="48308" spans="8:8">
      <c r="H48308" t="s">
        <v>38022</v>
      </c>
    </row>
    <row r="48309" spans="8:8">
      <c r="H48309" t="s">
        <v>38023</v>
      </c>
    </row>
    <row r="48310" spans="8:8">
      <c r="H48310" t="s">
        <v>38024</v>
      </c>
    </row>
    <row r="48311" spans="8:8">
      <c r="H48311" t="s">
        <v>38025</v>
      </c>
    </row>
    <row r="48312" spans="8:8">
      <c r="H48312" t="s">
        <v>38026</v>
      </c>
    </row>
    <row r="48313" spans="8:8">
      <c r="H48313" t="s">
        <v>38027</v>
      </c>
    </row>
    <row r="48314" spans="8:8">
      <c r="H48314" t="s">
        <v>38028</v>
      </c>
    </row>
    <row r="48315" spans="8:8">
      <c r="H48315" t="s">
        <v>38029</v>
      </c>
    </row>
    <row r="48316" spans="8:8">
      <c r="H48316" t="s">
        <v>38030</v>
      </c>
    </row>
    <row r="48317" spans="8:8">
      <c r="H48317" t="s">
        <v>18930</v>
      </c>
    </row>
    <row r="48318" spans="8:8">
      <c r="H48318" t="s">
        <v>38031</v>
      </c>
    </row>
    <row r="48319" spans="8:8">
      <c r="H48319" t="s">
        <v>38032</v>
      </c>
    </row>
    <row r="48320" spans="8:8">
      <c r="H48320" t="s">
        <v>38033</v>
      </c>
    </row>
    <row r="48321" spans="1:8">
      <c r="H48321" t="s">
        <v>38034</v>
      </c>
    </row>
    <row r="48322" spans="1:8">
      <c r="H48322" t="s">
        <v>26401</v>
      </c>
    </row>
    <row r="48323" spans="1:8">
      <c r="H48323" t="s">
        <v>38035</v>
      </c>
    </row>
    <row r="48324" spans="1:8">
      <c r="H48324" t="s">
        <v>38036</v>
      </c>
    </row>
    <row r="48325" spans="1:8">
      <c r="H48325" t="s">
        <v>38037</v>
      </c>
    </row>
    <row r="48326" spans="1:8">
      <c r="H48326" t="s">
        <v>38037</v>
      </c>
    </row>
    <row r="48327" spans="1:8">
      <c r="H48327" t="s">
        <v>38038</v>
      </c>
    </row>
    <row r="48328" spans="1:8">
      <c r="H48328" t="s">
        <v>38039</v>
      </c>
    </row>
    <row r="48329" spans="1:8">
      <c r="A48329" t="s">
        <v>4507</v>
      </c>
      <c r="B48329">
        <f>HYPERLINK("https://android.googlesource.com/platform/cts/+/e1f077fb34dff46593bbe33d348d6d89481a87a8", "e1f077fb34dff46593bbe33d348d6d89481a87a8")</f>
        <v>0</v>
      </c>
      <c r="C48329">
        <f>HYPERLINK("https://android.googlesource.com/platform/cts/+/316503edb7aad4fff9a1214c10d7e45790555b83", "316503edb7aad4fff9a1214c10d7e45790555b83")</f>
        <v>0</v>
      </c>
      <c r="D48329" t="s">
        <v>5626</v>
      </c>
      <c r="E48329" t="s">
        <v>10169</v>
      </c>
      <c r="F48329" t="s">
        <v>14566</v>
      </c>
      <c r="G48329" t="s">
        <v>18487</v>
      </c>
      <c r="H48329" t="s">
        <v>38040</v>
      </c>
    </row>
    <row r="48330" spans="1:8">
      <c r="F48330" t="s">
        <v>14751</v>
      </c>
      <c r="G48330" t="s">
        <v>18627</v>
      </c>
      <c r="H48330" t="s">
        <v>38041</v>
      </c>
    </row>
    <row r="48331" spans="1:8">
      <c r="A48331" t="s">
        <v>4508</v>
      </c>
      <c r="B48331">
        <f>HYPERLINK("https://android.googlesource.com/platform/cts/+/f8c1a7f1445b1213b3331e1499cd5064c72df349", "f8c1a7f1445b1213b3331e1499cd5064c72df349")</f>
        <v>0</v>
      </c>
      <c r="C48331">
        <f>HYPERLINK("https://android.googlesource.com/platform/cts/+/a624659b79f1b6e1e5bf5cb9a33a54739adfd577", "a624659b79f1b6e1e5bf5cb9a33a54739adfd577")</f>
        <v>0</v>
      </c>
      <c r="D48331" t="s">
        <v>5672</v>
      </c>
      <c r="E48331" t="s">
        <v>10170</v>
      </c>
      <c r="F48331" t="s">
        <v>14296</v>
      </c>
      <c r="G48331" t="s">
        <v>18022</v>
      </c>
      <c r="H48331" t="s">
        <v>38042</v>
      </c>
    </row>
    <row r="48332" spans="1:8">
      <c r="H48332" t="s">
        <v>38043</v>
      </c>
    </row>
    <row r="48333" spans="1:8">
      <c r="A48333" t="s">
        <v>4509</v>
      </c>
      <c r="B48333">
        <f>HYPERLINK("https://android.googlesource.com/platform/cts/+/54237ccae2b0d4f268c69061b053a909ca2665d6", "54237ccae2b0d4f268c69061b053a909ca2665d6")</f>
        <v>0</v>
      </c>
      <c r="C48333">
        <f>HYPERLINK("https://android.googlesource.com/platform/cts/+/a624659b79f1b6e1e5bf5cb9a33a54739adfd577", "a624659b79f1b6e1e5bf5cb9a33a54739adfd577")</f>
        <v>0</v>
      </c>
      <c r="D48333" t="s">
        <v>5712</v>
      </c>
      <c r="E48333" t="s">
        <v>10171</v>
      </c>
      <c r="F48333" t="s">
        <v>14752</v>
      </c>
      <c r="G48333" t="s">
        <v>18628</v>
      </c>
      <c r="H48333" t="s">
        <v>38044</v>
      </c>
    </row>
    <row r="48334" spans="1:8">
      <c r="A48334" t="s">
        <v>4510</v>
      </c>
      <c r="B48334">
        <f>HYPERLINK("https://android.googlesource.com/platform/cts/+/cf386e92dde2422b966f7558c484d3eccb83ff29", "cf386e92dde2422b966f7558c484d3eccb83ff29")</f>
        <v>0</v>
      </c>
      <c r="C48334">
        <f>HYPERLINK("https://android.googlesource.com/platform/cts/+/c7d1e0f6a3842529f08d969ca4f14adfdef97657", "c7d1e0f6a3842529f08d969ca4f14adfdef97657")</f>
        <v>0</v>
      </c>
      <c r="D48334" t="s">
        <v>5713</v>
      </c>
      <c r="E48334" t="s">
        <v>10172</v>
      </c>
      <c r="F48334" t="s">
        <v>14745</v>
      </c>
      <c r="G48334" t="s">
        <v>18621</v>
      </c>
      <c r="H48334" t="s">
        <v>38045</v>
      </c>
    </row>
    <row r="48335" spans="1:8">
      <c r="H48335" t="s">
        <v>38046</v>
      </c>
    </row>
    <row r="48336" spans="1:8">
      <c r="A48336" t="s">
        <v>4511</v>
      </c>
      <c r="B48336">
        <f>HYPERLINK("https://android.googlesource.com/platform/cts/+/90b48f79dafb34362d0246d4d12f35809edf9fa9", "90b48f79dafb34362d0246d4d12f35809edf9fa9")</f>
        <v>0</v>
      </c>
      <c r="C48336">
        <f>HYPERLINK("https://android.googlesource.com/platform/cts/+/be3222476c2e57009310d16f0b43ef8177cb2f47", "be3222476c2e57009310d16f0b43ef8177cb2f47")</f>
        <v>0</v>
      </c>
      <c r="D48336" t="s">
        <v>5584</v>
      </c>
      <c r="E48336" t="s">
        <v>10173</v>
      </c>
      <c r="F48336" t="s">
        <v>14753</v>
      </c>
      <c r="G48336" t="s">
        <v>18629</v>
      </c>
      <c r="H48336" t="s">
        <v>38047</v>
      </c>
    </row>
    <row r="48337" spans="1:8">
      <c r="H48337" t="s">
        <v>38048</v>
      </c>
    </row>
    <row r="48338" spans="1:8">
      <c r="A48338" t="s">
        <v>4512</v>
      </c>
      <c r="B48338">
        <f>HYPERLINK("https://android.googlesource.com/platform/cts/+/1a952ef8154e021527efd6dbeba142afeddc4163", "1a952ef8154e021527efd6dbeba142afeddc4163")</f>
        <v>0</v>
      </c>
      <c r="C48338">
        <f>HYPERLINK("https://android.googlesource.com/platform/cts/+/50572c908bb498661d86874639f7660c69f127f3", "50572c908bb498661d86874639f7660c69f127f3")</f>
        <v>0</v>
      </c>
      <c r="D48338" t="s">
        <v>5409</v>
      </c>
      <c r="E48338" t="s">
        <v>10174</v>
      </c>
      <c r="F48338" t="s">
        <v>14754</v>
      </c>
      <c r="G48338" t="s">
        <v>18630</v>
      </c>
      <c r="H48338" t="s">
        <v>38049</v>
      </c>
    </row>
    <row r="48339" spans="1:8">
      <c r="H48339" t="s">
        <v>38050</v>
      </c>
    </row>
    <row r="48340" spans="1:8">
      <c r="H48340" t="s">
        <v>38051</v>
      </c>
    </row>
    <row r="48341" spans="1:8">
      <c r="H48341" t="s">
        <v>38052</v>
      </c>
    </row>
    <row r="48342" spans="1:8">
      <c r="H48342" t="s">
        <v>38053</v>
      </c>
    </row>
    <row r="48343" spans="1:8">
      <c r="H48343" t="s">
        <v>38054</v>
      </c>
    </row>
    <row r="48344" spans="1:8">
      <c r="F48344" t="s">
        <v>14063</v>
      </c>
      <c r="G48344" t="s">
        <v>18061</v>
      </c>
      <c r="H48344" t="s">
        <v>38049</v>
      </c>
    </row>
    <row r="48345" spans="1:8">
      <c r="H48345" t="s">
        <v>38055</v>
      </c>
    </row>
    <row r="48346" spans="1:8">
      <c r="H48346" t="s">
        <v>38050</v>
      </c>
    </row>
    <row r="48347" spans="1:8">
      <c r="H48347" t="s">
        <v>33450</v>
      </c>
    </row>
    <row r="48348" spans="1:8">
      <c r="H48348" t="s">
        <v>38056</v>
      </c>
    </row>
    <row r="48349" spans="1:8">
      <c r="H48349" t="s">
        <v>38057</v>
      </c>
    </row>
    <row r="48350" spans="1:8">
      <c r="H48350" t="s">
        <v>38058</v>
      </c>
    </row>
    <row r="48351" spans="1:8">
      <c r="H48351" t="s">
        <v>38059</v>
      </c>
    </row>
    <row r="48352" spans="1:8">
      <c r="H48352" t="s">
        <v>38060</v>
      </c>
    </row>
    <row r="48353" spans="6:8">
      <c r="H48353" t="s">
        <v>38061</v>
      </c>
    </row>
    <row r="48354" spans="6:8">
      <c r="H48354" t="s">
        <v>38062</v>
      </c>
    </row>
    <row r="48355" spans="6:8">
      <c r="H48355" t="s">
        <v>38063</v>
      </c>
    </row>
    <row r="48356" spans="6:8">
      <c r="H48356" t="s">
        <v>38064</v>
      </c>
    </row>
    <row r="48357" spans="6:8">
      <c r="H48357" t="s">
        <v>38065</v>
      </c>
    </row>
    <row r="48358" spans="6:8">
      <c r="H48358" t="s">
        <v>38066</v>
      </c>
    </row>
    <row r="48359" spans="6:8">
      <c r="H48359" t="s">
        <v>38067</v>
      </c>
    </row>
    <row r="48360" spans="6:8">
      <c r="H48360" t="s">
        <v>38068</v>
      </c>
    </row>
    <row r="48361" spans="6:8">
      <c r="H48361" t="s">
        <v>38069</v>
      </c>
    </row>
    <row r="48362" spans="6:8">
      <c r="H48362" t="s">
        <v>38070</v>
      </c>
    </row>
    <row r="48363" spans="6:8">
      <c r="H48363" t="s">
        <v>38071</v>
      </c>
    </row>
    <row r="48364" spans="6:8">
      <c r="H48364" t="s">
        <v>38072</v>
      </c>
    </row>
    <row r="48365" spans="6:8">
      <c r="H48365" t="s">
        <v>38073</v>
      </c>
    </row>
    <row r="48366" spans="6:8">
      <c r="H48366" t="s">
        <v>38074</v>
      </c>
    </row>
    <row r="48367" spans="6:8">
      <c r="H48367" t="s">
        <v>38075</v>
      </c>
    </row>
    <row r="48368" spans="6:8">
      <c r="F48368" t="s">
        <v>14755</v>
      </c>
      <c r="G48368" t="s">
        <v>18631</v>
      </c>
      <c r="H48368" t="s">
        <v>38049</v>
      </c>
    </row>
    <row r="48369" spans="6:8">
      <c r="H48369" t="s">
        <v>38055</v>
      </c>
    </row>
    <row r="48370" spans="6:8">
      <c r="H48370" t="s">
        <v>38050</v>
      </c>
    </row>
    <row r="48371" spans="6:8">
      <c r="H48371" t="s">
        <v>33450</v>
      </c>
    </row>
    <row r="48372" spans="6:8">
      <c r="H48372" t="s">
        <v>38076</v>
      </c>
    </row>
    <row r="48373" spans="6:8">
      <c r="H48373" t="s">
        <v>33150</v>
      </c>
    </row>
    <row r="48374" spans="6:8">
      <c r="H48374" t="s">
        <v>33152</v>
      </c>
    </row>
    <row r="48375" spans="6:8">
      <c r="H48375" t="s">
        <v>38077</v>
      </c>
    </row>
    <row r="48376" spans="6:8">
      <c r="H48376" t="s">
        <v>33153</v>
      </c>
    </row>
    <row r="48377" spans="6:8">
      <c r="H48377" t="s">
        <v>38078</v>
      </c>
    </row>
    <row r="48378" spans="6:8">
      <c r="H48378" t="s">
        <v>38079</v>
      </c>
    </row>
    <row r="48379" spans="6:8">
      <c r="H48379" t="s">
        <v>38080</v>
      </c>
    </row>
    <row r="48380" spans="6:8">
      <c r="H48380" t="s">
        <v>38081</v>
      </c>
    </row>
    <row r="48381" spans="6:8">
      <c r="F48381" t="s">
        <v>14064</v>
      </c>
      <c r="G48381" t="s">
        <v>18062</v>
      </c>
      <c r="H48381" t="s">
        <v>18829</v>
      </c>
    </row>
    <row r="48382" spans="6:8">
      <c r="H48382" t="s">
        <v>38082</v>
      </c>
    </row>
    <row r="48383" spans="6:8">
      <c r="H48383" t="s">
        <v>38083</v>
      </c>
    </row>
    <row r="48384" spans="6:8">
      <c r="H48384" t="s">
        <v>38084</v>
      </c>
    </row>
    <row r="48385" spans="8:8">
      <c r="H48385" t="s">
        <v>38085</v>
      </c>
    </row>
    <row r="48386" spans="8:8">
      <c r="H48386" t="s">
        <v>38086</v>
      </c>
    </row>
    <row r="48387" spans="8:8">
      <c r="H48387" t="s">
        <v>38087</v>
      </c>
    </row>
    <row r="48388" spans="8:8">
      <c r="H48388" t="s">
        <v>38088</v>
      </c>
    </row>
    <row r="48389" spans="8:8">
      <c r="H48389" t="s">
        <v>38089</v>
      </c>
    </row>
    <row r="48390" spans="8:8">
      <c r="H48390" t="s">
        <v>38065</v>
      </c>
    </row>
    <row r="48391" spans="8:8">
      <c r="H48391" t="s">
        <v>38090</v>
      </c>
    </row>
    <row r="48392" spans="8:8">
      <c r="H48392" t="s">
        <v>38066</v>
      </c>
    </row>
    <row r="48393" spans="8:8">
      <c r="H48393" t="s">
        <v>38091</v>
      </c>
    </row>
    <row r="48394" spans="8:8">
      <c r="H48394" t="s">
        <v>38092</v>
      </c>
    </row>
    <row r="48395" spans="8:8">
      <c r="H48395" t="s">
        <v>38093</v>
      </c>
    </row>
    <row r="48396" spans="8:8">
      <c r="H48396" t="s">
        <v>38094</v>
      </c>
    </row>
    <row r="48397" spans="8:8">
      <c r="H48397" t="s">
        <v>38095</v>
      </c>
    </row>
    <row r="48398" spans="8:8">
      <c r="H48398" t="s">
        <v>38096</v>
      </c>
    </row>
    <row r="48399" spans="8:8">
      <c r="H48399" t="s">
        <v>38096</v>
      </c>
    </row>
    <row r="48400" spans="8:8">
      <c r="H48400" t="s">
        <v>29587</v>
      </c>
    </row>
    <row r="48401" spans="1:8">
      <c r="H48401" t="s">
        <v>38097</v>
      </c>
    </row>
    <row r="48402" spans="1:8">
      <c r="H48402" t="s">
        <v>38098</v>
      </c>
    </row>
    <row r="48403" spans="1:8">
      <c r="H48403" t="s">
        <v>38099</v>
      </c>
    </row>
    <row r="48404" spans="1:8">
      <c r="F48404" t="s">
        <v>14265</v>
      </c>
      <c r="G48404" t="s">
        <v>18232</v>
      </c>
      <c r="H48404" t="s">
        <v>38100</v>
      </c>
    </row>
    <row r="48405" spans="1:8">
      <c r="A48405" t="s">
        <v>4513</v>
      </c>
      <c r="B48405">
        <f>HYPERLINK("https://android.googlesource.com/platform/cts/+/00dd15703fa064f995191ce3d26da83bbefde05a", "00dd15703fa064f995191ce3d26da83bbefde05a")</f>
        <v>0</v>
      </c>
      <c r="C48405">
        <f>HYPERLINK("https://android.googlesource.com/platform/cts/+/36ebe8a2852779afe05aad0b498d6e92faff9ca5", "36ebe8a2852779afe05aad0b498d6e92faff9ca5")</f>
        <v>0</v>
      </c>
      <c r="D48405" t="s">
        <v>5112</v>
      </c>
      <c r="E48405" t="s">
        <v>10175</v>
      </c>
      <c r="F48405" t="s">
        <v>13333</v>
      </c>
      <c r="G48405" t="s">
        <v>17463</v>
      </c>
      <c r="H48405" t="s">
        <v>38101</v>
      </c>
    </row>
    <row r="48406" spans="1:8">
      <c r="A48406" t="s">
        <v>4514</v>
      </c>
      <c r="B48406">
        <f>HYPERLINK("https://android.googlesource.com/platform/cts/+/36fcbef8e1a408e648137531483fde65a6416a59", "36fcbef8e1a408e648137531483fde65a6416a59")</f>
        <v>0</v>
      </c>
      <c r="C48406">
        <f>HYPERLINK("https://android.googlesource.com/platform/cts/+/8f719fae20fe4d8ea893a3f08ff1d22852486afc", "8f719fae20fe4d8ea893a3f08ff1d22852486afc")</f>
        <v>0</v>
      </c>
      <c r="D48406" t="s">
        <v>5134</v>
      </c>
      <c r="E48406" t="s">
        <v>10176</v>
      </c>
      <c r="F48406" t="s">
        <v>14756</v>
      </c>
      <c r="G48406" t="s">
        <v>18632</v>
      </c>
      <c r="H48406" t="s">
        <v>38102</v>
      </c>
    </row>
    <row r="48407" spans="1:8">
      <c r="A48407" t="s">
        <v>4515</v>
      </c>
      <c r="B48407">
        <f>HYPERLINK("https://android.googlesource.com/platform/cts/+/0a68d2b95b9b9edf8db8c07d3e39c51da378313f", "0a68d2b95b9b9edf8db8c07d3e39c51da378313f")</f>
        <v>0</v>
      </c>
      <c r="C48407">
        <f>HYPERLINK("https://android.googlesource.com/platform/cts/+/75b77c6e27579d87b16050d54b698618d7497eb6", "75b77c6e27579d87b16050d54b698618d7497eb6")</f>
        <v>0</v>
      </c>
      <c r="D48407" t="s">
        <v>5477</v>
      </c>
      <c r="E48407" t="s">
        <v>10177</v>
      </c>
      <c r="F48407" t="s">
        <v>14748</v>
      </c>
      <c r="G48407" t="s">
        <v>18624</v>
      </c>
      <c r="H48407" t="s">
        <v>37996</v>
      </c>
    </row>
    <row r="48408" spans="1:8">
      <c r="H48408" t="s">
        <v>37997</v>
      </c>
    </row>
    <row r="48409" spans="1:8">
      <c r="H48409" t="s">
        <v>37998</v>
      </c>
    </row>
    <row r="48410" spans="1:8">
      <c r="H48410" t="s">
        <v>37999</v>
      </c>
    </row>
    <row r="48411" spans="1:8">
      <c r="A48411" t="s">
        <v>4516</v>
      </c>
      <c r="B48411">
        <f>HYPERLINK("https://android.googlesource.com/platform/cts/+/0a51306a54f22103f5bdce145cc3e4cbf1579de4", "0a51306a54f22103f5bdce145cc3e4cbf1579de4")</f>
        <v>0</v>
      </c>
      <c r="C48411">
        <f>HYPERLINK("https://android.googlesource.com/platform/cts/+/ec618a2ae77136e2c4dd0a7f6744aa310dfabb79", "ec618a2ae77136e2c4dd0a7f6744aa310dfabb79")</f>
        <v>0</v>
      </c>
      <c r="D48411" t="s">
        <v>5714</v>
      </c>
      <c r="E48411" t="s">
        <v>10178</v>
      </c>
      <c r="F48411" t="s">
        <v>14711</v>
      </c>
      <c r="G48411" t="s">
        <v>18599</v>
      </c>
      <c r="H48411" t="s">
        <v>38103</v>
      </c>
    </row>
    <row r="48412" spans="1:8">
      <c r="A48412" t="s">
        <v>4517</v>
      </c>
      <c r="B48412">
        <f>HYPERLINK("https://android.googlesource.com/platform/cts/+/5dc82ea03202d37ac2df21f1e3e1e15a70350686", "5dc82ea03202d37ac2df21f1e3e1e15a70350686")</f>
        <v>0</v>
      </c>
      <c r="C48412">
        <f>HYPERLINK("https://android.googlesource.com/platform/cts/+/1a952ef8154e021527efd6dbeba142afeddc4163", "1a952ef8154e021527efd6dbeba142afeddc4163")</f>
        <v>0</v>
      </c>
      <c r="D48412" t="s">
        <v>5409</v>
      </c>
      <c r="E48412" t="s">
        <v>10179</v>
      </c>
      <c r="F48412" t="s">
        <v>14152</v>
      </c>
      <c r="G48412" t="s">
        <v>18052</v>
      </c>
      <c r="H48412" t="s">
        <v>18863</v>
      </c>
    </row>
    <row r="48413" spans="1:8">
      <c r="H48413" t="s">
        <v>33095</v>
      </c>
    </row>
    <row r="48414" spans="1:8">
      <c r="H48414" t="s">
        <v>33096</v>
      </c>
    </row>
    <row r="48415" spans="1:8">
      <c r="H48415" t="s">
        <v>33097</v>
      </c>
    </row>
    <row r="48416" spans="1:8">
      <c r="H48416" t="s">
        <v>33098</v>
      </c>
    </row>
    <row r="48417" spans="6:8">
      <c r="H48417" t="s">
        <v>33099</v>
      </c>
    </row>
    <row r="48418" spans="6:8">
      <c r="H48418" t="s">
        <v>33100</v>
      </c>
    </row>
    <row r="48419" spans="6:8">
      <c r="H48419" t="s">
        <v>38104</v>
      </c>
    </row>
    <row r="48420" spans="6:8">
      <c r="H48420" t="s">
        <v>38105</v>
      </c>
    </row>
    <row r="48421" spans="6:8">
      <c r="H48421" t="s">
        <v>33102</v>
      </c>
    </row>
    <row r="48422" spans="6:8">
      <c r="H48422" t="s">
        <v>38106</v>
      </c>
    </row>
    <row r="48423" spans="6:8">
      <c r="H48423" t="s">
        <v>38107</v>
      </c>
    </row>
    <row r="48424" spans="6:8">
      <c r="H48424" t="s">
        <v>38108</v>
      </c>
    </row>
    <row r="48425" spans="6:8">
      <c r="H48425" t="s">
        <v>38109</v>
      </c>
    </row>
    <row r="48426" spans="6:8">
      <c r="H48426" t="s">
        <v>38110</v>
      </c>
    </row>
    <row r="48427" spans="6:8">
      <c r="H48427" t="s">
        <v>38111</v>
      </c>
    </row>
    <row r="48428" spans="6:8">
      <c r="H48428" t="s">
        <v>38112</v>
      </c>
    </row>
    <row r="48429" spans="6:8">
      <c r="H48429" t="s">
        <v>38112</v>
      </c>
    </row>
    <row r="48430" spans="6:8">
      <c r="F48430" t="s">
        <v>14153</v>
      </c>
      <c r="G48430" t="s">
        <v>18140</v>
      </c>
      <c r="H48430" t="s">
        <v>38113</v>
      </c>
    </row>
    <row r="48431" spans="6:8">
      <c r="H48431" t="s">
        <v>18829</v>
      </c>
    </row>
    <row r="48432" spans="6:8">
      <c r="H48432" t="s">
        <v>38114</v>
      </c>
    </row>
    <row r="48433" spans="8:8">
      <c r="H48433" t="s">
        <v>38115</v>
      </c>
    </row>
    <row r="48434" spans="8:8">
      <c r="H48434" t="s">
        <v>38116</v>
      </c>
    </row>
    <row r="48435" spans="8:8">
      <c r="H48435" t="s">
        <v>38117</v>
      </c>
    </row>
    <row r="48436" spans="8:8">
      <c r="H48436" t="s">
        <v>38118</v>
      </c>
    </row>
    <row r="48437" spans="8:8">
      <c r="H48437" t="s">
        <v>38119</v>
      </c>
    </row>
    <row r="48438" spans="8:8">
      <c r="H48438" t="s">
        <v>38120</v>
      </c>
    </row>
    <row r="48439" spans="8:8">
      <c r="H48439" t="s">
        <v>33097</v>
      </c>
    </row>
    <row r="48440" spans="8:8">
      <c r="H48440" t="s">
        <v>33098</v>
      </c>
    </row>
    <row r="48441" spans="8:8">
      <c r="H48441" t="s">
        <v>33099</v>
      </c>
    </row>
    <row r="48442" spans="8:8">
      <c r="H48442" t="s">
        <v>33100</v>
      </c>
    </row>
    <row r="48443" spans="8:8">
      <c r="H48443" t="s">
        <v>38121</v>
      </c>
    </row>
    <row r="48444" spans="8:8">
      <c r="H48444" t="s">
        <v>33101</v>
      </c>
    </row>
    <row r="48445" spans="8:8">
      <c r="H48445" t="s">
        <v>33102</v>
      </c>
    </row>
    <row r="48446" spans="8:8">
      <c r="H48446" t="s">
        <v>38104</v>
      </c>
    </row>
    <row r="48447" spans="8:8">
      <c r="H48447" t="s">
        <v>38105</v>
      </c>
    </row>
    <row r="48448" spans="8:8">
      <c r="H48448" t="s">
        <v>38106</v>
      </c>
    </row>
    <row r="48449" spans="1:8">
      <c r="H48449" t="s">
        <v>38122</v>
      </c>
    </row>
    <row r="48450" spans="1:8">
      <c r="H48450" t="s">
        <v>38107</v>
      </c>
    </row>
    <row r="48451" spans="1:8">
      <c r="H48451" t="s">
        <v>38123</v>
      </c>
    </row>
    <row r="48452" spans="1:8">
      <c r="H48452" t="s">
        <v>38124</v>
      </c>
    </row>
    <row r="48453" spans="1:8">
      <c r="H48453" t="s">
        <v>38125</v>
      </c>
    </row>
    <row r="48454" spans="1:8">
      <c r="A48454" t="s">
        <v>4518</v>
      </c>
      <c r="B48454">
        <f>HYPERLINK("https://android.googlesource.com/platform/cts/+/04c88d6db5fc9c5f9283e3912d2b8d05b8676b4b", "04c88d6db5fc9c5f9283e3912d2b8d05b8676b4b")</f>
        <v>0</v>
      </c>
      <c r="C48454">
        <f>HYPERLINK("https://android.googlesource.com/platform/cts/+/e24f1acfa4aa74e1de3211292988a1e5a5ed6db0", "e24f1acfa4aa74e1de3211292988a1e5a5ed6db0")</f>
        <v>0</v>
      </c>
      <c r="D48454" t="s">
        <v>5478</v>
      </c>
      <c r="E48454" t="s">
        <v>10180</v>
      </c>
      <c r="F48454" t="s">
        <v>14633</v>
      </c>
      <c r="G48454" t="s">
        <v>18543</v>
      </c>
      <c r="H48454" t="s">
        <v>38126</v>
      </c>
    </row>
    <row r="48455" spans="1:8">
      <c r="H48455" t="s">
        <v>38127</v>
      </c>
    </row>
    <row r="48456" spans="1:8">
      <c r="H48456" t="s">
        <v>38128</v>
      </c>
    </row>
    <row r="48457" spans="1:8">
      <c r="H48457" t="s">
        <v>38129</v>
      </c>
    </row>
    <row r="48458" spans="1:8">
      <c r="A48458" t="s">
        <v>4519</v>
      </c>
      <c r="B48458">
        <f>HYPERLINK("https://android.googlesource.com/platform/cts/+/53f1058e4f56fd7a38a354efb643568dd2423939", "53f1058e4f56fd7a38a354efb643568dd2423939")</f>
        <v>0</v>
      </c>
      <c r="C48458">
        <f>HYPERLINK("https://android.googlesource.com/platform/cts/+/2700ff9d2fb521999d26073d66136342e019e7c9", "2700ff9d2fb521999d26073d66136342e019e7c9")</f>
        <v>0</v>
      </c>
      <c r="D48458" t="s">
        <v>5705</v>
      </c>
      <c r="E48458" t="s">
        <v>10181</v>
      </c>
      <c r="F48458" t="s">
        <v>14741</v>
      </c>
      <c r="G48458" t="s">
        <v>18619</v>
      </c>
      <c r="H48458" t="s">
        <v>37885</v>
      </c>
    </row>
    <row r="48459" spans="1:8">
      <c r="A48459" t="s">
        <v>4520</v>
      </c>
      <c r="B48459">
        <f>HYPERLINK("https://android.googlesource.com/platform/cts/+/a5c7e7175f30ead1ecd0af37153a012f2140b569", "a5c7e7175f30ead1ecd0af37153a012f2140b569")</f>
        <v>0</v>
      </c>
      <c r="C48459">
        <f>HYPERLINK("https://android.googlesource.com/platform/cts/+/f5df5538418f9d873a71d518e9ed26429a68b4ec", "f5df5538418f9d873a71d518e9ed26429a68b4ec")</f>
        <v>0</v>
      </c>
      <c r="D48459" t="s">
        <v>5685</v>
      </c>
      <c r="E48459" t="s">
        <v>10182</v>
      </c>
      <c r="F48459" t="s">
        <v>14757</v>
      </c>
      <c r="G48459" t="s">
        <v>18633</v>
      </c>
      <c r="H48459" t="s">
        <v>38130</v>
      </c>
    </row>
    <row r="48460" spans="1:8">
      <c r="H48460" t="s">
        <v>38131</v>
      </c>
    </row>
    <row r="48461" spans="1:8">
      <c r="A48461" t="s">
        <v>4521</v>
      </c>
      <c r="B48461">
        <f>HYPERLINK("https://android.googlesource.com/platform/cts/+/c67fb38ca0b55e013644b1fa354a19e8ee019741", "c67fb38ca0b55e013644b1fa354a19e8ee019741")</f>
        <v>0</v>
      </c>
      <c r="C48461">
        <f>HYPERLINK("https://android.googlesource.com/platform/cts/+/206f54ea85c46c5495b0688515f6378609fdb9a3", "206f54ea85c46c5495b0688515f6378609fdb9a3")</f>
        <v>0</v>
      </c>
      <c r="D48461" t="s">
        <v>5409</v>
      </c>
      <c r="E48461" t="s">
        <v>10183</v>
      </c>
      <c r="F48461" t="s">
        <v>14265</v>
      </c>
      <c r="G48461" t="s">
        <v>18232</v>
      </c>
      <c r="H48461" t="s">
        <v>38132</v>
      </c>
    </row>
    <row r="48462" spans="1:8">
      <c r="H48462" t="s">
        <v>38133</v>
      </c>
    </row>
    <row r="48463" spans="1:8">
      <c r="H48463" t="s">
        <v>38134</v>
      </c>
    </row>
    <row r="48464" spans="1:8">
      <c r="H48464" t="s">
        <v>38135</v>
      </c>
    </row>
    <row r="48465" spans="8:8">
      <c r="H48465" t="s">
        <v>38136</v>
      </c>
    </row>
    <row r="48466" spans="8:8">
      <c r="H48466" t="s">
        <v>38137</v>
      </c>
    </row>
    <row r="48467" spans="8:8">
      <c r="H48467" t="s">
        <v>38138</v>
      </c>
    </row>
    <row r="48468" spans="8:8">
      <c r="H48468" t="s">
        <v>38139</v>
      </c>
    </row>
    <row r="48469" spans="8:8">
      <c r="H48469" t="s">
        <v>38140</v>
      </c>
    </row>
    <row r="48470" spans="8:8">
      <c r="H48470" t="s">
        <v>38141</v>
      </c>
    </row>
    <row r="48471" spans="8:8">
      <c r="H48471" t="s">
        <v>38142</v>
      </c>
    </row>
    <row r="48472" spans="8:8">
      <c r="H48472" t="s">
        <v>38143</v>
      </c>
    </row>
    <row r="48473" spans="8:8">
      <c r="H48473" t="s">
        <v>38144</v>
      </c>
    </row>
    <row r="48474" spans="8:8">
      <c r="H48474" t="s">
        <v>38145</v>
      </c>
    </row>
    <row r="48475" spans="8:8">
      <c r="H48475" t="s">
        <v>38146</v>
      </c>
    </row>
    <row r="48476" spans="8:8">
      <c r="H48476" t="s">
        <v>38147</v>
      </c>
    </row>
    <row r="48477" spans="8:8">
      <c r="H48477" t="s">
        <v>38148</v>
      </c>
    </row>
    <row r="48478" spans="8:8">
      <c r="H48478" t="s">
        <v>38149</v>
      </c>
    </row>
    <row r="48479" spans="8:8">
      <c r="H48479" t="s">
        <v>38150</v>
      </c>
    </row>
    <row r="48480" spans="8:8">
      <c r="H48480" t="s">
        <v>38151</v>
      </c>
    </row>
    <row r="48481" spans="1:8">
      <c r="H48481" t="s">
        <v>38152</v>
      </c>
    </row>
    <row r="48482" spans="1:8">
      <c r="H48482" t="s">
        <v>38153</v>
      </c>
    </row>
    <row r="48483" spans="1:8">
      <c r="H48483" t="s">
        <v>38154</v>
      </c>
    </row>
    <row r="48484" spans="1:8">
      <c r="H48484" t="s">
        <v>38155</v>
      </c>
    </row>
    <row r="48485" spans="1:8">
      <c r="H48485" t="s">
        <v>38156</v>
      </c>
    </row>
    <row r="48486" spans="1:8">
      <c r="H48486" t="s">
        <v>38157</v>
      </c>
    </row>
    <row r="48487" spans="1:8">
      <c r="H48487" t="s">
        <v>38158</v>
      </c>
    </row>
    <row r="48488" spans="1:8">
      <c r="A48488" t="s">
        <v>4522</v>
      </c>
      <c r="B48488">
        <f>HYPERLINK("https://android.googlesource.com/platform/cts/+/893c0e05e18d4eba2ce25b51bc0b9fc45e261ffd", "893c0e05e18d4eba2ce25b51bc0b9fc45e261ffd")</f>
        <v>0</v>
      </c>
      <c r="C48488">
        <f>HYPERLINK("https://android.googlesource.com/platform/cts/+/429bd018471287a008bb459c74d67a7af188649e", "429bd018471287a008bb459c74d67a7af188649e")</f>
        <v>0</v>
      </c>
      <c r="D48488" t="s">
        <v>5584</v>
      </c>
      <c r="E48488" t="s">
        <v>10184</v>
      </c>
      <c r="F48488" t="s">
        <v>14758</v>
      </c>
      <c r="G48488" t="s">
        <v>18634</v>
      </c>
      <c r="H48488" t="s">
        <v>38159</v>
      </c>
    </row>
    <row r="48489" spans="1:8">
      <c r="A48489" t="s">
        <v>4523</v>
      </c>
      <c r="B48489">
        <f>HYPERLINK("https://android.googlesource.com/platform/cts/+/0ec2c5fc64e8fa744a61ae51ffc180e608a6ec35", "0ec2c5fc64e8fa744a61ae51ffc180e608a6ec35")</f>
        <v>0</v>
      </c>
      <c r="C48489">
        <f>HYPERLINK("https://android.googlesource.com/platform/cts/+/bfe33c4986d5dd4f54a73759fb340f49ffd04ef8", "bfe33c4986d5dd4f54a73759fb340f49ffd04ef8")</f>
        <v>0</v>
      </c>
      <c r="D48489" t="s">
        <v>5499</v>
      </c>
      <c r="E48489" t="s">
        <v>10185</v>
      </c>
      <c r="F48489" t="s">
        <v>14759</v>
      </c>
      <c r="G48489" t="s">
        <v>18635</v>
      </c>
      <c r="H48489" t="s">
        <v>38160</v>
      </c>
    </row>
    <row r="48490" spans="1:8">
      <c r="A48490" t="s">
        <v>4524</v>
      </c>
      <c r="B48490">
        <f>HYPERLINK("https://android.googlesource.com/platform/cts/+/f35be3416b0d1476de0a10aece291c864b70e89e", "f35be3416b0d1476de0a10aece291c864b70e89e")</f>
        <v>0</v>
      </c>
      <c r="C48490">
        <f>HYPERLINK("https://android.googlesource.com/platform/cts/+/af8ce228c7e9c676906584b3d77196e93114fdc5", "af8ce228c7e9c676906584b3d77196e93114fdc5")</f>
        <v>0</v>
      </c>
      <c r="D48490" t="s">
        <v>5715</v>
      </c>
      <c r="E48490" t="s">
        <v>10186</v>
      </c>
      <c r="F48490" t="s">
        <v>14760</v>
      </c>
      <c r="G48490" t="s">
        <v>18636</v>
      </c>
      <c r="H48490" t="s">
        <v>38161</v>
      </c>
    </row>
    <row r="48491" spans="1:8">
      <c r="H48491" t="s">
        <v>38162</v>
      </c>
    </row>
    <row r="48492" spans="1:8">
      <c r="H48492" t="s">
        <v>38163</v>
      </c>
    </row>
    <row r="48493" spans="1:8">
      <c r="H48493" t="s">
        <v>20083</v>
      </c>
    </row>
    <row r="48494" spans="1:8">
      <c r="H48494" t="s">
        <v>26262</v>
      </c>
    </row>
    <row r="48495" spans="1:8">
      <c r="A48495" t="s">
        <v>4525</v>
      </c>
      <c r="B48495">
        <f>HYPERLINK("https://android.googlesource.com/platform/cts/+/04eb8ac828f62f81cf46d4534cd196525cfe8318", "04eb8ac828f62f81cf46d4534cd196525cfe8318")</f>
        <v>0</v>
      </c>
      <c r="C48495">
        <f>HYPERLINK("https://android.googlesource.com/platform/cts/+/35eadc722c7679ce8dfec80c9d302642fd2de4a5", "35eadc722c7679ce8dfec80c9d302642fd2de4a5")</f>
        <v>0</v>
      </c>
      <c r="D48495" t="s">
        <v>5700</v>
      </c>
      <c r="E48495" t="s">
        <v>10187</v>
      </c>
      <c r="F48495" t="s">
        <v>14761</v>
      </c>
      <c r="G48495" t="s">
        <v>18637</v>
      </c>
      <c r="H48495" t="s">
        <v>38164</v>
      </c>
    </row>
    <row r="48496" spans="1:8">
      <c r="A48496" t="s">
        <v>4526</v>
      </c>
      <c r="B48496">
        <f>HYPERLINK("https://android.googlesource.com/platform/cts/+/ea4037d772c2cfeb02fbe64fd05c77ff270b14be", "ea4037d772c2cfeb02fbe64fd05c77ff270b14be")</f>
        <v>0</v>
      </c>
      <c r="C48496">
        <f>HYPERLINK("https://android.googlesource.com/platform/cts/+/665dad20499f35cca567b6598053c5420fafa987", "665dad20499f35cca567b6598053c5420fafa987")</f>
        <v>0</v>
      </c>
      <c r="D48496" t="s">
        <v>5445</v>
      </c>
      <c r="E48496" t="s">
        <v>10188</v>
      </c>
      <c r="F48496" t="s">
        <v>12642</v>
      </c>
      <c r="G48496" t="s">
        <v>16850</v>
      </c>
      <c r="H48496" t="s">
        <v>18863</v>
      </c>
    </row>
    <row r="48497" spans="1:8">
      <c r="H48497" t="s">
        <v>38165</v>
      </c>
    </row>
    <row r="48498" spans="1:8">
      <c r="F48498" t="s">
        <v>14762</v>
      </c>
      <c r="G48498" t="s">
        <v>18638</v>
      </c>
      <c r="H48498" t="s">
        <v>18829</v>
      </c>
    </row>
    <row r="48499" spans="1:8">
      <c r="H48499" t="s">
        <v>18863</v>
      </c>
    </row>
    <row r="48500" spans="1:8">
      <c r="H48500" t="s">
        <v>38166</v>
      </c>
    </row>
    <row r="48501" spans="1:8">
      <c r="H48501" t="s">
        <v>38167</v>
      </c>
    </row>
    <row r="48502" spans="1:8">
      <c r="H48502" t="s">
        <v>38168</v>
      </c>
    </row>
    <row r="48503" spans="1:8">
      <c r="H48503" t="s">
        <v>38169</v>
      </c>
    </row>
    <row r="48504" spans="1:8">
      <c r="H48504" t="s">
        <v>38170</v>
      </c>
    </row>
    <row r="48505" spans="1:8">
      <c r="H48505" t="s">
        <v>38171</v>
      </c>
    </row>
    <row r="48506" spans="1:8">
      <c r="F48506" t="s">
        <v>13993</v>
      </c>
      <c r="G48506" t="s">
        <v>16600</v>
      </c>
      <c r="H48506" t="s">
        <v>38172</v>
      </c>
    </row>
    <row r="48507" spans="1:8">
      <c r="A48507" t="s">
        <v>4527</v>
      </c>
      <c r="B48507">
        <f>HYPERLINK("https://android.googlesource.com/platform/cts/+/dae05bad9c1b5764f8e3a7ce0b6b2df04a2bfb6f", "dae05bad9c1b5764f8e3a7ce0b6b2df04a2bfb6f")</f>
        <v>0</v>
      </c>
      <c r="C48507">
        <f>HYPERLINK("https://android.googlesource.com/platform/cts/+/1f355f22cd413e1391a9bb78a4a4bafb35262425", "1f355f22cd413e1391a9bb78a4a4bafb35262425")</f>
        <v>0</v>
      </c>
      <c r="D48507" t="s">
        <v>5528</v>
      </c>
      <c r="E48507" t="s">
        <v>10189</v>
      </c>
      <c r="F48507" t="s">
        <v>13892</v>
      </c>
      <c r="G48507" t="s">
        <v>17929</v>
      </c>
      <c r="H48507" t="s">
        <v>18829</v>
      </c>
    </row>
    <row r="48508" spans="1:8">
      <c r="H48508" t="s">
        <v>38173</v>
      </c>
    </row>
    <row r="48509" spans="1:8">
      <c r="H48509" t="s">
        <v>38174</v>
      </c>
    </row>
    <row r="48510" spans="1:8">
      <c r="A48510" t="s">
        <v>4528</v>
      </c>
      <c r="B48510">
        <f>HYPERLINK("https://android.googlesource.com/platform/cts/+/c3f1ce1cf087fcdb6bb32ced81d3a9cb749f8060", "c3f1ce1cf087fcdb6bb32ced81d3a9cb749f8060")</f>
        <v>0</v>
      </c>
      <c r="C48510">
        <f>HYPERLINK("https://android.googlesource.com/platform/cts/+/1af8dcbf33378d28428721dd1bec5501df919a4e", "1af8dcbf33378d28428721dd1bec5501df919a4e")</f>
        <v>0</v>
      </c>
      <c r="D48510" t="s">
        <v>5449</v>
      </c>
      <c r="E48510" t="s">
        <v>10190</v>
      </c>
      <c r="F48510" t="s">
        <v>14566</v>
      </c>
      <c r="G48510" t="s">
        <v>18487</v>
      </c>
      <c r="H48510" t="s">
        <v>38040</v>
      </c>
    </row>
    <row r="48511" spans="1:8">
      <c r="F48511" t="s">
        <v>14751</v>
      </c>
      <c r="G48511" t="s">
        <v>18627</v>
      </c>
      <c r="H48511" t="s">
        <v>38041</v>
      </c>
    </row>
    <row r="48512" spans="1:8">
      <c r="A48512" t="s">
        <v>4529</v>
      </c>
      <c r="B48512">
        <f>HYPERLINK("https://android.googlesource.com/platform/cts/+/ebf22a6df73f85fd1ee9dcb69c0339272185d5ea", "ebf22a6df73f85fd1ee9dcb69c0339272185d5ea")</f>
        <v>0</v>
      </c>
      <c r="C48512">
        <f>HYPERLINK("https://android.googlesource.com/platform/cts/+/fd3e1c61479373172f884914dd72fb4507077db6", "fd3e1c61479373172f884914dd72fb4507077db6")</f>
        <v>0</v>
      </c>
      <c r="D48512" t="s">
        <v>5716</v>
      </c>
      <c r="E48512" t="s">
        <v>10191</v>
      </c>
      <c r="F48512" t="s">
        <v>14133</v>
      </c>
      <c r="G48512" t="s">
        <v>18122</v>
      </c>
      <c r="H48512" t="s">
        <v>18829</v>
      </c>
    </row>
    <row r="48513" spans="8:8">
      <c r="H48513" t="s">
        <v>38175</v>
      </c>
    </row>
    <row r="48514" spans="8:8">
      <c r="H48514" t="s">
        <v>38176</v>
      </c>
    </row>
    <row r="48515" spans="8:8">
      <c r="H48515" t="s">
        <v>38177</v>
      </c>
    </row>
    <row r="48516" spans="8:8">
      <c r="H48516" t="s">
        <v>38178</v>
      </c>
    </row>
    <row r="48517" spans="8:8">
      <c r="H48517" t="s">
        <v>33904</v>
      </c>
    </row>
    <row r="48518" spans="8:8">
      <c r="H48518" t="s">
        <v>38179</v>
      </c>
    </row>
    <row r="48519" spans="8:8">
      <c r="H48519" t="s">
        <v>38180</v>
      </c>
    </row>
    <row r="48520" spans="8:8">
      <c r="H48520" t="s">
        <v>38181</v>
      </c>
    </row>
    <row r="48521" spans="8:8">
      <c r="H48521" t="s">
        <v>38182</v>
      </c>
    </row>
    <row r="48522" spans="8:8">
      <c r="H48522" t="s">
        <v>38183</v>
      </c>
    </row>
    <row r="48523" spans="8:8">
      <c r="H48523" t="s">
        <v>38184</v>
      </c>
    </row>
    <row r="48524" spans="8:8">
      <c r="H48524" t="s">
        <v>38185</v>
      </c>
    </row>
    <row r="48525" spans="8:8">
      <c r="H48525" t="s">
        <v>38186</v>
      </c>
    </row>
    <row r="48526" spans="8:8">
      <c r="H48526" t="s">
        <v>38187</v>
      </c>
    </row>
    <row r="48527" spans="8:8">
      <c r="H48527" t="s">
        <v>18896</v>
      </c>
    </row>
    <row r="48528" spans="8:8">
      <c r="H48528" t="s">
        <v>38188</v>
      </c>
    </row>
    <row r="48529" spans="1:8">
      <c r="H48529" t="s">
        <v>22678</v>
      </c>
    </row>
    <row r="48530" spans="1:8">
      <c r="A48530" t="s">
        <v>4530</v>
      </c>
      <c r="B48530">
        <f>HYPERLINK("https://android.googlesource.com/platform/cts/+/c1128d61c8dd6723491a079967b117f79e6c883f", "c1128d61c8dd6723491a079967b117f79e6c883f")</f>
        <v>0</v>
      </c>
      <c r="C48530">
        <f>HYPERLINK("https://android.googlesource.com/platform/cts/+/80c03200acb18098f99cc336cc89284d411e40a1", "80c03200acb18098f99cc336cc89284d411e40a1")</f>
        <v>0</v>
      </c>
      <c r="D48530" t="s">
        <v>5021</v>
      </c>
      <c r="E48530" t="s">
        <v>10192</v>
      </c>
      <c r="F48530" t="s">
        <v>14763</v>
      </c>
      <c r="G48530" t="s">
        <v>18639</v>
      </c>
      <c r="H48530" t="s">
        <v>31592</v>
      </c>
    </row>
    <row r="48531" spans="1:8">
      <c r="F48531" t="s">
        <v>14764</v>
      </c>
      <c r="G48531" t="s">
        <v>18640</v>
      </c>
      <c r="H48531" t="s">
        <v>31592</v>
      </c>
    </row>
    <row r="48532" spans="1:8">
      <c r="A48532" t="s">
        <v>4531</v>
      </c>
      <c r="B48532">
        <f>HYPERLINK("https://android.googlesource.com/platform/cts/+/61adcea84181a6bed4a4f5375af0592bbc6a8d6a", "61adcea84181a6bed4a4f5375af0592bbc6a8d6a")</f>
        <v>0</v>
      </c>
      <c r="C48532">
        <f>HYPERLINK("https://android.googlesource.com/platform/cts/+/0735a71ae62bf21bab2025425864d9b9c1624ffd", "0735a71ae62bf21bab2025425864d9b9c1624ffd")</f>
        <v>0</v>
      </c>
      <c r="D48532" t="s">
        <v>5717</v>
      </c>
      <c r="E48532" t="s">
        <v>10193</v>
      </c>
      <c r="F48532" t="s">
        <v>14765</v>
      </c>
      <c r="G48532" t="s">
        <v>18641</v>
      </c>
      <c r="H48532" t="s">
        <v>38189</v>
      </c>
    </row>
    <row r="48533" spans="1:8">
      <c r="H48533" t="s">
        <v>38190</v>
      </c>
    </row>
    <row r="48534" spans="1:8">
      <c r="A48534" t="s">
        <v>4532</v>
      </c>
      <c r="B48534">
        <f>HYPERLINK("https://android.googlesource.com/platform/cts/+/087aafafb4d70519f101fd46785f1c31ec7572b1", "087aafafb4d70519f101fd46785f1c31ec7572b1")</f>
        <v>0</v>
      </c>
      <c r="C48534">
        <f>HYPERLINK("https://android.googlesource.com/platform/cts/+/161b17471862eeabcb3aab12bbf2ccbb333175d6", "161b17471862eeabcb3aab12bbf2ccbb333175d6")</f>
        <v>0</v>
      </c>
      <c r="D48534" t="s">
        <v>5477</v>
      </c>
      <c r="E48534" t="s">
        <v>10194</v>
      </c>
      <c r="F48534" t="s">
        <v>14748</v>
      </c>
      <c r="G48534" t="s">
        <v>18624</v>
      </c>
      <c r="H48534" t="s">
        <v>38191</v>
      </c>
    </row>
    <row r="48535" spans="1:8">
      <c r="H48535" t="s">
        <v>38192</v>
      </c>
    </row>
    <row r="48536" spans="1:8">
      <c r="A48536" t="s">
        <v>4533</v>
      </c>
      <c r="B48536">
        <f>HYPERLINK("https://android.googlesource.com/platform/cts/+/392ee2d0c438ad3501949f3ef98dbc615e32edf6", "392ee2d0c438ad3501949f3ef98dbc615e32edf6")</f>
        <v>0</v>
      </c>
      <c r="C48536">
        <f>HYPERLINK("https://android.googlesource.com/platform/cts/+/3b5d755c506e01051293fb4f9a28ac72e666d690", "3b5d755c506e01051293fb4f9a28ac72e666d690")</f>
        <v>0</v>
      </c>
      <c r="D48536" t="s">
        <v>5526</v>
      </c>
      <c r="E48536" t="s">
        <v>10195</v>
      </c>
      <c r="F48536" t="s">
        <v>14708</v>
      </c>
      <c r="G48536" t="s">
        <v>18596</v>
      </c>
      <c r="H48536" t="s">
        <v>18863</v>
      </c>
    </row>
    <row r="48537" spans="1:8">
      <c r="H48537" t="s">
        <v>34004</v>
      </c>
    </row>
    <row r="48538" spans="1:8">
      <c r="H48538" t="s">
        <v>34005</v>
      </c>
    </row>
    <row r="48539" spans="1:8">
      <c r="H48539" t="s">
        <v>37687</v>
      </c>
    </row>
    <row r="48540" spans="1:8">
      <c r="H48540" t="s">
        <v>37688</v>
      </c>
    </row>
    <row r="48541" spans="1:8">
      <c r="A48541" t="s">
        <v>4534</v>
      </c>
      <c r="B48541">
        <f>HYPERLINK("https://android.googlesource.com/platform/cts/+/62aca04b1cbd6581b6ec2d3404ab2ed75355c1be", "62aca04b1cbd6581b6ec2d3404ab2ed75355c1be")</f>
        <v>0</v>
      </c>
      <c r="C48541">
        <f>HYPERLINK("https://android.googlesource.com/platform/cts/+/ce75a0aa9286f49f4712b1ef3a3c21e4fc489d53", "ce75a0aa9286f49f4712b1ef3a3c21e4fc489d53")</f>
        <v>0</v>
      </c>
      <c r="D48541" t="s">
        <v>5571</v>
      </c>
      <c r="E48541" t="s">
        <v>10196</v>
      </c>
      <c r="F48541" t="s">
        <v>13548</v>
      </c>
      <c r="G48541" t="s">
        <v>15171</v>
      </c>
      <c r="H48541" t="s">
        <v>31032</v>
      </c>
    </row>
    <row r="48542" spans="1:8">
      <c r="H48542" t="s">
        <v>31032</v>
      </c>
    </row>
    <row r="48543" spans="1:8">
      <c r="H48543" t="s">
        <v>37616</v>
      </c>
    </row>
    <row r="48544" spans="1:8">
      <c r="A48544" t="s">
        <v>4535</v>
      </c>
      <c r="B48544">
        <f>HYPERLINK("https://android.googlesource.com/platform/cts/+/9be135ac5c50799a2868922f670d28776ffe9aba", "9be135ac5c50799a2868922f670d28776ffe9aba")</f>
        <v>0</v>
      </c>
      <c r="C48544">
        <f>HYPERLINK("https://android.googlesource.com/platform/cts/+/ddc4da83e860f987e86c2ac9e5a7c8027850a2e7", "ddc4da83e860f987e86c2ac9e5a7c8027850a2e7")</f>
        <v>0</v>
      </c>
      <c r="D48544" t="s">
        <v>5485</v>
      </c>
      <c r="E48544" t="s">
        <v>10197</v>
      </c>
      <c r="F48544" t="s">
        <v>14092</v>
      </c>
      <c r="G48544" t="s">
        <v>18085</v>
      </c>
      <c r="H48544" t="s">
        <v>38193</v>
      </c>
    </row>
    <row r="48545" spans="1:8">
      <c r="A48545" t="s">
        <v>4536</v>
      </c>
      <c r="B48545">
        <f>HYPERLINK("https://android.googlesource.com/platform/cts/+/35d66c03de9fdb986d40833f227e19b4e8806aa3", "35d66c03de9fdb986d40833f227e19b4e8806aa3")</f>
        <v>0</v>
      </c>
      <c r="C48545">
        <f>HYPERLINK("https://android.googlesource.com/platform/cts/+/390aca5068b41475519d9201220d9e0d48338a89", "390aca5068b41475519d9201220d9e0d48338a89")</f>
        <v>0</v>
      </c>
      <c r="D48545" t="s">
        <v>5409</v>
      </c>
      <c r="E48545" t="s">
        <v>10198</v>
      </c>
      <c r="F48545" t="s">
        <v>13561</v>
      </c>
      <c r="G48545" t="s">
        <v>17667</v>
      </c>
      <c r="H48545" t="s">
        <v>29902</v>
      </c>
    </row>
    <row r="48546" spans="1:8">
      <c r="F48546" t="s">
        <v>14766</v>
      </c>
      <c r="G48546" t="s">
        <v>18642</v>
      </c>
      <c r="H48546" t="s">
        <v>38194</v>
      </c>
    </row>
    <row r="48547" spans="1:8">
      <c r="F48547" t="s">
        <v>13780</v>
      </c>
      <c r="G48547" t="s">
        <v>17667</v>
      </c>
      <c r="H48547" t="s">
        <v>29902</v>
      </c>
    </row>
    <row r="48548" spans="1:8">
      <c r="F48548" t="s">
        <v>12629</v>
      </c>
      <c r="G48548" t="s">
        <v>16838</v>
      </c>
      <c r="H48548" t="s">
        <v>38195</v>
      </c>
    </row>
    <row r="48549" spans="1:8">
      <c r="H48549" t="s">
        <v>31544</v>
      </c>
    </row>
    <row r="48550" spans="1:8">
      <c r="F48550" t="s">
        <v>12394</v>
      </c>
      <c r="G48550" t="s">
        <v>17294</v>
      </c>
      <c r="H48550" t="s">
        <v>31544</v>
      </c>
    </row>
    <row r="48551" spans="1:8">
      <c r="F48551" t="s">
        <v>14664</v>
      </c>
      <c r="G48551" t="s">
        <v>16838</v>
      </c>
      <c r="H48551" t="s">
        <v>18829</v>
      </c>
    </row>
    <row r="48552" spans="1:8">
      <c r="H48552" t="s">
        <v>38196</v>
      </c>
    </row>
    <row r="48553" spans="1:8">
      <c r="H48553" t="s">
        <v>33813</v>
      </c>
    </row>
    <row r="48554" spans="1:8">
      <c r="H48554" t="s">
        <v>38197</v>
      </c>
    </row>
    <row r="48555" spans="1:8">
      <c r="A48555" t="s">
        <v>4537</v>
      </c>
      <c r="B48555">
        <f>HYPERLINK("https://android.googlesource.com/platform/cts/+/9e9a19b29298c5c59d310b098add614e6531551e", "9e9a19b29298c5c59d310b098add614e6531551e")</f>
        <v>0</v>
      </c>
      <c r="C48555">
        <f>HYPERLINK("https://android.googlesource.com/platform/cts/+/a82d7550bc9c256375ecf8872bdbdf805daba83c", "a82d7550bc9c256375ecf8872bdbdf805daba83c")</f>
        <v>0</v>
      </c>
      <c r="D48555" t="s">
        <v>5460</v>
      </c>
      <c r="E48555" t="s">
        <v>10199</v>
      </c>
      <c r="F48555" t="s">
        <v>14362</v>
      </c>
      <c r="G48555" t="s">
        <v>18309</v>
      </c>
      <c r="H48555" t="s">
        <v>37152</v>
      </c>
    </row>
    <row r="48556" spans="1:8">
      <c r="H48556" t="s">
        <v>37153</v>
      </c>
    </row>
    <row r="48557" spans="1:8">
      <c r="H48557" t="s">
        <v>37154</v>
      </c>
    </row>
    <row r="48558" spans="1:8">
      <c r="A48558" t="s">
        <v>4538</v>
      </c>
      <c r="B48558">
        <f>HYPERLINK("https://android.googlesource.com/platform/cts/+/be96fe647473a01b8f94f6eb3b15464c82ab0050", "be96fe647473a01b8f94f6eb3b15464c82ab0050")</f>
        <v>0</v>
      </c>
      <c r="C48558">
        <f>HYPERLINK("https://android.googlesource.com/platform/cts/+/8f6f633aceddc2b6c280189af6d403bb9dbf55f6", "8f6f633aceddc2b6c280189af6d403bb9dbf55f6")</f>
        <v>0</v>
      </c>
      <c r="D48558" t="s">
        <v>5526</v>
      </c>
      <c r="E48558" t="s">
        <v>10195</v>
      </c>
      <c r="F48558" t="s">
        <v>14708</v>
      </c>
      <c r="G48558" t="s">
        <v>18596</v>
      </c>
      <c r="H48558" t="s">
        <v>18863</v>
      </c>
    </row>
    <row r="48559" spans="1:8">
      <c r="H48559" t="s">
        <v>34004</v>
      </c>
    </row>
    <row r="48560" spans="1:8">
      <c r="H48560" t="s">
        <v>34005</v>
      </c>
    </row>
    <row r="48561" spans="1:8">
      <c r="H48561" t="s">
        <v>37687</v>
      </c>
    </row>
    <row r="48562" spans="1:8">
      <c r="H48562" t="s">
        <v>37688</v>
      </c>
    </row>
    <row r="48563" spans="1:8">
      <c r="A48563" t="s">
        <v>4539</v>
      </c>
      <c r="B48563">
        <f>HYPERLINK("https://android.googlesource.com/platform/cts/+/47b9c978756257733d15167af229fb917e68af6e", "47b9c978756257733d15167af229fb917e68af6e")</f>
        <v>0</v>
      </c>
      <c r="C48563">
        <f>HYPERLINK("https://android.googlesource.com/platform/cts/+/38157b575ebd9b0caceaf1f7b43c20cb018ea2bd", "38157b575ebd9b0caceaf1f7b43c20cb018ea2bd")</f>
        <v>0</v>
      </c>
      <c r="D48563" t="s">
        <v>5718</v>
      </c>
      <c r="E48563" t="s">
        <v>10200</v>
      </c>
      <c r="F48563" t="s">
        <v>14767</v>
      </c>
      <c r="G48563" t="s">
        <v>18643</v>
      </c>
      <c r="H48563" t="s">
        <v>38198</v>
      </c>
    </row>
    <row r="48564" spans="1:8">
      <c r="A48564" t="s">
        <v>4540</v>
      </c>
      <c r="B48564">
        <f>HYPERLINK("https://android.googlesource.com/platform/cts/+/5564399aabe3121f80a65b29e1c15b7ab790cb1b", "5564399aabe3121f80a65b29e1c15b7ab790cb1b")</f>
        <v>0</v>
      </c>
      <c r="C48564">
        <f>HYPERLINK("https://android.googlesource.com/platform/cts/+/668fa92c6202239c41ad0a720e0bfb9caa3a955d", "668fa92c6202239c41ad0a720e0bfb9caa3a955d")</f>
        <v>0</v>
      </c>
      <c r="D48564" t="s">
        <v>5571</v>
      </c>
      <c r="E48564" t="s">
        <v>10201</v>
      </c>
      <c r="F48564" t="s">
        <v>13548</v>
      </c>
      <c r="G48564" t="s">
        <v>15171</v>
      </c>
      <c r="H48564" t="s">
        <v>38199</v>
      </c>
    </row>
    <row r="48565" spans="1:8">
      <c r="A48565" t="s">
        <v>4541</v>
      </c>
      <c r="B48565">
        <f>HYPERLINK("https://android.googlesource.com/platform/cts/+/0744d7aacb7cb454655796841e64f8f9d6786f1a", "0744d7aacb7cb454655796841e64f8f9d6786f1a")</f>
        <v>0</v>
      </c>
      <c r="C48565">
        <f>HYPERLINK("https://android.googlesource.com/platform/cts/+/760a4df405e8d32c2601289f013bc69f6da7da08", "760a4df405e8d32c2601289f013bc69f6da7da08")</f>
        <v>0</v>
      </c>
      <c r="D48565" t="s">
        <v>5719</v>
      </c>
      <c r="E48565" t="s">
        <v>10202</v>
      </c>
      <c r="F48565" t="s">
        <v>14768</v>
      </c>
      <c r="G48565" t="s">
        <v>18644</v>
      </c>
      <c r="H48565" t="s">
        <v>38200</v>
      </c>
    </row>
    <row r="48566" spans="1:8">
      <c r="A48566" t="s">
        <v>4542</v>
      </c>
      <c r="B48566">
        <f>HYPERLINK("https://android.googlesource.com/platform/cts/+/ea932a560c115735da9fea197c7ef0dbf63bef3b", "ea932a560c115735da9fea197c7ef0dbf63bef3b")</f>
        <v>0</v>
      </c>
      <c r="C48566">
        <f>HYPERLINK("https://android.googlesource.com/platform/cts/+/e3e830216821a750a108ef4bd7e5e46388423f4d", "e3e830216821a750a108ef4bd7e5e46388423f4d")</f>
        <v>0</v>
      </c>
      <c r="D48566" t="s">
        <v>5618</v>
      </c>
      <c r="E48566" t="s">
        <v>10203</v>
      </c>
      <c r="F48566" t="s">
        <v>14466</v>
      </c>
      <c r="G48566" t="s">
        <v>18398</v>
      </c>
      <c r="H48566" t="s">
        <v>38201</v>
      </c>
    </row>
    <row r="48567" spans="1:8">
      <c r="H48567" t="s">
        <v>36228</v>
      </c>
    </row>
    <row r="48568" spans="1:8">
      <c r="A48568" t="s">
        <v>4543</v>
      </c>
      <c r="B48568">
        <f>HYPERLINK("https://android.googlesource.com/platform/cts/+/5eec84deae56cff374a2de89ac2d44abc1f750d2", "5eec84deae56cff374a2de89ac2d44abc1f750d2")</f>
        <v>0</v>
      </c>
      <c r="C48568">
        <f>HYPERLINK("https://android.googlesource.com/platform/cts/+/b82cb7ca0aea7104e7f94c5ba673bea4389d688b", "b82cb7ca0aea7104e7f94c5ba673bea4389d688b")</f>
        <v>0</v>
      </c>
      <c r="D48568" t="s">
        <v>5626</v>
      </c>
      <c r="E48568" t="s">
        <v>10204</v>
      </c>
      <c r="F48568" t="s">
        <v>14296</v>
      </c>
      <c r="G48568" t="s">
        <v>18022</v>
      </c>
      <c r="H48568" t="s">
        <v>38202</v>
      </c>
    </row>
    <row r="48569" spans="1:8">
      <c r="A48569" t="s">
        <v>4544</v>
      </c>
      <c r="B48569">
        <f>HYPERLINK("https://android.googlesource.com/platform/cts/+/29eb58233cadd90bb3dde1fe1eece067cb0648cf", "29eb58233cadd90bb3dde1fe1eece067cb0648cf")</f>
        <v>0</v>
      </c>
      <c r="C48569">
        <f>HYPERLINK("https://android.googlesource.com/platform/cts/+/3d5f43c4e2d1668c25dd9644b5355ed90775767b", "3d5f43c4e2d1668c25dd9644b5355ed90775767b")</f>
        <v>0</v>
      </c>
      <c r="D48569" t="s">
        <v>5463</v>
      </c>
      <c r="E48569" t="s">
        <v>10205</v>
      </c>
      <c r="F48569" t="s">
        <v>14769</v>
      </c>
      <c r="G48569" t="s">
        <v>18645</v>
      </c>
      <c r="H48569" t="s">
        <v>38203</v>
      </c>
    </row>
    <row r="48570" spans="1:8">
      <c r="A48570" t="s">
        <v>4545</v>
      </c>
      <c r="B48570">
        <f>HYPERLINK("https://android.googlesource.com/platform/cts/+/55dd5ec4938a61d6a6e75a2b9b11b8129e70235a", "55dd5ec4938a61d6a6e75a2b9b11b8129e70235a")</f>
        <v>0</v>
      </c>
      <c r="C48570">
        <f>HYPERLINK("https://android.googlesource.com/platform/cts/+/3a5db353f240b980c1ed11871c9dac0e69899540", "3a5db353f240b980c1ed11871c9dac0e69899540")</f>
        <v>0</v>
      </c>
      <c r="D48570" t="s">
        <v>5564</v>
      </c>
      <c r="E48570" t="s">
        <v>10206</v>
      </c>
      <c r="F48570" t="s">
        <v>14770</v>
      </c>
      <c r="G48570" t="s">
        <v>17448</v>
      </c>
      <c r="H48570" t="s">
        <v>38204</v>
      </c>
    </row>
    <row r="48571" spans="1:8">
      <c r="H48571" t="s">
        <v>38205</v>
      </c>
    </row>
    <row r="48572" spans="1:8">
      <c r="H48572" t="s">
        <v>38206</v>
      </c>
    </row>
    <row r="48573" spans="1:8">
      <c r="H48573" t="s">
        <v>38207</v>
      </c>
    </row>
    <row r="48574" spans="1:8">
      <c r="H48574" t="s">
        <v>38208</v>
      </c>
    </row>
    <row r="48575" spans="1:8">
      <c r="H48575" t="s">
        <v>38209</v>
      </c>
    </row>
    <row r="48576" spans="1:8">
      <c r="H48576" t="s">
        <v>38210</v>
      </c>
    </row>
    <row r="48577" spans="8:8">
      <c r="H48577" t="s">
        <v>38211</v>
      </c>
    </row>
    <row r="48578" spans="8:8">
      <c r="H48578" t="s">
        <v>38212</v>
      </c>
    </row>
    <row r="48579" spans="8:8">
      <c r="H48579" t="s">
        <v>38213</v>
      </c>
    </row>
    <row r="48580" spans="8:8">
      <c r="H48580" t="s">
        <v>38214</v>
      </c>
    </row>
    <row r="48581" spans="8:8">
      <c r="H48581" t="s">
        <v>38215</v>
      </c>
    </row>
    <row r="48582" spans="8:8">
      <c r="H48582" t="s">
        <v>38216</v>
      </c>
    </row>
    <row r="48583" spans="8:8">
      <c r="H48583" t="s">
        <v>38217</v>
      </c>
    </row>
    <row r="48584" spans="8:8">
      <c r="H48584" t="s">
        <v>38218</v>
      </c>
    </row>
    <row r="48585" spans="8:8">
      <c r="H48585" t="s">
        <v>38219</v>
      </c>
    </row>
    <row r="48586" spans="8:8">
      <c r="H48586" t="s">
        <v>38220</v>
      </c>
    </row>
    <row r="48587" spans="8:8">
      <c r="H48587" t="s">
        <v>38221</v>
      </c>
    </row>
    <row r="48588" spans="8:8">
      <c r="H48588" t="s">
        <v>38222</v>
      </c>
    </row>
    <row r="48589" spans="8:8">
      <c r="H48589" t="s">
        <v>38223</v>
      </c>
    </row>
    <row r="48590" spans="8:8">
      <c r="H48590" t="s">
        <v>38224</v>
      </c>
    </row>
    <row r="48591" spans="8:8">
      <c r="H48591" t="s">
        <v>38225</v>
      </c>
    </row>
    <row r="48592" spans="8:8">
      <c r="H48592" t="s">
        <v>38226</v>
      </c>
    </row>
    <row r="48593" spans="8:8">
      <c r="H48593" t="s">
        <v>38227</v>
      </c>
    </row>
    <row r="48594" spans="8:8">
      <c r="H48594" t="s">
        <v>38228</v>
      </c>
    </row>
    <row r="48595" spans="8:8">
      <c r="H48595" t="s">
        <v>38229</v>
      </c>
    </row>
    <row r="48596" spans="8:8">
      <c r="H48596" t="s">
        <v>38230</v>
      </c>
    </row>
    <row r="48597" spans="8:8">
      <c r="H48597" t="s">
        <v>38231</v>
      </c>
    </row>
    <row r="48598" spans="8:8">
      <c r="H48598" t="s">
        <v>38232</v>
      </c>
    </row>
    <row r="48599" spans="8:8">
      <c r="H48599" t="s">
        <v>38233</v>
      </c>
    </row>
    <row r="48600" spans="8:8">
      <c r="H48600" t="s">
        <v>38234</v>
      </c>
    </row>
    <row r="48601" spans="8:8">
      <c r="H48601" t="s">
        <v>38235</v>
      </c>
    </row>
    <row r="48602" spans="8:8">
      <c r="H48602" t="s">
        <v>38236</v>
      </c>
    </row>
    <row r="48603" spans="8:8">
      <c r="H48603" t="s">
        <v>38237</v>
      </c>
    </row>
    <row r="48604" spans="8:8">
      <c r="H48604" t="s">
        <v>38238</v>
      </c>
    </row>
    <row r="48605" spans="8:8">
      <c r="H48605" t="s">
        <v>38239</v>
      </c>
    </row>
    <row r="48606" spans="8:8">
      <c r="H48606" t="s">
        <v>38240</v>
      </c>
    </row>
    <row r="48607" spans="8:8">
      <c r="H48607" t="s">
        <v>38241</v>
      </c>
    </row>
    <row r="48608" spans="8:8">
      <c r="H48608" t="s">
        <v>38242</v>
      </c>
    </row>
    <row r="48609" spans="8:8">
      <c r="H48609" t="s">
        <v>38243</v>
      </c>
    </row>
    <row r="48610" spans="8:8">
      <c r="H48610" t="s">
        <v>38244</v>
      </c>
    </row>
    <row r="48611" spans="8:8">
      <c r="H48611" t="s">
        <v>38245</v>
      </c>
    </row>
    <row r="48612" spans="8:8">
      <c r="H48612" t="s">
        <v>38246</v>
      </c>
    </row>
    <row r="48613" spans="8:8">
      <c r="H48613" t="s">
        <v>38247</v>
      </c>
    </row>
    <row r="48614" spans="8:8">
      <c r="H48614" t="s">
        <v>38248</v>
      </c>
    </row>
    <row r="48615" spans="8:8">
      <c r="H48615" t="s">
        <v>38249</v>
      </c>
    </row>
    <row r="48616" spans="8:8">
      <c r="H48616" t="s">
        <v>38250</v>
      </c>
    </row>
    <row r="48617" spans="8:8">
      <c r="H48617" t="s">
        <v>38251</v>
      </c>
    </row>
    <row r="48618" spans="8:8">
      <c r="H48618" t="s">
        <v>38252</v>
      </c>
    </row>
    <row r="48619" spans="8:8">
      <c r="H48619" t="s">
        <v>38253</v>
      </c>
    </row>
    <row r="48620" spans="8:8">
      <c r="H48620" t="s">
        <v>38254</v>
      </c>
    </row>
    <row r="48621" spans="8:8">
      <c r="H48621" t="s">
        <v>38255</v>
      </c>
    </row>
    <row r="48622" spans="8:8">
      <c r="H48622" t="s">
        <v>38256</v>
      </c>
    </row>
    <row r="48623" spans="8:8">
      <c r="H48623" t="s">
        <v>38257</v>
      </c>
    </row>
    <row r="48624" spans="8:8">
      <c r="H48624" t="s">
        <v>38258</v>
      </c>
    </row>
    <row r="48625" spans="8:8">
      <c r="H48625" t="s">
        <v>38259</v>
      </c>
    </row>
    <row r="48626" spans="8:8">
      <c r="H48626" t="s">
        <v>38260</v>
      </c>
    </row>
    <row r="48627" spans="8:8">
      <c r="H48627" t="s">
        <v>38261</v>
      </c>
    </row>
    <row r="48628" spans="8:8">
      <c r="H48628" t="s">
        <v>38262</v>
      </c>
    </row>
    <row r="48629" spans="8:8">
      <c r="H48629" t="s">
        <v>38263</v>
      </c>
    </row>
    <row r="48630" spans="8:8">
      <c r="H48630" t="s">
        <v>38264</v>
      </c>
    </row>
    <row r="48631" spans="8:8">
      <c r="H48631" t="s">
        <v>38265</v>
      </c>
    </row>
    <row r="48632" spans="8:8">
      <c r="H48632" t="s">
        <v>38266</v>
      </c>
    </row>
    <row r="48633" spans="8:8">
      <c r="H48633" t="s">
        <v>38267</v>
      </c>
    </row>
    <row r="48634" spans="8:8">
      <c r="H48634" t="s">
        <v>38268</v>
      </c>
    </row>
    <row r="48635" spans="8:8">
      <c r="H48635" t="s">
        <v>38269</v>
      </c>
    </row>
    <row r="48636" spans="8:8">
      <c r="H48636" t="s">
        <v>38270</v>
      </c>
    </row>
    <row r="48637" spans="8:8">
      <c r="H48637" t="s">
        <v>38271</v>
      </c>
    </row>
    <row r="48638" spans="8:8">
      <c r="H48638" t="s">
        <v>38272</v>
      </c>
    </row>
    <row r="48639" spans="8:8">
      <c r="H48639" t="s">
        <v>38273</v>
      </c>
    </row>
    <row r="48640" spans="8:8">
      <c r="H48640" t="s">
        <v>38274</v>
      </c>
    </row>
    <row r="48641" spans="8:8">
      <c r="H48641" t="s">
        <v>38275</v>
      </c>
    </row>
    <row r="48642" spans="8:8">
      <c r="H48642" t="s">
        <v>38276</v>
      </c>
    </row>
    <row r="48643" spans="8:8">
      <c r="H48643" t="s">
        <v>38277</v>
      </c>
    </row>
    <row r="48644" spans="8:8">
      <c r="H48644" t="s">
        <v>38278</v>
      </c>
    </row>
    <row r="48645" spans="8:8">
      <c r="H48645" t="s">
        <v>38279</v>
      </c>
    </row>
    <row r="48646" spans="8:8">
      <c r="H48646" t="s">
        <v>38280</v>
      </c>
    </row>
    <row r="48647" spans="8:8">
      <c r="H48647" t="s">
        <v>38281</v>
      </c>
    </row>
    <row r="48648" spans="8:8">
      <c r="H48648" t="s">
        <v>38282</v>
      </c>
    </row>
    <row r="48649" spans="8:8">
      <c r="H48649" t="s">
        <v>38283</v>
      </c>
    </row>
    <row r="48650" spans="8:8">
      <c r="H48650" t="s">
        <v>38284</v>
      </c>
    </row>
    <row r="48651" spans="8:8">
      <c r="H48651" t="s">
        <v>38285</v>
      </c>
    </row>
    <row r="48652" spans="8:8">
      <c r="H48652" t="s">
        <v>38286</v>
      </c>
    </row>
    <row r="48653" spans="8:8">
      <c r="H48653" t="s">
        <v>38287</v>
      </c>
    </row>
    <row r="48654" spans="8:8">
      <c r="H48654" t="s">
        <v>38288</v>
      </c>
    </row>
    <row r="48655" spans="8:8">
      <c r="H48655" t="s">
        <v>38289</v>
      </c>
    </row>
    <row r="48656" spans="8:8">
      <c r="H48656" t="s">
        <v>38290</v>
      </c>
    </row>
    <row r="48657" spans="1:8">
      <c r="H48657" t="s">
        <v>38291</v>
      </c>
    </row>
    <row r="48658" spans="1:8">
      <c r="H48658" t="s">
        <v>38292</v>
      </c>
    </row>
    <row r="48659" spans="1:8">
      <c r="H48659" t="s">
        <v>38293</v>
      </c>
    </row>
    <row r="48660" spans="1:8">
      <c r="H48660" t="s">
        <v>38294</v>
      </c>
    </row>
    <row r="48661" spans="1:8">
      <c r="H48661" t="s">
        <v>38295</v>
      </c>
    </row>
    <row r="48662" spans="1:8">
      <c r="H48662" t="s">
        <v>19364</v>
      </c>
    </row>
    <row r="48663" spans="1:8">
      <c r="H48663" t="s">
        <v>38296</v>
      </c>
    </row>
    <row r="48664" spans="1:8">
      <c r="H48664" t="s">
        <v>38297</v>
      </c>
    </row>
    <row r="48665" spans="1:8">
      <c r="H48665" t="s">
        <v>38298</v>
      </c>
    </row>
    <row r="48666" spans="1:8">
      <c r="H48666" t="s">
        <v>29155</v>
      </c>
    </row>
    <row r="48667" spans="1:8">
      <c r="H48667" t="s">
        <v>38299</v>
      </c>
    </row>
    <row r="48668" spans="1:8">
      <c r="H48668" t="s">
        <v>26393</v>
      </c>
    </row>
    <row r="48669" spans="1:8">
      <c r="H48669" t="s">
        <v>26393</v>
      </c>
    </row>
    <row r="48670" spans="1:8">
      <c r="H48670" t="s">
        <v>19814</v>
      </c>
    </row>
    <row r="48671" spans="1:8">
      <c r="A48671" t="s">
        <v>4546</v>
      </c>
      <c r="B48671">
        <f>HYPERLINK("https://android.googlesource.com/platform/cts/+/c5993a09d8ece9f95daf348cfe14108e4e90ccb9", "c5993a09d8ece9f95daf348cfe14108e4e90ccb9")</f>
        <v>0</v>
      </c>
      <c r="C48671">
        <f>HYPERLINK("https://android.googlesource.com/platform/cts/+/3a5db353f240b980c1ed11871c9dac0e69899540", "3a5db353f240b980c1ed11871c9dac0e69899540")</f>
        <v>0</v>
      </c>
      <c r="D48671" t="s">
        <v>5564</v>
      </c>
      <c r="E48671" t="s">
        <v>10207</v>
      </c>
      <c r="F48671" t="s">
        <v>14771</v>
      </c>
      <c r="G48671" t="s">
        <v>17076</v>
      </c>
      <c r="H48671" t="s">
        <v>19034</v>
      </c>
    </row>
    <row r="48672" spans="1:8">
      <c r="H48672" t="s">
        <v>38300</v>
      </c>
    </row>
    <row r="48673" spans="1:8">
      <c r="H48673" t="s">
        <v>38301</v>
      </c>
    </row>
    <row r="48674" spans="1:8">
      <c r="H48674" t="s">
        <v>38302</v>
      </c>
    </row>
    <row r="48675" spans="1:8">
      <c r="H48675" t="s">
        <v>38303</v>
      </c>
    </row>
    <row r="48676" spans="1:8">
      <c r="A48676" t="s">
        <v>4547</v>
      </c>
      <c r="B48676">
        <f>HYPERLINK("https://android.googlesource.com/platform/cts/+/d04911e7737437b0dcbf7535b7f287e38d2b599c", "d04911e7737437b0dcbf7535b7f287e38d2b599c")</f>
        <v>0</v>
      </c>
      <c r="C48676">
        <f>HYPERLINK("https://android.googlesource.com/platform/cts/+/3a5db353f240b980c1ed11871c9dac0e69899540", "3a5db353f240b980c1ed11871c9dac0e69899540")</f>
        <v>0</v>
      </c>
      <c r="D48676" t="s">
        <v>5564</v>
      </c>
      <c r="E48676" t="s">
        <v>10208</v>
      </c>
      <c r="F48676" t="s">
        <v>14772</v>
      </c>
      <c r="G48676" t="s">
        <v>16419</v>
      </c>
      <c r="H48676" t="s">
        <v>38304</v>
      </c>
    </row>
    <row r="48677" spans="1:8">
      <c r="H48677" t="s">
        <v>38305</v>
      </c>
    </row>
    <row r="48678" spans="1:8">
      <c r="H48678" t="s">
        <v>38306</v>
      </c>
    </row>
    <row r="48679" spans="1:8">
      <c r="H48679" t="s">
        <v>38307</v>
      </c>
    </row>
    <row r="48680" spans="1:8">
      <c r="H48680" t="s">
        <v>38308</v>
      </c>
    </row>
    <row r="48681" spans="1:8">
      <c r="H48681" t="s">
        <v>38309</v>
      </c>
    </row>
    <row r="48682" spans="1:8">
      <c r="H48682" t="s">
        <v>38310</v>
      </c>
    </row>
    <row r="48683" spans="1:8">
      <c r="H48683" t="s">
        <v>38311</v>
      </c>
    </row>
    <row r="48684" spans="1:8">
      <c r="H48684" t="s">
        <v>38312</v>
      </c>
    </row>
    <row r="48685" spans="1:8">
      <c r="H48685" t="s">
        <v>38313</v>
      </c>
    </row>
    <row r="48686" spans="1:8">
      <c r="H48686" t="s">
        <v>38314</v>
      </c>
    </row>
    <row r="48687" spans="1:8">
      <c r="H48687" t="s">
        <v>38315</v>
      </c>
    </row>
    <row r="48688" spans="1:8">
      <c r="H48688" t="s">
        <v>38316</v>
      </c>
    </row>
    <row r="48689" spans="8:8">
      <c r="H48689" t="s">
        <v>38317</v>
      </c>
    </row>
    <row r="48690" spans="8:8">
      <c r="H48690" t="s">
        <v>38318</v>
      </c>
    </row>
    <row r="48691" spans="8:8">
      <c r="H48691" t="s">
        <v>28847</v>
      </c>
    </row>
    <row r="48692" spans="8:8">
      <c r="H48692" t="s">
        <v>38319</v>
      </c>
    </row>
    <row r="48693" spans="8:8">
      <c r="H48693" t="s">
        <v>38320</v>
      </c>
    </row>
    <row r="48694" spans="8:8">
      <c r="H48694" t="s">
        <v>38321</v>
      </c>
    </row>
    <row r="48695" spans="8:8">
      <c r="H48695" t="s">
        <v>28848</v>
      </c>
    </row>
    <row r="48696" spans="8:8">
      <c r="H48696" t="s">
        <v>38322</v>
      </c>
    </row>
    <row r="48697" spans="8:8">
      <c r="H48697" t="s">
        <v>38323</v>
      </c>
    </row>
    <row r="48698" spans="8:8">
      <c r="H48698" t="s">
        <v>38324</v>
      </c>
    </row>
    <row r="48699" spans="8:8">
      <c r="H48699" t="s">
        <v>28849</v>
      </c>
    </row>
    <row r="48700" spans="8:8">
      <c r="H48700" t="s">
        <v>38325</v>
      </c>
    </row>
    <row r="48701" spans="8:8">
      <c r="H48701" t="s">
        <v>38326</v>
      </c>
    </row>
    <row r="48702" spans="8:8">
      <c r="H48702" t="s">
        <v>38327</v>
      </c>
    </row>
    <row r="48703" spans="8:8">
      <c r="H48703" t="s">
        <v>28850</v>
      </c>
    </row>
    <row r="48704" spans="8:8">
      <c r="H48704" t="s">
        <v>38328</v>
      </c>
    </row>
    <row r="48705" spans="1:8">
      <c r="A48705" t="s">
        <v>4548</v>
      </c>
      <c r="B48705">
        <f>HYPERLINK("https://android.googlesource.com/platform/cts/+/87cd8d2d4ba1c31de4070eaac2c674ed14c3ff9e", "87cd8d2d4ba1c31de4070eaac2c674ed14c3ff9e")</f>
        <v>0</v>
      </c>
      <c r="C48705">
        <f>HYPERLINK("https://android.googlesource.com/platform/cts/+/3a5db353f240b980c1ed11871c9dac0e69899540", "3a5db353f240b980c1ed11871c9dac0e69899540")</f>
        <v>0</v>
      </c>
      <c r="D48705" t="s">
        <v>5564</v>
      </c>
      <c r="E48705" t="s">
        <v>10209</v>
      </c>
      <c r="F48705" t="s">
        <v>14773</v>
      </c>
      <c r="G48705" t="s">
        <v>16648</v>
      </c>
      <c r="H48705" t="s">
        <v>37821</v>
      </c>
    </row>
    <row r="48706" spans="1:8">
      <c r="H48706" t="s">
        <v>37822</v>
      </c>
    </row>
    <row r="48707" spans="1:8">
      <c r="H48707" t="s">
        <v>37823</v>
      </c>
    </row>
    <row r="48708" spans="1:8">
      <c r="H48708" t="s">
        <v>37824</v>
      </c>
    </row>
    <row r="48709" spans="1:8">
      <c r="H48709" t="s">
        <v>37825</v>
      </c>
    </row>
    <row r="48710" spans="1:8">
      <c r="H48710" t="s">
        <v>37826</v>
      </c>
    </row>
    <row r="48711" spans="1:8">
      <c r="H48711" t="s">
        <v>37827</v>
      </c>
    </row>
    <row r="48712" spans="1:8">
      <c r="H48712" t="s">
        <v>37828</v>
      </c>
    </row>
    <row r="48713" spans="1:8">
      <c r="H48713" t="s">
        <v>37829</v>
      </c>
    </row>
    <row r="48714" spans="1:8">
      <c r="H48714" t="s">
        <v>37830</v>
      </c>
    </row>
    <row r="48715" spans="1:8">
      <c r="H48715" t="s">
        <v>37831</v>
      </c>
    </row>
    <row r="48716" spans="1:8">
      <c r="H48716" t="s">
        <v>37832</v>
      </c>
    </row>
    <row r="48717" spans="1:8">
      <c r="H48717" t="s">
        <v>37819</v>
      </c>
    </row>
    <row r="48718" spans="1:8">
      <c r="H48718" t="s">
        <v>37820</v>
      </c>
    </row>
    <row r="48719" spans="1:8">
      <c r="H48719" t="s">
        <v>38329</v>
      </c>
    </row>
    <row r="48720" spans="1:8">
      <c r="H48720" t="s">
        <v>38330</v>
      </c>
    </row>
    <row r="48721" spans="8:8">
      <c r="H48721" t="s">
        <v>38331</v>
      </c>
    </row>
    <row r="48722" spans="8:8">
      <c r="H48722" t="s">
        <v>38332</v>
      </c>
    </row>
    <row r="48723" spans="8:8">
      <c r="H48723" t="s">
        <v>38333</v>
      </c>
    </row>
    <row r="48724" spans="8:8">
      <c r="H48724" t="s">
        <v>38334</v>
      </c>
    </row>
    <row r="48725" spans="8:8">
      <c r="H48725" t="s">
        <v>38335</v>
      </c>
    </row>
    <row r="48726" spans="8:8">
      <c r="H48726" t="s">
        <v>38336</v>
      </c>
    </row>
    <row r="48727" spans="8:8">
      <c r="H48727" t="s">
        <v>38337</v>
      </c>
    </row>
    <row r="48728" spans="8:8">
      <c r="H48728" t="s">
        <v>38338</v>
      </c>
    </row>
    <row r="48729" spans="8:8">
      <c r="H48729" t="s">
        <v>38339</v>
      </c>
    </row>
    <row r="48730" spans="8:8">
      <c r="H48730" t="s">
        <v>38340</v>
      </c>
    </row>
    <row r="48731" spans="8:8">
      <c r="H48731" t="s">
        <v>38341</v>
      </c>
    </row>
    <row r="48732" spans="8:8">
      <c r="H48732" t="s">
        <v>38342</v>
      </c>
    </row>
    <row r="48733" spans="8:8">
      <c r="H48733" t="s">
        <v>38343</v>
      </c>
    </row>
    <row r="48734" spans="8:8">
      <c r="H48734" t="s">
        <v>38344</v>
      </c>
    </row>
    <row r="48735" spans="8:8">
      <c r="H48735" t="s">
        <v>38345</v>
      </c>
    </row>
    <row r="48736" spans="8:8">
      <c r="H48736" t="s">
        <v>38346</v>
      </c>
    </row>
    <row r="48737" spans="8:8">
      <c r="H48737" t="s">
        <v>38347</v>
      </c>
    </row>
    <row r="48738" spans="8:8">
      <c r="H48738" t="s">
        <v>38348</v>
      </c>
    </row>
    <row r="48739" spans="8:8">
      <c r="H48739" t="s">
        <v>38349</v>
      </c>
    </row>
    <row r="48740" spans="8:8">
      <c r="H48740" t="s">
        <v>38350</v>
      </c>
    </row>
    <row r="48741" spans="8:8">
      <c r="H48741" t="s">
        <v>38351</v>
      </c>
    </row>
    <row r="48742" spans="8:8">
      <c r="H48742" t="s">
        <v>38352</v>
      </c>
    </row>
    <row r="48743" spans="8:8">
      <c r="H48743" t="s">
        <v>38353</v>
      </c>
    </row>
    <row r="48744" spans="8:8">
      <c r="H48744" t="s">
        <v>38354</v>
      </c>
    </row>
    <row r="48745" spans="8:8">
      <c r="H48745" t="s">
        <v>38355</v>
      </c>
    </row>
    <row r="48746" spans="8:8">
      <c r="H48746" t="s">
        <v>38356</v>
      </c>
    </row>
    <row r="48747" spans="8:8">
      <c r="H48747" t="s">
        <v>38357</v>
      </c>
    </row>
    <row r="48748" spans="8:8">
      <c r="H48748" t="s">
        <v>38358</v>
      </c>
    </row>
    <row r="48749" spans="8:8">
      <c r="H48749" t="s">
        <v>38359</v>
      </c>
    </row>
    <row r="48750" spans="8:8">
      <c r="H48750" t="s">
        <v>38360</v>
      </c>
    </row>
    <row r="48751" spans="8:8">
      <c r="H48751" t="s">
        <v>38361</v>
      </c>
    </row>
    <row r="48752" spans="8:8">
      <c r="H48752" t="s">
        <v>38362</v>
      </c>
    </row>
    <row r="48753" spans="8:8">
      <c r="H48753" t="s">
        <v>38363</v>
      </c>
    </row>
    <row r="48754" spans="8:8">
      <c r="H48754" t="s">
        <v>38364</v>
      </c>
    </row>
    <row r="48755" spans="8:8">
      <c r="H48755" t="s">
        <v>38365</v>
      </c>
    </row>
    <row r="48756" spans="8:8">
      <c r="H48756" t="s">
        <v>38366</v>
      </c>
    </row>
    <row r="48757" spans="8:8">
      <c r="H48757" t="s">
        <v>38367</v>
      </c>
    </row>
    <row r="48758" spans="8:8">
      <c r="H48758" t="s">
        <v>38368</v>
      </c>
    </row>
    <row r="48759" spans="8:8">
      <c r="H48759" t="s">
        <v>38369</v>
      </c>
    </row>
    <row r="48760" spans="8:8">
      <c r="H48760" t="s">
        <v>38370</v>
      </c>
    </row>
    <row r="48761" spans="8:8">
      <c r="H48761" t="s">
        <v>38371</v>
      </c>
    </row>
    <row r="48762" spans="8:8">
      <c r="H48762" t="s">
        <v>38372</v>
      </c>
    </row>
    <row r="48763" spans="8:8">
      <c r="H48763" t="s">
        <v>38373</v>
      </c>
    </row>
    <row r="48764" spans="8:8">
      <c r="H48764" t="s">
        <v>38374</v>
      </c>
    </row>
    <row r="48765" spans="8:8">
      <c r="H48765" t="s">
        <v>38375</v>
      </c>
    </row>
    <row r="48766" spans="8:8">
      <c r="H48766" t="s">
        <v>38376</v>
      </c>
    </row>
    <row r="48767" spans="8:8">
      <c r="H48767" t="s">
        <v>38377</v>
      </c>
    </row>
    <row r="48768" spans="8:8">
      <c r="H48768" t="s">
        <v>38378</v>
      </c>
    </row>
    <row r="48769" spans="8:8">
      <c r="H48769" t="s">
        <v>38379</v>
      </c>
    </row>
    <row r="48770" spans="8:8">
      <c r="H48770" t="s">
        <v>38380</v>
      </c>
    </row>
    <row r="48771" spans="8:8">
      <c r="H48771" t="s">
        <v>38381</v>
      </c>
    </row>
    <row r="48772" spans="8:8">
      <c r="H48772" t="s">
        <v>38382</v>
      </c>
    </row>
    <row r="48773" spans="8:8">
      <c r="H48773" t="s">
        <v>38383</v>
      </c>
    </row>
    <row r="48774" spans="8:8">
      <c r="H48774" t="s">
        <v>38384</v>
      </c>
    </row>
    <row r="48775" spans="8:8">
      <c r="H48775" t="s">
        <v>38385</v>
      </c>
    </row>
    <row r="48776" spans="8:8">
      <c r="H48776" t="s">
        <v>38386</v>
      </c>
    </row>
    <row r="48777" spans="8:8">
      <c r="H48777" t="s">
        <v>38387</v>
      </c>
    </row>
    <row r="48778" spans="8:8">
      <c r="H48778" t="s">
        <v>38388</v>
      </c>
    </row>
    <row r="48779" spans="8:8">
      <c r="H48779" t="s">
        <v>38389</v>
      </c>
    </row>
    <row r="48780" spans="8:8">
      <c r="H48780" t="s">
        <v>38390</v>
      </c>
    </row>
    <row r="48781" spans="8:8">
      <c r="H48781" t="s">
        <v>38391</v>
      </c>
    </row>
    <row r="48782" spans="8:8">
      <c r="H48782" t="s">
        <v>38392</v>
      </c>
    </row>
    <row r="48783" spans="8:8">
      <c r="H48783" t="s">
        <v>38393</v>
      </c>
    </row>
    <row r="48784" spans="8:8">
      <c r="H48784" t="s">
        <v>38394</v>
      </c>
    </row>
    <row r="48785" spans="8:8">
      <c r="H48785" t="s">
        <v>38395</v>
      </c>
    </row>
    <row r="48786" spans="8:8">
      <c r="H48786" t="s">
        <v>38396</v>
      </c>
    </row>
    <row r="48787" spans="8:8">
      <c r="H48787" t="s">
        <v>38397</v>
      </c>
    </row>
    <row r="48788" spans="8:8">
      <c r="H48788" t="s">
        <v>38398</v>
      </c>
    </row>
    <row r="48789" spans="8:8">
      <c r="H48789" t="s">
        <v>38399</v>
      </c>
    </row>
    <row r="48790" spans="8:8">
      <c r="H48790" t="s">
        <v>38400</v>
      </c>
    </row>
    <row r="48791" spans="8:8">
      <c r="H48791" t="s">
        <v>38401</v>
      </c>
    </row>
    <row r="48792" spans="8:8">
      <c r="H48792" t="s">
        <v>38402</v>
      </c>
    </row>
    <row r="48793" spans="8:8">
      <c r="H48793" t="s">
        <v>38403</v>
      </c>
    </row>
    <row r="48794" spans="8:8">
      <c r="H48794" t="s">
        <v>38404</v>
      </c>
    </row>
    <row r="48795" spans="8:8">
      <c r="H48795" t="s">
        <v>38405</v>
      </c>
    </row>
    <row r="48796" spans="8:8">
      <c r="H48796" t="s">
        <v>38406</v>
      </c>
    </row>
    <row r="48797" spans="8:8">
      <c r="H48797" t="s">
        <v>38407</v>
      </c>
    </row>
    <row r="48798" spans="8:8">
      <c r="H48798" t="s">
        <v>38408</v>
      </c>
    </row>
    <row r="48799" spans="8:8">
      <c r="H48799" t="s">
        <v>38409</v>
      </c>
    </row>
    <row r="48800" spans="8:8">
      <c r="H48800" t="s">
        <v>38410</v>
      </c>
    </row>
    <row r="48801" spans="8:8">
      <c r="H48801" t="s">
        <v>38411</v>
      </c>
    </row>
    <row r="48802" spans="8:8">
      <c r="H48802" t="s">
        <v>38412</v>
      </c>
    </row>
    <row r="48803" spans="8:8">
      <c r="H48803" t="s">
        <v>38413</v>
      </c>
    </row>
    <row r="48804" spans="8:8">
      <c r="H48804" t="s">
        <v>38414</v>
      </c>
    </row>
    <row r="48805" spans="8:8">
      <c r="H48805" t="s">
        <v>38415</v>
      </c>
    </row>
    <row r="48806" spans="8:8">
      <c r="H48806" t="s">
        <v>38416</v>
      </c>
    </row>
    <row r="48807" spans="8:8">
      <c r="H48807" t="s">
        <v>38417</v>
      </c>
    </row>
    <row r="48808" spans="8:8">
      <c r="H48808" t="s">
        <v>38418</v>
      </c>
    </row>
    <row r="48809" spans="8:8">
      <c r="H48809" t="s">
        <v>38419</v>
      </c>
    </row>
    <row r="48810" spans="8:8">
      <c r="H48810" t="s">
        <v>38420</v>
      </c>
    </row>
    <row r="48811" spans="8:8">
      <c r="H48811" t="s">
        <v>38421</v>
      </c>
    </row>
    <row r="48812" spans="8:8">
      <c r="H48812" t="s">
        <v>38422</v>
      </c>
    </row>
    <row r="48813" spans="8:8">
      <c r="H48813" t="s">
        <v>38423</v>
      </c>
    </row>
    <row r="48814" spans="8:8">
      <c r="H48814" t="s">
        <v>38424</v>
      </c>
    </row>
    <row r="48815" spans="8:8">
      <c r="H48815" t="s">
        <v>38425</v>
      </c>
    </row>
    <row r="48816" spans="8:8">
      <c r="H48816" t="s">
        <v>38426</v>
      </c>
    </row>
    <row r="48817" spans="8:8">
      <c r="H48817" t="s">
        <v>38427</v>
      </c>
    </row>
    <row r="48818" spans="8:8">
      <c r="H48818" t="s">
        <v>38428</v>
      </c>
    </row>
    <row r="48819" spans="8:8">
      <c r="H48819" t="s">
        <v>38429</v>
      </c>
    </row>
    <row r="48820" spans="8:8">
      <c r="H48820" t="s">
        <v>38430</v>
      </c>
    </row>
    <row r="48821" spans="8:8">
      <c r="H48821" t="s">
        <v>38431</v>
      </c>
    </row>
    <row r="48822" spans="8:8">
      <c r="H48822" t="s">
        <v>38432</v>
      </c>
    </row>
    <row r="48823" spans="8:8">
      <c r="H48823" t="s">
        <v>38433</v>
      </c>
    </row>
    <row r="48824" spans="8:8">
      <c r="H48824" t="s">
        <v>38434</v>
      </c>
    </row>
    <row r="48825" spans="8:8">
      <c r="H48825" t="s">
        <v>38435</v>
      </c>
    </row>
    <row r="48826" spans="8:8">
      <c r="H48826" t="s">
        <v>38436</v>
      </c>
    </row>
    <row r="48827" spans="8:8">
      <c r="H48827" t="s">
        <v>38437</v>
      </c>
    </row>
    <row r="48828" spans="8:8">
      <c r="H48828" t="s">
        <v>38438</v>
      </c>
    </row>
    <row r="48829" spans="8:8">
      <c r="H48829" t="s">
        <v>38439</v>
      </c>
    </row>
    <row r="48830" spans="8:8">
      <c r="H48830" t="s">
        <v>38440</v>
      </c>
    </row>
    <row r="48831" spans="8:8">
      <c r="H48831" t="s">
        <v>38441</v>
      </c>
    </row>
    <row r="48832" spans="8:8">
      <c r="H48832" t="s">
        <v>38442</v>
      </c>
    </row>
    <row r="48833" spans="8:8">
      <c r="H48833" t="s">
        <v>38443</v>
      </c>
    </row>
    <row r="48834" spans="8:8">
      <c r="H48834" t="s">
        <v>38444</v>
      </c>
    </row>
    <row r="48835" spans="8:8">
      <c r="H48835" t="s">
        <v>38445</v>
      </c>
    </row>
    <row r="48836" spans="8:8">
      <c r="H48836" t="s">
        <v>38446</v>
      </c>
    </row>
    <row r="48837" spans="8:8">
      <c r="H48837" t="s">
        <v>38447</v>
      </c>
    </row>
    <row r="48838" spans="8:8">
      <c r="H48838" t="s">
        <v>38448</v>
      </c>
    </row>
    <row r="48839" spans="8:8">
      <c r="H48839" t="s">
        <v>38449</v>
      </c>
    </row>
    <row r="48840" spans="8:8">
      <c r="H48840" t="s">
        <v>38450</v>
      </c>
    </row>
    <row r="48841" spans="8:8">
      <c r="H48841" t="s">
        <v>38451</v>
      </c>
    </row>
    <row r="48842" spans="8:8">
      <c r="H48842" t="s">
        <v>38452</v>
      </c>
    </row>
    <row r="48843" spans="8:8">
      <c r="H48843" t="s">
        <v>38453</v>
      </c>
    </row>
    <row r="48844" spans="8:8">
      <c r="H48844" t="s">
        <v>38454</v>
      </c>
    </row>
    <row r="48845" spans="8:8">
      <c r="H48845" t="s">
        <v>38455</v>
      </c>
    </row>
    <row r="48846" spans="8:8">
      <c r="H48846" t="s">
        <v>38456</v>
      </c>
    </row>
    <row r="48847" spans="8:8">
      <c r="H48847" t="s">
        <v>38457</v>
      </c>
    </row>
    <row r="48848" spans="8:8">
      <c r="H48848" t="s">
        <v>38458</v>
      </c>
    </row>
    <row r="48849" spans="8:8">
      <c r="H48849" t="s">
        <v>38459</v>
      </c>
    </row>
    <row r="48850" spans="8:8">
      <c r="H48850" t="s">
        <v>38460</v>
      </c>
    </row>
    <row r="48851" spans="8:8">
      <c r="H48851" t="s">
        <v>38461</v>
      </c>
    </row>
    <row r="48852" spans="8:8">
      <c r="H48852" t="s">
        <v>38462</v>
      </c>
    </row>
    <row r="48853" spans="8:8">
      <c r="H48853" t="s">
        <v>38463</v>
      </c>
    </row>
    <row r="48854" spans="8:8">
      <c r="H48854" t="s">
        <v>38464</v>
      </c>
    </row>
    <row r="48855" spans="8:8">
      <c r="H48855" t="s">
        <v>38465</v>
      </c>
    </row>
    <row r="48856" spans="8:8">
      <c r="H48856" t="s">
        <v>38466</v>
      </c>
    </row>
    <row r="48857" spans="8:8">
      <c r="H48857" t="s">
        <v>38467</v>
      </c>
    </row>
    <row r="48858" spans="8:8">
      <c r="H48858" t="s">
        <v>38468</v>
      </c>
    </row>
    <row r="48859" spans="8:8">
      <c r="H48859" t="s">
        <v>38469</v>
      </c>
    </row>
    <row r="48860" spans="8:8">
      <c r="H48860" t="s">
        <v>38470</v>
      </c>
    </row>
    <row r="48861" spans="8:8">
      <c r="H48861" t="s">
        <v>38471</v>
      </c>
    </row>
    <row r="48862" spans="8:8">
      <c r="H48862" t="s">
        <v>38472</v>
      </c>
    </row>
    <row r="48863" spans="8:8">
      <c r="H48863" t="s">
        <v>38473</v>
      </c>
    </row>
    <row r="48864" spans="8:8">
      <c r="H48864" t="s">
        <v>38474</v>
      </c>
    </row>
    <row r="48865" spans="8:8">
      <c r="H48865" t="s">
        <v>38475</v>
      </c>
    </row>
    <row r="48866" spans="8:8">
      <c r="H48866" t="s">
        <v>38476</v>
      </c>
    </row>
    <row r="48867" spans="8:8">
      <c r="H48867" t="s">
        <v>38477</v>
      </c>
    </row>
    <row r="48868" spans="8:8">
      <c r="H48868" t="s">
        <v>38478</v>
      </c>
    </row>
    <row r="48869" spans="8:8">
      <c r="H48869" t="s">
        <v>38479</v>
      </c>
    </row>
    <row r="48870" spans="8:8">
      <c r="H48870" t="s">
        <v>38480</v>
      </c>
    </row>
    <row r="48871" spans="8:8">
      <c r="H48871" t="s">
        <v>38481</v>
      </c>
    </row>
    <row r="48872" spans="8:8">
      <c r="H48872" t="s">
        <v>38482</v>
      </c>
    </row>
    <row r="48873" spans="8:8">
      <c r="H48873" t="s">
        <v>38483</v>
      </c>
    </row>
    <row r="48874" spans="8:8">
      <c r="H48874" t="s">
        <v>38484</v>
      </c>
    </row>
    <row r="48875" spans="8:8">
      <c r="H48875" t="s">
        <v>38485</v>
      </c>
    </row>
    <row r="48876" spans="8:8">
      <c r="H48876" t="s">
        <v>38486</v>
      </c>
    </row>
    <row r="48877" spans="8:8">
      <c r="H48877" t="s">
        <v>38487</v>
      </c>
    </row>
    <row r="48878" spans="8:8">
      <c r="H48878" t="s">
        <v>38488</v>
      </c>
    </row>
    <row r="48879" spans="8:8">
      <c r="H48879" t="s">
        <v>38489</v>
      </c>
    </row>
    <row r="48880" spans="8:8">
      <c r="H48880" t="s">
        <v>38490</v>
      </c>
    </row>
    <row r="48881" spans="8:8">
      <c r="H48881" t="s">
        <v>38491</v>
      </c>
    </row>
    <row r="48882" spans="8:8">
      <c r="H48882" t="s">
        <v>38492</v>
      </c>
    </row>
    <row r="48883" spans="8:8">
      <c r="H48883" t="s">
        <v>38493</v>
      </c>
    </row>
    <row r="48884" spans="8:8">
      <c r="H48884" t="s">
        <v>38494</v>
      </c>
    </row>
    <row r="48885" spans="8:8">
      <c r="H48885" t="s">
        <v>38495</v>
      </c>
    </row>
    <row r="48886" spans="8:8">
      <c r="H48886" t="s">
        <v>38496</v>
      </c>
    </row>
    <row r="48887" spans="8:8">
      <c r="H48887" t="s">
        <v>38497</v>
      </c>
    </row>
    <row r="48888" spans="8:8">
      <c r="H48888" t="s">
        <v>38498</v>
      </c>
    </row>
    <row r="48889" spans="8:8">
      <c r="H48889" t="s">
        <v>38499</v>
      </c>
    </row>
    <row r="48890" spans="8:8">
      <c r="H48890" t="s">
        <v>38500</v>
      </c>
    </row>
    <row r="48891" spans="8:8">
      <c r="H48891" t="s">
        <v>38501</v>
      </c>
    </row>
    <row r="48892" spans="8:8">
      <c r="H48892" t="s">
        <v>38502</v>
      </c>
    </row>
    <row r="48893" spans="8:8">
      <c r="H48893" t="s">
        <v>38503</v>
      </c>
    </row>
    <row r="48894" spans="8:8">
      <c r="H48894" t="s">
        <v>38504</v>
      </c>
    </row>
    <row r="48895" spans="8:8">
      <c r="H48895" t="s">
        <v>38505</v>
      </c>
    </row>
    <row r="48896" spans="8:8">
      <c r="H48896" t="s">
        <v>38506</v>
      </c>
    </row>
    <row r="48897" spans="8:8">
      <c r="H48897" t="s">
        <v>38507</v>
      </c>
    </row>
    <row r="48898" spans="8:8">
      <c r="H48898" t="s">
        <v>38508</v>
      </c>
    </row>
    <row r="48899" spans="8:8">
      <c r="H48899" t="s">
        <v>38509</v>
      </c>
    </row>
    <row r="48900" spans="8:8">
      <c r="H48900" t="s">
        <v>38510</v>
      </c>
    </row>
    <row r="48901" spans="8:8">
      <c r="H48901" t="s">
        <v>38511</v>
      </c>
    </row>
    <row r="48902" spans="8:8">
      <c r="H48902" t="s">
        <v>38512</v>
      </c>
    </row>
    <row r="48903" spans="8:8">
      <c r="H48903" t="s">
        <v>38513</v>
      </c>
    </row>
    <row r="48904" spans="8:8">
      <c r="H48904" t="s">
        <v>38514</v>
      </c>
    </row>
    <row r="48905" spans="8:8">
      <c r="H48905" t="s">
        <v>38515</v>
      </c>
    </row>
    <row r="48906" spans="8:8">
      <c r="H48906" t="s">
        <v>38516</v>
      </c>
    </row>
    <row r="48907" spans="8:8">
      <c r="H48907" t="s">
        <v>38517</v>
      </c>
    </row>
    <row r="48908" spans="8:8">
      <c r="H48908" t="s">
        <v>38518</v>
      </c>
    </row>
    <row r="48909" spans="8:8">
      <c r="H48909" t="s">
        <v>38519</v>
      </c>
    </row>
    <row r="48910" spans="8:8">
      <c r="H48910" t="s">
        <v>38520</v>
      </c>
    </row>
    <row r="48911" spans="8:8">
      <c r="H48911" t="s">
        <v>38521</v>
      </c>
    </row>
    <row r="48912" spans="8:8">
      <c r="H48912" t="s">
        <v>38522</v>
      </c>
    </row>
    <row r="48913" spans="8:8">
      <c r="H48913" t="s">
        <v>38523</v>
      </c>
    </row>
    <row r="48914" spans="8:8">
      <c r="H48914" t="s">
        <v>38524</v>
      </c>
    </row>
    <row r="48915" spans="8:8">
      <c r="H48915" t="s">
        <v>38525</v>
      </c>
    </row>
    <row r="48916" spans="8:8">
      <c r="H48916" t="s">
        <v>38526</v>
      </c>
    </row>
    <row r="48917" spans="8:8">
      <c r="H48917" t="s">
        <v>38527</v>
      </c>
    </row>
    <row r="48918" spans="8:8">
      <c r="H48918" t="s">
        <v>38528</v>
      </c>
    </row>
    <row r="48919" spans="8:8">
      <c r="H48919" t="s">
        <v>38529</v>
      </c>
    </row>
    <row r="48920" spans="8:8">
      <c r="H48920" t="s">
        <v>38530</v>
      </c>
    </row>
    <row r="48921" spans="8:8">
      <c r="H48921" t="s">
        <v>38531</v>
      </c>
    </row>
    <row r="48922" spans="8:8">
      <c r="H48922" t="s">
        <v>38532</v>
      </c>
    </row>
    <row r="48923" spans="8:8">
      <c r="H48923" t="s">
        <v>38533</v>
      </c>
    </row>
    <row r="48924" spans="8:8">
      <c r="H48924" t="s">
        <v>38534</v>
      </c>
    </row>
    <row r="48925" spans="8:8">
      <c r="H48925" t="s">
        <v>38535</v>
      </c>
    </row>
    <row r="48926" spans="8:8">
      <c r="H48926" t="s">
        <v>38536</v>
      </c>
    </row>
    <row r="48927" spans="8:8">
      <c r="H48927" t="s">
        <v>38537</v>
      </c>
    </row>
    <row r="48928" spans="8:8">
      <c r="H48928" t="s">
        <v>38538</v>
      </c>
    </row>
    <row r="48929" spans="8:8">
      <c r="H48929" t="s">
        <v>38539</v>
      </c>
    </row>
    <row r="48930" spans="8:8">
      <c r="H48930" t="s">
        <v>38540</v>
      </c>
    </row>
    <row r="48931" spans="8:8">
      <c r="H48931" t="s">
        <v>38541</v>
      </c>
    </row>
    <row r="48932" spans="8:8">
      <c r="H48932" t="s">
        <v>38542</v>
      </c>
    </row>
    <row r="48933" spans="8:8">
      <c r="H48933" t="s">
        <v>38543</v>
      </c>
    </row>
    <row r="48934" spans="8:8">
      <c r="H48934" t="s">
        <v>38544</v>
      </c>
    </row>
    <row r="48935" spans="8:8">
      <c r="H48935" t="s">
        <v>38545</v>
      </c>
    </row>
    <row r="48936" spans="8:8">
      <c r="H48936" t="s">
        <v>38546</v>
      </c>
    </row>
    <row r="48937" spans="8:8">
      <c r="H48937" t="s">
        <v>38547</v>
      </c>
    </row>
    <row r="48938" spans="8:8">
      <c r="H48938" t="s">
        <v>38548</v>
      </c>
    </row>
    <row r="48939" spans="8:8">
      <c r="H48939" t="s">
        <v>38549</v>
      </c>
    </row>
    <row r="48940" spans="8:8">
      <c r="H48940" t="s">
        <v>38550</v>
      </c>
    </row>
    <row r="48941" spans="8:8">
      <c r="H48941" t="s">
        <v>38551</v>
      </c>
    </row>
    <row r="48942" spans="8:8">
      <c r="H48942" t="s">
        <v>38552</v>
      </c>
    </row>
    <row r="48943" spans="8:8">
      <c r="H48943" t="s">
        <v>38553</v>
      </c>
    </row>
    <row r="48944" spans="8:8">
      <c r="H48944" t="s">
        <v>38554</v>
      </c>
    </row>
    <row r="48945" spans="8:8">
      <c r="H48945" t="s">
        <v>38555</v>
      </c>
    </row>
    <row r="48946" spans="8:8">
      <c r="H48946" t="s">
        <v>38556</v>
      </c>
    </row>
    <row r="48947" spans="8:8">
      <c r="H48947" t="s">
        <v>38557</v>
      </c>
    </row>
    <row r="48948" spans="8:8">
      <c r="H48948" t="s">
        <v>38558</v>
      </c>
    </row>
    <row r="48949" spans="8:8">
      <c r="H48949" t="s">
        <v>38559</v>
      </c>
    </row>
    <row r="48950" spans="8:8">
      <c r="H48950" t="s">
        <v>38560</v>
      </c>
    </row>
    <row r="48951" spans="8:8">
      <c r="H48951" t="s">
        <v>38561</v>
      </c>
    </row>
    <row r="48952" spans="8:8">
      <c r="H48952" t="s">
        <v>38562</v>
      </c>
    </row>
    <row r="48953" spans="8:8">
      <c r="H48953" t="s">
        <v>38563</v>
      </c>
    </row>
    <row r="48954" spans="8:8">
      <c r="H48954" t="s">
        <v>38564</v>
      </c>
    </row>
    <row r="48955" spans="8:8">
      <c r="H48955" t="s">
        <v>38565</v>
      </c>
    </row>
    <row r="48956" spans="8:8">
      <c r="H48956" t="s">
        <v>38566</v>
      </c>
    </row>
    <row r="48957" spans="8:8">
      <c r="H48957" t="s">
        <v>38567</v>
      </c>
    </row>
    <row r="48958" spans="8:8">
      <c r="H48958" t="s">
        <v>38568</v>
      </c>
    </row>
    <row r="48959" spans="8:8">
      <c r="H48959" t="s">
        <v>38569</v>
      </c>
    </row>
    <row r="48960" spans="8:8">
      <c r="H48960" t="s">
        <v>38570</v>
      </c>
    </row>
    <row r="48961" spans="8:8">
      <c r="H48961" t="s">
        <v>38571</v>
      </c>
    </row>
    <row r="48962" spans="8:8">
      <c r="H48962" t="s">
        <v>38572</v>
      </c>
    </row>
    <row r="48963" spans="8:8">
      <c r="H48963" t="s">
        <v>38573</v>
      </c>
    </row>
    <row r="48964" spans="8:8">
      <c r="H48964" t="s">
        <v>38574</v>
      </c>
    </row>
    <row r="48965" spans="8:8">
      <c r="H48965" t="s">
        <v>38575</v>
      </c>
    </row>
    <row r="48966" spans="8:8">
      <c r="H48966" t="s">
        <v>38576</v>
      </c>
    </row>
    <row r="48967" spans="8:8">
      <c r="H48967" t="s">
        <v>38577</v>
      </c>
    </row>
    <row r="48968" spans="8:8">
      <c r="H48968" t="s">
        <v>38578</v>
      </c>
    </row>
    <row r="48969" spans="8:8">
      <c r="H48969" t="s">
        <v>38579</v>
      </c>
    </row>
    <row r="48970" spans="8:8">
      <c r="H48970" t="s">
        <v>38580</v>
      </c>
    </row>
    <row r="48971" spans="8:8">
      <c r="H48971" t="s">
        <v>38581</v>
      </c>
    </row>
    <row r="48972" spans="8:8">
      <c r="H48972" t="s">
        <v>38582</v>
      </c>
    </row>
    <row r="48973" spans="8:8">
      <c r="H48973" t="s">
        <v>38583</v>
      </c>
    </row>
    <row r="48974" spans="8:8">
      <c r="H48974" t="s">
        <v>38584</v>
      </c>
    </row>
    <row r="48975" spans="8:8">
      <c r="H48975" t="s">
        <v>38585</v>
      </c>
    </row>
    <row r="48976" spans="8:8">
      <c r="H48976" t="s">
        <v>38586</v>
      </c>
    </row>
    <row r="48977" spans="8:8">
      <c r="H48977" t="s">
        <v>38587</v>
      </c>
    </row>
    <row r="48978" spans="8:8">
      <c r="H48978" t="s">
        <v>38588</v>
      </c>
    </row>
    <row r="48979" spans="8:8">
      <c r="H48979" t="s">
        <v>38589</v>
      </c>
    </row>
    <row r="48980" spans="8:8">
      <c r="H48980" t="s">
        <v>38590</v>
      </c>
    </row>
    <row r="48981" spans="8:8">
      <c r="H48981" t="s">
        <v>38591</v>
      </c>
    </row>
    <row r="48982" spans="8:8">
      <c r="H48982" t="s">
        <v>38592</v>
      </c>
    </row>
    <row r="48983" spans="8:8">
      <c r="H48983" t="s">
        <v>38593</v>
      </c>
    </row>
    <row r="48984" spans="8:8">
      <c r="H48984" t="s">
        <v>38594</v>
      </c>
    </row>
    <row r="48985" spans="8:8">
      <c r="H48985" t="s">
        <v>38595</v>
      </c>
    </row>
    <row r="48986" spans="8:8">
      <c r="H48986" t="s">
        <v>38596</v>
      </c>
    </row>
    <row r="48987" spans="8:8">
      <c r="H48987" t="s">
        <v>38597</v>
      </c>
    </row>
    <row r="48988" spans="8:8">
      <c r="H48988" t="s">
        <v>38598</v>
      </c>
    </row>
    <row r="48989" spans="8:8">
      <c r="H48989" t="s">
        <v>38599</v>
      </c>
    </row>
    <row r="48990" spans="8:8">
      <c r="H48990" t="s">
        <v>38600</v>
      </c>
    </row>
    <row r="48991" spans="8:8">
      <c r="H48991" t="s">
        <v>38601</v>
      </c>
    </row>
    <row r="48992" spans="8:8">
      <c r="H48992" t="s">
        <v>38602</v>
      </c>
    </row>
    <row r="48993" spans="8:8">
      <c r="H48993" t="s">
        <v>38603</v>
      </c>
    </row>
    <row r="48994" spans="8:8">
      <c r="H48994" t="s">
        <v>38604</v>
      </c>
    </row>
    <row r="48995" spans="8:8">
      <c r="H48995" t="s">
        <v>38605</v>
      </c>
    </row>
    <row r="48996" spans="8:8">
      <c r="H48996" t="s">
        <v>38606</v>
      </c>
    </row>
    <row r="48997" spans="8:8">
      <c r="H48997" t="s">
        <v>38607</v>
      </c>
    </row>
    <row r="48998" spans="8:8">
      <c r="H48998" t="s">
        <v>38608</v>
      </c>
    </row>
    <row r="48999" spans="8:8">
      <c r="H48999" t="s">
        <v>38609</v>
      </c>
    </row>
    <row r="49000" spans="8:8">
      <c r="H49000" t="s">
        <v>38610</v>
      </c>
    </row>
    <row r="49001" spans="8:8">
      <c r="H49001" t="s">
        <v>38611</v>
      </c>
    </row>
    <row r="49002" spans="8:8">
      <c r="H49002" t="s">
        <v>38612</v>
      </c>
    </row>
    <row r="49003" spans="8:8">
      <c r="H49003" t="s">
        <v>38613</v>
      </c>
    </row>
    <row r="49004" spans="8:8">
      <c r="H49004" t="s">
        <v>38614</v>
      </c>
    </row>
    <row r="49005" spans="8:8">
      <c r="H49005" t="s">
        <v>38615</v>
      </c>
    </row>
    <row r="49006" spans="8:8">
      <c r="H49006" t="s">
        <v>38616</v>
      </c>
    </row>
    <row r="49007" spans="8:8">
      <c r="H49007" t="s">
        <v>38617</v>
      </c>
    </row>
    <row r="49008" spans="8:8">
      <c r="H49008" t="s">
        <v>38618</v>
      </c>
    </row>
    <row r="49009" spans="8:8">
      <c r="H49009" t="s">
        <v>38619</v>
      </c>
    </row>
    <row r="49010" spans="8:8">
      <c r="H49010" t="s">
        <v>38620</v>
      </c>
    </row>
    <row r="49011" spans="8:8">
      <c r="H49011" t="s">
        <v>38621</v>
      </c>
    </row>
    <row r="49012" spans="8:8">
      <c r="H49012" t="s">
        <v>38622</v>
      </c>
    </row>
    <row r="49013" spans="8:8">
      <c r="H49013" t="s">
        <v>38623</v>
      </c>
    </row>
    <row r="49014" spans="8:8">
      <c r="H49014" t="s">
        <v>38624</v>
      </c>
    </row>
    <row r="49015" spans="8:8">
      <c r="H49015" t="s">
        <v>38625</v>
      </c>
    </row>
    <row r="49016" spans="8:8">
      <c r="H49016" t="s">
        <v>38626</v>
      </c>
    </row>
    <row r="49017" spans="8:8">
      <c r="H49017" t="s">
        <v>38627</v>
      </c>
    </row>
    <row r="49018" spans="8:8">
      <c r="H49018" t="s">
        <v>38628</v>
      </c>
    </row>
    <row r="49019" spans="8:8">
      <c r="H49019" t="s">
        <v>38629</v>
      </c>
    </row>
    <row r="49020" spans="8:8">
      <c r="H49020" t="s">
        <v>38630</v>
      </c>
    </row>
    <row r="49021" spans="8:8">
      <c r="H49021" t="s">
        <v>38631</v>
      </c>
    </row>
    <row r="49022" spans="8:8">
      <c r="H49022" t="s">
        <v>38632</v>
      </c>
    </row>
    <row r="49023" spans="8:8">
      <c r="H49023" t="s">
        <v>38633</v>
      </c>
    </row>
    <row r="49024" spans="8:8">
      <c r="H49024" t="s">
        <v>38634</v>
      </c>
    </row>
    <row r="49025" spans="8:8">
      <c r="H49025" t="s">
        <v>38635</v>
      </c>
    </row>
    <row r="49026" spans="8:8">
      <c r="H49026" t="s">
        <v>38636</v>
      </c>
    </row>
    <row r="49027" spans="8:8">
      <c r="H49027" t="s">
        <v>38637</v>
      </c>
    </row>
    <row r="49028" spans="8:8">
      <c r="H49028" t="s">
        <v>38638</v>
      </c>
    </row>
    <row r="49029" spans="8:8">
      <c r="H49029" t="s">
        <v>38639</v>
      </c>
    </row>
    <row r="49030" spans="8:8">
      <c r="H49030" t="s">
        <v>38640</v>
      </c>
    </row>
    <row r="49031" spans="8:8">
      <c r="H49031" t="s">
        <v>38641</v>
      </c>
    </row>
    <row r="49032" spans="8:8">
      <c r="H49032" t="s">
        <v>38642</v>
      </c>
    </row>
    <row r="49033" spans="8:8">
      <c r="H49033" t="s">
        <v>38643</v>
      </c>
    </row>
    <row r="49034" spans="8:8">
      <c r="H49034" t="s">
        <v>38644</v>
      </c>
    </row>
    <row r="49035" spans="8:8">
      <c r="H49035" t="s">
        <v>38645</v>
      </c>
    </row>
    <row r="49036" spans="8:8">
      <c r="H49036" t="s">
        <v>38646</v>
      </c>
    </row>
    <row r="49037" spans="8:8">
      <c r="H49037" t="s">
        <v>38647</v>
      </c>
    </row>
    <row r="49038" spans="8:8">
      <c r="H49038" t="s">
        <v>38648</v>
      </c>
    </row>
    <row r="49039" spans="8:8">
      <c r="H49039" t="s">
        <v>38649</v>
      </c>
    </row>
    <row r="49040" spans="8:8">
      <c r="H49040" t="s">
        <v>38650</v>
      </c>
    </row>
    <row r="49041" spans="8:8">
      <c r="H49041" t="s">
        <v>38651</v>
      </c>
    </row>
    <row r="49042" spans="8:8">
      <c r="H49042" t="s">
        <v>38652</v>
      </c>
    </row>
    <row r="49043" spans="8:8">
      <c r="H49043" t="s">
        <v>38653</v>
      </c>
    </row>
    <row r="49044" spans="8:8">
      <c r="H49044" t="s">
        <v>38654</v>
      </c>
    </row>
    <row r="49045" spans="8:8">
      <c r="H49045" t="s">
        <v>38655</v>
      </c>
    </row>
    <row r="49046" spans="8:8">
      <c r="H49046" t="s">
        <v>38656</v>
      </c>
    </row>
    <row r="49047" spans="8:8">
      <c r="H49047" t="s">
        <v>38657</v>
      </c>
    </row>
    <row r="49048" spans="8:8">
      <c r="H49048" t="s">
        <v>38658</v>
      </c>
    </row>
    <row r="49049" spans="8:8">
      <c r="H49049" t="s">
        <v>38659</v>
      </c>
    </row>
    <row r="49050" spans="8:8">
      <c r="H49050" t="s">
        <v>38660</v>
      </c>
    </row>
    <row r="49051" spans="8:8">
      <c r="H49051" t="s">
        <v>38661</v>
      </c>
    </row>
    <row r="49052" spans="8:8">
      <c r="H49052" t="s">
        <v>38662</v>
      </c>
    </row>
    <row r="49053" spans="8:8">
      <c r="H49053" t="s">
        <v>38663</v>
      </c>
    </row>
    <row r="49054" spans="8:8">
      <c r="H49054" t="s">
        <v>38664</v>
      </c>
    </row>
    <row r="49055" spans="8:8">
      <c r="H49055" t="s">
        <v>38665</v>
      </c>
    </row>
    <row r="49056" spans="8:8">
      <c r="H49056" t="s">
        <v>38666</v>
      </c>
    </row>
    <row r="49057" spans="8:8">
      <c r="H49057" t="s">
        <v>38667</v>
      </c>
    </row>
    <row r="49058" spans="8:8">
      <c r="H49058" t="s">
        <v>38668</v>
      </c>
    </row>
    <row r="49059" spans="8:8">
      <c r="H49059" t="s">
        <v>38669</v>
      </c>
    </row>
    <row r="49060" spans="8:8">
      <c r="H49060" t="s">
        <v>38670</v>
      </c>
    </row>
    <row r="49061" spans="8:8">
      <c r="H49061" t="s">
        <v>38671</v>
      </c>
    </row>
    <row r="49062" spans="8:8">
      <c r="H49062" t="s">
        <v>38672</v>
      </c>
    </row>
    <row r="49063" spans="8:8">
      <c r="H49063" t="s">
        <v>38673</v>
      </c>
    </row>
    <row r="49064" spans="8:8">
      <c r="H49064" t="s">
        <v>38674</v>
      </c>
    </row>
    <row r="49065" spans="8:8">
      <c r="H49065" t="s">
        <v>38675</v>
      </c>
    </row>
    <row r="49066" spans="8:8">
      <c r="H49066" t="s">
        <v>38676</v>
      </c>
    </row>
    <row r="49067" spans="8:8">
      <c r="H49067" t="s">
        <v>38677</v>
      </c>
    </row>
    <row r="49068" spans="8:8">
      <c r="H49068" t="s">
        <v>38678</v>
      </c>
    </row>
    <row r="49069" spans="8:8">
      <c r="H49069" t="s">
        <v>38679</v>
      </c>
    </row>
    <row r="49070" spans="8:8">
      <c r="H49070" t="s">
        <v>38680</v>
      </c>
    </row>
    <row r="49071" spans="8:8">
      <c r="H49071" t="s">
        <v>38681</v>
      </c>
    </row>
    <row r="49072" spans="8:8">
      <c r="H49072" t="s">
        <v>38682</v>
      </c>
    </row>
    <row r="49073" spans="8:8">
      <c r="H49073" t="s">
        <v>38683</v>
      </c>
    </row>
    <row r="49074" spans="8:8">
      <c r="H49074" t="s">
        <v>38684</v>
      </c>
    </row>
    <row r="49075" spans="8:8">
      <c r="H49075" t="s">
        <v>38685</v>
      </c>
    </row>
    <row r="49076" spans="8:8">
      <c r="H49076" t="s">
        <v>38686</v>
      </c>
    </row>
    <row r="49077" spans="8:8">
      <c r="H49077" t="s">
        <v>38687</v>
      </c>
    </row>
    <row r="49078" spans="8:8">
      <c r="H49078" t="s">
        <v>38688</v>
      </c>
    </row>
    <row r="49079" spans="8:8">
      <c r="H49079" t="s">
        <v>38689</v>
      </c>
    </row>
    <row r="49080" spans="8:8">
      <c r="H49080" t="s">
        <v>38690</v>
      </c>
    </row>
    <row r="49081" spans="8:8">
      <c r="H49081" t="s">
        <v>38691</v>
      </c>
    </row>
    <row r="49082" spans="8:8">
      <c r="H49082" t="s">
        <v>38692</v>
      </c>
    </row>
    <row r="49083" spans="8:8">
      <c r="H49083" t="s">
        <v>38693</v>
      </c>
    </row>
    <row r="49084" spans="8:8">
      <c r="H49084" t="s">
        <v>38694</v>
      </c>
    </row>
    <row r="49085" spans="8:8">
      <c r="H49085" t="s">
        <v>38695</v>
      </c>
    </row>
    <row r="49086" spans="8:8">
      <c r="H49086" t="s">
        <v>38696</v>
      </c>
    </row>
    <row r="49087" spans="8:8">
      <c r="H49087" t="s">
        <v>38697</v>
      </c>
    </row>
    <row r="49088" spans="8:8">
      <c r="H49088" t="s">
        <v>38698</v>
      </c>
    </row>
    <row r="49089" spans="1:8">
      <c r="A49089" t="s">
        <v>4549</v>
      </c>
      <c r="B49089">
        <f>HYPERLINK("https://android.googlesource.com/platform/cts/+/b9642e074942f58947545180870dc26d0f54d642", "b9642e074942f58947545180870dc26d0f54d642")</f>
        <v>0</v>
      </c>
      <c r="C49089">
        <f>HYPERLINK("https://android.googlesource.com/platform/cts/+/457e773ef90b98c3fd0b765d9eef189a2177e8ef", "457e773ef90b98c3fd0b765d9eef189a2177e8ef")</f>
        <v>0</v>
      </c>
      <c r="D49089" t="s">
        <v>5720</v>
      </c>
      <c r="E49089" t="s">
        <v>10210</v>
      </c>
      <c r="F49089" t="s">
        <v>14774</v>
      </c>
      <c r="G49089" t="s">
        <v>18646</v>
      </c>
      <c r="H49089" t="s">
        <v>38699</v>
      </c>
    </row>
    <row r="49090" spans="1:8">
      <c r="F49090" t="s">
        <v>14775</v>
      </c>
      <c r="G49090" t="s">
        <v>18647</v>
      </c>
      <c r="H49090" t="s">
        <v>38700</v>
      </c>
    </row>
    <row r="49091" spans="1:8">
      <c r="H49091" t="s">
        <v>38701</v>
      </c>
    </row>
    <row r="49092" spans="1:8">
      <c r="F49092" t="s">
        <v>14776</v>
      </c>
      <c r="G49092" t="s">
        <v>18648</v>
      </c>
      <c r="H49092" t="s">
        <v>38702</v>
      </c>
    </row>
    <row r="49093" spans="1:8">
      <c r="H49093" t="s">
        <v>38703</v>
      </c>
    </row>
    <row r="49094" spans="1:8">
      <c r="F49094" t="s">
        <v>14777</v>
      </c>
      <c r="G49094" t="s">
        <v>17269</v>
      </c>
      <c r="H49094" t="s">
        <v>38704</v>
      </c>
    </row>
    <row r="49095" spans="1:8">
      <c r="F49095" t="s">
        <v>14778</v>
      </c>
      <c r="G49095" t="s">
        <v>18649</v>
      </c>
      <c r="H49095" t="s">
        <v>38705</v>
      </c>
    </row>
    <row r="49096" spans="1:8">
      <c r="F49096" t="s">
        <v>14779</v>
      </c>
      <c r="G49096" t="s">
        <v>18650</v>
      </c>
      <c r="H49096" t="s">
        <v>38706</v>
      </c>
    </row>
    <row r="49097" spans="1:8">
      <c r="H49097" t="s">
        <v>38707</v>
      </c>
    </row>
    <row r="49098" spans="1:8">
      <c r="F49098" t="s">
        <v>14780</v>
      </c>
      <c r="G49098" t="s">
        <v>18651</v>
      </c>
      <c r="H49098" t="s">
        <v>38708</v>
      </c>
    </row>
    <row r="49099" spans="1:8">
      <c r="F49099" t="s">
        <v>14781</v>
      </c>
      <c r="G49099" t="s">
        <v>18652</v>
      </c>
      <c r="H49099" t="s">
        <v>38709</v>
      </c>
    </row>
    <row r="49100" spans="1:8">
      <c r="F49100" t="s">
        <v>14782</v>
      </c>
      <c r="G49100" t="s">
        <v>18653</v>
      </c>
      <c r="H49100" t="s">
        <v>38710</v>
      </c>
    </row>
    <row r="49101" spans="1:8">
      <c r="F49101" t="s">
        <v>14783</v>
      </c>
      <c r="G49101" t="s">
        <v>18654</v>
      </c>
      <c r="H49101" t="s">
        <v>38711</v>
      </c>
    </row>
    <row r="49102" spans="1:8">
      <c r="A49102" t="s">
        <v>4550</v>
      </c>
      <c r="B49102">
        <f>HYPERLINK("https://android.googlesource.com/platform/cts/+/7aceb4d60a809655633bf50949221a089b8b6972", "7aceb4d60a809655633bf50949221a089b8b6972")</f>
        <v>0</v>
      </c>
      <c r="C49102">
        <f>HYPERLINK("https://android.googlesource.com/platform/cts/+/a5561f9ec42038a0003c41a022fdae152447c2fe", "a5561f9ec42038a0003c41a022fdae152447c2fe")</f>
        <v>0</v>
      </c>
      <c r="D49102" t="s">
        <v>5715</v>
      </c>
      <c r="E49102" t="s">
        <v>10211</v>
      </c>
      <c r="F49102" t="s">
        <v>14784</v>
      </c>
      <c r="G49102" t="s">
        <v>18655</v>
      </c>
      <c r="H49102" t="s">
        <v>38712</v>
      </c>
    </row>
    <row r="49103" spans="1:8">
      <c r="A49103" t="s">
        <v>4551</v>
      </c>
      <c r="B49103">
        <f>HYPERLINK("https://android.googlesource.com/platform/cts/+/293eab74a7c2629b792d066ab2132bb0715cf277", "293eab74a7c2629b792d066ab2132bb0715cf277")</f>
        <v>0</v>
      </c>
      <c r="C49103">
        <f>HYPERLINK("https://android.googlesource.com/platform/cts/+/986477aca9c5e38685c15d0a88507c8205a350be", "986477aca9c5e38685c15d0a88507c8205a350be")</f>
        <v>0</v>
      </c>
      <c r="D49103" t="s">
        <v>5638</v>
      </c>
      <c r="E49103" t="s">
        <v>10212</v>
      </c>
      <c r="F49103" t="s">
        <v>14785</v>
      </c>
      <c r="G49103" t="s">
        <v>18656</v>
      </c>
      <c r="H49103" t="s">
        <v>38713</v>
      </c>
    </row>
    <row r="49104" spans="1:8">
      <c r="A49104" t="s">
        <v>4552</v>
      </c>
      <c r="B49104">
        <f>HYPERLINK("https://android.googlesource.com/platform/cts/+/874c64cef5e9e933cd0f75b33cc6287ce347e751", "874c64cef5e9e933cd0f75b33cc6287ce347e751")</f>
        <v>0</v>
      </c>
      <c r="C49104">
        <f>HYPERLINK("https://android.googlesource.com/platform/cts/+/67898008d6f7d30d3e7b2dacb540e4032081cc44", "67898008d6f7d30d3e7b2dacb540e4032081cc44")</f>
        <v>0</v>
      </c>
      <c r="D49104" t="s">
        <v>5564</v>
      </c>
      <c r="E49104" t="s">
        <v>10213</v>
      </c>
      <c r="F49104" t="s">
        <v>14786</v>
      </c>
      <c r="G49104" t="s">
        <v>16560</v>
      </c>
      <c r="H49104" t="s">
        <v>37784</v>
      </c>
    </row>
    <row r="49105" spans="1:8">
      <c r="H49105" t="s">
        <v>20174</v>
      </c>
    </row>
    <row r="49106" spans="1:8">
      <c r="H49106" t="s">
        <v>20174</v>
      </c>
    </row>
    <row r="49107" spans="1:8">
      <c r="A49107" t="s">
        <v>4553</v>
      </c>
      <c r="B49107">
        <f>HYPERLINK("https://android.googlesource.com/platform/cts/+/222bfeac56e87058c387158f6144681000bfd0bb", "222bfeac56e87058c387158f6144681000bfd0bb")</f>
        <v>0</v>
      </c>
      <c r="C49107">
        <f>HYPERLINK("https://android.googlesource.com/platform/cts/+/d482480e7bdae5cf7754f1516e45225586b8109c", "d482480e7bdae5cf7754f1516e45225586b8109c")</f>
        <v>0</v>
      </c>
      <c r="D49107" t="s">
        <v>5721</v>
      </c>
      <c r="E49107" t="s">
        <v>10214</v>
      </c>
      <c r="F49107" t="s">
        <v>14748</v>
      </c>
      <c r="G49107" t="s">
        <v>18624</v>
      </c>
      <c r="H49107" t="s">
        <v>38714</v>
      </c>
    </row>
    <row r="49108" spans="1:8">
      <c r="H49108" t="s">
        <v>38715</v>
      </c>
    </row>
    <row r="49109" spans="1:8">
      <c r="H49109" t="s">
        <v>38716</v>
      </c>
    </row>
    <row r="49110" spans="1:8">
      <c r="H49110" t="s">
        <v>38717</v>
      </c>
    </row>
    <row r="49111" spans="1:8">
      <c r="H49111" t="s">
        <v>38718</v>
      </c>
    </row>
    <row r="49112" spans="1:8">
      <c r="A49112" t="s">
        <v>4554</v>
      </c>
      <c r="B49112">
        <f>HYPERLINK("https://android.googlesource.com/platform/cts/+/b44c75d3d0080ce44d8793e8e38f0a38b3e9d216", "b44c75d3d0080ce44d8793e8e38f0a38b3e9d216")</f>
        <v>0</v>
      </c>
      <c r="C49112">
        <f>HYPERLINK("https://android.googlesource.com/platform/cts/+/d482480e7bdae5cf7754f1516e45225586b8109c", "d482480e7bdae5cf7754f1516e45225586b8109c")</f>
        <v>0</v>
      </c>
      <c r="D49112" t="s">
        <v>5564</v>
      </c>
      <c r="E49112" t="s">
        <v>10215</v>
      </c>
      <c r="F49112" t="s">
        <v>14721</v>
      </c>
      <c r="G49112" t="s">
        <v>17815</v>
      </c>
      <c r="H49112" t="s">
        <v>38719</v>
      </c>
    </row>
    <row r="49113" spans="1:8">
      <c r="A49113" t="s">
        <v>4555</v>
      </c>
      <c r="B49113">
        <f>HYPERLINK("https://android.googlesource.com/platform/cts/+/aa3c29e49213b20536cde1e57b9e6cb98040dfb8", "aa3c29e49213b20536cde1e57b9e6cb98040dfb8")</f>
        <v>0</v>
      </c>
      <c r="C49113">
        <f>HYPERLINK("https://android.googlesource.com/platform/cts/+/3577baec09cb9252582f14296d9d19f7fe36bcb9", "3577baec09cb9252582f14296d9d19f7fe36bcb9")</f>
        <v>0</v>
      </c>
      <c r="D49113" t="s">
        <v>5407</v>
      </c>
      <c r="E49113" t="s">
        <v>10216</v>
      </c>
      <c r="F49113" t="s">
        <v>13735</v>
      </c>
      <c r="G49113" t="s">
        <v>16637</v>
      </c>
      <c r="H49113" t="s">
        <v>38720</v>
      </c>
    </row>
    <row r="49114" spans="1:8">
      <c r="A49114" t="s">
        <v>4556</v>
      </c>
      <c r="B49114">
        <f>HYPERLINK("https://android.googlesource.com/platform/cts/+/4032df2a72243c21fdf95097cb842fa4b3bca423", "4032df2a72243c21fdf95097cb842fa4b3bca423")</f>
        <v>0</v>
      </c>
      <c r="C49114">
        <f>HYPERLINK("https://android.googlesource.com/platform/cts/+/33dd6ab762e81c38ad78bc11802f37b7ffaee776", "33dd6ab762e81c38ad78bc11802f37b7ffaee776")</f>
        <v>0</v>
      </c>
      <c r="D49114" t="s">
        <v>5716</v>
      </c>
      <c r="E49114" t="s">
        <v>10217</v>
      </c>
      <c r="F49114" t="s">
        <v>14133</v>
      </c>
      <c r="G49114" t="s">
        <v>18122</v>
      </c>
      <c r="H49114" t="s">
        <v>18829</v>
      </c>
    </row>
    <row r="49115" spans="1:8">
      <c r="H49115" t="s">
        <v>38175</v>
      </c>
    </row>
    <row r="49116" spans="1:8">
      <c r="H49116" t="s">
        <v>38176</v>
      </c>
    </row>
    <row r="49117" spans="1:8">
      <c r="H49117" t="s">
        <v>38177</v>
      </c>
    </row>
    <row r="49118" spans="1:8">
      <c r="H49118" t="s">
        <v>38178</v>
      </c>
    </row>
    <row r="49119" spans="1:8">
      <c r="H49119" t="s">
        <v>33904</v>
      </c>
    </row>
    <row r="49120" spans="1:8">
      <c r="H49120" t="s">
        <v>38179</v>
      </c>
    </row>
    <row r="49121" spans="1:8">
      <c r="H49121" t="s">
        <v>38180</v>
      </c>
    </row>
    <row r="49122" spans="1:8">
      <c r="H49122" t="s">
        <v>38181</v>
      </c>
    </row>
    <row r="49123" spans="1:8">
      <c r="H49123" t="s">
        <v>38182</v>
      </c>
    </row>
    <row r="49124" spans="1:8">
      <c r="H49124" t="s">
        <v>38183</v>
      </c>
    </row>
    <row r="49125" spans="1:8">
      <c r="H49125" t="s">
        <v>38184</v>
      </c>
    </row>
    <row r="49126" spans="1:8">
      <c r="H49126" t="s">
        <v>38185</v>
      </c>
    </row>
    <row r="49127" spans="1:8">
      <c r="H49127" t="s">
        <v>38186</v>
      </c>
    </row>
    <row r="49128" spans="1:8">
      <c r="H49128" t="s">
        <v>18896</v>
      </c>
    </row>
    <row r="49129" spans="1:8">
      <c r="H49129" t="s">
        <v>38188</v>
      </c>
    </row>
    <row r="49130" spans="1:8">
      <c r="H49130" t="s">
        <v>22678</v>
      </c>
    </row>
    <row r="49131" spans="1:8">
      <c r="A49131" t="s">
        <v>4557</v>
      </c>
      <c r="B49131">
        <f>HYPERLINK("https://android.googlesource.com/platform/cts/+/1e1e860e51a7bb8ce7919976ad1bc62ebd632069", "1e1e860e51a7bb8ce7919976ad1bc62ebd632069")</f>
        <v>0</v>
      </c>
      <c r="C49131">
        <f>HYPERLINK("https://android.googlesource.com/platform/cts/+/176cbd35008014a699e1626b128ea23b2c231187", "176cbd35008014a699e1626b128ea23b2c231187")</f>
        <v>0</v>
      </c>
      <c r="D49131" t="s">
        <v>5722</v>
      </c>
      <c r="E49131" t="s">
        <v>10218</v>
      </c>
      <c r="F49131" t="s">
        <v>14787</v>
      </c>
      <c r="G49131" t="s">
        <v>18657</v>
      </c>
      <c r="H49131" t="s">
        <v>38721</v>
      </c>
    </row>
    <row r="49132" spans="1:8">
      <c r="A49132" t="s">
        <v>4558</v>
      </c>
      <c r="B49132">
        <f>HYPERLINK("https://android.googlesource.com/platform/cts/+/63f614d357563fef83cd4b09127a1e13e005fe99", "63f614d357563fef83cd4b09127a1e13e005fe99")</f>
        <v>0</v>
      </c>
      <c r="C49132">
        <f>HYPERLINK("https://android.googlesource.com/platform/cts/+/35d66c03de9fdb986d40833f227e19b4e8806aa3", "35d66c03de9fdb986d40833f227e19b4e8806aa3")</f>
        <v>0</v>
      </c>
      <c r="D49132" t="s">
        <v>5409</v>
      </c>
      <c r="E49132" t="s">
        <v>10219</v>
      </c>
      <c r="F49132" t="s">
        <v>14557</v>
      </c>
      <c r="G49132" t="s">
        <v>18479</v>
      </c>
      <c r="H49132" t="s">
        <v>18829</v>
      </c>
    </row>
    <row r="49133" spans="1:8">
      <c r="H49133" t="s">
        <v>18863</v>
      </c>
    </row>
    <row r="49134" spans="1:8">
      <c r="H49134" t="s">
        <v>38722</v>
      </c>
    </row>
    <row r="49135" spans="1:8">
      <c r="H49135" t="s">
        <v>38723</v>
      </c>
    </row>
    <row r="49136" spans="1:8">
      <c r="H49136" t="s">
        <v>38724</v>
      </c>
    </row>
    <row r="49137" spans="1:8">
      <c r="H49137" t="s">
        <v>38725</v>
      </c>
    </row>
    <row r="49138" spans="1:8">
      <c r="H49138" t="s">
        <v>28425</v>
      </c>
    </row>
    <row r="49139" spans="1:8">
      <c r="H49139" t="s">
        <v>28427</v>
      </c>
    </row>
    <row r="49140" spans="1:8">
      <c r="H49140" t="s">
        <v>38726</v>
      </c>
    </row>
    <row r="49141" spans="1:8">
      <c r="H49141" t="s">
        <v>38727</v>
      </c>
    </row>
    <row r="49142" spans="1:8">
      <c r="F49142" t="s">
        <v>12419</v>
      </c>
      <c r="G49142" t="s">
        <v>16641</v>
      </c>
      <c r="H49142" t="s">
        <v>38728</v>
      </c>
    </row>
    <row r="49143" spans="1:8">
      <c r="A49143" t="s">
        <v>4559</v>
      </c>
      <c r="B49143">
        <f>HYPERLINK("https://android.googlesource.com/platform/cts/+/13cbaa3a425d69b262c5ce7bbe8bb5310ec44b37", "13cbaa3a425d69b262c5ce7bbe8bb5310ec44b37")</f>
        <v>0</v>
      </c>
      <c r="C49143">
        <f>HYPERLINK("https://android.googlesource.com/platform/cts/+/63f614d357563fef83cd4b09127a1e13e005fe99", "63f614d357563fef83cd4b09127a1e13e005fe99")</f>
        <v>0</v>
      </c>
      <c r="D49143" t="s">
        <v>5409</v>
      </c>
      <c r="E49143" t="s">
        <v>10220</v>
      </c>
      <c r="F49143" t="s">
        <v>14574</v>
      </c>
      <c r="G49143" t="s">
        <v>18494</v>
      </c>
      <c r="H49143" t="s">
        <v>38729</v>
      </c>
    </row>
    <row r="49144" spans="1:8">
      <c r="H49144" t="s">
        <v>38730</v>
      </c>
    </row>
    <row r="49145" spans="1:8">
      <c r="H49145" t="s">
        <v>37605</v>
      </c>
    </row>
    <row r="49146" spans="1:8">
      <c r="A49146" t="s">
        <v>4560</v>
      </c>
      <c r="B49146">
        <f>HYPERLINK("https://android.googlesource.com/platform/cts/+/ccbd6dea4d9f7abceac9174136849e45b9cbd339", "ccbd6dea4d9f7abceac9174136849e45b9cbd339")</f>
        <v>0</v>
      </c>
      <c r="C49146">
        <f>HYPERLINK("https://android.googlesource.com/platform/cts/+/13cbaa3a425d69b262c5ce7bbe8bb5310ec44b37", "13cbaa3a425d69b262c5ce7bbe8bb5310ec44b37")</f>
        <v>0</v>
      </c>
      <c r="D49146" t="s">
        <v>5409</v>
      </c>
      <c r="E49146" t="s">
        <v>10221</v>
      </c>
      <c r="F49146" t="s">
        <v>14572</v>
      </c>
      <c r="G49146" t="s">
        <v>18492</v>
      </c>
      <c r="H49146" t="s">
        <v>36690</v>
      </c>
    </row>
    <row r="49147" spans="1:8">
      <c r="H49147" t="s">
        <v>37574</v>
      </c>
    </row>
    <row r="49148" spans="1:8">
      <c r="H49148" t="s">
        <v>26067</v>
      </c>
    </row>
    <row r="49149" spans="1:8">
      <c r="H49149" t="s">
        <v>37555</v>
      </c>
    </row>
    <row r="49150" spans="1:8">
      <c r="H49150" t="s">
        <v>38731</v>
      </c>
    </row>
    <row r="49151" spans="1:8">
      <c r="A49151" t="s">
        <v>4561</v>
      </c>
      <c r="B49151">
        <f>HYPERLINK("https://android.googlesource.com/platform/cts/+/1a57b7732297aab94a0649aef40a09a6cfc3b843", "1a57b7732297aab94a0649aef40a09a6cfc3b843")</f>
        <v>0</v>
      </c>
      <c r="C49151">
        <f>HYPERLINK("https://android.googlesource.com/platform/cts/+/e92e2eca5efe7947dd2563b73609c902d0ee185a", "e92e2eca5efe7947dd2563b73609c902d0ee185a")</f>
        <v>0</v>
      </c>
      <c r="D49151" t="s">
        <v>5723</v>
      </c>
      <c r="E49151" t="s">
        <v>10222</v>
      </c>
      <c r="F49151" t="s">
        <v>14768</v>
      </c>
      <c r="G49151" t="s">
        <v>18644</v>
      </c>
      <c r="H49151" t="s">
        <v>38732</v>
      </c>
    </row>
    <row r="49152" spans="1:8">
      <c r="H49152" t="s">
        <v>38733</v>
      </c>
    </row>
    <row r="49153" spans="1:8">
      <c r="A49153" t="s">
        <v>4562</v>
      </c>
      <c r="B49153">
        <f>HYPERLINK("https://android.googlesource.com/platform/cts/+/fd6135bf77a5d44fa4704c2c7acb67ed93841b17", "fd6135bf77a5d44fa4704c2c7acb67ed93841b17")</f>
        <v>0</v>
      </c>
      <c r="C49153">
        <f>HYPERLINK("https://android.googlesource.com/platform/cts/+/d482480e7bdae5cf7754f1516e45225586b8109c", "d482480e7bdae5cf7754f1516e45225586b8109c")</f>
        <v>0</v>
      </c>
      <c r="D49153" t="s">
        <v>5564</v>
      </c>
      <c r="E49153" t="s">
        <v>10223</v>
      </c>
      <c r="F49153" t="s">
        <v>14788</v>
      </c>
      <c r="G49153" t="s">
        <v>18008</v>
      </c>
      <c r="H49153" t="s">
        <v>38734</v>
      </c>
    </row>
    <row r="49154" spans="1:8">
      <c r="H49154" t="s">
        <v>38735</v>
      </c>
    </row>
    <row r="49155" spans="1:8">
      <c r="H49155" t="s">
        <v>38736</v>
      </c>
    </row>
    <row r="49156" spans="1:8">
      <c r="H49156" t="s">
        <v>38737</v>
      </c>
    </row>
    <row r="49157" spans="1:8">
      <c r="H49157" t="s">
        <v>38738</v>
      </c>
    </row>
    <row r="49158" spans="1:8">
      <c r="H49158" t="s">
        <v>38739</v>
      </c>
    </row>
    <row r="49159" spans="1:8">
      <c r="H49159" t="s">
        <v>38740</v>
      </c>
    </row>
    <row r="49160" spans="1:8">
      <c r="H49160" t="s">
        <v>38741</v>
      </c>
    </row>
    <row r="49161" spans="1:8">
      <c r="H49161" t="s">
        <v>38742</v>
      </c>
    </row>
    <row r="49162" spans="1:8">
      <c r="H49162" t="s">
        <v>38743</v>
      </c>
    </row>
    <row r="49163" spans="1:8">
      <c r="H49163" t="s">
        <v>38744</v>
      </c>
    </row>
    <row r="49164" spans="1:8">
      <c r="H49164" t="s">
        <v>38745</v>
      </c>
    </row>
    <row r="49165" spans="1:8">
      <c r="H49165" t="s">
        <v>38746</v>
      </c>
    </row>
    <row r="49166" spans="1:8">
      <c r="H49166" t="s">
        <v>38747</v>
      </c>
    </row>
    <row r="49167" spans="1:8">
      <c r="H49167" t="s">
        <v>38748</v>
      </c>
    </row>
    <row r="49168" spans="1:8">
      <c r="H49168" t="s">
        <v>38749</v>
      </c>
    </row>
    <row r="49169" spans="8:8">
      <c r="H49169" t="s">
        <v>38750</v>
      </c>
    </row>
    <row r="49170" spans="8:8">
      <c r="H49170" t="s">
        <v>38751</v>
      </c>
    </row>
    <row r="49171" spans="8:8">
      <c r="H49171" t="s">
        <v>38752</v>
      </c>
    </row>
    <row r="49172" spans="8:8">
      <c r="H49172" t="s">
        <v>38753</v>
      </c>
    </row>
    <row r="49173" spans="8:8">
      <c r="H49173" t="s">
        <v>38754</v>
      </c>
    </row>
    <row r="49174" spans="8:8">
      <c r="H49174" t="s">
        <v>38755</v>
      </c>
    </row>
    <row r="49175" spans="8:8">
      <c r="H49175" t="s">
        <v>38756</v>
      </c>
    </row>
    <row r="49176" spans="8:8">
      <c r="H49176" t="s">
        <v>38757</v>
      </c>
    </row>
    <row r="49177" spans="8:8">
      <c r="H49177" t="s">
        <v>38758</v>
      </c>
    </row>
    <row r="49178" spans="8:8">
      <c r="H49178" t="s">
        <v>38759</v>
      </c>
    </row>
    <row r="49179" spans="8:8">
      <c r="H49179" t="s">
        <v>38760</v>
      </c>
    </row>
    <row r="49180" spans="8:8">
      <c r="H49180" t="s">
        <v>38761</v>
      </c>
    </row>
    <row r="49181" spans="8:8">
      <c r="H49181" t="s">
        <v>38762</v>
      </c>
    </row>
    <row r="49182" spans="8:8">
      <c r="H49182" t="s">
        <v>38763</v>
      </c>
    </row>
    <row r="49183" spans="8:8">
      <c r="H49183" t="s">
        <v>38764</v>
      </c>
    </row>
    <row r="49184" spans="8:8">
      <c r="H49184" t="s">
        <v>38765</v>
      </c>
    </row>
    <row r="49185" spans="8:8">
      <c r="H49185" t="s">
        <v>38766</v>
      </c>
    </row>
    <row r="49186" spans="8:8">
      <c r="H49186" t="s">
        <v>38767</v>
      </c>
    </row>
    <row r="49187" spans="8:8">
      <c r="H49187" t="s">
        <v>38768</v>
      </c>
    </row>
    <row r="49188" spans="8:8">
      <c r="H49188" t="s">
        <v>38769</v>
      </c>
    </row>
    <row r="49189" spans="8:8">
      <c r="H49189" t="s">
        <v>38770</v>
      </c>
    </row>
    <row r="49190" spans="8:8">
      <c r="H49190" t="s">
        <v>38771</v>
      </c>
    </row>
    <row r="49191" spans="8:8">
      <c r="H49191" t="s">
        <v>38772</v>
      </c>
    </row>
    <row r="49192" spans="8:8">
      <c r="H49192" t="s">
        <v>38773</v>
      </c>
    </row>
    <row r="49193" spans="8:8">
      <c r="H49193" t="s">
        <v>38774</v>
      </c>
    </row>
    <row r="49194" spans="8:8">
      <c r="H49194" t="s">
        <v>38775</v>
      </c>
    </row>
    <row r="49195" spans="8:8">
      <c r="H49195" t="s">
        <v>38776</v>
      </c>
    </row>
    <row r="49196" spans="8:8">
      <c r="H49196" t="s">
        <v>38777</v>
      </c>
    </row>
    <row r="49197" spans="8:8">
      <c r="H49197" t="s">
        <v>38778</v>
      </c>
    </row>
    <row r="49198" spans="8:8">
      <c r="H49198" t="s">
        <v>38779</v>
      </c>
    </row>
    <row r="49199" spans="8:8">
      <c r="H49199" t="s">
        <v>38780</v>
      </c>
    </row>
    <row r="49200" spans="8:8">
      <c r="H49200" t="s">
        <v>38781</v>
      </c>
    </row>
    <row r="49201" spans="1:8">
      <c r="H49201" t="s">
        <v>38782</v>
      </c>
    </row>
    <row r="49202" spans="1:8">
      <c r="H49202" t="s">
        <v>38783</v>
      </c>
    </row>
    <row r="49203" spans="1:8">
      <c r="H49203" t="s">
        <v>38784</v>
      </c>
    </row>
    <row r="49204" spans="1:8">
      <c r="H49204" t="s">
        <v>38785</v>
      </c>
    </row>
    <row r="49205" spans="1:8">
      <c r="H49205" t="s">
        <v>38786</v>
      </c>
    </row>
    <row r="49206" spans="1:8">
      <c r="H49206" t="s">
        <v>38787</v>
      </c>
    </row>
    <row r="49207" spans="1:8">
      <c r="H49207" t="s">
        <v>38788</v>
      </c>
    </row>
    <row r="49208" spans="1:8">
      <c r="H49208" t="s">
        <v>38789</v>
      </c>
    </row>
    <row r="49209" spans="1:8">
      <c r="H49209" t="s">
        <v>32728</v>
      </c>
    </row>
    <row r="49210" spans="1:8">
      <c r="H49210" t="s">
        <v>32729</v>
      </c>
    </row>
    <row r="49211" spans="1:8">
      <c r="H49211" t="s">
        <v>38790</v>
      </c>
    </row>
    <row r="49212" spans="1:8">
      <c r="H49212" t="s">
        <v>38791</v>
      </c>
    </row>
    <row r="49213" spans="1:8">
      <c r="A49213" t="s">
        <v>4563</v>
      </c>
      <c r="B49213">
        <f>HYPERLINK("https://android.googlesource.com/platform/cts/+/a89d6eb2b8b11fea4c7fad9b8d845c80103088b7", "a89d6eb2b8b11fea4c7fad9b8d845c80103088b7")</f>
        <v>0</v>
      </c>
      <c r="C49213">
        <f>HYPERLINK("https://android.googlesource.com/platform/cts/+/b5dea30a85c58f41b8fe46a364c8f16bdc46e310", "b5dea30a85c58f41b8fe46a364c8f16bdc46e310")</f>
        <v>0</v>
      </c>
      <c r="D49213" t="s">
        <v>5724</v>
      </c>
      <c r="E49213" t="s">
        <v>10224</v>
      </c>
      <c r="F49213" t="s">
        <v>11433</v>
      </c>
      <c r="G49213" t="s">
        <v>15673</v>
      </c>
      <c r="H49213" t="s">
        <v>37860</v>
      </c>
    </row>
    <row r="49214" spans="1:8">
      <c r="H49214" t="s">
        <v>37861</v>
      </c>
    </row>
    <row r="49215" spans="1:8">
      <c r="H49215" t="s">
        <v>37862</v>
      </c>
    </row>
    <row r="49216" spans="1:8">
      <c r="H49216" t="s">
        <v>37863</v>
      </c>
    </row>
    <row r="49217" spans="1:8">
      <c r="H49217" t="s">
        <v>37864</v>
      </c>
    </row>
    <row r="49218" spans="1:8">
      <c r="H49218" t="s">
        <v>37865</v>
      </c>
    </row>
    <row r="49219" spans="1:8">
      <c r="A49219" t="s">
        <v>4564</v>
      </c>
      <c r="B49219">
        <f>HYPERLINK("https://android.googlesource.com/platform/cts/+/959e45b718be94a6f6e5d62af358b15c4e319e5d", "959e45b718be94a6f6e5d62af358b15c4e319e5d")</f>
        <v>0</v>
      </c>
      <c r="C49219">
        <f>HYPERLINK("https://android.googlesource.com/platform/cts/+/ca3d01ca012db4912dfcdd7db5b99dd6772b417f", "ca3d01ca012db4912dfcdd7db5b99dd6772b417f")</f>
        <v>0</v>
      </c>
      <c r="D49219" t="s">
        <v>5038</v>
      </c>
      <c r="E49219" t="s">
        <v>10225</v>
      </c>
      <c r="F49219" t="s">
        <v>14736</v>
      </c>
      <c r="G49219" t="s">
        <v>18616</v>
      </c>
      <c r="H49219" t="s">
        <v>37816</v>
      </c>
    </row>
    <row r="49220" spans="1:8">
      <c r="A49220" t="s">
        <v>4565</v>
      </c>
      <c r="B49220">
        <f>HYPERLINK("https://android.googlesource.com/platform/cts/+/89e7db85873382dc2de717d7f668a911ba4b72cd", "89e7db85873382dc2de717d7f668a911ba4b72cd")</f>
        <v>0</v>
      </c>
      <c r="C49220">
        <f>HYPERLINK("https://android.googlesource.com/platform/cts/+/5ddeee4e9361d38048185b32ceef05150649890f", "5ddeee4e9361d38048185b32ceef05150649890f")</f>
        <v>0</v>
      </c>
      <c r="D49220" t="s">
        <v>5725</v>
      </c>
      <c r="E49220" t="s">
        <v>10226</v>
      </c>
      <c r="F49220" t="s">
        <v>12837</v>
      </c>
      <c r="G49220" t="s">
        <v>17013</v>
      </c>
      <c r="H49220" t="s">
        <v>38792</v>
      </c>
    </row>
    <row r="49221" spans="1:8">
      <c r="F49221" t="s">
        <v>12620</v>
      </c>
      <c r="G49221" t="s">
        <v>16830</v>
      </c>
      <c r="H49221" t="s">
        <v>38793</v>
      </c>
    </row>
    <row r="49222" spans="1:8">
      <c r="F49222" t="s">
        <v>12697</v>
      </c>
      <c r="G49222" t="s">
        <v>16901</v>
      </c>
      <c r="H49222" t="s">
        <v>38794</v>
      </c>
    </row>
    <row r="49223" spans="1:8">
      <c r="H49223" t="s">
        <v>18829</v>
      </c>
    </row>
    <row r="49224" spans="1:8">
      <c r="H49224" t="s">
        <v>18863</v>
      </c>
    </row>
    <row r="49225" spans="1:8">
      <c r="F49225" t="s">
        <v>14789</v>
      </c>
      <c r="G49225" t="s">
        <v>18658</v>
      </c>
      <c r="H49225" t="s">
        <v>38795</v>
      </c>
    </row>
    <row r="49226" spans="1:8">
      <c r="A49226" t="s">
        <v>4566</v>
      </c>
      <c r="B49226">
        <f>HYPERLINK("https://android.googlesource.com/platform/cts/+/89d40c2c28f41229c06e2a944f36b93e19e4b0f0", "89d40c2c28f41229c06e2a944f36b93e19e4b0f0")</f>
        <v>0</v>
      </c>
      <c r="C49226">
        <f>HYPERLINK("https://android.googlesource.com/platform/cts/+/6890b4b940b8c63ff3c8a3fee8ebdc99de8f446b", "6890b4b940b8c63ff3c8a3fee8ebdc99de8f446b")</f>
        <v>0</v>
      </c>
      <c r="D49226" t="s">
        <v>5244</v>
      </c>
      <c r="E49226" t="s">
        <v>10227</v>
      </c>
      <c r="F49226" t="s">
        <v>13398</v>
      </c>
      <c r="G49226" t="s">
        <v>17524</v>
      </c>
      <c r="H49226" t="s">
        <v>38796</v>
      </c>
    </row>
    <row r="49227" spans="1:8">
      <c r="A49227" t="s">
        <v>4567</v>
      </c>
      <c r="B49227">
        <f>HYPERLINK("https://android.googlesource.com/platform/cts/+/f796b85d994467ef4e6d4eebabe5eedda55571e2", "f796b85d994467ef4e6d4eebabe5eedda55571e2")</f>
        <v>0</v>
      </c>
      <c r="C49227">
        <f>HYPERLINK("https://android.googlesource.com/platform/cts/+/d482480e7bdae5cf7754f1516e45225586b8109c", "d482480e7bdae5cf7754f1516e45225586b8109c")</f>
        <v>0</v>
      </c>
      <c r="D49227" t="s">
        <v>5564</v>
      </c>
      <c r="E49227" t="s">
        <v>10228</v>
      </c>
      <c r="F49227" t="s">
        <v>14790</v>
      </c>
      <c r="G49227" t="s">
        <v>16861</v>
      </c>
      <c r="H49227" t="s">
        <v>38797</v>
      </c>
    </row>
    <row r="49228" spans="1:8">
      <c r="H49228" t="s">
        <v>38798</v>
      </c>
    </row>
    <row r="49229" spans="1:8">
      <c r="H49229" t="s">
        <v>38799</v>
      </c>
    </row>
    <row r="49230" spans="1:8">
      <c r="H49230" t="s">
        <v>38800</v>
      </c>
    </row>
    <row r="49231" spans="1:8">
      <c r="H49231" t="s">
        <v>38801</v>
      </c>
    </row>
    <row r="49232" spans="1:8">
      <c r="H49232" t="s">
        <v>38802</v>
      </c>
    </row>
    <row r="49233" spans="8:8">
      <c r="H49233" t="s">
        <v>38803</v>
      </c>
    </row>
    <row r="49234" spans="8:8">
      <c r="H49234" t="s">
        <v>38804</v>
      </c>
    </row>
    <row r="49235" spans="8:8">
      <c r="H49235" t="s">
        <v>38805</v>
      </c>
    </row>
    <row r="49236" spans="8:8">
      <c r="H49236" t="s">
        <v>38806</v>
      </c>
    </row>
    <row r="49237" spans="8:8">
      <c r="H49237" t="s">
        <v>38807</v>
      </c>
    </row>
    <row r="49238" spans="8:8">
      <c r="H49238" t="s">
        <v>38808</v>
      </c>
    </row>
    <row r="49239" spans="8:8">
      <c r="H49239" t="s">
        <v>38809</v>
      </c>
    </row>
    <row r="49240" spans="8:8">
      <c r="H49240" t="s">
        <v>38810</v>
      </c>
    </row>
    <row r="49241" spans="8:8">
      <c r="H49241" t="s">
        <v>38811</v>
      </c>
    </row>
    <row r="49242" spans="8:8">
      <c r="H49242" t="s">
        <v>38812</v>
      </c>
    </row>
    <row r="49243" spans="8:8">
      <c r="H49243" t="s">
        <v>38813</v>
      </c>
    </row>
    <row r="49244" spans="8:8">
      <c r="H49244" t="s">
        <v>38814</v>
      </c>
    </row>
    <row r="49245" spans="8:8">
      <c r="H49245" t="s">
        <v>38815</v>
      </c>
    </row>
    <row r="49246" spans="8:8">
      <c r="H49246" t="s">
        <v>38816</v>
      </c>
    </row>
    <row r="49247" spans="8:8">
      <c r="H49247" t="s">
        <v>38817</v>
      </c>
    </row>
    <row r="49248" spans="8:8">
      <c r="H49248" t="s">
        <v>38818</v>
      </c>
    </row>
    <row r="49249" spans="8:8">
      <c r="H49249" t="s">
        <v>38819</v>
      </c>
    </row>
    <row r="49250" spans="8:8">
      <c r="H49250" t="s">
        <v>38820</v>
      </c>
    </row>
    <row r="49251" spans="8:8">
      <c r="H49251" t="s">
        <v>38821</v>
      </c>
    </row>
    <row r="49252" spans="8:8">
      <c r="H49252" t="s">
        <v>38822</v>
      </c>
    </row>
    <row r="49253" spans="8:8">
      <c r="H49253" t="s">
        <v>38823</v>
      </c>
    </row>
    <row r="49254" spans="8:8">
      <c r="H49254" t="s">
        <v>38824</v>
      </c>
    </row>
    <row r="49255" spans="8:8">
      <c r="H49255" t="s">
        <v>38825</v>
      </c>
    </row>
    <row r="49256" spans="8:8">
      <c r="H49256" t="s">
        <v>38826</v>
      </c>
    </row>
    <row r="49257" spans="8:8">
      <c r="H49257" t="s">
        <v>38827</v>
      </c>
    </row>
    <row r="49258" spans="8:8">
      <c r="H49258" t="s">
        <v>38828</v>
      </c>
    </row>
    <row r="49259" spans="8:8">
      <c r="H49259" t="s">
        <v>38829</v>
      </c>
    </row>
    <row r="49260" spans="8:8">
      <c r="H49260" t="s">
        <v>38830</v>
      </c>
    </row>
    <row r="49261" spans="8:8">
      <c r="H49261" t="s">
        <v>38831</v>
      </c>
    </row>
    <row r="49262" spans="8:8">
      <c r="H49262" t="s">
        <v>38832</v>
      </c>
    </row>
    <row r="49263" spans="8:8">
      <c r="H49263" t="s">
        <v>38833</v>
      </c>
    </row>
    <row r="49264" spans="8:8">
      <c r="H49264" t="s">
        <v>38834</v>
      </c>
    </row>
    <row r="49265" spans="8:8">
      <c r="H49265" t="s">
        <v>38835</v>
      </c>
    </row>
    <row r="49266" spans="8:8">
      <c r="H49266" t="s">
        <v>38836</v>
      </c>
    </row>
    <row r="49267" spans="8:8">
      <c r="H49267" t="s">
        <v>38837</v>
      </c>
    </row>
    <row r="49268" spans="8:8">
      <c r="H49268" t="s">
        <v>38838</v>
      </c>
    </row>
    <row r="49269" spans="8:8">
      <c r="H49269" t="s">
        <v>38839</v>
      </c>
    </row>
    <row r="49270" spans="8:8">
      <c r="H49270" t="s">
        <v>38840</v>
      </c>
    </row>
    <row r="49271" spans="8:8">
      <c r="H49271" t="s">
        <v>38841</v>
      </c>
    </row>
    <row r="49272" spans="8:8">
      <c r="H49272" t="s">
        <v>38842</v>
      </c>
    </row>
    <row r="49273" spans="8:8">
      <c r="H49273" t="s">
        <v>38843</v>
      </c>
    </row>
    <row r="49274" spans="8:8">
      <c r="H49274" t="s">
        <v>38844</v>
      </c>
    </row>
    <row r="49275" spans="8:8">
      <c r="H49275" t="s">
        <v>38845</v>
      </c>
    </row>
    <row r="49276" spans="8:8">
      <c r="H49276" t="s">
        <v>38846</v>
      </c>
    </row>
    <row r="49277" spans="8:8">
      <c r="H49277" t="s">
        <v>38847</v>
      </c>
    </row>
    <row r="49278" spans="8:8">
      <c r="H49278" t="s">
        <v>38848</v>
      </c>
    </row>
    <row r="49279" spans="8:8">
      <c r="H49279" t="s">
        <v>38849</v>
      </c>
    </row>
    <row r="49280" spans="8:8">
      <c r="H49280" t="s">
        <v>38850</v>
      </c>
    </row>
    <row r="49281" spans="8:8">
      <c r="H49281" t="s">
        <v>38851</v>
      </c>
    </row>
    <row r="49282" spans="8:8">
      <c r="H49282" t="s">
        <v>38852</v>
      </c>
    </row>
    <row r="49283" spans="8:8">
      <c r="H49283" t="s">
        <v>38853</v>
      </c>
    </row>
    <row r="49284" spans="8:8">
      <c r="H49284" t="s">
        <v>38854</v>
      </c>
    </row>
    <row r="49285" spans="8:8">
      <c r="H49285" t="s">
        <v>38855</v>
      </c>
    </row>
    <row r="49286" spans="8:8">
      <c r="H49286" t="s">
        <v>38856</v>
      </c>
    </row>
    <row r="49287" spans="8:8">
      <c r="H49287" t="s">
        <v>38857</v>
      </c>
    </row>
    <row r="49288" spans="8:8">
      <c r="H49288" t="s">
        <v>38858</v>
      </c>
    </row>
    <row r="49289" spans="8:8">
      <c r="H49289" t="s">
        <v>38859</v>
      </c>
    </row>
    <row r="49290" spans="8:8">
      <c r="H49290" t="s">
        <v>38860</v>
      </c>
    </row>
    <row r="49291" spans="8:8">
      <c r="H49291" t="s">
        <v>38861</v>
      </c>
    </row>
    <row r="49292" spans="8:8">
      <c r="H49292" t="s">
        <v>38862</v>
      </c>
    </row>
    <row r="49293" spans="8:8">
      <c r="H49293" t="s">
        <v>38863</v>
      </c>
    </row>
    <row r="49294" spans="8:8">
      <c r="H49294" t="s">
        <v>38864</v>
      </c>
    </row>
    <row r="49295" spans="8:8">
      <c r="H49295" t="s">
        <v>38865</v>
      </c>
    </row>
    <row r="49296" spans="8:8">
      <c r="H49296" t="s">
        <v>38866</v>
      </c>
    </row>
    <row r="49297" spans="8:8">
      <c r="H49297" t="s">
        <v>38867</v>
      </c>
    </row>
    <row r="49298" spans="8:8">
      <c r="H49298" t="s">
        <v>38868</v>
      </c>
    </row>
    <row r="49299" spans="8:8">
      <c r="H49299" t="s">
        <v>38869</v>
      </c>
    </row>
    <row r="49300" spans="8:8">
      <c r="H49300" t="s">
        <v>38870</v>
      </c>
    </row>
    <row r="49301" spans="8:8">
      <c r="H49301" t="s">
        <v>38871</v>
      </c>
    </row>
    <row r="49302" spans="8:8">
      <c r="H49302" t="s">
        <v>38872</v>
      </c>
    </row>
    <row r="49303" spans="8:8">
      <c r="H49303" t="s">
        <v>38873</v>
      </c>
    </row>
    <row r="49304" spans="8:8">
      <c r="H49304" t="s">
        <v>38874</v>
      </c>
    </row>
    <row r="49305" spans="8:8">
      <c r="H49305" t="s">
        <v>38875</v>
      </c>
    </row>
    <row r="49306" spans="8:8">
      <c r="H49306" t="s">
        <v>38876</v>
      </c>
    </row>
    <row r="49307" spans="8:8">
      <c r="H49307" t="s">
        <v>38877</v>
      </c>
    </row>
    <row r="49308" spans="8:8">
      <c r="H49308" t="s">
        <v>38878</v>
      </c>
    </row>
    <row r="49309" spans="8:8">
      <c r="H49309" t="s">
        <v>38879</v>
      </c>
    </row>
    <row r="49310" spans="8:8">
      <c r="H49310" t="s">
        <v>38880</v>
      </c>
    </row>
    <row r="49311" spans="8:8">
      <c r="H49311" t="s">
        <v>38881</v>
      </c>
    </row>
    <row r="49312" spans="8:8">
      <c r="H49312" t="s">
        <v>38882</v>
      </c>
    </row>
    <row r="49313" spans="8:8">
      <c r="H49313" t="s">
        <v>38883</v>
      </c>
    </row>
    <row r="49314" spans="8:8">
      <c r="H49314" t="s">
        <v>38884</v>
      </c>
    </row>
    <row r="49315" spans="8:8">
      <c r="H49315" t="s">
        <v>38885</v>
      </c>
    </row>
    <row r="49316" spans="8:8">
      <c r="H49316" t="s">
        <v>38886</v>
      </c>
    </row>
    <row r="49317" spans="8:8">
      <c r="H49317" t="s">
        <v>38887</v>
      </c>
    </row>
    <row r="49318" spans="8:8">
      <c r="H49318" t="s">
        <v>38888</v>
      </c>
    </row>
    <row r="49319" spans="8:8">
      <c r="H49319" t="s">
        <v>38889</v>
      </c>
    </row>
    <row r="49320" spans="8:8">
      <c r="H49320" t="s">
        <v>38890</v>
      </c>
    </row>
    <row r="49321" spans="8:8">
      <c r="H49321" t="s">
        <v>38891</v>
      </c>
    </row>
    <row r="49322" spans="8:8">
      <c r="H49322" t="s">
        <v>38892</v>
      </c>
    </row>
    <row r="49323" spans="8:8">
      <c r="H49323" t="s">
        <v>38893</v>
      </c>
    </row>
    <row r="49324" spans="8:8">
      <c r="H49324" t="s">
        <v>38894</v>
      </c>
    </row>
    <row r="49325" spans="8:8">
      <c r="H49325" t="s">
        <v>38895</v>
      </c>
    </row>
    <row r="49326" spans="8:8">
      <c r="H49326" t="s">
        <v>38896</v>
      </c>
    </row>
    <row r="49327" spans="8:8">
      <c r="H49327" t="s">
        <v>38897</v>
      </c>
    </row>
    <row r="49328" spans="8:8">
      <c r="H49328" t="s">
        <v>38898</v>
      </c>
    </row>
    <row r="49329" spans="8:8">
      <c r="H49329" t="s">
        <v>38899</v>
      </c>
    </row>
    <row r="49330" spans="8:8">
      <c r="H49330" t="s">
        <v>38900</v>
      </c>
    </row>
    <row r="49331" spans="8:8">
      <c r="H49331" t="s">
        <v>38901</v>
      </c>
    </row>
    <row r="49332" spans="8:8">
      <c r="H49332" t="s">
        <v>38902</v>
      </c>
    </row>
    <row r="49333" spans="8:8">
      <c r="H49333" t="s">
        <v>38903</v>
      </c>
    </row>
    <row r="49334" spans="8:8">
      <c r="H49334" t="s">
        <v>38904</v>
      </c>
    </row>
    <row r="49335" spans="8:8">
      <c r="H49335" t="s">
        <v>38905</v>
      </c>
    </row>
    <row r="49336" spans="8:8">
      <c r="H49336" t="s">
        <v>38906</v>
      </c>
    </row>
    <row r="49337" spans="8:8">
      <c r="H49337" t="s">
        <v>38907</v>
      </c>
    </row>
    <row r="49338" spans="8:8">
      <c r="H49338" t="s">
        <v>38908</v>
      </c>
    </row>
    <row r="49339" spans="8:8">
      <c r="H49339" t="s">
        <v>38909</v>
      </c>
    </row>
    <row r="49340" spans="8:8">
      <c r="H49340" t="s">
        <v>38910</v>
      </c>
    </row>
    <row r="49341" spans="8:8">
      <c r="H49341" t="s">
        <v>38911</v>
      </c>
    </row>
    <row r="49342" spans="8:8">
      <c r="H49342" t="s">
        <v>38912</v>
      </c>
    </row>
    <row r="49343" spans="8:8">
      <c r="H49343" t="s">
        <v>38913</v>
      </c>
    </row>
    <row r="49344" spans="8:8">
      <c r="H49344" t="s">
        <v>38914</v>
      </c>
    </row>
    <row r="49345" spans="8:8">
      <c r="H49345" t="s">
        <v>38915</v>
      </c>
    </row>
    <row r="49346" spans="8:8">
      <c r="H49346" t="s">
        <v>38916</v>
      </c>
    </row>
    <row r="49347" spans="8:8">
      <c r="H49347" t="s">
        <v>38917</v>
      </c>
    </row>
    <row r="49348" spans="8:8">
      <c r="H49348" t="s">
        <v>38918</v>
      </c>
    </row>
    <row r="49349" spans="8:8">
      <c r="H49349" t="s">
        <v>38919</v>
      </c>
    </row>
    <row r="49350" spans="8:8">
      <c r="H49350" t="s">
        <v>38920</v>
      </c>
    </row>
    <row r="49351" spans="8:8">
      <c r="H49351" t="s">
        <v>38921</v>
      </c>
    </row>
    <row r="49352" spans="8:8">
      <c r="H49352" t="s">
        <v>38922</v>
      </c>
    </row>
    <row r="49353" spans="8:8">
      <c r="H49353" t="s">
        <v>38923</v>
      </c>
    </row>
    <row r="49354" spans="8:8">
      <c r="H49354" t="s">
        <v>38924</v>
      </c>
    </row>
    <row r="49355" spans="8:8">
      <c r="H49355" t="s">
        <v>38925</v>
      </c>
    </row>
    <row r="49356" spans="8:8">
      <c r="H49356" t="s">
        <v>38926</v>
      </c>
    </row>
    <row r="49357" spans="8:8">
      <c r="H49357" t="s">
        <v>38927</v>
      </c>
    </row>
    <row r="49358" spans="8:8">
      <c r="H49358" t="s">
        <v>38928</v>
      </c>
    </row>
    <row r="49359" spans="8:8">
      <c r="H49359" t="s">
        <v>38929</v>
      </c>
    </row>
    <row r="49360" spans="8:8">
      <c r="H49360" t="s">
        <v>38930</v>
      </c>
    </row>
    <row r="49361" spans="8:8">
      <c r="H49361" t="s">
        <v>38931</v>
      </c>
    </row>
    <row r="49362" spans="8:8">
      <c r="H49362" t="s">
        <v>38932</v>
      </c>
    </row>
    <row r="49363" spans="8:8">
      <c r="H49363" t="s">
        <v>38933</v>
      </c>
    </row>
    <row r="49364" spans="8:8">
      <c r="H49364" t="s">
        <v>38934</v>
      </c>
    </row>
    <row r="49365" spans="8:8">
      <c r="H49365" t="s">
        <v>38935</v>
      </c>
    </row>
    <row r="49366" spans="8:8">
      <c r="H49366" t="s">
        <v>38936</v>
      </c>
    </row>
    <row r="49367" spans="8:8">
      <c r="H49367" t="s">
        <v>38937</v>
      </c>
    </row>
    <row r="49368" spans="8:8">
      <c r="H49368" t="s">
        <v>38938</v>
      </c>
    </row>
    <row r="49369" spans="8:8">
      <c r="H49369" t="s">
        <v>38939</v>
      </c>
    </row>
    <row r="49370" spans="8:8">
      <c r="H49370" t="s">
        <v>38940</v>
      </c>
    </row>
    <row r="49371" spans="8:8">
      <c r="H49371" t="s">
        <v>38941</v>
      </c>
    </row>
    <row r="49372" spans="8:8">
      <c r="H49372" t="s">
        <v>38942</v>
      </c>
    </row>
    <row r="49373" spans="8:8">
      <c r="H49373" t="s">
        <v>38943</v>
      </c>
    </row>
    <row r="49374" spans="8:8">
      <c r="H49374" t="s">
        <v>38944</v>
      </c>
    </row>
    <row r="49375" spans="8:8">
      <c r="H49375" t="s">
        <v>38945</v>
      </c>
    </row>
    <row r="49376" spans="8:8">
      <c r="H49376" t="s">
        <v>38946</v>
      </c>
    </row>
    <row r="49377" spans="1:8">
      <c r="H49377" t="s">
        <v>38947</v>
      </c>
    </row>
    <row r="49378" spans="1:8">
      <c r="H49378" t="s">
        <v>38948</v>
      </c>
    </row>
    <row r="49379" spans="1:8">
      <c r="H49379" t="s">
        <v>38949</v>
      </c>
    </row>
    <row r="49380" spans="1:8">
      <c r="H49380" t="s">
        <v>38950</v>
      </c>
    </row>
    <row r="49381" spans="1:8">
      <c r="H49381" t="s">
        <v>38951</v>
      </c>
    </row>
    <row r="49382" spans="1:8">
      <c r="H49382" t="s">
        <v>38952</v>
      </c>
    </row>
    <row r="49383" spans="1:8">
      <c r="H49383" t="s">
        <v>38953</v>
      </c>
    </row>
    <row r="49384" spans="1:8">
      <c r="A49384" t="s">
        <v>4568</v>
      </c>
      <c r="B49384">
        <f>HYPERLINK("https://android.googlesource.com/platform/cts/+/739d8048ce8023ef7b1815a800c56d362ebf4799", "739d8048ce8023ef7b1815a800c56d362ebf4799")</f>
        <v>0</v>
      </c>
      <c r="C49384">
        <f>HYPERLINK("https://android.googlesource.com/platform/cts/+/bd1808ed24a442996d92483e55a72ee7d1e9e7d3", "bd1808ed24a442996d92483e55a72ee7d1e9e7d3")</f>
        <v>0</v>
      </c>
      <c r="D49384" t="s">
        <v>5437</v>
      </c>
      <c r="E49384" t="s">
        <v>10229</v>
      </c>
      <c r="F49384" t="s">
        <v>13965</v>
      </c>
      <c r="G49384" t="s">
        <v>17990</v>
      </c>
      <c r="H49384" t="s">
        <v>38954</v>
      </c>
    </row>
    <row r="49385" spans="1:8">
      <c r="A49385" t="s">
        <v>4569</v>
      </c>
      <c r="B49385">
        <f>HYPERLINK("https://android.googlesource.com/platform/cts/+/550573a43a7db8c468fc21a5315198f597a49906", "550573a43a7db8c468fc21a5315198f597a49906")</f>
        <v>0</v>
      </c>
      <c r="C49385">
        <f>HYPERLINK("https://android.googlesource.com/platform/cts/+/864679fb921aa391e610064bf5746a026a785af7", "864679fb921aa391e610064bf5746a026a785af7")</f>
        <v>0</v>
      </c>
      <c r="D49385" t="s">
        <v>5046</v>
      </c>
      <c r="E49385" t="s">
        <v>10230</v>
      </c>
      <c r="F49385" t="s">
        <v>14791</v>
      </c>
      <c r="G49385" t="s">
        <v>18659</v>
      </c>
      <c r="H49385" t="s">
        <v>19475</v>
      </c>
    </row>
    <row r="49386" spans="1:8">
      <c r="A49386" t="s">
        <v>4570</v>
      </c>
      <c r="B49386">
        <f>HYPERLINK("https://android.googlesource.com/platform/cts/+/480ed49a29e7131f59b12591f1a8bb4304f8a004", "480ed49a29e7131f59b12591f1a8bb4304f8a004")</f>
        <v>0</v>
      </c>
      <c r="C49386">
        <f>HYPERLINK("https://android.googlesource.com/platform/cts/+/fbf9a864ae7b2e4034fff862eea16dba57c09624", "fbf9a864ae7b2e4034fff862eea16dba57c09624")</f>
        <v>0</v>
      </c>
      <c r="D49386" t="s">
        <v>5580</v>
      </c>
      <c r="E49386" t="s">
        <v>10231</v>
      </c>
      <c r="F49386" t="s">
        <v>12241</v>
      </c>
      <c r="G49386" t="s">
        <v>16472</v>
      </c>
      <c r="H49386" t="s">
        <v>38101</v>
      </c>
    </row>
    <row r="49387" spans="1:8">
      <c r="A49387" t="s">
        <v>4571</v>
      </c>
      <c r="B49387">
        <f>HYPERLINK("https://android.googlesource.com/platform/cts/+/da263dfbf808a7c38322e0b430e98521f40b31bc", "da263dfbf808a7c38322e0b430e98521f40b31bc")</f>
        <v>0</v>
      </c>
      <c r="C49387">
        <f>HYPERLINK("https://android.googlesource.com/platform/cts/+/1cf3cbe51d0f2f0fdb21ec613192d68ec77d6d36", "1cf3cbe51d0f2f0fdb21ec613192d68ec77d6d36")</f>
        <v>0</v>
      </c>
      <c r="D49387" t="s">
        <v>5575</v>
      </c>
      <c r="E49387" t="s">
        <v>10232</v>
      </c>
      <c r="F49387" t="s">
        <v>14792</v>
      </c>
      <c r="G49387" t="s">
        <v>18660</v>
      </c>
      <c r="H49387" t="s">
        <v>38955</v>
      </c>
    </row>
    <row r="49388" spans="1:8">
      <c r="F49388" t="s">
        <v>14793</v>
      </c>
      <c r="G49388" t="s">
        <v>18661</v>
      </c>
      <c r="H49388" t="s">
        <v>38956</v>
      </c>
    </row>
    <row r="49389" spans="1:8">
      <c r="A49389" t="s">
        <v>4572</v>
      </c>
      <c r="B49389">
        <f>HYPERLINK("https://android.googlesource.com/platform/cts/+/c1d6f603909a3bc6dc273da1636232324b3eb6ad", "c1d6f603909a3bc6dc273da1636232324b3eb6ad")</f>
        <v>0</v>
      </c>
      <c r="C49389">
        <f>HYPERLINK("https://android.googlesource.com/platform/cts/+/21200410f67a2cda0fd81a6582f8992fc6e8b1c7", "21200410f67a2cda0fd81a6582f8992fc6e8b1c7")</f>
        <v>0</v>
      </c>
      <c r="D49389" t="s">
        <v>5564</v>
      </c>
      <c r="E49389" t="s">
        <v>10233</v>
      </c>
      <c r="F49389" t="s">
        <v>14794</v>
      </c>
      <c r="G49389" t="s">
        <v>16630</v>
      </c>
      <c r="H49389" t="s">
        <v>38957</v>
      </c>
    </row>
    <row r="49390" spans="1:8">
      <c r="H49390" t="s">
        <v>38958</v>
      </c>
    </row>
    <row r="49391" spans="1:8">
      <c r="A49391" t="s">
        <v>4573</v>
      </c>
      <c r="B49391">
        <f>HYPERLINK("https://android.googlesource.com/platform/cts/+/d66107ddfaf1f02b4aff53522a29bdfc95d8d3ff", "d66107ddfaf1f02b4aff53522a29bdfc95d8d3ff")</f>
        <v>0</v>
      </c>
      <c r="C49391">
        <f>HYPERLINK("https://android.googlesource.com/platform/cts/+/80002ce9344238935804504482448046337cf8bb", "80002ce9344238935804504482448046337cf8bb")</f>
        <v>0</v>
      </c>
      <c r="D49391" t="s">
        <v>5720</v>
      </c>
      <c r="E49391" t="s">
        <v>10234</v>
      </c>
      <c r="F49391" t="s">
        <v>14795</v>
      </c>
      <c r="G49391" t="s">
        <v>18662</v>
      </c>
      <c r="H49391" t="s">
        <v>38959</v>
      </c>
    </row>
    <row r="49392" spans="1:8">
      <c r="H49392" t="s">
        <v>38960</v>
      </c>
    </row>
    <row r="49393" spans="1:8">
      <c r="H49393" t="s">
        <v>38961</v>
      </c>
    </row>
    <row r="49394" spans="1:8">
      <c r="A49394" t="s">
        <v>4574</v>
      </c>
      <c r="B49394">
        <f>HYPERLINK("https://android.googlesource.com/platform/cts/+/c7301281b2d25ea17449146264d9f6a6644f49a2", "c7301281b2d25ea17449146264d9f6a6644f49a2")</f>
        <v>0</v>
      </c>
      <c r="C49394">
        <f>HYPERLINK("https://android.googlesource.com/platform/cts/+/c5c50e8bd19eb11163df31ea87afddda179b1549", "c5c50e8bd19eb11163df31ea87afddda179b1549")</f>
        <v>0</v>
      </c>
      <c r="D49394" t="s">
        <v>5021</v>
      </c>
      <c r="E49394" t="s">
        <v>10235</v>
      </c>
      <c r="F49394" t="s">
        <v>13806</v>
      </c>
      <c r="G49394" t="s">
        <v>17843</v>
      </c>
      <c r="H49394" t="s">
        <v>31283</v>
      </c>
    </row>
    <row r="49395" spans="1:8">
      <c r="A49395" t="s">
        <v>4575</v>
      </c>
      <c r="B49395">
        <f>HYPERLINK("https://android.googlesource.com/platform/cts/+/544fdc824095b625b6fc0efecf7a6bd31e6fe92f", "544fdc824095b625b6fc0efecf7a6bd31e6fe92f")</f>
        <v>0</v>
      </c>
      <c r="C49395">
        <f>HYPERLINK("https://android.googlesource.com/platform/cts/+/5b2835f16dc6e21362ee52d99e3386239a3293b6", "5b2835f16dc6e21362ee52d99e3386239a3293b6")</f>
        <v>0</v>
      </c>
      <c r="D49395" t="s">
        <v>5118</v>
      </c>
      <c r="E49395" t="s">
        <v>10236</v>
      </c>
      <c r="F49395" t="s">
        <v>13165</v>
      </c>
      <c r="G49395" t="s">
        <v>17315</v>
      </c>
      <c r="H49395" t="s">
        <v>37793</v>
      </c>
    </row>
    <row r="49396" spans="1:8">
      <c r="A49396" t="s">
        <v>4576</v>
      </c>
      <c r="B49396">
        <f>HYPERLINK("https://android.googlesource.com/platform/cts/+/2948cd38ac8d82413ca2f9f890a32b6f6d2b8e9c", "2948cd38ac8d82413ca2f9f890a32b6f6d2b8e9c")</f>
        <v>0</v>
      </c>
      <c r="C49396">
        <f>HYPERLINK("https://android.googlesource.com/platform/cts/+/a2048601bb93881f5767655ea8647631f0a15588", "a2048601bb93881f5767655ea8647631f0a15588")</f>
        <v>0</v>
      </c>
      <c r="D49396" t="s">
        <v>5118</v>
      </c>
      <c r="E49396" t="s">
        <v>10237</v>
      </c>
      <c r="F49396" t="s">
        <v>13165</v>
      </c>
      <c r="G49396" t="s">
        <v>17315</v>
      </c>
      <c r="H49396" t="s">
        <v>37793</v>
      </c>
    </row>
    <row r="49397" spans="1:8">
      <c r="A49397" t="s">
        <v>4577</v>
      </c>
      <c r="B49397">
        <f>HYPERLINK("https://android.googlesource.com/platform/cts/+/8efd3bb91838d0d0a70ac367e9e17f890cb004bd", "8efd3bb91838d0d0a70ac367e9e17f890cb004bd")</f>
        <v>0</v>
      </c>
      <c r="C49397">
        <f>HYPERLINK("https://android.googlesource.com/platform/cts/+/2cccd985a8b973c9dc0af4e44f9ef4f11a7b5707", "2cccd985a8b973c9dc0af4e44f9ef4f11a7b5707")</f>
        <v>0</v>
      </c>
      <c r="D49397" t="s">
        <v>5118</v>
      </c>
      <c r="E49397" t="s">
        <v>10238</v>
      </c>
      <c r="F49397" t="s">
        <v>13165</v>
      </c>
      <c r="G49397" t="s">
        <v>17315</v>
      </c>
      <c r="H49397" t="s">
        <v>37793</v>
      </c>
    </row>
    <row r="49398" spans="1:8">
      <c r="A49398" t="s">
        <v>4578</v>
      </c>
      <c r="B49398">
        <f>HYPERLINK("https://android.googlesource.com/platform/cts/+/ee7337d0b74031bfde73b7806e742480f1c937c4", "ee7337d0b74031bfde73b7806e742480f1c937c4")</f>
        <v>0</v>
      </c>
      <c r="C49398">
        <f>HYPERLINK("https://android.googlesource.com/platform/cts/+/0362b495e55db29266e8dc4582cd8b1acd5074b8", "0362b495e55db29266e8dc4582cd8b1acd5074b8")</f>
        <v>0</v>
      </c>
      <c r="D49398" t="s">
        <v>5512</v>
      </c>
      <c r="E49398" t="s">
        <v>10239</v>
      </c>
      <c r="F49398" t="s">
        <v>14796</v>
      </c>
      <c r="G49398" t="s">
        <v>18663</v>
      </c>
      <c r="H49398" t="s">
        <v>18829</v>
      </c>
    </row>
    <row r="49399" spans="1:8">
      <c r="A49399" t="s">
        <v>4579</v>
      </c>
      <c r="B49399">
        <f>HYPERLINK("https://android.googlesource.com/platform/cts/+/de571f5409b8bcd5fc623a97b806f18ec322ff5c", "de571f5409b8bcd5fc623a97b806f18ec322ff5c")</f>
        <v>0</v>
      </c>
      <c r="C49399">
        <f>HYPERLINK("https://android.googlesource.com/platform/cts/+/39698c8626596ab0d3d512a1fb97a28c1d362c93", "39698c8626596ab0d3d512a1fb97a28c1d362c93")</f>
        <v>0</v>
      </c>
      <c r="D49399" t="s">
        <v>5726</v>
      </c>
      <c r="E49399" t="s">
        <v>10240</v>
      </c>
      <c r="F49399" t="s">
        <v>14797</v>
      </c>
      <c r="G49399" t="s">
        <v>16471</v>
      </c>
      <c r="H49399" t="s">
        <v>38962</v>
      </c>
    </row>
    <row r="49400" spans="1:8">
      <c r="A49400" t="s">
        <v>4580</v>
      </c>
      <c r="B49400">
        <f>HYPERLINK("https://android.googlesource.com/platform/cts/+/593c2f9052170f50c55647de89cfdcc92dca8e32", "593c2f9052170f50c55647de89cfdcc92dca8e32")</f>
        <v>0</v>
      </c>
      <c r="C49400">
        <f>HYPERLINK("https://android.googlesource.com/platform/cts/+/41be8f7274a2ecac18ed30e3d00a7a4d91988d8d", "41be8f7274a2ecac18ed30e3d00a7a4d91988d8d")</f>
        <v>0</v>
      </c>
      <c r="D49400" t="s">
        <v>5463</v>
      </c>
      <c r="E49400" t="s">
        <v>10241</v>
      </c>
      <c r="F49400" t="s">
        <v>14798</v>
      </c>
      <c r="G49400" t="s">
        <v>18664</v>
      </c>
      <c r="H49400" t="s">
        <v>38963</v>
      </c>
    </row>
    <row r="49401" spans="1:8">
      <c r="A49401" t="s">
        <v>4581</v>
      </c>
      <c r="B49401">
        <f>HYPERLINK("https://android.googlesource.com/platform/cts/+/b84d9b2de9243f1f3ff673968aceedd3a7d23ad5", "b84d9b2de9243f1f3ff673968aceedd3a7d23ad5")</f>
        <v>0</v>
      </c>
      <c r="C49401">
        <f>HYPERLINK("https://android.googlesource.com/platform/cts/+/0603effc95607669c52a700804eb06909a336b97", "0603effc95607669c52a700804eb06909a336b97")</f>
        <v>0</v>
      </c>
      <c r="D49401" t="s">
        <v>5512</v>
      </c>
      <c r="E49401" t="s">
        <v>10242</v>
      </c>
      <c r="F49401" t="s">
        <v>14796</v>
      </c>
      <c r="G49401" t="s">
        <v>18663</v>
      </c>
      <c r="H49401" t="s">
        <v>18829</v>
      </c>
    </row>
    <row r="49402" spans="1:8">
      <c r="A49402" t="s">
        <v>4582</v>
      </c>
      <c r="B49402">
        <f>HYPERLINK("https://android.googlesource.com/platform/cts/+/e26d55895daaca4ae2fb5ec97220e304934c7aeb", "e26d55895daaca4ae2fb5ec97220e304934c7aeb")</f>
        <v>0</v>
      </c>
      <c r="C49402">
        <f>HYPERLINK("https://android.googlesource.com/platform/cts/+/a1c5526876255c792796decd7fd794ac153b5846", "a1c5526876255c792796decd7fd794ac153b5846")</f>
        <v>0</v>
      </c>
      <c r="D49402" t="s">
        <v>5512</v>
      </c>
      <c r="E49402" t="s">
        <v>10242</v>
      </c>
      <c r="F49402" t="s">
        <v>14796</v>
      </c>
      <c r="G49402" t="s">
        <v>18663</v>
      </c>
      <c r="H49402" t="s">
        <v>18829</v>
      </c>
    </row>
    <row r="49403" spans="1:8">
      <c r="A49403" t="s">
        <v>4583</v>
      </c>
      <c r="B49403">
        <f>HYPERLINK("https://android.googlesource.com/platform/cts/+/beea8a3f8faa3d8103a233908dc9dffbfdec33c1", "beea8a3f8faa3d8103a233908dc9dffbfdec33c1")</f>
        <v>0</v>
      </c>
      <c r="C49403">
        <f>HYPERLINK("https://android.googlesource.com/platform/cts/+/b620e85d0c87d87891ae1809dba11bb360784bab", "b620e85d0c87d87891ae1809dba11bb360784bab")</f>
        <v>0</v>
      </c>
      <c r="D49403" t="s">
        <v>5727</v>
      </c>
      <c r="E49403" t="s">
        <v>10243</v>
      </c>
      <c r="F49403" t="s">
        <v>14679</v>
      </c>
      <c r="G49403" t="s">
        <v>18573</v>
      </c>
      <c r="H49403" t="s">
        <v>38964</v>
      </c>
    </row>
    <row r="49404" spans="1:8">
      <c r="A49404" t="s">
        <v>4584</v>
      </c>
      <c r="B49404">
        <f>HYPERLINK("https://android.googlesource.com/platform/cts/+/8c5bbe0d671ab4cd4dc0493618a20cd2acac7329", "8c5bbe0d671ab4cd4dc0493618a20cd2acac7329")</f>
        <v>0</v>
      </c>
      <c r="C49404">
        <f>HYPERLINK("https://android.googlesource.com/platform/cts/+/d5bb6a92e62600a9a3cf39230815443f40ea5299", "d5bb6a92e62600a9a3cf39230815443f40ea5299")</f>
        <v>0</v>
      </c>
      <c r="D49404" t="s">
        <v>5728</v>
      </c>
      <c r="E49404" t="s">
        <v>10244</v>
      </c>
      <c r="F49404" t="s">
        <v>14799</v>
      </c>
      <c r="G49404" t="s">
        <v>18665</v>
      </c>
      <c r="H49404" t="s">
        <v>19981</v>
      </c>
    </row>
    <row r="49405" spans="1:8">
      <c r="F49405" t="s">
        <v>14663</v>
      </c>
      <c r="G49405" t="s">
        <v>18560</v>
      </c>
      <c r="H49405" t="s">
        <v>19981</v>
      </c>
    </row>
    <row r="49406" spans="1:8">
      <c r="A49406" t="s">
        <v>4585</v>
      </c>
      <c r="B49406">
        <f>HYPERLINK("https://android.googlesource.com/platform/cts/+/60a8ffc4a7bc5663989bf6cfd5e6e6fe3b60d2ea", "60a8ffc4a7bc5663989bf6cfd5e6e6fe3b60d2ea")</f>
        <v>0</v>
      </c>
      <c r="C49406">
        <f>HYPERLINK("https://android.googlesource.com/platform/cts/+/18a748a535420aba5ef258d9362154e015ac8246", "18a748a535420aba5ef258d9362154e015ac8246")</f>
        <v>0</v>
      </c>
      <c r="D49406" t="s">
        <v>5728</v>
      </c>
      <c r="E49406" t="s">
        <v>10245</v>
      </c>
      <c r="F49406" t="s">
        <v>14800</v>
      </c>
      <c r="G49406" t="s">
        <v>18479</v>
      </c>
      <c r="H49406" t="s">
        <v>38965</v>
      </c>
    </row>
    <row r="49407" spans="1:8">
      <c r="H49407" t="s">
        <v>38966</v>
      </c>
    </row>
    <row r="49408" spans="1:8">
      <c r="A49408" t="s">
        <v>4586</v>
      </c>
      <c r="B49408">
        <f>HYPERLINK("https://android.googlesource.com/platform/cts/+/a56ba0f83f0bde017249b787a51e69c3deac7f74", "a56ba0f83f0bde017249b787a51e69c3deac7f74")</f>
        <v>0</v>
      </c>
      <c r="C49408">
        <f>HYPERLINK("https://android.googlesource.com/platform/cts/+/fe29dcef0dc47151ef90278e57e503607cfe66a8", "fe29dcef0dc47151ef90278e57e503607cfe66a8")</f>
        <v>0</v>
      </c>
      <c r="D49408" t="s">
        <v>5729</v>
      </c>
      <c r="E49408" t="s">
        <v>10246</v>
      </c>
      <c r="F49408" t="s">
        <v>14801</v>
      </c>
      <c r="G49408" t="s">
        <v>18666</v>
      </c>
      <c r="H49408" t="s">
        <v>38967</v>
      </c>
    </row>
    <row r="49409" spans="1:8">
      <c r="H49409" t="s">
        <v>38968</v>
      </c>
    </row>
    <row r="49410" spans="1:8">
      <c r="F49410" t="s">
        <v>14802</v>
      </c>
      <c r="G49410" t="s">
        <v>18667</v>
      </c>
      <c r="H49410" t="s">
        <v>38969</v>
      </c>
    </row>
    <row r="49411" spans="1:8">
      <c r="A49411" t="s">
        <v>4587</v>
      </c>
      <c r="B49411">
        <f>HYPERLINK("https://android.googlesource.com/platform/cts/+/36bcf9747069aee2915e4ec3f1071cef365620a5", "36bcf9747069aee2915e4ec3f1071cef365620a5")</f>
        <v>0</v>
      </c>
      <c r="C49411">
        <f>HYPERLINK("https://android.googlesource.com/platform/cts/+/41c0abe56b4e5a15087d5a9da7bc4755be8068dd", "41c0abe56b4e5a15087d5a9da7bc4755be8068dd")</f>
        <v>0</v>
      </c>
      <c r="D49411" t="s">
        <v>5730</v>
      </c>
      <c r="E49411" t="s">
        <v>10247</v>
      </c>
      <c r="F49411" t="s">
        <v>14768</v>
      </c>
      <c r="G49411" t="s">
        <v>18644</v>
      </c>
      <c r="H49411" t="s">
        <v>38970</v>
      </c>
    </row>
    <row r="49412" spans="1:8">
      <c r="A49412" t="s">
        <v>4588</v>
      </c>
      <c r="B49412">
        <f>HYPERLINK("https://android.googlesource.com/platform/cts/+/5dc1f4f6c6cfa65d6fe278ee88a2ba6a3b2dc4bf", "5dc1f4f6c6cfa65d6fe278ee88a2ba6a3b2dc4bf")</f>
        <v>0</v>
      </c>
      <c r="C49412">
        <f>HYPERLINK("https://android.googlesource.com/platform/cts/+/3b427a15fbdc3a63c1d70ae2cefc883236ac0c79", "3b427a15fbdc3a63c1d70ae2cefc883236ac0c79")</f>
        <v>0</v>
      </c>
      <c r="D49412" t="s">
        <v>5396</v>
      </c>
      <c r="E49412" t="s">
        <v>10248</v>
      </c>
      <c r="F49412" t="s">
        <v>14014</v>
      </c>
      <c r="G49412" t="s">
        <v>18026</v>
      </c>
      <c r="H49412" t="s">
        <v>38971</v>
      </c>
    </row>
    <row r="49413" spans="1:8">
      <c r="H49413" t="s">
        <v>38972</v>
      </c>
    </row>
    <row r="49414" spans="1:8">
      <c r="H49414" t="s">
        <v>38973</v>
      </c>
    </row>
    <row r="49415" spans="1:8">
      <c r="H49415" t="s">
        <v>38974</v>
      </c>
    </row>
    <row r="49416" spans="1:8">
      <c r="F49416" t="s">
        <v>14803</v>
      </c>
      <c r="G49416" t="s">
        <v>18668</v>
      </c>
      <c r="H49416" t="s">
        <v>38975</v>
      </c>
    </row>
    <row r="49417" spans="1:8">
      <c r="H49417" t="s">
        <v>38976</v>
      </c>
    </row>
    <row r="49418" spans="1:8">
      <c r="A49418" t="s">
        <v>4589</v>
      </c>
      <c r="B49418">
        <f>HYPERLINK("https://android.googlesource.com/platform/cts/+/74adc0f1015cc2fff71cddec9864c78bbca43dca", "74adc0f1015cc2fff71cddec9864c78bbca43dca")</f>
        <v>0</v>
      </c>
      <c r="C49418">
        <f>HYPERLINK("https://android.googlesource.com/platform/cts/+/245208bcbadcb38c91995dc6dc781c0bdd78a175", "245208bcbadcb38c91995dc6dc781c0bdd78a175")</f>
        <v>0</v>
      </c>
      <c r="D49418" t="s">
        <v>5731</v>
      </c>
      <c r="E49418" t="s">
        <v>10249</v>
      </c>
      <c r="F49418" t="s">
        <v>14804</v>
      </c>
      <c r="G49418" t="s">
        <v>18669</v>
      </c>
      <c r="H49418" t="s">
        <v>38977</v>
      </c>
    </row>
    <row r="49419" spans="1:8">
      <c r="H49419" t="s">
        <v>38978</v>
      </c>
    </row>
    <row r="49420" spans="1:8">
      <c r="H49420" t="s">
        <v>38979</v>
      </c>
    </row>
    <row r="49421" spans="1:8">
      <c r="A49421" t="s">
        <v>4590</v>
      </c>
      <c r="B49421">
        <f>HYPERLINK("https://android.googlesource.com/platform/cts/+/783ae4cf6a0146142090aa416e35df4bb176ffc5", "783ae4cf6a0146142090aa416e35df4bb176ffc5")</f>
        <v>0</v>
      </c>
      <c r="C49421">
        <f>HYPERLINK("https://android.googlesource.com/platform/cts/+/b84d9b2de9243f1f3ff673968aceedd3a7d23ad5", "b84d9b2de9243f1f3ff673968aceedd3a7d23ad5")</f>
        <v>0</v>
      </c>
      <c r="D49421" t="s">
        <v>5732</v>
      </c>
      <c r="E49421" t="s">
        <v>10250</v>
      </c>
      <c r="F49421" t="s">
        <v>13730</v>
      </c>
      <c r="G49421" t="s">
        <v>16824</v>
      </c>
      <c r="H49421" t="s">
        <v>18829</v>
      </c>
    </row>
    <row r="49422" spans="1:8">
      <c r="F49422" t="s">
        <v>14805</v>
      </c>
      <c r="G49422" t="s">
        <v>18670</v>
      </c>
      <c r="H49422" t="s">
        <v>18863</v>
      </c>
    </row>
    <row r="49423" spans="1:8">
      <c r="A49423" t="s">
        <v>4591</v>
      </c>
      <c r="B49423">
        <f>HYPERLINK("https://android.googlesource.com/platform/cts/+/a1dbf4a019e67bb75e0354647a0ea89b53945ebc", "a1dbf4a019e67bb75e0354647a0ea89b53945ebc")</f>
        <v>0</v>
      </c>
      <c r="C49423">
        <f>HYPERLINK("https://android.googlesource.com/platform/cts/+/f3d93989c7e648ed132780bddf944a5dd13be2b5", "f3d93989c7e648ed132780bddf944a5dd13be2b5")</f>
        <v>0</v>
      </c>
      <c r="D49423" t="s">
        <v>5732</v>
      </c>
      <c r="E49423" t="s">
        <v>10251</v>
      </c>
      <c r="F49423" t="s">
        <v>13730</v>
      </c>
      <c r="G49423" t="s">
        <v>16824</v>
      </c>
      <c r="H49423" t="s">
        <v>18829</v>
      </c>
    </row>
    <row r="49424" spans="1:8">
      <c r="F49424" t="s">
        <v>14805</v>
      </c>
      <c r="G49424" t="s">
        <v>18670</v>
      </c>
      <c r="H49424" t="s">
        <v>18863</v>
      </c>
    </row>
    <row r="49425" spans="1:8">
      <c r="A49425" t="s">
        <v>4592</v>
      </c>
      <c r="B49425">
        <f>HYPERLINK("https://android.googlesource.com/platform/cts/+/45460391cd022462b9258a6d8e4029b6c8cbab7d", "45460391cd022462b9258a6d8e4029b6c8cbab7d")</f>
        <v>0</v>
      </c>
      <c r="C49425">
        <f>HYPERLINK("https://android.googlesource.com/platform/cts/+/39698c8626596ab0d3d512a1fb97a28c1d362c93", "39698c8626596ab0d3d512a1fb97a28c1d362c93")</f>
        <v>0</v>
      </c>
      <c r="D49425" t="s">
        <v>5096</v>
      </c>
      <c r="E49425" t="s">
        <v>10252</v>
      </c>
      <c r="F49425" t="s">
        <v>14536</v>
      </c>
      <c r="G49425" t="s">
        <v>18460</v>
      </c>
      <c r="H49425" t="s">
        <v>38980</v>
      </c>
    </row>
    <row r="49426" spans="1:8">
      <c r="A49426" t="s">
        <v>4593</v>
      </c>
      <c r="B49426">
        <f>HYPERLINK("https://android.googlesource.com/platform/cts/+/5c85318997239d29b94147943d289d0dbc90b75b", "5c85318997239d29b94147943d289d0dbc90b75b")</f>
        <v>0</v>
      </c>
      <c r="C49426">
        <f>HYPERLINK("https://android.googlesource.com/platform/cts/+/c6eda5ade898b4cba0eca530f84ecbf1afed4f8a", "c6eda5ade898b4cba0eca530f84ecbf1afed4f8a")</f>
        <v>0</v>
      </c>
      <c r="D49426" t="s">
        <v>5096</v>
      </c>
      <c r="E49426" t="s">
        <v>10253</v>
      </c>
      <c r="F49426" t="s">
        <v>14695</v>
      </c>
      <c r="G49426" t="s">
        <v>18585</v>
      </c>
      <c r="H49426" t="s">
        <v>38981</v>
      </c>
    </row>
    <row r="49427" spans="1:8">
      <c r="H49427" t="s">
        <v>37878</v>
      </c>
    </row>
    <row r="49428" spans="1:8">
      <c r="A49428" t="s">
        <v>4594</v>
      </c>
      <c r="B49428">
        <f>HYPERLINK("https://android.googlesource.com/platform/cts/+/e615f83e1b21bd74640cfc1f2bd60824c0dc2752", "e615f83e1b21bd74640cfc1f2bd60824c0dc2752")</f>
        <v>0</v>
      </c>
      <c r="C49428">
        <f>HYPERLINK("https://android.googlesource.com/platform/cts/+/bac8610cca30aeecb7e4428fcd77ff54897b1805", "bac8610cca30aeecb7e4428fcd77ff54897b1805")</f>
        <v>0</v>
      </c>
      <c r="D49428" t="s">
        <v>5733</v>
      </c>
      <c r="E49428" t="s">
        <v>10254</v>
      </c>
      <c r="F49428" t="s">
        <v>14806</v>
      </c>
      <c r="G49428" t="s">
        <v>18671</v>
      </c>
      <c r="H49428" t="s">
        <v>38982</v>
      </c>
    </row>
    <row r="49429" spans="1:8">
      <c r="A49429" t="s">
        <v>4595</v>
      </c>
      <c r="B49429">
        <f>HYPERLINK("https://android.googlesource.com/platform/cts/+/06a970b73b949dc413450c7ac465d270697544d3", "06a970b73b949dc413450c7ac465d270697544d3")</f>
        <v>0</v>
      </c>
      <c r="C49429">
        <f>HYPERLINK("https://android.googlesource.com/platform/cts/+/ef4c34a8b3ef5ed75649d3f8101dfab9f335b7c7", "ef4c34a8b3ef5ed75649d3f8101dfab9f335b7c7")</f>
        <v>0</v>
      </c>
      <c r="D49429" t="s">
        <v>5134</v>
      </c>
      <c r="E49429" t="s">
        <v>10255</v>
      </c>
      <c r="F49429" t="s">
        <v>13229</v>
      </c>
      <c r="G49429" t="s">
        <v>17370</v>
      </c>
      <c r="H49429" t="s">
        <v>30571</v>
      </c>
    </row>
    <row r="49430" spans="1:8">
      <c r="H49430" t="s">
        <v>36765</v>
      </c>
    </row>
    <row r="49431" spans="1:8">
      <c r="H49431" t="s">
        <v>36766</v>
      </c>
    </row>
    <row r="49432" spans="1:8">
      <c r="H49432" t="s">
        <v>36767</v>
      </c>
    </row>
    <row r="49433" spans="1:8">
      <c r="H49433" t="s">
        <v>36768</v>
      </c>
    </row>
    <row r="49434" spans="1:8">
      <c r="A49434" t="s">
        <v>4596</v>
      </c>
      <c r="B49434">
        <f>HYPERLINK("https://android.googlesource.com/platform/cts/+/f12ac476f00e90e804948617127f2af0a134c5b6", "f12ac476f00e90e804948617127f2af0a134c5b6")</f>
        <v>0</v>
      </c>
      <c r="C49434">
        <f>HYPERLINK("https://android.googlesource.com/platform/cts/+/c72b442cf7f9a6090d861fa2e40dfa06eaec46cf", "c72b442cf7f9a6090d861fa2e40dfa06eaec46cf")</f>
        <v>0</v>
      </c>
      <c r="D49434" t="s">
        <v>5734</v>
      </c>
      <c r="E49434" t="s">
        <v>10256</v>
      </c>
      <c r="F49434" t="s">
        <v>14807</v>
      </c>
      <c r="G49434" t="s">
        <v>18672</v>
      </c>
      <c r="H49434" t="s">
        <v>38983</v>
      </c>
    </row>
    <row r="49435" spans="1:8">
      <c r="A49435" t="s">
        <v>4597</v>
      </c>
      <c r="B49435">
        <f>HYPERLINK("https://android.googlesource.com/platform/cts/+/d9bafa9ae1627d954cd1c73b0971c2fc26b0cdd6", "d9bafa9ae1627d954cd1c73b0971c2fc26b0cdd6")</f>
        <v>0</v>
      </c>
      <c r="C49435">
        <f>HYPERLINK("https://android.googlesource.com/platform/cts/+/ef4c34a8b3ef5ed75649d3f8101dfab9f335b7c7", "ef4c34a8b3ef5ed75649d3f8101dfab9f335b7c7")</f>
        <v>0</v>
      </c>
      <c r="D49435" t="s">
        <v>5134</v>
      </c>
      <c r="E49435" t="s">
        <v>10257</v>
      </c>
      <c r="F49435" t="s">
        <v>12743</v>
      </c>
      <c r="G49435" t="s">
        <v>16935</v>
      </c>
      <c r="H49435" t="s">
        <v>37673</v>
      </c>
    </row>
    <row r="49436" spans="1:8">
      <c r="H49436" t="s">
        <v>37674</v>
      </c>
    </row>
    <row r="49437" spans="1:8">
      <c r="H49437" t="s">
        <v>37675</v>
      </c>
    </row>
    <row r="49438" spans="1:8">
      <c r="H49438" t="s">
        <v>37676</v>
      </c>
    </row>
    <row r="49439" spans="1:8">
      <c r="F49439" t="s">
        <v>13229</v>
      </c>
      <c r="G49439" t="s">
        <v>17370</v>
      </c>
      <c r="H49439" t="s">
        <v>37673</v>
      </c>
    </row>
    <row r="49440" spans="1:8">
      <c r="H49440" t="s">
        <v>37674</v>
      </c>
    </row>
    <row r="49441" spans="1:8">
      <c r="A49441" t="s">
        <v>4598</v>
      </c>
      <c r="B49441">
        <f>HYPERLINK("https://android.googlesource.com/platform/cts/+/6ab10f6dde60edbf0b69c9fc91e0c347f6bfcf0e", "6ab10f6dde60edbf0b69c9fc91e0c347f6bfcf0e")</f>
        <v>0</v>
      </c>
      <c r="C49441">
        <f>HYPERLINK("https://android.googlesource.com/platform/cts/+/b8cf2c2c2811f179c5c6b4fe2168c31907a5c0be", "b8cf2c2c2811f179c5c6b4fe2168c31907a5c0be")</f>
        <v>0</v>
      </c>
      <c r="D49441" t="s">
        <v>5409</v>
      </c>
      <c r="E49441" t="s">
        <v>10258</v>
      </c>
      <c r="F49441" t="s">
        <v>14808</v>
      </c>
      <c r="G49441" t="s">
        <v>18673</v>
      </c>
      <c r="H49441" t="s">
        <v>38984</v>
      </c>
    </row>
    <row r="49442" spans="1:8">
      <c r="H49442" t="s">
        <v>38985</v>
      </c>
    </row>
    <row r="49443" spans="1:8">
      <c r="H49443" t="s">
        <v>38986</v>
      </c>
    </row>
    <row r="49444" spans="1:8">
      <c r="H49444" t="s">
        <v>38987</v>
      </c>
    </row>
    <row r="49445" spans="1:8">
      <c r="H49445" t="s">
        <v>38988</v>
      </c>
    </row>
    <row r="49446" spans="1:8">
      <c r="H49446" t="s">
        <v>38989</v>
      </c>
    </row>
    <row r="49447" spans="1:8">
      <c r="H49447" t="s">
        <v>38990</v>
      </c>
    </row>
    <row r="49448" spans="1:8">
      <c r="H49448" t="s">
        <v>38991</v>
      </c>
    </row>
    <row r="49449" spans="1:8">
      <c r="H49449" t="s">
        <v>38992</v>
      </c>
    </row>
    <row r="49450" spans="1:8">
      <c r="H49450" t="s">
        <v>38993</v>
      </c>
    </row>
    <row r="49451" spans="1:8">
      <c r="H49451" t="s">
        <v>38994</v>
      </c>
    </row>
    <row r="49452" spans="1:8">
      <c r="H49452" t="s">
        <v>38995</v>
      </c>
    </row>
    <row r="49453" spans="1:8">
      <c r="H49453" t="s">
        <v>38996</v>
      </c>
    </row>
    <row r="49454" spans="1:8">
      <c r="H49454" t="s">
        <v>38997</v>
      </c>
    </row>
    <row r="49455" spans="1:8">
      <c r="H49455" t="s">
        <v>38998</v>
      </c>
    </row>
    <row r="49456" spans="1:8">
      <c r="H49456" t="s">
        <v>38999</v>
      </c>
    </row>
    <row r="49457" spans="1:8">
      <c r="A49457" t="s">
        <v>4599</v>
      </c>
      <c r="B49457">
        <f>HYPERLINK("https://android.googlesource.com/platform/cts/+/bda932bd24875f53aa41309d8905398e3ca91d84", "bda932bd24875f53aa41309d8905398e3ca91d84")</f>
        <v>0</v>
      </c>
      <c r="C49457">
        <f>HYPERLINK("https://android.googlesource.com/platform/cts/+/dac827812f1f58322b9c5bf522b3d74cc20c1354", "dac827812f1f58322b9c5bf522b3d74cc20c1354")</f>
        <v>0</v>
      </c>
      <c r="D49457" t="s">
        <v>5645</v>
      </c>
      <c r="E49457" t="s">
        <v>10259</v>
      </c>
      <c r="F49457" t="s">
        <v>14809</v>
      </c>
      <c r="G49457" t="s">
        <v>18674</v>
      </c>
      <c r="H49457" t="s">
        <v>39000</v>
      </c>
    </row>
    <row r="49458" spans="1:8">
      <c r="H49458" t="s">
        <v>39001</v>
      </c>
    </row>
    <row r="49459" spans="1:8">
      <c r="H49459" t="s">
        <v>39002</v>
      </c>
    </row>
    <row r="49460" spans="1:8">
      <c r="H49460" t="s">
        <v>39003</v>
      </c>
    </row>
    <row r="49461" spans="1:8">
      <c r="H49461" t="s">
        <v>39004</v>
      </c>
    </row>
    <row r="49462" spans="1:8">
      <c r="A49462" t="s">
        <v>4600</v>
      </c>
      <c r="B49462">
        <f>HYPERLINK("https://android.googlesource.com/platform/cts/+/8ac744d2963513802750a2b24a6ebf38ee75fff0", "8ac744d2963513802750a2b24a6ebf38ee75fff0")</f>
        <v>0</v>
      </c>
      <c r="C49462">
        <f>HYPERLINK("https://android.googlesource.com/platform/cts/+/1eeb99c4568b177f45deca5c423bdc38ba629105", "1eeb99c4568b177f45deca5c423bdc38ba629105")</f>
        <v>0</v>
      </c>
      <c r="D49462" t="s">
        <v>5584</v>
      </c>
      <c r="E49462" t="s">
        <v>10260</v>
      </c>
      <c r="F49462" t="s">
        <v>14735</v>
      </c>
      <c r="G49462" t="s">
        <v>17345</v>
      </c>
      <c r="H49462" t="s">
        <v>39005</v>
      </c>
    </row>
    <row r="49463" spans="1:8">
      <c r="A49463" t="s">
        <v>4601</v>
      </c>
      <c r="B49463">
        <f>HYPERLINK("https://android.googlesource.com/platform/cts/+/f191f28ee627e479fa7cc2900a12700748288d9c", "f191f28ee627e479fa7cc2900a12700748288d9c")</f>
        <v>0</v>
      </c>
      <c r="C49463">
        <f>HYPERLINK("https://android.googlesource.com/platform/cts/+/1e1e0186888cca648ce23b0b939e353942a1fa7d", "1e1e0186888cca648ce23b0b939e353942a1fa7d")</f>
        <v>0</v>
      </c>
      <c r="D49463" t="s">
        <v>5484</v>
      </c>
      <c r="E49463" t="s">
        <v>10261</v>
      </c>
      <c r="F49463" t="s">
        <v>14810</v>
      </c>
      <c r="G49463" t="s">
        <v>18675</v>
      </c>
      <c r="H49463" t="s">
        <v>39006</v>
      </c>
    </row>
    <row r="49464" spans="1:8">
      <c r="A49464" t="s">
        <v>4602</v>
      </c>
      <c r="B49464">
        <f>HYPERLINK("https://android.googlesource.com/platform/cts/+/e03820bc47a455f3a3d54c47a43419285e36369f", "e03820bc47a455f3a3d54c47a43419285e36369f")</f>
        <v>0</v>
      </c>
      <c r="C49464">
        <f>HYPERLINK("https://android.googlesource.com/platform/cts/+/31c77e979172a1510c5d3fea58f7df42466703a6", "31c77e979172a1510c5d3fea58f7df42466703a6")</f>
        <v>0</v>
      </c>
      <c r="D49464" t="s">
        <v>5501</v>
      </c>
      <c r="E49464" t="s">
        <v>10262</v>
      </c>
      <c r="F49464" t="s">
        <v>14158</v>
      </c>
      <c r="G49464" t="s">
        <v>18144</v>
      </c>
      <c r="H49464" t="s">
        <v>36601</v>
      </c>
    </row>
    <row r="49465" spans="1:8">
      <c r="A49465" t="s">
        <v>4603</v>
      </c>
      <c r="B49465">
        <f>HYPERLINK("https://android.googlesource.com/platform/cts/+/5e1aadb605c0058dc29ce4f5f57b253d8f2c764b", "5e1aadb605c0058dc29ce4f5f57b253d8f2c764b")</f>
        <v>0</v>
      </c>
      <c r="C49465">
        <f>HYPERLINK("https://android.googlesource.com/platform/cts/+/e1d4136e4b0eba8b728cd1516c3e8f259a1d0fc6", "e1d4136e4b0eba8b728cd1516c3e8f259a1d0fc6")</f>
        <v>0</v>
      </c>
      <c r="D49465" t="s">
        <v>5445</v>
      </c>
      <c r="E49465" t="s">
        <v>10263</v>
      </c>
      <c r="F49465" t="s">
        <v>14811</v>
      </c>
      <c r="G49465" t="s">
        <v>18676</v>
      </c>
      <c r="H49465" t="s">
        <v>39007</v>
      </c>
    </row>
    <row r="49466" spans="1:8">
      <c r="A49466" t="s">
        <v>4604</v>
      </c>
      <c r="B49466">
        <f>HYPERLINK("https://android.googlesource.com/platform/cts/+/386c5d861912227141aaa294856a22ead49dafbc", "386c5d861912227141aaa294856a22ead49dafbc")</f>
        <v>0</v>
      </c>
      <c r="C49466">
        <f>HYPERLINK("https://android.googlesource.com/platform/cts/+/09470e491420e2f4863e76dbd3a5d4ee25dd5a8e", "09470e491420e2f4863e76dbd3a5d4ee25dd5a8e")</f>
        <v>0</v>
      </c>
      <c r="D49466" t="s">
        <v>5724</v>
      </c>
      <c r="E49466" t="s">
        <v>10264</v>
      </c>
      <c r="F49466" t="s">
        <v>13037</v>
      </c>
      <c r="G49466" t="s">
        <v>17201</v>
      </c>
      <c r="H49466" t="s">
        <v>39008</v>
      </c>
    </row>
    <row r="49467" spans="1:8">
      <c r="A49467" t="s">
        <v>4605</v>
      </c>
      <c r="B49467">
        <f>HYPERLINK("https://android.googlesource.com/platform/cts/+/484e81d3365f7c59bd19e041a97fd94776d2c67f", "484e81d3365f7c59bd19e041a97fd94776d2c67f")</f>
        <v>0</v>
      </c>
      <c r="C49467">
        <f>HYPERLINK("https://android.googlesource.com/platform/cts/+/cdb739f3f3411b6759791e86a7d2a1f6f37f34eb", "cdb739f3f3411b6759791e86a7d2a1f6f37f34eb")</f>
        <v>0</v>
      </c>
      <c r="D49467" t="s">
        <v>5478</v>
      </c>
      <c r="E49467" t="s">
        <v>10265</v>
      </c>
      <c r="F49467" t="s">
        <v>14633</v>
      </c>
      <c r="G49467" t="s">
        <v>18543</v>
      </c>
      <c r="H49467" t="s">
        <v>39009</v>
      </c>
    </row>
    <row r="49468" spans="1:8">
      <c r="A49468" t="s">
        <v>4606</v>
      </c>
      <c r="B49468">
        <f>HYPERLINK("https://android.googlesource.com/platform/cts/+/1babb54ac8a4d0bbd2264e230d7869ba425fdfa6", "1babb54ac8a4d0bbd2264e230d7869ba425fdfa6")</f>
        <v>0</v>
      </c>
      <c r="C49468">
        <f>HYPERLINK("https://android.googlesource.com/platform/cts/+/31c77e979172a1510c5d3fea58f7df42466703a6", "31c77e979172a1510c5d3fea58f7df42466703a6")</f>
        <v>0</v>
      </c>
      <c r="D49468" t="s">
        <v>5564</v>
      </c>
      <c r="E49468" t="s">
        <v>10266</v>
      </c>
      <c r="F49468" t="s">
        <v>14812</v>
      </c>
      <c r="G49468" t="s">
        <v>16423</v>
      </c>
      <c r="H49468" t="s">
        <v>39010</v>
      </c>
    </row>
    <row r="49469" spans="1:8">
      <c r="H49469" t="s">
        <v>39011</v>
      </c>
    </row>
    <row r="49470" spans="1:8">
      <c r="H49470" t="s">
        <v>39012</v>
      </c>
    </row>
    <row r="49471" spans="1:8">
      <c r="H49471" t="s">
        <v>38328</v>
      </c>
    </row>
    <row r="49472" spans="1:8">
      <c r="H49472" t="s">
        <v>22649</v>
      </c>
    </row>
    <row r="49473" spans="1:8">
      <c r="A49473" t="s">
        <v>4607</v>
      </c>
      <c r="B49473">
        <f>HYPERLINK("https://android.googlesource.com/platform/cts/+/125bbaf05c1228c7c75e529b2b379b79b82916ab", "125bbaf05c1228c7c75e529b2b379b79b82916ab")</f>
        <v>0</v>
      </c>
      <c r="C49473">
        <f>HYPERLINK("https://android.googlesource.com/platform/cts/+/130e2d1593374f335b3adcd804c234810d8d4a0c", "130e2d1593374f335b3adcd804c234810d8d4a0c")</f>
        <v>0</v>
      </c>
      <c r="D49473" t="s">
        <v>5284</v>
      </c>
      <c r="E49473" t="s">
        <v>10267</v>
      </c>
      <c r="F49473" t="s">
        <v>12984</v>
      </c>
      <c r="G49473" t="s">
        <v>17148</v>
      </c>
      <c r="H49473" t="s">
        <v>39013</v>
      </c>
    </row>
    <row r="49474" spans="1:8">
      <c r="A49474" t="s">
        <v>4608</v>
      </c>
      <c r="B49474">
        <f>HYPERLINK("https://android.googlesource.com/platform/cts/+/c4e5c8930716902464f25f929177ce27b9840651", "c4e5c8930716902464f25f929177ce27b9840651")</f>
        <v>0</v>
      </c>
      <c r="C49474">
        <f>HYPERLINK("https://android.googlesource.com/platform/cts/+/5e1411ed4474d19631643ac4b65be0be8d8f6bc4", "5e1411ed4474d19631643ac4b65be0be8d8f6bc4")</f>
        <v>0</v>
      </c>
      <c r="D49474" t="s">
        <v>5735</v>
      </c>
      <c r="E49474" t="s">
        <v>10268</v>
      </c>
      <c r="F49474" t="s">
        <v>14813</v>
      </c>
      <c r="G49474" t="s">
        <v>18677</v>
      </c>
      <c r="H49474" t="s">
        <v>39014</v>
      </c>
    </row>
    <row r="49475" spans="1:8">
      <c r="A49475" t="s">
        <v>4609</v>
      </c>
      <c r="B49475">
        <f>HYPERLINK("https://android.googlesource.com/platform/cts/+/d9620aa1d4de39d19871d40755ea2ad6fd669fb0", "d9620aa1d4de39d19871d40755ea2ad6fd669fb0")</f>
        <v>0</v>
      </c>
      <c r="C49475">
        <f>HYPERLINK("https://android.googlesource.com/platform/cts/+/cc2d206957ec380485d5fa0714a08e6fc32ecc31", "cc2d206957ec380485d5fa0714a08e6fc32ecc31")</f>
        <v>0</v>
      </c>
      <c r="D49475" t="s">
        <v>5660</v>
      </c>
      <c r="E49475" t="s">
        <v>10269</v>
      </c>
      <c r="F49475" t="s">
        <v>14813</v>
      </c>
      <c r="G49475" t="s">
        <v>18677</v>
      </c>
      <c r="H49475" t="s">
        <v>39014</v>
      </c>
    </row>
    <row r="49476" spans="1:8">
      <c r="A49476" t="s">
        <v>4610</v>
      </c>
      <c r="B49476">
        <f>HYPERLINK("https://android.googlesource.com/platform/cts/+/b63d3ad2a2c99e11f0d539f6131506a742c4fd0f", "b63d3ad2a2c99e11f0d539f6131506a742c4fd0f")</f>
        <v>0</v>
      </c>
      <c r="C49476">
        <f>HYPERLINK("https://android.googlesource.com/platform/cts/+/03a1d6e187ebc9636010fa0e2ba9890a50f49ec9", "03a1d6e187ebc9636010fa0e2ba9890a50f49ec9")</f>
        <v>0</v>
      </c>
      <c r="D49476" t="s">
        <v>5660</v>
      </c>
      <c r="E49476" t="s">
        <v>10269</v>
      </c>
      <c r="F49476" t="s">
        <v>14813</v>
      </c>
      <c r="G49476" t="s">
        <v>18677</v>
      </c>
      <c r="H49476" t="s">
        <v>39014</v>
      </c>
    </row>
    <row r="49477" spans="1:8">
      <c r="A49477" t="s">
        <v>4611</v>
      </c>
      <c r="B49477">
        <f>HYPERLINK("https://android.googlesource.com/platform/cts/+/8377dcd15f2d918595ceb2e611d5fa46a22ddbdc", "8377dcd15f2d918595ceb2e611d5fa46a22ddbdc")</f>
        <v>0</v>
      </c>
      <c r="C49477">
        <f>HYPERLINK("https://android.googlesource.com/platform/cts/+/58cdde78659e11a1b13350931e26a0384babdeb2", "58cdde78659e11a1b13350931e26a0384babdeb2")</f>
        <v>0</v>
      </c>
      <c r="D49477" t="s">
        <v>5639</v>
      </c>
      <c r="E49477" t="s">
        <v>10270</v>
      </c>
      <c r="F49477" t="s">
        <v>14769</v>
      </c>
      <c r="G49477" t="s">
        <v>18645</v>
      </c>
      <c r="H49477" t="s">
        <v>39015</v>
      </c>
    </row>
    <row r="49478" spans="1:8">
      <c r="A49478" t="s">
        <v>4612</v>
      </c>
      <c r="B49478">
        <f>HYPERLINK("https://android.googlesource.com/platform/cts/+/df73c24eda54194f4195c85e7cd2d2519d5fac2f", "df73c24eda54194f4195c85e7cd2d2519d5fac2f")</f>
        <v>0</v>
      </c>
      <c r="C49478">
        <f>HYPERLINK("https://android.googlesource.com/platform/cts/+/520e3a66ee5d1b9b4fc6fcd701671c79ff92d932", "520e3a66ee5d1b9b4fc6fcd701671c79ff92d932")</f>
        <v>0</v>
      </c>
      <c r="D49478" t="s">
        <v>5660</v>
      </c>
      <c r="E49478" t="s">
        <v>10269</v>
      </c>
      <c r="F49478" t="s">
        <v>14813</v>
      </c>
      <c r="G49478" t="s">
        <v>18677</v>
      </c>
      <c r="H49478" t="s">
        <v>39014</v>
      </c>
    </row>
    <row r="49479" spans="1:8">
      <c r="A49479" t="s">
        <v>4613</v>
      </c>
      <c r="B49479">
        <f>HYPERLINK("https://android.googlesource.com/platform/cts/+/a42f3a21b3982df646450277a638967af7e6d5ea", "a42f3a21b3982df646450277a638967af7e6d5ea")</f>
        <v>0</v>
      </c>
      <c r="C49479">
        <f>HYPERLINK("https://android.googlesource.com/platform/cts/+/72ea194b440702db7fa250179e59ce4cf444a814", "72ea194b440702db7fa250179e59ce4cf444a814")</f>
        <v>0</v>
      </c>
      <c r="D49479" t="s">
        <v>5721</v>
      </c>
      <c r="E49479" t="s">
        <v>10271</v>
      </c>
      <c r="F49479" t="s">
        <v>14814</v>
      </c>
      <c r="G49479" t="s">
        <v>18678</v>
      </c>
      <c r="H49479" t="s">
        <v>39016</v>
      </c>
    </row>
    <row r="49480" spans="1:8">
      <c r="A49480" t="s">
        <v>4614</v>
      </c>
      <c r="B49480">
        <f>HYPERLINK("https://android.googlesource.com/platform/cts/+/ea4ecb4249f0ee1599255c2cf50d78e7617bb14b", "ea4ecb4249f0ee1599255c2cf50d78e7617bb14b")</f>
        <v>0</v>
      </c>
      <c r="C49480">
        <f>HYPERLINK("https://android.googlesource.com/platform/cts/+/85cae32e728162de0fe08a7e2dd52fdc22d5a75a", "85cae32e728162de0fe08a7e2dd52fdc22d5a75a")</f>
        <v>0</v>
      </c>
      <c r="D49480" t="s">
        <v>5736</v>
      </c>
      <c r="E49480" t="s">
        <v>10272</v>
      </c>
      <c r="F49480" t="s">
        <v>14815</v>
      </c>
      <c r="G49480" t="s">
        <v>18679</v>
      </c>
      <c r="H49480" t="s">
        <v>37227</v>
      </c>
    </row>
    <row r="49481" spans="1:8">
      <c r="H49481" t="s">
        <v>39017</v>
      </c>
    </row>
    <row r="49482" spans="1:8">
      <c r="H49482" t="s">
        <v>20340</v>
      </c>
    </row>
    <row r="49483" spans="1:8">
      <c r="H49483" t="s">
        <v>39018</v>
      </c>
    </row>
    <row r="49484" spans="1:8">
      <c r="H49484" t="s">
        <v>32737</v>
      </c>
    </row>
    <row r="49485" spans="1:8">
      <c r="H49485" t="s">
        <v>39019</v>
      </c>
    </row>
    <row r="49486" spans="1:8">
      <c r="H49486" t="s">
        <v>18863</v>
      </c>
    </row>
    <row r="49487" spans="1:8">
      <c r="H49487" t="s">
        <v>39020</v>
      </c>
    </row>
    <row r="49488" spans="1:8">
      <c r="H49488" t="s">
        <v>39021</v>
      </c>
    </row>
    <row r="49489" spans="1:8">
      <c r="H49489" t="s">
        <v>32737</v>
      </c>
    </row>
    <row r="49490" spans="1:8">
      <c r="H49490" t="s">
        <v>39022</v>
      </c>
    </row>
    <row r="49491" spans="1:8">
      <c r="H49491" t="s">
        <v>39023</v>
      </c>
    </row>
    <row r="49492" spans="1:8">
      <c r="H49492" t="s">
        <v>39023</v>
      </c>
    </row>
    <row r="49493" spans="1:8">
      <c r="H49493" t="s">
        <v>39023</v>
      </c>
    </row>
    <row r="49494" spans="1:8">
      <c r="H49494" t="s">
        <v>39022</v>
      </c>
    </row>
    <row r="49495" spans="1:8">
      <c r="H49495" t="s">
        <v>39024</v>
      </c>
    </row>
    <row r="49496" spans="1:8">
      <c r="H49496" t="s">
        <v>39025</v>
      </c>
    </row>
    <row r="49497" spans="1:8">
      <c r="H49497" t="s">
        <v>39026</v>
      </c>
    </row>
    <row r="49498" spans="1:8">
      <c r="H49498" t="s">
        <v>39027</v>
      </c>
    </row>
    <row r="49499" spans="1:8">
      <c r="H49499" t="s">
        <v>39028</v>
      </c>
    </row>
    <row r="49500" spans="1:8">
      <c r="A49500" t="s">
        <v>4615</v>
      </c>
      <c r="B49500">
        <f>HYPERLINK("https://android.googlesource.com/platform/cts/+/dc19e4de6b77cdcef67b5eec49eddbc0d896c963", "dc19e4de6b77cdcef67b5eec49eddbc0d896c963")</f>
        <v>0</v>
      </c>
      <c r="C49500">
        <f>HYPERLINK("https://android.googlesource.com/platform/cts/+/dda6933b8476190e4a8b4fdf63125dda5c7f0726", "dda6933b8476190e4a8b4fdf63125dda5c7f0726")</f>
        <v>0</v>
      </c>
      <c r="D49500" t="s">
        <v>5727</v>
      </c>
      <c r="E49500" t="s">
        <v>10273</v>
      </c>
      <c r="F49500" t="s">
        <v>14816</v>
      </c>
      <c r="G49500" t="s">
        <v>18680</v>
      </c>
      <c r="H49500" t="s">
        <v>19340</v>
      </c>
    </row>
    <row r="49501" spans="1:8">
      <c r="A49501" t="s">
        <v>4616</v>
      </c>
      <c r="B49501">
        <f>HYPERLINK("https://android.googlesource.com/platform/cts/+/f506f72ccb5e5d01e971b9b44adcf9703fed0c94", "f506f72ccb5e5d01e971b9b44adcf9703fed0c94")</f>
        <v>0</v>
      </c>
      <c r="C49501">
        <f>HYPERLINK("https://android.googlesource.com/platform/cts/+/1f266ef75f94d29551db2a59ecd7e36c447a21fe", "1f266ef75f94d29551db2a59ecd7e36c447a21fe")</f>
        <v>0</v>
      </c>
      <c r="D49501" t="s">
        <v>5723</v>
      </c>
      <c r="E49501" t="s">
        <v>10274</v>
      </c>
      <c r="F49501" t="s">
        <v>14784</v>
      </c>
      <c r="G49501" t="s">
        <v>18655</v>
      </c>
      <c r="H49501" t="s">
        <v>39029</v>
      </c>
    </row>
    <row r="49502" spans="1:8">
      <c r="A49502" t="s">
        <v>4617</v>
      </c>
      <c r="B49502">
        <f>HYPERLINK("https://android.googlesource.com/platform/cts/+/ea396918a4d920673ef8e38d724ddc80191933c4", "ea396918a4d920673ef8e38d724ddc80191933c4")</f>
        <v>0</v>
      </c>
      <c r="C49502">
        <f>HYPERLINK("https://android.googlesource.com/platform/cts/+/21200410f67a2cda0fd81a6582f8992fc6e8b1c7", "21200410f67a2cda0fd81a6582f8992fc6e8b1c7")</f>
        <v>0</v>
      </c>
      <c r="D49502" t="s">
        <v>5564</v>
      </c>
      <c r="E49502" t="s">
        <v>10275</v>
      </c>
      <c r="F49502" t="s">
        <v>14817</v>
      </c>
      <c r="G49502" t="s">
        <v>17457</v>
      </c>
      <c r="H49502" t="s">
        <v>39030</v>
      </c>
    </row>
    <row r="49503" spans="1:8">
      <c r="H49503" t="s">
        <v>39031</v>
      </c>
    </row>
    <row r="49504" spans="1:8">
      <c r="H49504" t="s">
        <v>39032</v>
      </c>
    </row>
    <row r="49505" spans="1:8">
      <c r="A49505" t="s">
        <v>4618</v>
      </c>
      <c r="B49505">
        <f>HYPERLINK("https://android.googlesource.com/platform/cts/+/de13962b6a4e62b67ed3f0e596828d38b6532381", "de13962b6a4e62b67ed3f0e596828d38b6532381")</f>
        <v>0</v>
      </c>
      <c r="C49505">
        <f>HYPERLINK("https://android.googlesource.com/platform/cts/+/3fc4fe890ca7abc65ebbef493c0bba30535e44ac", "3fc4fe890ca7abc65ebbef493c0bba30535e44ac")</f>
        <v>0</v>
      </c>
      <c r="D49505" t="s">
        <v>5737</v>
      </c>
      <c r="E49505" t="s">
        <v>10276</v>
      </c>
      <c r="F49505" t="s">
        <v>14818</v>
      </c>
      <c r="G49505" t="s">
        <v>18681</v>
      </c>
      <c r="H49505" t="s">
        <v>18829</v>
      </c>
    </row>
    <row r="49506" spans="1:8">
      <c r="F49506" t="s">
        <v>14625</v>
      </c>
      <c r="G49506" t="s">
        <v>18536</v>
      </c>
      <c r="H49506" t="s">
        <v>18829</v>
      </c>
    </row>
    <row r="49507" spans="1:8">
      <c r="H49507" t="s">
        <v>39033</v>
      </c>
    </row>
    <row r="49508" spans="1:8">
      <c r="H49508" t="s">
        <v>39034</v>
      </c>
    </row>
    <row r="49509" spans="1:8">
      <c r="A49509" t="s">
        <v>4619</v>
      </c>
      <c r="B49509">
        <f>HYPERLINK("https://android.googlesource.com/platform/cts/+/ff2f108af4fe6ad980d7d346f3785588f31e56f2", "ff2f108af4fe6ad980d7d346f3785588f31e56f2")</f>
        <v>0</v>
      </c>
      <c r="C49509">
        <f>HYPERLINK("https://android.googlesource.com/platform/cts/+/486b3ec36384521da9940f46905fa3e7cc3a7cbe", "486b3ec36384521da9940f46905fa3e7cc3a7cbe")</f>
        <v>0</v>
      </c>
      <c r="D49509" t="s">
        <v>5738</v>
      </c>
      <c r="E49509" t="s">
        <v>10277</v>
      </c>
      <c r="F49509" t="s">
        <v>14819</v>
      </c>
      <c r="G49509" t="s">
        <v>18682</v>
      </c>
      <c r="H49509" t="s">
        <v>39035</v>
      </c>
    </row>
    <row r="49510" spans="1:8">
      <c r="H49510" t="s">
        <v>39036</v>
      </c>
    </row>
    <row r="49511" spans="1:8">
      <c r="A49511" t="s">
        <v>4620</v>
      </c>
      <c r="B49511">
        <f>HYPERLINK("https://android.googlesource.com/platform/cts/+/19280cc401f1d6b45ea93083022de3d6358102d5", "19280cc401f1d6b45ea93083022de3d6358102d5")</f>
        <v>0</v>
      </c>
      <c r="C49511">
        <f>HYPERLINK("https://android.googlesource.com/platform/cts/+/fd429ce9a5a96b6d20e5d49b3760989b980b4d8a", "fd429ce9a5a96b6d20e5d49b3760989b980b4d8a")</f>
        <v>0</v>
      </c>
      <c r="D49511" t="s">
        <v>5739</v>
      </c>
      <c r="E49511" t="s">
        <v>10278</v>
      </c>
      <c r="F49511" t="s">
        <v>14165</v>
      </c>
      <c r="G49511" t="s">
        <v>17361</v>
      </c>
      <c r="H49511" t="s">
        <v>39037</v>
      </c>
    </row>
    <row r="49512" spans="1:8">
      <c r="A49512" t="s">
        <v>4621</v>
      </c>
      <c r="B49512">
        <f>HYPERLINK("https://android.googlesource.com/platform/cts/+/93f75fd085015dd14bb3ea50385ea5b02db93a73", "93f75fd085015dd14bb3ea50385ea5b02db93a73")</f>
        <v>0</v>
      </c>
      <c r="C49512">
        <f>HYPERLINK("https://android.googlesource.com/platform/cts/+/8c85f48c3c1e254b4edfc4813d3bb9772aa16a65", "8c85f48c3c1e254b4edfc4813d3bb9772aa16a65")</f>
        <v>0</v>
      </c>
      <c r="D49512" t="s">
        <v>5478</v>
      </c>
      <c r="E49512" t="s">
        <v>10279</v>
      </c>
      <c r="F49512" t="s">
        <v>14820</v>
      </c>
      <c r="G49512" t="s">
        <v>18683</v>
      </c>
      <c r="H49512" t="s">
        <v>39038</v>
      </c>
    </row>
    <row r="49513" spans="1:8">
      <c r="A49513" t="s">
        <v>4622</v>
      </c>
      <c r="B49513">
        <f>HYPERLINK("https://android.googlesource.com/platform/cts/+/c415858845f62ec0ab4d8bd51b95340f24aa9aef", "c415858845f62ec0ab4d8bd51b95340f24aa9aef")</f>
        <v>0</v>
      </c>
      <c r="C49513">
        <f>HYPERLINK("https://android.googlesource.com/platform/cts/+/46124d4b74141ba908658fd8decf7bfa77571da0", "46124d4b74141ba908658fd8decf7bfa77571da0")</f>
        <v>0</v>
      </c>
      <c r="D49513" t="s">
        <v>5610</v>
      </c>
      <c r="E49513" t="s">
        <v>10280</v>
      </c>
      <c r="F49513" t="s">
        <v>14821</v>
      </c>
      <c r="G49513" t="s">
        <v>18684</v>
      </c>
      <c r="H49513" t="s">
        <v>39039</v>
      </c>
    </row>
    <row r="49514" spans="1:8">
      <c r="H49514" t="s">
        <v>39040</v>
      </c>
    </row>
    <row r="49515" spans="1:8">
      <c r="A49515" t="s">
        <v>4623</v>
      </c>
      <c r="B49515">
        <f>HYPERLINK("https://android.googlesource.com/platform/cts/+/241e7bc1ebb77bcd158f7d23f56722c03125a5fa", "241e7bc1ebb77bcd158f7d23f56722c03125a5fa")</f>
        <v>0</v>
      </c>
      <c r="C49515">
        <f>HYPERLINK("https://android.googlesource.com/platform/cts/+/9aa5abe84f36637ec37d5900d84308b176ef4ee2", "9aa5abe84f36637ec37d5900d84308b176ef4ee2")</f>
        <v>0</v>
      </c>
      <c r="D49515" t="s">
        <v>5438</v>
      </c>
      <c r="E49515" t="s">
        <v>10281</v>
      </c>
      <c r="F49515" t="s">
        <v>14822</v>
      </c>
      <c r="G49515" t="s">
        <v>18685</v>
      </c>
      <c r="H49515" t="s">
        <v>39041</v>
      </c>
    </row>
    <row r="49516" spans="1:8">
      <c r="A49516" t="s">
        <v>4624</v>
      </c>
      <c r="B49516">
        <f>HYPERLINK("https://android.googlesource.com/platform/cts/+/a5c68d2a7c00dcef5970462df92404a9f8e8e233", "a5c68d2a7c00dcef5970462df92404a9f8e8e233")</f>
        <v>0</v>
      </c>
      <c r="C49516">
        <f>HYPERLINK("https://android.googlesource.com/platform/cts/+/01611e626999b312d3ad031e9452805424baab79", "01611e626999b312d3ad031e9452805424baab79")</f>
        <v>0</v>
      </c>
      <c r="D49516" t="s">
        <v>5474</v>
      </c>
      <c r="E49516" t="s">
        <v>10282</v>
      </c>
      <c r="F49516" t="s">
        <v>14823</v>
      </c>
      <c r="G49516" t="s">
        <v>18686</v>
      </c>
      <c r="H49516" t="s">
        <v>39042</v>
      </c>
    </row>
    <row r="49517" spans="1:8">
      <c r="A49517" t="s">
        <v>4625</v>
      </c>
      <c r="B49517">
        <f>HYPERLINK("https://android.googlesource.com/platform/cts/+/904bcf810df688612750c1955fa5d657d753bbf0", "904bcf810df688612750c1955fa5d657d753bbf0")</f>
        <v>0</v>
      </c>
      <c r="C49517">
        <f>HYPERLINK("https://android.googlesource.com/platform/cts/+/a982cff40f4cac357d6967fffe203f66520f52fc", "a982cff40f4cac357d6967fffe203f66520f52fc")</f>
        <v>0</v>
      </c>
      <c r="D49517" t="s">
        <v>5478</v>
      </c>
      <c r="E49517" t="s">
        <v>10283</v>
      </c>
      <c r="F49517" t="s">
        <v>14820</v>
      </c>
      <c r="G49517" t="s">
        <v>18683</v>
      </c>
      <c r="H49517" t="s">
        <v>39038</v>
      </c>
    </row>
    <row r="49518" spans="1:8">
      <c r="A49518" t="s">
        <v>4626</v>
      </c>
      <c r="B49518">
        <f>HYPERLINK("https://android.googlesource.com/platform/cts/+/a8ba0474df932993db2898a6fce810411e6fcaa1", "a8ba0474df932993db2898a6fce810411e6fcaa1")</f>
        <v>0</v>
      </c>
      <c r="C49518">
        <f>HYPERLINK("https://android.googlesource.com/platform/cts/+/648d820065bacef57cee3015f01991fbc0ae7122", "648d820065bacef57cee3015f01991fbc0ae7122")</f>
        <v>0</v>
      </c>
      <c r="D49518" t="s">
        <v>5465</v>
      </c>
      <c r="E49518" t="s">
        <v>10284</v>
      </c>
      <c r="F49518" t="s">
        <v>14461</v>
      </c>
      <c r="G49518" t="s">
        <v>15710</v>
      </c>
      <c r="H49518" t="s">
        <v>39043</v>
      </c>
    </row>
    <row r="49519" spans="1:8">
      <c r="A49519" t="s">
        <v>4627</v>
      </c>
      <c r="B49519">
        <f>HYPERLINK("https://android.googlesource.com/platform/cts/+/a331b4799bba82d2daa223e0216e4ebec51c8ba2", "a331b4799bba82d2daa223e0216e4ebec51c8ba2")</f>
        <v>0</v>
      </c>
      <c r="C49519">
        <f>HYPERLINK("https://android.googlesource.com/platform/cts/+/77b01cebb0afaff49bd9a656a59d2652e5c7a6a6", "77b01cebb0afaff49bd9a656a59d2652e5c7a6a6")</f>
        <v>0</v>
      </c>
      <c r="D49519" t="s">
        <v>5564</v>
      </c>
      <c r="E49519" t="s">
        <v>10285</v>
      </c>
      <c r="F49519" t="s">
        <v>14824</v>
      </c>
      <c r="G49519" t="s">
        <v>17062</v>
      </c>
      <c r="H49519" t="s">
        <v>26522</v>
      </c>
    </row>
    <row r="49520" spans="1:8">
      <c r="A49520" t="s">
        <v>4628</v>
      </c>
      <c r="B49520">
        <f>HYPERLINK("https://android.googlesource.com/platform/cts/+/e114243e1991fc169f07bd6a3db815b21265e6de", "e114243e1991fc169f07bd6a3db815b21265e6de")</f>
        <v>0</v>
      </c>
      <c r="C49520">
        <f>HYPERLINK("https://android.googlesource.com/platform/cts/+/d52568d1d940cadf5d08b3e700210333e5d2d083", "d52568d1d940cadf5d08b3e700210333e5d2d083")</f>
        <v>0</v>
      </c>
      <c r="D49520" t="s">
        <v>5729</v>
      </c>
      <c r="E49520" t="s">
        <v>10286</v>
      </c>
      <c r="F49520" t="s">
        <v>14825</v>
      </c>
      <c r="G49520" t="s">
        <v>18687</v>
      </c>
      <c r="H49520" t="s">
        <v>39044</v>
      </c>
    </row>
    <row r="49521" spans="1:8">
      <c r="H49521" t="s">
        <v>39045</v>
      </c>
    </row>
    <row r="49522" spans="1:8">
      <c r="H49522" t="s">
        <v>39046</v>
      </c>
    </row>
    <row r="49523" spans="1:8">
      <c r="A49523" t="s">
        <v>4629</v>
      </c>
      <c r="B49523">
        <f>HYPERLINK("https://android.googlesource.com/platform/cts/+/5a408a8b37b9953a37a8b05e84cbe25ed77ef369", "5a408a8b37b9953a37a8b05e84cbe25ed77ef369")</f>
        <v>0</v>
      </c>
      <c r="C49523">
        <f>HYPERLINK("https://android.googlesource.com/platform/cts/+/5722906555bccd1f17f0e056ca26e413fa2fbbee", "5722906555bccd1f17f0e056ca26e413fa2fbbee")</f>
        <v>0</v>
      </c>
      <c r="D49523" t="s">
        <v>5445</v>
      </c>
      <c r="E49523" t="s">
        <v>10287</v>
      </c>
      <c r="F49523" t="s">
        <v>14826</v>
      </c>
      <c r="G49523" t="s">
        <v>18688</v>
      </c>
      <c r="H49523" t="s">
        <v>18829</v>
      </c>
    </row>
    <row r="49524" spans="1:8">
      <c r="H49524" t="s">
        <v>18863</v>
      </c>
    </row>
    <row r="49525" spans="1:8">
      <c r="H49525" t="s">
        <v>39047</v>
      </c>
    </row>
    <row r="49526" spans="1:8">
      <c r="A49526" t="s">
        <v>4630</v>
      </c>
      <c r="B49526">
        <f>HYPERLINK("https://android.googlesource.com/platform/cts/+/f53d93a09cfbcdce88aa9c3ae7d4bebbb9f12339", "f53d93a09cfbcdce88aa9c3ae7d4bebbb9f12339")</f>
        <v>0</v>
      </c>
      <c r="C49526">
        <f>HYPERLINK("https://android.googlesource.com/platform/cts/+/ec1f01c815081d785fb53f08db91c6cfc1d8bdcd", "ec1f01c815081d785fb53f08db91c6cfc1d8bdcd")</f>
        <v>0</v>
      </c>
      <c r="D49526" t="s">
        <v>5740</v>
      </c>
      <c r="E49526" t="s">
        <v>10288</v>
      </c>
      <c r="F49526" t="s">
        <v>14121</v>
      </c>
      <c r="G49526" t="s">
        <v>16426</v>
      </c>
      <c r="H49526" t="s">
        <v>39048</v>
      </c>
    </row>
    <row r="49527" spans="1:8">
      <c r="A49527" t="s">
        <v>4631</v>
      </c>
      <c r="B49527">
        <f>HYPERLINK("https://android.googlesource.com/platform/cts/+/87963bd9590b142e4f90bb0e3199f066e2d96308", "87963bd9590b142e4f90bb0e3199f066e2d96308")</f>
        <v>0</v>
      </c>
      <c r="C49527">
        <f>HYPERLINK("https://android.googlesource.com/platform/cts/+/4ad20d3a4fabcb292b90b24896120b83a9da8271", "4ad20d3a4fabcb292b90b24896120b83a9da8271")</f>
        <v>0</v>
      </c>
      <c r="D49527" t="s">
        <v>5528</v>
      </c>
      <c r="E49527" t="s">
        <v>10289</v>
      </c>
      <c r="F49527" t="s">
        <v>14827</v>
      </c>
      <c r="G49527" t="s">
        <v>18689</v>
      </c>
      <c r="H49527" t="s">
        <v>39049</v>
      </c>
    </row>
    <row r="49528" spans="1:8">
      <c r="A49528" t="s">
        <v>4632</v>
      </c>
      <c r="B49528">
        <f>HYPERLINK("https://android.googlesource.com/platform/cts/+/a96cb6f65c0ab75f9de6cc8b8338ef39e21976ad", "a96cb6f65c0ab75f9de6cc8b8338ef39e21976ad")</f>
        <v>0</v>
      </c>
      <c r="C49528">
        <f>HYPERLINK("https://android.googlesource.com/platform/cts/+/da086e42779f95f995bddcd6bf5f1677277dba56", "da086e42779f95f995bddcd6bf5f1677277dba56")</f>
        <v>0</v>
      </c>
      <c r="D49528" t="s">
        <v>5741</v>
      </c>
      <c r="E49528" t="s">
        <v>10290</v>
      </c>
      <c r="F49528" t="s">
        <v>14529</v>
      </c>
      <c r="G49528" t="s">
        <v>18454</v>
      </c>
      <c r="H49528" t="s">
        <v>39050</v>
      </c>
    </row>
    <row r="49529" spans="1:8">
      <c r="A49529" t="s">
        <v>4633</v>
      </c>
      <c r="B49529">
        <f>HYPERLINK("https://android.googlesource.com/platform/cts/+/882dd354ba260f9360e8e11cb02132db6efd76c9", "882dd354ba260f9360e8e11cb02132db6efd76c9")</f>
        <v>0</v>
      </c>
      <c r="C49529">
        <f>HYPERLINK("https://android.googlesource.com/platform/cts/+/59d1899ae7939c584e7d7bf1f4cac9e3478c087d", "59d1899ae7939c584e7d7bf1f4cac9e3478c087d")</f>
        <v>0</v>
      </c>
      <c r="D49529" t="s">
        <v>5549</v>
      </c>
      <c r="E49529" t="s">
        <v>10291</v>
      </c>
      <c r="F49529" t="s">
        <v>14818</v>
      </c>
      <c r="G49529" t="s">
        <v>18681</v>
      </c>
      <c r="H49529" t="s">
        <v>39051</v>
      </c>
    </row>
    <row r="49530" spans="1:8">
      <c r="H49530" t="s">
        <v>39052</v>
      </c>
    </row>
    <row r="49531" spans="1:8">
      <c r="H49531" t="s">
        <v>39053</v>
      </c>
    </row>
    <row r="49532" spans="1:8">
      <c r="F49532" t="s">
        <v>14828</v>
      </c>
      <c r="G49532" t="s">
        <v>18690</v>
      </c>
      <c r="H49532" t="s">
        <v>39054</v>
      </c>
    </row>
    <row r="49533" spans="1:8">
      <c r="F49533" t="s">
        <v>14625</v>
      </c>
      <c r="G49533" t="s">
        <v>18536</v>
      </c>
      <c r="H49533" t="s">
        <v>39055</v>
      </c>
    </row>
    <row r="49534" spans="1:8">
      <c r="A49534" t="s">
        <v>4634</v>
      </c>
      <c r="B49534">
        <f>HYPERLINK("https://android.googlesource.com/platform/cts/+/618aefa5bd1c134920f0d9257c32fde08c7a55d0", "618aefa5bd1c134920f0d9257c32fde08c7a55d0")</f>
        <v>0</v>
      </c>
      <c r="C49534">
        <f>HYPERLINK("https://android.googlesource.com/platform/cts/+/99ed4f7b604e5cd2efdd6f9ab1c4ce7748d57072", "99ed4f7b604e5cd2efdd6f9ab1c4ce7748d57072")</f>
        <v>0</v>
      </c>
      <c r="D49534" t="s">
        <v>5134</v>
      </c>
      <c r="E49534" t="s">
        <v>10292</v>
      </c>
      <c r="F49534" t="s">
        <v>14739</v>
      </c>
      <c r="G49534" t="s">
        <v>18618</v>
      </c>
      <c r="H49534" t="s">
        <v>22310</v>
      </c>
    </row>
    <row r="49535" spans="1:8">
      <c r="H49535" t="s">
        <v>39056</v>
      </c>
    </row>
    <row r="49536" spans="1:8">
      <c r="A49536" t="s">
        <v>4635</v>
      </c>
      <c r="B49536">
        <f>HYPERLINK("https://android.googlesource.com/platform/cts/+/e86d310074d3b853ac1c02906b82060b6c80a7f4", "e86d310074d3b853ac1c02906b82060b6c80a7f4")</f>
        <v>0</v>
      </c>
      <c r="C49536">
        <f>HYPERLINK("https://android.googlesource.com/platform/cts/+/618aefa5bd1c134920f0d9257c32fde08c7a55d0", "618aefa5bd1c134920f0d9257c32fde08c7a55d0")</f>
        <v>0</v>
      </c>
      <c r="D49536" t="s">
        <v>5134</v>
      </c>
      <c r="E49536" t="s">
        <v>10293</v>
      </c>
      <c r="F49536" t="s">
        <v>14739</v>
      </c>
      <c r="G49536" t="s">
        <v>18618</v>
      </c>
      <c r="H49536" t="s">
        <v>39057</v>
      </c>
    </row>
    <row r="49537" spans="1:8">
      <c r="A49537" t="s">
        <v>4636</v>
      </c>
      <c r="B49537">
        <f>HYPERLINK("https://android.googlesource.com/platform/cts/+/236ddb95248fff927dcdad6f900dcc0915179441", "236ddb95248fff927dcdad6f900dcc0915179441")</f>
        <v>0</v>
      </c>
      <c r="C49537">
        <f>HYPERLINK("https://android.googlesource.com/platform/cts/+/97ce2a65d7d5b128a998a334720170753d674cc2", "97ce2a65d7d5b128a998a334720170753d674cc2")</f>
        <v>0</v>
      </c>
      <c r="D49537" t="s">
        <v>5467</v>
      </c>
      <c r="E49537" t="s">
        <v>10294</v>
      </c>
      <c r="F49537" t="s">
        <v>10794</v>
      </c>
      <c r="G49537" t="s">
        <v>15189</v>
      </c>
      <c r="H49537" t="s">
        <v>39058</v>
      </c>
    </row>
    <row r="49538" spans="1:8">
      <c r="A49538" t="s">
        <v>4637</v>
      </c>
      <c r="B49538">
        <f>HYPERLINK("https://android.googlesource.com/platform/cts/+/46bc074a1a06f7949ece808769433d18eaba70ba", "46bc074a1a06f7949ece808769433d18eaba70ba")</f>
        <v>0</v>
      </c>
      <c r="C49538">
        <f>HYPERLINK("https://android.googlesource.com/platform/cts/+/c48a92b480d71692b81560bf0a94b2775e9755e7", "c48a92b480d71692b81560bf0a94b2775e9755e7")</f>
        <v>0</v>
      </c>
      <c r="D49538" t="s">
        <v>5742</v>
      </c>
      <c r="E49538" t="s">
        <v>10295</v>
      </c>
      <c r="F49538" t="s">
        <v>14829</v>
      </c>
      <c r="G49538" t="s">
        <v>18691</v>
      </c>
      <c r="H49538" t="s">
        <v>39059</v>
      </c>
    </row>
    <row r="49539" spans="1:8">
      <c r="A49539" t="s">
        <v>4638</v>
      </c>
      <c r="B49539">
        <f>HYPERLINK("https://android.googlesource.com/platform/cts/+/33b247ad1c09497662e68c0e6cba20bdfe1c31f5", "33b247ad1c09497662e68c0e6cba20bdfe1c31f5")</f>
        <v>0</v>
      </c>
      <c r="C49539">
        <f>HYPERLINK("https://android.googlesource.com/platform/cts/+/1fb1e1c4c6338713cb666bd6218f40e93ade6561", "1fb1e1c4c6338713cb666bd6218f40e93ade6561")</f>
        <v>0</v>
      </c>
      <c r="D49539" t="s">
        <v>5523</v>
      </c>
      <c r="E49539" t="s">
        <v>10296</v>
      </c>
      <c r="F49539" t="s">
        <v>14830</v>
      </c>
      <c r="G49539" t="s">
        <v>18692</v>
      </c>
      <c r="H49539" t="s">
        <v>39060</v>
      </c>
    </row>
    <row r="49540" spans="1:8">
      <c r="H49540" t="s">
        <v>39061</v>
      </c>
    </row>
    <row r="49541" spans="1:8">
      <c r="A49541" t="s">
        <v>4639</v>
      </c>
      <c r="B49541">
        <f>HYPERLINK("https://android.googlesource.com/platform/cts/+/6b11a30926a5b4da80f072305b6f6f154cc3e820", "6b11a30926a5b4da80f072305b6f6f154cc3e820")</f>
        <v>0</v>
      </c>
      <c r="C49541">
        <f>HYPERLINK("https://android.googlesource.com/platform/cts/+/ec6bcd7598550c138ba0dba4b3af36d9afd88469", "ec6bcd7598550c138ba0dba4b3af36d9afd88469")</f>
        <v>0</v>
      </c>
      <c r="D49541" t="s">
        <v>5478</v>
      </c>
      <c r="E49541" t="s">
        <v>10297</v>
      </c>
      <c r="F49541" t="s">
        <v>14633</v>
      </c>
      <c r="G49541" t="s">
        <v>18543</v>
      </c>
      <c r="H49541" t="s">
        <v>39062</v>
      </c>
    </row>
    <row r="49542" spans="1:8">
      <c r="H49542" t="s">
        <v>39063</v>
      </c>
    </row>
    <row r="49543" spans="1:8">
      <c r="H49543" t="s">
        <v>39064</v>
      </c>
    </row>
    <row r="49544" spans="1:8">
      <c r="A49544" t="s">
        <v>4640</v>
      </c>
      <c r="B49544">
        <f>HYPERLINK("https://android.googlesource.com/platform/cts/+/deaebcace87bf09c26e075a17fc5c0c96b3e6cd0", "deaebcace87bf09c26e075a17fc5c0c96b3e6cd0")</f>
        <v>0</v>
      </c>
      <c r="C49544">
        <f>HYPERLINK("https://android.googlesource.com/platform/cts/+/ecfb8a0dda9d97e262cf8edb4b4613ba06289141", "ecfb8a0dda9d97e262cf8edb4b4613ba06289141")</f>
        <v>0</v>
      </c>
      <c r="D49544" t="s">
        <v>5409</v>
      </c>
      <c r="E49544" t="s">
        <v>10298</v>
      </c>
      <c r="F49544" t="s">
        <v>14571</v>
      </c>
      <c r="G49544" t="s">
        <v>18491</v>
      </c>
      <c r="H49544" t="s">
        <v>36690</v>
      </c>
    </row>
    <row r="49545" spans="1:8">
      <c r="H49545" t="s">
        <v>37574</v>
      </c>
    </row>
    <row r="49546" spans="1:8">
      <c r="H49546" t="s">
        <v>39065</v>
      </c>
    </row>
    <row r="49547" spans="1:8">
      <c r="F49547" t="s">
        <v>14136</v>
      </c>
      <c r="G49547" t="s">
        <v>18124</v>
      </c>
      <c r="H49547" t="s">
        <v>39066</v>
      </c>
    </row>
    <row r="49548" spans="1:8">
      <c r="F49548" t="s">
        <v>12743</v>
      </c>
      <c r="G49548" t="s">
        <v>16935</v>
      </c>
      <c r="H49548" t="s">
        <v>39066</v>
      </c>
    </row>
    <row r="49549" spans="1:8">
      <c r="F49549" t="s">
        <v>12768</v>
      </c>
      <c r="G49549" t="s">
        <v>15710</v>
      </c>
      <c r="H49549" t="s">
        <v>39067</v>
      </c>
    </row>
    <row r="49550" spans="1:8">
      <c r="H49550" t="s">
        <v>39068</v>
      </c>
    </row>
    <row r="49551" spans="1:8">
      <c r="A49551" t="s">
        <v>4641</v>
      </c>
      <c r="B49551">
        <f>HYPERLINK("https://android.googlesource.com/platform/cts/+/c74278489ff0d2b488fef4740f17371b2ff02e7e", "c74278489ff0d2b488fef4740f17371b2ff02e7e")</f>
        <v>0</v>
      </c>
      <c r="C49551">
        <f>HYPERLINK("https://android.googlesource.com/platform/cts/+/deaebcace87bf09c26e075a17fc5c0c96b3e6cd0", "deaebcace87bf09c26e075a17fc5c0c96b3e6cd0")</f>
        <v>0</v>
      </c>
      <c r="D49551" t="s">
        <v>5409</v>
      </c>
      <c r="E49551" t="s">
        <v>10299</v>
      </c>
      <c r="F49551" t="s">
        <v>14576</v>
      </c>
      <c r="G49551" t="s">
        <v>18496</v>
      </c>
      <c r="H49551" t="s">
        <v>36690</v>
      </c>
    </row>
    <row r="49552" spans="1:8">
      <c r="H49552" t="s">
        <v>37574</v>
      </c>
    </row>
    <row r="49553" spans="1:8">
      <c r="H49553" t="s">
        <v>39069</v>
      </c>
    </row>
    <row r="49554" spans="1:8">
      <c r="F49554" t="s">
        <v>14831</v>
      </c>
      <c r="G49554" t="s">
        <v>18693</v>
      </c>
      <c r="H49554" t="s">
        <v>37301</v>
      </c>
    </row>
    <row r="49555" spans="1:8">
      <c r="A49555" t="s">
        <v>4642</v>
      </c>
      <c r="B49555">
        <f>HYPERLINK("https://android.googlesource.com/platform/cts/+/3bea4bfc427b1d5f5415bedec5ee05467c874da0", "3bea4bfc427b1d5f5415bedec5ee05467c874da0")</f>
        <v>0</v>
      </c>
      <c r="C49555">
        <f>HYPERLINK("https://android.googlesource.com/platform/cts/+/c74278489ff0d2b488fef4740f17371b2ff02e7e", "c74278489ff0d2b488fef4740f17371b2ff02e7e")</f>
        <v>0</v>
      </c>
      <c r="D49555" t="s">
        <v>5409</v>
      </c>
      <c r="E49555" t="s">
        <v>10300</v>
      </c>
      <c r="F49555" t="s">
        <v>14575</v>
      </c>
      <c r="G49555" t="s">
        <v>18495</v>
      </c>
      <c r="H49555" t="s">
        <v>36690</v>
      </c>
    </row>
    <row r="49556" spans="1:8">
      <c r="H49556" t="s">
        <v>37574</v>
      </c>
    </row>
    <row r="49557" spans="1:8">
      <c r="H49557" t="s">
        <v>39070</v>
      </c>
    </row>
    <row r="49558" spans="1:8">
      <c r="F49558" t="s">
        <v>12743</v>
      </c>
      <c r="G49558" t="s">
        <v>16935</v>
      </c>
      <c r="H49558" t="s">
        <v>39071</v>
      </c>
    </row>
    <row r="49559" spans="1:8">
      <c r="A49559" t="s">
        <v>4643</v>
      </c>
      <c r="B49559">
        <f>HYPERLINK("https://android.googlesource.com/platform/cts/+/98695cb8832a794f106c1a5523455fb9cbfe406b", "98695cb8832a794f106c1a5523455fb9cbfe406b")</f>
        <v>0</v>
      </c>
      <c r="C49559">
        <f>HYPERLINK("https://android.googlesource.com/platform/cts/+/3bea4bfc427b1d5f5415bedec5ee05467c874da0", "3bea4bfc427b1d5f5415bedec5ee05467c874da0")</f>
        <v>0</v>
      </c>
      <c r="D49559" t="s">
        <v>5409</v>
      </c>
      <c r="E49559" t="s">
        <v>10301</v>
      </c>
      <c r="F49559" t="s">
        <v>14573</v>
      </c>
      <c r="G49559" t="s">
        <v>18493</v>
      </c>
      <c r="H49559" t="s">
        <v>36690</v>
      </c>
    </row>
    <row r="49560" spans="1:8">
      <c r="H49560" t="s">
        <v>37574</v>
      </c>
    </row>
    <row r="49561" spans="1:8">
      <c r="H49561" t="s">
        <v>39072</v>
      </c>
    </row>
    <row r="49562" spans="1:8">
      <c r="F49562" t="s">
        <v>12743</v>
      </c>
      <c r="G49562" t="s">
        <v>16935</v>
      </c>
      <c r="H49562" t="s">
        <v>31826</v>
      </c>
    </row>
    <row r="49563" spans="1:8">
      <c r="A49563" t="s">
        <v>4644</v>
      </c>
      <c r="B49563">
        <f>HYPERLINK("https://android.googlesource.com/platform/cts/+/bf3d7b260019d78e1309ea83e83b7f3724b4480d", "bf3d7b260019d78e1309ea83e83b7f3724b4480d")</f>
        <v>0</v>
      </c>
      <c r="C49563">
        <f>HYPERLINK("https://android.googlesource.com/platform/cts/+/98695cb8832a794f106c1a5523455fb9cbfe406b", "98695cb8832a794f106c1a5523455fb9cbfe406b")</f>
        <v>0</v>
      </c>
      <c r="D49563" t="s">
        <v>5409</v>
      </c>
      <c r="E49563" t="s">
        <v>10302</v>
      </c>
      <c r="F49563" t="s">
        <v>14427</v>
      </c>
      <c r="G49563" t="s">
        <v>18365</v>
      </c>
      <c r="H49563" t="s">
        <v>18829</v>
      </c>
    </row>
    <row r="49564" spans="1:8">
      <c r="H49564" t="s">
        <v>18863</v>
      </c>
    </row>
    <row r="49565" spans="1:8">
      <c r="H49565" t="s">
        <v>37574</v>
      </c>
    </row>
    <row r="49566" spans="1:8">
      <c r="H49566" t="s">
        <v>36690</v>
      </c>
    </row>
    <row r="49567" spans="1:8">
      <c r="H49567" t="s">
        <v>39073</v>
      </c>
    </row>
    <row r="49568" spans="1:8">
      <c r="H49568" t="s">
        <v>39074</v>
      </c>
    </row>
    <row r="49569" spans="1:8">
      <c r="F49569" t="s">
        <v>12743</v>
      </c>
      <c r="G49569" t="s">
        <v>16935</v>
      </c>
      <c r="H49569" t="s">
        <v>39075</v>
      </c>
    </row>
    <row r="49570" spans="1:8">
      <c r="H49570" t="s">
        <v>31827</v>
      </c>
    </row>
    <row r="49571" spans="1:8">
      <c r="H49571" t="s">
        <v>39076</v>
      </c>
    </row>
    <row r="49572" spans="1:8">
      <c r="H49572" t="s">
        <v>39077</v>
      </c>
    </row>
    <row r="49573" spans="1:8">
      <c r="H49573" t="s">
        <v>39078</v>
      </c>
    </row>
    <row r="49574" spans="1:8">
      <c r="H49574" t="s">
        <v>39079</v>
      </c>
    </row>
    <row r="49575" spans="1:8">
      <c r="H49575" t="s">
        <v>39080</v>
      </c>
    </row>
    <row r="49576" spans="1:8">
      <c r="H49576" t="s">
        <v>39081</v>
      </c>
    </row>
    <row r="49577" spans="1:8">
      <c r="F49577" t="s">
        <v>13229</v>
      </c>
      <c r="G49577" t="s">
        <v>17370</v>
      </c>
      <c r="H49577" t="s">
        <v>39075</v>
      </c>
    </row>
    <row r="49578" spans="1:8">
      <c r="H49578" t="s">
        <v>39076</v>
      </c>
    </row>
    <row r="49579" spans="1:8">
      <c r="F49579" t="s">
        <v>13136</v>
      </c>
      <c r="G49579" t="s">
        <v>17293</v>
      </c>
      <c r="H49579" t="s">
        <v>39076</v>
      </c>
    </row>
    <row r="49580" spans="1:8">
      <c r="A49580" t="s">
        <v>4645</v>
      </c>
      <c r="B49580">
        <f>HYPERLINK("https://android.googlesource.com/platform/cts/+/0866559d5a6e6cb5aa2964eaeba7b441f4a7fa9d", "0866559d5a6e6cb5aa2964eaeba7b441f4a7fa9d")</f>
        <v>0</v>
      </c>
      <c r="C49580">
        <f>HYPERLINK("https://android.googlesource.com/platform/cts/+/4c06e6602e8374324a3d8e5fa384d761b553ebd3", "4c06e6602e8374324a3d8e5fa384d761b553ebd3")</f>
        <v>0</v>
      </c>
      <c r="D49580" t="s">
        <v>5501</v>
      </c>
      <c r="E49580" t="s">
        <v>10303</v>
      </c>
      <c r="F49580" t="s">
        <v>14207</v>
      </c>
      <c r="G49580" t="s">
        <v>18183</v>
      </c>
      <c r="H49580" t="s">
        <v>39082</v>
      </c>
    </row>
    <row r="49581" spans="1:8">
      <c r="H49581" t="s">
        <v>39083</v>
      </c>
    </row>
    <row r="49582" spans="1:8">
      <c r="A49582" t="s">
        <v>4646</v>
      </c>
      <c r="B49582">
        <f>HYPERLINK("https://android.googlesource.com/platform/cts/+/077307cf61560d36af5a33f21266e200c2a11ce3", "077307cf61560d36af5a33f21266e200c2a11ce3")</f>
        <v>0</v>
      </c>
      <c r="C49582">
        <f>HYPERLINK("https://android.googlesource.com/platform/cts/+/4ca35fc14aa818e21fa7a64d6be01cc2090b2b41", "4ca35fc14aa818e21fa7a64d6be01cc2090b2b41")</f>
        <v>0</v>
      </c>
      <c r="D49582" t="s">
        <v>5277</v>
      </c>
      <c r="E49582" t="s">
        <v>10304</v>
      </c>
      <c r="F49582" t="s">
        <v>14300</v>
      </c>
      <c r="G49582" t="s">
        <v>18259</v>
      </c>
      <c r="H49582" t="s">
        <v>39084</v>
      </c>
    </row>
    <row r="49583" spans="1:8">
      <c r="H49583" t="s">
        <v>39085</v>
      </c>
    </row>
    <row r="49584" spans="1:8">
      <c r="H49584" t="s">
        <v>39086</v>
      </c>
    </row>
    <row r="49585" spans="1:8">
      <c r="A49585" t="s">
        <v>4647</v>
      </c>
      <c r="B49585">
        <f>HYPERLINK("https://android.googlesource.com/platform/cts/+/757388264180d3aa1644d1b3ca85042b57e01a00", "757388264180d3aa1644d1b3ca85042b57e01a00")</f>
        <v>0</v>
      </c>
      <c r="C49585">
        <f>HYPERLINK("https://android.googlesource.com/platform/cts/+/2429645f9b99ab7c635a00d546c8764db9bc4a92", "2429645f9b99ab7c635a00d546c8764db9bc4a92")</f>
        <v>0</v>
      </c>
      <c r="D49585" t="s">
        <v>5409</v>
      </c>
      <c r="E49585" t="s">
        <v>10305</v>
      </c>
      <c r="F49585" t="s">
        <v>13229</v>
      </c>
      <c r="G49585" t="s">
        <v>17370</v>
      </c>
      <c r="H49585" t="s">
        <v>39077</v>
      </c>
    </row>
    <row r="49586" spans="1:8">
      <c r="F49586" t="s">
        <v>14832</v>
      </c>
      <c r="G49586" t="s">
        <v>18694</v>
      </c>
      <c r="H49586" t="s">
        <v>35641</v>
      </c>
    </row>
    <row r="49587" spans="1:8">
      <c r="H49587" t="s">
        <v>35642</v>
      </c>
    </row>
    <row r="49588" spans="1:8">
      <c r="F49588" t="s">
        <v>14833</v>
      </c>
      <c r="G49588" t="s">
        <v>17513</v>
      </c>
      <c r="H49588" t="s">
        <v>37625</v>
      </c>
    </row>
    <row r="49589" spans="1:8">
      <c r="H49589" t="s">
        <v>37627</v>
      </c>
    </row>
    <row r="49590" spans="1:8">
      <c r="H49590" t="s">
        <v>37629</v>
      </c>
    </row>
    <row r="49591" spans="1:8">
      <c r="H49591" t="s">
        <v>37631</v>
      </c>
    </row>
    <row r="49592" spans="1:8">
      <c r="H49592" t="s">
        <v>37633</v>
      </c>
    </row>
    <row r="49593" spans="1:8">
      <c r="H49593" t="s">
        <v>37635</v>
      </c>
    </row>
    <row r="49594" spans="1:8">
      <c r="H49594" t="s">
        <v>37637</v>
      </c>
    </row>
    <row r="49595" spans="1:8">
      <c r="A49595" t="s">
        <v>4648</v>
      </c>
      <c r="B49595">
        <f>HYPERLINK("https://android.googlesource.com/platform/cts/+/943f97b48c4c3111cd479216ea508af9f8763186", "943f97b48c4c3111cd479216ea508af9f8763186")</f>
        <v>0</v>
      </c>
      <c r="C49595">
        <f>HYPERLINK("https://android.googlesource.com/platform/cts/+/959a69e68c5842efc1ccdd923f2b8646695d15ac", "959a69e68c5842efc1ccdd923f2b8646695d15ac")</f>
        <v>0</v>
      </c>
      <c r="D49595" t="s">
        <v>5416</v>
      </c>
      <c r="E49595" t="s">
        <v>10306</v>
      </c>
      <c r="F49595" t="s">
        <v>14014</v>
      </c>
      <c r="G49595" t="s">
        <v>18026</v>
      </c>
      <c r="H49595" t="s">
        <v>39087</v>
      </c>
    </row>
    <row r="49596" spans="1:8">
      <c r="H49596" t="s">
        <v>39088</v>
      </c>
    </row>
    <row r="49597" spans="1:8">
      <c r="H49597" t="s">
        <v>39089</v>
      </c>
    </row>
    <row r="49598" spans="1:8">
      <c r="H49598" t="s">
        <v>39090</v>
      </c>
    </row>
    <row r="49599" spans="1:8">
      <c r="H49599" t="s">
        <v>39091</v>
      </c>
    </row>
    <row r="49600" spans="1:8">
      <c r="H49600" t="s">
        <v>39092</v>
      </c>
    </row>
    <row r="49601" spans="1:8">
      <c r="H49601" t="s">
        <v>39093</v>
      </c>
    </row>
    <row r="49602" spans="1:8">
      <c r="H49602" t="s">
        <v>36916</v>
      </c>
    </row>
    <row r="49603" spans="1:8">
      <c r="A49603" t="s">
        <v>4649</v>
      </c>
      <c r="B49603">
        <f>HYPERLINK("https://android.googlesource.com/platform/cts/+/f08cc892c4a84bc7b1e9850b0484be6c7643f3a3", "f08cc892c4a84bc7b1e9850b0484be6c7643f3a3")</f>
        <v>0</v>
      </c>
      <c r="C49603">
        <f>HYPERLINK("https://android.googlesource.com/platform/cts/+/77b01cebb0afaff49bd9a656a59d2652e5c7a6a6", "77b01cebb0afaff49bd9a656a59d2652e5c7a6a6")</f>
        <v>0</v>
      </c>
      <c r="D49603" t="s">
        <v>5743</v>
      </c>
      <c r="E49603" t="s">
        <v>10307</v>
      </c>
      <c r="F49603" t="s">
        <v>14721</v>
      </c>
      <c r="G49603" t="s">
        <v>17815</v>
      </c>
      <c r="H49603" t="s">
        <v>38719</v>
      </c>
    </row>
    <row r="49604" spans="1:8">
      <c r="A49604" t="s">
        <v>4650</v>
      </c>
      <c r="B49604">
        <f>HYPERLINK("https://android.googlesource.com/platform/cts/+/4adbe6c4ad7cb35259f0fc0d4d5956dc8a9c5ea8", "4adbe6c4ad7cb35259f0fc0d4d5956dc8a9c5ea8")</f>
        <v>0</v>
      </c>
      <c r="C49604">
        <f>HYPERLINK("https://android.googlesource.com/platform/cts/+/ac11e53be1100a0aece27ebb12dbf3bf3b9f8253", "ac11e53be1100a0aece27ebb12dbf3bf3b9f8253")</f>
        <v>0</v>
      </c>
      <c r="D49604" t="s">
        <v>5732</v>
      </c>
      <c r="E49604" t="s">
        <v>10308</v>
      </c>
      <c r="F49604" t="s">
        <v>14834</v>
      </c>
      <c r="G49604" t="s">
        <v>18549</v>
      </c>
      <c r="H49604" t="s">
        <v>39094</v>
      </c>
    </row>
    <row r="49605" spans="1:8">
      <c r="H49605" t="s">
        <v>39095</v>
      </c>
    </row>
    <row r="49606" spans="1:8">
      <c r="H49606" t="s">
        <v>39096</v>
      </c>
    </row>
    <row r="49607" spans="1:8">
      <c r="H49607" t="s">
        <v>39097</v>
      </c>
    </row>
    <row r="49608" spans="1:8">
      <c r="A49608" t="s">
        <v>4651</v>
      </c>
      <c r="B49608">
        <f>HYPERLINK("https://android.googlesource.com/platform/cts/+/e021f8843d4acef9c89b3b8de0be44edd9af5d29", "e021f8843d4acef9c89b3b8de0be44edd9af5d29")</f>
        <v>0</v>
      </c>
      <c r="C49608">
        <f>HYPERLINK("https://android.googlesource.com/platform/cts/+/c14e4ca61427126f35c92ca60dfad753b08dbdd6", "c14e4ca61427126f35c92ca60dfad753b08dbdd6")</f>
        <v>0</v>
      </c>
      <c r="D49608" t="s">
        <v>5732</v>
      </c>
      <c r="E49608" t="s">
        <v>10309</v>
      </c>
      <c r="F49608" t="s">
        <v>14834</v>
      </c>
      <c r="G49608" t="s">
        <v>18549</v>
      </c>
      <c r="H49608" t="s">
        <v>39094</v>
      </c>
    </row>
    <row r="49609" spans="1:8">
      <c r="H49609" t="s">
        <v>39095</v>
      </c>
    </row>
    <row r="49610" spans="1:8">
      <c r="H49610" t="s">
        <v>39096</v>
      </c>
    </row>
    <row r="49611" spans="1:8">
      <c r="H49611" t="s">
        <v>39097</v>
      </c>
    </row>
    <row r="49612" spans="1:8">
      <c r="A49612" t="s">
        <v>4652</v>
      </c>
      <c r="B49612">
        <f>HYPERLINK("https://android.googlesource.com/platform/cts/+/a99fc8fdfee1535f1d4bd649a8d254d0828523f4", "a99fc8fdfee1535f1d4bd649a8d254d0828523f4")</f>
        <v>0</v>
      </c>
      <c r="C49612">
        <f>HYPERLINK("https://android.googlesource.com/platform/cts/+/b21f993a18adc928519ff0278a1b4c3bac9be5a4", "b21f993a18adc928519ff0278a1b4c3bac9be5a4")</f>
        <v>0</v>
      </c>
      <c r="D49612" t="s">
        <v>5744</v>
      </c>
      <c r="E49612" t="s">
        <v>10310</v>
      </c>
      <c r="F49612" t="s">
        <v>14835</v>
      </c>
      <c r="G49612" t="s">
        <v>18695</v>
      </c>
      <c r="H49612" t="s">
        <v>34249</v>
      </c>
    </row>
    <row r="49613" spans="1:8">
      <c r="H49613" t="s">
        <v>34250</v>
      </c>
    </row>
    <row r="49614" spans="1:8">
      <c r="H49614" t="s">
        <v>39098</v>
      </c>
    </row>
    <row r="49615" spans="1:8">
      <c r="H49615" t="s">
        <v>39099</v>
      </c>
    </row>
    <row r="49616" spans="1:8">
      <c r="A49616" t="s">
        <v>4653</v>
      </c>
      <c r="B49616">
        <f>HYPERLINK("https://android.googlesource.com/platform/cts/+/a662c6d3c59e720a792b79ec5467a52916bb2e63", "a662c6d3c59e720a792b79ec5467a52916bb2e63")</f>
        <v>0</v>
      </c>
      <c r="C49616">
        <f>HYPERLINK("https://android.googlesource.com/platform/cts/+/d1d6fcb4e70e2f3af797beebfb2682220a83799f", "d1d6fcb4e70e2f3af797beebfb2682220a83799f")</f>
        <v>0</v>
      </c>
      <c r="D49616" t="s">
        <v>5476</v>
      </c>
      <c r="E49616" t="s">
        <v>10311</v>
      </c>
      <c r="F49616" t="s">
        <v>14836</v>
      </c>
      <c r="G49616" t="s">
        <v>18696</v>
      </c>
      <c r="H49616" t="s">
        <v>39100</v>
      </c>
    </row>
    <row r="49617" spans="1:8">
      <c r="F49617" t="s">
        <v>14837</v>
      </c>
      <c r="G49617" t="s">
        <v>18697</v>
      </c>
      <c r="H49617" t="s">
        <v>39100</v>
      </c>
    </row>
    <row r="49618" spans="1:8">
      <c r="H49618" t="s">
        <v>39100</v>
      </c>
    </row>
    <row r="49619" spans="1:8">
      <c r="F49619" t="s">
        <v>14838</v>
      </c>
      <c r="G49619" t="s">
        <v>18698</v>
      </c>
      <c r="H49619" t="s">
        <v>39100</v>
      </c>
    </row>
    <row r="49620" spans="1:8">
      <c r="H49620" t="s">
        <v>39101</v>
      </c>
    </row>
    <row r="49621" spans="1:8">
      <c r="A49621" t="s">
        <v>4654</v>
      </c>
      <c r="B49621">
        <f>HYPERLINK("https://android.googlesource.com/platform/cts/+/3c8757cae1c5266a4194c9ea839fa00c0bba5eb0", "3c8757cae1c5266a4194c9ea839fa00c0bba5eb0")</f>
        <v>0</v>
      </c>
      <c r="C49621">
        <f>HYPERLINK("https://android.googlesource.com/platform/cts/+/317d8a73ec6a73721429309cc1093cbb904a959b", "317d8a73ec6a73721429309cc1093cbb904a959b")</f>
        <v>0</v>
      </c>
      <c r="D49621" t="s">
        <v>5738</v>
      </c>
      <c r="E49621" t="s">
        <v>10312</v>
      </c>
      <c r="F49621" t="s">
        <v>14839</v>
      </c>
      <c r="G49621" t="s">
        <v>17064</v>
      </c>
      <c r="H49621" t="s">
        <v>26847</v>
      </c>
    </row>
    <row r="49622" spans="1:8">
      <c r="H49622" t="s">
        <v>39102</v>
      </c>
    </row>
    <row r="49623" spans="1:8">
      <c r="H49623" t="s">
        <v>39103</v>
      </c>
    </row>
    <row r="49624" spans="1:8">
      <c r="H49624" t="s">
        <v>39104</v>
      </c>
    </row>
    <row r="49625" spans="1:8">
      <c r="H49625" t="s">
        <v>39104</v>
      </c>
    </row>
    <row r="49626" spans="1:8">
      <c r="H49626" t="s">
        <v>39105</v>
      </c>
    </row>
    <row r="49627" spans="1:8">
      <c r="H49627" t="s">
        <v>39106</v>
      </c>
    </row>
    <row r="49628" spans="1:8">
      <c r="H49628" t="s">
        <v>39107</v>
      </c>
    </row>
    <row r="49629" spans="1:8">
      <c r="H49629" t="s">
        <v>39108</v>
      </c>
    </row>
    <row r="49630" spans="1:8">
      <c r="H49630" t="s">
        <v>39109</v>
      </c>
    </row>
    <row r="49631" spans="1:8">
      <c r="A49631" t="s">
        <v>4655</v>
      </c>
      <c r="B49631">
        <f>HYPERLINK("https://android.googlesource.com/platform/cts/+/4f1fb1a13ed0626c0d474db66529bb8c7802ccc9", "4f1fb1a13ed0626c0d474db66529bb8c7802ccc9")</f>
        <v>0</v>
      </c>
      <c r="C49631">
        <f>HYPERLINK("https://android.googlesource.com/platform/cts/+/0d4194218598431217cb5bf2037115670039e2c6", "0d4194218598431217cb5bf2037115670039e2c6")</f>
        <v>0</v>
      </c>
      <c r="D49631" t="s">
        <v>5695</v>
      </c>
      <c r="E49631" t="s">
        <v>10313</v>
      </c>
      <c r="F49631" t="s">
        <v>14840</v>
      </c>
      <c r="G49631" t="s">
        <v>18699</v>
      </c>
      <c r="H49631" t="s">
        <v>39110</v>
      </c>
    </row>
    <row r="49632" spans="1:8">
      <c r="H49632" t="s">
        <v>39111</v>
      </c>
    </row>
    <row r="49633" spans="1:8">
      <c r="A49633" t="s">
        <v>4656</v>
      </c>
      <c r="B49633">
        <f>HYPERLINK("https://android.googlesource.com/platform/cts/+/d3decc0365d63779f9d37e2a1dfbd3e6644cc6b1", "d3decc0365d63779f9d37e2a1dfbd3e6644cc6b1")</f>
        <v>0</v>
      </c>
      <c r="C49633">
        <f>HYPERLINK("https://android.googlesource.com/platform/cts/+/418bad1a86c7ac887e26778cb141ffec6d321454", "418bad1a86c7ac887e26778cb141ffec6d321454")</f>
        <v>0</v>
      </c>
      <c r="D49633" t="s">
        <v>5745</v>
      </c>
      <c r="E49633" t="s">
        <v>10314</v>
      </c>
      <c r="F49633" t="s">
        <v>14841</v>
      </c>
      <c r="G49633" t="s">
        <v>18700</v>
      </c>
      <c r="H49633" t="s">
        <v>39112</v>
      </c>
    </row>
    <row r="49634" spans="1:8">
      <c r="A49634" t="s">
        <v>4657</v>
      </c>
      <c r="B49634">
        <f>HYPERLINK("https://android.googlesource.com/platform/cts/+/b11bb8226ac00742c2df05b86768549ac7464c7c", "b11bb8226ac00742c2df05b86768549ac7464c7c")</f>
        <v>0</v>
      </c>
      <c r="C49634">
        <f>HYPERLINK("https://android.googlesource.com/platform/cts/+/418bad1a86c7ac887e26778cb141ffec6d321454", "418bad1a86c7ac887e26778cb141ffec6d321454")</f>
        <v>0</v>
      </c>
      <c r="D49634" t="s">
        <v>5716</v>
      </c>
      <c r="E49634" t="s">
        <v>10315</v>
      </c>
      <c r="F49634" t="s">
        <v>14829</v>
      </c>
      <c r="G49634" t="s">
        <v>18691</v>
      </c>
      <c r="H49634" t="s">
        <v>39113</v>
      </c>
    </row>
    <row r="49635" spans="1:8">
      <c r="A49635" t="s">
        <v>4658</v>
      </c>
      <c r="B49635">
        <f>HYPERLINK("https://android.googlesource.com/platform/cts/+/83996185d176370dd02e1f3845e1b3ab5731a7a3", "83996185d176370dd02e1f3845e1b3ab5731a7a3")</f>
        <v>0</v>
      </c>
      <c r="C49635">
        <f>HYPERLINK("https://android.googlesource.com/platform/cts/+/948a007365ece4f8acd3bdb420d45a564f750ccf", "948a007365ece4f8acd3bdb420d45a564f750ccf")</f>
        <v>0</v>
      </c>
      <c r="D49635" t="s">
        <v>5477</v>
      </c>
      <c r="E49635" t="s">
        <v>10316</v>
      </c>
      <c r="F49635" t="s">
        <v>14801</v>
      </c>
      <c r="G49635" t="s">
        <v>18666</v>
      </c>
      <c r="H49635" t="s">
        <v>39114</v>
      </c>
    </row>
    <row r="49636" spans="1:8">
      <c r="H49636" t="s">
        <v>39115</v>
      </c>
    </row>
    <row r="49637" spans="1:8">
      <c r="H49637" t="s">
        <v>39116</v>
      </c>
    </row>
    <row r="49638" spans="1:8">
      <c r="H49638" t="s">
        <v>39117</v>
      </c>
    </row>
    <row r="49639" spans="1:8">
      <c r="F49639" t="s">
        <v>14802</v>
      </c>
      <c r="G49639" t="s">
        <v>18667</v>
      </c>
      <c r="H49639" t="s">
        <v>39118</v>
      </c>
    </row>
    <row r="49640" spans="1:8">
      <c r="A49640" t="s">
        <v>4659</v>
      </c>
      <c r="B49640">
        <f>HYPERLINK("https://android.googlesource.com/platform/cts/+/e12141907c88ff66936f592a30c6a533be7a28cc", "e12141907c88ff66936f592a30c6a533be7a28cc")</f>
        <v>0</v>
      </c>
      <c r="C49640">
        <f>HYPERLINK("https://android.googlesource.com/platform/cts/+/4ffd18c8d4ad0b964abfe26cde8e19a7182f1298", "4ffd18c8d4ad0b964abfe26cde8e19a7182f1298")</f>
        <v>0</v>
      </c>
      <c r="D49640" t="s">
        <v>5705</v>
      </c>
      <c r="E49640" t="s">
        <v>10317</v>
      </c>
      <c r="F49640" t="s">
        <v>14741</v>
      </c>
      <c r="G49640" t="s">
        <v>18701</v>
      </c>
      <c r="H49640" t="s">
        <v>31042</v>
      </c>
    </row>
    <row r="49641" spans="1:8">
      <c r="H49641" t="s">
        <v>37879</v>
      </c>
    </row>
    <row r="49642" spans="1:8">
      <c r="H49642" t="s">
        <v>31044</v>
      </c>
    </row>
    <row r="49643" spans="1:8">
      <c r="H49643" t="s">
        <v>37880</v>
      </c>
    </row>
    <row r="49644" spans="1:8">
      <c r="H49644" t="s">
        <v>37881</v>
      </c>
    </row>
    <row r="49645" spans="1:8">
      <c r="H49645" t="s">
        <v>37882</v>
      </c>
    </row>
    <row r="49646" spans="1:8">
      <c r="H49646" t="s">
        <v>37883</v>
      </c>
    </row>
    <row r="49647" spans="1:8">
      <c r="H49647" t="s">
        <v>37884</v>
      </c>
    </row>
    <row r="49648" spans="1:8">
      <c r="H49648" t="s">
        <v>39119</v>
      </c>
    </row>
    <row r="49649" spans="1:8">
      <c r="H49649" t="s">
        <v>37886</v>
      </c>
    </row>
    <row r="49650" spans="1:8">
      <c r="H49650" t="s">
        <v>22586</v>
      </c>
    </row>
    <row r="49651" spans="1:8">
      <c r="H49651" t="s">
        <v>39120</v>
      </c>
    </row>
    <row r="49652" spans="1:8">
      <c r="H49652" t="s">
        <v>37887</v>
      </c>
    </row>
    <row r="49653" spans="1:8">
      <c r="H49653" t="s">
        <v>26759</v>
      </c>
    </row>
    <row r="49654" spans="1:8">
      <c r="H49654" t="s">
        <v>33588</v>
      </c>
    </row>
    <row r="49655" spans="1:8">
      <c r="H49655" t="s">
        <v>37888</v>
      </c>
    </row>
    <row r="49656" spans="1:8">
      <c r="H49656" t="s">
        <v>37889</v>
      </c>
    </row>
    <row r="49657" spans="1:8">
      <c r="H49657" t="s">
        <v>37890</v>
      </c>
    </row>
    <row r="49658" spans="1:8">
      <c r="H49658" t="s">
        <v>37891</v>
      </c>
    </row>
    <row r="49659" spans="1:8">
      <c r="H49659" t="s">
        <v>37892</v>
      </c>
    </row>
    <row r="49660" spans="1:8">
      <c r="A49660" t="s">
        <v>4660</v>
      </c>
      <c r="B49660">
        <f>HYPERLINK("https://android.googlesource.com/platform/cts/+/ecb536c1f8de1fc6823e6249c6a3e374310dfd46", "ecb536c1f8de1fc6823e6249c6a3e374310dfd46")</f>
        <v>0</v>
      </c>
      <c r="C49660">
        <f>HYPERLINK("https://android.googlesource.com/platform/cts/+/75c79a7cfeb03fd38d71b316e5a3924b481a5d35", "75c79a7cfeb03fd38d71b316e5a3924b481a5d35")</f>
        <v>0</v>
      </c>
      <c r="D49660" t="s">
        <v>5586</v>
      </c>
      <c r="E49660" t="s">
        <v>10318</v>
      </c>
      <c r="F49660" t="s">
        <v>13972</v>
      </c>
      <c r="G49660" t="s">
        <v>17997</v>
      </c>
      <c r="H49660" t="s">
        <v>39121</v>
      </c>
    </row>
    <row r="49661" spans="1:8">
      <c r="H49661" t="s">
        <v>39122</v>
      </c>
    </row>
    <row r="49662" spans="1:8">
      <c r="H49662" t="s">
        <v>39123</v>
      </c>
    </row>
    <row r="49663" spans="1:8">
      <c r="A49663" t="s">
        <v>4661</v>
      </c>
      <c r="B49663">
        <f>HYPERLINK("https://android.googlesource.com/platform/cts/+/45619dd1e1a58a174f1b698c3385ba55b30ecad4", "45619dd1e1a58a174f1b698c3385ba55b30ecad4")</f>
        <v>0</v>
      </c>
      <c r="C49663">
        <f>HYPERLINK("https://android.googlesource.com/platform/cts/+/f4aee7c37dff7f132ff14c9c68fddc3feede5ab6", "f4aee7c37dff7f132ff14c9c68fddc3feede5ab6")</f>
        <v>0</v>
      </c>
      <c r="D49663" t="s">
        <v>5586</v>
      </c>
      <c r="E49663" t="s">
        <v>10319</v>
      </c>
      <c r="F49663" t="s">
        <v>13972</v>
      </c>
      <c r="G49663" t="s">
        <v>17997</v>
      </c>
      <c r="H49663" t="s">
        <v>39121</v>
      </c>
    </row>
    <row r="49664" spans="1:8">
      <c r="H49664" t="s">
        <v>39122</v>
      </c>
    </row>
    <row r="49665" spans="1:8">
      <c r="H49665" t="s">
        <v>39123</v>
      </c>
    </row>
    <row r="49666" spans="1:8">
      <c r="A49666" t="s">
        <v>4662</v>
      </c>
      <c r="B49666">
        <f>HYPERLINK("https://android.googlesource.com/platform/cts/+/ff96594ffbe0626cc9ea2ec283658316e3ba885d", "ff96594ffbe0626cc9ea2ec283658316e3ba885d")</f>
        <v>0</v>
      </c>
      <c r="C49666">
        <f>HYPERLINK("https://android.googlesource.com/platform/cts/+/c2bff056326fce47283bdd87c32f2ea51a34b497", "c2bff056326fce47283bdd87c32f2ea51a34b497")</f>
        <v>0</v>
      </c>
      <c r="D49666" t="s">
        <v>5586</v>
      </c>
      <c r="E49666" t="s">
        <v>10320</v>
      </c>
      <c r="F49666" t="s">
        <v>13972</v>
      </c>
      <c r="G49666" t="s">
        <v>17997</v>
      </c>
      <c r="H49666" t="s">
        <v>39121</v>
      </c>
    </row>
    <row r="49667" spans="1:8">
      <c r="H49667" t="s">
        <v>39122</v>
      </c>
    </row>
    <row r="49668" spans="1:8">
      <c r="H49668" t="s">
        <v>39123</v>
      </c>
    </row>
    <row r="49669" spans="1:8">
      <c r="A49669" t="s">
        <v>4663</v>
      </c>
      <c r="B49669">
        <f>HYPERLINK("https://android.googlesource.com/platform/cts/+/051ca344b76793b0337b2be3afe07aea77fc0682", "051ca344b76793b0337b2be3afe07aea77fc0682")</f>
        <v>0</v>
      </c>
      <c r="C49669">
        <f>HYPERLINK("https://android.googlesource.com/platform/cts/+/3cba47e902c392f02af32bc812bfe996a3b95859", "3cba47e902c392f02af32bc812bfe996a3b95859")</f>
        <v>0</v>
      </c>
      <c r="D49669" t="s">
        <v>5586</v>
      </c>
      <c r="E49669" t="s">
        <v>10320</v>
      </c>
      <c r="F49669" t="s">
        <v>13972</v>
      </c>
      <c r="G49669" t="s">
        <v>17997</v>
      </c>
      <c r="H49669" t="s">
        <v>39121</v>
      </c>
    </row>
    <row r="49670" spans="1:8">
      <c r="H49670" t="s">
        <v>39122</v>
      </c>
    </row>
    <row r="49671" spans="1:8">
      <c r="H49671" t="s">
        <v>39123</v>
      </c>
    </row>
    <row r="49672" spans="1:8">
      <c r="A49672" t="s">
        <v>4664</v>
      </c>
      <c r="B49672">
        <f>HYPERLINK("https://android.googlesource.com/platform/cts/+/8f3cc8ef963b2e8ded696b9a8a93d2931fd3360e", "8f3cc8ef963b2e8ded696b9a8a93d2931fd3360e")</f>
        <v>0</v>
      </c>
      <c r="C49672">
        <f>HYPERLINK("https://android.googlesource.com/platform/cts/+/f11839dc3de90290ae5bad0de3f74466a2b5939b", "f11839dc3de90290ae5bad0de3f74466a2b5939b")</f>
        <v>0</v>
      </c>
      <c r="D49672" t="s">
        <v>5477</v>
      </c>
      <c r="E49672" t="s">
        <v>10321</v>
      </c>
      <c r="F49672" t="s">
        <v>14801</v>
      </c>
      <c r="G49672" t="s">
        <v>18666</v>
      </c>
      <c r="H49672" t="s">
        <v>39114</v>
      </c>
    </row>
    <row r="49673" spans="1:8">
      <c r="H49673" t="s">
        <v>39115</v>
      </c>
    </row>
    <row r="49674" spans="1:8">
      <c r="H49674" t="s">
        <v>39116</v>
      </c>
    </row>
    <row r="49675" spans="1:8">
      <c r="H49675" t="s">
        <v>39117</v>
      </c>
    </row>
    <row r="49676" spans="1:8">
      <c r="F49676" t="s">
        <v>14802</v>
      </c>
      <c r="G49676" t="s">
        <v>18667</v>
      </c>
      <c r="H49676" t="s">
        <v>39118</v>
      </c>
    </row>
    <row r="49677" spans="1:8">
      <c r="A49677" t="s">
        <v>4665</v>
      </c>
      <c r="B49677">
        <f>HYPERLINK("https://android.googlesource.com/platform/cts/+/ab981d25a97180a4168e716ce2817ecdec8d24fa", "ab981d25a97180a4168e716ce2817ecdec8d24fa")</f>
        <v>0</v>
      </c>
      <c r="C49677">
        <f>HYPERLINK("https://android.googlesource.com/platform/cts/+/ab3b7ef400fdc7855f9c9a949a5f50e2daebb320", "ab3b7ef400fdc7855f9c9a949a5f50e2daebb320")</f>
        <v>0</v>
      </c>
      <c r="D49677" t="s">
        <v>5695</v>
      </c>
      <c r="E49677" t="s">
        <v>10322</v>
      </c>
      <c r="F49677" t="s">
        <v>14840</v>
      </c>
      <c r="G49677" t="s">
        <v>18699</v>
      </c>
      <c r="H49677" t="s">
        <v>39124</v>
      </c>
    </row>
    <row r="49678" spans="1:8">
      <c r="H49678" t="s">
        <v>39125</v>
      </c>
    </row>
    <row r="49679" spans="1:8">
      <c r="A49679" t="s">
        <v>4666</v>
      </c>
      <c r="B49679">
        <f>HYPERLINK("https://android.googlesource.com/platform/cts/+/e0b13262231e8451d6998436657cbc3861143bd9", "e0b13262231e8451d6998436657cbc3861143bd9")</f>
        <v>0</v>
      </c>
      <c r="C49679">
        <f>HYPERLINK("https://android.googlesource.com/platform/cts/+/fa1e42d8ad599f876da469cffcf3e2c9354d6d1c", "fa1e42d8ad599f876da469cffcf3e2c9354d6d1c")</f>
        <v>0</v>
      </c>
      <c r="D49679" t="s">
        <v>5715</v>
      </c>
      <c r="E49679" t="s">
        <v>10323</v>
      </c>
      <c r="F49679" t="s">
        <v>14842</v>
      </c>
      <c r="G49679" t="s">
        <v>18636</v>
      </c>
      <c r="H49679" t="s">
        <v>30977</v>
      </c>
    </row>
    <row r="49680" spans="1:8">
      <c r="A49680" t="s">
        <v>4667</v>
      </c>
      <c r="B49680">
        <f>HYPERLINK("https://android.googlesource.com/platform/cts/+/cad912720663f17b6cd7f355d111c93990d5a0b1", "cad912720663f17b6cd7f355d111c93990d5a0b1")</f>
        <v>0</v>
      </c>
      <c r="C49680">
        <f>HYPERLINK("https://android.googlesource.com/platform/cts/+/a6cb7ba3b7360f8399db3498149b1780862d1890", "a6cb7ba3b7360f8399db3498149b1780862d1890")</f>
        <v>0</v>
      </c>
      <c r="D49680" t="s">
        <v>5476</v>
      </c>
      <c r="E49680" t="s">
        <v>10324</v>
      </c>
      <c r="F49680" t="s">
        <v>14843</v>
      </c>
      <c r="G49680" t="s">
        <v>18702</v>
      </c>
      <c r="H49680" t="s">
        <v>39126</v>
      </c>
    </row>
    <row r="49681" spans="1:8">
      <c r="A49681" t="s">
        <v>4668</v>
      </c>
      <c r="B49681">
        <f>HYPERLINK("https://android.googlesource.com/platform/cts/+/e546c1f665cb344f3b9e9b0a2a3b861c1913f343", "e546c1f665cb344f3b9e9b0a2a3b861c1913f343")</f>
        <v>0</v>
      </c>
      <c r="C49681">
        <f>HYPERLINK("https://android.googlesource.com/platform/cts/+/ee956a7ac012a1633be7e7ef218d11fe37b6f6ca", "ee956a7ac012a1633be7e7ef218d11fe37b6f6ca")</f>
        <v>0</v>
      </c>
      <c r="D49681" t="s">
        <v>5523</v>
      </c>
      <c r="E49681" t="s">
        <v>10325</v>
      </c>
      <c r="F49681" t="s">
        <v>14745</v>
      </c>
      <c r="G49681" t="s">
        <v>18621</v>
      </c>
      <c r="H49681" t="s">
        <v>39127</v>
      </c>
    </row>
    <row r="49682" spans="1:8">
      <c r="A49682" t="s">
        <v>4669</v>
      </c>
      <c r="B49682">
        <f>HYPERLINK("https://android.googlesource.com/platform/cts/+/3907a2e40a113baab238f8ed89d102f5248c286a", "3907a2e40a113baab238f8ed89d102f5248c286a")</f>
        <v>0</v>
      </c>
      <c r="C49682">
        <f>HYPERLINK("https://android.googlesource.com/platform/cts/+/1255471170d3db25e2014e11a628304ae236c80f", "1255471170d3db25e2014e11a628304ae236c80f")</f>
        <v>0</v>
      </c>
      <c r="D49682" t="s">
        <v>5676</v>
      </c>
      <c r="E49682" t="s">
        <v>10326</v>
      </c>
      <c r="F49682" t="s">
        <v>14844</v>
      </c>
      <c r="G49682" t="s">
        <v>18703</v>
      </c>
      <c r="H49682" t="s">
        <v>39128</v>
      </c>
    </row>
    <row r="49683" spans="1:8">
      <c r="H49683" t="s">
        <v>39129</v>
      </c>
    </row>
    <row r="49684" spans="1:8">
      <c r="H49684" t="s">
        <v>39130</v>
      </c>
    </row>
    <row r="49685" spans="1:8">
      <c r="H49685" t="s">
        <v>39131</v>
      </c>
    </row>
    <row r="49686" spans="1:8">
      <c r="H49686" t="s">
        <v>39132</v>
      </c>
    </row>
    <row r="49687" spans="1:8">
      <c r="H49687" t="s">
        <v>39133</v>
      </c>
    </row>
    <row r="49688" spans="1:8">
      <c r="A49688" t="s">
        <v>4670</v>
      </c>
      <c r="B49688">
        <f>HYPERLINK("https://android.googlesource.com/platform/cts/+/63c4911e244060d55f15698ff9fef0de41402679", "63c4911e244060d55f15698ff9fef0de41402679")</f>
        <v>0</v>
      </c>
      <c r="C49688">
        <f>HYPERLINK("https://android.googlesource.com/platform/cts/+/714a64d3c1264fe3cf75a6ebc2930530a6acd21a", "714a64d3c1264fe3cf75a6ebc2930530a6acd21a")</f>
        <v>0</v>
      </c>
      <c r="D49688" t="s">
        <v>5008</v>
      </c>
      <c r="E49688" t="s">
        <v>10327</v>
      </c>
      <c r="F49688" t="s">
        <v>14845</v>
      </c>
      <c r="G49688" t="s">
        <v>18078</v>
      </c>
      <c r="H49688" t="s">
        <v>39134</v>
      </c>
    </row>
    <row r="49689" spans="1:8">
      <c r="H49689" t="s">
        <v>18829</v>
      </c>
    </row>
    <row r="49690" spans="1:8">
      <c r="H49690" t="s">
        <v>39135</v>
      </c>
    </row>
    <row r="49691" spans="1:8">
      <c r="H49691" t="s">
        <v>39136</v>
      </c>
    </row>
    <row r="49692" spans="1:8">
      <c r="H49692" t="s">
        <v>39137</v>
      </c>
    </row>
    <row r="49693" spans="1:8">
      <c r="H49693" t="s">
        <v>39138</v>
      </c>
    </row>
    <row r="49694" spans="1:8">
      <c r="H49694" t="s">
        <v>39139</v>
      </c>
    </row>
    <row r="49695" spans="1:8">
      <c r="H49695" t="s">
        <v>33234</v>
      </c>
    </row>
    <row r="49696" spans="1:8">
      <c r="H49696" t="s">
        <v>39140</v>
      </c>
    </row>
    <row r="49697" spans="1:8">
      <c r="F49697" t="s">
        <v>14846</v>
      </c>
      <c r="G49697" t="s">
        <v>18704</v>
      </c>
      <c r="H49697" t="s">
        <v>18829</v>
      </c>
    </row>
    <row r="49698" spans="1:8">
      <c r="H49698" t="s">
        <v>18863</v>
      </c>
    </row>
    <row r="49699" spans="1:8">
      <c r="H49699" t="s">
        <v>39141</v>
      </c>
    </row>
    <row r="49700" spans="1:8">
      <c r="H49700" t="s">
        <v>39142</v>
      </c>
    </row>
    <row r="49701" spans="1:8">
      <c r="H49701" t="s">
        <v>26401</v>
      </c>
    </row>
    <row r="49702" spans="1:8">
      <c r="F49702" t="s">
        <v>14847</v>
      </c>
      <c r="G49702" t="s">
        <v>18078</v>
      </c>
      <c r="H49702" t="s">
        <v>39143</v>
      </c>
    </row>
    <row r="49703" spans="1:8">
      <c r="H49703" t="s">
        <v>39144</v>
      </c>
    </row>
    <row r="49704" spans="1:8">
      <c r="F49704" t="s">
        <v>14848</v>
      </c>
      <c r="G49704" t="s">
        <v>18085</v>
      </c>
      <c r="H49704" t="s">
        <v>39145</v>
      </c>
    </row>
    <row r="49705" spans="1:8">
      <c r="H49705" t="s">
        <v>39146</v>
      </c>
    </row>
    <row r="49706" spans="1:8">
      <c r="A49706" t="s">
        <v>4671</v>
      </c>
      <c r="B49706">
        <f>HYPERLINK("https://android.googlesource.com/platform/cts/+/380166093d5c034b8ef611a4270d8a05b615511f", "380166093d5c034b8ef611a4270d8a05b615511f")</f>
        <v>0</v>
      </c>
      <c r="C49706">
        <f>HYPERLINK("https://android.googlesource.com/platform/cts/+/0482d3cf980bf113c58b421bdf7fd090a0d3000e", "0482d3cf980bf113c58b421bdf7fd090a0d3000e")</f>
        <v>0</v>
      </c>
      <c r="D49706" t="s">
        <v>5523</v>
      </c>
      <c r="E49706" t="s">
        <v>10328</v>
      </c>
      <c r="F49706" t="s">
        <v>14830</v>
      </c>
      <c r="G49706" t="s">
        <v>18692</v>
      </c>
      <c r="H49706" t="s">
        <v>30172</v>
      </c>
    </row>
    <row r="49707" spans="1:8">
      <c r="A49707" t="s">
        <v>4672</v>
      </c>
      <c r="B49707">
        <f>HYPERLINK("https://android.googlesource.com/platform/cts/+/339cf7a8ced71546acefe7e54069ef4b6bcc91f9", "339cf7a8ced71546acefe7e54069ef4b6bcc91f9")</f>
        <v>0</v>
      </c>
      <c r="C49707">
        <f>HYPERLINK("https://android.googlesource.com/platform/cts/+/b5fb62324b2daeab4e2437bff932d8d1e0caf277", "b5fb62324b2daeab4e2437bff932d8d1e0caf277")</f>
        <v>0</v>
      </c>
      <c r="D49707" t="s">
        <v>5736</v>
      </c>
      <c r="E49707" t="s">
        <v>10329</v>
      </c>
      <c r="F49707" t="s">
        <v>14849</v>
      </c>
      <c r="G49707" t="s">
        <v>18679</v>
      </c>
      <c r="H49707" t="s">
        <v>39028</v>
      </c>
    </row>
    <row r="49708" spans="1:8">
      <c r="A49708" t="s">
        <v>4673</v>
      </c>
      <c r="B49708">
        <f>HYPERLINK("https://android.googlesource.com/platform/cts/+/8af1bba717594aa77eaba29dc68fded93d542e6a", "8af1bba717594aa77eaba29dc68fded93d542e6a")</f>
        <v>0</v>
      </c>
      <c r="C49708">
        <f>HYPERLINK("https://android.googlesource.com/platform/cts/+/edc861f6b18df5ea068585660323b32668877a28", "edc861f6b18df5ea068585660323b32668877a28")</f>
        <v>0</v>
      </c>
      <c r="D49708" t="s">
        <v>5564</v>
      </c>
      <c r="E49708" t="s">
        <v>10330</v>
      </c>
      <c r="F49708" t="s">
        <v>14773</v>
      </c>
      <c r="G49708" t="s">
        <v>16648</v>
      </c>
      <c r="H49708" t="s">
        <v>39147</v>
      </c>
    </row>
    <row r="49709" spans="1:8">
      <c r="H49709" t="s">
        <v>39148</v>
      </c>
    </row>
    <row r="49710" spans="1:8">
      <c r="H49710" t="s">
        <v>39149</v>
      </c>
    </row>
    <row r="49711" spans="1:8">
      <c r="A49711" t="s">
        <v>4674</v>
      </c>
      <c r="B49711">
        <f>HYPERLINK("https://android.googlesource.com/platform/cts/+/a513986fb37acba539c8378bf65afead792d7e47", "a513986fb37acba539c8378bf65afead792d7e47")</f>
        <v>0</v>
      </c>
      <c r="C49711">
        <f>HYPERLINK("https://android.googlesource.com/platform/cts/+/663b8a55610773972d69d56a3f9e5e4c644b25e5", "663b8a55610773972d69d56a3f9e5e4c644b25e5")</f>
        <v>0</v>
      </c>
      <c r="D49711" t="s">
        <v>5451</v>
      </c>
      <c r="E49711" t="s">
        <v>10331</v>
      </c>
      <c r="F49711" t="s">
        <v>14560</v>
      </c>
      <c r="G49711" t="s">
        <v>18482</v>
      </c>
      <c r="H49711" t="s">
        <v>36652</v>
      </c>
    </row>
    <row r="49712" spans="1:8">
      <c r="H49712" t="s">
        <v>36653</v>
      </c>
    </row>
    <row r="49713" spans="1:8">
      <c r="H49713" t="s">
        <v>36654</v>
      </c>
    </row>
    <row r="49714" spans="1:8">
      <c r="H49714" t="s">
        <v>36655</v>
      </c>
    </row>
    <row r="49715" spans="1:8">
      <c r="H49715" t="s">
        <v>36656</v>
      </c>
    </row>
    <row r="49716" spans="1:8">
      <c r="F49716" t="s">
        <v>14123</v>
      </c>
      <c r="G49716" t="s">
        <v>18113</v>
      </c>
      <c r="H49716" t="s">
        <v>36657</v>
      </c>
    </row>
    <row r="49717" spans="1:8">
      <c r="A49717" t="s">
        <v>4675</v>
      </c>
      <c r="B49717">
        <f>HYPERLINK("https://android.googlesource.com/platform/cts/+/28f4cb3894b6e5d3fe29debd3244bd3a35068cff", "28f4cb3894b6e5d3fe29debd3244bd3a35068cff")</f>
        <v>0</v>
      </c>
      <c r="C49717">
        <f>HYPERLINK("https://android.googlesource.com/platform/cts/+/d78faea11707a5bd305394fcb6bbceb37675d12f", "d78faea11707a5bd305394fcb6bbceb37675d12f")</f>
        <v>0</v>
      </c>
      <c r="D49717" t="s">
        <v>5737</v>
      </c>
      <c r="E49717" t="s">
        <v>10332</v>
      </c>
      <c r="F49717" t="s">
        <v>14625</v>
      </c>
      <c r="G49717" t="s">
        <v>18536</v>
      </c>
      <c r="H49717" t="s">
        <v>39150</v>
      </c>
    </row>
    <row r="49718" spans="1:8">
      <c r="H49718" t="s">
        <v>39151</v>
      </c>
    </row>
    <row r="49719" spans="1:8">
      <c r="H49719" t="s">
        <v>39152</v>
      </c>
    </row>
    <row r="49720" spans="1:8">
      <c r="A49720" t="s">
        <v>4676</v>
      </c>
      <c r="B49720">
        <f>HYPERLINK("https://android.googlesource.com/platform/cts/+/9f7425be8b697a15925c7194e782137fc41a54d6", "9f7425be8b697a15925c7194e782137fc41a54d6")</f>
        <v>0</v>
      </c>
      <c r="C49720">
        <f>HYPERLINK("https://android.googlesource.com/platform/cts/+/22a715ad7ec9214305c13188b3c0e8b9b94c5fe9", "22a715ad7ec9214305c13188b3c0e8b9b94c5fe9")</f>
        <v>0</v>
      </c>
      <c r="D49720" t="s">
        <v>5695</v>
      </c>
      <c r="E49720" t="s">
        <v>10333</v>
      </c>
      <c r="F49720" t="s">
        <v>14840</v>
      </c>
      <c r="G49720" t="s">
        <v>18699</v>
      </c>
      <c r="H49720" t="s">
        <v>39124</v>
      </c>
    </row>
    <row r="49721" spans="1:8">
      <c r="H49721" t="s">
        <v>39125</v>
      </c>
    </row>
    <row r="49722" spans="1:8">
      <c r="A49722" t="s">
        <v>4677</v>
      </c>
      <c r="B49722">
        <f>HYPERLINK("https://android.googlesource.com/platform/cts/+/fd492231361be71063a560474b87aba72e3e6f3b", "fd492231361be71063a560474b87aba72e3e6f3b")</f>
        <v>0</v>
      </c>
      <c r="C49722">
        <f>HYPERLINK("https://android.googlesource.com/platform/cts/+/77b18fbec398d8e78090f4aa5ba12a34a63af0a2", "77b18fbec398d8e78090f4aa5ba12a34a63af0a2")</f>
        <v>0</v>
      </c>
      <c r="D49722" t="s">
        <v>5650</v>
      </c>
      <c r="E49722" t="s">
        <v>10334</v>
      </c>
      <c r="F49722" t="s">
        <v>14850</v>
      </c>
      <c r="G49722" t="s">
        <v>16863</v>
      </c>
      <c r="H49722" t="s">
        <v>39153</v>
      </c>
    </row>
    <row r="49723" spans="1:8">
      <c r="A49723" t="s">
        <v>4678</v>
      </c>
      <c r="B49723">
        <f>HYPERLINK("https://android.googlesource.com/platform/cts/+/6365c124538f7df310e05ba17baefe763ad70aa1", "6365c124538f7df310e05ba17baefe763ad70aa1")</f>
        <v>0</v>
      </c>
      <c r="C49723">
        <f>HYPERLINK("https://android.googlesource.com/platform/cts/+/2f3196bfeee07909c9ae636ce61703d072b827ca", "2f3196bfeee07909c9ae636ce61703d072b827ca")</f>
        <v>0</v>
      </c>
      <c r="D49723" t="s">
        <v>5746</v>
      </c>
      <c r="E49723" t="s">
        <v>10335</v>
      </c>
      <c r="F49723" t="s">
        <v>14566</v>
      </c>
      <c r="G49723" t="s">
        <v>18487</v>
      </c>
      <c r="H49723" t="s">
        <v>39154</v>
      </c>
    </row>
    <row r="49724" spans="1:8">
      <c r="A49724" t="s">
        <v>4679</v>
      </c>
      <c r="B49724">
        <f>HYPERLINK("https://android.googlesource.com/platform/cts/+/b8ab1843eb1f10cbb4098b6c2692ac0d6e587106", "b8ab1843eb1f10cbb4098b6c2692ac0d6e587106")</f>
        <v>0</v>
      </c>
      <c r="C49724">
        <f>HYPERLINK("https://android.googlesource.com/platform/cts/+/34b7d145d0c86d763f9227770da0282d5134ddf4", "34b7d145d0c86d763f9227770da0282d5134ddf4")</f>
        <v>0</v>
      </c>
      <c r="D49724" t="s">
        <v>5528</v>
      </c>
      <c r="E49724" t="s">
        <v>10336</v>
      </c>
      <c r="F49724" t="s">
        <v>13892</v>
      </c>
      <c r="G49724" t="s">
        <v>17929</v>
      </c>
      <c r="H49724" t="s">
        <v>18829</v>
      </c>
    </row>
    <row r="49725" spans="1:8">
      <c r="H49725" t="s">
        <v>38173</v>
      </c>
    </row>
    <row r="49726" spans="1:8">
      <c r="H49726" t="s">
        <v>38174</v>
      </c>
    </row>
    <row r="49727" spans="1:8">
      <c r="A49727" t="s">
        <v>4680</v>
      </c>
      <c r="B49727">
        <f>HYPERLINK("https://android.googlesource.com/platform/cts/+/ae48993cfc239fb72b80e81563863842ad1124ef", "ae48993cfc239fb72b80e81563863842ad1124ef")</f>
        <v>0</v>
      </c>
      <c r="C49727">
        <f>HYPERLINK("https://android.googlesource.com/platform/cts/+/3a4715e3af44cbc505c5ff37fd8067c4f231ef84", "3a4715e3af44cbc505c5ff37fd8067c4f231ef84")</f>
        <v>0</v>
      </c>
      <c r="D49727" t="s">
        <v>5693</v>
      </c>
      <c r="E49727" t="s">
        <v>10337</v>
      </c>
      <c r="F49727" t="s">
        <v>13816</v>
      </c>
      <c r="G49727" t="s">
        <v>15089</v>
      </c>
      <c r="H49727" t="s">
        <v>37685</v>
      </c>
    </row>
    <row r="49728" spans="1:8">
      <c r="A49728" t="s">
        <v>4681</v>
      </c>
      <c r="B49728">
        <f>HYPERLINK("https://android.googlesource.com/platform/cts/+/3a879a2ae2b683c09766ab988d1d1e036d0d55a4", "3a879a2ae2b683c09766ab988d1d1e036d0d55a4")</f>
        <v>0</v>
      </c>
      <c r="C49728">
        <f>HYPERLINK("https://android.googlesource.com/platform/cts/+/3a4715e3af44cbc505c5ff37fd8067c4f231ef84", "3a4715e3af44cbc505c5ff37fd8067c4f231ef84")</f>
        <v>0</v>
      </c>
      <c r="D49728" t="s">
        <v>5528</v>
      </c>
      <c r="E49728" t="s">
        <v>10338</v>
      </c>
      <c r="F49728" t="s">
        <v>14827</v>
      </c>
      <c r="G49728" t="s">
        <v>18689</v>
      </c>
      <c r="H49728" t="s">
        <v>39049</v>
      </c>
    </row>
    <row r="49729" spans="1:8">
      <c r="A49729" t="s">
        <v>4682</v>
      </c>
      <c r="B49729">
        <f>HYPERLINK("https://android.googlesource.com/platform/cts/+/5336f74a012f2143a258b71ed40624fc142efd3d", "5336f74a012f2143a258b71ed40624fc142efd3d")</f>
        <v>0</v>
      </c>
      <c r="C49729">
        <f>HYPERLINK("https://android.googlesource.com/platform/cts/+/a249eac2a1cce84b757141b126937db55886f540", "a249eac2a1cce84b757141b126937db55886f540")</f>
        <v>0</v>
      </c>
      <c r="D49729" t="s">
        <v>5551</v>
      </c>
      <c r="E49729" t="s">
        <v>10339</v>
      </c>
      <c r="F49729" t="s">
        <v>14461</v>
      </c>
      <c r="G49729" t="s">
        <v>15710</v>
      </c>
      <c r="H49729" t="s">
        <v>39155</v>
      </c>
    </row>
    <row r="49730" spans="1:8">
      <c r="H49730" t="s">
        <v>39156</v>
      </c>
    </row>
    <row r="49731" spans="1:8">
      <c r="A49731" t="s">
        <v>4683</v>
      </c>
      <c r="B49731">
        <f>HYPERLINK("https://android.googlesource.com/platform/cts/+/5b0d7bf5f07b23fdbc4c321434846c198a989f7f", "5b0d7bf5f07b23fdbc4c321434846c198a989f7f")</f>
        <v>0</v>
      </c>
      <c r="C49731">
        <f>HYPERLINK("https://android.googlesource.com/platform/cts/+/2f3196bfeee07909c9ae636ce61703d072b827ca", "2f3196bfeee07909c9ae636ce61703d072b827ca")</f>
        <v>0</v>
      </c>
      <c r="D49731" t="s">
        <v>5645</v>
      </c>
      <c r="E49731" t="s">
        <v>10340</v>
      </c>
      <c r="F49731" t="s">
        <v>14809</v>
      </c>
      <c r="G49731" t="s">
        <v>18674</v>
      </c>
      <c r="H49731" t="s">
        <v>39157</v>
      </c>
    </row>
    <row r="49732" spans="1:8">
      <c r="H49732" t="s">
        <v>39158</v>
      </c>
    </row>
    <row r="49733" spans="1:8">
      <c r="H49733" t="s">
        <v>39159</v>
      </c>
    </row>
    <row r="49734" spans="1:8">
      <c r="H49734" t="s">
        <v>39160</v>
      </c>
    </row>
    <row r="49735" spans="1:8">
      <c r="H49735" t="s">
        <v>28391</v>
      </c>
    </row>
    <row r="49736" spans="1:8">
      <c r="A49736" t="s">
        <v>4684</v>
      </c>
      <c r="B49736">
        <f>HYPERLINK("https://android.googlesource.com/platform/cts/+/b655a486e66356a67ce7fd58bc2c2149e6fd4de8", "b655a486e66356a67ce7fd58bc2c2149e6fd4de8")</f>
        <v>0</v>
      </c>
      <c r="C49736">
        <f>HYPERLINK("https://android.googlesource.com/platform/cts/+/e9e634bbdd5f8eec7a7d2f936d124ed553766184", "e9e634bbdd5f8eec7a7d2f936d124ed553766184")</f>
        <v>0</v>
      </c>
      <c r="D49736" t="s">
        <v>5695</v>
      </c>
      <c r="E49736" t="s">
        <v>10341</v>
      </c>
      <c r="F49736" t="s">
        <v>14840</v>
      </c>
      <c r="G49736" t="s">
        <v>18699</v>
      </c>
      <c r="H49736" t="s">
        <v>39161</v>
      </c>
    </row>
    <row r="49737" spans="1:8">
      <c r="H49737" t="s">
        <v>39162</v>
      </c>
    </row>
    <row r="49738" spans="1:8">
      <c r="H49738" t="s">
        <v>39163</v>
      </c>
    </row>
    <row r="49739" spans="1:8">
      <c r="A49739" t="s">
        <v>4685</v>
      </c>
      <c r="B49739">
        <f>HYPERLINK("https://android.googlesource.com/platform/cts/+/4d3b44596c6472aaa0d2af4ff0c12431dea9f4dc", "4d3b44596c6472aaa0d2af4ff0c12431dea9f4dc")</f>
        <v>0</v>
      </c>
      <c r="C49739">
        <f>HYPERLINK("https://android.googlesource.com/platform/cts/+/20bddd929fa98bfe30a966be22c17d26912021cd", "20bddd929fa98bfe30a966be22c17d26912021cd")</f>
        <v>0</v>
      </c>
      <c r="D49739" t="s">
        <v>5277</v>
      </c>
      <c r="E49739" t="s">
        <v>10342</v>
      </c>
      <c r="F49739" t="s">
        <v>14300</v>
      </c>
      <c r="G49739" t="s">
        <v>18259</v>
      </c>
      <c r="H49739" t="s">
        <v>39084</v>
      </c>
    </row>
    <row r="49740" spans="1:8">
      <c r="H49740" t="s">
        <v>39085</v>
      </c>
    </row>
    <row r="49741" spans="1:8">
      <c r="H49741" t="s">
        <v>39086</v>
      </c>
    </row>
    <row r="49742" spans="1:8">
      <c r="A49742" t="s">
        <v>4686</v>
      </c>
      <c r="B49742">
        <f>HYPERLINK("https://android.googlesource.com/platform/cts/+/8e09e0e1dfd2e88f6fcb2e68c01176c2bc36fa66", "8e09e0e1dfd2e88f6fcb2e68c01176c2bc36fa66")</f>
        <v>0</v>
      </c>
      <c r="C49742">
        <f>HYPERLINK("https://android.googlesource.com/platform/cts/+/54d3ae15b7dd72e2664dc928e98e8645b7eeab68", "54d3ae15b7dd72e2664dc928e98e8645b7eeab68")</f>
        <v>0</v>
      </c>
      <c r="D49742" t="s">
        <v>5747</v>
      </c>
      <c r="E49742" t="s">
        <v>10343</v>
      </c>
      <c r="F49742" t="s">
        <v>14851</v>
      </c>
      <c r="G49742" t="s">
        <v>18705</v>
      </c>
      <c r="H49742" t="s">
        <v>39164</v>
      </c>
    </row>
    <row r="49743" spans="1:8">
      <c r="H49743" t="s">
        <v>39165</v>
      </c>
    </row>
    <row r="49744" spans="1:8">
      <c r="H49744" t="s">
        <v>39166</v>
      </c>
    </row>
    <row r="49745" spans="1:8">
      <c r="H49745" t="s">
        <v>39167</v>
      </c>
    </row>
    <row r="49746" spans="1:8">
      <c r="H49746" t="s">
        <v>39168</v>
      </c>
    </row>
    <row r="49747" spans="1:8">
      <c r="H49747" t="s">
        <v>39169</v>
      </c>
    </row>
    <row r="49748" spans="1:8">
      <c r="A49748" t="s">
        <v>4687</v>
      </c>
      <c r="B49748">
        <f>HYPERLINK("https://android.googlesource.com/platform/cts/+/075ceb5eab44565c98f3c09133e9f3d6db15777e", "075ceb5eab44565c98f3c09133e9f3d6db15777e")</f>
        <v>0</v>
      </c>
      <c r="C49748">
        <f>HYPERLINK("https://android.googlesource.com/platform/cts/+/5277ce785b4cc2db3a4375349a97ad043105997a", "5277ce785b4cc2db3a4375349a97ad043105997a")</f>
        <v>0</v>
      </c>
      <c r="D49748" t="s">
        <v>5605</v>
      </c>
      <c r="E49748" t="s">
        <v>10344</v>
      </c>
      <c r="F49748" t="s">
        <v>14387</v>
      </c>
      <c r="G49748" t="s">
        <v>17643</v>
      </c>
      <c r="H49748" t="s">
        <v>39170</v>
      </c>
    </row>
    <row r="49749" spans="1:8">
      <c r="H49749" t="s">
        <v>39171</v>
      </c>
    </row>
    <row r="49750" spans="1:8">
      <c r="H49750" t="s">
        <v>18863</v>
      </c>
    </row>
    <row r="49751" spans="1:8">
      <c r="H49751" t="s">
        <v>39172</v>
      </c>
    </row>
    <row r="49752" spans="1:8">
      <c r="H49752" t="s">
        <v>39173</v>
      </c>
    </row>
    <row r="49753" spans="1:8">
      <c r="A49753" t="s">
        <v>4688</v>
      </c>
      <c r="B49753">
        <f>HYPERLINK("https://android.googlesource.com/platform/cts/+/ecdd54ccaa6a5348b15701609ec6ed7b8e09cee6", "ecdd54ccaa6a5348b15701609ec6ed7b8e09cee6")</f>
        <v>0</v>
      </c>
      <c r="C49753">
        <f>HYPERLINK("https://android.googlesource.com/platform/cts/+/e36de373db653aa133621d9f4cc420905e8691f2", "e36de373db653aa133621d9f4cc420905e8691f2")</f>
        <v>0</v>
      </c>
      <c r="D49753" t="s">
        <v>5277</v>
      </c>
      <c r="E49753" t="s">
        <v>10342</v>
      </c>
      <c r="F49753" t="s">
        <v>14300</v>
      </c>
      <c r="G49753" t="s">
        <v>18259</v>
      </c>
      <c r="H49753" t="s">
        <v>39084</v>
      </c>
    </row>
    <row r="49754" spans="1:8">
      <c r="H49754" t="s">
        <v>39085</v>
      </c>
    </row>
    <row r="49755" spans="1:8">
      <c r="H49755" t="s">
        <v>39086</v>
      </c>
    </row>
    <row r="49756" spans="1:8">
      <c r="A49756" t="s">
        <v>4689</v>
      </c>
      <c r="B49756">
        <f>HYPERLINK("https://android.googlesource.com/platform/cts/+/ca5acfb7595b71194e3f90c00a20acb33f38d164", "ca5acfb7595b71194e3f90c00a20acb33f38d164")</f>
        <v>0</v>
      </c>
      <c r="C49756">
        <f>HYPERLINK("https://android.googlesource.com/platform/cts/+/cded2ba462252cf3cf822a2e4103989ddf8684e4", "cded2ba462252cf3cf822a2e4103989ddf8684e4")</f>
        <v>0</v>
      </c>
      <c r="D49756" t="s">
        <v>5564</v>
      </c>
      <c r="E49756" t="s">
        <v>10345</v>
      </c>
      <c r="F49756" t="s">
        <v>14534</v>
      </c>
      <c r="G49756" t="s">
        <v>18458</v>
      </c>
      <c r="H49756" t="s">
        <v>39174</v>
      </c>
    </row>
    <row r="49757" spans="1:8">
      <c r="A49757" t="s">
        <v>4690</v>
      </c>
      <c r="B49757">
        <f>HYPERLINK("https://android.googlesource.com/platform/cts/+/5b943ebfd9076841090a2fd54265118958d87ba4", "5b943ebfd9076841090a2fd54265118958d87ba4")</f>
        <v>0</v>
      </c>
      <c r="C49757">
        <f>HYPERLINK("https://android.googlesource.com/platform/cts/+/df075ecd70d6e9265e2b9cef04f1b1b343bddf0d", "df075ecd70d6e9265e2b9cef04f1b1b343bddf0d")</f>
        <v>0</v>
      </c>
      <c r="D49757" t="s">
        <v>5219</v>
      </c>
      <c r="E49757" t="s">
        <v>10346</v>
      </c>
      <c r="F49757" t="s">
        <v>14512</v>
      </c>
      <c r="G49757" t="s">
        <v>18414</v>
      </c>
      <c r="H49757" t="s">
        <v>39175</v>
      </c>
    </row>
    <row r="49758" spans="1:8">
      <c r="A49758" t="s">
        <v>4691</v>
      </c>
      <c r="B49758">
        <f>HYPERLINK("https://android.googlesource.com/platform/cts/+/04e0c21758d4d1f69401f12c436b712145ff7121", "04e0c21758d4d1f69401f12c436b712145ff7121")</f>
        <v>0</v>
      </c>
      <c r="C49758">
        <f>HYPERLINK("https://android.googlesource.com/platform/cts/+/23e636b9f2b4571123fdd6a3cc47c2c2869415ff", "23e636b9f2b4571123fdd6a3cc47c2c2869415ff")</f>
        <v>0</v>
      </c>
      <c r="D49758" t="s">
        <v>5704</v>
      </c>
      <c r="E49758" t="s">
        <v>10347</v>
      </c>
      <c r="F49758" t="s">
        <v>14852</v>
      </c>
      <c r="G49758" t="s">
        <v>18706</v>
      </c>
      <c r="H49758" t="s">
        <v>30514</v>
      </c>
    </row>
    <row r="49759" spans="1:8">
      <c r="A49759" t="s">
        <v>4692</v>
      </c>
      <c r="B49759">
        <f>HYPERLINK("https://android.googlesource.com/platform/cts/+/b716020f04956188cd4b7ba6c78c3e0ebca2710d", "b716020f04956188cd4b7ba6c78c3e0ebca2710d")</f>
        <v>0</v>
      </c>
      <c r="C49759">
        <f>HYPERLINK("https://android.googlesource.com/platform/cts/+/23e636b9f2b4571123fdd6a3cc47c2c2869415ff", "23e636b9f2b4571123fdd6a3cc47c2c2869415ff")</f>
        <v>0</v>
      </c>
      <c r="D49759" t="s">
        <v>5472</v>
      </c>
      <c r="E49759" t="s">
        <v>10348</v>
      </c>
      <c r="F49759" t="s">
        <v>14853</v>
      </c>
      <c r="G49759" t="s">
        <v>18707</v>
      </c>
      <c r="H49759" t="s">
        <v>39176</v>
      </c>
    </row>
    <row r="49760" spans="1:8">
      <c r="A49760" t="s">
        <v>4693</v>
      </c>
      <c r="B49760">
        <f>HYPERLINK("https://android.googlesource.com/platform/cts/+/e09750ae40b1b7c8597d58864c022ac1da18962c", "e09750ae40b1b7c8597d58864c022ac1da18962c")</f>
        <v>0</v>
      </c>
      <c r="C49760">
        <f>HYPERLINK("https://android.googlesource.com/platform/cts/+/e6e25c22acb95deb59b0dbd5408598871949788f", "e6e25c22acb95deb59b0dbd5408598871949788f")</f>
        <v>0</v>
      </c>
      <c r="D49760" t="s">
        <v>5051</v>
      </c>
      <c r="E49760" t="s">
        <v>10349</v>
      </c>
      <c r="F49760" t="s">
        <v>12897</v>
      </c>
      <c r="G49760" t="s">
        <v>16824</v>
      </c>
      <c r="H49760" t="s">
        <v>33649</v>
      </c>
    </row>
    <row r="49761" spans="1:8">
      <c r="A49761" t="s">
        <v>4694</v>
      </c>
      <c r="B49761">
        <f>HYPERLINK("https://android.googlesource.com/platform/cts/+/a4a7fee64da605c444c8c04be1bb0741747dcad1", "a4a7fee64da605c444c8c04be1bb0741747dcad1")</f>
        <v>0</v>
      </c>
      <c r="C49761">
        <f>HYPERLINK("https://android.googlesource.com/platform/cts/+/0de19f421200e80706e501bc09c780672eaaa507", "0de19f421200e80706e501bc09c780672eaaa507")</f>
        <v>0</v>
      </c>
      <c r="D49761" t="s">
        <v>5748</v>
      </c>
      <c r="E49761" t="s">
        <v>10350</v>
      </c>
      <c r="F49761" t="s">
        <v>14854</v>
      </c>
      <c r="G49761" t="s">
        <v>18708</v>
      </c>
      <c r="H49761" t="s">
        <v>39177</v>
      </c>
    </row>
    <row r="49762" spans="1:8">
      <c r="H49762" t="s">
        <v>39178</v>
      </c>
    </row>
    <row r="49763" spans="1:8">
      <c r="A49763" t="s">
        <v>4695</v>
      </c>
      <c r="B49763">
        <f>HYPERLINK("https://android.googlesource.com/platform/cts/+/b3dcbf4d50c20953c151393422ca37ad05b1168a", "b3dcbf4d50c20953c151393422ca37ad05b1168a")</f>
        <v>0</v>
      </c>
      <c r="C49763">
        <f>HYPERLINK("https://android.googlesource.com/platform/cts/+/f2c57f544dc83591e95d2938c59af93a3a837807", "f2c57f544dc83591e95d2938c59af93a3a837807")</f>
        <v>0</v>
      </c>
      <c r="D49763" t="s">
        <v>5747</v>
      </c>
      <c r="E49763" t="s">
        <v>10351</v>
      </c>
      <c r="F49763" t="s">
        <v>14855</v>
      </c>
      <c r="G49763" t="s">
        <v>18709</v>
      </c>
      <c r="H49763" t="s">
        <v>18829</v>
      </c>
    </row>
    <row r="49764" spans="1:8">
      <c r="H49764" t="s">
        <v>18863</v>
      </c>
    </row>
    <row r="49765" spans="1:8">
      <c r="H49765" t="s">
        <v>39179</v>
      </c>
    </row>
    <row r="49766" spans="1:8">
      <c r="H49766" t="s">
        <v>39180</v>
      </c>
    </row>
    <row r="49767" spans="1:8">
      <c r="H49767" t="s">
        <v>39181</v>
      </c>
    </row>
    <row r="49768" spans="1:8">
      <c r="H49768" t="s">
        <v>37712</v>
      </c>
    </row>
    <row r="49769" spans="1:8">
      <c r="H49769" t="s">
        <v>37713</v>
      </c>
    </row>
    <row r="49770" spans="1:8">
      <c r="H49770" t="s">
        <v>37717</v>
      </c>
    </row>
    <row r="49771" spans="1:8">
      <c r="A49771" t="s">
        <v>4696</v>
      </c>
      <c r="B49771">
        <f>HYPERLINK("https://android.googlesource.com/platform/cts/+/a74d9a6ed522c13eb9f30d96d3a81f2a329904aa", "a74d9a6ed522c13eb9f30d96d3a81f2a329904aa")</f>
        <v>0</v>
      </c>
      <c r="C49771">
        <f>HYPERLINK("https://android.googlesource.com/platform/cts/+/5ac0d9c03e7b3990e78b4fd57ed2133171b0b793", "5ac0d9c03e7b3990e78b4fd57ed2133171b0b793")</f>
        <v>0</v>
      </c>
      <c r="D49771" t="s">
        <v>5749</v>
      </c>
      <c r="E49771" t="s">
        <v>10352</v>
      </c>
      <c r="F49771" t="s">
        <v>14506</v>
      </c>
      <c r="G49771" t="s">
        <v>18435</v>
      </c>
      <c r="H49771" t="s">
        <v>39182</v>
      </c>
    </row>
    <row r="49772" spans="1:8">
      <c r="H49772" t="s">
        <v>39183</v>
      </c>
    </row>
    <row r="49773" spans="1:8">
      <c r="A49773" t="s">
        <v>4697</v>
      </c>
      <c r="B49773">
        <f>HYPERLINK("https://android.googlesource.com/platform/cts/+/7b5d3525f8fcd297f8ba207ea97b7b7a16624383", "7b5d3525f8fcd297f8ba207ea97b7b7a16624383")</f>
        <v>0</v>
      </c>
      <c r="C49773">
        <f>HYPERLINK("https://android.googlesource.com/platform/cts/+/b031a99c625f9e7bbef356acee98aedae018f44e", "b031a99c625f9e7bbef356acee98aedae018f44e")</f>
        <v>0</v>
      </c>
      <c r="D49773" t="s">
        <v>5750</v>
      </c>
      <c r="E49773" t="s">
        <v>10353</v>
      </c>
      <c r="F49773" t="s">
        <v>14193</v>
      </c>
      <c r="G49773" t="s">
        <v>18172</v>
      </c>
      <c r="H49773" t="s">
        <v>39184</v>
      </c>
    </row>
    <row r="49774" spans="1:8">
      <c r="H49774" t="s">
        <v>39185</v>
      </c>
    </row>
    <row r="49775" spans="1:8">
      <c r="A49775" t="s">
        <v>4698</v>
      </c>
      <c r="B49775">
        <f>HYPERLINK("https://android.googlesource.com/platform/cts/+/5ebe876c894dad92afb76271c1eb445dad053046", "5ebe876c894dad92afb76271c1eb445dad053046")</f>
        <v>0</v>
      </c>
      <c r="C49775">
        <f>HYPERLINK("https://android.googlesource.com/platform/cts/+/31b1b52a5bedadf1b295ac6b3c725abf6e4bd21c", "31b1b52a5bedadf1b295ac6b3c725abf6e4bd21c")</f>
        <v>0</v>
      </c>
      <c r="D49775" t="s">
        <v>5454</v>
      </c>
      <c r="E49775" t="s">
        <v>10354</v>
      </c>
      <c r="F49775" t="s">
        <v>14014</v>
      </c>
      <c r="G49775" t="s">
        <v>18026</v>
      </c>
      <c r="H49775" t="s">
        <v>39186</v>
      </c>
    </row>
    <row r="49776" spans="1:8">
      <c r="A49776" t="s">
        <v>4699</v>
      </c>
      <c r="B49776">
        <f>HYPERLINK("https://android.googlesource.com/platform/cts/+/de0a97c36be075761ec76c515a280463401aed67", "de0a97c36be075761ec76c515a280463401aed67")</f>
        <v>0</v>
      </c>
      <c r="C49776">
        <f>HYPERLINK("https://android.googlesource.com/platform/cts/+/e23125649087bfce9d75ba4ee52036d37e120628", "e23125649087bfce9d75ba4ee52036d37e120628")</f>
        <v>0</v>
      </c>
      <c r="D49776" t="s">
        <v>5751</v>
      </c>
      <c r="E49776" t="s">
        <v>10355</v>
      </c>
      <c r="F49776" t="s">
        <v>14856</v>
      </c>
      <c r="G49776" t="s">
        <v>18710</v>
      </c>
      <c r="H49776" t="s">
        <v>39187</v>
      </c>
    </row>
    <row r="49777" spans="1:8">
      <c r="H49777" t="s">
        <v>39188</v>
      </c>
    </row>
    <row r="49778" spans="1:8">
      <c r="H49778" t="s">
        <v>39189</v>
      </c>
    </row>
    <row r="49779" spans="1:8">
      <c r="H49779" t="s">
        <v>39190</v>
      </c>
    </row>
    <row r="49780" spans="1:8">
      <c r="H49780" t="s">
        <v>39191</v>
      </c>
    </row>
    <row r="49781" spans="1:8">
      <c r="H49781" t="s">
        <v>39192</v>
      </c>
    </row>
    <row r="49782" spans="1:8">
      <c r="H49782" t="s">
        <v>39193</v>
      </c>
    </row>
    <row r="49783" spans="1:8">
      <c r="A49783" t="s">
        <v>4700</v>
      </c>
      <c r="B49783">
        <f>HYPERLINK("https://android.googlesource.com/platform/cts/+/6198e4a545538eddea62402f7a9170183f221166", "6198e4a545538eddea62402f7a9170183f221166")</f>
        <v>0</v>
      </c>
      <c r="C49783">
        <f>HYPERLINK("https://android.googlesource.com/platform/cts/+/83365a493dfb2c4e10339aa30c92906e7ab7b8f0", "83365a493dfb2c4e10339aa30c92906e7ab7b8f0")</f>
        <v>0</v>
      </c>
      <c r="D49783" t="s">
        <v>5752</v>
      </c>
      <c r="E49783" t="s">
        <v>10356</v>
      </c>
      <c r="F49783" t="s">
        <v>14857</v>
      </c>
      <c r="G49783" t="s">
        <v>18711</v>
      </c>
      <c r="H49783" t="s">
        <v>18863</v>
      </c>
    </row>
    <row r="49784" spans="1:8">
      <c r="A49784" t="s">
        <v>4701</v>
      </c>
      <c r="B49784">
        <f>HYPERLINK("https://android.googlesource.com/platform/cts/+/af11911979d98ed1ec7023131e6335bf1e6f1f1f", "af11911979d98ed1ec7023131e6335bf1e6f1f1f")</f>
        <v>0</v>
      </c>
      <c r="C49784">
        <f>HYPERLINK("https://android.googlesource.com/platform/cts/+/202af6b7243956f93c9d52543fc61909351ef690", "202af6b7243956f93c9d52543fc61909351ef690")</f>
        <v>0</v>
      </c>
      <c r="D49784" t="s">
        <v>5753</v>
      </c>
      <c r="E49784" t="s">
        <v>10357</v>
      </c>
      <c r="F49784" t="s">
        <v>14858</v>
      </c>
      <c r="G49784" t="s">
        <v>18712</v>
      </c>
      <c r="H49784" t="s">
        <v>19981</v>
      </c>
    </row>
    <row r="49785" spans="1:8">
      <c r="H49785" t="s">
        <v>39194</v>
      </c>
    </row>
    <row r="49786" spans="1:8">
      <c r="A49786" t="s">
        <v>4702</v>
      </c>
      <c r="B49786">
        <f>HYPERLINK("https://android.googlesource.com/platform/cts/+/3b9ca0de773b43f742ebf7117f56cca779d1dad5", "3b9ca0de773b43f742ebf7117f56cca779d1dad5")</f>
        <v>0</v>
      </c>
      <c r="C49786">
        <f>HYPERLINK("https://android.googlesource.com/platform/cts/+/e647a87ab4b3518c9e1e602e6807913924b81345", "e647a87ab4b3518c9e1e602e6807913924b81345")</f>
        <v>0</v>
      </c>
      <c r="D49786" t="s">
        <v>5695</v>
      </c>
      <c r="E49786" t="s">
        <v>10358</v>
      </c>
      <c r="F49786" t="s">
        <v>14840</v>
      </c>
      <c r="G49786" t="s">
        <v>18699</v>
      </c>
      <c r="H49786" t="s">
        <v>39195</v>
      </c>
    </row>
    <row r="49787" spans="1:8">
      <c r="A49787" t="s">
        <v>4703</v>
      </c>
      <c r="B49787">
        <f>HYPERLINK("https://android.googlesource.com/platform/cts/+/b086d0ce101a703c9e7d37c2d4650327ad125619", "b086d0ce101a703c9e7d37c2d4650327ad125619")</f>
        <v>0</v>
      </c>
      <c r="C49787">
        <f>HYPERLINK("https://android.googlesource.com/platform/cts/+/b3c54c05d0b3aa00374644f8f389a562214dd09e", "b3c54c05d0b3aa00374644f8f389a562214dd09e")</f>
        <v>0</v>
      </c>
      <c r="D49787" t="s">
        <v>5644</v>
      </c>
      <c r="E49787" t="s">
        <v>10359</v>
      </c>
      <c r="F49787" t="s">
        <v>14859</v>
      </c>
      <c r="G49787" t="s">
        <v>18713</v>
      </c>
      <c r="H49787" t="s">
        <v>39196</v>
      </c>
    </row>
    <row r="49788" spans="1:8">
      <c r="H49788" t="s">
        <v>39197</v>
      </c>
    </row>
    <row r="49789" spans="1:8">
      <c r="H49789" t="s">
        <v>39198</v>
      </c>
    </row>
    <row r="49790" spans="1:8">
      <c r="A49790" t="s">
        <v>4704</v>
      </c>
      <c r="B49790">
        <f>HYPERLINK("https://android.googlesource.com/platform/cts/+/0c49b6f36afcfd2eeee924d03a88e90ed8e2793b", "0c49b6f36afcfd2eeee924d03a88e90ed8e2793b")</f>
        <v>0</v>
      </c>
      <c r="C49790">
        <f>HYPERLINK("https://android.googlesource.com/platform/cts/+/27596a017ce2c909198f68620cfa10e9fde9b9fe", "27596a017ce2c909198f68620cfa10e9fde9b9fe")</f>
        <v>0</v>
      </c>
      <c r="D49790" t="s">
        <v>5754</v>
      </c>
      <c r="E49790" t="s">
        <v>10360</v>
      </c>
      <c r="F49790" t="s">
        <v>14825</v>
      </c>
      <c r="G49790" t="s">
        <v>18687</v>
      </c>
      <c r="H49790" t="s">
        <v>39199</v>
      </c>
    </row>
    <row r="49791" spans="1:8">
      <c r="A49791" t="s">
        <v>4705</v>
      </c>
      <c r="B49791">
        <f>HYPERLINK("https://android.googlesource.com/platform/cts/+/0b641ebf793da89fc029a1b51fa18afb2a950793", "0b641ebf793da89fc029a1b51fa18afb2a950793")</f>
        <v>0</v>
      </c>
      <c r="C49791">
        <f>HYPERLINK("https://android.googlesource.com/platform/cts/+/e60a90604155ac26b445c6cfe866c8cc344d4714", "e60a90604155ac26b445c6cfe866c8cc344d4714")</f>
        <v>0</v>
      </c>
      <c r="D49791" t="s">
        <v>5754</v>
      </c>
      <c r="E49791" t="s">
        <v>10361</v>
      </c>
      <c r="F49791" t="s">
        <v>14825</v>
      </c>
      <c r="G49791" t="s">
        <v>18687</v>
      </c>
      <c r="H49791" t="s">
        <v>39199</v>
      </c>
    </row>
    <row r="49792" spans="1:8">
      <c r="A49792" t="s">
        <v>4706</v>
      </c>
      <c r="B49792">
        <f>HYPERLINK("https://android.googlesource.com/platform/cts/+/606ebea17b54673c50ee7ef88e942c1661ff4743", "606ebea17b54673c50ee7ef88e942c1661ff4743")</f>
        <v>0</v>
      </c>
      <c r="C49792">
        <f>HYPERLINK("https://android.googlesource.com/platform/cts/+/46c031b7d8c22e66765e566558a3d633f81224c0", "46c031b7d8c22e66765e566558a3d633f81224c0")</f>
        <v>0</v>
      </c>
      <c r="D49792" t="s">
        <v>5755</v>
      </c>
      <c r="E49792" t="s">
        <v>10362</v>
      </c>
      <c r="F49792" t="s">
        <v>14203</v>
      </c>
      <c r="G49792" t="s">
        <v>16863</v>
      </c>
      <c r="H49792" t="s">
        <v>39200</v>
      </c>
    </row>
    <row r="49793" spans="1:8">
      <c r="H49793" t="s">
        <v>39201</v>
      </c>
    </row>
    <row r="49794" spans="1:8">
      <c r="A49794" t="s">
        <v>4707</v>
      </c>
      <c r="B49794">
        <f>HYPERLINK("https://android.googlesource.com/platform/cts/+/c3d1d1fede665eaaf736127aef9d6e4295244f31", "c3d1d1fede665eaaf736127aef9d6e4295244f31")</f>
        <v>0</v>
      </c>
      <c r="C49794">
        <f>HYPERLINK("https://android.googlesource.com/platform/cts/+/64ead08b13ecad35b1a074601d67ca9a52875167", "64ead08b13ecad35b1a074601d67ca9a52875167")</f>
        <v>0</v>
      </c>
      <c r="D49794" t="s">
        <v>5740</v>
      </c>
      <c r="E49794" t="s">
        <v>10363</v>
      </c>
      <c r="F49794" t="s">
        <v>14121</v>
      </c>
      <c r="G49794" t="s">
        <v>16426</v>
      </c>
      <c r="H49794" t="s">
        <v>39202</v>
      </c>
    </row>
    <row r="49795" spans="1:8">
      <c r="A49795" t="s">
        <v>4708</v>
      </c>
      <c r="B49795">
        <f>HYPERLINK("https://android.googlesource.com/platform/cts/+/d701e94678a1077ffa44c9119c8536607013e21e", "d701e94678a1077ffa44c9119c8536607013e21e")</f>
        <v>0</v>
      </c>
      <c r="C49795">
        <f>HYPERLINK("https://android.googlesource.com/platform/cts/+/8b6bb30795d9b6bcefc74d218721d84dbe32da7a", "8b6bb30795d9b6bcefc74d218721d84dbe32da7a")</f>
        <v>0</v>
      </c>
      <c r="D49795" t="s">
        <v>5277</v>
      </c>
      <c r="E49795" t="s">
        <v>10364</v>
      </c>
      <c r="F49795" t="s">
        <v>14300</v>
      </c>
      <c r="G49795" t="s">
        <v>18259</v>
      </c>
      <c r="H49795" t="s">
        <v>39084</v>
      </c>
    </row>
    <row r="49796" spans="1:8">
      <c r="H49796" t="s">
        <v>39085</v>
      </c>
    </row>
    <row r="49797" spans="1:8">
      <c r="H49797" t="s">
        <v>39086</v>
      </c>
    </row>
    <row r="49798" spans="1:8">
      <c r="A49798" t="s">
        <v>4709</v>
      </c>
      <c r="B49798">
        <f>HYPERLINK("https://android.googlesource.com/platform/cts/+/adf1cabbb66bbb034ba81cae648b3939b23a328e", "adf1cabbb66bbb034ba81cae648b3939b23a328e")</f>
        <v>0</v>
      </c>
      <c r="C49798">
        <f>HYPERLINK("https://android.googlesource.com/platform/cts/+/b351226f3c3dd8a592eb4b9fadd7e3712611a65a", "b351226f3c3dd8a592eb4b9fadd7e3712611a65a")</f>
        <v>0</v>
      </c>
      <c r="D49798" t="s">
        <v>5419</v>
      </c>
      <c r="E49798" t="s">
        <v>10365</v>
      </c>
      <c r="F49798" t="s">
        <v>14860</v>
      </c>
      <c r="G49798" t="s">
        <v>18714</v>
      </c>
      <c r="H49798" t="s">
        <v>32554</v>
      </c>
    </row>
    <row r="49799" spans="1:8">
      <c r="F49799" t="s">
        <v>14861</v>
      </c>
      <c r="G49799" t="s">
        <v>18715</v>
      </c>
      <c r="H49799" t="s">
        <v>39203</v>
      </c>
    </row>
    <row r="49800" spans="1:8">
      <c r="H49800" t="s">
        <v>39204</v>
      </c>
    </row>
    <row r="49801" spans="1:8">
      <c r="A49801" t="s">
        <v>4710</v>
      </c>
      <c r="B49801">
        <f>HYPERLINK("https://android.googlesource.com/platform/cts/+/69953912ae107a510145f3668228ca88975b86d6", "69953912ae107a510145f3668228ca88975b86d6")</f>
        <v>0</v>
      </c>
      <c r="C49801">
        <f>HYPERLINK("https://android.googlesource.com/platform/cts/+/eb4a719122fcc05073102084212e8a151f8b7708", "eb4a719122fcc05073102084212e8a151f8b7708")</f>
        <v>0</v>
      </c>
      <c r="D49801" t="s">
        <v>5564</v>
      </c>
      <c r="E49801" t="s">
        <v>10366</v>
      </c>
      <c r="F49801" t="s">
        <v>14773</v>
      </c>
      <c r="G49801" t="s">
        <v>16648</v>
      </c>
      <c r="H49801" t="s">
        <v>39205</v>
      </c>
    </row>
    <row r="49802" spans="1:8">
      <c r="H49802" t="s">
        <v>39206</v>
      </c>
    </row>
    <row r="49803" spans="1:8">
      <c r="H49803" t="s">
        <v>39207</v>
      </c>
    </row>
    <row r="49804" spans="1:8">
      <c r="H49804" t="s">
        <v>39208</v>
      </c>
    </row>
    <row r="49805" spans="1:8">
      <c r="H49805" t="s">
        <v>39209</v>
      </c>
    </row>
    <row r="49806" spans="1:8">
      <c r="H49806" t="s">
        <v>39210</v>
      </c>
    </row>
    <row r="49807" spans="1:8">
      <c r="H49807" t="s">
        <v>39211</v>
      </c>
    </row>
    <row r="49808" spans="1:8">
      <c r="H49808" t="s">
        <v>39212</v>
      </c>
    </row>
    <row r="49809" spans="8:8">
      <c r="H49809" t="s">
        <v>39213</v>
      </c>
    </row>
    <row r="49810" spans="8:8">
      <c r="H49810" t="s">
        <v>39214</v>
      </c>
    </row>
    <row r="49811" spans="8:8">
      <c r="H49811" t="s">
        <v>39215</v>
      </c>
    </row>
    <row r="49812" spans="8:8">
      <c r="H49812" t="s">
        <v>39216</v>
      </c>
    </row>
    <row r="49813" spans="8:8">
      <c r="H49813" t="s">
        <v>39217</v>
      </c>
    </row>
    <row r="49814" spans="8:8">
      <c r="H49814" t="s">
        <v>39218</v>
      </c>
    </row>
    <row r="49815" spans="8:8">
      <c r="H49815" t="s">
        <v>39219</v>
      </c>
    </row>
    <row r="49816" spans="8:8">
      <c r="H49816" t="s">
        <v>39220</v>
      </c>
    </row>
    <row r="49817" spans="8:8">
      <c r="H49817" t="s">
        <v>39221</v>
      </c>
    </row>
    <row r="49818" spans="8:8">
      <c r="H49818" t="s">
        <v>39222</v>
      </c>
    </row>
    <row r="49819" spans="8:8">
      <c r="H49819" t="s">
        <v>39223</v>
      </c>
    </row>
    <row r="49820" spans="8:8">
      <c r="H49820" t="s">
        <v>39224</v>
      </c>
    </row>
    <row r="49821" spans="8:8">
      <c r="H49821" t="s">
        <v>39225</v>
      </c>
    </row>
    <row r="49822" spans="8:8">
      <c r="H49822" t="s">
        <v>39226</v>
      </c>
    </row>
    <row r="49823" spans="8:8">
      <c r="H49823" t="s">
        <v>39227</v>
      </c>
    </row>
    <row r="49824" spans="8:8">
      <c r="H49824" t="s">
        <v>39228</v>
      </c>
    </row>
    <row r="49825" spans="8:8">
      <c r="H49825" t="s">
        <v>39229</v>
      </c>
    </row>
    <row r="49826" spans="8:8">
      <c r="H49826" t="s">
        <v>39230</v>
      </c>
    </row>
    <row r="49827" spans="8:8">
      <c r="H49827" t="s">
        <v>39231</v>
      </c>
    </row>
    <row r="49828" spans="8:8">
      <c r="H49828" t="s">
        <v>39232</v>
      </c>
    </row>
    <row r="49829" spans="8:8">
      <c r="H49829" t="s">
        <v>39233</v>
      </c>
    </row>
    <row r="49830" spans="8:8">
      <c r="H49830" t="s">
        <v>39234</v>
      </c>
    </row>
    <row r="49831" spans="8:8">
      <c r="H49831" t="s">
        <v>39235</v>
      </c>
    </row>
    <row r="49832" spans="8:8">
      <c r="H49832" t="s">
        <v>39236</v>
      </c>
    </row>
    <row r="49833" spans="8:8">
      <c r="H49833" t="s">
        <v>39237</v>
      </c>
    </row>
    <row r="49834" spans="8:8">
      <c r="H49834" t="s">
        <v>39238</v>
      </c>
    </row>
    <row r="49835" spans="8:8">
      <c r="H49835" t="s">
        <v>39239</v>
      </c>
    </row>
    <row r="49836" spans="8:8">
      <c r="H49836" t="s">
        <v>39240</v>
      </c>
    </row>
    <row r="49837" spans="8:8">
      <c r="H49837" t="s">
        <v>39241</v>
      </c>
    </row>
    <row r="49838" spans="8:8">
      <c r="H49838" t="s">
        <v>39242</v>
      </c>
    </row>
    <row r="49839" spans="8:8">
      <c r="H49839" t="s">
        <v>39243</v>
      </c>
    </row>
    <row r="49840" spans="8:8">
      <c r="H49840" t="s">
        <v>39244</v>
      </c>
    </row>
    <row r="49841" spans="8:8">
      <c r="H49841" t="s">
        <v>39245</v>
      </c>
    </row>
    <row r="49842" spans="8:8">
      <c r="H49842" t="s">
        <v>39246</v>
      </c>
    </row>
    <row r="49843" spans="8:8">
      <c r="H49843" t="s">
        <v>39247</v>
      </c>
    </row>
    <row r="49844" spans="8:8">
      <c r="H49844" t="s">
        <v>39248</v>
      </c>
    </row>
    <row r="49845" spans="8:8">
      <c r="H49845" t="s">
        <v>39249</v>
      </c>
    </row>
    <row r="49846" spans="8:8">
      <c r="H49846" t="s">
        <v>39250</v>
      </c>
    </row>
    <row r="49847" spans="8:8">
      <c r="H49847" t="s">
        <v>39251</v>
      </c>
    </row>
    <row r="49848" spans="8:8">
      <c r="H49848" t="s">
        <v>39252</v>
      </c>
    </row>
    <row r="49849" spans="8:8">
      <c r="H49849" t="s">
        <v>39253</v>
      </c>
    </row>
    <row r="49850" spans="8:8">
      <c r="H49850" t="s">
        <v>39254</v>
      </c>
    </row>
    <row r="49851" spans="8:8">
      <c r="H49851" t="s">
        <v>39255</v>
      </c>
    </row>
    <row r="49852" spans="8:8">
      <c r="H49852" t="s">
        <v>39256</v>
      </c>
    </row>
    <row r="49853" spans="8:8">
      <c r="H49853" t="s">
        <v>39257</v>
      </c>
    </row>
    <row r="49854" spans="8:8">
      <c r="H49854" t="s">
        <v>39258</v>
      </c>
    </row>
    <row r="49855" spans="8:8">
      <c r="H49855" t="s">
        <v>39259</v>
      </c>
    </row>
    <row r="49856" spans="8:8">
      <c r="H49856" t="s">
        <v>39260</v>
      </c>
    </row>
    <row r="49857" spans="1:8">
      <c r="H49857" t="s">
        <v>39261</v>
      </c>
    </row>
    <row r="49858" spans="1:8">
      <c r="H49858" t="s">
        <v>39262</v>
      </c>
    </row>
    <row r="49859" spans="1:8">
      <c r="A49859" t="s">
        <v>4711</v>
      </c>
      <c r="B49859">
        <f>HYPERLINK("https://android.googlesource.com/platform/cts/+/fab06b5658edd4b4a4a1f571fc5267954ceba853", "fab06b5658edd4b4a4a1f571fc5267954ceba853")</f>
        <v>0</v>
      </c>
      <c r="C49859">
        <f>HYPERLINK("https://android.googlesource.com/platform/cts/+/5340edfe0915e02d2542795fba35b03b9dac372a", "5340edfe0915e02d2542795fba35b03b9dac372a")</f>
        <v>0</v>
      </c>
      <c r="D49859" t="s">
        <v>5219</v>
      </c>
      <c r="E49859" t="s">
        <v>10367</v>
      </c>
      <c r="F49859" t="s">
        <v>14512</v>
      </c>
      <c r="G49859" t="s">
        <v>18414</v>
      </c>
      <c r="H49859" t="s">
        <v>36147</v>
      </c>
    </row>
    <row r="49860" spans="1:8">
      <c r="H49860" t="s">
        <v>39263</v>
      </c>
    </row>
    <row r="49861" spans="1:8">
      <c r="H49861" t="s">
        <v>39264</v>
      </c>
    </row>
    <row r="49862" spans="1:8">
      <c r="A49862" t="s">
        <v>4712</v>
      </c>
      <c r="B49862">
        <f>HYPERLINK("https://android.googlesource.com/platform/cts/+/16e10b778bc7d7051286d40d322bd2f24aa4c79f", "16e10b778bc7d7051286d40d322bd2f24aa4c79f")</f>
        <v>0</v>
      </c>
      <c r="C49862">
        <f>HYPERLINK("https://android.googlesource.com/platform/cts/+/d7d1dccb99eac55f4650a144fe7567a893036fd2", "d7d1dccb99eac55f4650a144fe7567a893036fd2")</f>
        <v>0</v>
      </c>
      <c r="D49862" t="s">
        <v>5609</v>
      </c>
      <c r="E49862" t="s">
        <v>10368</v>
      </c>
      <c r="F49862" t="s">
        <v>14862</v>
      </c>
      <c r="G49862" t="s">
        <v>18363</v>
      </c>
      <c r="H49862" t="s">
        <v>39265</v>
      </c>
    </row>
    <row r="49863" spans="1:8">
      <c r="F49863" t="s">
        <v>14863</v>
      </c>
      <c r="G49863" t="s">
        <v>18716</v>
      </c>
      <c r="H49863" t="s">
        <v>39265</v>
      </c>
    </row>
    <row r="49864" spans="1:8">
      <c r="A49864" t="s">
        <v>4713</v>
      </c>
      <c r="B49864">
        <f>HYPERLINK("https://android.googlesource.com/platform/cts/+/9d4ace5126efa6b30f0d7bb18c7f71eeb46b8ad8", "9d4ace5126efa6b30f0d7bb18c7f71eeb46b8ad8")</f>
        <v>0</v>
      </c>
      <c r="C49864">
        <f>HYPERLINK("https://android.googlesource.com/platform/cts/+/3419be71126100322c5198b5f4f37b3776ec5031", "3419be71126100322c5198b5f4f37b3776ec5031")</f>
        <v>0</v>
      </c>
      <c r="D49864" t="s">
        <v>5419</v>
      </c>
      <c r="E49864" t="s">
        <v>10369</v>
      </c>
      <c r="F49864" t="s">
        <v>14860</v>
      </c>
      <c r="G49864" t="s">
        <v>18714</v>
      </c>
      <c r="H49864" t="s">
        <v>32554</v>
      </c>
    </row>
    <row r="49865" spans="1:8">
      <c r="F49865" t="s">
        <v>14861</v>
      </c>
      <c r="G49865" t="s">
        <v>18715</v>
      </c>
      <c r="H49865" t="s">
        <v>39203</v>
      </c>
    </row>
    <row r="49866" spans="1:8">
      <c r="H49866" t="s">
        <v>39204</v>
      </c>
    </row>
    <row r="49867" spans="1:8">
      <c r="A49867" t="s">
        <v>4714</v>
      </c>
      <c r="B49867">
        <f>HYPERLINK("https://android.googlesource.com/platform/cts/+/065fc21c378291a3fd4e5576db0a125bb833dfa4", "065fc21c378291a3fd4e5576db0a125bb833dfa4")</f>
        <v>0</v>
      </c>
      <c r="C49867">
        <f>HYPERLINK("https://android.googlesource.com/platform/cts/+/e76d856a110960b2f7e2952ff97aadfd1342c5fb", "e76d856a110960b2f7e2952ff97aadfd1342c5fb")</f>
        <v>0</v>
      </c>
      <c r="D49867" t="s">
        <v>5463</v>
      </c>
      <c r="E49867" t="s">
        <v>10370</v>
      </c>
      <c r="F49867" t="s">
        <v>14633</v>
      </c>
      <c r="G49867" t="s">
        <v>18543</v>
      </c>
      <c r="H49867" t="s">
        <v>39266</v>
      </c>
    </row>
    <row r="49868" spans="1:8">
      <c r="H49868" t="s">
        <v>39267</v>
      </c>
    </row>
    <row r="49869" spans="1:8">
      <c r="H49869" t="s">
        <v>39268</v>
      </c>
    </row>
    <row r="49870" spans="1:8">
      <c r="H49870" t="s">
        <v>39269</v>
      </c>
    </row>
    <row r="49871" spans="1:8">
      <c r="H49871" t="s">
        <v>39270</v>
      </c>
    </row>
    <row r="49872" spans="1:8">
      <c r="A49872" t="s">
        <v>4715</v>
      </c>
      <c r="B49872">
        <f>HYPERLINK("https://android.googlesource.com/platform/cts/+/2e763a69f91f24e1d694d22b47e19be591a7a313", "2e763a69f91f24e1d694d22b47e19be591a7a313")</f>
        <v>0</v>
      </c>
      <c r="C49872">
        <f>HYPERLINK("https://android.googlesource.com/platform/cts/+/ed80e62fa5f9d3f4074235f6f7f0a78107f026d8", "ed80e62fa5f9d3f4074235f6f7f0a78107f026d8")</f>
        <v>0</v>
      </c>
      <c r="D49872" t="s">
        <v>5040</v>
      </c>
      <c r="E49872" t="s">
        <v>10371</v>
      </c>
      <c r="F49872" t="s">
        <v>14864</v>
      </c>
      <c r="G49872" t="s">
        <v>18717</v>
      </c>
      <c r="H49872" t="s">
        <v>18829</v>
      </c>
    </row>
    <row r="49873" spans="1:8">
      <c r="H49873" t="s">
        <v>18863</v>
      </c>
    </row>
    <row r="49874" spans="1:8">
      <c r="H49874" t="s">
        <v>39271</v>
      </c>
    </row>
    <row r="49875" spans="1:8">
      <c r="A49875" t="s">
        <v>4716</v>
      </c>
      <c r="B49875">
        <f>HYPERLINK("https://android.googlesource.com/platform/cts/+/6de3c1cfdb62119e61f0c7d56b32b2fad338eb84", "6de3c1cfdb62119e61f0c7d56b32b2fad338eb84")</f>
        <v>0</v>
      </c>
      <c r="C49875">
        <f>HYPERLINK("https://android.googlesource.com/platform/cts/+/13625dd2dcdcf7f6c6e9fa5041e920f288ecb94b", "13625dd2dcdcf7f6c6e9fa5041e920f288ecb94b")</f>
        <v>0</v>
      </c>
      <c r="D49875" t="s">
        <v>5751</v>
      </c>
      <c r="E49875" t="s">
        <v>10372</v>
      </c>
      <c r="F49875" t="s">
        <v>14856</v>
      </c>
      <c r="G49875" t="s">
        <v>18710</v>
      </c>
      <c r="H49875" t="s">
        <v>39272</v>
      </c>
    </row>
    <row r="49876" spans="1:8">
      <c r="H49876" t="s">
        <v>39273</v>
      </c>
    </row>
    <row r="49877" spans="1:8">
      <c r="H49877" t="s">
        <v>39274</v>
      </c>
    </row>
    <row r="49878" spans="1:8">
      <c r="H49878" t="s">
        <v>39275</v>
      </c>
    </row>
    <row r="49879" spans="1:8">
      <c r="H49879" t="s">
        <v>39276</v>
      </c>
    </row>
    <row r="49880" spans="1:8">
      <c r="H49880" t="s">
        <v>39277</v>
      </c>
    </row>
    <row r="49881" spans="1:8">
      <c r="H49881" t="s">
        <v>39278</v>
      </c>
    </row>
    <row r="49882" spans="1:8">
      <c r="H49882" t="s">
        <v>39279</v>
      </c>
    </row>
    <row r="49883" spans="1:8">
      <c r="H49883" t="s">
        <v>39280</v>
      </c>
    </row>
    <row r="49884" spans="1:8">
      <c r="H49884" t="s">
        <v>39281</v>
      </c>
    </row>
    <row r="49885" spans="1:8">
      <c r="H49885" t="s">
        <v>39282</v>
      </c>
    </row>
    <row r="49886" spans="1:8">
      <c r="H49886" t="s">
        <v>39283</v>
      </c>
    </row>
    <row r="49887" spans="1:8">
      <c r="H49887" t="s">
        <v>33645</v>
      </c>
    </row>
    <row r="49888" spans="1:8">
      <c r="H49888" t="s">
        <v>39284</v>
      </c>
    </row>
    <row r="49889" spans="8:8">
      <c r="H49889" t="s">
        <v>39285</v>
      </c>
    </row>
    <row r="49890" spans="8:8">
      <c r="H49890" t="s">
        <v>39286</v>
      </c>
    </row>
    <row r="49891" spans="8:8">
      <c r="H49891" t="s">
        <v>19981</v>
      </c>
    </row>
    <row r="49892" spans="8:8">
      <c r="H49892" t="s">
        <v>18863</v>
      </c>
    </row>
    <row r="49893" spans="8:8">
      <c r="H49893" t="s">
        <v>39287</v>
      </c>
    </row>
    <row r="49894" spans="8:8">
      <c r="H49894" t="s">
        <v>39288</v>
      </c>
    </row>
    <row r="49895" spans="8:8">
      <c r="H49895" t="s">
        <v>39289</v>
      </c>
    </row>
    <row r="49896" spans="8:8">
      <c r="H49896" t="s">
        <v>39290</v>
      </c>
    </row>
    <row r="49897" spans="8:8">
      <c r="H49897" t="s">
        <v>39291</v>
      </c>
    </row>
    <row r="49898" spans="8:8">
      <c r="H49898" t="s">
        <v>39292</v>
      </c>
    </row>
    <row r="49899" spans="8:8">
      <c r="H49899" t="s">
        <v>39293</v>
      </c>
    </row>
    <row r="49900" spans="8:8">
      <c r="H49900" t="s">
        <v>39294</v>
      </c>
    </row>
    <row r="49901" spans="8:8">
      <c r="H49901" t="s">
        <v>39295</v>
      </c>
    </row>
    <row r="49902" spans="8:8">
      <c r="H49902" t="s">
        <v>39296</v>
      </c>
    </row>
    <row r="49903" spans="8:8">
      <c r="H49903" t="s">
        <v>39297</v>
      </c>
    </row>
    <row r="49904" spans="8:8">
      <c r="H49904" t="s">
        <v>31962</v>
      </c>
    </row>
    <row r="49905" spans="1:8">
      <c r="H49905" t="s">
        <v>39298</v>
      </c>
    </row>
    <row r="49906" spans="1:8">
      <c r="H49906" t="s">
        <v>39299</v>
      </c>
    </row>
    <row r="49907" spans="1:8">
      <c r="A49907" t="s">
        <v>4717</v>
      </c>
      <c r="B49907">
        <f>HYPERLINK("https://android.googlesource.com/platform/cts/+/5d371b0d6c23b89516dcd4e2f0cc125dda9bacc1", "5d371b0d6c23b89516dcd4e2f0cc125dda9bacc1")</f>
        <v>0</v>
      </c>
      <c r="C49907">
        <f>HYPERLINK("https://android.googlesource.com/platform/cts/+/ac98faf604503a6a45228181ba2dc35b7123a1b5", "ac98faf604503a6a45228181ba2dc35b7123a1b5")</f>
        <v>0</v>
      </c>
      <c r="D49907" t="s">
        <v>5477</v>
      </c>
      <c r="E49907" t="s">
        <v>10373</v>
      </c>
      <c r="F49907" t="s">
        <v>14865</v>
      </c>
      <c r="G49907" t="s">
        <v>18718</v>
      </c>
      <c r="H49907" t="s">
        <v>39016</v>
      </c>
    </row>
    <row r="49908" spans="1:8">
      <c r="H49908" t="s">
        <v>39300</v>
      </c>
    </row>
    <row r="49909" spans="1:8">
      <c r="H49909" t="s">
        <v>39301</v>
      </c>
    </row>
    <row r="49910" spans="1:8">
      <c r="A49910" t="s">
        <v>4718</v>
      </c>
      <c r="B49910">
        <f>HYPERLINK("https://android.googlesource.com/platform/cts/+/6374c27aabc8dd0ca6eb2b23784e5adc26472ed9", "6374c27aabc8dd0ca6eb2b23784e5adc26472ed9")</f>
        <v>0</v>
      </c>
      <c r="C49910">
        <f>HYPERLINK("https://android.googlesource.com/platform/cts/+/c7f5a4d6eb95d6487771ed8230bca5ff62a0d3f3", "c7f5a4d6eb95d6487771ed8230bca5ff62a0d3f3")</f>
        <v>0</v>
      </c>
      <c r="D49910" t="s">
        <v>5440</v>
      </c>
      <c r="E49910" t="s">
        <v>10374</v>
      </c>
      <c r="F49910" t="s">
        <v>12734</v>
      </c>
      <c r="G49910" t="s">
        <v>16927</v>
      </c>
      <c r="H49910" t="s">
        <v>39302</v>
      </c>
    </row>
    <row r="49911" spans="1:8">
      <c r="A49911" t="s">
        <v>4719</v>
      </c>
      <c r="B49911">
        <f>HYPERLINK("https://android.googlesource.com/platform/cts/+/234029c5175acfb2b2ab045caee78a5544771137", "234029c5175acfb2b2ab045caee78a5544771137")</f>
        <v>0</v>
      </c>
      <c r="C49911">
        <f>HYPERLINK("https://android.googlesource.com/platform/cts/+/ef65d3f977cb301d11b01fd83de6516e4a7d8e54", "ef65d3f977cb301d11b01fd83de6516e4a7d8e54")</f>
        <v>0</v>
      </c>
      <c r="D49911" t="s">
        <v>5756</v>
      </c>
      <c r="E49911" t="s">
        <v>10375</v>
      </c>
      <c r="F49911" t="s">
        <v>10784</v>
      </c>
      <c r="G49911" t="s">
        <v>15180</v>
      </c>
      <c r="H49911" t="s">
        <v>39303</v>
      </c>
    </row>
    <row r="49912" spans="1:8">
      <c r="F49912" t="s">
        <v>14866</v>
      </c>
      <c r="G49912" t="s">
        <v>18719</v>
      </c>
      <c r="H49912" t="s">
        <v>39304</v>
      </c>
    </row>
    <row r="49913" spans="1:8">
      <c r="A49913" t="s">
        <v>4720</v>
      </c>
      <c r="B49913">
        <f>HYPERLINK("https://android.googlesource.com/platform/cts/+/e9faaf6094445df7b5d1da37619daead34831acd", "e9faaf6094445df7b5d1da37619daead34831acd")</f>
        <v>0</v>
      </c>
      <c r="C49913">
        <f>HYPERLINK("https://android.googlesource.com/platform/cts/+/3375e00adf501e6895ea6c617f2f7e68b43ffce8", "3375e00adf501e6895ea6c617f2f7e68b43ffce8")</f>
        <v>0</v>
      </c>
      <c r="D49913" t="s">
        <v>5723</v>
      </c>
      <c r="E49913" t="s">
        <v>10376</v>
      </c>
      <c r="F49913" t="s">
        <v>14563</v>
      </c>
      <c r="G49913" t="s">
        <v>18409</v>
      </c>
      <c r="H49913" t="s">
        <v>39305</v>
      </c>
    </row>
    <row r="49914" spans="1:8">
      <c r="A49914" t="s">
        <v>4721</v>
      </c>
      <c r="B49914">
        <f>HYPERLINK("https://android.googlesource.com/platform/cts/+/dbfd40ee807d00f7cfb8e7b3b0ad25c7e896c46d", "dbfd40ee807d00f7cfb8e7b3b0ad25c7e896c46d")</f>
        <v>0</v>
      </c>
      <c r="C49914">
        <f>HYPERLINK("https://android.googlesource.com/platform/cts/+/2f370eebf8ff6558c1587da304abf0e182f5f24e", "2f370eebf8ff6558c1587da304abf0e182f5f24e")</f>
        <v>0</v>
      </c>
      <c r="D49914" t="s">
        <v>5021</v>
      </c>
      <c r="E49914" t="s">
        <v>10377</v>
      </c>
      <c r="F49914" t="s">
        <v>14867</v>
      </c>
      <c r="G49914" t="s">
        <v>18456</v>
      </c>
      <c r="H49914" t="s">
        <v>21486</v>
      </c>
    </row>
    <row r="49915" spans="1:8">
      <c r="H49915" t="s">
        <v>21486</v>
      </c>
    </row>
    <row r="49916" spans="1:8">
      <c r="H49916" t="s">
        <v>25704</v>
      </c>
    </row>
    <row r="49917" spans="1:8">
      <c r="H49917" t="s">
        <v>29436</v>
      </c>
    </row>
    <row r="49918" spans="1:8">
      <c r="A49918" t="s">
        <v>4722</v>
      </c>
      <c r="B49918">
        <f>HYPERLINK("https://android.googlesource.com/platform/cts/+/d8c6e9914b3b7cdcfbbf9ec61c1c563dbb3c510c", "d8c6e9914b3b7cdcfbbf9ec61c1c563dbb3c510c")</f>
        <v>0</v>
      </c>
      <c r="C49918">
        <f>HYPERLINK("https://android.googlesource.com/platform/cts/+/1da5e15662eef5d8525972b6366b02cdb0633909", "1da5e15662eef5d8525972b6366b02cdb0633909")</f>
        <v>0</v>
      </c>
      <c r="D49918" t="s">
        <v>5757</v>
      </c>
      <c r="E49918" t="s">
        <v>10378</v>
      </c>
      <c r="F49918" t="s">
        <v>14868</v>
      </c>
      <c r="G49918" t="s">
        <v>18720</v>
      </c>
      <c r="H49918" t="s">
        <v>28618</v>
      </c>
    </row>
    <row r="49919" spans="1:8">
      <c r="A49919" t="s">
        <v>4723</v>
      </c>
      <c r="B49919">
        <f>HYPERLINK("https://android.googlesource.com/platform/cts/+/d99fb5fd95ed6b8ecb9af52eae6d06d4a1475df9", "d99fb5fd95ed6b8ecb9af52eae6d06d4a1475df9")</f>
        <v>0</v>
      </c>
      <c r="C49919">
        <f>HYPERLINK("https://android.googlesource.com/platform/cts/+/0400f1b841f61d16c6b0dae07253568f893e4440", "0400f1b841f61d16c6b0dae07253568f893e4440")</f>
        <v>0</v>
      </c>
      <c r="D49919" t="s">
        <v>5667</v>
      </c>
      <c r="E49919" t="s">
        <v>10379</v>
      </c>
      <c r="F49919" t="s">
        <v>14869</v>
      </c>
      <c r="G49919" t="s">
        <v>18464</v>
      </c>
      <c r="H49919" t="s">
        <v>39306</v>
      </c>
    </row>
    <row r="49920" spans="1:8">
      <c r="A49920" t="s">
        <v>4724</v>
      </c>
      <c r="B49920">
        <f>HYPERLINK("https://android.googlesource.com/platform/cts/+/a5181e97db1452b0b4d4ef39020f5b382496d82b", "a5181e97db1452b0b4d4ef39020f5b382496d82b")</f>
        <v>0</v>
      </c>
      <c r="C49920">
        <f>HYPERLINK("https://android.googlesource.com/platform/cts/+/05bc0db6faa3c3dbb7b923b2de410ab859aec51f", "05bc0db6faa3c3dbb7b923b2de410ab859aec51f")</f>
        <v>0</v>
      </c>
      <c r="D49920" t="s">
        <v>5755</v>
      </c>
      <c r="E49920" t="s">
        <v>10380</v>
      </c>
      <c r="F49920" t="s">
        <v>14203</v>
      </c>
      <c r="G49920" t="s">
        <v>16863</v>
      </c>
      <c r="H49920" t="s">
        <v>39200</v>
      </c>
    </row>
    <row r="49921" spans="1:8">
      <c r="H49921" t="s">
        <v>39201</v>
      </c>
    </row>
    <row r="49922" spans="1:8">
      <c r="A49922" t="s">
        <v>4725</v>
      </c>
      <c r="B49922">
        <f>HYPERLINK("https://android.googlesource.com/platform/cts/+/981a84a72d7253aa71d4be0e7e544a04da3ee4a0", "981a84a72d7253aa71d4be0e7e544a04da3ee4a0")</f>
        <v>0</v>
      </c>
      <c r="C49922">
        <f>HYPERLINK("https://android.googlesource.com/platform/cts/+/fab06b5658edd4b4a4a1f571fc5267954ceba853", "fab06b5658edd4b4a4a1f571fc5267954ceba853")</f>
        <v>0</v>
      </c>
      <c r="D49922" t="s">
        <v>5219</v>
      </c>
      <c r="E49922" t="s">
        <v>10381</v>
      </c>
      <c r="F49922" t="s">
        <v>14870</v>
      </c>
      <c r="G49922" t="s">
        <v>18721</v>
      </c>
      <c r="H49922" t="s">
        <v>19019</v>
      </c>
    </row>
    <row r="49923" spans="1:8">
      <c r="F49923" t="s">
        <v>13478</v>
      </c>
      <c r="G49923" t="s">
        <v>17596</v>
      </c>
      <c r="H49923" t="s">
        <v>30861</v>
      </c>
    </row>
    <row r="49924" spans="1:8">
      <c r="F49924" t="s">
        <v>14512</v>
      </c>
      <c r="G49924" t="s">
        <v>18414</v>
      </c>
      <c r="H49924" t="s">
        <v>39307</v>
      </c>
    </row>
    <row r="49925" spans="1:8">
      <c r="H49925" t="s">
        <v>36140</v>
      </c>
    </row>
    <row r="49926" spans="1:8">
      <c r="H49926" t="s">
        <v>36137</v>
      </c>
    </row>
    <row r="49927" spans="1:8">
      <c r="H49927" t="s">
        <v>39308</v>
      </c>
    </row>
    <row r="49928" spans="1:8">
      <c r="H49928" t="s">
        <v>39309</v>
      </c>
    </row>
    <row r="49929" spans="1:8">
      <c r="H49929" t="s">
        <v>36150</v>
      </c>
    </row>
    <row r="49930" spans="1:8">
      <c r="H49930" t="s">
        <v>36152</v>
      </c>
    </row>
    <row r="49931" spans="1:8">
      <c r="H49931" t="s">
        <v>36155</v>
      </c>
    </row>
    <row r="49932" spans="1:8">
      <c r="A49932" t="s">
        <v>4726</v>
      </c>
      <c r="B49932">
        <f>HYPERLINK("https://android.googlesource.com/platform/cts/+/831f555de5e2abba453781d542de94312741a8d0", "831f555de5e2abba453781d542de94312741a8d0")</f>
        <v>0</v>
      </c>
      <c r="C49932">
        <f>HYPERLINK("https://android.googlesource.com/platform/cts/+/4d1415ff842fb41dae24a548f3650d920ffb176c", "4d1415ff842fb41dae24a548f3650d920ffb176c")</f>
        <v>0</v>
      </c>
      <c r="D49932" t="s">
        <v>5541</v>
      </c>
      <c r="E49932" t="s">
        <v>10382</v>
      </c>
      <c r="F49932" t="s">
        <v>11481</v>
      </c>
      <c r="G49932" t="s">
        <v>15722</v>
      </c>
      <c r="H49932" t="s">
        <v>19905</v>
      </c>
    </row>
    <row r="49933" spans="1:8">
      <c r="H49933" t="s">
        <v>39310</v>
      </c>
    </row>
    <row r="49934" spans="1:8">
      <c r="H49934" t="s">
        <v>25704</v>
      </c>
    </row>
    <row r="49935" spans="1:8">
      <c r="A49935" t="s">
        <v>4727</v>
      </c>
      <c r="B49935">
        <f>HYPERLINK("https://android.googlesource.com/platform/cts/+/b67456050cb55793f026ae5b5de42631b21b9f5d", "b67456050cb55793f026ae5b5de42631b21b9f5d")</f>
        <v>0</v>
      </c>
      <c r="C49935">
        <f>HYPERLINK("https://android.googlesource.com/platform/cts/+/ea0f4db4a70a6a21d13c00ce9f9c272311ec1b4d", "ea0f4db4a70a6a21d13c00ce9f9c272311ec1b4d")</f>
        <v>0</v>
      </c>
      <c r="D49935" t="s">
        <v>5265</v>
      </c>
      <c r="E49935" t="s">
        <v>10383</v>
      </c>
      <c r="F49935" t="s">
        <v>14871</v>
      </c>
      <c r="G49935" t="s">
        <v>18722</v>
      </c>
      <c r="H49935" t="s">
        <v>39311</v>
      </c>
    </row>
    <row r="49936" spans="1:8">
      <c r="H49936" t="s">
        <v>18829</v>
      </c>
    </row>
    <row r="49937" spans="1:8">
      <c r="H49937" t="s">
        <v>39312</v>
      </c>
    </row>
    <row r="49938" spans="1:8">
      <c r="H49938" t="s">
        <v>39313</v>
      </c>
    </row>
    <row r="49939" spans="1:8">
      <c r="A49939" t="s">
        <v>4728</v>
      </c>
      <c r="B49939">
        <f>HYPERLINK("https://android.googlesource.com/platform/cts/+/21bf885b11a965a77d785ece5ad89e7df65a4b6a", "21bf885b11a965a77d785ece5ad89e7df65a4b6a")</f>
        <v>0</v>
      </c>
      <c r="C49939">
        <f>HYPERLINK("https://android.googlesource.com/platform/cts/+/1ca6025678840c23093a69b475b50dd4ed2fca15", "1ca6025678840c23093a69b475b50dd4ed2fca15")</f>
        <v>0</v>
      </c>
      <c r="D49939" t="s">
        <v>5727</v>
      </c>
      <c r="E49939" t="s">
        <v>10384</v>
      </c>
      <c r="F49939" t="s">
        <v>14872</v>
      </c>
      <c r="G49939" t="s">
        <v>18723</v>
      </c>
      <c r="H49939" t="s">
        <v>19981</v>
      </c>
    </row>
    <row r="49940" spans="1:8">
      <c r="H49940" t="s">
        <v>28618</v>
      </c>
    </row>
    <row r="49941" spans="1:8">
      <c r="A49941" t="s">
        <v>4729</v>
      </c>
      <c r="B49941">
        <f>HYPERLINK("https://android.googlesource.com/platform/cts/+/f1f81112c4b9c79c44019d77a4095bd785feaadd", "f1f81112c4b9c79c44019d77a4095bd785feaadd")</f>
        <v>0</v>
      </c>
      <c r="C49941">
        <f>HYPERLINK("https://android.googlesource.com/platform/cts/+/f3c8c507b4659968a432adddd44b22d48d93ae8b", "f3c8c507b4659968a432adddd44b22d48d93ae8b")</f>
        <v>0</v>
      </c>
      <c r="D49941" t="s">
        <v>5277</v>
      </c>
      <c r="E49941" t="s">
        <v>10385</v>
      </c>
      <c r="F49941" t="s">
        <v>13165</v>
      </c>
      <c r="G49941" t="s">
        <v>17315</v>
      </c>
      <c r="H49941" t="s">
        <v>39314</v>
      </c>
    </row>
    <row r="49942" spans="1:8">
      <c r="H49942" t="s">
        <v>39315</v>
      </c>
    </row>
    <row r="49943" spans="1:8">
      <c r="A49943" t="s">
        <v>4730</v>
      </c>
      <c r="B49943">
        <f>HYPERLINK("https://android.googlesource.com/platform/cts/+/4b1768f71b1180fd70a2081b4e2c873a63edd75c", "4b1768f71b1180fd70a2081b4e2c873a63edd75c")</f>
        <v>0</v>
      </c>
      <c r="C49943">
        <f>HYPERLINK("https://android.googlesource.com/platform/cts/+/01d30534ffe347c5069fc36096b257e800fb8d0b", "01d30534ffe347c5069fc36096b257e800fb8d0b")</f>
        <v>0</v>
      </c>
      <c r="D49943" t="s">
        <v>5758</v>
      </c>
      <c r="E49943" t="s">
        <v>10386</v>
      </c>
      <c r="F49943" t="s">
        <v>10784</v>
      </c>
      <c r="G49943" t="s">
        <v>15180</v>
      </c>
      <c r="H49943" t="s">
        <v>37664</v>
      </c>
    </row>
    <row r="49944" spans="1:8">
      <c r="A49944" t="s">
        <v>4731</v>
      </c>
      <c r="B49944">
        <f>HYPERLINK("https://android.googlesource.com/platform/cts/+/e261a36c97cefe31ff6a7b9055a2e1e321b696db", "e261a36c97cefe31ff6a7b9055a2e1e321b696db")</f>
        <v>0</v>
      </c>
      <c r="C49944">
        <f>HYPERLINK("https://android.googlesource.com/platform/cts/+/566b74f2a5a89675044cee37086ecc592a814326", "566b74f2a5a89675044cee37086ecc592a814326")</f>
        <v>0</v>
      </c>
      <c r="D49944" t="s">
        <v>5759</v>
      </c>
      <c r="E49944" t="s">
        <v>10387</v>
      </c>
      <c r="F49944" t="s">
        <v>14446</v>
      </c>
      <c r="G49944" t="s">
        <v>18381</v>
      </c>
      <c r="H49944" t="s">
        <v>39316</v>
      </c>
    </row>
    <row r="49945" spans="1:8">
      <c r="H49945" t="s">
        <v>39317</v>
      </c>
    </row>
    <row r="49946" spans="1:8">
      <c r="H49946" t="s">
        <v>39318</v>
      </c>
    </row>
    <row r="49947" spans="1:8">
      <c r="H49947" t="s">
        <v>39319</v>
      </c>
    </row>
    <row r="49948" spans="1:8">
      <c r="H49948" t="s">
        <v>39320</v>
      </c>
    </row>
    <row r="49949" spans="1:8">
      <c r="H49949" t="s">
        <v>39321</v>
      </c>
    </row>
    <row r="49950" spans="1:8">
      <c r="H49950" t="s">
        <v>39322</v>
      </c>
    </row>
    <row r="49951" spans="1:8">
      <c r="H49951" t="s">
        <v>39323</v>
      </c>
    </row>
    <row r="49952" spans="1:8">
      <c r="H49952" t="s">
        <v>39324</v>
      </c>
    </row>
    <row r="49953" spans="1:8">
      <c r="H49953" t="s">
        <v>39325</v>
      </c>
    </row>
    <row r="49954" spans="1:8">
      <c r="H49954" t="s">
        <v>39326</v>
      </c>
    </row>
    <row r="49955" spans="1:8">
      <c r="H49955" t="s">
        <v>39327</v>
      </c>
    </row>
    <row r="49956" spans="1:8">
      <c r="H49956" t="s">
        <v>39328</v>
      </c>
    </row>
    <row r="49957" spans="1:8">
      <c r="F49957" t="s">
        <v>14414</v>
      </c>
      <c r="G49957" t="s">
        <v>18352</v>
      </c>
      <c r="H49957" t="s">
        <v>39329</v>
      </c>
    </row>
    <row r="49958" spans="1:8">
      <c r="H49958" t="s">
        <v>39330</v>
      </c>
    </row>
    <row r="49959" spans="1:8">
      <c r="A49959" t="s">
        <v>4732</v>
      </c>
      <c r="B49959">
        <f>HYPERLINK("https://android.googlesource.com/platform/cts/+/1a285c32d1c7c3ced10eb59811517a963cf3d93e", "1a285c32d1c7c3ced10eb59811517a963cf3d93e")</f>
        <v>0</v>
      </c>
      <c r="C49959">
        <f>HYPERLINK("https://android.googlesource.com/platform/cts/+/0c6c2fd2333dc5b4d21e7b6f6d5518f4c1da9672", "0c6c2fd2333dc5b4d21e7b6f6d5518f4c1da9672")</f>
        <v>0</v>
      </c>
      <c r="D49959" t="s">
        <v>5021</v>
      </c>
      <c r="E49959" t="s">
        <v>10388</v>
      </c>
      <c r="F49959" t="s">
        <v>13806</v>
      </c>
      <c r="G49959" t="s">
        <v>17843</v>
      </c>
      <c r="H49959" t="s">
        <v>39331</v>
      </c>
    </row>
    <row r="49960" spans="1:8">
      <c r="A49960" t="s">
        <v>4733</v>
      </c>
      <c r="B49960">
        <f>HYPERLINK("https://android.googlesource.com/platform/cts/+/20bd6fe0d4ca377bc8d01c7ad4bf220642cfa337", "20bd6fe0d4ca377bc8d01c7ad4bf220642cfa337")</f>
        <v>0</v>
      </c>
      <c r="C49960">
        <f>HYPERLINK("https://android.googlesource.com/platform/cts/+/28d734f60a832e286e2cd1883e7dd336be728475", "28d734f60a832e286e2cd1883e7dd336be728475")</f>
        <v>0</v>
      </c>
      <c r="D49960" t="s">
        <v>5021</v>
      </c>
      <c r="E49960" t="s">
        <v>10389</v>
      </c>
      <c r="F49960" t="s">
        <v>13806</v>
      </c>
      <c r="G49960" t="s">
        <v>17843</v>
      </c>
      <c r="H49960" t="s">
        <v>39332</v>
      </c>
    </row>
    <row r="49961" spans="1:8">
      <c r="A49961" t="s">
        <v>4734</v>
      </c>
      <c r="B49961">
        <f>HYPERLINK("https://android.googlesource.com/platform/cts/+/ec57a60319c773cd46e43bccafa410ce01855222", "ec57a60319c773cd46e43bccafa410ce01855222")</f>
        <v>0</v>
      </c>
      <c r="C49961">
        <f>HYPERLINK("https://android.googlesource.com/platform/cts/+/20bd6fe0d4ca377bc8d01c7ad4bf220642cfa337", "20bd6fe0d4ca377bc8d01c7ad4bf220642cfa337")</f>
        <v>0</v>
      </c>
      <c r="D49961" t="s">
        <v>5021</v>
      </c>
      <c r="E49961" t="s">
        <v>10390</v>
      </c>
      <c r="F49961" t="s">
        <v>13806</v>
      </c>
      <c r="G49961" t="s">
        <v>17843</v>
      </c>
      <c r="H49961" t="s">
        <v>19536</v>
      </c>
    </row>
    <row r="49962" spans="1:8">
      <c r="H49962" t="s">
        <v>39333</v>
      </c>
    </row>
    <row r="49963" spans="1:8">
      <c r="F49963" t="s">
        <v>14873</v>
      </c>
      <c r="G49963" t="s">
        <v>14989</v>
      </c>
      <c r="H49963" t="s">
        <v>19536</v>
      </c>
    </row>
    <row r="49964" spans="1:8">
      <c r="A49964" t="s">
        <v>4735</v>
      </c>
      <c r="B49964">
        <f>HYPERLINK("https://android.googlesource.com/platform/cts/+/c3f1124f4e7775fce5cc2883ba6d888a30250892", "c3f1124f4e7775fce5cc2883ba6d888a30250892")</f>
        <v>0</v>
      </c>
      <c r="C49964">
        <f>HYPERLINK("https://android.googlesource.com/platform/cts/+/7fefb4cd3449e4e827a0ed89000148751a69829e", "7fefb4cd3449e4e827a0ed89000148751a69829e")</f>
        <v>0</v>
      </c>
      <c r="D49964" t="s">
        <v>5644</v>
      </c>
      <c r="E49964" t="s">
        <v>10391</v>
      </c>
      <c r="F49964" t="s">
        <v>14874</v>
      </c>
      <c r="G49964" t="s">
        <v>18724</v>
      </c>
      <c r="H49964" t="s">
        <v>29073</v>
      </c>
    </row>
    <row r="49965" spans="1:8">
      <c r="A49965" t="s">
        <v>4736</v>
      </c>
      <c r="B49965">
        <f>HYPERLINK("https://android.googlesource.com/platform/cts/+/01521071844ead5ee751f274d2acd561504fde12", "01521071844ead5ee751f274d2acd561504fde12")</f>
        <v>0</v>
      </c>
      <c r="C49965">
        <f>HYPERLINK("https://android.googlesource.com/platform/cts/+/a7d336f96f95ddf667aec094f4b9bc3effacded0", "a7d336f96f95ddf667aec094f4b9bc3effacded0")</f>
        <v>0</v>
      </c>
      <c r="D49965" t="s">
        <v>5760</v>
      </c>
      <c r="E49965" t="s">
        <v>10392</v>
      </c>
      <c r="F49965" t="s">
        <v>14875</v>
      </c>
      <c r="G49965" t="s">
        <v>18725</v>
      </c>
      <c r="H49965" t="s">
        <v>39334</v>
      </c>
    </row>
    <row r="49966" spans="1:8">
      <c r="H49966" t="s">
        <v>39334</v>
      </c>
    </row>
    <row r="49967" spans="1:8">
      <c r="A49967" t="s">
        <v>4737</v>
      </c>
      <c r="B49967">
        <f>HYPERLINK("https://android.googlesource.com/platform/cts/+/26884f2d333c2cbc622c8cd8de45acf9b4b889ce", "26884f2d333c2cbc622c8cd8de45acf9b4b889ce")</f>
        <v>0</v>
      </c>
      <c r="C49967">
        <f>HYPERLINK("https://android.googlesource.com/platform/cts/+/eda95c8b387d821dfdd92e6feccae6f77e3a5c75", "eda95c8b387d821dfdd92e6feccae6f77e3a5c75")</f>
        <v>0</v>
      </c>
      <c r="D49967" t="s">
        <v>5465</v>
      </c>
      <c r="E49967" t="s">
        <v>10393</v>
      </c>
      <c r="F49967" t="s">
        <v>14461</v>
      </c>
      <c r="G49967" t="s">
        <v>15710</v>
      </c>
      <c r="H49967" t="s">
        <v>39335</v>
      </c>
    </row>
    <row r="49968" spans="1:8">
      <c r="H49968" t="s">
        <v>39336</v>
      </c>
    </row>
    <row r="49969" spans="1:8">
      <c r="H49969" t="s">
        <v>39337</v>
      </c>
    </row>
    <row r="49970" spans="1:8">
      <c r="H49970" t="s">
        <v>39338</v>
      </c>
    </row>
    <row r="49971" spans="1:8">
      <c r="H49971" t="s">
        <v>39339</v>
      </c>
    </row>
    <row r="49972" spans="1:8">
      <c r="H49972" t="s">
        <v>33813</v>
      </c>
    </row>
    <row r="49973" spans="1:8">
      <c r="H49973" t="s">
        <v>38197</v>
      </c>
    </row>
    <row r="49974" spans="1:8">
      <c r="A49974" t="s">
        <v>4738</v>
      </c>
      <c r="B49974">
        <f>HYPERLINK("https://android.googlesource.com/platform/cts/+/e98c2545ce2db68e37228f6c9a6b8f03790982c5", "e98c2545ce2db68e37228f6c9a6b8f03790982c5")</f>
        <v>0</v>
      </c>
      <c r="C49974">
        <f>HYPERLINK("https://android.googlesource.com/platform/cts/+/2c1213ebe06a48876da62f75062800a96571d871", "2c1213ebe06a48876da62f75062800a96571d871")</f>
        <v>0</v>
      </c>
      <c r="D49974" t="s">
        <v>5477</v>
      </c>
      <c r="E49974" t="s">
        <v>10394</v>
      </c>
      <c r="F49974" t="s">
        <v>14876</v>
      </c>
      <c r="G49974" t="s">
        <v>18726</v>
      </c>
      <c r="H49974" t="s">
        <v>39340</v>
      </c>
    </row>
    <row r="49975" spans="1:8">
      <c r="H49975" t="s">
        <v>39341</v>
      </c>
    </row>
    <row r="49976" spans="1:8">
      <c r="H49976" t="s">
        <v>39342</v>
      </c>
    </row>
    <row r="49977" spans="1:8">
      <c r="H49977" t="s">
        <v>39343</v>
      </c>
    </row>
    <row r="49978" spans="1:8">
      <c r="H49978" t="s">
        <v>39344</v>
      </c>
    </row>
    <row r="49979" spans="1:8">
      <c r="H49979" t="s">
        <v>39345</v>
      </c>
    </row>
    <row r="49980" spans="1:8">
      <c r="H49980" t="s">
        <v>39346</v>
      </c>
    </row>
    <row r="49981" spans="1:8">
      <c r="H49981" t="s">
        <v>39347</v>
      </c>
    </row>
    <row r="49982" spans="1:8">
      <c r="A49982" t="s">
        <v>4739</v>
      </c>
      <c r="B49982">
        <f>HYPERLINK("https://android.googlesource.com/platform/cts/+/aeb446b8363c32fbb57fb01dfc28f923f37365fa", "aeb446b8363c32fbb57fb01dfc28f923f37365fa")</f>
        <v>0</v>
      </c>
      <c r="C49982">
        <f>HYPERLINK("https://android.googlesource.com/platform/cts/+/13ab9ca1faaef7ce514867a4872b7101d0ffffbb", "13ab9ca1faaef7ce514867a4872b7101d0ffffbb")</f>
        <v>0</v>
      </c>
      <c r="D49982" t="s">
        <v>5463</v>
      </c>
      <c r="E49982" t="s">
        <v>10395</v>
      </c>
      <c r="F49982" t="s">
        <v>14877</v>
      </c>
      <c r="G49982" t="s">
        <v>18727</v>
      </c>
      <c r="H49982" t="s">
        <v>18863</v>
      </c>
    </row>
    <row r="49983" spans="1:8">
      <c r="H49983" t="s">
        <v>39266</v>
      </c>
    </row>
    <row r="49984" spans="1:8">
      <c r="H49984" t="s">
        <v>39267</v>
      </c>
    </row>
    <row r="49985" spans="1:8">
      <c r="H49985" t="s">
        <v>39268</v>
      </c>
    </row>
    <row r="49986" spans="1:8">
      <c r="H49986" t="s">
        <v>39269</v>
      </c>
    </row>
    <row r="49987" spans="1:8">
      <c r="F49987" t="s">
        <v>14633</v>
      </c>
      <c r="G49987" t="s">
        <v>18543</v>
      </c>
      <c r="H49987" t="s">
        <v>26522</v>
      </c>
    </row>
    <row r="49988" spans="1:8">
      <c r="H49988" t="s">
        <v>18829</v>
      </c>
    </row>
    <row r="49989" spans="1:8">
      <c r="H49989" t="s">
        <v>39348</v>
      </c>
    </row>
    <row r="49990" spans="1:8">
      <c r="H49990" t="s">
        <v>39349</v>
      </c>
    </row>
    <row r="49991" spans="1:8">
      <c r="H49991" t="s">
        <v>39350</v>
      </c>
    </row>
    <row r="49992" spans="1:8">
      <c r="H49992" t="s">
        <v>39351</v>
      </c>
    </row>
    <row r="49993" spans="1:8">
      <c r="H49993" t="s">
        <v>39352</v>
      </c>
    </row>
    <row r="49994" spans="1:8">
      <c r="A49994" t="s">
        <v>4740</v>
      </c>
      <c r="B49994">
        <f>HYPERLINK("https://android.googlesource.com/platform/cts/+/0993a325f6510a0142d7aa726a96f58875304eeb", "0993a325f6510a0142d7aa726a96f58875304eeb")</f>
        <v>0</v>
      </c>
      <c r="C49994">
        <f>HYPERLINK("https://android.googlesource.com/platform/cts/+/26ceeba17a5f04cb8377c2099a35f2f547901f0c", "26ceeba17a5f04cb8377c2099a35f2f547901f0c")</f>
        <v>0</v>
      </c>
      <c r="D49994" t="s">
        <v>5021</v>
      </c>
      <c r="E49994" t="s">
        <v>10396</v>
      </c>
      <c r="F49994" t="s">
        <v>14873</v>
      </c>
      <c r="G49994" t="s">
        <v>14989</v>
      </c>
      <c r="H49994" t="s">
        <v>39353</v>
      </c>
    </row>
    <row r="49995" spans="1:8">
      <c r="A49995" t="s">
        <v>4741</v>
      </c>
      <c r="B49995">
        <f>HYPERLINK("https://android.googlesource.com/platform/cts/+/b8423f9fbe5b85cb5b4fee0df86ac657b3ebe0e9", "b8423f9fbe5b85cb5b4fee0df86ac657b3ebe0e9")</f>
        <v>0</v>
      </c>
      <c r="C49995">
        <f>HYPERLINK("https://android.googlesource.com/platform/cts/+/383c4a5da2d942293a0c5c469595f304fdd7fbe4", "383c4a5da2d942293a0c5c469595f304fdd7fbe4")</f>
        <v>0</v>
      </c>
      <c r="D49995" t="s">
        <v>5134</v>
      </c>
      <c r="E49995" t="s">
        <v>10397</v>
      </c>
      <c r="F49995" t="s">
        <v>14878</v>
      </c>
      <c r="G49995" t="s">
        <v>18728</v>
      </c>
      <c r="H49995" t="s">
        <v>39354</v>
      </c>
    </row>
    <row r="49996" spans="1:8">
      <c r="H49996" t="s">
        <v>39355</v>
      </c>
    </row>
    <row r="49997" spans="1:8">
      <c r="A49997" t="s">
        <v>4742</v>
      </c>
      <c r="B49997">
        <f>HYPERLINK("https://android.googlesource.com/platform/cts/+/ee7af471df4ee5d943e6de2c0d945631282cb3ff", "ee7af471df4ee5d943e6de2c0d945631282cb3ff")</f>
        <v>0</v>
      </c>
      <c r="C49997">
        <f>HYPERLINK("https://android.googlesource.com/platform/cts/+/e4513ece3e7b115c2729429beec363eec17b8d99", "e4513ece3e7b115c2729429beec363eec17b8d99")</f>
        <v>0</v>
      </c>
      <c r="D49997" t="s">
        <v>5564</v>
      </c>
      <c r="E49997" t="s">
        <v>10398</v>
      </c>
      <c r="F49997" t="s">
        <v>14879</v>
      </c>
      <c r="G49997" t="s">
        <v>18729</v>
      </c>
      <c r="H49997" t="s">
        <v>36451</v>
      </c>
    </row>
    <row r="49998" spans="1:8">
      <c r="H49998" t="s">
        <v>36451</v>
      </c>
    </row>
    <row r="49999" spans="1:8">
      <c r="H49999" t="s">
        <v>18829</v>
      </c>
    </row>
    <row r="50000" spans="1:8">
      <c r="H50000" t="s">
        <v>18863</v>
      </c>
    </row>
    <row r="50001" spans="1:8">
      <c r="H50001" t="s">
        <v>39356</v>
      </c>
    </row>
    <row r="50002" spans="1:8">
      <c r="H50002" t="s">
        <v>36852</v>
      </c>
    </row>
    <row r="50003" spans="1:8">
      <c r="H50003" t="s">
        <v>39357</v>
      </c>
    </row>
    <row r="50004" spans="1:8">
      <c r="H50004" t="s">
        <v>36845</v>
      </c>
    </row>
    <row r="50005" spans="1:8">
      <c r="H50005" t="s">
        <v>39358</v>
      </c>
    </row>
    <row r="50006" spans="1:8">
      <c r="H50006" t="s">
        <v>39359</v>
      </c>
    </row>
    <row r="50007" spans="1:8">
      <c r="H50007" t="s">
        <v>39360</v>
      </c>
    </row>
    <row r="50008" spans="1:8">
      <c r="H50008" t="s">
        <v>39361</v>
      </c>
    </row>
    <row r="50009" spans="1:8">
      <c r="H50009" t="s">
        <v>39362</v>
      </c>
    </row>
    <row r="50010" spans="1:8">
      <c r="H50010" t="s">
        <v>39363</v>
      </c>
    </row>
    <row r="50011" spans="1:8">
      <c r="A50011" t="s">
        <v>4743</v>
      </c>
      <c r="B50011">
        <f>HYPERLINK("https://android.googlesource.com/platform/cts/+/36bb40bf558dd34586fab0461ff4f55d7abf8234", "36bb40bf558dd34586fab0461ff4f55d7abf8234")</f>
        <v>0</v>
      </c>
      <c r="C50011">
        <f>HYPERLINK("https://android.googlesource.com/platform/cts/+/a77917c271d1245e4ed227f661a2eb3c401a153e", "a77917c271d1245e4ed227f661a2eb3c401a153e")</f>
        <v>0</v>
      </c>
      <c r="D50011" t="s">
        <v>5749</v>
      </c>
      <c r="E50011" t="s">
        <v>10399</v>
      </c>
      <c r="F50011" t="s">
        <v>14880</v>
      </c>
      <c r="G50011" t="s">
        <v>18730</v>
      </c>
      <c r="H50011" t="s">
        <v>39364</v>
      </c>
    </row>
    <row r="50012" spans="1:8">
      <c r="H50012" t="s">
        <v>39365</v>
      </c>
    </row>
    <row r="50013" spans="1:8">
      <c r="H50013" t="s">
        <v>39366</v>
      </c>
    </row>
    <row r="50014" spans="1:8">
      <c r="H50014" t="s">
        <v>39367</v>
      </c>
    </row>
    <row r="50015" spans="1:8">
      <c r="H50015" t="s">
        <v>39368</v>
      </c>
    </row>
    <row r="50016" spans="1:8">
      <c r="H50016" t="s">
        <v>39369</v>
      </c>
    </row>
    <row r="50017" spans="1:8">
      <c r="H50017" t="s">
        <v>39370</v>
      </c>
    </row>
    <row r="50018" spans="1:8">
      <c r="H50018" t="s">
        <v>39371</v>
      </c>
    </row>
    <row r="50019" spans="1:8">
      <c r="H50019" t="s">
        <v>39372</v>
      </c>
    </row>
    <row r="50020" spans="1:8">
      <c r="A50020" t="s">
        <v>4744</v>
      </c>
      <c r="B50020">
        <f>HYPERLINK("https://android.googlesource.com/platform/cts/+/06f370a2feca545f707092ca651ccdcdd7bd3728", "06f370a2feca545f707092ca651ccdcdd7bd3728")</f>
        <v>0</v>
      </c>
      <c r="C50020">
        <f>HYPERLINK("https://android.googlesource.com/platform/cts/+/bb608fbbd4ef61f29fd8334fd71d177b6ce1e588", "bb608fbbd4ef61f29fd8334fd71d177b6ce1e588")</f>
        <v>0</v>
      </c>
      <c r="D50020" t="s">
        <v>5761</v>
      </c>
      <c r="E50020" t="s">
        <v>10400</v>
      </c>
      <c r="F50020" t="s">
        <v>14881</v>
      </c>
      <c r="G50020" t="s">
        <v>18729</v>
      </c>
      <c r="H50020" t="s">
        <v>36852</v>
      </c>
    </row>
    <row r="50021" spans="1:8">
      <c r="H50021" t="s">
        <v>39357</v>
      </c>
    </row>
    <row r="50022" spans="1:8">
      <c r="H50022" t="s">
        <v>39373</v>
      </c>
    </row>
    <row r="50023" spans="1:8">
      <c r="H50023" t="s">
        <v>36851</v>
      </c>
    </row>
    <row r="50024" spans="1:8">
      <c r="H50024" t="s">
        <v>39374</v>
      </c>
    </row>
    <row r="50025" spans="1:8">
      <c r="A50025" t="s">
        <v>4745</v>
      </c>
      <c r="B50025">
        <f>HYPERLINK("https://android.googlesource.com/platform/cts/+/c3cccae390148dc42b03e76914b79d5a2eabe384", "c3cccae390148dc42b03e76914b79d5a2eabe384")</f>
        <v>0</v>
      </c>
      <c r="C50025">
        <f>HYPERLINK("https://android.googlesource.com/platform/cts/+/0993a325f6510a0142d7aa726a96f58875304eeb", "0993a325f6510a0142d7aa726a96f58875304eeb")</f>
        <v>0</v>
      </c>
      <c r="D50025" t="s">
        <v>5021</v>
      </c>
      <c r="E50025" t="s">
        <v>10401</v>
      </c>
      <c r="F50025" t="s">
        <v>13794</v>
      </c>
      <c r="G50025" t="s">
        <v>17846</v>
      </c>
      <c r="H50025" t="s">
        <v>29654</v>
      </c>
    </row>
    <row r="50026" spans="1:8">
      <c r="H50026" t="s">
        <v>39375</v>
      </c>
    </row>
    <row r="50027" spans="1:8">
      <c r="H50027" t="s">
        <v>39376</v>
      </c>
    </row>
    <row r="50028" spans="1:8">
      <c r="H50028" t="s">
        <v>39331</v>
      </c>
    </row>
    <row r="50029" spans="1:8">
      <c r="A50029" t="s">
        <v>4746</v>
      </c>
      <c r="B50029">
        <f>HYPERLINK("https://android.googlesource.com/platform/cts/+/eb3220b60b267c22c4d9659cbd4a6be24ef54a33", "eb3220b60b267c22c4d9659cbd4a6be24ef54a33")</f>
        <v>0</v>
      </c>
      <c r="C50029">
        <f>HYPERLINK("https://android.googlesource.com/platform/cts/+/34503934bca4d873313067c2ba4b82e2fd06d52f", "34503934bca4d873313067c2ba4b82e2fd06d52f")</f>
        <v>0</v>
      </c>
      <c r="D50029" t="s">
        <v>5477</v>
      </c>
      <c r="E50029" t="s">
        <v>10402</v>
      </c>
      <c r="F50029" t="s">
        <v>14876</v>
      </c>
      <c r="G50029" t="s">
        <v>18726</v>
      </c>
      <c r="H50029" t="s">
        <v>39340</v>
      </c>
    </row>
    <row r="50030" spans="1:8">
      <c r="H50030" t="s">
        <v>39341</v>
      </c>
    </row>
    <row r="50031" spans="1:8">
      <c r="H50031" t="s">
        <v>39342</v>
      </c>
    </row>
    <row r="50032" spans="1:8">
      <c r="H50032" t="s">
        <v>39343</v>
      </c>
    </row>
    <row r="50033" spans="1:8">
      <c r="H50033" t="s">
        <v>39344</v>
      </c>
    </row>
    <row r="50034" spans="1:8">
      <c r="H50034" t="s">
        <v>39345</v>
      </c>
    </row>
    <row r="50035" spans="1:8">
      <c r="H50035" t="s">
        <v>39346</v>
      </c>
    </row>
    <row r="50036" spans="1:8">
      <c r="H50036" t="s">
        <v>39347</v>
      </c>
    </row>
    <row r="50037" spans="1:8">
      <c r="A50037" t="s">
        <v>4747</v>
      </c>
      <c r="B50037">
        <f>HYPERLINK("https://android.googlesource.com/platform/cts/+/1d8b53d24c4c7074c532b0c6ee94c43681460837", "1d8b53d24c4c7074c532b0c6ee94c43681460837")</f>
        <v>0</v>
      </c>
      <c r="C50037">
        <f>HYPERLINK("https://android.googlesource.com/platform/cts/+/ac4eece9f222516827f3de6c8a146f3ed51f9101", "ac4eece9f222516827f3de6c8a146f3ed51f9101")</f>
        <v>0</v>
      </c>
      <c r="D50037" t="s">
        <v>5762</v>
      </c>
      <c r="E50037" t="s">
        <v>10403</v>
      </c>
      <c r="F50037" t="s">
        <v>14738</v>
      </c>
      <c r="G50037" t="s">
        <v>18617</v>
      </c>
      <c r="H50037" t="s">
        <v>39377</v>
      </c>
    </row>
    <row r="50038" spans="1:8">
      <c r="H50038" t="s">
        <v>39378</v>
      </c>
    </row>
    <row r="50039" spans="1:8">
      <c r="H50039" t="s">
        <v>39379</v>
      </c>
    </row>
    <row r="50040" spans="1:8">
      <c r="A50040" t="s">
        <v>4748</v>
      </c>
      <c r="B50040">
        <f>HYPERLINK("https://android.googlesource.com/platform/cts/+/7962c461bd83209d3d8ad6752d189d22ecb424fc", "7962c461bd83209d3d8ad6752d189d22ecb424fc")</f>
        <v>0</v>
      </c>
      <c r="C50040">
        <f>HYPERLINK("https://android.googlesource.com/platform/cts/+/9c4a16c06b1185cafb390253c720f5254b377681", "9c4a16c06b1185cafb390253c720f5254b377681")</f>
        <v>0</v>
      </c>
      <c r="D50040" t="s">
        <v>5021</v>
      </c>
      <c r="E50040" t="s">
        <v>10404</v>
      </c>
      <c r="F50040" t="s">
        <v>13806</v>
      </c>
      <c r="G50040" t="s">
        <v>17843</v>
      </c>
      <c r="H50040" t="s">
        <v>31600</v>
      </c>
    </row>
    <row r="50041" spans="1:8">
      <c r="A50041" t="s">
        <v>4749</v>
      </c>
      <c r="B50041">
        <f>HYPERLINK("https://android.googlesource.com/platform/cts/+/1cd9fa0e941105b499fedf86eee249c74f085913", "1cd9fa0e941105b499fedf86eee249c74f085913")</f>
        <v>0</v>
      </c>
      <c r="C50041">
        <f>HYPERLINK("https://android.googlesource.com/platform/cts/+/837647810306f7b0da3ade0625922afe1141c03a", "837647810306f7b0da3ade0625922afe1141c03a")</f>
        <v>0</v>
      </c>
      <c r="D50041" t="s">
        <v>5727</v>
      </c>
      <c r="E50041" t="s">
        <v>10405</v>
      </c>
      <c r="F50041" t="s">
        <v>14816</v>
      </c>
      <c r="G50041" t="s">
        <v>18680</v>
      </c>
      <c r="H50041" t="s">
        <v>39380</v>
      </c>
    </row>
    <row r="50042" spans="1:8">
      <c r="H50042" t="s">
        <v>39381</v>
      </c>
    </row>
    <row r="50043" spans="1:8">
      <c r="H50043" t="s">
        <v>39382</v>
      </c>
    </row>
    <row r="50044" spans="1:8">
      <c r="A50044" t="s">
        <v>4750</v>
      </c>
      <c r="B50044">
        <f>HYPERLINK("https://android.googlesource.com/platform/cts/+/79444c01647dbd2ec5658216e5a68693933e0177", "79444c01647dbd2ec5658216e5a68693933e0177")</f>
        <v>0</v>
      </c>
      <c r="C50044">
        <f>HYPERLINK("https://android.googlesource.com/platform/cts/+/a420bbaba9f1283a67a1c3416c2d1cf231cf07fe", "a420bbaba9f1283a67a1c3416c2d1cf231cf07fe")</f>
        <v>0</v>
      </c>
      <c r="D50044" t="s">
        <v>5420</v>
      </c>
      <c r="E50044" t="s">
        <v>10406</v>
      </c>
      <c r="F50044" t="s">
        <v>14882</v>
      </c>
      <c r="G50044" t="s">
        <v>18731</v>
      </c>
      <c r="H50044" t="s">
        <v>34498</v>
      </c>
    </row>
    <row r="50045" spans="1:8">
      <c r="H50045" t="s">
        <v>39383</v>
      </c>
    </row>
    <row r="50046" spans="1:8">
      <c r="H50046" t="s">
        <v>39384</v>
      </c>
    </row>
    <row r="50047" spans="1:8">
      <c r="H50047" t="s">
        <v>39385</v>
      </c>
    </row>
    <row r="50048" spans="1:8">
      <c r="H50048" t="s">
        <v>39386</v>
      </c>
    </row>
    <row r="50049" spans="1:8">
      <c r="A50049" t="s">
        <v>4751</v>
      </c>
      <c r="B50049">
        <f>HYPERLINK("https://android.googlesource.com/platform/cts/+/b7b274b49fdfc8c40205bbfee3cd191015263a56", "b7b274b49fdfc8c40205bbfee3cd191015263a56")</f>
        <v>0</v>
      </c>
      <c r="C50049">
        <f>HYPERLINK("https://android.googlesource.com/platform/cts/+/f7679a054c594286f0b2692e69a2d7ebe2831685", "f7679a054c594286f0b2692e69a2d7ebe2831685")</f>
        <v>0</v>
      </c>
      <c r="D50049" t="s">
        <v>5118</v>
      </c>
      <c r="E50049" t="s">
        <v>10407</v>
      </c>
      <c r="F50049" t="s">
        <v>13197</v>
      </c>
      <c r="G50049" t="s">
        <v>17340</v>
      </c>
      <c r="H50049" t="s">
        <v>39387</v>
      </c>
    </row>
    <row r="50050" spans="1:8">
      <c r="A50050" t="s">
        <v>4752</v>
      </c>
      <c r="B50050">
        <f>HYPERLINK("https://android.googlesource.com/platform/cts/+/1c9dac4b9f5a8c63b7990959f5ed2989ee820296", "1c9dac4b9f5a8c63b7990959f5ed2989ee820296")</f>
        <v>0</v>
      </c>
      <c r="C50050">
        <f>HYPERLINK("https://android.googlesource.com/platform/cts/+/b0e250c06227f29315b0e2e1f92baa8897fcc60a", "b0e250c06227f29315b0e2e1f92baa8897fcc60a")</f>
        <v>0</v>
      </c>
      <c r="D50050" t="s">
        <v>5763</v>
      </c>
      <c r="E50050" t="s">
        <v>10408</v>
      </c>
      <c r="F50050" t="s">
        <v>14883</v>
      </c>
      <c r="G50050" t="s">
        <v>18732</v>
      </c>
      <c r="H50050" t="s">
        <v>39388</v>
      </c>
    </row>
    <row r="50051" spans="1:8">
      <c r="H50051" t="s">
        <v>33588</v>
      </c>
    </row>
    <row r="50052" spans="1:8">
      <c r="H50052" t="s">
        <v>39389</v>
      </c>
    </row>
    <row r="50053" spans="1:8">
      <c r="A50053" t="s">
        <v>4753</v>
      </c>
      <c r="B50053">
        <f>HYPERLINK("https://android.googlesource.com/platform/cts/+/3b5f633899c2081a800ee50342786905b7662c4c", "3b5f633899c2081a800ee50342786905b7662c4c")</f>
        <v>0</v>
      </c>
      <c r="C50053">
        <f>HYPERLINK("https://android.googlesource.com/platform/cts/+/f94afd8619ebfb6c77e3ba383c33cd775835b20c", "f94afd8619ebfb6c77e3ba383c33cd775835b20c")</f>
        <v>0</v>
      </c>
      <c r="D50053" t="s">
        <v>5650</v>
      </c>
      <c r="E50053" t="s">
        <v>10409</v>
      </c>
      <c r="F50053" t="s">
        <v>14884</v>
      </c>
      <c r="G50053" t="s">
        <v>18733</v>
      </c>
      <c r="H50053" t="s">
        <v>39390</v>
      </c>
    </row>
    <row r="50054" spans="1:8">
      <c r="A50054" t="s">
        <v>4754</v>
      </c>
      <c r="B50054">
        <f>HYPERLINK("https://android.googlesource.com/platform/cts/+/7604252629a1dab59b8cfa364aee379a24c97008", "7604252629a1dab59b8cfa364aee379a24c97008")</f>
        <v>0</v>
      </c>
      <c r="C50054">
        <f>HYPERLINK("https://android.googlesource.com/platform/cts/+/896dabb199ae349ddaa0a81acacb22913be1d301", "896dabb199ae349ddaa0a81acacb22913be1d301")</f>
        <v>0</v>
      </c>
      <c r="D50054" t="s">
        <v>5021</v>
      </c>
      <c r="E50054" t="s">
        <v>10410</v>
      </c>
      <c r="F50054" t="s">
        <v>13806</v>
      </c>
      <c r="G50054" t="s">
        <v>17843</v>
      </c>
      <c r="H50054" t="s">
        <v>39332</v>
      </c>
    </row>
    <row r="50055" spans="1:8">
      <c r="A50055" t="s">
        <v>4755</v>
      </c>
      <c r="B50055">
        <f>HYPERLINK("https://android.googlesource.com/platform/cts/+/166ea5d1c9eea437fc36ac37f59b32816e9a3700", "166ea5d1c9eea437fc36ac37f59b32816e9a3700")</f>
        <v>0</v>
      </c>
      <c r="C50055">
        <f>HYPERLINK("https://android.googlesource.com/platform/cts/+/7604252629a1dab59b8cfa364aee379a24c97008", "7604252629a1dab59b8cfa364aee379a24c97008")</f>
        <v>0</v>
      </c>
      <c r="D50055" t="s">
        <v>5021</v>
      </c>
      <c r="E50055" t="s">
        <v>10411</v>
      </c>
      <c r="F50055" t="s">
        <v>13806</v>
      </c>
      <c r="G50055" t="s">
        <v>17843</v>
      </c>
      <c r="H50055" t="s">
        <v>19536</v>
      </c>
    </row>
    <row r="50056" spans="1:8">
      <c r="H50056" t="s">
        <v>39333</v>
      </c>
    </row>
    <row r="50057" spans="1:8">
      <c r="F50057" t="s">
        <v>14873</v>
      </c>
      <c r="G50057" t="s">
        <v>14989</v>
      </c>
      <c r="H50057" t="s">
        <v>19536</v>
      </c>
    </row>
    <row r="50058" spans="1:8">
      <c r="A50058" t="s">
        <v>4756</v>
      </c>
      <c r="B50058">
        <f>HYPERLINK("https://android.googlesource.com/platform/cts/+/9a525e2569d73dd1da888257c72c2a430fb43c52", "9a525e2569d73dd1da888257c72c2a430fb43c52")</f>
        <v>0</v>
      </c>
      <c r="C50058">
        <f>HYPERLINK("https://android.googlesource.com/platform/cts/+/e2f80f17f84e83dbd7cfc518dc6c4728eea8334b", "e2f80f17f84e83dbd7cfc518dc6c4728eea8334b")</f>
        <v>0</v>
      </c>
      <c r="D50058" t="s">
        <v>5021</v>
      </c>
      <c r="E50058" t="s">
        <v>10412</v>
      </c>
      <c r="F50058" t="s">
        <v>14873</v>
      </c>
      <c r="G50058" t="s">
        <v>14989</v>
      </c>
      <c r="H50058" t="s">
        <v>39353</v>
      </c>
    </row>
    <row r="50059" spans="1:8">
      <c r="A50059" t="s">
        <v>4757</v>
      </c>
      <c r="B50059">
        <f>HYPERLINK("https://android.googlesource.com/platform/cts/+/03755475353530894cf4185be2b34e7460e1cfb8", "03755475353530894cf4185be2b34e7460e1cfb8")</f>
        <v>0</v>
      </c>
      <c r="C50059">
        <f>HYPERLINK("https://android.googlesource.com/platform/cts/+/ec5962694e3d3afb0ba34f4afed7203ff6534f70", "ec5962694e3d3afb0ba34f4afed7203ff6534f70")</f>
        <v>0</v>
      </c>
      <c r="D50059" t="s">
        <v>5021</v>
      </c>
      <c r="E50059" t="s">
        <v>10413</v>
      </c>
      <c r="F50059" t="s">
        <v>13806</v>
      </c>
      <c r="G50059" t="s">
        <v>17843</v>
      </c>
      <c r="H50059" t="s">
        <v>31600</v>
      </c>
    </row>
    <row r="50060" spans="1:8">
      <c r="A50060" t="s">
        <v>4757</v>
      </c>
      <c r="B50060">
        <f>HYPERLINK("https://android.googlesource.com/platform/cts/+/ec5962694e3d3afb0ba34f4afed7203ff6534f70", "ec5962694e3d3afb0ba34f4afed7203ff6534f70")</f>
        <v>0</v>
      </c>
      <c r="C50060">
        <f>HYPERLINK("https://android.googlesource.com/platform/cts/+/9a525e2569d73dd1da888257c72c2a430fb43c52", "9a525e2569d73dd1da888257c72c2a430fb43c52")</f>
        <v>0</v>
      </c>
      <c r="D50060" t="s">
        <v>5021</v>
      </c>
      <c r="E50060" t="s">
        <v>10414</v>
      </c>
      <c r="F50060" t="s">
        <v>13794</v>
      </c>
      <c r="G50060" t="s">
        <v>17846</v>
      </c>
      <c r="H50060" t="s">
        <v>29654</v>
      </c>
    </row>
    <row r="50061" spans="1:8">
      <c r="H50061" t="s">
        <v>39375</v>
      </c>
    </row>
    <row r="50062" spans="1:8">
      <c r="H50062" t="s">
        <v>39376</v>
      </c>
    </row>
    <row r="50063" spans="1:8">
      <c r="H50063" t="s">
        <v>39331</v>
      </c>
    </row>
    <row r="50064" spans="1:8">
      <c r="A50064" t="s">
        <v>4758</v>
      </c>
      <c r="B50064">
        <f>HYPERLINK("https://android.googlesource.com/platform/cts/+/c9f95d3975115132df73b96c7370cb45efbe64c5", "c9f95d3975115132df73b96c7370cb45efbe64c5")</f>
        <v>0</v>
      </c>
      <c r="C50064">
        <f>HYPERLINK("https://android.googlesource.com/platform/cts/+/896dabb199ae349ddaa0a81acacb22913be1d301", "896dabb199ae349ddaa0a81acacb22913be1d301")</f>
        <v>0</v>
      </c>
      <c r="D50064" t="s">
        <v>5764</v>
      </c>
      <c r="E50064" t="s">
        <v>10415</v>
      </c>
      <c r="F50064" t="s">
        <v>13311</v>
      </c>
      <c r="G50064" t="s">
        <v>16471</v>
      </c>
      <c r="H50064" t="s">
        <v>39391</v>
      </c>
    </row>
    <row r="50065" spans="1:8">
      <c r="H50065" t="s">
        <v>39392</v>
      </c>
    </row>
    <row r="50066" spans="1:8">
      <c r="H50066" t="s">
        <v>39393</v>
      </c>
    </row>
    <row r="50067" spans="1:8">
      <c r="H50067" t="s">
        <v>39394</v>
      </c>
    </row>
    <row r="50068" spans="1:8">
      <c r="H50068" t="s">
        <v>39395</v>
      </c>
    </row>
    <row r="50069" spans="1:8">
      <c r="H50069" t="s">
        <v>39396</v>
      </c>
    </row>
    <row r="50070" spans="1:8">
      <c r="H50070" t="s">
        <v>39397</v>
      </c>
    </row>
    <row r="50071" spans="1:8">
      <c r="H50071" t="s">
        <v>39398</v>
      </c>
    </row>
    <row r="50072" spans="1:8">
      <c r="A50072" t="s">
        <v>4759</v>
      </c>
      <c r="B50072">
        <f>HYPERLINK("https://android.googlesource.com/platform/cts/+/e0e77cfc11e748dae78816942ef64b140fca8f91", "e0e77cfc11e748dae78816942ef64b140fca8f91")</f>
        <v>0</v>
      </c>
      <c r="C50072">
        <f>HYPERLINK("https://android.googlesource.com/platform/cts/+/1d65d64d19469ce35159aa7e9b2ecd793b50d3a9", "1d65d64d19469ce35159aa7e9b2ecd793b50d3a9")</f>
        <v>0</v>
      </c>
      <c r="D50072" t="s">
        <v>5509</v>
      </c>
      <c r="E50072" t="s">
        <v>10416</v>
      </c>
      <c r="F50072" t="s">
        <v>14880</v>
      </c>
      <c r="G50072" t="s">
        <v>18730</v>
      </c>
      <c r="H50072" t="s">
        <v>39364</v>
      </c>
    </row>
    <row r="50073" spans="1:8">
      <c r="H50073" t="s">
        <v>39365</v>
      </c>
    </row>
    <row r="50074" spans="1:8">
      <c r="H50074" t="s">
        <v>39366</v>
      </c>
    </row>
    <row r="50075" spans="1:8">
      <c r="H50075" t="s">
        <v>39367</v>
      </c>
    </row>
    <row r="50076" spans="1:8">
      <c r="H50076" t="s">
        <v>39368</v>
      </c>
    </row>
    <row r="50077" spans="1:8">
      <c r="H50077" t="s">
        <v>39369</v>
      </c>
    </row>
    <row r="50078" spans="1:8">
      <c r="H50078" t="s">
        <v>39370</v>
      </c>
    </row>
    <row r="50079" spans="1:8">
      <c r="H50079" t="s">
        <v>39371</v>
      </c>
    </row>
    <row r="50080" spans="1:8">
      <c r="H50080" t="s">
        <v>39372</v>
      </c>
    </row>
    <row r="50081" spans="1:8">
      <c r="A50081" t="s">
        <v>4760</v>
      </c>
      <c r="B50081">
        <f>HYPERLINK("https://android.googlesource.com/platform/cts/+/33b27055a5d318c7f330a3c6cab3c6f46dd82185", "33b27055a5d318c7f330a3c6cab3c6f46dd82185")</f>
        <v>0</v>
      </c>
      <c r="C50081">
        <f>HYPERLINK("https://android.googlesource.com/platform/cts/+/7f4cda2dfec21c62c439afa70f39d3331e39de92", "7f4cda2dfec21c62c439afa70f39d3331e39de92")</f>
        <v>0</v>
      </c>
      <c r="D50081" t="s">
        <v>5244</v>
      </c>
      <c r="E50081" t="s">
        <v>10417</v>
      </c>
      <c r="F50081" t="s">
        <v>13398</v>
      </c>
      <c r="G50081" t="s">
        <v>17524</v>
      </c>
      <c r="H50081" t="s">
        <v>39399</v>
      </c>
    </row>
    <row r="50082" spans="1:8">
      <c r="H50082" t="s">
        <v>39400</v>
      </c>
    </row>
    <row r="50083" spans="1:8">
      <c r="H50083" t="s">
        <v>39401</v>
      </c>
    </row>
    <row r="50084" spans="1:8">
      <c r="H50084" t="s">
        <v>39402</v>
      </c>
    </row>
    <row r="50085" spans="1:8">
      <c r="H50085" t="s">
        <v>39403</v>
      </c>
    </row>
    <row r="50086" spans="1:8">
      <c r="H50086" t="s">
        <v>39404</v>
      </c>
    </row>
    <row r="50087" spans="1:8">
      <c r="H50087" t="s">
        <v>39405</v>
      </c>
    </row>
    <row r="50088" spans="1:8">
      <c r="H50088" t="s">
        <v>39406</v>
      </c>
    </row>
    <row r="50089" spans="1:8">
      <c r="H50089" t="s">
        <v>39407</v>
      </c>
    </row>
    <row r="50090" spans="1:8">
      <c r="H50090" t="s">
        <v>39408</v>
      </c>
    </row>
    <row r="50091" spans="1:8">
      <c r="H50091" t="s">
        <v>39409</v>
      </c>
    </row>
    <row r="50092" spans="1:8">
      <c r="H50092" t="s">
        <v>39410</v>
      </c>
    </row>
    <row r="50093" spans="1:8">
      <c r="H50093" t="s">
        <v>39411</v>
      </c>
    </row>
    <row r="50094" spans="1:8">
      <c r="H50094" t="s">
        <v>39412</v>
      </c>
    </row>
    <row r="50095" spans="1:8">
      <c r="H50095" t="s">
        <v>39413</v>
      </c>
    </row>
    <row r="50096" spans="1:8">
      <c r="H50096" t="s">
        <v>39414</v>
      </c>
    </row>
    <row r="50097" spans="1:8">
      <c r="H50097" t="s">
        <v>39415</v>
      </c>
    </row>
    <row r="50098" spans="1:8">
      <c r="H50098" t="s">
        <v>39416</v>
      </c>
    </row>
    <row r="50099" spans="1:8">
      <c r="H50099" t="s">
        <v>39417</v>
      </c>
    </row>
    <row r="50100" spans="1:8">
      <c r="H50100" t="s">
        <v>39418</v>
      </c>
    </row>
    <row r="50101" spans="1:8">
      <c r="H50101" t="s">
        <v>39419</v>
      </c>
    </row>
    <row r="50102" spans="1:8">
      <c r="H50102" t="s">
        <v>39420</v>
      </c>
    </row>
    <row r="50103" spans="1:8">
      <c r="H50103" t="s">
        <v>39420</v>
      </c>
    </row>
    <row r="50104" spans="1:8">
      <c r="H50104" t="s">
        <v>39420</v>
      </c>
    </row>
    <row r="50105" spans="1:8">
      <c r="H50105" t="s">
        <v>39421</v>
      </c>
    </row>
    <row r="50106" spans="1:8">
      <c r="H50106" t="s">
        <v>39421</v>
      </c>
    </row>
    <row r="50107" spans="1:8">
      <c r="A50107" t="s">
        <v>4761</v>
      </c>
      <c r="B50107">
        <f>HYPERLINK("https://android.googlesource.com/platform/cts/+/68e276019e6387dbbe212a4d648323026277879e", "68e276019e6387dbbe212a4d648323026277879e")</f>
        <v>0</v>
      </c>
      <c r="C50107">
        <f>HYPERLINK("https://android.googlesource.com/platform/cts/+/c250a0e0a93028c64aecbd7af6fb5950235f0296", "c250a0e0a93028c64aecbd7af6fb5950235f0296")</f>
        <v>0</v>
      </c>
      <c r="D50107" t="s">
        <v>5219</v>
      </c>
      <c r="E50107" t="s">
        <v>10418</v>
      </c>
      <c r="F50107" t="s">
        <v>14512</v>
      </c>
      <c r="G50107" t="s">
        <v>18414</v>
      </c>
      <c r="H50107" t="s">
        <v>39422</v>
      </c>
    </row>
    <row r="50108" spans="1:8">
      <c r="A50108" t="s">
        <v>4762</v>
      </c>
      <c r="B50108">
        <f>HYPERLINK("https://android.googlesource.com/platform/cts/+/d4ad24c28412ee44ca55f5551d40e762f7ca0dce", "d4ad24c28412ee44ca55f5551d40e762f7ca0dce")</f>
        <v>0</v>
      </c>
      <c r="C50108">
        <f>HYPERLINK("https://android.googlesource.com/platform/cts/+/5ef5bec3a526337aa2a8e30b8b69737265d98439", "5ef5bec3a526337aa2a8e30b8b69737265d98439")</f>
        <v>0</v>
      </c>
      <c r="D50108" t="s">
        <v>5288</v>
      </c>
      <c r="E50108" t="s">
        <v>10419</v>
      </c>
      <c r="F50108" t="s">
        <v>14461</v>
      </c>
      <c r="G50108" t="s">
        <v>15710</v>
      </c>
      <c r="H50108" t="s">
        <v>39423</v>
      </c>
    </row>
    <row r="50109" spans="1:8">
      <c r="A50109" t="s">
        <v>4763</v>
      </c>
      <c r="B50109">
        <f>HYPERLINK("https://android.googlesource.com/platform/cts/+/137660f2e4ae703233bc44963dbe32746d5964b3", "137660f2e4ae703233bc44963dbe32746d5964b3")</f>
        <v>0</v>
      </c>
      <c r="C50109">
        <f>HYPERLINK("https://android.googlesource.com/platform/cts/+/c65930353babed6dd3ad6d47c9a584d27deeb72b", "c65930353babed6dd3ad6d47c9a584d27deeb72b")</f>
        <v>0</v>
      </c>
      <c r="D50109" t="s">
        <v>5706</v>
      </c>
      <c r="E50109" t="s">
        <v>10420</v>
      </c>
      <c r="F50109" t="s">
        <v>14885</v>
      </c>
      <c r="G50109" t="s">
        <v>17948</v>
      </c>
      <c r="H50109" t="s">
        <v>39424</v>
      </c>
    </row>
    <row r="50110" spans="1:8">
      <c r="A50110" t="s">
        <v>4764</v>
      </c>
      <c r="B50110">
        <f>HYPERLINK("https://android.googlesource.com/platform/cts/+/b8a56c5cfcae3d2b3c69d90b24e415f376eab614", "b8a56c5cfcae3d2b3c69d90b24e415f376eab614")</f>
        <v>0</v>
      </c>
      <c r="C50110">
        <f>HYPERLINK("https://android.googlesource.com/platform/cts/+/c8f6e9f8567e15de1e37c6b3b26ddac8c5e19916", "c8f6e9f8567e15de1e37c6b3b26ddac8c5e19916")</f>
        <v>0</v>
      </c>
      <c r="D50110" t="s">
        <v>5765</v>
      </c>
      <c r="E50110" t="s">
        <v>10421</v>
      </c>
      <c r="F50110" t="s">
        <v>14881</v>
      </c>
      <c r="G50110" t="s">
        <v>18729</v>
      </c>
      <c r="H50110" t="s">
        <v>36451</v>
      </c>
    </row>
    <row r="50111" spans="1:8">
      <c r="H50111" t="s">
        <v>36451</v>
      </c>
    </row>
    <row r="50112" spans="1:8">
      <c r="H50112" t="s">
        <v>36451</v>
      </c>
    </row>
    <row r="50113" spans="1:8">
      <c r="A50113" t="s">
        <v>4765</v>
      </c>
      <c r="B50113">
        <f>HYPERLINK("https://android.googlesource.com/platform/cts/+/3cb2b679dfaac6be75d9da32d465a21d24d9b7f0", "3cb2b679dfaac6be75d9da32d465a21d24d9b7f0")</f>
        <v>0</v>
      </c>
      <c r="C50113">
        <f>HYPERLINK("https://android.googlesource.com/platform/cts/+/8d07607f03e964070fe68f8c434963ceb09ac8f6", "8d07607f03e964070fe68f8c434963ceb09ac8f6")</f>
        <v>0</v>
      </c>
      <c r="D50113" t="s">
        <v>5766</v>
      </c>
      <c r="E50113" t="s">
        <v>10422</v>
      </c>
      <c r="F50113" t="s">
        <v>14886</v>
      </c>
      <c r="G50113" t="s">
        <v>18549</v>
      </c>
      <c r="H50113" t="s">
        <v>39425</v>
      </c>
    </row>
    <row r="50114" spans="1:8">
      <c r="A50114" t="s">
        <v>4766</v>
      </c>
      <c r="B50114">
        <f>HYPERLINK("https://android.googlesource.com/platform/cts/+/365879ef3fc90edbe14fb7e2927de1ab662feb5f", "365879ef3fc90edbe14fb7e2927de1ab662feb5f")</f>
        <v>0</v>
      </c>
      <c r="C50114">
        <f>HYPERLINK("https://android.googlesource.com/platform/cts/+/f77adaafdb7b54033b8e66b36bdb6dffabd17ba7", "f77adaafdb7b54033b8e66b36bdb6dffabd17ba7")</f>
        <v>0</v>
      </c>
      <c r="D50114" t="s">
        <v>5766</v>
      </c>
      <c r="E50114" t="s">
        <v>10423</v>
      </c>
      <c r="F50114" t="s">
        <v>14886</v>
      </c>
      <c r="G50114" t="s">
        <v>18549</v>
      </c>
      <c r="H50114" t="s">
        <v>39425</v>
      </c>
    </row>
    <row r="50115" spans="1:8">
      <c r="A50115" t="s">
        <v>4767</v>
      </c>
      <c r="B50115">
        <f>HYPERLINK("https://android.googlesource.com/platform/cts/+/d9f1d59bf8674ad5ecfd41f5c26f2f8d8c816b53", "d9f1d59bf8674ad5ecfd41f5c26f2f8d8c816b53")</f>
        <v>0</v>
      </c>
      <c r="C50115">
        <f>HYPERLINK("https://android.googlesource.com/platform/cts/+/c7ce87e8d23bb49df5f09a39b3b61b5b5326a2b5", "c7ce87e8d23bb49df5f09a39b3b61b5b5326a2b5")</f>
        <v>0</v>
      </c>
      <c r="D50115" t="s">
        <v>5766</v>
      </c>
      <c r="E50115" t="s">
        <v>10424</v>
      </c>
      <c r="F50115" t="s">
        <v>14886</v>
      </c>
      <c r="G50115" t="s">
        <v>18549</v>
      </c>
      <c r="H50115" t="s">
        <v>39425</v>
      </c>
    </row>
    <row r="50116" spans="1:8">
      <c r="A50116" t="s">
        <v>4768</v>
      </c>
      <c r="B50116">
        <f>HYPERLINK("https://android.googlesource.com/platform/cts/+/c5c74382772b592b17ad4648b1235fc7b6ef699b", "c5c74382772b592b17ad4648b1235fc7b6ef699b")</f>
        <v>0</v>
      </c>
      <c r="C50116">
        <f>HYPERLINK("https://android.googlesource.com/platform/cts/+/4123ca3d3422df5b3f7f3bbd43f0fab158cf251e", "4123ca3d3422df5b3f7f3bbd43f0fab158cf251e")</f>
        <v>0</v>
      </c>
      <c r="D50116" t="s">
        <v>5749</v>
      </c>
      <c r="E50116" t="s">
        <v>10425</v>
      </c>
      <c r="F50116" t="s">
        <v>14879</v>
      </c>
      <c r="G50116" t="s">
        <v>18729</v>
      </c>
      <c r="H50116" t="s">
        <v>36451</v>
      </c>
    </row>
    <row r="50117" spans="1:8">
      <c r="H50117" t="s">
        <v>36451</v>
      </c>
    </row>
    <row r="50118" spans="1:8">
      <c r="H50118" t="s">
        <v>18829</v>
      </c>
    </row>
    <row r="50119" spans="1:8">
      <c r="H50119" t="s">
        <v>18863</v>
      </c>
    </row>
    <row r="50120" spans="1:8">
      <c r="H50120" t="s">
        <v>39356</v>
      </c>
    </row>
    <row r="50121" spans="1:8">
      <c r="H50121" t="s">
        <v>36852</v>
      </c>
    </row>
    <row r="50122" spans="1:8">
      <c r="H50122" t="s">
        <v>39357</v>
      </c>
    </row>
    <row r="50123" spans="1:8">
      <c r="H50123" t="s">
        <v>36845</v>
      </c>
    </row>
    <row r="50124" spans="1:8">
      <c r="H50124" t="s">
        <v>39358</v>
      </c>
    </row>
    <row r="50125" spans="1:8">
      <c r="H50125" t="s">
        <v>39359</v>
      </c>
    </row>
    <row r="50126" spans="1:8">
      <c r="H50126" t="s">
        <v>39360</v>
      </c>
    </row>
    <row r="50127" spans="1:8">
      <c r="H50127" t="s">
        <v>39361</v>
      </c>
    </row>
    <row r="50128" spans="1:8">
      <c r="H50128" t="s">
        <v>39362</v>
      </c>
    </row>
    <row r="50129" spans="1:8">
      <c r="H50129" t="s">
        <v>39363</v>
      </c>
    </row>
    <row r="50130" spans="1:8">
      <c r="A50130" t="s">
        <v>4769</v>
      </c>
      <c r="B50130">
        <f>HYPERLINK("https://android.googlesource.com/platform/cts/+/a9d8686b1690086dd83d86a1fb23eb97cf6a07c1", "a9d8686b1690086dd83d86a1fb23eb97cf6a07c1")</f>
        <v>0</v>
      </c>
      <c r="C50130">
        <f>HYPERLINK("https://android.googlesource.com/platform/cts/+/6030f471e10b52ea427ab21ec247c7f2a863cda2", "6030f471e10b52ea427ab21ec247c7f2a863cda2")</f>
        <v>0</v>
      </c>
      <c r="D50130" t="s">
        <v>5749</v>
      </c>
      <c r="E50130" t="s">
        <v>10426</v>
      </c>
      <c r="F50130" t="s">
        <v>14881</v>
      </c>
      <c r="G50130" t="s">
        <v>18729</v>
      </c>
      <c r="H50130" t="s">
        <v>36852</v>
      </c>
    </row>
    <row r="50131" spans="1:8">
      <c r="H50131" t="s">
        <v>39357</v>
      </c>
    </row>
    <row r="50132" spans="1:8">
      <c r="H50132" t="s">
        <v>39373</v>
      </c>
    </row>
    <row r="50133" spans="1:8">
      <c r="H50133" t="s">
        <v>36851</v>
      </c>
    </row>
    <row r="50134" spans="1:8">
      <c r="H50134" t="s">
        <v>39374</v>
      </c>
    </row>
    <row r="50135" spans="1:8">
      <c r="A50135" t="s">
        <v>4770</v>
      </c>
      <c r="B50135">
        <f>HYPERLINK("https://android.googlesource.com/platform/cts/+/0df5e50fc4c5282c67ccfb1b514083e14baa4690", "0df5e50fc4c5282c67ccfb1b514083e14baa4690")</f>
        <v>0</v>
      </c>
      <c r="C50135">
        <f>HYPERLINK("https://android.googlesource.com/platform/cts/+/d8ae0754ff7ccb31328cfd554f607b118708388a", "d8ae0754ff7ccb31328cfd554f607b118708388a")</f>
        <v>0</v>
      </c>
      <c r="D50135" t="s">
        <v>5508</v>
      </c>
      <c r="E50135" t="s">
        <v>10427</v>
      </c>
      <c r="F50135" t="s">
        <v>13816</v>
      </c>
      <c r="G50135" t="s">
        <v>15089</v>
      </c>
      <c r="H50135" t="s">
        <v>33342</v>
      </c>
    </row>
    <row r="50136" spans="1:8">
      <c r="H50136" t="s">
        <v>39426</v>
      </c>
    </row>
    <row r="50137" spans="1:8">
      <c r="H50137" t="s">
        <v>35524</v>
      </c>
    </row>
    <row r="50138" spans="1:8">
      <c r="H50138" t="s">
        <v>39427</v>
      </c>
    </row>
    <row r="50139" spans="1:8">
      <c r="H50139" t="s">
        <v>39428</v>
      </c>
    </row>
    <row r="50140" spans="1:8">
      <c r="H50140" t="s">
        <v>39429</v>
      </c>
    </row>
    <row r="50141" spans="1:8">
      <c r="H50141" t="s">
        <v>35511</v>
      </c>
    </row>
    <row r="50142" spans="1:8">
      <c r="H50142" t="s">
        <v>39430</v>
      </c>
    </row>
    <row r="50143" spans="1:8">
      <c r="H50143" t="s">
        <v>39431</v>
      </c>
    </row>
    <row r="50144" spans="1:8">
      <c r="A50144" t="s">
        <v>4771</v>
      </c>
      <c r="B50144">
        <f>HYPERLINK("https://android.googlesource.com/platform/cts/+/97ec47e95030062c59a41cfc94c3876bb3b80892", "97ec47e95030062c59a41cfc94c3876bb3b80892")</f>
        <v>0</v>
      </c>
      <c r="C50144">
        <f>HYPERLINK("https://android.googlesource.com/platform/cts/+/66173380ca3e879679f90648adabfb7eb3279be8", "66173380ca3e879679f90648adabfb7eb3279be8")</f>
        <v>0</v>
      </c>
      <c r="D50144" t="s">
        <v>5268</v>
      </c>
      <c r="E50144" t="s">
        <v>10428</v>
      </c>
      <c r="F50144" t="s">
        <v>14887</v>
      </c>
      <c r="G50144" t="s">
        <v>18734</v>
      </c>
      <c r="H50144" t="s">
        <v>39432</v>
      </c>
    </row>
    <row r="50145" spans="1:8">
      <c r="A50145" t="s">
        <v>4772</v>
      </c>
      <c r="B50145">
        <f>HYPERLINK("https://android.googlesource.com/platform/cts/+/1958d7668e22b4302b38c88d6041ac3b917759dd", "1958d7668e22b4302b38c88d6041ac3b917759dd")</f>
        <v>0</v>
      </c>
      <c r="C50145">
        <f>HYPERLINK("https://android.googlesource.com/platform/cts/+/91205a58b85ffd0fbb0fb25a736c58d3b4571fd0", "91205a58b85ffd0fbb0fb25a736c58d3b4571fd0")</f>
        <v>0</v>
      </c>
      <c r="D50145" t="s">
        <v>5508</v>
      </c>
      <c r="E50145" t="s">
        <v>10429</v>
      </c>
      <c r="F50145" t="s">
        <v>13816</v>
      </c>
      <c r="G50145" t="s">
        <v>15089</v>
      </c>
      <c r="H50145" t="s">
        <v>31838</v>
      </c>
    </row>
    <row r="50146" spans="1:8">
      <c r="F50146" t="s">
        <v>14712</v>
      </c>
      <c r="G50146" t="s">
        <v>17455</v>
      </c>
      <c r="H50146" t="s">
        <v>37699</v>
      </c>
    </row>
    <row r="50147" spans="1:8">
      <c r="A50147" t="s">
        <v>4773</v>
      </c>
      <c r="B50147">
        <f>HYPERLINK("https://android.googlesource.com/platform/cts/+/b6ef4e7df303c2fe540783d6341b4cd2d977a57f", "b6ef4e7df303c2fe540783d6341b4cd2d977a57f")</f>
        <v>0</v>
      </c>
      <c r="C50147">
        <f>HYPERLINK("https://android.googlesource.com/platform/cts/+/f8a585b599c38a3002eb8f190a74a09a8d18f2e7", "f8a585b599c38a3002eb8f190a74a09a8d18f2e7")</f>
        <v>0</v>
      </c>
      <c r="D50147" t="s">
        <v>5670</v>
      </c>
      <c r="E50147" t="s">
        <v>10430</v>
      </c>
      <c r="F50147" t="s">
        <v>14461</v>
      </c>
      <c r="G50147" t="s">
        <v>15710</v>
      </c>
      <c r="H50147" t="s">
        <v>39433</v>
      </c>
    </row>
    <row r="50148" spans="1:8">
      <c r="H50148" t="s">
        <v>39434</v>
      </c>
    </row>
    <row r="50149" spans="1:8">
      <c r="A50149" t="s">
        <v>4774</v>
      </c>
      <c r="B50149">
        <f>HYPERLINK("https://android.googlesource.com/platform/cts/+/8ae831bebba660d342c00a935918f0d38d8915ce", "8ae831bebba660d342c00a935918f0d38d8915ce")</f>
        <v>0</v>
      </c>
      <c r="C50149">
        <f>HYPERLINK("https://android.googlesource.com/platform/cts/+/4b7d8d4223eae0559866493a9cf74b727834d49f", "4b7d8d4223eae0559866493a9cf74b727834d49f")</f>
        <v>0</v>
      </c>
      <c r="D50149" t="s">
        <v>5675</v>
      </c>
      <c r="E50149" t="s">
        <v>10431</v>
      </c>
      <c r="F50149" t="s">
        <v>10715</v>
      </c>
      <c r="G50149" t="s">
        <v>15114</v>
      </c>
      <c r="H50149" t="s">
        <v>37432</v>
      </c>
    </row>
    <row r="50150" spans="1:8">
      <c r="A50150" t="s">
        <v>4775</v>
      </c>
      <c r="B50150">
        <f>HYPERLINK("https://android.googlesource.com/platform/cts/+/9faa232c53d8d726bfaea6c1ceff625f3e6db18b", "9faa232c53d8d726bfaea6c1ceff625f3e6db18b")</f>
        <v>0</v>
      </c>
      <c r="C50150">
        <f>HYPERLINK("https://android.googlesource.com/platform/cts/+/4ba61891e37d1f2f5b90d20aa4d8013321b8428f", "4ba61891e37d1f2f5b90d20aa4d8013321b8428f")</f>
        <v>0</v>
      </c>
      <c r="D50150" t="s">
        <v>5311</v>
      </c>
      <c r="E50150" t="s">
        <v>10432</v>
      </c>
      <c r="F50150" t="s">
        <v>12629</v>
      </c>
      <c r="G50150" t="s">
        <v>16838</v>
      </c>
      <c r="H50150" t="s">
        <v>39435</v>
      </c>
    </row>
    <row r="50151" spans="1:8">
      <c r="A50151" t="s">
        <v>4776</v>
      </c>
      <c r="B50151">
        <f>HYPERLINK("https://android.googlesource.com/platform/cts/+/b2d0bd152176509b2793f0ce9ab5c3f858b2a97b", "b2d0bd152176509b2793f0ce9ab5c3f858b2a97b")</f>
        <v>0</v>
      </c>
      <c r="C50151">
        <f>HYPERLINK("https://android.googlesource.com/platform/cts/+/4123ca3d3422df5b3f7f3bbd43f0fab158cf251e", "4123ca3d3422df5b3f7f3bbd43f0fab158cf251e")</f>
        <v>0</v>
      </c>
      <c r="D50151" t="s">
        <v>5504</v>
      </c>
      <c r="E50151" t="s">
        <v>10433</v>
      </c>
      <c r="F50151" t="s">
        <v>14300</v>
      </c>
      <c r="G50151" t="s">
        <v>18259</v>
      </c>
      <c r="H50151" t="s">
        <v>37866</v>
      </c>
    </row>
    <row r="50152" spans="1:8">
      <c r="H50152" t="s">
        <v>37867</v>
      </c>
    </row>
    <row r="50153" spans="1:8">
      <c r="H50153" t="s">
        <v>37868</v>
      </c>
    </row>
    <row r="50154" spans="1:8">
      <c r="H50154" t="s">
        <v>37869</v>
      </c>
    </row>
    <row r="50155" spans="1:8">
      <c r="H50155" t="s">
        <v>37870</v>
      </c>
    </row>
    <row r="50156" spans="1:8">
      <c r="A50156" t="s">
        <v>4777</v>
      </c>
      <c r="B50156">
        <f>HYPERLINK("https://android.googlesource.com/platform/cts/+/ce0e21498c7fe10b66a69389f4a265149155f793", "ce0e21498c7fe10b66a69389f4a265149155f793")</f>
        <v>0</v>
      </c>
      <c r="C50156">
        <f>HYPERLINK("https://android.googlesource.com/platform/cts/+/9e851a9925eabdafc618356f3fd4a8597de327c8", "9e851a9925eabdafc618356f3fd4a8597de327c8")</f>
        <v>0</v>
      </c>
      <c r="D50156" t="s">
        <v>5268</v>
      </c>
      <c r="E50156" t="s">
        <v>10434</v>
      </c>
      <c r="F50156" t="s">
        <v>14887</v>
      </c>
      <c r="G50156" t="s">
        <v>18734</v>
      </c>
      <c r="H50156" t="s">
        <v>39432</v>
      </c>
    </row>
    <row r="50157" spans="1:8">
      <c r="A50157" t="s">
        <v>4778</v>
      </c>
      <c r="B50157">
        <f>HYPERLINK("https://android.googlesource.com/platform/cts/+/023b2fd7401bc56efd86f3af9cbeff0560e5577d", "023b2fd7401bc56efd86f3af9cbeff0560e5577d")</f>
        <v>0</v>
      </c>
      <c r="C50157">
        <f>HYPERLINK("https://android.googlesource.com/platform/cts/+/e49c4260fbe6de61e96343999e471b83347c50a5", "e49c4260fbe6de61e96343999e471b83347c50a5")</f>
        <v>0</v>
      </c>
      <c r="D50157" t="s">
        <v>5520</v>
      </c>
      <c r="E50157" t="s">
        <v>10435</v>
      </c>
      <c r="F50157" t="s">
        <v>14888</v>
      </c>
      <c r="G50157" t="s">
        <v>18735</v>
      </c>
      <c r="H50157" t="s">
        <v>39436</v>
      </c>
    </row>
    <row r="50158" spans="1:8">
      <c r="A50158" t="s">
        <v>4779</v>
      </c>
      <c r="B50158">
        <f>HYPERLINK("https://android.googlesource.com/platform/cts/+/9e05e59ce23c7578eb58792ba1dbf49b5fc4567b", "9e05e59ce23c7578eb58792ba1dbf49b5fc4567b")</f>
        <v>0</v>
      </c>
      <c r="C50158">
        <f>HYPERLINK("https://android.googlesource.com/platform/cts/+/645115915a0f66fb269deb0654fcb4ff091ce58c", "645115915a0f66fb269deb0654fcb4ff091ce58c")</f>
        <v>0</v>
      </c>
      <c r="D50158" t="s">
        <v>5767</v>
      </c>
      <c r="E50158" t="s">
        <v>10436</v>
      </c>
      <c r="F50158" t="s">
        <v>14883</v>
      </c>
      <c r="G50158" t="s">
        <v>18732</v>
      </c>
      <c r="H50158" t="s">
        <v>39388</v>
      </c>
    </row>
    <row r="50159" spans="1:8">
      <c r="H50159" t="s">
        <v>33588</v>
      </c>
    </row>
    <row r="50160" spans="1:8">
      <c r="H50160" t="s">
        <v>39389</v>
      </c>
    </row>
    <row r="50161" spans="1:8">
      <c r="A50161" t="s">
        <v>4780</v>
      </c>
      <c r="B50161">
        <f>HYPERLINK("https://android.googlesource.com/platform/cts/+/c1d8d31a51a877ea62af10755b2dd22dc6d6185a", "c1d8d31a51a877ea62af10755b2dd22dc6d6185a")</f>
        <v>0</v>
      </c>
      <c r="C50161">
        <f>HYPERLINK("https://android.googlesource.com/platform/cts/+/2173edfae397abeef859bb1d01a84dcdcd3a41f3", "2173edfae397abeef859bb1d01a84dcdcd3a41f3")</f>
        <v>0</v>
      </c>
      <c r="D50161" t="s">
        <v>5768</v>
      </c>
      <c r="E50161" t="s">
        <v>10437</v>
      </c>
      <c r="F50161" t="s">
        <v>14069</v>
      </c>
      <c r="G50161" t="s">
        <v>18067</v>
      </c>
      <c r="H50161" t="s">
        <v>39437</v>
      </c>
    </row>
    <row r="50162" spans="1:8">
      <c r="A50162" t="s">
        <v>4781</v>
      </c>
      <c r="B50162">
        <f>HYPERLINK("https://android.googlesource.com/platform/cts/+/52748d3235182c1ea57fbd44db0af48b6defb5db", "52748d3235182c1ea57fbd44db0af48b6defb5db")</f>
        <v>0</v>
      </c>
      <c r="C50162">
        <f>HYPERLINK("https://android.googlesource.com/platform/cts/+/2242c7ab9561078f14f65347da5ce2b5718aaecf", "2242c7ab9561078f14f65347da5ce2b5718aaecf")</f>
        <v>0</v>
      </c>
      <c r="D50162" t="s">
        <v>5541</v>
      </c>
      <c r="E50162" t="s">
        <v>10438</v>
      </c>
      <c r="F50162" t="s">
        <v>11481</v>
      </c>
      <c r="G50162" t="s">
        <v>15722</v>
      </c>
      <c r="H50162" t="s">
        <v>39438</v>
      </c>
    </row>
    <row r="50163" spans="1:8">
      <c r="A50163" t="s">
        <v>4782</v>
      </c>
      <c r="B50163">
        <f>HYPERLINK("https://android.googlesource.com/platform/cts/+/0e4c191a2754eda8f961bed30bd97557b97f1461", "0e4c191a2754eda8f961bed30bd97557b97f1461")</f>
        <v>0</v>
      </c>
      <c r="C50163">
        <f>HYPERLINK("https://android.googlesource.com/platform/cts/+/44cbd31e8c928e2e052c31de103efa7777e062d6", "44cbd31e8c928e2e052c31de103efa7777e062d6")</f>
        <v>0</v>
      </c>
      <c r="D50163" t="s">
        <v>5454</v>
      </c>
      <c r="E50163" t="s">
        <v>10439</v>
      </c>
      <c r="F50163" t="s">
        <v>14261</v>
      </c>
      <c r="G50163" t="s">
        <v>18228</v>
      </c>
      <c r="H50163" t="s">
        <v>39439</v>
      </c>
    </row>
    <row r="50164" spans="1:8">
      <c r="A50164" t="s">
        <v>4783</v>
      </c>
      <c r="B50164">
        <f>HYPERLINK("https://android.googlesource.com/platform/cts/+/ed46c4eb87007c4e75fc6836cec64e990212b577", "ed46c4eb87007c4e75fc6836cec64e990212b577")</f>
        <v>0</v>
      </c>
      <c r="C50164">
        <f>HYPERLINK("https://android.googlesource.com/platform/cts/+/ba2f13d1a0b7fa21944c0d0f26cf22a86cf30c6f", "ba2f13d1a0b7fa21944c0d0f26cf22a86cf30c6f")</f>
        <v>0</v>
      </c>
      <c r="D50164" t="s">
        <v>5765</v>
      </c>
      <c r="E50164" t="s">
        <v>10440</v>
      </c>
      <c r="F50164" t="s">
        <v>14889</v>
      </c>
      <c r="G50164" t="s">
        <v>18736</v>
      </c>
      <c r="H50164" t="s">
        <v>39440</v>
      </c>
    </row>
    <row r="50165" spans="1:8">
      <c r="A50165" t="s">
        <v>4784</v>
      </c>
      <c r="B50165">
        <f>HYPERLINK("https://android.googlesource.com/platform/cts/+/60c3993e8cdc009d0d62f4616396384b9a4156ba", "60c3993e8cdc009d0d62f4616396384b9a4156ba")</f>
        <v>0</v>
      </c>
      <c r="C50165">
        <f>HYPERLINK("https://android.googlesource.com/platform/cts/+/35e8324d7b3f0e59444f7f0f3738772ca8df3c6f", "35e8324d7b3f0e59444f7f0f3738772ca8df3c6f")</f>
        <v>0</v>
      </c>
      <c r="D50165" t="s">
        <v>5749</v>
      </c>
      <c r="E50165" t="s">
        <v>10441</v>
      </c>
      <c r="F50165" t="s">
        <v>14881</v>
      </c>
      <c r="G50165" t="s">
        <v>18729</v>
      </c>
      <c r="H50165" t="s">
        <v>36451</v>
      </c>
    </row>
    <row r="50166" spans="1:8">
      <c r="H50166" t="s">
        <v>36451</v>
      </c>
    </row>
    <row r="50167" spans="1:8">
      <c r="H50167" t="s">
        <v>36451</v>
      </c>
    </row>
    <row r="50168" spans="1:8">
      <c r="A50168" t="s">
        <v>4785</v>
      </c>
      <c r="B50168">
        <f>HYPERLINK("https://android.googlesource.com/platform/cts/+/6c4bf59a8414840ac62028eaf53cb27ea1c24790", "6c4bf59a8414840ac62028eaf53cb27ea1c24790")</f>
        <v>0</v>
      </c>
      <c r="C50168">
        <f>HYPERLINK("https://android.googlesource.com/platform/cts/+/4b0ba934087aa23af4b1c911e79c7b296775c5c8", "4b0ba934087aa23af4b1c911e79c7b296775c5c8")</f>
        <v>0</v>
      </c>
      <c r="D50168" t="s">
        <v>5769</v>
      </c>
      <c r="E50168" t="s">
        <v>10442</v>
      </c>
      <c r="F50168" t="s">
        <v>14890</v>
      </c>
      <c r="G50168" t="s">
        <v>18737</v>
      </c>
      <c r="H50168" t="s">
        <v>39441</v>
      </c>
    </row>
    <row r="50169" spans="1:8">
      <c r="A50169" t="s">
        <v>4786</v>
      </c>
      <c r="B50169">
        <f>HYPERLINK("https://android.googlesource.com/platform/cts/+/3908c5f9bda2ba371b477c5f004e0509f931bd30", "3908c5f9bda2ba371b477c5f004e0509f931bd30")</f>
        <v>0</v>
      </c>
      <c r="C50169">
        <f>HYPERLINK("https://android.googlesource.com/platform/cts/+/d7561b941afbae21e358af818336109a9d240234", "d7561b941afbae21e358af818336109a9d240234")</f>
        <v>0</v>
      </c>
      <c r="D50169" t="s">
        <v>5728</v>
      </c>
      <c r="E50169" t="s">
        <v>10443</v>
      </c>
      <c r="F50169" t="s">
        <v>14889</v>
      </c>
      <c r="G50169" t="s">
        <v>18736</v>
      </c>
      <c r="H50169" t="s">
        <v>39440</v>
      </c>
    </row>
    <row r="50170" spans="1:8">
      <c r="A50170" t="s">
        <v>4787</v>
      </c>
      <c r="B50170">
        <f>HYPERLINK("https://android.googlesource.com/platform/cts/+/9b41765b2b8c1cb38cb77645a3aa823df8a9638d", "9b41765b2b8c1cb38cb77645a3aa823df8a9638d")</f>
        <v>0</v>
      </c>
      <c r="C50170">
        <f>HYPERLINK("https://android.googlesource.com/platform/cts/+/13625dd2dcdcf7f6c6e9fa5041e920f288ecb94b", "13625dd2dcdcf7f6c6e9fa5041e920f288ecb94b")</f>
        <v>0</v>
      </c>
      <c r="D50170" t="s">
        <v>5770</v>
      </c>
      <c r="E50170" t="s">
        <v>10444</v>
      </c>
      <c r="F50170" t="s">
        <v>13816</v>
      </c>
      <c r="G50170" t="s">
        <v>15089</v>
      </c>
      <c r="H50170" t="s">
        <v>34903</v>
      </c>
    </row>
    <row r="50171" spans="1:8">
      <c r="H50171" t="s">
        <v>19019</v>
      </c>
    </row>
    <row r="50172" spans="1:8">
      <c r="H50172" t="s">
        <v>36041</v>
      </c>
    </row>
    <row r="50173" spans="1:8">
      <c r="H50173" t="s">
        <v>34904</v>
      </c>
    </row>
    <row r="50174" spans="1:8">
      <c r="A50174" t="s">
        <v>4788</v>
      </c>
      <c r="B50174">
        <f>HYPERLINK("https://android.googlesource.com/platform/cts/+/7ff453ae8feddc2b989301a7e428dcfcb5e8a17c", "7ff453ae8feddc2b989301a7e428dcfcb5e8a17c")</f>
        <v>0</v>
      </c>
      <c r="C50174">
        <f>HYPERLINK("https://android.googlesource.com/platform/cts/+/9d328bb1816862803ec81b61b65aa76990386994", "9d328bb1816862803ec81b61b65aa76990386994")</f>
        <v>0</v>
      </c>
      <c r="D50174" t="s">
        <v>5771</v>
      </c>
      <c r="E50174" t="s">
        <v>10445</v>
      </c>
      <c r="F50174" t="s">
        <v>13422</v>
      </c>
      <c r="G50174" t="s">
        <v>16418</v>
      </c>
      <c r="H50174" t="s">
        <v>28617</v>
      </c>
    </row>
    <row r="50175" spans="1:8">
      <c r="A50175" t="s">
        <v>4789</v>
      </c>
      <c r="B50175">
        <f>HYPERLINK("https://android.googlesource.com/platform/cts/+/37750818ead45b0e582f467142f5f5e24940efc6", "37750818ead45b0e582f467142f5f5e24940efc6")</f>
        <v>0</v>
      </c>
      <c r="C50175">
        <f>HYPERLINK("https://android.googlesource.com/platform/cts/+/7c5997f39c85e0e29443fe88c0fdbf30d210031b", "7c5997f39c85e0e29443fe88c0fdbf30d210031b")</f>
        <v>0</v>
      </c>
      <c r="D50175" t="s">
        <v>5494</v>
      </c>
      <c r="E50175" t="s">
        <v>10446</v>
      </c>
      <c r="F50175" t="s">
        <v>14825</v>
      </c>
      <c r="G50175" t="s">
        <v>18687</v>
      </c>
      <c r="H50175" t="s">
        <v>39442</v>
      </c>
    </row>
    <row r="50176" spans="1:8">
      <c r="H50176" t="s">
        <v>39443</v>
      </c>
    </row>
    <row r="50177" spans="1:8">
      <c r="H50177" t="s">
        <v>39444</v>
      </c>
    </row>
    <row r="50178" spans="1:8">
      <c r="H50178" t="s">
        <v>39445</v>
      </c>
    </row>
    <row r="50179" spans="1:8">
      <c r="H50179" t="s">
        <v>39446</v>
      </c>
    </row>
    <row r="50180" spans="1:8">
      <c r="H50180" t="s">
        <v>39447</v>
      </c>
    </row>
    <row r="50181" spans="1:8">
      <c r="H50181" t="s">
        <v>26401</v>
      </c>
    </row>
    <row r="50182" spans="1:8">
      <c r="H50182" t="s">
        <v>39448</v>
      </c>
    </row>
    <row r="50183" spans="1:8">
      <c r="A50183" t="s">
        <v>4790</v>
      </c>
      <c r="B50183">
        <f>HYPERLINK("https://android.googlesource.com/platform/cts/+/2b256dab0280ec8e13daf1872c239370365d0f70", "2b256dab0280ec8e13daf1872c239370365d0f70")</f>
        <v>0</v>
      </c>
      <c r="C50183">
        <f>HYPERLINK("https://android.googlesource.com/platform/cts/+/7f9716d28b0fe1aa7362b02a85c082af1b6b0cc9", "7f9716d28b0fe1aa7362b02a85c082af1b6b0cc9")</f>
        <v>0</v>
      </c>
      <c r="D50183" t="s">
        <v>5451</v>
      </c>
      <c r="E50183" t="s">
        <v>10447</v>
      </c>
      <c r="F50183" t="s">
        <v>14891</v>
      </c>
      <c r="G50183" t="s">
        <v>17498</v>
      </c>
      <c r="H50183" t="s">
        <v>39449</v>
      </c>
    </row>
    <row r="50184" spans="1:8">
      <c r="A50184" t="s">
        <v>4791</v>
      </c>
      <c r="B50184">
        <f>HYPERLINK("https://android.googlesource.com/platform/cts/+/28017f9f9eb5b764c9721cbc6e7136067fb87ce7", "28017f9f9eb5b764c9721cbc6e7136067fb87ce7")</f>
        <v>0</v>
      </c>
      <c r="C50184">
        <f>HYPERLINK("https://android.googlesource.com/platform/cts/+/6893eb7b8555f40670e71ed607ed3a3b692ca55a", "6893eb7b8555f40670e71ed607ed3a3b692ca55a")</f>
        <v>0</v>
      </c>
      <c r="D50184" t="s">
        <v>5753</v>
      </c>
      <c r="E50184" t="s">
        <v>10448</v>
      </c>
      <c r="F50184" t="s">
        <v>14892</v>
      </c>
      <c r="G50184" t="s">
        <v>16415</v>
      </c>
      <c r="H50184" t="s">
        <v>36824</v>
      </c>
    </row>
    <row r="50185" spans="1:8">
      <c r="H50185" t="s">
        <v>36825</v>
      </c>
    </row>
    <row r="50186" spans="1:8">
      <c r="H50186" t="s">
        <v>36826</v>
      </c>
    </row>
    <row r="50187" spans="1:8">
      <c r="H50187" t="s">
        <v>36827</v>
      </c>
    </row>
    <row r="50188" spans="1:8">
      <c r="A50188" t="s">
        <v>4792</v>
      </c>
      <c r="B50188">
        <f>HYPERLINK("https://android.googlesource.com/platform/cts/+/ba91da5cfc514a65eb4aeaf7b7e9219af5fb6d31", "ba91da5cfc514a65eb4aeaf7b7e9219af5fb6d31")</f>
        <v>0</v>
      </c>
      <c r="C50188">
        <f>HYPERLINK("https://android.googlesource.com/platform/cts/+/574da0a5945c088d345e17894c242faa9bccf66b", "574da0a5945c088d345e17894c242faa9bccf66b")</f>
        <v>0</v>
      </c>
      <c r="D50188" t="s">
        <v>5564</v>
      </c>
      <c r="E50188" t="s">
        <v>10449</v>
      </c>
      <c r="F50188" t="s">
        <v>14889</v>
      </c>
      <c r="G50188" t="s">
        <v>18736</v>
      </c>
      <c r="H50188" t="s">
        <v>39450</v>
      </c>
    </row>
    <row r="50189" spans="1:8">
      <c r="H50189" t="s">
        <v>39451</v>
      </c>
    </row>
    <row r="50190" spans="1:8">
      <c r="F50190" t="s">
        <v>14893</v>
      </c>
      <c r="G50190" t="s">
        <v>18738</v>
      </c>
      <c r="H50190" t="s">
        <v>39440</v>
      </c>
    </row>
    <row r="50191" spans="1:8">
      <c r="A50191" t="s">
        <v>4793</v>
      </c>
      <c r="B50191">
        <f>HYPERLINK("https://android.googlesource.com/platform/cts/+/0dc48269c65d4f42b682bdba05f31de1d6f54a9b", "0dc48269c65d4f42b682bdba05f31de1d6f54a9b")</f>
        <v>0</v>
      </c>
      <c r="C50191">
        <f>HYPERLINK("https://android.googlesource.com/platform/cts/+/3206df67be59e3254fd93cecf4c961bc5d546473", "3206df67be59e3254fd93cecf4c961bc5d546473")</f>
        <v>0</v>
      </c>
      <c r="D50191" t="s">
        <v>5772</v>
      </c>
      <c r="E50191" t="s">
        <v>10450</v>
      </c>
      <c r="F50191" t="s">
        <v>14894</v>
      </c>
      <c r="G50191" t="s">
        <v>16873</v>
      </c>
      <c r="H50191" t="s">
        <v>39452</v>
      </c>
    </row>
    <row r="50192" spans="1:8">
      <c r="A50192" t="s">
        <v>4794</v>
      </c>
      <c r="B50192">
        <f>HYPERLINK("https://android.googlesource.com/platform/cts/+/1aedebaa21449282ba559dac9becae26d90c6895", "1aedebaa21449282ba559dac9becae26d90c6895")</f>
        <v>0</v>
      </c>
      <c r="C50192">
        <f>HYPERLINK("https://android.googlesource.com/platform/cts/+/9d328bb1816862803ec81b61b65aa76990386994", "9d328bb1816862803ec81b61b65aa76990386994")</f>
        <v>0</v>
      </c>
      <c r="D50192" t="s">
        <v>5771</v>
      </c>
      <c r="E50192" t="s">
        <v>10451</v>
      </c>
      <c r="F50192" t="s">
        <v>13332</v>
      </c>
      <c r="G50192" t="s">
        <v>17462</v>
      </c>
      <c r="H50192" t="s">
        <v>39453</v>
      </c>
    </row>
    <row r="50193" spans="1:8">
      <c r="H50193" t="s">
        <v>39454</v>
      </c>
    </row>
    <row r="50194" spans="1:8">
      <c r="H50194" t="s">
        <v>39455</v>
      </c>
    </row>
    <row r="50195" spans="1:8">
      <c r="H50195" t="s">
        <v>39456</v>
      </c>
    </row>
    <row r="50196" spans="1:8">
      <c r="H50196" t="s">
        <v>28617</v>
      </c>
    </row>
    <row r="50197" spans="1:8">
      <c r="A50197" t="s">
        <v>4795</v>
      </c>
      <c r="B50197">
        <f>HYPERLINK("https://android.googlesource.com/platform/cts/+/c4ef670396c5ef706bb70350b81526f66665ed27", "c4ef670396c5ef706bb70350b81526f66665ed27")</f>
        <v>0</v>
      </c>
      <c r="C50197">
        <f>HYPERLINK("https://android.googlesource.com/platform/cts/+/1cbce538cec4b2a3057112bd33960bf3c1b54f1a", "1cbce538cec4b2a3057112bd33960bf3c1b54f1a")</f>
        <v>0</v>
      </c>
      <c r="D50197" t="s">
        <v>5737</v>
      </c>
      <c r="E50197" t="s">
        <v>10452</v>
      </c>
      <c r="F50197" t="s">
        <v>14894</v>
      </c>
      <c r="G50197" t="s">
        <v>16873</v>
      </c>
      <c r="H50197" t="s">
        <v>39452</v>
      </c>
    </row>
    <row r="50198" spans="1:8">
      <c r="A50198" t="s">
        <v>4796</v>
      </c>
      <c r="B50198">
        <f>HYPERLINK("https://android.googlesource.com/platform/cts/+/bc8edd90fa0d3e43b2fe707b78940f8bd90a3336", "bc8edd90fa0d3e43b2fe707b78940f8bd90a3336")</f>
        <v>0</v>
      </c>
      <c r="C50198">
        <f>HYPERLINK("https://android.googlesource.com/platform/cts/+/ec7cd42ffa857c701267b6c3fd5eadf0eabef1b3", "ec7cd42ffa857c701267b6c3fd5eadf0eabef1b3")</f>
        <v>0</v>
      </c>
      <c r="D50198" t="s">
        <v>5454</v>
      </c>
      <c r="E50198" t="s">
        <v>10453</v>
      </c>
      <c r="F50198" t="s">
        <v>10599</v>
      </c>
      <c r="G50198" t="s">
        <v>15002</v>
      </c>
      <c r="H50198" t="s">
        <v>39457</v>
      </c>
    </row>
    <row r="50199" spans="1:8">
      <c r="H50199" t="s">
        <v>33203</v>
      </c>
    </row>
    <row r="50200" spans="1:8">
      <c r="H50200" t="s">
        <v>19538</v>
      </c>
    </row>
    <row r="50201" spans="1:8">
      <c r="H50201" t="s">
        <v>37228</v>
      </c>
    </row>
    <row r="50202" spans="1:8">
      <c r="H50202" t="s">
        <v>20083</v>
      </c>
    </row>
    <row r="50203" spans="1:8">
      <c r="H50203" t="s">
        <v>37227</v>
      </c>
    </row>
    <row r="50204" spans="1:8">
      <c r="H50204" t="s">
        <v>37229</v>
      </c>
    </row>
    <row r="50205" spans="1:8">
      <c r="H50205" t="s">
        <v>19374</v>
      </c>
    </row>
    <row r="50206" spans="1:8">
      <c r="A50206" t="s">
        <v>4797</v>
      </c>
      <c r="B50206">
        <f>HYPERLINK("https://android.googlesource.com/platform/cts/+/e3618725cc0e2639652f0058273d9bfc96d87329", "e3618725cc0e2639652f0058273d9bfc96d87329")</f>
        <v>0</v>
      </c>
      <c r="C50206">
        <f>HYPERLINK("https://android.googlesource.com/platform/cts/+/57677d95c4dff0c37126fa1c24ec43016facb607", "57677d95c4dff0c37126fa1c24ec43016facb607")</f>
        <v>0</v>
      </c>
      <c r="D50206" t="s">
        <v>5494</v>
      </c>
      <c r="E50206" t="s">
        <v>10454</v>
      </c>
      <c r="F50206" t="s">
        <v>14895</v>
      </c>
      <c r="G50206" t="s">
        <v>18739</v>
      </c>
      <c r="H50206" t="s">
        <v>39458</v>
      </c>
    </row>
    <row r="50207" spans="1:8">
      <c r="H50207" t="s">
        <v>39459</v>
      </c>
    </row>
    <row r="50208" spans="1:8">
      <c r="H50208" t="s">
        <v>39460</v>
      </c>
    </row>
    <row r="50209" spans="1:8">
      <c r="H50209" t="s">
        <v>39461</v>
      </c>
    </row>
    <row r="50210" spans="1:8">
      <c r="H50210" t="s">
        <v>39462</v>
      </c>
    </row>
    <row r="50211" spans="1:8">
      <c r="H50211" t="s">
        <v>39463</v>
      </c>
    </row>
    <row r="50212" spans="1:8">
      <c r="F50212" t="s">
        <v>14896</v>
      </c>
      <c r="G50212" t="s">
        <v>18740</v>
      </c>
      <c r="H50212" t="s">
        <v>39464</v>
      </c>
    </row>
    <row r="50213" spans="1:8">
      <c r="H50213" t="s">
        <v>39465</v>
      </c>
    </row>
    <row r="50214" spans="1:8">
      <c r="H50214" t="s">
        <v>39466</v>
      </c>
    </row>
    <row r="50215" spans="1:8">
      <c r="H50215" t="s">
        <v>39467</v>
      </c>
    </row>
    <row r="50216" spans="1:8">
      <c r="H50216" t="s">
        <v>39468</v>
      </c>
    </row>
    <row r="50217" spans="1:8">
      <c r="A50217" t="s">
        <v>4798</v>
      </c>
      <c r="B50217">
        <f>HYPERLINK("https://android.googlesource.com/platform/cts/+/929549ac3669a9374e3e4ff0154cc94a5acce563", "929549ac3669a9374e3e4ff0154cc94a5acce563")</f>
        <v>0</v>
      </c>
      <c r="C50217">
        <f>HYPERLINK("https://android.googlesource.com/platform/cts/+/02d1a82dd9c5ba9d9d12fe9ac0cafb87385cdab0", "02d1a82dd9c5ba9d9d12fe9ac0cafb87385cdab0")</f>
        <v>0</v>
      </c>
      <c r="D50217" t="s">
        <v>5728</v>
      </c>
      <c r="E50217" t="s">
        <v>10455</v>
      </c>
      <c r="F50217" t="s">
        <v>14889</v>
      </c>
      <c r="G50217" t="s">
        <v>18736</v>
      </c>
      <c r="H50217" t="s">
        <v>39450</v>
      </c>
    </row>
    <row r="50218" spans="1:8">
      <c r="H50218" t="s">
        <v>39451</v>
      </c>
    </row>
    <row r="50219" spans="1:8">
      <c r="F50219" t="s">
        <v>14893</v>
      </c>
      <c r="G50219" t="s">
        <v>18738</v>
      </c>
      <c r="H50219" t="s">
        <v>39440</v>
      </c>
    </row>
    <row r="50220" spans="1:8">
      <c r="A50220" t="s">
        <v>4799</v>
      </c>
      <c r="B50220">
        <f>HYPERLINK("https://android.googlesource.com/platform/cts/+/638f10f4bd2c764cf1fc7d9f5a39368b22eda899", "638f10f4bd2c764cf1fc7d9f5a39368b22eda899")</f>
        <v>0</v>
      </c>
      <c r="C50220">
        <f>HYPERLINK("https://android.googlesource.com/platform/cts/+/96dfbbe5394345cd537f671e084a0d0041125e60", "96dfbbe5394345cd537f671e084a0d0041125e60")</f>
        <v>0</v>
      </c>
      <c r="D50220" t="s">
        <v>5564</v>
      </c>
      <c r="E50220" t="s">
        <v>10456</v>
      </c>
      <c r="F50220" t="s">
        <v>14506</v>
      </c>
      <c r="G50220" t="s">
        <v>18435</v>
      </c>
      <c r="H50220" t="s">
        <v>39469</v>
      </c>
    </row>
    <row r="50221" spans="1:8">
      <c r="A50221" t="s">
        <v>4800</v>
      </c>
      <c r="B50221">
        <f>HYPERLINK("https://android.googlesource.com/platform/cts/+/bcee39af4f687050418e20c8e9afd69d1df7c434", "bcee39af4f687050418e20c8e9afd69d1df7c434")</f>
        <v>0</v>
      </c>
      <c r="C50221">
        <f>HYPERLINK("https://android.googlesource.com/platform/cts/+/9e9211376cb78a772d47f5fd9fee0c992b95b223", "9e9211376cb78a772d47f5fd9fee0c992b95b223")</f>
        <v>0</v>
      </c>
      <c r="D50221" t="s">
        <v>5728</v>
      </c>
      <c r="E50221" t="s">
        <v>10457</v>
      </c>
      <c r="F50221" t="s">
        <v>14506</v>
      </c>
      <c r="G50221" t="s">
        <v>18435</v>
      </c>
      <c r="H50221" t="s">
        <v>39469</v>
      </c>
    </row>
    <row r="50222" spans="1:8">
      <c r="A50222" t="s">
        <v>4801</v>
      </c>
      <c r="B50222">
        <f>HYPERLINK("https://android.googlesource.com/platform/cts/+/3b2d465d2eb76d5de4a6c90737af59c115daaa4f", "3b2d465d2eb76d5de4a6c90737af59c115daaa4f")</f>
        <v>0</v>
      </c>
      <c r="C50222">
        <f>HYPERLINK("https://android.googlesource.com/platform/cts/+/943e5939b77a1b7c6ebc80f887f89dfafbcf9f35", "943e5939b77a1b7c6ebc80f887f89dfafbcf9f35")</f>
        <v>0</v>
      </c>
      <c r="D50222" t="s">
        <v>5753</v>
      </c>
      <c r="E50222" t="s">
        <v>10458</v>
      </c>
      <c r="F50222" t="s">
        <v>14892</v>
      </c>
      <c r="G50222" t="s">
        <v>16415</v>
      </c>
      <c r="H50222" t="s">
        <v>39470</v>
      </c>
    </row>
    <row r="50223" spans="1:8">
      <c r="A50223" t="s">
        <v>4802</v>
      </c>
      <c r="B50223">
        <f>HYPERLINK("https://android.googlesource.com/platform/cts/+/25e472e906c6387fd0be74273e418c594010ddf4", "25e472e906c6387fd0be74273e418c594010ddf4")</f>
        <v>0</v>
      </c>
      <c r="C50223">
        <f>HYPERLINK("https://android.googlesource.com/platform/cts/+/41095a79333dc8bc163b8ade2289fc913396b9a1", "41095a79333dc8bc163b8ade2289fc913396b9a1")</f>
        <v>0</v>
      </c>
      <c r="D50223" t="s">
        <v>5773</v>
      </c>
      <c r="E50223" t="s">
        <v>10459</v>
      </c>
      <c r="F50223" t="s">
        <v>13495</v>
      </c>
      <c r="G50223" t="s">
        <v>17158</v>
      </c>
      <c r="H50223" t="s">
        <v>39471</v>
      </c>
    </row>
    <row r="50224" spans="1:8">
      <c r="H50224" t="s">
        <v>39472</v>
      </c>
    </row>
    <row r="50225" spans="1:8">
      <c r="A50225" t="s">
        <v>4803</v>
      </c>
      <c r="B50225">
        <f>HYPERLINK("https://android.googlesource.com/platform/cts/+/fe4217b822b3241017cb212273080e23c8f24783", "fe4217b822b3241017cb212273080e23c8f24783")</f>
        <v>0</v>
      </c>
      <c r="C50225">
        <f>HYPERLINK("https://android.googlesource.com/platform/cts/+/e2523757f289f625f21eeb58df03eb8e1eacb3fe", "e2523757f289f625f21eeb58df03eb8e1eacb3fe")</f>
        <v>0</v>
      </c>
      <c r="D50225" t="s">
        <v>5774</v>
      </c>
      <c r="E50225" t="s">
        <v>10460</v>
      </c>
      <c r="F50225" t="s">
        <v>14582</v>
      </c>
      <c r="G50225" t="s">
        <v>18501</v>
      </c>
      <c r="H50225" t="s">
        <v>39473</v>
      </c>
    </row>
    <row r="50226" spans="1:8">
      <c r="A50226" t="s">
        <v>4804</v>
      </c>
      <c r="B50226">
        <f>HYPERLINK("https://android.googlesource.com/platform/cts/+/ef22c6e20b3a700217894f16a64b4bd2e044adc0", "ef22c6e20b3a700217894f16a64b4bd2e044adc0")</f>
        <v>0</v>
      </c>
      <c r="C50226">
        <f>HYPERLINK("https://android.googlesource.com/platform/cts/+/4fd6c664fed49fea275cab0e1bb5995a94a48572", "4fd6c664fed49fea275cab0e1bb5995a94a48572")</f>
        <v>0</v>
      </c>
      <c r="D50226" t="s">
        <v>5775</v>
      </c>
      <c r="E50226" t="s">
        <v>10461</v>
      </c>
      <c r="F50226" t="s">
        <v>13850</v>
      </c>
      <c r="G50226" t="s">
        <v>16816</v>
      </c>
      <c r="H50226" t="s">
        <v>39474</v>
      </c>
    </row>
    <row r="50227" spans="1:8">
      <c r="A50227" t="s">
        <v>4805</v>
      </c>
      <c r="B50227">
        <f>HYPERLINK("https://android.googlesource.com/platform/cts/+/c545b1462bdfc584123c922ae3e5a78eb0196e2a", "c545b1462bdfc584123c922ae3e5a78eb0196e2a")</f>
        <v>0</v>
      </c>
      <c r="C50227">
        <f>HYPERLINK("https://android.googlesource.com/platform/cts/+/5367028c3aa5fa31daf892dac161cdbaae3883cf", "5367028c3aa5fa31daf892dac161cdbaae3883cf")</f>
        <v>0</v>
      </c>
      <c r="D50227" t="s">
        <v>5508</v>
      </c>
      <c r="E50227" t="s">
        <v>10462</v>
      </c>
      <c r="F50227" t="s">
        <v>14483</v>
      </c>
      <c r="G50227" t="s">
        <v>18415</v>
      </c>
      <c r="H50227" t="s">
        <v>33342</v>
      </c>
    </row>
    <row r="50228" spans="1:8">
      <c r="H50228" t="s">
        <v>39475</v>
      </c>
    </row>
    <row r="50229" spans="1:8">
      <c r="A50229" t="s">
        <v>4806</v>
      </c>
      <c r="B50229">
        <f>HYPERLINK("https://android.googlesource.com/platform/cts/+/f28ef499cb253b5d8dc8ad19a65429dfb77ab9e2", "f28ef499cb253b5d8dc8ad19a65429dfb77ab9e2")</f>
        <v>0</v>
      </c>
      <c r="C50229">
        <f>HYPERLINK("https://android.googlesource.com/platform/cts/+/285a633164ca873d857c87f7e87f8831428bd50a", "285a633164ca873d857c87f7e87f8831428bd50a")</f>
        <v>0</v>
      </c>
      <c r="D50229" t="s">
        <v>5290</v>
      </c>
      <c r="E50229" t="s">
        <v>10463</v>
      </c>
      <c r="F50229" t="s">
        <v>13236</v>
      </c>
      <c r="G50229" t="s">
        <v>17375</v>
      </c>
      <c r="H50229" t="s">
        <v>39476</v>
      </c>
    </row>
    <row r="50230" spans="1:8">
      <c r="A50230" t="s">
        <v>4807</v>
      </c>
      <c r="B50230">
        <f>HYPERLINK("https://android.googlesource.com/platform/cts/+/ff0ea53ffb5594d6ac35ed3c2a21c7c1c8549464", "ff0ea53ffb5594d6ac35ed3c2a21c7c1c8549464")</f>
        <v>0</v>
      </c>
      <c r="C50230">
        <f>HYPERLINK("https://android.googlesource.com/platform/cts/+/898083518b58493227278eab2a9b035c9fcff62f", "898083518b58493227278eab2a9b035c9fcff62f")</f>
        <v>0</v>
      </c>
      <c r="D50230" t="s">
        <v>5776</v>
      </c>
      <c r="E50230" t="s">
        <v>10464</v>
      </c>
      <c r="F50230" t="s">
        <v>14200</v>
      </c>
      <c r="G50230" t="s">
        <v>18179</v>
      </c>
      <c r="H50230" t="s">
        <v>39477</v>
      </c>
    </row>
    <row r="50231" spans="1:8">
      <c r="H50231" t="s">
        <v>39478</v>
      </c>
    </row>
    <row r="50232" spans="1:8">
      <c r="H50232" t="s">
        <v>39479</v>
      </c>
    </row>
    <row r="50233" spans="1:8">
      <c r="A50233" t="s">
        <v>4808</v>
      </c>
      <c r="B50233">
        <f>HYPERLINK("https://android.googlesource.com/platform/cts/+/6740e3ed7234d0a2723aaa350fd3f2413b564b0b", "6740e3ed7234d0a2723aaa350fd3f2413b564b0b")</f>
        <v>0</v>
      </c>
      <c r="C50233">
        <f>HYPERLINK("https://android.googlesource.com/platform/cts/+/b167775c551d0bd06452c5362d576a5e223312b5", "b167775c551d0bd06452c5362d576a5e223312b5")</f>
        <v>0</v>
      </c>
      <c r="D50233" t="s">
        <v>5777</v>
      </c>
      <c r="E50233" t="s">
        <v>10465</v>
      </c>
      <c r="F50233" t="s">
        <v>13738</v>
      </c>
      <c r="G50233" t="s">
        <v>17798</v>
      </c>
      <c r="H50233" t="s">
        <v>18829</v>
      </c>
    </row>
    <row r="50234" spans="1:8">
      <c r="H50234" t="s">
        <v>18863</v>
      </c>
    </row>
    <row r="50235" spans="1:8">
      <c r="H50235" t="s">
        <v>39480</v>
      </c>
    </row>
    <row r="50236" spans="1:8">
      <c r="H50236" t="s">
        <v>39481</v>
      </c>
    </row>
    <row r="50237" spans="1:8">
      <c r="H50237" t="s">
        <v>39482</v>
      </c>
    </row>
    <row r="50238" spans="1:8">
      <c r="H50238" t="s">
        <v>39483</v>
      </c>
    </row>
    <row r="50239" spans="1:8">
      <c r="H50239" t="s">
        <v>39484</v>
      </c>
    </row>
    <row r="50240" spans="1:8">
      <c r="H50240" t="s">
        <v>39485</v>
      </c>
    </row>
    <row r="50241" spans="8:8">
      <c r="H50241" t="s">
        <v>39486</v>
      </c>
    </row>
    <row r="50242" spans="8:8">
      <c r="H50242" t="s">
        <v>39487</v>
      </c>
    </row>
    <row r="50243" spans="8:8">
      <c r="H50243" t="s">
        <v>39488</v>
      </c>
    </row>
    <row r="50244" spans="8:8">
      <c r="H50244" t="s">
        <v>39489</v>
      </c>
    </row>
    <row r="50245" spans="8:8">
      <c r="H50245" t="s">
        <v>39490</v>
      </c>
    </row>
    <row r="50246" spans="8:8">
      <c r="H50246" t="s">
        <v>39491</v>
      </c>
    </row>
    <row r="50247" spans="8:8">
      <c r="H50247" t="s">
        <v>39492</v>
      </c>
    </row>
    <row r="50248" spans="8:8">
      <c r="H50248" t="s">
        <v>39493</v>
      </c>
    </row>
    <row r="50249" spans="8:8">
      <c r="H50249" t="s">
        <v>39494</v>
      </c>
    </row>
    <row r="50250" spans="8:8">
      <c r="H50250" t="s">
        <v>39495</v>
      </c>
    </row>
    <row r="50251" spans="8:8">
      <c r="H50251" t="s">
        <v>39496</v>
      </c>
    </row>
    <row r="50252" spans="8:8">
      <c r="H50252" t="s">
        <v>39497</v>
      </c>
    </row>
    <row r="50253" spans="8:8">
      <c r="H50253" t="s">
        <v>39498</v>
      </c>
    </row>
    <row r="50254" spans="8:8">
      <c r="H50254" t="s">
        <v>39499</v>
      </c>
    </row>
    <row r="50255" spans="8:8">
      <c r="H50255" t="s">
        <v>39500</v>
      </c>
    </row>
    <row r="50256" spans="8:8">
      <c r="H50256" t="s">
        <v>39501</v>
      </c>
    </row>
    <row r="50257" spans="8:8">
      <c r="H50257" t="s">
        <v>39502</v>
      </c>
    </row>
    <row r="50258" spans="8:8">
      <c r="H50258" t="s">
        <v>39503</v>
      </c>
    </row>
    <row r="50259" spans="8:8">
      <c r="H50259" t="s">
        <v>39504</v>
      </c>
    </row>
    <row r="50260" spans="8:8">
      <c r="H50260" t="s">
        <v>39505</v>
      </c>
    </row>
    <row r="50261" spans="8:8">
      <c r="H50261" t="s">
        <v>39506</v>
      </c>
    </row>
    <row r="50262" spans="8:8">
      <c r="H50262" t="s">
        <v>39507</v>
      </c>
    </row>
    <row r="50263" spans="8:8">
      <c r="H50263" t="s">
        <v>39508</v>
      </c>
    </row>
    <row r="50264" spans="8:8">
      <c r="H50264" t="s">
        <v>39509</v>
      </c>
    </row>
    <row r="50265" spans="8:8">
      <c r="H50265" t="s">
        <v>39510</v>
      </c>
    </row>
    <row r="50266" spans="8:8">
      <c r="H50266" t="s">
        <v>39511</v>
      </c>
    </row>
    <row r="50267" spans="8:8">
      <c r="H50267" t="s">
        <v>39512</v>
      </c>
    </row>
    <row r="50268" spans="8:8">
      <c r="H50268" t="s">
        <v>39513</v>
      </c>
    </row>
    <row r="50269" spans="8:8">
      <c r="H50269" t="s">
        <v>39514</v>
      </c>
    </row>
    <row r="50270" spans="8:8">
      <c r="H50270" t="s">
        <v>39515</v>
      </c>
    </row>
    <row r="50271" spans="8:8">
      <c r="H50271" t="s">
        <v>39516</v>
      </c>
    </row>
    <row r="50272" spans="8:8">
      <c r="H50272" t="s">
        <v>39517</v>
      </c>
    </row>
    <row r="50273" spans="8:8">
      <c r="H50273" t="s">
        <v>39518</v>
      </c>
    </row>
    <row r="50274" spans="8:8">
      <c r="H50274" t="s">
        <v>39519</v>
      </c>
    </row>
    <row r="50275" spans="8:8">
      <c r="H50275" t="s">
        <v>39520</v>
      </c>
    </row>
    <row r="50276" spans="8:8">
      <c r="H50276" t="s">
        <v>19880</v>
      </c>
    </row>
    <row r="50277" spans="8:8">
      <c r="H50277" t="s">
        <v>39521</v>
      </c>
    </row>
    <row r="50278" spans="8:8">
      <c r="H50278" t="s">
        <v>39522</v>
      </c>
    </row>
    <row r="50279" spans="8:8">
      <c r="H50279" t="s">
        <v>39523</v>
      </c>
    </row>
    <row r="50280" spans="8:8">
      <c r="H50280" t="s">
        <v>39524</v>
      </c>
    </row>
    <row r="50281" spans="8:8">
      <c r="H50281" t="s">
        <v>39525</v>
      </c>
    </row>
    <row r="50282" spans="8:8">
      <c r="H50282" t="s">
        <v>39526</v>
      </c>
    </row>
    <row r="50283" spans="8:8">
      <c r="H50283" t="s">
        <v>39527</v>
      </c>
    </row>
    <row r="50284" spans="8:8">
      <c r="H50284" t="s">
        <v>39528</v>
      </c>
    </row>
    <row r="50285" spans="8:8">
      <c r="H50285" t="s">
        <v>39529</v>
      </c>
    </row>
    <row r="50286" spans="8:8">
      <c r="H50286" t="s">
        <v>39530</v>
      </c>
    </row>
    <row r="50287" spans="8:8">
      <c r="H50287" t="s">
        <v>39531</v>
      </c>
    </row>
    <row r="50288" spans="8:8">
      <c r="H50288" t="s">
        <v>39532</v>
      </c>
    </row>
    <row r="50289" spans="1:8">
      <c r="H50289" t="s">
        <v>39533</v>
      </c>
    </row>
    <row r="50290" spans="1:8">
      <c r="H50290" t="s">
        <v>39534</v>
      </c>
    </row>
    <row r="50291" spans="1:8">
      <c r="A50291" t="s">
        <v>4809</v>
      </c>
      <c r="B50291">
        <f>HYPERLINK("https://android.googlesource.com/platform/cts/+/2fd4bbece7711c8aaae99dddefb57f7edc3c1e3b", "2fd4bbece7711c8aaae99dddefb57f7edc3c1e3b")</f>
        <v>0</v>
      </c>
      <c r="C50291">
        <f>HYPERLINK("https://android.googlesource.com/platform/cts/+/479d6c119fb70f18d4b4f31ac02446cf20b6c040", "479d6c119fb70f18d4b4f31ac02446cf20b6c040")</f>
        <v>0</v>
      </c>
      <c r="D50291" t="s">
        <v>5644</v>
      </c>
      <c r="E50291" t="s">
        <v>10466</v>
      </c>
      <c r="F50291" t="s">
        <v>14816</v>
      </c>
      <c r="G50291" t="s">
        <v>18680</v>
      </c>
      <c r="H50291" t="s">
        <v>39535</v>
      </c>
    </row>
    <row r="50292" spans="1:8">
      <c r="A50292" t="s">
        <v>4810</v>
      </c>
      <c r="B50292">
        <f>HYPERLINK("https://android.googlesource.com/platform/cts/+/568baf429ba31921666400fc43bbc57805c9d36d", "568baf429ba31921666400fc43bbc57805c9d36d")</f>
        <v>0</v>
      </c>
      <c r="C50292">
        <f>HYPERLINK("https://android.googlesource.com/platform/cts/+/ea06d6cfb2e0e2070cc3a4bc417c4a6bfb33af1c", "ea06d6cfb2e0e2070cc3a4bc417c4a6bfb33af1c")</f>
        <v>0</v>
      </c>
      <c r="D50292" t="s">
        <v>5564</v>
      </c>
      <c r="E50292" t="s">
        <v>10467</v>
      </c>
      <c r="F50292" t="s">
        <v>14897</v>
      </c>
      <c r="G50292" t="s">
        <v>16434</v>
      </c>
      <c r="H50292" t="s">
        <v>36451</v>
      </c>
    </row>
    <row r="50293" spans="1:8">
      <c r="F50293" t="s">
        <v>14898</v>
      </c>
      <c r="G50293" t="s">
        <v>15720</v>
      </c>
      <c r="H50293" t="s">
        <v>36451</v>
      </c>
    </row>
    <row r="50294" spans="1:8">
      <c r="A50294" t="s">
        <v>4811</v>
      </c>
      <c r="B50294">
        <f>HYPERLINK("https://android.googlesource.com/platform/cts/+/6980c602812510c8a0a61ebe520a604b8c48aa65", "6980c602812510c8a0a61ebe520a604b8c48aa65")</f>
        <v>0</v>
      </c>
      <c r="C50294">
        <f>HYPERLINK("https://android.googlesource.com/platform/cts/+/a69dc5dbed85b1da3bb150d5cdf207cf6cf1efc9", "a69dc5dbed85b1da3bb150d5cdf207cf6cf1efc9")</f>
        <v>0</v>
      </c>
      <c r="D50294" t="s">
        <v>5265</v>
      </c>
      <c r="E50294" t="s">
        <v>10468</v>
      </c>
      <c r="F50294" t="s">
        <v>14899</v>
      </c>
      <c r="G50294" t="s">
        <v>18741</v>
      </c>
      <c r="H50294" t="s">
        <v>18829</v>
      </c>
    </row>
    <row r="50295" spans="1:8">
      <c r="F50295" t="s">
        <v>14900</v>
      </c>
      <c r="G50295" t="s">
        <v>18742</v>
      </c>
      <c r="H50295" t="s">
        <v>18829</v>
      </c>
    </row>
    <row r="50296" spans="1:8">
      <c r="A50296" t="s">
        <v>4812</v>
      </c>
      <c r="B50296">
        <f>HYPERLINK("https://android.googlesource.com/platform/cts/+/bff6935dee406d2b2f3faf3a9b00db9de77aa991", "bff6935dee406d2b2f3faf3a9b00db9de77aa991")</f>
        <v>0</v>
      </c>
      <c r="C50296">
        <f>HYPERLINK("https://android.googlesource.com/platform/cts/+/0f989b30ee100a5f6622c9cadac16448f8cf6475", "0f989b30ee100a5f6622c9cadac16448f8cf6475")</f>
        <v>0</v>
      </c>
      <c r="D50296" t="s">
        <v>5265</v>
      </c>
      <c r="E50296" t="s">
        <v>10469</v>
      </c>
      <c r="F50296" t="s">
        <v>14899</v>
      </c>
      <c r="G50296" t="s">
        <v>18741</v>
      </c>
      <c r="H50296" t="s">
        <v>18829</v>
      </c>
    </row>
    <row r="50297" spans="1:8">
      <c r="F50297" t="s">
        <v>14900</v>
      </c>
      <c r="G50297" t="s">
        <v>18742</v>
      </c>
      <c r="H50297" t="s">
        <v>18829</v>
      </c>
    </row>
    <row r="50298" spans="1:8">
      <c r="A50298" t="s">
        <v>4813</v>
      </c>
      <c r="B50298">
        <f>HYPERLINK("https://android.googlesource.com/platform/cts/+/2dc3ff45a5693fe0be99373289cdd7a4dda6734a", "2dc3ff45a5693fe0be99373289cdd7a4dda6734a")</f>
        <v>0</v>
      </c>
      <c r="C50298">
        <f>HYPERLINK("https://android.googlesource.com/platform/cts/+/64a586efd95fdefbc17ab9b48976b9705f177563", "64a586efd95fdefbc17ab9b48976b9705f177563")</f>
        <v>0</v>
      </c>
      <c r="D50298" t="s">
        <v>5728</v>
      </c>
      <c r="E50298" t="s">
        <v>10470</v>
      </c>
      <c r="F50298" t="s">
        <v>14901</v>
      </c>
      <c r="G50298" t="s">
        <v>15174</v>
      </c>
      <c r="H50298" t="s">
        <v>32012</v>
      </c>
    </row>
    <row r="50299" spans="1:8">
      <c r="A50299" t="s">
        <v>4814</v>
      </c>
      <c r="B50299">
        <f>HYPERLINK("https://android.googlesource.com/platform/cts/+/a7a959f780cfad1a516ae4e586eb65545d873c09", "a7a959f780cfad1a516ae4e586eb65545d873c09")</f>
        <v>0</v>
      </c>
      <c r="C50299">
        <f>HYPERLINK("https://android.googlesource.com/platform/cts/+/0af934d8b036620e2df481bf181fcb3228f6d1d9", "0af934d8b036620e2df481bf181fcb3228f6d1d9")</f>
        <v>0</v>
      </c>
      <c r="D50299" t="s">
        <v>5766</v>
      </c>
      <c r="E50299" t="s">
        <v>10471</v>
      </c>
      <c r="F50299" t="s">
        <v>14902</v>
      </c>
      <c r="G50299" t="s">
        <v>18549</v>
      </c>
      <c r="H50299" t="s">
        <v>39536</v>
      </c>
    </row>
    <row r="50300" spans="1:8">
      <c r="H50300" t="s">
        <v>39537</v>
      </c>
    </row>
    <row r="50301" spans="1:8">
      <c r="H50301" t="s">
        <v>18829</v>
      </c>
    </row>
    <row r="50302" spans="1:8">
      <c r="H50302" t="s">
        <v>39538</v>
      </c>
    </row>
    <row r="50303" spans="1:8">
      <c r="A50303" t="s">
        <v>4815</v>
      </c>
      <c r="B50303">
        <f>HYPERLINK("https://android.googlesource.com/platform/cts/+/78317685992a325ede663b8962f95705d075ff12", "78317685992a325ede663b8962f95705d075ff12")</f>
        <v>0</v>
      </c>
      <c r="C50303">
        <f>HYPERLINK("https://android.googlesource.com/platform/cts/+/17d3d370e5056d64b6ee59402d4960a4e48cab24", "17d3d370e5056d64b6ee59402d4960a4e48cab24")</f>
        <v>0</v>
      </c>
      <c r="D50303" t="s">
        <v>5265</v>
      </c>
      <c r="E50303" t="s">
        <v>10472</v>
      </c>
      <c r="F50303" t="s">
        <v>14899</v>
      </c>
      <c r="G50303" t="s">
        <v>18741</v>
      </c>
      <c r="H50303" t="s">
        <v>18829</v>
      </c>
    </row>
    <row r="50304" spans="1:8">
      <c r="F50304" t="s">
        <v>14900</v>
      </c>
      <c r="G50304" t="s">
        <v>18742</v>
      </c>
      <c r="H50304" t="s">
        <v>18829</v>
      </c>
    </row>
    <row r="50305" spans="1:8">
      <c r="A50305" t="s">
        <v>4816</v>
      </c>
      <c r="B50305">
        <f>HYPERLINK("https://android.googlesource.com/platform/cts/+/941802f090caaed5f8e133ba5592c472a36262b5", "941802f090caaed5f8e133ba5592c472a36262b5")</f>
        <v>0</v>
      </c>
      <c r="C50305">
        <f>HYPERLINK("https://android.googlesource.com/platform/cts/+/509570b209623133796ee7818110816a95895d31", "509570b209623133796ee7818110816a95895d31")</f>
        <v>0</v>
      </c>
      <c r="D50305" t="s">
        <v>5778</v>
      </c>
      <c r="E50305" t="s">
        <v>10473</v>
      </c>
      <c r="F50305" t="s">
        <v>12618</v>
      </c>
      <c r="G50305" t="s">
        <v>16828</v>
      </c>
      <c r="H50305" t="s">
        <v>39539</v>
      </c>
    </row>
    <row r="50306" spans="1:8">
      <c r="A50306" t="s">
        <v>4817</v>
      </c>
      <c r="B50306">
        <f>HYPERLINK("https://android.googlesource.com/platform/cts/+/17c590b92beacd1b50fbe8d571e003003c819c52", "17c590b92beacd1b50fbe8d571e003003c819c52")</f>
        <v>0</v>
      </c>
      <c r="C50306">
        <f>HYPERLINK("https://android.googlesource.com/platform/cts/+/37452f5883d928446f949121374200820eb9e73d", "37452f5883d928446f949121374200820eb9e73d")</f>
        <v>0</v>
      </c>
      <c r="D50306" t="s">
        <v>5368</v>
      </c>
      <c r="E50306" t="s">
        <v>10474</v>
      </c>
      <c r="F50306" t="s">
        <v>14903</v>
      </c>
      <c r="G50306" t="s">
        <v>18743</v>
      </c>
      <c r="H50306" t="s">
        <v>18829</v>
      </c>
    </row>
    <row r="50307" spans="1:8">
      <c r="H50307" t="s">
        <v>39540</v>
      </c>
    </row>
    <row r="50308" spans="1:8">
      <c r="A50308" t="s">
        <v>4818</v>
      </c>
      <c r="B50308">
        <f>HYPERLINK("https://android.googlesource.com/platform/cts/+/02ff08fd13eb7156c564056bdf5966fb11e6b00f", "02ff08fd13eb7156c564056bdf5966fb11e6b00f")</f>
        <v>0</v>
      </c>
      <c r="C50308">
        <f>HYPERLINK("https://android.googlesource.com/platform/cts/+/c6ed0ad07c0fad9d86e21dd5b3b29203f790a2d2", "c6ed0ad07c0fad9d86e21dd5b3b29203f790a2d2")</f>
        <v>0</v>
      </c>
      <c r="D50308" t="s">
        <v>5426</v>
      </c>
      <c r="E50308" t="s">
        <v>10475</v>
      </c>
      <c r="F50308" t="s">
        <v>14424</v>
      </c>
      <c r="G50308" t="s">
        <v>18362</v>
      </c>
      <c r="H50308" t="s">
        <v>35877</v>
      </c>
    </row>
    <row r="50309" spans="1:8">
      <c r="H50309" t="s">
        <v>35878</v>
      </c>
    </row>
    <row r="50310" spans="1:8">
      <c r="A50310" t="s">
        <v>4819</v>
      </c>
      <c r="B50310">
        <f>HYPERLINK("https://android.googlesource.com/platform/cts/+/1fa45128a730d71a7061e40c5422c25d57718af2", "1fa45128a730d71a7061e40c5422c25d57718af2")</f>
        <v>0</v>
      </c>
      <c r="C50310">
        <f>HYPERLINK("https://android.googlesource.com/platform/cts/+/45f8bdf33f822d71cd8f803ff753eb2de191a72f", "45f8bdf33f822d71cd8f803ff753eb2de191a72f")</f>
        <v>0</v>
      </c>
      <c r="D50310" t="s">
        <v>5564</v>
      </c>
      <c r="E50310" t="s">
        <v>10476</v>
      </c>
      <c r="F50310" t="s">
        <v>14817</v>
      </c>
      <c r="G50310" t="s">
        <v>17457</v>
      </c>
      <c r="H50310" t="s">
        <v>18829</v>
      </c>
    </row>
    <row r="50311" spans="1:8">
      <c r="H50311" t="s">
        <v>18863</v>
      </c>
    </row>
    <row r="50312" spans="1:8">
      <c r="A50312" t="s">
        <v>4820</v>
      </c>
      <c r="B50312">
        <f>HYPERLINK("https://android.googlesource.com/platform/cts/+/f0ba81a3e629921a2286c25f35c3efa3124f762c", "f0ba81a3e629921a2286c25f35c3efa3124f762c")</f>
        <v>0</v>
      </c>
      <c r="C50312">
        <f>HYPERLINK("https://android.googlesource.com/platform/cts/+/45f8bdf33f822d71cd8f803ff753eb2de191a72f", "45f8bdf33f822d71cd8f803ff753eb2de191a72f")</f>
        <v>0</v>
      </c>
      <c r="D50312" t="s">
        <v>5564</v>
      </c>
      <c r="E50312" t="s">
        <v>10477</v>
      </c>
      <c r="F50312" t="s">
        <v>14892</v>
      </c>
      <c r="G50312" t="s">
        <v>16415</v>
      </c>
      <c r="H50312" t="s">
        <v>39541</v>
      </c>
    </row>
    <row r="50313" spans="1:8">
      <c r="H50313" t="s">
        <v>39542</v>
      </c>
    </row>
    <row r="50314" spans="1:8">
      <c r="H50314" t="s">
        <v>39543</v>
      </c>
    </row>
    <row r="50315" spans="1:8">
      <c r="H50315" t="s">
        <v>39544</v>
      </c>
    </row>
    <row r="50316" spans="1:8">
      <c r="H50316" t="s">
        <v>39545</v>
      </c>
    </row>
    <row r="50317" spans="1:8">
      <c r="H50317" t="s">
        <v>39546</v>
      </c>
    </row>
    <row r="50318" spans="1:8">
      <c r="H50318" t="s">
        <v>39547</v>
      </c>
    </row>
    <row r="50319" spans="1:8">
      <c r="H50319" t="s">
        <v>39548</v>
      </c>
    </row>
    <row r="50320" spans="1:8">
      <c r="H50320" t="s">
        <v>39549</v>
      </c>
    </row>
    <row r="50321" spans="1:8">
      <c r="H50321" t="s">
        <v>39550</v>
      </c>
    </row>
    <row r="50322" spans="1:8">
      <c r="H50322" t="s">
        <v>39551</v>
      </c>
    </row>
    <row r="50323" spans="1:8">
      <c r="H50323" t="s">
        <v>39552</v>
      </c>
    </row>
    <row r="50324" spans="1:8">
      <c r="H50324" t="s">
        <v>39553</v>
      </c>
    </row>
    <row r="50325" spans="1:8">
      <c r="H50325" t="s">
        <v>39554</v>
      </c>
    </row>
    <row r="50326" spans="1:8">
      <c r="H50326" t="s">
        <v>39555</v>
      </c>
    </row>
    <row r="50327" spans="1:8">
      <c r="H50327" t="s">
        <v>39556</v>
      </c>
    </row>
    <row r="50328" spans="1:8">
      <c r="A50328" t="s">
        <v>4821</v>
      </c>
      <c r="B50328">
        <f>HYPERLINK("https://android.googlesource.com/platform/cts/+/af681422b7b760abc673fb5f41a43f2beb1f941b", "af681422b7b760abc673fb5f41a43f2beb1f941b")</f>
        <v>0</v>
      </c>
      <c r="C50328">
        <f>HYPERLINK("https://android.googlesource.com/platform/cts/+/5c8cd6404a683f690da0c799a8d070733fa9da11", "5c8cd6404a683f690da0c799a8d070733fa9da11")</f>
        <v>0</v>
      </c>
      <c r="D50328" t="s">
        <v>5564</v>
      </c>
      <c r="E50328" t="s">
        <v>10478</v>
      </c>
      <c r="F50328" t="s">
        <v>14786</v>
      </c>
      <c r="G50328" t="s">
        <v>16560</v>
      </c>
      <c r="H50328" t="s">
        <v>37897</v>
      </c>
    </row>
    <row r="50329" spans="1:8">
      <c r="H50329" t="s">
        <v>37897</v>
      </c>
    </row>
    <row r="50330" spans="1:8">
      <c r="H50330" t="s">
        <v>37897</v>
      </c>
    </row>
    <row r="50331" spans="1:8">
      <c r="A50331" t="s">
        <v>4822</v>
      </c>
      <c r="B50331">
        <f>HYPERLINK("https://android.googlesource.com/platform/cts/+/8485d9441f9e740a20921a7ec3045c4f8b4681de", "8485d9441f9e740a20921a7ec3045c4f8b4681de")</f>
        <v>0</v>
      </c>
      <c r="C50331">
        <f>HYPERLINK("https://android.googlesource.com/platform/cts/+/596b89538d3ad67cbfacc772c7a24ae3366e00db", "596b89538d3ad67cbfacc772c7a24ae3366e00db")</f>
        <v>0</v>
      </c>
      <c r="D50331" t="s">
        <v>5135</v>
      </c>
      <c r="E50331" t="s">
        <v>10479</v>
      </c>
      <c r="F50331" t="s">
        <v>13391</v>
      </c>
      <c r="G50331" t="s">
        <v>17517</v>
      </c>
      <c r="H50331" t="s">
        <v>37968</v>
      </c>
    </row>
    <row r="50332" spans="1:8">
      <c r="H50332" t="s">
        <v>39557</v>
      </c>
    </row>
    <row r="50333" spans="1:8">
      <c r="A50333" t="s">
        <v>4823</v>
      </c>
      <c r="B50333">
        <f>HYPERLINK("https://android.googlesource.com/platform/cts/+/58d8c869e84e9164e83641c6b167a3de5ca71282", "58d8c869e84e9164e83641c6b167a3de5ca71282")</f>
        <v>0</v>
      </c>
      <c r="C50333">
        <f>HYPERLINK("https://android.googlesource.com/platform/cts/+/b9ecc2bd51054fd7ae105340fb54ce6ff014b4dc", "b9ecc2bd51054fd7ae105340fb54ce6ff014b4dc")</f>
        <v>0</v>
      </c>
      <c r="D50333" t="s">
        <v>5027</v>
      </c>
      <c r="E50333" t="s">
        <v>10480</v>
      </c>
      <c r="F50333" t="s">
        <v>14825</v>
      </c>
      <c r="G50333" t="s">
        <v>18687</v>
      </c>
      <c r="H50333" t="s">
        <v>39442</v>
      </c>
    </row>
    <row r="50334" spans="1:8">
      <c r="H50334" t="s">
        <v>39443</v>
      </c>
    </row>
    <row r="50335" spans="1:8">
      <c r="H50335" t="s">
        <v>39444</v>
      </c>
    </row>
    <row r="50336" spans="1:8">
      <c r="H50336" t="s">
        <v>39445</v>
      </c>
    </row>
    <row r="50337" spans="1:8">
      <c r="H50337" t="s">
        <v>39446</v>
      </c>
    </row>
    <row r="50338" spans="1:8">
      <c r="H50338" t="s">
        <v>39447</v>
      </c>
    </row>
    <row r="50339" spans="1:8">
      <c r="H50339" t="s">
        <v>26401</v>
      </c>
    </row>
    <row r="50340" spans="1:8">
      <c r="H50340" t="s">
        <v>39448</v>
      </c>
    </row>
    <row r="50341" spans="1:8">
      <c r="A50341" t="s">
        <v>4824</v>
      </c>
      <c r="B50341">
        <f>HYPERLINK("https://android.googlesource.com/platform/cts/+/b7f7de15486afec8992ce2e5d6de58fd2a84ab57", "b7f7de15486afec8992ce2e5d6de58fd2a84ab57")</f>
        <v>0</v>
      </c>
      <c r="C50341">
        <f>HYPERLINK("https://android.googlesource.com/platform/cts/+/977215a54db16bde7d5b0803c47e84f99f2a39ec", "977215a54db16bde7d5b0803c47e84f99f2a39ec")</f>
        <v>0</v>
      </c>
      <c r="D50341" t="s">
        <v>5643</v>
      </c>
      <c r="E50341" t="s">
        <v>10481</v>
      </c>
      <c r="F50341" t="s">
        <v>12817</v>
      </c>
      <c r="G50341" t="s">
        <v>16629</v>
      </c>
      <c r="H50341" t="s">
        <v>39558</v>
      </c>
    </row>
    <row r="50342" spans="1:8">
      <c r="A50342" t="s">
        <v>4825</v>
      </c>
      <c r="B50342">
        <f>HYPERLINK("https://android.googlesource.com/platform/cts/+/06c709dddef8f5d21eff0a83117ab04a4be93aa0", "06c709dddef8f5d21eff0a83117ab04a4be93aa0")</f>
        <v>0</v>
      </c>
      <c r="C50342">
        <f>HYPERLINK("https://android.googlesource.com/platform/cts/+/83cc2c57e618247d676f1922a859888cadb2fcf5", "83cc2c57e618247d676f1922a859888cadb2fcf5")</f>
        <v>0</v>
      </c>
      <c r="D50342" t="s">
        <v>5753</v>
      </c>
      <c r="E50342" t="s">
        <v>10482</v>
      </c>
      <c r="F50342" t="s">
        <v>14892</v>
      </c>
      <c r="G50342" t="s">
        <v>16415</v>
      </c>
      <c r="H50342" t="s">
        <v>39559</v>
      </c>
    </row>
    <row r="50343" spans="1:8">
      <c r="H50343" t="s">
        <v>39560</v>
      </c>
    </row>
    <row r="50344" spans="1:8">
      <c r="H50344" t="s">
        <v>39561</v>
      </c>
    </row>
    <row r="50345" spans="1:8">
      <c r="H50345" t="s">
        <v>39562</v>
      </c>
    </row>
    <row r="50346" spans="1:8">
      <c r="H50346" t="s">
        <v>39563</v>
      </c>
    </row>
    <row r="50347" spans="1:8">
      <c r="H50347" t="s">
        <v>39564</v>
      </c>
    </row>
    <row r="50348" spans="1:8">
      <c r="H50348" t="s">
        <v>39565</v>
      </c>
    </row>
    <row r="50349" spans="1:8">
      <c r="H50349" t="s">
        <v>39566</v>
      </c>
    </row>
    <row r="50350" spans="1:8">
      <c r="H50350" t="s">
        <v>37259</v>
      </c>
    </row>
    <row r="50351" spans="1:8">
      <c r="H50351" t="s">
        <v>37260</v>
      </c>
    </row>
    <row r="50352" spans="1:8">
      <c r="H50352" t="s">
        <v>37261</v>
      </c>
    </row>
    <row r="50353" spans="1:8">
      <c r="H50353" t="s">
        <v>37262</v>
      </c>
    </row>
    <row r="50354" spans="1:8">
      <c r="A50354" t="s">
        <v>4826</v>
      </c>
      <c r="B50354">
        <f>HYPERLINK("https://android.googlesource.com/platform/cts/+/bb16c6856ab5b87c1292c01b70fffc158c515b72", "bb16c6856ab5b87c1292c01b70fffc158c515b72")</f>
        <v>0</v>
      </c>
      <c r="C50354">
        <f>HYPERLINK("https://android.googlesource.com/platform/cts/+/b9e4899889af5e08aba23c06506a5d14ef73c816", "b9e4899889af5e08aba23c06506a5d14ef73c816")</f>
        <v>0</v>
      </c>
      <c r="D50354" t="s">
        <v>5779</v>
      </c>
      <c r="E50354" t="s">
        <v>10483</v>
      </c>
      <c r="F50354" t="s">
        <v>14904</v>
      </c>
      <c r="G50354" t="s">
        <v>18744</v>
      </c>
      <c r="H50354" t="s">
        <v>18829</v>
      </c>
    </row>
    <row r="50355" spans="1:8">
      <c r="H50355" t="s">
        <v>39567</v>
      </c>
    </row>
    <row r="50356" spans="1:8">
      <c r="H50356" t="s">
        <v>32363</v>
      </c>
    </row>
    <row r="50357" spans="1:8">
      <c r="H50357" t="s">
        <v>39568</v>
      </c>
    </row>
    <row r="50358" spans="1:8">
      <c r="A50358" t="s">
        <v>4827</v>
      </c>
      <c r="B50358">
        <f>HYPERLINK("https://android.googlesource.com/platform/cts/+/317366ccb2e1d07d4d06a9233b2a68b3de8a162d", "317366ccb2e1d07d4d06a9233b2a68b3de8a162d")</f>
        <v>0</v>
      </c>
      <c r="C50358">
        <f>HYPERLINK("https://android.googlesource.com/platform/cts/+/31a1df8f15e4764b7534a0ef9128dab29c844908", "31a1df8f15e4764b7534a0ef9128dab29c844908")</f>
        <v>0</v>
      </c>
      <c r="D50358" t="s">
        <v>5508</v>
      </c>
      <c r="E50358" t="s">
        <v>10484</v>
      </c>
      <c r="F50358" t="s">
        <v>13816</v>
      </c>
      <c r="G50358" t="s">
        <v>15089</v>
      </c>
      <c r="H50358" t="s">
        <v>35831</v>
      </c>
    </row>
    <row r="50359" spans="1:8">
      <c r="F50359" t="s">
        <v>14712</v>
      </c>
      <c r="G50359" t="s">
        <v>17455</v>
      </c>
      <c r="H50359" t="s">
        <v>39569</v>
      </c>
    </row>
    <row r="50360" spans="1:8">
      <c r="A50360" t="s">
        <v>4828</v>
      </c>
      <c r="B50360">
        <f>HYPERLINK("https://android.googlesource.com/platform/cts/+/9eefed18b72ac076c916f0b4c08284ac85674a55", "9eefed18b72ac076c916f0b4c08284ac85674a55")</f>
        <v>0</v>
      </c>
      <c r="C50360">
        <f>HYPERLINK("https://android.googlesource.com/platform/cts/+/2f123b259c39a203470aa9e92160450652b6baaa", "2f123b259c39a203470aa9e92160450652b6baaa")</f>
        <v>0</v>
      </c>
      <c r="D50360" t="s">
        <v>5643</v>
      </c>
      <c r="E50360" t="s">
        <v>10485</v>
      </c>
      <c r="F50360" t="s">
        <v>12817</v>
      </c>
      <c r="G50360" t="s">
        <v>16629</v>
      </c>
      <c r="H50360" t="s">
        <v>39558</v>
      </c>
    </row>
    <row r="50361" spans="1:8">
      <c r="A50361" t="s">
        <v>4829</v>
      </c>
      <c r="B50361">
        <f>HYPERLINK("https://android.googlesource.com/platform/cts/+/914f46b944a1dfc459d34e5a58b1913beb92222e", "914f46b944a1dfc459d34e5a58b1913beb92222e")</f>
        <v>0</v>
      </c>
      <c r="C50361">
        <f>HYPERLINK("https://android.googlesource.com/platform/cts/+/c158a4d258d9fd929ad7523f58780b1712d17695", "c158a4d258d9fd929ad7523f58780b1712d17695")</f>
        <v>0</v>
      </c>
      <c r="D50361" t="s">
        <v>5780</v>
      </c>
      <c r="E50361" t="s">
        <v>10486</v>
      </c>
      <c r="F50361" t="s">
        <v>14812</v>
      </c>
      <c r="G50361" t="s">
        <v>16423</v>
      </c>
      <c r="H50361" t="s">
        <v>39570</v>
      </c>
    </row>
    <row r="50362" spans="1:8">
      <c r="A50362" t="s">
        <v>4830</v>
      </c>
      <c r="B50362">
        <f>HYPERLINK("https://android.googlesource.com/platform/cts/+/1b5565481792cec88afc0cc62b9e042b1b533ec3", "1b5565481792cec88afc0cc62b9e042b1b533ec3")</f>
        <v>0</v>
      </c>
      <c r="C50362">
        <f>HYPERLINK("https://android.googlesource.com/platform/cts/+/f0ba81a3e629921a2286c25f35c3efa3124f762c", "f0ba81a3e629921a2286c25f35c3efa3124f762c")</f>
        <v>0</v>
      </c>
      <c r="D50362" t="s">
        <v>5564</v>
      </c>
      <c r="E50362" t="s">
        <v>10487</v>
      </c>
      <c r="F50362" t="s">
        <v>14905</v>
      </c>
      <c r="G50362" t="s">
        <v>18745</v>
      </c>
      <c r="H50362" t="s">
        <v>39541</v>
      </c>
    </row>
    <row r="50363" spans="1:8">
      <c r="H50363" t="s">
        <v>39542</v>
      </c>
    </row>
    <row r="50364" spans="1:8">
      <c r="H50364" t="s">
        <v>39543</v>
      </c>
    </row>
    <row r="50365" spans="1:8">
      <c r="H50365" t="s">
        <v>39544</v>
      </c>
    </row>
    <row r="50366" spans="1:8">
      <c r="H50366" t="s">
        <v>39545</v>
      </c>
    </row>
    <row r="50367" spans="1:8">
      <c r="H50367" t="s">
        <v>39546</v>
      </c>
    </row>
    <row r="50368" spans="1:8">
      <c r="H50368" t="s">
        <v>39551</v>
      </c>
    </row>
    <row r="50369" spans="1:8">
      <c r="H50369" t="s">
        <v>39552</v>
      </c>
    </row>
    <row r="50370" spans="1:8">
      <c r="H50370" t="s">
        <v>39553</v>
      </c>
    </row>
    <row r="50371" spans="1:8">
      <c r="H50371" t="s">
        <v>39554</v>
      </c>
    </row>
    <row r="50372" spans="1:8">
      <c r="H50372" t="s">
        <v>39555</v>
      </c>
    </row>
    <row r="50373" spans="1:8">
      <c r="A50373" t="s">
        <v>4831</v>
      </c>
      <c r="B50373">
        <f>HYPERLINK("https://android.googlesource.com/platform/cts/+/21df2b7e1a5b338dc0de421a09cd6c462ad76ac5", "21df2b7e1a5b338dc0de421a09cd6c462ad76ac5")</f>
        <v>0</v>
      </c>
      <c r="C50373">
        <f>HYPERLINK("https://android.googlesource.com/platform/cts/+/c8a8d5e01103bcdd2e675a02c5b2c56644bfbc85", "c8a8d5e01103bcdd2e675a02c5b2c56644bfbc85")</f>
        <v>0</v>
      </c>
      <c r="D50373" t="s">
        <v>5564</v>
      </c>
      <c r="E50373" t="s">
        <v>10488</v>
      </c>
      <c r="F50373" t="s">
        <v>14906</v>
      </c>
      <c r="G50373" t="s">
        <v>18746</v>
      </c>
      <c r="H50373" t="s">
        <v>39571</v>
      </c>
    </row>
    <row r="50374" spans="1:8">
      <c r="F50374" t="s">
        <v>14907</v>
      </c>
      <c r="G50374" t="s">
        <v>18747</v>
      </c>
      <c r="H50374" t="s">
        <v>34042</v>
      </c>
    </row>
    <row r="50375" spans="1:8">
      <c r="H50375" t="s">
        <v>34044</v>
      </c>
    </row>
    <row r="50376" spans="1:8">
      <c r="H50376" t="s">
        <v>39571</v>
      </c>
    </row>
    <row r="50377" spans="1:8">
      <c r="A50377" t="s">
        <v>4832</v>
      </c>
      <c r="B50377">
        <f>HYPERLINK("https://android.googlesource.com/platform/cts/+/07e99224cf6187bf78d9c17275b4f9245595a2f1", "07e99224cf6187bf78d9c17275b4f9245595a2f1")</f>
        <v>0</v>
      </c>
      <c r="C50377">
        <f>HYPERLINK("https://android.googlesource.com/platform/cts/+/cd7607669e3f8a7adc33e27e4e9ce1b171b5fc8a", "cd7607669e3f8a7adc33e27e4e9ce1b171b5fc8a")</f>
        <v>0</v>
      </c>
      <c r="D50377" t="s">
        <v>5564</v>
      </c>
      <c r="E50377" t="s">
        <v>10489</v>
      </c>
      <c r="F50377" t="s">
        <v>14908</v>
      </c>
      <c r="G50377" t="s">
        <v>16631</v>
      </c>
      <c r="H50377" t="s">
        <v>39572</v>
      </c>
    </row>
    <row r="50378" spans="1:8">
      <c r="A50378" t="s">
        <v>4833</v>
      </c>
      <c r="B50378">
        <f>HYPERLINK("https://android.googlesource.com/platform/cts/+/ab9c6ce3df5f7aa4865f6f6835ff2a32a36d734f", "ab9c6ce3df5f7aa4865f6f6835ff2a32a36d734f")</f>
        <v>0</v>
      </c>
      <c r="C50378">
        <f>HYPERLINK("https://android.googlesource.com/platform/cts/+/03a52d7ec45303cc44889a6bd3201ae0b34c6b79", "03a52d7ec45303cc44889a6bd3201ae0b34c6b79")</f>
        <v>0</v>
      </c>
      <c r="D50378" t="s">
        <v>5781</v>
      </c>
      <c r="E50378" t="s">
        <v>10490</v>
      </c>
      <c r="F50378" t="s">
        <v>14909</v>
      </c>
      <c r="G50378" t="s">
        <v>18748</v>
      </c>
      <c r="H50378" t="s">
        <v>18829</v>
      </c>
    </row>
    <row r="50379" spans="1:8">
      <c r="H50379" t="s">
        <v>39573</v>
      </c>
    </row>
    <row r="50380" spans="1:8">
      <c r="H50380" t="s">
        <v>39574</v>
      </c>
    </row>
    <row r="50381" spans="1:8">
      <c r="H50381" t="s">
        <v>39575</v>
      </c>
    </row>
    <row r="50382" spans="1:8">
      <c r="H50382" t="s">
        <v>39576</v>
      </c>
    </row>
    <row r="50383" spans="1:8">
      <c r="H50383" t="s">
        <v>39577</v>
      </c>
    </row>
    <row r="50384" spans="1:8">
      <c r="H50384" t="s">
        <v>39578</v>
      </c>
    </row>
    <row r="50385" spans="1:8">
      <c r="H50385" t="s">
        <v>39579</v>
      </c>
    </row>
    <row r="50386" spans="1:8">
      <c r="H50386" t="s">
        <v>39580</v>
      </c>
    </row>
    <row r="50387" spans="1:8">
      <c r="H50387" t="s">
        <v>39581</v>
      </c>
    </row>
    <row r="50388" spans="1:8">
      <c r="A50388" t="s">
        <v>4834</v>
      </c>
      <c r="B50388">
        <f>HYPERLINK("https://android.googlesource.com/platform/cts/+/f6b05034a5f778987a624189914d620e28556860", "f6b05034a5f778987a624189914d620e28556860")</f>
        <v>0</v>
      </c>
      <c r="C50388">
        <f>HYPERLINK("https://android.googlesource.com/platform/cts/+/4f7cfc2ed41ef5085e139faef60633485513d0f7", "4f7cfc2ed41ef5085e139faef60633485513d0f7")</f>
        <v>0</v>
      </c>
      <c r="D50388" t="s">
        <v>5134</v>
      </c>
      <c r="E50388" t="s">
        <v>10491</v>
      </c>
      <c r="F50388" t="s">
        <v>14910</v>
      </c>
      <c r="G50388" t="s">
        <v>18749</v>
      </c>
      <c r="H50388" t="s">
        <v>39582</v>
      </c>
    </row>
    <row r="50389" spans="1:8">
      <c r="A50389" t="s">
        <v>4835</v>
      </c>
      <c r="B50389">
        <f>HYPERLINK("https://android.googlesource.com/platform/cts/+/a7fa99c3ecafac51e69d18a9012788c4ed1ea045", "a7fa99c3ecafac51e69d18a9012788c4ed1ea045")</f>
        <v>0</v>
      </c>
      <c r="C50389">
        <f>HYPERLINK("https://android.googlesource.com/platform/cts/+/243f61c423e14d6cdb2cba7cb94e35b928d6321f", "243f61c423e14d6cdb2cba7cb94e35b928d6321f")</f>
        <v>0</v>
      </c>
      <c r="D50389" t="s">
        <v>5653</v>
      </c>
      <c r="E50389" t="s">
        <v>10492</v>
      </c>
      <c r="F50389" t="s">
        <v>14614</v>
      </c>
      <c r="G50389" t="s">
        <v>18526</v>
      </c>
      <c r="H50389" t="s">
        <v>37686</v>
      </c>
    </row>
    <row r="50390" spans="1:8">
      <c r="A50390" t="s">
        <v>4836</v>
      </c>
      <c r="B50390">
        <f>HYPERLINK("https://android.googlesource.com/platform/cts/+/4fabed17e8be6fc8f3adc9a7083b78bffe6a2e82", "4fabed17e8be6fc8f3adc9a7083b78bffe6a2e82")</f>
        <v>0</v>
      </c>
      <c r="C50390">
        <f>HYPERLINK("https://android.googlesource.com/platform/cts/+/8847958b108d4214deeb9500ee2985edf52acd9d", "8847958b108d4214deeb9500ee2985edf52acd9d")</f>
        <v>0</v>
      </c>
      <c r="D50390" t="s">
        <v>5134</v>
      </c>
      <c r="E50390" t="s">
        <v>10493</v>
      </c>
      <c r="F50390" t="s">
        <v>14910</v>
      </c>
      <c r="G50390" t="s">
        <v>18750</v>
      </c>
      <c r="H50390" t="s">
        <v>39583</v>
      </c>
    </row>
    <row r="50391" spans="1:8">
      <c r="H50391" t="s">
        <v>39584</v>
      </c>
    </row>
    <row r="50392" spans="1:8">
      <c r="H50392" t="s">
        <v>19506</v>
      </c>
    </row>
    <row r="50393" spans="1:8">
      <c r="H50393" t="s">
        <v>39585</v>
      </c>
    </row>
    <row r="50394" spans="1:8">
      <c r="F50394" t="s">
        <v>14911</v>
      </c>
      <c r="G50394" t="s">
        <v>18751</v>
      </c>
      <c r="H50394" t="s">
        <v>39583</v>
      </c>
    </row>
    <row r="50395" spans="1:8">
      <c r="H50395" t="s">
        <v>39584</v>
      </c>
    </row>
    <row r="50396" spans="1:8">
      <c r="H50396" t="s">
        <v>19506</v>
      </c>
    </row>
    <row r="50397" spans="1:8">
      <c r="H50397" t="s">
        <v>39585</v>
      </c>
    </row>
    <row r="50398" spans="1:8">
      <c r="A50398" t="s">
        <v>4837</v>
      </c>
      <c r="B50398">
        <f>HYPERLINK("https://android.googlesource.com/platform/cts/+/33bafd9d53a96295496eef8a63eb564fa4ee0353", "33bafd9d53a96295496eef8a63eb564fa4ee0353")</f>
        <v>0</v>
      </c>
      <c r="C50398">
        <f>HYPERLINK("https://android.googlesource.com/platform/cts/+/95dafb97465bc371f94275976475941fee1121c9", "95dafb97465bc371f94275976475941fee1121c9")</f>
        <v>0</v>
      </c>
      <c r="D50398" t="s">
        <v>5782</v>
      </c>
      <c r="E50398" t="s">
        <v>10494</v>
      </c>
      <c r="F50398" t="s">
        <v>14417</v>
      </c>
      <c r="G50398" t="s">
        <v>18355</v>
      </c>
      <c r="H50398" t="s">
        <v>39586</v>
      </c>
    </row>
    <row r="50399" spans="1:8">
      <c r="A50399" t="s">
        <v>4838</v>
      </c>
      <c r="B50399">
        <f>HYPERLINK("https://android.googlesource.com/platform/cts/+/a1f4b37ef776e95fbde950bbc48c02de62f36c51", "a1f4b37ef776e95fbde950bbc48c02de62f36c51")</f>
        <v>0</v>
      </c>
      <c r="C50399">
        <f>HYPERLINK("https://android.googlesource.com/platform/cts/+/7ce04818178ed55626fb59474faf1fe43a362d2f", "7ce04818178ed55626fb59474faf1fe43a362d2f")</f>
        <v>0</v>
      </c>
      <c r="D50399" t="s">
        <v>5766</v>
      </c>
      <c r="E50399" t="s">
        <v>10495</v>
      </c>
      <c r="F50399" t="s">
        <v>14912</v>
      </c>
      <c r="G50399" t="s">
        <v>18549</v>
      </c>
      <c r="H50399" t="s">
        <v>39587</v>
      </c>
    </row>
    <row r="50400" spans="1:8">
      <c r="A50400" t="s">
        <v>4839</v>
      </c>
      <c r="B50400">
        <f>HYPERLINK("https://android.googlesource.com/platform/cts/+/74dc2efd0d59ba1e0a350e4fa034b1a7beb51f3b", "74dc2efd0d59ba1e0a350e4fa034b1a7beb51f3b")</f>
        <v>0</v>
      </c>
      <c r="C50400">
        <f>HYPERLINK("https://android.googlesource.com/platform/cts/+/2861b4867d8afba6ade950c77b2946a46b4b4494", "2861b4867d8afba6ade950c77b2946a46b4b4494")</f>
        <v>0</v>
      </c>
      <c r="D50400" t="s">
        <v>5766</v>
      </c>
      <c r="E50400" t="s">
        <v>10496</v>
      </c>
      <c r="F50400" t="s">
        <v>14912</v>
      </c>
      <c r="G50400" t="s">
        <v>18549</v>
      </c>
      <c r="H50400" t="s">
        <v>39587</v>
      </c>
    </row>
    <row r="50401" spans="1:8">
      <c r="A50401" t="s">
        <v>4840</v>
      </c>
      <c r="B50401">
        <f>HYPERLINK("https://android.googlesource.com/platform/cts/+/8e1afceb36ea9fb8d650683cfb38762f1180cad4", "8e1afceb36ea9fb8d650683cfb38762f1180cad4")</f>
        <v>0</v>
      </c>
      <c r="C50401">
        <f>HYPERLINK("https://android.googlesource.com/platform/cts/+/69e316fa04c9a6ffe0ab2a70edcecbfeb17591e0", "69e316fa04c9a6ffe0ab2a70edcecbfeb17591e0")</f>
        <v>0</v>
      </c>
      <c r="D50401" t="s">
        <v>5782</v>
      </c>
      <c r="E50401" t="s">
        <v>10497</v>
      </c>
      <c r="F50401" t="s">
        <v>14417</v>
      </c>
      <c r="G50401" t="s">
        <v>18355</v>
      </c>
      <c r="H50401" t="s">
        <v>39586</v>
      </c>
    </row>
    <row r="50402" spans="1:8">
      <c r="A50402" t="s">
        <v>4841</v>
      </c>
      <c r="B50402">
        <f>HYPERLINK("https://android.googlesource.com/platform/cts/+/5f996b4ee24b2eaf198cac41c36bd5182b84a75c", "5f996b4ee24b2eaf198cac41c36bd5182b84a75c")</f>
        <v>0</v>
      </c>
      <c r="C50402">
        <f>HYPERLINK("https://android.googlesource.com/platform/cts/+/27e627d64562b7030d776c53cff53ec40afa3fc0", "27e627d64562b7030d776c53cff53ec40afa3fc0")</f>
        <v>0</v>
      </c>
      <c r="D50402" t="s">
        <v>5718</v>
      </c>
      <c r="E50402" t="s">
        <v>10498</v>
      </c>
      <c r="F50402" t="s">
        <v>14563</v>
      </c>
      <c r="G50402" t="s">
        <v>18409</v>
      </c>
      <c r="H50402" t="s">
        <v>39588</v>
      </c>
    </row>
    <row r="50403" spans="1:8">
      <c r="H50403" t="s">
        <v>39589</v>
      </c>
    </row>
    <row r="50404" spans="1:8">
      <c r="H50404" t="s">
        <v>39590</v>
      </c>
    </row>
    <row r="50405" spans="1:8">
      <c r="A50405" t="s">
        <v>4842</v>
      </c>
      <c r="B50405">
        <f>HYPERLINK("https://android.googlesource.com/platform/cts/+/a1cf3404195b29470b42871775f7bcec15f035ff", "a1cf3404195b29470b42871775f7bcec15f035ff")</f>
        <v>0</v>
      </c>
      <c r="C50405">
        <f>HYPERLINK("https://android.googlesource.com/platform/cts/+/6b36abe11733cf295687b5f13ae0cef90fd46d66", "6b36abe11733cf295687b5f13ae0cef90fd46d66")</f>
        <v>0</v>
      </c>
      <c r="D50405" t="s">
        <v>5706</v>
      </c>
      <c r="E50405" t="s">
        <v>10499</v>
      </c>
      <c r="F50405" t="s">
        <v>14913</v>
      </c>
      <c r="G50405" t="s">
        <v>18752</v>
      </c>
      <c r="H50405" t="s">
        <v>39591</v>
      </c>
    </row>
    <row r="50406" spans="1:8">
      <c r="A50406" t="s">
        <v>4843</v>
      </c>
      <c r="B50406">
        <f>HYPERLINK("https://android.googlesource.com/platform/cts/+/44c9f0f12db2562add7653075f99ece7e4fc1ca3", "44c9f0f12db2562add7653075f99ece7e4fc1ca3")</f>
        <v>0</v>
      </c>
      <c r="C50406">
        <f>HYPERLINK("https://android.googlesource.com/platform/cts/+/933edf97996ad06e0d04df287bb96dedc0c65b1f", "933edf97996ad06e0d04df287bb96dedc0c65b1f")</f>
        <v>0</v>
      </c>
      <c r="D50406" t="s">
        <v>5783</v>
      </c>
      <c r="E50406" t="s">
        <v>10500</v>
      </c>
      <c r="F50406" t="s">
        <v>14914</v>
      </c>
      <c r="G50406" t="s">
        <v>18753</v>
      </c>
      <c r="H50406" t="s">
        <v>39592</v>
      </c>
    </row>
    <row r="50407" spans="1:8">
      <c r="A50407" t="s">
        <v>4844</v>
      </c>
      <c r="B50407">
        <f>HYPERLINK("https://android.googlesource.com/platform/cts/+/2b0be2ff69b93ec81830a17733cd2cf25aea7468", "2b0be2ff69b93ec81830a17733cd2cf25aea7468")</f>
        <v>0</v>
      </c>
      <c r="C50407">
        <f>HYPERLINK("https://android.googlesource.com/platform/cts/+/ebe211e9a280b5594d7f7a292f8077aa580f2ceb", "ebe211e9a280b5594d7f7a292f8077aa580f2ceb")</f>
        <v>0</v>
      </c>
      <c r="D50407" t="s">
        <v>5784</v>
      </c>
      <c r="E50407" t="s">
        <v>10501</v>
      </c>
      <c r="F50407" t="s">
        <v>14379</v>
      </c>
      <c r="G50407" t="s">
        <v>18323</v>
      </c>
      <c r="H50407" t="s">
        <v>39593</v>
      </c>
    </row>
    <row r="50408" spans="1:8">
      <c r="A50408" t="s">
        <v>4845</v>
      </c>
      <c r="B50408">
        <f>HYPERLINK("https://android.googlesource.com/platform/cts/+/8b4c71708e632e6090a4854e674e632473a2509b", "8b4c71708e632e6090a4854e674e632473a2509b")</f>
        <v>0</v>
      </c>
      <c r="C50408">
        <f>HYPERLINK("https://android.googlesource.com/platform/cts/+/a6777a357c49ccfa99db7309a1b7aeb60bee89a7", "a6777a357c49ccfa99db7309a1b7aeb60bee89a7")</f>
        <v>0</v>
      </c>
      <c r="D50408" t="s">
        <v>5782</v>
      </c>
      <c r="E50408" t="s">
        <v>10502</v>
      </c>
      <c r="F50408" t="s">
        <v>14417</v>
      </c>
      <c r="G50408" t="s">
        <v>18355</v>
      </c>
      <c r="H50408" t="s">
        <v>39586</v>
      </c>
    </row>
    <row r="50409" spans="1:8">
      <c r="A50409" t="s">
        <v>4846</v>
      </c>
      <c r="B50409">
        <f>HYPERLINK("https://android.googlesource.com/platform/cts/+/07b1a6131722546344a6c717aa51368787c6fb3f", "07b1a6131722546344a6c717aa51368787c6fb3f")</f>
        <v>0</v>
      </c>
      <c r="C50409">
        <f>HYPERLINK("https://android.googlesource.com/platform/cts/+/200e90060c6fbf0103a1f0c3e011a2ced49a9b40", "200e90060c6fbf0103a1f0c3e011a2ced49a9b40")</f>
        <v>0</v>
      </c>
      <c r="D50409" t="s">
        <v>5135</v>
      </c>
      <c r="E50409" t="s">
        <v>10503</v>
      </c>
      <c r="F50409" t="s">
        <v>13672</v>
      </c>
      <c r="G50409" t="s">
        <v>17744</v>
      </c>
      <c r="H50409" t="s">
        <v>39594</v>
      </c>
    </row>
    <row r="50410" spans="1:8">
      <c r="A50410" t="s">
        <v>4847</v>
      </c>
      <c r="B50410">
        <f>HYPERLINK("https://android.googlesource.com/platform/cts/+/ba23b6ac8ed33f470b1ecf4d97adf612c67ba9e5", "ba23b6ac8ed33f470b1ecf4d97adf612c67ba9e5")</f>
        <v>0</v>
      </c>
      <c r="C50410">
        <f>HYPERLINK("https://android.googlesource.com/platform/cts/+/aa9fd5ec03a8b237b9e45566dfd6a6d638faaee6", "aa9fd5ec03a8b237b9e45566dfd6a6d638faaee6")</f>
        <v>0</v>
      </c>
      <c r="D50410" t="s">
        <v>5785</v>
      </c>
      <c r="E50410" t="s">
        <v>10504</v>
      </c>
      <c r="F50410" t="s">
        <v>14758</v>
      </c>
      <c r="G50410" t="s">
        <v>18634</v>
      </c>
      <c r="H50410" t="s">
        <v>39595</v>
      </c>
    </row>
    <row r="50411" spans="1:8">
      <c r="A50411" t="s">
        <v>4848</v>
      </c>
      <c r="B50411">
        <f>HYPERLINK("https://android.googlesource.com/platform/cts/+/0c8c80fecd981aa70237a7c0eeae8165e8c37cce", "0c8c80fecd981aa70237a7c0eeae8165e8c37cce")</f>
        <v>0</v>
      </c>
      <c r="C50411">
        <f>HYPERLINK("https://android.googlesource.com/platform/cts/+/7153054c2b49afe5650a2ff2910d3f47d69cc81a", "7153054c2b49afe5650a2ff2910d3f47d69cc81a")</f>
        <v>0</v>
      </c>
      <c r="D50411" t="s">
        <v>5784</v>
      </c>
      <c r="E50411" t="s">
        <v>10505</v>
      </c>
      <c r="F50411" t="s">
        <v>14379</v>
      </c>
      <c r="G50411" t="s">
        <v>18323</v>
      </c>
      <c r="H50411" t="s">
        <v>39593</v>
      </c>
    </row>
    <row r="50412" spans="1:8">
      <c r="A50412" t="s">
        <v>4849</v>
      </c>
      <c r="B50412">
        <f>HYPERLINK("https://android.googlesource.com/platform/cts/+/185d45a7784406393b1522c1231521b97eaf9ef6", "185d45a7784406393b1522c1231521b97eaf9ef6")</f>
        <v>0</v>
      </c>
      <c r="C50412">
        <f>HYPERLINK("https://android.googlesource.com/platform/cts/+/b46b1248d41e62f41f4206468ca0518ddae01af9", "b46b1248d41e62f41f4206468ca0518ddae01af9")</f>
        <v>0</v>
      </c>
      <c r="D50412" t="s">
        <v>5096</v>
      </c>
      <c r="E50412" t="s">
        <v>10506</v>
      </c>
      <c r="F50412" t="s">
        <v>14695</v>
      </c>
      <c r="G50412" t="s">
        <v>18585</v>
      </c>
      <c r="H50412" t="s">
        <v>39596</v>
      </c>
    </row>
    <row r="50413" spans="1:8">
      <c r="H50413" t="s">
        <v>39597</v>
      </c>
    </row>
    <row r="50414" spans="1:8">
      <c r="H50414" t="s">
        <v>39598</v>
      </c>
    </row>
    <row r="50415" spans="1:8">
      <c r="H50415" t="s">
        <v>39599</v>
      </c>
    </row>
    <row r="50416" spans="1:8">
      <c r="H50416" t="s">
        <v>39600</v>
      </c>
    </row>
    <row r="50417" spans="8:8">
      <c r="H50417" t="s">
        <v>39601</v>
      </c>
    </row>
    <row r="50418" spans="8:8">
      <c r="H50418" t="s">
        <v>39602</v>
      </c>
    </row>
    <row r="50419" spans="8:8">
      <c r="H50419" t="s">
        <v>39603</v>
      </c>
    </row>
    <row r="50420" spans="8:8">
      <c r="H50420" t="s">
        <v>39604</v>
      </c>
    </row>
    <row r="50421" spans="8:8">
      <c r="H50421" t="s">
        <v>39605</v>
      </c>
    </row>
    <row r="50422" spans="8:8">
      <c r="H50422" t="s">
        <v>39606</v>
      </c>
    </row>
    <row r="50423" spans="8:8">
      <c r="H50423" t="s">
        <v>39607</v>
      </c>
    </row>
    <row r="50424" spans="8:8">
      <c r="H50424" t="s">
        <v>39608</v>
      </c>
    </row>
    <row r="50425" spans="8:8">
      <c r="H50425" t="s">
        <v>39609</v>
      </c>
    </row>
    <row r="50426" spans="8:8">
      <c r="H50426" t="s">
        <v>39610</v>
      </c>
    </row>
    <row r="50427" spans="8:8">
      <c r="H50427" t="s">
        <v>39611</v>
      </c>
    </row>
    <row r="50428" spans="8:8">
      <c r="H50428" t="s">
        <v>39612</v>
      </c>
    </row>
    <row r="50429" spans="8:8">
      <c r="H50429" t="s">
        <v>39613</v>
      </c>
    </row>
    <row r="50430" spans="8:8">
      <c r="H50430" t="s">
        <v>39614</v>
      </c>
    </row>
    <row r="50431" spans="8:8">
      <c r="H50431" t="s">
        <v>37877</v>
      </c>
    </row>
    <row r="50432" spans="8:8">
      <c r="H50432" t="s">
        <v>37878</v>
      </c>
    </row>
    <row r="50433" spans="8:8">
      <c r="H50433" t="s">
        <v>39615</v>
      </c>
    </row>
    <row r="50434" spans="8:8">
      <c r="H50434" t="s">
        <v>37878</v>
      </c>
    </row>
    <row r="50435" spans="8:8">
      <c r="H50435" t="s">
        <v>39616</v>
      </c>
    </row>
    <row r="50436" spans="8:8">
      <c r="H50436" t="s">
        <v>37878</v>
      </c>
    </row>
    <row r="50437" spans="8:8">
      <c r="H50437" t="s">
        <v>39617</v>
      </c>
    </row>
    <row r="50438" spans="8:8">
      <c r="H50438" t="s">
        <v>37878</v>
      </c>
    </row>
    <row r="50439" spans="8:8">
      <c r="H50439" t="s">
        <v>39618</v>
      </c>
    </row>
    <row r="50440" spans="8:8">
      <c r="H50440" t="s">
        <v>37878</v>
      </c>
    </row>
    <row r="50441" spans="8:8">
      <c r="H50441" t="s">
        <v>39619</v>
      </c>
    </row>
    <row r="50442" spans="8:8">
      <c r="H50442" t="s">
        <v>37878</v>
      </c>
    </row>
    <row r="50443" spans="8:8">
      <c r="H50443" t="s">
        <v>39620</v>
      </c>
    </row>
    <row r="50444" spans="8:8">
      <c r="H50444" t="s">
        <v>37878</v>
      </c>
    </row>
    <row r="50445" spans="8:8">
      <c r="H50445" t="s">
        <v>39621</v>
      </c>
    </row>
    <row r="50446" spans="8:8">
      <c r="H50446" t="s">
        <v>37878</v>
      </c>
    </row>
    <row r="50447" spans="8:8">
      <c r="H50447" t="s">
        <v>39622</v>
      </c>
    </row>
    <row r="50448" spans="8:8">
      <c r="H50448" t="s">
        <v>37878</v>
      </c>
    </row>
    <row r="50449" spans="1:8">
      <c r="H50449" t="s">
        <v>39623</v>
      </c>
    </row>
    <row r="50450" spans="1:8">
      <c r="H50450" t="s">
        <v>37878</v>
      </c>
    </row>
    <row r="50451" spans="1:8">
      <c r="F50451" t="s">
        <v>14915</v>
      </c>
      <c r="G50451" t="s">
        <v>18754</v>
      </c>
      <c r="H50451" t="s">
        <v>26807</v>
      </c>
    </row>
    <row r="50452" spans="1:8">
      <c r="H50452" t="s">
        <v>35050</v>
      </c>
    </row>
    <row r="50453" spans="1:8">
      <c r="A50453" t="s">
        <v>4850</v>
      </c>
      <c r="B50453">
        <f>HYPERLINK("https://android.googlesource.com/platform/cts/+/809bbcb0de5e50b856016d379a500ff776149628", "809bbcb0de5e50b856016d379a500ff776149628")</f>
        <v>0</v>
      </c>
      <c r="C50453">
        <f>HYPERLINK("https://android.googlesource.com/platform/cts/+/f0c475a29f2ef8030b17601ba0eddcc94133ffc0", "f0c475a29f2ef8030b17601ba0eddcc94133ffc0")</f>
        <v>0</v>
      </c>
      <c r="D50453" t="s">
        <v>5786</v>
      </c>
      <c r="E50453" t="s">
        <v>10507</v>
      </c>
      <c r="F50453" t="s">
        <v>14791</v>
      </c>
      <c r="G50453" t="s">
        <v>18659</v>
      </c>
      <c r="H50453" t="s">
        <v>19475</v>
      </c>
    </row>
    <row r="50454" spans="1:8">
      <c r="A50454" t="s">
        <v>4851</v>
      </c>
      <c r="B50454">
        <f>HYPERLINK("https://android.googlesource.com/platform/cts/+/752cb7b2874195c9997eab3cb6797b2664a7073b", "752cb7b2874195c9997eab3cb6797b2664a7073b")</f>
        <v>0</v>
      </c>
      <c r="C50454">
        <f>HYPERLINK("https://android.googlesource.com/platform/cts/+/e9b482e3505c00147ce6ac53ce8fdc196c53d91b", "e9b482e3505c00147ce6ac53ce8fdc196c53d91b")</f>
        <v>0</v>
      </c>
      <c r="D50454" t="s">
        <v>5781</v>
      </c>
      <c r="E50454" t="s">
        <v>10508</v>
      </c>
      <c r="F50454" t="s">
        <v>14909</v>
      </c>
      <c r="G50454" t="s">
        <v>18748</v>
      </c>
      <c r="H50454" t="s">
        <v>39580</v>
      </c>
    </row>
    <row r="50455" spans="1:8">
      <c r="A50455" t="s">
        <v>4852</v>
      </c>
      <c r="B50455">
        <f>HYPERLINK("https://android.googlesource.com/platform/cts/+/eadd9425a182a586dfba43c7600c54134bf1e1f7", "eadd9425a182a586dfba43c7600c54134bf1e1f7")</f>
        <v>0</v>
      </c>
      <c r="C50455">
        <f>HYPERLINK("https://android.googlesource.com/platform/cts/+/591bf009797df5b28efd75a3b9dd5b71b19787fc", "591bf009797df5b28efd75a3b9dd5b71b19787fc")</f>
        <v>0</v>
      </c>
      <c r="D50455" t="s">
        <v>5454</v>
      </c>
      <c r="E50455" t="s">
        <v>10509</v>
      </c>
      <c r="F50455" t="s">
        <v>14261</v>
      </c>
      <c r="G50455" t="s">
        <v>18228</v>
      </c>
      <c r="H50455" t="s">
        <v>39624</v>
      </c>
    </row>
    <row r="50456" spans="1:8">
      <c r="A50456" t="s">
        <v>4853</v>
      </c>
      <c r="B50456">
        <f>HYPERLINK("https://android.googlesource.com/platform/cts/+/75cc14ecd91def3cf7c58b0a458894d9078bf2d1", "75cc14ecd91def3cf7c58b0a458894d9078bf2d1")</f>
        <v>0</v>
      </c>
      <c r="C50456">
        <f>HYPERLINK("https://android.googlesource.com/platform/cts/+/711962bc725fb40f1804ba11c53406305993e8a7", "711962bc725fb40f1804ba11c53406305993e8a7")</f>
        <v>0</v>
      </c>
      <c r="D50456" t="s">
        <v>5454</v>
      </c>
      <c r="E50456" t="s">
        <v>10509</v>
      </c>
      <c r="F50456" t="s">
        <v>14261</v>
      </c>
      <c r="G50456" t="s">
        <v>18228</v>
      </c>
      <c r="H50456" t="s">
        <v>39624</v>
      </c>
    </row>
    <row r="50457" spans="1:8">
      <c r="A50457" t="s">
        <v>4854</v>
      </c>
      <c r="B50457">
        <f>HYPERLINK("https://android.googlesource.com/platform/cts/+/38747f0c51699f5ffeaa239a16dcc85ad73d84a9", "38747f0c51699f5ffeaa239a16dcc85ad73d84a9")</f>
        <v>0</v>
      </c>
      <c r="C50457">
        <f>HYPERLINK("https://android.googlesource.com/platform/cts/+/71f53fbce32845d5a839f93ddf8b28dd432dd827", "71f53fbce32845d5a839f93ddf8b28dd432dd827")</f>
        <v>0</v>
      </c>
      <c r="D50457" t="s">
        <v>5564</v>
      </c>
      <c r="E50457" t="s">
        <v>10510</v>
      </c>
      <c r="F50457" t="s">
        <v>14892</v>
      </c>
      <c r="G50457" t="s">
        <v>16415</v>
      </c>
      <c r="H50457" t="s">
        <v>39559</v>
      </c>
    </row>
    <row r="50458" spans="1:8">
      <c r="H50458" t="s">
        <v>39560</v>
      </c>
    </row>
    <row r="50459" spans="1:8">
      <c r="H50459" t="s">
        <v>39561</v>
      </c>
    </row>
    <row r="50460" spans="1:8">
      <c r="H50460" t="s">
        <v>39562</v>
      </c>
    </row>
    <row r="50461" spans="1:8">
      <c r="H50461" t="s">
        <v>39563</v>
      </c>
    </row>
    <row r="50462" spans="1:8">
      <c r="H50462" t="s">
        <v>39564</v>
      </c>
    </row>
    <row r="50463" spans="1:8">
      <c r="H50463" t="s">
        <v>39565</v>
      </c>
    </row>
    <row r="50464" spans="1:8">
      <c r="H50464" t="s">
        <v>39566</v>
      </c>
    </row>
    <row r="50465" spans="1:8">
      <c r="H50465" t="s">
        <v>37259</v>
      </c>
    </row>
    <row r="50466" spans="1:8">
      <c r="H50466" t="s">
        <v>37260</v>
      </c>
    </row>
    <row r="50467" spans="1:8">
      <c r="H50467" t="s">
        <v>37261</v>
      </c>
    </row>
    <row r="50468" spans="1:8">
      <c r="H50468" t="s">
        <v>37262</v>
      </c>
    </row>
    <row r="50469" spans="1:8">
      <c r="A50469" t="s">
        <v>4855</v>
      </c>
      <c r="B50469">
        <f>HYPERLINK("https://android.googlesource.com/platform/cts/+/6e4fe063d1c33f77f8ce4b5a0fd562e8cbb48143", "6e4fe063d1c33f77f8ce4b5a0fd562e8cbb48143")</f>
        <v>0</v>
      </c>
      <c r="C50469">
        <f>HYPERLINK("https://android.googlesource.com/platform/cts/+/adb8a3052069459466f7174e049530af00a3f8e6", "adb8a3052069459466f7174e049530af00a3f8e6")</f>
        <v>0</v>
      </c>
      <c r="D50469" t="s">
        <v>5135</v>
      </c>
      <c r="E50469" t="s">
        <v>10511</v>
      </c>
      <c r="F50469" t="s">
        <v>13672</v>
      </c>
      <c r="G50469" t="s">
        <v>17744</v>
      </c>
      <c r="H50469" t="s">
        <v>39594</v>
      </c>
    </row>
    <row r="50470" spans="1:8">
      <c r="A50470" t="s">
        <v>4856</v>
      </c>
      <c r="B50470">
        <f>HYPERLINK("https://android.googlesource.com/platform/cts/+/669de2ae2dfe1074c6fd3671e44c08c79d738654", "669de2ae2dfe1074c6fd3671e44c08c79d738654")</f>
        <v>0</v>
      </c>
      <c r="C50470">
        <f>HYPERLINK("https://android.googlesource.com/platform/cts/+/447c90745ab1d00a388e7179d1f7520159219a38", "447c90745ab1d00a388e7179d1f7520159219a38")</f>
        <v>0</v>
      </c>
      <c r="D50470" t="s">
        <v>5737</v>
      </c>
      <c r="E50470" t="s">
        <v>10512</v>
      </c>
      <c r="F50470" t="s">
        <v>14828</v>
      </c>
      <c r="G50470" t="s">
        <v>18690</v>
      </c>
      <c r="H50470" t="s">
        <v>39625</v>
      </c>
    </row>
    <row r="50471" spans="1:8">
      <c r="H50471" t="s">
        <v>39626</v>
      </c>
    </row>
    <row r="50472" spans="1:8">
      <c r="H50472" t="s">
        <v>39627</v>
      </c>
    </row>
    <row r="50473" spans="1:8">
      <c r="A50473" t="s">
        <v>4857</v>
      </c>
      <c r="B50473">
        <f>HYPERLINK("https://android.googlesource.com/platform/cts/+/aa24dbbc34a6303309633d26cbdd8a4c15cda538", "aa24dbbc34a6303309633d26cbdd8a4c15cda538")</f>
        <v>0</v>
      </c>
      <c r="C50473">
        <f>HYPERLINK("https://android.googlesource.com/platform/cts/+/dae05fd867e0b5f82a1d514a89f34ef1a6ca9f25", "dae05fd867e0b5f82a1d514a89f34ef1a6ca9f25")</f>
        <v>0</v>
      </c>
      <c r="D50473" t="s">
        <v>5754</v>
      </c>
      <c r="E50473" t="s">
        <v>10513</v>
      </c>
      <c r="F50473" t="s">
        <v>14829</v>
      </c>
      <c r="G50473" t="s">
        <v>18691</v>
      </c>
      <c r="H50473" t="s">
        <v>39628</v>
      </c>
    </row>
    <row r="50474" spans="1:8">
      <c r="A50474" t="s">
        <v>4858</v>
      </c>
      <c r="B50474">
        <f>HYPERLINK("https://android.googlesource.com/platform/cts/+/1442dfde53b38baf9e07a443ffcee51cd0df5c63", "1442dfde53b38baf9e07a443ffcee51cd0df5c63")</f>
        <v>0</v>
      </c>
      <c r="C50474">
        <f>HYPERLINK("https://android.googlesource.com/platform/cts/+/d4ab0afefdf79d406097a73ac5ecd54e61e1caae", "d4ab0afefdf79d406097a73ac5ecd54e61e1caae")</f>
        <v>0</v>
      </c>
      <c r="D50474" t="s">
        <v>5096</v>
      </c>
      <c r="E50474" t="s">
        <v>10514</v>
      </c>
      <c r="F50474" t="s">
        <v>14695</v>
      </c>
      <c r="G50474" t="s">
        <v>18585</v>
      </c>
      <c r="H50474" t="s">
        <v>39596</v>
      </c>
    </row>
    <row r="50475" spans="1:8">
      <c r="H50475" t="s">
        <v>39597</v>
      </c>
    </row>
    <row r="50476" spans="1:8">
      <c r="H50476" t="s">
        <v>39598</v>
      </c>
    </row>
    <row r="50477" spans="1:8">
      <c r="H50477" t="s">
        <v>39599</v>
      </c>
    </row>
    <row r="50478" spans="1:8">
      <c r="H50478" t="s">
        <v>39600</v>
      </c>
    </row>
    <row r="50479" spans="1:8">
      <c r="H50479" t="s">
        <v>39601</v>
      </c>
    </row>
    <row r="50480" spans="1:8">
      <c r="H50480" t="s">
        <v>39602</v>
      </c>
    </row>
    <row r="50481" spans="8:8">
      <c r="H50481" t="s">
        <v>39603</v>
      </c>
    </row>
    <row r="50482" spans="8:8">
      <c r="H50482" t="s">
        <v>39604</v>
      </c>
    </row>
    <row r="50483" spans="8:8">
      <c r="H50483" t="s">
        <v>39605</v>
      </c>
    </row>
    <row r="50484" spans="8:8">
      <c r="H50484" t="s">
        <v>39606</v>
      </c>
    </row>
    <row r="50485" spans="8:8">
      <c r="H50485" t="s">
        <v>39607</v>
      </c>
    </row>
    <row r="50486" spans="8:8">
      <c r="H50486" t="s">
        <v>39608</v>
      </c>
    </row>
    <row r="50487" spans="8:8">
      <c r="H50487" t="s">
        <v>39609</v>
      </c>
    </row>
    <row r="50488" spans="8:8">
      <c r="H50488" t="s">
        <v>39610</v>
      </c>
    </row>
    <row r="50489" spans="8:8">
      <c r="H50489" t="s">
        <v>39611</v>
      </c>
    </row>
    <row r="50490" spans="8:8">
      <c r="H50490" t="s">
        <v>39612</v>
      </c>
    </row>
    <row r="50491" spans="8:8">
      <c r="H50491" t="s">
        <v>39613</v>
      </c>
    </row>
    <row r="50492" spans="8:8">
      <c r="H50492" t="s">
        <v>39614</v>
      </c>
    </row>
    <row r="50493" spans="8:8">
      <c r="H50493" t="s">
        <v>37877</v>
      </c>
    </row>
    <row r="50494" spans="8:8">
      <c r="H50494" t="s">
        <v>37878</v>
      </c>
    </row>
    <row r="50495" spans="8:8">
      <c r="H50495" t="s">
        <v>39615</v>
      </c>
    </row>
    <row r="50496" spans="8:8">
      <c r="H50496" t="s">
        <v>37878</v>
      </c>
    </row>
    <row r="50497" spans="8:8">
      <c r="H50497" t="s">
        <v>39616</v>
      </c>
    </row>
    <row r="50498" spans="8:8">
      <c r="H50498" t="s">
        <v>37878</v>
      </c>
    </row>
    <row r="50499" spans="8:8">
      <c r="H50499" t="s">
        <v>39617</v>
      </c>
    </row>
    <row r="50500" spans="8:8">
      <c r="H50500" t="s">
        <v>37878</v>
      </c>
    </row>
    <row r="50501" spans="8:8">
      <c r="H50501" t="s">
        <v>39618</v>
      </c>
    </row>
    <row r="50502" spans="8:8">
      <c r="H50502" t="s">
        <v>37878</v>
      </c>
    </row>
    <row r="50503" spans="8:8">
      <c r="H50503" t="s">
        <v>39619</v>
      </c>
    </row>
    <row r="50504" spans="8:8">
      <c r="H50504" t="s">
        <v>37878</v>
      </c>
    </row>
    <row r="50505" spans="8:8">
      <c r="H50505" t="s">
        <v>39620</v>
      </c>
    </row>
    <row r="50506" spans="8:8">
      <c r="H50506" t="s">
        <v>37878</v>
      </c>
    </row>
    <row r="50507" spans="8:8">
      <c r="H50507" t="s">
        <v>39621</v>
      </c>
    </row>
    <row r="50508" spans="8:8">
      <c r="H50508" t="s">
        <v>37878</v>
      </c>
    </row>
    <row r="50509" spans="8:8">
      <c r="H50509" t="s">
        <v>39622</v>
      </c>
    </row>
    <row r="50510" spans="8:8">
      <c r="H50510" t="s">
        <v>37878</v>
      </c>
    </row>
    <row r="50511" spans="8:8">
      <c r="H50511" t="s">
        <v>39623</v>
      </c>
    </row>
    <row r="50512" spans="8:8">
      <c r="H50512" t="s">
        <v>37878</v>
      </c>
    </row>
    <row r="50513" spans="1:8">
      <c r="F50513" t="s">
        <v>14915</v>
      </c>
      <c r="G50513" t="s">
        <v>18754</v>
      </c>
      <c r="H50513" t="s">
        <v>26807</v>
      </c>
    </row>
    <row r="50514" spans="1:8">
      <c r="H50514" t="s">
        <v>35050</v>
      </c>
    </row>
    <row r="50515" spans="1:8">
      <c r="A50515" t="s">
        <v>4859</v>
      </c>
      <c r="B50515">
        <f>HYPERLINK("https://android.googlesource.com/platform/cts/+/aa0f36df54524bc401a70622aaaa338a59e15442", "aa0f36df54524bc401a70622aaaa338a59e15442")</f>
        <v>0</v>
      </c>
      <c r="C50515">
        <f>HYPERLINK("https://android.googlesource.com/platform/cts/+/880ff5655a111ca411d085e588fe531acb95cab4", "880ff5655a111ca411d085e588fe531acb95cab4")</f>
        <v>0</v>
      </c>
      <c r="D50515" t="s">
        <v>5134</v>
      </c>
      <c r="E50515" t="s">
        <v>10515</v>
      </c>
      <c r="F50515" t="s">
        <v>14916</v>
      </c>
      <c r="G50515" t="s">
        <v>18755</v>
      </c>
      <c r="H50515" t="s">
        <v>39629</v>
      </c>
    </row>
    <row r="50516" spans="1:8">
      <c r="H50516" t="s">
        <v>39630</v>
      </c>
    </row>
    <row r="50517" spans="1:8">
      <c r="A50517" t="s">
        <v>4860</v>
      </c>
      <c r="B50517">
        <f>HYPERLINK("https://android.googlesource.com/platform/cts/+/0507aeb8dc545a123ce9a097f6439a39e94f24ba", "0507aeb8dc545a123ce9a097f6439a39e94f24ba")</f>
        <v>0</v>
      </c>
      <c r="C50517">
        <f>HYPERLINK("https://android.googlesource.com/platform/cts/+/354cacf730dd88d56c1830a95423d71ec976f9ff", "354cacf730dd88d56c1830a95423d71ec976f9ff")</f>
        <v>0</v>
      </c>
      <c r="D50517" t="s">
        <v>5096</v>
      </c>
      <c r="E50517" t="s">
        <v>10516</v>
      </c>
      <c r="F50517" t="s">
        <v>14695</v>
      </c>
      <c r="G50517" t="s">
        <v>18585</v>
      </c>
      <c r="H50517" t="s">
        <v>39596</v>
      </c>
    </row>
    <row r="50518" spans="1:8">
      <c r="H50518" t="s">
        <v>39597</v>
      </c>
    </row>
    <row r="50519" spans="1:8">
      <c r="H50519" t="s">
        <v>39598</v>
      </c>
    </row>
    <row r="50520" spans="1:8">
      <c r="H50520" t="s">
        <v>39599</v>
      </c>
    </row>
    <row r="50521" spans="1:8">
      <c r="H50521" t="s">
        <v>39600</v>
      </c>
    </row>
    <row r="50522" spans="1:8">
      <c r="H50522" t="s">
        <v>39601</v>
      </c>
    </row>
    <row r="50523" spans="1:8">
      <c r="H50523" t="s">
        <v>39602</v>
      </c>
    </row>
    <row r="50524" spans="1:8">
      <c r="H50524" t="s">
        <v>39603</v>
      </c>
    </row>
    <row r="50525" spans="1:8">
      <c r="H50525" t="s">
        <v>39604</v>
      </c>
    </row>
    <row r="50526" spans="1:8">
      <c r="H50526" t="s">
        <v>39605</v>
      </c>
    </row>
    <row r="50527" spans="1:8">
      <c r="H50527" t="s">
        <v>39606</v>
      </c>
    </row>
    <row r="50528" spans="1:8">
      <c r="H50528" t="s">
        <v>39607</v>
      </c>
    </row>
    <row r="50529" spans="8:8">
      <c r="H50529" t="s">
        <v>39608</v>
      </c>
    </row>
    <row r="50530" spans="8:8">
      <c r="H50530" t="s">
        <v>39609</v>
      </c>
    </row>
    <row r="50531" spans="8:8">
      <c r="H50531" t="s">
        <v>39610</v>
      </c>
    </row>
    <row r="50532" spans="8:8">
      <c r="H50532" t="s">
        <v>39611</v>
      </c>
    </row>
    <row r="50533" spans="8:8">
      <c r="H50533" t="s">
        <v>39612</v>
      </c>
    </row>
    <row r="50534" spans="8:8">
      <c r="H50534" t="s">
        <v>39613</v>
      </c>
    </row>
    <row r="50535" spans="8:8">
      <c r="H50535" t="s">
        <v>39614</v>
      </c>
    </row>
    <row r="50536" spans="8:8">
      <c r="H50536" t="s">
        <v>37877</v>
      </c>
    </row>
    <row r="50537" spans="8:8">
      <c r="H50537" t="s">
        <v>37878</v>
      </c>
    </row>
    <row r="50538" spans="8:8">
      <c r="H50538" t="s">
        <v>39615</v>
      </c>
    </row>
    <row r="50539" spans="8:8">
      <c r="H50539" t="s">
        <v>37878</v>
      </c>
    </row>
    <row r="50540" spans="8:8">
      <c r="H50540" t="s">
        <v>39616</v>
      </c>
    </row>
    <row r="50541" spans="8:8">
      <c r="H50541" t="s">
        <v>37878</v>
      </c>
    </row>
    <row r="50542" spans="8:8">
      <c r="H50542" t="s">
        <v>39617</v>
      </c>
    </row>
    <row r="50543" spans="8:8">
      <c r="H50543" t="s">
        <v>37878</v>
      </c>
    </row>
    <row r="50544" spans="8:8">
      <c r="H50544" t="s">
        <v>39618</v>
      </c>
    </row>
    <row r="50545" spans="1:8">
      <c r="H50545" t="s">
        <v>37878</v>
      </c>
    </row>
    <row r="50546" spans="1:8">
      <c r="H50546" t="s">
        <v>39619</v>
      </c>
    </row>
    <row r="50547" spans="1:8">
      <c r="H50547" t="s">
        <v>37878</v>
      </c>
    </row>
    <row r="50548" spans="1:8">
      <c r="H50548" t="s">
        <v>39620</v>
      </c>
    </row>
    <row r="50549" spans="1:8">
      <c r="H50549" t="s">
        <v>37878</v>
      </c>
    </row>
    <row r="50550" spans="1:8">
      <c r="H50550" t="s">
        <v>39621</v>
      </c>
    </row>
    <row r="50551" spans="1:8">
      <c r="H50551" t="s">
        <v>37878</v>
      </c>
    </row>
    <row r="50552" spans="1:8">
      <c r="H50552" t="s">
        <v>39622</v>
      </c>
    </row>
    <row r="50553" spans="1:8">
      <c r="H50553" t="s">
        <v>37878</v>
      </c>
    </row>
    <row r="50554" spans="1:8">
      <c r="H50554" t="s">
        <v>39623</v>
      </c>
    </row>
    <row r="50555" spans="1:8">
      <c r="H50555" t="s">
        <v>37878</v>
      </c>
    </row>
    <row r="50556" spans="1:8">
      <c r="F50556" t="s">
        <v>14915</v>
      </c>
      <c r="G50556" t="s">
        <v>18754</v>
      </c>
      <c r="H50556" t="s">
        <v>26807</v>
      </c>
    </row>
    <row r="50557" spans="1:8">
      <c r="H50557" t="s">
        <v>35050</v>
      </c>
    </row>
    <row r="50558" spans="1:8">
      <c r="A50558" t="s">
        <v>4861</v>
      </c>
      <c r="B50558">
        <f>HYPERLINK("https://android.googlesource.com/platform/cts/+/ffffeb23be8f113263650fcffed6d30e163ef122", "ffffeb23be8f113263650fcffed6d30e163ef122")</f>
        <v>0</v>
      </c>
      <c r="C50558">
        <f>HYPERLINK("https://android.googlesource.com/platform/cts/+/af39c40ee5199c1eeb3dd94fcdb727d4ce2fcf45", "af39c40ee5199c1eeb3dd94fcdb727d4ce2fcf45")</f>
        <v>0</v>
      </c>
      <c r="D50558" t="s">
        <v>5787</v>
      </c>
      <c r="E50558" t="s">
        <v>10517</v>
      </c>
      <c r="F50558" t="s">
        <v>14917</v>
      </c>
      <c r="G50558" t="s">
        <v>17433</v>
      </c>
      <c r="H50558" t="s">
        <v>39631</v>
      </c>
    </row>
    <row r="50559" spans="1:8">
      <c r="H50559" t="s">
        <v>39632</v>
      </c>
    </row>
    <row r="50560" spans="1:8">
      <c r="H50560" t="s">
        <v>19029</v>
      </c>
    </row>
    <row r="50561" spans="1:8">
      <c r="A50561" t="s">
        <v>4862</v>
      </c>
      <c r="B50561">
        <f>HYPERLINK("https://android.googlesource.com/platform/cts/+/d82c8f7765ded157ed237e15a600e8740eb96bb1", "d82c8f7765ded157ed237e15a600e8740eb96bb1")</f>
        <v>0</v>
      </c>
      <c r="C50561">
        <f>HYPERLINK("https://android.googlesource.com/platform/cts/+/2d4fcdef4bdd2f2f98f98a36ddd1acfaf2938398", "2d4fcdef4bdd2f2f98f98a36ddd1acfaf2938398")</f>
        <v>0</v>
      </c>
      <c r="D50561" t="s">
        <v>5781</v>
      </c>
      <c r="E50561" t="s">
        <v>10518</v>
      </c>
      <c r="F50561" t="s">
        <v>14909</v>
      </c>
      <c r="G50561" t="s">
        <v>18748</v>
      </c>
      <c r="H50561" t="s">
        <v>39633</v>
      </c>
    </row>
    <row r="50562" spans="1:8">
      <c r="A50562" t="s">
        <v>4863</v>
      </c>
      <c r="B50562">
        <f>HYPERLINK("https://android.googlesource.com/platform/cts/+/553f235d852e023722ea87ded7667bfb662ff1d0", "553f235d852e023722ea87ded7667bfb662ff1d0")</f>
        <v>0</v>
      </c>
      <c r="C50562">
        <f>HYPERLINK("https://android.googlesource.com/platform/cts/+/beb3bb71fbab2fcce5c61a59bf191e88afe9434f", "beb3bb71fbab2fcce5c61a59bf191e88afe9434f")</f>
        <v>0</v>
      </c>
      <c r="D50562" t="s">
        <v>5788</v>
      </c>
      <c r="E50562" t="s">
        <v>10519</v>
      </c>
      <c r="F50562" t="s">
        <v>14918</v>
      </c>
      <c r="G50562" t="s">
        <v>18756</v>
      </c>
      <c r="H50562" t="s">
        <v>19981</v>
      </c>
    </row>
    <row r="50563" spans="1:8">
      <c r="H50563" t="s">
        <v>39634</v>
      </c>
    </row>
    <row r="50564" spans="1:8">
      <c r="A50564" t="s">
        <v>4864</v>
      </c>
      <c r="B50564">
        <f>HYPERLINK("https://android.googlesource.com/platform/cts/+/63d186ca77805675f77c1dfe9c962b16a8aa48f7", "63d186ca77805675f77c1dfe9c962b16a8aa48f7")</f>
        <v>0</v>
      </c>
      <c r="C50564">
        <f>HYPERLINK("https://android.googlesource.com/platform/cts/+/cd258637b1be3230174e0a52044898ff7ab0aa1a", "cd258637b1be3230174e0a52044898ff7ab0aa1a")</f>
        <v>0</v>
      </c>
      <c r="D50564" t="s">
        <v>5584</v>
      </c>
      <c r="E50564" t="s">
        <v>10520</v>
      </c>
      <c r="F50564" t="s">
        <v>14758</v>
      </c>
      <c r="G50564" t="s">
        <v>18634</v>
      </c>
      <c r="H50564" t="s">
        <v>39635</v>
      </c>
    </row>
    <row r="50565" spans="1:8">
      <c r="A50565" t="s">
        <v>4865</v>
      </c>
      <c r="B50565">
        <f>HYPERLINK("https://android.googlesource.com/platform/cts/+/4a23b0199cb0f34499905f60461dc836d2a49cce", "4a23b0199cb0f34499905f60461dc836d2a49cce")</f>
        <v>0</v>
      </c>
      <c r="C50565">
        <f>HYPERLINK("https://android.googlesource.com/platform/cts/+/7146a3d61add08da111df4d408f399bcbbb4b1d2", "7146a3d61add08da111df4d408f399bcbbb4b1d2")</f>
        <v>0</v>
      </c>
      <c r="D50565" t="s">
        <v>5789</v>
      </c>
      <c r="E50565" t="s">
        <v>10521</v>
      </c>
      <c r="F50565" t="s">
        <v>14919</v>
      </c>
      <c r="G50565" t="s">
        <v>18039</v>
      </c>
      <c r="H50565" t="s">
        <v>31202</v>
      </c>
    </row>
    <row r="50566" spans="1:8">
      <c r="H50566" t="s">
        <v>26872</v>
      </c>
    </row>
    <row r="50567" spans="1:8">
      <c r="H50567" t="s">
        <v>28511</v>
      </c>
    </row>
    <row r="50568" spans="1:8">
      <c r="H50568" t="s">
        <v>18829</v>
      </c>
    </row>
    <row r="50569" spans="1:8">
      <c r="F50569" t="s">
        <v>14920</v>
      </c>
      <c r="G50569" t="s">
        <v>16619</v>
      </c>
      <c r="H50569" t="s">
        <v>18829</v>
      </c>
    </row>
    <row r="50570" spans="1:8">
      <c r="H50570" t="s">
        <v>18863</v>
      </c>
    </row>
    <row r="50571" spans="1:8">
      <c r="H50571" t="s">
        <v>30514</v>
      </c>
    </row>
    <row r="50572" spans="1:8">
      <c r="H50572" t="s">
        <v>30514</v>
      </c>
    </row>
    <row r="50573" spans="1:8">
      <c r="H50573" t="s">
        <v>30514</v>
      </c>
    </row>
    <row r="50574" spans="1:8">
      <c r="H50574" t="s">
        <v>39636</v>
      </c>
    </row>
    <row r="50575" spans="1:8">
      <c r="H50575" t="s">
        <v>39637</v>
      </c>
    </row>
    <row r="50576" spans="1:8">
      <c r="H50576" t="s">
        <v>39638</v>
      </c>
    </row>
    <row r="50577" spans="8:8">
      <c r="H50577" t="s">
        <v>39639</v>
      </c>
    </row>
    <row r="50578" spans="8:8">
      <c r="H50578" t="s">
        <v>19905</v>
      </c>
    </row>
    <row r="50579" spans="8:8">
      <c r="H50579" t="s">
        <v>19905</v>
      </c>
    </row>
    <row r="50580" spans="8:8">
      <c r="H50580" t="s">
        <v>22588</v>
      </c>
    </row>
    <row r="50581" spans="8:8">
      <c r="H50581" t="s">
        <v>39640</v>
      </c>
    </row>
    <row r="50582" spans="8:8">
      <c r="H50582" t="s">
        <v>39641</v>
      </c>
    </row>
    <row r="50583" spans="8:8">
      <c r="H50583" t="s">
        <v>22591</v>
      </c>
    </row>
    <row r="50584" spans="8:8">
      <c r="H50584" t="s">
        <v>22591</v>
      </c>
    </row>
    <row r="50585" spans="8:8">
      <c r="H50585" t="s">
        <v>22591</v>
      </c>
    </row>
    <row r="50586" spans="8:8">
      <c r="H50586" t="s">
        <v>39642</v>
      </c>
    </row>
    <row r="50587" spans="8:8">
      <c r="H50587" t="s">
        <v>33983</v>
      </c>
    </row>
    <row r="50588" spans="8:8">
      <c r="H50588" t="s">
        <v>39643</v>
      </c>
    </row>
    <row r="50589" spans="8:8">
      <c r="H50589" t="s">
        <v>39644</v>
      </c>
    </row>
    <row r="50590" spans="8:8">
      <c r="H50590" t="s">
        <v>39645</v>
      </c>
    </row>
    <row r="50591" spans="8:8">
      <c r="H50591" t="s">
        <v>25777</v>
      </c>
    </row>
    <row r="50592" spans="8:8">
      <c r="H50592" t="s">
        <v>39646</v>
      </c>
    </row>
    <row r="50593" spans="6:8">
      <c r="H50593" t="s">
        <v>36172</v>
      </c>
    </row>
    <row r="50594" spans="6:8">
      <c r="H50594" t="s">
        <v>39647</v>
      </c>
    </row>
    <row r="50595" spans="6:8">
      <c r="H50595" t="s">
        <v>39648</v>
      </c>
    </row>
    <row r="50596" spans="6:8">
      <c r="H50596" t="s">
        <v>39649</v>
      </c>
    </row>
    <row r="50597" spans="6:8">
      <c r="H50597" t="s">
        <v>39650</v>
      </c>
    </row>
    <row r="50598" spans="6:8">
      <c r="H50598" t="s">
        <v>39651</v>
      </c>
    </row>
    <row r="50599" spans="6:8">
      <c r="H50599" t="s">
        <v>39651</v>
      </c>
    </row>
    <row r="50600" spans="6:8">
      <c r="H50600" t="s">
        <v>39652</v>
      </c>
    </row>
    <row r="50601" spans="6:8">
      <c r="F50601" t="s">
        <v>14921</v>
      </c>
      <c r="G50601" t="s">
        <v>16935</v>
      </c>
      <c r="H50601" t="s">
        <v>18863</v>
      </c>
    </row>
    <row r="50602" spans="6:8">
      <c r="H50602" t="s">
        <v>30571</v>
      </c>
    </row>
    <row r="50603" spans="6:8">
      <c r="H50603" t="s">
        <v>36514</v>
      </c>
    </row>
    <row r="50604" spans="6:8">
      <c r="H50604" t="s">
        <v>36514</v>
      </c>
    </row>
    <row r="50605" spans="6:8">
      <c r="H50605" t="s">
        <v>39653</v>
      </c>
    </row>
    <row r="50606" spans="6:8">
      <c r="H50606" t="s">
        <v>39653</v>
      </c>
    </row>
    <row r="50607" spans="6:8">
      <c r="H50607" t="s">
        <v>39653</v>
      </c>
    </row>
    <row r="50608" spans="6:8">
      <c r="H50608" t="s">
        <v>39653</v>
      </c>
    </row>
    <row r="50609" spans="6:8">
      <c r="F50609" t="s">
        <v>14922</v>
      </c>
      <c r="G50609" t="s">
        <v>17370</v>
      </c>
      <c r="H50609" t="s">
        <v>18829</v>
      </c>
    </row>
    <row r="50610" spans="6:8">
      <c r="H50610" t="s">
        <v>18863</v>
      </c>
    </row>
    <row r="50611" spans="6:8">
      <c r="H50611" t="s">
        <v>30571</v>
      </c>
    </row>
    <row r="50612" spans="6:8">
      <c r="H50612" t="s">
        <v>22591</v>
      </c>
    </row>
    <row r="50613" spans="6:8">
      <c r="H50613" t="s">
        <v>39653</v>
      </c>
    </row>
    <row r="50614" spans="6:8">
      <c r="F50614" t="s">
        <v>14923</v>
      </c>
      <c r="G50614" t="s">
        <v>18757</v>
      </c>
      <c r="H50614" t="s">
        <v>39654</v>
      </c>
    </row>
    <row r="50615" spans="6:8">
      <c r="H50615" t="s">
        <v>18829</v>
      </c>
    </row>
    <row r="50616" spans="6:8">
      <c r="H50616" t="s">
        <v>18863</v>
      </c>
    </row>
    <row r="50617" spans="6:8">
      <c r="H50617" t="s">
        <v>39655</v>
      </c>
    </row>
    <row r="50618" spans="6:8">
      <c r="H50618" t="s">
        <v>39656</v>
      </c>
    </row>
    <row r="50619" spans="6:8">
      <c r="H50619" t="s">
        <v>39657</v>
      </c>
    </row>
    <row r="50620" spans="6:8">
      <c r="H50620" t="s">
        <v>39658</v>
      </c>
    </row>
    <row r="50621" spans="6:8">
      <c r="H50621" t="s">
        <v>34029</v>
      </c>
    </row>
    <row r="50622" spans="6:8">
      <c r="H50622" t="s">
        <v>39659</v>
      </c>
    </row>
    <row r="50623" spans="6:8">
      <c r="H50623" t="s">
        <v>39660</v>
      </c>
    </row>
    <row r="50624" spans="6:8">
      <c r="H50624" t="s">
        <v>39661</v>
      </c>
    </row>
    <row r="50625" spans="1:8">
      <c r="H50625" t="s">
        <v>39662</v>
      </c>
    </row>
    <row r="50626" spans="1:8">
      <c r="H50626" t="s">
        <v>39662</v>
      </c>
    </row>
    <row r="50627" spans="1:8">
      <c r="H50627" t="s">
        <v>39663</v>
      </c>
    </row>
    <row r="50628" spans="1:8">
      <c r="H50628" t="s">
        <v>39664</v>
      </c>
    </row>
    <row r="50629" spans="1:8">
      <c r="H50629" t="s">
        <v>30511</v>
      </c>
    </row>
    <row r="50630" spans="1:8">
      <c r="H50630" t="s">
        <v>39665</v>
      </c>
    </row>
    <row r="50631" spans="1:8">
      <c r="A50631" t="s">
        <v>4866</v>
      </c>
      <c r="B50631">
        <f>HYPERLINK("https://android.googlesource.com/platform/cts/+/f6f3be5516a9cccb2d2a548cc2d74f969300cebc", "f6f3be5516a9cccb2d2a548cc2d74f969300cebc")</f>
        <v>0</v>
      </c>
      <c r="C50631">
        <f>HYPERLINK("https://android.googlesource.com/platform/cts/+/9c0666911e54e41013d17ae95bdea22e0c4c975f", "9c0666911e54e41013d17ae95bdea22e0c4c975f")</f>
        <v>0</v>
      </c>
      <c r="D50631" t="s">
        <v>5790</v>
      </c>
      <c r="E50631" t="s">
        <v>10522</v>
      </c>
      <c r="F50631" t="s">
        <v>14237</v>
      </c>
      <c r="G50631" t="s">
        <v>18207</v>
      </c>
      <c r="H50631" t="s">
        <v>39666</v>
      </c>
    </row>
    <row r="50632" spans="1:8">
      <c r="A50632" t="s">
        <v>4867</v>
      </c>
      <c r="B50632">
        <f>HYPERLINK("https://android.googlesource.com/platform/cts/+/9dc7cd0a2f189045a91a4a927110e57689a7c454", "9dc7cd0a2f189045a91a4a927110e57689a7c454")</f>
        <v>0</v>
      </c>
      <c r="C50632">
        <f>HYPERLINK("https://android.googlesource.com/platform/cts/+/062dc82b29aebceb052bfd81a40a10c617f2d3d1", "062dc82b29aebceb052bfd81a40a10c617f2d3d1")</f>
        <v>0</v>
      </c>
      <c r="D50632" t="s">
        <v>5791</v>
      </c>
      <c r="E50632" t="s">
        <v>10523</v>
      </c>
      <c r="F50632" t="s">
        <v>12959</v>
      </c>
      <c r="G50632" t="s">
        <v>17123</v>
      </c>
      <c r="H50632" t="s">
        <v>39667</v>
      </c>
    </row>
    <row r="50633" spans="1:8">
      <c r="A50633" t="s">
        <v>4868</v>
      </c>
      <c r="B50633">
        <f>HYPERLINK("https://android.googlesource.com/platform/cts/+/ef858765282cd4906706496e5c34897fa1fb35ff", "ef858765282cd4906706496e5c34897fa1fb35ff")</f>
        <v>0</v>
      </c>
      <c r="C50633">
        <f>HYPERLINK("https://android.googlesource.com/platform/cts/+/53638b6d0edf82657c538b693febbc52e5083cf8", "53638b6d0edf82657c538b693febbc52e5083cf8")</f>
        <v>0</v>
      </c>
      <c r="D50633" t="s">
        <v>5792</v>
      </c>
      <c r="E50633" t="s">
        <v>10524</v>
      </c>
      <c r="F50633" t="s">
        <v>14677</v>
      </c>
      <c r="G50633" t="s">
        <v>18533</v>
      </c>
      <c r="H50633" t="s">
        <v>37047</v>
      </c>
    </row>
    <row r="50634" spans="1:8">
      <c r="A50634" t="s">
        <v>4869</v>
      </c>
      <c r="B50634">
        <f>HYPERLINK("https://android.googlesource.com/platform/cts/+/2bdf737a3f697e394d5a5ee53c17180ac4d81ca5", "2bdf737a3f697e394d5a5ee53c17180ac4d81ca5")</f>
        <v>0</v>
      </c>
      <c r="C50634">
        <f>HYPERLINK("https://android.googlesource.com/platform/cts/+/12d861ce749ea2c78e7fbe3c9db756d04a1e0ae7", "12d861ce749ea2c78e7fbe3c9db756d04a1e0ae7")</f>
        <v>0</v>
      </c>
      <c r="D50634" t="s">
        <v>5635</v>
      </c>
      <c r="E50634" t="s">
        <v>10525</v>
      </c>
      <c r="F50634" t="s">
        <v>13990</v>
      </c>
      <c r="G50634" t="s">
        <v>18009</v>
      </c>
      <c r="H50634" t="s">
        <v>39668</v>
      </c>
    </row>
    <row r="50635" spans="1:8">
      <c r="H50635" t="s">
        <v>39669</v>
      </c>
    </row>
    <row r="50636" spans="1:8">
      <c r="A50636" t="s">
        <v>4870</v>
      </c>
      <c r="B50636">
        <f>HYPERLINK("https://android.googlesource.com/platform/cts/+/80adcadd6878586d857bec8922e2726be03a58f7", "80adcadd6878586d857bec8922e2726be03a58f7")</f>
        <v>0</v>
      </c>
      <c r="C50636">
        <f>HYPERLINK("https://android.googlesource.com/platform/cts/+/85477b89e9699cc28400621f39615fd9cbcbd848", "85477b89e9699cc28400621f39615fd9cbcbd848")</f>
        <v>0</v>
      </c>
      <c r="D50636" t="s">
        <v>5737</v>
      </c>
      <c r="E50636" t="s">
        <v>10526</v>
      </c>
      <c r="F50636" t="s">
        <v>14828</v>
      </c>
      <c r="G50636" t="s">
        <v>18690</v>
      </c>
      <c r="H50636" t="s">
        <v>39670</v>
      </c>
    </row>
    <row r="50637" spans="1:8">
      <c r="H50637" t="s">
        <v>39670</v>
      </c>
    </row>
    <row r="50638" spans="1:8">
      <c r="H50638" t="s">
        <v>39671</v>
      </c>
    </row>
    <row r="50639" spans="1:8">
      <c r="A50639" t="s">
        <v>4871</v>
      </c>
      <c r="B50639">
        <f>HYPERLINK("https://android.googlesource.com/platform/cts/+/26913bfa31a2ebd0a9ea90e2d778b46c95902afb", "26913bfa31a2ebd0a9ea90e2d778b46c95902afb")</f>
        <v>0</v>
      </c>
      <c r="C50639">
        <f>HYPERLINK("https://android.googlesource.com/platform/cts/+/d436c836c5fdf36bb93c0c6f7c225700d1db7c6e", "d436c836c5fdf36bb93c0c6f7c225700d1db7c6e")</f>
        <v>0</v>
      </c>
      <c r="D50639" t="s">
        <v>5793</v>
      </c>
      <c r="E50639" t="s">
        <v>10527</v>
      </c>
      <c r="F50639" t="s">
        <v>14908</v>
      </c>
      <c r="G50639" t="s">
        <v>16631</v>
      </c>
      <c r="H50639" t="s">
        <v>39672</v>
      </c>
    </row>
    <row r="50640" spans="1:8">
      <c r="A50640" t="s">
        <v>4872</v>
      </c>
      <c r="B50640">
        <f>HYPERLINK("https://android.googlesource.com/platform/cts/+/1975fdffb112c8e074f9cc2fa0cac6521d237f7f", "1975fdffb112c8e074f9cc2fa0cac6521d237f7f")</f>
        <v>0</v>
      </c>
      <c r="C50640">
        <f>HYPERLINK("https://android.googlesource.com/platform/cts/+/212b209bcbce8ab012d1734f283de74850a5ad9d", "212b209bcbce8ab012d1734f283de74850a5ad9d")</f>
        <v>0</v>
      </c>
      <c r="D50640" t="s">
        <v>5794</v>
      </c>
      <c r="E50640" t="s">
        <v>10528</v>
      </c>
      <c r="F50640" t="s">
        <v>14813</v>
      </c>
      <c r="G50640" t="s">
        <v>18677</v>
      </c>
      <c r="H50640" t="s">
        <v>18829</v>
      </c>
    </row>
    <row r="50641" spans="1:8">
      <c r="H50641" t="s">
        <v>18863</v>
      </c>
    </row>
    <row r="50642" spans="1:8">
      <c r="H50642" t="s">
        <v>39673</v>
      </c>
    </row>
    <row r="50643" spans="1:8">
      <c r="H50643" t="s">
        <v>39674</v>
      </c>
    </row>
    <row r="50644" spans="1:8">
      <c r="H50644" t="s">
        <v>39675</v>
      </c>
    </row>
    <row r="50645" spans="1:8">
      <c r="H50645" t="s">
        <v>39014</v>
      </c>
    </row>
    <row r="50646" spans="1:8">
      <c r="H50646" t="s">
        <v>39676</v>
      </c>
    </row>
    <row r="50647" spans="1:8">
      <c r="H50647" t="s">
        <v>39677</v>
      </c>
    </row>
    <row r="50648" spans="1:8">
      <c r="H50648" t="s">
        <v>31415</v>
      </c>
    </row>
    <row r="50649" spans="1:8">
      <c r="H50649" t="s">
        <v>28391</v>
      </c>
    </row>
    <row r="50650" spans="1:8">
      <c r="H50650" t="s">
        <v>21360</v>
      </c>
    </row>
    <row r="50651" spans="1:8">
      <c r="H50651" t="s">
        <v>39678</v>
      </c>
    </row>
    <row r="50652" spans="1:8">
      <c r="H50652" t="s">
        <v>39679</v>
      </c>
    </row>
    <row r="50653" spans="1:8">
      <c r="F50653" t="s">
        <v>14924</v>
      </c>
      <c r="G50653" t="s">
        <v>18758</v>
      </c>
      <c r="H50653" t="s">
        <v>39680</v>
      </c>
    </row>
    <row r="50654" spans="1:8">
      <c r="F50654" t="s">
        <v>14925</v>
      </c>
      <c r="G50654" t="s">
        <v>18759</v>
      </c>
      <c r="H50654" t="s">
        <v>39681</v>
      </c>
    </row>
    <row r="50655" spans="1:8">
      <c r="F50655" t="s">
        <v>14926</v>
      </c>
      <c r="G50655" t="s">
        <v>18760</v>
      </c>
      <c r="H50655" t="s">
        <v>39682</v>
      </c>
    </row>
    <row r="50656" spans="1:8">
      <c r="A50656" t="s">
        <v>4873</v>
      </c>
      <c r="B50656">
        <f>HYPERLINK("https://android.googlesource.com/platform/cts/+/829b1958394f5eb28215bee13fee0ad723f96e5f", "829b1958394f5eb28215bee13fee0ad723f96e5f")</f>
        <v>0</v>
      </c>
      <c r="C50656">
        <f>HYPERLINK("https://android.googlesource.com/platform/cts/+/cfa0ca0c5cdbc337a2dd6ea7bd4a9b6df104b61a", "cfa0ca0c5cdbc337a2dd6ea7bd4a9b6df104b61a")</f>
        <v>0</v>
      </c>
      <c r="D50656" t="s">
        <v>5463</v>
      </c>
      <c r="E50656" t="s">
        <v>10529</v>
      </c>
      <c r="F50656" t="s">
        <v>14237</v>
      </c>
      <c r="G50656" t="s">
        <v>18207</v>
      </c>
      <c r="H50656" t="s">
        <v>39666</v>
      </c>
    </row>
    <row r="50657" spans="1:8">
      <c r="A50657" t="s">
        <v>4874</v>
      </c>
      <c r="B50657">
        <f>HYPERLINK("https://android.googlesource.com/platform/cts/+/8f87a4852892039e8aeb3e3d566e557a6efe56f9", "8f87a4852892039e8aeb3e3d566e557a6efe56f9")</f>
        <v>0</v>
      </c>
      <c r="C50657">
        <f>HYPERLINK("https://android.googlesource.com/platform/cts/+/149dfa71dc0a183b03453764e2b8f6bf988b7747", "149dfa71dc0a183b03453764e2b8f6bf988b7747")</f>
        <v>0</v>
      </c>
      <c r="D50657" t="s">
        <v>5781</v>
      </c>
      <c r="E50657" t="s">
        <v>10530</v>
      </c>
      <c r="F50657" t="s">
        <v>14909</v>
      </c>
      <c r="G50657" t="s">
        <v>18748</v>
      </c>
      <c r="H50657" t="s">
        <v>39633</v>
      </c>
    </row>
    <row r="50658" spans="1:8">
      <c r="A50658" t="s">
        <v>4875</v>
      </c>
      <c r="B50658">
        <f>HYPERLINK("https://android.googlesource.com/platform/cts/+/73980fea0b7accb51cda5f5b72521ab9c9a02086", "73980fea0b7accb51cda5f5b72521ab9c9a02086")</f>
        <v>0</v>
      </c>
      <c r="C50658">
        <f>HYPERLINK("https://android.googlesource.com/platform/cts/+/4a60e12c0d8e25b3933d31f4b90fc53538c63900", "4a60e12c0d8e25b3933d31f4b90fc53538c63900")</f>
        <v>0</v>
      </c>
      <c r="D50658" t="s">
        <v>5564</v>
      </c>
      <c r="E50658" t="s">
        <v>10531</v>
      </c>
      <c r="F50658" t="s">
        <v>14892</v>
      </c>
      <c r="G50658" t="s">
        <v>16415</v>
      </c>
      <c r="H50658" t="s">
        <v>18863</v>
      </c>
    </row>
    <row r="50659" spans="1:8">
      <c r="H50659" t="s">
        <v>39683</v>
      </c>
    </row>
    <row r="50660" spans="1:8">
      <c r="H50660" t="s">
        <v>39684</v>
      </c>
    </row>
    <row r="50661" spans="1:8">
      <c r="H50661" t="s">
        <v>39685</v>
      </c>
    </row>
    <row r="50662" spans="1:8">
      <c r="H50662" t="s">
        <v>39686</v>
      </c>
    </row>
    <row r="50663" spans="1:8">
      <c r="H50663" t="s">
        <v>39687</v>
      </c>
    </row>
    <row r="50664" spans="1:8">
      <c r="H50664" t="s">
        <v>39688</v>
      </c>
    </row>
    <row r="50665" spans="1:8">
      <c r="H50665" t="s">
        <v>39689</v>
      </c>
    </row>
    <row r="50666" spans="1:8">
      <c r="H50666" t="s">
        <v>39690</v>
      </c>
    </row>
    <row r="50667" spans="1:8">
      <c r="H50667" t="s">
        <v>39691</v>
      </c>
    </row>
    <row r="50668" spans="1:8">
      <c r="H50668" t="s">
        <v>39692</v>
      </c>
    </row>
    <row r="50669" spans="1:8">
      <c r="H50669" t="s">
        <v>39693</v>
      </c>
    </row>
    <row r="50670" spans="1:8">
      <c r="H50670" t="s">
        <v>39694</v>
      </c>
    </row>
    <row r="50671" spans="1:8">
      <c r="H50671" t="s">
        <v>39695</v>
      </c>
    </row>
    <row r="50672" spans="1:8">
      <c r="H50672" t="s">
        <v>36828</v>
      </c>
    </row>
    <row r="50673" spans="8:8">
      <c r="H50673" t="s">
        <v>36829</v>
      </c>
    </row>
    <row r="50674" spans="8:8">
      <c r="H50674" t="s">
        <v>36830</v>
      </c>
    </row>
    <row r="50675" spans="8:8">
      <c r="H50675" t="s">
        <v>36831</v>
      </c>
    </row>
    <row r="50676" spans="8:8">
      <c r="H50676" t="s">
        <v>39696</v>
      </c>
    </row>
    <row r="50677" spans="8:8">
      <c r="H50677" t="s">
        <v>39697</v>
      </c>
    </row>
    <row r="50678" spans="8:8">
      <c r="H50678" t="s">
        <v>39698</v>
      </c>
    </row>
    <row r="50679" spans="8:8">
      <c r="H50679" t="s">
        <v>39699</v>
      </c>
    </row>
    <row r="50680" spans="8:8">
      <c r="H50680" t="s">
        <v>39700</v>
      </c>
    </row>
    <row r="50681" spans="8:8">
      <c r="H50681" t="s">
        <v>39701</v>
      </c>
    </row>
    <row r="50682" spans="8:8">
      <c r="H50682" t="s">
        <v>39702</v>
      </c>
    </row>
    <row r="50683" spans="8:8">
      <c r="H50683" t="s">
        <v>39703</v>
      </c>
    </row>
    <row r="50684" spans="8:8">
      <c r="H50684" t="s">
        <v>37255</v>
      </c>
    </row>
    <row r="50685" spans="8:8">
      <c r="H50685" t="s">
        <v>37256</v>
      </c>
    </row>
    <row r="50686" spans="8:8">
      <c r="H50686" t="s">
        <v>37257</v>
      </c>
    </row>
    <row r="50687" spans="8:8">
      <c r="H50687" t="s">
        <v>37258</v>
      </c>
    </row>
    <row r="50688" spans="8:8">
      <c r="H50688" t="s">
        <v>39704</v>
      </c>
    </row>
    <row r="50689" spans="1:8">
      <c r="H50689" t="s">
        <v>39705</v>
      </c>
    </row>
    <row r="50690" spans="1:8">
      <c r="H50690" t="s">
        <v>39706</v>
      </c>
    </row>
    <row r="50691" spans="1:8">
      <c r="H50691" t="s">
        <v>39707</v>
      </c>
    </row>
    <row r="50692" spans="1:8">
      <c r="H50692" t="s">
        <v>39708</v>
      </c>
    </row>
    <row r="50693" spans="1:8">
      <c r="H50693" t="s">
        <v>39709</v>
      </c>
    </row>
    <row r="50694" spans="1:8">
      <c r="H50694" t="s">
        <v>39710</v>
      </c>
    </row>
    <row r="50695" spans="1:8">
      <c r="H50695" t="s">
        <v>39711</v>
      </c>
    </row>
    <row r="50696" spans="1:8">
      <c r="H50696" t="s">
        <v>37263</v>
      </c>
    </row>
    <row r="50697" spans="1:8">
      <c r="A50697" t="s">
        <v>4876</v>
      </c>
      <c r="B50697">
        <f>HYPERLINK("https://android.googlesource.com/platform/cts/+/59692afee25bb600ce2c1825ab8b87cde232d314", "59692afee25bb600ce2c1825ab8b87cde232d314")</f>
        <v>0</v>
      </c>
      <c r="C50697">
        <f>HYPERLINK("https://android.googlesource.com/platform/cts/+/4b57f8d6f02f05585c414285308144f52286a239", "4b57f8d6f02f05585c414285308144f52286a239")</f>
        <v>0</v>
      </c>
      <c r="D50697" t="s">
        <v>5795</v>
      </c>
      <c r="E50697" t="s">
        <v>10532</v>
      </c>
      <c r="F50697" t="s">
        <v>14927</v>
      </c>
      <c r="G50697" t="s">
        <v>18761</v>
      </c>
      <c r="H50697" t="s">
        <v>34405</v>
      </c>
    </row>
    <row r="50698" spans="1:8">
      <c r="H50698" t="s">
        <v>31879</v>
      </c>
    </row>
    <row r="50699" spans="1:8">
      <c r="H50699" t="s">
        <v>32363</v>
      </c>
    </row>
    <row r="50700" spans="1:8">
      <c r="H50700" t="s">
        <v>39712</v>
      </c>
    </row>
    <row r="50701" spans="1:8">
      <c r="H50701" t="s">
        <v>39713</v>
      </c>
    </row>
    <row r="50702" spans="1:8">
      <c r="H50702" t="s">
        <v>39714</v>
      </c>
    </row>
    <row r="50703" spans="1:8">
      <c r="H50703" t="s">
        <v>39715</v>
      </c>
    </row>
    <row r="50704" spans="1:8">
      <c r="H50704" t="s">
        <v>39716</v>
      </c>
    </row>
    <row r="50705" spans="1:8">
      <c r="H50705" t="s">
        <v>39717</v>
      </c>
    </row>
    <row r="50706" spans="1:8">
      <c r="H50706" t="s">
        <v>39718</v>
      </c>
    </row>
    <row r="50707" spans="1:8">
      <c r="A50707" t="s">
        <v>4877</v>
      </c>
      <c r="B50707">
        <f>HYPERLINK("https://android.googlesource.com/platform/cts/+/794d1bc77887216cc065ec56a23c6ce5075f09c4", "794d1bc77887216cc065ec56a23c6ce5075f09c4")</f>
        <v>0</v>
      </c>
      <c r="C50707">
        <f>HYPERLINK("https://android.googlesource.com/platform/cts/+/412589a65c830025ca0eb25be1082b4bedbc2d44", "412589a65c830025ca0eb25be1082b4bedbc2d44")</f>
        <v>0</v>
      </c>
      <c r="D50707" t="s">
        <v>5794</v>
      </c>
      <c r="E50707" t="s">
        <v>10533</v>
      </c>
      <c r="F50707" t="s">
        <v>14813</v>
      </c>
      <c r="G50707" t="s">
        <v>18677</v>
      </c>
      <c r="H50707" t="s">
        <v>18829</v>
      </c>
    </row>
    <row r="50708" spans="1:8">
      <c r="H50708" t="s">
        <v>18863</v>
      </c>
    </row>
    <row r="50709" spans="1:8">
      <c r="H50709" t="s">
        <v>39673</v>
      </c>
    </row>
    <row r="50710" spans="1:8">
      <c r="H50710" t="s">
        <v>39674</v>
      </c>
    </row>
    <row r="50711" spans="1:8">
      <c r="H50711" t="s">
        <v>39675</v>
      </c>
    </row>
    <row r="50712" spans="1:8">
      <c r="H50712" t="s">
        <v>39014</v>
      </c>
    </row>
    <row r="50713" spans="1:8">
      <c r="H50713" t="s">
        <v>39676</v>
      </c>
    </row>
    <row r="50714" spans="1:8">
      <c r="H50714" t="s">
        <v>39677</v>
      </c>
    </row>
    <row r="50715" spans="1:8">
      <c r="H50715" t="s">
        <v>31415</v>
      </c>
    </row>
    <row r="50716" spans="1:8">
      <c r="H50716" t="s">
        <v>28391</v>
      </c>
    </row>
    <row r="50717" spans="1:8">
      <c r="H50717" t="s">
        <v>21360</v>
      </c>
    </row>
    <row r="50718" spans="1:8">
      <c r="H50718" t="s">
        <v>39678</v>
      </c>
    </row>
    <row r="50719" spans="1:8">
      <c r="H50719" t="s">
        <v>39679</v>
      </c>
    </row>
    <row r="50720" spans="1:8">
      <c r="F50720" t="s">
        <v>14924</v>
      </c>
      <c r="G50720" t="s">
        <v>18758</v>
      </c>
      <c r="H50720" t="s">
        <v>39680</v>
      </c>
    </row>
    <row r="50721" spans="1:8">
      <c r="F50721" t="s">
        <v>14925</v>
      </c>
      <c r="G50721" t="s">
        <v>18759</v>
      </c>
      <c r="H50721" t="s">
        <v>39681</v>
      </c>
    </row>
    <row r="50722" spans="1:8">
      <c r="F50722" t="s">
        <v>14926</v>
      </c>
      <c r="G50722" t="s">
        <v>18760</v>
      </c>
      <c r="H50722" t="s">
        <v>39682</v>
      </c>
    </row>
    <row r="50723" spans="1:8">
      <c r="A50723" t="s">
        <v>4878</v>
      </c>
      <c r="B50723">
        <f>HYPERLINK("https://android.googlesource.com/platform/cts/+/24acbee2c3b460cfbd0de035eb46351d9307a583", "24acbee2c3b460cfbd0de035eb46351d9307a583")</f>
        <v>0</v>
      </c>
      <c r="C50723">
        <f>HYPERLINK("https://android.googlesource.com/platform/cts/+/73980fea0b7accb51cda5f5b72521ab9c9a02086", "73980fea0b7accb51cda5f5b72521ab9c9a02086")</f>
        <v>0</v>
      </c>
      <c r="D50723" t="s">
        <v>5753</v>
      </c>
      <c r="E50723" t="s">
        <v>10534</v>
      </c>
      <c r="F50723" t="s">
        <v>14928</v>
      </c>
      <c r="G50723" t="s">
        <v>18762</v>
      </c>
      <c r="H50723" t="s">
        <v>18829</v>
      </c>
    </row>
    <row r="50724" spans="1:8">
      <c r="H50724" t="s">
        <v>18863</v>
      </c>
    </row>
    <row r="50725" spans="1:8">
      <c r="H50725" t="s">
        <v>39683</v>
      </c>
    </row>
    <row r="50726" spans="1:8">
      <c r="H50726" t="s">
        <v>39684</v>
      </c>
    </row>
    <row r="50727" spans="1:8">
      <c r="H50727" t="s">
        <v>39685</v>
      </c>
    </row>
    <row r="50728" spans="1:8">
      <c r="H50728" t="s">
        <v>39686</v>
      </c>
    </row>
    <row r="50729" spans="1:8">
      <c r="H50729" t="s">
        <v>39687</v>
      </c>
    </row>
    <row r="50730" spans="1:8">
      <c r="H50730" t="s">
        <v>39688</v>
      </c>
    </row>
    <row r="50731" spans="1:8">
      <c r="H50731" t="s">
        <v>39689</v>
      </c>
    </row>
    <row r="50732" spans="1:8">
      <c r="H50732" t="s">
        <v>39690</v>
      </c>
    </row>
    <row r="50733" spans="1:8">
      <c r="H50733" t="s">
        <v>39691</v>
      </c>
    </row>
    <row r="50734" spans="1:8">
      <c r="H50734" t="s">
        <v>39692</v>
      </c>
    </row>
    <row r="50735" spans="1:8">
      <c r="H50735" t="s">
        <v>39693</v>
      </c>
    </row>
    <row r="50736" spans="1:8">
      <c r="H50736" t="s">
        <v>39694</v>
      </c>
    </row>
    <row r="50737" spans="8:8">
      <c r="H50737" t="s">
        <v>39695</v>
      </c>
    </row>
    <row r="50738" spans="8:8">
      <c r="H50738" t="s">
        <v>36828</v>
      </c>
    </row>
    <row r="50739" spans="8:8">
      <c r="H50739" t="s">
        <v>36829</v>
      </c>
    </row>
    <row r="50740" spans="8:8">
      <c r="H50740" t="s">
        <v>36830</v>
      </c>
    </row>
    <row r="50741" spans="8:8">
      <c r="H50741" t="s">
        <v>36831</v>
      </c>
    </row>
    <row r="50742" spans="8:8">
      <c r="H50742" t="s">
        <v>39696</v>
      </c>
    </row>
    <row r="50743" spans="8:8">
      <c r="H50743" t="s">
        <v>39697</v>
      </c>
    </row>
    <row r="50744" spans="8:8">
      <c r="H50744" t="s">
        <v>39698</v>
      </c>
    </row>
    <row r="50745" spans="8:8">
      <c r="H50745" t="s">
        <v>39699</v>
      </c>
    </row>
    <row r="50746" spans="8:8">
      <c r="H50746" t="s">
        <v>39700</v>
      </c>
    </row>
    <row r="50747" spans="8:8">
      <c r="H50747" t="s">
        <v>39701</v>
      </c>
    </row>
    <row r="50748" spans="8:8">
      <c r="H50748" t="s">
        <v>39702</v>
      </c>
    </row>
    <row r="50749" spans="8:8">
      <c r="H50749" t="s">
        <v>39703</v>
      </c>
    </row>
    <row r="50750" spans="8:8">
      <c r="H50750" t="s">
        <v>37255</v>
      </c>
    </row>
    <row r="50751" spans="8:8">
      <c r="H50751" t="s">
        <v>37256</v>
      </c>
    </row>
    <row r="50752" spans="8:8">
      <c r="H50752" t="s">
        <v>37257</v>
      </c>
    </row>
    <row r="50753" spans="1:8">
      <c r="H50753" t="s">
        <v>37258</v>
      </c>
    </row>
    <row r="50754" spans="1:8">
      <c r="H50754" t="s">
        <v>39704</v>
      </c>
    </row>
    <row r="50755" spans="1:8">
      <c r="H50755" t="s">
        <v>39705</v>
      </c>
    </row>
    <row r="50756" spans="1:8">
      <c r="H50756" t="s">
        <v>39706</v>
      </c>
    </row>
    <row r="50757" spans="1:8">
      <c r="H50757" t="s">
        <v>39707</v>
      </c>
    </row>
    <row r="50758" spans="1:8">
      <c r="H50758" t="s">
        <v>39708</v>
      </c>
    </row>
    <row r="50759" spans="1:8">
      <c r="H50759" t="s">
        <v>39709</v>
      </c>
    </row>
    <row r="50760" spans="1:8">
      <c r="H50760" t="s">
        <v>39710</v>
      </c>
    </row>
    <row r="50761" spans="1:8">
      <c r="H50761" t="s">
        <v>39711</v>
      </c>
    </row>
    <row r="50762" spans="1:8">
      <c r="H50762" t="s">
        <v>37263</v>
      </c>
    </row>
    <row r="50763" spans="1:8">
      <c r="A50763" t="s">
        <v>4879</v>
      </c>
      <c r="B50763">
        <f>HYPERLINK("https://android.googlesource.com/platform/cts/+/10e1aab497dfea73f91f158d406e83e125f4a3a3", "10e1aab497dfea73f91f158d406e83e125f4a3a3")</f>
        <v>0</v>
      </c>
      <c r="C50763">
        <f>HYPERLINK("https://android.googlesource.com/platform/cts/+/0fd43d503bf555e8965116d8a84d2958d533dbce", "0fd43d503bf555e8965116d8a84d2958d533dbce")</f>
        <v>0</v>
      </c>
      <c r="D50763" t="s">
        <v>5444</v>
      </c>
      <c r="E50763" t="s">
        <v>10535</v>
      </c>
      <c r="F50763" t="s">
        <v>13417</v>
      </c>
      <c r="G50763" t="s">
        <v>17543</v>
      </c>
      <c r="H50763" t="s">
        <v>39719</v>
      </c>
    </row>
    <row r="50764" spans="1:8">
      <c r="A50764" t="s">
        <v>4880</v>
      </c>
      <c r="B50764">
        <f>HYPERLINK("https://android.googlesource.com/platform/cts/+/58240e3fbe88a8a57299267c59a9da226b1ed807", "58240e3fbe88a8a57299267c59a9da226b1ed807")</f>
        <v>0</v>
      </c>
      <c r="C50764">
        <f>HYPERLINK("https://android.googlesource.com/platform/cts/+/0840af3ce6188fc72fa13d32984674a9e3ad054c", "0840af3ce6188fc72fa13d32984674a9e3ad054c")</f>
        <v>0</v>
      </c>
      <c r="D50764" t="s">
        <v>5564</v>
      </c>
      <c r="E50764" t="s">
        <v>10536</v>
      </c>
      <c r="F50764" t="s">
        <v>14721</v>
      </c>
      <c r="G50764" t="s">
        <v>17815</v>
      </c>
      <c r="H50764" t="s">
        <v>19034</v>
      </c>
    </row>
    <row r="50765" spans="1:8">
      <c r="A50765" t="s">
        <v>4881</v>
      </c>
      <c r="B50765">
        <f>HYPERLINK("https://android.googlesource.com/platform/cts/+/d3eff90c3a6044a05bd7b86efecb55248fe8072a", "d3eff90c3a6044a05bd7b86efecb55248fe8072a")</f>
        <v>0</v>
      </c>
      <c r="C50765">
        <f>HYPERLINK("https://android.googlesource.com/platform/cts/+/0840af3ce6188fc72fa13d32984674a9e3ad054c", "0840af3ce6188fc72fa13d32984674a9e3ad054c")</f>
        <v>0</v>
      </c>
      <c r="D50765" t="s">
        <v>5564</v>
      </c>
      <c r="E50765" t="s">
        <v>10537</v>
      </c>
      <c r="F50765" t="s">
        <v>14929</v>
      </c>
      <c r="G50765" t="s">
        <v>18763</v>
      </c>
      <c r="H50765" t="s">
        <v>39720</v>
      </c>
    </row>
    <row r="50766" spans="1:8">
      <c r="A50766" t="s">
        <v>4882</v>
      </c>
      <c r="B50766">
        <f>HYPERLINK("https://android.googlesource.com/platform/cts/+/041f9c2d2e8d94f435445f326166bee9c650b5e5", "041f9c2d2e8d94f435445f326166bee9c650b5e5")</f>
        <v>0</v>
      </c>
      <c r="C50766">
        <f>HYPERLINK("https://android.googlesource.com/platform/cts/+/0840af3ce6188fc72fa13d32984674a9e3ad054c", "0840af3ce6188fc72fa13d32984674a9e3ad054c")</f>
        <v>0</v>
      </c>
      <c r="D50766" t="s">
        <v>5564</v>
      </c>
      <c r="E50766" t="s">
        <v>10538</v>
      </c>
      <c r="F50766" t="s">
        <v>14930</v>
      </c>
      <c r="G50766" t="s">
        <v>18764</v>
      </c>
      <c r="H50766" t="s">
        <v>39721</v>
      </c>
    </row>
    <row r="50767" spans="1:8">
      <c r="A50767" t="s">
        <v>4883</v>
      </c>
      <c r="B50767">
        <f>HYPERLINK("https://android.googlesource.com/platform/cts/+/ea11c17ad7ffb0c424b8c7b38cb777654b98f180", "ea11c17ad7ffb0c424b8c7b38cb777654b98f180")</f>
        <v>0</v>
      </c>
      <c r="C50767">
        <f>HYPERLINK("https://android.googlesource.com/platform/cts/+/0840af3ce6188fc72fa13d32984674a9e3ad054c", "0840af3ce6188fc72fa13d32984674a9e3ad054c")</f>
        <v>0</v>
      </c>
      <c r="D50767" t="s">
        <v>5564</v>
      </c>
      <c r="E50767" t="s">
        <v>10539</v>
      </c>
      <c r="F50767" t="s">
        <v>14931</v>
      </c>
      <c r="G50767" t="s">
        <v>18765</v>
      </c>
      <c r="H50767" t="s">
        <v>39722</v>
      </c>
    </row>
    <row r="50768" spans="1:8">
      <c r="A50768" t="s">
        <v>4884</v>
      </c>
      <c r="B50768">
        <f>HYPERLINK("https://android.googlesource.com/platform/cts/+/6b326af2cf2415d213cdfcdcfa3f22c1d9c96344", "6b326af2cf2415d213cdfcdcfa3f22c1d9c96344")</f>
        <v>0</v>
      </c>
      <c r="C50768">
        <f>HYPERLINK("https://android.googlesource.com/platform/cts/+/08d386cb64f3dc23b5e3240261cdefa5060b1662", "08d386cb64f3dc23b5e3240261cdefa5060b1662")</f>
        <v>0</v>
      </c>
      <c r="D50768" t="s">
        <v>5738</v>
      </c>
      <c r="E50768" t="s">
        <v>10540</v>
      </c>
      <c r="F50768" t="s">
        <v>14932</v>
      </c>
      <c r="G50768" t="s">
        <v>17058</v>
      </c>
      <c r="H50768" t="s">
        <v>18829</v>
      </c>
    </row>
    <row r="50769" spans="1:8">
      <c r="H50769" t="s">
        <v>18863</v>
      </c>
    </row>
    <row r="50770" spans="1:8">
      <c r="H50770" t="s">
        <v>39723</v>
      </c>
    </row>
    <row r="50771" spans="1:8">
      <c r="H50771" t="s">
        <v>26851</v>
      </c>
    </row>
    <row r="50772" spans="1:8">
      <c r="A50772" t="s">
        <v>4885</v>
      </c>
      <c r="B50772">
        <f>HYPERLINK("https://android.googlesource.com/platform/cts/+/17d9e2ceb5284bf5c5dab517dad4d1508331c465", "17d9e2ceb5284bf5c5dab517dad4d1508331c465")</f>
        <v>0</v>
      </c>
      <c r="C50772">
        <f>HYPERLINK("https://android.googlesource.com/platform/cts/+/2b9d72d252ad9fee70b70284714b34fe0d411027", "2b9d72d252ad9fee70b70284714b34fe0d411027")</f>
        <v>0</v>
      </c>
      <c r="D50772" t="s">
        <v>5660</v>
      </c>
      <c r="E50772" t="s">
        <v>10541</v>
      </c>
      <c r="F50772" t="s">
        <v>13417</v>
      </c>
      <c r="G50772" t="s">
        <v>17543</v>
      </c>
      <c r="H50772" t="s">
        <v>39719</v>
      </c>
    </row>
    <row r="50773" spans="1:8">
      <c r="A50773" t="s">
        <v>4886</v>
      </c>
      <c r="B50773">
        <f>HYPERLINK("https://android.googlesource.com/platform/cts/+/09f093e88f059e8b1c6a76b7caceb387a4e805f4", "09f093e88f059e8b1c6a76b7caceb387a4e805f4")</f>
        <v>0</v>
      </c>
      <c r="C50773">
        <f>HYPERLINK("https://android.googlesource.com/platform/cts/+/0b300e3e350d139306e5f84a4c3103ca7b2e58ad", "0b300e3e350d139306e5f84a4c3103ca7b2e58ad")</f>
        <v>0</v>
      </c>
      <c r="D50773" t="s">
        <v>5409</v>
      </c>
      <c r="E50773" t="s">
        <v>10542</v>
      </c>
      <c r="F50773" t="s">
        <v>14665</v>
      </c>
      <c r="G50773" t="s">
        <v>18126</v>
      </c>
      <c r="H50773" t="s">
        <v>33631</v>
      </c>
    </row>
    <row r="50774" spans="1:8">
      <c r="A50774" t="s">
        <v>4887</v>
      </c>
      <c r="B50774">
        <f>HYPERLINK("https://android.googlesource.com/platform/cts/+/211641656c26ea9576a5bb3c5a7ce4a6fd0a44e4", "211641656c26ea9576a5bb3c5a7ce4a6fd0a44e4")</f>
        <v>0</v>
      </c>
      <c r="C50774">
        <f>HYPERLINK("https://android.googlesource.com/platform/cts/+/381b557779fcecce0d7ce5e20a1c25ba093985bb", "381b557779fcecce0d7ce5e20a1c25ba093985bb")</f>
        <v>0</v>
      </c>
      <c r="D50774" t="s">
        <v>5796</v>
      </c>
      <c r="E50774" t="s">
        <v>10543</v>
      </c>
      <c r="F50774" t="s">
        <v>12817</v>
      </c>
      <c r="G50774" t="s">
        <v>16629</v>
      </c>
      <c r="H50774" t="s">
        <v>39724</v>
      </c>
    </row>
    <row r="50775" spans="1:8">
      <c r="H50775" t="s">
        <v>39725</v>
      </c>
    </row>
    <row r="50776" spans="1:8">
      <c r="A50776" t="s">
        <v>4888</v>
      </c>
      <c r="B50776">
        <f>HYPERLINK("https://android.googlesource.com/platform/cts/+/fc8ea55042eb95f116b5be31d7cfb6cf0d19f0fa", "fc8ea55042eb95f116b5be31d7cfb6cf0d19f0fa")</f>
        <v>0</v>
      </c>
      <c r="C50776">
        <f>HYPERLINK("https://android.googlesource.com/platform/cts/+/ad15d78d2462c8f3423cf6a34c929ab013215998", "ad15d78d2462c8f3423cf6a34c929ab013215998")</f>
        <v>0</v>
      </c>
      <c r="D50776" t="s">
        <v>5615</v>
      </c>
      <c r="E50776" t="s">
        <v>10544</v>
      </c>
      <c r="F50776" t="s">
        <v>14933</v>
      </c>
      <c r="G50776" t="s">
        <v>18766</v>
      </c>
      <c r="H50776" t="s">
        <v>18829</v>
      </c>
    </row>
    <row r="50777" spans="1:8">
      <c r="H50777" t="s">
        <v>39726</v>
      </c>
    </row>
    <row r="50778" spans="1:8">
      <c r="H50778" t="s">
        <v>39727</v>
      </c>
    </row>
    <row r="50779" spans="1:8">
      <c r="F50779" t="s">
        <v>13227</v>
      </c>
      <c r="G50779" t="s">
        <v>17368</v>
      </c>
      <c r="H50779" t="s">
        <v>39728</v>
      </c>
    </row>
    <row r="50780" spans="1:8">
      <c r="A50780" t="s">
        <v>4889</v>
      </c>
      <c r="B50780">
        <f>HYPERLINK("https://android.googlesource.com/platform/cts/+/f12eab095b9d319497e89220af4c535fa797aef1", "f12eab095b9d319497e89220af4c535fa797aef1")</f>
        <v>0</v>
      </c>
      <c r="C50780">
        <f>HYPERLINK("https://android.googlesource.com/platform/cts/+/5c62515d8009006e7b9b2938634fb06cb59aded0", "5c62515d8009006e7b9b2938634fb06cb59aded0")</f>
        <v>0</v>
      </c>
      <c r="D50780" t="s">
        <v>5775</v>
      </c>
      <c r="E50780" t="s">
        <v>10545</v>
      </c>
      <c r="F50780" t="s">
        <v>13850</v>
      </c>
      <c r="G50780" t="s">
        <v>16816</v>
      </c>
      <c r="H50780" t="s">
        <v>39474</v>
      </c>
    </row>
    <row r="50781" spans="1:8">
      <c r="A50781" t="s">
        <v>4890</v>
      </c>
      <c r="B50781">
        <f>HYPERLINK("https://android.googlesource.com/platform/cts/+/6fd1e141bc72cfa4f6c602fa7b0be484078357f6", "6fd1e141bc72cfa4f6c602fa7b0be484078357f6")</f>
        <v>0</v>
      </c>
      <c r="C50781">
        <f>HYPERLINK("https://android.googlesource.com/platform/cts/+/ab9646ee4baf88f12d9bca54af8803ac4b7d32e6", "ab9646ee4baf88f12d9bca54af8803ac4b7d32e6")</f>
        <v>0</v>
      </c>
      <c r="D50781" t="s">
        <v>5191</v>
      </c>
      <c r="E50781" t="s">
        <v>10546</v>
      </c>
      <c r="F50781" t="s">
        <v>14934</v>
      </c>
      <c r="G50781" t="s">
        <v>17685</v>
      </c>
      <c r="H50781" t="s">
        <v>39729</v>
      </c>
    </row>
    <row r="50782" spans="1:8">
      <c r="H50782" t="s">
        <v>39730</v>
      </c>
    </row>
    <row r="50783" spans="1:8">
      <c r="A50783" t="s">
        <v>4891</v>
      </c>
      <c r="B50783">
        <f>HYPERLINK("https://android.googlesource.com/platform/cts/+/443d2001aaeaae28a293b79e6260b98c88e3da17", "443d2001aaeaae28a293b79e6260b98c88e3da17")</f>
        <v>0</v>
      </c>
      <c r="C50783">
        <f>HYPERLINK("https://android.googlesource.com/platform/cts/+/86682abf2a60b5878cf3e7e1263dc77ab1145057", "86682abf2a60b5878cf3e7e1263dc77ab1145057")</f>
        <v>0</v>
      </c>
      <c r="D50783" t="s">
        <v>5660</v>
      </c>
      <c r="E50783" t="s">
        <v>10547</v>
      </c>
      <c r="F50783" t="s">
        <v>14935</v>
      </c>
      <c r="G50783" t="s">
        <v>18767</v>
      </c>
      <c r="H50783" t="s">
        <v>39731</v>
      </c>
    </row>
    <row r="50784" spans="1:8">
      <c r="H50784" t="s">
        <v>39732</v>
      </c>
    </row>
    <row r="50785" spans="6:8">
      <c r="F50785" t="s">
        <v>14936</v>
      </c>
      <c r="G50785" t="s">
        <v>18768</v>
      </c>
      <c r="H50785" t="s">
        <v>39731</v>
      </c>
    </row>
    <row r="50786" spans="6:8">
      <c r="H50786" t="s">
        <v>39732</v>
      </c>
    </row>
    <row r="50787" spans="6:8">
      <c r="F50787" t="s">
        <v>14937</v>
      </c>
      <c r="G50787" t="s">
        <v>18769</v>
      </c>
      <c r="H50787" t="s">
        <v>39733</v>
      </c>
    </row>
    <row r="50788" spans="6:8">
      <c r="H50788" t="s">
        <v>39732</v>
      </c>
    </row>
    <row r="50789" spans="6:8">
      <c r="F50789" t="s">
        <v>14748</v>
      </c>
      <c r="G50789" t="s">
        <v>18624</v>
      </c>
      <c r="H50789" t="s">
        <v>39731</v>
      </c>
    </row>
    <row r="50790" spans="6:8">
      <c r="H50790" t="s">
        <v>39732</v>
      </c>
    </row>
    <row r="50791" spans="6:8">
      <c r="F50791" t="s">
        <v>14938</v>
      </c>
      <c r="G50791" t="s">
        <v>18770</v>
      </c>
      <c r="H50791" t="s">
        <v>39731</v>
      </c>
    </row>
    <row r="50792" spans="6:8">
      <c r="H50792" t="s">
        <v>39732</v>
      </c>
    </row>
    <row r="50793" spans="6:8">
      <c r="F50793" t="s">
        <v>14939</v>
      </c>
      <c r="G50793" t="s">
        <v>18771</v>
      </c>
      <c r="H50793" t="s">
        <v>39731</v>
      </c>
    </row>
    <row r="50794" spans="6:8">
      <c r="H50794" t="s">
        <v>39732</v>
      </c>
    </row>
    <row r="50795" spans="6:8">
      <c r="F50795" t="s">
        <v>14940</v>
      </c>
      <c r="G50795" t="s">
        <v>18772</v>
      </c>
      <c r="H50795" t="s">
        <v>39731</v>
      </c>
    </row>
    <row r="50796" spans="6:8">
      <c r="H50796" t="s">
        <v>39732</v>
      </c>
    </row>
    <row r="50797" spans="6:8">
      <c r="F50797" t="s">
        <v>14941</v>
      </c>
      <c r="G50797" t="s">
        <v>18773</v>
      </c>
      <c r="H50797" t="s">
        <v>39731</v>
      </c>
    </row>
    <row r="50798" spans="6:8">
      <c r="H50798" t="s">
        <v>39732</v>
      </c>
    </row>
    <row r="50799" spans="6:8">
      <c r="F50799" t="s">
        <v>14825</v>
      </c>
      <c r="G50799" t="s">
        <v>18687</v>
      </c>
      <c r="H50799" t="s">
        <v>39731</v>
      </c>
    </row>
    <row r="50800" spans="6:8">
      <c r="H50800" t="s">
        <v>39732</v>
      </c>
    </row>
    <row r="50801" spans="6:8">
      <c r="F50801" t="s">
        <v>14876</v>
      </c>
      <c r="G50801" t="s">
        <v>18726</v>
      </c>
      <c r="H50801" t="s">
        <v>39733</v>
      </c>
    </row>
    <row r="50802" spans="6:8">
      <c r="H50802" t="s">
        <v>39732</v>
      </c>
    </row>
    <row r="50803" spans="6:8">
      <c r="F50803" t="s">
        <v>14942</v>
      </c>
      <c r="G50803" t="s">
        <v>18774</v>
      </c>
      <c r="H50803" t="s">
        <v>39733</v>
      </c>
    </row>
    <row r="50804" spans="6:8">
      <c r="H50804" t="s">
        <v>39732</v>
      </c>
    </row>
    <row r="50805" spans="6:8">
      <c r="F50805" t="s">
        <v>14943</v>
      </c>
      <c r="G50805" t="s">
        <v>18775</v>
      </c>
      <c r="H50805" t="s">
        <v>39731</v>
      </c>
    </row>
    <row r="50806" spans="6:8">
      <c r="H50806" t="s">
        <v>39732</v>
      </c>
    </row>
    <row r="50807" spans="6:8">
      <c r="F50807" t="s">
        <v>14944</v>
      </c>
      <c r="G50807" t="s">
        <v>18776</v>
      </c>
      <c r="H50807" t="s">
        <v>39731</v>
      </c>
    </row>
    <row r="50808" spans="6:8">
      <c r="H50808" t="s">
        <v>39732</v>
      </c>
    </row>
    <row r="50809" spans="6:8">
      <c r="F50809" t="s">
        <v>14945</v>
      </c>
      <c r="G50809" t="s">
        <v>18777</v>
      </c>
      <c r="H50809" t="s">
        <v>39731</v>
      </c>
    </row>
    <row r="50810" spans="6:8">
      <c r="H50810" t="s">
        <v>39732</v>
      </c>
    </row>
    <row r="50811" spans="6:8">
      <c r="F50811" t="s">
        <v>14946</v>
      </c>
      <c r="G50811" t="s">
        <v>18778</v>
      </c>
      <c r="H50811" t="s">
        <v>39731</v>
      </c>
    </row>
    <row r="50812" spans="6:8">
      <c r="H50812" t="s">
        <v>39732</v>
      </c>
    </row>
    <row r="50813" spans="6:8">
      <c r="F50813" t="s">
        <v>14947</v>
      </c>
      <c r="G50813" t="s">
        <v>18779</v>
      </c>
      <c r="H50813" t="s">
        <v>39731</v>
      </c>
    </row>
    <row r="50814" spans="6:8">
      <c r="H50814" t="s">
        <v>39732</v>
      </c>
    </row>
    <row r="50815" spans="6:8">
      <c r="F50815" t="s">
        <v>14948</v>
      </c>
      <c r="G50815" t="s">
        <v>18780</v>
      </c>
      <c r="H50815" t="s">
        <v>39731</v>
      </c>
    </row>
    <row r="50816" spans="6:8">
      <c r="H50816" t="s">
        <v>39732</v>
      </c>
    </row>
    <row r="50817" spans="1:8">
      <c r="F50817" t="s">
        <v>14949</v>
      </c>
      <c r="G50817" t="s">
        <v>18781</v>
      </c>
      <c r="H50817" t="s">
        <v>39733</v>
      </c>
    </row>
    <row r="50818" spans="1:8">
      <c r="H50818" t="s">
        <v>39732</v>
      </c>
    </row>
    <row r="50819" spans="1:8">
      <c r="F50819" t="s">
        <v>14201</v>
      </c>
      <c r="G50819" t="s">
        <v>18180</v>
      </c>
      <c r="H50819" t="s">
        <v>39731</v>
      </c>
    </row>
    <row r="50820" spans="1:8">
      <c r="H50820" t="s">
        <v>39732</v>
      </c>
    </row>
    <row r="50821" spans="1:8">
      <c r="A50821" t="s">
        <v>4892</v>
      </c>
      <c r="B50821">
        <f>HYPERLINK("https://android.googlesource.com/platform/cts/+/cb7a8edc9b545489b8e7ebeb895d857e2b1a267a", "cb7a8edc9b545489b8e7ebeb895d857e2b1a267a")</f>
        <v>0</v>
      </c>
      <c r="C50821">
        <f>HYPERLINK("https://android.googlesource.com/platform/cts/+/790fc53c20a5e453fff550a5298e2414812bdb49", "790fc53c20a5e453fff550a5298e2414812bdb49")</f>
        <v>0</v>
      </c>
      <c r="D50821" t="s">
        <v>5363</v>
      </c>
      <c r="E50821" t="s">
        <v>10548</v>
      </c>
      <c r="F50821" t="s">
        <v>14731</v>
      </c>
      <c r="G50821" t="s">
        <v>18612</v>
      </c>
      <c r="H50821" t="s">
        <v>39734</v>
      </c>
    </row>
    <row r="50822" spans="1:8">
      <c r="A50822" t="s">
        <v>4893</v>
      </c>
      <c r="B50822">
        <f>HYPERLINK("https://android.googlesource.com/platform/cts/+/cb981c7dd66fdcd3b6f2cc96cc34301c5d356ed0", "cb981c7dd66fdcd3b6f2cc96cc34301c5d356ed0")</f>
        <v>0</v>
      </c>
      <c r="C50822">
        <f>HYPERLINK("https://android.googlesource.com/platform/cts/+/b36ba2beb82b0f27b69eddc0ce6b2d3224c06246", "b36ba2beb82b0f27b69eddc0ce6b2d3224c06246")</f>
        <v>0</v>
      </c>
      <c r="D50822" t="s">
        <v>5363</v>
      </c>
      <c r="E50822" t="s">
        <v>10549</v>
      </c>
      <c r="F50822" t="s">
        <v>14731</v>
      </c>
      <c r="G50822" t="s">
        <v>18612</v>
      </c>
      <c r="H50822" t="s">
        <v>39734</v>
      </c>
    </row>
    <row r="50823" spans="1:8">
      <c r="H50823" t="s">
        <v>37794</v>
      </c>
    </row>
    <row r="50824" spans="1:8">
      <c r="A50824" t="s">
        <v>4894</v>
      </c>
      <c r="B50824">
        <f>HYPERLINK("https://android.googlesource.com/platform/cts/+/09ecd6a4f7e7b3fbcfb59a1b298766ad41987ac1", "09ecd6a4f7e7b3fbcfb59a1b298766ad41987ac1")</f>
        <v>0</v>
      </c>
      <c r="C50824">
        <f>HYPERLINK("https://android.googlesource.com/platform/cts/+/09b17d13eba22d7d3b8fc00c7f6c83324367975e", "09b17d13eba22d7d3b8fc00c7f6c83324367975e")</f>
        <v>0</v>
      </c>
      <c r="D50824" t="s">
        <v>5363</v>
      </c>
      <c r="E50824" t="s">
        <v>10550</v>
      </c>
      <c r="F50824" t="s">
        <v>14731</v>
      </c>
      <c r="G50824" t="s">
        <v>18612</v>
      </c>
      <c r="H50824" t="s">
        <v>39734</v>
      </c>
    </row>
    <row r="50825" spans="1:8">
      <c r="H50825" t="s">
        <v>37794</v>
      </c>
    </row>
    <row r="50826" spans="1:8">
      <c r="A50826" t="s">
        <v>4895</v>
      </c>
      <c r="B50826">
        <f>HYPERLINK("https://android.googlesource.com/platform/cts/+/d95a2a22253dde7c52f9d0ffa9bae28cec5ec56f", "d95a2a22253dde7c52f9d0ffa9bae28cec5ec56f")</f>
        <v>0</v>
      </c>
      <c r="C50826">
        <f>HYPERLINK("https://android.googlesource.com/platform/cts/+/b36ba2beb82b0f27b69eddc0ce6b2d3224c06246", "b36ba2beb82b0f27b69eddc0ce6b2d3224c06246")</f>
        <v>0</v>
      </c>
      <c r="D50826" t="s">
        <v>5797</v>
      </c>
      <c r="E50826" t="s">
        <v>10551</v>
      </c>
      <c r="F50826" t="s">
        <v>14466</v>
      </c>
      <c r="G50826" t="s">
        <v>18398</v>
      </c>
      <c r="H50826" t="s">
        <v>38201</v>
      </c>
    </row>
    <row r="50827" spans="1:8">
      <c r="H50827" t="s">
        <v>36228</v>
      </c>
    </row>
    <row r="50828" spans="1:8">
      <c r="A50828" t="s">
        <v>4896</v>
      </c>
      <c r="B50828">
        <f>HYPERLINK("https://android.googlesource.com/platform/cts/+/06f273bbd089f31a7c7f371c496444ccc8a922a0", "06f273bbd089f31a7c7f371c496444ccc8a922a0")</f>
        <v>0</v>
      </c>
      <c r="C50828">
        <f>HYPERLINK("https://android.googlesource.com/platform/cts/+/cf5599369e130cd4bde550556a81dba433df13a5", "cf5599369e130cd4bde550556a81dba433df13a5")</f>
        <v>0</v>
      </c>
      <c r="D50828" t="s">
        <v>5526</v>
      </c>
      <c r="E50828" t="s">
        <v>10552</v>
      </c>
      <c r="F50828" t="s">
        <v>14933</v>
      </c>
      <c r="G50828" t="s">
        <v>18766</v>
      </c>
      <c r="H50828" t="s">
        <v>18829</v>
      </c>
    </row>
    <row r="50829" spans="1:8">
      <c r="H50829" t="s">
        <v>39726</v>
      </c>
    </row>
    <row r="50830" spans="1:8">
      <c r="H50830" t="s">
        <v>39727</v>
      </c>
    </row>
    <row r="50831" spans="1:8">
      <c r="F50831" t="s">
        <v>13227</v>
      </c>
      <c r="G50831" t="s">
        <v>17368</v>
      </c>
      <c r="H50831" t="s">
        <v>39728</v>
      </c>
    </row>
    <row r="50832" spans="1:8">
      <c r="A50832" t="s">
        <v>4897</v>
      </c>
      <c r="B50832">
        <f>HYPERLINK("https://android.googlesource.com/platform/cts/+/2ad3512b597be6caa2eb4f6f51585538e5b33e83", "2ad3512b597be6caa2eb4f6f51585538e5b33e83")</f>
        <v>0</v>
      </c>
      <c r="C50832">
        <f>HYPERLINK("https://android.googlesource.com/platform/cts/+/7d07155e53cbe455b79bce3ce8dd01ed043476c4", "7d07155e53cbe455b79bce3ce8dd01ed043476c4")</f>
        <v>0</v>
      </c>
      <c r="D50832" t="s">
        <v>5798</v>
      </c>
      <c r="E50832" t="s">
        <v>10553</v>
      </c>
      <c r="F50832" t="s">
        <v>14207</v>
      </c>
      <c r="G50832" t="s">
        <v>18183</v>
      </c>
      <c r="H50832" t="s">
        <v>39735</v>
      </c>
    </row>
    <row r="50833" spans="1:8">
      <c r="H50833" t="s">
        <v>35204</v>
      </c>
    </row>
    <row r="50834" spans="1:8">
      <c r="H50834" t="s">
        <v>39736</v>
      </c>
    </row>
    <row r="50835" spans="1:8">
      <c r="A50835" t="s">
        <v>4898</v>
      </c>
      <c r="B50835">
        <f>HYPERLINK("https://android.googlesource.com/platform/cts/+/6e7dcd0862e931cab542fb097bc567bfc40f840b", "6e7dcd0862e931cab542fb097bc567bfc40f840b")</f>
        <v>0</v>
      </c>
      <c r="C50835">
        <f>HYPERLINK("https://android.googlesource.com/platform/cts/+/3b3581ec4f3acff221129319abf35bd46520e037", "3b3581ec4f3acff221129319abf35bd46520e037")</f>
        <v>0</v>
      </c>
      <c r="D50835" t="s">
        <v>5793</v>
      </c>
      <c r="E50835" t="s">
        <v>10554</v>
      </c>
      <c r="F50835" t="s">
        <v>12782</v>
      </c>
      <c r="G50835" t="s">
        <v>16420</v>
      </c>
      <c r="H50835" t="s">
        <v>38797</v>
      </c>
    </row>
    <row r="50836" spans="1:8">
      <c r="H50836" t="s">
        <v>38798</v>
      </c>
    </row>
    <row r="50837" spans="1:8">
      <c r="H50837" t="s">
        <v>39737</v>
      </c>
    </row>
    <row r="50838" spans="1:8">
      <c r="H50838" t="s">
        <v>38799</v>
      </c>
    </row>
    <row r="50839" spans="1:8">
      <c r="H50839" t="s">
        <v>39738</v>
      </c>
    </row>
    <row r="50840" spans="1:8">
      <c r="H50840" t="s">
        <v>38800</v>
      </c>
    </row>
    <row r="50841" spans="1:8">
      <c r="H50841" t="s">
        <v>39739</v>
      </c>
    </row>
    <row r="50842" spans="1:8">
      <c r="H50842" t="s">
        <v>38801</v>
      </c>
    </row>
    <row r="50843" spans="1:8">
      <c r="H50843" t="s">
        <v>39740</v>
      </c>
    </row>
    <row r="50844" spans="1:8">
      <c r="H50844" t="s">
        <v>38802</v>
      </c>
    </row>
    <row r="50845" spans="1:8">
      <c r="H50845" t="s">
        <v>39741</v>
      </c>
    </row>
    <row r="50846" spans="1:8">
      <c r="H50846" t="s">
        <v>38803</v>
      </c>
    </row>
    <row r="50847" spans="1:8">
      <c r="H50847" t="s">
        <v>39742</v>
      </c>
    </row>
    <row r="50848" spans="1:8">
      <c r="H50848" t="s">
        <v>38804</v>
      </c>
    </row>
    <row r="50849" spans="8:8">
      <c r="H50849" t="s">
        <v>38805</v>
      </c>
    </row>
    <row r="50850" spans="8:8">
      <c r="H50850" t="s">
        <v>39743</v>
      </c>
    </row>
    <row r="50851" spans="8:8">
      <c r="H50851" t="s">
        <v>38806</v>
      </c>
    </row>
    <row r="50852" spans="8:8">
      <c r="H50852" t="s">
        <v>39744</v>
      </c>
    </row>
    <row r="50853" spans="8:8">
      <c r="H50853" t="s">
        <v>38807</v>
      </c>
    </row>
    <row r="50854" spans="8:8">
      <c r="H50854" t="s">
        <v>39745</v>
      </c>
    </row>
    <row r="50855" spans="8:8">
      <c r="H50855" t="s">
        <v>38808</v>
      </c>
    </row>
    <row r="50856" spans="8:8">
      <c r="H50856" t="s">
        <v>39746</v>
      </c>
    </row>
    <row r="50857" spans="8:8">
      <c r="H50857" t="s">
        <v>38809</v>
      </c>
    </row>
    <row r="50858" spans="8:8">
      <c r="H50858" t="s">
        <v>39747</v>
      </c>
    </row>
    <row r="50859" spans="8:8">
      <c r="H50859" t="s">
        <v>38810</v>
      </c>
    </row>
    <row r="50860" spans="8:8">
      <c r="H50860" t="s">
        <v>39748</v>
      </c>
    </row>
    <row r="50861" spans="8:8">
      <c r="H50861" t="s">
        <v>38811</v>
      </c>
    </row>
    <row r="50862" spans="8:8">
      <c r="H50862" t="s">
        <v>38812</v>
      </c>
    </row>
    <row r="50863" spans="8:8">
      <c r="H50863" t="s">
        <v>39749</v>
      </c>
    </row>
    <row r="50864" spans="8:8">
      <c r="H50864" t="s">
        <v>38813</v>
      </c>
    </row>
    <row r="50865" spans="8:8">
      <c r="H50865" t="s">
        <v>39750</v>
      </c>
    </row>
    <row r="50866" spans="8:8">
      <c r="H50866" t="s">
        <v>38814</v>
      </c>
    </row>
    <row r="50867" spans="8:8">
      <c r="H50867" t="s">
        <v>39751</v>
      </c>
    </row>
    <row r="50868" spans="8:8">
      <c r="H50868" t="s">
        <v>38815</v>
      </c>
    </row>
    <row r="50869" spans="8:8">
      <c r="H50869" t="s">
        <v>39752</v>
      </c>
    </row>
    <row r="50870" spans="8:8">
      <c r="H50870" t="s">
        <v>38816</v>
      </c>
    </row>
    <row r="50871" spans="8:8">
      <c r="H50871" t="s">
        <v>39753</v>
      </c>
    </row>
    <row r="50872" spans="8:8">
      <c r="H50872" t="s">
        <v>38817</v>
      </c>
    </row>
    <row r="50873" spans="8:8">
      <c r="H50873" t="s">
        <v>39754</v>
      </c>
    </row>
    <row r="50874" spans="8:8">
      <c r="H50874" t="s">
        <v>38818</v>
      </c>
    </row>
    <row r="50875" spans="8:8">
      <c r="H50875" t="s">
        <v>38819</v>
      </c>
    </row>
    <row r="50876" spans="8:8">
      <c r="H50876" t="s">
        <v>39755</v>
      </c>
    </row>
    <row r="50877" spans="8:8">
      <c r="H50877" t="s">
        <v>38820</v>
      </c>
    </row>
    <row r="50878" spans="8:8">
      <c r="H50878" t="s">
        <v>39756</v>
      </c>
    </row>
    <row r="50879" spans="8:8">
      <c r="H50879" t="s">
        <v>38821</v>
      </c>
    </row>
    <row r="50880" spans="8:8">
      <c r="H50880" t="s">
        <v>39757</v>
      </c>
    </row>
    <row r="50881" spans="8:8">
      <c r="H50881" t="s">
        <v>38822</v>
      </c>
    </row>
    <row r="50882" spans="8:8">
      <c r="H50882" t="s">
        <v>39758</v>
      </c>
    </row>
    <row r="50883" spans="8:8">
      <c r="H50883" t="s">
        <v>38823</v>
      </c>
    </row>
    <row r="50884" spans="8:8">
      <c r="H50884" t="s">
        <v>39759</v>
      </c>
    </row>
    <row r="50885" spans="8:8">
      <c r="H50885" t="s">
        <v>38824</v>
      </c>
    </row>
    <row r="50886" spans="8:8">
      <c r="H50886" t="s">
        <v>39760</v>
      </c>
    </row>
    <row r="50887" spans="8:8">
      <c r="H50887" t="s">
        <v>38825</v>
      </c>
    </row>
    <row r="50888" spans="8:8">
      <c r="H50888" t="s">
        <v>38826</v>
      </c>
    </row>
    <row r="50889" spans="8:8">
      <c r="H50889" t="s">
        <v>39761</v>
      </c>
    </row>
    <row r="50890" spans="8:8">
      <c r="H50890" t="s">
        <v>38827</v>
      </c>
    </row>
    <row r="50891" spans="8:8">
      <c r="H50891" t="s">
        <v>39762</v>
      </c>
    </row>
    <row r="50892" spans="8:8">
      <c r="H50892" t="s">
        <v>38828</v>
      </c>
    </row>
    <row r="50893" spans="8:8">
      <c r="H50893" t="s">
        <v>39763</v>
      </c>
    </row>
    <row r="50894" spans="8:8">
      <c r="H50894" t="s">
        <v>38829</v>
      </c>
    </row>
    <row r="50895" spans="8:8">
      <c r="H50895" t="s">
        <v>39764</v>
      </c>
    </row>
    <row r="50896" spans="8:8">
      <c r="H50896" t="s">
        <v>38830</v>
      </c>
    </row>
    <row r="50897" spans="8:8">
      <c r="H50897" t="s">
        <v>38831</v>
      </c>
    </row>
    <row r="50898" spans="8:8">
      <c r="H50898" t="s">
        <v>39765</v>
      </c>
    </row>
    <row r="50899" spans="8:8">
      <c r="H50899" t="s">
        <v>38832</v>
      </c>
    </row>
    <row r="50900" spans="8:8">
      <c r="H50900" t="s">
        <v>39766</v>
      </c>
    </row>
    <row r="50901" spans="8:8">
      <c r="H50901" t="s">
        <v>38833</v>
      </c>
    </row>
    <row r="50902" spans="8:8">
      <c r="H50902" t="s">
        <v>39767</v>
      </c>
    </row>
    <row r="50903" spans="8:8">
      <c r="H50903" t="s">
        <v>38834</v>
      </c>
    </row>
    <row r="50904" spans="8:8">
      <c r="H50904" t="s">
        <v>39768</v>
      </c>
    </row>
    <row r="50905" spans="8:8">
      <c r="H50905" t="s">
        <v>38835</v>
      </c>
    </row>
    <row r="50906" spans="8:8">
      <c r="H50906" t="s">
        <v>39769</v>
      </c>
    </row>
    <row r="50907" spans="8:8">
      <c r="H50907" t="s">
        <v>39770</v>
      </c>
    </row>
    <row r="50908" spans="8:8">
      <c r="H50908" t="s">
        <v>39771</v>
      </c>
    </row>
    <row r="50909" spans="8:8">
      <c r="H50909" t="s">
        <v>39772</v>
      </c>
    </row>
    <row r="50910" spans="8:8">
      <c r="H50910" t="s">
        <v>39773</v>
      </c>
    </row>
    <row r="50911" spans="8:8">
      <c r="H50911" t="s">
        <v>39774</v>
      </c>
    </row>
    <row r="50912" spans="8:8">
      <c r="H50912" t="s">
        <v>39775</v>
      </c>
    </row>
    <row r="50913" spans="8:8">
      <c r="H50913" t="s">
        <v>39776</v>
      </c>
    </row>
    <row r="50914" spans="8:8">
      <c r="H50914" t="s">
        <v>39777</v>
      </c>
    </row>
    <row r="50915" spans="8:8">
      <c r="H50915" t="s">
        <v>39778</v>
      </c>
    </row>
    <row r="50916" spans="8:8">
      <c r="H50916" t="s">
        <v>39779</v>
      </c>
    </row>
    <row r="50917" spans="8:8">
      <c r="H50917" t="s">
        <v>39780</v>
      </c>
    </row>
    <row r="50918" spans="8:8">
      <c r="H50918" t="s">
        <v>39781</v>
      </c>
    </row>
    <row r="50919" spans="8:8">
      <c r="H50919" t="s">
        <v>39782</v>
      </c>
    </row>
    <row r="50920" spans="8:8">
      <c r="H50920" t="s">
        <v>39783</v>
      </c>
    </row>
    <row r="50921" spans="8:8">
      <c r="H50921" t="s">
        <v>39784</v>
      </c>
    </row>
    <row r="50922" spans="8:8">
      <c r="H50922" t="s">
        <v>39785</v>
      </c>
    </row>
    <row r="50923" spans="8:8">
      <c r="H50923" t="s">
        <v>39786</v>
      </c>
    </row>
    <row r="50924" spans="8:8">
      <c r="H50924" t="s">
        <v>39787</v>
      </c>
    </row>
    <row r="50925" spans="8:8">
      <c r="H50925" t="s">
        <v>39788</v>
      </c>
    </row>
    <row r="50926" spans="8:8">
      <c r="H50926" t="s">
        <v>39789</v>
      </c>
    </row>
    <row r="50927" spans="8:8">
      <c r="H50927" t="s">
        <v>39790</v>
      </c>
    </row>
    <row r="50928" spans="8:8">
      <c r="H50928" t="s">
        <v>39791</v>
      </c>
    </row>
    <row r="50929" spans="8:8">
      <c r="H50929" t="s">
        <v>39792</v>
      </c>
    </row>
    <row r="50930" spans="8:8">
      <c r="H50930" t="s">
        <v>39793</v>
      </c>
    </row>
    <row r="50931" spans="8:8">
      <c r="H50931" t="s">
        <v>39794</v>
      </c>
    </row>
    <row r="50932" spans="8:8">
      <c r="H50932" t="s">
        <v>39795</v>
      </c>
    </row>
    <row r="50933" spans="8:8">
      <c r="H50933" t="s">
        <v>38850</v>
      </c>
    </row>
    <row r="50934" spans="8:8">
      <c r="H50934" t="s">
        <v>39796</v>
      </c>
    </row>
    <row r="50935" spans="8:8">
      <c r="H50935" t="s">
        <v>38851</v>
      </c>
    </row>
    <row r="50936" spans="8:8">
      <c r="H50936" t="s">
        <v>39797</v>
      </c>
    </row>
    <row r="50937" spans="8:8">
      <c r="H50937" t="s">
        <v>38852</v>
      </c>
    </row>
    <row r="50938" spans="8:8">
      <c r="H50938" t="s">
        <v>39798</v>
      </c>
    </row>
    <row r="50939" spans="8:8">
      <c r="H50939" t="s">
        <v>38853</v>
      </c>
    </row>
    <row r="50940" spans="8:8">
      <c r="H50940" t="s">
        <v>39799</v>
      </c>
    </row>
    <row r="50941" spans="8:8">
      <c r="H50941" t="s">
        <v>38854</v>
      </c>
    </row>
    <row r="50942" spans="8:8">
      <c r="H50942" t="s">
        <v>39800</v>
      </c>
    </row>
    <row r="50943" spans="8:8">
      <c r="H50943" t="s">
        <v>38855</v>
      </c>
    </row>
    <row r="50944" spans="8:8">
      <c r="H50944" t="s">
        <v>39801</v>
      </c>
    </row>
    <row r="50945" spans="8:8">
      <c r="H50945" t="s">
        <v>38856</v>
      </c>
    </row>
    <row r="50946" spans="8:8">
      <c r="H50946" t="s">
        <v>38857</v>
      </c>
    </row>
    <row r="50947" spans="8:8">
      <c r="H50947" t="s">
        <v>39802</v>
      </c>
    </row>
    <row r="50948" spans="8:8">
      <c r="H50948" t="s">
        <v>38858</v>
      </c>
    </row>
    <row r="50949" spans="8:8">
      <c r="H50949" t="s">
        <v>39803</v>
      </c>
    </row>
    <row r="50950" spans="8:8">
      <c r="H50950" t="s">
        <v>38859</v>
      </c>
    </row>
    <row r="50951" spans="8:8">
      <c r="H50951" t="s">
        <v>39804</v>
      </c>
    </row>
    <row r="50952" spans="8:8">
      <c r="H50952" t="s">
        <v>38860</v>
      </c>
    </row>
    <row r="50953" spans="8:8">
      <c r="H50953" t="s">
        <v>39805</v>
      </c>
    </row>
    <row r="50954" spans="8:8">
      <c r="H50954" t="s">
        <v>38861</v>
      </c>
    </row>
    <row r="50955" spans="8:8">
      <c r="H50955" t="s">
        <v>39806</v>
      </c>
    </row>
    <row r="50956" spans="8:8">
      <c r="H50956" t="s">
        <v>38862</v>
      </c>
    </row>
    <row r="50957" spans="8:8">
      <c r="H50957" t="s">
        <v>39807</v>
      </c>
    </row>
    <row r="50958" spans="8:8">
      <c r="H50958" t="s">
        <v>38863</v>
      </c>
    </row>
    <row r="50959" spans="8:8">
      <c r="H50959" t="s">
        <v>38864</v>
      </c>
    </row>
    <row r="50960" spans="8:8">
      <c r="H50960" t="s">
        <v>39808</v>
      </c>
    </row>
    <row r="50961" spans="8:8">
      <c r="H50961" t="s">
        <v>38865</v>
      </c>
    </row>
    <row r="50962" spans="8:8">
      <c r="H50962" t="s">
        <v>39809</v>
      </c>
    </row>
    <row r="50963" spans="8:8">
      <c r="H50963" t="s">
        <v>38866</v>
      </c>
    </row>
    <row r="50964" spans="8:8">
      <c r="H50964" t="s">
        <v>39810</v>
      </c>
    </row>
    <row r="50965" spans="8:8">
      <c r="H50965" t="s">
        <v>38867</v>
      </c>
    </row>
    <row r="50966" spans="8:8">
      <c r="H50966" t="s">
        <v>39811</v>
      </c>
    </row>
    <row r="50967" spans="8:8">
      <c r="H50967" t="s">
        <v>38868</v>
      </c>
    </row>
    <row r="50968" spans="8:8">
      <c r="H50968" t="s">
        <v>39812</v>
      </c>
    </row>
    <row r="50969" spans="8:8">
      <c r="H50969" t="s">
        <v>38869</v>
      </c>
    </row>
    <row r="50970" spans="8:8">
      <c r="H50970" t="s">
        <v>39813</v>
      </c>
    </row>
    <row r="50971" spans="8:8">
      <c r="H50971" t="s">
        <v>38870</v>
      </c>
    </row>
    <row r="50972" spans="8:8">
      <c r="H50972" t="s">
        <v>38871</v>
      </c>
    </row>
    <row r="50973" spans="8:8">
      <c r="H50973" t="s">
        <v>39814</v>
      </c>
    </row>
    <row r="50974" spans="8:8">
      <c r="H50974" t="s">
        <v>38872</v>
      </c>
    </row>
    <row r="50975" spans="8:8">
      <c r="H50975" t="s">
        <v>39815</v>
      </c>
    </row>
    <row r="50976" spans="8:8">
      <c r="H50976" t="s">
        <v>38873</v>
      </c>
    </row>
    <row r="50977" spans="8:8">
      <c r="H50977" t="s">
        <v>39816</v>
      </c>
    </row>
    <row r="50978" spans="8:8">
      <c r="H50978" t="s">
        <v>38874</v>
      </c>
    </row>
    <row r="50979" spans="8:8">
      <c r="H50979" t="s">
        <v>39817</v>
      </c>
    </row>
    <row r="50980" spans="8:8">
      <c r="H50980" t="s">
        <v>38875</v>
      </c>
    </row>
    <row r="50981" spans="8:8">
      <c r="H50981" t="s">
        <v>39818</v>
      </c>
    </row>
    <row r="50982" spans="8:8">
      <c r="H50982" t="s">
        <v>38876</v>
      </c>
    </row>
    <row r="50983" spans="8:8">
      <c r="H50983" t="s">
        <v>39819</v>
      </c>
    </row>
    <row r="50984" spans="8:8">
      <c r="H50984" t="s">
        <v>38877</v>
      </c>
    </row>
    <row r="50985" spans="8:8">
      <c r="H50985" t="s">
        <v>39820</v>
      </c>
    </row>
    <row r="50986" spans="8:8">
      <c r="H50986" t="s">
        <v>39821</v>
      </c>
    </row>
    <row r="50987" spans="8:8">
      <c r="H50987" t="s">
        <v>39822</v>
      </c>
    </row>
    <row r="50988" spans="8:8">
      <c r="H50988" t="s">
        <v>39823</v>
      </c>
    </row>
    <row r="50989" spans="8:8">
      <c r="H50989" t="s">
        <v>39824</v>
      </c>
    </row>
    <row r="50990" spans="8:8">
      <c r="H50990" t="s">
        <v>39825</v>
      </c>
    </row>
    <row r="50991" spans="8:8">
      <c r="H50991" t="s">
        <v>39826</v>
      </c>
    </row>
    <row r="50992" spans="8:8">
      <c r="H50992" t="s">
        <v>39827</v>
      </c>
    </row>
    <row r="50993" spans="8:8">
      <c r="H50993" t="s">
        <v>39828</v>
      </c>
    </row>
    <row r="50994" spans="8:8">
      <c r="H50994" t="s">
        <v>39829</v>
      </c>
    </row>
    <row r="50995" spans="8:8">
      <c r="H50995" t="s">
        <v>39830</v>
      </c>
    </row>
    <row r="50996" spans="8:8">
      <c r="H50996" t="s">
        <v>39831</v>
      </c>
    </row>
    <row r="50997" spans="8:8">
      <c r="H50997" t="s">
        <v>39832</v>
      </c>
    </row>
    <row r="50998" spans="8:8">
      <c r="H50998" t="s">
        <v>39833</v>
      </c>
    </row>
    <row r="50999" spans="8:8">
      <c r="H50999" t="s">
        <v>39834</v>
      </c>
    </row>
    <row r="51000" spans="8:8">
      <c r="H51000" t="s">
        <v>39835</v>
      </c>
    </row>
    <row r="51001" spans="8:8">
      <c r="H51001" t="s">
        <v>39836</v>
      </c>
    </row>
    <row r="51002" spans="8:8">
      <c r="H51002" t="s">
        <v>39837</v>
      </c>
    </row>
    <row r="51003" spans="8:8">
      <c r="H51003" t="s">
        <v>39838</v>
      </c>
    </row>
    <row r="51004" spans="8:8">
      <c r="H51004" t="s">
        <v>39839</v>
      </c>
    </row>
    <row r="51005" spans="8:8">
      <c r="H51005" t="s">
        <v>39840</v>
      </c>
    </row>
    <row r="51006" spans="8:8">
      <c r="H51006" t="s">
        <v>39841</v>
      </c>
    </row>
    <row r="51007" spans="8:8">
      <c r="H51007" t="s">
        <v>39842</v>
      </c>
    </row>
    <row r="51008" spans="8:8">
      <c r="H51008" t="s">
        <v>39843</v>
      </c>
    </row>
    <row r="51009" spans="8:8">
      <c r="H51009" t="s">
        <v>39844</v>
      </c>
    </row>
    <row r="51010" spans="8:8">
      <c r="H51010" t="s">
        <v>39845</v>
      </c>
    </row>
    <row r="51011" spans="8:8">
      <c r="H51011" t="s">
        <v>39846</v>
      </c>
    </row>
    <row r="51012" spans="8:8">
      <c r="H51012" t="s">
        <v>39847</v>
      </c>
    </row>
    <row r="51013" spans="8:8">
      <c r="H51013" t="s">
        <v>39848</v>
      </c>
    </row>
    <row r="51014" spans="8:8">
      <c r="H51014" t="s">
        <v>39849</v>
      </c>
    </row>
    <row r="51015" spans="8:8">
      <c r="H51015" t="s">
        <v>39850</v>
      </c>
    </row>
    <row r="51016" spans="8:8">
      <c r="H51016" t="s">
        <v>39851</v>
      </c>
    </row>
    <row r="51017" spans="8:8">
      <c r="H51017" t="s">
        <v>39852</v>
      </c>
    </row>
    <row r="51018" spans="8:8">
      <c r="H51018" t="s">
        <v>39853</v>
      </c>
    </row>
    <row r="51019" spans="8:8">
      <c r="H51019" t="s">
        <v>39854</v>
      </c>
    </row>
    <row r="51020" spans="8:8">
      <c r="H51020" t="s">
        <v>39855</v>
      </c>
    </row>
    <row r="51021" spans="8:8">
      <c r="H51021" t="s">
        <v>39856</v>
      </c>
    </row>
    <row r="51022" spans="8:8">
      <c r="H51022" t="s">
        <v>39857</v>
      </c>
    </row>
    <row r="51023" spans="8:8">
      <c r="H51023" t="s">
        <v>39858</v>
      </c>
    </row>
    <row r="51024" spans="8:8">
      <c r="H51024" t="s">
        <v>39859</v>
      </c>
    </row>
    <row r="51025" spans="8:8">
      <c r="H51025" t="s">
        <v>39860</v>
      </c>
    </row>
    <row r="51026" spans="8:8">
      <c r="H51026" t="s">
        <v>39861</v>
      </c>
    </row>
    <row r="51027" spans="8:8">
      <c r="H51027" t="s">
        <v>39862</v>
      </c>
    </row>
    <row r="51028" spans="8:8">
      <c r="H51028" t="s">
        <v>39863</v>
      </c>
    </row>
    <row r="51029" spans="8:8">
      <c r="H51029" t="s">
        <v>39864</v>
      </c>
    </row>
    <row r="51030" spans="8:8">
      <c r="H51030" t="s">
        <v>39865</v>
      </c>
    </row>
    <row r="51031" spans="8:8">
      <c r="H51031" t="s">
        <v>39866</v>
      </c>
    </row>
    <row r="51032" spans="8:8">
      <c r="H51032" t="s">
        <v>39867</v>
      </c>
    </row>
    <row r="51033" spans="8:8">
      <c r="H51033" t="s">
        <v>39868</v>
      </c>
    </row>
    <row r="51034" spans="8:8">
      <c r="H51034" t="s">
        <v>39869</v>
      </c>
    </row>
    <row r="51035" spans="8:8">
      <c r="H51035" t="s">
        <v>39870</v>
      </c>
    </row>
    <row r="51036" spans="8:8">
      <c r="H51036" t="s">
        <v>39871</v>
      </c>
    </row>
    <row r="51037" spans="8:8">
      <c r="H51037" t="s">
        <v>39872</v>
      </c>
    </row>
    <row r="51038" spans="8:8">
      <c r="H51038" t="s">
        <v>39873</v>
      </c>
    </row>
    <row r="51039" spans="8:8">
      <c r="H51039" t="s">
        <v>39874</v>
      </c>
    </row>
    <row r="51040" spans="8:8">
      <c r="H51040" t="s">
        <v>39875</v>
      </c>
    </row>
    <row r="51041" spans="8:8">
      <c r="H51041" t="s">
        <v>39876</v>
      </c>
    </row>
    <row r="51042" spans="8:8">
      <c r="H51042" t="s">
        <v>39877</v>
      </c>
    </row>
    <row r="51043" spans="8:8">
      <c r="H51043" t="s">
        <v>39878</v>
      </c>
    </row>
    <row r="51044" spans="8:8">
      <c r="H51044" t="s">
        <v>39879</v>
      </c>
    </row>
    <row r="51045" spans="8:8">
      <c r="H51045" t="s">
        <v>39880</v>
      </c>
    </row>
    <row r="51046" spans="8:8">
      <c r="H51046" t="s">
        <v>39881</v>
      </c>
    </row>
    <row r="51047" spans="8:8">
      <c r="H51047" t="s">
        <v>39882</v>
      </c>
    </row>
    <row r="51048" spans="8:8">
      <c r="H51048" t="s">
        <v>39883</v>
      </c>
    </row>
    <row r="51049" spans="8:8">
      <c r="H51049" t="s">
        <v>39884</v>
      </c>
    </row>
    <row r="51050" spans="8:8">
      <c r="H51050" t="s">
        <v>38878</v>
      </c>
    </row>
    <row r="51051" spans="8:8">
      <c r="H51051" t="s">
        <v>39885</v>
      </c>
    </row>
    <row r="51052" spans="8:8">
      <c r="H51052" t="s">
        <v>38879</v>
      </c>
    </row>
    <row r="51053" spans="8:8">
      <c r="H51053" t="s">
        <v>39886</v>
      </c>
    </row>
    <row r="51054" spans="8:8">
      <c r="H51054" t="s">
        <v>38880</v>
      </c>
    </row>
    <row r="51055" spans="8:8">
      <c r="H51055" t="s">
        <v>39887</v>
      </c>
    </row>
    <row r="51056" spans="8:8">
      <c r="H51056" t="s">
        <v>38881</v>
      </c>
    </row>
    <row r="51057" spans="8:8">
      <c r="H51057" t="s">
        <v>39888</v>
      </c>
    </row>
    <row r="51058" spans="8:8">
      <c r="H51058" t="s">
        <v>38882</v>
      </c>
    </row>
    <row r="51059" spans="8:8">
      <c r="H51059" t="s">
        <v>39889</v>
      </c>
    </row>
    <row r="51060" spans="8:8">
      <c r="H51060" t="s">
        <v>38883</v>
      </c>
    </row>
    <row r="51061" spans="8:8">
      <c r="H51061" t="s">
        <v>39890</v>
      </c>
    </row>
    <row r="51062" spans="8:8">
      <c r="H51062" t="s">
        <v>38884</v>
      </c>
    </row>
    <row r="51063" spans="8:8">
      <c r="H51063" t="s">
        <v>39891</v>
      </c>
    </row>
    <row r="51064" spans="8:8">
      <c r="H51064" t="s">
        <v>39892</v>
      </c>
    </row>
    <row r="51065" spans="8:8">
      <c r="H51065" t="s">
        <v>39893</v>
      </c>
    </row>
    <row r="51066" spans="8:8">
      <c r="H51066" t="s">
        <v>39894</v>
      </c>
    </row>
    <row r="51067" spans="8:8">
      <c r="H51067" t="s">
        <v>39895</v>
      </c>
    </row>
    <row r="51068" spans="8:8">
      <c r="H51068" t="s">
        <v>39896</v>
      </c>
    </row>
    <row r="51069" spans="8:8">
      <c r="H51069" t="s">
        <v>39897</v>
      </c>
    </row>
    <row r="51070" spans="8:8">
      <c r="H51070" t="s">
        <v>39898</v>
      </c>
    </row>
    <row r="51071" spans="8:8">
      <c r="H51071" t="s">
        <v>39899</v>
      </c>
    </row>
    <row r="51072" spans="8:8">
      <c r="H51072" t="s">
        <v>39900</v>
      </c>
    </row>
    <row r="51073" spans="8:8">
      <c r="H51073" t="s">
        <v>39901</v>
      </c>
    </row>
    <row r="51074" spans="8:8">
      <c r="H51074" t="s">
        <v>39902</v>
      </c>
    </row>
    <row r="51075" spans="8:8">
      <c r="H51075" t="s">
        <v>39903</v>
      </c>
    </row>
    <row r="51076" spans="8:8">
      <c r="H51076" t="s">
        <v>39904</v>
      </c>
    </row>
    <row r="51077" spans="8:8">
      <c r="H51077" t="s">
        <v>39905</v>
      </c>
    </row>
    <row r="51078" spans="8:8">
      <c r="H51078" t="s">
        <v>39906</v>
      </c>
    </row>
    <row r="51079" spans="8:8">
      <c r="H51079" t="s">
        <v>39907</v>
      </c>
    </row>
    <row r="51080" spans="8:8">
      <c r="H51080" t="s">
        <v>39908</v>
      </c>
    </row>
    <row r="51081" spans="8:8">
      <c r="H51081" t="s">
        <v>39909</v>
      </c>
    </row>
    <row r="51082" spans="8:8">
      <c r="H51082" t="s">
        <v>39910</v>
      </c>
    </row>
    <row r="51083" spans="8:8">
      <c r="H51083" t="s">
        <v>39911</v>
      </c>
    </row>
    <row r="51084" spans="8:8">
      <c r="H51084" t="s">
        <v>39912</v>
      </c>
    </row>
    <row r="51085" spans="8:8">
      <c r="H51085" t="s">
        <v>39913</v>
      </c>
    </row>
    <row r="51086" spans="8:8">
      <c r="H51086" t="s">
        <v>39914</v>
      </c>
    </row>
    <row r="51087" spans="8:8">
      <c r="H51087" t="s">
        <v>39915</v>
      </c>
    </row>
    <row r="51088" spans="8:8">
      <c r="H51088" t="s">
        <v>39916</v>
      </c>
    </row>
    <row r="51089" spans="8:8">
      <c r="H51089" t="s">
        <v>38892</v>
      </c>
    </row>
    <row r="51090" spans="8:8">
      <c r="H51090" t="s">
        <v>39917</v>
      </c>
    </row>
    <row r="51091" spans="8:8">
      <c r="H51091" t="s">
        <v>38893</v>
      </c>
    </row>
    <row r="51092" spans="8:8">
      <c r="H51092" t="s">
        <v>39918</v>
      </c>
    </row>
    <row r="51093" spans="8:8">
      <c r="H51093" t="s">
        <v>38894</v>
      </c>
    </row>
    <row r="51094" spans="8:8">
      <c r="H51094" t="s">
        <v>39919</v>
      </c>
    </row>
    <row r="51095" spans="8:8">
      <c r="H51095" t="s">
        <v>38895</v>
      </c>
    </row>
    <row r="51096" spans="8:8">
      <c r="H51096" t="s">
        <v>39920</v>
      </c>
    </row>
    <row r="51097" spans="8:8">
      <c r="H51097" t="s">
        <v>38896</v>
      </c>
    </row>
    <row r="51098" spans="8:8">
      <c r="H51098" t="s">
        <v>39921</v>
      </c>
    </row>
    <row r="51099" spans="8:8">
      <c r="H51099" t="s">
        <v>38897</v>
      </c>
    </row>
    <row r="51100" spans="8:8">
      <c r="H51100" t="s">
        <v>39922</v>
      </c>
    </row>
    <row r="51101" spans="8:8">
      <c r="H51101" t="s">
        <v>38898</v>
      </c>
    </row>
    <row r="51102" spans="8:8">
      <c r="H51102" t="s">
        <v>38899</v>
      </c>
    </row>
    <row r="51103" spans="8:8">
      <c r="H51103" t="s">
        <v>39923</v>
      </c>
    </row>
    <row r="51104" spans="8:8">
      <c r="H51104" t="s">
        <v>38900</v>
      </c>
    </row>
    <row r="51105" spans="8:8">
      <c r="H51105" t="s">
        <v>39924</v>
      </c>
    </row>
    <row r="51106" spans="8:8">
      <c r="H51106" t="s">
        <v>38901</v>
      </c>
    </row>
    <row r="51107" spans="8:8">
      <c r="H51107" t="s">
        <v>39925</v>
      </c>
    </row>
    <row r="51108" spans="8:8">
      <c r="H51108" t="s">
        <v>38902</v>
      </c>
    </row>
    <row r="51109" spans="8:8">
      <c r="H51109" t="s">
        <v>39926</v>
      </c>
    </row>
    <row r="51110" spans="8:8">
      <c r="H51110" t="s">
        <v>38903</v>
      </c>
    </row>
    <row r="51111" spans="8:8">
      <c r="H51111" t="s">
        <v>38904</v>
      </c>
    </row>
    <row r="51112" spans="8:8">
      <c r="H51112" t="s">
        <v>39927</v>
      </c>
    </row>
    <row r="51113" spans="8:8">
      <c r="H51113" t="s">
        <v>38905</v>
      </c>
    </row>
    <row r="51114" spans="8:8">
      <c r="H51114" t="s">
        <v>39928</v>
      </c>
    </row>
    <row r="51115" spans="8:8">
      <c r="H51115" t="s">
        <v>38906</v>
      </c>
    </row>
    <row r="51116" spans="8:8">
      <c r="H51116" t="s">
        <v>39929</v>
      </c>
    </row>
    <row r="51117" spans="8:8">
      <c r="H51117" t="s">
        <v>38907</v>
      </c>
    </row>
    <row r="51118" spans="8:8">
      <c r="H51118" t="s">
        <v>39930</v>
      </c>
    </row>
    <row r="51119" spans="8:8">
      <c r="H51119" t="s">
        <v>38908</v>
      </c>
    </row>
    <row r="51120" spans="8:8">
      <c r="H51120" t="s">
        <v>38909</v>
      </c>
    </row>
    <row r="51121" spans="8:8">
      <c r="H51121" t="s">
        <v>39931</v>
      </c>
    </row>
    <row r="51122" spans="8:8">
      <c r="H51122" t="s">
        <v>38910</v>
      </c>
    </row>
    <row r="51123" spans="8:8">
      <c r="H51123" t="s">
        <v>39932</v>
      </c>
    </row>
    <row r="51124" spans="8:8">
      <c r="H51124" t="s">
        <v>38911</v>
      </c>
    </row>
    <row r="51125" spans="8:8">
      <c r="H51125" t="s">
        <v>39933</v>
      </c>
    </row>
    <row r="51126" spans="8:8">
      <c r="H51126" t="s">
        <v>38912</v>
      </c>
    </row>
    <row r="51127" spans="8:8">
      <c r="H51127" t="s">
        <v>39934</v>
      </c>
    </row>
    <row r="51128" spans="8:8">
      <c r="H51128" t="s">
        <v>38913</v>
      </c>
    </row>
    <row r="51129" spans="8:8">
      <c r="H51129" t="s">
        <v>38914</v>
      </c>
    </row>
    <row r="51130" spans="8:8">
      <c r="H51130" t="s">
        <v>39935</v>
      </c>
    </row>
    <row r="51131" spans="8:8">
      <c r="H51131" t="s">
        <v>38915</v>
      </c>
    </row>
    <row r="51132" spans="8:8">
      <c r="H51132" t="s">
        <v>39936</v>
      </c>
    </row>
    <row r="51133" spans="8:8">
      <c r="H51133" t="s">
        <v>38916</v>
      </c>
    </row>
    <row r="51134" spans="8:8">
      <c r="H51134" t="s">
        <v>39937</v>
      </c>
    </row>
    <row r="51135" spans="8:8">
      <c r="H51135" t="s">
        <v>38917</v>
      </c>
    </row>
    <row r="51136" spans="8:8">
      <c r="H51136" t="s">
        <v>39938</v>
      </c>
    </row>
    <row r="51137" spans="8:8">
      <c r="H51137" t="s">
        <v>38918</v>
      </c>
    </row>
    <row r="51138" spans="8:8">
      <c r="H51138" t="s">
        <v>38919</v>
      </c>
    </row>
    <row r="51139" spans="8:8">
      <c r="H51139" t="s">
        <v>39939</v>
      </c>
    </row>
    <row r="51140" spans="8:8">
      <c r="H51140" t="s">
        <v>38920</v>
      </c>
    </row>
    <row r="51141" spans="8:8">
      <c r="H51141" t="s">
        <v>39940</v>
      </c>
    </row>
    <row r="51142" spans="8:8">
      <c r="H51142" t="s">
        <v>38921</v>
      </c>
    </row>
    <row r="51143" spans="8:8">
      <c r="H51143" t="s">
        <v>39941</v>
      </c>
    </row>
    <row r="51144" spans="8:8">
      <c r="H51144" t="s">
        <v>38922</v>
      </c>
    </row>
    <row r="51145" spans="8:8">
      <c r="H51145" t="s">
        <v>39942</v>
      </c>
    </row>
    <row r="51146" spans="8:8">
      <c r="H51146" t="s">
        <v>38923</v>
      </c>
    </row>
    <row r="51147" spans="8:8">
      <c r="H51147" t="s">
        <v>39943</v>
      </c>
    </row>
    <row r="51148" spans="8:8">
      <c r="H51148" t="s">
        <v>38924</v>
      </c>
    </row>
    <row r="51149" spans="8:8">
      <c r="H51149" t="s">
        <v>39944</v>
      </c>
    </row>
    <row r="51150" spans="8:8">
      <c r="H51150" t="s">
        <v>38925</v>
      </c>
    </row>
    <row r="51151" spans="8:8">
      <c r="H51151" t="s">
        <v>38926</v>
      </c>
    </row>
    <row r="51152" spans="8:8">
      <c r="H51152" t="s">
        <v>39945</v>
      </c>
    </row>
    <row r="51153" spans="8:8">
      <c r="H51153" t="s">
        <v>38927</v>
      </c>
    </row>
    <row r="51154" spans="8:8">
      <c r="H51154" t="s">
        <v>39946</v>
      </c>
    </row>
    <row r="51155" spans="8:8">
      <c r="H51155" t="s">
        <v>38928</v>
      </c>
    </row>
    <row r="51156" spans="8:8">
      <c r="H51156" t="s">
        <v>39947</v>
      </c>
    </row>
    <row r="51157" spans="8:8">
      <c r="H51157" t="s">
        <v>38929</v>
      </c>
    </row>
    <row r="51158" spans="8:8">
      <c r="H51158" t="s">
        <v>39948</v>
      </c>
    </row>
    <row r="51159" spans="8:8">
      <c r="H51159" t="s">
        <v>38930</v>
      </c>
    </row>
    <row r="51160" spans="8:8">
      <c r="H51160" t="s">
        <v>39949</v>
      </c>
    </row>
    <row r="51161" spans="8:8">
      <c r="H51161" t="s">
        <v>38931</v>
      </c>
    </row>
    <row r="51162" spans="8:8">
      <c r="H51162" t="s">
        <v>39950</v>
      </c>
    </row>
    <row r="51163" spans="8:8">
      <c r="H51163" t="s">
        <v>38932</v>
      </c>
    </row>
    <row r="51164" spans="8:8">
      <c r="H51164" t="s">
        <v>38933</v>
      </c>
    </row>
    <row r="51165" spans="8:8">
      <c r="H51165" t="s">
        <v>39951</v>
      </c>
    </row>
    <row r="51166" spans="8:8">
      <c r="H51166" t="s">
        <v>38934</v>
      </c>
    </row>
    <row r="51167" spans="8:8">
      <c r="H51167" t="s">
        <v>39952</v>
      </c>
    </row>
    <row r="51168" spans="8:8">
      <c r="H51168" t="s">
        <v>38935</v>
      </c>
    </row>
    <row r="51169" spans="8:8">
      <c r="H51169" t="s">
        <v>39953</v>
      </c>
    </row>
    <row r="51170" spans="8:8">
      <c r="H51170" t="s">
        <v>38936</v>
      </c>
    </row>
    <row r="51171" spans="8:8">
      <c r="H51171" t="s">
        <v>39954</v>
      </c>
    </row>
    <row r="51172" spans="8:8">
      <c r="H51172" t="s">
        <v>38937</v>
      </c>
    </row>
    <row r="51173" spans="8:8">
      <c r="H51173" t="s">
        <v>39955</v>
      </c>
    </row>
    <row r="51174" spans="8:8">
      <c r="H51174" t="s">
        <v>38938</v>
      </c>
    </row>
    <row r="51175" spans="8:8">
      <c r="H51175" t="s">
        <v>39956</v>
      </c>
    </row>
    <row r="51176" spans="8:8">
      <c r="H51176" t="s">
        <v>38939</v>
      </c>
    </row>
    <row r="51177" spans="8:8">
      <c r="H51177" t="s">
        <v>38940</v>
      </c>
    </row>
    <row r="51178" spans="8:8">
      <c r="H51178" t="s">
        <v>39957</v>
      </c>
    </row>
    <row r="51179" spans="8:8">
      <c r="H51179" t="s">
        <v>38941</v>
      </c>
    </row>
    <row r="51180" spans="8:8">
      <c r="H51180" t="s">
        <v>39958</v>
      </c>
    </row>
    <row r="51181" spans="8:8">
      <c r="H51181" t="s">
        <v>38942</v>
      </c>
    </row>
    <row r="51182" spans="8:8">
      <c r="H51182" t="s">
        <v>39959</v>
      </c>
    </row>
    <row r="51183" spans="8:8">
      <c r="H51183" t="s">
        <v>38943</v>
      </c>
    </row>
    <row r="51184" spans="8:8">
      <c r="H51184" t="s">
        <v>39960</v>
      </c>
    </row>
    <row r="51185" spans="8:8">
      <c r="H51185" t="s">
        <v>38944</v>
      </c>
    </row>
    <row r="51186" spans="8:8">
      <c r="H51186" t="s">
        <v>39961</v>
      </c>
    </row>
    <row r="51187" spans="8:8">
      <c r="H51187" t="s">
        <v>38945</v>
      </c>
    </row>
    <row r="51188" spans="8:8">
      <c r="H51188" t="s">
        <v>39962</v>
      </c>
    </row>
    <row r="51189" spans="8:8">
      <c r="H51189" t="s">
        <v>38946</v>
      </c>
    </row>
    <row r="51190" spans="8:8">
      <c r="H51190" t="s">
        <v>38947</v>
      </c>
    </row>
    <row r="51191" spans="8:8">
      <c r="H51191" t="s">
        <v>39963</v>
      </c>
    </row>
    <row r="51192" spans="8:8">
      <c r="H51192" t="s">
        <v>38948</v>
      </c>
    </row>
    <row r="51193" spans="8:8">
      <c r="H51193" t="s">
        <v>39964</v>
      </c>
    </row>
    <row r="51194" spans="8:8">
      <c r="H51194" t="s">
        <v>38949</v>
      </c>
    </row>
    <row r="51195" spans="8:8">
      <c r="H51195" t="s">
        <v>39965</v>
      </c>
    </row>
    <row r="51196" spans="8:8">
      <c r="H51196" t="s">
        <v>38950</v>
      </c>
    </row>
    <row r="51197" spans="8:8">
      <c r="H51197" t="s">
        <v>39966</v>
      </c>
    </row>
    <row r="51198" spans="8:8">
      <c r="H51198" t="s">
        <v>38951</v>
      </c>
    </row>
    <row r="51199" spans="8:8">
      <c r="H51199" t="s">
        <v>39967</v>
      </c>
    </row>
    <row r="51200" spans="8:8">
      <c r="H51200" t="s">
        <v>38952</v>
      </c>
    </row>
    <row r="51201" spans="1:8">
      <c r="H51201" t="s">
        <v>39968</v>
      </c>
    </row>
    <row r="51202" spans="1:8">
      <c r="H51202" t="s">
        <v>38953</v>
      </c>
    </row>
    <row r="51203" spans="1:8">
      <c r="A51203" t="s">
        <v>4899</v>
      </c>
      <c r="B51203">
        <f>HYPERLINK("https://android.googlesource.com/platform/cts/+/21849f871d414d75426b33d2c790c8578032a17e", "21849f871d414d75426b33d2c790c8578032a17e")</f>
        <v>0</v>
      </c>
      <c r="C51203">
        <f>HYPERLINK("https://android.googlesource.com/platform/cts/+/befdfc5ae1214a6bf7e7390fb8fae57818d51310", "befdfc5ae1214a6bf7e7390fb8fae57818d51310")</f>
        <v>0</v>
      </c>
      <c r="D51203" t="s">
        <v>5576</v>
      </c>
      <c r="E51203" t="s">
        <v>10555</v>
      </c>
      <c r="F51203" t="s">
        <v>14449</v>
      </c>
      <c r="G51203" t="s">
        <v>18384</v>
      </c>
      <c r="H51203" t="s">
        <v>39969</v>
      </c>
    </row>
    <row r="51204" spans="1:8">
      <c r="H51204" t="s">
        <v>39970</v>
      </c>
    </row>
    <row r="51205" spans="1:8">
      <c r="H51205" t="s">
        <v>39971</v>
      </c>
    </row>
    <row r="51206" spans="1:8">
      <c r="H51206" t="s">
        <v>39972</v>
      </c>
    </row>
    <row r="51207" spans="1:8">
      <c r="H51207" t="s">
        <v>39973</v>
      </c>
    </row>
    <row r="51208" spans="1:8">
      <c r="H51208" t="s">
        <v>35050</v>
      </c>
    </row>
    <row r="51209" spans="1:8">
      <c r="F51209" t="s">
        <v>14450</v>
      </c>
      <c r="G51209" t="s">
        <v>18385</v>
      </c>
      <c r="H51209" t="s">
        <v>30030</v>
      </c>
    </row>
    <row r="51210" spans="1:8">
      <c r="H51210" t="s">
        <v>36009</v>
      </c>
    </row>
    <row r="51211" spans="1:8">
      <c r="H51211" t="s">
        <v>35050</v>
      </c>
    </row>
    <row r="51212" spans="1:8">
      <c r="F51212" t="s">
        <v>14950</v>
      </c>
      <c r="G51212" t="s">
        <v>18782</v>
      </c>
      <c r="H51212" t="s">
        <v>30030</v>
      </c>
    </row>
    <row r="51213" spans="1:8">
      <c r="H51213" t="s">
        <v>36009</v>
      </c>
    </row>
    <row r="51214" spans="1:8">
      <c r="H51214" t="s">
        <v>35050</v>
      </c>
    </row>
    <row r="51215" spans="1:8">
      <c r="F51215" t="s">
        <v>14951</v>
      </c>
      <c r="G51215" t="s">
        <v>18783</v>
      </c>
      <c r="H51215" t="s">
        <v>30030</v>
      </c>
    </row>
    <row r="51216" spans="1:8">
      <c r="H51216" t="s">
        <v>39974</v>
      </c>
    </row>
    <row r="51217" spans="6:8">
      <c r="H51217" t="s">
        <v>36009</v>
      </c>
    </row>
    <row r="51218" spans="6:8">
      <c r="H51218" t="s">
        <v>35050</v>
      </c>
    </row>
    <row r="51219" spans="6:8">
      <c r="F51219" t="s">
        <v>14952</v>
      </c>
      <c r="G51219" t="s">
        <v>18784</v>
      </c>
      <c r="H51219" t="s">
        <v>30030</v>
      </c>
    </row>
    <row r="51220" spans="6:8">
      <c r="H51220" t="s">
        <v>39975</v>
      </c>
    </row>
    <row r="51221" spans="6:8">
      <c r="H51221" t="s">
        <v>36009</v>
      </c>
    </row>
    <row r="51222" spans="6:8">
      <c r="H51222" t="s">
        <v>35050</v>
      </c>
    </row>
    <row r="51223" spans="6:8">
      <c r="F51223" t="s">
        <v>14953</v>
      </c>
      <c r="G51223" t="s">
        <v>18785</v>
      </c>
      <c r="H51223" t="s">
        <v>39976</v>
      </c>
    </row>
    <row r="51224" spans="6:8">
      <c r="H51224" t="s">
        <v>39977</v>
      </c>
    </row>
    <row r="51225" spans="6:8">
      <c r="H51225" t="s">
        <v>39978</v>
      </c>
    </row>
    <row r="51226" spans="6:8">
      <c r="H51226" t="s">
        <v>39979</v>
      </c>
    </row>
    <row r="51227" spans="6:8">
      <c r="H51227" t="s">
        <v>39980</v>
      </c>
    </row>
    <row r="51228" spans="6:8">
      <c r="H51228" t="s">
        <v>39981</v>
      </c>
    </row>
    <row r="51229" spans="6:8">
      <c r="H51229" t="s">
        <v>39982</v>
      </c>
    </row>
    <row r="51230" spans="6:8">
      <c r="F51230" t="s">
        <v>14954</v>
      </c>
      <c r="G51230" t="s">
        <v>18786</v>
      </c>
      <c r="H51230" t="s">
        <v>19981</v>
      </c>
    </row>
    <row r="51231" spans="6:8">
      <c r="H51231" t="s">
        <v>39983</v>
      </c>
    </row>
    <row r="51232" spans="6:8">
      <c r="F51232" t="s">
        <v>14536</v>
      </c>
      <c r="G51232" t="s">
        <v>18460</v>
      </c>
      <c r="H51232" t="s">
        <v>19981</v>
      </c>
    </row>
    <row r="51233" spans="8:8">
      <c r="H51233" t="s">
        <v>39984</v>
      </c>
    </row>
    <row r="51234" spans="8:8">
      <c r="H51234" t="s">
        <v>39985</v>
      </c>
    </row>
    <row r="51235" spans="8:8">
      <c r="H51235" t="s">
        <v>39986</v>
      </c>
    </row>
    <row r="51236" spans="8:8">
      <c r="H51236" t="s">
        <v>39987</v>
      </c>
    </row>
    <row r="51237" spans="8:8">
      <c r="H51237" t="s">
        <v>39988</v>
      </c>
    </row>
    <row r="51238" spans="8:8">
      <c r="H51238" t="s">
        <v>39989</v>
      </c>
    </row>
    <row r="51239" spans="8:8">
      <c r="H51239" t="s">
        <v>39990</v>
      </c>
    </row>
    <row r="51240" spans="8:8">
      <c r="H51240" t="s">
        <v>39991</v>
      </c>
    </row>
    <row r="51241" spans="8:8">
      <c r="H51241" t="s">
        <v>39992</v>
      </c>
    </row>
    <row r="51242" spans="8:8">
      <c r="H51242" t="s">
        <v>39993</v>
      </c>
    </row>
    <row r="51243" spans="8:8">
      <c r="H51243" t="s">
        <v>39994</v>
      </c>
    </row>
    <row r="51244" spans="8:8">
      <c r="H51244" t="s">
        <v>39995</v>
      </c>
    </row>
    <row r="51245" spans="8:8">
      <c r="H51245" t="s">
        <v>39996</v>
      </c>
    </row>
    <row r="51246" spans="8:8">
      <c r="H51246" t="s">
        <v>39997</v>
      </c>
    </row>
    <row r="51247" spans="8:8">
      <c r="H51247" t="s">
        <v>39998</v>
      </c>
    </row>
    <row r="51248" spans="8:8">
      <c r="H51248" t="s">
        <v>39999</v>
      </c>
    </row>
    <row r="51249" spans="8:8">
      <c r="H51249" t="s">
        <v>40000</v>
      </c>
    </row>
    <row r="51250" spans="8:8">
      <c r="H51250" t="s">
        <v>40001</v>
      </c>
    </row>
    <row r="51251" spans="8:8">
      <c r="H51251" t="s">
        <v>40002</v>
      </c>
    </row>
    <row r="51252" spans="8:8">
      <c r="H51252" t="s">
        <v>40003</v>
      </c>
    </row>
    <row r="51253" spans="8:8">
      <c r="H51253" t="s">
        <v>40004</v>
      </c>
    </row>
    <row r="51254" spans="8:8">
      <c r="H51254" t="s">
        <v>40005</v>
      </c>
    </row>
    <row r="51255" spans="8:8">
      <c r="H51255" t="s">
        <v>40006</v>
      </c>
    </row>
    <row r="51256" spans="8:8">
      <c r="H51256" t="s">
        <v>40007</v>
      </c>
    </row>
    <row r="51257" spans="8:8">
      <c r="H51257" t="s">
        <v>40008</v>
      </c>
    </row>
    <row r="51258" spans="8:8">
      <c r="H51258" t="s">
        <v>40009</v>
      </c>
    </row>
    <row r="51259" spans="8:8">
      <c r="H51259" t="s">
        <v>40010</v>
      </c>
    </row>
    <row r="51260" spans="8:8">
      <c r="H51260" t="s">
        <v>40011</v>
      </c>
    </row>
    <row r="51261" spans="8:8">
      <c r="H51261" t="s">
        <v>40012</v>
      </c>
    </row>
    <row r="51262" spans="8:8">
      <c r="H51262" t="s">
        <v>40013</v>
      </c>
    </row>
    <row r="51263" spans="8:8">
      <c r="H51263" t="s">
        <v>40014</v>
      </c>
    </row>
    <row r="51264" spans="8:8">
      <c r="H51264" t="s">
        <v>40014</v>
      </c>
    </row>
    <row r="51265" spans="8:8">
      <c r="H51265" t="s">
        <v>40015</v>
      </c>
    </row>
    <row r="51266" spans="8:8">
      <c r="H51266" t="s">
        <v>21463</v>
      </c>
    </row>
    <row r="51267" spans="8:8">
      <c r="H51267" t="s">
        <v>40016</v>
      </c>
    </row>
    <row r="51268" spans="8:8">
      <c r="H51268" t="s">
        <v>34939</v>
      </c>
    </row>
    <row r="51269" spans="8:8">
      <c r="H51269" t="s">
        <v>40017</v>
      </c>
    </row>
    <row r="51270" spans="8:8">
      <c r="H51270" t="s">
        <v>40018</v>
      </c>
    </row>
    <row r="51271" spans="8:8">
      <c r="H51271" t="s">
        <v>40019</v>
      </c>
    </row>
    <row r="51272" spans="8:8">
      <c r="H51272" t="s">
        <v>34940</v>
      </c>
    </row>
    <row r="51273" spans="8:8">
      <c r="H51273" t="s">
        <v>40020</v>
      </c>
    </row>
    <row r="51274" spans="8:8">
      <c r="H51274" t="s">
        <v>25975</v>
      </c>
    </row>
    <row r="51275" spans="8:8">
      <c r="H51275" t="s">
        <v>40021</v>
      </c>
    </row>
    <row r="51276" spans="8:8">
      <c r="H51276" t="s">
        <v>40022</v>
      </c>
    </row>
    <row r="51277" spans="8:8">
      <c r="H51277" t="s">
        <v>40023</v>
      </c>
    </row>
    <row r="51278" spans="8:8">
      <c r="H51278" t="s">
        <v>40024</v>
      </c>
    </row>
    <row r="51279" spans="8:8">
      <c r="H51279" t="s">
        <v>40025</v>
      </c>
    </row>
    <row r="51280" spans="8:8">
      <c r="H51280" t="s">
        <v>40026</v>
      </c>
    </row>
    <row r="51281" spans="1:8">
      <c r="H51281" t="s">
        <v>40027</v>
      </c>
    </row>
    <row r="51282" spans="1:8">
      <c r="H51282" t="s">
        <v>40028</v>
      </c>
    </row>
    <row r="51283" spans="1:8">
      <c r="H51283" t="s">
        <v>40029</v>
      </c>
    </row>
    <row r="51284" spans="1:8">
      <c r="H51284" t="s">
        <v>40030</v>
      </c>
    </row>
    <row r="51285" spans="1:8">
      <c r="H51285" t="s">
        <v>40031</v>
      </c>
    </row>
    <row r="51286" spans="1:8">
      <c r="H51286" t="s">
        <v>40032</v>
      </c>
    </row>
    <row r="51287" spans="1:8">
      <c r="H51287" t="s">
        <v>40033</v>
      </c>
    </row>
    <row r="51288" spans="1:8">
      <c r="H51288" t="s">
        <v>40034</v>
      </c>
    </row>
    <row r="51289" spans="1:8">
      <c r="H51289" t="s">
        <v>34672</v>
      </c>
    </row>
    <row r="51290" spans="1:8">
      <c r="H51290" t="s">
        <v>40035</v>
      </c>
    </row>
    <row r="51291" spans="1:8">
      <c r="H51291" t="s">
        <v>40036</v>
      </c>
    </row>
    <row r="51292" spans="1:8">
      <c r="H51292" t="s">
        <v>40037</v>
      </c>
    </row>
    <row r="51293" spans="1:8">
      <c r="A51293" t="s">
        <v>4900</v>
      </c>
      <c r="B51293">
        <f>HYPERLINK("https://android.googlesource.com/platform/cts/+/409e62101c9c22c18547efabffebe47a9e9adc5c", "409e62101c9c22c18547efabffebe47a9e9adc5c")</f>
        <v>0</v>
      </c>
      <c r="C51293">
        <f>HYPERLINK("https://android.googlesource.com/platform/cts/+/177d303cc438b6e3002120e163c43121bf93ea1b", "177d303cc438b6e3002120e163c43121bf93ea1b")</f>
        <v>0</v>
      </c>
      <c r="D51293" t="s">
        <v>5799</v>
      </c>
      <c r="E51293" t="s">
        <v>10556</v>
      </c>
      <c r="F51293" t="s">
        <v>14955</v>
      </c>
      <c r="G51293" t="s">
        <v>18787</v>
      </c>
      <c r="H51293" t="s">
        <v>40038</v>
      </c>
    </row>
    <row r="51294" spans="1:8">
      <c r="H51294" t="s">
        <v>40038</v>
      </c>
    </row>
    <row r="51295" spans="1:8">
      <c r="H51295" t="s">
        <v>40038</v>
      </c>
    </row>
    <row r="51296" spans="1:8">
      <c r="H51296" t="s">
        <v>40038</v>
      </c>
    </row>
    <row r="51297" spans="1:8">
      <c r="H51297" t="s">
        <v>40038</v>
      </c>
    </row>
    <row r="51298" spans="1:8">
      <c r="H51298" t="s">
        <v>40038</v>
      </c>
    </row>
    <row r="51299" spans="1:8">
      <c r="F51299" t="s">
        <v>14801</v>
      </c>
      <c r="G51299" t="s">
        <v>18666</v>
      </c>
      <c r="H51299" t="s">
        <v>40038</v>
      </c>
    </row>
    <row r="51300" spans="1:8">
      <c r="H51300" t="s">
        <v>40038</v>
      </c>
    </row>
    <row r="51301" spans="1:8">
      <c r="H51301" t="s">
        <v>40038</v>
      </c>
    </row>
    <row r="51302" spans="1:8">
      <c r="H51302" t="s">
        <v>40038</v>
      </c>
    </row>
    <row r="51303" spans="1:8">
      <c r="F51303" t="s">
        <v>14825</v>
      </c>
      <c r="G51303" t="s">
        <v>18687</v>
      </c>
      <c r="H51303" t="s">
        <v>40038</v>
      </c>
    </row>
    <row r="51304" spans="1:8">
      <c r="A51304" t="s">
        <v>4901</v>
      </c>
      <c r="B51304">
        <f>HYPERLINK("https://android.googlesource.com/platform/cts/+/77336345f9627ba2cdf61f10a64dd60d1cd108f7", "77336345f9627ba2cdf61f10a64dd60d1cd108f7")</f>
        <v>0</v>
      </c>
      <c r="C51304">
        <f>HYPERLINK("https://android.googlesource.com/platform/cts/+/644e066cc8e7f5798043b086169e8832dc3988b9", "644e066cc8e7f5798043b086169e8832dc3988b9")</f>
        <v>0</v>
      </c>
      <c r="D51304" t="s">
        <v>5800</v>
      </c>
      <c r="E51304" t="s">
        <v>10557</v>
      </c>
      <c r="F51304" t="s">
        <v>14162</v>
      </c>
      <c r="G51304" t="s">
        <v>17751</v>
      </c>
      <c r="H51304" t="s">
        <v>40039</v>
      </c>
    </row>
    <row r="51305" spans="1:8">
      <c r="H51305" t="s">
        <v>32737</v>
      </c>
    </row>
    <row r="51306" spans="1:8">
      <c r="A51306" t="s">
        <v>4902</v>
      </c>
      <c r="B51306">
        <f>HYPERLINK("https://android.googlesource.com/platform/cts/+/63b3bad30f521f072f7df019b0fda9be4453dd17", "63b3bad30f521f072f7df019b0fda9be4453dd17")</f>
        <v>0</v>
      </c>
      <c r="C51306">
        <f>HYPERLINK("https://android.googlesource.com/platform/cts/+/1f8e92222681bb647efe8d59d6e5dd8fdfb404f9", "1f8e92222681bb647efe8d59d6e5dd8fdfb404f9")</f>
        <v>0</v>
      </c>
      <c r="D51306" t="s">
        <v>5564</v>
      </c>
      <c r="E51306" t="s">
        <v>10558</v>
      </c>
      <c r="F51306" t="s">
        <v>14506</v>
      </c>
      <c r="G51306" t="s">
        <v>18435</v>
      </c>
      <c r="H51306" t="s">
        <v>40040</v>
      </c>
    </row>
    <row r="51307" spans="1:8">
      <c r="A51307" t="s">
        <v>4903</v>
      </c>
      <c r="B51307">
        <f>HYPERLINK("https://android.googlesource.com/platform/cts/+/0693f9c49812a24eeac96a9f29a4b206a7ffa776", "0693f9c49812a24eeac96a9f29a4b206a7ffa776")</f>
        <v>0</v>
      </c>
      <c r="C51307">
        <f>HYPERLINK("https://android.googlesource.com/platform/cts/+/04145253b07df029ef99a1f40ca35776c2eb2bc8", "04145253b07df029ef99a1f40ca35776c2eb2bc8")</f>
        <v>0</v>
      </c>
      <c r="D51307" t="s">
        <v>5564</v>
      </c>
      <c r="E51307" t="s">
        <v>10559</v>
      </c>
      <c r="F51307" t="s">
        <v>14506</v>
      </c>
      <c r="G51307" t="s">
        <v>18435</v>
      </c>
      <c r="H51307" t="s">
        <v>40040</v>
      </c>
    </row>
    <row r="51308" spans="1:8">
      <c r="A51308" t="s">
        <v>4904</v>
      </c>
      <c r="B51308">
        <f>HYPERLINK("https://android.googlesource.com/platform/cts/+/6554b0ac78dc125b0163503df58449802a42f760", "6554b0ac78dc125b0163503df58449802a42f760")</f>
        <v>0</v>
      </c>
      <c r="C51308">
        <f>HYPERLINK("https://android.googlesource.com/platform/cts/+/40def1b6555b9d8583297a3ad77a6c77df9a0035", "40def1b6555b9d8583297a3ad77a6c77df9a0035")</f>
        <v>0</v>
      </c>
      <c r="D51308" t="s">
        <v>5687</v>
      </c>
      <c r="E51308" t="s">
        <v>10560</v>
      </c>
      <c r="F51308" t="s">
        <v>14804</v>
      </c>
      <c r="G51308" t="s">
        <v>18669</v>
      </c>
      <c r="H51308" t="s">
        <v>28404</v>
      </c>
    </row>
    <row r="51309" spans="1:8">
      <c r="A51309" t="s">
        <v>4905</v>
      </c>
      <c r="B51309">
        <f>HYPERLINK("https://android.googlesource.com/platform/cts/+/c91ed97f97f17ad4b71a9d3f881aec81ba382041", "c91ed97f97f17ad4b71a9d3f881aec81ba382041")</f>
        <v>0</v>
      </c>
      <c r="C51309">
        <f>HYPERLINK("https://android.googlesource.com/platform/cts/+/39cf718c5201ca6ac39c488d8c29f29abcd54137", "39cf718c5201ca6ac39c488d8c29f29abcd54137")</f>
        <v>0</v>
      </c>
      <c r="D51309" t="s">
        <v>5564</v>
      </c>
      <c r="E51309" t="s">
        <v>10561</v>
      </c>
      <c r="F51309" t="s">
        <v>14956</v>
      </c>
      <c r="G51309" t="s">
        <v>15676</v>
      </c>
      <c r="H51309" t="s">
        <v>40041</v>
      </c>
    </row>
    <row r="51310" spans="1:8">
      <c r="H51310" t="s">
        <v>40042</v>
      </c>
    </row>
    <row r="51311" spans="1:8">
      <c r="H51311" t="s">
        <v>40043</v>
      </c>
    </row>
    <row r="51312" spans="1:8">
      <c r="A51312" t="s">
        <v>4906</v>
      </c>
      <c r="B51312">
        <f>HYPERLINK("https://android.googlesource.com/platform/cts/+/615edc2898ee26f3583cb74a4a4ac5958f7e87a7", "615edc2898ee26f3583cb74a4a4ac5958f7e87a7")</f>
        <v>0</v>
      </c>
      <c r="C51312">
        <f>HYPERLINK("https://android.googlesource.com/platform/cts/+/ab4b09f0e3bb97d3ddef637317c4ad2da055748d", "ab4b09f0e3bb97d3ddef637317c4ad2da055748d")</f>
        <v>0</v>
      </c>
      <c r="D51312" t="s">
        <v>5409</v>
      </c>
      <c r="E51312" t="s">
        <v>10562</v>
      </c>
      <c r="F51312" t="s">
        <v>14435</v>
      </c>
      <c r="G51312" t="s">
        <v>18371</v>
      </c>
      <c r="H51312" t="s">
        <v>40044</v>
      </c>
    </row>
    <row r="51313" spans="6:8">
      <c r="H51313" t="s">
        <v>40045</v>
      </c>
    </row>
    <row r="51314" spans="6:8">
      <c r="F51314" t="s">
        <v>14957</v>
      </c>
      <c r="G51314" t="s">
        <v>18788</v>
      </c>
      <c r="H51314" t="s">
        <v>18829</v>
      </c>
    </row>
    <row r="51315" spans="6:8">
      <c r="H51315" t="s">
        <v>18863</v>
      </c>
    </row>
    <row r="51316" spans="6:8">
      <c r="H51316" t="s">
        <v>40046</v>
      </c>
    </row>
    <row r="51317" spans="6:8">
      <c r="H51317" t="s">
        <v>40047</v>
      </c>
    </row>
    <row r="51318" spans="6:8">
      <c r="H51318" t="s">
        <v>40048</v>
      </c>
    </row>
    <row r="51319" spans="6:8">
      <c r="F51319" t="s">
        <v>14958</v>
      </c>
      <c r="G51319" t="s">
        <v>18789</v>
      </c>
      <c r="H51319" t="s">
        <v>18829</v>
      </c>
    </row>
    <row r="51320" spans="6:8">
      <c r="H51320" t="s">
        <v>18863</v>
      </c>
    </row>
    <row r="51321" spans="6:8">
      <c r="H51321" t="s">
        <v>40049</v>
      </c>
    </row>
    <row r="51322" spans="6:8">
      <c r="H51322" t="s">
        <v>40050</v>
      </c>
    </row>
    <row r="51323" spans="6:8">
      <c r="H51323" t="s">
        <v>40051</v>
      </c>
    </row>
    <row r="51324" spans="6:8">
      <c r="H51324" t="s">
        <v>40052</v>
      </c>
    </row>
    <row r="51325" spans="6:8">
      <c r="H51325" t="s">
        <v>40053</v>
      </c>
    </row>
    <row r="51326" spans="6:8">
      <c r="H51326" t="s">
        <v>19019</v>
      </c>
    </row>
    <row r="51327" spans="6:8">
      <c r="H51327" t="s">
        <v>40054</v>
      </c>
    </row>
    <row r="51328" spans="6:8">
      <c r="H51328" t="s">
        <v>40055</v>
      </c>
    </row>
    <row r="51329" spans="6:8">
      <c r="H51329" t="s">
        <v>40056</v>
      </c>
    </row>
    <row r="51330" spans="6:8">
      <c r="F51330" t="s">
        <v>14136</v>
      </c>
      <c r="G51330" t="s">
        <v>18124</v>
      </c>
      <c r="H51330" t="s">
        <v>40057</v>
      </c>
    </row>
    <row r="51331" spans="6:8">
      <c r="H51331" t="s">
        <v>40058</v>
      </c>
    </row>
    <row r="51332" spans="6:8">
      <c r="F51332" t="s">
        <v>14137</v>
      </c>
      <c r="G51332" t="s">
        <v>18125</v>
      </c>
      <c r="H51332" t="s">
        <v>18829</v>
      </c>
    </row>
    <row r="51333" spans="6:8">
      <c r="H51333" t="s">
        <v>18863</v>
      </c>
    </row>
    <row r="51334" spans="6:8">
      <c r="H51334" t="s">
        <v>40059</v>
      </c>
    </row>
    <row r="51335" spans="6:8">
      <c r="H51335" t="s">
        <v>40060</v>
      </c>
    </row>
    <row r="51336" spans="6:8">
      <c r="H51336" t="s">
        <v>40061</v>
      </c>
    </row>
    <row r="51337" spans="6:8">
      <c r="H51337" t="s">
        <v>19266</v>
      </c>
    </row>
    <row r="51338" spans="6:8">
      <c r="H51338" t="s">
        <v>40062</v>
      </c>
    </row>
    <row r="51339" spans="6:8">
      <c r="H51339" t="s">
        <v>40063</v>
      </c>
    </row>
    <row r="51340" spans="6:8">
      <c r="H51340" t="s">
        <v>40064</v>
      </c>
    </row>
    <row r="51341" spans="6:8">
      <c r="F51341" t="s">
        <v>12901</v>
      </c>
      <c r="G51341" t="s">
        <v>17068</v>
      </c>
      <c r="H51341" t="s">
        <v>40065</v>
      </c>
    </row>
    <row r="51342" spans="6:8">
      <c r="H51342" t="s">
        <v>40066</v>
      </c>
    </row>
    <row r="51343" spans="6:8">
      <c r="F51343" t="s">
        <v>14959</v>
      </c>
      <c r="G51343" t="s">
        <v>18790</v>
      </c>
      <c r="H51343" t="s">
        <v>40067</v>
      </c>
    </row>
    <row r="51344" spans="6:8">
      <c r="F51344" t="s">
        <v>14960</v>
      </c>
      <c r="G51344" t="s">
        <v>18791</v>
      </c>
      <c r="H51344" t="s">
        <v>18829</v>
      </c>
    </row>
    <row r="51345" spans="8:8">
      <c r="H51345" t="s">
        <v>18863</v>
      </c>
    </row>
    <row r="51346" spans="8:8">
      <c r="H51346" t="s">
        <v>40068</v>
      </c>
    </row>
    <row r="51347" spans="8:8">
      <c r="H51347" t="s">
        <v>40069</v>
      </c>
    </row>
    <row r="51348" spans="8:8">
      <c r="H51348" t="s">
        <v>40070</v>
      </c>
    </row>
    <row r="51349" spans="8:8">
      <c r="H51349" t="s">
        <v>40071</v>
      </c>
    </row>
    <row r="51350" spans="8:8">
      <c r="H51350" t="s">
        <v>40072</v>
      </c>
    </row>
    <row r="51351" spans="8:8">
      <c r="H51351" t="s">
        <v>40073</v>
      </c>
    </row>
    <row r="51352" spans="8:8">
      <c r="H51352" t="s">
        <v>40074</v>
      </c>
    </row>
    <row r="51353" spans="8:8">
      <c r="H51353" t="s">
        <v>40075</v>
      </c>
    </row>
    <row r="51354" spans="8:8">
      <c r="H51354" t="s">
        <v>40076</v>
      </c>
    </row>
    <row r="51355" spans="8:8">
      <c r="H51355" t="s">
        <v>40077</v>
      </c>
    </row>
    <row r="51356" spans="8:8">
      <c r="H51356" t="s">
        <v>40078</v>
      </c>
    </row>
    <row r="51357" spans="8:8">
      <c r="H51357" t="s">
        <v>40079</v>
      </c>
    </row>
    <row r="51358" spans="8:8">
      <c r="H51358" t="s">
        <v>40080</v>
      </c>
    </row>
    <row r="51359" spans="8:8">
      <c r="H51359" t="s">
        <v>40081</v>
      </c>
    </row>
    <row r="51360" spans="8:8">
      <c r="H51360" t="s">
        <v>40082</v>
      </c>
    </row>
    <row r="51361" spans="6:8">
      <c r="H51361" t="s">
        <v>40083</v>
      </c>
    </row>
    <row r="51362" spans="6:8">
      <c r="H51362" t="s">
        <v>40084</v>
      </c>
    </row>
    <row r="51363" spans="6:8">
      <c r="H51363" t="s">
        <v>40085</v>
      </c>
    </row>
    <row r="51364" spans="6:8">
      <c r="H51364" t="s">
        <v>40086</v>
      </c>
    </row>
    <row r="51365" spans="6:8">
      <c r="F51365" t="s">
        <v>12743</v>
      </c>
      <c r="G51365" t="s">
        <v>16935</v>
      </c>
      <c r="H51365" t="s">
        <v>33499</v>
      </c>
    </row>
    <row r="51366" spans="6:8">
      <c r="H51366" t="s">
        <v>40087</v>
      </c>
    </row>
    <row r="51367" spans="6:8">
      <c r="H51367" t="s">
        <v>40057</v>
      </c>
    </row>
    <row r="51368" spans="6:8">
      <c r="H51368" t="s">
        <v>40058</v>
      </c>
    </row>
    <row r="51369" spans="6:8">
      <c r="H51369" t="s">
        <v>40059</v>
      </c>
    </row>
    <row r="51370" spans="6:8">
      <c r="F51370" t="s">
        <v>12629</v>
      </c>
      <c r="G51370" t="s">
        <v>16838</v>
      </c>
      <c r="H51370" t="s">
        <v>40065</v>
      </c>
    </row>
    <row r="51371" spans="6:8">
      <c r="H51371" t="s">
        <v>40088</v>
      </c>
    </row>
    <row r="51372" spans="6:8">
      <c r="F51372" t="s">
        <v>14961</v>
      </c>
      <c r="G51372" t="s">
        <v>18792</v>
      </c>
      <c r="H51372" t="s">
        <v>40089</v>
      </c>
    </row>
    <row r="51373" spans="6:8">
      <c r="F51373" t="s">
        <v>13847</v>
      </c>
      <c r="G51373" t="s">
        <v>17890</v>
      </c>
      <c r="H51373" t="s">
        <v>40090</v>
      </c>
    </row>
    <row r="51374" spans="6:8">
      <c r="H51374" t="s">
        <v>31837</v>
      </c>
    </row>
    <row r="51375" spans="6:8">
      <c r="F51375" t="s">
        <v>13229</v>
      </c>
      <c r="G51375" t="s">
        <v>17370</v>
      </c>
      <c r="H51375" t="s">
        <v>40060</v>
      </c>
    </row>
    <row r="51376" spans="6:8">
      <c r="H51376" t="s">
        <v>19266</v>
      </c>
    </row>
    <row r="51377" spans="6:8">
      <c r="H51377" t="s">
        <v>33499</v>
      </c>
    </row>
    <row r="51378" spans="6:8">
      <c r="F51378" t="s">
        <v>13136</v>
      </c>
      <c r="G51378" t="s">
        <v>17293</v>
      </c>
      <c r="H51378" t="s">
        <v>40057</v>
      </c>
    </row>
    <row r="51379" spans="6:8">
      <c r="H51379" t="s">
        <v>40058</v>
      </c>
    </row>
    <row r="51380" spans="6:8">
      <c r="H51380" t="s">
        <v>40059</v>
      </c>
    </row>
    <row r="51381" spans="6:8">
      <c r="H51381" t="s">
        <v>40091</v>
      </c>
    </row>
    <row r="51382" spans="6:8">
      <c r="F51382" t="s">
        <v>12745</v>
      </c>
      <c r="G51382" t="s">
        <v>16937</v>
      </c>
      <c r="H51382" t="s">
        <v>40059</v>
      </c>
    </row>
    <row r="51383" spans="6:8">
      <c r="H51383" t="s">
        <v>40058</v>
      </c>
    </row>
    <row r="51384" spans="6:8">
      <c r="F51384" t="s">
        <v>14122</v>
      </c>
      <c r="G51384" t="s">
        <v>18112</v>
      </c>
      <c r="H51384" t="s">
        <v>40060</v>
      </c>
    </row>
    <row r="51385" spans="6:8">
      <c r="H51385" t="s">
        <v>19266</v>
      </c>
    </row>
    <row r="51386" spans="6:8">
      <c r="H51386" t="s">
        <v>40092</v>
      </c>
    </row>
    <row r="51387" spans="6:8">
      <c r="F51387" t="s">
        <v>14962</v>
      </c>
      <c r="G51387" t="s">
        <v>18793</v>
      </c>
      <c r="H51387" t="s">
        <v>38113</v>
      </c>
    </row>
    <row r="51388" spans="6:8">
      <c r="H51388" t="s">
        <v>18829</v>
      </c>
    </row>
    <row r="51389" spans="6:8">
      <c r="H51389" t="s">
        <v>18863</v>
      </c>
    </row>
    <row r="51390" spans="6:8">
      <c r="H51390" t="s">
        <v>40093</v>
      </c>
    </row>
    <row r="51391" spans="6:8">
      <c r="F51391" t="s">
        <v>14963</v>
      </c>
      <c r="G51391" t="s">
        <v>18794</v>
      </c>
      <c r="H51391" t="s">
        <v>40094</v>
      </c>
    </row>
    <row r="51392" spans="6:8">
      <c r="H51392" t="s">
        <v>40095</v>
      </c>
    </row>
    <row r="51393" spans="6:8">
      <c r="H51393" t="s">
        <v>40096</v>
      </c>
    </row>
    <row r="51394" spans="6:8">
      <c r="H51394" t="s">
        <v>40096</v>
      </c>
    </row>
    <row r="51395" spans="6:8">
      <c r="F51395" t="s">
        <v>14964</v>
      </c>
      <c r="G51395" t="s">
        <v>17068</v>
      </c>
      <c r="H51395" t="s">
        <v>18829</v>
      </c>
    </row>
    <row r="51396" spans="6:8">
      <c r="H51396" t="s">
        <v>40097</v>
      </c>
    </row>
    <row r="51397" spans="6:8">
      <c r="H51397" t="s">
        <v>40098</v>
      </c>
    </row>
    <row r="51398" spans="6:8">
      <c r="H51398" t="s">
        <v>40098</v>
      </c>
    </row>
    <row r="51399" spans="6:8">
      <c r="H51399" t="s">
        <v>33498</v>
      </c>
    </row>
    <row r="51400" spans="6:8">
      <c r="F51400" t="s">
        <v>14265</v>
      </c>
      <c r="G51400" t="s">
        <v>18232</v>
      </c>
      <c r="H51400" t="s">
        <v>40099</v>
      </c>
    </row>
    <row r="51401" spans="6:8">
      <c r="F51401" t="s">
        <v>14965</v>
      </c>
      <c r="G51401" t="s">
        <v>18795</v>
      </c>
      <c r="H51401" t="s">
        <v>40100</v>
      </c>
    </row>
    <row r="51402" spans="6:8">
      <c r="F51402" t="s">
        <v>14966</v>
      </c>
      <c r="G51402" t="s">
        <v>18796</v>
      </c>
      <c r="H51402" t="s">
        <v>18863</v>
      </c>
    </row>
    <row r="51403" spans="6:8">
      <c r="H51403" t="s">
        <v>19981</v>
      </c>
    </row>
    <row r="51404" spans="6:8">
      <c r="H51404" t="s">
        <v>40101</v>
      </c>
    </row>
    <row r="51405" spans="6:8">
      <c r="H51405" t="s">
        <v>40102</v>
      </c>
    </row>
    <row r="51406" spans="6:8">
      <c r="H51406" t="s">
        <v>40103</v>
      </c>
    </row>
    <row r="51407" spans="6:8">
      <c r="H51407" t="s">
        <v>40104</v>
      </c>
    </row>
    <row r="51408" spans="6:8">
      <c r="H51408" t="s">
        <v>40105</v>
      </c>
    </row>
    <row r="51409" spans="8:8">
      <c r="H51409" t="s">
        <v>40106</v>
      </c>
    </row>
    <row r="51410" spans="8:8">
      <c r="H51410" t="s">
        <v>40107</v>
      </c>
    </row>
    <row r="51411" spans="8:8">
      <c r="H51411" t="s">
        <v>40108</v>
      </c>
    </row>
    <row r="51412" spans="8:8">
      <c r="H51412" t="s">
        <v>40109</v>
      </c>
    </row>
    <row r="51413" spans="8:8">
      <c r="H51413" t="s">
        <v>40110</v>
      </c>
    </row>
    <row r="51414" spans="8:8">
      <c r="H51414" t="s">
        <v>40111</v>
      </c>
    </row>
    <row r="51415" spans="8:8">
      <c r="H51415" t="s">
        <v>40112</v>
      </c>
    </row>
    <row r="51416" spans="8:8">
      <c r="H51416" t="s">
        <v>40113</v>
      </c>
    </row>
    <row r="51417" spans="8:8">
      <c r="H51417" t="s">
        <v>40114</v>
      </c>
    </row>
    <row r="51418" spans="8:8">
      <c r="H51418" t="s">
        <v>40115</v>
      </c>
    </row>
    <row r="51419" spans="8:8">
      <c r="H51419" t="s">
        <v>40116</v>
      </c>
    </row>
    <row r="51420" spans="8:8">
      <c r="H51420" t="s">
        <v>40117</v>
      </c>
    </row>
    <row r="51421" spans="8:8">
      <c r="H51421" t="s">
        <v>40118</v>
      </c>
    </row>
    <row r="51422" spans="8:8">
      <c r="H51422" t="s">
        <v>40119</v>
      </c>
    </row>
    <row r="51423" spans="8:8">
      <c r="H51423" t="s">
        <v>40120</v>
      </c>
    </row>
    <row r="51424" spans="8:8">
      <c r="H51424" t="s">
        <v>40121</v>
      </c>
    </row>
    <row r="51425" spans="8:8">
      <c r="H51425" t="s">
        <v>40122</v>
      </c>
    </row>
    <row r="51426" spans="8:8">
      <c r="H51426" t="s">
        <v>40123</v>
      </c>
    </row>
    <row r="51427" spans="8:8">
      <c r="H51427" t="s">
        <v>40124</v>
      </c>
    </row>
    <row r="51428" spans="8:8">
      <c r="H51428" t="s">
        <v>40125</v>
      </c>
    </row>
    <row r="51429" spans="8:8">
      <c r="H51429" t="s">
        <v>40126</v>
      </c>
    </row>
    <row r="51430" spans="8:8">
      <c r="H51430" t="s">
        <v>40127</v>
      </c>
    </row>
    <row r="51431" spans="8:8">
      <c r="H51431" t="s">
        <v>40128</v>
      </c>
    </row>
    <row r="51432" spans="8:8">
      <c r="H51432" t="s">
        <v>40129</v>
      </c>
    </row>
    <row r="51433" spans="8:8">
      <c r="H51433" t="s">
        <v>40130</v>
      </c>
    </row>
    <row r="51434" spans="8:8">
      <c r="H51434" t="s">
        <v>40131</v>
      </c>
    </row>
    <row r="51435" spans="8:8">
      <c r="H51435" t="s">
        <v>40132</v>
      </c>
    </row>
    <row r="51436" spans="8:8">
      <c r="H51436" t="s">
        <v>40133</v>
      </c>
    </row>
    <row r="51437" spans="8:8">
      <c r="H51437" t="s">
        <v>40134</v>
      </c>
    </row>
    <row r="51438" spans="8:8">
      <c r="H51438" t="s">
        <v>40135</v>
      </c>
    </row>
    <row r="51439" spans="8:8">
      <c r="H51439" t="s">
        <v>27184</v>
      </c>
    </row>
    <row r="51440" spans="8:8">
      <c r="H51440" t="s">
        <v>40136</v>
      </c>
    </row>
    <row r="51441" spans="8:8">
      <c r="H51441" t="s">
        <v>40137</v>
      </c>
    </row>
    <row r="51442" spans="8:8">
      <c r="H51442" t="s">
        <v>40138</v>
      </c>
    </row>
    <row r="51443" spans="8:8">
      <c r="H51443" t="s">
        <v>40139</v>
      </c>
    </row>
    <row r="51444" spans="8:8">
      <c r="H51444" t="s">
        <v>40140</v>
      </c>
    </row>
    <row r="51445" spans="8:8">
      <c r="H51445" t="s">
        <v>40141</v>
      </c>
    </row>
    <row r="51446" spans="8:8">
      <c r="H51446" t="s">
        <v>40142</v>
      </c>
    </row>
    <row r="51447" spans="8:8">
      <c r="H51447" t="s">
        <v>40143</v>
      </c>
    </row>
    <row r="51448" spans="8:8">
      <c r="H51448" t="s">
        <v>40144</v>
      </c>
    </row>
    <row r="51449" spans="8:8">
      <c r="H51449" t="s">
        <v>40145</v>
      </c>
    </row>
    <row r="51450" spans="8:8">
      <c r="H51450" t="s">
        <v>40146</v>
      </c>
    </row>
    <row r="51451" spans="8:8">
      <c r="H51451" t="s">
        <v>40147</v>
      </c>
    </row>
    <row r="51452" spans="8:8">
      <c r="H51452" t="s">
        <v>40148</v>
      </c>
    </row>
    <row r="51453" spans="8:8">
      <c r="H51453" t="s">
        <v>40149</v>
      </c>
    </row>
    <row r="51454" spans="8:8">
      <c r="H51454" t="s">
        <v>40150</v>
      </c>
    </row>
    <row r="51455" spans="8:8">
      <c r="H51455" t="s">
        <v>40151</v>
      </c>
    </row>
    <row r="51456" spans="8:8">
      <c r="H51456" t="s">
        <v>40152</v>
      </c>
    </row>
    <row r="51457" spans="6:8">
      <c r="H51457" t="s">
        <v>40153</v>
      </c>
    </row>
    <row r="51458" spans="6:8">
      <c r="H51458" t="s">
        <v>40154</v>
      </c>
    </row>
    <row r="51459" spans="6:8">
      <c r="H51459" t="s">
        <v>40155</v>
      </c>
    </row>
    <row r="51460" spans="6:8">
      <c r="H51460" t="s">
        <v>40156</v>
      </c>
    </row>
    <row r="51461" spans="6:8">
      <c r="H51461" t="s">
        <v>40157</v>
      </c>
    </row>
    <row r="51462" spans="6:8">
      <c r="H51462" t="s">
        <v>40158</v>
      </c>
    </row>
    <row r="51463" spans="6:8">
      <c r="H51463" t="s">
        <v>40159</v>
      </c>
    </row>
    <row r="51464" spans="6:8">
      <c r="H51464" t="s">
        <v>40160</v>
      </c>
    </row>
    <row r="51465" spans="6:8">
      <c r="H51465" t="s">
        <v>40161</v>
      </c>
    </row>
    <row r="51466" spans="6:8">
      <c r="F51466" t="s">
        <v>14967</v>
      </c>
      <c r="G51466" t="s">
        <v>18463</v>
      </c>
      <c r="H51466" t="s">
        <v>18829</v>
      </c>
    </row>
    <row r="51467" spans="6:8">
      <c r="F51467" t="s">
        <v>14869</v>
      </c>
      <c r="G51467" t="s">
        <v>18464</v>
      </c>
      <c r="H51467" t="s">
        <v>18829</v>
      </c>
    </row>
    <row r="51468" spans="6:8">
      <c r="F51468" t="s">
        <v>14808</v>
      </c>
      <c r="G51468" t="s">
        <v>18673</v>
      </c>
      <c r="H51468" t="s">
        <v>40162</v>
      </c>
    </row>
    <row r="51469" spans="6:8">
      <c r="H51469" t="s">
        <v>40163</v>
      </c>
    </row>
    <row r="51470" spans="6:8">
      <c r="H51470" t="s">
        <v>40164</v>
      </c>
    </row>
    <row r="51471" spans="6:8">
      <c r="H51471" t="s">
        <v>40165</v>
      </c>
    </row>
    <row r="51472" spans="6:8">
      <c r="H51472" t="s">
        <v>40166</v>
      </c>
    </row>
    <row r="51473" spans="6:8">
      <c r="H51473" t="s">
        <v>40167</v>
      </c>
    </row>
    <row r="51474" spans="6:8">
      <c r="H51474" t="s">
        <v>40168</v>
      </c>
    </row>
    <row r="51475" spans="6:8">
      <c r="H51475" t="s">
        <v>40169</v>
      </c>
    </row>
    <row r="51476" spans="6:8">
      <c r="H51476" t="s">
        <v>40170</v>
      </c>
    </row>
    <row r="51477" spans="6:8">
      <c r="H51477" t="s">
        <v>40171</v>
      </c>
    </row>
    <row r="51478" spans="6:8">
      <c r="H51478" t="s">
        <v>40172</v>
      </c>
    </row>
    <row r="51479" spans="6:8">
      <c r="H51479" t="s">
        <v>40173</v>
      </c>
    </row>
    <row r="51480" spans="6:8">
      <c r="H51480" t="s">
        <v>40174</v>
      </c>
    </row>
    <row r="51481" spans="6:8">
      <c r="H51481" t="s">
        <v>40175</v>
      </c>
    </row>
    <row r="51482" spans="6:8">
      <c r="H51482" t="s">
        <v>40176</v>
      </c>
    </row>
    <row r="51483" spans="6:8">
      <c r="H51483" t="s">
        <v>40177</v>
      </c>
    </row>
    <row r="51484" spans="6:8">
      <c r="F51484" t="s">
        <v>14968</v>
      </c>
      <c r="G51484" t="s">
        <v>16874</v>
      </c>
      <c r="H51484" t="s">
        <v>40178</v>
      </c>
    </row>
    <row r="51485" spans="6:8">
      <c r="H51485" t="s">
        <v>40179</v>
      </c>
    </row>
    <row r="51486" spans="6:8">
      <c r="H51486" t="s">
        <v>40180</v>
      </c>
    </row>
    <row r="51487" spans="6:8">
      <c r="H51487" t="s">
        <v>40181</v>
      </c>
    </row>
    <row r="51488" spans="6:8">
      <c r="H51488" t="s">
        <v>40182</v>
      </c>
    </row>
    <row r="51489" spans="1:8">
      <c r="A51489" t="s">
        <v>4907</v>
      </c>
      <c r="B51489">
        <f>HYPERLINK("https://android.googlesource.com/platform/cts/+/e4d0798fcc1c95d1ffd8fc96db88efe94e07e0a0", "e4d0798fcc1c95d1ffd8fc96db88efe94e07e0a0")</f>
        <v>0</v>
      </c>
      <c r="C51489">
        <f>HYPERLINK("https://android.googlesource.com/platform/cts/+/e19ac68f85aaf96287e126a9c858e47ea86e442a", "e19ac68f85aaf96287e126a9c858e47ea86e442a")</f>
        <v>0</v>
      </c>
      <c r="D51489" t="s">
        <v>5796</v>
      </c>
      <c r="E51489" t="s">
        <v>10563</v>
      </c>
      <c r="F51489" t="s">
        <v>12402</v>
      </c>
      <c r="G51489" t="s">
        <v>16624</v>
      </c>
      <c r="H51489" t="s">
        <v>40183</v>
      </c>
    </row>
    <row r="51490" spans="1:8">
      <c r="H51490" t="s">
        <v>40184</v>
      </c>
    </row>
    <row r="51491" spans="1:8">
      <c r="H51491" t="s">
        <v>40185</v>
      </c>
    </row>
    <row r="51492" spans="1:8">
      <c r="A51492" t="s">
        <v>4908</v>
      </c>
      <c r="B51492">
        <f>HYPERLINK("https://android.googlesource.com/platform/cts/+/1c8e8e759a5274b0bac9a14369cd0bb4f5d19dc6", "1c8e8e759a5274b0bac9a14369cd0bb4f5d19dc6")</f>
        <v>0</v>
      </c>
      <c r="C51492">
        <f>HYPERLINK("https://android.googlesource.com/platform/cts/+/1302d6abcee6f8b9510cedc38621b645cdbe848b", "1302d6abcee6f8b9510cedc38621b645cdbe848b")</f>
        <v>0</v>
      </c>
      <c r="D51492" t="s">
        <v>5501</v>
      </c>
      <c r="E51492" t="s">
        <v>10564</v>
      </c>
      <c r="F51492" t="s">
        <v>14195</v>
      </c>
      <c r="G51492" t="s">
        <v>18174</v>
      </c>
      <c r="H51492" t="s">
        <v>34402</v>
      </c>
    </row>
    <row r="51493" spans="1:8">
      <c r="A51493" t="s">
        <v>4909</v>
      </c>
      <c r="B51493">
        <f>HYPERLINK("https://android.googlesource.com/platform/cts/+/22dfbae5c5abf4979c39b1b6b1d081da635d4db9", "22dfbae5c5abf4979c39b1b6b1d081da635d4db9")</f>
        <v>0</v>
      </c>
      <c r="C51493">
        <f>HYPERLINK("https://android.googlesource.com/platform/cts/+/6ec225e65d165677efbc08a9323630f2f1371ee8", "6ec225e65d165677efbc08a9323630f2f1371ee8")</f>
        <v>0</v>
      </c>
      <c r="D51493" t="s">
        <v>5409</v>
      </c>
      <c r="E51493" t="s">
        <v>10565</v>
      </c>
      <c r="F51493" t="s">
        <v>14969</v>
      </c>
      <c r="G51493" t="s">
        <v>18108</v>
      </c>
      <c r="H51493" t="s">
        <v>40186</v>
      </c>
    </row>
    <row r="51494" spans="1:8">
      <c r="H51494" t="s">
        <v>18829</v>
      </c>
    </row>
    <row r="51495" spans="1:8">
      <c r="H51495" t="s">
        <v>18863</v>
      </c>
    </row>
    <row r="51496" spans="1:8">
      <c r="H51496" t="s">
        <v>33478</v>
      </c>
    </row>
    <row r="51497" spans="1:8">
      <c r="H51497" t="s">
        <v>33479</v>
      </c>
    </row>
    <row r="51498" spans="1:8">
      <c r="H51498" t="s">
        <v>33480</v>
      </c>
    </row>
    <row r="51499" spans="1:8">
      <c r="H51499" t="s">
        <v>40187</v>
      </c>
    </row>
    <row r="51500" spans="1:8">
      <c r="H51500" t="s">
        <v>40188</v>
      </c>
    </row>
    <row r="51501" spans="1:8">
      <c r="F51501" t="s">
        <v>14970</v>
      </c>
      <c r="G51501" t="s">
        <v>18797</v>
      </c>
      <c r="H51501" t="s">
        <v>40189</v>
      </c>
    </row>
    <row r="51502" spans="1:8">
      <c r="H51502" t="s">
        <v>18829</v>
      </c>
    </row>
    <row r="51503" spans="1:8">
      <c r="H51503" t="s">
        <v>33479</v>
      </c>
    </row>
    <row r="51504" spans="1:8">
      <c r="H51504" t="s">
        <v>33480</v>
      </c>
    </row>
    <row r="51505" spans="1:8">
      <c r="H51505" t="s">
        <v>33481</v>
      </c>
    </row>
    <row r="51506" spans="1:8">
      <c r="F51506" t="s">
        <v>14249</v>
      </c>
      <c r="G51506" t="s">
        <v>18214</v>
      </c>
      <c r="H51506" t="s">
        <v>22583</v>
      </c>
    </row>
    <row r="51507" spans="1:8">
      <c r="A51507" t="s">
        <v>4910</v>
      </c>
      <c r="B51507">
        <f>HYPERLINK("https://android.googlesource.com/platform/cts/+/cff600a984faf2795b2315ed356a770f56eb3458", "cff600a984faf2795b2315ed356a770f56eb3458")</f>
        <v>0</v>
      </c>
      <c r="C51507">
        <f>HYPERLINK("https://android.googlesource.com/platform/cts/+/4663f22b9ccb5f51400522897128a11e2b0350bf", "4663f22b9ccb5f51400522897128a11e2b0350bf")</f>
        <v>0</v>
      </c>
      <c r="D51507" t="s">
        <v>5801</v>
      </c>
      <c r="E51507" t="s">
        <v>10566</v>
      </c>
      <c r="F51507" t="s">
        <v>14971</v>
      </c>
      <c r="G51507" t="s">
        <v>17448</v>
      </c>
      <c r="H51507" t="s">
        <v>18863</v>
      </c>
    </row>
    <row r="51508" spans="1:8">
      <c r="F51508" t="s">
        <v>14206</v>
      </c>
      <c r="G51508" t="s">
        <v>18182</v>
      </c>
      <c r="H51508" t="s">
        <v>18863</v>
      </c>
    </row>
    <row r="51509" spans="1:8">
      <c r="F51509" t="s">
        <v>14972</v>
      </c>
      <c r="G51509" t="s">
        <v>18798</v>
      </c>
      <c r="H51509" t="s">
        <v>18863</v>
      </c>
    </row>
    <row r="51510" spans="1:8">
      <c r="A51510" t="s">
        <v>4911</v>
      </c>
      <c r="B51510">
        <f>HYPERLINK("https://android.googlesource.com/platform/cts/+/d91e017a3f22a07278a3059f1eb480065d550ea7", "d91e017a3f22a07278a3059f1eb480065d550ea7")</f>
        <v>0</v>
      </c>
      <c r="C51510">
        <f>HYPERLINK("https://android.googlesource.com/platform/cts/+/90eef34764ce0f253e509a3cd83dfcc2b2caab56", "90eef34764ce0f253e509a3cd83dfcc2b2caab56")</f>
        <v>0</v>
      </c>
      <c r="D51510" t="s">
        <v>5802</v>
      </c>
      <c r="E51510" t="s">
        <v>10567</v>
      </c>
      <c r="F51510" t="s">
        <v>14748</v>
      </c>
      <c r="G51510" t="s">
        <v>18624</v>
      </c>
      <c r="H51510" t="s">
        <v>40190</v>
      </c>
    </row>
    <row r="51511" spans="1:8">
      <c r="H51511" t="s">
        <v>40191</v>
      </c>
    </row>
    <row r="51512" spans="1:8">
      <c r="H51512" t="s">
        <v>40192</v>
      </c>
    </row>
    <row r="51513" spans="1:8">
      <c r="H51513" t="s">
        <v>40193</v>
      </c>
    </row>
    <row r="51514" spans="1:8">
      <c r="A51514" t="s">
        <v>4912</v>
      </c>
      <c r="B51514">
        <f>HYPERLINK("https://android.googlesource.com/platform/cts/+/8ab2b5824d677004da54383d594670bd81fc893d", "8ab2b5824d677004da54383d594670bd81fc893d")</f>
        <v>0</v>
      </c>
      <c r="C51514">
        <f>HYPERLINK("https://android.googlesource.com/platform/cts/+/b969fa39f543fc80e127a10fb29db1236782623d", "b969fa39f543fc80e127a10fb29db1236782623d")</f>
        <v>0</v>
      </c>
      <c r="D51514" t="s">
        <v>5501</v>
      </c>
      <c r="E51514" t="s">
        <v>10568</v>
      </c>
      <c r="F51514" t="s">
        <v>14973</v>
      </c>
      <c r="G51514" t="s">
        <v>18799</v>
      </c>
      <c r="H51514" t="s">
        <v>18863</v>
      </c>
    </row>
    <row r="51515" spans="1:8">
      <c r="H51515" t="s">
        <v>34044</v>
      </c>
    </row>
    <row r="51516" spans="1:8">
      <c r="F51516" t="s">
        <v>14974</v>
      </c>
      <c r="G51516" t="s">
        <v>18800</v>
      </c>
      <c r="H51516" t="s">
        <v>18863</v>
      </c>
    </row>
    <row r="51517" spans="1:8">
      <c r="H51517" t="s">
        <v>34044</v>
      </c>
    </row>
    <row r="51518" spans="1:8">
      <c r="A51518" t="s">
        <v>4913</v>
      </c>
      <c r="B51518">
        <f>HYPERLINK("https://android.googlesource.com/platform/cts/+/a703d7806a6b90a705fce5da33f5d898a51c62cc", "a703d7806a6b90a705fce5da33f5d898a51c62cc")</f>
        <v>0</v>
      </c>
      <c r="C51518">
        <f>HYPERLINK("https://android.googlesource.com/platform/cts/+/4663f22b9ccb5f51400522897128a11e2b0350bf", "4663f22b9ccb5f51400522897128a11e2b0350bf")</f>
        <v>0</v>
      </c>
      <c r="D51518" t="s">
        <v>5803</v>
      </c>
      <c r="E51518" t="s">
        <v>10569</v>
      </c>
      <c r="F51518" t="s">
        <v>13815</v>
      </c>
      <c r="G51518" t="s">
        <v>17862</v>
      </c>
      <c r="H51518" t="s">
        <v>40194</v>
      </c>
    </row>
    <row r="51519" spans="1:8">
      <c r="H51519" t="s">
        <v>40195</v>
      </c>
    </row>
    <row r="51520" spans="1:8">
      <c r="F51520" t="s">
        <v>12743</v>
      </c>
      <c r="G51520" t="s">
        <v>16935</v>
      </c>
      <c r="H51520" t="s">
        <v>25780</v>
      </c>
    </row>
    <row r="51521" spans="1:8">
      <c r="F51521" t="s">
        <v>13229</v>
      </c>
      <c r="G51521" t="s">
        <v>17370</v>
      </c>
      <c r="H51521" t="s">
        <v>25780</v>
      </c>
    </row>
    <row r="51522" spans="1:8">
      <c r="F51522" t="s">
        <v>13136</v>
      </c>
      <c r="G51522" t="s">
        <v>17293</v>
      </c>
      <c r="H51522" t="s">
        <v>25780</v>
      </c>
    </row>
    <row r="51523" spans="1:8">
      <c r="A51523" t="s">
        <v>4914</v>
      </c>
      <c r="B51523">
        <f>HYPERLINK("https://android.googlesource.com/platform/cts/+/2bd33e5be8866ee4076638a83e4dcf43c711645c", "2bd33e5be8866ee4076638a83e4dcf43c711645c")</f>
        <v>0</v>
      </c>
      <c r="C51523">
        <f>HYPERLINK("https://android.googlesource.com/platform/cts/+/f2fc2f2bde2d2a5de4a400c17a5cf8c725602520", "f2fc2f2bde2d2a5de4a400c17a5cf8c725602520")</f>
        <v>0</v>
      </c>
      <c r="D51523" t="s">
        <v>5804</v>
      </c>
      <c r="E51523" t="s">
        <v>10570</v>
      </c>
      <c r="F51523" t="s">
        <v>14839</v>
      </c>
      <c r="G51523" t="s">
        <v>17064</v>
      </c>
      <c r="H51523" t="s">
        <v>40196</v>
      </c>
    </row>
    <row r="51524" spans="1:8">
      <c r="H51524" t="s">
        <v>26853</v>
      </c>
    </row>
    <row r="51525" spans="1:8">
      <c r="F51525" t="s">
        <v>14559</v>
      </c>
      <c r="G51525" t="s">
        <v>18481</v>
      </c>
      <c r="H51525" t="s">
        <v>40197</v>
      </c>
    </row>
    <row r="51526" spans="1:8">
      <c r="A51526" t="s">
        <v>4915</v>
      </c>
      <c r="B51526">
        <f>HYPERLINK("https://android.googlesource.com/platform/cts/+/b7d521d45777af5ff813b5d4b1129e363c5da699", "b7d521d45777af5ff813b5d4b1129e363c5da699")</f>
        <v>0</v>
      </c>
      <c r="C51526">
        <f>HYPERLINK("https://android.googlesource.com/platform/cts/+/9ddd3ca491a7b13c0615e9c6b6d29aa40f878cca", "9ddd3ca491a7b13c0615e9c6b6d29aa40f878cca")</f>
        <v>0</v>
      </c>
      <c r="D51526" t="s">
        <v>5803</v>
      </c>
      <c r="E51526" t="s">
        <v>10571</v>
      </c>
      <c r="F51526" t="s">
        <v>14831</v>
      </c>
      <c r="G51526" t="s">
        <v>18693</v>
      </c>
      <c r="H51526" t="s">
        <v>40198</v>
      </c>
    </row>
    <row r="51527" spans="1:8">
      <c r="H51527" t="s">
        <v>40199</v>
      </c>
    </row>
    <row r="51528" spans="1:8">
      <c r="H51528" t="s">
        <v>40200</v>
      </c>
    </row>
    <row r="51529" spans="1:8">
      <c r="H51529" t="s">
        <v>40201</v>
      </c>
    </row>
    <row r="51530" spans="1:8">
      <c r="H51530" t="s">
        <v>40202</v>
      </c>
    </row>
    <row r="51531" spans="1:8">
      <c r="A51531" t="s">
        <v>4916</v>
      </c>
      <c r="B51531">
        <f>HYPERLINK("https://android.googlesource.com/platform/cts/+/cd6c3386d65284dd1925e0c006a64fa1f9a04c9e", "cd6c3386d65284dd1925e0c006a64fa1f9a04c9e")</f>
        <v>0</v>
      </c>
      <c r="C51531">
        <f>HYPERLINK("https://android.googlesource.com/platform/cts/+/47778069718167eda08dd2bc63e139f8106e2e97", "47778069718167eda08dd2bc63e139f8106e2e97")</f>
        <v>0</v>
      </c>
      <c r="D51531" t="s">
        <v>5670</v>
      </c>
      <c r="E51531" t="s">
        <v>10572</v>
      </c>
      <c r="F51531" t="s">
        <v>14975</v>
      </c>
      <c r="G51531" t="s">
        <v>16649</v>
      </c>
      <c r="H51531" t="s">
        <v>40203</v>
      </c>
    </row>
    <row r="51532" spans="1:8">
      <c r="A51532" t="s">
        <v>4917</v>
      </c>
      <c r="B51532">
        <f>HYPERLINK("https://android.googlesource.com/platform/cts/+/dacd1b0a20c62bf4de03634f89a5a4e387b5704e", "dacd1b0a20c62bf4de03634f89a5a4e387b5704e")</f>
        <v>0</v>
      </c>
      <c r="C51532">
        <f>HYPERLINK("https://android.googlesource.com/platform/cts/+/123d13a713497933e410a0dc23737534f3ac51ad", "123d13a713497933e410a0dc23737534f3ac51ad")</f>
        <v>0</v>
      </c>
      <c r="D51532" t="s">
        <v>5805</v>
      </c>
      <c r="E51532" t="s">
        <v>10573</v>
      </c>
      <c r="F51532" t="s">
        <v>14507</v>
      </c>
      <c r="G51532" t="s">
        <v>18208</v>
      </c>
      <c r="H51532" t="s">
        <v>19981</v>
      </c>
    </row>
    <row r="51533" spans="1:8">
      <c r="A51533" t="s">
        <v>4918</v>
      </c>
      <c r="B51533">
        <f>HYPERLINK("https://android.googlesource.com/platform/cts/+/5902dc69558ee2c7ff2a1361b78f5565a10370c2", "5902dc69558ee2c7ff2a1361b78f5565a10370c2")</f>
        <v>0</v>
      </c>
      <c r="C51533">
        <f>HYPERLINK("https://android.googlesource.com/platform/cts/+/70b2e1605dcf8603eae9c226538b7ef8ebf3f502", "70b2e1605dcf8603eae9c226538b7ef8ebf3f502")</f>
        <v>0</v>
      </c>
      <c r="D51533" t="s">
        <v>5801</v>
      </c>
      <c r="E51533" t="s">
        <v>10574</v>
      </c>
      <c r="F51533" t="s">
        <v>14976</v>
      </c>
      <c r="G51533" t="s">
        <v>18801</v>
      </c>
      <c r="H51533" t="s">
        <v>40204</v>
      </c>
    </row>
    <row r="51534" spans="1:8">
      <c r="H51534" t="s">
        <v>40205</v>
      </c>
    </row>
    <row r="51535" spans="1:8">
      <c r="H51535" t="s">
        <v>36073</v>
      </c>
    </row>
    <row r="51536" spans="1:8">
      <c r="H51536" t="s">
        <v>40206</v>
      </c>
    </row>
    <row r="51537" spans="1:8">
      <c r="H51537" t="s">
        <v>40207</v>
      </c>
    </row>
    <row r="51538" spans="1:8">
      <c r="F51538" t="s">
        <v>14977</v>
      </c>
      <c r="G51538" t="s">
        <v>18802</v>
      </c>
      <c r="H51538" t="s">
        <v>36853</v>
      </c>
    </row>
    <row r="51539" spans="1:8">
      <c r="F51539" t="s">
        <v>14978</v>
      </c>
      <c r="G51539" t="s">
        <v>18803</v>
      </c>
      <c r="H51539" t="s">
        <v>18863</v>
      </c>
    </row>
    <row r="51540" spans="1:8">
      <c r="H51540" t="s">
        <v>34044</v>
      </c>
    </row>
    <row r="51541" spans="1:8">
      <c r="F51541" t="s">
        <v>14208</v>
      </c>
      <c r="G51541" t="s">
        <v>18184</v>
      </c>
      <c r="H51541" t="s">
        <v>18863</v>
      </c>
    </row>
    <row r="51542" spans="1:8">
      <c r="A51542" t="s">
        <v>4919</v>
      </c>
      <c r="B51542">
        <f>HYPERLINK("https://android.googlesource.com/platform/cts/+/2469964083ad8e8801ba4205ae2c4cb1906bbd47", "2469964083ad8e8801ba4205ae2c4cb1906bbd47")</f>
        <v>0</v>
      </c>
      <c r="C51542">
        <f>HYPERLINK("https://android.googlesource.com/platform/cts/+/7a8820c80780b04e3bbb117be9b60b7cb43799e6", "7a8820c80780b04e3bbb117be9b60b7cb43799e6")</f>
        <v>0</v>
      </c>
      <c r="D51542" t="s">
        <v>5246</v>
      </c>
      <c r="E51542" t="s">
        <v>10575</v>
      </c>
      <c r="F51542" t="s">
        <v>14979</v>
      </c>
      <c r="G51542" t="s">
        <v>18804</v>
      </c>
      <c r="H51542" t="s">
        <v>40208</v>
      </c>
    </row>
    <row r="51543" spans="1:8">
      <c r="H51543" t="s">
        <v>18829</v>
      </c>
    </row>
    <row r="51544" spans="1:8">
      <c r="H51544" t="s">
        <v>18863</v>
      </c>
    </row>
    <row r="51545" spans="1:8">
      <c r="A51545" t="s">
        <v>4920</v>
      </c>
      <c r="B51545">
        <f>HYPERLINK("https://android.googlesource.com/platform/cts/+/2fe132ff8f318ee564ff611e052148f0f1a68555", "2fe132ff8f318ee564ff611e052148f0f1a68555")</f>
        <v>0</v>
      </c>
      <c r="C51545">
        <f>HYPERLINK("https://android.googlesource.com/platform/cts/+/fa540923ebffc8504157d436e15f3a605f453345", "fa540923ebffc8504157d436e15f3a605f453345")</f>
        <v>0</v>
      </c>
      <c r="D51545" t="s">
        <v>5564</v>
      </c>
      <c r="E51545" t="s">
        <v>10576</v>
      </c>
      <c r="F51545" t="s">
        <v>10744</v>
      </c>
      <c r="G51545" t="s">
        <v>15143</v>
      </c>
      <c r="H51545" t="s">
        <v>18829</v>
      </c>
    </row>
    <row r="51546" spans="1:8">
      <c r="H51546" t="s">
        <v>18863</v>
      </c>
    </row>
    <row r="51547" spans="1:8">
      <c r="H51547" t="s">
        <v>40209</v>
      </c>
    </row>
    <row r="51548" spans="1:8">
      <c r="H51548" t="s">
        <v>40210</v>
      </c>
    </row>
    <row r="51549" spans="1:8">
      <c r="H51549" t="s">
        <v>40211</v>
      </c>
    </row>
    <row r="51550" spans="1:8">
      <c r="H51550" t="s">
        <v>40212</v>
      </c>
    </row>
    <row r="51551" spans="1:8">
      <c r="H51551" t="s">
        <v>40213</v>
      </c>
    </row>
    <row r="51552" spans="1:8">
      <c r="H51552" t="s">
        <v>19019</v>
      </c>
    </row>
    <row r="51553" spans="8:8">
      <c r="H51553" t="s">
        <v>40214</v>
      </c>
    </row>
    <row r="51554" spans="8:8">
      <c r="H51554" t="s">
        <v>40215</v>
      </c>
    </row>
    <row r="51555" spans="8:8">
      <c r="H51555" t="s">
        <v>40216</v>
      </c>
    </row>
    <row r="51556" spans="8:8">
      <c r="H51556" t="s">
        <v>40217</v>
      </c>
    </row>
    <row r="51557" spans="8:8">
      <c r="H51557" t="s">
        <v>40218</v>
      </c>
    </row>
    <row r="51558" spans="8:8">
      <c r="H51558" t="s">
        <v>40219</v>
      </c>
    </row>
    <row r="51559" spans="8:8">
      <c r="H51559" t="s">
        <v>40220</v>
      </c>
    </row>
    <row r="51560" spans="8:8">
      <c r="H51560" t="s">
        <v>40221</v>
      </c>
    </row>
    <row r="51561" spans="8:8">
      <c r="H51561" t="s">
        <v>40222</v>
      </c>
    </row>
    <row r="51562" spans="8:8">
      <c r="H51562" t="s">
        <v>40223</v>
      </c>
    </row>
    <row r="51563" spans="8:8">
      <c r="H51563" t="s">
        <v>40224</v>
      </c>
    </row>
    <row r="51564" spans="8:8">
      <c r="H51564" t="s">
        <v>40225</v>
      </c>
    </row>
    <row r="51565" spans="8:8">
      <c r="H51565" t="s">
        <v>40226</v>
      </c>
    </row>
    <row r="51566" spans="8:8">
      <c r="H51566" t="s">
        <v>40227</v>
      </c>
    </row>
    <row r="51567" spans="8:8">
      <c r="H51567" t="s">
        <v>40228</v>
      </c>
    </row>
    <row r="51568" spans="8:8">
      <c r="H51568" t="s">
        <v>40229</v>
      </c>
    </row>
    <row r="51569" spans="8:8">
      <c r="H51569" t="s">
        <v>26477</v>
      </c>
    </row>
    <row r="51570" spans="8:8">
      <c r="H51570" t="s">
        <v>40230</v>
      </c>
    </row>
    <row r="51571" spans="8:8">
      <c r="H51571" t="s">
        <v>26479</v>
      </c>
    </row>
    <row r="51572" spans="8:8">
      <c r="H51572" t="s">
        <v>40231</v>
      </c>
    </row>
    <row r="51573" spans="8:8">
      <c r="H51573" t="s">
        <v>40232</v>
      </c>
    </row>
    <row r="51574" spans="8:8">
      <c r="H51574" t="s">
        <v>40233</v>
      </c>
    </row>
    <row r="51575" spans="8:8">
      <c r="H51575" t="s">
        <v>40234</v>
      </c>
    </row>
    <row r="51576" spans="8:8">
      <c r="H51576" t="s">
        <v>40235</v>
      </c>
    </row>
    <row r="51577" spans="8:8">
      <c r="H51577" t="s">
        <v>40236</v>
      </c>
    </row>
    <row r="51578" spans="8:8">
      <c r="H51578" t="s">
        <v>40237</v>
      </c>
    </row>
    <row r="51579" spans="8:8">
      <c r="H51579" t="s">
        <v>40238</v>
      </c>
    </row>
    <row r="51580" spans="8:8">
      <c r="H51580" t="s">
        <v>40239</v>
      </c>
    </row>
    <row r="51581" spans="8:8">
      <c r="H51581" t="s">
        <v>40240</v>
      </c>
    </row>
    <row r="51582" spans="8:8">
      <c r="H51582" t="s">
        <v>40241</v>
      </c>
    </row>
    <row r="51583" spans="8:8">
      <c r="H51583" t="s">
        <v>40242</v>
      </c>
    </row>
    <row r="51584" spans="8:8">
      <c r="H51584" t="s">
        <v>40243</v>
      </c>
    </row>
    <row r="51585" spans="8:8">
      <c r="H51585" t="s">
        <v>40244</v>
      </c>
    </row>
    <row r="51586" spans="8:8">
      <c r="H51586" t="s">
        <v>40245</v>
      </c>
    </row>
    <row r="51587" spans="8:8">
      <c r="H51587" t="s">
        <v>40246</v>
      </c>
    </row>
    <row r="51588" spans="8:8">
      <c r="H51588" t="s">
        <v>40247</v>
      </c>
    </row>
    <row r="51589" spans="8:8">
      <c r="H51589" t="s">
        <v>40248</v>
      </c>
    </row>
    <row r="51590" spans="8:8">
      <c r="H51590" t="s">
        <v>40249</v>
      </c>
    </row>
    <row r="51591" spans="8:8">
      <c r="H51591" t="s">
        <v>40250</v>
      </c>
    </row>
    <row r="51592" spans="8:8">
      <c r="H51592" t="s">
        <v>40251</v>
      </c>
    </row>
    <row r="51593" spans="8:8">
      <c r="H51593" t="s">
        <v>40252</v>
      </c>
    </row>
    <row r="51594" spans="8:8">
      <c r="H51594" t="s">
        <v>40253</v>
      </c>
    </row>
    <row r="51595" spans="8:8">
      <c r="H51595" t="s">
        <v>40254</v>
      </c>
    </row>
    <row r="51596" spans="8:8">
      <c r="H51596" t="s">
        <v>40255</v>
      </c>
    </row>
    <row r="51597" spans="8:8">
      <c r="H51597" t="s">
        <v>40256</v>
      </c>
    </row>
    <row r="51598" spans="8:8">
      <c r="H51598" t="s">
        <v>40257</v>
      </c>
    </row>
    <row r="51599" spans="8:8">
      <c r="H51599" t="s">
        <v>40258</v>
      </c>
    </row>
    <row r="51600" spans="8:8">
      <c r="H51600" t="s">
        <v>40259</v>
      </c>
    </row>
    <row r="51601" spans="1:8">
      <c r="H51601" t="s">
        <v>40260</v>
      </c>
    </row>
    <row r="51602" spans="1:8">
      <c r="H51602" t="s">
        <v>40261</v>
      </c>
    </row>
    <row r="51603" spans="1:8">
      <c r="H51603" t="s">
        <v>40262</v>
      </c>
    </row>
    <row r="51604" spans="1:8">
      <c r="H51604" t="s">
        <v>40263</v>
      </c>
    </row>
    <row r="51605" spans="1:8">
      <c r="H51605" t="s">
        <v>40264</v>
      </c>
    </row>
    <row r="51606" spans="1:8">
      <c r="H51606" t="s">
        <v>40265</v>
      </c>
    </row>
    <row r="51607" spans="1:8">
      <c r="H51607" t="s">
        <v>40266</v>
      </c>
    </row>
    <row r="51608" spans="1:8">
      <c r="H51608" t="s">
        <v>40266</v>
      </c>
    </row>
    <row r="51609" spans="1:8">
      <c r="H51609" t="s">
        <v>40267</v>
      </c>
    </row>
    <row r="51610" spans="1:8">
      <c r="H51610" t="s">
        <v>40268</v>
      </c>
    </row>
    <row r="51611" spans="1:8">
      <c r="H51611" t="s">
        <v>40269</v>
      </c>
    </row>
    <row r="51612" spans="1:8">
      <c r="A51612" t="s">
        <v>4921</v>
      </c>
      <c r="B51612">
        <f>HYPERLINK("https://android.googlesource.com/platform/cts/+/76e0beb961b23ae857aa98367f02639660773796", "76e0beb961b23ae857aa98367f02639660773796")</f>
        <v>0</v>
      </c>
      <c r="C51612">
        <f>HYPERLINK("https://android.googlesource.com/platform/cts/+/1f4eaa678d1a47532982da8b35b99aa53a81ef7a", "1f4eaa678d1a47532982da8b35b99aa53a81ef7a")</f>
        <v>0</v>
      </c>
      <c r="D51612" t="s">
        <v>4996</v>
      </c>
      <c r="E51612" t="s">
        <v>10577</v>
      </c>
      <c r="F51612" t="s">
        <v>14614</v>
      </c>
      <c r="G51612" t="s">
        <v>18526</v>
      </c>
      <c r="H51612" t="s">
        <v>40270</v>
      </c>
    </row>
    <row r="51613" spans="1:8">
      <c r="A51613" t="s">
        <v>4922</v>
      </c>
      <c r="B51613">
        <f>HYPERLINK("https://android.googlesource.com/platform/cts/+/dcc48895b3c1947e2764cd57b45214197f905913", "dcc48895b3c1947e2764cd57b45214197f905913")</f>
        <v>0</v>
      </c>
      <c r="C51613">
        <f>HYPERLINK("https://android.googlesource.com/platform/cts/+/7a8820c80780b04e3bbb117be9b60b7cb43799e6", "7a8820c80780b04e3bbb117be9b60b7cb43799e6")</f>
        <v>0</v>
      </c>
      <c r="D51613" t="s">
        <v>5246</v>
      </c>
      <c r="E51613" t="s">
        <v>10578</v>
      </c>
      <c r="F51613" t="s">
        <v>14980</v>
      </c>
      <c r="G51613" t="s">
        <v>16410</v>
      </c>
      <c r="H51613" t="s">
        <v>40271</v>
      </c>
    </row>
    <row r="51614" spans="1:8">
      <c r="H51614" t="s">
        <v>18829</v>
      </c>
    </row>
    <row r="51615" spans="1:8">
      <c r="A51615" t="s">
        <v>4923</v>
      </c>
      <c r="B51615">
        <f>HYPERLINK("https://android.googlesource.com/platform/cts/+/c353f6eeacf82bec373874e0d199bd680ee7ae91", "c353f6eeacf82bec373874e0d199bd680ee7ae91")</f>
        <v>0</v>
      </c>
      <c r="C51615">
        <f>HYPERLINK("https://android.googlesource.com/platform/cts/+/9d9166ea12d663ca60fa7d0a4a4ef5c5cb758f5b", "9d9166ea12d663ca60fa7d0a4a4ef5c5cb758f5b")</f>
        <v>0</v>
      </c>
      <c r="D51615" t="s">
        <v>5806</v>
      </c>
      <c r="E51615" t="s">
        <v>10579</v>
      </c>
      <c r="F51615" t="s">
        <v>14981</v>
      </c>
      <c r="G51615" t="s">
        <v>18805</v>
      </c>
      <c r="H51615" t="s">
        <v>40272</v>
      </c>
    </row>
    <row r="51616" spans="1:8">
      <c r="A51616" t="s">
        <v>4924</v>
      </c>
      <c r="B51616">
        <f>HYPERLINK("https://android.googlesource.com/platform/cts/+/90a783823e7ede91f486f760499c04fd7744b35f", "90a783823e7ede91f486f760499c04fd7744b35f")</f>
        <v>0</v>
      </c>
      <c r="C51616">
        <f>HYPERLINK("https://android.googlesource.com/platform/cts/+/ba912b1574ed9407132c69e18dcbbc57bc44dcc7", "ba912b1574ed9407132c69e18dcbbc57bc44dcc7")</f>
        <v>0</v>
      </c>
      <c r="D51616" t="s">
        <v>4996</v>
      </c>
      <c r="E51616" t="s">
        <v>10580</v>
      </c>
      <c r="F51616" t="s">
        <v>14982</v>
      </c>
      <c r="G51616" t="s">
        <v>18806</v>
      </c>
      <c r="H51616" t="s">
        <v>40273</v>
      </c>
    </row>
    <row r="51617" spans="1:8">
      <c r="H51617" t="s">
        <v>40274</v>
      </c>
    </row>
    <row r="51618" spans="1:8">
      <c r="H51618" t="s">
        <v>40275</v>
      </c>
    </row>
    <row r="51619" spans="1:8">
      <c r="H51619" t="s">
        <v>32846</v>
      </c>
    </row>
    <row r="51620" spans="1:8">
      <c r="H51620" t="s">
        <v>32847</v>
      </c>
    </row>
    <row r="51621" spans="1:8">
      <c r="H51621" t="s">
        <v>37910</v>
      </c>
    </row>
    <row r="51622" spans="1:8">
      <c r="F51622" t="s">
        <v>14983</v>
      </c>
      <c r="G51622" t="s">
        <v>18807</v>
      </c>
      <c r="H51622" t="s">
        <v>40276</v>
      </c>
    </row>
    <row r="51623" spans="1:8">
      <c r="H51623" t="s">
        <v>40274</v>
      </c>
    </row>
    <row r="51624" spans="1:8">
      <c r="H51624" t="s">
        <v>32846</v>
      </c>
    </row>
    <row r="51625" spans="1:8">
      <c r="H51625" t="s">
        <v>32847</v>
      </c>
    </row>
    <row r="51626" spans="1:8">
      <c r="H51626" t="s">
        <v>37910</v>
      </c>
    </row>
    <row r="51627" spans="1:8">
      <c r="A51627" t="s">
        <v>4925</v>
      </c>
      <c r="B51627">
        <f>HYPERLINK("https://android.googlesource.com/platform/cts/+/6db759483ffd5dade57d242128bca1fa0214cf28", "6db759483ffd5dade57d242128bca1fa0214cf28")</f>
        <v>0</v>
      </c>
      <c r="C51627">
        <f>HYPERLINK("https://android.googlesource.com/platform/cts/+/0a32949379ba71c7730f4d5a9568d7dd24f64026", "0a32949379ba71c7730f4d5a9568d7dd24f64026")</f>
        <v>0</v>
      </c>
      <c r="D51627" t="s">
        <v>5807</v>
      </c>
      <c r="E51627" t="s">
        <v>10581</v>
      </c>
      <c r="F51627" t="s">
        <v>14984</v>
      </c>
      <c r="G51627" t="s">
        <v>18612</v>
      </c>
      <c r="H51627" t="s">
        <v>39734</v>
      </c>
    </row>
    <row r="51628" spans="1:8">
      <c r="H51628" t="s">
        <v>37794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8240"/>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8</v>
      </c>
      <c r="B2">
        <f>HYPERLINK("https://android.googlesource.com/platform/cts/+/7ca56dfb7d78d0050a3da3d87c040ca7910b3344", "7ca56dfb7d78d0050a3da3d87c040ca7910b3344")</f>
        <v>0</v>
      </c>
      <c r="C2">
        <f>HYPERLINK("https://android.googlesource.com/platform/cts/+/f8057104af9cae031b544e971a52adafa7c0d9e1", "f8057104af9cae031b544e971a52adafa7c0d9e1")</f>
        <v>0</v>
      </c>
      <c r="D2" t="s">
        <v>4926</v>
      </c>
      <c r="E2" t="s">
        <v>5808</v>
      </c>
      <c r="F2" t="s">
        <v>10582</v>
      </c>
      <c r="G2" t="s">
        <v>14985</v>
      </c>
      <c r="H2" t="s">
        <v>18808</v>
      </c>
    </row>
    <row r="3" spans="1:8">
      <c r="A3" t="s">
        <v>9</v>
      </c>
      <c r="B3">
        <f>HYPERLINK("https://android.googlesource.com/platform/cts/+/71d56716bf683c99471f596936eda5b876e4c4de", "71d56716bf683c99471f596936eda5b876e4c4de")</f>
        <v>0</v>
      </c>
      <c r="C3">
        <f>HYPERLINK("https://android.googlesource.com/platform/cts/+/f953fca35186beb85cd28c0de6705a4d9e7d7e47", "f953fca35186beb85cd28c0de6705a4d9e7d7e47")</f>
        <v>0</v>
      </c>
      <c r="D3" t="s">
        <v>4926</v>
      </c>
      <c r="E3" t="s">
        <v>5809</v>
      </c>
      <c r="F3" t="s">
        <v>10583</v>
      </c>
      <c r="G3" t="s">
        <v>14986</v>
      </c>
      <c r="H3" t="s">
        <v>18809</v>
      </c>
    </row>
    <row r="4" spans="1:8">
      <c r="F4" t="s">
        <v>10584</v>
      </c>
      <c r="G4" t="s">
        <v>14987</v>
      </c>
      <c r="H4" t="s">
        <v>18810</v>
      </c>
    </row>
    <row r="5" spans="1:8">
      <c r="H5" t="s">
        <v>18811</v>
      </c>
    </row>
    <row r="6" spans="1:8">
      <c r="A6" t="s">
        <v>10</v>
      </c>
      <c r="B6">
        <f>HYPERLINK("https://android.googlesource.com/platform/cts/+/46016d69e95d5fce7fd1950c6fb85da467fc3fc5", "46016d69e95d5fce7fd1950c6fb85da467fc3fc5")</f>
        <v>0</v>
      </c>
      <c r="C6">
        <f>HYPERLINK("https://android.googlesource.com/platform/cts/+/0d3aa156f81e7fe9031f1a5b1fa424d600f8354e", "0d3aa156f81e7fe9031f1a5b1fa424d600f8354e")</f>
        <v>0</v>
      </c>
      <c r="D6" t="s">
        <v>4926</v>
      </c>
      <c r="E6" t="s">
        <v>5810</v>
      </c>
      <c r="F6" t="s">
        <v>10583</v>
      </c>
      <c r="G6" t="s">
        <v>14986</v>
      </c>
      <c r="H6" t="s">
        <v>18809</v>
      </c>
    </row>
    <row r="7" spans="1:8">
      <c r="F7" t="s">
        <v>10584</v>
      </c>
      <c r="G7" t="s">
        <v>14987</v>
      </c>
      <c r="H7" t="s">
        <v>18810</v>
      </c>
    </row>
    <row r="8" spans="1:8">
      <c r="H8" t="s">
        <v>18811</v>
      </c>
    </row>
    <row r="9" spans="1:8">
      <c r="A9" t="s">
        <v>11</v>
      </c>
      <c r="B9">
        <f>HYPERLINK("https://android.googlesource.com/platform/cts/+/54e7e716c4b293d83d173fa0b3f758bafc694f1d", "54e7e716c4b293d83d173fa0b3f758bafc694f1d")</f>
        <v>0</v>
      </c>
      <c r="C9">
        <f>HYPERLINK("https://android.googlesource.com/platform/cts/+/32181bf51c667cef480f018981ae1327059b02d4", "32181bf51c667cef480f018981ae1327059b02d4")</f>
        <v>0</v>
      </c>
      <c r="D9" t="s">
        <v>4926</v>
      </c>
      <c r="E9" t="s">
        <v>5811</v>
      </c>
      <c r="F9" t="s">
        <v>10583</v>
      </c>
      <c r="G9" t="s">
        <v>14986</v>
      </c>
      <c r="H9" t="s">
        <v>18809</v>
      </c>
    </row>
    <row r="10" spans="1:8">
      <c r="F10" t="s">
        <v>10584</v>
      </c>
      <c r="G10" t="s">
        <v>14987</v>
      </c>
      <c r="H10" t="s">
        <v>18810</v>
      </c>
    </row>
    <row r="11" spans="1:8">
      <c r="H11" t="s">
        <v>18811</v>
      </c>
    </row>
    <row r="12" spans="1:8">
      <c r="A12" t="s">
        <v>12</v>
      </c>
      <c r="B12">
        <f>HYPERLINK("https://android.googlesource.com/platform/cts/+/12e7730c552e479a4c1fa80ec497ec995ea5e305", "12e7730c552e479a4c1fa80ec497ec995ea5e305")</f>
        <v>0</v>
      </c>
      <c r="C12">
        <f>HYPERLINK("https://android.googlesource.com/platform/cts/+/86f896fb850957bb82a458249b3c0f7074c6cd98", "86f896fb850957bb82a458249b3c0f7074c6cd98")</f>
        <v>0</v>
      </c>
      <c r="D12" t="s">
        <v>4926</v>
      </c>
      <c r="E12" t="s">
        <v>5812</v>
      </c>
      <c r="F12" t="s">
        <v>10585</v>
      </c>
      <c r="G12" t="s">
        <v>14988</v>
      </c>
      <c r="H12" t="s">
        <v>18812</v>
      </c>
    </row>
    <row r="13" spans="1:8">
      <c r="A13" t="s">
        <v>13</v>
      </c>
      <c r="B13">
        <f>HYPERLINK("https://android.googlesource.com/platform/cts/+/ea1bbcadb17b975a4ada9018432aa4161edfc677", "ea1bbcadb17b975a4ada9018432aa4161edfc677")</f>
        <v>0</v>
      </c>
      <c r="C13">
        <f>HYPERLINK("https://android.googlesource.com/platform/cts/+/75f4a3823d09272a793cc71fa5855fc5176a20ce", "75f4a3823d09272a793cc71fa5855fc5176a20ce")</f>
        <v>0</v>
      </c>
      <c r="D13" t="s">
        <v>4926</v>
      </c>
      <c r="E13" t="s">
        <v>5813</v>
      </c>
      <c r="F13" t="s">
        <v>10585</v>
      </c>
      <c r="G13" t="s">
        <v>14988</v>
      </c>
      <c r="H13" t="s">
        <v>18812</v>
      </c>
    </row>
    <row r="14" spans="1:8">
      <c r="A14" t="s">
        <v>14</v>
      </c>
      <c r="B14">
        <f>HYPERLINK("https://android.googlesource.com/platform/cts/+/58768b8c9a30b38ad79093ee7a21756ca784d7ed", "58768b8c9a30b38ad79093ee7a21756ca784d7ed")</f>
        <v>0</v>
      </c>
      <c r="C14">
        <f>HYPERLINK("https://android.googlesource.com/platform/cts/+/0ebb5c5d33816db8159393e4e17d8a79f6e2ee36", "0ebb5c5d33816db8159393e4e17d8a79f6e2ee36")</f>
        <v>0</v>
      </c>
      <c r="D14" t="s">
        <v>4926</v>
      </c>
      <c r="E14" t="s">
        <v>5814</v>
      </c>
      <c r="F14" t="s">
        <v>10585</v>
      </c>
      <c r="G14" t="s">
        <v>14988</v>
      </c>
      <c r="H14" t="s">
        <v>18812</v>
      </c>
    </row>
    <row r="15" spans="1:8">
      <c r="A15" t="s">
        <v>15</v>
      </c>
      <c r="B15">
        <f>HYPERLINK("https://android.googlesource.com/platform/cts/+/892dcf44988c7b2886da30bc94e8fa7988f74625", "892dcf44988c7b2886da30bc94e8fa7988f74625")</f>
        <v>0</v>
      </c>
      <c r="C15">
        <f>HYPERLINK("https://android.googlesource.com/platform/cts/+/0624ae079fb46fde2401933c086085b1957f0944", "0624ae079fb46fde2401933c086085b1957f0944")</f>
        <v>0</v>
      </c>
      <c r="D15" t="s">
        <v>4926</v>
      </c>
      <c r="E15" t="s">
        <v>5815</v>
      </c>
      <c r="F15" t="s">
        <v>10586</v>
      </c>
      <c r="G15" t="s">
        <v>14989</v>
      </c>
      <c r="H15" t="s">
        <v>18813</v>
      </c>
    </row>
    <row r="16" spans="1:8">
      <c r="H16" t="s">
        <v>18814</v>
      </c>
    </row>
    <row r="17" spans="1:8">
      <c r="H17" t="s">
        <v>18815</v>
      </c>
    </row>
    <row r="18" spans="1:8">
      <c r="A18" t="s">
        <v>16</v>
      </c>
      <c r="B18">
        <f>HYPERLINK("https://android.googlesource.com/platform/cts/+/fbcc0a69a42e3df763ad57bc510fa0a908cbca7e", "fbcc0a69a42e3df763ad57bc510fa0a908cbca7e")</f>
        <v>0</v>
      </c>
      <c r="C18">
        <f>HYPERLINK("https://android.googlesource.com/platform/cts/+/836e69d44373908f8c84b00df29adbafc48fec5f", "836e69d44373908f8c84b00df29adbafc48fec5f")</f>
        <v>0</v>
      </c>
      <c r="D18" t="s">
        <v>4926</v>
      </c>
      <c r="E18" t="s">
        <v>5816</v>
      </c>
      <c r="F18" t="s">
        <v>10586</v>
      </c>
      <c r="G18" t="s">
        <v>14989</v>
      </c>
      <c r="H18" t="s">
        <v>18813</v>
      </c>
    </row>
    <row r="19" spans="1:8">
      <c r="H19" t="s">
        <v>18814</v>
      </c>
    </row>
    <row r="20" spans="1:8">
      <c r="H20" t="s">
        <v>18815</v>
      </c>
    </row>
    <row r="21" spans="1:8">
      <c r="A21" t="s">
        <v>17</v>
      </c>
      <c r="B21">
        <f>HYPERLINK("https://android.googlesource.com/platform/cts/+/402c7f248fb4e10553e9e52383d46fd8c568a718", "402c7f248fb4e10553e9e52383d46fd8c568a718")</f>
        <v>0</v>
      </c>
      <c r="C21">
        <f>HYPERLINK("https://android.googlesource.com/platform/cts/+/6e95db6d4a43c96f8cda0ede00c07e6a17d4b0e2", "6e95db6d4a43c96f8cda0ede00c07e6a17d4b0e2")</f>
        <v>0</v>
      </c>
      <c r="D21" t="s">
        <v>4926</v>
      </c>
      <c r="E21" t="s">
        <v>5817</v>
      </c>
      <c r="F21" t="s">
        <v>10586</v>
      </c>
      <c r="G21" t="s">
        <v>14989</v>
      </c>
      <c r="H21" t="s">
        <v>18813</v>
      </c>
    </row>
    <row r="22" spans="1:8">
      <c r="H22" t="s">
        <v>18814</v>
      </c>
    </row>
    <row r="23" spans="1:8">
      <c r="H23" t="s">
        <v>18815</v>
      </c>
    </row>
    <row r="24" spans="1:8">
      <c r="A24" t="s">
        <v>18</v>
      </c>
      <c r="B24">
        <f>HYPERLINK("https://android.googlesource.com/platform/cts/+/703909af3ebfc763b65a90703283e8235f8e6c42", "703909af3ebfc763b65a90703283e8235f8e6c42")</f>
        <v>0</v>
      </c>
      <c r="C24">
        <f>HYPERLINK("https://android.googlesource.com/platform/cts/+/fbcc0a69a42e3df763ad57bc510fa0a908cbca7e", "fbcc0a69a42e3df763ad57bc510fa0a908cbca7e")</f>
        <v>0</v>
      </c>
      <c r="D24" t="s">
        <v>4926</v>
      </c>
      <c r="E24" t="s">
        <v>5818</v>
      </c>
      <c r="F24" t="s">
        <v>10587</v>
      </c>
      <c r="G24" t="s">
        <v>14990</v>
      </c>
      <c r="H24" t="s">
        <v>18816</v>
      </c>
    </row>
    <row r="25" spans="1:8">
      <c r="H25" t="s">
        <v>18816</v>
      </c>
    </row>
    <row r="26" spans="1:8">
      <c r="F26" t="s">
        <v>10588</v>
      </c>
      <c r="G26" t="s">
        <v>14991</v>
      </c>
      <c r="H26" t="s">
        <v>18817</v>
      </c>
    </row>
    <row r="27" spans="1:8">
      <c r="H27" t="s">
        <v>18818</v>
      </c>
    </row>
    <row r="28" spans="1:8">
      <c r="H28" t="s">
        <v>18819</v>
      </c>
    </row>
    <row r="29" spans="1:8">
      <c r="H29" t="s">
        <v>18820</v>
      </c>
    </row>
    <row r="30" spans="1:8">
      <c r="H30" t="s">
        <v>18816</v>
      </c>
    </row>
    <row r="31" spans="1:8">
      <c r="H31" t="s">
        <v>18821</v>
      </c>
    </row>
    <row r="32" spans="1:8">
      <c r="H32" t="s">
        <v>18822</v>
      </c>
    </row>
    <row r="33" spans="1:8">
      <c r="H33" t="s">
        <v>18823</v>
      </c>
    </row>
    <row r="34" spans="1:8">
      <c r="H34" t="s">
        <v>18824</v>
      </c>
    </row>
    <row r="35" spans="1:8">
      <c r="H35" t="s">
        <v>18825</v>
      </c>
    </row>
    <row r="36" spans="1:8">
      <c r="H36" t="s">
        <v>18826</v>
      </c>
    </row>
    <row r="37" spans="1:8">
      <c r="F37" t="s">
        <v>10589</v>
      </c>
      <c r="G37" t="s">
        <v>14992</v>
      </c>
      <c r="H37" t="s">
        <v>18825</v>
      </c>
    </row>
    <row r="38" spans="1:8">
      <c r="H38" t="s">
        <v>18826</v>
      </c>
    </row>
    <row r="39" spans="1:8">
      <c r="F39" t="s">
        <v>10585</v>
      </c>
      <c r="G39" t="s">
        <v>14988</v>
      </c>
      <c r="H39" t="s">
        <v>18826</v>
      </c>
    </row>
    <row r="40" spans="1:8">
      <c r="H40" t="s">
        <v>18825</v>
      </c>
    </row>
    <row r="41" spans="1:8">
      <c r="F41" t="s">
        <v>10590</v>
      </c>
      <c r="G41" t="s">
        <v>14993</v>
      </c>
      <c r="H41" t="s">
        <v>18825</v>
      </c>
    </row>
    <row r="42" spans="1:8">
      <c r="F42" t="s">
        <v>10591</v>
      </c>
      <c r="G42" t="s">
        <v>14994</v>
      </c>
      <c r="H42" t="s">
        <v>18827</v>
      </c>
    </row>
    <row r="43" spans="1:8">
      <c r="F43" t="s">
        <v>10592</v>
      </c>
      <c r="G43" t="s">
        <v>14995</v>
      </c>
      <c r="H43" t="s">
        <v>18825</v>
      </c>
    </row>
    <row r="44" spans="1:8">
      <c r="H44" t="s">
        <v>18826</v>
      </c>
    </row>
    <row r="45" spans="1:8">
      <c r="A45" t="s">
        <v>19</v>
      </c>
      <c r="B45">
        <f>HYPERLINK("https://android.googlesource.com/platform/cts/+/fa86c876df304e3e46cc2855e5d023d95dc99c82", "fa86c876df304e3e46cc2855e5d023d95dc99c82")</f>
        <v>0</v>
      </c>
      <c r="C45">
        <f>HYPERLINK("https://android.googlesource.com/platform/cts/+/892dcf44988c7b2886da30bc94e8fa7988f74625", "892dcf44988c7b2886da30bc94e8fa7988f74625")</f>
        <v>0</v>
      </c>
      <c r="D45" t="s">
        <v>4926</v>
      </c>
      <c r="E45" t="s">
        <v>5819</v>
      </c>
      <c r="F45" t="s">
        <v>10587</v>
      </c>
      <c r="G45" t="s">
        <v>14990</v>
      </c>
      <c r="H45" t="s">
        <v>18816</v>
      </c>
    </row>
    <row r="46" spans="1:8">
      <c r="H46" t="s">
        <v>18816</v>
      </c>
    </row>
    <row r="47" spans="1:8">
      <c r="F47" t="s">
        <v>10588</v>
      </c>
      <c r="G47" t="s">
        <v>14991</v>
      </c>
      <c r="H47" t="s">
        <v>18817</v>
      </c>
    </row>
    <row r="48" spans="1:8">
      <c r="H48" t="s">
        <v>18818</v>
      </c>
    </row>
    <row r="49" spans="6:8">
      <c r="H49" t="s">
        <v>18819</v>
      </c>
    </row>
    <row r="50" spans="6:8">
      <c r="H50" t="s">
        <v>18820</v>
      </c>
    </row>
    <row r="51" spans="6:8">
      <c r="H51" t="s">
        <v>18816</v>
      </c>
    </row>
    <row r="52" spans="6:8">
      <c r="H52" t="s">
        <v>18821</v>
      </c>
    </row>
    <row r="53" spans="6:8">
      <c r="H53" t="s">
        <v>18822</v>
      </c>
    </row>
    <row r="54" spans="6:8">
      <c r="H54" t="s">
        <v>18823</v>
      </c>
    </row>
    <row r="55" spans="6:8">
      <c r="H55" t="s">
        <v>18824</v>
      </c>
    </row>
    <row r="56" spans="6:8">
      <c r="H56" t="s">
        <v>18825</v>
      </c>
    </row>
    <row r="57" spans="6:8">
      <c r="H57" t="s">
        <v>18826</v>
      </c>
    </row>
    <row r="58" spans="6:8">
      <c r="F58" t="s">
        <v>10589</v>
      </c>
      <c r="G58" t="s">
        <v>14992</v>
      </c>
      <c r="H58" t="s">
        <v>18825</v>
      </c>
    </row>
    <row r="59" spans="6:8">
      <c r="H59" t="s">
        <v>18826</v>
      </c>
    </row>
    <row r="60" spans="6:8">
      <c r="F60" t="s">
        <v>10585</v>
      </c>
      <c r="G60" t="s">
        <v>14988</v>
      </c>
      <c r="H60" t="s">
        <v>18826</v>
      </c>
    </row>
    <row r="61" spans="6:8">
      <c r="H61" t="s">
        <v>18825</v>
      </c>
    </row>
    <row r="62" spans="6:8">
      <c r="F62" t="s">
        <v>10590</v>
      </c>
      <c r="G62" t="s">
        <v>14993</v>
      </c>
      <c r="H62" t="s">
        <v>18825</v>
      </c>
    </row>
    <row r="63" spans="6:8">
      <c r="F63" t="s">
        <v>10591</v>
      </c>
      <c r="G63" t="s">
        <v>14994</v>
      </c>
      <c r="H63" t="s">
        <v>18827</v>
      </c>
    </row>
    <row r="64" spans="6:8">
      <c r="F64" t="s">
        <v>10592</v>
      </c>
      <c r="G64" t="s">
        <v>14995</v>
      </c>
      <c r="H64" t="s">
        <v>18825</v>
      </c>
    </row>
    <row r="65" spans="1:8">
      <c r="H65" t="s">
        <v>18826</v>
      </c>
    </row>
    <row r="66" spans="1:8">
      <c r="A66" t="s">
        <v>20</v>
      </c>
      <c r="B66">
        <f>HYPERLINK("https://android.googlesource.com/platform/cts/+/55833308de1e9e90f851462aa63381c99f3c1516", "55833308de1e9e90f851462aa63381c99f3c1516")</f>
        <v>0</v>
      </c>
      <c r="C66">
        <f>HYPERLINK("https://android.googlesource.com/platform/cts/+/402c7f248fb4e10553e9e52383d46fd8c568a718", "402c7f248fb4e10553e9e52383d46fd8c568a718")</f>
        <v>0</v>
      </c>
      <c r="D66" t="s">
        <v>4926</v>
      </c>
      <c r="E66" t="s">
        <v>5820</v>
      </c>
      <c r="F66" t="s">
        <v>10587</v>
      </c>
      <c r="G66" t="s">
        <v>14990</v>
      </c>
      <c r="H66" t="s">
        <v>18816</v>
      </c>
    </row>
    <row r="67" spans="1:8">
      <c r="H67" t="s">
        <v>18816</v>
      </c>
    </row>
    <row r="68" spans="1:8">
      <c r="F68" t="s">
        <v>10588</v>
      </c>
      <c r="G68" t="s">
        <v>14991</v>
      </c>
      <c r="H68" t="s">
        <v>18817</v>
      </c>
    </row>
    <row r="69" spans="1:8">
      <c r="H69" t="s">
        <v>18818</v>
      </c>
    </row>
    <row r="70" spans="1:8">
      <c r="H70" t="s">
        <v>18819</v>
      </c>
    </row>
    <row r="71" spans="1:8">
      <c r="H71" t="s">
        <v>18820</v>
      </c>
    </row>
    <row r="72" spans="1:8">
      <c r="H72" t="s">
        <v>18816</v>
      </c>
    </row>
    <row r="73" spans="1:8">
      <c r="H73" t="s">
        <v>18821</v>
      </c>
    </row>
    <row r="74" spans="1:8">
      <c r="H74" t="s">
        <v>18822</v>
      </c>
    </row>
    <row r="75" spans="1:8">
      <c r="H75" t="s">
        <v>18823</v>
      </c>
    </row>
    <row r="76" spans="1:8">
      <c r="H76" t="s">
        <v>18824</v>
      </c>
    </row>
    <row r="77" spans="1:8">
      <c r="H77" t="s">
        <v>18825</v>
      </c>
    </row>
    <row r="78" spans="1:8">
      <c r="H78" t="s">
        <v>18826</v>
      </c>
    </row>
    <row r="79" spans="1:8">
      <c r="F79" t="s">
        <v>10589</v>
      </c>
      <c r="G79" t="s">
        <v>14992</v>
      </c>
      <c r="H79" t="s">
        <v>18825</v>
      </c>
    </row>
    <row r="80" spans="1:8">
      <c r="H80" t="s">
        <v>18826</v>
      </c>
    </row>
    <row r="81" spans="1:8">
      <c r="F81" t="s">
        <v>10585</v>
      </c>
      <c r="G81" t="s">
        <v>14988</v>
      </c>
      <c r="H81" t="s">
        <v>18826</v>
      </c>
    </row>
    <row r="82" spans="1:8">
      <c r="H82" t="s">
        <v>18825</v>
      </c>
    </row>
    <row r="83" spans="1:8">
      <c r="F83" t="s">
        <v>10590</v>
      </c>
      <c r="G83" t="s">
        <v>14993</v>
      </c>
      <c r="H83" t="s">
        <v>18825</v>
      </c>
    </row>
    <row r="84" spans="1:8">
      <c r="F84" t="s">
        <v>10591</v>
      </c>
      <c r="G84" t="s">
        <v>14994</v>
      </c>
      <c r="H84" t="s">
        <v>18827</v>
      </c>
    </row>
    <row r="85" spans="1:8">
      <c r="F85" t="s">
        <v>10592</v>
      </c>
      <c r="G85" t="s">
        <v>14995</v>
      </c>
      <c r="H85" t="s">
        <v>18825</v>
      </c>
    </row>
    <row r="86" spans="1:8">
      <c r="H86" t="s">
        <v>18826</v>
      </c>
    </row>
    <row r="87" spans="1:8">
      <c r="A87" t="s">
        <v>21</v>
      </c>
      <c r="B87">
        <f>HYPERLINK("https://android.googlesource.com/platform/cts/+/27c448a0705eb0cdf5e99eaa9775791180f3eb41", "27c448a0705eb0cdf5e99eaa9775791180f3eb41")</f>
        <v>0</v>
      </c>
      <c r="C87">
        <f>HYPERLINK("https://android.googlesource.com/platform/cts/+/3d864bef4d5b0fc0e1397a3dec2e6ccbfb270986", "3d864bef4d5b0fc0e1397a3dec2e6ccbfb270986")</f>
        <v>0</v>
      </c>
      <c r="D87" t="s">
        <v>4926</v>
      </c>
      <c r="E87" t="s">
        <v>5821</v>
      </c>
      <c r="F87" t="s">
        <v>10593</v>
      </c>
      <c r="G87" t="s">
        <v>14996</v>
      </c>
      <c r="H87" t="s">
        <v>18828</v>
      </c>
    </row>
    <row r="88" spans="1:8">
      <c r="H88" t="s">
        <v>18829</v>
      </c>
    </row>
    <row r="89" spans="1:8">
      <c r="H89" t="s">
        <v>18830</v>
      </c>
    </row>
    <row r="90" spans="1:8">
      <c r="H90" t="s">
        <v>18831</v>
      </c>
    </row>
    <row r="91" spans="1:8">
      <c r="H91" t="s">
        <v>18832</v>
      </c>
    </row>
    <row r="92" spans="1:8">
      <c r="H92" t="s">
        <v>18833</v>
      </c>
    </row>
    <row r="93" spans="1:8">
      <c r="A93" t="s">
        <v>22</v>
      </c>
      <c r="B93">
        <f>HYPERLINK("https://android.googlesource.com/platform/cts/+/309d0e9b1af033a536fd208720fed9b98a1a605d", "309d0e9b1af033a536fd208720fed9b98a1a605d")</f>
        <v>0</v>
      </c>
      <c r="C93">
        <f>HYPERLINK("https://android.googlesource.com/platform/cts/+/2d8a0a39019939e66b412fa528007d666316686c", "2d8a0a39019939e66b412fa528007d666316686c")</f>
        <v>0</v>
      </c>
      <c r="D93" t="s">
        <v>4926</v>
      </c>
      <c r="E93" t="s">
        <v>5822</v>
      </c>
      <c r="F93" t="s">
        <v>10594</v>
      </c>
      <c r="G93" t="s">
        <v>14997</v>
      </c>
      <c r="H93" t="s">
        <v>18834</v>
      </c>
    </row>
    <row r="94" spans="1:8">
      <c r="A94" t="s">
        <v>23</v>
      </c>
      <c r="B94">
        <f>HYPERLINK("https://android.googlesource.com/platform/cts/+/9eaea81d35d0eb86f8fd536906281b0c074fa96b", "9eaea81d35d0eb86f8fd536906281b0c074fa96b")</f>
        <v>0</v>
      </c>
      <c r="C94">
        <f>HYPERLINK("https://android.googlesource.com/platform/cts/+/cf5254e9994496899d6deed01a782437a06307a1", "cf5254e9994496899d6deed01a782437a06307a1")</f>
        <v>0</v>
      </c>
      <c r="D94" t="s">
        <v>4926</v>
      </c>
      <c r="E94" t="s">
        <v>5823</v>
      </c>
      <c r="F94" t="s">
        <v>10593</v>
      </c>
      <c r="G94" t="s">
        <v>14996</v>
      </c>
      <c r="H94" t="s">
        <v>18828</v>
      </c>
    </row>
    <row r="95" spans="1:8">
      <c r="H95" t="s">
        <v>18829</v>
      </c>
    </row>
    <row r="96" spans="1:8">
      <c r="H96" t="s">
        <v>18830</v>
      </c>
    </row>
    <row r="97" spans="1:8">
      <c r="H97" t="s">
        <v>18831</v>
      </c>
    </row>
    <row r="98" spans="1:8">
      <c r="H98" t="s">
        <v>18832</v>
      </c>
    </row>
    <row r="99" spans="1:8">
      <c r="H99" t="s">
        <v>18833</v>
      </c>
    </row>
    <row r="100" spans="1:8">
      <c r="A100" t="s">
        <v>24</v>
      </c>
      <c r="B100">
        <f>HYPERLINK("https://android.googlesource.com/platform/cts/+/10f71f6cbe232ece2fad190e3a414867076661e1", "10f71f6cbe232ece2fad190e3a414867076661e1")</f>
        <v>0</v>
      </c>
      <c r="C100">
        <f>HYPERLINK("https://android.googlesource.com/platform/cts/+/0f65ff45e2fb062810f97c39b8b3551ff4245afe", "0f65ff45e2fb062810f97c39b8b3551ff4245afe")</f>
        <v>0</v>
      </c>
      <c r="D100" t="s">
        <v>4926</v>
      </c>
      <c r="E100" t="s">
        <v>5824</v>
      </c>
      <c r="F100" t="s">
        <v>10593</v>
      </c>
      <c r="G100" t="s">
        <v>14996</v>
      </c>
      <c r="H100" t="s">
        <v>18828</v>
      </c>
    </row>
    <row r="101" spans="1:8">
      <c r="H101" t="s">
        <v>18829</v>
      </c>
    </row>
    <row r="102" spans="1:8">
      <c r="H102" t="s">
        <v>18830</v>
      </c>
    </row>
    <row r="103" spans="1:8">
      <c r="H103" t="s">
        <v>18831</v>
      </c>
    </row>
    <row r="104" spans="1:8">
      <c r="H104" t="s">
        <v>18832</v>
      </c>
    </row>
    <row r="105" spans="1:8">
      <c r="H105" t="s">
        <v>18833</v>
      </c>
    </row>
    <row r="106" spans="1:8">
      <c r="A106" t="s">
        <v>25</v>
      </c>
      <c r="B106">
        <f>HYPERLINK("https://android.googlesource.com/platform/cts/+/77357827ec785b86132b4ee135189beb96595729", "77357827ec785b86132b4ee135189beb96595729")</f>
        <v>0</v>
      </c>
      <c r="C106">
        <f>HYPERLINK("https://android.googlesource.com/platform/cts/+/3b518328bf6595230c0cf460801d53406b1084b3", "3b518328bf6595230c0cf460801d53406b1084b3")</f>
        <v>0</v>
      </c>
      <c r="D106" t="s">
        <v>4926</v>
      </c>
      <c r="E106" t="s">
        <v>5825</v>
      </c>
      <c r="F106" t="s">
        <v>10594</v>
      </c>
      <c r="G106" t="s">
        <v>14997</v>
      </c>
      <c r="H106" t="s">
        <v>18834</v>
      </c>
    </row>
    <row r="107" spans="1:8">
      <c r="A107" t="s">
        <v>26</v>
      </c>
      <c r="B107">
        <f>HYPERLINK("https://android.googlesource.com/platform/cts/+/2ef9a889f8ecd5e543cde0f87163544a5bb9265e", "2ef9a889f8ecd5e543cde0f87163544a5bb9265e")</f>
        <v>0</v>
      </c>
      <c r="C107">
        <f>HYPERLINK("https://android.googlesource.com/platform/cts/+/cb2832b92dbe9c57f5d283cfb4bd596528eb3917", "cb2832b92dbe9c57f5d283cfb4bd596528eb3917")</f>
        <v>0</v>
      </c>
      <c r="D107" t="s">
        <v>4926</v>
      </c>
      <c r="E107" t="s">
        <v>5826</v>
      </c>
      <c r="F107" t="s">
        <v>10594</v>
      </c>
      <c r="G107" t="s">
        <v>14997</v>
      </c>
      <c r="H107" t="s">
        <v>18834</v>
      </c>
    </row>
    <row r="108" spans="1:8">
      <c r="A108" t="s">
        <v>27</v>
      </c>
      <c r="B108">
        <f>HYPERLINK("https://android.googlesource.com/platform/cts/+/7ae786780ba025c5f49bff98109882b222c3806a", "7ae786780ba025c5f49bff98109882b222c3806a")</f>
        <v>0</v>
      </c>
      <c r="C108">
        <f>HYPERLINK("https://android.googlesource.com/platform/cts/+/ba45315bb7ce4d2b420067f8e157760c266374f1", "ba45315bb7ce4d2b420067f8e157760c266374f1")</f>
        <v>0</v>
      </c>
      <c r="D108" t="s">
        <v>4926</v>
      </c>
      <c r="E108" t="s">
        <v>5827</v>
      </c>
      <c r="F108" t="s">
        <v>10595</v>
      </c>
      <c r="G108" t="s">
        <v>14998</v>
      </c>
      <c r="H108" t="s">
        <v>18829</v>
      </c>
    </row>
    <row r="109" spans="1:8">
      <c r="H109" t="s">
        <v>18835</v>
      </c>
    </row>
    <row r="110" spans="1:8">
      <c r="A110" t="s">
        <v>28</v>
      </c>
      <c r="B110">
        <f>HYPERLINK("https://android.googlesource.com/platform/cts/+/5bf9da14fdf3608fc801a060b0956bf4a152e135", "5bf9da14fdf3608fc801a060b0956bf4a152e135")</f>
        <v>0</v>
      </c>
      <c r="C110">
        <f>HYPERLINK("https://android.googlesource.com/platform/cts/+/58a3e998f87ababe32253c888c1fa83a84132e02", "58a3e998f87ababe32253c888c1fa83a84132e02")</f>
        <v>0</v>
      </c>
      <c r="D110" t="s">
        <v>4926</v>
      </c>
      <c r="E110" t="s">
        <v>5828</v>
      </c>
      <c r="F110" t="s">
        <v>10595</v>
      </c>
      <c r="G110" t="s">
        <v>14998</v>
      </c>
      <c r="H110" t="s">
        <v>18836</v>
      </c>
    </row>
    <row r="111" spans="1:8">
      <c r="A111" t="s">
        <v>29</v>
      </c>
      <c r="B111">
        <f>HYPERLINK("https://android.googlesource.com/platform/cts/+/ab14214fd9813884722925098f4c914a2e6f4632", "ab14214fd9813884722925098f4c914a2e6f4632")</f>
        <v>0</v>
      </c>
      <c r="C111">
        <f>HYPERLINK("https://android.googlesource.com/platform/cts/+/5164ae32d55870a2a47b650ea1f81fae3bd415ea", "5164ae32d55870a2a47b650ea1f81fae3bd415ea")</f>
        <v>0</v>
      </c>
      <c r="D111" t="s">
        <v>4926</v>
      </c>
      <c r="E111" t="s">
        <v>5829</v>
      </c>
      <c r="F111" t="s">
        <v>10595</v>
      </c>
      <c r="G111" t="s">
        <v>14998</v>
      </c>
      <c r="H111" t="s">
        <v>18829</v>
      </c>
    </row>
    <row r="112" spans="1:8">
      <c r="H112" t="s">
        <v>18835</v>
      </c>
    </row>
    <row r="113" spans="1:8">
      <c r="A113" t="s">
        <v>30</v>
      </c>
      <c r="B113">
        <f>HYPERLINK("https://android.googlesource.com/platform/cts/+/d57807eb896c462d3c52b69e9f3280179f35f1e0", "d57807eb896c462d3c52b69e9f3280179f35f1e0")</f>
        <v>0</v>
      </c>
      <c r="C113">
        <f>HYPERLINK("https://android.googlesource.com/platform/cts/+/863f7d8a3af9f8a31fc1de391457afc3682efaaf", "863f7d8a3af9f8a31fc1de391457afc3682efaaf")</f>
        <v>0</v>
      </c>
      <c r="D113" t="s">
        <v>4926</v>
      </c>
      <c r="E113" t="s">
        <v>5830</v>
      </c>
      <c r="F113" t="s">
        <v>10595</v>
      </c>
      <c r="G113" t="s">
        <v>14998</v>
      </c>
      <c r="H113" t="s">
        <v>18836</v>
      </c>
    </row>
    <row r="114" spans="1:8">
      <c r="A114" t="s">
        <v>31</v>
      </c>
      <c r="B114">
        <f>HYPERLINK("https://android.googlesource.com/platform/cts/+/2cc3145e1b66d5e759346240708fd4dcb712ec62", "2cc3145e1b66d5e759346240708fd4dcb712ec62")</f>
        <v>0</v>
      </c>
      <c r="C114">
        <f>HYPERLINK("https://android.googlesource.com/platform/cts/+/39ef24a4f32d952686ade6e64e92f76ebb268e58", "39ef24a4f32d952686ade6e64e92f76ebb268e58")</f>
        <v>0</v>
      </c>
      <c r="D114" t="s">
        <v>4926</v>
      </c>
      <c r="E114" t="s">
        <v>5831</v>
      </c>
      <c r="F114" t="s">
        <v>10595</v>
      </c>
      <c r="G114" t="s">
        <v>14998</v>
      </c>
      <c r="H114" t="s">
        <v>18829</v>
      </c>
    </row>
    <row r="115" spans="1:8">
      <c r="H115" t="s">
        <v>18835</v>
      </c>
    </row>
    <row r="116" spans="1:8">
      <c r="A116" t="s">
        <v>32</v>
      </c>
      <c r="B116">
        <f>HYPERLINK("https://android.googlesource.com/platform/cts/+/31fb751e85a60b168139dd8f986f68c5066474e9", "31fb751e85a60b168139dd8f986f68c5066474e9")</f>
        <v>0</v>
      </c>
      <c r="C116">
        <f>HYPERLINK("https://android.googlesource.com/platform/cts/+/da7d28e55d788988c699cef67d3ef18accf42aa1", "da7d28e55d788988c699cef67d3ef18accf42aa1")</f>
        <v>0</v>
      </c>
      <c r="D116" t="s">
        <v>4926</v>
      </c>
      <c r="E116" t="s">
        <v>5832</v>
      </c>
      <c r="F116" t="s">
        <v>10595</v>
      </c>
      <c r="G116" t="s">
        <v>14998</v>
      </c>
      <c r="H116" t="s">
        <v>18836</v>
      </c>
    </row>
    <row r="117" spans="1:8">
      <c r="A117" t="s">
        <v>33</v>
      </c>
      <c r="B117">
        <f>HYPERLINK("https://android.googlesource.com/platform/cts/+/a74a1c255075f88502b5cd89d8b34a3675320dca", "a74a1c255075f88502b5cd89d8b34a3675320dca")</f>
        <v>0</v>
      </c>
      <c r="C117">
        <f>HYPERLINK("https://android.googlesource.com/platform/cts/+/3e506e0f1bf85808694a1f668bca89dfcf02aaed", "3e506e0f1bf85808694a1f668bca89dfcf02aaed")</f>
        <v>0</v>
      </c>
      <c r="D117" t="s">
        <v>4926</v>
      </c>
      <c r="E117" t="s">
        <v>5833</v>
      </c>
      <c r="F117" t="s">
        <v>10591</v>
      </c>
      <c r="G117" t="s">
        <v>14994</v>
      </c>
      <c r="H117" t="s">
        <v>18837</v>
      </c>
    </row>
    <row r="118" spans="1:8">
      <c r="A118" t="s">
        <v>34</v>
      </c>
      <c r="B118">
        <f>HYPERLINK("https://android.googlesource.com/platform/cts/+/9bf29d299faed6b8d187b0d346f86732fb490d3e", "9bf29d299faed6b8d187b0d346f86732fb490d3e")</f>
        <v>0</v>
      </c>
      <c r="C118">
        <f>HYPERLINK("https://android.googlesource.com/platform/cts/+/956719e979c6cff8230c90c271587b2359a047a6", "956719e979c6cff8230c90c271587b2359a047a6")</f>
        <v>0</v>
      </c>
      <c r="D118" t="s">
        <v>4926</v>
      </c>
      <c r="E118" t="s">
        <v>5834</v>
      </c>
      <c r="F118" t="s">
        <v>10591</v>
      </c>
      <c r="G118" t="s">
        <v>14994</v>
      </c>
      <c r="H118" t="s">
        <v>18837</v>
      </c>
    </row>
    <row r="119" spans="1:8">
      <c r="A119" t="s">
        <v>35</v>
      </c>
      <c r="B119">
        <f>HYPERLINK("https://android.googlesource.com/platform/cts/+/8926a108666630e1a2ee0c4b517f134714413174", "8926a108666630e1a2ee0c4b517f134714413174")</f>
        <v>0</v>
      </c>
      <c r="C119">
        <f>HYPERLINK("https://android.googlesource.com/platform/cts/+/0b98c19c386b615dfd3cffdcce93ba1618bc4767", "0b98c19c386b615dfd3cffdcce93ba1618bc4767")</f>
        <v>0</v>
      </c>
      <c r="D119" t="s">
        <v>4926</v>
      </c>
      <c r="E119" t="s">
        <v>5835</v>
      </c>
      <c r="F119" t="s">
        <v>10591</v>
      </c>
      <c r="G119" t="s">
        <v>14994</v>
      </c>
      <c r="H119" t="s">
        <v>18837</v>
      </c>
    </row>
    <row r="120" spans="1:8">
      <c r="A120" t="s">
        <v>36</v>
      </c>
      <c r="B120">
        <f>HYPERLINK("https://android.googlesource.com/platform/cts/+/5461caa9e82511581178730ff7d3913050e62d27", "5461caa9e82511581178730ff7d3913050e62d27")</f>
        <v>0</v>
      </c>
      <c r="C120">
        <f>HYPERLINK("https://android.googlesource.com/platform/cts/+/c8a5cde6a4f8f126d29fd48a9c76ca205e46d6fc", "c8a5cde6a4f8f126d29fd48a9c76ca205e46d6fc")</f>
        <v>0</v>
      </c>
      <c r="D120" t="s">
        <v>4926</v>
      </c>
      <c r="E120" t="s">
        <v>5836</v>
      </c>
      <c r="F120" t="s">
        <v>10596</v>
      </c>
      <c r="G120" t="s">
        <v>14999</v>
      </c>
      <c r="H120" t="s">
        <v>18838</v>
      </c>
    </row>
    <row r="121" spans="1:8">
      <c r="H121" t="s">
        <v>18839</v>
      </c>
    </row>
    <row r="122" spans="1:8">
      <c r="H122" t="s">
        <v>18840</v>
      </c>
    </row>
    <row r="123" spans="1:8">
      <c r="H123" t="s">
        <v>18841</v>
      </c>
    </row>
    <row r="124" spans="1:8">
      <c r="H124" t="s">
        <v>18842</v>
      </c>
    </row>
    <row r="125" spans="1:8">
      <c r="H125" t="s">
        <v>18843</v>
      </c>
    </row>
    <row r="126" spans="1:8">
      <c r="H126" t="s">
        <v>18844</v>
      </c>
    </row>
    <row r="127" spans="1:8">
      <c r="H127" t="s">
        <v>18845</v>
      </c>
    </row>
    <row r="128" spans="1:8">
      <c r="H128" t="s">
        <v>18846</v>
      </c>
    </row>
    <row r="129" spans="1:8">
      <c r="H129" t="s">
        <v>18847</v>
      </c>
    </row>
    <row r="130" spans="1:8">
      <c r="H130" t="s">
        <v>18848</v>
      </c>
    </row>
    <row r="131" spans="1:8">
      <c r="H131" t="s">
        <v>18849</v>
      </c>
    </row>
    <row r="132" spans="1:8">
      <c r="H132" t="s">
        <v>18850</v>
      </c>
    </row>
    <row r="133" spans="1:8">
      <c r="A133" t="s">
        <v>37</v>
      </c>
      <c r="B133">
        <f>HYPERLINK("https://android.googlesource.com/platform/cts/+/7bdb3e9acf6a4f8250a79b9d1d0d75899f6bd430", "7bdb3e9acf6a4f8250a79b9d1d0d75899f6bd430")</f>
        <v>0</v>
      </c>
      <c r="C133">
        <f>HYPERLINK("https://android.googlesource.com/platform/cts/+/e42765e10fbb0d480460b9a640f3130ffbd0f0e4", "e42765e10fbb0d480460b9a640f3130ffbd0f0e4")</f>
        <v>0</v>
      </c>
      <c r="D133" t="s">
        <v>4926</v>
      </c>
      <c r="E133" t="s">
        <v>5837</v>
      </c>
      <c r="F133" t="s">
        <v>10596</v>
      </c>
      <c r="G133" t="s">
        <v>14999</v>
      </c>
      <c r="H133" t="s">
        <v>18838</v>
      </c>
    </row>
    <row r="134" spans="1:8">
      <c r="H134" t="s">
        <v>18839</v>
      </c>
    </row>
    <row r="135" spans="1:8">
      <c r="H135" t="s">
        <v>18840</v>
      </c>
    </row>
    <row r="136" spans="1:8">
      <c r="H136" t="s">
        <v>18841</v>
      </c>
    </row>
    <row r="137" spans="1:8">
      <c r="H137" t="s">
        <v>18842</v>
      </c>
    </row>
    <row r="138" spans="1:8">
      <c r="H138" t="s">
        <v>18843</v>
      </c>
    </row>
    <row r="139" spans="1:8">
      <c r="H139" t="s">
        <v>18844</v>
      </c>
    </row>
    <row r="140" spans="1:8">
      <c r="H140" t="s">
        <v>18845</v>
      </c>
    </row>
    <row r="141" spans="1:8">
      <c r="H141" t="s">
        <v>18846</v>
      </c>
    </row>
    <row r="142" spans="1:8">
      <c r="H142" t="s">
        <v>18847</v>
      </c>
    </row>
    <row r="143" spans="1:8">
      <c r="H143" t="s">
        <v>18848</v>
      </c>
    </row>
    <row r="144" spans="1:8">
      <c r="H144" t="s">
        <v>18849</v>
      </c>
    </row>
    <row r="145" spans="1:8">
      <c r="H145" t="s">
        <v>18850</v>
      </c>
    </row>
    <row r="146" spans="1:8">
      <c r="A146" t="s">
        <v>38</v>
      </c>
      <c r="B146">
        <f>HYPERLINK("https://android.googlesource.com/platform/cts/+/23546ce4f79a5fbc4bb6efba0e537425e419366b", "23546ce4f79a5fbc4bb6efba0e537425e419366b")</f>
        <v>0</v>
      </c>
      <c r="C146">
        <f>HYPERLINK("https://android.googlesource.com/platform/cts/+/3058575c7c48aab21858e969e070466160e65ef1", "3058575c7c48aab21858e969e070466160e65ef1")</f>
        <v>0</v>
      </c>
      <c r="D146" t="s">
        <v>4926</v>
      </c>
      <c r="E146" t="s">
        <v>5838</v>
      </c>
      <c r="F146" t="s">
        <v>10596</v>
      </c>
      <c r="G146" t="s">
        <v>14999</v>
      </c>
      <c r="H146" t="s">
        <v>18838</v>
      </c>
    </row>
    <row r="147" spans="1:8">
      <c r="H147" t="s">
        <v>18839</v>
      </c>
    </row>
    <row r="148" spans="1:8">
      <c r="H148" t="s">
        <v>18840</v>
      </c>
    </row>
    <row r="149" spans="1:8">
      <c r="H149" t="s">
        <v>18841</v>
      </c>
    </row>
    <row r="150" spans="1:8">
      <c r="H150" t="s">
        <v>18842</v>
      </c>
    </row>
    <row r="151" spans="1:8">
      <c r="H151" t="s">
        <v>18843</v>
      </c>
    </row>
    <row r="152" spans="1:8">
      <c r="H152" t="s">
        <v>18844</v>
      </c>
    </row>
    <row r="153" spans="1:8">
      <c r="H153" t="s">
        <v>18845</v>
      </c>
    </row>
    <row r="154" spans="1:8">
      <c r="H154" t="s">
        <v>18846</v>
      </c>
    </row>
    <row r="155" spans="1:8">
      <c r="H155" t="s">
        <v>18847</v>
      </c>
    </row>
    <row r="156" spans="1:8">
      <c r="H156" t="s">
        <v>18848</v>
      </c>
    </row>
    <row r="157" spans="1:8">
      <c r="H157" t="s">
        <v>18849</v>
      </c>
    </row>
    <row r="158" spans="1:8">
      <c r="H158" t="s">
        <v>18850</v>
      </c>
    </row>
    <row r="159" spans="1:8">
      <c r="A159" t="s">
        <v>39</v>
      </c>
      <c r="B159">
        <f>HYPERLINK("https://android.googlesource.com/platform/cts/+/86ed74f939f577097fa1069965fa6268581d914f", "86ed74f939f577097fa1069965fa6268581d914f")</f>
        <v>0</v>
      </c>
      <c r="C159">
        <f>HYPERLINK("https://android.googlesource.com/platform/cts/+/2cc27de07eb0cbb9196cc8d23a23e313b0861390", "2cc27de07eb0cbb9196cc8d23a23e313b0861390")</f>
        <v>0</v>
      </c>
      <c r="D159" t="s">
        <v>4926</v>
      </c>
      <c r="E159" t="s">
        <v>5839</v>
      </c>
      <c r="F159" t="s">
        <v>10597</v>
      </c>
      <c r="G159" t="s">
        <v>15000</v>
      </c>
      <c r="H159" t="s">
        <v>18829</v>
      </c>
    </row>
    <row r="160" spans="1:8">
      <c r="H160" t="s">
        <v>18851</v>
      </c>
    </row>
    <row r="161" spans="1:8">
      <c r="H161" t="s">
        <v>18852</v>
      </c>
    </row>
    <row r="162" spans="1:8">
      <c r="H162" t="s">
        <v>18853</v>
      </c>
    </row>
    <row r="163" spans="1:8">
      <c r="A163" t="s">
        <v>40</v>
      </c>
      <c r="B163">
        <f>HYPERLINK("https://android.googlesource.com/platform/cts/+/60db5a8fec187a5533b574ea408dd235595d28c5", "60db5a8fec187a5533b574ea408dd235595d28c5")</f>
        <v>0</v>
      </c>
      <c r="C163">
        <f>HYPERLINK("https://android.googlesource.com/platform/cts/+/cdeeb5b288e9c6a250884b3a9f7974ea91c42d24", "cdeeb5b288e9c6a250884b3a9f7974ea91c42d24")</f>
        <v>0</v>
      </c>
      <c r="D163" t="s">
        <v>4926</v>
      </c>
      <c r="E163" t="s">
        <v>5840</v>
      </c>
      <c r="F163" t="s">
        <v>10598</v>
      </c>
      <c r="G163" t="s">
        <v>15001</v>
      </c>
      <c r="H163" t="s">
        <v>18854</v>
      </c>
    </row>
    <row r="164" spans="1:8">
      <c r="H164" t="s">
        <v>18855</v>
      </c>
    </row>
    <row r="165" spans="1:8">
      <c r="H165" t="s">
        <v>18856</v>
      </c>
    </row>
    <row r="166" spans="1:8">
      <c r="H166" t="s">
        <v>18857</v>
      </c>
    </row>
    <row r="167" spans="1:8">
      <c r="H167" t="s">
        <v>18858</v>
      </c>
    </row>
    <row r="168" spans="1:8">
      <c r="H168" t="s">
        <v>18859</v>
      </c>
    </row>
    <row r="169" spans="1:8">
      <c r="H169" t="s">
        <v>18860</v>
      </c>
    </row>
    <row r="170" spans="1:8">
      <c r="A170" t="s">
        <v>41</v>
      </c>
      <c r="B170">
        <f>HYPERLINK("https://android.googlesource.com/platform/cts/+/a0ec0db9ab29f1bee1abb2e4ed7e058cc65fb051", "a0ec0db9ab29f1bee1abb2e4ed7e058cc65fb051")</f>
        <v>0</v>
      </c>
      <c r="C170">
        <f>HYPERLINK("https://android.googlesource.com/platform/cts/+/ba0c1bbe9c11885a9a63ab8ef28b91fd191a527c", "ba0c1bbe9c11885a9a63ab8ef28b91fd191a527c")</f>
        <v>0</v>
      </c>
      <c r="D170" t="s">
        <v>4926</v>
      </c>
      <c r="E170" t="s">
        <v>5841</v>
      </c>
      <c r="F170" t="s">
        <v>10590</v>
      </c>
      <c r="G170" t="s">
        <v>14993</v>
      </c>
      <c r="H170" t="s">
        <v>18861</v>
      </c>
    </row>
    <row r="171" spans="1:8">
      <c r="A171" t="s">
        <v>42</v>
      </c>
      <c r="B171">
        <f>HYPERLINK("https://android.googlesource.com/platform/cts/+/35074ac61cf15ed16fa1cb3cbcaa60d29db7f4c8", "35074ac61cf15ed16fa1cb3cbcaa60d29db7f4c8")</f>
        <v>0</v>
      </c>
      <c r="C171">
        <f>HYPERLINK("https://android.googlesource.com/platform/cts/+/ea0ecf0189315993a707aa7c3a807bf215536932", "ea0ecf0189315993a707aa7c3a807bf215536932")</f>
        <v>0</v>
      </c>
      <c r="D171" t="s">
        <v>4927</v>
      </c>
      <c r="E171" t="s">
        <v>5842</v>
      </c>
      <c r="F171" t="s">
        <v>10599</v>
      </c>
      <c r="G171" t="s">
        <v>15002</v>
      </c>
      <c r="H171" t="s">
        <v>18862</v>
      </c>
    </row>
    <row r="172" spans="1:8">
      <c r="A172" t="s">
        <v>43</v>
      </c>
      <c r="B172">
        <f>HYPERLINK("https://android.googlesource.com/platform/cts/+/b45eaaecb73b3b5fada849b3f8732642a7041658", "b45eaaecb73b3b5fada849b3f8732642a7041658")</f>
        <v>0</v>
      </c>
      <c r="C172">
        <f>HYPERLINK("https://android.googlesource.com/platform/cts/+/382ad68de8dc1fedbf9ce3ab4d1d65f4d80acaef", "382ad68de8dc1fedbf9ce3ab4d1d65f4d80acaef")</f>
        <v>0</v>
      </c>
      <c r="D172" t="s">
        <v>4926</v>
      </c>
      <c r="E172" t="s">
        <v>5843</v>
      </c>
      <c r="F172" t="s">
        <v>10600</v>
      </c>
      <c r="G172" t="s">
        <v>15003</v>
      </c>
      <c r="H172" t="s">
        <v>18863</v>
      </c>
    </row>
    <row r="173" spans="1:8">
      <c r="A173" t="s">
        <v>44</v>
      </c>
      <c r="B173">
        <f>HYPERLINK("https://android.googlesource.com/platform/cts/+/c0a82311ffcc841cad1b11d727c7c58979c21c07", "c0a82311ffcc841cad1b11d727c7c58979c21c07")</f>
        <v>0</v>
      </c>
      <c r="C173">
        <f>HYPERLINK("https://android.googlesource.com/platform/cts/+/986c1abd236b093f8a33a6a6a9a49a14f02ebd62", "986c1abd236b093f8a33a6a6a9a49a14f02ebd62")</f>
        <v>0</v>
      </c>
      <c r="D173" t="s">
        <v>4926</v>
      </c>
      <c r="E173" t="s">
        <v>5844</v>
      </c>
      <c r="F173" t="s">
        <v>10601</v>
      </c>
      <c r="G173" t="s">
        <v>15004</v>
      </c>
      <c r="H173" t="s">
        <v>18829</v>
      </c>
    </row>
    <row r="174" spans="1:8">
      <c r="F174" t="s">
        <v>10602</v>
      </c>
      <c r="G174" t="s">
        <v>15005</v>
      </c>
      <c r="H174" t="s">
        <v>18829</v>
      </c>
    </row>
    <row r="175" spans="1:8">
      <c r="F175" t="s">
        <v>10603</v>
      </c>
      <c r="G175" t="s">
        <v>15006</v>
      </c>
      <c r="H175" t="s">
        <v>18829</v>
      </c>
    </row>
    <row r="176" spans="1:8">
      <c r="H176" t="s">
        <v>18864</v>
      </c>
    </row>
    <row r="177" spans="1:8">
      <c r="H177" t="s">
        <v>18864</v>
      </c>
    </row>
    <row r="178" spans="1:8">
      <c r="H178" t="s">
        <v>18864</v>
      </c>
    </row>
    <row r="179" spans="1:8">
      <c r="H179" t="s">
        <v>18865</v>
      </c>
    </row>
    <row r="180" spans="1:8">
      <c r="H180" t="s">
        <v>18866</v>
      </c>
    </row>
    <row r="181" spans="1:8">
      <c r="A181" t="s">
        <v>45</v>
      </c>
      <c r="B181">
        <f>HYPERLINK("https://android.googlesource.com/platform/cts/+/7eaf3cffb3dd49ff19932b75e1db3dc0618c749b", "7eaf3cffb3dd49ff19932b75e1db3dc0618c749b")</f>
        <v>0</v>
      </c>
      <c r="C181">
        <f>HYPERLINK("https://android.googlesource.com/platform/cts/+/37b5663202f6a51ec8616ab851742fae28d503fe", "37b5663202f6a51ec8616ab851742fae28d503fe")</f>
        <v>0</v>
      </c>
      <c r="D181" t="s">
        <v>4926</v>
      </c>
      <c r="E181" t="s">
        <v>5845</v>
      </c>
      <c r="F181" t="s">
        <v>10604</v>
      </c>
      <c r="G181" t="s">
        <v>15007</v>
      </c>
      <c r="H181" t="s">
        <v>18867</v>
      </c>
    </row>
    <row r="182" spans="1:8">
      <c r="H182" t="s">
        <v>18868</v>
      </c>
    </row>
    <row r="183" spans="1:8">
      <c r="H183" t="s">
        <v>18869</v>
      </c>
    </row>
    <row r="184" spans="1:8">
      <c r="A184" t="s">
        <v>46</v>
      </c>
      <c r="B184">
        <f>HYPERLINK("https://android.googlesource.com/platform/cts/+/7592e4f9f8b89dfafc1f57e28fb293c52c1bccdc", "7592e4f9f8b89dfafc1f57e28fb293c52c1bccdc")</f>
        <v>0</v>
      </c>
      <c r="C184">
        <f>HYPERLINK("https://android.googlesource.com/platform/cts/+/ae22e3755448dcd84e4afae13ef6a1d525220946", "ae22e3755448dcd84e4afae13ef6a1d525220946")</f>
        <v>0</v>
      </c>
      <c r="D184" t="s">
        <v>4926</v>
      </c>
      <c r="E184" t="s">
        <v>5846</v>
      </c>
      <c r="F184" t="s">
        <v>10605</v>
      </c>
      <c r="G184" t="s">
        <v>15008</v>
      </c>
      <c r="H184" t="s">
        <v>18870</v>
      </c>
    </row>
    <row r="185" spans="1:8">
      <c r="H185" t="s">
        <v>18871</v>
      </c>
    </row>
    <row r="186" spans="1:8">
      <c r="A186" t="s">
        <v>47</v>
      </c>
      <c r="B186">
        <f>HYPERLINK("https://android.googlesource.com/platform/cts/+/7a06798806a656c5fbffd496a3606ecb1658b86f", "7a06798806a656c5fbffd496a3606ecb1658b86f")</f>
        <v>0</v>
      </c>
      <c r="C186">
        <f>HYPERLINK("https://android.googlesource.com/platform/cts/+/f005cd606f3e89a455afe99e82752d33b47f20ca", "f005cd606f3e89a455afe99e82752d33b47f20ca")</f>
        <v>0</v>
      </c>
      <c r="D186" t="s">
        <v>4926</v>
      </c>
      <c r="E186" t="s">
        <v>5847</v>
      </c>
      <c r="F186" t="s">
        <v>10606</v>
      </c>
      <c r="G186" t="s">
        <v>15009</v>
      </c>
      <c r="H186" t="s">
        <v>18872</v>
      </c>
    </row>
    <row r="187" spans="1:8">
      <c r="A187" t="s">
        <v>48</v>
      </c>
      <c r="B187">
        <f>HYPERLINK("https://android.googlesource.com/platform/cts/+/707e13f29c58725e8cd8b2feae36c989bf78dabb", "707e13f29c58725e8cd8b2feae36c989bf78dabb")</f>
        <v>0</v>
      </c>
      <c r="C187">
        <f>HYPERLINK("https://android.googlesource.com/platform/cts/+/debd3ce7a51a51bafa414bca3dd63f98fb9d978c", "debd3ce7a51a51bafa414bca3dd63f98fb9d978c")</f>
        <v>0</v>
      </c>
      <c r="D187" t="s">
        <v>4926</v>
      </c>
      <c r="E187" t="s">
        <v>5848</v>
      </c>
      <c r="F187" t="s">
        <v>10607</v>
      </c>
      <c r="G187" t="s">
        <v>15010</v>
      </c>
      <c r="H187" t="s">
        <v>18851</v>
      </c>
    </row>
    <row r="188" spans="1:8">
      <c r="H188" t="s">
        <v>18853</v>
      </c>
    </row>
    <row r="189" spans="1:8">
      <c r="A189" t="s">
        <v>49</v>
      </c>
      <c r="B189">
        <f>HYPERLINK("https://android.googlesource.com/platform/cts/+/b99c55b1a4098b369496068399f5f9eb7664f8e1", "b99c55b1a4098b369496068399f5f9eb7664f8e1")</f>
        <v>0</v>
      </c>
      <c r="C189">
        <f>HYPERLINK("https://android.googlesource.com/platform/cts/+/9c8b7ebce1208a6b5b788199b8d5cab7f78221d9", "9c8b7ebce1208a6b5b788199b8d5cab7f78221d9")</f>
        <v>0</v>
      </c>
      <c r="D189" t="s">
        <v>4928</v>
      </c>
      <c r="E189" t="s">
        <v>5849</v>
      </c>
      <c r="F189" t="s">
        <v>10608</v>
      </c>
      <c r="G189" t="s">
        <v>15011</v>
      </c>
      <c r="H189" t="s">
        <v>18873</v>
      </c>
    </row>
    <row r="190" spans="1:8">
      <c r="F190" t="s">
        <v>10609</v>
      </c>
      <c r="G190" t="s">
        <v>15012</v>
      </c>
      <c r="H190" t="s">
        <v>18873</v>
      </c>
    </row>
    <row r="191" spans="1:8">
      <c r="H191" t="s">
        <v>18874</v>
      </c>
    </row>
    <row r="192" spans="1:8">
      <c r="A192" t="s">
        <v>50</v>
      </c>
      <c r="B192">
        <f>HYPERLINK("https://android.googlesource.com/platform/cts/+/31f8d5069ecf4ecd3318eeb0875a42d2942548c2", "31f8d5069ecf4ecd3318eeb0875a42d2942548c2")</f>
        <v>0</v>
      </c>
      <c r="C192">
        <f>HYPERLINK("https://android.googlesource.com/platform/cts/+/1263200b247f112602a9a85001a7c15c41060790", "1263200b247f112602a9a85001a7c15c41060790")</f>
        <v>0</v>
      </c>
      <c r="D192" t="s">
        <v>4926</v>
      </c>
      <c r="E192" t="s">
        <v>5850</v>
      </c>
      <c r="F192" t="s">
        <v>10586</v>
      </c>
      <c r="G192" t="s">
        <v>14989</v>
      </c>
      <c r="H192" t="s">
        <v>18875</v>
      </c>
    </row>
    <row r="193" spans="1:8">
      <c r="A193" t="s">
        <v>51</v>
      </c>
      <c r="B193">
        <f>HYPERLINK("https://android.googlesource.com/platform/cts/+/72b705b4df314c5cb81a9db2347fb6a6f9384b9a", "72b705b4df314c5cb81a9db2347fb6a6f9384b9a")</f>
        <v>0</v>
      </c>
      <c r="C193">
        <f>HYPERLINK("https://android.googlesource.com/platform/cts/+/5d79c6fabf27d80d9373fd10e1d5dbbb58370c22", "5d79c6fabf27d80d9373fd10e1d5dbbb58370c22")</f>
        <v>0</v>
      </c>
      <c r="D193" t="s">
        <v>4929</v>
      </c>
      <c r="E193" t="s">
        <v>5851</v>
      </c>
      <c r="F193" t="s">
        <v>10610</v>
      </c>
      <c r="G193" t="s">
        <v>15013</v>
      </c>
      <c r="H193" t="s">
        <v>18876</v>
      </c>
    </row>
    <row r="194" spans="1:8">
      <c r="H194" t="s">
        <v>18877</v>
      </c>
    </row>
    <row r="195" spans="1:8">
      <c r="H195" t="s">
        <v>18878</v>
      </c>
    </row>
    <row r="196" spans="1:8">
      <c r="H196" t="s">
        <v>18879</v>
      </c>
    </row>
    <row r="197" spans="1:8">
      <c r="H197" t="s">
        <v>18880</v>
      </c>
    </row>
    <row r="198" spans="1:8">
      <c r="H198" t="s">
        <v>18880</v>
      </c>
    </row>
    <row r="199" spans="1:8">
      <c r="H199" t="s">
        <v>18880</v>
      </c>
    </row>
    <row r="200" spans="1:8">
      <c r="H200" t="s">
        <v>18881</v>
      </c>
    </row>
    <row r="201" spans="1:8">
      <c r="H201" t="s">
        <v>18882</v>
      </c>
    </row>
    <row r="202" spans="1:8">
      <c r="H202" t="s">
        <v>18883</v>
      </c>
    </row>
    <row r="203" spans="1:8">
      <c r="H203" t="s">
        <v>18884</v>
      </c>
    </row>
    <row r="204" spans="1:8">
      <c r="H204" t="s">
        <v>18885</v>
      </c>
    </row>
    <row r="205" spans="1:8">
      <c r="F205" t="s">
        <v>10584</v>
      </c>
      <c r="G205" t="s">
        <v>14987</v>
      </c>
      <c r="H205" t="s">
        <v>18886</v>
      </c>
    </row>
    <row r="206" spans="1:8">
      <c r="H206" t="s">
        <v>18887</v>
      </c>
    </row>
    <row r="207" spans="1:8">
      <c r="F207" t="s">
        <v>10611</v>
      </c>
      <c r="G207" t="s">
        <v>15014</v>
      </c>
      <c r="H207" t="s">
        <v>18888</v>
      </c>
    </row>
    <row r="208" spans="1:8">
      <c r="H208" t="s">
        <v>18889</v>
      </c>
    </row>
    <row r="209" spans="1:8">
      <c r="H209" t="s">
        <v>18890</v>
      </c>
    </row>
    <row r="210" spans="1:8">
      <c r="H210" t="s">
        <v>18891</v>
      </c>
    </row>
    <row r="211" spans="1:8">
      <c r="H211" t="s">
        <v>18892</v>
      </c>
    </row>
    <row r="212" spans="1:8">
      <c r="H212" t="s">
        <v>18893</v>
      </c>
    </row>
    <row r="213" spans="1:8">
      <c r="H213" t="s">
        <v>18894</v>
      </c>
    </row>
    <row r="214" spans="1:8">
      <c r="A214" t="s">
        <v>52</v>
      </c>
      <c r="B214">
        <f>HYPERLINK("https://android.googlesource.com/platform/cts/+/7c20b1b324c6d260d5476bc0f990b6727d8410fb", "7c20b1b324c6d260d5476bc0f990b6727d8410fb")</f>
        <v>0</v>
      </c>
      <c r="C214">
        <f>HYPERLINK("https://android.googlesource.com/platform/cts/+/b81b030d93725efd86709f6039d6da05402e0450", "b81b030d93725efd86709f6039d6da05402e0450")</f>
        <v>0</v>
      </c>
      <c r="D214" t="s">
        <v>4930</v>
      </c>
      <c r="E214" t="s">
        <v>5852</v>
      </c>
      <c r="F214" t="s">
        <v>10612</v>
      </c>
      <c r="G214" t="s">
        <v>15015</v>
      </c>
      <c r="H214" t="s">
        <v>18895</v>
      </c>
    </row>
    <row r="215" spans="1:8">
      <c r="A215" t="s">
        <v>53</v>
      </c>
      <c r="B215">
        <f>HYPERLINK("https://android.googlesource.com/platform/cts/+/7c2f14aa1c4049c94c25f16d1e1f252d9e4ebeb3", "7c2f14aa1c4049c94c25f16d1e1f252d9e4ebeb3")</f>
        <v>0</v>
      </c>
      <c r="C215">
        <f>HYPERLINK("https://android.googlesource.com/platform/cts/+/d815c8f91daebb5c3140a33c20c10afcd56f79e4", "d815c8f91daebb5c3140a33c20c10afcd56f79e4")</f>
        <v>0</v>
      </c>
      <c r="D215" t="s">
        <v>4929</v>
      </c>
      <c r="E215" t="s">
        <v>5853</v>
      </c>
      <c r="F215" t="s">
        <v>10613</v>
      </c>
      <c r="G215" t="s">
        <v>15016</v>
      </c>
      <c r="H215" t="s">
        <v>18896</v>
      </c>
    </row>
    <row r="216" spans="1:8">
      <c r="F216" t="s">
        <v>10614</v>
      </c>
      <c r="G216" t="s">
        <v>15017</v>
      </c>
      <c r="H216" t="s">
        <v>18896</v>
      </c>
    </row>
    <row r="217" spans="1:8">
      <c r="A217" t="s">
        <v>54</v>
      </c>
      <c r="B217">
        <f>HYPERLINK("https://android.googlesource.com/platform/cts/+/158aa4a98a19d572eb2b75283e181f54ee544787", "158aa4a98a19d572eb2b75283e181f54ee544787")</f>
        <v>0</v>
      </c>
      <c r="C217">
        <f>HYPERLINK("https://android.googlesource.com/platform/cts/+/d815c8f91daebb5c3140a33c20c10afcd56f79e4", "d815c8f91daebb5c3140a33c20c10afcd56f79e4")</f>
        <v>0</v>
      </c>
      <c r="D217" t="s">
        <v>4929</v>
      </c>
      <c r="E217" t="s">
        <v>5854</v>
      </c>
      <c r="F217" t="s">
        <v>10615</v>
      </c>
      <c r="G217" t="s">
        <v>15018</v>
      </c>
      <c r="H217" t="s">
        <v>18829</v>
      </c>
    </row>
    <row r="218" spans="1:8">
      <c r="F218" t="s">
        <v>10616</v>
      </c>
      <c r="G218" t="s">
        <v>15019</v>
      </c>
      <c r="H218" t="s">
        <v>18829</v>
      </c>
    </row>
    <row r="219" spans="1:8">
      <c r="F219" t="s">
        <v>10617</v>
      </c>
      <c r="G219" t="s">
        <v>15020</v>
      </c>
      <c r="H219" t="s">
        <v>18829</v>
      </c>
    </row>
    <row r="220" spans="1:8">
      <c r="F220" t="s">
        <v>10618</v>
      </c>
      <c r="G220" t="s">
        <v>15021</v>
      </c>
      <c r="H220" t="s">
        <v>18829</v>
      </c>
    </row>
    <row r="221" spans="1:8">
      <c r="A221" t="s">
        <v>55</v>
      </c>
      <c r="B221">
        <f>HYPERLINK("https://android.googlesource.com/platform/cts/+/8151e7cd7f60ed986a2132dd0aec271e5fd77b40", "8151e7cd7f60ed986a2132dd0aec271e5fd77b40")</f>
        <v>0</v>
      </c>
      <c r="C221">
        <f>HYPERLINK("https://android.googlesource.com/platform/cts/+/d815c8f91daebb5c3140a33c20c10afcd56f79e4", "d815c8f91daebb5c3140a33c20c10afcd56f79e4")</f>
        <v>0</v>
      </c>
      <c r="D221" t="s">
        <v>4929</v>
      </c>
      <c r="E221" t="s">
        <v>5855</v>
      </c>
      <c r="F221" t="s">
        <v>10619</v>
      </c>
      <c r="G221" t="s">
        <v>15022</v>
      </c>
      <c r="H221" t="s">
        <v>18896</v>
      </c>
    </row>
    <row r="222" spans="1:8">
      <c r="F222" t="s">
        <v>10620</v>
      </c>
      <c r="G222" t="s">
        <v>15023</v>
      </c>
      <c r="H222" t="s">
        <v>18897</v>
      </c>
    </row>
    <row r="223" spans="1:8">
      <c r="H223" t="s">
        <v>18898</v>
      </c>
    </row>
    <row r="224" spans="1:8">
      <c r="H224" t="s">
        <v>18899</v>
      </c>
    </row>
    <row r="225" spans="1:8">
      <c r="H225" t="s">
        <v>18900</v>
      </c>
    </row>
    <row r="226" spans="1:8">
      <c r="F226" t="s">
        <v>10621</v>
      </c>
      <c r="G226" t="s">
        <v>15024</v>
      </c>
      <c r="H226" t="s">
        <v>18901</v>
      </c>
    </row>
    <row r="227" spans="1:8">
      <c r="A227" t="s">
        <v>56</v>
      </c>
      <c r="B227">
        <f>HYPERLINK("https://android.googlesource.com/platform/cts/+/8c1f66ea6570a821241e84e8210082e2c793536c", "8c1f66ea6570a821241e84e8210082e2c793536c")</f>
        <v>0</v>
      </c>
      <c r="C227">
        <f>HYPERLINK("https://android.googlesource.com/platform/cts/+/84fc40d8d6e3a69ff82fbb8607ca09db38177e7c", "84fc40d8d6e3a69ff82fbb8607ca09db38177e7c")</f>
        <v>0</v>
      </c>
      <c r="D227" t="s">
        <v>4929</v>
      </c>
      <c r="E227" t="s">
        <v>5856</v>
      </c>
      <c r="F227" t="s">
        <v>10622</v>
      </c>
      <c r="G227" t="s">
        <v>15025</v>
      </c>
      <c r="H227" t="s">
        <v>18902</v>
      </c>
    </row>
    <row r="228" spans="1:8">
      <c r="H228" t="s">
        <v>18903</v>
      </c>
    </row>
    <row r="229" spans="1:8">
      <c r="A229" t="s">
        <v>57</v>
      </c>
      <c r="B229">
        <f>HYPERLINK("https://android.googlesource.com/platform/cts/+/ce5353465568cca84f2a0998cdc3eb27750aeaa0", "ce5353465568cca84f2a0998cdc3eb27750aeaa0")</f>
        <v>0</v>
      </c>
      <c r="C229">
        <f>HYPERLINK("https://android.googlesource.com/platform/cts/+/d9e4c123f8d24a1ae4395a0e649bf57c9d02a837", "d9e4c123f8d24a1ae4395a0e649bf57c9d02a837")</f>
        <v>0</v>
      </c>
      <c r="D229" t="s">
        <v>4930</v>
      </c>
      <c r="E229" t="s">
        <v>5857</v>
      </c>
      <c r="F229" t="s">
        <v>10623</v>
      </c>
      <c r="G229" t="s">
        <v>15026</v>
      </c>
      <c r="H229" t="s">
        <v>18829</v>
      </c>
    </row>
    <row r="230" spans="1:8">
      <c r="H230" t="s">
        <v>18904</v>
      </c>
    </row>
    <row r="231" spans="1:8">
      <c r="H231" t="s">
        <v>18905</v>
      </c>
    </row>
    <row r="232" spans="1:8">
      <c r="H232" t="s">
        <v>18906</v>
      </c>
    </row>
    <row r="233" spans="1:8">
      <c r="H233" t="s">
        <v>18907</v>
      </c>
    </row>
    <row r="234" spans="1:8">
      <c r="H234" t="s">
        <v>18908</v>
      </c>
    </row>
    <row r="235" spans="1:8">
      <c r="H235" t="s">
        <v>18909</v>
      </c>
    </row>
    <row r="236" spans="1:8">
      <c r="H236" t="s">
        <v>18910</v>
      </c>
    </row>
    <row r="237" spans="1:8">
      <c r="H237" t="s">
        <v>18911</v>
      </c>
    </row>
    <row r="238" spans="1:8">
      <c r="H238" t="s">
        <v>18912</v>
      </c>
    </row>
    <row r="239" spans="1:8">
      <c r="H239" t="s">
        <v>18913</v>
      </c>
    </row>
    <row r="240" spans="1:8">
      <c r="H240" t="s">
        <v>18914</v>
      </c>
    </row>
    <row r="241" spans="1:8">
      <c r="H241" t="s">
        <v>18915</v>
      </c>
    </row>
    <row r="242" spans="1:8">
      <c r="H242" t="s">
        <v>18916</v>
      </c>
    </row>
    <row r="243" spans="1:8">
      <c r="A243" t="s">
        <v>58</v>
      </c>
      <c r="B243">
        <f>HYPERLINK("https://android.googlesource.com/platform/cts/+/d507fc0c1d88c7e020f383d2bd73fb897b8aebc4", "d507fc0c1d88c7e020f383d2bd73fb897b8aebc4")</f>
        <v>0</v>
      </c>
      <c r="C243">
        <f>HYPERLINK("https://android.googlesource.com/platform/cts/+/ce5353465568cca84f2a0998cdc3eb27750aeaa0", "ce5353465568cca84f2a0998cdc3eb27750aeaa0")</f>
        <v>0</v>
      </c>
      <c r="D243" t="s">
        <v>4930</v>
      </c>
      <c r="E243" t="s">
        <v>5858</v>
      </c>
      <c r="F243" t="s">
        <v>10624</v>
      </c>
      <c r="G243" t="s">
        <v>15027</v>
      </c>
      <c r="H243" t="s">
        <v>18917</v>
      </c>
    </row>
    <row r="244" spans="1:8">
      <c r="A244" t="s">
        <v>59</v>
      </c>
      <c r="B244">
        <f>HYPERLINK("https://android.googlesource.com/platform/cts/+/3ba0b6150db73d97daedc177f99ed480778ecf41", "3ba0b6150db73d97daedc177f99ed480778ecf41")</f>
        <v>0</v>
      </c>
      <c r="C244">
        <f>HYPERLINK("https://android.googlesource.com/platform/cts/+/7facad782078e7787e96b3992222ad1ff75a4573", "7facad782078e7787e96b3992222ad1ff75a4573")</f>
        <v>0</v>
      </c>
      <c r="D244" t="s">
        <v>4929</v>
      </c>
      <c r="E244" t="s">
        <v>5859</v>
      </c>
      <c r="F244" t="s">
        <v>10625</v>
      </c>
      <c r="G244" t="s">
        <v>15028</v>
      </c>
      <c r="H244" t="s">
        <v>18851</v>
      </c>
    </row>
    <row r="245" spans="1:8">
      <c r="F245" t="s">
        <v>10626</v>
      </c>
      <c r="G245" t="s">
        <v>15029</v>
      </c>
      <c r="H245" t="s">
        <v>18851</v>
      </c>
    </row>
    <row r="246" spans="1:8">
      <c r="H246" t="s">
        <v>18853</v>
      </c>
    </row>
    <row r="247" spans="1:8">
      <c r="F247" t="s">
        <v>10627</v>
      </c>
      <c r="G247" t="s">
        <v>15030</v>
      </c>
      <c r="H247" t="s">
        <v>18918</v>
      </c>
    </row>
    <row r="248" spans="1:8">
      <c r="F248" t="s">
        <v>10583</v>
      </c>
      <c r="G248" t="s">
        <v>14986</v>
      </c>
      <c r="H248" t="s">
        <v>18919</v>
      </c>
    </row>
    <row r="249" spans="1:8">
      <c r="H249" t="s">
        <v>18851</v>
      </c>
    </row>
    <row r="250" spans="1:8">
      <c r="H250" t="s">
        <v>18920</v>
      </c>
    </row>
    <row r="251" spans="1:8">
      <c r="H251" t="s">
        <v>18853</v>
      </c>
    </row>
    <row r="252" spans="1:8">
      <c r="H252" t="s">
        <v>18921</v>
      </c>
    </row>
    <row r="253" spans="1:8">
      <c r="H253" t="s">
        <v>18922</v>
      </c>
    </row>
    <row r="254" spans="1:8">
      <c r="F254" t="s">
        <v>10628</v>
      </c>
      <c r="G254" t="s">
        <v>15031</v>
      </c>
      <c r="H254" t="s">
        <v>18829</v>
      </c>
    </row>
    <row r="255" spans="1:8">
      <c r="F255" t="s">
        <v>10629</v>
      </c>
      <c r="G255" t="s">
        <v>15032</v>
      </c>
      <c r="H255" t="s">
        <v>18829</v>
      </c>
    </row>
    <row r="256" spans="1:8">
      <c r="F256" t="s">
        <v>10630</v>
      </c>
      <c r="G256" t="s">
        <v>15033</v>
      </c>
      <c r="H256" t="s">
        <v>18829</v>
      </c>
    </row>
    <row r="257" spans="1:8">
      <c r="F257" t="s">
        <v>10631</v>
      </c>
      <c r="G257" t="s">
        <v>15034</v>
      </c>
      <c r="H257" t="s">
        <v>18829</v>
      </c>
    </row>
    <row r="258" spans="1:8">
      <c r="F258" t="s">
        <v>10632</v>
      </c>
      <c r="G258" t="s">
        <v>15035</v>
      </c>
      <c r="H258" t="s">
        <v>18829</v>
      </c>
    </row>
    <row r="259" spans="1:8">
      <c r="F259" t="s">
        <v>10633</v>
      </c>
      <c r="G259" t="s">
        <v>15036</v>
      </c>
      <c r="H259" t="s">
        <v>18851</v>
      </c>
    </row>
    <row r="260" spans="1:8">
      <c r="H260" t="s">
        <v>18853</v>
      </c>
    </row>
    <row r="261" spans="1:8">
      <c r="F261" t="s">
        <v>10634</v>
      </c>
      <c r="G261" t="s">
        <v>15037</v>
      </c>
      <c r="H261" t="s">
        <v>18851</v>
      </c>
    </row>
    <row r="262" spans="1:8">
      <c r="H262" t="s">
        <v>18853</v>
      </c>
    </row>
    <row r="263" spans="1:8">
      <c r="F263" t="s">
        <v>10635</v>
      </c>
      <c r="G263" t="s">
        <v>15038</v>
      </c>
      <c r="H263" t="s">
        <v>18829</v>
      </c>
    </row>
    <row r="264" spans="1:8">
      <c r="F264" t="s">
        <v>10636</v>
      </c>
      <c r="G264" t="s">
        <v>15039</v>
      </c>
      <c r="H264" t="s">
        <v>18829</v>
      </c>
    </row>
    <row r="265" spans="1:8">
      <c r="F265" t="s">
        <v>10637</v>
      </c>
      <c r="G265" t="s">
        <v>15040</v>
      </c>
      <c r="H265" t="s">
        <v>18829</v>
      </c>
    </row>
    <row r="266" spans="1:8">
      <c r="F266" t="s">
        <v>10638</v>
      </c>
      <c r="G266" t="s">
        <v>15041</v>
      </c>
      <c r="H266" t="s">
        <v>18923</v>
      </c>
    </row>
    <row r="267" spans="1:8">
      <c r="H267" t="s">
        <v>18853</v>
      </c>
    </row>
    <row r="268" spans="1:8">
      <c r="F268" t="s">
        <v>10639</v>
      </c>
      <c r="G268" t="s">
        <v>15042</v>
      </c>
      <c r="H268" t="s">
        <v>18829</v>
      </c>
    </row>
    <row r="269" spans="1:8">
      <c r="H269" t="s">
        <v>18851</v>
      </c>
    </row>
    <row r="270" spans="1:8">
      <c r="H270" t="s">
        <v>18853</v>
      </c>
    </row>
    <row r="271" spans="1:8">
      <c r="A271" t="s">
        <v>60</v>
      </c>
      <c r="B271">
        <f>HYPERLINK("https://android.googlesource.com/platform/cts/+/eb076857bf022cf332457ee45095f4f6bb9a75ca", "eb076857bf022cf332457ee45095f4f6bb9a75ca")</f>
        <v>0</v>
      </c>
      <c r="C271">
        <f>HYPERLINK("https://android.googlesource.com/platform/cts/+/ce5353465568cca84f2a0998cdc3eb27750aeaa0", "ce5353465568cca84f2a0998cdc3eb27750aeaa0")</f>
        <v>0</v>
      </c>
      <c r="D271" t="s">
        <v>4930</v>
      </c>
      <c r="E271" t="s">
        <v>5860</v>
      </c>
      <c r="F271" t="s">
        <v>10640</v>
      </c>
      <c r="G271" t="s">
        <v>14992</v>
      </c>
      <c r="H271" t="s">
        <v>18924</v>
      </c>
    </row>
    <row r="272" spans="1:8">
      <c r="H272" t="s">
        <v>18924</v>
      </c>
    </row>
    <row r="273" spans="6:8">
      <c r="H273" t="s">
        <v>18925</v>
      </c>
    </row>
    <row r="274" spans="6:8">
      <c r="H274" t="s">
        <v>18926</v>
      </c>
    </row>
    <row r="275" spans="6:8">
      <c r="H275" t="s">
        <v>18927</v>
      </c>
    </row>
    <row r="276" spans="6:8">
      <c r="H276" t="s">
        <v>18927</v>
      </c>
    </row>
    <row r="277" spans="6:8">
      <c r="H277" t="s">
        <v>18928</v>
      </c>
    </row>
    <row r="278" spans="6:8">
      <c r="H278" t="s">
        <v>18929</v>
      </c>
    </row>
    <row r="279" spans="6:8">
      <c r="H279" t="s">
        <v>18829</v>
      </c>
    </row>
    <row r="280" spans="6:8">
      <c r="H280" t="s">
        <v>18863</v>
      </c>
    </row>
    <row r="281" spans="6:8">
      <c r="H281" t="s">
        <v>18930</v>
      </c>
    </row>
    <row r="282" spans="6:8">
      <c r="H282" t="s">
        <v>18931</v>
      </c>
    </row>
    <row r="283" spans="6:8">
      <c r="H283" t="s">
        <v>18932</v>
      </c>
    </row>
    <row r="284" spans="6:8">
      <c r="F284" t="s">
        <v>10641</v>
      </c>
      <c r="G284" t="s">
        <v>15043</v>
      </c>
      <c r="H284" t="s">
        <v>18933</v>
      </c>
    </row>
    <row r="285" spans="6:8">
      <c r="H285" t="s">
        <v>18934</v>
      </c>
    </row>
    <row r="286" spans="6:8">
      <c r="H286" t="s">
        <v>18935</v>
      </c>
    </row>
    <row r="287" spans="6:8">
      <c r="H287" t="s">
        <v>18930</v>
      </c>
    </row>
    <row r="288" spans="6:8">
      <c r="H288" t="s">
        <v>18936</v>
      </c>
    </row>
    <row r="289" spans="6:8">
      <c r="H289" t="s">
        <v>18937</v>
      </c>
    </row>
    <row r="290" spans="6:8">
      <c r="H290" t="s">
        <v>18938</v>
      </c>
    </row>
    <row r="291" spans="6:8">
      <c r="F291" t="s">
        <v>10642</v>
      </c>
      <c r="G291" t="s">
        <v>15044</v>
      </c>
      <c r="H291" t="s">
        <v>18939</v>
      </c>
    </row>
    <row r="292" spans="6:8">
      <c r="H292" t="s">
        <v>18940</v>
      </c>
    </row>
    <row r="293" spans="6:8">
      <c r="H293" t="s">
        <v>18941</v>
      </c>
    </row>
    <row r="294" spans="6:8">
      <c r="H294" t="s">
        <v>18942</v>
      </c>
    </row>
    <row r="295" spans="6:8">
      <c r="H295" t="s">
        <v>18943</v>
      </c>
    </row>
    <row r="296" spans="6:8">
      <c r="H296" t="s">
        <v>18944</v>
      </c>
    </row>
    <row r="297" spans="6:8">
      <c r="H297" t="s">
        <v>18945</v>
      </c>
    </row>
    <row r="298" spans="6:8">
      <c r="H298" t="s">
        <v>18946</v>
      </c>
    </row>
    <row r="299" spans="6:8">
      <c r="H299" t="s">
        <v>18947</v>
      </c>
    </row>
    <row r="300" spans="6:8">
      <c r="H300" t="s">
        <v>18948</v>
      </c>
    </row>
    <row r="301" spans="6:8">
      <c r="H301" t="s">
        <v>18949</v>
      </c>
    </row>
    <row r="302" spans="6:8">
      <c r="H302" t="s">
        <v>18927</v>
      </c>
    </row>
    <row r="303" spans="6:8">
      <c r="H303" t="s">
        <v>18950</v>
      </c>
    </row>
    <row r="304" spans="6:8">
      <c r="H304" t="s">
        <v>18951</v>
      </c>
    </row>
    <row r="305" spans="6:8">
      <c r="H305" t="s">
        <v>18952</v>
      </c>
    </row>
    <row r="306" spans="6:8">
      <c r="H306" t="s">
        <v>18953</v>
      </c>
    </row>
    <row r="307" spans="6:8">
      <c r="H307" t="s">
        <v>18954</v>
      </c>
    </row>
    <row r="308" spans="6:8">
      <c r="H308" t="s">
        <v>18955</v>
      </c>
    </row>
    <row r="309" spans="6:8">
      <c r="F309" t="s">
        <v>10643</v>
      </c>
      <c r="G309" t="s">
        <v>14995</v>
      </c>
      <c r="H309" t="s">
        <v>18956</v>
      </c>
    </row>
    <row r="310" spans="6:8">
      <c r="H310" t="s">
        <v>18957</v>
      </c>
    </row>
    <row r="311" spans="6:8">
      <c r="H311" t="s">
        <v>18958</v>
      </c>
    </row>
    <row r="312" spans="6:8">
      <c r="H312" t="s">
        <v>18959</v>
      </c>
    </row>
    <row r="313" spans="6:8">
      <c r="H313" t="s">
        <v>18960</v>
      </c>
    </row>
    <row r="314" spans="6:8">
      <c r="H314" t="s">
        <v>18960</v>
      </c>
    </row>
    <row r="315" spans="6:8">
      <c r="H315" t="s">
        <v>18960</v>
      </c>
    </row>
    <row r="316" spans="6:8">
      <c r="H316" t="s">
        <v>18960</v>
      </c>
    </row>
    <row r="317" spans="6:8">
      <c r="H317" t="s">
        <v>18960</v>
      </c>
    </row>
    <row r="318" spans="6:8">
      <c r="H318" t="s">
        <v>18960</v>
      </c>
    </row>
    <row r="319" spans="6:8">
      <c r="H319" t="s">
        <v>18961</v>
      </c>
    </row>
    <row r="320" spans="6:8">
      <c r="H320" t="s">
        <v>18962</v>
      </c>
    </row>
    <row r="321" spans="1:8">
      <c r="H321" t="s">
        <v>18925</v>
      </c>
    </row>
    <row r="322" spans="1:8">
      <c r="H322" t="s">
        <v>18931</v>
      </c>
    </row>
    <row r="323" spans="1:8">
      <c r="H323" t="s">
        <v>18927</v>
      </c>
    </row>
    <row r="324" spans="1:8">
      <c r="H324" t="s">
        <v>18929</v>
      </c>
    </row>
    <row r="325" spans="1:8">
      <c r="H325" t="s">
        <v>18932</v>
      </c>
    </row>
    <row r="326" spans="1:8">
      <c r="H326" t="s">
        <v>18963</v>
      </c>
    </row>
    <row r="327" spans="1:8">
      <c r="H327" t="s">
        <v>18964</v>
      </c>
    </row>
    <row r="328" spans="1:8">
      <c r="H328" t="s">
        <v>18965</v>
      </c>
    </row>
    <row r="329" spans="1:8">
      <c r="H329" t="s">
        <v>18930</v>
      </c>
    </row>
    <row r="330" spans="1:8">
      <c r="H330" t="s">
        <v>18966</v>
      </c>
    </row>
    <row r="331" spans="1:8">
      <c r="H331" t="s">
        <v>18967</v>
      </c>
    </row>
    <row r="332" spans="1:8">
      <c r="H332" t="s">
        <v>18968</v>
      </c>
    </row>
    <row r="333" spans="1:8">
      <c r="A333" t="s">
        <v>61</v>
      </c>
      <c r="B333">
        <f>HYPERLINK("https://android.googlesource.com/platform/cts/+/746033319bd79b766bd82fca4a13ed66ff4aadec", "746033319bd79b766bd82fca4a13ed66ff4aadec")</f>
        <v>0</v>
      </c>
      <c r="C333">
        <f>HYPERLINK("https://android.googlesource.com/platform/cts/+/703563d0016f3cf307920d24f5151b0cdbf862dd", "703563d0016f3cf307920d24f5151b0cdbf862dd")</f>
        <v>0</v>
      </c>
      <c r="D333" t="s">
        <v>4929</v>
      </c>
      <c r="E333" t="s">
        <v>5861</v>
      </c>
      <c r="F333" t="s">
        <v>10605</v>
      </c>
      <c r="G333" t="s">
        <v>15008</v>
      </c>
      <c r="H333" t="s">
        <v>18969</v>
      </c>
    </row>
    <row r="334" spans="1:8">
      <c r="H334" t="s">
        <v>18970</v>
      </c>
    </row>
    <row r="335" spans="1:8">
      <c r="H335" t="s">
        <v>18971</v>
      </c>
    </row>
    <row r="336" spans="1:8">
      <c r="H336" t="s">
        <v>18972</v>
      </c>
    </row>
    <row r="337" spans="1:8">
      <c r="H337" t="s">
        <v>18973</v>
      </c>
    </row>
    <row r="338" spans="1:8">
      <c r="H338" t="s">
        <v>18974</v>
      </c>
    </row>
    <row r="339" spans="1:8">
      <c r="H339" t="s">
        <v>18975</v>
      </c>
    </row>
    <row r="340" spans="1:8">
      <c r="H340" t="s">
        <v>18976</v>
      </c>
    </row>
    <row r="341" spans="1:8">
      <c r="H341" t="s">
        <v>18977</v>
      </c>
    </row>
    <row r="342" spans="1:8">
      <c r="H342" t="s">
        <v>18978</v>
      </c>
    </row>
    <row r="343" spans="1:8">
      <c r="H343" t="s">
        <v>18978</v>
      </c>
    </row>
    <row r="344" spans="1:8">
      <c r="A344" t="s">
        <v>62</v>
      </c>
      <c r="B344">
        <f>HYPERLINK("https://android.googlesource.com/platform/cts/+/80b2b0414cfb461c562d4133e242daa341ed3bcb", "80b2b0414cfb461c562d4133e242daa341ed3bcb")</f>
        <v>0</v>
      </c>
      <c r="C344">
        <f>HYPERLINK("https://android.googlesource.com/platform/cts/+/4dd61d245f7903f483a74c3ce0261b7355c9a3c9", "4dd61d245f7903f483a74c3ce0261b7355c9a3c9")</f>
        <v>0</v>
      </c>
      <c r="D344" t="s">
        <v>4929</v>
      </c>
      <c r="E344" t="s">
        <v>5862</v>
      </c>
      <c r="F344" t="s">
        <v>10644</v>
      </c>
      <c r="G344" t="s">
        <v>15045</v>
      </c>
      <c r="H344" t="s">
        <v>18979</v>
      </c>
    </row>
    <row r="345" spans="1:8">
      <c r="H345" t="s">
        <v>18980</v>
      </c>
    </row>
    <row r="346" spans="1:8">
      <c r="H346" t="s">
        <v>18981</v>
      </c>
    </row>
    <row r="347" spans="1:8">
      <c r="F347" t="s">
        <v>10645</v>
      </c>
      <c r="G347" t="s">
        <v>15046</v>
      </c>
      <c r="H347" t="s">
        <v>18982</v>
      </c>
    </row>
    <row r="348" spans="1:8">
      <c r="H348" t="s">
        <v>18983</v>
      </c>
    </row>
    <row r="349" spans="1:8">
      <c r="H349" t="s">
        <v>18984</v>
      </c>
    </row>
    <row r="350" spans="1:8">
      <c r="H350" t="s">
        <v>18985</v>
      </c>
    </row>
    <row r="351" spans="1:8">
      <c r="H351" t="s">
        <v>18986</v>
      </c>
    </row>
    <row r="352" spans="1:8">
      <c r="F352" t="s">
        <v>10646</v>
      </c>
      <c r="G352" t="s">
        <v>15047</v>
      </c>
      <c r="H352" t="s">
        <v>18987</v>
      </c>
    </row>
    <row r="353" spans="1:8">
      <c r="H353" t="s">
        <v>18893</v>
      </c>
    </row>
    <row r="354" spans="1:8">
      <c r="H354" t="s">
        <v>18985</v>
      </c>
    </row>
    <row r="355" spans="1:8">
      <c r="H355" t="s">
        <v>18988</v>
      </c>
    </row>
    <row r="356" spans="1:8">
      <c r="F356" t="s">
        <v>10647</v>
      </c>
      <c r="G356" t="s">
        <v>15048</v>
      </c>
      <c r="H356" t="s">
        <v>18989</v>
      </c>
    </row>
    <row r="357" spans="1:8">
      <c r="A357" t="s">
        <v>63</v>
      </c>
      <c r="B357">
        <f>HYPERLINK("https://android.googlesource.com/platform/cts/+/33dc1fadfe2685caf562e149e1240796d951967b", "33dc1fadfe2685caf562e149e1240796d951967b")</f>
        <v>0</v>
      </c>
      <c r="C357">
        <f>HYPERLINK("https://android.googlesource.com/platform/cts/+/94caf5b13a1bc1a0bb32fd0a045c7e7fd0b5698f", "94caf5b13a1bc1a0bb32fd0a045c7e7fd0b5698f")</f>
        <v>0</v>
      </c>
      <c r="D357" t="s">
        <v>4928</v>
      </c>
      <c r="E357" t="s">
        <v>5863</v>
      </c>
      <c r="F357" t="s">
        <v>10582</v>
      </c>
      <c r="G357" t="s">
        <v>14985</v>
      </c>
      <c r="H357" t="s">
        <v>18990</v>
      </c>
    </row>
    <row r="358" spans="1:8">
      <c r="H358" t="s">
        <v>18991</v>
      </c>
    </row>
    <row r="359" spans="1:8">
      <c r="A359" t="s">
        <v>64</v>
      </c>
      <c r="B359">
        <f>HYPERLINK("https://android.googlesource.com/platform/cts/+/e1a07a3a6fdd90d85ce7347a5fad4e4996942c3d", "e1a07a3a6fdd90d85ce7347a5fad4e4996942c3d")</f>
        <v>0</v>
      </c>
      <c r="C359">
        <f>HYPERLINK("https://android.googlesource.com/platform/cts/+/253ba6235e47a4b5b62e548be22b360fde0d593f", "253ba6235e47a4b5b62e548be22b360fde0d593f")</f>
        <v>0</v>
      </c>
      <c r="D359" t="s">
        <v>4931</v>
      </c>
      <c r="E359" t="s">
        <v>5864</v>
      </c>
      <c r="F359" t="s">
        <v>10648</v>
      </c>
      <c r="G359" t="s">
        <v>15049</v>
      </c>
      <c r="H359" t="s">
        <v>18992</v>
      </c>
    </row>
    <row r="360" spans="1:8">
      <c r="H360" t="s">
        <v>18993</v>
      </c>
    </row>
    <row r="361" spans="1:8">
      <c r="A361" t="s">
        <v>65</v>
      </c>
      <c r="B361">
        <f>HYPERLINK("https://android.googlesource.com/platform/cts/+/e15a994531cd2f8db19ce0bdd8baed98ba2bfef3", "e15a994531cd2f8db19ce0bdd8baed98ba2bfef3")</f>
        <v>0</v>
      </c>
      <c r="C361">
        <f>HYPERLINK("https://android.googlesource.com/platform/cts/+/ae9efdf0063cf26d5d148dc9bee645d23d95edc0", "ae9efdf0063cf26d5d148dc9bee645d23d95edc0")</f>
        <v>0</v>
      </c>
      <c r="D361" t="s">
        <v>4930</v>
      </c>
      <c r="E361" t="s">
        <v>5865</v>
      </c>
      <c r="F361" t="s">
        <v>10649</v>
      </c>
      <c r="G361" t="s">
        <v>15050</v>
      </c>
      <c r="H361" t="s">
        <v>18994</v>
      </c>
    </row>
    <row r="362" spans="1:8">
      <c r="F362" t="s">
        <v>10650</v>
      </c>
      <c r="G362" t="s">
        <v>15051</v>
      </c>
      <c r="H362" t="s">
        <v>18829</v>
      </c>
    </row>
    <row r="363" spans="1:8">
      <c r="H363" t="s">
        <v>18995</v>
      </c>
    </row>
    <row r="364" spans="1:8">
      <c r="H364" t="s">
        <v>18836</v>
      </c>
    </row>
    <row r="365" spans="1:8">
      <c r="H365" t="s">
        <v>18996</v>
      </c>
    </row>
    <row r="366" spans="1:8">
      <c r="H366" t="s">
        <v>18997</v>
      </c>
    </row>
    <row r="367" spans="1:8">
      <c r="H367" t="s">
        <v>18998</v>
      </c>
    </row>
    <row r="368" spans="1:8">
      <c r="H368" t="s">
        <v>18999</v>
      </c>
    </row>
    <row r="369" spans="6:8">
      <c r="H369" t="s">
        <v>19000</v>
      </c>
    </row>
    <row r="370" spans="6:8">
      <c r="H370" t="s">
        <v>19001</v>
      </c>
    </row>
    <row r="371" spans="6:8">
      <c r="H371" t="s">
        <v>19002</v>
      </c>
    </row>
    <row r="372" spans="6:8">
      <c r="H372" t="s">
        <v>19003</v>
      </c>
    </row>
    <row r="373" spans="6:8">
      <c r="H373" t="s">
        <v>19004</v>
      </c>
    </row>
    <row r="374" spans="6:8">
      <c r="H374" t="s">
        <v>19005</v>
      </c>
    </row>
    <row r="375" spans="6:8">
      <c r="F375" t="s">
        <v>10651</v>
      </c>
      <c r="G375" t="s">
        <v>15052</v>
      </c>
      <c r="H375" t="s">
        <v>18829</v>
      </c>
    </row>
    <row r="376" spans="6:8">
      <c r="H376" t="s">
        <v>18836</v>
      </c>
    </row>
    <row r="377" spans="6:8">
      <c r="H377" t="s">
        <v>19006</v>
      </c>
    </row>
    <row r="378" spans="6:8">
      <c r="H378" t="s">
        <v>19007</v>
      </c>
    </row>
    <row r="379" spans="6:8">
      <c r="H379" t="s">
        <v>19008</v>
      </c>
    </row>
    <row r="380" spans="6:8">
      <c r="H380" t="s">
        <v>19009</v>
      </c>
    </row>
    <row r="381" spans="6:8">
      <c r="H381" t="s">
        <v>19010</v>
      </c>
    </row>
    <row r="382" spans="6:8">
      <c r="H382" t="s">
        <v>19011</v>
      </c>
    </row>
    <row r="383" spans="6:8">
      <c r="H383" t="s">
        <v>18835</v>
      </c>
    </row>
    <row r="384" spans="6:8">
      <c r="H384" t="s">
        <v>19012</v>
      </c>
    </row>
    <row r="385" spans="1:8">
      <c r="H385" t="s">
        <v>19013</v>
      </c>
    </row>
    <row r="386" spans="1:8">
      <c r="H386" t="s">
        <v>19014</v>
      </c>
    </row>
    <row r="387" spans="1:8">
      <c r="F387" t="s">
        <v>10652</v>
      </c>
      <c r="G387" t="s">
        <v>15053</v>
      </c>
      <c r="H387" t="s">
        <v>18836</v>
      </c>
    </row>
    <row r="388" spans="1:8">
      <c r="H388" t="s">
        <v>18835</v>
      </c>
    </row>
    <row r="389" spans="1:8">
      <c r="H389" t="s">
        <v>19007</v>
      </c>
    </row>
    <row r="390" spans="1:8">
      <c r="H390" t="s">
        <v>19010</v>
      </c>
    </row>
    <row r="391" spans="1:8">
      <c r="H391" t="s">
        <v>19013</v>
      </c>
    </row>
    <row r="392" spans="1:8">
      <c r="A392" t="s">
        <v>66</v>
      </c>
      <c r="B392">
        <f>HYPERLINK("https://android.googlesource.com/platform/cts/+/7000873a066ca6f6e5c174b8f5fd944dd8c222b1", "7000873a066ca6f6e5c174b8f5fd944dd8c222b1")</f>
        <v>0</v>
      </c>
      <c r="C392">
        <f>HYPERLINK("https://android.googlesource.com/platform/cts/+/f8ee8d58f99f47611577eff98638b3f598655719", "f8ee8d58f99f47611577eff98638b3f598655719")</f>
        <v>0</v>
      </c>
      <c r="D392" t="s">
        <v>4930</v>
      </c>
      <c r="E392" t="s">
        <v>5866</v>
      </c>
      <c r="F392" t="s">
        <v>10653</v>
      </c>
      <c r="G392" t="s">
        <v>15054</v>
      </c>
      <c r="H392" t="s">
        <v>18829</v>
      </c>
    </row>
    <row r="393" spans="1:8">
      <c r="H393" t="s">
        <v>19015</v>
      </c>
    </row>
    <row r="394" spans="1:8">
      <c r="H394" t="s">
        <v>19016</v>
      </c>
    </row>
    <row r="395" spans="1:8">
      <c r="H395" t="s">
        <v>19017</v>
      </c>
    </row>
    <row r="396" spans="1:8">
      <c r="H396" t="s">
        <v>19018</v>
      </c>
    </row>
    <row r="397" spans="1:8">
      <c r="H397" t="s">
        <v>18893</v>
      </c>
    </row>
    <row r="398" spans="1:8">
      <c r="H398" t="s">
        <v>19019</v>
      </c>
    </row>
    <row r="399" spans="1:8">
      <c r="H399" t="s">
        <v>19020</v>
      </c>
    </row>
    <row r="400" spans="1:8">
      <c r="A400" t="s">
        <v>67</v>
      </c>
      <c r="B400">
        <f>HYPERLINK("https://android.googlesource.com/platform/cts/+/cc4ef140ee09a8d61e4a4a09b82e4cfb049a4674", "cc4ef140ee09a8d61e4a4a09b82e4cfb049a4674")</f>
        <v>0</v>
      </c>
      <c r="C400">
        <f>HYPERLINK("https://android.googlesource.com/platform/cts/+/86cbe1d7341f7190a921f1240f82f42d5af2fff5", "86cbe1d7341f7190a921f1240f82f42d5af2fff5")</f>
        <v>0</v>
      </c>
      <c r="D400" t="s">
        <v>4930</v>
      </c>
      <c r="E400" t="s">
        <v>5867</v>
      </c>
      <c r="F400" t="s">
        <v>10654</v>
      </c>
      <c r="G400" t="s">
        <v>15055</v>
      </c>
      <c r="H400" t="s">
        <v>19021</v>
      </c>
    </row>
    <row r="401" spans="1:8">
      <c r="H401" t="s">
        <v>18893</v>
      </c>
    </row>
    <row r="402" spans="1:8">
      <c r="A402" t="s">
        <v>68</v>
      </c>
      <c r="B402">
        <f>HYPERLINK("https://android.googlesource.com/platform/cts/+/496aef40c77af81c19dc2dc8f902ccbfa346e19b", "496aef40c77af81c19dc2dc8f902ccbfa346e19b")</f>
        <v>0</v>
      </c>
      <c r="C402">
        <f>HYPERLINK("https://android.googlesource.com/platform/cts/+/925578cfcabfec40f10d833aace940bfb3325f31", "925578cfcabfec40f10d833aace940bfb3325f31")</f>
        <v>0</v>
      </c>
      <c r="D402" t="s">
        <v>4930</v>
      </c>
      <c r="E402" t="s">
        <v>5868</v>
      </c>
      <c r="F402" t="s">
        <v>10655</v>
      </c>
      <c r="G402" t="s">
        <v>15056</v>
      </c>
      <c r="H402" t="s">
        <v>18835</v>
      </c>
    </row>
    <row r="403" spans="1:8">
      <c r="A403" t="s">
        <v>69</v>
      </c>
      <c r="B403">
        <f>HYPERLINK("https://android.googlesource.com/platform/cts/+/c7ff2e61798abc3a9a99bdb4e26b54dae296de11", "c7ff2e61798abc3a9a99bdb4e26b54dae296de11")</f>
        <v>0</v>
      </c>
      <c r="C403">
        <f>HYPERLINK("https://android.googlesource.com/platform/cts/+/48a66ccf9d950b654fc2c401b3f912dc45e05564", "48a66ccf9d950b654fc2c401b3f912dc45e05564")</f>
        <v>0</v>
      </c>
      <c r="D403" t="s">
        <v>4932</v>
      </c>
      <c r="E403" t="s">
        <v>5869</v>
      </c>
      <c r="F403" t="s">
        <v>10656</v>
      </c>
      <c r="G403" t="s">
        <v>15057</v>
      </c>
      <c r="H403" t="s">
        <v>18829</v>
      </c>
    </row>
    <row r="404" spans="1:8">
      <c r="H404" t="s">
        <v>19022</v>
      </c>
    </row>
    <row r="405" spans="1:8">
      <c r="H405" t="s">
        <v>19023</v>
      </c>
    </row>
    <row r="406" spans="1:8">
      <c r="H406" t="s">
        <v>19024</v>
      </c>
    </row>
    <row r="407" spans="1:8">
      <c r="H407" t="s">
        <v>19025</v>
      </c>
    </row>
    <row r="408" spans="1:8">
      <c r="A408" t="s">
        <v>70</v>
      </c>
      <c r="B408">
        <f>HYPERLINK("https://android.googlesource.com/platform/cts/+/e091316b9f7e7c1dfffa80623188b8496769d398", "e091316b9f7e7c1dfffa80623188b8496769d398")</f>
        <v>0</v>
      </c>
      <c r="C408">
        <f>HYPERLINK("https://android.googlesource.com/platform/cts/+/93dbdba7785edccaac70679a2e67b510912db056", "93dbdba7785edccaac70679a2e67b510912db056")</f>
        <v>0</v>
      </c>
      <c r="D408" t="s">
        <v>4932</v>
      </c>
      <c r="E408" t="s">
        <v>5870</v>
      </c>
      <c r="F408" t="s">
        <v>10657</v>
      </c>
      <c r="G408" t="s">
        <v>15058</v>
      </c>
      <c r="H408" t="s">
        <v>19026</v>
      </c>
    </row>
    <row r="409" spans="1:8">
      <c r="F409" t="s">
        <v>10658</v>
      </c>
      <c r="G409" t="s">
        <v>15059</v>
      </c>
      <c r="H409" t="s">
        <v>19027</v>
      </c>
    </row>
    <row r="410" spans="1:8">
      <c r="A410" t="s">
        <v>71</v>
      </c>
      <c r="B410">
        <f>HYPERLINK("https://android.googlesource.com/platform/cts/+/9ef014ac8654972ee00d0292f736e59d8dd84cf4", "9ef014ac8654972ee00d0292f736e59d8dd84cf4")</f>
        <v>0</v>
      </c>
      <c r="C410">
        <f>HYPERLINK("https://android.googlesource.com/platform/cts/+/19d6ff3877366e09145ef1ee1809998fa1ab2a9a", "19d6ff3877366e09145ef1ee1809998fa1ab2a9a")</f>
        <v>0</v>
      </c>
      <c r="D410" t="s">
        <v>4933</v>
      </c>
      <c r="E410" t="s">
        <v>5871</v>
      </c>
      <c r="F410" t="s">
        <v>10659</v>
      </c>
      <c r="G410" t="s">
        <v>15060</v>
      </c>
      <c r="H410" t="s">
        <v>19028</v>
      </c>
    </row>
    <row r="411" spans="1:8">
      <c r="A411" t="s">
        <v>72</v>
      </c>
      <c r="B411">
        <f>HYPERLINK("https://android.googlesource.com/platform/cts/+/5123e63ad23b068aded07a2a87c2a93229edac8d", "5123e63ad23b068aded07a2a87c2a93229edac8d")</f>
        <v>0</v>
      </c>
      <c r="C411">
        <f>HYPERLINK("https://android.googlesource.com/platform/cts/+/aef116002292133048bb0889cbcac939b5d89edc", "aef116002292133048bb0889cbcac939b5d89edc")</f>
        <v>0</v>
      </c>
      <c r="D411" t="s">
        <v>4932</v>
      </c>
      <c r="E411" t="s">
        <v>5872</v>
      </c>
      <c r="F411" t="s">
        <v>10660</v>
      </c>
      <c r="G411" t="s">
        <v>15061</v>
      </c>
      <c r="H411" t="s">
        <v>19029</v>
      </c>
    </row>
    <row r="412" spans="1:8">
      <c r="H412" t="s">
        <v>19030</v>
      </c>
    </row>
    <row r="413" spans="1:8">
      <c r="A413" t="s">
        <v>73</v>
      </c>
      <c r="B413">
        <f>HYPERLINK("https://android.googlesource.com/platform/cts/+/78c0cbf5b4f6e62e85f7cd538d4727d9f38baa25", "78c0cbf5b4f6e62e85f7cd538d4727d9f38baa25")</f>
        <v>0</v>
      </c>
      <c r="C413">
        <f>HYPERLINK("https://android.googlesource.com/platform/cts/+/c6dd74ed84f79a31b2be4ce52a61fef8e16b54b9", "c6dd74ed84f79a31b2be4ce52a61fef8e16b54b9")</f>
        <v>0</v>
      </c>
      <c r="D413" t="s">
        <v>4932</v>
      </c>
      <c r="E413" t="s">
        <v>5873</v>
      </c>
      <c r="F413" t="s">
        <v>10661</v>
      </c>
      <c r="G413" t="s">
        <v>15062</v>
      </c>
      <c r="H413" t="s">
        <v>19031</v>
      </c>
    </row>
    <row r="414" spans="1:8">
      <c r="H414" t="s">
        <v>19032</v>
      </c>
    </row>
    <row r="415" spans="1:8">
      <c r="H415" t="s">
        <v>19033</v>
      </c>
    </row>
    <row r="416" spans="1:8">
      <c r="A416" t="s">
        <v>74</v>
      </c>
      <c r="B416">
        <f>HYPERLINK("https://android.googlesource.com/platform/cts/+/2a8ec95c8b59c3d51f907252403a7c8dc7ef882b", "2a8ec95c8b59c3d51f907252403a7c8dc7ef882b")</f>
        <v>0</v>
      </c>
      <c r="C416">
        <f>HYPERLINK("https://android.googlesource.com/platform/cts/+/15c60fbd7b5f842049fc71960e9847336a7650be", "15c60fbd7b5f842049fc71960e9847336a7650be")</f>
        <v>0</v>
      </c>
      <c r="D416" t="s">
        <v>4932</v>
      </c>
      <c r="E416" t="s">
        <v>5874</v>
      </c>
      <c r="F416" t="s">
        <v>10662</v>
      </c>
      <c r="G416" t="s">
        <v>15063</v>
      </c>
      <c r="H416" t="s">
        <v>19034</v>
      </c>
    </row>
    <row r="417" spans="1:8">
      <c r="A417" t="s">
        <v>75</v>
      </c>
      <c r="B417">
        <f>HYPERLINK("https://android.googlesource.com/platform/cts/+/ea09b00c6ee80840b18784468857e9c3972abfb0", "ea09b00c6ee80840b18784468857e9c3972abfb0")</f>
        <v>0</v>
      </c>
      <c r="C417">
        <f>HYPERLINK("https://android.googlesource.com/platform/cts/+/eaf3cb81cdf0a403d5bd3b5fae80a6aa5a261716", "eaf3cb81cdf0a403d5bd3b5fae80a6aa5a261716")</f>
        <v>0</v>
      </c>
      <c r="D417" t="s">
        <v>4932</v>
      </c>
      <c r="E417" t="s">
        <v>5875</v>
      </c>
      <c r="F417" t="s">
        <v>10608</v>
      </c>
      <c r="G417" t="s">
        <v>15011</v>
      </c>
      <c r="H417" t="s">
        <v>19035</v>
      </c>
    </row>
    <row r="418" spans="1:8">
      <c r="A418" t="s">
        <v>76</v>
      </c>
      <c r="B418">
        <f>HYPERLINK("https://android.googlesource.com/platform/cts/+/c9728b328c3da6b687146f59471e2d40eb627750", "c9728b328c3da6b687146f59471e2d40eb627750")</f>
        <v>0</v>
      </c>
      <c r="C418">
        <f>HYPERLINK("https://android.googlesource.com/platform/cts/+/455061f0b4c594e796084b7ee0afd7b98248d8aa", "455061f0b4c594e796084b7ee0afd7b98248d8aa")</f>
        <v>0</v>
      </c>
      <c r="D418" t="s">
        <v>4932</v>
      </c>
      <c r="E418" t="s">
        <v>5876</v>
      </c>
      <c r="F418" t="s">
        <v>10663</v>
      </c>
      <c r="G418" t="s">
        <v>15064</v>
      </c>
      <c r="H418" t="s">
        <v>19036</v>
      </c>
    </row>
    <row r="419" spans="1:8">
      <c r="A419" t="s">
        <v>77</v>
      </c>
      <c r="B419">
        <f>HYPERLINK("https://android.googlesource.com/platform/cts/+/9fe411b2080259f227fbc90621bc2061572c8de4", "9fe411b2080259f227fbc90621bc2061572c8de4")</f>
        <v>0</v>
      </c>
      <c r="C419">
        <f>HYPERLINK("https://android.googlesource.com/platform/cts/+/455061f0b4c594e796084b7ee0afd7b98248d8aa", "455061f0b4c594e796084b7ee0afd7b98248d8aa")</f>
        <v>0</v>
      </c>
      <c r="D419" t="s">
        <v>4932</v>
      </c>
      <c r="E419" t="s">
        <v>5877</v>
      </c>
      <c r="F419" t="s">
        <v>10664</v>
      </c>
      <c r="G419" t="s">
        <v>15065</v>
      </c>
      <c r="H419" t="s">
        <v>19037</v>
      </c>
    </row>
    <row r="420" spans="1:8">
      <c r="H420" t="s">
        <v>19038</v>
      </c>
    </row>
    <row r="421" spans="1:8">
      <c r="A421" t="s">
        <v>78</v>
      </c>
      <c r="B421">
        <f>HYPERLINK("https://android.googlesource.com/platform/cts/+/199ed6a44ac161ab32cbab3f69c0fe5fdf3401c5", "199ed6a44ac161ab32cbab3f69c0fe5fdf3401c5")</f>
        <v>0</v>
      </c>
      <c r="C421">
        <f>HYPERLINK("https://android.googlesource.com/platform/cts/+/fb4736d7c9c802a16705843dfafd4c775a4f2226", "fb4736d7c9c802a16705843dfafd4c775a4f2226")</f>
        <v>0</v>
      </c>
      <c r="D421" t="s">
        <v>4934</v>
      </c>
      <c r="E421" t="s">
        <v>5878</v>
      </c>
      <c r="F421" t="s">
        <v>10665</v>
      </c>
      <c r="G421" t="s">
        <v>15066</v>
      </c>
      <c r="H421" t="s">
        <v>19039</v>
      </c>
    </row>
    <row r="422" spans="1:8">
      <c r="A422" t="s">
        <v>79</v>
      </c>
      <c r="B422">
        <f>HYPERLINK("https://android.googlesource.com/platform/cts/+/915bd6accb19cc43c295a313a556c0c9316a8259", "915bd6accb19cc43c295a313a556c0c9316a8259")</f>
        <v>0</v>
      </c>
      <c r="C422">
        <f>HYPERLINK("https://android.googlesource.com/platform/cts/+/b5e916bc4402ba3fa3411c4c52fc4af73ea61a43", "b5e916bc4402ba3fa3411c4c52fc4af73ea61a43")</f>
        <v>0</v>
      </c>
      <c r="D422" t="s">
        <v>4935</v>
      </c>
      <c r="E422" t="s">
        <v>5879</v>
      </c>
      <c r="F422" t="s">
        <v>10666</v>
      </c>
      <c r="G422" t="s">
        <v>15067</v>
      </c>
      <c r="H422" t="s">
        <v>19040</v>
      </c>
    </row>
    <row r="423" spans="1:8">
      <c r="H423" t="s">
        <v>19041</v>
      </c>
    </row>
    <row r="424" spans="1:8">
      <c r="H424" t="s">
        <v>19042</v>
      </c>
    </row>
    <row r="425" spans="1:8">
      <c r="A425" t="s">
        <v>80</v>
      </c>
      <c r="B425">
        <f>HYPERLINK("https://android.googlesource.com/platform/cts/+/d7af06ff44ee93a819dfa560fb6669e6c5e1d218", "d7af06ff44ee93a819dfa560fb6669e6c5e1d218")</f>
        <v>0</v>
      </c>
      <c r="C425">
        <f>HYPERLINK("https://android.googlesource.com/platform/cts/+/ec611467d3133d3c38af549a3cafa70567d5ec83", "ec611467d3133d3c38af549a3cafa70567d5ec83")</f>
        <v>0</v>
      </c>
      <c r="D425" t="s">
        <v>4932</v>
      </c>
      <c r="E425" t="s">
        <v>5880</v>
      </c>
      <c r="F425" t="s">
        <v>10667</v>
      </c>
      <c r="G425" t="s">
        <v>15068</v>
      </c>
      <c r="H425" t="s">
        <v>19043</v>
      </c>
    </row>
    <row r="426" spans="1:8">
      <c r="A426" t="s">
        <v>81</v>
      </c>
      <c r="B426">
        <f>HYPERLINK("https://android.googlesource.com/platform/cts/+/aecd08721007e2cb5c8ebff166d701799fba22b7", "aecd08721007e2cb5c8ebff166d701799fba22b7")</f>
        <v>0</v>
      </c>
      <c r="C426">
        <f>HYPERLINK("https://android.googlesource.com/platform/cts/+/ec611467d3133d3c38af549a3cafa70567d5ec83", "ec611467d3133d3c38af549a3cafa70567d5ec83")</f>
        <v>0</v>
      </c>
      <c r="D426" t="s">
        <v>4936</v>
      </c>
      <c r="E426" t="s">
        <v>5881</v>
      </c>
      <c r="F426" t="s">
        <v>10668</v>
      </c>
      <c r="G426" t="s">
        <v>15069</v>
      </c>
      <c r="H426" t="s">
        <v>19044</v>
      </c>
    </row>
    <row r="427" spans="1:8">
      <c r="A427" t="s">
        <v>82</v>
      </c>
      <c r="B427">
        <f>HYPERLINK("https://android.googlesource.com/platform/cts/+/11ef4caff62219aedb606c44183712ff2f5458ab", "11ef4caff62219aedb606c44183712ff2f5458ab")</f>
        <v>0</v>
      </c>
      <c r="C427">
        <f>HYPERLINK("https://android.googlesource.com/platform/cts/+/ac48191873770c2f2652e41bb176e88fced6ac9a", "ac48191873770c2f2652e41bb176e88fced6ac9a")</f>
        <v>0</v>
      </c>
      <c r="D427" t="s">
        <v>4937</v>
      </c>
      <c r="E427" t="s">
        <v>5882</v>
      </c>
      <c r="F427" t="s">
        <v>10669</v>
      </c>
      <c r="G427" t="s">
        <v>15070</v>
      </c>
      <c r="H427" t="s">
        <v>19045</v>
      </c>
    </row>
    <row r="428" spans="1:8">
      <c r="H428" t="s">
        <v>19046</v>
      </c>
    </row>
    <row r="429" spans="1:8">
      <c r="A429" t="s">
        <v>83</v>
      </c>
      <c r="B429">
        <f>HYPERLINK("https://android.googlesource.com/platform/cts/+/23f16838d1b9f7fde092b8775da9c90c1a895002", "23f16838d1b9f7fde092b8775da9c90c1a895002")</f>
        <v>0</v>
      </c>
      <c r="C429">
        <f>HYPERLINK("https://android.googlesource.com/platform/cts/+/a8910fd345eb644bcfa691e372e57bc391296cdf", "a8910fd345eb644bcfa691e372e57bc391296cdf")</f>
        <v>0</v>
      </c>
      <c r="D429" t="s">
        <v>4938</v>
      </c>
      <c r="E429" t="s">
        <v>5883</v>
      </c>
      <c r="F429" t="s">
        <v>10670</v>
      </c>
      <c r="G429" t="s">
        <v>15029</v>
      </c>
      <c r="H429" t="s">
        <v>19047</v>
      </c>
    </row>
    <row r="430" spans="1:8">
      <c r="A430" t="s">
        <v>84</v>
      </c>
      <c r="B430">
        <f>HYPERLINK("https://android.googlesource.com/platform/cts/+/4199748c926b40c0a43cef0670030e71d7be6ab1", "4199748c926b40c0a43cef0670030e71d7be6ab1")</f>
        <v>0</v>
      </c>
      <c r="C430">
        <f>HYPERLINK("https://android.googlesource.com/platform/cts/+/c39c4a9ff2bad1829925566de3af176d9685ea8e", "c39c4a9ff2bad1829925566de3af176d9685ea8e")</f>
        <v>0</v>
      </c>
      <c r="D430" t="s">
        <v>4927</v>
      </c>
      <c r="E430" t="s">
        <v>5884</v>
      </c>
      <c r="F430" t="s">
        <v>10668</v>
      </c>
      <c r="G430" t="s">
        <v>15069</v>
      </c>
      <c r="H430" t="s">
        <v>19048</v>
      </c>
    </row>
    <row r="431" spans="1:8">
      <c r="A431" t="s">
        <v>85</v>
      </c>
      <c r="B431">
        <f>HYPERLINK("https://android.googlesource.com/platform/cts/+/26d49be7708dae2d53f29ec5c166ef6c75566a84", "26d49be7708dae2d53f29ec5c166ef6c75566a84")</f>
        <v>0</v>
      </c>
      <c r="C431">
        <f>HYPERLINK("https://android.googlesource.com/platform/cts/+/dfb26176839bc0727c4eec422f7579d9af2df948", "dfb26176839bc0727c4eec422f7579d9af2df948")</f>
        <v>0</v>
      </c>
      <c r="D431" t="s">
        <v>4939</v>
      </c>
      <c r="E431" t="s">
        <v>5885</v>
      </c>
      <c r="F431" t="s">
        <v>10671</v>
      </c>
      <c r="G431" t="s">
        <v>15071</v>
      </c>
      <c r="H431" t="s">
        <v>19049</v>
      </c>
    </row>
    <row r="432" spans="1:8">
      <c r="A432" t="s">
        <v>86</v>
      </c>
      <c r="B432">
        <f>HYPERLINK("https://android.googlesource.com/platform/cts/+/410ea0765730bd258220348c336a267ac2931611", "410ea0765730bd258220348c336a267ac2931611")</f>
        <v>0</v>
      </c>
      <c r="C432">
        <f>HYPERLINK("https://android.googlesource.com/platform/cts/+/e458cce47ae52437ab2c476fe4b62d6146a4d5fe", "e458cce47ae52437ab2c476fe4b62d6146a4d5fe")</f>
        <v>0</v>
      </c>
      <c r="D432" t="s">
        <v>4940</v>
      </c>
      <c r="E432" t="s">
        <v>5886</v>
      </c>
      <c r="F432" t="s">
        <v>10670</v>
      </c>
      <c r="G432" t="s">
        <v>15029</v>
      </c>
      <c r="H432" t="s">
        <v>19050</v>
      </c>
    </row>
    <row r="433" spans="1:8">
      <c r="A433" t="s">
        <v>87</v>
      </c>
      <c r="B433">
        <f>HYPERLINK("https://android.googlesource.com/platform/cts/+/f6e0aac2f1cfa1a6c56dd38bcbb1b0f8d767ed5d", "f6e0aac2f1cfa1a6c56dd38bcbb1b0f8d767ed5d")</f>
        <v>0</v>
      </c>
      <c r="C433">
        <f>HYPERLINK("https://android.googlesource.com/platform/cts/+/e458cce47ae52437ab2c476fe4b62d6146a4d5fe", "e458cce47ae52437ab2c476fe4b62d6146a4d5fe")</f>
        <v>0</v>
      </c>
      <c r="D433" t="s">
        <v>4941</v>
      </c>
      <c r="E433" t="s">
        <v>5887</v>
      </c>
      <c r="F433" t="s">
        <v>10672</v>
      </c>
      <c r="G433" t="s">
        <v>15072</v>
      </c>
      <c r="H433" t="s">
        <v>19051</v>
      </c>
    </row>
    <row r="434" spans="1:8">
      <c r="A434" t="s">
        <v>88</v>
      </c>
      <c r="B434">
        <f>HYPERLINK("https://android.googlesource.com/platform/cts/+/719bcd0dfdbe2c015746dc9738390c59c53f8268", "719bcd0dfdbe2c015746dc9738390c59c53f8268")</f>
        <v>0</v>
      </c>
      <c r="C434">
        <f>HYPERLINK("https://android.googlesource.com/platform/cts/+/e458cce47ae52437ab2c476fe4b62d6146a4d5fe", "e458cce47ae52437ab2c476fe4b62d6146a4d5fe")</f>
        <v>0</v>
      </c>
      <c r="D434" t="s">
        <v>4941</v>
      </c>
      <c r="E434" t="s">
        <v>5888</v>
      </c>
      <c r="F434" t="s">
        <v>10673</v>
      </c>
      <c r="G434" t="s">
        <v>15073</v>
      </c>
      <c r="H434" t="s">
        <v>18878</v>
      </c>
    </row>
    <row r="435" spans="1:8">
      <c r="A435" t="s">
        <v>89</v>
      </c>
      <c r="B435">
        <f>HYPERLINK("https://android.googlesource.com/platform/cts/+/ffa439bfca7d15ee4d9e203d39e87a1cc0432dd1", "ffa439bfca7d15ee4d9e203d39e87a1cc0432dd1")</f>
        <v>0</v>
      </c>
      <c r="C435">
        <f>HYPERLINK("https://android.googlesource.com/platform/cts/+/e458cce47ae52437ab2c476fe4b62d6146a4d5fe", "e458cce47ae52437ab2c476fe4b62d6146a4d5fe")</f>
        <v>0</v>
      </c>
      <c r="D435" t="s">
        <v>4941</v>
      </c>
      <c r="E435" t="s">
        <v>5889</v>
      </c>
      <c r="F435" t="s">
        <v>10674</v>
      </c>
      <c r="G435" t="s">
        <v>15074</v>
      </c>
      <c r="H435" t="s">
        <v>19052</v>
      </c>
    </row>
    <row r="436" spans="1:8">
      <c r="A436" t="s">
        <v>90</v>
      </c>
      <c r="B436">
        <f>HYPERLINK("https://android.googlesource.com/platform/cts/+/799b05108a00f86f3e05292972a2e308b2b19c84", "799b05108a00f86f3e05292972a2e308b2b19c84")</f>
        <v>0</v>
      </c>
      <c r="C436">
        <f>HYPERLINK("https://android.googlesource.com/platform/cts/+/8ac9cae79f735bef473520c4675e666eb99f6820", "8ac9cae79f735bef473520c4675e666eb99f6820")</f>
        <v>0</v>
      </c>
      <c r="D436" t="s">
        <v>4941</v>
      </c>
      <c r="E436" t="s">
        <v>5890</v>
      </c>
      <c r="F436" t="s">
        <v>10584</v>
      </c>
      <c r="G436" t="s">
        <v>14987</v>
      </c>
      <c r="H436" t="s">
        <v>19053</v>
      </c>
    </row>
    <row r="437" spans="1:8">
      <c r="H437" t="s">
        <v>19054</v>
      </c>
    </row>
    <row r="438" spans="1:8">
      <c r="A438" t="s">
        <v>91</v>
      </c>
      <c r="B438">
        <f>HYPERLINK("https://android.googlesource.com/platform/cts/+/171130b522afb7b2729c93a93d8e9978fb918cb8", "171130b522afb7b2729c93a93d8e9978fb918cb8")</f>
        <v>0</v>
      </c>
      <c r="C438">
        <f>HYPERLINK("https://android.googlesource.com/platform/cts/+/8ac9cae79f735bef473520c4675e666eb99f6820", "8ac9cae79f735bef473520c4675e666eb99f6820")</f>
        <v>0</v>
      </c>
      <c r="D438" t="s">
        <v>4941</v>
      </c>
      <c r="E438" t="s">
        <v>5891</v>
      </c>
      <c r="F438" t="s">
        <v>10675</v>
      </c>
      <c r="G438" t="s">
        <v>15075</v>
      </c>
      <c r="H438" t="s">
        <v>19055</v>
      </c>
    </row>
    <row r="439" spans="1:8">
      <c r="H439" t="s">
        <v>19056</v>
      </c>
    </row>
    <row r="440" spans="1:8">
      <c r="A440" t="s">
        <v>92</v>
      </c>
      <c r="B440">
        <f>HYPERLINK("https://android.googlesource.com/platform/cts/+/a9a6e570a21f388319d608353dfaccf8a57051b7", "a9a6e570a21f388319d608353dfaccf8a57051b7")</f>
        <v>0</v>
      </c>
      <c r="C440">
        <f>HYPERLINK("https://android.googlesource.com/platform/cts/+/20622a8f2a2a29d2ff81e02aa28c0cf37b34ea56", "20622a8f2a2a29d2ff81e02aa28c0cf37b34ea56")</f>
        <v>0</v>
      </c>
      <c r="D440" t="s">
        <v>4940</v>
      </c>
      <c r="E440" t="s">
        <v>5892</v>
      </c>
      <c r="F440" t="s">
        <v>10670</v>
      </c>
      <c r="G440" t="s">
        <v>15029</v>
      </c>
      <c r="H440" t="s">
        <v>19057</v>
      </c>
    </row>
    <row r="441" spans="1:8">
      <c r="A441" t="s">
        <v>93</v>
      </c>
      <c r="B441">
        <f>HYPERLINK("https://android.googlesource.com/platform/cts/+/df56b8fd6e80dc2d9d487b86f5b71c54314ad475", "df56b8fd6e80dc2d9d487b86f5b71c54314ad475")</f>
        <v>0</v>
      </c>
      <c r="C441">
        <f>HYPERLINK("https://android.googlesource.com/platform/cts/+/33d66d69997986ee55b19ab216756e6df04b8fe1", "33d66d69997986ee55b19ab216756e6df04b8fe1")</f>
        <v>0</v>
      </c>
      <c r="D441" t="s">
        <v>4942</v>
      </c>
      <c r="E441" t="s">
        <v>5893</v>
      </c>
      <c r="F441" t="s">
        <v>10676</v>
      </c>
      <c r="G441" t="s">
        <v>15076</v>
      </c>
      <c r="H441" t="s">
        <v>19058</v>
      </c>
    </row>
    <row r="442" spans="1:8">
      <c r="H442" t="s">
        <v>19059</v>
      </c>
    </row>
    <row r="443" spans="1:8">
      <c r="H443" t="s">
        <v>19060</v>
      </c>
    </row>
    <row r="444" spans="1:8">
      <c r="H444" t="s">
        <v>19061</v>
      </c>
    </row>
    <row r="445" spans="1:8">
      <c r="H445" t="s">
        <v>19062</v>
      </c>
    </row>
    <row r="446" spans="1:8">
      <c r="A446" t="s">
        <v>94</v>
      </c>
      <c r="B446">
        <f>HYPERLINK("https://android.googlesource.com/platform/cts/+/0ad4bf40b2f105f372485b8fc5b83ed3c65b1ee7", "0ad4bf40b2f105f372485b8fc5b83ed3c65b1ee7")</f>
        <v>0</v>
      </c>
      <c r="C446">
        <f>HYPERLINK("https://android.googlesource.com/platform/cts/+/4bfdf82ee70de8e6fb674929cf973186d90a427c", "4bfdf82ee70de8e6fb674929cf973186d90a427c")</f>
        <v>0</v>
      </c>
      <c r="D446" t="s">
        <v>4932</v>
      </c>
      <c r="E446" t="s">
        <v>5894</v>
      </c>
      <c r="F446" t="s">
        <v>10608</v>
      </c>
      <c r="G446" t="s">
        <v>15011</v>
      </c>
      <c r="H446" t="s">
        <v>19063</v>
      </c>
    </row>
    <row r="447" spans="1:8">
      <c r="H447" t="s">
        <v>19064</v>
      </c>
    </row>
    <row r="448" spans="1:8">
      <c r="A448" t="s">
        <v>95</v>
      </c>
      <c r="B448">
        <f>HYPERLINK("https://android.googlesource.com/platform/cts/+/a202fccb97a003b35cf66f525d4963511614dae1", "a202fccb97a003b35cf66f525d4963511614dae1")</f>
        <v>0</v>
      </c>
      <c r="C448">
        <f>HYPERLINK("https://android.googlesource.com/platform/cts/+/a9629dbcc8eadddde0d4a2af6d9620bd293d2ec8", "a9629dbcc8eadddde0d4a2af6d9620bd293d2ec8")</f>
        <v>0</v>
      </c>
      <c r="D448" t="s">
        <v>4943</v>
      </c>
      <c r="E448" t="s">
        <v>5895</v>
      </c>
      <c r="F448" t="s">
        <v>10677</v>
      </c>
      <c r="G448" t="s">
        <v>15077</v>
      </c>
      <c r="H448" t="s">
        <v>18829</v>
      </c>
    </row>
    <row r="449" spans="8:8">
      <c r="H449" t="s">
        <v>19065</v>
      </c>
    </row>
    <row r="450" spans="8:8">
      <c r="H450" t="s">
        <v>19066</v>
      </c>
    </row>
    <row r="451" spans="8:8">
      <c r="H451" t="s">
        <v>19067</v>
      </c>
    </row>
    <row r="452" spans="8:8">
      <c r="H452" t="s">
        <v>19068</v>
      </c>
    </row>
    <row r="453" spans="8:8">
      <c r="H453" t="s">
        <v>19069</v>
      </c>
    </row>
    <row r="454" spans="8:8">
      <c r="H454" t="s">
        <v>19070</v>
      </c>
    </row>
    <row r="455" spans="8:8">
      <c r="H455" t="s">
        <v>19071</v>
      </c>
    </row>
    <row r="456" spans="8:8">
      <c r="H456" t="s">
        <v>19072</v>
      </c>
    </row>
    <row r="457" spans="8:8">
      <c r="H457" t="s">
        <v>19073</v>
      </c>
    </row>
    <row r="458" spans="8:8">
      <c r="H458" t="s">
        <v>19074</v>
      </c>
    </row>
    <row r="459" spans="8:8">
      <c r="H459" t="s">
        <v>19075</v>
      </c>
    </row>
    <row r="460" spans="8:8">
      <c r="H460" t="s">
        <v>19076</v>
      </c>
    </row>
    <row r="461" spans="8:8">
      <c r="H461" t="s">
        <v>18893</v>
      </c>
    </row>
    <row r="462" spans="8:8">
      <c r="H462" t="s">
        <v>18985</v>
      </c>
    </row>
    <row r="463" spans="8:8">
      <c r="H463" t="s">
        <v>19077</v>
      </c>
    </row>
    <row r="464" spans="8:8">
      <c r="H464" t="s">
        <v>19077</v>
      </c>
    </row>
    <row r="465" spans="1:8">
      <c r="H465" t="s">
        <v>19077</v>
      </c>
    </row>
    <row r="466" spans="1:8">
      <c r="H466" t="s">
        <v>19078</v>
      </c>
    </row>
    <row r="467" spans="1:8">
      <c r="H467" t="s">
        <v>19079</v>
      </c>
    </row>
    <row r="468" spans="1:8">
      <c r="H468" t="s">
        <v>19080</v>
      </c>
    </row>
    <row r="469" spans="1:8">
      <c r="H469" t="s">
        <v>19081</v>
      </c>
    </row>
    <row r="470" spans="1:8">
      <c r="H470" t="s">
        <v>19082</v>
      </c>
    </row>
    <row r="471" spans="1:8">
      <c r="H471" t="s">
        <v>19083</v>
      </c>
    </row>
    <row r="472" spans="1:8">
      <c r="A472" t="s">
        <v>96</v>
      </c>
      <c r="B472">
        <f>HYPERLINK("https://android.googlesource.com/platform/cts/+/c3f6be44cf37b33bdf0e4f66d734f73ed69c1176", "c3f6be44cf37b33bdf0e4f66d734f73ed69c1176")</f>
        <v>0</v>
      </c>
      <c r="C472">
        <f>HYPERLINK("https://android.googlesource.com/platform/cts/+/b3e3c7938d7e9e1753a592570ba3dd16ac85c799", "b3e3c7938d7e9e1753a592570ba3dd16ac85c799")</f>
        <v>0</v>
      </c>
      <c r="D472" t="s">
        <v>4940</v>
      </c>
      <c r="E472" t="s">
        <v>5896</v>
      </c>
      <c r="F472" t="s">
        <v>10670</v>
      </c>
      <c r="G472" t="s">
        <v>15029</v>
      </c>
      <c r="H472" t="s">
        <v>19084</v>
      </c>
    </row>
    <row r="473" spans="1:8">
      <c r="H473" t="s">
        <v>19085</v>
      </c>
    </row>
    <row r="474" spans="1:8">
      <c r="A474" t="s">
        <v>97</v>
      </c>
      <c r="B474">
        <f>HYPERLINK("https://android.googlesource.com/platform/cts/+/2980da2061f1ae72280bcf5074888cbea4132fc1", "2980da2061f1ae72280bcf5074888cbea4132fc1")</f>
        <v>0</v>
      </c>
      <c r="C474">
        <f>HYPERLINK("https://android.googlesource.com/platform/cts/+/90c418e81f9deb7408f5927c39ca241685b2a2dd", "90c418e81f9deb7408f5927c39ca241685b2a2dd")</f>
        <v>0</v>
      </c>
      <c r="D474" t="s">
        <v>4938</v>
      </c>
      <c r="E474" t="s">
        <v>5897</v>
      </c>
      <c r="F474" t="s">
        <v>10670</v>
      </c>
      <c r="G474" t="s">
        <v>15029</v>
      </c>
      <c r="H474" t="s">
        <v>19086</v>
      </c>
    </row>
    <row r="475" spans="1:8">
      <c r="A475" t="s">
        <v>98</v>
      </c>
      <c r="B475">
        <f>HYPERLINK("https://android.googlesource.com/platform/cts/+/d97d17a43f5bb2cc383224bc5bd0dc04c406a010", "d97d17a43f5bb2cc383224bc5bd0dc04c406a010")</f>
        <v>0</v>
      </c>
      <c r="C475">
        <f>HYPERLINK("https://android.googlesource.com/platform/cts/+/c6384c5b383ba95bf39a360d2d480b0bc915c2a4", "c6384c5b383ba95bf39a360d2d480b0bc915c2a4")</f>
        <v>0</v>
      </c>
      <c r="D475" t="s">
        <v>4944</v>
      </c>
      <c r="E475" t="s">
        <v>5898</v>
      </c>
      <c r="F475" t="s">
        <v>10678</v>
      </c>
      <c r="G475" t="s">
        <v>15078</v>
      </c>
      <c r="H475" t="s">
        <v>19087</v>
      </c>
    </row>
    <row r="476" spans="1:8">
      <c r="F476" t="s">
        <v>10679</v>
      </c>
      <c r="G476" t="s">
        <v>15079</v>
      </c>
      <c r="H476" t="s">
        <v>19088</v>
      </c>
    </row>
    <row r="477" spans="1:8">
      <c r="A477" t="s">
        <v>99</v>
      </c>
      <c r="B477">
        <f>HYPERLINK("https://android.googlesource.com/platform/cts/+/89674de7bedbd28ae02a65ca7021f3c6be71a823", "89674de7bedbd28ae02a65ca7021f3c6be71a823")</f>
        <v>0</v>
      </c>
      <c r="C477">
        <f>HYPERLINK("https://android.googlesource.com/platform/cts/+/034fce8ab87890a3800fbf1c07fbc498132e5e54", "034fce8ab87890a3800fbf1c07fbc498132e5e54")</f>
        <v>0</v>
      </c>
      <c r="D477" t="s">
        <v>4942</v>
      </c>
      <c r="E477" t="s">
        <v>5899</v>
      </c>
      <c r="F477" t="s">
        <v>10680</v>
      </c>
      <c r="G477" t="s">
        <v>15080</v>
      </c>
      <c r="H477" t="s">
        <v>19089</v>
      </c>
    </row>
    <row r="478" spans="1:8">
      <c r="H478" t="s">
        <v>19090</v>
      </c>
    </row>
    <row r="479" spans="1:8">
      <c r="F479" t="s">
        <v>10681</v>
      </c>
      <c r="G479" t="s">
        <v>15081</v>
      </c>
      <c r="H479" t="s">
        <v>19090</v>
      </c>
    </row>
    <row r="480" spans="1:8">
      <c r="H480" t="s">
        <v>19091</v>
      </c>
    </row>
    <row r="481" spans="1:8">
      <c r="H481" t="s">
        <v>19089</v>
      </c>
    </row>
    <row r="482" spans="1:8">
      <c r="H482" t="s">
        <v>19092</v>
      </c>
    </row>
    <row r="483" spans="1:8">
      <c r="A483" t="s">
        <v>100</v>
      </c>
      <c r="B483">
        <f>HYPERLINK("https://android.googlesource.com/platform/cts/+/9f7f97f235dcd2cf279e7b7297d37e5547410953", "9f7f97f235dcd2cf279e7b7297d37e5547410953")</f>
        <v>0</v>
      </c>
      <c r="C483">
        <f>HYPERLINK("https://android.googlesource.com/platform/cts/+/41e034e1a57d3eaa7f50954d0831f4b2e2220502", "41e034e1a57d3eaa7f50954d0831f4b2e2220502")</f>
        <v>0</v>
      </c>
      <c r="D483" t="s">
        <v>4940</v>
      </c>
      <c r="E483" t="s">
        <v>5900</v>
      </c>
      <c r="F483" t="s">
        <v>10670</v>
      </c>
      <c r="G483" t="s">
        <v>15029</v>
      </c>
      <c r="H483" t="s">
        <v>19093</v>
      </c>
    </row>
    <row r="484" spans="1:8">
      <c r="H484" t="s">
        <v>19094</v>
      </c>
    </row>
    <row r="485" spans="1:8">
      <c r="A485" t="s">
        <v>101</v>
      </c>
      <c r="B485">
        <f>HYPERLINK("https://android.googlesource.com/platform/cts/+/22cf08bd0066ec45b9f49c2f3a3cdce04f88fbed", "22cf08bd0066ec45b9f49c2f3a3cdce04f88fbed")</f>
        <v>0</v>
      </c>
      <c r="C485">
        <f>HYPERLINK("https://android.googlesource.com/platform/cts/+/83a4a1c6a6afafeddb1b4e38a012dc66b09f3a53", "83a4a1c6a6afafeddb1b4e38a012dc66b09f3a53")</f>
        <v>0</v>
      </c>
      <c r="D485" t="s">
        <v>4932</v>
      </c>
      <c r="E485" t="s">
        <v>5901</v>
      </c>
      <c r="F485" t="s">
        <v>10609</v>
      </c>
      <c r="G485" t="s">
        <v>15012</v>
      </c>
      <c r="H485" t="s">
        <v>19095</v>
      </c>
    </row>
    <row r="486" spans="1:8">
      <c r="H486" t="s">
        <v>19096</v>
      </c>
    </row>
    <row r="487" spans="1:8">
      <c r="A487" t="s">
        <v>102</v>
      </c>
      <c r="B487">
        <f>HYPERLINK("https://android.googlesource.com/platform/cts/+/5330f43e4f8c4abd48c7f0144e80d891cb79b91a", "5330f43e4f8c4abd48c7f0144e80d891cb79b91a")</f>
        <v>0</v>
      </c>
      <c r="C487">
        <f>HYPERLINK("https://android.googlesource.com/platform/cts/+/f3d68730ed04f048ebd57a565f4a998c46aabb16", "f3d68730ed04f048ebd57a565f4a998c46aabb16")</f>
        <v>0</v>
      </c>
      <c r="D487" t="s">
        <v>4937</v>
      </c>
      <c r="E487" t="s">
        <v>5902</v>
      </c>
      <c r="F487" t="s">
        <v>10682</v>
      </c>
      <c r="G487" t="s">
        <v>15082</v>
      </c>
      <c r="H487" t="s">
        <v>19097</v>
      </c>
    </row>
    <row r="488" spans="1:8">
      <c r="A488" t="s">
        <v>103</v>
      </c>
      <c r="B488">
        <f>HYPERLINK("https://android.googlesource.com/platform/cts/+/f4a9816ed3b4df7905e8296aa982fe71d0d966b1", "f4a9816ed3b4df7905e8296aa982fe71d0d966b1")</f>
        <v>0</v>
      </c>
      <c r="C488">
        <f>HYPERLINK("https://android.googlesource.com/platform/cts/+/9b142b215920ff6df98c2d114f796476a2f8e290", "9b142b215920ff6df98c2d114f796476a2f8e290")</f>
        <v>0</v>
      </c>
      <c r="D488" t="s">
        <v>4928</v>
      </c>
      <c r="E488" t="s">
        <v>5903</v>
      </c>
      <c r="F488" t="s">
        <v>10683</v>
      </c>
      <c r="G488" t="s">
        <v>15083</v>
      </c>
      <c r="H488" t="s">
        <v>19098</v>
      </c>
    </row>
    <row r="489" spans="1:8">
      <c r="F489" t="s">
        <v>10684</v>
      </c>
      <c r="G489" t="s">
        <v>15084</v>
      </c>
      <c r="H489" t="s">
        <v>19098</v>
      </c>
    </row>
    <row r="490" spans="1:8">
      <c r="A490" t="s">
        <v>104</v>
      </c>
      <c r="B490">
        <f>HYPERLINK("https://android.googlesource.com/platform/cts/+/3b3a92fec3aff9c20510b6e8703714164589ce26", "3b3a92fec3aff9c20510b6e8703714164589ce26")</f>
        <v>0</v>
      </c>
      <c r="C490">
        <f>HYPERLINK("https://android.googlesource.com/platform/cts/+/0f33a087b88c03b7b3f9fce146ae7251987936d2", "0f33a087b88c03b7b3f9fce146ae7251987936d2")</f>
        <v>0</v>
      </c>
      <c r="D490" t="s">
        <v>4937</v>
      </c>
      <c r="E490" t="s">
        <v>5904</v>
      </c>
      <c r="F490" t="s">
        <v>10685</v>
      </c>
      <c r="G490" t="s">
        <v>15085</v>
      </c>
      <c r="H490" t="s">
        <v>19099</v>
      </c>
    </row>
    <row r="491" spans="1:8">
      <c r="A491" t="s">
        <v>105</v>
      </c>
      <c r="B491">
        <f>HYPERLINK("https://android.googlesource.com/platform/cts/+/80b0625e9cf342c8bdc7eedb67cccc1f88131992", "80b0625e9cf342c8bdc7eedb67cccc1f88131992")</f>
        <v>0</v>
      </c>
      <c r="C491">
        <f>HYPERLINK("https://android.googlesource.com/platform/cts/+/213bcbfc082996cfd5096e6a67d3a160e0c46da1", "213bcbfc082996cfd5096e6a67d3a160e0c46da1")</f>
        <v>0</v>
      </c>
      <c r="D491" t="s">
        <v>4937</v>
      </c>
      <c r="E491" t="s">
        <v>5905</v>
      </c>
      <c r="F491" t="s">
        <v>10669</v>
      </c>
      <c r="G491" t="s">
        <v>15070</v>
      </c>
      <c r="H491" t="s">
        <v>19100</v>
      </c>
    </row>
    <row r="492" spans="1:8">
      <c r="H492" t="s">
        <v>19101</v>
      </c>
    </row>
    <row r="493" spans="1:8">
      <c r="H493" t="s">
        <v>19102</v>
      </c>
    </row>
    <row r="494" spans="1:8">
      <c r="H494" t="s">
        <v>19103</v>
      </c>
    </row>
    <row r="495" spans="1:8">
      <c r="H495" t="s">
        <v>19104</v>
      </c>
    </row>
    <row r="496" spans="1:8">
      <c r="A496" t="s">
        <v>106</v>
      </c>
      <c r="B496">
        <f>HYPERLINK("https://android.googlesource.com/platform/cts/+/622c658f450fa016b356756f90ab8911e6f2ab5d", "622c658f450fa016b356756f90ab8911e6f2ab5d")</f>
        <v>0</v>
      </c>
      <c r="C496">
        <f>HYPERLINK("https://android.googlesource.com/platform/cts/+/e9532898011d556124ec843b98fe8728f8e13fee", "e9532898011d556124ec843b98fe8728f8e13fee")</f>
        <v>0</v>
      </c>
      <c r="D496" t="s">
        <v>4942</v>
      </c>
      <c r="E496" t="s">
        <v>5906</v>
      </c>
      <c r="F496" t="s">
        <v>10608</v>
      </c>
      <c r="G496" t="s">
        <v>15011</v>
      </c>
      <c r="H496" t="s">
        <v>19095</v>
      </c>
    </row>
    <row r="497" spans="1:8">
      <c r="H497" t="s">
        <v>19096</v>
      </c>
    </row>
    <row r="498" spans="1:8">
      <c r="A498" t="s">
        <v>107</v>
      </c>
      <c r="B498">
        <f>HYPERLINK("https://android.googlesource.com/platform/cts/+/c7e6aa6a50525ee2141ebe1295b3c869e86b11cf", "c7e6aa6a50525ee2141ebe1295b3c869e86b11cf")</f>
        <v>0</v>
      </c>
      <c r="C498">
        <f>HYPERLINK("https://android.googlesource.com/platform/cts/+/b8ed3162600d30f6d32bdf906ebb9d5fed7a6e8b", "b8ed3162600d30f6d32bdf906ebb9d5fed7a6e8b")</f>
        <v>0</v>
      </c>
      <c r="D498" t="s">
        <v>4942</v>
      </c>
      <c r="E498" t="s">
        <v>5907</v>
      </c>
      <c r="F498" t="s">
        <v>10686</v>
      </c>
      <c r="G498" t="s">
        <v>15086</v>
      </c>
      <c r="H498" t="s">
        <v>18863</v>
      </c>
    </row>
    <row r="499" spans="1:8">
      <c r="A499" t="s">
        <v>108</v>
      </c>
      <c r="B499">
        <f>HYPERLINK("https://android.googlesource.com/platform/cts/+/1ffbfd48e1b44705e8ca2d2144af3fcb1a1cbf50", "1ffbfd48e1b44705e8ca2d2144af3fcb1a1cbf50")</f>
        <v>0</v>
      </c>
      <c r="C499">
        <f>HYPERLINK("https://android.googlesource.com/platform/cts/+/7776a103edc09f567ffc8496f6b94edbd9f9d183", "7776a103edc09f567ffc8496f6b94edbd9f9d183")</f>
        <v>0</v>
      </c>
      <c r="D499" t="s">
        <v>4942</v>
      </c>
      <c r="E499" t="s">
        <v>5908</v>
      </c>
      <c r="F499" t="s">
        <v>10687</v>
      </c>
      <c r="G499" t="s">
        <v>15087</v>
      </c>
      <c r="H499" t="s">
        <v>19105</v>
      </c>
    </row>
    <row r="500" spans="1:8">
      <c r="H500" t="s">
        <v>19106</v>
      </c>
    </row>
    <row r="501" spans="1:8">
      <c r="H501" t="s">
        <v>18893</v>
      </c>
    </row>
    <row r="502" spans="1:8">
      <c r="H502" t="s">
        <v>19107</v>
      </c>
    </row>
    <row r="503" spans="1:8">
      <c r="A503" t="s">
        <v>109</v>
      </c>
      <c r="B503">
        <f>HYPERLINK("https://android.googlesource.com/platform/cts/+/542d74c7677830fde06c2dc1e21397b241c5ca3c", "542d74c7677830fde06c2dc1e21397b241c5ca3c")</f>
        <v>0</v>
      </c>
      <c r="C503">
        <f>HYPERLINK("https://android.googlesource.com/platform/cts/+/1842a6238ce349ce5c610b43542cfc94cf6b078b", "1842a6238ce349ce5c610b43542cfc94cf6b078b")</f>
        <v>0</v>
      </c>
      <c r="D503" t="s">
        <v>4937</v>
      </c>
      <c r="E503" t="s">
        <v>5909</v>
      </c>
      <c r="F503" t="s">
        <v>10682</v>
      </c>
      <c r="G503" t="s">
        <v>15082</v>
      </c>
      <c r="H503" t="s">
        <v>19108</v>
      </c>
    </row>
    <row r="504" spans="1:8">
      <c r="H504" t="s">
        <v>19109</v>
      </c>
    </row>
    <row r="505" spans="1:8">
      <c r="A505" t="s">
        <v>110</v>
      </c>
      <c r="B505">
        <f>HYPERLINK("https://android.googlesource.com/platform/cts/+/f176eafe119e8065c29f6eb99d62d01274581174", "f176eafe119e8065c29f6eb99d62d01274581174")</f>
        <v>0</v>
      </c>
      <c r="C505">
        <f>HYPERLINK("https://android.googlesource.com/platform/cts/+/7ee6163b6a1a2cd0565f59b87c4b121df205443d", "7ee6163b6a1a2cd0565f59b87c4b121df205443d")</f>
        <v>0</v>
      </c>
      <c r="D505" t="s">
        <v>4945</v>
      </c>
      <c r="E505" t="s">
        <v>5910</v>
      </c>
      <c r="F505" t="s">
        <v>10680</v>
      </c>
      <c r="G505" t="s">
        <v>15080</v>
      </c>
      <c r="H505" t="s">
        <v>19089</v>
      </c>
    </row>
    <row r="506" spans="1:8">
      <c r="H506" t="s">
        <v>19090</v>
      </c>
    </row>
    <row r="507" spans="1:8">
      <c r="F507" t="s">
        <v>10676</v>
      </c>
      <c r="G507" t="s">
        <v>15076</v>
      </c>
      <c r="H507" t="s">
        <v>19058</v>
      </c>
    </row>
    <row r="508" spans="1:8">
      <c r="H508" t="s">
        <v>19059</v>
      </c>
    </row>
    <row r="509" spans="1:8">
      <c r="H509" t="s">
        <v>19060</v>
      </c>
    </row>
    <row r="510" spans="1:8">
      <c r="H510" t="s">
        <v>19061</v>
      </c>
    </row>
    <row r="511" spans="1:8">
      <c r="H511" t="s">
        <v>19062</v>
      </c>
    </row>
    <row r="512" spans="1:8">
      <c r="F512" t="s">
        <v>10681</v>
      </c>
      <c r="G512" t="s">
        <v>15081</v>
      </c>
      <c r="H512" t="s">
        <v>19090</v>
      </c>
    </row>
    <row r="513" spans="1:8">
      <c r="H513" t="s">
        <v>19091</v>
      </c>
    </row>
    <row r="514" spans="1:8">
      <c r="H514" t="s">
        <v>19089</v>
      </c>
    </row>
    <row r="515" spans="1:8">
      <c r="H515" t="s">
        <v>19092</v>
      </c>
    </row>
    <row r="516" spans="1:8">
      <c r="A516" t="s">
        <v>111</v>
      </c>
      <c r="B516">
        <f>HYPERLINK("https://android.googlesource.com/platform/cts/+/1de71445eac60f563f5098ba86b7a892be7d34cb", "1de71445eac60f563f5098ba86b7a892be7d34cb")</f>
        <v>0</v>
      </c>
      <c r="C516">
        <f>HYPERLINK("https://android.googlesource.com/platform/cts/+/dc92005f7fca6ee665d76bef2cf56d1e12cb5993", "dc92005f7fca6ee665d76bef2cf56d1e12cb5993")</f>
        <v>0</v>
      </c>
      <c r="D516" t="s">
        <v>4942</v>
      </c>
      <c r="E516" t="s">
        <v>5911</v>
      </c>
      <c r="F516" t="s">
        <v>10688</v>
      </c>
      <c r="G516" t="s">
        <v>15088</v>
      </c>
      <c r="H516" t="s">
        <v>19110</v>
      </c>
    </row>
    <row r="517" spans="1:8">
      <c r="H517" t="s">
        <v>19111</v>
      </c>
    </row>
    <row r="518" spans="1:8">
      <c r="H518" t="s">
        <v>19112</v>
      </c>
    </row>
    <row r="519" spans="1:8">
      <c r="F519" t="s">
        <v>10689</v>
      </c>
      <c r="G519" t="s">
        <v>15089</v>
      </c>
      <c r="H519" t="s">
        <v>19113</v>
      </c>
    </row>
    <row r="520" spans="1:8">
      <c r="H520" t="s">
        <v>19114</v>
      </c>
    </row>
    <row r="521" spans="1:8">
      <c r="A521" t="s">
        <v>112</v>
      </c>
      <c r="B521">
        <f>HYPERLINK("https://android.googlesource.com/platform/cts/+/eac6cf4a3984ac8503794d24f54eda6282f037a5", "eac6cf4a3984ac8503794d24f54eda6282f037a5")</f>
        <v>0</v>
      </c>
      <c r="C521">
        <f>HYPERLINK("https://android.googlesource.com/platform/cts/+/23ada699c007cca6183b86dba8d563cc6f35e8dd", "23ada699c007cca6183b86dba8d563cc6f35e8dd")</f>
        <v>0</v>
      </c>
      <c r="D521" t="s">
        <v>4946</v>
      </c>
      <c r="E521" t="s">
        <v>5912</v>
      </c>
      <c r="F521" t="s">
        <v>10627</v>
      </c>
      <c r="G521" t="s">
        <v>15030</v>
      </c>
      <c r="H521" t="s">
        <v>19115</v>
      </c>
    </row>
    <row r="522" spans="1:8">
      <c r="H522" t="s">
        <v>19116</v>
      </c>
    </row>
    <row r="523" spans="1:8">
      <c r="H523" t="s">
        <v>19117</v>
      </c>
    </row>
    <row r="524" spans="1:8">
      <c r="A524" t="s">
        <v>113</v>
      </c>
      <c r="B524">
        <f>HYPERLINK("https://android.googlesource.com/platform/cts/+/fa6eb9e0cfdb6e4af6aa1e47f271ec04162feb83", "fa6eb9e0cfdb6e4af6aa1e47f271ec04162feb83")</f>
        <v>0</v>
      </c>
      <c r="C524">
        <f>HYPERLINK("https://android.googlesource.com/platform/cts/+/4ac2b06c8cb4128d7d6d9d6464accbb90208161b", "4ac2b06c8cb4128d7d6d9d6464accbb90208161b")</f>
        <v>0</v>
      </c>
      <c r="D524" t="s">
        <v>4947</v>
      </c>
      <c r="E524" t="s">
        <v>5913</v>
      </c>
      <c r="F524" t="s">
        <v>10690</v>
      </c>
      <c r="G524" t="s">
        <v>15090</v>
      </c>
      <c r="H524" t="s">
        <v>19118</v>
      </c>
    </row>
    <row r="525" spans="1:8">
      <c r="A525" t="s">
        <v>114</v>
      </c>
      <c r="B525">
        <f>HYPERLINK("https://android.googlesource.com/platform/cts/+/ac0073708acb7a7f6060189a71c4343092a64229", "ac0073708acb7a7f6060189a71c4343092a64229")</f>
        <v>0</v>
      </c>
      <c r="C525">
        <f>HYPERLINK("https://android.googlesource.com/platform/cts/+/bd7116f6d8917718675b670e41a7e6d76cf67f1c", "bd7116f6d8917718675b670e41a7e6d76cf67f1c")</f>
        <v>0</v>
      </c>
      <c r="D525" t="s">
        <v>4942</v>
      </c>
      <c r="E525" t="s">
        <v>5914</v>
      </c>
      <c r="F525" t="s">
        <v>10691</v>
      </c>
      <c r="G525" t="s">
        <v>15091</v>
      </c>
      <c r="H525" t="s">
        <v>19119</v>
      </c>
    </row>
    <row r="526" spans="1:8">
      <c r="H526" t="s">
        <v>19120</v>
      </c>
    </row>
    <row r="527" spans="1:8">
      <c r="H527" t="s">
        <v>19121</v>
      </c>
    </row>
    <row r="528" spans="1:8">
      <c r="H528" t="s">
        <v>19122</v>
      </c>
    </row>
    <row r="529" spans="1:8">
      <c r="H529" t="s">
        <v>19123</v>
      </c>
    </row>
    <row r="530" spans="1:8">
      <c r="H530" t="s">
        <v>19124</v>
      </c>
    </row>
    <row r="531" spans="1:8">
      <c r="H531" t="s">
        <v>19125</v>
      </c>
    </row>
    <row r="532" spans="1:8">
      <c r="H532" t="s">
        <v>19126</v>
      </c>
    </row>
    <row r="533" spans="1:8">
      <c r="H533" t="s">
        <v>19127</v>
      </c>
    </row>
    <row r="534" spans="1:8">
      <c r="H534" t="s">
        <v>19128</v>
      </c>
    </row>
    <row r="535" spans="1:8">
      <c r="H535" t="s">
        <v>19129</v>
      </c>
    </row>
    <row r="536" spans="1:8">
      <c r="H536" t="s">
        <v>19130</v>
      </c>
    </row>
    <row r="537" spans="1:8">
      <c r="H537" t="s">
        <v>19131</v>
      </c>
    </row>
    <row r="538" spans="1:8">
      <c r="H538" t="s">
        <v>19132</v>
      </c>
    </row>
    <row r="539" spans="1:8">
      <c r="H539" t="s">
        <v>19133</v>
      </c>
    </row>
    <row r="540" spans="1:8">
      <c r="H540" t="s">
        <v>19134</v>
      </c>
    </row>
    <row r="541" spans="1:8">
      <c r="H541" t="s">
        <v>19135</v>
      </c>
    </row>
    <row r="542" spans="1:8">
      <c r="H542" t="s">
        <v>19136</v>
      </c>
    </row>
    <row r="543" spans="1:8">
      <c r="F543" t="s">
        <v>10692</v>
      </c>
      <c r="G543" t="s">
        <v>15092</v>
      </c>
      <c r="H543" t="s">
        <v>19137</v>
      </c>
    </row>
    <row r="544" spans="1:8">
      <c r="A544" t="s">
        <v>115</v>
      </c>
      <c r="B544">
        <f>HYPERLINK("https://android.googlesource.com/platform/cts/+/214bcdba0dd3fca2db5a69eebfd56bd453786f54", "214bcdba0dd3fca2db5a69eebfd56bd453786f54")</f>
        <v>0</v>
      </c>
      <c r="C544">
        <f>HYPERLINK("https://android.googlesource.com/platform/cts/+/d77ea9ba42095ac336fbef72f5f638a92a7bac9f", "d77ea9ba42095ac336fbef72f5f638a92a7bac9f")</f>
        <v>0</v>
      </c>
      <c r="D544" t="s">
        <v>4928</v>
      </c>
      <c r="E544" t="s">
        <v>5915</v>
      </c>
      <c r="F544" t="s">
        <v>10693</v>
      </c>
      <c r="G544" t="s">
        <v>15093</v>
      </c>
      <c r="H544" t="s">
        <v>19138</v>
      </c>
    </row>
    <row r="545" spans="1:8">
      <c r="H545" t="s">
        <v>19139</v>
      </c>
    </row>
    <row r="546" spans="1:8">
      <c r="H546" t="s">
        <v>19140</v>
      </c>
    </row>
    <row r="547" spans="1:8">
      <c r="H547" t="s">
        <v>19141</v>
      </c>
    </row>
    <row r="548" spans="1:8">
      <c r="H548" t="s">
        <v>19142</v>
      </c>
    </row>
    <row r="549" spans="1:8">
      <c r="H549" t="s">
        <v>19143</v>
      </c>
    </row>
    <row r="550" spans="1:8">
      <c r="A550" t="s">
        <v>116</v>
      </c>
      <c r="B550">
        <f>HYPERLINK("https://android.googlesource.com/platform/cts/+/feb81e9679e98460efe46fc578617ef0c6b85c14", "feb81e9679e98460efe46fc578617ef0c6b85c14")</f>
        <v>0</v>
      </c>
      <c r="C550">
        <f>HYPERLINK("https://android.googlesource.com/platform/cts/+/c55ff2cedf2c29f7d6ffe89691a56c6c6e1a5e3b", "c55ff2cedf2c29f7d6ffe89691a56c6c6e1a5e3b")</f>
        <v>0</v>
      </c>
      <c r="D550" t="s">
        <v>4942</v>
      </c>
      <c r="E550" t="s">
        <v>5916</v>
      </c>
      <c r="F550" t="s">
        <v>10689</v>
      </c>
      <c r="G550" t="s">
        <v>15089</v>
      </c>
      <c r="H550" t="s">
        <v>19144</v>
      </c>
    </row>
    <row r="551" spans="1:8">
      <c r="A551" t="s">
        <v>117</v>
      </c>
      <c r="B551">
        <f>HYPERLINK("https://android.googlesource.com/platform/cts/+/8ff01200e79a2f59866844f0399b495d4b6b4bda", "8ff01200e79a2f59866844f0399b495d4b6b4bda")</f>
        <v>0</v>
      </c>
      <c r="C551">
        <f>HYPERLINK("https://android.googlesource.com/platform/cts/+/faab38e3d90f5c95652c6184e433c909a9743a20", "faab38e3d90f5c95652c6184e433c909a9743a20")</f>
        <v>0</v>
      </c>
      <c r="D551" t="s">
        <v>4931</v>
      </c>
      <c r="E551" t="s">
        <v>5917</v>
      </c>
      <c r="F551" t="s">
        <v>10694</v>
      </c>
      <c r="G551" t="s">
        <v>15094</v>
      </c>
      <c r="H551" t="s">
        <v>19145</v>
      </c>
    </row>
    <row r="552" spans="1:8">
      <c r="H552" t="s">
        <v>19146</v>
      </c>
    </row>
    <row r="553" spans="1:8">
      <c r="A553" t="s">
        <v>118</v>
      </c>
      <c r="B553">
        <f>HYPERLINK("https://android.googlesource.com/platform/cts/+/1d653d3c3c1defe94263639d87a6d136288a7d17", "1d653d3c3c1defe94263639d87a6d136288a7d17")</f>
        <v>0</v>
      </c>
      <c r="C553">
        <f>HYPERLINK("https://android.googlesource.com/platform/cts/+/92b94fcea99b79afdb30abba068bd173d7fb2d35", "92b94fcea99b79afdb30abba068bd173d7fb2d35")</f>
        <v>0</v>
      </c>
      <c r="D553" t="s">
        <v>4942</v>
      </c>
      <c r="E553" t="s">
        <v>5918</v>
      </c>
      <c r="F553" t="s">
        <v>10695</v>
      </c>
      <c r="G553" t="s">
        <v>15095</v>
      </c>
      <c r="H553" t="s">
        <v>19147</v>
      </c>
    </row>
    <row r="554" spans="1:8">
      <c r="A554" t="s">
        <v>119</v>
      </c>
      <c r="B554">
        <f>HYPERLINK("https://android.googlesource.com/platform/cts/+/753fe8d8ad2e6b88ab26fe405097bb3c22acca4d", "753fe8d8ad2e6b88ab26fe405097bb3c22acca4d")</f>
        <v>0</v>
      </c>
      <c r="C554">
        <f>HYPERLINK("https://android.googlesource.com/platform/cts/+/00e9acdd8d3f360b43963d5deb509239dd6be3f6", "00e9acdd8d3f360b43963d5deb509239dd6be3f6")</f>
        <v>0</v>
      </c>
      <c r="D554" t="s">
        <v>4942</v>
      </c>
      <c r="E554" t="s">
        <v>5919</v>
      </c>
      <c r="F554" t="s">
        <v>10695</v>
      </c>
      <c r="G554" t="s">
        <v>15095</v>
      </c>
      <c r="H554" t="s">
        <v>19147</v>
      </c>
    </row>
    <row r="555" spans="1:8">
      <c r="A555" t="s">
        <v>120</v>
      </c>
      <c r="B555">
        <f>HYPERLINK("https://android.googlesource.com/platform/cts/+/3f0ef587c512b19900b4d2c74f845f46815f14e1", "3f0ef587c512b19900b4d2c74f845f46815f14e1")</f>
        <v>0</v>
      </c>
      <c r="C555">
        <f>HYPERLINK("https://android.googlesource.com/platform/cts/+/bc9f17789ed0b12892920646b642161cf2a279fc", "bc9f17789ed0b12892920646b642161cf2a279fc")</f>
        <v>0</v>
      </c>
      <c r="D555" t="s">
        <v>4937</v>
      </c>
      <c r="E555" t="s">
        <v>5920</v>
      </c>
      <c r="F555" t="s">
        <v>10682</v>
      </c>
      <c r="G555" t="s">
        <v>15082</v>
      </c>
      <c r="H555" t="s">
        <v>19148</v>
      </c>
    </row>
    <row r="556" spans="1:8">
      <c r="A556" t="s">
        <v>121</v>
      </c>
      <c r="B556">
        <f>HYPERLINK("https://android.googlesource.com/platform/cts/+/de5f210b51106f21d207093f84b7d15d60820a18", "de5f210b51106f21d207093f84b7d15d60820a18")</f>
        <v>0</v>
      </c>
      <c r="C556">
        <f>HYPERLINK("https://android.googlesource.com/platform/cts/+/e9937f907133c2411ff5350f050b4afd15d84080", "e9937f907133c2411ff5350f050b4afd15d84080")</f>
        <v>0</v>
      </c>
      <c r="D556" t="s">
        <v>4942</v>
      </c>
      <c r="E556" t="s">
        <v>5921</v>
      </c>
      <c r="F556" t="s">
        <v>10689</v>
      </c>
      <c r="G556" t="s">
        <v>15089</v>
      </c>
      <c r="H556" t="s">
        <v>19149</v>
      </c>
    </row>
    <row r="557" spans="1:8">
      <c r="A557" t="s">
        <v>122</v>
      </c>
      <c r="B557">
        <f>HYPERLINK("https://android.googlesource.com/platform/cts/+/84310aad87a2a39ba1685ef2e57e0791423db2ce", "84310aad87a2a39ba1685ef2e57e0791423db2ce")</f>
        <v>0</v>
      </c>
      <c r="C557">
        <f>HYPERLINK("https://android.googlesource.com/platform/cts/+/c74cd3092397bbdc943ddc61cf2f67b6b4aee1e5", "c74cd3092397bbdc943ddc61cf2f67b6b4aee1e5")</f>
        <v>0</v>
      </c>
      <c r="D557" t="s">
        <v>4928</v>
      </c>
      <c r="E557" t="s">
        <v>5922</v>
      </c>
      <c r="F557" t="s">
        <v>10693</v>
      </c>
      <c r="G557" t="s">
        <v>15093</v>
      </c>
      <c r="H557" t="s">
        <v>19150</v>
      </c>
    </row>
    <row r="558" spans="1:8">
      <c r="H558" t="s">
        <v>19151</v>
      </c>
    </row>
    <row r="559" spans="1:8">
      <c r="H559" t="s">
        <v>19152</v>
      </c>
    </row>
    <row r="560" spans="1:8">
      <c r="H560" t="s">
        <v>19153</v>
      </c>
    </row>
    <row r="561" spans="1:8">
      <c r="H561" t="s">
        <v>19154</v>
      </c>
    </row>
    <row r="562" spans="1:8">
      <c r="H562" t="s">
        <v>19155</v>
      </c>
    </row>
    <row r="563" spans="1:8">
      <c r="H563" t="s">
        <v>19156</v>
      </c>
    </row>
    <row r="564" spans="1:8">
      <c r="H564" t="s">
        <v>19157</v>
      </c>
    </row>
    <row r="565" spans="1:8">
      <c r="A565" t="s">
        <v>123</v>
      </c>
      <c r="B565">
        <f>HYPERLINK("https://android.googlesource.com/platform/cts/+/2ad016d3bf341035104b8cf241b3d691642a0fab", "2ad016d3bf341035104b8cf241b3d691642a0fab")</f>
        <v>0</v>
      </c>
      <c r="C565">
        <f>HYPERLINK("https://android.googlesource.com/platform/cts/+/0285262b1086fac2892ac0cd4023cece6070ff31", "0285262b1086fac2892ac0cd4023cece6070ff31")</f>
        <v>0</v>
      </c>
      <c r="D565" t="s">
        <v>4942</v>
      </c>
      <c r="E565" t="s">
        <v>5923</v>
      </c>
      <c r="F565" t="s">
        <v>10689</v>
      </c>
      <c r="G565" t="s">
        <v>15089</v>
      </c>
      <c r="H565" t="s">
        <v>19144</v>
      </c>
    </row>
    <row r="566" spans="1:8">
      <c r="H566" t="s">
        <v>19149</v>
      </c>
    </row>
    <row r="567" spans="1:8">
      <c r="A567" t="s">
        <v>124</v>
      </c>
      <c r="B567">
        <f>HYPERLINK("https://android.googlesource.com/platform/cts/+/8ff4fa9b074b6c3daec910079124857e6f070ff4", "8ff4fa9b074b6c3daec910079124857e6f070ff4")</f>
        <v>0</v>
      </c>
      <c r="C567">
        <f>HYPERLINK("https://android.googlesource.com/platform/cts/+/4d6abcf29caa73462ffcc49a3cdaa27e8943b2e9", "4d6abcf29caa73462ffcc49a3cdaa27e8943b2e9")</f>
        <v>0</v>
      </c>
      <c r="D567" t="s">
        <v>4940</v>
      </c>
      <c r="E567" t="s">
        <v>5924</v>
      </c>
      <c r="F567" t="s">
        <v>10670</v>
      </c>
      <c r="G567" t="s">
        <v>15029</v>
      </c>
      <c r="H567" t="s">
        <v>19158</v>
      </c>
    </row>
    <row r="568" spans="1:8">
      <c r="A568" t="s">
        <v>125</v>
      </c>
      <c r="B568">
        <f>HYPERLINK("https://android.googlesource.com/platform/cts/+/450e99ae682d860d25a178be72fa0abf53ddf3e6", "450e99ae682d860d25a178be72fa0abf53ddf3e6")</f>
        <v>0</v>
      </c>
      <c r="C568">
        <f>HYPERLINK("https://android.googlesource.com/platform/cts/+/5248dea95549ed3b7607c76e6c76185771ddda9d", "5248dea95549ed3b7607c76e6c76185771ddda9d")</f>
        <v>0</v>
      </c>
      <c r="D568" t="s">
        <v>4932</v>
      </c>
      <c r="E568" t="s">
        <v>5925</v>
      </c>
      <c r="F568" t="s">
        <v>10696</v>
      </c>
      <c r="G568" t="s">
        <v>15096</v>
      </c>
      <c r="H568" t="s">
        <v>19159</v>
      </c>
    </row>
    <row r="569" spans="1:8">
      <c r="A569" t="s">
        <v>126</v>
      </c>
      <c r="B569">
        <f>HYPERLINK("https://android.googlesource.com/platform/cts/+/deef330158a6e3a94bbc13a97f892ad08386091b", "deef330158a6e3a94bbc13a97f892ad08386091b")</f>
        <v>0</v>
      </c>
      <c r="C569">
        <f>HYPERLINK("https://android.googlesource.com/platform/cts/+/0bb0f8bcf30ee2915ea5f25c49912b382d1e44e5", "0bb0f8bcf30ee2915ea5f25c49912b382d1e44e5")</f>
        <v>0</v>
      </c>
      <c r="D569" t="s">
        <v>4932</v>
      </c>
      <c r="E569" t="s">
        <v>5926</v>
      </c>
      <c r="F569" t="s">
        <v>10697</v>
      </c>
      <c r="G569" t="s">
        <v>15097</v>
      </c>
      <c r="H569" t="s">
        <v>19160</v>
      </c>
    </row>
    <row r="570" spans="1:8">
      <c r="A570" t="s">
        <v>127</v>
      </c>
      <c r="B570">
        <f>HYPERLINK("https://android.googlesource.com/platform/cts/+/ac3a8afcf4292dd827c846c50f3bce0d2ee51a1c", "ac3a8afcf4292dd827c846c50f3bce0d2ee51a1c")</f>
        <v>0</v>
      </c>
      <c r="C570">
        <f>HYPERLINK("https://android.googlesource.com/platform/cts/+/119ca6e46ab088aeaeaee2f83605ab5b47169c62", "119ca6e46ab088aeaeaee2f83605ab5b47169c62")</f>
        <v>0</v>
      </c>
      <c r="D570" t="s">
        <v>4941</v>
      </c>
      <c r="E570" t="s">
        <v>5927</v>
      </c>
      <c r="F570" t="s">
        <v>10668</v>
      </c>
      <c r="G570" t="s">
        <v>15069</v>
      </c>
      <c r="H570" t="s">
        <v>19161</v>
      </c>
    </row>
    <row r="571" spans="1:8">
      <c r="A571" t="s">
        <v>128</v>
      </c>
      <c r="B571">
        <f>HYPERLINK("https://android.googlesource.com/platform/cts/+/1cb6e06af811b4d967c5dd08f19c8b8cdeedc9e8", "1cb6e06af811b4d967c5dd08f19c8b8cdeedc9e8")</f>
        <v>0</v>
      </c>
      <c r="C571">
        <f>HYPERLINK("https://android.googlesource.com/platform/cts/+/9518a7b53d9059de8f61614c88dac3eb8ed1cc52", "9518a7b53d9059de8f61614c88dac3eb8ed1cc52")</f>
        <v>0</v>
      </c>
      <c r="D571" t="s">
        <v>4941</v>
      </c>
      <c r="E571" t="s">
        <v>5928</v>
      </c>
      <c r="F571" t="s">
        <v>10687</v>
      </c>
      <c r="G571" t="s">
        <v>15087</v>
      </c>
      <c r="H571" t="s">
        <v>19162</v>
      </c>
    </row>
    <row r="572" spans="1:8">
      <c r="A572" t="s">
        <v>129</v>
      </c>
      <c r="B572">
        <f>HYPERLINK("https://android.googlesource.com/platform/cts/+/561e5e11c900b09b086bf8e40ba3d3bccc847758", "561e5e11c900b09b086bf8e40ba3d3bccc847758")</f>
        <v>0</v>
      </c>
      <c r="C572">
        <f>HYPERLINK("https://android.googlesource.com/platform/cts/+/41988d0a1ec52a13956b00df49a9a8e61ca8ebd9", "41988d0a1ec52a13956b00df49a9a8e61ca8ebd9")</f>
        <v>0</v>
      </c>
      <c r="D572" t="s">
        <v>4941</v>
      </c>
      <c r="E572" t="s">
        <v>5929</v>
      </c>
      <c r="F572" t="s">
        <v>10698</v>
      </c>
      <c r="G572" t="s">
        <v>15098</v>
      </c>
      <c r="H572" t="s">
        <v>19163</v>
      </c>
    </row>
    <row r="573" spans="1:8">
      <c r="F573" t="s">
        <v>10699</v>
      </c>
      <c r="G573" t="s">
        <v>15099</v>
      </c>
      <c r="H573" t="s">
        <v>19163</v>
      </c>
    </row>
    <row r="574" spans="1:8">
      <c r="A574" t="s">
        <v>130</v>
      </c>
      <c r="B574">
        <f>HYPERLINK("https://android.googlesource.com/platform/cts/+/d719cf92dfd46857dd90b83530b4c2f25c4f91c5", "d719cf92dfd46857dd90b83530b4c2f25c4f91c5")</f>
        <v>0</v>
      </c>
      <c r="C574">
        <f>HYPERLINK("https://android.googlesource.com/platform/cts/+/561e5e11c900b09b086bf8e40ba3d3bccc847758", "561e5e11c900b09b086bf8e40ba3d3bccc847758")</f>
        <v>0</v>
      </c>
      <c r="D574" t="s">
        <v>4941</v>
      </c>
      <c r="E574" t="s">
        <v>5930</v>
      </c>
      <c r="F574" t="s">
        <v>10699</v>
      </c>
      <c r="G574" t="s">
        <v>15099</v>
      </c>
      <c r="H574" t="s">
        <v>19164</v>
      </c>
    </row>
    <row r="575" spans="1:8">
      <c r="A575" t="s">
        <v>131</v>
      </c>
      <c r="B575">
        <f>HYPERLINK("https://android.googlesource.com/platform/cts/+/ef07f61a84dc70d668883edcbede50639038cb93", "ef07f61a84dc70d668883edcbede50639038cb93")</f>
        <v>0</v>
      </c>
      <c r="C575">
        <f>HYPERLINK("https://android.googlesource.com/platform/cts/+/61a7ca892ee196da93eb665b66622b60769da00c", "61a7ca892ee196da93eb665b66622b60769da00c")</f>
        <v>0</v>
      </c>
      <c r="D575" t="s">
        <v>4941</v>
      </c>
      <c r="E575" t="s">
        <v>5931</v>
      </c>
      <c r="F575" t="s">
        <v>10700</v>
      </c>
      <c r="G575" t="s">
        <v>15100</v>
      </c>
      <c r="H575" t="s">
        <v>19165</v>
      </c>
    </row>
    <row r="576" spans="1:8">
      <c r="A576" t="s">
        <v>132</v>
      </c>
      <c r="B576">
        <f>HYPERLINK("https://android.googlesource.com/platform/cts/+/5741ff169df32ac4e0574f6a31b9a0a6be694cc6", "5741ff169df32ac4e0574f6a31b9a0a6be694cc6")</f>
        <v>0</v>
      </c>
      <c r="C576">
        <f>HYPERLINK("https://android.googlesource.com/platform/cts/+/c9ed787529c690db70c622fb9c07a9bec1112463", "c9ed787529c690db70c622fb9c07a9bec1112463")</f>
        <v>0</v>
      </c>
      <c r="D576" t="s">
        <v>4942</v>
      </c>
      <c r="E576" t="s">
        <v>5932</v>
      </c>
      <c r="F576" t="s">
        <v>10701</v>
      </c>
      <c r="G576" t="s">
        <v>15101</v>
      </c>
      <c r="H576" t="s">
        <v>19114</v>
      </c>
    </row>
    <row r="577" spans="1:8">
      <c r="A577" t="s">
        <v>133</v>
      </c>
      <c r="B577">
        <f>HYPERLINK("https://android.googlesource.com/platform/cts/+/82d9daf8b1800ef1c7897f2cd3167b6b1920b9fa", "82d9daf8b1800ef1c7897f2cd3167b6b1920b9fa")</f>
        <v>0</v>
      </c>
      <c r="C577">
        <f>HYPERLINK("https://android.googlesource.com/platform/cts/+/c9630e6d48c67cef97e0315da6bc4bab30377d98", "c9630e6d48c67cef97e0315da6bc4bab30377d98")</f>
        <v>0</v>
      </c>
      <c r="D577" t="s">
        <v>4932</v>
      </c>
      <c r="E577" t="s">
        <v>5933</v>
      </c>
      <c r="F577" t="s">
        <v>10702</v>
      </c>
      <c r="G577" t="s">
        <v>15102</v>
      </c>
      <c r="H577" t="s">
        <v>19166</v>
      </c>
    </row>
    <row r="578" spans="1:8">
      <c r="H578" t="s">
        <v>19167</v>
      </c>
    </row>
    <row r="579" spans="1:8">
      <c r="H579" t="s">
        <v>19168</v>
      </c>
    </row>
    <row r="580" spans="1:8">
      <c r="H580" t="s">
        <v>19169</v>
      </c>
    </row>
    <row r="581" spans="1:8">
      <c r="F581" t="s">
        <v>10703</v>
      </c>
      <c r="G581" t="s">
        <v>15103</v>
      </c>
      <c r="H581" t="s">
        <v>19170</v>
      </c>
    </row>
    <row r="582" spans="1:8">
      <c r="H582" t="s">
        <v>19171</v>
      </c>
    </row>
    <row r="583" spans="1:8">
      <c r="H583" t="s">
        <v>19172</v>
      </c>
    </row>
    <row r="584" spans="1:8">
      <c r="H584" t="s">
        <v>19173</v>
      </c>
    </row>
    <row r="585" spans="1:8">
      <c r="H585" t="s">
        <v>19174</v>
      </c>
    </row>
    <row r="586" spans="1:8">
      <c r="A586" t="s">
        <v>134</v>
      </c>
      <c r="B586">
        <f>HYPERLINK("https://android.googlesource.com/platform/cts/+/11e66d0d50a730a1dc844af166eefe2c15eeaf5a", "11e66d0d50a730a1dc844af166eefe2c15eeaf5a")</f>
        <v>0</v>
      </c>
      <c r="C586">
        <f>HYPERLINK("https://android.googlesource.com/platform/cts/+/2f8435cd13a7f295d09e9e9372aff5b781b66bde", "2f8435cd13a7f295d09e9e9372aff5b781b66bde")</f>
        <v>0</v>
      </c>
      <c r="D586" t="s">
        <v>4932</v>
      </c>
      <c r="E586" t="s">
        <v>5934</v>
      </c>
      <c r="F586" t="s">
        <v>10704</v>
      </c>
      <c r="G586" t="s">
        <v>15104</v>
      </c>
      <c r="H586" t="s">
        <v>19175</v>
      </c>
    </row>
    <row r="587" spans="1:8">
      <c r="A587" t="s">
        <v>135</v>
      </c>
      <c r="B587">
        <f>HYPERLINK("https://android.googlesource.com/platform/cts/+/7567b204d44b9b2d955effc1e941ea38236a9a03", "7567b204d44b9b2d955effc1e941ea38236a9a03")</f>
        <v>0</v>
      </c>
      <c r="C587">
        <f>HYPERLINK("https://android.googlesource.com/platform/cts/+/2f8435cd13a7f295d09e9e9372aff5b781b66bde", "2f8435cd13a7f295d09e9e9372aff5b781b66bde")</f>
        <v>0</v>
      </c>
      <c r="D587" t="s">
        <v>4942</v>
      </c>
      <c r="E587" t="s">
        <v>5935</v>
      </c>
      <c r="F587" t="s">
        <v>10705</v>
      </c>
      <c r="G587" t="s">
        <v>15105</v>
      </c>
      <c r="H587" t="s">
        <v>19176</v>
      </c>
    </row>
    <row r="588" spans="1:8">
      <c r="F588" t="s">
        <v>10706</v>
      </c>
      <c r="G588" t="s">
        <v>15106</v>
      </c>
      <c r="H588" t="s">
        <v>19176</v>
      </c>
    </row>
    <row r="589" spans="1:8">
      <c r="A589" t="s">
        <v>136</v>
      </c>
      <c r="B589">
        <f>HYPERLINK("https://android.googlesource.com/platform/cts/+/7d3f6eb054534fa2bb7e7526ccba1a7affd6e197", "7d3f6eb054534fa2bb7e7526ccba1a7affd6e197")</f>
        <v>0</v>
      </c>
      <c r="C589">
        <f>HYPERLINK("https://android.googlesource.com/platform/cts/+/d508be76ff3742aa1d78744382150c1e9c7bf600", "d508be76ff3742aa1d78744382150c1e9c7bf600")</f>
        <v>0</v>
      </c>
      <c r="D589" t="s">
        <v>4942</v>
      </c>
      <c r="E589" t="s">
        <v>5936</v>
      </c>
      <c r="F589" t="s">
        <v>10707</v>
      </c>
      <c r="G589" t="s">
        <v>15104</v>
      </c>
      <c r="H589" t="s">
        <v>19175</v>
      </c>
    </row>
    <row r="590" spans="1:8">
      <c r="A590" t="s">
        <v>137</v>
      </c>
      <c r="B590">
        <f>HYPERLINK("https://android.googlesource.com/platform/cts/+/4005ea57a928432b803c268358fe9de709c65615", "4005ea57a928432b803c268358fe9de709c65615")</f>
        <v>0</v>
      </c>
      <c r="C590">
        <f>HYPERLINK("https://android.googlesource.com/platform/cts/+/48fa39dc596c026c182716675be5f4c613ee2190", "48fa39dc596c026c182716675be5f4c613ee2190")</f>
        <v>0</v>
      </c>
      <c r="D590" t="s">
        <v>4942</v>
      </c>
      <c r="E590" t="s">
        <v>5937</v>
      </c>
      <c r="F590" t="s">
        <v>10708</v>
      </c>
      <c r="G590" t="s">
        <v>15107</v>
      </c>
      <c r="H590" t="s">
        <v>19177</v>
      </c>
    </row>
    <row r="591" spans="1:8">
      <c r="F591" t="s">
        <v>10709</v>
      </c>
      <c r="G591" t="s">
        <v>15108</v>
      </c>
      <c r="H591" t="s">
        <v>19177</v>
      </c>
    </row>
    <row r="592" spans="1:8">
      <c r="F592" t="s">
        <v>10710</v>
      </c>
      <c r="G592" t="s">
        <v>15109</v>
      </c>
      <c r="H592" t="s">
        <v>19177</v>
      </c>
    </row>
    <row r="593" spans="1:8">
      <c r="F593" t="s">
        <v>10711</v>
      </c>
      <c r="G593" t="s">
        <v>15110</v>
      </c>
      <c r="H593" t="s">
        <v>19177</v>
      </c>
    </row>
    <row r="594" spans="1:8">
      <c r="A594" t="s">
        <v>138</v>
      </c>
      <c r="B594">
        <f>HYPERLINK("https://android.googlesource.com/platform/cts/+/f8c0a36cd3130cde3808790cfe5a1a31ff5807aa", "f8c0a36cd3130cde3808790cfe5a1a31ff5807aa")</f>
        <v>0</v>
      </c>
      <c r="C594">
        <f>HYPERLINK("https://android.googlesource.com/platform/cts/+/2bcf2450cc9c532a9416106565c75f10d46ecdf2", "2bcf2450cc9c532a9416106565c75f10d46ecdf2")</f>
        <v>0</v>
      </c>
      <c r="D594" t="s">
        <v>4942</v>
      </c>
      <c r="E594" t="s">
        <v>5938</v>
      </c>
      <c r="F594" t="s">
        <v>10712</v>
      </c>
      <c r="G594" t="s">
        <v>15111</v>
      </c>
      <c r="H594" t="s">
        <v>19178</v>
      </c>
    </row>
    <row r="595" spans="1:8">
      <c r="H595" t="s">
        <v>19179</v>
      </c>
    </row>
    <row r="596" spans="1:8">
      <c r="H596" t="s">
        <v>19180</v>
      </c>
    </row>
    <row r="597" spans="1:8">
      <c r="F597" t="s">
        <v>10591</v>
      </c>
      <c r="G597" t="s">
        <v>14994</v>
      </c>
      <c r="H597" t="s">
        <v>19181</v>
      </c>
    </row>
    <row r="598" spans="1:8">
      <c r="A598" t="s">
        <v>140</v>
      </c>
      <c r="B598">
        <f>HYPERLINK("https://android.googlesource.com/platform/cts/+/1e1ceaa036e58fa23148386bf7a32d02cfc66cdd", "1e1ceaa036e58fa23148386bf7a32d02cfc66cdd")</f>
        <v>0</v>
      </c>
      <c r="C598">
        <f>HYPERLINK("https://android.googlesource.com/platform/cts/+/9807ece9ab368c44f7519c320ca0e6a9930000e8", "9807ece9ab368c44f7519c320ca0e6a9930000e8")</f>
        <v>0</v>
      </c>
      <c r="D598" t="s">
        <v>4941</v>
      </c>
      <c r="E598" t="s">
        <v>5939</v>
      </c>
      <c r="F598" t="s">
        <v>10713</v>
      </c>
      <c r="G598" t="s">
        <v>15112</v>
      </c>
      <c r="H598" t="s">
        <v>19182</v>
      </c>
    </row>
    <row r="599" spans="1:8">
      <c r="A599" t="s">
        <v>141</v>
      </c>
      <c r="B599">
        <f>HYPERLINK("https://android.googlesource.com/platform/cts/+/498494b60da0c9f3ebef24af934c23bb8b3de3b3", "498494b60da0c9f3ebef24af934c23bb8b3de3b3")</f>
        <v>0</v>
      </c>
      <c r="C599">
        <f>HYPERLINK("https://android.googlesource.com/platform/cts/+/11a052eae5264365d8641e17c5ec2830c012a9ff", "11a052eae5264365d8641e17c5ec2830c012a9ff")</f>
        <v>0</v>
      </c>
      <c r="D599" t="s">
        <v>4941</v>
      </c>
      <c r="E599" t="s">
        <v>5940</v>
      </c>
      <c r="F599" t="s">
        <v>10637</v>
      </c>
      <c r="G599" t="s">
        <v>15040</v>
      </c>
      <c r="H599" t="s">
        <v>19183</v>
      </c>
    </row>
    <row r="600" spans="1:8">
      <c r="H600" t="s">
        <v>19184</v>
      </c>
    </row>
    <row r="601" spans="1:8">
      <c r="A601" t="s">
        <v>142</v>
      </c>
      <c r="B601">
        <f>HYPERLINK("https://android.googlesource.com/platform/cts/+/113cf67f683cba95e36af06e134511b363373abe", "113cf67f683cba95e36af06e134511b363373abe")</f>
        <v>0</v>
      </c>
      <c r="C601">
        <f>HYPERLINK("https://android.googlesource.com/platform/cts/+/d4edc186d4e8f69b4967f694dc8baf28534d566b", "d4edc186d4e8f69b4967f694dc8baf28534d566b")</f>
        <v>0</v>
      </c>
      <c r="D601" t="s">
        <v>4942</v>
      </c>
      <c r="E601" t="s">
        <v>5941</v>
      </c>
      <c r="F601" t="s">
        <v>10688</v>
      </c>
      <c r="G601" t="s">
        <v>15088</v>
      </c>
      <c r="H601" t="s">
        <v>19185</v>
      </c>
    </row>
    <row r="602" spans="1:8">
      <c r="H602" t="s">
        <v>19186</v>
      </c>
    </row>
    <row r="603" spans="1:8">
      <c r="H603" t="s">
        <v>19187</v>
      </c>
    </row>
    <row r="604" spans="1:8">
      <c r="H604" t="s">
        <v>18829</v>
      </c>
    </row>
    <row r="605" spans="1:8">
      <c r="H605" t="s">
        <v>19188</v>
      </c>
    </row>
    <row r="606" spans="1:8">
      <c r="H606" t="s">
        <v>19189</v>
      </c>
    </row>
    <row r="607" spans="1:8">
      <c r="H607" t="s">
        <v>19190</v>
      </c>
    </row>
    <row r="608" spans="1:8">
      <c r="A608" t="s">
        <v>143</v>
      </c>
      <c r="B608">
        <f>HYPERLINK("https://android.googlesource.com/platform/cts/+/ecf3c313428dd20b07fd7071dda5369fdde9e1d2", "ecf3c313428dd20b07fd7071dda5369fdde9e1d2")</f>
        <v>0</v>
      </c>
      <c r="C608">
        <f>HYPERLINK("https://android.googlesource.com/platform/cts/+/377d04083e75b8d4a2e9bf2cace043740149c103", "377d04083e75b8d4a2e9bf2cace043740149c103")</f>
        <v>0</v>
      </c>
      <c r="D608" t="s">
        <v>4948</v>
      </c>
      <c r="E608" t="s">
        <v>5942</v>
      </c>
      <c r="F608" t="s">
        <v>10684</v>
      </c>
      <c r="G608" t="s">
        <v>15084</v>
      </c>
      <c r="H608" t="s">
        <v>19191</v>
      </c>
    </row>
    <row r="609" spans="1:8">
      <c r="A609" t="s">
        <v>144</v>
      </c>
      <c r="B609">
        <f>HYPERLINK("https://android.googlesource.com/platform/cts/+/8384c12edac19c20b8ffc115e2fb1c623d500e29", "8384c12edac19c20b8ffc115e2fb1c623d500e29")</f>
        <v>0</v>
      </c>
      <c r="C609">
        <f>HYPERLINK("https://android.googlesource.com/platform/cts/+/b9f9c181bbb3f0f00ca3e061560229f8a064cd8a", "b9f9c181bbb3f0f00ca3e061560229f8a064cd8a")</f>
        <v>0</v>
      </c>
      <c r="D609" t="s">
        <v>4941</v>
      </c>
      <c r="E609" t="s">
        <v>5943</v>
      </c>
      <c r="F609" t="s">
        <v>10714</v>
      </c>
      <c r="G609" t="s">
        <v>15113</v>
      </c>
      <c r="H609" t="s">
        <v>19192</v>
      </c>
    </row>
    <row r="610" spans="1:8">
      <c r="F610" t="s">
        <v>10598</v>
      </c>
      <c r="G610" t="s">
        <v>15001</v>
      </c>
      <c r="H610" t="s">
        <v>18863</v>
      </c>
    </row>
    <row r="611" spans="1:8">
      <c r="H611" t="s">
        <v>19192</v>
      </c>
    </row>
    <row r="612" spans="1:8">
      <c r="F612" t="s">
        <v>10698</v>
      </c>
      <c r="G612" t="s">
        <v>15098</v>
      </c>
      <c r="H612" t="s">
        <v>18863</v>
      </c>
    </row>
    <row r="613" spans="1:8">
      <c r="H613" t="s">
        <v>19192</v>
      </c>
    </row>
    <row r="614" spans="1:8">
      <c r="H614" t="s">
        <v>19193</v>
      </c>
    </row>
    <row r="615" spans="1:8">
      <c r="H615" t="s">
        <v>19194</v>
      </c>
    </row>
    <row r="616" spans="1:8">
      <c r="H616" t="s">
        <v>19195</v>
      </c>
    </row>
    <row r="617" spans="1:8">
      <c r="H617" t="s">
        <v>19196</v>
      </c>
    </row>
    <row r="618" spans="1:8">
      <c r="F618" t="s">
        <v>10621</v>
      </c>
      <c r="G618" t="s">
        <v>15024</v>
      </c>
      <c r="H618" t="s">
        <v>19192</v>
      </c>
    </row>
    <row r="619" spans="1:8">
      <c r="A619" t="s">
        <v>145</v>
      </c>
      <c r="B619">
        <f>HYPERLINK("https://android.googlesource.com/platform/cts/+/96a2cfeefc956465f8f5b3155e940c74894852bd", "96a2cfeefc956465f8f5b3155e940c74894852bd")</f>
        <v>0</v>
      </c>
      <c r="C619">
        <f>HYPERLINK("https://android.googlesource.com/platform/cts/+/9dcb0fc7ceddd2d0250ea65d3351b7f1f99a0b54", "9dcb0fc7ceddd2d0250ea65d3351b7f1f99a0b54")</f>
        <v>0</v>
      </c>
      <c r="D619" t="s">
        <v>4942</v>
      </c>
      <c r="E619" t="s">
        <v>5944</v>
      </c>
      <c r="F619" t="s">
        <v>10600</v>
      </c>
      <c r="G619" t="s">
        <v>15003</v>
      </c>
      <c r="H619" t="s">
        <v>18829</v>
      </c>
    </row>
    <row r="620" spans="1:8">
      <c r="A620" t="s">
        <v>146</v>
      </c>
      <c r="B620">
        <f>HYPERLINK("https://android.googlesource.com/platform/cts/+/77cf8e683cfeb9a4c35c48a9ad62d9ffd48840d3", "77cf8e683cfeb9a4c35c48a9ad62d9ffd48840d3")</f>
        <v>0</v>
      </c>
      <c r="C620">
        <f>HYPERLINK("https://android.googlesource.com/platform/cts/+/8476626a9e9fd100a1238258250b7043927d9a1d", "8476626a9e9fd100a1238258250b7043927d9a1d")</f>
        <v>0</v>
      </c>
      <c r="D620" t="s">
        <v>4939</v>
      </c>
      <c r="E620" t="s">
        <v>5945</v>
      </c>
      <c r="F620" t="s">
        <v>10715</v>
      </c>
      <c r="G620" t="s">
        <v>15114</v>
      </c>
      <c r="H620" t="s">
        <v>19197</v>
      </c>
    </row>
    <row r="621" spans="1:8">
      <c r="H621" t="s">
        <v>19198</v>
      </c>
    </row>
    <row r="622" spans="1:8">
      <c r="A622" t="s">
        <v>147</v>
      </c>
      <c r="B622">
        <f>HYPERLINK("https://android.googlesource.com/platform/cts/+/0b9aac058d4f69e209c25a0ae382a62567c68ec7", "0b9aac058d4f69e209c25a0ae382a62567c68ec7")</f>
        <v>0</v>
      </c>
      <c r="C622">
        <f>HYPERLINK("https://android.googlesource.com/platform/cts/+/2ad4648a054aa57fd9092ab880be4c38850863d8", "2ad4648a054aa57fd9092ab880be4c38850863d8")</f>
        <v>0</v>
      </c>
      <c r="D622" t="s">
        <v>4942</v>
      </c>
      <c r="E622" t="s">
        <v>5946</v>
      </c>
      <c r="F622" t="s">
        <v>10716</v>
      </c>
      <c r="G622" t="s">
        <v>15115</v>
      </c>
      <c r="H622" t="s">
        <v>19199</v>
      </c>
    </row>
    <row r="623" spans="1:8">
      <c r="A623" t="s">
        <v>148</v>
      </c>
      <c r="B623">
        <f>HYPERLINK("https://android.googlesource.com/platform/cts/+/5c5c4c4625b08ff76d9369cb8faed9771cabe4ac", "5c5c4c4625b08ff76d9369cb8faed9771cabe4ac")</f>
        <v>0</v>
      </c>
      <c r="C623">
        <f>HYPERLINK("https://android.googlesource.com/platform/cts/+/2ad4648a054aa57fd9092ab880be4c38850863d8", "2ad4648a054aa57fd9092ab880be4c38850863d8")</f>
        <v>0</v>
      </c>
      <c r="D623" t="s">
        <v>4942</v>
      </c>
      <c r="E623" t="s">
        <v>5947</v>
      </c>
      <c r="F623" t="s">
        <v>10717</v>
      </c>
      <c r="G623" t="s">
        <v>15116</v>
      </c>
      <c r="H623" t="s">
        <v>19200</v>
      </c>
    </row>
    <row r="624" spans="1:8">
      <c r="H624" t="s">
        <v>19201</v>
      </c>
    </row>
    <row r="625" spans="1:8">
      <c r="A625" t="s">
        <v>149</v>
      </c>
      <c r="B625">
        <f>HYPERLINK("https://android.googlesource.com/platform/cts/+/f6ef098cd3a59a2f5af6f19278d0cf796f5b2f02", "f6ef098cd3a59a2f5af6f19278d0cf796f5b2f02")</f>
        <v>0</v>
      </c>
      <c r="C625">
        <f>HYPERLINK("https://android.googlesource.com/platform/cts/+/2ad4648a054aa57fd9092ab880be4c38850863d8", "2ad4648a054aa57fd9092ab880be4c38850863d8")</f>
        <v>0</v>
      </c>
      <c r="D625" t="s">
        <v>4942</v>
      </c>
      <c r="E625" t="s">
        <v>5948</v>
      </c>
      <c r="F625" t="s">
        <v>10679</v>
      </c>
      <c r="G625" t="s">
        <v>15079</v>
      </c>
      <c r="H625" t="s">
        <v>19202</v>
      </c>
    </row>
    <row r="626" spans="1:8">
      <c r="H626" t="s">
        <v>19203</v>
      </c>
    </row>
    <row r="627" spans="1:8">
      <c r="A627" t="s">
        <v>150</v>
      </c>
      <c r="B627">
        <f>HYPERLINK("https://android.googlesource.com/platform/cts/+/6aca89963bb79ca88941c79bd7d7316066eb8ec3", "6aca89963bb79ca88941c79bd7d7316066eb8ec3")</f>
        <v>0</v>
      </c>
      <c r="C627">
        <f>HYPERLINK("https://android.googlesource.com/platform/cts/+/2ad4648a054aa57fd9092ab880be4c38850863d8", "2ad4648a054aa57fd9092ab880be4c38850863d8")</f>
        <v>0</v>
      </c>
      <c r="D627" t="s">
        <v>4942</v>
      </c>
      <c r="E627" t="s">
        <v>5949</v>
      </c>
      <c r="F627" t="s">
        <v>10663</v>
      </c>
      <c r="G627" t="s">
        <v>15064</v>
      </c>
      <c r="H627" t="s">
        <v>19204</v>
      </c>
    </row>
    <row r="628" spans="1:8">
      <c r="A628" t="s">
        <v>151</v>
      </c>
      <c r="B628">
        <f>HYPERLINK("https://android.googlesource.com/platform/cts/+/8301a50347223c940cf4775497d92eac1935532f", "8301a50347223c940cf4775497d92eac1935532f")</f>
        <v>0</v>
      </c>
      <c r="C628">
        <f>HYPERLINK("https://android.googlesource.com/platform/cts/+/a59ff92b4dab5b9bfb301d0a49b5f6d0188b4389", "a59ff92b4dab5b9bfb301d0a49b5f6d0188b4389")</f>
        <v>0</v>
      </c>
      <c r="D628" t="s">
        <v>4942</v>
      </c>
      <c r="E628" t="s">
        <v>5950</v>
      </c>
      <c r="F628" t="s">
        <v>10718</v>
      </c>
      <c r="G628" t="s">
        <v>15117</v>
      </c>
      <c r="H628" t="s">
        <v>19205</v>
      </c>
    </row>
    <row r="629" spans="1:8">
      <c r="H629" t="s">
        <v>19206</v>
      </c>
    </row>
    <row r="630" spans="1:8">
      <c r="H630" t="s">
        <v>19207</v>
      </c>
    </row>
    <row r="631" spans="1:8">
      <c r="H631" t="s">
        <v>19208</v>
      </c>
    </row>
    <row r="632" spans="1:8">
      <c r="H632" t="s">
        <v>19209</v>
      </c>
    </row>
    <row r="633" spans="1:8">
      <c r="H633" t="s">
        <v>19210</v>
      </c>
    </row>
    <row r="634" spans="1:8">
      <c r="H634" t="s">
        <v>19211</v>
      </c>
    </row>
    <row r="635" spans="1:8">
      <c r="H635" t="s">
        <v>19212</v>
      </c>
    </row>
    <row r="636" spans="1:8">
      <c r="F636" t="s">
        <v>10719</v>
      </c>
      <c r="G636" t="s">
        <v>15118</v>
      </c>
      <c r="H636" t="s">
        <v>19207</v>
      </c>
    </row>
    <row r="637" spans="1:8">
      <c r="H637" t="s">
        <v>19208</v>
      </c>
    </row>
    <row r="638" spans="1:8">
      <c r="H638" t="s">
        <v>19209</v>
      </c>
    </row>
    <row r="639" spans="1:8">
      <c r="H639" t="s">
        <v>19210</v>
      </c>
    </row>
    <row r="640" spans="1:8">
      <c r="H640" t="s">
        <v>19211</v>
      </c>
    </row>
    <row r="641" spans="1:8">
      <c r="A641" t="s">
        <v>152</v>
      </c>
      <c r="B641">
        <f>HYPERLINK("https://android.googlesource.com/platform/cts/+/e8491635046855a345193635027804518803451c", "e8491635046855a345193635027804518803451c")</f>
        <v>0</v>
      </c>
      <c r="C641">
        <f>HYPERLINK("https://android.googlesource.com/platform/cts/+/118056d68e775f0aac396eb1b7a016d7818785c0", "118056d68e775f0aac396eb1b7a016d7818785c0")</f>
        <v>0</v>
      </c>
      <c r="D641" t="s">
        <v>4949</v>
      </c>
      <c r="E641" t="s">
        <v>5951</v>
      </c>
      <c r="F641" t="s">
        <v>10720</v>
      </c>
      <c r="G641" t="s">
        <v>15119</v>
      </c>
      <c r="H641" t="s">
        <v>18829</v>
      </c>
    </row>
    <row r="642" spans="1:8">
      <c r="A642" t="s">
        <v>153</v>
      </c>
      <c r="B642">
        <f>HYPERLINK("https://android.googlesource.com/platform/cts/+/0dee316c165ec017d0456eb7fa041a839ef72190", "0dee316c165ec017d0456eb7fa041a839ef72190")</f>
        <v>0</v>
      </c>
      <c r="C642">
        <f>HYPERLINK("https://android.googlesource.com/platform/cts/+/b39a05306c3a46d9ca1cf434941c9bf44e3bf5dd", "b39a05306c3a46d9ca1cf434941c9bf44e3bf5dd")</f>
        <v>0</v>
      </c>
      <c r="D642" t="s">
        <v>4950</v>
      </c>
      <c r="E642" t="s">
        <v>5952</v>
      </c>
      <c r="F642" t="s">
        <v>10721</v>
      </c>
      <c r="G642" t="s">
        <v>15120</v>
      </c>
      <c r="H642" t="s">
        <v>19213</v>
      </c>
    </row>
    <row r="643" spans="1:8">
      <c r="A643" t="s">
        <v>154</v>
      </c>
      <c r="B643">
        <f>HYPERLINK("https://android.googlesource.com/platform/cts/+/91650b6e3daa5f9bd491f2c6e262818fbd51f501", "91650b6e3daa5f9bd491f2c6e262818fbd51f501")</f>
        <v>0</v>
      </c>
      <c r="C643">
        <f>HYPERLINK("https://android.googlesource.com/platform/cts/+/e53e24e46cefc8fd74bdc4899e2bf7712706c7f8", "e53e24e46cefc8fd74bdc4899e2bf7712706c7f8")</f>
        <v>0</v>
      </c>
      <c r="D643" t="s">
        <v>4951</v>
      </c>
      <c r="E643" t="s">
        <v>5953</v>
      </c>
      <c r="F643" t="s">
        <v>10687</v>
      </c>
      <c r="G643" t="s">
        <v>15087</v>
      </c>
      <c r="H643" t="s">
        <v>19214</v>
      </c>
    </row>
    <row r="644" spans="1:8">
      <c r="A644" t="s">
        <v>155</v>
      </c>
      <c r="B644">
        <f>HYPERLINK("https://android.googlesource.com/platform/cts/+/3dcf631658eb54e51aa60a682134f40ee3bf9ad5", "3dcf631658eb54e51aa60a682134f40ee3bf9ad5")</f>
        <v>0</v>
      </c>
      <c r="C644">
        <f>HYPERLINK("https://android.googlesource.com/platform/cts/+/e0550b02f42dfa086e9515ee0ab9909aefd68473", "e0550b02f42dfa086e9515ee0ab9909aefd68473")</f>
        <v>0</v>
      </c>
      <c r="D644" t="s">
        <v>4942</v>
      </c>
      <c r="E644" t="s">
        <v>5954</v>
      </c>
      <c r="F644" t="s">
        <v>10598</v>
      </c>
      <c r="G644" t="s">
        <v>15001</v>
      </c>
      <c r="H644" t="s">
        <v>19215</v>
      </c>
    </row>
    <row r="645" spans="1:8">
      <c r="H645" t="s">
        <v>18829</v>
      </c>
    </row>
    <row r="646" spans="1:8">
      <c r="H646" t="s">
        <v>18863</v>
      </c>
    </row>
    <row r="647" spans="1:8">
      <c r="H647" t="s">
        <v>19216</v>
      </c>
    </row>
    <row r="648" spans="1:8">
      <c r="H648" t="s">
        <v>19217</v>
      </c>
    </row>
    <row r="649" spans="1:8">
      <c r="H649" t="s">
        <v>19218</v>
      </c>
    </row>
    <row r="650" spans="1:8">
      <c r="H650" t="s">
        <v>19192</v>
      </c>
    </row>
    <row r="651" spans="1:8">
      <c r="A651" t="s">
        <v>156</v>
      </c>
      <c r="B651">
        <f>HYPERLINK("https://android.googlesource.com/platform/cts/+/f7f1742e301a825b10ff14d1f03b1c38fc696c04", "f7f1742e301a825b10ff14d1f03b1c38fc696c04")</f>
        <v>0</v>
      </c>
      <c r="C651">
        <f>HYPERLINK("https://android.googlesource.com/platform/cts/+/e0550b02f42dfa086e9515ee0ab9909aefd68473", "e0550b02f42dfa086e9515ee0ab9909aefd68473")</f>
        <v>0</v>
      </c>
      <c r="D651" t="s">
        <v>4942</v>
      </c>
      <c r="E651" t="s">
        <v>5955</v>
      </c>
      <c r="F651" t="s">
        <v>10722</v>
      </c>
      <c r="G651" t="s">
        <v>15121</v>
      </c>
      <c r="H651" t="s">
        <v>19219</v>
      </c>
    </row>
    <row r="652" spans="1:8">
      <c r="H652" t="s">
        <v>19220</v>
      </c>
    </row>
    <row r="653" spans="1:8">
      <c r="A653" t="s">
        <v>157</v>
      </c>
      <c r="B653">
        <f>HYPERLINK("https://android.googlesource.com/platform/cts/+/8dc2b80b06032addf4a93543c90c3603bb6be023", "8dc2b80b06032addf4a93543c90c3603bb6be023")</f>
        <v>0</v>
      </c>
      <c r="C653">
        <f>HYPERLINK("https://android.googlesource.com/platform/cts/+/ace35f36291fdfc0bc49b39a395b8bea71a6c67b", "ace35f36291fdfc0bc49b39a395b8bea71a6c67b")</f>
        <v>0</v>
      </c>
      <c r="D653" t="s">
        <v>4952</v>
      </c>
      <c r="E653" t="s">
        <v>5956</v>
      </c>
      <c r="F653" t="s">
        <v>10723</v>
      </c>
      <c r="G653" t="s">
        <v>15122</v>
      </c>
      <c r="H653" t="s">
        <v>19221</v>
      </c>
    </row>
    <row r="654" spans="1:8">
      <c r="A654" t="s">
        <v>158</v>
      </c>
      <c r="B654">
        <f>HYPERLINK("https://android.googlesource.com/platform/cts/+/2b724c769821d931e8ba1dd3e1861378194c46f5", "2b724c769821d931e8ba1dd3e1861378194c46f5")</f>
        <v>0</v>
      </c>
      <c r="C654">
        <f>HYPERLINK("https://android.googlesource.com/platform/cts/+/56129c167239bd7beeb2562ed088bc81d6a684df", "56129c167239bd7beeb2562ed088bc81d6a684df")</f>
        <v>0</v>
      </c>
      <c r="D654" t="s">
        <v>4941</v>
      </c>
      <c r="E654" t="s">
        <v>5957</v>
      </c>
      <c r="F654" t="s">
        <v>10677</v>
      </c>
      <c r="G654" t="s">
        <v>15077</v>
      </c>
      <c r="H654" t="s">
        <v>18829</v>
      </c>
    </row>
    <row r="655" spans="1:8">
      <c r="H655" t="s">
        <v>19065</v>
      </c>
    </row>
    <row r="656" spans="1:8">
      <c r="H656" t="s">
        <v>19066</v>
      </c>
    </row>
    <row r="657" spans="8:8">
      <c r="H657" t="s">
        <v>19067</v>
      </c>
    </row>
    <row r="658" spans="8:8">
      <c r="H658" t="s">
        <v>19068</v>
      </c>
    </row>
    <row r="659" spans="8:8">
      <c r="H659" t="s">
        <v>19069</v>
      </c>
    </row>
    <row r="660" spans="8:8">
      <c r="H660" t="s">
        <v>19070</v>
      </c>
    </row>
    <row r="661" spans="8:8">
      <c r="H661" t="s">
        <v>19071</v>
      </c>
    </row>
    <row r="662" spans="8:8">
      <c r="H662" t="s">
        <v>19072</v>
      </c>
    </row>
    <row r="663" spans="8:8">
      <c r="H663" t="s">
        <v>19073</v>
      </c>
    </row>
    <row r="664" spans="8:8">
      <c r="H664" t="s">
        <v>19074</v>
      </c>
    </row>
    <row r="665" spans="8:8">
      <c r="H665" t="s">
        <v>19075</v>
      </c>
    </row>
    <row r="666" spans="8:8">
      <c r="H666" t="s">
        <v>19076</v>
      </c>
    </row>
    <row r="667" spans="8:8">
      <c r="H667" t="s">
        <v>18893</v>
      </c>
    </row>
    <row r="668" spans="8:8">
      <c r="H668" t="s">
        <v>18985</v>
      </c>
    </row>
    <row r="669" spans="8:8">
      <c r="H669" t="s">
        <v>19077</v>
      </c>
    </row>
    <row r="670" spans="8:8">
      <c r="H670" t="s">
        <v>19077</v>
      </c>
    </row>
    <row r="671" spans="8:8">
      <c r="H671" t="s">
        <v>19077</v>
      </c>
    </row>
    <row r="672" spans="8:8">
      <c r="H672" t="s">
        <v>19078</v>
      </c>
    </row>
    <row r="673" spans="1:8">
      <c r="H673" t="s">
        <v>19079</v>
      </c>
    </row>
    <row r="674" spans="1:8">
      <c r="H674" t="s">
        <v>19080</v>
      </c>
    </row>
    <row r="675" spans="1:8">
      <c r="H675" t="s">
        <v>19081</v>
      </c>
    </row>
    <row r="676" spans="1:8">
      <c r="H676" t="s">
        <v>19082</v>
      </c>
    </row>
    <row r="677" spans="1:8">
      <c r="H677" t="s">
        <v>19083</v>
      </c>
    </row>
    <row r="678" spans="1:8">
      <c r="A678" t="s">
        <v>159</v>
      </c>
      <c r="B678">
        <f>HYPERLINK("https://android.googlesource.com/platform/cts/+/f908129b007a77caff1371667cfae64826be485e", "f908129b007a77caff1371667cfae64826be485e")</f>
        <v>0</v>
      </c>
      <c r="C678">
        <f>HYPERLINK("https://android.googlesource.com/platform/cts/+/f04208cf19e419cd8021af2aedf7d04649e1ad78", "f04208cf19e419cd8021af2aedf7d04649e1ad78")</f>
        <v>0</v>
      </c>
      <c r="D678" t="s">
        <v>4941</v>
      </c>
      <c r="E678" t="s">
        <v>5958</v>
      </c>
      <c r="F678" t="s">
        <v>10584</v>
      </c>
      <c r="G678" t="s">
        <v>14987</v>
      </c>
      <c r="H678" t="s">
        <v>19222</v>
      </c>
    </row>
    <row r="679" spans="1:8">
      <c r="A679" t="s">
        <v>160</v>
      </c>
      <c r="B679">
        <f>HYPERLINK("https://android.googlesource.com/platform/cts/+/56d8ae53f99e13b8b1dae7fdc505897ece31759d", "56d8ae53f99e13b8b1dae7fdc505897ece31759d")</f>
        <v>0</v>
      </c>
      <c r="C679">
        <f>HYPERLINK("https://android.googlesource.com/platform/cts/+/e0550b02f42dfa086e9515ee0ab9909aefd68473", "e0550b02f42dfa086e9515ee0ab9909aefd68473")</f>
        <v>0</v>
      </c>
      <c r="D679" t="s">
        <v>4942</v>
      </c>
      <c r="E679" t="s">
        <v>5959</v>
      </c>
      <c r="F679" t="s">
        <v>10696</v>
      </c>
      <c r="G679" t="s">
        <v>15096</v>
      </c>
      <c r="H679" t="s">
        <v>19223</v>
      </c>
    </row>
    <row r="680" spans="1:8">
      <c r="A680" t="s">
        <v>161</v>
      </c>
      <c r="B680">
        <f>HYPERLINK("https://android.googlesource.com/platform/cts/+/977522004dcea20d5e45fafa8e20e5d8502fab9c", "977522004dcea20d5e45fafa8e20e5d8502fab9c")</f>
        <v>0</v>
      </c>
      <c r="C680">
        <f>HYPERLINK("https://android.googlesource.com/platform/cts/+/e0550b02f42dfa086e9515ee0ab9909aefd68473", "e0550b02f42dfa086e9515ee0ab9909aefd68473")</f>
        <v>0</v>
      </c>
      <c r="D680" t="s">
        <v>4942</v>
      </c>
      <c r="E680" t="s">
        <v>5960</v>
      </c>
      <c r="F680" t="s">
        <v>10659</v>
      </c>
      <c r="G680" t="s">
        <v>15060</v>
      </c>
      <c r="H680" t="s">
        <v>19224</v>
      </c>
    </row>
    <row r="681" spans="1:8">
      <c r="H681" t="s">
        <v>19225</v>
      </c>
    </row>
    <row r="682" spans="1:8">
      <c r="H682" t="s">
        <v>19226</v>
      </c>
    </row>
    <row r="683" spans="1:8">
      <c r="A683" t="s">
        <v>162</v>
      </c>
      <c r="B683">
        <f>HYPERLINK("https://android.googlesource.com/platform/cts/+/0a32c81efdde76a4c95be703edbec65cdeeb8381", "0a32c81efdde76a4c95be703edbec65cdeeb8381")</f>
        <v>0</v>
      </c>
      <c r="C683">
        <f>HYPERLINK("https://android.googlesource.com/platform/cts/+/25d543e4f28575bd9deebdc7ddb7b05e9848bcd3", "25d543e4f28575bd9deebdc7ddb7b05e9848bcd3")</f>
        <v>0</v>
      </c>
      <c r="D683" t="s">
        <v>4942</v>
      </c>
      <c r="E683" t="s">
        <v>5961</v>
      </c>
      <c r="F683" t="s">
        <v>10724</v>
      </c>
      <c r="G683" t="s">
        <v>15123</v>
      </c>
      <c r="H683" t="s">
        <v>19227</v>
      </c>
    </row>
    <row r="684" spans="1:8">
      <c r="A684" t="s">
        <v>163</v>
      </c>
      <c r="B684">
        <f>HYPERLINK("https://android.googlesource.com/platform/cts/+/9393f4891ee3642b6268ec009a8552ff567d35b5", "9393f4891ee3642b6268ec009a8552ff567d35b5")</f>
        <v>0</v>
      </c>
      <c r="C684">
        <f>HYPERLINK("https://android.googlesource.com/platform/cts/+/25d543e4f28575bd9deebdc7ddb7b05e9848bcd3", "25d543e4f28575bd9deebdc7ddb7b05e9848bcd3")</f>
        <v>0</v>
      </c>
      <c r="D684" t="s">
        <v>4942</v>
      </c>
      <c r="E684" t="s">
        <v>5962</v>
      </c>
      <c r="F684" t="s">
        <v>10725</v>
      </c>
      <c r="G684" t="s">
        <v>15124</v>
      </c>
      <c r="H684" t="s">
        <v>19228</v>
      </c>
    </row>
    <row r="685" spans="1:8">
      <c r="A685" t="s">
        <v>164</v>
      </c>
      <c r="B685">
        <f>HYPERLINK("https://android.googlesource.com/platform/cts/+/dc9b86b38e05bc12e20137540285316dc3835e26", "dc9b86b38e05bc12e20137540285316dc3835e26")</f>
        <v>0</v>
      </c>
      <c r="C685">
        <f>HYPERLINK("https://android.googlesource.com/platform/cts/+/25d543e4f28575bd9deebdc7ddb7b05e9848bcd3", "25d543e4f28575bd9deebdc7ddb7b05e9848bcd3")</f>
        <v>0</v>
      </c>
      <c r="D685" t="s">
        <v>4942</v>
      </c>
      <c r="E685" t="s">
        <v>5963</v>
      </c>
      <c r="F685" t="s">
        <v>10726</v>
      </c>
      <c r="G685" t="s">
        <v>15125</v>
      </c>
      <c r="H685" t="s">
        <v>19229</v>
      </c>
    </row>
    <row r="686" spans="1:8">
      <c r="A686" t="s">
        <v>165</v>
      </c>
      <c r="B686">
        <f>HYPERLINK("https://android.googlesource.com/platform/cts/+/41d2452e4163df531046bab552faceeae45243dc", "41d2452e4163df531046bab552faceeae45243dc")</f>
        <v>0</v>
      </c>
      <c r="C686">
        <f>HYPERLINK("https://android.googlesource.com/platform/cts/+/8326d122c51d9eff2c9e8b08463851c7c50f5f26", "8326d122c51d9eff2c9e8b08463851c7c50f5f26")</f>
        <v>0</v>
      </c>
      <c r="D686" t="s">
        <v>4942</v>
      </c>
      <c r="E686" t="s">
        <v>5964</v>
      </c>
      <c r="F686" t="s">
        <v>10727</v>
      </c>
      <c r="G686" t="s">
        <v>15126</v>
      </c>
      <c r="H686" t="s">
        <v>19074</v>
      </c>
    </row>
    <row r="687" spans="1:8">
      <c r="A687" t="s">
        <v>166</v>
      </c>
      <c r="B687">
        <f>HYPERLINK("https://android.googlesource.com/platform/cts/+/4f8143c0d5fd192987e71c7cfa91d890cb7e883c", "4f8143c0d5fd192987e71c7cfa91d890cb7e883c")</f>
        <v>0</v>
      </c>
      <c r="C687">
        <f>HYPERLINK("https://android.googlesource.com/platform/cts/+/37015f9ef08857e969b6085a742a888d174c9c3c", "37015f9ef08857e969b6085a742a888d174c9c3c")</f>
        <v>0</v>
      </c>
      <c r="D687" t="s">
        <v>4932</v>
      </c>
      <c r="E687" t="s">
        <v>5965</v>
      </c>
      <c r="F687" t="s">
        <v>10728</v>
      </c>
      <c r="G687" t="s">
        <v>15127</v>
      </c>
      <c r="H687" t="s">
        <v>19230</v>
      </c>
    </row>
    <row r="688" spans="1:8">
      <c r="A688" t="s">
        <v>167</v>
      </c>
      <c r="B688">
        <f>HYPERLINK("https://android.googlesource.com/platform/cts/+/36b78c1a9a9da0f938fed721602f164834b66f4d", "36b78c1a9a9da0f938fed721602f164834b66f4d")</f>
        <v>0</v>
      </c>
      <c r="C688">
        <f>HYPERLINK("https://android.googlesource.com/platform/cts/+/7ca0842d074c7b165e2f6f6fa45da6219c9fe288", "7ca0842d074c7b165e2f6f6fa45da6219c9fe288")</f>
        <v>0</v>
      </c>
      <c r="D688" t="s">
        <v>4942</v>
      </c>
      <c r="E688" t="s">
        <v>5966</v>
      </c>
      <c r="F688" t="s">
        <v>10729</v>
      </c>
      <c r="G688" t="s">
        <v>15128</v>
      </c>
      <c r="H688" t="s">
        <v>19231</v>
      </c>
    </row>
    <row r="689" spans="1:8">
      <c r="A689" t="s">
        <v>168</v>
      </c>
      <c r="B689">
        <f>HYPERLINK("https://android.googlesource.com/platform/cts/+/0fb89bfc83fca93acc9ec0a67f04721c4d6225b6", "0fb89bfc83fca93acc9ec0a67f04721c4d6225b6")</f>
        <v>0</v>
      </c>
      <c r="C689">
        <f>HYPERLINK("https://android.googlesource.com/platform/cts/+/bb6db5edd3a9ef033291f4fb2cf03aa889e9314f", "bb6db5edd3a9ef033291f4fb2cf03aa889e9314f")</f>
        <v>0</v>
      </c>
      <c r="D689" t="s">
        <v>4932</v>
      </c>
      <c r="E689" t="s">
        <v>5967</v>
      </c>
      <c r="F689" t="s">
        <v>10730</v>
      </c>
      <c r="G689" t="s">
        <v>15129</v>
      </c>
      <c r="H689" t="s">
        <v>19232</v>
      </c>
    </row>
    <row r="690" spans="1:8">
      <c r="H690" t="s">
        <v>19233</v>
      </c>
    </row>
    <row r="691" spans="1:8">
      <c r="H691" t="s">
        <v>19234</v>
      </c>
    </row>
    <row r="692" spans="1:8">
      <c r="H692" t="s">
        <v>19235</v>
      </c>
    </row>
    <row r="693" spans="1:8">
      <c r="H693" t="s">
        <v>19236</v>
      </c>
    </row>
    <row r="694" spans="1:8">
      <c r="H694" t="s">
        <v>18927</v>
      </c>
    </row>
    <row r="695" spans="1:8">
      <c r="H695" t="s">
        <v>18929</v>
      </c>
    </row>
    <row r="696" spans="1:8">
      <c r="H696" t="s">
        <v>19237</v>
      </c>
    </row>
    <row r="697" spans="1:8">
      <c r="H697" t="s">
        <v>19238</v>
      </c>
    </row>
    <row r="698" spans="1:8">
      <c r="H698" t="s">
        <v>19239</v>
      </c>
    </row>
    <row r="699" spans="1:8">
      <c r="H699" t="s">
        <v>19240</v>
      </c>
    </row>
    <row r="700" spans="1:8">
      <c r="F700" t="s">
        <v>10731</v>
      </c>
      <c r="G700" t="s">
        <v>15130</v>
      </c>
      <c r="H700" t="s">
        <v>18829</v>
      </c>
    </row>
    <row r="701" spans="1:8">
      <c r="H701" t="s">
        <v>19241</v>
      </c>
    </row>
    <row r="702" spans="1:8">
      <c r="H702" t="s">
        <v>19242</v>
      </c>
    </row>
    <row r="703" spans="1:8">
      <c r="H703" t="s">
        <v>19243</v>
      </c>
    </row>
    <row r="704" spans="1:8">
      <c r="A704" t="s">
        <v>169</v>
      </c>
      <c r="B704">
        <f>HYPERLINK("https://android.googlesource.com/platform/cts/+/7a338e4eac14fd1b21c0d54a89c6ff9c3207f6c9", "7a338e4eac14fd1b21c0d54a89c6ff9c3207f6c9")</f>
        <v>0</v>
      </c>
      <c r="C704">
        <f>HYPERLINK("https://android.googlesource.com/platform/cts/+/17aa488bd56e5aeab5f28e3de5d95525c8694714", "17aa488bd56e5aeab5f28e3de5d95525c8694714")</f>
        <v>0</v>
      </c>
      <c r="D704" t="s">
        <v>4942</v>
      </c>
      <c r="E704" t="s">
        <v>5968</v>
      </c>
      <c r="F704" t="s">
        <v>10732</v>
      </c>
      <c r="G704" t="s">
        <v>15131</v>
      </c>
      <c r="H704" t="s">
        <v>19244</v>
      </c>
    </row>
    <row r="705" spans="1:8">
      <c r="A705" t="s">
        <v>170</v>
      </c>
      <c r="B705">
        <f>HYPERLINK("https://android.googlesource.com/platform/cts/+/2616419c0ddfd92b6ae9751ca4beef127bd16e7f", "2616419c0ddfd92b6ae9751ca4beef127bd16e7f")</f>
        <v>0</v>
      </c>
      <c r="C705">
        <f>HYPERLINK("https://android.googlesource.com/platform/cts/+/3e6372cabe2c3a5a7a7339bad98f7b9b8783bc04", "3e6372cabe2c3a5a7a7339bad98f7b9b8783bc04")</f>
        <v>0</v>
      </c>
      <c r="D705" t="s">
        <v>4942</v>
      </c>
      <c r="E705" t="s">
        <v>5969</v>
      </c>
      <c r="F705" t="s">
        <v>10696</v>
      </c>
      <c r="G705" t="s">
        <v>15096</v>
      </c>
      <c r="H705" t="s">
        <v>19159</v>
      </c>
    </row>
    <row r="706" spans="1:8">
      <c r="A706" t="s">
        <v>171</v>
      </c>
      <c r="B706">
        <f>HYPERLINK("https://android.googlesource.com/platform/cts/+/6cc97966e394e443fb65910766d8b3bd30ea2257", "6cc97966e394e443fb65910766d8b3bd30ea2257")</f>
        <v>0</v>
      </c>
      <c r="C706">
        <f>HYPERLINK("https://android.googlesource.com/platform/cts/+/e0973f3b254051cd7eaa3db843e1969c39019c48", "e0973f3b254051cd7eaa3db843e1969c39019c48")</f>
        <v>0</v>
      </c>
      <c r="D706" t="s">
        <v>4941</v>
      </c>
      <c r="E706" t="s">
        <v>5970</v>
      </c>
      <c r="F706" t="s">
        <v>10733</v>
      </c>
      <c r="G706" t="s">
        <v>15132</v>
      </c>
      <c r="H706" t="s">
        <v>19245</v>
      </c>
    </row>
    <row r="707" spans="1:8">
      <c r="A707" t="s">
        <v>172</v>
      </c>
      <c r="B707">
        <f>HYPERLINK("https://android.googlesource.com/platform/cts/+/ef5a60418773dfc6a51df24fbb5efd61e081b76c", "ef5a60418773dfc6a51df24fbb5efd61e081b76c")</f>
        <v>0</v>
      </c>
      <c r="C707">
        <f>HYPERLINK("https://android.googlesource.com/platform/cts/+/94af790975d2db2132eca5e3a7eda0febe081317", "94af790975d2db2132eca5e3a7eda0febe081317")</f>
        <v>0</v>
      </c>
      <c r="D707" t="s">
        <v>4932</v>
      </c>
      <c r="E707" t="s">
        <v>5971</v>
      </c>
      <c r="F707" t="s">
        <v>10734</v>
      </c>
      <c r="G707" t="s">
        <v>15133</v>
      </c>
      <c r="H707" t="s">
        <v>19246</v>
      </c>
    </row>
    <row r="708" spans="1:8">
      <c r="F708" t="s">
        <v>10735</v>
      </c>
      <c r="G708" t="s">
        <v>15134</v>
      </c>
      <c r="H708" t="s">
        <v>19247</v>
      </c>
    </row>
    <row r="709" spans="1:8">
      <c r="H709" t="s">
        <v>19248</v>
      </c>
    </row>
    <row r="710" spans="1:8">
      <c r="A710" t="s">
        <v>173</v>
      </c>
      <c r="B710">
        <f>HYPERLINK("https://android.googlesource.com/platform/cts/+/ad74169a2048f5e0a1de5c17ead65743f71293b8", "ad74169a2048f5e0a1de5c17ead65743f71293b8")</f>
        <v>0</v>
      </c>
      <c r="C710">
        <f>HYPERLINK("https://android.googlesource.com/platform/cts/+/7cd393e2a59c7e392b15c40861c1852c90781101", "7cd393e2a59c7e392b15c40861c1852c90781101")</f>
        <v>0</v>
      </c>
      <c r="D710" t="s">
        <v>4941</v>
      </c>
      <c r="E710" t="s">
        <v>5972</v>
      </c>
      <c r="F710" t="s">
        <v>10722</v>
      </c>
      <c r="G710" t="s">
        <v>15121</v>
      </c>
      <c r="H710" t="s">
        <v>19249</v>
      </c>
    </row>
    <row r="711" spans="1:8">
      <c r="H711" t="s">
        <v>19250</v>
      </c>
    </row>
    <row r="712" spans="1:8">
      <c r="H712" t="s">
        <v>19251</v>
      </c>
    </row>
    <row r="713" spans="1:8">
      <c r="H713" t="s">
        <v>19252</v>
      </c>
    </row>
    <row r="714" spans="1:8">
      <c r="H714" t="s">
        <v>19253</v>
      </c>
    </row>
    <row r="715" spans="1:8">
      <c r="H715" t="s">
        <v>19254</v>
      </c>
    </row>
    <row r="716" spans="1:8">
      <c r="H716" t="s">
        <v>19255</v>
      </c>
    </row>
    <row r="717" spans="1:8">
      <c r="H717" t="s">
        <v>19256</v>
      </c>
    </row>
    <row r="718" spans="1:8">
      <c r="H718" t="s">
        <v>19257</v>
      </c>
    </row>
    <row r="719" spans="1:8">
      <c r="H719" t="s">
        <v>19258</v>
      </c>
    </row>
    <row r="720" spans="1:8">
      <c r="H720" t="s">
        <v>19259</v>
      </c>
    </row>
    <row r="721" spans="1:8">
      <c r="A721" t="s">
        <v>174</v>
      </c>
      <c r="B721">
        <f>HYPERLINK("https://android.googlesource.com/platform/cts/+/08997e064ecd7925ded0b65035104a4b09550f11", "08997e064ecd7925ded0b65035104a4b09550f11")</f>
        <v>0</v>
      </c>
      <c r="C721">
        <f>HYPERLINK("https://android.googlesource.com/platform/cts/+/77b77e65ce4be5b4c60053f901d5f245447c86bc", "77b77e65ce4be5b4c60053f901d5f245447c86bc")</f>
        <v>0</v>
      </c>
      <c r="D721" t="s">
        <v>4942</v>
      </c>
      <c r="E721" t="s">
        <v>5973</v>
      </c>
      <c r="F721" t="s">
        <v>10736</v>
      </c>
      <c r="G721" t="s">
        <v>15135</v>
      </c>
      <c r="H721" t="s">
        <v>19260</v>
      </c>
    </row>
    <row r="722" spans="1:8">
      <c r="H722" t="s">
        <v>18829</v>
      </c>
    </row>
    <row r="723" spans="1:8">
      <c r="H723" t="s">
        <v>19261</v>
      </c>
    </row>
    <row r="724" spans="1:8">
      <c r="H724" t="s">
        <v>19262</v>
      </c>
    </row>
    <row r="725" spans="1:8">
      <c r="H725" t="s">
        <v>19263</v>
      </c>
    </row>
    <row r="726" spans="1:8">
      <c r="H726" t="s">
        <v>18927</v>
      </c>
    </row>
    <row r="727" spans="1:8">
      <c r="H727" t="s">
        <v>19264</v>
      </c>
    </row>
    <row r="728" spans="1:8">
      <c r="A728" t="s">
        <v>175</v>
      </c>
      <c r="B728">
        <f>HYPERLINK("https://android.googlesource.com/platform/cts/+/c9a13f11de7b1dd08bc05c84810eb17ce051c8f3", "c9a13f11de7b1dd08bc05c84810eb17ce051c8f3")</f>
        <v>0</v>
      </c>
      <c r="C728">
        <f>HYPERLINK("https://android.googlesource.com/platform/cts/+/77b77e65ce4be5b4c60053f901d5f245447c86bc", "77b77e65ce4be5b4c60053f901d5f245447c86bc")</f>
        <v>0</v>
      </c>
      <c r="D728" t="s">
        <v>4942</v>
      </c>
      <c r="E728" t="s">
        <v>5974</v>
      </c>
      <c r="F728" t="s">
        <v>10737</v>
      </c>
      <c r="G728" t="s">
        <v>15136</v>
      </c>
      <c r="H728" t="s">
        <v>19265</v>
      </c>
    </row>
    <row r="729" spans="1:8">
      <c r="A729" t="s">
        <v>176</v>
      </c>
      <c r="B729">
        <f>HYPERLINK("https://android.googlesource.com/platform/cts/+/2c3bd2c8b7dd410e8e774d1a0d5516c66ea3aaa0", "2c3bd2c8b7dd410e8e774d1a0d5516c66ea3aaa0")</f>
        <v>0</v>
      </c>
      <c r="C729">
        <f>HYPERLINK("https://android.googlesource.com/platform/cts/+/77b77e65ce4be5b4c60053f901d5f245447c86bc", "77b77e65ce4be5b4c60053f901d5f245447c86bc")</f>
        <v>0</v>
      </c>
      <c r="D729" t="s">
        <v>4942</v>
      </c>
      <c r="E729" t="s">
        <v>5975</v>
      </c>
      <c r="F729" t="s">
        <v>10738</v>
      </c>
      <c r="G729" t="s">
        <v>15137</v>
      </c>
      <c r="H729" t="s">
        <v>19266</v>
      </c>
    </row>
    <row r="730" spans="1:8">
      <c r="H730" t="s">
        <v>19267</v>
      </c>
    </row>
    <row r="731" spans="1:8">
      <c r="A731" t="s">
        <v>177</v>
      </c>
      <c r="B731">
        <f>HYPERLINK("https://android.googlesource.com/platform/cts/+/e4d5a1b752a009e87e73f0cabe70a22330b89e8e", "e4d5a1b752a009e87e73f0cabe70a22330b89e8e")</f>
        <v>0</v>
      </c>
      <c r="C731">
        <f>HYPERLINK("https://android.googlesource.com/platform/cts/+/8efbbfcffd5b440d476b9aa52496a83b8db70e41", "8efbbfcffd5b440d476b9aa52496a83b8db70e41")</f>
        <v>0</v>
      </c>
      <c r="D731" t="s">
        <v>4941</v>
      </c>
      <c r="E731" t="s">
        <v>5976</v>
      </c>
      <c r="F731" t="s">
        <v>10739</v>
      </c>
      <c r="G731" t="s">
        <v>15138</v>
      </c>
      <c r="H731" t="s">
        <v>19268</v>
      </c>
    </row>
    <row r="732" spans="1:8">
      <c r="H732" t="s">
        <v>19269</v>
      </c>
    </row>
    <row r="733" spans="1:8">
      <c r="H733" t="s">
        <v>19270</v>
      </c>
    </row>
    <row r="734" spans="1:8">
      <c r="H734" t="s">
        <v>19271</v>
      </c>
    </row>
    <row r="735" spans="1:8">
      <c r="H735" t="s">
        <v>19272</v>
      </c>
    </row>
    <row r="736" spans="1:8">
      <c r="H736" t="s">
        <v>19273</v>
      </c>
    </row>
    <row r="737" spans="1:8">
      <c r="H737" t="s">
        <v>19274</v>
      </c>
    </row>
    <row r="738" spans="1:8">
      <c r="H738" t="s">
        <v>19275</v>
      </c>
    </row>
    <row r="739" spans="1:8">
      <c r="A739" t="s">
        <v>178</v>
      </c>
      <c r="B739">
        <f>HYPERLINK("https://android.googlesource.com/platform/cts/+/d74adf607816b5a0df3ab90fc578400a8129756a", "d74adf607816b5a0df3ab90fc578400a8129756a")</f>
        <v>0</v>
      </c>
      <c r="C739">
        <f>HYPERLINK("https://android.googlesource.com/platform/cts/+/8efbbfcffd5b440d476b9aa52496a83b8db70e41", "8efbbfcffd5b440d476b9aa52496a83b8db70e41")</f>
        <v>0</v>
      </c>
      <c r="D739" t="s">
        <v>4941</v>
      </c>
      <c r="E739" t="s">
        <v>5977</v>
      </c>
      <c r="F739" t="s">
        <v>10683</v>
      </c>
      <c r="G739" t="s">
        <v>15083</v>
      </c>
      <c r="H739" t="s">
        <v>19276</v>
      </c>
    </row>
    <row r="740" spans="1:8">
      <c r="A740" t="s">
        <v>179</v>
      </c>
      <c r="B740">
        <f>HYPERLINK("https://android.googlesource.com/platform/cts/+/2fc80bc5a8f0e3d053491f8547264f15d166eb7f", "2fc80bc5a8f0e3d053491f8547264f15d166eb7f")</f>
        <v>0</v>
      </c>
      <c r="C740">
        <f>HYPERLINK("https://android.googlesource.com/platform/cts/+/b881d63217ba5609879256dddf916e2f8f8b7131", "b881d63217ba5609879256dddf916e2f8f8b7131")</f>
        <v>0</v>
      </c>
      <c r="D740" t="s">
        <v>4941</v>
      </c>
      <c r="E740" t="s">
        <v>5978</v>
      </c>
      <c r="F740" t="s">
        <v>10740</v>
      </c>
      <c r="G740" t="s">
        <v>15139</v>
      </c>
      <c r="H740" t="s">
        <v>19277</v>
      </c>
    </row>
    <row r="741" spans="1:8">
      <c r="A741" t="s">
        <v>180</v>
      </c>
      <c r="B741">
        <f>HYPERLINK("https://android.googlesource.com/platform/cts/+/4348bffb5f262c6026a5abbe440ee97524d22fb0", "4348bffb5f262c6026a5abbe440ee97524d22fb0")</f>
        <v>0</v>
      </c>
      <c r="C741">
        <f>HYPERLINK("https://android.googlesource.com/platform/cts/+/b881d63217ba5609879256dddf916e2f8f8b7131", "b881d63217ba5609879256dddf916e2f8f8b7131")</f>
        <v>0</v>
      </c>
      <c r="D741" t="s">
        <v>4941</v>
      </c>
      <c r="E741" t="s">
        <v>5979</v>
      </c>
      <c r="F741" t="s">
        <v>10684</v>
      </c>
      <c r="G741" t="s">
        <v>15084</v>
      </c>
      <c r="H741" t="s">
        <v>19278</v>
      </c>
    </row>
    <row r="742" spans="1:8">
      <c r="H742" t="s">
        <v>19279</v>
      </c>
    </row>
    <row r="743" spans="1:8">
      <c r="H743" t="s">
        <v>19280</v>
      </c>
    </row>
    <row r="744" spans="1:8">
      <c r="H744" t="s">
        <v>19281</v>
      </c>
    </row>
    <row r="745" spans="1:8">
      <c r="A745" t="s">
        <v>181</v>
      </c>
      <c r="B745">
        <f>HYPERLINK("https://android.googlesource.com/platform/cts/+/5df58d9a4a0c7a01a7a54c09730ee800ea3a600f", "5df58d9a4a0c7a01a7a54c09730ee800ea3a600f")</f>
        <v>0</v>
      </c>
      <c r="C745">
        <f>HYPERLINK("https://android.googlesource.com/platform/cts/+/6e4e6839f9fc6558a905cdafa31ecdc001c6c33c", "6e4e6839f9fc6558a905cdafa31ecdc001c6c33c")</f>
        <v>0</v>
      </c>
      <c r="D745" t="s">
        <v>4941</v>
      </c>
      <c r="E745" t="s">
        <v>5980</v>
      </c>
      <c r="F745" t="s">
        <v>10698</v>
      </c>
      <c r="G745" t="s">
        <v>15098</v>
      </c>
      <c r="H745" t="s">
        <v>19282</v>
      </c>
    </row>
    <row r="746" spans="1:8">
      <c r="H746" t="s">
        <v>19283</v>
      </c>
    </row>
    <row r="747" spans="1:8">
      <c r="A747" t="s">
        <v>182</v>
      </c>
      <c r="B747">
        <f>HYPERLINK("https://android.googlesource.com/platform/cts/+/72e27cf86a100e3bba4038734b224f4c0a290200", "72e27cf86a100e3bba4038734b224f4c0a290200")</f>
        <v>0</v>
      </c>
      <c r="C747">
        <f>HYPERLINK("https://android.googlesource.com/platform/cts/+/a9a182f8b8d6343d7bac9de2a3838a4080eb144a", "a9a182f8b8d6343d7bac9de2a3838a4080eb144a")</f>
        <v>0</v>
      </c>
      <c r="D747" t="s">
        <v>4941</v>
      </c>
      <c r="E747" t="s">
        <v>5981</v>
      </c>
      <c r="F747" t="s">
        <v>10741</v>
      </c>
      <c r="G747" t="s">
        <v>15140</v>
      </c>
      <c r="H747" t="s">
        <v>18829</v>
      </c>
    </row>
    <row r="748" spans="1:8">
      <c r="H748" t="s">
        <v>19284</v>
      </c>
    </row>
    <row r="749" spans="1:8">
      <c r="H749" t="s">
        <v>19285</v>
      </c>
    </row>
    <row r="750" spans="1:8">
      <c r="H750" t="s">
        <v>19286</v>
      </c>
    </row>
    <row r="751" spans="1:8">
      <c r="H751" t="s">
        <v>19287</v>
      </c>
    </row>
    <row r="752" spans="1:8">
      <c r="H752" t="s">
        <v>19288</v>
      </c>
    </row>
    <row r="753" spans="1:8">
      <c r="H753" t="s">
        <v>19289</v>
      </c>
    </row>
    <row r="754" spans="1:8">
      <c r="H754" t="s">
        <v>19290</v>
      </c>
    </row>
    <row r="755" spans="1:8">
      <c r="H755" t="s">
        <v>19291</v>
      </c>
    </row>
    <row r="756" spans="1:8">
      <c r="A756" t="s">
        <v>183</v>
      </c>
      <c r="B756">
        <f>HYPERLINK("https://android.googlesource.com/platform/cts/+/f0083a84622e04d05b1eaf4bfb6e4777f76fc05b", "f0083a84622e04d05b1eaf4bfb6e4777f76fc05b")</f>
        <v>0</v>
      </c>
      <c r="C756">
        <f>HYPERLINK("https://android.googlesource.com/platform/cts/+/acbf1acfbf0ca165981c301fbf1627392d911a97", "acbf1acfbf0ca165981c301fbf1627392d911a97")</f>
        <v>0</v>
      </c>
      <c r="D756" t="s">
        <v>4942</v>
      </c>
      <c r="E756" t="s">
        <v>5982</v>
      </c>
      <c r="F756" t="s">
        <v>10742</v>
      </c>
      <c r="G756" t="s">
        <v>15141</v>
      </c>
      <c r="H756" t="s">
        <v>19292</v>
      </c>
    </row>
    <row r="757" spans="1:8">
      <c r="H757" t="s">
        <v>19293</v>
      </c>
    </row>
    <row r="758" spans="1:8">
      <c r="H758" t="s">
        <v>19294</v>
      </c>
    </row>
    <row r="759" spans="1:8">
      <c r="H759" t="s">
        <v>19294</v>
      </c>
    </row>
    <row r="760" spans="1:8">
      <c r="H760" t="s">
        <v>19295</v>
      </c>
    </row>
    <row r="761" spans="1:8">
      <c r="H761" t="s">
        <v>19296</v>
      </c>
    </row>
    <row r="762" spans="1:8">
      <c r="H762" t="s">
        <v>19297</v>
      </c>
    </row>
    <row r="763" spans="1:8">
      <c r="H763" t="s">
        <v>19298</v>
      </c>
    </row>
    <row r="764" spans="1:8">
      <c r="H764" t="s">
        <v>19298</v>
      </c>
    </row>
    <row r="765" spans="1:8">
      <c r="H765" t="s">
        <v>19299</v>
      </c>
    </row>
    <row r="766" spans="1:8">
      <c r="H766" t="s">
        <v>19300</v>
      </c>
    </row>
    <row r="767" spans="1:8">
      <c r="H767" t="s">
        <v>19301</v>
      </c>
    </row>
    <row r="768" spans="1:8">
      <c r="H768" t="s">
        <v>19302</v>
      </c>
    </row>
    <row r="769" spans="1:8">
      <c r="H769" t="s">
        <v>19303</v>
      </c>
    </row>
    <row r="770" spans="1:8">
      <c r="A770" t="s">
        <v>184</v>
      </c>
      <c r="B770">
        <f>HYPERLINK("https://android.googlesource.com/platform/cts/+/a4a1b97d3ca31d493d66dd9e45720c320d7d0943", "a4a1b97d3ca31d493d66dd9e45720c320d7d0943")</f>
        <v>0</v>
      </c>
      <c r="C770">
        <f>HYPERLINK("https://android.googlesource.com/platform/cts/+/9a9e583f1e863b55c4a38409d0ee03827bdb4ff3", "9a9e583f1e863b55c4a38409d0ee03827bdb4ff3")</f>
        <v>0</v>
      </c>
      <c r="D770" t="s">
        <v>4942</v>
      </c>
      <c r="E770" t="s">
        <v>5983</v>
      </c>
      <c r="F770" t="s">
        <v>10743</v>
      </c>
      <c r="G770" t="s">
        <v>15142</v>
      </c>
      <c r="H770" t="s">
        <v>19304</v>
      </c>
    </row>
    <row r="771" spans="1:8">
      <c r="H771" t="s">
        <v>19305</v>
      </c>
    </row>
    <row r="772" spans="1:8">
      <c r="H772" t="s">
        <v>19306</v>
      </c>
    </row>
    <row r="773" spans="1:8">
      <c r="A773" t="s">
        <v>185</v>
      </c>
      <c r="B773">
        <f>HYPERLINK("https://android.googlesource.com/platform/cts/+/bf0a74c6616cec161cd2820c4de2e3f2b43d8c03", "bf0a74c6616cec161cd2820c4de2e3f2b43d8c03")</f>
        <v>0</v>
      </c>
      <c r="C773">
        <f>HYPERLINK("https://android.googlesource.com/platform/cts/+/9a9e583f1e863b55c4a38409d0ee03827bdb4ff3", "9a9e583f1e863b55c4a38409d0ee03827bdb4ff3")</f>
        <v>0</v>
      </c>
      <c r="D773" t="s">
        <v>4942</v>
      </c>
      <c r="E773" t="s">
        <v>5984</v>
      </c>
      <c r="F773" t="s">
        <v>10744</v>
      </c>
      <c r="G773" t="s">
        <v>15143</v>
      </c>
      <c r="H773" t="s">
        <v>19307</v>
      </c>
    </row>
    <row r="774" spans="1:8">
      <c r="A774" t="s">
        <v>186</v>
      </c>
      <c r="B774">
        <f>HYPERLINK("https://android.googlesource.com/platform/cts/+/7cc0e25c71a73993738ba290ca74a620ee1f10f2", "7cc0e25c71a73993738ba290ca74a620ee1f10f2")</f>
        <v>0</v>
      </c>
      <c r="C774">
        <f>HYPERLINK("https://android.googlesource.com/platform/cts/+/705c163de4f3348d4a7af1f044f24cc98179e995", "705c163de4f3348d4a7af1f044f24cc98179e995")</f>
        <v>0</v>
      </c>
      <c r="D774" t="s">
        <v>4932</v>
      </c>
      <c r="E774" t="s">
        <v>5985</v>
      </c>
      <c r="F774" t="s">
        <v>10745</v>
      </c>
      <c r="G774" t="s">
        <v>15144</v>
      </c>
      <c r="H774" t="s">
        <v>18925</v>
      </c>
    </row>
    <row r="775" spans="1:8">
      <c r="H775" t="s">
        <v>19308</v>
      </c>
    </row>
    <row r="776" spans="1:8">
      <c r="H776" t="s">
        <v>19309</v>
      </c>
    </row>
    <row r="777" spans="1:8">
      <c r="A777" t="s">
        <v>187</v>
      </c>
      <c r="B777">
        <f>HYPERLINK("https://android.googlesource.com/platform/cts/+/dec8311e842ef41c8cdb3f5f394d60183ce9e612", "dec8311e842ef41c8cdb3f5f394d60183ce9e612")</f>
        <v>0</v>
      </c>
      <c r="C777">
        <f>HYPERLINK("https://android.googlesource.com/platform/cts/+/db03bd4d8fe400292cd4d0ea56de2fe1ed0fac28", "db03bd4d8fe400292cd4d0ea56de2fe1ed0fac28")</f>
        <v>0</v>
      </c>
      <c r="D777" t="s">
        <v>4942</v>
      </c>
      <c r="E777" t="s">
        <v>5986</v>
      </c>
      <c r="F777" t="s">
        <v>10746</v>
      </c>
      <c r="G777" t="s">
        <v>15145</v>
      </c>
      <c r="H777" t="s">
        <v>18863</v>
      </c>
    </row>
    <row r="778" spans="1:8">
      <c r="A778" t="s">
        <v>188</v>
      </c>
      <c r="B778">
        <f>HYPERLINK("https://android.googlesource.com/platform/cts/+/1dcb9a5898c92185ccf04bda7403f8fc849c62f7", "1dcb9a5898c92185ccf04bda7403f8fc849c62f7")</f>
        <v>0</v>
      </c>
      <c r="C778">
        <f>HYPERLINK("https://android.googlesource.com/platform/cts/+/7cc0e25c71a73993738ba290ca74a620ee1f10f2", "7cc0e25c71a73993738ba290ca74a620ee1f10f2")</f>
        <v>0</v>
      </c>
      <c r="D778" t="s">
        <v>4932</v>
      </c>
      <c r="E778" t="s">
        <v>5987</v>
      </c>
      <c r="F778" t="s">
        <v>10747</v>
      </c>
      <c r="G778" t="s">
        <v>15129</v>
      </c>
      <c r="H778" t="s">
        <v>19310</v>
      </c>
    </row>
    <row r="779" spans="1:8">
      <c r="H779" t="s">
        <v>18929</v>
      </c>
    </row>
    <row r="780" spans="1:8">
      <c r="A780" t="s">
        <v>189</v>
      </c>
      <c r="B780">
        <f>HYPERLINK("https://android.googlesource.com/platform/cts/+/3fc406b283b622a22fff58666e0a8d7936434fd9", "3fc406b283b622a22fff58666e0a8d7936434fd9")</f>
        <v>0</v>
      </c>
      <c r="C780">
        <f>HYPERLINK("https://android.googlesource.com/platform/cts/+/653f4c3d61b58419d10d15f88f0a7b47d25b50d3", "653f4c3d61b58419d10d15f88f0a7b47d25b50d3")</f>
        <v>0</v>
      </c>
      <c r="D780" t="s">
        <v>4932</v>
      </c>
      <c r="E780" t="s">
        <v>5988</v>
      </c>
      <c r="F780" t="s">
        <v>10747</v>
      </c>
      <c r="G780" t="s">
        <v>15129</v>
      </c>
      <c r="H780" t="s">
        <v>19234</v>
      </c>
    </row>
    <row r="781" spans="1:8">
      <c r="H781" t="s">
        <v>19235</v>
      </c>
    </row>
    <row r="782" spans="1:8">
      <c r="F782" t="s">
        <v>10748</v>
      </c>
      <c r="G782" t="s">
        <v>15146</v>
      </c>
      <c r="H782" t="s">
        <v>19311</v>
      </c>
    </row>
    <row r="783" spans="1:8">
      <c r="A783" t="s">
        <v>190</v>
      </c>
      <c r="B783">
        <f>HYPERLINK("https://android.googlesource.com/platform/cts/+/c2fcc332aa2b84e9aeb95a1819b92df67449ca3c", "c2fcc332aa2b84e9aeb95a1819b92df67449ca3c")</f>
        <v>0</v>
      </c>
      <c r="C783">
        <f>HYPERLINK("https://android.googlesource.com/platform/cts/+/60d865967ce492e25840458045a0f23f68e41aa7", "60d865967ce492e25840458045a0f23f68e41aa7")</f>
        <v>0</v>
      </c>
      <c r="D783" t="s">
        <v>4942</v>
      </c>
      <c r="E783" t="s">
        <v>5989</v>
      </c>
      <c r="F783" t="s">
        <v>10597</v>
      </c>
      <c r="G783" t="s">
        <v>15000</v>
      </c>
      <c r="H783" t="s">
        <v>19312</v>
      </c>
    </row>
    <row r="784" spans="1:8">
      <c r="A784" t="s">
        <v>191</v>
      </c>
      <c r="B784">
        <f>HYPERLINK("https://android.googlesource.com/platform/cts/+/4a6fd724e96fea039184fd74bde97d7f840f32d8", "4a6fd724e96fea039184fd74bde97d7f840f32d8")</f>
        <v>0</v>
      </c>
      <c r="C784">
        <f>HYPERLINK("https://android.googlesource.com/platform/cts/+/60d865967ce492e25840458045a0f23f68e41aa7", "60d865967ce492e25840458045a0f23f68e41aa7")</f>
        <v>0</v>
      </c>
      <c r="D784" t="s">
        <v>4942</v>
      </c>
      <c r="E784" t="s">
        <v>5990</v>
      </c>
      <c r="F784" t="s">
        <v>10686</v>
      </c>
      <c r="G784" t="s">
        <v>15086</v>
      </c>
      <c r="H784" t="s">
        <v>19313</v>
      </c>
    </row>
    <row r="785" spans="1:8">
      <c r="H785" t="s">
        <v>18829</v>
      </c>
    </row>
    <row r="786" spans="1:8">
      <c r="H786" t="s">
        <v>18899</v>
      </c>
    </row>
    <row r="787" spans="1:8">
      <c r="H787" t="s">
        <v>19314</v>
      </c>
    </row>
    <row r="788" spans="1:8">
      <c r="A788" t="s">
        <v>192</v>
      </c>
      <c r="B788">
        <f>HYPERLINK("https://android.googlesource.com/platform/cts/+/7254f1e86a40d67adda0bda99ef8457c40e09a80", "7254f1e86a40d67adda0bda99ef8457c40e09a80")</f>
        <v>0</v>
      </c>
      <c r="C788">
        <f>HYPERLINK("https://android.googlesource.com/platform/cts/+/cc475551e4b72cf5d653bb29ba286ec1de171689", "cc475551e4b72cf5d653bb29ba286ec1de171689")</f>
        <v>0</v>
      </c>
      <c r="D788" t="s">
        <v>4942</v>
      </c>
      <c r="E788" t="s">
        <v>5991</v>
      </c>
      <c r="F788" t="s">
        <v>10597</v>
      </c>
      <c r="G788" t="s">
        <v>15000</v>
      </c>
      <c r="H788" t="s">
        <v>19315</v>
      </c>
    </row>
    <row r="789" spans="1:8">
      <c r="H789" t="s">
        <v>19316</v>
      </c>
    </row>
    <row r="790" spans="1:8">
      <c r="H790" t="s">
        <v>19317</v>
      </c>
    </row>
    <row r="791" spans="1:8">
      <c r="H791" t="s">
        <v>19318</v>
      </c>
    </row>
    <row r="792" spans="1:8">
      <c r="A792" t="s">
        <v>193</v>
      </c>
      <c r="B792">
        <f>HYPERLINK("https://android.googlesource.com/platform/cts/+/192df10e3524fd90097c0386d24d89f58f510029", "192df10e3524fd90097c0386d24d89f58f510029")</f>
        <v>0</v>
      </c>
      <c r="C792">
        <f>HYPERLINK("https://android.googlesource.com/platform/cts/+/b5f49f11e36fda07b3db2088d6cfd78dc73d87fe", "b5f49f11e36fda07b3db2088d6cfd78dc73d87fe")</f>
        <v>0</v>
      </c>
      <c r="D792" t="s">
        <v>4942</v>
      </c>
      <c r="E792" t="s">
        <v>5992</v>
      </c>
      <c r="F792" t="s">
        <v>10663</v>
      </c>
      <c r="G792" t="s">
        <v>15064</v>
      </c>
      <c r="H792" t="s">
        <v>19319</v>
      </c>
    </row>
    <row r="793" spans="1:8">
      <c r="A793" t="s">
        <v>194</v>
      </c>
      <c r="B793">
        <f>HYPERLINK("https://android.googlesource.com/platform/cts/+/65ab7bfed1779e248bd279aea4de72601b4d1703", "65ab7bfed1779e248bd279aea4de72601b4d1703")</f>
        <v>0</v>
      </c>
      <c r="C793">
        <f>HYPERLINK("https://android.googlesource.com/platform/cts/+/3ff554be1120be2a0f9d309abb1c31ef94e02e35", "3ff554be1120be2a0f9d309abb1c31ef94e02e35")</f>
        <v>0</v>
      </c>
      <c r="D793" t="s">
        <v>4942</v>
      </c>
      <c r="E793" t="s">
        <v>5993</v>
      </c>
      <c r="F793" t="s">
        <v>10749</v>
      </c>
      <c r="G793" t="s">
        <v>15147</v>
      </c>
      <c r="H793" t="s">
        <v>19320</v>
      </c>
    </row>
    <row r="794" spans="1:8">
      <c r="H794" t="s">
        <v>19321</v>
      </c>
    </row>
    <row r="795" spans="1:8">
      <c r="A795" t="s">
        <v>195</v>
      </c>
      <c r="B795">
        <f>HYPERLINK("https://android.googlesource.com/platform/cts/+/72a7540a4a25027e3e90212b2c9b258414e2e352", "72a7540a4a25027e3e90212b2c9b258414e2e352")</f>
        <v>0</v>
      </c>
      <c r="C795">
        <f>HYPERLINK("https://android.googlesource.com/platform/cts/+/4fcc61892d2098d53bd06a14006f88b3b20e54b8", "4fcc61892d2098d53bd06a14006f88b3b20e54b8")</f>
        <v>0</v>
      </c>
      <c r="D795" t="s">
        <v>4953</v>
      </c>
      <c r="E795" t="s">
        <v>5994</v>
      </c>
      <c r="F795" t="s">
        <v>10689</v>
      </c>
      <c r="G795" t="s">
        <v>15089</v>
      </c>
      <c r="H795" t="s">
        <v>19322</v>
      </c>
    </row>
    <row r="796" spans="1:8">
      <c r="H796" t="s">
        <v>19323</v>
      </c>
    </row>
    <row r="797" spans="1:8">
      <c r="H797" t="s">
        <v>19324</v>
      </c>
    </row>
    <row r="798" spans="1:8">
      <c r="A798" t="s">
        <v>196</v>
      </c>
      <c r="B798">
        <f>HYPERLINK("https://android.googlesource.com/platform/cts/+/d966f9ef5ae8c3887c5a6aa676d607b92c9cb624", "d966f9ef5ae8c3887c5a6aa676d607b92c9cb624")</f>
        <v>0</v>
      </c>
      <c r="C798">
        <f>HYPERLINK("https://android.googlesource.com/platform/cts/+/8a616b967717d189aa884e06ff581ec6e4ceb427", "8a616b967717d189aa884e06ff581ec6e4ceb427")</f>
        <v>0</v>
      </c>
      <c r="D798" t="s">
        <v>4953</v>
      </c>
      <c r="E798" t="s">
        <v>5995</v>
      </c>
      <c r="F798" t="s">
        <v>10689</v>
      </c>
      <c r="G798" t="s">
        <v>15089</v>
      </c>
      <c r="H798" t="s">
        <v>19322</v>
      </c>
    </row>
    <row r="799" spans="1:8">
      <c r="H799" t="s">
        <v>19323</v>
      </c>
    </row>
    <row r="800" spans="1:8">
      <c r="H800" t="s">
        <v>19324</v>
      </c>
    </row>
    <row r="801" spans="1:8">
      <c r="A801" t="s">
        <v>198</v>
      </c>
      <c r="B801">
        <f>HYPERLINK("https://android.googlesource.com/platform/cts/+/8551312fef8e50d13f23000de94796817b79e433", "8551312fef8e50d13f23000de94796817b79e433")</f>
        <v>0</v>
      </c>
      <c r="C801">
        <f>HYPERLINK("https://android.googlesource.com/platform/cts/+/d4b8550d8b6d06e300193098b784355eed0626b2", "d4b8550d8b6d06e300193098b784355eed0626b2")</f>
        <v>0</v>
      </c>
      <c r="D801" t="s">
        <v>4954</v>
      </c>
      <c r="E801" t="s">
        <v>5996</v>
      </c>
      <c r="F801" t="s">
        <v>10750</v>
      </c>
      <c r="G801" t="s">
        <v>15148</v>
      </c>
      <c r="H801" t="s">
        <v>18829</v>
      </c>
    </row>
    <row r="802" spans="1:8">
      <c r="H802" t="s">
        <v>18863</v>
      </c>
    </row>
    <row r="803" spans="1:8">
      <c r="F803" t="s">
        <v>10751</v>
      </c>
      <c r="G803" t="s">
        <v>15149</v>
      </c>
      <c r="H803" t="s">
        <v>18829</v>
      </c>
    </row>
    <row r="804" spans="1:8">
      <c r="H804" t="s">
        <v>18863</v>
      </c>
    </row>
    <row r="805" spans="1:8">
      <c r="F805" t="s">
        <v>10752</v>
      </c>
      <c r="G805" t="s">
        <v>15150</v>
      </c>
      <c r="H805" t="s">
        <v>18829</v>
      </c>
    </row>
    <row r="806" spans="1:8">
      <c r="H806" t="s">
        <v>18863</v>
      </c>
    </row>
    <row r="807" spans="1:8">
      <c r="F807" t="s">
        <v>10753</v>
      </c>
      <c r="G807" t="s">
        <v>15151</v>
      </c>
      <c r="H807" t="s">
        <v>18829</v>
      </c>
    </row>
    <row r="808" spans="1:8">
      <c r="H808" t="s">
        <v>18863</v>
      </c>
    </row>
    <row r="809" spans="1:8">
      <c r="A809" t="s">
        <v>199</v>
      </c>
      <c r="B809">
        <f>HYPERLINK("https://android.googlesource.com/platform/cts/+/a8cd4da434335a265bfb4bca1f96fa44d65ab109", "a8cd4da434335a265bfb4bca1f96fa44d65ab109")</f>
        <v>0</v>
      </c>
      <c r="C809">
        <f>HYPERLINK("https://android.googlesource.com/platform/cts/+/394154b7ffa923facf69969c84b7425f56d4f005", "394154b7ffa923facf69969c84b7425f56d4f005")</f>
        <v>0</v>
      </c>
      <c r="D809" t="s">
        <v>4941</v>
      </c>
      <c r="E809" t="s">
        <v>5997</v>
      </c>
      <c r="F809" t="s">
        <v>10754</v>
      </c>
      <c r="G809" t="s">
        <v>15152</v>
      </c>
      <c r="H809" t="s">
        <v>19325</v>
      </c>
    </row>
    <row r="810" spans="1:8">
      <c r="H810" t="s">
        <v>19326</v>
      </c>
    </row>
    <row r="811" spans="1:8">
      <c r="H811" t="s">
        <v>19327</v>
      </c>
    </row>
    <row r="812" spans="1:8">
      <c r="H812" t="s">
        <v>19328</v>
      </c>
    </row>
    <row r="813" spans="1:8">
      <c r="A813" t="s">
        <v>200</v>
      </c>
      <c r="B813">
        <f>HYPERLINK("https://android.googlesource.com/platform/cts/+/4519ef0233588ce9ec811c98b079f8968123ea3e", "4519ef0233588ce9ec811c98b079f8968123ea3e")</f>
        <v>0</v>
      </c>
      <c r="C813">
        <f>HYPERLINK("https://android.googlesource.com/platform/cts/+/7ffa45749ba89deb64d607440319d217b352aaeb", "7ffa45749ba89deb64d607440319d217b352aaeb")</f>
        <v>0</v>
      </c>
      <c r="D813" t="s">
        <v>4941</v>
      </c>
      <c r="E813" t="s">
        <v>5998</v>
      </c>
      <c r="F813" t="s">
        <v>10750</v>
      </c>
      <c r="G813" t="s">
        <v>15148</v>
      </c>
      <c r="H813" t="s">
        <v>18829</v>
      </c>
    </row>
    <row r="814" spans="1:8">
      <c r="H814" t="s">
        <v>18863</v>
      </c>
    </row>
    <row r="815" spans="1:8">
      <c r="F815" t="s">
        <v>10751</v>
      </c>
      <c r="G815" t="s">
        <v>15149</v>
      </c>
      <c r="H815" t="s">
        <v>18829</v>
      </c>
    </row>
    <row r="816" spans="1:8">
      <c r="H816" t="s">
        <v>18863</v>
      </c>
    </row>
    <row r="817" spans="1:8">
      <c r="F817" t="s">
        <v>10752</v>
      </c>
      <c r="G817" t="s">
        <v>15150</v>
      </c>
      <c r="H817" t="s">
        <v>18829</v>
      </c>
    </row>
    <row r="818" spans="1:8">
      <c r="H818" t="s">
        <v>18863</v>
      </c>
    </row>
    <row r="819" spans="1:8">
      <c r="F819" t="s">
        <v>10753</v>
      </c>
      <c r="G819" t="s">
        <v>15151</v>
      </c>
      <c r="H819" t="s">
        <v>18829</v>
      </c>
    </row>
    <row r="820" spans="1:8">
      <c r="H820" t="s">
        <v>18863</v>
      </c>
    </row>
    <row r="821" spans="1:8">
      <c r="A821" t="s">
        <v>201</v>
      </c>
      <c r="B821">
        <f>HYPERLINK("https://android.googlesource.com/platform/cts/+/03b5b3969ad30306d539e6fc6fd1c992099b1a3b", "03b5b3969ad30306d539e6fc6fd1c992099b1a3b")</f>
        <v>0</v>
      </c>
      <c r="C821">
        <f>HYPERLINK("https://android.googlesource.com/platform/cts/+/f776e7d14dd531a0b27baf6c3f8cdaebdd7820dd", "f776e7d14dd531a0b27baf6c3f8cdaebdd7820dd")</f>
        <v>0</v>
      </c>
      <c r="D821" t="s">
        <v>4954</v>
      </c>
      <c r="E821" t="s">
        <v>5999</v>
      </c>
      <c r="F821" t="s">
        <v>10755</v>
      </c>
      <c r="G821" t="s">
        <v>15153</v>
      </c>
      <c r="H821" t="s">
        <v>19329</v>
      </c>
    </row>
    <row r="822" spans="1:8">
      <c r="A822" t="s">
        <v>202</v>
      </c>
      <c r="B822">
        <f>HYPERLINK("https://android.googlesource.com/platform/cts/+/02e6f82ac5d07e52ef3a314eefb0b62dadcf4b4d", "02e6f82ac5d07e52ef3a314eefb0b62dadcf4b4d")</f>
        <v>0</v>
      </c>
      <c r="C822">
        <f>HYPERLINK("https://android.googlesource.com/platform/cts/+/d764b34d21f8d88421741d61bbe47c726dab089e", "d764b34d21f8d88421741d61bbe47c726dab089e")</f>
        <v>0</v>
      </c>
      <c r="D822" t="s">
        <v>4942</v>
      </c>
      <c r="E822" t="s">
        <v>6000</v>
      </c>
      <c r="F822" t="s">
        <v>10597</v>
      </c>
      <c r="G822" t="s">
        <v>15000</v>
      </c>
      <c r="H822" t="s">
        <v>19330</v>
      </c>
    </row>
    <row r="823" spans="1:8">
      <c r="H823" t="s">
        <v>19331</v>
      </c>
    </row>
    <row r="824" spans="1:8">
      <c r="H824" t="s">
        <v>19332</v>
      </c>
    </row>
    <row r="825" spans="1:8">
      <c r="A825" t="s">
        <v>203</v>
      </c>
      <c r="B825">
        <f>HYPERLINK("https://android.googlesource.com/platform/cts/+/e14b2966aa778de618898eb9cedc92b883868d91", "e14b2966aa778de618898eb9cedc92b883868d91")</f>
        <v>0</v>
      </c>
      <c r="C825">
        <f>HYPERLINK("https://android.googlesource.com/platform/cts/+/d764b34d21f8d88421741d61bbe47c726dab089e", "d764b34d21f8d88421741d61bbe47c726dab089e")</f>
        <v>0</v>
      </c>
      <c r="D825" t="s">
        <v>4942</v>
      </c>
      <c r="E825" t="s">
        <v>6001</v>
      </c>
      <c r="F825" t="s">
        <v>10756</v>
      </c>
      <c r="G825" t="s">
        <v>15154</v>
      </c>
      <c r="H825" t="s">
        <v>19017</v>
      </c>
    </row>
    <row r="826" spans="1:8">
      <c r="H826" t="s">
        <v>19333</v>
      </c>
    </row>
    <row r="827" spans="1:8">
      <c r="H827" t="s">
        <v>19334</v>
      </c>
    </row>
    <row r="828" spans="1:8">
      <c r="A828" t="s">
        <v>204</v>
      </c>
      <c r="B828">
        <f>HYPERLINK("https://android.googlesource.com/platform/cts/+/99718555204b181fdefc1af1fa5fbe7bb435d710", "99718555204b181fdefc1af1fa5fbe7bb435d710")</f>
        <v>0</v>
      </c>
      <c r="C828">
        <f>HYPERLINK("https://android.googlesource.com/platform/cts/+/d764b34d21f8d88421741d61bbe47c726dab089e", "d764b34d21f8d88421741d61bbe47c726dab089e")</f>
        <v>0</v>
      </c>
      <c r="D828" t="s">
        <v>4942</v>
      </c>
      <c r="E828" t="s">
        <v>6002</v>
      </c>
      <c r="F828" t="s">
        <v>10757</v>
      </c>
      <c r="G828" t="s">
        <v>15155</v>
      </c>
      <c r="H828" t="s">
        <v>18876</v>
      </c>
    </row>
    <row r="829" spans="1:8">
      <c r="H829" t="s">
        <v>19335</v>
      </c>
    </row>
    <row r="830" spans="1:8">
      <c r="A830" t="s">
        <v>205</v>
      </c>
      <c r="B830">
        <f>HYPERLINK("https://android.googlesource.com/platform/cts/+/88867d8fc0858dcdd26b37cb61cb1044fb0c7ae6", "88867d8fc0858dcdd26b37cb61cb1044fb0c7ae6")</f>
        <v>0</v>
      </c>
      <c r="C830">
        <f>HYPERLINK("https://android.googlesource.com/platform/cts/+/1462c320cb676a3e9161e4e18e4729e25fbf3759", "1462c320cb676a3e9161e4e18e4729e25fbf3759")</f>
        <v>0</v>
      </c>
      <c r="D830" t="s">
        <v>4955</v>
      </c>
      <c r="E830" t="s">
        <v>6003</v>
      </c>
      <c r="F830" t="s">
        <v>10758</v>
      </c>
      <c r="G830" t="s">
        <v>15156</v>
      </c>
      <c r="H830" t="s">
        <v>19336</v>
      </c>
    </row>
    <row r="831" spans="1:8">
      <c r="A831" t="s">
        <v>206</v>
      </c>
      <c r="B831">
        <f>HYPERLINK("https://android.googlesource.com/platform/cts/+/ba6ba576280c6f9d0d8531be17a666415bdec5d9", "ba6ba576280c6f9d0d8531be17a666415bdec5d9")</f>
        <v>0</v>
      </c>
      <c r="C831">
        <f>HYPERLINK("https://android.googlesource.com/platform/cts/+/8fcbb1cee83ffa9b0c9146f59a5f265f086ef452", "8fcbb1cee83ffa9b0c9146f59a5f265f086ef452")</f>
        <v>0</v>
      </c>
      <c r="D831" t="s">
        <v>4942</v>
      </c>
      <c r="E831" t="s">
        <v>6004</v>
      </c>
      <c r="F831" t="s">
        <v>10729</v>
      </c>
      <c r="G831" t="s">
        <v>15128</v>
      </c>
      <c r="H831" t="s">
        <v>19337</v>
      </c>
    </row>
    <row r="832" spans="1:8">
      <c r="F832" t="s">
        <v>10759</v>
      </c>
      <c r="G832" t="s">
        <v>15157</v>
      </c>
      <c r="H832" t="s">
        <v>19338</v>
      </c>
    </row>
    <row r="833" spans="1:8">
      <c r="H833" t="s">
        <v>18829</v>
      </c>
    </row>
    <row r="834" spans="1:8">
      <c r="H834" t="s">
        <v>18863</v>
      </c>
    </row>
    <row r="835" spans="1:8">
      <c r="H835" t="s">
        <v>19339</v>
      </c>
    </row>
    <row r="836" spans="1:8">
      <c r="H836" t="s">
        <v>19340</v>
      </c>
    </row>
    <row r="837" spans="1:8">
      <c r="H837" t="s">
        <v>19341</v>
      </c>
    </row>
    <row r="838" spans="1:8">
      <c r="H838" t="s">
        <v>19342</v>
      </c>
    </row>
    <row r="839" spans="1:8">
      <c r="H839" t="s">
        <v>19343</v>
      </c>
    </row>
    <row r="840" spans="1:8">
      <c r="H840" t="s">
        <v>19344</v>
      </c>
    </row>
    <row r="841" spans="1:8">
      <c r="H841" t="s">
        <v>19345</v>
      </c>
    </row>
    <row r="842" spans="1:8">
      <c r="H842" t="s">
        <v>19346</v>
      </c>
    </row>
    <row r="843" spans="1:8">
      <c r="H843" t="s">
        <v>19347</v>
      </c>
    </row>
    <row r="844" spans="1:8">
      <c r="H844" t="s">
        <v>19348</v>
      </c>
    </row>
    <row r="845" spans="1:8">
      <c r="H845" t="s">
        <v>19349</v>
      </c>
    </row>
    <row r="846" spans="1:8">
      <c r="F846" t="s">
        <v>10687</v>
      </c>
      <c r="G846" t="s">
        <v>15087</v>
      </c>
      <c r="H846" t="s">
        <v>19350</v>
      </c>
    </row>
    <row r="847" spans="1:8">
      <c r="H847" t="s">
        <v>19351</v>
      </c>
    </row>
    <row r="848" spans="1:8">
      <c r="A848" t="s">
        <v>207</v>
      </c>
      <c r="B848">
        <f>HYPERLINK("https://android.googlesource.com/platform/cts/+/82c09945e8d6d7acdd65f505a3c0edcfa201537f", "82c09945e8d6d7acdd65f505a3c0edcfa201537f")</f>
        <v>0</v>
      </c>
      <c r="C848">
        <f>HYPERLINK("https://android.googlesource.com/platform/cts/+/8fcbb1cee83ffa9b0c9146f59a5f265f086ef452", "8fcbb1cee83ffa9b0c9146f59a5f265f086ef452")</f>
        <v>0</v>
      </c>
      <c r="D848" t="s">
        <v>4942</v>
      </c>
      <c r="E848" t="s">
        <v>6005</v>
      </c>
      <c r="F848" t="s">
        <v>10674</v>
      </c>
      <c r="G848" t="s">
        <v>15074</v>
      </c>
      <c r="H848" t="s">
        <v>19352</v>
      </c>
    </row>
    <row r="849" spans="1:8">
      <c r="H849" t="s">
        <v>19353</v>
      </c>
    </row>
    <row r="850" spans="1:8">
      <c r="F850" t="s">
        <v>10760</v>
      </c>
      <c r="G850" t="s">
        <v>15158</v>
      </c>
      <c r="H850" t="s">
        <v>19354</v>
      </c>
    </row>
    <row r="851" spans="1:8">
      <c r="F851" t="s">
        <v>10761</v>
      </c>
      <c r="G851" t="s">
        <v>15159</v>
      </c>
      <c r="H851" t="s">
        <v>19355</v>
      </c>
    </row>
    <row r="852" spans="1:8">
      <c r="A852" t="s">
        <v>208</v>
      </c>
      <c r="B852">
        <f>HYPERLINK("https://android.googlesource.com/platform/cts/+/40e62a6c4143d6312e2bf2e01d39c2bdf704949b", "40e62a6c4143d6312e2bf2e01d39c2bdf704949b")</f>
        <v>0</v>
      </c>
      <c r="C852">
        <f>HYPERLINK("https://android.googlesource.com/platform/cts/+/8fcbb1cee83ffa9b0c9146f59a5f265f086ef452", "8fcbb1cee83ffa9b0c9146f59a5f265f086ef452")</f>
        <v>0</v>
      </c>
      <c r="D852" t="s">
        <v>4942</v>
      </c>
      <c r="E852" t="s">
        <v>6006</v>
      </c>
      <c r="F852" t="s">
        <v>10597</v>
      </c>
      <c r="G852" t="s">
        <v>15000</v>
      </c>
      <c r="H852" t="s">
        <v>19356</v>
      </c>
    </row>
    <row r="853" spans="1:8">
      <c r="H853" t="s">
        <v>19357</v>
      </c>
    </row>
    <row r="854" spans="1:8">
      <c r="H854" t="s">
        <v>19358</v>
      </c>
    </row>
    <row r="855" spans="1:8">
      <c r="H855" t="s">
        <v>19359</v>
      </c>
    </row>
    <row r="856" spans="1:8">
      <c r="H856" t="s">
        <v>19360</v>
      </c>
    </row>
    <row r="857" spans="1:8">
      <c r="A857" t="s">
        <v>209</v>
      </c>
      <c r="B857">
        <f>HYPERLINK("https://android.googlesource.com/platform/cts/+/ad3337dad5c632e8eb55b7ac4b27f0cace622966", "ad3337dad5c632e8eb55b7ac4b27f0cace622966")</f>
        <v>0</v>
      </c>
      <c r="C857">
        <f>HYPERLINK("https://android.googlesource.com/platform/cts/+/88f05039c6b25935a7c6be796a7072df3821bc8f", "88f05039c6b25935a7c6be796a7072df3821bc8f")</f>
        <v>0</v>
      </c>
      <c r="D857" t="s">
        <v>4942</v>
      </c>
      <c r="E857" t="s">
        <v>6007</v>
      </c>
      <c r="F857" t="s">
        <v>10597</v>
      </c>
      <c r="G857" t="s">
        <v>15000</v>
      </c>
      <c r="H857" t="s">
        <v>19361</v>
      </c>
    </row>
    <row r="858" spans="1:8">
      <c r="A858" t="s">
        <v>210</v>
      </c>
      <c r="B858">
        <f>HYPERLINK("https://android.googlesource.com/platform/cts/+/014b13b2ddaf10beff931ee38c4396b1c06df3bd", "014b13b2ddaf10beff931ee38c4396b1c06df3bd")</f>
        <v>0</v>
      </c>
      <c r="C858">
        <f>HYPERLINK("https://android.googlesource.com/platform/cts/+/49bca3aafbcc877e4ea06bcdfab8dab060ef7244", "49bca3aafbcc877e4ea06bcdfab8dab060ef7244")</f>
        <v>0</v>
      </c>
      <c r="D858" t="s">
        <v>4942</v>
      </c>
      <c r="E858" t="s">
        <v>6008</v>
      </c>
      <c r="F858" t="s">
        <v>10761</v>
      </c>
      <c r="G858" t="s">
        <v>15159</v>
      </c>
      <c r="H858" t="s">
        <v>18876</v>
      </c>
    </row>
    <row r="859" spans="1:8">
      <c r="H859" t="s">
        <v>19362</v>
      </c>
    </row>
    <row r="860" spans="1:8">
      <c r="H860" t="s">
        <v>18878</v>
      </c>
    </row>
    <row r="861" spans="1:8">
      <c r="H861" t="s">
        <v>19363</v>
      </c>
    </row>
    <row r="862" spans="1:8">
      <c r="A862" t="s">
        <v>211</v>
      </c>
      <c r="B862">
        <f>HYPERLINK("https://android.googlesource.com/platform/cts/+/9cdd2ef81a52aac44660e10c97bf8d9d7e713a7e", "9cdd2ef81a52aac44660e10c97bf8d9d7e713a7e")</f>
        <v>0</v>
      </c>
      <c r="C862">
        <f>HYPERLINK("https://android.googlesource.com/platform/cts/+/49bca3aafbcc877e4ea06bcdfab8dab060ef7244", "49bca3aafbcc877e4ea06bcdfab8dab060ef7244")</f>
        <v>0</v>
      </c>
      <c r="D862" t="s">
        <v>4942</v>
      </c>
      <c r="E862" t="s">
        <v>6009</v>
      </c>
      <c r="F862" t="s">
        <v>10762</v>
      </c>
      <c r="G862" t="s">
        <v>14991</v>
      </c>
      <c r="H862" t="s">
        <v>19364</v>
      </c>
    </row>
    <row r="863" spans="1:8">
      <c r="H863" t="s">
        <v>19365</v>
      </c>
    </row>
    <row r="864" spans="1:8">
      <c r="H864" t="s">
        <v>19366</v>
      </c>
    </row>
    <row r="865" spans="6:8">
      <c r="H865" t="s">
        <v>19367</v>
      </c>
    </row>
    <row r="866" spans="6:8">
      <c r="H866" t="s">
        <v>19368</v>
      </c>
    </row>
    <row r="867" spans="6:8">
      <c r="H867" t="s">
        <v>19369</v>
      </c>
    </row>
    <row r="868" spans="6:8">
      <c r="H868" t="s">
        <v>19370</v>
      </c>
    </row>
    <row r="869" spans="6:8">
      <c r="F869" t="s">
        <v>10763</v>
      </c>
      <c r="G869" t="s">
        <v>15160</v>
      </c>
      <c r="H869" t="s">
        <v>19371</v>
      </c>
    </row>
    <row r="870" spans="6:8">
      <c r="H870" t="s">
        <v>19372</v>
      </c>
    </row>
    <row r="871" spans="6:8">
      <c r="H871" t="s">
        <v>19371</v>
      </c>
    </row>
    <row r="872" spans="6:8">
      <c r="H872" t="s">
        <v>19373</v>
      </c>
    </row>
    <row r="873" spans="6:8">
      <c r="H873" t="s">
        <v>19374</v>
      </c>
    </row>
    <row r="874" spans="6:8">
      <c r="H874" t="s">
        <v>19375</v>
      </c>
    </row>
    <row r="875" spans="6:8">
      <c r="H875" t="s">
        <v>19376</v>
      </c>
    </row>
    <row r="876" spans="6:8">
      <c r="H876" t="s">
        <v>19377</v>
      </c>
    </row>
    <row r="877" spans="6:8">
      <c r="H877" t="s">
        <v>19378</v>
      </c>
    </row>
    <row r="878" spans="6:8">
      <c r="H878" t="s">
        <v>19379</v>
      </c>
    </row>
    <row r="879" spans="6:8">
      <c r="H879" t="s">
        <v>19380</v>
      </c>
    </row>
    <row r="880" spans="6:8">
      <c r="H880" t="s">
        <v>19381</v>
      </c>
    </row>
    <row r="881" spans="8:8">
      <c r="H881" t="s">
        <v>19382</v>
      </c>
    </row>
    <row r="882" spans="8:8">
      <c r="H882" t="s">
        <v>19383</v>
      </c>
    </row>
    <row r="883" spans="8:8">
      <c r="H883" t="s">
        <v>19384</v>
      </c>
    </row>
    <row r="884" spans="8:8">
      <c r="H884" t="s">
        <v>19385</v>
      </c>
    </row>
    <row r="885" spans="8:8">
      <c r="H885" t="s">
        <v>19386</v>
      </c>
    </row>
    <row r="886" spans="8:8">
      <c r="H886" t="s">
        <v>19387</v>
      </c>
    </row>
    <row r="887" spans="8:8">
      <c r="H887" t="s">
        <v>19388</v>
      </c>
    </row>
    <row r="888" spans="8:8">
      <c r="H888" t="s">
        <v>19389</v>
      </c>
    </row>
    <row r="889" spans="8:8">
      <c r="H889" t="s">
        <v>19390</v>
      </c>
    </row>
    <row r="890" spans="8:8">
      <c r="H890" t="s">
        <v>19391</v>
      </c>
    </row>
    <row r="891" spans="8:8">
      <c r="H891" t="s">
        <v>19392</v>
      </c>
    </row>
    <row r="892" spans="8:8">
      <c r="H892" t="s">
        <v>19393</v>
      </c>
    </row>
    <row r="893" spans="8:8">
      <c r="H893" t="s">
        <v>19394</v>
      </c>
    </row>
    <row r="894" spans="8:8">
      <c r="H894" t="s">
        <v>18931</v>
      </c>
    </row>
    <row r="895" spans="8:8">
      <c r="H895" t="s">
        <v>19395</v>
      </c>
    </row>
    <row r="896" spans="8:8">
      <c r="H896" t="s">
        <v>19396</v>
      </c>
    </row>
    <row r="897" spans="8:8">
      <c r="H897" t="s">
        <v>19397</v>
      </c>
    </row>
    <row r="898" spans="8:8">
      <c r="H898" t="s">
        <v>19398</v>
      </c>
    </row>
    <row r="899" spans="8:8">
      <c r="H899" t="s">
        <v>19399</v>
      </c>
    </row>
    <row r="900" spans="8:8">
      <c r="H900" t="s">
        <v>19400</v>
      </c>
    </row>
    <row r="901" spans="8:8">
      <c r="H901" t="s">
        <v>19401</v>
      </c>
    </row>
    <row r="902" spans="8:8">
      <c r="H902" t="s">
        <v>19402</v>
      </c>
    </row>
    <row r="903" spans="8:8">
      <c r="H903" t="s">
        <v>19403</v>
      </c>
    </row>
    <row r="904" spans="8:8">
      <c r="H904" t="s">
        <v>19404</v>
      </c>
    </row>
    <row r="905" spans="8:8">
      <c r="H905" t="s">
        <v>19405</v>
      </c>
    </row>
    <row r="906" spans="8:8">
      <c r="H906" t="s">
        <v>19406</v>
      </c>
    </row>
    <row r="907" spans="8:8">
      <c r="H907" t="s">
        <v>19407</v>
      </c>
    </row>
    <row r="908" spans="8:8">
      <c r="H908" t="s">
        <v>19408</v>
      </c>
    </row>
    <row r="909" spans="8:8">
      <c r="H909" t="s">
        <v>19409</v>
      </c>
    </row>
    <row r="910" spans="8:8">
      <c r="H910" t="s">
        <v>19410</v>
      </c>
    </row>
    <row r="911" spans="8:8">
      <c r="H911" t="s">
        <v>19411</v>
      </c>
    </row>
    <row r="912" spans="8:8">
      <c r="H912" t="s">
        <v>19412</v>
      </c>
    </row>
    <row r="913" spans="6:8">
      <c r="H913" t="s">
        <v>19413</v>
      </c>
    </row>
    <row r="914" spans="6:8">
      <c r="H914" t="s">
        <v>19414</v>
      </c>
    </row>
    <row r="915" spans="6:8">
      <c r="H915" t="s">
        <v>19415</v>
      </c>
    </row>
    <row r="916" spans="6:8">
      <c r="H916" t="s">
        <v>19416</v>
      </c>
    </row>
    <row r="917" spans="6:8">
      <c r="H917" t="s">
        <v>19417</v>
      </c>
    </row>
    <row r="918" spans="6:8">
      <c r="H918" t="s">
        <v>19418</v>
      </c>
    </row>
    <row r="919" spans="6:8">
      <c r="H919" t="s">
        <v>19419</v>
      </c>
    </row>
    <row r="920" spans="6:8">
      <c r="H920" t="s">
        <v>19420</v>
      </c>
    </row>
    <row r="921" spans="6:8">
      <c r="H921" t="s">
        <v>19421</v>
      </c>
    </row>
    <row r="922" spans="6:8">
      <c r="H922" t="s">
        <v>19422</v>
      </c>
    </row>
    <row r="923" spans="6:8">
      <c r="H923" t="s">
        <v>19423</v>
      </c>
    </row>
    <row r="924" spans="6:8">
      <c r="H924" t="s">
        <v>19424</v>
      </c>
    </row>
    <row r="925" spans="6:8">
      <c r="H925" t="s">
        <v>19425</v>
      </c>
    </row>
    <row r="926" spans="6:8">
      <c r="H926" t="s">
        <v>19426</v>
      </c>
    </row>
    <row r="927" spans="6:8">
      <c r="F927" t="s">
        <v>10764</v>
      </c>
      <c r="G927" t="s">
        <v>15161</v>
      </c>
      <c r="H927" t="s">
        <v>19427</v>
      </c>
    </row>
    <row r="928" spans="6:8">
      <c r="H928" t="s">
        <v>19428</v>
      </c>
    </row>
    <row r="929" spans="6:8">
      <c r="H929" t="s">
        <v>18940</v>
      </c>
    </row>
    <row r="930" spans="6:8">
      <c r="H930" t="s">
        <v>19429</v>
      </c>
    </row>
    <row r="931" spans="6:8">
      <c r="H931" t="s">
        <v>19430</v>
      </c>
    </row>
    <row r="932" spans="6:8">
      <c r="H932" t="s">
        <v>19431</v>
      </c>
    </row>
    <row r="933" spans="6:8">
      <c r="F933" t="s">
        <v>10765</v>
      </c>
      <c r="G933" t="s">
        <v>15162</v>
      </c>
      <c r="H933" t="s">
        <v>19432</v>
      </c>
    </row>
    <row r="934" spans="6:8">
      <c r="H934" t="s">
        <v>19432</v>
      </c>
    </row>
    <row r="935" spans="6:8">
      <c r="H935" t="s">
        <v>19433</v>
      </c>
    </row>
    <row r="936" spans="6:8">
      <c r="H936" t="s">
        <v>19434</v>
      </c>
    </row>
    <row r="937" spans="6:8">
      <c r="H937" t="s">
        <v>19435</v>
      </c>
    </row>
    <row r="938" spans="6:8">
      <c r="H938" t="s">
        <v>19436</v>
      </c>
    </row>
    <row r="939" spans="6:8">
      <c r="H939" t="s">
        <v>19437</v>
      </c>
    </row>
    <row r="940" spans="6:8">
      <c r="H940" t="s">
        <v>19438</v>
      </c>
    </row>
    <row r="941" spans="6:8">
      <c r="H941" t="s">
        <v>19439</v>
      </c>
    </row>
    <row r="942" spans="6:8">
      <c r="H942" t="s">
        <v>19440</v>
      </c>
    </row>
    <row r="943" spans="6:8">
      <c r="H943" t="s">
        <v>19441</v>
      </c>
    </row>
    <row r="944" spans="6:8">
      <c r="H944" t="s">
        <v>19392</v>
      </c>
    </row>
    <row r="945" spans="6:8">
      <c r="H945" t="s">
        <v>19442</v>
      </c>
    </row>
    <row r="946" spans="6:8">
      <c r="F946" t="s">
        <v>10766</v>
      </c>
      <c r="G946" t="s">
        <v>15160</v>
      </c>
      <c r="H946" t="s">
        <v>19371</v>
      </c>
    </row>
    <row r="947" spans="6:8">
      <c r="H947" t="s">
        <v>19372</v>
      </c>
    </row>
    <row r="948" spans="6:8">
      <c r="H948" t="s">
        <v>19371</v>
      </c>
    </row>
    <row r="949" spans="6:8">
      <c r="H949" t="s">
        <v>19443</v>
      </c>
    </row>
    <row r="950" spans="6:8">
      <c r="H950" t="s">
        <v>19397</v>
      </c>
    </row>
    <row r="951" spans="6:8">
      <c r="H951" t="s">
        <v>19444</v>
      </c>
    </row>
    <row r="952" spans="6:8">
      <c r="H952" t="s">
        <v>19445</v>
      </c>
    </row>
    <row r="953" spans="6:8">
      <c r="H953" t="s">
        <v>19446</v>
      </c>
    </row>
    <row r="954" spans="6:8">
      <c r="H954" t="s">
        <v>19395</v>
      </c>
    </row>
    <row r="955" spans="6:8">
      <c r="H955" t="s">
        <v>18931</v>
      </c>
    </row>
    <row r="956" spans="6:8">
      <c r="H956" t="s">
        <v>19406</v>
      </c>
    </row>
    <row r="957" spans="6:8">
      <c r="H957" t="s">
        <v>19405</v>
      </c>
    </row>
    <row r="958" spans="6:8">
      <c r="H958" t="s">
        <v>19373</v>
      </c>
    </row>
    <row r="959" spans="6:8">
      <c r="H959" t="s">
        <v>19374</v>
      </c>
    </row>
    <row r="960" spans="6:8">
      <c r="H960" t="s">
        <v>19375</v>
      </c>
    </row>
    <row r="961" spans="8:8">
      <c r="H961" t="s">
        <v>19376</v>
      </c>
    </row>
    <row r="962" spans="8:8">
      <c r="H962" t="s">
        <v>19377</v>
      </c>
    </row>
    <row r="963" spans="8:8">
      <c r="H963" t="s">
        <v>19377</v>
      </c>
    </row>
    <row r="964" spans="8:8">
      <c r="H964" t="s">
        <v>19378</v>
      </c>
    </row>
    <row r="965" spans="8:8">
      <c r="H965" t="s">
        <v>19382</v>
      </c>
    </row>
    <row r="966" spans="8:8">
      <c r="H966" t="s">
        <v>19388</v>
      </c>
    </row>
    <row r="967" spans="8:8">
      <c r="H967" t="s">
        <v>19447</v>
      </c>
    </row>
    <row r="968" spans="8:8">
      <c r="H968" t="s">
        <v>19448</v>
      </c>
    </row>
    <row r="969" spans="8:8">
      <c r="H969" t="s">
        <v>18966</v>
      </c>
    </row>
    <row r="970" spans="8:8">
      <c r="H970" t="s">
        <v>19449</v>
      </c>
    </row>
    <row r="971" spans="8:8">
      <c r="H971" t="s">
        <v>19411</v>
      </c>
    </row>
    <row r="972" spans="8:8">
      <c r="H972" t="s">
        <v>19441</v>
      </c>
    </row>
    <row r="973" spans="8:8">
      <c r="H973" t="s">
        <v>19436</v>
      </c>
    </row>
    <row r="974" spans="8:8">
      <c r="H974" t="s">
        <v>19414</v>
      </c>
    </row>
    <row r="975" spans="8:8">
      <c r="H975" t="s">
        <v>19386</v>
      </c>
    </row>
    <row r="976" spans="8:8">
      <c r="H976" t="s">
        <v>19450</v>
      </c>
    </row>
    <row r="977" spans="1:8">
      <c r="H977" t="s">
        <v>19451</v>
      </c>
    </row>
    <row r="978" spans="1:8">
      <c r="H978" t="s">
        <v>19391</v>
      </c>
    </row>
    <row r="979" spans="1:8">
      <c r="H979" t="s">
        <v>19452</v>
      </c>
    </row>
    <row r="980" spans="1:8">
      <c r="H980" t="s">
        <v>19415</v>
      </c>
    </row>
    <row r="981" spans="1:8">
      <c r="H981" t="s">
        <v>19419</v>
      </c>
    </row>
    <row r="982" spans="1:8">
      <c r="H982" t="s">
        <v>19422</v>
      </c>
    </row>
    <row r="983" spans="1:8">
      <c r="H983" t="s">
        <v>19423</v>
      </c>
    </row>
    <row r="984" spans="1:8">
      <c r="H984" t="s">
        <v>19424</v>
      </c>
    </row>
    <row r="985" spans="1:8">
      <c r="H985" t="s">
        <v>19425</v>
      </c>
    </row>
    <row r="986" spans="1:8">
      <c r="H986" t="s">
        <v>19426</v>
      </c>
    </row>
    <row r="987" spans="1:8">
      <c r="A987" t="s">
        <v>212</v>
      </c>
      <c r="B987">
        <f>HYPERLINK("https://android.googlesource.com/platform/cts/+/e94b30f509953a7bc868a92ea03895129d33ed3e", "e94b30f509953a7bc868a92ea03895129d33ed3e")</f>
        <v>0</v>
      </c>
      <c r="C987">
        <f>HYPERLINK("https://android.googlesource.com/platform/cts/+/5491f0455b209e5fd9cc9f037b614a02dc2ddb5d", "5491f0455b209e5fd9cc9f037b614a02dc2ddb5d")</f>
        <v>0</v>
      </c>
      <c r="D987" t="s">
        <v>4941</v>
      </c>
      <c r="E987" t="s">
        <v>6010</v>
      </c>
      <c r="F987" t="s">
        <v>10767</v>
      </c>
      <c r="G987" t="s">
        <v>15163</v>
      </c>
      <c r="H987" t="s">
        <v>19453</v>
      </c>
    </row>
    <row r="988" spans="1:8">
      <c r="H988" t="s">
        <v>18829</v>
      </c>
    </row>
    <row r="989" spans="1:8">
      <c r="H989" t="s">
        <v>18836</v>
      </c>
    </row>
    <row r="990" spans="1:8">
      <c r="H990" t="s">
        <v>19454</v>
      </c>
    </row>
    <row r="991" spans="1:8">
      <c r="A991" t="s">
        <v>213</v>
      </c>
      <c r="B991">
        <f>HYPERLINK("https://android.googlesource.com/platform/cts/+/4263db43b12c670603c1fbac33d9555fd991381b", "4263db43b12c670603c1fbac33d9555fd991381b")</f>
        <v>0</v>
      </c>
      <c r="C991">
        <f>HYPERLINK("https://android.googlesource.com/platform/cts/+/748455d9de384420cf0a74f1c8ca77c10ced5f76", "748455d9de384420cf0a74f1c8ca77c10ced5f76")</f>
        <v>0</v>
      </c>
      <c r="D991" t="s">
        <v>4932</v>
      </c>
      <c r="E991" t="s">
        <v>6011</v>
      </c>
      <c r="F991" t="s">
        <v>10768</v>
      </c>
      <c r="G991" t="s">
        <v>15164</v>
      </c>
      <c r="H991" t="s">
        <v>19455</v>
      </c>
    </row>
    <row r="992" spans="1:8">
      <c r="H992" t="s">
        <v>18927</v>
      </c>
    </row>
    <row r="993" spans="1:8">
      <c r="A993" t="s">
        <v>214</v>
      </c>
      <c r="B993">
        <f>HYPERLINK("https://android.googlesource.com/platform/cts/+/f4bec7392d3b487ac33c4d90e2a3ba1e957abf17", "f4bec7392d3b487ac33c4d90e2a3ba1e957abf17")</f>
        <v>0</v>
      </c>
      <c r="C993">
        <f>HYPERLINK("https://android.googlesource.com/platform/cts/+/0de4f16540d274d294b3b69dd291157ac3f4181d", "0de4f16540d274d294b3b69dd291157ac3f4181d")</f>
        <v>0</v>
      </c>
      <c r="D993" t="s">
        <v>4932</v>
      </c>
      <c r="E993" t="s">
        <v>6012</v>
      </c>
      <c r="F993" t="s">
        <v>10745</v>
      </c>
      <c r="G993" t="s">
        <v>15144</v>
      </c>
      <c r="H993" t="s">
        <v>19456</v>
      </c>
    </row>
    <row r="994" spans="1:8">
      <c r="H994" t="s">
        <v>19457</v>
      </c>
    </row>
    <row r="995" spans="1:8">
      <c r="A995" t="s">
        <v>215</v>
      </c>
      <c r="B995">
        <f>HYPERLINK("https://android.googlesource.com/platform/cts/+/53ba7ba949b94d1e008f564897749eb62534f732", "53ba7ba949b94d1e008f564897749eb62534f732")</f>
        <v>0</v>
      </c>
      <c r="C995">
        <f>HYPERLINK("https://android.googlesource.com/platform/cts/+/438f5fec5e0bdbf1a7636a0a2196290226b0b1a1", "438f5fec5e0bdbf1a7636a0a2196290226b0b1a1")</f>
        <v>0</v>
      </c>
      <c r="D995" t="s">
        <v>4956</v>
      </c>
      <c r="E995" t="s">
        <v>6013</v>
      </c>
      <c r="F995" t="s">
        <v>10769</v>
      </c>
      <c r="G995" t="s">
        <v>15165</v>
      </c>
      <c r="H995" t="s">
        <v>19458</v>
      </c>
    </row>
    <row r="996" spans="1:8">
      <c r="A996" t="s">
        <v>216</v>
      </c>
      <c r="B996">
        <f>HYPERLINK("https://android.googlesource.com/platform/cts/+/e18f03f39acb7cd00be791de9b24f166ac31d428", "e18f03f39acb7cd00be791de9b24f166ac31d428")</f>
        <v>0</v>
      </c>
      <c r="C996">
        <f>HYPERLINK("https://android.googlesource.com/platform/cts/+/329bcafd4de96c1d359efe3dc455cde0f876e412", "329bcafd4de96c1d359efe3dc455cde0f876e412")</f>
        <v>0</v>
      </c>
      <c r="D996" t="s">
        <v>4949</v>
      </c>
      <c r="E996" t="s">
        <v>6014</v>
      </c>
      <c r="F996" t="s">
        <v>10699</v>
      </c>
      <c r="G996" t="s">
        <v>15099</v>
      </c>
      <c r="H996" t="s">
        <v>19459</v>
      </c>
    </row>
    <row r="997" spans="1:8">
      <c r="A997" t="s">
        <v>217</v>
      </c>
      <c r="B997">
        <f>HYPERLINK("https://android.googlesource.com/platform/cts/+/70ebda42367ada13ff1500bf7d985714055c4cdc", "70ebda42367ada13ff1500bf7d985714055c4cdc")</f>
        <v>0</v>
      </c>
      <c r="C997">
        <f>HYPERLINK("https://android.googlesource.com/platform/cts/+/98116f2f65e6cfbaad676baf444e74f53ab6054f", "98116f2f65e6cfbaad676baf444e74f53ab6054f")</f>
        <v>0</v>
      </c>
      <c r="D997" t="s">
        <v>4939</v>
      </c>
      <c r="E997" t="s">
        <v>6015</v>
      </c>
      <c r="F997" t="s">
        <v>10770</v>
      </c>
      <c r="G997" t="s">
        <v>15166</v>
      </c>
      <c r="H997" t="s">
        <v>19460</v>
      </c>
    </row>
    <row r="998" spans="1:8">
      <c r="H998" t="s">
        <v>19461</v>
      </c>
    </row>
    <row r="999" spans="1:8">
      <c r="H999" t="s">
        <v>19462</v>
      </c>
    </row>
    <row r="1000" spans="1:8">
      <c r="H1000" t="s">
        <v>19463</v>
      </c>
    </row>
    <row r="1001" spans="1:8">
      <c r="H1001" t="s">
        <v>19464</v>
      </c>
    </row>
    <row r="1002" spans="1:8">
      <c r="H1002" t="s">
        <v>19465</v>
      </c>
    </row>
    <row r="1003" spans="1:8">
      <c r="H1003" t="s">
        <v>19466</v>
      </c>
    </row>
    <row r="1004" spans="1:8">
      <c r="A1004" t="s">
        <v>218</v>
      </c>
      <c r="B1004">
        <f>HYPERLINK("https://android.googlesource.com/platform/cts/+/31dffc44798a121cd86fe1aa9d45fa717c455405", "31dffc44798a121cd86fe1aa9d45fa717c455405")</f>
        <v>0</v>
      </c>
      <c r="C1004">
        <f>HYPERLINK("https://android.googlesource.com/platform/cts/+/0c0b54c704610067ab706ce5b7bd570ec3d1676d", "0c0b54c704610067ab706ce5b7bd570ec3d1676d")</f>
        <v>0</v>
      </c>
      <c r="D1004" t="s">
        <v>4942</v>
      </c>
      <c r="E1004" t="s">
        <v>6016</v>
      </c>
      <c r="F1004" t="s">
        <v>10771</v>
      </c>
      <c r="G1004" t="s">
        <v>15167</v>
      </c>
      <c r="H1004" t="s">
        <v>19467</v>
      </c>
    </row>
    <row r="1005" spans="1:8">
      <c r="H1005" t="s">
        <v>18829</v>
      </c>
    </row>
    <row r="1006" spans="1:8">
      <c r="H1006" t="s">
        <v>19468</v>
      </c>
    </row>
    <row r="1007" spans="1:8">
      <c r="H1007" t="s">
        <v>19469</v>
      </c>
    </row>
    <row r="1008" spans="1:8">
      <c r="H1008" t="s">
        <v>19470</v>
      </c>
    </row>
    <row r="1009" spans="1:8">
      <c r="F1009" t="s">
        <v>10692</v>
      </c>
      <c r="G1009" t="s">
        <v>15092</v>
      </c>
      <c r="H1009" t="s">
        <v>19471</v>
      </c>
    </row>
    <row r="1010" spans="1:8">
      <c r="H1010" t="s">
        <v>18829</v>
      </c>
    </row>
    <row r="1011" spans="1:8">
      <c r="H1011" t="s">
        <v>19472</v>
      </c>
    </row>
    <row r="1012" spans="1:8">
      <c r="H1012" t="s">
        <v>19473</v>
      </c>
    </row>
    <row r="1013" spans="1:8">
      <c r="H1013" t="s">
        <v>19474</v>
      </c>
    </row>
    <row r="1014" spans="1:8">
      <c r="H1014" t="s">
        <v>19475</v>
      </c>
    </row>
    <row r="1015" spans="1:8">
      <c r="H1015" t="s">
        <v>19476</v>
      </c>
    </row>
    <row r="1016" spans="1:8">
      <c r="F1016" t="s">
        <v>10772</v>
      </c>
      <c r="G1016" t="s">
        <v>15168</v>
      </c>
      <c r="H1016" t="s">
        <v>19477</v>
      </c>
    </row>
    <row r="1017" spans="1:8">
      <c r="H1017" t="s">
        <v>18829</v>
      </c>
    </row>
    <row r="1018" spans="1:8">
      <c r="H1018" t="s">
        <v>19478</v>
      </c>
    </row>
    <row r="1019" spans="1:8">
      <c r="F1019" t="s">
        <v>10773</v>
      </c>
      <c r="G1019" t="s">
        <v>15169</v>
      </c>
      <c r="H1019" t="s">
        <v>19479</v>
      </c>
    </row>
    <row r="1020" spans="1:8">
      <c r="H1020" t="s">
        <v>19480</v>
      </c>
    </row>
    <row r="1021" spans="1:8">
      <c r="A1021" t="s">
        <v>219</v>
      </c>
      <c r="B1021">
        <f>HYPERLINK("https://android.googlesource.com/platform/cts/+/cfc435a9f0ab0197897d7d68b9c02edd79a78083", "cfc435a9f0ab0197897d7d68b9c02edd79a78083")</f>
        <v>0</v>
      </c>
      <c r="C1021">
        <f>HYPERLINK("https://android.googlesource.com/platform/cts/+/23b200141c667cb9849c594cba37ca5dbb60b8fb", "23b200141c667cb9849c594cba37ca5dbb60b8fb")</f>
        <v>0</v>
      </c>
      <c r="D1021" t="s">
        <v>4951</v>
      </c>
      <c r="E1021" t="s">
        <v>6017</v>
      </c>
      <c r="F1021" t="s">
        <v>10687</v>
      </c>
      <c r="G1021" t="s">
        <v>15087</v>
      </c>
      <c r="H1021" t="s">
        <v>19481</v>
      </c>
    </row>
    <row r="1022" spans="1:8">
      <c r="H1022" t="s">
        <v>19482</v>
      </c>
    </row>
    <row r="1023" spans="1:8">
      <c r="A1023" t="s">
        <v>220</v>
      </c>
      <c r="B1023">
        <f>HYPERLINK("https://android.googlesource.com/platform/cts/+/96209017c2d7664ca607aedc19ba87ff322c6368", "96209017c2d7664ca607aedc19ba87ff322c6368")</f>
        <v>0</v>
      </c>
      <c r="C1023">
        <f>HYPERLINK("https://android.googlesource.com/platform/cts/+/cfc435a9f0ab0197897d7d68b9c02edd79a78083", "cfc435a9f0ab0197897d7d68b9c02edd79a78083")</f>
        <v>0</v>
      </c>
      <c r="D1023" t="s">
        <v>4951</v>
      </c>
      <c r="E1023" t="s">
        <v>6018</v>
      </c>
      <c r="F1023" t="s">
        <v>10687</v>
      </c>
      <c r="G1023" t="s">
        <v>15087</v>
      </c>
      <c r="H1023" t="s">
        <v>19483</v>
      </c>
    </row>
    <row r="1024" spans="1:8">
      <c r="A1024" t="s">
        <v>221</v>
      </c>
      <c r="B1024">
        <f>HYPERLINK("https://android.googlesource.com/platform/cts/+/dc83de84ca93e0d4d8660f345addc1dc39752208", "dc83de84ca93e0d4d8660f345addc1dc39752208")</f>
        <v>0</v>
      </c>
      <c r="C1024">
        <f>HYPERLINK("https://android.googlesource.com/platform/cts/+/57601b61145d83281c8839b526ca20adddf8efb0", "57601b61145d83281c8839b526ca20adddf8efb0")</f>
        <v>0</v>
      </c>
      <c r="D1024" t="s">
        <v>4940</v>
      </c>
      <c r="E1024" t="s">
        <v>6019</v>
      </c>
      <c r="F1024" t="s">
        <v>10670</v>
      </c>
      <c r="G1024" t="s">
        <v>15029</v>
      </c>
      <c r="H1024" t="s">
        <v>19484</v>
      </c>
    </row>
    <row r="1025" spans="1:8">
      <c r="A1025" t="s">
        <v>222</v>
      </c>
      <c r="B1025">
        <f>HYPERLINK("https://android.googlesource.com/platform/cts/+/a5d6c08226b2ffc09af39c38c7c0e2ddba27a399", "a5d6c08226b2ffc09af39c38c7c0e2ddba27a399")</f>
        <v>0</v>
      </c>
      <c r="C1025">
        <f>HYPERLINK("https://android.googlesource.com/platform/cts/+/e142bf077e83c09f1bf22fd36f87715c9c751b7a", "e142bf077e83c09f1bf22fd36f87715c9c751b7a")</f>
        <v>0</v>
      </c>
      <c r="D1025" t="s">
        <v>4942</v>
      </c>
      <c r="E1025" t="s">
        <v>6020</v>
      </c>
      <c r="F1025" t="s">
        <v>10585</v>
      </c>
      <c r="G1025" t="s">
        <v>14988</v>
      </c>
      <c r="H1025" t="s">
        <v>19485</v>
      </c>
    </row>
    <row r="1026" spans="1:8">
      <c r="A1026" t="s">
        <v>223</v>
      </c>
      <c r="B1026">
        <f>HYPERLINK("https://android.googlesource.com/platform/cts/+/54fa79b3c802e93e253b9fe5b87e4ee5205ea215", "54fa79b3c802e93e253b9fe5b87e4ee5205ea215")</f>
        <v>0</v>
      </c>
      <c r="C1026">
        <f>HYPERLINK("https://android.googlesource.com/platform/cts/+/e29c775f845c43da9201eba49b762b633a537768", "e29c775f845c43da9201eba49b762b633a537768")</f>
        <v>0</v>
      </c>
      <c r="D1026" t="s">
        <v>4951</v>
      </c>
      <c r="E1026" t="s">
        <v>6021</v>
      </c>
      <c r="F1026" t="s">
        <v>10687</v>
      </c>
      <c r="G1026" t="s">
        <v>15087</v>
      </c>
      <c r="H1026" t="s">
        <v>19486</v>
      </c>
    </row>
    <row r="1027" spans="1:8">
      <c r="H1027" t="s">
        <v>19487</v>
      </c>
    </row>
    <row r="1028" spans="1:8">
      <c r="H1028" t="s">
        <v>19488</v>
      </c>
    </row>
    <row r="1029" spans="1:8">
      <c r="A1029" t="s">
        <v>224</v>
      </c>
      <c r="B1029">
        <f>HYPERLINK("https://android.googlesource.com/platform/cts/+/9666de68707ac132d19f9ba896e37a05483c3e16", "9666de68707ac132d19f9ba896e37a05483c3e16")</f>
        <v>0</v>
      </c>
      <c r="C1029">
        <f>HYPERLINK("https://android.googlesource.com/platform/cts/+/54fa79b3c802e93e253b9fe5b87e4ee5205ea215", "54fa79b3c802e93e253b9fe5b87e4ee5205ea215")</f>
        <v>0</v>
      </c>
      <c r="D1029" t="s">
        <v>4951</v>
      </c>
      <c r="E1029" t="s">
        <v>6022</v>
      </c>
      <c r="F1029" t="s">
        <v>10687</v>
      </c>
      <c r="G1029" t="s">
        <v>15087</v>
      </c>
      <c r="H1029" t="s">
        <v>19489</v>
      </c>
    </row>
    <row r="1030" spans="1:8">
      <c r="H1030" t="s">
        <v>19490</v>
      </c>
    </row>
    <row r="1031" spans="1:8">
      <c r="A1031" t="s">
        <v>225</v>
      </c>
      <c r="B1031">
        <f>HYPERLINK("https://android.googlesource.com/platform/cts/+/345b2d7088be6f2e3651c82537faafe2c681a948", "345b2d7088be6f2e3651c82537faafe2c681a948")</f>
        <v>0</v>
      </c>
      <c r="C1031">
        <f>HYPERLINK("https://android.googlesource.com/platform/cts/+/9666de68707ac132d19f9ba896e37a05483c3e16", "9666de68707ac132d19f9ba896e37a05483c3e16")</f>
        <v>0</v>
      </c>
      <c r="D1031" t="s">
        <v>4951</v>
      </c>
      <c r="E1031" t="s">
        <v>6023</v>
      </c>
      <c r="F1031" t="s">
        <v>10687</v>
      </c>
      <c r="G1031" t="s">
        <v>15087</v>
      </c>
      <c r="H1031" t="s">
        <v>19491</v>
      </c>
    </row>
    <row r="1032" spans="1:8">
      <c r="A1032" t="s">
        <v>226</v>
      </c>
      <c r="B1032">
        <f>HYPERLINK("https://android.googlesource.com/platform/cts/+/60dfe9f6c019b29ffaf20403832dbe95de01bdc8", "60dfe9f6c019b29ffaf20403832dbe95de01bdc8")</f>
        <v>0</v>
      </c>
      <c r="C1032">
        <f>HYPERLINK("https://android.googlesource.com/platform/cts/+/345b2d7088be6f2e3651c82537faafe2c681a948", "345b2d7088be6f2e3651c82537faafe2c681a948")</f>
        <v>0</v>
      </c>
      <c r="D1032" t="s">
        <v>4951</v>
      </c>
      <c r="E1032" t="s">
        <v>6024</v>
      </c>
      <c r="F1032" t="s">
        <v>10687</v>
      </c>
      <c r="G1032" t="s">
        <v>15087</v>
      </c>
      <c r="H1032" t="s">
        <v>19492</v>
      </c>
    </row>
    <row r="1033" spans="1:8">
      <c r="A1033" t="s">
        <v>227</v>
      </c>
      <c r="B1033">
        <f>HYPERLINK("https://android.googlesource.com/platform/cts/+/583b81600edec7178df4ece2968efba3e2a3f5c4", "583b81600edec7178df4ece2968efba3e2a3f5c4")</f>
        <v>0</v>
      </c>
      <c r="C1033">
        <f>HYPERLINK("https://android.googlesource.com/platform/cts/+/60dfe9f6c019b29ffaf20403832dbe95de01bdc8", "60dfe9f6c019b29ffaf20403832dbe95de01bdc8")</f>
        <v>0</v>
      </c>
      <c r="D1033" t="s">
        <v>4951</v>
      </c>
      <c r="E1033" t="s">
        <v>6025</v>
      </c>
      <c r="F1033" t="s">
        <v>10687</v>
      </c>
      <c r="G1033" t="s">
        <v>15087</v>
      </c>
      <c r="H1033" t="s">
        <v>19493</v>
      </c>
    </row>
    <row r="1034" spans="1:8">
      <c r="H1034" t="s">
        <v>19494</v>
      </c>
    </row>
    <row r="1035" spans="1:8">
      <c r="H1035" t="s">
        <v>19495</v>
      </c>
    </row>
    <row r="1036" spans="1:8">
      <c r="H1036" t="s">
        <v>18893</v>
      </c>
    </row>
    <row r="1037" spans="1:8">
      <c r="H1037" t="s">
        <v>19496</v>
      </c>
    </row>
    <row r="1038" spans="1:8">
      <c r="A1038" t="s">
        <v>228</v>
      </c>
      <c r="B1038">
        <f>HYPERLINK("https://android.googlesource.com/platform/cts/+/6f1581a70661e3e086a9def6d56897dd63ae9606", "6f1581a70661e3e086a9def6d56897dd63ae9606")</f>
        <v>0</v>
      </c>
      <c r="C1038">
        <f>HYPERLINK("https://android.googlesource.com/platform/cts/+/eb06accba2770b9f9265558b870daeebaf229a7f", "eb06accba2770b9f9265558b870daeebaf229a7f")</f>
        <v>0</v>
      </c>
      <c r="D1038" t="s">
        <v>4951</v>
      </c>
      <c r="E1038" t="s">
        <v>6026</v>
      </c>
      <c r="F1038" t="s">
        <v>10687</v>
      </c>
      <c r="G1038" t="s">
        <v>15087</v>
      </c>
      <c r="H1038" t="s">
        <v>19497</v>
      </c>
    </row>
    <row r="1039" spans="1:8">
      <c r="H1039" t="s">
        <v>19498</v>
      </c>
    </row>
    <row r="1040" spans="1:8">
      <c r="H1040" t="s">
        <v>18927</v>
      </c>
    </row>
    <row r="1041" spans="1:8">
      <c r="H1041" t="s">
        <v>19499</v>
      </c>
    </row>
    <row r="1042" spans="1:8">
      <c r="H1042" t="s">
        <v>19500</v>
      </c>
    </row>
    <row r="1043" spans="1:8">
      <c r="H1043" t="s">
        <v>18927</v>
      </c>
    </row>
    <row r="1044" spans="1:8">
      <c r="A1044" t="s">
        <v>229</v>
      </c>
      <c r="B1044">
        <f>HYPERLINK("https://android.googlesource.com/platform/cts/+/f583fe9b174699df169b4311d79499071786ee5f", "f583fe9b174699df169b4311d79499071786ee5f")</f>
        <v>0</v>
      </c>
      <c r="C1044">
        <f>HYPERLINK("https://android.googlesource.com/platform/cts/+/4a66ef4ace3d9518b519cd5a44b0ce6e6d116930", "4a66ef4ace3d9518b519cd5a44b0ce6e6d116930")</f>
        <v>0</v>
      </c>
      <c r="D1044" t="s">
        <v>4928</v>
      </c>
      <c r="E1044" t="s">
        <v>6027</v>
      </c>
      <c r="F1044" t="s">
        <v>10664</v>
      </c>
      <c r="G1044" t="s">
        <v>15065</v>
      </c>
      <c r="H1044" t="s">
        <v>19501</v>
      </c>
    </row>
    <row r="1045" spans="1:8">
      <c r="A1045" t="s">
        <v>230</v>
      </c>
      <c r="B1045">
        <f>HYPERLINK("https://android.googlesource.com/platform/cts/+/e9b5c73242e7d29b5d7f386cca61eadc6166e15a", "e9b5c73242e7d29b5d7f386cca61eadc6166e15a")</f>
        <v>0</v>
      </c>
      <c r="C1045">
        <f>HYPERLINK("https://android.googlesource.com/platform/cts/+/6f1581a70661e3e086a9def6d56897dd63ae9606", "6f1581a70661e3e086a9def6d56897dd63ae9606")</f>
        <v>0</v>
      </c>
      <c r="D1045" t="s">
        <v>4951</v>
      </c>
      <c r="E1045" t="s">
        <v>6028</v>
      </c>
      <c r="F1045" t="s">
        <v>10687</v>
      </c>
      <c r="G1045" t="s">
        <v>15087</v>
      </c>
      <c r="H1045" t="s">
        <v>19502</v>
      </c>
    </row>
    <row r="1046" spans="1:8">
      <c r="H1046" t="s">
        <v>19503</v>
      </c>
    </row>
    <row r="1047" spans="1:8">
      <c r="A1047" t="s">
        <v>231</v>
      </c>
      <c r="B1047">
        <f>HYPERLINK("https://android.googlesource.com/platform/cts/+/b4059998994c61d42d680e323397e2924299312c", "b4059998994c61d42d680e323397e2924299312c")</f>
        <v>0</v>
      </c>
      <c r="C1047">
        <f>HYPERLINK("https://android.googlesource.com/platform/cts/+/49ecbb75f1cc028af93c5b8ecd3700a57bfa3faa", "49ecbb75f1cc028af93c5b8ecd3700a57bfa3faa")</f>
        <v>0</v>
      </c>
      <c r="D1047" t="s">
        <v>4942</v>
      </c>
      <c r="E1047" t="s">
        <v>6029</v>
      </c>
      <c r="F1047" t="s">
        <v>10585</v>
      </c>
      <c r="G1047" t="s">
        <v>14988</v>
      </c>
      <c r="H1047" t="s">
        <v>19504</v>
      </c>
    </row>
    <row r="1048" spans="1:8">
      <c r="A1048" t="s">
        <v>233</v>
      </c>
      <c r="B1048">
        <f>HYPERLINK("https://android.googlesource.com/platform/cts/+/b68215ac2dfbe593a5536aa6484fed50f4d8c9fe", "b68215ac2dfbe593a5536aa6484fed50f4d8c9fe")</f>
        <v>0</v>
      </c>
      <c r="C1048">
        <f>HYPERLINK("https://android.googlesource.com/platform/cts/+/97fee19f3a790805480bf044cb011879ffb4cf43", "97fee19f3a790805480bf044cb011879ffb4cf43")</f>
        <v>0</v>
      </c>
      <c r="D1048" t="s">
        <v>4942</v>
      </c>
      <c r="E1048" t="s">
        <v>6030</v>
      </c>
      <c r="F1048" t="s">
        <v>10774</v>
      </c>
      <c r="G1048" t="s">
        <v>15170</v>
      </c>
      <c r="H1048" t="s">
        <v>19505</v>
      </c>
    </row>
    <row r="1049" spans="1:8">
      <c r="A1049" t="s">
        <v>234</v>
      </c>
      <c r="B1049">
        <f>HYPERLINK("https://android.googlesource.com/platform/cts/+/b1f8c239bca1d9230cbc325ecb59b84e42bc40bd", "b1f8c239bca1d9230cbc325ecb59b84e42bc40bd")</f>
        <v>0</v>
      </c>
      <c r="C1049">
        <f>HYPERLINK("https://android.googlesource.com/platform/cts/+/ebb4aba50aec74ff030922531cbe0efd82e57356", "ebb4aba50aec74ff030922531cbe0efd82e57356")</f>
        <v>0</v>
      </c>
      <c r="D1049" t="s">
        <v>4949</v>
      </c>
      <c r="E1049" t="s">
        <v>6031</v>
      </c>
      <c r="F1049" t="s">
        <v>10775</v>
      </c>
      <c r="G1049" t="s">
        <v>15171</v>
      </c>
      <c r="H1049" t="s">
        <v>19506</v>
      </c>
    </row>
    <row r="1050" spans="1:8">
      <c r="A1050" t="s">
        <v>235</v>
      </c>
      <c r="B1050">
        <f>HYPERLINK("https://android.googlesource.com/platform/cts/+/544d272e5901ed193dd9c55a9ef791a38ffef91e", "544d272e5901ed193dd9c55a9ef791a38ffef91e")</f>
        <v>0</v>
      </c>
      <c r="C1050">
        <f>HYPERLINK("https://android.googlesource.com/platform/cts/+/cdf059852ab11463f14b5432bfd4a5e6daaad012", "cdf059852ab11463f14b5432bfd4a5e6daaad012")</f>
        <v>0</v>
      </c>
      <c r="D1050" t="s">
        <v>4928</v>
      </c>
      <c r="E1050" t="s">
        <v>6032</v>
      </c>
      <c r="F1050" t="s">
        <v>10776</v>
      </c>
      <c r="G1050" t="s">
        <v>15172</v>
      </c>
      <c r="H1050" t="s">
        <v>19507</v>
      </c>
    </row>
    <row r="1051" spans="1:8">
      <c r="A1051" t="s">
        <v>236</v>
      </c>
      <c r="B1051">
        <f>HYPERLINK("https://android.googlesource.com/platform/cts/+/476bd99d8a0ec86071e41af96bf6e1d0f98aefa9", "476bd99d8a0ec86071e41af96bf6e1d0f98aefa9")</f>
        <v>0</v>
      </c>
      <c r="C1051">
        <f>HYPERLINK("https://android.googlesource.com/platform/cts/+/d9f4846f8eba556b85de3beaa57118ebdb926d6b", "d9f4846f8eba556b85de3beaa57118ebdb926d6b")</f>
        <v>0</v>
      </c>
      <c r="D1051" t="s">
        <v>4957</v>
      </c>
      <c r="E1051" t="s">
        <v>6033</v>
      </c>
      <c r="F1051" t="s">
        <v>10777</v>
      </c>
      <c r="G1051" t="s">
        <v>15173</v>
      </c>
      <c r="H1051" t="s">
        <v>19508</v>
      </c>
    </row>
    <row r="1052" spans="1:8">
      <c r="A1052" t="s">
        <v>237</v>
      </c>
      <c r="B1052">
        <f>HYPERLINK("https://android.googlesource.com/platform/cts/+/09a875085da3bf2ebb70970b22c5886eb254ada3", "09a875085da3bf2ebb70970b22c5886eb254ada3")</f>
        <v>0</v>
      </c>
      <c r="C1052">
        <f>HYPERLINK("https://android.googlesource.com/platform/cts/+/dce64eabacfec9e0159053d9bcc3293397ccc8db", "dce64eabacfec9e0159053d9bcc3293397ccc8db")</f>
        <v>0</v>
      </c>
      <c r="D1052" t="s">
        <v>4942</v>
      </c>
      <c r="E1052" t="s">
        <v>6034</v>
      </c>
      <c r="F1052" t="s">
        <v>10778</v>
      </c>
      <c r="G1052" t="s">
        <v>15174</v>
      </c>
      <c r="H1052" t="s">
        <v>19509</v>
      </c>
    </row>
    <row r="1053" spans="1:8">
      <c r="A1053" t="s">
        <v>238</v>
      </c>
      <c r="B1053">
        <f>HYPERLINK("https://android.googlesource.com/platform/cts/+/d05a0e34781c6b32624ef8eef98079e99a845283", "d05a0e34781c6b32624ef8eef98079e99a845283")</f>
        <v>0</v>
      </c>
      <c r="C1053">
        <f>HYPERLINK("https://android.googlesource.com/platform/cts/+/81484bb31b4588198cbe6b01fd496d544a48f327", "81484bb31b4588198cbe6b01fd496d544a48f327")</f>
        <v>0</v>
      </c>
      <c r="D1053" t="s">
        <v>4942</v>
      </c>
      <c r="E1053" t="s">
        <v>6035</v>
      </c>
      <c r="F1053" t="s">
        <v>10716</v>
      </c>
      <c r="G1053" t="s">
        <v>15115</v>
      </c>
      <c r="H1053" t="s">
        <v>19510</v>
      </c>
    </row>
    <row r="1054" spans="1:8">
      <c r="A1054" t="s">
        <v>239</v>
      </c>
      <c r="B1054">
        <f>HYPERLINK("https://android.googlesource.com/platform/cts/+/a7051b0f252ddff0476af8f81f762d2a6c9df695", "a7051b0f252ddff0476af8f81f762d2a6c9df695")</f>
        <v>0</v>
      </c>
      <c r="C1054">
        <f>HYPERLINK("https://android.googlesource.com/platform/cts/+/ffeab80c8e086e9c649cb26b7258e2d2aa42d5a4", "ffeab80c8e086e9c649cb26b7258e2d2aa42d5a4")</f>
        <v>0</v>
      </c>
      <c r="D1054" t="s">
        <v>4936</v>
      </c>
      <c r="E1054" t="s">
        <v>6036</v>
      </c>
      <c r="F1054" t="s">
        <v>10699</v>
      </c>
      <c r="G1054" t="s">
        <v>15099</v>
      </c>
      <c r="H1054" t="s">
        <v>19511</v>
      </c>
    </row>
    <row r="1055" spans="1:8">
      <c r="A1055" t="s">
        <v>240</v>
      </c>
      <c r="B1055">
        <f>HYPERLINK("https://android.googlesource.com/platform/cts/+/0866696a341f481adb1d07e9a92eb634b942e10b", "0866696a341f481adb1d07e9a92eb634b942e10b")</f>
        <v>0</v>
      </c>
      <c r="C1055">
        <f>HYPERLINK("https://android.googlesource.com/platform/cts/+/7c2e6b1c889a298839ce793382e73256262c13a9", "7c2e6b1c889a298839ce793382e73256262c13a9")</f>
        <v>0</v>
      </c>
      <c r="D1055" t="s">
        <v>4942</v>
      </c>
      <c r="E1055" t="s">
        <v>6037</v>
      </c>
      <c r="F1055" t="s">
        <v>10716</v>
      </c>
      <c r="G1055" t="s">
        <v>15115</v>
      </c>
      <c r="H1055" t="s">
        <v>19510</v>
      </c>
    </row>
    <row r="1056" spans="1:8">
      <c r="A1056" t="s">
        <v>241</v>
      </c>
      <c r="B1056">
        <f>HYPERLINK("https://android.googlesource.com/platform/cts/+/dc8744c9fd11eacff3275ebc140e564d5855bdfa", "dc8744c9fd11eacff3275ebc140e564d5855bdfa")</f>
        <v>0</v>
      </c>
      <c r="C1056">
        <f>HYPERLINK("https://android.googlesource.com/platform/cts/+/b518d3d096f24c321fe2cb0c692d947c525d55aa", "b518d3d096f24c321fe2cb0c692d947c525d55aa")</f>
        <v>0</v>
      </c>
      <c r="D1056" t="s">
        <v>4936</v>
      </c>
      <c r="E1056" t="s">
        <v>6038</v>
      </c>
      <c r="F1056" t="s">
        <v>10779</v>
      </c>
      <c r="G1056" t="s">
        <v>15175</v>
      </c>
      <c r="H1056" t="s">
        <v>19512</v>
      </c>
    </row>
    <row r="1057" spans="1:8">
      <c r="F1057" t="s">
        <v>10780</v>
      </c>
      <c r="G1057" t="s">
        <v>15176</v>
      </c>
      <c r="H1057" t="s">
        <v>19512</v>
      </c>
    </row>
    <row r="1058" spans="1:8">
      <c r="F1058" t="s">
        <v>10644</v>
      </c>
      <c r="G1058" t="s">
        <v>15045</v>
      </c>
      <c r="H1058" t="s">
        <v>19512</v>
      </c>
    </row>
    <row r="1059" spans="1:8">
      <c r="F1059" t="s">
        <v>10781</v>
      </c>
      <c r="G1059" t="s">
        <v>15177</v>
      </c>
      <c r="H1059" t="s">
        <v>19512</v>
      </c>
    </row>
    <row r="1060" spans="1:8">
      <c r="F1060" t="s">
        <v>10782</v>
      </c>
      <c r="G1060" t="s">
        <v>15178</v>
      </c>
      <c r="H1060" t="s">
        <v>19512</v>
      </c>
    </row>
    <row r="1061" spans="1:8">
      <c r="F1061" t="s">
        <v>10783</v>
      </c>
      <c r="G1061" t="s">
        <v>15179</v>
      </c>
      <c r="H1061" t="s">
        <v>19512</v>
      </c>
    </row>
    <row r="1062" spans="1:8">
      <c r="F1062" t="s">
        <v>10647</v>
      </c>
      <c r="G1062" t="s">
        <v>15048</v>
      </c>
      <c r="H1062" t="s">
        <v>19512</v>
      </c>
    </row>
    <row r="1063" spans="1:8">
      <c r="A1063" t="s">
        <v>242</v>
      </c>
      <c r="B1063">
        <f>HYPERLINK("https://android.googlesource.com/platform/cts/+/62c72f97a4cc7f24f26c6d1a40282c02a0e6b662", "62c72f97a4cc7f24f26c6d1a40282c02a0e6b662")</f>
        <v>0</v>
      </c>
      <c r="C1063">
        <f>HYPERLINK("https://android.googlesource.com/platform/cts/+/dc8744c9fd11eacff3275ebc140e564d5855bdfa", "dc8744c9fd11eacff3275ebc140e564d5855bdfa")</f>
        <v>0</v>
      </c>
      <c r="D1063" t="s">
        <v>4936</v>
      </c>
      <c r="E1063" t="s">
        <v>6039</v>
      </c>
      <c r="F1063" t="s">
        <v>10644</v>
      </c>
      <c r="G1063" t="s">
        <v>15045</v>
      </c>
      <c r="H1063" t="s">
        <v>19513</v>
      </c>
    </row>
    <row r="1064" spans="1:8">
      <c r="A1064" t="s">
        <v>243</v>
      </c>
      <c r="B1064">
        <f>HYPERLINK("https://android.googlesource.com/platform/cts/+/0e43235fd0e598993a9638136e2e205745f5ac12", "0e43235fd0e598993a9638136e2e205745f5ac12")</f>
        <v>0</v>
      </c>
      <c r="C1064">
        <f>HYPERLINK("https://android.googlesource.com/platform/cts/+/5369278d6f5a755c40640b180f89cb2154a95398", "5369278d6f5a755c40640b180f89cb2154a95398")</f>
        <v>0</v>
      </c>
      <c r="D1064" t="s">
        <v>4954</v>
      </c>
      <c r="E1064" t="s">
        <v>6040</v>
      </c>
      <c r="F1064" t="s">
        <v>10750</v>
      </c>
      <c r="G1064" t="s">
        <v>15148</v>
      </c>
      <c r="H1064" t="s">
        <v>19514</v>
      </c>
    </row>
    <row r="1065" spans="1:8">
      <c r="A1065" t="s">
        <v>244</v>
      </c>
      <c r="B1065">
        <f>HYPERLINK("https://android.googlesource.com/platform/cts/+/f942683666d3ae59e44e69ed0ab77fe9db71f207", "f942683666d3ae59e44e69ed0ab77fe9db71f207")</f>
        <v>0</v>
      </c>
      <c r="C1065">
        <f>HYPERLINK("https://android.googlesource.com/platform/cts/+/15c6734d4ae4f3dfebd0f6c01f33e4c9d71ac874", "15c6734d4ae4f3dfebd0f6c01f33e4c9d71ac874")</f>
        <v>0</v>
      </c>
      <c r="D1065" t="s">
        <v>4942</v>
      </c>
      <c r="E1065" t="s">
        <v>6041</v>
      </c>
      <c r="F1065" t="s">
        <v>10691</v>
      </c>
      <c r="G1065" t="s">
        <v>15091</v>
      </c>
      <c r="H1065" t="s">
        <v>19515</v>
      </c>
    </row>
    <row r="1066" spans="1:8">
      <c r="H1066" t="s">
        <v>19516</v>
      </c>
    </row>
    <row r="1067" spans="1:8">
      <c r="H1067" t="s">
        <v>19517</v>
      </c>
    </row>
    <row r="1068" spans="1:8">
      <c r="F1068" t="s">
        <v>10784</v>
      </c>
      <c r="G1068" t="s">
        <v>15180</v>
      </c>
      <c r="H1068" t="s">
        <v>19518</v>
      </c>
    </row>
    <row r="1069" spans="1:8">
      <c r="H1069" t="s">
        <v>19519</v>
      </c>
    </row>
    <row r="1070" spans="1:8">
      <c r="A1070" t="s">
        <v>245</v>
      </c>
      <c r="B1070">
        <f>HYPERLINK("https://android.googlesource.com/platform/cts/+/bb47ff02d552e5920d82dcc4716fcec9b196d9f2", "bb47ff02d552e5920d82dcc4716fcec9b196d9f2")</f>
        <v>0</v>
      </c>
      <c r="C1070">
        <f>HYPERLINK("https://android.googlesource.com/platform/cts/+/0aa52f6ad574949f38315213af2fea0c0fd70cd4", "0aa52f6ad574949f38315213af2fea0c0fd70cd4")</f>
        <v>0</v>
      </c>
      <c r="D1070" t="s">
        <v>4940</v>
      </c>
      <c r="E1070" t="s">
        <v>6042</v>
      </c>
      <c r="F1070" t="s">
        <v>10670</v>
      </c>
      <c r="G1070" t="s">
        <v>15029</v>
      </c>
      <c r="H1070" t="s">
        <v>19520</v>
      </c>
    </row>
    <row r="1071" spans="1:8">
      <c r="A1071" t="s">
        <v>246</v>
      </c>
      <c r="B1071">
        <f>HYPERLINK("https://android.googlesource.com/platform/cts/+/508cd74ba307864e3fb80f17524708762be38cf5", "508cd74ba307864e3fb80f17524708762be38cf5")</f>
        <v>0</v>
      </c>
      <c r="C1071">
        <f>HYPERLINK("https://android.googlesource.com/platform/cts/+/381f2ae229a832fea32aedb420e6f6da525a9dc5", "381f2ae229a832fea32aedb420e6f6da525a9dc5")</f>
        <v>0</v>
      </c>
      <c r="D1071" t="s">
        <v>4958</v>
      </c>
      <c r="E1071" t="s">
        <v>6043</v>
      </c>
      <c r="F1071" t="s">
        <v>10606</v>
      </c>
      <c r="G1071" t="s">
        <v>15009</v>
      </c>
      <c r="H1071" t="s">
        <v>19521</v>
      </c>
    </row>
    <row r="1072" spans="1:8">
      <c r="F1072" t="s">
        <v>10785</v>
      </c>
      <c r="G1072" t="s">
        <v>15181</v>
      </c>
      <c r="H1072" t="s">
        <v>19521</v>
      </c>
    </row>
    <row r="1073" spans="1:8">
      <c r="A1073" t="s">
        <v>247</v>
      </c>
      <c r="B1073">
        <f>HYPERLINK("https://android.googlesource.com/platform/cts/+/253c42abab73f7b749d11287ebfdf7ef5cbe9e51", "253c42abab73f7b749d11287ebfdf7ef5cbe9e51")</f>
        <v>0</v>
      </c>
      <c r="C1073">
        <f>HYPERLINK("https://android.googlesource.com/platform/cts/+/d1759f5ebe85f068469aa0c94cc6935648e5e28b", "d1759f5ebe85f068469aa0c94cc6935648e5e28b")</f>
        <v>0</v>
      </c>
      <c r="D1073" t="s">
        <v>4959</v>
      </c>
      <c r="E1073" t="s">
        <v>6044</v>
      </c>
      <c r="F1073" t="s">
        <v>10720</v>
      </c>
      <c r="G1073" t="s">
        <v>15119</v>
      </c>
      <c r="H1073" t="s">
        <v>19522</v>
      </c>
    </row>
    <row r="1074" spans="1:8">
      <c r="A1074" t="s">
        <v>248</v>
      </c>
      <c r="B1074">
        <f>HYPERLINK("https://android.googlesource.com/platform/cts/+/82ab52aeb917ed9a7f19bcc52b0cee83580814df", "82ab52aeb917ed9a7f19bcc52b0cee83580814df")</f>
        <v>0</v>
      </c>
      <c r="C1074">
        <f>HYPERLINK("https://android.googlesource.com/platform/cts/+/381f2ae229a832fea32aedb420e6f6da525a9dc5", "381f2ae229a832fea32aedb420e6f6da525a9dc5")</f>
        <v>0</v>
      </c>
      <c r="D1074" t="s">
        <v>4942</v>
      </c>
      <c r="E1074" t="s">
        <v>6045</v>
      </c>
      <c r="F1074" t="s">
        <v>10786</v>
      </c>
      <c r="G1074" t="s">
        <v>15182</v>
      </c>
      <c r="H1074" t="s">
        <v>19523</v>
      </c>
    </row>
    <row r="1075" spans="1:8">
      <c r="A1075" t="s">
        <v>249</v>
      </c>
      <c r="B1075">
        <f>HYPERLINK("https://android.googlesource.com/platform/cts/+/cf4dd1c99ec3dfdfb08e38b76d69fbb12c65861a", "cf4dd1c99ec3dfdfb08e38b76d69fbb12c65861a")</f>
        <v>0</v>
      </c>
      <c r="C1075">
        <f>HYPERLINK("https://android.googlesource.com/platform/cts/+/4c567436d5e6e8fd9c52e6086d26d67223948a68", "4c567436d5e6e8fd9c52e6086d26d67223948a68")</f>
        <v>0</v>
      </c>
      <c r="D1075" t="s">
        <v>4951</v>
      </c>
      <c r="E1075" t="s">
        <v>6046</v>
      </c>
      <c r="F1075" t="s">
        <v>10787</v>
      </c>
      <c r="G1075" t="s">
        <v>15183</v>
      </c>
      <c r="H1075" t="s">
        <v>19524</v>
      </c>
    </row>
    <row r="1076" spans="1:8">
      <c r="H1076" t="s">
        <v>19525</v>
      </c>
    </row>
    <row r="1077" spans="1:8">
      <c r="H1077" t="s">
        <v>19526</v>
      </c>
    </row>
    <row r="1078" spans="1:8">
      <c r="A1078" t="s">
        <v>250</v>
      </c>
      <c r="B1078">
        <f>HYPERLINK("https://android.googlesource.com/platform/cts/+/abd17ae36aa7c115b156f7910bc765539f2dc004", "abd17ae36aa7c115b156f7910bc765539f2dc004")</f>
        <v>0</v>
      </c>
      <c r="C1078">
        <f>HYPERLINK("https://android.googlesource.com/platform/cts/+/2bb244906e847897e7cdebc896c72019c9d2fe48", "2bb244906e847897e7cdebc896c72019c9d2fe48")</f>
        <v>0</v>
      </c>
      <c r="D1078" t="s">
        <v>4960</v>
      </c>
      <c r="E1078" t="s">
        <v>6047</v>
      </c>
      <c r="F1078" t="s">
        <v>10788</v>
      </c>
      <c r="G1078" t="s">
        <v>15184</v>
      </c>
      <c r="H1078" t="s">
        <v>19527</v>
      </c>
    </row>
    <row r="1079" spans="1:8">
      <c r="H1079" t="s">
        <v>19528</v>
      </c>
    </row>
    <row r="1080" spans="1:8">
      <c r="H1080" t="s">
        <v>19529</v>
      </c>
    </row>
    <row r="1081" spans="1:8">
      <c r="H1081" t="s">
        <v>19530</v>
      </c>
    </row>
    <row r="1082" spans="1:8">
      <c r="A1082" t="s">
        <v>251</v>
      </c>
      <c r="B1082">
        <f>HYPERLINK("https://android.googlesource.com/platform/cts/+/d1a9ec6b670009c6597b7d45015b2181daac3d72", "d1a9ec6b670009c6597b7d45015b2181daac3d72")</f>
        <v>0</v>
      </c>
      <c r="C1082">
        <f>HYPERLINK("https://android.googlesource.com/platform/cts/+/03eae653f7bb0ed2299620c9c95837e5e0f48b7e", "03eae653f7bb0ed2299620c9c95837e5e0f48b7e")</f>
        <v>0</v>
      </c>
      <c r="D1082" t="s">
        <v>4941</v>
      </c>
      <c r="E1082" t="s">
        <v>6048</v>
      </c>
      <c r="F1082" t="s">
        <v>10778</v>
      </c>
      <c r="G1082" t="s">
        <v>15174</v>
      </c>
      <c r="H1082" t="s">
        <v>19531</v>
      </c>
    </row>
    <row r="1083" spans="1:8">
      <c r="A1083" t="s">
        <v>252</v>
      </c>
      <c r="B1083">
        <f>HYPERLINK("https://android.googlesource.com/platform/cts/+/677fe3459b2facdf1da53f106688e5f5ec3924eb", "677fe3459b2facdf1da53f106688e5f5ec3924eb")</f>
        <v>0</v>
      </c>
      <c r="C1083">
        <f>HYPERLINK("https://android.googlesource.com/platform/cts/+/d1a9ec6b670009c6597b7d45015b2181daac3d72", "d1a9ec6b670009c6597b7d45015b2181daac3d72")</f>
        <v>0</v>
      </c>
      <c r="D1083" t="s">
        <v>4941</v>
      </c>
      <c r="E1083" t="s">
        <v>6049</v>
      </c>
      <c r="F1083" t="s">
        <v>10701</v>
      </c>
      <c r="G1083" t="s">
        <v>15101</v>
      </c>
      <c r="H1083" t="s">
        <v>19532</v>
      </c>
    </row>
    <row r="1084" spans="1:8">
      <c r="A1084" t="s">
        <v>253</v>
      </c>
      <c r="B1084">
        <f>HYPERLINK("https://android.googlesource.com/platform/cts/+/399ffdacc357d863058baa8de926e57dbedc4fc8", "399ffdacc357d863058baa8de926e57dbedc4fc8")</f>
        <v>0</v>
      </c>
      <c r="C1084">
        <f>HYPERLINK("https://android.googlesource.com/platform/cts/+/f5a36645c1ed3cb3087f76d9cbb20f6271ead68f", "f5a36645c1ed3cb3087f76d9cbb20f6271ead68f")</f>
        <v>0</v>
      </c>
      <c r="D1084" t="s">
        <v>4961</v>
      </c>
      <c r="E1084" t="s">
        <v>6050</v>
      </c>
      <c r="F1084" t="s">
        <v>10789</v>
      </c>
      <c r="G1084" t="s">
        <v>15185</v>
      </c>
      <c r="H1084" t="s">
        <v>19533</v>
      </c>
    </row>
    <row r="1085" spans="1:8">
      <c r="A1085" t="s">
        <v>254</v>
      </c>
      <c r="B1085">
        <f>HYPERLINK("https://android.googlesource.com/platform/cts/+/b9d1670d9885556385811f4e52b0bb4b9b0076dc", "b9d1670d9885556385811f4e52b0bb4b9b0076dc")</f>
        <v>0</v>
      </c>
      <c r="C1085">
        <f>HYPERLINK("https://android.googlesource.com/platform/cts/+/48c39254eb518647711af34ccfc462bbfffbe66b", "48c39254eb518647711af34ccfc462bbfffbe66b")</f>
        <v>0</v>
      </c>
      <c r="D1085" t="s">
        <v>4962</v>
      </c>
      <c r="E1085" t="s">
        <v>6051</v>
      </c>
      <c r="F1085" t="s">
        <v>10790</v>
      </c>
      <c r="G1085" t="s">
        <v>15186</v>
      </c>
      <c r="H1085" t="s">
        <v>19534</v>
      </c>
    </row>
    <row r="1086" spans="1:8">
      <c r="H1086" t="s">
        <v>19535</v>
      </c>
    </row>
    <row r="1087" spans="1:8">
      <c r="A1087" t="s">
        <v>255</v>
      </c>
      <c r="B1087">
        <f>HYPERLINK("https://android.googlesource.com/platform/cts/+/b0f6ad65097a9082d756f8b2a62a730bb2e5718d", "b0f6ad65097a9082d756f8b2a62a730bb2e5718d")</f>
        <v>0</v>
      </c>
      <c r="C1087">
        <f>HYPERLINK("https://android.googlesource.com/platform/cts/+/6430fe83da8e8e1f7392e6de0c35fb915fad9d1c", "6430fe83da8e8e1f7392e6de0c35fb915fad9d1c")</f>
        <v>0</v>
      </c>
      <c r="D1087" t="s">
        <v>4963</v>
      </c>
      <c r="E1087" t="s">
        <v>6052</v>
      </c>
      <c r="F1087" t="s">
        <v>10791</v>
      </c>
      <c r="G1087" t="s">
        <v>14989</v>
      </c>
      <c r="H1087" t="s">
        <v>19536</v>
      </c>
    </row>
    <row r="1088" spans="1:8">
      <c r="A1088" t="s">
        <v>256</v>
      </c>
      <c r="B1088">
        <f>HYPERLINK("https://android.googlesource.com/platform/cts/+/4c3bbd897942713e587bf558774c4d8b571f4a29", "4c3bbd897942713e587bf558774c4d8b571f4a29")</f>
        <v>0</v>
      </c>
      <c r="C1088">
        <f>HYPERLINK("https://android.googlesource.com/platform/cts/+/4ad91e4d2e7f62b7e2e3aef5089536a4f0cd8ce2", "4ad91e4d2e7f62b7e2e3aef5089536a4f0cd8ce2")</f>
        <v>0</v>
      </c>
      <c r="D1088" t="s">
        <v>4964</v>
      </c>
      <c r="E1088" t="s">
        <v>6053</v>
      </c>
      <c r="F1088" t="s">
        <v>10691</v>
      </c>
      <c r="G1088" t="s">
        <v>15091</v>
      </c>
      <c r="H1088" t="s">
        <v>19537</v>
      </c>
    </row>
    <row r="1089" spans="1:8">
      <c r="F1089" t="s">
        <v>10786</v>
      </c>
      <c r="G1089" t="s">
        <v>15182</v>
      </c>
      <c r="H1089" t="s">
        <v>19538</v>
      </c>
    </row>
    <row r="1090" spans="1:8">
      <c r="H1090" t="s">
        <v>19539</v>
      </c>
    </row>
    <row r="1091" spans="1:8">
      <c r="H1091" t="s">
        <v>19540</v>
      </c>
    </row>
    <row r="1092" spans="1:8">
      <c r="A1092" t="s">
        <v>257</v>
      </c>
      <c r="B1092">
        <f>HYPERLINK("https://android.googlesource.com/platform/cts/+/4c29d970b828238a25b4b708692bff0fe47d5449", "4c29d970b828238a25b4b708692bff0fe47d5449")</f>
        <v>0</v>
      </c>
      <c r="C1092">
        <f>HYPERLINK("https://android.googlesource.com/platform/cts/+/a2d453d00a142278c7bafe4306c0e9bd92068c45", "a2d453d00a142278c7bafe4306c0e9bd92068c45")</f>
        <v>0</v>
      </c>
      <c r="D1092" t="s">
        <v>4964</v>
      </c>
      <c r="E1092" t="s">
        <v>6054</v>
      </c>
      <c r="F1092" t="s">
        <v>10778</v>
      </c>
      <c r="G1092" t="s">
        <v>15174</v>
      </c>
      <c r="H1092" t="s">
        <v>18893</v>
      </c>
    </row>
    <row r="1093" spans="1:8">
      <c r="H1093" t="s">
        <v>19541</v>
      </c>
    </row>
    <row r="1094" spans="1:8">
      <c r="H1094" t="s">
        <v>19542</v>
      </c>
    </row>
    <row r="1095" spans="1:8">
      <c r="A1095" t="s">
        <v>258</v>
      </c>
      <c r="B1095">
        <f>HYPERLINK("https://android.googlesource.com/platform/cts/+/6adf2742b8fde0b80e9ae9b8891a18002cad72d0", "6adf2742b8fde0b80e9ae9b8891a18002cad72d0")</f>
        <v>0</v>
      </c>
      <c r="C1095">
        <f>HYPERLINK("https://android.googlesource.com/platform/cts/+/d885c092aa25381fc060f4e825de7743f1aabe2c", "d885c092aa25381fc060f4e825de7743f1aabe2c")</f>
        <v>0</v>
      </c>
      <c r="D1095" t="s">
        <v>4965</v>
      </c>
      <c r="E1095" t="s">
        <v>6055</v>
      </c>
      <c r="F1095" t="s">
        <v>10769</v>
      </c>
      <c r="G1095" t="s">
        <v>15165</v>
      </c>
      <c r="H1095" t="s">
        <v>19543</v>
      </c>
    </row>
    <row r="1096" spans="1:8">
      <c r="H1096" t="s">
        <v>18829</v>
      </c>
    </row>
    <row r="1097" spans="1:8">
      <c r="H1097" t="s">
        <v>18863</v>
      </c>
    </row>
    <row r="1098" spans="1:8">
      <c r="H1098" t="s">
        <v>19544</v>
      </c>
    </row>
    <row r="1099" spans="1:8">
      <c r="H1099" t="s">
        <v>19545</v>
      </c>
    </row>
    <row r="1100" spans="1:8">
      <c r="H1100" t="s">
        <v>19546</v>
      </c>
    </row>
    <row r="1101" spans="1:8">
      <c r="H1101" t="s">
        <v>19547</v>
      </c>
    </row>
    <row r="1102" spans="1:8">
      <c r="H1102" t="s">
        <v>19548</v>
      </c>
    </row>
    <row r="1103" spans="1:8">
      <c r="H1103" t="s">
        <v>19549</v>
      </c>
    </row>
    <row r="1104" spans="1:8">
      <c r="H1104" t="s">
        <v>19550</v>
      </c>
    </row>
    <row r="1105" spans="8:8">
      <c r="H1105" t="s">
        <v>19551</v>
      </c>
    </row>
    <row r="1106" spans="8:8">
      <c r="H1106" t="s">
        <v>19552</v>
      </c>
    </row>
    <row r="1107" spans="8:8">
      <c r="H1107" t="s">
        <v>19553</v>
      </c>
    </row>
    <row r="1108" spans="8:8">
      <c r="H1108" t="s">
        <v>19554</v>
      </c>
    </row>
    <row r="1109" spans="8:8">
      <c r="H1109" t="s">
        <v>19555</v>
      </c>
    </row>
    <row r="1110" spans="8:8">
      <c r="H1110" t="s">
        <v>19556</v>
      </c>
    </row>
    <row r="1111" spans="8:8">
      <c r="H1111" t="s">
        <v>19557</v>
      </c>
    </row>
    <row r="1112" spans="8:8">
      <c r="H1112" t="s">
        <v>19558</v>
      </c>
    </row>
    <row r="1113" spans="8:8">
      <c r="H1113" t="s">
        <v>19559</v>
      </c>
    </row>
    <row r="1114" spans="8:8">
      <c r="H1114" t="s">
        <v>19560</v>
      </c>
    </row>
    <row r="1115" spans="8:8">
      <c r="H1115" t="s">
        <v>19561</v>
      </c>
    </row>
    <row r="1116" spans="8:8">
      <c r="H1116" t="s">
        <v>19562</v>
      </c>
    </row>
    <row r="1117" spans="8:8">
      <c r="H1117" t="s">
        <v>19563</v>
      </c>
    </row>
    <row r="1118" spans="8:8">
      <c r="H1118" t="s">
        <v>19564</v>
      </c>
    </row>
    <row r="1119" spans="8:8">
      <c r="H1119" t="s">
        <v>19565</v>
      </c>
    </row>
    <row r="1120" spans="8:8">
      <c r="H1120" t="s">
        <v>19566</v>
      </c>
    </row>
    <row r="1121" spans="8:8">
      <c r="H1121" t="s">
        <v>19007</v>
      </c>
    </row>
    <row r="1122" spans="8:8">
      <c r="H1122" t="s">
        <v>19567</v>
      </c>
    </row>
    <row r="1123" spans="8:8">
      <c r="H1123" t="s">
        <v>19568</v>
      </c>
    </row>
    <row r="1124" spans="8:8">
      <c r="H1124" t="s">
        <v>19569</v>
      </c>
    </row>
    <row r="1125" spans="8:8">
      <c r="H1125" t="s">
        <v>19570</v>
      </c>
    </row>
    <row r="1126" spans="8:8">
      <c r="H1126" t="s">
        <v>19571</v>
      </c>
    </row>
    <row r="1127" spans="8:8">
      <c r="H1127" t="s">
        <v>19572</v>
      </c>
    </row>
    <row r="1128" spans="8:8">
      <c r="H1128" t="s">
        <v>19573</v>
      </c>
    </row>
    <row r="1129" spans="8:8">
      <c r="H1129" t="s">
        <v>19574</v>
      </c>
    </row>
    <row r="1130" spans="8:8">
      <c r="H1130" t="s">
        <v>19575</v>
      </c>
    </row>
    <row r="1131" spans="8:8">
      <c r="H1131" t="s">
        <v>19576</v>
      </c>
    </row>
    <row r="1132" spans="8:8">
      <c r="H1132" t="s">
        <v>19577</v>
      </c>
    </row>
    <row r="1133" spans="8:8">
      <c r="H1133" t="s">
        <v>19578</v>
      </c>
    </row>
    <row r="1134" spans="8:8">
      <c r="H1134" t="s">
        <v>19579</v>
      </c>
    </row>
    <row r="1135" spans="8:8">
      <c r="H1135" t="s">
        <v>19580</v>
      </c>
    </row>
    <row r="1136" spans="8:8">
      <c r="H1136" t="s">
        <v>19581</v>
      </c>
    </row>
    <row r="1137" spans="8:8">
      <c r="H1137" t="s">
        <v>19582</v>
      </c>
    </row>
    <row r="1138" spans="8:8">
      <c r="H1138" t="s">
        <v>19583</v>
      </c>
    </row>
    <row r="1139" spans="8:8">
      <c r="H1139" t="s">
        <v>19584</v>
      </c>
    </row>
    <row r="1140" spans="8:8">
      <c r="H1140" t="s">
        <v>19585</v>
      </c>
    </row>
    <row r="1141" spans="8:8">
      <c r="H1141" t="s">
        <v>19586</v>
      </c>
    </row>
    <row r="1142" spans="8:8">
      <c r="H1142" t="s">
        <v>19587</v>
      </c>
    </row>
    <row r="1143" spans="8:8">
      <c r="H1143" t="s">
        <v>19588</v>
      </c>
    </row>
    <row r="1144" spans="8:8">
      <c r="H1144" t="s">
        <v>19589</v>
      </c>
    </row>
    <row r="1145" spans="8:8">
      <c r="H1145" t="s">
        <v>19590</v>
      </c>
    </row>
    <row r="1146" spans="8:8">
      <c r="H1146" t="s">
        <v>19591</v>
      </c>
    </row>
    <row r="1147" spans="8:8">
      <c r="H1147" t="s">
        <v>19592</v>
      </c>
    </row>
    <row r="1148" spans="8:8">
      <c r="H1148" t="s">
        <v>19593</v>
      </c>
    </row>
    <row r="1149" spans="8:8">
      <c r="H1149" t="s">
        <v>19594</v>
      </c>
    </row>
    <row r="1150" spans="8:8">
      <c r="H1150" t="s">
        <v>19595</v>
      </c>
    </row>
    <row r="1151" spans="8:8">
      <c r="H1151" t="s">
        <v>19596</v>
      </c>
    </row>
    <row r="1152" spans="8:8">
      <c r="H1152" t="s">
        <v>19597</v>
      </c>
    </row>
    <row r="1153" spans="8:8">
      <c r="H1153" t="s">
        <v>19598</v>
      </c>
    </row>
    <row r="1154" spans="8:8">
      <c r="H1154" t="s">
        <v>19599</v>
      </c>
    </row>
    <row r="1155" spans="8:8">
      <c r="H1155" t="s">
        <v>19600</v>
      </c>
    </row>
    <row r="1156" spans="8:8">
      <c r="H1156" t="s">
        <v>19601</v>
      </c>
    </row>
    <row r="1157" spans="8:8">
      <c r="H1157" t="s">
        <v>19602</v>
      </c>
    </row>
    <row r="1158" spans="8:8">
      <c r="H1158" t="s">
        <v>19603</v>
      </c>
    </row>
    <row r="1159" spans="8:8">
      <c r="H1159" t="s">
        <v>19604</v>
      </c>
    </row>
    <row r="1160" spans="8:8">
      <c r="H1160" t="s">
        <v>19605</v>
      </c>
    </row>
    <row r="1161" spans="8:8">
      <c r="H1161" t="s">
        <v>19606</v>
      </c>
    </row>
    <row r="1162" spans="8:8">
      <c r="H1162" t="s">
        <v>19607</v>
      </c>
    </row>
    <row r="1163" spans="8:8">
      <c r="H1163" t="s">
        <v>19608</v>
      </c>
    </row>
    <row r="1164" spans="8:8">
      <c r="H1164" t="s">
        <v>19609</v>
      </c>
    </row>
    <row r="1165" spans="8:8">
      <c r="H1165" t="s">
        <v>19610</v>
      </c>
    </row>
    <row r="1166" spans="8:8">
      <c r="H1166" t="s">
        <v>19611</v>
      </c>
    </row>
    <row r="1167" spans="8:8">
      <c r="H1167" t="s">
        <v>19612</v>
      </c>
    </row>
    <row r="1168" spans="8:8">
      <c r="H1168" t="s">
        <v>19613</v>
      </c>
    </row>
    <row r="1169" spans="8:8">
      <c r="H1169" t="s">
        <v>19614</v>
      </c>
    </row>
    <row r="1170" spans="8:8">
      <c r="H1170" t="s">
        <v>19615</v>
      </c>
    </row>
    <row r="1171" spans="8:8">
      <c r="H1171" t="s">
        <v>19616</v>
      </c>
    </row>
    <row r="1172" spans="8:8">
      <c r="H1172" t="s">
        <v>19617</v>
      </c>
    </row>
    <row r="1173" spans="8:8">
      <c r="H1173" t="s">
        <v>19618</v>
      </c>
    </row>
    <row r="1174" spans="8:8">
      <c r="H1174" t="s">
        <v>19619</v>
      </c>
    </row>
    <row r="1175" spans="8:8">
      <c r="H1175" t="s">
        <v>19620</v>
      </c>
    </row>
    <row r="1176" spans="8:8">
      <c r="H1176" t="s">
        <v>19621</v>
      </c>
    </row>
    <row r="1177" spans="8:8">
      <c r="H1177" t="s">
        <v>19622</v>
      </c>
    </row>
    <row r="1178" spans="8:8">
      <c r="H1178" t="s">
        <v>19623</v>
      </c>
    </row>
    <row r="1179" spans="8:8">
      <c r="H1179" t="s">
        <v>19624</v>
      </c>
    </row>
    <row r="1180" spans="8:8">
      <c r="H1180" t="s">
        <v>19625</v>
      </c>
    </row>
    <row r="1181" spans="8:8">
      <c r="H1181" t="s">
        <v>19626</v>
      </c>
    </row>
    <row r="1182" spans="8:8">
      <c r="H1182" t="s">
        <v>19627</v>
      </c>
    </row>
    <row r="1183" spans="8:8">
      <c r="H1183" t="s">
        <v>19628</v>
      </c>
    </row>
    <row r="1184" spans="8:8">
      <c r="H1184" t="s">
        <v>19629</v>
      </c>
    </row>
    <row r="1185" spans="1:8">
      <c r="H1185" t="s">
        <v>19630</v>
      </c>
    </row>
    <row r="1186" spans="1:8">
      <c r="H1186" t="s">
        <v>19631</v>
      </c>
    </row>
    <row r="1187" spans="1:8">
      <c r="H1187" t="s">
        <v>19632</v>
      </c>
    </row>
    <row r="1188" spans="1:8">
      <c r="H1188" t="s">
        <v>19633</v>
      </c>
    </row>
    <row r="1189" spans="1:8">
      <c r="H1189" t="s">
        <v>19634</v>
      </c>
    </row>
    <row r="1190" spans="1:8">
      <c r="H1190" t="s">
        <v>19635</v>
      </c>
    </row>
    <row r="1191" spans="1:8">
      <c r="H1191" t="s">
        <v>19636</v>
      </c>
    </row>
    <row r="1192" spans="1:8">
      <c r="H1192" t="s">
        <v>19637</v>
      </c>
    </row>
    <row r="1193" spans="1:8">
      <c r="H1193" t="s">
        <v>19638</v>
      </c>
    </row>
    <row r="1194" spans="1:8">
      <c r="H1194" t="s">
        <v>19639</v>
      </c>
    </row>
    <row r="1195" spans="1:8">
      <c r="H1195" t="s">
        <v>19640</v>
      </c>
    </row>
    <row r="1196" spans="1:8">
      <c r="A1196" t="s">
        <v>259</v>
      </c>
      <c r="B1196">
        <f>HYPERLINK("https://android.googlesource.com/platform/cts/+/45dd2f15092680526902b37d7118f039783fe893", "45dd2f15092680526902b37d7118f039783fe893")</f>
        <v>0</v>
      </c>
      <c r="C1196">
        <f>HYPERLINK("https://android.googlesource.com/platform/cts/+/4c29d970b828238a25b4b708692bff0fe47d5449", "4c29d970b828238a25b4b708692bff0fe47d5449")</f>
        <v>0</v>
      </c>
      <c r="D1196" t="s">
        <v>4964</v>
      </c>
      <c r="E1196" t="s">
        <v>6056</v>
      </c>
      <c r="F1196" t="s">
        <v>10792</v>
      </c>
      <c r="G1196" t="s">
        <v>15187</v>
      </c>
      <c r="H1196" t="s">
        <v>19641</v>
      </c>
    </row>
    <row r="1197" spans="1:8">
      <c r="H1197" t="s">
        <v>18829</v>
      </c>
    </row>
    <row r="1198" spans="1:8">
      <c r="H1198" t="s">
        <v>18863</v>
      </c>
    </row>
    <row r="1199" spans="1:8">
      <c r="F1199" t="s">
        <v>10778</v>
      </c>
      <c r="G1199" t="s">
        <v>15174</v>
      </c>
      <c r="H1199" t="s">
        <v>19531</v>
      </c>
    </row>
    <row r="1200" spans="1:8">
      <c r="H1200" t="s">
        <v>19642</v>
      </c>
    </row>
    <row r="1201" spans="1:8">
      <c r="H1201" t="s">
        <v>18829</v>
      </c>
    </row>
    <row r="1202" spans="1:8">
      <c r="H1202" t="s">
        <v>18863</v>
      </c>
    </row>
    <row r="1203" spans="1:8">
      <c r="H1203" t="s">
        <v>19643</v>
      </c>
    </row>
    <row r="1204" spans="1:8">
      <c r="H1204" t="s">
        <v>19644</v>
      </c>
    </row>
    <row r="1205" spans="1:8">
      <c r="H1205" t="s">
        <v>19645</v>
      </c>
    </row>
    <row r="1206" spans="1:8">
      <c r="H1206" t="s">
        <v>19646</v>
      </c>
    </row>
    <row r="1207" spans="1:8">
      <c r="H1207" t="s">
        <v>19647</v>
      </c>
    </row>
    <row r="1208" spans="1:8">
      <c r="H1208" t="s">
        <v>19648</v>
      </c>
    </row>
    <row r="1209" spans="1:8">
      <c r="H1209" t="s">
        <v>19649</v>
      </c>
    </row>
    <row r="1210" spans="1:8">
      <c r="H1210" t="s">
        <v>19650</v>
      </c>
    </row>
    <row r="1211" spans="1:8">
      <c r="H1211" t="s">
        <v>19651</v>
      </c>
    </row>
    <row r="1212" spans="1:8">
      <c r="H1212" t="s">
        <v>19652</v>
      </c>
    </row>
    <row r="1213" spans="1:8">
      <c r="H1213" t="s">
        <v>19653</v>
      </c>
    </row>
    <row r="1214" spans="1:8">
      <c r="A1214" t="s">
        <v>260</v>
      </c>
      <c r="B1214">
        <f>HYPERLINK("https://android.googlesource.com/platform/cts/+/112f2791282c56f72be28aba8452609da03b09bc", "112f2791282c56f72be28aba8452609da03b09bc")</f>
        <v>0</v>
      </c>
      <c r="C1214">
        <f>HYPERLINK("https://android.googlesource.com/platform/cts/+/bc934fd55f486e6b1386b4eabdef5699d0e3a714", "bc934fd55f486e6b1386b4eabdef5699d0e3a714")</f>
        <v>0</v>
      </c>
      <c r="D1214" t="s">
        <v>4964</v>
      </c>
      <c r="E1214" t="s">
        <v>6057</v>
      </c>
      <c r="F1214" t="s">
        <v>10691</v>
      </c>
      <c r="G1214" t="s">
        <v>15091</v>
      </c>
      <c r="H1214" t="s">
        <v>19654</v>
      </c>
    </row>
    <row r="1215" spans="1:8">
      <c r="H1215" t="s">
        <v>19655</v>
      </c>
    </row>
    <row r="1216" spans="1:8">
      <c r="H1216" t="s">
        <v>19656</v>
      </c>
    </row>
    <row r="1217" spans="1:8">
      <c r="H1217" t="s">
        <v>19657</v>
      </c>
    </row>
    <row r="1218" spans="1:8">
      <c r="A1218" t="s">
        <v>261</v>
      </c>
      <c r="B1218">
        <f>HYPERLINK("https://android.googlesource.com/platform/cts/+/dae1e185d40bf8ddb7840b114be63402d4dee09c", "dae1e185d40bf8ddb7840b114be63402d4dee09c")</f>
        <v>0</v>
      </c>
      <c r="C1218">
        <f>HYPERLINK("https://android.googlesource.com/platform/cts/+/06f3009e6c59adbbe914729293771946ecd9b857", "06f3009e6c59adbbe914729293771946ecd9b857")</f>
        <v>0</v>
      </c>
      <c r="D1218" t="s">
        <v>4942</v>
      </c>
      <c r="E1218" t="s">
        <v>6058</v>
      </c>
      <c r="F1218" t="s">
        <v>10784</v>
      </c>
      <c r="G1218" t="s">
        <v>15180</v>
      </c>
      <c r="H1218" t="s">
        <v>19658</v>
      </c>
    </row>
    <row r="1219" spans="1:8">
      <c r="H1219" t="s">
        <v>19659</v>
      </c>
    </row>
    <row r="1220" spans="1:8">
      <c r="H1220" t="s">
        <v>19660</v>
      </c>
    </row>
    <row r="1221" spans="1:8">
      <c r="H1221" t="s">
        <v>19121</v>
      </c>
    </row>
    <row r="1222" spans="1:8">
      <c r="H1222" t="s">
        <v>19122</v>
      </c>
    </row>
    <row r="1223" spans="1:8">
      <c r="H1223" t="s">
        <v>19661</v>
      </c>
    </row>
    <row r="1224" spans="1:8">
      <c r="H1224" t="s">
        <v>19123</v>
      </c>
    </row>
    <row r="1225" spans="1:8">
      <c r="H1225" t="s">
        <v>19124</v>
      </c>
    </row>
    <row r="1226" spans="1:8">
      <c r="H1226" t="s">
        <v>19662</v>
      </c>
    </row>
    <row r="1227" spans="1:8">
      <c r="A1227" t="s">
        <v>262</v>
      </c>
      <c r="B1227">
        <f>HYPERLINK("https://android.googlesource.com/platform/cts/+/20ab13d8b183ee14703468366a6ad395e25aa1a1", "20ab13d8b183ee14703468366a6ad395e25aa1a1")</f>
        <v>0</v>
      </c>
      <c r="C1227">
        <f>HYPERLINK("https://android.googlesource.com/platform/cts/+/f9ede27f2cd9534d95679aa5b8c3ae017adda36c", "f9ede27f2cd9534d95679aa5b8c3ae017adda36c")</f>
        <v>0</v>
      </c>
      <c r="D1227" t="s">
        <v>4941</v>
      </c>
      <c r="E1227" t="s">
        <v>6059</v>
      </c>
      <c r="F1227" t="s">
        <v>10744</v>
      </c>
      <c r="G1227" t="s">
        <v>15143</v>
      </c>
      <c r="H1227" t="s">
        <v>19663</v>
      </c>
    </row>
    <row r="1228" spans="1:8">
      <c r="H1228" t="s">
        <v>19664</v>
      </c>
    </row>
    <row r="1229" spans="1:8">
      <c r="H1229" t="s">
        <v>19665</v>
      </c>
    </row>
    <row r="1230" spans="1:8">
      <c r="A1230" t="s">
        <v>263</v>
      </c>
      <c r="B1230">
        <f>HYPERLINK("https://android.googlesource.com/platform/cts/+/e4b59693ffc0ebd678ad6b77b93caac4988194d3", "e4b59693ffc0ebd678ad6b77b93caac4988194d3")</f>
        <v>0</v>
      </c>
      <c r="C1230">
        <f>HYPERLINK("https://android.googlesource.com/platform/cts/+/0cf6951fe0b4045ebe809321bf320cbacda1d0d5", "0cf6951fe0b4045ebe809321bf320cbacda1d0d5")</f>
        <v>0</v>
      </c>
      <c r="D1230" t="s">
        <v>4941</v>
      </c>
      <c r="E1230" t="s">
        <v>6060</v>
      </c>
      <c r="F1230" t="s">
        <v>10784</v>
      </c>
      <c r="G1230" t="s">
        <v>15180</v>
      </c>
      <c r="H1230" t="s">
        <v>19655</v>
      </c>
    </row>
    <row r="1231" spans="1:8">
      <c r="A1231" t="s">
        <v>264</v>
      </c>
      <c r="B1231">
        <f>HYPERLINK("https://android.googlesource.com/platform/cts/+/26e9d0fb97c0d9de8bcd80090170d4e609404cc0", "26e9d0fb97c0d9de8bcd80090170d4e609404cc0")</f>
        <v>0</v>
      </c>
      <c r="C1231">
        <f>HYPERLINK("https://android.googlesource.com/platform/cts/+/167f66ac7be8ad5c4b2175fe15f3b6f9776f551d", "167f66ac7be8ad5c4b2175fe15f3b6f9776f551d")</f>
        <v>0</v>
      </c>
      <c r="D1231" t="s">
        <v>4941</v>
      </c>
      <c r="E1231" t="s">
        <v>6061</v>
      </c>
      <c r="F1231" t="s">
        <v>10784</v>
      </c>
      <c r="G1231" t="s">
        <v>15180</v>
      </c>
      <c r="H1231" t="s">
        <v>19666</v>
      </c>
    </row>
    <row r="1232" spans="1:8">
      <c r="A1232" t="s">
        <v>265</v>
      </c>
      <c r="B1232">
        <f>HYPERLINK("https://android.googlesource.com/platform/cts/+/52f3b6f872849fee6e263a33ad3ceb51a434ab1c", "52f3b6f872849fee6e263a33ad3ceb51a434ab1c")</f>
        <v>0</v>
      </c>
      <c r="C1232">
        <f>HYPERLINK("https://android.googlesource.com/platform/cts/+/74e2dcf8e8804dc2de7b67039ffe4233a964e78e", "74e2dcf8e8804dc2de7b67039ffe4233a964e78e")</f>
        <v>0</v>
      </c>
      <c r="D1232" t="s">
        <v>4941</v>
      </c>
      <c r="E1232" t="s">
        <v>6062</v>
      </c>
      <c r="F1232" t="s">
        <v>10691</v>
      </c>
      <c r="G1232" t="s">
        <v>15091</v>
      </c>
      <c r="H1232" t="s">
        <v>19667</v>
      </c>
    </row>
    <row r="1233" spans="1:8">
      <c r="A1233" t="s">
        <v>266</v>
      </c>
      <c r="B1233">
        <f>HYPERLINK("https://android.googlesource.com/platform/cts/+/04b3c8e6f32aec2af720fee0e3a417b0433b5050", "04b3c8e6f32aec2af720fee0e3a417b0433b5050")</f>
        <v>0</v>
      </c>
      <c r="C1233">
        <f>HYPERLINK("https://android.googlesource.com/platform/cts/+/9ea14d091071d56aef036237bf548998d62835b3", "9ea14d091071d56aef036237bf548998d62835b3")</f>
        <v>0</v>
      </c>
      <c r="D1233" t="s">
        <v>4951</v>
      </c>
      <c r="E1233" t="s">
        <v>6063</v>
      </c>
      <c r="F1233" t="s">
        <v>10793</v>
      </c>
      <c r="G1233" t="s">
        <v>15188</v>
      </c>
      <c r="H1233" t="s">
        <v>19668</v>
      </c>
    </row>
    <row r="1234" spans="1:8">
      <c r="F1234" t="s">
        <v>10687</v>
      </c>
      <c r="G1234" t="s">
        <v>15087</v>
      </c>
      <c r="H1234" t="s">
        <v>19669</v>
      </c>
    </row>
    <row r="1235" spans="1:8">
      <c r="A1235" t="s">
        <v>267</v>
      </c>
      <c r="B1235">
        <f>HYPERLINK("https://android.googlesource.com/platform/cts/+/cbf4ad2e4c3433e6c67f81a3f755a73258c8da1c", "cbf4ad2e4c3433e6c67f81a3f755a73258c8da1c")</f>
        <v>0</v>
      </c>
      <c r="C1235">
        <f>HYPERLINK("https://android.googlesource.com/platform/cts/+/df50273f369ae1bfdaf41391db0c005a5dc0e0df", "df50273f369ae1bfdaf41391db0c005a5dc0e0df")</f>
        <v>0</v>
      </c>
      <c r="D1235" t="s">
        <v>4932</v>
      </c>
      <c r="E1235" t="s">
        <v>6064</v>
      </c>
      <c r="F1235" t="s">
        <v>10747</v>
      </c>
      <c r="G1235" t="s">
        <v>15129</v>
      </c>
      <c r="H1235" t="s">
        <v>19670</v>
      </c>
    </row>
    <row r="1236" spans="1:8">
      <c r="H1236" t="s">
        <v>19671</v>
      </c>
    </row>
    <row r="1237" spans="1:8">
      <c r="H1237" t="s">
        <v>19672</v>
      </c>
    </row>
    <row r="1238" spans="1:8">
      <c r="H1238" t="s">
        <v>19673</v>
      </c>
    </row>
    <row r="1239" spans="1:8">
      <c r="A1239" t="s">
        <v>268</v>
      </c>
      <c r="B1239">
        <f>HYPERLINK("https://android.googlesource.com/platform/cts/+/41f2159687011d968e1ce3ac2a5b3fcba2e6af83", "41f2159687011d968e1ce3ac2a5b3fcba2e6af83")</f>
        <v>0</v>
      </c>
      <c r="C1239">
        <f>HYPERLINK("https://android.googlesource.com/platform/cts/+/c5daf5b05fbe64e987b1e0d866f6dd076eb91a18", "c5daf5b05fbe64e987b1e0d866f6dd076eb91a18")</f>
        <v>0</v>
      </c>
      <c r="D1239" t="s">
        <v>4936</v>
      </c>
      <c r="E1239" t="s">
        <v>6065</v>
      </c>
      <c r="F1239" t="s">
        <v>10794</v>
      </c>
      <c r="G1239" t="s">
        <v>15189</v>
      </c>
      <c r="H1239" t="s">
        <v>19674</v>
      </c>
    </row>
    <row r="1240" spans="1:8">
      <c r="H1240" t="s">
        <v>19675</v>
      </c>
    </row>
    <row r="1241" spans="1:8">
      <c r="H1241" t="s">
        <v>19676</v>
      </c>
    </row>
    <row r="1242" spans="1:8">
      <c r="H1242" t="s">
        <v>19677</v>
      </c>
    </row>
    <row r="1243" spans="1:8">
      <c r="H1243" t="s">
        <v>19678</v>
      </c>
    </row>
    <row r="1244" spans="1:8">
      <c r="H1244" t="s">
        <v>19679</v>
      </c>
    </row>
    <row r="1245" spans="1:8">
      <c r="H1245" t="s">
        <v>19680</v>
      </c>
    </row>
    <row r="1246" spans="1:8">
      <c r="H1246" t="s">
        <v>19681</v>
      </c>
    </row>
    <row r="1247" spans="1:8">
      <c r="H1247" t="s">
        <v>19682</v>
      </c>
    </row>
    <row r="1248" spans="1:8">
      <c r="H1248" t="s">
        <v>18893</v>
      </c>
    </row>
    <row r="1249" spans="8:8">
      <c r="H1249" t="s">
        <v>19683</v>
      </c>
    </row>
    <row r="1250" spans="8:8">
      <c r="H1250" t="s">
        <v>19684</v>
      </c>
    </row>
    <row r="1251" spans="8:8">
      <c r="H1251" t="s">
        <v>18881</v>
      </c>
    </row>
    <row r="1252" spans="8:8">
      <c r="H1252" t="s">
        <v>19685</v>
      </c>
    </row>
    <row r="1253" spans="8:8">
      <c r="H1253" t="s">
        <v>19686</v>
      </c>
    </row>
    <row r="1254" spans="8:8">
      <c r="H1254" t="s">
        <v>19687</v>
      </c>
    </row>
    <row r="1255" spans="8:8">
      <c r="H1255" t="s">
        <v>18891</v>
      </c>
    </row>
    <row r="1256" spans="8:8">
      <c r="H1256" t="s">
        <v>18882</v>
      </c>
    </row>
    <row r="1257" spans="8:8">
      <c r="H1257" t="s">
        <v>19688</v>
      </c>
    </row>
    <row r="1258" spans="8:8">
      <c r="H1258" t="s">
        <v>19689</v>
      </c>
    </row>
    <row r="1259" spans="8:8">
      <c r="H1259" t="s">
        <v>18885</v>
      </c>
    </row>
    <row r="1260" spans="8:8">
      <c r="H1260" t="s">
        <v>19690</v>
      </c>
    </row>
    <row r="1261" spans="8:8">
      <c r="H1261" t="s">
        <v>19691</v>
      </c>
    </row>
    <row r="1262" spans="8:8">
      <c r="H1262" t="s">
        <v>19692</v>
      </c>
    </row>
    <row r="1263" spans="8:8">
      <c r="H1263" t="s">
        <v>19693</v>
      </c>
    </row>
    <row r="1264" spans="8:8">
      <c r="H1264" t="s">
        <v>19694</v>
      </c>
    </row>
    <row r="1265" spans="1:8">
      <c r="H1265" t="s">
        <v>19695</v>
      </c>
    </row>
    <row r="1266" spans="1:8">
      <c r="H1266" t="s">
        <v>19696</v>
      </c>
    </row>
    <row r="1267" spans="1:8">
      <c r="H1267" t="s">
        <v>19697</v>
      </c>
    </row>
    <row r="1268" spans="1:8">
      <c r="H1268" t="s">
        <v>19698</v>
      </c>
    </row>
    <row r="1269" spans="1:8">
      <c r="H1269" t="s">
        <v>19699</v>
      </c>
    </row>
    <row r="1270" spans="1:8">
      <c r="H1270" t="s">
        <v>19700</v>
      </c>
    </row>
    <row r="1271" spans="1:8">
      <c r="H1271" t="s">
        <v>19701</v>
      </c>
    </row>
    <row r="1272" spans="1:8">
      <c r="H1272" t="s">
        <v>19702</v>
      </c>
    </row>
    <row r="1273" spans="1:8">
      <c r="H1273" t="s">
        <v>19703</v>
      </c>
    </row>
    <row r="1274" spans="1:8">
      <c r="H1274" t="s">
        <v>19704</v>
      </c>
    </row>
    <row r="1275" spans="1:8">
      <c r="H1275" t="s">
        <v>18883</v>
      </c>
    </row>
    <row r="1276" spans="1:8">
      <c r="H1276" t="s">
        <v>19705</v>
      </c>
    </row>
    <row r="1277" spans="1:8">
      <c r="A1277" t="s">
        <v>269</v>
      </c>
      <c r="B1277">
        <f>HYPERLINK("https://android.googlesource.com/platform/cts/+/4fda9ca3a281ea399282a3fb080c77dbdbb723bd", "4fda9ca3a281ea399282a3fb080c77dbdbb723bd")</f>
        <v>0</v>
      </c>
      <c r="C1277">
        <f>HYPERLINK("https://android.googlesource.com/platform/cts/+/071f7991ee0ed8ffdaa0f29588a020a5c03364fe", "071f7991ee0ed8ffdaa0f29588a020a5c03364fe")</f>
        <v>0</v>
      </c>
      <c r="D1277" t="s">
        <v>4966</v>
      </c>
      <c r="E1277" t="s">
        <v>6066</v>
      </c>
      <c r="F1277" t="s">
        <v>10795</v>
      </c>
      <c r="G1277" t="s">
        <v>15190</v>
      </c>
      <c r="H1277" t="s">
        <v>19706</v>
      </c>
    </row>
    <row r="1278" spans="1:8">
      <c r="F1278" t="s">
        <v>10796</v>
      </c>
      <c r="G1278" t="s">
        <v>15191</v>
      </c>
      <c r="H1278" t="s">
        <v>19706</v>
      </c>
    </row>
    <row r="1279" spans="1:8">
      <c r="F1279" t="s">
        <v>10797</v>
      </c>
      <c r="G1279" t="s">
        <v>15192</v>
      </c>
      <c r="H1279" t="s">
        <v>19707</v>
      </c>
    </row>
    <row r="1280" spans="1:8">
      <c r="F1280" t="s">
        <v>10798</v>
      </c>
      <c r="G1280" t="s">
        <v>15193</v>
      </c>
      <c r="H1280" t="s">
        <v>19707</v>
      </c>
    </row>
    <row r="1281" spans="6:8">
      <c r="F1281" t="s">
        <v>10799</v>
      </c>
      <c r="G1281" t="s">
        <v>15194</v>
      </c>
      <c r="H1281" t="s">
        <v>19708</v>
      </c>
    </row>
    <row r="1282" spans="6:8">
      <c r="F1282" t="s">
        <v>10800</v>
      </c>
      <c r="G1282" t="s">
        <v>15195</v>
      </c>
      <c r="H1282" t="s">
        <v>19708</v>
      </c>
    </row>
    <row r="1283" spans="6:8">
      <c r="F1283" t="s">
        <v>10801</v>
      </c>
      <c r="G1283" t="s">
        <v>15196</v>
      </c>
      <c r="H1283" t="s">
        <v>19708</v>
      </c>
    </row>
    <row r="1284" spans="6:8">
      <c r="F1284" t="s">
        <v>10802</v>
      </c>
      <c r="G1284" t="s">
        <v>15197</v>
      </c>
      <c r="H1284" t="s">
        <v>19708</v>
      </c>
    </row>
    <row r="1285" spans="6:8">
      <c r="F1285" t="s">
        <v>10803</v>
      </c>
      <c r="G1285" t="s">
        <v>15198</v>
      </c>
      <c r="H1285" t="s">
        <v>19706</v>
      </c>
    </row>
    <row r="1286" spans="6:8">
      <c r="F1286" t="s">
        <v>10804</v>
      </c>
      <c r="G1286" t="s">
        <v>15199</v>
      </c>
      <c r="H1286" t="s">
        <v>19706</v>
      </c>
    </row>
    <row r="1287" spans="6:8">
      <c r="F1287" t="s">
        <v>10805</v>
      </c>
      <c r="G1287" t="s">
        <v>15200</v>
      </c>
      <c r="H1287" t="s">
        <v>19709</v>
      </c>
    </row>
    <row r="1288" spans="6:8">
      <c r="F1288" t="s">
        <v>10806</v>
      </c>
      <c r="G1288" t="s">
        <v>15201</v>
      </c>
      <c r="H1288" t="s">
        <v>19709</v>
      </c>
    </row>
    <row r="1289" spans="6:8">
      <c r="F1289" t="s">
        <v>10807</v>
      </c>
      <c r="G1289" t="s">
        <v>15202</v>
      </c>
      <c r="H1289" t="s">
        <v>19709</v>
      </c>
    </row>
    <row r="1290" spans="6:8">
      <c r="F1290" t="s">
        <v>10808</v>
      </c>
      <c r="G1290" t="s">
        <v>15203</v>
      </c>
      <c r="H1290" t="s">
        <v>19709</v>
      </c>
    </row>
    <row r="1291" spans="6:8">
      <c r="F1291" t="s">
        <v>10809</v>
      </c>
      <c r="G1291" t="s">
        <v>15204</v>
      </c>
      <c r="H1291" t="s">
        <v>19709</v>
      </c>
    </row>
    <row r="1292" spans="6:8">
      <c r="F1292" t="s">
        <v>10810</v>
      </c>
      <c r="G1292" t="s">
        <v>15205</v>
      </c>
      <c r="H1292" t="s">
        <v>19709</v>
      </c>
    </row>
    <row r="1293" spans="6:8">
      <c r="F1293" t="s">
        <v>10811</v>
      </c>
      <c r="G1293" t="s">
        <v>15206</v>
      </c>
      <c r="H1293" t="s">
        <v>19706</v>
      </c>
    </row>
    <row r="1294" spans="6:8">
      <c r="F1294" t="s">
        <v>10812</v>
      </c>
      <c r="G1294" t="s">
        <v>15207</v>
      </c>
      <c r="H1294" t="s">
        <v>19706</v>
      </c>
    </row>
    <row r="1295" spans="6:8">
      <c r="F1295" t="s">
        <v>10813</v>
      </c>
      <c r="G1295" t="s">
        <v>15208</v>
      </c>
      <c r="H1295" t="s">
        <v>19706</v>
      </c>
    </row>
    <row r="1296" spans="6:8">
      <c r="F1296" t="s">
        <v>10814</v>
      </c>
      <c r="G1296" t="s">
        <v>15209</v>
      </c>
      <c r="H1296" t="s">
        <v>19706</v>
      </c>
    </row>
    <row r="1297" spans="6:8">
      <c r="F1297" t="s">
        <v>10815</v>
      </c>
      <c r="G1297" t="s">
        <v>15210</v>
      </c>
      <c r="H1297" t="s">
        <v>19706</v>
      </c>
    </row>
    <row r="1298" spans="6:8">
      <c r="F1298" t="s">
        <v>10816</v>
      </c>
      <c r="G1298" t="s">
        <v>15211</v>
      </c>
      <c r="H1298" t="s">
        <v>19706</v>
      </c>
    </row>
    <row r="1299" spans="6:8">
      <c r="F1299" t="s">
        <v>10817</v>
      </c>
      <c r="G1299" t="s">
        <v>15212</v>
      </c>
      <c r="H1299" t="s">
        <v>19706</v>
      </c>
    </row>
    <row r="1300" spans="6:8">
      <c r="F1300" t="s">
        <v>10818</v>
      </c>
      <c r="G1300" t="s">
        <v>15213</v>
      </c>
      <c r="H1300" t="s">
        <v>19709</v>
      </c>
    </row>
    <row r="1301" spans="6:8">
      <c r="F1301" t="s">
        <v>10819</v>
      </c>
      <c r="G1301" t="s">
        <v>15214</v>
      </c>
      <c r="H1301" t="s">
        <v>19709</v>
      </c>
    </row>
    <row r="1302" spans="6:8">
      <c r="F1302" t="s">
        <v>10820</v>
      </c>
      <c r="G1302" t="s">
        <v>15215</v>
      </c>
      <c r="H1302" t="s">
        <v>19709</v>
      </c>
    </row>
    <row r="1303" spans="6:8">
      <c r="F1303" t="s">
        <v>10821</v>
      </c>
      <c r="G1303" t="s">
        <v>15216</v>
      </c>
      <c r="H1303" t="s">
        <v>19709</v>
      </c>
    </row>
    <row r="1304" spans="6:8">
      <c r="F1304" t="s">
        <v>10822</v>
      </c>
      <c r="G1304" t="s">
        <v>15217</v>
      </c>
      <c r="H1304" t="s">
        <v>19707</v>
      </c>
    </row>
    <row r="1305" spans="6:8">
      <c r="F1305" t="s">
        <v>10823</v>
      </c>
      <c r="G1305" t="s">
        <v>15218</v>
      </c>
      <c r="H1305" t="s">
        <v>19709</v>
      </c>
    </row>
    <row r="1306" spans="6:8">
      <c r="F1306" t="s">
        <v>10824</v>
      </c>
      <c r="G1306" t="s">
        <v>15219</v>
      </c>
      <c r="H1306" t="s">
        <v>19706</v>
      </c>
    </row>
    <row r="1307" spans="6:8">
      <c r="H1307" t="s">
        <v>19707</v>
      </c>
    </row>
    <row r="1308" spans="6:8">
      <c r="F1308" t="s">
        <v>10825</v>
      </c>
      <c r="G1308" t="s">
        <v>15220</v>
      </c>
      <c r="H1308" t="s">
        <v>19706</v>
      </c>
    </row>
    <row r="1309" spans="6:8">
      <c r="F1309" t="s">
        <v>10826</v>
      </c>
      <c r="G1309" t="s">
        <v>15221</v>
      </c>
      <c r="H1309" t="s">
        <v>19706</v>
      </c>
    </row>
    <row r="1310" spans="6:8">
      <c r="F1310" t="s">
        <v>10827</v>
      </c>
      <c r="G1310" t="s">
        <v>15222</v>
      </c>
      <c r="H1310" t="s">
        <v>19706</v>
      </c>
    </row>
    <row r="1311" spans="6:8">
      <c r="F1311" t="s">
        <v>10828</v>
      </c>
      <c r="G1311" t="s">
        <v>15223</v>
      </c>
      <c r="H1311" t="s">
        <v>19706</v>
      </c>
    </row>
    <row r="1312" spans="6:8">
      <c r="F1312" t="s">
        <v>10829</v>
      </c>
      <c r="G1312" t="s">
        <v>15224</v>
      </c>
      <c r="H1312" t="s">
        <v>19706</v>
      </c>
    </row>
    <row r="1313" spans="6:8">
      <c r="F1313" t="s">
        <v>10830</v>
      </c>
      <c r="G1313" t="s">
        <v>15225</v>
      </c>
      <c r="H1313" t="s">
        <v>19707</v>
      </c>
    </row>
    <row r="1314" spans="6:8">
      <c r="F1314" t="s">
        <v>10831</v>
      </c>
      <c r="G1314" t="s">
        <v>15226</v>
      </c>
      <c r="H1314" t="s">
        <v>19707</v>
      </c>
    </row>
    <row r="1315" spans="6:8">
      <c r="F1315" t="s">
        <v>10832</v>
      </c>
      <c r="G1315" t="s">
        <v>15227</v>
      </c>
      <c r="H1315" t="s">
        <v>19706</v>
      </c>
    </row>
    <row r="1316" spans="6:8">
      <c r="F1316" t="s">
        <v>10833</v>
      </c>
      <c r="G1316" t="s">
        <v>15228</v>
      </c>
      <c r="H1316" t="s">
        <v>19706</v>
      </c>
    </row>
    <row r="1317" spans="6:8">
      <c r="F1317" t="s">
        <v>10834</v>
      </c>
      <c r="G1317" t="s">
        <v>15229</v>
      </c>
      <c r="H1317" t="s">
        <v>19708</v>
      </c>
    </row>
    <row r="1318" spans="6:8">
      <c r="F1318" t="s">
        <v>10835</v>
      </c>
      <c r="G1318" t="s">
        <v>15230</v>
      </c>
      <c r="H1318" t="s">
        <v>19708</v>
      </c>
    </row>
    <row r="1319" spans="6:8">
      <c r="F1319" t="s">
        <v>10836</v>
      </c>
      <c r="G1319" t="s">
        <v>15231</v>
      </c>
      <c r="H1319" t="s">
        <v>19708</v>
      </c>
    </row>
    <row r="1320" spans="6:8">
      <c r="F1320" t="s">
        <v>10837</v>
      </c>
      <c r="G1320" t="s">
        <v>15232</v>
      </c>
      <c r="H1320" t="s">
        <v>19708</v>
      </c>
    </row>
    <row r="1321" spans="6:8">
      <c r="F1321" t="s">
        <v>10838</v>
      </c>
      <c r="G1321" t="s">
        <v>15233</v>
      </c>
      <c r="H1321" t="s">
        <v>19708</v>
      </c>
    </row>
    <row r="1322" spans="6:8">
      <c r="F1322" t="s">
        <v>10839</v>
      </c>
      <c r="G1322" t="s">
        <v>15234</v>
      </c>
      <c r="H1322" t="s">
        <v>19708</v>
      </c>
    </row>
    <row r="1323" spans="6:8">
      <c r="F1323" t="s">
        <v>10840</v>
      </c>
      <c r="G1323" t="s">
        <v>15235</v>
      </c>
      <c r="H1323" t="s">
        <v>19706</v>
      </c>
    </row>
    <row r="1324" spans="6:8">
      <c r="F1324" t="s">
        <v>10841</v>
      </c>
      <c r="G1324" t="s">
        <v>15236</v>
      </c>
      <c r="H1324" t="s">
        <v>19706</v>
      </c>
    </row>
    <row r="1325" spans="6:8">
      <c r="F1325" t="s">
        <v>10842</v>
      </c>
      <c r="G1325" t="s">
        <v>15237</v>
      </c>
      <c r="H1325" t="s">
        <v>19706</v>
      </c>
    </row>
    <row r="1326" spans="6:8">
      <c r="F1326" t="s">
        <v>10843</v>
      </c>
      <c r="G1326" t="s">
        <v>15238</v>
      </c>
      <c r="H1326" t="s">
        <v>19706</v>
      </c>
    </row>
    <row r="1327" spans="6:8">
      <c r="F1327" t="s">
        <v>10844</v>
      </c>
      <c r="G1327" t="s">
        <v>15239</v>
      </c>
      <c r="H1327" t="s">
        <v>19706</v>
      </c>
    </row>
    <row r="1328" spans="6:8">
      <c r="F1328" t="s">
        <v>10845</v>
      </c>
      <c r="G1328" t="s">
        <v>15240</v>
      </c>
      <c r="H1328" t="s">
        <v>19706</v>
      </c>
    </row>
    <row r="1329" spans="6:8">
      <c r="F1329" t="s">
        <v>10846</v>
      </c>
      <c r="G1329" t="s">
        <v>15241</v>
      </c>
      <c r="H1329" t="s">
        <v>19708</v>
      </c>
    </row>
    <row r="1330" spans="6:8">
      <c r="F1330" t="s">
        <v>10847</v>
      </c>
      <c r="G1330" t="s">
        <v>15242</v>
      </c>
      <c r="H1330" t="s">
        <v>19709</v>
      </c>
    </row>
    <row r="1331" spans="6:8">
      <c r="F1331" t="s">
        <v>10848</v>
      </c>
      <c r="G1331" t="s">
        <v>15243</v>
      </c>
      <c r="H1331" t="s">
        <v>19706</v>
      </c>
    </row>
    <row r="1332" spans="6:8">
      <c r="F1332" t="s">
        <v>10849</v>
      </c>
      <c r="G1332" t="s">
        <v>15244</v>
      </c>
      <c r="H1332" t="s">
        <v>19709</v>
      </c>
    </row>
    <row r="1333" spans="6:8">
      <c r="F1333" t="s">
        <v>10850</v>
      </c>
      <c r="G1333" t="s">
        <v>15245</v>
      </c>
      <c r="H1333" t="s">
        <v>19706</v>
      </c>
    </row>
    <row r="1334" spans="6:8">
      <c r="F1334" t="s">
        <v>10851</v>
      </c>
      <c r="G1334" t="s">
        <v>15246</v>
      </c>
      <c r="H1334" t="s">
        <v>19709</v>
      </c>
    </row>
    <row r="1335" spans="6:8">
      <c r="F1335" t="s">
        <v>10852</v>
      </c>
      <c r="G1335" t="s">
        <v>15247</v>
      </c>
      <c r="H1335" t="s">
        <v>19706</v>
      </c>
    </row>
    <row r="1336" spans="6:8">
      <c r="F1336" t="s">
        <v>10853</v>
      </c>
      <c r="G1336" t="s">
        <v>15248</v>
      </c>
      <c r="H1336" t="s">
        <v>19709</v>
      </c>
    </row>
    <row r="1337" spans="6:8">
      <c r="F1337" t="s">
        <v>10854</v>
      </c>
      <c r="G1337" t="s">
        <v>15249</v>
      </c>
      <c r="H1337" t="s">
        <v>19706</v>
      </c>
    </row>
    <row r="1338" spans="6:8">
      <c r="F1338" t="s">
        <v>10855</v>
      </c>
      <c r="G1338" t="s">
        <v>15250</v>
      </c>
      <c r="H1338" t="s">
        <v>19709</v>
      </c>
    </row>
    <row r="1339" spans="6:8">
      <c r="F1339" t="s">
        <v>10856</v>
      </c>
      <c r="G1339" t="s">
        <v>15251</v>
      </c>
      <c r="H1339" t="s">
        <v>19708</v>
      </c>
    </row>
    <row r="1340" spans="6:8">
      <c r="F1340" t="s">
        <v>10857</v>
      </c>
      <c r="G1340" t="s">
        <v>15252</v>
      </c>
      <c r="H1340" t="s">
        <v>19706</v>
      </c>
    </row>
    <row r="1341" spans="6:8">
      <c r="F1341" t="s">
        <v>10858</v>
      </c>
      <c r="G1341" t="s">
        <v>15253</v>
      </c>
      <c r="H1341" t="s">
        <v>19708</v>
      </c>
    </row>
    <row r="1342" spans="6:8">
      <c r="F1342" t="s">
        <v>10859</v>
      </c>
      <c r="G1342" t="s">
        <v>15254</v>
      </c>
      <c r="H1342" t="s">
        <v>19707</v>
      </c>
    </row>
    <row r="1343" spans="6:8">
      <c r="F1343" t="s">
        <v>10860</v>
      </c>
      <c r="G1343" t="s">
        <v>15255</v>
      </c>
      <c r="H1343" t="s">
        <v>19710</v>
      </c>
    </row>
    <row r="1344" spans="6:8">
      <c r="F1344" t="s">
        <v>10861</v>
      </c>
      <c r="G1344" t="s">
        <v>15256</v>
      </c>
      <c r="H1344" t="s">
        <v>19707</v>
      </c>
    </row>
    <row r="1345" spans="6:8">
      <c r="F1345" t="s">
        <v>10862</v>
      </c>
      <c r="G1345" t="s">
        <v>15257</v>
      </c>
      <c r="H1345" t="s">
        <v>19710</v>
      </c>
    </row>
    <row r="1346" spans="6:8">
      <c r="F1346" t="s">
        <v>10863</v>
      </c>
      <c r="G1346" t="s">
        <v>15258</v>
      </c>
      <c r="H1346" t="s">
        <v>19710</v>
      </c>
    </row>
    <row r="1347" spans="6:8">
      <c r="F1347" t="s">
        <v>10864</v>
      </c>
      <c r="G1347" t="s">
        <v>15259</v>
      </c>
      <c r="H1347" t="s">
        <v>19711</v>
      </c>
    </row>
    <row r="1348" spans="6:8">
      <c r="F1348" t="s">
        <v>10865</v>
      </c>
      <c r="G1348" t="s">
        <v>15260</v>
      </c>
      <c r="H1348" t="s">
        <v>19706</v>
      </c>
    </row>
    <row r="1349" spans="6:8">
      <c r="F1349" t="s">
        <v>10866</v>
      </c>
      <c r="G1349" t="s">
        <v>15261</v>
      </c>
      <c r="H1349" t="s">
        <v>19706</v>
      </c>
    </row>
    <row r="1350" spans="6:8">
      <c r="F1350" t="s">
        <v>10867</v>
      </c>
      <c r="G1350" t="s">
        <v>15262</v>
      </c>
      <c r="H1350" t="s">
        <v>19707</v>
      </c>
    </row>
    <row r="1351" spans="6:8">
      <c r="F1351" t="s">
        <v>10868</v>
      </c>
      <c r="G1351" t="s">
        <v>15263</v>
      </c>
      <c r="H1351" t="s">
        <v>19706</v>
      </c>
    </row>
    <row r="1352" spans="6:8">
      <c r="F1352" t="s">
        <v>10869</v>
      </c>
      <c r="G1352" t="s">
        <v>15264</v>
      </c>
      <c r="H1352" t="s">
        <v>19706</v>
      </c>
    </row>
    <row r="1353" spans="6:8">
      <c r="F1353" t="s">
        <v>10870</v>
      </c>
      <c r="G1353" t="s">
        <v>15265</v>
      </c>
      <c r="H1353" t="s">
        <v>19706</v>
      </c>
    </row>
    <row r="1354" spans="6:8">
      <c r="F1354" t="s">
        <v>10871</v>
      </c>
      <c r="G1354" t="s">
        <v>15266</v>
      </c>
      <c r="H1354" t="s">
        <v>19706</v>
      </c>
    </row>
    <row r="1355" spans="6:8">
      <c r="F1355" t="s">
        <v>10872</v>
      </c>
      <c r="G1355" t="s">
        <v>15267</v>
      </c>
      <c r="H1355" t="s">
        <v>19707</v>
      </c>
    </row>
    <row r="1356" spans="6:8">
      <c r="F1356" t="s">
        <v>10873</v>
      </c>
      <c r="G1356" t="s">
        <v>15268</v>
      </c>
      <c r="H1356" t="s">
        <v>19707</v>
      </c>
    </row>
    <row r="1357" spans="6:8">
      <c r="F1357" t="s">
        <v>10874</v>
      </c>
      <c r="G1357" t="s">
        <v>15269</v>
      </c>
      <c r="H1357" t="s">
        <v>19707</v>
      </c>
    </row>
    <row r="1358" spans="6:8">
      <c r="F1358" t="s">
        <v>10875</v>
      </c>
      <c r="G1358" t="s">
        <v>15270</v>
      </c>
      <c r="H1358" t="s">
        <v>19707</v>
      </c>
    </row>
    <row r="1359" spans="6:8">
      <c r="F1359" t="s">
        <v>10876</v>
      </c>
      <c r="G1359" t="s">
        <v>15271</v>
      </c>
      <c r="H1359" t="s">
        <v>19706</v>
      </c>
    </row>
    <row r="1360" spans="6:8">
      <c r="F1360" t="s">
        <v>10877</v>
      </c>
      <c r="G1360" t="s">
        <v>15272</v>
      </c>
      <c r="H1360" t="s">
        <v>19706</v>
      </c>
    </row>
    <row r="1361" spans="6:8">
      <c r="F1361" t="s">
        <v>10878</v>
      </c>
      <c r="G1361" t="s">
        <v>15273</v>
      </c>
      <c r="H1361" t="s">
        <v>19707</v>
      </c>
    </row>
    <row r="1362" spans="6:8">
      <c r="F1362" t="s">
        <v>10879</v>
      </c>
      <c r="G1362" t="s">
        <v>15274</v>
      </c>
      <c r="H1362" t="s">
        <v>19707</v>
      </c>
    </row>
    <row r="1363" spans="6:8">
      <c r="F1363" t="s">
        <v>10880</v>
      </c>
      <c r="G1363" t="s">
        <v>15275</v>
      </c>
      <c r="H1363" t="s">
        <v>19711</v>
      </c>
    </row>
    <row r="1364" spans="6:8">
      <c r="F1364" t="s">
        <v>10881</v>
      </c>
      <c r="G1364" t="s">
        <v>15276</v>
      </c>
      <c r="H1364" t="s">
        <v>19707</v>
      </c>
    </row>
    <row r="1365" spans="6:8">
      <c r="F1365" t="s">
        <v>10882</v>
      </c>
      <c r="G1365" t="s">
        <v>15277</v>
      </c>
      <c r="H1365" t="s">
        <v>19706</v>
      </c>
    </row>
    <row r="1366" spans="6:8">
      <c r="F1366" t="s">
        <v>10883</v>
      </c>
      <c r="G1366" t="s">
        <v>15278</v>
      </c>
      <c r="H1366" t="s">
        <v>19706</v>
      </c>
    </row>
    <row r="1367" spans="6:8">
      <c r="F1367" t="s">
        <v>10884</v>
      </c>
      <c r="G1367" t="s">
        <v>15279</v>
      </c>
      <c r="H1367" t="s">
        <v>19706</v>
      </c>
    </row>
    <row r="1368" spans="6:8">
      <c r="F1368" t="s">
        <v>10885</v>
      </c>
      <c r="G1368" t="s">
        <v>15280</v>
      </c>
      <c r="H1368" t="s">
        <v>19706</v>
      </c>
    </row>
    <row r="1369" spans="6:8">
      <c r="F1369" t="s">
        <v>10886</v>
      </c>
      <c r="G1369" t="s">
        <v>15281</v>
      </c>
      <c r="H1369" t="s">
        <v>19706</v>
      </c>
    </row>
    <row r="1370" spans="6:8">
      <c r="F1370" t="s">
        <v>10887</v>
      </c>
      <c r="G1370" t="s">
        <v>15282</v>
      </c>
      <c r="H1370" t="s">
        <v>19706</v>
      </c>
    </row>
    <row r="1371" spans="6:8">
      <c r="F1371" t="s">
        <v>10888</v>
      </c>
      <c r="G1371" t="s">
        <v>15283</v>
      </c>
      <c r="H1371" t="s">
        <v>19706</v>
      </c>
    </row>
    <row r="1372" spans="6:8">
      <c r="F1372" t="s">
        <v>10889</v>
      </c>
      <c r="G1372" t="s">
        <v>15284</v>
      </c>
      <c r="H1372" t="s">
        <v>19706</v>
      </c>
    </row>
    <row r="1373" spans="6:8">
      <c r="F1373" t="s">
        <v>10890</v>
      </c>
      <c r="G1373" t="s">
        <v>15285</v>
      </c>
      <c r="H1373" t="s">
        <v>19712</v>
      </c>
    </row>
    <row r="1374" spans="6:8">
      <c r="F1374" t="s">
        <v>10891</v>
      </c>
      <c r="G1374" t="s">
        <v>15286</v>
      </c>
      <c r="H1374" t="s">
        <v>19706</v>
      </c>
    </row>
    <row r="1375" spans="6:8">
      <c r="F1375" t="s">
        <v>10892</v>
      </c>
      <c r="G1375" t="s">
        <v>15287</v>
      </c>
      <c r="H1375" t="s">
        <v>19706</v>
      </c>
    </row>
    <row r="1376" spans="6:8">
      <c r="F1376" t="s">
        <v>10893</v>
      </c>
      <c r="G1376" t="s">
        <v>15288</v>
      </c>
      <c r="H1376" t="s">
        <v>19706</v>
      </c>
    </row>
    <row r="1377" spans="6:8">
      <c r="F1377" t="s">
        <v>10894</v>
      </c>
      <c r="G1377" t="s">
        <v>15289</v>
      </c>
      <c r="H1377" t="s">
        <v>19706</v>
      </c>
    </row>
    <row r="1378" spans="6:8">
      <c r="F1378" t="s">
        <v>10895</v>
      </c>
      <c r="G1378" t="s">
        <v>15290</v>
      </c>
      <c r="H1378" t="s">
        <v>19708</v>
      </c>
    </row>
    <row r="1379" spans="6:8">
      <c r="F1379" t="s">
        <v>10896</v>
      </c>
      <c r="G1379" t="s">
        <v>15291</v>
      </c>
      <c r="H1379" t="s">
        <v>19708</v>
      </c>
    </row>
    <row r="1380" spans="6:8">
      <c r="F1380" t="s">
        <v>10897</v>
      </c>
      <c r="G1380" t="s">
        <v>15292</v>
      </c>
      <c r="H1380" t="s">
        <v>19708</v>
      </c>
    </row>
    <row r="1381" spans="6:8">
      <c r="F1381" t="s">
        <v>10898</v>
      </c>
      <c r="G1381" t="s">
        <v>15293</v>
      </c>
      <c r="H1381" t="s">
        <v>19708</v>
      </c>
    </row>
    <row r="1382" spans="6:8">
      <c r="F1382" t="s">
        <v>10899</v>
      </c>
      <c r="G1382" t="s">
        <v>15294</v>
      </c>
      <c r="H1382" t="s">
        <v>19708</v>
      </c>
    </row>
    <row r="1383" spans="6:8">
      <c r="F1383" t="s">
        <v>10900</v>
      </c>
      <c r="G1383" t="s">
        <v>15295</v>
      </c>
      <c r="H1383" t="s">
        <v>19708</v>
      </c>
    </row>
    <row r="1384" spans="6:8">
      <c r="F1384" t="s">
        <v>10901</v>
      </c>
      <c r="G1384" t="s">
        <v>15296</v>
      </c>
      <c r="H1384" t="s">
        <v>19709</v>
      </c>
    </row>
    <row r="1385" spans="6:8">
      <c r="F1385" t="s">
        <v>10902</v>
      </c>
      <c r="G1385" t="s">
        <v>15297</v>
      </c>
      <c r="H1385" t="s">
        <v>19709</v>
      </c>
    </row>
    <row r="1386" spans="6:8">
      <c r="F1386" t="s">
        <v>10903</v>
      </c>
      <c r="G1386" t="s">
        <v>15298</v>
      </c>
      <c r="H1386" t="s">
        <v>19711</v>
      </c>
    </row>
    <row r="1387" spans="6:8">
      <c r="F1387" t="s">
        <v>10904</v>
      </c>
      <c r="G1387" t="s">
        <v>15299</v>
      </c>
      <c r="H1387" t="s">
        <v>19711</v>
      </c>
    </row>
    <row r="1388" spans="6:8">
      <c r="F1388" t="s">
        <v>10905</v>
      </c>
      <c r="G1388" t="s">
        <v>15300</v>
      </c>
      <c r="H1388" t="s">
        <v>19711</v>
      </c>
    </row>
    <row r="1389" spans="6:8">
      <c r="F1389" t="s">
        <v>10906</v>
      </c>
      <c r="G1389" t="s">
        <v>15301</v>
      </c>
      <c r="H1389" t="s">
        <v>19711</v>
      </c>
    </row>
    <row r="1390" spans="6:8">
      <c r="F1390" t="s">
        <v>10907</v>
      </c>
      <c r="G1390" t="s">
        <v>15302</v>
      </c>
      <c r="H1390" t="s">
        <v>19711</v>
      </c>
    </row>
    <row r="1391" spans="6:8">
      <c r="F1391" t="s">
        <v>10908</v>
      </c>
      <c r="G1391" t="s">
        <v>15303</v>
      </c>
      <c r="H1391" t="s">
        <v>19711</v>
      </c>
    </row>
    <row r="1392" spans="6:8">
      <c r="F1392" t="s">
        <v>10909</v>
      </c>
      <c r="G1392" t="s">
        <v>15304</v>
      </c>
      <c r="H1392" t="s">
        <v>19711</v>
      </c>
    </row>
    <row r="1393" spans="6:8">
      <c r="F1393" t="s">
        <v>10910</v>
      </c>
      <c r="G1393" t="s">
        <v>15305</v>
      </c>
      <c r="H1393" t="s">
        <v>19711</v>
      </c>
    </row>
    <row r="1394" spans="6:8">
      <c r="F1394" t="s">
        <v>10911</v>
      </c>
      <c r="G1394" t="s">
        <v>15306</v>
      </c>
      <c r="H1394" t="s">
        <v>19711</v>
      </c>
    </row>
    <row r="1395" spans="6:8">
      <c r="F1395" t="s">
        <v>10912</v>
      </c>
      <c r="G1395" t="s">
        <v>15307</v>
      </c>
      <c r="H1395" t="s">
        <v>19711</v>
      </c>
    </row>
    <row r="1396" spans="6:8">
      <c r="F1396" t="s">
        <v>10913</v>
      </c>
      <c r="G1396" t="s">
        <v>15308</v>
      </c>
      <c r="H1396" t="s">
        <v>19712</v>
      </c>
    </row>
    <row r="1397" spans="6:8">
      <c r="F1397" t="s">
        <v>10914</v>
      </c>
      <c r="G1397" t="s">
        <v>15309</v>
      </c>
      <c r="H1397" t="s">
        <v>19711</v>
      </c>
    </row>
    <row r="1398" spans="6:8">
      <c r="F1398" t="s">
        <v>10915</v>
      </c>
      <c r="G1398" t="s">
        <v>15310</v>
      </c>
      <c r="H1398" t="s">
        <v>19706</v>
      </c>
    </row>
    <row r="1399" spans="6:8">
      <c r="F1399" t="s">
        <v>10916</v>
      </c>
      <c r="G1399" t="s">
        <v>15311</v>
      </c>
      <c r="H1399" t="s">
        <v>19706</v>
      </c>
    </row>
    <row r="1400" spans="6:8">
      <c r="F1400" t="s">
        <v>10917</v>
      </c>
      <c r="G1400" t="s">
        <v>15312</v>
      </c>
      <c r="H1400" t="s">
        <v>19706</v>
      </c>
    </row>
    <row r="1401" spans="6:8">
      <c r="F1401" t="s">
        <v>10918</v>
      </c>
      <c r="G1401" t="s">
        <v>15313</v>
      </c>
      <c r="H1401" t="s">
        <v>19706</v>
      </c>
    </row>
    <row r="1402" spans="6:8">
      <c r="F1402" t="s">
        <v>10919</v>
      </c>
      <c r="G1402" t="s">
        <v>15314</v>
      </c>
      <c r="H1402" t="s">
        <v>19707</v>
      </c>
    </row>
    <row r="1403" spans="6:8">
      <c r="F1403" t="s">
        <v>10920</v>
      </c>
      <c r="G1403" t="s">
        <v>15315</v>
      </c>
      <c r="H1403" t="s">
        <v>19707</v>
      </c>
    </row>
    <row r="1404" spans="6:8">
      <c r="F1404" t="s">
        <v>10921</v>
      </c>
      <c r="G1404" t="s">
        <v>15316</v>
      </c>
      <c r="H1404" t="s">
        <v>19706</v>
      </c>
    </row>
    <row r="1405" spans="6:8">
      <c r="F1405" t="s">
        <v>10922</v>
      </c>
      <c r="G1405" t="s">
        <v>15317</v>
      </c>
      <c r="H1405" t="s">
        <v>19706</v>
      </c>
    </row>
    <row r="1406" spans="6:8">
      <c r="F1406" t="s">
        <v>10923</v>
      </c>
      <c r="G1406" t="s">
        <v>15318</v>
      </c>
      <c r="H1406" t="s">
        <v>19711</v>
      </c>
    </row>
    <row r="1407" spans="6:8">
      <c r="F1407" t="s">
        <v>10924</v>
      </c>
      <c r="G1407" t="s">
        <v>15319</v>
      </c>
      <c r="H1407" t="s">
        <v>19711</v>
      </c>
    </row>
    <row r="1408" spans="6:8">
      <c r="F1408" t="s">
        <v>10925</v>
      </c>
      <c r="G1408" t="s">
        <v>15320</v>
      </c>
      <c r="H1408" t="s">
        <v>19711</v>
      </c>
    </row>
    <row r="1409" spans="1:8">
      <c r="F1409" t="s">
        <v>10926</v>
      </c>
      <c r="G1409" t="s">
        <v>15321</v>
      </c>
      <c r="H1409" t="s">
        <v>19708</v>
      </c>
    </row>
    <row r="1410" spans="1:8">
      <c r="F1410" t="s">
        <v>10927</v>
      </c>
      <c r="G1410" t="s">
        <v>15322</v>
      </c>
      <c r="H1410" t="s">
        <v>19708</v>
      </c>
    </row>
    <row r="1411" spans="1:8">
      <c r="F1411" t="s">
        <v>10928</v>
      </c>
      <c r="G1411" t="s">
        <v>15323</v>
      </c>
      <c r="H1411" t="s">
        <v>19706</v>
      </c>
    </row>
    <row r="1412" spans="1:8">
      <c r="F1412" t="s">
        <v>10929</v>
      </c>
      <c r="G1412" t="s">
        <v>15324</v>
      </c>
      <c r="H1412" t="s">
        <v>19706</v>
      </c>
    </row>
    <row r="1413" spans="1:8">
      <c r="F1413" t="s">
        <v>10930</v>
      </c>
      <c r="G1413" t="s">
        <v>15325</v>
      </c>
      <c r="H1413" t="s">
        <v>19709</v>
      </c>
    </row>
    <row r="1414" spans="1:8">
      <c r="F1414" t="s">
        <v>10931</v>
      </c>
      <c r="G1414" t="s">
        <v>15326</v>
      </c>
      <c r="H1414" t="s">
        <v>19709</v>
      </c>
    </row>
    <row r="1415" spans="1:8">
      <c r="F1415" t="s">
        <v>10932</v>
      </c>
      <c r="G1415" t="s">
        <v>15327</v>
      </c>
      <c r="H1415" t="s">
        <v>19706</v>
      </c>
    </row>
    <row r="1416" spans="1:8">
      <c r="F1416" t="s">
        <v>10933</v>
      </c>
      <c r="G1416" t="s">
        <v>15328</v>
      </c>
      <c r="H1416" t="s">
        <v>19706</v>
      </c>
    </row>
    <row r="1417" spans="1:8">
      <c r="A1417" t="s">
        <v>270</v>
      </c>
      <c r="B1417">
        <f>HYPERLINK("https://android.googlesource.com/platform/cts/+/56f494ed9757c19bf9db6c608d66f9202b63a4ac", "56f494ed9757c19bf9db6c608d66f9202b63a4ac")</f>
        <v>0</v>
      </c>
      <c r="C1417">
        <f>HYPERLINK("https://android.googlesource.com/platform/cts/+/4fda9ca3a281ea399282a3fb080c77dbdbb723bd", "4fda9ca3a281ea399282a3fb080c77dbdbb723bd")</f>
        <v>0</v>
      </c>
      <c r="D1417" t="s">
        <v>4966</v>
      </c>
      <c r="E1417" t="s">
        <v>6067</v>
      </c>
      <c r="F1417" t="s">
        <v>10847</v>
      </c>
      <c r="G1417" t="s">
        <v>15242</v>
      </c>
      <c r="H1417" t="s">
        <v>19713</v>
      </c>
    </row>
    <row r="1418" spans="1:8">
      <c r="H1418" t="s">
        <v>19714</v>
      </c>
    </row>
    <row r="1419" spans="1:8">
      <c r="A1419" t="s">
        <v>271</v>
      </c>
      <c r="B1419">
        <f>HYPERLINK("https://android.googlesource.com/platform/cts/+/40fbbf16e3e741950e337bcb3435de670dbe502d", "40fbbf16e3e741950e337bcb3435de670dbe502d")</f>
        <v>0</v>
      </c>
      <c r="C1419">
        <f>HYPERLINK("https://android.googlesource.com/platform/cts/+/4081e7b9b8e3a522e1f5e99b7622b3afa3df083f", "4081e7b9b8e3a522e1f5e99b7622b3afa3df083f")</f>
        <v>0</v>
      </c>
      <c r="D1419" t="s">
        <v>4967</v>
      </c>
      <c r="E1419" t="s">
        <v>6068</v>
      </c>
      <c r="F1419" t="s">
        <v>10679</v>
      </c>
      <c r="G1419" t="s">
        <v>15079</v>
      </c>
      <c r="H1419" t="s">
        <v>19715</v>
      </c>
    </row>
    <row r="1420" spans="1:8">
      <c r="H1420" t="s">
        <v>19716</v>
      </c>
    </row>
    <row r="1421" spans="1:8">
      <c r="A1421" t="s">
        <v>272</v>
      </c>
      <c r="B1421">
        <f>HYPERLINK("https://android.googlesource.com/platform/cts/+/53e68a3707bd017f69eec7a75c1cbd5513cb96ef", "53e68a3707bd017f69eec7a75c1cbd5513cb96ef")</f>
        <v>0</v>
      </c>
      <c r="C1421">
        <f>HYPERLINK("https://android.googlesource.com/platform/cts/+/0eb514e51fe09ac08a504494319a720045274393", "0eb514e51fe09ac08a504494319a720045274393")</f>
        <v>0</v>
      </c>
      <c r="D1421" t="s">
        <v>4932</v>
      </c>
      <c r="E1421" t="s">
        <v>6069</v>
      </c>
      <c r="F1421" t="s">
        <v>10747</v>
      </c>
      <c r="G1421" t="s">
        <v>15129</v>
      </c>
      <c r="H1421" t="s">
        <v>19717</v>
      </c>
    </row>
    <row r="1422" spans="1:8">
      <c r="A1422" t="s">
        <v>273</v>
      </c>
      <c r="B1422">
        <f>HYPERLINK("https://android.googlesource.com/platform/cts/+/cf4b7436f9264b918abd49415de1c4eceb298bb3", "cf4b7436f9264b918abd49415de1c4eceb298bb3")</f>
        <v>0</v>
      </c>
      <c r="C1422">
        <f>HYPERLINK("https://android.googlesource.com/platform/cts/+/5f5688987fe6049a7ac116fa588bbe8cd00c7858", "5f5688987fe6049a7ac116fa588bbe8cd00c7858")</f>
        <v>0</v>
      </c>
      <c r="D1422" t="s">
        <v>4941</v>
      </c>
      <c r="E1422" t="s">
        <v>6070</v>
      </c>
      <c r="F1422" t="s">
        <v>10593</v>
      </c>
      <c r="G1422" t="s">
        <v>14996</v>
      </c>
      <c r="H1422" t="s">
        <v>19718</v>
      </c>
    </row>
    <row r="1423" spans="1:8">
      <c r="A1423" t="s">
        <v>274</v>
      </c>
      <c r="B1423">
        <f>HYPERLINK("https://android.googlesource.com/platform/cts/+/fcfd502de1270c2d5565b386799240d9b68c2df5", "fcfd502de1270c2d5565b386799240d9b68c2df5")</f>
        <v>0</v>
      </c>
      <c r="C1423">
        <f>HYPERLINK("https://android.googlesource.com/platform/cts/+/2c483d9492ac6014faea10f14b2f2743c081b75d", "2c483d9492ac6014faea10f14b2f2743c081b75d")</f>
        <v>0</v>
      </c>
      <c r="D1423" t="s">
        <v>4967</v>
      </c>
      <c r="E1423" t="s">
        <v>6071</v>
      </c>
      <c r="F1423" t="s">
        <v>10678</v>
      </c>
      <c r="G1423" t="s">
        <v>15078</v>
      </c>
      <c r="H1423" t="s">
        <v>19719</v>
      </c>
    </row>
    <row r="1424" spans="1:8">
      <c r="A1424" t="s">
        <v>275</v>
      </c>
      <c r="B1424">
        <f>HYPERLINK("https://android.googlesource.com/platform/cts/+/18dae332020a4123392230cac2ea609d4a895a01", "18dae332020a4123392230cac2ea609d4a895a01")</f>
        <v>0</v>
      </c>
      <c r="C1424">
        <f>HYPERLINK("https://android.googlesource.com/platform/cts/+/33a1e5c6c64d246d27f4a8166586c7b846ad6784", "33a1e5c6c64d246d27f4a8166586c7b846ad6784")</f>
        <v>0</v>
      </c>
      <c r="D1424" t="s">
        <v>4941</v>
      </c>
      <c r="E1424" t="s">
        <v>6072</v>
      </c>
      <c r="F1424" t="s">
        <v>10934</v>
      </c>
      <c r="G1424" t="s">
        <v>15329</v>
      </c>
      <c r="H1424" t="s">
        <v>19720</v>
      </c>
    </row>
    <row r="1425" spans="1:8">
      <c r="H1425" t="s">
        <v>19721</v>
      </c>
    </row>
    <row r="1426" spans="1:8">
      <c r="H1426" t="s">
        <v>19722</v>
      </c>
    </row>
    <row r="1427" spans="1:8">
      <c r="H1427" t="s">
        <v>19723</v>
      </c>
    </row>
    <row r="1428" spans="1:8">
      <c r="A1428" t="s">
        <v>276</v>
      </c>
      <c r="B1428">
        <f>HYPERLINK("https://android.googlesource.com/platform/cts/+/2d73ba06837c5aa3be3f25ea8f9ff240f6dce494", "2d73ba06837c5aa3be3f25ea8f9ff240f6dce494")</f>
        <v>0</v>
      </c>
      <c r="C1428">
        <f>HYPERLINK("https://android.googlesource.com/platform/cts/+/8369f1dd52e7f686efa039cb464eeb2e0e7ff474", "8369f1dd52e7f686efa039cb464eeb2e0e7ff474")</f>
        <v>0</v>
      </c>
      <c r="D1428" t="s">
        <v>4968</v>
      </c>
      <c r="E1428" t="s">
        <v>6073</v>
      </c>
      <c r="F1428" t="s">
        <v>10935</v>
      </c>
      <c r="G1428" t="s">
        <v>15330</v>
      </c>
      <c r="H1428" t="s">
        <v>19724</v>
      </c>
    </row>
    <row r="1429" spans="1:8">
      <c r="A1429" t="s">
        <v>277</v>
      </c>
      <c r="B1429">
        <f>HYPERLINK("https://android.googlesource.com/platform/cts/+/fad0a7c7d74d90e9612e925ba167587881eb1984", "fad0a7c7d74d90e9612e925ba167587881eb1984")</f>
        <v>0</v>
      </c>
      <c r="C1429">
        <f>HYPERLINK("https://android.googlesource.com/platform/cts/+/584c94429c75d2691e67997120076979161d548f", "584c94429c75d2691e67997120076979161d548f")</f>
        <v>0</v>
      </c>
      <c r="D1429" t="s">
        <v>4932</v>
      </c>
      <c r="E1429" t="s">
        <v>6074</v>
      </c>
      <c r="F1429" t="s">
        <v>10747</v>
      </c>
      <c r="G1429" t="s">
        <v>15129</v>
      </c>
      <c r="H1429" t="s">
        <v>19239</v>
      </c>
    </row>
    <row r="1430" spans="1:8">
      <c r="F1430" t="s">
        <v>10936</v>
      </c>
      <c r="G1430" t="s">
        <v>15331</v>
      </c>
      <c r="H1430" t="s">
        <v>19166</v>
      </c>
    </row>
    <row r="1431" spans="1:8">
      <c r="H1431" t="s">
        <v>19725</v>
      </c>
    </row>
    <row r="1432" spans="1:8">
      <c r="H1432" t="s">
        <v>19726</v>
      </c>
    </row>
    <row r="1433" spans="1:8">
      <c r="H1433" t="s">
        <v>19727</v>
      </c>
    </row>
    <row r="1434" spans="1:8">
      <c r="H1434" t="s">
        <v>19728</v>
      </c>
    </row>
    <row r="1435" spans="1:8">
      <c r="H1435" t="s">
        <v>19168</v>
      </c>
    </row>
    <row r="1436" spans="1:8">
      <c r="F1436" t="s">
        <v>10937</v>
      </c>
      <c r="G1436" t="s">
        <v>15332</v>
      </c>
      <c r="H1436" t="s">
        <v>19729</v>
      </c>
    </row>
    <row r="1437" spans="1:8">
      <c r="H1437" t="s">
        <v>19730</v>
      </c>
    </row>
    <row r="1438" spans="1:8">
      <c r="H1438" t="s">
        <v>19731</v>
      </c>
    </row>
    <row r="1439" spans="1:8">
      <c r="H1439" t="s">
        <v>19732</v>
      </c>
    </row>
    <row r="1440" spans="1:8">
      <c r="H1440" t="s">
        <v>19174</v>
      </c>
    </row>
    <row r="1441" spans="1:8">
      <c r="A1441" t="s">
        <v>278</v>
      </c>
      <c r="B1441">
        <f>HYPERLINK("https://android.googlesource.com/platform/cts/+/3c64686bc8fe2d681500c432ae1a6b4602c83f77", "3c64686bc8fe2d681500c432ae1a6b4602c83f77")</f>
        <v>0</v>
      </c>
      <c r="C1441">
        <f>HYPERLINK("https://android.googlesource.com/platform/cts/+/d55865381528ec3040696d76e1532f09840c133c", "d55865381528ec3040696d76e1532f09840c133c")</f>
        <v>0</v>
      </c>
      <c r="D1441" t="s">
        <v>4932</v>
      </c>
      <c r="E1441" t="s">
        <v>6075</v>
      </c>
      <c r="F1441" t="s">
        <v>10938</v>
      </c>
      <c r="G1441" t="s">
        <v>14992</v>
      </c>
      <c r="H1441" t="s">
        <v>19733</v>
      </c>
    </row>
    <row r="1442" spans="1:8">
      <c r="H1442" t="s">
        <v>19734</v>
      </c>
    </row>
    <row r="1443" spans="1:8">
      <c r="H1443" t="s">
        <v>19735</v>
      </c>
    </row>
    <row r="1444" spans="1:8">
      <c r="H1444" t="s">
        <v>19736</v>
      </c>
    </row>
    <row r="1445" spans="1:8">
      <c r="F1445" t="s">
        <v>10939</v>
      </c>
      <c r="G1445" t="s">
        <v>15333</v>
      </c>
      <c r="H1445" t="s">
        <v>19737</v>
      </c>
    </row>
    <row r="1446" spans="1:8">
      <c r="H1446" t="s">
        <v>19738</v>
      </c>
    </row>
    <row r="1447" spans="1:8">
      <c r="A1447" t="s">
        <v>279</v>
      </c>
      <c r="B1447">
        <f>HYPERLINK("https://android.googlesource.com/platform/cts/+/b7918376fd81f6e4a2e948e2a4929593183bdd17", "b7918376fd81f6e4a2e948e2a4929593183bdd17")</f>
        <v>0</v>
      </c>
      <c r="C1447">
        <f>HYPERLINK("https://android.googlesource.com/platform/cts/+/99d96c4d0dfd06422f4f9a15494fb460e72fe074", "99d96c4d0dfd06422f4f9a15494fb460e72fe074")</f>
        <v>0</v>
      </c>
      <c r="D1447" t="s">
        <v>4932</v>
      </c>
      <c r="E1447" t="s">
        <v>6076</v>
      </c>
      <c r="F1447" t="s">
        <v>10728</v>
      </c>
      <c r="G1447" t="s">
        <v>15334</v>
      </c>
      <c r="H1447" t="s">
        <v>19739</v>
      </c>
    </row>
    <row r="1448" spans="1:8">
      <c r="H1448" t="s">
        <v>19740</v>
      </c>
    </row>
    <row r="1449" spans="1:8">
      <c r="H1449" t="s">
        <v>19741</v>
      </c>
    </row>
    <row r="1450" spans="1:8">
      <c r="H1450" t="s">
        <v>19742</v>
      </c>
    </row>
    <row r="1451" spans="1:8">
      <c r="H1451" t="s">
        <v>19743</v>
      </c>
    </row>
    <row r="1452" spans="1:8">
      <c r="H1452" t="s">
        <v>19744</v>
      </c>
    </row>
    <row r="1453" spans="1:8">
      <c r="H1453" t="s">
        <v>19745</v>
      </c>
    </row>
    <row r="1454" spans="1:8">
      <c r="H1454" t="s">
        <v>19746</v>
      </c>
    </row>
    <row r="1455" spans="1:8">
      <c r="A1455" t="s">
        <v>280</v>
      </c>
      <c r="B1455">
        <f>HYPERLINK("https://android.googlesource.com/platform/cts/+/c51a350bf01d6880e70b4381eaa82fec3c72975e", "c51a350bf01d6880e70b4381eaa82fec3c72975e")</f>
        <v>0</v>
      </c>
      <c r="C1455">
        <f>HYPERLINK("https://android.googlesource.com/platform/cts/+/b7918376fd81f6e4a2e948e2a4929593183bdd17", "b7918376fd81f6e4a2e948e2a4929593183bdd17")</f>
        <v>0</v>
      </c>
      <c r="D1455" t="s">
        <v>4932</v>
      </c>
      <c r="E1455" t="s">
        <v>6077</v>
      </c>
      <c r="F1455" t="s">
        <v>10940</v>
      </c>
      <c r="G1455" t="s">
        <v>15335</v>
      </c>
      <c r="H1455" t="s">
        <v>19747</v>
      </c>
    </row>
    <row r="1456" spans="1:8">
      <c r="H1456" t="s">
        <v>19748</v>
      </c>
    </row>
    <row r="1457" spans="1:8">
      <c r="A1457" t="s">
        <v>281</v>
      </c>
      <c r="B1457">
        <f>HYPERLINK("https://android.googlesource.com/platform/cts/+/303242dd6675eb7e4f82c0309576faffb48ba921", "303242dd6675eb7e4f82c0309576faffb48ba921")</f>
        <v>0</v>
      </c>
      <c r="C1457">
        <f>HYPERLINK("https://android.googlesource.com/platform/cts/+/c51a350bf01d6880e70b4381eaa82fec3c72975e", "c51a350bf01d6880e70b4381eaa82fec3c72975e")</f>
        <v>0</v>
      </c>
      <c r="D1457" t="s">
        <v>4932</v>
      </c>
      <c r="E1457" t="s">
        <v>6078</v>
      </c>
      <c r="F1457" t="s">
        <v>10941</v>
      </c>
      <c r="G1457" t="s">
        <v>15336</v>
      </c>
      <c r="H1457" t="s">
        <v>19749</v>
      </c>
    </row>
    <row r="1458" spans="1:8">
      <c r="H1458" t="s">
        <v>19750</v>
      </c>
    </row>
    <row r="1459" spans="1:8">
      <c r="H1459" t="s">
        <v>19743</v>
      </c>
    </row>
    <row r="1460" spans="1:8">
      <c r="A1460" t="s">
        <v>282</v>
      </c>
      <c r="B1460">
        <f>HYPERLINK("https://android.googlesource.com/platform/cts/+/1569c2021bb6328de6a21bacfad3941789c49deb", "1569c2021bb6328de6a21bacfad3941789c49deb")</f>
        <v>0</v>
      </c>
      <c r="C1460">
        <f>HYPERLINK("https://android.googlesource.com/platform/cts/+/dc612d65bdd40b8f206b78cfe758b8496391d674", "dc612d65bdd40b8f206b78cfe758b8496391d674")</f>
        <v>0</v>
      </c>
      <c r="D1460" t="s">
        <v>4932</v>
      </c>
      <c r="E1460" t="s">
        <v>6079</v>
      </c>
      <c r="F1460" t="s">
        <v>10942</v>
      </c>
      <c r="G1460" t="s">
        <v>14991</v>
      </c>
      <c r="H1460" t="s">
        <v>19734</v>
      </c>
    </row>
    <row r="1461" spans="1:8">
      <c r="F1461" t="s">
        <v>10938</v>
      </c>
      <c r="G1461" t="s">
        <v>14992</v>
      </c>
      <c r="H1461" t="s">
        <v>19738</v>
      </c>
    </row>
    <row r="1462" spans="1:8">
      <c r="H1462" t="s">
        <v>19738</v>
      </c>
    </row>
    <row r="1463" spans="1:8">
      <c r="F1463" t="s">
        <v>10943</v>
      </c>
      <c r="G1463" t="s">
        <v>14995</v>
      </c>
      <c r="H1463" t="s">
        <v>19738</v>
      </c>
    </row>
    <row r="1464" spans="1:8">
      <c r="A1464" t="s">
        <v>283</v>
      </c>
      <c r="B1464">
        <f>HYPERLINK("https://android.googlesource.com/platform/cts/+/27a84563508815d6d2652a0dfe17a118daccb2bd", "27a84563508815d6d2652a0dfe17a118daccb2bd")</f>
        <v>0</v>
      </c>
      <c r="C1464">
        <f>HYPERLINK("https://android.googlesource.com/platform/cts/+/99d96c4d0dfd06422f4f9a15494fb460e72fe074", "99d96c4d0dfd06422f4f9a15494fb460e72fe074")</f>
        <v>0</v>
      </c>
      <c r="D1464" t="s">
        <v>4949</v>
      </c>
      <c r="E1464" t="s">
        <v>6080</v>
      </c>
      <c r="F1464" t="s">
        <v>10720</v>
      </c>
      <c r="G1464" t="s">
        <v>15119</v>
      </c>
      <c r="H1464" t="s">
        <v>19751</v>
      </c>
    </row>
    <row r="1465" spans="1:8">
      <c r="H1465" t="s">
        <v>19752</v>
      </c>
    </row>
    <row r="1466" spans="1:8">
      <c r="H1466" t="s">
        <v>19753</v>
      </c>
    </row>
    <row r="1467" spans="1:8">
      <c r="H1467" t="s">
        <v>19754</v>
      </c>
    </row>
    <row r="1468" spans="1:8">
      <c r="H1468" t="s">
        <v>19755</v>
      </c>
    </row>
    <row r="1469" spans="1:8">
      <c r="H1469" t="s">
        <v>19756</v>
      </c>
    </row>
    <row r="1470" spans="1:8">
      <c r="H1470" t="s">
        <v>19757</v>
      </c>
    </row>
    <row r="1471" spans="1:8">
      <c r="H1471" t="s">
        <v>19496</v>
      </c>
    </row>
    <row r="1472" spans="1:8">
      <c r="A1472" t="s">
        <v>285</v>
      </c>
      <c r="B1472">
        <f>HYPERLINK("https://android.googlesource.com/platform/cts/+/358dc567fdf3b1d623659980f83c8085b702dc13", "358dc567fdf3b1d623659980f83c8085b702dc13")</f>
        <v>0</v>
      </c>
      <c r="C1472">
        <f>HYPERLINK("https://android.googlesource.com/platform/cts/+/64011e7a0c6eb6945db3730652db792978ebfda0", "64011e7a0c6eb6945db3730652db792978ebfda0")</f>
        <v>0</v>
      </c>
      <c r="D1472" t="s">
        <v>4932</v>
      </c>
      <c r="E1472" t="s">
        <v>6081</v>
      </c>
      <c r="F1472" t="s">
        <v>10748</v>
      </c>
      <c r="G1472" t="s">
        <v>15146</v>
      </c>
      <c r="H1472" t="s">
        <v>18829</v>
      </c>
    </row>
    <row r="1473" spans="1:8">
      <c r="H1473" t="s">
        <v>19758</v>
      </c>
    </row>
    <row r="1474" spans="1:8">
      <c r="H1474" t="s">
        <v>19759</v>
      </c>
    </row>
    <row r="1475" spans="1:8">
      <c r="A1475" t="s">
        <v>286</v>
      </c>
      <c r="B1475">
        <f>HYPERLINK("https://android.googlesource.com/platform/cts/+/bd3e510061d0d361dcbc3ced99bd6ce0cab63851", "bd3e510061d0d361dcbc3ced99bd6ce0cab63851")</f>
        <v>0</v>
      </c>
      <c r="C1475">
        <f>HYPERLINK("https://android.googlesource.com/platform/cts/+/358dc567fdf3b1d623659980f83c8085b702dc13", "358dc567fdf3b1d623659980f83c8085b702dc13")</f>
        <v>0</v>
      </c>
      <c r="D1475" t="s">
        <v>4932</v>
      </c>
      <c r="E1475" t="s">
        <v>6082</v>
      </c>
      <c r="F1475" t="s">
        <v>10747</v>
      </c>
      <c r="G1475" t="s">
        <v>15129</v>
      </c>
      <c r="H1475" t="s">
        <v>19760</v>
      </c>
    </row>
    <row r="1476" spans="1:8">
      <c r="A1476" t="s">
        <v>287</v>
      </c>
      <c r="B1476">
        <f>HYPERLINK("https://android.googlesource.com/platform/cts/+/0953b3b17e715550651689f5256aaa60663812dc", "0953b3b17e715550651689f5256aaa60663812dc")</f>
        <v>0</v>
      </c>
      <c r="C1476">
        <f>HYPERLINK("https://android.googlesource.com/platform/cts/+/8e88654143c3c8dacea2676d7cf8398b024aa136", "8e88654143c3c8dacea2676d7cf8398b024aa136")</f>
        <v>0</v>
      </c>
      <c r="D1476" t="s">
        <v>4932</v>
      </c>
      <c r="E1476" t="s">
        <v>6083</v>
      </c>
      <c r="F1476" t="s">
        <v>10748</v>
      </c>
      <c r="G1476" t="s">
        <v>15146</v>
      </c>
      <c r="H1476" t="s">
        <v>18829</v>
      </c>
    </row>
    <row r="1477" spans="1:8">
      <c r="H1477" t="s">
        <v>19758</v>
      </c>
    </row>
    <row r="1478" spans="1:8">
      <c r="H1478" t="s">
        <v>19759</v>
      </c>
    </row>
    <row r="1479" spans="1:8">
      <c r="A1479" t="s">
        <v>288</v>
      </c>
      <c r="B1479">
        <f>HYPERLINK("https://android.googlesource.com/platform/cts/+/74c8db916ac8add2d345a102494c523bf3e40e3f", "74c8db916ac8add2d345a102494c523bf3e40e3f")</f>
        <v>0</v>
      </c>
      <c r="C1479">
        <f>HYPERLINK("https://android.googlesource.com/platform/cts/+/0558876f5ad7f422b7261027dd3174dd64bf6b97", "0558876f5ad7f422b7261027dd3174dd64bf6b97")</f>
        <v>0</v>
      </c>
      <c r="D1479" t="s">
        <v>4931</v>
      </c>
      <c r="E1479" t="s">
        <v>6084</v>
      </c>
      <c r="F1479" t="s">
        <v>10744</v>
      </c>
      <c r="G1479" t="s">
        <v>15143</v>
      </c>
      <c r="H1479" t="s">
        <v>19761</v>
      </c>
    </row>
    <row r="1480" spans="1:8">
      <c r="A1480" t="s">
        <v>289</v>
      </c>
      <c r="B1480">
        <f>HYPERLINK("https://android.googlesource.com/platform/cts/+/770358ebdbafa73653cced292f5f77cdccfbe2aa", "770358ebdbafa73653cced292f5f77cdccfbe2aa")</f>
        <v>0</v>
      </c>
      <c r="C1480">
        <f>HYPERLINK("https://android.googlesource.com/platform/cts/+/b8d3f20481a799c704e204e560abefb0d363d49e", "b8d3f20481a799c704e204e560abefb0d363d49e")</f>
        <v>0</v>
      </c>
      <c r="D1480" t="s">
        <v>4932</v>
      </c>
      <c r="E1480" t="s">
        <v>6085</v>
      </c>
      <c r="F1480" t="s">
        <v>10944</v>
      </c>
      <c r="G1480" t="s">
        <v>15337</v>
      </c>
      <c r="H1480" t="s">
        <v>19762</v>
      </c>
    </row>
    <row r="1481" spans="1:8">
      <c r="H1481" t="s">
        <v>19763</v>
      </c>
    </row>
    <row r="1482" spans="1:8">
      <c r="A1482" t="s">
        <v>290</v>
      </c>
      <c r="B1482">
        <f>HYPERLINK("https://android.googlesource.com/platform/cts/+/0162547f44173f0604d8a80143c128d9892460a1", "0162547f44173f0604d8a80143c128d9892460a1")</f>
        <v>0</v>
      </c>
      <c r="C1482">
        <f>HYPERLINK("https://android.googlesource.com/platform/cts/+/9c372960dc7d6ceac1b397a3e3ed1ddc05c5784c", "9c372960dc7d6ceac1b397a3e3ed1ddc05c5784c")</f>
        <v>0</v>
      </c>
      <c r="D1482" t="s">
        <v>4970</v>
      </c>
      <c r="E1482" t="s">
        <v>6086</v>
      </c>
      <c r="F1482" t="s">
        <v>10945</v>
      </c>
      <c r="G1482" t="s">
        <v>15338</v>
      </c>
      <c r="H1482" t="s">
        <v>19764</v>
      </c>
    </row>
    <row r="1483" spans="1:8">
      <c r="F1483" t="s">
        <v>10687</v>
      </c>
      <c r="G1483" t="s">
        <v>15087</v>
      </c>
      <c r="H1483" t="s">
        <v>19765</v>
      </c>
    </row>
    <row r="1484" spans="1:8">
      <c r="F1484" t="s">
        <v>10946</v>
      </c>
      <c r="G1484" t="s">
        <v>15339</v>
      </c>
      <c r="H1484" t="s">
        <v>19766</v>
      </c>
    </row>
    <row r="1485" spans="1:8">
      <c r="H1485" t="s">
        <v>19767</v>
      </c>
    </row>
    <row r="1486" spans="1:8">
      <c r="F1486" t="s">
        <v>10947</v>
      </c>
      <c r="G1486" t="s">
        <v>15340</v>
      </c>
      <c r="H1486" t="s">
        <v>19766</v>
      </c>
    </row>
    <row r="1487" spans="1:8">
      <c r="H1487" t="s">
        <v>19767</v>
      </c>
    </row>
    <row r="1488" spans="1:8">
      <c r="A1488" t="s">
        <v>291</v>
      </c>
      <c r="B1488">
        <f>HYPERLINK("https://android.googlesource.com/platform/cts/+/8ed56018345305650eebe4069dbce0c8086a9d8d", "8ed56018345305650eebe4069dbce0c8086a9d8d")</f>
        <v>0</v>
      </c>
      <c r="C1488">
        <f>HYPERLINK("https://android.googlesource.com/platform/cts/+/9c372960dc7d6ceac1b397a3e3ed1ddc05c5784c", "9c372960dc7d6ceac1b397a3e3ed1ddc05c5784c")</f>
        <v>0</v>
      </c>
      <c r="D1488" t="s">
        <v>4952</v>
      </c>
      <c r="E1488" t="s">
        <v>6087</v>
      </c>
      <c r="F1488" t="s">
        <v>10723</v>
      </c>
      <c r="G1488" t="s">
        <v>15122</v>
      </c>
      <c r="H1488" t="s">
        <v>19768</v>
      </c>
    </row>
    <row r="1489" spans="1:8">
      <c r="H1489" t="s">
        <v>19769</v>
      </c>
    </row>
    <row r="1490" spans="1:8">
      <c r="H1490" t="s">
        <v>19770</v>
      </c>
    </row>
    <row r="1491" spans="1:8">
      <c r="H1491" t="s">
        <v>19771</v>
      </c>
    </row>
    <row r="1492" spans="1:8">
      <c r="H1492" t="s">
        <v>19772</v>
      </c>
    </row>
    <row r="1493" spans="1:8">
      <c r="H1493" t="s">
        <v>19773</v>
      </c>
    </row>
    <row r="1494" spans="1:8">
      <c r="H1494" t="s">
        <v>19774</v>
      </c>
    </row>
    <row r="1495" spans="1:8">
      <c r="H1495" t="s">
        <v>19775</v>
      </c>
    </row>
    <row r="1496" spans="1:8">
      <c r="H1496" t="s">
        <v>19776</v>
      </c>
    </row>
    <row r="1497" spans="1:8">
      <c r="H1497" t="s">
        <v>19777</v>
      </c>
    </row>
    <row r="1498" spans="1:8">
      <c r="H1498" t="s">
        <v>19778</v>
      </c>
    </row>
    <row r="1499" spans="1:8">
      <c r="A1499" t="s">
        <v>292</v>
      </c>
      <c r="B1499">
        <f>HYPERLINK("https://android.googlesource.com/platform/cts/+/e7cc8fd94d5bc32f5f70aa71aa8792376fd90b1f", "e7cc8fd94d5bc32f5f70aa71aa8792376fd90b1f")</f>
        <v>0</v>
      </c>
      <c r="C1499">
        <f>HYPERLINK("https://android.googlesource.com/platform/cts/+/3e5a7ea50aa94819ca8defb2b6e7b4b78d94af2b", "3e5a7ea50aa94819ca8defb2b6e7b4b78d94af2b")</f>
        <v>0</v>
      </c>
      <c r="D1499" t="s">
        <v>4941</v>
      </c>
      <c r="E1499" t="s">
        <v>6088</v>
      </c>
      <c r="F1499" t="s">
        <v>10587</v>
      </c>
      <c r="G1499" t="s">
        <v>14990</v>
      </c>
      <c r="H1499" t="s">
        <v>19779</v>
      </c>
    </row>
    <row r="1500" spans="1:8">
      <c r="H1500" t="s">
        <v>19780</v>
      </c>
    </row>
    <row r="1501" spans="1:8">
      <c r="H1501" t="s">
        <v>18927</v>
      </c>
    </row>
    <row r="1502" spans="1:8">
      <c r="H1502" t="s">
        <v>19781</v>
      </c>
    </row>
    <row r="1503" spans="1:8">
      <c r="F1503" t="s">
        <v>10588</v>
      </c>
      <c r="G1503" t="s">
        <v>14991</v>
      </c>
      <c r="H1503" t="s">
        <v>19364</v>
      </c>
    </row>
    <row r="1504" spans="1:8">
      <c r="H1504" t="s">
        <v>19782</v>
      </c>
    </row>
    <row r="1505" spans="8:8">
      <c r="H1505" t="s">
        <v>19783</v>
      </c>
    </row>
    <row r="1506" spans="8:8">
      <c r="H1506" t="s">
        <v>19784</v>
      </c>
    </row>
    <row r="1507" spans="8:8">
      <c r="H1507" t="s">
        <v>19785</v>
      </c>
    </row>
    <row r="1508" spans="8:8">
      <c r="H1508" t="s">
        <v>19786</v>
      </c>
    </row>
    <row r="1509" spans="8:8">
      <c r="H1509" t="s">
        <v>18931</v>
      </c>
    </row>
    <row r="1510" spans="8:8">
      <c r="H1510" t="s">
        <v>19538</v>
      </c>
    </row>
    <row r="1511" spans="8:8">
      <c r="H1511" t="s">
        <v>19787</v>
      </c>
    </row>
    <row r="1512" spans="8:8">
      <c r="H1512" t="s">
        <v>19788</v>
      </c>
    </row>
    <row r="1513" spans="8:8">
      <c r="H1513" t="s">
        <v>19744</v>
      </c>
    </row>
    <row r="1514" spans="8:8">
      <c r="H1514" t="s">
        <v>19789</v>
      </c>
    </row>
    <row r="1515" spans="8:8">
      <c r="H1515" t="s">
        <v>19790</v>
      </c>
    </row>
    <row r="1516" spans="8:8">
      <c r="H1516" t="s">
        <v>19665</v>
      </c>
    </row>
    <row r="1517" spans="8:8">
      <c r="H1517" t="s">
        <v>18822</v>
      </c>
    </row>
    <row r="1518" spans="8:8">
      <c r="H1518" t="s">
        <v>19791</v>
      </c>
    </row>
    <row r="1519" spans="8:8">
      <c r="H1519" t="s">
        <v>19792</v>
      </c>
    </row>
    <row r="1520" spans="8:8">
      <c r="H1520" t="s">
        <v>19793</v>
      </c>
    </row>
    <row r="1521" spans="6:8">
      <c r="H1521" t="s">
        <v>19794</v>
      </c>
    </row>
    <row r="1522" spans="6:8">
      <c r="H1522" t="s">
        <v>19795</v>
      </c>
    </row>
    <row r="1523" spans="6:8">
      <c r="H1523" t="s">
        <v>19796</v>
      </c>
    </row>
    <row r="1524" spans="6:8">
      <c r="H1524" t="s">
        <v>19797</v>
      </c>
    </row>
    <row r="1525" spans="6:8">
      <c r="H1525" t="s">
        <v>18927</v>
      </c>
    </row>
    <row r="1526" spans="6:8">
      <c r="H1526" t="s">
        <v>19798</v>
      </c>
    </row>
    <row r="1527" spans="6:8">
      <c r="H1527" t="s">
        <v>19799</v>
      </c>
    </row>
    <row r="1528" spans="6:8">
      <c r="H1528" t="s">
        <v>18927</v>
      </c>
    </row>
    <row r="1529" spans="6:8">
      <c r="H1529" t="s">
        <v>19781</v>
      </c>
    </row>
    <row r="1530" spans="6:8">
      <c r="H1530" t="s">
        <v>19663</v>
      </c>
    </row>
    <row r="1531" spans="6:8">
      <c r="H1531" t="s">
        <v>19800</v>
      </c>
    </row>
    <row r="1532" spans="6:8">
      <c r="H1532" t="s">
        <v>19801</v>
      </c>
    </row>
    <row r="1533" spans="6:8">
      <c r="H1533" t="s">
        <v>19802</v>
      </c>
    </row>
    <row r="1534" spans="6:8">
      <c r="H1534" t="s">
        <v>19803</v>
      </c>
    </row>
    <row r="1535" spans="6:8">
      <c r="H1535" t="s">
        <v>19804</v>
      </c>
    </row>
    <row r="1536" spans="6:8">
      <c r="F1536" t="s">
        <v>10589</v>
      </c>
      <c r="G1536" t="s">
        <v>14992</v>
      </c>
      <c r="H1536" t="s">
        <v>18924</v>
      </c>
    </row>
    <row r="1537" spans="8:8">
      <c r="H1537" t="s">
        <v>19805</v>
      </c>
    </row>
    <row r="1538" spans="8:8">
      <c r="H1538" t="s">
        <v>18931</v>
      </c>
    </row>
    <row r="1539" spans="8:8">
      <c r="H1539" t="s">
        <v>19790</v>
      </c>
    </row>
    <row r="1540" spans="8:8">
      <c r="H1540" t="s">
        <v>19806</v>
      </c>
    </row>
    <row r="1541" spans="8:8">
      <c r="H1541" t="s">
        <v>18961</v>
      </c>
    </row>
    <row r="1542" spans="8:8">
      <c r="H1542" t="s">
        <v>19230</v>
      </c>
    </row>
    <row r="1543" spans="8:8">
      <c r="H1543" t="s">
        <v>19807</v>
      </c>
    </row>
    <row r="1544" spans="8:8">
      <c r="H1544" t="s">
        <v>19808</v>
      </c>
    </row>
    <row r="1545" spans="8:8">
      <c r="H1545" t="s">
        <v>19809</v>
      </c>
    </row>
    <row r="1546" spans="8:8">
      <c r="H1546" t="s">
        <v>19799</v>
      </c>
    </row>
    <row r="1547" spans="8:8">
      <c r="H1547" t="s">
        <v>18927</v>
      </c>
    </row>
    <row r="1548" spans="8:8">
      <c r="H1548" t="s">
        <v>18927</v>
      </c>
    </row>
    <row r="1549" spans="8:8">
      <c r="H1549" t="s">
        <v>19800</v>
      </c>
    </row>
    <row r="1550" spans="8:8">
      <c r="H1550" t="s">
        <v>19801</v>
      </c>
    </row>
    <row r="1551" spans="8:8">
      <c r="H1551" t="s">
        <v>19802</v>
      </c>
    </row>
    <row r="1552" spans="8:8">
      <c r="H1552" t="s">
        <v>19803</v>
      </c>
    </row>
    <row r="1553" spans="6:8">
      <c r="H1553" t="s">
        <v>19804</v>
      </c>
    </row>
    <row r="1554" spans="6:8">
      <c r="F1554" t="s">
        <v>10948</v>
      </c>
      <c r="G1554" t="s">
        <v>15341</v>
      </c>
      <c r="H1554" t="s">
        <v>19810</v>
      </c>
    </row>
    <row r="1555" spans="6:8">
      <c r="H1555" t="s">
        <v>19811</v>
      </c>
    </row>
    <row r="1556" spans="6:8">
      <c r="H1556" t="s">
        <v>19029</v>
      </c>
    </row>
    <row r="1557" spans="6:8">
      <c r="H1557" t="s">
        <v>19812</v>
      </c>
    </row>
    <row r="1558" spans="6:8">
      <c r="H1558" t="s">
        <v>19813</v>
      </c>
    </row>
    <row r="1559" spans="6:8">
      <c r="H1559" t="s">
        <v>19790</v>
      </c>
    </row>
    <row r="1560" spans="6:8">
      <c r="H1560" t="s">
        <v>19814</v>
      </c>
    </row>
    <row r="1561" spans="6:8">
      <c r="F1561" t="s">
        <v>10585</v>
      </c>
      <c r="G1561" t="s">
        <v>14988</v>
      </c>
      <c r="H1561" t="s">
        <v>18927</v>
      </c>
    </row>
    <row r="1562" spans="6:8">
      <c r="H1562" t="s">
        <v>19815</v>
      </c>
    </row>
    <row r="1563" spans="6:8">
      <c r="H1563" t="s">
        <v>19816</v>
      </c>
    </row>
    <row r="1564" spans="6:8">
      <c r="H1564" t="s">
        <v>19816</v>
      </c>
    </row>
    <row r="1565" spans="6:8">
      <c r="H1565" t="s">
        <v>19817</v>
      </c>
    </row>
    <row r="1566" spans="6:8">
      <c r="H1566" t="s">
        <v>19818</v>
      </c>
    </row>
    <row r="1567" spans="6:8">
      <c r="H1567" t="s">
        <v>19232</v>
      </c>
    </row>
    <row r="1568" spans="6:8">
      <c r="H1568" t="s">
        <v>19819</v>
      </c>
    </row>
    <row r="1569" spans="8:8">
      <c r="H1569" t="s">
        <v>19820</v>
      </c>
    </row>
    <row r="1570" spans="8:8">
      <c r="H1570" t="s">
        <v>19821</v>
      </c>
    </row>
    <row r="1571" spans="8:8">
      <c r="H1571" t="s">
        <v>19822</v>
      </c>
    </row>
    <row r="1572" spans="8:8">
      <c r="H1572" t="s">
        <v>19823</v>
      </c>
    </row>
    <row r="1573" spans="8:8">
      <c r="H1573" t="s">
        <v>19824</v>
      </c>
    </row>
    <row r="1574" spans="8:8">
      <c r="H1574" t="s">
        <v>19825</v>
      </c>
    </row>
    <row r="1575" spans="8:8">
      <c r="H1575" t="s">
        <v>19826</v>
      </c>
    </row>
    <row r="1576" spans="8:8">
      <c r="H1576" t="s">
        <v>19827</v>
      </c>
    </row>
    <row r="1577" spans="8:8">
      <c r="H1577" t="s">
        <v>19828</v>
      </c>
    </row>
    <row r="1578" spans="8:8">
      <c r="H1578" t="s">
        <v>19819</v>
      </c>
    </row>
    <row r="1579" spans="8:8">
      <c r="H1579" t="s">
        <v>19821</v>
      </c>
    </row>
    <row r="1580" spans="8:8">
      <c r="H1580" t="s">
        <v>19820</v>
      </c>
    </row>
    <row r="1581" spans="8:8">
      <c r="H1581" t="s">
        <v>19829</v>
      </c>
    </row>
    <row r="1582" spans="8:8">
      <c r="H1582" t="s">
        <v>19830</v>
      </c>
    </row>
    <row r="1583" spans="8:8">
      <c r="H1583" t="s">
        <v>19831</v>
      </c>
    </row>
    <row r="1584" spans="8:8">
      <c r="H1584" t="s">
        <v>19832</v>
      </c>
    </row>
    <row r="1585" spans="8:8">
      <c r="H1585" t="s">
        <v>19833</v>
      </c>
    </row>
    <row r="1586" spans="8:8">
      <c r="H1586" t="s">
        <v>19834</v>
      </c>
    </row>
    <row r="1587" spans="8:8">
      <c r="H1587" t="s">
        <v>19835</v>
      </c>
    </row>
    <row r="1588" spans="8:8">
      <c r="H1588" t="s">
        <v>19836</v>
      </c>
    </row>
    <row r="1589" spans="8:8">
      <c r="H1589" t="s">
        <v>19837</v>
      </c>
    </row>
    <row r="1590" spans="8:8">
      <c r="H1590" t="s">
        <v>19838</v>
      </c>
    </row>
    <row r="1591" spans="8:8">
      <c r="H1591" t="s">
        <v>19839</v>
      </c>
    </row>
    <row r="1592" spans="8:8">
      <c r="H1592" t="s">
        <v>19840</v>
      </c>
    </row>
    <row r="1593" spans="8:8">
      <c r="H1593" t="s">
        <v>19841</v>
      </c>
    </row>
    <row r="1594" spans="8:8">
      <c r="H1594" t="s">
        <v>19842</v>
      </c>
    </row>
    <row r="1595" spans="8:8">
      <c r="H1595" t="s">
        <v>19843</v>
      </c>
    </row>
    <row r="1596" spans="8:8">
      <c r="H1596" t="s">
        <v>19844</v>
      </c>
    </row>
    <row r="1597" spans="8:8">
      <c r="H1597" t="s">
        <v>19845</v>
      </c>
    </row>
    <row r="1598" spans="8:8">
      <c r="H1598" t="s">
        <v>19846</v>
      </c>
    </row>
    <row r="1599" spans="8:8">
      <c r="H1599" t="s">
        <v>19847</v>
      </c>
    </row>
    <row r="1600" spans="8:8">
      <c r="H1600" t="s">
        <v>19848</v>
      </c>
    </row>
    <row r="1601" spans="8:8">
      <c r="H1601" t="s">
        <v>19849</v>
      </c>
    </row>
    <row r="1602" spans="8:8">
      <c r="H1602" t="s">
        <v>19850</v>
      </c>
    </row>
    <row r="1603" spans="8:8">
      <c r="H1603" t="s">
        <v>19851</v>
      </c>
    </row>
    <row r="1604" spans="8:8">
      <c r="H1604" t="s">
        <v>19852</v>
      </c>
    </row>
    <row r="1605" spans="8:8">
      <c r="H1605" t="s">
        <v>19853</v>
      </c>
    </row>
    <row r="1606" spans="8:8">
      <c r="H1606" t="s">
        <v>19854</v>
      </c>
    </row>
    <row r="1607" spans="8:8">
      <c r="H1607" t="s">
        <v>19855</v>
      </c>
    </row>
    <row r="1608" spans="8:8">
      <c r="H1608" t="s">
        <v>19856</v>
      </c>
    </row>
    <row r="1609" spans="8:8">
      <c r="H1609" t="s">
        <v>19857</v>
      </c>
    </row>
    <row r="1610" spans="8:8">
      <c r="H1610" t="s">
        <v>19858</v>
      </c>
    </row>
    <row r="1611" spans="8:8">
      <c r="H1611" t="s">
        <v>19859</v>
      </c>
    </row>
    <row r="1612" spans="8:8">
      <c r="H1612" t="s">
        <v>19860</v>
      </c>
    </row>
    <row r="1613" spans="8:8">
      <c r="H1613" t="s">
        <v>19861</v>
      </c>
    </row>
    <row r="1614" spans="8:8">
      <c r="H1614" t="s">
        <v>19862</v>
      </c>
    </row>
    <row r="1615" spans="8:8">
      <c r="H1615" t="s">
        <v>19863</v>
      </c>
    </row>
    <row r="1616" spans="8:8">
      <c r="H1616" t="s">
        <v>19864</v>
      </c>
    </row>
    <row r="1617" spans="8:8">
      <c r="H1617" t="s">
        <v>19865</v>
      </c>
    </row>
    <row r="1618" spans="8:8">
      <c r="H1618" t="s">
        <v>19866</v>
      </c>
    </row>
    <row r="1619" spans="8:8">
      <c r="H1619" t="s">
        <v>19867</v>
      </c>
    </row>
    <row r="1620" spans="8:8">
      <c r="H1620" t="s">
        <v>19868</v>
      </c>
    </row>
    <row r="1621" spans="8:8">
      <c r="H1621" t="s">
        <v>19869</v>
      </c>
    </row>
    <row r="1622" spans="8:8">
      <c r="H1622" t="s">
        <v>19870</v>
      </c>
    </row>
    <row r="1623" spans="8:8">
      <c r="H1623" t="s">
        <v>19871</v>
      </c>
    </row>
    <row r="1624" spans="8:8">
      <c r="H1624" t="s">
        <v>19872</v>
      </c>
    </row>
    <row r="1625" spans="8:8">
      <c r="H1625" t="s">
        <v>19873</v>
      </c>
    </row>
    <row r="1626" spans="8:8">
      <c r="H1626" t="s">
        <v>19874</v>
      </c>
    </row>
    <row r="1627" spans="8:8">
      <c r="H1627" t="s">
        <v>19875</v>
      </c>
    </row>
    <row r="1628" spans="8:8">
      <c r="H1628" t="s">
        <v>19876</v>
      </c>
    </row>
    <row r="1629" spans="8:8">
      <c r="H1629" t="s">
        <v>19877</v>
      </c>
    </row>
    <row r="1630" spans="8:8">
      <c r="H1630" t="s">
        <v>19858</v>
      </c>
    </row>
    <row r="1631" spans="8:8">
      <c r="H1631" t="s">
        <v>18929</v>
      </c>
    </row>
    <row r="1632" spans="8:8">
      <c r="H1632" t="s">
        <v>19878</v>
      </c>
    </row>
    <row r="1633" spans="8:8">
      <c r="H1633" t="s">
        <v>19485</v>
      </c>
    </row>
    <row r="1634" spans="8:8">
      <c r="H1634" t="s">
        <v>19879</v>
      </c>
    </row>
    <row r="1635" spans="8:8">
      <c r="H1635" t="s">
        <v>19880</v>
      </c>
    </row>
    <row r="1636" spans="8:8">
      <c r="H1636" t="s">
        <v>19881</v>
      </c>
    </row>
    <row r="1637" spans="8:8">
      <c r="H1637" t="s">
        <v>19882</v>
      </c>
    </row>
    <row r="1638" spans="8:8">
      <c r="H1638" t="s">
        <v>19883</v>
      </c>
    </row>
    <row r="1639" spans="8:8">
      <c r="H1639" t="s">
        <v>19884</v>
      </c>
    </row>
    <row r="1640" spans="8:8">
      <c r="H1640" t="s">
        <v>19885</v>
      </c>
    </row>
    <row r="1641" spans="8:8">
      <c r="H1641" t="s">
        <v>18927</v>
      </c>
    </row>
    <row r="1642" spans="8:8">
      <c r="H1642" t="s">
        <v>19426</v>
      </c>
    </row>
    <row r="1643" spans="8:8">
      <c r="H1643" t="s">
        <v>19426</v>
      </c>
    </row>
    <row r="1644" spans="8:8">
      <c r="H1644" t="s">
        <v>18954</v>
      </c>
    </row>
    <row r="1645" spans="8:8">
      <c r="H1645" t="s">
        <v>19886</v>
      </c>
    </row>
    <row r="1646" spans="8:8">
      <c r="H1646" t="s">
        <v>18927</v>
      </c>
    </row>
    <row r="1647" spans="8:8">
      <c r="H1647" t="s">
        <v>19887</v>
      </c>
    </row>
    <row r="1648" spans="8:8">
      <c r="H1648" t="s">
        <v>19888</v>
      </c>
    </row>
    <row r="1649" spans="8:8">
      <c r="H1649" t="s">
        <v>19889</v>
      </c>
    </row>
    <row r="1650" spans="8:8">
      <c r="H1650" t="s">
        <v>19819</v>
      </c>
    </row>
    <row r="1651" spans="8:8">
      <c r="H1651" t="s">
        <v>19890</v>
      </c>
    </row>
    <row r="1652" spans="8:8">
      <c r="H1652" t="s">
        <v>19891</v>
      </c>
    </row>
    <row r="1653" spans="8:8">
      <c r="H1653" t="s">
        <v>19892</v>
      </c>
    </row>
    <row r="1654" spans="8:8">
      <c r="H1654" t="s">
        <v>18819</v>
      </c>
    </row>
    <row r="1655" spans="8:8">
      <c r="H1655" t="s">
        <v>18820</v>
      </c>
    </row>
    <row r="1656" spans="8:8">
      <c r="H1656" t="s">
        <v>19893</v>
      </c>
    </row>
    <row r="1657" spans="8:8">
      <c r="H1657" t="s">
        <v>19821</v>
      </c>
    </row>
    <row r="1658" spans="8:8">
      <c r="H1658" t="s">
        <v>19820</v>
      </c>
    </row>
    <row r="1659" spans="8:8">
      <c r="H1659" t="s">
        <v>19894</v>
      </c>
    </row>
    <row r="1660" spans="8:8">
      <c r="H1660" t="s">
        <v>19895</v>
      </c>
    </row>
    <row r="1661" spans="8:8">
      <c r="H1661" t="s">
        <v>18821</v>
      </c>
    </row>
    <row r="1662" spans="8:8">
      <c r="H1662" t="s">
        <v>19820</v>
      </c>
    </row>
    <row r="1663" spans="8:8">
      <c r="H1663" t="s">
        <v>19896</v>
      </c>
    </row>
    <row r="1664" spans="8:8">
      <c r="H1664" t="s">
        <v>19895</v>
      </c>
    </row>
    <row r="1665" spans="8:8">
      <c r="H1665" t="s">
        <v>18821</v>
      </c>
    </row>
    <row r="1666" spans="8:8">
      <c r="H1666" t="s">
        <v>19809</v>
      </c>
    </row>
    <row r="1667" spans="8:8">
      <c r="H1667" t="s">
        <v>19820</v>
      </c>
    </row>
    <row r="1668" spans="8:8">
      <c r="H1668" t="s">
        <v>19897</v>
      </c>
    </row>
    <row r="1669" spans="8:8">
      <c r="H1669" t="s">
        <v>19898</v>
      </c>
    </row>
    <row r="1670" spans="8:8">
      <c r="H1670" t="s">
        <v>19899</v>
      </c>
    </row>
    <row r="1671" spans="8:8">
      <c r="H1671" t="s">
        <v>19900</v>
      </c>
    </row>
    <row r="1672" spans="8:8">
      <c r="H1672" t="s">
        <v>19901</v>
      </c>
    </row>
    <row r="1673" spans="8:8">
      <c r="H1673" t="s">
        <v>19426</v>
      </c>
    </row>
    <row r="1674" spans="8:8">
      <c r="H1674" t="s">
        <v>19902</v>
      </c>
    </row>
    <row r="1675" spans="8:8">
      <c r="H1675" t="s">
        <v>18954</v>
      </c>
    </row>
    <row r="1676" spans="8:8">
      <c r="H1676" t="s">
        <v>19903</v>
      </c>
    </row>
    <row r="1677" spans="8:8">
      <c r="H1677" t="s">
        <v>19904</v>
      </c>
    </row>
    <row r="1678" spans="8:8">
      <c r="H1678" t="s">
        <v>19905</v>
      </c>
    </row>
    <row r="1679" spans="8:8">
      <c r="H1679" t="s">
        <v>19905</v>
      </c>
    </row>
    <row r="1680" spans="8:8">
      <c r="H1680" t="s">
        <v>19906</v>
      </c>
    </row>
    <row r="1681" spans="8:8">
      <c r="H1681" t="s">
        <v>19907</v>
      </c>
    </row>
    <row r="1682" spans="8:8">
      <c r="H1682" t="s">
        <v>19908</v>
      </c>
    </row>
    <row r="1683" spans="8:8">
      <c r="H1683" t="s">
        <v>19909</v>
      </c>
    </row>
    <row r="1684" spans="8:8">
      <c r="H1684" t="s">
        <v>19910</v>
      </c>
    </row>
    <row r="1685" spans="8:8">
      <c r="H1685" t="s">
        <v>19911</v>
      </c>
    </row>
    <row r="1686" spans="8:8">
      <c r="H1686" t="s">
        <v>19912</v>
      </c>
    </row>
    <row r="1687" spans="8:8">
      <c r="H1687" t="s">
        <v>19912</v>
      </c>
    </row>
    <row r="1688" spans="8:8">
      <c r="H1688" t="s">
        <v>19913</v>
      </c>
    </row>
    <row r="1689" spans="8:8">
      <c r="H1689" t="s">
        <v>19914</v>
      </c>
    </row>
    <row r="1690" spans="8:8">
      <c r="H1690" t="s">
        <v>19800</v>
      </c>
    </row>
    <row r="1691" spans="8:8">
      <c r="H1691" t="s">
        <v>19802</v>
      </c>
    </row>
    <row r="1692" spans="8:8">
      <c r="H1692" t="s">
        <v>19804</v>
      </c>
    </row>
    <row r="1693" spans="8:8">
      <c r="H1693" t="s">
        <v>19801</v>
      </c>
    </row>
    <row r="1694" spans="8:8">
      <c r="H1694" t="s">
        <v>19803</v>
      </c>
    </row>
    <row r="1695" spans="8:8">
      <c r="H1695" t="s">
        <v>19915</v>
      </c>
    </row>
    <row r="1696" spans="8:8">
      <c r="H1696" t="s">
        <v>19916</v>
      </c>
    </row>
    <row r="1697" spans="6:8">
      <c r="H1697" t="s">
        <v>19917</v>
      </c>
    </row>
    <row r="1698" spans="6:8">
      <c r="H1698" t="s">
        <v>19918</v>
      </c>
    </row>
    <row r="1699" spans="6:8">
      <c r="F1699" t="s">
        <v>10949</v>
      </c>
      <c r="G1699" t="s">
        <v>15342</v>
      </c>
      <c r="H1699" t="s">
        <v>19919</v>
      </c>
    </row>
    <row r="1700" spans="6:8">
      <c r="H1700" t="s">
        <v>19920</v>
      </c>
    </row>
    <row r="1701" spans="6:8">
      <c r="H1701" t="s">
        <v>19921</v>
      </c>
    </row>
    <row r="1702" spans="6:8">
      <c r="H1702" t="s">
        <v>19922</v>
      </c>
    </row>
    <row r="1703" spans="6:8">
      <c r="H1703" t="s">
        <v>19923</v>
      </c>
    </row>
    <row r="1704" spans="6:8">
      <c r="H1704" t="s">
        <v>19924</v>
      </c>
    </row>
    <row r="1705" spans="6:8">
      <c r="H1705" t="s">
        <v>19925</v>
      </c>
    </row>
    <row r="1706" spans="6:8">
      <c r="H1706" t="s">
        <v>19926</v>
      </c>
    </row>
    <row r="1707" spans="6:8">
      <c r="H1707" t="s">
        <v>19927</v>
      </c>
    </row>
    <row r="1708" spans="6:8">
      <c r="H1708" t="s">
        <v>19017</v>
      </c>
    </row>
    <row r="1709" spans="6:8">
      <c r="H1709" t="s">
        <v>19928</v>
      </c>
    </row>
    <row r="1710" spans="6:8">
      <c r="H1710" t="s">
        <v>19929</v>
      </c>
    </row>
    <row r="1711" spans="6:8">
      <c r="H1711" t="s">
        <v>19930</v>
      </c>
    </row>
    <row r="1712" spans="6:8">
      <c r="H1712" t="s">
        <v>19931</v>
      </c>
    </row>
    <row r="1713" spans="8:8">
      <c r="H1713" t="s">
        <v>19932</v>
      </c>
    </row>
    <row r="1714" spans="8:8">
      <c r="H1714" t="s">
        <v>18929</v>
      </c>
    </row>
    <row r="1715" spans="8:8">
      <c r="H1715" t="s">
        <v>19933</v>
      </c>
    </row>
    <row r="1716" spans="8:8">
      <c r="H1716" t="s">
        <v>19934</v>
      </c>
    </row>
    <row r="1717" spans="8:8">
      <c r="H1717" t="s">
        <v>18863</v>
      </c>
    </row>
    <row r="1718" spans="8:8">
      <c r="H1718" t="s">
        <v>19935</v>
      </c>
    </row>
    <row r="1719" spans="8:8">
      <c r="H1719" t="s">
        <v>19936</v>
      </c>
    </row>
    <row r="1720" spans="8:8">
      <c r="H1720" t="s">
        <v>19937</v>
      </c>
    </row>
    <row r="1721" spans="8:8">
      <c r="H1721" t="s">
        <v>19938</v>
      </c>
    </row>
    <row r="1722" spans="8:8">
      <c r="H1722" t="s">
        <v>19939</v>
      </c>
    </row>
    <row r="1723" spans="8:8">
      <c r="H1723" t="s">
        <v>19940</v>
      </c>
    </row>
    <row r="1724" spans="8:8">
      <c r="H1724" t="s">
        <v>19941</v>
      </c>
    </row>
    <row r="1725" spans="8:8">
      <c r="H1725" t="s">
        <v>19942</v>
      </c>
    </row>
    <row r="1726" spans="8:8">
      <c r="H1726" t="s">
        <v>19942</v>
      </c>
    </row>
    <row r="1727" spans="8:8">
      <c r="H1727" t="s">
        <v>19943</v>
      </c>
    </row>
    <row r="1728" spans="8:8">
      <c r="H1728" t="s">
        <v>19944</v>
      </c>
    </row>
    <row r="1729" spans="6:8">
      <c r="F1729" t="s">
        <v>10950</v>
      </c>
      <c r="G1729" t="s">
        <v>15343</v>
      </c>
      <c r="H1729" t="s">
        <v>19945</v>
      </c>
    </row>
    <row r="1730" spans="6:8">
      <c r="H1730" t="s">
        <v>19945</v>
      </c>
    </row>
    <row r="1731" spans="6:8">
      <c r="F1731" t="s">
        <v>10590</v>
      </c>
      <c r="G1731" t="s">
        <v>14993</v>
      </c>
      <c r="H1731" t="s">
        <v>19946</v>
      </c>
    </row>
    <row r="1732" spans="6:8">
      <c r="H1732" t="s">
        <v>19789</v>
      </c>
    </row>
    <row r="1733" spans="6:8">
      <c r="H1733" t="s">
        <v>19947</v>
      </c>
    </row>
    <row r="1734" spans="6:8">
      <c r="H1734" t="s">
        <v>19948</v>
      </c>
    </row>
    <row r="1735" spans="6:8">
      <c r="H1735" t="s">
        <v>18962</v>
      </c>
    </row>
    <row r="1736" spans="6:8">
      <c r="H1736" t="s">
        <v>19949</v>
      </c>
    </row>
    <row r="1737" spans="6:8">
      <c r="H1737" t="s">
        <v>19950</v>
      </c>
    </row>
    <row r="1738" spans="6:8">
      <c r="H1738" t="s">
        <v>19951</v>
      </c>
    </row>
    <row r="1739" spans="6:8">
      <c r="H1739" t="s">
        <v>19952</v>
      </c>
    </row>
    <row r="1740" spans="6:8">
      <c r="H1740" t="s">
        <v>19953</v>
      </c>
    </row>
    <row r="1741" spans="6:8">
      <c r="H1741" t="s">
        <v>19954</v>
      </c>
    </row>
    <row r="1742" spans="6:8">
      <c r="H1742" t="s">
        <v>19955</v>
      </c>
    </row>
    <row r="1743" spans="6:8">
      <c r="H1743" t="s">
        <v>19808</v>
      </c>
    </row>
    <row r="1744" spans="6:8">
      <c r="H1744" t="s">
        <v>19956</v>
      </c>
    </row>
    <row r="1745" spans="8:8">
      <c r="H1745" t="s">
        <v>19957</v>
      </c>
    </row>
    <row r="1746" spans="8:8">
      <c r="H1746" t="s">
        <v>19958</v>
      </c>
    </row>
    <row r="1747" spans="8:8">
      <c r="H1747" t="s">
        <v>19959</v>
      </c>
    </row>
    <row r="1748" spans="8:8">
      <c r="H1748" t="s">
        <v>19960</v>
      </c>
    </row>
    <row r="1749" spans="8:8">
      <c r="H1749" t="s">
        <v>19961</v>
      </c>
    </row>
    <row r="1750" spans="8:8">
      <c r="H1750" t="s">
        <v>19962</v>
      </c>
    </row>
    <row r="1751" spans="8:8">
      <c r="H1751" t="s">
        <v>19786</v>
      </c>
    </row>
    <row r="1752" spans="8:8">
      <c r="H1752" t="s">
        <v>19809</v>
      </c>
    </row>
    <row r="1753" spans="8:8">
      <c r="H1753" t="s">
        <v>19230</v>
      </c>
    </row>
    <row r="1754" spans="8:8">
      <c r="H1754" t="s">
        <v>19963</v>
      </c>
    </row>
    <row r="1755" spans="8:8">
      <c r="H1755" t="s">
        <v>19964</v>
      </c>
    </row>
    <row r="1756" spans="8:8">
      <c r="H1756" t="s">
        <v>19965</v>
      </c>
    </row>
    <row r="1757" spans="8:8">
      <c r="H1757" t="s">
        <v>19811</v>
      </c>
    </row>
    <row r="1758" spans="8:8">
      <c r="H1758" t="s">
        <v>19807</v>
      </c>
    </row>
    <row r="1759" spans="8:8">
      <c r="H1759" t="s">
        <v>18903</v>
      </c>
    </row>
    <row r="1760" spans="8:8">
      <c r="H1760" t="s">
        <v>19796</v>
      </c>
    </row>
    <row r="1761" spans="8:8">
      <c r="H1761" t="s">
        <v>19966</v>
      </c>
    </row>
    <row r="1762" spans="8:8">
      <c r="H1762" t="s">
        <v>19967</v>
      </c>
    </row>
    <row r="1763" spans="8:8">
      <c r="H1763" t="s">
        <v>18826</v>
      </c>
    </row>
    <row r="1764" spans="8:8">
      <c r="H1764" t="s">
        <v>19800</v>
      </c>
    </row>
    <row r="1765" spans="8:8">
      <c r="H1765" t="s">
        <v>19801</v>
      </c>
    </row>
    <row r="1766" spans="8:8">
      <c r="H1766" t="s">
        <v>19915</v>
      </c>
    </row>
    <row r="1767" spans="8:8">
      <c r="H1767" t="s">
        <v>19802</v>
      </c>
    </row>
    <row r="1768" spans="8:8">
      <c r="H1768" t="s">
        <v>19803</v>
      </c>
    </row>
    <row r="1769" spans="8:8">
      <c r="H1769" t="s">
        <v>19968</v>
      </c>
    </row>
    <row r="1770" spans="8:8">
      <c r="H1770" t="s">
        <v>19804</v>
      </c>
    </row>
    <row r="1771" spans="8:8">
      <c r="H1771" t="s">
        <v>19969</v>
      </c>
    </row>
    <row r="1772" spans="8:8">
      <c r="H1772" t="s">
        <v>19970</v>
      </c>
    </row>
    <row r="1773" spans="8:8">
      <c r="H1773" t="s">
        <v>19971</v>
      </c>
    </row>
    <row r="1774" spans="8:8">
      <c r="H1774" t="s">
        <v>19972</v>
      </c>
    </row>
    <row r="1775" spans="8:8">
      <c r="H1775" t="s">
        <v>19883</v>
      </c>
    </row>
    <row r="1776" spans="8:8">
      <c r="H1776" t="s">
        <v>19881</v>
      </c>
    </row>
    <row r="1777" spans="8:8">
      <c r="H1777" t="s">
        <v>19973</v>
      </c>
    </row>
    <row r="1778" spans="8:8">
      <c r="H1778" t="s">
        <v>19974</v>
      </c>
    </row>
    <row r="1779" spans="8:8">
      <c r="H1779" t="s">
        <v>19975</v>
      </c>
    </row>
    <row r="1780" spans="8:8">
      <c r="H1780" t="s">
        <v>19976</v>
      </c>
    </row>
    <row r="1781" spans="8:8">
      <c r="H1781" t="s">
        <v>19746</v>
      </c>
    </row>
    <row r="1782" spans="8:8">
      <c r="H1782" t="s">
        <v>19878</v>
      </c>
    </row>
    <row r="1783" spans="8:8">
      <c r="H1783" t="s">
        <v>19977</v>
      </c>
    </row>
    <row r="1784" spans="8:8">
      <c r="H1784" t="s">
        <v>19978</v>
      </c>
    </row>
    <row r="1785" spans="8:8">
      <c r="H1785" t="s">
        <v>19797</v>
      </c>
    </row>
    <row r="1786" spans="8:8">
      <c r="H1786" t="s">
        <v>18927</v>
      </c>
    </row>
    <row r="1787" spans="8:8">
      <c r="H1787" t="s">
        <v>19798</v>
      </c>
    </row>
    <row r="1788" spans="8:8">
      <c r="H1788" t="s">
        <v>19979</v>
      </c>
    </row>
    <row r="1789" spans="8:8">
      <c r="H1789" t="s">
        <v>19980</v>
      </c>
    </row>
    <row r="1790" spans="8:8">
      <c r="H1790" t="s">
        <v>18927</v>
      </c>
    </row>
    <row r="1791" spans="8:8">
      <c r="H1791" t="s">
        <v>19781</v>
      </c>
    </row>
    <row r="1792" spans="8:8">
      <c r="H1792" t="s">
        <v>19981</v>
      </c>
    </row>
    <row r="1793" spans="6:8">
      <c r="H1793" t="s">
        <v>19982</v>
      </c>
    </row>
    <row r="1794" spans="6:8">
      <c r="H1794" t="s">
        <v>18929</v>
      </c>
    </row>
    <row r="1795" spans="6:8">
      <c r="H1795" t="s">
        <v>19983</v>
      </c>
    </row>
    <row r="1796" spans="6:8">
      <c r="F1796" t="s">
        <v>10951</v>
      </c>
      <c r="G1796" t="s">
        <v>15331</v>
      </c>
      <c r="H1796" t="s">
        <v>19984</v>
      </c>
    </row>
    <row r="1797" spans="6:8">
      <c r="H1797" t="s">
        <v>19985</v>
      </c>
    </row>
    <row r="1798" spans="6:8">
      <c r="F1798" t="s">
        <v>10952</v>
      </c>
      <c r="G1798" t="s">
        <v>15344</v>
      </c>
      <c r="H1798" t="s">
        <v>19986</v>
      </c>
    </row>
    <row r="1799" spans="6:8">
      <c r="H1799" t="s">
        <v>19986</v>
      </c>
    </row>
    <row r="1800" spans="6:8">
      <c r="F1800" t="s">
        <v>10953</v>
      </c>
      <c r="G1800" t="s">
        <v>15345</v>
      </c>
      <c r="H1800" t="s">
        <v>19987</v>
      </c>
    </row>
    <row r="1801" spans="6:8">
      <c r="H1801" t="s">
        <v>19988</v>
      </c>
    </row>
    <row r="1802" spans="6:8">
      <c r="H1802" t="s">
        <v>19989</v>
      </c>
    </row>
    <row r="1803" spans="6:8">
      <c r="H1803" t="s">
        <v>19990</v>
      </c>
    </row>
    <row r="1804" spans="6:8">
      <c r="H1804" t="s">
        <v>19991</v>
      </c>
    </row>
    <row r="1805" spans="6:8">
      <c r="H1805" t="s">
        <v>19992</v>
      </c>
    </row>
    <row r="1806" spans="6:8">
      <c r="H1806" t="s">
        <v>19993</v>
      </c>
    </row>
    <row r="1807" spans="6:8">
      <c r="H1807" t="s">
        <v>19994</v>
      </c>
    </row>
    <row r="1808" spans="6:8">
      <c r="H1808" t="s">
        <v>19995</v>
      </c>
    </row>
    <row r="1809" spans="8:8">
      <c r="H1809" t="s">
        <v>19909</v>
      </c>
    </row>
    <row r="1810" spans="8:8">
      <c r="H1810" t="s">
        <v>19996</v>
      </c>
    </row>
    <row r="1811" spans="8:8">
      <c r="H1811" t="s">
        <v>19232</v>
      </c>
    </row>
    <row r="1812" spans="8:8">
      <c r="H1812" t="s">
        <v>19997</v>
      </c>
    </row>
    <row r="1813" spans="8:8">
      <c r="H1813" t="s">
        <v>19998</v>
      </c>
    </row>
    <row r="1814" spans="8:8">
      <c r="H1814" t="s">
        <v>19426</v>
      </c>
    </row>
    <row r="1815" spans="8:8">
      <c r="H1815" t="s">
        <v>19999</v>
      </c>
    </row>
    <row r="1816" spans="8:8">
      <c r="H1816" t="s">
        <v>20000</v>
      </c>
    </row>
    <row r="1817" spans="8:8">
      <c r="H1817" t="s">
        <v>19809</v>
      </c>
    </row>
    <row r="1818" spans="8:8">
      <c r="H1818" t="s">
        <v>20001</v>
      </c>
    </row>
    <row r="1819" spans="8:8">
      <c r="H1819" t="s">
        <v>19426</v>
      </c>
    </row>
    <row r="1820" spans="8:8">
      <c r="H1820" t="s">
        <v>20002</v>
      </c>
    </row>
    <row r="1821" spans="8:8">
      <c r="H1821" t="s">
        <v>18903</v>
      </c>
    </row>
    <row r="1822" spans="8:8">
      <c r="H1822" t="s">
        <v>19969</v>
      </c>
    </row>
    <row r="1823" spans="8:8">
      <c r="H1823" t="s">
        <v>20003</v>
      </c>
    </row>
    <row r="1824" spans="8:8">
      <c r="H1824" t="s">
        <v>20004</v>
      </c>
    </row>
    <row r="1825" spans="6:8">
      <c r="H1825" t="s">
        <v>20005</v>
      </c>
    </row>
    <row r="1826" spans="6:8">
      <c r="H1826" t="s">
        <v>20005</v>
      </c>
    </row>
    <row r="1827" spans="6:8">
      <c r="H1827" t="s">
        <v>20005</v>
      </c>
    </row>
    <row r="1828" spans="6:8">
      <c r="H1828" t="s">
        <v>18927</v>
      </c>
    </row>
    <row r="1829" spans="6:8">
      <c r="H1829" t="s">
        <v>20006</v>
      </c>
    </row>
    <row r="1830" spans="6:8">
      <c r="H1830" t="s">
        <v>20007</v>
      </c>
    </row>
    <row r="1831" spans="6:8">
      <c r="H1831" t="s">
        <v>19979</v>
      </c>
    </row>
    <row r="1832" spans="6:8">
      <c r="H1832" t="s">
        <v>20008</v>
      </c>
    </row>
    <row r="1833" spans="6:8">
      <c r="H1833" t="s">
        <v>20009</v>
      </c>
    </row>
    <row r="1834" spans="6:8">
      <c r="H1834" t="s">
        <v>19928</v>
      </c>
    </row>
    <row r="1835" spans="6:8">
      <c r="H1835" t="s">
        <v>20010</v>
      </c>
    </row>
    <row r="1836" spans="6:8">
      <c r="H1836" t="s">
        <v>20011</v>
      </c>
    </row>
    <row r="1837" spans="6:8">
      <c r="H1837" t="s">
        <v>19426</v>
      </c>
    </row>
    <row r="1838" spans="6:8">
      <c r="H1838" t="s">
        <v>20012</v>
      </c>
    </row>
    <row r="1839" spans="6:8">
      <c r="H1839" t="s">
        <v>18927</v>
      </c>
    </row>
    <row r="1840" spans="6:8">
      <c r="F1840" t="s">
        <v>10954</v>
      </c>
      <c r="G1840" t="s">
        <v>15346</v>
      </c>
      <c r="H1840" t="s">
        <v>19928</v>
      </c>
    </row>
    <row r="1841" spans="6:8">
      <c r="H1841" t="s">
        <v>20013</v>
      </c>
    </row>
    <row r="1842" spans="6:8">
      <c r="H1842" t="s">
        <v>20014</v>
      </c>
    </row>
    <row r="1843" spans="6:8">
      <c r="H1843" t="s">
        <v>20014</v>
      </c>
    </row>
    <row r="1844" spans="6:8">
      <c r="H1844" t="s">
        <v>20015</v>
      </c>
    </row>
    <row r="1845" spans="6:8">
      <c r="H1845" t="s">
        <v>20016</v>
      </c>
    </row>
    <row r="1846" spans="6:8">
      <c r="H1846" t="s">
        <v>20016</v>
      </c>
    </row>
    <row r="1847" spans="6:8">
      <c r="H1847" t="s">
        <v>20017</v>
      </c>
    </row>
    <row r="1848" spans="6:8">
      <c r="H1848" t="s">
        <v>19807</v>
      </c>
    </row>
    <row r="1849" spans="6:8">
      <c r="H1849" t="s">
        <v>20018</v>
      </c>
    </row>
    <row r="1850" spans="6:8">
      <c r="H1850" t="s">
        <v>20019</v>
      </c>
    </row>
    <row r="1851" spans="6:8">
      <c r="H1851" t="s">
        <v>20020</v>
      </c>
    </row>
    <row r="1852" spans="6:8">
      <c r="H1852" t="s">
        <v>20021</v>
      </c>
    </row>
    <row r="1853" spans="6:8">
      <c r="H1853" t="s">
        <v>20022</v>
      </c>
    </row>
    <row r="1854" spans="6:8">
      <c r="H1854" t="s">
        <v>20023</v>
      </c>
    </row>
    <row r="1855" spans="6:8">
      <c r="H1855" t="s">
        <v>20024</v>
      </c>
    </row>
    <row r="1856" spans="6:8">
      <c r="F1856" t="s">
        <v>10591</v>
      </c>
      <c r="G1856" t="s">
        <v>14994</v>
      </c>
      <c r="H1856" t="s">
        <v>20025</v>
      </c>
    </row>
    <row r="1857" spans="8:8">
      <c r="H1857" t="s">
        <v>20026</v>
      </c>
    </row>
    <row r="1858" spans="8:8">
      <c r="H1858" t="s">
        <v>20027</v>
      </c>
    </row>
    <row r="1859" spans="8:8">
      <c r="H1859" t="s">
        <v>20028</v>
      </c>
    </row>
    <row r="1860" spans="8:8">
      <c r="H1860" t="s">
        <v>19794</v>
      </c>
    </row>
    <row r="1861" spans="8:8">
      <c r="H1861" t="s">
        <v>19795</v>
      </c>
    </row>
    <row r="1862" spans="8:8">
      <c r="H1862" t="s">
        <v>20004</v>
      </c>
    </row>
    <row r="1863" spans="8:8">
      <c r="H1863" t="s">
        <v>20029</v>
      </c>
    </row>
    <row r="1864" spans="8:8">
      <c r="H1864" t="s">
        <v>20030</v>
      </c>
    </row>
    <row r="1865" spans="8:8">
      <c r="H1865" t="s">
        <v>19792</v>
      </c>
    </row>
    <row r="1866" spans="8:8">
      <c r="H1866" t="s">
        <v>19793</v>
      </c>
    </row>
    <row r="1867" spans="8:8">
      <c r="H1867" t="s">
        <v>20031</v>
      </c>
    </row>
    <row r="1868" spans="8:8">
      <c r="H1868" t="s">
        <v>20032</v>
      </c>
    </row>
    <row r="1869" spans="8:8">
      <c r="H1869" t="s">
        <v>20033</v>
      </c>
    </row>
    <row r="1870" spans="8:8">
      <c r="H1870" t="s">
        <v>20034</v>
      </c>
    </row>
    <row r="1871" spans="8:8">
      <c r="H1871" t="s">
        <v>20035</v>
      </c>
    </row>
    <row r="1872" spans="8:8">
      <c r="H1872" t="s">
        <v>19735</v>
      </c>
    </row>
    <row r="1873" spans="6:8">
      <c r="H1873" t="s">
        <v>20036</v>
      </c>
    </row>
    <row r="1874" spans="6:8">
      <c r="H1874" t="s">
        <v>20037</v>
      </c>
    </row>
    <row r="1875" spans="6:8">
      <c r="F1875" t="s">
        <v>10955</v>
      </c>
      <c r="G1875" t="s">
        <v>15347</v>
      </c>
      <c r="H1875" t="s">
        <v>19928</v>
      </c>
    </row>
    <row r="1876" spans="6:8">
      <c r="H1876" t="s">
        <v>20038</v>
      </c>
    </row>
    <row r="1877" spans="6:8">
      <c r="H1877" t="s">
        <v>20014</v>
      </c>
    </row>
    <row r="1878" spans="6:8">
      <c r="H1878" t="s">
        <v>20039</v>
      </c>
    </row>
    <row r="1879" spans="6:8">
      <c r="F1879" t="s">
        <v>10592</v>
      </c>
      <c r="G1879" t="s">
        <v>14995</v>
      </c>
      <c r="H1879" t="s">
        <v>18960</v>
      </c>
    </row>
    <row r="1880" spans="6:8">
      <c r="H1880" t="s">
        <v>19805</v>
      </c>
    </row>
    <row r="1881" spans="6:8">
      <c r="H1881" t="s">
        <v>20040</v>
      </c>
    </row>
    <row r="1882" spans="6:8">
      <c r="H1882" t="s">
        <v>20041</v>
      </c>
    </row>
    <row r="1883" spans="6:8">
      <c r="H1883" t="s">
        <v>20042</v>
      </c>
    </row>
    <row r="1884" spans="6:8">
      <c r="H1884" t="s">
        <v>18931</v>
      </c>
    </row>
    <row r="1885" spans="6:8">
      <c r="H1885" t="s">
        <v>19790</v>
      </c>
    </row>
    <row r="1886" spans="6:8">
      <c r="H1886" t="s">
        <v>20043</v>
      </c>
    </row>
    <row r="1887" spans="6:8">
      <c r="H1887" t="s">
        <v>20044</v>
      </c>
    </row>
    <row r="1888" spans="6:8">
      <c r="H1888" t="s">
        <v>19809</v>
      </c>
    </row>
    <row r="1889" spans="6:8">
      <c r="H1889" t="s">
        <v>19807</v>
      </c>
    </row>
    <row r="1890" spans="6:8">
      <c r="H1890" t="s">
        <v>19230</v>
      </c>
    </row>
    <row r="1891" spans="6:8">
      <c r="H1891" t="s">
        <v>19963</v>
      </c>
    </row>
    <row r="1892" spans="6:8">
      <c r="H1892" t="s">
        <v>19955</v>
      </c>
    </row>
    <row r="1893" spans="6:8">
      <c r="H1893" t="s">
        <v>19799</v>
      </c>
    </row>
    <row r="1894" spans="6:8">
      <c r="H1894" t="s">
        <v>18927</v>
      </c>
    </row>
    <row r="1895" spans="6:8">
      <c r="H1895" t="s">
        <v>18927</v>
      </c>
    </row>
    <row r="1896" spans="6:8">
      <c r="H1896" t="s">
        <v>19800</v>
      </c>
    </row>
    <row r="1897" spans="6:8">
      <c r="H1897" t="s">
        <v>19801</v>
      </c>
    </row>
    <row r="1898" spans="6:8">
      <c r="H1898" t="s">
        <v>19802</v>
      </c>
    </row>
    <row r="1899" spans="6:8">
      <c r="H1899" t="s">
        <v>19803</v>
      </c>
    </row>
    <row r="1900" spans="6:8">
      <c r="H1900" t="s">
        <v>19804</v>
      </c>
    </row>
    <row r="1901" spans="6:8">
      <c r="F1901" t="s">
        <v>10956</v>
      </c>
      <c r="G1901" t="s">
        <v>15348</v>
      </c>
      <c r="H1901" t="s">
        <v>20045</v>
      </c>
    </row>
    <row r="1902" spans="6:8">
      <c r="H1902" t="s">
        <v>20046</v>
      </c>
    </row>
    <row r="1903" spans="6:8">
      <c r="H1903" t="s">
        <v>20047</v>
      </c>
    </row>
    <row r="1904" spans="6:8">
      <c r="H1904" t="s">
        <v>20048</v>
      </c>
    </row>
    <row r="1905" spans="6:8">
      <c r="H1905" t="s">
        <v>20049</v>
      </c>
    </row>
    <row r="1906" spans="6:8">
      <c r="H1906" t="s">
        <v>20050</v>
      </c>
    </row>
    <row r="1907" spans="6:8">
      <c r="H1907" t="s">
        <v>20051</v>
      </c>
    </row>
    <row r="1908" spans="6:8">
      <c r="H1908" t="s">
        <v>20052</v>
      </c>
    </row>
    <row r="1909" spans="6:8">
      <c r="H1909" t="s">
        <v>20053</v>
      </c>
    </row>
    <row r="1910" spans="6:8">
      <c r="H1910" t="s">
        <v>20054</v>
      </c>
    </row>
    <row r="1911" spans="6:8">
      <c r="H1911" t="s">
        <v>20055</v>
      </c>
    </row>
    <row r="1912" spans="6:8">
      <c r="H1912" t="s">
        <v>20056</v>
      </c>
    </row>
    <row r="1913" spans="6:8">
      <c r="H1913" t="s">
        <v>20057</v>
      </c>
    </row>
    <row r="1914" spans="6:8">
      <c r="H1914" t="s">
        <v>20058</v>
      </c>
    </row>
    <row r="1915" spans="6:8">
      <c r="F1915" t="s">
        <v>10957</v>
      </c>
      <c r="G1915" t="s">
        <v>15349</v>
      </c>
      <c r="H1915" t="s">
        <v>18863</v>
      </c>
    </row>
    <row r="1916" spans="6:8">
      <c r="H1916" t="s">
        <v>20059</v>
      </c>
    </row>
    <row r="1917" spans="6:8">
      <c r="H1917" t="s">
        <v>20060</v>
      </c>
    </row>
    <row r="1918" spans="6:8">
      <c r="H1918" t="s">
        <v>20061</v>
      </c>
    </row>
    <row r="1919" spans="6:8">
      <c r="F1919" t="s">
        <v>10958</v>
      </c>
      <c r="G1919" t="s">
        <v>15350</v>
      </c>
      <c r="H1919" t="s">
        <v>18863</v>
      </c>
    </row>
    <row r="1920" spans="6:8">
      <c r="H1920" t="s">
        <v>20062</v>
      </c>
    </row>
    <row r="1921" spans="8:8">
      <c r="H1921" t="s">
        <v>20063</v>
      </c>
    </row>
    <row r="1922" spans="8:8">
      <c r="H1922" t="s">
        <v>20064</v>
      </c>
    </row>
    <row r="1923" spans="8:8">
      <c r="H1923" t="s">
        <v>20065</v>
      </c>
    </row>
    <row r="1924" spans="8:8">
      <c r="H1924" t="s">
        <v>20066</v>
      </c>
    </row>
    <row r="1925" spans="8:8">
      <c r="H1925" t="s">
        <v>20067</v>
      </c>
    </row>
    <row r="1926" spans="8:8">
      <c r="H1926" t="s">
        <v>20068</v>
      </c>
    </row>
    <row r="1927" spans="8:8">
      <c r="H1927" t="s">
        <v>20069</v>
      </c>
    </row>
    <row r="1928" spans="8:8">
      <c r="H1928" t="s">
        <v>20070</v>
      </c>
    </row>
    <row r="1929" spans="8:8">
      <c r="H1929" t="s">
        <v>20071</v>
      </c>
    </row>
    <row r="1930" spans="8:8">
      <c r="H1930" t="s">
        <v>20072</v>
      </c>
    </row>
    <row r="1931" spans="8:8">
      <c r="H1931" t="s">
        <v>20073</v>
      </c>
    </row>
    <row r="1932" spans="8:8">
      <c r="H1932" t="s">
        <v>20074</v>
      </c>
    </row>
    <row r="1933" spans="8:8">
      <c r="H1933" t="s">
        <v>20075</v>
      </c>
    </row>
    <row r="1934" spans="8:8">
      <c r="H1934" t="s">
        <v>20076</v>
      </c>
    </row>
    <row r="1935" spans="8:8">
      <c r="H1935" t="s">
        <v>20077</v>
      </c>
    </row>
    <row r="1936" spans="8:8">
      <c r="H1936" t="s">
        <v>20078</v>
      </c>
    </row>
    <row r="1937" spans="1:8">
      <c r="H1937" t="s">
        <v>20079</v>
      </c>
    </row>
    <row r="1938" spans="1:8">
      <c r="H1938" t="s">
        <v>20080</v>
      </c>
    </row>
    <row r="1939" spans="1:8">
      <c r="F1939" t="s">
        <v>10959</v>
      </c>
      <c r="G1939" t="s">
        <v>15351</v>
      </c>
      <c r="H1939" t="s">
        <v>20081</v>
      </c>
    </row>
    <row r="1940" spans="1:8">
      <c r="A1940" t="s">
        <v>293</v>
      </c>
      <c r="B1940">
        <f>HYPERLINK("https://android.googlesource.com/platform/cts/+/3dd6ed00c5a6b4fedd3b6fe48b730092dbd4d118", "3dd6ed00c5a6b4fedd3b6fe48b730092dbd4d118")</f>
        <v>0</v>
      </c>
      <c r="C1940">
        <f>HYPERLINK("https://android.googlesource.com/platform/cts/+/0b0169fcb2503921b2144396d21023f39361eead", "0b0169fcb2503921b2144396d21023f39361eead")</f>
        <v>0</v>
      </c>
      <c r="D1940" t="s">
        <v>4949</v>
      </c>
      <c r="E1940" t="s">
        <v>6089</v>
      </c>
      <c r="F1940" t="s">
        <v>10960</v>
      </c>
      <c r="G1940" t="s">
        <v>15352</v>
      </c>
      <c r="H1940" t="s">
        <v>20082</v>
      </c>
    </row>
    <row r="1941" spans="1:8">
      <c r="A1941" t="s">
        <v>294</v>
      </c>
      <c r="B1941">
        <f>HYPERLINK("https://android.googlesource.com/platform/cts/+/98b49198af2b7180b34d17378c0cee20a4f1ccaf", "98b49198af2b7180b34d17378c0cee20a4f1ccaf")</f>
        <v>0</v>
      </c>
      <c r="C1941">
        <f>HYPERLINK("https://android.googlesource.com/platform/cts/+/36d4da20ca84a24d2d655b6b49bcca5ca973b73c", "36d4da20ca84a24d2d655b6b49bcca5ca973b73c")</f>
        <v>0</v>
      </c>
      <c r="D1941" t="s">
        <v>4941</v>
      </c>
      <c r="E1941" t="s">
        <v>6090</v>
      </c>
      <c r="F1941" t="s">
        <v>10961</v>
      </c>
      <c r="G1941" t="s">
        <v>15091</v>
      </c>
      <c r="H1941" t="s">
        <v>20083</v>
      </c>
    </row>
    <row r="1942" spans="1:8">
      <c r="H1942" t="s">
        <v>20084</v>
      </c>
    </row>
    <row r="1943" spans="1:8">
      <c r="F1943" t="s">
        <v>10962</v>
      </c>
      <c r="G1943" t="s">
        <v>15353</v>
      </c>
      <c r="H1943" t="s">
        <v>20085</v>
      </c>
    </row>
    <row r="1944" spans="1:8">
      <c r="H1944" t="s">
        <v>20085</v>
      </c>
    </row>
    <row r="1945" spans="1:8">
      <c r="H1945" t="s">
        <v>20086</v>
      </c>
    </row>
    <row r="1946" spans="1:8">
      <c r="H1946" t="s">
        <v>18885</v>
      </c>
    </row>
    <row r="1947" spans="1:8">
      <c r="H1947" t="s">
        <v>20087</v>
      </c>
    </row>
    <row r="1948" spans="1:8">
      <c r="F1948" t="s">
        <v>10790</v>
      </c>
      <c r="G1948" t="s">
        <v>15186</v>
      </c>
      <c r="H1948" t="s">
        <v>20088</v>
      </c>
    </row>
    <row r="1949" spans="1:8">
      <c r="H1949" t="s">
        <v>20089</v>
      </c>
    </row>
    <row r="1950" spans="1:8">
      <c r="H1950" t="s">
        <v>20090</v>
      </c>
    </row>
    <row r="1951" spans="1:8">
      <c r="A1951" t="s">
        <v>295</v>
      </c>
      <c r="B1951">
        <f>HYPERLINK("https://android.googlesource.com/platform/cts/+/9ba909f8ab7f3abd082bfdf7ffcdeba930ed1b9a", "9ba909f8ab7f3abd082bfdf7ffcdeba930ed1b9a")</f>
        <v>0</v>
      </c>
      <c r="C1951">
        <f>HYPERLINK("https://android.googlesource.com/platform/cts/+/36d4da20ca84a24d2d655b6b49bcca5ca973b73c", "36d4da20ca84a24d2d655b6b49bcca5ca973b73c")</f>
        <v>0</v>
      </c>
      <c r="D1951" t="s">
        <v>4941</v>
      </c>
      <c r="E1951" t="s">
        <v>6091</v>
      </c>
      <c r="F1951" t="s">
        <v>10963</v>
      </c>
      <c r="G1951" t="s">
        <v>15354</v>
      </c>
      <c r="H1951" t="s">
        <v>20091</v>
      </c>
    </row>
    <row r="1952" spans="1:8">
      <c r="H1952" t="s">
        <v>19712</v>
      </c>
    </row>
    <row r="1953" spans="6:8">
      <c r="H1953" t="s">
        <v>19709</v>
      </c>
    </row>
    <row r="1954" spans="6:8">
      <c r="H1954" t="s">
        <v>19706</v>
      </c>
    </row>
    <row r="1955" spans="6:8">
      <c r="F1955" t="s">
        <v>10964</v>
      </c>
      <c r="G1955" t="s">
        <v>15355</v>
      </c>
      <c r="H1955" t="s">
        <v>20091</v>
      </c>
    </row>
    <row r="1956" spans="6:8">
      <c r="H1956" t="s">
        <v>19712</v>
      </c>
    </row>
    <row r="1957" spans="6:8">
      <c r="H1957" t="s">
        <v>20092</v>
      </c>
    </row>
    <row r="1958" spans="6:8">
      <c r="H1958" t="s">
        <v>20093</v>
      </c>
    </row>
    <row r="1959" spans="6:8">
      <c r="H1959" t="s">
        <v>20094</v>
      </c>
    </row>
    <row r="1960" spans="6:8">
      <c r="H1960" t="s">
        <v>20095</v>
      </c>
    </row>
    <row r="1961" spans="6:8">
      <c r="H1961" t="s">
        <v>20096</v>
      </c>
    </row>
    <row r="1962" spans="6:8">
      <c r="H1962" t="s">
        <v>20097</v>
      </c>
    </row>
    <row r="1963" spans="6:8">
      <c r="H1963" t="s">
        <v>20098</v>
      </c>
    </row>
    <row r="1964" spans="6:8">
      <c r="H1964" t="s">
        <v>20099</v>
      </c>
    </row>
    <row r="1965" spans="6:8">
      <c r="H1965" t="s">
        <v>20100</v>
      </c>
    </row>
    <row r="1966" spans="6:8">
      <c r="H1966" t="s">
        <v>20101</v>
      </c>
    </row>
    <row r="1967" spans="6:8">
      <c r="H1967" t="s">
        <v>20102</v>
      </c>
    </row>
    <row r="1968" spans="6:8">
      <c r="F1968" t="s">
        <v>10965</v>
      </c>
      <c r="G1968" t="s">
        <v>15356</v>
      </c>
      <c r="H1968" t="s">
        <v>20091</v>
      </c>
    </row>
    <row r="1969" spans="6:8">
      <c r="H1969" t="s">
        <v>19712</v>
      </c>
    </row>
    <row r="1970" spans="6:8">
      <c r="H1970" t="s">
        <v>19709</v>
      </c>
    </row>
    <row r="1971" spans="6:8">
      <c r="H1971" t="s">
        <v>19706</v>
      </c>
    </row>
    <row r="1972" spans="6:8">
      <c r="H1972" t="s">
        <v>20092</v>
      </c>
    </row>
    <row r="1973" spans="6:8">
      <c r="H1973" t="s">
        <v>20093</v>
      </c>
    </row>
    <row r="1974" spans="6:8">
      <c r="H1974" t="s">
        <v>20094</v>
      </c>
    </row>
    <row r="1975" spans="6:8">
      <c r="H1975" t="s">
        <v>20103</v>
      </c>
    </row>
    <row r="1976" spans="6:8">
      <c r="H1976" t="s">
        <v>20095</v>
      </c>
    </row>
    <row r="1977" spans="6:8">
      <c r="H1977" t="s">
        <v>20096</v>
      </c>
    </row>
    <row r="1978" spans="6:8">
      <c r="H1978" t="s">
        <v>20097</v>
      </c>
    </row>
    <row r="1979" spans="6:8">
      <c r="H1979" t="s">
        <v>20098</v>
      </c>
    </row>
    <row r="1980" spans="6:8">
      <c r="H1980" t="s">
        <v>20099</v>
      </c>
    </row>
    <row r="1981" spans="6:8">
      <c r="H1981" t="s">
        <v>20100</v>
      </c>
    </row>
    <row r="1982" spans="6:8">
      <c r="H1982" t="s">
        <v>20101</v>
      </c>
    </row>
    <row r="1983" spans="6:8">
      <c r="H1983" t="s">
        <v>20102</v>
      </c>
    </row>
    <row r="1984" spans="6:8">
      <c r="F1984" t="s">
        <v>10966</v>
      </c>
      <c r="G1984" t="s">
        <v>15357</v>
      </c>
      <c r="H1984" t="s">
        <v>20091</v>
      </c>
    </row>
    <row r="1985" spans="6:8">
      <c r="H1985" t="s">
        <v>20095</v>
      </c>
    </row>
    <row r="1986" spans="6:8">
      <c r="F1986" t="s">
        <v>10967</v>
      </c>
      <c r="G1986" t="s">
        <v>15358</v>
      </c>
      <c r="H1986" t="s">
        <v>20091</v>
      </c>
    </row>
    <row r="1987" spans="6:8">
      <c r="H1987" t="s">
        <v>19712</v>
      </c>
    </row>
    <row r="1988" spans="6:8">
      <c r="H1988" t="s">
        <v>20095</v>
      </c>
    </row>
    <row r="1989" spans="6:8">
      <c r="H1989" t="s">
        <v>20096</v>
      </c>
    </row>
    <row r="1990" spans="6:8">
      <c r="H1990" t="s">
        <v>20097</v>
      </c>
    </row>
    <row r="1991" spans="6:8">
      <c r="H1991" t="s">
        <v>20098</v>
      </c>
    </row>
    <row r="1992" spans="6:8">
      <c r="H1992" t="s">
        <v>20099</v>
      </c>
    </row>
    <row r="1993" spans="6:8">
      <c r="H1993" t="s">
        <v>19709</v>
      </c>
    </row>
    <row r="1994" spans="6:8">
      <c r="H1994" t="s">
        <v>19706</v>
      </c>
    </row>
    <row r="1995" spans="6:8">
      <c r="H1995" t="s">
        <v>20100</v>
      </c>
    </row>
    <row r="1996" spans="6:8">
      <c r="H1996" t="s">
        <v>20101</v>
      </c>
    </row>
    <row r="1997" spans="6:8">
      <c r="H1997" t="s">
        <v>20102</v>
      </c>
    </row>
    <row r="1998" spans="6:8">
      <c r="H1998" t="s">
        <v>20104</v>
      </c>
    </row>
    <row r="1999" spans="6:8">
      <c r="H1999" t="s">
        <v>20105</v>
      </c>
    </row>
    <row r="2000" spans="6:8">
      <c r="F2000" t="s">
        <v>10968</v>
      </c>
      <c r="G2000" t="s">
        <v>15359</v>
      </c>
      <c r="H2000" t="s">
        <v>20091</v>
      </c>
    </row>
    <row r="2001" spans="6:8">
      <c r="H2001" t="s">
        <v>19712</v>
      </c>
    </row>
    <row r="2002" spans="6:8">
      <c r="H2002" t="s">
        <v>20095</v>
      </c>
    </row>
    <row r="2003" spans="6:8">
      <c r="H2003" t="s">
        <v>20096</v>
      </c>
    </row>
    <row r="2004" spans="6:8">
      <c r="H2004" t="s">
        <v>20097</v>
      </c>
    </row>
    <row r="2005" spans="6:8">
      <c r="H2005" t="s">
        <v>20098</v>
      </c>
    </row>
    <row r="2006" spans="6:8">
      <c r="H2006" t="s">
        <v>20099</v>
      </c>
    </row>
    <row r="2007" spans="6:8">
      <c r="H2007" t="s">
        <v>20100</v>
      </c>
    </row>
    <row r="2008" spans="6:8">
      <c r="F2008" t="s">
        <v>10969</v>
      </c>
      <c r="G2008" t="s">
        <v>15360</v>
      </c>
      <c r="H2008" t="s">
        <v>20091</v>
      </c>
    </row>
    <row r="2009" spans="6:8">
      <c r="H2009" t="s">
        <v>19712</v>
      </c>
    </row>
    <row r="2010" spans="6:8">
      <c r="H2010" t="s">
        <v>20095</v>
      </c>
    </row>
    <row r="2011" spans="6:8">
      <c r="H2011" t="s">
        <v>20096</v>
      </c>
    </row>
    <row r="2012" spans="6:8">
      <c r="H2012" t="s">
        <v>20097</v>
      </c>
    </row>
    <row r="2013" spans="6:8">
      <c r="H2013" t="s">
        <v>20098</v>
      </c>
    </row>
    <row r="2014" spans="6:8">
      <c r="H2014" t="s">
        <v>20099</v>
      </c>
    </row>
    <row r="2015" spans="6:8">
      <c r="H2015" t="s">
        <v>20100</v>
      </c>
    </row>
    <row r="2016" spans="6:8">
      <c r="F2016" t="s">
        <v>10970</v>
      </c>
      <c r="G2016" t="s">
        <v>15361</v>
      </c>
      <c r="H2016" t="s">
        <v>20091</v>
      </c>
    </row>
    <row r="2017" spans="6:8">
      <c r="H2017" t="s">
        <v>19712</v>
      </c>
    </row>
    <row r="2018" spans="6:8">
      <c r="H2018" t="s">
        <v>20095</v>
      </c>
    </row>
    <row r="2019" spans="6:8">
      <c r="H2019" t="s">
        <v>20096</v>
      </c>
    </row>
    <row r="2020" spans="6:8">
      <c r="H2020" t="s">
        <v>20097</v>
      </c>
    </row>
    <row r="2021" spans="6:8">
      <c r="H2021" t="s">
        <v>20098</v>
      </c>
    </row>
    <row r="2022" spans="6:8">
      <c r="H2022" t="s">
        <v>20099</v>
      </c>
    </row>
    <row r="2023" spans="6:8">
      <c r="H2023" t="s">
        <v>20100</v>
      </c>
    </row>
    <row r="2024" spans="6:8">
      <c r="F2024" t="s">
        <v>10971</v>
      </c>
      <c r="G2024" t="s">
        <v>15362</v>
      </c>
      <c r="H2024" t="s">
        <v>20091</v>
      </c>
    </row>
    <row r="2025" spans="6:8">
      <c r="H2025" t="s">
        <v>19712</v>
      </c>
    </row>
    <row r="2026" spans="6:8">
      <c r="H2026" t="s">
        <v>20095</v>
      </c>
    </row>
    <row r="2027" spans="6:8">
      <c r="H2027" t="s">
        <v>20096</v>
      </c>
    </row>
    <row r="2028" spans="6:8">
      <c r="H2028" t="s">
        <v>20097</v>
      </c>
    </row>
    <row r="2029" spans="6:8">
      <c r="H2029" t="s">
        <v>20098</v>
      </c>
    </row>
    <row r="2030" spans="6:8">
      <c r="H2030" t="s">
        <v>20099</v>
      </c>
    </row>
    <row r="2031" spans="6:8">
      <c r="H2031" t="s">
        <v>20100</v>
      </c>
    </row>
    <row r="2032" spans="6:8">
      <c r="F2032" t="s">
        <v>10972</v>
      </c>
      <c r="G2032" t="s">
        <v>15363</v>
      </c>
      <c r="H2032" t="s">
        <v>20091</v>
      </c>
    </row>
    <row r="2033" spans="6:8">
      <c r="H2033" t="s">
        <v>19712</v>
      </c>
    </row>
    <row r="2034" spans="6:8">
      <c r="H2034" t="s">
        <v>19709</v>
      </c>
    </row>
    <row r="2035" spans="6:8">
      <c r="H2035" t="s">
        <v>20092</v>
      </c>
    </row>
    <row r="2036" spans="6:8">
      <c r="H2036" t="s">
        <v>20093</v>
      </c>
    </row>
    <row r="2037" spans="6:8">
      <c r="H2037" t="s">
        <v>20094</v>
      </c>
    </row>
    <row r="2038" spans="6:8">
      <c r="H2038" t="s">
        <v>20103</v>
      </c>
    </row>
    <row r="2039" spans="6:8">
      <c r="H2039" t="s">
        <v>20095</v>
      </c>
    </row>
    <row r="2040" spans="6:8">
      <c r="H2040" t="s">
        <v>20096</v>
      </c>
    </row>
    <row r="2041" spans="6:8">
      <c r="H2041" t="s">
        <v>20097</v>
      </c>
    </row>
    <row r="2042" spans="6:8">
      <c r="H2042" t="s">
        <v>20098</v>
      </c>
    </row>
    <row r="2043" spans="6:8">
      <c r="H2043" t="s">
        <v>20099</v>
      </c>
    </row>
    <row r="2044" spans="6:8">
      <c r="H2044" t="s">
        <v>20100</v>
      </c>
    </row>
    <row r="2045" spans="6:8">
      <c r="F2045" t="s">
        <v>10973</v>
      </c>
      <c r="G2045" t="s">
        <v>15364</v>
      </c>
      <c r="H2045" t="s">
        <v>20091</v>
      </c>
    </row>
    <row r="2046" spans="6:8">
      <c r="H2046" t="s">
        <v>19712</v>
      </c>
    </row>
    <row r="2047" spans="6:8">
      <c r="H2047" t="s">
        <v>19709</v>
      </c>
    </row>
    <row r="2048" spans="6:8">
      <c r="H2048" t="s">
        <v>19706</v>
      </c>
    </row>
    <row r="2049" spans="6:8">
      <c r="H2049" t="s">
        <v>19707</v>
      </c>
    </row>
    <row r="2050" spans="6:8">
      <c r="H2050" t="s">
        <v>19711</v>
      </c>
    </row>
    <row r="2051" spans="6:8">
      <c r="H2051" t="s">
        <v>19708</v>
      </c>
    </row>
    <row r="2052" spans="6:8">
      <c r="H2052" t="s">
        <v>19710</v>
      </c>
    </row>
    <row r="2053" spans="6:8">
      <c r="H2053" t="s">
        <v>20092</v>
      </c>
    </row>
    <row r="2054" spans="6:8">
      <c r="H2054" t="s">
        <v>20093</v>
      </c>
    </row>
    <row r="2055" spans="6:8">
      <c r="H2055" t="s">
        <v>20095</v>
      </c>
    </row>
    <row r="2056" spans="6:8">
      <c r="H2056" t="s">
        <v>20096</v>
      </c>
    </row>
    <row r="2057" spans="6:8">
      <c r="H2057" t="s">
        <v>20097</v>
      </c>
    </row>
    <row r="2058" spans="6:8">
      <c r="H2058" t="s">
        <v>20098</v>
      </c>
    </row>
    <row r="2059" spans="6:8">
      <c r="H2059" t="s">
        <v>20099</v>
      </c>
    </row>
    <row r="2060" spans="6:8">
      <c r="H2060" t="s">
        <v>20100</v>
      </c>
    </row>
    <row r="2061" spans="6:8">
      <c r="H2061" t="s">
        <v>20101</v>
      </c>
    </row>
    <row r="2062" spans="6:8">
      <c r="F2062" t="s">
        <v>10974</v>
      </c>
      <c r="G2062" t="s">
        <v>15365</v>
      </c>
      <c r="H2062" t="s">
        <v>20091</v>
      </c>
    </row>
    <row r="2063" spans="6:8">
      <c r="H2063" t="s">
        <v>20106</v>
      </c>
    </row>
    <row r="2064" spans="6:8">
      <c r="H2064" t="s">
        <v>20096</v>
      </c>
    </row>
    <row r="2065" spans="6:8">
      <c r="H2065" t="s">
        <v>20095</v>
      </c>
    </row>
    <row r="2066" spans="6:8">
      <c r="F2066" t="s">
        <v>10975</v>
      </c>
      <c r="G2066" t="s">
        <v>15366</v>
      </c>
      <c r="H2066" t="s">
        <v>20091</v>
      </c>
    </row>
    <row r="2067" spans="6:8">
      <c r="H2067" t="s">
        <v>19712</v>
      </c>
    </row>
    <row r="2068" spans="6:8">
      <c r="H2068" t="s">
        <v>20095</v>
      </c>
    </row>
    <row r="2069" spans="6:8">
      <c r="H2069" t="s">
        <v>20096</v>
      </c>
    </row>
    <row r="2070" spans="6:8">
      <c r="H2070" t="s">
        <v>20097</v>
      </c>
    </row>
    <row r="2071" spans="6:8">
      <c r="H2071" t="s">
        <v>19709</v>
      </c>
    </row>
    <row r="2072" spans="6:8">
      <c r="H2072" t="s">
        <v>19706</v>
      </c>
    </row>
    <row r="2073" spans="6:8">
      <c r="H2073" t="s">
        <v>20098</v>
      </c>
    </row>
    <row r="2074" spans="6:8">
      <c r="H2074" t="s">
        <v>20099</v>
      </c>
    </row>
    <row r="2075" spans="6:8">
      <c r="H2075" t="s">
        <v>20100</v>
      </c>
    </row>
    <row r="2076" spans="6:8">
      <c r="F2076" t="s">
        <v>10976</v>
      </c>
      <c r="G2076" t="s">
        <v>15367</v>
      </c>
      <c r="H2076" t="s">
        <v>20091</v>
      </c>
    </row>
    <row r="2077" spans="6:8">
      <c r="H2077" t="s">
        <v>19712</v>
      </c>
    </row>
    <row r="2078" spans="6:8">
      <c r="H2078" t="s">
        <v>20095</v>
      </c>
    </row>
    <row r="2079" spans="6:8">
      <c r="H2079" t="s">
        <v>20096</v>
      </c>
    </row>
    <row r="2080" spans="6:8">
      <c r="H2080" t="s">
        <v>20097</v>
      </c>
    </row>
    <row r="2081" spans="6:8">
      <c r="F2081" t="s">
        <v>10977</v>
      </c>
      <c r="G2081" t="s">
        <v>15368</v>
      </c>
      <c r="H2081" t="s">
        <v>20091</v>
      </c>
    </row>
    <row r="2082" spans="6:8">
      <c r="H2082" t="s">
        <v>19712</v>
      </c>
    </row>
    <row r="2083" spans="6:8">
      <c r="H2083" t="s">
        <v>20095</v>
      </c>
    </row>
    <row r="2084" spans="6:8">
      <c r="H2084" t="s">
        <v>20096</v>
      </c>
    </row>
    <row r="2085" spans="6:8">
      <c r="H2085" t="s">
        <v>20097</v>
      </c>
    </row>
    <row r="2086" spans="6:8">
      <c r="F2086" t="s">
        <v>10978</v>
      </c>
      <c r="G2086" t="s">
        <v>15369</v>
      </c>
      <c r="H2086" t="s">
        <v>20091</v>
      </c>
    </row>
    <row r="2087" spans="6:8">
      <c r="H2087" t="s">
        <v>19712</v>
      </c>
    </row>
    <row r="2088" spans="6:8">
      <c r="H2088" t="s">
        <v>20095</v>
      </c>
    </row>
    <row r="2089" spans="6:8">
      <c r="H2089" t="s">
        <v>20096</v>
      </c>
    </row>
    <row r="2090" spans="6:8">
      <c r="H2090" t="s">
        <v>20097</v>
      </c>
    </row>
    <row r="2091" spans="6:8">
      <c r="F2091" t="s">
        <v>10979</v>
      </c>
      <c r="G2091" t="s">
        <v>15370</v>
      </c>
      <c r="H2091" t="s">
        <v>20091</v>
      </c>
    </row>
    <row r="2092" spans="6:8">
      <c r="H2092" t="s">
        <v>19712</v>
      </c>
    </row>
    <row r="2093" spans="6:8">
      <c r="H2093" t="s">
        <v>20095</v>
      </c>
    </row>
    <row r="2094" spans="6:8">
      <c r="H2094" t="s">
        <v>20096</v>
      </c>
    </row>
    <row r="2095" spans="6:8">
      <c r="H2095" t="s">
        <v>20097</v>
      </c>
    </row>
    <row r="2096" spans="6:8">
      <c r="F2096" t="s">
        <v>10980</v>
      </c>
      <c r="G2096" t="s">
        <v>15371</v>
      </c>
      <c r="H2096" t="s">
        <v>20091</v>
      </c>
    </row>
    <row r="2097" spans="6:8">
      <c r="H2097" t="s">
        <v>19712</v>
      </c>
    </row>
    <row r="2098" spans="6:8">
      <c r="H2098" t="s">
        <v>19709</v>
      </c>
    </row>
    <row r="2099" spans="6:8">
      <c r="H2099" t="s">
        <v>19706</v>
      </c>
    </row>
    <row r="2100" spans="6:8">
      <c r="H2100" t="s">
        <v>20092</v>
      </c>
    </row>
    <row r="2101" spans="6:8">
      <c r="H2101" t="s">
        <v>20093</v>
      </c>
    </row>
    <row r="2102" spans="6:8">
      <c r="H2102" t="s">
        <v>20094</v>
      </c>
    </row>
    <row r="2103" spans="6:8">
      <c r="H2103" t="s">
        <v>20095</v>
      </c>
    </row>
    <row r="2104" spans="6:8">
      <c r="H2104" t="s">
        <v>20096</v>
      </c>
    </row>
    <row r="2105" spans="6:8">
      <c r="H2105" t="s">
        <v>20097</v>
      </c>
    </row>
    <row r="2106" spans="6:8">
      <c r="H2106" t="s">
        <v>20098</v>
      </c>
    </row>
    <row r="2107" spans="6:8">
      <c r="H2107" t="s">
        <v>20099</v>
      </c>
    </row>
    <row r="2108" spans="6:8">
      <c r="F2108" t="s">
        <v>10981</v>
      </c>
      <c r="G2108" t="s">
        <v>15372</v>
      </c>
      <c r="H2108" t="s">
        <v>20091</v>
      </c>
    </row>
    <row r="2109" spans="6:8">
      <c r="H2109" t="s">
        <v>19712</v>
      </c>
    </row>
    <row r="2110" spans="6:8">
      <c r="H2110" t="s">
        <v>20092</v>
      </c>
    </row>
    <row r="2111" spans="6:8">
      <c r="H2111" t="s">
        <v>20093</v>
      </c>
    </row>
    <row r="2112" spans="6:8">
      <c r="H2112" t="s">
        <v>20094</v>
      </c>
    </row>
    <row r="2113" spans="6:8">
      <c r="H2113" t="s">
        <v>20095</v>
      </c>
    </row>
    <row r="2114" spans="6:8">
      <c r="H2114" t="s">
        <v>20096</v>
      </c>
    </row>
    <row r="2115" spans="6:8">
      <c r="H2115" t="s">
        <v>20097</v>
      </c>
    </row>
    <row r="2116" spans="6:8">
      <c r="H2116" t="s">
        <v>20098</v>
      </c>
    </row>
    <row r="2117" spans="6:8">
      <c r="H2117" t="s">
        <v>20099</v>
      </c>
    </row>
    <row r="2118" spans="6:8">
      <c r="H2118" t="s">
        <v>20100</v>
      </c>
    </row>
    <row r="2119" spans="6:8">
      <c r="H2119" t="s">
        <v>20101</v>
      </c>
    </row>
    <row r="2120" spans="6:8">
      <c r="H2120" t="s">
        <v>20102</v>
      </c>
    </row>
    <row r="2121" spans="6:8">
      <c r="F2121" t="s">
        <v>10982</v>
      </c>
      <c r="G2121" t="s">
        <v>15373</v>
      </c>
      <c r="H2121" t="s">
        <v>20091</v>
      </c>
    </row>
    <row r="2122" spans="6:8">
      <c r="H2122" t="s">
        <v>19712</v>
      </c>
    </row>
    <row r="2123" spans="6:8">
      <c r="H2123" t="s">
        <v>20092</v>
      </c>
    </row>
    <row r="2124" spans="6:8">
      <c r="H2124" t="s">
        <v>20093</v>
      </c>
    </row>
    <row r="2125" spans="6:8">
      <c r="H2125" t="s">
        <v>20094</v>
      </c>
    </row>
    <row r="2126" spans="6:8">
      <c r="H2126" t="s">
        <v>20095</v>
      </c>
    </row>
    <row r="2127" spans="6:8">
      <c r="H2127" t="s">
        <v>20096</v>
      </c>
    </row>
    <row r="2128" spans="6:8">
      <c r="H2128" t="s">
        <v>20097</v>
      </c>
    </row>
    <row r="2129" spans="6:8">
      <c r="H2129" t="s">
        <v>20098</v>
      </c>
    </row>
    <row r="2130" spans="6:8">
      <c r="H2130" t="s">
        <v>20099</v>
      </c>
    </row>
    <row r="2131" spans="6:8">
      <c r="H2131" t="s">
        <v>20100</v>
      </c>
    </row>
    <row r="2132" spans="6:8">
      <c r="H2132" t="s">
        <v>20101</v>
      </c>
    </row>
    <row r="2133" spans="6:8">
      <c r="H2133" t="s">
        <v>20102</v>
      </c>
    </row>
    <row r="2134" spans="6:8">
      <c r="F2134" t="s">
        <v>10983</v>
      </c>
      <c r="G2134" t="s">
        <v>15374</v>
      </c>
      <c r="H2134" t="s">
        <v>20091</v>
      </c>
    </row>
    <row r="2135" spans="6:8">
      <c r="H2135" t="s">
        <v>20107</v>
      </c>
    </row>
    <row r="2136" spans="6:8">
      <c r="H2136" t="s">
        <v>20108</v>
      </c>
    </row>
    <row r="2137" spans="6:8">
      <c r="H2137" t="s">
        <v>20095</v>
      </c>
    </row>
    <row r="2138" spans="6:8">
      <c r="F2138" t="s">
        <v>10984</v>
      </c>
      <c r="G2138" t="s">
        <v>15375</v>
      </c>
      <c r="H2138" t="s">
        <v>20091</v>
      </c>
    </row>
    <row r="2139" spans="6:8">
      <c r="H2139" t="s">
        <v>19712</v>
      </c>
    </row>
    <row r="2140" spans="6:8">
      <c r="H2140" t="s">
        <v>20092</v>
      </c>
    </row>
    <row r="2141" spans="6:8">
      <c r="H2141" t="s">
        <v>20093</v>
      </c>
    </row>
    <row r="2142" spans="6:8">
      <c r="H2142" t="s">
        <v>20094</v>
      </c>
    </row>
    <row r="2143" spans="6:8">
      <c r="H2143" t="s">
        <v>20095</v>
      </c>
    </row>
    <row r="2144" spans="6:8">
      <c r="H2144" t="s">
        <v>20096</v>
      </c>
    </row>
    <row r="2145" spans="6:8">
      <c r="H2145" t="s">
        <v>20097</v>
      </c>
    </row>
    <row r="2146" spans="6:8">
      <c r="H2146" t="s">
        <v>20098</v>
      </c>
    </row>
    <row r="2147" spans="6:8">
      <c r="H2147" t="s">
        <v>20099</v>
      </c>
    </row>
    <row r="2148" spans="6:8">
      <c r="H2148" t="s">
        <v>20100</v>
      </c>
    </row>
    <row r="2149" spans="6:8">
      <c r="H2149" t="s">
        <v>20101</v>
      </c>
    </row>
    <row r="2150" spans="6:8">
      <c r="H2150" t="s">
        <v>20102</v>
      </c>
    </row>
    <row r="2151" spans="6:8">
      <c r="F2151" t="s">
        <v>10985</v>
      </c>
      <c r="G2151" t="s">
        <v>15376</v>
      </c>
      <c r="H2151" t="s">
        <v>20091</v>
      </c>
    </row>
    <row r="2152" spans="6:8">
      <c r="H2152" t="s">
        <v>19712</v>
      </c>
    </row>
    <row r="2153" spans="6:8">
      <c r="H2153" t="s">
        <v>20092</v>
      </c>
    </row>
    <row r="2154" spans="6:8">
      <c r="H2154" t="s">
        <v>20093</v>
      </c>
    </row>
    <row r="2155" spans="6:8">
      <c r="H2155" t="s">
        <v>20094</v>
      </c>
    </row>
    <row r="2156" spans="6:8">
      <c r="H2156" t="s">
        <v>20095</v>
      </c>
    </row>
    <row r="2157" spans="6:8">
      <c r="H2157" t="s">
        <v>20096</v>
      </c>
    </row>
    <row r="2158" spans="6:8">
      <c r="H2158" t="s">
        <v>20097</v>
      </c>
    </row>
    <row r="2159" spans="6:8">
      <c r="H2159" t="s">
        <v>20098</v>
      </c>
    </row>
    <row r="2160" spans="6:8">
      <c r="H2160" t="s">
        <v>20099</v>
      </c>
    </row>
    <row r="2161" spans="6:8">
      <c r="H2161" t="s">
        <v>20100</v>
      </c>
    </row>
    <row r="2162" spans="6:8">
      <c r="H2162" t="s">
        <v>20101</v>
      </c>
    </row>
    <row r="2163" spans="6:8">
      <c r="H2163" t="s">
        <v>20102</v>
      </c>
    </row>
    <row r="2164" spans="6:8">
      <c r="F2164" t="s">
        <v>10986</v>
      </c>
      <c r="G2164" t="s">
        <v>15377</v>
      </c>
      <c r="H2164" t="s">
        <v>20091</v>
      </c>
    </row>
    <row r="2165" spans="6:8">
      <c r="H2165" t="s">
        <v>19712</v>
      </c>
    </row>
    <row r="2166" spans="6:8">
      <c r="H2166" t="s">
        <v>19706</v>
      </c>
    </row>
    <row r="2167" spans="6:8">
      <c r="H2167" t="s">
        <v>20092</v>
      </c>
    </row>
    <row r="2168" spans="6:8">
      <c r="H2168" t="s">
        <v>20093</v>
      </c>
    </row>
    <row r="2169" spans="6:8">
      <c r="H2169" t="s">
        <v>20094</v>
      </c>
    </row>
    <row r="2170" spans="6:8">
      <c r="H2170" t="s">
        <v>20095</v>
      </c>
    </row>
    <row r="2171" spans="6:8">
      <c r="H2171" t="s">
        <v>20096</v>
      </c>
    </row>
    <row r="2172" spans="6:8">
      <c r="H2172" t="s">
        <v>20097</v>
      </c>
    </row>
    <row r="2173" spans="6:8">
      <c r="H2173" t="s">
        <v>20098</v>
      </c>
    </row>
    <row r="2174" spans="6:8">
      <c r="F2174" t="s">
        <v>10987</v>
      </c>
      <c r="G2174" t="s">
        <v>15378</v>
      </c>
      <c r="H2174" t="s">
        <v>20091</v>
      </c>
    </row>
    <row r="2175" spans="6:8">
      <c r="H2175" t="s">
        <v>19712</v>
      </c>
    </row>
    <row r="2176" spans="6:8">
      <c r="H2176" t="s">
        <v>19709</v>
      </c>
    </row>
    <row r="2177" spans="6:8">
      <c r="H2177" t="s">
        <v>20107</v>
      </c>
    </row>
    <row r="2178" spans="6:8">
      <c r="H2178" t="s">
        <v>20108</v>
      </c>
    </row>
    <row r="2179" spans="6:8">
      <c r="H2179" t="s">
        <v>19713</v>
      </c>
    </row>
    <row r="2180" spans="6:8">
      <c r="H2180" t="s">
        <v>19714</v>
      </c>
    </row>
    <row r="2181" spans="6:8">
      <c r="H2181" t="s">
        <v>20109</v>
      </c>
    </row>
    <row r="2182" spans="6:8">
      <c r="H2182" t="s">
        <v>20110</v>
      </c>
    </row>
    <row r="2183" spans="6:8">
      <c r="H2183" t="s">
        <v>20111</v>
      </c>
    </row>
    <row r="2184" spans="6:8">
      <c r="H2184" t="s">
        <v>20095</v>
      </c>
    </row>
    <row r="2185" spans="6:8">
      <c r="H2185" t="s">
        <v>20096</v>
      </c>
    </row>
    <row r="2186" spans="6:8">
      <c r="H2186" t="s">
        <v>20097</v>
      </c>
    </row>
    <row r="2187" spans="6:8">
      <c r="H2187" t="s">
        <v>20098</v>
      </c>
    </row>
    <row r="2188" spans="6:8">
      <c r="F2188" t="s">
        <v>10988</v>
      </c>
      <c r="G2188" t="s">
        <v>15379</v>
      </c>
      <c r="H2188" t="s">
        <v>20091</v>
      </c>
    </row>
    <row r="2189" spans="6:8">
      <c r="H2189" t="s">
        <v>19712</v>
      </c>
    </row>
    <row r="2190" spans="6:8">
      <c r="H2190" t="s">
        <v>19709</v>
      </c>
    </row>
    <row r="2191" spans="6:8">
      <c r="H2191" t="s">
        <v>20107</v>
      </c>
    </row>
    <row r="2192" spans="6:8">
      <c r="H2192" t="s">
        <v>20108</v>
      </c>
    </row>
    <row r="2193" spans="6:8">
      <c r="H2193" t="s">
        <v>19713</v>
      </c>
    </row>
    <row r="2194" spans="6:8">
      <c r="H2194" t="s">
        <v>19714</v>
      </c>
    </row>
    <row r="2195" spans="6:8">
      <c r="H2195" t="s">
        <v>20109</v>
      </c>
    </row>
    <row r="2196" spans="6:8">
      <c r="H2196" t="s">
        <v>20110</v>
      </c>
    </row>
    <row r="2197" spans="6:8">
      <c r="H2197" t="s">
        <v>20095</v>
      </c>
    </row>
    <row r="2198" spans="6:8">
      <c r="H2198" t="s">
        <v>20096</v>
      </c>
    </row>
    <row r="2199" spans="6:8">
      <c r="H2199" t="s">
        <v>20097</v>
      </c>
    </row>
    <row r="2200" spans="6:8">
      <c r="H2200" t="s">
        <v>20098</v>
      </c>
    </row>
    <row r="2201" spans="6:8">
      <c r="F2201" t="s">
        <v>10989</v>
      </c>
      <c r="G2201" t="s">
        <v>15380</v>
      </c>
      <c r="H2201" t="s">
        <v>20091</v>
      </c>
    </row>
    <row r="2202" spans="6:8">
      <c r="H2202" t="s">
        <v>19712</v>
      </c>
    </row>
    <row r="2203" spans="6:8">
      <c r="H2203" t="s">
        <v>19709</v>
      </c>
    </row>
    <row r="2204" spans="6:8">
      <c r="H2204" t="s">
        <v>20107</v>
      </c>
    </row>
    <row r="2205" spans="6:8">
      <c r="H2205" t="s">
        <v>20108</v>
      </c>
    </row>
    <row r="2206" spans="6:8">
      <c r="H2206" t="s">
        <v>19713</v>
      </c>
    </row>
    <row r="2207" spans="6:8">
      <c r="H2207" t="s">
        <v>19714</v>
      </c>
    </row>
    <row r="2208" spans="6:8">
      <c r="H2208" t="s">
        <v>20109</v>
      </c>
    </row>
    <row r="2209" spans="6:8">
      <c r="H2209" t="s">
        <v>20110</v>
      </c>
    </row>
    <row r="2210" spans="6:8">
      <c r="H2210" t="s">
        <v>20095</v>
      </c>
    </row>
    <row r="2211" spans="6:8">
      <c r="H2211" t="s">
        <v>20096</v>
      </c>
    </row>
    <row r="2212" spans="6:8">
      <c r="H2212" t="s">
        <v>20097</v>
      </c>
    </row>
    <row r="2213" spans="6:8">
      <c r="H2213" t="s">
        <v>20098</v>
      </c>
    </row>
    <row r="2214" spans="6:8">
      <c r="F2214" t="s">
        <v>10990</v>
      </c>
      <c r="G2214" t="s">
        <v>15381</v>
      </c>
      <c r="H2214" t="s">
        <v>20091</v>
      </c>
    </row>
    <row r="2215" spans="6:8">
      <c r="H2215" t="s">
        <v>19712</v>
      </c>
    </row>
    <row r="2216" spans="6:8">
      <c r="H2216" t="s">
        <v>19709</v>
      </c>
    </row>
    <row r="2217" spans="6:8">
      <c r="H2217" t="s">
        <v>20107</v>
      </c>
    </row>
    <row r="2218" spans="6:8">
      <c r="H2218" t="s">
        <v>20108</v>
      </c>
    </row>
    <row r="2219" spans="6:8">
      <c r="H2219" t="s">
        <v>19713</v>
      </c>
    </row>
    <row r="2220" spans="6:8">
      <c r="H2220" t="s">
        <v>19714</v>
      </c>
    </row>
    <row r="2221" spans="6:8">
      <c r="H2221" t="s">
        <v>20109</v>
      </c>
    </row>
    <row r="2222" spans="6:8">
      <c r="H2222" t="s">
        <v>20110</v>
      </c>
    </row>
    <row r="2223" spans="6:8">
      <c r="H2223" t="s">
        <v>20111</v>
      </c>
    </row>
    <row r="2224" spans="6:8">
      <c r="H2224" t="s">
        <v>20112</v>
      </c>
    </row>
    <row r="2225" spans="6:8">
      <c r="H2225" t="s">
        <v>20113</v>
      </c>
    </row>
    <row r="2226" spans="6:8">
      <c r="H2226" t="s">
        <v>20095</v>
      </c>
    </row>
    <row r="2227" spans="6:8">
      <c r="H2227" t="s">
        <v>20096</v>
      </c>
    </row>
    <row r="2228" spans="6:8">
      <c r="H2228" t="s">
        <v>20097</v>
      </c>
    </row>
    <row r="2229" spans="6:8">
      <c r="H2229" t="s">
        <v>20098</v>
      </c>
    </row>
    <row r="2230" spans="6:8">
      <c r="F2230" t="s">
        <v>10991</v>
      </c>
      <c r="G2230" t="s">
        <v>15382</v>
      </c>
      <c r="H2230" t="s">
        <v>20091</v>
      </c>
    </row>
    <row r="2231" spans="6:8">
      <c r="H2231" t="s">
        <v>19712</v>
      </c>
    </row>
    <row r="2232" spans="6:8">
      <c r="H2232" t="s">
        <v>20092</v>
      </c>
    </row>
    <row r="2233" spans="6:8">
      <c r="H2233" t="s">
        <v>20093</v>
      </c>
    </row>
    <row r="2234" spans="6:8">
      <c r="H2234" t="s">
        <v>20094</v>
      </c>
    </row>
    <row r="2235" spans="6:8">
      <c r="H2235" t="s">
        <v>20095</v>
      </c>
    </row>
    <row r="2236" spans="6:8">
      <c r="H2236" t="s">
        <v>20096</v>
      </c>
    </row>
    <row r="2237" spans="6:8">
      <c r="H2237" t="s">
        <v>20097</v>
      </c>
    </row>
    <row r="2238" spans="6:8">
      <c r="H2238" t="s">
        <v>20098</v>
      </c>
    </row>
    <row r="2239" spans="6:8">
      <c r="H2239" t="s">
        <v>20099</v>
      </c>
    </row>
    <row r="2240" spans="6:8">
      <c r="H2240" t="s">
        <v>20100</v>
      </c>
    </row>
    <row r="2241" spans="6:8">
      <c r="H2241" t="s">
        <v>20101</v>
      </c>
    </row>
    <row r="2242" spans="6:8">
      <c r="H2242" t="s">
        <v>20102</v>
      </c>
    </row>
    <row r="2243" spans="6:8">
      <c r="F2243" t="s">
        <v>10992</v>
      </c>
      <c r="G2243" t="s">
        <v>15383</v>
      </c>
      <c r="H2243" t="s">
        <v>20091</v>
      </c>
    </row>
    <row r="2244" spans="6:8">
      <c r="H2244" t="s">
        <v>19712</v>
      </c>
    </row>
    <row r="2245" spans="6:8">
      <c r="H2245" t="s">
        <v>20092</v>
      </c>
    </row>
    <row r="2246" spans="6:8">
      <c r="H2246" t="s">
        <v>20093</v>
      </c>
    </row>
    <row r="2247" spans="6:8">
      <c r="H2247" t="s">
        <v>20094</v>
      </c>
    </row>
    <row r="2248" spans="6:8">
      <c r="H2248" t="s">
        <v>20095</v>
      </c>
    </row>
    <row r="2249" spans="6:8">
      <c r="H2249" t="s">
        <v>20096</v>
      </c>
    </row>
    <row r="2250" spans="6:8">
      <c r="H2250" t="s">
        <v>20097</v>
      </c>
    </row>
    <row r="2251" spans="6:8">
      <c r="H2251" t="s">
        <v>20098</v>
      </c>
    </row>
    <row r="2252" spans="6:8">
      <c r="H2252" t="s">
        <v>20099</v>
      </c>
    </row>
    <row r="2253" spans="6:8">
      <c r="H2253" t="s">
        <v>20100</v>
      </c>
    </row>
    <row r="2254" spans="6:8">
      <c r="H2254" t="s">
        <v>20101</v>
      </c>
    </row>
    <row r="2255" spans="6:8">
      <c r="H2255" t="s">
        <v>20102</v>
      </c>
    </row>
    <row r="2256" spans="6:8">
      <c r="F2256" t="s">
        <v>10993</v>
      </c>
      <c r="G2256" t="s">
        <v>15384</v>
      </c>
      <c r="H2256" t="s">
        <v>20091</v>
      </c>
    </row>
    <row r="2257" spans="6:8">
      <c r="H2257" t="s">
        <v>19712</v>
      </c>
    </row>
    <row r="2258" spans="6:8">
      <c r="H2258" t="s">
        <v>19709</v>
      </c>
    </row>
    <row r="2259" spans="6:8">
      <c r="H2259" t="s">
        <v>20107</v>
      </c>
    </row>
    <row r="2260" spans="6:8">
      <c r="H2260" t="s">
        <v>20108</v>
      </c>
    </row>
    <row r="2261" spans="6:8">
      <c r="H2261" t="s">
        <v>19713</v>
      </c>
    </row>
    <row r="2262" spans="6:8">
      <c r="H2262" t="s">
        <v>19714</v>
      </c>
    </row>
    <row r="2263" spans="6:8">
      <c r="H2263" t="s">
        <v>20109</v>
      </c>
    </row>
    <row r="2264" spans="6:8">
      <c r="H2264" t="s">
        <v>20095</v>
      </c>
    </row>
    <row r="2265" spans="6:8">
      <c r="H2265" t="s">
        <v>20096</v>
      </c>
    </row>
    <row r="2266" spans="6:8">
      <c r="H2266" t="s">
        <v>20097</v>
      </c>
    </row>
    <row r="2267" spans="6:8">
      <c r="H2267" t="s">
        <v>20098</v>
      </c>
    </row>
    <row r="2268" spans="6:8">
      <c r="F2268" t="s">
        <v>10994</v>
      </c>
      <c r="G2268" t="s">
        <v>15385</v>
      </c>
      <c r="H2268" t="s">
        <v>20091</v>
      </c>
    </row>
    <row r="2269" spans="6:8">
      <c r="H2269" t="s">
        <v>19712</v>
      </c>
    </row>
    <row r="2270" spans="6:8">
      <c r="H2270" t="s">
        <v>19709</v>
      </c>
    </row>
    <row r="2271" spans="6:8">
      <c r="H2271" t="s">
        <v>20107</v>
      </c>
    </row>
    <row r="2272" spans="6:8">
      <c r="H2272" t="s">
        <v>20108</v>
      </c>
    </row>
    <row r="2273" spans="6:8">
      <c r="H2273" t="s">
        <v>19713</v>
      </c>
    </row>
    <row r="2274" spans="6:8">
      <c r="H2274" t="s">
        <v>19714</v>
      </c>
    </row>
    <row r="2275" spans="6:8">
      <c r="H2275" t="s">
        <v>20109</v>
      </c>
    </row>
    <row r="2276" spans="6:8">
      <c r="H2276" t="s">
        <v>20095</v>
      </c>
    </row>
    <row r="2277" spans="6:8">
      <c r="H2277" t="s">
        <v>20096</v>
      </c>
    </row>
    <row r="2278" spans="6:8">
      <c r="H2278" t="s">
        <v>20097</v>
      </c>
    </row>
    <row r="2279" spans="6:8">
      <c r="H2279" t="s">
        <v>20098</v>
      </c>
    </row>
    <row r="2280" spans="6:8">
      <c r="F2280" t="s">
        <v>10995</v>
      </c>
      <c r="G2280" t="s">
        <v>15386</v>
      </c>
      <c r="H2280" t="s">
        <v>20091</v>
      </c>
    </row>
    <row r="2281" spans="6:8">
      <c r="H2281" t="s">
        <v>20095</v>
      </c>
    </row>
    <row r="2282" spans="6:8">
      <c r="F2282" t="s">
        <v>10996</v>
      </c>
      <c r="G2282" t="s">
        <v>15387</v>
      </c>
      <c r="H2282" t="s">
        <v>20091</v>
      </c>
    </row>
    <row r="2283" spans="6:8">
      <c r="H2283" t="s">
        <v>20095</v>
      </c>
    </row>
    <row r="2284" spans="6:8">
      <c r="F2284" t="s">
        <v>10997</v>
      </c>
      <c r="G2284" t="s">
        <v>15388</v>
      </c>
      <c r="H2284" t="s">
        <v>20091</v>
      </c>
    </row>
    <row r="2285" spans="6:8">
      <c r="H2285" t="s">
        <v>19712</v>
      </c>
    </row>
    <row r="2286" spans="6:8">
      <c r="H2286" t="s">
        <v>19709</v>
      </c>
    </row>
    <row r="2287" spans="6:8">
      <c r="H2287" t="s">
        <v>19706</v>
      </c>
    </row>
    <row r="2288" spans="6:8">
      <c r="H2288" t="s">
        <v>20108</v>
      </c>
    </row>
    <row r="2289" spans="6:8">
      <c r="H2289" t="s">
        <v>19713</v>
      </c>
    </row>
    <row r="2290" spans="6:8">
      <c r="H2290" t="s">
        <v>19714</v>
      </c>
    </row>
    <row r="2291" spans="6:8">
      <c r="H2291" t="s">
        <v>20109</v>
      </c>
    </row>
    <row r="2292" spans="6:8">
      <c r="H2292" t="s">
        <v>20110</v>
      </c>
    </row>
    <row r="2293" spans="6:8">
      <c r="H2293" t="s">
        <v>20111</v>
      </c>
    </row>
    <row r="2294" spans="6:8">
      <c r="H2294" t="s">
        <v>20112</v>
      </c>
    </row>
    <row r="2295" spans="6:8">
      <c r="H2295" t="s">
        <v>20113</v>
      </c>
    </row>
    <row r="2296" spans="6:8">
      <c r="H2296" t="s">
        <v>20095</v>
      </c>
    </row>
    <row r="2297" spans="6:8">
      <c r="H2297" t="s">
        <v>20096</v>
      </c>
    </row>
    <row r="2298" spans="6:8">
      <c r="H2298" t="s">
        <v>20097</v>
      </c>
    </row>
    <row r="2299" spans="6:8">
      <c r="H2299" t="s">
        <v>20098</v>
      </c>
    </row>
    <row r="2300" spans="6:8">
      <c r="F2300" t="s">
        <v>10998</v>
      </c>
      <c r="G2300" t="s">
        <v>15389</v>
      </c>
      <c r="H2300" t="s">
        <v>20091</v>
      </c>
    </row>
    <row r="2301" spans="6:8">
      <c r="H2301" t="s">
        <v>19712</v>
      </c>
    </row>
    <row r="2302" spans="6:8">
      <c r="H2302" t="s">
        <v>20095</v>
      </c>
    </row>
    <row r="2303" spans="6:8">
      <c r="H2303" t="s">
        <v>20096</v>
      </c>
    </row>
    <row r="2304" spans="6:8">
      <c r="H2304" t="s">
        <v>20097</v>
      </c>
    </row>
    <row r="2305" spans="6:8">
      <c r="H2305" t="s">
        <v>20098</v>
      </c>
    </row>
    <row r="2306" spans="6:8">
      <c r="H2306" t="s">
        <v>19709</v>
      </c>
    </row>
    <row r="2307" spans="6:8">
      <c r="H2307" t="s">
        <v>19706</v>
      </c>
    </row>
    <row r="2308" spans="6:8">
      <c r="H2308" t="s">
        <v>20099</v>
      </c>
    </row>
    <row r="2309" spans="6:8">
      <c r="H2309" t="s">
        <v>20100</v>
      </c>
    </row>
    <row r="2310" spans="6:8">
      <c r="H2310" t="s">
        <v>20101</v>
      </c>
    </row>
    <row r="2311" spans="6:8">
      <c r="H2311" t="s">
        <v>20102</v>
      </c>
    </row>
    <row r="2312" spans="6:8">
      <c r="F2312" t="s">
        <v>10999</v>
      </c>
      <c r="G2312" t="s">
        <v>15390</v>
      </c>
      <c r="H2312" t="s">
        <v>20091</v>
      </c>
    </row>
    <row r="2313" spans="6:8">
      <c r="H2313" t="s">
        <v>19712</v>
      </c>
    </row>
    <row r="2314" spans="6:8">
      <c r="H2314" t="s">
        <v>20095</v>
      </c>
    </row>
    <row r="2315" spans="6:8">
      <c r="H2315" t="s">
        <v>20096</v>
      </c>
    </row>
    <row r="2316" spans="6:8">
      <c r="H2316" t="s">
        <v>20097</v>
      </c>
    </row>
    <row r="2317" spans="6:8">
      <c r="H2317" t="s">
        <v>20098</v>
      </c>
    </row>
    <row r="2318" spans="6:8">
      <c r="F2318" t="s">
        <v>11000</v>
      </c>
      <c r="G2318" t="s">
        <v>15391</v>
      </c>
      <c r="H2318" t="s">
        <v>20091</v>
      </c>
    </row>
    <row r="2319" spans="6:8">
      <c r="H2319" t="s">
        <v>19712</v>
      </c>
    </row>
    <row r="2320" spans="6:8">
      <c r="H2320" t="s">
        <v>20095</v>
      </c>
    </row>
    <row r="2321" spans="6:8">
      <c r="H2321" t="s">
        <v>20096</v>
      </c>
    </row>
    <row r="2322" spans="6:8">
      <c r="H2322" t="s">
        <v>20097</v>
      </c>
    </row>
    <row r="2323" spans="6:8">
      <c r="H2323" t="s">
        <v>20098</v>
      </c>
    </row>
    <row r="2324" spans="6:8">
      <c r="F2324" t="s">
        <v>11001</v>
      </c>
      <c r="G2324" t="s">
        <v>15392</v>
      </c>
      <c r="H2324" t="s">
        <v>20091</v>
      </c>
    </row>
    <row r="2325" spans="6:8">
      <c r="H2325" t="s">
        <v>19712</v>
      </c>
    </row>
    <row r="2326" spans="6:8">
      <c r="H2326" t="s">
        <v>20095</v>
      </c>
    </row>
    <row r="2327" spans="6:8">
      <c r="H2327" t="s">
        <v>20096</v>
      </c>
    </row>
    <row r="2328" spans="6:8">
      <c r="H2328" t="s">
        <v>20097</v>
      </c>
    </row>
    <row r="2329" spans="6:8">
      <c r="H2329" t="s">
        <v>20098</v>
      </c>
    </row>
    <row r="2330" spans="6:8">
      <c r="F2330" t="s">
        <v>11002</v>
      </c>
      <c r="G2330" t="s">
        <v>15393</v>
      </c>
      <c r="H2330" t="s">
        <v>20091</v>
      </c>
    </row>
    <row r="2331" spans="6:8">
      <c r="H2331" t="s">
        <v>19712</v>
      </c>
    </row>
    <row r="2332" spans="6:8">
      <c r="H2332" t="s">
        <v>20095</v>
      </c>
    </row>
    <row r="2333" spans="6:8">
      <c r="H2333" t="s">
        <v>20096</v>
      </c>
    </row>
    <row r="2334" spans="6:8">
      <c r="H2334" t="s">
        <v>20097</v>
      </c>
    </row>
    <row r="2335" spans="6:8">
      <c r="H2335" t="s">
        <v>20098</v>
      </c>
    </row>
    <row r="2336" spans="6:8">
      <c r="F2336" t="s">
        <v>11003</v>
      </c>
      <c r="G2336" t="s">
        <v>15394</v>
      </c>
      <c r="H2336" t="s">
        <v>20091</v>
      </c>
    </row>
    <row r="2337" spans="6:8">
      <c r="H2337" t="s">
        <v>19712</v>
      </c>
    </row>
    <row r="2338" spans="6:8">
      <c r="H2338" t="s">
        <v>19709</v>
      </c>
    </row>
    <row r="2339" spans="6:8">
      <c r="H2339" t="s">
        <v>20107</v>
      </c>
    </row>
    <row r="2340" spans="6:8">
      <c r="H2340" t="s">
        <v>20108</v>
      </c>
    </row>
    <row r="2341" spans="6:8">
      <c r="H2341" t="s">
        <v>19713</v>
      </c>
    </row>
    <row r="2342" spans="6:8">
      <c r="H2342" t="s">
        <v>19714</v>
      </c>
    </row>
    <row r="2343" spans="6:8">
      <c r="H2343" t="s">
        <v>20109</v>
      </c>
    </row>
    <row r="2344" spans="6:8">
      <c r="H2344" t="s">
        <v>20110</v>
      </c>
    </row>
    <row r="2345" spans="6:8">
      <c r="H2345" t="s">
        <v>20111</v>
      </c>
    </row>
    <row r="2346" spans="6:8">
      <c r="H2346" t="s">
        <v>20112</v>
      </c>
    </row>
    <row r="2347" spans="6:8">
      <c r="H2347" t="s">
        <v>20095</v>
      </c>
    </row>
    <row r="2348" spans="6:8">
      <c r="H2348" t="s">
        <v>20096</v>
      </c>
    </row>
    <row r="2349" spans="6:8">
      <c r="H2349" t="s">
        <v>20097</v>
      </c>
    </row>
    <row r="2350" spans="6:8">
      <c r="H2350" t="s">
        <v>20098</v>
      </c>
    </row>
    <row r="2351" spans="6:8">
      <c r="F2351" t="s">
        <v>11004</v>
      </c>
      <c r="G2351" t="s">
        <v>15395</v>
      </c>
      <c r="H2351" t="s">
        <v>20091</v>
      </c>
    </row>
    <row r="2352" spans="6:8">
      <c r="H2352" t="s">
        <v>19712</v>
      </c>
    </row>
    <row r="2353" spans="6:8">
      <c r="H2353" t="s">
        <v>19709</v>
      </c>
    </row>
    <row r="2354" spans="6:8">
      <c r="H2354" t="s">
        <v>19706</v>
      </c>
    </row>
    <row r="2355" spans="6:8">
      <c r="H2355" t="s">
        <v>20107</v>
      </c>
    </row>
    <row r="2356" spans="6:8">
      <c r="H2356" t="s">
        <v>20108</v>
      </c>
    </row>
    <row r="2357" spans="6:8">
      <c r="H2357" t="s">
        <v>19713</v>
      </c>
    </row>
    <row r="2358" spans="6:8">
      <c r="H2358" t="s">
        <v>19714</v>
      </c>
    </row>
    <row r="2359" spans="6:8">
      <c r="H2359" t="s">
        <v>20109</v>
      </c>
    </row>
    <row r="2360" spans="6:8">
      <c r="H2360" t="s">
        <v>20095</v>
      </c>
    </row>
    <row r="2361" spans="6:8">
      <c r="H2361" t="s">
        <v>20096</v>
      </c>
    </row>
    <row r="2362" spans="6:8">
      <c r="H2362" t="s">
        <v>20097</v>
      </c>
    </row>
    <row r="2363" spans="6:8">
      <c r="H2363" t="s">
        <v>20098</v>
      </c>
    </row>
    <row r="2364" spans="6:8">
      <c r="F2364" t="s">
        <v>11005</v>
      </c>
      <c r="G2364" t="s">
        <v>15396</v>
      </c>
      <c r="H2364" t="s">
        <v>20091</v>
      </c>
    </row>
    <row r="2365" spans="6:8">
      <c r="H2365" t="s">
        <v>19712</v>
      </c>
    </row>
    <row r="2366" spans="6:8">
      <c r="H2366" t="s">
        <v>19709</v>
      </c>
    </row>
    <row r="2367" spans="6:8">
      <c r="H2367" t="s">
        <v>20107</v>
      </c>
    </row>
    <row r="2368" spans="6:8">
      <c r="H2368" t="s">
        <v>20108</v>
      </c>
    </row>
    <row r="2369" spans="6:8">
      <c r="H2369" t="s">
        <v>19713</v>
      </c>
    </row>
    <row r="2370" spans="6:8">
      <c r="H2370" t="s">
        <v>19714</v>
      </c>
    </row>
    <row r="2371" spans="6:8">
      <c r="H2371" t="s">
        <v>20109</v>
      </c>
    </row>
    <row r="2372" spans="6:8">
      <c r="H2372" t="s">
        <v>20110</v>
      </c>
    </row>
    <row r="2373" spans="6:8">
      <c r="H2373" t="s">
        <v>20111</v>
      </c>
    </row>
    <row r="2374" spans="6:8">
      <c r="H2374" t="s">
        <v>20112</v>
      </c>
    </row>
    <row r="2375" spans="6:8">
      <c r="H2375" t="s">
        <v>20113</v>
      </c>
    </row>
    <row r="2376" spans="6:8">
      <c r="H2376" t="s">
        <v>20095</v>
      </c>
    </row>
    <row r="2377" spans="6:8">
      <c r="H2377" t="s">
        <v>20096</v>
      </c>
    </row>
    <row r="2378" spans="6:8">
      <c r="H2378" t="s">
        <v>20097</v>
      </c>
    </row>
    <row r="2379" spans="6:8">
      <c r="H2379" t="s">
        <v>20098</v>
      </c>
    </row>
    <row r="2380" spans="6:8">
      <c r="F2380" t="s">
        <v>11006</v>
      </c>
      <c r="G2380" t="s">
        <v>15397</v>
      </c>
      <c r="H2380" t="s">
        <v>20091</v>
      </c>
    </row>
    <row r="2381" spans="6:8">
      <c r="H2381" t="s">
        <v>19712</v>
      </c>
    </row>
    <row r="2382" spans="6:8">
      <c r="H2382" t="s">
        <v>19709</v>
      </c>
    </row>
    <row r="2383" spans="6:8">
      <c r="H2383" t="s">
        <v>20092</v>
      </c>
    </row>
    <row r="2384" spans="6:8">
      <c r="H2384" t="s">
        <v>20093</v>
      </c>
    </row>
    <row r="2385" spans="6:8">
      <c r="H2385" t="s">
        <v>20095</v>
      </c>
    </row>
    <row r="2386" spans="6:8">
      <c r="H2386" t="s">
        <v>20096</v>
      </c>
    </row>
    <row r="2387" spans="6:8">
      <c r="H2387" t="s">
        <v>20097</v>
      </c>
    </row>
    <row r="2388" spans="6:8">
      <c r="H2388" t="s">
        <v>20098</v>
      </c>
    </row>
    <row r="2389" spans="6:8">
      <c r="H2389" t="s">
        <v>20099</v>
      </c>
    </row>
    <row r="2390" spans="6:8">
      <c r="H2390" t="s">
        <v>20100</v>
      </c>
    </row>
    <row r="2391" spans="6:8">
      <c r="F2391" t="s">
        <v>11007</v>
      </c>
      <c r="G2391" t="s">
        <v>15398</v>
      </c>
      <c r="H2391" t="s">
        <v>20091</v>
      </c>
    </row>
    <row r="2392" spans="6:8">
      <c r="H2392" t="s">
        <v>19712</v>
      </c>
    </row>
    <row r="2393" spans="6:8">
      <c r="H2393" t="s">
        <v>20095</v>
      </c>
    </row>
    <row r="2394" spans="6:8">
      <c r="H2394" t="s">
        <v>20096</v>
      </c>
    </row>
    <row r="2395" spans="6:8">
      <c r="H2395" t="s">
        <v>20097</v>
      </c>
    </row>
    <row r="2396" spans="6:8">
      <c r="H2396" t="s">
        <v>19709</v>
      </c>
    </row>
    <row r="2397" spans="6:8">
      <c r="H2397" t="s">
        <v>19706</v>
      </c>
    </row>
    <row r="2398" spans="6:8">
      <c r="H2398" t="s">
        <v>20098</v>
      </c>
    </row>
    <row r="2399" spans="6:8">
      <c r="H2399" t="s">
        <v>20099</v>
      </c>
    </row>
    <row r="2400" spans="6:8">
      <c r="H2400" t="s">
        <v>20100</v>
      </c>
    </row>
    <row r="2401" spans="6:8">
      <c r="F2401" t="s">
        <v>11008</v>
      </c>
      <c r="G2401" t="s">
        <v>15399</v>
      </c>
      <c r="H2401" t="s">
        <v>20091</v>
      </c>
    </row>
    <row r="2402" spans="6:8">
      <c r="H2402" t="s">
        <v>19712</v>
      </c>
    </row>
    <row r="2403" spans="6:8">
      <c r="H2403" t="s">
        <v>20095</v>
      </c>
    </row>
    <row r="2404" spans="6:8">
      <c r="H2404" t="s">
        <v>20096</v>
      </c>
    </row>
    <row r="2405" spans="6:8">
      <c r="H2405" t="s">
        <v>20097</v>
      </c>
    </row>
    <row r="2406" spans="6:8">
      <c r="F2406" t="s">
        <v>11009</v>
      </c>
      <c r="G2406" t="s">
        <v>15400</v>
      </c>
      <c r="H2406" t="s">
        <v>20091</v>
      </c>
    </row>
    <row r="2407" spans="6:8">
      <c r="H2407" t="s">
        <v>19712</v>
      </c>
    </row>
    <row r="2408" spans="6:8">
      <c r="H2408" t="s">
        <v>20095</v>
      </c>
    </row>
    <row r="2409" spans="6:8">
      <c r="H2409" t="s">
        <v>20096</v>
      </c>
    </row>
    <row r="2410" spans="6:8">
      <c r="H2410" t="s">
        <v>20097</v>
      </c>
    </row>
    <row r="2411" spans="6:8">
      <c r="F2411" t="s">
        <v>11010</v>
      </c>
      <c r="G2411" t="s">
        <v>15401</v>
      </c>
      <c r="H2411" t="s">
        <v>20091</v>
      </c>
    </row>
    <row r="2412" spans="6:8">
      <c r="H2412" t="s">
        <v>19712</v>
      </c>
    </row>
    <row r="2413" spans="6:8">
      <c r="H2413" t="s">
        <v>20095</v>
      </c>
    </row>
    <row r="2414" spans="6:8">
      <c r="H2414" t="s">
        <v>20096</v>
      </c>
    </row>
    <row r="2415" spans="6:8">
      <c r="H2415" t="s">
        <v>20097</v>
      </c>
    </row>
    <row r="2416" spans="6:8">
      <c r="F2416" t="s">
        <v>11011</v>
      </c>
      <c r="G2416" t="s">
        <v>15402</v>
      </c>
      <c r="H2416" t="s">
        <v>20091</v>
      </c>
    </row>
    <row r="2417" spans="6:8">
      <c r="H2417" t="s">
        <v>19712</v>
      </c>
    </row>
    <row r="2418" spans="6:8">
      <c r="H2418" t="s">
        <v>20095</v>
      </c>
    </row>
    <row r="2419" spans="6:8">
      <c r="H2419" t="s">
        <v>20096</v>
      </c>
    </row>
    <row r="2420" spans="6:8">
      <c r="H2420" t="s">
        <v>20097</v>
      </c>
    </row>
    <row r="2421" spans="6:8">
      <c r="F2421" t="s">
        <v>11012</v>
      </c>
      <c r="G2421" t="s">
        <v>15403</v>
      </c>
      <c r="H2421" t="s">
        <v>20091</v>
      </c>
    </row>
    <row r="2422" spans="6:8">
      <c r="H2422" t="s">
        <v>19712</v>
      </c>
    </row>
    <row r="2423" spans="6:8">
      <c r="H2423" t="s">
        <v>19709</v>
      </c>
    </row>
    <row r="2424" spans="6:8">
      <c r="H2424" t="s">
        <v>20107</v>
      </c>
    </row>
    <row r="2425" spans="6:8">
      <c r="H2425" t="s">
        <v>20108</v>
      </c>
    </row>
    <row r="2426" spans="6:8">
      <c r="H2426" t="s">
        <v>19713</v>
      </c>
    </row>
    <row r="2427" spans="6:8">
      <c r="H2427" t="s">
        <v>19714</v>
      </c>
    </row>
    <row r="2428" spans="6:8">
      <c r="H2428" t="s">
        <v>20109</v>
      </c>
    </row>
    <row r="2429" spans="6:8">
      <c r="H2429" t="s">
        <v>20110</v>
      </c>
    </row>
    <row r="2430" spans="6:8">
      <c r="H2430" t="s">
        <v>20111</v>
      </c>
    </row>
    <row r="2431" spans="6:8">
      <c r="H2431" t="s">
        <v>20112</v>
      </c>
    </row>
    <row r="2432" spans="6:8">
      <c r="H2432" t="s">
        <v>20113</v>
      </c>
    </row>
    <row r="2433" spans="6:8">
      <c r="H2433" t="s">
        <v>20114</v>
      </c>
    </row>
    <row r="2434" spans="6:8">
      <c r="H2434" t="s">
        <v>20095</v>
      </c>
    </row>
    <row r="2435" spans="6:8">
      <c r="H2435" t="s">
        <v>20096</v>
      </c>
    </row>
    <row r="2436" spans="6:8">
      <c r="H2436" t="s">
        <v>20097</v>
      </c>
    </row>
    <row r="2437" spans="6:8">
      <c r="H2437" t="s">
        <v>20098</v>
      </c>
    </row>
    <row r="2438" spans="6:8">
      <c r="F2438" t="s">
        <v>11013</v>
      </c>
      <c r="G2438" t="s">
        <v>15404</v>
      </c>
      <c r="H2438" t="s">
        <v>20091</v>
      </c>
    </row>
    <row r="2439" spans="6:8">
      <c r="H2439" t="s">
        <v>19712</v>
      </c>
    </row>
    <row r="2440" spans="6:8">
      <c r="H2440" t="s">
        <v>19709</v>
      </c>
    </row>
    <row r="2441" spans="6:8">
      <c r="H2441" t="s">
        <v>20095</v>
      </c>
    </row>
    <row r="2442" spans="6:8">
      <c r="H2442" t="s">
        <v>20096</v>
      </c>
    </row>
    <row r="2443" spans="6:8">
      <c r="H2443" t="s">
        <v>20097</v>
      </c>
    </row>
    <row r="2444" spans="6:8">
      <c r="H2444" t="s">
        <v>20098</v>
      </c>
    </row>
    <row r="2445" spans="6:8">
      <c r="F2445" t="s">
        <v>11014</v>
      </c>
      <c r="G2445" t="s">
        <v>15405</v>
      </c>
      <c r="H2445" t="s">
        <v>20091</v>
      </c>
    </row>
    <row r="2446" spans="6:8">
      <c r="H2446" t="s">
        <v>19712</v>
      </c>
    </row>
    <row r="2447" spans="6:8">
      <c r="H2447" t="s">
        <v>19709</v>
      </c>
    </row>
    <row r="2448" spans="6:8">
      <c r="H2448" t="s">
        <v>19706</v>
      </c>
    </row>
    <row r="2449" spans="6:8">
      <c r="H2449" t="s">
        <v>20095</v>
      </c>
    </row>
    <row r="2450" spans="6:8">
      <c r="H2450" t="s">
        <v>20098</v>
      </c>
    </row>
    <row r="2451" spans="6:8">
      <c r="F2451" t="s">
        <v>11015</v>
      </c>
      <c r="G2451" t="s">
        <v>15406</v>
      </c>
      <c r="H2451" t="s">
        <v>20091</v>
      </c>
    </row>
    <row r="2452" spans="6:8">
      <c r="H2452" t="s">
        <v>19712</v>
      </c>
    </row>
    <row r="2453" spans="6:8">
      <c r="H2453" t="s">
        <v>19709</v>
      </c>
    </row>
    <row r="2454" spans="6:8">
      <c r="H2454" t="s">
        <v>19706</v>
      </c>
    </row>
    <row r="2455" spans="6:8">
      <c r="H2455" t="s">
        <v>20095</v>
      </c>
    </row>
    <row r="2456" spans="6:8">
      <c r="H2456" t="s">
        <v>20098</v>
      </c>
    </row>
    <row r="2457" spans="6:8">
      <c r="F2457" t="s">
        <v>11016</v>
      </c>
      <c r="G2457" t="s">
        <v>15407</v>
      </c>
      <c r="H2457" t="s">
        <v>20091</v>
      </c>
    </row>
    <row r="2458" spans="6:8">
      <c r="H2458" t="s">
        <v>19712</v>
      </c>
    </row>
    <row r="2459" spans="6:8">
      <c r="H2459" t="s">
        <v>19709</v>
      </c>
    </row>
    <row r="2460" spans="6:8">
      <c r="H2460" t="s">
        <v>19706</v>
      </c>
    </row>
    <row r="2461" spans="6:8">
      <c r="H2461" t="s">
        <v>19707</v>
      </c>
    </row>
    <row r="2462" spans="6:8">
      <c r="H2462" t="s">
        <v>20095</v>
      </c>
    </row>
    <row r="2463" spans="6:8">
      <c r="H2463" t="s">
        <v>20098</v>
      </c>
    </row>
    <row r="2464" spans="6:8">
      <c r="F2464" t="s">
        <v>11017</v>
      </c>
      <c r="G2464" t="s">
        <v>15408</v>
      </c>
      <c r="H2464" t="s">
        <v>20091</v>
      </c>
    </row>
    <row r="2465" spans="6:8">
      <c r="H2465" t="s">
        <v>19712</v>
      </c>
    </row>
    <row r="2466" spans="6:8">
      <c r="H2466" t="s">
        <v>19709</v>
      </c>
    </row>
    <row r="2467" spans="6:8">
      <c r="H2467" t="s">
        <v>19706</v>
      </c>
    </row>
    <row r="2468" spans="6:8">
      <c r="H2468" t="s">
        <v>20095</v>
      </c>
    </row>
    <row r="2469" spans="6:8">
      <c r="H2469" t="s">
        <v>20096</v>
      </c>
    </row>
    <row r="2470" spans="6:8">
      <c r="H2470" t="s">
        <v>20097</v>
      </c>
    </row>
    <row r="2471" spans="6:8">
      <c r="H2471" t="s">
        <v>20098</v>
      </c>
    </row>
    <row r="2472" spans="6:8">
      <c r="F2472" t="s">
        <v>11018</v>
      </c>
      <c r="G2472" t="s">
        <v>15409</v>
      </c>
      <c r="H2472" t="s">
        <v>20091</v>
      </c>
    </row>
    <row r="2473" spans="6:8">
      <c r="H2473" t="s">
        <v>19712</v>
      </c>
    </row>
    <row r="2474" spans="6:8">
      <c r="H2474" t="s">
        <v>19709</v>
      </c>
    </row>
    <row r="2475" spans="6:8">
      <c r="H2475" t="s">
        <v>20095</v>
      </c>
    </row>
    <row r="2476" spans="6:8">
      <c r="H2476" t="s">
        <v>20096</v>
      </c>
    </row>
    <row r="2477" spans="6:8">
      <c r="H2477" t="s">
        <v>20097</v>
      </c>
    </row>
    <row r="2478" spans="6:8">
      <c r="H2478" t="s">
        <v>20098</v>
      </c>
    </row>
    <row r="2479" spans="6:8">
      <c r="F2479" t="s">
        <v>11019</v>
      </c>
      <c r="G2479" t="s">
        <v>15410</v>
      </c>
      <c r="H2479" t="s">
        <v>20091</v>
      </c>
    </row>
    <row r="2480" spans="6:8">
      <c r="H2480" t="s">
        <v>19712</v>
      </c>
    </row>
    <row r="2481" spans="6:8">
      <c r="H2481" t="s">
        <v>19709</v>
      </c>
    </row>
    <row r="2482" spans="6:8">
      <c r="H2482" t="s">
        <v>20107</v>
      </c>
    </row>
    <row r="2483" spans="6:8">
      <c r="H2483" t="s">
        <v>20108</v>
      </c>
    </row>
    <row r="2484" spans="6:8">
      <c r="H2484" t="s">
        <v>19713</v>
      </c>
    </row>
    <row r="2485" spans="6:8">
      <c r="H2485" t="s">
        <v>19714</v>
      </c>
    </row>
    <row r="2486" spans="6:8">
      <c r="H2486" t="s">
        <v>20109</v>
      </c>
    </row>
    <row r="2487" spans="6:8">
      <c r="H2487" t="s">
        <v>20110</v>
      </c>
    </row>
    <row r="2488" spans="6:8">
      <c r="H2488" t="s">
        <v>20095</v>
      </c>
    </row>
    <row r="2489" spans="6:8">
      <c r="H2489" t="s">
        <v>20096</v>
      </c>
    </row>
    <row r="2490" spans="6:8">
      <c r="H2490" t="s">
        <v>20097</v>
      </c>
    </row>
    <row r="2491" spans="6:8">
      <c r="H2491" t="s">
        <v>20098</v>
      </c>
    </row>
    <row r="2492" spans="6:8">
      <c r="H2492" t="s">
        <v>20099</v>
      </c>
    </row>
    <row r="2493" spans="6:8">
      <c r="F2493" t="s">
        <v>11020</v>
      </c>
      <c r="G2493" t="s">
        <v>15411</v>
      </c>
      <c r="H2493" t="s">
        <v>20091</v>
      </c>
    </row>
    <row r="2494" spans="6:8">
      <c r="H2494" t="s">
        <v>19712</v>
      </c>
    </row>
    <row r="2495" spans="6:8">
      <c r="H2495" t="s">
        <v>19709</v>
      </c>
    </row>
    <row r="2496" spans="6:8">
      <c r="H2496" t="s">
        <v>20107</v>
      </c>
    </row>
    <row r="2497" spans="6:8">
      <c r="H2497" t="s">
        <v>20108</v>
      </c>
    </row>
    <row r="2498" spans="6:8">
      <c r="H2498" t="s">
        <v>19713</v>
      </c>
    </row>
    <row r="2499" spans="6:8">
      <c r="H2499" t="s">
        <v>19714</v>
      </c>
    </row>
    <row r="2500" spans="6:8">
      <c r="H2500" t="s">
        <v>20109</v>
      </c>
    </row>
    <row r="2501" spans="6:8">
      <c r="H2501" t="s">
        <v>20110</v>
      </c>
    </row>
    <row r="2502" spans="6:8">
      <c r="H2502" t="s">
        <v>20095</v>
      </c>
    </row>
    <row r="2503" spans="6:8">
      <c r="H2503" t="s">
        <v>20096</v>
      </c>
    </row>
    <row r="2504" spans="6:8">
      <c r="H2504" t="s">
        <v>20097</v>
      </c>
    </row>
    <row r="2505" spans="6:8">
      <c r="H2505" t="s">
        <v>20098</v>
      </c>
    </row>
    <row r="2506" spans="6:8">
      <c r="F2506" t="s">
        <v>11021</v>
      </c>
      <c r="G2506" t="s">
        <v>15412</v>
      </c>
      <c r="H2506" t="s">
        <v>20091</v>
      </c>
    </row>
    <row r="2507" spans="6:8">
      <c r="H2507" t="s">
        <v>19712</v>
      </c>
    </row>
    <row r="2508" spans="6:8">
      <c r="H2508" t="s">
        <v>19709</v>
      </c>
    </row>
    <row r="2509" spans="6:8">
      <c r="H2509" t="s">
        <v>20107</v>
      </c>
    </row>
    <row r="2510" spans="6:8">
      <c r="H2510" t="s">
        <v>20108</v>
      </c>
    </row>
    <row r="2511" spans="6:8">
      <c r="H2511" t="s">
        <v>19713</v>
      </c>
    </row>
    <row r="2512" spans="6:8">
      <c r="H2512" t="s">
        <v>19714</v>
      </c>
    </row>
    <row r="2513" spans="6:8">
      <c r="H2513" t="s">
        <v>20109</v>
      </c>
    </row>
    <row r="2514" spans="6:8">
      <c r="H2514" t="s">
        <v>20110</v>
      </c>
    </row>
    <row r="2515" spans="6:8">
      <c r="H2515" t="s">
        <v>20095</v>
      </c>
    </row>
    <row r="2516" spans="6:8">
      <c r="H2516" t="s">
        <v>20096</v>
      </c>
    </row>
    <row r="2517" spans="6:8">
      <c r="H2517" t="s">
        <v>20097</v>
      </c>
    </row>
    <row r="2518" spans="6:8">
      <c r="H2518" t="s">
        <v>20098</v>
      </c>
    </row>
    <row r="2519" spans="6:8">
      <c r="H2519" t="s">
        <v>20099</v>
      </c>
    </row>
    <row r="2520" spans="6:8">
      <c r="F2520" t="s">
        <v>11022</v>
      </c>
      <c r="G2520" t="s">
        <v>15413</v>
      </c>
      <c r="H2520" t="s">
        <v>20091</v>
      </c>
    </row>
    <row r="2521" spans="6:8">
      <c r="H2521" t="s">
        <v>19712</v>
      </c>
    </row>
    <row r="2522" spans="6:8">
      <c r="H2522" t="s">
        <v>19709</v>
      </c>
    </row>
    <row r="2523" spans="6:8">
      <c r="H2523" t="s">
        <v>20107</v>
      </c>
    </row>
    <row r="2524" spans="6:8">
      <c r="H2524" t="s">
        <v>20108</v>
      </c>
    </row>
    <row r="2525" spans="6:8">
      <c r="H2525" t="s">
        <v>19713</v>
      </c>
    </row>
    <row r="2526" spans="6:8">
      <c r="H2526" t="s">
        <v>19714</v>
      </c>
    </row>
    <row r="2527" spans="6:8">
      <c r="H2527" t="s">
        <v>20109</v>
      </c>
    </row>
    <row r="2528" spans="6:8">
      <c r="H2528" t="s">
        <v>20110</v>
      </c>
    </row>
    <row r="2529" spans="6:8">
      <c r="H2529" t="s">
        <v>20111</v>
      </c>
    </row>
    <row r="2530" spans="6:8">
      <c r="H2530" t="s">
        <v>20112</v>
      </c>
    </row>
    <row r="2531" spans="6:8">
      <c r="H2531" t="s">
        <v>20113</v>
      </c>
    </row>
    <row r="2532" spans="6:8">
      <c r="H2532" t="s">
        <v>20095</v>
      </c>
    </row>
    <row r="2533" spans="6:8">
      <c r="H2533" t="s">
        <v>20096</v>
      </c>
    </row>
    <row r="2534" spans="6:8">
      <c r="H2534" t="s">
        <v>20097</v>
      </c>
    </row>
    <row r="2535" spans="6:8">
      <c r="H2535" t="s">
        <v>20098</v>
      </c>
    </row>
    <row r="2536" spans="6:8">
      <c r="F2536" t="s">
        <v>11023</v>
      </c>
      <c r="G2536" t="s">
        <v>15414</v>
      </c>
      <c r="H2536" t="s">
        <v>20091</v>
      </c>
    </row>
    <row r="2537" spans="6:8">
      <c r="H2537" t="s">
        <v>19712</v>
      </c>
    </row>
    <row r="2538" spans="6:8">
      <c r="H2538" t="s">
        <v>20092</v>
      </c>
    </row>
    <row r="2539" spans="6:8">
      <c r="H2539" t="s">
        <v>20093</v>
      </c>
    </row>
    <row r="2540" spans="6:8">
      <c r="H2540" t="s">
        <v>20094</v>
      </c>
    </row>
    <row r="2541" spans="6:8">
      <c r="H2541" t="s">
        <v>20095</v>
      </c>
    </row>
    <row r="2542" spans="6:8">
      <c r="H2542" t="s">
        <v>20096</v>
      </c>
    </row>
    <row r="2543" spans="6:8">
      <c r="H2543" t="s">
        <v>20097</v>
      </c>
    </row>
    <row r="2544" spans="6:8">
      <c r="H2544" t="s">
        <v>20098</v>
      </c>
    </row>
    <row r="2545" spans="6:8">
      <c r="H2545" t="s">
        <v>20099</v>
      </c>
    </row>
    <row r="2546" spans="6:8">
      <c r="H2546" t="s">
        <v>20100</v>
      </c>
    </row>
    <row r="2547" spans="6:8">
      <c r="H2547" t="s">
        <v>20101</v>
      </c>
    </row>
    <row r="2548" spans="6:8">
      <c r="H2548" t="s">
        <v>20102</v>
      </c>
    </row>
    <row r="2549" spans="6:8">
      <c r="F2549" t="s">
        <v>11024</v>
      </c>
      <c r="G2549" t="s">
        <v>15415</v>
      </c>
      <c r="H2549" t="s">
        <v>20091</v>
      </c>
    </row>
    <row r="2550" spans="6:8">
      <c r="H2550" t="s">
        <v>19712</v>
      </c>
    </row>
    <row r="2551" spans="6:8">
      <c r="H2551" t="s">
        <v>20092</v>
      </c>
    </row>
    <row r="2552" spans="6:8">
      <c r="H2552" t="s">
        <v>20093</v>
      </c>
    </row>
    <row r="2553" spans="6:8">
      <c r="H2553" t="s">
        <v>20094</v>
      </c>
    </row>
    <row r="2554" spans="6:8">
      <c r="H2554" t="s">
        <v>20095</v>
      </c>
    </row>
    <row r="2555" spans="6:8">
      <c r="H2555" t="s">
        <v>20096</v>
      </c>
    </row>
    <row r="2556" spans="6:8">
      <c r="H2556" t="s">
        <v>20097</v>
      </c>
    </row>
    <row r="2557" spans="6:8">
      <c r="H2557" t="s">
        <v>20098</v>
      </c>
    </row>
    <row r="2558" spans="6:8">
      <c r="H2558" t="s">
        <v>20099</v>
      </c>
    </row>
    <row r="2559" spans="6:8">
      <c r="H2559" t="s">
        <v>20100</v>
      </c>
    </row>
    <row r="2560" spans="6:8">
      <c r="H2560" t="s">
        <v>20101</v>
      </c>
    </row>
    <row r="2561" spans="6:8">
      <c r="H2561" t="s">
        <v>20102</v>
      </c>
    </row>
    <row r="2562" spans="6:8">
      <c r="F2562" t="s">
        <v>11025</v>
      </c>
      <c r="G2562" t="s">
        <v>15416</v>
      </c>
      <c r="H2562" t="s">
        <v>20091</v>
      </c>
    </row>
    <row r="2563" spans="6:8">
      <c r="H2563" t="s">
        <v>19712</v>
      </c>
    </row>
    <row r="2564" spans="6:8">
      <c r="H2564" t="s">
        <v>19709</v>
      </c>
    </row>
    <row r="2565" spans="6:8">
      <c r="H2565" t="s">
        <v>20107</v>
      </c>
    </row>
    <row r="2566" spans="6:8">
      <c r="H2566" t="s">
        <v>20108</v>
      </c>
    </row>
    <row r="2567" spans="6:8">
      <c r="H2567" t="s">
        <v>19713</v>
      </c>
    </row>
    <row r="2568" spans="6:8">
      <c r="H2568" t="s">
        <v>19714</v>
      </c>
    </row>
    <row r="2569" spans="6:8">
      <c r="H2569" t="s">
        <v>20109</v>
      </c>
    </row>
    <row r="2570" spans="6:8">
      <c r="H2570" t="s">
        <v>20095</v>
      </c>
    </row>
    <row r="2571" spans="6:8">
      <c r="H2571" t="s">
        <v>20096</v>
      </c>
    </row>
    <row r="2572" spans="6:8">
      <c r="H2572" t="s">
        <v>20097</v>
      </c>
    </row>
    <row r="2573" spans="6:8">
      <c r="H2573" t="s">
        <v>20098</v>
      </c>
    </row>
    <row r="2574" spans="6:8">
      <c r="F2574" t="s">
        <v>11026</v>
      </c>
      <c r="G2574" t="s">
        <v>15417</v>
      </c>
      <c r="H2574" t="s">
        <v>20091</v>
      </c>
    </row>
    <row r="2575" spans="6:8">
      <c r="H2575" t="s">
        <v>19712</v>
      </c>
    </row>
    <row r="2576" spans="6:8">
      <c r="H2576" t="s">
        <v>19709</v>
      </c>
    </row>
    <row r="2577" spans="6:8">
      <c r="H2577" t="s">
        <v>20107</v>
      </c>
    </row>
    <row r="2578" spans="6:8">
      <c r="H2578" t="s">
        <v>20108</v>
      </c>
    </row>
    <row r="2579" spans="6:8">
      <c r="H2579" t="s">
        <v>19713</v>
      </c>
    </row>
    <row r="2580" spans="6:8">
      <c r="H2580" t="s">
        <v>19714</v>
      </c>
    </row>
    <row r="2581" spans="6:8">
      <c r="H2581" t="s">
        <v>20109</v>
      </c>
    </row>
    <row r="2582" spans="6:8">
      <c r="H2582" t="s">
        <v>20095</v>
      </c>
    </row>
    <row r="2583" spans="6:8">
      <c r="H2583" t="s">
        <v>20096</v>
      </c>
    </row>
    <row r="2584" spans="6:8">
      <c r="H2584" t="s">
        <v>20097</v>
      </c>
    </row>
    <row r="2585" spans="6:8">
      <c r="H2585" t="s">
        <v>20098</v>
      </c>
    </row>
    <row r="2586" spans="6:8">
      <c r="F2586" t="s">
        <v>11027</v>
      </c>
      <c r="G2586" t="s">
        <v>15418</v>
      </c>
      <c r="H2586" t="s">
        <v>20091</v>
      </c>
    </row>
    <row r="2587" spans="6:8">
      <c r="H2587" t="s">
        <v>20095</v>
      </c>
    </row>
    <row r="2588" spans="6:8">
      <c r="F2588" t="s">
        <v>11028</v>
      </c>
      <c r="G2588" t="s">
        <v>15419</v>
      </c>
      <c r="H2588" t="s">
        <v>20091</v>
      </c>
    </row>
    <row r="2589" spans="6:8">
      <c r="H2589" t="s">
        <v>20095</v>
      </c>
    </row>
    <row r="2590" spans="6:8">
      <c r="F2590" t="s">
        <v>11029</v>
      </c>
      <c r="G2590" t="s">
        <v>15420</v>
      </c>
      <c r="H2590" t="s">
        <v>20091</v>
      </c>
    </row>
    <row r="2591" spans="6:8">
      <c r="H2591" t="s">
        <v>20095</v>
      </c>
    </row>
    <row r="2592" spans="6:8">
      <c r="F2592" t="s">
        <v>11030</v>
      </c>
      <c r="G2592" t="s">
        <v>15421</v>
      </c>
      <c r="H2592" t="s">
        <v>20091</v>
      </c>
    </row>
    <row r="2593" spans="6:8">
      <c r="H2593" t="s">
        <v>19712</v>
      </c>
    </row>
    <row r="2594" spans="6:8">
      <c r="H2594" t="s">
        <v>19709</v>
      </c>
    </row>
    <row r="2595" spans="6:8">
      <c r="H2595" t="s">
        <v>20107</v>
      </c>
    </row>
    <row r="2596" spans="6:8">
      <c r="H2596" t="s">
        <v>20108</v>
      </c>
    </row>
    <row r="2597" spans="6:8">
      <c r="H2597" t="s">
        <v>19713</v>
      </c>
    </row>
    <row r="2598" spans="6:8">
      <c r="H2598" t="s">
        <v>19714</v>
      </c>
    </row>
    <row r="2599" spans="6:8">
      <c r="H2599" t="s">
        <v>20109</v>
      </c>
    </row>
    <row r="2600" spans="6:8">
      <c r="H2600" t="s">
        <v>20110</v>
      </c>
    </row>
    <row r="2601" spans="6:8">
      <c r="H2601" t="s">
        <v>20111</v>
      </c>
    </row>
    <row r="2602" spans="6:8">
      <c r="H2602" t="s">
        <v>20112</v>
      </c>
    </row>
    <row r="2603" spans="6:8">
      <c r="H2603" t="s">
        <v>20113</v>
      </c>
    </row>
    <row r="2604" spans="6:8">
      <c r="H2604" t="s">
        <v>20095</v>
      </c>
    </row>
    <row r="2605" spans="6:8">
      <c r="H2605" t="s">
        <v>20096</v>
      </c>
    </row>
    <row r="2606" spans="6:8">
      <c r="H2606" t="s">
        <v>20097</v>
      </c>
    </row>
    <row r="2607" spans="6:8">
      <c r="H2607" t="s">
        <v>20098</v>
      </c>
    </row>
    <row r="2608" spans="6:8">
      <c r="F2608" t="s">
        <v>11031</v>
      </c>
      <c r="G2608" t="s">
        <v>15422</v>
      </c>
      <c r="H2608" t="s">
        <v>20091</v>
      </c>
    </row>
    <row r="2609" spans="6:8">
      <c r="H2609" t="s">
        <v>19712</v>
      </c>
    </row>
    <row r="2610" spans="6:8">
      <c r="H2610" t="s">
        <v>20095</v>
      </c>
    </row>
    <row r="2611" spans="6:8">
      <c r="H2611" t="s">
        <v>20096</v>
      </c>
    </row>
    <row r="2612" spans="6:8">
      <c r="H2612" t="s">
        <v>20097</v>
      </c>
    </row>
    <row r="2613" spans="6:8">
      <c r="H2613" t="s">
        <v>20098</v>
      </c>
    </row>
    <row r="2614" spans="6:8">
      <c r="H2614" t="s">
        <v>19709</v>
      </c>
    </row>
    <row r="2615" spans="6:8">
      <c r="H2615" t="s">
        <v>19706</v>
      </c>
    </row>
    <row r="2616" spans="6:8">
      <c r="H2616" t="s">
        <v>20099</v>
      </c>
    </row>
    <row r="2617" spans="6:8">
      <c r="H2617" t="s">
        <v>20100</v>
      </c>
    </row>
    <row r="2618" spans="6:8">
      <c r="H2618" t="s">
        <v>20101</v>
      </c>
    </row>
    <row r="2619" spans="6:8">
      <c r="H2619" t="s">
        <v>20102</v>
      </c>
    </row>
    <row r="2620" spans="6:8">
      <c r="F2620" t="s">
        <v>11032</v>
      </c>
      <c r="G2620" t="s">
        <v>15423</v>
      </c>
      <c r="H2620" t="s">
        <v>20091</v>
      </c>
    </row>
    <row r="2621" spans="6:8">
      <c r="H2621" t="s">
        <v>19712</v>
      </c>
    </row>
    <row r="2622" spans="6:8">
      <c r="H2622" t="s">
        <v>20095</v>
      </c>
    </row>
    <row r="2623" spans="6:8">
      <c r="H2623" t="s">
        <v>20096</v>
      </c>
    </row>
    <row r="2624" spans="6:8">
      <c r="H2624" t="s">
        <v>20097</v>
      </c>
    </row>
    <row r="2625" spans="6:8">
      <c r="H2625" t="s">
        <v>20098</v>
      </c>
    </row>
    <row r="2626" spans="6:8">
      <c r="F2626" t="s">
        <v>11033</v>
      </c>
      <c r="G2626" t="s">
        <v>15424</v>
      </c>
      <c r="H2626" t="s">
        <v>20091</v>
      </c>
    </row>
    <row r="2627" spans="6:8">
      <c r="H2627" t="s">
        <v>19712</v>
      </c>
    </row>
    <row r="2628" spans="6:8">
      <c r="H2628" t="s">
        <v>20095</v>
      </c>
    </row>
    <row r="2629" spans="6:8">
      <c r="H2629" t="s">
        <v>20096</v>
      </c>
    </row>
    <row r="2630" spans="6:8">
      <c r="H2630" t="s">
        <v>20097</v>
      </c>
    </row>
    <row r="2631" spans="6:8">
      <c r="H2631" t="s">
        <v>20098</v>
      </c>
    </row>
    <row r="2632" spans="6:8">
      <c r="F2632" t="s">
        <v>11034</v>
      </c>
      <c r="G2632" t="s">
        <v>15425</v>
      </c>
      <c r="H2632" t="s">
        <v>20091</v>
      </c>
    </row>
    <row r="2633" spans="6:8">
      <c r="H2633" t="s">
        <v>19712</v>
      </c>
    </row>
    <row r="2634" spans="6:8">
      <c r="H2634" t="s">
        <v>20095</v>
      </c>
    </row>
    <row r="2635" spans="6:8">
      <c r="H2635" t="s">
        <v>20096</v>
      </c>
    </row>
    <row r="2636" spans="6:8">
      <c r="H2636" t="s">
        <v>20097</v>
      </c>
    </row>
    <row r="2637" spans="6:8">
      <c r="H2637" t="s">
        <v>20098</v>
      </c>
    </row>
    <row r="2638" spans="6:8">
      <c r="F2638" t="s">
        <v>11035</v>
      </c>
      <c r="G2638" t="s">
        <v>15426</v>
      </c>
      <c r="H2638" t="s">
        <v>20091</v>
      </c>
    </row>
    <row r="2639" spans="6:8">
      <c r="H2639" t="s">
        <v>19712</v>
      </c>
    </row>
    <row r="2640" spans="6:8">
      <c r="H2640" t="s">
        <v>20095</v>
      </c>
    </row>
    <row r="2641" spans="6:8">
      <c r="H2641" t="s">
        <v>20096</v>
      </c>
    </row>
    <row r="2642" spans="6:8">
      <c r="H2642" t="s">
        <v>20097</v>
      </c>
    </row>
    <row r="2643" spans="6:8">
      <c r="H2643" t="s">
        <v>20098</v>
      </c>
    </row>
    <row r="2644" spans="6:8">
      <c r="F2644" t="s">
        <v>11036</v>
      </c>
      <c r="G2644" t="s">
        <v>15427</v>
      </c>
      <c r="H2644" t="s">
        <v>20091</v>
      </c>
    </row>
    <row r="2645" spans="6:8">
      <c r="H2645" t="s">
        <v>19712</v>
      </c>
    </row>
    <row r="2646" spans="6:8">
      <c r="H2646" t="s">
        <v>19709</v>
      </c>
    </row>
    <row r="2647" spans="6:8">
      <c r="H2647" t="s">
        <v>20107</v>
      </c>
    </row>
    <row r="2648" spans="6:8">
      <c r="H2648" t="s">
        <v>20108</v>
      </c>
    </row>
    <row r="2649" spans="6:8">
      <c r="H2649" t="s">
        <v>19713</v>
      </c>
    </row>
    <row r="2650" spans="6:8">
      <c r="H2650" t="s">
        <v>19714</v>
      </c>
    </row>
    <row r="2651" spans="6:8">
      <c r="H2651" t="s">
        <v>20109</v>
      </c>
    </row>
    <row r="2652" spans="6:8">
      <c r="H2652" t="s">
        <v>20110</v>
      </c>
    </row>
    <row r="2653" spans="6:8">
      <c r="H2653" t="s">
        <v>20111</v>
      </c>
    </row>
    <row r="2654" spans="6:8">
      <c r="H2654" t="s">
        <v>20112</v>
      </c>
    </row>
    <row r="2655" spans="6:8">
      <c r="H2655" t="s">
        <v>20095</v>
      </c>
    </row>
    <row r="2656" spans="6:8">
      <c r="H2656" t="s">
        <v>20096</v>
      </c>
    </row>
    <row r="2657" spans="6:8">
      <c r="H2657" t="s">
        <v>20097</v>
      </c>
    </row>
    <row r="2658" spans="6:8">
      <c r="H2658" t="s">
        <v>20098</v>
      </c>
    </row>
    <row r="2659" spans="6:8">
      <c r="F2659" t="s">
        <v>11037</v>
      </c>
      <c r="G2659" t="s">
        <v>15428</v>
      </c>
      <c r="H2659" t="s">
        <v>20091</v>
      </c>
    </row>
    <row r="2660" spans="6:8">
      <c r="H2660" t="s">
        <v>19712</v>
      </c>
    </row>
    <row r="2661" spans="6:8">
      <c r="H2661" t="s">
        <v>19709</v>
      </c>
    </row>
    <row r="2662" spans="6:8">
      <c r="H2662" t="s">
        <v>19706</v>
      </c>
    </row>
    <row r="2663" spans="6:8">
      <c r="H2663" t="s">
        <v>20107</v>
      </c>
    </row>
    <row r="2664" spans="6:8">
      <c r="H2664" t="s">
        <v>20108</v>
      </c>
    </row>
    <row r="2665" spans="6:8">
      <c r="H2665" t="s">
        <v>19713</v>
      </c>
    </row>
    <row r="2666" spans="6:8">
      <c r="H2666" t="s">
        <v>19714</v>
      </c>
    </row>
    <row r="2667" spans="6:8">
      <c r="H2667" t="s">
        <v>20109</v>
      </c>
    </row>
    <row r="2668" spans="6:8">
      <c r="H2668" t="s">
        <v>20095</v>
      </c>
    </row>
    <row r="2669" spans="6:8">
      <c r="H2669" t="s">
        <v>20096</v>
      </c>
    </row>
    <row r="2670" spans="6:8">
      <c r="H2670" t="s">
        <v>20097</v>
      </c>
    </row>
    <row r="2671" spans="6:8">
      <c r="H2671" t="s">
        <v>20098</v>
      </c>
    </row>
    <row r="2672" spans="6:8">
      <c r="F2672" t="s">
        <v>11038</v>
      </c>
      <c r="G2672" t="s">
        <v>15429</v>
      </c>
      <c r="H2672" t="s">
        <v>20091</v>
      </c>
    </row>
    <row r="2673" spans="6:8">
      <c r="H2673" t="s">
        <v>19712</v>
      </c>
    </row>
    <row r="2674" spans="6:8">
      <c r="H2674" t="s">
        <v>19709</v>
      </c>
    </row>
    <row r="2675" spans="6:8">
      <c r="H2675" t="s">
        <v>20107</v>
      </c>
    </row>
    <row r="2676" spans="6:8">
      <c r="H2676" t="s">
        <v>20108</v>
      </c>
    </row>
    <row r="2677" spans="6:8">
      <c r="H2677" t="s">
        <v>19713</v>
      </c>
    </row>
    <row r="2678" spans="6:8">
      <c r="H2678" t="s">
        <v>19714</v>
      </c>
    </row>
    <row r="2679" spans="6:8">
      <c r="H2679" t="s">
        <v>20109</v>
      </c>
    </row>
    <row r="2680" spans="6:8">
      <c r="H2680" t="s">
        <v>20110</v>
      </c>
    </row>
    <row r="2681" spans="6:8">
      <c r="H2681" t="s">
        <v>20111</v>
      </c>
    </row>
    <row r="2682" spans="6:8">
      <c r="H2682" t="s">
        <v>20112</v>
      </c>
    </row>
    <row r="2683" spans="6:8">
      <c r="H2683" t="s">
        <v>20113</v>
      </c>
    </row>
    <row r="2684" spans="6:8">
      <c r="H2684" t="s">
        <v>20095</v>
      </c>
    </row>
    <row r="2685" spans="6:8">
      <c r="H2685" t="s">
        <v>20096</v>
      </c>
    </row>
    <row r="2686" spans="6:8">
      <c r="H2686" t="s">
        <v>20097</v>
      </c>
    </row>
    <row r="2687" spans="6:8">
      <c r="H2687" t="s">
        <v>20098</v>
      </c>
    </row>
    <row r="2688" spans="6:8">
      <c r="F2688" t="s">
        <v>11039</v>
      </c>
      <c r="G2688" t="s">
        <v>15430</v>
      </c>
      <c r="H2688" t="s">
        <v>20091</v>
      </c>
    </row>
    <row r="2689" spans="6:8">
      <c r="H2689" t="s">
        <v>19712</v>
      </c>
    </row>
    <row r="2690" spans="6:8">
      <c r="H2690" t="s">
        <v>19709</v>
      </c>
    </row>
    <row r="2691" spans="6:8">
      <c r="H2691" t="s">
        <v>20092</v>
      </c>
    </row>
    <row r="2692" spans="6:8">
      <c r="H2692" t="s">
        <v>20093</v>
      </c>
    </row>
    <row r="2693" spans="6:8">
      <c r="H2693" t="s">
        <v>20095</v>
      </c>
    </row>
    <row r="2694" spans="6:8">
      <c r="H2694" t="s">
        <v>20096</v>
      </c>
    </row>
    <row r="2695" spans="6:8">
      <c r="H2695" t="s">
        <v>20097</v>
      </c>
    </row>
    <row r="2696" spans="6:8">
      <c r="H2696" t="s">
        <v>20098</v>
      </c>
    </row>
    <row r="2697" spans="6:8">
      <c r="H2697" t="s">
        <v>20099</v>
      </c>
    </row>
    <row r="2698" spans="6:8">
      <c r="H2698" t="s">
        <v>20100</v>
      </c>
    </row>
    <row r="2699" spans="6:8">
      <c r="F2699" t="s">
        <v>11040</v>
      </c>
      <c r="G2699" t="s">
        <v>15431</v>
      </c>
      <c r="H2699" t="s">
        <v>20091</v>
      </c>
    </row>
    <row r="2700" spans="6:8">
      <c r="H2700" t="s">
        <v>19712</v>
      </c>
    </row>
    <row r="2701" spans="6:8">
      <c r="H2701" t="s">
        <v>20095</v>
      </c>
    </row>
    <row r="2702" spans="6:8">
      <c r="H2702" t="s">
        <v>20096</v>
      </c>
    </row>
    <row r="2703" spans="6:8">
      <c r="H2703" t="s">
        <v>20097</v>
      </c>
    </row>
    <row r="2704" spans="6:8">
      <c r="H2704" t="s">
        <v>19709</v>
      </c>
    </row>
    <row r="2705" spans="6:8">
      <c r="H2705" t="s">
        <v>19706</v>
      </c>
    </row>
    <row r="2706" spans="6:8">
      <c r="H2706" t="s">
        <v>20098</v>
      </c>
    </row>
    <row r="2707" spans="6:8">
      <c r="H2707" t="s">
        <v>20099</v>
      </c>
    </row>
    <row r="2708" spans="6:8">
      <c r="H2708" t="s">
        <v>20100</v>
      </c>
    </row>
    <row r="2709" spans="6:8">
      <c r="F2709" t="s">
        <v>11041</v>
      </c>
      <c r="G2709" t="s">
        <v>15432</v>
      </c>
      <c r="H2709" t="s">
        <v>20091</v>
      </c>
    </row>
    <row r="2710" spans="6:8">
      <c r="H2710" t="s">
        <v>19712</v>
      </c>
    </row>
    <row r="2711" spans="6:8">
      <c r="H2711" t="s">
        <v>20095</v>
      </c>
    </row>
    <row r="2712" spans="6:8">
      <c r="H2712" t="s">
        <v>20096</v>
      </c>
    </row>
    <row r="2713" spans="6:8">
      <c r="H2713" t="s">
        <v>20097</v>
      </c>
    </row>
    <row r="2714" spans="6:8">
      <c r="F2714" t="s">
        <v>11042</v>
      </c>
      <c r="G2714" t="s">
        <v>15433</v>
      </c>
      <c r="H2714" t="s">
        <v>20091</v>
      </c>
    </row>
    <row r="2715" spans="6:8">
      <c r="H2715" t="s">
        <v>19712</v>
      </c>
    </row>
    <row r="2716" spans="6:8">
      <c r="H2716" t="s">
        <v>20095</v>
      </c>
    </row>
    <row r="2717" spans="6:8">
      <c r="H2717" t="s">
        <v>20096</v>
      </c>
    </row>
    <row r="2718" spans="6:8">
      <c r="H2718" t="s">
        <v>20097</v>
      </c>
    </row>
    <row r="2719" spans="6:8">
      <c r="F2719" t="s">
        <v>11043</v>
      </c>
      <c r="G2719" t="s">
        <v>15434</v>
      </c>
      <c r="H2719" t="s">
        <v>20091</v>
      </c>
    </row>
    <row r="2720" spans="6:8">
      <c r="H2720" t="s">
        <v>19712</v>
      </c>
    </row>
    <row r="2721" spans="6:8">
      <c r="H2721" t="s">
        <v>20095</v>
      </c>
    </row>
    <row r="2722" spans="6:8">
      <c r="H2722" t="s">
        <v>20096</v>
      </c>
    </row>
    <row r="2723" spans="6:8">
      <c r="H2723" t="s">
        <v>20097</v>
      </c>
    </row>
    <row r="2724" spans="6:8">
      <c r="F2724" t="s">
        <v>11044</v>
      </c>
      <c r="G2724" t="s">
        <v>15435</v>
      </c>
      <c r="H2724" t="s">
        <v>20091</v>
      </c>
    </row>
    <row r="2725" spans="6:8">
      <c r="H2725" t="s">
        <v>19712</v>
      </c>
    </row>
    <row r="2726" spans="6:8">
      <c r="H2726" t="s">
        <v>20095</v>
      </c>
    </row>
    <row r="2727" spans="6:8">
      <c r="H2727" t="s">
        <v>20096</v>
      </c>
    </row>
    <row r="2728" spans="6:8">
      <c r="H2728" t="s">
        <v>20097</v>
      </c>
    </row>
    <row r="2729" spans="6:8">
      <c r="F2729" t="s">
        <v>11045</v>
      </c>
      <c r="G2729" t="s">
        <v>15436</v>
      </c>
      <c r="H2729" t="s">
        <v>20091</v>
      </c>
    </row>
    <row r="2730" spans="6:8">
      <c r="H2730" t="s">
        <v>19712</v>
      </c>
    </row>
    <row r="2731" spans="6:8">
      <c r="H2731" t="s">
        <v>19709</v>
      </c>
    </row>
    <row r="2732" spans="6:8">
      <c r="H2732" t="s">
        <v>20107</v>
      </c>
    </row>
    <row r="2733" spans="6:8">
      <c r="H2733" t="s">
        <v>20108</v>
      </c>
    </row>
    <row r="2734" spans="6:8">
      <c r="H2734" t="s">
        <v>19713</v>
      </c>
    </row>
    <row r="2735" spans="6:8">
      <c r="H2735" t="s">
        <v>19714</v>
      </c>
    </row>
    <row r="2736" spans="6:8">
      <c r="H2736" t="s">
        <v>20109</v>
      </c>
    </row>
    <row r="2737" spans="6:8">
      <c r="H2737" t="s">
        <v>20110</v>
      </c>
    </row>
    <row r="2738" spans="6:8">
      <c r="H2738" t="s">
        <v>20111</v>
      </c>
    </row>
    <row r="2739" spans="6:8">
      <c r="H2739" t="s">
        <v>20112</v>
      </c>
    </row>
    <row r="2740" spans="6:8">
      <c r="H2740" t="s">
        <v>20113</v>
      </c>
    </row>
    <row r="2741" spans="6:8">
      <c r="H2741" t="s">
        <v>20114</v>
      </c>
    </row>
    <row r="2742" spans="6:8">
      <c r="H2742" t="s">
        <v>20115</v>
      </c>
    </row>
    <row r="2743" spans="6:8">
      <c r="H2743" t="s">
        <v>20095</v>
      </c>
    </row>
    <row r="2744" spans="6:8">
      <c r="H2744" t="s">
        <v>20096</v>
      </c>
    </row>
    <row r="2745" spans="6:8">
      <c r="H2745" t="s">
        <v>20097</v>
      </c>
    </row>
    <row r="2746" spans="6:8">
      <c r="H2746" t="s">
        <v>20098</v>
      </c>
    </row>
    <row r="2747" spans="6:8">
      <c r="F2747" t="s">
        <v>11046</v>
      </c>
      <c r="G2747" t="s">
        <v>15437</v>
      </c>
      <c r="H2747" t="s">
        <v>20091</v>
      </c>
    </row>
    <row r="2748" spans="6:8">
      <c r="H2748" t="s">
        <v>19712</v>
      </c>
    </row>
    <row r="2749" spans="6:8">
      <c r="H2749" t="s">
        <v>19709</v>
      </c>
    </row>
    <row r="2750" spans="6:8">
      <c r="H2750" t="s">
        <v>19706</v>
      </c>
    </row>
    <row r="2751" spans="6:8">
      <c r="H2751" t="s">
        <v>20092</v>
      </c>
    </row>
    <row r="2752" spans="6:8">
      <c r="H2752" t="s">
        <v>20093</v>
      </c>
    </row>
    <row r="2753" spans="6:8">
      <c r="H2753" t="s">
        <v>20094</v>
      </c>
    </row>
    <row r="2754" spans="6:8">
      <c r="H2754" t="s">
        <v>20103</v>
      </c>
    </row>
    <row r="2755" spans="6:8">
      <c r="H2755" t="s">
        <v>20116</v>
      </c>
    </row>
    <row r="2756" spans="6:8">
      <c r="H2756" t="s">
        <v>20117</v>
      </c>
    </row>
    <row r="2757" spans="6:8">
      <c r="H2757" t="s">
        <v>20118</v>
      </c>
    </row>
    <row r="2758" spans="6:8">
      <c r="H2758" t="s">
        <v>20119</v>
      </c>
    </row>
    <row r="2759" spans="6:8">
      <c r="H2759" t="s">
        <v>19176</v>
      </c>
    </row>
    <row r="2760" spans="6:8">
      <c r="H2760" t="s">
        <v>20095</v>
      </c>
    </row>
    <row r="2761" spans="6:8">
      <c r="H2761" t="s">
        <v>20096</v>
      </c>
    </row>
    <row r="2762" spans="6:8">
      <c r="H2762" t="s">
        <v>20097</v>
      </c>
    </row>
    <row r="2763" spans="6:8">
      <c r="H2763" t="s">
        <v>20098</v>
      </c>
    </row>
    <row r="2764" spans="6:8">
      <c r="F2764" t="s">
        <v>11047</v>
      </c>
      <c r="G2764" t="s">
        <v>15438</v>
      </c>
      <c r="H2764" t="s">
        <v>20091</v>
      </c>
    </row>
    <row r="2765" spans="6:8">
      <c r="H2765" t="s">
        <v>19712</v>
      </c>
    </row>
    <row r="2766" spans="6:8">
      <c r="H2766" t="s">
        <v>19709</v>
      </c>
    </row>
    <row r="2767" spans="6:8">
      <c r="H2767" t="s">
        <v>20092</v>
      </c>
    </row>
    <row r="2768" spans="6:8">
      <c r="H2768" t="s">
        <v>20093</v>
      </c>
    </row>
    <row r="2769" spans="6:8">
      <c r="H2769" t="s">
        <v>20094</v>
      </c>
    </row>
    <row r="2770" spans="6:8">
      <c r="H2770" t="s">
        <v>20103</v>
      </c>
    </row>
    <row r="2771" spans="6:8">
      <c r="H2771" t="s">
        <v>20116</v>
      </c>
    </row>
    <row r="2772" spans="6:8">
      <c r="H2772" t="s">
        <v>20117</v>
      </c>
    </row>
    <row r="2773" spans="6:8">
      <c r="H2773" t="s">
        <v>20118</v>
      </c>
    </row>
    <row r="2774" spans="6:8">
      <c r="H2774" t="s">
        <v>20095</v>
      </c>
    </row>
    <row r="2775" spans="6:8">
      <c r="H2775" t="s">
        <v>20096</v>
      </c>
    </row>
    <row r="2776" spans="6:8">
      <c r="H2776" t="s">
        <v>20097</v>
      </c>
    </row>
    <row r="2777" spans="6:8">
      <c r="F2777" t="s">
        <v>11048</v>
      </c>
      <c r="G2777" t="s">
        <v>15439</v>
      </c>
      <c r="H2777" t="s">
        <v>20091</v>
      </c>
    </row>
    <row r="2778" spans="6:8">
      <c r="H2778" t="s">
        <v>19712</v>
      </c>
    </row>
    <row r="2779" spans="6:8">
      <c r="H2779" t="s">
        <v>19709</v>
      </c>
    </row>
    <row r="2780" spans="6:8">
      <c r="H2780" t="s">
        <v>20095</v>
      </c>
    </row>
    <row r="2781" spans="6:8">
      <c r="H2781" t="s">
        <v>20096</v>
      </c>
    </row>
    <row r="2782" spans="6:8">
      <c r="H2782" t="s">
        <v>20097</v>
      </c>
    </row>
    <row r="2783" spans="6:8">
      <c r="F2783" t="s">
        <v>11049</v>
      </c>
      <c r="G2783" t="s">
        <v>15440</v>
      </c>
      <c r="H2783" t="s">
        <v>20091</v>
      </c>
    </row>
    <row r="2784" spans="6:8">
      <c r="H2784" t="s">
        <v>19712</v>
      </c>
    </row>
    <row r="2785" spans="6:8">
      <c r="H2785" t="s">
        <v>19709</v>
      </c>
    </row>
    <row r="2786" spans="6:8">
      <c r="H2786" t="s">
        <v>19706</v>
      </c>
    </row>
    <row r="2787" spans="6:8">
      <c r="H2787" t="s">
        <v>19707</v>
      </c>
    </row>
    <row r="2788" spans="6:8">
      <c r="H2788" t="s">
        <v>19711</v>
      </c>
    </row>
    <row r="2789" spans="6:8">
      <c r="H2789" t="s">
        <v>20107</v>
      </c>
    </row>
    <row r="2790" spans="6:8">
      <c r="H2790" t="s">
        <v>20108</v>
      </c>
    </row>
    <row r="2791" spans="6:8">
      <c r="H2791" t="s">
        <v>19713</v>
      </c>
    </row>
    <row r="2792" spans="6:8">
      <c r="H2792" t="s">
        <v>19714</v>
      </c>
    </row>
    <row r="2793" spans="6:8">
      <c r="H2793" t="s">
        <v>20109</v>
      </c>
    </row>
    <row r="2794" spans="6:8">
      <c r="H2794" t="s">
        <v>20110</v>
      </c>
    </row>
    <row r="2795" spans="6:8">
      <c r="H2795" t="s">
        <v>20111</v>
      </c>
    </row>
    <row r="2796" spans="6:8">
      <c r="H2796" t="s">
        <v>20095</v>
      </c>
    </row>
    <row r="2797" spans="6:8">
      <c r="H2797" t="s">
        <v>20096</v>
      </c>
    </row>
    <row r="2798" spans="6:8">
      <c r="H2798" t="s">
        <v>20097</v>
      </c>
    </row>
    <row r="2799" spans="6:8">
      <c r="H2799" t="s">
        <v>20098</v>
      </c>
    </row>
    <row r="2800" spans="6:8">
      <c r="F2800" t="s">
        <v>11050</v>
      </c>
      <c r="G2800" t="s">
        <v>15441</v>
      </c>
      <c r="H2800" t="s">
        <v>20091</v>
      </c>
    </row>
    <row r="2801" spans="6:8">
      <c r="H2801" t="s">
        <v>19712</v>
      </c>
    </row>
    <row r="2802" spans="6:8">
      <c r="H2802" t="s">
        <v>19709</v>
      </c>
    </row>
    <row r="2803" spans="6:8">
      <c r="H2803" t="s">
        <v>19706</v>
      </c>
    </row>
    <row r="2804" spans="6:8">
      <c r="H2804" t="s">
        <v>20107</v>
      </c>
    </row>
    <row r="2805" spans="6:8">
      <c r="H2805" t="s">
        <v>20108</v>
      </c>
    </row>
    <row r="2806" spans="6:8">
      <c r="H2806" t="s">
        <v>19713</v>
      </c>
    </row>
    <row r="2807" spans="6:8">
      <c r="H2807" t="s">
        <v>19714</v>
      </c>
    </row>
    <row r="2808" spans="6:8">
      <c r="H2808" t="s">
        <v>20095</v>
      </c>
    </row>
    <row r="2809" spans="6:8">
      <c r="H2809" t="s">
        <v>20096</v>
      </c>
    </row>
    <row r="2810" spans="6:8">
      <c r="H2810" t="s">
        <v>20097</v>
      </c>
    </row>
    <row r="2811" spans="6:8">
      <c r="H2811" t="s">
        <v>20098</v>
      </c>
    </row>
    <row r="2812" spans="6:8">
      <c r="F2812" t="s">
        <v>11051</v>
      </c>
      <c r="G2812" t="s">
        <v>15442</v>
      </c>
      <c r="H2812" t="s">
        <v>20091</v>
      </c>
    </row>
    <row r="2813" spans="6:8">
      <c r="H2813" t="s">
        <v>19712</v>
      </c>
    </row>
    <row r="2814" spans="6:8">
      <c r="H2814" t="s">
        <v>19709</v>
      </c>
    </row>
    <row r="2815" spans="6:8">
      <c r="H2815" t="s">
        <v>20107</v>
      </c>
    </row>
    <row r="2816" spans="6:8">
      <c r="H2816" t="s">
        <v>20108</v>
      </c>
    </row>
    <row r="2817" spans="6:8">
      <c r="H2817" t="s">
        <v>19713</v>
      </c>
    </row>
    <row r="2818" spans="6:8">
      <c r="H2818" t="s">
        <v>20095</v>
      </c>
    </row>
    <row r="2819" spans="6:8">
      <c r="H2819" t="s">
        <v>20096</v>
      </c>
    </row>
    <row r="2820" spans="6:8">
      <c r="H2820" t="s">
        <v>20097</v>
      </c>
    </row>
    <row r="2821" spans="6:8">
      <c r="H2821" t="s">
        <v>20098</v>
      </c>
    </row>
    <row r="2822" spans="6:8">
      <c r="H2822" t="s">
        <v>20099</v>
      </c>
    </row>
    <row r="2823" spans="6:8">
      <c r="F2823" t="s">
        <v>11052</v>
      </c>
      <c r="G2823" t="s">
        <v>15443</v>
      </c>
      <c r="H2823" t="s">
        <v>20091</v>
      </c>
    </row>
    <row r="2824" spans="6:8">
      <c r="H2824" t="s">
        <v>19712</v>
      </c>
    </row>
    <row r="2825" spans="6:8">
      <c r="H2825" t="s">
        <v>19709</v>
      </c>
    </row>
    <row r="2826" spans="6:8">
      <c r="H2826" t="s">
        <v>19706</v>
      </c>
    </row>
    <row r="2827" spans="6:8">
      <c r="H2827" t="s">
        <v>20107</v>
      </c>
    </row>
    <row r="2828" spans="6:8">
      <c r="H2828" t="s">
        <v>20108</v>
      </c>
    </row>
    <row r="2829" spans="6:8">
      <c r="H2829" t="s">
        <v>19713</v>
      </c>
    </row>
    <row r="2830" spans="6:8">
      <c r="H2830" t="s">
        <v>20095</v>
      </c>
    </row>
    <row r="2831" spans="6:8">
      <c r="H2831" t="s">
        <v>20096</v>
      </c>
    </row>
    <row r="2832" spans="6:8">
      <c r="H2832" t="s">
        <v>20097</v>
      </c>
    </row>
    <row r="2833" spans="6:8">
      <c r="H2833" t="s">
        <v>20098</v>
      </c>
    </row>
    <row r="2834" spans="6:8">
      <c r="F2834" t="s">
        <v>11053</v>
      </c>
      <c r="G2834" t="s">
        <v>15444</v>
      </c>
      <c r="H2834" t="s">
        <v>20091</v>
      </c>
    </row>
    <row r="2835" spans="6:8">
      <c r="H2835" t="s">
        <v>19712</v>
      </c>
    </row>
    <row r="2836" spans="6:8">
      <c r="H2836" t="s">
        <v>19709</v>
      </c>
    </row>
    <row r="2837" spans="6:8">
      <c r="H2837" t="s">
        <v>20107</v>
      </c>
    </row>
    <row r="2838" spans="6:8">
      <c r="H2838" t="s">
        <v>20108</v>
      </c>
    </row>
    <row r="2839" spans="6:8">
      <c r="H2839" t="s">
        <v>19713</v>
      </c>
    </row>
    <row r="2840" spans="6:8">
      <c r="H2840" t="s">
        <v>20095</v>
      </c>
    </row>
    <row r="2841" spans="6:8">
      <c r="H2841" t="s">
        <v>20096</v>
      </c>
    </row>
    <row r="2842" spans="6:8">
      <c r="H2842" t="s">
        <v>20097</v>
      </c>
    </row>
    <row r="2843" spans="6:8">
      <c r="H2843" t="s">
        <v>20098</v>
      </c>
    </row>
    <row r="2844" spans="6:8">
      <c r="H2844" t="s">
        <v>20099</v>
      </c>
    </row>
    <row r="2845" spans="6:8">
      <c r="F2845" t="s">
        <v>11054</v>
      </c>
      <c r="G2845" t="s">
        <v>15445</v>
      </c>
      <c r="H2845" t="s">
        <v>20091</v>
      </c>
    </row>
    <row r="2846" spans="6:8">
      <c r="H2846" t="s">
        <v>19712</v>
      </c>
    </row>
    <row r="2847" spans="6:8">
      <c r="H2847" t="s">
        <v>19709</v>
      </c>
    </row>
    <row r="2848" spans="6:8">
      <c r="H2848" t="s">
        <v>19706</v>
      </c>
    </row>
    <row r="2849" spans="6:8">
      <c r="H2849" t="s">
        <v>19707</v>
      </c>
    </row>
    <row r="2850" spans="6:8">
      <c r="H2850" t="s">
        <v>19711</v>
      </c>
    </row>
    <row r="2851" spans="6:8">
      <c r="H2851" t="s">
        <v>19708</v>
      </c>
    </row>
    <row r="2852" spans="6:8">
      <c r="H2852" t="s">
        <v>20107</v>
      </c>
    </row>
    <row r="2853" spans="6:8">
      <c r="H2853" t="s">
        <v>20108</v>
      </c>
    </row>
    <row r="2854" spans="6:8">
      <c r="H2854" t="s">
        <v>19713</v>
      </c>
    </row>
    <row r="2855" spans="6:8">
      <c r="H2855" t="s">
        <v>20095</v>
      </c>
    </row>
    <row r="2856" spans="6:8">
      <c r="H2856" t="s">
        <v>20096</v>
      </c>
    </row>
    <row r="2857" spans="6:8">
      <c r="H2857" t="s">
        <v>20097</v>
      </c>
    </row>
    <row r="2858" spans="6:8">
      <c r="H2858" t="s">
        <v>20098</v>
      </c>
    </row>
    <row r="2859" spans="6:8">
      <c r="F2859" t="s">
        <v>11055</v>
      </c>
      <c r="G2859" t="s">
        <v>15446</v>
      </c>
      <c r="H2859" t="s">
        <v>20091</v>
      </c>
    </row>
    <row r="2860" spans="6:8">
      <c r="H2860" t="s">
        <v>19712</v>
      </c>
    </row>
    <row r="2861" spans="6:8">
      <c r="H2861" t="s">
        <v>19709</v>
      </c>
    </row>
    <row r="2862" spans="6:8">
      <c r="H2862" t="s">
        <v>19706</v>
      </c>
    </row>
    <row r="2863" spans="6:8">
      <c r="H2863" t="s">
        <v>19707</v>
      </c>
    </row>
    <row r="2864" spans="6:8">
      <c r="H2864" t="s">
        <v>19711</v>
      </c>
    </row>
    <row r="2865" spans="6:8">
      <c r="H2865" t="s">
        <v>20107</v>
      </c>
    </row>
    <row r="2866" spans="6:8">
      <c r="H2866" t="s">
        <v>20108</v>
      </c>
    </row>
    <row r="2867" spans="6:8">
      <c r="H2867" t="s">
        <v>19713</v>
      </c>
    </row>
    <row r="2868" spans="6:8">
      <c r="H2868" t="s">
        <v>19714</v>
      </c>
    </row>
    <row r="2869" spans="6:8">
      <c r="H2869" t="s">
        <v>20109</v>
      </c>
    </row>
    <row r="2870" spans="6:8">
      <c r="H2870" t="s">
        <v>20110</v>
      </c>
    </row>
    <row r="2871" spans="6:8">
      <c r="H2871" t="s">
        <v>20095</v>
      </c>
    </row>
    <row r="2872" spans="6:8">
      <c r="H2872" t="s">
        <v>20096</v>
      </c>
    </row>
    <row r="2873" spans="6:8">
      <c r="H2873" t="s">
        <v>20097</v>
      </c>
    </row>
    <row r="2874" spans="6:8">
      <c r="H2874" t="s">
        <v>20098</v>
      </c>
    </row>
    <row r="2875" spans="6:8">
      <c r="F2875" t="s">
        <v>11056</v>
      </c>
      <c r="G2875" t="s">
        <v>15447</v>
      </c>
      <c r="H2875" t="s">
        <v>20091</v>
      </c>
    </row>
    <row r="2876" spans="6:8">
      <c r="H2876" t="s">
        <v>19712</v>
      </c>
    </row>
    <row r="2877" spans="6:8">
      <c r="H2877" t="s">
        <v>20092</v>
      </c>
    </row>
    <row r="2878" spans="6:8">
      <c r="H2878" t="s">
        <v>20093</v>
      </c>
    </row>
    <row r="2879" spans="6:8">
      <c r="H2879" t="s">
        <v>20094</v>
      </c>
    </row>
    <row r="2880" spans="6:8">
      <c r="H2880" t="s">
        <v>20095</v>
      </c>
    </row>
    <row r="2881" spans="6:8">
      <c r="H2881" t="s">
        <v>20096</v>
      </c>
    </row>
    <row r="2882" spans="6:8">
      <c r="H2882" t="s">
        <v>20097</v>
      </c>
    </row>
    <row r="2883" spans="6:8">
      <c r="H2883" t="s">
        <v>20098</v>
      </c>
    </row>
    <row r="2884" spans="6:8">
      <c r="H2884" t="s">
        <v>20099</v>
      </c>
    </row>
    <row r="2885" spans="6:8">
      <c r="H2885" t="s">
        <v>20100</v>
      </c>
    </row>
    <row r="2886" spans="6:8">
      <c r="H2886" t="s">
        <v>20101</v>
      </c>
    </row>
    <row r="2887" spans="6:8">
      <c r="H2887" t="s">
        <v>20102</v>
      </c>
    </row>
    <row r="2888" spans="6:8">
      <c r="F2888" t="s">
        <v>11057</v>
      </c>
      <c r="G2888" t="s">
        <v>15448</v>
      </c>
      <c r="H2888" t="s">
        <v>20091</v>
      </c>
    </row>
    <row r="2889" spans="6:8">
      <c r="H2889" t="s">
        <v>19712</v>
      </c>
    </row>
    <row r="2890" spans="6:8">
      <c r="H2890" t="s">
        <v>19709</v>
      </c>
    </row>
    <row r="2891" spans="6:8">
      <c r="H2891" t="s">
        <v>20107</v>
      </c>
    </row>
    <row r="2892" spans="6:8">
      <c r="H2892" t="s">
        <v>20108</v>
      </c>
    </row>
    <row r="2893" spans="6:8">
      <c r="H2893" t="s">
        <v>20095</v>
      </c>
    </row>
    <row r="2894" spans="6:8">
      <c r="H2894" t="s">
        <v>20096</v>
      </c>
    </row>
    <row r="2895" spans="6:8">
      <c r="H2895" t="s">
        <v>20097</v>
      </c>
    </row>
    <row r="2896" spans="6:8">
      <c r="H2896" t="s">
        <v>20098</v>
      </c>
    </row>
    <row r="2897" spans="6:8">
      <c r="F2897" t="s">
        <v>11058</v>
      </c>
      <c r="G2897" t="s">
        <v>15449</v>
      </c>
      <c r="H2897" t="s">
        <v>20091</v>
      </c>
    </row>
    <row r="2898" spans="6:8">
      <c r="H2898" t="s">
        <v>19712</v>
      </c>
    </row>
    <row r="2899" spans="6:8">
      <c r="H2899" t="s">
        <v>20092</v>
      </c>
    </row>
    <row r="2900" spans="6:8">
      <c r="H2900" t="s">
        <v>20093</v>
      </c>
    </row>
    <row r="2901" spans="6:8">
      <c r="H2901" t="s">
        <v>20094</v>
      </c>
    </row>
    <row r="2902" spans="6:8">
      <c r="H2902" t="s">
        <v>20095</v>
      </c>
    </row>
    <row r="2903" spans="6:8">
      <c r="H2903" t="s">
        <v>20096</v>
      </c>
    </row>
    <row r="2904" spans="6:8">
      <c r="H2904" t="s">
        <v>20097</v>
      </c>
    </row>
    <row r="2905" spans="6:8">
      <c r="H2905" t="s">
        <v>20098</v>
      </c>
    </row>
    <row r="2906" spans="6:8">
      <c r="H2906" t="s">
        <v>20099</v>
      </c>
    </row>
    <row r="2907" spans="6:8">
      <c r="H2907" t="s">
        <v>20100</v>
      </c>
    </row>
    <row r="2908" spans="6:8">
      <c r="H2908" t="s">
        <v>20101</v>
      </c>
    </row>
    <row r="2909" spans="6:8">
      <c r="H2909" t="s">
        <v>20102</v>
      </c>
    </row>
    <row r="2910" spans="6:8">
      <c r="F2910" t="s">
        <v>11059</v>
      </c>
      <c r="G2910" t="s">
        <v>15450</v>
      </c>
      <c r="H2910" t="s">
        <v>20091</v>
      </c>
    </row>
    <row r="2911" spans="6:8">
      <c r="H2911" t="s">
        <v>20095</v>
      </c>
    </row>
    <row r="2912" spans="6:8">
      <c r="F2912" t="s">
        <v>11060</v>
      </c>
      <c r="G2912" t="s">
        <v>15451</v>
      </c>
      <c r="H2912" t="s">
        <v>20091</v>
      </c>
    </row>
    <row r="2913" spans="6:8">
      <c r="H2913" t="s">
        <v>20095</v>
      </c>
    </row>
    <row r="2914" spans="6:8">
      <c r="F2914" t="s">
        <v>11061</v>
      </c>
      <c r="G2914" t="s">
        <v>15452</v>
      </c>
      <c r="H2914" t="s">
        <v>20091</v>
      </c>
    </row>
    <row r="2915" spans="6:8">
      <c r="H2915" t="s">
        <v>20095</v>
      </c>
    </row>
    <row r="2916" spans="6:8">
      <c r="F2916" t="s">
        <v>11062</v>
      </c>
      <c r="G2916" t="s">
        <v>15453</v>
      </c>
      <c r="H2916" t="s">
        <v>20091</v>
      </c>
    </row>
    <row r="2917" spans="6:8">
      <c r="H2917" t="s">
        <v>20095</v>
      </c>
    </row>
    <row r="2918" spans="6:8">
      <c r="F2918" t="s">
        <v>11063</v>
      </c>
      <c r="G2918" t="s">
        <v>15454</v>
      </c>
      <c r="H2918" t="s">
        <v>20091</v>
      </c>
    </row>
    <row r="2919" spans="6:8">
      <c r="H2919" t="s">
        <v>20095</v>
      </c>
    </row>
    <row r="2920" spans="6:8">
      <c r="F2920" t="s">
        <v>11064</v>
      </c>
      <c r="G2920" t="s">
        <v>15455</v>
      </c>
      <c r="H2920" t="s">
        <v>20091</v>
      </c>
    </row>
    <row r="2921" spans="6:8">
      <c r="H2921" t="s">
        <v>20095</v>
      </c>
    </row>
    <row r="2922" spans="6:8">
      <c r="F2922" t="s">
        <v>11065</v>
      </c>
      <c r="G2922" t="s">
        <v>15456</v>
      </c>
      <c r="H2922" t="s">
        <v>20091</v>
      </c>
    </row>
    <row r="2923" spans="6:8">
      <c r="H2923" t="s">
        <v>20095</v>
      </c>
    </row>
    <row r="2924" spans="6:8">
      <c r="F2924" t="s">
        <v>11066</v>
      </c>
      <c r="G2924" t="s">
        <v>15457</v>
      </c>
      <c r="H2924" t="s">
        <v>20091</v>
      </c>
    </row>
    <row r="2925" spans="6:8">
      <c r="H2925" t="s">
        <v>19712</v>
      </c>
    </row>
    <row r="2926" spans="6:8">
      <c r="H2926" t="s">
        <v>19709</v>
      </c>
    </row>
    <row r="2927" spans="6:8">
      <c r="H2927" t="s">
        <v>19706</v>
      </c>
    </row>
    <row r="2928" spans="6:8">
      <c r="H2928" t="s">
        <v>19707</v>
      </c>
    </row>
    <row r="2929" spans="6:8">
      <c r="H2929" t="s">
        <v>19711</v>
      </c>
    </row>
    <row r="2930" spans="6:8">
      <c r="H2930" t="s">
        <v>20107</v>
      </c>
    </row>
    <row r="2931" spans="6:8">
      <c r="H2931" t="s">
        <v>20108</v>
      </c>
    </row>
    <row r="2932" spans="6:8">
      <c r="H2932" t="s">
        <v>19713</v>
      </c>
    </row>
    <row r="2933" spans="6:8">
      <c r="H2933" t="s">
        <v>19714</v>
      </c>
    </row>
    <row r="2934" spans="6:8">
      <c r="H2934" t="s">
        <v>20109</v>
      </c>
    </row>
    <row r="2935" spans="6:8">
      <c r="H2935" t="s">
        <v>20110</v>
      </c>
    </row>
    <row r="2936" spans="6:8">
      <c r="H2936" t="s">
        <v>20092</v>
      </c>
    </row>
    <row r="2937" spans="6:8">
      <c r="H2937" t="s">
        <v>20095</v>
      </c>
    </row>
    <row r="2938" spans="6:8">
      <c r="H2938" t="s">
        <v>20096</v>
      </c>
    </row>
    <row r="2939" spans="6:8">
      <c r="H2939" t="s">
        <v>20097</v>
      </c>
    </row>
    <row r="2940" spans="6:8">
      <c r="H2940" t="s">
        <v>20098</v>
      </c>
    </row>
    <row r="2941" spans="6:8">
      <c r="F2941" t="s">
        <v>11067</v>
      </c>
      <c r="G2941" t="s">
        <v>15458</v>
      </c>
      <c r="H2941" t="s">
        <v>20091</v>
      </c>
    </row>
    <row r="2942" spans="6:8">
      <c r="H2942" t="s">
        <v>19712</v>
      </c>
    </row>
    <row r="2943" spans="6:8">
      <c r="H2943" t="s">
        <v>20107</v>
      </c>
    </row>
    <row r="2944" spans="6:8">
      <c r="H2944" t="s">
        <v>20095</v>
      </c>
    </row>
    <row r="2945" spans="6:8">
      <c r="H2945" t="s">
        <v>20096</v>
      </c>
    </row>
    <row r="2946" spans="6:8">
      <c r="H2946" t="s">
        <v>20097</v>
      </c>
    </row>
    <row r="2947" spans="6:8">
      <c r="H2947" t="s">
        <v>20098</v>
      </c>
    </row>
    <row r="2948" spans="6:8">
      <c r="H2948" t="s">
        <v>20099</v>
      </c>
    </row>
    <row r="2949" spans="6:8">
      <c r="F2949" t="s">
        <v>11068</v>
      </c>
      <c r="G2949" t="s">
        <v>15459</v>
      </c>
      <c r="H2949" t="s">
        <v>20091</v>
      </c>
    </row>
    <row r="2950" spans="6:8">
      <c r="H2950" t="s">
        <v>19712</v>
      </c>
    </row>
    <row r="2951" spans="6:8">
      <c r="H2951" t="s">
        <v>20107</v>
      </c>
    </row>
    <row r="2952" spans="6:8">
      <c r="H2952" t="s">
        <v>20095</v>
      </c>
    </row>
    <row r="2953" spans="6:8">
      <c r="H2953" t="s">
        <v>20096</v>
      </c>
    </row>
    <row r="2954" spans="6:8">
      <c r="H2954" t="s">
        <v>20097</v>
      </c>
    </row>
    <row r="2955" spans="6:8">
      <c r="H2955" t="s">
        <v>20098</v>
      </c>
    </row>
    <row r="2956" spans="6:8">
      <c r="H2956" t="s">
        <v>20099</v>
      </c>
    </row>
    <row r="2957" spans="6:8">
      <c r="F2957" t="s">
        <v>11069</v>
      </c>
      <c r="G2957" t="s">
        <v>15460</v>
      </c>
      <c r="H2957" t="s">
        <v>20091</v>
      </c>
    </row>
    <row r="2958" spans="6:8">
      <c r="H2958" t="s">
        <v>19712</v>
      </c>
    </row>
    <row r="2959" spans="6:8">
      <c r="H2959" t="s">
        <v>19709</v>
      </c>
    </row>
    <row r="2960" spans="6:8">
      <c r="H2960" t="s">
        <v>19706</v>
      </c>
    </row>
    <row r="2961" spans="6:8">
      <c r="H2961" t="s">
        <v>20107</v>
      </c>
    </row>
    <row r="2962" spans="6:8">
      <c r="H2962" t="s">
        <v>20108</v>
      </c>
    </row>
    <row r="2963" spans="6:8">
      <c r="H2963" t="s">
        <v>19713</v>
      </c>
    </row>
    <row r="2964" spans="6:8">
      <c r="H2964" t="s">
        <v>19714</v>
      </c>
    </row>
    <row r="2965" spans="6:8">
      <c r="H2965" t="s">
        <v>20095</v>
      </c>
    </row>
    <row r="2966" spans="6:8">
      <c r="H2966" t="s">
        <v>20096</v>
      </c>
    </row>
    <row r="2967" spans="6:8">
      <c r="H2967" t="s">
        <v>20097</v>
      </c>
    </row>
    <row r="2968" spans="6:8">
      <c r="H2968" t="s">
        <v>20098</v>
      </c>
    </row>
    <row r="2969" spans="6:8">
      <c r="H2969" t="s">
        <v>20099</v>
      </c>
    </row>
    <row r="2970" spans="6:8">
      <c r="H2970" t="s">
        <v>20100</v>
      </c>
    </row>
    <row r="2971" spans="6:8">
      <c r="F2971" t="s">
        <v>11070</v>
      </c>
      <c r="G2971" t="s">
        <v>15461</v>
      </c>
      <c r="H2971" t="s">
        <v>20091</v>
      </c>
    </row>
    <row r="2972" spans="6:8">
      <c r="H2972" t="s">
        <v>19712</v>
      </c>
    </row>
    <row r="2973" spans="6:8">
      <c r="H2973" t="s">
        <v>19709</v>
      </c>
    </row>
    <row r="2974" spans="6:8">
      <c r="H2974" t="s">
        <v>19706</v>
      </c>
    </row>
    <row r="2975" spans="6:8">
      <c r="H2975" t="s">
        <v>19707</v>
      </c>
    </row>
    <row r="2976" spans="6:8">
      <c r="H2976" t="s">
        <v>19711</v>
      </c>
    </row>
    <row r="2977" spans="6:8">
      <c r="H2977" t="s">
        <v>20107</v>
      </c>
    </row>
    <row r="2978" spans="6:8">
      <c r="H2978" t="s">
        <v>20108</v>
      </c>
    </row>
    <row r="2979" spans="6:8">
      <c r="H2979" t="s">
        <v>19713</v>
      </c>
    </row>
    <row r="2980" spans="6:8">
      <c r="H2980" t="s">
        <v>19714</v>
      </c>
    </row>
    <row r="2981" spans="6:8">
      <c r="H2981" t="s">
        <v>20109</v>
      </c>
    </row>
    <row r="2982" spans="6:8">
      <c r="H2982" t="s">
        <v>20095</v>
      </c>
    </row>
    <row r="2983" spans="6:8">
      <c r="H2983" t="s">
        <v>20096</v>
      </c>
    </row>
    <row r="2984" spans="6:8">
      <c r="H2984" t="s">
        <v>20097</v>
      </c>
    </row>
    <row r="2985" spans="6:8">
      <c r="H2985" t="s">
        <v>20098</v>
      </c>
    </row>
    <row r="2986" spans="6:8">
      <c r="H2986" t="s">
        <v>20099</v>
      </c>
    </row>
    <row r="2987" spans="6:8">
      <c r="H2987" t="s">
        <v>20100</v>
      </c>
    </row>
    <row r="2988" spans="6:8">
      <c r="F2988" t="s">
        <v>11071</v>
      </c>
      <c r="G2988" t="s">
        <v>15462</v>
      </c>
      <c r="H2988" t="s">
        <v>20091</v>
      </c>
    </row>
    <row r="2989" spans="6:8">
      <c r="H2989" t="s">
        <v>19712</v>
      </c>
    </row>
    <row r="2990" spans="6:8">
      <c r="H2990" t="s">
        <v>19709</v>
      </c>
    </row>
    <row r="2991" spans="6:8">
      <c r="H2991" t="s">
        <v>19706</v>
      </c>
    </row>
    <row r="2992" spans="6:8">
      <c r="H2992" t="s">
        <v>19707</v>
      </c>
    </row>
    <row r="2993" spans="6:8">
      <c r="H2993" t="s">
        <v>19711</v>
      </c>
    </row>
    <row r="2994" spans="6:8">
      <c r="H2994" t="s">
        <v>20107</v>
      </c>
    </row>
    <row r="2995" spans="6:8">
      <c r="H2995" t="s">
        <v>20108</v>
      </c>
    </row>
    <row r="2996" spans="6:8">
      <c r="H2996" t="s">
        <v>19713</v>
      </c>
    </row>
    <row r="2997" spans="6:8">
      <c r="H2997" t="s">
        <v>19714</v>
      </c>
    </row>
    <row r="2998" spans="6:8">
      <c r="H2998" t="s">
        <v>20109</v>
      </c>
    </row>
    <row r="2999" spans="6:8">
      <c r="H2999" t="s">
        <v>20095</v>
      </c>
    </row>
    <row r="3000" spans="6:8">
      <c r="H3000" t="s">
        <v>20096</v>
      </c>
    </row>
    <row r="3001" spans="6:8">
      <c r="H3001" t="s">
        <v>20097</v>
      </c>
    </row>
    <row r="3002" spans="6:8">
      <c r="H3002" t="s">
        <v>20098</v>
      </c>
    </row>
    <row r="3003" spans="6:8">
      <c r="H3003" t="s">
        <v>20099</v>
      </c>
    </row>
    <row r="3004" spans="6:8">
      <c r="H3004" t="s">
        <v>20100</v>
      </c>
    </row>
    <row r="3005" spans="6:8">
      <c r="F3005" t="s">
        <v>11072</v>
      </c>
      <c r="G3005" t="s">
        <v>15463</v>
      </c>
      <c r="H3005" t="s">
        <v>20091</v>
      </c>
    </row>
    <row r="3006" spans="6:8">
      <c r="H3006" t="s">
        <v>19712</v>
      </c>
    </row>
    <row r="3007" spans="6:8">
      <c r="H3007" t="s">
        <v>19709</v>
      </c>
    </row>
    <row r="3008" spans="6:8">
      <c r="H3008" t="s">
        <v>19706</v>
      </c>
    </row>
    <row r="3009" spans="6:8">
      <c r="H3009" t="s">
        <v>19707</v>
      </c>
    </row>
    <row r="3010" spans="6:8">
      <c r="H3010" t="s">
        <v>19711</v>
      </c>
    </row>
    <row r="3011" spans="6:8">
      <c r="H3011" t="s">
        <v>20107</v>
      </c>
    </row>
    <row r="3012" spans="6:8">
      <c r="H3012" t="s">
        <v>20108</v>
      </c>
    </row>
    <row r="3013" spans="6:8">
      <c r="H3013" t="s">
        <v>19713</v>
      </c>
    </row>
    <row r="3014" spans="6:8">
      <c r="H3014" t="s">
        <v>19714</v>
      </c>
    </row>
    <row r="3015" spans="6:8">
      <c r="H3015" t="s">
        <v>20109</v>
      </c>
    </row>
    <row r="3016" spans="6:8">
      <c r="H3016" t="s">
        <v>20095</v>
      </c>
    </row>
    <row r="3017" spans="6:8">
      <c r="H3017" t="s">
        <v>20096</v>
      </c>
    </row>
    <row r="3018" spans="6:8">
      <c r="H3018" t="s">
        <v>20097</v>
      </c>
    </row>
    <row r="3019" spans="6:8">
      <c r="H3019" t="s">
        <v>20098</v>
      </c>
    </row>
    <row r="3020" spans="6:8">
      <c r="H3020" t="s">
        <v>20099</v>
      </c>
    </row>
    <row r="3021" spans="6:8">
      <c r="H3021" t="s">
        <v>20100</v>
      </c>
    </row>
    <row r="3022" spans="6:8">
      <c r="F3022" t="s">
        <v>11073</v>
      </c>
      <c r="G3022" t="s">
        <v>15464</v>
      </c>
      <c r="H3022" t="s">
        <v>20091</v>
      </c>
    </row>
    <row r="3023" spans="6:8">
      <c r="H3023" t="s">
        <v>19712</v>
      </c>
    </row>
    <row r="3024" spans="6:8">
      <c r="H3024" t="s">
        <v>19709</v>
      </c>
    </row>
    <row r="3025" spans="6:8">
      <c r="H3025" t="s">
        <v>19706</v>
      </c>
    </row>
    <row r="3026" spans="6:8">
      <c r="H3026" t="s">
        <v>19707</v>
      </c>
    </row>
    <row r="3027" spans="6:8">
      <c r="H3027" t="s">
        <v>19711</v>
      </c>
    </row>
    <row r="3028" spans="6:8">
      <c r="H3028" t="s">
        <v>20107</v>
      </c>
    </row>
    <row r="3029" spans="6:8">
      <c r="H3029" t="s">
        <v>20108</v>
      </c>
    </row>
    <row r="3030" spans="6:8">
      <c r="H3030" t="s">
        <v>19713</v>
      </c>
    </row>
    <row r="3031" spans="6:8">
      <c r="H3031" t="s">
        <v>19714</v>
      </c>
    </row>
    <row r="3032" spans="6:8">
      <c r="H3032" t="s">
        <v>20109</v>
      </c>
    </row>
    <row r="3033" spans="6:8">
      <c r="H3033" t="s">
        <v>20095</v>
      </c>
    </row>
    <row r="3034" spans="6:8">
      <c r="H3034" t="s">
        <v>20096</v>
      </c>
    </row>
    <row r="3035" spans="6:8">
      <c r="H3035" t="s">
        <v>20097</v>
      </c>
    </row>
    <row r="3036" spans="6:8">
      <c r="H3036" t="s">
        <v>20098</v>
      </c>
    </row>
    <row r="3037" spans="6:8">
      <c r="H3037" t="s">
        <v>20099</v>
      </c>
    </row>
    <row r="3038" spans="6:8">
      <c r="H3038" t="s">
        <v>20100</v>
      </c>
    </row>
    <row r="3039" spans="6:8">
      <c r="F3039" t="s">
        <v>11074</v>
      </c>
      <c r="G3039" t="s">
        <v>15465</v>
      </c>
      <c r="H3039" t="s">
        <v>20091</v>
      </c>
    </row>
    <row r="3040" spans="6:8">
      <c r="H3040" t="s">
        <v>19712</v>
      </c>
    </row>
    <row r="3041" spans="6:8">
      <c r="H3041" t="s">
        <v>19709</v>
      </c>
    </row>
    <row r="3042" spans="6:8">
      <c r="H3042" t="s">
        <v>19706</v>
      </c>
    </row>
    <row r="3043" spans="6:8">
      <c r="H3043" t="s">
        <v>20107</v>
      </c>
    </row>
    <row r="3044" spans="6:8">
      <c r="H3044" t="s">
        <v>20108</v>
      </c>
    </row>
    <row r="3045" spans="6:8">
      <c r="H3045" t="s">
        <v>19713</v>
      </c>
    </row>
    <row r="3046" spans="6:8">
      <c r="H3046" t="s">
        <v>19714</v>
      </c>
    </row>
    <row r="3047" spans="6:8">
      <c r="H3047" t="s">
        <v>20095</v>
      </c>
    </row>
    <row r="3048" spans="6:8">
      <c r="H3048" t="s">
        <v>20096</v>
      </c>
    </row>
    <row r="3049" spans="6:8">
      <c r="H3049" t="s">
        <v>20097</v>
      </c>
    </row>
    <row r="3050" spans="6:8">
      <c r="H3050" t="s">
        <v>20098</v>
      </c>
    </row>
    <row r="3051" spans="6:8">
      <c r="H3051" t="s">
        <v>20099</v>
      </c>
    </row>
    <row r="3052" spans="6:8">
      <c r="H3052" t="s">
        <v>20100</v>
      </c>
    </row>
    <row r="3053" spans="6:8">
      <c r="F3053" t="s">
        <v>11075</v>
      </c>
      <c r="G3053" t="s">
        <v>15466</v>
      </c>
      <c r="H3053" t="s">
        <v>20091</v>
      </c>
    </row>
    <row r="3054" spans="6:8">
      <c r="H3054" t="s">
        <v>19712</v>
      </c>
    </row>
    <row r="3055" spans="6:8">
      <c r="H3055" t="s">
        <v>19709</v>
      </c>
    </row>
    <row r="3056" spans="6:8">
      <c r="H3056" t="s">
        <v>20107</v>
      </c>
    </row>
    <row r="3057" spans="6:8">
      <c r="H3057" t="s">
        <v>20108</v>
      </c>
    </row>
    <row r="3058" spans="6:8">
      <c r="H3058" t="s">
        <v>20095</v>
      </c>
    </row>
    <row r="3059" spans="6:8">
      <c r="H3059" t="s">
        <v>20096</v>
      </c>
    </row>
    <row r="3060" spans="6:8">
      <c r="H3060" t="s">
        <v>20097</v>
      </c>
    </row>
    <row r="3061" spans="6:8">
      <c r="H3061" t="s">
        <v>20098</v>
      </c>
    </row>
    <row r="3062" spans="6:8">
      <c r="H3062" t="s">
        <v>20099</v>
      </c>
    </row>
    <row r="3063" spans="6:8">
      <c r="H3063" t="s">
        <v>20100</v>
      </c>
    </row>
    <row r="3064" spans="6:8">
      <c r="F3064" t="s">
        <v>11076</v>
      </c>
      <c r="G3064" t="s">
        <v>15467</v>
      </c>
      <c r="H3064" t="s">
        <v>20091</v>
      </c>
    </row>
    <row r="3065" spans="6:8">
      <c r="H3065" t="s">
        <v>19712</v>
      </c>
    </row>
    <row r="3066" spans="6:8">
      <c r="H3066" t="s">
        <v>19709</v>
      </c>
    </row>
    <row r="3067" spans="6:8">
      <c r="H3067" t="s">
        <v>20107</v>
      </c>
    </row>
    <row r="3068" spans="6:8">
      <c r="H3068" t="s">
        <v>20108</v>
      </c>
    </row>
    <row r="3069" spans="6:8">
      <c r="H3069" t="s">
        <v>20095</v>
      </c>
    </row>
    <row r="3070" spans="6:8">
      <c r="H3070" t="s">
        <v>20096</v>
      </c>
    </row>
    <row r="3071" spans="6:8">
      <c r="H3071" t="s">
        <v>20097</v>
      </c>
    </row>
    <row r="3072" spans="6:8">
      <c r="H3072" t="s">
        <v>20098</v>
      </c>
    </row>
    <row r="3073" spans="6:8">
      <c r="H3073" t="s">
        <v>20099</v>
      </c>
    </row>
    <row r="3074" spans="6:8">
      <c r="H3074" t="s">
        <v>20100</v>
      </c>
    </row>
    <row r="3075" spans="6:8">
      <c r="F3075" t="s">
        <v>11077</v>
      </c>
      <c r="G3075" t="s">
        <v>15468</v>
      </c>
      <c r="H3075" t="s">
        <v>20091</v>
      </c>
    </row>
    <row r="3076" spans="6:8">
      <c r="H3076" t="s">
        <v>19712</v>
      </c>
    </row>
    <row r="3077" spans="6:8">
      <c r="H3077" t="s">
        <v>19709</v>
      </c>
    </row>
    <row r="3078" spans="6:8">
      <c r="H3078" t="s">
        <v>20107</v>
      </c>
    </row>
    <row r="3079" spans="6:8">
      <c r="H3079" t="s">
        <v>20108</v>
      </c>
    </row>
    <row r="3080" spans="6:8">
      <c r="H3080" t="s">
        <v>20095</v>
      </c>
    </row>
    <row r="3081" spans="6:8">
      <c r="H3081" t="s">
        <v>20096</v>
      </c>
    </row>
    <row r="3082" spans="6:8">
      <c r="H3082" t="s">
        <v>20097</v>
      </c>
    </row>
    <row r="3083" spans="6:8">
      <c r="H3083" t="s">
        <v>20098</v>
      </c>
    </row>
    <row r="3084" spans="6:8">
      <c r="H3084" t="s">
        <v>20099</v>
      </c>
    </row>
    <row r="3085" spans="6:8">
      <c r="H3085" t="s">
        <v>20100</v>
      </c>
    </row>
    <row r="3086" spans="6:8">
      <c r="F3086" t="s">
        <v>11078</v>
      </c>
      <c r="G3086" t="s">
        <v>15469</v>
      </c>
      <c r="H3086" t="s">
        <v>20091</v>
      </c>
    </row>
    <row r="3087" spans="6:8">
      <c r="H3087" t="s">
        <v>19712</v>
      </c>
    </row>
    <row r="3088" spans="6:8">
      <c r="H3088" t="s">
        <v>19709</v>
      </c>
    </row>
    <row r="3089" spans="6:8">
      <c r="H3089" t="s">
        <v>20107</v>
      </c>
    </row>
    <row r="3090" spans="6:8">
      <c r="H3090" t="s">
        <v>20108</v>
      </c>
    </row>
    <row r="3091" spans="6:8">
      <c r="H3091" t="s">
        <v>20095</v>
      </c>
    </row>
    <row r="3092" spans="6:8">
      <c r="H3092" t="s">
        <v>20096</v>
      </c>
    </row>
    <row r="3093" spans="6:8">
      <c r="H3093" t="s">
        <v>20097</v>
      </c>
    </row>
    <row r="3094" spans="6:8">
      <c r="H3094" t="s">
        <v>20098</v>
      </c>
    </row>
    <row r="3095" spans="6:8">
      <c r="H3095" t="s">
        <v>20099</v>
      </c>
    </row>
    <row r="3096" spans="6:8">
      <c r="H3096" t="s">
        <v>20100</v>
      </c>
    </row>
    <row r="3097" spans="6:8">
      <c r="F3097" t="s">
        <v>11079</v>
      </c>
      <c r="G3097" t="s">
        <v>15470</v>
      </c>
      <c r="H3097" t="s">
        <v>20091</v>
      </c>
    </row>
    <row r="3098" spans="6:8">
      <c r="H3098" t="s">
        <v>19712</v>
      </c>
    </row>
    <row r="3099" spans="6:8">
      <c r="H3099" t="s">
        <v>19709</v>
      </c>
    </row>
    <row r="3100" spans="6:8">
      <c r="H3100" t="s">
        <v>20107</v>
      </c>
    </row>
    <row r="3101" spans="6:8">
      <c r="H3101" t="s">
        <v>20108</v>
      </c>
    </row>
    <row r="3102" spans="6:8">
      <c r="H3102" t="s">
        <v>20095</v>
      </c>
    </row>
    <row r="3103" spans="6:8">
      <c r="H3103" t="s">
        <v>20096</v>
      </c>
    </row>
    <row r="3104" spans="6:8">
      <c r="H3104" t="s">
        <v>20097</v>
      </c>
    </row>
    <row r="3105" spans="6:8">
      <c r="H3105" t="s">
        <v>20098</v>
      </c>
    </row>
    <row r="3106" spans="6:8">
      <c r="H3106" t="s">
        <v>20099</v>
      </c>
    </row>
    <row r="3107" spans="6:8">
      <c r="H3107" t="s">
        <v>20100</v>
      </c>
    </row>
    <row r="3108" spans="6:8">
      <c r="F3108" t="s">
        <v>11080</v>
      </c>
      <c r="G3108" t="s">
        <v>15471</v>
      </c>
      <c r="H3108" t="s">
        <v>20091</v>
      </c>
    </row>
    <row r="3109" spans="6:8">
      <c r="H3109" t="s">
        <v>19712</v>
      </c>
    </row>
    <row r="3110" spans="6:8">
      <c r="H3110" t="s">
        <v>19709</v>
      </c>
    </row>
    <row r="3111" spans="6:8">
      <c r="H3111" t="s">
        <v>20107</v>
      </c>
    </row>
    <row r="3112" spans="6:8">
      <c r="H3112" t="s">
        <v>20108</v>
      </c>
    </row>
    <row r="3113" spans="6:8">
      <c r="H3113" t="s">
        <v>20095</v>
      </c>
    </row>
    <row r="3114" spans="6:8">
      <c r="H3114" t="s">
        <v>20096</v>
      </c>
    </row>
    <row r="3115" spans="6:8">
      <c r="H3115" t="s">
        <v>20097</v>
      </c>
    </row>
    <row r="3116" spans="6:8">
      <c r="H3116" t="s">
        <v>20098</v>
      </c>
    </row>
    <row r="3117" spans="6:8">
      <c r="H3117" t="s">
        <v>20099</v>
      </c>
    </row>
    <row r="3118" spans="6:8">
      <c r="H3118" t="s">
        <v>20100</v>
      </c>
    </row>
    <row r="3119" spans="6:8">
      <c r="F3119" t="s">
        <v>11081</v>
      </c>
      <c r="G3119" t="s">
        <v>15472</v>
      </c>
      <c r="H3119" t="s">
        <v>20091</v>
      </c>
    </row>
    <row r="3120" spans="6:8">
      <c r="H3120" t="s">
        <v>19712</v>
      </c>
    </row>
    <row r="3121" spans="6:8">
      <c r="H3121" t="s">
        <v>20095</v>
      </c>
    </row>
    <row r="3122" spans="6:8">
      <c r="H3122" t="s">
        <v>20096</v>
      </c>
    </row>
    <row r="3123" spans="6:8">
      <c r="H3123" t="s">
        <v>20097</v>
      </c>
    </row>
    <row r="3124" spans="6:8">
      <c r="H3124" t="s">
        <v>20098</v>
      </c>
    </row>
    <row r="3125" spans="6:8">
      <c r="H3125" t="s">
        <v>20099</v>
      </c>
    </row>
    <row r="3126" spans="6:8">
      <c r="F3126" t="s">
        <v>11082</v>
      </c>
      <c r="G3126" t="s">
        <v>15473</v>
      </c>
      <c r="H3126" t="s">
        <v>20091</v>
      </c>
    </row>
    <row r="3127" spans="6:8">
      <c r="H3127" t="s">
        <v>19712</v>
      </c>
    </row>
    <row r="3128" spans="6:8">
      <c r="H3128" t="s">
        <v>20095</v>
      </c>
    </row>
    <row r="3129" spans="6:8">
      <c r="H3129" t="s">
        <v>20096</v>
      </c>
    </row>
    <row r="3130" spans="6:8">
      <c r="H3130" t="s">
        <v>20097</v>
      </c>
    </row>
    <row r="3131" spans="6:8">
      <c r="H3131" t="s">
        <v>20098</v>
      </c>
    </row>
    <row r="3132" spans="6:8">
      <c r="H3132" t="s">
        <v>20099</v>
      </c>
    </row>
    <row r="3133" spans="6:8">
      <c r="F3133" t="s">
        <v>11083</v>
      </c>
      <c r="G3133" t="s">
        <v>15474</v>
      </c>
      <c r="H3133" t="s">
        <v>20091</v>
      </c>
    </row>
    <row r="3134" spans="6:8">
      <c r="H3134" t="s">
        <v>19712</v>
      </c>
    </row>
    <row r="3135" spans="6:8">
      <c r="H3135" t="s">
        <v>19709</v>
      </c>
    </row>
    <row r="3136" spans="6:8">
      <c r="H3136" t="s">
        <v>20107</v>
      </c>
    </row>
    <row r="3137" spans="8:8">
      <c r="H3137" t="s">
        <v>20108</v>
      </c>
    </row>
    <row r="3138" spans="8:8">
      <c r="H3138" t="s">
        <v>19713</v>
      </c>
    </row>
    <row r="3139" spans="8:8">
      <c r="H3139" t="s">
        <v>19714</v>
      </c>
    </row>
    <row r="3140" spans="8:8">
      <c r="H3140" t="s">
        <v>20109</v>
      </c>
    </row>
    <row r="3141" spans="8:8">
      <c r="H3141" t="s">
        <v>20110</v>
      </c>
    </row>
    <row r="3142" spans="8:8">
      <c r="H3142" t="s">
        <v>20111</v>
      </c>
    </row>
    <row r="3143" spans="8:8">
      <c r="H3143" t="s">
        <v>20095</v>
      </c>
    </row>
    <row r="3144" spans="8:8">
      <c r="H3144" t="s">
        <v>20096</v>
      </c>
    </row>
    <row r="3145" spans="8:8">
      <c r="H3145" t="s">
        <v>20097</v>
      </c>
    </row>
    <row r="3146" spans="8:8">
      <c r="H3146" t="s">
        <v>20098</v>
      </c>
    </row>
    <row r="3147" spans="8:8">
      <c r="H3147" t="s">
        <v>19706</v>
      </c>
    </row>
    <row r="3148" spans="8:8">
      <c r="H3148" t="s">
        <v>19707</v>
      </c>
    </row>
    <row r="3149" spans="8:8">
      <c r="H3149" t="s">
        <v>19711</v>
      </c>
    </row>
    <row r="3150" spans="8:8">
      <c r="H3150" t="s">
        <v>20112</v>
      </c>
    </row>
    <row r="3151" spans="8:8">
      <c r="H3151" t="s">
        <v>20113</v>
      </c>
    </row>
    <row r="3152" spans="8:8">
      <c r="H3152" t="s">
        <v>20114</v>
      </c>
    </row>
    <row r="3153" spans="6:8">
      <c r="H3153" t="s">
        <v>20115</v>
      </c>
    </row>
    <row r="3154" spans="6:8">
      <c r="H3154" t="s">
        <v>20120</v>
      </c>
    </row>
    <row r="3155" spans="6:8">
      <c r="H3155" t="s">
        <v>20121</v>
      </c>
    </row>
    <row r="3156" spans="6:8">
      <c r="H3156" t="s">
        <v>20122</v>
      </c>
    </row>
    <row r="3157" spans="6:8">
      <c r="H3157" t="s">
        <v>20099</v>
      </c>
    </row>
    <row r="3158" spans="6:8">
      <c r="H3158" t="s">
        <v>20100</v>
      </c>
    </row>
    <row r="3159" spans="6:8">
      <c r="H3159" t="s">
        <v>20101</v>
      </c>
    </row>
    <row r="3160" spans="6:8">
      <c r="H3160" t="s">
        <v>20102</v>
      </c>
    </row>
    <row r="3161" spans="6:8">
      <c r="F3161" t="s">
        <v>11084</v>
      </c>
      <c r="G3161" t="s">
        <v>15475</v>
      </c>
      <c r="H3161" t="s">
        <v>20091</v>
      </c>
    </row>
    <row r="3162" spans="6:8">
      <c r="H3162" t="s">
        <v>19712</v>
      </c>
    </row>
    <row r="3163" spans="6:8">
      <c r="H3163" t="s">
        <v>20095</v>
      </c>
    </row>
    <row r="3164" spans="6:8">
      <c r="H3164" t="s">
        <v>20096</v>
      </c>
    </row>
    <row r="3165" spans="6:8">
      <c r="H3165" t="s">
        <v>20097</v>
      </c>
    </row>
    <row r="3166" spans="6:8">
      <c r="H3166" t="s">
        <v>20098</v>
      </c>
    </row>
    <row r="3167" spans="6:8">
      <c r="H3167" t="s">
        <v>19709</v>
      </c>
    </row>
    <row r="3168" spans="6:8">
      <c r="H3168" t="s">
        <v>19706</v>
      </c>
    </row>
    <row r="3169" spans="6:8">
      <c r="H3169" t="s">
        <v>20099</v>
      </c>
    </row>
    <row r="3170" spans="6:8">
      <c r="H3170" t="s">
        <v>20100</v>
      </c>
    </row>
    <row r="3171" spans="6:8">
      <c r="H3171" t="s">
        <v>20101</v>
      </c>
    </row>
    <row r="3172" spans="6:8">
      <c r="H3172" t="s">
        <v>20102</v>
      </c>
    </row>
    <row r="3173" spans="6:8">
      <c r="F3173" t="s">
        <v>11085</v>
      </c>
      <c r="G3173" t="s">
        <v>15476</v>
      </c>
      <c r="H3173" t="s">
        <v>20091</v>
      </c>
    </row>
    <row r="3174" spans="6:8">
      <c r="H3174" t="s">
        <v>19712</v>
      </c>
    </row>
    <row r="3175" spans="6:8">
      <c r="H3175" t="s">
        <v>20095</v>
      </c>
    </row>
    <row r="3176" spans="6:8">
      <c r="H3176" t="s">
        <v>20096</v>
      </c>
    </row>
    <row r="3177" spans="6:8">
      <c r="H3177" t="s">
        <v>20097</v>
      </c>
    </row>
    <row r="3178" spans="6:8">
      <c r="H3178" t="s">
        <v>20098</v>
      </c>
    </row>
    <row r="3179" spans="6:8">
      <c r="F3179" t="s">
        <v>11086</v>
      </c>
      <c r="G3179" t="s">
        <v>15477</v>
      </c>
      <c r="H3179" t="s">
        <v>20091</v>
      </c>
    </row>
    <row r="3180" spans="6:8">
      <c r="H3180" t="s">
        <v>19712</v>
      </c>
    </row>
    <row r="3181" spans="6:8">
      <c r="H3181" t="s">
        <v>20095</v>
      </c>
    </row>
    <row r="3182" spans="6:8">
      <c r="H3182" t="s">
        <v>20096</v>
      </c>
    </row>
    <row r="3183" spans="6:8">
      <c r="H3183" t="s">
        <v>20097</v>
      </c>
    </row>
    <row r="3184" spans="6:8">
      <c r="H3184" t="s">
        <v>20098</v>
      </c>
    </row>
    <row r="3185" spans="6:8">
      <c r="F3185" t="s">
        <v>11087</v>
      </c>
      <c r="G3185" t="s">
        <v>15478</v>
      </c>
      <c r="H3185" t="s">
        <v>20091</v>
      </c>
    </row>
    <row r="3186" spans="6:8">
      <c r="H3186" t="s">
        <v>19712</v>
      </c>
    </row>
    <row r="3187" spans="6:8">
      <c r="H3187" t="s">
        <v>20095</v>
      </c>
    </row>
    <row r="3188" spans="6:8">
      <c r="H3188" t="s">
        <v>20096</v>
      </c>
    </row>
    <row r="3189" spans="6:8">
      <c r="H3189" t="s">
        <v>20097</v>
      </c>
    </row>
    <row r="3190" spans="6:8">
      <c r="H3190" t="s">
        <v>20098</v>
      </c>
    </row>
    <row r="3191" spans="6:8">
      <c r="F3191" t="s">
        <v>11088</v>
      </c>
      <c r="G3191" t="s">
        <v>15479</v>
      </c>
      <c r="H3191" t="s">
        <v>20091</v>
      </c>
    </row>
    <row r="3192" spans="6:8">
      <c r="H3192" t="s">
        <v>19712</v>
      </c>
    </row>
    <row r="3193" spans="6:8">
      <c r="H3193" t="s">
        <v>20095</v>
      </c>
    </row>
    <row r="3194" spans="6:8">
      <c r="H3194" t="s">
        <v>20096</v>
      </c>
    </row>
    <row r="3195" spans="6:8">
      <c r="H3195" t="s">
        <v>20097</v>
      </c>
    </row>
    <row r="3196" spans="6:8">
      <c r="H3196" t="s">
        <v>20098</v>
      </c>
    </row>
    <row r="3197" spans="6:8">
      <c r="F3197" t="s">
        <v>11089</v>
      </c>
      <c r="G3197" t="s">
        <v>15480</v>
      </c>
      <c r="H3197" t="s">
        <v>20091</v>
      </c>
    </row>
    <row r="3198" spans="6:8">
      <c r="H3198" t="s">
        <v>19712</v>
      </c>
    </row>
    <row r="3199" spans="6:8">
      <c r="H3199" t="s">
        <v>19709</v>
      </c>
    </row>
    <row r="3200" spans="6:8">
      <c r="H3200" t="s">
        <v>19706</v>
      </c>
    </row>
    <row r="3201" spans="6:8">
      <c r="H3201" t="s">
        <v>20107</v>
      </c>
    </row>
    <row r="3202" spans="6:8">
      <c r="H3202" t="s">
        <v>20108</v>
      </c>
    </row>
    <row r="3203" spans="6:8">
      <c r="H3203" t="s">
        <v>19713</v>
      </c>
    </row>
    <row r="3204" spans="6:8">
      <c r="H3204" t="s">
        <v>19714</v>
      </c>
    </row>
    <row r="3205" spans="6:8">
      <c r="H3205" t="s">
        <v>20109</v>
      </c>
    </row>
    <row r="3206" spans="6:8">
      <c r="H3206" t="s">
        <v>20095</v>
      </c>
    </row>
    <row r="3207" spans="6:8">
      <c r="H3207" t="s">
        <v>20096</v>
      </c>
    </row>
    <row r="3208" spans="6:8">
      <c r="H3208" t="s">
        <v>20097</v>
      </c>
    </row>
    <row r="3209" spans="6:8">
      <c r="H3209" t="s">
        <v>20098</v>
      </c>
    </row>
    <row r="3210" spans="6:8">
      <c r="F3210" t="s">
        <v>11090</v>
      </c>
      <c r="G3210" t="s">
        <v>15481</v>
      </c>
      <c r="H3210" t="s">
        <v>20091</v>
      </c>
    </row>
    <row r="3211" spans="6:8">
      <c r="H3211" t="s">
        <v>19712</v>
      </c>
    </row>
    <row r="3212" spans="6:8">
      <c r="H3212" t="s">
        <v>19709</v>
      </c>
    </row>
    <row r="3213" spans="6:8">
      <c r="H3213" t="s">
        <v>19706</v>
      </c>
    </row>
    <row r="3214" spans="6:8">
      <c r="H3214" t="s">
        <v>19707</v>
      </c>
    </row>
    <row r="3215" spans="6:8">
      <c r="H3215" t="s">
        <v>20107</v>
      </c>
    </row>
    <row r="3216" spans="6:8">
      <c r="H3216" t="s">
        <v>20108</v>
      </c>
    </row>
    <row r="3217" spans="6:8">
      <c r="H3217" t="s">
        <v>20095</v>
      </c>
    </row>
    <row r="3218" spans="6:8">
      <c r="H3218" t="s">
        <v>20096</v>
      </c>
    </row>
    <row r="3219" spans="6:8">
      <c r="H3219" t="s">
        <v>20097</v>
      </c>
    </row>
    <row r="3220" spans="6:8">
      <c r="H3220" t="s">
        <v>20098</v>
      </c>
    </row>
    <row r="3221" spans="6:8">
      <c r="F3221" t="s">
        <v>11091</v>
      </c>
      <c r="G3221" t="s">
        <v>15482</v>
      </c>
      <c r="H3221" t="s">
        <v>20091</v>
      </c>
    </row>
    <row r="3222" spans="6:8">
      <c r="H3222" t="s">
        <v>19712</v>
      </c>
    </row>
    <row r="3223" spans="6:8">
      <c r="H3223" t="s">
        <v>19709</v>
      </c>
    </row>
    <row r="3224" spans="6:8">
      <c r="H3224" t="s">
        <v>20092</v>
      </c>
    </row>
    <row r="3225" spans="6:8">
      <c r="H3225" t="s">
        <v>20093</v>
      </c>
    </row>
    <row r="3226" spans="6:8">
      <c r="H3226" t="s">
        <v>20094</v>
      </c>
    </row>
    <row r="3227" spans="6:8">
      <c r="H3227" t="s">
        <v>20103</v>
      </c>
    </row>
    <row r="3228" spans="6:8">
      <c r="H3228" t="s">
        <v>20116</v>
      </c>
    </row>
    <row r="3229" spans="6:8">
      <c r="H3229" t="s">
        <v>20117</v>
      </c>
    </row>
    <row r="3230" spans="6:8">
      <c r="H3230" t="s">
        <v>20118</v>
      </c>
    </row>
    <row r="3231" spans="6:8">
      <c r="H3231" t="s">
        <v>19176</v>
      </c>
    </row>
    <row r="3232" spans="6:8">
      <c r="H3232" t="s">
        <v>20095</v>
      </c>
    </row>
    <row r="3233" spans="6:8">
      <c r="H3233" t="s">
        <v>20096</v>
      </c>
    </row>
    <row r="3234" spans="6:8">
      <c r="H3234" t="s">
        <v>20099</v>
      </c>
    </row>
    <row r="3235" spans="6:8">
      <c r="H3235" t="s">
        <v>20100</v>
      </c>
    </row>
    <row r="3236" spans="6:8">
      <c r="H3236" t="s">
        <v>20101</v>
      </c>
    </row>
    <row r="3237" spans="6:8">
      <c r="H3237" t="s">
        <v>20102</v>
      </c>
    </row>
    <row r="3238" spans="6:8">
      <c r="H3238" t="s">
        <v>20104</v>
      </c>
    </row>
    <row r="3239" spans="6:8">
      <c r="H3239" t="s">
        <v>20105</v>
      </c>
    </row>
    <row r="3240" spans="6:8">
      <c r="H3240" t="s">
        <v>20123</v>
      </c>
    </row>
    <row r="3241" spans="6:8">
      <c r="H3241" t="s">
        <v>20124</v>
      </c>
    </row>
    <row r="3242" spans="6:8">
      <c r="F3242" t="s">
        <v>11092</v>
      </c>
      <c r="G3242" t="s">
        <v>15483</v>
      </c>
      <c r="H3242" t="s">
        <v>20091</v>
      </c>
    </row>
    <row r="3243" spans="6:8">
      <c r="H3243" t="s">
        <v>19712</v>
      </c>
    </row>
    <row r="3244" spans="6:8">
      <c r="H3244" t="s">
        <v>19709</v>
      </c>
    </row>
    <row r="3245" spans="6:8">
      <c r="H3245" t="s">
        <v>19706</v>
      </c>
    </row>
    <row r="3246" spans="6:8">
      <c r="H3246" t="s">
        <v>19707</v>
      </c>
    </row>
    <row r="3247" spans="6:8">
      <c r="H3247" t="s">
        <v>19711</v>
      </c>
    </row>
    <row r="3248" spans="6:8">
      <c r="H3248" t="s">
        <v>19708</v>
      </c>
    </row>
    <row r="3249" spans="8:8">
      <c r="H3249" t="s">
        <v>19710</v>
      </c>
    </row>
    <row r="3250" spans="8:8">
      <c r="H3250" t="s">
        <v>20092</v>
      </c>
    </row>
    <row r="3251" spans="8:8">
      <c r="H3251" t="s">
        <v>20093</v>
      </c>
    </row>
    <row r="3252" spans="8:8">
      <c r="H3252" t="s">
        <v>20094</v>
      </c>
    </row>
    <row r="3253" spans="8:8">
      <c r="H3253" t="s">
        <v>20103</v>
      </c>
    </row>
    <row r="3254" spans="8:8">
      <c r="H3254" t="s">
        <v>20116</v>
      </c>
    </row>
    <row r="3255" spans="8:8">
      <c r="H3255" t="s">
        <v>20117</v>
      </c>
    </row>
    <row r="3256" spans="8:8">
      <c r="H3256" t="s">
        <v>20118</v>
      </c>
    </row>
    <row r="3257" spans="8:8">
      <c r="H3257" t="s">
        <v>20095</v>
      </c>
    </row>
    <row r="3258" spans="8:8">
      <c r="H3258" t="s">
        <v>20096</v>
      </c>
    </row>
    <row r="3259" spans="8:8">
      <c r="H3259" t="s">
        <v>20097</v>
      </c>
    </row>
    <row r="3260" spans="8:8">
      <c r="H3260" t="s">
        <v>20098</v>
      </c>
    </row>
    <row r="3261" spans="8:8">
      <c r="H3261" t="s">
        <v>20099</v>
      </c>
    </row>
    <row r="3262" spans="8:8">
      <c r="H3262" t="s">
        <v>20100</v>
      </c>
    </row>
    <row r="3263" spans="8:8">
      <c r="H3263" t="s">
        <v>20101</v>
      </c>
    </row>
    <row r="3264" spans="8:8">
      <c r="H3264" t="s">
        <v>20102</v>
      </c>
    </row>
    <row r="3265" spans="6:8">
      <c r="H3265" t="s">
        <v>20104</v>
      </c>
    </row>
    <row r="3266" spans="6:8">
      <c r="H3266" t="s">
        <v>20105</v>
      </c>
    </row>
    <row r="3267" spans="6:8">
      <c r="H3267" t="s">
        <v>20123</v>
      </c>
    </row>
    <row r="3268" spans="6:8">
      <c r="F3268" t="s">
        <v>11093</v>
      </c>
      <c r="G3268" t="s">
        <v>15104</v>
      </c>
      <c r="H3268" t="s">
        <v>20125</v>
      </c>
    </row>
    <row r="3269" spans="6:8">
      <c r="F3269" t="s">
        <v>11094</v>
      </c>
      <c r="G3269" t="s">
        <v>15484</v>
      </c>
      <c r="H3269" t="s">
        <v>20091</v>
      </c>
    </row>
    <row r="3270" spans="6:8">
      <c r="H3270" t="s">
        <v>19712</v>
      </c>
    </row>
    <row r="3271" spans="6:8">
      <c r="H3271" t="s">
        <v>19709</v>
      </c>
    </row>
    <row r="3272" spans="6:8">
      <c r="H3272" t="s">
        <v>19706</v>
      </c>
    </row>
    <row r="3273" spans="6:8">
      <c r="H3273" t="s">
        <v>19707</v>
      </c>
    </row>
    <row r="3274" spans="6:8">
      <c r="H3274" t="s">
        <v>19711</v>
      </c>
    </row>
    <row r="3275" spans="6:8">
      <c r="H3275" t="s">
        <v>20092</v>
      </c>
    </row>
    <row r="3276" spans="6:8">
      <c r="H3276" t="s">
        <v>20093</v>
      </c>
    </row>
    <row r="3277" spans="6:8">
      <c r="H3277" t="s">
        <v>20094</v>
      </c>
    </row>
    <row r="3278" spans="6:8">
      <c r="H3278" t="s">
        <v>20116</v>
      </c>
    </row>
    <row r="3279" spans="6:8">
      <c r="H3279" t="s">
        <v>20117</v>
      </c>
    </row>
    <row r="3280" spans="6:8">
      <c r="H3280" t="s">
        <v>20118</v>
      </c>
    </row>
    <row r="3281" spans="6:8">
      <c r="H3281" t="s">
        <v>19176</v>
      </c>
    </row>
    <row r="3282" spans="6:8">
      <c r="H3282" t="s">
        <v>20119</v>
      </c>
    </row>
    <row r="3283" spans="6:8">
      <c r="H3283" t="s">
        <v>20095</v>
      </c>
    </row>
    <row r="3284" spans="6:8">
      <c r="H3284" t="s">
        <v>20096</v>
      </c>
    </row>
    <row r="3285" spans="6:8">
      <c r="H3285" t="s">
        <v>20097</v>
      </c>
    </row>
    <row r="3286" spans="6:8">
      <c r="H3286" t="s">
        <v>20098</v>
      </c>
    </row>
    <row r="3287" spans="6:8">
      <c r="H3287" t="s">
        <v>20099</v>
      </c>
    </row>
    <row r="3288" spans="6:8">
      <c r="H3288" t="s">
        <v>20100</v>
      </c>
    </row>
    <row r="3289" spans="6:8">
      <c r="F3289" t="s">
        <v>11095</v>
      </c>
      <c r="G3289" t="s">
        <v>15485</v>
      </c>
      <c r="H3289" t="s">
        <v>20126</v>
      </c>
    </row>
    <row r="3290" spans="6:8">
      <c r="H3290" t="s">
        <v>20127</v>
      </c>
    </row>
    <row r="3291" spans="6:8">
      <c r="H3291" t="s">
        <v>20128</v>
      </c>
    </row>
    <row r="3292" spans="6:8">
      <c r="H3292" t="s">
        <v>20129</v>
      </c>
    </row>
    <row r="3293" spans="6:8">
      <c r="H3293" t="s">
        <v>20130</v>
      </c>
    </row>
    <row r="3294" spans="6:8">
      <c r="F3294" t="s">
        <v>11096</v>
      </c>
      <c r="G3294" t="s">
        <v>15486</v>
      </c>
      <c r="H3294" t="s">
        <v>20126</v>
      </c>
    </row>
    <row r="3295" spans="6:8">
      <c r="F3295" t="s">
        <v>11097</v>
      </c>
      <c r="G3295" t="s">
        <v>15487</v>
      </c>
      <c r="H3295" t="s">
        <v>20091</v>
      </c>
    </row>
    <row r="3296" spans="6:8">
      <c r="H3296" t="s">
        <v>19712</v>
      </c>
    </row>
    <row r="3297" spans="8:8">
      <c r="H3297" t="s">
        <v>19709</v>
      </c>
    </row>
    <row r="3298" spans="8:8">
      <c r="H3298" t="s">
        <v>19706</v>
      </c>
    </row>
    <row r="3299" spans="8:8">
      <c r="H3299" t="s">
        <v>19707</v>
      </c>
    </row>
    <row r="3300" spans="8:8">
      <c r="H3300" t="s">
        <v>19711</v>
      </c>
    </row>
    <row r="3301" spans="8:8">
      <c r="H3301" t="s">
        <v>20092</v>
      </c>
    </row>
    <row r="3302" spans="8:8">
      <c r="H3302" t="s">
        <v>20093</v>
      </c>
    </row>
    <row r="3303" spans="8:8">
      <c r="H3303" t="s">
        <v>20094</v>
      </c>
    </row>
    <row r="3304" spans="8:8">
      <c r="H3304" t="s">
        <v>20103</v>
      </c>
    </row>
    <row r="3305" spans="8:8">
      <c r="H3305" t="s">
        <v>20116</v>
      </c>
    </row>
    <row r="3306" spans="8:8">
      <c r="H3306" t="s">
        <v>20117</v>
      </c>
    </row>
    <row r="3307" spans="8:8">
      <c r="H3307" t="s">
        <v>20118</v>
      </c>
    </row>
    <row r="3308" spans="8:8">
      <c r="H3308" t="s">
        <v>19176</v>
      </c>
    </row>
    <row r="3309" spans="8:8">
      <c r="H3309" t="s">
        <v>20095</v>
      </c>
    </row>
    <row r="3310" spans="8:8">
      <c r="H3310" t="s">
        <v>20096</v>
      </c>
    </row>
    <row r="3311" spans="8:8">
      <c r="H3311" t="s">
        <v>20097</v>
      </c>
    </row>
    <row r="3312" spans="8:8">
      <c r="H3312" t="s">
        <v>20098</v>
      </c>
    </row>
    <row r="3313" spans="6:8">
      <c r="H3313" t="s">
        <v>20099</v>
      </c>
    </row>
    <row r="3314" spans="6:8">
      <c r="H3314" t="s">
        <v>20100</v>
      </c>
    </row>
    <row r="3315" spans="6:8">
      <c r="H3315" t="s">
        <v>20101</v>
      </c>
    </row>
    <row r="3316" spans="6:8">
      <c r="H3316" t="s">
        <v>20102</v>
      </c>
    </row>
    <row r="3317" spans="6:8">
      <c r="H3317" t="s">
        <v>20104</v>
      </c>
    </row>
    <row r="3318" spans="6:8">
      <c r="F3318" t="s">
        <v>11098</v>
      </c>
      <c r="G3318" t="s">
        <v>15488</v>
      </c>
      <c r="H3318" t="s">
        <v>20091</v>
      </c>
    </row>
    <row r="3319" spans="6:8">
      <c r="H3319" t="s">
        <v>19712</v>
      </c>
    </row>
    <row r="3320" spans="6:8">
      <c r="H3320" t="s">
        <v>19709</v>
      </c>
    </row>
    <row r="3321" spans="6:8">
      <c r="H3321" t="s">
        <v>20107</v>
      </c>
    </row>
    <row r="3322" spans="6:8">
      <c r="H3322" t="s">
        <v>20108</v>
      </c>
    </row>
    <row r="3323" spans="6:8">
      <c r="H3323" t="s">
        <v>20095</v>
      </c>
    </row>
    <row r="3324" spans="6:8">
      <c r="H3324" t="s">
        <v>20096</v>
      </c>
    </row>
    <row r="3325" spans="6:8">
      <c r="H3325" t="s">
        <v>20097</v>
      </c>
    </row>
    <row r="3326" spans="6:8">
      <c r="H3326" t="s">
        <v>20098</v>
      </c>
    </row>
    <row r="3327" spans="6:8">
      <c r="F3327" t="s">
        <v>11099</v>
      </c>
      <c r="G3327" t="s">
        <v>15489</v>
      </c>
      <c r="H3327" t="s">
        <v>20091</v>
      </c>
    </row>
    <row r="3328" spans="6:8">
      <c r="H3328" t="s">
        <v>19712</v>
      </c>
    </row>
    <row r="3329" spans="6:8">
      <c r="H3329" t="s">
        <v>19709</v>
      </c>
    </row>
    <row r="3330" spans="6:8">
      <c r="H3330" t="s">
        <v>19706</v>
      </c>
    </row>
    <row r="3331" spans="6:8">
      <c r="H3331" t="s">
        <v>19707</v>
      </c>
    </row>
    <row r="3332" spans="6:8">
      <c r="H3332" t="s">
        <v>19711</v>
      </c>
    </row>
    <row r="3333" spans="6:8">
      <c r="H3333" t="s">
        <v>20107</v>
      </c>
    </row>
    <row r="3334" spans="6:8">
      <c r="H3334" t="s">
        <v>20108</v>
      </c>
    </row>
    <row r="3335" spans="6:8">
      <c r="H3335" t="s">
        <v>19713</v>
      </c>
    </row>
    <row r="3336" spans="6:8">
      <c r="H3336" t="s">
        <v>19714</v>
      </c>
    </row>
    <row r="3337" spans="6:8">
      <c r="H3337" t="s">
        <v>20109</v>
      </c>
    </row>
    <row r="3338" spans="6:8">
      <c r="H3338" t="s">
        <v>20110</v>
      </c>
    </row>
    <row r="3339" spans="6:8">
      <c r="H3339" t="s">
        <v>20092</v>
      </c>
    </row>
    <row r="3340" spans="6:8">
      <c r="H3340" t="s">
        <v>20095</v>
      </c>
    </row>
    <row r="3341" spans="6:8">
      <c r="H3341" t="s">
        <v>20096</v>
      </c>
    </row>
    <row r="3342" spans="6:8">
      <c r="H3342" t="s">
        <v>20097</v>
      </c>
    </row>
    <row r="3343" spans="6:8">
      <c r="H3343" t="s">
        <v>20098</v>
      </c>
    </row>
    <row r="3344" spans="6:8">
      <c r="F3344" t="s">
        <v>11100</v>
      </c>
      <c r="G3344" t="s">
        <v>15490</v>
      </c>
      <c r="H3344" t="s">
        <v>20091</v>
      </c>
    </row>
    <row r="3345" spans="6:8">
      <c r="H3345" t="s">
        <v>19712</v>
      </c>
    </row>
    <row r="3346" spans="6:8">
      <c r="H3346" t="s">
        <v>19709</v>
      </c>
    </row>
    <row r="3347" spans="6:8">
      <c r="H3347" t="s">
        <v>20092</v>
      </c>
    </row>
    <row r="3348" spans="6:8">
      <c r="H3348" t="s">
        <v>20093</v>
      </c>
    </row>
    <row r="3349" spans="6:8">
      <c r="H3349" t="s">
        <v>20095</v>
      </c>
    </row>
    <row r="3350" spans="6:8">
      <c r="H3350" t="s">
        <v>20096</v>
      </c>
    </row>
    <row r="3351" spans="6:8">
      <c r="H3351" t="s">
        <v>20097</v>
      </c>
    </row>
    <row r="3352" spans="6:8">
      <c r="H3352" t="s">
        <v>20098</v>
      </c>
    </row>
    <row r="3353" spans="6:8">
      <c r="H3353" t="s">
        <v>20099</v>
      </c>
    </row>
    <row r="3354" spans="6:8">
      <c r="H3354" t="s">
        <v>20100</v>
      </c>
    </row>
    <row r="3355" spans="6:8">
      <c r="F3355" t="s">
        <v>11101</v>
      </c>
      <c r="G3355" t="s">
        <v>15491</v>
      </c>
      <c r="H3355" t="s">
        <v>20091</v>
      </c>
    </row>
    <row r="3356" spans="6:8">
      <c r="H3356" t="s">
        <v>19712</v>
      </c>
    </row>
    <row r="3357" spans="6:8">
      <c r="H3357" t="s">
        <v>19709</v>
      </c>
    </row>
    <row r="3358" spans="6:8">
      <c r="H3358" t="s">
        <v>19706</v>
      </c>
    </row>
    <row r="3359" spans="6:8">
      <c r="H3359" t="s">
        <v>19707</v>
      </c>
    </row>
    <row r="3360" spans="6:8">
      <c r="H3360" t="s">
        <v>20107</v>
      </c>
    </row>
    <row r="3361" spans="6:8">
      <c r="H3361" t="s">
        <v>20108</v>
      </c>
    </row>
    <row r="3362" spans="6:8">
      <c r="H3362" t="s">
        <v>19713</v>
      </c>
    </row>
    <row r="3363" spans="6:8">
      <c r="H3363" t="s">
        <v>19714</v>
      </c>
    </row>
    <row r="3364" spans="6:8">
      <c r="H3364" t="s">
        <v>20095</v>
      </c>
    </row>
    <row r="3365" spans="6:8">
      <c r="H3365" t="s">
        <v>20096</v>
      </c>
    </row>
    <row r="3366" spans="6:8">
      <c r="H3366" t="s">
        <v>20097</v>
      </c>
    </row>
    <row r="3367" spans="6:8">
      <c r="H3367" t="s">
        <v>20098</v>
      </c>
    </row>
    <row r="3368" spans="6:8">
      <c r="F3368" t="s">
        <v>11102</v>
      </c>
      <c r="G3368" t="s">
        <v>15492</v>
      </c>
      <c r="H3368" t="s">
        <v>20091</v>
      </c>
    </row>
    <row r="3369" spans="6:8">
      <c r="H3369" t="s">
        <v>19712</v>
      </c>
    </row>
    <row r="3370" spans="6:8">
      <c r="H3370" t="s">
        <v>19709</v>
      </c>
    </row>
    <row r="3371" spans="6:8">
      <c r="H3371" t="s">
        <v>19706</v>
      </c>
    </row>
    <row r="3372" spans="6:8">
      <c r="H3372" t="s">
        <v>19707</v>
      </c>
    </row>
    <row r="3373" spans="6:8">
      <c r="H3373" t="s">
        <v>20107</v>
      </c>
    </row>
    <row r="3374" spans="6:8">
      <c r="H3374" t="s">
        <v>20108</v>
      </c>
    </row>
    <row r="3375" spans="6:8">
      <c r="H3375" t="s">
        <v>19713</v>
      </c>
    </row>
    <row r="3376" spans="6:8">
      <c r="H3376" t="s">
        <v>19714</v>
      </c>
    </row>
    <row r="3377" spans="6:8">
      <c r="H3377" t="s">
        <v>20095</v>
      </c>
    </row>
    <row r="3378" spans="6:8">
      <c r="H3378" t="s">
        <v>20096</v>
      </c>
    </row>
    <row r="3379" spans="6:8">
      <c r="H3379" t="s">
        <v>20097</v>
      </c>
    </row>
    <row r="3380" spans="6:8">
      <c r="H3380" t="s">
        <v>20098</v>
      </c>
    </row>
    <row r="3381" spans="6:8">
      <c r="F3381" t="s">
        <v>11103</v>
      </c>
      <c r="G3381" t="s">
        <v>15493</v>
      </c>
      <c r="H3381" t="s">
        <v>20091</v>
      </c>
    </row>
    <row r="3382" spans="6:8">
      <c r="H3382" t="s">
        <v>19712</v>
      </c>
    </row>
    <row r="3383" spans="6:8">
      <c r="H3383" t="s">
        <v>20095</v>
      </c>
    </row>
    <row r="3384" spans="6:8">
      <c r="H3384" t="s">
        <v>20096</v>
      </c>
    </row>
    <row r="3385" spans="6:8">
      <c r="H3385" t="s">
        <v>20097</v>
      </c>
    </row>
    <row r="3386" spans="6:8">
      <c r="H3386" t="s">
        <v>19709</v>
      </c>
    </row>
    <row r="3387" spans="6:8">
      <c r="H3387" t="s">
        <v>19706</v>
      </c>
    </row>
    <row r="3388" spans="6:8">
      <c r="H3388" t="s">
        <v>20098</v>
      </c>
    </row>
    <row r="3389" spans="6:8">
      <c r="H3389" t="s">
        <v>20099</v>
      </c>
    </row>
    <row r="3390" spans="6:8">
      <c r="H3390" t="s">
        <v>20100</v>
      </c>
    </row>
    <row r="3391" spans="6:8">
      <c r="F3391" t="s">
        <v>11104</v>
      </c>
      <c r="G3391" t="s">
        <v>15494</v>
      </c>
      <c r="H3391" t="s">
        <v>20091</v>
      </c>
    </row>
    <row r="3392" spans="6:8">
      <c r="H3392" t="s">
        <v>19712</v>
      </c>
    </row>
    <row r="3393" spans="6:8">
      <c r="H3393" t="s">
        <v>20095</v>
      </c>
    </row>
    <row r="3394" spans="6:8">
      <c r="H3394" t="s">
        <v>20096</v>
      </c>
    </row>
    <row r="3395" spans="6:8">
      <c r="H3395" t="s">
        <v>20097</v>
      </c>
    </row>
    <row r="3396" spans="6:8">
      <c r="F3396" t="s">
        <v>11105</v>
      </c>
      <c r="G3396" t="s">
        <v>15495</v>
      </c>
      <c r="H3396" t="s">
        <v>20091</v>
      </c>
    </row>
    <row r="3397" spans="6:8">
      <c r="H3397" t="s">
        <v>19712</v>
      </c>
    </row>
    <row r="3398" spans="6:8">
      <c r="H3398" t="s">
        <v>20095</v>
      </c>
    </row>
    <row r="3399" spans="6:8">
      <c r="H3399" t="s">
        <v>20096</v>
      </c>
    </row>
    <row r="3400" spans="6:8">
      <c r="H3400" t="s">
        <v>20097</v>
      </c>
    </row>
    <row r="3401" spans="6:8">
      <c r="F3401" t="s">
        <v>11106</v>
      </c>
      <c r="G3401" t="s">
        <v>15496</v>
      </c>
      <c r="H3401" t="s">
        <v>20091</v>
      </c>
    </row>
    <row r="3402" spans="6:8">
      <c r="H3402" t="s">
        <v>19712</v>
      </c>
    </row>
    <row r="3403" spans="6:8">
      <c r="H3403" t="s">
        <v>20095</v>
      </c>
    </row>
    <row r="3404" spans="6:8">
      <c r="H3404" t="s">
        <v>20096</v>
      </c>
    </row>
    <row r="3405" spans="6:8">
      <c r="H3405" t="s">
        <v>20097</v>
      </c>
    </row>
    <row r="3406" spans="6:8">
      <c r="F3406" t="s">
        <v>11107</v>
      </c>
      <c r="G3406" t="s">
        <v>15497</v>
      </c>
      <c r="H3406" t="s">
        <v>20091</v>
      </c>
    </row>
    <row r="3407" spans="6:8">
      <c r="H3407" t="s">
        <v>19712</v>
      </c>
    </row>
    <row r="3408" spans="6:8">
      <c r="H3408" t="s">
        <v>20095</v>
      </c>
    </row>
    <row r="3409" spans="6:8">
      <c r="H3409" t="s">
        <v>20096</v>
      </c>
    </row>
    <row r="3410" spans="6:8">
      <c r="H3410" t="s">
        <v>20097</v>
      </c>
    </row>
    <row r="3411" spans="6:8">
      <c r="F3411" t="s">
        <v>11108</v>
      </c>
      <c r="G3411" t="s">
        <v>15498</v>
      </c>
      <c r="H3411" t="s">
        <v>20091</v>
      </c>
    </row>
    <row r="3412" spans="6:8">
      <c r="H3412" t="s">
        <v>19712</v>
      </c>
    </row>
    <row r="3413" spans="6:8">
      <c r="H3413" t="s">
        <v>19709</v>
      </c>
    </row>
    <row r="3414" spans="6:8">
      <c r="H3414" t="s">
        <v>19706</v>
      </c>
    </row>
    <row r="3415" spans="6:8">
      <c r="H3415" t="s">
        <v>20107</v>
      </c>
    </row>
    <row r="3416" spans="6:8">
      <c r="H3416" t="s">
        <v>20108</v>
      </c>
    </row>
    <row r="3417" spans="6:8">
      <c r="H3417" t="s">
        <v>19713</v>
      </c>
    </row>
    <row r="3418" spans="6:8">
      <c r="H3418" t="s">
        <v>19714</v>
      </c>
    </row>
    <row r="3419" spans="6:8">
      <c r="H3419" t="s">
        <v>20109</v>
      </c>
    </row>
    <row r="3420" spans="6:8">
      <c r="H3420" t="s">
        <v>20110</v>
      </c>
    </row>
    <row r="3421" spans="6:8">
      <c r="H3421" t="s">
        <v>20111</v>
      </c>
    </row>
    <row r="3422" spans="6:8">
      <c r="H3422" t="s">
        <v>20112</v>
      </c>
    </row>
    <row r="3423" spans="6:8">
      <c r="H3423" t="s">
        <v>20113</v>
      </c>
    </row>
    <row r="3424" spans="6:8">
      <c r="H3424" t="s">
        <v>20095</v>
      </c>
    </row>
    <row r="3425" spans="6:8">
      <c r="H3425" t="s">
        <v>20096</v>
      </c>
    </row>
    <row r="3426" spans="6:8">
      <c r="H3426" t="s">
        <v>20097</v>
      </c>
    </row>
    <row r="3427" spans="6:8">
      <c r="H3427" t="s">
        <v>20098</v>
      </c>
    </row>
    <row r="3428" spans="6:8">
      <c r="F3428" t="s">
        <v>11109</v>
      </c>
      <c r="G3428" t="s">
        <v>15499</v>
      </c>
      <c r="H3428" t="s">
        <v>20091</v>
      </c>
    </row>
    <row r="3429" spans="6:8">
      <c r="H3429" t="s">
        <v>19712</v>
      </c>
    </row>
    <row r="3430" spans="6:8">
      <c r="H3430" t="s">
        <v>19709</v>
      </c>
    </row>
    <row r="3431" spans="6:8">
      <c r="H3431" t="s">
        <v>19706</v>
      </c>
    </row>
    <row r="3432" spans="6:8">
      <c r="H3432" t="s">
        <v>19707</v>
      </c>
    </row>
    <row r="3433" spans="6:8">
      <c r="H3433" t="s">
        <v>20107</v>
      </c>
    </row>
    <row r="3434" spans="6:8">
      <c r="H3434" t="s">
        <v>20108</v>
      </c>
    </row>
    <row r="3435" spans="6:8">
      <c r="H3435" t="s">
        <v>19713</v>
      </c>
    </row>
    <row r="3436" spans="6:8">
      <c r="H3436" t="s">
        <v>19714</v>
      </c>
    </row>
    <row r="3437" spans="6:8">
      <c r="H3437" t="s">
        <v>20095</v>
      </c>
    </row>
    <row r="3438" spans="6:8">
      <c r="H3438" t="s">
        <v>20096</v>
      </c>
    </row>
    <row r="3439" spans="6:8">
      <c r="H3439" t="s">
        <v>20097</v>
      </c>
    </row>
    <row r="3440" spans="6:8">
      <c r="H3440" t="s">
        <v>20098</v>
      </c>
    </row>
    <row r="3441" spans="6:8">
      <c r="F3441" t="s">
        <v>11110</v>
      </c>
      <c r="G3441" t="s">
        <v>15500</v>
      </c>
      <c r="H3441" t="s">
        <v>20091</v>
      </c>
    </row>
    <row r="3442" spans="6:8">
      <c r="H3442" t="s">
        <v>19712</v>
      </c>
    </row>
    <row r="3443" spans="6:8">
      <c r="H3443" t="s">
        <v>19709</v>
      </c>
    </row>
    <row r="3444" spans="6:8">
      <c r="H3444" t="s">
        <v>20107</v>
      </c>
    </row>
    <row r="3445" spans="6:8">
      <c r="H3445" t="s">
        <v>20108</v>
      </c>
    </row>
    <row r="3446" spans="6:8">
      <c r="H3446" t="s">
        <v>20095</v>
      </c>
    </row>
    <row r="3447" spans="6:8">
      <c r="H3447" t="s">
        <v>20096</v>
      </c>
    </row>
    <row r="3448" spans="6:8">
      <c r="H3448" t="s">
        <v>20097</v>
      </c>
    </row>
    <row r="3449" spans="6:8">
      <c r="H3449" t="s">
        <v>20098</v>
      </c>
    </row>
    <row r="3450" spans="6:8">
      <c r="F3450" t="s">
        <v>11111</v>
      </c>
      <c r="G3450" t="s">
        <v>15501</v>
      </c>
      <c r="H3450" t="s">
        <v>20091</v>
      </c>
    </row>
    <row r="3451" spans="6:8">
      <c r="H3451" t="s">
        <v>19712</v>
      </c>
    </row>
    <row r="3452" spans="6:8">
      <c r="H3452" t="s">
        <v>20095</v>
      </c>
    </row>
    <row r="3453" spans="6:8">
      <c r="H3453" t="s">
        <v>20096</v>
      </c>
    </row>
    <row r="3454" spans="6:8">
      <c r="H3454" t="s">
        <v>20097</v>
      </c>
    </row>
    <row r="3455" spans="6:8">
      <c r="F3455" t="s">
        <v>11112</v>
      </c>
      <c r="G3455" t="s">
        <v>15502</v>
      </c>
      <c r="H3455" t="s">
        <v>20091</v>
      </c>
    </row>
    <row r="3456" spans="6:8">
      <c r="H3456" t="s">
        <v>19712</v>
      </c>
    </row>
    <row r="3457" spans="6:8">
      <c r="H3457" t="s">
        <v>20095</v>
      </c>
    </row>
    <row r="3458" spans="6:8">
      <c r="H3458" t="s">
        <v>20096</v>
      </c>
    </row>
    <row r="3459" spans="6:8">
      <c r="H3459" t="s">
        <v>20097</v>
      </c>
    </row>
    <row r="3460" spans="6:8">
      <c r="F3460" t="s">
        <v>11113</v>
      </c>
      <c r="G3460" t="s">
        <v>15503</v>
      </c>
      <c r="H3460" t="s">
        <v>20091</v>
      </c>
    </row>
    <row r="3461" spans="6:8">
      <c r="H3461" t="s">
        <v>19712</v>
      </c>
    </row>
    <row r="3462" spans="6:8">
      <c r="H3462" t="s">
        <v>19709</v>
      </c>
    </row>
    <row r="3463" spans="6:8">
      <c r="H3463" t="s">
        <v>20107</v>
      </c>
    </row>
    <row r="3464" spans="6:8">
      <c r="H3464" t="s">
        <v>20108</v>
      </c>
    </row>
    <row r="3465" spans="6:8">
      <c r="H3465" t="s">
        <v>19713</v>
      </c>
    </row>
    <row r="3466" spans="6:8">
      <c r="H3466" t="s">
        <v>20095</v>
      </c>
    </row>
    <row r="3467" spans="6:8">
      <c r="H3467" t="s">
        <v>20096</v>
      </c>
    </row>
    <row r="3468" spans="6:8">
      <c r="H3468" t="s">
        <v>20097</v>
      </c>
    </row>
    <row r="3469" spans="6:8">
      <c r="H3469" t="s">
        <v>20098</v>
      </c>
    </row>
    <row r="3470" spans="6:8">
      <c r="F3470" t="s">
        <v>11114</v>
      </c>
      <c r="G3470" t="s">
        <v>15504</v>
      </c>
      <c r="H3470" t="s">
        <v>20091</v>
      </c>
    </row>
    <row r="3471" spans="6:8">
      <c r="H3471" t="s">
        <v>19712</v>
      </c>
    </row>
    <row r="3472" spans="6:8">
      <c r="H3472" t="s">
        <v>19709</v>
      </c>
    </row>
    <row r="3473" spans="6:8">
      <c r="H3473" t="s">
        <v>20107</v>
      </c>
    </row>
    <row r="3474" spans="6:8">
      <c r="H3474" t="s">
        <v>20108</v>
      </c>
    </row>
    <row r="3475" spans="6:8">
      <c r="H3475" t="s">
        <v>19713</v>
      </c>
    </row>
    <row r="3476" spans="6:8">
      <c r="H3476" t="s">
        <v>20095</v>
      </c>
    </row>
    <row r="3477" spans="6:8">
      <c r="H3477" t="s">
        <v>20096</v>
      </c>
    </row>
    <row r="3478" spans="6:8">
      <c r="H3478" t="s">
        <v>20097</v>
      </c>
    </row>
    <row r="3479" spans="6:8">
      <c r="H3479" t="s">
        <v>20098</v>
      </c>
    </row>
    <row r="3480" spans="6:8">
      <c r="F3480" t="s">
        <v>11115</v>
      </c>
      <c r="G3480" t="s">
        <v>15505</v>
      </c>
      <c r="H3480" t="s">
        <v>20091</v>
      </c>
    </row>
    <row r="3481" spans="6:8">
      <c r="H3481" t="s">
        <v>19712</v>
      </c>
    </row>
    <row r="3482" spans="6:8">
      <c r="H3482" t="s">
        <v>19709</v>
      </c>
    </row>
    <row r="3483" spans="6:8">
      <c r="H3483" t="s">
        <v>19706</v>
      </c>
    </row>
    <row r="3484" spans="6:8">
      <c r="H3484" t="s">
        <v>20107</v>
      </c>
    </row>
    <row r="3485" spans="6:8">
      <c r="H3485" t="s">
        <v>20108</v>
      </c>
    </row>
    <row r="3486" spans="6:8">
      <c r="H3486" t="s">
        <v>19713</v>
      </c>
    </row>
    <row r="3487" spans="6:8">
      <c r="H3487" t="s">
        <v>20095</v>
      </c>
    </row>
    <row r="3488" spans="6:8">
      <c r="H3488" t="s">
        <v>20096</v>
      </c>
    </row>
    <row r="3489" spans="6:8">
      <c r="H3489" t="s">
        <v>20097</v>
      </c>
    </row>
    <row r="3490" spans="6:8">
      <c r="H3490" t="s">
        <v>20098</v>
      </c>
    </row>
    <row r="3491" spans="6:8">
      <c r="F3491" t="s">
        <v>11116</v>
      </c>
      <c r="G3491" t="s">
        <v>15506</v>
      </c>
      <c r="H3491" t="s">
        <v>20091</v>
      </c>
    </row>
    <row r="3492" spans="6:8">
      <c r="H3492" t="s">
        <v>19712</v>
      </c>
    </row>
    <row r="3493" spans="6:8">
      <c r="H3493" t="s">
        <v>19709</v>
      </c>
    </row>
    <row r="3494" spans="6:8">
      <c r="H3494" t="s">
        <v>20107</v>
      </c>
    </row>
    <row r="3495" spans="6:8">
      <c r="H3495" t="s">
        <v>20108</v>
      </c>
    </row>
    <row r="3496" spans="6:8">
      <c r="H3496" t="s">
        <v>19713</v>
      </c>
    </row>
    <row r="3497" spans="6:8">
      <c r="H3497" t="s">
        <v>19714</v>
      </c>
    </row>
    <row r="3498" spans="6:8">
      <c r="H3498" t="s">
        <v>20109</v>
      </c>
    </row>
    <row r="3499" spans="6:8">
      <c r="H3499" t="s">
        <v>20110</v>
      </c>
    </row>
    <row r="3500" spans="6:8">
      <c r="H3500" t="s">
        <v>20111</v>
      </c>
    </row>
    <row r="3501" spans="6:8">
      <c r="H3501" t="s">
        <v>20112</v>
      </c>
    </row>
    <row r="3502" spans="6:8">
      <c r="H3502" t="s">
        <v>20095</v>
      </c>
    </row>
    <row r="3503" spans="6:8">
      <c r="H3503" t="s">
        <v>20096</v>
      </c>
    </row>
    <row r="3504" spans="6:8">
      <c r="H3504" t="s">
        <v>20097</v>
      </c>
    </row>
    <row r="3505" spans="6:8">
      <c r="H3505" t="s">
        <v>20098</v>
      </c>
    </row>
    <row r="3506" spans="6:8">
      <c r="H3506" t="s">
        <v>20099</v>
      </c>
    </row>
    <row r="3507" spans="6:8">
      <c r="F3507" t="s">
        <v>11117</v>
      </c>
      <c r="G3507" t="s">
        <v>15507</v>
      </c>
      <c r="H3507" t="s">
        <v>20091</v>
      </c>
    </row>
    <row r="3508" spans="6:8">
      <c r="H3508" t="s">
        <v>19712</v>
      </c>
    </row>
    <row r="3509" spans="6:8">
      <c r="H3509" t="s">
        <v>20092</v>
      </c>
    </row>
    <row r="3510" spans="6:8">
      <c r="H3510" t="s">
        <v>20093</v>
      </c>
    </row>
    <row r="3511" spans="6:8">
      <c r="H3511" t="s">
        <v>20094</v>
      </c>
    </row>
    <row r="3512" spans="6:8">
      <c r="H3512" t="s">
        <v>20095</v>
      </c>
    </row>
    <row r="3513" spans="6:8">
      <c r="H3513" t="s">
        <v>20096</v>
      </c>
    </row>
    <row r="3514" spans="6:8">
      <c r="H3514" t="s">
        <v>20097</v>
      </c>
    </row>
    <row r="3515" spans="6:8">
      <c r="H3515" t="s">
        <v>20098</v>
      </c>
    </row>
    <row r="3516" spans="6:8">
      <c r="H3516" t="s">
        <v>20099</v>
      </c>
    </row>
    <row r="3517" spans="6:8">
      <c r="H3517" t="s">
        <v>20100</v>
      </c>
    </row>
    <row r="3518" spans="6:8">
      <c r="H3518" t="s">
        <v>20101</v>
      </c>
    </row>
    <row r="3519" spans="6:8">
      <c r="H3519" t="s">
        <v>20102</v>
      </c>
    </row>
    <row r="3520" spans="6:8">
      <c r="H3520" t="s">
        <v>20104</v>
      </c>
    </row>
    <row r="3521" spans="6:8">
      <c r="F3521" t="s">
        <v>11118</v>
      </c>
      <c r="G3521" t="s">
        <v>15508</v>
      </c>
      <c r="H3521" t="s">
        <v>20091</v>
      </c>
    </row>
    <row r="3522" spans="6:8">
      <c r="H3522" t="s">
        <v>19712</v>
      </c>
    </row>
    <row r="3523" spans="6:8">
      <c r="H3523" t="s">
        <v>19709</v>
      </c>
    </row>
    <row r="3524" spans="6:8">
      <c r="H3524" t="s">
        <v>20107</v>
      </c>
    </row>
    <row r="3525" spans="6:8">
      <c r="H3525" t="s">
        <v>20108</v>
      </c>
    </row>
    <row r="3526" spans="6:8">
      <c r="H3526" t="s">
        <v>20095</v>
      </c>
    </row>
    <row r="3527" spans="6:8">
      <c r="H3527" t="s">
        <v>20096</v>
      </c>
    </row>
    <row r="3528" spans="6:8">
      <c r="H3528" t="s">
        <v>20097</v>
      </c>
    </row>
    <row r="3529" spans="6:8">
      <c r="H3529" t="s">
        <v>20098</v>
      </c>
    </row>
    <row r="3530" spans="6:8">
      <c r="F3530" t="s">
        <v>11119</v>
      </c>
      <c r="G3530" t="s">
        <v>15509</v>
      </c>
      <c r="H3530" t="s">
        <v>20091</v>
      </c>
    </row>
    <row r="3531" spans="6:8">
      <c r="H3531" t="s">
        <v>19712</v>
      </c>
    </row>
    <row r="3532" spans="6:8">
      <c r="H3532" t="s">
        <v>20092</v>
      </c>
    </row>
    <row r="3533" spans="6:8">
      <c r="H3533" t="s">
        <v>20093</v>
      </c>
    </row>
    <row r="3534" spans="6:8">
      <c r="H3534" t="s">
        <v>20094</v>
      </c>
    </row>
    <row r="3535" spans="6:8">
      <c r="H3535" t="s">
        <v>20095</v>
      </c>
    </row>
    <row r="3536" spans="6:8">
      <c r="H3536" t="s">
        <v>20096</v>
      </c>
    </row>
    <row r="3537" spans="6:8">
      <c r="H3537" t="s">
        <v>20097</v>
      </c>
    </row>
    <row r="3538" spans="6:8">
      <c r="H3538" t="s">
        <v>20098</v>
      </c>
    </row>
    <row r="3539" spans="6:8">
      <c r="H3539" t="s">
        <v>20099</v>
      </c>
    </row>
    <row r="3540" spans="6:8">
      <c r="H3540" t="s">
        <v>20100</v>
      </c>
    </row>
    <row r="3541" spans="6:8">
      <c r="H3541" t="s">
        <v>20101</v>
      </c>
    </row>
    <row r="3542" spans="6:8">
      <c r="H3542" t="s">
        <v>20102</v>
      </c>
    </row>
    <row r="3543" spans="6:8">
      <c r="F3543" t="s">
        <v>11120</v>
      </c>
      <c r="G3543" t="s">
        <v>15510</v>
      </c>
      <c r="H3543" t="s">
        <v>20091</v>
      </c>
    </row>
    <row r="3544" spans="6:8">
      <c r="H3544" t="s">
        <v>19712</v>
      </c>
    </row>
    <row r="3545" spans="6:8">
      <c r="H3545" t="s">
        <v>19709</v>
      </c>
    </row>
    <row r="3546" spans="6:8">
      <c r="H3546" t="s">
        <v>20107</v>
      </c>
    </row>
    <row r="3547" spans="6:8">
      <c r="H3547" t="s">
        <v>20108</v>
      </c>
    </row>
    <row r="3548" spans="6:8">
      <c r="H3548" t="s">
        <v>19713</v>
      </c>
    </row>
    <row r="3549" spans="6:8">
      <c r="H3549" t="s">
        <v>19714</v>
      </c>
    </row>
    <row r="3550" spans="6:8">
      <c r="H3550" t="s">
        <v>20109</v>
      </c>
    </row>
    <row r="3551" spans="6:8">
      <c r="H3551" t="s">
        <v>20110</v>
      </c>
    </row>
    <row r="3552" spans="6:8">
      <c r="H3552" t="s">
        <v>20095</v>
      </c>
    </row>
    <row r="3553" spans="6:8">
      <c r="H3553" t="s">
        <v>20096</v>
      </c>
    </row>
    <row r="3554" spans="6:8">
      <c r="H3554" t="s">
        <v>20097</v>
      </c>
    </row>
    <row r="3555" spans="6:8">
      <c r="H3555" t="s">
        <v>20098</v>
      </c>
    </row>
    <row r="3556" spans="6:8">
      <c r="H3556" t="s">
        <v>20099</v>
      </c>
    </row>
    <row r="3557" spans="6:8">
      <c r="F3557" t="s">
        <v>11121</v>
      </c>
      <c r="G3557" t="s">
        <v>15511</v>
      </c>
      <c r="H3557" t="s">
        <v>20091</v>
      </c>
    </row>
    <row r="3558" spans="6:8">
      <c r="H3558" t="s">
        <v>20095</v>
      </c>
    </row>
    <row r="3559" spans="6:8">
      <c r="F3559" t="s">
        <v>11122</v>
      </c>
      <c r="G3559" t="s">
        <v>15512</v>
      </c>
      <c r="H3559" t="s">
        <v>20091</v>
      </c>
    </row>
    <row r="3560" spans="6:8">
      <c r="H3560" t="s">
        <v>20095</v>
      </c>
    </row>
    <row r="3561" spans="6:8">
      <c r="F3561" t="s">
        <v>11123</v>
      </c>
      <c r="G3561" t="s">
        <v>15513</v>
      </c>
      <c r="H3561" t="s">
        <v>20091</v>
      </c>
    </row>
    <row r="3562" spans="6:8">
      <c r="H3562" t="s">
        <v>19712</v>
      </c>
    </row>
    <row r="3563" spans="6:8">
      <c r="H3563" t="s">
        <v>19709</v>
      </c>
    </row>
    <row r="3564" spans="6:8">
      <c r="H3564" t="s">
        <v>20095</v>
      </c>
    </row>
    <row r="3565" spans="6:8">
      <c r="H3565" t="s">
        <v>20096</v>
      </c>
    </row>
    <row r="3566" spans="6:8">
      <c r="F3566" t="s">
        <v>11124</v>
      </c>
      <c r="G3566" t="s">
        <v>15514</v>
      </c>
      <c r="H3566" t="s">
        <v>20091</v>
      </c>
    </row>
    <row r="3567" spans="6:8">
      <c r="H3567" t="s">
        <v>19712</v>
      </c>
    </row>
    <row r="3568" spans="6:8">
      <c r="H3568" t="s">
        <v>20095</v>
      </c>
    </row>
    <row r="3569" spans="6:8">
      <c r="H3569" t="s">
        <v>20096</v>
      </c>
    </row>
    <row r="3570" spans="6:8">
      <c r="F3570" t="s">
        <v>11125</v>
      </c>
      <c r="G3570" t="s">
        <v>15515</v>
      </c>
      <c r="H3570" t="s">
        <v>20091</v>
      </c>
    </row>
    <row r="3571" spans="6:8">
      <c r="H3571" t="s">
        <v>19712</v>
      </c>
    </row>
    <row r="3572" spans="6:8">
      <c r="H3572" t="s">
        <v>20095</v>
      </c>
    </row>
    <row r="3573" spans="6:8">
      <c r="H3573" t="s">
        <v>20096</v>
      </c>
    </row>
    <row r="3574" spans="6:8">
      <c r="F3574" t="s">
        <v>11126</v>
      </c>
      <c r="G3574" t="s">
        <v>15516</v>
      </c>
      <c r="H3574" t="s">
        <v>20091</v>
      </c>
    </row>
    <row r="3575" spans="6:8">
      <c r="H3575" t="s">
        <v>19712</v>
      </c>
    </row>
    <row r="3576" spans="6:8">
      <c r="H3576" t="s">
        <v>19709</v>
      </c>
    </row>
    <row r="3577" spans="6:8">
      <c r="H3577" t="s">
        <v>19706</v>
      </c>
    </row>
    <row r="3578" spans="6:8">
      <c r="H3578" t="s">
        <v>19707</v>
      </c>
    </row>
    <row r="3579" spans="6:8">
      <c r="H3579" t="s">
        <v>19711</v>
      </c>
    </row>
    <row r="3580" spans="6:8">
      <c r="H3580" t="s">
        <v>20107</v>
      </c>
    </row>
    <row r="3581" spans="6:8">
      <c r="H3581" t="s">
        <v>20108</v>
      </c>
    </row>
    <row r="3582" spans="6:8">
      <c r="H3582" t="s">
        <v>19713</v>
      </c>
    </row>
    <row r="3583" spans="6:8">
      <c r="H3583" t="s">
        <v>19714</v>
      </c>
    </row>
    <row r="3584" spans="6:8">
      <c r="H3584" t="s">
        <v>20109</v>
      </c>
    </row>
    <row r="3585" spans="6:8">
      <c r="H3585" t="s">
        <v>20110</v>
      </c>
    </row>
    <row r="3586" spans="6:8">
      <c r="H3586" t="s">
        <v>20092</v>
      </c>
    </row>
    <row r="3587" spans="6:8">
      <c r="H3587" t="s">
        <v>20095</v>
      </c>
    </row>
    <row r="3588" spans="6:8">
      <c r="H3588" t="s">
        <v>20096</v>
      </c>
    </row>
    <row r="3589" spans="6:8">
      <c r="H3589" t="s">
        <v>20097</v>
      </c>
    </row>
    <row r="3590" spans="6:8">
      <c r="H3590" t="s">
        <v>20098</v>
      </c>
    </row>
    <row r="3591" spans="6:8">
      <c r="H3591" t="s">
        <v>20099</v>
      </c>
    </row>
    <row r="3592" spans="6:8">
      <c r="H3592" t="s">
        <v>20100</v>
      </c>
    </row>
    <row r="3593" spans="6:8">
      <c r="F3593" t="s">
        <v>11127</v>
      </c>
      <c r="G3593" t="s">
        <v>15517</v>
      </c>
      <c r="H3593" t="s">
        <v>20091</v>
      </c>
    </row>
    <row r="3594" spans="6:8">
      <c r="H3594" t="s">
        <v>19712</v>
      </c>
    </row>
    <row r="3595" spans="6:8">
      <c r="H3595" t="s">
        <v>20095</v>
      </c>
    </row>
    <row r="3596" spans="6:8">
      <c r="H3596" t="s">
        <v>20096</v>
      </c>
    </row>
    <row r="3597" spans="6:8">
      <c r="H3597" t="s">
        <v>20097</v>
      </c>
    </row>
    <row r="3598" spans="6:8">
      <c r="H3598" t="s">
        <v>20098</v>
      </c>
    </row>
    <row r="3599" spans="6:8">
      <c r="H3599" t="s">
        <v>19709</v>
      </c>
    </row>
    <row r="3600" spans="6:8">
      <c r="H3600" t="s">
        <v>19706</v>
      </c>
    </row>
    <row r="3601" spans="6:8">
      <c r="H3601" t="s">
        <v>20099</v>
      </c>
    </row>
    <row r="3602" spans="6:8">
      <c r="H3602" t="s">
        <v>20100</v>
      </c>
    </row>
    <row r="3603" spans="6:8">
      <c r="H3603" t="s">
        <v>20101</v>
      </c>
    </row>
    <row r="3604" spans="6:8">
      <c r="H3604" t="s">
        <v>20102</v>
      </c>
    </row>
    <row r="3605" spans="6:8">
      <c r="F3605" t="s">
        <v>11128</v>
      </c>
      <c r="G3605" t="s">
        <v>15518</v>
      </c>
      <c r="H3605" t="s">
        <v>20091</v>
      </c>
    </row>
    <row r="3606" spans="6:8">
      <c r="H3606" t="s">
        <v>19712</v>
      </c>
    </row>
    <row r="3607" spans="6:8">
      <c r="H3607" t="s">
        <v>20095</v>
      </c>
    </row>
    <row r="3608" spans="6:8">
      <c r="H3608" t="s">
        <v>20096</v>
      </c>
    </row>
    <row r="3609" spans="6:8">
      <c r="H3609" t="s">
        <v>20097</v>
      </c>
    </row>
    <row r="3610" spans="6:8">
      <c r="H3610" t="s">
        <v>20098</v>
      </c>
    </row>
    <row r="3611" spans="6:8">
      <c r="F3611" t="s">
        <v>11129</v>
      </c>
      <c r="G3611" t="s">
        <v>15519</v>
      </c>
      <c r="H3611" t="s">
        <v>20091</v>
      </c>
    </row>
    <row r="3612" spans="6:8">
      <c r="H3612" t="s">
        <v>19712</v>
      </c>
    </row>
    <row r="3613" spans="6:8">
      <c r="H3613" t="s">
        <v>20095</v>
      </c>
    </row>
    <row r="3614" spans="6:8">
      <c r="H3614" t="s">
        <v>20096</v>
      </c>
    </row>
    <row r="3615" spans="6:8">
      <c r="H3615" t="s">
        <v>20097</v>
      </c>
    </row>
    <row r="3616" spans="6:8">
      <c r="H3616" t="s">
        <v>20098</v>
      </c>
    </row>
    <row r="3617" spans="6:8">
      <c r="F3617" t="s">
        <v>11130</v>
      </c>
      <c r="G3617" t="s">
        <v>15520</v>
      </c>
      <c r="H3617" t="s">
        <v>20091</v>
      </c>
    </row>
    <row r="3618" spans="6:8">
      <c r="H3618" t="s">
        <v>19712</v>
      </c>
    </row>
    <row r="3619" spans="6:8">
      <c r="H3619" t="s">
        <v>20095</v>
      </c>
    </row>
    <row r="3620" spans="6:8">
      <c r="H3620" t="s">
        <v>20096</v>
      </c>
    </row>
    <row r="3621" spans="6:8">
      <c r="H3621" t="s">
        <v>20097</v>
      </c>
    </row>
    <row r="3622" spans="6:8">
      <c r="H3622" t="s">
        <v>20098</v>
      </c>
    </row>
    <row r="3623" spans="6:8">
      <c r="F3623" t="s">
        <v>11131</v>
      </c>
      <c r="G3623" t="s">
        <v>15521</v>
      </c>
      <c r="H3623" t="s">
        <v>20091</v>
      </c>
    </row>
    <row r="3624" spans="6:8">
      <c r="H3624" t="s">
        <v>19712</v>
      </c>
    </row>
    <row r="3625" spans="6:8">
      <c r="H3625" t="s">
        <v>20095</v>
      </c>
    </row>
    <row r="3626" spans="6:8">
      <c r="H3626" t="s">
        <v>20096</v>
      </c>
    </row>
    <row r="3627" spans="6:8">
      <c r="H3627" t="s">
        <v>20097</v>
      </c>
    </row>
    <row r="3628" spans="6:8">
      <c r="H3628" t="s">
        <v>20098</v>
      </c>
    </row>
    <row r="3629" spans="6:8">
      <c r="F3629" t="s">
        <v>11132</v>
      </c>
      <c r="G3629" t="s">
        <v>15522</v>
      </c>
      <c r="H3629" t="s">
        <v>20091</v>
      </c>
    </row>
    <row r="3630" spans="6:8">
      <c r="H3630" t="s">
        <v>19712</v>
      </c>
    </row>
    <row r="3631" spans="6:8">
      <c r="H3631" t="s">
        <v>19709</v>
      </c>
    </row>
    <row r="3632" spans="6:8">
      <c r="H3632" t="s">
        <v>20107</v>
      </c>
    </row>
    <row r="3633" spans="6:8">
      <c r="H3633" t="s">
        <v>20108</v>
      </c>
    </row>
    <row r="3634" spans="6:8">
      <c r="H3634" t="s">
        <v>19713</v>
      </c>
    </row>
    <row r="3635" spans="6:8">
      <c r="H3635" t="s">
        <v>19714</v>
      </c>
    </row>
    <row r="3636" spans="6:8">
      <c r="H3636" t="s">
        <v>20109</v>
      </c>
    </row>
    <row r="3637" spans="6:8">
      <c r="H3637" t="s">
        <v>20110</v>
      </c>
    </row>
    <row r="3638" spans="6:8">
      <c r="H3638" t="s">
        <v>20111</v>
      </c>
    </row>
    <row r="3639" spans="6:8">
      <c r="H3639" t="s">
        <v>20095</v>
      </c>
    </row>
    <row r="3640" spans="6:8">
      <c r="H3640" t="s">
        <v>20096</v>
      </c>
    </row>
    <row r="3641" spans="6:8">
      <c r="H3641" t="s">
        <v>20097</v>
      </c>
    </row>
    <row r="3642" spans="6:8">
      <c r="H3642" t="s">
        <v>20098</v>
      </c>
    </row>
    <row r="3643" spans="6:8">
      <c r="H3643" t="s">
        <v>20099</v>
      </c>
    </row>
    <row r="3644" spans="6:8">
      <c r="H3644" t="s">
        <v>20100</v>
      </c>
    </row>
    <row r="3645" spans="6:8">
      <c r="F3645" t="s">
        <v>11133</v>
      </c>
      <c r="G3645" t="s">
        <v>15523</v>
      </c>
      <c r="H3645" t="s">
        <v>20091</v>
      </c>
    </row>
    <row r="3646" spans="6:8">
      <c r="H3646" t="s">
        <v>19712</v>
      </c>
    </row>
    <row r="3647" spans="6:8">
      <c r="H3647" t="s">
        <v>19709</v>
      </c>
    </row>
    <row r="3648" spans="6:8">
      <c r="H3648" t="s">
        <v>19706</v>
      </c>
    </row>
    <row r="3649" spans="6:8">
      <c r="H3649" t="s">
        <v>20107</v>
      </c>
    </row>
    <row r="3650" spans="6:8">
      <c r="H3650" t="s">
        <v>20108</v>
      </c>
    </row>
    <row r="3651" spans="6:8">
      <c r="H3651" t="s">
        <v>19713</v>
      </c>
    </row>
    <row r="3652" spans="6:8">
      <c r="H3652" t="s">
        <v>20095</v>
      </c>
    </row>
    <row r="3653" spans="6:8">
      <c r="H3653" t="s">
        <v>20096</v>
      </c>
    </row>
    <row r="3654" spans="6:8">
      <c r="H3654" t="s">
        <v>20097</v>
      </c>
    </row>
    <row r="3655" spans="6:8">
      <c r="H3655" t="s">
        <v>20098</v>
      </c>
    </row>
    <row r="3656" spans="6:8">
      <c r="H3656" t="s">
        <v>20099</v>
      </c>
    </row>
    <row r="3657" spans="6:8">
      <c r="F3657" t="s">
        <v>11134</v>
      </c>
      <c r="G3657" t="s">
        <v>15524</v>
      </c>
      <c r="H3657" t="s">
        <v>20091</v>
      </c>
    </row>
    <row r="3658" spans="6:8">
      <c r="H3658" t="s">
        <v>20107</v>
      </c>
    </row>
    <row r="3659" spans="6:8">
      <c r="H3659" t="s">
        <v>20108</v>
      </c>
    </row>
    <row r="3660" spans="6:8">
      <c r="H3660" t="s">
        <v>20095</v>
      </c>
    </row>
    <row r="3661" spans="6:8">
      <c r="H3661" t="s">
        <v>20096</v>
      </c>
    </row>
    <row r="3662" spans="6:8">
      <c r="H3662" t="s">
        <v>20097</v>
      </c>
    </row>
    <row r="3663" spans="6:8">
      <c r="H3663" t="s">
        <v>20098</v>
      </c>
    </row>
    <row r="3664" spans="6:8">
      <c r="H3664" t="s">
        <v>20099</v>
      </c>
    </row>
    <row r="3665" spans="6:8">
      <c r="H3665" t="s">
        <v>20100</v>
      </c>
    </row>
    <row r="3666" spans="6:8">
      <c r="H3666" t="s">
        <v>20101</v>
      </c>
    </row>
    <row r="3667" spans="6:8">
      <c r="H3667" t="s">
        <v>20102</v>
      </c>
    </row>
    <row r="3668" spans="6:8">
      <c r="H3668" t="s">
        <v>20104</v>
      </c>
    </row>
    <row r="3669" spans="6:8">
      <c r="F3669" t="s">
        <v>11135</v>
      </c>
      <c r="G3669" t="s">
        <v>15525</v>
      </c>
      <c r="H3669" t="s">
        <v>20091</v>
      </c>
    </row>
    <row r="3670" spans="6:8">
      <c r="H3670" t="s">
        <v>19712</v>
      </c>
    </row>
    <row r="3671" spans="6:8">
      <c r="H3671" t="s">
        <v>19709</v>
      </c>
    </row>
    <row r="3672" spans="6:8">
      <c r="H3672" t="s">
        <v>20107</v>
      </c>
    </row>
    <row r="3673" spans="6:8">
      <c r="H3673" t="s">
        <v>20108</v>
      </c>
    </row>
    <row r="3674" spans="6:8">
      <c r="H3674" t="s">
        <v>20095</v>
      </c>
    </row>
    <row r="3675" spans="6:8">
      <c r="H3675" t="s">
        <v>20096</v>
      </c>
    </row>
    <row r="3676" spans="6:8">
      <c r="H3676" t="s">
        <v>20097</v>
      </c>
    </row>
    <row r="3677" spans="6:8">
      <c r="H3677" t="s">
        <v>20098</v>
      </c>
    </row>
    <row r="3678" spans="6:8">
      <c r="H3678" t="s">
        <v>20099</v>
      </c>
    </row>
    <row r="3679" spans="6:8">
      <c r="F3679" t="s">
        <v>11136</v>
      </c>
      <c r="G3679" t="s">
        <v>15526</v>
      </c>
      <c r="H3679" t="s">
        <v>20091</v>
      </c>
    </row>
    <row r="3680" spans="6:8">
      <c r="H3680" t="s">
        <v>19712</v>
      </c>
    </row>
    <row r="3681" spans="8:8">
      <c r="H3681" t="s">
        <v>19709</v>
      </c>
    </row>
    <row r="3682" spans="8:8">
      <c r="H3682" t="s">
        <v>19706</v>
      </c>
    </row>
    <row r="3683" spans="8:8">
      <c r="H3683" t="s">
        <v>19707</v>
      </c>
    </row>
    <row r="3684" spans="8:8">
      <c r="H3684" t="s">
        <v>19711</v>
      </c>
    </row>
    <row r="3685" spans="8:8">
      <c r="H3685" t="s">
        <v>20107</v>
      </c>
    </row>
    <row r="3686" spans="8:8">
      <c r="H3686" t="s">
        <v>20108</v>
      </c>
    </row>
    <row r="3687" spans="8:8">
      <c r="H3687" t="s">
        <v>19713</v>
      </c>
    </row>
    <row r="3688" spans="8:8">
      <c r="H3688" t="s">
        <v>19714</v>
      </c>
    </row>
    <row r="3689" spans="8:8">
      <c r="H3689" t="s">
        <v>20109</v>
      </c>
    </row>
    <row r="3690" spans="8:8">
      <c r="H3690" t="s">
        <v>20110</v>
      </c>
    </row>
    <row r="3691" spans="8:8">
      <c r="H3691" t="s">
        <v>20092</v>
      </c>
    </row>
    <row r="3692" spans="8:8">
      <c r="H3692" t="s">
        <v>20095</v>
      </c>
    </row>
    <row r="3693" spans="8:8">
      <c r="H3693" t="s">
        <v>20096</v>
      </c>
    </row>
    <row r="3694" spans="8:8">
      <c r="H3694" t="s">
        <v>20097</v>
      </c>
    </row>
    <row r="3695" spans="8:8">
      <c r="H3695" t="s">
        <v>20098</v>
      </c>
    </row>
    <row r="3696" spans="8:8">
      <c r="H3696" t="s">
        <v>20099</v>
      </c>
    </row>
    <row r="3697" spans="6:8">
      <c r="F3697" t="s">
        <v>11137</v>
      </c>
      <c r="G3697" t="s">
        <v>15527</v>
      </c>
      <c r="H3697" t="s">
        <v>20091</v>
      </c>
    </row>
    <row r="3698" spans="6:8">
      <c r="H3698" t="s">
        <v>19712</v>
      </c>
    </row>
    <row r="3699" spans="6:8">
      <c r="H3699" t="s">
        <v>19709</v>
      </c>
    </row>
    <row r="3700" spans="6:8">
      <c r="H3700" t="s">
        <v>20092</v>
      </c>
    </row>
    <row r="3701" spans="6:8">
      <c r="H3701" t="s">
        <v>20095</v>
      </c>
    </row>
    <row r="3702" spans="6:8">
      <c r="H3702" t="s">
        <v>20096</v>
      </c>
    </row>
    <row r="3703" spans="6:8">
      <c r="H3703" t="s">
        <v>20097</v>
      </c>
    </row>
    <row r="3704" spans="6:8">
      <c r="H3704" t="s">
        <v>20098</v>
      </c>
    </row>
    <row r="3705" spans="6:8">
      <c r="H3705" t="s">
        <v>20099</v>
      </c>
    </row>
    <row r="3706" spans="6:8">
      <c r="H3706" t="s">
        <v>20100</v>
      </c>
    </row>
    <row r="3707" spans="6:8">
      <c r="F3707" t="s">
        <v>11138</v>
      </c>
      <c r="G3707" t="s">
        <v>15528</v>
      </c>
      <c r="H3707" t="s">
        <v>20091</v>
      </c>
    </row>
    <row r="3708" spans="6:8">
      <c r="H3708" t="s">
        <v>19712</v>
      </c>
    </row>
    <row r="3709" spans="6:8">
      <c r="H3709" t="s">
        <v>19709</v>
      </c>
    </row>
    <row r="3710" spans="6:8">
      <c r="H3710" t="s">
        <v>19706</v>
      </c>
    </row>
    <row r="3711" spans="6:8">
      <c r="H3711" t="s">
        <v>19707</v>
      </c>
    </row>
    <row r="3712" spans="6:8">
      <c r="H3712" t="s">
        <v>20107</v>
      </c>
    </row>
    <row r="3713" spans="6:8">
      <c r="H3713" t="s">
        <v>20108</v>
      </c>
    </row>
    <row r="3714" spans="6:8">
      <c r="H3714" t="s">
        <v>19713</v>
      </c>
    </row>
    <row r="3715" spans="6:8">
      <c r="H3715" t="s">
        <v>19714</v>
      </c>
    </row>
    <row r="3716" spans="6:8">
      <c r="H3716" t="s">
        <v>20095</v>
      </c>
    </row>
    <row r="3717" spans="6:8">
      <c r="H3717" t="s">
        <v>20096</v>
      </c>
    </row>
    <row r="3718" spans="6:8">
      <c r="H3718" t="s">
        <v>20097</v>
      </c>
    </row>
    <row r="3719" spans="6:8">
      <c r="H3719" t="s">
        <v>20098</v>
      </c>
    </row>
    <row r="3720" spans="6:8">
      <c r="H3720" t="s">
        <v>20099</v>
      </c>
    </row>
    <row r="3721" spans="6:8">
      <c r="F3721" t="s">
        <v>11139</v>
      </c>
      <c r="G3721" t="s">
        <v>15529</v>
      </c>
      <c r="H3721" t="s">
        <v>20091</v>
      </c>
    </row>
    <row r="3722" spans="6:8">
      <c r="H3722" t="s">
        <v>19712</v>
      </c>
    </row>
    <row r="3723" spans="6:8">
      <c r="H3723" t="s">
        <v>19709</v>
      </c>
    </row>
    <row r="3724" spans="6:8">
      <c r="H3724" t="s">
        <v>19706</v>
      </c>
    </row>
    <row r="3725" spans="6:8">
      <c r="H3725" t="s">
        <v>19707</v>
      </c>
    </row>
    <row r="3726" spans="6:8">
      <c r="H3726" t="s">
        <v>20107</v>
      </c>
    </row>
    <row r="3727" spans="6:8">
      <c r="H3727" t="s">
        <v>20108</v>
      </c>
    </row>
    <row r="3728" spans="6:8">
      <c r="H3728" t="s">
        <v>19713</v>
      </c>
    </row>
    <row r="3729" spans="6:8">
      <c r="H3729" t="s">
        <v>19714</v>
      </c>
    </row>
    <row r="3730" spans="6:8">
      <c r="H3730" t="s">
        <v>20095</v>
      </c>
    </row>
    <row r="3731" spans="6:8">
      <c r="H3731" t="s">
        <v>20096</v>
      </c>
    </row>
    <row r="3732" spans="6:8">
      <c r="H3732" t="s">
        <v>20097</v>
      </c>
    </row>
    <row r="3733" spans="6:8">
      <c r="H3733" t="s">
        <v>20098</v>
      </c>
    </row>
    <row r="3734" spans="6:8">
      <c r="H3734" t="s">
        <v>20099</v>
      </c>
    </row>
    <row r="3735" spans="6:8">
      <c r="F3735" t="s">
        <v>11140</v>
      </c>
      <c r="G3735" t="s">
        <v>15530</v>
      </c>
      <c r="H3735" t="s">
        <v>20091</v>
      </c>
    </row>
    <row r="3736" spans="6:8">
      <c r="H3736" t="s">
        <v>19712</v>
      </c>
    </row>
    <row r="3737" spans="6:8">
      <c r="H3737" t="s">
        <v>20095</v>
      </c>
    </row>
    <row r="3738" spans="6:8">
      <c r="H3738" t="s">
        <v>20096</v>
      </c>
    </row>
    <row r="3739" spans="6:8">
      <c r="H3739" t="s">
        <v>20097</v>
      </c>
    </row>
    <row r="3740" spans="6:8">
      <c r="H3740" t="s">
        <v>20098</v>
      </c>
    </row>
    <row r="3741" spans="6:8">
      <c r="H3741" t="s">
        <v>19709</v>
      </c>
    </row>
    <row r="3742" spans="6:8">
      <c r="H3742" t="s">
        <v>19706</v>
      </c>
    </row>
    <row r="3743" spans="6:8">
      <c r="H3743" t="s">
        <v>20099</v>
      </c>
    </row>
    <row r="3744" spans="6:8">
      <c r="H3744" t="s">
        <v>20100</v>
      </c>
    </row>
    <row r="3745" spans="6:8">
      <c r="H3745" t="s">
        <v>20101</v>
      </c>
    </row>
    <row r="3746" spans="6:8">
      <c r="H3746" t="s">
        <v>20102</v>
      </c>
    </row>
    <row r="3747" spans="6:8">
      <c r="F3747" t="s">
        <v>11141</v>
      </c>
      <c r="G3747" t="s">
        <v>15531</v>
      </c>
      <c r="H3747" t="s">
        <v>20091</v>
      </c>
    </row>
    <row r="3748" spans="6:8">
      <c r="H3748" t="s">
        <v>19712</v>
      </c>
    </row>
    <row r="3749" spans="6:8">
      <c r="H3749" t="s">
        <v>20095</v>
      </c>
    </row>
    <row r="3750" spans="6:8">
      <c r="H3750" t="s">
        <v>20096</v>
      </c>
    </row>
    <row r="3751" spans="6:8">
      <c r="H3751" t="s">
        <v>20097</v>
      </c>
    </row>
    <row r="3752" spans="6:8">
      <c r="H3752" t="s">
        <v>20098</v>
      </c>
    </row>
    <row r="3753" spans="6:8">
      <c r="F3753" t="s">
        <v>11142</v>
      </c>
      <c r="G3753" t="s">
        <v>15532</v>
      </c>
      <c r="H3753" t="s">
        <v>20091</v>
      </c>
    </row>
    <row r="3754" spans="6:8">
      <c r="H3754" t="s">
        <v>19712</v>
      </c>
    </row>
    <row r="3755" spans="6:8">
      <c r="H3755" t="s">
        <v>20095</v>
      </c>
    </row>
    <row r="3756" spans="6:8">
      <c r="H3756" t="s">
        <v>20096</v>
      </c>
    </row>
    <row r="3757" spans="6:8">
      <c r="H3757" t="s">
        <v>20097</v>
      </c>
    </row>
    <row r="3758" spans="6:8">
      <c r="H3758" t="s">
        <v>20098</v>
      </c>
    </row>
    <row r="3759" spans="6:8">
      <c r="F3759" t="s">
        <v>11143</v>
      </c>
      <c r="G3759" t="s">
        <v>15533</v>
      </c>
      <c r="H3759" t="s">
        <v>20091</v>
      </c>
    </row>
    <row r="3760" spans="6:8">
      <c r="H3760" t="s">
        <v>19712</v>
      </c>
    </row>
    <row r="3761" spans="6:8">
      <c r="H3761" t="s">
        <v>20095</v>
      </c>
    </row>
    <row r="3762" spans="6:8">
      <c r="H3762" t="s">
        <v>20096</v>
      </c>
    </row>
    <row r="3763" spans="6:8">
      <c r="H3763" t="s">
        <v>20097</v>
      </c>
    </row>
    <row r="3764" spans="6:8">
      <c r="H3764" t="s">
        <v>20098</v>
      </c>
    </row>
    <row r="3765" spans="6:8">
      <c r="F3765" t="s">
        <v>11144</v>
      </c>
      <c r="G3765" t="s">
        <v>15534</v>
      </c>
      <c r="H3765" t="s">
        <v>20091</v>
      </c>
    </row>
    <row r="3766" spans="6:8">
      <c r="H3766" t="s">
        <v>19712</v>
      </c>
    </row>
    <row r="3767" spans="6:8">
      <c r="H3767" t="s">
        <v>20095</v>
      </c>
    </row>
    <row r="3768" spans="6:8">
      <c r="H3768" t="s">
        <v>20096</v>
      </c>
    </row>
    <row r="3769" spans="6:8">
      <c r="H3769" t="s">
        <v>20097</v>
      </c>
    </row>
    <row r="3770" spans="6:8">
      <c r="H3770" t="s">
        <v>20098</v>
      </c>
    </row>
    <row r="3771" spans="6:8">
      <c r="F3771" t="s">
        <v>11145</v>
      </c>
      <c r="G3771" t="s">
        <v>15535</v>
      </c>
      <c r="H3771" t="s">
        <v>20091</v>
      </c>
    </row>
    <row r="3772" spans="6:8">
      <c r="H3772" t="s">
        <v>19712</v>
      </c>
    </row>
    <row r="3773" spans="6:8">
      <c r="H3773" t="s">
        <v>19709</v>
      </c>
    </row>
    <row r="3774" spans="6:8">
      <c r="H3774" t="s">
        <v>20107</v>
      </c>
    </row>
    <row r="3775" spans="6:8">
      <c r="H3775" t="s">
        <v>20108</v>
      </c>
    </row>
    <row r="3776" spans="6:8">
      <c r="H3776" t="s">
        <v>19713</v>
      </c>
    </row>
    <row r="3777" spans="6:8">
      <c r="H3777" t="s">
        <v>19714</v>
      </c>
    </row>
    <row r="3778" spans="6:8">
      <c r="H3778" t="s">
        <v>20109</v>
      </c>
    </row>
    <row r="3779" spans="6:8">
      <c r="H3779" t="s">
        <v>20110</v>
      </c>
    </row>
    <row r="3780" spans="6:8">
      <c r="H3780" t="s">
        <v>20095</v>
      </c>
    </row>
    <row r="3781" spans="6:8">
      <c r="H3781" t="s">
        <v>20096</v>
      </c>
    </row>
    <row r="3782" spans="6:8">
      <c r="H3782" t="s">
        <v>20097</v>
      </c>
    </row>
    <row r="3783" spans="6:8">
      <c r="H3783" t="s">
        <v>20098</v>
      </c>
    </row>
    <row r="3784" spans="6:8">
      <c r="H3784" t="s">
        <v>20099</v>
      </c>
    </row>
    <row r="3785" spans="6:8">
      <c r="F3785" t="s">
        <v>11146</v>
      </c>
      <c r="G3785" t="s">
        <v>15536</v>
      </c>
      <c r="H3785" t="s">
        <v>20091</v>
      </c>
    </row>
    <row r="3786" spans="6:8">
      <c r="H3786" t="s">
        <v>19712</v>
      </c>
    </row>
    <row r="3787" spans="6:8">
      <c r="H3787" t="s">
        <v>19709</v>
      </c>
    </row>
    <row r="3788" spans="6:8">
      <c r="H3788" t="s">
        <v>19706</v>
      </c>
    </row>
    <row r="3789" spans="6:8">
      <c r="H3789" t="s">
        <v>19707</v>
      </c>
    </row>
    <row r="3790" spans="6:8">
      <c r="H3790" t="s">
        <v>19711</v>
      </c>
    </row>
    <row r="3791" spans="6:8">
      <c r="H3791" t="s">
        <v>20107</v>
      </c>
    </row>
    <row r="3792" spans="6:8">
      <c r="H3792" t="s">
        <v>20108</v>
      </c>
    </row>
    <row r="3793" spans="6:8">
      <c r="H3793" t="s">
        <v>19713</v>
      </c>
    </row>
    <row r="3794" spans="6:8">
      <c r="H3794" t="s">
        <v>19714</v>
      </c>
    </row>
    <row r="3795" spans="6:8">
      <c r="H3795" t="s">
        <v>20095</v>
      </c>
    </row>
    <row r="3796" spans="6:8">
      <c r="H3796" t="s">
        <v>20096</v>
      </c>
    </row>
    <row r="3797" spans="6:8">
      <c r="H3797" t="s">
        <v>20097</v>
      </c>
    </row>
    <row r="3798" spans="6:8">
      <c r="H3798" t="s">
        <v>20098</v>
      </c>
    </row>
    <row r="3799" spans="6:8">
      <c r="H3799" t="s">
        <v>20099</v>
      </c>
    </row>
    <row r="3800" spans="6:8">
      <c r="F3800" t="s">
        <v>11147</v>
      </c>
      <c r="G3800" t="s">
        <v>15537</v>
      </c>
      <c r="H3800" t="s">
        <v>20091</v>
      </c>
    </row>
    <row r="3801" spans="6:8">
      <c r="H3801" t="s">
        <v>19712</v>
      </c>
    </row>
    <row r="3802" spans="6:8">
      <c r="H3802" t="s">
        <v>19709</v>
      </c>
    </row>
    <row r="3803" spans="6:8">
      <c r="H3803" t="s">
        <v>20107</v>
      </c>
    </row>
    <row r="3804" spans="6:8">
      <c r="H3804" t="s">
        <v>20108</v>
      </c>
    </row>
    <row r="3805" spans="6:8">
      <c r="H3805" t="s">
        <v>19713</v>
      </c>
    </row>
    <row r="3806" spans="6:8">
      <c r="H3806" t="s">
        <v>20095</v>
      </c>
    </row>
    <row r="3807" spans="6:8">
      <c r="H3807" t="s">
        <v>20096</v>
      </c>
    </row>
    <row r="3808" spans="6:8">
      <c r="H3808" t="s">
        <v>20097</v>
      </c>
    </row>
    <row r="3809" spans="6:8">
      <c r="H3809" t="s">
        <v>20098</v>
      </c>
    </row>
    <row r="3810" spans="6:8">
      <c r="H3810" t="s">
        <v>20099</v>
      </c>
    </row>
    <row r="3811" spans="6:8">
      <c r="F3811" t="s">
        <v>11148</v>
      </c>
      <c r="G3811" t="s">
        <v>15538</v>
      </c>
      <c r="H3811" t="s">
        <v>20091</v>
      </c>
    </row>
    <row r="3812" spans="6:8">
      <c r="H3812" t="s">
        <v>19712</v>
      </c>
    </row>
    <row r="3813" spans="6:8">
      <c r="H3813" t="s">
        <v>20092</v>
      </c>
    </row>
    <row r="3814" spans="6:8">
      <c r="H3814" t="s">
        <v>20095</v>
      </c>
    </row>
    <row r="3815" spans="6:8">
      <c r="H3815" t="s">
        <v>20096</v>
      </c>
    </row>
    <row r="3816" spans="6:8">
      <c r="H3816" t="s">
        <v>20131</v>
      </c>
    </row>
    <row r="3817" spans="6:8">
      <c r="H3817" t="s">
        <v>18927</v>
      </c>
    </row>
    <row r="3818" spans="6:8">
      <c r="H3818" t="s">
        <v>20132</v>
      </c>
    </row>
    <row r="3819" spans="6:8">
      <c r="H3819" t="s">
        <v>18927</v>
      </c>
    </row>
    <row r="3820" spans="6:8">
      <c r="F3820" t="s">
        <v>11149</v>
      </c>
      <c r="G3820" t="s">
        <v>15539</v>
      </c>
      <c r="H3820" t="s">
        <v>20092</v>
      </c>
    </row>
    <row r="3821" spans="6:8">
      <c r="H3821" t="s">
        <v>20093</v>
      </c>
    </row>
    <row r="3822" spans="6:8">
      <c r="H3822" t="s">
        <v>20094</v>
      </c>
    </row>
    <row r="3823" spans="6:8">
      <c r="H3823" t="s">
        <v>20095</v>
      </c>
    </row>
    <row r="3824" spans="6:8">
      <c r="H3824" t="s">
        <v>20096</v>
      </c>
    </row>
    <row r="3825" spans="6:8">
      <c r="H3825" t="s">
        <v>20131</v>
      </c>
    </row>
    <row r="3826" spans="6:8">
      <c r="H3826" t="s">
        <v>18927</v>
      </c>
    </row>
    <row r="3827" spans="6:8">
      <c r="F3827" t="s">
        <v>11150</v>
      </c>
      <c r="G3827" t="s">
        <v>15540</v>
      </c>
      <c r="H3827" t="s">
        <v>20091</v>
      </c>
    </row>
    <row r="3828" spans="6:8">
      <c r="H3828" t="s">
        <v>19712</v>
      </c>
    </row>
    <row r="3829" spans="6:8">
      <c r="H3829" t="s">
        <v>19709</v>
      </c>
    </row>
    <row r="3830" spans="6:8">
      <c r="H3830" t="s">
        <v>20092</v>
      </c>
    </row>
    <row r="3831" spans="6:8">
      <c r="H3831" t="s">
        <v>20093</v>
      </c>
    </row>
    <row r="3832" spans="6:8">
      <c r="H3832" t="s">
        <v>20094</v>
      </c>
    </row>
    <row r="3833" spans="6:8">
      <c r="H3833" t="s">
        <v>20095</v>
      </c>
    </row>
    <row r="3834" spans="6:8">
      <c r="H3834" t="s">
        <v>20096</v>
      </c>
    </row>
    <row r="3835" spans="6:8">
      <c r="H3835" t="s">
        <v>20097</v>
      </c>
    </row>
    <row r="3836" spans="6:8">
      <c r="H3836" t="s">
        <v>20098</v>
      </c>
    </row>
    <row r="3837" spans="6:8">
      <c r="H3837" t="s">
        <v>20099</v>
      </c>
    </row>
    <row r="3838" spans="6:8">
      <c r="H3838" t="s">
        <v>20100</v>
      </c>
    </row>
    <row r="3839" spans="6:8">
      <c r="F3839" t="s">
        <v>11151</v>
      </c>
      <c r="G3839" t="s">
        <v>15541</v>
      </c>
      <c r="H3839" t="s">
        <v>20091</v>
      </c>
    </row>
    <row r="3840" spans="6:8">
      <c r="H3840" t="s">
        <v>19712</v>
      </c>
    </row>
    <row r="3841" spans="6:8">
      <c r="H3841" t="s">
        <v>20092</v>
      </c>
    </row>
    <row r="3842" spans="6:8">
      <c r="H3842" t="s">
        <v>20107</v>
      </c>
    </row>
    <row r="3843" spans="6:8">
      <c r="H3843" t="s">
        <v>20095</v>
      </c>
    </row>
    <row r="3844" spans="6:8">
      <c r="H3844" t="s">
        <v>20096</v>
      </c>
    </row>
    <row r="3845" spans="6:8">
      <c r="H3845" t="s">
        <v>20097</v>
      </c>
    </row>
    <row r="3846" spans="6:8">
      <c r="H3846" t="s">
        <v>20098</v>
      </c>
    </row>
    <row r="3847" spans="6:8">
      <c r="F3847" t="s">
        <v>11152</v>
      </c>
      <c r="G3847" t="s">
        <v>15542</v>
      </c>
      <c r="H3847" t="s">
        <v>20091</v>
      </c>
    </row>
    <row r="3848" spans="6:8">
      <c r="F3848" t="s">
        <v>11153</v>
      </c>
      <c r="G3848" t="s">
        <v>15543</v>
      </c>
      <c r="H3848" t="s">
        <v>20091</v>
      </c>
    </row>
    <row r="3849" spans="6:8">
      <c r="H3849" t="s">
        <v>19712</v>
      </c>
    </row>
    <row r="3850" spans="6:8">
      <c r="H3850" t="s">
        <v>19709</v>
      </c>
    </row>
    <row r="3851" spans="6:8">
      <c r="H3851" t="s">
        <v>20095</v>
      </c>
    </row>
    <row r="3852" spans="6:8">
      <c r="H3852" t="s">
        <v>20096</v>
      </c>
    </row>
    <row r="3853" spans="6:8">
      <c r="H3853" t="s">
        <v>20097</v>
      </c>
    </row>
    <row r="3854" spans="6:8">
      <c r="F3854" t="s">
        <v>11154</v>
      </c>
      <c r="G3854" t="s">
        <v>15544</v>
      </c>
      <c r="H3854" t="s">
        <v>20091</v>
      </c>
    </row>
    <row r="3855" spans="6:8">
      <c r="H3855" t="s">
        <v>19712</v>
      </c>
    </row>
    <row r="3856" spans="6:8">
      <c r="H3856" t="s">
        <v>19709</v>
      </c>
    </row>
    <row r="3857" spans="6:8">
      <c r="H3857" t="s">
        <v>19706</v>
      </c>
    </row>
    <row r="3858" spans="6:8">
      <c r="H3858" t="s">
        <v>20092</v>
      </c>
    </row>
    <row r="3859" spans="6:8">
      <c r="H3859" t="s">
        <v>20093</v>
      </c>
    </row>
    <row r="3860" spans="6:8">
      <c r="H3860" t="s">
        <v>20095</v>
      </c>
    </row>
    <row r="3861" spans="6:8">
      <c r="H3861" t="s">
        <v>20096</v>
      </c>
    </row>
    <row r="3862" spans="6:8">
      <c r="H3862" t="s">
        <v>20097</v>
      </c>
    </row>
    <row r="3863" spans="6:8">
      <c r="H3863" t="s">
        <v>20098</v>
      </c>
    </row>
    <row r="3864" spans="6:8">
      <c r="F3864" t="s">
        <v>11155</v>
      </c>
      <c r="G3864" t="s">
        <v>15545</v>
      </c>
      <c r="H3864" t="s">
        <v>20091</v>
      </c>
    </row>
    <row r="3865" spans="6:8">
      <c r="H3865" t="s">
        <v>20092</v>
      </c>
    </row>
    <row r="3866" spans="6:8">
      <c r="H3866" t="s">
        <v>20093</v>
      </c>
    </row>
    <row r="3867" spans="6:8">
      <c r="H3867" t="s">
        <v>20094</v>
      </c>
    </row>
    <row r="3868" spans="6:8">
      <c r="H3868" t="s">
        <v>20103</v>
      </c>
    </row>
    <row r="3869" spans="6:8">
      <c r="H3869" t="s">
        <v>20116</v>
      </c>
    </row>
    <row r="3870" spans="6:8">
      <c r="H3870" t="s">
        <v>20095</v>
      </c>
    </row>
    <row r="3871" spans="6:8">
      <c r="H3871" t="s">
        <v>20096</v>
      </c>
    </row>
    <row r="3872" spans="6:8">
      <c r="H3872" t="s">
        <v>20097</v>
      </c>
    </row>
    <row r="3873" spans="6:8">
      <c r="H3873" t="s">
        <v>20098</v>
      </c>
    </row>
    <row r="3874" spans="6:8">
      <c r="F3874" t="s">
        <v>11156</v>
      </c>
      <c r="G3874" t="s">
        <v>15104</v>
      </c>
      <c r="H3874" t="s">
        <v>20125</v>
      </c>
    </row>
    <row r="3875" spans="6:8">
      <c r="F3875" t="s">
        <v>11157</v>
      </c>
      <c r="G3875" t="s">
        <v>15546</v>
      </c>
      <c r="H3875" t="s">
        <v>20091</v>
      </c>
    </row>
    <row r="3876" spans="6:8">
      <c r="H3876" t="s">
        <v>19712</v>
      </c>
    </row>
    <row r="3877" spans="6:8">
      <c r="H3877" t="s">
        <v>20092</v>
      </c>
    </row>
    <row r="3878" spans="6:8">
      <c r="H3878" t="s">
        <v>20093</v>
      </c>
    </row>
    <row r="3879" spans="6:8">
      <c r="H3879" t="s">
        <v>20095</v>
      </c>
    </row>
    <row r="3880" spans="6:8">
      <c r="H3880" t="s">
        <v>20096</v>
      </c>
    </row>
    <row r="3881" spans="6:8">
      <c r="F3881" t="s">
        <v>11158</v>
      </c>
      <c r="G3881" t="s">
        <v>15547</v>
      </c>
      <c r="H3881" t="s">
        <v>20091</v>
      </c>
    </row>
    <row r="3882" spans="6:8">
      <c r="H3882" t="s">
        <v>19712</v>
      </c>
    </row>
    <row r="3883" spans="6:8">
      <c r="H3883" t="s">
        <v>20095</v>
      </c>
    </row>
    <row r="3884" spans="6:8">
      <c r="H3884" t="s">
        <v>20096</v>
      </c>
    </row>
    <row r="3885" spans="6:8">
      <c r="F3885" t="s">
        <v>11159</v>
      </c>
      <c r="G3885" t="s">
        <v>15548</v>
      </c>
      <c r="H3885" t="s">
        <v>20091</v>
      </c>
    </row>
    <row r="3886" spans="6:8">
      <c r="H3886" t="s">
        <v>19712</v>
      </c>
    </row>
    <row r="3887" spans="6:8">
      <c r="H3887" t="s">
        <v>20095</v>
      </c>
    </row>
    <row r="3888" spans="6:8">
      <c r="H3888" t="s">
        <v>20096</v>
      </c>
    </row>
    <row r="3889" spans="6:8">
      <c r="F3889" t="s">
        <v>11160</v>
      </c>
      <c r="G3889" t="s">
        <v>15549</v>
      </c>
      <c r="H3889" t="s">
        <v>20091</v>
      </c>
    </row>
    <row r="3890" spans="6:8">
      <c r="H3890" t="s">
        <v>19712</v>
      </c>
    </row>
    <row r="3891" spans="6:8">
      <c r="H3891" t="s">
        <v>19709</v>
      </c>
    </row>
    <row r="3892" spans="6:8">
      <c r="H3892" t="s">
        <v>19706</v>
      </c>
    </row>
    <row r="3893" spans="6:8">
      <c r="H3893" t="s">
        <v>19707</v>
      </c>
    </row>
    <row r="3894" spans="6:8">
      <c r="H3894" t="s">
        <v>19711</v>
      </c>
    </row>
    <row r="3895" spans="6:8">
      <c r="H3895" t="s">
        <v>20092</v>
      </c>
    </row>
    <row r="3896" spans="6:8">
      <c r="H3896" t="s">
        <v>20093</v>
      </c>
    </row>
    <row r="3897" spans="6:8">
      <c r="H3897" t="s">
        <v>20094</v>
      </c>
    </row>
    <row r="3898" spans="6:8">
      <c r="H3898" t="s">
        <v>20103</v>
      </c>
    </row>
    <row r="3899" spans="6:8">
      <c r="H3899" t="s">
        <v>20116</v>
      </c>
    </row>
    <row r="3900" spans="6:8">
      <c r="H3900" t="s">
        <v>20117</v>
      </c>
    </row>
    <row r="3901" spans="6:8">
      <c r="H3901" t="s">
        <v>20118</v>
      </c>
    </row>
    <row r="3902" spans="6:8">
      <c r="H3902" t="s">
        <v>20095</v>
      </c>
    </row>
    <row r="3903" spans="6:8">
      <c r="H3903" t="s">
        <v>20096</v>
      </c>
    </row>
    <row r="3904" spans="6:8">
      <c r="H3904" t="s">
        <v>20097</v>
      </c>
    </row>
    <row r="3905" spans="6:8">
      <c r="H3905" t="s">
        <v>20098</v>
      </c>
    </row>
    <row r="3906" spans="6:8">
      <c r="H3906" t="s">
        <v>20099</v>
      </c>
    </row>
    <row r="3907" spans="6:8">
      <c r="H3907" t="s">
        <v>20100</v>
      </c>
    </row>
    <row r="3908" spans="6:8">
      <c r="F3908" t="s">
        <v>11161</v>
      </c>
      <c r="G3908" t="s">
        <v>15550</v>
      </c>
      <c r="H3908" t="s">
        <v>20091</v>
      </c>
    </row>
    <row r="3909" spans="6:8">
      <c r="H3909" t="s">
        <v>19712</v>
      </c>
    </row>
    <row r="3910" spans="6:8">
      <c r="H3910" t="s">
        <v>19709</v>
      </c>
    </row>
    <row r="3911" spans="6:8">
      <c r="H3911" t="s">
        <v>19706</v>
      </c>
    </row>
    <row r="3912" spans="6:8">
      <c r="H3912" t="s">
        <v>19707</v>
      </c>
    </row>
    <row r="3913" spans="6:8">
      <c r="H3913" t="s">
        <v>20092</v>
      </c>
    </row>
    <row r="3914" spans="6:8">
      <c r="H3914" t="s">
        <v>20093</v>
      </c>
    </row>
    <row r="3915" spans="6:8">
      <c r="H3915" t="s">
        <v>20094</v>
      </c>
    </row>
    <row r="3916" spans="6:8">
      <c r="H3916" t="s">
        <v>20103</v>
      </c>
    </row>
    <row r="3917" spans="6:8">
      <c r="H3917" t="s">
        <v>20116</v>
      </c>
    </row>
    <row r="3918" spans="6:8">
      <c r="H3918" t="s">
        <v>20117</v>
      </c>
    </row>
    <row r="3919" spans="6:8">
      <c r="H3919" t="s">
        <v>20118</v>
      </c>
    </row>
    <row r="3920" spans="6:8">
      <c r="H3920" t="s">
        <v>20095</v>
      </c>
    </row>
    <row r="3921" spans="6:8">
      <c r="H3921" t="s">
        <v>20096</v>
      </c>
    </row>
    <row r="3922" spans="6:8">
      <c r="H3922" t="s">
        <v>20097</v>
      </c>
    </row>
    <row r="3923" spans="6:8">
      <c r="H3923" t="s">
        <v>20098</v>
      </c>
    </row>
    <row r="3924" spans="6:8">
      <c r="H3924" t="s">
        <v>20099</v>
      </c>
    </row>
    <row r="3925" spans="6:8">
      <c r="H3925" t="s">
        <v>20100</v>
      </c>
    </row>
    <row r="3926" spans="6:8">
      <c r="F3926" t="s">
        <v>11162</v>
      </c>
      <c r="G3926" t="s">
        <v>15551</v>
      </c>
      <c r="H3926" t="s">
        <v>20091</v>
      </c>
    </row>
    <row r="3927" spans="6:8">
      <c r="H3927" t="s">
        <v>20095</v>
      </c>
    </row>
    <row r="3928" spans="6:8">
      <c r="H3928" t="s">
        <v>20096</v>
      </c>
    </row>
    <row r="3929" spans="6:8">
      <c r="H3929" t="s">
        <v>20099</v>
      </c>
    </row>
    <row r="3930" spans="6:8">
      <c r="H3930" t="s">
        <v>20101</v>
      </c>
    </row>
    <row r="3931" spans="6:8">
      <c r="H3931" t="s">
        <v>19712</v>
      </c>
    </row>
    <row r="3932" spans="6:8">
      <c r="H3932" t="s">
        <v>20097</v>
      </c>
    </row>
    <row r="3933" spans="6:8">
      <c r="H3933" t="s">
        <v>20098</v>
      </c>
    </row>
    <row r="3934" spans="6:8">
      <c r="H3934" t="s">
        <v>20100</v>
      </c>
    </row>
    <row r="3935" spans="6:8">
      <c r="H3935" t="s">
        <v>20102</v>
      </c>
    </row>
    <row r="3936" spans="6:8">
      <c r="F3936" t="s">
        <v>11163</v>
      </c>
      <c r="G3936" t="s">
        <v>15552</v>
      </c>
      <c r="H3936" t="s">
        <v>20091</v>
      </c>
    </row>
    <row r="3937" spans="6:8">
      <c r="H3937" t="s">
        <v>19712</v>
      </c>
    </row>
    <row r="3938" spans="6:8">
      <c r="H3938" t="s">
        <v>20092</v>
      </c>
    </row>
    <row r="3939" spans="6:8">
      <c r="H3939" t="s">
        <v>20093</v>
      </c>
    </row>
    <row r="3940" spans="6:8">
      <c r="H3940" t="s">
        <v>20094</v>
      </c>
    </row>
    <row r="3941" spans="6:8">
      <c r="H3941" t="s">
        <v>20095</v>
      </c>
    </row>
    <row r="3942" spans="6:8">
      <c r="H3942" t="s">
        <v>20096</v>
      </c>
    </row>
    <row r="3943" spans="6:8">
      <c r="H3943" t="s">
        <v>20097</v>
      </c>
    </row>
    <row r="3944" spans="6:8">
      <c r="H3944" t="s">
        <v>20098</v>
      </c>
    </row>
    <row r="3945" spans="6:8">
      <c r="H3945" t="s">
        <v>20099</v>
      </c>
    </row>
    <row r="3946" spans="6:8">
      <c r="H3946" t="s">
        <v>20100</v>
      </c>
    </row>
    <row r="3947" spans="6:8">
      <c r="H3947" t="s">
        <v>20101</v>
      </c>
    </row>
    <row r="3948" spans="6:8">
      <c r="H3948" t="s">
        <v>20102</v>
      </c>
    </row>
    <row r="3949" spans="6:8">
      <c r="F3949" t="s">
        <v>11164</v>
      </c>
      <c r="G3949" t="s">
        <v>15553</v>
      </c>
      <c r="H3949" t="s">
        <v>20091</v>
      </c>
    </row>
    <row r="3950" spans="6:8">
      <c r="H3950" t="s">
        <v>19712</v>
      </c>
    </row>
    <row r="3951" spans="6:8">
      <c r="H3951" t="s">
        <v>20092</v>
      </c>
    </row>
    <row r="3952" spans="6:8">
      <c r="H3952" t="s">
        <v>20093</v>
      </c>
    </row>
    <row r="3953" spans="6:8">
      <c r="H3953" t="s">
        <v>20094</v>
      </c>
    </row>
    <row r="3954" spans="6:8">
      <c r="H3954" t="s">
        <v>20095</v>
      </c>
    </row>
    <row r="3955" spans="6:8">
      <c r="H3955" t="s">
        <v>20096</v>
      </c>
    </row>
    <row r="3956" spans="6:8">
      <c r="H3956" t="s">
        <v>20097</v>
      </c>
    </row>
    <row r="3957" spans="6:8">
      <c r="H3957" t="s">
        <v>20098</v>
      </c>
    </row>
    <row r="3958" spans="6:8">
      <c r="H3958" t="s">
        <v>20099</v>
      </c>
    </row>
    <row r="3959" spans="6:8">
      <c r="H3959" t="s">
        <v>20100</v>
      </c>
    </row>
    <row r="3960" spans="6:8">
      <c r="H3960" t="s">
        <v>20101</v>
      </c>
    </row>
    <row r="3961" spans="6:8">
      <c r="H3961" t="s">
        <v>20102</v>
      </c>
    </row>
    <row r="3962" spans="6:8">
      <c r="F3962" t="s">
        <v>11165</v>
      </c>
      <c r="G3962" t="s">
        <v>15554</v>
      </c>
      <c r="H3962" t="s">
        <v>20091</v>
      </c>
    </row>
    <row r="3963" spans="6:8">
      <c r="H3963" t="s">
        <v>20107</v>
      </c>
    </row>
    <row r="3964" spans="6:8">
      <c r="H3964" t="s">
        <v>20108</v>
      </c>
    </row>
    <row r="3965" spans="6:8">
      <c r="H3965" t="s">
        <v>20095</v>
      </c>
    </row>
    <row r="3966" spans="6:8">
      <c r="F3966" t="s">
        <v>11166</v>
      </c>
      <c r="G3966" t="s">
        <v>15555</v>
      </c>
      <c r="H3966" t="s">
        <v>20091</v>
      </c>
    </row>
    <row r="3967" spans="6:8">
      <c r="H3967" t="s">
        <v>19712</v>
      </c>
    </row>
    <row r="3968" spans="6:8">
      <c r="H3968" t="s">
        <v>19709</v>
      </c>
    </row>
    <row r="3969" spans="6:8">
      <c r="H3969" t="s">
        <v>19706</v>
      </c>
    </row>
    <row r="3970" spans="6:8">
      <c r="H3970" t="s">
        <v>20095</v>
      </c>
    </row>
    <row r="3971" spans="6:8">
      <c r="H3971" t="s">
        <v>20096</v>
      </c>
    </row>
    <row r="3972" spans="6:8">
      <c r="H3972" t="s">
        <v>20097</v>
      </c>
    </row>
    <row r="3973" spans="6:8">
      <c r="H3973" t="s">
        <v>20098</v>
      </c>
    </row>
    <row r="3974" spans="6:8">
      <c r="F3974" t="s">
        <v>11167</v>
      </c>
      <c r="G3974" t="s">
        <v>15556</v>
      </c>
      <c r="H3974" t="s">
        <v>20091</v>
      </c>
    </row>
    <row r="3975" spans="6:8">
      <c r="H3975" t="s">
        <v>20107</v>
      </c>
    </row>
    <row r="3976" spans="6:8">
      <c r="H3976" t="s">
        <v>20108</v>
      </c>
    </row>
    <row r="3977" spans="6:8">
      <c r="H3977" t="s">
        <v>20095</v>
      </c>
    </row>
    <row r="3978" spans="6:8">
      <c r="H3978" t="s">
        <v>20096</v>
      </c>
    </row>
    <row r="3979" spans="6:8">
      <c r="H3979" t="s">
        <v>20097</v>
      </c>
    </row>
    <row r="3980" spans="6:8">
      <c r="H3980" t="s">
        <v>20098</v>
      </c>
    </row>
    <row r="3981" spans="6:8">
      <c r="H3981" t="s">
        <v>20099</v>
      </c>
    </row>
    <row r="3982" spans="6:8">
      <c r="H3982" t="s">
        <v>20100</v>
      </c>
    </row>
    <row r="3983" spans="6:8">
      <c r="H3983" t="s">
        <v>20101</v>
      </c>
    </row>
    <row r="3984" spans="6:8">
      <c r="H3984" t="s">
        <v>20102</v>
      </c>
    </row>
    <row r="3985" spans="6:8">
      <c r="F3985" t="s">
        <v>11168</v>
      </c>
      <c r="G3985" t="s">
        <v>15557</v>
      </c>
      <c r="H3985" t="s">
        <v>20095</v>
      </c>
    </row>
    <row r="3986" spans="6:8">
      <c r="H3986" t="s">
        <v>20096</v>
      </c>
    </row>
    <row r="3987" spans="6:8">
      <c r="F3987" t="s">
        <v>11169</v>
      </c>
      <c r="G3987" t="s">
        <v>15558</v>
      </c>
      <c r="H3987" t="s">
        <v>20095</v>
      </c>
    </row>
    <row r="3988" spans="6:8">
      <c r="F3988" t="s">
        <v>11170</v>
      </c>
      <c r="G3988" t="s">
        <v>15559</v>
      </c>
      <c r="H3988" t="s">
        <v>20095</v>
      </c>
    </row>
    <row r="3989" spans="6:8">
      <c r="F3989" t="s">
        <v>11171</v>
      </c>
      <c r="G3989" t="s">
        <v>15560</v>
      </c>
      <c r="H3989" t="s">
        <v>20095</v>
      </c>
    </row>
    <row r="3990" spans="6:8">
      <c r="F3990" t="s">
        <v>11172</v>
      </c>
      <c r="G3990" t="s">
        <v>15561</v>
      </c>
      <c r="H3990" t="s">
        <v>20095</v>
      </c>
    </row>
    <row r="3991" spans="6:8">
      <c r="H3991" t="s">
        <v>20096</v>
      </c>
    </row>
    <row r="3992" spans="6:8">
      <c r="H3992" t="s">
        <v>20097</v>
      </c>
    </row>
    <row r="3993" spans="6:8">
      <c r="H3993" t="s">
        <v>20098</v>
      </c>
    </row>
    <row r="3994" spans="6:8">
      <c r="F3994" t="s">
        <v>11173</v>
      </c>
      <c r="G3994" t="s">
        <v>15562</v>
      </c>
      <c r="H3994" t="s">
        <v>20095</v>
      </c>
    </row>
    <row r="3995" spans="6:8">
      <c r="F3995" t="s">
        <v>11174</v>
      </c>
      <c r="G3995" t="s">
        <v>15563</v>
      </c>
      <c r="H3995" t="s">
        <v>20095</v>
      </c>
    </row>
    <row r="3996" spans="6:8">
      <c r="H3996" t="s">
        <v>20096</v>
      </c>
    </row>
    <row r="3997" spans="6:8">
      <c r="F3997" t="s">
        <v>11175</v>
      </c>
      <c r="G3997" t="s">
        <v>15564</v>
      </c>
      <c r="H3997" t="s">
        <v>20091</v>
      </c>
    </row>
    <row r="3998" spans="6:8">
      <c r="H3998" t="s">
        <v>20095</v>
      </c>
    </row>
    <row r="3999" spans="6:8">
      <c r="H3999" t="s">
        <v>20096</v>
      </c>
    </row>
    <row r="4000" spans="6:8">
      <c r="F4000" t="s">
        <v>11176</v>
      </c>
      <c r="G4000" t="s">
        <v>15565</v>
      </c>
      <c r="H4000" t="s">
        <v>20095</v>
      </c>
    </row>
    <row r="4001" spans="1:8">
      <c r="H4001" t="s">
        <v>20096</v>
      </c>
    </row>
    <row r="4002" spans="1:8">
      <c r="F4002" t="s">
        <v>11177</v>
      </c>
      <c r="G4002" t="s">
        <v>15566</v>
      </c>
      <c r="H4002" t="s">
        <v>20095</v>
      </c>
    </row>
    <row r="4003" spans="1:8">
      <c r="F4003" t="s">
        <v>11178</v>
      </c>
      <c r="G4003" t="s">
        <v>15567</v>
      </c>
      <c r="H4003" t="s">
        <v>20095</v>
      </c>
    </row>
    <row r="4004" spans="1:8">
      <c r="F4004" t="s">
        <v>11179</v>
      </c>
      <c r="G4004" t="s">
        <v>15568</v>
      </c>
      <c r="H4004" t="s">
        <v>20095</v>
      </c>
    </row>
    <row r="4005" spans="1:8">
      <c r="H4005" t="s">
        <v>20096</v>
      </c>
    </row>
    <row r="4006" spans="1:8">
      <c r="F4006" t="s">
        <v>11180</v>
      </c>
      <c r="G4006" t="s">
        <v>15569</v>
      </c>
      <c r="H4006" t="s">
        <v>20095</v>
      </c>
    </row>
    <row r="4007" spans="1:8">
      <c r="H4007" t="s">
        <v>20096</v>
      </c>
    </row>
    <row r="4008" spans="1:8">
      <c r="H4008" t="s">
        <v>20097</v>
      </c>
    </row>
    <row r="4009" spans="1:8">
      <c r="F4009" t="s">
        <v>11181</v>
      </c>
      <c r="G4009" t="s">
        <v>15570</v>
      </c>
      <c r="H4009" t="s">
        <v>20095</v>
      </c>
    </row>
    <row r="4010" spans="1:8">
      <c r="H4010" t="s">
        <v>20096</v>
      </c>
    </row>
    <row r="4011" spans="1:8">
      <c r="F4011" t="s">
        <v>11182</v>
      </c>
      <c r="G4011" t="s">
        <v>15571</v>
      </c>
      <c r="H4011" t="s">
        <v>20095</v>
      </c>
    </row>
    <row r="4012" spans="1:8">
      <c r="H4012" t="s">
        <v>20096</v>
      </c>
    </row>
    <row r="4013" spans="1:8">
      <c r="A4013" t="s">
        <v>296</v>
      </c>
      <c r="B4013">
        <f>HYPERLINK("https://android.googlesource.com/platform/cts/+/61d80986b9775441a56a22a36b39da3a9fef7ee1", "61d80986b9775441a56a22a36b39da3a9fef7ee1")</f>
        <v>0</v>
      </c>
      <c r="C4013">
        <f>HYPERLINK("https://android.googlesource.com/platform/cts/+/98bcc322cb3a04e0f2c3bb49d08ff3060edc89a6", "98bcc322cb3a04e0f2c3bb49d08ff3060edc89a6")</f>
        <v>0</v>
      </c>
      <c r="D4013" t="s">
        <v>4941</v>
      </c>
      <c r="E4013" t="s">
        <v>6092</v>
      </c>
      <c r="F4013" t="s">
        <v>11183</v>
      </c>
      <c r="G4013" t="s">
        <v>15572</v>
      </c>
      <c r="H4013" t="s">
        <v>20133</v>
      </c>
    </row>
    <row r="4014" spans="1:8">
      <c r="A4014" t="s">
        <v>297</v>
      </c>
      <c r="B4014">
        <f>HYPERLINK("https://android.googlesource.com/platform/cts/+/e798d2968917b3af1383e955ba625cf86ff18694", "e798d2968917b3af1383e955ba625cf86ff18694")</f>
        <v>0</v>
      </c>
      <c r="C4014">
        <f>HYPERLINK("https://android.googlesource.com/platform/cts/+/9f196eb63e762a809adb4c42c7f9df4c08a0e564", "9f196eb63e762a809adb4c42c7f9df4c08a0e564")</f>
        <v>0</v>
      </c>
      <c r="D4014" t="s">
        <v>4949</v>
      </c>
      <c r="E4014" t="s">
        <v>6093</v>
      </c>
      <c r="F4014" t="s">
        <v>11184</v>
      </c>
      <c r="G4014" t="s">
        <v>15573</v>
      </c>
      <c r="H4014" t="s">
        <v>20134</v>
      </c>
    </row>
    <row r="4015" spans="1:8">
      <c r="H4015" t="s">
        <v>20135</v>
      </c>
    </row>
    <row r="4016" spans="1:8">
      <c r="H4016" t="s">
        <v>20136</v>
      </c>
    </row>
    <row r="4017" spans="1:8">
      <c r="H4017" t="s">
        <v>20136</v>
      </c>
    </row>
    <row r="4018" spans="1:8">
      <c r="H4018" t="s">
        <v>19928</v>
      </c>
    </row>
    <row r="4019" spans="1:8">
      <c r="H4019" t="s">
        <v>20137</v>
      </c>
    </row>
    <row r="4020" spans="1:8">
      <c r="A4020" t="s">
        <v>299</v>
      </c>
      <c r="B4020">
        <f>HYPERLINK("https://android.googlesource.com/platform/cts/+/66e57a3f34415ec36454bfafd405e8eafc934765", "66e57a3f34415ec36454bfafd405e8eafc934765")</f>
        <v>0</v>
      </c>
      <c r="C4020">
        <f>HYPERLINK("https://android.googlesource.com/platform/cts/+/c8ebe0c9f7868a84853148a30de456625f394ecb", "c8ebe0c9f7868a84853148a30de456625f394ecb")</f>
        <v>0</v>
      </c>
      <c r="D4020" t="s">
        <v>4941</v>
      </c>
      <c r="E4020" t="s">
        <v>6094</v>
      </c>
      <c r="F4020" t="s">
        <v>11185</v>
      </c>
      <c r="G4020" t="s">
        <v>15574</v>
      </c>
      <c r="H4020" t="s">
        <v>20138</v>
      </c>
    </row>
    <row r="4021" spans="1:8">
      <c r="H4021" t="s">
        <v>20139</v>
      </c>
    </row>
    <row r="4022" spans="1:8">
      <c r="H4022" t="s">
        <v>20140</v>
      </c>
    </row>
    <row r="4023" spans="1:8">
      <c r="H4023" t="s">
        <v>20141</v>
      </c>
    </row>
    <row r="4024" spans="1:8">
      <c r="H4024" t="s">
        <v>20142</v>
      </c>
    </row>
    <row r="4025" spans="1:8">
      <c r="H4025" t="s">
        <v>20143</v>
      </c>
    </row>
    <row r="4026" spans="1:8">
      <c r="H4026" t="s">
        <v>20144</v>
      </c>
    </row>
    <row r="4027" spans="1:8">
      <c r="H4027" t="s">
        <v>20145</v>
      </c>
    </row>
    <row r="4028" spans="1:8">
      <c r="H4028" t="s">
        <v>19531</v>
      </c>
    </row>
    <row r="4029" spans="1:8">
      <c r="H4029" t="s">
        <v>20146</v>
      </c>
    </row>
    <row r="4030" spans="1:8">
      <c r="H4030" t="s">
        <v>20147</v>
      </c>
    </row>
    <row r="4031" spans="1:8">
      <c r="H4031" t="s">
        <v>20148</v>
      </c>
    </row>
    <row r="4032" spans="1:8">
      <c r="H4032" t="s">
        <v>20149</v>
      </c>
    </row>
    <row r="4033" spans="8:8">
      <c r="H4033" t="s">
        <v>20150</v>
      </c>
    </row>
    <row r="4034" spans="8:8">
      <c r="H4034" t="s">
        <v>20151</v>
      </c>
    </row>
    <row r="4035" spans="8:8">
      <c r="H4035" t="s">
        <v>20152</v>
      </c>
    </row>
    <row r="4036" spans="8:8">
      <c r="H4036" t="s">
        <v>20153</v>
      </c>
    </row>
    <row r="4037" spans="8:8">
      <c r="H4037" t="s">
        <v>20154</v>
      </c>
    </row>
    <row r="4038" spans="8:8">
      <c r="H4038" t="s">
        <v>20155</v>
      </c>
    </row>
    <row r="4039" spans="8:8">
      <c r="H4039" t="s">
        <v>20156</v>
      </c>
    </row>
    <row r="4040" spans="8:8">
      <c r="H4040" t="s">
        <v>20157</v>
      </c>
    </row>
    <row r="4041" spans="8:8">
      <c r="H4041" t="s">
        <v>20158</v>
      </c>
    </row>
    <row r="4042" spans="8:8">
      <c r="H4042" t="s">
        <v>19644</v>
      </c>
    </row>
    <row r="4043" spans="8:8">
      <c r="H4043" t="s">
        <v>19645</v>
      </c>
    </row>
    <row r="4044" spans="8:8">
      <c r="H4044" t="s">
        <v>20159</v>
      </c>
    </row>
    <row r="4045" spans="8:8">
      <c r="H4045" t="s">
        <v>20160</v>
      </c>
    </row>
    <row r="4046" spans="8:8">
      <c r="H4046" t="s">
        <v>20161</v>
      </c>
    </row>
    <row r="4047" spans="8:8">
      <c r="H4047" t="s">
        <v>20162</v>
      </c>
    </row>
    <row r="4048" spans="8:8">
      <c r="H4048" t="s">
        <v>20163</v>
      </c>
    </row>
    <row r="4049" spans="6:8">
      <c r="H4049" t="s">
        <v>20164</v>
      </c>
    </row>
    <row r="4050" spans="6:8">
      <c r="F4050" t="s">
        <v>11186</v>
      </c>
      <c r="G4050" t="s">
        <v>15575</v>
      </c>
      <c r="H4050" t="s">
        <v>20165</v>
      </c>
    </row>
    <row r="4051" spans="6:8">
      <c r="H4051" t="s">
        <v>20083</v>
      </c>
    </row>
    <row r="4052" spans="6:8">
      <c r="H4052" t="s">
        <v>20166</v>
      </c>
    </row>
    <row r="4053" spans="6:8">
      <c r="H4053" t="s">
        <v>20167</v>
      </c>
    </row>
    <row r="4054" spans="6:8">
      <c r="H4054" t="s">
        <v>20168</v>
      </c>
    </row>
    <row r="4055" spans="6:8">
      <c r="H4055" t="s">
        <v>20169</v>
      </c>
    </row>
    <row r="4056" spans="6:8">
      <c r="H4056" t="s">
        <v>20170</v>
      </c>
    </row>
    <row r="4057" spans="6:8">
      <c r="F4057" t="s">
        <v>11187</v>
      </c>
      <c r="G4057" t="s">
        <v>15576</v>
      </c>
      <c r="H4057" t="s">
        <v>18829</v>
      </c>
    </row>
    <row r="4058" spans="6:8">
      <c r="H4058" t="s">
        <v>20171</v>
      </c>
    </row>
    <row r="4059" spans="6:8">
      <c r="H4059" t="s">
        <v>20172</v>
      </c>
    </row>
    <row r="4060" spans="6:8">
      <c r="H4060" t="s">
        <v>20173</v>
      </c>
    </row>
    <row r="4061" spans="6:8">
      <c r="H4061" t="s">
        <v>20174</v>
      </c>
    </row>
    <row r="4062" spans="6:8">
      <c r="F4062" t="s">
        <v>11188</v>
      </c>
      <c r="G4062" t="s">
        <v>15577</v>
      </c>
      <c r="H4062" t="s">
        <v>20175</v>
      </c>
    </row>
    <row r="4063" spans="6:8">
      <c r="H4063" t="s">
        <v>18829</v>
      </c>
    </row>
    <row r="4064" spans="6:8">
      <c r="H4064" t="s">
        <v>18863</v>
      </c>
    </row>
    <row r="4065" spans="1:8">
      <c r="H4065" t="s">
        <v>20176</v>
      </c>
    </row>
    <row r="4066" spans="1:8">
      <c r="H4066" t="s">
        <v>20177</v>
      </c>
    </row>
    <row r="4067" spans="1:8">
      <c r="H4067" t="s">
        <v>20177</v>
      </c>
    </row>
    <row r="4068" spans="1:8">
      <c r="H4068" t="s">
        <v>20178</v>
      </c>
    </row>
    <row r="4069" spans="1:8">
      <c r="H4069" t="s">
        <v>20179</v>
      </c>
    </row>
    <row r="4070" spans="1:8">
      <c r="H4070" t="s">
        <v>20180</v>
      </c>
    </row>
    <row r="4071" spans="1:8">
      <c r="H4071" t="s">
        <v>20181</v>
      </c>
    </row>
    <row r="4072" spans="1:8">
      <c r="H4072" t="s">
        <v>20182</v>
      </c>
    </row>
    <row r="4073" spans="1:8">
      <c r="H4073" t="s">
        <v>20183</v>
      </c>
    </row>
    <row r="4074" spans="1:8">
      <c r="A4074" t="s">
        <v>300</v>
      </c>
      <c r="B4074">
        <f>HYPERLINK("https://android.googlesource.com/platform/cts/+/f73562c8bf0af0d23fa7c72e7305345d57f8fd7f", "f73562c8bf0af0d23fa7c72e7305345d57f8fd7f")</f>
        <v>0</v>
      </c>
      <c r="C4074">
        <f>HYPERLINK("https://android.googlesource.com/platform/cts/+/add80f71092507906045f128b5dc40e352d41038", "add80f71092507906045f128b5dc40e352d41038")</f>
        <v>0</v>
      </c>
      <c r="D4074" t="s">
        <v>4941</v>
      </c>
      <c r="E4074" t="s">
        <v>6095</v>
      </c>
      <c r="F4074" t="s">
        <v>11189</v>
      </c>
      <c r="G4074" t="s">
        <v>15578</v>
      </c>
      <c r="H4074" t="s">
        <v>18893</v>
      </c>
    </row>
    <row r="4075" spans="1:8">
      <c r="H4075" t="s">
        <v>19020</v>
      </c>
    </row>
    <row r="4076" spans="1:8">
      <c r="A4076" t="s">
        <v>301</v>
      </c>
      <c r="B4076">
        <f>HYPERLINK("https://android.googlesource.com/platform/cts/+/68ecbe7ec17985a8f6ad3d226de3e5e78e098458", "68ecbe7ec17985a8f6ad3d226de3e5e78e098458")</f>
        <v>0</v>
      </c>
      <c r="C4076">
        <f>HYPERLINK("https://android.googlesource.com/platform/cts/+/5202a98d05ecdb56ffc57519c954c4a28edd4d0d", "5202a98d05ecdb56ffc57519c954c4a28edd4d0d")</f>
        <v>0</v>
      </c>
      <c r="D4076" t="s">
        <v>4971</v>
      </c>
      <c r="E4076" t="s">
        <v>6096</v>
      </c>
      <c r="F4076" t="s">
        <v>10729</v>
      </c>
      <c r="G4076" t="s">
        <v>15128</v>
      </c>
      <c r="H4076" t="s">
        <v>19349</v>
      </c>
    </row>
    <row r="4077" spans="1:8">
      <c r="A4077" t="s">
        <v>302</v>
      </c>
      <c r="B4077">
        <f>HYPERLINK("https://android.googlesource.com/platform/cts/+/0c8a8bc44e91a365f4bf0cb22d33648066749cf7", "0c8a8bc44e91a365f4bf0cb22d33648066749cf7")</f>
        <v>0</v>
      </c>
      <c r="C4077">
        <f>HYPERLINK("https://android.googlesource.com/platform/cts/+/68ecbe7ec17985a8f6ad3d226de3e5e78e098458", "68ecbe7ec17985a8f6ad3d226de3e5e78e098458")</f>
        <v>0</v>
      </c>
      <c r="D4077" t="s">
        <v>4971</v>
      </c>
      <c r="E4077" t="s">
        <v>6097</v>
      </c>
      <c r="F4077" t="s">
        <v>10721</v>
      </c>
      <c r="G4077" t="s">
        <v>15120</v>
      </c>
      <c r="H4077" t="s">
        <v>20184</v>
      </c>
    </row>
    <row r="4078" spans="1:8">
      <c r="F4078" t="s">
        <v>11190</v>
      </c>
      <c r="G4078" t="s">
        <v>15579</v>
      </c>
      <c r="H4078" t="s">
        <v>20184</v>
      </c>
    </row>
    <row r="4079" spans="1:8">
      <c r="F4079" t="s">
        <v>11191</v>
      </c>
      <c r="G4079" t="s">
        <v>15580</v>
      </c>
      <c r="H4079" t="s">
        <v>20184</v>
      </c>
    </row>
    <row r="4080" spans="1:8">
      <c r="F4080" t="s">
        <v>11192</v>
      </c>
      <c r="G4080" t="s">
        <v>15581</v>
      </c>
      <c r="H4080" t="s">
        <v>19349</v>
      </c>
    </row>
    <row r="4081" spans="1:8">
      <c r="F4081" t="s">
        <v>10724</v>
      </c>
      <c r="G4081" t="s">
        <v>15123</v>
      </c>
      <c r="H4081" t="s">
        <v>20184</v>
      </c>
    </row>
    <row r="4082" spans="1:8">
      <c r="F4082" t="s">
        <v>10729</v>
      </c>
      <c r="G4082" t="s">
        <v>15128</v>
      </c>
      <c r="H4082" t="s">
        <v>20185</v>
      </c>
    </row>
    <row r="4083" spans="1:8">
      <c r="F4083" t="s">
        <v>11193</v>
      </c>
      <c r="G4083" t="s">
        <v>15582</v>
      </c>
      <c r="H4083" t="s">
        <v>20184</v>
      </c>
    </row>
    <row r="4084" spans="1:8">
      <c r="F4084" t="s">
        <v>10666</v>
      </c>
      <c r="G4084" t="s">
        <v>15067</v>
      </c>
      <c r="H4084" t="s">
        <v>19349</v>
      </c>
    </row>
    <row r="4085" spans="1:8">
      <c r="A4085" t="s">
        <v>303</v>
      </c>
      <c r="B4085">
        <f>HYPERLINK("https://android.googlesource.com/platform/cts/+/354ed32eea151544f9f1d211c582f3553952cc4b", "354ed32eea151544f9f1d211c582f3553952cc4b")</f>
        <v>0</v>
      </c>
      <c r="C4085">
        <f>HYPERLINK("https://android.googlesource.com/platform/cts/+/1c7bf662162e865509122b68c0bf6fcf6f65fdc0", "1c7bf662162e865509122b68c0bf6fcf6f65fdc0")</f>
        <v>0</v>
      </c>
      <c r="D4085" t="s">
        <v>4964</v>
      </c>
      <c r="E4085" t="s">
        <v>6098</v>
      </c>
      <c r="F4085" t="s">
        <v>11194</v>
      </c>
      <c r="G4085" t="s">
        <v>15583</v>
      </c>
      <c r="H4085" t="s">
        <v>20186</v>
      </c>
    </row>
    <row r="4086" spans="1:8">
      <c r="H4086" t="s">
        <v>20187</v>
      </c>
    </row>
    <row r="4087" spans="1:8">
      <c r="H4087" t="s">
        <v>20188</v>
      </c>
    </row>
    <row r="4088" spans="1:8">
      <c r="H4088" t="s">
        <v>20189</v>
      </c>
    </row>
    <row r="4089" spans="1:8">
      <c r="H4089" t="s">
        <v>20190</v>
      </c>
    </row>
    <row r="4090" spans="1:8">
      <c r="H4090" t="s">
        <v>20191</v>
      </c>
    </row>
    <row r="4091" spans="1:8">
      <c r="A4091" t="s">
        <v>304</v>
      </c>
      <c r="B4091">
        <f>HYPERLINK("https://android.googlesource.com/platform/cts/+/9349ccb388ac3790315b87d7d5bf802cb0376560", "9349ccb388ac3790315b87d7d5bf802cb0376560")</f>
        <v>0</v>
      </c>
      <c r="C4091">
        <f>HYPERLINK("https://android.googlesource.com/platform/cts/+/611f9a02560d1726a82de9d4a0827ba49a4b682b", "611f9a02560d1726a82de9d4a0827ba49a4b682b")</f>
        <v>0</v>
      </c>
      <c r="D4091" t="s">
        <v>4941</v>
      </c>
      <c r="E4091" t="s">
        <v>6099</v>
      </c>
      <c r="F4091" t="s">
        <v>11195</v>
      </c>
      <c r="G4091" t="s">
        <v>15584</v>
      </c>
      <c r="H4091" t="s">
        <v>20095</v>
      </c>
    </row>
    <row r="4092" spans="1:8">
      <c r="H4092" t="s">
        <v>20096</v>
      </c>
    </row>
    <row r="4093" spans="1:8">
      <c r="H4093" t="s">
        <v>20097</v>
      </c>
    </row>
    <row r="4094" spans="1:8">
      <c r="H4094" t="s">
        <v>20098</v>
      </c>
    </row>
    <row r="4095" spans="1:8">
      <c r="H4095" t="s">
        <v>20099</v>
      </c>
    </row>
    <row r="4096" spans="1:8">
      <c r="H4096" t="s">
        <v>20100</v>
      </c>
    </row>
    <row r="4097" spans="6:8">
      <c r="H4097" t="s">
        <v>20101</v>
      </c>
    </row>
    <row r="4098" spans="6:8">
      <c r="H4098" t="s">
        <v>20102</v>
      </c>
    </row>
    <row r="4099" spans="6:8">
      <c r="H4099" t="s">
        <v>20104</v>
      </c>
    </row>
    <row r="4100" spans="6:8">
      <c r="H4100" t="s">
        <v>20123</v>
      </c>
    </row>
    <row r="4101" spans="6:8">
      <c r="H4101" t="s">
        <v>20124</v>
      </c>
    </row>
    <row r="4102" spans="6:8">
      <c r="F4102" t="s">
        <v>11196</v>
      </c>
      <c r="G4102" t="s">
        <v>15190</v>
      </c>
      <c r="H4102" t="s">
        <v>20091</v>
      </c>
    </row>
    <row r="4103" spans="6:8">
      <c r="H4103" t="s">
        <v>19712</v>
      </c>
    </row>
    <row r="4104" spans="6:8">
      <c r="H4104" t="s">
        <v>19709</v>
      </c>
    </row>
    <row r="4105" spans="6:8">
      <c r="H4105" t="s">
        <v>19706</v>
      </c>
    </row>
    <row r="4106" spans="6:8">
      <c r="H4106" t="s">
        <v>20107</v>
      </c>
    </row>
    <row r="4107" spans="6:8">
      <c r="H4107" t="s">
        <v>20108</v>
      </c>
    </row>
    <row r="4108" spans="6:8">
      <c r="H4108" t="s">
        <v>19713</v>
      </c>
    </row>
    <row r="4109" spans="6:8">
      <c r="H4109" t="s">
        <v>19714</v>
      </c>
    </row>
    <row r="4110" spans="6:8">
      <c r="H4110" t="s">
        <v>20109</v>
      </c>
    </row>
    <row r="4111" spans="6:8">
      <c r="H4111" t="s">
        <v>20110</v>
      </c>
    </row>
    <row r="4112" spans="6:8">
      <c r="H4112" t="s">
        <v>20111</v>
      </c>
    </row>
    <row r="4113" spans="6:8">
      <c r="H4113" t="s">
        <v>20112</v>
      </c>
    </row>
    <row r="4114" spans="6:8">
      <c r="H4114" t="s">
        <v>20113</v>
      </c>
    </row>
    <row r="4115" spans="6:8">
      <c r="H4115" t="s">
        <v>20095</v>
      </c>
    </row>
    <row r="4116" spans="6:8">
      <c r="H4116" t="s">
        <v>20096</v>
      </c>
    </row>
    <row r="4117" spans="6:8">
      <c r="H4117" t="s">
        <v>20097</v>
      </c>
    </row>
    <row r="4118" spans="6:8">
      <c r="H4118" t="s">
        <v>20098</v>
      </c>
    </row>
    <row r="4119" spans="6:8">
      <c r="F4119" t="s">
        <v>11197</v>
      </c>
      <c r="G4119" t="s">
        <v>15191</v>
      </c>
      <c r="H4119" t="s">
        <v>20091</v>
      </c>
    </row>
    <row r="4120" spans="6:8">
      <c r="H4120" t="s">
        <v>19712</v>
      </c>
    </row>
    <row r="4121" spans="6:8">
      <c r="H4121" t="s">
        <v>19709</v>
      </c>
    </row>
    <row r="4122" spans="6:8">
      <c r="H4122" t="s">
        <v>19706</v>
      </c>
    </row>
    <row r="4123" spans="6:8">
      <c r="H4123" t="s">
        <v>20107</v>
      </c>
    </row>
    <row r="4124" spans="6:8">
      <c r="H4124" t="s">
        <v>20108</v>
      </c>
    </row>
    <row r="4125" spans="6:8">
      <c r="H4125" t="s">
        <v>19713</v>
      </c>
    </row>
    <row r="4126" spans="6:8">
      <c r="H4126" t="s">
        <v>19714</v>
      </c>
    </row>
    <row r="4127" spans="6:8">
      <c r="H4127" t="s">
        <v>20109</v>
      </c>
    </row>
    <row r="4128" spans="6:8">
      <c r="H4128" t="s">
        <v>20110</v>
      </c>
    </row>
    <row r="4129" spans="6:8">
      <c r="H4129" t="s">
        <v>20111</v>
      </c>
    </row>
    <row r="4130" spans="6:8">
      <c r="H4130" t="s">
        <v>20112</v>
      </c>
    </row>
    <row r="4131" spans="6:8">
      <c r="H4131" t="s">
        <v>20113</v>
      </c>
    </row>
    <row r="4132" spans="6:8">
      <c r="H4132" t="s">
        <v>20095</v>
      </c>
    </row>
    <row r="4133" spans="6:8">
      <c r="H4133" t="s">
        <v>20096</v>
      </c>
    </row>
    <row r="4134" spans="6:8">
      <c r="H4134" t="s">
        <v>20097</v>
      </c>
    </row>
    <row r="4135" spans="6:8">
      <c r="H4135" t="s">
        <v>20098</v>
      </c>
    </row>
    <row r="4136" spans="6:8">
      <c r="F4136" t="s">
        <v>11198</v>
      </c>
      <c r="G4136" t="s">
        <v>15192</v>
      </c>
      <c r="H4136" t="s">
        <v>20091</v>
      </c>
    </row>
    <row r="4137" spans="6:8">
      <c r="H4137" t="s">
        <v>19712</v>
      </c>
    </row>
    <row r="4138" spans="6:8">
      <c r="H4138" t="s">
        <v>19709</v>
      </c>
    </row>
    <row r="4139" spans="6:8">
      <c r="H4139" t="s">
        <v>19707</v>
      </c>
    </row>
    <row r="4140" spans="6:8">
      <c r="H4140" t="s">
        <v>20107</v>
      </c>
    </row>
    <row r="4141" spans="6:8">
      <c r="H4141" t="s">
        <v>20108</v>
      </c>
    </row>
    <row r="4142" spans="6:8">
      <c r="H4142" t="s">
        <v>19713</v>
      </c>
    </row>
    <row r="4143" spans="6:8">
      <c r="H4143" t="s">
        <v>19714</v>
      </c>
    </row>
    <row r="4144" spans="6:8">
      <c r="H4144" t="s">
        <v>20109</v>
      </c>
    </row>
    <row r="4145" spans="6:8">
      <c r="H4145" t="s">
        <v>20110</v>
      </c>
    </row>
    <row r="4146" spans="6:8">
      <c r="H4146" t="s">
        <v>20111</v>
      </c>
    </row>
    <row r="4147" spans="6:8">
      <c r="H4147" t="s">
        <v>20112</v>
      </c>
    </row>
    <row r="4148" spans="6:8">
      <c r="H4148" t="s">
        <v>20113</v>
      </c>
    </row>
    <row r="4149" spans="6:8">
      <c r="H4149" t="s">
        <v>20095</v>
      </c>
    </row>
    <row r="4150" spans="6:8">
      <c r="H4150" t="s">
        <v>20096</v>
      </c>
    </row>
    <row r="4151" spans="6:8">
      <c r="H4151" t="s">
        <v>20097</v>
      </c>
    </row>
    <row r="4152" spans="6:8">
      <c r="H4152" t="s">
        <v>20098</v>
      </c>
    </row>
    <row r="4153" spans="6:8">
      <c r="F4153" t="s">
        <v>11199</v>
      </c>
      <c r="G4153" t="s">
        <v>15193</v>
      </c>
      <c r="H4153" t="s">
        <v>20091</v>
      </c>
    </row>
    <row r="4154" spans="6:8">
      <c r="H4154" t="s">
        <v>19712</v>
      </c>
    </row>
    <row r="4155" spans="6:8">
      <c r="H4155" t="s">
        <v>19709</v>
      </c>
    </row>
    <row r="4156" spans="6:8">
      <c r="H4156" t="s">
        <v>19707</v>
      </c>
    </row>
    <row r="4157" spans="6:8">
      <c r="H4157" t="s">
        <v>20107</v>
      </c>
    </row>
    <row r="4158" spans="6:8">
      <c r="H4158" t="s">
        <v>20108</v>
      </c>
    </row>
    <row r="4159" spans="6:8">
      <c r="H4159" t="s">
        <v>19713</v>
      </c>
    </row>
    <row r="4160" spans="6:8">
      <c r="H4160" t="s">
        <v>19714</v>
      </c>
    </row>
    <row r="4161" spans="6:8">
      <c r="H4161" t="s">
        <v>20109</v>
      </c>
    </row>
    <row r="4162" spans="6:8">
      <c r="H4162" t="s">
        <v>20110</v>
      </c>
    </row>
    <row r="4163" spans="6:8">
      <c r="H4163" t="s">
        <v>20111</v>
      </c>
    </row>
    <row r="4164" spans="6:8">
      <c r="H4164" t="s">
        <v>20112</v>
      </c>
    </row>
    <row r="4165" spans="6:8">
      <c r="H4165" t="s">
        <v>20113</v>
      </c>
    </row>
    <row r="4166" spans="6:8">
      <c r="H4166" t="s">
        <v>20095</v>
      </c>
    </row>
    <row r="4167" spans="6:8">
      <c r="H4167" t="s">
        <v>20096</v>
      </c>
    </row>
    <row r="4168" spans="6:8">
      <c r="H4168" t="s">
        <v>20097</v>
      </c>
    </row>
    <row r="4169" spans="6:8">
      <c r="H4169" t="s">
        <v>20098</v>
      </c>
    </row>
    <row r="4170" spans="6:8">
      <c r="F4170" t="s">
        <v>11200</v>
      </c>
      <c r="G4170" t="s">
        <v>15194</v>
      </c>
      <c r="H4170" t="s">
        <v>20091</v>
      </c>
    </row>
    <row r="4171" spans="6:8">
      <c r="H4171" t="s">
        <v>19712</v>
      </c>
    </row>
    <row r="4172" spans="6:8">
      <c r="H4172" t="s">
        <v>19709</v>
      </c>
    </row>
    <row r="4173" spans="6:8">
      <c r="H4173" t="s">
        <v>19706</v>
      </c>
    </row>
    <row r="4174" spans="6:8">
      <c r="H4174" t="s">
        <v>19707</v>
      </c>
    </row>
    <row r="4175" spans="6:8">
      <c r="H4175" t="s">
        <v>19711</v>
      </c>
    </row>
    <row r="4176" spans="6:8">
      <c r="H4176" t="s">
        <v>19708</v>
      </c>
    </row>
    <row r="4177" spans="6:8">
      <c r="H4177" t="s">
        <v>20107</v>
      </c>
    </row>
    <row r="4178" spans="6:8">
      <c r="H4178" t="s">
        <v>20108</v>
      </c>
    </row>
    <row r="4179" spans="6:8">
      <c r="H4179" t="s">
        <v>19713</v>
      </c>
    </row>
    <row r="4180" spans="6:8">
      <c r="H4180" t="s">
        <v>19714</v>
      </c>
    </row>
    <row r="4181" spans="6:8">
      <c r="H4181" t="s">
        <v>20109</v>
      </c>
    </row>
    <row r="4182" spans="6:8">
      <c r="H4182" t="s">
        <v>20110</v>
      </c>
    </row>
    <row r="4183" spans="6:8">
      <c r="H4183" t="s">
        <v>20095</v>
      </c>
    </row>
    <row r="4184" spans="6:8">
      <c r="H4184" t="s">
        <v>20096</v>
      </c>
    </row>
    <row r="4185" spans="6:8">
      <c r="H4185" t="s">
        <v>20097</v>
      </c>
    </row>
    <row r="4186" spans="6:8">
      <c r="H4186" t="s">
        <v>20098</v>
      </c>
    </row>
    <row r="4187" spans="6:8">
      <c r="F4187" t="s">
        <v>11201</v>
      </c>
      <c r="G4187" t="s">
        <v>15195</v>
      </c>
      <c r="H4187" t="s">
        <v>20091</v>
      </c>
    </row>
    <row r="4188" spans="6:8">
      <c r="H4188" t="s">
        <v>19712</v>
      </c>
    </row>
    <row r="4189" spans="6:8">
      <c r="H4189" t="s">
        <v>19709</v>
      </c>
    </row>
    <row r="4190" spans="6:8">
      <c r="H4190" t="s">
        <v>19706</v>
      </c>
    </row>
    <row r="4191" spans="6:8">
      <c r="H4191" t="s">
        <v>19707</v>
      </c>
    </row>
    <row r="4192" spans="6:8">
      <c r="H4192" t="s">
        <v>19711</v>
      </c>
    </row>
    <row r="4193" spans="6:8">
      <c r="H4193" t="s">
        <v>19708</v>
      </c>
    </row>
    <row r="4194" spans="6:8">
      <c r="H4194" t="s">
        <v>20107</v>
      </c>
    </row>
    <row r="4195" spans="6:8">
      <c r="H4195" t="s">
        <v>20108</v>
      </c>
    </row>
    <row r="4196" spans="6:8">
      <c r="H4196" t="s">
        <v>19713</v>
      </c>
    </row>
    <row r="4197" spans="6:8">
      <c r="H4197" t="s">
        <v>19714</v>
      </c>
    </row>
    <row r="4198" spans="6:8">
      <c r="H4198" t="s">
        <v>20109</v>
      </c>
    </row>
    <row r="4199" spans="6:8">
      <c r="H4199" t="s">
        <v>20110</v>
      </c>
    </row>
    <row r="4200" spans="6:8">
      <c r="H4200" t="s">
        <v>20095</v>
      </c>
    </row>
    <row r="4201" spans="6:8">
      <c r="H4201" t="s">
        <v>20096</v>
      </c>
    </row>
    <row r="4202" spans="6:8">
      <c r="H4202" t="s">
        <v>20097</v>
      </c>
    </row>
    <row r="4203" spans="6:8">
      <c r="H4203" t="s">
        <v>20098</v>
      </c>
    </row>
    <row r="4204" spans="6:8">
      <c r="F4204" t="s">
        <v>11202</v>
      </c>
      <c r="G4204" t="s">
        <v>15196</v>
      </c>
      <c r="H4204" t="s">
        <v>20091</v>
      </c>
    </row>
    <row r="4205" spans="6:8">
      <c r="H4205" t="s">
        <v>19712</v>
      </c>
    </row>
    <row r="4206" spans="6:8">
      <c r="H4206" t="s">
        <v>19709</v>
      </c>
    </row>
    <row r="4207" spans="6:8">
      <c r="H4207" t="s">
        <v>19706</v>
      </c>
    </row>
    <row r="4208" spans="6:8">
      <c r="H4208" t="s">
        <v>19707</v>
      </c>
    </row>
    <row r="4209" spans="6:8">
      <c r="H4209" t="s">
        <v>19711</v>
      </c>
    </row>
    <row r="4210" spans="6:8">
      <c r="H4210" t="s">
        <v>19708</v>
      </c>
    </row>
    <row r="4211" spans="6:8">
      <c r="H4211" t="s">
        <v>20107</v>
      </c>
    </row>
    <row r="4212" spans="6:8">
      <c r="H4212" t="s">
        <v>20108</v>
      </c>
    </row>
    <row r="4213" spans="6:8">
      <c r="H4213" t="s">
        <v>19713</v>
      </c>
    </row>
    <row r="4214" spans="6:8">
      <c r="H4214" t="s">
        <v>19714</v>
      </c>
    </row>
    <row r="4215" spans="6:8">
      <c r="H4215" t="s">
        <v>20109</v>
      </c>
    </row>
    <row r="4216" spans="6:8">
      <c r="H4216" t="s">
        <v>20110</v>
      </c>
    </row>
    <row r="4217" spans="6:8">
      <c r="H4217" t="s">
        <v>20095</v>
      </c>
    </row>
    <row r="4218" spans="6:8">
      <c r="H4218" t="s">
        <v>20096</v>
      </c>
    </row>
    <row r="4219" spans="6:8">
      <c r="H4219" t="s">
        <v>20097</v>
      </c>
    </row>
    <row r="4220" spans="6:8">
      <c r="H4220" t="s">
        <v>20098</v>
      </c>
    </row>
    <row r="4221" spans="6:8">
      <c r="F4221" t="s">
        <v>11203</v>
      </c>
      <c r="G4221" t="s">
        <v>15197</v>
      </c>
      <c r="H4221" t="s">
        <v>20091</v>
      </c>
    </row>
    <row r="4222" spans="6:8">
      <c r="H4222" t="s">
        <v>19712</v>
      </c>
    </row>
    <row r="4223" spans="6:8">
      <c r="H4223" t="s">
        <v>19709</v>
      </c>
    </row>
    <row r="4224" spans="6:8">
      <c r="H4224" t="s">
        <v>19706</v>
      </c>
    </row>
    <row r="4225" spans="6:8">
      <c r="H4225" t="s">
        <v>19707</v>
      </c>
    </row>
    <row r="4226" spans="6:8">
      <c r="H4226" t="s">
        <v>19711</v>
      </c>
    </row>
    <row r="4227" spans="6:8">
      <c r="H4227" t="s">
        <v>19708</v>
      </c>
    </row>
    <row r="4228" spans="6:8">
      <c r="H4228" t="s">
        <v>20107</v>
      </c>
    </row>
    <row r="4229" spans="6:8">
      <c r="H4229" t="s">
        <v>20108</v>
      </c>
    </row>
    <row r="4230" spans="6:8">
      <c r="H4230" t="s">
        <v>19713</v>
      </c>
    </row>
    <row r="4231" spans="6:8">
      <c r="H4231" t="s">
        <v>19714</v>
      </c>
    </row>
    <row r="4232" spans="6:8">
      <c r="H4232" t="s">
        <v>20109</v>
      </c>
    </row>
    <row r="4233" spans="6:8">
      <c r="H4233" t="s">
        <v>20110</v>
      </c>
    </row>
    <row r="4234" spans="6:8">
      <c r="H4234" t="s">
        <v>20095</v>
      </c>
    </row>
    <row r="4235" spans="6:8">
      <c r="H4235" t="s">
        <v>20096</v>
      </c>
    </row>
    <row r="4236" spans="6:8">
      <c r="H4236" t="s">
        <v>20097</v>
      </c>
    </row>
    <row r="4237" spans="6:8">
      <c r="H4237" t="s">
        <v>20098</v>
      </c>
    </row>
    <row r="4238" spans="6:8">
      <c r="F4238" t="s">
        <v>11204</v>
      </c>
      <c r="G4238" t="s">
        <v>15198</v>
      </c>
      <c r="H4238" t="s">
        <v>20091</v>
      </c>
    </row>
    <row r="4239" spans="6:8">
      <c r="H4239" t="s">
        <v>19712</v>
      </c>
    </row>
    <row r="4240" spans="6:8">
      <c r="H4240" t="s">
        <v>19709</v>
      </c>
    </row>
    <row r="4241" spans="6:8">
      <c r="H4241" t="s">
        <v>19706</v>
      </c>
    </row>
    <row r="4242" spans="6:8">
      <c r="H4242" t="s">
        <v>20107</v>
      </c>
    </row>
    <row r="4243" spans="6:8">
      <c r="H4243" t="s">
        <v>20108</v>
      </c>
    </row>
    <row r="4244" spans="6:8">
      <c r="H4244" t="s">
        <v>19713</v>
      </c>
    </row>
    <row r="4245" spans="6:8">
      <c r="H4245" t="s">
        <v>19714</v>
      </c>
    </row>
    <row r="4246" spans="6:8">
      <c r="H4246" t="s">
        <v>20109</v>
      </c>
    </row>
    <row r="4247" spans="6:8">
      <c r="H4247" t="s">
        <v>20110</v>
      </c>
    </row>
    <row r="4248" spans="6:8">
      <c r="H4248" t="s">
        <v>20111</v>
      </c>
    </row>
    <row r="4249" spans="6:8">
      <c r="H4249" t="s">
        <v>20112</v>
      </c>
    </row>
    <row r="4250" spans="6:8">
      <c r="H4250" t="s">
        <v>20095</v>
      </c>
    </row>
    <row r="4251" spans="6:8">
      <c r="H4251" t="s">
        <v>20096</v>
      </c>
    </row>
    <row r="4252" spans="6:8">
      <c r="H4252" t="s">
        <v>20097</v>
      </c>
    </row>
    <row r="4253" spans="6:8">
      <c r="H4253" t="s">
        <v>20098</v>
      </c>
    </row>
    <row r="4254" spans="6:8">
      <c r="F4254" t="s">
        <v>11205</v>
      </c>
      <c r="G4254" t="s">
        <v>15199</v>
      </c>
      <c r="H4254" t="s">
        <v>20091</v>
      </c>
    </row>
    <row r="4255" spans="6:8">
      <c r="H4255" t="s">
        <v>19712</v>
      </c>
    </row>
    <row r="4256" spans="6:8">
      <c r="H4256" t="s">
        <v>19709</v>
      </c>
    </row>
    <row r="4257" spans="6:8">
      <c r="H4257" t="s">
        <v>19706</v>
      </c>
    </row>
    <row r="4258" spans="6:8">
      <c r="H4258" t="s">
        <v>20107</v>
      </c>
    </row>
    <row r="4259" spans="6:8">
      <c r="H4259" t="s">
        <v>20108</v>
      </c>
    </row>
    <row r="4260" spans="6:8">
      <c r="H4260" t="s">
        <v>19713</v>
      </c>
    </row>
    <row r="4261" spans="6:8">
      <c r="H4261" t="s">
        <v>19714</v>
      </c>
    </row>
    <row r="4262" spans="6:8">
      <c r="H4262" t="s">
        <v>20109</v>
      </c>
    </row>
    <row r="4263" spans="6:8">
      <c r="H4263" t="s">
        <v>20110</v>
      </c>
    </row>
    <row r="4264" spans="6:8">
      <c r="H4264" t="s">
        <v>20111</v>
      </c>
    </row>
    <row r="4265" spans="6:8">
      <c r="H4265" t="s">
        <v>20112</v>
      </c>
    </row>
    <row r="4266" spans="6:8">
      <c r="H4266" t="s">
        <v>20096</v>
      </c>
    </row>
    <row r="4267" spans="6:8">
      <c r="H4267" t="s">
        <v>20097</v>
      </c>
    </row>
    <row r="4268" spans="6:8">
      <c r="H4268" t="s">
        <v>20098</v>
      </c>
    </row>
    <row r="4269" spans="6:8">
      <c r="H4269" t="s">
        <v>20099</v>
      </c>
    </row>
    <row r="4270" spans="6:8">
      <c r="F4270" t="s">
        <v>11206</v>
      </c>
      <c r="G4270" t="s">
        <v>15200</v>
      </c>
      <c r="H4270" t="s">
        <v>20091</v>
      </c>
    </row>
    <row r="4271" spans="6:8">
      <c r="H4271" t="s">
        <v>19712</v>
      </c>
    </row>
    <row r="4272" spans="6:8">
      <c r="H4272" t="s">
        <v>19709</v>
      </c>
    </row>
    <row r="4273" spans="6:8">
      <c r="H4273" t="s">
        <v>20092</v>
      </c>
    </row>
    <row r="4274" spans="6:8">
      <c r="H4274" t="s">
        <v>20093</v>
      </c>
    </row>
    <row r="4275" spans="6:8">
      <c r="H4275" t="s">
        <v>20094</v>
      </c>
    </row>
    <row r="4276" spans="6:8">
      <c r="H4276" t="s">
        <v>20095</v>
      </c>
    </row>
    <row r="4277" spans="6:8">
      <c r="H4277" t="s">
        <v>20096</v>
      </c>
    </row>
    <row r="4278" spans="6:8">
      <c r="H4278" t="s">
        <v>20097</v>
      </c>
    </row>
    <row r="4279" spans="6:8">
      <c r="H4279" t="s">
        <v>20098</v>
      </c>
    </row>
    <row r="4280" spans="6:8">
      <c r="H4280" t="s">
        <v>20099</v>
      </c>
    </row>
    <row r="4281" spans="6:8">
      <c r="H4281" t="s">
        <v>20100</v>
      </c>
    </row>
    <row r="4282" spans="6:8">
      <c r="H4282" t="s">
        <v>20101</v>
      </c>
    </row>
    <row r="4283" spans="6:8">
      <c r="F4283" t="s">
        <v>11207</v>
      </c>
      <c r="G4283" t="s">
        <v>15201</v>
      </c>
      <c r="H4283" t="s">
        <v>20091</v>
      </c>
    </row>
    <row r="4284" spans="6:8">
      <c r="H4284" t="s">
        <v>19712</v>
      </c>
    </row>
    <row r="4285" spans="6:8">
      <c r="H4285" t="s">
        <v>19709</v>
      </c>
    </row>
    <row r="4286" spans="6:8">
      <c r="H4286" t="s">
        <v>20092</v>
      </c>
    </row>
    <row r="4287" spans="6:8">
      <c r="H4287" t="s">
        <v>20093</v>
      </c>
    </row>
    <row r="4288" spans="6:8">
      <c r="H4288" t="s">
        <v>20094</v>
      </c>
    </row>
    <row r="4289" spans="6:8">
      <c r="H4289" t="s">
        <v>20095</v>
      </c>
    </row>
    <row r="4290" spans="6:8">
      <c r="H4290" t="s">
        <v>20096</v>
      </c>
    </row>
    <row r="4291" spans="6:8">
      <c r="H4291" t="s">
        <v>20097</v>
      </c>
    </row>
    <row r="4292" spans="6:8">
      <c r="H4292" t="s">
        <v>20098</v>
      </c>
    </row>
    <row r="4293" spans="6:8">
      <c r="H4293" t="s">
        <v>20099</v>
      </c>
    </row>
    <row r="4294" spans="6:8">
      <c r="H4294" t="s">
        <v>20100</v>
      </c>
    </row>
    <row r="4295" spans="6:8">
      <c r="H4295" t="s">
        <v>20101</v>
      </c>
    </row>
    <row r="4296" spans="6:8">
      <c r="F4296" t="s">
        <v>11208</v>
      </c>
      <c r="G4296" t="s">
        <v>15202</v>
      </c>
      <c r="H4296" t="s">
        <v>20091</v>
      </c>
    </row>
    <row r="4297" spans="6:8">
      <c r="H4297" t="s">
        <v>19712</v>
      </c>
    </row>
    <row r="4298" spans="6:8">
      <c r="H4298" t="s">
        <v>19709</v>
      </c>
    </row>
    <row r="4299" spans="6:8">
      <c r="H4299" t="s">
        <v>20092</v>
      </c>
    </row>
    <row r="4300" spans="6:8">
      <c r="H4300" t="s">
        <v>20093</v>
      </c>
    </row>
    <row r="4301" spans="6:8">
      <c r="H4301" t="s">
        <v>20094</v>
      </c>
    </row>
    <row r="4302" spans="6:8">
      <c r="H4302" t="s">
        <v>20095</v>
      </c>
    </row>
    <row r="4303" spans="6:8">
      <c r="H4303" t="s">
        <v>20096</v>
      </c>
    </row>
    <row r="4304" spans="6:8">
      <c r="H4304" t="s">
        <v>20097</v>
      </c>
    </row>
    <row r="4305" spans="6:8">
      <c r="H4305" t="s">
        <v>20098</v>
      </c>
    </row>
    <row r="4306" spans="6:8">
      <c r="H4306" t="s">
        <v>20099</v>
      </c>
    </row>
    <row r="4307" spans="6:8">
      <c r="H4307" t="s">
        <v>20100</v>
      </c>
    </row>
    <row r="4308" spans="6:8">
      <c r="H4308" t="s">
        <v>20101</v>
      </c>
    </row>
    <row r="4309" spans="6:8">
      <c r="F4309" t="s">
        <v>11209</v>
      </c>
      <c r="G4309" t="s">
        <v>15203</v>
      </c>
      <c r="H4309" t="s">
        <v>20091</v>
      </c>
    </row>
    <row r="4310" spans="6:8">
      <c r="H4310" t="s">
        <v>19712</v>
      </c>
    </row>
    <row r="4311" spans="6:8">
      <c r="H4311" t="s">
        <v>19709</v>
      </c>
    </row>
    <row r="4312" spans="6:8">
      <c r="H4312" t="s">
        <v>20092</v>
      </c>
    </row>
    <row r="4313" spans="6:8">
      <c r="H4313" t="s">
        <v>20093</v>
      </c>
    </row>
    <row r="4314" spans="6:8">
      <c r="H4314" t="s">
        <v>20094</v>
      </c>
    </row>
    <row r="4315" spans="6:8">
      <c r="H4315" t="s">
        <v>20095</v>
      </c>
    </row>
    <row r="4316" spans="6:8">
      <c r="H4316" t="s">
        <v>20096</v>
      </c>
    </row>
    <row r="4317" spans="6:8">
      <c r="H4317" t="s">
        <v>20097</v>
      </c>
    </row>
    <row r="4318" spans="6:8">
      <c r="H4318" t="s">
        <v>20098</v>
      </c>
    </row>
    <row r="4319" spans="6:8">
      <c r="H4319" t="s">
        <v>20099</v>
      </c>
    </row>
    <row r="4320" spans="6:8">
      <c r="H4320" t="s">
        <v>20100</v>
      </c>
    </row>
    <row r="4321" spans="6:8">
      <c r="H4321" t="s">
        <v>20101</v>
      </c>
    </row>
    <row r="4322" spans="6:8">
      <c r="F4322" t="s">
        <v>11210</v>
      </c>
      <c r="G4322" t="s">
        <v>15204</v>
      </c>
      <c r="H4322" t="s">
        <v>20091</v>
      </c>
    </row>
    <row r="4323" spans="6:8">
      <c r="H4323" t="s">
        <v>19712</v>
      </c>
    </row>
    <row r="4324" spans="6:8">
      <c r="H4324" t="s">
        <v>19709</v>
      </c>
    </row>
    <row r="4325" spans="6:8">
      <c r="H4325" t="s">
        <v>20092</v>
      </c>
    </row>
    <row r="4326" spans="6:8">
      <c r="H4326" t="s">
        <v>20093</v>
      </c>
    </row>
    <row r="4327" spans="6:8">
      <c r="H4327" t="s">
        <v>20094</v>
      </c>
    </row>
    <row r="4328" spans="6:8">
      <c r="H4328" t="s">
        <v>20095</v>
      </c>
    </row>
    <row r="4329" spans="6:8">
      <c r="H4329" t="s">
        <v>20096</v>
      </c>
    </row>
    <row r="4330" spans="6:8">
      <c r="H4330" t="s">
        <v>20097</v>
      </c>
    </row>
    <row r="4331" spans="6:8">
      <c r="H4331" t="s">
        <v>20098</v>
      </c>
    </row>
    <row r="4332" spans="6:8">
      <c r="H4332" t="s">
        <v>20099</v>
      </c>
    </row>
    <row r="4333" spans="6:8">
      <c r="H4333" t="s">
        <v>20100</v>
      </c>
    </row>
    <row r="4334" spans="6:8">
      <c r="H4334" t="s">
        <v>20101</v>
      </c>
    </row>
    <row r="4335" spans="6:8">
      <c r="F4335" t="s">
        <v>11211</v>
      </c>
      <c r="G4335" t="s">
        <v>15205</v>
      </c>
      <c r="H4335" t="s">
        <v>20091</v>
      </c>
    </row>
    <row r="4336" spans="6:8">
      <c r="H4336" t="s">
        <v>19712</v>
      </c>
    </row>
    <row r="4337" spans="6:8">
      <c r="H4337" t="s">
        <v>19709</v>
      </c>
    </row>
    <row r="4338" spans="6:8">
      <c r="H4338" t="s">
        <v>20092</v>
      </c>
    </row>
    <row r="4339" spans="6:8">
      <c r="H4339" t="s">
        <v>20093</v>
      </c>
    </row>
    <row r="4340" spans="6:8">
      <c r="H4340" t="s">
        <v>20094</v>
      </c>
    </row>
    <row r="4341" spans="6:8">
      <c r="H4341" t="s">
        <v>20095</v>
      </c>
    </row>
    <row r="4342" spans="6:8">
      <c r="H4342" t="s">
        <v>20096</v>
      </c>
    </row>
    <row r="4343" spans="6:8">
      <c r="H4343" t="s">
        <v>20097</v>
      </c>
    </row>
    <row r="4344" spans="6:8">
      <c r="H4344" t="s">
        <v>20098</v>
      </c>
    </row>
    <row r="4345" spans="6:8">
      <c r="H4345" t="s">
        <v>20099</v>
      </c>
    </row>
    <row r="4346" spans="6:8">
      <c r="H4346" t="s">
        <v>20100</v>
      </c>
    </row>
    <row r="4347" spans="6:8">
      <c r="H4347" t="s">
        <v>20101</v>
      </c>
    </row>
    <row r="4348" spans="6:8">
      <c r="F4348" t="s">
        <v>11212</v>
      </c>
      <c r="G4348" t="s">
        <v>15206</v>
      </c>
      <c r="H4348" t="s">
        <v>20091</v>
      </c>
    </row>
    <row r="4349" spans="6:8">
      <c r="H4349" t="s">
        <v>19712</v>
      </c>
    </row>
    <row r="4350" spans="6:8">
      <c r="H4350" t="s">
        <v>19709</v>
      </c>
    </row>
    <row r="4351" spans="6:8">
      <c r="H4351" t="s">
        <v>19706</v>
      </c>
    </row>
    <row r="4352" spans="6:8">
      <c r="H4352" t="s">
        <v>20092</v>
      </c>
    </row>
    <row r="4353" spans="6:8">
      <c r="H4353" t="s">
        <v>20093</v>
      </c>
    </row>
    <row r="4354" spans="6:8">
      <c r="H4354" t="s">
        <v>20094</v>
      </c>
    </row>
    <row r="4355" spans="6:8">
      <c r="H4355" t="s">
        <v>20095</v>
      </c>
    </row>
    <row r="4356" spans="6:8">
      <c r="H4356" t="s">
        <v>20096</v>
      </c>
    </row>
    <row r="4357" spans="6:8">
      <c r="H4357" t="s">
        <v>20097</v>
      </c>
    </row>
    <row r="4358" spans="6:8">
      <c r="H4358" t="s">
        <v>20098</v>
      </c>
    </row>
    <row r="4359" spans="6:8">
      <c r="H4359" t="s">
        <v>20099</v>
      </c>
    </row>
    <row r="4360" spans="6:8">
      <c r="H4360" t="s">
        <v>20100</v>
      </c>
    </row>
    <row r="4361" spans="6:8">
      <c r="H4361" t="s">
        <v>20101</v>
      </c>
    </row>
    <row r="4362" spans="6:8">
      <c r="F4362" t="s">
        <v>11213</v>
      </c>
      <c r="G4362" t="s">
        <v>15207</v>
      </c>
      <c r="H4362" t="s">
        <v>20091</v>
      </c>
    </row>
    <row r="4363" spans="6:8">
      <c r="H4363" t="s">
        <v>19712</v>
      </c>
    </row>
    <row r="4364" spans="6:8">
      <c r="H4364" t="s">
        <v>19709</v>
      </c>
    </row>
    <row r="4365" spans="6:8">
      <c r="H4365" t="s">
        <v>19706</v>
      </c>
    </row>
    <row r="4366" spans="6:8">
      <c r="H4366" t="s">
        <v>20107</v>
      </c>
    </row>
    <row r="4367" spans="6:8">
      <c r="H4367" t="s">
        <v>20108</v>
      </c>
    </row>
    <row r="4368" spans="6:8">
      <c r="H4368" t="s">
        <v>20096</v>
      </c>
    </row>
    <row r="4369" spans="6:8">
      <c r="H4369" t="s">
        <v>20097</v>
      </c>
    </row>
    <row r="4370" spans="6:8">
      <c r="H4370" t="s">
        <v>20098</v>
      </c>
    </row>
    <row r="4371" spans="6:8">
      <c r="H4371" t="s">
        <v>20099</v>
      </c>
    </row>
    <row r="4372" spans="6:8">
      <c r="F4372" t="s">
        <v>11214</v>
      </c>
      <c r="G4372" t="s">
        <v>15208</v>
      </c>
      <c r="H4372" t="s">
        <v>20091</v>
      </c>
    </row>
    <row r="4373" spans="6:8">
      <c r="H4373" t="s">
        <v>19712</v>
      </c>
    </row>
    <row r="4374" spans="6:8">
      <c r="H4374" t="s">
        <v>19709</v>
      </c>
    </row>
    <row r="4375" spans="6:8">
      <c r="H4375" t="s">
        <v>19706</v>
      </c>
    </row>
    <row r="4376" spans="6:8">
      <c r="H4376" t="s">
        <v>20107</v>
      </c>
    </row>
    <row r="4377" spans="6:8">
      <c r="H4377" t="s">
        <v>20108</v>
      </c>
    </row>
    <row r="4378" spans="6:8">
      <c r="H4378" t="s">
        <v>20096</v>
      </c>
    </row>
    <row r="4379" spans="6:8">
      <c r="H4379" t="s">
        <v>20097</v>
      </c>
    </row>
    <row r="4380" spans="6:8">
      <c r="H4380" t="s">
        <v>20098</v>
      </c>
    </row>
    <row r="4381" spans="6:8">
      <c r="H4381" t="s">
        <v>20099</v>
      </c>
    </row>
    <row r="4382" spans="6:8">
      <c r="F4382" t="s">
        <v>11215</v>
      </c>
      <c r="G4382" t="s">
        <v>15209</v>
      </c>
      <c r="H4382" t="s">
        <v>20091</v>
      </c>
    </row>
    <row r="4383" spans="6:8">
      <c r="H4383" t="s">
        <v>19712</v>
      </c>
    </row>
    <row r="4384" spans="6:8">
      <c r="H4384" t="s">
        <v>19709</v>
      </c>
    </row>
    <row r="4385" spans="6:8">
      <c r="H4385" t="s">
        <v>19706</v>
      </c>
    </row>
    <row r="4386" spans="6:8">
      <c r="H4386" t="s">
        <v>20107</v>
      </c>
    </row>
    <row r="4387" spans="6:8">
      <c r="H4387" t="s">
        <v>20108</v>
      </c>
    </row>
    <row r="4388" spans="6:8">
      <c r="H4388" t="s">
        <v>20095</v>
      </c>
    </row>
    <row r="4389" spans="6:8">
      <c r="H4389" t="s">
        <v>20096</v>
      </c>
    </row>
    <row r="4390" spans="6:8">
      <c r="H4390" t="s">
        <v>20097</v>
      </c>
    </row>
    <row r="4391" spans="6:8">
      <c r="H4391" t="s">
        <v>20099</v>
      </c>
    </row>
    <row r="4392" spans="6:8">
      <c r="F4392" t="s">
        <v>11216</v>
      </c>
      <c r="G4392" t="s">
        <v>15210</v>
      </c>
      <c r="H4392" t="s">
        <v>20091</v>
      </c>
    </row>
    <row r="4393" spans="6:8">
      <c r="H4393" t="s">
        <v>19712</v>
      </c>
    </row>
    <row r="4394" spans="6:8">
      <c r="H4394" t="s">
        <v>19709</v>
      </c>
    </row>
    <row r="4395" spans="6:8">
      <c r="H4395" t="s">
        <v>19706</v>
      </c>
    </row>
    <row r="4396" spans="6:8">
      <c r="H4396" t="s">
        <v>20107</v>
      </c>
    </row>
    <row r="4397" spans="6:8">
      <c r="H4397" t="s">
        <v>20108</v>
      </c>
    </row>
    <row r="4398" spans="6:8">
      <c r="H4398" t="s">
        <v>20095</v>
      </c>
    </row>
    <row r="4399" spans="6:8">
      <c r="H4399" t="s">
        <v>20096</v>
      </c>
    </row>
    <row r="4400" spans="6:8">
      <c r="H4400" t="s">
        <v>20097</v>
      </c>
    </row>
    <row r="4401" spans="6:8">
      <c r="H4401" t="s">
        <v>20099</v>
      </c>
    </row>
    <row r="4402" spans="6:8">
      <c r="F4402" t="s">
        <v>11217</v>
      </c>
      <c r="G4402" t="s">
        <v>15211</v>
      </c>
      <c r="H4402" t="s">
        <v>20091</v>
      </c>
    </row>
    <row r="4403" spans="6:8">
      <c r="H4403" t="s">
        <v>19712</v>
      </c>
    </row>
    <row r="4404" spans="6:8">
      <c r="H4404" t="s">
        <v>19709</v>
      </c>
    </row>
    <row r="4405" spans="6:8">
      <c r="H4405" t="s">
        <v>19706</v>
      </c>
    </row>
    <row r="4406" spans="6:8">
      <c r="H4406" t="s">
        <v>20107</v>
      </c>
    </row>
    <row r="4407" spans="6:8">
      <c r="H4407" t="s">
        <v>20108</v>
      </c>
    </row>
    <row r="4408" spans="6:8">
      <c r="H4408" t="s">
        <v>20095</v>
      </c>
    </row>
    <row r="4409" spans="6:8">
      <c r="H4409" t="s">
        <v>20096</v>
      </c>
    </row>
    <row r="4410" spans="6:8">
      <c r="H4410" t="s">
        <v>20097</v>
      </c>
    </row>
    <row r="4411" spans="6:8">
      <c r="H4411" t="s">
        <v>20098</v>
      </c>
    </row>
    <row r="4412" spans="6:8">
      <c r="F4412" t="s">
        <v>11218</v>
      </c>
      <c r="G4412" t="s">
        <v>15212</v>
      </c>
      <c r="H4412" t="s">
        <v>20091</v>
      </c>
    </row>
    <row r="4413" spans="6:8">
      <c r="H4413" t="s">
        <v>19712</v>
      </c>
    </row>
    <row r="4414" spans="6:8">
      <c r="H4414" t="s">
        <v>19709</v>
      </c>
    </row>
    <row r="4415" spans="6:8">
      <c r="H4415" t="s">
        <v>19706</v>
      </c>
    </row>
    <row r="4416" spans="6:8">
      <c r="H4416" t="s">
        <v>20107</v>
      </c>
    </row>
    <row r="4417" spans="6:8">
      <c r="H4417" t="s">
        <v>20108</v>
      </c>
    </row>
    <row r="4418" spans="6:8">
      <c r="H4418" t="s">
        <v>20095</v>
      </c>
    </row>
    <row r="4419" spans="6:8">
      <c r="H4419" t="s">
        <v>20096</v>
      </c>
    </row>
    <row r="4420" spans="6:8">
      <c r="H4420" t="s">
        <v>20097</v>
      </c>
    </row>
    <row r="4421" spans="6:8">
      <c r="H4421" t="s">
        <v>20098</v>
      </c>
    </row>
    <row r="4422" spans="6:8">
      <c r="F4422" t="s">
        <v>11219</v>
      </c>
      <c r="G4422" t="s">
        <v>15213</v>
      </c>
      <c r="H4422" t="s">
        <v>20091</v>
      </c>
    </row>
    <row r="4423" spans="6:8">
      <c r="H4423" t="s">
        <v>19712</v>
      </c>
    </row>
    <row r="4424" spans="6:8">
      <c r="H4424" t="s">
        <v>19709</v>
      </c>
    </row>
    <row r="4425" spans="6:8">
      <c r="H4425" t="s">
        <v>20092</v>
      </c>
    </row>
    <row r="4426" spans="6:8">
      <c r="H4426" t="s">
        <v>20093</v>
      </c>
    </row>
    <row r="4427" spans="6:8">
      <c r="H4427" t="s">
        <v>20094</v>
      </c>
    </row>
    <row r="4428" spans="6:8">
      <c r="H4428" t="s">
        <v>20095</v>
      </c>
    </row>
    <row r="4429" spans="6:8">
      <c r="H4429" t="s">
        <v>20096</v>
      </c>
    </row>
    <row r="4430" spans="6:8">
      <c r="H4430" t="s">
        <v>20097</v>
      </c>
    </row>
    <row r="4431" spans="6:8">
      <c r="H4431" t="s">
        <v>20098</v>
      </c>
    </row>
    <row r="4432" spans="6:8">
      <c r="H4432" t="s">
        <v>20099</v>
      </c>
    </row>
    <row r="4433" spans="6:8">
      <c r="H4433" t="s">
        <v>20100</v>
      </c>
    </row>
    <row r="4434" spans="6:8">
      <c r="H4434" t="s">
        <v>20101</v>
      </c>
    </row>
    <row r="4435" spans="6:8">
      <c r="F4435" t="s">
        <v>11220</v>
      </c>
      <c r="G4435" t="s">
        <v>15214</v>
      </c>
      <c r="H4435" t="s">
        <v>20091</v>
      </c>
    </row>
    <row r="4436" spans="6:8">
      <c r="H4436" t="s">
        <v>19712</v>
      </c>
    </row>
    <row r="4437" spans="6:8">
      <c r="H4437" t="s">
        <v>19709</v>
      </c>
    </row>
    <row r="4438" spans="6:8">
      <c r="H4438" t="s">
        <v>20092</v>
      </c>
    </row>
    <row r="4439" spans="6:8">
      <c r="H4439" t="s">
        <v>20093</v>
      </c>
    </row>
    <row r="4440" spans="6:8">
      <c r="H4440" t="s">
        <v>20094</v>
      </c>
    </row>
    <row r="4441" spans="6:8">
      <c r="H4441" t="s">
        <v>20095</v>
      </c>
    </row>
    <row r="4442" spans="6:8">
      <c r="H4442" t="s">
        <v>20096</v>
      </c>
    </row>
    <row r="4443" spans="6:8">
      <c r="H4443" t="s">
        <v>20097</v>
      </c>
    </row>
    <row r="4444" spans="6:8">
      <c r="H4444" t="s">
        <v>20098</v>
      </c>
    </row>
    <row r="4445" spans="6:8">
      <c r="H4445" t="s">
        <v>20099</v>
      </c>
    </row>
    <row r="4446" spans="6:8">
      <c r="H4446" t="s">
        <v>20100</v>
      </c>
    </row>
    <row r="4447" spans="6:8">
      <c r="H4447" t="s">
        <v>20101</v>
      </c>
    </row>
    <row r="4448" spans="6:8">
      <c r="H4448" t="s">
        <v>20104</v>
      </c>
    </row>
    <row r="4449" spans="6:8">
      <c r="F4449" t="s">
        <v>11221</v>
      </c>
      <c r="G4449" t="s">
        <v>15215</v>
      </c>
      <c r="H4449" t="s">
        <v>20091</v>
      </c>
    </row>
    <row r="4450" spans="6:8">
      <c r="H4450" t="s">
        <v>19712</v>
      </c>
    </row>
    <row r="4451" spans="6:8">
      <c r="H4451" t="s">
        <v>19709</v>
      </c>
    </row>
    <row r="4452" spans="6:8">
      <c r="H4452" t="s">
        <v>20092</v>
      </c>
    </row>
    <row r="4453" spans="6:8">
      <c r="H4453" t="s">
        <v>20093</v>
      </c>
    </row>
    <row r="4454" spans="6:8">
      <c r="H4454" t="s">
        <v>20094</v>
      </c>
    </row>
    <row r="4455" spans="6:8">
      <c r="H4455" t="s">
        <v>20095</v>
      </c>
    </row>
    <row r="4456" spans="6:8">
      <c r="H4456" t="s">
        <v>20096</v>
      </c>
    </row>
    <row r="4457" spans="6:8">
      <c r="H4457" t="s">
        <v>20097</v>
      </c>
    </row>
    <row r="4458" spans="6:8">
      <c r="H4458" t="s">
        <v>20098</v>
      </c>
    </row>
    <row r="4459" spans="6:8">
      <c r="H4459" t="s">
        <v>20099</v>
      </c>
    </row>
    <row r="4460" spans="6:8">
      <c r="H4460" t="s">
        <v>20100</v>
      </c>
    </row>
    <row r="4461" spans="6:8">
      <c r="H4461" t="s">
        <v>20101</v>
      </c>
    </row>
    <row r="4462" spans="6:8">
      <c r="H4462" t="s">
        <v>20102</v>
      </c>
    </row>
    <row r="4463" spans="6:8">
      <c r="F4463" t="s">
        <v>11222</v>
      </c>
      <c r="G4463" t="s">
        <v>15216</v>
      </c>
      <c r="H4463" t="s">
        <v>20091</v>
      </c>
    </row>
    <row r="4464" spans="6:8">
      <c r="H4464" t="s">
        <v>19712</v>
      </c>
    </row>
    <row r="4465" spans="6:8">
      <c r="H4465" t="s">
        <v>19709</v>
      </c>
    </row>
    <row r="4466" spans="6:8">
      <c r="H4466" t="s">
        <v>20092</v>
      </c>
    </row>
    <row r="4467" spans="6:8">
      <c r="H4467" t="s">
        <v>20093</v>
      </c>
    </row>
    <row r="4468" spans="6:8">
      <c r="H4468" t="s">
        <v>20094</v>
      </c>
    </row>
    <row r="4469" spans="6:8">
      <c r="H4469" t="s">
        <v>20095</v>
      </c>
    </row>
    <row r="4470" spans="6:8">
      <c r="H4470" t="s">
        <v>20096</v>
      </c>
    </row>
    <row r="4471" spans="6:8">
      <c r="H4471" t="s">
        <v>20097</v>
      </c>
    </row>
    <row r="4472" spans="6:8">
      <c r="H4472" t="s">
        <v>20098</v>
      </c>
    </row>
    <row r="4473" spans="6:8">
      <c r="H4473" t="s">
        <v>20099</v>
      </c>
    </row>
    <row r="4474" spans="6:8">
      <c r="H4474" t="s">
        <v>20100</v>
      </c>
    </row>
    <row r="4475" spans="6:8">
      <c r="H4475" t="s">
        <v>20101</v>
      </c>
    </row>
    <row r="4476" spans="6:8">
      <c r="H4476" t="s">
        <v>20104</v>
      </c>
    </row>
    <row r="4477" spans="6:8">
      <c r="F4477" t="s">
        <v>11223</v>
      </c>
      <c r="G4477" t="s">
        <v>15217</v>
      </c>
      <c r="H4477" t="s">
        <v>20091</v>
      </c>
    </row>
    <row r="4478" spans="6:8">
      <c r="H4478" t="s">
        <v>19712</v>
      </c>
    </row>
    <row r="4479" spans="6:8">
      <c r="H4479" t="s">
        <v>19709</v>
      </c>
    </row>
    <row r="4480" spans="6:8">
      <c r="H4480" t="s">
        <v>19706</v>
      </c>
    </row>
    <row r="4481" spans="6:8">
      <c r="H4481" t="s">
        <v>19707</v>
      </c>
    </row>
    <row r="4482" spans="6:8">
      <c r="H4482" t="s">
        <v>20092</v>
      </c>
    </row>
    <row r="4483" spans="6:8">
      <c r="H4483" t="s">
        <v>20093</v>
      </c>
    </row>
    <row r="4484" spans="6:8">
      <c r="H4484" t="s">
        <v>20094</v>
      </c>
    </row>
    <row r="4485" spans="6:8">
      <c r="H4485" t="s">
        <v>20103</v>
      </c>
    </row>
    <row r="4486" spans="6:8">
      <c r="H4486" t="s">
        <v>20095</v>
      </c>
    </row>
    <row r="4487" spans="6:8">
      <c r="H4487" t="s">
        <v>20096</v>
      </c>
    </row>
    <row r="4488" spans="6:8">
      <c r="H4488" t="s">
        <v>20097</v>
      </c>
    </row>
    <row r="4489" spans="6:8">
      <c r="H4489" t="s">
        <v>20098</v>
      </c>
    </row>
    <row r="4490" spans="6:8">
      <c r="H4490" t="s">
        <v>20099</v>
      </c>
    </row>
    <row r="4491" spans="6:8">
      <c r="H4491" t="s">
        <v>20100</v>
      </c>
    </row>
    <row r="4492" spans="6:8">
      <c r="H4492" t="s">
        <v>20101</v>
      </c>
    </row>
    <row r="4493" spans="6:8">
      <c r="H4493" t="s">
        <v>20102</v>
      </c>
    </row>
    <row r="4494" spans="6:8">
      <c r="F4494" t="s">
        <v>11224</v>
      </c>
      <c r="G4494" t="s">
        <v>15218</v>
      </c>
      <c r="H4494" t="s">
        <v>20091</v>
      </c>
    </row>
    <row r="4495" spans="6:8">
      <c r="H4495" t="s">
        <v>19712</v>
      </c>
    </row>
    <row r="4496" spans="6:8">
      <c r="H4496" t="s">
        <v>19709</v>
      </c>
    </row>
    <row r="4497" spans="6:8">
      <c r="H4497" t="s">
        <v>20092</v>
      </c>
    </row>
    <row r="4498" spans="6:8">
      <c r="H4498" t="s">
        <v>20093</v>
      </c>
    </row>
    <row r="4499" spans="6:8">
      <c r="H4499" t="s">
        <v>20094</v>
      </c>
    </row>
    <row r="4500" spans="6:8">
      <c r="H4500" t="s">
        <v>20095</v>
      </c>
    </row>
    <row r="4501" spans="6:8">
      <c r="H4501" t="s">
        <v>20096</v>
      </c>
    </row>
    <row r="4502" spans="6:8">
      <c r="H4502" t="s">
        <v>20097</v>
      </c>
    </row>
    <row r="4503" spans="6:8">
      <c r="H4503" t="s">
        <v>20098</v>
      </c>
    </row>
    <row r="4504" spans="6:8">
      <c r="H4504" t="s">
        <v>20099</v>
      </c>
    </row>
    <row r="4505" spans="6:8">
      <c r="H4505" t="s">
        <v>20100</v>
      </c>
    </row>
    <row r="4506" spans="6:8">
      <c r="H4506" t="s">
        <v>20101</v>
      </c>
    </row>
    <row r="4507" spans="6:8">
      <c r="H4507" t="s">
        <v>20102</v>
      </c>
    </row>
    <row r="4508" spans="6:8">
      <c r="F4508" t="s">
        <v>11225</v>
      </c>
      <c r="G4508" t="s">
        <v>15219</v>
      </c>
      <c r="H4508" t="s">
        <v>20091</v>
      </c>
    </row>
    <row r="4509" spans="6:8">
      <c r="H4509" t="s">
        <v>19712</v>
      </c>
    </row>
    <row r="4510" spans="6:8">
      <c r="H4510" t="s">
        <v>19709</v>
      </c>
    </row>
    <row r="4511" spans="6:8">
      <c r="H4511" t="s">
        <v>19706</v>
      </c>
    </row>
    <row r="4512" spans="6:8">
      <c r="H4512" t="s">
        <v>19707</v>
      </c>
    </row>
    <row r="4513" spans="6:8">
      <c r="H4513" t="s">
        <v>20092</v>
      </c>
    </row>
    <row r="4514" spans="6:8">
      <c r="H4514" t="s">
        <v>20093</v>
      </c>
    </row>
    <row r="4515" spans="6:8">
      <c r="H4515" t="s">
        <v>20094</v>
      </c>
    </row>
    <row r="4516" spans="6:8">
      <c r="H4516" t="s">
        <v>20095</v>
      </c>
    </row>
    <row r="4517" spans="6:8">
      <c r="H4517" t="s">
        <v>20096</v>
      </c>
    </row>
    <row r="4518" spans="6:8">
      <c r="H4518" t="s">
        <v>20097</v>
      </c>
    </row>
    <row r="4519" spans="6:8">
      <c r="H4519" t="s">
        <v>20099</v>
      </c>
    </row>
    <row r="4520" spans="6:8">
      <c r="H4520" t="s">
        <v>20100</v>
      </c>
    </row>
    <row r="4521" spans="6:8">
      <c r="H4521" t="s">
        <v>20101</v>
      </c>
    </row>
    <row r="4522" spans="6:8">
      <c r="F4522" t="s">
        <v>11226</v>
      </c>
      <c r="G4522" t="s">
        <v>15585</v>
      </c>
      <c r="H4522" t="s">
        <v>20091</v>
      </c>
    </row>
    <row r="4523" spans="6:8">
      <c r="H4523" t="s">
        <v>19712</v>
      </c>
    </row>
    <row r="4524" spans="6:8">
      <c r="H4524" t="s">
        <v>20106</v>
      </c>
    </row>
    <row r="4525" spans="6:8">
      <c r="H4525" t="s">
        <v>20095</v>
      </c>
    </row>
    <row r="4526" spans="6:8">
      <c r="H4526" t="s">
        <v>20096</v>
      </c>
    </row>
    <row r="4527" spans="6:8">
      <c r="H4527" t="s">
        <v>20097</v>
      </c>
    </row>
    <row r="4528" spans="6:8">
      <c r="F4528" t="s">
        <v>11227</v>
      </c>
      <c r="G4528" t="s">
        <v>15586</v>
      </c>
      <c r="H4528" t="s">
        <v>20091</v>
      </c>
    </row>
    <row r="4529" spans="6:8">
      <c r="H4529" t="s">
        <v>19712</v>
      </c>
    </row>
    <row r="4530" spans="6:8">
      <c r="H4530" t="s">
        <v>19706</v>
      </c>
    </row>
    <row r="4531" spans="6:8">
      <c r="H4531" t="s">
        <v>20092</v>
      </c>
    </row>
    <row r="4532" spans="6:8">
      <c r="H4532" t="s">
        <v>20095</v>
      </c>
    </row>
    <row r="4533" spans="6:8">
      <c r="H4533" t="s">
        <v>20096</v>
      </c>
    </row>
    <row r="4534" spans="6:8">
      <c r="H4534" t="s">
        <v>20097</v>
      </c>
    </row>
    <row r="4535" spans="6:8">
      <c r="H4535" t="s">
        <v>20098</v>
      </c>
    </row>
    <row r="4536" spans="6:8">
      <c r="H4536" t="s">
        <v>20099</v>
      </c>
    </row>
    <row r="4537" spans="6:8">
      <c r="H4537" t="s">
        <v>20100</v>
      </c>
    </row>
    <row r="4538" spans="6:8">
      <c r="H4538" t="s">
        <v>20101</v>
      </c>
    </row>
    <row r="4539" spans="6:8">
      <c r="F4539" t="s">
        <v>11228</v>
      </c>
      <c r="G4539" t="s">
        <v>15220</v>
      </c>
      <c r="H4539" t="s">
        <v>20091</v>
      </c>
    </row>
    <row r="4540" spans="6:8">
      <c r="H4540" t="s">
        <v>19712</v>
      </c>
    </row>
    <row r="4541" spans="6:8">
      <c r="H4541" t="s">
        <v>19709</v>
      </c>
    </row>
    <row r="4542" spans="6:8">
      <c r="H4542" t="s">
        <v>19706</v>
      </c>
    </row>
    <row r="4543" spans="6:8">
      <c r="H4543" t="s">
        <v>20107</v>
      </c>
    </row>
    <row r="4544" spans="6:8">
      <c r="H4544" t="s">
        <v>20108</v>
      </c>
    </row>
    <row r="4545" spans="6:8">
      <c r="H4545" t="s">
        <v>19713</v>
      </c>
    </row>
    <row r="4546" spans="6:8">
      <c r="H4546" t="s">
        <v>19714</v>
      </c>
    </row>
    <row r="4547" spans="6:8">
      <c r="H4547" t="s">
        <v>20109</v>
      </c>
    </row>
    <row r="4548" spans="6:8">
      <c r="H4548" t="s">
        <v>20110</v>
      </c>
    </row>
    <row r="4549" spans="6:8">
      <c r="H4549" t="s">
        <v>20095</v>
      </c>
    </row>
    <row r="4550" spans="6:8">
      <c r="H4550" t="s">
        <v>20096</v>
      </c>
    </row>
    <row r="4551" spans="6:8">
      <c r="H4551" t="s">
        <v>20097</v>
      </c>
    </row>
    <row r="4552" spans="6:8">
      <c r="H4552" t="s">
        <v>20098</v>
      </c>
    </row>
    <row r="4553" spans="6:8">
      <c r="F4553" t="s">
        <v>11229</v>
      </c>
      <c r="G4553" t="s">
        <v>15221</v>
      </c>
      <c r="H4553" t="s">
        <v>20091</v>
      </c>
    </row>
    <row r="4554" spans="6:8">
      <c r="H4554" t="s">
        <v>19712</v>
      </c>
    </row>
    <row r="4555" spans="6:8">
      <c r="H4555" t="s">
        <v>19709</v>
      </c>
    </row>
    <row r="4556" spans="6:8">
      <c r="H4556" t="s">
        <v>19706</v>
      </c>
    </row>
    <row r="4557" spans="6:8">
      <c r="H4557" t="s">
        <v>20107</v>
      </c>
    </row>
    <row r="4558" spans="6:8">
      <c r="H4558" t="s">
        <v>20108</v>
      </c>
    </row>
    <row r="4559" spans="6:8">
      <c r="H4559" t="s">
        <v>19713</v>
      </c>
    </row>
    <row r="4560" spans="6:8">
      <c r="H4560" t="s">
        <v>19714</v>
      </c>
    </row>
    <row r="4561" spans="6:8">
      <c r="H4561" t="s">
        <v>20109</v>
      </c>
    </row>
    <row r="4562" spans="6:8">
      <c r="H4562" t="s">
        <v>20095</v>
      </c>
    </row>
    <row r="4563" spans="6:8">
      <c r="H4563" t="s">
        <v>20096</v>
      </c>
    </row>
    <row r="4564" spans="6:8">
      <c r="H4564" t="s">
        <v>20097</v>
      </c>
    </row>
    <row r="4565" spans="6:8">
      <c r="H4565" t="s">
        <v>20098</v>
      </c>
    </row>
    <row r="4566" spans="6:8">
      <c r="F4566" t="s">
        <v>11230</v>
      </c>
      <c r="G4566" t="s">
        <v>15222</v>
      </c>
      <c r="H4566" t="s">
        <v>20091</v>
      </c>
    </row>
    <row r="4567" spans="6:8">
      <c r="H4567" t="s">
        <v>19712</v>
      </c>
    </row>
    <row r="4568" spans="6:8">
      <c r="H4568" t="s">
        <v>19709</v>
      </c>
    </row>
    <row r="4569" spans="6:8">
      <c r="H4569" t="s">
        <v>19706</v>
      </c>
    </row>
    <row r="4570" spans="6:8">
      <c r="H4570" t="s">
        <v>20107</v>
      </c>
    </row>
    <row r="4571" spans="6:8">
      <c r="H4571" t="s">
        <v>20108</v>
      </c>
    </row>
    <row r="4572" spans="6:8">
      <c r="H4572" t="s">
        <v>19713</v>
      </c>
    </row>
    <row r="4573" spans="6:8">
      <c r="H4573" t="s">
        <v>19714</v>
      </c>
    </row>
    <row r="4574" spans="6:8">
      <c r="H4574" t="s">
        <v>20109</v>
      </c>
    </row>
    <row r="4575" spans="6:8">
      <c r="H4575" t="s">
        <v>20095</v>
      </c>
    </row>
    <row r="4576" spans="6:8">
      <c r="H4576" t="s">
        <v>20096</v>
      </c>
    </row>
    <row r="4577" spans="6:8">
      <c r="H4577" t="s">
        <v>20097</v>
      </c>
    </row>
    <row r="4578" spans="6:8">
      <c r="H4578" t="s">
        <v>20098</v>
      </c>
    </row>
    <row r="4579" spans="6:8">
      <c r="F4579" t="s">
        <v>11231</v>
      </c>
      <c r="G4579" t="s">
        <v>15223</v>
      </c>
      <c r="H4579" t="s">
        <v>20091</v>
      </c>
    </row>
    <row r="4580" spans="6:8">
      <c r="H4580" t="s">
        <v>19712</v>
      </c>
    </row>
    <row r="4581" spans="6:8">
      <c r="H4581" t="s">
        <v>19709</v>
      </c>
    </row>
    <row r="4582" spans="6:8">
      <c r="H4582" t="s">
        <v>19706</v>
      </c>
    </row>
    <row r="4583" spans="6:8">
      <c r="H4583" t="s">
        <v>20107</v>
      </c>
    </row>
    <row r="4584" spans="6:8">
      <c r="H4584" t="s">
        <v>20108</v>
      </c>
    </row>
    <row r="4585" spans="6:8">
      <c r="H4585" t="s">
        <v>19713</v>
      </c>
    </row>
    <row r="4586" spans="6:8">
      <c r="H4586" t="s">
        <v>19714</v>
      </c>
    </row>
    <row r="4587" spans="6:8">
      <c r="H4587" t="s">
        <v>20109</v>
      </c>
    </row>
    <row r="4588" spans="6:8">
      <c r="H4588" t="s">
        <v>20095</v>
      </c>
    </row>
    <row r="4589" spans="6:8">
      <c r="H4589" t="s">
        <v>20096</v>
      </c>
    </row>
    <row r="4590" spans="6:8">
      <c r="H4590" t="s">
        <v>20097</v>
      </c>
    </row>
    <row r="4591" spans="6:8">
      <c r="H4591" t="s">
        <v>20098</v>
      </c>
    </row>
    <row r="4592" spans="6:8">
      <c r="F4592" t="s">
        <v>11232</v>
      </c>
      <c r="G4592" t="s">
        <v>15224</v>
      </c>
      <c r="H4592" t="s">
        <v>20091</v>
      </c>
    </row>
    <row r="4593" spans="6:8">
      <c r="H4593" t="s">
        <v>19712</v>
      </c>
    </row>
    <row r="4594" spans="6:8">
      <c r="H4594" t="s">
        <v>19709</v>
      </c>
    </row>
    <row r="4595" spans="6:8">
      <c r="H4595" t="s">
        <v>19706</v>
      </c>
    </row>
    <row r="4596" spans="6:8">
      <c r="H4596" t="s">
        <v>20107</v>
      </c>
    </row>
    <row r="4597" spans="6:8">
      <c r="H4597" t="s">
        <v>20108</v>
      </c>
    </row>
    <row r="4598" spans="6:8">
      <c r="H4598" t="s">
        <v>19713</v>
      </c>
    </row>
    <row r="4599" spans="6:8">
      <c r="H4599" t="s">
        <v>19714</v>
      </c>
    </row>
    <row r="4600" spans="6:8">
      <c r="H4600" t="s">
        <v>20109</v>
      </c>
    </row>
    <row r="4601" spans="6:8">
      <c r="H4601" t="s">
        <v>20095</v>
      </c>
    </row>
    <row r="4602" spans="6:8">
      <c r="H4602" t="s">
        <v>20096</v>
      </c>
    </row>
    <row r="4603" spans="6:8">
      <c r="H4603" t="s">
        <v>20097</v>
      </c>
    </row>
    <row r="4604" spans="6:8">
      <c r="H4604" t="s">
        <v>20098</v>
      </c>
    </row>
    <row r="4605" spans="6:8">
      <c r="F4605" t="s">
        <v>11233</v>
      </c>
      <c r="G4605" t="s">
        <v>15587</v>
      </c>
      <c r="H4605" t="s">
        <v>19712</v>
      </c>
    </row>
    <row r="4606" spans="6:8">
      <c r="H4606" t="s">
        <v>20095</v>
      </c>
    </row>
    <row r="4607" spans="6:8">
      <c r="H4607" t="s">
        <v>20096</v>
      </c>
    </row>
    <row r="4608" spans="6:8">
      <c r="F4608" t="s">
        <v>11234</v>
      </c>
      <c r="G4608" t="s">
        <v>15588</v>
      </c>
      <c r="H4608" t="s">
        <v>19712</v>
      </c>
    </row>
    <row r="4609" spans="6:8">
      <c r="H4609" t="s">
        <v>20095</v>
      </c>
    </row>
    <row r="4610" spans="6:8">
      <c r="H4610" t="s">
        <v>20096</v>
      </c>
    </row>
    <row r="4611" spans="6:8">
      <c r="F4611" t="s">
        <v>11235</v>
      </c>
      <c r="G4611" t="s">
        <v>15589</v>
      </c>
      <c r="H4611" t="s">
        <v>20091</v>
      </c>
    </row>
    <row r="4612" spans="6:8">
      <c r="H4612" t="s">
        <v>19712</v>
      </c>
    </row>
    <row r="4613" spans="6:8">
      <c r="H4613" t="s">
        <v>20092</v>
      </c>
    </row>
    <row r="4614" spans="6:8">
      <c r="H4614" t="s">
        <v>20093</v>
      </c>
    </row>
    <row r="4615" spans="6:8">
      <c r="H4615" t="s">
        <v>20095</v>
      </c>
    </row>
    <row r="4616" spans="6:8">
      <c r="H4616" t="s">
        <v>20096</v>
      </c>
    </row>
    <row r="4617" spans="6:8">
      <c r="H4617" t="s">
        <v>20097</v>
      </c>
    </row>
    <row r="4618" spans="6:8">
      <c r="F4618" t="s">
        <v>11236</v>
      </c>
      <c r="G4618" t="s">
        <v>15590</v>
      </c>
      <c r="H4618" t="s">
        <v>20091</v>
      </c>
    </row>
    <row r="4619" spans="6:8">
      <c r="H4619" t="s">
        <v>20095</v>
      </c>
    </row>
    <row r="4620" spans="6:8">
      <c r="H4620" t="s">
        <v>20096</v>
      </c>
    </row>
    <row r="4621" spans="6:8">
      <c r="F4621" t="s">
        <v>11237</v>
      </c>
      <c r="G4621" t="s">
        <v>15591</v>
      </c>
      <c r="H4621" t="s">
        <v>20091</v>
      </c>
    </row>
    <row r="4622" spans="6:8">
      <c r="H4622" t="s">
        <v>20095</v>
      </c>
    </row>
    <row r="4623" spans="6:8">
      <c r="H4623" t="s">
        <v>20096</v>
      </c>
    </row>
    <row r="4624" spans="6:8">
      <c r="H4624" t="s">
        <v>20097</v>
      </c>
    </row>
    <row r="4625" spans="6:8">
      <c r="F4625" t="s">
        <v>11238</v>
      </c>
      <c r="G4625" t="s">
        <v>15592</v>
      </c>
      <c r="H4625" t="s">
        <v>20091</v>
      </c>
    </row>
    <row r="4626" spans="6:8">
      <c r="H4626" t="s">
        <v>20095</v>
      </c>
    </row>
    <row r="4627" spans="6:8">
      <c r="H4627" t="s">
        <v>20096</v>
      </c>
    </row>
    <row r="4628" spans="6:8">
      <c r="H4628" t="s">
        <v>20097</v>
      </c>
    </row>
    <row r="4629" spans="6:8">
      <c r="F4629" t="s">
        <v>11239</v>
      </c>
      <c r="G4629" t="s">
        <v>15593</v>
      </c>
      <c r="H4629" t="s">
        <v>20091</v>
      </c>
    </row>
    <row r="4630" spans="6:8">
      <c r="H4630" t="s">
        <v>19712</v>
      </c>
    </row>
    <row r="4631" spans="6:8">
      <c r="H4631" t="s">
        <v>20095</v>
      </c>
    </row>
    <row r="4632" spans="6:8">
      <c r="H4632" t="s">
        <v>20096</v>
      </c>
    </row>
    <row r="4633" spans="6:8">
      <c r="F4633" t="s">
        <v>11240</v>
      </c>
      <c r="G4633" t="s">
        <v>15594</v>
      </c>
      <c r="H4633" t="s">
        <v>20091</v>
      </c>
    </row>
    <row r="4634" spans="6:8">
      <c r="H4634" t="s">
        <v>20095</v>
      </c>
    </row>
    <row r="4635" spans="6:8">
      <c r="H4635" t="s">
        <v>20096</v>
      </c>
    </row>
    <row r="4636" spans="6:8">
      <c r="F4636" t="s">
        <v>11241</v>
      </c>
      <c r="G4636" t="s">
        <v>15595</v>
      </c>
      <c r="H4636" t="s">
        <v>20091</v>
      </c>
    </row>
    <row r="4637" spans="6:8">
      <c r="H4637" t="s">
        <v>20095</v>
      </c>
    </row>
    <row r="4638" spans="6:8">
      <c r="H4638" t="s">
        <v>20096</v>
      </c>
    </row>
    <row r="4639" spans="6:8">
      <c r="F4639" t="s">
        <v>11242</v>
      </c>
      <c r="G4639" t="s">
        <v>15596</v>
      </c>
      <c r="H4639" t="s">
        <v>19712</v>
      </c>
    </row>
    <row r="4640" spans="6:8">
      <c r="H4640" t="s">
        <v>20095</v>
      </c>
    </row>
    <row r="4641" spans="6:8">
      <c r="H4641" t="s">
        <v>20096</v>
      </c>
    </row>
    <row r="4642" spans="6:8">
      <c r="F4642" t="s">
        <v>11243</v>
      </c>
      <c r="G4642" t="s">
        <v>15225</v>
      </c>
      <c r="H4642" t="s">
        <v>20091</v>
      </c>
    </row>
    <row r="4643" spans="6:8">
      <c r="H4643" t="s">
        <v>19712</v>
      </c>
    </row>
    <row r="4644" spans="6:8">
      <c r="H4644" t="s">
        <v>19709</v>
      </c>
    </row>
    <row r="4645" spans="6:8">
      <c r="H4645" t="s">
        <v>19706</v>
      </c>
    </row>
    <row r="4646" spans="6:8">
      <c r="H4646" t="s">
        <v>19707</v>
      </c>
    </row>
    <row r="4647" spans="6:8">
      <c r="H4647" t="s">
        <v>20108</v>
      </c>
    </row>
    <row r="4648" spans="6:8">
      <c r="H4648" t="s">
        <v>19713</v>
      </c>
    </row>
    <row r="4649" spans="6:8">
      <c r="H4649" t="s">
        <v>19714</v>
      </c>
    </row>
    <row r="4650" spans="6:8">
      <c r="H4650" t="s">
        <v>20109</v>
      </c>
    </row>
    <row r="4651" spans="6:8">
      <c r="H4651" t="s">
        <v>20110</v>
      </c>
    </row>
    <row r="4652" spans="6:8">
      <c r="H4652" t="s">
        <v>20111</v>
      </c>
    </row>
    <row r="4653" spans="6:8">
      <c r="H4653" t="s">
        <v>20112</v>
      </c>
    </row>
    <row r="4654" spans="6:8">
      <c r="H4654" t="s">
        <v>20113</v>
      </c>
    </row>
    <row r="4655" spans="6:8">
      <c r="H4655" t="s">
        <v>20095</v>
      </c>
    </row>
    <row r="4656" spans="6:8">
      <c r="H4656" t="s">
        <v>20096</v>
      </c>
    </row>
    <row r="4657" spans="6:8">
      <c r="H4657" t="s">
        <v>20097</v>
      </c>
    </row>
    <row r="4658" spans="6:8">
      <c r="H4658" t="s">
        <v>20098</v>
      </c>
    </row>
    <row r="4659" spans="6:8">
      <c r="F4659" t="s">
        <v>11244</v>
      </c>
      <c r="G4659" t="s">
        <v>15226</v>
      </c>
      <c r="H4659" t="s">
        <v>20091</v>
      </c>
    </row>
    <row r="4660" spans="6:8">
      <c r="H4660" t="s">
        <v>19712</v>
      </c>
    </row>
    <row r="4661" spans="6:8">
      <c r="H4661" t="s">
        <v>19709</v>
      </c>
    </row>
    <row r="4662" spans="6:8">
      <c r="H4662" t="s">
        <v>19706</v>
      </c>
    </row>
    <row r="4663" spans="6:8">
      <c r="H4663" t="s">
        <v>19707</v>
      </c>
    </row>
    <row r="4664" spans="6:8">
      <c r="H4664" t="s">
        <v>20108</v>
      </c>
    </row>
    <row r="4665" spans="6:8">
      <c r="H4665" t="s">
        <v>19713</v>
      </c>
    </row>
    <row r="4666" spans="6:8">
      <c r="H4666" t="s">
        <v>19714</v>
      </c>
    </row>
    <row r="4667" spans="6:8">
      <c r="H4667" t="s">
        <v>20109</v>
      </c>
    </row>
    <row r="4668" spans="6:8">
      <c r="H4668" t="s">
        <v>20110</v>
      </c>
    </row>
    <row r="4669" spans="6:8">
      <c r="H4669" t="s">
        <v>20111</v>
      </c>
    </row>
    <row r="4670" spans="6:8">
      <c r="H4670" t="s">
        <v>20112</v>
      </c>
    </row>
    <row r="4671" spans="6:8">
      <c r="H4671" t="s">
        <v>20113</v>
      </c>
    </row>
    <row r="4672" spans="6:8">
      <c r="H4672" t="s">
        <v>20095</v>
      </c>
    </row>
    <row r="4673" spans="6:8">
      <c r="H4673" t="s">
        <v>20096</v>
      </c>
    </row>
    <row r="4674" spans="6:8">
      <c r="H4674" t="s">
        <v>20097</v>
      </c>
    </row>
    <row r="4675" spans="6:8">
      <c r="H4675" t="s">
        <v>20098</v>
      </c>
    </row>
    <row r="4676" spans="6:8">
      <c r="F4676" t="s">
        <v>11245</v>
      </c>
      <c r="G4676" t="s">
        <v>15227</v>
      </c>
      <c r="H4676" t="s">
        <v>20091</v>
      </c>
    </row>
    <row r="4677" spans="6:8">
      <c r="H4677" t="s">
        <v>19712</v>
      </c>
    </row>
    <row r="4678" spans="6:8">
      <c r="H4678" t="s">
        <v>19709</v>
      </c>
    </row>
    <row r="4679" spans="6:8">
      <c r="H4679" t="s">
        <v>19706</v>
      </c>
    </row>
    <row r="4680" spans="6:8">
      <c r="H4680" t="s">
        <v>20107</v>
      </c>
    </row>
    <row r="4681" spans="6:8">
      <c r="H4681" t="s">
        <v>20108</v>
      </c>
    </row>
    <row r="4682" spans="6:8">
      <c r="H4682" t="s">
        <v>19713</v>
      </c>
    </row>
    <row r="4683" spans="6:8">
      <c r="H4683" t="s">
        <v>19714</v>
      </c>
    </row>
    <row r="4684" spans="6:8">
      <c r="H4684" t="s">
        <v>20109</v>
      </c>
    </row>
    <row r="4685" spans="6:8">
      <c r="H4685" t="s">
        <v>20110</v>
      </c>
    </row>
    <row r="4686" spans="6:8">
      <c r="H4686" t="s">
        <v>20111</v>
      </c>
    </row>
    <row r="4687" spans="6:8">
      <c r="H4687" t="s">
        <v>20112</v>
      </c>
    </row>
    <row r="4688" spans="6:8">
      <c r="H4688" t="s">
        <v>20113</v>
      </c>
    </row>
    <row r="4689" spans="6:8">
      <c r="H4689" t="s">
        <v>20095</v>
      </c>
    </row>
    <row r="4690" spans="6:8">
      <c r="H4690" t="s">
        <v>20096</v>
      </c>
    </row>
    <row r="4691" spans="6:8">
      <c r="H4691" t="s">
        <v>20097</v>
      </c>
    </row>
    <row r="4692" spans="6:8">
      <c r="H4692" t="s">
        <v>20098</v>
      </c>
    </row>
    <row r="4693" spans="6:8">
      <c r="F4693" t="s">
        <v>11246</v>
      </c>
      <c r="G4693" t="s">
        <v>15228</v>
      </c>
      <c r="H4693" t="s">
        <v>20091</v>
      </c>
    </row>
    <row r="4694" spans="6:8">
      <c r="H4694" t="s">
        <v>19712</v>
      </c>
    </row>
    <row r="4695" spans="6:8">
      <c r="H4695" t="s">
        <v>19709</v>
      </c>
    </row>
    <row r="4696" spans="6:8">
      <c r="H4696" t="s">
        <v>19706</v>
      </c>
    </row>
    <row r="4697" spans="6:8">
      <c r="H4697" t="s">
        <v>20107</v>
      </c>
    </row>
    <row r="4698" spans="6:8">
      <c r="H4698" t="s">
        <v>20108</v>
      </c>
    </row>
    <row r="4699" spans="6:8">
      <c r="H4699" t="s">
        <v>19713</v>
      </c>
    </row>
    <row r="4700" spans="6:8">
      <c r="H4700" t="s">
        <v>19714</v>
      </c>
    </row>
    <row r="4701" spans="6:8">
      <c r="H4701" t="s">
        <v>20109</v>
      </c>
    </row>
    <row r="4702" spans="6:8">
      <c r="H4702" t="s">
        <v>20110</v>
      </c>
    </row>
    <row r="4703" spans="6:8">
      <c r="H4703" t="s">
        <v>20111</v>
      </c>
    </row>
    <row r="4704" spans="6:8">
      <c r="H4704" t="s">
        <v>20112</v>
      </c>
    </row>
    <row r="4705" spans="6:8">
      <c r="H4705" t="s">
        <v>20113</v>
      </c>
    </row>
    <row r="4706" spans="6:8">
      <c r="H4706" t="s">
        <v>20095</v>
      </c>
    </row>
    <row r="4707" spans="6:8">
      <c r="H4707" t="s">
        <v>20096</v>
      </c>
    </row>
    <row r="4708" spans="6:8">
      <c r="H4708" t="s">
        <v>20097</v>
      </c>
    </row>
    <row r="4709" spans="6:8">
      <c r="H4709" t="s">
        <v>20098</v>
      </c>
    </row>
    <row r="4710" spans="6:8">
      <c r="F4710" t="s">
        <v>11247</v>
      </c>
      <c r="G4710" t="s">
        <v>15229</v>
      </c>
      <c r="H4710" t="s">
        <v>20091</v>
      </c>
    </row>
    <row r="4711" spans="6:8">
      <c r="H4711" t="s">
        <v>19712</v>
      </c>
    </row>
    <row r="4712" spans="6:8">
      <c r="H4712" t="s">
        <v>19709</v>
      </c>
    </row>
    <row r="4713" spans="6:8">
      <c r="H4713" t="s">
        <v>19706</v>
      </c>
    </row>
    <row r="4714" spans="6:8">
      <c r="H4714" t="s">
        <v>19707</v>
      </c>
    </row>
    <row r="4715" spans="6:8">
      <c r="H4715" t="s">
        <v>19711</v>
      </c>
    </row>
    <row r="4716" spans="6:8">
      <c r="H4716" t="s">
        <v>19708</v>
      </c>
    </row>
    <row r="4717" spans="6:8">
      <c r="H4717" t="s">
        <v>20107</v>
      </c>
    </row>
    <row r="4718" spans="6:8">
      <c r="H4718" t="s">
        <v>20108</v>
      </c>
    </row>
    <row r="4719" spans="6:8">
      <c r="H4719" t="s">
        <v>19713</v>
      </c>
    </row>
    <row r="4720" spans="6:8">
      <c r="H4720" t="s">
        <v>19714</v>
      </c>
    </row>
    <row r="4721" spans="6:8">
      <c r="H4721" t="s">
        <v>20109</v>
      </c>
    </row>
    <row r="4722" spans="6:8">
      <c r="H4722" t="s">
        <v>20110</v>
      </c>
    </row>
    <row r="4723" spans="6:8">
      <c r="H4723" t="s">
        <v>20092</v>
      </c>
    </row>
    <row r="4724" spans="6:8">
      <c r="H4724" t="s">
        <v>20095</v>
      </c>
    </row>
    <row r="4725" spans="6:8">
      <c r="H4725" t="s">
        <v>20096</v>
      </c>
    </row>
    <row r="4726" spans="6:8">
      <c r="H4726" t="s">
        <v>20097</v>
      </c>
    </row>
    <row r="4727" spans="6:8">
      <c r="H4727" t="s">
        <v>20098</v>
      </c>
    </row>
    <row r="4728" spans="6:8">
      <c r="F4728" t="s">
        <v>11248</v>
      </c>
      <c r="G4728" t="s">
        <v>15230</v>
      </c>
      <c r="H4728" t="s">
        <v>20091</v>
      </c>
    </row>
    <row r="4729" spans="6:8">
      <c r="H4729" t="s">
        <v>19712</v>
      </c>
    </row>
    <row r="4730" spans="6:8">
      <c r="H4730" t="s">
        <v>19709</v>
      </c>
    </row>
    <row r="4731" spans="6:8">
      <c r="H4731" t="s">
        <v>19706</v>
      </c>
    </row>
    <row r="4732" spans="6:8">
      <c r="H4732" t="s">
        <v>19707</v>
      </c>
    </row>
    <row r="4733" spans="6:8">
      <c r="H4733" t="s">
        <v>19711</v>
      </c>
    </row>
    <row r="4734" spans="6:8">
      <c r="H4734" t="s">
        <v>19708</v>
      </c>
    </row>
    <row r="4735" spans="6:8">
      <c r="H4735" t="s">
        <v>20107</v>
      </c>
    </row>
    <row r="4736" spans="6:8">
      <c r="H4736" t="s">
        <v>20108</v>
      </c>
    </row>
    <row r="4737" spans="6:8">
      <c r="H4737" t="s">
        <v>19713</v>
      </c>
    </row>
    <row r="4738" spans="6:8">
      <c r="H4738" t="s">
        <v>19714</v>
      </c>
    </row>
    <row r="4739" spans="6:8">
      <c r="H4739" t="s">
        <v>20109</v>
      </c>
    </row>
    <row r="4740" spans="6:8">
      <c r="H4740" t="s">
        <v>20110</v>
      </c>
    </row>
    <row r="4741" spans="6:8">
      <c r="H4741" t="s">
        <v>20092</v>
      </c>
    </row>
    <row r="4742" spans="6:8">
      <c r="H4742" t="s">
        <v>20095</v>
      </c>
    </row>
    <row r="4743" spans="6:8">
      <c r="H4743" t="s">
        <v>20096</v>
      </c>
    </row>
    <row r="4744" spans="6:8">
      <c r="H4744" t="s">
        <v>20097</v>
      </c>
    </row>
    <row r="4745" spans="6:8">
      <c r="H4745" t="s">
        <v>20098</v>
      </c>
    </row>
    <row r="4746" spans="6:8">
      <c r="F4746" t="s">
        <v>11249</v>
      </c>
      <c r="G4746" t="s">
        <v>15231</v>
      </c>
      <c r="H4746" t="s">
        <v>20091</v>
      </c>
    </row>
    <row r="4747" spans="6:8">
      <c r="H4747" t="s">
        <v>19712</v>
      </c>
    </row>
    <row r="4748" spans="6:8">
      <c r="H4748" t="s">
        <v>19709</v>
      </c>
    </row>
    <row r="4749" spans="6:8">
      <c r="H4749" t="s">
        <v>19706</v>
      </c>
    </row>
    <row r="4750" spans="6:8">
      <c r="H4750" t="s">
        <v>19707</v>
      </c>
    </row>
    <row r="4751" spans="6:8">
      <c r="H4751" t="s">
        <v>19711</v>
      </c>
    </row>
    <row r="4752" spans="6:8">
      <c r="H4752" t="s">
        <v>19708</v>
      </c>
    </row>
    <row r="4753" spans="6:8">
      <c r="H4753" t="s">
        <v>20107</v>
      </c>
    </row>
    <row r="4754" spans="6:8">
      <c r="H4754" t="s">
        <v>20108</v>
      </c>
    </row>
    <row r="4755" spans="6:8">
      <c r="H4755" t="s">
        <v>19713</v>
      </c>
    </row>
    <row r="4756" spans="6:8">
      <c r="H4756" t="s">
        <v>19714</v>
      </c>
    </row>
    <row r="4757" spans="6:8">
      <c r="H4757" t="s">
        <v>20109</v>
      </c>
    </row>
    <row r="4758" spans="6:8">
      <c r="H4758" t="s">
        <v>20110</v>
      </c>
    </row>
    <row r="4759" spans="6:8">
      <c r="H4759" t="s">
        <v>20092</v>
      </c>
    </row>
    <row r="4760" spans="6:8">
      <c r="H4760" t="s">
        <v>20095</v>
      </c>
    </row>
    <row r="4761" spans="6:8">
      <c r="H4761" t="s">
        <v>20096</v>
      </c>
    </row>
    <row r="4762" spans="6:8">
      <c r="H4762" t="s">
        <v>20097</v>
      </c>
    </row>
    <row r="4763" spans="6:8">
      <c r="H4763" t="s">
        <v>20098</v>
      </c>
    </row>
    <row r="4764" spans="6:8">
      <c r="F4764" t="s">
        <v>11250</v>
      </c>
      <c r="G4764" t="s">
        <v>15232</v>
      </c>
      <c r="H4764" t="s">
        <v>20091</v>
      </c>
    </row>
    <row r="4765" spans="6:8">
      <c r="H4765" t="s">
        <v>19712</v>
      </c>
    </row>
    <row r="4766" spans="6:8">
      <c r="H4766" t="s">
        <v>19709</v>
      </c>
    </row>
    <row r="4767" spans="6:8">
      <c r="H4767" t="s">
        <v>19706</v>
      </c>
    </row>
    <row r="4768" spans="6:8">
      <c r="H4768" t="s">
        <v>19707</v>
      </c>
    </row>
    <row r="4769" spans="6:8">
      <c r="H4769" t="s">
        <v>19711</v>
      </c>
    </row>
    <row r="4770" spans="6:8">
      <c r="H4770" t="s">
        <v>19708</v>
      </c>
    </row>
    <row r="4771" spans="6:8">
      <c r="H4771" t="s">
        <v>20107</v>
      </c>
    </row>
    <row r="4772" spans="6:8">
      <c r="H4772" t="s">
        <v>20108</v>
      </c>
    </row>
    <row r="4773" spans="6:8">
      <c r="H4773" t="s">
        <v>19713</v>
      </c>
    </row>
    <row r="4774" spans="6:8">
      <c r="H4774" t="s">
        <v>19714</v>
      </c>
    </row>
    <row r="4775" spans="6:8">
      <c r="H4775" t="s">
        <v>20109</v>
      </c>
    </row>
    <row r="4776" spans="6:8">
      <c r="H4776" t="s">
        <v>20110</v>
      </c>
    </row>
    <row r="4777" spans="6:8">
      <c r="H4777" t="s">
        <v>20092</v>
      </c>
    </row>
    <row r="4778" spans="6:8">
      <c r="H4778" t="s">
        <v>20095</v>
      </c>
    </row>
    <row r="4779" spans="6:8">
      <c r="H4779" t="s">
        <v>20096</v>
      </c>
    </row>
    <row r="4780" spans="6:8">
      <c r="H4780" t="s">
        <v>20097</v>
      </c>
    </row>
    <row r="4781" spans="6:8">
      <c r="H4781" t="s">
        <v>20098</v>
      </c>
    </row>
    <row r="4782" spans="6:8">
      <c r="F4782" t="s">
        <v>11251</v>
      </c>
      <c r="G4782" t="s">
        <v>15233</v>
      </c>
      <c r="H4782" t="s">
        <v>20091</v>
      </c>
    </row>
    <row r="4783" spans="6:8">
      <c r="H4783" t="s">
        <v>19712</v>
      </c>
    </row>
    <row r="4784" spans="6:8">
      <c r="H4784" t="s">
        <v>19709</v>
      </c>
    </row>
    <row r="4785" spans="6:8">
      <c r="H4785" t="s">
        <v>19706</v>
      </c>
    </row>
    <row r="4786" spans="6:8">
      <c r="H4786" t="s">
        <v>19707</v>
      </c>
    </row>
    <row r="4787" spans="6:8">
      <c r="H4787" t="s">
        <v>19711</v>
      </c>
    </row>
    <row r="4788" spans="6:8">
      <c r="H4788" t="s">
        <v>19708</v>
      </c>
    </row>
    <row r="4789" spans="6:8">
      <c r="H4789" t="s">
        <v>20107</v>
      </c>
    </row>
    <row r="4790" spans="6:8">
      <c r="H4790" t="s">
        <v>20108</v>
      </c>
    </row>
    <row r="4791" spans="6:8">
      <c r="H4791" t="s">
        <v>19713</v>
      </c>
    </row>
    <row r="4792" spans="6:8">
      <c r="H4792" t="s">
        <v>19714</v>
      </c>
    </row>
    <row r="4793" spans="6:8">
      <c r="H4793" t="s">
        <v>20109</v>
      </c>
    </row>
    <row r="4794" spans="6:8">
      <c r="H4794" t="s">
        <v>20110</v>
      </c>
    </row>
    <row r="4795" spans="6:8">
      <c r="H4795" t="s">
        <v>20092</v>
      </c>
    </row>
    <row r="4796" spans="6:8">
      <c r="H4796" t="s">
        <v>20095</v>
      </c>
    </row>
    <row r="4797" spans="6:8">
      <c r="H4797" t="s">
        <v>20096</v>
      </c>
    </row>
    <row r="4798" spans="6:8">
      <c r="H4798" t="s">
        <v>20097</v>
      </c>
    </row>
    <row r="4799" spans="6:8">
      <c r="H4799" t="s">
        <v>20098</v>
      </c>
    </row>
    <row r="4800" spans="6:8">
      <c r="F4800" t="s">
        <v>11252</v>
      </c>
      <c r="G4800" t="s">
        <v>15234</v>
      </c>
      <c r="H4800" t="s">
        <v>20091</v>
      </c>
    </row>
    <row r="4801" spans="8:8">
      <c r="H4801" t="s">
        <v>19712</v>
      </c>
    </row>
    <row r="4802" spans="8:8">
      <c r="H4802" t="s">
        <v>19709</v>
      </c>
    </row>
    <row r="4803" spans="8:8">
      <c r="H4803" t="s">
        <v>19706</v>
      </c>
    </row>
    <row r="4804" spans="8:8">
      <c r="H4804" t="s">
        <v>19707</v>
      </c>
    </row>
    <row r="4805" spans="8:8">
      <c r="H4805" t="s">
        <v>19711</v>
      </c>
    </row>
    <row r="4806" spans="8:8">
      <c r="H4806" t="s">
        <v>19708</v>
      </c>
    </row>
    <row r="4807" spans="8:8">
      <c r="H4807" t="s">
        <v>20107</v>
      </c>
    </row>
    <row r="4808" spans="8:8">
      <c r="H4808" t="s">
        <v>20108</v>
      </c>
    </row>
    <row r="4809" spans="8:8">
      <c r="H4809" t="s">
        <v>19713</v>
      </c>
    </row>
    <row r="4810" spans="8:8">
      <c r="H4810" t="s">
        <v>19714</v>
      </c>
    </row>
    <row r="4811" spans="8:8">
      <c r="H4811" t="s">
        <v>20109</v>
      </c>
    </row>
    <row r="4812" spans="8:8">
      <c r="H4812" t="s">
        <v>20110</v>
      </c>
    </row>
    <row r="4813" spans="8:8">
      <c r="H4813" t="s">
        <v>20092</v>
      </c>
    </row>
    <row r="4814" spans="8:8">
      <c r="H4814" t="s">
        <v>20095</v>
      </c>
    </row>
    <row r="4815" spans="8:8">
      <c r="H4815" t="s">
        <v>20096</v>
      </c>
    </row>
    <row r="4816" spans="8:8">
      <c r="H4816" t="s">
        <v>20097</v>
      </c>
    </row>
    <row r="4817" spans="6:8">
      <c r="H4817" t="s">
        <v>20098</v>
      </c>
    </row>
    <row r="4818" spans="6:8">
      <c r="F4818" t="s">
        <v>11253</v>
      </c>
      <c r="G4818" t="s">
        <v>15235</v>
      </c>
      <c r="H4818" t="s">
        <v>20091</v>
      </c>
    </row>
    <row r="4819" spans="6:8">
      <c r="H4819" t="s">
        <v>19712</v>
      </c>
    </row>
    <row r="4820" spans="6:8">
      <c r="H4820" t="s">
        <v>19709</v>
      </c>
    </row>
    <row r="4821" spans="6:8">
      <c r="H4821" t="s">
        <v>19706</v>
      </c>
    </row>
    <row r="4822" spans="6:8">
      <c r="H4822" t="s">
        <v>20107</v>
      </c>
    </row>
    <row r="4823" spans="6:8">
      <c r="H4823" t="s">
        <v>20108</v>
      </c>
    </row>
    <row r="4824" spans="6:8">
      <c r="H4824" t="s">
        <v>19713</v>
      </c>
    </row>
    <row r="4825" spans="6:8">
      <c r="H4825" t="s">
        <v>19714</v>
      </c>
    </row>
    <row r="4826" spans="6:8">
      <c r="H4826" t="s">
        <v>20109</v>
      </c>
    </row>
    <row r="4827" spans="6:8">
      <c r="H4827" t="s">
        <v>20110</v>
      </c>
    </row>
    <row r="4828" spans="6:8">
      <c r="H4828" t="s">
        <v>20111</v>
      </c>
    </row>
    <row r="4829" spans="6:8">
      <c r="H4829" t="s">
        <v>20096</v>
      </c>
    </row>
    <row r="4830" spans="6:8">
      <c r="H4830" t="s">
        <v>20097</v>
      </c>
    </row>
    <row r="4831" spans="6:8">
      <c r="H4831" t="s">
        <v>20098</v>
      </c>
    </row>
    <row r="4832" spans="6:8">
      <c r="H4832" t="s">
        <v>20099</v>
      </c>
    </row>
    <row r="4833" spans="6:8">
      <c r="F4833" t="s">
        <v>11254</v>
      </c>
      <c r="G4833" t="s">
        <v>15236</v>
      </c>
      <c r="H4833" t="s">
        <v>20091</v>
      </c>
    </row>
    <row r="4834" spans="6:8">
      <c r="H4834" t="s">
        <v>19712</v>
      </c>
    </row>
    <row r="4835" spans="6:8">
      <c r="H4835" t="s">
        <v>19709</v>
      </c>
    </row>
    <row r="4836" spans="6:8">
      <c r="H4836" t="s">
        <v>19706</v>
      </c>
    </row>
    <row r="4837" spans="6:8">
      <c r="H4837" t="s">
        <v>20107</v>
      </c>
    </row>
    <row r="4838" spans="6:8">
      <c r="H4838" t="s">
        <v>20108</v>
      </c>
    </row>
    <row r="4839" spans="6:8">
      <c r="H4839" t="s">
        <v>19713</v>
      </c>
    </row>
    <row r="4840" spans="6:8">
      <c r="H4840" t="s">
        <v>19714</v>
      </c>
    </row>
    <row r="4841" spans="6:8">
      <c r="H4841" t="s">
        <v>20109</v>
      </c>
    </row>
    <row r="4842" spans="6:8">
      <c r="H4842" t="s">
        <v>20110</v>
      </c>
    </row>
    <row r="4843" spans="6:8">
      <c r="H4843" t="s">
        <v>20096</v>
      </c>
    </row>
    <row r="4844" spans="6:8">
      <c r="H4844" t="s">
        <v>20097</v>
      </c>
    </row>
    <row r="4845" spans="6:8">
      <c r="H4845" t="s">
        <v>20098</v>
      </c>
    </row>
    <row r="4846" spans="6:8">
      <c r="H4846" t="s">
        <v>20099</v>
      </c>
    </row>
    <row r="4847" spans="6:8">
      <c r="F4847" t="s">
        <v>11255</v>
      </c>
      <c r="G4847" t="s">
        <v>15237</v>
      </c>
      <c r="H4847" t="s">
        <v>20091</v>
      </c>
    </row>
    <row r="4848" spans="6:8">
      <c r="H4848" t="s">
        <v>19712</v>
      </c>
    </row>
    <row r="4849" spans="6:8">
      <c r="H4849" t="s">
        <v>19709</v>
      </c>
    </row>
    <row r="4850" spans="6:8">
      <c r="H4850" t="s">
        <v>19706</v>
      </c>
    </row>
    <row r="4851" spans="6:8">
      <c r="H4851" t="s">
        <v>20107</v>
      </c>
    </row>
    <row r="4852" spans="6:8">
      <c r="H4852" t="s">
        <v>20108</v>
      </c>
    </row>
    <row r="4853" spans="6:8">
      <c r="H4853" t="s">
        <v>19713</v>
      </c>
    </row>
    <row r="4854" spans="6:8">
      <c r="H4854" t="s">
        <v>19714</v>
      </c>
    </row>
    <row r="4855" spans="6:8">
      <c r="H4855" t="s">
        <v>20109</v>
      </c>
    </row>
    <row r="4856" spans="6:8">
      <c r="H4856" t="s">
        <v>20110</v>
      </c>
    </row>
    <row r="4857" spans="6:8">
      <c r="H4857" t="s">
        <v>20095</v>
      </c>
    </row>
    <row r="4858" spans="6:8">
      <c r="H4858" t="s">
        <v>20096</v>
      </c>
    </row>
    <row r="4859" spans="6:8">
      <c r="H4859" t="s">
        <v>20097</v>
      </c>
    </row>
    <row r="4860" spans="6:8">
      <c r="H4860" t="s">
        <v>20098</v>
      </c>
    </row>
    <row r="4861" spans="6:8">
      <c r="F4861" t="s">
        <v>11256</v>
      </c>
      <c r="G4861" t="s">
        <v>15597</v>
      </c>
      <c r="H4861" t="s">
        <v>20091</v>
      </c>
    </row>
    <row r="4862" spans="6:8">
      <c r="H4862" t="s">
        <v>19712</v>
      </c>
    </row>
    <row r="4863" spans="6:8">
      <c r="H4863" t="s">
        <v>19709</v>
      </c>
    </row>
    <row r="4864" spans="6:8">
      <c r="H4864" t="s">
        <v>20092</v>
      </c>
    </row>
    <row r="4865" spans="6:8">
      <c r="H4865" t="s">
        <v>20093</v>
      </c>
    </row>
    <row r="4866" spans="6:8">
      <c r="H4866" t="s">
        <v>20095</v>
      </c>
    </row>
    <row r="4867" spans="6:8">
      <c r="H4867" t="s">
        <v>20096</v>
      </c>
    </row>
    <row r="4868" spans="6:8">
      <c r="H4868" t="s">
        <v>20097</v>
      </c>
    </row>
    <row r="4869" spans="6:8">
      <c r="H4869" t="s">
        <v>20098</v>
      </c>
    </row>
    <row r="4870" spans="6:8">
      <c r="H4870" t="s">
        <v>20099</v>
      </c>
    </row>
    <row r="4871" spans="6:8">
      <c r="H4871" t="s">
        <v>20100</v>
      </c>
    </row>
    <row r="4872" spans="6:8">
      <c r="H4872" t="s">
        <v>20101</v>
      </c>
    </row>
    <row r="4873" spans="6:8">
      <c r="H4873" t="s">
        <v>20104</v>
      </c>
    </row>
    <row r="4874" spans="6:8">
      <c r="H4874" t="s">
        <v>20105</v>
      </c>
    </row>
    <row r="4875" spans="6:8">
      <c r="H4875" t="s">
        <v>20123</v>
      </c>
    </row>
    <row r="4876" spans="6:8">
      <c r="F4876" t="s">
        <v>11257</v>
      </c>
      <c r="G4876" t="s">
        <v>15598</v>
      </c>
      <c r="H4876" t="s">
        <v>20091</v>
      </c>
    </row>
    <row r="4877" spans="6:8">
      <c r="H4877" t="s">
        <v>19712</v>
      </c>
    </row>
    <row r="4878" spans="6:8">
      <c r="H4878" t="s">
        <v>20095</v>
      </c>
    </row>
    <row r="4879" spans="6:8">
      <c r="H4879" t="s">
        <v>20096</v>
      </c>
    </row>
    <row r="4880" spans="6:8">
      <c r="H4880" t="s">
        <v>20097</v>
      </c>
    </row>
    <row r="4881" spans="6:8">
      <c r="H4881" t="s">
        <v>20098</v>
      </c>
    </row>
    <row r="4882" spans="6:8">
      <c r="H4882" t="s">
        <v>20099</v>
      </c>
    </row>
    <row r="4883" spans="6:8">
      <c r="H4883" t="s">
        <v>20100</v>
      </c>
    </row>
    <row r="4884" spans="6:8">
      <c r="H4884" t="s">
        <v>20101</v>
      </c>
    </row>
    <row r="4885" spans="6:8">
      <c r="H4885" t="s">
        <v>20102</v>
      </c>
    </row>
    <row r="4886" spans="6:8">
      <c r="H4886" t="s">
        <v>20104</v>
      </c>
    </row>
    <row r="4887" spans="6:8">
      <c r="F4887" t="s">
        <v>11258</v>
      </c>
      <c r="G4887" t="s">
        <v>15599</v>
      </c>
      <c r="H4887" t="s">
        <v>20091</v>
      </c>
    </row>
    <row r="4888" spans="6:8">
      <c r="H4888" t="s">
        <v>19712</v>
      </c>
    </row>
    <row r="4889" spans="6:8">
      <c r="H4889" t="s">
        <v>20095</v>
      </c>
    </row>
    <row r="4890" spans="6:8">
      <c r="H4890" t="s">
        <v>20096</v>
      </c>
    </row>
    <row r="4891" spans="6:8">
      <c r="H4891" t="s">
        <v>20097</v>
      </c>
    </row>
    <row r="4892" spans="6:8">
      <c r="H4892" t="s">
        <v>20098</v>
      </c>
    </row>
    <row r="4893" spans="6:8">
      <c r="H4893" t="s">
        <v>20099</v>
      </c>
    </row>
    <row r="4894" spans="6:8">
      <c r="H4894" t="s">
        <v>20100</v>
      </c>
    </row>
    <row r="4895" spans="6:8">
      <c r="H4895" t="s">
        <v>20101</v>
      </c>
    </row>
    <row r="4896" spans="6:8">
      <c r="H4896" t="s">
        <v>20102</v>
      </c>
    </row>
    <row r="4897" spans="6:8">
      <c r="H4897" t="s">
        <v>20104</v>
      </c>
    </row>
    <row r="4898" spans="6:8">
      <c r="F4898" t="s">
        <v>11259</v>
      </c>
      <c r="G4898" t="s">
        <v>15238</v>
      </c>
      <c r="H4898" t="s">
        <v>20091</v>
      </c>
    </row>
    <row r="4899" spans="6:8">
      <c r="H4899" t="s">
        <v>19712</v>
      </c>
    </row>
    <row r="4900" spans="6:8">
      <c r="H4900" t="s">
        <v>19709</v>
      </c>
    </row>
    <row r="4901" spans="6:8">
      <c r="H4901" t="s">
        <v>19706</v>
      </c>
    </row>
    <row r="4902" spans="6:8">
      <c r="H4902" t="s">
        <v>20107</v>
      </c>
    </row>
    <row r="4903" spans="6:8">
      <c r="H4903" t="s">
        <v>20108</v>
      </c>
    </row>
    <row r="4904" spans="6:8">
      <c r="H4904" t="s">
        <v>19713</v>
      </c>
    </row>
    <row r="4905" spans="6:8">
      <c r="H4905" t="s">
        <v>19714</v>
      </c>
    </row>
    <row r="4906" spans="6:8">
      <c r="H4906" t="s">
        <v>20109</v>
      </c>
    </row>
    <row r="4907" spans="6:8">
      <c r="H4907" t="s">
        <v>20110</v>
      </c>
    </row>
    <row r="4908" spans="6:8">
      <c r="H4908" t="s">
        <v>20095</v>
      </c>
    </row>
    <row r="4909" spans="6:8">
      <c r="H4909" t="s">
        <v>20096</v>
      </c>
    </row>
    <row r="4910" spans="6:8">
      <c r="H4910" t="s">
        <v>20097</v>
      </c>
    </row>
    <row r="4911" spans="6:8">
      <c r="H4911" t="s">
        <v>20098</v>
      </c>
    </row>
    <row r="4912" spans="6:8">
      <c r="H4912" t="s">
        <v>20099</v>
      </c>
    </row>
    <row r="4913" spans="6:8">
      <c r="F4913" t="s">
        <v>11260</v>
      </c>
      <c r="G4913" t="s">
        <v>15239</v>
      </c>
      <c r="H4913" t="s">
        <v>20091</v>
      </c>
    </row>
    <row r="4914" spans="6:8">
      <c r="H4914" t="s">
        <v>19712</v>
      </c>
    </row>
    <row r="4915" spans="6:8">
      <c r="H4915" t="s">
        <v>19709</v>
      </c>
    </row>
    <row r="4916" spans="6:8">
      <c r="H4916" t="s">
        <v>19706</v>
      </c>
    </row>
    <row r="4917" spans="6:8">
      <c r="H4917" t="s">
        <v>20107</v>
      </c>
    </row>
    <row r="4918" spans="6:8">
      <c r="H4918" t="s">
        <v>20108</v>
      </c>
    </row>
    <row r="4919" spans="6:8">
      <c r="H4919" t="s">
        <v>19713</v>
      </c>
    </row>
    <row r="4920" spans="6:8">
      <c r="H4920" t="s">
        <v>19714</v>
      </c>
    </row>
    <row r="4921" spans="6:8">
      <c r="H4921" t="s">
        <v>20109</v>
      </c>
    </row>
    <row r="4922" spans="6:8">
      <c r="H4922" t="s">
        <v>20110</v>
      </c>
    </row>
    <row r="4923" spans="6:8">
      <c r="H4923" t="s">
        <v>20096</v>
      </c>
    </row>
    <row r="4924" spans="6:8">
      <c r="H4924" t="s">
        <v>20097</v>
      </c>
    </row>
    <row r="4925" spans="6:8">
      <c r="H4925" t="s">
        <v>20098</v>
      </c>
    </row>
    <row r="4926" spans="6:8">
      <c r="H4926" t="s">
        <v>20099</v>
      </c>
    </row>
    <row r="4927" spans="6:8">
      <c r="F4927" t="s">
        <v>11261</v>
      </c>
      <c r="G4927" t="s">
        <v>15240</v>
      </c>
      <c r="H4927" t="s">
        <v>20091</v>
      </c>
    </row>
    <row r="4928" spans="6:8">
      <c r="H4928" t="s">
        <v>19712</v>
      </c>
    </row>
    <row r="4929" spans="6:8">
      <c r="H4929" t="s">
        <v>19709</v>
      </c>
    </row>
    <row r="4930" spans="6:8">
      <c r="H4930" t="s">
        <v>19706</v>
      </c>
    </row>
    <row r="4931" spans="6:8">
      <c r="H4931" t="s">
        <v>20107</v>
      </c>
    </row>
    <row r="4932" spans="6:8">
      <c r="H4932" t="s">
        <v>20108</v>
      </c>
    </row>
    <row r="4933" spans="6:8">
      <c r="H4933" t="s">
        <v>19713</v>
      </c>
    </row>
    <row r="4934" spans="6:8">
      <c r="H4934" t="s">
        <v>19714</v>
      </c>
    </row>
    <row r="4935" spans="6:8">
      <c r="H4935" t="s">
        <v>20109</v>
      </c>
    </row>
    <row r="4936" spans="6:8">
      <c r="H4936" t="s">
        <v>20110</v>
      </c>
    </row>
    <row r="4937" spans="6:8">
      <c r="H4937" t="s">
        <v>20095</v>
      </c>
    </row>
    <row r="4938" spans="6:8">
      <c r="H4938" t="s">
        <v>20096</v>
      </c>
    </row>
    <row r="4939" spans="6:8">
      <c r="H4939" t="s">
        <v>20097</v>
      </c>
    </row>
    <row r="4940" spans="6:8">
      <c r="H4940" t="s">
        <v>20098</v>
      </c>
    </row>
    <row r="4941" spans="6:8">
      <c r="H4941" t="s">
        <v>20099</v>
      </c>
    </row>
    <row r="4942" spans="6:8">
      <c r="H4942" t="s">
        <v>20100</v>
      </c>
    </row>
    <row r="4943" spans="6:8">
      <c r="F4943" t="s">
        <v>11262</v>
      </c>
      <c r="G4943" t="s">
        <v>15600</v>
      </c>
      <c r="H4943" t="s">
        <v>20091</v>
      </c>
    </row>
    <row r="4944" spans="6:8">
      <c r="H4944" t="s">
        <v>20095</v>
      </c>
    </row>
    <row r="4945" spans="6:8">
      <c r="H4945" t="s">
        <v>20096</v>
      </c>
    </row>
    <row r="4946" spans="6:8">
      <c r="H4946" t="s">
        <v>20097</v>
      </c>
    </row>
    <row r="4947" spans="6:8">
      <c r="F4947" t="s">
        <v>11263</v>
      </c>
      <c r="G4947" t="s">
        <v>15601</v>
      </c>
      <c r="H4947" t="s">
        <v>20091</v>
      </c>
    </row>
    <row r="4948" spans="6:8">
      <c r="H4948" t="s">
        <v>20095</v>
      </c>
    </row>
    <row r="4949" spans="6:8">
      <c r="H4949" t="s">
        <v>20096</v>
      </c>
    </row>
    <row r="4950" spans="6:8">
      <c r="H4950" t="s">
        <v>20097</v>
      </c>
    </row>
    <row r="4951" spans="6:8">
      <c r="F4951" t="s">
        <v>11264</v>
      </c>
      <c r="G4951" t="s">
        <v>15241</v>
      </c>
      <c r="H4951" t="s">
        <v>20091</v>
      </c>
    </row>
    <row r="4952" spans="6:8">
      <c r="H4952" t="s">
        <v>19712</v>
      </c>
    </row>
    <row r="4953" spans="6:8">
      <c r="H4953" t="s">
        <v>19709</v>
      </c>
    </row>
    <row r="4954" spans="6:8">
      <c r="H4954" t="s">
        <v>19706</v>
      </c>
    </row>
    <row r="4955" spans="6:8">
      <c r="H4955" t="s">
        <v>19707</v>
      </c>
    </row>
    <row r="4956" spans="6:8">
      <c r="H4956" t="s">
        <v>19711</v>
      </c>
    </row>
    <row r="4957" spans="6:8">
      <c r="H4957" t="s">
        <v>19708</v>
      </c>
    </row>
    <row r="4958" spans="6:8">
      <c r="H4958" t="s">
        <v>20107</v>
      </c>
    </row>
    <row r="4959" spans="6:8">
      <c r="H4959" t="s">
        <v>20108</v>
      </c>
    </row>
    <row r="4960" spans="6:8">
      <c r="H4960" t="s">
        <v>19713</v>
      </c>
    </row>
    <row r="4961" spans="6:8">
      <c r="H4961" t="s">
        <v>19714</v>
      </c>
    </row>
    <row r="4962" spans="6:8">
      <c r="H4962" t="s">
        <v>20109</v>
      </c>
    </row>
    <row r="4963" spans="6:8">
      <c r="H4963" t="s">
        <v>20095</v>
      </c>
    </row>
    <row r="4964" spans="6:8">
      <c r="H4964" t="s">
        <v>20096</v>
      </c>
    </row>
    <row r="4965" spans="6:8">
      <c r="H4965" t="s">
        <v>20097</v>
      </c>
    </row>
    <row r="4966" spans="6:8">
      <c r="H4966" t="s">
        <v>20098</v>
      </c>
    </row>
    <row r="4967" spans="6:8">
      <c r="H4967" t="s">
        <v>20099</v>
      </c>
    </row>
    <row r="4968" spans="6:8">
      <c r="H4968" t="s">
        <v>20100</v>
      </c>
    </row>
    <row r="4969" spans="6:8">
      <c r="H4969" t="s">
        <v>20101</v>
      </c>
    </row>
    <row r="4970" spans="6:8">
      <c r="F4970" t="s">
        <v>11265</v>
      </c>
      <c r="G4970" t="s">
        <v>15242</v>
      </c>
      <c r="H4970" t="s">
        <v>20091</v>
      </c>
    </row>
    <row r="4971" spans="6:8">
      <c r="H4971" t="s">
        <v>19712</v>
      </c>
    </row>
    <row r="4972" spans="6:8">
      <c r="H4972" t="s">
        <v>19709</v>
      </c>
    </row>
    <row r="4973" spans="6:8">
      <c r="H4973" t="s">
        <v>20107</v>
      </c>
    </row>
    <row r="4974" spans="6:8">
      <c r="H4974" t="s">
        <v>20108</v>
      </c>
    </row>
    <row r="4975" spans="6:8">
      <c r="H4975" t="s">
        <v>19713</v>
      </c>
    </row>
    <row r="4976" spans="6:8">
      <c r="H4976" t="s">
        <v>19714</v>
      </c>
    </row>
    <row r="4977" spans="6:8">
      <c r="H4977" t="s">
        <v>20109</v>
      </c>
    </row>
    <row r="4978" spans="6:8">
      <c r="H4978" t="s">
        <v>20110</v>
      </c>
    </row>
    <row r="4979" spans="6:8">
      <c r="H4979" t="s">
        <v>20095</v>
      </c>
    </row>
    <row r="4980" spans="6:8">
      <c r="H4980" t="s">
        <v>20096</v>
      </c>
    </row>
    <row r="4981" spans="6:8">
      <c r="H4981" t="s">
        <v>20097</v>
      </c>
    </row>
    <row r="4982" spans="6:8">
      <c r="H4982" t="s">
        <v>20098</v>
      </c>
    </row>
    <row r="4983" spans="6:8">
      <c r="H4983" t="s">
        <v>20099</v>
      </c>
    </row>
    <row r="4984" spans="6:8">
      <c r="H4984" t="s">
        <v>20100</v>
      </c>
    </row>
    <row r="4985" spans="6:8">
      <c r="F4985" t="s">
        <v>11266</v>
      </c>
      <c r="G4985" t="s">
        <v>15243</v>
      </c>
      <c r="H4985" t="s">
        <v>20091</v>
      </c>
    </row>
    <row r="4986" spans="6:8">
      <c r="H4986" t="s">
        <v>19712</v>
      </c>
    </row>
    <row r="4987" spans="6:8">
      <c r="H4987" t="s">
        <v>19709</v>
      </c>
    </row>
    <row r="4988" spans="6:8">
      <c r="H4988" t="s">
        <v>19706</v>
      </c>
    </row>
    <row r="4989" spans="6:8">
      <c r="H4989" t="s">
        <v>20107</v>
      </c>
    </row>
    <row r="4990" spans="6:8">
      <c r="H4990" t="s">
        <v>20108</v>
      </c>
    </row>
    <row r="4991" spans="6:8">
      <c r="H4991" t="s">
        <v>19713</v>
      </c>
    </row>
    <row r="4992" spans="6:8">
      <c r="H4992" t="s">
        <v>19714</v>
      </c>
    </row>
    <row r="4993" spans="6:8">
      <c r="H4993" t="s">
        <v>20109</v>
      </c>
    </row>
    <row r="4994" spans="6:8">
      <c r="H4994" t="s">
        <v>20095</v>
      </c>
    </row>
    <row r="4995" spans="6:8">
      <c r="H4995" t="s">
        <v>20096</v>
      </c>
    </row>
    <row r="4996" spans="6:8">
      <c r="H4996" t="s">
        <v>20097</v>
      </c>
    </row>
    <row r="4997" spans="6:8">
      <c r="H4997" t="s">
        <v>20098</v>
      </c>
    </row>
    <row r="4998" spans="6:8">
      <c r="H4998" t="s">
        <v>20100</v>
      </c>
    </row>
    <row r="4999" spans="6:8">
      <c r="H4999" t="s">
        <v>20101</v>
      </c>
    </row>
    <row r="5000" spans="6:8">
      <c r="H5000" t="s">
        <v>20102</v>
      </c>
    </row>
    <row r="5001" spans="6:8">
      <c r="F5001" t="s">
        <v>11267</v>
      </c>
      <c r="G5001" t="s">
        <v>15244</v>
      </c>
      <c r="H5001" t="s">
        <v>20091</v>
      </c>
    </row>
    <row r="5002" spans="6:8">
      <c r="H5002" t="s">
        <v>19712</v>
      </c>
    </row>
    <row r="5003" spans="6:8">
      <c r="H5003" t="s">
        <v>19709</v>
      </c>
    </row>
    <row r="5004" spans="6:8">
      <c r="H5004" t="s">
        <v>20107</v>
      </c>
    </row>
    <row r="5005" spans="6:8">
      <c r="H5005" t="s">
        <v>20108</v>
      </c>
    </row>
    <row r="5006" spans="6:8">
      <c r="H5006" t="s">
        <v>19713</v>
      </c>
    </row>
    <row r="5007" spans="6:8">
      <c r="H5007" t="s">
        <v>20095</v>
      </c>
    </row>
    <row r="5008" spans="6:8">
      <c r="H5008" t="s">
        <v>20096</v>
      </c>
    </row>
    <row r="5009" spans="6:8">
      <c r="H5009" t="s">
        <v>20097</v>
      </c>
    </row>
    <row r="5010" spans="6:8">
      <c r="H5010" t="s">
        <v>20098</v>
      </c>
    </row>
    <row r="5011" spans="6:8">
      <c r="H5011" t="s">
        <v>20099</v>
      </c>
    </row>
    <row r="5012" spans="6:8">
      <c r="H5012" t="s">
        <v>20100</v>
      </c>
    </row>
    <row r="5013" spans="6:8">
      <c r="H5013" t="s">
        <v>20101</v>
      </c>
    </row>
    <row r="5014" spans="6:8">
      <c r="F5014" t="s">
        <v>11268</v>
      </c>
      <c r="G5014" t="s">
        <v>15245</v>
      </c>
      <c r="H5014" t="s">
        <v>20091</v>
      </c>
    </row>
    <row r="5015" spans="6:8">
      <c r="H5015" t="s">
        <v>19712</v>
      </c>
    </row>
    <row r="5016" spans="6:8">
      <c r="H5016" t="s">
        <v>19709</v>
      </c>
    </row>
    <row r="5017" spans="6:8">
      <c r="H5017" t="s">
        <v>19706</v>
      </c>
    </row>
    <row r="5018" spans="6:8">
      <c r="H5018" t="s">
        <v>20107</v>
      </c>
    </row>
    <row r="5019" spans="6:8">
      <c r="H5019" t="s">
        <v>20108</v>
      </c>
    </row>
    <row r="5020" spans="6:8">
      <c r="H5020" t="s">
        <v>19713</v>
      </c>
    </row>
    <row r="5021" spans="6:8">
      <c r="H5021" t="s">
        <v>19714</v>
      </c>
    </row>
    <row r="5022" spans="6:8">
      <c r="H5022" t="s">
        <v>20109</v>
      </c>
    </row>
    <row r="5023" spans="6:8">
      <c r="H5023" t="s">
        <v>20095</v>
      </c>
    </row>
    <row r="5024" spans="6:8">
      <c r="H5024" t="s">
        <v>20096</v>
      </c>
    </row>
    <row r="5025" spans="6:8">
      <c r="H5025" t="s">
        <v>20097</v>
      </c>
    </row>
    <row r="5026" spans="6:8">
      <c r="H5026" t="s">
        <v>20098</v>
      </c>
    </row>
    <row r="5027" spans="6:8">
      <c r="H5027" t="s">
        <v>20099</v>
      </c>
    </row>
    <row r="5028" spans="6:8">
      <c r="H5028" t="s">
        <v>20100</v>
      </c>
    </row>
    <row r="5029" spans="6:8">
      <c r="H5029" t="s">
        <v>20101</v>
      </c>
    </row>
    <row r="5030" spans="6:8">
      <c r="F5030" t="s">
        <v>11269</v>
      </c>
      <c r="G5030" t="s">
        <v>15246</v>
      </c>
      <c r="H5030" t="s">
        <v>20091</v>
      </c>
    </row>
    <row r="5031" spans="6:8">
      <c r="H5031" t="s">
        <v>19712</v>
      </c>
    </row>
    <row r="5032" spans="6:8">
      <c r="H5032" t="s">
        <v>19709</v>
      </c>
    </row>
    <row r="5033" spans="6:8">
      <c r="H5033" t="s">
        <v>20107</v>
      </c>
    </row>
    <row r="5034" spans="6:8">
      <c r="H5034" t="s">
        <v>20108</v>
      </c>
    </row>
    <row r="5035" spans="6:8">
      <c r="H5035" t="s">
        <v>19713</v>
      </c>
    </row>
    <row r="5036" spans="6:8">
      <c r="H5036" t="s">
        <v>20095</v>
      </c>
    </row>
    <row r="5037" spans="6:8">
      <c r="H5037" t="s">
        <v>20096</v>
      </c>
    </row>
    <row r="5038" spans="6:8">
      <c r="H5038" t="s">
        <v>20097</v>
      </c>
    </row>
    <row r="5039" spans="6:8">
      <c r="H5039" t="s">
        <v>20098</v>
      </c>
    </row>
    <row r="5040" spans="6:8">
      <c r="H5040" t="s">
        <v>20099</v>
      </c>
    </row>
    <row r="5041" spans="6:8">
      <c r="H5041" t="s">
        <v>20100</v>
      </c>
    </row>
    <row r="5042" spans="6:8">
      <c r="H5042" t="s">
        <v>20101</v>
      </c>
    </row>
    <row r="5043" spans="6:8">
      <c r="F5043" t="s">
        <v>11270</v>
      </c>
      <c r="G5043" t="s">
        <v>15247</v>
      </c>
      <c r="H5043" t="s">
        <v>20091</v>
      </c>
    </row>
    <row r="5044" spans="6:8">
      <c r="H5044" t="s">
        <v>19712</v>
      </c>
    </row>
    <row r="5045" spans="6:8">
      <c r="H5045" t="s">
        <v>19709</v>
      </c>
    </row>
    <row r="5046" spans="6:8">
      <c r="H5046" t="s">
        <v>19706</v>
      </c>
    </row>
    <row r="5047" spans="6:8">
      <c r="H5047" t="s">
        <v>20107</v>
      </c>
    </row>
    <row r="5048" spans="6:8">
      <c r="H5048" t="s">
        <v>20108</v>
      </c>
    </row>
    <row r="5049" spans="6:8">
      <c r="H5049" t="s">
        <v>19713</v>
      </c>
    </row>
    <row r="5050" spans="6:8">
      <c r="H5050" t="s">
        <v>19714</v>
      </c>
    </row>
    <row r="5051" spans="6:8">
      <c r="H5051" t="s">
        <v>20109</v>
      </c>
    </row>
    <row r="5052" spans="6:8">
      <c r="H5052" t="s">
        <v>20095</v>
      </c>
    </row>
    <row r="5053" spans="6:8">
      <c r="H5053" t="s">
        <v>20096</v>
      </c>
    </row>
    <row r="5054" spans="6:8">
      <c r="H5054" t="s">
        <v>20097</v>
      </c>
    </row>
    <row r="5055" spans="6:8">
      <c r="H5055" t="s">
        <v>20098</v>
      </c>
    </row>
    <row r="5056" spans="6:8">
      <c r="H5056" t="s">
        <v>20099</v>
      </c>
    </row>
    <row r="5057" spans="6:8">
      <c r="H5057" t="s">
        <v>20100</v>
      </c>
    </row>
    <row r="5058" spans="6:8">
      <c r="H5058" t="s">
        <v>20101</v>
      </c>
    </row>
    <row r="5059" spans="6:8">
      <c r="F5059" t="s">
        <v>11271</v>
      </c>
      <c r="G5059" t="s">
        <v>15248</v>
      </c>
      <c r="H5059" t="s">
        <v>20091</v>
      </c>
    </row>
    <row r="5060" spans="6:8">
      <c r="H5060" t="s">
        <v>19712</v>
      </c>
    </row>
    <row r="5061" spans="6:8">
      <c r="H5061" t="s">
        <v>19709</v>
      </c>
    </row>
    <row r="5062" spans="6:8">
      <c r="H5062" t="s">
        <v>20107</v>
      </c>
    </row>
    <row r="5063" spans="6:8">
      <c r="H5063" t="s">
        <v>20108</v>
      </c>
    </row>
    <row r="5064" spans="6:8">
      <c r="H5064" t="s">
        <v>19713</v>
      </c>
    </row>
    <row r="5065" spans="6:8">
      <c r="H5065" t="s">
        <v>20095</v>
      </c>
    </row>
    <row r="5066" spans="6:8">
      <c r="H5066" t="s">
        <v>20096</v>
      </c>
    </row>
    <row r="5067" spans="6:8">
      <c r="H5067" t="s">
        <v>20097</v>
      </c>
    </row>
    <row r="5068" spans="6:8">
      <c r="H5068" t="s">
        <v>20098</v>
      </c>
    </row>
    <row r="5069" spans="6:8">
      <c r="H5069" t="s">
        <v>20099</v>
      </c>
    </row>
    <row r="5070" spans="6:8">
      <c r="H5070" t="s">
        <v>20100</v>
      </c>
    </row>
    <row r="5071" spans="6:8">
      <c r="H5071" t="s">
        <v>20101</v>
      </c>
    </row>
    <row r="5072" spans="6:8">
      <c r="F5072" t="s">
        <v>11272</v>
      </c>
      <c r="G5072" t="s">
        <v>15249</v>
      </c>
      <c r="H5072" t="s">
        <v>20091</v>
      </c>
    </row>
    <row r="5073" spans="6:8">
      <c r="H5073" t="s">
        <v>19712</v>
      </c>
    </row>
    <row r="5074" spans="6:8">
      <c r="H5074" t="s">
        <v>19709</v>
      </c>
    </row>
    <row r="5075" spans="6:8">
      <c r="H5075" t="s">
        <v>19706</v>
      </c>
    </row>
    <row r="5076" spans="6:8">
      <c r="H5076" t="s">
        <v>20107</v>
      </c>
    </row>
    <row r="5077" spans="6:8">
      <c r="H5077" t="s">
        <v>20108</v>
      </c>
    </row>
    <row r="5078" spans="6:8">
      <c r="H5078" t="s">
        <v>19713</v>
      </c>
    </row>
    <row r="5079" spans="6:8">
      <c r="H5079" t="s">
        <v>19714</v>
      </c>
    </row>
    <row r="5080" spans="6:8">
      <c r="H5080" t="s">
        <v>20109</v>
      </c>
    </row>
    <row r="5081" spans="6:8">
      <c r="H5081" t="s">
        <v>20095</v>
      </c>
    </row>
    <row r="5082" spans="6:8">
      <c r="H5082" t="s">
        <v>20096</v>
      </c>
    </row>
    <row r="5083" spans="6:8">
      <c r="H5083" t="s">
        <v>20097</v>
      </c>
    </row>
    <row r="5084" spans="6:8">
      <c r="H5084" t="s">
        <v>20098</v>
      </c>
    </row>
    <row r="5085" spans="6:8">
      <c r="H5085" t="s">
        <v>20099</v>
      </c>
    </row>
    <row r="5086" spans="6:8">
      <c r="H5086" t="s">
        <v>20100</v>
      </c>
    </row>
    <row r="5087" spans="6:8">
      <c r="H5087" t="s">
        <v>20101</v>
      </c>
    </row>
    <row r="5088" spans="6:8">
      <c r="F5088" t="s">
        <v>11273</v>
      </c>
      <c r="G5088" t="s">
        <v>15250</v>
      </c>
      <c r="H5088" t="s">
        <v>20091</v>
      </c>
    </row>
    <row r="5089" spans="6:8">
      <c r="H5089" t="s">
        <v>19712</v>
      </c>
    </row>
    <row r="5090" spans="6:8">
      <c r="H5090" t="s">
        <v>19709</v>
      </c>
    </row>
    <row r="5091" spans="6:8">
      <c r="H5091" t="s">
        <v>20107</v>
      </c>
    </row>
    <row r="5092" spans="6:8">
      <c r="H5092" t="s">
        <v>20108</v>
      </c>
    </row>
    <row r="5093" spans="6:8">
      <c r="H5093" t="s">
        <v>19713</v>
      </c>
    </row>
    <row r="5094" spans="6:8">
      <c r="H5094" t="s">
        <v>20095</v>
      </c>
    </row>
    <row r="5095" spans="6:8">
      <c r="H5095" t="s">
        <v>20096</v>
      </c>
    </row>
    <row r="5096" spans="6:8">
      <c r="H5096" t="s">
        <v>20097</v>
      </c>
    </row>
    <row r="5097" spans="6:8">
      <c r="H5097" t="s">
        <v>20098</v>
      </c>
    </row>
    <row r="5098" spans="6:8">
      <c r="H5098" t="s">
        <v>20099</v>
      </c>
    </row>
    <row r="5099" spans="6:8">
      <c r="H5099" t="s">
        <v>20100</v>
      </c>
    </row>
    <row r="5100" spans="6:8">
      <c r="H5100" t="s">
        <v>20101</v>
      </c>
    </row>
    <row r="5101" spans="6:8">
      <c r="F5101" t="s">
        <v>11274</v>
      </c>
      <c r="G5101" t="s">
        <v>15251</v>
      </c>
      <c r="H5101" t="s">
        <v>20091</v>
      </c>
    </row>
    <row r="5102" spans="6:8">
      <c r="H5102" t="s">
        <v>19712</v>
      </c>
    </row>
    <row r="5103" spans="6:8">
      <c r="H5103" t="s">
        <v>19709</v>
      </c>
    </row>
    <row r="5104" spans="6:8">
      <c r="H5104" t="s">
        <v>19706</v>
      </c>
    </row>
    <row r="5105" spans="6:8">
      <c r="H5105" t="s">
        <v>19707</v>
      </c>
    </row>
    <row r="5106" spans="6:8">
      <c r="H5106" t="s">
        <v>19711</v>
      </c>
    </row>
    <row r="5107" spans="6:8">
      <c r="H5107" t="s">
        <v>19708</v>
      </c>
    </row>
    <row r="5108" spans="6:8">
      <c r="H5108" t="s">
        <v>20107</v>
      </c>
    </row>
    <row r="5109" spans="6:8">
      <c r="H5109" t="s">
        <v>20108</v>
      </c>
    </row>
    <row r="5110" spans="6:8">
      <c r="H5110" t="s">
        <v>19713</v>
      </c>
    </row>
    <row r="5111" spans="6:8">
      <c r="H5111" t="s">
        <v>19714</v>
      </c>
    </row>
    <row r="5112" spans="6:8">
      <c r="H5112" t="s">
        <v>20109</v>
      </c>
    </row>
    <row r="5113" spans="6:8">
      <c r="H5113" t="s">
        <v>20095</v>
      </c>
    </row>
    <row r="5114" spans="6:8">
      <c r="H5114" t="s">
        <v>20096</v>
      </c>
    </row>
    <row r="5115" spans="6:8">
      <c r="H5115" t="s">
        <v>20097</v>
      </c>
    </row>
    <row r="5116" spans="6:8">
      <c r="H5116" t="s">
        <v>20098</v>
      </c>
    </row>
    <row r="5117" spans="6:8">
      <c r="H5117" t="s">
        <v>20099</v>
      </c>
    </row>
    <row r="5118" spans="6:8">
      <c r="H5118" t="s">
        <v>20100</v>
      </c>
    </row>
    <row r="5119" spans="6:8">
      <c r="H5119" t="s">
        <v>20101</v>
      </c>
    </row>
    <row r="5120" spans="6:8">
      <c r="F5120" t="s">
        <v>11275</v>
      </c>
      <c r="G5120" t="s">
        <v>15252</v>
      </c>
      <c r="H5120" t="s">
        <v>20091</v>
      </c>
    </row>
    <row r="5121" spans="6:8">
      <c r="H5121" t="s">
        <v>19712</v>
      </c>
    </row>
    <row r="5122" spans="6:8">
      <c r="H5122" t="s">
        <v>19709</v>
      </c>
    </row>
    <row r="5123" spans="6:8">
      <c r="H5123" t="s">
        <v>19706</v>
      </c>
    </row>
    <row r="5124" spans="6:8">
      <c r="H5124" t="s">
        <v>20107</v>
      </c>
    </row>
    <row r="5125" spans="6:8">
      <c r="H5125" t="s">
        <v>20108</v>
      </c>
    </row>
    <row r="5126" spans="6:8">
      <c r="H5126" t="s">
        <v>19713</v>
      </c>
    </row>
    <row r="5127" spans="6:8">
      <c r="H5127" t="s">
        <v>19714</v>
      </c>
    </row>
    <row r="5128" spans="6:8">
      <c r="H5128" t="s">
        <v>20095</v>
      </c>
    </row>
    <row r="5129" spans="6:8">
      <c r="H5129" t="s">
        <v>20096</v>
      </c>
    </row>
    <row r="5130" spans="6:8">
      <c r="H5130" t="s">
        <v>20097</v>
      </c>
    </row>
    <row r="5131" spans="6:8">
      <c r="H5131" t="s">
        <v>20099</v>
      </c>
    </row>
    <row r="5132" spans="6:8">
      <c r="H5132" t="s">
        <v>20100</v>
      </c>
    </row>
    <row r="5133" spans="6:8">
      <c r="H5133" t="s">
        <v>20101</v>
      </c>
    </row>
    <row r="5134" spans="6:8">
      <c r="F5134" t="s">
        <v>11276</v>
      </c>
      <c r="G5134" t="s">
        <v>15602</v>
      </c>
      <c r="H5134" t="s">
        <v>20091</v>
      </c>
    </row>
    <row r="5135" spans="6:8">
      <c r="H5135" t="s">
        <v>19712</v>
      </c>
    </row>
    <row r="5136" spans="6:8">
      <c r="H5136" t="s">
        <v>19709</v>
      </c>
    </row>
    <row r="5137" spans="8:8">
      <c r="H5137" t="s">
        <v>20093</v>
      </c>
    </row>
    <row r="5138" spans="8:8">
      <c r="H5138" t="s">
        <v>20095</v>
      </c>
    </row>
    <row r="5139" spans="8:8">
      <c r="H5139" t="s">
        <v>20096</v>
      </c>
    </row>
    <row r="5140" spans="8:8">
      <c r="H5140" t="s">
        <v>20097</v>
      </c>
    </row>
    <row r="5141" spans="8:8">
      <c r="H5141" t="s">
        <v>20098</v>
      </c>
    </row>
    <row r="5142" spans="8:8">
      <c r="H5142" t="s">
        <v>20099</v>
      </c>
    </row>
    <row r="5143" spans="8:8">
      <c r="H5143" t="s">
        <v>20100</v>
      </c>
    </row>
    <row r="5144" spans="8:8">
      <c r="H5144" t="s">
        <v>20101</v>
      </c>
    </row>
    <row r="5145" spans="8:8">
      <c r="H5145" t="s">
        <v>20102</v>
      </c>
    </row>
    <row r="5146" spans="8:8">
      <c r="H5146" t="s">
        <v>20104</v>
      </c>
    </row>
    <row r="5147" spans="8:8">
      <c r="H5147" t="s">
        <v>20105</v>
      </c>
    </row>
    <row r="5148" spans="8:8">
      <c r="H5148" t="s">
        <v>20123</v>
      </c>
    </row>
    <row r="5149" spans="8:8">
      <c r="H5149" t="s">
        <v>20124</v>
      </c>
    </row>
    <row r="5150" spans="8:8">
      <c r="H5150" t="s">
        <v>20192</v>
      </c>
    </row>
    <row r="5151" spans="8:8">
      <c r="H5151" t="s">
        <v>20193</v>
      </c>
    </row>
    <row r="5152" spans="8:8">
      <c r="H5152" t="s">
        <v>20194</v>
      </c>
    </row>
    <row r="5153" spans="6:8">
      <c r="H5153" t="s">
        <v>19177</v>
      </c>
    </row>
    <row r="5154" spans="6:8">
      <c r="H5154" t="s">
        <v>20195</v>
      </c>
    </row>
    <row r="5155" spans="6:8">
      <c r="F5155" t="s">
        <v>11277</v>
      </c>
      <c r="G5155" t="s">
        <v>15603</v>
      </c>
      <c r="H5155" t="s">
        <v>20091</v>
      </c>
    </row>
    <row r="5156" spans="6:8">
      <c r="H5156" t="s">
        <v>19709</v>
      </c>
    </row>
    <row r="5157" spans="6:8">
      <c r="H5157" t="s">
        <v>20093</v>
      </c>
    </row>
    <row r="5158" spans="6:8">
      <c r="H5158" t="s">
        <v>20095</v>
      </c>
    </row>
    <row r="5159" spans="6:8">
      <c r="H5159" t="s">
        <v>20096</v>
      </c>
    </row>
    <row r="5160" spans="6:8">
      <c r="H5160" t="s">
        <v>20097</v>
      </c>
    </row>
    <row r="5161" spans="6:8">
      <c r="H5161" t="s">
        <v>20098</v>
      </c>
    </row>
    <row r="5162" spans="6:8">
      <c r="H5162" t="s">
        <v>20099</v>
      </c>
    </row>
    <row r="5163" spans="6:8">
      <c r="H5163" t="s">
        <v>20100</v>
      </c>
    </row>
    <row r="5164" spans="6:8">
      <c r="H5164" t="s">
        <v>20101</v>
      </c>
    </row>
    <row r="5165" spans="6:8">
      <c r="H5165" t="s">
        <v>20102</v>
      </c>
    </row>
    <row r="5166" spans="6:8">
      <c r="H5166" t="s">
        <v>20104</v>
      </c>
    </row>
    <row r="5167" spans="6:8">
      <c r="H5167" t="s">
        <v>20105</v>
      </c>
    </row>
    <row r="5168" spans="6:8">
      <c r="H5168" t="s">
        <v>20123</v>
      </c>
    </row>
    <row r="5169" spans="6:8">
      <c r="H5169" t="s">
        <v>20124</v>
      </c>
    </row>
    <row r="5170" spans="6:8">
      <c r="H5170" t="s">
        <v>20192</v>
      </c>
    </row>
    <row r="5171" spans="6:8">
      <c r="H5171" t="s">
        <v>20193</v>
      </c>
    </row>
    <row r="5172" spans="6:8">
      <c r="H5172" t="s">
        <v>20194</v>
      </c>
    </row>
    <row r="5173" spans="6:8">
      <c r="H5173" t="s">
        <v>19177</v>
      </c>
    </row>
    <row r="5174" spans="6:8">
      <c r="H5174" t="s">
        <v>20195</v>
      </c>
    </row>
    <row r="5175" spans="6:8">
      <c r="F5175" t="s">
        <v>11278</v>
      </c>
      <c r="G5175" t="s">
        <v>15604</v>
      </c>
      <c r="H5175" t="s">
        <v>20091</v>
      </c>
    </row>
    <row r="5176" spans="6:8">
      <c r="H5176" t="s">
        <v>19709</v>
      </c>
    </row>
    <row r="5177" spans="6:8">
      <c r="H5177" t="s">
        <v>20093</v>
      </c>
    </row>
    <row r="5178" spans="6:8">
      <c r="H5178" t="s">
        <v>20095</v>
      </c>
    </row>
    <row r="5179" spans="6:8">
      <c r="H5179" t="s">
        <v>20096</v>
      </c>
    </row>
    <row r="5180" spans="6:8">
      <c r="H5180" t="s">
        <v>20097</v>
      </c>
    </row>
    <row r="5181" spans="6:8">
      <c r="H5181" t="s">
        <v>20098</v>
      </c>
    </row>
    <row r="5182" spans="6:8">
      <c r="H5182" t="s">
        <v>20099</v>
      </c>
    </row>
    <row r="5183" spans="6:8">
      <c r="H5183" t="s">
        <v>20100</v>
      </c>
    </row>
    <row r="5184" spans="6:8">
      <c r="H5184" t="s">
        <v>20101</v>
      </c>
    </row>
    <row r="5185" spans="6:8">
      <c r="H5185" t="s">
        <v>20102</v>
      </c>
    </row>
    <row r="5186" spans="6:8">
      <c r="H5186" t="s">
        <v>20104</v>
      </c>
    </row>
    <row r="5187" spans="6:8">
      <c r="H5187" t="s">
        <v>20105</v>
      </c>
    </row>
    <row r="5188" spans="6:8">
      <c r="H5188" t="s">
        <v>20123</v>
      </c>
    </row>
    <row r="5189" spans="6:8">
      <c r="H5189" t="s">
        <v>20124</v>
      </c>
    </row>
    <row r="5190" spans="6:8">
      <c r="H5190" t="s">
        <v>20192</v>
      </c>
    </row>
    <row r="5191" spans="6:8">
      <c r="H5191" t="s">
        <v>20193</v>
      </c>
    </row>
    <row r="5192" spans="6:8">
      <c r="H5192" t="s">
        <v>20194</v>
      </c>
    </row>
    <row r="5193" spans="6:8">
      <c r="H5193" t="s">
        <v>19177</v>
      </c>
    </row>
    <row r="5194" spans="6:8">
      <c r="H5194" t="s">
        <v>20195</v>
      </c>
    </row>
    <row r="5195" spans="6:8">
      <c r="F5195" t="s">
        <v>11279</v>
      </c>
      <c r="G5195" t="s">
        <v>15605</v>
      </c>
      <c r="H5195" t="s">
        <v>20091</v>
      </c>
    </row>
    <row r="5196" spans="6:8">
      <c r="H5196" t="s">
        <v>19709</v>
      </c>
    </row>
    <row r="5197" spans="6:8">
      <c r="H5197" t="s">
        <v>20093</v>
      </c>
    </row>
    <row r="5198" spans="6:8">
      <c r="H5198" t="s">
        <v>20095</v>
      </c>
    </row>
    <row r="5199" spans="6:8">
      <c r="H5199" t="s">
        <v>20096</v>
      </c>
    </row>
    <row r="5200" spans="6:8">
      <c r="H5200" t="s">
        <v>20097</v>
      </c>
    </row>
    <row r="5201" spans="6:8">
      <c r="H5201" t="s">
        <v>20098</v>
      </c>
    </row>
    <row r="5202" spans="6:8">
      <c r="H5202" t="s">
        <v>20099</v>
      </c>
    </row>
    <row r="5203" spans="6:8">
      <c r="H5203" t="s">
        <v>20100</v>
      </c>
    </row>
    <row r="5204" spans="6:8">
      <c r="H5204" t="s">
        <v>20101</v>
      </c>
    </row>
    <row r="5205" spans="6:8">
      <c r="H5205" t="s">
        <v>20102</v>
      </c>
    </row>
    <row r="5206" spans="6:8">
      <c r="H5206" t="s">
        <v>20104</v>
      </c>
    </row>
    <row r="5207" spans="6:8">
      <c r="H5207" t="s">
        <v>20105</v>
      </c>
    </row>
    <row r="5208" spans="6:8">
      <c r="H5208" t="s">
        <v>20123</v>
      </c>
    </row>
    <row r="5209" spans="6:8">
      <c r="H5209" t="s">
        <v>20124</v>
      </c>
    </row>
    <row r="5210" spans="6:8">
      <c r="H5210" t="s">
        <v>20192</v>
      </c>
    </row>
    <row r="5211" spans="6:8">
      <c r="H5211" t="s">
        <v>20193</v>
      </c>
    </row>
    <row r="5212" spans="6:8">
      <c r="H5212" t="s">
        <v>20194</v>
      </c>
    </row>
    <row r="5213" spans="6:8">
      <c r="H5213" t="s">
        <v>19177</v>
      </c>
    </row>
    <row r="5214" spans="6:8">
      <c r="H5214" t="s">
        <v>20195</v>
      </c>
    </row>
    <row r="5215" spans="6:8">
      <c r="F5215" t="s">
        <v>11280</v>
      </c>
      <c r="G5215" t="s">
        <v>15606</v>
      </c>
      <c r="H5215" t="s">
        <v>20091</v>
      </c>
    </row>
    <row r="5216" spans="6:8">
      <c r="H5216" t="s">
        <v>19709</v>
      </c>
    </row>
    <row r="5217" spans="8:8">
      <c r="H5217" t="s">
        <v>20093</v>
      </c>
    </row>
    <row r="5218" spans="8:8">
      <c r="H5218" t="s">
        <v>20095</v>
      </c>
    </row>
    <row r="5219" spans="8:8">
      <c r="H5219" t="s">
        <v>20096</v>
      </c>
    </row>
    <row r="5220" spans="8:8">
      <c r="H5220" t="s">
        <v>20097</v>
      </c>
    </row>
    <row r="5221" spans="8:8">
      <c r="H5221" t="s">
        <v>20098</v>
      </c>
    </row>
    <row r="5222" spans="8:8">
      <c r="H5222" t="s">
        <v>20099</v>
      </c>
    </row>
    <row r="5223" spans="8:8">
      <c r="H5223" t="s">
        <v>20100</v>
      </c>
    </row>
    <row r="5224" spans="8:8">
      <c r="H5224" t="s">
        <v>20101</v>
      </c>
    </row>
    <row r="5225" spans="8:8">
      <c r="H5225" t="s">
        <v>20102</v>
      </c>
    </row>
    <row r="5226" spans="8:8">
      <c r="H5226" t="s">
        <v>20104</v>
      </c>
    </row>
    <row r="5227" spans="8:8">
      <c r="H5227" t="s">
        <v>20105</v>
      </c>
    </row>
    <row r="5228" spans="8:8">
      <c r="H5228" t="s">
        <v>20123</v>
      </c>
    </row>
    <row r="5229" spans="8:8">
      <c r="H5229" t="s">
        <v>20124</v>
      </c>
    </row>
    <row r="5230" spans="8:8">
      <c r="H5230" t="s">
        <v>20192</v>
      </c>
    </row>
    <row r="5231" spans="8:8">
      <c r="H5231" t="s">
        <v>20193</v>
      </c>
    </row>
    <row r="5232" spans="8:8">
      <c r="H5232" t="s">
        <v>20194</v>
      </c>
    </row>
    <row r="5233" spans="6:8">
      <c r="H5233" t="s">
        <v>19177</v>
      </c>
    </row>
    <row r="5234" spans="6:8">
      <c r="H5234" t="s">
        <v>20196</v>
      </c>
    </row>
    <row r="5235" spans="6:8">
      <c r="H5235" t="s">
        <v>20195</v>
      </c>
    </row>
    <row r="5236" spans="6:8">
      <c r="F5236" t="s">
        <v>11281</v>
      </c>
      <c r="G5236" t="s">
        <v>15607</v>
      </c>
      <c r="H5236" t="s">
        <v>20091</v>
      </c>
    </row>
    <row r="5237" spans="6:8">
      <c r="H5237" t="s">
        <v>19709</v>
      </c>
    </row>
    <row r="5238" spans="6:8">
      <c r="H5238" t="s">
        <v>20093</v>
      </c>
    </row>
    <row r="5239" spans="6:8">
      <c r="H5239" t="s">
        <v>20095</v>
      </c>
    </row>
    <row r="5240" spans="6:8">
      <c r="H5240" t="s">
        <v>20096</v>
      </c>
    </row>
    <row r="5241" spans="6:8">
      <c r="H5241" t="s">
        <v>20097</v>
      </c>
    </row>
    <row r="5242" spans="6:8">
      <c r="H5242" t="s">
        <v>20098</v>
      </c>
    </row>
    <row r="5243" spans="6:8">
      <c r="H5243" t="s">
        <v>20099</v>
      </c>
    </row>
    <row r="5244" spans="6:8">
      <c r="H5244" t="s">
        <v>20100</v>
      </c>
    </row>
    <row r="5245" spans="6:8">
      <c r="H5245" t="s">
        <v>20101</v>
      </c>
    </row>
    <row r="5246" spans="6:8">
      <c r="H5246" t="s">
        <v>20102</v>
      </c>
    </row>
    <row r="5247" spans="6:8">
      <c r="H5247" t="s">
        <v>20104</v>
      </c>
    </row>
    <row r="5248" spans="6:8">
      <c r="H5248" t="s">
        <v>20105</v>
      </c>
    </row>
    <row r="5249" spans="6:8">
      <c r="H5249" t="s">
        <v>20123</v>
      </c>
    </row>
    <row r="5250" spans="6:8">
      <c r="H5250" t="s">
        <v>20124</v>
      </c>
    </row>
    <row r="5251" spans="6:8">
      <c r="H5251" t="s">
        <v>20192</v>
      </c>
    </row>
    <row r="5252" spans="6:8">
      <c r="H5252" t="s">
        <v>20193</v>
      </c>
    </row>
    <row r="5253" spans="6:8">
      <c r="H5253" t="s">
        <v>20194</v>
      </c>
    </row>
    <row r="5254" spans="6:8">
      <c r="H5254" t="s">
        <v>19177</v>
      </c>
    </row>
    <row r="5255" spans="6:8">
      <c r="H5255" t="s">
        <v>20195</v>
      </c>
    </row>
    <row r="5256" spans="6:8">
      <c r="F5256" t="s">
        <v>11282</v>
      </c>
      <c r="G5256" t="s">
        <v>15608</v>
      </c>
      <c r="H5256" t="s">
        <v>20091</v>
      </c>
    </row>
    <row r="5257" spans="6:8">
      <c r="H5257" t="s">
        <v>19712</v>
      </c>
    </row>
    <row r="5258" spans="6:8">
      <c r="H5258" t="s">
        <v>19709</v>
      </c>
    </row>
    <row r="5259" spans="6:8">
      <c r="H5259" t="s">
        <v>20093</v>
      </c>
    </row>
    <row r="5260" spans="6:8">
      <c r="H5260" t="s">
        <v>20095</v>
      </c>
    </row>
    <row r="5261" spans="6:8">
      <c r="H5261" t="s">
        <v>20096</v>
      </c>
    </row>
    <row r="5262" spans="6:8">
      <c r="H5262" t="s">
        <v>20097</v>
      </c>
    </row>
    <row r="5263" spans="6:8">
      <c r="H5263" t="s">
        <v>20098</v>
      </c>
    </row>
    <row r="5264" spans="6:8">
      <c r="H5264" t="s">
        <v>20099</v>
      </c>
    </row>
    <row r="5265" spans="6:8">
      <c r="H5265" t="s">
        <v>20100</v>
      </c>
    </row>
    <row r="5266" spans="6:8">
      <c r="H5266" t="s">
        <v>20101</v>
      </c>
    </row>
    <row r="5267" spans="6:8">
      <c r="H5267" t="s">
        <v>20102</v>
      </c>
    </row>
    <row r="5268" spans="6:8">
      <c r="H5268" t="s">
        <v>20104</v>
      </c>
    </row>
    <row r="5269" spans="6:8">
      <c r="H5269" t="s">
        <v>20105</v>
      </c>
    </row>
    <row r="5270" spans="6:8">
      <c r="H5270" t="s">
        <v>20123</v>
      </c>
    </row>
    <row r="5271" spans="6:8">
      <c r="H5271" t="s">
        <v>20124</v>
      </c>
    </row>
    <row r="5272" spans="6:8">
      <c r="H5272" t="s">
        <v>20192</v>
      </c>
    </row>
    <row r="5273" spans="6:8">
      <c r="H5273" t="s">
        <v>20193</v>
      </c>
    </row>
    <row r="5274" spans="6:8">
      <c r="H5274" t="s">
        <v>20194</v>
      </c>
    </row>
    <row r="5275" spans="6:8">
      <c r="H5275" t="s">
        <v>19177</v>
      </c>
    </row>
    <row r="5276" spans="6:8">
      <c r="H5276" t="s">
        <v>20195</v>
      </c>
    </row>
    <row r="5277" spans="6:8">
      <c r="F5277" t="s">
        <v>11283</v>
      </c>
      <c r="G5277" t="s">
        <v>15609</v>
      </c>
      <c r="H5277" t="s">
        <v>20091</v>
      </c>
    </row>
    <row r="5278" spans="6:8">
      <c r="H5278" t="s">
        <v>19712</v>
      </c>
    </row>
    <row r="5279" spans="6:8">
      <c r="H5279" t="s">
        <v>19706</v>
      </c>
    </row>
    <row r="5280" spans="6:8">
      <c r="H5280" t="s">
        <v>20092</v>
      </c>
    </row>
    <row r="5281" spans="6:8">
      <c r="H5281" t="s">
        <v>20093</v>
      </c>
    </row>
    <row r="5282" spans="6:8">
      <c r="H5282" t="s">
        <v>20094</v>
      </c>
    </row>
    <row r="5283" spans="6:8">
      <c r="H5283" t="s">
        <v>20095</v>
      </c>
    </row>
    <row r="5284" spans="6:8">
      <c r="H5284" t="s">
        <v>20096</v>
      </c>
    </row>
    <row r="5285" spans="6:8">
      <c r="H5285" t="s">
        <v>20097</v>
      </c>
    </row>
    <row r="5286" spans="6:8">
      <c r="H5286" t="s">
        <v>20098</v>
      </c>
    </row>
    <row r="5287" spans="6:8">
      <c r="F5287" t="s">
        <v>11284</v>
      </c>
      <c r="G5287" t="s">
        <v>15253</v>
      </c>
      <c r="H5287" t="s">
        <v>20091</v>
      </c>
    </row>
    <row r="5288" spans="6:8">
      <c r="H5288" t="s">
        <v>19712</v>
      </c>
    </row>
    <row r="5289" spans="6:8">
      <c r="H5289" t="s">
        <v>19709</v>
      </c>
    </row>
    <row r="5290" spans="6:8">
      <c r="H5290" t="s">
        <v>19706</v>
      </c>
    </row>
    <row r="5291" spans="6:8">
      <c r="H5291" t="s">
        <v>19707</v>
      </c>
    </row>
    <row r="5292" spans="6:8">
      <c r="H5292" t="s">
        <v>19711</v>
      </c>
    </row>
    <row r="5293" spans="6:8">
      <c r="H5293" t="s">
        <v>19708</v>
      </c>
    </row>
    <row r="5294" spans="6:8">
      <c r="H5294" t="s">
        <v>20107</v>
      </c>
    </row>
    <row r="5295" spans="6:8">
      <c r="H5295" t="s">
        <v>20108</v>
      </c>
    </row>
    <row r="5296" spans="6:8">
      <c r="H5296" t="s">
        <v>19713</v>
      </c>
    </row>
    <row r="5297" spans="6:8">
      <c r="H5297" t="s">
        <v>19714</v>
      </c>
    </row>
    <row r="5298" spans="6:8">
      <c r="H5298" t="s">
        <v>20109</v>
      </c>
    </row>
    <row r="5299" spans="6:8">
      <c r="H5299" t="s">
        <v>20110</v>
      </c>
    </row>
    <row r="5300" spans="6:8">
      <c r="H5300" t="s">
        <v>20111</v>
      </c>
    </row>
    <row r="5301" spans="6:8">
      <c r="H5301" t="s">
        <v>20095</v>
      </c>
    </row>
    <row r="5302" spans="6:8">
      <c r="H5302" t="s">
        <v>20096</v>
      </c>
    </row>
    <row r="5303" spans="6:8">
      <c r="H5303" t="s">
        <v>20097</v>
      </c>
    </row>
    <row r="5304" spans="6:8">
      <c r="H5304" t="s">
        <v>20098</v>
      </c>
    </row>
    <row r="5305" spans="6:8">
      <c r="F5305" t="s">
        <v>11285</v>
      </c>
      <c r="G5305" t="s">
        <v>15254</v>
      </c>
      <c r="H5305" t="s">
        <v>20091</v>
      </c>
    </row>
    <row r="5306" spans="6:8">
      <c r="H5306" t="s">
        <v>19712</v>
      </c>
    </row>
    <row r="5307" spans="6:8">
      <c r="H5307" t="s">
        <v>19709</v>
      </c>
    </row>
    <row r="5308" spans="6:8">
      <c r="H5308" t="s">
        <v>19706</v>
      </c>
    </row>
    <row r="5309" spans="6:8">
      <c r="H5309" t="s">
        <v>19707</v>
      </c>
    </row>
    <row r="5310" spans="6:8">
      <c r="H5310" t="s">
        <v>20107</v>
      </c>
    </row>
    <row r="5311" spans="6:8">
      <c r="H5311" t="s">
        <v>20108</v>
      </c>
    </row>
    <row r="5312" spans="6:8">
      <c r="H5312" t="s">
        <v>19713</v>
      </c>
    </row>
    <row r="5313" spans="6:8">
      <c r="H5313" t="s">
        <v>19714</v>
      </c>
    </row>
    <row r="5314" spans="6:8">
      <c r="H5314" t="s">
        <v>20096</v>
      </c>
    </row>
    <row r="5315" spans="6:8">
      <c r="H5315" t="s">
        <v>20097</v>
      </c>
    </row>
    <row r="5316" spans="6:8">
      <c r="H5316" t="s">
        <v>20098</v>
      </c>
    </row>
    <row r="5317" spans="6:8">
      <c r="H5317" t="s">
        <v>20099</v>
      </c>
    </row>
    <row r="5318" spans="6:8">
      <c r="F5318" t="s">
        <v>11286</v>
      </c>
      <c r="G5318" t="s">
        <v>15255</v>
      </c>
      <c r="H5318" t="s">
        <v>20091</v>
      </c>
    </row>
    <row r="5319" spans="6:8">
      <c r="H5319" t="s">
        <v>19712</v>
      </c>
    </row>
    <row r="5320" spans="6:8">
      <c r="H5320" t="s">
        <v>19709</v>
      </c>
    </row>
    <row r="5321" spans="6:8">
      <c r="H5321" t="s">
        <v>19710</v>
      </c>
    </row>
    <row r="5322" spans="6:8">
      <c r="H5322" t="s">
        <v>20107</v>
      </c>
    </row>
    <row r="5323" spans="6:8">
      <c r="H5323" t="s">
        <v>20108</v>
      </c>
    </row>
    <row r="5324" spans="6:8">
      <c r="H5324" t="s">
        <v>19713</v>
      </c>
    </row>
    <row r="5325" spans="6:8">
      <c r="H5325" t="s">
        <v>20095</v>
      </c>
    </row>
    <row r="5326" spans="6:8">
      <c r="H5326" t="s">
        <v>20096</v>
      </c>
    </row>
    <row r="5327" spans="6:8">
      <c r="H5327" t="s">
        <v>20097</v>
      </c>
    </row>
    <row r="5328" spans="6:8">
      <c r="H5328" t="s">
        <v>20098</v>
      </c>
    </row>
    <row r="5329" spans="6:8">
      <c r="F5329" t="s">
        <v>11287</v>
      </c>
      <c r="G5329" t="s">
        <v>15256</v>
      </c>
      <c r="H5329" t="s">
        <v>20091</v>
      </c>
    </row>
    <row r="5330" spans="6:8">
      <c r="H5330" t="s">
        <v>19712</v>
      </c>
    </row>
    <row r="5331" spans="6:8">
      <c r="H5331" t="s">
        <v>19709</v>
      </c>
    </row>
    <row r="5332" spans="6:8">
      <c r="H5332" t="s">
        <v>19706</v>
      </c>
    </row>
    <row r="5333" spans="6:8">
      <c r="H5333" t="s">
        <v>19707</v>
      </c>
    </row>
    <row r="5334" spans="6:8">
      <c r="H5334" t="s">
        <v>20107</v>
      </c>
    </row>
    <row r="5335" spans="6:8">
      <c r="H5335" t="s">
        <v>20108</v>
      </c>
    </row>
    <row r="5336" spans="6:8">
      <c r="H5336" t="s">
        <v>19713</v>
      </c>
    </row>
    <row r="5337" spans="6:8">
      <c r="H5337" t="s">
        <v>20095</v>
      </c>
    </row>
    <row r="5338" spans="6:8">
      <c r="H5338" t="s">
        <v>20096</v>
      </c>
    </row>
    <row r="5339" spans="6:8">
      <c r="H5339" t="s">
        <v>20097</v>
      </c>
    </row>
    <row r="5340" spans="6:8">
      <c r="H5340" t="s">
        <v>20098</v>
      </c>
    </row>
    <row r="5341" spans="6:8">
      <c r="F5341" t="s">
        <v>11288</v>
      </c>
      <c r="G5341" t="s">
        <v>15257</v>
      </c>
      <c r="H5341" t="s">
        <v>20091</v>
      </c>
    </row>
    <row r="5342" spans="6:8">
      <c r="H5342" t="s">
        <v>19712</v>
      </c>
    </row>
    <row r="5343" spans="6:8">
      <c r="H5343" t="s">
        <v>19709</v>
      </c>
    </row>
    <row r="5344" spans="6:8">
      <c r="H5344" t="s">
        <v>19710</v>
      </c>
    </row>
    <row r="5345" spans="6:8">
      <c r="H5345" t="s">
        <v>20107</v>
      </c>
    </row>
    <row r="5346" spans="6:8">
      <c r="H5346" t="s">
        <v>20108</v>
      </c>
    </row>
    <row r="5347" spans="6:8">
      <c r="H5347" t="s">
        <v>19713</v>
      </c>
    </row>
    <row r="5348" spans="6:8">
      <c r="H5348" t="s">
        <v>20095</v>
      </c>
    </row>
    <row r="5349" spans="6:8">
      <c r="H5349" t="s">
        <v>20096</v>
      </c>
    </row>
    <row r="5350" spans="6:8">
      <c r="H5350" t="s">
        <v>20097</v>
      </c>
    </row>
    <row r="5351" spans="6:8">
      <c r="H5351" t="s">
        <v>20098</v>
      </c>
    </row>
    <row r="5352" spans="6:8">
      <c r="H5352" t="s">
        <v>20099</v>
      </c>
    </row>
    <row r="5353" spans="6:8">
      <c r="F5353" t="s">
        <v>11289</v>
      </c>
      <c r="G5353" t="s">
        <v>15258</v>
      </c>
      <c r="H5353" t="s">
        <v>20091</v>
      </c>
    </row>
    <row r="5354" spans="6:8">
      <c r="H5354" t="s">
        <v>19712</v>
      </c>
    </row>
    <row r="5355" spans="6:8">
      <c r="H5355" t="s">
        <v>19709</v>
      </c>
    </row>
    <row r="5356" spans="6:8">
      <c r="H5356" t="s">
        <v>19706</v>
      </c>
    </row>
    <row r="5357" spans="6:8">
      <c r="H5357" t="s">
        <v>19707</v>
      </c>
    </row>
    <row r="5358" spans="6:8">
      <c r="H5358" t="s">
        <v>19711</v>
      </c>
    </row>
    <row r="5359" spans="6:8">
      <c r="H5359" t="s">
        <v>19708</v>
      </c>
    </row>
    <row r="5360" spans="6:8">
      <c r="H5360" t="s">
        <v>19710</v>
      </c>
    </row>
    <row r="5361" spans="6:8">
      <c r="H5361" t="s">
        <v>20107</v>
      </c>
    </row>
    <row r="5362" spans="6:8">
      <c r="H5362" t="s">
        <v>20108</v>
      </c>
    </row>
    <row r="5363" spans="6:8">
      <c r="H5363" t="s">
        <v>19713</v>
      </c>
    </row>
    <row r="5364" spans="6:8">
      <c r="H5364" t="s">
        <v>20095</v>
      </c>
    </row>
    <row r="5365" spans="6:8">
      <c r="H5365" t="s">
        <v>20096</v>
      </c>
    </row>
    <row r="5366" spans="6:8">
      <c r="H5366" t="s">
        <v>20097</v>
      </c>
    </row>
    <row r="5367" spans="6:8">
      <c r="H5367" t="s">
        <v>20098</v>
      </c>
    </row>
    <row r="5368" spans="6:8">
      <c r="F5368" t="s">
        <v>11290</v>
      </c>
      <c r="G5368" t="s">
        <v>15610</v>
      </c>
      <c r="H5368" t="s">
        <v>19712</v>
      </c>
    </row>
    <row r="5369" spans="6:8">
      <c r="H5369" t="s">
        <v>19708</v>
      </c>
    </row>
    <row r="5370" spans="6:8">
      <c r="H5370" t="s">
        <v>20094</v>
      </c>
    </row>
    <row r="5371" spans="6:8">
      <c r="H5371" t="s">
        <v>20116</v>
      </c>
    </row>
    <row r="5372" spans="6:8">
      <c r="H5372" t="s">
        <v>20095</v>
      </c>
    </row>
    <row r="5373" spans="6:8">
      <c r="H5373" t="s">
        <v>20097</v>
      </c>
    </row>
    <row r="5374" spans="6:8">
      <c r="H5374" t="s">
        <v>20098</v>
      </c>
    </row>
    <row r="5375" spans="6:8">
      <c r="H5375" t="s">
        <v>20099</v>
      </c>
    </row>
    <row r="5376" spans="6:8">
      <c r="H5376" t="s">
        <v>20100</v>
      </c>
    </row>
    <row r="5377" spans="6:8">
      <c r="H5377" t="s">
        <v>20102</v>
      </c>
    </row>
    <row r="5378" spans="6:8">
      <c r="H5378" t="s">
        <v>20104</v>
      </c>
    </row>
    <row r="5379" spans="6:8">
      <c r="H5379" t="s">
        <v>20105</v>
      </c>
    </row>
    <row r="5380" spans="6:8">
      <c r="H5380" t="s">
        <v>20123</v>
      </c>
    </row>
    <row r="5381" spans="6:8">
      <c r="H5381" t="s">
        <v>20124</v>
      </c>
    </row>
    <row r="5382" spans="6:8">
      <c r="H5382" t="s">
        <v>20192</v>
      </c>
    </row>
    <row r="5383" spans="6:8">
      <c r="H5383" t="s">
        <v>20193</v>
      </c>
    </row>
    <row r="5384" spans="6:8">
      <c r="H5384" t="s">
        <v>20194</v>
      </c>
    </row>
    <row r="5385" spans="6:8">
      <c r="H5385" t="s">
        <v>19177</v>
      </c>
    </row>
    <row r="5386" spans="6:8">
      <c r="H5386" t="s">
        <v>20196</v>
      </c>
    </row>
    <row r="5387" spans="6:8">
      <c r="H5387" t="s">
        <v>20197</v>
      </c>
    </row>
    <row r="5388" spans="6:8">
      <c r="H5388" t="s">
        <v>20198</v>
      </c>
    </row>
    <row r="5389" spans="6:8">
      <c r="H5389" t="s">
        <v>20199</v>
      </c>
    </row>
    <row r="5390" spans="6:8">
      <c r="H5390" t="s">
        <v>20200</v>
      </c>
    </row>
    <row r="5391" spans="6:8">
      <c r="F5391" t="s">
        <v>11291</v>
      </c>
      <c r="G5391" t="s">
        <v>15611</v>
      </c>
      <c r="H5391" t="s">
        <v>19712</v>
      </c>
    </row>
    <row r="5392" spans="6:8">
      <c r="H5392" t="s">
        <v>19708</v>
      </c>
    </row>
    <row r="5393" spans="8:8">
      <c r="H5393" t="s">
        <v>20094</v>
      </c>
    </row>
    <row r="5394" spans="8:8">
      <c r="H5394" t="s">
        <v>20116</v>
      </c>
    </row>
    <row r="5395" spans="8:8">
      <c r="H5395" t="s">
        <v>20095</v>
      </c>
    </row>
    <row r="5396" spans="8:8">
      <c r="H5396" t="s">
        <v>20097</v>
      </c>
    </row>
    <row r="5397" spans="8:8">
      <c r="H5397" t="s">
        <v>20098</v>
      </c>
    </row>
    <row r="5398" spans="8:8">
      <c r="H5398" t="s">
        <v>20099</v>
      </c>
    </row>
    <row r="5399" spans="8:8">
      <c r="H5399" t="s">
        <v>20100</v>
      </c>
    </row>
    <row r="5400" spans="8:8">
      <c r="H5400" t="s">
        <v>20102</v>
      </c>
    </row>
    <row r="5401" spans="8:8">
      <c r="H5401" t="s">
        <v>20104</v>
      </c>
    </row>
    <row r="5402" spans="8:8">
      <c r="H5402" t="s">
        <v>20105</v>
      </c>
    </row>
    <row r="5403" spans="8:8">
      <c r="H5403" t="s">
        <v>20123</v>
      </c>
    </row>
    <row r="5404" spans="8:8">
      <c r="H5404" t="s">
        <v>20124</v>
      </c>
    </row>
    <row r="5405" spans="8:8">
      <c r="H5405" t="s">
        <v>20192</v>
      </c>
    </row>
    <row r="5406" spans="8:8">
      <c r="H5406" t="s">
        <v>20193</v>
      </c>
    </row>
    <row r="5407" spans="8:8">
      <c r="H5407" t="s">
        <v>20194</v>
      </c>
    </row>
    <row r="5408" spans="8:8">
      <c r="H5408" t="s">
        <v>19177</v>
      </c>
    </row>
    <row r="5409" spans="6:8">
      <c r="H5409" t="s">
        <v>20196</v>
      </c>
    </row>
    <row r="5410" spans="6:8">
      <c r="H5410" t="s">
        <v>20197</v>
      </c>
    </row>
    <row r="5411" spans="6:8">
      <c r="H5411" t="s">
        <v>20198</v>
      </c>
    </row>
    <row r="5412" spans="6:8">
      <c r="H5412" t="s">
        <v>20199</v>
      </c>
    </row>
    <row r="5413" spans="6:8">
      <c r="H5413" t="s">
        <v>20200</v>
      </c>
    </row>
    <row r="5414" spans="6:8">
      <c r="F5414" t="s">
        <v>10705</v>
      </c>
      <c r="G5414" t="s">
        <v>15105</v>
      </c>
      <c r="H5414" t="s">
        <v>20091</v>
      </c>
    </row>
    <row r="5415" spans="6:8">
      <c r="H5415" t="s">
        <v>19712</v>
      </c>
    </row>
    <row r="5416" spans="6:8">
      <c r="H5416" t="s">
        <v>20094</v>
      </c>
    </row>
    <row r="5417" spans="6:8">
      <c r="H5417" t="s">
        <v>20103</v>
      </c>
    </row>
    <row r="5418" spans="6:8">
      <c r="H5418" t="s">
        <v>20116</v>
      </c>
    </row>
    <row r="5419" spans="6:8">
      <c r="H5419" t="s">
        <v>20117</v>
      </c>
    </row>
    <row r="5420" spans="6:8">
      <c r="H5420" t="s">
        <v>20095</v>
      </c>
    </row>
    <row r="5421" spans="6:8">
      <c r="H5421" t="s">
        <v>20096</v>
      </c>
    </row>
    <row r="5422" spans="6:8">
      <c r="H5422" t="s">
        <v>20099</v>
      </c>
    </row>
    <row r="5423" spans="6:8">
      <c r="H5423" t="s">
        <v>20100</v>
      </c>
    </row>
    <row r="5424" spans="6:8">
      <c r="H5424" t="s">
        <v>20104</v>
      </c>
    </row>
    <row r="5425" spans="6:8">
      <c r="H5425" t="s">
        <v>20105</v>
      </c>
    </row>
    <row r="5426" spans="6:8">
      <c r="H5426" t="s">
        <v>20123</v>
      </c>
    </row>
    <row r="5427" spans="6:8">
      <c r="H5427" t="s">
        <v>20124</v>
      </c>
    </row>
    <row r="5428" spans="6:8">
      <c r="H5428" t="s">
        <v>20192</v>
      </c>
    </row>
    <row r="5429" spans="6:8">
      <c r="H5429" t="s">
        <v>20193</v>
      </c>
    </row>
    <row r="5430" spans="6:8">
      <c r="H5430" t="s">
        <v>20194</v>
      </c>
    </row>
    <row r="5431" spans="6:8">
      <c r="H5431" t="s">
        <v>20200</v>
      </c>
    </row>
    <row r="5432" spans="6:8">
      <c r="F5432" t="s">
        <v>10706</v>
      </c>
      <c r="G5432" t="s">
        <v>15106</v>
      </c>
      <c r="H5432" t="s">
        <v>20091</v>
      </c>
    </row>
    <row r="5433" spans="6:8">
      <c r="H5433" t="s">
        <v>19712</v>
      </c>
    </row>
    <row r="5434" spans="6:8">
      <c r="H5434" t="s">
        <v>20094</v>
      </c>
    </row>
    <row r="5435" spans="6:8">
      <c r="H5435" t="s">
        <v>20103</v>
      </c>
    </row>
    <row r="5436" spans="6:8">
      <c r="H5436" t="s">
        <v>20116</v>
      </c>
    </row>
    <row r="5437" spans="6:8">
      <c r="H5437" t="s">
        <v>20117</v>
      </c>
    </row>
    <row r="5438" spans="6:8">
      <c r="H5438" t="s">
        <v>20095</v>
      </c>
    </row>
    <row r="5439" spans="6:8">
      <c r="H5439" t="s">
        <v>20096</v>
      </c>
    </row>
    <row r="5440" spans="6:8">
      <c r="H5440" t="s">
        <v>20099</v>
      </c>
    </row>
    <row r="5441" spans="6:8">
      <c r="H5441" t="s">
        <v>20100</v>
      </c>
    </row>
    <row r="5442" spans="6:8">
      <c r="H5442" t="s">
        <v>20104</v>
      </c>
    </row>
    <row r="5443" spans="6:8">
      <c r="H5443" t="s">
        <v>20105</v>
      </c>
    </row>
    <row r="5444" spans="6:8">
      <c r="H5444" t="s">
        <v>20123</v>
      </c>
    </row>
    <row r="5445" spans="6:8">
      <c r="H5445" t="s">
        <v>20124</v>
      </c>
    </row>
    <row r="5446" spans="6:8">
      <c r="H5446" t="s">
        <v>20192</v>
      </c>
    </row>
    <row r="5447" spans="6:8">
      <c r="H5447" t="s">
        <v>20193</v>
      </c>
    </row>
    <row r="5448" spans="6:8">
      <c r="H5448" t="s">
        <v>20194</v>
      </c>
    </row>
    <row r="5449" spans="6:8">
      <c r="H5449" t="s">
        <v>20200</v>
      </c>
    </row>
    <row r="5450" spans="6:8">
      <c r="F5450" t="s">
        <v>11292</v>
      </c>
      <c r="G5450" t="s">
        <v>15485</v>
      </c>
      <c r="H5450" t="s">
        <v>20126</v>
      </c>
    </row>
    <row r="5451" spans="6:8">
      <c r="H5451" t="s">
        <v>20127</v>
      </c>
    </row>
    <row r="5452" spans="6:8">
      <c r="H5452" t="s">
        <v>20128</v>
      </c>
    </row>
    <row r="5453" spans="6:8">
      <c r="H5453" t="s">
        <v>20201</v>
      </c>
    </row>
    <row r="5454" spans="6:8">
      <c r="H5454" t="s">
        <v>20130</v>
      </c>
    </row>
    <row r="5455" spans="6:8">
      <c r="F5455" t="s">
        <v>11293</v>
      </c>
      <c r="G5455" t="s">
        <v>15612</v>
      </c>
      <c r="H5455" t="s">
        <v>20091</v>
      </c>
    </row>
    <row r="5456" spans="6:8">
      <c r="H5456" t="s">
        <v>19712</v>
      </c>
    </row>
    <row r="5457" spans="8:8">
      <c r="H5457" t="s">
        <v>19709</v>
      </c>
    </row>
    <row r="5458" spans="8:8">
      <c r="H5458" t="s">
        <v>19707</v>
      </c>
    </row>
    <row r="5459" spans="8:8">
      <c r="H5459" t="s">
        <v>19711</v>
      </c>
    </row>
    <row r="5460" spans="8:8">
      <c r="H5460" t="s">
        <v>20093</v>
      </c>
    </row>
    <row r="5461" spans="8:8">
      <c r="H5461" t="s">
        <v>20118</v>
      </c>
    </row>
    <row r="5462" spans="8:8">
      <c r="H5462" t="s">
        <v>20095</v>
      </c>
    </row>
    <row r="5463" spans="8:8">
      <c r="H5463" t="s">
        <v>20097</v>
      </c>
    </row>
    <row r="5464" spans="8:8">
      <c r="H5464" t="s">
        <v>20098</v>
      </c>
    </row>
    <row r="5465" spans="8:8">
      <c r="H5465" t="s">
        <v>20099</v>
      </c>
    </row>
    <row r="5466" spans="8:8">
      <c r="H5466" t="s">
        <v>20100</v>
      </c>
    </row>
    <row r="5467" spans="8:8">
      <c r="H5467" t="s">
        <v>20101</v>
      </c>
    </row>
    <row r="5468" spans="8:8">
      <c r="H5468" t="s">
        <v>20102</v>
      </c>
    </row>
    <row r="5469" spans="8:8">
      <c r="H5469" t="s">
        <v>20104</v>
      </c>
    </row>
    <row r="5470" spans="8:8">
      <c r="H5470" t="s">
        <v>20105</v>
      </c>
    </row>
    <row r="5471" spans="8:8">
      <c r="H5471" t="s">
        <v>20124</v>
      </c>
    </row>
    <row r="5472" spans="8:8">
      <c r="H5472" t="s">
        <v>20192</v>
      </c>
    </row>
    <row r="5473" spans="6:8">
      <c r="H5473" t="s">
        <v>20197</v>
      </c>
    </row>
    <row r="5474" spans="6:8">
      <c r="F5474" t="s">
        <v>11294</v>
      </c>
      <c r="G5474" t="s">
        <v>15485</v>
      </c>
      <c r="H5474" t="s">
        <v>20126</v>
      </c>
    </row>
    <row r="5475" spans="6:8">
      <c r="H5475" t="s">
        <v>20127</v>
      </c>
    </row>
    <row r="5476" spans="6:8">
      <c r="H5476" t="s">
        <v>20128</v>
      </c>
    </row>
    <row r="5477" spans="6:8">
      <c r="H5477" t="s">
        <v>20201</v>
      </c>
    </row>
    <row r="5478" spans="6:8">
      <c r="H5478" t="s">
        <v>20130</v>
      </c>
    </row>
    <row r="5479" spans="6:8">
      <c r="F5479" t="s">
        <v>11295</v>
      </c>
      <c r="G5479" t="s">
        <v>15613</v>
      </c>
      <c r="H5479" t="s">
        <v>20091</v>
      </c>
    </row>
    <row r="5480" spans="6:8">
      <c r="H5480" t="s">
        <v>19712</v>
      </c>
    </row>
    <row r="5481" spans="6:8">
      <c r="H5481" t="s">
        <v>19709</v>
      </c>
    </row>
    <row r="5482" spans="6:8">
      <c r="H5482" t="s">
        <v>19707</v>
      </c>
    </row>
    <row r="5483" spans="6:8">
      <c r="H5483" t="s">
        <v>19711</v>
      </c>
    </row>
    <row r="5484" spans="6:8">
      <c r="H5484" t="s">
        <v>20093</v>
      </c>
    </row>
    <row r="5485" spans="6:8">
      <c r="H5485" t="s">
        <v>20118</v>
      </c>
    </row>
    <row r="5486" spans="6:8">
      <c r="H5486" t="s">
        <v>20095</v>
      </c>
    </row>
    <row r="5487" spans="6:8">
      <c r="H5487" t="s">
        <v>20097</v>
      </c>
    </row>
    <row r="5488" spans="6:8">
      <c r="H5488" t="s">
        <v>20098</v>
      </c>
    </row>
    <row r="5489" spans="6:8">
      <c r="H5489" t="s">
        <v>20099</v>
      </c>
    </row>
    <row r="5490" spans="6:8">
      <c r="H5490" t="s">
        <v>20100</v>
      </c>
    </row>
    <row r="5491" spans="6:8">
      <c r="H5491" t="s">
        <v>20101</v>
      </c>
    </row>
    <row r="5492" spans="6:8">
      <c r="H5492" t="s">
        <v>20102</v>
      </c>
    </row>
    <row r="5493" spans="6:8">
      <c r="H5493" t="s">
        <v>20104</v>
      </c>
    </row>
    <row r="5494" spans="6:8">
      <c r="H5494" t="s">
        <v>20105</v>
      </c>
    </row>
    <row r="5495" spans="6:8">
      <c r="H5495" t="s">
        <v>20124</v>
      </c>
    </row>
    <row r="5496" spans="6:8">
      <c r="H5496" t="s">
        <v>20192</v>
      </c>
    </row>
    <row r="5497" spans="6:8">
      <c r="H5497" t="s">
        <v>20197</v>
      </c>
    </row>
    <row r="5498" spans="6:8">
      <c r="F5498" t="s">
        <v>11296</v>
      </c>
      <c r="G5498" t="s">
        <v>15104</v>
      </c>
      <c r="H5498" t="s">
        <v>20125</v>
      </c>
    </row>
    <row r="5499" spans="6:8">
      <c r="H5499" t="s">
        <v>20202</v>
      </c>
    </row>
    <row r="5500" spans="6:8">
      <c r="F5500" t="s">
        <v>10708</v>
      </c>
      <c r="G5500" t="s">
        <v>15107</v>
      </c>
      <c r="H5500" t="s">
        <v>20091</v>
      </c>
    </row>
    <row r="5501" spans="6:8">
      <c r="H5501" t="s">
        <v>19709</v>
      </c>
    </row>
    <row r="5502" spans="6:8">
      <c r="H5502" t="s">
        <v>19707</v>
      </c>
    </row>
    <row r="5503" spans="6:8">
      <c r="H5503" t="s">
        <v>19711</v>
      </c>
    </row>
    <row r="5504" spans="6:8">
      <c r="H5504" t="s">
        <v>20092</v>
      </c>
    </row>
    <row r="5505" spans="8:8">
      <c r="H5505" t="s">
        <v>20093</v>
      </c>
    </row>
    <row r="5506" spans="8:8">
      <c r="H5506" t="s">
        <v>20103</v>
      </c>
    </row>
    <row r="5507" spans="8:8">
      <c r="H5507" t="s">
        <v>20095</v>
      </c>
    </row>
    <row r="5508" spans="8:8">
      <c r="H5508" t="s">
        <v>20097</v>
      </c>
    </row>
    <row r="5509" spans="8:8">
      <c r="H5509" t="s">
        <v>20098</v>
      </c>
    </row>
    <row r="5510" spans="8:8">
      <c r="H5510" t="s">
        <v>20099</v>
      </c>
    </row>
    <row r="5511" spans="8:8">
      <c r="H5511" t="s">
        <v>20100</v>
      </c>
    </row>
    <row r="5512" spans="8:8">
      <c r="H5512" t="s">
        <v>20102</v>
      </c>
    </row>
    <row r="5513" spans="8:8">
      <c r="H5513" t="s">
        <v>20104</v>
      </c>
    </row>
    <row r="5514" spans="8:8">
      <c r="H5514" t="s">
        <v>20105</v>
      </c>
    </row>
    <row r="5515" spans="8:8">
      <c r="H5515" t="s">
        <v>20124</v>
      </c>
    </row>
    <row r="5516" spans="8:8">
      <c r="H5516" t="s">
        <v>20192</v>
      </c>
    </row>
    <row r="5517" spans="8:8">
      <c r="H5517" t="s">
        <v>20193</v>
      </c>
    </row>
    <row r="5518" spans="8:8">
      <c r="H5518" t="s">
        <v>20194</v>
      </c>
    </row>
    <row r="5519" spans="8:8">
      <c r="H5519" t="s">
        <v>19177</v>
      </c>
    </row>
    <row r="5520" spans="8:8">
      <c r="H5520" t="s">
        <v>20196</v>
      </c>
    </row>
    <row r="5521" spans="6:8">
      <c r="H5521" t="s">
        <v>20197</v>
      </c>
    </row>
    <row r="5522" spans="6:8">
      <c r="H5522" t="s">
        <v>20198</v>
      </c>
    </row>
    <row r="5523" spans="6:8">
      <c r="F5523" t="s">
        <v>11297</v>
      </c>
      <c r="G5523" t="s">
        <v>15104</v>
      </c>
      <c r="H5523" t="s">
        <v>20125</v>
      </c>
    </row>
    <row r="5524" spans="6:8">
      <c r="H5524" t="s">
        <v>20202</v>
      </c>
    </row>
    <row r="5525" spans="6:8">
      <c r="F5525" t="s">
        <v>10709</v>
      </c>
      <c r="G5525" t="s">
        <v>15108</v>
      </c>
      <c r="H5525" t="s">
        <v>20091</v>
      </c>
    </row>
    <row r="5526" spans="6:8">
      <c r="H5526" t="s">
        <v>19709</v>
      </c>
    </row>
    <row r="5527" spans="6:8">
      <c r="H5527" t="s">
        <v>19707</v>
      </c>
    </row>
    <row r="5528" spans="6:8">
      <c r="H5528" t="s">
        <v>19711</v>
      </c>
    </row>
    <row r="5529" spans="6:8">
      <c r="H5529" t="s">
        <v>20092</v>
      </c>
    </row>
    <row r="5530" spans="6:8">
      <c r="H5530" t="s">
        <v>20093</v>
      </c>
    </row>
    <row r="5531" spans="6:8">
      <c r="H5531" t="s">
        <v>20103</v>
      </c>
    </row>
    <row r="5532" spans="6:8">
      <c r="H5532" t="s">
        <v>20095</v>
      </c>
    </row>
    <row r="5533" spans="6:8">
      <c r="H5533" t="s">
        <v>20097</v>
      </c>
    </row>
    <row r="5534" spans="6:8">
      <c r="H5534" t="s">
        <v>20098</v>
      </c>
    </row>
    <row r="5535" spans="6:8">
      <c r="H5535" t="s">
        <v>20099</v>
      </c>
    </row>
    <row r="5536" spans="6:8">
      <c r="H5536" t="s">
        <v>20100</v>
      </c>
    </row>
    <row r="5537" spans="6:8">
      <c r="H5537" t="s">
        <v>20102</v>
      </c>
    </row>
    <row r="5538" spans="6:8">
      <c r="H5538" t="s">
        <v>20104</v>
      </c>
    </row>
    <row r="5539" spans="6:8">
      <c r="H5539" t="s">
        <v>20105</v>
      </c>
    </row>
    <row r="5540" spans="6:8">
      <c r="H5540" t="s">
        <v>20124</v>
      </c>
    </row>
    <row r="5541" spans="6:8">
      <c r="H5541" t="s">
        <v>20192</v>
      </c>
    </row>
    <row r="5542" spans="6:8">
      <c r="H5542" t="s">
        <v>20193</v>
      </c>
    </row>
    <row r="5543" spans="6:8">
      <c r="H5543" t="s">
        <v>20194</v>
      </c>
    </row>
    <row r="5544" spans="6:8">
      <c r="H5544" t="s">
        <v>19177</v>
      </c>
    </row>
    <row r="5545" spans="6:8">
      <c r="H5545" t="s">
        <v>20196</v>
      </c>
    </row>
    <row r="5546" spans="6:8">
      <c r="H5546" t="s">
        <v>20197</v>
      </c>
    </row>
    <row r="5547" spans="6:8">
      <c r="H5547" t="s">
        <v>20198</v>
      </c>
    </row>
    <row r="5548" spans="6:8">
      <c r="F5548" t="s">
        <v>11298</v>
      </c>
      <c r="G5548" t="s">
        <v>15104</v>
      </c>
      <c r="H5548" t="s">
        <v>20125</v>
      </c>
    </row>
    <row r="5549" spans="6:8">
      <c r="H5549" t="s">
        <v>20202</v>
      </c>
    </row>
    <row r="5550" spans="6:8">
      <c r="F5550" t="s">
        <v>10710</v>
      </c>
      <c r="G5550" t="s">
        <v>15109</v>
      </c>
      <c r="H5550" t="s">
        <v>20091</v>
      </c>
    </row>
    <row r="5551" spans="6:8">
      <c r="H5551" t="s">
        <v>19709</v>
      </c>
    </row>
    <row r="5552" spans="6:8">
      <c r="H5552" t="s">
        <v>19707</v>
      </c>
    </row>
    <row r="5553" spans="8:8">
      <c r="H5553" t="s">
        <v>19711</v>
      </c>
    </row>
    <row r="5554" spans="8:8">
      <c r="H5554" t="s">
        <v>20092</v>
      </c>
    </row>
    <row r="5555" spans="8:8">
      <c r="H5555" t="s">
        <v>20093</v>
      </c>
    </row>
    <row r="5556" spans="8:8">
      <c r="H5556" t="s">
        <v>20103</v>
      </c>
    </row>
    <row r="5557" spans="8:8">
      <c r="H5557" t="s">
        <v>20095</v>
      </c>
    </row>
    <row r="5558" spans="8:8">
      <c r="H5558" t="s">
        <v>20097</v>
      </c>
    </row>
    <row r="5559" spans="8:8">
      <c r="H5559" t="s">
        <v>20098</v>
      </c>
    </row>
    <row r="5560" spans="8:8">
      <c r="H5560" t="s">
        <v>20099</v>
      </c>
    </row>
    <row r="5561" spans="8:8">
      <c r="H5561" t="s">
        <v>20100</v>
      </c>
    </row>
    <row r="5562" spans="8:8">
      <c r="H5562" t="s">
        <v>20102</v>
      </c>
    </row>
    <row r="5563" spans="8:8">
      <c r="H5563" t="s">
        <v>20104</v>
      </c>
    </row>
    <row r="5564" spans="8:8">
      <c r="H5564" t="s">
        <v>20105</v>
      </c>
    </row>
    <row r="5565" spans="8:8">
      <c r="H5565" t="s">
        <v>20124</v>
      </c>
    </row>
    <row r="5566" spans="8:8">
      <c r="H5566" t="s">
        <v>20192</v>
      </c>
    </row>
    <row r="5567" spans="8:8">
      <c r="H5567" t="s">
        <v>20193</v>
      </c>
    </row>
    <row r="5568" spans="8:8">
      <c r="H5568" t="s">
        <v>20194</v>
      </c>
    </row>
    <row r="5569" spans="6:8">
      <c r="H5569" t="s">
        <v>19177</v>
      </c>
    </row>
    <row r="5570" spans="6:8">
      <c r="H5570" t="s">
        <v>20196</v>
      </c>
    </row>
    <row r="5571" spans="6:8">
      <c r="H5571" t="s">
        <v>20197</v>
      </c>
    </row>
    <row r="5572" spans="6:8">
      <c r="H5572" t="s">
        <v>20198</v>
      </c>
    </row>
    <row r="5573" spans="6:8">
      <c r="F5573" t="s">
        <v>11299</v>
      </c>
      <c r="G5573" t="s">
        <v>15104</v>
      </c>
      <c r="H5573" t="s">
        <v>20125</v>
      </c>
    </row>
    <row r="5574" spans="6:8">
      <c r="H5574" t="s">
        <v>20202</v>
      </c>
    </row>
    <row r="5575" spans="6:8">
      <c r="F5575" t="s">
        <v>10711</v>
      </c>
      <c r="G5575" t="s">
        <v>15110</v>
      </c>
      <c r="H5575" t="s">
        <v>20091</v>
      </c>
    </row>
    <row r="5576" spans="6:8">
      <c r="H5576" t="s">
        <v>19709</v>
      </c>
    </row>
    <row r="5577" spans="6:8">
      <c r="H5577" t="s">
        <v>19707</v>
      </c>
    </row>
    <row r="5578" spans="6:8">
      <c r="H5578" t="s">
        <v>19711</v>
      </c>
    </row>
    <row r="5579" spans="6:8">
      <c r="H5579" t="s">
        <v>19708</v>
      </c>
    </row>
    <row r="5580" spans="6:8">
      <c r="H5580" t="s">
        <v>20092</v>
      </c>
    </row>
    <row r="5581" spans="6:8">
      <c r="H5581" t="s">
        <v>20093</v>
      </c>
    </row>
    <row r="5582" spans="6:8">
      <c r="H5582" t="s">
        <v>20103</v>
      </c>
    </row>
    <row r="5583" spans="6:8">
      <c r="H5583" t="s">
        <v>20095</v>
      </c>
    </row>
    <row r="5584" spans="6:8">
      <c r="H5584" t="s">
        <v>20097</v>
      </c>
    </row>
    <row r="5585" spans="6:8">
      <c r="H5585" t="s">
        <v>20098</v>
      </c>
    </row>
    <row r="5586" spans="6:8">
      <c r="H5586" t="s">
        <v>20099</v>
      </c>
    </row>
    <row r="5587" spans="6:8">
      <c r="H5587" t="s">
        <v>20100</v>
      </c>
    </row>
    <row r="5588" spans="6:8">
      <c r="H5588" t="s">
        <v>20102</v>
      </c>
    </row>
    <row r="5589" spans="6:8">
      <c r="H5589" t="s">
        <v>20104</v>
      </c>
    </row>
    <row r="5590" spans="6:8">
      <c r="H5590" t="s">
        <v>20105</v>
      </c>
    </row>
    <row r="5591" spans="6:8">
      <c r="H5591" t="s">
        <v>20124</v>
      </c>
    </row>
    <row r="5592" spans="6:8">
      <c r="H5592" t="s">
        <v>20192</v>
      </c>
    </row>
    <row r="5593" spans="6:8">
      <c r="H5593" t="s">
        <v>20193</v>
      </c>
    </row>
    <row r="5594" spans="6:8">
      <c r="H5594" t="s">
        <v>20194</v>
      </c>
    </row>
    <row r="5595" spans="6:8">
      <c r="H5595" t="s">
        <v>19177</v>
      </c>
    </row>
    <row r="5596" spans="6:8">
      <c r="H5596" t="s">
        <v>20196</v>
      </c>
    </row>
    <row r="5597" spans="6:8">
      <c r="H5597" t="s">
        <v>20197</v>
      </c>
    </row>
    <row r="5598" spans="6:8">
      <c r="H5598" t="s">
        <v>20198</v>
      </c>
    </row>
    <row r="5599" spans="6:8">
      <c r="F5599" t="s">
        <v>11300</v>
      </c>
      <c r="G5599" t="s">
        <v>15259</v>
      </c>
      <c r="H5599" t="s">
        <v>20091</v>
      </c>
    </row>
    <row r="5600" spans="6:8">
      <c r="H5600" t="s">
        <v>19712</v>
      </c>
    </row>
    <row r="5601" spans="8:8">
      <c r="H5601" t="s">
        <v>19709</v>
      </c>
    </row>
    <row r="5602" spans="8:8">
      <c r="H5602" t="s">
        <v>19706</v>
      </c>
    </row>
    <row r="5603" spans="8:8">
      <c r="H5603" t="s">
        <v>19711</v>
      </c>
    </row>
    <row r="5604" spans="8:8">
      <c r="H5604" t="s">
        <v>20093</v>
      </c>
    </row>
    <row r="5605" spans="8:8">
      <c r="H5605" t="s">
        <v>20095</v>
      </c>
    </row>
    <row r="5606" spans="8:8">
      <c r="H5606" t="s">
        <v>20096</v>
      </c>
    </row>
    <row r="5607" spans="8:8">
      <c r="H5607" t="s">
        <v>20099</v>
      </c>
    </row>
    <row r="5608" spans="8:8">
      <c r="H5608" t="s">
        <v>20101</v>
      </c>
    </row>
    <row r="5609" spans="8:8">
      <c r="H5609" t="s">
        <v>20102</v>
      </c>
    </row>
    <row r="5610" spans="8:8">
      <c r="H5610" t="s">
        <v>20104</v>
      </c>
    </row>
    <row r="5611" spans="8:8">
      <c r="H5611" t="s">
        <v>20105</v>
      </c>
    </row>
    <row r="5612" spans="8:8">
      <c r="H5612" t="s">
        <v>20123</v>
      </c>
    </row>
    <row r="5613" spans="8:8">
      <c r="H5613" t="s">
        <v>20124</v>
      </c>
    </row>
    <row r="5614" spans="8:8">
      <c r="H5614" t="s">
        <v>20192</v>
      </c>
    </row>
    <row r="5615" spans="8:8">
      <c r="H5615" t="s">
        <v>20193</v>
      </c>
    </row>
    <row r="5616" spans="8:8">
      <c r="H5616" t="s">
        <v>20194</v>
      </c>
    </row>
    <row r="5617" spans="6:8">
      <c r="H5617" t="s">
        <v>19177</v>
      </c>
    </row>
    <row r="5618" spans="6:8">
      <c r="H5618" t="s">
        <v>20196</v>
      </c>
    </row>
    <row r="5619" spans="6:8">
      <c r="H5619" t="s">
        <v>20197</v>
      </c>
    </row>
    <row r="5620" spans="6:8">
      <c r="H5620" t="s">
        <v>20195</v>
      </c>
    </row>
    <row r="5621" spans="6:8">
      <c r="H5621" t="s">
        <v>20116</v>
      </c>
    </row>
    <row r="5622" spans="6:8">
      <c r="F5622" t="s">
        <v>11301</v>
      </c>
      <c r="G5622" t="s">
        <v>15614</v>
      </c>
      <c r="H5622" t="s">
        <v>20091</v>
      </c>
    </row>
    <row r="5623" spans="6:8">
      <c r="H5623" t="s">
        <v>19712</v>
      </c>
    </row>
    <row r="5624" spans="6:8">
      <c r="H5624" t="s">
        <v>19706</v>
      </c>
    </row>
    <row r="5625" spans="6:8">
      <c r="H5625" t="s">
        <v>20093</v>
      </c>
    </row>
    <row r="5626" spans="6:8">
      <c r="H5626" t="s">
        <v>20095</v>
      </c>
    </row>
    <row r="5627" spans="6:8">
      <c r="H5627" t="s">
        <v>20096</v>
      </c>
    </row>
    <row r="5628" spans="6:8">
      <c r="H5628" t="s">
        <v>20099</v>
      </c>
    </row>
    <row r="5629" spans="6:8">
      <c r="H5629" t="s">
        <v>20100</v>
      </c>
    </row>
    <row r="5630" spans="6:8">
      <c r="H5630" t="s">
        <v>20101</v>
      </c>
    </row>
    <row r="5631" spans="6:8">
      <c r="H5631" t="s">
        <v>20102</v>
      </c>
    </row>
    <row r="5632" spans="6:8">
      <c r="H5632" t="s">
        <v>20104</v>
      </c>
    </row>
    <row r="5633" spans="6:8">
      <c r="H5633" t="s">
        <v>20105</v>
      </c>
    </row>
    <row r="5634" spans="6:8">
      <c r="H5634" t="s">
        <v>20123</v>
      </c>
    </row>
    <row r="5635" spans="6:8">
      <c r="H5635" t="s">
        <v>20124</v>
      </c>
    </row>
    <row r="5636" spans="6:8">
      <c r="H5636" t="s">
        <v>20192</v>
      </c>
    </row>
    <row r="5637" spans="6:8">
      <c r="H5637" t="s">
        <v>20193</v>
      </c>
    </row>
    <row r="5638" spans="6:8">
      <c r="H5638" t="s">
        <v>20194</v>
      </c>
    </row>
    <row r="5639" spans="6:8">
      <c r="H5639" t="s">
        <v>19177</v>
      </c>
    </row>
    <row r="5640" spans="6:8">
      <c r="H5640" t="s">
        <v>20196</v>
      </c>
    </row>
    <row r="5641" spans="6:8">
      <c r="H5641" t="s">
        <v>20197</v>
      </c>
    </row>
    <row r="5642" spans="6:8">
      <c r="H5642" t="s">
        <v>20195</v>
      </c>
    </row>
    <row r="5643" spans="6:8">
      <c r="H5643" t="s">
        <v>20198</v>
      </c>
    </row>
    <row r="5644" spans="6:8">
      <c r="F5644" t="s">
        <v>11302</v>
      </c>
      <c r="G5644" t="s">
        <v>15615</v>
      </c>
      <c r="H5644" t="s">
        <v>20091</v>
      </c>
    </row>
    <row r="5645" spans="6:8">
      <c r="H5645" t="s">
        <v>19712</v>
      </c>
    </row>
    <row r="5646" spans="6:8">
      <c r="H5646" t="s">
        <v>19706</v>
      </c>
    </row>
    <row r="5647" spans="6:8">
      <c r="H5647" t="s">
        <v>20093</v>
      </c>
    </row>
    <row r="5648" spans="6:8">
      <c r="H5648" t="s">
        <v>20095</v>
      </c>
    </row>
    <row r="5649" spans="8:8">
      <c r="H5649" t="s">
        <v>20096</v>
      </c>
    </row>
    <row r="5650" spans="8:8">
      <c r="H5650" t="s">
        <v>20099</v>
      </c>
    </row>
    <row r="5651" spans="8:8">
      <c r="H5651" t="s">
        <v>20100</v>
      </c>
    </row>
    <row r="5652" spans="8:8">
      <c r="H5652" t="s">
        <v>20101</v>
      </c>
    </row>
    <row r="5653" spans="8:8">
      <c r="H5653" t="s">
        <v>20102</v>
      </c>
    </row>
    <row r="5654" spans="8:8">
      <c r="H5654" t="s">
        <v>20104</v>
      </c>
    </row>
    <row r="5655" spans="8:8">
      <c r="H5655" t="s">
        <v>20105</v>
      </c>
    </row>
    <row r="5656" spans="8:8">
      <c r="H5656" t="s">
        <v>20123</v>
      </c>
    </row>
    <row r="5657" spans="8:8">
      <c r="H5657" t="s">
        <v>20124</v>
      </c>
    </row>
    <row r="5658" spans="8:8">
      <c r="H5658" t="s">
        <v>20192</v>
      </c>
    </row>
    <row r="5659" spans="8:8">
      <c r="H5659" t="s">
        <v>20193</v>
      </c>
    </row>
    <row r="5660" spans="8:8">
      <c r="H5660" t="s">
        <v>20194</v>
      </c>
    </row>
    <row r="5661" spans="8:8">
      <c r="H5661" t="s">
        <v>19177</v>
      </c>
    </row>
    <row r="5662" spans="8:8">
      <c r="H5662" t="s">
        <v>20196</v>
      </c>
    </row>
    <row r="5663" spans="8:8">
      <c r="H5663" t="s">
        <v>20197</v>
      </c>
    </row>
    <row r="5664" spans="8:8">
      <c r="H5664" t="s">
        <v>20195</v>
      </c>
    </row>
    <row r="5665" spans="6:8">
      <c r="H5665" t="s">
        <v>20198</v>
      </c>
    </row>
    <row r="5666" spans="6:8">
      <c r="F5666" t="s">
        <v>11303</v>
      </c>
      <c r="G5666" t="s">
        <v>15616</v>
      </c>
      <c r="H5666" t="s">
        <v>20091</v>
      </c>
    </row>
    <row r="5667" spans="6:8">
      <c r="H5667" t="s">
        <v>19712</v>
      </c>
    </row>
    <row r="5668" spans="6:8">
      <c r="H5668" t="s">
        <v>19706</v>
      </c>
    </row>
    <row r="5669" spans="6:8">
      <c r="H5669" t="s">
        <v>20093</v>
      </c>
    </row>
    <row r="5670" spans="6:8">
      <c r="H5670" t="s">
        <v>20095</v>
      </c>
    </row>
    <row r="5671" spans="6:8">
      <c r="H5671" t="s">
        <v>20096</v>
      </c>
    </row>
    <row r="5672" spans="6:8">
      <c r="H5672" t="s">
        <v>20099</v>
      </c>
    </row>
    <row r="5673" spans="6:8">
      <c r="H5673" t="s">
        <v>20100</v>
      </c>
    </row>
    <row r="5674" spans="6:8">
      <c r="H5674" t="s">
        <v>20101</v>
      </c>
    </row>
    <row r="5675" spans="6:8">
      <c r="H5675" t="s">
        <v>20102</v>
      </c>
    </row>
    <row r="5676" spans="6:8">
      <c r="H5676" t="s">
        <v>20104</v>
      </c>
    </row>
    <row r="5677" spans="6:8">
      <c r="H5677" t="s">
        <v>20105</v>
      </c>
    </row>
    <row r="5678" spans="6:8">
      <c r="H5678" t="s">
        <v>20123</v>
      </c>
    </row>
    <row r="5679" spans="6:8">
      <c r="H5679" t="s">
        <v>20124</v>
      </c>
    </row>
    <row r="5680" spans="6:8">
      <c r="H5680" t="s">
        <v>20192</v>
      </c>
    </row>
    <row r="5681" spans="6:8">
      <c r="H5681" t="s">
        <v>20193</v>
      </c>
    </row>
    <row r="5682" spans="6:8">
      <c r="H5682" t="s">
        <v>20194</v>
      </c>
    </row>
    <row r="5683" spans="6:8">
      <c r="H5683" t="s">
        <v>19177</v>
      </c>
    </row>
    <row r="5684" spans="6:8">
      <c r="H5684" t="s">
        <v>20196</v>
      </c>
    </row>
    <row r="5685" spans="6:8">
      <c r="H5685" t="s">
        <v>20197</v>
      </c>
    </row>
    <row r="5686" spans="6:8">
      <c r="H5686" t="s">
        <v>20195</v>
      </c>
    </row>
    <row r="5687" spans="6:8">
      <c r="H5687" t="s">
        <v>20198</v>
      </c>
    </row>
    <row r="5688" spans="6:8">
      <c r="F5688" t="s">
        <v>11304</v>
      </c>
      <c r="G5688" t="s">
        <v>15617</v>
      </c>
      <c r="H5688" t="s">
        <v>20091</v>
      </c>
    </row>
    <row r="5689" spans="6:8">
      <c r="H5689" t="s">
        <v>19712</v>
      </c>
    </row>
    <row r="5690" spans="6:8">
      <c r="H5690" t="s">
        <v>19706</v>
      </c>
    </row>
    <row r="5691" spans="6:8">
      <c r="H5691" t="s">
        <v>20093</v>
      </c>
    </row>
    <row r="5692" spans="6:8">
      <c r="H5692" t="s">
        <v>20095</v>
      </c>
    </row>
    <row r="5693" spans="6:8">
      <c r="H5693" t="s">
        <v>20096</v>
      </c>
    </row>
    <row r="5694" spans="6:8">
      <c r="H5694" t="s">
        <v>20099</v>
      </c>
    </row>
    <row r="5695" spans="6:8">
      <c r="H5695" t="s">
        <v>20101</v>
      </c>
    </row>
    <row r="5696" spans="6:8">
      <c r="H5696" t="s">
        <v>20102</v>
      </c>
    </row>
    <row r="5697" spans="6:8">
      <c r="H5697" t="s">
        <v>20104</v>
      </c>
    </row>
    <row r="5698" spans="6:8">
      <c r="H5698" t="s">
        <v>20105</v>
      </c>
    </row>
    <row r="5699" spans="6:8">
      <c r="H5699" t="s">
        <v>20123</v>
      </c>
    </row>
    <row r="5700" spans="6:8">
      <c r="H5700" t="s">
        <v>20124</v>
      </c>
    </row>
    <row r="5701" spans="6:8">
      <c r="H5701" t="s">
        <v>20192</v>
      </c>
    </row>
    <row r="5702" spans="6:8">
      <c r="H5702" t="s">
        <v>20193</v>
      </c>
    </row>
    <row r="5703" spans="6:8">
      <c r="H5703" t="s">
        <v>20194</v>
      </c>
    </row>
    <row r="5704" spans="6:8">
      <c r="H5704" t="s">
        <v>19177</v>
      </c>
    </row>
    <row r="5705" spans="6:8">
      <c r="H5705" t="s">
        <v>20196</v>
      </c>
    </row>
    <row r="5706" spans="6:8">
      <c r="H5706" t="s">
        <v>20197</v>
      </c>
    </row>
    <row r="5707" spans="6:8">
      <c r="H5707" t="s">
        <v>20100</v>
      </c>
    </row>
    <row r="5708" spans="6:8">
      <c r="H5708" t="s">
        <v>20195</v>
      </c>
    </row>
    <row r="5709" spans="6:8">
      <c r="H5709" t="s">
        <v>20198</v>
      </c>
    </row>
    <row r="5710" spans="6:8">
      <c r="F5710" t="s">
        <v>11305</v>
      </c>
      <c r="G5710" t="s">
        <v>15618</v>
      </c>
      <c r="H5710" t="s">
        <v>20091</v>
      </c>
    </row>
    <row r="5711" spans="6:8">
      <c r="H5711" t="s">
        <v>19712</v>
      </c>
    </row>
    <row r="5712" spans="6:8">
      <c r="H5712" t="s">
        <v>19706</v>
      </c>
    </row>
    <row r="5713" spans="8:8">
      <c r="H5713" t="s">
        <v>20093</v>
      </c>
    </row>
    <row r="5714" spans="8:8">
      <c r="H5714" t="s">
        <v>20095</v>
      </c>
    </row>
    <row r="5715" spans="8:8">
      <c r="H5715" t="s">
        <v>20096</v>
      </c>
    </row>
    <row r="5716" spans="8:8">
      <c r="H5716" t="s">
        <v>20099</v>
      </c>
    </row>
    <row r="5717" spans="8:8">
      <c r="H5717" t="s">
        <v>20100</v>
      </c>
    </row>
    <row r="5718" spans="8:8">
      <c r="H5718" t="s">
        <v>20101</v>
      </c>
    </row>
    <row r="5719" spans="8:8">
      <c r="H5719" t="s">
        <v>20102</v>
      </c>
    </row>
    <row r="5720" spans="8:8">
      <c r="H5720" t="s">
        <v>20104</v>
      </c>
    </row>
    <row r="5721" spans="8:8">
      <c r="H5721" t="s">
        <v>20105</v>
      </c>
    </row>
    <row r="5722" spans="8:8">
      <c r="H5722" t="s">
        <v>20123</v>
      </c>
    </row>
    <row r="5723" spans="8:8">
      <c r="H5723" t="s">
        <v>20124</v>
      </c>
    </row>
    <row r="5724" spans="8:8">
      <c r="H5724" t="s">
        <v>20192</v>
      </c>
    </row>
    <row r="5725" spans="8:8">
      <c r="H5725" t="s">
        <v>20193</v>
      </c>
    </row>
    <row r="5726" spans="8:8">
      <c r="H5726" t="s">
        <v>20194</v>
      </c>
    </row>
    <row r="5727" spans="8:8">
      <c r="H5727" t="s">
        <v>19177</v>
      </c>
    </row>
    <row r="5728" spans="8:8">
      <c r="H5728" t="s">
        <v>20196</v>
      </c>
    </row>
    <row r="5729" spans="6:8">
      <c r="H5729" t="s">
        <v>20197</v>
      </c>
    </row>
    <row r="5730" spans="6:8">
      <c r="H5730" t="s">
        <v>20195</v>
      </c>
    </row>
    <row r="5731" spans="6:8">
      <c r="H5731" t="s">
        <v>20198</v>
      </c>
    </row>
    <row r="5732" spans="6:8">
      <c r="F5732" t="s">
        <v>11306</v>
      </c>
      <c r="G5732" t="s">
        <v>15619</v>
      </c>
      <c r="H5732" t="s">
        <v>20091</v>
      </c>
    </row>
    <row r="5733" spans="6:8">
      <c r="H5733" t="s">
        <v>19712</v>
      </c>
    </row>
    <row r="5734" spans="6:8">
      <c r="H5734" t="s">
        <v>19709</v>
      </c>
    </row>
    <row r="5735" spans="6:8">
      <c r="H5735" t="s">
        <v>19706</v>
      </c>
    </row>
    <row r="5736" spans="6:8">
      <c r="H5736" t="s">
        <v>20093</v>
      </c>
    </row>
    <row r="5737" spans="6:8">
      <c r="H5737" t="s">
        <v>20095</v>
      </c>
    </row>
    <row r="5738" spans="6:8">
      <c r="H5738" t="s">
        <v>20096</v>
      </c>
    </row>
    <row r="5739" spans="6:8">
      <c r="H5739" t="s">
        <v>20099</v>
      </c>
    </row>
    <row r="5740" spans="6:8">
      <c r="H5740" t="s">
        <v>20101</v>
      </c>
    </row>
    <row r="5741" spans="6:8">
      <c r="H5741" t="s">
        <v>20102</v>
      </c>
    </row>
    <row r="5742" spans="6:8">
      <c r="H5742" t="s">
        <v>20104</v>
      </c>
    </row>
    <row r="5743" spans="6:8">
      <c r="H5743" t="s">
        <v>20105</v>
      </c>
    </row>
    <row r="5744" spans="6:8">
      <c r="H5744" t="s">
        <v>20123</v>
      </c>
    </row>
    <row r="5745" spans="6:8">
      <c r="H5745" t="s">
        <v>20124</v>
      </c>
    </row>
    <row r="5746" spans="6:8">
      <c r="H5746" t="s">
        <v>20192</v>
      </c>
    </row>
    <row r="5747" spans="6:8">
      <c r="H5747" t="s">
        <v>20193</v>
      </c>
    </row>
    <row r="5748" spans="6:8">
      <c r="H5748" t="s">
        <v>20194</v>
      </c>
    </row>
    <row r="5749" spans="6:8">
      <c r="H5749" t="s">
        <v>19177</v>
      </c>
    </row>
    <row r="5750" spans="6:8">
      <c r="H5750" t="s">
        <v>20196</v>
      </c>
    </row>
    <row r="5751" spans="6:8">
      <c r="H5751" t="s">
        <v>20197</v>
      </c>
    </row>
    <row r="5752" spans="6:8">
      <c r="H5752" t="s">
        <v>20100</v>
      </c>
    </row>
    <row r="5753" spans="6:8">
      <c r="H5753" t="s">
        <v>20195</v>
      </c>
    </row>
    <row r="5754" spans="6:8">
      <c r="H5754" t="s">
        <v>20116</v>
      </c>
    </row>
    <row r="5755" spans="6:8">
      <c r="F5755" t="s">
        <v>11307</v>
      </c>
      <c r="G5755" t="s">
        <v>15260</v>
      </c>
      <c r="H5755" t="s">
        <v>20091</v>
      </c>
    </row>
    <row r="5756" spans="6:8">
      <c r="H5756" t="s">
        <v>19712</v>
      </c>
    </row>
    <row r="5757" spans="6:8">
      <c r="H5757" t="s">
        <v>19709</v>
      </c>
    </row>
    <row r="5758" spans="6:8">
      <c r="H5758" t="s">
        <v>19706</v>
      </c>
    </row>
    <row r="5759" spans="6:8">
      <c r="H5759" t="s">
        <v>20107</v>
      </c>
    </row>
    <row r="5760" spans="6:8">
      <c r="H5760" t="s">
        <v>20108</v>
      </c>
    </row>
    <row r="5761" spans="6:8">
      <c r="H5761" t="s">
        <v>19713</v>
      </c>
    </row>
    <row r="5762" spans="6:8">
      <c r="H5762" t="s">
        <v>20095</v>
      </c>
    </row>
    <row r="5763" spans="6:8">
      <c r="H5763" t="s">
        <v>20096</v>
      </c>
    </row>
    <row r="5764" spans="6:8">
      <c r="H5764" t="s">
        <v>20097</v>
      </c>
    </row>
    <row r="5765" spans="6:8">
      <c r="H5765" t="s">
        <v>20098</v>
      </c>
    </row>
    <row r="5766" spans="6:8">
      <c r="F5766" t="s">
        <v>11308</v>
      </c>
      <c r="G5766" t="s">
        <v>15261</v>
      </c>
      <c r="H5766" t="s">
        <v>20091</v>
      </c>
    </row>
    <row r="5767" spans="6:8">
      <c r="H5767" t="s">
        <v>19712</v>
      </c>
    </row>
    <row r="5768" spans="6:8">
      <c r="H5768" t="s">
        <v>19709</v>
      </c>
    </row>
    <row r="5769" spans="6:8">
      <c r="H5769" t="s">
        <v>19706</v>
      </c>
    </row>
    <row r="5770" spans="6:8">
      <c r="H5770" t="s">
        <v>20107</v>
      </c>
    </row>
    <row r="5771" spans="6:8">
      <c r="H5771" t="s">
        <v>20108</v>
      </c>
    </row>
    <row r="5772" spans="6:8">
      <c r="H5772" t="s">
        <v>19713</v>
      </c>
    </row>
    <row r="5773" spans="6:8">
      <c r="H5773" t="s">
        <v>20096</v>
      </c>
    </row>
    <row r="5774" spans="6:8">
      <c r="H5774" t="s">
        <v>20097</v>
      </c>
    </row>
    <row r="5775" spans="6:8">
      <c r="H5775" t="s">
        <v>20098</v>
      </c>
    </row>
    <row r="5776" spans="6:8">
      <c r="F5776" t="s">
        <v>11309</v>
      </c>
      <c r="G5776" t="s">
        <v>15262</v>
      </c>
      <c r="H5776" t="s">
        <v>20091</v>
      </c>
    </row>
    <row r="5777" spans="6:8">
      <c r="H5777" t="s">
        <v>19712</v>
      </c>
    </row>
    <row r="5778" spans="6:8">
      <c r="H5778" t="s">
        <v>19709</v>
      </c>
    </row>
    <row r="5779" spans="6:8">
      <c r="H5779" t="s">
        <v>19706</v>
      </c>
    </row>
    <row r="5780" spans="6:8">
      <c r="H5780" t="s">
        <v>19707</v>
      </c>
    </row>
    <row r="5781" spans="6:8">
      <c r="H5781" t="s">
        <v>20107</v>
      </c>
    </row>
    <row r="5782" spans="6:8">
      <c r="H5782" t="s">
        <v>20108</v>
      </c>
    </row>
    <row r="5783" spans="6:8">
      <c r="H5783" t="s">
        <v>19713</v>
      </c>
    </row>
    <row r="5784" spans="6:8">
      <c r="H5784" t="s">
        <v>20095</v>
      </c>
    </row>
    <row r="5785" spans="6:8">
      <c r="H5785" t="s">
        <v>20096</v>
      </c>
    </row>
    <row r="5786" spans="6:8">
      <c r="H5786" t="s">
        <v>20097</v>
      </c>
    </row>
    <row r="5787" spans="6:8">
      <c r="H5787" t="s">
        <v>20098</v>
      </c>
    </row>
    <row r="5788" spans="6:8">
      <c r="F5788" t="s">
        <v>11310</v>
      </c>
      <c r="G5788" t="s">
        <v>15620</v>
      </c>
      <c r="H5788" t="s">
        <v>20091</v>
      </c>
    </row>
    <row r="5789" spans="6:8">
      <c r="H5789" t="s">
        <v>19712</v>
      </c>
    </row>
    <row r="5790" spans="6:8">
      <c r="H5790" t="s">
        <v>20092</v>
      </c>
    </row>
    <row r="5791" spans="6:8">
      <c r="H5791" t="s">
        <v>20095</v>
      </c>
    </row>
    <row r="5792" spans="6:8">
      <c r="H5792" t="s">
        <v>20096</v>
      </c>
    </row>
    <row r="5793" spans="6:8">
      <c r="H5793" t="s">
        <v>20097</v>
      </c>
    </row>
    <row r="5794" spans="6:8">
      <c r="H5794" t="s">
        <v>20098</v>
      </c>
    </row>
    <row r="5795" spans="6:8">
      <c r="H5795" t="s">
        <v>20099</v>
      </c>
    </row>
    <row r="5796" spans="6:8">
      <c r="H5796" t="s">
        <v>20131</v>
      </c>
    </row>
    <row r="5797" spans="6:8">
      <c r="H5797" t="s">
        <v>18927</v>
      </c>
    </row>
    <row r="5798" spans="6:8">
      <c r="H5798" t="s">
        <v>20132</v>
      </c>
    </row>
    <row r="5799" spans="6:8">
      <c r="H5799" t="s">
        <v>18927</v>
      </c>
    </row>
    <row r="5800" spans="6:8">
      <c r="F5800" t="s">
        <v>11311</v>
      </c>
      <c r="G5800" t="s">
        <v>15621</v>
      </c>
      <c r="H5800" t="s">
        <v>20092</v>
      </c>
    </row>
    <row r="5801" spans="6:8">
      <c r="H5801" t="s">
        <v>20094</v>
      </c>
    </row>
    <row r="5802" spans="6:8">
      <c r="H5802" t="s">
        <v>20095</v>
      </c>
    </row>
    <row r="5803" spans="6:8">
      <c r="H5803" t="s">
        <v>20096</v>
      </c>
    </row>
    <row r="5804" spans="6:8">
      <c r="H5804" t="s">
        <v>20097</v>
      </c>
    </row>
    <row r="5805" spans="6:8">
      <c r="H5805" t="s">
        <v>20098</v>
      </c>
    </row>
    <row r="5806" spans="6:8">
      <c r="H5806" t="s">
        <v>20099</v>
      </c>
    </row>
    <row r="5807" spans="6:8">
      <c r="H5807" t="s">
        <v>20131</v>
      </c>
    </row>
    <row r="5808" spans="6:8">
      <c r="H5808" t="s">
        <v>18927</v>
      </c>
    </row>
    <row r="5809" spans="6:8">
      <c r="F5809" t="s">
        <v>11312</v>
      </c>
      <c r="G5809" t="s">
        <v>15622</v>
      </c>
      <c r="H5809" t="s">
        <v>20091</v>
      </c>
    </row>
    <row r="5810" spans="6:8">
      <c r="H5810" t="s">
        <v>20095</v>
      </c>
    </row>
    <row r="5811" spans="6:8">
      <c r="H5811" t="s">
        <v>20096</v>
      </c>
    </row>
    <row r="5812" spans="6:8">
      <c r="H5812" t="s">
        <v>20097</v>
      </c>
    </row>
    <row r="5813" spans="6:8">
      <c r="H5813" t="s">
        <v>20098</v>
      </c>
    </row>
    <row r="5814" spans="6:8">
      <c r="H5814" t="s">
        <v>20099</v>
      </c>
    </row>
    <row r="5815" spans="6:8">
      <c r="H5815" t="s">
        <v>20100</v>
      </c>
    </row>
    <row r="5816" spans="6:8">
      <c r="F5816" t="s">
        <v>11313</v>
      </c>
      <c r="G5816" t="s">
        <v>15623</v>
      </c>
      <c r="H5816" t="s">
        <v>20091</v>
      </c>
    </row>
    <row r="5817" spans="6:8">
      <c r="H5817" t="s">
        <v>19712</v>
      </c>
    </row>
    <row r="5818" spans="6:8">
      <c r="H5818" t="s">
        <v>20095</v>
      </c>
    </row>
    <row r="5819" spans="6:8">
      <c r="H5819" t="s">
        <v>20096</v>
      </c>
    </row>
    <row r="5820" spans="6:8">
      <c r="H5820" t="s">
        <v>20097</v>
      </c>
    </row>
    <row r="5821" spans="6:8">
      <c r="H5821" t="s">
        <v>20098</v>
      </c>
    </row>
    <row r="5822" spans="6:8">
      <c r="H5822" t="s">
        <v>20099</v>
      </c>
    </row>
    <row r="5823" spans="6:8">
      <c r="H5823" t="s">
        <v>20100</v>
      </c>
    </row>
    <row r="5824" spans="6:8">
      <c r="F5824" t="s">
        <v>11314</v>
      </c>
      <c r="G5824" t="s">
        <v>15624</v>
      </c>
      <c r="H5824" t="s">
        <v>20091</v>
      </c>
    </row>
    <row r="5825" spans="6:8">
      <c r="H5825" t="s">
        <v>19712</v>
      </c>
    </row>
    <row r="5826" spans="6:8">
      <c r="H5826" t="s">
        <v>20095</v>
      </c>
    </row>
    <row r="5827" spans="6:8">
      <c r="H5827" t="s">
        <v>20097</v>
      </c>
    </row>
    <row r="5828" spans="6:8">
      <c r="F5828" t="s">
        <v>11315</v>
      </c>
      <c r="G5828" t="s">
        <v>15625</v>
      </c>
      <c r="H5828" t="s">
        <v>20091</v>
      </c>
    </row>
    <row r="5829" spans="6:8">
      <c r="H5829" t="s">
        <v>20095</v>
      </c>
    </row>
    <row r="5830" spans="6:8">
      <c r="H5830" t="s">
        <v>20096</v>
      </c>
    </row>
    <row r="5831" spans="6:8">
      <c r="H5831" t="s">
        <v>20097</v>
      </c>
    </row>
    <row r="5832" spans="6:8">
      <c r="H5832" t="s">
        <v>20098</v>
      </c>
    </row>
    <row r="5833" spans="6:8">
      <c r="H5833" t="s">
        <v>20099</v>
      </c>
    </row>
    <row r="5834" spans="6:8">
      <c r="H5834" t="s">
        <v>20100</v>
      </c>
    </row>
    <row r="5835" spans="6:8">
      <c r="F5835" t="s">
        <v>11316</v>
      </c>
      <c r="G5835" t="s">
        <v>15626</v>
      </c>
      <c r="H5835" t="s">
        <v>20091</v>
      </c>
    </row>
    <row r="5836" spans="6:8">
      <c r="H5836" t="s">
        <v>20095</v>
      </c>
    </row>
    <row r="5837" spans="6:8">
      <c r="H5837" t="s">
        <v>20096</v>
      </c>
    </row>
    <row r="5838" spans="6:8">
      <c r="H5838" t="s">
        <v>20097</v>
      </c>
    </row>
    <row r="5839" spans="6:8">
      <c r="H5839" t="s">
        <v>20098</v>
      </c>
    </row>
    <row r="5840" spans="6:8">
      <c r="H5840" t="s">
        <v>20099</v>
      </c>
    </row>
    <row r="5841" spans="6:8">
      <c r="H5841" t="s">
        <v>20100</v>
      </c>
    </row>
    <row r="5842" spans="6:8">
      <c r="F5842" t="s">
        <v>11317</v>
      </c>
      <c r="G5842" t="s">
        <v>15627</v>
      </c>
      <c r="H5842" t="s">
        <v>20091</v>
      </c>
    </row>
    <row r="5843" spans="6:8">
      <c r="H5843" t="s">
        <v>20095</v>
      </c>
    </row>
    <row r="5844" spans="6:8">
      <c r="H5844" t="s">
        <v>20096</v>
      </c>
    </row>
    <row r="5845" spans="6:8">
      <c r="H5845" t="s">
        <v>20097</v>
      </c>
    </row>
    <row r="5846" spans="6:8">
      <c r="H5846" t="s">
        <v>20098</v>
      </c>
    </row>
    <row r="5847" spans="6:8">
      <c r="H5847" t="s">
        <v>20099</v>
      </c>
    </row>
    <row r="5848" spans="6:8">
      <c r="H5848" t="s">
        <v>20100</v>
      </c>
    </row>
    <row r="5849" spans="6:8">
      <c r="F5849" t="s">
        <v>11318</v>
      </c>
      <c r="G5849" t="s">
        <v>15628</v>
      </c>
      <c r="H5849" t="s">
        <v>20091</v>
      </c>
    </row>
    <row r="5850" spans="6:8">
      <c r="H5850" t="s">
        <v>20095</v>
      </c>
    </row>
    <row r="5851" spans="6:8">
      <c r="H5851" t="s">
        <v>20096</v>
      </c>
    </row>
    <row r="5852" spans="6:8">
      <c r="H5852" t="s">
        <v>20097</v>
      </c>
    </row>
    <row r="5853" spans="6:8">
      <c r="H5853" t="s">
        <v>20098</v>
      </c>
    </row>
    <row r="5854" spans="6:8">
      <c r="H5854" t="s">
        <v>20099</v>
      </c>
    </row>
    <row r="5855" spans="6:8">
      <c r="H5855" t="s">
        <v>20100</v>
      </c>
    </row>
    <row r="5856" spans="6:8">
      <c r="F5856" t="s">
        <v>11319</v>
      </c>
      <c r="G5856" t="s">
        <v>15629</v>
      </c>
      <c r="H5856" t="s">
        <v>20091</v>
      </c>
    </row>
    <row r="5857" spans="6:8">
      <c r="H5857" t="s">
        <v>20095</v>
      </c>
    </row>
    <row r="5858" spans="6:8">
      <c r="H5858" t="s">
        <v>20096</v>
      </c>
    </row>
    <row r="5859" spans="6:8">
      <c r="H5859" t="s">
        <v>20097</v>
      </c>
    </row>
    <row r="5860" spans="6:8">
      <c r="H5860" t="s">
        <v>20098</v>
      </c>
    </row>
    <row r="5861" spans="6:8">
      <c r="H5861" t="s">
        <v>20099</v>
      </c>
    </row>
    <row r="5862" spans="6:8">
      <c r="H5862" t="s">
        <v>20100</v>
      </c>
    </row>
    <row r="5863" spans="6:8">
      <c r="H5863" t="s">
        <v>20101</v>
      </c>
    </row>
    <row r="5864" spans="6:8">
      <c r="F5864" t="s">
        <v>11320</v>
      </c>
      <c r="G5864" t="s">
        <v>15630</v>
      </c>
      <c r="H5864" t="s">
        <v>20091</v>
      </c>
    </row>
    <row r="5865" spans="6:8">
      <c r="H5865" t="s">
        <v>19712</v>
      </c>
    </row>
    <row r="5866" spans="6:8">
      <c r="H5866" t="s">
        <v>20095</v>
      </c>
    </row>
    <row r="5867" spans="6:8">
      <c r="H5867" t="s">
        <v>20096</v>
      </c>
    </row>
    <row r="5868" spans="6:8">
      <c r="H5868" t="s">
        <v>20097</v>
      </c>
    </row>
    <row r="5869" spans="6:8">
      <c r="H5869" t="s">
        <v>20098</v>
      </c>
    </row>
    <row r="5870" spans="6:8">
      <c r="H5870" t="s">
        <v>20099</v>
      </c>
    </row>
    <row r="5871" spans="6:8">
      <c r="H5871" t="s">
        <v>20100</v>
      </c>
    </row>
    <row r="5872" spans="6:8">
      <c r="H5872" t="s">
        <v>20101</v>
      </c>
    </row>
    <row r="5873" spans="6:8">
      <c r="F5873" t="s">
        <v>11321</v>
      </c>
      <c r="G5873" t="s">
        <v>15631</v>
      </c>
      <c r="H5873" t="s">
        <v>20091</v>
      </c>
    </row>
    <row r="5874" spans="6:8">
      <c r="H5874" t="s">
        <v>20095</v>
      </c>
    </row>
    <row r="5875" spans="6:8">
      <c r="H5875" t="s">
        <v>20096</v>
      </c>
    </row>
    <row r="5876" spans="6:8">
      <c r="H5876" t="s">
        <v>20097</v>
      </c>
    </row>
    <row r="5877" spans="6:8">
      <c r="H5877" t="s">
        <v>20098</v>
      </c>
    </row>
    <row r="5878" spans="6:8">
      <c r="H5878" t="s">
        <v>20099</v>
      </c>
    </row>
    <row r="5879" spans="6:8">
      <c r="H5879" t="s">
        <v>20100</v>
      </c>
    </row>
    <row r="5880" spans="6:8">
      <c r="H5880" t="s">
        <v>20101</v>
      </c>
    </row>
    <row r="5881" spans="6:8">
      <c r="F5881" t="s">
        <v>11322</v>
      </c>
      <c r="G5881" t="s">
        <v>15632</v>
      </c>
      <c r="H5881" t="s">
        <v>20091</v>
      </c>
    </row>
    <row r="5882" spans="6:8">
      <c r="H5882" t="s">
        <v>19712</v>
      </c>
    </row>
    <row r="5883" spans="6:8">
      <c r="H5883" t="s">
        <v>20095</v>
      </c>
    </row>
    <row r="5884" spans="6:8">
      <c r="H5884" t="s">
        <v>20096</v>
      </c>
    </row>
    <row r="5885" spans="6:8">
      <c r="H5885" t="s">
        <v>20097</v>
      </c>
    </row>
    <row r="5886" spans="6:8">
      <c r="H5886" t="s">
        <v>20098</v>
      </c>
    </row>
    <row r="5887" spans="6:8">
      <c r="H5887" t="s">
        <v>20100</v>
      </c>
    </row>
    <row r="5888" spans="6:8">
      <c r="F5888" t="s">
        <v>11323</v>
      </c>
      <c r="G5888" t="s">
        <v>15633</v>
      </c>
      <c r="H5888" t="s">
        <v>20091</v>
      </c>
    </row>
    <row r="5889" spans="6:8">
      <c r="H5889" t="s">
        <v>19712</v>
      </c>
    </row>
    <row r="5890" spans="6:8">
      <c r="H5890" t="s">
        <v>19709</v>
      </c>
    </row>
    <row r="5891" spans="6:8">
      <c r="H5891" t="s">
        <v>20095</v>
      </c>
    </row>
    <row r="5892" spans="6:8">
      <c r="H5892" t="s">
        <v>20096</v>
      </c>
    </row>
    <row r="5893" spans="6:8">
      <c r="H5893" t="s">
        <v>20097</v>
      </c>
    </row>
    <row r="5894" spans="6:8">
      <c r="H5894" t="s">
        <v>20098</v>
      </c>
    </row>
    <row r="5895" spans="6:8">
      <c r="H5895" t="s">
        <v>20099</v>
      </c>
    </row>
    <row r="5896" spans="6:8">
      <c r="H5896" t="s">
        <v>20100</v>
      </c>
    </row>
    <row r="5897" spans="6:8">
      <c r="F5897" t="s">
        <v>11324</v>
      </c>
      <c r="G5897" t="s">
        <v>15634</v>
      </c>
      <c r="H5897" t="s">
        <v>20091</v>
      </c>
    </row>
    <row r="5898" spans="6:8">
      <c r="H5898" t="s">
        <v>19712</v>
      </c>
    </row>
    <row r="5899" spans="6:8">
      <c r="H5899" t="s">
        <v>20095</v>
      </c>
    </row>
    <row r="5900" spans="6:8">
      <c r="H5900" t="s">
        <v>20096</v>
      </c>
    </row>
    <row r="5901" spans="6:8">
      <c r="H5901" t="s">
        <v>20097</v>
      </c>
    </row>
    <row r="5902" spans="6:8">
      <c r="H5902" t="s">
        <v>20098</v>
      </c>
    </row>
    <row r="5903" spans="6:8">
      <c r="H5903" t="s">
        <v>20099</v>
      </c>
    </row>
    <row r="5904" spans="6:8">
      <c r="H5904" t="s">
        <v>20100</v>
      </c>
    </row>
    <row r="5905" spans="6:8">
      <c r="F5905" t="s">
        <v>11325</v>
      </c>
      <c r="G5905" t="s">
        <v>15263</v>
      </c>
      <c r="H5905" t="s">
        <v>20091</v>
      </c>
    </row>
    <row r="5906" spans="6:8">
      <c r="H5906" t="s">
        <v>19712</v>
      </c>
    </row>
    <row r="5907" spans="6:8">
      <c r="H5907" t="s">
        <v>19709</v>
      </c>
    </row>
    <row r="5908" spans="6:8">
      <c r="H5908" t="s">
        <v>19706</v>
      </c>
    </row>
    <row r="5909" spans="6:8">
      <c r="H5909" t="s">
        <v>20107</v>
      </c>
    </row>
    <row r="5910" spans="6:8">
      <c r="H5910" t="s">
        <v>20108</v>
      </c>
    </row>
    <row r="5911" spans="6:8">
      <c r="H5911" t="s">
        <v>19713</v>
      </c>
    </row>
    <row r="5912" spans="6:8">
      <c r="H5912" t="s">
        <v>19714</v>
      </c>
    </row>
    <row r="5913" spans="6:8">
      <c r="H5913" t="s">
        <v>20109</v>
      </c>
    </row>
    <row r="5914" spans="6:8">
      <c r="H5914" t="s">
        <v>20110</v>
      </c>
    </row>
    <row r="5915" spans="6:8">
      <c r="H5915" t="s">
        <v>20111</v>
      </c>
    </row>
    <row r="5916" spans="6:8">
      <c r="H5916" t="s">
        <v>20112</v>
      </c>
    </row>
    <row r="5917" spans="6:8">
      <c r="H5917" t="s">
        <v>20095</v>
      </c>
    </row>
    <row r="5918" spans="6:8">
      <c r="H5918" t="s">
        <v>20096</v>
      </c>
    </row>
    <row r="5919" spans="6:8">
      <c r="H5919" t="s">
        <v>20097</v>
      </c>
    </row>
    <row r="5920" spans="6:8">
      <c r="F5920" t="s">
        <v>11326</v>
      </c>
      <c r="G5920" t="s">
        <v>15264</v>
      </c>
      <c r="H5920" t="s">
        <v>20091</v>
      </c>
    </row>
    <row r="5921" spans="6:8">
      <c r="H5921" t="s">
        <v>19712</v>
      </c>
    </row>
    <row r="5922" spans="6:8">
      <c r="H5922" t="s">
        <v>19709</v>
      </c>
    </row>
    <row r="5923" spans="6:8">
      <c r="H5923" t="s">
        <v>19706</v>
      </c>
    </row>
    <row r="5924" spans="6:8">
      <c r="H5924" t="s">
        <v>20107</v>
      </c>
    </row>
    <row r="5925" spans="6:8">
      <c r="H5925" t="s">
        <v>20108</v>
      </c>
    </row>
    <row r="5926" spans="6:8">
      <c r="H5926" t="s">
        <v>19713</v>
      </c>
    </row>
    <row r="5927" spans="6:8">
      <c r="H5927" t="s">
        <v>19714</v>
      </c>
    </row>
    <row r="5928" spans="6:8">
      <c r="H5928" t="s">
        <v>20109</v>
      </c>
    </row>
    <row r="5929" spans="6:8">
      <c r="H5929" t="s">
        <v>20110</v>
      </c>
    </row>
    <row r="5930" spans="6:8">
      <c r="H5930" t="s">
        <v>20111</v>
      </c>
    </row>
    <row r="5931" spans="6:8">
      <c r="H5931" t="s">
        <v>20112</v>
      </c>
    </row>
    <row r="5932" spans="6:8">
      <c r="H5932" t="s">
        <v>20095</v>
      </c>
    </row>
    <row r="5933" spans="6:8">
      <c r="H5933" t="s">
        <v>20096</v>
      </c>
    </row>
    <row r="5934" spans="6:8">
      <c r="H5934" t="s">
        <v>20097</v>
      </c>
    </row>
    <row r="5935" spans="6:8">
      <c r="F5935" t="s">
        <v>11327</v>
      </c>
      <c r="G5935" t="s">
        <v>15265</v>
      </c>
      <c r="H5935" t="s">
        <v>20091</v>
      </c>
    </row>
    <row r="5936" spans="6:8">
      <c r="H5936" t="s">
        <v>19712</v>
      </c>
    </row>
    <row r="5937" spans="6:8">
      <c r="H5937" t="s">
        <v>19709</v>
      </c>
    </row>
    <row r="5938" spans="6:8">
      <c r="H5938" t="s">
        <v>19706</v>
      </c>
    </row>
    <row r="5939" spans="6:8">
      <c r="H5939" t="s">
        <v>20107</v>
      </c>
    </row>
    <row r="5940" spans="6:8">
      <c r="H5940" t="s">
        <v>20108</v>
      </c>
    </row>
    <row r="5941" spans="6:8">
      <c r="H5941" t="s">
        <v>19713</v>
      </c>
    </row>
    <row r="5942" spans="6:8">
      <c r="H5942" t="s">
        <v>19714</v>
      </c>
    </row>
    <row r="5943" spans="6:8">
      <c r="H5943" t="s">
        <v>20109</v>
      </c>
    </row>
    <row r="5944" spans="6:8">
      <c r="H5944" t="s">
        <v>20110</v>
      </c>
    </row>
    <row r="5945" spans="6:8">
      <c r="H5945" t="s">
        <v>20111</v>
      </c>
    </row>
    <row r="5946" spans="6:8">
      <c r="H5946" t="s">
        <v>20112</v>
      </c>
    </row>
    <row r="5947" spans="6:8">
      <c r="H5947" t="s">
        <v>20095</v>
      </c>
    </row>
    <row r="5948" spans="6:8">
      <c r="H5948" t="s">
        <v>20096</v>
      </c>
    </row>
    <row r="5949" spans="6:8">
      <c r="H5949" t="s">
        <v>20097</v>
      </c>
    </row>
    <row r="5950" spans="6:8">
      <c r="H5950" t="s">
        <v>20098</v>
      </c>
    </row>
    <row r="5951" spans="6:8">
      <c r="F5951" t="s">
        <v>11328</v>
      </c>
      <c r="G5951" t="s">
        <v>15266</v>
      </c>
      <c r="H5951" t="s">
        <v>20091</v>
      </c>
    </row>
    <row r="5952" spans="6:8">
      <c r="H5952" t="s">
        <v>19712</v>
      </c>
    </row>
    <row r="5953" spans="6:8">
      <c r="H5953" t="s">
        <v>19709</v>
      </c>
    </row>
    <row r="5954" spans="6:8">
      <c r="H5954" t="s">
        <v>19706</v>
      </c>
    </row>
    <row r="5955" spans="6:8">
      <c r="H5955" t="s">
        <v>20107</v>
      </c>
    </row>
    <row r="5956" spans="6:8">
      <c r="H5956" t="s">
        <v>20108</v>
      </c>
    </row>
    <row r="5957" spans="6:8">
      <c r="H5957" t="s">
        <v>19713</v>
      </c>
    </row>
    <row r="5958" spans="6:8">
      <c r="H5958" t="s">
        <v>19714</v>
      </c>
    </row>
    <row r="5959" spans="6:8">
      <c r="H5959" t="s">
        <v>20109</v>
      </c>
    </row>
    <row r="5960" spans="6:8">
      <c r="H5960" t="s">
        <v>20110</v>
      </c>
    </row>
    <row r="5961" spans="6:8">
      <c r="H5961" t="s">
        <v>20111</v>
      </c>
    </row>
    <row r="5962" spans="6:8">
      <c r="H5962" t="s">
        <v>20112</v>
      </c>
    </row>
    <row r="5963" spans="6:8">
      <c r="H5963" t="s">
        <v>20095</v>
      </c>
    </row>
    <row r="5964" spans="6:8">
      <c r="H5964" t="s">
        <v>20096</v>
      </c>
    </row>
    <row r="5965" spans="6:8">
      <c r="H5965" t="s">
        <v>20097</v>
      </c>
    </row>
    <row r="5966" spans="6:8">
      <c r="H5966" t="s">
        <v>20098</v>
      </c>
    </row>
    <row r="5967" spans="6:8">
      <c r="F5967" t="s">
        <v>11329</v>
      </c>
      <c r="G5967" t="s">
        <v>15267</v>
      </c>
      <c r="H5967" t="s">
        <v>20091</v>
      </c>
    </row>
    <row r="5968" spans="6:8">
      <c r="H5968" t="s">
        <v>19712</v>
      </c>
    </row>
    <row r="5969" spans="6:8">
      <c r="H5969" t="s">
        <v>19709</v>
      </c>
    </row>
    <row r="5970" spans="6:8">
      <c r="H5970" t="s">
        <v>19706</v>
      </c>
    </row>
    <row r="5971" spans="6:8">
      <c r="H5971" t="s">
        <v>19707</v>
      </c>
    </row>
    <row r="5972" spans="6:8">
      <c r="H5972" t="s">
        <v>20107</v>
      </c>
    </row>
    <row r="5973" spans="6:8">
      <c r="H5973" t="s">
        <v>20108</v>
      </c>
    </row>
    <row r="5974" spans="6:8">
      <c r="H5974" t="s">
        <v>19713</v>
      </c>
    </row>
    <row r="5975" spans="6:8">
      <c r="H5975" t="s">
        <v>19714</v>
      </c>
    </row>
    <row r="5976" spans="6:8">
      <c r="H5976" t="s">
        <v>20109</v>
      </c>
    </row>
    <row r="5977" spans="6:8">
      <c r="H5977" t="s">
        <v>20095</v>
      </c>
    </row>
    <row r="5978" spans="6:8">
      <c r="H5978" t="s">
        <v>20096</v>
      </c>
    </row>
    <row r="5979" spans="6:8">
      <c r="H5979" t="s">
        <v>20097</v>
      </c>
    </row>
    <row r="5980" spans="6:8">
      <c r="H5980" t="s">
        <v>20098</v>
      </c>
    </row>
    <row r="5981" spans="6:8">
      <c r="F5981" t="s">
        <v>11330</v>
      </c>
      <c r="G5981" t="s">
        <v>15268</v>
      </c>
      <c r="H5981" t="s">
        <v>20091</v>
      </c>
    </row>
    <row r="5982" spans="6:8">
      <c r="H5982" t="s">
        <v>19712</v>
      </c>
    </row>
    <row r="5983" spans="6:8">
      <c r="H5983" t="s">
        <v>19709</v>
      </c>
    </row>
    <row r="5984" spans="6:8">
      <c r="H5984" t="s">
        <v>19706</v>
      </c>
    </row>
    <row r="5985" spans="6:8">
      <c r="H5985" t="s">
        <v>19707</v>
      </c>
    </row>
    <row r="5986" spans="6:8">
      <c r="H5986" t="s">
        <v>20107</v>
      </c>
    </row>
    <row r="5987" spans="6:8">
      <c r="H5987" t="s">
        <v>20108</v>
      </c>
    </row>
    <row r="5988" spans="6:8">
      <c r="H5988" t="s">
        <v>19713</v>
      </c>
    </row>
    <row r="5989" spans="6:8">
      <c r="H5989" t="s">
        <v>19714</v>
      </c>
    </row>
    <row r="5990" spans="6:8">
      <c r="H5990" t="s">
        <v>20109</v>
      </c>
    </row>
    <row r="5991" spans="6:8">
      <c r="H5991" t="s">
        <v>20095</v>
      </c>
    </row>
    <row r="5992" spans="6:8">
      <c r="H5992" t="s">
        <v>20096</v>
      </c>
    </row>
    <row r="5993" spans="6:8">
      <c r="H5993" t="s">
        <v>20097</v>
      </c>
    </row>
    <row r="5994" spans="6:8">
      <c r="H5994" t="s">
        <v>20098</v>
      </c>
    </row>
    <row r="5995" spans="6:8">
      <c r="F5995" t="s">
        <v>11331</v>
      </c>
      <c r="G5995" t="s">
        <v>15269</v>
      </c>
      <c r="H5995" t="s">
        <v>20091</v>
      </c>
    </row>
    <row r="5996" spans="6:8">
      <c r="H5996" t="s">
        <v>19712</v>
      </c>
    </row>
    <row r="5997" spans="6:8">
      <c r="H5997" t="s">
        <v>19709</v>
      </c>
    </row>
    <row r="5998" spans="6:8">
      <c r="H5998" t="s">
        <v>19706</v>
      </c>
    </row>
    <row r="5999" spans="6:8">
      <c r="H5999" t="s">
        <v>19707</v>
      </c>
    </row>
    <row r="6000" spans="6:8">
      <c r="H6000" t="s">
        <v>20107</v>
      </c>
    </row>
    <row r="6001" spans="6:8">
      <c r="H6001" t="s">
        <v>20108</v>
      </c>
    </row>
    <row r="6002" spans="6:8">
      <c r="H6002" t="s">
        <v>19713</v>
      </c>
    </row>
    <row r="6003" spans="6:8">
      <c r="H6003" t="s">
        <v>19714</v>
      </c>
    </row>
    <row r="6004" spans="6:8">
      <c r="H6004" t="s">
        <v>20109</v>
      </c>
    </row>
    <row r="6005" spans="6:8">
      <c r="H6005" t="s">
        <v>20095</v>
      </c>
    </row>
    <row r="6006" spans="6:8">
      <c r="H6006" t="s">
        <v>20096</v>
      </c>
    </row>
    <row r="6007" spans="6:8">
      <c r="H6007" t="s">
        <v>20097</v>
      </c>
    </row>
    <row r="6008" spans="6:8">
      <c r="H6008" t="s">
        <v>20098</v>
      </c>
    </row>
    <row r="6009" spans="6:8">
      <c r="F6009" t="s">
        <v>11332</v>
      </c>
      <c r="G6009" t="s">
        <v>15270</v>
      </c>
      <c r="H6009" t="s">
        <v>20091</v>
      </c>
    </row>
    <row r="6010" spans="6:8">
      <c r="H6010" t="s">
        <v>19712</v>
      </c>
    </row>
    <row r="6011" spans="6:8">
      <c r="H6011" t="s">
        <v>19709</v>
      </c>
    </row>
    <row r="6012" spans="6:8">
      <c r="H6012" t="s">
        <v>19706</v>
      </c>
    </row>
    <row r="6013" spans="6:8">
      <c r="H6013" t="s">
        <v>19707</v>
      </c>
    </row>
    <row r="6014" spans="6:8">
      <c r="H6014" t="s">
        <v>20107</v>
      </c>
    </row>
    <row r="6015" spans="6:8">
      <c r="H6015" t="s">
        <v>20108</v>
      </c>
    </row>
    <row r="6016" spans="6:8">
      <c r="H6016" t="s">
        <v>19713</v>
      </c>
    </row>
    <row r="6017" spans="6:8">
      <c r="H6017" t="s">
        <v>19714</v>
      </c>
    </row>
    <row r="6018" spans="6:8">
      <c r="H6018" t="s">
        <v>20109</v>
      </c>
    </row>
    <row r="6019" spans="6:8">
      <c r="H6019" t="s">
        <v>20095</v>
      </c>
    </row>
    <row r="6020" spans="6:8">
      <c r="H6020" t="s">
        <v>20096</v>
      </c>
    </row>
    <row r="6021" spans="6:8">
      <c r="H6021" t="s">
        <v>20097</v>
      </c>
    </row>
    <row r="6022" spans="6:8">
      <c r="H6022" t="s">
        <v>20098</v>
      </c>
    </row>
    <row r="6023" spans="6:8">
      <c r="F6023" t="s">
        <v>11333</v>
      </c>
      <c r="G6023" t="s">
        <v>15271</v>
      </c>
      <c r="H6023" t="s">
        <v>20091</v>
      </c>
    </row>
    <row r="6024" spans="6:8">
      <c r="H6024" t="s">
        <v>19712</v>
      </c>
    </row>
    <row r="6025" spans="6:8">
      <c r="H6025" t="s">
        <v>19709</v>
      </c>
    </row>
    <row r="6026" spans="6:8">
      <c r="H6026" t="s">
        <v>19706</v>
      </c>
    </row>
    <row r="6027" spans="6:8">
      <c r="H6027" t="s">
        <v>20107</v>
      </c>
    </row>
    <row r="6028" spans="6:8">
      <c r="H6028" t="s">
        <v>20108</v>
      </c>
    </row>
    <row r="6029" spans="6:8">
      <c r="H6029" t="s">
        <v>19713</v>
      </c>
    </row>
    <row r="6030" spans="6:8">
      <c r="H6030" t="s">
        <v>19714</v>
      </c>
    </row>
    <row r="6031" spans="6:8">
      <c r="H6031" t="s">
        <v>20109</v>
      </c>
    </row>
    <row r="6032" spans="6:8">
      <c r="H6032" t="s">
        <v>20110</v>
      </c>
    </row>
    <row r="6033" spans="6:8">
      <c r="H6033" t="s">
        <v>20111</v>
      </c>
    </row>
    <row r="6034" spans="6:8">
      <c r="H6034" t="s">
        <v>20095</v>
      </c>
    </row>
    <row r="6035" spans="6:8">
      <c r="H6035" t="s">
        <v>20096</v>
      </c>
    </row>
    <row r="6036" spans="6:8">
      <c r="H6036" t="s">
        <v>20097</v>
      </c>
    </row>
    <row r="6037" spans="6:8">
      <c r="H6037" t="s">
        <v>20098</v>
      </c>
    </row>
    <row r="6038" spans="6:8">
      <c r="F6038" t="s">
        <v>11334</v>
      </c>
      <c r="G6038" t="s">
        <v>15272</v>
      </c>
      <c r="H6038" t="s">
        <v>20091</v>
      </c>
    </row>
    <row r="6039" spans="6:8">
      <c r="H6039" t="s">
        <v>19712</v>
      </c>
    </row>
    <row r="6040" spans="6:8">
      <c r="H6040" t="s">
        <v>19709</v>
      </c>
    </row>
    <row r="6041" spans="6:8">
      <c r="H6041" t="s">
        <v>19706</v>
      </c>
    </row>
    <row r="6042" spans="6:8">
      <c r="H6042" t="s">
        <v>20107</v>
      </c>
    </row>
    <row r="6043" spans="6:8">
      <c r="H6043" t="s">
        <v>20108</v>
      </c>
    </row>
    <row r="6044" spans="6:8">
      <c r="H6044" t="s">
        <v>19713</v>
      </c>
    </row>
    <row r="6045" spans="6:8">
      <c r="H6045" t="s">
        <v>19714</v>
      </c>
    </row>
    <row r="6046" spans="6:8">
      <c r="H6046" t="s">
        <v>20109</v>
      </c>
    </row>
    <row r="6047" spans="6:8">
      <c r="H6047" t="s">
        <v>20110</v>
      </c>
    </row>
    <row r="6048" spans="6:8">
      <c r="H6048" t="s">
        <v>20111</v>
      </c>
    </row>
    <row r="6049" spans="6:8">
      <c r="H6049" t="s">
        <v>20095</v>
      </c>
    </row>
    <row r="6050" spans="6:8">
      <c r="H6050" t="s">
        <v>20096</v>
      </c>
    </row>
    <row r="6051" spans="6:8">
      <c r="H6051" t="s">
        <v>20097</v>
      </c>
    </row>
    <row r="6052" spans="6:8">
      <c r="H6052" t="s">
        <v>20098</v>
      </c>
    </row>
    <row r="6053" spans="6:8">
      <c r="F6053" t="s">
        <v>11335</v>
      </c>
      <c r="G6053" t="s">
        <v>15273</v>
      </c>
      <c r="H6053" t="s">
        <v>20091</v>
      </c>
    </row>
    <row r="6054" spans="6:8">
      <c r="H6054" t="s">
        <v>19712</v>
      </c>
    </row>
    <row r="6055" spans="6:8">
      <c r="H6055" t="s">
        <v>19709</v>
      </c>
    </row>
    <row r="6056" spans="6:8">
      <c r="H6056" t="s">
        <v>19706</v>
      </c>
    </row>
    <row r="6057" spans="6:8">
      <c r="H6057" t="s">
        <v>19707</v>
      </c>
    </row>
    <row r="6058" spans="6:8">
      <c r="H6058" t="s">
        <v>20107</v>
      </c>
    </row>
    <row r="6059" spans="6:8">
      <c r="H6059" t="s">
        <v>20108</v>
      </c>
    </row>
    <row r="6060" spans="6:8">
      <c r="H6060" t="s">
        <v>19713</v>
      </c>
    </row>
    <row r="6061" spans="6:8">
      <c r="H6061" t="s">
        <v>19714</v>
      </c>
    </row>
    <row r="6062" spans="6:8">
      <c r="H6062" t="s">
        <v>20109</v>
      </c>
    </row>
    <row r="6063" spans="6:8">
      <c r="H6063" t="s">
        <v>20095</v>
      </c>
    </row>
    <row r="6064" spans="6:8">
      <c r="H6064" t="s">
        <v>20096</v>
      </c>
    </row>
    <row r="6065" spans="6:8">
      <c r="H6065" t="s">
        <v>20097</v>
      </c>
    </row>
    <row r="6066" spans="6:8">
      <c r="H6066" t="s">
        <v>20098</v>
      </c>
    </row>
    <row r="6067" spans="6:8">
      <c r="F6067" t="s">
        <v>11336</v>
      </c>
      <c r="G6067" t="s">
        <v>15274</v>
      </c>
      <c r="H6067" t="s">
        <v>20091</v>
      </c>
    </row>
    <row r="6068" spans="6:8">
      <c r="H6068" t="s">
        <v>19712</v>
      </c>
    </row>
    <row r="6069" spans="6:8">
      <c r="H6069" t="s">
        <v>19709</v>
      </c>
    </row>
    <row r="6070" spans="6:8">
      <c r="H6070" t="s">
        <v>19706</v>
      </c>
    </row>
    <row r="6071" spans="6:8">
      <c r="H6071" t="s">
        <v>19707</v>
      </c>
    </row>
    <row r="6072" spans="6:8">
      <c r="H6072" t="s">
        <v>20107</v>
      </c>
    </row>
    <row r="6073" spans="6:8">
      <c r="H6073" t="s">
        <v>20108</v>
      </c>
    </row>
    <row r="6074" spans="6:8">
      <c r="H6074" t="s">
        <v>19713</v>
      </c>
    </row>
    <row r="6075" spans="6:8">
      <c r="H6075" t="s">
        <v>19714</v>
      </c>
    </row>
    <row r="6076" spans="6:8">
      <c r="H6076" t="s">
        <v>20109</v>
      </c>
    </row>
    <row r="6077" spans="6:8">
      <c r="H6077" t="s">
        <v>20095</v>
      </c>
    </row>
    <row r="6078" spans="6:8">
      <c r="H6078" t="s">
        <v>20096</v>
      </c>
    </row>
    <row r="6079" spans="6:8">
      <c r="H6079" t="s">
        <v>20097</v>
      </c>
    </row>
    <row r="6080" spans="6:8">
      <c r="H6080" t="s">
        <v>20098</v>
      </c>
    </row>
    <row r="6081" spans="6:8">
      <c r="F6081" t="s">
        <v>11337</v>
      </c>
      <c r="G6081" t="s">
        <v>15275</v>
      </c>
      <c r="H6081" t="s">
        <v>20091</v>
      </c>
    </row>
    <row r="6082" spans="6:8">
      <c r="H6082" t="s">
        <v>19712</v>
      </c>
    </row>
    <row r="6083" spans="6:8">
      <c r="H6083" t="s">
        <v>19709</v>
      </c>
    </row>
    <row r="6084" spans="6:8">
      <c r="H6084" t="s">
        <v>19706</v>
      </c>
    </row>
    <row r="6085" spans="6:8">
      <c r="H6085" t="s">
        <v>19707</v>
      </c>
    </row>
    <row r="6086" spans="6:8">
      <c r="H6086" t="s">
        <v>19711</v>
      </c>
    </row>
    <row r="6087" spans="6:8">
      <c r="H6087" t="s">
        <v>20107</v>
      </c>
    </row>
    <row r="6088" spans="6:8">
      <c r="H6088" t="s">
        <v>20108</v>
      </c>
    </row>
    <row r="6089" spans="6:8">
      <c r="H6089" t="s">
        <v>20095</v>
      </c>
    </row>
    <row r="6090" spans="6:8">
      <c r="H6090" t="s">
        <v>20096</v>
      </c>
    </row>
    <row r="6091" spans="6:8">
      <c r="H6091" t="s">
        <v>20097</v>
      </c>
    </row>
    <row r="6092" spans="6:8">
      <c r="H6092" t="s">
        <v>20098</v>
      </c>
    </row>
    <row r="6093" spans="6:8">
      <c r="F6093" t="s">
        <v>11338</v>
      </c>
      <c r="G6093" t="s">
        <v>15276</v>
      </c>
      <c r="H6093" t="s">
        <v>20091</v>
      </c>
    </row>
    <row r="6094" spans="6:8">
      <c r="H6094" t="s">
        <v>19712</v>
      </c>
    </row>
    <row r="6095" spans="6:8">
      <c r="H6095" t="s">
        <v>19709</v>
      </c>
    </row>
    <row r="6096" spans="6:8">
      <c r="H6096" t="s">
        <v>19706</v>
      </c>
    </row>
    <row r="6097" spans="6:8">
      <c r="H6097" t="s">
        <v>19707</v>
      </c>
    </row>
    <row r="6098" spans="6:8">
      <c r="H6098" t="s">
        <v>20107</v>
      </c>
    </row>
    <row r="6099" spans="6:8">
      <c r="H6099" t="s">
        <v>20108</v>
      </c>
    </row>
    <row r="6100" spans="6:8">
      <c r="H6100" t="s">
        <v>19713</v>
      </c>
    </row>
    <row r="6101" spans="6:8">
      <c r="H6101" t="s">
        <v>20095</v>
      </c>
    </row>
    <row r="6102" spans="6:8">
      <c r="H6102" t="s">
        <v>20096</v>
      </c>
    </row>
    <row r="6103" spans="6:8">
      <c r="H6103" t="s">
        <v>20097</v>
      </c>
    </row>
    <row r="6104" spans="6:8">
      <c r="H6104" t="s">
        <v>20098</v>
      </c>
    </row>
    <row r="6105" spans="6:8">
      <c r="F6105" t="s">
        <v>11339</v>
      </c>
      <c r="G6105" t="s">
        <v>15635</v>
      </c>
      <c r="H6105" t="s">
        <v>20091</v>
      </c>
    </row>
    <row r="6106" spans="6:8">
      <c r="H6106" t="s">
        <v>19712</v>
      </c>
    </row>
    <row r="6107" spans="6:8">
      <c r="H6107" t="s">
        <v>19709</v>
      </c>
    </row>
    <row r="6108" spans="6:8">
      <c r="H6108" t="s">
        <v>20107</v>
      </c>
    </row>
    <row r="6109" spans="6:8">
      <c r="H6109" t="s">
        <v>20092</v>
      </c>
    </row>
    <row r="6110" spans="6:8">
      <c r="H6110" t="s">
        <v>20095</v>
      </c>
    </row>
    <row r="6111" spans="6:8">
      <c r="H6111" t="s">
        <v>20096</v>
      </c>
    </row>
    <row r="6112" spans="6:8">
      <c r="H6112" t="s">
        <v>20097</v>
      </c>
    </row>
    <row r="6113" spans="6:8">
      <c r="H6113" t="s">
        <v>20098</v>
      </c>
    </row>
    <row r="6114" spans="6:8">
      <c r="H6114" t="s">
        <v>20099</v>
      </c>
    </row>
    <row r="6115" spans="6:8">
      <c r="H6115" t="s">
        <v>20100</v>
      </c>
    </row>
    <row r="6116" spans="6:8">
      <c r="H6116" t="s">
        <v>20101</v>
      </c>
    </row>
    <row r="6117" spans="6:8">
      <c r="H6117" t="s">
        <v>20102</v>
      </c>
    </row>
    <row r="6118" spans="6:8">
      <c r="F6118" t="s">
        <v>11340</v>
      </c>
      <c r="G6118" t="s">
        <v>15636</v>
      </c>
      <c r="H6118" t="s">
        <v>20091</v>
      </c>
    </row>
    <row r="6119" spans="6:8">
      <c r="H6119" t="s">
        <v>20092</v>
      </c>
    </row>
    <row r="6120" spans="6:8">
      <c r="H6120" t="s">
        <v>20103</v>
      </c>
    </row>
    <row r="6121" spans="6:8">
      <c r="H6121" t="s">
        <v>20116</v>
      </c>
    </row>
    <row r="6122" spans="6:8">
      <c r="H6122" t="s">
        <v>20095</v>
      </c>
    </row>
    <row r="6123" spans="6:8">
      <c r="H6123" t="s">
        <v>20096</v>
      </c>
    </row>
    <row r="6124" spans="6:8">
      <c r="H6124" t="s">
        <v>20097</v>
      </c>
    </row>
    <row r="6125" spans="6:8">
      <c r="H6125" t="s">
        <v>20098</v>
      </c>
    </row>
    <row r="6126" spans="6:8">
      <c r="H6126" t="s">
        <v>20099</v>
      </c>
    </row>
    <row r="6127" spans="6:8">
      <c r="H6127" t="s">
        <v>20100</v>
      </c>
    </row>
    <row r="6128" spans="6:8">
      <c r="H6128" t="s">
        <v>20101</v>
      </c>
    </row>
    <row r="6129" spans="6:8">
      <c r="H6129" t="s">
        <v>20102</v>
      </c>
    </row>
    <row r="6130" spans="6:8">
      <c r="F6130" t="s">
        <v>11341</v>
      </c>
      <c r="G6130" t="s">
        <v>15542</v>
      </c>
      <c r="H6130" t="s">
        <v>20091</v>
      </c>
    </row>
    <row r="6131" spans="6:8">
      <c r="F6131" t="s">
        <v>11342</v>
      </c>
      <c r="G6131" t="s">
        <v>15277</v>
      </c>
      <c r="H6131" t="s">
        <v>20091</v>
      </c>
    </row>
    <row r="6132" spans="6:8">
      <c r="H6132" t="s">
        <v>19712</v>
      </c>
    </row>
    <row r="6133" spans="6:8">
      <c r="H6133" t="s">
        <v>19709</v>
      </c>
    </row>
    <row r="6134" spans="6:8">
      <c r="H6134" t="s">
        <v>19706</v>
      </c>
    </row>
    <row r="6135" spans="6:8">
      <c r="H6135" t="s">
        <v>20107</v>
      </c>
    </row>
    <row r="6136" spans="6:8">
      <c r="H6136" t="s">
        <v>20108</v>
      </c>
    </row>
    <row r="6137" spans="6:8">
      <c r="H6137" t="s">
        <v>19713</v>
      </c>
    </row>
    <row r="6138" spans="6:8">
      <c r="H6138" t="s">
        <v>19714</v>
      </c>
    </row>
    <row r="6139" spans="6:8">
      <c r="H6139" t="s">
        <v>20109</v>
      </c>
    </row>
    <row r="6140" spans="6:8">
      <c r="H6140" t="s">
        <v>20110</v>
      </c>
    </row>
    <row r="6141" spans="6:8">
      <c r="H6141" t="s">
        <v>20111</v>
      </c>
    </row>
    <row r="6142" spans="6:8">
      <c r="H6142" t="s">
        <v>20095</v>
      </c>
    </row>
    <row r="6143" spans="6:8">
      <c r="H6143" t="s">
        <v>20096</v>
      </c>
    </row>
    <row r="6144" spans="6:8">
      <c r="H6144" t="s">
        <v>20097</v>
      </c>
    </row>
    <row r="6145" spans="6:8">
      <c r="H6145" t="s">
        <v>20098</v>
      </c>
    </row>
    <row r="6146" spans="6:8">
      <c r="F6146" t="s">
        <v>11343</v>
      </c>
      <c r="G6146" t="s">
        <v>15278</v>
      </c>
      <c r="H6146" t="s">
        <v>20091</v>
      </c>
    </row>
    <row r="6147" spans="6:8">
      <c r="H6147" t="s">
        <v>19712</v>
      </c>
    </row>
    <row r="6148" spans="6:8">
      <c r="H6148" t="s">
        <v>19709</v>
      </c>
    </row>
    <row r="6149" spans="6:8">
      <c r="H6149" t="s">
        <v>19706</v>
      </c>
    </row>
    <row r="6150" spans="6:8">
      <c r="H6150" t="s">
        <v>20107</v>
      </c>
    </row>
    <row r="6151" spans="6:8">
      <c r="H6151" t="s">
        <v>20108</v>
      </c>
    </row>
    <row r="6152" spans="6:8">
      <c r="H6152" t="s">
        <v>19713</v>
      </c>
    </row>
    <row r="6153" spans="6:8">
      <c r="H6153" t="s">
        <v>19714</v>
      </c>
    </row>
    <row r="6154" spans="6:8">
      <c r="H6154" t="s">
        <v>20109</v>
      </c>
    </row>
    <row r="6155" spans="6:8">
      <c r="H6155" t="s">
        <v>20095</v>
      </c>
    </row>
    <row r="6156" spans="6:8">
      <c r="H6156" t="s">
        <v>20096</v>
      </c>
    </row>
    <row r="6157" spans="6:8">
      <c r="H6157" t="s">
        <v>20097</v>
      </c>
    </row>
    <row r="6158" spans="6:8">
      <c r="H6158" t="s">
        <v>20098</v>
      </c>
    </row>
    <row r="6159" spans="6:8">
      <c r="F6159" t="s">
        <v>11344</v>
      </c>
      <c r="G6159" t="s">
        <v>15637</v>
      </c>
      <c r="H6159" t="s">
        <v>20091</v>
      </c>
    </row>
    <row r="6160" spans="6:8">
      <c r="H6160" t="s">
        <v>19712</v>
      </c>
    </row>
    <row r="6161" spans="6:8">
      <c r="H6161" t="s">
        <v>20095</v>
      </c>
    </row>
    <row r="6162" spans="6:8">
      <c r="H6162" t="s">
        <v>20096</v>
      </c>
    </row>
    <row r="6163" spans="6:8">
      <c r="F6163" t="s">
        <v>11345</v>
      </c>
      <c r="G6163" t="s">
        <v>15543</v>
      </c>
      <c r="H6163" t="s">
        <v>20091</v>
      </c>
    </row>
    <row r="6164" spans="6:8">
      <c r="H6164" t="s">
        <v>20095</v>
      </c>
    </row>
    <row r="6165" spans="6:8">
      <c r="H6165" t="s">
        <v>20096</v>
      </c>
    </row>
    <row r="6166" spans="6:8">
      <c r="H6166" t="s">
        <v>20097</v>
      </c>
    </row>
    <row r="6167" spans="6:8">
      <c r="F6167" t="s">
        <v>11346</v>
      </c>
      <c r="G6167" t="s">
        <v>15546</v>
      </c>
      <c r="H6167" t="s">
        <v>20091</v>
      </c>
    </row>
    <row r="6168" spans="6:8">
      <c r="H6168" t="s">
        <v>20092</v>
      </c>
    </row>
    <row r="6169" spans="6:8">
      <c r="H6169" t="s">
        <v>20095</v>
      </c>
    </row>
    <row r="6170" spans="6:8">
      <c r="H6170" t="s">
        <v>20096</v>
      </c>
    </row>
    <row r="6171" spans="6:8">
      <c r="H6171" t="s">
        <v>20097</v>
      </c>
    </row>
    <row r="6172" spans="6:8">
      <c r="H6172" t="s">
        <v>20098</v>
      </c>
    </row>
    <row r="6173" spans="6:8">
      <c r="F6173" t="s">
        <v>11347</v>
      </c>
      <c r="G6173" t="s">
        <v>15638</v>
      </c>
      <c r="H6173" t="s">
        <v>20091</v>
      </c>
    </row>
    <row r="6174" spans="6:8">
      <c r="H6174" t="s">
        <v>19712</v>
      </c>
    </row>
    <row r="6175" spans="6:8">
      <c r="H6175" t="s">
        <v>19709</v>
      </c>
    </row>
    <row r="6176" spans="6:8">
      <c r="H6176" t="s">
        <v>19706</v>
      </c>
    </row>
    <row r="6177" spans="6:8">
      <c r="H6177" t="s">
        <v>20092</v>
      </c>
    </row>
    <row r="6178" spans="6:8">
      <c r="H6178" t="s">
        <v>20093</v>
      </c>
    </row>
    <row r="6179" spans="6:8">
      <c r="H6179" t="s">
        <v>20096</v>
      </c>
    </row>
    <row r="6180" spans="6:8">
      <c r="H6180" t="s">
        <v>20097</v>
      </c>
    </row>
    <row r="6181" spans="6:8">
      <c r="H6181" t="s">
        <v>20098</v>
      </c>
    </row>
    <row r="6182" spans="6:8">
      <c r="H6182" t="s">
        <v>20099</v>
      </c>
    </row>
    <row r="6183" spans="6:8">
      <c r="F6183" t="s">
        <v>11348</v>
      </c>
      <c r="G6183" t="s">
        <v>15279</v>
      </c>
      <c r="H6183" t="s">
        <v>20091</v>
      </c>
    </row>
    <row r="6184" spans="6:8">
      <c r="H6184" t="s">
        <v>19712</v>
      </c>
    </row>
    <row r="6185" spans="6:8">
      <c r="H6185" t="s">
        <v>19709</v>
      </c>
    </row>
    <row r="6186" spans="6:8">
      <c r="H6186" t="s">
        <v>19706</v>
      </c>
    </row>
    <row r="6187" spans="6:8">
      <c r="H6187" t="s">
        <v>20107</v>
      </c>
    </row>
    <row r="6188" spans="6:8">
      <c r="H6188" t="s">
        <v>20108</v>
      </c>
    </row>
    <row r="6189" spans="6:8">
      <c r="H6189" t="s">
        <v>20095</v>
      </c>
    </row>
    <row r="6190" spans="6:8">
      <c r="H6190" t="s">
        <v>20096</v>
      </c>
    </row>
    <row r="6191" spans="6:8">
      <c r="H6191" t="s">
        <v>20097</v>
      </c>
    </row>
    <row r="6192" spans="6:8">
      <c r="H6192" t="s">
        <v>20098</v>
      </c>
    </row>
    <row r="6193" spans="6:8">
      <c r="F6193" t="s">
        <v>11349</v>
      </c>
      <c r="G6193" t="s">
        <v>15280</v>
      </c>
      <c r="H6193" t="s">
        <v>20091</v>
      </c>
    </row>
    <row r="6194" spans="6:8">
      <c r="H6194" t="s">
        <v>19712</v>
      </c>
    </row>
    <row r="6195" spans="6:8">
      <c r="H6195" t="s">
        <v>19709</v>
      </c>
    </row>
    <row r="6196" spans="6:8">
      <c r="H6196" t="s">
        <v>19706</v>
      </c>
    </row>
    <row r="6197" spans="6:8">
      <c r="H6197" t="s">
        <v>20107</v>
      </c>
    </row>
    <row r="6198" spans="6:8">
      <c r="H6198" t="s">
        <v>20108</v>
      </c>
    </row>
    <row r="6199" spans="6:8">
      <c r="H6199" t="s">
        <v>20095</v>
      </c>
    </row>
    <row r="6200" spans="6:8">
      <c r="H6200" t="s">
        <v>20096</v>
      </c>
    </row>
    <row r="6201" spans="6:8">
      <c r="H6201" t="s">
        <v>20097</v>
      </c>
    </row>
    <row r="6202" spans="6:8">
      <c r="H6202" t="s">
        <v>20098</v>
      </c>
    </row>
    <row r="6203" spans="6:8">
      <c r="F6203" t="s">
        <v>11350</v>
      </c>
      <c r="G6203" t="s">
        <v>15281</v>
      </c>
      <c r="H6203" t="s">
        <v>20091</v>
      </c>
    </row>
    <row r="6204" spans="6:8">
      <c r="H6204" t="s">
        <v>19712</v>
      </c>
    </row>
    <row r="6205" spans="6:8">
      <c r="H6205" t="s">
        <v>19709</v>
      </c>
    </row>
    <row r="6206" spans="6:8">
      <c r="H6206" t="s">
        <v>19706</v>
      </c>
    </row>
    <row r="6207" spans="6:8">
      <c r="H6207" t="s">
        <v>20107</v>
      </c>
    </row>
    <row r="6208" spans="6:8">
      <c r="H6208" t="s">
        <v>20108</v>
      </c>
    </row>
    <row r="6209" spans="6:8">
      <c r="H6209" t="s">
        <v>20095</v>
      </c>
    </row>
    <row r="6210" spans="6:8">
      <c r="H6210" t="s">
        <v>20096</v>
      </c>
    </row>
    <row r="6211" spans="6:8">
      <c r="H6211" t="s">
        <v>20097</v>
      </c>
    </row>
    <row r="6212" spans="6:8">
      <c r="H6212" t="s">
        <v>20098</v>
      </c>
    </row>
    <row r="6213" spans="6:8">
      <c r="F6213" t="s">
        <v>11351</v>
      </c>
      <c r="G6213" t="s">
        <v>15282</v>
      </c>
      <c r="H6213" t="s">
        <v>20091</v>
      </c>
    </row>
    <row r="6214" spans="6:8">
      <c r="H6214" t="s">
        <v>19712</v>
      </c>
    </row>
    <row r="6215" spans="6:8">
      <c r="H6215" t="s">
        <v>19709</v>
      </c>
    </row>
    <row r="6216" spans="6:8">
      <c r="H6216" t="s">
        <v>19706</v>
      </c>
    </row>
    <row r="6217" spans="6:8">
      <c r="H6217" t="s">
        <v>20107</v>
      </c>
    </row>
    <row r="6218" spans="6:8">
      <c r="H6218" t="s">
        <v>20108</v>
      </c>
    </row>
    <row r="6219" spans="6:8">
      <c r="H6219" t="s">
        <v>20095</v>
      </c>
    </row>
    <row r="6220" spans="6:8">
      <c r="H6220" t="s">
        <v>20096</v>
      </c>
    </row>
    <row r="6221" spans="6:8">
      <c r="H6221" t="s">
        <v>20097</v>
      </c>
    </row>
    <row r="6222" spans="6:8">
      <c r="H6222" t="s">
        <v>20098</v>
      </c>
    </row>
    <row r="6223" spans="6:8">
      <c r="F6223" t="s">
        <v>11352</v>
      </c>
      <c r="G6223" t="s">
        <v>15283</v>
      </c>
      <c r="H6223" t="s">
        <v>20091</v>
      </c>
    </row>
    <row r="6224" spans="6:8">
      <c r="H6224" t="s">
        <v>19712</v>
      </c>
    </row>
    <row r="6225" spans="6:8">
      <c r="H6225" t="s">
        <v>19709</v>
      </c>
    </row>
    <row r="6226" spans="6:8">
      <c r="H6226" t="s">
        <v>19706</v>
      </c>
    </row>
    <row r="6227" spans="6:8">
      <c r="H6227" t="s">
        <v>20107</v>
      </c>
    </row>
    <row r="6228" spans="6:8">
      <c r="H6228" t="s">
        <v>20108</v>
      </c>
    </row>
    <row r="6229" spans="6:8">
      <c r="H6229" t="s">
        <v>20095</v>
      </c>
    </row>
    <row r="6230" spans="6:8">
      <c r="H6230" t="s">
        <v>20096</v>
      </c>
    </row>
    <row r="6231" spans="6:8">
      <c r="H6231" t="s">
        <v>20097</v>
      </c>
    </row>
    <row r="6232" spans="6:8">
      <c r="H6232" t="s">
        <v>20098</v>
      </c>
    </row>
    <row r="6233" spans="6:8">
      <c r="F6233" t="s">
        <v>11353</v>
      </c>
      <c r="G6233" t="s">
        <v>15284</v>
      </c>
      <c r="H6233" t="s">
        <v>20091</v>
      </c>
    </row>
    <row r="6234" spans="6:8">
      <c r="H6234" t="s">
        <v>19712</v>
      </c>
    </row>
    <row r="6235" spans="6:8">
      <c r="H6235" t="s">
        <v>19709</v>
      </c>
    </row>
    <row r="6236" spans="6:8">
      <c r="H6236" t="s">
        <v>19706</v>
      </c>
    </row>
    <row r="6237" spans="6:8">
      <c r="H6237" t="s">
        <v>20107</v>
      </c>
    </row>
    <row r="6238" spans="6:8">
      <c r="H6238" t="s">
        <v>20108</v>
      </c>
    </row>
    <row r="6239" spans="6:8">
      <c r="H6239" t="s">
        <v>20095</v>
      </c>
    </row>
    <row r="6240" spans="6:8">
      <c r="H6240" t="s">
        <v>20096</v>
      </c>
    </row>
    <row r="6241" spans="6:8">
      <c r="H6241" t="s">
        <v>20097</v>
      </c>
    </row>
    <row r="6242" spans="6:8">
      <c r="H6242" t="s">
        <v>20098</v>
      </c>
    </row>
    <row r="6243" spans="6:8">
      <c r="F6243" t="s">
        <v>11354</v>
      </c>
      <c r="G6243" t="s">
        <v>15285</v>
      </c>
      <c r="H6243" t="s">
        <v>20091</v>
      </c>
    </row>
    <row r="6244" spans="6:8">
      <c r="H6244" t="s">
        <v>19712</v>
      </c>
    </row>
    <row r="6245" spans="6:8">
      <c r="H6245" t="s">
        <v>20107</v>
      </c>
    </row>
    <row r="6246" spans="6:8">
      <c r="H6246" t="s">
        <v>20108</v>
      </c>
    </row>
    <row r="6247" spans="6:8">
      <c r="H6247" t="s">
        <v>19713</v>
      </c>
    </row>
    <row r="6248" spans="6:8">
      <c r="H6248" t="s">
        <v>20095</v>
      </c>
    </row>
    <row r="6249" spans="6:8">
      <c r="H6249" t="s">
        <v>20096</v>
      </c>
    </row>
    <row r="6250" spans="6:8">
      <c r="H6250" t="s">
        <v>20097</v>
      </c>
    </row>
    <row r="6251" spans="6:8">
      <c r="H6251" t="s">
        <v>20098</v>
      </c>
    </row>
    <row r="6252" spans="6:8">
      <c r="H6252" t="s">
        <v>20099</v>
      </c>
    </row>
    <row r="6253" spans="6:8">
      <c r="H6253" t="s">
        <v>20100</v>
      </c>
    </row>
    <row r="6254" spans="6:8">
      <c r="H6254" t="s">
        <v>20101</v>
      </c>
    </row>
    <row r="6255" spans="6:8">
      <c r="H6255" t="s">
        <v>20104</v>
      </c>
    </row>
    <row r="6256" spans="6:8">
      <c r="H6256" t="s">
        <v>20105</v>
      </c>
    </row>
    <row r="6257" spans="6:8">
      <c r="H6257" t="s">
        <v>20123</v>
      </c>
    </row>
    <row r="6258" spans="6:8">
      <c r="F6258" t="s">
        <v>11355</v>
      </c>
      <c r="G6258" t="s">
        <v>15286</v>
      </c>
      <c r="H6258" t="s">
        <v>20091</v>
      </c>
    </row>
    <row r="6259" spans="6:8">
      <c r="H6259" t="s">
        <v>19712</v>
      </c>
    </row>
    <row r="6260" spans="6:8">
      <c r="H6260" t="s">
        <v>19709</v>
      </c>
    </row>
    <row r="6261" spans="6:8">
      <c r="H6261" t="s">
        <v>19706</v>
      </c>
    </row>
    <row r="6262" spans="6:8">
      <c r="H6262" t="s">
        <v>20107</v>
      </c>
    </row>
    <row r="6263" spans="6:8">
      <c r="H6263" t="s">
        <v>20108</v>
      </c>
    </row>
    <row r="6264" spans="6:8">
      <c r="H6264" t="s">
        <v>19713</v>
      </c>
    </row>
    <row r="6265" spans="6:8">
      <c r="H6265" t="s">
        <v>19714</v>
      </c>
    </row>
    <row r="6266" spans="6:8">
      <c r="H6266" t="s">
        <v>20109</v>
      </c>
    </row>
    <row r="6267" spans="6:8">
      <c r="H6267" t="s">
        <v>20110</v>
      </c>
    </row>
    <row r="6268" spans="6:8">
      <c r="H6268" t="s">
        <v>20111</v>
      </c>
    </row>
    <row r="6269" spans="6:8">
      <c r="H6269" t="s">
        <v>20112</v>
      </c>
    </row>
    <row r="6270" spans="6:8">
      <c r="H6270" t="s">
        <v>20113</v>
      </c>
    </row>
    <row r="6271" spans="6:8">
      <c r="H6271" t="s">
        <v>20095</v>
      </c>
    </row>
    <row r="6272" spans="6:8">
      <c r="H6272" t="s">
        <v>20096</v>
      </c>
    </row>
    <row r="6273" spans="6:8">
      <c r="H6273" t="s">
        <v>20097</v>
      </c>
    </row>
    <row r="6274" spans="6:8">
      <c r="H6274" t="s">
        <v>20098</v>
      </c>
    </row>
    <row r="6275" spans="6:8">
      <c r="F6275" t="s">
        <v>11356</v>
      </c>
      <c r="G6275" t="s">
        <v>15287</v>
      </c>
      <c r="H6275" t="s">
        <v>20091</v>
      </c>
    </row>
    <row r="6276" spans="6:8">
      <c r="H6276" t="s">
        <v>19712</v>
      </c>
    </row>
    <row r="6277" spans="6:8">
      <c r="H6277" t="s">
        <v>19709</v>
      </c>
    </row>
    <row r="6278" spans="6:8">
      <c r="H6278" t="s">
        <v>19706</v>
      </c>
    </row>
    <row r="6279" spans="6:8">
      <c r="H6279" t="s">
        <v>20107</v>
      </c>
    </row>
    <row r="6280" spans="6:8">
      <c r="H6280" t="s">
        <v>20108</v>
      </c>
    </row>
    <row r="6281" spans="6:8">
      <c r="H6281" t="s">
        <v>19713</v>
      </c>
    </row>
    <row r="6282" spans="6:8">
      <c r="H6282" t="s">
        <v>19714</v>
      </c>
    </row>
    <row r="6283" spans="6:8">
      <c r="H6283" t="s">
        <v>20109</v>
      </c>
    </row>
    <row r="6284" spans="6:8">
      <c r="H6284" t="s">
        <v>20110</v>
      </c>
    </row>
    <row r="6285" spans="6:8">
      <c r="H6285" t="s">
        <v>20111</v>
      </c>
    </row>
    <row r="6286" spans="6:8">
      <c r="H6286" t="s">
        <v>20112</v>
      </c>
    </row>
    <row r="6287" spans="6:8">
      <c r="H6287" t="s">
        <v>20113</v>
      </c>
    </row>
    <row r="6288" spans="6:8">
      <c r="H6288" t="s">
        <v>20095</v>
      </c>
    </row>
    <row r="6289" spans="6:8">
      <c r="H6289" t="s">
        <v>20096</v>
      </c>
    </row>
    <row r="6290" spans="6:8">
      <c r="H6290" t="s">
        <v>20097</v>
      </c>
    </row>
    <row r="6291" spans="6:8">
      <c r="H6291" t="s">
        <v>20098</v>
      </c>
    </row>
    <row r="6292" spans="6:8">
      <c r="F6292" t="s">
        <v>11357</v>
      </c>
      <c r="G6292" t="s">
        <v>15288</v>
      </c>
      <c r="H6292" t="s">
        <v>20091</v>
      </c>
    </row>
    <row r="6293" spans="6:8">
      <c r="H6293" t="s">
        <v>19712</v>
      </c>
    </row>
    <row r="6294" spans="6:8">
      <c r="H6294" t="s">
        <v>19709</v>
      </c>
    </row>
    <row r="6295" spans="6:8">
      <c r="H6295" t="s">
        <v>19706</v>
      </c>
    </row>
    <row r="6296" spans="6:8">
      <c r="H6296" t="s">
        <v>20107</v>
      </c>
    </row>
    <row r="6297" spans="6:8">
      <c r="H6297" t="s">
        <v>20108</v>
      </c>
    </row>
    <row r="6298" spans="6:8">
      <c r="H6298" t="s">
        <v>19713</v>
      </c>
    </row>
    <row r="6299" spans="6:8">
      <c r="H6299" t="s">
        <v>19714</v>
      </c>
    </row>
    <row r="6300" spans="6:8">
      <c r="H6300" t="s">
        <v>20109</v>
      </c>
    </row>
    <row r="6301" spans="6:8">
      <c r="H6301" t="s">
        <v>20110</v>
      </c>
    </row>
    <row r="6302" spans="6:8">
      <c r="H6302" t="s">
        <v>20111</v>
      </c>
    </row>
    <row r="6303" spans="6:8">
      <c r="H6303" t="s">
        <v>20112</v>
      </c>
    </row>
    <row r="6304" spans="6:8">
      <c r="H6304" t="s">
        <v>20113</v>
      </c>
    </row>
    <row r="6305" spans="6:8">
      <c r="H6305" t="s">
        <v>20095</v>
      </c>
    </row>
    <row r="6306" spans="6:8">
      <c r="H6306" t="s">
        <v>20096</v>
      </c>
    </row>
    <row r="6307" spans="6:8">
      <c r="H6307" t="s">
        <v>20097</v>
      </c>
    </row>
    <row r="6308" spans="6:8">
      <c r="H6308" t="s">
        <v>20098</v>
      </c>
    </row>
    <row r="6309" spans="6:8">
      <c r="F6309" t="s">
        <v>11358</v>
      </c>
      <c r="G6309" t="s">
        <v>15289</v>
      </c>
      <c r="H6309" t="s">
        <v>20091</v>
      </c>
    </row>
    <row r="6310" spans="6:8">
      <c r="H6310" t="s">
        <v>19712</v>
      </c>
    </row>
    <row r="6311" spans="6:8">
      <c r="H6311" t="s">
        <v>19709</v>
      </c>
    </row>
    <row r="6312" spans="6:8">
      <c r="H6312" t="s">
        <v>19706</v>
      </c>
    </row>
    <row r="6313" spans="6:8">
      <c r="H6313" t="s">
        <v>20107</v>
      </c>
    </row>
    <row r="6314" spans="6:8">
      <c r="H6314" t="s">
        <v>20108</v>
      </c>
    </row>
    <row r="6315" spans="6:8">
      <c r="H6315" t="s">
        <v>19713</v>
      </c>
    </row>
    <row r="6316" spans="6:8">
      <c r="H6316" t="s">
        <v>19714</v>
      </c>
    </row>
    <row r="6317" spans="6:8">
      <c r="H6317" t="s">
        <v>20109</v>
      </c>
    </row>
    <row r="6318" spans="6:8">
      <c r="H6318" t="s">
        <v>20110</v>
      </c>
    </row>
    <row r="6319" spans="6:8">
      <c r="H6319" t="s">
        <v>20111</v>
      </c>
    </row>
    <row r="6320" spans="6:8">
      <c r="H6320" t="s">
        <v>20112</v>
      </c>
    </row>
    <row r="6321" spans="6:8">
      <c r="H6321" t="s">
        <v>20113</v>
      </c>
    </row>
    <row r="6322" spans="6:8">
      <c r="H6322" t="s">
        <v>20095</v>
      </c>
    </row>
    <row r="6323" spans="6:8">
      <c r="H6323" t="s">
        <v>20096</v>
      </c>
    </row>
    <row r="6324" spans="6:8">
      <c r="H6324" t="s">
        <v>20097</v>
      </c>
    </row>
    <row r="6325" spans="6:8">
      <c r="H6325" t="s">
        <v>20098</v>
      </c>
    </row>
    <row r="6326" spans="6:8">
      <c r="F6326" t="s">
        <v>11359</v>
      </c>
      <c r="G6326" t="s">
        <v>15290</v>
      </c>
      <c r="H6326" t="s">
        <v>20091</v>
      </c>
    </row>
    <row r="6327" spans="6:8">
      <c r="H6327" t="s">
        <v>19712</v>
      </c>
    </row>
    <row r="6328" spans="6:8">
      <c r="H6328" t="s">
        <v>19709</v>
      </c>
    </row>
    <row r="6329" spans="6:8">
      <c r="H6329" t="s">
        <v>19706</v>
      </c>
    </row>
    <row r="6330" spans="6:8">
      <c r="H6330" t="s">
        <v>19707</v>
      </c>
    </row>
    <row r="6331" spans="6:8">
      <c r="H6331" t="s">
        <v>19711</v>
      </c>
    </row>
    <row r="6332" spans="6:8">
      <c r="H6332" t="s">
        <v>19708</v>
      </c>
    </row>
    <row r="6333" spans="6:8">
      <c r="H6333" t="s">
        <v>20107</v>
      </c>
    </row>
    <row r="6334" spans="6:8">
      <c r="H6334" t="s">
        <v>20108</v>
      </c>
    </row>
    <row r="6335" spans="6:8">
      <c r="H6335" t="s">
        <v>19713</v>
      </c>
    </row>
    <row r="6336" spans="6:8">
      <c r="H6336" t="s">
        <v>19714</v>
      </c>
    </row>
    <row r="6337" spans="6:8">
      <c r="H6337" t="s">
        <v>20109</v>
      </c>
    </row>
    <row r="6338" spans="6:8">
      <c r="H6338" t="s">
        <v>20110</v>
      </c>
    </row>
    <row r="6339" spans="6:8">
      <c r="H6339" t="s">
        <v>20092</v>
      </c>
    </row>
    <row r="6340" spans="6:8">
      <c r="H6340" t="s">
        <v>20095</v>
      </c>
    </row>
    <row r="6341" spans="6:8">
      <c r="H6341" t="s">
        <v>20096</v>
      </c>
    </row>
    <row r="6342" spans="6:8">
      <c r="H6342" t="s">
        <v>20097</v>
      </c>
    </row>
    <row r="6343" spans="6:8">
      <c r="H6343" t="s">
        <v>20098</v>
      </c>
    </row>
    <row r="6344" spans="6:8">
      <c r="F6344" t="s">
        <v>11360</v>
      </c>
      <c r="G6344" t="s">
        <v>15291</v>
      </c>
      <c r="H6344" t="s">
        <v>20091</v>
      </c>
    </row>
    <row r="6345" spans="6:8">
      <c r="H6345" t="s">
        <v>19712</v>
      </c>
    </row>
    <row r="6346" spans="6:8">
      <c r="H6346" t="s">
        <v>19709</v>
      </c>
    </row>
    <row r="6347" spans="6:8">
      <c r="H6347" t="s">
        <v>19706</v>
      </c>
    </row>
    <row r="6348" spans="6:8">
      <c r="H6348" t="s">
        <v>19707</v>
      </c>
    </row>
    <row r="6349" spans="6:8">
      <c r="H6349" t="s">
        <v>19711</v>
      </c>
    </row>
    <row r="6350" spans="6:8">
      <c r="H6350" t="s">
        <v>19708</v>
      </c>
    </row>
    <row r="6351" spans="6:8">
      <c r="H6351" t="s">
        <v>20107</v>
      </c>
    </row>
    <row r="6352" spans="6:8">
      <c r="H6352" t="s">
        <v>20108</v>
      </c>
    </row>
    <row r="6353" spans="6:8">
      <c r="H6353" t="s">
        <v>19713</v>
      </c>
    </row>
    <row r="6354" spans="6:8">
      <c r="H6354" t="s">
        <v>19714</v>
      </c>
    </row>
    <row r="6355" spans="6:8">
      <c r="H6355" t="s">
        <v>20109</v>
      </c>
    </row>
    <row r="6356" spans="6:8">
      <c r="H6356" t="s">
        <v>20110</v>
      </c>
    </row>
    <row r="6357" spans="6:8">
      <c r="H6357" t="s">
        <v>20092</v>
      </c>
    </row>
    <row r="6358" spans="6:8">
      <c r="H6358" t="s">
        <v>20095</v>
      </c>
    </row>
    <row r="6359" spans="6:8">
      <c r="H6359" t="s">
        <v>20096</v>
      </c>
    </row>
    <row r="6360" spans="6:8">
      <c r="H6360" t="s">
        <v>20097</v>
      </c>
    </row>
    <row r="6361" spans="6:8">
      <c r="H6361" t="s">
        <v>20098</v>
      </c>
    </row>
    <row r="6362" spans="6:8">
      <c r="F6362" t="s">
        <v>11361</v>
      </c>
      <c r="G6362" t="s">
        <v>15292</v>
      </c>
      <c r="H6362" t="s">
        <v>20091</v>
      </c>
    </row>
    <row r="6363" spans="6:8">
      <c r="H6363" t="s">
        <v>19712</v>
      </c>
    </row>
    <row r="6364" spans="6:8">
      <c r="H6364" t="s">
        <v>19709</v>
      </c>
    </row>
    <row r="6365" spans="6:8">
      <c r="H6365" t="s">
        <v>19706</v>
      </c>
    </row>
    <row r="6366" spans="6:8">
      <c r="H6366" t="s">
        <v>19707</v>
      </c>
    </row>
    <row r="6367" spans="6:8">
      <c r="H6367" t="s">
        <v>19711</v>
      </c>
    </row>
    <row r="6368" spans="6:8">
      <c r="H6368" t="s">
        <v>19708</v>
      </c>
    </row>
    <row r="6369" spans="6:8">
      <c r="H6369" t="s">
        <v>20107</v>
      </c>
    </row>
    <row r="6370" spans="6:8">
      <c r="H6370" t="s">
        <v>20108</v>
      </c>
    </row>
    <row r="6371" spans="6:8">
      <c r="H6371" t="s">
        <v>19713</v>
      </c>
    </row>
    <row r="6372" spans="6:8">
      <c r="H6372" t="s">
        <v>19714</v>
      </c>
    </row>
    <row r="6373" spans="6:8">
      <c r="H6373" t="s">
        <v>20109</v>
      </c>
    </row>
    <row r="6374" spans="6:8">
      <c r="H6374" t="s">
        <v>20110</v>
      </c>
    </row>
    <row r="6375" spans="6:8">
      <c r="H6375" t="s">
        <v>20092</v>
      </c>
    </row>
    <row r="6376" spans="6:8">
      <c r="H6376" t="s">
        <v>20095</v>
      </c>
    </row>
    <row r="6377" spans="6:8">
      <c r="H6377" t="s">
        <v>20096</v>
      </c>
    </row>
    <row r="6378" spans="6:8">
      <c r="H6378" t="s">
        <v>20097</v>
      </c>
    </row>
    <row r="6379" spans="6:8">
      <c r="H6379" t="s">
        <v>20098</v>
      </c>
    </row>
    <row r="6380" spans="6:8">
      <c r="F6380" t="s">
        <v>11362</v>
      </c>
      <c r="G6380" t="s">
        <v>15293</v>
      </c>
      <c r="H6380" t="s">
        <v>20091</v>
      </c>
    </row>
    <row r="6381" spans="6:8">
      <c r="H6381" t="s">
        <v>19712</v>
      </c>
    </row>
    <row r="6382" spans="6:8">
      <c r="H6382" t="s">
        <v>19709</v>
      </c>
    </row>
    <row r="6383" spans="6:8">
      <c r="H6383" t="s">
        <v>19706</v>
      </c>
    </row>
    <row r="6384" spans="6:8">
      <c r="H6384" t="s">
        <v>19707</v>
      </c>
    </row>
    <row r="6385" spans="6:8">
      <c r="H6385" t="s">
        <v>19711</v>
      </c>
    </row>
    <row r="6386" spans="6:8">
      <c r="H6386" t="s">
        <v>19708</v>
      </c>
    </row>
    <row r="6387" spans="6:8">
      <c r="H6387" t="s">
        <v>20107</v>
      </c>
    </row>
    <row r="6388" spans="6:8">
      <c r="H6388" t="s">
        <v>20108</v>
      </c>
    </row>
    <row r="6389" spans="6:8">
      <c r="H6389" t="s">
        <v>19713</v>
      </c>
    </row>
    <row r="6390" spans="6:8">
      <c r="H6390" t="s">
        <v>19714</v>
      </c>
    </row>
    <row r="6391" spans="6:8">
      <c r="H6391" t="s">
        <v>20109</v>
      </c>
    </row>
    <row r="6392" spans="6:8">
      <c r="H6392" t="s">
        <v>20110</v>
      </c>
    </row>
    <row r="6393" spans="6:8">
      <c r="H6393" t="s">
        <v>20092</v>
      </c>
    </row>
    <row r="6394" spans="6:8">
      <c r="H6394" t="s">
        <v>20095</v>
      </c>
    </row>
    <row r="6395" spans="6:8">
      <c r="H6395" t="s">
        <v>20096</v>
      </c>
    </row>
    <row r="6396" spans="6:8">
      <c r="H6396" t="s">
        <v>20097</v>
      </c>
    </row>
    <row r="6397" spans="6:8">
      <c r="H6397" t="s">
        <v>20098</v>
      </c>
    </row>
    <row r="6398" spans="6:8">
      <c r="F6398" t="s">
        <v>11363</v>
      </c>
      <c r="G6398" t="s">
        <v>15294</v>
      </c>
      <c r="H6398" t="s">
        <v>20091</v>
      </c>
    </row>
    <row r="6399" spans="6:8">
      <c r="H6399" t="s">
        <v>19712</v>
      </c>
    </row>
    <row r="6400" spans="6:8">
      <c r="H6400" t="s">
        <v>19709</v>
      </c>
    </row>
    <row r="6401" spans="6:8">
      <c r="H6401" t="s">
        <v>19706</v>
      </c>
    </row>
    <row r="6402" spans="6:8">
      <c r="H6402" t="s">
        <v>19707</v>
      </c>
    </row>
    <row r="6403" spans="6:8">
      <c r="H6403" t="s">
        <v>19711</v>
      </c>
    </row>
    <row r="6404" spans="6:8">
      <c r="H6404" t="s">
        <v>19708</v>
      </c>
    </row>
    <row r="6405" spans="6:8">
      <c r="H6405" t="s">
        <v>20107</v>
      </c>
    </row>
    <row r="6406" spans="6:8">
      <c r="H6406" t="s">
        <v>20108</v>
      </c>
    </row>
    <row r="6407" spans="6:8">
      <c r="H6407" t="s">
        <v>19713</v>
      </c>
    </row>
    <row r="6408" spans="6:8">
      <c r="H6408" t="s">
        <v>19714</v>
      </c>
    </row>
    <row r="6409" spans="6:8">
      <c r="H6409" t="s">
        <v>20109</v>
      </c>
    </row>
    <row r="6410" spans="6:8">
      <c r="H6410" t="s">
        <v>20110</v>
      </c>
    </row>
    <row r="6411" spans="6:8">
      <c r="H6411" t="s">
        <v>20092</v>
      </c>
    </row>
    <row r="6412" spans="6:8">
      <c r="H6412" t="s">
        <v>20095</v>
      </c>
    </row>
    <row r="6413" spans="6:8">
      <c r="H6413" t="s">
        <v>20096</v>
      </c>
    </row>
    <row r="6414" spans="6:8">
      <c r="H6414" t="s">
        <v>20097</v>
      </c>
    </row>
    <row r="6415" spans="6:8">
      <c r="H6415" t="s">
        <v>20098</v>
      </c>
    </row>
    <row r="6416" spans="6:8">
      <c r="F6416" t="s">
        <v>11364</v>
      </c>
      <c r="G6416" t="s">
        <v>15295</v>
      </c>
      <c r="H6416" t="s">
        <v>20091</v>
      </c>
    </row>
    <row r="6417" spans="8:8">
      <c r="H6417" t="s">
        <v>19712</v>
      </c>
    </row>
    <row r="6418" spans="8:8">
      <c r="H6418" t="s">
        <v>19709</v>
      </c>
    </row>
    <row r="6419" spans="8:8">
      <c r="H6419" t="s">
        <v>19706</v>
      </c>
    </row>
    <row r="6420" spans="8:8">
      <c r="H6420" t="s">
        <v>19707</v>
      </c>
    </row>
    <row r="6421" spans="8:8">
      <c r="H6421" t="s">
        <v>19711</v>
      </c>
    </row>
    <row r="6422" spans="8:8">
      <c r="H6422" t="s">
        <v>19708</v>
      </c>
    </row>
    <row r="6423" spans="8:8">
      <c r="H6423" t="s">
        <v>20107</v>
      </c>
    </row>
    <row r="6424" spans="8:8">
      <c r="H6424" t="s">
        <v>20108</v>
      </c>
    </row>
    <row r="6425" spans="8:8">
      <c r="H6425" t="s">
        <v>19713</v>
      </c>
    </row>
    <row r="6426" spans="8:8">
      <c r="H6426" t="s">
        <v>19714</v>
      </c>
    </row>
    <row r="6427" spans="8:8">
      <c r="H6427" t="s">
        <v>20109</v>
      </c>
    </row>
    <row r="6428" spans="8:8">
      <c r="H6428" t="s">
        <v>20110</v>
      </c>
    </row>
    <row r="6429" spans="8:8">
      <c r="H6429" t="s">
        <v>20092</v>
      </c>
    </row>
    <row r="6430" spans="8:8">
      <c r="H6430" t="s">
        <v>20095</v>
      </c>
    </row>
    <row r="6431" spans="8:8">
      <c r="H6431" t="s">
        <v>20096</v>
      </c>
    </row>
    <row r="6432" spans="8:8">
      <c r="H6432" t="s">
        <v>20097</v>
      </c>
    </row>
    <row r="6433" spans="6:8">
      <c r="H6433" t="s">
        <v>20098</v>
      </c>
    </row>
    <row r="6434" spans="6:8">
      <c r="F6434" t="s">
        <v>11365</v>
      </c>
      <c r="G6434" t="s">
        <v>15639</v>
      </c>
      <c r="H6434" t="s">
        <v>20091</v>
      </c>
    </row>
    <row r="6435" spans="6:8">
      <c r="H6435" t="s">
        <v>19712</v>
      </c>
    </row>
    <row r="6436" spans="6:8">
      <c r="H6436" t="s">
        <v>19706</v>
      </c>
    </row>
    <row r="6437" spans="6:8">
      <c r="H6437" t="s">
        <v>19707</v>
      </c>
    </row>
    <row r="6438" spans="6:8">
      <c r="H6438" t="s">
        <v>19708</v>
      </c>
    </row>
    <row r="6439" spans="6:8">
      <c r="H6439" t="s">
        <v>19710</v>
      </c>
    </row>
    <row r="6440" spans="6:8">
      <c r="H6440" t="s">
        <v>20092</v>
      </c>
    </row>
    <row r="6441" spans="6:8">
      <c r="H6441" t="s">
        <v>20095</v>
      </c>
    </row>
    <row r="6442" spans="6:8">
      <c r="H6442" t="s">
        <v>20096</v>
      </c>
    </row>
    <row r="6443" spans="6:8">
      <c r="H6443" t="s">
        <v>20097</v>
      </c>
    </row>
    <row r="6444" spans="6:8">
      <c r="H6444" t="s">
        <v>20098</v>
      </c>
    </row>
    <row r="6445" spans="6:8">
      <c r="H6445" t="s">
        <v>20100</v>
      </c>
    </row>
    <row r="6446" spans="6:8">
      <c r="H6446" t="s">
        <v>20101</v>
      </c>
    </row>
    <row r="6447" spans="6:8">
      <c r="H6447" t="s">
        <v>20102</v>
      </c>
    </row>
    <row r="6448" spans="6:8">
      <c r="H6448" t="s">
        <v>20104</v>
      </c>
    </row>
    <row r="6449" spans="6:8">
      <c r="F6449" t="s">
        <v>11366</v>
      </c>
      <c r="G6449" t="s">
        <v>15640</v>
      </c>
      <c r="H6449" t="s">
        <v>20091</v>
      </c>
    </row>
    <row r="6450" spans="6:8">
      <c r="H6450" t="s">
        <v>20092</v>
      </c>
    </row>
    <row r="6451" spans="6:8">
      <c r="H6451" t="s">
        <v>20095</v>
      </c>
    </row>
    <row r="6452" spans="6:8">
      <c r="H6452" t="s">
        <v>20096</v>
      </c>
    </row>
    <row r="6453" spans="6:8">
      <c r="H6453" t="s">
        <v>20097</v>
      </c>
    </row>
    <row r="6454" spans="6:8">
      <c r="F6454" t="s">
        <v>11367</v>
      </c>
      <c r="G6454" t="s">
        <v>15641</v>
      </c>
      <c r="H6454" t="s">
        <v>20091</v>
      </c>
    </row>
    <row r="6455" spans="6:8">
      <c r="H6455" t="s">
        <v>20092</v>
      </c>
    </row>
    <row r="6456" spans="6:8">
      <c r="H6456" t="s">
        <v>20095</v>
      </c>
    </row>
    <row r="6457" spans="6:8">
      <c r="H6457" t="s">
        <v>20096</v>
      </c>
    </row>
    <row r="6458" spans="6:8">
      <c r="H6458" t="s">
        <v>20097</v>
      </c>
    </row>
    <row r="6459" spans="6:8">
      <c r="H6459" t="s">
        <v>20098</v>
      </c>
    </row>
    <row r="6460" spans="6:8">
      <c r="F6460" t="s">
        <v>11368</v>
      </c>
      <c r="G6460" t="s">
        <v>15296</v>
      </c>
      <c r="H6460" t="s">
        <v>20091</v>
      </c>
    </row>
    <row r="6461" spans="6:8">
      <c r="H6461" t="s">
        <v>19712</v>
      </c>
    </row>
    <row r="6462" spans="6:8">
      <c r="H6462" t="s">
        <v>19709</v>
      </c>
    </row>
    <row r="6463" spans="6:8">
      <c r="H6463" t="s">
        <v>20107</v>
      </c>
    </row>
    <row r="6464" spans="6:8">
      <c r="H6464" t="s">
        <v>20108</v>
      </c>
    </row>
    <row r="6465" spans="6:8">
      <c r="H6465" t="s">
        <v>19713</v>
      </c>
    </row>
    <row r="6466" spans="6:8">
      <c r="H6466" t="s">
        <v>19714</v>
      </c>
    </row>
    <row r="6467" spans="6:8">
      <c r="H6467" t="s">
        <v>20109</v>
      </c>
    </row>
    <row r="6468" spans="6:8">
      <c r="H6468" t="s">
        <v>20110</v>
      </c>
    </row>
    <row r="6469" spans="6:8">
      <c r="H6469" t="s">
        <v>20111</v>
      </c>
    </row>
    <row r="6470" spans="6:8">
      <c r="H6470" t="s">
        <v>20112</v>
      </c>
    </row>
    <row r="6471" spans="6:8">
      <c r="H6471" t="s">
        <v>20113</v>
      </c>
    </row>
    <row r="6472" spans="6:8">
      <c r="H6472" t="s">
        <v>20114</v>
      </c>
    </row>
    <row r="6473" spans="6:8">
      <c r="H6473" t="s">
        <v>20115</v>
      </c>
    </row>
    <row r="6474" spans="6:8">
      <c r="H6474" t="s">
        <v>20120</v>
      </c>
    </row>
    <row r="6475" spans="6:8">
      <c r="H6475" t="s">
        <v>20095</v>
      </c>
    </row>
    <row r="6476" spans="6:8">
      <c r="H6476" t="s">
        <v>20096</v>
      </c>
    </row>
    <row r="6477" spans="6:8">
      <c r="H6477" t="s">
        <v>20097</v>
      </c>
    </row>
    <row r="6478" spans="6:8">
      <c r="H6478" t="s">
        <v>20098</v>
      </c>
    </row>
    <row r="6479" spans="6:8">
      <c r="F6479" t="s">
        <v>11369</v>
      </c>
      <c r="G6479" t="s">
        <v>15297</v>
      </c>
      <c r="H6479" t="s">
        <v>20091</v>
      </c>
    </row>
    <row r="6480" spans="6:8">
      <c r="H6480" t="s">
        <v>19712</v>
      </c>
    </row>
    <row r="6481" spans="8:8">
      <c r="H6481" t="s">
        <v>19709</v>
      </c>
    </row>
    <row r="6482" spans="8:8">
      <c r="H6482" t="s">
        <v>20107</v>
      </c>
    </row>
    <row r="6483" spans="8:8">
      <c r="H6483" t="s">
        <v>20108</v>
      </c>
    </row>
    <row r="6484" spans="8:8">
      <c r="H6484" t="s">
        <v>19713</v>
      </c>
    </row>
    <row r="6485" spans="8:8">
      <c r="H6485" t="s">
        <v>19714</v>
      </c>
    </row>
    <row r="6486" spans="8:8">
      <c r="H6486" t="s">
        <v>20109</v>
      </c>
    </row>
    <row r="6487" spans="8:8">
      <c r="H6487" t="s">
        <v>20110</v>
      </c>
    </row>
    <row r="6488" spans="8:8">
      <c r="H6488" t="s">
        <v>20111</v>
      </c>
    </row>
    <row r="6489" spans="8:8">
      <c r="H6489" t="s">
        <v>20112</v>
      </c>
    </row>
    <row r="6490" spans="8:8">
      <c r="H6490" t="s">
        <v>20113</v>
      </c>
    </row>
    <row r="6491" spans="8:8">
      <c r="H6491" t="s">
        <v>20114</v>
      </c>
    </row>
    <row r="6492" spans="8:8">
      <c r="H6492" t="s">
        <v>20115</v>
      </c>
    </row>
    <row r="6493" spans="8:8">
      <c r="H6493" t="s">
        <v>20120</v>
      </c>
    </row>
    <row r="6494" spans="8:8">
      <c r="H6494" t="s">
        <v>20095</v>
      </c>
    </row>
    <row r="6495" spans="8:8">
      <c r="H6495" t="s">
        <v>20096</v>
      </c>
    </row>
    <row r="6496" spans="8:8">
      <c r="H6496" t="s">
        <v>20097</v>
      </c>
    </row>
    <row r="6497" spans="6:8">
      <c r="H6497" t="s">
        <v>20098</v>
      </c>
    </row>
    <row r="6498" spans="6:8">
      <c r="F6498" t="s">
        <v>11370</v>
      </c>
      <c r="G6498" t="s">
        <v>15642</v>
      </c>
      <c r="H6498" t="s">
        <v>20091</v>
      </c>
    </row>
    <row r="6499" spans="6:8">
      <c r="H6499" t="s">
        <v>19712</v>
      </c>
    </row>
    <row r="6500" spans="6:8">
      <c r="H6500" t="s">
        <v>19709</v>
      </c>
    </row>
    <row r="6501" spans="6:8">
      <c r="H6501" t="s">
        <v>20092</v>
      </c>
    </row>
    <row r="6502" spans="6:8">
      <c r="H6502" t="s">
        <v>20117</v>
      </c>
    </row>
    <row r="6503" spans="6:8">
      <c r="H6503" t="s">
        <v>20095</v>
      </c>
    </row>
    <row r="6504" spans="6:8">
      <c r="H6504" t="s">
        <v>20096</v>
      </c>
    </row>
    <row r="6505" spans="6:8">
      <c r="H6505" t="s">
        <v>20097</v>
      </c>
    </row>
    <row r="6506" spans="6:8">
      <c r="H6506" t="s">
        <v>20098</v>
      </c>
    </row>
    <row r="6507" spans="6:8">
      <c r="H6507" t="s">
        <v>20099</v>
      </c>
    </row>
    <row r="6508" spans="6:8">
      <c r="H6508" t="s">
        <v>20100</v>
      </c>
    </row>
    <row r="6509" spans="6:8">
      <c r="H6509" t="s">
        <v>20101</v>
      </c>
    </row>
    <row r="6510" spans="6:8">
      <c r="H6510" t="s">
        <v>20102</v>
      </c>
    </row>
    <row r="6511" spans="6:8">
      <c r="H6511" t="s">
        <v>20104</v>
      </c>
    </row>
    <row r="6512" spans="6:8">
      <c r="H6512" t="s">
        <v>20105</v>
      </c>
    </row>
    <row r="6513" spans="6:8">
      <c r="H6513" t="s">
        <v>20123</v>
      </c>
    </row>
    <row r="6514" spans="6:8">
      <c r="H6514" t="s">
        <v>20124</v>
      </c>
    </row>
    <row r="6515" spans="6:8">
      <c r="H6515" t="s">
        <v>20192</v>
      </c>
    </row>
    <row r="6516" spans="6:8">
      <c r="H6516" t="s">
        <v>20193</v>
      </c>
    </row>
    <row r="6517" spans="6:8">
      <c r="F6517" t="s">
        <v>11371</v>
      </c>
      <c r="G6517" t="s">
        <v>15643</v>
      </c>
      <c r="H6517" t="s">
        <v>20091</v>
      </c>
    </row>
    <row r="6518" spans="6:8">
      <c r="H6518" t="s">
        <v>19709</v>
      </c>
    </row>
    <row r="6519" spans="6:8">
      <c r="H6519" t="s">
        <v>20092</v>
      </c>
    </row>
    <row r="6520" spans="6:8">
      <c r="H6520" t="s">
        <v>20117</v>
      </c>
    </row>
    <row r="6521" spans="6:8">
      <c r="H6521" t="s">
        <v>20095</v>
      </c>
    </row>
    <row r="6522" spans="6:8">
      <c r="H6522" t="s">
        <v>20096</v>
      </c>
    </row>
    <row r="6523" spans="6:8">
      <c r="H6523" t="s">
        <v>20097</v>
      </c>
    </row>
    <row r="6524" spans="6:8">
      <c r="H6524" t="s">
        <v>20098</v>
      </c>
    </row>
    <row r="6525" spans="6:8">
      <c r="H6525" t="s">
        <v>20099</v>
      </c>
    </row>
    <row r="6526" spans="6:8">
      <c r="H6526" t="s">
        <v>20100</v>
      </c>
    </row>
    <row r="6527" spans="6:8">
      <c r="H6527" t="s">
        <v>20101</v>
      </c>
    </row>
    <row r="6528" spans="6:8">
      <c r="H6528" t="s">
        <v>20102</v>
      </c>
    </row>
    <row r="6529" spans="6:8">
      <c r="H6529" t="s">
        <v>20104</v>
      </c>
    </row>
    <row r="6530" spans="6:8">
      <c r="H6530" t="s">
        <v>20105</v>
      </c>
    </row>
    <row r="6531" spans="6:8">
      <c r="H6531" t="s">
        <v>20123</v>
      </c>
    </row>
    <row r="6532" spans="6:8">
      <c r="H6532" t="s">
        <v>20124</v>
      </c>
    </row>
    <row r="6533" spans="6:8">
      <c r="H6533" t="s">
        <v>20192</v>
      </c>
    </row>
    <row r="6534" spans="6:8">
      <c r="H6534" t="s">
        <v>20193</v>
      </c>
    </row>
    <row r="6535" spans="6:8">
      <c r="F6535" t="s">
        <v>11372</v>
      </c>
      <c r="G6535" t="s">
        <v>15644</v>
      </c>
      <c r="H6535" t="s">
        <v>20091</v>
      </c>
    </row>
    <row r="6536" spans="6:8">
      <c r="H6536" t="s">
        <v>19709</v>
      </c>
    </row>
    <row r="6537" spans="6:8">
      <c r="H6537" t="s">
        <v>20092</v>
      </c>
    </row>
    <row r="6538" spans="6:8">
      <c r="H6538" t="s">
        <v>20117</v>
      </c>
    </row>
    <row r="6539" spans="6:8">
      <c r="H6539" t="s">
        <v>20095</v>
      </c>
    </row>
    <row r="6540" spans="6:8">
      <c r="H6540" t="s">
        <v>20096</v>
      </c>
    </row>
    <row r="6541" spans="6:8">
      <c r="H6541" t="s">
        <v>20097</v>
      </c>
    </row>
    <row r="6542" spans="6:8">
      <c r="H6542" t="s">
        <v>20098</v>
      </c>
    </row>
    <row r="6543" spans="6:8">
      <c r="H6543" t="s">
        <v>20099</v>
      </c>
    </row>
    <row r="6544" spans="6:8">
      <c r="H6544" t="s">
        <v>20100</v>
      </c>
    </row>
    <row r="6545" spans="6:8">
      <c r="H6545" t="s">
        <v>20101</v>
      </c>
    </row>
    <row r="6546" spans="6:8">
      <c r="H6546" t="s">
        <v>20102</v>
      </c>
    </row>
    <row r="6547" spans="6:8">
      <c r="H6547" t="s">
        <v>20104</v>
      </c>
    </row>
    <row r="6548" spans="6:8">
      <c r="H6548" t="s">
        <v>20105</v>
      </c>
    </row>
    <row r="6549" spans="6:8">
      <c r="H6549" t="s">
        <v>20123</v>
      </c>
    </row>
    <row r="6550" spans="6:8">
      <c r="H6550" t="s">
        <v>20124</v>
      </c>
    </row>
    <row r="6551" spans="6:8">
      <c r="H6551" t="s">
        <v>20192</v>
      </c>
    </row>
    <row r="6552" spans="6:8">
      <c r="H6552" t="s">
        <v>20193</v>
      </c>
    </row>
    <row r="6553" spans="6:8">
      <c r="F6553" t="s">
        <v>11373</v>
      </c>
      <c r="G6553" t="s">
        <v>15645</v>
      </c>
      <c r="H6553" t="s">
        <v>20091</v>
      </c>
    </row>
    <row r="6554" spans="6:8">
      <c r="H6554" t="s">
        <v>19709</v>
      </c>
    </row>
    <row r="6555" spans="6:8">
      <c r="H6555" t="s">
        <v>20092</v>
      </c>
    </row>
    <row r="6556" spans="6:8">
      <c r="H6556" t="s">
        <v>20117</v>
      </c>
    </row>
    <row r="6557" spans="6:8">
      <c r="H6557" t="s">
        <v>20095</v>
      </c>
    </row>
    <row r="6558" spans="6:8">
      <c r="H6558" t="s">
        <v>20096</v>
      </c>
    </row>
    <row r="6559" spans="6:8">
      <c r="H6559" t="s">
        <v>20097</v>
      </c>
    </row>
    <row r="6560" spans="6:8">
      <c r="H6560" t="s">
        <v>20098</v>
      </c>
    </row>
    <row r="6561" spans="6:8">
      <c r="H6561" t="s">
        <v>20099</v>
      </c>
    </row>
    <row r="6562" spans="6:8">
      <c r="H6562" t="s">
        <v>20100</v>
      </c>
    </row>
    <row r="6563" spans="6:8">
      <c r="H6563" t="s">
        <v>20101</v>
      </c>
    </row>
    <row r="6564" spans="6:8">
      <c r="H6564" t="s">
        <v>20102</v>
      </c>
    </row>
    <row r="6565" spans="6:8">
      <c r="H6565" t="s">
        <v>20104</v>
      </c>
    </row>
    <row r="6566" spans="6:8">
      <c r="H6566" t="s">
        <v>20105</v>
      </c>
    </row>
    <row r="6567" spans="6:8">
      <c r="H6567" t="s">
        <v>20123</v>
      </c>
    </row>
    <row r="6568" spans="6:8">
      <c r="H6568" t="s">
        <v>20124</v>
      </c>
    </row>
    <row r="6569" spans="6:8">
      <c r="H6569" t="s">
        <v>20192</v>
      </c>
    </row>
    <row r="6570" spans="6:8">
      <c r="H6570" t="s">
        <v>20193</v>
      </c>
    </row>
    <row r="6571" spans="6:8">
      <c r="F6571" t="s">
        <v>11374</v>
      </c>
      <c r="G6571" t="s">
        <v>15646</v>
      </c>
      <c r="H6571" t="s">
        <v>20091</v>
      </c>
    </row>
    <row r="6572" spans="6:8">
      <c r="H6572" t="s">
        <v>19709</v>
      </c>
    </row>
    <row r="6573" spans="6:8">
      <c r="H6573" t="s">
        <v>20092</v>
      </c>
    </row>
    <row r="6574" spans="6:8">
      <c r="H6574" t="s">
        <v>20117</v>
      </c>
    </row>
    <row r="6575" spans="6:8">
      <c r="H6575" t="s">
        <v>20095</v>
      </c>
    </row>
    <row r="6576" spans="6:8">
      <c r="H6576" t="s">
        <v>20096</v>
      </c>
    </row>
    <row r="6577" spans="6:8">
      <c r="H6577" t="s">
        <v>20097</v>
      </c>
    </row>
    <row r="6578" spans="6:8">
      <c r="H6578" t="s">
        <v>20098</v>
      </c>
    </row>
    <row r="6579" spans="6:8">
      <c r="H6579" t="s">
        <v>20099</v>
      </c>
    </row>
    <row r="6580" spans="6:8">
      <c r="H6580" t="s">
        <v>20100</v>
      </c>
    </row>
    <row r="6581" spans="6:8">
      <c r="H6581" t="s">
        <v>20101</v>
      </c>
    </row>
    <row r="6582" spans="6:8">
      <c r="H6582" t="s">
        <v>20102</v>
      </c>
    </row>
    <row r="6583" spans="6:8">
      <c r="H6583" t="s">
        <v>20104</v>
      </c>
    </row>
    <row r="6584" spans="6:8">
      <c r="H6584" t="s">
        <v>20105</v>
      </c>
    </row>
    <row r="6585" spans="6:8">
      <c r="H6585" t="s">
        <v>20123</v>
      </c>
    </row>
    <row r="6586" spans="6:8">
      <c r="H6586" t="s">
        <v>20124</v>
      </c>
    </row>
    <row r="6587" spans="6:8">
      <c r="H6587" t="s">
        <v>20192</v>
      </c>
    </row>
    <row r="6588" spans="6:8">
      <c r="H6588" t="s">
        <v>20193</v>
      </c>
    </row>
    <row r="6589" spans="6:8">
      <c r="H6589" t="s">
        <v>20194</v>
      </c>
    </row>
    <row r="6590" spans="6:8">
      <c r="F6590" t="s">
        <v>11375</v>
      </c>
      <c r="G6590" t="s">
        <v>15647</v>
      </c>
      <c r="H6590" t="s">
        <v>20091</v>
      </c>
    </row>
    <row r="6591" spans="6:8">
      <c r="H6591" t="s">
        <v>19709</v>
      </c>
    </row>
    <row r="6592" spans="6:8">
      <c r="H6592" t="s">
        <v>20092</v>
      </c>
    </row>
    <row r="6593" spans="6:8">
      <c r="H6593" t="s">
        <v>20117</v>
      </c>
    </row>
    <row r="6594" spans="6:8">
      <c r="H6594" t="s">
        <v>20095</v>
      </c>
    </row>
    <row r="6595" spans="6:8">
      <c r="H6595" t="s">
        <v>20096</v>
      </c>
    </row>
    <row r="6596" spans="6:8">
      <c r="H6596" t="s">
        <v>20097</v>
      </c>
    </row>
    <row r="6597" spans="6:8">
      <c r="H6597" t="s">
        <v>20098</v>
      </c>
    </row>
    <row r="6598" spans="6:8">
      <c r="H6598" t="s">
        <v>20099</v>
      </c>
    </row>
    <row r="6599" spans="6:8">
      <c r="H6599" t="s">
        <v>20100</v>
      </c>
    </row>
    <row r="6600" spans="6:8">
      <c r="H6600" t="s">
        <v>20101</v>
      </c>
    </row>
    <row r="6601" spans="6:8">
      <c r="H6601" t="s">
        <v>20102</v>
      </c>
    </row>
    <row r="6602" spans="6:8">
      <c r="H6602" t="s">
        <v>20104</v>
      </c>
    </row>
    <row r="6603" spans="6:8">
      <c r="H6603" t="s">
        <v>20105</v>
      </c>
    </row>
    <row r="6604" spans="6:8">
      <c r="H6604" t="s">
        <v>20123</v>
      </c>
    </row>
    <row r="6605" spans="6:8">
      <c r="H6605" t="s">
        <v>20124</v>
      </c>
    </row>
    <row r="6606" spans="6:8">
      <c r="H6606" t="s">
        <v>20192</v>
      </c>
    </row>
    <row r="6607" spans="6:8">
      <c r="H6607" t="s">
        <v>20193</v>
      </c>
    </row>
    <row r="6608" spans="6:8">
      <c r="F6608" t="s">
        <v>11376</v>
      </c>
      <c r="G6608" t="s">
        <v>15648</v>
      </c>
      <c r="H6608" t="s">
        <v>20091</v>
      </c>
    </row>
    <row r="6609" spans="8:8">
      <c r="H6609" t="s">
        <v>19712</v>
      </c>
    </row>
    <row r="6610" spans="8:8">
      <c r="H6610" t="s">
        <v>19709</v>
      </c>
    </row>
    <row r="6611" spans="8:8">
      <c r="H6611" t="s">
        <v>20092</v>
      </c>
    </row>
    <row r="6612" spans="8:8">
      <c r="H6612" t="s">
        <v>20117</v>
      </c>
    </row>
    <row r="6613" spans="8:8">
      <c r="H6613" t="s">
        <v>20095</v>
      </c>
    </row>
    <row r="6614" spans="8:8">
      <c r="H6614" t="s">
        <v>20096</v>
      </c>
    </row>
    <row r="6615" spans="8:8">
      <c r="H6615" t="s">
        <v>20097</v>
      </c>
    </row>
    <row r="6616" spans="8:8">
      <c r="H6616" t="s">
        <v>20098</v>
      </c>
    </row>
    <row r="6617" spans="8:8">
      <c r="H6617" t="s">
        <v>20099</v>
      </c>
    </row>
    <row r="6618" spans="8:8">
      <c r="H6618" t="s">
        <v>20100</v>
      </c>
    </row>
    <row r="6619" spans="8:8">
      <c r="H6619" t="s">
        <v>20101</v>
      </c>
    </row>
    <row r="6620" spans="8:8">
      <c r="H6620" t="s">
        <v>20102</v>
      </c>
    </row>
    <row r="6621" spans="8:8">
      <c r="H6621" t="s">
        <v>20104</v>
      </c>
    </row>
    <row r="6622" spans="8:8">
      <c r="H6622" t="s">
        <v>20105</v>
      </c>
    </row>
    <row r="6623" spans="8:8">
      <c r="H6623" t="s">
        <v>20123</v>
      </c>
    </row>
    <row r="6624" spans="8:8">
      <c r="H6624" t="s">
        <v>20124</v>
      </c>
    </row>
    <row r="6625" spans="6:8">
      <c r="H6625" t="s">
        <v>20192</v>
      </c>
    </row>
    <row r="6626" spans="6:8">
      <c r="H6626" t="s">
        <v>20193</v>
      </c>
    </row>
    <row r="6627" spans="6:8">
      <c r="F6627" t="s">
        <v>11377</v>
      </c>
      <c r="G6627" t="s">
        <v>15298</v>
      </c>
      <c r="H6627" t="s">
        <v>20091</v>
      </c>
    </row>
    <row r="6628" spans="6:8">
      <c r="H6628" t="s">
        <v>19712</v>
      </c>
    </row>
    <row r="6629" spans="6:8">
      <c r="H6629" t="s">
        <v>19709</v>
      </c>
    </row>
    <row r="6630" spans="6:8">
      <c r="H6630" t="s">
        <v>19706</v>
      </c>
    </row>
    <row r="6631" spans="6:8">
      <c r="H6631" t="s">
        <v>19707</v>
      </c>
    </row>
    <row r="6632" spans="6:8">
      <c r="H6632" t="s">
        <v>19711</v>
      </c>
    </row>
    <row r="6633" spans="6:8">
      <c r="H6633" t="s">
        <v>20107</v>
      </c>
    </row>
    <row r="6634" spans="6:8">
      <c r="H6634" t="s">
        <v>20108</v>
      </c>
    </row>
    <row r="6635" spans="6:8">
      <c r="H6635" t="s">
        <v>19713</v>
      </c>
    </row>
    <row r="6636" spans="6:8">
      <c r="H6636" t="s">
        <v>19714</v>
      </c>
    </row>
    <row r="6637" spans="6:8">
      <c r="H6637" t="s">
        <v>20095</v>
      </c>
    </row>
    <row r="6638" spans="6:8">
      <c r="H6638" t="s">
        <v>20096</v>
      </c>
    </row>
    <row r="6639" spans="6:8">
      <c r="H6639" t="s">
        <v>20097</v>
      </c>
    </row>
    <row r="6640" spans="6:8">
      <c r="H6640" t="s">
        <v>20098</v>
      </c>
    </row>
    <row r="6641" spans="6:8">
      <c r="F6641" t="s">
        <v>11378</v>
      </c>
      <c r="G6641" t="s">
        <v>15299</v>
      </c>
      <c r="H6641" t="s">
        <v>20091</v>
      </c>
    </row>
    <row r="6642" spans="6:8">
      <c r="H6642" t="s">
        <v>19712</v>
      </c>
    </row>
    <row r="6643" spans="6:8">
      <c r="H6643" t="s">
        <v>19709</v>
      </c>
    </row>
    <row r="6644" spans="6:8">
      <c r="H6644" t="s">
        <v>19706</v>
      </c>
    </row>
    <row r="6645" spans="6:8">
      <c r="H6645" t="s">
        <v>19707</v>
      </c>
    </row>
    <row r="6646" spans="6:8">
      <c r="H6646" t="s">
        <v>19711</v>
      </c>
    </row>
    <row r="6647" spans="6:8">
      <c r="H6647" t="s">
        <v>20107</v>
      </c>
    </row>
    <row r="6648" spans="6:8">
      <c r="H6648" t="s">
        <v>20108</v>
      </c>
    </row>
    <row r="6649" spans="6:8">
      <c r="H6649" t="s">
        <v>19713</v>
      </c>
    </row>
    <row r="6650" spans="6:8">
      <c r="H6650" t="s">
        <v>19714</v>
      </c>
    </row>
    <row r="6651" spans="6:8">
      <c r="H6651" t="s">
        <v>20095</v>
      </c>
    </row>
    <row r="6652" spans="6:8">
      <c r="H6652" t="s">
        <v>20096</v>
      </c>
    </row>
    <row r="6653" spans="6:8">
      <c r="H6653" t="s">
        <v>20097</v>
      </c>
    </row>
    <row r="6654" spans="6:8">
      <c r="H6654" t="s">
        <v>20098</v>
      </c>
    </row>
    <row r="6655" spans="6:8">
      <c r="F6655" t="s">
        <v>11379</v>
      </c>
      <c r="G6655" t="s">
        <v>15300</v>
      </c>
      <c r="H6655" t="s">
        <v>20091</v>
      </c>
    </row>
    <row r="6656" spans="6:8">
      <c r="H6656" t="s">
        <v>19712</v>
      </c>
    </row>
    <row r="6657" spans="6:8">
      <c r="H6657" t="s">
        <v>19709</v>
      </c>
    </row>
    <row r="6658" spans="6:8">
      <c r="H6658" t="s">
        <v>19706</v>
      </c>
    </row>
    <row r="6659" spans="6:8">
      <c r="H6659" t="s">
        <v>19707</v>
      </c>
    </row>
    <row r="6660" spans="6:8">
      <c r="H6660" t="s">
        <v>19711</v>
      </c>
    </row>
    <row r="6661" spans="6:8">
      <c r="H6661" t="s">
        <v>20107</v>
      </c>
    </row>
    <row r="6662" spans="6:8">
      <c r="H6662" t="s">
        <v>20108</v>
      </c>
    </row>
    <row r="6663" spans="6:8">
      <c r="H6663" t="s">
        <v>19713</v>
      </c>
    </row>
    <row r="6664" spans="6:8">
      <c r="H6664" t="s">
        <v>19714</v>
      </c>
    </row>
    <row r="6665" spans="6:8">
      <c r="H6665" t="s">
        <v>20095</v>
      </c>
    </row>
    <row r="6666" spans="6:8">
      <c r="H6666" t="s">
        <v>20096</v>
      </c>
    </row>
    <row r="6667" spans="6:8">
      <c r="H6667" t="s">
        <v>20097</v>
      </c>
    </row>
    <row r="6668" spans="6:8">
      <c r="H6668" t="s">
        <v>20098</v>
      </c>
    </row>
    <row r="6669" spans="6:8">
      <c r="F6669" t="s">
        <v>11380</v>
      </c>
      <c r="G6669" t="s">
        <v>15301</v>
      </c>
      <c r="H6669" t="s">
        <v>20091</v>
      </c>
    </row>
    <row r="6670" spans="6:8">
      <c r="H6670" t="s">
        <v>19712</v>
      </c>
    </row>
    <row r="6671" spans="6:8">
      <c r="H6671" t="s">
        <v>19709</v>
      </c>
    </row>
    <row r="6672" spans="6:8">
      <c r="H6672" t="s">
        <v>19706</v>
      </c>
    </row>
    <row r="6673" spans="6:8">
      <c r="H6673" t="s">
        <v>19707</v>
      </c>
    </row>
    <row r="6674" spans="6:8">
      <c r="H6674" t="s">
        <v>19711</v>
      </c>
    </row>
    <row r="6675" spans="6:8">
      <c r="H6675" t="s">
        <v>20107</v>
      </c>
    </row>
    <row r="6676" spans="6:8">
      <c r="H6676" t="s">
        <v>20108</v>
      </c>
    </row>
    <row r="6677" spans="6:8">
      <c r="H6677" t="s">
        <v>19713</v>
      </c>
    </row>
    <row r="6678" spans="6:8">
      <c r="H6678" t="s">
        <v>19714</v>
      </c>
    </row>
    <row r="6679" spans="6:8">
      <c r="H6679" t="s">
        <v>20095</v>
      </c>
    </row>
    <row r="6680" spans="6:8">
      <c r="H6680" t="s">
        <v>20096</v>
      </c>
    </row>
    <row r="6681" spans="6:8">
      <c r="H6681" t="s">
        <v>20097</v>
      </c>
    </row>
    <row r="6682" spans="6:8">
      <c r="H6682" t="s">
        <v>20098</v>
      </c>
    </row>
    <row r="6683" spans="6:8">
      <c r="H6683" t="s">
        <v>20099</v>
      </c>
    </row>
    <row r="6684" spans="6:8">
      <c r="F6684" t="s">
        <v>11381</v>
      </c>
      <c r="G6684" t="s">
        <v>15302</v>
      </c>
      <c r="H6684" t="s">
        <v>20091</v>
      </c>
    </row>
    <row r="6685" spans="6:8">
      <c r="H6685" t="s">
        <v>19712</v>
      </c>
    </row>
    <row r="6686" spans="6:8">
      <c r="H6686" t="s">
        <v>19709</v>
      </c>
    </row>
    <row r="6687" spans="6:8">
      <c r="H6687" t="s">
        <v>19706</v>
      </c>
    </row>
    <row r="6688" spans="6:8">
      <c r="H6688" t="s">
        <v>19707</v>
      </c>
    </row>
    <row r="6689" spans="6:8">
      <c r="H6689" t="s">
        <v>19711</v>
      </c>
    </row>
    <row r="6690" spans="6:8">
      <c r="H6690" t="s">
        <v>20107</v>
      </c>
    </row>
    <row r="6691" spans="6:8">
      <c r="H6691" t="s">
        <v>20108</v>
      </c>
    </row>
    <row r="6692" spans="6:8">
      <c r="H6692" t="s">
        <v>19713</v>
      </c>
    </row>
    <row r="6693" spans="6:8">
      <c r="H6693" t="s">
        <v>19714</v>
      </c>
    </row>
    <row r="6694" spans="6:8">
      <c r="H6694" t="s">
        <v>20095</v>
      </c>
    </row>
    <row r="6695" spans="6:8">
      <c r="H6695" t="s">
        <v>20096</v>
      </c>
    </row>
    <row r="6696" spans="6:8">
      <c r="H6696" t="s">
        <v>20097</v>
      </c>
    </row>
    <row r="6697" spans="6:8">
      <c r="H6697" t="s">
        <v>20098</v>
      </c>
    </row>
    <row r="6698" spans="6:8">
      <c r="H6698" t="s">
        <v>20099</v>
      </c>
    </row>
    <row r="6699" spans="6:8">
      <c r="F6699" t="s">
        <v>11382</v>
      </c>
      <c r="G6699" t="s">
        <v>15303</v>
      </c>
      <c r="H6699" t="s">
        <v>20091</v>
      </c>
    </row>
    <row r="6700" spans="6:8">
      <c r="H6700" t="s">
        <v>19712</v>
      </c>
    </row>
    <row r="6701" spans="6:8">
      <c r="H6701" t="s">
        <v>19709</v>
      </c>
    </row>
    <row r="6702" spans="6:8">
      <c r="H6702" t="s">
        <v>19706</v>
      </c>
    </row>
    <row r="6703" spans="6:8">
      <c r="H6703" t="s">
        <v>19707</v>
      </c>
    </row>
    <row r="6704" spans="6:8">
      <c r="H6704" t="s">
        <v>19711</v>
      </c>
    </row>
    <row r="6705" spans="6:8">
      <c r="H6705" t="s">
        <v>20107</v>
      </c>
    </row>
    <row r="6706" spans="6:8">
      <c r="H6706" t="s">
        <v>20108</v>
      </c>
    </row>
    <row r="6707" spans="6:8">
      <c r="H6707" t="s">
        <v>19713</v>
      </c>
    </row>
    <row r="6708" spans="6:8">
      <c r="H6708" t="s">
        <v>19714</v>
      </c>
    </row>
    <row r="6709" spans="6:8">
      <c r="H6709" t="s">
        <v>20095</v>
      </c>
    </row>
    <row r="6710" spans="6:8">
      <c r="H6710" t="s">
        <v>20096</v>
      </c>
    </row>
    <row r="6711" spans="6:8">
      <c r="H6711" t="s">
        <v>20097</v>
      </c>
    </row>
    <row r="6712" spans="6:8">
      <c r="H6712" t="s">
        <v>20098</v>
      </c>
    </row>
    <row r="6713" spans="6:8">
      <c r="F6713" t="s">
        <v>11383</v>
      </c>
      <c r="G6713" t="s">
        <v>15304</v>
      </c>
      <c r="H6713" t="s">
        <v>20091</v>
      </c>
    </row>
    <row r="6714" spans="6:8">
      <c r="H6714" t="s">
        <v>19712</v>
      </c>
    </row>
    <row r="6715" spans="6:8">
      <c r="H6715" t="s">
        <v>19709</v>
      </c>
    </row>
    <row r="6716" spans="6:8">
      <c r="H6716" t="s">
        <v>19706</v>
      </c>
    </row>
    <row r="6717" spans="6:8">
      <c r="H6717" t="s">
        <v>19707</v>
      </c>
    </row>
    <row r="6718" spans="6:8">
      <c r="H6718" t="s">
        <v>19711</v>
      </c>
    </row>
    <row r="6719" spans="6:8">
      <c r="H6719" t="s">
        <v>20107</v>
      </c>
    </row>
    <row r="6720" spans="6:8">
      <c r="H6720" t="s">
        <v>20108</v>
      </c>
    </row>
    <row r="6721" spans="6:8">
      <c r="H6721" t="s">
        <v>19713</v>
      </c>
    </row>
    <row r="6722" spans="6:8">
      <c r="H6722" t="s">
        <v>19714</v>
      </c>
    </row>
    <row r="6723" spans="6:8">
      <c r="H6723" t="s">
        <v>20095</v>
      </c>
    </row>
    <row r="6724" spans="6:8">
      <c r="H6724" t="s">
        <v>20096</v>
      </c>
    </row>
    <row r="6725" spans="6:8">
      <c r="H6725" t="s">
        <v>20097</v>
      </c>
    </row>
    <row r="6726" spans="6:8">
      <c r="H6726" t="s">
        <v>20098</v>
      </c>
    </row>
    <row r="6727" spans="6:8">
      <c r="F6727" t="s">
        <v>11384</v>
      </c>
      <c r="G6727" t="s">
        <v>15305</v>
      </c>
      <c r="H6727" t="s">
        <v>20091</v>
      </c>
    </row>
    <row r="6728" spans="6:8">
      <c r="H6728" t="s">
        <v>19712</v>
      </c>
    </row>
    <row r="6729" spans="6:8">
      <c r="H6729" t="s">
        <v>19709</v>
      </c>
    </row>
    <row r="6730" spans="6:8">
      <c r="H6730" t="s">
        <v>19706</v>
      </c>
    </row>
    <row r="6731" spans="6:8">
      <c r="H6731" t="s">
        <v>19707</v>
      </c>
    </row>
    <row r="6732" spans="6:8">
      <c r="H6732" t="s">
        <v>19711</v>
      </c>
    </row>
    <row r="6733" spans="6:8">
      <c r="H6733" t="s">
        <v>20107</v>
      </c>
    </row>
    <row r="6734" spans="6:8">
      <c r="H6734" t="s">
        <v>20108</v>
      </c>
    </row>
    <row r="6735" spans="6:8">
      <c r="H6735" t="s">
        <v>19713</v>
      </c>
    </row>
    <row r="6736" spans="6:8">
      <c r="H6736" t="s">
        <v>19714</v>
      </c>
    </row>
    <row r="6737" spans="6:8">
      <c r="H6737" t="s">
        <v>20095</v>
      </c>
    </row>
    <row r="6738" spans="6:8">
      <c r="H6738" t="s">
        <v>20096</v>
      </c>
    </row>
    <row r="6739" spans="6:8">
      <c r="H6739" t="s">
        <v>20097</v>
      </c>
    </row>
    <row r="6740" spans="6:8">
      <c r="H6740" t="s">
        <v>20098</v>
      </c>
    </row>
    <row r="6741" spans="6:8">
      <c r="F6741" t="s">
        <v>11385</v>
      </c>
      <c r="G6741" t="s">
        <v>15306</v>
      </c>
      <c r="H6741" t="s">
        <v>20091</v>
      </c>
    </row>
    <row r="6742" spans="6:8">
      <c r="H6742" t="s">
        <v>19712</v>
      </c>
    </row>
    <row r="6743" spans="6:8">
      <c r="H6743" t="s">
        <v>19709</v>
      </c>
    </row>
    <row r="6744" spans="6:8">
      <c r="H6744" t="s">
        <v>19706</v>
      </c>
    </row>
    <row r="6745" spans="6:8">
      <c r="H6745" t="s">
        <v>19707</v>
      </c>
    </row>
    <row r="6746" spans="6:8">
      <c r="H6746" t="s">
        <v>19711</v>
      </c>
    </row>
    <row r="6747" spans="6:8">
      <c r="H6747" t="s">
        <v>20107</v>
      </c>
    </row>
    <row r="6748" spans="6:8">
      <c r="H6748" t="s">
        <v>20108</v>
      </c>
    </row>
    <row r="6749" spans="6:8">
      <c r="H6749" t="s">
        <v>19713</v>
      </c>
    </row>
    <row r="6750" spans="6:8">
      <c r="H6750" t="s">
        <v>19714</v>
      </c>
    </row>
    <row r="6751" spans="6:8">
      <c r="H6751" t="s">
        <v>20095</v>
      </c>
    </row>
    <row r="6752" spans="6:8">
      <c r="H6752" t="s">
        <v>20096</v>
      </c>
    </row>
    <row r="6753" spans="6:8">
      <c r="H6753" t="s">
        <v>20097</v>
      </c>
    </row>
    <row r="6754" spans="6:8">
      <c r="H6754" t="s">
        <v>20098</v>
      </c>
    </row>
    <row r="6755" spans="6:8">
      <c r="H6755" t="s">
        <v>20099</v>
      </c>
    </row>
    <row r="6756" spans="6:8">
      <c r="F6756" t="s">
        <v>11386</v>
      </c>
      <c r="G6756" t="s">
        <v>15307</v>
      </c>
      <c r="H6756" t="s">
        <v>20091</v>
      </c>
    </row>
    <row r="6757" spans="6:8">
      <c r="H6757" t="s">
        <v>19712</v>
      </c>
    </row>
    <row r="6758" spans="6:8">
      <c r="H6758" t="s">
        <v>19709</v>
      </c>
    </row>
    <row r="6759" spans="6:8">
      <c r="H6759" t="s">
        <v>19706</v>
      </c>
    </row>
    <row r="6760" spans="6:8">
      <c r="H6760" t="s">
        <v>19707</v>
      </c>
    </row>
    <row r="6761" spans="6:8">
      <c r="H6761" t="s">
        <v>19711</v>
      </c>
    </row>
    <row r="6762" spans="6:8">
      <c r="H6762" t="s">
        <v>20107</v>
      </c>
    </row>
    <row r="6763" spans="6:8">
      <c r="H6763" t="s">
        <v>20108</v>
      </c>
    </row>
    <row r="6764" spans="6:8">
      <c r="H6764" t="s">
        <v>19713</v>
      </c>
    </row>
    <row r="6765" spans="6:8">
      <c r="H6765" t="s">
        <v>19714</v>
      </c>
    </row>
    <row r="6766" spans="6:8">
      <c r="H6766" t="s">
        <v>20095</v>
      </c>
    </row>
    <row r="6767" spans="6:8">
      <c r="H6767" t="s">
        <v>20096</v>
      </c>
    </row>
    <row r="6768" spans="6:8">
      <c r="H6768" t="s">
        <v>20097</v>
      </c>
    </row>
    <row r="6769" spans="6:8">
      <c r="H6769" t="s">
        <v>20098</v>
      </c>
    </row>
    <row r="6770" spans="6:8">
      <c r="H6770" t="s">
        <v>20099</v>
      </c>
    </row>
    <row r="6771" spans="6:8">
      <c r="F6771" t="s">
        <v>11387</v>
      </c>
      <c r="G6771" t="s">
        <v>15308</v>
      </c>
      <c r="H6771" t="s">
        <v>20091</v>
      </c>
    </row>
    <row r="6772" spans="6:8">
      <c r="H6772" t="s">
        <v>19712</v>
      </c>
    </row>
    <row r="6773" spans="6:8">
      <c r="H6773" t="s">
        <v>20107</v>
      </c>
    </row>
    <row r="6774" spans="6:8">
      <c r="H6774" t="s">
        <v>20108</v>
      </c>
    </row>
    <row r="6775" spans="6:8">
      <c r="H6775" t="s">
        <v>19713</v>
      </c>
    </row>
    <row r="6776" spans="6:8">
      <c r="H6776" t="s">
        <v>20095</v>
      </c>
    </row>
    <row r="6777" spans="6:8">
      <c r="H6777" t="s">
        <v>20096</v>
      </c>
    </row>
    <row r="6778" spans="6:8">
      <c r="H6778" t="s">
        <v>20097</v>
      </c>
    </row>
    <row r="6779" spans="6:8">
      <c r="H6779" t="s">
        <v>20098</v>
      </c>
    </row>
    <row r="6780" spans="6:8">
      <c r="H6780" t="s">
        <v>20099</v>
      </c>
    </row>
    <row r="6781" spans="6:8">
      <c r="H6781" t="s">
        <v>20100</v>
      </c>
    </row>
    <row r="6782" spans="6:8">
      <c r="H6782" t="s">
        <v>20101</v>
      </c>
    </row>
    <row r="6783" spans="6:8">
      <c r="H6783" t="s">
        <v>20104</v>
      </c>
    </row>
    <row r="6784" spans="6:8">
      <c r="H6784" t="s">
        <v>20105</v>
      </c>
    </row>
    <row r="6785" spans="6:8">
      <c r="H6785" t="s">
        <v>20123</v>
      </c>
    </row>
    <row r="6786" spans="6:8">
      <c r="H6786" t="s">
        <v>20124</v>
      </c>
    </row>
    <row r="6787" spans="6:8">
      <c r="F6787" t="s">
        <v>11388</v>
      </c>
      <c r="G6787" t="s">
        <v>15309</v>
      </c>
      <c r="H6787" t="s">
        <v>20091</v>
      </c>
    </row>
    <row r="6788" spans="6:8">
      <c r="H6788" t="s">
        <v>19712</v>
      </c>
    </row>
    <row r="6789" spans="6:8">
      <c r="H6789" t="s">
        <v>19709</v>
      </c>
    </row>
    <row r="6790" spans="6:8">
      <c r="H6790" t="s">
        <v>19706</v>
      </c>
    </row>
    <row r="6791" spans="6:8">
      <c r="H6791" t="s">
        <v>19711</v>
      </c>
    </row>
    <row r="6792" spans="6:8">
      <c r="H6792" t="s">
        <v>20117</v>
      </c>
    </row>
    <row r="6793" spans="6:8">
      <c r="H6793" t="s">
        <v>20095</v>
      </c>
    </row>
    <row r="6794" spans="6:8">
      <c r="H6794" t="s">
        <v>20096</v>
      </c>
    </row>
    <row r="6795" spans="6:8">
      <c r="H6795" t="s">
        <v>20099</v>
      </c>
    </row>
    <row r="6796" spans="6:8">
      <c r="H6796" t="s">
        <v>20101</v>
      </c>
    </row>
    <row r="6797" spans="6:8">
      <c r="H6797" t="s">
        <v>20102</v>
      </c>
    </row>
    <row r="6798" spans="6:8">
      <c r="H6798" t="s">
        <v>20104</v>
      </c>
    </row>
    <row r="6799" spans="6:8">
      <c r="H6799" t="s">
        <v>20105</v>
      </c>
    </row>
    <row r="6800" spans="6:8">
      <c r="H6800" t="s">
        <v>20123</v>
      </c>
    </row>
    <row r="6801" spans="6:8">
      <c r="H6801" t="s">
        <v>20124</v>
      </c>
    </row>
    <row r="6802" spans="6:8">
      <c r="H6802" t="s">
        <v>20192</v>
      </c>
    </row>
    <row r="6803" spans="6:8">
      <c r="H6803" t="s">
        <v>20193</v>
      </c>
    </row>
    <row r="6804" spans="6:8">
      <c r="H6804" t="s">
        <v>20194</v>
      </c>
    </row>
    <row r="6805" spans="6:8">
      <c r="H6805" t="s">
        <v>19177</v>
      </c>
    </row>
    <row r="6806" spans="6:8">
      <c r="H6806" t="s">
        <v>20196</v>
      </c>
    </row>
    <row r="6807" spans="6:8">
      <c r="H6807" t="s">
        <v>20197</v>
      </c>
    </row>
    <row r="6808" spans="6:8">
      <c r="H6808" t="s">
        <v>20198</v>
      </c>
    </row>
    <row r="6809" spans="6:8">
      <c r="F6809" t="s">
        <v>11389</v>
      </c>
      <c r="G6809" t="s">
        <v>15649</v>
      </c>
      <c r="H6809" t="s">
        <v>20091</v>
      </c>
    </row>
    <row r="6810" spans="6:8">
      <c r="H6810" t="s">
        <v>19712</v>
      </c>
    </row>
    <row r="6811" spans="6:8">
      <c r="H6811" t="s">
        <v>19706</v>
      </c>
    </row>
    <row r="6812" spans="6:8">
      <c r="H6812" t="s">
        <v>20117</v>
      </c>
    </row>
    <row r="6813" spans="6:8">
      <c r="H6813" t="s">
        <v>20095</v>
      </c>
    </row>
    <row r="6814" spans="6:8">
      <c r="H6814" t="s">
        <v>20096</v>
      </c>
    </row>
    <row r="6815" spans="6:8">
      <c r="H6815" t="s">
        <v>20099</v>
      </c>
    </row>
    <row r="6816" spans="6:8">
      <c r="H6816" t="s">
        <v>20100</v>
      </c>
    </row>
    <row r="6817" spans="6:8">
      <c r="H6817" t="s">
        <v>20101</v>
      </c>
    </row>
    <row r="6818" spans="6:8">
      <c r="H6818" t="s">
        <v>20102</v>
      </c>
    </row>
    <row r="6819" spans="6:8">
      <c r="H6819" t="s">
        <v>20104</v>
      </c>
    </row>
    <row r="6820" spans="6:8">
      <c r="H6820" t="s">
        <v>20105</v>
      </c>
    </row>
    <row r="6821" spans="6:8">
      <c r="H6821" t="s">
        <v>20123</v>
      </c>
    </row>
    <row r="6822" spans="6:8">
      <c r="H6822" t="s">
        <v>20124</v>
      </c>
    </row>
    <row r="6823" spans="6:8">
      <c r="H6823" t="s">
        <v>20192</v>
      </c>
    </row>
    <row r="6824" spans="6:8">
      <c r="H6824" t="s">
        <v>20193</v>
      </c>
    </row>
    <row r="6825" spans="6:8">
      <c r="H6825" t="s">
        <v>20194</v>
      </c>
    </row>
    <row r="6826" spans="6:8">
      <c r="H6826" t="s">
        <v>19177</v>
      </c>
    </row>
    <row r="6827" spans="6:8">
      <c r="H6827" t="s">
        <v>20196</v>
      </c>
    </row>
    <row r="6828" spans="6:8">
      <c r="H6828" t="s">
        <v>20197</v>
      </c>
    </row>
    <row r="6829" spans="6:8">
      <c r="H6829" t="s">
        <v>20198</v>
      </c>
    </row>
    <row r="6830" spans="6:8">
      <c r="F6830" t="s">
        <v>11390</v>
      </c>
      <c r="G6830" t="s">
        <v>15650</v>
      </c>
      <c r="H6830" t="s">
        <v>20091</v>
      </c>
    </row>
    <row r="6831" spans="6:8">
      <c r="H6831" t="s">
        <v>19712</v>
      </c>
    </row>
    <row r="6832" spans="6:8">
      <c r="H6832" t="s">
        <v>19706</v>
      </c>
    </row>
    <row r="6833" spans="8:8">
      <c r="H6833" t="s">
        <v>20117</v>
      </c>
    </row>
    <row r="6834" spans="8:8">
      <c r="H6834" t="s">
        <v>20095</v>
      </c>
    </row>
    <row r="6835" spans="8:8">
      <c r="H6835" t="s">
        <v>20096</v>
      </c>
    </row>
    <row r="6836" spans="8:8">
      <c r="H6836" t="s">
        <v>20099</v>
      </c>
    </row>
    <row r="6837" spans="8:8">
      <c r="H6837" t="s">
        <v>20100</v>
      </c>
    </row>
    <row r="6838" spans="8:8">
      <c r="H6838" t="s">
        <v>20101</v>
      </c>
    </row>
    <row r="6839" spans="8:8">
      <c r="H6839" t="s">
        <v>20102</v>
      </c>
    </row>
    <row r="6840" spans="8:8">
      <c r="H6840" t="s">
        <v>20104</v>
      </c>
    </row>
    <row r="6841" spans="8:8">
      <c r="H6841" t="s">
        <v>20105</v>
      </c>
    </row>
    <row r="6842" spans="8:8">
      <c r="H6842" t="s">
        <v>20123</v>
      </c>
    </row>
    <row r="6843" spans="8:8">
      <c r="H6843" t="s">
        <v>20124</v>
      </c>
    </row>
    <row r="6844" spans="8:8">
      <c r="H6844" t="s">
        <v>20192</v>
      </c>
    </row>
    <row r="6845" spans="8:8">
      <c r="H6845" t="s">
        <v>20193</v>
      </c>
    </row>
    <row r="6846" spans="8:8">
      <c r="H6846" t="s">
        <v>20194</v>
      </c>
    </row>
    <row r="6847" spans="8:8">
      <c r="H6847" t="s">
        <v>19177</v>
      </c>
    </row>
    <row r="6848" spans="8:8">
      <c r="H6848" t="s">
        <v>20196</v>
      </c>
    </row>
    <row r="6849" spans="6:8">
      <c r="H6849" t="s">
        <v>20197</v>
      </c>
    </row>
    <row r="6850" spans="6:8">
      <c r="H6850" t="s">
        <v>20198</v>
      </c>
    </row>
    <row r="6851" spans="6:8">
      <c r="F6851" t="s">
        <v>11391</v>
      </c>
      <c r="G6851" t="s">
        <v>15651</v>
      </c>
      <c r="H6851" t="s">
        <v>20091</v>
      </c>
    </row>
    <row r="6852" spans="6:8">
      <c r="H6852" t="s">
        <v>19712</v>
      </c>
    </row>
    <row r="6853" spans="6:8">
      <c r="H6853" t="s">
        <v>19706</v>
      </c>
    </row>
    <row r="6854" spans="6:8">
      <c r="H6854" t="s">
        <v>20117</v>
      </c>
    </row>
    <row r="6855" spans="6:8">
      <c r="H6855" t="s">
        <v>20095</v>
      </c>
    </row>
    <row r="6856" spans="6:8">
      <c r="H6856" t="s">
        <v>20096</v>
      </c>
    </row>
    <row r="6857" spans="6:8">
      <c r="H6857" t="s">
        <v>20099</v>
      </c>
    </row>
    <row r="6858" spans="6:8">
      <c r="H6858" t="s">
        <v>20100</v>
      </c>
    </row>
    <row r="6859" spans="6:8">
      <c r="H6859" t="s">
        <v>20101</v>
      </c>
    </row>
    <row r="6860" spans="6:8">
      <c r="H6860" t="s">
        <v>20102</v>
      </c>
    </row>
    <row r="6861" spans="6:8">
      <c r="H6861" t="s">
        <v>20104</v>
      </c>
    </row>
    <row r="6862" spans="6:8">
      <c r="H6862" t="s">
        <v>20105</v>
      </c>
    </row>
    <row r="6863" spans="6:8">
      <c r="H6863" t="s">
        <v>20123</v>
      </c>
    </row>
    <row r="6864" spans="6:8">
      <c r="H6864" t="s">
        <v>20124</v>
      </c>
    </row>
    <row r="6865" spans="6:8">
      <c r="H6865" t="s">
        <v>20192</v>
      </c>
    </row>
    <row r="6866" spans="6:8">
      <c r="H6866" t="s">
        <v>20193</v>
      </c>
    </row>
    <row r="6867" spans="6:8">
      <c r="H6867" t="s">
        <v>20194</v>
      </c>
    </row>
    <row r="6868" spans="6:8">
      <c r="H6868" t="s">
        <v>19177</v>
      </c>
    </row>
    <row r="6869" spans="6:8">
      <c r="H6869" t="s">
        <v>20196</v>
      </c>
    </row>
    <row r="6870" spans="6:8">
      <c r="H6870" t="s">
        <v>20197</v>
      </c>
    </row>
    <row r="6871" spans="6:8">
      <c r="H6871" t="s">
        <v>20198</v>
      </c>
    </row>
    <row r="6872" spans="6:8">
      <c r="F6872" t="s">
        <v>11392</v>
      </c>
      <c r="G6872" t="s">
        <v>15652</v>
      </c>
      <c r="H6872" t="s">
        <v>20091</v>
      </c>
    </row>
    <row r="6873" spans="6:8">
      <c r="H6873" t="s">
        <v>19712</v>
      </c>
    </row>
    <row r="6874" spans="6:8">
      <c r="H6874" t="s">
        <v>19706</v>
      </c>
    </row>
    <row r="6875" spans="6:8">
      <c r="H6875" t="s">
        <v>20117</v>
      </c>
    </row>
    <row r="6876" spans="6:8">
      <c r="H6876" t="s">
        <v>20095</v>
      </c>
    </row>
    <row r="6877" spans="6:8">
      <c r="H6877" t="s">
        <v>20096</v>
      </c>
    </row>
    <row r="6878" spans="6:8">
      <c r="H6878" t="s">
        <v>20099</v>
      </c>
    </row>
    <row r="6879" spans="6:8">
      <c r="H6879" t="s">
        <v>20101</v>
      </c>
    </row>
    <row r="6880" spans="6:8">
      <c r="H6880" t="s">
        <v>20102</v>
      </c>
    </row>
    <row r="6881" spans="6:8">
      <c r="H6881" t="s">
        <v>20104</v>
      </c>
    </row>
    <row r="6882" spans="6:8">
      <c r="H6882" t="s">
        <v>20105</v>
      </c>
    </row>
    <row r="6883" spans="6:8">
      <c r="H6883" t="s">
        <v>20123</v>
      </c>
    </row>
    <row r="6884" spans="6:8">
      <c r="H6884" t="s">
        <v>20124</v>
      </c>
    </row>
    <row r="6885" spans="6:8">
      <c r="H6885" t="s">
        <v>20192</v>
      </c>
    </row>
    <row r="6886" spans="6:8">
      <c r="H6886" t="s">
        <v>20193</v>
      </c>
    </row>
    <row r="6887" spans="6:8">
      <c r="H6887" t="s">
        <v>20194</v>
      </c>
    </row>
    <row r="6888" spans="6:8">
      <c r="H6888" t="s">
        <v>19177</v>
      </c>
    </row>
    <row r="6889" spans="6:8">
      <c r="H6889" t="s">
        <v>20196</v>
      </c>
    </row>
    <row r="6890" spans="6:8">
      <c r="H6890" t="s">
        <v>20197</v>
      </c>
    </row>
    <row r="6891" spans="6:8">
      <c r="H6891" t="s">
        <v>20100</v>
      </c>
    </row>
    <row r="6892" spans="6:8">
      <c r="H6892" t="s">
        <v>20198</v>
      </c>
    </row>
    <row r="6893" spans="6:8">
      <c r="F6893" t="s">
        <v>11393</v>
      </c>
      <c r="G6893" t="s">
        <v>15653</v>
      </c>
      <c r="H6893" t="s">
        <v>20091</v>
      </c>
    </row>
    <row r="6894" spans="6:8">
      <c r="H6894" t="s">
        <v>19712</v>
      </c>
    </row>
    <row r="6895" spans="6:8">
      <c r="H6895" t="s">
        <v>19706</v>
      </c>
    </row>
    <row r="6896" spans="6:8">
      <c r="H6896" t="s">
        <v>20117</v>
      </c>
    </row>
    <row r="6897" spans="8:8">
      <c r="H6897" t="s">
        <v>20095</v>
      </c>
    </row>
    <row r="6898" spans="8:8">
      <c r="H6898" t="s">
        <v>20096</v>
      </c>
    </row>
    <row r="6899" spans="8:8">
      <c r="H6899" t="s">
        <v>20099</v>
      </c>
    </row>
    <row r="6900" spans="8:8">
      <c r="H6900" t="s">
        <v>20100</v>
      </c>
    </row>
    <row r="6901" spans="8:8">
      <c r="H6901" t="s">
        <v>20101</v>
      </c>
    </row>
    <row r="6902" spans="8:8">
      <c r="H6902" t="s">
        <v>20102</v>
      </c>
    </row>
    <row r="6903" spans="8:8">
      <c r="H6903" t="s">
        <v>20104</v>
      </c>
    </row>
    <row r="6904" spans="8:8">
      <c r="H6904" t="s">
        <v>20105</v>
      </c>
    </row>
    <row r="6905" spans="8:8">
      <c r="H6905" t="s">
        <v>20123</v>
      </c>
    </row>
    <row r="6906" spans="8:8">
      <c r="H6906" t="s">
        <v>20124</v>
      </c>
    </row>
    <row r="6907" spans="8:8">
      <c r="H6907" t="s">
        <v>20192</v>
      </c>
    </row>
    <row r="6908" spans="8:8">
      <c r="H6908" t="s">
        <v>20193</v>
      </c>
    </row>
    <row r="6909" spans="8:8">
      <c r="H6909" t="s">
        <v>20194</v>
      </c>
    </row>
    <row r="6910" spans="8:8">
      <c r="H6910" t="s">
        <v>19177</v>
      </c>
    </row>
    <row r="6911" spans="8:8">
      <c r="H6911" t="s">
        <v>20196</v>
      </c>
    </row>
    <row r="6912" spans="8:8">
      <c r="H6912" t="s">
        <v>20197</v>
      </c>
    </row>
    <row r="6913" spans="6:8">
      <c r="H6913" t="s">
        <v>20198</v>
      </c>
    </row>
    <row r="6914" spans="6:8">
      <c r="F6914" t="s">
        <v>11394</v>
      </c>
      <c r="G6914" t="s">
        <v>15654</v>
      </c>
      <c r="H6914" t="s">
        <v>20091</v>
      </c>
    </row>
    <row r="6915" spans="6:8">
      <c r="H6915" t="s">
        <v>19712</v>
      </c>
    </row>
    <row r="6916" spans="6:8">
      <c r="H6916" t="s">
        <v>19709</v>
      </c>
    </row>
    <row r="6917" spans="6:8">
      <c r="H6917" t="s">
        <v>19706</v>
      </c>
    </row>
    <row r="6918" spans="6:8">
      <c r="H6918" t="s">
        <v>20117</v>
      </c>
    </row>
    <row r="6919" spans="6:8">
      <c r="H6919" t="s">
        <v>20095</v>
      </c>
    </row>
    <row r="6920" spans="6:8">
      <c r="H6920" t="s">
        <v>20096</v>
      </c>
    </row>
    <row r="6921" spans="6:8">
      <c r="H6921" t="s">
        <v>20099</v>
      </c>
    </row>
    <row r="6922" spans="6:8">
      <c r="H6922" t="s">
        <v>20101</v>
      </c>
    </row>
    <row r="6923" spans="6:8">
      <c r="H6923" t="s">
        <v>20102</v>
      </c>
    </row>
    <row r="6924" spans="6:8">
      <c r="H6924" t="s">
        <v>20104</v>
      </c>
    </row>
    <row r="6925" spans="6:8">
      <c r="H6925" t="s">
        <v>20105</v>
      </c>
    </row>
    <row r="6926" spans="6:8">
      <c r="H6926" t="s">
        <v>20123</v>
      </c>
    </row>
    <row r="6927" spans="6:8">
      <c r="H6927" t="s">
        <v>20124</v>
      </c>
    </row>
    <row r="6928" spans="6:8">
      <c r="H6928" t="s">
        <v>20192</v>
      </c>
    </row>
    <row r="6929" spans="6:8">
      <c r="H6929" t="s">
        <v>20193</v>
      </c>
    </row>
    <row r="6930" spans="6:8">
      <c r="H6930" t="s">
        <v>20194</v>
      </c>
    </row>
    <row r="6931" spans="6:8">
      <c r="H6931" t="s">
        <v>19177</v>
      </c>
    </row>
    <row r="6932" spans="6:8">
      <c r="H6932" t="s">
        <v>20196</v>
      </c>
    </row>
    <row r="6933" spans="6:8">
      <c r="H6933" t="s">
        <v>20197</v>
      </c>
    </row>
    <row r="6934" spans="6:8">
      <c r="H6934" t="s">
        <v>20100</v>
      </c>
    </row>
    <row r="6935" spans="6:8">
      <c r="H6935" t="s">
        <v>20198</v>
      </c>
    </row>
    <row r="6936" spans="6:8">
      <c r="F6936" t="s">
        <v>11395</v>
      </c>
      <c r="G6936" t="s">
        <v>15310</v>
      </c>
      <c r="H6936" t="s">
        <v>20091</v>
      </c>
    </row>
    <row r="6937" spans="6:8">
      <c r="H6937" t="s">
        <v>19712</v>
      </c>
    </row>
    <row r="6938" spans="6:8">
      <c r="H6938" t="s">
        <v>19709</v>
      </c>
    </row>
    <row r="6939" spans="6:8">
      <c r="H6939" t="s">
        <v>19706</v>
      </c>
    </row>
    <row r="6940" spans="6:8">
      <c r="H6940" t="s">
        <v>20107</v>
      </c>
    </row>
    <row r="6941" spans="6:8">
      <c r="H6941" t="s">
        <v>20108</v>
      </c>
    </row>
    <row r="6942" spans="6:8">
      <c r="H6942" t="s">
        <v>19713</v>
      </c>
    </row>
    <row r="6943" spans="6:8">
      <c r="H6943" t="s">
        <v>19714</v>
      </c>
    </row>
    <row r="6944" spans="6:8">
      <c r="H6944" t="s">
        <v>20109</v>
      </c>
    </row>
    <row r="6945" spans="6:8">
      <c r="H6945" t="s">
        <v>20110</v>
      </c>
    </row>
    <row r="6946" spans="6:8">
      <c r="H6946" t="s">
        <v>20111</v>
      </c>
    </row>
    <row r="6947" spans="6:8">
      <c r="H6947" t="s">
        <v>20112</v>
      </c>
    </row>
    <row r="6948" spans="6:8">
      <c r="H6948" t="s">
        <v>20113</v>
      </c>
    </row>
    <row r="6949" spans="6:8">
      <c r="H6949" t="s">
        <v>20114</v>
      </c>
    </row>
    <row r="6950" spans="6:8">
      <c r="H6950" t="s">
        <v>20095</v>
      </c>
    </row>
    <row r="6951" spans="6:8">
      <c r="H6951" t="s">
        <v>20096</v>
      </c>
    </row>
    <row r="6952" spans="6:8">
      <c r="H6952" t="s">
        <v>20097</v>
      </c>
    </row>
    <row r="6953" spans="6:8">
      <c r="H6953" t="s">
        <v>20098</v>
      </c>
    </row>
    <row r="6954" spans="6:8">
      <c r="F6954" t="s">
        <v>11396</v>
      </c>
      <c r="G6954" t="s">
        <v>15311</v>
      </c>
      <c r="H6954" t="s">
        <v>20091</v>
      </c>
    </row>
    <row r="6955" spans="6:8">
      <c r="H6955" t="s">
        <v>19712</v>
      </c>
    </row>
    <row r="6956" spans="6:8">
      <c r="H6956" t="s">
        <v>19709</v>
      </c>
    </row>
    <row r="6957" spans="6:8">
      <c r="H6957" t="s">
        <v>19706</v>
      </c>
    </row>
    <row r="6958" spans="6:8">
      <c r="H6958" t="s">
        <v>20107</v>
      </c>
    </row>
    <row r="6959" spans="6:8">
      <c r="H6959" t="s">
        <v>20108</v>
      </c>
    </row>
    <row r="6960" spans="6:8">
      <c r="H6960" t="s">
        <v>19713</v>
      </c>
    </row>
    <row r="6961" spans="6:8">
      <c r="H6961" t="s">
        <v>19714</v>
      </c>
    </row>
    <row r="6962" spans="6:8">
      <c r="H6962" t="s">
        <v>20109</v>
      </c>
    </row>
    <row r="6963" spans="6:8">
      <c r="H6963" t="s">
        <v>20110</v>
      </c>
    </row>
    <row r="6964" spans="6:8">
      <c r="H6964" t="s">
        <v>20111</v>
      </c>
    </row>
    <row r="6965" spans="6:8">
      <c r="H6965" t="s">
        <v>20112</v>
      </c>
    </row>
    <row r="6966" spans="6:8">
      <c r="H6966" t="s">
        <v>20113</v>
      </c>
    </row>
    <row r="6967" spans="6:8">
      <c r="H6967" t="s">
        <v>20114</v>
      </c>
    </row>
    <row r="6968" spans="6:8">
      <c r="H6968" t="s">
        <v>20095</v>
      </c>
    </row>
    <row r="6969" spans="6:8">
      <c r="H6969" t="s">
        <v>20096</v>
      </c>
    </row>
    <row r="6970" spans="6:8">
      <c r="H6970" t="s">
        <v>20097</v>
      </c>
    </row>
    <row r="6971" spans="6:8">
      <c r="H6971" t="s">
        <v>20098</v>
      </c>
    </row>
    <row r="6972" spans="6:8">
      <c r="F6972" t="s">
        <v>11397</v>
      </c>
      <c r="G6972" t="s">
        <v>15312</v>
      </c>
      <c r="H6972" t="s">
        <v>20091</v>
      </c>
    </row>
    <row r="6973" spans="6:8">
      <c r="H6973" t="s">
        <v>19712</v>
      </c>
    </row>
    <row r="6974" spans="6:8">
      <c r="H6974" t="s">
        <v>19709</v>
      </c>
    </row>
    <row r="6975" spans="6:8">
      <c r="H6975" t="s">
        <v>19706</v>
      </c>
    </row>
    <row r="6976" spans="6:8">
      <c r="H6976" t="s">
        <v>20107</v>
      </c>
    </row>
    <row r="6977" spans="6:8">
      <c r="H6977" t="s">
        <v>20108</v>
      </c>
    </row>
    <row r="6978" spans="6:8">
      <c r="H6978" t="s">
        <v>19713</v>
      </c>
    </row>
    <row r="6979" spans="6:8">
      <c r="H6979" t="s">
        <v>19714</v>
      </c>
    </row>
    <row r="6980" spans="6:8">
      <c r="H6980" t="s">
        <v>20109</v>
      </c>
    </row>
    <row r="6981" spans="6:8">
      <c r="H6981" t="s">
        <v>20110</v>
      </c>
    </row>
    <row r="6982" spans="6:8">
      <c r="H6982" t="s">
        <v>20111</v>
      </c>
    </row>
    <row r="6983" spans="6:8">
      <c r="H6983" t="s">
        <v>20112</v>
      </c>
    </row>
    <row r="6984" spans="6:8">
      <c r="H6984" t="s">
        <v>20113</v>
      </c>
    </row>
    <row r="6985" spans="6:8">
      <c r="H6985" t="s">
        <v>20114</v>
      </c>
    </row>
    <row r="6986" spans="6:8">
      <c r="H6986" t="s">
        <v>20115</v>
      </c>
    </row>
    <row r="6987" spans="6:8">
      <c r="H6987" t="s">
        <v>20096</v>
      </c>
    </row>
    <row r="6988" spans="6:8">
      <c r="H6988" t="s">
        <v>20097</v>
      </c>
    </row>
    <row r="6989" spans="6:8">
      <c r="H6989" t="s">
        <v>20098</v>
      </c>
    </row>
    <row r="6990" spans="6:8">
      <c r="H6990" t="s">
        <v>20099</v>
      </c>
    </row>
    <row r="6991" spans="6:8">
      <c r="F6991" t="s">
        <v>11398</v>
      </c>
      <c r="G6991" t="s">
        <v>15313</v>
      </c>
      <c r="H6991" t="s">
        <v>20091</v>
      </c>
    </row>
    <row r="6992" spans="6:8">
      <c r="H6992" t="s">
        <v>19712</v>
      </c>
    </row>
    <row r="6993" spans="8:8">
      <c r="H6993" t="s">
        <v>19709</v>
      </c>
    </row>
    <row r="6994" spans="8:8">
      <c r="H6994" t="s">
        <v>19706</v>
      </c>
    </row>
    <row r="6995" spans="8:8">
      <c r="H6995" t="s">
        <v>20107</v>
      </c>
    </row>
    <row r="6996" spans="8:8">
      <c r="H6996" t="s">
        <v>20108</v>
      </c>
    </row>
    <row r="6997" spans="8:8">
      <c r="H6997" t="s">
        <v>19713</v>
      </c>
    </row>
    <row r="6998" spans="8:8">
      <c r="H6998" t="s">
        <v>19714</v>
      </c>
    </row>
    <row r="6999" spans="8:8">
      <c r="H6999" t="s">
        <v>20109</v>
      </c>
    </row>
    <row r="7000" spans="8:8">
      <c r="H7000" t="s">
        <v>20110</v>
      </c>
    </row>
    <row r="7001" spans="8:8">
      <c r="H7001" t="s">
        <v>20111</v>
      </c>
    </row>
    <row r="7002" spans="8:8">
      <c r="H7002" t="s">
        <v>20112</v>
      </c>
    </row>
    <row r="7003" spans="8:8">
      <c r="H7003" t="s">
        <v>20113</v>
      </c>
    </row>
    <row r="7004" spans="8:8">
      <c r="H7004" t="s">
        <v>20114</v>
      </c>
    </row>
    <row r="7005" spans="8:8">
      <c r="H7005" t="s">
        <v>20115</v>
      </c>
    </row>
    <row r="7006" spans="8:8">
      <c r="H7006" t="s">
        <v>20096</v>
      </c>
    </row>
    <row r="7007" spans="8:8">
      <c r="H7007" t="s">
        <v>20097</v>
      </c>
    </row>
    <row r="7008" spans="8:8">
      <c r="H7008" t="s">
        <v>20098</v>
      </c>
    </row>
    <row r="7009" spans="6:8">
      <c r="H7009" t="s">
        <v>20099</v>
      </c>
    </row>
    <row r="7010" spans="6:8">
      <c r="F7010" t="s">
        <v>11399</v>
      </c>
      <c r="G7010" t="s">
        <v>15314</v>
      </c>
      <c r="H7010" t="s">
        <v>20091</v>
      </c>
    </row>
    <row r="7011" spans="6:8">
      <c r="H7011" t="s">
        <v>19712</v>
      </c>
    </row>
    <row r="7012" spans="6:8">
      <c r="H7012" t="s">
        <v>19709</v>
      </c>
    </row>
    <row r="7013" spans="6:8">
      <c r="H7013" t="s">
        <v>19706</v>
      </c>
    </row>
    <row r="7014" spans="6:8">
      <c r="H7014" t="s">
        <v>19707</v>
      </c>
    </row>
    <row r="7015" spans="6:8">
      <c r="H7015" t="s">
        <v>20107</v>
      </c>
    </row>
    <row r="7016" spans="6:8">
      <c r="H7016" t="s">
        <v>20108</v>
      </c>
    </row>
    <row r="7017" spans="6:8">
      <c r="H7017" t="s">
        <v>19713</v>
      </c>
    </row>
    <row r="7018" spans="6:8">
      <c r="H7018" t="s">
        <v>19714</v>
      </c>
    </row>
    <row r="7019" spans="6:8">
      <c r="H7019" t="s">
        <v>20109</v>
      </c>
    </row>
    <row r="7020" spans="6:8">
      <c r="H7020" t="s">
        <v>20110</v>
      </c>
    </row>
    <row r="7021" spans="6:8">
      <c r="H7021" t="s">
        <v>20111</v>
      </c>
    </row>
    <row r="7022" spans="6:8">
      <c r="H7022" t="s">
        <v>20112</v>
      </c>
    </row>
    <row r="7023" spans="6:8">
      <c r="H7023" t="s">
        <v>20113</v>
      </c>
    </row>
    <row r="7024" spans="6:8">
      <c r="H7024" t="s">
        <v>20096</v>
      </c>
    </row>
    <row r="7025" spans="6:8">
      <c r="H7025" t="s">
        <v>20097</v>
      </c>
    </row>
    <row r="7026" spans="6:8">
      <c r="H7026" t="s">
        <v>20098</v>
      </c>
    </row>
    <row r="7027" spans="6:8">
      <c r="H7027" t="s">
        <v>20099</v>
      </c>
    </row>
    <row r="7028" spans="6:8">
      <c r="F7028" t="s">
        <v>11400</v>
      </c>
      <c r="G7028" t="s">
        <v>15315</v>
      </c>
      <c r="H7028" t="s">
        <v>20091</v>
      </c>
    </row>
    <row r="7029" spans="6:8">
      <c r="H7029" t="s">
        <v>19712</v>
      </c>
    </row>
    <row r="7030" spans="6:8">
      <c r="H7030" t="s">
        <v>19709</v>
      </c>
    </row>
    <row r="7031" spans="6:8">
      <c r="H7031" t="s">
        <v>19706</v>
      </c>
    </row>
    <row r="7032" spans="6:8">
      <c r="H7032" t="s">
        <v>19707</v>
      </c>
    </row>
    <row r="7033" spans="6:8">
      <c r="H7033" t="s">
        <v>20107</v>
      </c>
    </row>
    <row r="7034" spans="6:8">
      <c r="H7034" t="s">
        <v>20108</v>
      </c>
    </row>
    <row r="7035" spans="6:8">
      <c r="H7035" t="s">
        <v>19713</v>
      </c>
    </row>
    <row r="7036" spans="6:8">
      <c r="H7036" t="s">
        <v>19714</v>
      </c>
    </row>
    <row r="7037" spans="6:8">
      <c r="H7037" t="s">
        <v>20109</v>
      </c>
    </row>
    <row r="7038" spans="6:8">
      <c r="H7038" t="s">
        <v>20110</v>
      </c>
    </row>
    <row r="7039" spans="6:8">
      <c r="H7039" t="s">
        <v>20111</v>
      </c>
    </row>
    <row r="7040" spans="6:8">
      <c r="H7040" t="s">
        <v>20112</v>
      </c>
    </row>
    <row r="7041" spans="6:8">
      <c r="H7041" t="s">
        <v>20113</v>
      </c>
    </row>
    <row r="7042" spans="6:8">
      <c r="H7042" t="s">
        <v>20096</v>
      </c>
    </row>
    <row r="7043" spans="6:8">
      <c r="H7043" t="s">
        <v>20097</v>
      </c>
    </row>
    <row r="7044" spans="6:8">
      <c r="H7044" t="s">
        <v>20098</v>
      </c>
    </row>
    <row r="7045" spans="6:8">
      <c r="H7045" t="s">
        <v>20099</v>
      </c>
    </row>
    <row r="7046" spans="6:8">
      <c r="F7046" t="s">
        <v>11401</v>
      </c>
      <c r="G7046" t="s">
        <v>15316</v>
      </c>
      <c r="H7046" t="s">
        <v>20091</v>
      </c>
    </row>
    <row r="7047" spans="6:8">
      <c r="H7047" t="s">
        <v>19712</v>
      </c>
    </row>
    <row r="7048" spans="6:8">
      <c r="H7048" t="s">
        <v>19709</v>
      </c>
    </row>
    <row r="7049" spans="6:8">
      <c r="H7049" t="s">
        <v>19706</v>
      </c>
    </row>
    <row r="7050" spans="6:8">
      <c r="H7050" t="s">
        <v>20107</v>
      </c>
    </row>
    <row r="7051" spans="6:8">
      <c r="H7051" t="s">
        <v>20108</v>
      </c>
    </row>
    <row r="7052" spans="6:8">
      <c r="H7052" t="s">
        <v>19713</v>
      </c>
    </row>
    <row r="7053" spans="6:8">
      <c r="H7053" t="s">
        <v>19714</v>
      </c>
    </row>
    <row r="7054" spans="6:8">
      <c r="H7054" t="s">
        <v>20109</v>
      </c>
    </row>
    <row r="7055" spans="6:8">
      <c r="H7055" t="s">
        <v>20110</v>
      </c>
    </row>
    <row r="7056" spans="6:8">
      <c r="H7056" t="s">
        <v>20095</v>
      </c>
    </row>
    <row r="7057" spans="6:8">
      <c r="H7057" t="s">
        <v>20096</v>
      </c>
    </row>
    <row r="7058" spans="6:8">
      <c r="H7058" t="s">
        <v>20097</v>
      </c>
    </row>
    <row r="7059" spans="6:8">
      <c r="H7059" t="s">
        <v>20098</v>
      </c>
    </row>
    <row r="7060" spans="6:8">
      <c r="F7060" t="s">
        <v>11402</v>
      </c>
      <c r="G7060" t="s">
        <v>15317</v>
      </c>
      <c r="H7060" t="s">
        <v>20091</v>
      </c>
    </row>
    <row r="7061" spans="6:8">
      <c r="H7061" t="s">
        <v>19712</v>
      </c>
    </row>
    <row r="7062" spans="6:8">
      <c r="H7062" t="s">
        <v>19709</v>
      </c>
    </row>
    <row r="7063" spans="6:8">
      <c r="H7063" t="s">
        <v>19706</v>
      </c>
    </row>
    <row r="7064" spans="6:8">
      <c r="H7064" t="s">
        <v>20107</v>
      </c>
    </row>
    <row r="7065" spans="6:8">
      <c r="H7065" t="s">
        <v>20108</v>
      </c>
    </row>
    <row r="7066" spans="6:8">
      <c r="H7066" t="s">
        <v>19713</v>
      </c>
    </row>
    <row r="7067" spans="6:8">
      <c r="H7067" t="s">
        <v>19714</v>
      </c>
    </row>
    <row r="7068" spans="6:8">
      <c r="H7068" t="s">
        <v>20109</v>
      </c>
    </row>
    <row r="7069" spans="6:8">
      <c r="H7069" t="s">
        <v>20110</v>
      </c>
    </row>
    <row r="7070" spans="6:8">
      <c r="H7070" t="s">
        <v>20095</v>
      </c>
    </row>
    <row r="7071" spans="6:8">
      <c r="H7071" t="s">
        <v>20097</v>
      </c>
    </row>
    <row r="7072" spans="6:8">
      <c r="H7072" t="s">
        <v>20098</v>
      </c>
    </row>
    <row r="7073" spans="6:8">
      <c r="H7073" t="s">
        <v>20099</v>
      </c>
    </row>
    <row r="7074" spans="6:8">
      <c r="F7074" t="s">
        <v>11403</v>
      </c>
      <c r="G7074" t="s">
        <v>15318</v>
      </c>
      <c r="H7074" t="s">
        <v>20091</v>
      </c>
    </row>
    <row r="7075" spans="6:8">
      <c r="H7075" t="s">
        <v>19712</v>
      </c>
    </row>
    <row r="7076" spans="6:8">
      <c r="H7076" t="s">
        <v>19709</v>
      </c>
    </row>
    <row r="7077" spans="6:8">
      <c r="H7077" t="s">
        <v>19706</v>
      </c>
    </row>
    <row r="7078" spans="6:8">
      <c r="H7078" t="s">
        <v>19707</v>
      </c>
    </row>
    <row r="7079" spans="6:8">
      <c r="H7079" t="s">
        <v>19711</v>
      </c>
    </row>
    <row r="7080" spans="6:8">
      <c r="H7080" t="s">
        <v>20107</v>
      </c>
    </row>
    <row r="7081" spans="6:8">
      <c r="H7081" t="s">
        <v>20108</v>
      </c>
    </row>
    <row r="7082" spans="6:8">
      <c r="H7082" t="s">
        <v>19713</v>
      </c>
    </row>
    <row r="7083" spans="6:8">
      <c r="H7083" t="s">
        <v>19714</v>
      </c>
    </row>
    <row r="7084" spans="6:8">
      <c r="H7084" t="s">
        <v>20095</v>
      </c>
    </row>
    <row r="7085" spans="6:8">
      <c r="H7085" t="s">
        <v>20096</v>
      </c>
    </row>
    <row r="7086" spans="6:8">
      <c r="H7086" t="s">
        <v>20097</v>
      </c>
    </row>
    <row r="7087" spans="6:8">
      <c r="H7087" t="s">
        <v>20098</v>
      </c>
    </row>
    <row r="7088" spans="6:8">
      <c r="F7088" t="s">
        <v>11404</v>
      </c>
      <c r="G7088" t="s">
        <v>15319</v>
      </c>
      <c r="H7088" t="s">
        <v>20091</v>
      </c>
    </row>
    <row r="7089" spans="6:8">
      <c r="H7089" t="s">
        <v>19712</v>
      </c>
    </row>
    <row r="7090" spans="6:8">
      <c r="H7090" t="s">
        <v>19709</v>
      </c>
    </row>
    <row r="7091" spans="6:8">
      <c r="H7091" t="s">
        <v>19706</v>
      </c>
    </row>
    <row r="7092" spans="6:8">
      <c r="H7092" t="s">
        <v>19707</v>
      </c>
    </row>
    <row r="7093" spans="6:8">
      <c r="H7093" t="s">
        <v>19711</v>
      </c>
    </row>
    <row r="7094" spans="6:8">
      <c r="H7094" t="s">
        <v>20107</v>
      </c>
    </row>
    <row r="7095" spans="6:8">
      <c r="H7095" t="s">
        <v>20108</v>
      </c>
    </row>
    <row r="7096" spans="6:8">
      <c r="H7096" t="s">
        <v>19713</v>
      </c>
    </row>
    <row r="7097" spans="6:8">
      <c r="H7097" t="s">
        <v>19714</v>
      </c>
    </row>
    <row r="7098" spans="6:8">
      <c r="H7098" t="s">
        <v>20095</v>
      </c>
    </row>
    <row r="7099" spans="6:8">
      <c r="H7099" t="s">
        <v>20096</v>
      </c>
    </row>
    <row r="7100" spans="6:8">
      <c r="H7100" t="s">
        <v>20097</v>
      </c>
    </row>
    <row r="7101" spans="6:8">
      <c r="H7101" t="s">
        <v>20098</v>
      </c>
    </row>
    <row r="7102" spans="6:8">
      <c r="F7102" t="s">
        <v>11405</v>
      </c>
      <c r="G7102" t="s">
        <v>15320</v>
      </c>
      <c r="H7102" t="s">
        <v>20091</v>
      </c>
    </row>
    <row r="7103" spans="6:8">
      <c r="H7103" t="s">
        <v>19712</v>
      </c>
    </row>
    <row r="7104" spans="6:8">
      <c r="H7104" t="s">
        <v>19709</v>
      </c>
    </row>
    <row r="7105" spans="6:8">
      <c r="H7105" t="s">
        <v>19706</v>
      </c>
    </row>
    <row r="7106" spans="6:8">
      <c r="H7106" t="s">
        <v>19707</v>
      </c>
    </row>
    <row r="7107" spans="6:8">
      <c r="H7107" t="s">
        <v>19711</v>
      </c>
    </row>
    <row r="7108" spans="6:8">
      <c r="H7108" t="s">
        <v>20107</v>
      </c>
    </row>
    <row r="7109" spans="6:8">
      <c r="H7109" t="s">
        <v>20108</v>
      </c>
    </row>
    <row r="7110" spans="6:8">
      <c r="H7110" t="s">
        <v>19713</v>
      </c>
    </row>
    <row r="7111" spans="6:8">
      <c r="H7111" t="s">
        <v>19714</v>
      </c>
    </row>
    <row r="7112" spans="6:8">
      <c r="H7112" t="s">
        <v>20095</v>
      </c>
    </row>
    <row r="7113" spans="6:8">
      <c r="H7113" t="s">
        <v>20096</v>
      </c>
    </row>
    <row r="7114" spans="6:8">
      <c r="H7114" t="s">
        <v>20097</v>
      </c>
    </row>
    <row r="7115" spans="6:8">
      <c r="H7115" t="s">
        <v>20098</v>
      </c>
    </row>
    <row r="7116" spans="6:8">
      <c r="F7116" t="s">
        <v>11406</v>
      </c>
      <c r="G7116" t="s">
        <v>15321</v>
      </c>
      <c r="H7116" t="s">
        <v>20091</v>
      </c>
    </row>
    <row r="7117" spans="6:8">
      <c r="H7117" t="s">
        <v>19712</v>
      </c>
    </row>
    <row r="7118" spans="6:8">
      <c r="H7118" t="s">
        <v>19709</v>
      </c>
    </row>
    <row r="7119" spans="6:8">
      <c r="H7119" t="s">
        <v>19706</v>
      </c>
    </row>
    <row r="7120" spans="6:8">
      <c r="H7120" t="s">
        <v>19707</v>
      </c>
    </row>
    <row r="7121" spans="6:8">
      <c r="H7121" t="s">
        <v>19711</v>
      </c>
    </row>
    <row r="7122" spans="6:8">
      <c r="H7122" t="s">
        <v>19708</v>
      </c>
    </row>
    <row r="7123" spans="6:8">
      <c r="H7123" t="s">
        <v>20107</v>
      </c>
    </row>
    <row r="7124" spans="6:8">
      <c r="H7124" t="s">
        <v>20108</v>
      </c>
    </row>
    <row r="7125" spans="6:8">
      <c r="H7125" t="s">
        <v>19713</v>
      </c>
    </row>
    <row r="7126" spans="6:8">
      <c r="H7126" t="s">
        <v>19714</v>
      </c>
    </row>
    <row r="7127" spans="6:8">
      <c r="H7127" t="s">
        <v>20095</v>
      </c>
    </row>
    <row r="7128" spans="6:8">
      <c r="H7128" t="s">
        <v>20096</v>
      </c>
    </row>
    <row r="7129" spans="6:8">
      <c r="H7129" t="s">
        <v>20097</v>
      </c>
    </row>
    <row r="7130" spans="6:8">
      <c r="H7130" t="s">
        <v>20098</v>
      </c>
    </row>
    <row r="7131" spans="6:8">
      <c r="H7131" t="s">
        <v>20099</v>
      </c>
    </row>
    <row r="7132" spans="6:8">
      <c r="F7132" t="s">
        <v>11407</v>
      </c>
      <c r="G7132" t="s">
        <v>15322</v>
      </c>
      <c r="H7132" t="s">
        <v>20091</v>
      </c>
    </row>
    <row r="7133" spans="6:8">
      <c r="H7133" t="s">
        <v>19712</v>
      </c>
    </row>
    <row r="7134" spans="6:8">
      <c r="H7134" t="s">
        <v>19709</v>
      </c>
    </row>
    <row r="7135" spans="6:8">
      <c r="H7135" t="s">
        <v>19706</v>
      </c>
    </row>
    <row r="7136" spans="6:8">
      <c r="H7136" t="s">
        <v>19707</v>
      </c>
    </row>
    <row r="7137" spans="6:8">
      <c r="H7137" t="s">
        <v>19711</v>
      </c>
    </row>
    <row r="7138" spans="6:8">
      <c r="H7138" t="s">
        <v>19708</v>
      </c>
    </row>
    <row r="7139" spans="6:8">
      <c r="H7139" t="s">
        <v>20107</v>
      </c>
    </row>
    <row r="7140" spans="6:8">
      <c r="H7140" t="s">
        <v>20108</v>
      </c>
    </row>
    <row r="7141" spans="6:8">
      <c r="H7141" t="s">
        <v>19713</v>
      </c>
    </row>
    <row r="7142" spans="6:8">
      <c r="H7142" t="s">
        <v>19714</v>
      </c>
    </row>
    <row r="7143" spans="6:8">
      <c r="H7143" t="s">
        <v>20095</v>
      </c>
    </row>
    <row r="7144" spans="6:8">
      <c r="H7144" t="s">
        <v>20096</v>
      </c>
    </row>
    <row r="7145" spans="6:8">
      <c r="H7145" t="s">
        <v>20097</v>
      </c>
    </row>
    <row r="7146" spans="6:8">
      <c r="H7146" t="s">
        <v>20098</v>
      </c>
    </row>
    <row r="7147" spans="6:8">
      <c r="H7147" t="s">
        <v>20099</v>
      </c>
    </row>
    <row r="7148" spans="6:8">
      <c r="F7148" t="s">
        <v>11408</v>
      </c>
      <c r="G7148" t="s">
        <v>15323</v>
      </c>
      <c r="H7148" t="s">
        <v>20091</v>
      </c>
    </row>
    <row r="7149" spans="6:8">
      <c r="H7149" t="s">
        <v>19712</v>
      </c>
    </row>
    <row r="7150" spans="6:8">
      <c r="H7150" t="s">
        <v>19709</v>
      </c>
    </row>
    <row r="7151" spans="6:8">
      <c r="H7151" t="s">
        <v>19706</v>
      </c>
    </row>
    <row r="7152" spans="6:8">
      <c r="H7152" t="s">
        <v>20107</v>
      </c>
    </row>
    <row r="7153" spans="6:8">
      <c r="H7153" t="s">
        <v>20108</v>
      </c>
    </row>
    <row r="7154" spans="6:8">
      <c r="H7154" t="s">
        <v>20095</v>
      </c>
    </row>
    <row r="7155" spans="6:8">
      <c r="H7155" t="s">
        <v>20096</v>
      </c>
    </row>
    <row r="7156" spans="6:8">
      <c r="H7156" t="s">
        <v>20097</v>
      </c>
    </row>
    <row r="7157" spans="6:8">
      <c r="F7157" t="s">
        <v>11409</v>
      </c>
      <c r="G7157" t="s">
        <v>15324</v>
      </c>
      <c r="H7157" t="s">
        <v>20091</v>
      </c>
    </row>
    <row r="7158" spans="6:8">
      <c r="H7158" t="s">
        <v>19712</v>
      </c>
    </row>
    <row r="7159" spans="6:8">
      <c r="H7159" t="s">
        <v>19709</v>
      </c>
    </row>
    <row r="7160" spans="6:8">
      <c r="H7160" t="s">
        <v>19706</v>
      </c>
    </row>
    <row r="7161" spans="6:8">
      <c r="H7161" t="s">
        <v>20107</v>
      </c>
    </row>
    <row r="7162" spans="6:8">
      <c r="H7162" t="s">
        <v>20108</v>
      </c>
    </row>
    <row r="7163" spans="6:8">
      <c r="H7163" t="s">
        <v>20095</v>
      </c>
    </row>
    <row r="7164" spans="6:8">
      <c r="H7164" t="s">
        <v>20096</v>
      </c>
    </row>
    <row r="7165" spans="6:8">
      <c r="H7165" t="s">
        <v>20097</v>
      </c>
    </row>
    <row r="7166" spans="6:8">
      <c r="F7166" t="s">
        <v>11410</v>
      </c>
      <c r="G7166" t="s">
        <v>15325</v>
      </c>
      <c r="H7166" t="s">
        <v>20091</v>
      </c>
    </row>
    <row r="7167" spans="6:8">
      <c r="H7167" t="s">
        <v>19712</v>
      </c>
    </row>
    <row r="7168" spans="6:8">
      <c r="H7168" t="s">
        <v>19709</v>
      </c>
    </row>
    <row r="7169" spans="6:8">
      <c r="H7169" t="s">
        <v>20107</v>
      </c>
    </row>
    <row r="7170" spans="6:8">
      <c r="H7170" t="s">
        <v>20108</v>
      </c>
    </row>
    <row r="7171" spans="6:8">
      <c r="H7171" t="s">
        <v>20095</v>
      </c>
    </row>
    <row r="7172" spans="6:8">
      <c r="H7172" t="s">
        <v>20096</v>
      </c>
    </row>
    <row r="7173" spans="6:8">
      <c r="H7173" t="s">
        <v>20097</v>
      </c>
    </row>
    <row r="7174" spans="6:8">
      <c r="F7174" t="s">
        <v>11411</v>
      </c>
      <c r="G7174" t="s">
        <v>15326</v>
      </c>
      <c r="H7174" t="s">
        <v>20091</v>
      </c>
    </row>
    <row r="7175" spans="6:8">
      <c r="H7175" t="s">
        <v>19712</v>
      </c>
    </row>
    <row r="7176" spans="6:8">
      <c r="H7176" t="s">
        <v>19709</v>
      </c>
    </row>
    <row r="7177" spans="6:8">
      <c r="H7177" t="s">
        <v>20107</v>
      </c>
    </row>
    <row r="7178" spans="6:8">
      <c r="H7178" t="s">
        <v>20108</v>
      </c>
    </row>
    <row r="7179" spans="6:8">
      <c r="H7179" t="s">
        <v>20095</v>
      </c>
    </row>
    <row r="7180" spans="6:8">
      <c r="H7180" t="s">
        <v>20096</v>
      </c>
    </row>
    <row r="7181" spans="6:8">
      <c r="H7181" t="s">
        <v>20097</v>
      </c>
    </row>
    <row r="7182" spans="6:8">
      <c r="F7182" t="s">
        <v>11412</v>
      </c>
      <c r="G7182" t="s">
        <v>15327</v>
      </c>
      <c r="H7182" t="s">
        <v>20091</v>
      </c>
    </row>
    <row r="7183" spans="6:8">
      <c r="H7183" t="s">
        <v>19712</v>
      </c>
    </row>
    <row r="7184" spans="6:8">
      <c r="H7184" t="s">
        <v>19709</v>
      </c>
    </row>
    <row r="7185" spans="6:8">
      <c r="H7185" t="s">
        <v>19706</v>
      </c>
    </row>
    <row r="7186" spans="6:8">
      <c r="H7186" t="s">
        <v>20107</v>
      </c>
    </row>
    <row r="7187" spans="6:8">
      <c r="H7187" t="s">
        <v>20108</v>
      </c>
    </row>
    <row r="7188" spans="6:8">
      <c r="H7188" t="s">
        <v>19713</v>
      </c>
    </row>
    <row r="7189" spans="6:8">
      <c r="H7189" t="s">
        <v>20095</v>
      </c>
    </row>
    <row r="7190" spans="6:8">
      <c r="H7190" t="s">
        <v>20096</v>
      </c>
    </row>
    <row r="7191" spans="6:8">
      <c r="H7191" t="s">
        <v>20097</v>
      </c>
    </row>
    <row r="7192" spans="6:8">
      <c r="H7192" t="s">
        <v>20098</v>
      </c>
    </row>
    <row r="7193" spans="6:8">
      <c r="F7193" t="s">
        <v>11413</v>
      </c>
      <c r="G7193" t="s">
        <v>15328</v>
      </c>
      <c r="H7193" t="s">
        <v>20091</v>
      </c>
    </row>
    <row r="7194" spans="6:8">
      <c r="H7194" t="s">
        <v>19712</v>
      </c>
    </row>
    <row r="7195" spans="6:8">
      <c r="H7195" t="s">
        <v>19709</v>
      </c>
    </row>
    <row r="7196" spans="6:8">
      <c r="H7196" t="s">
        <v>19706</v>
      </c>
    </row>
    <row r="7197" spans="6:8">
      <c r="H7197" t="s">
        <v>20107</v>
      </c>
    </row>
    <row r="7198" spans="6:8">
      <c r="H7198" t="s">
        <v>20108</v>
      </c>
    </row>
    <row r="7199" spans="6:8">
      <c r="H7199" t="s">
        <v>19713</v>
      </c>
    </row>
    <row r="7200" spans="6:8">
      <c r="H7200" t="s">
        <v>20095</v>
      </c>
    </row>
    <row r="7201" spans="1:8">
      <c r="H7201" t="s">
        <v>20096</v>
      </c>
    </row>
    <row r="7202" spans="1:8">
      <c r="H7202" t="s">
        <v>20097</v>
      </c>
    </row>
    <row r="7203" spans="1:8">
      <c r="H7203" t="s">
        <v>20098</v>
      </c>
    </row>
    <row r="7204" spans="1:8">
      <c r="F7204" t="s">
        <v>11414</v>
      </c>
      <c r="G7204" t="s">
        <v>15655</v>
      </c>
      <c r="H7204" t="s">
        <v>20095</v>
      </c>
    </row>
    <row r="7205" spans="1:8">
      <c r="F7205" t="s">
        <v>11415</v>
      </c>
      <c r="G7205" t="s">
        <v>15656</v>
      </c>
      <c r="H7205" t="s">
        <v>20095</v>
      </c>
    </row>
    <row r="7206" spans="1:8">
      <c r="F7206" t="s">
        <v>11416</v>
      </c>
      <c r="G7206" t="s">
        <v>15657</v>
      </c>
      <c r="H7206" t="s">
        <v>20095</v>
      </c>
    </row>
    <row r="7207" spans="1:8">
      <c r="F7207" t="s">
        <v>11417</v>
      </c>
      <c r="G7207" t="s">
        <v>15658</v>
      </c>
      <c r="H7207" t="s">
        <v>20095</v>
      </c>
    </row>
    <row r="7208" spans="1:8">
      <c r="F7208" t="s">
        <v>11418</v>
      </c>
      <c r="G7208" t="s">
        <v>15659</v>
      </c>
      <c r="H7208" t="s">
        <v>20095</v>
      </c>
    </row>
    <row r="7209" spans="1:8">
      <c r="H7209" t="s">
        <v>20096</v>
      </c>
    </row>
    <row r="7210" spans="1:8">
      <c r="H7210" t="s">
        <v>20097</v>
      </c>
    </row>
    <row r="7211" spans="1:8">
      <c r="H7211" t="s">
        <v>20098</v>
      </c>
    </row>
    <row r="7212" spans="1:8">
      <c r="H7212" t="s">
        <v>20099</v>
      </c>
    </row>
    <row r="7213" spans="1:8">
      <c r="F7213" t="s">
        <v>11419</v>
      </c>
      <c r="G7213" t="s">
        <v>15660</v>
      </c>
      <c r="H7213" t="s">
        <v>20095</v>
      </c>
    </row>
    <row r="7214" spans="1:8">
      <c r="H7214" t="s">
        <v>20096</v>
      </c>
    </row>
    <row r="7215" spans="1:8">
      <c r="A7215" t="s">
        <v>305</v>
      </c>
      <c r="B7215">
        <f>HYPERLINK("https://android.googlesource.com/platform/cts/+/68babe4ae21b48f005aff471db44d1fb1ec1995c", "68babe4ae21b48f005aff471db44d1fb1ec1995c")</f>
        <v>0</v>
      </c>
      <c r="C7215">
        <f>HYPERLINK("https://android.googlesource.com/platform/cts/+/98caf9a765885f0312116bc574498273cd80d1a6", "98caf9a765885f0312116bc574498273cd80d1a6")</f>
        <v>0</v>
      </c>
      <c r="D7215" t="s">
        <v>4972</v>
      </c>
      <c r="E7215" t="s">
        <v>6100</v>
      </c>
      <c r="F7215" t="s">
        <v>11420</v>
      </c>
      <c r="G7215" t="s">
        <v>15661</v>
      </c>
      <c r="H7215" t="s">
        <v>20203</v>
      </c>
    </row>
    <row r="7216" spans="1:8">
      <c r="H7216" t="s">
        <v>20204</v>
      </c>
    </row>
    <row r="7217" spans="1:8">
      <c r="H7217" t="s">
        <v>20205</v>
      </c>
    </row>
    <row r="7218" spans="1:8">
      <c r="A7218" t="s">
        <v>306</v>
      </c>
      <c r="B7218">
        <f>HYPERLINK("https://android.googlesource.com/platform/cts/+/78970d0059cca7646a46737d21c8a8c2b57f18e4", "78970d0059cca7646a46737d21c8a8c2b57f18e4")</f>
        <v>0</v>
      </c>
      <c r="C7218">
        <f>HYPERLINK("https://android.googlesource.com/platform/cts/+/f68fc582d60ad32423b9fb881698bd3c28fefc4d", "f68fc582d60ad32423b9fb881698bd3c28fefc4d")</f>
        <v>0</v>
      </c>
      <c r="D7218" t="s">
        <v>4971</v>
      </c>
      <c r="E7218" t="s">
        <v>6101</v>
      </c>
      <c r="F7218" t="s">
        <v>10687</v>
      </c>
      <c r="G7218" t="s">
        <v>15087</v>
      </c>
      <c r="H7218" t="s">
        <v>20206</v>
      </c>
    </row>
    <row r="7219" spans="1:8">
      <c r="H7219" t="s">
        <v>18927</v>
      </c>
    </row>
    <row r="7220" spans="1:8">
      <c r="H7220" t="s">
        <v>20207</v>
      </c>
    </row>
    <row r="7221" spans="1:8">
      <c r="H7221" t="s">
        <v>20208</v>
      </c>
    </row>
    <row r="7222" spans="1:8">
      <c r="H7222" t="s">
        <v>19349</v>
      </c>
    </row>
    <row r="7223" spans="1:8">
      <c r="H7223" t="s">
        <v>20209</v>
      </c>
    </row>
    <row r="7224" spans="1:8">
      <c r="H7224" t="s">
        <v>20210</v>
      </c>
    </row>
    <row r="7225" spans="1:8">
      <c r="H7225" t="s">
        <v>20211</v>
      </c>
    </row>
    <row r="7226" spans="1:8">
      <c r="H7226" t="s">
        <v>19490</v>
      </c>
    </row>
    <row r="7227" spans="1:8">
      <c r="A7227" t="s">
        <v>307</v>
      </c>
      <c r="B7227">
        <f>HYPERLINK("https://android.googlesource.com/platform/cts/+/e409dce9177ae8ee786a7a55ade9698993ff00ad", "e409dce9177ae8ee786a7a55ade9698993ff00ad")</f>
        <v>0</v>
      </c>
      <c r="C7227">
        <f>HYPERLINK("https://android.googlesource.com/platform/cts/+/4087565526d15a95b0492c585e363581303389ed", "4087565526d15a95b0492c585e363581303389ed")</f>
        <v>0</v>
      </c>
      <c r="D7227" t="s">
        <v>4941</v>
      </c>
      <c r="E7227" t="s">
        <v>6102</v>
      </c>
      <c r="F7227" t="s">
        <v>11421</v>
      </c>
      <c r="G7227" t="s">
        <v>15662</v>
      </c>
      <c r="H7227" t="s">
        <v>20212</v>
      </c>
    </row>
    <row r="7228" spans="1:8">
      <c r="A7228" t="s">
        <v>308</v>
      </c>
      <c r="B7228">
        <f>HYPERLINK("https://android.googlesource.com/platform/cts/+/5df641c2f3c8fca177feeaa8e61d06b5dc7920ed", "5df641c2f3c8fca177feeaa8e61d06b5dc7920ed")</f>
        <v>0</v>
      </c>
      <c r="C7228">
        <f>HYPERLINK("https://android.googlesource.com/platform/cts/+/6b944803cadeae3daaee97c8b084e403462d5a02", "6b944803cadeae3daaee97c8b084e403462d5a02")</f>
        <v>0</v>
      </c>
      <c r="D7228" t="s">
        <v>4941</v>
      </c>
      <c r="E7228" t="s">
        <v>6103</v>
      </c>
      <c r="F7228" t="s">
        <v>10734</v>
      </c>
      <c r="G7228" t="s">
        <v>15133</v>
      </c>
      <c r="H7228" t="s">
        <v>20213</v>
      </c>
    </row>
    <row r="7229" spans="1:8">
      <c r="H7229" t="s">
        <v>20214</v>
      </c>
    </row>
    <row r="7230" spans="1:8">
      <c r="A7230" t="s">
        <v>309</v>
      </c>
      <c r="B7230">
        <f>HYPERLINK("https://android.googlesource.com/platform/cts/+/29d34788f1320a14a7b16c7978dd9f7e12a55505", "29d34788f1320a14a7b16c7978dd9f7e12a55505")</f>
        <v>0</v>
      </c>
      <c r="C7230">
        <f>HYPERLINK("https://android.googlesource.com/platform/cts/+/b3d67202d3f5e4fdc41fe8ef51248ad7767d445d", "b3d67202d3f5e4fdc41fe8ef51248ad7767d445d")</f>
        <v>0</v>
      </c>
      <c r="D7230" t="s">
        <v>4941</v>
      </c>
      <c r="E7230" t="s">
        <v>6104</v>
      </c>
      <c r="F7230" t="s">
        <v>11422</v>
      </c>
      <c r="G7230" t="s">
        <v>15663</v>
      </c>
      <c r="H7230" t="s">
        <v>20215</v>
      </c>
    </row>
    <row r="7231" spans="1:8">
      <c r="H7231" t="s">
        <v>18829</v>
      </c>
    </row>
    <row r="7232" spans="1:8">
      <c r="H7232" t="s">
        <v>20216</v>
      </c>
    </row>
    <row r="7233" spans="1:8">
      <c r="H7233" t="s">
        <v>20217</v>
      </c>
    </row>
    <row r="7234" spans="1:8">
      <c r="F7234" t="s">
        <v>10734</v>
      </c>
      <c r="G7234" t="s">
        <v>15133</v>
      </c>
      <c r="H7234" t="s">
        <v>20218</v>
      </c>
    </row>
    <row r="7235" spans="1:8">
      <c r="H7235" t="s">
        <v>20219</v>
      </c>
    </row>
    <row r="7236" spans="1:8">
      <c r="H7236" t="s">
        <v>20220</v>
      </c>
    </row>
    <row r="7237" spans="1:8">
      <c r="H7237" t="s">
        <v>20221</v>
      </c>
    </row>
    <row r="7238" spans="1:8">
      <c r="A7238" t="s">
        <v>310</v>
      </c>
      <c r="B7238">
        <f>HYPERLINK("https://android.googlesource.com/platform/cts/+/144a0c9b802c3d43e77ae0b134156ad41189a0bb", "144a0c9b802c3d43e77ae0b134156ad41189a0bb")</f>
        <v>0</v>
      </c>
      <c r="C7238">
        <f>HYPERLINK("https://android.googlesource.com/platform/cts/+/d00f2c04613dc3fd57062b60fdff18f0465ddecd", "d00f2c04613dc3fd57062b60fdff18f0465ddecd")</f>
        <v>0</v>
      </c>
      <c r="D7238" t="s">
        <v>4951</v>
      </c>
      <c r="E7238" t="s">
        <v>6105</v>
      </c>
      <c r="F7238" t="s">
        <v>11193</v>
      </c>
      <c r="G7238" t="s">
        <v>15582</v>
      </c>
      <c r="H7238" t="s">
        <v>20222</v>
      </c>
    </row>
    <row r="7239" spans="1:8">
      <c r="A7239" t="s">
        <v>311</v>
      </c>
      <c r="B7239">
        <f>HYPERLINK("https://android.googlesource.com/platform/cts/+/6069507e7a2456fed9ef3e1de3ce5ef2a46c953b", "6069507e7a2456fed9ef3e1de3ce5ef2a46c953b")</f>
        <v>0</v>
      </c>
      <c r="C7239">
        <f>HYPERLINK("https://android.googlesource.com/platform/cts/+/4771c9ededa1b2dface26028a4f58aab020af730", "4771c9ededa1b2dface26028a4f58aab020af730")</f>
        <v>0</v>
      </c>
      <c r="D7239" t="s">
        <v>4941</v>
      </c>
      <c r="E7239" t="s">
        <v>6106</v>
      </c>
      <c r="F7239" t="s">
        <v>10734</v>
      </c>
      <c r="G7239" t="s">
        <v>15133</v>
      </c>
      <c r="H7239" t="s">
        <v>20223</v>
      </c>
    </row>
    <row r="7240" spans="1:8">
      <c r="H7240" t="s">
        <v>20224</v>
      </c>
    </row>
    <row r="7241" spans="1:8">
      <c r="A7241" t="s">
        <v>312</v>
      </c>
      <c r="B7241">
        <f>HYPERLINK("https://android.googlesource.com/platform/cts/+/2425d5c7258072bb0d22b417c868d491da7d76d1", "2425d5c7258072bb0d22b417c868d491da7d76d1")</f>
        <v>0</v>
      </c>
      <c r="C7241">
        <f>HYPERLINK("https://android.googlesource.com/platform/cts/+/4f305f585aae489bffd7863e13fa7b72a333c88b", "4f305f585aae489bffd7863e13fa7b72a333c88b")</f>
        <v>0</v>
      </c>
      <c r="D7241" t="s">
        <v>4941</v>
      </c>
      <c r="E7241" t="s">
        <v>6107</v>
      </c>
      <c r="F7241" t="s">
        <v>11423</v>
      </c>
      <c r="G7241" t="s">
        <v>15664</v>
      </c>
      <c r="H7241" t="s">
        <v>20225</v>
      </c>
    </row>
    <row r="7242" spans="1:8">
      <c r="H7242" t="s">
        <v>20226</v>
      </c>
    </row>
    <row r="7243" spans="1:8">
      <c r="A7243" t="s">
        <v>313</v>
      </c>
      <c r="B7243">
        <f>HYPERLINK("https://android.googlesource.com/platform/cts/+/6a7c5d58f70a9dda71b035608ae38a53dbbf084d", "6a7c5d58f70a9dda71b035608ae38a53dbbf084d")</f>
        <v>0</v>
      </c>
      <c r="C7243">
        <f>HYPERLINK("https://android.googlesource.com/platform/cts/+/d28b2da2c9a18010b7b884483255b19143e42061", "d28b2da2c9a18010b7b884483255b19143e42061")</f>
        <v>0</v>
      </c>
      <c r="D7243" t="s">
        <v>4951</v>
      </c>
      <c r="E7243" t="s">
        <v>6108</v>
      </c>
      <c r="F7243" t="s">
        <v>10687</v>
      </c>
      <c r="G7243" t="s">
        <v>15087</v>
      </c>
      <c r="H7243" t="s">
        <v>20227</v>
      </c>
    </row>
    <row r="7244" spans="1:8">
      <c r="A7244" t="s">
        <v>314</v>
      </c>
      <c r="B7244">
        <f>HYPERLINK("https://android.googlesource.com/platform/cts/+/1d67e1910954f77786396111cb4c1aebf9799d08", "1d67e1910954f77786396111cb4c1aebf9799d08")</f>
        <v>0</v>
      </c>
      <c r="C7244">
        <f>HYPERLINK("https://android.googlesource.com/platform/cts/+/b753eca9a8c7c911241e844951adba524bb95cd2", "b753eca9a8c7c911241e844951adba524bb95cd2")</f>
        <v>0</v>
      </c>
      <c r="D7244" t="s">
        <v>4941</v>
      </c>
      <c r="E7244" t="s">
        <v>6109</v>
      </c>
      <c r="F7244" t="s">
        <v>11424</v>
      </c>
      <c r="G7244" t="s">
        <v>15665</v>
      </c>
      <c r="H7244" t="s">
        <v>20228</v>
      </c>
    </row>
    <row r="7245" spans="1:8">
      <c r="H7245" t="s">
        <v>20229</v>
      </c>
    </row>
    <row r="7246" spans="1:8">
      <c r="A7246" t="s">
        <v>315</v>
      </c>
      <c r="B7246">
        <f>HYPERLINK("https://android.googlesource.com/platform/cts/+/cb8e9c546b3c4b56232503ab0ac1b7f22e7771cf", "cb8e9c546b3c4b56232503ab0ac1b7f22e7771cf")</f>
        <v>0</v>
      </c>
      <c r="C7246">
        <f>HYPERLINK("https://android.googlesource.com/platform/cts/+/b753eca9a8c7c911241e844951adba524bb95cd2", "b753eca9a8c7c911241e844951adba524bb95cd2")</f>
        <v>0</v>
      </c>
      <c r="D7246" t="s">
        <v>4941</v>
      </c>
      <c r="E7246" t="s">
        <v>6110</v>
      </c>
      <c r="F7246" t="s">
        <v>11425</v>
      </c>
      <c r="G7246" t="s">
        <v>15666</v>
      </c>
      <c r="H7246" t="s">
        <v>20230</v>
      </c>
    </row>
    <row r="7247" spans="1:8">
      <c r="H7247" t="s">
        <v>20231</v>
      </c>
    </row>
    <row r="7248" spans="1:8">
      <c r="A7248" t="s">
        <v>316</v>
      </c>
      <c r="B7248">
        <f>HYPERLINK("https://android.googlesource.com/platform/cts/+/df9378aa97f09d5b44a63e9e92069d63e5aab77a", "df9378aa97f09d5b44a63e9e92069d63e5aab77a")</f>
        <v>0</v>
      </c>
      <c r="C7248">
        <f>HYPERLINK("https://android.googlesource.com/platform/cts/+/6ee03aa5f2e63bca382907751fe9d34fc0a629e7", "6ee03aa5f2e63bca382907751fe9d34fc0a629e7")</f>
        <v>0</v>
      </c>
      <c r="D7248" t="s">
        <v>4941</v>
      </c>
      <c r="E7248" t="s">
        <v>6111</v>
      </c>
      <c r="F7248" t="s">
        <v>11424</v>
      </c>
      <c r="G7248" t="s">
        <v>15665</v>
      </c>
      <c r="H7248" t="s">
        <v>20232</v>
      </c>
    </row>
    <row r="7249" spans="1:8">
      <c r="H7249" t="s">
        <v>20233</v>
      </c>
    </row>
    <row r="7250" spans="1:8">
      <c r="A7250" t="s">
        <v>317</v>
      </c>
      <c r="B7250">
        <f>HYPERLINK("https://android.googlesource.com/platform/cts/+/6f672e9a4a0ab3ee9d16cccd2fa68d0cbaa08540", "6f672e9a4a0ab3ee9d16cccd2fa68d0cbaa08540")</f>
        <v>0</v>
      </c>
      <c r="C7250">
        <f>HYPERLINK("https://android.googlesource.com/platform/cts/+/e9c49523e8ed044f4a6fe9f1e9c7d6732311061a", "e9c49523e8ed044f4a6fe9f1e9c7d6732311061a")</f>
        <v>0</v>
      </c>
      <c r="D7250" t="s">
        <v>4973</v>
      </c>
      <c r="E7250" t="s">
        <v>6112</v>
      </c>
      <c r="F7250" t="s">
        <v>11426</v>
      </c>
      <c r="G7250" t="s">
        <v>15667</v>
      </c>
      <c r="H7250" t="s">
        <v>20234</v>
      </c>
    </row>
    <row r="7251" spans="1:8">
      <c r="A7251" t="s">
        <v>318</v>
      </c>
      <c r="B7251">
        <f>HYPERLINK("https://android.googlesource.com/platform/cts/+/44005a2fe3c321d66e1d5c593f2426bf42b62f9f", "44005a2fe3c321d66e1d5c593f2426bf42b62f9f")</f>
        <v>0</v>
      </c>
      <c r="C7251">
        <f>HYPERLINK("https://android.googlesource.com/platform/cts/+/28c48e4b81405482556eb9dfe154b6e7ecd2c236", "28c48e4b81405482556eb9dfe154b6e7ecd2c236")</f>
        <v>0</v>
      </c>
      <c r="D7251" t="s">
        <v>4941</v>
      </c>
      <c r="E7251" t="s">
        <v>6113</v>
      </c>
      <c r="F7251" t="s">
        <v>11427</v>
      </c>
      <c r="G7251" t="s">
        <v>15140</v>
      </c>
      <c r="H7251" t="s">
        <v>20235</v>
      </c>
    </row>
    <row r="7252" spans="1:8">
      <c r="A7252" t="s">
        <v>319</v>
      </c>
      <c r="B7252">
        <f>HYPERLINK("https://android.googlesource.com/platform/cts/+/1f0afdf186b0ebd6da7a8642173f82f9fd106c6b", "1f0afdf186b0ebd6da7a8642173f82f9fd106c6b")</f>
        <v>0</v>
      </c>
      <c r="C7252">
        <f>HYPERLINK("https://android.googlesource.com/platform/cts/+/fdd8c8055519405b98a97e26bd2de57c02819900", "fdd8c8055519405b98a97e26bd2de57c02819900")</f>
        <v>0</v>
      </c>
      <c r="D7252" t="s">
        <v>4974</v>
      </c>
      <c r="E7252" t="s">
        <v>6114</v>
      </c>
      <c r="F7252" t="s">
        <v>11189</v>
      </c>
      <c r="G7252" t="s">
        <v>15578</v>
      </c>
      <c r="H7252" t="s">
        <v>20236</v>
      </c>
    </row>
    <row r="7253" spans="1:8">
      <c r="H7253" t="s">
        <v>19019</v>
      </c>
    </row>
    <row r="7254" spans="1:8">
      <c r="H7254" t="s">
        <v>20237</v>
      </c>
    </row>
    <row r="7255" spans="1:8">
      <c r="H7255" t="s">
        <v>20238</v>
      </c>
    </row>
    <row r="7256" spans="1:8">
      <c r="A7256" t="s">
        <v>320</v>
      </c>
      <c r="B7256">
        <f>HYPERLINK("https://android.googlesource.com/platform/cts/+/38edd6ac9ca56860220af0e0e6fb9675148a7aee", "38edd6ac9ca56860220af0e0e6fb9675148a7aee")</f>
        <v>0</v>
      </c>
      <c r="C7256">
        <f>HYPERLINK("https://android.googlesource.com/platform/cts/+/7082f951c9b060e5900eae4b652eb0a4ae05953a", "7082f951c9b060e5900eae4b652eb0a4ae05953a")</f>
        <v>0</v>
      </c>
      <c r="D7256" t="s">
        <v>4941</v>
      </c>
      <c r="E7256" t="s">
        <v>6115</v>
      </c>
      <c r="F7256" t="s">
        <v>11428</v>
      </c>
      <c r="G7256" t="s">
        <v>15668</v>
      </c>
      <c r="H7256" t="s">
        <v>18863</v>
      </c>
    </row>
    <row r="7257" spans="1:8">
      <c r="A7257" t="s">
        <v>321</v>
      </c>
      <c r="B7257">
        <f>HYPERLINK("https://android.googlesource.com/platform/cts/+/0925bc0243c33008f9159cbf7a6948a8e5914af5", "0925bc0243c33008f9159cbf7a6948a8e5914af5")</f>
        <v>0</v>
      </c>
      <c r="C7257">
        <f>HYPERLINK("https://android.googlesource.com/platform/cts/+/7082f951c9b060e5900eae4b652eb0a4ae05953a", "7082f951c9b060e5900eae4b652eb0a4ae05953a")</f>
        <v>0</v>
      </c>
      <c r="D7257" t="s">
        <v>4941</v>
      </c>
      <c r="E7257" t="s">
        <v>6116</v>
      </c>
      <c r="F7257" t="s">
        <v>11429</v>
      </c>
      <c r="G7257" t="s">
        <v>15669</v>
      </c>
      <c r="H7257" t="s">
        <v>20239</v>
      </c>
    </row>
    <row r="7258" spans="1:8">
      <c r="H7258" t="s">
        <v>20240</v>
      </c>
    </row>
    <row r="7259" spans="1:8">
      <c r="H7259" t="s">
        <v>20241</v>
      </c>
    </row>
    <row r="7260" spans="1:8">
      <c r="H7260" t="s">
        <v>20242</v>
      </c>
    </row>
    <row r="7261" spans="1:8">
      <c r="A7261" t="s">
        <v>322</v>
      </c>
      <c r="B7261">
        <f>HYPERLINK("https://android.googlesource.com/platform/cts/+/349b8fe7755f2404dcb396ccf540c65876020df0", "349b8fe7755f2404dcb396ccf540c65876020df0")</f>
        <v>0</v>
      </c>
      <c r="C7261">
        <f>HYPERLINK("https://android.googlesource.com/platform/cts/+/eaed243cd97a52f944314c40e1dba91879ab8c63", "eaed243cd97a52f944314c40e1dba91879ab8c63")</f>
        <v>0</v>
      </c>
      <c r="D7261" t="s">
        <v>4975</v>
      </c>
      <c r="E7261" t="s">
        <v>6117</v>
      </c>
      <c r="F7261" t="s">
        <v>11430</v>
      </c>
      <c r="G7261" t="s">
        <v>15670</v>
      </c>
      <c r="H7261" t="s">
        <v>20243</v>
      </c>
    </row>
    <row r="7262" spans="1:8">
      <c r="A7262" t="s">
        <v>323</v>
      </c>
      <c r="B7262">
        <f>HYPERLINK("https://android.googlesource.com/platform/cts/+/22ba1bc139771beabcf0261b9b19ffab2757903a", "22ba1bc139771beabcf0261b9b19ffab2757903a")</f>
        <v>0</v>
      </c>
      <c r="C7262">
        <f>HYPERLINK("https://android.googlesource.com/platform/cts/+/e5ea9961bde2dbe585a004352ca9453cf77726c1", "e5ea9961bde2dbe585a004352ca9453cf77726c1")</f>
        <v>0</v>
      </c>
      <c r="D7262" t="s">
        <v>4941</v>
      </c>
      <c r="E7262" t="s">
        <v>6118</v>
      </c>
      <c r="F7262" t="s">
        <v>10963</v>
      </c>
      <c r="G7262" t="s">
        <v>15354</v>
      </c>
      <c r="H7262" t="s">
        <v>20091</v>
      </c>
    </row>
    <row r="7263" spans="1:8">
      <c r="H7263" t="s">
        <v>19712</v>
      </c>
    </row>
    <row r="7264" spans="1:8">
      <c r="H7264" t="s">
        <v>19709</v>
      </c>
    </row>
    <row r="7265" spans="6:8">
      <c r="H7265" t="s">
        <v>19706</v>
      </c>
    </row>
    <row r="7266" spans="6:8">
      <c r="F7266" t="s">
        <v>10964</v>
      </c>
      <c r="G7266" t="s">
        <v>15355</v>
      </c>
      <c r="H7266" t="s">
        <v>20091</v>
      </c>
    </row>
    <row r="7267" spans="6:8">
      <c r="H7267" t="s">
        <v>19712</v>
      </c>
    </row>
    <row r="7268" spans="6:8">
      <c r="H7268" t="s">
        <v>20092</v>
      </c>
    </row>
    <row r="7269" spans="6:8">
      <c r="H7269" t="s">
        <v>20093</v>
      </c>
    </row>
    <row r="7270" spans="6:8">
      <c r="H7270" t="s">
        <v>20094</v>
      </c>
    </row>
    <row r="7271" spans="6:8">
      <c r="H7271" t="s">
        <v>20095</v>
      </c>
    </row>
    <row r="7272" spans="6:8">
      <c r="H7272" t="s">
        <v>20096</v>
      </c>
    </row>
    <row r="7273" spans="6:8">
      <c r="H7273" t="s">
        <v>20097</v>
      </c>
    </row>
    <row r="7274" spans="6:8">
      <c r="H7274" t="s">
        <v>20098</v>
      </c>
    </row>
    <row r="7275" spans="6:8">
      <c r="H7275" t="s">
        <v>20099</v>
      </c>
    </row>
    <row r="7276" spans="6:8">
      <c r="H7276" t="s">
        <v>20100</v>
      </c>
    </row>
    <row r="7277" spans="6:8">
      <c r="H7277" t="s">
        <v>20101</v>
      </c>
    </row>
    <row r="7278" spans="6:8">
      <c r="H7278" t="s">
        <v>20102</v>
      </c>
    </row>
    <row r="7279" spans="6:8">
      <c r="F7279" t="s">
        <v>10965</v>
      </c>
      <c r="G7279" t="s">
        <v>15356</v>
      </c>
      <c r="H7279" t="s">
        <v>20091</v>
      </c>
    </row>
    <row r="7280" spans="6:8">
      <c r="H7280" t="s">
        <v>19712</v>
      </c>
    </row>
    <row r="7281" spans="6:8">
      <c r="H7281" t="s">
        <v>19709</v>
      </c>
    </row>
    <row r="7282" spans="6:8">
      <c r="H7282" t="s">
        <v>19706</v>
      </c>
    </row>
    <row r="7283" spans="6:8">
      <c r="H7283" t="s">
        <v>20092</v>
      </c>
    </row>
    <row r="7284" spans="6:8">
      <c r="H7284" t="s">
        <v>20093</v>
      </c>
    </row>
    <row r="7285" spans="6:8">
      <c r="H7285" t="s">
        <v>20094</v>
      </c>
    </row>
    <row r="7286" spans="6:8">
      <c r="H7286" t="s">
        <v>20103</v>
      </c>
    </row>
    <row r="7287" spans="6:8">
      <c r="H7287" t="s">
        <v>20095</v>
      </c>
    </row>
    <row r="7288" spans="6:8">
      <c r="H7288" t="s">
        <v>20096</v>
      </c>
    </row>
    <row r="7289" spans="6:8">
      <c r="H7289" t="s">
        <v>20097</v>
      </c>
    </row>
    <row r="7290" spans="6:8">
      <c r="H7290" t="s">
        <v>20098</v>
      </c>
    </row>
    <row r="7291" spans="6:8">
      <c r="H7291" t="s">
        <v>20099</v>
      </c>
    </row>
    <row r="7292" spans="6:8">
      <c r="H7292" t="s">
        <v>20100</v>
      </c>
    </row>
    <row r="7293" spans="6:8">
      <c r="H7293" t="s">
        <v>20101</v>
      </c>
    </row>
    <row r="7294" spans="6:8">
      <c r="H7294" t="s">
        <v>20102</v>
      </c>
    </row>
    <row r="7295" spans="6:8">
      <c r="F7295" t="s">
        <v>10966</v>
      </c>
      <c r="G7295" t="s">
        <v>15357</v>
      </c>
      <c r="H7295" t="s">
        <v>20091</v>
      </c>
    </row>
    <row r="7296" spans="6:8">
      <c r="H7296" t="s">
        <v>20095</v>
      </c>
    </row>
    <row r="7297" spans="6:8">
      <c r="F7297" t="s">
        <v>10967</v>
      </c>
      <c r="G7297" t="s">
        <v>15358</v>
      </c>
      <c r="H7297" t="s">
        <v>20091</v>
      </c>
    </row>
    <row r="7298" spans="6:8">
      <c r="H7298" t="s">
        <v>19712</v>
      </c>
    </row>
    <row r="7299" spans="6:8">
      <c r="H7299" t="s">
        <v>20095</v>
      </c>
    </row>
    <row r="7300" spans="6:8">
      <c r="H7300" t="s">
        <v>20096</v>
      </c>
    </row>
    <row r="7301" spans="6:8">
      <c r="H7301" t="s">
        <v>20097</v>
      </c>
    </row>
    <row r="7302" spans="6:8">
      <c r="H7302" t="s">
        <v>20098</v>
      </c>
    </row>
    <row r="7303" spans="6:8">
      <c r="H7303" t="s">
        <v>20099</v>
      </c>
    </row>
    <row r="7304" spans="6:8">
      <c r="H7304" t="s">
        <v>19709</v>
      </c>
    </row>
    <row r="7305" spans="6:8">
      <c r="H7305" t="s">
        <v>19706</v>
      </c>
    </row>
    <row r="7306" spans="6:8">
      <c r="H7306" t="s">
        <v>20100</v>
      </c>
    </row>
    <row r="7307" spans="6:8">
      <c r="H7307" t="s">
        <v>20101</v>
      </c>
    </row>
    <row r="7308" spans="6:8">
      <c r="H7308" t="s">
        <v>20102</v>
      </c>
    </row>
    <row r="7309" spans="6:8">
      <c r="H7309" t="s">
        <v>20104</v>
      </c>
    </row>
    <row r="7310" spans="6:8">
      <c r="H7310" t="s">
        <v>20105</v>
      </c>
    </row>
    <row r="7311" spans="6:8">
      <c r="F7311" t="s">
        <v>10968</v>
      </c>
      <c r="G7311" t="s">
        <v>15359</v>
      </c>
      <c r="H7311" t="s">
        <v>20091</v>
      </c>
    </row>
    <row r="7312" spans="6:8">
      <c r="H7312" t="s">
        <v>19712</v>
      </c>
    </row>
    <row r="7313" spans="6:8">
      <c r="H7313" t="s">
        <v>20095</v>
      </c>
    </row>
    <row r="7314" spans="6:8">
      <c r="H7314" t="s">
        <v>20096</v>
      </c>
    </row>
    <row r="7315" spans="6:8">
      <c r="H7315" t="s">
        <v>20097</v>
      </c>
    </row>
    <row r="7316" spans="6:8">
      <c r="H7316" t="s">
        <v>20098</v>
      </c>
    </row>
    <row r="7317" spans="6:8">
      <c r="H7317" t="s">
        <v>20099</v>
      </c>
    </row>
    <row r="7318" spans="6:8">
      <c r="H7318" t="s">
        <v>20100</v>
      </c>
    </row>
    <row r="7319" spans="6:8">
      <c r="F7319" t="s">
        <v>10969</v>
      </c>
      <c r="G7319" t="s">
        <v>15360</v>
      </c>
      <c r="H7319" t="s">
        <v>20091</v>
      </c>
    </row>
    <row r="7320" spans="6:8">
      <c r="H7320" t="s">
        <v>19712</v>
      </c>
    </row>
    <row r="7321" spans="6:8">
      <c r="H7321" t="s">
        <v>20095</v>
      </c>
    </row>
    <row r="7322" spans="6:8">
      <c r="H7322" t="s">
        <v>20096</v>
      </c>
    </row>
    <row r="7323" spans="6:8">
      <c r="H7323" t="s">
        <v>20097</v>
      </c>
    </row>
    <row r="7324" spans="6:8">
      <c r="H7324" t="s">
        <v>20098</v>
      </c>
    </row>
    <row r="7325" spans="6:8">
      <c r="H7325" t="s">
        <v>20099</v>
      </c>
    </row>
    <row r="7326" spans="6:8">
      <c r="H7326" t="s">
        <v>20100</v>
      </c>
    </row>
    <row r="7327" spans="6:8">
      <c r="F7327" t="s">
        <v>10970</v>
      </c>
      <c r="G7327" t="s">
        <v>15361</v>
      </c>
      <c r="H7327" t="s">
        <v>20091</v>
      </c>
    </row>
    <row r="7328" spans="6:8">
      <c r="H7328" t="s">
        <v>19712</v>
      </c>
    </row>
    <row r="7329" spans="6:8">
      <c r="H7329" t="s">
        <v>20095</v>
      </c>
    </row>
    <row r="7330" spans="6:8">
      <c r="H7330" t="s">
        <v>20096</v>
      </c>
    </row>
    <row r="7331" spans="6:8">
      <c r="H7331" t="s">
        <v>20097</v>
      </c>
    </row>
    <row r="7332" spans="6:8">
      <c r="H7332" t="s">
        <v>20098</v>
      </c>
    </row>
    <row r="7333" spans="6:8">
      <c r="H7333" t="s">
        <v>20099</v>
      </c>
    </row>
    <row r="7334" spans="6:8">
      <c r="H7334" t="s">
        <v>20100</v>
      </c>
    </row>
    <row r="7335" spans="6:8">
      <c r="F7335" t="s">
        <v>10971</v>
      </c>
      <c r="G7335" t="s">
        <v>15362</v>
      </c>
      <c r="H7335" t="s">
        <v>20091</v>
      </c>
    </row>
    <row r="7336" spans="6:8">
      <c r="H7336" t="s">
        <v>19712</v>
      </c>
    </row>
    <row r="7337" spans="6:8">
      <c r="H7337" t="s">
        <v>20095</v>
      </c>
    </row>
    <row r="7338" spans="6:8">
      <c r="H7338" t="s">
        <v>20096</v>
      </c>
    </row>
    <row r="7339" spans="6:8">
      <c r="H7339" t="s">
        <v>20097</v>
      </c>
    </row>
    <row r="7340" spans="6:8">
      <c r="H7340" t="s">
        <v>20098</v>
      </c>
    </row>
    <row r="7341" spans="6:8">
      <c r="H7341" t="s">
        <v>20099</v>
      </c>
    </row>
    <row r="7342" spans="6:8">
      <c r="H7342" t="s">
        <v>20100</v>
      </c>
    </row>
    <row r="7343" spans="6:8">
      <c r="F7343" t="s">
        <v>10972</v>
      </c>
      <c r="G7343" t="s">
        <v>15363</v>
      </c>
      <c r="H7343" t="s">
        <v>20091</v>
      </c>
    </row>
    <row r="7344" spans="6:8">
      <c r="H7344" t="s">
        <v>19712</v>
      </c>
    </row>
    <row r="7345" spans="6:8">
      <c r="H7345" t="s">
        <v>19709</v>
      </c>
    </row>
    <row r="7346" spans="6:8">
      <c r="H7346" t="s">
        <v>20092</v>
      </c>
    </row>
    <row r="7347" spans="6:8">
      <c r="H7347" t="s">
        <v>20093</v>
      </c>
    </row>
    <row r="7348" spans="6:8">
      <c r="H7348" t="s">
        <v>20094</v>
      </c>
    </row>
    <row r="7349" spans="6:8">
      <c r="H7349" t="s">
        <v>20103</v>
      </c>
    </row>
    <row r="7350" spans="6:8">
      <c r="H7350" t="s">
        <v>20095</v>
      </c>
    </row>
    <row r="7351" spans="6:8">
      <c r="H7351" t="s">
        <v>20096</v>
      </c>
    </row>
    <row r="7352" spans="6:8">
      <c r="H7352" t="s">
        <v>20097</v>
      </c>
    </row>
    <row r="7353" spans="6:8">
      <c r="H7353" t="s">
        <v>20098</v>
      </c>
    </row>
    <row r="7354" spans="6:8">
      <c r="H7354" t="s">
        <v>20099</v>
      </c>
    </row>
    <row r="7355" spans="6:8">
      <c r="H7355" t="s">
        <v>20100</v>
      </c>
    </row>
    <row r="7356" spans="6:8">
      <c r="F7356" t="s">
        <v>10973</v>
      </c>
      <c r="G7356" t="s">
        <v>15364</v>
      </c>
      <c r="H7356" t="s">
        <v>20091</v>
      </c>
    </row>
    <row r="7357" spans="6:8">
      <c r="H7357" t="s">
        <v>19712</v>
      </c>
    </row>
    <row r="7358" spans="6:8">
      <c r="H7358" t="s">
        <v>19709</v>
      </c>
    </row>
    <row r="7359" spans="6:8">
      <c r="H7359" t="s">
        <v>19706</v>
      </c>
    </row>
    <row r="7360" spans="6:8">
      <c r="H7360" t="s">
        <v>19707</v>
      </c>
    </row>
    <row r="7361" spans="6:8">
      <c r="H7361" t="s">
        <v>19711</v>
      </c>
    </row>
    <row r="7362" spans="6:8">
      <c r="H7362" t="s">
        <v>19708</v>
      </c>
    </row>
    <row r="7363" spans="6:8">
      <c r="H7363" t="s">
        <v>19710</v>
      </c>
    </row>
    <row r="7364" spans="6:8">
      <c r="H7364" t="s">
        <v>20092</v>
      </c>
    </row>
    <row r="7365" spans="6:8">
      <c r="H7365" t="s">
        <v>20093</v>
      </c>
    </row>
    <row r="7366" spans="6:8">
      <c r="H7366" t="s">
        <v>20095</v>
      </c>
    </row>
    <row r="7367" spans="6:8">
      <c r="H7367" t="s">
        <v>20096</v>
      </c>
    </row>
    <row r="7368" spans="6:8">
      <c r="H7368" t="s">
        <v>20097</v>
      </c>
    </row>
    <row r="7369" spans="6:8">
      <c r="H7369" t="s">
        <v>20098</v>
      </c>
    </row>
    <row r="7370" spans="6:8">
      <c r="H7370" t="s">
        <v>20099</v>
      </c>
    </row>
    <row r="7371" spans="6:8">
      <c r="H7371" t="s">
        <v>20100</v>
      </c>
    </row>
    <row r="7372" spans="6:8">
      <c r="H7372" t="s">
        <v>20101</v>
      </c>
    </row>
    <row r="7373" spans="6:8">
      <c r="F7373" t="s">
        <v>10974</v>
      </c>
      <c r="G7373" t="s">
        <v>15365</v>
      </c>
      <c r="H7373" t="s">
        <v>20091</v>
      </c>
    </row>
    <row r="7374" spans="6:8">
      <c r="H7374" t="s">
        <v>20106</v>
      </c>
    </row>
    <row r="7375" spans="6:8">
      <c r="H7375" t="s">
        <v>20096</v>
      </c>
    </row>
    <row r="7376" spans="6:8">
      <c r="H7376" t="s">
        <v>20095</v>
      </c>
    </row>
    <row r="7377" spans="6:8">
      <c r="F7377" t="s">
        <v>10975</v>
      </c>
      <c r="G7377" t="s">
        <v>15366</v>
      </c>
      <c r="H7377" t="s">
        <v>20091</v>
      </c>
    </row>
    <row r="7378" spans="6:8">
      <c r="H7378" t="s">
        <v>19712</v>
      </c>
    </row>
    <row r="7379" spans="6:8">
      <c r="H7379" t="s">
        <v>20095</v>
      </c>
    </row>
    <row r="7380" spans="6:8">
      <c r="H7380" t="s">
        <v>20096</v>
      </c>
    </row>
    <row r="7381" spans="6:8">
      <c r="H7381" t="s">
        <v>20097</v>
      </c>
    </row>
    <row r="7382" spans="6:8">
      <c r="H7382" t="s">
        <v>19709</v>
      </c>
    </row>
    <row r="7383" spans="6:8">
      <c r="H7383" t="s">
        <v>19706</v>
      </c>
    </row>
    <row r="7384" spans="6:8">
      <c r="H7384" t="s">
        <v>20098</v>
      </c>
    </row>
    <row r="7385" spans="6:8">
      <c r="H7385" t="s">
        <v>20099</v>
      </c>
    </row>
    <row r="7386" spans="6:8">
      <c r="H7386" t="s">
        <v>20100</v>
      </c>
    </row>
    <row r="7387" spans="6:8">
      <c r="F7387" t="s">
        <v>10976</v>
      </c>
      <c r="G7387" t="s">
        <v>15367</v>
      </c>
      <c r="H7387" t="s">
        <v>20091</v>
      </c>
    </row>
    <row r="7388" spans="6:8">
      <c r="H7388" t="s">
        <v>19712</v>
      </c>
    </row>
    <row r="7389" spans="6:8">
      <c r="H7389" t="s">
        <v>20095</v>
      </c>
    </row>
    <row r="7390" spans="6:8">
      <c r="H7390" t="s">
        <v>20096</v>
      </c>
    </row>
    <row r="7391" spans="6:8">
      <c r="H7391" t="s">
        <v>20097</v>
      </c>
    </row>
    <row r="7392" spans="6:8">
      <c r="F7392" t="s">
        <v>10977</v>
      </c>
      <c r="G7392" t="s">
        <v>15368</v>
      </c>
      <c r="H7392" t="s">
        <v>20091</v>
      </c>
    </row>
    <row r="7393" spans="6:8">
      <c r="H7393" t="s">
        <v>19712</v>
      </c>
    </row>
    <row r="7394" spans="6:8">
      <c r="H7394" t="s">
        <v>20095</v>
      </c>
    </row>
    <row r="7395" spans="6:8">
      <c r="H7395" t="s">
        <v>20096</v>
      </c>
    </row>
    <row r="7396" spans="6:8">
      <c r="H7396" t="s">
        <v>20097</v>
      </c>
    </row>
    <row r="7397" spans="6:8">
      <c r="F7397" t="s">
        <v>10978</v>
      </c>
      <c r="G7397" t="s">
        <v>15369</v>
      </c>
      <c r="H7397" t="s">
        <v>20091</v>
      </c>
    </row>
    <row r="7398" spans="6:8">
      <c r="H7398" t="s">
        <v>19712</v>
      </c>
    </row>
    <row r="7399" spans="6:8">
      <c r="H7399" t="s">
        <v>20095</v>
      </c>
    </row>
    <row r="7400" spans="6:8">
      <c r="H7400" t="s">
        <v>20096</v>
      </c>
    </row>
    <row r="7401" spans="6:8">
      <c r="H7401" t="s">
        <v>20097</v>
      </c>
    </row>
    <row r="7402" spans="6:8">
      <c r="F7402" t="s">
        <v>10979</v>
      </c>
      <c r="G7402" t="s">
        <v>15370</v>
      </c>
      <c r="H7402" t="s">
        <v>20091</v>
      </c>
    </row>
    <row r="7403" spans="6:8">
      <c r="H7403" t="s">
        <v>19712</v>
      </c>
    </row>
    <row r="7404" spans="6:8">
      <c r="H7404" t="s">
        <v>20095</v>
      </c>
    </row>
    <row r="7405" spans="6:8">
      <c r="H7405" t="s">
        <v>20096</v>
      </c>
    </row>
    <row r="7406" spans="6:8">
      <c r="H7406" t="s">
        <v>20097</v>
      </c>
    </row>
    <row r="7407" spans="6:8">
      <c r="F7407" t="s">
        <v>10980</v>
      </c>
      <c r="G7407" t="s">
        <v>15371</v>
      </c>
      <c r="H7407" t="s">
        <v>20091</v>
      </c>
    </row>
    <row r="7408" spans="6:8">
      <c r="H7408" t="s">
        <v>19712</v>
      </c>
    </row>
    <row r="7409" spans="6:8">
      <c r="H7409" t="s">
        <v>19709</v>
      </c>
    </row>
    <row r="7410" spans="6:8">
      <c r="H7410" t="s">
        <v>19706</v>
      </c>
    </row>
    <row r="7411" spans="6:8">
      <c r="H7411" t="s">
        <v>20092</v>
      </c>
    </row>
    <row r="7412" spans="6:8">
      <c r="H7412" t="s">
        <v>20093</v>
      </c>
    </row>
    <row r="7413" spans="6:8">
      <c r="H7413" t="s">
        <v>20094</v>
      </c>
    </row>
    <row r="7414" spans="6:8">
      <c r="H7414" t="s">
        <v>20095</v>
      </c>
    </row>
    <row r="7415" spans="6:8">
      <c r="H7415" t="s">
        <v>20096</v>
      </c>
    </row>
    <row r="7416" spans="6:8">
      <c r="H7416" t="s">
        <v>20097</v>
      </c>
    </row>
    <row r="7417" spans="6:8">
      <c r="H7417" t="s">
        <v>20098</v>
      </c>
    </row>
    <row r="7418" spans="6:8">
      <c r="H7418" t="s">
        <v>20099</v>
      </c>
    </row>
    <row r="7419" spans="6:8">
      <c r="F7419" t="s">
        <v>10981</v>
      </c>
      <c r="G7419" t="s">
        <v>15372</v>
      </c>
      <c r="H7419" t="s">
        <v>20091</v>
      </c>
    </row>
    <row r="7420" spans="6:8">
      <c r="H7420" t="s">
        <v>19712</v>
      </c>
    </row>
    <row r="7421" spans="6:8">
      <c r="H7421" t="s">
        <v>20092</v>
      </c>
    </row>
    <row r="7422" spans="6:8">
      <c r="H7422" t="s">
        <v>20093</v>
      </c>
    </row>
    <row r="7423" spans="6:8">
      <c r="H7423" t="s">
        <v>20094</v>
      </c>
    </row>
    <row r="7424" spans="6:8">
      <c r="H7424" t="s">
        <v>20095</v>
      </c>
    </row>
    <row r="7425" spans="6:8">
      <c r="H7425" t="s">
        <v>20096</v>
      </c>
    </row>
    <row r="7426" spans="6:8">
      <c r="H7426" t="s">
        <v>20097</v>
      </c>
    </row>
    <row r="7427" spans="6:8">
      <c r="H7427" t="s">
        <v>20098</v>
      </c>
    </row>
    <row r="7428" spans="6:8">
      <c r="H7428" t="s">
        <v>20099</v>
      </c>
    </row>
    <row r="7429" spans="6:8">
      <c r="H7429" t="s">
        <v>20100</v>
      </c>
    </row>
    <row r="7430" spans="6:8">
      <c r="H7430" t="s">
        <v>20101</v>
      </c>
    </row>
    <row r="7431" spans="6:8">
      <c r="H7431" t="s">
        <v>20102</v>
      </c>
    </row>
    <row r="7432" spans="6:8">
      <c r="F7432" t="s">
        <v>10982</v>
      </c>
      <c r="G7432" t="s">
        <v>15373</v>
      </c>
      <c r="H7432" t="s">
        <v>20091</v>
      </c>
    </row>
    <row r="7433" spans="6:8">
      <c r="H7433" t="s">
        <v>19712</v>
      </c>
    </row>
    <row r="7434" spans="6:8">
      <c r="H7434" t="s">
        <v>20092</v>
      </c>
    </row>
    <row r="7435" spans="6:8">
      <c r="H7435" t="s">
        <v>20093</v>
      </c>
    </row>
    <row r="7436" spans="6:8">
      <c r="H7436" t="s">
        <v>20094</v>
      </c>
    </row>
    <row r="7437" spans="6:8">
      <c r="H7437" t="s">
        <v>20095</v>
      </c>
    </row>
    <row r="7438" spans="6:8">
      <c r="H7438" t="s">
        <v>20096</v>
      </c>
    </row>
    <row r="7439" spans="6:8">
      <c r="H7439" t="s">
        <v>20097</v>
      </c>
    </row>
    <row r="7440" spans="6:8">
      <c r="H7440" t="s">
        <v>20098</v>
      </c>
    </row>
    <row r="7441" spans="6:8">
      <c r="H7441" t="s">
        <v>20099</v>
      </c>
    </row>
    <row r="7442" spans="6:8">
      <c r="H7442" t="s">
        <v>20100</v>
      </c>
    </row>
    <row r="7443" spans="6:8">
      <c r="H7443" t="s">
        <v>20101</v>
      </c>
    </row>
    <row r="7444" spans="6:8">
      <c r="H7444" t="s">
        <v>20102</v>
      </c>
    </row>
    <row r="7445" spans="6:8">
      <c r="F7445" t="s">
        <v>10983</v>
      </c>
      <c r="G7445" t="s">
        <v>15374</v>
      </c>
      <c r="H7445" t="s">
        <v>20091</v>
      </c>
    </row>
    <row r="7446" spans="6:8">
      <c r="H7446" t="s">
        <v>20107</v>
      </c>
    </row>
    <row r="7447" spans="6:8">
      <c r="H7447" t="s">
        <v>20108</v>
      </c>
    </row>
    <row r="7448" spans="6:8">
      <c r="H7448" t="s">
        <v>20095</v>
      </c>
    </row>
    <row r="7449" spans="6:8">
      <c r="F7449" t="s">
        <v>10984</v>
      </c>
      <c r="G7449" t="s">
        <v>15375</v>
      </c>
      <c r="H7449" t="s">
        <v>20091</v>
      </c>
    </row>
    <row r="7450" spans="6:8">
      <c r="H7450" t="s">
        <v>19712</v>
      </c>
    </row>
    <row r="7451" spans="6:8">
      <c r="H7451" t="s">
        <v>20092</v>
      </c>
    </row>
    <row r="7452" spans="6:8">
      <c r="H7452" t="s">
        <v>20093</v>
      </c>
    </row>
    <row r="7453" spans="6:8">
      <c r="H7453" t="s">
        <v>20094</v>
      </c>
    </row>
    <row r="7454" spans="6:8">
      <c r="H7454" t="s">
        <v>20095</v>
      </c>
    </row>
    <row r="7455" spans="6:8">
      <c r="H7455" t="s">
        <v>20096</v>
      </c>
    </row>
    <row r="7456" spans="6:8">
      <c r="H7456" t="s">
        <v>20097</v>
      </c>
    </row>
    <row r="7457" spans="6:8">
      <c r="H7457" t="s">
        <v>20098</v>
      </c>
    </row>
    <row r="7458" spans="6:8">
      <c r="H7458" t="s">
        <v>20099</v>
      </c>
    </row>
    <row r="7459" spans="6:8">
      <c r="H7459" t="s">
        <v>20100</v>
      </c>
    </row>
    <row r="7460" spans="6:8">
      <c r="H7460" t="s">
        <v>20101</v>
      </c>
    </row>
    <row r="7461" spans="6:8">
      <c r="H7461" t="s">
        <v>20102</v>
      </c>
    </row>
    <row r="7462" spans="6:8">
      <c r="F7462" t="s">
        <v>10985</v>
      </c>
      <c r="G7462" t="s">
        <v>15376</v>
      </c>
      <c r="H7462" t="s">
        <v>20091</v>
      </c>
    </row>
    <row r="7463" spans="6:8">
      <c r="H7463" t="s">
        <v>19712</v>
      </c>
    </row>
    <row r="7464" spans="6:8">
      <c r="H7464" t="s">
        <v>20092</v>
      </c>
    </row>
    <row r="7465" spans="6:8">
      <c r="H7465" t="s">
        <v>20093</v>
      </c>
    </row>
    <row r="7466" spans="6:8">
      <c r="H7466" t="s">
        <v>20094</v>
      </c>
    </row>
    <row r="7467" spans="6:8">
      <c r="H7467" t="s">
        <v>20095</v>
      </c>
    </row>
    <row r="7468" spans="6:8">
      <c r="H7468" t="s">
        <v>20096</v>
      </c>
    </row>
    <row r="7469" spans="6:8">
      <c r="H7469" t="s">
        <v>20097</v>
      </c>
    </row>
    <row r="7470" spans="6:8">
      <c r="H7470" t="s">
        <v>20098</v>
      </c>
    </row>
    <row r="7471" spans="6:8">
      <c r="H7471" t="s">
        <v>20099</v>
      </c>
    </row>
    <row r="7472" spans="6:8">
      <c r="H7472" t="s">
        <v>20100</v>
      </c>
    </row>
    <row r="7473" spans="6:8">
      <c r="H7473" t="s">
        <v>20101</v>
      </c>
    </row>
    <row r="7474" spans="6:8">
      <c r="H7474" t="s">
        <v>20102</v>
      </c>
    </row>
    <row r="7475" spans="6:8">
      <c r="F7475" t="s">
        <v>10986</v>
      </c>
      <c r="G7475" t="s">
        <v>15377</v>
      </c>
      <c r="H7475" t="s">
        <v>20091</v>
      </c>
    </row>
    <row r="7476" spans="6:8">
      <c r="H7476" t="s">
        <v>19712</v>
      </c>
    </row>
    <row r="7477" spans="6:8">
      <c r="H7477" t="s">
        <v>19706</v>
      </c>
    </row>
    <row r="7478" spans="6:8">
      <c r="H7478" t="s">
        <v>20092</v>
      </c>
    </row>
    <row r="7479" spans="6:8">
      <c r="H7479" t="s">
        <v>20093</v>
      </c>
    </row>
    <row r="7480" spans="6:8">
      <c r="H7480" t="s">
        <v>20094</v>
      </c>
    </row>
    <row r="7481" spans="6:8">
      <c r="H7481" t="s">
        <v>20095</v>
      </c>
    </row>
    <row r="7482" spans="6:8">
      <c r="H7482" t="s">
        <v>20096</v>
      </c>
    </row>
    <row r="7483" spans="6:8">
      <c r="H7483" t="s">
        <v>20097</v>
      </c>
    </row>
    <row r="7484" spans="6:8">
      <c r="H7484" t="s">
        <v>20098</v>
      </c>
    </row>
    <row r="7485" spans="6:8">
      <c r="F7485" t="s">
        <v>10987</v>
      </c>
      <c r="G7485" t="s">
        <v>15378</v>
      </c>
      <c r="H7485" t="s">
        <v>20091</v>
      </c>
    </row>
    <row r="7486" spans="6:8">
      <c r="H7486" t="s">
        <v>19712</v>
      </c>
    </row>
    <row r="7487" spans="6:8">
      <c r="H7487" t="s">
        <v>19709</v>
      </c>
    </row>
    <row r="7488" spans="6:8">
      <c r="H7488" t="s">
        <v>20107</v>
      </c>
    </row>
    <row r="7489" spans="6:8">
      <c r="H7489" t="s">
        <v>20108</v>
      </c>
    </row>
    <row r="7490" spans="6:8">
      <c r="H7490" t="s">
        <v>19713</v>
      </c>
    </row>
    <row r="7491" spans="6:8">
      <c r="H7491" t="s">
        <v>19714</v>
      </c>
    </row>
    <row r="7492" spans="6:8">
      <c r="H7492" t="s">
        <v>20109</v>
      </c>
    </row>
    <row r="7493" spans="6:8">
      <c r="H7493" t="s">
        <v>20110</v>
      </c>
    </row>
    <row r="7494" spans="6:8">
      <c r="H7494" t="s">
        <v>20111</v>
      </c>
    </row>
    <row r="7495" spans="6:8">
      <c r="H7495" t="s">
        <v>20095</v>
      </c>
    </row>
    <row r="7496" spans="6:8">
      <c r="H7496" t="s">
        <v>20096</v>
      </c>
    </row>
    <row r="7497" spans="6:8">
      <c r="H7497" t="s">
        <v>20097</v>
      </c>
    </row>
    <row r="7498" spans="6:8">
      <c r="H7498" t="s">
        <v>20098</v>
      </c>
    </row>
    <row r="7499" spans="6:8">
      <c r="F7499" t="s">
        <v>10988</v>
      </c>
      <c r="G7499" t="s">
        <v>15379</v>
      </c>
      <c r="H7499" t="s">
        <v>20091</v>
      </c>
    </row>
    <row r="7500" spans="6:8">
      <c r="H7500" t="s">
        <v>19712</v>
      </c>
    </row>
    <row r="7501" spans="6:8">
      <c r="H7501" t="s">
        <v>19709</v>
      </c>
    </row>
    <row r="7502" spans="6:8">
      <c r="H7502" t="s">
        <v>20107</v>
      </c>
    </row>
    <row r="7503" spans="6:8">
      <c r="H7503" t="s">
        <v>20108</v>
      </c>
    </row>
    <row r="7504" spans="6:8">
      <c r="H7504" t="s">
        <v>19713</v>
      </c>
    </row>
    <row r="7505" spans="6:8">
      <c r="H7505" t="s">
        <v>19714</v>
      </c>
    </row>
    <row r="7506" spans="6:8">
      <c r="H7506" t="s">
        <v>20109</v>
      </c>
    </row>
    <row r="7507" spans="6:8">
      <c r="H7507" t="s">
        <v>20110</v>
      </c>
    </row>
    <row r="7508" spans="6:8">
      <c r="H7508" t="s">
        <v>20095</v>
      </c>
    </row>
    <row r="7509" spans="6:8">
      <c r="H7509" t="s">
        <v>20096</v>
      </c>
    </row>
    <row r="7510" spans="6:8">
      <c r="H7510" t="s">
        <v>20097</v>
      </c>
    </row>
    <row r="7511" spans="6:8">
      <c r="H7511" t="s">
        <v>20098</v>
      </c>
    </row>
    <row r="7512" spans="6:8">
      <c r="F7512" t="s">
        <v>10989</v>
      </c>
      <c r="G7512" t="s">
        <v>15380</v>
      </c>
      <c r="H7512" t="s">
        <v>20091</v>
      </c>
    </row>
    <row r="7513" spans="6:8">
      <c r="H7513" t="s">
        <v>19712</v>
      </c>
    </row>
    <row r="7514" spans="6:8">
      <c r="H7514" t="s">
        <v>19709</v>
      </c>
    </row>
    <row r="7515" spans="6:8">
      <c r="H7515" t="s">
        <v>20107</v>
      </c>
    </row>
    <row r="7516" spans="6:8">
      <c r="H7516" t="s">
        <v>20108</v>
      </c>
    </row>
    <row r="7517" spans="6:8">
      <c r="H7517" t="s">
        <v>19713</v>
      </c>
    </row>
    <row r="7518" spans="6:8">
      <c r="H7518" t="s">
        <v>19714</v>
      </c>
    </row>
    <row r="7519" spans="6:8">
      <c r="H7519" t="s">
        <v>20109</v>
      </c>
    </row>
    <row r="7520" spans="6:8">
      <c r="H7520" t="s">
        <v>20110</v>
      </c>
    </row>
    <row r="7521" spans="6:8">
      <c r="H7521" t="s">
        <v>20095</v>
      </c>
    </row>
    <row r="7522" spans="6:8">
      <c r="H7522" t="s">
        <v>20096</v>
      </c>
    </row>
    <row r="7523" spans="6:8">
      <c r="H7523" t="s">
        <v>20097</v>
      </c>
    </row>
    <row r="7524" spans="6:8">
      <c r="H7524" t="s">
        <v>20098</v>
      </c>
    </row>
    <row r="7525" spans="6:8">
      <c r="F7525" t="s">
        <v>10990</v>
      </c>
      <c r="G7525" t="s">
        <v>15381</v>
      </c>
      <c r="H7525" t="s">
        <v>20091</v>
      </c>
    </row>
    <row r="7526" spans="6:8">
      <c r="H7526" t="s">
        <v>19712</v>
      </c>
    </row>
    <row r="7527" spans="6:8">
      <c r="H7527" t="s">
        <v>19709</v>
      </c>
    </row>
    <row r="7528" spans="6:8">
      <c r="H7528" t="s">
        <v>20107</v>
      </c>
    </row>
    <row r="7529" spans="6:8">
      <c r="H7529" t="s">
        <v>20108</v>
      </c>
    </row>
    <row r="7530" spans="6:8">
      <c r="H7530" t="s">
        <v>19713</v>
      </c>
    </row>
    <row r="7531" spans="6:8">
      <c r="H7531" t="s">
        <v>19714</v>
      </c>
    </row>
    <row r="7532" spans="6:8">
      <c r="H7532" t="s">
        <v>20109</v>
      </c>
    </row>
    <row r="7533" spans="6:8">
      <c r="H7533" t="s">
        <v>20110</v>
      </c>
    </row>
    <row r="7534" spans="6:8">
      <c r="H7534" t="s">
        <v>20111</v>
      </c>
    </row>
    <row r="7535" spans="6:8">
      <c r="H7535" t="s">
        <v>20112</v>
      </c>
    </row>
    <row r="7536" spans="6:8">
      <c r="H7536" t="s">
        <v>20113</v>
      </c>
    </row>
    <row r="7537" spans="6:8">
      <c r="H7537" t="s">
        <v>20095</v>
      </c>
    </row>
    <row r="7538" spans="6:8">
      <c r="H7538" t="s">
        <v>20096</v>
      </c>
    </row>
    <row r="7539" spans="6:8">
      <c r="H7539" t="s">
        <v>20097</v>
      </c>
    </row>
    <row r="7540" spans="6:8">
      <c r="H7540" t="s">
        <v>20098</v>
      </c>
    </row>
    <row r="7541" spans="6:8">
      <c r="F7541" t="s">
        <v>10991</v>
      </c>
      <c r="G7541" t="s">
        <v>15382</v>
      </c>
      <c r="H7541" t="s">
        <v>20091</v>
      </c>
    </row>
    <row r="7542" spans="6:8">
      <c r="H7542" t="s">
        <v>19712</v>
      </c>
    </row>
    <row r="7543" spans="6:8">
      <c r="H7543" t="s">
        <v>20092</v>
      </c>
    </row>
    <row r="7544" spans="6:8">
      <c r="H7544" t="s">
        <v>20093</v>
      </c>
    </row>
    <row r="7545" spans="6:8">
      <c r="H7545" t="s">
        <v>20094</v>
      </c>
    </row>
    <row r="7546" spans="6:8">
      <c r="H7546" t="s">
        <v>20095</v>
      </c>
    </row>
    <row r="7547" spans="6:8">
      <c r="H7547" t="s">
        <v>20096</v>
      </c>
    </row>
    <row r="7548" spans="6:8">
      <c r="H7548" t="s">
        <v>20097</v>
      </c>
    </row>
    <row r="7549" spans="6:8">
      <c r="H7549" t="s">
        <v>20098</v>
      </c>
    </row>
    <row r="7550" spans="6:8">
      <c r="H7550" t="s">
        <v>20099</v>
      </c>
    </row>
    <row r="7551" spans="6:8">
      <c r="H7551" t="s">
        <v>20100</v>
      </c>
    </row>
    <row r="7552" spans="6:8">
      <c r="H7552" t="s">
        <v>20101</v>
      </c>
    </row>
    <row r="7553" spans="6:8">
      <c r="H7553" t="s">
        <v>20102</v>
      </c>
    </row>
    <row r="7554" spans="6:8">
      <c r="F7554" t="s">
        <v>10992</v>
      </c>
      <c r="G7554" t="s">
        <v>15383</v>
      </c>
      <c r="H7554" t="s">
        <v>20091</v>
      </c>
    </row>
    <row r="7555" spans="6:8">
      <c r="H7555" t="s">
        <v>19712</v>
      </c>
    </row>
    <row r="7556" spans="6:8">
      <c r="H7556" t="s">
        <v>20092</v>
      </c>
    </row>
    <row r="7557" spans="6:8">
      <c r="H7557" t="s">
        <v>20093</v>
      </c>
    </row>
    <row r="7558" spans="6:8">
      <c r="H7558" t="s">
        <v>20094</v>
      </c>
    </row>
    <row r="7559" spans="6:8">
      <c r="H7559" t="s">
        <v>20095</v>
      </c>
    </row>
    <row r="7560" spans="6:8">
      <c r="H7560" t="s">
        <v>20096</v>
      </c>
    </row>
    <row r="7561" spans="6:8">
      <c r="H7561" t="s">
        <v>20097</v>
      </c>
    </row>
    <row r="7562" spans="6:8">
      <c r="H7562" t="s">
        <v>20098</v>
      </c>
    </row>
    <row r="7563" spans="6:8">
      <c r="H7563" t="s">
        <v>20099</v>
      </c>
    </row>
    <row r="7564" spans="6:8">
      <c r="H7564" t="s">
        <v>20100</v>
      </c>
    </row>
    <row r="7565" spans="6:8">
      <c r="H7565" t="s">
        <v>20101</v>
      </c>
    </row>
    <row r="7566" spans="6:8">
      <c r="H7566" t="s">
        <v>20102</v>
      </c>
    </row>
    <row r="7567" spans="6:8">
      <c r="F7567" t="s">
        <v>10993</v>
      </c>
      <c r="G7567" t="s">
        <v>15384</v>
      </c>
      <c r="H7567" t="s">
        <v>20091</v>
      </c>
    </row>
    <row r="7568" spans="6:8">
      <c r="H7568" t="s">
        <v>19712</v>
      </c>
    </row>
    <row r="7569" spans="6:8">
      <c r="H7569" t="s">
        <v>19709</v>
      </c>
    </row>
    <row r="7570" spans="6:8">
      <c r="H7570" t="s">
        <v>20107</v>
      </c>
    </row>
    <row r="7571" spans="6:8">
      <c r="H7571" t="s">
        <v>20108</v>
      </c>
    </row>
    <row r="7572" spans="6:8">
      <c r="H7572" t="s">
        <v>19713</v>
      </c>
    </row>
    <row r="7573" spans="6:8">
      <c r="H7573" t="s">
        <v>19714</v>
      </c>
    </row>
    <row r="7574" spans="6:8">
      <c r="H7574" t="s">
        <v>20109</v>
      </c>
    </row>
    <row r="7575" spans="6:8">
      <c r="H7575" t="s">
        <v>20095</v>
      </c>
    </row>
    <row r="7576" spans="6:8">
      <c r="H7576" t="s">
        <v>20096</v>
      </c>
    </row>
    <row r="7577" spans="6:8">
      <c r="H7577" t="s">
        <v>20097</v>
      </c>
    </row>
    <row r="7578" spans="6:8">
      <c r="H7578" t="s">
        <v>20098</v>
      </c>
    </row>
    <row r="7579" spans="6:8">
      <c r="F7579" t="s">
        <v>10994</v>
      </c>
      <c r="G7579" t="s">
        <v>15385</v>
      </c>
      <c r="H7579" t="s">
        <v>20091</v>
      </c>
    </row>
    <row r="7580" spans="6:8">
      <c r="H7580" t="s">
        <v>19712</v>
      </c>
    </row>
    <row r="7581" spans="6:8">
      <c r="H7581" t="s">
        <v>19709</v>
      </c>
    </row>
    <row r="7582" spans="6:8">
      <c r="H7582" t="s">
        <v>20107</v>
      </c>
    </row>
    <row r="7583" spans="6:8">
      <c r="H7583" t="s">
        <v>20108</v>
      </c>
    </row>
    <row r="7584" spans="6:8">
      <c r="H7584" t="s">
        <v>19713</v>
      </c>
    </row>
    <row r="7585" spans="6:8">
      <c r="H7585" t="s">
        <v>19714</v>
      </c>
    </row>
    <row r="7586" spans="6:8">
      <c r="H7586" t="s">
        <v>20109</v>
      </c>
    </row>
    <row r="7587" spans="6:8">
      <c r="H7587" t="s">
        <v>20095</v>
      </c>
    </row>
    <row r="7588" spans="6:8">
      <c r="H7588" t="s">
        <v>20096</v>
      </c>
    </row>
    <row r="7589" spans="6:8">
      <c r="H7589" t="s">
        <v>20097</v>
      </c>
    </row>
    <row r="7590" spans="6:8">
      <c r="H7590" t="s">
        <v>20098</v>
      </c>
    </row>
    <row r="7591" spans="6:8">
      <c r="F7591" t="s">
        <v>10995</v>
      </c>
      <c r="G7591" t="s">
        <v>15386</v>
      </c>
      <c r="H7591" t="s">
        <v>20091</v>
      </c>
    </row>
    <row r="7592" spans="6:8">
      <c r="H7592" t="s">
        <v>20095</v>
      </c>
    </row>
    <row r="7593" spans="6:8">
      <c r="F7593" t="s">
        <v>10996</v>
      </c>
      <c r="G7593" t="s">
        <v>15387</v>
      </c>
      <c r="H7593" t="s">
        <v>20091</v>
      </c>
    </row>
    <row r="7594" spans="6:8">
      <c r="H7594" t="s">
        <v>20095</v>
      </c>
    </row>
    <row r="7595" spans="6:8">
      <c r="F7595" t="s">
        <v>10997</v>
      </c>
      <c r="G7595" t="s">
        <v>15388</v>
      </c>
      <c r="H7595" t="s">
        <v>20091</v>
      </c>
    </row>
    <row r="7596" spans="6:8">
      <c r="H7596" t="s">
        <v>19712</v>
      </c>
    </row>
    <row r="7597" spans="6:8">
      <c r="H7597" t="s">
        <v>19709</v>
      </c>
    </row>
    <row r="7598" spans="6:8">
      <c r="H7598" t="s">
        <v>19706</v>
      </c>
    </row>
    <row r="7599" spans="6:8">
      <c r="H7599" t="s">
        <v>20108</v>
      </c>
    </row>
    <row r="7600" spans="6:8">
      <c r="H7600" t="s">
        <v>19713</v>
      </c>
    </row>
    <row r="7601" spans="6:8">
      <c r="H7601" t="s">
        <v>19714</v>
      </c>
    </row>
    <row r="7602" spans="6:8">
      <c r="H7602" t="s">
        <v>20109</v>
      </c>
    </row>
    <row r="7603" spans="6:8">
      <c r="H7603" t="s">
        <v>20110</v>
      </c>
    </row>
    <row r="7604" spans="6:8">
      <c r="H7604" t="s">
        <v>20111</v>
      </c>
    </row>
    <row r="7605" spans="6:8">
      <c r="H7605" t="s">
        <v>20112</v>
      </c>
    </row>
    <row r="7606" spans="6:8">
      <c r="H7606" t="s">
        <v>20113</v>
      </c>
    </row>
    <row r="7607" spans="6:8">
      <c r="H7607" t="s">
        <v>20095</v>
      </c>
    </row>
    <row r="7608" spans="6:8">
      <c r="H7608" t="s">
        <v>20096</v>
      </c>
    </row>
    <row r="7609" spans="6:8">
      <c r="H7609" t="s">
        <v>20097</v>
      </c>
    </row>
    <row r="7610" spans="6:8">
      <c r="H7610" t="s">
        <v>20098</v>
      </c>
    </row>
    <row r="7611" spans="6:8">
      <c r="F7611" t="s">
        <v>10998</v>
      </c>
      <c r="G7611" t="s">
        <v>15389</v>
      </c>
      <c r="H7611" t="s">
        <v>20091</v>
      </c>
    </row>
    <row r="7612" spans="6:8">
      <c r="H7612" t="s">
        <v>19712</v>
      </c>
    </row>
    <row r="7613" spans="6:8">
      <c r="H7613" t="s">
        <v>20095</v>
      </c>
    </row>
    <row r="7614" spans="6:8">
      <c r="H7614" t="s">
        <v>20096</v>
      </c>
    </row>
    <row r="7615" spans="6:8">
      <c r="H7615" t="s">
        <v>20097</v>
      </c>
    </row>
    <row r="7616" spans="6:8">
      <c r="H7616" t="s">
        <v>20098</v>
      </c>
    </row>
    <row r="7617" spans="6:8">
      <c r="H7617" t="s">
        <v>19709</v>
      </c>
    </row>
    <row r="7618" spans="6:8">
      <c r="H7618" t="s">
        <v>19706</v>
      </c>
    </row>
    <row r="7619" spans="6:8">
      <c r="H7619" t="s">
        <v>20099</v>
      </c>
    </row>
    <row r="7620" spans="6:8">
      <c r="H7620" t="s">
        <v>20100</v>
      </c>
    </row>
    <row r="7621" spans="6:8">
      <c r="H7621" t="s">
        <v>20101</v>
      </c>
    </row>
    <row r="7622" spans="6:8">
      <c r="H7622" t="s">
        <v>20102</v>
      </c>
    </row>
    <row r="7623" spans="6:8">
      <c r="F7623" t="s">
        <v>10999</v>
      </c>
      <c r="G7623" t="s">
        <v>15390</v>
      </c>
      <c r="H7623" t="s">
        <v>20091</v>
      </c>
    </row>
    <row r="7624" spans="6:8">
      <c r="H7624" t="s">
        <v>19712</v>
      </c>
    </row>
    <row r="7625" spans="6:8">
      <c r="H7625" t="s">
        <v>20095</v>
      </c>
    </row>
    <row r="7626" spans="6:8">
      <c r="H7626" t="s">
        <v>20096</v>
      </c>
    </row>
    <row r="7627" spans="6:8">
      <c r="H7627" t="s">
        <v>20097</v>
      </c>
    </row>
    <row r="7628" spans="6:8">
      <c r="H7628" t="s">
        <v>20098</v>
      </c>
    </row>
    <row r="7629" spans="6:8">
      <c r="F7629" t="s">
        <v>11000</v>
      </c>
      <c r="G7629" t="s">
        <v>15391</v>
      </c>
      <c r="H7629" t="s">
        <v>20091</v>
      </c>
    </row>
    <row r="7630" spans="6:8">
      <c r="H7630" t="s">
        <v>19712</v>
      </c>
    </row>
    <row r="7631" spans="6:8">
      <c r="H7631" t="s">
        <v>20095</v>
      </c>
    </row>
    <row r="7632" spans="6:8">
      <c r="H7632" t="s">
        <v>20096</v>
      </c>
    </row>
    <row r="7633" spans="6:8">
      <c r="H7633" t="s">
        <v>20097</v>
      </c>
    </row>
    <row r="7634" spans="6:8">
      <c r="H7634" t="s">
        <v>20098</v>
      </c>
    </row>
    <row r="7635" spans="6:8">
      <c r="F7635" t="s">
        <v>11001</v>
      </c>
      <c r="G7635" t="s">
        <v>15392</v>
      </c>
      <c r="H7635" t="s">
        <v>20091</v>
      </c>
    </row>
    <row r="7636" spans="6:8">
      <c r="H7636" t="s">
        <v>19712</v>
      </c>
    </row>
    <row r="7637" spans="6:8">
      <c r="H7637" t="s">
        <v>20095</v>
      </c>
    </row>
    <row r="7638" spans="6:8">
      <c r="H7638" t="s">
        <v>20096</v>
      </c>
    </row>
    <row r="7639" spans="6:8">
      <c r="H7639" t="s">
        <v>20097</v>
      </c>
    </row>
    <row r="7640" spans="6:8">
      <c r="H7640" t="s">
        <v>20098</v>
      </c>
    </row>
    <row r="7641" spans="6:8">
      <c r="F7641" t="s">
        <v>11002</v>
      </c>
      <c r="G7641" t="s">
        <v>15393</v>
      </c>
      <c r="H7641" t="s">
        <v>20091</v>
      </c>
    </row>
    <row r="7642" spans="6:8">
      <c r="H7642" t="s">
        <v>19712</v>
      </c>
    </row>
    <row r="7643" spans="6:8">
      <c r="H7643" t="s">
        <v>20095</v>
      </c>
    </row>
    <row r="7644" spans="6:8">
      <c r="H7644" t="s">
        <v>20096</v>
      </c>
    </row>
    <row r="7645" spans="6:8">
      <c r="H7645" t="s">
        <v>20097</v>
      </c>
    </row>
    <row r="7646" spans="6:8">
      <c r="H7646" t="s">
        <v>20098</v>
      </c>
    </row>
    <row r="7647" spans="6:8">
      <c r="F7647" t="s">
        <v>11003</v>
      </c>
      <c r="G7647" t="s">
        <v>15394</v>
      </c>
      <c r="H7647" t="s">
        <v>20091</v>
      </c>
    </row>
    <row r="7648" spans="6:8">
      <c r="H7648" t="s">
        <v>19712</v>
      </c>
    </row>
    <row r="7649" spans="6:8">
      <c r="H7649" t="s">
        <v>19709</v>
      </c>
    </row>
    <row r="7650" spans="6:8">
      <c r="H7650" t="s">
        <v>20107</v>
      </c>
    </row>
    <row r="7651" spans="6:8">
      <c r="H7651" t="s">
        <v>20108</v>
      </c>
    </row>
    <row r="7652" spans="6:8">
      <c r="H7652" t="s">
        <v>19713</v>
      </c>
    </row>
    <row r="7653" spans="6:8">
      <c r="H7653" t="s">
        <v>19714</v>
      </c>
    </row>
    <row r="7654" spans="6:8">
      <c r="H7654" t="s">
        <v>20109</v>
      </c>
    </row>
    <row r="7655" spans="6:8">
      <c r="H7655" t="s">
        <v>20110</v>
      </c>
    </row>
    <row r="7656" spans="6:8">
      <c r="H7656" t="s">
        <v>20111</v>
      </c>
    </row>
    <row r="7657" spans="6:8">
      <c r="H7657" t="s">
        <v>20112</v>
      </c>
    </row>
    <row r="7658" spans="6:8">
      <c r="H7658" t="s">
        <v>20095</v>
      </c>
    </row>
    <row r="7659" spans="6:8">
      <c r="H7659" t="s">
        <v>20096</v>
      </c>
    </row>
    <row r="7660" spans="6:8">
      <c r="H7660" t="s">
        <v>20097</v>
      </c>
    </row>
    <row r="7661" spans="6:8">
      <c r="H7661" t="s">
        <v>20098</v>
      </c>
    </row>
    <row r="7662" spans="6:8">
      <c r="F7662" t="s">
        <v>11004</v>
      </c>
      <c r="G7662" t="s">
        <v>15395</v>
      </c>
      <c r="H7662" t="s">
        <v>20091</v>
      </c>
    </row>
    <row r="7663" spans="6:8">
      <c r="H7663" t="s">
        <v>19712</v>
      </c>
    </row>
    <row r="7664" spans="6:8">
      <c r="H7664" t="s">
        <v>19709</v>
      </c>
    </row>
    <row r="7665" spans="6:8">
      <c r="H7665" t="s">
        <v>19706</v>
      </c>
    </row>
    <row r="7666" spans="6:8">
      <c r="H7666" t="s">
        <v>20107</v>
      </c>
    </row>
    <row r="7667" spans="6:8">
      <c r="H7667" t="s">
        <v>20108</v>
      </c>
    </row>
    <row r="7668" spans="6:8">
      <c r="H7668" t="s">
        <v>19713</v>
      </c>
    </row>
    <row r="7669" spans="6:8">
      <c r="H7669" t="s">
        <v>19714</v>
      </c>
    </row>
    <row r="7670" spans="6:8">
      <c r="H7670" t="s">
        <v>20109</v>
      </c>
    </row>
    <row r="7671" spans="6:8">
      <c r="H7671" t="s">
        <v>20095</v>
      </c>
    </row>
    <row r="7672" spans="6:8">
      <c r="H7672" t="s">
        <v>20096</v>
      </c>
    </row>
    <row r="7673" spans="6:8">
      <c r="H7673" t="s">
        <v>20097</v>
      </c>
    </row>
    <row r="7674" spans="6:8">
      <c r="H7674" t="s">
        <v>20098</v>
      </c>
    </row>
    <row r="7675" spans="6:8">
      <c r="F7675" t="s">
        <v>11005</v>
      </c>
      <c r="G7675" t="s">
        <v>15396</v>
      </c>
      <c r="H7675" t="s">
        <v>20091</v>
      </c>
    </row>
    <row r="7676" spans="6:8">
      <c r="H7676" t="s">
        <v>19712</v>
      </c>
    </row>
    <row r="7677" spans="6:8">
      <c r="H7677" t="s">
        <v>19709</v>
      </c>
    </row>
    <row r="7678" spans="6:8">
      <c r="H7678" t="s">
        <v>20107</v>
      </c>
    </row>
    <row r="7679" spans="6:8">
      <c r="H7679" t="s">
        <v>20108</v>
      </c>
    </row>
    <row r="7680" spans="6:8">
      <c r="H7680" t="s">
        <v>19713</v>
      </c>
    </row>
    <row r="7681" spans="6:8">
      <c r="H7681" t="s">
        <v>19714</v>
      </c>
    </row>
    <row r="7682" spans="6:8">
      <c r="H7682" t="s">
        <v>20109</v>
      </c>
    </row>
    <row r="7683" spans="6:8">
      <c r="H7683" t="s">
        <v>20110</v>
      </c>
    </row>
    <row r="7684" spans="6:8">
      <c r="H7684" t="s">
        <v>20111</v>
      </c>
    </row>
    <row r="7685" spans="6:8">
      <c r="H7685" t="s">
        <v>20112</v>
      </c>
    </row>
    <row r="7686" spans="6:8">
      <c r="H7686" t="s">
        <v>20113</v>
      </c>
    </row>
    <row r="7687" spans="6:8">
      <c r="H7687" t="s">
        <v>20095</v>
      </c>
    </row>
    <row r="7688" spans="6:8">
      <c r="H7688" t="s">
        <v>20096</v>
      </c>
    </row>
    <row r="7689" spans="6:8">
      <c r="H7689" t="s">
        <v>20097</v>
      </c>
    </row>
    <row r="7690" spans="6:8">
      <c r="H7690" t="s">
        <v>20098</v>
      </c>
    </row>
    <row r="7691" spans="6:8">
      <c r="F7691" t="s">
        <v>11006</v>
      </c>
      <c r="G7691" t="s">
        <v>15397</v>
      </c>
      <c r="H7691" t="s">
        <v>20091</v>
      </c>
    </row>
    <row r="7692" spans="6:8">
      <c r="H7692" t="s">
        <v>19712</v>
      </c>
    </row>
    <row r="7693" spans="6:8">
      <c r="H7693" t="s">
        <v>19709</v>
      </c>
    </row>
    <row r="7694" spans="6:8">
      <c r="H7694" t="s">
        <v>20092</v>
      </c>
    </row>
    <row r="7695" spans="6:8">
      <c r="H7695" t="s">
        <v>20093</v>
      </c>
    </row>
    <row r="7696" spans="6:8">
      <c r="H7696" t="s">
        <v>20095</v>
      </c>
    </row>
    <row r="7697" spans="6:8">
      <c r="H7697" t="s">
        <v>20096</v>
      </c>
    </row>
    <row r="7698" spans="6:8">
      <c r="H7698" t="s">
        <v>20097</v>
      </c>
    </row>
    <row r="7699" spans="6:8">
      <c r="H7699" t="s">
        <v>20098</v>
      </c>
    </row>
    <row r="7700" spans="6:8">
      <c r="H7700" t="s">
        <v>20099</v>
      </c>
    </row>
    <row r="7701" spans="6:8">
      <c r="H7701" t="s">
        <v>20100</v>
      </c>
    </row>
    <row r="7702" spans="6:8">
      <c r="F7702" t="s">
        <v>11007</v>
      </c>
      <c r="G7702" t="s">
        <v>15398</v>
      </c>
      <c r="H7702" t="s">
        <v>20091</v>
      </c>
    </row>
    <row r="7703" spans="6:8">
      <c r="H7703" t="s">
        <v>19712</v>
      </c>
    </row>
    <row r="7704" spans="6:8">
      <c r="H7704" t="s">
        <v>20095</v>
      </c>
    </row>
    <row r="7705" spans="6:8">
      <c r="H7705" t="s">
        <v>20096</v>
      </c>
    </row>
    <row r="7706" spans="6:8">
      <c r="H7706" t="s">
        <v>20097</v>
      </c>
    </row>
    <row r="7707" spans="6:8">
      <c r="H7707" t="s">
        <v>19709</v>
      </c>
    </row>
    <row r="7708" spans="6:8">
      <c r="H7708" t="s">
        <v>19706</v>
      </c>
    </row>
    <row r="7709" spans="6:8">
      <c r="H7709" t="s">
        <v>20098</v>
      </c>
    </row>
    <row r="7710" spans="6:8">
      <c r="H7710" t="s">
        <v>20099</v>
      </c>
    </row>
    <row r="7711" spans="6:8">
      <c r="H7711" t="s">
        <v>20100</v>
      </c>
    </row>
    <row r="7712" spans="6:8">
      <c r="F7712" t="s">
        <v>11008</v>
      </c>
      <c r="G7712" t="s">
        <v>15399</v>
      </c>
      <c r="H7712" t="s">
        <v>20091</v>
      </c>
    </row>
    <row r="7713" spans="6:8">
      <c r="H7713" t="s">
        <v>19712</v>
      </c>
    </row>
    <row r="7714" spans="6:8">
      <c r="H7714" t="s">
        <v>20095</v>
      </c>
    </row>
    <row r="7715" spans="6:8">
      <c r="H7715" t="s">
        <v>20096</v>
      </c>
    </row>
    <row r="7716" spans="6:8">
      <c r="H7716" t="s">
        <v>20097</v>
      </c>
    </row>
    <row r="7717" spans="6:8">
      <c r="F7717" t="s">
        <v>11009</v>
      </c>
      <c r="G7717" t="s">
        <v>15400</v>
      </c>
      <c r="H7717" t="s">
        <v>20091</v>
      </c>
    </row>
    <row r="7718" spans="6:8">
      <c r="H7718" t="s">
        <v>19712</v>
      </c>
    </row>
    <row r="7719" spans="6:8">
      <c r="H7719" t="s">
        <v>20095</v>
      </c>
    </row>
    <row r="7720" spans="6:8">
      <c r="H7720" t="s">
        <v>20096</v>
      </c>
    </row>
    <row r="7721" spans="6:8">
      <c r="H7721" t="s">
        <v>20097</v>
      </c>
    </row>
    <row r="7722" spans="6:8">
      <c r="F7722" t="s">
        <v>11010</v>
      </c>
      <c r="G7722" t="s">
        <v>15401</v>
      </c>
      <c r="H7722" t="s">
        <v>20091</v>
      </c>
    </row>
    <row r="7723" spans="6:8">
      <c r="H7723" t="s">
        <v>19712</v>
      </c>
    </row>
    <row r="7724" spans="6:8">
      <c r="H7724" t="s">
        <v>20095</v>
      </c>
    </row>
    <row r="7725" spans="6:8">
      <c r="H7725" t="s">
        <v>20096</v>
      </c>
    </row>
    <row r="7726" spans="6:8">
      <c r="H7726" t="s">
        <v>20097</v>
      </c>
    </row>
    <row r="7727" spans="6:8">
      <c r="F7727" t="s">
        <v>11011</v>
      </c>
      <c r="G7727" t="s">
        <v>15402</v>
      </c>
      <c r="H7727" t="s">
        <v>20091</v>
      </c>
    </row>
    <row r="7728" spans="6:8">
      <c r="H7728" t="s">
        <v>19712</v>
      </c>
    </row>
    <row r="7729" spans="6:8">
      <c r="H7729" t="s">
        <v>20095</v>
      </c>
    </row>
    <row r="7730" spans="6:8">
      <c r="H7730" t="s">
        <v>20096</v>
      </c>
    </row>
    <row r="7731" spans="6:8">
      <c r="H7731" t="s">
        <v>20097</v>
      </c>
    </row>
    <row r="7732" spans="6:8">
      <c r="F7732" t="s">
        <v>11012</v>
      </c>
      <c r="G7732" t="s">
        <v>15403</v>
      </c>
      <c r="H7732" t="s">
        <v>20091</v>
      </c>
    </row>
    <row r="7733" spans="6:8">
      <c r="H7733" t="s">
        <v>19712</v>
      </c>
    </row>
    <row r="7734" spans="6:8">
      <c r="H7734" t="s">
        <v>19709</v>
      </c>
    </row>
    <row r="7735" spans="6:8">
      <c r="H7735" t="s">
        <v>20107</v>
      </c>
    </row>
    <row r="7736" spans="6:8">
      <c r="H7736" t="s">
        <v>20108</v>
      </c>
    </row>
    <row r="7737" spans="6:8">
      <c r="H7737" t="s">
        <v>19713</v>
      </c>
    </row>
    <row r="7738" spans="6:8">
      <c r="H7738" t="s">
        <v>19714</v>
      </c>
    </row>
    <row r="7739" spans="6:8">
      <c r="H7739" t="s">
        <v>20109</v>
      </c>
    </row>
    <row r="7740" spans="6:8">
      <c r="H7740" t="s">
        <v>20110</v>
      </c>
    </row>
    <row r="7741" spans="6:8">
      <c r="H7741" t="s">
        <v>20111</v>
      </c>
    </row>
    <row r="7742" spans="6:8">
      <c r="H7742" t="s">
        <v>20112</v>
      </c>
    </row>
    <row r="7743" spans="6:8">
      <c r="H7743" t="s">
        <v>20113</v>
      </c>
    </row>
    <row r="7744" spans="6:8">
      <c r="H7744" t="s">
        <v>20114</v>
      </c>
    </row>
    <row r="7745" spans="6:8">
      <c r="H7745" t="s">
        <v>20095</v>
      </c>
    </row>
    <row r="7746" spans="6:8">
      <c r="H7746" t="s">
        <v>20096</v>
      </c>
    </row>
    <row r="7747" spans="6:8">
      <c r="H7747" t="s">
        <v>20097</v>
      </c>
    </row>
    <row r="7748" spans="6:8">
      <c r="H7748" t="s">
        <v>20098</v>
      </c>
    </row>
    <row r="7749" spans="6:8">
      <c r="F7749" t="s">
        <v>11013</v>
      </c>
      <c r="G7749" t="s">
        <v>15404</v>
      </c>
      <c r="H7749" t="s">
        <v>20091</v>
      </c>
    </row>
    <row r="7750" spans="6:8">
      <c r="H7750" t="s">
        <v>19712</v>
      </c>
    </row>
    <row r="7751" spans="6:8">
      <c r="H7751" t="s">
        <v>19709</v>
      </c>
    </row>
    <row r="7752" spans="6:8">
      <c r="H7752" t="s">
        <v>20095</v>
      </c>
    </row>
    <row r="7753" spans="6:8">
      <c r="H7753" t="s">
        <v>20096</v>
      </c>
    </row>
    <row r="7754" spans="6:8">
      <c r="H7754" t="s">
        <v>20097</v>
      </c>
    </row>
    <row r="7755" spans="6:8">
      <c r="H7755" t="s">
        <v>20098</v>
      </c>
    </row>
    <row r="7756" spans="6:8">
      <c r="F7756" t="s">
        <v>11014</v>
      </c>
      <c r="G7756" t="s">
        <v>15405</v>
      </c>
      <c r="H7756" t="s">
        <v>20091</v>
      </c>
    </row>
    <row r="7757" spans="6:8">
      <c r="H7757" t="s">
        <v>19712</v>
      </c>
    </row>
    <row r="7758" spans="6:8">
      <c r="H7758" t="s">
        <v>19709</v>
      </c>
    </row>
    <row r="7759" spans="6:8">
      <c r="H7759" t="s">
        <v>19706</v>
      </c>
    </row>
    <row r="7760" spans="6:8">
      <c r="H7760" t="s">
        <v>20095</v>
      </c>
    </row>
    <row r="7761" spans="6:8">
      <c r="H7761" t="s">
        <v>20098</v>
      </c>
    </row>
    <row r="7762" spans="6:8">
      <c r="F7762" t="s">
        <v>11015</v>
      </c>
      <c r="G7762" t="s">
        <v>15406</v>
      </c>
      <c r="H7762" t="s">
        <v>20091</v>
      </c>
    </row>
    <row r="7763" spans="6:8">
      <c r="H7763" t="s">
        <v>19712</v>
      </c>
    </row>
    <row r="7764" spans="6:8">
      <c r="H7764" t="s">
        <v>19709</v>
      </c>
    </row>
    <row r="7765" spans="6:8">
      <c r="H7765" t="s">
        <v>19706</v>
      </c>
    </row>
    <row r="7766" spans="6:8">
      <c r="H7766" t="s">
        <v>20095</v>
      </c>
    </row>
    <row r="7767" spans="6:8">
      <c r="H7767" t="s">
        <v>20098</v>
      </c>
    </row>
    <row r="7768" spans="6:8">
      <c r="F7768" t="s">
        <v>11016</v>
      </c>
      <c r="G7768" t="s">
        <v>15407</v>
      </c>
      <c r="H7768" t="s">
        <v>20091</v>
      </c>
    </row>
    <row r="7769" spans="6:8">
      <c r="H7769" t="s">
        <v>19712</v>
      </c>
    </row>
    <row r="7770" spans="6:8">
      <c r="H7770" t="s">
        <v>19709</v>
      </c>
    </row>
    <row r="7771" spans="6:8">
      <c r="H7771" t="s">
        <v>19706</v>
      </c>
    </row>
    <row r="7772" spans="6:8">
      <c r="H7772" t="s">
        <v>19707</v>
      </c>
    </row>
    <row r="7773" spans="6:8">
      <c r="H7773" t="s">
        <v>20095</v>
      </c>
    </row>
    <row r="7774" spans="6:8">
      <c r="H7774" t="s">
        <v>20098</v>
      </c>
    </row>
    <row r="7775" spans="6:8">
      <c r="F7775" t="s">
        <v>11017</v>
      </c>
      <c r="G7775" t="s">
        <v>15408</v>
      </c>
      <c r="H7775" t="s">
        <v>20091</v>
      </c>
    </row>
    <row r="7776" spans="6:8">
      <c r="H7776" t="s">
        <v>19712</v>
      </c>
    </row>
    <row r="7777" spans="6:8">
      <c r="H7777" t="s">
        <v>19709</v>
      </c>
    </row>
    <row r="7778" spans="6:8">
      <c r="H7778" t="s">
        <v>19706</v>
      </c>
    </row>
    <row r="7779" spans="6:8">
      <c r="H7779" t="s">
        <v>20095</v>
      </c>
    </row>
    <row r="7780" spans="6:8">
      <c r="H7780" t="s">
        <v>20096</v>
      </c>
    </row>
    <row r="7781" spans="6:8">
      <c r="H7781" t="s">
        <v>20097</v>
      </c>
    </row>
    <row r="7782" spans="6:8">
      <c r="H7782" t="s">
        <v>20098</v>
      </c>
    </row>
    <row r="7783" spans="6:8">
      <c r="F7783" t="s">
        <v>11018</v>
      </c>
      <c r="G7783" t="s">
        <v>15409</v>
      </c>
      <c r="H7783" t="s">
        <v>20091</v>
      </c>
    </row>
    <row r="7784" spans="6:8">
      <c r="H7784" t="s">
        <v>19712</v>
      </c>
    </row>
    <row r="7785" spans="6:8">
      <c r="H7785" t="s">
        <v>19709</v>
      </c>
    </row>
    <row r="7786" spans="6:8">
      <c r="H7786" t="s">
        <v>20095</v>
      </c>
    </row>
    <row r="7787" spans="6:8">
      <c r="H7787" t="s">
        <v>20096</v>
      </c>
    </row>
    <row r="7788" spans="6:8">
      <c r="H7788" t="s">
        <v>20097</v>
      </c>
    </row>
    <row r="7789" spans="6:8">
      <c r="H7789" t="s">
        <v>20098</v>
      </c>
    </row>
    <row r="7790" spans="6:8">
      <c r="F7790" t="s">
        <v>11019</v>
      </c>
      <c r="G7790" t="s">
        <v>15410</v>
      </c>
      <c r="H7790" t="s">
        <v>20091</v>
      </c>
    </row>
    <row r="7791" spans="6:8">
      <c r="H7791" t="s">
        <v>19712</v>
      </c>
    </row>
    <row r="7792" spans="6:8">
      <c r="H7792" t="s">
        <v>19709</v>
      </c>
    </row>
    <row r="7793" spans="6:8">
      <c r="H7793" t="s">
        <v>20107</v>
      </c>
    </row>
    <row r="7794" spans="6:8">
      <c r="H7794" t="s">
        <v>20108</v>
      </c>
    </row>
    <row r="7795" spans="6:8">
      <c r="H7795" t="s">
        <v>19713</v>
      </c>
    </row>
    <row r="7796" spans="6:8">
      <c r="H7796" t="s">
        <v>19714</v>
      </c>
    </row>
    <row r="7797" spans="6:8">
      <c r="H7797" t="s">
        <v>20109</v>
      </c>
    </row>
    <row r="7798" spans="6:8">
      <c r="H7798" t="s">
        <v>20110</v>
      </c>
    </row>
    <row r="7799" spans="6:8">
      <c r="H7799" t="s">
        <v>20095</v>
      </c>
    </row>
    <row r="7800" spans="6:8">
      <c r="H7800" t="s">
        <v>20096</v>
      </c>
    </row>
    <row r="7801" spans="6:8">
      <c r="H7801" t="s">
        <v>20097</v>
      </c>
    </row>
    <row r="7802" spans="6:8">
      <c r="H7802" t="s">
        <v>20098</v>
      </c>
    </row>
    <row r="7803" spans="6:8">
      <c r="H7803" t="s">
        <v>20099</v>
      </c>
    </row>
    <row r="7804" spans="6:8">
      <c r="F7804" t="s">
        <v>11020</v>
      </c>
      <c r="G7804" t="s">
        <v>15411</v>
      </c>
      <c r="H7804" t="s">
        <v>20091</v>
      </c>
    </row>
    <row r="7805" spans="6:8">
      <c r="H7805" t="s">
        <v>19712</v>
      </c>
    </row>
    <row r="7806" spans="6:8">
      <c r="H7806" t="s">
        <v>19709</v>
      </c>
    </row>
    <row r="7807" spans="6:8">
      <c r="H7807" t="s">
        <v>20107</v>
      </c>
    </row>
    <row r="7808" spans="6:8">
      <c r="H7808" t="s">
        <v>20108</v>
      </c>
    </row>
    <row r="7809" spans="6:8">
      <c r="H7809" t="s">
        <v>19713</v>
      </c>
    </row>
    <row r="7810" spans="6:8">
      <c r="H7810" t="s">
        <v>19714</v>
      </c>
    </row>
    <row r="7811" spans="6:8">
      <c r="H7811" t="s">
        <v>20109</v>
      </c>
    </row>
    <row r="7812" spans="6:8">
      <c r="H7812" t="s">
        <v>20110</v>
      </c>
    </row>
    <row r="7813" spans="6:8">
      <c r="H7813" t="s">
        <v>20095</v>
      </c>
    </row>
    <row r="7814" spans="6:8">
      <c r="H7814" t="s">
        <v>20096</v>
      </c>
    </row>
    <row r="7815" spans="6:8">
      <c r="H7815" t="s">
        <v>20097</v>
      </c>
    </row>
    <row r="7816" spans="6:8">
      <c r="H7816" t="s">
        <v>20098</v>
      </c>
    </row>
    <row r="7817" spans="6:8">
      <c r="F7817" t="s">
        <v>11021</v>
      </c>
      <c r="G7817" t="s">
        <v>15412</v>
      </c>
      <c r="H7817" t="s">
        <v>20091</v>
      </c>
    </row>
    <row r="7818" spans="6:8">
      <c r="H7818" t="s">
        <v>19712</v>
      </c>
    </row>
    <row r="7819" spans="6:8">
      <c r="H7819" t="s">
        <v>19709</v>
      </c>
    </row>
    <row r="7820" spans="6:8">
      <c r="H7820" t="s">
        <v>20107</v>
      </c>
    </row>
    <row r="7821" spans="6:8">
      <c r="H7821" t="s">
        <v>20108</v>
      </c>
    </row>
    <row r="7822" spans="6:8">
      <c r="H7822" t="s">
        <v>19713</v>
      </c>
    </row>
    <row r="7823" spans="6:8">
      <c r="H7823" t="s">
        <v>19714</v>
      </c>
    </row>
    <row r="7824" spans="6:8">
      <c r="H7824" t="s">
        <v>20109</v>
      </c>
    </row>
    <row r="7825" spans="6:8">
      <c r="H7825" t="s">
        <v>20110</v>
      </c>
    </row>
    <row r="7826" spans="6:8">
      <c r="H7826" t="s">
        <v>20095</v>
      </c>
    </row>
    <row r="7827" spans="6:8">
      <c r="H7827" t="s">
        <v>20096</v>
      </c>
    </row>
    <row r="7828" spans="6:8">
      <c r="H7828" t="s">
        <v>20097</v>
      </c>
    </row>
    <row r="7829" spans="6:8">
      <c r="H7829" t="s">
        <v>20098</v>
      </c>
    </row>
    <row r="7830" spans="6:8">
      <c r="H7830" t="s">
        <v>20099</v>
      </c>
    </row>
    <row r="7831" spans="6:8">
      <c r="F7831" t="s">
        <v>11022</v>
      </c>
      <c r="G7831" t="s">
        <v>15413</v>
      </c>
      <c r="H7831" t="s">
        <v>20091</v>
      </c>
    </row>
    <row r="7832" spans="6:8">
      <c r="H7832" t="s">
        <v>19712</v>
      </c>
    </row>
    <row r="7833" spans="6:8">
      <c r="H7833" t="s">
        <v>19709</v>
      </c>
    </row>
    <row r="7834" spans="6:8">
      <c r="H7834" t="s">
        <v>20107</v>
      </c>
    </row>
    <row r="7835" spans="6:8">
      <c r="H7835" t="s">
        <v>20108</v>
      </c>
    </row>
    <row r="7836" spans="6:8">
      <c r="H7836" t="s">
        <v>19713</v>
      </c>
    </row>
    <row r="7837" spans="6:8">
      <c r="H7837" t="s">
        <v>19714</v>
      </c>
    </row>
    <row r="7838" spans="6:8">
      <c r="H7838" t="s">
        <v>20109</v>
      </c>
    </row>
    <row r="7839" spans="6:8">
      <c r="H7839" t="s">
        <v>20110</v>
      </c>
    </row>
    <row r="7840" spans="6:8">
      <c r="H7840" t="s">
        <v>20111</v>
      </c>
    </row>
    <row r="7841" spans="6:8">
      <c r="H7841" t="s">
        <v>20112</v>
      </c>
    </row>
    <row r="7842" spans="6:8">
      <c r="H7842" t="s">
        <v>20113</v>
      </c>
    </row>
    <row r="7843" spans="6:8">
      <c r="H7843" t="s">
        <v>20095</v>
      </c>
    </row>
    <row r="7844" spans="6:8">
      <c r="H7844" t="s">
        <v>20096</v>
      </c>
    </row>
    <row r="7845" spans="6:8">
      <c r="H7845" t="s">
        <v>20097</v>
      </c>
    </row>
    <row r="7846" spans="6:8">
      <c r="H7846" t="s">
        <v>20098</v>
      </c>
    </row>
    <row r="7847" spans="6:8">
      <c r="F7847" t="s">
        <v>11023</v>
      </c>
      <c r="G7847" t="s">
        <v>15414</v>
      </c>
      <c r="H7847" t="s">
        <v>20091</v>
      </c>
    </row>
    <row r="7848" spans="6:8">
      <c r="H7848" t="s">
        <v>19712</v>
      </c>
    </row>
    <row r="7849" spans="6:8">
      <c r="H7849" t="s">
        <v>20092</v>
      </c>
    </row>
    <row r="7850" spans="6:8">
      <c r="H7850" t="s">
        <v>20093</v>
      </c>
    </row>
    <row r="7851" spans="6:8">
      <c r="H7851" t="s">
        <v>20094</v>
      </c>
    </row>
    <row r="7852" spans="6:8">
      <c r="H7852" t="s">
        <v>20095</v>
      </c>
    </row>
    <row r="7853" spans="6:8">
      <c r="H7853" t="s">
        <v>20096</v>
      </c>
    </row>
    <row r="7854" spans="6:8">
      <c r="H7854" t="s">
        <v>20097</v>
      </c>
    </row>
    <row r="7855" spans="6:8">
      <c r="H7855" t="s">
        <v>20098</v>
      </c>
    </row>
    <row r="7856" spans="6:8">
      <c r="H7856" t="s">
        <v>20099</v>
      </c>
    </row>
    <row r="7857" spans="6:8">
      <c r="H7857" t="s">
        <v>20100</v>
      </c>
    </row>
    <row r="7858" spans="6:8">
      <c r="H7858" t="s">
        <v>20101</v>
      </c>
    </row>
    <row r="7859" spans="6:8">
      <c r="H7859" t="s">
        <v>20102</v>
      </c>
    </row>
    <row r="7860" spans="6:8">
      <c r="F7860" t="s">
        <v>11024</v>
      </c>
      <c r="G7860" t="s">
        <v>15415</v>
      </c>
      <c r="H7860" t="s">
        <v>20091</v>
      </c>
    </row>
    <row r="7861" spans="6:8">
      <c r="H7861" t="s">
        <v>19712</v>
      </c>
    </row>
    <row r="7862" spans="6:8">
      <c r="H7862" t="s">
        <v>20092</v>
      </c>
    </row>
    <row r="7863" spans="6:8">
      <c r="H7863" t="s">
        <v>20093</v>
      </c>
    </row>
    <row r="7864" spans="6:8">
      <c r="H7864" t="s">
        <v>20094</v>
      </c>
    </row>
    <row r="7865" spans="6:8">
      <c r="H7865" t="s">
        <v>20095</v>
      </c>
    </row>
    <row r="7866" spans="6:8">
      <c r="H7866" t="s">
        <v>20096</v>
      </c>
    </row>
    <row r="7867" spans="6:8">
      <c r="H7867" t="s">
        <v>20097</v>
      </c>
    </row>
    <row r="7868" spans="6:8">
      <c r="H7868" t="s">
        <v>20098</v>
      </c>
    </row>
    <row r="7869" spans="6:8">
      <c r="H7869" t="s">
        <v>20099</v>
      </c>
    </row>
    <row r="7870" spans="6:8">
      <c r="H7870" t="s">
        <v>20100</v>
      </c>
    </row>
    <row r="7871" spans="6:8">
      <c r="H7871" t="s">
        <v>20101</v>
      </c>
    </row>
    <row r="7872" spans="6:8">
      <c r="H7872" t="s">
        <v>20102</v>
      </c>
    </row>
    <row r="7873" spans="6:8">
      <c r="F7873" t="s">
        <v>11025</v>
      </c>
      <c r="G7873" t="s">
        <v>15416</v>
      </c>
      <c r="H7873" t="s">
        <v>20091</v>
      </c>
    </row>
    <row r="7874" spans="6:8">
      <c r="H7874" t="s">
        <v>19712</v>
      </c>
    </row>
    <row r="7875" spans="6:8">
      <c r="H7875" t="s">
        <v>19709</v>
      </c>
    </row>
    <row r="7876" spans="6:8">
      <c r="H7876" t="s">
        <v>20107</v>
      </c>
    </row>
    <row r="7877" spans="6:8">
      <c r="H7877" t="s">
        <v>20108</v>
      </c>
    </row>
    <row r="7878" spans="6:8">
      <c r="H7878" t="s">
        <v>19713</v>
      </c>
    </row>
    <row r="7879" spans="6:8">
      <c r="H7879" t="s">
        <v>19714</v>
      </c>
    </row>
    <row r="7880" spans="6:8">
      <c r="H7880" t="s">
        <v>20109</v>
      </c>
    </row>
    <row r="7881" spans="6:8">
      <c r="H7881" t="s">
        <v>20095</v>
      </c>
    </row>
    <row r="7882" spans="6:8">
      <c r="H7882" t="s">
        <v>20096</v>
      </c>
    </row>
    <row r="7883" spans="6:8">
      <c r="H7883" t="s">
        <v>20097</v>
      </c>
    </row>
    <row r="7884" spans="6:8">
      <c r="H7884" t="s">
        <v>20098</v>
      </c>
    </row>
    <row r="7885" spans="6:8">
      <c r="F7885" t="s">
        <v>11026</v>
      </c>
      <c r="G7885" t="s">
        <v>15417</v>
      </c>
      <c r="H7885" t="s">
        <v>20091</v>
      </c>
    </row>
    <row r="7886" spans="6:8">
      <c r="H7886" t="s">
        <v>19712</v>
      </c>
    </row>
    <row r="7887" spans="6:8">
      <c r="H7887" t="s">
        <v>19709</v>
      </c>
    </row>
    <row r="7888" spans="6:8">
      <c r="H7888" t="s">
        <v>20107</v>
      </c>
    </row>
    <row r="7889" spans="6:8">
      <c r="H7889" t="s">
        <v>20108</v>
      </c>
    </row>
    <row r="7890" spans="6:8">
      <c r="H7890" t="s">
        <v>19713</v>
      </c>
    </row>
    <row r="7891" spans="6:8">
      <c r="H7891" t="s">
        <v>19714</v>
      </c>
    </row>
    <row r="7892" spans="6:8">
      <c r="H7892" t="s">
        <v>20109</v>
      </c>
    </row>
    <row r="7893" spans="6:8">
      <c r="H7893" t="s">
        <v>20095</v>
      </c>
    </row>
    <row r="7894" spans="6:8">
      <c r="H7894" t="s">
        <v>20096</v>
      </c>
    </row>
    <row r="7895" spans="6:8">
      <c r="H7895" t="s">
        <v>20097</v>
      </c>
    </row>
    <row r="7896" spans="6:8">
      <c r="H7896" t="s">
        <v>20098</v>
      </c>
    </row>
    <row r="7897" spans="6:8">
      <c r="F7897" t="s">
        <v>11027</v>
      </c>
      <c r="G7897" t="s">
        <v>15418</v>
      </c>
      <c r="H7897" t="s">
        <v>20091</v>
      </c>
    </row>
    <row r="7898" spans="6:8">
      <c r="H7898" t="s">
        <v>20095</v>
      </c>
    </row>
    <row r="7899" spans="6:8">
      <c r="F7899" t="s">
        <v>11028</v>
      </c>
      <c r="G7899" t="s">
        <v>15419</v>
      </c>
      <c r="H7899" t="s">
        <v>20091</v>
      </c>
    </row>
    <row r="7900" spans="6:8">
      <c r="H7900" t="s">
        <v>20095</v>
      </c>
    </row>
    <row r="7901" spans="6:8">
      <c r="F7901" t="s">
        <v>11029</v>
      </c>
      <c r="G7901" t="s">
        <v>15420</v>
      </c>
      <c r="H7901" t="s">
        <v>20091</v>
      </c>
    </row>
    <row r="7902" spans="6:8">
      <c r="H7902" t="s">
        <v>20095</v>
      </c>
    </row>
    <row r="7903" spans="6:8">
      <c r="F7903" t="s">
        <v>11030</v>
      </c>
      <c r="G7903" t="s">
        <v>15421</v>
      </c>
      <c r="H7903" t="s">
        <v>20091</v>
      </c>
    </row>
    <row r="7904" spans="6:8">
      <c r="H7904" t="s">
        <v>19712</v>
      </c>
    </row>
    <row r="7905" spans="6:8">
      <c r="H7905" t="s">
        <v>19709</v>
      </c>
    </row>
    <row r="7906" spans="6:8">
      <c r="H7906" t="s">
        <v>20107</v>
      </c>
    </row>
    <row r="7907" spans="6:8">
      <c r="H7907" t="s">
        <v>20108</v>
      </c>
    </row>
    <row r="7908" spans="6:8">
      <c r="H7908" t="s">
        <v>19713</v>
      </c>
    </row>
    <row r="7909" spans="6:8">
      <c r="H7909" t="s">
        <v>19714</v>
      </c>
    </row>
    <row r="7910" spans="6:8">
      <c r="H7910" t="s">
        <v>20109</v>
      </c>
    </row>
    <row r="7911" spans="6:8">
      <c r="H7911" t="s">
        <v>20110</v>
      </c>
    </row>
    <row r="7912" spans="6:8">
      <c r="H7912" t="s">
        <v>20111</v>
      </c>
    </row>
    <row r="7913" spans="6:8">
      <c r="H7913" t="s">
        <v>20112</v>
      </c>
    </row>
    <row r="7914" spans="6:8">
      <c r="H7914" t="s">
        <v>20113</v>
      </c>
    </row>
    <row r="7915" spans="6:8">
      <c r="H7915" t="s">
        <v>20095</v>
      </c>
    </row>
    <row r="7916" spans="6:8">
      <c r="H7916" t="s">
        <v>20096</v>
      </c>
    </row>
    <row r="7917" spans="6:8">
      <c r="H7917" t="s">
        <v>20097</v>
      </c>
    </row>
    <row r="7918" spans="6:8">
      <c r="H7918" t="s">
        <v>20098</v>
      </c>
    </row>
    <row r="7919" spans="6:8">
      <c r="F7919" t="s">
        <v>11031</v>
      </c>
      <c r="G7919" t="s">
        <v>15422</v>
      </c>
      <c r="H7919" t="s">
        <v>20091</v>
      </c>
    </row>
    <row r="7920" spans="6:8">
      <c r="H7920" t="s">
        <v>19712</v>
      </c>
    </row>
    <row r="7921" spans="6:8">
      <c r="H7921" t="s">
        <v>20095</v>
      </c>
    </row>
    <row r="7922" spans="6:8">
      <c r="H7922" t="s">
        <v>20096</v>
      </c>
    </row>
    <row r="7923" spans="6:8">
      <c r="H7923" t="s">
        <v>20097</v>
      </c>
    </row>
    <row r="7924" spans="6:8">
      <c r="H7924" t="s">
        <v>20098</v>
      </c>
    </row>
    <row r="7925" spans="6:8">
      <c r="H7925" t="s">
        <v>19709</v>
      </c>
    </row>
    <row r="7926" spans="6:8">
      <c r="H7926" t="s">
        <v>19706</v>
      </c>
    </row>
    <row r="7927" spans="6:8">
      <c r="H7927" t="s">
        <v>20099</v>
      </c>
    </row>
    <row r="7928" spans="6:8">
      <c r="H7928" t="s">
        <v>20100</v>
      </c>
    </row>
    <row r="7929" spans="6:8">
      <c r="H7929" t="s">
        <v>20101</v>
      </c>
    </row>
    <row r="7930" spans="6:8">
      <c r="H7930" t="s">
        <v>20102</v>
      </c>
    </row>
    <row r="7931" spans="6:8">
      <c r="F7931" t="s">
        <v>11032</v>
      </c>
      <c r="G7931" t="s">
        <v>15423</v>
      </c>
      <c r="H7931" t="s">
        <v>20091</v>
      </c>
    </row>
    <row r="7932" spans="6:8">
      <c r="H7932" t="s">
        <v>19712</v>
      </c>
    </row>
    <row r="7933" spans="6:8">
      <c r="H7933" t="s">
        <v>20095</v>
      </c>
    </row>
    <row r="7934" spans="6:8">
      <c r="H7934" t="s">
        <v>20096</v>
      </c>
    </row>
    <row r="7935" spans="6:8">
      <c r="H7935" t="s">
        <v>20097</v>
      </c>
    </row>
    <row r="7936" spans="6:8">
      <c r="H7936" t="s">
        <v>20098</v>
      </c>
    </row>
    <row r="7937" spans="6:8">
      <c r="F7937" t="s">
        <v>11033</v>
      </c>
      <c r="G7937" t="s">
        <v>15424</v>
      </c>
      <c r="H7937" t="s">
        <v>20091</v>
      </c>
    </row>
    <row r="7938" spans="6:8">
      <c r="H7938" t="s">
        <v>19712</v>
      </c>
    </row>
    <row r="7939" spans="6:8">
      <c r="H7939" t="s">
        <v>20095</v>
      </c>
    </row>
    <row r="7940" spans="6:8">
      <c r="H7940" t="s">
        <v>20096</v>
      </c>
    </row>
    <row r="7941" spans="6:8">
      <c r="H7941" t="s">
        <v>20097</v>
      </c>
    </row>
    <row r="7942" spans="6:8">
      <c r="H7942" t="s">
        <v>20098</v>
      </c>
    </row>
    <row r="7943" spans="6:8">
      <c r="F7943" t="s">
        <v>11034</v>
      </c>
      <c r="G7943" t="s">
        <v>15425</v>
      </c>
      <c r="H7943" t="s">
        <v>20091</v>
      </c>
    </row>
    <row r="7944" spans="6:8">
      <c r="H7944" t="s">
        <v>19712</v>
      </c>
    </row>
    <row r="7945" spans="6:8">
      <c r="H7945" t="s">
        <v>20095</v>
      </c>
    </row>
    <row r="7946" spans="6:8">
      <c r="H7946" t="s">
        <v>20096</v>
      </c>
    </row>
    <row r="7947" spans="6:8">
      <c r="H7947" t="s">
        <v>20097</v>
      </c>
    </row>
    <row r="7948" spans="6:8">
      <c r="H7948" t="s">
        <v>20098</v>
      </c>
    </row>
    <row r="7949" spans="6:8">
      <c r="F7949" t="s">
        <v>11035</v>
      </c>
      <c r="G7949" t="s">
        <v>15426</v>
      </c>
      <c r="H7949" t="s">
        <v>20091</v>
      </c>
    </row>
    <row r="7950" spans="6:8">
      <c r="H7950" t="s">
        <v>19712</v>
      </c>
    </row>
    <row r="7951" spans="6:8">
      <c r="H7951" t="s">
        <v>20095</v>
      </c>
    </row>
    <row r="7952" spans="6:8">
      <c r="H7952" t="s">
        <v>20096</v>
      </c>
    </row>
    <row r="7953" spans="6:8">
      <c r="H7953" t="s">
        <v>20097</v>
      </c>
    </row>
    <row r="7954" spans="6:8">
      <c r="H7954" t="s">
        <v>20098</v>
      </c>
    </row>
    <row r="7955" spans="6:8">
      <c r="F7955" t="s">
        <v>11036</v>
      </c>
      <c r="G7955" t="s">
        <v>15427</v>
      </c>
      <c r="H7955" t="s">
        <v>20091</v>
      </c>
    </row>
    <row r="7956" spans="6:8">
      <c r="H7956" t="s">
        <v>19712</v>
      </c>
    </row>
    <row r="7957" spans="6:8">
      <c r="H7957" t="s">
        <v>19709</v>
      </c>
    </row>
    <row r="7958" spans="6:8">
      <c r="H7958" t="s">
        <v>20107</v>
      </c>
    </row>
    <row r="7959" spans="6:8">
      <c r="H7959" t="s">
        <v>20108</v>
      </c>
    </row>
    <row r="7960" spans="6:8">
      <c r="H7960" t="s">
        <v>19713</v>
      </c>
    </row>
    <row r="7961" spans="6:8">
      <c r="H7961" t="s">
        <v>19714</v>
      </c>
    </row>
    <row r="7962" spans="6:8">
      <c r="H7962" t="s">
        <v>20109</v>
      </c>
    </row>
    <row r="7963" spans="6:8">
      <c r="H7963" t="s">
        <v>20110</v>
      </c>
    </row>
    <row r="7964" spans="6:8">
      <c r="H7964" t="s">
        <v>20111</v>
      </c>
    </row>
    <row r="7965" spans="6:8">
      <c r="H7965" t="s">
        <v>20112</v>
      </c>
    </row>
    <row r="7966" spans="6:8">
      <c r="H7966" t="s">
        <v>20095</v>
      </c>
    </row>
    <row r="7967" spans="6:8">
      <c r="H7967" t="s">
        <v>20096</v>
      </c>
    </row>
    <row r="7968" spans="6:8">
      <c r="H7968" t="s">
        <v>20097</v>
      </c>
    </row>
    <row r="7969" spans="6:8">
      <c r="H7969" t="s">
        <v>20098</v>
      </c>
    </row>
    <row r="7970" spans="6:8">
      <c r="F7970" t="s">
        <v>11037</v>
      </c>
      <c r="G7970" t="s">
        <v>15428</v>
      </c>
      <c r="H7970" t="s">
        <v>20091</v>
      </c>
    </row>
    <row r="7971" spans="6:8">
      <c r="H7971" t="s">
        <v>19712</v>
      </c>
    </row>
    <row r="7972" spans="6:8">
      <c r="H7972" t="s">
        <v>19709</v>
      </c>
    </row>
    <row r="7973" spans="6:8">
      <c r="H7973" t="s">
        <v>19706</v>
      </c>
    </row>
    <row r="7974" spans="6:8">
      <c r="H7974" t="s">
        <v>20107</v>
      </c>
    </row>
    <row r="7975" spans="6:8">
      <c r="H7975" t="s">
        <v>20108</v>
      </c>
    </row>
    <row r="7976" spans="6:8">
      <c r="H7976" t="s">
        <v>19713</v>
      </c>
    </row>
    <row r="7977" spans="6:8">
      <c r="H7977" t="s">
        <v>19714</v>
      </c>
    </row>
    <row r="7978" spans="6:8">
      <c r="H7978" t="s">
        <v>20109</v>
      </c>
    </row>
    <row r="7979" spans="6:8">
      <c r="H7979" t="s">
        <v>20095</v>
      </c>
    </row>
    <row r="7980" spans="6:8">
      <c r="H7980" t="s">
        <v>20096</v>
      </c>
    </row>
    <row r="7981" spans="6:8">
      <c r="H7981" t="s">
        <v>20097</v>
      </c>
    </row>
    <row r="7982" spans="6:8">
      <c r="H7982" t="s">
        <v>20098</v>
      </c>
    </row>
    <row r="7983" spans="6:8">
      <c r="F7983" t="s">
        <v>11038</v>
      </c>
      <c r="G7983" t="s">
        <v>15429</v>
      </c>
      <c r="H7983" t="s">
        <v>20091</v>
      </c>
    </row>
    <row r="7984" spans="6:8">
      <c r="H7984" t="s">
        <v>19712</v>
      </c>
    </row>
    <row r="7985" spans="6:8">
      <c r="H7985" t="s">
        <v>19709</v>
      </c>
    </row>
    <row r="7986" spans="6:8">
      <c r="H7986" t="s">
        <v>20107</v>
      </c>
    </row>
    <row r="7987" spans="6:8">
      <c r="H7987" t="s">
        <v>20108</v>
      </c>
    </row>
    <row r="7988" spans="6:8">
      <c r="H7988" t="s">
        <v>19713</v>
      </c>
    </row>
    <row r="7989" spans="6:8">
      <c r="H7989" t="s">
        <v>19714</v>
      </c>
    </row>
    <row r="7990" spans="6:8">
      <c r="H7990" t="s">
        <v>20109</v>
      </c>
    </row>
    <row r="7991" spans="6:8">
      <c r="H7991" t="s">
        <v>20110</v>
      </c>
    </row>
    <row r="7992" spans="6:8">
      <c r="H7992" t="s">
        <v>20111</v>
      </c>
    </row>
    <row r="7993" spans="6:8">
      <c r="H7993" t="s">
        <v>20112</v>
      </c>
    </row>
    <row r="7994" spans="6:8">
      <c r="H7994" t="s">
        <v>20113</v>
      </c>
    </row>
    <row r="7995" spans="6:8">
      <c r="H7995" t="s">
        <v>20095</v>
      </c>
    </row>
    <row r="7996" spans="6:8">
      <c r="H7996" t="s">
        <v>20096</v>
      </c>
    </row>
    <row r="7997" spans="6:8">
      <c r="H7997" t="s">
        <v>20097</v>
      </c>
    </row>
    <row r="7998" spans="6:8">
      <c r="H7998" t="s">
        <v>20098</v>
      </c>
    </row>
    <row r="7999" spans="6:8">
      <c r="F7999" t="s">
        <v>11039</v>
      </c>
      <c r="G7999" t="s">
        <v>15430</v>
      </c>
      <c r="H7999" t="s">
        <v>20091</v>
      </c>
    </row>
    <row r="8000" spans="6:8">
      <c r="H8000" t="s">
        <v>19712</v>
      </c>
    </row>
    <row r="8001" spans="6:8">
      <c r="H8001" t="s">
        <v>19709</v>
      </c>
    </row>
    <row r="8002" spans="6:8">
      <c r="H8002" t="s">
        <v>20092</v>
      </c>
    </row>
    <row r="8003" spans="6:8">
      <c r="H8003" t="s">
        <v>20093</v>
      </c>
    </row>
    <row r="8004" spans="6:8">
      <c r="H8004" t="s">
        <v>20095</v>
      </c>
    </row>
    <row r="8005" spans="6:8">
      <c r="H8005" t="s">
        <v>20096</v>
      </c>
    </row>
    <row r="8006" spans="6:8">
      <c r="H8006" t="s">
        <v>20097</v>
      </c>
    </row>
    <row r="8007" spans="6:8">
      <c r="H8007" t="s">
        <v>20098</v>
      </c>
    </row>
    <row r="8008" spans="6:8">
      <c r="H8008" t="s">
        <v>20099</v>
      </c>
    </row>
    <row r="8009" spans="6:8">
      <c r="H8009" t="s">
        <v>20100</v>
      </c>
    </row>
    <row r="8010" spans="6:8">
      <c r="F8010" t="s">
        <v>11040</v>
      </c>
      <c r="G8010" t="s">
        <v>15431</v>
      </c>
      <c r="H8010" t="s">
        <v>20091</v>
      </c>
    </row>
    <row r="8011" spans="6:8">
      <c r="H8011" t="s">
        <v>19712</v>
      </c>
    </row>
    <row r="8012" spans="6:8">
      <c r="H8012" t="s">
        <v>20095</v>
      </c>
    </row>
    <row r="8013" spans="6:8">
      <c r="H8013" t="s">
        <v>20096</v>
      </c>
    </row>
    <row r="8014" spans="6:8">
      <c r="H8014" t="s">
        <v>20097</v>
      </c>
    </row>
    <row r="8015" spans="6:8">
      <c r="H8015" t="s">
        <v>19709</v>
      </c>
    </row>
    <row r="8016" spans="6:8">
      <c r="H8016" t="s">
        <v>19706</v>
      </c>
    </row>
    <row r="8017" spans="6:8">
      <c r="H8017" t="s">
        <v>20098</v>
      </c>
    </row>
    <row r="8018" spans="6:8">
      <c r="H8018" t="s">
        <v>20099</v>
      </c>
    </row>
    <row r="8019" spans="6:8">
      <c r="H8019" t="s">
        <v>20100</v>
      </c>
    </row>
    <row r="8020" spans="6:8">
      <c r="F8020" t="s">
        <v>11041</v>
      </c>
      <c r="G8020" t="s">
        <v>15432</v>
      </c>
      <c r="H8020" t="s">
        <v>20091</v>
      </c>
    </row>
    <row r="8021" spans="6:8">
      <c r="H8021" t="s">
        <v>19712</v>
      </c>
    </row>
    <row r="8022" spans="6:8">
      <c r="H8022" t="s">
        <v>20095</v>
      </c>
    </row>
    <row r="8023" spans="6:8">
      <c r="H8023" t="s">
        <v>20096</v>
      </c>
    </row>
    <row r="8024" spans="6:8">
      <c r="H8024" t="s">
        <v>20097</v>
      </c>
    </row>
    <row r="8025" spans="6:8">
      <c r="F8025" t="s">
        <v>11042</v>
      </c>
      <c r="G8025" t="s">
        <v>15433</v>
      </c>
      <c r="H8025" t="s">
        <v>20091</v>
      </c>
    </row>
    <row r="8026" spans="6:8">
      <c r="H8026" t="s">
        <v>19712</v>
      </c>
    </row>
    <row r="8027" spans="6:8">
      <c r="H8027" t="s">
        <v>20095</v>
      </c>
    </row>
    <row r="8028" spans="6:8">
      <c r="H8028" t="s">
        <v>20096</v>
      </c>
    </row>
    <row r="8029" spans="6:8">
      <c r="H8029" t="s">
        <v>20097</v>
      </c>
    </row>
    <row r="8030" spans="6:8">
      <c r="F8030" t="s">
        <v>11043</v>
      </c>
      <c r="G8030" t="s">
        <v>15434</v>
      </c>
      <c r="H8030" t="s">
        <v>20091</v>
      </c>
    </row>
    <row r="8031" spans="6:8">
      <c r="H8031" t="s">
        <v>19712</v>
      </c>
    </row>
    <row r="8032" spans="6:8">
      <c r="H8032" t="s">
        <v>20095</v>
      </c>
    </row>
    <row r="8033" spans="6:8">
      <c r="H8033" t="s">
        <v>20096</v>
      </c>
    </row>
    <row r="8034" spans="6:8">
      <c r="H8034" t="s">
        <v>20097</v>
      </c>
    </row>
    <row r="8035" spans="6:8">
      <c r="F8035" t="s">
        <v>11044</v>
      </c>
      <c r="G8035" t="s">
        <v>15435</v>
      </c>
      <c r="H8035" t="s">
        <v>20091</v>
      </c>
    </row>
    <row r="8036" spans="6:8">
      <c r="H8036" t="s">
        <v>19712</v>
      </c>
    </row>
    <row r="8037" spans="6:8">
      <c r="H8037" t="s">
        <v>20095</v>
      </c>
    </row>
    <row r="8038" spans="6:8">
      <c r="H8038" t="s">
        <v>20096</v>
      </c>
    </row>
    <row r="8039" spans="6:8">
      <c r="H8039" t="s">
        <v>20097</v>
      </c>
    </row>
    <row r="8040" spans="6:8">
      <c r="F8040" t="s">
        <v>11045</v>
      </c>
      <c r="G8040" t="s">
        <v>15436</v>
      </c>
      <c r="H8040" t="s">
        <v>20091</v>
      </c>
    </row>
    <row r="8041" spans="6:8">
      <c r="H8041" t="s">
        <v>19712</v>
      </c>
    </row>
    <row r="8042" spans="6:8">
      <c r="H8042" t="s">
        <v>19709</v>
      </c>
    </row>
    <row r="8043" spans="6:8">
      <c r="H8043" t="s">
        <v>20107</v>
      </c>
    </row>
    <row r="8044" spans="6:8">
      <c r="H8044" t="s">
        <v>20108</v>
      </c>
    </row>
    <row r="8045" spans="6:8">
      <c r="H8045" t="s">
        <v>19713</v>
      </c>
    </row>
    <row r="8046" spans="6:8">
      <c r="H8046" t="s">
        <v>19714</v>
      </c>
    </row>
    <row r="8047" spans="6:8">
      <c r="H8047" t="s">
        <v>20109</v>
      </c>
    </row>
    <row r="8048" spans="6:8">
      <c r="H8048" t="s">
        <v>20110</v>
      </c>
    </row>
    <row r="8049" spans="6:8">
      <c r="H8049" t="s">
        <v>20111</v>
      </c>
    </row>
    <row r="8050" spans="6:8">
      <c r="H8050" t="s">
        <v>20112</v>
      </c>
    </row>
    <row r="8051" spans="6:8">
      <c r="H8051" t="s">
        <v>20113</v>
      </c>
    </row>
    <row r="8052" spans="6:8">
      <c r="H8052" t="s">
        <v>20114</v>
      </c>
    </row>
    <row r="8053" spans="6:8">
      <c r="H8053" t="s">
        <v>20115</v>
      </c>
    </row>
    <row r="8054" spans="6:8">
      <c r="H8054" t="s">
        <v>20095</v>
      </c>
    </row>
    <row r="8055" spans="6:8">
      <c r="H8055" t="s">
        <v>20096</v>
      </c>
    </row>
    <row r="8056" spans="6:8">
      <c r="H8056" t="s">
        <v>20097</v>
      </c>
    </row>
    <row r="8057" spans="6:8">
      <c r="H8057" t="s">
        <v>20098</v>
      </c>
    </row>
    <row r="8058" spans="6:8">
      <c r="F8058" t="s">
        <v>11046</v>
      </c>
      <c r="G8058" t="s">
        <v>15437</v>
      </c>
      <c r="H8058" t="s">
        <v>20091</v>
      </c>
    </row>
    <row r="8059" spans="6:8">
      <c r="H8059" t="s">
        <v>19712</v>
      </c>
    </row>
    <row r="8060" spans="6:8">
      <c r="H8060" t="s">
        <v>19709</v>
      </c>
    </row>
    <row r="8061" spans="6:8">
      <c r="H8061" t="s">
        <v>19706</v>
      </c>
    </row>
    <row r="8062" spans="6:8">
      <c r="H8062" t="s">
        <v>20092</v>
      </c>
    </row>
    <row r="8063" spans="6:8">
      <c r="H8063" t="s">
        <v>20093</v>
      </c>
    </row>
    <row r="8064" spans="6:8">
      <c r="H8064" t="s">
        <v>20094</v>
      </c>
    </row>
    <row r="8065" spans="6:8">
      <c r="H8065" t="s">
        <v>20103</v>
      </c>
    </row>
    <row r="8066" spans="6:8">
      <c r="H8066" t="s">
        <v>20116</v>
      </c>
    </row>
    <row r="8067" spans="6:8">
      <c r="H8067" t="s">
        <v>20117</v>
      </c>
    </row>
    <row r="8068" spans="6:8">
      <c r="H8068" t="s">
        <v>20118</v>
      </c>
    </row>
    <row r="8069" spans="6:8">
      <c r="H8069" t="s">
        <v>20119</v>
      </c>
    </row>
    <row r="8070" spans="6:8">
      <c r="H8070" t="s">
        <v>19176</v>
      </c>
    </row>
    <row r="8071" spans="6:8">
      <c r="H8071" t="s">
        <v>20095</v>
      </c>
    </row>
    <row r="8072" spans="6:8">
      <c r="H8072" t="s">
        <v>20096</v>
      </c>
    </row>
    <row r="8073" spans="6:8">
      <c r="H8073" t="s">
        <v>20097</v>
      </c>
    </row>
    <row r="8074" spans="6:8">
      <c r="H8074" t="s">
        <v>20098</v>
      </c>
    </row>
    <row r="8075" spans="6:8">
      <c r="F8075" t="s">
        <v>11047</v>
      </c>
      <c r="G8075" t="s">
        <v>15438</v>
      </c>
      <c r="H8075" t="s">
        <v>20091</v>
      </c>
    </row>
    <row r="8076" spans="6:8">
      <c r="H8076" t="s">
        <v>19712</v>
      </c>
    </row>
    <row r="8077" spans="6:8">
      <c r="H8077" t="s">
        <v>19709</v>
      </c>
    </row>
    <row r="8078" spans="6:8">
      <c r="H8078" t="s">
        <v>20092</v>
      </c>
    </row>
    <row r="8079" spans="6:8">
      <c r="H8079" t="s">
        <v>20093</v>
      </c>
    </row>
    <row r="8080" spans="6:8">
      <c r="H8080" t="s">
        <v>20094</v>
      </c>
    </row>
    <row r="8081" spans="6:8">
      <c r="H8081" t="s">
        <v>20103</v>
      </c>
    </row>
    <row r="8082" spans="6:8">
      <c r="H8082" t="s">
        <v>20116</v>
      </c>
    </row>
    <row r="8083" spans="6:8">
      <c r="H8083" t="s">
        <v>20117</v>
      </c>
    </row>
    <row r="8084" spans="6:8">
      <c r="H8084" t="s">
        <v>20118</v>
      </c>
    </row>
    <row r="8085" spans="6:8">
      <c r="H8085" t="s">
        <v>20095</v>
      </c>
    </row>
    <row r="8086" spans="6:8">
      <c r="H8086" t="s">
        <v>20096</v>
      </c>
    </row>
    <row r="8087" spans="6:8">
      <c r="H8087" t="s">
        <v>20097</v>
      </c>
    </row>
    <row r="8088" spans="6:8">
      <c r="F8088" t="s">
        <v>11048</v>
      </c>
      <c r="G8088" t="s">
        <v>15439</v>
      </c>
      <c r="H8088" t="s">
        <v>20091</v>
      </c>
    </row>
    <row r="8089" spans="6:8">
      <c r="H8089" t="s">
        <v>19712</v>
      </c>
    </row>
    <row r="8090" spans="6:8">
      <c r="H8090" t="s">
        <v>19709</v>
      </c>
    </row>
    <row r="8091" spans="6:8">
      <c r="H8091" t="s">
        <v>20095</v>
      </c>
    </row>
    <row r="8092" spans="6:8">
      <c r="H8092" t="s">
        <v>20096</v>
      </c>
    </row>
    <row r="8093" spans="6:8">
      <c r="H8093" t="s">
        <v>20097</v>
      </c>
    </row>
    <row r="8094" spans="6:8">
      <c r="F8094" t="s">
        <v>11049</v>
      </c>
      <c r="G8094" t="s">
        <v>15440</v>
      </c>
      <c r="H8094" t="s">
        <v>20091</v>
      </c>
    </row>
    <row r="8095" spans="6:8">
      <c r="H8095" t="s">
        <v>19712</v>
      </c>
    </row>
    <row r="8096" spans="6:8">
      <c r="H8096" t="s">
        <v>19709</v>
      </c>
    </row>
    <row r="8097" spans="6:8">
      <c r="H8097" t="s">
        <v>19706</v>
      </c>
    </row>
    <row r="8098" spans="6:8">
      <c r="H8098" t="s">
        <v>19707</v>
      </c>
    </row>
    <row r="8099" spans="6:8">
      <c r="H8099" t="s">
        <v>19711</v>
      </c>
    </row>
    <row r="8100" spans="6:8">
      <c r="H8100" t="s">
        <v>20107</v>
      </c>
    </row>
    <row r="8101" spans="6:8">
      <c r="H8101" t="s">
        <v>20108</v>
      </c>
    </row>
    <row r="8102" spans="6:8">
      <c r="H8102" t="s">
        <v>19713</v>
      </c>
    </row>
    <row r="8103" spans="6:8">
      <c r="H8103" t="s">
        <v>19714</v>
      </c>
    </row>
    <row r="8104" spans="6:8">
      <c r="H8104" t="s">
        <v>20109</v>
      </c>
    </row>
    <row r="8105" spans="6:8">
      <c r="H8105" t="s">
        <v>20110</v>
      </c>
    </row>
    <row r="8106" spans="6:8">
      <c r="H8106" t="s">
        <v>20111</v>
      </c>
    </row>
    <row r="8107" spans="6:8">
      <c r="H8107" t="s">
        <v>20095</v>
      </c>
    </row>
    <row r="8108" spans="6:8">
      <c r="H8108" t="s">
        <v>20096</v>
      </c>
    </row>
    <row r="8109" spans="6:8">
      <c r="H8109" t="s">
        <v>20097</v>
      </c>
    </row>
    <row r="8110" spans="6:8">
      <c r="H8110" t="s">
        <v>20098</v>
      </c>
    </row>
    <row r="8111" spans="6:8">
      <c r="F8111" t="s">
        <v>11050</v>
      </c>
      <c r="G8111" t="s">
        <v>15441</v>
      </c>
      <c r="H8111" t="s">
        <v>20091</v>
      </c>
    </row>
    <row r="8112" spans="6:8">
      <c r="H8112" t="s">
        <v>19712</v>
      </c>
    </row>
    <row r="8113" spans="6:8">
      <c r="H8113" t="s">
        <v>19709</v>
      </c>
    </row>
    <row r="8114" spans="6:8">
      <c r="H8114" t="s">
        <v>19706</v>
      </c>
    </row>
    <row r="8115" spans="6:8">
      <c r="H8115" t="s">
        <v>20107</v>
      </c>
    </row>
    <row r="8116" spans="6:8">
      <c r="H8116" t="s">
        <v>20108</v>
      </c>
    </row>
    <row r="8117" spans="6:8">
      <c r="H8117" t="s">
        <v>19713</v>
      </c>
    </row>
    <row r="8118" spans="6:8">
      <c r="H8118" t="s">
        <v>19714</v>
      </c>
    </row>
    <row r="8119" spans="6:8">
      <c r="H8119" t="s">
        <v>20095</v>
      </c>
    </row>
    <row r="8120" spans="6:8">
      <c r="H8120" t="s">
        <v>20096</v>
      </c>
    </row>
    <row r="8121" spans="6:8">
      <c r="H8121" t="s">
        <v>20097</v>
      </c>
    </row>
    <row r="8122" spans="6:8">
      <c r="H8122" t="s">
        <v>20098</v>
      </c>
    </row>
    <row r="8123" spans="6:8">
      <c r="F8123" t="s">
        <v>11051</v>
      </c>
      <c r="G8123" t="s">
        <v>15442</v>
      </c>
      <c r="H8123" t="s">
        <v>20091</v>
      </c>
    </row>
    <row r="8124" spans="6:8">
      <c r="H8124" t="s">
        <v>19712</v>
      </c>
    </row>
    <row r="8125" spans="6:8">
      <c r="H8125" t="s">
        <v>19709</v>
      </c>
    </row>
    <row r="8126" spans="6:8">
      <c r="H8126" t="s">
        <v>20107</v>
      </c>
    </row>
    <row r="8127" spans="6:8">
      <c r="H8127" t="s">
        <v>20108</v>
      </c>
    </row>
    <row r="8128" spans="6:8">
      <c r="H8128" t="s">
        <v>19713</v>
      </c>
    </row>
    <row r="8129" spans="6:8">
      <c r="H8129" t="s">
        <v>20095</v>
      </c>
    </row>
    <row r="8130" spans="6:8">
      <c r="H8130" t="s">
        <v>20096</v>
      </c>
    </row>
    <row r="8131" spans="6:8">
      <c r="H8131" t="s">
        <v>20097</v>
      </c>
    </row>
    <row r="8132" spans="6:8">
      <c r="H8132" t="s">
        <v>20098</v>
      </c>
    </row>
    <row r="8133" spans="6:8">
      <c r="H8133" t="s">
        <v>20099</v>
      </c>
    </row>
    <row r="8134" spans="6:8">
      <c r="F8134" t="s">
        <v>11052</v>
      </c>
      <c r="G8134" t="s">
        <v>15443</v>
      </c>
      <c r="H8134" t="s">
        <v>20091</v>
      </c>
    </row>
    <row r="8135" spans="6:8">
      <c r="H8135" t="s">
        <v>19712</v>
      </c>
    </row>
    <row r="8136" spans="6:8">
      <c r="H8136" t="s">
        <v>19709</v>
      </c>
    </row>
    <row r="8137" spans="6:8">
      <c r="H8137" t="s">
        <v>19706</v>
      </c>
    </row>
    <row r="8138" spans="6:8">
      <c r="H8138" t="s">
        <v>20107</v>
      </c>
    </row>
    <row r="8139" spans="6:8">
      <c r="H8139" t="s">
        <v>20108</v>
      </c>
    </row>
    <row r="8140" spans="6:8">
      <c r="H8140" t="s">
        <v>19713</v>
      </c>
    </row>
    <row r="8141" spans="6:8">
      <c r="H8141" t="s">
        <v>20095</v>
      </c>
    </row>
    <row r="8142" spans="6:8">
      <c r="H8142" t="s">
        <v>20096</v>
      </c>
    </row>
    <row r="8143" spans="6:8">
      <c r="H8143" t="s">
        <v>20097</v>
      </c>
    </row>
    <row r="8144" spans="6:8">
      <c r="H8144" t="s">
        <v>20098</v>
      </c>
    </row>
    <row r="8145" spans="6:8">
      <c r="F8145" t="s">
        <v>11053</v>
      </c>
      <c r="G8145" t="s">
        <v>15444</v>
      </c>
      <c r="H8145" t="s">
        <v>20091</v>
      </c>
    </row>
    <row r="8146" spans="6:8">
      <c r="H8146" t="s">
        <v>19712</v>
      </c>
    </row>
    <row r="8147" spans="6:8">
      <c r="H8147" t="s">
        <v>19709</v>
      </c>
    </row>
    <row r="8148" spans="6:8">
      <c r="H8148" t="s">
        <v>20107</v>
      </c>
    </row>
    <row r="8149" spans="6:8">
      <c r="H8149" t="s">
        <v>20108</v>
      </c>
    </row>
    <row r="8150" spans="6:8">
      <c r="H8150" t="s">
        <v>19713</v>
      </c>
    </row>
    <row r="8151" spans="6:8">
      <c r="H8151" t="s">
        <v>20095</v>
      </c>
    </row>
    <row r="8152" spans="6:8">
      <c r="H8152" t="s">
        <v>20096</v>
      </c>
    </row>
    <row r="8153" spans="6:8">
      <c r="H8153" t="s">
        <v>20097</v>
      </c>
    </row>
    <row r="8154" spans="6:8">
      <c r="H8154" t="s">
        <v>20098</v>
      </c>
    </row>
    <row r="8155" spans="6:8">
      <c r="H8155" t="s">
        <v>20099</v>
      </c>
    </row>
    <row r="8156" spans="6:8">
      <c r="F8156" t="s">
        <v>11054</v>
      </c>
      <c r="G8156" t="s">
        <v>15445</v>
      </c>
      <c r="H8156" t="s">
        <v>20091</v>
      </c>
    </row>
    <row r="8157" spans="6:8">
      <c r="H8157" t="s">
        <v>19712</v>
      </c>
    </row>
    <row r="8158" spans="6:8">
      <c r="H8158" t="s">
        <v>19709</v>
      </c>
    </row>
    <row r="8159" spans="6:8">
      <c r="H8159" t="s">
        <v>19706</v>
      </c>
    </row>
    <row r="8160" spans="6:8">
      <c r="H8160" t="s">
        <v>19707</v>
      </c>
    </row>
    <row r="8161" spans="6:8">
      <c r="H8161" t="s">
        <v>19711</v>
      </c>
    </row>
    <row r="8162" spans="6:8">
      <c r="H8162" t="s">
        <v>19708</v>
      </c>
    </row>
    <row r="8163" spans="6:8">
      <c r="H8163" t="s">
        <v>20107</v>
      </c>
    </row>
    <row r="8164" spans="6:8">
      <c r="H8164" t="s">
        <v>20108</v>
      </c>
    </row>
    <row r="8165" spans="6:8">
      <c r="H8165" t="s">
        <v>19713</v>
      </c>
    </row>
    <row r="8166" spans="6:8">
      <c r="H8166" t="s">
        <v>20095</v>
      </c>
    </row>
    <row r="8167" spans="6:8">
      <c r="H8167" t="s">
        <v>20096</v>
      </c>
    </row>
    <row r="8168" spans="6:8">
      <c r="H8168" t="s">
        <v>20097</v>
      </c>
    </row>
    <row r="8169" spans="6:8">
      <c r="H8169" t="s">
        <v>20098</v>
      </c>
    </row>
    <row r="8170" spans="6:8">
      <c r="F8170" t="s">
        <v>11055</v>
      </c>
      <c r="G8170" t="s">
        <v>15446</v>
      </c>
      <c r="H8170" t="s">
        <v>20091</v>
      </c>
    </row>
    <row r="8171" spans="6:8">
      <c r="H8171" t="s">
        <v>19712</v>
      </c>
    </row>
    <row r="8172" spans="6:8">
      <c r="H8172" t="s">
        <v>19709</v>
      </c>
    </row>
    <row r="8173" spans="6:8">
      <c r="H8173" t="s">
        <v>19706</v>
      </c>
    </row>
    <row r="8174" spans="6:8">
      <c r="H8174" t="s">
        <v>19707</v>
      </c>
    </row>
    <row r="8175" spans="6:8">
      <c r="H8175" t="s">
        <v>19711</v>
      </c>
    </row>
    <row r="8176" spans="6:8">
      <c r="H8176" t="s">
        <v>20107</v>
      </c>
    </row>
    <row r="8177" spans="6:8">
      <c r="H8177" t="s">
        <v>20108</v>
      </c>
    </row>
    <row r="8178" spans="6:8">
      <c r="H8178" t="s">
        <v>19713</v>
      </c>
    </row>
    <row r="8179" spans="6:8">
      <c r="H8179" t="s">
        <v>19714</v>
      </c>
    </row>
    <row r="8180" spans="6:8">
      <c r="H8180" t="s">
        <v>20109</v>
      </c>
    </row>
    <row r="8181" spans="6:8">
      <c r="H8181" t="s">
        <v>20110</v>
      </c>
    </row>
    <row r="8182" spans="6:8">
      <c r="H8182" t="s">
        <v>20095</v>
      </c>
    </row>
    <row r="8183" spans="6:8">
      <c r="H8183" t="s">
        <v>20096</v>
      </c>
    </row>
    <row r="8184" spans="6:8">
      <c r="H8184" t="s">
        <v>20097</v>
      </c>
    </row>
    <row r="8185" spans="6:8">
      <c r="H8185" t="s">
        <v>20098</v>
      </c>
    </row>
    <row r="8186" spans="6:8">
      <c r="F8186" t="s">
        <v>11056</v>
      </c>
      <c r="G8186" t="s">
        <v>15447</v>
      </c>
      <c r="H8186" t="s">
        <v>20091</v>
      </c>
    </row>
    <row r="8187" spans="6:8">
      <c r="H8187" t="s">
        <v>19712</v>
      </c>
    </row>
    <row r="8188" spans="6:8">
      <c r="H8188" t="s">
        <v>20092</v>
      </c>
    </row>
    <row r="8189" spans="6:8">
      <c r="H8189" t="s">
        <v>20093</v>
      </c>
    </row>
    <row r="8190" spans="6:8">
      <c r="H8190" t="s">
        <v>20094</v>
      </c>
    </row>
    <row r="8191" spans="6:8">
      <c r="H8191" t="s">
        <v>20095</v>
      </c>
    </row>
    <row r="8192" spans="6:8">
      <c r="H8192" t="s">
        <v>20096</v>
      </c>
    </row>
    <row r="8193" spans="6:8">
      <c r="H8193" t="s">
        <v>20097</v>
      </c>
    </row>
    <row r="8194" spans="6:8">
      <c r="H8194" t="s">
        <v>20098</v>
      </c>
    </row>
    <row r="8195" spans="6:8">
      <c r="H8195" t="s">
        <v>20099</v>
      </c>
    </row>
    <row r="8196" spans="6:8">
      <c r="H8196" t="s">
        <v>20100</v>
      </c>
    </row>
    <row r="8197" spans="6:8">
      <c r="H8197" t="s">
        <v>20101</v>
      </c>
    </row>
    <row r="8198" spans="6:8">
      <c r="H8198" t="s">
        <v>20102</v>
      </c>
    </row>
    <row r="8199" spans="6:8">
      <c r="F8199" t="s">
        <v>11057</v>
      </c>
      <c r="G8199" t="s">
        <v>15448</v>
      </c>
      <c r="H8199" t="s">
        <v>20091</v>
      </c>
    </row>
    <row r="8200" spans="6:8">
      <c r="H8200" t="s">
        <v>19712</v>
      </c>
    </row>
    <row r="8201" spans="6:8">
      <c r="H8201" t="s">
        <v>19709</v>
      </c>
    </row>
    <row r="8202" spans="6:8">
      <c r="H8202" t="s">
        <v>20107</v>
      </c>
    </row>
    <row r="8203" spans="6:8">
      <c r="H8203" t="s">
        <v>20108</v>
      </c>
    </row>
    <row r="8204" spans="6:8">
      <c r="H8204" t="s">
        <v>20095</v>
      </c>
    </row>
    <row r="8205" spans="6:8">
      <c r="H8205" t="s">
        <v>20096</v>
      </c>
    </row>
    <row r="8206" spans="6:8">
      <c r="H8206" t="s">
        <v>20097</v>
      </c>
    </row>
    <row r="8207" spans="6:8">
      <c r="H8207" t="s">
        <v>20098</v>
      </c>
    </row>
    <row r="8208" spans="6:8">
      <c r="F8208" t="s">
        <v>11058</v>
      </c>
      <c r="G8208" t="s">
        <v>15449</v>
      </c>
      <c r="H8208" t="s">
        <v>20091</v>
      </c>
    </row>
    <row r="8209" spans="6:8">
      <c r="H8209" t="s">
        <v>19712</v>
      </c>
    </row>
    <row r="8210" spans="6:8">
      <c r="H8210" t="s">
        <v>20092</v>
      </c>
    </row>
    <row r="8211" spans="6:8">
      <c r="H8211" t="s">
        <v>20093</v>
      </c>
    </row>
    <row r="8212" spans="6:8">
      <c r="H8212" t="s">
        <v>20094</v>
      </c>
    </row>
    <row r="8213" spans="6:8">
      <c r="H8213" t="s">
        <v>20095</v>
      </c>
    </row>
    <row r="8214" spans="6:8">
      <c r="H8214" t="s">
        <v>20096</v>
      </c>
    </row>
    <row r="8215" spans="6:8">
      <c r="H8215" t="s">
        <v>20097</v>
      </c>
    </row>
    <row r="8216" spans="6:8">
      <c r="H8216" t="s">
        <v>20098</v>
      </c>
    </row>
    <row r="8217" spans="6:8">
      <c r="H8217" t="s">
        <v>20099</v>
      </c>
    </row>
    <row r="8218" spans="6:8">
      <c r="H8218" t="s">
        <v>20100</v>
      </c>
    </row>
    <row r="8219" spans="6:8">
      <c r="H8219" t="s">
        <v>20101</v>
      </c>
    </row>
    <row r="8220" spans="6:8">
      <c r="H8220" t="s">
        <v>20102</v>
      </c>
    </row>
    <row r="8221" spans="6:8">
      <c r="F8221" t="s">
        <v>11059</v>
      </c>
      <c r="G8221" t="s">
        <v>15450</v>
      </c>
      <c r="H8221" t="s">
        <v>20091</v>
      </c>
    </row>
    <row r="8222" spans="6:8">
      <c r="H8222" t="s">
        <v>20095</v>
      </c>
    </row>
    <row r="8223" spans="6:8">
      <c r="F8223" t="s">
        <v>11060</v>
      </c>
      <c r="G8223" t="s">
        <v>15451</v>
      </c>
      <c r="H8223" t="s">
        <v>20091</v>
      </c>
    </row>
    <row r="8224" spans="6:8">
      <c r="H8224" t="s">
        <v>20095</v>
      </c>
    </row>
    <row r="8225" spans="6:8">
      <c r="F8225" t="s">
        <v>11061</v>
      </c>
      <c r="G8225" t="s">
        <v>15452</v>
      </c>
      <c r="H8225" t="s">
        <v>20091</v>
      </c>
    </row>
    <row r="8226" spans="6:8">
      <c r="H8226" t="s">
        <v>20095</v>
      </c>
    </row>
    <row r="8227" spans="6:8">
      <c r="F8227" t="s">
        <v>11062</v>
      </c>
      <c r="G8227" t="s">
        <v>15453</v>
      </c>
      <c r="H8227" t="s">
        <v>20091</v>
      </c>
    </row>
    <row r="8228" spans="6:8">
      <c r="H8228" t="s">
        <v>20095</v>
      </c>
    </row>
    <row r="8229" spans="6:8">
      <c r="F8229" t="s">
        <v>11063</v>
      </c>
      <c r="G8229" t="s">
        <v>15454</v>
      </c>
      <c r="H8229" t="s">
        <v>20091</v>
      </c>
    </row>
    <row r="8230" spans="6:8">
      <c r="H8230" t="s">
        <v>20095</v>
      </c>
    </row>
    <row r="8231" spans="6:8">
      <c r="F8231" t="s">
        <v>11064</v>
      </c>
      <c r="G8231" t="s">
        <v>15455</v>
      </c>
      <c r="H8231" t="s">
        <v>20091</v>
      </c>
    </row>
    <row r="8232" spans="6:8">
      <c r="H8232" t="s">
        <v>20095</v>
      </c>
    </row>
    <row r="8233" spans="6:8">
      <c r="F8233" t="s">
        <v>11065</v>
      </c>
      <c r="G8233" t="s">
        <v>15456</v>
      </c>
      <c r="H8233" t="s">
        <v>20091</v>
      </c>
    </row>
    <row r="8234" spans="6:8">
      <c r="H8234" t="s">
        <v>20095</v>
      </c>
    </row>
    <row r="8235" spans="6:8">
      <c r="F8235" t="s">
        <v>11066</v>
      </c>
      <c r="G8235" t="s">
        <v>15457</v>
      </c>
      <c r="H8235" t="s">
        <v>20091</v>
      </c>
    </row>
    <row r="8236" spans="6:8">
      <c r="H8236" t="s">
        <v>19712</v>
      </c>
    </row>
    <row r="8237" spans="6:8">
      <c r="H8237" t="s">
        <v>19709</v>
      </c>
    </row>
    <row r="8238" spans="6:8">
      <c r="H8238" t="s">
        <v>19706</v>
      </c>
    </row>
    <row r="8239" spans="6:8">
      <c r="H8239" t="s">
        <v>19707</v>
      </c>
    </row>
    <row r="8240" spans="6:8">
      <c r="H8240" t="s">
        <v>19711</v>
      </c>
    </row>
    <row r="8241" spans="6:8">
      <c r="H8241" t="s">
        <v>20107</v>
      </c>
    </row>
    <row r="8242" spans="6:8">
      <c r="H8242" t="s">
        <v>20108</v>
      </c>
    </row>
    <row r="8243" spans="6:8">
      <c r="H8243" t="s">
        <v>19713</v>
      </c>
    </row>
    <row r="8244" spans="6:8">
      <c r="H8244" t="s">
        <v>19714</v>
      </c>
    </row>
    <row r="8245" spans="6:8">
      <c r="H8245" t="s">
        <v>20109</v>
      </c>
    </row>
    <row r="8246" spans="6:8">
      <c r="H8246" t="s">
        <v>20110</v>
      </c>
    </row>
    <row r="8247" spans="6:8">
      <c r="H8247" t="s">
        <v>20092</v>
      </c>
    </row>
    <row r="8248" spans="6:8">
      <c r="H8248" t="s">
        <v>20095</v>
      </c>
    </row>
    <row r="8249" spans="6:8">
      <c r="H8249" t="s">
        <v>20096</v>
      </c>
    </row>
    <row r="8250" spans="6:8">
      <c r="H8250" t="s">
        <v>20097</v>
      </c>
    </row>
    <row r="8251" spans="6:8">
      <c r="H8251" t="s">
        <v>20098</v>
      </c>
    </row>
    <row r="8252" spans="6:8">
      <c r="F8252" t="s">
        <v>11067</v>
      </c>
      <c r="G8252" t="s">
        <v>15458</v>
      </c>
      <c r="H8252" t="s">
        <v>20091</v>
      </c>
    </row>
    <row r="8253" spans="6:8">
      <c r="H8253" t="s">
        <v>19712</v>
      </c>
    </row>
    <row r="8254" spans="6:8">
      <c r="H8254" t="s">
        <v>20107</v>
      </c>
    </row>
    <row r="8255" spans="6:8">
      <c r="H8255" t="s">
        <v>20095</v>
      </c>
    </row>
    <row r="8256" spans="6:8">
      <c r="H8256" t="s">
        <v>20096</v>
      </c>
    </row>
    <row r="8257" spans="6:8">
      <c r="H8257" t="s">
        <v>20097</v>
      </c>
    </row>
    <row r="8258" spans="6:8">
      <c r="H8258" t="s">
        <v>20098</v>
      </c>
    </row>
    <row r="8259" spans="6:8">
      <c r="H8259" t="s">
        <v>20099</v>
      </c>
    </row>
    <row r="8260" spans="6:8">
      <c r="F8260" t="s">
        <v>11068</v>
      </c>
      <c r="G8260" t="s">
        <v>15459</v>
      </c>
      <c r="H8260" t="s">
        <v>20091</v>
      </c>
    </row>
    <row r="8261" spans="6:8">
      <c r="H8261" t="s">
        <v>19712</v>
      </c>
    </row>
    <row r="8262" spans="6:8">
      <c r="H8262" t="s">
        <v>20107</v>
      </c>
    </row>
    <row r="8263" spans="6:8">
      <c r="H8263" t="s">
        <v>20095</v>
      </c>
    </row>
    <row r="8264" spans="6:8">
      <c r="H8264" t="s">
        <v>20096</v>
      </c>
    </row>
    <row r="8265" spans="6:8">
      <c r="H8265" t="s">
        <v>20097</v>
      </c>
    </row>
    <row r="8266" spans="6:8">
      <c r="H8266" t="s">
        <v>20098</v>
      </c>
    </row>
    <row r="8267" spans="6:8">
      <c r="H8267" t="s">
        <v>20099</v>
      </c>
    </row>
    <row r="8268" spans="6:8">
      <c r="F8268" t="s">
        <v>11069</v>
      </c>
      <c r="G8268" t="s">
        <v>15460</v>
      </c>
      <c r="H8268" t="s">
        <v>20091</v>
      </c>
    </row>
    <row r="8269" spans="6:8">
      <c r="H8269" t="s">
        <v>19712</v>
      </c>
    </row>
    <row r="8270" spans="6:8">
      <c r="H8270" t="s">
        <v>19709</v>
      </c>
    </row>
    <row r="8271" spans="6:8">
      <c r="H8271" t="s">
        <v>19706</v>
      </c>
    </row>
    <row r="8272" spans="6:8">
      <c r="H8272" t="s">
        <v>20107</v>
      </c>
    </row>
    <row r="8273" spans="6:8">
      <c r="H8273" t="s">
        <v>20108</v>
      </c>
    </row>
    <row r="8274" spans="6:8">
      <c r="H8274" t="s">
        <v>19713</v>
      </c>
    </row>
    <row r="8275" spans="6:8">
      <c r="H8275" t="s">
        <v>19714</v>
      </c>
    </row>
    <row r="8276" spans="6:8">
      <c r="H8276" t="s">
        <v>20095</v>
      </c>
    </row>
    <row r="8277" spans="6:8">
      <c r="H8277" t="s">
        <v>20096</v>
      </c>
    </row>
    <row r="8278" spans="6:8">
      <c r="H8278" t="s">
        <v>20097</v>
      </c>
    </row>
    <row r="8279" spans="6:8">
      <c r="H8279" t="s">
        <v>20098</v>
      </c>
    </row>
    <row r="8280" spans="6:8">
      <c r="H8280" t="s">
        <v>20099</v>
      </c>
    </row>
    <row r="8281" spans="6:8">
      <c r="H8281" t="s">
        <v>20100</v>
      </c>
    </row>
    <row r="8282" spans="6:8">
      <c r="F8282" t="s">
        <v>11070</v>
      </c>
      <c r="G8282" t="s">
        <v>15461</v>
      </c>
      <c r="H8282" t="s">
        <v>20091</v>
      </c>
    </row>
    <row r="8283" spans="6:8">
      <c r="H8283" t="s">
        <v>19712</v>
      </c>
    </row>
    <row r="8284" spans="6:8">
      <c r="H8284" t="s">
        <v>19709</v>
      </c>
    </row>
    <row r="8285" spans="6:8">
      <c r="H8285" t="s">
        <v>19706</v>
      </c>
    </row>
    <row r="8286" spans="6:8">
      <c r="H8286" t="s">
        <v>19707</v>
      </c>
    </row>
    <row r="8287" spans="6:8">
      <c r="H8287" t="s">
        <v>19711</v>
      </c>
    </row>
    <row r="8288" spans="6:8">
      <c r="H8288" t="s">
        <v>20107</v>
      </c>
    </row>
    <row r="8289" spans="6:8">
      <c r="H8289" t="s">
        <v>20108</v>
      </c>
    </row>
    <row r="8290" spans="6:8">
      <c r="H8290" t="s">
        <v>19713</v>
      </c>
    </row>
    <row r="8291" spans="6:8">
      <c r="H8291" t="s">
        <v>19714</v>
      </c>
    </row>
    <row r="8292" spans="6:8">
      <c r="H8292" t="s">
        <v>20109</v>
      </c>
    </row>
    <row r="8293" spans="6:8">
      <c r="H8293" t="s">
        <v>20095</v>
      </c>
    </row>
    <row r="8294" spans="6:8">
      <c r="H8294" t="s">
        <v>20096</v>
      </c>
    </row>
    <row r="8295" spans="6:8">
      <c r="H8295" t="s">
        <v>20097</v>
      </c>
    </row>
    <row r="8296" spans="6:8">
      <c r="H8296" t="s">
        <v>20098</v>
      </c>
    </row>
    <row r="8297" spans="6:8">
      <c r="H8297" t="s">
        <v>20099</v>
      </c>
    </row>
    <row r="8298" spans="6:8">
      <c r="H8298" t="s">
        <v>20100</v>
      </c>
    </row>
    <row r="8299" spans="6:8">
      <c r="F8299" t="s">
        <v>11071</v>
      </c>
      <c r="G8299" t="s">
        <v>15462</v>
      </c>
      <c r="H8299" t="s">
        <v>20091</v>
      </c>
    </row>
    <row r="8300" spans="6:8">
      <c r="H8300" t="s">
        <v>19712</v>
      </c>
    </row>
    <row r="8301" spans="6:8">
      <c r="H8301" t="s">
        <v>19709</v>
      </c>
    </row>
    <row r="8302" spans="6:8">
      <c r="H8302" t="s">
        <v>19706</v>
      </c>
    </row>
    <row r="8303" spans="6:8">
      <c r="H8303" t="s">
        <v>19707</v>
      </c>
    </row>
    <row r="8304" spans="6:8">
      <c r="H8304" t="s">
        <v>19711</v>
      </c>
    </row>
    <row r="8305" spans="6:8">
      <c r="H8305" t="s">
        <v>20107</v>
      </c>
    </row>
    <row r="8306" spans="6:8">
      <c r="H8306" t="s">
        <v>20108</v>
      </c>
    </row>
    <row r="8307" spans="6:8">
      <c r="H8307" t="s">
        <v>19713</v>
      </c>
    </row>
    <row r="8308" spans="6:8">
      <c r="H8308" t="s">
        <v>19714</v>
      </c>
    </row>
    <row r="8309" spans="6:8">
      <c r="H8309" t="s">
        <v>20109</v>
      </c>
    </row>
    <row r="8310" spans="6:8">
      <c r="H8310" t="s">
        <v>20095</v>
      </c>
    </row>
    <row r="8311" spans="6:8">
      <c r="H8311" t="s">
        <v>20096</v>
      </c>
    </row>
    <row r="8312" spans="6:8">
      <c r="H8312" t="s">
        <v>20097</v>
      </c>
    </row>
    <row r="8313" spans="6:8">
      <c r="H8313" t="s">
        <v>20098</v>
      </c>
    </row>
    <row r="8314" spans="6:8">
      <c r="H8314" t="s">
        <v>20099</v>
      </c>
    </row>
    <row r="8315" spans="6:8">
      <c r="H8315" t="s">
        <v>20100</v>
      </c>
    </row>
    <row r="8316" spans="6:8">
      <c r="F8316" t="s">
        <v>11072</v>
      </c>
      <c r="G8316" t="s">
        <v>15463</v>
      </c>
      <c r="H8316" t="s">
        <v>20091</v>
      </c>
    </row>
    <row r="8317" spans="6:8">
      <c r="H8317" t="s">
        <v>19712</v>
      </c>
    </row>
    <row r="8318" spans="6:8">
      <c r="H8318" t="s">
        <v>19709</v>
      </c>
    </row>
    <row r="8319" spans="6:8">
      <c r="H8319" t="s">
        <v>19706</v>
      </c>
    </row>
    <row r="8320" spans="6:8">
      <c r="H8320" t="s">
        <v>19707</v>
      </c>
    </row>
    <row r="8321" spans="6:8">
      <c r="H8321" t="s">
        <v>19711</v>
      </c>
    </row>
    <row r="8322" spans="6:8">
      <c r="H8322" t="s">
        <v>20107</v>
      </c>
    </row>
    <row r="8323" spans="6:8">
      <c r="H8323" t="s">
        <v>20108</v>
      </c>
    </row>
    <row r="8324" spans="6:8">
      <c r="H8324" t="s">
        <v>19713</v>
      </c>
    </row>
    <row r="8325" spans="6:8">
      <c r="H8325" t="s">
        <v>19714</v>
      </c>
    </row>
    <row r="8326" spans="6:8">
      <c r="H8326" t="s">
        <v>20109</v>
      </c>
    </row>
    <row r="8327" spans="6:8">
      <c r="H8327" t="s">
        <v>20095</v>
      </c>
    </row>
    <row r="8328" spans="6:8">
      <c r="H8328" t="s">
        <v>20096</v>
      </c>
    </row>
    <row r="8329" spans="6:8">
      <c r="H8329" t="s">
        <v>20097</v>
      </c>
    </row>
    <row r="8330" spans="6:8">
      <c r="H8330" t="s">
        <v>20098</v>
      </c>
    </row>
    <row r="8331" spans="6:8">
      <c r="H8331" t="s">
        <v>20099</v>
      </c>
    </row>
    <row r="8332" spans="6:8">
      <c r="H8332" t="s">
        <v>20100</v>
      </c>
    </row>
    <row r="8333" spans="6:8">
      <c r="F8333" t="s">
        <v>11073</v>
      </c>
      <c r="G8333" t="s">
        <v>15464</v>
      </c>
      <c r="H8333" t="s">
        <v>20091</v>
      </c>
    </row>
    <row r="8334" spans="6:8">
      <c r="H8334" t="s">
        <v>19712</v>
      </c>
    </row>
    <row r="8335" spans="6:8">
      <c r="H8335" t="s">
        <v>19709</v>
      </c>
    </row>
    <row r="8336" spans="6:8">
      <c r="H8336" t="s">
        <v>19706</v>
      </c>
    </row>
    <row r="8337" spans="6:8">
      <c r="H8337" t="s">
        <v>19707</v>
      </c>
    </row>
    <row r="8338" spans="6:8">
      <c r="H8338" t="s">
        <v>19711</v>
      </c>
    </row>
    <row r="8339" spans="6:8">
      <c r="H8339" t="s">
        <v>20107</v>
      </c>
    </row>
    <row r="8340" spans="6:8">
      <c r="H8340" t="s">
        <v>20108</v>
      </c>
    </row>
    <row r="8341" spans="6:8">
      <c r="H8341" t="s">
        <v>19713</v>
      </c>
    </row>
    <row r="8342" spans="6:8">
      <c r="H8342" t="s">
        <v>19714</v>
      </c>
    </row>
    <row r="8343" spans="6:8">
      <c r="H8343" t="s">
        <v>20109</v>
      </c>
    </row>
    <row r="8344" spans="6:8">
      <c r="H8344" t="s">
        <v>20095</v>
      </c>
    </row>
    <row r="8345" spans="6:8">
      <c r="H8345" t="s">
        <v>20096</v>
      </c>
    </row>
    <row r="8346" spans="6:8">
      <c r="H8346" t="s">
        <v>20097</v>
      </c>
    </row>
    <row r="8347" spans="6:8">
      <c r="H8347" t="s">
        <v>20098</v>
      </c>
    </row>
    <row r="8348" spans="6:8">
      <c r="H8348" t="s">
        <v>20099</v>
      </c>
    </row>
    <row r="8349" spans="6:8">
      <c r="H8349" t="s">
        <v>20100</v>
      </c>
    </row>
    <row r="8350" spans="6:8">
      <c r="F8350" t="s">
        <v>11074</v>
      </c>
      <c r="G8350" t="s">
        <v>15465</v>
      </c>
      <c r="H8350" t="s">
        <v>20091</v>
      </c>
    </row>
    <row r="8351" spans="6:8">
      <c r="H8351" t="s">
        <v>19712</v>
      </c>
    </row>
    <row r="8352" spans="6:8">
      <c r="H8352" t="s">
        <v>19709</v>
      </c>
    </row>
    <row r="8353" spans="6:8">
      <c r="H8353" t="s">
        <v>19706</v>
      </c>
    </row>
    <row r="8354" spans="6:8">
      <c r="H8354" t="s">
        <v>20107</v>
      </c>
    </row>
    <row r="8355" spans="6:8">
      <c r="H8355" t="s">
        <v>20108</v>
      </c>
    </row>
    <row r="8356" spans="6:8">
      <c r="H8356" t="s">
        <v>19713</v>
      </c>
    </row>
    <row r="8357" spans="6:8">
      <c r="H8357" t="s">
        <v>19714</v>
      </c>
    </row>
    <row r="8358" spans="6:8">
      <c r="H8358" t="s">
        <v>20095</v>
      </c>
    </row>
    <row r="8359" spans="6:8">
      <c r="H8359" t="s">
        <v>20096</v>
      </c>
    </row>
    <row r="8360" spans="6:8">
      <c r="H8360" t="s">
        <v>20097</v>
      </c>
    </row>
    <row r="8361" spans="6:8">
      <c r="H8361" t="s">
        <v>20098</v>
      </c>
    </row>
    <row r="8362" spans="6:8">
      <c r="H8362" t="s">
        <v>20099</v>
      </c>
    </row>
    <row r="8363" spans="6:8">
      <c r="H8363" t="s">
        <v>20100</v>
      </c>
    </row>
    <row r="8364" spans="6:8">
      <c r="F8364" t="s">
        <v>11075</v>
      </c>
      <c r="G8364" t="s">
        <v>15466</v>
      </c>
      <c r="H8364" t="s">
        <v>20091</v>
      </c>
    </row>
    <row r="8365" spans="6:8">
      <c r="H8365" t="s">
        <v>19712</v>
      </c>
    </row>
    <row r="8366" spans="6:8">
      <c r="H8366" t="s">
        <v>19709</v>
      </c>
    </row>
    <row r="8367" spans="6:8">
      <c r="H8367" t="s">
        <v>20107</v>
      </c>
    </row>
    <row r="8368" spans="6:8">
      <c r="H8368" t="s">
        <v>20108</v>
      </c>
    </row>
    <row r="8369" spans="6:8">
      <c r="H8369" t="s">
        <v>20095</v>
      </c>
    </row>
    <row r="8370" spans="6:8">
      <c r="H8370" t="s">
        <v>20096</v>
      </c>
    </row>
    <row r="8371" spans="6:8">
      <c r="H8371" t="s">
        <v>20097</v>
      </c>
    </row>
    <row r="8372" spans="6:8">
      <c r="H8372" t="s">
        <v>20098</v>
      </c>
    </row>
    <row r="8373" spans="6:8">
      <c r="H8373" t="s">
        <v>20099</v>
      </c>
    </row>
    <row r="8374" spans="6:8">
      <c r="H8374" t="s">
        <v>20100</v>
      </c>
    </row>
    <row r="8375" spans="6:8">
      <c r="F8375" t="s">
        <v>11076</v>
      </c>
      <c r="G8375" t="s">
        <v>15467</v>
      </c>
      <c r="H8375" t="s">
        <v>20091</v>
      </c>
    </row>
    <row r="8376" spans="6:8">
      <c r="H8376" t="s">
        <v>19712</v>
      </c>
    </row>
    <row r="8377" spans="6:8">
      <c r="H8377" t="s">
        <v>19709</v>
      </c>
    </row>
    <row r="8378" spans="6:8">
      <c r="H8378" t="s">
        <v>20107</v>
      </c>
    </row>
    <row r="8379" spans="6:8">
      <c r="H8379" t="s">
        <v>20108</v>
      </c>
    </row>
    <row r="8380" spans="6:8">
      <c r="H8380" t="s">
        <v>20095</v>
      </c>
    </row>
    <row r="8381" spans="6:8">
      <c r="H8381" t="s">
        <v>20096</v>
      </c>
    </row>
    <row r="8382" spans="6:8">
      <c r="H8382" t="s">
        <v>20097</v>
      </c>
    </row>
    <row r="8383" spans="6:8">
      <c r="H8383" t="s">
        <v>20098</v>
      </c>
    </row>
    <row r="8384" spans="6:8">
      <c r="H8384" t="s">
        <v>20099</v>
      </c>
    </row>
    <row r="8385" spans="6:8">
      <c r="H8385" t="s">
        <v>20100</v>
      </c>
    </row>
    <row r="8386" spans="6:8">
      <c r="F8386" t="s">
        <v>11077</v>
      </c>
      <c r="G8386" t="s">
        <v>15468</v>
      </c>
      <c r="H8386" t="s">
        <v>20091</v>
      </c>
    </row>
    <row r="8387" spans="6:8">
      <c r="H8387" t="s">
        <v>19712</v>
      </c>
    </row>
    <row r="8388" spans="6:8">
      <c r="H8388" t="s">
        <v>19709</v>
      </c>
    </row>
    <row r="8389" spans="6:8">
      <c r="H8389" t="s">
        <v>20107</v>
      </c>
    </row>
    <row r="8390" spans="6:8">
      <c r="H8390" t="s">
        <v>20108</v>
      </c>
    </row>
    <row r="8391" spans="6:8">
      <c r="H8391" t="s">
        <v>20095</v>
      </c>
    </row>
    <row r="8392" spans="6:8">
      <c r="H8392" t="s">
        <v>20096</v>
      </c>
    </row>
    <row r="8393" spans="6:8">
      <c r="H8393" t="s">
        <v>20097</v>
      </c>
    </row>
    <row r="8394" spans="6:8">
      <c r="H8394" t="s">
        <v>20098</v>
      </c>
    </row>
    <row r="8395" spans="6:8">
      <c r="H8395" t="s">
        <v>20099</v>
      </c>
    </row>
    <row r="8396" spans="6:8">
      <c r="H8396" t="s">
        <v>20100</v>
      </c>
    </row>
    <row r="8397" spans="6:8">
      <c r="F8397" t="s">
        <v>11078</v>
      </c>
      <c r="G8397" t="s">
        <v>15469</v>
      </c>
      <c r="H8397" t="s">
        <v>20091</v>
      </c>
    </row>
    <row r="8398" spans="6:8">
      <c r="H8398" t="s">
        <v>19712</v>
      </c>
    </row>
    <row r="8399" spans="6:8">
      <c r="H8399" t="s">
        <v>19709</v>
      </c>
    </row>
    <row r="8400" spans="6:8">
      <c r="H8400" t="s">
        <v>20107</v>
      </c>
    </row>
    <row r="8401" spans="6:8">
      <c r="H8401" t="s">
        <v>20108</v>
      </c>
    </row>
    <row r="8402" spans="6:8">
      <c r="H8402" t="s">
        <v>20095</v>
      </c>
    </row>
    <row r="8403" spans="6:8">
      <c r="H8403" t="s">
        <v>20096</v>
      </c>
    </row>
    <row r="8404" spans="6:8">
      <c r="H8404" t="s">
        <v>20097</v>
      </c>
    </row>
    <row r="8405" spans="6:8">
      <c r="H8405" t="s">
        <v>20098</v>
      </c>
    </row>
    <row r="8406" spans="6:8">
      <c r="H8406" t="s">
        <v>20099</v>
      </c>
    </row>
    <row r="8407" spans="6:8">
      <c r="H8407" t="s">
        <v>20100</v>
      </c>
    </row>
    <row r="8408" spans="6:8">
      <c r="F8408" t="s">
        <v>11079</v>
      </c>
      <c r="G8408" t="s">
        <v>15470</v>
      </c>
      <c r="H8408" t="s">
        <v>20091</v>
      </c>
    </row>
    <row r="8409" spans="6:8">
      <c r="H8409" t="s">
        <v>19712</v>
      </c>
    </row>
    <row r="8410" spans="6:8">
      <c r="H8410" t="s">
        <v>19709</v>
      </c>
    </row>
    <row r="8411" spans="6:8">
      <c r="H8411" t="s">
        <v>20107</v>
      </c>
    </row>
    <row r="8412" spans="6:8">
      <c r="H8412" t="s">
        <v>20108</v>
      </c>
    </row>
    <row r="8413" spans="6:8">
      <c r="H8413" t="s">
        <v>20095</v>
      </c>
    </row>
    <row r="8414" spans="6:8">
      <c r="H8414" t="s">
        <v>20096</v>
      </c>
    </row>
    <row r="8415" spans="6:8">
      <c r="H8415" t="s">
        <v>20097</v>
      </c>
    </row>
    <row r="8416" spans="6:8">
      <c r="H8416" t="s">
        <v>20098</v>
      </c>
    </row>
    <row r="8417" spans="6:8">
      <c r="H8417" t="s">
        <v>20099</v>
      </c>
    </row>
    <row r="8418" spans="6:8">
      <c r="H8418" t="s">
        <v>20100</v>
      </c>
    </row>
    <row r="8419" spans="6:8">
      <c r="F8419" t="s">
        <v>11080</v>
      </c>
      <c r="G8419" t="s">
        <v>15471</v>
      </c>
      <c r="H8419" t="s">
        <v>20091</v>
      </c>
    </row>
    <row r="8420" spans="6:8">
      <c r="H8420" t="s">
        <v>19712</v>
      </c>
    </row>
    <row r="8421" spans="6:8">
      <c r="H8421" t="s">
        <v>19709</v>
      </c>
    </row>
    <row r="8422" spans="6:8">
      <c r="H8422" t="s">
        <v>20107</v>
      </c>
    </row>
    <row r="8423" spans="6:8">
      <c r="H8423" t="s">
        <v>20108</v>
      </c>
    </row>
    <row r="8424" spans="6:8">
      <c r="H8424" t="s">
        <v>20095</v>
      </c>
    </row>
    <row r="8425" spans="6:8">
      <c r="H8425" t="s">
        <v>20096</v>
      </c>
    </row>
    <row r="8426" spans="6:8">
      <c r="H8426" t="s">
        <v>20097</v>
      </c>
    </row>
    <row r="8427" spans="6:8">
      <c r="H8427" t="s">
        <v>20098</v>
      </c>
    </row>
    <row r="8428" spans="6:8">
      <c r="H8428" t="s">
        <v>20099</v>
      </c>
    </row>
    <row r="8429" spans="6:8">
      <c r="H8429" t="s">
        <v>20100</v>
      </c>
    </row>
    <row r="8430" spans="6:8">
      <c r="F8430" t="s">
        <v>11081</v>
      </c>
      <c r="G8430" t="s">
        <v>15472</v>
      </c>
      <c r="H8430" t="s">
        <v>20091</v>
      </c>
    </row>
    <row r="8431" spans="6:8">
      <c r="H8431" t="s">
        <v>19712</v>
      </c>
    </row>
    <row r="8432" spans="6:8">
      <c r="H8432" t="s">
        <v>20095</v>
      </c>
    </row>
    <row r="8433" spans="6:8">
      <c r="H8433" t="s">
        <v>20096</v>
      </c>
    </row>
    <row r="8434" spans="6:8">
      <c r="H8434" t="s">
        <v>20097</v>
      </c>
    </row>
    <row r="8435" spans="6:8">
      <c r="H8435" t="s">
        <v>20098</v>
      </c>
    </row>
    <row r="8436" spans="6:8">
      <c r="H8436" t="s">
        <v>20099</v>
      </c>
    </row>
    <row r="8437" spans="6:8">
      <c r="F8437" t="s">
        <v>11082</v>
      </c>
      <c r="G8437" t="s">
        <v>15473</v>
      </c>
      <c r="H8437" t="s">
        <v>20091</v>
      </c>
    </row>
    <row r="8438" spans="6:8">
      <c r="H8438" t="s">
        <v>19712</v>
      </c>
    </row>
    <row r="8439" spans="6:8">
      <c r="H8439" t="s">
        <v>20095</v>
      </c>
    </row>
    <row r="8440" spans="6:8">
      <c r="H8440" t="s">
        <v>20096</v>
      </c>
    </row>
    <row r="8441" spans="6:8">
      <c r="H8441" t="s">
        <v>20097</v>
      </c>
    </row>
    <row r="8442" spans="6:8">
      <c r="H8442" t="s">
        <v>20098</v>
      </c>
    </row>
    <row r="8443" spans="6:8">
      <c r="H8443" t="s">
        <v>20099</v>
      </c>
    </row>
    <row r="8444" spans="6:8">
      <c r="F8444" t="s">
        <v>11083</v>
      </c>
      <c r="G8444" t="s">
        <v>15474</v>
      </c>
      <c r="H8444" t="s">
        <v>20091</v>
      </c>
    </row>
    <row r="8445" spans="6:8">
      <c r="H8445" t="s">
        <v>19712</v>
      </c>
    </row>
    <row r="8446" spans="6:8">
      <c r="H8446" t="s">
        <v>19709</v>
      </c>
    </row>
    <row r="8447" spans="6:8">
      <c r="H8447" t="s">
        <v>20107</v>
      </c>
    </row>
    <row r="8448" spans="6:8">
      <c r="H8448" t="s">
        <v>20108</v>
      </c>
    </row>
    <row r="8449" spans="8:8">
      <c r="H8449" t="s">
        <v>19713</v>
      </c>
    </row>
    <row r="8450" spans="8:8">
      <c r="H8450" t="s">
        <v>19714</v>
      </c>
    </row>
    <row r="8451" spans="8:8">
      <c r="H8451" t="s">
        <v>20109</v>
      </c>
    </row>
    <row r="8452" spans="8:8">
      <c r="H8452" t="s">
        <v>20110</v>
      </c>
    </row>
    <row r="8453" spans="8:8">
      <c r="H8453" t="s">
        <v>20111</v>
      </c>
    </row>
    <row r="8454" spans="8:8">
      <c r="H8454" t="s">
        <v>20095</v>
      </c>
    </row>
    <row r="8455" spans="8:8">
      <c r="H8455" t="s">
        <v>20096</v>
      </c>
    </row>
    <row r="8456" spans="8:8">
      <c r="H8456" t="s">
        <v>20097</v>
      </c>
    </row>
    <row r="8457" spans="8:8">
      <c r="H8457" t="s">
        <v>20098</v>
      </c>
    </row>
    <row r="8458" spans="8:8">
      <c r="H8458" t="s">
        <v>19706</v>
      </c>
    </row>
    <row r="8459" spans="8:8">
      <c r="H8459" t="s">
        <v>19707</v>
      </c>
    </row>
    <row r="8460" spans="8:8">
      <c r="H8460" t="s">
        <v>19711</v>
      </c>
    </row>
    <row r="8461" spans="8:8">
      <c r="H8461" t="s">
        <v>20112</v>
      </c>
    </row>
    <row r="8462" spans="8:8">
      <c r="H8462" t="s">
        <v>20113</v>
      </c>
    </row>
    <row r="8463" spans="8:8">
      <c r="H8463" t="s">
        <v>20114</v>
      </c>
    </row>
    <row r="8464" spans="8:8">
      <c r="H8464" t="s">
        <v>20115</v>
      </c>
    </row>
    <row r="8465" spans="6:8">
      <c r="H8465" t="s">
        <v>20120</v>
      </c>
    </row>
    <row r="8466" spans="6:8">
      <c r="H8466" t="s">
        <v>20121</v>
      </c>
    </row>
    <row r="8467" spans="6:8">
      <c r="H8467" t="s">
        <v>20122</v>
      </c>
    </row>
    <row r="8468" spans="6:8">
      <c r="H8468" t="s">
        <v>20099</v>
      </c>
    </row>
    <row r="8469" spans="6:8">
      <c r="H8469" t="s">
        <v>20100</v>
      </c>
    </row>
    <row r="8470" spans="6:8">
      <c r="H8470" t="s">
        <v>20101</v>
      </c>
    </row>
    <row r="8471" spans="6:8">
      <c r="H8471" t="s">
        <v>20102</v>
      </c>
    </row>
    <row r="8472" spans="6:8">
      <c r="F8472" t="s">
        <v>11084</v>
      </c>
      <c r="G8472" t="s">
        <v>15475</v>
      </c>
      <c r="H8472" t="s">
        <v>20091</v>
      </c>
    </row>
    <row r="8473" spans="6:8">
      <c r="H8473" t="s">
        <v>19712</v>
      </c>
    </row>
    <row r="8474" spans="6:8">
      <c r="H8474" t="s">
        <v>20095</v>
      </c>
    </row>
    <row r="8475" spans="6:8">
      <c r="H8475" t="s">
        <v>20096</v>
      </c>
    </row>
    <row r="8476" spans="6:8">
      <c r="H8476" t="s">
        <v>20097</v>
      </c>
    </row>
    <row r="8477" spans="6:8">
      <c r="H8477" t="s">
        <v>20098</v>
      </c>
    </row>
    <row r="8478" spans="6:8">
      <c r="H8478" t="s">
        <v>19709</v>
      </c>
    </row>
    <row r="8479" spans="6:8">
      <c r="H8479" t="s">
        <v>19706</v>
      </c>
    </row>
    <row r="8480" spans="6:8">
      <c r="H8480" t="s">
        <v>20099</v>
      </c>
    </row>
    <row r="8481" spans="6:8">
      <c r="H8481" t="s">
        <v>20100</v>
      </c>
    </row>
    <row r="8482" spans="6:8">
      <c r="H8482" t="s">
        <v>20101</v>
      </c>
    </row>
    <row r="8483" spans="6:8">
      <c r="H8483" t="s">
        <v>20102</v>
      </c>
    </row>
    <row r="8484" spans="6:8">
      <c r="F8484" t="s">
        <v>11085</v>
      </c>
      <c r="G8484" t="s">
        <v>15476</v>
      </c>
      <c r="H8484" t="s">
        <v>20091</v>
      </c>
    </row>
    <row r="8485" spans="6:8">
      <c r="H8485" t="s">
        <v>19712</v>
      </c>
    </row>
    <row r="8486" spans="6:8">
      <c r="H8486" t="s">
        <v>20095</v>
      </c>
    </row>
    <row r="8487" spans="6:8">
      <c r="H8487" t="s">
        <v>20096</v>
      </c>
    </row>
    <row r="8488" spans="6:8">
      <c r="H8488" t="s">
        <v>20097</v>
      </c>
    </row>
    <row r="8489" spans="6:8">
      <c r="H8489" t="s">
        <v>20098</v>
      </c>
    </row>
    <row r="8490" spans="6:8">
      <c r="F8490" t="s">
        <v>11086</v>
      </c>
      <c r="G8490" t="s">
        <v>15477</v>
      </c>
      <c r="H8490" t="s">
        <v>20091</v>
      </c>
    </row>
    <row r="8491" spans="6:8">
      <c r="H8491" t="s">
        <v>19712</v>
      </c>
    </row>
    <row r="8492" spans="6:8">
      <c r="H8492" t="s">
        <v>20095</v>
      </c>
    </row>
    <row r="8493" spans="6:8">
      <c r="H8493" t="s">
        <v>20096</v>
      </c>
    </row>
    <row r="8494" spans="6:8">
      <c r="H8494" t="s">
        <v>20097</v>
      </c>
    </row>
    <row r="8495" spans="6:8">
      <c r="H8495" t="s">
        <v>20098</v>
      </c>
    </row>
    <row r="8496" spans="6:8">
      <c r="F8496" t="s">
        <v>11087</v>
      </c>
      <c r="G8496" t="s">
        <v>15478</v>
      </c>
      <c r="H8496" t="s">
        <v>20091</v>
      </c>
    </row>
    <row r="8497" spans="6:8">
      <c r="H8497" t="s">
        <v>19712</v>
      </c>
    </row>
    <row r="8498" spans="6:8">
      <c r="H8498" t="s">
        <v>20095</v>
      </c>
    </row>
    <row r="8499" spans="6:8">
      <c r="H8499" t="s">
        <v>20096</v>
      </c>
    </row>
    <row r="8500" spans="6:8">
      <c r="H8500" t="s">
        <v>20097</v>
      </c>
    </row>
    <row r="8501" spans="6:8">
      <c r="H8501" t="s">
        <v>20098</v>
      </c>
    </row>
    <row r="8502" spans="6:8">
      <c r="F8502" t="s">
        <v>11088</v>
      </c>
      <c r="G8502" t="s">
        <v>15479</v>
      </c>
      <c r="H8502" t="s">
        <v>20091</v>
      </c>
    </row>
    <row r="8503" spans="6:8">
      <c r="H8503" t="s">
        <v>19712</v>
      </c>
    </row>
    <row r="8504" spans="6:8">
      <c r="H8504" t="s">
        <v>20095</v>
      </c>
    </row>
    <row r="8505" spans="6:8">
      <c r="H8505" t="s">
        <v>20096</v>
      </c>
    </row>
    <row r="8506" spans="6:8">
      <c r="H8506" t="s">
        <v>20097</v>
      </c>
    </row>
    <row r="8507" spans="6:8">
      <c r="H8507" t="s">
        <v>20098</v>
      </c>
    </row>
    <row r="8508" spans="6:8">
      <c r="F8508" t="s">
        <v>11089</v>
      </c>
      <c r="G8508" t="s">
        <v>15480</v>
      </c>
      <c r="H8508" t="s">
        <v>20091</v>
      </c>
    </row>
    <row r="8509" spans="6:8">
      <c r="H8509" t="s">
        <v>19712</v>
      </c>
    </row>
    <row r="8510" spans="6:8">
      <c r="H8510" t="s">
        <v>19709</v>
      </c>
    </row>
    <row r="8511" spans="6:8">
      <c r="H8511" t="s">
        <v>19706</v>
      </c>
    </row>
    <row r="8512" spans="6:8">
      <c r="H8512" t="s">
        <v>20107</v>
      </c>
    </row>
    <row r="8513" spans="6:8">
      <c r="H8513" t="s">
        <v>20108</v>
      </c>
    </row>
    <row r="8514" spans="6:8">
      <c r="H8514" t="s">
        <v>19713</v>
      </c>
    </row>
    <row r="8515" spans="6:8">
      <c r="H8515" t="s">
        <v>19714</v>
      </c>
    </row>
    <row r="8516" spans="6:8">
      <c r="H8516" t="s">
        <v>20109</v>
      </c>
    </row>
    <row r="8517" spans="6:8">
      <c r="H8517" t="s">
        <v>20095</v>
      </c>
    </row>
    <row r="8518" spans="6:8">
      <c r="H8518" t="s">
        <v>20096</v>
      </c>
    </row>
    <row r="8519" spans="6:8">
      <c r="H8519" t="s">
        <v>20097</v>
      </c>
    </row>
    <row r="8520" spans="6:8">
      <c r="H8520" t="s">
        <v>20098</v>
      </c>
    </row>
    <row r="8521" spans="6:8">
      <c r="F8521" t="s">
        <v>11090</v>
      </c>
      <c r="G8521" t="s">
        <v>15481</v>
      </c>
      <c r="H8521" t="s">
        <v>20091</v>
      </c>
    </row>
    <row r="8522" spans="6:8">
      <c r="H8522" t="s">
        <v>19712</v>
      </c>
    </row>
    <row r="8523" spans="6:8">
      <c r="H8523" t="s">
        <v>19709</v>
      </c>
    </row>
    <row r="8524" spans="6:8">
      <c r="H8524" t="s">
        <v>19706</v>
      </c>
    </row>
    <row r="8525" spans="6:8">
      <c r="H8525" t="s">
        <v>19707</v>
      </c>
    </row>
    <row r="8526" spans="6:8">
      <c r="H8526" t="s">
        <v>20107</v>
      </c>
    </row>
    <row r="8527" spans="6:8">
      <c r="H8527" t="s">
        <v>20108</v>
      </c>
    </row>
    <row r="8528" spans="6:8">
      <c r="H8528" t="s">
        <v>20095</v>
      </c>
    </row>
    <row r="8529" spans="6:8">
      <c r="H8529" t="s">
        <v>20096</v>
      </c>
    </row>
    <row r="8530" spans="6:8">
      <c r="H8530" t="s">
        <v>20097</v>
      </c>
    </row>
    <row r="8531" spans="6:8">
      <c r="H8531" t="s">
        <v>20098</v>
      </c>
    </row>
    <row r="8532" spans="6:8">
      <c r="F8532" t="s">
        <v>11091</v>
      </c>
      <c r="G8532" t="s">
        <v>15482</v>
      </c>
      <c r="H8532" t="s">
        <v>20091</v>
      </c>
    </row>
    <row r="8533" spans="6:8">
      <c r="H8533" t="s">
        <v>19712</v>
      </c>
    </row>
    <row r="8534" spans="6:8">
      <c r="H8534" t="s">
        <v>19709</v>
      </c>
    </row>
    <row r="8535" spans="6:8">
      <c r="H8535" t="s">
        <v>20092</v>
      </c>
    </row>
    <row r="8536" spans="6:8">
      <c r="H8536" t="s">
        <v>20093</v>
      </c>
    </row>
    <row r="8537" spans="6:8">
      <c r="H8537" t="s">
        <v>20094</v>
      </c>
    </row>
    <row r="8538" spans="6:8">
      <c r="H8538" t="s">
        <v>20103</v>
      </c>
    </row>
    <row r="8539" spans="6:8">
      <c r="H8539" t="s">
        <v>20116</v>
      </c>
    </row>
    <row r="8540" spans="6:8">
      <c r="H8540" t="s">
        <v>20117</v>
      </c>
    </row>
    <row r="8541" spans="6:8">
      <c r="H8541" t="s">
        <v>20118</v>
      </c>
    </row>
    <row r="8542" spans="6:8">
      <c r="H8542" t="s">
        <v>19176</v>
      </c>
    </row>
    <row r="8543" spans="6:8">
      <c r="H8543" t="s">
        <v>20095</v>
      </c>
    </row>
    <row r="8544" spans="6:8">
      <c r="H8544" t="s">
        <v>20096</v>
      </c>
    </row>
    <row r="8545" spans="6:8">
      <c r="H8545" t="s">
        <v>20099</v>
      </c>
    </row>
    <row r="8546" spans="6:8">
      <c r="H8546" t="s">
        <v>20100</v>
      </c>
    </row>
    <row r="8547" spans="6:8">
      <c r="H8547" t="s">
        <v>20101</v>
      </c>
    </row>
    <row r="8548" spans="6:8">
      <c r="H8548" t="s">
        <v>20102</v>
      </c>
    </row>
    <row r="8549" spans="6:8">
      <c r="H8549" t="s">
        <v>20104</v>
      </c>
    </row>
    <row r="8550" spans="6:8">
      <c r="H8550" t="s">
        <v>20105</v>
      </c>
    </row>
    <row r="8551" spans="6:8">
      <c r="H8551" t="s">
        <v>20123</v>
      </c>
    </row>
    <row r="8552" spans="6:8">
      <c r="H8552" t="s">
        <v>20124</v>
      </c>
    </row>
    <row r="8553" spans="6:8">
      <c r="F8553" t="s">
        <v>11092</v>
      </c>
      <c r="G8553" t="s">
        <v>15483</v>
      </c>
      <c r="H8553" t="s">
        <v>20091</v>
      </c>
    </row>
    <row r="8554" spans="6:8">
      <c r="H8554" t="s">
        <v>19712</v>
      </c>
    </row>
    <row r="8555" spans="6:8">
      <c r="H8555" t="s">
        <v>19709</v>
      </c>
    </row>
    <row r="8556" spans="6:8">
      <c r="H8556" t="s">
        <v>19706</v>
      </c>
    </row>
    <row r="8557" spans="6:8">
      <c r="H8557" t="s">
        <v>19707</v>
      </c>
    </row>
    <row r="8558" spans="6:8">
      <c r="H8558" t="s">
        <v>19711</v>
      </c>
    </row>
    <row r="8559" spans="6:8">
      <c r="H8559" t="s">
        <v>19708</v>
      </c>
    </row>
    <row r="8560" spans="6:8">
      <c r="H8560" t="s">
        <v>19710</v>
      </c>
    </row>
    <row r="8561" spans="8:8">
      <c r="H8561" t="s">
        <v>20092</v>
      </c>
    </row>
    <row r="8562" spans="8:8">
      <c r="H8562" t="s">
        <v>20093</v>
      </c>
    </row>
    <row r="8563" spans="8:8">
      <c r="H8563" t="s">
        <v>20094</v>
      </c>
    </row>
    <row r="8564" spans="8:8">
      <c r="H8564" t="s">
        <v>20103</v>
      </c>
    </row>
    <row r="8565" spans="8:8">
      <c r="H8565" t="s">
        <v>20116</v>
      </c>
    </row>
    <row r="8566" spans="8:8">
      <c r="H8566" t="s">
        <v>20117</v>
      </c>
    </row>
    <row r="8567" spans="8:8">
      <c r="H8567" t="s">
        <v>20118</v>
      </c>
    </row>
    <row r="8568" spans="8:8">
      <c r="H8568" t="s">
        <v>20095</v>
      </c>
    </row>
    <row r="8569" spans="8:8">
      <c r="H8569" t="s">
        <v>20096</v>
      </c>
    </row>
    <row r="8570" spans="8:8">
      <c r="H8570" t="s">
        <v>20097</v>
      </c>
    </row>
    <row r="8571" spans="8:8">
      <c r="H8571" t="s">
        <v>20098</v>
      </c>
    </row>
    <row r="8572" spans="8:8">
      <c r="H8572" t="s">
        <v>20099</v>
      </c>
    </row>
    <row r="8573" spans="8:8">
      <c r="H8573" t="s">
        <v>20100</v>
      </c>
    </row>
    <row r="8574" spans="8:8">
      <c r="H8574" t="s">
        <v>20101</v>
      </c>
    </row>
    <row r="8575" spans="8:8">
      <c r="H8575" t="s">
        <v>20102</v>
      </c>
    </row>
    <row r="8576" spans="8:8">
      <c r="H8576" t="s">
        <v>20104</v>
      </c>
    </row>
    <row r="8577" spans="6:8">
      <c r="H8577" t="s">
        <v>20105</v>
      </c>
    </row>
    <row r="8578" spans="6:8">
      <c r="H8578" t="s">
        <v>20123</v>
      </c>
    </row>
    <row r="8579" spans="6:8">
      <c r="F8579" t="s">
        <v>11093</v>
      </c>
      <c r="G8579" t="s">
        <v>15104</v>
      </c>
      <c r="H8579" t="s">
        <v>20125</v>
      </c>
    </row>
    <row r="8580" spans="6:8">
      <c r="F8580" t="s">
        <v>11094</v>
      </c>
      <c r="G8580" t="s">
        <v>15484</v>
      </c>
      <c r="H8580" t="s">
        <v>20091</v>
      </c>
    </row>
    <row r="8581" spans="6:8">
      <c r="H8581" t="s">
        <v>19712</v>
      </c>
    </row>
    <row r="8582" spans="6:8">
      <c r="H8582" t="s">
        <v>19709</v>
      </c>
    </row>
    <row r="8583" spans="6:8">
      <c r="H8583" t="s">
        <v>19706</v>
      </c>
    </row>
    <row r="8584" spans="6:8">
      <c r="H8584" t="s">
        <v>19707</v>
      </c>
    </row>
    <row r="8585" spans="6:8">
      <c r="H8585" t="s">
        <v>19711</v>
      </c>
    </row>
    <row r="8586" spans="6:8">
      <c r="H8586" t="s">
        <v>20092</v>
      </c>
    </row>
    <row r="8587" spans="6:8">
      <c r="H8587" t="s">
        <v>20093</v>
      </c>
    </row>
    <row r="8588" spans="6:8">
      <c r="H8588" t="s">
        <v>20094</v>
      </c>
    </row>
    <row r="8589" spans="6:8">
      <c r="H8589" t="s">
        <v>20116</v>
      </c>
    </row>
    <row r="8590" spans="6:8">
      <c r="H8590" t="s">
        <v>20117</v>
      </c>
    </row>
    <row r="8591" spans="6:8">
      <c r="H8591" t="s">
        <v>20118</v>
      </c>
    </row>
    <row r="8592" spans="6:8">
      <c r="H8592" t="s">
        <v>19176</v>
      </c>
    </row>
    <row r="8593" spans="6:8">
      <c r="H8593" t="s">
        <v>20119</v>
      </c>
    </row>
    <row r="8594" spans="6:8">
      <c r="H8594" t="s">
        <v>20095</v>
      </c>
    </row>
    <row r="8595" spans="6:8">
      <c r="H8595" t="s">
        <v>20096</v>
      </c>
    </row>
    <row r="8596" spans="6:8">
      <c r="H8596" t="s">
        <v>20097</v>
      </c>
    </row>
    <row r="8597" spans="6:8">
      <c r="H8597" t="s">
        <v>20098</v>
      </c>
    </row>
    <row r="8598" spans="6:8">
      <c r="H8598" t="s">
        <v>20099</v>
      </c>
    </row>
    <row r="8599" spans="6:8">
      <c r="H8599" t="s">
        <v>20100</v>
      </c>
    </row>
    <row r="8600" spans="6:8">
      <c r="F8600" t="s">
        <v>11095</v>
      </c>
      <c r="G8600" t="s">
        <v>15485</v>
      </c>
      <c r="H8600" t="s">
        <v>20126</v>
      </c>
    </row>
    <row r="8601" spans="6:8">
      <c r="H8601" t="s">
        <v>20127</v>
      </c>
    </row>
    <row r="8602" spans="6:8">
      <c r="H8602" t="s">
        <v>20128</v>
      </c>
    </row>
    <row r="8603" spans="6:8">
      <c r="H8603" t="s">
        <v>20129</v>
      </c>
    </row>
    <row r="8604" spans="6:8">
      <c r="H8604" t="s">
        <v>20130</v>
      </c>
    </row>
    <row r="8605" spans="6:8">
      <c r="F8605" t="s">
        <v>11096</v>
      </c>
      <c r="G8605" t="s">
        <v>15486</v>
      </c>
      <c r="H8605" t="s">
        <v>20126</v>
      </c>
    </row>
    <row r="8606" spans="6:8">
      <c r="F8606" t="s">
        <v>11097</v>
      </c>
      <c r="G8606" t="s">
        <v>15487</v>
      </c>
      <c r="H8606" t="s">
        <v>20091</v>
      </c>
    </row>
    <row r="8607" spans="6:8">
      <c r="H8607" t="s">
        <v>19712</v>
      </c>
    </row>
    <row r="8608" spans="6:8">
      <c r="H8608" t="s">
        <v>19709</v>
      </c>
    </row>
    <row r="8609" spans="8:8">
      <c r="H8609" t="s">
        <v>19706</v>
      </c>
    </row>
    <row r="8610" spans="8:8">
      <c r="H8610" t="s">
        <v>19707</v>
      </c>
    </row>
    <row r="8611" spans="8:8">
      <c r="H8611" t="s">
        <v>19711</v>
      </c>
    </row>
    <row r="8612" spans="8:8">
      <c r="H8612" t="s">
        <v>20092</v>
      </c>
    </row>
    <row r="8613" spans="8:8">
      <c r="H8613" t="s">
        <v>20093</v>
      </c>
    </row>
    <row r="8614" spans="8:8">
      <c r="H8614" t="s">
        <v>20094</v>
      </c>
    </row>
    <row r="8615" spans="8:8">
      <c r="H8615" t="s">
        <v>20103</v>
      </c>
    </row>
    <row r="8616" spans="8:8">
      <c r="H8616" t="s">
        <v>20116</v>
      </c>
    </row>
    <row r="8617" spans="8:8">
      <c r="H8617" t="s">
        <v>20117</v>
      </c>
    </row>
    <row r="8618" spans="8:8">
      <c r="H8618" t="s">
        <v>20118</v>
      </c>
    </row>
    <row r="8619" spans="8:8">
      <c r="H8619" t="s">
        <v>19176</v>
      </c>
    </row>
    <row r="8620" spans="8:8">
      <c r="H8620" t="s">
        <v>20095</v>
      </c>
    </row>
    <row r="8621" spans="8:8">
      <c r="H8621" t="s">
        <v>20096</v>
      </c>
    </row>
    <row r="8622" spans="8:8">
      <c r="H8622" t="s">
        <v>20097</v>
      </c>
    </row>
    <row r="8623" spans="8:8">
      <c r="H8623" t="s">
        <v>20098</v>
      </c>
    </row>
    <row r="8624" spans="8:8">
      <c r="H8624" t="s">
        <v>20099</v>
      </c>
    </row>
    <row r="8625" spans="6:8">
      <c r="H8625" t="s">
        <v>20100</v>
      </c>
    </row>
    <row r="8626" spans="6:8">
      <c r="H8626" t="s">
        <v>20101</v>
      </c>
    </row>
    <row r="8627" spans="6:8">
      <c r="H8627" t="s">
        <v>20102</v>
      </c>
    </row>
    <row r="8628" spans="6:8">
      <c r="H8628" t="s">
        <v>20104</v>
      </c>
    </row>
    <row r="8629" spans="6:8">
      <c r="F8629" t="s">
        <v>11098</v>
      </c>
      <c r="G8629" t="s">
        <v>15488</v>
      </c>
      <c r="H8629" t="s">
        <v>20091</v>
      </c>
    </row>
    <row r="8630" spans="6:8">
      <c r="H8630" t="s">
        <v>19712</v>
      </c>
    </row>
    <row r="8631" spans="6:8">
      <c r="H8631" t="s">
        <v>19709</v>
      </c>
    </row>
    <row r="8632" spans="6:8">
      <c r="H8632" t="s">
        <v>20107</v>
      </c>
    </row>
    <row r="8633" spans="6:8">
      <c r="H8633" t="s">
        <v>20108</v>
      </c>
    </row>
    <row r="8634" spans="6:8">
      <c r="H8634" t="s">
        <v>20095</v>
      </c>
    </row>
    <row r="8635" spans="6:8">
      <c r="H8635" t="s">
        <v>20096</v>
      </c>
    </row>
    <row r="8636" spans="6:8">
      <c r="H8636" t="s">
        <v>20097</v>
      </c>
    </row>
    <row r="8637" spans="6:8">
      <c r="H8637" t="s">
        <v>20098</v>
      </c>
    </row>
    <row r="8638" spans="6:8">
      <c r="F8638" t="s">
        <v>11099</v>
      </c>
      <c r="G8638" t="s">
        <v>15489</v>
      </c>
      <c r="H8638" t="s">
        <v>20091</v>
      </c>
    </row>
    <row r="8639" spans="6:8">
      <c r="H8639" t="s">
        <v>19712</v>
      </c>
    </row>
    <row r="8640" spans="6:8">
      <c r="H8640" t="s">
        <v>19709</v>
      </c>
    </row>
    <row r="8641" spans="6:8">
      <c r="H8641" t="s">
        <v>19706</v>
      </c>
    </row>
    <row r="8642" spans="6:8">
      <c r="H8642" t="s">
        <v>19707</v>
      </c>
    </row>
    <row r="8643" spans="6:8">
      <c r="H8643" t="s">
        <v>19711</v>
      </c>
    </row>
    <row r="8644" spans="6:8">
      <c r="H8644" t="s">
        <v>20107</v>
      </c>
    </row>
    <row r="8645" spans="6:8">
      <c r="H8645" t="s">
        <v>20108</v>
      </c>
    </row>
    <row r="8646" spans="6:8">
      <c r="H8646" t="s">
        <v>19713</v>
      </c>
    </row>
    <row r="8647" spans="6:8">
      <c r="H8647" t="s">
        <v>19714</v>
      </c>
    </row>
    <row r="8648" spans="6:8">
      <c r="H8648" t="s">
        <v>20109</v>
      </c>
    </row>
    <row r="8649" spans="6:8">
      <c r="H8649" t="s">
        <v>20110</v>
      </c>
    </row>
    <row r="8650" spans="6:8">
      <c r="H8650" t="s">
        <v>20092</v>
      </c>
    </row>
    <row r="8651" spans="6:8">
      <c r="H8651" t="s">
        <v>20095</v>
      </c>
    </row>
    <row r="8652" spans="6:8">
      <c r="H8652" t="s">
        <v>20096</v>
      </c>
    </row>
    <row r="8653" spans="6:8">
      <c r="H8653" t="s">
        <v>20097</v>
      </c>
    </row>
    <row r="8654" spans="6:8">
      <c r="H8654" t="s">
        <v>20098</v>
      </c>
    </row>
    <row r="8655" spans="6:8">
      <c r="F8655" t="s">
        <v>11100</v>
      </c>
      <c r="G8655" t="s">
        <v>15490</v>
      </c>
      <c r="H8655" t="s">
        <v>20091</v>
      </c>
    </row>
    <row r="8656" spans="6:8">
      <c r="H8656" t="s">
        <v>19712</v>
      </c>
    </row>
    <row r="8657" spans="6:8">
      <c r="H8657" t="s">
        <v>19709</v>
      </c>
    </row>
    <row r="8658" spans="6:8">
      <c r="H8658" t="s">
        <v>20092</v>
      </c>
    </row>
    <row r="8659" spans="6:8">
      <c r="H8659" t="s">
        <v>20093</v>
      </c>
    </row>
    <row r="8660" spans="6:8">
      <c r="H8660" t="s">
        <v>20095</v>
      </c>
    </row>
    <row r="8661" spans="6:8">
      <c r="H8661" t="s">
        <v>20096</v>
      </c>
    </row>
    <row r="8662" spans="6:8">
      <c r="H8662" t="s">
        <v>20097</v>
      </c>
    </row>
    <row r="8663" spans="6:8">
      <c r="H8663" t="s">
        <v>20098</v>
      </c>
    </row>
    <row r="8664" spans="6:8">
      <c r="H8664" t="s">
        <v>20099</v>
      </c>
    </row>
    <row r="8665" spans="6:8">
      <c r="H8665" t="s">
        <v>20100</v>
      </c>
    </row>
    <row r="8666" spans="6:8">
      <c r="F8666" t="s">
        <v>11101</v>
      </c>
      <c r="G8666" t="s">
        <v>15491</v>
      </c>
      <c r="H8666" t="s">
        <v>20091</v>
      </c>
    </row>
    <row r="8667" spans="6:8">
      <c r="H8667" t="s">
        <v>19712</v>
      </c>
    </row>
    <row r="8668" spans="6:8">
      <c r="H8668" t="s">
        <v>19709</v>
      </c>
    </row>
    <row r="8669" spans="6:8">
      <c r="H8669" t="s">
        <v>19706</v>
      </c>
    </row>
    <row r="8670" spans="6:8">
      <c r="H8670" t="s">
        <v>19707</v>
      </c>
    </row>
    <row r="8671" spans="6:8">
      <c r="H8671" t="s">
        <v>20107</v>
      </c>
    </row>
    <row r="8672" spans="6:8">
      <c r="H8672" t="s">
        <v>20108</v>
      </c>
    </row>
    <row r="8673" spans="6:8">
      <c r="H8673" t="s">
        <v>19713</v>
      </c>
    </row>
    <row r="8674" spans="6:8">
      <c r="H8674" t="s">
        <v>19714</v>
      </c>
    </row>
    <row r="8675" spans="6:8">
      <c r="H8675" t="s">
        <v>20095</v>
      </c>
    </row>
    <row r="8676" spans="6:8">
      <c r="H8676" t="s">
        <v>20096</v>
      </c>
    </row>
    <row r="8677" spans="6:8">
      <c r="H8677" t="s">
        <v>20097</v>
      </c>
    </row>
    <row r="8678" spans="6:8">
      <c r="H8678" t="s">
        <v>20098</v>
      </c>
    </row>
    <row r="8679" spans="6:8">
      <c r="F8679" t="s">
        <v>11102</v>
      </c>
      <c r="G8679" t="s">
        <v>15492</v>
      </c>
      <c r="H8679" t="s">
        <v>20091</v>
      </c>
    </row>
    <row r="8680" spans="6:8">
      <c r="H8680" t="s">
        <v>19712</v>
      </c>
    </row>
    <row r="8681" spans="6:8">
      <c r="H8681" t="s">
        <v>19709</v>
      </c>
    </row>
    <row r="8682" spans="6:8">
      <c r="H8682" t="s">
        <v>19706</v>
      </c>
    </row>
    <row r="8683" spans="6:8">
      <c r="H8683" t="s">
        <v>19707</v>
      </c>
    </row>
    <row r="8684" spans="6:8">
      <c r="H8684" t="s">
        <v>20107</v>
      </c>
    </row>
    <row r="8685" spans="6:8">
      <c r="H8685" t="s">
        <v>20108</v>
      </c>
    </row>
    <row r="8686" spans="6:8">
      <c r="H8686" t="s">
        <v>19713</v>
      </c>
    </row>
    <row r="8687" spans="6:8">
      <c r="H8687" t="s">
        <v>19714</v>
      </c>
    </row>
    <row r="8688" spans="6:8">
      <c r="H8688" t="s">
        <v>20095</v>
      </c>
    </row>
    <row r="8689" spans="6:8">
      <c r="H8689" t="s">
        <v>20096</v>
      </c>
    </row>
    <row r="8690" spans="6:8">
      <c r="H8690" t="s">
        <v>20097</v>
      </c>
    </row>
    <row r="8691" spans="6:8">
      <c r="H8691" t="s">
        <v>20098</v>
      </c>
    </row>
    <row r="8692" spans="6:8">
      <c r="F8692" t="s">
        <v>11103</v>
      </c>
      <c r="G8692" t="s">
        <v>15493</v>
      </c>
      <c r="H8692" t="s">
        <v>20091</v>
      </c>
    </row>
    <row r="8693" spans="6:8">
      <c r="H8693" t="s">
        <v>19712</v>
      </c>
    </row>
    <row r="8694" spans="6:8">
      <c r="H8694" t="s">
        <v>20095</v>
      </c>
    </row>
    <row r="8695" spans="6:8">
      <c r="H8695" t="s">
        <v>20096</v>
      </c>
    </row>
    <row r="8696" spans="6:8">
      <c r="H8696" t="s">
        <v>20097</v>
      </c>
    </row>
    <row r="8697" spans="6:8">
      <c r="H8697" t="s">
        <v>19709</v>
      </c>
    </row>
    <row r="8698" spans="6:8">
      <c r="H8698" t="s">
        <v>19706</v>
      </c>
    </row>
    <row r="8699" spans="6:8">
      <c r="H8699" t="s">
        <v>20098</v>
      </c>
    </row>
    <row r="8700" spans="6:8">
      <c r="H8700" t="s">
        <v>20099</v>
      </c>
    </row>
    <row r="8701" spans="6:8">
      <c r="H8701" t="s">
        <v>20100</v>
      </c>
    </row>
    <row r="8702" spans="6:8">
      <c r="F8702" t="s">
        <v>11104</v>
      </c>
      <c r="G8702" t="s">
        <v>15494</v>
      </c>
      <c r="H8702" t="s">
        <v>20091</v>
      </c>
    </row>
    <row r="8703" spans="6:8">
      <c r="H8703" t="s">
        <v>19712</v>
      </c>
    </row>
    <row r="8704" spans="6:8">
      <c r="H8704" t="s">
        <v>20095</v>
      </c>
    </row>
    <row r="8705" spans="6:8">
      <c r="H8705" t="s">
        <v>20096</v>
      </c>
    </row>
    <row r="8706" spans="6:8">
      <c r="H8706" t="s">
        <v>20097</v>
      </c>
    </row>
    <row r="8707" spans="6:8">
      <c r="F8707" t="s">
        <v>11105</v>
      </c>
      <c r="G8707" t="s">
        <v>15495</v>
      </c>
      <c r="H8707" t="s">
        <v>20091</v>
      </c>
    </row>
    <row r="8708" spans="6:8">
      <c r="H8708" t="s">
        <v>19712</v>
      </c>
    </row>
    <row r="8709" spans="6:8">
      <c r="H8709" t="s">
        <v>20095</v>
      </c>
    </row>
    <row r="8710" spans="6:8">
      <c r="H8710" t="s">
        <v>20096</v>
      </c>
    </row>
    <row r="8711" spans="6:8">
      <c r="H8711" t="s">
        <v>20097</v>
      </c>
    </row>
    <row r="8712" spans="6:8">
      <c r="F8712" t="s">
        <v>11106</v>
      </c>
      <c r="G8712" t="s">
        <v>15496</v>
      </c>
      <c r="H8712" t="s">
        <v>20091</v>
      </c>
    </row>
    <row r="8713" spans="6:8">
      <c r="H8713" t="s">
        <v>19712</v>
      </c>
    </row>
    <row r="8714" spans="6:8">
      <c r="H8714" t="s">
        <v>20095</v>
      </c>
    </row>
    <row r="8715" spans="6:8">
      <c r="H8715" t="s">
        <v>20096</v>
      </c>
    </row>
    <row r="8716" spans="6:8">
      <c r="H8716" t="s">
        <v>20097</v>
      </c>
    </row>
    <row r="8717" spans="6:8">
      <c r="F8717" t="s">
        <v>11107</v>
      </c>
      <c r="G8717" t="s">
        <v>15497</v>
      </c>
      <c r="H8717" t="s">
        <v>20091</v>
      </c>
    </row>
    <row r="8718" spans="6:8">
      <c r="H8718" t="s">
        <v>19712</v>
      </c>
    </row>
    <row r="8719" spans="6:8">
      <c r="H8719" t="s">
        <v>20095</v>
      </c>
    </row>
    <row r="8720" spans="6:8">
      <c r="H8720" t="s">
        <v>20096</v>
      </c>
    </row>
    <row r="8721" spans="6:8">
      <c r="H8721" t="s">
        <v>20097</v>
      </c>
    </row>
    <row r="8722" spans="6:8">
      <c r="F8722" t="s">
        <v>11108</v>
      </c>
      <c r="G8722" t="s">
        <v>15498</v>
      </c>
      <c r="H8722" t="s">
        <v>20091</v>
      </c>
    </row>
    <row r="8723" spans="6:8">
      <c r="H8723" t="s">
        <v>19712</v>
      </c>
    </row>
    <row r="8724" spans="6:8">
      <c r="H8724" t="s">
        <v>19709</v>
      </c>
    </row>
    <row r="8725" spans="6:8">
      <c r="H8725" t="s">
        <v>19706</v>
      </c>
    </row>
    <row r="8726" spans="6:8">
      <c r="H8726" t="s">
        <v>20107</v>
      </c>
    </row>
    <row r="8727" spans="6:8">
      <c r="H8727" t="s">
        <v>20108</v>
      </c>
    </row>
    <row r="8728" spans="6:8">
      <c r="H8728" t="s">
        <v>19713</v>
      </c>
    </row>
    <row r="8729" spans="6:8">
      <c r="H8729" t="s">
        <v>19714</v>
      </c>
    </row>
    <row r="8730" spans="6:8">
      <c r="H8730" t="s">
        <v>20109</v>
      </c>
    </row>
    <row r="8731" spans="6:8">
      <c r="H8731" t="s">
        <v>20110</v>
      </c>
    </row>
    <row r="8732" spans="6:8">
      <c r="H8732" t="s">
        <v>20111</v>
      </c>
    </row>
    <row r="8733" spans="6:8">
      <c r="H8733" t="s">
        <v>20112</v>
      </c>
    </row>
    <row r="8734" spans="6:8">
      <c r="H8734" t="s">
        <v>20113</v>
      </c>
    </row>
    <row r="8735" spans="6:8">
      <c r="H8735" t="s">
        <v>20095</v>
      </c>
    </row>
    <row r="8736" spans="6:8">
      <c r="H8736" t="s">
        <v>20096</v>
      </c>
    </row>
    <row r="8737" spans="6:8">
      <c r="H8737" t="s">
        <v>20097</v>
      </c>
    </row>
    <row r="8738" spans="6:8">
      <c r="H8738" t="s">
        <v>20098</v>
      </c>
    </row>
    <row r="8739" spans="6:8">
      <c r="F8739" t="s">
        <v>11109</v>
      </c>
      <c r="G8739" t="s">
        <v>15499</v>
      </c>
      <c r="H8739" t="s">
        <v>20091</v>
      </c>
    </row>
    <row r="8740" spans="6:8">
      <c r="H8740" t="s">
        <v>19712</v>
      </c>
    </row>
    <row r="8741" spans="6:8">
      <c r="H8741" t="s">
        <v>19709</v>
      </c>
    </row>
    <row r="8742" spans="6:8">
      <c r="H8742" t="s">
        <v>19706</v>
      </c>
    </row>
    <row r="8743" spans="6:8">
      <c r="H8743" t="s">
        <v>19707</v>
      </c>
    </row>
    <row r="8744" spans="6:8">
      <c r="H8744" t="s">
        <v>20107</v>
      </c>
    </row>
    <row r="8745" spans="6:8">
      <c r="H8745" t="s">
        <v>20108</v>
      </c>
    </row>
    <row r="8746" spans="6:8">
      <c r="H8746" t="s">
        <v>19713</v>
      </c>
    </row>
    <row r="8747" spans="6:8">
      <c r="H8747" t="s">
        <v>19714</v>
      </c>
    </row>
    <row r="8748" spans="6:8">
      <c r="H8748" t="s">
        <v>20095</v>
      </c>
    </row>
    <row r="8749" spans="6:8">
      <c r="H8749" t="s">
        <v>20096</v>
      </c>
    </row>
    <row r="8750" spans="6:8">
      <c r="H8750" t="s">
        <v>20097</v>
      </c>
    </row>
    <row r="8751" spans="6:8">
      <c r="H8751" t="s">
        <v>20098</v>
      </c>
    </row>
    <row r="8752" spans="6:8">
      <c r="F8752" t="s">
        <v>11110</v>
      </c>
      <c r="G8752" t="s">
        <v>15500</v>
      </c>
      <c r="H8752" t="s">
        <v>20091</v>
      </c>
    </row>
    <row r="8753" spans="6:8">
      <c r="H8753" t="s">
        <v>19712</v>
      </c>
    </row>
    <row r="8754" spans="6:8">
      <c r="H8754" t="s">
        <v>19709</v>
      </c>
    </row>
    <row r="8755" spans="6:8">
      <c r="H8755" t="s">
        <v>20107</v>
      </c>
    </row>
    <row r="8756" spans="6:8">
      <c r="H8756" t="s">
        <v>20108</v>
      </c>
    </row>
    <row r="8757" spans="6:8">
      <c r="H8757" t="s">
        <v>20095</v>
      </c>
    </row>
    <row r="8758" spans="6:8">
      <c r="H8758" t="s">
        <v>20096</v>
      </c>
    </row>
    <row r="8759" spans="6:8">
      <c r="H8759" t="s">
        <v>20097</v>
      </c>
    </row>
    <row r="8760" spans="6:8">
      <c r="H8760" t="s">
        <v>20098</v>
      </c>
    </row>
    <row r="8761" spans="6:8">
      <c r="F8761" t="s">
        <v>11111</v>
      </c>
      <c r="G8761" t="s">
        <v>15501</v>
      </c>
      <c r="H8761" t="s">
        <v>20091</v>
      </c>
    </row>
    <row r="8762" spans="6:8">
      <c r="H8762" t="s">
        <v>19712</v>
      </c>
    </row>
    <row r="8763" spans="6:8">
      <c r="H8763" t="s">
        <v>20095</v>
      </c>
    </row>
    <row r="8764" spans="6:8">
      <c r="H8764" t="s">
        <v>20096</v>
      </c>
    </row>
    <row r="8765" spans="6:8">
      <c r="H8765" t="s">
        <v>20097</v>
      </c>
    </row>
    <row r="8766" spans="6:8">
      <c r="F8766" t="s">
        <v>11112</v>
      </c>
      <c r="G8766" t="s">
        <v>15502</v>
      </c>
      <c r="H8766" t="s">
        <v>20091</v>
      </c>
    </row>
    <row r="8767" spans="6:8">
      <c r="H8767" t="s">
        <v>19712</v>
      </c>
    </row>
    <row r="8768" spans="6:8">
      <c r="H8768" t="s">
        <v>20095</v>
      </c>
    </row>
    <row r="8769" spans="6:8">
      <c r="H8769" t="s">
        <v>20096</v>
      </c>
    </row>
    <row r="8770" spans="6:8">
      <c r="H8770" t="s">
        <v>20097</v>
      </c>
    </row>
    <row r="8771" spans="6:8">
      <c r="F8771" t="s">
        <v>11113</v>
      </c>
      <c r="G8771" t="s">
        <v>15503</v>
      </c>
      <c r="H8771" t="s">
        <v>20091</v>
      </c>
    </row>
    <row r="8772" spans="6:8">
      <c r="H8772" t="s">
        <v>19712</v>
      </c>
    </row>
    <row r="8773" spans="6:8">
      <c r="H8773" t="s">
        <v>19709</v>
      </c>
    </row>
    <row r="8774" spans="6:8">
      <c r="H8774" t="s">
        <v>20107</v>
      </c>
    </row>
    <row r="8775" spans="6:8">
      <c r="H8775" t="s">
        <v>20108</v>
      </c>
    </row>
    <row r="8776" spans="6:8">
      <c r="H8776" t="s">
        <v>19713</v>
      </c>
    </row>
    <row r="8777" spans="6:8">
      <c r="H8777" t="s">
        <v>20095</v>
      </c>
    </row>
    <row r="8778" spans="6:8">
      <c r="H8778" t="s">
        <v>20096</v>
      </c>
    </row>
    <row r="8779" spans="6:8">
      <c r="H8779" t="s">
        <v>20097</v>
      </c>
    </row>
    <row r="8780" spans="6:8">
      <c r="H8780" t="s">
        <v>20098</v>
      </c>
    </row>
    <row r="8781" spans="6:8">
      <c r="F8781" t="s">
        <v>11114</v>
      </c>
      <c r="G8781" t="s">
        <v>15504</v>
      </c>
      <c r="H8781" t="s">
        <v>20091</v>
      </c>
    </row>
    <row r="8782" spans="6:8">
      <c r="H8782" t="s">
        <v>19712</v>
      </c>
    </row>
    <row r="8783" spans="6:8">
      <c r="H8783" t="s">
        <v>19709</v>
      </c>
    </row>
    <row r="8784" spans="6:8">
      <c r="H8784" t="s">
        <v>20107</v>
      </c>
    </row>
    <row r="8785" spans="6:8">
      <c r="H8785" t="s">
        <v>20108</v>
      </c>
    </row>
    <row r="8786" spans="6:8">
      <c r="H8786" t="s">
        <v>19713</v>
      </c>
    </row>
    <row r="8787" spans="6:8">
      <c r="H8787" t="s">
        <v>20095</v>
      </c>
    </row>
    <row r="8788" spans="6:8">
      <c r="H8788" t="s">
        <v>20096</v>
      </c>
    </row>
    <row r="8789" spans="6:8">
      <c r="H8789" t="s">
        <v>20097</v>
      </c>
    </row>
    <row r="8790" spans="6:8">
      <c r="H8790" t="s">
        <v>20098</v>
      </c>
    </row>
    <row r="8791" spans="6:8">
      <c r="F8791" t="s">
        <v>11115</v>
      </c>
      <c r="G8791" t="s">
        <v>15505</v>
      </c>
      <c r="H8791" t="s">
        <v>20091</v>
      </c>
    </row>
    <row r="8792" spans="6:8">
      <c r="H8792" t="s">
        <v>19712</v>
      </c>
    </row>
    <row r="8793" spans="6:8">
      <c r="H8793" t="s">
        <v>19709</v>
      </c>
    </row>
    <row r="8794" spans="6:8">
      <c r="H8794" t="s">
        <v>19706</v>
      </c>
    </row>
    <row r="8795" spans="6:8">
      <c r="H8795" t="s">
        <v>20107</v>
      </c>
    </row>
    <row r="8796" spans="6:8">
      <c r="H8796" t="s">
        <v>20108</v>
      </c>
    </row>
    <row r="8797" spans="6:8">
      <c r="H8797" t="s">
        <v>19713</v>
      </c>
    </row>
    <row r="8798" spans="6:8">
      <c r="H8798" t="s">
        <v>20095</v>
      </c>
    </row>
    <row r="8799" spans="6:8">
      <c r="H8799" t="s">
        <v>20096</v>
      </c>
    </row>
    <row r="8800" spans="6:8">
      <c r="H8800" t="s">
        <v>20097</v>
      </c>
    </row>
    <row r="8801" spans="6:8">
      <c r="H8801" t="s">
        <v>20098</v>
      </c>
    </row>
    <row r="8802" spans="6:8">
      <c r="F8802" t="s">
        <v>11116</v>
      </c>
      <c r="G8802" t="s">
        <v>15506</v>
      </c>
      <c r="H8802" t="s">
        <v>20091</v>
      </c>
    </row>
    <row r="8803" spans="6:8">
      <c r="H8803" t="s">
        <v>19712</v>
      </c>
    </row>
    <row r="8804" spans="6:8">
      <c r="H8804" t="s">
        <v>19709</v>
      </c>
    </row>
    <row r="8805" spans="6:8">
      <c r="H8805" t="s">
        <v>20107</v>
      </c>
    </row>
    <row r="8806" spans="6:8">
      <c r="H8806" t="s">
        <v>20108</v>
      </c>
    </row>
    <row r="8807" spans="6:8">
      <c r="H8807" t="s">
        <v>19713</v>
      </c>
    </row>
    <row r="8808" spans="6:8">
      <c r="H8808" t="s">
        <v>19714</v>
      </c>
    </row>
    <row r="8809" spans="6:8">
      <c r="H8809" t="s">
        <v>20109</v>
      </c>
    </row>
    <row r="8810" spans="6:8">
      <c r="H8810" t="s">
        <v>20110</v>
      </c>
    </row>
    <row r="8811" spans="6:8">
      <c r="H8811" t="s">
        <v>20111</v>
      </c>
    </row>
    <row r="8812" spans="6:8">
      <c r="H8812" t="s">
        <v>20112</v>
      </c>
    </row>
    <row r="8813" spans="6:8">
      <c r="H8813" t="s">
        <v>20095</v>
      </c>
    </row>
    <row r="8814" spans="6:8">
      <c r="H8814" t="s">
        <v>20096</v>
      </c>
    </row>
    <row r="8815" spans="6:8">
      <c r="H8815" t="s">
        <v>20097</v>
      </c>
    </row>
    <row r="8816" spans="6:8">
      <c r="H8816" t="s">
        <v>20098</v>
      </c>
    </row>
    <row r="8817" spans="6:8">
      <c r="H8817" t="s">
        <v>20099</v>
      </c>
    </row>
    <row r="8818" spans="6:8">
      <c r="F8818" t="s">
        <v>11117</v>
      </c>
      <c r="G8818" t="s">
        <v>15507</v>
      </c>
      <c r="H8818" t="s">
        <v>20091</v>
      </c>
    </row>
    <row r="8819" spans="6:8">
      <c r="H8819" t="s">
        <v>19712</v>
      </c>
    </row>
    <row r="8820" spans="6:8">
      <c r="H8820" t="s">
        <v>20092</v>
      </c>
    </row>
    <row r="8821" spans="6:8">
      <c r="H8821" t="s">
        <v>20093</v>
      </c>
    </row>
    <row r="8822" spans="6:8">
      <c r="H8822" t="s">
        <v>20094</v>
      </c>
    </row>
    <row r="8823" spans="6:8">
      <c r="H8823" t="s">
        <v>20095</v>
      </c>
    </row>
    <row r="8824" spans="6:8">
      <c r="H8824" t="s">
        <v>20096</v>
      </c>
    </row>
    <row r="8825" spans="6:8">
      <c r="H8825" t="s">
        <v>20097</v>
      </c>
    </row>
    <row r="8826" spans="6:8">
      <c r="H8826" t="s">
        <v>20098</v>
      </c>
    </row>
    <row r="8827" spans="6:8">
      <c r="H8827" t="s">
        <v>20099</v>
      </c>
    </row>
    <row r="8828" spans="6:8">
      <c r="H8828" t="s">
        <v>20100</v>
      </c>
    </row>
    <row r="8829" spans="6:8">
      <c r="H8829" t="s">
        <v>20101</v>
      </c>
    </row>
    <row r="8830" spans="6:8">
      <c r="H8830" t="s">
        <v>20102</v>
      </c>
    </row>
    <row r="8831" spans="6:8">
      <c r="H8831" t="s">
        <v>20104</v>
      </c>
    </row>
    <row r="8832" spans="6:8">
      <c r="F8832" t="s">
        <v>11118</v>
      </c>
      <c r="G8832" t="s">
        <v>15508</v>
      </c>
      <c r="H8832" t="s">
        <v>20091</v>
      </c>
    </row>
    <row r="8833" spans="6:8">
      <c r="H8833" t="s">
        <v>19712</v>
      </c>
    </row>
    <row r="8834" spans="6:8">
      <c r="H8834" t="s">
        <v>19709</v>
      </c>
    </row>
    <row r="8835" spans="6:8">
      <c r="H8835" t="s">
        <v>20107</v>
      </c>
    </row>
    <row r="8836" spans="6:8">
      <c r="H8836" t="s">
        <v>20108</v>
      </c>
    </row>
    <row r="8837" spans="6:8">
      <c r="H8837" t="s">
        <v>20095</v>
      </c>
    </row>
    <row r="8838" spans="6:8">
      <c r="H8838" t="s">
        <v>20096</v>
      </c>
    </row>
    <row r="8839" spans="6:8">
      <c r="H8839" t="s">
        <v>20097</v>
      </c>
    </row>
    <row r="8840" spans="6:8">
      <c r="H8840" t="s">
        <v>20098</v>
      </c>
    </row>
    <row r="8841" spans="6:8">
      <c r="F8841" t="s">
        <v>11119</v>
      </c>
      <c r="G8841" t="s">
        <v>15509</v>
      </c>
      <c r="H8841" t="s">
        <v>20091</v>
      </c>
    </row>
    <row r="8842" spans="6:8">
      <c r="H8842" t="s">
        <v>19712</v>
      </c>
    </row>
    <row r="8843" spans="6:8">
      <c r="H8843" t="s">
        <v>20092</v>
      </c>
    </row>
    <row r="8844" spans="6:8">
      <c r="H8844" t="s">
        <v>20093</v>
      </c>
    </row>
    <row r="8845" spans="6:8">
      <c r="H8845" t="s">
        <v>20094</v>
      </c>
    </row>
    <row r="8846" spans="6:8">
      <c r="H8846" t="s">
        <v>20095</v>
      </c>
    </row>
    <row r="8847" spans="6:8">
      <c r="H8847" t="s">
        <v>20096</v>
      </c>
    </row>
    <row r="8848" spans="6:8">
      <c r="H8848" t="s">
        <v>20097</v>
      </c>
    </row>
    <row r="8849" spans="6:8">
      <c r="H8849" t="s">
        <v>20098</v>
      </c>
    </row>
    <row r="8850" spans="6:8">
      <c r="H8850" t="s">
        <v>20099</v>
      </c>
    </row>
    <row r="8851" spans="6:8">
      <c r="H8851" t="s">
        <v>20100</v>
      </c>
    </row>
    <row r="8852" spans="6:8">
      <c r="H8852" t="s">
        <v>20101</v>
      </c>
    </row>
    <row r="8853" spans="6:8">
      <c r="H8853" t="s">
        <v>20102</v>
      </c>
    </row>
    <row r="8854" spans="6:8">
      <c r="F8854" t="s">
        <v>11120</v>
      </c>
      <c r="G8854" t="s">
        <v>15510</v>
      </c>
      <c r="H8854" t="s">
        <v>20091</v>
      </c>
    </row>
    <row r="8855" spans="6:8">
      <c r="H8855" t="s">
        <v>19712</v>
      </c>
    </row>
    <row r="8856" spans="6:8">
      <c r="H8856" t="s">
        <v>19709</v>
      </c>
    </row>
    <row r="8857" spans="6:8">
      <c r="H8857" t="s">
        <v>20107</v>
      </c>
    </row>
    <row r="8858" spans="6:8">
      <c r="H8858" t="s">
        <v>20108</v>
      </c>
    </row>
    <row r="8859" spans="6:8">
      <c r="H8859" t="s">
        <v>19713</v>
      </c>
    </row>
    <row r="8860" spans="6:8">
      <c r="H8860" t="s">
        <v>19714</v>
      </c>
    </row>
    <row r="8861" spans="6:8">
      <c r="H8861" t="s">
        <v>20109</v>
      </c>
    </row>
    <row r="8862" spans="6:8">
      <c r="H8862" t="s">
        <v>20110</v>
      </c>
    </row>
    <row r="8863" spans="6:8">
      <c r="H8863" t="s">
        <v>20095</v>
      </c>
    </row>
    <row r="8864" spans="6:8">
      <c r="H8864" t="s">
        <v>20096</v>
      </c>
    </row>
    <row r="8865" spans="6:8">
      <c r="H8865" t="s">
        <v>20097</v>
      </c>
    </row>
    <row r="8866" spans="6:8">
      <c r="H8866" t="s">
        <v>20098</v>
      </c>
    </row>
    <row r="8867" spans="6:8">
      <c r="H8867" t="s">
        <v>20099</v>
      </c>
    </row>
    <row r="8868" spans="6:8">
      <c r="F8868" t="s">
        <v>11121</v>
      </c>
      <c r="G8868" t="s">
        <v>15511</v>
      </c>
      <c r="H8868" t="s">
        <v>20091</v>
      </c>
    </row>
    <row r="8869" spans="6:8">
      <c r="H8869" t="s">
        <v>20095</v>
      </c>
    </row>
    <row r="8870" spans="6:8">
      <c r="F8870" t="s">
        <v>11122</v>
      </c>
      <c r="G8870" t="s">
        <v>15512</v>
      </c>
      <c r="H8870" t="s">
        <v>20091</v>
      </c>
    </row>
    <row r="8871" spans="6:8">
      <c r="H8871" t="s">
        <v>20095</v>
      </c>
    </row>
    <row r="8872" spans="6:8">
      <c r="F8872" t="s">
        <v>11123</v>
      </c>
      <c r="G8872" t="s">
        <v>15513</v>
      </c>
      <c r="H8872" t="s">
        <v>20091</v>
      </c>
    </row>
    <row r="8873" spans="6:8">
      <c r="H8873" t="s">
        <v>19712</v>
      </c>
    </row>
    <row r="8874" spans="6:8">
      <c r="H8874" t="s">
        <v>19709</v>
      </c>
    </row>
    <row r="8875" spans="6:8">
      <c r="H8875" t="s">
        <v>20095</v>
      </c>
    </row>
    <row r="8876" spans="6:8">
      <c r="H8876" t="s">
        <v>20096</v>
      </c>
    </row>
    <row r="8877" spans="6:8">
      <c r="F8877" t="s">
        <v>11124</v>
      </c>
      <c r="G8877" t="s">
        <v>15514</v>
      </c>
      <c r="H8877" t="s">
        <v>20091</v>
      </c>
    </row>
    <row r="8878" spans="6:8">
      <c r="H8878" t="s">
        <v>19712</v>
      </c>
    </row>
    <row r="8879" spans="6:8">
      <c r="H8879" t="s">
        <v>20095</v>
      </c>
    </row>
    <row r="8880" spans="6:8">
      <c r="H8880" t="s">
        <v>20096</v>
      </c>
    </row>
    <row r="8881" spans="6:8">
      <c r="F8881" t="s">
        <v>11125</v>
      </c>
      <c r="G8881" t="s">
        <v>15515</v>
      </c>
      <c r="H8881" t="s">
        <v>20091</v>
      </c>
    </row>
    <row r="8882" spans="6:8">
      <c r="H8882" t="s">
        <v>19712</v>
      </c>
    </row>
    <row r="8883" spans="6:8">
      <c r="H8883" t="s">
        <v>20095</v>
      </c>
    </row>
    <row r="8884" spans="6:8">
      <c r="H8884" t="s">
        <v>20096</v>
      </c>
    </row>
    <row r="8885" spans="6:8">
      <c r="F8885" t="s">
        <v>11126</v>
      </c>
      <c r="G8885" t="s">
        <v>15516</v>
      </c>
      <c r="H8885" t="s">
        <v>20091</v>
      </c>
    </row>
    <row r="8886" spans="6:8">
      <c r="H8886" t="s">
        <v>19712</v>
      </c>
    </row>
    <row r="8887" spans="6:8">
      <c r="H8887" t="s">
        <v>19709</v>
      </c>
    </row>
    <row r="8888" spans="6:8">
      <c r="H8888" t="s">
        <v>19706</v>
      </c>
    </row>
    <row r="8889" spans="6:8">
      <c r="H8889" t="s">
        <v>19707</v>
      </c>
    </row>
    <row r="8890" spans="6:8">
      <c r="H8890" t="s">
        <v>19711</v>
      </c>
    </row>
    <row r="8891" spans="6:8">
      <c r="H8891" t="s">
        <v>20107</v>
      </c>
    </row>
    <row r="8892" spans="6:8">
      <c r="H8892" t="s">
        <v>20108</v>
      </c>
    </row>
    <row r="8893" spans="6:8">
      <c r="H8893" t="s">
        <v>19713</v>
      </c>
    </row>
    <row r="8894" spans="6:8">
      <c r="H8894" t="s">
        <v>19714</v>
      </c>
    </row>
    <row r="8895" spans="6:8">
      <c r="H8895" t="s">
        <v>20109</v>
      </c>
    </row>
    <row r="8896" spans="6:8">
      <c r="H8896" t="s">
        <v>20110</v>
      </c>
    </row>
    <row r="8897" spans="6:8">
      <c r="H8897" t="s">
        <v>20092</v>
      </c>
    </row>
    <row r="8898" spans="6:8">
      <c r="H8898" t="s">
        <v>20095</v>
      </c>
    </row>
    <row r="8899" spans="6:8">
      <c r="H8899" t="s">
        <v>20096</v>
      </c>
    </row>
    <row r="8900" spans="6:8">
      <c r="H8900" t="s">
        <v>20097</v>
      </c>
    </row>
    <row r="8901" spans="6:8">
      <c r="H8901" t="s">
        <v>20098</v>
      </c>
    </row>
    <row r="8902" spans="6:8">
      <c r="H8902" t="s">
        <v>20099</v>
      </c>
    </row>
    <row r="8903" spans="6:8">
      <c r="H8903" t="s">
        <v>20100</v>
      </c>
    </row>
    <row r="8904" spans="6:8">
      <c r="F8904" t="s">
        <v>11127</v>
      </c>
      <c r="G8904" t="s">
        <v>15517</v>
      </c>
      <c r="H8904" t="s">
        <v>20091</v>
      </c>
    </row>
    <row r="8905" spans="6:8">
      <c r="H8905" t="s">
        <v>19712</v>
      </c>
    </row>
    <row r="8906" spans="6:8">
      <c r="H8906" t="s">
        <v>20095</v>
      </c>
    </row>
    <row r="8907" spans="6:8">
      <c r="H8907" t="s">
        <v>20096</v>
      </c>
    </row>
    <row r="8908" spans="6:8">
      <c r="H8908" t="s">
        <v>20097</v>
      </c>
    </row>
    <row r="8909" spans="6:8">
      <c r="H8909" t="s">
        <v>20098</v>
      </c>
    </row>
    <row r="8910" spans="6:8">
      <c r="H8910" t="s">
        <v>19709</v>
      </c>
    </row>
    <row r="8911" spans="6:8">
      <c r="H8911" t="s">
        <v>19706</v>
      </c>
    </row>
    <row r="8912" spans="6:8">
      <c r="H8912" t="s">
        <v>20099</v>
      </c>
    </row>
    <row r="8913" spans="6:8">
      <c r="H8913" t="s">
        <v>20100</v>
      </c>
    </row>
    <row r="8914" spans="6:8">
      <c r="H8914" t="s">
        <v>20101</v>
      </c>
    </row>
    <row r="8915" spans="6:8">
      <c r="H8915" t="s">
        <v>20102</v>
      </c>
    </row>
    <row r="8916" spans="6:8">
      <c r="F8916" t="s">
        <v>11128</v>
      </c>
      <c r="G8916" t="s">
        <v>15518</v>
      </c>
      <c r="H8916" t="s">
        <v>20091</v>
      </c>
    </row>
    <row r="8917" spans="6:8">
      <c r="H8917" t="s">
        <v>19712</v>
      </c>
    </row>
    <row r="8918" spans="6:8">
      <c r="H8918" t="s">
        <v>20095</v>
      </c>
    </row>
    <row r="8919" spans="6:8">
      <c r="H8919" t="s">
        <v>20096</v>
      </c>
    </row>
    <row r="8920" spans="6:8">
      <c r="H8920" t="s">
        <v>20097</v>
      </c>
    </row>
    <row r="8921" spans="6:8">
      <c r="H8921" t="s">
        <v>20098</v>
      </c>
    </row>
    <row r="8922" spans="6:8">
      <c r="F8922" t="s">
        <v>11129</v>
      </c>
      <c r="G8922" t="s">
        <v>15519</v>
      </c>
      <c r="H8922" t="s">
        <v>20091</v>
      </c>
    </row>
    <row r="8923" spans="6:8">
      <c r="H8923" t="s">
        <v>19712</v>
      </c>
    </row>
    <row r="8924" spans="6:8">
      <c r="H8924" t="s">
        <v>20095</v>
      </c>
    </row>
    <row r="8925" spans="6:8">
      <c r="H8925" t="s">
        <v>20096</v>
      </c>
    </row>
    <row r="8926" spans="6:8">
      <c r="H8926" t="s">
        <v>20097</v>
      </c>
    </row>
    <row r="8927" spans="6:8">
      <c r="H8927" t="s">
        <v>20098</v>
      </c>
    </row>
    <row r="8928" spans="6:8">
      <c r="F8928" t="s">
        <v>11130</v>
      </c>
      <c r="G8928" t="s">
        <v>15520</v>
      </c>
      <c r="H8928" t="s">
        <v>20091</v>
      </c>
    </row>
    <row r="8929" spans="6:8">
      <c r="H8929" t="s">
        <v>19712</v>
      </c>
    </row>
    <row r="8930" spans="6:8">
      <c r="H8930" t="s">
        <v>20095</v>
      </c>
    </row>
    <row r="8931" spans="6:8">
      <c r="H8931" t="s">
        <v>20096</v>
      </c>
    </row>
    <row r="8932" spans="6:8">
      <c r="H8932" t="s">
        <v>20097</v>
      </c>
    </row>
    <row r="8933" spans="6:8">
      <c r="H8933" t="s">
        <v>20098</v>
      </c>
    </row>
    <row r="8934" spans="6:8">
      <c r="F8934" t="s">
        <v>11131</v>
      </c>
      <c r="G8934" t="s">
        <v>15521</v>
      </c>
      <c r="H8934" t="s">
        <v>20091</v>
      </c>
    </row>
    <row r="8935" spans="6:8">
      <c r="H8935" t="s">
        <v>19712</v>
      </c>
    </row>
    <row r="8936" spans="6:8">
      <c r="H8936" t="s">
        <v>20095</v>
      </c>
    </row>
    <row r="8937" spans="6:8">
      <c r="H8937" t="s">
        <v>20096</v>
      </c>
    </row>
    <row r="8938" spans="6:8">
      <c r="H8938" t="s">
        <v>20097</v>
      </c>
    </row>
    <row r="8939" spans="6:8">
      <c r="H8939" t="s">
        <v>20098</v>
      </c>
    </row>
    <row r="8940" spans="6:8">
      <c r="F8940" t="s">
        <v>11132</v>
      </c>
      <c r="G8940" t="s">
        <v>15522</v>
      </c>
      <c r="H8940" t="s">
        <v>20091</v>
      </c>
    </row>
    <row r="8941" spans="6:8">
      <c r="H8941" t="s">
        <v>19712</v>
      </c>
    </row>
    <row r="8942" spans="6:8">
      <c r="H8942" t="s">
        <v>19709</v>
      </c>
    </row>
    <row r="8943" spans="6:8">
      <c r="H8943" t="s">
        <v>20107</v>
      </c>
    </row>
    <row r="8944" spans="6:8">
      <c r="H8944" t="s">
        <v>20108</v>
      </c>
    </row>
    <row r="8945" spans="6:8">
      <c r="H8945" t="s">
        <v>19713</v>
      </c>
    </row>
    <row r="8946" spans="6:8">
      <c r="H8946" t="s">
        <v>19714</v>
      </c>
    </row>
    <row r="8947" spans="6:8">
      <c r="H8947" t="s">
        <v>20109</v>
      </c>
    </row>
    <row r="8948" spans="6:8">
      <c r="H8948" t="s">
        <v>20110</v>
      </c>
    </row>
    <row r="8949" spans="6:8">
      <c r="H8949" t="s">
        <v>20111</v>
      </c>
    </row>
    <row r="8950" spans="6:8">
      <c r="H8950" t="s">
        <v>20095</v>
      </c>
    </row>
    <row r="8951" spans="6:8">
      <c r="H8951" t="s">
        <v>20096</v>
      </c>
    </row>
    <row r="8952" spans="6:8">
      <c r="H8952" t="s">
        <v>20097</v>
      </c>
    </row>
    <row r="8953" spans="6:8">
      <c r="H8953" t="s">
        <v>20098</v>
      </c>
    </row>
    <row r="8954" spans="6:8">
      <c r="H8954" t="s">
        <v>20099</v>
      </c>
    </row>
    <row r="8955" spans="6:8">
      <c r="H8955" t="s">
        <v>20100</v>
      </c>
    </row>
    <row r="8956" spans="6:8">
      <c r="F8956" t="s">
        <v>11133</v>
      </c>
      <c r="G8956" t="s">
        <v>15523</v>
      </c>
      <c r="H8956" t="s">
        <v>20091</v>
      </c>
    </row>
    <row r="8957" spans="6:8">
      <c r="H8957" t="s">
        <v>19712</v>
      </c>
    </row>
    <row r="8958" spans="6:8">
      <c r="H8958" t="s">
        <v>19709</v>
      </c>
    </row>
    <row r="8959" spans="6:8">
      <c r="H8959" t="s">
        <v>19706</v>
      </c>
    </row>
    <row r="8960" spans="6:8">
      <c r="H8960" t="s">
        <v>20107</v>
      </c>
    </row>
    <row r="8961" spans="6:8">
      <c r="H8961" t="s">
        <v>20108</v>
      </c>
    </row>
    <row r="8962" spans="6:8">
      <c r="H8962" t="s">
        <v>19713</v>
      </c>
    </row>
    <row r="8963" spans="6:8">
      <c r="H8963" t="s">
        <v>20095</v>
      </c>
    </row>
    <row r="8964" spans="6:8">
      <c r="H8964" t="s">
        <v>20096</v>
      </c>
    </row>
    <row r="8965" spans="6:8">
      <c r="H8965" t="s">
        <v>20097</v>
      </c>
    </row>
    <row r="8966" spans="6:8">
      <c r="H8966" t="s">
        <v>20098</v>
      </c>
    </row>
    <row r="8967" spans="6:8">
      <c r="H8967" t="s">
        <v>20099</v>
      </c>
    </row>
    <row r="8968" spans="6:8">
      <c r="F8968" t="s">
        <v>11134</v>
      </c>
      <c r="G8968" t="s">
        <v>15524</v>
      </c>
      <c r="H8968" t="s">
        <v>20091</v>
      </c>
    </row>
    <row r="8969" spans="6:8">
      <c r="H8969" t="s">
        <v>20107</v>
      </c>
    </row>
    <row r="8970" spans="6:8">
      <c r="H8970" t="s">
        <v>20108</v>
      </c>
    </row>
    <row r="8971" spans="6:8">
      <c r="H8971" t="s">
        <v>20095</v>
      </c>
    </row>
    <row r="8972" spans="6:8">
      <c r="H8972" t="s">
        <v>20096</v>
      </c>
    </row>
    <row r="8973" spans="6:8">
      <c r="H8973" t="s">
        <v>20097</v>
      </c>
    </row>
    <row r="8974" spans="6:8">
      <c r="H8974" t="s">
        <v>20098</v>
      </c>
    </row>
    <row r="8975" spans="6:8">
      <c r="H8975" t="s">
        <v>20099</v>
      </c>
    </row>
    <row r="8976" spans="6:8">
      <c r="H8976" t="s">
        <v>20100</v>
      </c>
    </row>
    <row r="8977" spans="6:8">
      <c r="H8977" t="s">
        <v>20101</v>
      </c>
    </row>
    <row r="8978" spans="6:8">
      <c r="H8978" t="s">
        <v>20102</v>
      </c>
    </row>
    <row r="8979" spans="6:8">
      <c r="H8979" t="s">
        <v>20104</v>
      </c>
    </row>
    <row r="8980" spans="6:8">
      <c r="F8980" t="s">
        <v>11135</v>
      </c>
      <c r="G8980" t="s">
        <v>15525</v>
      </c>
      <c r="H8980" t="s">
        <v>20091</v>
      </c>
    </row>
    <row r="8981" spans="6:8">
      <c r="H8981" t="s">
        <v>19712</v>
      </c>
    </row>
    <row r="8982" spans="6:8">
      <c r="H8982" t="s">
        <v>19709</v>
      </c>
    </row>
    <row r="8983" spans="6:8">
      <c r="H8983" t="s">
        <v>20107</v>
      </c>
    </row>
    <row r="8984" spans="6:8">
      <c r="H8984" t="s">
        <v>20108</v>
      </c>
    </row>
    <row r="8985" spans="6:8">
      <c r="H8985" t="s">
        <v>20095</v>
      </c>
    </row>
    <row r="8986" spans="6:8">
      <c r="H8986" t="s">
        <v>20096</v>
      </c>
    </row>
    <row r="8987" spans="6:8">
      <c r="H8987" t="s">
        <v>20097</v>
      </c>
    </row>
    <row r="8988" spans="6:8">
      <c r="H8988" t="s">
        <v>20098</v>
      </c>
    </row>
    <row r="8989" spans="6:8">
      <c r="H8989" t="s">
        <v>20099</v>
      </c>
    </row>
    <row r="8990" spans="6:8">
      <c r="F8990" t="s">
        <v>11136</v>
      </c>
      <c r="G8990" t="s">
        <v>15526</v>
      </c>
      <c r="H8990" t="s">
        <v>20091</v>
      </c>
    </row>
    <row r="8991" spans="6:8">
      <c r="H8991" t="s">
        <v>19712</v>
      </c>
    </row>
    <row r="8992" spans="6:8">
      <c r="H8992" t="s">
        <v>19709</v>
      </c>
    </row>
    <row r="8993" spans="6:8">
      <c r="H8993" t="s">
        <v>19706</v>
      </c>
    </row>
    <row r="8994" spans="6:8">
      <c r="H8994" t="s">
        <v>19707</v>
      </c>
    </row>
    <row r="8995" spans="6:8">
      <c r="H8995" t="s">
        <v>19711</v>
      </c>
    </row>
    <row r="8996" spans="6:8">
      <c r="H8996" t="s">
        <v>20107</v>
      </c>
    </row>
    <row r="8997" spans="6:8">
      <c r="H8997" t="s">
        <v>20108</v>
      </c>
    </row>
    <row r="8998" spans="6:8">
      <c r="H8998" t="s">
        <v>19713</v>
      </c>
    </row>
    <row r="8999" spans="6:8">
      <c r="H8999" t="s">
        <v>19714</v>
      </c>
    </row>
    <row r="9000" spans="6:8">
      <c r="H9000" t="s">
        <v>20109</v>
      </c>
    </row>
    <row r="9001" spans="6:8">
      <c r="H9001" t="s">
        <v>20110</v>
      </c>
    </row>
    <row r="9002" spans="6:8">
      <c r="H9002" t="s">
        <v>20092</v>
      </c>
    </row>
    <row r="9003" spans="6:8">
      <c r="H9003" t="s">
        <v>20095</v>
      </c>
    </row>
    <row r="9004" spans="6:8">
      <c r="H9004" t="s">
        <v>20096</v>
      </c>
    </row>
    <row r="9005" spans="6:8">
      <c r="H9005" t="s">
        <v>20097</v>
      </c>
    </row>
    <row r="9006" spans="6:8">
      <c r="H9006" t="s">
        <v>20098</v>
      </c>
    </row>
    <row r="9007" spans="6:8">
      <c r="H9007" t="s">
        <v>20099</v>
      </c>
    </row>
    <row r="9008" spans="6:8">
      <c r="F9008" t="s">
        <v>11137</v>
      </c>
      <c r="G9008" t="s">
        <v>15527</v>
      </c>
      <c r="H9008" t="s">
        <v>20091</v>
      </c>
    </row>
    <row r="9009" spans="6:8">
      <c r="H9009" t="s">
        <v>19712</v>
      </c>
    </row>
    <row r="9010" spans="6:8">
      <c r="H9010" t="s">
        <v>19709</v>
      </c>
    </row>
    <row r="9011" spans="6:8">
      <c r="H9011" t="s">
        <v>20092</v>
      </c>
    </row>
    <row r="9012" spans="6:8">
      <c r="H9012" t="s">
        <v>20095</v>
      </c>
    </row>
    <row r="9013" spans="6:8">
      <c r="H9013" t="s">
        <v>20096</v>
      </c>
    </row>
    <row r="9014" spans="6:8">
      <c r="H9014" t="s">
        <v>20097</v>
      </c>
    </row>
    <row r="9015" spans="6:8">
      <c r="H9015" t="s">
        <v>20098</v>
      </c>
    </row>
    <row r="9016" spans="6:8">
      <c r="H9016" t="s">
        <v>20099</v>
      </c>
    </row>
    <row r="9017" spans="6:8">
      <c r="H9017" t="s">
        <v>20100</v>
      </c>
    </row>
    <row r="9018" spans="6:8">
      <c r="F9018" t="s">
        <v>11138</v>
      </c>
      <c r="G9018" t="s">
        <v>15528</v>
      </c>
      <c r="H9018" t="s">
        <v>20091</v>
      </c>
    </row>
    <row r="9019" spans="6:8">
      <c r="H9019" t="s">
        <v>19712</v>
      </c>
    </row>
    <row r="9020" spans="6:8">
      <c r="H9020" t="s">
        <v>19709</v>
      </c>
    </row>
    <row r="9021" spans="6:8">
      <c r="H9021" t="s">
        <v>19706</v>
      </c>
    </row>
    <row r="9022" spans="6:8">
      <c r="H9022" t="s">
        <v>19707</v>
      </c>
    </row>
    <row r="9023" spans="6:8">
      <c r="H9023" t="s">
        <v>20107</v>
      </c>
    </row>
    <row r="9024" spans="6:8">
      <c r="H9024" t="s">
        <v>20108</v>
      </c>
    </row>
    <row r="9025" spans="6:8">
      <c r="H9025" t="s">
        <v>19713</v>
      </c>
    </row>
    <row r="9026" spans="6:8">
      <c r="H9026" t="s">
        <v>19714</v>
      </c>
    </row>
    <row r="9027" spans="6:8">
      <c r="H9027" t="s">
        <v>20095</v>
      </c>
    </row>
    <row r="9028" spans="6:8">
      <c r="H9028" t="s">
        <v>20096</v>
      </c>
    </row>
    <row r="9029" spans="6:8">
      <c r="H9029" t="s">
        <v>20097</v>
      </c>
    </row>
    <row r="9030" spans="6:8">
      <c r="H9030" t="s">
        <v>20098</v>
      </c>
    </row>
    <row r="9031" spans="6:8">
      <c r="H9031" t="s">
        <v>20099</v>
      </c>
    </row>
    <row r="9032" spans="6:8">
      <c r="F9032" t="s">
        <v>11139</v>
      </c>
      <c r="G9032" t="s">
        <v>15529</v>
      </c>
      <c r="H9032" t="s">
        <v>20091</v>
      </c>
    </row>
    <row r="9033" spans="6:8">
      <c r="H9033" t="s">
        <v>19712</v>
      </c>
    </row>
    <row r="9034" spans="6:8">
      <c r="H9034" t="s">
        <v>19709</v>
      </c>
    </row>
    <row r="9035" spans="6:8">
      <c r="H9035" t="s">
        <v>19706</v>
      </c>
    </row>
    <row r="9036" spans="6:8">
      <c r="H9036" t="s">
        <v>19707</v>
      </c>
    </row>
    <row r="9037" spans="6:8">
      <c r="H9037" t="s">
        <v>20107</v>
      </c>
    </row>
    <row r="9038" spans="6:8">
      <c r="H9038" t="s">
        <v>20108</v>
      </c>
    </row>
    <row r="9039" spans="6:8">
      <c r="H9039" t="s">
        <v>19713</v>
      </c>
    </row>
    <row r="9040" spans="6:8">
      <c r="H9040" t="s">
        <v>19714</v>
      </c>
    </row>
    <row r="9041" spans="6:8">
      <c r="H9041" t="s">
        <v>20095</v>
      </c>
    </row>
    <row r="9042" spans="6:8">
      <c r="H9042" t="s">
        <v>20096</v>
      </c>
    </row>
    <row r="9043" spans="6:8">
      <c r="H9043" t="s">
        <v>20097</v>
      </c>
    </row>
    <row r="9044" spans="6:8">
      <c r="H9044" t="s">
        <v>20098</v>
      </c>
    </row>
    <row r="9045" spans="6:8">
      <c r="H9045" t="s">
        <v>20099</v>
      </c>
    </row>
    <row r="9046" spans="6:8">
      <c r="F9046" t="s">
        <v>11140</v>
      </c>
      <c r="G9046" t="s">
        <v>15530</v>
      </c>
      <c r="H9046" t="s">
        <v>20091</v>
      </c>
    </row>
    <row r="9047" spans="6:8">
      <c r="H9047" t="s">
        <v>19712</v>
      </c>
    </row>
    <row r="9048" spans="6:8">
      <c r="H9048" t="s">
        <v>20095</v>
      </c>
    </row>
    <row r="9049" spans="6:8">
      <c r="H9049" t="s">
        <v>20096</v>
      </c>
    </row>
    <row r="9050" spans="6:8">
      <c r="H9050" t="s">
        <v>20097</v>
      </c>
    </row>
    <row r="9051" spans="6:8">
      <c r="H9051" t="s">
        <v>20098</v>
      </c>
    </row>
    <row r="9052" spans="6:8">
      <c r="H9052" t="s">
        <v>19709</v>
      </c>
    </row>
    <row r="9053" spans="6:8">
      <c r="H9053" t="s">
        <v>19706</v>
      </c>
    </row>
    <row r="9054" spans="6:8">
      <c r="H9054" t="s">
        <v>20099</v>
      </c>
    </row>
    <row r="9055" spans="6:8">
      <c r="H9055" t="s">
        <v>20100</v>
      </c>
    </row>
    <row r="9056" spans="6:8">
      <c r="H9056" t="s">
        <v>20101</v>
      </c>
    </row>
    <row r="9057" spans="6:8">
      <c r="H9057" t="s">
        <v>20102</v>
      </c>
    </row>
    <row r="9058" spans="6:8">
      <c r="F9058" t="s">
        <v>11141</v>
      </c>
      <c r="G9058" t="s">
        <v>15531</v>
      </c>
      <c r="H9058" t="s">
        <v>20091</v>
      </c>
    </row>
    <row r="9059" spans="6:8">
      <c r="H9059" t="s">
        <v>19712</v>
      </c>
    </row>
    <row r="9060" spans="6:8">
      <c r="H9060" t="s">
        <v>20095</v>
      </c>
    </row>
    <row r="9061" spans="6:8">
      <c r="H9061" t="s">
        <v>20096</v>
      </c>
    </row>
    <row r="9062" spans="6:8">
      <c r="H9062" t="s">
        <v>20097</v>
      </c>
    </row>
    <row r="9063" spans="6:8">
      <c r="H9063" t="s">
        <v>20098</v>
      </c>
    </row>
    <row r="9064" spans="6:8">
      <c r="F9064" t="s">
        <v>11142</v>
      </c>
      <c r="G9064" t="s">
        <v>15532</v>
      </c>
      <c r="H9064" t="s">
        <v>20091</v>
      </c>
    </row>
    <row r="9065" spans="6:8">
      <c r="H9065" t="s">
        <v>19712</v>
      </c>
    </row>
    <row r="9066" spans="6:8">
      <c r="H9066" t="s">
        <v>20095</v>
      </c>
    </row>
    <row r="9067" spans="6:8">
      <c r="H9067" t="s">
        <v>20096</v>
      </c>
    </row>
    <row r="9068" spans="6:8">
      <c r="H9068" t="s">
        <v>20097</v>
      </c>
    </row>
    <row r="9069" spans="6:8">
      <c r="H9069" t="s">
        <v>20098</v>
      </c>
    </row>
    <row r="9070" spans="6:8">
      <c r="F9070" t="s">
        <v>11143</v>
      </c>
      <c r="G9070" t="s">
        <v>15533</v>
      </c>
      <c r="H9070" t="s">
        <v>20091</v>
      </c>
    </row>
    <row r="9071" spans="6:8">
      <c r="H9071" t="s">
        <v>19712</v>
      </c>
    </row>
    <row r="9072" spans="6:8">
      <c r="H9072" t="s">
        <v>20095</v>
      </c>
    </row>
    <row r="9073" spans="6:8">
      <c r="H9073" t="s">
        <v>20096</v>
      </c>
    </row>
    <row r="9074" spans="6:8">
      <c r="H9074" t="s">
        <v>20097</v>
      </c>
    </row>
    <row r="9075" spans="6:8">
      <c r="H9075" t="s">
        <v>20098</v>
      </c>
    </row>
    <row r="9076" spans="6:8">
      <c r="F9076" t="s">
        <v>11144</v>
      </c>
      <c r="G9076" t="s">
        <v>15534</v>
      </c>
      <c r="H9076" t="s">
        <v>20091</v>
      </c>
    </row>
    <row r="9077" spans="6:8">
      <c r="H9077" t="s">
        <v>19712</v>
      </c>
    </row>
    <row r="9078" spans="6:8">
      <c r="H9078" t="s">
        <v>20095</v>
      </c>
    </row>
    <row r="9079" spans="6:8">
      <c r="H9079" t="s">
        <v>20096</v>
      </c>
    </row>
    <row r="9080" spans="6:8">
      <c r="H9080" t="s">
        <v>20097</v>
      </c>
    </row>
    <row r="9081" spans="6:8">
      <c r="H9081" t="s">
        <v>20098</v>
      </c>
    </row>
    <row r="9082" spans="6:8">
      <c r="F9082" t="s">
        <v>11145</v>
      </c>
      <c r="G9082" t="s">
        <v>15535</v>
      </c>
      <c r="H9082" t="s">
        <v>20091</v>
      </c>
    </row>
    <row r="9083" spans="6:8">
      <c r="H9083" t="s">
        <v>19712</v>
      </c>
    </row>
    <row r="9084" spans="6:8">
      <c r="H9084" t="s">
        <v>19709</v>
      </c>
    </row>
    <row r="9085" spans="6:8">
      <c r="H9085" t="s">
        <v>20107</v>
      </c>
    </row>
    <row r="9086" spans="6:8">
      <c r="H9086" t="s">
        <v>20108</v>
      </c>
    </row>
    <row r="9087" spans="6:8">
      <c r="H9087" t="s">
        <v>19713</v>
      </c>
    </row>
    <row r="9088" spans="6:8">
      <c r="H9088" t="s">
        <v>19714</v>
      </c>
    </row>
    <row r="9089" spans="6:8">
      <c r="H9089" t="s">
        <v>20109</v>
      </c>
    </row>
    <row r="9090" spans="6:8">
      <c r="H9090" t="s">
        <v>20110</v>
      </c>
    </row>
    <row r="9091" spans="6:8">
      <c r="H9091" t="s">
        <v>20095</v>
      </c>
    </row>
    <row r="9092" spans="6:8">
      <c r="H9092" t="s">
        <v>20096</v>
      </c>
    </row>
    <row r="9093" spans="6:8">
      <c r="H9093" t="s">
        <v>20097</v>
      </c>
    </row>
    <row r="9094" spans="6:8">
      <c r="H9094" t="s">
        <v>20098</v>
      </c>
    </row>
    <row r="9095" spans="6:8">
      <c r="H9095" t="s">
        <v>20099</v>
      </c>
    </row>
    <row r="9096" spans="6:8">
      <c r="F9096" t="s">
        <v>11146</v>
      </c>
      <c r="G9096" t="s">
        <v>15536</v>
      </c>
      <c r="H9096" t="s">
        <v>20091</v>
      </c>
    </row>
    <row r="9097" spans="6:8">
      <c r="H9097" t="s">
        <v>19712</v>
      </c>
    </row>
    <row r="9098" spans="6:8">
      <c r="H9098" t="s">
        <v>19709</v>
      </c>
    </row>
    <row r="9099" spans="6:8">
      <c r="H9099" t="s">
        <v>19706</v>
      </c>
    </row>
    <row r="9100" spans="6:8">
      <c r="H9100" t="s">
        <v>19707</v>
      </c>
    </row>
    <row r="9101" spans="6:8">
      <c r="H9101" t="s">
        <v>19711</v>
      </c>
    </row>
    <row r="9102" spans="6:8">
      <c r="H9102" t="s">
        <v>20107</v>
      </c>
    </row>
    <row r="9103" spans="6:8">
      <c r="H9103" t="s">
        <v>20108</v>
      </c>
    </row>
    <row r="9104" spans="6:8">
      <c r="H9104" t="s">
        <v>19713</v>
      </c>
    </row>
    <row r="9105" spans="6:8">
      <c r="H9105" t="s">
        <v>19714</v>
      </c>
    </row>
    <row r="9106" spans="6:8">
      <c r="H9106" t="s">
        <v>20095</v>
      </c>
    </row>
    <row r="9107" spans="6:8">
      <c r="H9107" t="s">
        <v>20096</v>
      </c>
    </row>
    <row r="9108" spans="6:8">
      <c r="H9108" t="s">
        <v>20097</v>
      </c>
    </row>
    <row r="9109" spans="6:8">
      <c r="H9109" t="s">
        <v>20098</v>
      </c>
    </row>
    <row r="9110" spans="6:8">
      <c r="H9110" t="s">
        <v>20099</v>
      </c>
    </row>
    <row r="9111" spans="6:8">
      <c r="F9111" t="s">
        <v>11147</v>
      </c>
      <c r="G9111" t="s">
        <v>15537</v>
      </c>
      <c r="H9111" t="s">
        <v>20091</v>
      </c>
    </row>
    <row r="9112" spans="6:8">
      <c r="H9112" t="s">
        <v>19712</v>
      </c>
    </row>
    <row r="9113" spans="6:8">
      <c r="H9113" t="s">
        <v>19709</v>
      </c>
    </row>
    <row r="9114" spans="6:8">
      <c r="H9114" t="s">
        <v>20107</v>
      </c>
    </row>
    <row r="9115" spans="6:8">
      <c r="H9115" t="s">
        <v>20108</v>
      </c>
    </row>
    <row r="9116" spans="6:8">
      <c r="H9116" t="s">
        <v>19713</v>
      </c>
    </row>
    <row r="9117" spans="6:8">
      <c r="H9117" t="s">
        <v>20095</v>
      </c>
    </row>
    <row r="9118" spans="6:8">
      <c r="H9118" t="s">
        <v>20096</v>
      </c>
    </row>
    <row r="9119" spans="6:8">
      <c r="H9119" t="s">
        <v>20097</v>
      </c>
    </row>
    <row r="9120" spans="6:8">
      <c r="H9120" t="s">
        <v>20098</v>
      </c>
    </row>
    <row r="9121" spans="6:8">
      <c r="H9121" t="s">
        <v>20099</v>
      </c>
    </row>
    <row r="9122" spans="6:8">
      <c r="F9122" t="s">
        <v>11148</v>
      </c>
      <c r="G9122" t="s">
        <v>15538</v>
      </c>
      <c r="H9122" t="s">
        <v>20091</v>
      </c>
    </row>
    <row r="9123" spans="6:8">
      <c r="H9123" t="s">
        <v>19712</v>
      </c>
    </row>
    <row r="9124" spans="6:8">
      <c r="H9124" t="s">
        <v>20092</v>
      </c>
    </row>
    <row r="9125" spans="6:8">
      <c r="H9125" t="s">
        <v>20095</v>
      </c>
    </row>
    <row r="9126" spans="6:8">
      <c r="H9126" t="s">
        <v>20096</v>
      </c>
    </row>
    <row r="9127" spans="6:8">
      <c r="H9127" t="s">
        <v>20131</v>
      </c>
    </row>
    <row r="9128" spans="6:8">
      <c r="H9128" t="s">
        <v>18927</v>
      </c>
    </row>
    <row r="9129" spans="6:8">
      <c r="H9129" t="s">
        <v>20132</v>
      </c>
    </row>
    <row r="9130" spans="6:8">
      <c r="H9130" t="s">
        <v>18927</v>
      </c>
    </row>
    <row r="9131" spans="6:8">
      <c r="F9131" t="s">
        <v>11149</v>
      </c>
      <c r="G9131" t="s">
        <v>15539</v>
      </c>
      <c r="H9131" t="s">
        <v>20092</v>
      </c>
    </row>
    <row r="9132" spans="6:8">
      <c r="H9132" t="s">
        <v>20093</v>
      </c>
    </row>
    <row r="9133" spans="6:8">
      <c r="H9133" t="s">
        <v>20094</v>
      </c>
    </row>
    <row r="9134" spans="6:8">
      <c r="H9134" t="s">
        <v>20095</v>
      </c>
    </row>
    <row r="9135" spans="6:8">
      <c r="H9135" t="s">
        <v>20096</v>
      </c>
    </row>
    <row r="9136" spans="6:8">
      <c r="H9136" t="s">
        <v>20131</v>
      </c>
    </row>
    <row r="9137" spans="6:8">
      <c r="H9137" t="s">
        <v>18927</v>
      </c>
    </row>
    <row r="9138" spans="6:8">
      <c r="F9138" t="s">
        <v>11150</v>
      </c>
      <c r="G9138" t="s">
        <v>15540</v>
      </c>
      <c r="H9138" t="s">
        <v>20091</v>
      </c>
    </row>
    <row r="9139" spans="6:8">
      <c r="H9139" t="s">
        <v>19712</v>
      </c>
    </row>
    <row r="9140" spans="6:8">
      <c r="H9140" t="s">
        <v>19709</v>
      </c>
    </row>
    <row r="9141" spans="6:8">
      <c r="H9141" t="s">
        <v>20092</v>
      </c>
    </row>
    <row r="9142" spans="6:8">
      <c r="H9142" t="s">
        <v>20093</v>
      </c>
    </row>
    <row r="9143" spans="6:8">
      <c r="H9143" t="s">
        <v>20094</v>
      </c>
    </row>
    <row r="9144" spans="6:8">
      <c r="H9144" t="s">
        <v>20095</v>
      </c>
    </row>
    <row r="9145" spans="6:8">
      <c r="H9145" t="s">
        <v>20096</v>
      </c>
    </row>
    <row r="9146" spans="6:8">
      <c r="H9146" t="s">
        <v>20097</v>
      </c>
    </row>
    <row r="9147" spans="6:8">
      <c r="H9147" t="s">
        <v>20098</v>
      </c>
    </row>
    <row r="9148" spans="6:8">
      <c r="H9148" t="s">
        <v>20099</v>
      </c>
    </row>
    <row r="9149" spans="6:8">
      <c r="H9149" t="s">
        <v>20100</v>
      </c>
    </row>
    <row r="9150" spans="6:8">
      <c r="F9150" t="s">
        <v>11151</v>
      </c>
      <c r="G9150" t="s">
        <v>15541</v>
      </c>
      <c r="H9150" t="s">
        <v>20091</v>
      </c>
    </row>
    <row r="9151" spans="6:8">
      <c r="H9151" t="s">
        <v>19712</v>
      </c>
    </row>
    <row r="9152" spans="6:8">
      <c r="H9152" t="s">
        <v>20092</v>
      </c>
    </row>
    <row r="9153" spans="6:8">
      <c r="H9153" t="s">
        <v>20107</v>
      </c>
    </row>
    <row r="9154" spans="6:8">
      <c r="H9154" t="s">
        <v>20095</v>
      </c>
    </row>
    <row r="9155" spans="6:8">
      <c r="H9155" t="s">
        <v>20096</v>
      </c>
    </row>
    <row r="9156" spans="6:8">
      <c r="H9156" t="s">
        <v>20097</v>
      </c>
    </row>
    <row r="9157" spans="6:8">
      <c r="H9157" t="s">
        <v>20098</v>
      </c>
    </row>
    <row r="9158" spans="6:8">
      <c r="F9158" t="s">
        <v>11152</v>
      </c>
      <c r="G9158" t="s">
        <v>15542</v>
      </c>
      <c r="H9158" t="s">
        <v>20091</v>
      </c>
    </row>
    <row r="9159" spans="6:8">
      <c r="F9159" t="s">
        <v>11153</v>
      </c>
      <c r="G9159" t="s">
        <v>15543</v>
      </c>
      <c r="H9159" t="s">
        <v>20091</v>
      </c>
    </row>
    <row r="9160" spans="6:8">
      <c r="H9160" t="s">
        <v>19712</v>
      </c>
    </row>
    <row r="9161" spans="6:8">
      <c r="H9161" t="s">
        <v>19709</v>
      </c>
    </row>
    <row r="9162" spans="6:8">
      <c r="H9162" t="s">
        <v>20095</v>
      </c>
    </row>
    <row r="9163" spans="6:8">
      <c r="H9163" t="s">
        <v>20096</v>
      </c>
    </row>
    <row r="9164" spans="6:8">
      <c r="H9164" t="s">
        <v>20097</v>
      </c>
    </row>
    <row r="9165" spans="6:8">
      <c r="F9165" t="s">
        <v>11154</v>
      </c>
      <c r="G9165" t="s">
        <v>15544</v>
      </c>
      <c r="H9165" t="s">
        <v>20091</v>
      </c>
    </row>
    <row r="9166" spans="6:8">
      <c r="H9166" t="s">
        <v>19712</v>
      </c>
    </row>
    <row r="9167" spans="6:8">
      <c r="H9167" t="s">
        <v>19709</v>
      </c>
    </row>
    <row r="9168" spans="6:8">
      <c r="H9168" t="s">
        <v>19706</v>
      </c>
    </row>
    <row r="9169" spans="6:8">
      <c r="H9169" t="s">
        <v>20092</v>
      </c>
    </row>
    <row r="9170" spans="6:8">
      <c r="H9170" t="s">
        <v>20093</v>
      </c>
    </row>
    <row r="9171" spans="6:8">
      <c r="H9171" t="s">
        <v>20095</v>
      </c>
    </row>
    <row r="9172" spans="6:8">
      <c r="H9172" t="s">
        <v>20096</v>
      </c>
    </row>
    <row r="9173" spans="6:8">
      <c r="H9173" t="s">
        <v>20097</v>
      </c>
    </row>
    <row r="9174" spans="6:8">
      <c r="H9174" t="s">
        <v>20098</v>
      </c>
    </row>
    <row r="9175" spans="6:8">
      <c r="F9175" t="s">
        <v>11155</v>
      </c>
      <c r="G9175" t="s">
        <v>15545</v>
      </c>
      <c r="H9175" t="s">
        <v>20091</v>
      </c>
    </row>
    <row r="9176" spans="6:8">
      <c r="H9176" t="s">
        <v>20092</v>
      </c>
    </row>
    <row r="9177" spans="6:8">
      <c r="H9177" t="s">
        <v>20093</v>
      </c>
    </row>
    <row r="9178" spans="6:8">
      <c r="H9178" t="s">
        <v>20094</v>
      </c>
    </row>
    <row r="9179" spans="6:8">
      <c r="H9179" t="s">
        <v>20103</v>
      </c>
    </row>
    <row r="9180" spans="6:8">
      <c r="H9180" t="s">
        <v>20116</v>
      </c>
    </row>
    <row r="9181" spans="6:8">
      <c r="H9181" t="s">
        <v>20095</v>
      </c>
    </row>
    <row r="9182" spans="6:8">
      <c r="H9182" t="s">
        <v>20096</v>
      </c>
    </row>
    <row r="9183" spans="6:8">
      <c r="H9183" t="s">
        <v>20097</v>
      </c>
    </row>
    <row r="9184" spans="6:8">
      <c r="H9184" t="s">
        <v>20098</v>
      </c>
    </row>
    <row r="9185" spans="6:8">
      <c r="F9185" t="s">
        <v>11156</v>
      </c>
      <c r="G9185" t="s">
        <v>15104</v>
      </c>
      <c r="H9185" t="s">
        <v>20125</v>
      </c>
    </row>
    <row r="9186" spans="6:8">
      <c r="F9186" t="s">
        <v>11157</v>
      </c>
      <c r="G9186" t="s">
        <v>15546</v>
      </c>
      <c r="H9186" t="s">
        <v>20091</v>
      </c>
    </row>
    <row r="9187" spans="6:8">
      <c r="H9187" t="s">
        <v>19712</v>
      </c>
    </row>
    <row r="9188" spans="6:8">
      <c r="H9188" t="s">
        <v>20092</v>
      </c>
    </row>
    <row r="9189" spans="6:8">
      <c r="H9189" t="s">
        <v>20093</v>
      </c>
    </row>
    <row r="9190" spans="6:8">
      <c r="H9190" t="s">
        <v>20095</v>
      </c>
    </row>
    <row r="9191" spans="6:8">
      <c r="H9191" t="s">
        <v>20096</v>
      </c>
    </row>
    <row r="9192" spans="6:8">
      <c r="F9192" t="s">
        <v>11158</v>
      </c>
      <c r="G9192" t="s">
        <v>15547</v>
      </c>
      <c r="H9192" t="s">
        <v>20091</v>
      </c>
    </row>
    <row r="9193" spans="6:8">
      <c r="H9193" t="s">
        <v>19712</v>
      </c>
    </row>
    <row r="9194" spans="6:8">
      <c r="H9194" t="s">
        <v>20095</v>
      </c>
    </row>
    <row r="9195" spans="6:8">
      <c r="H9195" t="s">
        <v>20096</v>
      </c>
    </row>
    <row r="9196" spans="6:8">
      <c r="F9196" t="s">
        <v>11159</v>
      </c>
      <c r="G9196" t="s">
        <v>15548</v>
      </c>
      <c r="H9196" t="s">
        <v>20091</v>
      </c>
    </row>
    <row r="9197" spans="6:8">
      <c r="H9197" t="s">
        <v>19712</v>
      </c>
    </row>
    <row r="9198" spans="6:8">
      <c r="H9198" t="s">
        <v>20095</v>
      </c>
    </row>
    <row r="9199" spans="6:8">
      <c r="H9199" t="s">
        <v>20096</v>
      </c>
    </row>
    <row r="9200" spans="6:8">
      <c r="F9200" t="s">
        <v>11160</v>
      </c>
      <c r="G9200" t="s">
        <v>15549</v>
      </c>
      <c r="H9200" t="s">
        <v>20091</v>
      </c>
    </row>
    <row r="9201" spans="8:8">
      <c r="H9201" t="s">
        <v>19712</v>
      </c>
    </row>
    <row r="9202" spans="8:8">
      <c r="H9202" t="s">
        <v>19709</v>
      </c>
    </row>
    <row r="9203" spans="8:8">
      <c r="H9203" t="s">
        <v>19706</v>
      </c>
    </row>
    <row r="9204" spans="8:8">
      <c r="H9204" t="s">
        <v>19707</v>
      </c>
    </row>
    <row r="9205" spans="8:8">
      <c r="H9205" t="s">
        <v>19711</v>
      </c>
    </row>
    <row r="9206" spans="8:8">
      <c r="H9206" t="s">
        <v>20092</v>
      </c>
    </row>
    <row r="9207" spans="8:8">
      <c r="H9207" t="s">
        <v>20093</v>
      </c>
    </row>
    <row r="9208" spans="8:8">
      <c r="H9208" t="s">
        <v>20094</v>
      </c>
    </row>
    <row r="9209" spans="8:8">
      <c r="H9209" t="s">
        <v>20103</v>
      </c>
    </row>
    <row r="9210" spans="8:8">
      <c r="H9210" t="s">
        <v>20116</v>
      </c>
    </row>
    <row r="9211" spans="8:8">
      <c r="H9211" t="s">
        <v>20117</v>
      </c>
    </row>
    <row r="9212" spans="8:8">
      <c r="H9212" t="s">
        <v>20118</v>
      </c>
    </row>
    <row r="9213" spans="8:8">
      <c r="H9213" t="s">
        <v>20095</v>
      </c>
    </row>
    <row r="9214" spans="8:8">
      <c r="H9214" t="s">
        <v>20096</v>
      </c>
    </row>
    <row r="9215" spans="8:8">
      <c r="H9215" t="s">
        <v>20097</v>
      </c>
    </row>
    <row r="9216" spans="8:8">
      <c r="H9216" t="s">
        <v>20098</v>
      </c>
    </row>
    <row r="9217" spans="6:8">
      <c r="H9217" t="s">
        <v>20099</v>
      </c>
    </row>
    <row r="9218" spans="6:8">
      <c r="H9218" t="s">
        <v>20100</v>
      </c>
    </row>
    <row r="9219" spans="6:8">
      <c r="F9219" t="s">
        <v>11161</v>
      </c>
      <c r="G9219" t="s">
        <v>15550</v>
      </c>
      <c r="H9219" t="s">
        <v>20091</v>
      </c>
    </row>
    <row r="9220" spans="6:8">
      <c r="H9220" t="s">
        <v>19712</v>
      </c>
    </row>
    <row r="9221" spans="6:8">
      <c r="H9221" t="s">
        <v>19709</v>
      </c>
    </row>
    <row r="9222" spans="6:8">
      <c r="H9222" t="s">
        <v>19706</v>
      </c>
    </row>
    <row r="9223" spans="6:8">
      <c r="H9223" t="s">
        <v>19707</v>
      </c>
    </row>
    <row r="9224" spans="6:8">
      <c r="H9224" t="s">
        <v>20092</v>
      </c>
    </row>
    <row r="9225" spans="6:8">
      <c r="H9225" t="s">
        <v>20093</v>
      </c>
    </row>
    <row r="9226" spans="6:8">
      <c r="H9226" t="s">
        <v>20094</v>
      </c>
    </row>
    <row r="9227" spans="6:8">
      <c r="H9227" t="s">
        <v>20103</v>
      </c>
    </row>
    <row r="9228" spans="6:8">
      <c r="H9228" t="s">
        <v>20116</v>
      </c>
    </row>
    <row r="9229" spans="6:8">
      <c r="H9229" t="s">
        <v>20117</v>
      </c>
    </row>
    <row r="9230" spans="6:8">
      <c r="H9230" t="s">
        <v>20118</v>
      </c>
    </row>
    <row r="9231" spans="6:8">
      <c r="H9231" t="s">
        <v>20095</v>
      </c>
    </row>
    <row r="9232" spans="6:8">
      <c r="H9232" t="s">
        <v>20096</v>
      </c>
    </row>
    <row r="9233" spans="6:8">
      <c r="H9233" t="s">
        <v>20097</v>
      </c>
    </row>
    <row r="9234" spans="6:8">
      <c r="H9234" t="s">
        <v>20098</v>
      </c>
    </row>
    <row r="9235" spans="6:8">
      <c r="H9235" t="s">
        <v>20099</v>
      </c>
    </row>
    <row r="9236" spans="6:8">
      <c r="H9236" t="s">
        <v>20100</v>
      </c>
    </row>
    <row r="9237" spans="6:8">
      <c r="F9237" t="s">
        <v>11162</v>
      </c>
      <c r="G9237" t="s">
        <v>15551</v>
      </c>
      <c r="H9237" t="s">
        <v>20091</v>
      </c>
    </row>
    <row r="9238" spans="6:8">
      <c r="H9238" t="s">
        <v>20095</v>
      </c>
    </row>
    <row r="9239" spans="6:8">
      <c r="H9239" t="s">
        <v>20096</v>
      </c>
    </row>
    <row r="9240" spans="6:8">
      <c r="H9240" t="s">
        <v>20099</v>
      </c>
    </row>
    <row r="9241" spans="6:8">
      <c r="H9241" t="s">
        <v>20101</v>
      </c>
    </row>
    <row r="9242" spans="6:8">
      <c r="H9242" t="s">
        <v>19712</v>
      </c>
    </row>
    <row r="9243" spans="6:8">
      <c r="H9243" t="s">
        <v>20097</v>
      </c>
    </row>
    <row r="9244" spans="6:8">
      <c r="H9244" t="s">
        <v>20098</v>
      </c>
    </row>
    <row r="9245" spans="6:8">
      <c r="H9245" t="s">
        <v>20100</v>
      </c>
    </row>
    <row r="9246" spans="6:8">
      <c r="H9246" t="s">
        <v>20102</v>
      </c>
    </row>
    <row r="9247" spans="6:8">
      <c r="F9247" t="s">
        <v>11163</v>
      </c>
      <c r="G9247" t="s">
        <v>15552</v>
      </c>
      <c r="H9247" t="s">
        <v>20091</v>
      </c>
    </row>
    <row r="9248" spans="6:8">
      <c r="H9248" t="s">
        <v>19712</v>
      </c>
    </row>
    <row r="9249" spans="6:8">
      <c r="H9249" t="s">
        <v>20092</v>
      </c>
    </row>
    <row r="9250" spans="6:8">
      <c r="H9250" t="s">
        <v>20093</v>
      </c>
    </row>
    <row r="9251" spans="6:8">
      <c r="H9251" t="s">
        <v>20094</v>
      </c>
    </row>
    <row r="9252" spans="6:8">
      <c r="H9252" t="s">
        <v>20095</v>
      </c>
    </row>
    <row r="9253" spans="6:8">
      <c r="H9253" t="s">
        <v>20096</v>
      </c>
    </row>
    <row r="9254" spans="6:8">
      <c r="H9254" t="s">
        <v>20097</v>
      </c>
    </row>
    <row r="9255" spans="6:8">
      <c r="H9255" t="s">
        <v>20098</v>
      </c>
    </row>
    <row r="9256" spans="6:8">
      <c r="H9256" t="s">
        <v>20099</v>
      </c>
    </row>
    <row r="9257" spans="6:8">
      <c r="H9257" t="s">
        <v>20100</v>
      </c>
    </row>
    <row r="9258" spans="6:8">
      <c r="H9258" t="s">
        <v>20101</v>
      </c>
    </row>
    <row r="9259" spans="6:8">
      <c r="H9259" t="s">
        <v>20102</v>
      </c>
    </row>
    <row r="9260" spans="6:8">
      <c r="F9260" t="s">
        <v>11164</v>
      </c>
      <c r="G9260" t="s">
        <v>15553</v>
      </c>
      <c r="H9260" t="s">
        <v>20091</v>
      </c>
    </row>
    <row r="9261" spans="6:8">
      <c r="H9261" t="s">
        <v>19712</v>
      </c>
    </row>
    <row r="9262" spans="6:8">
      <c r="H9262" t="s">
        <v>20092</v>
      </c>
    </row>
    <row r="9263" spans="6:8">
      <c r="H9263" t="s">
        <v>20093</v>
      </c>
    </row>
    <row r="9264" spans="6:8">
      <c r="H9264" t="s">
        <v>20094</v>
      </c>
    </row>
    <row r="9265" spans="6:8">
      <c r="H9265" t="s">
        <v>20095</v>
      </c>
    </row>
    <row r="9266" spans="6:8">
      <c r="H9266" t="s">
        <v>20096</v>
      </c>
    </row>
    <row r="9267" spans="6:8">
      <c r="H9267" t="s">
        <v>20097</v>
      </c>
    </row>
    <row r="9268" spans="6:8">
      <c r="H9268" t="s">
        <v>20098</v>
      </c>
    </row>
    <row r="9269" spans="6:8">
      <c r="H9269" t="s">
        <v>20099</v>
      </c>
    </row>
    <row r="9270" spans="6:8">
      <c r="H9270" t="s">
        <v>20100</v>
      </c>
    </row>
    <row r="9271" spans="6:8">
      <c r="H9271" t="s">
        <v>20101</v>
      </c>
    </row>
    <row r="9272" spans="6:8">
      <c r="H9272" t="s">
        <v>20102</v>
      </c>
    </row>
    <row r="9273" spans="6:8">
      <c r="F9273" t="s">
        <v>11165</v>
      </c>
      <c r="G9273" t="s">
        <v>15554</v>
      </c>
      <c r="H9273" t="s">
        <v>20091</v>
      </c>
    </row>
    <row r="9274" spans="6:8">
      <c r="H9274" t="s">
        <v>20107</v>
      </c>
    </row>
    <row r="9275" spans="6:8">
      <c r="H9275" t="s">
        <v>20108</v>
      </c>
    </row>
    <row r="9276" spans="6:8">
      <c r="H9276" t="s">
        <v>20095</v>
      </c>
    </row>
    <row r="9277" spans="6:8">
      <c r="F9277" t="s">
        <v>11166</v>
      </c>
      <c r="G9277" t="s">
        <v>15555</v>
      </c>
      <c r="H9277" t="s">
        <v>20091</v>
      </c>
    </row>
    <row r="9278" spans="6:8">
      <c r="H9278" t="s">
        <v>19712</v>
      </c>
    </row>
    <row r="9279" spans="6:8">
      <c r="H9279" t="s">
        <v>19709</v>
      </c>
    </row>
    <row r="9280" spans="6:8">
      <c r="H9280" t="s">
        <v>19706</v>
      </c>
    </row>
    <row r="9281" spans="6:8">
      <c r="H9281" t="s">
        <v>20095</v>
      </c>
    </row>
    <row r="9282" spans="6:8">
      <c r="H9282" t="s">
        <v>20096</v>
      </c>
    </row>
    <row r="9283" spans="6:8">
      <c r="H9283" t="s">
        <v>20097</v>
      </c>
    </row>
    <row r="9284" spans="6:8">
      <c r="H9284" t="s">
        <v>20098</v>
      </c>
    </row>
    <row r="9285" spans="6:8">
      <c r="F9285" t="s">
        <v>11167</v>
      </c>
      <c r="G9285" t="s">
        <v>15556</v>
      </c>
      <c r="H9285" t="s">
        <v>20091</v>
      </c>
    </row>
    <row r="9286" spans="6:8">
      <c r="H9286" t="s">
        <v>20107</v>
      </c>
    </row>
    <row r="9287" spans="6:8">
      <c r="H9287" t="s">
        <v>20108</v>
      </c>
    </row>
    <row r="9288" spans="6:8">
      <c r="H9288" t="s">
        <v>20095</v>
      </c>
    </row>
    <row r="9289" spans="6:8">
      <c r="H9289" t="s">
        <v>20096</v>
      </c>
    </row>
    <row r="9290" spans="6:8">
      <c r="H9290" t="s">
        <v>20097</v>
      </c>
    </row>
    <row r="9291" spans="6:8">
      <c r="H9291" t="s">
        <v>20098</v>
      </c>
    </row>
    <row r="9292" spans="6:8">
      <c r="H9292" t="s">
        <v>20099</v>
      </c>
    </row>
    <row r="9293" spans="6:8">
      <c r="H9293" t="s">
        <v>20100</v>
      </c>
    </row>
    <row r="9294" spans="6:8">
      <c r="H9294" t="s">
        <v>20101</v>
      </c>
    </row>
    <row r="9295" spans="6:8">
      <c r="H9295" t="s">
        <v>20102</v>
      </c>
    </row>
    <row r="9296" spans="6:8">
      <c r="F9296" t="s">
        <v>11168</v>
      </c>
      <c r="G9296" t="s">
        <v>15557</v>
      </c>
      <c r="H9296" t="s">
        <v>20095</v>
      </c>
    </row>
    <row r="9297" spans="6:8">
      <c r="H9297" t="s">
        <v>20096</v>
      </c>
    </row>
    <row r="9298" spans="6:8">
      <c r="F9298" t="s">
        <v>11169</v>
      </c>
      <c r="G9298" t="s">
        <v>15558</v>
      </c>
      <c r="H9298" t="s">
        <v>20095</v>
      </c>
    </row>
    <row r="9299" spans="6:8">
      <c r="F9299" t="s">
        <v>11170</v>
      </c>
      <c r="G9299" t="s">
        <v>15559</v>
      </c>
      <c r="H9299" t="s">
        <v>20095</v>
      </c>
    </row>
    <row r="9300" spans="6:8">
      <c r="F9300" t="s">
        <v>11171</v>
      </c>
      <c r="G9300" t="s">
        <v>15560</v>
      </c>
      <c r="H9300" t="s">
        <v>20095</v>
      </c>
    </row>
    <row r="9301" spans="6:8">
      <c r="F9301" t="s">
        <v>11172</v>
      </c>
      <c r="G9301" t="s">
        <v>15561</v>
      </c>
      <c r="H9301" t="s">
        <v>20095</v>
      </c>
    </row>
    <row r="9302" spans="6:8">
      <c r="H9302" t="s">
        <v>20096</v>
      </c>
    </row>
    <row r="9303" spans="6:8">
      <c r="H9303" t="s">
        <v>20097</v>
      </c>
    </row>
    <row r="9304" spans="6:8">
      <c r="H9304" t="s">
        <v>20098</v>
      </c>
    </row>
    <row r="9305" spans="6:8">
      <c r="F9305" t="s">
        <v>11173</v>
      </c>
      <c r="G9305" t="s">
        <v>15562</v>
      </c>
      <c r="H9305" t="s">
        <v>20095</v>
      </c>
    </row>
    <row r="9306" spans="6:8">
      <c r="F9306" t="s">
        <v>11174</v>
      </c>
      <c r="G9306" t="s">
        <v>15563</v>
      </c>
      <c r="H9306" t="s">
        <v>20095</v>
      </c>
    </row>
    <row r="9307" spans="6:8">
      <c r="H9307" t="s">
        <v>20096</v>
      </c>
    </row>
    <row r="9308" spans="6:8">
      <c r="F9308" t="s">
        <v>11175</v>
      </c>
      <c r="G9308" t="s">
        <v>15564</v>
      </c>
      <c r="H9308" t="s">
        <v>20091</v>
      </c>
    </row>
    <row r="9309" spans="6:8">
      <c r="H9309" t="s">
        <v>20095</v>
      </c>
    </row>
    <row r="9310" spans="6:8">
      <c r="H9310" t="s">
        <v>20096</v>
      </c>
    </row>
    <row r="9311" spans="6:8">
      <c r="F9311" t="s">
        <v>11176</v>
      </c>
      <c r="G9311" t="s">
        <v>15565</v>
      </c>
      <c r="H9311" t="s">
        <v>20095</v>
      </c>
    </row>
    <row r="9312" spans="6:8">
      <c r="H9312" t="s">
        <v>20096</v>
      </c>
    </row>
    <row r="9313" spans="1:8">
      <c r="F9313" t="s">
        <v>11177</v>
      </c>
      <c r="G9313" t="s">
        <v>15566</v>
      </c>
      <c r="H9313" t="s">
        <v>20095</v>
      </c>
    </row>
    <row r="9314" spans="1:8">
      <c r="F9314" t="s">
        <v>11178</v>
      </c>
      <c r="G9314" t="s">
        <v>15567</v>
      </c>
      <c r="H9314" t="s">
        <v>20095</v>
      </c>
    </row>
    <row r="9315" spans="1:8">
      <c r="F9315" t="s">
        <v>11179</v>
      </c>
      <c r="G9315" t="s">
        <v>15568</v>
      </c>
      <c r="H9315" t="s">
        <v>20095</v>
      </c>
    </row>
    <row r="9316" spans="1:8">
      <c r="H9316" t="s">
        <v>20096</v>
      </c>
    </row>
    <row r="9317" spans="1:8">
      <c r="F9317" t="s">
        <v>11180</v>
      </c>
      <c r="G9317" t="s">
        <v>15569</v>
      </c>
      <c r="H9317" t="s">
        <v>20095</v>
      </c>
    </row>
    <row r="9318" spans="1:8">
      <c r="H9318" t="s">
        <v>20096</v>
      </c>
    </row>
    <row r="9319" spans="1:8">
      <c r="H9319" t="s">
        <v>20097</v>
      </c>
    </row>
    <row r="9320" spans="1:8">
      <c r="F9320" t="s">
        <v>11181</v>
      </c>
      <c r="G9320" t="s">
        <v>15570</v>
      </c>
      <c r="H9320" t="s">
        <v>20095</v>
      </c>
    </row>
    <row r="9321" spans="1:8">
      <c r="H9321" t="s">
        <v>20096</v>
      </c>
    </row>
    <row r="9322" spans="1:8">
      <c r="F9322" t="s">
        <v>11182</v>
      </c>
      <c r="G9322" t="s">
        <v>15571</v>
      </c>
      <c r="H9322" t="s">
        <v>20095</v>
      </c>
    </row>
    <row r="9323" spans="1:8">
      <c r="H9323" t="s">
        <v>20096</v>
      </c>
    </row>
    <row r="9324" spans="1:8">
      <c r="A9324" t="s">
        <v>324</v>
      </c>
      <c r="B9324">
        <f>HYPERLINK("https://android.googlesource.com/platform/cts/+/a78e3ec91fef1df8edbc4ae9ef6de182b309a13f", "a78e3ec91fef1df8edbc4ae9ef6de182b309a13f")</f>
        <v>0</v>
      </c>
      <c r="C9324">
        <f>HYPERLINK("https://android.googlesource.com/platform/cts/+/8649fcafc7881ee780fb1890a3c8088a3c34b635", "8649fcafc7881ee780fb1890a3c8088a3c34b635")</f>
        <v>0</v>
      </c>
      <c r="D9324" t="s">
        <v>4941</v>
      </c>
      <c r="E9324" t="s">
        <v>6119</v>
      </c>
      <c r="F9324" t="s">
        <v>11431</v>
      </c>
      <c r="G9324" t="s">
        <v>15671</v>
      </c>
      <c r="H9324" t="s">
        <v>20244</v>
      </c>
    </row>
    <row r="9325" spans="1:8">
      <c r="H9325" t="s">
        <v>18829</v>
      </c>
    </row>
    <row r="9326" spans="1:8">
      <c r="H9326" t="s">
        <v>18863</v>
      </c>
    </row>
    <row r="9327" spans="1:8">
      <c r="H9327" t="s">
        <v>20245</v>
      </c>
    </row>
    <row r="9328" spans="1:8">
      <c r="A9328" t="s">
        <v>325</v>
      </c>
      <c r="B9328">
        <f>HYPERLINK("https://android.googlesource.com/platform/cts/+/bc9b467765c6b77506b88dc8c6f3a5dd585d1055", "bc9b467765c6b77506b88dc8c6f3a5dd585d1055")</f>
        <v>0</v>
      </c>
      <c r="C9328">
        <f>HYPERLINK("https://android.googlesource.com/platform/cts/+/c7ca40ff7593edb1902b4802e6a4517be61b658a", "c7ca40ff7593edb1902b4802e6a4517be61b658a")</f>
        <v>0</v>
      </c>
      <c r="D9328" t="s">
        <v>4957</v>
      </c>
      <c r="E9328" t="s">
        <v>6120</v>
      </c>
      <c r="F9328" t="s">
        <v>11432</v>
      </c>
      <c r="G9328" t="s">
        <v>15672</v>
      </c>
      <c r="H9328" t="s">
        <v>20246</v>
      </c>
    </row>
    <row r="9329" spans="1:8">
      <c r="H9329" t="s">
        <v>20247</v>
      </c>
    </row>
    <row r="9330" spans="1:8">
      <c r="A9330" t="s">
        <v>326</v>
      </c>
      <c r="B9330">
        <f>HYPERLINK("https://android.googlesource.com/platform/cts/+/d5f04893f0c1a7663ff195a9b373d100e2741518", "d5f04893f0c1a7663ff195a9b373d100e2741518")</f>
        <v>0</v>
      </c>
      <c r="C9330">
        <f>HYPERLINK("https://android.googlesource.com/platform/cts/+/68b0d0be0cf57b8d2b1efb674f263a8a23a38055", "68b0d0be0cf57b8d2b1efb674f263a8a23a38055")</f>
        <v>0</v>
      </c>
      <c r="D9330" t="s">
        <v>4967</v>
      </c>
      <c r="E9330" t="s">
        <v>6121</v>
      </c>
      <c r="F9330" t="s">
        <v>11433</v>
      </c>
      <c r="G9330" t="s">
        <v>15673</v>
      </c>
      <c r="H9330" t="s">
        <v>20248</v>
      </c>
    </row>
    <row r="9331" spans="1:8">
      <c r="H9331" t="s">
        <v>20249</v>
      </c>
    </row>
    <row r="9332" spans="1:8">
      <c r="H9332" t="s">
        <v>20250</v>
      </c>
    </row>
    <row r="9333" spans="1:8">
      <c r="H9333" t="s">
        <v>20251</v>
      </c>
    </row>
    <row r="9334" spans="1:8">
      <c r="H9334" t="s">
        <v>20252</v>
      </c>
    </row>
    <row r="9335" spans="1:8">
      <c r="H9335" t="s">
        <v>20253</v>
      </c>
    </row>
    <row r="9336" spans="1:8">
      <c r="H9336" t="s">
        <v>20254</v>
      </c>
    </row>
    <row r="9337" spans="1:8">
      <c r="H9337" t="s">
        <v>20255</v>
      </c>
    </row>
    <row r="9338" spans="1:8">
      <c r="H9338" t="s">
        <v>20256</v>
      </c>
    </row>
    <row r="9339" spans="1:8">
      <c r="H9339" t="s">
        <v>20257</v>
      </c>
    </row>
    <row r="9340" spans="1:8">
      <c r="H9340" t="s">
        <v>20258</v>
      </c>
    </row>
    <row r="9341" spans="1:8">
      <c r="H9341" t="s">
        <v>20259</v>
      </c>
    </row>
    <row r="9342" spans="1:8">
      <c r="H9342" t="s">
        <v>20260</v>
      </c>
    </row>
    <row r="9343" spans="1:8">
      <c r="H9343" t="s">
        <v>18882</v>
      </c>
    </row>
    <row r="9344" spans="1:8">
      <c r="A9344" t="s">
        <v>327</v>
      </c>
      <c r="B9344">
        <f>HYPERLINK("https://android.googlesource.com/platform/cts/+/3620919a4e2f4b7d2801411fee1dc8b16c6c9344", "3620919a4e2f4b7d2801411fee1dc8b16c6c9344")</f>
        <v>0</v>
      </c>
      <c r="C9344">
        <f>HYPERLINK("https://android.googlesource.com/platform/cts/+/98439bb945e0d32ff42f5ab98618ff50859c0fb8", "98439bb945e0d32ff42f5ab98618ff50859c0fb8")</f>
        <v>0</v>
      </c>
      <c r="D9344" t="s">
        <v>4967</v>
      </c>
      <c r="E9344" t="s">
        <v>6122</v>
      </c>
      <c r="F9344" t="s">
        <v>10736</v>
      </c>
      <c r="G9344" t="s">
        <v>15135</v>
      </c>
      <c r="H9344" t="s">
        <v>20261</v>
      </c>
    </row>
    <row r="9345" spans="1:8">
      <c r="H9345" t="s">
        <v>20262</v>
      </c>
    </row>
    <row r="9346" spans="1:8">
      <c r="A9346" t="s">
        <v>328</v>
      </c>
      <c r="B9346">
        <f>HYPERLINK("https://android.googlesource.com/platform/cts/+/af31fd0dd392fea5451421d61a3f904f2b56c6bd", "af31fd0dd392fea5451421d61a3f904f2b56c6bd")</f>
        <v>0</v>
      </c>
      <c r="C9346">
        <f>HYPERLINK("https://android.googlesource.com/platform/cts/+/dc6eef954a66e71b84489734d930290f289aa2ed", "dc6eef954a66e71b84489734d930290f289aa2ed")</f>
        <v>0</v>
      </c>
      <c r="D9346" t="s">
        <v>4976</v>
      </c>
      <c r="E9346" t="s">
        <v>6123</v>
      </c>
      <c r="F9346" t="s">
        <v>11193</v>
      </c>
      <c r="G9346" t="s">
        <v>15582</v>
      </c>
      <c r="H9346" t="s">
        <v>20263</v>
      </c>
    </row>
    <row r="9347" spans="1:8">
      <c r="H9347" t="s">
        <v>20264</v>
      </c>
    </row>
    <row r="9348" spans="1:8">
      <c r="A9348" t="s">
        <v>329</v>
      </c>
      <c r="B9348">
        <f>HYPERLINK("https://android.googlesource.com/platform/cts/+/59da788bd879aad40821b50959a3a9b4581b9f59", "59da788bd879aad40821b50959a3a9b4581b9f59")</f>
        <v>0</v>
      </c>
      <c r="C9348">
        <f>HYPERLINK("https://android.googlesource.com/platform/cts/+/8bee7091794b728693fa454f42ca6a54b6f41fe2", "8bee7091794b728693fa454f42ca6a54b6f41fe2")</f>
        <v>0</v>
      </c>
      <c r="D9348" t="s">
        <v>4977</v>
      </c>
      <c r="E9348" t="s">
        <v>6124</v>
      </c>
      <c r="F9348" t="s">
        <v>11434</v>
      </c>
      <c r="G9348" t="s">
        <v>15674</v>
      </c>
      <c r="H9348" t="s">
        <v>20265</v>
      </c>
    </row>
    <row r="9349" spans="1:8">
      <c r="H9349" t="s">
        <v>20266</v>
      </c>
    </row>
    <row r="9350" spans="1:8">
      <c r="H9350" t="s">
        <v>20267</v>
      </c>
    </row>
    <row r="9351" spans="1:8">
      <c r="A9351" t="s">
        <v>330</v>
      </c>
      <c r="B9351">
        <f>HYPERLINK("https://android.googlesource.com/platform/cts/+/28ae149617c89a172128fcd314e8e70d719aa7bd", "28ae149617c89a172128fcd314e8e70d719aa7bd")</f>
        <v>0</v>
      </c>
      <c r="C9351">
        <f>HYPERLINK("https://android.googlesource.com/platform/cts/+/d95ad171495887f9012d3fb75cf78341f4d4db59", "d95ad171495887f9012d3fb75cf78341f4d4db59")</f>
        <v>0</v>
      </c>
      <c r="D9351" t="s">
        <v>4967</v>
      </c>
      <c r="E9351" t="s">
        <v>6125</v>
      </c>
      <c r="F9351" t="s">
        <v>11433</v>
      </c>
      <c r="G9351" t="s">
        <v>15673</v>
      </c>
      <c r="H9351" t="s">
        <v>20268</v>
      </c>
    </row>
    <row r="9352" spans="1:8">
      <c r="H9352" t="s">
        <v>20269</v>
      </c>
    </row>
    <row r="9353" spans="1:8">
      <c r="A9353" t="s">
        <v>331</v>
      </c>
      <c r="B9353">
        <f>HYPERLINK("https://android.googlesource.com/platform/cts/+/b6d00d345818c037a9d2e40c8207326a6931ce36", "b6d00d345818c037a9d2e40c8207326a6931ce36")</f>
        <v>0</v>
      </c>
      <c r="C9353">
        <f>HYPERLINK("https://android.googlesource.com/platform/cts/+/e259e04c163a34a536dc8bde625593d9c386e758", "e259e04c163a34a536dc8bde625593d9c386e758")</f>
        <v>0</v>
      </c>
      <c r="D9353" t="s">
        <v>4967</v>
      </c>
      <c r="E9353" t="s">
        <v>6126</v>
      </c>
      <c r="F9353" t="s">
        <v>11433</v>
      </c>
      <c r="G9353" t="s">
        <v>15673</v>
      </c>
      <c r="H9353" t="s">
        <v>20270</v>
      </c>
    </row>
    <row r="9354" spans="1:8">
      <c r="H9354" t="s">
        <v>20271</v>
      </c>
    </row>
    <row r="9355" spans="1:8">
      <c r="A9355" t="s">
        <v>332</v>
      </c>
      <c r="B9355">
        <f>HYPERLINK("https://android.googlesource.com/platform/cts/+/d33633fce01d2bf66ccb5d31b1722823936b1626", "d33633fce01d2bf66ccb5d31b1722823936b1626")</f>
        <v>0</v>
      </c>
      <c r="C9355">
        <f>HYPERLINK("https://android.googlesource.com/platform/cts/+/c2a0bf8150b2d072800a4c5b40f38c8cbe6eb395", "c2a0bf8150b2d072800a4c5b40f38c8cbe6eb395")</f>
        <v>0</v>
      </c>
      <c r="D9355" t="s">
        <v>4928</v>
      </c>
      <c r="E9355" t="s">
        <v>6127</v>
      </c>
      <c r="F9355" t="s">
        <v>11435</v>
      </c>
      <c r="G9355" t="s">
        <v>15093</v>
      </c>
      <c r="H9355" t="s">
        <v>20272</v>
      </c>
    </row>
    <row r="9356" spans="1:8">
      <c r="A9356" t="s">
        <v>333</v>
      </c>
      <c r="B9356">
        <f>HYPERLINK("https://android.googlesource.com/platform/cts/+/b803f80f0fa6680dd8fe7606e7d9b6a908ddaaf4", "b803f80f0fa6680dd8fe7606e7d9b6a908ddaaf4")</f>
        <v>0</v>
      </c>
      <c r="C9356">
        <f>HYPERLINK("https://android.googlesource.com/platform/cts/+/d95ad171495887f9012d3fb75cf78341f4d4db59", "d95ad171495887f9012d3fb75cf78341f4d4db59")</f>
        <v>0</v>
      </c>
      <c r="D9356" t="s">
        <v>4949</v>
      </c>
      <c r="E9356" t="s">
        <v>6128</v>
      </c>
      <c r="F9356" t="s">
        <v>11436</v>
      </c>
      <c r="G9356" t="s">
        <v>15675</v>
      </c>
      <c r="H9356" t="s">
        <v>20244</v>
      </c>
    </row>
    <row r="9357" spans="1:8">
      <c r="H9357" t="s">
        <v>18927</v>
      </c>
    </row>
    <row r="9358" spans="1:8">
      <c r="H9358" t="s">
        <v>20273</v>
      </c>
    </row>
    <row r="9359" spans="1:8">
      <c r="H9359" t="s">
        <v>20274</v>
      </c>
    </row>
    <row r="9360" spans="1:8">
      <c r="H9360" t="s">
        <v>20275</v>
      </c>
    </row>
    <row r="9361" spans="8:8">
      <c r="H9361" t="s">
        <v>20276</v>
      </c>
    </row>
    <row r="9362" spans="8:8">
      <c r="H9362" t="s">
        <v>20277</v>
      </c>
    </row>
    <row r="9363" spans="8:8">
      <c r="H9363" t="s">
        <v>20278</v>
      </c>
    </row>
    <row r="9364" spans="8:8">
      <c r="H9364" t="s">
        <v>20279</v>
      </c>
    </row>
    <row r="9365" spans="8:8">
      <c r="H9365" t="s">
        <v>20280</v>
      </c>
    </row>
    <row r="9366" spans="8:8">
      <c r="H9366" t="s">
        <v>20281</v>
      </c>
    </row>
    <row r="9367" spans="8:8">
      <c r="H9367" t="s">
        <v>20282</v>
      </c>
    </row>
    <row r="9368" spans="8:8">
      <c r="H9368" t="s">
        <v>19506</v>
      </c>
    </row>
    <row r="9369" spans="8:8">
      <c r="H9369" t="s">
        <v>20283</v>
      </c>
    </row>
    <row r="9370" spans="8:8">
      <c r="H9370" t="s">
        <v>20284</v>
      </c>
    </row>
    <row r="9371" spans="8:8">
      <c r="H9371" t="s">
        <v>20285</v>
      </c>
    </row>
    <row r="9372" spans="8:8">
      <c r="H9372" t="s">
        <v>20286</v>
      </c>
    </row>
    <row r="9373" spans="8:8">
      <c r="H9373" t="s">
        <v>20287</v>
      </c>
    </row>
    <row r="9374" spans="8:8">
      <c r="H9374" t="s">
        <v>20288</v>
      </c>
    </row>
    <row r="9375" spans="8:8">
      <c r="H9375" t="s">
        <v>20289</v>
      </c>
    </row>
    <row r="9376" spans="8:8">
      <c r="H9376" t="s">
        <v>20290</v>
      </c>
    </row>
    <row r="9377" spans="1:8">
      <c r="H9377" t="s">
        <v>20291</v>
      </c>
    </row>
    <row r="9378" spans="1:8">
      <c r="H9378" t="s">
        <v>20292</v>
      </c>
    </row>
    <row r="9379" spans="1:8">
      <c r="H9379" t="s">
        <v>20293</v>
      </c>
    </row>
    <row r="9380" spans="1:8">
      <c r="H9380" t="s">
        <v>20294</v>
      </c>
    </row>
    <row r="9381" spans="1:8">
      <c r="F9381" t="s">
        <v>10775</v>
      </c>
      <c r="G9381" t="s">
        <v>15171</v>
      </c>
      <c r="H9381" t="s">
        <v>20295</v>
      </c>
    </row>
    <row r="9382" spans="1:8">
      <c r="H9382" t="s">
        <v>20296</v>
      </c>
    </row>
    <row r="9383" spans="1:8">
      <c r="H9383" t="s">
        <v>20297</v>
      </c>
    </row>
    <row r="9384" spans="1:8">
      <c r="A9384" t="s">
        <v>334</v>
      </c>
      <c r="B9384">
        <f>HYPERLINK("https://android.googlesource.com/platform/cts/+/338761727cc9d31006799ac20dea186697170da1", "338761727cc9d31006799ac20dea186697170da1")</f>
        <v>0</v>
      </c>
      <c r="C9384">
        <f>HYPERLINK("https://android.googlesource.com/platform/cts/+/d68b31216fa778e746449428131846c5d5454995", "d68b31216fa778e746449428131846c5d5454995")</f>
        <v>0</v>
      </c>
      <c r="D9384" t="s">
        <v>4941</v>
      </c>
      <c r="E9384" t="s">
        <v>6129</v>
      </c>
      <c r="F9384" t="s">
        <v>10792</v>
      </c>
      <c r="G9384" t="s">
        <v>15676</v>
      </c>
      <c r="H9384" t="s">
        <v>20298</v>
      </c>
    </row>
    <row r="9385" spans="1:8">
      <c r="H9385" t="s">
        <v>20299</v>
      </c>
    </row>
    <row r="9386" spans="1:8">
      <c r="H9386" t="s">
        <v>20300</v>
      </c>
    </row>
    <row r="9387" spans="1:8">
      <c r="H9387" t="s">
        <v>20301</v>
      </c>
    </row>
    <row r="9388" spans="1:8">
      <c r="H9388" t="s">
        <v>20302</v>
      </c>
    </row>
    <row r="9389" spans="1:8">
      <c r="H9389" t="s">
        <v>20303</v>
      </c>
    </row>
    <row r="9390" spans="1:8">
      <c r="H9390" t="s">
        <v>20304</v>
      </c>
    </row>
    <row r="9391" spans="1:8">
      <c r="H9391" t="s">
        <v>20305</v>
      </c>
    </row>
    <row r="9392" spans="1:8">
      <c r="H9392" t="s">
        <v>20306</v>
      </c>
    </row>
    <row r="9393" spans="1:8">
      <c r="H9393" t="s">
        <v>20307</v>
      </c>
    </row>
    <row r="9394" spans="1:8">
      <c r="H9394" t="s">
        <v>20308</v>
      </c>
    </row>
    <row r="9395" spans="1:8">
      <c r="H9395" t="s">
        <v>20309</v>
      </c>
    </row>
    <row r="9396" spans="1:8">
      <c r="H9396" t="s">
        <v>20310</v>
      </c>
    </row>
    <row r="9397" spans="1:8">
      <c r="H9397" t="s">
        <v>19646</v>
      </c>
    </row>
    <row r="9398" spans="1:8">
      <c r="H9398" t="s">
        <v>19647</v>
      </c>
    </row>
    <row r="9399" spans="1:8">
      <c r="H9399" t="s">
        <v>19648</v>
      </c>
    </row>
    <row r="9400" spans="1:8">
      <c r="H9400" t="s">
        <v>19649</v>
      </c>
    </row>
    <row r="9401" spans="1:8">
      <c r="H9401" t="s">
        <v>19650</v>
      </c>
    </row>
    <row r="9402" spans="1:8">
      <c r="H9402" t="s">
        <v>19651</v>
      </c>
    </row>
    <row r="9403" spans="1:8">
      <c r="H9403" t="s">
        <v>19652</v>
      </c>
    </row>
    <row r="9404" spans="1:8">
      <c r="H9404" t="s">
        <v>20311</v>
      </c>
    </row>
    <row r="9405" spans="1:8">
      <c r="A9405" t="s">
        <v>335</v>
      </c>
      <c r="B9405">
        <f>HYPERLINK("https://android.googlesource.com/platform/cts/+/e3ef9ca96c914ce38da218166e3a45dffed20fcb", "e3ef9ca96c914ce38da218166e3a45dffed20fcb")</f>
        <v>0</v>
      </c>
      <c r="C9405">
        <f>HYPERLINK("https://android.googlesource.com/platform/cts/+/d68b31216fa778e746449428131846c5d5454995", "d68b31216fa778e746449428131846c5d5454995")</f>
        <v>0</v>
      </c>
      <c r="D9405" t="s">
        <v>4941</v>
      </c>
      <c r="E9405" t="s">
        <v>6130</v>
      </c>
      <c r="F9405" t="s">
        <v>11437</v>
      </c>
      <c r="G9405" t="s">
        <v>15677</v>
      </c>
      <c r="H9405" t="s">
        <v>20083</v>
      </c>
    </row>
    <row r="9406" spans="1:8">
      <c r="A9406" t="s">
        <v>336</v>
      </c>
      <c r="B9406">
        <f>HYPERLINK("https://android.googlesource.com/platform/cts/+/6d4ce28c63f71ada6f43c80fbf3132524b0b39d8", "6d4ce28c63f71ada6f43c80fbf3132524b0b39d8")</f>
        <v>0</v>
      </c>
      <c r="C9406">
        <f>HYPERLINK("https://android.googlesource.com/platform/cts/+/d84723162edeeeac743c3e831944a2136a06f99c", "d84723162edeeeac743c3e831944a2136a06f99c")</f>
        <v>0</v>
      </c>
      <c r="D9406" t="s">
        <v>4978</v>
      </c>
      <c r="E9406" t="s">
        <v>6131</v>
      </c>
      <c r="F9406" t="s">
        <v>10670</v>
      </c>
      <c r="G9406" t="s">
        <v>15029</v>
      </c>
      <c r="H9406" t="s">
        <v>20312</v>
      </c>
    </row>
    <row r="9407" spans="1:8">
      <c r="H9407" t="s">
        <v>20313</v>
      </c>
    </row>
    <row r="9408" spans="1:8">
      <c r="H9408" t="s">
        <v>20314</v>
      </c>
    </row>
    <row r="9409" spans="1:8">
      <c r="H9409" t="s">
        <v>20315</v>
      </c>
    </row>
    <row r="9410" spans="1:8">
      <c r="H9410" t="s">
        <v>20316</v>
      </c>
    </row>
    <row r="9411" spans="1:8">
      <c r="A9411" t="s">
        <v>337</v>
      </c>
      <c r="B9411">
        <f>HYPERLINK("https://android.googlesource.com/platform/cts/+/a5e07f729e8c21c643c6913fe86cd326239bb1c4", "a5e07f729e8c21c643c6913fe86cd326239bb1c4")</f>
        <v>0</v>
      </c>
      <c r="C9411">
        <f>HYPERLINK("https://android.googlesource.com/platform/cts/+/d84723162edeeeac743c3e831944a2136a06f99c", "d84723162edeeeac743c3e831944a2136a06f99c")</f>
        <v>0</v>
      </c>
      <c r="D9411" t="s">
        <v>4967</v>
      </c>
      <c r="E9411" t="s">
        <v>6132</v>
      </c>
      <c r="F9411" t="s">
        <v>10682</v>
      </c>
      <c r="G9411" t="s">
        <v>15082</v>
      </c>
      <c r="H9411" t="s">
        <v>20317</v>
      </c>
    </row>
    <row r="9412" spans="1:8">
      <c r="A9412" t="s">
        <v>338</v>
      </c>
      <c r="B9412">
        <f>HYPERLINK("https://android.googlesource.com/platform/cts/+/c05d6814751ce3291539822528e689390e69da8d", "c05d6814751ce3291539822528e689390e69da8d")</f>
        <v>0</v>
      </c>
      <c r="C9412">
        <f>HYPERLINK("https://android.googlesource.com/platform/cts/+/a5e07f729e8c21c643c6913fe86cd326239bb1c4", "a5e07f729e8c21c643c6913fe86cd326239bb1c4")</f>
        <v>0</v>
      </c>
      <c r="D9412" t="s">
        <v>4967</v>
      </c>
      <c r="E9412" t="s">
        <v>6133</v>
      </c>
      <c r="F9412" t="s">
        <v>11433</v>
      </c>
      <c r="G9412" t="s">
        <v>15673</v>
      </c>
      <c r="H9412" t="s">
        <v>20318</v>
      </c>
    </row>
    <row r="9413" spans="1:8">
      <c r="H9413" t="s">
        <v>20319</v>
      </c>
    </row>
    <row r="9414" spans="1:8">
      <c r="H9414" t="s">
        <v>20320</v>
      </c>
    </row>
    <row r="9415" spans="1:8">
      <c r="H9415" t="s">
        <v>20321</v>
      </c>
    </row>
    <row r="9416" spans="1:8">
      <c r="H9416" t="s">
        <v>20322</v>
      </c>
    </row>
    <row r="9417" spans="1:8">
      <c r="H9417" t="s">
        <v>20323</v>
      </c>
    </row>
    <row r="9418" spans="1:8">
      <c r="H9418" t="s">
        <v>20324</v>
      </c>
    </row>
    <row r="9419" spans="1:8">
      <c r="H9419" t="s">
        <v>20325</v>
      </c>
    </row>
    <row r="9420" spans="1:8">
      <c r="A9420" t="s">
        <v>339</v>
      </c>
      <c r="B9420">
        <f>HYPERLINK("https://android.googlesource.com/platform/cts/+/e1cafc03a8c2559371dc199b9ae96e10d443bae5", "e1cafc03a8c2559371dc199b9ae96e10d443bae5")</f>
        <v>0</v>
      </c>
      <c r="C9420">
        <f>HYPERLINK("https://android.googlesource.com/platform/cts/+/bb828157aef048a28edefc2796fa64b472ab3c32", "bb828157aef048a28edefc2796fa64b472ab3c32")</f>
        <v>0</v>
      </c>
      <c r="D9420" t="s">
        <v>4952</v>
      </c>
      <c r="E9420" t="s">
        <v>6134</v>
      </c>
      <c r="F9420" t="s">
        <v>11438</v>
      </c>
      <c r="G9420" t="s">
        <v>15678</v>
      </c>
      <c r="H9420" t="s">
        <v>18829</v>
      </c>
    </row>
    <row r="9421" spans="1:8">
      <c r="H9421" t="s">
        <v>20326</v>
      </c>
    </row>
    <row r="9422" spans="1:8">
      <c r="H9422" t="s">
        <v>20327</v>
      </c>
    </row>
    <row r="9423" spans="1:8">
      <c r="H9423" t="s">
        <v>20328</v>
      </c>
    </row>
    <row r="9424" spans="1:8">
      <c r="H9424" t="s">
        <v>20329</v>
      </c>
    </row>
    <row r="9425" spans="1:8">
      <c r="H9425" t="s">
        <v>20330</v>
      </c>
    </row>
    <row r="9426" spans="1:8">
      <c r="H9426" t="s">
        <v>20331</v>
      </c>
    </row>
    <row r="9427" spans="1:8">
      <c r="H9427" t="s">
        <v>20332</v>
      </c>
    </row>
    <row r="9428" spans="1:8">
      <c r="A9428" t="s">
        <v>340</v>
      </c>
      <c r="B9428">
        <f>HYPERLINK("https://android.googlesource.com/platform/cts/+/e1233dfb12fbfc0452d7680a161982577c7db106", "e1233dfb12fbfc0452d7680a161982577c7db106")</f>
        <v>0</v>
      </c>
      <c r="C9428">
        <f>HYPERLINK("https://android.googlesource.com/platform/cts/+/aa8a34fa7890e53181c72af3c43a4e290bb0e2e1", "aa8a34fa7890e53181c72af3c43a4e290bb0e2e1")</f>
        <v>0</v>
      </c>
      <c r="D9428" t="s">
        <v>4979</v>
      </c>
      <c r="E9428" t="s">
        <v>6135</v>
      </c>
      <c r="F9428" t="s">
        <v>10794</v>
      </c>
      <c r="G9428" t="s">
        <v>15189</v>
      </c>
      <c r="H9428" t="s">
        <v>20333</v>
      </c>
    </row>
    <row r="9429" spans="1:8">
      <c r="A9429" t="s">
        <v>341</v>
      </c>
      <c r="B9429">
        <f>HYPERLINK("https://android.googlesource.com/platform/cts/+/c1d6bd518413c29e41be79f7db5fbdfa92c41c69", "c1d6bd518413c29e41be79f7db5fbdfa92c41c69")</f>
        <v>0</v>
      </c>
      <c r="C9429">
        <f>HYPERLINK("https://android.googlesource.com/platform/cts/+/45b5750e31251c051ed6b3ae7ad33bae9d999899", "45b5750e31251c051ed6b3ae7ad33bae9d999899")</f>
        <v>0</v>
      </c>
      <c r="D9429" t="s">
        <v>4979</v>
      </c>
      <c r="E9429" t="s">
        <v>6136</v>
      </c>
      <c r="F9429" t="s">
        <v>11439</v>
      </c>
      <c r="G9429" t="s">
        <v>15679</v>
      </c>
      <c r="H9429" t="s">
        <v>18829</v>
      </c>
    </row>
    <row r="9430" spans="1:8">
      <c r="H9430" t="s">
        <v>20334</v>
      </c>
    </row>
    <row r="9431" spans="1:8">
      <c r="H9431" t="s">
        <v>20335</v>
      </c>
    </row>
    <row r="9432" spans="1:8">
      <c r="H9432" t="s">
        <v>20336</v>
      </c>
    </row>
    <row r="9433" spans="1:8">
      <c r="H9433" t="s">
        <v>20337</v>
      </c>
    </row>
    <row r="9434" spans="1:8">
      <c r="A9434" t="s">
        <v>342</v>
      </c>
      <c r="B9434">
        <f>HYPERLINK("https://android.googlesource.com/platform/cts/+/7bc0320b796fa52268a3866a66d88f69f0278175", "7bc0320b796fa52268a3866a66d88f69f0278175")</f>
        <v>0</v>
      </c>
      <c r="C9434">
        <f>HYPERLINK("https://android.googlesource.com/platform/cts/+/f26610714a631cc933da15e985a9400e7615ba47", "f26610714a631cc933da15e985a9400e7615ba47")</f>
        <v>0</v>
      </c>
      <c r="D9434" t="s">
        <v>4949</v>
      </c>
      <c r="E9434" t="s">
        <v>6137</v>
      </c>
      <c r="F9434" t="s">
        <v>10720</v>
      </c>
      <c r="G9434" t="s">
        <v>15119</v>
      </c>
      <c r="H9434" t="s">
        <v>19928</v>
      </c>
    </row>
    <row r="9435" spans="1:8">
      <c r="H9435" t="s">
        <v>20338</v>
      </c>
    </row>
    <row r="9436" spans="1:8">
      <c r="H9436" t="s">
        <v>20339</v>
      </c>
    </row>
    <row r="9437" spans="1:8">
      <c r="H9437" t="s">
        <v>20340</v>
      </c>
    </row>
    <row r="9438" spans="1:8">
      <c r="H9438" t="s">
        <v>18893</v>
      </c>
    </row>
    <row r="9439" spans="1:8">
      <c r="H9439" t="s">
        <v>20341</v>
      </c>
    </row>
    <row r="9440" spans="1:8">
      <c r="H9440" t="s">
        <v>20342</v>
      </c>
    </row>
    <row r="9441" spans="6:8">
      <c r="H9441" t="s">
        <v>19756</v>
      </c>
    </row>
    <row r="9442" spans="6:8">
      <c r="H9442" t="s">
        <v>19757</v>
      </c>
    </row>
    <row r="9443" spans="6:8">
      <c r="H9443" t="s">
        <v>20343</v>
      </c>
    </row>
    <row r="9444" spans="6:8">
      <c r="H9444" t="s">
        <v>20344</v>
      </c>
    </row>
    <row r="9445" spans="6:8">
      <c r="H9445" t="s">
        <v>20297</v>
      </c>
    </row>
    <row r="9446" spans="6:8">
      <c r="F9446" t="s">
        <v>11184</v>
      </c>
      <c r="G9446" t="s">
        <v>15573</v>
      </c>
      <c r="H9446" t="s">
        <v>20345</v>
      </c>
    </row>
    <row r="9447" spans="6:8">
      <c r="H9447" t="s">
        <v>18829</v>
      </c>
    </row>
    <row r="9448" spans="6:8">
      <c r="H9448" t="s">
        <v>20273</v>
      </c>
    </row>
    <row r="9449" spans="6:8">
      <c r="H9449" t="s">
        <v>20274</v>
      </c>
    </row>
    <row r="9450" spans="6:8">
      <c r="H9450" t="s">
        <v>20275</v>
      </c>
    </row>
    <row r="9451" spans="6:8">
      <c r="H9451" t="s">
        <v>20276</v>
      </c>
    </row>
    <row r="9452" spans="6:8">
      <c r="H9452" t="s">
        <v>20277</v>
      </c>
    </row>
    <row r="9453" spans="6:8">
      <c r="H9453" t="s">
        <v>20278</v>
      </c>
    </row>
    <row r="9454" spans="6:8">
      <c r="H9454" t="s">
        <v>20279</v>
      </c>
    </row>
    <row r="9455" spans="6:8">
      <c r="H9455" t="s">
        <v>20280</v>
      </c>
    </row>
    <row r="9456" spans="6:8">
      <c r="H9456" t="s">
        <v>20281</v>
      </c>
    </row>
    <row r="9457" spans="8:8">
      <c r="H9457" t="s">
        <v>20346</v>
      </c>
    </row>
    <row r="9458" spans="8:8">
      <c r="H9458" t="s">
        <v>20347</v>
      </c>
    </row>
    <row r="9459" spans="8:8">
      <c r="H9459" t="s">
        <v>20348</v>
      </c>
    </row>
    <row r="9460" spans="8:8">
      <c r="H9460" t="s">
        <v>20349</v>
      </c>
    </row>
    <row r="9461" spans="8:8">
      <c r="H9461" t="s">
        <v>20350</v>
      </c>
    </row>
    <row r="9462" spans="8:8">
      <c r="H9462" t="s">
        <v>19756</v>
      </c>
    </row>
    <row r="9463" spans="8:8">
      <c r="H9463" t="s">
        <v>19757</v>
      </c>
    </row>
    <row r="9464" spans="8:8">
      <c r="H9464" t="s">
        <v>20351</v>
      </c>
    </row>
    <row r="9465" spans="8:8">
      <c r="H9465" t="s">
        <v>20134</v>
      </c>
    </row>
    <row r="9466" spans="8:8">
      <c r="H9466" t="s">
        <v>20135</v>
      </c>
    </row>
    <row r="9467" spans="8:8">
      <c r="H9467" t="s">
        <v>19805</v>
      </c>
    </row>
    <row r="9468" spans="8:8">
      <c r="H9468" t="s">
        <v>20352</v>
      </c>
    </row>
    <row r="9469" spans="8:8">
      <c r="H9469" t="s">
        <v>20353</v>
      </c>
    </row>
    <row r="9470" spans="8:8">
      <c r="H9470" t="s">
        <v>20354</v>
      </c>
    </row>
    <row r="9471" spans="8:8">
      <c r="H9471" t="s">
        <v>20355</v>
      </c>
    </row>
    <row r="9472" spans="8:8">
      <c r="H9472" t="s">
        <v>18893</v>
      </c>
    </row>
    <row r="9473" spans="1:8">
      <c r="H9473" t="s">
        <v>20356</v>
      </c>
    </row>
    <row r="9474" spans="1:8">
      <c r="A9474" t="s">
        <v>343</v>
      </c>
      <c r="B9474">
        <f>HYPERLINK("https://android.googlesource.com/platform/cts/+/5947eefac18b736441c8a488b32727fc8f9f0811", "5947eefac18b736441c8a488b32727fc8f9f0811")</f>
        <v>0</v>
      </c>
      <c r="C9474">
        <f>HYPERLINK("https://android.googlesource.com/platform/cts/+/b75e6c7911492de9acb4120c62c0654064d10846", "b75e6c7911492de9acb4120c62c0654064d10846")</f>
        <v>0</v>
      </c>
      <c r="D9474" t="s">
        <v>4980</v>
      </c>
      <c r="E9474" t="s">
        <v>6138</v>
      </c>
      <c r="F9474" t="s">
        <v>11193</v>
      </c>
      <c r="G9474" t="s">
        <v>15582</v>
      </c>
      <c r="H9474" t="s">
        <v>20357</v>
      </c>
    </row>
    <row r="9475" spans="1:8">
      <c r="H9475" t="s">
        <v>20358</v>
      </c>
    </row>
    <row r="9476" spans="1:8">
      <c r="H9476" t="s">
        <v>20359</v>
      </c>
    </row>
    <row r="9477" spans="1:8">
      <c r="H9477" t="s">
        <v>20360</v>
      </c>
    </row>
    <row r="9478" spans="1:8">
      <c r="H9478" t="s">
        <v>20361</v>
      </c>
    </row>
    <row r="9479" spans="1:8">
      <c r="H9479" t="s">
        <v>20362</v>
      </c>
    </row>
    <row r="9480" spans="1:8">
      <c r="H9480" t="s">
        <v>20363</v>
      </c>
    </row>
    <row r="9481" spans="1:8">
      <c r="A9481" t="s">
        <v>344</v>
      </c>
      <c r="B9481">
        <f>HYPERLINK("https://android.googlesource.com/platform/cts/+/e470100fe5b2f3e07c72e62dfe8437c4f9668e65", "e470100fe5b2f3e07c72e62dfe8437c4f9668e65")</f>
        <v>0</v>
      </c>
      <c r="C9481">
        <f>HYPERLINK("https://android.googlesource.com/platform/cts/+/678ed973b614c9e717aaf7b6c3f11962860d317a", "678ed973b614c9e717aaf7b6c3f11962860d317a")</f>
        <v>0</v>
      </c>
      <c r="D9481" t="s">
        <v>4941</v>
      </c>
      <c r="E9481" t="s">
        <v>6139</v>
      </c>
      <c r="F9481" t="s">
        <v>10690</v>
      </c>
      <c r="G9481" t="s">
        <v>15090</v>
      </c>
      <c r="H9481" t="s">
        <v>20364</v>
      </c>
    </row>
    <row r="9482" spans="1:8">
      <c r="F9482" t="s">
        <v>11440</v>
      </c>
      <c r="G9482" t="s">
        <v>15680</v>
      </c>
      <c r="H9482" t="s">
        <v>18836</v>
      </c>
    </row>
    <row r="9483" spans="1:8">
      <c r="A9483" t="s">
        <v>345</v>
      </c>
      <c r="B9483">
        <f>HYPERLINK("https://android.googlesource.com/platform/cts/+/da34b0e4b53f910e01e80bd463bf63b2f0996600", "da34b0e4b53f910e01e80bd463bf63b2f0996600")</f>
        <v>0</v>
      </c>
      <c r="C9483">
        <f>HYPERLINK("https://android.googlesource.com/platform/cts/+/3273b8230a2ab5cbe318a282c6db1d46a719ad59", "3273b8230a2ab5cbe318a282c6db1d46a719ad59")</f>
        <v>0</v>
      </c>
      <c r="D9483" t="s">
        <v>4949</v>
      </c>
      <c r="E9483" t="s">
        <v>6140</v>
      </c>
      <c r="F9483" t="s">
        <v>11441</v>
      </c>
      <c r="G9483" t="s">
        <v>15681</v>
      </c>
      <c r="H9483" t="s">
        <v>20365</v>
      </c>
    </row>
    <row r="9484" spans="1:8">
      <c r="H9484" t="s">
        <v>20366</v>
      </c>
    </row>
    <row r="9485" spans="1:8">
      <c r="H9485" t="s">
        <v>20367</v>
      </c>
    </row>
    <row r="9486" spans="1:8">
      <c r="H9486" t="s">
        <v>20368</v>
      </c>
    </row>
    <row r="9487" spans="1:8">
      <c r="H9487" t="s">
        <v>20369</v>
      </c>
    </row>
    <row r="9488" spans="1:8">
      <c r="H9488" t="s">
        <v>20370</v>
      </c>
    </row>
    <row r="9489" spans="1:8">
      <c r="H9489" t="s">
        <v>20371</v>
      </c>
    </row>
    <row r="9490" spans="1:8">
      <c r="A9490" t="s">
        <v>346</v>
      </c>
      <c r="B9490">
        <f>HYPERLINK("https://android.googlesource.com/platform/cts/+/91b820c64092393a3c06d8cbf5cd5e90be4827d1", "91b820c64092393a3c06d8cbf5cd5e90be4827d1")</f>
        <v>0</v>
      </c>
      <c r="C9490">
        <f>HYPERLINK("https://android.googlesource.com/platform/cts/+/04e5d7861c5885e2f8f7cbcbe508ac3d5dfd90e6", "04e5d7861c5885e2f8f7cbcbe508ac3d5dfd90e6")</f>
        <v>0</v>
      </c>
      <c r="D9490" t="s">
        <v>4941</v>
      </c>
      <c r="E9490" t="s">
        <v>6141</v>
      </c>
      <c r="F9490" t="s">
        <v>11442</v>
      </c>
      <c r="G9490" t="s">
        <v>15682</v>
      </c>
      <c r="H9490" t="s">
        <v>20372</v>
      </c>
    </row>
    <row r="9491" spans="1:8">
      <c r="A9491" t="s">
        <v>347</v>
      </c>
      <c r="B9491">
        <f>HYPERLINK("https://android.googlesource.com/platform/cts/+/673cc33a3b7268920c31d662319043b898d3a79c", "673cc33a3b7268920c31d662319043b898d3a79c")</f>
        <v>0</v>
      </c>
      <c r="C9491">
        <f>HYPERLINK("https://android.googlesource.com/platform/cts/+/bd21bedd2816c47bfba9b4e205e2c3dd10ede310", "bd21bedd2816c47bfba9b4e205e2c3dd10ede310")</f>
        <v>0</v>
      </c>
      <c r="D9491" t="s">
        <v>4952</v>
      </c>
      <c r="E9491" t="s">
        <v>6142</v>
      </c>
      <c r="F9491" t="s">
        <v>11443</v>
      </c>
      <c r="G9491" t="s">
        <v>15683</v>
      </c>
      <c r="H9491" t="s">
        <v>20373</v>
      </c>
    </row>
    <row r="9492" spans="1:8">
      <c r="H9492" t="s">
        <v>20374</v>
      </c>
    </row>
    <row r="9493" spans="1:8">
      <c r="H9493" t="s">
        <v>20375</v>
      </c>
    </row>
    <row r="9494" spans="1:8">
      <c r="H9494" t="s">
        <v>20376</v>
      </c>
    </row>
    <row r="9495" spans="1:8">
      <c r="H9495" t="s">
        <v>20377</v>
      </c>
    </row>
    <row r="9496" spans="1:8">
      <c r="A9496" t="s">
        <v>348</v>
      </c>
      <c r="B9496">
        <f>HYPERLINK("https://android.googlesource.com/platform/cts/+/c7b1d2ec404eb57add0efa4121316c7f766dae79", "c7b1d2ec404eb57add0efa4121316c7f766dae79")</f>
        <v>0</v>
      </c>
      <c r="C9496">
        <f>HYPERLINK("https://android.googlesource.com/platform/cts/+/ffff412d5dbf789f2cd1b17c173c309157775a0d", "ffff412d5dbf789f2cd1b17c173c309157775a0d")</f>
        <v>0</v>
      </c>
      <c r="D9496" t="s">
        <v>4936</v>
      </c>
      <c r="E9496" t="s">
        <v>6143</v>
      </c>
      <c r="F9496" t="s">
        <v>11444</v>
      </c>
      <c r="G9496" t="s">
        <v>15684</v>
      </c>
      <c r="H9496" t="s">
        <v>20378</v>
      </c>
    </row>
    <row r="9497" spans="1:8">
      <c r="H9497" t="s">
        <v>20379</v>
      </c>
    </row>
    <row r="9498" spans="1:8">
      <c r="F9498" t="s">
        <v>11445</v>
      </c>
      <c r="G9498" t="s">
        <v>15685</v>
      </c>
      <c r="H9498" t="s">
        <v>20380</v>
      </c>
    </row>
    <row r="9499" spans="1:8">
      <c r="F9499" t="s">
        <v>11446</v>
      </c>
      <c r="G9499" t="s">
        <v>15686</v>
      </c>
      <c r="H9499" t="s">
        <v>20381</v>
      </c>
    </row>
    <row r="9500" spans="1:8">
      <c r="H9500" t="s">
        <v>20382</v>
      </c>
    </row>
    <row r="9501" spans="1:8">
      <c r="H9501" t="s">
        <v>20383</v>
      </c>
    </row>
    <row r="9502" spans="1:8">
      <c r="H9502" t="s">
        <v>20384</v>
      </c>
    </row>
    <row r="9503" spans="1:8">
      <c r="H9503" t="s">
        <v>20385</v>
      </c>
    </row>
    <row r="9504" spans="1:8">
      <c r="H9504" t="s">
        <v>20386</v>
      </c>
    </row>
    <row r="9505" spans="1:8">
      <c r="H9505" t="s">
        <v>20387</v>
      </c>
    </row>
    <row r="9506" spans="1:8">
      <c r="H9506" t="s">
        <v>20388</v>
      </c>
    </row>
    <row r="9507" spans="1:8">
      <c r="H9507" t="s">
        <v>20389</v>
      </c>
    </row>
    <row r="9508" spans="1:8">
      <c r="F9508" t="s">
        <v>10794</v>
      </c>
      <c r="G9508" t="s">
        <v>15189</v>
      </c>
      <c r="H9508" t="s">
        <v>20390</v>
      </c>
    </row>
    <row r="9509" spans="1:8">
      <c r="H9509" t="s">
        <v>20391</v>
      </c>
    </row>
    <row r="9510" spans="1:8">
      <c r="H9510" t="s">
        <v>20392</v>
      </c>
    </row>
    <row r="9511" spans="1:8">
      <c r="H9511" t="s">
        <v>20393</v>
      </c>
    </row>
    <row r="9512" spans="1:8">
      <c r="H9512" t="s">
        <v>20394</v>
      </c>
    </row>
    <row r="9513" spans="1:8">
      <c r="H9513" t="s">
        <v>20395</v>
      </c>
    </row>
    <row r="9514" spans="1:8">
      <c r="H9514" t="s">
        <v>20396</v>
      </c>
    </row>
    <row r="9515" spans="1:8">
      <c r="H9515" t="s">
        <v>20397</v>
      </c>
    </row>
    <row r="9516" spans="1:8">
      <c r="H9516" t="s">
        <v>20398</v>
      </c>
    </row>
    <row r="9517" spans="1:8">
      <c r="H9517" t="s">
        <v>20399</v>
      </c>
    </row>
    <row r="9518" spans="1:8">
      <c r="H9518" t="s">
        <v>20400</v>
      </c>
    </row>
    <row r="9519" spans="1:8">
      <c r="H9519" t="s">
        <v>20401</v>
      </c>
    </row>
    <row r="9520" spans="1:8">
      <c r="A9520" t="s">
        <v>349</v>
      </c>
      <c r="B9520">
        <f>HYPERLINK("https://android.googlesource.com/platform/cts/+/6b8b6db2396fe7f3736e4668e8a03cf6cdd1d60a", "6b8b6db2396fe7f3736e4668e8a03cf6cdd1d60a")</f>
        <v>0</v>
      </c>
      <c r="C9520">
        <f>HYPERLINK("https://android.googlesource.com/platform/cts/+/5ae4c7de3dae3e6446726138ea553f2099f67f84", "5ae4c7de3dae3e6446726138ea553f2099f67f84")</f>
        <v>0</v>
      </c>
      <c r="D9520" t="s">
        <v>4936</v>
      </c>
      <c r="E9520" t="s">
        <v>6144</v>
      </c>
      <c r="F9520" t="s">
        <v>10597</v>
      </c>
      <c r="G9520" t="s">
        <v>15000</v>
      </c>
      <c r="H9520" t="s">
        <v>20402</v>
      </c>
    </row>
    <row r="9521" spans="1:8">
      <c r="A9521" t="s">
        <v>350</v>
      </c>
      <c r="B9521">
        <f>HYPERLINK("https://android.googlesource.com/platform/cts/+/5d871c9620f1557105f1c5b5d82e9881b063e7b2", "5d871c9620f1557105f1c5b5d82e9881b063e7b2")</f>
        <v>0</v>
      </c>
      <c r="C9521">
        <f>HYPERLINK("https://android.googlesource.com/platform/cts/+/9fa4fbfaf28804b903f4a01765fbd69feb56afc2", "9fa4fbfaf28804b903f4a01765fbd69feb56afc2")</f>
        <v>0</v>
      </c>
      <c r="D9521" t="s">
        <v>4981</v>
      </c>
      <c r="E9521" t="s">
        <v>6145</v>
      </c>
      <c r="F9521" t="s">
        <v>11435</v>
      </c>
      <c r="G9521" t="s">
        <v>15093</v>
      </c>
      <c r="H9521" t="s">
        <v>20403</v>
      </c>
    </row>
    <row r="9522" spans="1:8">
      <c r="A9522" t="s">
        <v>351</v>
      </c>
      <c r="B9522">
        <f>HYPERLINK("https://android.googlesource.com/platform/cts/+/2ebcb4f47fa183cea52366d36c4ac76e8690f2ae", "2ebcb4f47fa183cea52366d36c4ac76e8690f2ae")</f>
        <v>0</v>
      </c>
      <c r="C9522">
        <f>HYPERLINK("https://android.googlesource.com/platform/cts/+/c4201329bf1833d3582bce81b080708a1b70de3e", "c4201329bf1833d3582bce81b080708a1b70de3e")</f>
        <v>0</v>
      </c>
      <c r="D9522" t="s">
        <v>4952</v>
      </c>
      <c r="E9522" t="s">
        <v>6146</v>
      </c>
      <c r="F9522" t="s">
        <v>11447</v>
      </c>
      <c r="G9522" t="s">
        <v>15687</v>
      </c>
      <c r="H9522" t="s">
        <v>20404</v>
      </c>
    </row>
    <row r="9523" spans="1:8">
      <c r="A9523" t="s">
        <v>352</v>
      </c>
      <c r="B9523">
        <f>HYPERLINK("https://android.googlesource.com/platform/cts/+/7dddfd11f7eea14a100bd60f6b6feb1c4e8d7007", "7dddfd11f7eea14a100bd60f6b6feb1c4e8d7007")</f>
        <v>0</v>
      </c>
      <c r="C9523">
        <f>HYPERLINK("https://android.googlesource.com/platform/cts/+/9891cebb67d3d07d19440c6c2c7913b0372000a4", "9891cebb67d3d07d19440c6c2c7913b0372000a4")</f>
        <v>0</v>
      </c>
      <c r="D9523" t="s">
        <v>4936</v>
      </c>
      <c r="E9523" t="s">
        <v>6147</v>
      </c>
      <c r="F9523" t="s">
        <v>10740</v>
      </c>
      <c r="G9523" t="s">
        <v>15139</v>
      </c>
      <c r="H9523" t="s">
        <v>20405</v>
      </c>
    </row>
    <row r="9524" spans="1:8">
      <c r="F9524" t="s">
        <v>11448</v>
      </c>
      <c r="G9524" t="s">
        <v>15688</v>
      </c>
      <c r="H9524" t="s">
        <v>20406</v>
      </c>
    </row>
    <row r="9525" spans="1:8">
      <c r="H9525" t="s">
        <v>20407</v>
      </c>
    </row>
    <row r="9526" spans="1:8">
      <c r="A9526" t="s">
        <v>353</v>
      </c>
      <c r="B9526">
        <f>HYPERLINK("https://android.googlesource.com/platform/cts/+/0b4aba1c1aaac41fefea01769c9d22c1c1c25b0d", "0b4aba1c1aaac41fefea01769c9d22c1c1c25b0d")</f>
        <v>0</v>
      </c>
      <c r="C9526">
        <f>HYPERLINK("https://android.googlesource.com/platform/cts/+/8b7eaf990ea0939780cbde3ba56623cc868f4487", "8b7eaf990ea0939780cbde3ba56623cc868f4487")</f>
        <v>0</v>
      </c>
      <c r="D9526" t="s">
        <v>4982</v>
      </c>
      <c r="E9526" t="s">
        <v>6148</v>
      </c>
      <c r="F9526" t="s">
        <v>11449</v>
      </c>
      <c r="G9526" t="s">
        <v>15689</v>
      </c>
      <c r="H9526" t="s">
        <v>20408</v>
      </c>
    </row>
    <row r="9527" spans="1:8">
      <c r="A9527" t="s">
        <v>354</v>
      </c>
      <c r="B9527">
        <f>HYPERLINK("https://android.googlesource.com/platform/cts/+/6a3ac6d97642168b9aa85b6ed774fbbdd836265d", "6a3ac6d97642168b9aa85b6ed774fbbdd836265d")</f>
        <v>0</v>
      </c>
      <c r="C9527">
        <f>HYPERLINK("https://android.googlesource.com/platform/cts/+/57933a04caa41c019e6b9c40b88954adbfb96dbb", "57933a04caa41c019e6b9c40b88954adbfb96dbb")</f>
        <v>0</v>
      </c>
      <c r="D9527" t="s">
        <v>4949</v>
      </c>
      <c r="E9527" t="s">
        <v>6149</v>
      </c>
      <c r="F9527" t="s">
        <v>11450</v>
      </c>
      <c r="G9527" t="s">
        <v>15690</v>
      </c>
      <c r="H9527" t="s">
        <v>20409</v>
      </c>
    </row>
    <row r="9528" spans="1:8">
      <c r="H9528" t="s">
        <v>20410</v>
      </c>
    </row>
    <row r="9529" spans="1:8">
      <c r="H9529" t="s">
        <v>20411</v>
      </c>
    </row>
    <row r="9530" spans="1:8">
      <c r="H9530" t="s">
        <v>20412</v>
      </c>
    </row>
    <row r="9531" spans="1:8">
      <c r="A9531" t="s">
        <v>355</v>
      </c>
      <c r="B9531">
        <f>HYPERLINK("https://android.googlesource.com/platform/cts/+/e7afa6d9943e8215036774b42d64bf5f8883c38c", "e7afa6d9943e8215036774b42d64bf5f8883c38c")</f>
        <v>0</v>
      </c>
      <c r="C9531">
        <f>HYPERLINK("https://android.googlesource.com/platform/cts/+/6a3ac6d97642168b9aa85b6ed774fbbdd836265d", "6a3ac6d97642168b9aa85b6ed774fbbdd836265d")</f>
        <v>0</v>
      </c>
      <c r="D9531" t="s">
        <v>4949</v>
      </c>
      <c r="E9531" t="s">
        <v>6150</v>
      </c>
      <c r="F9531" t="s">
        <v>11451</v>
      </c>
      <c r="G9531" t="s">
        <v>15691</v>
      </c>
      <c r="H9531" t="s">
        <v>20295</v>
      </c>
    </row>
    <row r="9532" spans="1:8">
      <c r="A9532" t="s">
        <v>356</v>
      </c>
      <c r="B9532">
        <f>HYPERLINK("https://android.googlesource.com/platform/cts/+/9f06ffe54756b4c51b26f970fa0cf86ebd274499", "9f06ffe54756b4c51b26f970fa0cf86ebd274499")</f>
        <v>0</v>
      </c>
      <c r="C9532">
        <f>HYPERLINK("https://android.googlesource.com/platform/cts/+/36eefd8eae7cb813ec49874356853edc776c673f", "36eefd8eae7cb813ec49874356853edc776c673f")</f>
        <v>0</v>
      </c>
      <c r="D9532" t="s">
        <v>4936</v>
      </c>
      <c r="E9532" t="s">
        <v>6151</v>
      </c>
      <c r="F9532" t="s">
        <v>10644</v>
      </c>
      <c r="G9532" t="s">
        <v>15045</v>
      </c>
      <c r="H9532" t="s">
        <v>20413</v>
      </c>
    </row>
    <row r="9533" spans="1:8">
      <c r="H9533" t="s">
        <v>20414</v>
      </c>
    </row>
    <row r="9534" spans="1:8">
      <c r="A9534" t="s">
        <v>357</v>
      </c>
      <c r="B9534">
        <f>HYPERLINK("https://android.googlesource.com/platform/cts/+/1ea506ee94dc3e8bfe48d6fd1ce663cacef38d91", "1ea506ee94dc3e8bfe48d6fd1ce663cacef38d91")</f>
        <v>0</v>
      </c>
      <c r="C9534">
        <f>HYPERLINK("https://android.googlesource.com/platform/cts/+/82b8e073159a404379be354b30ca75475abe181c", "82b8e073159a404379be354b30ca75475abe181c")</f>
        <v>0</v>
      </c>
      <c r="D9534" t="s">
        <v>4941</v>
      </c>
      <c r="E9534" t="s">
        <v>6152</v>
      </c>
      <c r="F9534" t="s">
        <v>11452</v>
      </c>
      <c r="G9534" t="s">
        <v>15692</v>
      </c>
      <c r="H9534" t="s">
        <v>18876</v>
      </c>
    </row>
    <row r="9535" spans="1:8">
      <c r="A9535" t="s">
        <v>358</v>
      </c>
      <c r="B9535">
        <f>HYPERLINK("https://android.googlesource.com/platform/cts/+/1ca738e9763fe55517591eaecea66c7c73e3445b", "1ca738e9763fe55517591eaecea66c7c73e3445b")</f>
        <v>0</v>
      </c>
      <c r="C9535">
        <f>HYPERLINK("https://android.googlesource.com/platform/cts/+/6b9fb8c3a69ef283d4e37acd106362e876668cab", "6b9fb8c3a69ef283d4e37acd106362e876668cab")</f>
        <v>0</v>
      </c>
      <c r="D9535" t="s">
        <v>4941</v>
      </c>
      <c r="E9535" t="s">
        <v>6153</v>
      </c>
      <c r="F9535" t="s">
        <v>11186</v>
      </c>
      <c r="G9535" t="s">
        <v>15575</v>
      </c>
      <c r="H9535" t="s">
        <v>20166</v>
      </c>
    </row>
    <row r="9536" spans="1:8">
      <c r="A9536" t="s">
        <v>359</v>
      </c>
      <c r="B9536">
        <f>HYPERLINK("https://android.googlesource.com/platform/cts/+/5b7fa1892268a96b1481de768cafe67ca6edfc9d", "5b7fa1892268a96b1481de768cafe67ca6edfc9d")</f>
        <v>0</v>
      </c>
      <c r="C9536">
        <f>HYPERLINK("https://android.googlesource.com/platform/cts/+/0dbe847037fc266152965a6ca3d4645036f9ef2e", "0dbe847037fc266152965a6ca3d4645036f9ef2e")</f>
        <v>0</v>
      </c>
      <c r="D9536" t="s">
        <v>4967</v>
      </c>
      <c r="E9536" t="s">
        <v>6154</v>
      </c>
      <c r="F9536" t="s">
        <v>11453</v>
      </c>
      <c r="G9536" t="s">
        <v>15693</v>
      </c>
      <c r="H9536" t="s">
        <v>20415</v>
      </c>
    </row>
    <row r="9537" spans="1:8">
      <c r="H9537" t="s">
        <v>20416</v>
      </c>
    </row>
    <row r="9538" spans="1:8">
      <c r="H9538" t="s">
        <v>20417</v>
      </c>
    </row>
    <row r="9539" spans="1:8">
      <c r="A9539" t="s">
        <v>360</v>
      </c>
      <c r="B9539">
        <f>HYPERLINK("https://android.googlesource.com/platform/cts/+/6f1d52dc65cedde69b339afca9612eeca9878912", "6f1d52dc65cedde69b339afca9612eeca9878912")</f>
        <v>0</v>
      </c>
      <c r="C9539">
        <f>HYPERLINK("https://android.googlesource.com/platform/cts/+/b5b2307fc7eb12c13209c929fac86b23252b78dc", "b5b2307fc7eb12c13209c929fac86b23252b78dc")</f>
        <v>0</v>
      </c>
      <c r="D9539" t="s">
        <v>4941</v>
      </c>
      <c r="E9539" t="s">
        <v>6155</v>
      </c>
      <c r="F9539" t="s">
        <v>11454</v>
      </c>
      <c r="G9539" t="s">
        <v>15694</v>
      </c>
      <c r="H9539" t="s">
        <v>18829</v>
      </c>
    </row>
    <row r="9540" spans="1:8">
      <c r="F9540" t="s">
        <v>11455</v>
      </c>
      <c r="G9540" t="s">
        <v>15695</v>
      </c>
      <c r="H9540" t="s">
        <v>18829</v>
      </c>
    </row>
    <row r="9541" spans="1:8">
      <c r="F9541" t="s">
        <v>11456</v>
      </c>
      <c r="G9541" t="s">
        <v>15696</v>
      </c>
      <c r="H9541" t="s">
        <v>18829</v>
      </c>
    </row>
    <row r="9542" spans="1:8">
      <c r="A9542" t="s">
        <v>361</v>
      </c>
      <c r="B9542">
        <f>HYPERLINK("https://android.googlesource.com/platform/cts/+/7ec2c07efaff213d010d350e7b2d1609c1d0c1d9", "7ec2c07efaff213d010d350e7b2d1609c1d0c1d9")</f>
        <v>0</v>
      </c>
      <c r="C9542">
        <f>HYPERLINK("https://android.googlesource.com/platform/cts/+/1143f896f5fc712fb2249f55ab20f3d4b887a166", "1143f896f5fc712fb2249f55ab20f3d4b887a166")</f>
        <v>0</v>
      </c>
      <c r="D9542" t="s">
        <v>4949</v>
      </c>
      <c r="E9542" t="s">
        <v>6156</v>
      </c>
      <c r="F9542" t="s">
        <v>11450</v>
      </c>
      <c r="G9542" t="s">
        <v>15690</v>
      </c>
      <c r="H9542" t="s">
        <v>20418</v>
      </c>
    </row>
    <row r="9543" spans="1:8">
      <c r="A9543" t="s">
        <v>362</v>
      </c>
      <c r="B9543">
        <f>HYPERLINK("https://android.googlesource.com/platform/cts/+/b4bca5bf45f8b907c6f71dcad8e9972016eeabb5", "b4bca5bf45f8b907c6f71dcad8e9972016eeabb5")</f>
        <v>0</v>
      </c>
      <c r="C9543">
        <f>HYPERLINK("https://android.googlesource.com/platform/cts/+/b5b2307fc7eb12c13209c929fac86b23252b78dc", "b5b2307fc7eb12c13209c929fac86b23252b78dc")</f>
        <v>0</v>
      </c>
      <c r="D9543" t="s">
        <v>4941</v>
      </c>
      <c r="E9543" t="s">
        <v>6157</v>
      </c>
      <c r="F9543" t="s">
        <v>11457</v>
      </c>
      <c r="G9543" t="s">
        <v>15697</v>
      </c>
      <c r="H9543" t="s">
        <v>20419</v>
      </c>
    </row>
    <row r="9544" spans="1:8">
      <c r="A9544" t="s">
        <v>363</v>
      </c>
      <c r="B9544">
        <f>HYPERLINK("https://android.googlesource.com/platform/cts/+/a6570dcfa4b86bd4d473dfd5aba8956ea3ef4a89", "a6570dcfa4b86bd4d473dfd5aba8956ea3ef4a89")</f>
        <v>0</v>
      </c>
      <c r="C9544">
        <f>HYPERLINK("https://android.googlesource.com/platform/cts/+/e0d6e0d1a9d3364f0410bcda9ab1b93f358f45f9", "e0d6e0d1a9d3364f0410bcda9ab1b93f358f45f9")</f>
        <v>0</v>
      </c>
      <c r="D9544" t="s">
        <v>4941</v>
      </c>
      <c r="E9544" t="s">
        <v>6158</v>
      </c>
      <c r="F9544" t="s">
        <v>11457</v>
      </c>
      <c r="G9544" t="s">
        <v>15697</v>
      </c>
      <c r="H9544" t="s">
        <v>20419</v>
      </c>
    </row>
    <row r="9545" spans="1:8">
      <c r="F9545" t="s">
        <v>11454</v>
      </c>
      <c r="G9545" t="s">
        <v>15694</v>
      </c>
      <c r="H9545" t="s">
        <v>18829</v>
      </c>
    </row>
    <row r="9546" spans="1:8">
      <c r="F9546" t="s">
        <v>11455</v>
      </c>
      <c r="G9546" t="s">
        <v>15695</v>
      </c>
      <c r="H9546" t="s">
        <v>18829</v>
      </c>
    </row>
    <row r="9547" spans="1:8">
      <c r="F9547" t="s">
        <v>11456</v>
      </c>
      <c r="G9547" t="s">
        <v>15696</v>
      </c>
      <c r="H9547" t="s">
        <v>18829</v>
      </c>
    </row>
    <row r="9548" spans="1:8">
      <c r="A9548" t="s">
        <v>364</v>
      </c>
      <c r="B9548">
        <f>HYPERLINK("https://android.googlesource.com/platform/cts/+/37bf373b98e7b516d2af7e03bc9b9804e9368142", "37bf373b98e7b516d2af7e03bc9b9804e9368142")</f>
        <v>0</v>
      </c>
      <c r="C9548">
        <f>HYPERLINK("https://android.googlesource.com/platform/cts/+/4c9583c1f12f50a19c1fbac3c0a0de54cd18a7d8", "4c9583c1f12f50a19c1fbac3c0a0de54cd18a7d8")</f>
        <v>0</v>
      </c>
      <c r="D9548" t="s">
        <v>4973</v>
      </c>
      <c r="E9548" t="s">
        <v>6159</v>
      </c>
      <c r="F9548" t="s">
        <v>11458</v>
      </c>
      <c r="G9548" t="s">
        <v>15698</v>
      </c>
      <c r="H9548" t="s">
        <v>20420</v>
      </c>
    </row>
    <row r="9549" spans="1:8">
      <c r="F9549" t="s">
        <v>11459</v>
      </c>
      <c r="G9549" t="s">
        <v>15699</v>
      </c>
      <c r="H9549" t="s">
        <v>20420</v>
      </c>
    </row>
    <row r="9550" spans="1:8">
      <c r="F9550" t="s">
        <v>11460</v>
      </c>
      <c r="G9550" t="s">
        <v>15700</v>
      </c>
      <c r="H9550" t="s">
        <v>20420</v>
      </c>
    </row>
    <row r="9551" spans="1:8">
      <c r="F9551" t="s">
        <v>11461</v>
      </c>
      <c r="G9551" t="s">
        <v>15701</v>
      </c>
      <c r="H9551" t="s">
        <v>20420</v>
      </c>
    </row>
    <row r="9552" spans="1:8">
      <c r="F9552" t="s">
        <v>11462</v>
      </c>
      <c r="G9552" t="s">
        <v>15702</v>
      </c>
      <c r="H9552" t="s">
        <v>20420</v>
      </c>
    </row>
    <row r="9553" spans="1:8">
      <c r="F9553" t="s">
        <v>11463</v>
      </c>
      <c r="G9553" t="s">
        <v>15703</v>
      </c>
      <c r="H9553" t="s">
        <v>20420</v>
      </c>
    </row>
    <row r="9554" spans="1:8">
      <c r="F9554" t="s">
        <v>11464</v>
      </c>
      <c r="G9554" t="s">
        <v>15704</v>
      </c>
      <c r="H9554" t="s">
        <v>20420</v>
      </c>
    </row>
    <row r="9555" spans="1:8">
      <c r="F9555" t="s">
        <v>11465</v>
      </c>
      <c r="G9555" t="s">
        <v>15705</v>
      </c>
      <c r="H9555" t="s">
        <v>20420</v>
      </c>
    </row>
    <row r="9556" spans="1:8">
      <c r="F9556" t="s">
        <v>11466</v>
      </c>
      <c r="G9556" t="s">
        <v>15706</v>
      </c>
      <c r="H9556" t="s">
        <v>20420</v>
      </c>
    </row>
    <row r="9557" spans="1:8">
      <c r="F9557" t="s">
        <v>11467</v>
      </c>
      <c r="G9557" t="s">
        <v>15707</v>
      </c>
      <c r="H9557" t="s">
        <v>20420</v>
      </c>
    </row>
    <row r="9558" spans="1:8">
      <c r="F9558" t="s">
        <v>11468</v>
      </c>
      <c r="G9558" t="s">
        <v>15708</v>
      </c>
      <c r="H9558" t="s">
        <v>20420</v>
      </c>
    </row>
    <row r="9559" spans="1:8">
      <c r="A9559" t="s">
        <v>365</v>
      </c>
      <c r="B9559">
        <f>HYPERLINK("https://android.googlesource.com/platform/cts/+/2c6d380e7d8206949e25b045653ce71c73663c55", "2c6d380e7d8206949e25b045653ce71c73663c55")</f>
        <v>0</v>
      </c>
      <c r="C9559">
        <f>HYPERLINK("https://android.googlesource.com/platform/cts/+/0f6a860f9fcba915cbf1801ddf97fdddd8785c2f", "0f6a860f9fcba915cbf1801ddf97fdddd8785c2f")</f>
        <v>0</v>
      </c>
      <c r="D9559" t="s">
        <v>4973</v>
      </c>
      <c r="E9559" t="s">
        <v>6160</v>
      </c>
      <c r="F9559" t="s">
        <v>11469</v>
      </c>
      <c r="G9559" t="s">
        <v>15709</v>
      </c>
      <c r="H9559" t="s">
        <v>20421</v>
      </c>
    </row>
    <row r="9560" spans="1:8">
      <c r="H9560" t="s">
        <v>20422</v>
      </c>
    </row>
    <row r="9561" spans="1:8">
      <c r="A9561" t="s">
        <v>366</v>
      </c>
      <c r="B9561">
        <f>HYPERLINK("https://android.googlesource.com/platform/cts/+/2504acc530674e50ddb4cb44cd32c1f7805fcd0b", "2504acc530674e50ddb4cb44cd32c1f7805fcd0b")</f>
        <v>0</v>
      </c>
      <c r="C9561">
        <f>HYPERLINK("https://android.googlesource.com/platform/cts/+/2c6d380e7d8206949e25b045653ce71c73663c55", "2c6d380e7d8206949e25b045653ce71c73663c55")</f>
        <v>0</v>
      </c>
      <c r="D9561" t="s">
        <v>4941</v>
      </c>
      <c r="E9561" t="s">
        <v>6161</v>
      </c>
      <c r="F9561" t="s">
        <v>11470</v>
      </c>
      <c r="G9561" t="s">
        <v>15710</v>
      </c>
      <c r="H9561" t="s">
        <v>20423</v>
      </c>
    </row>
    <row r="9562" spans="1:8">
      <c r="A9562" t="s">
        <v>367</v>
      </c>
      <c r="B9562">
        <f>HYPERLINK("https://android.googlesource.com/platform/cts/+/fbfb026c4deca937184f2bb14daea3405d7e004b", "fbfb026c4deca937184f2bb14daea3405d7e004b")</f>
        <v>0</v>
      </c>
      <c r="C9562">
        <f>HYPERLINK("https://android.googlesource.com/platform/cts/+/ad8f4d4562562b62cbe694c46f9e11850fe1c82f", "ad8f4d4562562b62cbe694c46f9e11850fe1c82f")</f>
        <v>0</v>
      </c>
      <c r="D9562" t="s">
        <v>4979</v>
      </c>
      <c r="E9562" t="s">
        <v>6162</v>
      </c>
      <c r="F9562" t="s">
        <v>11471</v>
      </c>
      <c r="G9562" t="s">
        <v>15711</v>
      </c>
      <c r="H9562" t="s">
        <v>20424</v>
      </c>
    </row>
    <row r="9563" spans="1:8">
      <c r="H9563" t="s">
        <v>20425</v>
      </c>
    </row>
    <row r="9564" spans="1:8">
      <c r="A9564" t="s">
        <v>368</v>
      </c>
      <c r="B9564">
        <f>HYPERLINK("https://android.googlesource.com/platform/cts/+/775d37162a287fb6d3838c92879bfa1f9d2c32c7", "775d37162a287fb6d3838c92879bfa1f9d2c32c7")</f>
        <v>0</v>
      </c>
      <c r="C9564">
        <f>HYPERLINK("https://android.googlesource.com/platform/cts/+/8fdfc653ff74c5cb03722f165db608b9f63be978", "8fdfc653ff74c5cb03722f165db608b9f63be978")</f>
        <v>0</v>
      </c>
      <c r="D9564" t="s">
        <v>4949</v>
      </c>
      <c r="E9564" t="s">
        <v>6163</v>
      </c>
      <c r="F9564" t="s">
        <v>11472</v>
      </c>
      <c r="G9564" t="s">
        <v>15712</v>
      </c>
      <c r="H9564" t="s">
        <v>20426</v>
      </c>
    </row>
    <row r="9565" spans="1:8">
      <c r="H9565" t="s">
        <v>20427</v>
      </c>
    </row>
    <row r="9566" spans="1:8">
      <c r="H9566" t="s">
        <v>20428</v>
      </c>
    </row>
    <row r="9567" spans="1:8">
      <c r="H9567" t="s">
        <v>20429</v>
      </c>
    </row>
    <row r="9568" spans="1:8">
      <c r="H9568" t="s">
        <v>20430</v>
      </c>
    </row>
    <row r="9569" spans="1:8">
      <c r="F9569" t="s">
        <v>10699</v>
      </c>
      <c r="G9569" t="s">
        <v>15099</v>
      </c>
      <c r="H9569" t="s">
        <v>20431</v>
      </c>
    </row>
    <row r="9570" spans="1:8">
      <c r="A9570" t="s">
        <v>370</v>
      </c>
      <c r="B9570">
        <f>HYPERLINK("https://android.googlesource.com/platform/cts/+/0b1b8b03b25e36a608517afe1037c42a4a804c18", "0b1b8b03b25e36a608517afe1037c42a4a804c18")</f>
        <v>0</v>
      </c>
      <c r="C9570">
        <f>HYPERLINK("https://android.googlesource.com/platform/cts/+/8c09b8c887cf10d71ede6f55d4b391edf1366c22", "8c09b8c887cf10d71ede6f55d4b391edf1366c22")</f>
        <v>0</v>
      </c>
      <c r="D9570" t="s">
        <v>4977</v>
      </c>
      <c r="E9570" t="s">
        <v>6165</v>
      </c>
      <c r="F9570" t="s">
        <v>11473</v>
      </c>
      <c r="G9570" t="s">
        <v>15713</v>
      </c>
      <c r="H9570" t="s">
        <v>20432</v>
      </c>
    </row>
    <row r="9571" spans="1:8">
      <c r="A9571" t="s">
        <v>371</v>
      </c>
      <c r="B9571">
        <f>HYPERLINK("https://android.googlesource.com/platform/cts/+/a21bd2a58a73b0aac2700a551e82824c7a44f42a", "a21bd2a58a73b0aac2700a551e82824c7a44f42a")</f>
        <v>0</v>
      </c>
      <c r="C9571">
        <f>HYPERLINK("https://android.googlesource.com/platform/cts/+/98a6d451be2559e03ba221fb382764f85e3c2038", "98a6d451be2559e03ba221fb382764f85e3c2038")</f>
        <v>0</v>
      </c>
      <c r="D9571" t="s">
        <v>4980</v>
      </c>
      <c r="E9571" t="s">
        <v>6166</v>
      </c>
      <c r="F9571" t="s">
        <v>11474</v>
      </c>
      <c r="G9571" t="s">
        <v>15714</v>
      </c>
      <c r="H9571" t="s">
        <v>20237</v>
      </c>
    </row>
    <row r="9572" spans="1:8">
      <c r="H9572" t="s">
        <v>20433</v>
      </c>
    </row>
    <row r="9573" spans="1:8">
      <c r="H9573" t="s">
        <v>20434</v>
      </c>
    </row>
    <row r="9574" spans="1:8">
      <c r="A9574" t="s">
        <v>373</v>
      </c>
      <c r="B9574">
        <f>HYPERLINK("https://android.googlesource.com/platform/cts/+/521d0c6b88e4c6531b6ec360e2c244c8d13d34ef", "521d0c6b88e4c6531b6ec360e2c244c8d13d34ef")</f>
        <v>0</v>
      </c>
      <c r="C9574">
        <f>HYPERLINK("https://android.googlesource.com/platform/cts/+/29a837278f7974b6004574c6deb86bef59a98928", "29a837278f7974b6004574c6deb86bef59a98928")</f>
        <v>0</v>
      </c>
      <c r="D9574" t="s">
        <v>4984</v>
      </c>
      <c r="E9574" t="s">
        <v>6167</v>
      </c>
      <c r="F9574" t="s">
        <v>10662</v>
      </c>
      <c r="G9574" t="s">
        <v>15063</v>
      </c>
      <c r="H9574" t="s">
        <v>19729</v>
      </c>
    </row>
    <row r="9575" spans="1:8">
      <c r="A9575" t="s">
        <v>374</v>
      </c>
      <c r="B9575">
        <f>HYPERLINK("https://android.googlesource.com/platform/cts/+/50455b3f14f3cd835150e63bea640cb76c7c2cb4", "50455b3f14f3cd835150e63bea640cb76c7c2cb4")</f>
        <v>0</v>
      </c>
      <c r="C9575">
        <f>HYPERLINK("https://android.googlesource.com/platform/cts/+/b6ea46e3f074720ddae5e018b80e616f72272ed0", "b6ea46e3f074720ddae5e018b80e616f72272ed0")</f>
        <v>0</v>
      </c>
      <c r="D9575" t="s">
        <v>4980</v>
      </c>
      <c r="E9575" t="s">
        <v>6168</v>
      </c>
      <c r="F9575" t="s">
        <v>11475</v>
      </c>
      <c r="G9575" t="s">
        <v>15715</v>
      </c>
      <c r="H9575" t="s">
        <v>18863</v>
      </c>
    </row>
    <row r="9576" spans="1:8">
      <c r="H9576" t="s">
        <v>20435</v>
      </c>
    </row>
    <row r="9577" spans="1:8">
      <c r="F9577" t="s">
        <v>11476</v>
      </c>
      <c r="G9577" t="s">
        <v>15716</v>
      </c>
      <c r="H9577" t="s">
        <v>18863</v>
      </c>
    </row>
    <row r="9578" spans="1:8">
      <c r="H9578" t="s">
        <v>20436</v>
      </c>
    </row>
    <row r="9579" spans="1:8">
      <c r="H9579" t="s">
        <v>20437</v>
      </c>
    </row>
    <row r="9580" spans="1:8">
      <c r="H9580" t="s">
        <v>20438</v>
      </c>
    </row>
    <row r="9581" spans="1:8">
      <c r="H9581" t="s">
        <v>20439</v>
      </c>
    </row>
    <row r="9582" spans="1:8">
      <c r="F9582" t="s">
        <v>11477</v>
      </c>
      <c r="G9582" t="s">
        <v>15717</v>
      </c>
      <c r="H9582" t="s">
        <v>18863</v>
      </c>
    </row>
    <row r="9583" spans="1:8">
      <c r="H9583" t="s">
        <v>20440</v>
      </c>
    </row>
    <row r="9584" spans="1:8">
      <c r="H9584" t="s">
        <v>20441</v>
      </c>
    </row>
    <row r="9585" spans="1:8">
      <c r="F9585" t="s">
        <v>11478</v>
      </c>
      <c r="G9585" t="s">
        <v>15718</v>
      </c>
      <c r="H9585" t="s">
        <v>20442</v>
      </c>
    </row>
    <row r="9586" spans="1:8">
      <c r="H9586" t="s">
        <v>18829</v>
      </c>
    </row>
    <row r="9587" spans="1:8">
      <c r="H9587" t="s">
        <v>18863</v>
      </c>
    </row>
    <row r="9588" spans="1:8">
      <c r="H9588" t="s">
        <v>20443</v>
      </c>
    </row>
    <row r="9589" spans="1:8">
      <c r="F9589" t="s">
        <v>10942</v>
      </c>
      <c r="G9589" t="s">
        <v>14991</v>
      </c>
      <c r="H9589" t="s">
        <v>20444</v>
      </c>
    </row>
    <row r="9590" spans="1:8">
      <c r="F9590" t="s">
        <v>11479</v>
      </c>
      <c r="G9590" t="s">
        <v>15719</v>
      </c>
      <c r="H9590" t="s">
        <v>20445</v>
      </c>
    </row>
    <row r="9591" spans="1:8">
      <c r="A9591" t="s">
        <v>375</v>
      </c>
      <c r="B9591">
        <f>HYPERLINK("https://android.googlesource.com/platform/cts/+/421962663686789e8c4f920b27514e2108902d33", "421962663686789e8c4f920b27514e2108902d33")</f>
        <v>0</v>
      </c>
      <c r="C9591">
        <f>HYPERLINK("https://android.googlesource.com/platform/cts/+/a0654af97f6f1d06f6f3a93612f076d5abe8239a", "a0654af97f6f1d06f6f3a93612f076d5abe8239a")</f>
        <v>0</v>
      </c>
      <c r="D9591" t="s">
        <v>4936</v>
      </c>
      <c r="E9591" t="s">
        <v>6169</v>
      </c>
      <c r="F9591" t="s">
        <v>11445</v>
      </c>
      <c r="G9591" t="s">
        <v>15685</v>
      </c>
      <c r="H9591" t="s">
        <v>20380</v>
      </c>
    </row>
    <row r="9592" spans="1:8">
      <c r="A9592" t="s">
        <v>376</v>
      </c>
      <c r="B9592">
        <f>HYPERLINK("https://android.googlesource.com/platform/cts/+/b9f6a071a4a8e22aa30fb302994762957d6a8f32", "b9f6a071a4a8e22aa30fb302994762957d6a8f32")</f>
        <v>0</v>
      </c>
      <c r="C9592">
        <f>HYPERLINK("https://android.googlesource.com/platform/cts/+/0f29e44ecc729201b10b3ea45533a7bae4ed65b6", "0f29e44ecc729201b10b3ea45533a7bae4ed65b6")</f>
        <v>0</v>
      </c>
      <c r="D9592" t="s">
        <v>4985</v>
      </c>
      <c r="E9592" t="s">
        <v>6170</v>
      </c>
      <c r="F9592" t="s">
        <v>10778</v>
      </c>
      <c r="G9592" t="s">
        <v>15174</v>
      </c>
      <c r="H9592" t="s">
        <v>18893</v>
      </c>
    </row>
    <row r="9593" spans="1:8">
      <c r="H9593" t="s">
        <v>20446</v>
      </c>
    </row>
    <row r="9594" spans="1:8">
      <c r="H9594" t="s">
        <v>20447</v>
      </c>
    </row>
    <row r="9595" spans="1:8">
      <c r="H9595" t="s">
        <v>19541</v>
      </c>
    </row>
    <row r="9596" spans="1:8">
      <c r="H9596" t="s">
        <v>20448</v>
      </c>
    </row>
    <row r="9597" spans="1:8">
      <c r="H9597" t="s">
        <v>19542</v>
      </c>
    </row>
    <row r="9598" spans="1:8">
      <c r="H9598" t="s">
        <v>19542</v>
      </c>
    </row>
    <row r="9599" spans="1:8">
      <c r="A9599" t="s">
        <v>377</v>
      </c>
      <c r="B9599">
        <f>HYPERLINK("https://android.googlesource.com/platform/cts/+/952eb5628458766f4f5778aaf467be6854b69767", "952eb5628458766f4f5778aaf467be6854b69767")</f>
        <v>0</v>
      </c>
      <c r="C9599">
        <f>HYPERLINK("https://android.googlesource.com/platform/cts/+/86033165713af249c1daa8a825d1a5e64acbc048", "86033165713af249c1daa8a825d1a5e64acbc048")</f>
        <v>0</v>
      </c>
      <c r="D9599" t="s">
        <v>4936</v>
      </c>
      <c r="E9599" t="s">
        <v>6171</v>
      </c>
      <c r="F9599" t="s">
        <v>10699</v>
      </c>
      <c r="G9599" t="s">
        <v>15099</v>
      </c>
      <c r="H9599" t="s">
        <v>20449</v>
      </c>
    </row>
    <row r="9600" spans="1:8">
      <c r="A9600" t="s">
        <v>378</v>
      </c>
      <c r="B9600">
        <f>HYPERLINK("https://android.googlesource.com/platform/cts/+/4403e508f7b79037cc2d97334e979b4c5b02d623", "4403e508f7b79037cc2d97334e979b4c5b02d623")</f>
        <v>0</v>
      </c>
      <c r="C9600">
        <f>HYPERLINK("https://android.googlesource.com/platform/cts/+/86033165713af249c1daa8a825d1a5e64acbc048", "86033165713af249c1daa8a825d1a5e64acbc048")</f>
        <v>0</v>
      </c>
      <c r="D9600" t="s">
        <v>4973</v>
      </c>
      <c r="E9600" t="s">
        <v>6172</v>
      </c>
      <c r="F9600" t="s">
        <v>11476</v>
      </c>
      <c r="G9600" t="s">
        <v>15720</v>
      </c>
      <c r="H9600" t="s">
        <v>18863</v>
      </c>
    </row>
    <row r="9601" spans="1:8">
      <c r="H9601" t="s">
        <v>20436</v>
      </c>
    </row>
    <row r="9602" spans="1:8">
      <c r="H9602" t="s">
        <v>20437</v>
      </c>
    </row>
    <row r="9603" spans="1:8">
      <c r="H9603" t="s">
        <v>20438</v>
      </c>
    </row>
    <row r="9604" spans="1:8">
      <c r="H9604" t="s">
        <v>20439</v>
      </c>
    </row>
    <row r="9605" spans="1:8">
      <c r="A9605" t="s">
        <v>379</v>
      </c>
      <c r="B9605">
        <f>HYPERLINK("https://android.googlesource.com/platform/cts/+/e900c2d5629ef151fd5cfcce83fa781c490d529c", "e900c2d5629ef151fd5cfcce83fa781c490d529c")</f>
        <v>0</v>
      </c>
      <c r="C9605">
        <f>HYPERLINK("https://android.googlesource.com/platform/cts/+/91245482a53a261c8a482de0e2a28bb8f4b5769e", "91245482a53a261c8a482de0e2a28bb8f4b5769e")</f>
        <v>0</v>
      </c>
      <c r="D9605" t="s">
        <v>4973</v>
      </c>
      <c r="E9605" t="s">
        <v>6173</v>
      </c>
      <c r="F9605" t="s">
        <v>11475</v>
      </c>
      <c r="G9605" t="s">
        <v>15715</v>
      </c>
      <c r="H9605" t="s">
        <v>18863</v>
      </c>
    </row>
    <row r="9606" spans="1:8">
      <c r="H9606" t="s">
        <v>20435</v>
      </c>
    </row>
    <row r="9607" spans="1:8">
      <c r="A9607" t="s">
        <v>380</v>
      </c>
      <c r="B9607">
        <f>HYPERLINK("https://android.googlesource.com/platform/cts/+/b043cccc87014cf79e7d37a29b73e46e5294815f", "b043cccc87014cf79e7d37a29b73e46e5294815f")</f>
        <v>0</v>
      </c>
      <c r="C9607">
        <f>HYPERLINK("https://android.googlesource.com/platform/cts/+/2ffddecc8c3ae8942982fa8e34c442d4183946df", "2ffddecc8c3ae8942982fa8e34c442d4183946df")</f>
        <v>0</v>
      </c>
      <c r="D9607" t="s">
        <v>4967</v>
      </c>
      <c r="E9607" t="s">
        <v>6174</v>
      </c>
      <c r="F9607" t="s">
        <v>11480</v>
      </c>
      <c r="G9607" t="s">
        <v>15721</v>
      </c>
      <c r="H9607" t="s">
        <v>20450</v>
      </c>
    </row>
    <row r="9608" spans="1:8">
      <c r="A9608" t="s">
        <v>381</v>
      </c>
      <c r="B9608">
        <f>HYPERLINK("https://android.googlesource.com/platform/cts/+/813d61ba2e01fb4c18ce5b08b58a98df750a1843", "813d61ba2e01fb4c18ce5b08b58a98df750a1843")</f>
        <v>0</v>
      </c>
      <c r="C9608">
        <f>HYPERLINK("https://android.googlesource.com/platform/cts/+/89e635a286b6ea918cf755e0eff8ba7e838a5d1e", "89e635a286b6ea918cf755e0eff8ba7e838a5d1e")</f>
        <v>0</v>
      </c>
      <c r="D9608" t="s">
        <v>4973</v>
      </c>
      <c r="E9608" t="s">
        <v>6175</v>
      </c>
      <c r="F9608" t="s">
        <v>11481</v>
      </c>
      <c r="G9608" t="s">
        <v>15722</v>
      </c>
      <c r="H9608" t="s">
        <v>20451</v>
      </c>
    </row>
    <row r="9609" spans="1:8">
      <c r="A9609" t="s">
        <v>382</v>
      </c>
      <c r="B9609">
        <f>HYPERLINK("https://android.googlesource.com/platform/cts/+/95fe67721579ade45132e5225b55f887a60f69a1", "95fe67721579ade45132e5225b55f887a60f69a1")</f>
        <v>0</v>
      </c>
      <c r="C9609">
        <f>HYPERLINK("https://android.googlesource.com/platform/cts/+/01dc6706b3485cdc50330d9b7529baf8e4d83602", "01dc6706b3485cdc50330d9b7529baf8e4d83602")</f>
        <v>0</v>
      </c>
      <c r="D9609" t="s">
        <v>4986</v>
      </c>
      <c r="E9609" t="s">
        <v>6176</v>
      </c>
      <c r="F9609" t="s">
        <v>10645</v>
      </c>
      <c r="G9609" t="s">
        <v>15046</v>
      </c>
      <c r="H9609" t="s">
        <v>18980</v>
      </c>
    </row>
    <row r="9610" spans="1:8">
      <c r="A9610" t="s">
        <v>383</v>
      </c>
      <c r="B9610">
        <f>HYPERLINK("https://android.googlesource.com/platform/cts/+/c0ef6f802bbc0d40b1dc8e7cefa360f7434a9299", "c0ef6f802bbc0d40b1dc8e7cefa360f7434a9299")</f>
        <v>0</v>
      </c>
      <c r="C9610">
        <f>HYPERLINK("https://android.googlesource.com/platform/cts/+/976971e382bbe4a0d6528bf5690baa449fde61ce", "976971e382bbe4a0d6528bf5690baa449fde61ce")</f>
        <v>0</v>
      </c>
      <c r="D9610" t="s">
        <v>4973</v>
      </c>
      <c r="E9610" t="s">
        <v>6177</v>
      </c>
      <c r="F9610" t="s">
        <v>11482</v>
      </c>
      <c r="G9610" t="s">
        <v>15723</v>
      </c>
      <c r="H9610" t="s">
        <v>20452</v>
      </c>
    </row>
    <row r="9611" spans="1:8">
      <c r="A9611" t="s">
        <v>384</v>
      </c>
      <c r="B9611">
        <f>HYPERLINK("https://android.googlesource.com/platform/cts/+/25665383264fbedfb22e801e6c631333a40b2a35", "25665383264fbedfb22e801e6c631333a40b2a35")</f>
        <v>0</v>
      </c>
      <c r="C9611">
        <f>HYPERLINK("https://android.googlesource.com/platform/cts/+/976971e382bbe4a0d6528bf5690baa449fde61ce", "976971e382bbe4a0d6528bf5690baa449fde61ce")</f>
        <v>0</v>
      </c>
      <c r="D9611" t="s">
        <v>4973</v>
      </c>
      <c r="E9611" t="s">
        <v>6178</v>
      </c>
      <c r="F9611" t="s">
        <v>11483</v>
      </c>
      <c r="G9611" t="s">
        <v>15724</v>
      </c>
      <c r="H9611" t="s">
        <v>20453</v>
      </c>
    </row>
    <row r="9612" spans="1:8">
      <c r="H9612" t="s">
        <v>18829</v>
      </c>
    </row>
    <row r="9613" spans="1:8">
      <c r="H9613" t="s">
        <v>18863</v>
      </c>
    </row>
    <row r="9614" spans="1:8">
      <c r="H9614" t="s">
        <v>20454</v>
      </c>
    </row>
    <row r="9615" spans="1:8">
      <c r="H9615" t="s">
        <v>19349</v>
      </c>
    </row>
    <row r="9616" spans="1:8">
      <c r="H9616" t="s">
        <v>20209</v>
      </c>
    </row>
    <row r="9617" spans="6:8">
      <c r="F9617" t="s">
        <v>11484</v>
      </c>
      <c r="G9617" t="s">
        <v>15725</v>
      </c>
      <c r="H9617" t="s">
        <v>20455</v>
      </c>
    </row>
    <row r="9618" spans="6:8">
      <c r="H9618" t="s">
        <v>18829</v>
      </c>
    </row>
    <row r="9619" spans="6:8">
      <c r="H9619" t="s">
        <v>18863</v>
      </c>
    </row>
    <row r="9620" spans="6:8">
      <c r="H9620" t="s">
        <v>20454</v>
      </c>
    </row>
    <row r="9621" spans="6:8">
      <c r="H9621" t="s">
        <v>19349</v>
      </c>
    </row>
    <row r="9622" spans="6:8">
      <c r="H9622" t="s">
        <v>20209</v>
      </c>
    </row>
    <row r="9623" spans="6:8">
      <c r="F9623" t="s">
        <v>11485</v>
      </c>
      <c r="G9623" t="s">
        <v>15726</v>
      </c>
      <c r="H9623" t="s">
        <v>20456</v>
      </c>
    </row>
    <row r="9624" spans="6:8">
      <c r="H9624" t="s">
        <v>18829</v>
      </c>
    </row>
    <row r="9625" spans="6:8">
      <c r="H9625" t="s">
        <v>18863</v>
      </c>
    </row>
    <row r="9626" spans="6:8">
      <c r="H9626" t="s">
        <v>20454</v>
      </c>
    </row>
    <row r="9627" spans="6:8">
      <c r="H9627" t="s">
        <v>19349</v>
      </c>
    </row>
    <row r="9628" spans="6:8">
      <c r="H9628" t="s">
        <v>20209</v>
      </c>
    </row>
    <row r="9629" spans="6:8">
      <c r="F9629" t="s">
        <v>11486</v>
      </c>
      <c r="G9629" t="s">
        <v>15727</v>
      </c>
      <c r="H9629" t="s">
        <v>20457</v>
      </c>
    </row>
    <row r="9630" spans="6:8">
      <c r="H9630" t="s">
        <v>18829</v>
      </c>
    </row>
    <row r="9631" spans="6:8">
      <c r="H9631" t="s">
        <v>18863</v>
      </c>
    </row>
    <row r="9632" spans="6:8">
      <c r="H9632" t="s">
        <v>20454</v>
      </c>
    </row>
    <row r="9633" spans="6:8">
      <c r="H9633" t="s">
        <v>19349</v>
      </c>
    </row>
    <row r="9634" spans="6:8">
      <c r="H9634" t="s">
        <v>20209</v>
      </c>
    </row>
    <row r="9635" spans="6:8">
      <c r="F9635" t="s">
        <v>11487</v>
      </c>
      <c r="G9635" t="s">
        <v>15728</v>
      </c>
      <c r="H9635" t="s">
        <v>20458</v>
      </c>
    </row>
    <row r="9636" spans="6:8">
      <c r="H9636" t="s">
        <v>18829</v>
      </c>
    </row>
    <row r="9637" spans="6:8">
      <c r="H9637" t="s">
        <v>18863</v>
      </c>
    </row>
    <row r="9638" spans="6:8">
      <c r="H9638" t="s">
        <v>20454</v>
      </c>
    </row>
    <row r="9639" spans="6:8">
      <c r="H9639" t="s">
        <v>19349</v>
      </c>
    </row>
    <row r="9640" spans="6:8">
      <c r="H9640" t="s">
        <v>20209</v>
      </c>
    </row>
    <row r="9641" spans="6:8">
      <c r="F9641" t="s">
        <v>11488</v>
      </c>
      <c r="G9641" t="s">
        <v>15729</v>
      </c>
      <c r="H9641" t="s">
        <v>20459</v>
      </c>
    </row>
    <row r="9642" spans="6:8">
      <c r="H9642" t="s">
        <v>18829</v>
      </c>
    </row>
    <row r="9643" spans="6:8">
      <c r="H9643" t="s">
        <v>18863</v>
      </c>
    </row>
    <row r="9644" spans="6:8">
      <c r="H9644" t="s">
        <v>20454</v>
      </c>
    </row>
    <row r="9645" spans="6:8">
      <c r="H9645" t="s">
        <v>19349</v>
      </c>
    </row>
    <row r="9646" spans="6:8">
      <c r="H9646" t="s">
        <v>20209</v>
      </c>
    </row>
    <row r="9647" spans="6:8">
      <c r="F9647" t="s">
        <v>11489</v>
      </c>
      <c r="G9647" t="s">
        <v>15730</v>
      </c>
      <c r="H9647" t="s">
        <v>20460</v>
      </c>
    </row>
    <row r="9648" spans="6:8">
      <c r="H9648" t="s">
        <v>18829</v>
      </c>
    </row>
    <row r="9649" spans="6:8">
      <c r="H9649" t="s">
        <v>18863</v>
      </c>
    </row>
    <row r="9650" spans="6:8">
      <c r="H9650" t="s">
        <v>20454</v>
      </c>
    </row>
    <row r="9651" spans="6:8">
      <c r="H9651" t="s">
        <v>19349</v>
      </c>
    </row>
    <row r="9652" spans="6:8">
      <c r="H9652" t="s">
        <v>20209</v>
      </c>
    </row>
    <row r="9653" spans="6:8">
      <c r="F9653" t="s">
        <v>11490</v>
      </c>
      <c r="G9653" t="s">
        <v>15731</v>
      </c>
      <c r="H9653" t="s">
        <v>20461</v>
      </c>
    </row>
    <row r="9654" spans="6:8">
      <c r="H9654" t="s">
        <v>18829</v>
      </c>
    </row>
    <row r="9655" spans="6:8">
      <c r="H9655" t="s">
        <v>18863</v>
      </c>
    </row>
    <row r="9656" spans="6:8">
      <c r="H9656" t="s">
        <v>20454</v>
      </c>
    </row>
    <row r="9657" spans="6:8">
      <c r="H9657" t="s">
        <v>19349</v>
      </c>
    </row>
    <row r="9658" spans="6:8">
      <c r="H9658" t="s">
        <v>20209</v>
      </c>
    </row>
    <row r="9659" spans="6:8">
      <c r="F9659" t="s">
        <v>11491</v>
      </c>
      <c r="G9659" t="s">
        <v>15732</v>
      </c>
      <c r="H9659" t="s">
        <v>20462</v>
      </c>
    </row>
    <row r="9660" spans="6:8">
      <c r="H9660" t="s">
        <v>18829</v>
      </c>
    </row>
    <row r="9661" spans="6:8">
      <c r="H9661" t="s">
        <v>18863</v>
      </c>
    </row>
    <row r="9662" spans="6:8">
      <c r="H9662" t="s">
        <v>20454</v>
      </c>
    </row>
    <row r="9663" spans="6:8">
      <c r="H9663" t="s">
        <v>19349</v>
      </c>
    </row>
    <row r="9664" spans="6:8">
      <c r="H9664" t="s">
        <v>20209</v>
      </c>
    </row>
    <row r="9665" spans="6:8">
      <c r="F9665" t="s">
        <v>11492</v>
      </c>
      <c r="G9665" t="s">
        <v>15733</v>
      </c>
      <c r="H9665" t="s">
        <v>20463</v>
      </c>
    </row>
    <row r="9666" spans="6:8">
      <c r="H9666" t="s">
        <v>18829</v>
      </c>
    </row>
    <row r="9667" spans="6:8">
      <c r="H9667" t="s">
        <v>18863</v>
      </c>
    </row>
    <row r="9668" spans="6:8">
      <c r="H9668" t="s">
        <v>20454</v>
      </c>
    </row>
    <row r="9669" spans="6:8">
      <c r="H9669" t="s">
        <v>19349</v>
      </c>
    </row>
    <row r="9670" spans="6:8">
      <c r="H9670" t="s">
        <v>20209</v>
      </c>
    </row>
    <row r="9671" spans="6:8">
      <c r="F9671" t="s">
        <v>11493</v>
      </c>
      <c r="G9671" t="s">
        <v>15734</v>
      </c>
      <c r="H9671" t="s">
        <v>20464</v>
      </c>
    </row>
    <row r="9672" spans="6:8">
      <c r="H9672" t="s">
        <v>18829</v>
      </c>
    </row>
    <row r="9673" spans="6:8">
      <c r="H9673" t="s">
        <v>18863</v>
      </c>
    </row>
    <row r="9674" spans="6:8">
      <c r="H9674" t="s">
        <v>20454</v>
      </c>
    </row>
    <row r="9675" spans="6:8">
      <c r="H9675" t="s">
        <v>19349</v>
      </c>
    </row>
    <row r="9676" spans="6:8">
      <c r="H9676" t="s">
        <v>20209</v>
      </c>
    </row>
    <row r="9677" spans="6:8">
      <c r="F9677" t="s">
        <v>11494</v>
      </c>
      <c r="G9677" t="s">
        <v>15735</v>
      </c>
      <c r="H9677" t="s">
        <v>20465</v>
      </c>
    </row>
    <row r="9678" spans="6:8">
      <c r="H9678" t="s">
        <v>18829</v>
      </c>
    </row>
    <row r="9679" spans="6:8">
      <c r="H9679" t="s">
        <v>18863</v>
      </c>
    </row>
    <row r="9680" spans="6:8">
      <c r="H9680" t="s">
        <v>20454</v>
      </c>
    </row>
    <row r="9681" spans="6:8">
      <c r="H9681" t="s">
        <v>19349</v>
      </c>
    </row>
    <row r="9682" spans="6:8">
      <c r="H9682" t="s">
        <v>20209</v>
      </c>
    </row>
    <row r="9683" spans="6:8">
      <c r="F9683" t="s">
        <v>11495</v>
      </c>
      <c r="G9683" t="s">
        <v>15736</v>
      </c>
      <c r="H9683" t="s">
        <v>20466</v>
      </c>
    </row>
    <row r="9684" spans="6:8">
      <c r="H9684" t="s">
        <v>18829</v>
      </c>
    </row>
    <row r="9685" spans="6:8">
      <c r="H9685" t="s">
        <v>18863</v>
      </c>
    </row>
    <row r="9686" spans="6:8">
      <c r="H9686" t="s">
        <v>20454</v>
      </c>
    </row>
    <row r="9687" spans="6:8">
      <c r="H9687" t="s">
        <v>19349</v>
      </c>
    </row>
    <row r="9688" spans="6:8">
      <c r="H9688" t="s">
        <v>20209</v>
      </c>
    </row>
    <row r="9689" spans="6:8">
      <c r="F9689" t="s">
        <v>11496</v>
      </c>
      <c r="G9689" t="s">
        <v>15737</v>
      </c>
      <c r="H9689" t="s">
        <v>20467</v>
      </c>
    </row>
    <row r="9690" spans="6:8">
      <c r="H9690" t="s">
        <v>18829</v>
      </c>
    </row>
    <row r="9691" spans="6:8">
      <c r="H9691" t="s">
        <v>18863</v>
      </c>
    </row>
    <row r="9692" spans="6:8">
      <c r="H9692" t="s">
        <v>20454</v>
      </c>
    </row>
    <row r="9693" spans="6:8">
      <c r="H9693" t="s">
        <v>19349</v>
      </c>
    </row>
    <row r="9694" spans="6:8">
      <c r="H9694" t="s">
        <v>20209</v>
      </c>
    </row>
    <row r="9695" spans="6:8">
      <c r="F9695" t="s">
        <v>11497</v>
      </c>
      <c r="G9695" t="s">
        <v>15738</v>
      </c>
      <c r="H9695" t="s">
        <v>20468</v>
      </c>
    </row>
    <row r="9696" spans="6:8">
      <c r="H9696" t="s">
        <v>18829</v>
      </c>
    </row>
    <row r="9697" spans="6:8">
      <c r="H9697" t="s">
        <v>18863</v>
      </c>
    </row>
    <row r="9698" spans="6:8">
      <c r="H9698" t="s">
        <v>20454</v>
      </c>
    </row>
    <row r="9699" spans="6:8">
      <c r="H9699" t="s">
        <v>19349</v>
      </c>
    </row>
    <row r="9700" spans="6:8">
      <c r="H9700" t="s">
        <v>20209</v>
      </c>
    </row>
    <row r="9701" spans="6:8">
      <c r="F9701" t="s">
        <v>11498</v>
      </c>
      <c r="G9701" t="s">
        <v>15739</v>
      </c>
      <c r="H9701" t="s">
        <v>20469</v>
      </c>
    </row>
    <row r="9702" spans="6:8">
      <c r="H9702" t="s">
        <v>18829</v>
      </c>
    </row>
    <row r="9703" spans="6:8">
      <c r="H9703" t="s">
        <v>18863</v>
      </c>
    </row>
    <row r="9704" spans="6:8">
      <c r="H9704" t="s">
        <v>20454</v>
      </c>
    </row>
    <row r="9705" spans="6:8">
      <c r="H9705" t="s">
        <v>19349</v>
      </c>
    </row>
    <row r="9706" spans="6:8">
      <c r="H9706" t="s">
        <v>20209</v>
      </c>
    </row>
    <row r="9707" spans="6:8">
      <c r="F9707" t="s">
        <v>11499</v>
      </c>
      <c r="G9707" t="s">
        <v>15740</v>
      </c>
      <c r="H9707" t="s">
        <v>20470</v>
      </c>
    </row>
    <row r="9708" spans="6:8">
      <c r="H9708" t="s">
        <v>18829</v>
      </c>
    </row>
    <row r="9709" spans="6:8">
      <c r="H9709" t="s">
        <v>18863</v>
      </c>
    </row>
    <row r="9710" spans="6:8">
      <c r="H9710" t="s">
        <v>20454</v>
      </c>
    </row>
    <row r="9711" spans="6:8">
      <c r="H9711" t="s">
        <v>19349</v>
      </c>
    </row>
    <row r="9712" spans="6:8">
      <c r="H9712" t="s">
        <v>20209</v>
      </c>
    </row>
    <row r="9713" spans="6:8">
      <c r="F9713" t="s">
        <v>11500</v>
      </c>
      <c r="G9713" t="s">
        <v>15741</v>
      </c>
      <c r="H9713" t="s">
        <v>20471</v>
      </c>
    </row>
    <row r="9714" spans="6:8">
      <c r="H9714" t="s">
        <v>18829</v>
      </c>
    </row>
    <row r="9715" spans="6:8">
      <c r="H9715" t="s">
        <v>18863</v>
      </c>
    </row>
    <row r="9716" spans="6:8">
      <c r="H9716" t="s">
        <v>20454</v>
      </c>
    </row>
    <row r="9717" spans="6:8">
      <c r="H9717" t="s">
        <v>19349</v>
      </c>
    </row>
    <row r="9718" spans="6:8">
      <c r="H9718" t="s">
        <v>20209</v>
      </c>
    </row>
    <row r="9719" spans="6:8">
      <c r="F9719" t="s">
        <v>11501</v>
      </c>
      <c r="G9719" t="s">
        <v>15742</v>
      </c>
      <c r="H9719" t="s">
        <v>20472</v>
      </c>
    </row>
    <row r="9720" spans="6:8">
      <c r="H9720" t="s">
        <v>18829</v>
      </c>
    </row>
    <row r="9721" spans="6:8">
      <c r="H9721" t="s">
        <v>18863</v>
      </c>
    </row>
    <row r="9722" spans="6:8">
      <c r="H9722" t="s">
        <v>20454</v>
      </c>
    </row>
    <row r="9723" spans="6:8">
      <c r="H9723" t="s">
        <v>19349</v>
      </c>
    </row>
    <row r="9724" spans="6:8">
      <c r="H9724" t="s">
        <v>20209</v>
      </c>
    </row>
    <row r="9725" spans="6:8">
      <c r="F9725" t="s">
        <v>11502</v>
      </c>
      <c r="G9725" t="s">
        <v>15743</v>
      </c>
      <c r="H9725" t="s">
        <v>20473</v>
      </c>
    </row>
    <row r="9726" spans="6:8">
      <c r="H9726" t="s">
        <v>18829</v>
      </c>
    </row>
    <row r="9727" spans="6:8">
      <c r="H9727" t="s">
        <v>18863</v>
      </c>
    </row>
    <row r="9728" spans="6:8">
      <c r="H9728" t="s">
        <v>20454</v>
      </c>
    </row>
    <row r="9729" spans="6:8">
      <c r="H9729" t="s">
        <v>19349</v>
      </c>
    </row>
    <row r="9730" spans="6:8">
      <c r="H9730" t="s">
        <v>20209</v>
      </c>
    </row>
    <row r="9731" spans="6:8">
      <c r="F9731" t="s">
        <v>11503</v>
      </c>
      <c r="G9731" t="s">
        <v>15744</v>
      </c>
      <c r="H9731" t="s">
        <v>20474</v>
      </c>
    </row>
    <row r="9732" spans="6:8">
      <c r="H9732" t="s">
        <v>18829</v>
      </c>
    </row>
    <row r="9733" spans="6:8">
      <c r="H9733" t="s">
        <v>18863</v>
      </c>
    </row>
    <row r="9734" spans="6:8">
      <c r="H9734" t="s">
        <v>20454</v>
      </c>
    </row>
    <row r="9735" spans="6:8">
      <c r="H9735" t="s">
        <v>19349</v>
      </c>
    </row>
    <row r="9736" spans="6:8">
      <c r="H9736" t="s">
        <v>20209</v>
      </c>
    </row>
    <row r="9737" spans="6:8">
      <c r="F9737" t="s">
        <v>11504</v>
      </c>
      <c r="G9737" t="s">
        <v>15745</v>
      </c>
      <c r="H9737" t="s">
        <v>20475</v>
      </c>
    </row>
    <row r="9738" spans="6:8">
      <c r="H9738" t="s">
        <v>18829</v>
      </c>
    </row>
    <row r="9739" spans="6:8">
      <c r="H9739" t="s">
        <v>18863</v>
      </c>
    </row>
    <row r="9740" spans="6:8">
      <c r="H9740" t="s">
        <v>20454</v>
      </c>
    </row>
    <row r="9741" spans="6:8">
      <c r="H9741" t="s">
        <v>19349</v>
      </c>
    </row>
    <row r="9742" spans="6:8">
      <c r="H9742" t="s">
        <v>20209</v>
      </c>
    </row>
    <row r="9743" spans="6:8">
      <c r="F9743" t="s">
        <v>11505</v>
      </c>
      <c r="G9743" t="s">
        <v>15746</v>
      </c>
      <c r="H9743" t="s">
        <v>20476</v>
      </c>
    </row>
    <row r="9744" spans="6:8">
      <c r="H9744" t="s">
        <v>18829</v>
      </c>
    </row>
    <row r="9745" spans="6:8">
      <c r="H9745" t="s">
        <v>18863</v>
      </c>
    </row>
    <row r="9746" spans="6:8">
      <c r="H9746" t="s">
        <v>20454</v>
      </c>
    </row>
    <row r="9747" spans="6:8">
      <c r="H9747" t="s">
        <v>19349</v>
      </c>
    </row>
    <row r="9748" spans="6:8">
      <c r="H9748" t="s">
        <v>20209</v>
      </c>
    </row>
    <row r="9749" spans="6:8">
      <c r="F9749" t="s">
        <v>11506</v>
      </c>
      <c r="G9749" t="s">
        <v>15747</v>
      </c>
      <c r="H9749" t="s">
        <v>20477</v>
      </c>
    </row>
    <row r="9750" spans="6:8">
      <c r="H9750" t="s">
        <v>18829</v>
      </c>
    </row>
    <row r="9751" spans="6:8">
      <c r="H9751" t="s">
        <v>18863</v>
      </c>
    </row>
    <row r="9752" spans="6:8">
      <c r="H9752" t="s">
        <v>20454</v>
      </c>
    </row>
    <row r="9753" spans="6:8">
      <c r="H9753" t="s">
        <v>19349</v>
      </c>
    </row>
    <row r="9754" spans="6:8">
      <c r="H9754" t="s">
        <v>20209</v>
      </c>
    </row>
    <row r="9755" spans="6:8">
      <c r="F9755" t="s">
        <v>11507</v>
      </c>
      <c r="G9755" t="s">
        <v>15748</v>
      </c>
      <c r="H9755" t="s">
        <v>20478</v>
      </c>
    </row>
    <row r="9756" spans="6:8">
      <c r="H9756" t="s">
        <v>18829</v>
      </c>
    </row>
    <row r="9757" spans="6:8">
      <c r="H9757" t="s">
        <v>18863</v>
      </c>
    </row>
    <row r="9758" spans="6:8">
      <c r="H9758" t="s">
        <v>20454</v>
      </c>
    </row>
    <row r="9759" spans="6:8">
      <c r="H9759" t="s">
        <v>19349</v>
      </c>
    </row>
    <row r="9760" spans="6:8">
      <c r="H9760" t="s">
        <v>20209</v>
      </c>
    </row>
    <row r="9761" spans="6:8">
      <c r="F9761" t="s">
        <v>11508</v>
      </c>
      <c r="G9761" t="s">
        <v>15749</v>
      </c>
      <c r="H9761" t="s">
        <v>20479</v>
      </c>
    </row>
    <row r="9762" spans="6:8">
      <c r="H9762" t="s">
        <v>18829</v>
      </c>
    </row>
    <row r="9763" spans="6:8">
      <c r="H9763" t="s">
        <v>18863</v>
      </c>
    </row>
    <row r="9764" spans="6:8">
      <c r="H9764" t="s">
        <v>20454</v>
      </c>
    </row>
    <row r="9765" spans="6:8">
      <c r="H9765" t="s">
        <v>19349</v>
      </c>
    </row>
    <row r="9766" spans="6:8">
      <c r="H9766" t="s">
        <v>20209</v>
      </c>
    </row>
    <row r="9767" spans="6:8">
      <c r="F9767" t="s">
        <v>11509</v>
      </c>
      <c r="G9767" t="s">
        <v>15750</v>
      </c>
      <c r="H9767" t="s">
        <v>20480</v>
      </c>
    </row>
    <row r="9768" spans="6:8">
      <c r="H9768" t="s">
        <v>18829</v>
      </c>
    </row>
    <row r="9769" spans="6:8">
      <c r="H9769" t="s">
        <v>18863</v>
      </c>
    </row>
    <row r="9770" spans="6:8">
      <c r="H9770" t="s">
        <v>20454</v>
      </c>
    </row>
    <row r="9771" spans="6:8">
      <c r="H9771" t="s">
        <v>19349</v>
      </c>
    </row>
    <row r="9772" spans="6:8">
      <c r="H9772" t="s">
        <v>20209</v>
      </c>
    </row>
    <row r="9773" spans="6:8">
      <c r="F9773" t="s">
        <v>11510</v>
      </c>
      <c r="G9773" t="s">
        <v>15751</v>
      </c>
      <c r="H9773" t="s">
        <v>20481</v>
      </c>
    </row>
    <row r="9774" spans="6:8">
      <c r="H9774" t="s">
        <v>18829</v>
      </c>
    </row>
    <row r="9775" spans="6:8">
      <c r="H9775" t="s">
        <v>18863</v>
      </c>
    </row>
    <row r="9776" spans="6:8">
      <c r="H9776" t="s">
        <v>20454</v>
      </c>
    </row>
    <row r="9777" spans="6:8">
      <c r="H9777" t="s">
        <v>19349</v>
      </c>
    </row>
    <row r="9778" spans="6:8">
      <c r="H9778" t="s">
        <v>20209</v>
      </c>
    </row>
    <row r="9779" spans="6:8">
      <c r="F9779" t="s">
        <v>11511</v>
      </c>
      <c r="G9779" t="s">
        <v>15752</v>
      </c>
      <c r="H9779" t="s">
        <v>20482</v>
      </c>
    </row>
    <row r="9780" spans="6:8">
      <c r="H9780" t="s">
        <v>18829</v>
      </c>
    </row>
    <row r="9781" spans="6:8">
      <c r="H9781" t="s">
        <v>18863</v>
      </c>
    </row>
    <row r="9782" spans="6:8">
      <c r="H9782" t="s">
        <v>20454</v>
      </c>
    </row>
    <row r="9783" spans="6:8">
      <c r="H9783" t="s">
        <v>19349</v>
      </c>
    </row>
    <row r="9784" spans="6:8">
      <c r="H9784" t="s">
        <v>20209</v>
      </c>
    </row>
    <row r="9785" spans="6:8">
      <c r="F9785" t="s">
        <v>11512</v>
      </c>
      <c r="G9785" t="s">
        <v>15753</v>
      </c>
      <c r="H9785" t="s">
        <v>20483</v>
      </c>
    </row>
    <row r="9786" spans="6:8">
      <c r="H9786" t="s">
        <v>18829</v>
      </c>
    </row>
    <row r="9787" spans="6:8">
      <c r="H9787" t="s">
        <v>18863</v>
      </c>
    </row>
    <row r="9788" spans="6:8">
      <c r="H9788" t="s">
        <v>20454</v>
      </c>
    </row>
    <row r="9789" spans="6:8">
      <c r="H9789" t="s">
        <v>19349</v>
      </c>
    </row>
    <row r="9790" spans="6:8">
      <c r="H9790" t="s">
        <v>20209</v>
      </c>
    </row>
    <row r="9791" spans="6:8">
      <c r="F9791" t="s">
        <v>11513</v>
      </c>
      <c r="G9791" t="s">
        <v>15754</v>
      </c>
      <c r="H9791" t="s">
        <v>20484</v>
      </c>
    </row>
    <row r="9792" spans="6:8">
      <c r="H9792" t="s">
        <v>18829</v>
      </c>
    </row>
    <row r="9793" spans="6:8">
      <c r="H9793" t="s">
        <v>18863</v>
      </c>
    </row>
    <row r="9794" spans="6:8">
      <c r="H9794" t="s">
        <v>20454</v>
      </c>
    </row>
    <row r="9795" spans="6:8">
      <c r="H9795" t="s">
        <v>19349</v>
      </c>
    </row>
    <row r="9796" spans="6:8">
      <c r="H9796" t="s">
        <v>20209</v>
      </c>
    </row>
    <row r="9797" spans="6:8">
      <c r="F9797" t="s">
        <v>11514</v>
      </c>
      <c r="G9797" t="s">
        <v>15755</v>
      </c>
      <c r="H9797" t="s">
        <v>20485</v>
      </c>
    </row>
    <row r="9798" spans="6:8">
      <c r="H9798" t="s">
        <v>18829</v>
      </c>
    </row>
    <row r="9799" spans="6:8">
      <c r="H9799" t="s">
        <v>18863</v>
      </c>
    </row>
    <row r="9800" spans="6:8">
      <c r="H9800" t="s">
        <v>20454</v>
      </c>
    </row>
    <row r="9801" spans="6:8">
      <c r="H9801" t="s">
        <v>19349</v>
      </c>
    </row>
    <row r="9802" spans="6:8">
      <c r="H9802" t="s">
        <v>20209</v>
      </c>
    </row>
    <row r="9803" spans="6:8">
      <c r="F9803" t="s">
        <v>11515</v>
      </c>
      <c r="G9803" t="s">
        <v>15756</v>
      </c>
      <c r="H9803" t="s">
        <v>20486</v>
      </c>
    </row>
    <row r="9804" spans="6:8">
      <c r="H9804" t="s">
        <v>18829</v>
      </c>
    </row>
    <row r="9805" spans="6:8">
      <c r="H9805" t="s">
        <v>18863</v>
      </c>
    </row>
    <row r="9806" spans="6:8">
      <c r="H9806" t="s">
        <v>20454</v>
      </c>
    </row>
    <row r="9807" spans="6:8">
      <c r="H9807" t="s">
        <v>19349</v>
      </c>
    </row>
    <row r="9808" spans="6:8">
      <c r="H9808" t="s">
        <v>20209</v>
      </c>
    </row>
    <row r="9809" spans="6:8">
      <c r="F9809" t="s">
        <v>11516</v>
      </c>
      <c r="G9809" t="s">
        <v>15757</v>
      </c>
      <c r="H9809" t="s">
        <v>20487</v>
      </c>
    </row>
    <row r="9810" spans="6:8">
      <c r="H9810" t="s">
        <v>18829</v>
      </c>
    </row>
    <row r="9811" spans="6:8">
      <c r="H9811" t="s">
        <v>18863</v>
      </c>
    </row>
    <row r="9812" spans="6:8">
      <c r="H9812" t="s">
        <v>20454</v>
      </c>
    </row>
    <row r="9813" spans="6:8">
      <c r="H9813" t="s">
        <v>19349</v>
      </c>
    </row>
    <row r="9814" spans="6:8">
      <c r="H9814" t="s">
        <v>20209</v>
      </c>
    </row>
    <row r="9815" spans="6:8">
      <c r="F9815" t="s">
        <v>11517</v>
      </c>
      <c r="G9815" t="s">
        <v>15758</v>
      </c>
      <c r="H9815" t="s">
        <v>20488</v>
      </c>
    </row>
    <row r="9816" spans="6:8">
      <c r="H9816" t="s">
        <v>18829</v>
      </c>
    </row>
    <row r="9817" spans="6:8">
      <c r="H9817" t="s">
        <v>18863</v>
      </c>
    </row>
    <row r="9818" spans="6:8">
      <c r="H9818" t="s">
        <v>20454</v>
      </c>
    </row>
    <row r="9819" spans="6:8">
      <c r="H9819" t="s">
        <v>19349</v>
      </c>
    </row>
    <row r="9820" spans="6:8">
      <c r="H9820" t="s">
        <v>20209</v>
      </c>
    </row>
    <row r="9821" spans="6:8">
      <c r="F9821" t="s">
        <v>11518</v>
      </c>
      <c r="G9821" t="s">
        <v>15759</v>
      </c>
      <c r="H9821" t="s">
        <v>20489</v>
      </c>
    </row>
    <row r="9822" spans="6:8">
      <c r="H9822" t="s">
        <v>18829</v>
      </c>
    </row>
    <row r="9823" spans="6:8">
      <c r="H9823" t="s">
        <v>18863</v>
      </c>
    </row>
    <row r="9824" spans="6:8">
      <c r="H9824" t="s">
        <v>20454</v>
      </c>
    </row>
    <row r="9825" spans="6:8">
      <c r="H9825" t="s">
        <v>19349</v>
      </c>
    </row>
    <row r="9826" spans="6:8">
      <c r="H9826" t="s">
        <v>20209</v>
      </c>
    </row>
    <row r="9827" spans="6:8">
      <c r="F9827" t="s">
        <v>11519</v>
      </c>
      <c r="G9827" t="s">
        <v>15760</v>
      </c>
      <c r="H9827" t="s">
        <v>20490</v>
      </c>
    </row>
    <row r="9828" spans="6:8">
      <c r="H9828" t="s">
        <v>18829</v>
      </c>
    </row>
    <row r="9829" spans="6:8">
      <c r="H9829" t="s">
        <v>18863</v>
      </c>
    </row>
    <row r="9830" spans="6:8">
      <c r="H9830" t="s">
        <v>20454</v>
      </c>
    </row>
    <row r="9831" spans="6:8">
      <c r="H9831" t="s">
        <v>19349</v>
      </c>
    </row>
    <row r="9832" spans="6:8">
      <c r="H9832" t="s">
        <v>20209</v>
      </c>
    </row>
    <row r="9833" spans="6:8">
      <c r="F9833" t="s">
        <v>11520</v>
      </c>
      <c r="G9833" t="s">
        <v>15761</v>
      </c>
      <c r="H9833" t="s">
        <v>20491</v>
      </c>
    </row>
    <row r="9834" spans="6:8">
      <c r="H9834" t="s">
        <v>18829</v>
      </c>
    </row>
    <row r="9835" spans="6:8">
      <c r="H9835" t="s">
        <v>18863</v>
      </c>
    </row>
    <row r="9836" spans="6:8">
      <c r="H9836" t="s">
        <v>20454</v>
      </c>
    </row>
    <row r="9837" spans="6:8">
      <c r="H9837" t="s">
        <v>19349</v>
      </c>
    </row>
    <row r="9838" spans="6:8">
      <c r="H9838" t="s">
        <v>20209</v>
      </c>
    </row>
    <row r="9839" spans="6:8">
      <c r="F9839" t="s">
        <v>11521</v>
      </c>
      <c r="G9839" t="s">
        <v>15762</v>
      </c>
      <c r="H9839" t="s">
        <v>20492</v>
      </c>
    </row>
    <row r="9840" spans="6:8">
      <c r="H9840" t="s">
        <v>18829</v>
      </c>
    </row>
    <row r="9841" spans="6:8">
      <c r="H9841" t="s">
        <v>18863</v>
      </c>
    </row>
    <row r="9842" spans="6:8">
      <c r="H9842" t="s">
        <v>20454</v>
      </c>
    </row>
    <row r="9843" spans="6:8">
      <c r="H9843" t="s">
        <v>19349</v>
      </c>
    </row>
    <row r="9844" spans="6:8">
      <c r="H9844" t="s">
        <v>20209</v>
      </c>
    </row>
    <row r="9845" spans="6:8">
      <c r="F9845" t="s">
        <v>11522</v>
      </c>
      <c r="G9845" t="s">
        <v>15763</v>
      </c>
      <c r="H9845" t="s">
        <v>20493</v>
      </c>
    </row>
    <row r="9846" spans="6:8">
      <c r="H9846" t="s">
        <v>18829</v>
      </c>
    </row>
    <row r="9847" spans="6:8">
      <c r="H9847" t="s">
        <v>18863</v>
      </c>
    </row>
    <row r="9848" spans="6:8">
      <c r="H9848" t="s">
        <v>20454</v>
      </c>
    </row>
    <row r="9849" spans="6:8">
      <c r="H9849" t="s">
        <v>19349</v>
      </c>
    </row>
    <row r="9850" spans="6:8">
      <c r="H9850" t="s">
        <v>20209</v>
      </c>
    </row>
    <row r="9851" spans="6:8">
      <c r="F9851" t="s">
        <v>11523</v>
      </c>
      <c r="G9851" t="s">
        <v>15764</v>
      </c>
      <c r="H9851" t="s">
        <v>20494</v>
      </c>
    </row>
    <row r="9852" spans="6:8">
      <c r="H9852" t="s">
        <v>18829</v>
      </c>
    </row>
    <row r="9853" spans="6:8">
      <c r="H9853" t="s">
        <v>18863</v>
      </c>
    </row>
    <row r="9854" spans="6:8">
      <c r="H9854" t="s">
        <v>20454</v>
      </c>
    </row>
    <row r="9855" spans="6:8">
      <c r="H9855" t="s">
        <v>19349</v>
      </c>
    </row>
    <row r="9856" spans="6:8">
      <c r="H9856" t="s">
        <v>20209</v>
      </c>
    </row>
    <row r="9857" spans="6:8">
      <c r="F9857" t="s">
        <v>11524</v>
      </c>
      <c r="G9857" t="s">
        <v>15765</v>
      </c>
      <c r="H9857" t="s">
        <v>20495</v>
      </c>
    </row>
    <row r="9858" spans="6:8">
      <c r="H9858" t="s">
        <v>18829</v>
      </c>
    </row>
    <row r="9859" spans="6:8">
      <c r="H9859" t="s">
        <v>18863</v>
      </c>
    </row>
    <row r="9860" spans="6:8">
      <c r="H9860" t="s">
        <v>20454</v>
      </c>
    </row>
    <row r="9861" spans="6:8">
      <c r="H9861" t="s">
        <v>19349</v>
      </c>
    </row>
    <row r="9862" spans="6:8">
      <c r="H9862" t="s">
        <v>20209</v>
      </c>
    </row>
    <row r="9863" spans="6:8">
      <c r="F9863" t="s">
        <v>11525</v>
      </c>
      <c r="G9863" t="s">
        <v>15766</v>
      </c>
      <c r="H9863" t="s">
        <v>20496</v>
      </c>
    </row>
    <row r="9864" spans="6:8">
      <c r="H9864" t="s">
        <v>18829</v>
      </c>
    </row>
    <row r="9865" spans="6:8">
      <c r="H9865" t="s">
        <v>18863</v>
      </c>
    </row>
    <row r="9866" spans="6:8">
      <c r="H9866" t="s">
        <v>20454</v>
      </c>
    </row>
    <row r="9867" spans="6:8">
      <c r="H9867" t="s">
        <v>19349</v>
      </c>
    </row>
    <row r="9868" spans="6:8">
      <c r="H9868" t="s">
        <v>20209</v>
      </c>
    </row>
    <row r="9869" spans="6:8">
      <c r="F9869" t="s">
        <v>11526</v>
      </c>
      <c r="G9869" t="s">
        <v>15767</v>
      </c>
      <c r="H9869" t="s">
        <v>20497</v>
      </c>
    </row>
    <row r="9870" spans="6:8">
      <c r="H9870" t="s">
        <v>18829</v>
      </c>
    </row>
    <row r="9871" spans="6:8">
      <c r="H9871" t="s">
        <v>18863</v>
      </c>
    </row>
    <row r="9872" spans="6:8">
      <c r="H9872" t="s">
        <v>20454</v>
      </c>
    </row>
    <row r="9873" spans="6:8">
      <c r="H9873" t="s">
        <v>19349</v>
      </c>
    </row>
    <row r="9874" spans="6:8">
      <c r="H9874" t="s">
        <v>20209</v>
      </c>
    </row>
    <row r="9875" spans="6:8">
      <c r="F9875" t="s">
        <v>11527</v>
      </c>
      <c r="G9875" t="s">
        <v>15768</v>
      </c>
      <c r="H9875" t="s">
        <v>20498</v>
      </c>
    </row>
    <row r="9876" spans="6:8">
      <c r="H9876" t="s">
        <v>18829</v>
      </c>
    </row>
    <row r="9877" spans="6:8">
      <c r="H9877" t="s">
        <v>18863</v>
      </c>
    </row>
    <row r="9878" spans="6:8">
      <c r="H9878" t="s">
        <v>20454</v>
      </c>
    </row>
    <row r="9879" spans="6:8">
      <c r="H9879" t="s">
        <v>19349</v>
      </c>
    </row>
    <row r="9880" spans="6:8">
      <c r="H9880" t="s">
        <v>20209</v>
      </c>
    </row>
    <row r="9881" spans="6:8">
      <c r="F9881" t="s">
        <v>11528</v>
      </c>
      <c r="G9881" t="s">
        <v>15769</v>
      </c>
      <c r="H9881" t="s">
        <v>20499</v>
      </c>
    </row>
    <row r="9882" spans="6:8">
      <c r="H9882" t="s">
        <v>18829</v>
      </c>
    </row>
    <row r="9883" spans="6:8">
      <c r="H9883" t="s">
        <v>18863</v>
      </c>
    </row>
    <row r="9884" spans="6:8">
      <c r="H9884" t="s">
        <v>20454</v>
      </c>
    </row>
    <row r="9885" spans="6:8">
      <c r="H9885" t="s">
        <v>19349</v>
      </c>
    </row>
    <row r="9886" spans="6:8">
      <c r="H9886" t="s">
        <v>20209</v>
      </c>
    </row>
    <row r="9887" spans="6:8">
      <c r="F9887" t="s">
        <v>11529</v>
      </c>
      <c r="G9887" t="s">
        <v>15770</v>
      </c>
      <c r="H9887" t="s">
        <v>20500</v>
      </c>
    </row>
    <row r="9888" spans="6:8">
      <c r="H9888" t="s">
        <v>18829</v>
      </c>
    </row>
    <row r="9889" spans="6:8">
      <c r="H9889" t="s">
        <v>18863</v>
      </c>
    </row>
    <row r="9890" spans="6:8">
      <c r="H9890" t="s">
        <v>20454</v>
      </c>
    </row>
    <row r="9891" spans="6:8">
      <c r="H9891" t="s">
        <v>19349</v>
      </c>
    </row>
    <row r="9892" spans="6:8">
      <c r="H9892" t="s">
        <v>20209</v>
      </c>
    </row>
    <row r="9893" spans="6:8">
      <c r="F9893" t="s">
        <v>11530</v>
      </c>
      <c r="G9893" t="s">
        <v>15771</v>
      </c>
      <c r="H9893" t="s">
        <v>20501</v>
      </c>
    </row>
    <row r="9894" spans="6:8">
      <c r="H9894" t="s">
        <v>18829</v>
      </c>
    </row>
    <row r="9895" spans="6:8">
      <c r="H9895" t="s">
        <v>18863</v>
      </c>
    </row>
    <row r="9896" spans="6:8">
      <c r="H9896" t="s">
        <v>20454</v>
      </c>
    </row>
    <row r="9897" spans="6:8">
      <c r="H9897" t="s">
        <v>19349</v>
      </c>
    </row>
    <row r="9898" spans="6:8">
      <c r="H9898" t="s">
        <v>20209</v>
      </c>
    </row>
    <row r="9899" spans="6:8">
      <c r="F9899" t="s">
        <v>11531</v>
      </c>
      <c r="G9899" t="s">
        <v>15772</v>
      </c>
      <c r="H9899" t="s">
        <v>20502</v>
      </c>
    </row>
    <row r="9900" spans="6:8">
      <c r="H9900" t="s">
        <v>18829</v>
      </c>
    </row>
    <row r="9901" spans="6:8">
      <c r="H9901" t="s">
        <v>18863</v>
      </c>
    </row>
    <row r="9902" spans="6:8">
      <c r="H9902" t="s">
        <v>20454</v>
      </c>
    </row>
    <row r="9903" spans="6:8">
      <c r="H9903" t="s">
        <v>19349</v>
      </c>
    </row>
    <row r="9904" spans="6:8">
      <c r="H9904" t="s">
        <v>20209</v>
      </c>
    </row>
    <row r="9905" spans="6:8">
      <c r="F9905" t="s">
        <v>11532</v>
      </c>
      <c r="G9905" t="s">
        <v>15773</v>
      </c>
      <c r="H9905" t="s">
        <v>20503</v>
      </c>
    </row>
    <row r="9906" spans="6:8">
      <c r="H9906" t="s">
        <v>18829</v>
      </c>
    </row>
    <row r="9907" spans="6:8">
      <c r="H9907" t="s">
        <v>18863</v>
      </c>
    </row>
    <row r="9908" spans="6:8">
      <c r="H9908" t="s">
        <v>20454</v>
      </c>
    </row>
    <row r="9909" spans="6:8">
      <c r="H9909" t="s">
        <v>19349</v>
      </c>
    </row>
    <row r="9910" spans="6:8">
      <c r="H9910" t="s">
        <v>20209</v>
      </c>
    </row>
    <row r="9911" spans="6:8">
      <c r="F9911" t="s">
        <v>11533</v>
      </c>
      <c r="G9911" t="s">
        <v>15774</v>
      </c>
      <c r="H9911" t="s">
        <v>20504</v>
      </c>
    </row>
    <row r="9912" spans="6:8">
      <c r="H9912" t="s">
        <v>18829</v>
      </c>
    </row>
    <row r="9913" spans="6:8">
      <c r="H9913" t="s">
        <v>18863</v>
      </c>
    </row>
    <row r="9914" spans="6:8">
      <c r="H9914" t="s">
        <v>20454</v>
      </c>
    </row>
    <row r="9915" spans="6:8">
      <c r="H9915" t="s">
        <v>19349</v>
      </c>
    </row>
    <row r="9916" spans="6:8">
      <c r="H9916" t="s">
        <v>20209</v>
      </c>
    </row>
    <row r="9917" spans="6:8">
      <c r="F9917" t="s">
        <v>11534</v>
      </c>
      <c r="G9917" t="s">
        <v>15775</v>
      </c>
      <c r="H9917" t="s">
        <v>20505</v>
      </c>
    </row>
    <row r="9918" spans="6:8">
      <c r="H9918" t="s">
        <v>18829</v>
      </c>
    </row>
    <row r="9919" spans="6:8">
      <c r="H9919" t="s">
        <v>18863</v>
      </c>
    </row>
    <row r="9920" spans="6:8">
      <c r="H9920" t="s">
        <v>20454</v>
      </c>
    </row>
    <row r="9921" spans="6:8">
      <c r="H9921" t="s">
        <v>19349</v>
      </c>
    </row>
    <row r="9922" spans="6:8">
      <c r="H9922" t="s">
        <v>20209</v>
      </c>
    </row>
    <row r="9923" spans="6:8">
      <c r="F9923" t="s">
        <v>11535</v>
      </c>
      <c r="G9923" t="s">
        <v>15776</v>
      </c>
      <c r="H9923" t="s">
        <v>20506</v>
      </c>
    </row>
    <row r="9924" spans="6:8">
      <c r="H9924" t="s">
        <v>18829</v>
      </c>
    </row>
    <row r="9925" spans="6:8">
      <c r="H9925" t="s">
        <v>18863</v>
      </c>
    </row>
    <row r="9926" spans="6:8">
      <c r="H9926" t="s">
        <v>20454</v>
      </c>
    </row>
    <row r="9927" spans="6:8">
      <c r="H9927" t="s">
        <v>19349</v>
      </c>
    </row>
    <row r="9928" spans="6:8">
      <c r="H9928" t="s">
        <v>20209</v>
      </c>
    </row>
    <row r="9929" spans="6:8">
      <c r="F9929" t="s">
        <v>11536</v>
      </c>
      <c r="G9929" t="s">
        <v>15777</v>
      </c>
      <c r="H9929" t="s">
        <v>20507</v>
      </c>
    </row>
    <row r="9930" spans="6:8">
      <c r="H9930" t="s">
        <v>18829</v>
      </c>
    </row>
    <row r="9931" spans="6:8">
      <c r="H9931" t="s">
        <v>18863</v>
      </c>
    </row>
    <row r="9932" spans="6:8">
      <c r="H9932" t="s">
        <v>20454</v>
      </c>
    </row>
    <row r="9933" spans="6:8">
      <c r="H9933" t="s">
        <v>19349</v>
      </c>
    </row>
    <row r="9934" spans="6:8">
      <c r="H9934" t="s">
        <v>20209</v>
      </c>
    </row>
    <row r="9935" spans="6:8">
      <c r="F9935" t="s">
        <v>11537</v>
      </c>
      <c r="G9935" t="s">
        <v>15778</v>
      </c>
      <c r="H9935" t="s">
        <v>20508</v>
      </c>
    </row>
    <row r="9936" spans="6:8">
      <c r="H9936" t="s">
        <v>18829</v>
      </c>
    </row>
    <row r="9937" spans="6:8">
      <c r="H9937" t="s">
        <v>18863</v>
      </c>
    </row>
    <row r="9938" spans="6:8">
      <c r="H9938" t="s">
        <v>20454</v>
      </c>
    </row>
    <row r="9939" spans="6:8">
      <c r="H9939" t="s">
        <v>19349</v>
      </c>
    </row>
    <row r="9940" spans="6:8">
      <c r="H9940" t="s">
        <v>20209</v>
      </c>
    </row>
    <row r="9941" spans="6:8">
      <c r="F9941" t="s">
        <v>11538</v>
      </c>
      <c r="G9941" t="s">
        <v>15779</v>
      </c>
      <c r="H9941" t="s">
        <v>20509</v>
      </c>
    </row>
    <row r="9942" spans="6:8">
      <c r="H9942" t="s">
        <v>18829</v>
      </c>
    </row>
    <row r="9943" spans="6:8">
      <c r="H9943" t="s">
        <v>18863</v>
      </c>
    </row>
    <row r="9944" spans="6:8">
      <c r="H9944" t="s">
        <v>20454</v>
      </c>
    </row>
    <row r="9945" spans="6:8">
      <c r="H9945" t="s">
        <v>19349</v>
      </c>
    </row>
    <row r="9946" spans="6:8">
      <c r="H9946" t="s">
        <v>20209</v>
      </c>
    </row>
    <row r="9947" spans="6:8">
      <c r="F9947" t="s">
        <v>11539</v>
      </c>
      <c r="G9947" t="s">
        <v>15780</v>
      </c>
      <c r="H9947" t="s">
        <v>20510</v>
      </c>
    </row>
    <row r="9948" spans="6:8">
      <c r="H9948" t="s">
        <v>18829</v>
      </c>
    </row>
    <row r="9949" spans="6:8">
      <c r="H9949" t="s">
        <v>18863</v>
      </c>
    </row>
    <row r="9950" spans="6:8">
      <c r="H9950" t="s">
        <v>20454</v>
      </c>
    </row>
    <row r="9951" spans="6:8">
      <c r="H9951" t="s">
        <v>19349</v>
      </c>
    </row>
    <row r="9952" spans="6:8">
      <c r="H9952" t="s">
        <v>20209</v>
      </c>
    </row>
    <row r="9953" spans="6:8">
      <c r="F9953" t="s">
        <v>11540</v>
      </c>
      <c r="G9953" t="s">
        <v>15781</v>
      </c>
      <c r="H9953" t="s">
        <v>20511</v>
      </c>
    </row>
    <row r="9954" spans="6:8">
      <c r="H9954" t="s">
        <v>18829</v>
      </c>
    </row>
    <row r="9955" spans="6:8">
      <c r="H9955" t="s">
        <v>18863</v>
      </c>
    </row>
    <row r="9956" spans="6:8">
      <c r="H9956" t="s">
        <v>20454</v>
      </c>
    </row>
    <row r="9957" spans="6:8">
      <c r="H9957" t="s">
        <v>19349</v>
      </c>
    </row>
    <row r="9958" spans="6:8">
      <c r="H9958" t="s">
        <v>20209</v>
      </c>
    </row>
    <row r="9959" spans="6:8">
      <c r="F9959" t="s">
        <v>11541</v>
      </c>
      <c r="G9959" t="s">
        <v>15782</v>
      </c>
      <c r="H9959" t="s">
        <v>20512</v>
      </c>
    </row>
    <row r="9960" spans="6:8">
      <c r="H9960" t="s">
        <v>18829</v>
      </c>
    </row>
    <row r="9961" spans="6:8">
      <c r="H9961" t="s">
        <v>18863</v>
      </c>
    </row>
    <row r="9962" spans="6:8">
      <c r="H9962" t="s">
        <v>20454</v>
      </c>
    </row>
    <row r="9963" spans="6:8">
      <c r="H9963" t="s">
        <v>19349</v>
      </c>
    </row>
    <row r="9964" spans="6:8">
      <c r="H9964" t="s">
        <v>20209</v>
      </c>
    </row>
    <row r="9965" spans="6:8">
      <c r="F9965" t="s">
        <v>11542</v>
      </c>
      <c r="G9965" t="s">
        <v>15783</v>
      </c>
      <c r="H9965" t="s">
        <v>20513</v>
      </c>
    </row>
    <row r="9966" spans="6:8">
      <c r="H9966" t="s">
        <v>18829</v>
      </c>
    </row>
    <row r="9967" spans="6:8">
      <c r="H9967" t="s">
        <v>18863</v>
      </c>
    </row>
    <row r="9968" spans="6:8">
      <c r="H9968" t="s">
        <v>20454</v>
      </c>
    </row>
    <row r="9969" spans="6:8">
      <c r="H9969" t="s">
        <v>19349</v>
      </c>
    </row>
    <row r="9970" spans="6:8">
      <c r="H9970" t="s">
        <v>20209</v>
      </c>
    </row>
    <row r="9971" spans="6:8">
      <c r="F9971" t="s">
        <v>11543</v>
      </c>
      <c r="G9971" t="s">
        <v>15784</v>
      </c>
      <c r="H9971" t="s">
        <v>20514</v>
      </c>
    </row>
    <row r="9972" spans="6:8">
      <c r="H9972" t="s">
        <v>18829</v>
      </c>
    </row>
    <row r="9973" spans="6:8">
      <c r="H9973" t="s">
        <v>18863</v>
      </c>
    </row>
    <row r="9974" spans="6:8">
      <c r="H9974" t="s">
        <v>20454</v>
      </c>
    </row>
    <row r="9975" spans="6:8">
      <c r="H9975" t="s">
        <v>19349</v>
      </c>
    </row>
    <row r="9976" spans="6:8">
      <c r="H9976" t="s">
        <v>20209</v>
      </c>
    </row>
    <row r="9977" spans="6:8">
      <c r="F9977" t="s">
        <v>11544</v>
      </c>
      <c r="G9977" t="s">
        <v>15785</v>
      </c>
      <c r="H9977" t="s">
        <v>20515</v>
      </c>
    </row>
    <row r="9978" spans="6:8">
      <c r="H9978" t="s">
        <v>18829</v>
      </c>
    </row>
    <row r="9979" spans="6:8">
      <c r="H9979" t="s">
        <v>18863</v>
      </c>
    </row>
    <row r="9980" spans="6:8">
      <c r="H9980" t="s">
        <v>20454</v>
      </c>
    </row>
    <row r="9981" spans="6:8">
      <c r="H9981" t="s">
        <v>19349</v>
      </c>
    </row>
    <row r="9982" spans="6:8">
      <c r="H9982" t="s">
        <v>20209</v>
      </c>
    </row>
    <row r="9983" spans="6:8">
      <c r="F9983" t="s">
        <v>11545</v>
      </c>
      <c r="G9983" t="s">
        <v>15786</v>
      </c>
      <c r="H9983" t="s">
        <v>20516</v>
      </c>
    </row>
    <row r="9984" spans="6:8">
      <c r="H9984" t="s">
        <v>18829</v>
      </c>
    </row>
    <row r="9985" spans="6:8">
      <c r="H9985" t="s">
        <v>18863</v>
      </c>
    </row>
    <row r="9986" spans="6:8">
      <c r="H9986" t="s">
        <v>20454</v>
      </c>
    </row>
    <row r="9987" spans="6:8">
      <c r="H9987" t="s">
        <v>19349</v>
      </c>
    </row>
    <row r="9988" spans="6:8">
      <c r="H9988" t="s">
        <v>20209</v>
      </c>
    </row>
    <row r="9989" spans="6:8">
      <c r="F9989" t="s">
        <v>11546</v>
      </c>
      <c r="G9989" t="s">
        <v>15787</v>
      </c>
      <c r="H9989" t="s">
        <v>20517</v>
      </c>
    </row>
    <row r="9990" spans="6:8">
      <c r="H9990" t="s">
        <v>18829</v>
      </c>
    </row>
    <row r="9991" spans="6:8">
      <c r="H9991" t="s">
        <v>18863</v>
      </c>
    </row>
    <row r="9992" spans="6:8">
      <c r="H9992" t="s">
        <v>20454</v>
      </c>
    </row>
    <row r="9993" spans="6:8">
      <c r="H9993" t="s">
        <v>19349</v>
      </c>
    </row>
    <row r="9994" spans="6:8">
      <c r="H9994" t="s">
        <v>20209</v>
      </c>
    </row>
    <row r="9995" spans="6:8">
      <c r="F9995" t="s">
        <v>11547</v>
      </c>
      <c r="G9995" t="s">
        <v>15788</v>
      </c>
      <c r="H9995" t="s">
        <v>20518</v>
      </c>
    </row>
    <row r="9996" spans="6:8">
      <c r="H9996" t="s">
        <v>18829</v>
      </c>
    </row>
    <row r="9997" spans="6:8">
      <c r="H9997" t="s">
        <v>18863</v>
      </c>
    </row>
    <row r="9998" spans="6:8">
      <c r="H9998" t="s">
        <v>20454</v>
      </c>
    </row>
    <row r="9999" spans="6:8">
      <c r="H9999" t="s">
        <v>19349</v>
      </c>
    </row>
    <row r="10000" spans="6:8">
      <c r="H10000" t="s">
        <v>20209</v>
      </c>
    </row>
    <row r="10001" spans="6:8">
      <c r="F10001" t="s">
        <v>11548</v>
      </c>
      <c r="G10001" t="s">
        <v>15789</v>
      </c>
      <c r="H10001" t="s">
        <v>20519</v>
      </c>
    </row>
    <row r="10002" spans="6:8">
      <c r="H10002" t="s">
        <v>18829</v>
      </c>
    </row>
    <row r="10003" spans="6:8">
      <c r="H10003" t="s">
        <v>18863</v>
      </c>
    </row>
    <row r="10004" spans="6:8">
      <c r="H10004" t="s">
        <v>20454</v>
      </c>
    </row>
    <row r="10005" spans="6:8">
      <c r="H10005" t="s">
        <v>19349</v>
      </c>
    </row>
    <row r="10006" spans="6:8">
      <c r="H10006" t="s">
        <v>20209</v>
      </c>
    </row>
    <row r="10007" spans="6:8">
      <c r="F10007" t="s">
        <v>11549</v>
      </c>
      <c r="G10007" t="s">
        <v>15790</v>
      </c>
      <c r="H10007" t="s">
        <v>20520</v>
      </c>
    </row>
    <row r="10008" spans="6:8">
      <c r="H10008" t="s">
        <v>18829</v>
      </c>
    </row>
    <row r="10009" spans="6:8">
      <c r="H10009" t="s">
        <v>18863</v>
      </c>
    </row>
    <row r="10010" spans="6:8">
      <c r="H10010" t="s">
        <v>20454</v>
      </c>
    </row>
    <row r="10011" spans="6:8">
      <c r="H10011" t="s">
        <v>19349</v>
      </c>
    </row>
    <row r="10012" spans="6:8">
      <c r="H10012" t="s">
        <v>20209</v>
      </c>
    </row>
    <row r="10013" spans="6:8">
      <c r="F10013" t="s">
        <v>11550</v>
      </c>
      <c r="G10013" t="s">
        <v>15791</v>
      </c>
      <c r="H10013" t="s">
        <v>20521</v>
      </c>
    </row>
    <row r="10014" spans="6:8">
      <c r="H10014" t="s">
        <v>18829</v>
      </c>
    </row>
    <row r="10015" spans="6:8">
      <c r="H10015" t="s">
        <v>18863</v>
      </c>
    </row>
    <row r="10016" spans="6:8">
      <c r="H10016" t="s">
        <v>20454</v>
      </c>
    </row>
    <row r="10017" spans="6:8">
      <c r="H10017" t="s">
        <v>19349</v>
      </c>
    </row>
    <row r="10018" spans="6:8">
      <c r="H10018" t="s">
        <v>20209</v>
      </c>
    </row>
    <row r="10019" spans="6:8">
      <c r="F10019" t="s">
        <v>11551</v>
      </c>
      <c r="G10019" t="s">
        <v>15792</v>
      </c>
      <c r="H10019" t="s">
        <v>20522</v>
      </c>
    </row>
    <row r="10020" spans="6:8">
      <c r="H10020" t="s">
        <v>18829</v>
      </c>
    </row>
    <row r="10021" spans="6:8">
      <c r="H10021" t="s">
        <v>18863</v>
      </c>
    </row>
    <row r="10022" spans="6:8">
      <c r="H10022" t="s">
        <v>20454</v>
      </c>
    </row>
    <row r="10023" spans="6:8">
      <c r="H10023" t="s">
        <v>19349</v>
      </c>
    </row>
    <row r="10024" spans="6:8">
      <c r="H10024" t="s">
        <v>20209</v>
      </c>
    </row>
    <row r="10025" spans="6:8">
      <c r="F10025" t="s">
        <v>11552</v>
      </c>
      <c r="G10025" t="s">
        <v>15793</v>
      </c>
      <c r="H10025" t="s">
        <v>20523</v>
      </c>
    </row>
    <row r="10026" spans="6:8">
      <c r="H10026" t="s">
        <v>18829</v>
      </c>
    </row>
    <row r="10027" spans="6:8">
      <c r="H10027" t="s">
        <v>18863</v>
      </c>
    </row>
    <row r="10028" spans="6:8">
      <c r="H10028" t="s">
        <v>20454</v>
      </c>
    </row>
    <row r="10029" spans="6:8">
      <c r="H10029" t="s">
        <v>19349</v>
      </c>
    </row>
    <row r="10030" spans="6:8">
      <c r="H10030" t="s">
        <v>20209</v>
      </c>
    </row>
    <row r="10031" spans="6:8">
      <c r="F10031" t="s">
        <v>11553</v>
      </c>
      <c r="G10031" t="s">
        <v>15794</v>
      </c>
      <c r="H10031" t="s">
        <v>20524</v>
      </c>
    </row>
    <row r="10032" spans="6:8">
      <c r="H10032" t="s">
        <v>18829</v>
      </c>
    </row>
    <row r="10033" spans="6:8">
      <c r="H10033" t="s">
        <v>18863</v>
      </c>
    </row>
    <row r="10034" spans="6:8">
      <c r="H10034" t="s">
        <v>20454</v>
      </c>
    </row>
    <row r="10035" spans="6:8">
      <c r="H10035" t="s">
        <v>19349</v>
      </c>
    </row>
    <row r="10036" spans="6:8">
      <c r="H10036" t="s">
        <v>20209</v>
      </c>
    </row>
    <row r="10037" spans="6:8">
      <c r="F10037" t="s">
        <v>11554</v>
      </c>
      <c r="G10037" t="s">
        <v>15795</v>
      </c>
      <c r="H10037" t="s">
        <v>20525</v>
      </c>
    </row>
    <row r="10038" spans="6:8">
      <c r="H10038" t="s">
        <v>18829</v>
      </c>
    </row>
    <row r="10039" spans="6:8">
      <c r="H10039" t="s">
        <v>18863</v>
      </c>
    </row>
    <row r="10040" spans="6:8">
      <c r="H10040" t="s">
        <v>20454</v>
      </c>
    </row>
    <row r="10041" spans="6:8">
      <c r="H10041" t="s">
        <v>19349</v>
      </c>
    </row>
    <row r="10042" spans="6:8">
      <c r="H10042" t="s">
        <v>20209</v>
      </c>
    </row>
    <row r="10043" spans="6:8">
      <c r="F10043" t="s">
        <v>11555</v>
      </c>
      <c r="G10043" t="s">
        <v>15796</v>
      </c>
      <c r="H10043" t="s">
        <v>20526</v>
      </c>
    </row>
    <row r="10044" spans="6:8">
      <c r="H10044" t="s">
        <v>18829</v>
      </c>
    </row>
    <row r="10045" spans="6:8">
      <c r="H10045" t="s">
        <v>18863</v>
      </c>
    </row>
    <row r="10046" spans="6:8">
      <c r="H10046" t="s">
        <v>20454</v>
      </c>
    </row>
    <row r="10047" spans="6:8">
      <c r="H10047" t="s">
        <v>19349</v>
      </c>
    </row>
    <row r="10048" spans="6:8">
      <c r="H10048" t="s">
        <v>20209</v>
      </c>
    </row>
    <row r="10049" spans="6:8">
      <c r="F10049" t="s">
        <v>11556</v>
      </c>
      <c r="G10049" t="s">
        <v>15797</v>
      </c>
      <c r="H10049" t="s">
        <v>20527</v>
      </c>
    </row>
    <row r="10050" spans="6:8">
      <c r="H10050" t="s">
        <v>18829</v>
      </c>
    </row>
    <row r="10051" spans="6:8">
      <c r="H10051" t="s">
        <v>18863</v>
      </c>
    </row>
    <row r="10052" spans="6:8">
      <c r="H10052" t="s">
        <v>20454</v>
      </c>
    </row>
    <row r="10053" spans="6:8">
      <c r="H10053" t="s">
        <v>19349</v>
      </c>
    </row>
    <row r="10054" spans="6:8">
      <c r="H10054" t="s">
        <v>20209</v>
      </c>
    </row>
    <row r="10055" spans="6:8">
      <c r="F10055" t="s">
        <v>11557</v>
      </c>
      <c r="G10055" t="s">
        <v>15798</v>
      </c>
      <c r="H10055" t="s">
        <v>20528</v>
      </c>
    </row>
    <row r="10056" spans="6:8">
      <c r="H10056" t="s">
        <v>18829</v>
      </c>
    </row>
    <row r="10057" spans="6:8">
      <c r="H10057" t="s">
        <v>18863</v>
      </c>
    </row>
    <row r="10058" spans="6:8">
      <c r="H10058" t="s">
        <v>20454</v>
      </c>
    </row>
    <row r="10059" spans="6:8">
      <c r="H10059" t="s">
        <v>19349</v>
      </c>
    </row>
    <row r="10060" spans="6:8">
      <c r="H10060" t="s">
        <v>20209</v>
      </c>
    </row>
    <row r="10061" spans="6:8">
      <c r="F10061" t="s">
        <v>11558</v>
      </c>
      <c r="G10061" t="s">
        <v>15799</v>
      </c>
      <c r="H10061" t="s">
        <v>20529</v>
      </c>
    </row>
    <row r="10062" spans="6:8">
      <c r="H10062" t="s">
        <v>18829</v>
      </c>
    </row>
    <row r="10063" spans="6:8">
      <c r="H10063" t="s">
        <v>18863</v>
      </c>
    </row>
    <row r="10064" spans="6:8">
      <c r="H10064" t="s">
        <v>20454</v>
      </c>
    </row>
    <row r="10065" spans="6:8">
      <c r="H10065" t="s">
        <v>19349</v>
      </c>
    </row>
    <row r="10066" spans="6:8">
      <c r="H10066" t="s">
        <v>20209</v>
      </c>
    </row>
    <row r="10067" spans="6:8">
      <c r="F10067" t="s">
        <v>11559</v>
      </c>
      <c r="G10067" t="s">
        <v>15800</v>
      </c>
      <c r="H10067" t="s">
        <v>20530</v>
      </c>
    </row>
    <row r="10068" spans="6:8">
      <c r="H10068" t="s">
        <v>18829</v>
      </c>
    </row>
    <row r="10069" spans="6:8">
      <c r="H10069" t="s">
        <v>18863</v>
      </c>
    </row>
    <row r="10070" spans="6:8">
      <c r="H10070" t="s">
        <v>20454</v>
      </c>
    </row>
    <row r="10071" spans="6:8">
      <c r="H10071" t="s">
        <v>19349</v>
      </c>
    </row>
    <row r="10072" spans="6:8">
      <c r="H10072" t="s">
        <v>20209</v>
      </c>
    </row>
    <row r="10073" spans="6:8">
      <c r="F10073" t="s">
        <v>11560</v>
      </c>
      <c r="G10073" t="s">
        <v>15801</v>
      </c>
      <c r="H10073" t="s">
        <v>20531</v>
      </c>
    </row>
    <row r="10074" spans="6:8">
      <c r="H10074" t="s">
        <v>18829</v>
      </c>
    </row>
    <row r="10075" spans="6:8">
      <c r="H10075" t="s">
        <v>18863</v>
      </c>
    </row>
    <row r="10076" spans="6:8">
      <c r="H10076" t="s">
        <v>20454</v>
      </c>
    </row>
    <row r="10077" spans="6:8">
      <c r="H10077" t="s">
        <v>19349</v>
      </c>
    </row>
    <row r="10078" spans="6:8">
      <c r="H10078" t="s">
        <v>20209</v>
      </c>
    </row>
    <row r="10079" spans="6:8">
      <c r="F10079" t="s">
        <v>11561</v>
      </c>
      <c r="G10079" t="s">
        <v>15802</v>
      </c>
      <c r="H10079" t="s">
        <v>20532</v>
      </c>
    </row>
    <row r="10080" spans="6:8">
      <c r="H10080" t="s">
        <v>18829</v>
      </c>
    </row>
    <row r="10081" spans="6:8">
      <c r="H10081" t="s">
        <v>18863</v>
      </c>
    </row>
    <row r="10082" spans="6:8">
      <c r="H10082" t="s">
        <v>20454</v>
      </c>
    </row>
    <row r="10083" spans="6:8">
      <c r="H10083" t="s">
        <v>19349</v>
      </c>
    </row>
    <row r="10084" spans="6:8">
      <c r="H10084" t="s">
        <v>20209</v>
      </c>
    </row>
    <row r="10085" spans="6:8">
      <c r="F10085" t="s">
        <v>11562</v>
      </c>
      <c r="G10085" t="s">
        <v>15803</v>
      </c>
      <c r="H10085" t="s">
        <v>20533</v>
      </c>
    </row>
    <row r="10086" spans="6:8">
      <c r="H10086" t="s">
        <v>18829</v>
      </c>
    </row>
    <row r="10087" spans="6:8">
      <c r="H10087" t="s">
        <v>18863</v>
      </c>
    </row>
    <row r="10088" spans="6:8">
      <c r="H10088" t="s">
        <v>20454</v>
      </c>
    </row>
    <row r="10089" spans="6:8">
      <c r="H10089" t="s">
        <v>19349</v>
      </c>
    </row>
    <row r="10090" spans="6:8">
      <c r="H10090" t="s">
        <v>20209</v>
      </c>
    </row>
    <row r="10091" spans="6:8">
      <c r="F10091" t="s">
        <v>11563</v>
      </c>
      <c r="G10091" t="s">
        <v>15804</v>
      </c>
      <c r="H10091" t="s">
        <v>20534</v>
      </c>
    </row>
    <row r="10092" spans="6:8">
      <c r="H10092" t="s">
        <v>18829</v>
      </c>
    </row>
    <row r="10093" spans="6:8">
      <c r="H10093" t="s">
        <v>18863</v>
      </c>
    </row>
    <row r="10094" spans="6:8">
      <c r="H10094" t="s">
        <v>20454</v>
      </c>
    </row>
    <row r="10095" spans="6:8">
      <c r="H10095" t="s">
        <v>19349</v>
      </c>
    </row>
    <row r="10096" spans="6:8">
      <c r="H10096" t="s">
        <v>20209</v>
      </c>
    </row>
    <row r="10097" spans="6:8">
      <c r="F10097" t="s">
        <v>11564</v>
      </c>
      <c r="G10097" t="s">
        <v>15805</v>
      </c>
      <c r="H10097" t="s">
        <v>20535</v>
      </c>
    </row>
    <row r="10098" spans="6:8">
      <c r="H10098" t="s">
        <v>18829</v>
      </c>
    </row>
    <row r="10099" spans="6:8">
      <c r="H10099" t="s">
        <v>18863</v>
      </c>
    </row>
    <row r="10100" spans="6:8">
      <c r="H10100" t="s">
        <v>20454</v>
      </c>
    </row>
    <row r="10101" spans="6:8">
      <c r="H10101" t="s">
        <v>19349</v>
      </c>
    </row>
    <row r="10102" spans="6:8">
      <c r="H10102" t="s">
        <v>20209</v>
      </c>
    </row>
    <row r="10103" spans="6:8">
      <c r="F10103" t="s">
        <v>11565</v>
      </c>
      <c r="G10103" t="s">
        <v>15806</v>
      </c>
      <c r="H10103" t="s">
        <v>20536</v>
      </c>
    </row>
    <row r="10104" spans="6:8">
      <c r="H10104" t="s">
        <v>18829</v>
      </c>
    </row>
    <row r="10105" spans="6:8">
      <c r="H10105" t="s">
        <v>18863</v>
      </c>
    </row>
    <row r="10106" spans="6:8">
      <c r="H10106" t="s">
        <v>20454</v>
      </c>
    </row>
    <row r="10107" spans="6:8">
      <c r="H10107" t="s">
        <v>19349</v>
      </c>
    </row>
    <row r="10108" spans="6:8">
      <c r="H10108" t="s">
        <v>20209</v>
      </c>
    </row>
    <row r="10109" spans="6:8">
      <c r="F10109" t="s">
        <v>11566</v>
      </c>
      <c r="G10109" t="s">
        <v>15807</v>
      </c>
      <c r="H10109" t="s">
        <v>20537</v>
      </c>
    </row>
    <row r="10110" spans="6:8">
      <c r="H10110" t="s">
        <v>18829</v>
      </c>
    </row>
    <row r="10111" spans="6:8">
      <c r="H10111" t="s">
        <v>18863</v>
      </c>
    </row>
    <row r="10112" spans="6:8">
      <c r="H10112" t="s">
        <v>20454</v>
      </c>
    </row>
    <row r="10113" spans="6:8">
      <c r="H10113" t="s">
        <v>19349</v>
      </c>
    </row>
    <row r="10114" spans="6:8">
      <c r="H10114" t="s">
        <v>20209</v>
      </c>
    </row>
    <row r="10115" spans="6:8">
      <c r="F10115" t="s">
        <v>11567</v>
      </c>
      <c r="G10115" t="s">
        <v>15808</v>
      </c>
      <c r="H10115" t="s">
        <v>20538</v>
      </c>
    </row>
    <row r="10116" spans="6:8">
      <c r="H10116" t="s">
        <v>18829</v>
      </c>
    </row>
    <row r="10117" spans="6:8">
      <c r="H10117" t="s">
        <v>18863</v>
      </c>
    </row>
    <row r="10118" spans="6:8">
      <c r="H10118" t="s">
        <v>20454</v>
      </c>
    </row>
    <row r="10119" spans="6:8">
      <c r="H10119" t="s">
        <v>19349</v>
      </c>
    </row>
    <row r="10120" spans="6:8">
      <c r="H10120" t="s">
        <v>20209</v>
      </c>
    </row>
    <row r="10121" spans="6:8">
      <c r="F10121" t="s">
        <v>11568</v>
      </c>
      <c r="G10121" t="s">
        <v>15809</v>
      </c>
      <c r="H10121" t="s">
        <v>20539</v>
      </c>
    </row>
    <row r="10122" spans="6:8">
      <c r="H10122" t="s">
        <v>18829</v>
      </c>
    </row>
    <row r="10123" spans="6:8">
      <c r="H10123" t="s">
        <v>18863</v>
      </c>
    </row>
    <row r="10124" spans="6:8">
      <c r="H10124" t="s">
        <v>20454</v>
      </c>
    </row>
    <row r="10125" spans="6:8">
      <c r="H10125" t="s">
        <v>19349</v>
      </c>
    </row>
    <row r="10126" spans="6:8">
      <c r="H10126" t="s">
        <v>20209</v>
      </c>
    </row>
    <row r="10127" spans="6:8">
      <c r="F10127" t="s">
        <v>11569</v>
      </c>
      <c r="G10127" t="s">
        <v>15810</v>
      </c>
      <c r="H10127" t="s">
        <v>20540</v>
      </c>
    </row>
    <row r="10128" spans="6:8">
      <c r="H10128" t="s">
        <v>18829</v>
      </c>
    </row>
    <row r="10129" spans="6:8">
      <c r="H10129" t="s">
        <v>18863</v>
      </c>
    </row>
    <row r="10130" spans="6:8">
      <c r="H10130" t="s">
        <v>20454</v>
      </c>
    </row>
    <row r="10131" spans="6:8">
      <c r="H10131" t="s">
        <v>19349</v>
      </c>
    </row>
    <row r="10132" spans="6:8">
      <c r="H10132" t="s">
        <v>20209</v>
      </c>
    </row>
    <row r="10133" spans="6:8">
      <c r="F10133" t="s">
        <v>11570</v>
      </c>
      <c r="G10133" t="s">
        <v>15811</v>
      </c>
      <c r="H10133" t="s">
        <v>20541</v>
      </c>
    </row>
    <row r="10134" spans="6:8">
      <c r="H10134" t="s">
        <v>18829</v>
      </c>
    </row>
    <row r="10135" spans="6:8">
      <c r="H10135" t="s">
        <v>18863</v>
      </c>
    </row>
    <row r="10136" spans="6:8">
      <c r="H10136" t="s">
        <v>20454</v>
      </c>
    </row>
    <row r="10137" spans="6:8">
      <c r="H10137" t="s">
        <v>19349</v>
      </c>
    </row>
    <row r="10138" spans="6:8">
      <c r="H10138" t="s">
        <v>20209</v>
      </c>
    </row>
    <row r="10139" spans="6:8">
      <c r="F10139" t="s">
        <v>11571</v>
      </c>
      <c r="G10139" t="s">
        <v>15812</v>
      </c>
      <c r="H10139" t="s">
        <v>20542</v>
      </c>
    </row>
    <row r="10140" spans="6:8">
      <c r="H10140" t="s">
        <v>18829</v>
      </c>
    </row>
    <row r="10141" spans="6:8">
      <c r="H10141" t="s">
        <v>18863</v>
      </c>
    </row>
    <row r="10142" spans="6:8">
      <c r="H10142" t="s">
        <v>20454</v>
      </c>
    </row>
    <row r="10143" spans="6:8">
      <c r="H10143" t="s">
        <v>19349</v>
      </c>
    </row>
    <row r="10144" spans="6:8">
      <c r="H10144" t="s">
        <v>20209</v>
      </c>
    </row>
    <row r="10145" spans="6:8">
      <c r="F10145" t="s">
        <v>11572</v>
      </c>
      <c r="G10145" t="s">
        <v>15813</v>
      </c>
      <c r="H10145" t="s">
        <v>20543</v>
      </c>
    </row>
    <row r="10146" spans="6:8">
      <c r="H10146" t="s">
        <v>18829</v>
      </c>
    </row>
    <row r="10147" spans="6:8">
      <c r="H10147" t="s">
        <v>18863</v>
      </c>
    </row>
    <row r="10148" spans="6:8">
      <c r="H10148" t="s">
        <v>20454</v>
      </c>
    </row>
    <row r="10149" spans="6:8">
      <c r="H10149" t="s">
        <v>19349</v>
      </c>
    </row>
    <row r="10150" spans="6:8">
      <c r="H10150" t="s">
        <v>20209</v>
      </c>
    </row>
    <row r="10151" spans="6:8">
      <c r="F10151" t="s">
        <v>11573</v>
      </c>
      <c r="G10151" t="s">
        <v>15814</v>
      </c>
      <c r="H10151" t="s">
        <v>20544</v>
      </c>
    </row>
    <row r="10152" spans="6:8">
      <c r="H10152" t="s">
        <v>18829</v>
      </c>
    </row>
    <row r="10153" spans="6:8">
      <c r="H10153" t="s">
        <v>18863</v>
      </c>
    </row>
    <row r="10154" spans="6:8">
      <c r="H10154" t="s">
        <v>20454</v>
      </c>
    </row>
    <row r="10155" spans="6:8">
      <c r="H10155" t="s">
        <v>19349</v>
      </c>
    </row>
    <row r="10156" spans="6:8">
      <c r="H10156" t="s">
        <v>20209</v>
      </c>
    </row>
    <row r="10157" spans="6:8">
      <c r="F10157" t="s">
        <v>11574</v>
      </c>
      <c r="G10157" t="s">
        <v>15815</v>
      </c>
      <c r="H10157" t="s">
        <v>20545</v>
      </c>
    </row>
    <row r="10158" spans="6:8">
      <c r="H10158" t="s">
        <v>18829</v>
      </c>
    </row>
    <row r="10159" spans="6:8">
      <c r="H10159" t="s">
        <v>18863</v>
      </c>
    </row>
    <row r="10160" spans="6:8">
      <c r="H10160" t="s">
        <v>20454</v>
      </c>
    </row>
    <row r="10161" spans="6:8">
      <c r="H10161" t="s">
        <v>19349</v>
      </c>
    </row>
    <row r="10162" spans="6:8">
      <c r="H10162" t="s">
        <v>20209</v>
      </c>
    </row>
    <row r="10163" spans="6:8">
      <c r="F10163" t="s">
        <v>11575</v>
      </c>
      <c r="G10163" t="s">
        <v>15816</v>
      </c>
      <c r="H10163" t="s">
        <v>20546</v>
      </c>
    </row>
    <row r="10164" spans="6:8">
      <c r="H10164" t="s">
        <v>18829</v>
      </c>
    </row>
    <row r="10165" spans="6:8">
      <c r="H10165" t="s">
        <v>18863</v>
      </c>
    </row>
    <row r="10166" spans="6:8">
      <c r="H10166" t="s">
        <v>20454</v>
      </c>
    </row>
    <row r="10167" spans="6:8">
      <c r="H10167" t="s">
        <v>19349</v>
      </c>
    </row>
    <row r="10168" spans="6:8">
      <c r="H10168" t="s">
        <v>20209</v>
      </c>
    </row>
    <row r="10169" spans="6:8">
      <c r="F10169" t="s">
        <v>11576</v>
      </c>
      <c r="G10169" t="s">
        <v>15817</v>
      </c>
      <c r="H10169" t="s">
        <v>20547</v>
      </c>
    </row>
    <row r="10170" spans="6:8">
      <c r="H10170" t="s">
        <v>18829</v>
      </c>
    </row>
    <row r="10171" spans="6:8">
      <c r="H10171" t="s">
        <v>18863</v>
      </c>
    </row>
    <row r="10172" spans="6:8">
      <c r="H10172" t="s">
        <v>20454</v>
      </c>
    </row>
    <row r="10173" spans="6:8">
      <c r="H10173" t="s">
        <v>19349</v>
      </c>
    </row>
    <row r="10174" spans="6:8">
      <c r="H10174" t="s">
        <v>20209</v>
      </c>
    </row>
    <row r="10175" spans="6:8">
      <c r="F10175" t="s">
        <v>11577</v>
      </c>
      <c r="G10175" t="s">
        <v>15818</v>
      </c>
      <c r="H10175" t="s">
        <v>20548</v>
      </c>
    </row>
    <row r="10176" spans="6:8">
      <c r="H10176" t="s">
        <v>18829</v>
      </c>
    </row>
    <row r="10177" spans="6:8">
      <c r="H10177" t="s">
        <v>18863</v>
      </c>
    </row>
    <row r="10178" spans="6:8">
      <c r="H10178" t="s">
        <v>20454</v>
      </c>
    </row>
    <row r="10179" spans="6:8">
      <c r="H10179" t="s">
        <v>19349</v>
      </c>
    </row>
    <row r="10180" spans="6:8">
      <c r="H10180" t="s">
        <v>20209</v>
      </c>
    </row>
    <row r="10181" spans="6:8">
      <c r="F10181" t="s">
        <v>11578</v>
      </c>
      <c r="G10181" t="s">
        <v>15819</v>
      </c>
      <c r="H10181" t="s">
        <v>20549</v>
      </c>
    </row>
    <row r="10182" spans="6:8">
      <c r="H10182" t="s">
        <v>18829</v>
      </c>
    </row>
    <row r="10183" spans="6:8">
      <c r="H10183" t="s">
        <v>18863</v>
      </c>
    </row>
    <row r="10184" spans="6:8">
      <c r="H10184" t="s">
        <v>20454</v>
      </c>
    </row>
    <row r="10185" spans="6:8">
      <c r="H10185" t="s">
        <v>19349</v>
      </c>
    </row>
    <row r="10186" spans="6:8">
      <c r="H10186" t="s">
        <v>20209</v>
      </c>
    </row>
    <row r="10187" spans="6:8">
      <c r="F10187" t="s">
        <v>11579</v>
      </c>
      <c r="G10187" t="s">
        <v>15820</v>
      </c>
      <c r="H10187" t="s">
        <v>20550</v>
      </c>
    </row>
    <row r="10188" spans="6:8">
      <c r="H10188" t="s">
        <v>18829</v>
      </c>
    </row>
    <row r="10189" spans="6:8">
      <c r="H10189" t="s">
        <v>18863</v>
      </c>
    </row>
    <row r="10190" spans="6:8">
      <c r="H10190" t="s">
        <v>20454</v>
      </c>
    </row>
    <row r="10191" spans="6:8">
      <c r="H10191" t="s">
        <v>19349</v>
      </c>
    </row>
    <row r="10192" spans="6:8">
      <c r="H10192" t="s">
        <v>20209</v>
      </c>
    </row>
    <row r="10193" spans="6:8">
      <c r="F10193" t="s">
        <v>11580</v>
      </c>
      <c r="G10193" t="s">
        <v>15821</v>
      </c>
      <c r="H10193" t="s">
        <v>20551</v>
      </c>
    </row>
    <row r="10194" spans="6:8">
      <c r="H10194" t="s">
        <v>18829</v>
      </c>
    </row>
    <row r="10195" spans="6:8">
      <c r="H10195" t="s">
        <v>18863</v>
      </c>
    </row>
    <row r="10196" spans="6:8">
      <c r="H10196" t="s">
        <v>20454</v>
      </c>
    </row>
    <row r="10197" spans="6:8">
      <c r="H10197" t="s">
        <v>19349</v>
      </c>
    </row>
    <row r="10198" spans="6:8">
      <c r="H10198" t="s">
        <v>20209</v>
      </c>
    </row>
    <row r="10199" spans="6:8">
      <c r="F10199" t="s">
        <v>11581</v>
      </c>
      <c r="G10199" t="s">
        <v>15822</v>
      </c>
      <c r="H10199" t="s">
        <v>20552</v>
      </c>
    </row>
    <row r="10200" spans="6:8">
      <c r="H10200" t="s">
        <v>18829</v>
      </c>
    </row>
    <row r="10201" spans="6:8">
      <c r="H10201" t="s">
        <v>18863</v>
      </c>
    </row>
    <row r="10202" spans="6:8">
      <c r="H10202" t="s">
        <v>20454</v>
      </c>
    </row>
    <row r="10203" spans="6:8">
      <c r="H10203" t="s">
        <v>19349</v>
      </c>
    </row>
    <row r="10204" spans="6:8">
      <c r="H10204" t="s">
        <v>20209</v>
      </c>
    </row>
    <row r="10205" spans="6:8">
      <c r="F10205" t="s">
        <v>11582</v>
      </c>
      <c r="G10205" t="s">
        <v>15823</v>
      </c>
      <c r="H10205" t="s">
        <v>20553</v>
      </c>
    </row>
    <row r="10206" spans="6:8">
      <c r="H10206" t="s">
        <v>18829</v>
      </c>
    </row>
    <row r="10207" spans="6:8">
      <c r="H10207" t="s">
        <v>18863</v>
      </c>
    </row>
    <row r="10208" spans="6:8">
      <c r="H10208" t="s">
        <v>20454</v>
      </c>
    </row>
    <row r="10209" spans="6:8">
      <c r="H10209" t="s">
        <v>19349</v>
      </c>
    </row>
    <row r="10210" spans="6:8">
      <c r="H10210" t="s">
        <v>20209</v>
      </c>
    </row>
    <row r="10211" spans="6:8">
      <c r="F10211" t="s">
        <v>11583</v>
      </c>
      <c r="G10211" t="s">
        <v>15824</v>
      </c>
      <c r="H10211" t="s">
        <v>20554</v>
      </c>
    </row>
    <row r="10212" spans="6:8">
      <c r="H10212" t="s">
        <v>18829</v>
      </c>
    </row>
    <row r="10213" spans="6:8">
      <c r="H10213" t="s">
        <v>18863</v>
      </c>
    </row>
    <row r="10214" spans="6:8">
      <c r="H10214" t="s">
        <v>20454</v>
      </c>
    </row>
    <row r="10215" spans="6:8">
      <c r="H10215" t="s">
        <v>19349</v>
      </c>
    </row>
    <row r="10216" spans="6:8">
      <c r="H10216" t="s">
        <v>20209</v>
      </c>
    </row>
    <row r="10217" spans="6:8">
      <c r="F10217" t="s">
        <v>11584</v>
      </c>
      <c r="G10217" t="s">
        <v>15825</v>
      </c>
      <c r="H10217" t="s">
        <v>20555</v>
      </c>
    </row>
    <row r="10218" spans="6:8">
      <c r="H10218" t="s">
        <v>18829</v>
      </c>
    </row>
    <row r="10219" spans="6:8">
      <c r="H10219" t="s">
        <v>18863</v>
      </c>
    </row>
    <row r="10220" spans="6:8">
      <c r="H10220" t="s">
        <v>20454</v>
      </c>
    </row>
    <row r="10221" spans="6:8">
      <c r="H10221" t="s">
        <v>19349</v>
      </c>
    </row>
    <row r="10222" spans="6:8">
      <c r="H10222" t="s">
        <v>20209</v>
      </c>
    </row>
    <row r="10223" spans="6:8">
      <c r="F10223" t="s">
        <v>11585</v>
      </c>
      <c r="G10223" t="s">
        <v>15826</v>
      </c>
      <c r="H10223" t="s">
        <v>20556</v>
      </c>
    </row>
    <row r="10224" spans="6:8">
      <c r="H10224" t="s">
        <v>18829</v>
      </c>
    </row>
    <row r="10225" spans="6:8">
      <c r="H10225" t="s">
        <v>18863</v>
      </c>
    </row>
    <row r="10226" spans="6:8">
      <c r="H10226" t="s">
        <v>20454</v>
      </c>
    </row>
    <row r="10227" spans="6:8">
      <c r="H10227" t="s">
        <v>19349</v>
      </c>
    </row>
    <row r="10228" spans="6:8">
      <c r="H10228" t="s">
        <v>20209</v>
      </c>
    </row>
    <row r="10229" spans="6:8">
      <c r="F10229" t="s">
        <v>11586</v>
      </c>
      <c r="G10229" t="s">
        <v>15827</v>
      </c>
      <c r="H10229" t="s">
        <v>20557</v>
      </c>
    </row>
    <row r="10230" spans="6:8">
      <c r="H10230" t="s">
        <v>18829</v>
      </c>
    </row>
    <row r="10231" spans="6:8">
      <c r="H10231" t="s">
        <v>18863</v>
      </c>
    </row>
    <row r="10232" spans="6:8">
      <c r="H10232" t="s">
        <v>20454</v>
      </c>
    </row>
    <row r="10233" spans="6:8">
      <c r="H10233" t="s">
        <v>19349</v>
      </c>
    </row>
    <row r="10234" spans="6:8">
      <c r="H10234" t="s">
        <v>20209</v>
      </c>
    </row>
    <row r="10235" spans="6:8">
      <c r="F10235" t="s">
        <v>11587</v>
      </c>
      <c r="G10235" t="s">
        <v>15828</v>
      </c>
      <c r="H10235" t="s">
        <v>20558</v>
      </c>
    </row>
    <row r="10236" spans="6:8">
      <c r="H10236" t="s">
        <v>18829</v>
      </c>
    </row>
    <row r="10237" spans="6:8">
      <c r="H10237" t="s">
        <v>18863</v>
      </c>
    </row>
    <row r="10238" spans="6:8">
      <c r="H10238" t="s">
        <v>20454</v>
      </c>
    </row>
    <row r="10239" spans="6:8">
      <c r="H10239" t="s">
        <v>19349</v>
      </c>
    </row>
    <row r="10240" spans="6:8">
      <c r="H10240" t="s">
        <v>20209</v>
      </c>
    </row>
    <row r="10241" spans="6:8">
      <c r="F10241" t="s">
        <v>11588</v>
      </c>
      <c r="G10241" t="s">
        <v>15829</v>
      </c>
      <c r="H10241" t="s">
        <v>20559</v>
      </c>
    </row>
    <row r="10242" spans="6:8">
      <c r="H10242" t="s">
        <v>18829</v>
      </c>
    </row>
    <row r="10243" spans="6:8">
      <c r="H10243" t="s">
        <v>18863</v>
      </c>
    </row>
    <row r="10244" spans="6:8">
      <c r="H10244" t="s">
        <v>20454</v>
      </c>
    </row>
    <row r="10245" spans="6:8">
      <c r="H10245" t="s">
        <v>19349</v>
      </c>
    </row>
    <row r="10246" spans="6:8">
      <c r="H10246" t="s">
        <v>20209</v>
      </c>
    </row>
    <row r="10247" spans="6:8">
      <c r="F10247" t="s">
        <v>11589</v>
      </c>
      <c r="G10247" t="s">
        <v>15830</v>
      </c>
      <c r="H10247" t="s">
        <v>20560</v>
      </c>
    </row>
    <row r="10248" spans="6:8">
      <c r="H10248" t="s">
        <v>18829</v>
      </c>
    </row>
    <row r="10249" spans="6:8">
      <c r="H10249" t="s">
        <v>18863</v>
      </c>
    </row>
    <row r="10250" spans="6:8">
      <c r="H10250" t="s">
        <v>20454</v>
      </c>
    </row>
    <row r="10251" spans="6:8">
      <c r="H10251" t="s">
        <v>19349</v>
      </c>
    </row>
    <row r="10252" spans="6:8">
      <c r="H10252" t="s">
        <v>20209</v>
      </c>
    </row>
    <row r="10253" spans="6:8">
      <c r="F10253" t="s">
        <v>11590</v>
      </c>
      <c r="G10253" t="s">
        <v>15831</v>
      </c>
      <c r="H10253" t="s">
        <v>20561</v>
      </c>
    </row>
    <row r="10254" spans="6:8">
      <c r="H10254" t="s">
        <v>18829</v>
      </c>
    </row>
    <row r="10255" spans="6:8">
      <c r="H10255" t="s">
        <v>18863</v>
      </c>
    </row>
    <row r="10256" spans="6:8">
      <c r="H10256" t="s">
        <v>20454</v>
      </c>
    </row>
    <row r="10257" spans="6:8">
      <c r="H10257" t="s">
        <v>19349</v>
      </c>
    </row>
    <row r="10258" spans="6:8">
      <c r="H10258" t="s">
        <v>20209</v>
      </c>
    </row>
    <row r="10259" spans="6:8">
      <c r="F10259" t="s">
        <v>11591</v>
      </c>
      <c r="G10259" t="s">
        <v>15832</v>
      </c>
      <c r="H10259" t="s">
        <v>20562</v>
      </c>
    </row>
    <row r="10260" spans="6:8">
      <c r="H10260" t="s">
        <v>18829</v>
      </c>
    </row>
    <row r="10261" spans="6:8">
      <c r="H10261" t="s">
        <v>18863</v>
      </c>
    </row>
    <row r="10262" spans="6:8">
      <c r="H10262" t="s">
        <v>20454</v>
      </c>
    </row>
    <row r="10263" spans="6:8">
      <c r="H10263" t="s">
        <v>19349</v>
      </c>
    </row>
    <row r="10264" spans="6:8">
      <c r="H10264" t="s">
        <v>20209</v>
      </c>
    </row>
    <row r="10265" spans="6:8">
      <c r="F10265" t="s">
        <v>11592</v>
      </c>
      <c r="G10265" t="s">
        <v>15833</v>
      </c>
      <c r="H10265" t="s">
        <v>20563</v>
      </c>
    </row>
    <row r="10266" spans="6:8">
      <c r="H10266" t="s">
        <v>18829</v>
      </c>
    </row>
    <row r="10267" spans="6:8">
      <c r="H10267" t="s">
        <v>18863</v>
      </c>
    </row>
    <row r="10268" spans="6:8">
      <c r="H10268" t="s">
        <v>20454</v>
      </c>
    </row>
    <row r="10269" spans="6:8">
      <c r="H10269" t="s">
        <v>19349</v>
      </c>
    </row>
    <row r="10270" spans="6:8">
      <c r="H10270" t="s">
        <v>20209</v>
      </c>
    </row>
    <row r="10271" spans="6:8">
      <c r="F10271" t="s">
        <v>11593</v>
      </c>
      <c r="G10271" t="s">
        <v>15834</v>
      </c>
      <c r="H10271" t="s">
        <v>20564</v>
      </c>
    </row>
    <row r="10272" spans="6:8">
      <c r="H10272" t="s">
        <v>18829</v>
      </c>
    </row>
    <row r="10273" spans="6:8">
      <c r="H10273" t="s">
        <v>18863</v>
      </c>
    </row>
    <row r="10274" spans="6:8">
      <c r="H10274" t="s">
        <v>20454</v>
      </c>
    </row>
    <row r="10275" spans="6:8">
      <c r="H10275" t="s">
        <v>19349</v>
      </c>
    </row>
    <row r="10276" spans="6:8">
      <c r="H10276" t="s">
        <v>20209</v>
      </c>
    </row>
    <row r="10277" spans="6:8">
      <c r="F10277" t="s">
        <v>11594</v>
      </c>
      <c r="G10277" t="s">
        <v>15835</v>
      </c>
      <c r="H10277" t="s">
        <v>20565</v>
      </c>
    </row>
    <row r="10278" spans="6:8">
      <c r="H10278" t="s">
        <v>18829</v>
      </c>
    </row>
    <row r="10279" spans="6:8">
      <c r="H10279" t="s">
        <v>18863</v>
      </c>
    </row>
    <row r="10280" spans="6:8">
      <c r="H10280" t="s">
        <v>20454</v>
      </c>
    </row>
    <row r="10281" spans="6:8">
      <c r="H10281" t="s">
        <v>19349</v>
      </c>
    </row>
    <row r="10282" spans="6:8">
      <c r="H10282" t="s">
        <v>20209</v>
      </c>
    </row>
    <row r="10283" spans="6:8">
      <c r="F10283" t="s">
        <v>11595</v>
      </c>
      <c r="G10283" t="s">
        <v>15836</v>
      </c>
      <c r="H10283" t="s">
        <v>20566</v>
      </c>
    </row>
    <row r="10284" spans="6:8">
      <c r="H10284" t="s">
        <v>18829</v>
      </c>
    </row>
    <row r="10285" spans="6:8">
      <c r="H10285" t="s">
        <v>18863</v>
      </c>
    </row>
    <row r="10286" spans="6:8">
      <c r="H10286" t="s">
        <v>20454</v>
      </c>
    </row>
    <row r="10287" spans="6:8">
      <c r="H10287" t="s">
        <v>19349</v>
      </c>
    </row>
    <row r="10288" spans="6:8">
      <c r="H10288" t="s">
        <v>20209</v>
      </c>
    </row>
    <row r="10289" spans="6:8">
      <c r="F10289" t="s">
        <v>11596</v>
      </c>
      <c r="G10289" t="s">
        <v>15837</v>
      </c>
      <c r="H10289" t="s">
        <v>20567</v>
      </c>
    </row>
    <row r="10290" spans="6:8">
      <c r="H10290" t="s">
        <v>18829</v>
      </c>
    </row>
    <row r="10291" spans="6:8">
      <c r="H10291" t="s">
        <v>18863</v>
      </c>
    </row>
    <row r="10292" spans="6:8">
      <c r="H10292" t="s">
        <v>20454</v>
      </c>
    </row>
    <row r="10293" spans="6:8">
      <c r="H10293" t="s">
        <v>19349</v>
      </c>
    </row>
    <row r="10294" spans="6:8">
      <c r="H10294" t="s">
        <v>20209</v>
      </c>
    </row>
    <row r="10295" spans="6:8">
      <c r="F10295" t="s">
        <v>11597</v>
      </c>
      <c r="G10295" t="s">
        <v>15838</v>
      </c>
      <c r="H10295" t="s">
        <v>20568</v>
      </c>
    </row>
    <row r="10296" spans="6:8">
      <c r="H10296" t="s">
        <v>18829</v>
      </c>
    </row>
    <row r="10297" spans="6:8">
      <c r="H10297" t="s">
        <v>18863</v>
      </c>
    </row>
    <row r="10298" spans="6:8">
      <c r="H10298" t="s">
        <v>20454</v>
      </c>
    </row>
    <row r="10299" spans="6:8">
      <c r="H10299" t="s">
        <v>19349</v>
      </c>
    </row>
    <row r="10300" spans="6:8">
      <c r="H10300" t="s">
        <v>20209</v>
      </c>
    </row>
    <row r="10301" spans="6:8">
      <c r="F10301" t="s">
        <v>11598</v>
      </c>
      <c r="G10301" t="s">
        <v>15839</v>
      </c>
      <c r="H10301" t="s">
        <v>20569</v>
      </c>
    </row>
    <row r="10302" spans="6:8">
      <c r="H10302" t="s">
        <v>18829</v>
      </c>
    </row>
    <row r="10303" spans="6:8">
      <c r="H10303" t="s">
        <v>18863</v>
      </c>
    </row>
    <row r="10304" spans="6:8">
      <c r="H10304" t="s">
        <v>20454</v>
      </c>
    </row>
    <row r="10305" spans="6:8">
      <c r="H10305" t="s">
        <v>19349</v>
      </c>
    </row>
    <row r="10306" spans="6:8">
      <c r="H10306" t="s">
        <v>20209</v>
      </c>
    </row>
    <row r="10307" spans="6:8">
      <c r="F10307" t="s">
        <v>11599</v>
      </c>
      <c r="G10307" t="s">
        <v>15840</v>
      </c>
      <c r="H10307" t="s">
        <v>20570</v>
      </c>
    </row>
    <row r="10308" spans="6:8">
      <c r="H10308" t="s">
        <v>18829</v>
      </c>
    </row>
    <row r="10309" spans="6:8">
      <c r="H10309" t="s">
        <v>18863</v>
      </c>
    </row>
    <row r="10310" spans="6:8">
      <c r="H10310" t="s">
        <v>20454</v>
      </c>
    </row>
    <row r="10311" spans="6:8">
      <c r="H10311" t="s">
        <v>19349</v>
      </c>
    </row>
    <row r="10312" spans="6:8">
      <c r="H10312" t="s">
        <v>20209</v>
      </c>
    </row>
    <row r="10313" spans="6:8">
      <c r="F10313" t="s">
        <v>11600</v>
      </c>
      <c r="G10313" t="s">
        <v>15841</v>
      </c>
      <c r="H10313" t="s">
        <v>20571</v>
      </c>
    </row>
    <row r="10314" spans="6:8">
      <c r="H10314" t="s">
        <v>18829</v>
      </c>
    </row>
    <row r="10315" spans="6:8">
      <c r="H10315" t="s">
        <v>18863</v>
      </c>
    </row>
    <row r="10316" spans="6:8">
      <c r="H10316" t="s">
        <v>20454</v>
      </c>
    </row>
    <row r="10317" spans="6:8">
      <c r="H10317" t="s">
        <v>19349</v>
      </c>
    </row>
    <row r="10318" spans="6:8">
      <c r="H10318" t="s">
        <v>20209</v>
      </c>
    </row>
    <row r="10319" spans="6:8">
      <c r="F10319" t="s">
        <v>11601</v>
      </c>
      <c r="G10319" t="s">
        <v>15842</v>
      </c>
      <c r="H10319" t="s">
        <v>20572</v>
      </c>
    </row>
    <row r="10320" spans="6:8">
      <c r="H10320" t="s">
        <v>18829</v>
      </c>
    </row>
    <row r="10321" spans="6:8">
      <c r="H10321" t="s">
        <v>18863</v>
      </c>
    </row>
    <row r="10322" spans="6:8">
      <c r="H10322" t="s">
        <v>20454</v>
      </c>
    </row>
    <row r="10323" spans="6:8">
      <c r="H10323" t="s">
        <v>19349</v>
      </c>
    </row>
    <row r="10324" spans="6:8">
      <c r="H10324" t="s">
        <v>20209</v>
      </c>
    </row>
    <row r="10325" spans="6:8">
      <c r="F10325" t="s">
        <v>11602</v>
      </c>
      <c r="G10325" t="s">
        <v>15843</v>
      </c>
      <c r="H10325" t="s">
        <v>20573</v>
      </c>
    </row>
    <row r="10326" spans="6:8">
      <c r="H10326" t="s">
        <v>18829</v>
      </c>
    </row>
    <row r="10327" spans="6:8">
      <c r="H10327" t="s">
        <v>18863</v>
      </c>
    </row>
    <row r="10328" spans="6:8">
      <c r="H10328" t="s">
        <v>20454</v>
      </c>
    </row>
    <row r="10329" spans="6:8">
      <c r="H10329" t="s">
        <v>19349</v>
      </c>
    </row>
    <row r="10330" spans="6:8">
      <c r="H10330" t="s">
        <v>20209</v>
      </c>
    </row>
    <row r="10331" spans="6:8">
      <c r="F10331" t="s">
        <v>11603</v>
      </c>
      <c r="G10331" t="s">
        <v>15844</v>
      </c>
      <c r="H10331" t="s">
        <v>20574</v>
      </c>
    </row>
    <row r="10332" spans="6:8">
      <c r="H10332" t="s">
        <v>18829</v>
      </c>
    </row>
    <row r="10333" spans="6:8">
      <c r="H10333" t="s">
        <v>18863</v>
      </c>
    </row>
    <row r="10334" spans="6:8">
      <c r="H10334" t="s">
        <v>20454</v>
      </c>
    </row>
    <row r="10335" spans="6:8">
      <c r="H10335" t="s">
        <v>19349</v>
      </c>
    </row>
    <row r="10336" spans="6:8">
      <c r="H10336" t="s">
        <v>20209</v>
      </c>
    </row>
    <row r="10337" spans="6:8">
      <c r="F10337" t="s">
        <v>11604</v>
      </c>
      <c r="G10337" t="s">
        <v>15845</v>
      </c>
      <c r="H10337" t="s">
        <v>20575</v>
      </c>
    </row>
    <row r="10338" spans="6:8">
      <c r="H10338" t="s">
        <v>18829</v>
      </c>
    </row>
    <row r="10339" spans="6:8">
      <c r="H10339" t="s">
        <v>18863</v>
      </c>
    </row>
    <row r="10340" spans="6:8">
      <c r="H10340" t="s">
        <v>20454</v>
      </c>
    </row>
    <row r="10341" spans="6:8">
      <c r="H10341" t="s">
        <v>19349</v>
      </c>
    </row>
    <row r="10342" spans="6:8">
      <c r="H10342" t="s">
        <v>20209</v>
      </c>
    </row>
    <row r="10343" spans="6:8">
      <c r="F10343" t="s">
        <v>11605</v>
      </c>
      <c r="G10343" t="s">
        <v>15846</v>
      </c>
      <c r="H10343" t="s">
        <v>20576</v>
      </c>
    </row>
    <row r="10344" spans="6:8">
      <c r="H10344" t="s">
        <v>18829</v>
      </c>
    </row>
    <row r="10345" spans="6:8">
      <c r="H10345" t="s">
        <v>18863</v>
      </c>
    </row>
    <row r="10346" spans="6:8">
      <c r="H10346" t="s">
        <v>20454</v>
      </c>
    </row>
    <row r="10347" spans="6:8">
      <c r="H10347" t="s">
        <v>19349</v>
      </c>
    </row>
    <row r="10348" spans="6:8">
      <c r="H10348" t="s">
        <v>20209</v>
      </c>
    </row>
    <row r="10349" spans="6:8">
      <c r="F10349" t="s">
        <v>11606</v>
      </c>
      <c r="G10349" t="s">
        <v>15847</v>
      </c>
      <c r="H10349" t="s">
        <v>20577</v>
      </c>
    </row>
    <row r="10350" spans="6:8">
      <c r="H10350" t="s">
        <v>18829</v>
      </c>
    </row>
    <row r="10351" spans="6:8">
      <c r="H10351" t="s">
        <v>18863</v>
      </c>
    </row>
    <row r="10352" spans="6:8">
      <c r="H10352" t="s">
        <v>20454</v>
      </c>
    </row>
    <row r="10353" spans="6:8">
      <c r="H10353" t="s">
        <v>19349</v>
      </c>
    </row>
    <row r="10354" spans="6:8">
      <c r="H10354" t="s">
        <v>20209</v>
      </c>
    </row>
    <row r="10355" spans="6:8">
      <c r="F10355" t="s">
        <v>11607</v>
      </c>
      <c r="G10355" t="s">
        <v>15848</v>
      </c>
      <c r="H10355" t="s">
        <v>20578</v>
      </c>
    </row>
    <row r="10356" spans="6:8">
      <c r="H10356" t="s">
        <v>18829</v>
      </c>
    </row>
    <row r="10357" spans="6:8">
      <c r="H10357" t="s">
        <v>18863</v>
      </c>
    </row>
    <row r="10358" spans="6:8">
      <c r="H10358" t="s">
        <v>20454</v>
      </c>
    </row>
    <row r="10359" spans="6:8">
      <c r="H10359" t="s">
        <v>19349</v>
      </c>
    </row>
    <row r="10360" spans="6:8">
      <c r="H10360" t="s">
        <v>20209</v>
      </c>
    </row>
    <row r="10361" spans="6:8">
      <c r="F10361" t="s">
        <v>11608</v>
      </c>
      <c r="G10361" t="s">
        <v>15849</v>
      </c>
      <c r="H10361" t="s">
        <v>20579</v>
      </c>
    </row>
    <row r="10362" spans="6:8">
      <c r="H10362" t="s">
        <v>18829</v>
      </c>
    </row>
    <row r="10363" spans="6:8">
      <c r="H10363" t="s">
        <v>18863</v>
      </c>
    </row>
    <row r="10364" spans="6:8">
      <c r="H10364" t="s">
        <v>20454</v>
      </c>
    </row>
    <row r="10365" spans="6:8">
      <c r="H10365" t="s">
        <v>19349</v>
      </c>
    </row>
    <row r="10366" spans="6:8">
      <c r="H10366" t="s">
        <v>20209</v>
      </c>
    </row>
    <row r="10367" spans="6:8">
      <c r="F10367" t="s">
        <v>11609</v>
      </c>
      <c r="G10367" t="s">
        <v>15850</v>
      </c>
      <c r="H10367" t="s">
        <v>20580</v>
      </c>
    </row>
    <row r="10368" spans="6:8">
      <c r="H10368" t="s">
        <v>18829</v>
      </c>
    </row>
    <row r="10369" spans="6:8">
      <c r="H10369" t="s">
        <v>18863</v>
      </c>
    </row>
    <row r="10370" spans="6:8">
      <c r="H10370" t="s">
        <v>20454</v>
      </c>
    </row>
    <row r="10371" spans="6:8">
      <c r="H10371" t="s">
        <v>19349</v>
      </c>
    </row>
    <row r="10372" spans="6:8">
      <c r="H10372" t="s">
        <v>20209</v>
      </c>
    </row>
    <row r="10373" spans="6:8">
      <c r="F10373" t="s">
        <v>11610</v>
      </c>
      <c r="G10373" t="s">
        <v>15851</v>
      </c>
      <c r="H10373" t="s">
        <v>20581</v>
      </c>
    </row>
    <row r="10374" spans="6:8">
      <c r="H10374" t="s">
        <v>18829</v>
      </c>
    </row>
    <row r="10375" spans="6:8">
      <c r="H10375" t="s">
        <v>18863</v>
      </c>
    </row>
    <row r="10376" spans="6:8">
      <c r="H10376" t="s">
        <v>20454</v>
      </c>
    </row>
    <row r="10377" spans="6:8">
      <c r="H10377" t="s">
        <v>19349</v>
      </c>
    </row>
    <row r="10378" spans="6:8">
      <c r="H10378" t="s">
        <v>20209</v>
      </c>
    </row>
    <row r="10379" spans="6:8">
      <c r="F10379" t="s">
        <v>11611</v>
      </c>
      <c r="G10379" t="s">
        <v>15852</v>
      </c>
      <c r="H10379" t="s">
        <v>20582</v>
      </c>
    </row>
    <row r="10380" spans="6:8">
      <c r="H10380" t="s">
        <v>18829</v>
      </c>
    </row>
    <row r="10381" spans="6:8">
      <c r="H10381" t="s">
        <v>18863</v>
      </c>
    </row>
    <row r="10382" spans="6:8">
      <c r="H10382" t="s">
        <v>20454</v>
      </c>
    </row>
    <row r="10383" spans="6:8">
      <c r="H10383" t="s">
        <v>19349</v>
      </c>
    </row>
    <row r="10384" spans="6:8">
      <c r="H10384" t="s">
        <v>20209</v>
      </c>
    </row>
    <row r="10385" spans="6:8">
      <c r="F10385" t="s">
        <v>11612</v>
      </c>
      <c r="G10385" t="s">
        <v>15853</v>
      </c>
      <c r="H10385" t="s">
        <v>20583</v>
      </c>
    </row>
    <row r="10386" spans="6:8">
      <c r="H10386" t="s">
        <v>18829</v>
      </c>
    </row>
    <row r="10387" spans="6:8">
      <c r="H10387" t="s">
        <v>18863</v>
      </c>
    </row>
    <row r="10388" spans="6:8">
      <c r="H10388" t="s">
        <v>20454</v>
      </c>
    </row>
    <row r="10389" spans="6:8">
      <c r="H10389" t="s">
        <v>19349</v>
      </c>
    </row>
    <row r="10390" spans="6:8">
      <c r="H10390" t="s">
        <v>20209</v>
      </c>
    </row>
    <row r="10391" spans="6:8">
      <c r="F10391" t="s">
        <v>11613</v>
      </c>
      <c r="G10391" t="s">
        <v>15854</v>
      </c>
      <c r="H10391" t="s">
        <v>20584</v>
      </c>
    </row>
    <row r="10392" spans="6:8">
      <c r="H10392" t="s">
        <v>18829</v>
      </c>
    </row>
    <row r="10393" spans="6:8">
      <c r="H10393" t="s">
        <v>18863</v>
      </c>
    </row>
    <row r="10394" spans="6:8">
      <c r="H10394" t="s">
        <v>20454</v>
      </c>
    </row>
    <row r="10395" spans="6:8">
      <c r="H10395" t="s">
        <v>19349</v>
      </c>
    </row>
    <row r="10396" spans="6:8">
      <c r="H10396" t="s">
        <v>20209</v>
      </c>
    </row>
    <row r="10397" spans="6:8">
      <c r="F10397" t="s">
        <v>11614</v>
      </c>
      <c r="G10397" t="s">
        <v>15855</v>
      </c>
      <c r="H10397" t="s">
        <v>20585</v>
      </c>
    </row>
    <row r="10398" spans="6:8">
      <c r="H10398" t="s">
        <v>18829</v>
      </c>
    </row>
    <row r="10399" spans="6:8">
      <c r="H10399" t="s">
        <v>18863</v>
      </c>
    </row>
    <row r="10400" spans="6:8">
      <c r="H10400" t="s">
        <v>20454</v>
      </c>
    </row>
    <row r="10401" spans="6:8">
      <c r="H10401" t="s">
        <v>19349</v>
      </c>
    </row>
    <row r="10402" spans="6:8">
      <c r="H10402" t="s">
        <v>20209</v>
      </c>
    </row>
    <row r="10403" spans="6:8">
      <c r="F10403" t="s">
        <v>11615</v>
      </c>
      <c r="G10403" t="s">
        <v>15856</v>
      </c>
      <c r="H10403" t="s">
        <v>20586</v>
      </c>
    </row>
    <row r="10404" spans="6:8">
      <c r="H10404" t="s">
        <v>18829</v>
      </c>
    </row>
    <row r="10405" spans="6:8">
      <c r="H10405" t="s">
        <v>18863</v>
      </c>
    </row>
    <row r="10406" spans="6:8">
      <c r="H10406" t="s">
        <v>20454</v>
      </c>
    </row>
    <row r="10407" spans="6:8">
      <c r="H10407" t="s">
        <v>19349</v>
      </c>
    </row>
    <row r="10408" spans="6:8">
      <c r="H10408" t="s">
        <v>20209</v>
      </c>
    </row>
    <row r="10409" spans="6:8">
      <c r="F10409" t="s">
        <v>11616</v>
      </c>
      <c r="G10409" t="s">
        <v>15857</v>
      </c>
      <c r="H10409" t="s">
        <v>20587</v>
      </c>
    </row>
    <row r="10410" spans="6:8">
      <c r="H10410" t="s">
        <v>18829</v>
      </c>
    </row>
    <row r="10411" spans="6:8">
      <c r="H10411" t="s">
        <v>18863</v>
      </c>
    </row>
    <row r="10412" spans="6:8">
      <c r="H10412" t="s">
        <v>20454</v>
      </c>
    </row>
    <row r="10413" spans="6:8">
      <c r="H10413" t="s">
        <v>19349</v>
      </c>
    </row>
    <row r="10414" spans="6:8">
      <c r="H10414" t="s">
        <v>20209</v>
      </c>
    </row>
    <row r="10415" spans="6:8">
      <c r="F10415" t="s">
        <v>11617</v>
      </c>
      <c r="G10415" t="s">
        <v>15858</v>
      </c>
      <c r="H10415" t="s">
        <v>20588</v>
      </c>
    </row>
    <row r="10416" spans="6:8">
      <c r="H10416" t="s">
        <v>18829</v>
      </c>
    </row>
    <row r="10417" spans="6:8">
      <c r="H10417" t="s">
        <v>18863</v>
      </c>
    </row>
    <row r="10418" spans="6:8">
      <c r="H10418" t="s">
        <v>20454</v>
      </c>
    </row>
    <row r="10419" spans="6:8">
      <c r="H10419" t="s">
        <v>19349</v>
      </c>
    </row>
    <row r="10420" spans="6:8">
      <c r="H10420" t="s">
        <v>20209</v>
      </c>
    </row>
    <row r="10421" spans="6:8">
      <c r="F10421" t="s">
        <v>11618</v>
      </c>
      <c r="G10421" t="s">
        <v>15859</v>
      </c>
      <c r="H10421" t="s">
        <v>20589</v>
      </c>
    </row>
    <row r="10422" spans="6:8">
      <c r="H10422" t="s">
        <v>18829</v>
      </c>
    </row>
    <row r="10423" spans="6:8">
      <c r="H10423" t="s">
        <v>18863</v>
      </c>
    </row>
    <row r="10424" spans="6:8">
      <c r="H10424" t="s">
        <v>20454</v>
      </c>
    </row>
    <row r="10425" spans="6:8">
      <c r="H10425" t="s">
        <v>19349</v>
      </c>
    </row>
    <row r="10426" spans="6:8">
      <c r="H10426" t="s">
        <v>20209</v>
      </c>
    </row>
    <row r="10427" spans="6:8">
      <c r="F10427" t="s">
        <v>11619</v>
      </c>
      <c r="G10427" t="s">
        <v>15860</v>
      </c>
      <c r="H10427" t="s">
        <v>20590</v>
      </c>
    </row>
    <row r="10428" spans="6:8">
      <c r="H10428" t="s">
        <v>18829</v>
      </c>
    </row>
    <row r="10429" spans="6:8">
      <c r="H10429" t="s">
        <v>18863</v>
      </c>
    </row>
    <row r="10430" spans="6:8">
      <c r="H10430" t="s">
        <v>20454</v>
      </c>
    </row>
    <row r="10431" spans="6:8">
      <c r="H10431" t="s">
        <v>19349</v>
      </c>
    </row>
    <row r="10432" spans="6:8">
      <c r="H10432" t="s">
        <v>20209</v>
      </c>
    </row>
    <row r="10433" spans="6:8">
      <c r="F10433" t="s">
        <v>11620</v>
      </c>
      <c r="G10433" t="s">
        <v>15861</v>
      </c>
      <c r="H10433" t="s">
        <v>20591</v>
      </c>
    </row>
    <row r="10434" spans="6:8">
      <c r="H10434" t="s">
        <v>18829</v>
      </c>
    </row>
    <row r="10435" spans="6:8">
      <c r="H10435" t="s">
        <v>18863</v>
      </c>
    </row>
    <row r="10436" spans="6:8">
      <c r="H10436" t="s">
        <v>20454</v>
      </c>
    </row>
    <row r="10437" spans="6:8">
      <c r="H10437" t="s">
        <v>19349</v>
      </c>
    </row>
    <row r="10438" spans="6:8">
      <c r="H10438" t="s">
        <v>20209</v>
      </c>
    </row>
    <row r="10439" spans="6:8">
      <c r="F10439" t="s">
        <v>11621</v>
      </c>
      <c r="G10439" t="s">
        <v>15862</v>
      </c>
      <c r="H10439" t="s">
        <v>20592</v>
      </c>
    </row>
    <row r="10440" spans="6:8">
      <c r="H10440" t="s">
        <v>18829</v>
      </c>
    </row>
    <row r="10441" spans="6:8">
      <c r="H10441" t="s">
        <v>18863</v>
      </c>
    </row>
    <row r="10442" spans="6:8">
      <c r="H10442" t="s">
        <v>20454</v>
      </c>
    </row>
    <row r="10443" spans="6:8">
      <c r="H10443" t="s">
        <v>19349</v>
      </c>
    </row>
    <row r="10444" spans="6:8">
      <c r="H10444" t="s">
        <v>20209</v>
      </c>
    </row>
    <row r="10445" spans="6:8">
      <c r="F10445" t="s">
        <v>11622</v>
      </c>
      <c r="G10445" t="s">
        <v>15863</v>
      </c>
      <c r="H10445" t="s">
        <v>20593</v>
      </c>
    </row>
    <row r="10446" spans="6:8">
      <c r="H10446" t="s">
        <v>18829</v>
      </c>
    </row>
    <row r="10447" spans="6:8">
      <c r="H10447" t="s">
        <v>18863</v>
      </c>
    </row>
    <row r="10448" spans="6:8">
      <c r="H10448" t="s">
        <v>20454</v>
      </c>
    </row>
    <row r="10449" spans="6:8">
      <c r="H10449" t="s">
        <v>19349</v>
      </c>
    </row>
    <row r="10450" spans="6:8">
      <c r="H10450" t="s">
        <v>20209</v>
      </c>
    </row>
    <row r="10451" spans="6:8">
      <c r="F10451" t="s">
        <v>11623</v>
      </c>
      <c r="G10451" t="s">
        <v>15864</v>
      </c>
      <c r="H10451" t="s">
        <v>20594</v>
      </c>
    </row>
    <row r="10452" spans="6:8">
      <c r="H10452" t="s">
        <v>18829</v>
      </c>
    </row>
    <row r="10453" spans="6:8">
      <c r="H10453" t="s">
        <v>18863</v>
      </c>
    </row>
    <row r="10454" spans="6:8">
      <c r="H10454" t="s">
        <v>20454</v>
      </c>
    </row>
    <row r="10455" spans="6:8">
      <c r="H10455" t="s">
        <v>19349</v>
      </c>
    </row>
    <row r="10456" spans="6:8">
      <c r="H10456" t="s">
        <v>20209</v>
      </c>
    </row>
    <row r="10457" spans="6:8">
      <c r="F10457" t="s">
        <v>11624</v>
      </c>
      <c r="G10457" t="s">
        <v>15865</v>
      </c>
      <c r="H10457" t="s">
        <v>20595</v>
      </c>
    </row>
    <row r="10458" spans="6:8">
      <c r="H10458" t="s">
        <v>18829</v>
      </c>
    </row>
    <row r="10459" spans="6:8">
      <c r="H10459" t="s">
        <v>18863</v>
      </c>
    </row>
    <row r="10460" spans="6:8">
      <c r="H10460" t="s">
        <v>20454</v>
      </c>
    </row>
    <row r="10461" spans="6:8">
      <c r="H10461" t="s">
        <v>19349</v>
      </c>
    </row>
    <row r="10462" spans="6:8">
      <c r="H10462" t="s">
        <v>20209</v>
      </c>
    </row>
    <row r="10463" spans="6:8">
      <c r="F10463" t="s">
        <v>11625</v>
      </c>
      <c r="G10463" t="s">
        <v>15866</v>
      </c>
      <c r="H10463" t="s">
        <v>20596</v>
      </c>
    </row>
    <row r="10464" spans="6:8">
      <c r="H10464" t="s">
        <v>18829</v>
      </c>
    </row>
    <row r="10465" spans="6:8">
      <c r="H10465" t="s">
        <v>18863</v>
      </c>
    </row>
    <row r="10466" spans="6:8">
      <c r="H10466" t="s">
        <v>20454</v>
      </c>
    </row>
    <row r="10467" spans="6:8">
      <c r="H10467" t="s">
        <v>19349</v>
      </c>
    </row>
    <row r="10468" spans="6:8">
      <c r="H10468" t="s">
        <v>20209</v>
      </c>
    </row>
    <row r="10469" spans="6:8">
      <c r="F10469" t="s">
        <v>11626</v>
      </c>
      <c r="G10469" t="s">
        <v>15867</v>
      </c>
      <c r="H10469" t="s">
        <v>20597</v>
      </c>
    </row>
    <row r="10470" spans="6:8">
      <c r="H10470" t="s">
        <v>18829</v>
      </c>
    </row>
    <row r="10471" spans="6:8">
      <c r="H10471" t="s">
        <v>18863</v>
      </c>
    </row>
    <row r="10472" spans="6:8">
      <c r="H10472" t="s">
        <v>20454</v>
      </c>
    </row>
    <row r="10473" spans="6:8">
      <c r="H10473" t="s">
        <v>19349</v>
      </c>
    </row>
    <row r="10474" spans="6:8">
      <c r="H10474" t="s">
        <v>20209</v>
      </c>
    </row>
    <row r="10475" spans="6:8">
      <c r="F10475" t="s">
        <v>11627</v>
      </c>
      <c r="G10475" t="s">
        <v>15868</v>
      </c>
      <c r="H10475" t="s">
        <v>20598</v>
      </c>
    </row>
    <row r="10476" spans="6:8">
      <c r="H10476" t="s">
        <v>18829</v>
      </c>
    </row>
    <row r="10477" spans="6:8">
      <c r="H10477" t="s">
        <v>18863</v>
      </c>
    </row>
    <row r="10478" spans="6:8">
      <c r="H10478" t="s">
        <v>20454</v>
      </c>
    </row>
    <row r="10479" spans="6:8">
      <c r="H10479" t="s">
        <v>19349</v>
      </c>
    </row>
    <row r="10480" spans="6:8">
      <c r="H10480" t="s">
        <v>20209</v>
      </c>
    </row>
    <row r="10481" spans="6:8">
      <c r="F10481" t="s">
        <v>11628</v>
      </c>
      <c r="G10481" t="s">
        <v>15869</v>
      </c>
      <c r="H10481" t="s">
        <v>20599</v>
      </c>
    </row>
    <row r="10482" spans="6:8">
      <c r="H10482" t="s">
        <v>18829</v>
      </c>
    </row>
    <row r="10483" spans="6:8">
      <c r="H10483" t="s">
        <v>18863</v>
      </c>
    </row>
    <row r="10484" spans="6:8">
      <c r="H10484" t="s">
        <v>20454</v>
      </c>
    </row>
    <row r="10485" spans="6:8">
      <c r="H10485" t="s">
        <v>19349</v>
      </c>
    </row>
    <row r="10486" spans="6:8">
      <c r="H10486" t="s">
        <v>20209</v>
      </c>
    </row>
    <row r="10487" spans="6:8">
      <c r="F10487" t="s">
        <v>11629</v>
      </c>
      <c r="G10487" t="s">
        <v>15870</v>
      </c>
      <c r="H10487" t="s">
        <v>20600</v>
      </c>
    </row>
    <row r="10488" spans="6:8">
      <c r="H10488" t="s">
        <v>18829</v>
      </c>
    </row>
    <row r="10489" spans="6:8">
      <c r="H10489" t="s">
        <v>18863</v>
      </c>
    </row>
    <row r="10490" spans="6:8">
      <c r="H10490" t="s">
        <v>20454</v>
      </c>
    </row>
    <row r="10491" spans="6:8">
      <c r="H10491" t="s">
        <v>19349</v>
      </c>
    </row>
    <row r="10492" spans="6:8">
      <c r="H10492" t="s">
        <v>20209</v>
      </c>
    </row>
    <row r="10493" spans="6:8">
      <c r="F10493" t="s">
        <v>11630</v>
      </c>
      <c r="G10493" t="s">
        <v>15871</v>
      </c>
      <c r="H10493" t="s">
        <v>20601</v>
      </c>
    </row>
    <row r="10494" spans="6:8">
      <c r="H10494" t="s">
        <v>18829</v>
      </c>
    </row>
    <row r="10495" spans="6:8">
      <c r="H10495" t="s">
        <v>18863</v>
      </c>
    </row>
    <row r="10496" spans="6:8">
      <c r="H10496" t="s">
        <v>20454</v>
      </c>
    </row>
    <row r="10497" spans="6:8">
      <c r="H10497" t="s">
        <v>19349</v>
      </c>
    </row>
    <row r="10498" spans="6:8">
      <c r="H10498" t="s">
        <v>20209</v>
      </c>
    </row>
    <row r="10499" spans="6:8">
      <c r="F10499" t="s">
        <v>11631</v>
      </c>
      <c r="G10499" t="s">
        <v>15872</v>
      </c>
      <c r="H10499" t="s">
        <v>20602</v>
      </c>
    </row>
    <row r="10500" spans="6:8">
      <c r="H10500" t="s">
        <v>18829</v>
      </c>
    </row>
    <row r="10501" spans="6:8">
      <c r="H10501" t="s">
        <v>18863</v>
      </c>
    </row>
    <row r="10502" spans="6:8">
      <c r="H10502" t="s">
        <v>20454</v>
      </c>
    </row>
    <row r="10503" spans="6:8">
      <c r="H10503" t="s">
        <v>19349</v>
      </c>
    </row>
    <row r="10504" spans="6:8">
      <c r="H10504" t="s">
        <v>20209</v>
      </c>
    </row>
    <row r="10505" spans="6:8">
      <c r="F10505" t="s">
        <v>11632</v>
      </c>
      <c r="G10505" t="s">
        <v>15873</v>
      </c>
      <c r="H10505" t="s">
        <v>20603</v>
      </c>
    </row>
    <row r="10506" spans="6:8">
      <c r="H10506" t="s">
        <v>18829</v>
      </c>
    </row>
    <row r="10507" spans="6:8">
      <c r="H10507" t="s">
        <v>18863</v>
      </c>
    </row>
    <row r="10508" spans="6:8">
      <c r="H10508" t="s">
        <v>20454</v>
      </c>
    </row>
    <row r="10509" spans="6:8">
      <c r="H10509" t="s">
        <v>19349</v>
      </c>
    </row>
    <row r="10510" spans="6:8">
      <c r="H10510" t="s">
        <v>20209</v>
      </c>
    </row>
    <row r="10511" spans="6:8">
      <c r="F10511" t="s">
        <v>11633</v>
      </c>
      <c r="G10511" t="s">
        <v>15874</v>
      </c>
      <c r="H10511" t="s">
        <v>20604</v>
      </c>
    </row>
    <row r="10512" spans="6:8">
      <c r="H10512" t="s">
        <v>18829</v>
      </c>
    </row>
    <row r="10513" spans="6:8">
      <c r="H10513" t="s">
        <v>18863</v>
      </c>
    </row>
    <row r="10514" spans="6:8">
      <c r="H10514" t="s">
        <v>20454</v>
      </c>
    </row>
    <row r="10515" spans="6:8">
      <c r="H10515" t="s">
        <v>19349</v>
      </c>
    </row>
    <row r="10516" spans="6:8">
      <c r="H10516" t="s">
        <v>20209</v>
      </c>
    </row>
    <row r="10517" spans="6:8">
      <c r="F10517" t="s">
        <v>11634</v>
      </c>
      <c r="G10517" t="s">
        <v>15875</v>
      </c>
      <c r="H10517" t="s">
        <v>20605</v>
      </c>
    </row>
    <row r="10518" spans="6:8">
      <c r="H10518" t="s">
        <v>18829</v>
      </c>
    </row>
    <row r="10519" spans="6:8">
      <c r="H10519" t="s">
        <v>18863</v>
      </c>
    </row>
    <row r="10520" spans="6:8">
      <c r="H10520" t="s">
        <v>20454</v>
      </c>
    </row>
    <row r="10521" spans="6:8">
      <c r="H10521" t="s">
        <v>19349</v>
      </c>
    </row>
    <row r="10522" spans="6:8">
      <c r="H10522" t="s">
        <v>20209</v>
      </c>
    </row>
    <row r="10523" spans="6:8">
      <c r="F10523" t="s">
        <v>11635</v>
      </c>
      <c r="G10523" t="s">
        <v>15876</v>
      </c>
      <c r="H10523" t="s">
        <v>20606</v>
      </c>
    </row>
    <row r="10524" spans="6:8">
      <c r="H10524" t="s">
        <v>18829</v>
      </c>
    </row>
    <row r="10525" spans="6:8">
      <c r="H10525" t="s">
        <v>18863</v>
      </c>
    </row>
    <row r="10526" spans="6:8">
      <c r="H10526" t="s">
        <v>20454</v>
      </c>
    </row>
    <row r="10527" spans="6:8">
      <c r="H10527" t="s">
        <v>19349</v>
      </c>
    </row>
    <row r="10528" spans="6:8">
      <c r="H10528" t="s">
        <v>20209</v>
      </c>
    </row>
    <row r="10529" spans="6:8">
      <c r="F10529" t="s">
        <v>11636</v>
      </c>
      <c r="G10529" t="s">
        <v>15877</v>
      </c>
      <c r="H10529" t="s">
        <v>20607</v>
      </c>
    </row>
    <row r="10530" spans="6:8">
      <c r="H10530" t="s">
        <v>18829</v>
      </c>
    </row>
    <row r="10531" spans="6:8">
      <c r="H10531" t="s">
        <v>18863</v>
      </c>
    </row>
    <row r="10532" spans="6:8">
      <c r="H10532" t="s">
        <v>20454</v>
      </c>
    </row>
    <row r="10533" spans="6:8">
      <c r="H10533" t="s">
        <v>19349</v>
      </c>
    </row>
    <row r="10534" spans="6:8">
      <c r="H10534" t="s">
        <v>20209</v>
      </c>
    </row>
    <row r="10535" spans="6:8">
      <c r="F10535" t="s">
        <v>11637</v>
      </c>
      <c r="G10535" t="s">
        <v>15878</v>
      </c>
      <c r="H10535" t="s">
        <v>20608</v>
      </c>
    </row>
    <row r="10536" spans="6:8">
      <c r="H10536" t="s">
        <v>18829</v>
      </c>
    </row>
    <row r="10537" spans="6:8">
      <c r="H10537" t="s">
        <v>18863</v>
      </c>
    </row>
    <row r="10538" spans="6:8">
      <c r="H10538" t="s">
        <v>20454</v>
      </c>
    </row>
    <row r="10539" spans="6:8">
      <c r="H10539" t="s">
        <v>19349</v>
      </c>
    </row>
    <row r="10540" spans="6:8">
      <c r="H10540" t="s">
        <v>20209</v>
      </c>
    </row>
    <row r="10541" spans="6:8">
      <c r="F10541" t="s">
        <v>11638</v>
      </c>
      <c r="G10541" t="s">
        <v>15879</v>
      </c>
      <c r="H10541" t="s">
        <v>20609</v>
      </c>
    </row>
    <row r="10542" spans="6:8">
      <c r="H10542" t="s">
        <v>18829</v>
      </c>
    </row>
    <row r="10543" spans="6:8">
      <c r="H10543" t="s">
        <v>18863</v>
      </c>
    </row>
    <row r="10544" spans="6:8">
      <c r="H10544" t="s">
        <v>20454</v>
      </c>
    </row>
    <row r="10545" spans="6:8">
      <c r="H10545" t="s">
        <v>19349</v>
      </c>
    </row>
    <row r="10546" spans="6:8">
      <c r="H10546" t="s">
        <v>20209</v>
      </c>
    </row>
    <row r="10547" spans="6:8">
      <c r="F10547" t="s">
        <v>11639</v>
      </c>
      <c r="G10547" t="s">
        <v>15880</v>
      </c>
      <c r="H10547" t="s">
        <v>20610</v>
      </c>
    </row>
    <row r="10548" spans="6:8">
      <c r="H10548" t="s">
        <v>18829</v>
      </c>
    </row>
    <row r="10549" spans="6:8">
      <c r="H10549" t="s">
        <v>18863</v>
      </c>
    </row>
    <row r="10550" spans="6:8">
      <c r="H10550" t="s">
        <v>20454</v>
      </c>
    </row>
    <row r="10551" spans="6:8">
      <c r="H10551" t="s">
        <v>19349</v>
      </c>
    </row>
    <row r="10552" spans="6:8">
      <c r="H10552" t="s">
        <v>20209</v>
      </c>
    </row>
    <row r="10553" spans="6:8">
      <c r="F10553" t="s">
        <v>11640</v>
      </c>
      <c r="G10553" t="s">
        <v>15881</v>
      </c>
      <c r="H10553" t="s">
        <v>20611</v>
      </c>
    </row>
    <row r="10554" spans="6:8">
      <c r="H10554" t="s">
        <v>18829</v>
      </c>
    </row>
    <row r="10555" spans="6:8">
      <c r="H10555" t="s">
        <v>18863</v>
      </c>
    </row>
    <row r="10556" spans="6:8">
      <c r="H10556" t="s">
        <v>20454</v>
      </c>
    </row>
    <row r="10557" spans="6:8">
      <c r="H10557" t="s">
        <v>19349</v>
      </c>
    </row>
    <row r="10558" spans="6:8">
      <c r="H10558" t="s">
        <v>20209</v>
      </c>
    </row>
    <row r="10559" spans="6:8">
      <c r="F10559" t="s">
        <v>11641</v>
      </c>
      <c r="G10559" t="s">
        <v>15882</v>
      </c>
      <c r="H10559" t="s">
        <v>20612</v>
      </c>
    </row>
    <row r="10560" spans="6:8">
      <c r="H10560" t="s">
        <v>18829</v>
      </c>
    </row>
    <row r="10561" spans="6:8">
      <c r="H10561" t="s">
        <v>18863</v>
      </c>
    </row>
    <row r="10562" spans="6:8">
      <c r="H10562" t="s">
        <v>20454</v>
      </c>
    </row>
    <row r="10563" spans="6:8">
      <c r="H10563" t="s">
        <v>19349</v>
      </c>
    </row>
    <row r="10564" spans="6:8">
      <c r="H10564" t="s">
        <v>20209</v>
      </c>
    </row>
    <row r="10565" spans="6:8">
      <c r="F10565" t="s">
        <v>11642</v>
      </c>
      <c r="G10565" t="s">
        <v>15883</v>
      </c>
      <c r="H10565" t="s">
        <v>20613</v>
      </c>
    </row>
    <row r="10566" spans="6:8">
      <c r="H10566" t="s">
        <v>18829</v>
      </c>
    </row>
    <row r="10567" spans="6:8">
      <c r="H10567" t="s">
        <v>18863</v>
      </c>
    </row>
    <row r="10568" spans="6:8">
      <c r="H10568" t="s">
        <v>20454</v>
      </c>
    </row>
    <row r="10569" spans="6:8">
      <c r="H10569" t="s">
        <v>19349</v>
      </c>
    </row>
    <row r="10570" spans="6:8">
      <c r="H10570" t="s">
        <v>20209</v>
      </c>
    </row>
    <row r="10571" spans="6:8">
      <c r="F10571" t="s">
        <v>11643</v>
      </c>
      <c r="G10571" t="s">
        <v>15884</v>
      </c>
      <c r="H10571" t="s">
        <v>20614</v>
      </c>
    </row>
    <row r="10572" spans="6:8">
      <c r="H10572" t="s">
        <v>18829</v>
      </c>
    </row>
    <row r="10573" spans="6:8">
      <c r="H10573" t="s">
        <v>18863</v>
      </c>
    </row>
    <row r="10574" spans="6:8">
      <c r="H10574" t="s">
        <v>20454</v>
      </c>
    </row>
    <row r="10575" spans="6:8">
      <c r="H10575" t="s">
        <v>19349</v>
      </c>
    </row>
    <row r="10576" spans="6:8">
      <c r="H10576" t="s">
        <v>20209</v>
      </c>
    </row>
    <row r="10577" spans="6:8">
      <c r="F10577" t="s">
        <v>11644</v>
      </c>
      <c r="G10577" t="s">
        <v>15885</v>
      </c>
      <c r="H10577" t="s">
        <v>20615</v>
      </c>
    </row>
    <row r="10578" spans="6:8">
      <c r="H10578" t="s">
        <v>18829</v>
      </c>
    </row>
    <row r="10579" spans="6:8">
      <c r="H10579" t="s">
        <v>18863</v>
      </c>
    </row>
    <row r="10580" spans="6:8">
      <c r="H10580" t="s">
        <v>20454</v>
      </c>
    </row>
    <row r="10581" spans="6:8">
      <c r="H10581" t="s">
        <v>19349</v>
      </c>
    </row>
    <row r="10582" spans="6:8">
      <c r="H10582" t="s">
        <v>20209</v>
      </c>
    </row>
    <row r="10583" spans="6:8">
      <c r="F10583" t="s">
        <v>11645</v>
      </c>
      <c r="G10583" t="s">
        <v>15886</v>
      </c>
      <c r="H10583" t="s">
        <v>20616</v>
      </c>
    </row>
    <row r="10584" spans="6:8">
      <c r="H10584" t="s">
        <v>18829</v>
      </c>
    </row>
    <row r="10585" spans="6:8">
      <c r="H10585" t="s">
        <v>18863</v>
      </c>
    </row>
    <row r="10586" spans="6:8">
      <c r="H10586" t="s">
        <v>20454</v>
      </c>
    </row>
    <row r="10587" spans="6:8">
      <c r="H10587" t="s">
        <v>19349</v>
      </c>
    </row>
    <row r="10588" spans="6:8">
      <c r="H10588" t="s">
        <v>20209</v>
      </c>
    </row>
    <row r="10589" spans="6:8">
      <c r="F10589" t="s">
        <v>11646</v>
      </c>
      <c r="G10589" t="s">
        <v>15887</v>
      </c>
      <c r="H10589" t="s">
        <v>20617</v>
      </c>
    </row>
    <row r="10590" spans="6:8">
      <c r="H10590" t="s">
        <v>18829</v>
      </c>
    </row>
    <row r="10591" spans="6:8">
      <c r="H10591" t="s">
        <v>18863</v>
      </c>
    </row>
    <row r="10592" spans="6:8">
      <c r="H10592" t="s">
        <v>20454</v>
      </c>
    </row>
    <row r="10593" spans="6:8">
      <c r="H10593" t="s">
        <v>19349</v>
      </c>
    </row>
    <row r="10594" spans="6:8">
      <c r="H10594" t="s">
        <v>20209</v>
      </c>
    </row>
    <row r="10595" spans="6:8">
      <c r="F10595" t="s">
        <v>11647</v>
      </c>
      <c r="G10595" t="s">
        <v>15888</v>
      </c>
      <c r="H10595" t="s">
        <v>20618</v>
      </c>
    </row>
    <row r="10596" spans="6:8">
      <c r="H10596" t="s">
        <v>18829</v>
      </c>
    </row>
    <row r="10597" spans="6:8">
      <c r="H10597" t="s">
        <v>18863</v>
      </c>
    </row>
    <row r="10598" spans="6:8">
      <c r="H10598" t="s">
        <v>20454</v>
      </c>
    </row>
    <row r="10599" spans="6:8">
      <c r="H10599" t="s">
        <v>19349</v>
      </c>
    </row>
    <row r="10600" spans="6:8">
      <c r="H10600" t="s">
        <v>20209</v>
      </c>
    </row>
    <row r="10601" spans="6:8">
      <c r="F10601" t="s">
        <v>11648</v>
      </c>
      <c r="G10601" t="s">
        <v>15889</v>
      </c>
      <c r="H10601" t="s">
        <v>20619</v>
      </c>
    </row>
    <row r="10602" spans="6:8">
      <c r="H10602" t="s">
        <v>18829</v>
      </c>
    </row>
    <row r="10603" spans="6:8">
      <c r="H10603" t="s">
        <v>18863</v>
      </c>
    </row>
    <row r="10604" spans="6:8">
      <c r="H10604" t="s">
        <v>20454</v>
      </c>
    </row>
    <row r="10605" spans="6:8">
      <c r="H10605" t="s">
        <v>19349</v>
      </c>
    </row>
    <row r="10606" spans="6:8">
      <c r="H10606" t="s">
        <v>20209</v>
      </c>
    </row>
    <row r="10607" spans="6:8">
      <c r="F10607" t="s">
        <v>11649</v>
      </c>
      <c r="G10607" t="s">
        <v>15890</v>
      </c>
      <c r="H10607" t="s">
        <v>20620</v>
      </c>
    </row>
    <row r="10608" spans="6:8">
      <c r="H10608" t="s">
        <v>18829</v>
      </c>
    </row>
    <row r="10609" spans="6:8">
      <c r="H10609" t="s">
        <v>18863</v>
      </c>
    </row>
    <row r="10610" spans="6:8">
      <c r="H10610" t="s">
        <v>20454</v>
      </c>
    </row>
    <row r="10611" spans="6:8">
      <c r="H10611" t="s">
        <v>19349</v>
      </c>
    </row>
    <row r="10612" spans="6:8">
      <c r="H10612" t="s">
        <v>20209</v>
      </c>
    </row>
    <row r="10613" spans="6:8">
      <c r="F10613" t="s">
        <v>11650</v>
      </c>
      <c r="G10613" t="s">
        <v>15891</v>
      </c>
      <c r="H10613" t="s">
        <v>20621</v>
      </c>
    </row>
    <row r="10614" spans="6:8">
      <c r="H10614" t="s">
        <v>18829</v>
      </c>
    </row>
    <row r="10615" spans="6:8">
      <c r="H10615" t="s">
        <v>18863</v>
      </c>
    </row>
    <row r="10616" spans="6:8">
      <c r="H10616" t="s">
        <v>20454</v>
      </c>
    </row>
    <row r="10617" spans="6:8">
      <c r="H10617" t="s">
        <v>19349</v>
      </c>
    </row>
    <row r="10618" spans="6:8">
      <c r="H10618" t="s">
        <v>20209</v>
      </c>
    </row>
    <row r="10619" spans="6:8">
      <c r="F10619" t="s">
        <v>11651</v>
      </c>
      <c r="G10619" t="s">
        <v>15892</v>
      </c>
      <c r="H10619" t="s">
        <v>20622</v>
      </c>
    </row>
    <row r="10620" spans="6:8">
      <c r="H10620" t="s">
        <v>18829</v>
      </c>
    </row>
    <row r="10621" spans="6:8">
      <c r="H10621" t="s">
        <v>18863</v>
      </c>
    </row>
    <row r="10622" spans="6:8">
      <c r="H10622" t="s">
        <v>20454</v>
      </c>
    </row>
    <row r="10623" spans="6:8">
      <c r="H10623" t="s">
        <v>19349</v>
      </c>
    </row>
    <row r="10624" spans="6:8">
      <c r="H10624" t="s">
        <v>20209</v>
      </c>
    </row>
    <row r="10625" spans="6:8">
      <c r="F10625" t="s">
        <v>11652</v>
      </c>
      <c r="G10625" t="s">
        <v>15893</v>
      </c>
      <c r="H10625" t="s">
        <v>20623</v>
      </c>
    </row>
    <row r="10626" spans="6:8">
      <c r="H10626" t="s">
        <v>18829</v>
      </c>
    </row>
    <row r="10627" spans="6:8">
      <c r="H10627" t="s">
        <v>18863</v>
      </c>
    </row>
    <row r="10628" spans="6:8">
      <c r="H10628" t="s">
        <v>20454</v>
      </c>
    </row>
    <row r="10629" spans="6:8">
      <c r="H10629" t="s">
        <v>19349</v>
      </c>
    </row>
    <row r="10630" spans="6:8">
      <c r="H10630" t="s">
        <v>20209</v>
      </c>
    </row>
    <row r="10631" spans="6:8">
      <c r="F10631" t="s">
        <v>11653</v>
      </c>
      <c r="G10631" t="s">
        <v>15894</v>
      </c>
      <c r="H10631" t="s">
        <v>20624</v>
      </c>
    </row>
    <row r="10632" spans="6:8">
      <c r="H10632" t="s">
        <v>18829</v>
      </c>
    </row>
    <row r="10633" spans="6:8">
      <c r="H10633" t="s">
        <v>18863</v>
      </c>
    </row>
    <row r="10634" spans="6:8">
      <c r="H10634" t="s">
        <v>20454</v>
      </c>
    </row>
    <row r="10635" spans="6:8">
      <c r="H10635" t="s">
        <v>19349</v>
      </c>
    </row>
    <row r="10636" spans="6:8">
      <c r="H10636" t="s">
        <v>20209</v>
      </c>
    </row>
    <row r="10637" spans="6:8">
      <c r="F10637" t="s">
        <v>11654</v>
      </c>
      <c r="G10637" t="s">
        <v>15895</v>
      </c>
      <c r="H10637" t="s">
        <v>20625</v>
      </c>
    </row>
    <row r="10638" spans="6:8">
      <c r="H10638" t="s">
        <v>18829</v>
      </c>
    </row>
    <row r="10639" spans="6:8">
      <c r="H10639" t="s">
        <v>18863</v>
      </c>
    </row>
    <row r="10640" spans="6:8">
      <c r="H10640" t="s">
        <v>20454</v>
      </c>
    </row>
    <row r="10641" spans="6:8">
      <c r="H10641" t="s">
        <v>19349</v>
      </c>
    </row>
    <row r="10642" spans="6:8">
      <c r="H10642" t="s">
        <v>20209</v>
      </c>
    </row>
    <row r="10643" spans="6:8">
      <c r="F10643" t="s">
        <v>11655</v>
      </c>
      <c r="G10643" t="s">
        <v>15896</v>
      </c>
      <c r="H10643" t="s">
        <v>20626</v>
      </c>
    </row>
    <row r="10644" spans="6:8">
      <c r="H10644" t="s">
        <v>18829</v>
      </c>
    </row>
    <row r="10645" spans="6:8">
      <c r="H10645" t="s">
        <v>18863</v>
      </c>
    </row>
    <row r="10646" spans="6:8">
      <c r="H10646" t="s">
        <v>20454</v>
      </c>
    </row>
    <row r="10647" spans="6:8">
      <c r="H10647" t="s">
        <v>19349</v>
      </c>
    </row>
    <row r="10648" spans="6:8">
      <c r="H10648" t="s">
        <v>20209</v>
      </c>
    </row>
    <row r="10649" spans="6:8">
      <c r="F10649" t="s">
        <v>11656</v>
      </c>
      <c r="G10649" t="s">
        <v>15897</v>
      </c>
      <c r="H10649" t="s">
        <v>20627</v>
      </c>
    </row>
    <row r="10650" spans="6:8">
      <c r="H10650" t="s">
        <v>18829</v>
      </c>
    </row>
    <row r="10651" spans="6:8">
      <c r="H10651" t="s">
        <v>18863</v>
      </c>
    </row>
    <row r="10652" spans="6:8">
      <c r="H10652" t="s">
        <v>20454</v>
      </c>
    </row>
    <row r="10653" spans="6:8">
      <c r="H10653" t="s">
        <v>19349</v>
      </c>
    </row>
    <row r="10654" spans="6:8">
      <c r="H10654" t="s">
        <v>20209</v>
      </c>
    </row>
    <row r="10655" spans="6:8">
      <c r="F10655" t="s">
        <v>11657</v>
      </c>
      <c r="G10655" t="s">
        <v>15898</v>
      </c>
      <c r="H10655" t="s">
        <v>20628</v>
      </c>
    </row>
    <row r="10656" spans="6:8">
      <c r="H10656" t="s">
        <v>18829</v>
      </c>
    </row>
    <row r="10657" spans="6:8">
      <c r="H10657" t="s">
        <v>18863</v>
      </c>
    </row>
    <row r="10658" spans="6:8">
      <c r="H10658" t="s">
        <v>20454</v>
      </c>
    </row>
    <row r="10659" spans="6:8">
      <c r="H10659" t="s">
        <v>19349</v>
      </c>
    </row>
    <row r="10660" spans="6:8">
      <c r="H10660" t="s">
        <v>20209</v>
      </c>
    </row>
    <row r="10661" spans="6:8">
      <c r="F10661" t="s">
        <v>11658</v>
      </c>
      <c r="G10661" t="s">
        <v>15899</v>
      </c>
      <c r="H10661" t="s">
        <v>20629</v>
      </c>
    </row>
    <row r="10662" spans="6:8">
      <c r="H10662" t="s">
        <v>18829</v>
      </c>
    </row>
    <row r="10663" spans="6:8">
      <c r="H10663" t="s">
        <v>18863</v>
      </c>
    </row>
    <row r="10664" spans="6:8">
      <c r="H10664" t="s">
        <v>20454</v>
      </c>
    </row>
    <row r="10665" spans="6:8">
      <c r="H10665" t="s">
        <v>19349</v>
      </c>
    </row>
    <row r="10666" spans="6:8">
      <c r="H10666" t="s">
        <v>20209</v>
      </c>
    </row>
    <row r="10667" spans="6:8">
      <c r="F10667" t="s">
        <v>11659</v>
      </c>
      <c r="G10667" t="s">
        <v>15900</v>
      </c>
      <c r="H10667" t="s">
        <v>20630</v>
      </c>
    </row>
    <row r="10668" spans="6:8">
      <c r="H10668" t="s">
        <v>18829</v>
      </c>
    </row>
    <row r="10669" spans="6:8">
      <c r="H10669" t="s">
        <v>18863</v>
      </c>
    </row>
    <row r="10670" spans="6:8">
      <c r="H10670" t="s">
        <v>20454</v>
      </c>
    </row>
    <row r="10671" spans="6:8">
      <c r="H10671" t="s">
        <v>19349</v>
      </c>
    </row>
    <row r="10672" spans="6:8">
      <c r="H10672" t="s">
        <v>20209</v>
      </c>
    </row>
    <row r="10673" spans="6:8">
      <c r="F10673" t="s">
        <v>11660</v>
      </c>
      <c r="G10673" t="s">
        <v>15901</v>
      </c>
      <c r="H10673" t="s">
        <v>20631</v>
      </c>
    </row>
    <row r="10674" spans="6:8">
      <c r="H10674" t="s">
        <v>18829</v>
      </c>
    </row>
    <row r="10675" spans="6:8">
      <c r="H10675" t="s">
        <v>18863</v>
      </c>
    </row>
    <row r="10676" spans="6:8">
      <c r="H10676" t="s">
        <v>20454</v>
      </c>
    </row>
    <row r="10677" spans="6:8">
      <c r="H10677" t="s">
        <v>19349</v>
      </c>
    </row>
    <row r="10678" spans="6:8">
      <c r="H10678" t="s">
        <v>20209</v>
      </c>
    </row>
    <row r="10679" spans="6:8">
      <c r="F10679" t="s">
        <v>11661</v>
      </c>
      <c r="G10679" t="s">
        <v>15902</v>
      </c>
      <c r="H10679" t="s">
        <v>20632</v>
      </c>
    </row>
    <row r="10680" spans="6:8">
      <c r="H10680" t="s">
        <v>18829</v>
      </c>
    </row>
    <row r="10681" spans="6:8">
      <c r="H10681" t="s">
        <v>18863</v>
      </c>
    </row>
    <row r="10682" spans="6:8">
      <c r="H10682" t="s">
        <v>20454</v>
      </c>
    </row>
    <row r="10683" spans="6:8">
      <c r="H10683" t="s">
        <v>19349</v>
      </c>
    </row>
    <row r="10684" spans="6:8">
      <c r="H10684" t="s">
        <v>20209</v>
      </c>
    </row>
    <row r="10685" spans="6:8">
      <c r="F10685" t="s">
        <v>11662</v>
      </c>
      <c r="G10685" t="s">
        <v>15903</v>
      </c>
      <c r="H10685" t="s">
        <v>20633</v>
      </c>
    </row>
    <row r="10686" spans="6:8">
      <c r="H10686" t="s">
        <v>18829</v>
      </c>
    </row>
    <row r="10687" spans="6:8">
      <c r="H10687" t="s">
        <v>18863</v>
      </c>
    </row>
    <row r="10688" spans="6:8">
      <c r="H10688" t="s">
        <v>20454</v>
      </c>
    </row>
    <row r="10689" spans="6:8">
      <c r="H10689" t="s">
        <v>19349</v>
      </c>
    </row>
    <row r="10690" spans="6:8">
      <c r="H10690" t="s">
        <v>20209</v>
      </c>
    </row>
    <row r="10691" spans="6:8">
      <c r="F10691" t="s">
        <v>11663</v>
      </c>
      <c r="G10691" t="s">
        <v>15904</v>
      </c>
      <c r="H10691" t="s">
        <v>20634</v>
      </c>
    </row>
    <row r="10692" spans="6:8">
      <c r="H10692" t="s">
        <v>18829</v>
      </c>
    </row>
    <row r="10693" spans="6:8">
      <c r="H10693" t="s">
        <v>18863</v>
      </c>
    </row>
    <row r="10694" spans="6:8">
      <c r="H10694" t="s">
        <v>20454</v>
      </c>
    </row>
    <row r="10695" spans="6:8">
      <c r="H10695" t="s">
        <v>19349</v>
      </c>
    </row>
    <row r="10696" spans="6:8">
      <c r="H10696" t="s">
        <v>20209</v>
      </c>
    </row>
    <row r="10697" spans="6:8">
      <c r="F10697" t="s">
        <v>11664</v>
      </c>
      <c r="G10697" t="s">
        <v>15905</v>
      </c>
      <c r="H10697" t="s">
        <v>20635</v>
      </c>
    </row>
    <row r="10698" spans="6:8">
      <c r="H10698" t="s">
        <v>18829</v>
      </c>
    </row>
    <row r="10699" spans="6:8">
      <c r="H10699" t="s">
        <v>18863</v>
      </c>
    </row>
    <row r="10700" spans="6:8">
      <c r="H10700" t="s">
        <v>20454</v>
      </c>
    </row>
    <row r="10701" spans="6:8">
      <c r="H10701" t="s">
        <v>19349</v>
      </c>
    </row>
    <row r="10702" spans="6:8">
      <c r="H10702" t="s">
        <v>20209</v>
      </c>
    </row>
    <row r="10703" spans="6:8">
      <c r="F10703" t="s">
        <v>11665</v>
      </c>
      <c r="G10703" t="s">
        <v>15906</v>
      </c>
      <c r="H10703" t="s">
        <v>20636</v>
      </c>
    </row>
    <row r="10704" spans="6:8">
      <c r="H10704" t="s">
        <v>18829</v>
      </c>
    </row>
    <row r="10705" spans="6:8">
      <c r="H10705" t="s">
        <v>18863</v>
      </c>
    </row>
    <row r="10706" spans="6:8">
      <c r="H10706" t="s">
        <v>20454</v>
      </c>
    </row>
    <row r="10707" spans="6:8">
      <c r="H10707" t="s">
        <v>19349</v>
      </c>
    </row>
    <row r="10708" spans="6:8">
      <c r="H10708" t="s">
        <v>20209</v>
      </c>
    </row>
    <row r="10709" spans="6:8">
      <c r="F10709" t="s">
        <v>11666</v>
      </c>
      <c r="G10709" t="s">
        <v>15907</v>
      </c>
      <c r="H10709" t="s">
        <v>20637</v>
      </c>
    </row>
    <row r="10710" spans="6:8">
      <c r="H10710" t="s">
        <v>18829</v>
      </c>
    </row>
    <row r="10711" spans="6:8">
      <c r="H10711" t="s">
        <v>18863</v>
      </c>
    </row>
    <row r="10712" spans="6:8">
      <c r="H10712" t="s">
        <v>20454</v>
      </c>
    </row>
    <row r="10713" spans="6:8">
      <c r="H10713" t="s">
        <v>19349</v>
      </c>
    </row>
    <row r="10714" spans="6:8">
      <c r="H10714" t="s">
        <v>20209</v>
      </c>
    </row>
    <row r="10715" spans="6:8">
      <c r="F10715" t="s">
        <v>11667</v>
      </c>
      <c r="G10715" t="s">
        <v>15908</v>
      </c>
      <c r="H10715" t="s">
        <v>20638</v>
      </c>
    </row>
    <row r="10716" spans="6:8">
      <c r="H10716" t="s">
        <v>18829</v>
      </c>
    </row>
    <row r="10717" spans="6:8">
      <c r="H10717" t="s">
        <v>18863</v>
      </c>
    </row>
    <row r="10718" spans="6:8">
      <c r="H10718" t="s">
        <v>20454</v>
      </c>
    </row>
    <row r="10719" spans="6:8">
      <c r="H10719" t="s">
        <v>19349</v>
      </c>
    </row>
    <row r="10720" spans="6:8">
      <c r="H10720" t="s">
        <v>20209</v>
      </c>
    </row>
    <row r="10721" spans="6:8">
      <c r="F10721" t="s">
        <v>11668</v>
      </c>
      <c r="G10721" t="s">
        <v>15909</v>
      </c>
      <c r="H10721" t="s">
        <v>20639</v>
      </c>
    </row>
    <row r="10722" spans="6:8">
      <c r="H10722" t="s">
        <v>18829</v>
      </c>
    </row>
    <row r="10723" spans="6:8">
      <c r="H10723" t="s">
        <v>18863</v>
      </c>
    </row>
    <row r="10724" spans="6:8">
      <c r="H10724" t="s">
        <v>20454</v>
      </c>
    </row>
    <row r="10725" spans="6:8">
      <c r="H10725" t="s">
        <v>19349</v>
      </c>
    </row>
    <row r="10726" spans="6:8">
      <c r="H10726" t="s">
        <v>20209</v>
      </c>
    </row>
    <row r="10727" spans="6:8">
      <c r="F10727" t="s">
        <v>11669</v>
      </c>
      <c r="G10727" t="s">
        <v>15910</v>
      </c>
      <c r="H10727" t="s">
        <v>20640</v>
      </c>
    </row>
    <row r="10728" spans="6:8">
      <c r="H10728" t="s">
        <v>18829</v>
      </c>
    </row>
    <row r="10729" spans="6:8">
      <c r="H10729" t="s">
        <v>18863</v>
      </c>
    </row>
    <row r="10730" spans="6:8">
      <c r="H10730" t="s">
        <v>20454</v>
      </c>
    </row>
    <row r="10731" spans="6:8">
      <c r="H10731" t="s">
        <v>19349</v>
      </c>
    </row>
    <row r="10732" spans="6:8">
      <c r="H10732" t="s">
        <v>20209</v>
      </c>
    </row>
    <row r="10733" spans="6:8">
      <c r="F10733" t="s">
        <v>11670</v>
      </c>
      <c r="G10733" t="s">
        <v>15911</v>
      </c>
      <c r="H10733" t="s">
        <v>20641</v>
      </c>
    </row>
    <row r="10734" spans="6:8">
      <c r="H10734" t="s">
        <v>18829</v>
      </c>
    </row>
    <row r="10735" spans="6:8">
      <c r="H10735" t="s">
        <v>18863</v>
      </c>
    </row>
    <row r="10736" spans="6:8">
      <c r="H10736" t="s">
        <v>20454</v>
      </c>
    </row>
    <row r="10737" spans="6:8">
      <c r="H10737" t="s">
        <v>19349</v>
      </c>
    </row>
    <row r="10738" spans="6:8">
      <c r="H10738" t="s">
        <v>20209</v>
      </c>
    </row>
    <row r="10739" spans="6:8">
      <c r="F10739" t="s">
        <v>11671</v>
      </c>
      <c r="G10739" t="s">
        <v>15912</v>
      </c>
      <c r="H10739" t="s">
        <v>20642</v>
      </c>
    </row>
    <row r="10740" spans="6:8">
      <c r="H10740" t="s">
        <v>18829</v>
      </c>
    </row>
    <row r="10741" spans="6:8">
      <c r="H10741" t="s">
        <v>18863</v>
      </c>
    </row>
    <row r="10742" spans="6:8">
      <c r="H10742" t="s">
        <v>20454</v>
      </c>
    </row>
    <row r="10743" spans="6:8">
      <c r="H10743" t="s">
        <v>19349</v>
      </c>
    </row>
    <row r="10744" spans="6:8">
      <c r="H10744" t="s">
        <v>20209</v>
      </c>
    </row>
    <row r="10745" spans="6:8">
      <c r="F10745" t="s">
        <v>11672</v>
      </c>
      <c r="G10745" t="s">
        <v>15913</v>
      </c>
      <c r="H10745" t="s">
        <v>20643</v>
      </c>
    </row>
    <row r="10746" spans="6:8">
      <c r="H10746" t="s">
        <v>18829</v>
      </c>
    </row>
    <row r="10747" spans="6:8">
      <c r="H10747" t="s">
        <v>18863</v>
      </c>
    </row>
    <row r="10748" spans="6:8">
      <c r="H10748" t="s">
        <v>20454</v>
      </c>
    </row>
    <row r="10749" spans="6:8">
      <c r="H10749" t="s">
        <v>19349</v>
      </c>
    </row>
    <row r="10750" spans="6:8">
      <c r="H10750" t="s">
        <v>20209</v>
      </c>
    </row>
    <row r="10751" spans="6:8">
      <c r="F10751" t="s">
        <v>11673</v>
      </c>
      <c r="G10751" t="s">
        <v>15914</v>
      </c>
      <c r="H10751" t="s">
        <v>20644</v>
      </c>
    </row>
    <row r="10752" spans="6:8">
      <c r="H10752" t="s">
        <v>18829</v>
      </c>
    </row>
    <row r="10753" spans="6:8">
      <c r="H10753" t="s">
        <v>18863</v>
      </c>
    </row>
    <row r="10754" spans="6:8">
      <c r="H10754" t="s">
        <v>20454</v>
      </c>
    </row>
    <row r="10755" spans="6:8">
      <c r="H10755" t="s">
        <v>19349</v>
      </c>
    </row>
    <row r="10756" spans="6:8">
      <c r="H10756" t="s">
        <v>20209</v>
      </c>
    </row>
    <row r="10757" spans="6:8">
      <c r="F10757" t="s">
        <v>11674</v>
      </c>
      <c r="G10757" t="s">
        <v>15915</v>
      </c>
      <c r="H10757" t="s">
        <v>20645</v>
      </c>
    </row>
    <row r="10758" spans="6:8">
      <c r="H10758" t="s">
        <v>18829</v>
      </c>
    </row>
    <row r="10759" spans="6:8">
      <c r="H10759" t="s">
        <v>18863</v>
      </c>
    </row>
    <row r="10760" spans="6:8">
      <c r="H10760" t="s">
        <v>20454</v>
      </c>
    </row>
    <row r="10761" spans="6:8">
      <c r="H10761" t="s">
        <v>19349</v>
      </c>
    </row>
    <row r="10762" spans="6:8">
      <c r="H10762" t="s">
        <v>20209</v>
      </c>
    </row>
    <row r="10763" spans="6:8">
      <c r="F10763" t="s">
        <v>11675</v>
      </c>
      <c r="G10763" t="s">
        <v>15916</v>
      </c>
      <c r="H10763" t="s">
        <v>20646</v>
      </c>
    </row>
    <row r="10764" spans="6:8">
      <c r="H10764" t="s">
        <v>18829</v>
      </c>
    </row>
    <row r="10765" spans="6:8">
      <c r="H10765" t="s">
        <v>18863</v>
      </c>
    </row>
    <row r="10766" spans="6:8">
      <c r="H10766" t="s">
        <v>20454</v>
      </c>
    </row>
    <row r="10767" spans="6:8">
      <c r="H10767" t="s">
        <v>19349</v>
      </c>
    </row>
    <row r="10768" spans="6:8">
      <c r="H10768" t="s">
        <v>20209</v>
      </c>
    </row>
    <row r="10769" spans="6:8">
      <c r="F10769" t="s">
        <v>11676</v>
      </c>
      <c r="G10769" t="s">
        <v>15917</v>
      </c>
      <c r="H10769" t="s">
        <v>20647</v>
      </c>
    </row>
    <row r="10770" spans="6:8">
      <c r="H10770" t="s">
        <v>18829</v>
      </c>
    </row>
    <row r="10771" spans="6:8">
      <c r="H10771" t="s">
        <v>18863</v>
      </c>
    </row>
    <row r="10772" spans="6:8">
      <c r="H10772" t="s">
        <v>20454</v>
      </c>
    </row>
    <row r="10773" spans="6:8">
      <c r="H10773" t="s">
        <v>19349</v>
      </c>
    </row>
    <row r="10774" spans="6:8">
      <c r="H10774" t="s">
        <v>20209</v>
      </c>
    </row>
    <row r="10775" spans="6:8">
      <c r="F10775" t="s">
        <v>11677</v>
      </c>
      <c r="G10775" t="s">
        <v>15918</v>
      </c>
      <c r="H10775" t="s">
        <v>20648</v>
      </c>
    </row>
    <row r="10776" spans="6:8">
      <c r="H10776" t="s">
        <v>18829</v>
      </c>
    </row>
    <row r="10777" spans="6:8">
      <c r="H10777" t="s">
        <v>18863</v>
      </c>
    </row>
    <row r="10778" spans="6:8">
      <c r="H10778" t="s">
        <v>20454</v>
      </c>
    </row>
    <row r="10779" spans="6:8">
      <c r="H10779" t="s">
        <v>19349</v>
      </c>
    </row>
    <row r="10780" spans="6:8">
      <c r="H10780" t="s">
        <v>20209</v>
      </c>
    </row>
    <row r="10781" spans="6:8">
      <c r="F10781" t="s">
        <v>11678</v>
      </c>
      <c r="G10781" t="s">
        <v>15919</v>
      </c>
      <c r="H10781" t="s">
        <v>20649</v>
      </c>
    </row>
    <row r="10782" spans="6:8">
      <c r="H10782" t="s">
        <v>18829</v>
      </c>
    </row>
    <row r="10783" spans="6:8">
      <c r="H10783" t="s">
        <v>18863</v>
      </c>
    </row>
    <row r="10784" spans="6:8">
      <c r="H10784" t="s">
        <v>20454</v>
      </c>
    </row>
    <row r="10785" spans="6:8">
      <c r="H10785" t="s">
        <v>19349</v>
      </c>
    </row>
    <row r="10786" spans="6:8">
      <c r="H10786" t="s">
        <v>20209</v>
      </c>
    </row>
    <row r="10787" spans="6:8">
      <c r="F10787" t="s">
        <v>11679</v>
      </c>
      <c r="G10787" t="s">
        <v>15920</v>
      </c>
      <c r="H10787" t="s">
        <v>20650</v>
      </c>
    </row>
    <row r="10788" spans="6:8">
      <c r="H10788" t="s">
        <v>18829</v>
      </c>
    </row>
    <row r="10789" spans="6:8">
      <c r="H10789" t="s">
        <v>18863</v>
      </c>
    </row>
    <row r="10790" spans="6:8">
      <c r="H10790" t="s">
        <v>20454</v>
      </c>
    </row>
    <row r="10791" spans="6:8">
      <c r="H10791" t="s">
        <v>19349</v>
      </c>
    </row>
    <row r="10792" spans="6:8">
      <c r="H10792" t="s">
        <v>20209</v>
      </c>
    </row>
    <row r="10793" spans="6:8">
      <c r="F10793" t="s">
        <v>11680</v>
      </c>
      <c r="G10793" t="s">
        <v>15921</v>
      </c>
      <c r="H10793" t="s">
        <v>20651</v>
      </c>
    </row>
    <row r="10794" spans="6:8">
      <c r="H10794" t="s">
        <v>18829</v>
      </c>
    </row>
    <row r="10795" spans="6:8">
      <c r="H10795" t="s">
        <v>18863</v>
      </c>
    </row>
    <row r="10796" spans="6:8">
      <c r="H10796" t="s">
        <v>20454</v>
      </c>
    </row>
    <row r="10797" spans="6:8">
      <c r="H10797" t="s">
        <v>19349</v>
      </c>
    </row>
    <row r="10798" spans="6:8">
      <c r="H10798" t="s">
        <v>20209</v>
      </c>
    </row>
    <row r="10799" spans="6:8">
      <c r="F10799" t="s">
        <v>11681</v>
      </c>
      <c r="G10799" t="s">
        <v>15922</v>
      </c>
      <c r="H10799" t="s">
        <v>20652</v>
      </c>
    </row>
    <row r="10800" spans="6:8">
      <c r="H10800" t="s">
        <v>18829</v>
      </c>
    </row>
    <row r="10801" spans="6:8">
      <c r="H10801" t="s">
        <v>18863</v>
      </c>
    </row>
    <row r="10802" spans="6:8">
      <c r="H10802" t="s">
        <v>20454</v>
      </c>
    </row>
    <row r="10803" spans="6:8">
      <c r="H10803" t="s">
        <v>19349</v>
      </c>
    </row>
    <row r="10804" spans="6:8">
      <c r="H10804" t="s">
        <v>20209</v>
      </c>
    </row>
    <row r="10805" spans="6:8">
      <c r="F10805" t="s">
        <v>11682</v>
      </c>
      <c r="G10805" t="s">
        <v>15923</v>
      </c>
      <c r="H10805" t="s">
        <v>20653</v>
      </c>
    </row>
    <row r="10806" spans="6:8">
      <c r="H10806" t="s">
        <v>18829</v>
      </c>
    </row>
    <row r="10807" spans="6:8">
      <c r="H10807" t="s">
        <v>18863</v>
      </c>
    </row>
    <row r="10808" spans="6:8">
      <c r="H10808" t="s">
        <v>20454</v>
      </c>
    </row>
    <row r="10809" spans="6:8">
      <c r="H10809" t="s">
        <v>19349</v>
      </c>
    </row>
    <row r="10810" spans="6:8">
      <c r="H10810" t="s">
        <v>20209</v>
      </c>
    </row>
    <row r="10811" spans="6:8">
      <c r="F10811" t="s">
        <v>11683</v>
      </c>
      <c r="G10811" t="s">
        <v>15924</v>
      </c>
      <c r="H10811" t="s">
        <v>20654</v>
      </c>
    </row>
    <row r="10812" spans="6:8">
      <c r="H10812" t="s">
        <v>18829</v>
      </c>
    </row>
    <row r="10813" spans="6:8">
      <c r="H10813" t="s">
        <v>18863</v>
      </c>
    </row>
    <row r="10814" spans="6:8">
      <c r="H10814" t="s">
        <v>20454</v>
      </c>
    </row>
    <row r="10815" spans="6:8">
      <c r="H10815" t="s">
        <v>19349</v>
      </c>
    </row>
    <row r="10816" spans="6:8">
      <c r="H10816" t="s">
        <v>20209</v>
      </c>
    </row>
    <row r="10817" spans="6:8">
      <c r="F10817" t="s">
        <v>11684</v>
      </c>
      <c r="G10817" t="s">
        <v>15925</v>
      </c>
      <c r="H10817" t="s">
        <v>20655</v>
      </c>
    </row>
    <row r="10818" spans="6:8">
      <c r="H10818" t="s">
        <v>18829</v>
      </c>
    </row>
    <row r="10819" spans="6:8">
      <c r="H10819" t="s">
        <v>18863</v>
      </c>
    </row>
    <row r="10820" spans="6:8">
      <c r="H10820" t="s">
        <v>20454</v>
      </c>
    </row>
    <row r="10821" spans="6:8">
      <c r="H10821" t="s">
        <v>19349</v>
      </c>
    </row>
    <row r="10822" spans="6:8">
      <c r="H10822" t="s">
        <v>20209</v>
      </c>
    </row>
    <row r="10823" spans="6:8">
      <c r="F10823" t="s">
        <v>11685</v>
      </c>
      <c r="G10823" t="s">
        <v>15926</v>
      </c>
      <c r="H10823" t="s">
        <v>20656</v>
      </c>
    </row>
    <row r="10824" spans="6:8">
      <c r="H10824" t="s">
        <v>18829</v>
      </c>
    </row>
    <row r="10825" spans="6:8">
      <c r="H10825" t="s">
        <v>18863</v>
      </c>
    </row>
    <row r="10826" spans="6:8">
      <c r="H10826" t="s">
        <v>20454</v>
      </c>
    </row>
    <row r="10827" spans="6:8">
      <c r="H10827" t="s">
        <v>19349</v>
      </c>
    </row>
    <row r="10828" spans="6:8">
      <c r="H10828" t="s">
        <v>20209</v>
      </c>
    </row>
    <row r="10829" spans="6:8">
      <c r="F10829" t="s">
        <v>11686</v>
      </c>
      <c r="G10829" t="s">
        <v>15927</v>
      </c>
      <c r="H10829" t="s">
        <v>20657</v>
      </c>
    </row>
    <row r="10830" spans="6:8">
      <c r="H10830" t="s">
        <v>18829</v>
      </c>
    </row>
    <row r="10831" spans="6:8">
      <c r="H10831" t="s">
        <v>18863</v>
      </c>
    </row>
    <row r="10832" spans="6:8">
      <c r="H10832" t="s">
        <v>20454</v>
      </c>
    </row>
    <row r="10833" spans="6:8">
      <c r="H10833" t="s">
        <v>19349</v>
      </c>
    </row>
    <row r="10834" spans="6:8">
      <c r="H10834" t="s">
        <v>20209</v>
      </c>
    </row>
    <row r="10835" spans="6:8">
      <c r="F10835" t="s">
        <v>11687</v>
      </c>
      <c r="G10835" t="s">
        <v>15928</v>
      </c>
      <c r="H10835" t="s">
        <v>20658</v>
      </c>
    </row>
    <row r="10836" spans="6:8">
      <c r="H10836" t="s">
        <v>18829</v>
      </c>
    </row>
    <row r="10837" spans="6:8">
      <c r="H10837" t="s">
        <v>18863</v>
      </c>
    </row>
    <row r="10838" spans="6:8">
      <c r="H10838" t="s">
        <v>20454</v>
      </c>
    </row>
    <row r="10839" spans="6:8">
      <c r="H10839" t="s">
        <v>19349</v>
      </c>
    </row>
    <row r="10840" spans="6:8">
      <c r="H10840" t="s">
        <v>20209</v>
      </c>
    </row>
    <row r="10841" spans="6:8">
      <c r="F10841" t="s">
        <v>11688</v>
      </c>
      <c r="G10841" t="s">
        <v>15929</v>
      </c>
      <c r="H10841" t="s">
        <v>20659</v>
      </c>
    </row>
    <row r="10842" spans="6:8">
      <c r="H10842" t="s">
        <v>18829</v>
      </c>
    </row>
    <row r="10843" spans="6:8">
      <c r="H10843" t="s">
        <v>18863</v>
      </c>
    </row>
    <row r="10844" spans="6:8">
      <c r="H10844" t="s">
        <v>20454</v>
      </c>
    </row>
    <row r="10845" spans="6:8">
      <c r="H10845" t="s">
        <v>19349</v>
      </c>
    </row>
    <row r="10846" spans="6:8">
      <c r="H10846" t="s">
        <v>20209</v>
      </c>
    </row>
    <row r="10847" spans="6:8">
      <c r="F10847" t="s">
        <v>11689</v>
      </c>
      <c r="G10847" t="s">
        <v>15930</v>
      </c>
      <c r="H10847" t="s">
        <v>20660</v>
      </c>
    </row>
    <row r="10848" spans="6:8">
      <c r="H10848" t="s">
        <v>18829</v>
      </c>
    </row>
    <row r="10849" spans="6:8">
      <c r="H10849" t="s">
        <v>18863</v>
      </c>
    </row>
    <row r="10850" spans="6:8">
      <c r="H10850" t="s">
        <v>20454</v>
      </c>
    </row>
    <row r="10851" spans="6:8">
      <c r="H10851" t="s">
        <v>19349</v>
      </c>
    </row>
    <row r="10852" spans="6:8">
      <c r="H10852" t="s">
        <v>20209</v>
      </c>
    </row>
    <row r="10853" spans="6:8">
      <c r="F10853" t="s">
        <v>11690</v>
      </c>
      <c r="G10853" t="s">
        <v>15931</v>
      </c>
      <c r="H10853" t="s">
        <v>20661</v>
      </c>
    </row>
    <row r="10854" spans="6:8">
      <c r="H10854" t="s">
        <v>18829</v>
      </c>
    </row>
    <row r="10855" spans="6:8">
      <c r="H10855" t="s">
        <v>18863</v>
      </c>
    </row>
    <row r="10856" spans="6:8">
      <c r="H10856" t="s">
        <v>20454</v>
      </c>
    </row>
    <row r="10857" spans="6:8">
      <c r="H10857" t="s">
        <v>19349</v>
      </c>
    </row>
    <row r="10858" spans="6:8">
      <c r="H10858" t="s">
        <v>20209</v>
      </c>
    </row>
    <row r="10859" spans="6:8">
      <c r="F10859" t="s">
        <v>11691</v>
      </c>
      <c r="G10859" t="s">
        <v>15932</v>
      </c>
      <c r="H10859" t="s">
        <v>20662</v>
      </c>
    </row>
    <row r="10860" spans="6:8">
      <c r="H10860" t="s">
        <v>18829</v>
      </c>
    </row>
    <row r="10861" spans="6:8">
      <c r="H10861" t="s">
        <v>18863</v>
      </c>
    </row>
    <row r="10862" spans="6:8">
      <c r="H10862" t="s">
        <v>20454</v>
      </c>
    </row>
    <row r="10863" spans="6:8">
      <c r="H10863" t="s">
        <v>19349</v>
      </c>
    </row>
    <row r="10864" spans="6:8">
      <c r="H10864" t="s">
        <v>20209</v>
      </c>
    </row>
    <row r="10865" spans="6:8">
      <c r="F10865" t="s">
        <v>11692</v>
      </c>
      <c r="G10865" t="s">
        <v>15933</v>
      </c>
      <c r="H10865" t="s">
        <v>20663</v>
      </c>
    </row>
    <row r="10866" spans="6:8">
      <c r="H10866" t="s">
        <v>18829</v>
      </c>
    </row>
    <row r="10867" spans="6:8">
      <c r="H10867" t="s">
        <v>18863</v>
      </c>
    </row>
    <row r="10868" spans="6:8">
      <c r="H10868" t="s">
        <v>20454</v>
      </c>
    </row>
    <row r="10869" spans="6:8">
      <c r="H10869" t="s">
        <v>19349</v>
      </c>
    </row>
    <row r="10870" spans="6:8">
      <c r="H10870" t="s">
        <v>20209</v>
      </c>
    </row>
    <row r="10871" spans="6:8">
      <c r="F10871" t="s">
        <v>11693</v>
      </c>
      <c r="G10871" t="s">
        <v>15934</v>
      </c>
      <c r="H10871" t="s">
        <v>20664</v>
      </c>
    </row>
    <row r="10872" spans="6:8">
      <c r="H10872" t="s">
        <v>18829</v>
      </c>
    </row>
    <row r="10873" spans="6:8">
      <c r="H10873" t="s">
        <v>18863</v>
      </c>
    </row>
    <row r="10874" spans="6:8">
      <c r="H10874" t="s">
        <v>20454</v>
      </c>
    </row>
    <row r="10875" spans="6:8">
      <c r="H10875" t="s">
        <v>19349</v>
      </c>
    </row>
    <row r="10876" spans="6:8">
      <c r="H10876" t="s">
        <v>20209</v>
      </c>
    </row>
    <row r="10877" spans="6:8">
      <c r="F10877" t="s">
        <v>11694</v>
      </c>
      <c r="G10877" t="s">
        <v>15935</v>
      </c>
      <c r="H10877" t="s">
        <v>20665</v>
      </c>
    </row>
    <row r="10878" spans="6:8">
      <c r="H10878" t="s">
        <v>18829</v>
      </c>
    </row>
    <row r="10879" spans="6:8">
      <c r="H10879" t="s">
        <v>18863</v>
      </c>
    </row>
    <row r="10880" spans="6:8">
      <c r="H10880" t="s">
        <v>20454</v>
      </c>
    </row>
    <row r="10881" spans="6:8">
      <c r="H10881" t="s">
        <v>19349</v>
      </c>
    </row>
    <row r="10882" spans="6:8">
      <c r="H10882" t="s">
        <v>20209</v>
      </c>
    </row>
    <row r="10883" spans="6:8">
      <c r="F10883" t="s">
        <v>11695</v>
      </c>
      <c r="G10883" t="s">
        <v>15936</v>
      </c>
      <c r="H10883" t="s">
        <v>20666</v>
      </c>
    </row>
    <row r="10884" spans="6:8">
      <c r="H10884" t="s">
        <v>18829</v>
      </c>
    </row>
    <row r="10885" spans="6:8">
      <c r="H10885" t="s">
        <v>18863</v>
      </c>
    </row>
    <row r="10886" spans="6:8">
      <c r="H10886" t="s">
        <v>20454</v>
      </c>
    </row>
    <row r="10887" spans="6:8">
      <c r="H10887" t="s">
        <v>19349</v>
      </c>
    </row>
    <row r="10888" spans="6:8">
      <c r="H10888" t="s">
        <v>20209</v>
      </c>
    </row>
    <row r="10889" spans="6:8">
      <c r="F10889" t="s">
        <v>11696</v>
      </c>
      <c r="G10889" t="s">
        <v>15937</v>
      </c>
      <c r="H10889" t="s">
        <v>20667</v>
      </c>
    </row>
    <row r="10890" spans="6:8">
      <c r="H10890" t="s">
        <v>18829</v>
      </c>
    </row>
    <row r="10891" spans="6:8">
      <c r="H10891" t="s">
        <v>18863</v>
      </c>
    </row>
    <row r="10892" spans="6:8">
      <c r="H10892" t="s">
        <v>20454</v>
      </c>
    </row>
    <row r="10893" spans="6:8">
      <c r="H10893" t="s">
        <v>19349</v>
      </c>
    </row>
    <row r="10894" spans="6:8">
      <c r="H10894" t="s">
        <v>20209</v>
      </c>
    </row>
    <row r="10895" spans="6:8">
      <c r="F10895" t="s">
        <v>11697</v>
      </c>
      <c r="G10895" t="s">
        <v>15938</v>
      </c>
      <c r="H10895" t="s">
        <v>20668</v>
      </c>
    </row>
    <row r="10896" spans="6:8">
      <c r="H10896" t="s">
        <v>18829</v>
      </c>
    </row>
    <row r="10897" spans="6:8">
      <c r="H10897" t="s">
        <v>18863</v>
      </c>
    </row>
    <row r="10898" spans="6:8">
      <c r="H10898" t="s">
        <v>20454</v>
      </c>
    </row>
    <row r="10899" spans="6:8">
      <c r="H10899" t="s">
        <v>19349</v>
      </c>
    </row>
    <row r="10900" spans="6:8">
      <c r="H10900" t="s">
        <v>20209</v>
      </c>
    </row>
    <row r="10901" spans="6:8">
      <c r="F10901" t="s">
        <v>11698</v>
      </c>
      <c r="G10901" t="s">
        <v>15939</v>
      </c>
      <c r="H10901" t="s">
        <v>20669</v>
      </c>
    </row>
    <row r="10902" spans="6:8">
      <c r="H10902" t="s">
        <v>18829</v>
      </c>
    </row>
    <row r="10903" spans="6:8">
      <c r="H10903" t="s">
        <v>18863</v>
      </c>
    </row>
    <row r="10904" spans="6:8">
      <c r="H10904" t="s">
        <v>20454</v>
      </c>
    </row>
    <row r="10905" spans="6:8">
      <c r="H10905" t="s">
        <v>19349</v>
      </c>
    </row>
    <row r="10906" spans="6:8">
      <c r="H10906" t="s">
        <v>20209</v>
      </c>
    </row>
    <row r="10907" spans="6:8">
      <c r="F10907" t="s">
        <v>11699</v>
      </c>
      <c r="G10907" t="s">
        <v>15940</v>
      </c>
      <c r="H10907" t="s">
        <v>20670</v>
      </c>
    </row>
    <row r="10908" spans="6:8">
      <c r="H10908" t="s">
        <v>18829</v>
      </c>
    </row>
    <row r="10909" spans="6:8">
      <c r="H10909" t="s">
        <v>18863</v>
      </c>
    </row>
    <row r="10910" spans="6:8">
      <c r="H10910" t="s">
        <v>20454</v>
      </c>
    </row>
    <row r="10911" spans="6:8">
      <c r="H10911" t="s">
        <v>19349</v>
      </c>
    </row>
    <row r="10912" spans="6:8">
      <c r="H10912" t="s">
        <v>20209</v>
      </c>
    </row>
    <row r="10913" spans="6:8">
      <c r="F10913" t="s">
        <v>11700</v>
      </c>
      <c r="G10913" t="s">
        <v>15941</v>
      </c>
      <c r="H10913" t="s">
        <v>20671</v>
      </c>
    </row>
    <row r="10914" spans="6:8">
      <c r="H10914" t="s">
        <v>18829</v>
      </c>
    </row>
    <row r="10915" spans="6:8">
      <c r="H10915" t="s">
        <v>18863</v>
      </c>
    </row>
    <row r="10916" spans="6:8">
      <c r="H10916" t="s">
        <v>20454</v>
      </c>
    </row>
    <row r="10917" spans="6:8">
      <c r="H10917" t="s">
        <v>19349</v>
      </c>
    </row>
    <row r="10918" spans="6:8">
      <c r="H10918" t="s">
        <v>20209</v>
      </c>
    </row>
    <row r="10919" spans="6:8">
      <c r="F10919" t="s">
        <v>11701</v>
      </c>
      <c r="G10919" t="s">
        <v>15942</v>
      </c>
      <c r="H10919" t="s">
        <v>20672</v>
      </c>
    </row>
    <row r="10920" spans="6:8">
      <c r="H10920" t="s">
        <v>18829</v>
      </c>
    </row>
    <row r="10921" spans="6:8">
      <c r="H10921" t="s">
        <v>18863</v>
      </c>
    </row>
    <row r="10922" spans="6:8">
      <c r="H10922" t="s">
        <v>20454</v>
      </c>
    </row>
    <row r="10923" spans="6:8">
      <c r="H10923" t="s">
        <v>19349</v>
      </c>
    </row>
    <row r="10924" spans="6:8">
      <c r="H10924" t="s">
        <v>20209</v>
      </c>
    </row>
    <row r="10925" spans="6:8">
      <c r="F10925" t="s">
        <v>11702</v>
      </c>
      <c r="G10925" t="s">
        <v>15943</v>
      </c>
      <c r="H10925" t="s">
        <v>20673</v>
      </c>
    </row>
    <row r="10926" spans="6:8">
      <c r="H10926" t="s">
        <v>18829</v>
      </c>
    </row>
    <row r="10927" spans="6:8">
      <c r="H10927" t="s">
        <v>18863</v>
      </c>
    </row>
    <row r="10928" spans="6:8">
      <c r="H10928" t="s">
        <v>20454</v>
      </c>
    </row>
    <row r="10929" spans="6:8">
      <c r="H10929" t="s">
        <v>19349</v>
      </c>
    </row>
    <row r="10930" spans="6:8">
      <c r="H10930" t="s">
        <v>20209</v>
      </c>
    </row>
    <row r="10931" spans="6:8">
      <c r="F10931" t="s">
        <v>11703</v>
      </c>
      <c r="G10931" t="s">
        <v>15944</v>
      </c>
      <c r="H10931" t="s">
        <v>20674</v>
      </c>
    </row>
    <row r="10932" spans="6:8">
      <c r="H10932" t="s">
        <v>18829</v>
      </c>
    </row>
    <row r="10933" spans="6:8">
      <c r="H10933" t="s">
        <v>18863</v>
      </c>
    </row>
    <row r="10934" spans="6:8">
      <c r="H10934" t="s">
        <v>20454</v>
      </c>
    </row>
    <row r="10935" spans="6:8">
      <c r="H10935" t="s">
        <v>19349</v>
      </c>
    </row>
    <row r="10936" spans="6:8">
      <c r="H10936" t="s">
        <v>20209</v>
      </c>
    </row>
    <row r="10937" spans="6:8">
      <c r="F10937" t="s">
        <v>11704</v>
      </c>
      <c r="G10937" t="s">
        <v>15945</v>
      </c>
      <c r="H10937" t="s">
        <v>20675</v>
      </c>
    </row>
    <row r="10938" spans="6:8">
      <c r="H10938" t="s">
        <v>18829</v>
      </c>
    </row>
    <row r="10939" spans="6:8">
      <c r="H10939" t="s">
        <v>18863</v>
      </c>
    </row>
    <row r="10940" spans="6:8">
      <c r="H10940" t="s">
        <v>20454</v>
      </c>
    </row>
    <row r="10941" spans="6:8">
      <c r="H10941" t="s">
        <v>19349</v>
      </c>
    </row>
    <row r="10942" spans="6:8">
      <c r="H10942" t="s">
        <v>20209</v>
      </c>
    </row>
    <row r="10943" spans="6:8">
      <c r="F10943" t="s">
        <v>11705</v>
      </c>
      <c r="G10943" t="s">
        <v>15946</v>
      </c>
      <c r="H10943" t="s">
        <v>20676</v>
      </c>
    </row>
    <row r="10944" spans="6:8">
      <c r="H10944" t="s">
        <v>18829</v>
      </c>
    </row>
    <row r="10945" spans="6:8">
      <c r="H10945" t="s">
        <v>18863</v>
      </c>
    </row>
    <row r="10946" spans="6:8">
      <c r="H10946" t="s">
        <v>20454</v>
      </c>
    </row>
    <row r="10947" spans="6:8">
      <c r="H10947" t="s">
        <v>19349</v>
      </c>
    </row>
    <row r="10948" spans="6:8">
      <c r="H10948" t="s">
        <v>20209</v>
      </c>
    </row>
    <row r="10949" spans="6:8">
      <c r="F10949" t="s">
        <v>11706</v>
      </c>
      <c r="G10949" t="s">
        <v>15947</v>
      </c>
      <c r="H10949" t="s">
        <v>20677</v>
      </c>
    </row>
    <row r="10950" spans="6:8">
      <c r="H10950" t="s">
        <v>18829</v>
      </c>
    </row>
    <row r="10951" spans="6:8">
      <c r="H10951" t="s">
        <v>18863</v>
      </c>
    </row>
    <row r="10952" spans="6:8">
      <c r="H10952" t="s">
        <v>20454</v>
      </c>
    </row>
    <row r="10953" spans="6:8">
      <c r="H10953" t="s">
        <v>19349</v>
      </c>
    </row>
    <row r="10954" spans="6:8">
      <c r="H10954" t="s">
        <v>20209</v>
      </c>
    </row>
    <row r="10955" spans="6:8">
      <c r="F10955" t="s">
        <v>11707</v>
      </c>
      <c r="G10955" t="s">
        <v>15948</v>
      </c>
      <c r="H10955" t="s">
        <v>20678</v>
      </c>
    </row>
    <row r="10956" spans="6:8">
      <c r="H10956" t="s">
        <v>18829</v>
      </c>
    </row>
    <row r="10957" spans="6:8">
      <c r="H10957" t="s">
        <v>18863</v>
      </c>
    </row>
    <row r="10958" spans="6:8">
      <c r="H10958" t="s">
        <v>20454</v>
      </c>
    </row>
    <row r="10959" spans="6:8">
      <c r="H10959" t="s">
        <v>19349</v>
      </c>
    </row>
    <row r="10960" spans="6:8">
      <c r="H10960" t="s">
        <v>20209</v>
      </c>
    </row>
    <row r="10961" spans="6:8">
      <c r="F10961" t="s">
        <v>11708</v>
      </c>
      <c r="G10961" t="s">
        <v>15949</v>
      </c>
      <c r="H10961" t="s">
        <v>20679</v>
      </c>
    </row>
    <row r="10962" spans="6:8">
      <c r="H10962" t="s">
        <v>18829</v>
      </c>
    </row>
    <row r="10963" spans="6:8">
      <c r="H10963" t="s">
        <v>18863</v>
      </c>
    </row>
    <row r="10964" spans="6:8">
      <c r="H10964" t="s">
        <v>20454</v>
      </c>
    </row>
    <row r="10965" spans="6:8">
      <c r="H10965" t="s">
        <v>19349</v>
      </c>
    </row>
    <row r="10966" spans="6:8">
      <c r="H10966" t="s">
        <v>20209</v>
      </c>
    </row>
    <row r="10967" spans="6:8">
      <c r="F10967" t="s">
        <v>11709</v>
      </c>
      <c r="G10967" t="s">
        <v>15950</v>
      </c>
      <c r="H10967" t="s">
        <v>20680</v>
      </c>
    </row>
    <row r="10968" spans="6:8">
      <c r="H10968" t="s">
        <v>18829</v>
      </c>
    </row>
    <row r="10969" spans="6:8">
      <c r="H10969" t="s">
        <v>18863</v>
      </c>
    </row>
    <row r="10970" spans="6:8">
      <c r="H10970" t="s">
        <v>20454</v>
      </c>
    </row>
    <row r="10971" spans="6:8">
      <c r="H10971" t="s">
        <v>19349</v>
      </c>
    </row>
    <row r="10972" spans="6:8">
      <c r="H10972" t="s">
        <v>20209</v>
      </c>
    </row>
    <row r="10973" spans="6:8">
      <c r="F10973" t="s">
        <v>11710</v>
      </c>
      <c r="G10973" t="s">
        <v>15951</v>
      </c>
      <c r="H10973" t="s">
        <v>20681</v>
      </c>
    </row>
    <row r="10974" spans="6:8">
      <c r="H10974" t="s">
        <v>18829</v>
      </c>
    </row>
    <row r="10975" spans="6:8">
      <c r="H10975" t="s">
        <v>18863</v>
      </c>
    </row>
    <row r="10976" spans="6:8">
      <c r="H10976" t="s">
        <v>20454</v>
      </c>
    </row>
    <row r="10977" spans="6:8">
      <c r="H10977" t="s">
        <v>19349</v>
      </c>
    </row>
    <row r="10978" spans="6:8">
      <c r="H10978" t="s">
        <v>20209</v>
      </c>
    </row>
    <row r="10979" spans="6:8">
      <c r="F10979" t="s">
        <v>11711</v>
      </c>
      <c r="G10979" t="s">
        <v>15952</v>
      </c>
      <c r="H10979" t="s">
        <v>20682</v>
      </c>
    </row>
    <row r="10980" spans="6:8">
      <c r="H10980" t="s">
        <v>18829</v>
      </c>
    </row>
    <row r="10981" spans="6:8">
      <c r="H10981" t="s">
        <v>18863</v>
      </c>
    </row>
    <row r="10982" spans="6:8">
      <c r="H10982" t="s">
        <v>20454</v>
      </c>
    </row>
    <row r="10983" spans="6:8">
      <c r="H10983" t="s">
        <v>19349</v>
      </c>
    </row>
    <row r="10984" spans="6:8">
      <c r="H10984" t="s">
        <v>20209</v>
      </c>
    </row>
    <row r="10985" spans="6:8">
      <c r="F10985" t="s">
        <v>11712</v>
      </c>
      <c r="G10985" t="s">
        <v>15953</v>
      </c>
      <c r="H10985" t="s">
        <v>20683</v>
      </c>
    </row>
    <row r="10986" spans="6:8">
      <c r="H10986" t="s">
        <v>18829</v>
      </c>
    </row>
    <row r="10987" spans="6:8">
      <c r="H10987" t="s">
        <v>18863</v>
      </c>
    </row>
    <row r="10988" spans="6:8">
      <c r="H10988" t="s">
        <v>20454</v>
      </c>
    </row>
    <row r="10989" spans="6:8">
      <c r="H10989" t="s">
        <v>19349</v>
      </c>
    </row>
    <row r="10990" spans="6:8">
      <c r="H10990" t="s">
        <v>20209</v>
      </c>
    </row>
    <row r="10991" spans="6:8">
      <c r="F10991" t="s">
        <v>11713</v>
      </c>
      <c r="G10991" t="s">
        <v>15954</v>
      </c>
      <c r="H10991" t="s">
        <v>20684</v>
      </c>
    </row>
    <row r="10992" spans="6:8">
      <c r="H10992" t="s">
        <v>18829</v>
      </c>
    </row>
    <row r="10993" spans="6:8">
      <c r="H10993" t="s">
        <v>18863</v>
      </c>
    </row>
    <row r="10994" spans="6:8">
      <c r="H10994" t="s">
        <v>20454</v>
      </c>
    </row>
    <row r="10995" spans="6:8">
      <c r="H10995" t="s">
        <v>19349</v>
      </c>
    </row>
    <row r="10996" spans="6:8">
      <c r="H10996" t="s">
        <v>20209</v>
      </c>
    </row>
    <row r="10997" spans="6:8">
      <c r="F10997" t="s">
        <v>11714</v>
      </c>
      <c r="G10997" t="s">
        <v>15955</v>
      </c>
      <c r="H10997" t="s">
        <v>20685</v>
      </c>
    </row>
    <row r="10998" spans="6:8">
      <c r="H10998" t="s">
        <v>18829</v>
      </c>
    </row>
    <row r="10999" spans="6:8">
      <c r="H10999" t="s">
        <v>18863</v>
      </c>
    </row>
    <row r="11000" spans="6:8">
      <c r="H11000" t="s">
        <v>20454</v>
      </c>
    </row>
    <row r="11001" spans="6:8">
      <c r="H11001" t="s">
        <v>19349</v>
      </c>
    </row>
    <row r="11002" spans="6:8">
      <c r="H11002" t="s">
        <v>20209</v>
      </c>
    </row>
    <row r="11003" spans="6:8">
      <c r="F11003" t="s">
        <v>11715</v>
      </c>
      <c r="G11003" t="s">
        <v>15956</v>
      </c>
      <c r="H11003" t="s">
        <v>20686</v>
      </c>
    </row>
    <row r="11004" spans="6:8">
      <c r="H11004" t="s">
        <v>18829</v>
      </c>
    </row>
    <row r="11005" spans="6:8">
      <c r="H11005" t="s">
        <v>18863</v>
      </c>
    </row>
    <row r="11006" spans="6:8">
      <c r="H11006" t="s">
        <v>20454</v>
      </c>
    </row>
    <row r="11007" spans="6:8">
      <c r="H11007" t="s">
        <v>19349</v>
      </c>
    </row>
    <row r="11008" spans="6:8">
      <c r="H11008" t="s">
        <v>20209</v>
      </c>
    </row>
    <row r="11009" spans="6:8">
      <c r="F11009" t="s">
        <v>11716</v>
      </c>
      <c r="G11009" t="s">
        <v>15957</v>
      </c>
      <c r="H11009" t="s">
        <v>20687</v>
      </c>
    </row>
    <row r="11010" spans="6:8">
      <c r="H11010" t="s">
        <v>18829</v>
      </c>
    </row>
    <row r="11011" spans="6:8">
      <c r="H11011" t="s">
        <v>18863</v>
      </c>
    </row>
    <row r="11012" spans="6:8">
      <c r="H11012" t="s">
        <v>20454</v>
      </c>
    </row>
    <row r="11013" spans="6:8">
      <c r="H11013" t="s">
        <v>19349</v>
      </c>
    </row>
    <row r="11014" spans="6:8">
      <c r="H11014" t="s">
        <v>20209</v>
      </c>
    </row>
    <row r="11015" spans="6:8">
      <c r="F11015" t="s">
        <v>11717</v>
      </c>
      <c r="G11015" t="s">
        <v>15958</v>
      </c>
      <c r="H11015" t="s">
        <v>20688</v>
      </c>
    </row>
    <row r="11016" spans="6:8">
      <c r="H11016" t="s">
        <v>18829</v>
      </c>
    </row>
    <row r="11017" spans="6:8">
      <c r="H11017" t="s">
        <v>18863</v>
      </c>
    </row>
    <row r="11018" spans="6:8">
      <c r="H11018" t="s">
        <v>20454</v>
      </c>
    </row>
    <row r="11019" spans="6:8">
      <c r="H11019" t="s">
        <v>19349</v>
      </c>
    </row>
    <row r="11020" spans="6:8">
      <c r="H11020" t="s">
        <v>20209</v>
      </c>
    </row>
    <row r="11021" spans="6:8">
      <c r="F11021" t="s">
        <v>11718</v>
      </c>
      <c r="G11021" t="s">
        <v>15959</v>
      </c>
      <c r="H11021" t="s">
        <v>20689</v>
      </c>
    </row>
    <row r="11022" spans="6:8">
      <c r="H11022" t="s">
        <v>18829</v>
      </c>
    </row>
    <row r="11023" spans="6:8">
      <c r="H11023" t="s">
        <v>18863</v>
      </c>
    </row>
    <row r="11024" spans="6:8">
      <c r="H11024" t="s">
        <v>20454</v>
      </c>
    </row>
    <row r="11025" spans="6:8">
      <c r="H11025" t="s">
        <v>19349</v>
      </c>
    </row>
    <row r="11026" spans="6:8">
      <c r="H11026" t="s">
        <v>20209</v>
      </c>
    </row>
    <row r="11027" spans="6:8">
      <c r="F11027" t="s">
        <v>11719</v>
      </c>
      <c r="G11027" t="s">
        <v>15960</v>
      </c>
      <c r="H11027" t="s">
        <v>20690</v>
      </c>
    </row>
    <row r="11028" spans="6:8">
      <c r="H11028" t="s">
        <v>18829</v>
      </c>
    </row>
    <row r="11029" spans="6:8">
      <c r="H11029" t="s">
        <v>18863</v>
      </c>
    </row>
    <row r="11030" spans="6:8">
      <c r="H11030" t="s">
        <v>20454</v>
      </c>
    </row>
    <row r="11031" spans="6:8">
      <c r="H11031" t="s">
        <v>19349</v>
      </c>
    </row>
    <row r="11032" spans="6:8">
      <c r="H11032" t="s">
        <v>20209</v>
      </c>
    </row>
    <row r="11033" spans="6:8">
      <c r="F11033" t="s">
        <v>11720</v>
      </c>
      <c r="G11033" t="s">
        <v>15961</v>
      </c>
      <c r="H11033" t="s">
        <v>20691</v>
      </c>
    </row>
    <row r="11034" spans="6:8">
      <c r="H11034" t="s">
        <v>18829</v>
      </c>
    </row>
    <row r="11035" spans="6:8">
      <c r="H11035" t="s">
        <v>18863</v>
      </c>
    </row>
    <row r="11036" spans="6:8">
      <c r="H11036" t="s">
        <v>20454</v>
      </c>
    </row>
    <row r="11037" spans="6:8">
      <c r="H11037" t="s">
        <v>19349</v>
      </c>
    </row>
    <row r="11038" spans="6:8">
      <c r="H11038" t="s">
        <v>20209</v>
      </c>
    </row>
    <row r="11039" spans="6:8">
      <c r="F11039" t="s">
        <v>11721</v>
      </c>
      <c r="G11039" t="s">
        <v>15962</v>
      </c>
      <c r="H11039" t="s">
        <v>20692</v>
      </c>
    </row>
    <row r="11040" spans="6:8">
      <c r="H11040" t="s">
        <v>18829</v>
      </c>
    </row>
    <row r="11041" spans="6:8">
      <c r="H11041" t="s">
        <v>18863</v>
      </c>
    </row>
    <row r="11042" spans="6:8">
      <c r="H11042" t="s">
        <v>20454</v>
      </c>
    </row>
    <row r="11043" spans="6:8">
      <c r="H11043" t="s">
        <v>19349</v>
      </c>
    </row>
    <row r="11044" spans="6:8">
      <c r="H11044" t="s">
        <v>20209</v>
      </c>
    </row>
    <row r="11045" spans="6:8">
      <c r="F11045" t="s">
        <v>11722</v>
      </c>
      <c r="G11045" t="s">
        <v>15963</v>
      </c>
      <c r="H11045" t="s">
        <v>20693</v>
      </c>
    </row>
    <row r="11046" spans="6:8">
      <c r="H11046" t="s">
        <v>18829</v>
      </c>
    </row>
    <row r="11047" spans="6:8">
      <c r="H11047" t="s">
        <v>18863</v>
      </c>
    </row>
    <row r="11048" spans="6:8">
      <c r="H11048" t="s">
        <v>20454</v>
      </c>
    </row>
    <row r="11049" spans="6:8">
      <c r="H11049" t="s">
        <v>19349</v>
      </c>
    </row>
    <row r="11050" spans="6:8">
      <c r="H11050" t="s">
        <v>20209</v>
      </c>
    </row>
    <row r="11051" spans="6:8">
      <c r="F11051" t="s">
        <v>11723</v>
      </c>
      <c r="G11051" t="s">
        <v>15964</v>
      </c>
      <c r="H11051" t="s">
        <v>20694</v>
      </c>
    </row>
    <row r="11052" spans="6:8">
      <c r="H11052" t="s">
        <v>18829</v>
      </c>
    </row>
    <row r="11053" spans="6:8">
      <c r="H11053" t="s">
        <v>18863</v>
      </c>
    </row>
    <row r="11054" spans="6:8">
      <c r="H11054" t="s">
        <v>20454</v>
      </c>
    </row>
    <row r="11055" spans="6:8">
      <c r="H11055" t="s">
        <v>19349</v>
      </c>
    </row>
    <row r="11056" spans="6:8">
      <c r="H11056" t="s">
        <v>20209</v>
      </c>
    </row>
    <row r="11057" spans="6:8">
      <c r="F11057" t="s">
        <v>11724</v>
      </c>
      <c r="G11057" t="s">
        <v>15965</v>
      </c>
      <c r="H11057" t="s">
        <v>20695</v>
      </c>
    </row>
    <row r="11058" spans="6:8">
      <c r="H11058" t="s">
        <v>18829</v>
      </c>
    </row>
    <row r="11059" spans="6:8">
      <c r="H11059" t="s">
        <v>18863</v>
      </c>
    </row>
    <row r="11060" spans="6:8">
      <c r="H11060" t="s">
        <v>20454</v>
      </c>
    </row>
    <row r="11061" spans="6:8">
      <c r="H11061" t="s">
        <v>19349</v>
      </c>
    </row>
    <row r="11062" spans="6:8">
      <c r="H11062" t="s">
        <v>20209</v>
      </c>
    </row>
    <row r="11063" spans="6:8">
      <c r="F11063" t="s">
        <v>11725</v>
      </c>
      <c r="G11063" t="s">
        <v>15966</v>
      </c>
      <c r="H11063" t="s">
        <v>20696</v>
      </c>
    </row>
    <row r="11064" spans="6:8">
      <c r="H11064" t="s">
        <v>18829</v>
      </c>
    </row>
    <row r="11065" spans="6:8">
      <c r="H11065" t="s">
        <v>18863</v>
      </c>
    </row>
    <row r="11066" spans="6:8">
      <c r="H11066" t="s">
        <v>20454</v>
      </c>
    </row>
    <row r="11067" spans="6:8">
      <c r="H11067" t="s">
        <v>19349</v>
      </c>
    </row>
    <row r="11068" spans="6:8">
      <c r="H11068" t="s">
        <v>20209</v>
      </c>
    </row>
    <row r="11069" spans="6:8">
      <c r="F11069" t="s">
        <v>11726</v>
      </c>
      <c r="G11069" t="s">
        <v>15967</v>
      </c>
      <c r="H11069" t="s">
        <v>20697</v>
      </c>
    </row>
    <row r="11070" spans="6:8">
      <c r="H11070" t="s">
        <v>18829</v>
      </c>
    </row>
    <row r="11071" spans="6:8">
      <c r="H11071" t="s">
        <v>18863</v>
      </c>
    </row>
    <row r="11072" spans="6:8">
      <c r="H11072" t="s">
        <v>20454</v>
      </c>
    </row>
    <row r="11073" spans="6:8">
      <c r="H11073" t="s">
        <v>19349</v>
      </c>
    </row>
    <row r="11074" spans="6:8">
      <c r="H11074" t="s">
        <v>20209</v>
      </c>
    </row>
    <row r="11075" spans="6:8">
      <c r="F11075" t="s">
        <v>11727</v>
      </c>
      <c r="G11075" t="s">
        <v>15968</v>
      </c>
      <c r="H11075" t="s">
        <v>20698</v>
      </c>
    </row>
    <row r="11076" spans="6:8">
      <c r="H11076" t="s">
        <v>18829</v>
      </c>
    </row>
    <row r="11077" spans="6:8">
      <c r="H11077" t="s">
        <v>18863</v>
      </c>
    </row>
    <row r="11078" spans="6:8">
      <c r="H11078" t="s">
        <v>20454</v>
      </c>
    </row>
    <row r="11079" spans="6:8">
      <c r="H11079" t="s">
        <v>19349</v>
      </c>
    </row>
    <row r="11080" spans="6:8">
      <c r="H11080" t="s">
        <v>20209</v>
      </c>
    </row>
    <row r="11081" spans="6:8">
      <c r="F11081" t="s">
        <v>11728</v>
      </c>
      <c r="G11081" t="s">
        <v>15969</v>
      </c>
      <c r="H11081" t="s">
        <v>20699</v>
      </c>
    </row>
    <row r="11082" spans="6:8">
      <c r="H11082" t="s">
        <v>18829</v>
      </c>
    </row>
    <row r="11083" spans="6:8">
      <c r="H11083" t="s">
        <v>18863</v>
      </c>
    </row>
    <row r="11084" spans="6:8">
      <c r="H11084" t="s">
        <v>20454</v>
      </c>
    </row>
    <row r="11085" spans="6:8">
      <c r="H11085" t="s">
        <v>19349</v>
      </c>
    </row>
    <row r="11086" spans="6:8">
      <c r="H11086" t="s">
        <v>20209</v>
      </c>
    </row>
    <row r="11087" spans="6:8">
      <c r="F11087" t="s">
        <v>11729</v>
      </c>
      <c r="G11087" t="s">
        <v>15970</v>
      </c>
      <c r="H11087" t="s">
        <v>20700</v>
      </c>
    </row>
    <row r="11088" spans="6:8">
      <c r="H11088" t="s">
        <v>18829</v>
      </c>
    </row>
    <row r="11089" spans="6:8">
      <c r="H11089" t="s">
        <v>18863</v>
      </c>
    </row>
    <row r="11090" spans="6:8">
      <c r="H11090" t="s">
        <v>20454</v>
      </c>
    </row>
    <row r="11091" spans="6:8">
      <c r="H11091" t="s">
        <v>19349</v>
      </c>
    </row>
    <row r="11092" spans="6:8">
      <c r="H11092" t="s">
        <v>20209</v>
      </c>
    </row>
    <row r="11093" spans="6:8">
      <c r="F11093" t="s">
        <v>11730</v>
      </c>
      <c r="G11093" t="s">
        <v>15971</v>
      </c>
      <c r="H11093" t="s">
        <v>20701</v>
      </c>
    </row>
    <row r="11094" spans="6:8">
      <c r="H11094" t="s">
        <v>18829</v>
      </c>
    </row>
    <row r="11095" spans="6:8">
      <c r="H11095" t="s">
        <v>18863</v>
      </c>
    </row>
    <row r="11096" spans="6:8">
      <c r="H11096" t="s">
        <v>20454</v>
      </c>
    </row>
    <row r="11097" spans="6:8">
      <c r="H11097" t="s">
        <v>19349</v>
      </c>
    </row>
    <row r="11098" spans="6:8">
      <c r="H11098" t="s">
        <v>20209</v>
      </c>
    </row>
    <row r="11099" spans="6:8">
      <c r="F11099" t="s">
        <v>11731</v>
      </c>
      <c r="G11099" t="s">
        <v>15972</v>
      </c>
      <c r="H11099" t="s">
        <v>20702</v>
      </c>
    </row>
    <row r="11100" spans="6:8">
      <c r="H11100" t="s">
        <v>18829</v>
      </c>
    </row>
    <row r="11101" spans="6:8">
      <c r="H11101" t="s">
        <v>18863</v>
      </c>
    </row>
    <row r="11102" spans="6:8">
      <c r="H11102" t="s">
        <v>20454</v>
      </c>
    </row>
    <row r="11103" spans="6:8">
      <c r="H11103" t="s">
        <v>19349</v>
      </c>
    </row>
    <row r="11104" spans="6:8">
      <c r="H11104" t="s">
        <v>20209</v>
      </c>
    </row>
    <row r="11105" spans="6:8">
      <c r="F11105" t="s">
        <v>11732</v>
      </c>
      <c r="G11105" t="s">
        <v>15973</v>
      </c>
      <c r="H11105" t="s">
        <v>20703</v>
      </c>
    </row>
    <row r="11106" spans="6:8">
      <c r="H11106" t="s">
        <v>18829</v>
      </c>
    </row>
    <row r="11107" spans="6:8">
      <c r="H11107" t="s">
        <v>18863</v>
      </c>
    </row>
    <row r="11108" spans="6:8">
      <c r="H11108" t="s">
        <v>20454</v>
      </c>
    </row>
    <row r="11109" spans="6:8">
      <c r="H11109" t="s">
        <v>19349</v>
      </c>
    </row>
    <row r="11110" spans="6:8">
      <c r="H11110" t="s">
        <v>20209</v>
      </c>
    </row>
    <row r="11111" spans="6:8">
      <c r="F11111" t="s">
        <v>11733</v>
      </c>
      <c r="G11111" t="s">
        <v>15974</v>
      </c>
      <c r="H11111" t="s">
        <v>20704</v>
      </c>
    </row>
    <row r="11112" spans="6:8">
      <c r="H11112" t="s">
        <v>18829</v>
      </c>
    </row>
    <row r="11113" spans="6:8">
      <c r="H11113" t="s">
        <v>18863</v>
      </c>
    </row>
    <row r="11114" spans="6:8">
      <c r="H11114" t="s">
        <v>20454</v>
      </c>
    </row>
    <row r="11115" spans="6:8">
      <c r="H11115" t="s">
        <v>19349</v>
      </c>
    </row>
    <row r="11116" spans="6:8">
      <c r="H11116" t="s">
        <v>20209</v>
      </c>
    </row>
    <row r="11117" spans="6:8">
      <c r="F11117" t="s">
        <v>11734</v>
      </c>
      <c r="G11117" t="s">
        <v>15975</v>
      </c>
      <c r="H11117" t="s">
        <v>20705</v>
      </c>
    </row>
    <row r="11118" spans="6:8">
      <c r="H11118" t="s">
        <v>18829</v>
      </c>
    </row>
    <row r="11119" spans="6:8">
      <c r="H11119" t="s">
        <v>18863</v>
      </c>
    </row>
    <row r="11120" spans="6:8">
      <c r="H11120" t="s">
        <v>20454</v>
      </c>
    </row>
    <row r="11121" spans="6:8">
      <c r="H11121" t="s">
        <v>19349</v>
      </c>
    </row>
    <row r="11122" spans="6:8">
      <c r="H11122" t="s">
        <v>20209</v>
      </c>
    </row>
    <row r="11123" spans="6:8">
      <c r="F11123" t="s">
        <v>11735</v>
      </c>
      <c r="G11123" t="s">
        <v>15976</v>
      </c>
      <c r="H11123" t="s">
        <v>20706</v>
      </c>
    </row>
    <row r="11124" spans="6:8">
      <c r="H11124" t="s">
        <v>18829</v>
      </c>
    </row>
    <row r="11125" spans="6:8">
      <c r="H11125" t="s">
        <v>18863</v>
      </c>
    </row>
    <row r="11126" spans="6:8">
      <c r="H11126" t="s">
        <v>20454</v>
      </c>
    </row>
    <row r="11127" spans="6:8">
      <c r="H11127" t="s">
        <v>19349</v>
      </c>
    </row>
    <row r="11128" spans="6:8">
      <c r="H11128" t="s">
        <v>20209</v>
      </c>
    </row>
    <row r="11129" spans="6:8">
      <c r="F11129" t="s">
        <v>11736</v>
      </c>
      <c r="G11129" t="s">
        <v>15977</v>
      </c>
      <c r="H11129" t="s">
        <v>20707</v>
      </c>
    </row>
    <row r="11130" spans="6:8">
      <c r="H11130" t="s">
        <v>18829</v>
      </c>
    </row>
    <row r="11131" spans="6:8">
      <c r="H11131" t="s">
        <v>18863</v>
      </c>
    </row>
    <row r="11132" spans="6:8">
      <c r="H11132" t="s">
        <v>20454</v>
      </c>
    </row>
    <row r="11133" spans="6:8">
      <c r="H11133" t="s">
        <v>19349</v>
      </c>
    </row>
    <row r="11134" spans="6:8">
      <c r="H11134" t="s">
        <v>20209</v>
      </c>
    </row>
    <row r="11135" spans="6:8">
      <c r="F11135" t="s">
        <v>11737</v>
      </c>
      <c r="G11135" t="s">
        <v>15978</v>
      </c>
      <c r="H11135" t="s">
        <v>20708</v>
      </c>
    </row>
    <row r="11136" spans="6:8">
      <c r="H11136" t="s">
        <v>18829</v>
      </c>
    </row>
    <row r="11137" spans="6:8">
      <c r="H11137" t="s">
        <v>18863</v>
      </c>
    </row>
    <row r="11138" spans="6:8">
      <c r="H11138" t="s">
        <v>20454</v>
      </c>
    </row>
    <row r="11139" spans="6:8">
      <c r="H11139" t="s">
        <v>19349</v>
      </c>
    </row>
    <row r="11140" spans="6:8">
      <c r="H11140" t="s">
        <v>20209</v>
      </c>
    </row>
    <row r="11141" spans="6:8">
      <c r="F11141" t="s">
        <v>11738</v>
      </c>
      <c r="G11141" t="s">
        <v>15979</v>
      </c>
      <c r="H11141" t="s">
        <v>20709</v>
      </c>
    </row>
    <row r="11142" spans="6:8">
      <c r="H11142" t="s">
        <v>18829</v>
      </c>
    </row>
    <row r="11143" spans="6:8">
      <c r="H11143" t="s">
        <v>18863</v>
      </c>
    </row>
    <row r="11144" spans="6:8">
      <c r="H11144" t="s">
        <v>20454</v>
      </c>
    </row>
    <row r="11145" spans="6:8">
      <c r="H11145" t="s">
        <v>19349</v>
      </c>
    </row>
    <row r="11146" spans="6:8">
      <c r="H11146" t="s">
        <v>20209</v>
      </c>
    </row>
    <row r="11147" spans="6:8">
      <c r="F11147" t="s">
        <v>11739</v>
      </c>
      <c r="G11147" t="s">
        <v>15980</v>
      </c>
      <c r="H11147" t="s">
        <v>20710</v>
      </c>
    </row>
    <row r="11148" spans="6:8">
      <c r="H11148" t="s">
        <v>18829</v>
      </c>
    </row>
    <row r="11149" spans="6:8">
      <c r="H11149" t="s">
        <v>18863</v>
      </c>
    </row>
    <row r="11150" spans="6:8">
      <c r="H11150" t="s">
        <v>20454</v>
      </c>
    </row>
    <row r="11151" spans="6:8">
      <c r="H11151" t="s">
        <v>19349</v>
      </c>
    </row>
    <row r="11152" spans="6:8">
      <c r="H11152" t="s">
        <v>20209</v>
      </c>
    </row>
    <row r="11153" spans="6:8">
      <c r="F11153" t="s">
        <v>11740</v>
      </c>
      <c r="G11153" t="s">
        <v>15981</v>
      </c>
      <c r="H11153" t="s">
        <v>20711</v>
      </c>
    </row>
    <row r="11154" spans="6:8">
      <c r="H11154" t="s">
        <v>18829</v>
      </c>
    </row>
    <row r="11155" spans="6:8">
      <c r="H11155" t="s">
        <v>18863</v>
      </c>
    </row>
    <row r="11156" spans="6:8">
      <c r="H11156" t="s">
        <v>20454</v>
      </c>
    </row>
    <row r="11157" spans="6:8">
      <c r="H11157" t="s">
        <v>19349</v>
      </c>
    </row>
    <row r="11158" spans="6:8">
      <c r="H11158" t="s">
        <v>20209</v>
      </c>
    </row>
    <row r="11159" spans="6:8">
      <c r="F11159" t="s">
        <v>11741</v>
      </c>
      <c r="G11159" t="s">
        <v>15982</v>
      </c>
      <c r="H11159" t="s">
        <v>20712</v>
      </c>
    </row>
    <row r="11160" spans="6:8">
      <c r="H11160" t="s">
        <v>18829</v>
      </c>
    </row>
    <row r="11161" spans="6:8">
      <c r="H11161" t="s">
        <v>18863</v>
      </c>
    </row>
    <row r="11162" spans="6:8">
      <c r="H11162" t="s">
        <v>20454</v>
      </c>
    </row>
    <row r="11163" spans="6:8">
      <c r="H11163" t="s">
        <v>19349</v>
      </c>
    </row>
    <row r="11164" spans="6:8">
      <c r="H11164" t="s">
        <v>20209</v>
      </c>
    </row>
    <row r="11165" spans="6:8">
      <c r="F11165" t="s">
        <v>11742</v>
      </c>
      <c r="G11165" t="s">
        <v>15983</v>
      </c>
      <c r="H11165" t="s">
        <v>20713</v>
      </c>
    </row>
    <row r="11166" spans="6:8">
      <c r="H11166" t="s">
        <v>18829</v>
      </c>
    </row>
    <row r="11167" spans="6:8">
      <c r="H11167" t="s">
        <v>18863</v>
      </c>
    </row>
    <row r="11168" spans="6:8">
      <c r="H11168" t="s">
        <v>20454</v>
      </c>
    </row>
    <row r="11169" spans="6:8">
      <c r="H11169" t="s">
        <v>19349</v>
      </c>
    </row>
    <row r="11170" spans="6:8">
      <c r="H11170" t="s">
        <v>20209</v>
      </c>
    </row>
    <row r="11171" spans="6:8">
      <c r="F11171" t="s">
        <v>11743</v>
      </c>
      <c r="G11171" t="s">
        <v>15984</v>
      </c>
      <c r="H11171" t="s">
        <v>20714</v>
      </c>
    </row>
    <row r="11172" spans="6:8">
      <c r="H11172" t="s">
        <v>18829</v>
      </c>
    </row>
    <row r="11173" spans="6:8">
      <c r="H11173" t="s">
        <v>18863</v>
      </c>
    </row>
    <row r="11174" spans="6:8">
      <c r="H11174" t="s">
        <v>20454</v>
      </c>
    </row>
    <row r="11175" spans="6:8">
      <c r="H11175" t="s">
        <v>19349</v>
      </c>
    </row>
    <row r="11176" spans="6:8">
      <c r="H11176" t="s">
        <v>20209</v>
      </c>
    </row>
    <row r="11177" spans="6:8">
      <c r="F11177" t="s">
        <v>11744</v>
      </c>
      <c r="G11177" t="s">
        <v>15985</v>
      </c>
      <c r="H11177" t="s">
        <v>20715</v>
      </c>
    </row>
    <row r="11178" spans="6:8">
      <c r="H11178" t="s">
        <v>18829</v>
      </c>
    </row>
    <row r="11179" spans="6:8">
      <c r="H11179" t="s">
        <v>18863</v>
      </c>
    </row>
    <row r="11180" spans="6:8">
      <c r="H11180" t="s">
        <v>20454</v>
      </c>
    </row>
    <row r="11181" spans="6:8">
      <c r="H11181" t="s">
        <v>19349</v>
      </c>
    </row>
    <row r="11182" spans="6:8">
      <c r="H11182" t="s">
        <v>20209</v>
      </c>
    </row>
    <row r="11183" spans="6:8">
      <c r="F11183" t="s">
        <v>11745</v>
      </c>
      <c r="G11183" t="s">
        <v>15986</v>
      </c>
      <c r="H11183" t="s">
        <v>20716</v>
      </c>
    </row>
    <row r="11184" spans="6:8">
      <c r="H11184" t="s">
        <v>18829</v>
      </c>
    </row>
    <row r="11185" spans="6:8">
      <c r="H11185" t="s">
        <v>18863</v>
      </c>
    </row>
    <row r="11186" spans="6:8">
      <c r="H11186" t="s">
        <v>20454</v>
      </c>
    </row>
    <row r="11187" spans="6:8">
      <c r="H11187" t="s">
        <v>19349</v>
      </c>
    </row>
    <row r="11188" spans="6:8">
      <c r="H11188" t="s">
        <v>20209</v>
      </c>
    </row>
    <row r="11189" spans="6:8">
      <c r="F11189" t="s">
        <v>11746</v>
      </c>
      <c r="G11189" t="s">
        <v>15987</v>
      </c>
      <c r="H11189" t="s">
        <v>20717</v>
      </c>
    </row>
    <row r="11190" spans="6:8">
      <c r="H11190" t="s">
        <v>18829</v>
      </c>
    </row>
    <row r="11191" spans="6:8">
      <c r="H11191" t="s">
        <v>18863</v>
      </c>
    </row>
    <row r="11192" spans="6:8">
      <c r="H11192" t="s">
        <v>20454</v>
      </c>
    </row>
    <row r="11193" spans="6:8">
      <c r="H11193" t="s">
        <v>19349</v>
      </c>
    </row>
    <row r="11194" spans="6:8">
      <c r="H11194" t="s">
        <v>20209</v>
      </c>
    </row>
    <row r="11195" spans="6:8">
      <c r="F11195" t="s">
        <v>11747</v>
      </c>
      <c r="G11195" t="s">
        <v>15988</v>
      </c>
      <c r="H11195" t="s">
        <v>20718</v>
      </c>
    </row>
    <row r="11196" spans="6:8">
      <c r="H11196" t="s">
        <v>18829</v>
      </c>
    </row>
    <row r="11197" spans="6:8">
      <c r="H11197" t="s">
        <v>18863</v>
      </c>
    </row>
    <row r="11198" spans="6:8">
      <c r="H11198" t="s">
        <v>20454</v>
      </c>
    </row>
    <row r="11199" spans="6:8">
      <c r="H11199" t="s">
        <v>19349</v>
      </c>
    </row>
    <row r="11200" spans="6:8">
      <c r="H11200" t="s">
        <v>20209</v>
      </c>
    </row>
    <row r="11201" spans="6:8">
      <c r="F11201" t="s">
        <v>11748</v>
      </c>
      <c r="G11201" t="s">
        <v>15989</v>
      </c>
      <c r="H11201" t="s">
        <v>20719</v>
      </c>
    </row>
    <row r="11202" spans="6:8">
      <c r="H11202" t="s">
        <v>18829</v>
      </c>
    </row>
    <row r="11203" spans="6:8">
      <c r="H11203" t="s">
        <v>18863</v>
      </c>
    </row>
    <row r="11204" spans="6:8">
      <c r="H11204" t="s">
        <v>20454</v>
      </c>
    </row>
    <row r="11205" spans="6:8">
      <c r="H11205" t="s">
        <v>19349</v>
      </c>
    </row>
    <row r="11206" spans="6:8">
      <c r="H11206" t="s">
        <v>20209</v>
      </c>
    </row>
    <row r="11207" spans="6:8">
      <c r="F11207" t="s">
        <v>11749</v>
      </c>
      <c r="G11207" t="s">
        <v>15990</v>
      </c>
      <c r="H11207" t="s">
        <v>20720</v>
      </c>
    </row>
    <row r="11208" spans="6:8">
      <c r="H11208" t="s">
        <v>18829</v>
      </c>
    </row>
    <row r="11209" spans="6:8">
      <c r="H11209" t="s">
        <v>18863</v>
      </c>
    </row>
    <row r="11210" spans="6:8">
      <c r="H11210" t="s">
        <v>20454</v>
      </c>
    </row>
    <row r="11211" spans="6:8">
      <c r="H11211" t="s">
        <v>19349</v>
      </c>
    </row>
    <row r="11212" spans="6:8">
      <c r="H11212" t="s">
        <v>20209</v>
      </c>
    </row>
    <row r="11213" spans="6:8">
      <c r="F11213" t="s">
        <v>11750</v>
      </c>
      <c r="G11213" t="s">
        <v>15991</v>
      </c>
      <c r="H11213" t="s">
        <v>20721</v>
      </c>
    </row>
    <row r="11214" spans="6:8">
      <c r="H11214" t="s">
        <v>18829</v>
      </c>
    </row>
    <row r="11215" spans="6:8">
      <c r="H11215" t="s">
        <v>18863</v>
      </c>
    </row>
    <row r="11216" spans="6:8">
      <c r="H11216" t="s">
        <v>20454</v>
      </c>
    </row>
    <row r="11217" spans="6:8">
      <c r="H11217" t="s">
        <v>19349</v>
      </c>
    </row>
    <row r="11218" spans="6:8">
      <c r="H11218" t="s">
        <v>20209</v>
      </c>
    </row>
    <row r="11219" spans="6:8">
      <c r="F11219" t="s">
        <v>11751</v>
      </c>
      <c r="G11219" t="s">
        <v>15992</v>
      </c>
      <c r="H11219" t="s">
        <v>20722</v>
      </c>
    </row>
    <row r="11220" spans="6:8">
      <c r="H11220" t="s">
        <v>18829</v>
      </c>
    </row>
    <row r="11221" spans="6:8">
      <c r="H11221" t="s">
        <v>18863</v>
      </c>
    </row>
    <row r="11222" spans="6:8">
      <c r="H11222" t="s">
        <v>20454</v>
      </c>
    </row>
    <row r="11223" spans="6:8">
      <c r="H11223" t="s">
        <v>19349</v>
      </c>
    </row>
    <row r="11224" spans="6:8">
      <c r="H11224" t="s">
        <v>20209</v>
      </c>
    </row>
    <row r="11225" spans="6:8">
      <c r="F11225" t="s">
        <v>11752</v>
      </c>
      <c r="G11225" t="s">
        <v>15993</v>
      </c>
      <c r="H11225" t="s">
        <v>20723</v>
      </c>
    </row>
    <row r="11226" spans="6:8">
      <c r="H11226" t="s">
        <v>18829</v>
      </c>
    </row>
    <row r="11227" spans="6:8">
      <c r="H11227" t="s">
        <v>18863</v>
      </c>
    </row>
    <row r="11228" spans="6:8">
      <c r="H11228" t="s">
        <v>20454</v>
      </c>
    </row>
    <row r="11229" spans="6:8">
      <c r="H11229" t="s">
        <v>19349</v>
      </c>
    </row>
    <row r="11230" spans="6:8">
      <c r="H11230" t="s">
        <v>20209</v>
      </c>
    </row>
    <row r="11231" spans="6:8">
      <c r="F11231" t="s">
        <v>11753</v>
      </c>
      <c r="G11231" t="s">
        <v>15994</v>
      </c>
      <c r="H11231" t="s">
        <v>20724</v>
      </c>
    </row>
    <row r="11232" spans="6:8">
      <c r="H11232" t="s">
        <v>18829</v>
      </c>
    </row>
    <row r="11233" spans="6:8">
      <c r="H11233" t="s">
        <v>18863</v>
      </c>
    </row>
    <row r="11234" spans="6:8">
      <c r="H11234" t="s">
        <v>20454</v>
      </c>
    </row>
    <row r="11235" spans="6:8">
      <c r="H11235" t="s">
        <v>19349</v>
      </c>
    </row>
    <row r="11236" spans="6:8">
      <c r="H11236" t="s">
        <v>20209</v>
      </c>
    </row>
    <row r="11237" spans="6:8">
      <c r="F11237" t="s">
        <v>11754</v>
      </c>
      <c r="G11237" t="s">
        <v>15995</v>
      </c>
      <c r="H11237" t="s">
        <v>20725</v>
      </c>
    </row>
    <row r="11238" spans="6:8">
      <c r="H11238" t="s">
        <v>18829</v>
      </c>
    </row>
    <row r="11239" spans="6:8">
      <c r="H11239" t="s">
        <v>18863</v>
      </c>
    </row>
    <row r="11240" spans="6:8">
      <c r="H11240" t="s">
        <v>20454</v>
      </c>
    </row>
    <row r="11241" spans="6:8">
      <c r="H11241" t="s">
        <v>19349</v>
      </c>
    </row>
    <row r="11242" spans="6:8">
      <c r="H11242" t="s">
        <v>20209</v>
      </c>
    </row>
    <row r="11243" spans="6:8">
      <c r="F11243" t="s">
        <v>11755</v>
      </c>
      <c r="G11243" t="s">
        <v>15996</v>
      </c>
      <c r="H11243" t="s">
        <v>20726</v>
      </c>
    </row>
    <row r="11244" spans="6:8">
      <c r="H11244" t="s">
        <v>18829</v>
      </c>
    </row>
    <row r="11245" spans="6:8">
      <c r="H11245" t="s">
        <v>18863</v>
      </c>
    </row>
    <row r="11246" spans="6:8">
      <c r="H11246" t="s">
        <v>20454</v>
      </c>
    </row>
    <row r="11247" spans="6:8">
      <c r="H11247" t="s">
        <v>19349</v>
      </c>
    </row>
    <row r="11248" spans="6:8">
      <c r="H11248" t="s">
        <v>20209</v>
      </c>
    </row>
    <row r="11249" spans="6:8">
      <c r="F11249" t="s">
        <v>11756</v>
      </c>
      <c r="G11249" t="s">
        <v>15997</v>
      </c>
      <c r="H11249" t="s">
        <v>20727</v>
      </c>
    </row>
    <row r="11250" spans="6:8">
      <c r="H11250" t="s">
        <v>18829</v>
      </c>
    </row>
    <row r="11251" spans="6:8">
      <c r="H11251" t="s">
        <v>18863</v>
      </c>
    </row>
    <row r="11252" spans="6:8">
      <c r="H11252" t="s">
        <v>20454</v>
      </c>
    </row>
    <row r="11253" spans="6:8">
      <c r="H11253" t="s">
        <v>19349</v>
      </c>
    </row>
    <row r="11254" spans="6:8">
      <c r="H11254" t="s">
        <v>20209</v>
      </c>
    </row>
    <row r="11255" spans="6:8">
      <c r="F11255" t="s">
        <v>11757</v>
      </c>
      <c r="G11255" t="s">
        <v>15998</v>
      </c>
      <c r="H11255" t="s">
        <v>20728</v>
      </c>
    </row>
    <row r="11256" spans="6:8">
      <c r="H11256" t="s">
        <v>18829</v>
      </c>
    </row>
    <row r="11257" spans="6:8">
      <c r="H11257" t="s">
        <v>18863</v>
      </c>
    </row>
    <row r="11258" spans="6:8">
      <c r="H11258" t="s">
        <v>20454</v>
      </c>
    </row>
    <row r="11259" spans="6:8">
      <c r="H11259" t="s">
        <v>19349</v>
      </c>
    </row>
    <row r="11260" spans="6:8">
      <c r="H11260" t="s">
        <v>20209</v>
      </c>
    </row>
    <row r="11261" spans="6:8">
      <c r="F11261" t="s">
        <v>11758</v>
      </c>
      <c r="G11261" t="s">
        <v>15999</v>
      </c>
      <c r="H11261" t="s">
        <v>20729</v>
      </c>
    </row>
    <row r="11262" spans="6:8">
      <c r="H11262" t="s">
        <v>18829</v>
      </c>
    </row>
    <row r="11263" spans="6:8">
      <c r="H11263" t="s">
        <v>18863</v>
      </c>
    </row>
    <row r="11264" spans="6:8">
      <c r="H11264" t="s">
        <v>20454</v>
      </c>
    </row>
    <row r="11265" spans="6:8">
      <c r="H11265" t="s">
        <v>19349</v>
      </c>
    </row>
    <row r="11266" spans="6:8">
      <c r="H11266" t="s">
        <v>20209</v>
      </c>
    </row>
    <row r="11267" spans="6:8">
      <c r="F11267" t="s">
        <v>11759</v>
      </c>
      <c r="G11267" t="s">
        <v>16000</v>
      </c>
      <c r="H11267" t="s">
        <v>20730</v>
      </c>
    </row>
    <row r="11268" spans="6:8">
      <c r="H11268" t="s">
        <v>18829</v>
      </c>
    </row>
    <row r="11269" spans="6:8">
      <c r="H11269" t="s">
        <v>18863</v>
      </c>
    </row>
    <row r="11270" spans="6:8">
      <c r="H11270" t="s">
        <v>20454</v>
      </c>
    </row>
    <row r="11271" spans="6:8">
      <c r="H11271" t="s">
        <v>19349</v>
      </c>
    </row>
    <row r="11272" spans="6:8">
      <c r="H11272" t="s">
        <v>20209</v>
      </c>
    </row>
    <row r="11273" spans="6:8">
      <c r="F11273" t="s">
        <v>11760</v>
      </c>
      <c r="G11273" t="s">
        <v>16001</v>
      </c>
      <c r="H11273" t="s">
        <v>20731</v>
      </c>
    </row>
    <row r="11274" spans="6:8">
      <c r="H11274" t="s">
        <v>18829</v>
      </c>
    </row>
    <row r="11275" spans="6:8">
      <c r="H11275" t="s">
        <v>18863</v>
      </c>
    </row>
    <row r="11276" spans="6:8">
      <c r="H11276" t="s">
        <v>20454</v>
      </c>
    </row>
    <row r="11277" spans="6:8">
      <c r="H11277" t="s">
        <v>19349</v>
      </c>
    </row>
    <row r="11278" spans="6:8">
      <c r="H11278" t="s">
        <v>20209</v>
      </c>
    </row>
    <row r="11279" spans="6:8">
      <c r="F11279" t="s">
        <v>11761</v>
      </c>
      <c r="G11279" t="s">
        <v>16002</v>
      </c>
      <c r="H11279" t="s">
        <v>20732</v>
      </c>
    </row>
    <row r="11280" spans="6:8">
      <c r="H11280" t="s">
        <v>18829</v>
      </c>
    </row>
    <row r="11281" spans="6:8">
      <c r="H11281" t="s">
        <v>18863</v>
      </c>
    </row>
    <row r="11282" spans="6:8">
      <c r="H11282" t="s">
        <v>20454</v>
      </c>
    </row>
    <row r="11283" spans="6:8">
      <c r="H11283" t="s">
        <v>19349</v>
      </c>
    </row>
    <row r="11284" spans="6:8">
      <c r="H11284" t="s">
        <v>20209</v>
      </c>
    </row>
    <row r="11285" spans="6:8">
      <c r="F11285" t="s">
        <v>11762</v>
      </c>
      <c r="G11285" t="s">
        <v>16003</v>
      </c>
      <c r="H11285" t="s">
        <v>20733</v>
      </c>
    </row>
    <row r="11286" spans="6:8">
      <c r="H11286" t="s">
        <v>18829</v>
      </c>
    </row>
    <row r="11287" spans="6:8">
      <c r="H11287" t="s">
        <v>18863</v>
      </c>
    </row>
    <row r="11288" spans="6:8">
      <c r="H11288" t="s">
        <v>20454</v>
      </c>
    </row>
    <row r="11289" spans="6:8">
      <c r="H11289" t="s">
        <v>19349</v>
      </c>
    </row>
    <row r="11290" spans="6:8">
      <c r="H11290" t="s">
        <v>20209</v>
      </c>
    </row>
    <row r="11291" spans="6:8">
      <c r="F11291" t="s">
        <v>11763</v>
      </c>
      <c r="G11291" t="s">
        <v>16004</v>
      </c>
      <c r="H11291" t="s">
        <v>20734</v>
      </c>
    </row>
    <row r="11292" spans="6:8">
      <c r="H11292" t="s">
        <v>18829</v>
      </c>
    </row>
    <row r="11293" spans="6:8">
      <c r="H11293" t="s">
        <v>18863</v>
      </c>
    </row>
    <row r="11294" spans="6:8">
      <c r="H11294" t="s">
        <v>20454</v>
      </c>
    </row>
    <row r="11295" spans="6:8">
      <c r="H11295" t="s">
        <v>19349</v>
      </c>
    </row>
    <row r="11296" spans="6:8">
      <c r="H11296" t="s">
        <v>20209</v>
      </c>
    </row>
    <row r="11297" spans="6:8">
      <c r="F11297" t="s">
        <v>11764</v>
      </c>
      <c r="G11297" t="s">
        <v>16005</v>
      </c>
      <c r="H11297" t="s">
        <v>20735</v>
      </c>
    </row>
    <row r="11298" spans="6:8">
      <c r="H11298" t="s">
        <v>18829</v>
      </c>
    </row>
    <row r="11299" spans="6:8">
      <c r="H11299" t="s">
        <v>18863</v>
      </c>
    </row>
    <row r="11300" spans="6:8">
      <c r="H11300" t="s">
        <v>20454</v>
      </c>
    </row>
    <row r="11301" spans="6:8">
      <c r="H11301" t="s">
        <v>19349</v>
      </c>
    </row>
    <row r="11302" spans="6:8">
      <c r="H11302" t="s">
        <v>20209</v>
      </c>
    </row>
    <row r="11303" spans="6:8">
      <c r="F11303" t="s">
        <v>11765</v>
      </c>
      <c r="G11303" t="s">
        <v>16006</v>
      </c>
      <c r="H11303" t="s">
        <v>20736</v>
      </c>
    </row>
    <row r="11304" spans="6:8">
      <c r="H11304" t="s">
        <v>18829</v>
      </c>
    </row>
    <row r="11305" spans="6:8">
      <c r="H11305" t="s">
        <v>18863</v>
      </c>
    </row>
    <row r="11306" spans="6:8">
      <c r="H11306" t="s">
        <v>20454</v>
      </c>
    </row>
    <row r="11307" spans="6:8">
      <c r="H11307" t="s">
        <v>19349</v>
      </c>
    </row>
    <row r="11308" spans="6:8">
      <c r="H11308" t="s">
        <v>20209</v>
      </c>
    </row>
    <row r="11309" spans="6:8">
      <c r="F11309" t="s">
        <v>11766</v>
      </c>
      <c r="G11309" t="s">
        <v>16007</v>
      </c>
      <c r="H11309" t="s">
        <v>20737</v>
      </c>
    </row>
    <row r="11310" spans="6:8">
      <c r="H11310" t="s">
        <v>18829</v>
      </c>
    </row>
    <row r="11311" spans="6:8">
      <c r="H11311" t="s">
        <v>18863</v>
      </c>
    </row>
    <row r="11312" spans="6:8">
      <c r="H11312" t="s">
        <v>20454</v>
      </c>
    </row>
    <row r="11313" spans="6:8">
      <c r="H11313" t="s">
        <v>19349</v>
      </c>
    </row>
    <row r="11314" spans="6:8">
      <c r="H11314" t="s">
        <v>20209</v>
      </c>
    </row>
    <row r="11315" spans="6:8">
      <c r="F11315" t="s">
        <v>11767</v>
      </c>
      <c r="G11315" t="s">
        <v>16008</v>
      </c>
      <c r="H11315" t="s">
        <v>20738</v>
      </c>
    </row>
    <row r="11316" spans="6:8">
      <c r="H11316" t="s">
        <v>18829</v>
      </c>
    </row>
    <row r="11317" spans="6:8">
      <c r="H11317" t="s">
        <v>18863</v>
      </c>
    </row>
    <row r="11318" spans="6:8">
      <c r="H11318" t="s">
        <v>20454</v>
      </c>
    </row>
    <row r="11319" spans="6:8">
      <c r="H11319" t="s">
        <v>19349</v>
      </c>
    </row>
    <row r="11320" spans="6:8">
      <c r="H11320" t="s">
        <v>20209</v>
      </c>
    </row>
    <row r="11321" spans="6:8">
      <c r="F11321" t="s">
        <v>11768</v>
      </c>
      <c r="G11321" t="s">
        <v>16009</v>
      </c>
      <c r="H11321" t="s">
        <v>20739</v>
      </c>
    </row>
    <row r="11322" spans="6:8">
      <c r="H11322" t="s">
        <v>18829</v>
      </c>
    </row>
    <row r="11323" spans="6:8">
      <c r="H11323" t="s">
        <v>18863</v>
      </c>
    </row>
    <row r="11324" spans="6:8">
      <c r="H11324" t="s">
        <v>20454</v>
      </c>
    </row>
    <row r="11325" spans="6:8">
      <c r="H11325" t="s">
        <v>19349</v>
      </c>
    </row>
    <row r="11326" spans="6:8">
      <c r="H11326" t="s">
        <v>20209</v>
      </c>
    </row>
    <row r="11327" spans="6:8">
      <c r="F11327" t="s">
        <v>11769</v>
      </c>
      <c r="G11327" t="s">
        <v>16010</v>
      </c>
      <c r="H11327" t="s">
        <v>20740</v>
      </c>
    </row>
    <row r="11328" spans="6:8">
      <c r="H11328" t="s">
        <v>18829</v>
      </c>
    </row>
    <row r="11329" spans="6:8">
      <c r="H11329" t="s">
        <v>18863</v>
      </c>
    </row>
    <row r="11330" spans="6:8">
      <c r="H11330" t="s">
        <v>20454</v>
      </c>
    </row>
    <row r="11331" spans="6:8">
      <c r="H11331" t="s">
        <v>19349</v>
      </c>
    </row>
    <row r="11332" spans="6:8">
      <c r="H11332" t="s">
        <v>20209</v>
      </c>
    </row>
    <row r="11333" spans="6:8">
      <c r="F11333" t="s">
        <v>11770</v>
      </c>
      <c r="G11333" t="s">
        <v>16011</v>
      </c>
      <c r="H11333" t="s">
        <v>20741</v>
      </c>
    </row>
    <row r="11334" spans="6:8">
      <c r="H11334" t="s">
        <v>18829</v>
      </c>
    </row>
    <row r="11335" spans="6:8">
      <c r="H11335" t="s">
        <v>18863</v>
      </c>
    </row>
    <row r="11336" spans="6:8">
      <c r="H11336" t="s">
        <v>20454</v>
      </c>
    </row>
    <row r="11337" spans="6:8">
      <c r="H11337" t="s">
        <v>19349</v>
      </c>
    </row>
    <row r="11338" spans="6:8">
      <c r="H11338" t="s">
        <v>20209</v>
      </c>
    </row>
    <row r="11339" spans="6:8">
      <c r="F11339" t="s">
        <v>11771</v>
      </c>
      <c r="G11339" t="s">
        <v>16012</v>
      </c>
      <c r="H11339" t="s">
        <v>20742</v>
      </c>
    </row>
    <row r="11340" spans="6:8">
      <c r="H11340" t="s">
        <v>18829</v>
      </c>
    </row>
    <row r="11341" spans="6:8">
      <c r="H11341" t="s">
        <v>18863</v>
      </c>
    </row>
    <row r="11342" spans="6:8">
      <c r="H11342" t="s">
        <v>20454</v>
      </c>
    </row>
    <row r="11343" spans="6:8">
      <c r="H11343" t="s">
        <v>19349</v>
      </c>
    </row>
    <row r="11344" spans="6:8">
      <c r="H11344" t="s">
        <v>20209</v>
      </c>
    </row>
    <row r="11345" spans="6:8">
      <c r="F11345" t="s">
        <v>11772</v>
      </c>
      <c r="G11345" t="s">
        <v>16013</v>
      </c>
      <c r="H11345" t="s">
        <v>20743</v>
      </c>
    </row>
    <row r="11346" spans="6:8">
      <c r="H11346" t="s">
        <v>18829</v>
      </c>
    </row>
    <row r="11347" spans="6:8">
      <c r="H11347" t="s">
        <v>18863</v>
      </c>
    </row>
    <row r="11348" spans="6:8">
      <c r="H11348" t="s">
        <v>20454</v>
      </c>
    </row>
    <row r="11349" spans="6:8">
      <c r="H11349" t="s">
        <v>19349</v>
      </c>
    </row>
    <row r="11350" spans="6:8">
      <c r="H11350" t="s">
        <v>20209</v>
      </c>
    </row>
    <row r="11351" spans="6:8">
      <c r="F11351" t="s">
        <v>11773</v>
      </c>
      <c r="G11351" t="s">
        <v>16014</v>
      </c>
      <c r="H11351" t="s">
        <v>20744</v>
      </c>
    </row>
    <row r="11352" spans="6:8">
      <c r="H11352" t="s">
        <v>18829</v>
      </c>
    </row>
    <row r="11353" spans="6:8">
      <c r="H11353" t="s">
        <v>18863</v>
      </c>
    </row>
    <row r="11354" spans="6:8">
      <c r="H11354" t="s">
        <v>20454</v>
      </c>
    </row>
    <row r="11355" spans="6:8">
      <c r="H11355" t="s">
        <v>19349</v>
      </c>
    </row>
    <row r="11356" spans="6:8">
      <c r="H11356" t="s">
        <v>20209</v>
      </c>
    </row>
    <row r="11357" spans="6:8">
      <c r="F11357" t="s">
        <v>11774</v>
      </c>
      <c r="G11357" t="s">
        <v>16015</v>
      </c>
      <c r="H11357" t="s">
        <v>20745</v>
      </c>
    </row>
    <row r="11358" spans="6:8">
      <c r="H11358" t="s">
        <v>18829</v>
      </c>
    </row>
    <row r="11359" spans="6:8">
      <c r="H11359" t="s">
        <v>18863</v>
      </c>
    </row>
    <row r="11360" spans="6:8">
      <c r="H11360" t="s">
        <v>20454</v>
      </c>
    </row>
    <row r="11361" spans="6:8">
      <c r="H11361" t="s">
        <v>19349</v>
      </c>
    </row>
    <row r="11362" spans="6:8">
      <c r="H11362" t="s">
        <v>20209</v>
      </c>
    </row>
    <row r="11363" spans="6:8">
      <c r="F11363" t="s">
        <v>11775</v>
      </c>
      <c r="G11363" t="s">
        <v>16016</v>
      </c>
      <c r="H11363" t="s">
        <v>20746</v>
      </c>
    </row>
    <row r="11364" spans="6:8">
      <c r="H11364" t="s">
        <v>18829</v>
      </c>
    </row>
    <row r="11365" spans="6:8">
      <c r="H11365" t="s">
        <v>18863</v>
      </c>
    </row>
    <row r="11366" spans="6:8">
      <c r="H11366" t="s">
        <v>20454</v>
      </c>
    </row>
    <row r="11367" spans="6:8">
      <c r="H11367" t="s">
        <v>19349</v>
      </c>
    </row>
    <row r="11368" spans="6:8">
      <c r="H11368" t="s">
        <v>20209</v>
      </c>
    </row>
    <row r="11369" spans="6:8">
      <c r="F11369" t="s">
        <v>11776</v>
      </c>
      <c r="G11369" t="s">
        <v>16017</v>
      </c>
      <c r="H11369" t="s">
        <v>20747</v>
      </c>
    </row>
    <row r="11370" spans="6:8">
      <c r="H11370" t="s">
        <v>18829</v>
      </c>
    </row>
    <row r="11371" spans="6:8">
      <c r="H11371" t="s">
        <v>18863</v>
      </c>
    </row>
    <row r="11372" spans="6:8">
      <c r="H11372" t="s">
        <v>20454</v>
      </c>
    </row>
    <row r="11373" spans="6:8">
      <c r="H11373" t="s">
        <v>19349</v>
      </c>
    </row>
    <row r="11374" spans="6:8">
      <c r="H11374" t="s">
        <v>20209</v>
      </c>
    </row>
    <row r="11375" spans="6:8">
      <c r="F11375" t="s">
        <v>11777</v>
      </c>
      <c r="G11375" t="s">
        <v>16018</v>
      </c>
      <c r="H11375" t="s">
        <v>20748</v>
      </c>
    </row>
    <row r="11376" spans="6:8">
      <c r="H11376" t="s">
        <v>18829</v>
      </c>
    </row>
    <row r="11377" spans="6:8">
      <c r="H11377" t="s">
        <v>18863</v>
      </c>
    </row>
    <row r="11378" spans="6:8">
      <c r="H11378" t="s">
        <v>20454</v>
      </c>
    </row>
    <row r="11379" spans="6:8">
      <c r="H11379" t="s">
        <v>19349</v>
      </c>
    </row>
    <row r="11380" spans="6:8">
      <c r="H11380" t="s">
        <v>20209</v>
      </c>
    </row>
    <row r="11381" spans="6:8">
      <c r="F11381" t="s">
        <v>11778</v>
      </c>
      <c r="G11381" t="s">
        <v>16019</v>
      </c>
      <c r="H11381" t="s">
        <v>20749</v>
      </c>
    </row>
    <row r="11382" spans="6:8">
      <c r="H11382" t="s">
        <v>18829</v>
      </c>
    </row>
    <row r="11383" spans="6:8">
      <c r="H11383" t="s">
        <v>18863</v>
      </c>
    </row>
    <row r="11384" spans="6:8">
      <c r="H11384" t="s">
        <v>20454</v>
      </c>
    </row>
    <row r="11385" spans="6:8">
      <c r="H11385" t="s">
        <v>19349</v>
      </c>
    </row>
    <row r="11386" spans="6:8">
      <c r="H11386" t="s">
        <v>20209</v>
      </c>
    </row>
    <row r="11387" spans="6:8">
      <c r="F11387" t="s">
        <v>11779</v>
      </c>
      <c r="G11387" t="s">
        <v>16020</v>
      </c>
      <c r="H11387" t="s">
        <v>20750</v>
      </c>
    </row>
    <row r="11388" spans="6:8">
      <c r="H11388" t="s">
        <v>18829</v>
      </c>
    </row>
    <row r="11389" spans="6:8">
      <c r="H11389" t="s">
        <v>18863</v>
      </c>
    </row>
    <row r="11390" spans="6:8">
      <c r="H11390" t="s">
        <v>20454</v>
      </c>
    </row>
    <row r="11391" spans="6:8">
      <c r="H11391" t="s">
        <v>19349</v>
      </c>
    </row>
    <row r="11392" spans="6:8">
      <c r="H11392" t="s">
        <v>20209</v>
      </c>
    </row>
    <row r="11393" spans="6:8">
      <c r="F11393" t="s">
        <v>11780</v>
      </c>
      <c r="G11393" t="s">
        <v>16021</v>
      </c>
      <c r="H11393" t="s">
        <v>20751</v>
      </c>
    </row>
    <row r="11394" spans="6:8">
      <c r="H11394" t="s">
        <v>18829</v>
      </c>
    </row>
    <row r="11395" spans="6:8">
      <c r="H11395" t="s">
        <v>18863</v>
      </c>
    </row>
    <row r="11396" spans="6:8">
      <c r="H11396" t="s">
        <v>20454</v>
      </c>
    </row>
    <row r="11397" spans="6:8">
      <c r="H11397" t="s">
        <v>19349</v>
      </c>
    </row>
    <row r="11398" spans="6:8">
      <c r="H11398" t="s">
        <v>20209</v>
      </c>
    </row>
    <row r="11399" spans="6:8">
      <c r="F11399" t="s">
        <v>11781</v>
      </c>
      <c r="G11399" t="s">
        <v>16022</v>
      </c>
      <c r="H11399" t="s">
        <v>20752</v>
      </c>
    </row>
    <row r="11400" spans="6:8">
      <c r="H11400" t="s">
        <v>18829</v>
      </c>
    </row>
    <row r="11401" spans="6:8">
      <c r="H11401" t="s">
        <v>18863</v>
      </c>
    </row>
    <row r="11402" spans="6:8">
      <c r="H11402" t="s">
        <v>20454</v>
      </c>
    </row>
    <row r="11403" spans="6:8">
      <c r="H11403" t="s">
        <v>19349</v>
      </c>
    </row>
    <row r="11404" spans="6:8">
      <c r="H11404" t="s">
        <v>20209</v>
      </c>
    </row>
    <row r="11405" spans="6:8">
      <c r="F11405" t="s">
        <v>11782</v>
      </c>
      <c r="G11405" t="s">
        <v>16023</v>
      </c>
      <c r="H11405" t="s">
        <v>20753</v>
      </c>
    </row>
    <row r="11406" spans="6:8">
      <c r="H11406" t="s">
        <v>18829</v>
      </c>
    </row>
    <row r="11407" spans="6:8">
      <c r="H11407" t="s">
        <v>18863</v>
      </c>
    </row>
    <row r="11408" spans="6:8">
      <c r="H11408" t="s">
        <v>20454</v>
      </c>
    </row>
    <row r="11409" spans="6:8">
      <c r="H11409" t="s">
        <v>19349</v>
      </c>
    </row>
    <row r="11410" spans="6:8">
      <c r="H11410" t="s">
        <v>20209</v>
      </c>
    </row>
    <row r="11411" spans="6:8">
      <c r="F11411" t="s">
        <v>11783</v>
      </c>
      <c r="G11411" t="s">
        <v>16024</v>
      </c>
      <c r="H11411" t="s">
        <v>20754</v>
      </c>
    </row>
    <row r="11412" spans="6:8">
      <c r="H11412" t="s">
        <v>18829</v>
      </c>
    </row>
    <row r="11413" spans="6:8">
      <c r="H11413" t="s">
        <v>18863</v>
      </c>
    </row>
    <row r="11414" spans="6:8">
      <c r="H11414" t="s">
        <v>20454</v>
      </c>
    </row>
    <row r="11415" spans="6:8">
      <c r="H11415" t="s">
        <v>19349</v>
      </c>
    </row>
    <row r="11416" spans="6:8">
      <c r="H11416" t="s">
        <v>20209</v>
      </c>
    </row>
    <row r="11417" spans="6:8">
      <c r="F11417" t="s">
        <v>11784</v>
      </c>
      <c r="G11417" t="s">
        <v>16025</v>
      </c>
      <c r="H11417" t="s">
        <v>20755</v>
      </c>
    </row>
    <row r="11418" spans="6:8">
      <c r="H11418" t="s">
        <v>18829</v>
      </c>
    </row>
    <row r="11419" spans="6:8">
      <c r="H11419" t="s">
        <v>18863</v>
      </c>
    </row>
    <row r="11420" spans="6:8">
      <c r="H11420" t="s">
        <v>20454</v>
      </c>
    </row>
    <row r="11421" spans="6:8">
      <c r="H11421" t="s">
        <v>19349</v>
      </c>
    </row>
    <row r="11422" spans="6:8">
      <c r="H11422" t="s">
        <v>20209</v>
      </c>
    </row>
    <row r="11423" spans="6:8">
      <c r="F11423" t="s">
        <v>11785</v>
      </c>
      <c r="G11423" t="s">
        <v>16026</v>
      </c>
      <c r="H11423" t="s">
        <v>20756</v>
      </c>
    </row>
    <row r="11424" spans="6:8">
      <c r="H11424" t="s">
        <v>18829</v>
      </c>
    </row>
    <row r="11425" spans="6:8">
      <c r="H11425" t="s">
        <v>18863</v>
      </c>
    </row>
    <row r="11426" spans="6:8">
      <c r="H11426" t="s">
        <v>20454</v>
      </c>
    </row>
    <row r="11427" spans="6:8">
      <c r="H11427" t="s">
        <v>19349</v>
      </c>
    </row>
    <row r="11428" spans="6:8">
      <c r="H11428" t="s">
        <v>20209</v>
      </c>
    </row>
    <row r="11429" spans="6:8">
      <c r="F11429" t="s">
        <v>11786</v>
      </c>
      <c r="G11429" t="s">
        <v>16027</v>
      </c>
      <c r="H11429" t="s">
        <v>20757</v>
      </c>
    </row>
    <row r="11430" spans="6:8">
      <c r="H11430" t="s">
        <v>18829</v>
      </c>
    </row>
    <row r="11431" spans="6:8">
      <c r="H11431" t="s">
        <v>18863</v>
      </c>
    </row>
    <row r="11432" spans="6:8">
      <c r="H11432" t="s">
        <v>20454</v>
      </c>
    </row>
    <row r="11433" spans="6:8">
      <c r="H11433" t="s">
        <v>19349</v>
      </c>
    </row>
    <row r="11434" spans="6:8">
      <c r="H11434" t="s">
        <v>20209</v>
      </c>
    </row>
    <row r="11435" spans="6:8">
      <c r="F11435" t="s">
        <v>11787</v>
      </c>
      <c r="G11435" t="s">
        <v>16028</v>
      </c>
      <c r="H11435" t="s">
        <v>20758</v>
      </c>
    </row>
    <row r="11436" spans="6:8">
      <c r="H11436" t="s">
        <v>18829</v>
      </c>
    </row>
    <row r="11437" spans="6:8">
      <c r="H11437" t="s">
        <v>18863</v>
      </c>
    </row>
    <row r="11438" spans="6:8">
      <c r="H11438" t="s">
        <v>20454</v>
      </c>
    </row>
    <row r="11439" spans="6:8">
      <c r="H11439" t="s">
        <v>19349</v>
      </c>
    </row>
    <row r="11440" spans="6:8">
      <c r="H11440" t="s">
        <v>20209</v>
      </c>
    </row>
    <row r="11441" spans="6:8">
      <c r="F11441" t="s">
        <v>11788</v>
      </c>
      <c r="G11441" t="s">
        <v>16029</v>
      </c>
      <c r="H11441" t="s">
        <v>20759</v>
      </c>
    </row>
    <row r="11442" spans="6:8">
      <c r="H11442" t="s">
        <v>18829</v>
      </c>
    </row>
    <row r="11443" spans="6:8">
      <c r="H11443" t="s">
        <v>18863</v>
      </c>
    </row>
    <row r="11444" spans="6:8">
      <c r="H11444" t="s">
        <v>20454</v>
      </c>
    </row>
    <row r="11445" spans="6:8">
      <c r="H11445" t="s">
        <v>19349</v>
      </c>
    </row>
    <row r="11446" spans="6:8">
      <c r="H11446" t="s">
        <v>20209</v>
      </c>
    </row>
    <row r="11447" spans="6:8">
      <c r="F11447" t="s">
        <v>11789</v>
      </c>
      <c r="G11447" t="s">
        <v>16030</v>
      </c>
      <c r="H11447" t="s">
        <v>20760</v>
      </c>
    </row>
    <row r="11448" spans="6:8">
      <c r="H11448" t="s">
        <v>18829</v>
      </c>
    </row>
    <row r="11449" spans="6:8">
      <c r="H11449" t="s">
        <v>18863</v>
      </c>
    </row>
    <row r="11450" spans="6:8">
      <c r="H11450" t="s">
        <v>20454</v>
      </c>
    </row>
    <row r="11451" spans="6:8">
      <c r="H11451" t="s">
        <v>19349</v>
      </c>
    </row>
    <row r="11452" spans="6:8">
      <c r="H11452" t="s">
        <v>20209</v>
      </c>
    </row>
    <row r="11453" spans="6:8">
      <c r="F11453" t="s">
        <v>11790</v>
      </c>
      <c r="G11453" t="s">
        <v>16031</v>
      </c>
      <c r="H11453" t="s">
        <v>20761</v>
      </c>
    </row>
    <row r="11454" spans="6:8">
      <c r="H11454" t="s">
        <v>18829</v>
      </c>
    </row>
    <row r="11455" spans="6:8">
      <c r="H11455" t="s">
        <v>18863</v>
      </c>
    </row>
    <row r="11456" spans="6:8">
      <c r="H11456" t="s">
        <v>20454</v>
      </c>
    </row>
    <row r="11457" spans="6:8">
      <c r="H11457" t="s">
        <v>19349</v>
      </c>
    </row>
    <row r="11458" spans="6:8">
      <c r="H11458" t="s">
        <v>20209</v>
      </c>
    </row>
    <row r="11459" spans="6:8">
      <c r="F11459" t="s">
        <v>11791</v>
      </c>
      <c r="G11459" t="s">
        <v>16032</v>
      </c>
      <c r="H11459" t="s">
        <v>20762</v>
      </c>
    </row>
    <row r="11460" spans="6:8">
      <c r="H11460" t="s">
        <v>18829</v>
      </c>
    </row>
    <row r="11461" spans="6:8">
      <c r="H11461" t="s">
        <v>18863</v>
      </c>
    </row>
    <row r="11462" spans="6:8">
      <c r="H11462" t="s">
        <v>20454</v>
      </c>
    </row>
    <row r="11463" spans="6:8">
      <c r="H11463" t="s">
        <v>19349</v>
      </c>
    </row>
    <row r="11464" spans="6:8">
      <c r="H11464" t="s">
        <v>20209</v>
      </c>
    </row>
    <row r="11465" spans="6:8">
      <c r="F11465" t="s">
        <v>11792</v>
      </c>
      <c r="G11465" t="s">
        <v>16033</v>
      </c>
      <c r="H11465" t="s">
        <v>20763</v>
      </c>
    </row>
    <row r="11466" spans="6:8">
      <c r="H11466" t="s">
        <v>18829</v>
      </c>
    </row>
    <row r="11467" spans="6:8">
      <c r="H11467" t="s">
        <v>18863</v>
      </c>
    </row>
    <row r="11468" spans="6:8">
      <c r="H11468" t="s">
        <v>20454</v>
      </c>
    </row>
    <row r="11469" spans="6:8">
      <c r="H11469" t="s">
        <v>19349</v>
      </c>
    </row>
    <row r="11470" spans="6:8">
      <c r="H11470" t="s">
        <v>20209</v>
      </c>
    </row>
    <row r="11471" spans="6:8">
      <c r="F11471" t="s">
        <v>11793</v>
      </c>
      <c r="G11471" t="s">
        <v>16034</v>
      </c>
      <c r="H11471" t="s">
        <v>20764</v>
      </c>
    </row>
    <row r="11472" spans="6:8">
      <c r="H11472" t="s">
        <v>18829</v>
      </c>
    </row>
    <row r="11473" spans="6:8">
      <c r="H11473" t="s">
        <v>18863</v>
      </c>
    </row>
    <row r="11474" spans="6:8">
      <c r="H11474" t="s">
        <v>20454</v>
      </c>
    </row>
    <row r="11475" spans="6:8">
      <c r="H11475" t="s">
        <v>19349</v>
      </c>
    </row>
    <row r="11476" spans="6:8">
      <c r="H11476" t="s">
        <v>20209</v>
      </c>
    </row>
    <row r="11477" spans="6:8">
      <c r="F11477" t="s">
        <v>11794</v>
      </c>
      <c r="G11477" t="s">
        <v>16035</v>
      </c>
      <c r="H11477" t="s">
        <v>20765</v>
      </c>
    </row>
    <row r="11478" spans="6:8">
      <c r="H11478" t="s">
        <v>18829</v>
      </c>
    </row>
    <row r="11479" spans="6:8">
      <c r="H11479" t="s">
        <v>18863</v>
      </c>
    </row>
    <row r="11480" spans="6:8">
      <c r="H11480" t="s">
        <v>20454</v>
      </c>
    </row>
    <row r="11481" spans="6:8">
      <c r="H11481" t="s">
        <v>19349</v>
      </c>
    </row>
    <row r="11482" spans="6:8">
      <c r="H11482" t="s">
        <v>20209</v>
      </c>
    </row>
    <row r="11483" spans="6:8">
      <c r="F11483" t="s">
        <v>11795</v>
      </c>
      <c r="G11483" t="s">
        <v>16036</v>
      </c>
      <c r="H11483" t="s">
        <v>20766</v>
      </c>
    </row>
    <row r="11484" spans="6:8">
      <c r="H11484" t="s">
        <v>18829</v>
      </c>
    </row>
    <row r="11485" spans="6:8">
      <c r="H11485" t="s">
        <v>18863</v>
      </c>
    </row>
    <row r="11486" spans="6:8">
      <c r="H11486" t="s">
        <v>20454</v>
      </c>
    </row>
    <row r="11487" spans="6:8">
      <c r="H11487" t="s">
        <v>19349</v>
      </c>
    </row>
    <row r="11488" spans="6:8">
      <c r="H11488" t="s">
        <v>20209</v>
      </c>
    </row>
    <row r="11489" spans="6:8">
      <c r="F11489" t="s">
        <v>11796</v>
      </c>
      <c r="G11489" t="s">
        <v>16037</v>
      </c>
      <c r="H11489" t="s">
        <v>20767</v>
      </c>
    </row>
    <row r="11490" spans="6:8">
      <c r="H11490" t="s">
        <v>18829</v>
      </c>
    </row>
    <row r="11491" spans="6:8">
      <c r="H11491" t="s">
        <v>18863</v>
      </c>
    </row>
    <row r="11492" spans="6:8">
      <c r="H11492" t="s">
        <v>20454</v>
      </c>
    </row>
    <row r="11493" spans="6:8">
      <c r="H11493" t="s">
        <v>19349</v>
      </c>
    </row>
    <row r="11494" spans="6:8">
      <c r="H11494" t="s">
        <v>20209</v>
      </c>
    </row>
    <row r="11495" spans="6:8">
      <c r="F11495" t="s">
        <v>11797</v>
      </c>
      <c r="G11495" t="s">
        <v>16038</v>
      </c>
      <c r="H11495" t="s">
        <v>20768</v>
      </c>
    </row>
    <row r="11496" spans="6:8">
      <c r="H11496" t="s">
        <v>18829</v>
      </c>
    </row>
    <row r="11497" spans="6:8">
      <c r="H11497" t="s">
        <v>18863</v>
      </c>
    </row>
    <row r="11498" spans="6:8">
      <c r="H11498" t="s">
        <v>20454</v>
      </c>
    </row>
    <row r="11499" spans="6:8">
      <c r="H11499" t="s">
        <v>19349</v>
      </c>
    </row>
    <row r="11500" spans="6:8">
      <c r="H11500" t="s">
        <v>20209</v>
      </c>
    </row>
    <row r="11501" spans="6:8">
      <c r="F11501" t="s">
        <v>11798</v>
      </c>
      <c r="G11501" t="s">
        <v>16039</v>
      </c>
      <c r="H11501" t="s">
        <v>20769</v>
      </c>
    </row>
    <row r="11502" spans="6:8">
      <c r="H11502" t="s">
        <v>18829</v>
      </c>
    </row>
    <row r="11503" spans="6:8">
      <c r="H11503" t="s">
        <v>18863</v>
      </c>
    </row>
    <row r="11504" spans="6:8">
      <c r="H11504" t="s">
        <v>20454</v>
      </c>
    </row>
    <row r="11505" spans="6:8">
      <c r="H11505" t="s">
        <v>19349</v>
      </c>
    </row>
    <row r="11506" spans="6:8">
      <c r="H11506" t="s">
        <v>20209</v>
      </c>
    </row>
    <row r="11507" spans="6:8">
      <c r="F11507" t="s">
        <v>11799</v>
      </c>
      <c r="G11507" t="s">
        <v>16040</v>
      </c>
      <c r="H11507" t="s">
        <v>20770</v>
      </c>
    </row>
    <row r="11508" spans="6:8">
      <c r="H11508" t="s">
        <v>18829</v>
      </c>
    </row>
    <row r="11509" spans="6:8">
      <c r="H11509" t="s">
        <v>18863</v>
      </c>
    </row>
    <row r="11510" spans="6:8">
      <c r="H11510" t="s">
        <v>20454</v>
      </c>
    </row>
    <row r="11511" spans="6:8">
      <c r="H11511" t="s">
        <v>19349</v>
      </c>
    </row>
    <row r="11512" spans="6:8">
      <c r="H11512" t="s">
        <v>20209</v>
      </c>
    </row>
    <row r="11513" spans="6:8">
      <c r="F11513" t="s">
        <v>11800</v>
      </c>
      <c r="G11513" t="s">
        <v>16041</v>
      </c>
      <c r="H11513" t="s">
        <v>20771</v>
      </c>
    </row>
    <row r="11514" spans="6:8">
      <c r="H11514" t="s">
        <v>18829</v>
      </c>
    </row>
    <row r="11515" spans="6:8">
      <c r="H11515" t="s">
        <v>18863</v>
      </c>
    </row>
    <row r="11516" spans="6:8">
      <c r="H11516" t="s">
        <v>20454</v>
      </c>
    </row>
    <row r="11517" spans="6:8">
      <c r="H11517" t="s">
        <v>19349</v>
      </c>
    </row>
    <row r="11518" spans="6:8">
      <c r="H11518" t="s">
        <v>20209</v>
      </c>
    </row>
    <row r="11519" spans="6:8">
      <c r="F11519" t="s">
        <v>11801</v>
      </c>
      <c r="G11519" t="s">
        <v>16042</v>
      </c>
      <c r="H11519" t="s">
        <v>20772</v>
      </c>
    </row>
    <row r="11520" spans="6:8">
      <c r="H11520" t="s">
        <v>18829</v>
      </c>
    </row>
    <row r="11521" spans="6:8">
      <c r="H11521" t="s">
        <v>18863</v>
      </c>
    </row>
    <row r="11522" spans="6:8">
      <c r="H11522" t="s">
        <v>20454</v>
      </c>
    </row>
    <row r="11523" spans="6:8">
      <c r="H11523" t="s">
        <v>19349</v>
      </c>
    </row>
    <row r="11524" spans="6:8">
      <c r="H11524" t="s">
        <v>20209</v>
      </c>
    </row>
    <row r="11525" spans="6:8">
      <c r="F11525" t="s">
        <v>11802</v>
      </c>
      <c r="G11525" t="s">
        <v>16043</v>
      </c>
      <c r="H11525" t="s">
        <v>20773</v>
      </c>
    </row>
    <row r="11526" spans="6:8">
      <c r="H11526" t="s">
        <v>18829</v>
      </c>
    </row>
    <row r="11527" spans="6:8">
      <c r="H11527" t="s">
        <v>18863</v>
      </c>
    </row>
    <row r="11528" spans="6:8">
      <c r="H11528" t="s">
        <v>20454</v>
      </c>
    </row>
    <row r="11529" spans="6:8">
      <c r="H11529" t="s">
        <v>19349</v>
      </c>
    </row>
    <row r="11530" spans="6:8">
      <c r="H11530" t="s">
        <v>20209</v>
      </c>
    </row>
    <row r="11531" spans="6:8">
      <c r="F11531" t="s">
        <v>11803</v>
      </c>
      <c r="G11531" t="s">
        <v>16044</v>
      </c>
      <c r="H11531" t="s">
        <v>20774</v>
      </c>
    </row>
    <row r="11532" spans="6:8">
      <c r="H11532" t="s">
        <v>18829</v>
      </c>
    </row>
    <row r="11533" spans="6:8">
      <c r="H11533" t="s">
        <v>18863</v>
      </c>
    </row>
    <row r="11534" spans="6:8">
      <c r="H11534" t="s">
        <v>20454</v>
      </c>
    </row>
    <row r="11535" spans="6:8">
      <c r="H11535" t="s">
        <v>19349</v>
      </c>
    </row>
    <row r="11536" spans="6:8">
      <c r="H11536" t="s">
        <v>20209</v>
      </c>
    </row>
    <row r="11537" spans="6:8">
      <c r="F11537" t="s">
        <v>11804</v>
      </c>
      <c r="G11537" t="s">
        <v>16045</v>
      </c>
      <c r="H11537" t="s">
        <v>20775</v>
      </c>
    </row>
    <row r="11538" spans="6:8">
      <c r="H11538" t="s">
        <v>18829</v>
      </c>
    </row>
    <row r="11539" spans="6:8">
      <c r="H11539" t="s">
        <v>18863</v>
      </c>
    </row>
    <row r="11540" spans="6:8">
      <c r="H11540" t="s">
        <v>20454</v>
      </c>
    </row>
    <row r="11541" spans="6:8">
      <c r="H11541" t="s">
        <v>19349</v>
      </c>
    </row>
    <row r="11542" spans="6:8">
      <c r="H11542" t="s">
        <v>20209</v>
      </c>
    </row>
    <row r="11543" spans="6:8">
      <c r="F11543" t="s">
        <v>11805</v>
      </c>
      <c r="G11543" t="s">
        <v>16046</v>
      </c>
      <c r="H11543" t="s">
        <v>20776</v>
      </c>
    </row>
    <row r="11544" spans="6:8">
      <c r="H11544" t="s">
        <v>18829</v>
      </c>
    </row>
    <row r="11545" spans="6:8">
      <c r="H11545" t="s">
        <v>18863</v>
      </c>
    </row>
    <row r="11546" spans="6:8">
      <c r="H11546" t="s">
        <v>20454</v>
      </c>
    </row>
    <row r="11547" spans="6:8">
      <c r="H11547" t="s">
        <v>19349</v>
      </c>
    </row>
    <row r="11548" spans="6:8">
      <c r="H11548" t="s">
        <v>20209</v>
      </c>
    </row>
    <row r="11549" spans="6:8">
      <c r="F11549" t="s">
        <v>11806</v>
      </c>
      <c r="G11549" t="s">
        <v>16047</v>
      </c>
      <c r="H11549" t="s">
        <v>20777</v>
      </c>
    </row>
    <row r="11550" spans="6:8">
      <c r="H11550" t="s">
        <v>18829</v>
      </c>
    </row>
    <row r="11551" spans="6:8">
      <c r="H11551" t="s">
        <v>18863</v>
      </c>
    </row>
    <row r="11552" spans="6:8">
      <c r="H11552" t="s">
        <v>20454</v>
      </c>
    </row>
    <row r="11553" spans="6:8">
      <c r="H11553" t="s">
        <v>19349</v>
      </c>
    </row>
    <row r="11554" spans="6:8">
      <c r="H11554" t="s">
        <v>20209</v>
      </c>
    </row>
    <row r="11555" spans="6:8">
      <c r="F11555" t="s">
        <v>11807</v>
      </c>
      <c r="G11555" t="s">
        <v>16048</v>
      </c>
      <c r="H11555" t="s">
        <v>20778</v>
      </c>
    </row>
    <row r="11556" spans="6:8">
      <c r="H11556" t="s">
        <v>18829</v>
      </c>
    </row>
    <row r="11557" spans="6:8">
      <c r="H11557" t="s">
        <v>18863</v>
      </c>
    </row>
    <row r="11558" spans="6:8">
      <c r="H11558" t="s">
        <v>20454</v>
      </c>
    </row>
    <row r="11559" spans="6:8">
      <c r="H11559" t="s">
        <v>19349</v>
      </c>
    </row>
    <row r="11560" spans="6:8">
      <c r="H11560" t="s">
        <v>20209</v>
      </c>
    </row>
    <row r="11561" spans="6:8">
      <c r="F11561" t="s">
        <v>11808</v>
      </c>
      <c r="G11561" t="s">
        <v>16049</v>
      </c>
      <c r="H11561" t="s">
        <v>20779</v>
      </c>
    </row>
    <row r="11562" spans="6:8">
      <c r="H11562" t="s">
        <v>18829</v>
      </c>
    </row>
    <row r="11563" spans="6:8">
      <c r="H11563" t="s">
        <v>18863</v>
      </c>
    </row>
    <row r="11564" spans="6:8">
      <c r="H11564" t="s">
        <v>20454</v>
      </c>
    </row>
    <row r="11565" spans="6:8">
      <c r="H11565" t="s">
        <v>19349</v>
      </c>
    </row>
    <row r="11566" spans="6:8">
      <c r="H11566" t="s">
        <v>20209</v>
      </c>
    </row>
    <row r="11567" spans="6:8">
      <c r="F11567" t="s">
        <v>11809</v>
      </c>
      <c r="G11567" t="s">
        <v>16050</v>
      </c>
      <c r="H11567" t="s">
        <v>20780</v>
      </c>
    </row>
    <row r="11568" spans="6:8">
      <c r="H11568" t="s">
        <v>18829</v>
      </c>
    </row>
    <row r="11569" spans="6:8">
      <c r="H11569" t="s">
        <v>18863</v>
      </c>
    </row>
    <row r="11570" spans="6:8">
      <c r="H11570" t="s">
        <v>20454</v>
      </c>
    </row>
    <row r="11571" spans="6:8">
      <c r="H11571" t="s">
        <v>19349</v>
      </c>
    </row>
    <row r="11572" spans="6:8">
      <c r="H11572" t="s">
        <v>20209</v>
      </c>
    </row>
    <row r="11573" spans="6:8">
      <c r="F11573" t="s">
        <v>11810</v>
      </c>
      <c r="G11573" t="s">
        <v>16051</v>
      </c>
      <c r="H11573" t="s">
        <v>20781</v>
      </c>
    </row>
    <row r="11574" spans="6:8">
      <c r="H11574" t="s">
        <v>18829</v>
      </c>
    </row>
    <row r="11575" spans="6:8">
      <c r="H11575" t="s">
        <v>18863</v>
      </c>
    </row>
    <row r="11576" spans="6:8">
      <c r="H11576" t="s">
        <v>20454</v>
      </c>
    </row>
    <row r="11577" spans="6:8">
      <c r="H11577" t="s">
        <v>19349</v>
      </c>
    </row>
    <row r="11578" spans="6:8">
      <c r="H11578" t="s">
        <v>20209</v>
      </c>
    </row>
    <row r="11579" spans="6:8">
      <c r="F11579" t="s">
        <v>11811</v>
      </c>
      <c r="G11579" t="s">
        <v>16052</v>
      </c>
      <c r="H11579" t="s">
        <v>20782</v>
      </c>
    </row>
    <row r="11580" spans="6:8">
      <c r="H11580" t="s">
        <v>18829</v>
      </c>
    </row>
    <row r="11581" spans="6:8">
      <c r="H11581" t="s">
        <v>18863</v>
      </c>
    </row>
    <row r="11582" spans="6:8">
      <c r="H11582" t="s">
        <v>20454</v>
      </c>
    </row>
    <row r="11583" spans="6:8">
      <c r="H11583" t="s">
        <v>19349</v>
      </c>
    </row>
    <row r="11584" spans="6:8">
      <c r="H11584" t="s">
        <v>20209</v>
      </c>
    </row>
    <row r="11585" spans="6:8">
      <c r="F11585" t="s">
        <v>11812</v>
      </c>
      <c r="G11585" t="s">
        <v>16053</v>
      </c>
      <c r="H11585" t="s">
        <v>20783</v>
      </c>
    </row>
    <row r="11586" spans="6:8">
      <c r="H11586" t="s">
        <v>18829</v>
      </c>
    </row>
    <row r="11587" spans="6:8">
      <c r="H11587" t="s">
        <v>18863</v>
      </c>
    </row>
    <row r="11588" spans="6:8">
      <c r="H11588" t="s">
        <v>20454</v>
      </c>
    </row>
    <row r="11589" spans="6:8">
      <c r="H11589" t="s">
        <v>19349</v>
      </c>
    </row>
    <row r="11590" spans="6:8">
      <c r="H11590" t="s">
        <v>20209</v>
      </c>
    </row>
    <row r="11591" spans="6:8">
      <c r="F11591" t="s">
        <v>11813</v>
      </c>
      <c r="G11591" t="s">
        <v>16054</v>
      </c>
      <c r="H11591" t="s">
        <v>20784</v>
      </c>
    </row>
    <row r="11592" spans="6:8">
      <c r="H11592" t="s">
        <v>18829</v>
      </c>
    </row>
    <row r="11593" spans="6:8">
      <c r="H11593" t="s">
        <v>18863</v>
      </c>
    </row>
    <row r="11594" spans="6:8">
      <c r="H11594" t="s">
        <v>20454</v>
      </c>
    </row>
    <row r="11595" spans="6:8">
      <c r="H11595" t="s">
        <v>19349</v>
      </c>
    </row>
    <row r="11596" spans="6:8">
      <c r="H11596" t="s">
        <v>20209</v>
      </c>
    </row>
    <row r="11597" spans="6:8">
      <c r="F11597" t="s">
        <v>11814</v>
      </c>
      <c r="G11597" t="s">
        <v>16055</v>
      </c>
      <c r="H11597" t="s">
        <v>20785</v>
      </c>
    </row>
    <row r="11598" spans="6:8">
      <c r="H11598" t="s">
        <v>18829</v>
      </c>
    </row>
    <row r="11599" spans="6:8">
      <c r="H11599" t="s">
        <v>18863</v>
      </c>
    </row>
    <row r="11600" spans="6:8">
      <c r="H11600" t="s">
        <v>20454</v>
      </c>
    </row>
    <row r="11601" spans="6:8">
      <c r="H11601" t="s">
        <v>19349</v>
      </c>
    </row>
    <row r="11602" spans="6:8">
      <c r="H11602" t="s">
        <v>20209</v>
      </c>
    </row>
    <row r="11603" spans="6:8">
      <c r="F11603" t="s">
        <v>11815</v>
      </c>
      <c r="G11603" t="s">
        <v>16056</v>
      </c>
      <c r="H11603" t="s">
        <v>20786</v>
      </c>
    </row>
    <row r="11604" spans="6:8">
      <c r="H11604" t="s">
        <v>18829</v>
      </c>
    </row>
    <row r="11605" spans="6:8">
      <c r="H11605" t="s">
        <v>18863</v>
      </c>
    </row>
    <row r="11606" spans="6:8">
      <c r="H11606" t="s">
        <v>20454</v>
      </c>
    </row>
    <row r="11607" spans="6:8">
      <c r="H11607" t="s">
        <v>19349</v>
      </c>
    </row>
    <row r="11608" spans="6:8">
      <c r="H11608" t="s">
        <v>20209</v>
      </c>
    </row>
    <row r="11609" spans="6:8">
      <c r="F11609" t="s">
        <v>11816</v>
      </c>
      <c r="G11609" t="s">
        <v>16057</v>
      </c>
      <c r="H11609" t="s">
        <v>20787</v>
      </c>
    </row>
    <row r="11610" spans="6:8">
      <c r="H11610" t="s">
        <v>18829</v>
      </c>
    </row>
    <row r="11611" spans="6:8">
      <c r="H11611" t="s">
        <v>18863</v>
      </c>
    </row>
    <row r="11612" spans="6:8">
      <c r="H11612" t="s">
        <v>20454</v>
      </c>
    </row>
    <row r="11613" spans="6:8">
      <c r="H11613" t="s">
        <v>19349</v>
      </c>
    </row>
    <row r="11614" spans="6:8">
      <c r="H11614" t="s">
        <v>20209</v>
      </c>
    </row>
    <row r="11615" spans="6:8">
      <c r="F11615" t="s">
        <v>11817</v>
      </c>
      <c r="G11615" t="s">
        <v>16058</v>
      </c>
      <c r="H11615" t="s">
        <v>20788</v>
      </c>
    </row>
    <row r="11616" spans="6:8">
      <c r="H11616" t="s">
        <v>18829</v>
      </c>
    </row>
    <row r="11617" spans="6:8">
      <c r="H11617" t="s">
        <v>18863</v>
      </c>
    </row>
    <row r="11618" spans="6:8">
      <c r="H11618" t="s">
        <v>20454</v>
      </c>
    </row>
    <row r="11619" spans="6:8">
      <c r="H11619" t="s">
        <v>19349</v>
      </c>
    </row>
    <row r="11620" spans="6:8">
      <c r="H11620" t="s">
        <v>20209</v>
      </c>
    </row>
    <row r="11621" spans="6:8">
      <c r="F11621" t="s">
        <v>11818</v>
      </c>
      <c r="G11621" t="s">
        <v>16059</v>
      </c>
      <c r="H11621" t="s">
        <v>20789</v>
      </c>
    </row>
    <row r="11622" spans="6:8">
      <c r="H11622" t="s">
        <v>18829</v>
      </c>
    </row>
    <row r="11623" spans="6:8">
      <c r="H11623" t="s">
        <v>18863</v>
      </c>
    </row>
    <row r="11624" spans="6:8">
      <c r="H11624" t="s">
        <v>20454</v>
      </c>
    </row>
    <row r="11625" spans="6:8">
      <c r="H11625" t="s">
        <v>19349</v>
      </c>
    </row>
    <row r="11626" spans="6:8">
      <c r="H11626" t="s">
        <v>20209</v>
      </c>
    </row>
    <row r="11627" spans="6:8">
      <c r="F11627" t="s">
        <v>11819</v>
      </c>
      <c r="G11627" t="s">
        <v>16060</v>
      </c>
      <c r="H11627" t="s">
        <v>20790</v>
      </c>
    </row>
    <row r="11628" spans="6:8">
      <c r="H11628" t="s">
        <v>18829</v>
      </c>
    </row>
    <row r="11629" spans="6:8">
      <c r="H11629" t="s">
        <v>18863</v>
      </c>
    </row>
    <row r="11630" spans="6:8">
      <c r="H11630" t="s">
        <v>20454</v>
      </c>
    </row>
    <row r="11631" spans="6:8">
      <c r="H11631" t="s">
        <v>19349</v>
      </c>
    </row>
    <row r="11632" spans="6:8">
      <c r="H11632" t="s">
        <v>20209</v>
      </c>
    </row>
    <row r="11633" spans="6:8">
      <c r="F11633" t="s">
        <v>11820</v>
      </c>
      <c r="G11633" t="s">
        <v>16061</v>
      </c>
      <c r="H11633" t="s">
        <v>20791</v>
      </c>
    </row>
    <row r="11634" spans="6:8">
      <c r="H11634" t="s">
        <v>18829</v>
      </c>
    </row>
    <row r="11635" spans="6:8">
      <c r="H11635" t="s">
        <v>18863</v>
      </c>
    </row>
    <row r="11636" spans="6:8">
      <c r="H11636" t="s">
        <v>20454</v>
      </c>
    </row>
    <row r="11637" spans="6:8">
      <c r="H11637" t="s">
        <v>19349</v>
      </c>
    </row>
    <row r="11638" spans="6:8">
      <c r="H11638" t="s">
        <v>20209</v>
      </c>
    </row>
    <row r="11639" spans="6:8">
      <c r="F11639" t="s">
        <v>11821</v>
      </c>
      <c r="G11639" t="s">
        <v>16062</v>
      </c>
      <c r="H11639" t="s">
        <v>20792</v>
      </c>
    </row>
    <row r="11640" spans="6:8">
      <c r="H11640" t="s">
        <v>18829</v>
      </c>
    </row>
    <row r="11641" spans="6:8">
      <c r="H11641" t="s">
        <v>18863</v>
      </c>
    </row>
    <row r="11642" spans="6:8">
      <c r="H11642" t="s">
        <v>20454</v>
      </c>
    </row>
    <row r="11643" spans="6:8">
      <c r="H11643" t="s">
        <v>19349</v>
      </c>
    </row>
    <row r="11644" spans="6:8">
      <c r="H11644" t="s">
        <v>20209</v>
      </c>
    </row>
    <row r="11645" spans="6:8">
      <c r="F11645" t="s">
        <v>11822</v>
      </c>
      <c r="G11645" t="s">
        <v>16063</v>
      </c>
      <c r="H11645" t="s">
        <v>20793</v>
      </c>
    </row>
    <row r="11646" spans="6:8">
      <c r="H11646" t="s">
        <v>18829</v>
      </c>
    </row>
    <row r="11647" spans="6:8">
      <c r="H11647" t="s">
        <v>18863</v>
      </c>
    </row>
    <row r="11648" spans="6:8">
      <c r="H11648" t="s">
        <v>20454</v>
      </c>
    </row>
    <row r="11649" spans="6:8">
      <c r="H11649" t="s">
        <v>19349</v>
      </c>
    </row>
    <row r="11650" spans="6:8">
      <c r="H11650" t="s">
        <v>20209</v>
      </c>
    </row>
    <row r="11651" spans="6:8">
      <c r="F11651" t="s">
        <v>11823</v>
      </c>
      <c r="G11651" t="s">
        <v>16064</v>
      </c>
      <c r="H11651" t="s">
        <v>20794</v>
      </c>
    </row>
    <row r="11652" spans="6:8">
      <c r="H11652" t="s">
        <v>18829</v>
      </c>
    </row>
    <row r="11653" spans="6:8">
      <c r="H11653" t="s">
        <v>18863</v>
      </c>
    </row>
    <row r="11654" spans="6:8">
      <c r="H11654" t="s">
        <v>20454</v>
      </c>
    </row>
    <row r="11655" spans="6:8">
      <c r="H11655" t="s">
        <v>19349</v>
      </c>
    </row>
    <row r="11656" spans="6:8">
      <c r="H11656" t="s">
        <v>20209</v>
      </c>
    </row>
    <row r="11657" spans="6:8">
      <c r="F11657" t="s">
        <v>11824</v>
      </c>
      <c r="G11657" t="s">
        <v>16065</v>
      </c>
      <c r="H11657" t="s">
        <v>20795</v>
      </c>
    </row>
    <row r="11658" spans="6:8">
      <c r="H11658" t="s">
        <v>18829</v>
      </c>
    </row>
    <row r="11659" spans="6:8">
      <c r="H11659" t="s">
        <v>18863</v>
      </c>
    </row>
    <row r="11660" spans="6:8">
      <c r="H11660" t="s">
        <v>20454</v>
      </c>
    </row>
    <row r="11661" spans="6:8">
      <c r="H11661" t="s">
        <v>19349</v>
      </c>
    </row>
    <row r="11662" spans="6:8">
      <c r="H11662" t="s">
        <v>20209</v>
      </c>
    </row>
    <row r="11663" spans="6:8">
      <c r="F11663" t="s">
        <v>11825</v>
      </c>
      <c r="G11663" t="s">
        <v>16066</v>
      </c>
      <c r="H11663" t="s">
        <v>20796</v>
      </c>
    </row>
    <row r="11664" spans="6:8">
      <c r="H11664" t="s">
        <v>18829</v>
      </c>
    </row>
    <row r="11665" spans="6:8">
      <c r="H11665" t="s">
        <v>18863</v>
      </c>
    </row>
    <row r="11666" spans="6:8">
      <c r="H11666" t="s">
        <v>20454</v>
      </c>
    </row>
    <row r="11667" spans="6:8">
      <c r="H11667" t="s">
        <v>19349</v>
      </c>
    </row>
    <row r="11668" spans="6:8">
      <c r="H11668" t="s">
        <v>20209</v>
      </c>
    </row>
    <row r="11669" spans="6:8">
      <c r="F11669" t="s">
        <v>11826</v>
      </c>
      <c r="G11669" t="s">
        <v>16067</v>
      </c>
      <c r="H11669" t="s">
        <v>20797</v>
      </c>
    </row>
    <row r="11670" spans="6:8">
      <c r="H11670" t="s">
        <v>18829</v>
      </c>
    </row>
    <row r="11671" spans="6:8">
      <c r="H11671" t="s">
        <v>18863</v>
      </c>
    </row>
    <row r="11672" spans="6:8">
      <c r="H11672" t="s">
        <v>20454</v>
      </c>
    </row>
    <row r="11673" spans="6:8">
      <c r="H11673" t="s">
        <v>19349</v>
      </c>
    </row>
    <row r="11674" spans="6:8">
      <c r="H11674" t="s">
        <v>20209</v>
      </c>
    </row>
    <row r="11675" spans="6:8">
      <c r="F11675" t="s">
        <v>11827</v>
      </c>
      <c r="G11675" t="s">
        <v>16068</v>
      </c>
      <c r="H11675" t="s">
        <v>20798</v>
      </c>
    </row>
    <row r="11676" spans="6:8">
      <c r="H11676" t="s">
        <v>18829</v>
      </c>
    </row>
    <row r="11677" spans="6:8">
      <c r="H11677" t="s">
        <v>18863</v>
      </c>
    </row>
    <row r="11678" spans="6:8">
      <c r="H11678" t="s">
        <v>20454</v>
      </c>
    </row>
    <row r="11679" spans="6:8">
      <c r="H11679" t="s">
        <v>19349</v>
      </c>
    </row>
    <row r="11680" spans="6:8">
      <c r="H11680" t="s">
        <v>20209</v>
      </c>
    </row>
    <row r="11681" spans="6:8">
      <c r="F11681" t="s">
        <v>11828</v>
      </c>
      <c r="G11681" t="s">
        <v>16069</v>
      </c>
      <c r="H11681" t="s">
        <v>20799</v>
      </c>
    </row>
    <row r="11682" spans="6:8">
      <c r="H11682" t="s">
        <v>18829</v>
      </c>
    </row>
    <row r="11683" spans="6:8">
      <c r="H11683" t="s">
        <v>18863</v>
      </c>
    </row>
    <row r="11684" spans="6:8">
      <c r="H11684" t="s">
        <v>20454</v>
      </c>
    </row>
    <row r="11685" spans="6:8">
      <c r="H11685" t="s">
        <v>19349</v>
      </c>
    </row>
    <row r="11686" spans="6:8">
      <c r="H11686" t="s">
        <v>20209</v>
      </c>
    </row>
    <row r="11687" spans="6:8">
      <c r="F11687" t="s">
        <v>11829</v>
      </c>
      <c r="G11687" t="s">
        <v>16070</v>
      </c>
      <c r="H11687" t="s">
        <v>20800</v>
      </c>
    </row>
    <row r="11688" spans="6:8">
      <c r="H11688" t="s">
        <v>18829</v>
      </c>
    </row>
    <row r="11689" spans="6:8">
      <c r="H11689" t="s">
        <v>18863</v>
      </c>
    </row>
    <row r="11690" spans="6:8">
      <c r="H11690" t="s">
        <v>20454</v>
      </c>
    </row>
    <row r="11691" spans="6:8">
      <c r="H11691" t="s">
        <v>19349</v>
      </c>
    </row>
    <row r="11692" spans="6:8">
      <c r="H11692" t="s">
        <v>20209</v>
      </c>
    </row>
    <row r="11693" spans="6:8">
      <c r="F11693" t="s">
        <v>11830</v>
      </c>
      <c r="G11693" t="s">
        <v>16071</v>
      </c>
      <c r="H11693" t="s">
        <v>20801</v>
      </c>
    </row>
    <row r="11694" spans="6:8">
      <c r="H11694" t="s">
        <v>18829</v>
      </c>
    </row>
    <row r="11695" spans="6:8">
      <c r="H11695" t="s">
        <v>18863</v>
      </c>
    </row>
    <row r="11696" spans="6:8">
      <c r="H11696" t="s">
        <v>20454</v>
      </c>
    </row>
    <row r="11697" spans="6:8">
      <c r="H11697" t="s">
        <v>19349</v>
      </c>
    </row>
    <row r="11698" spans="6:8">
      <c r="H11698" t="s">
        <v>20209</v>
      </c>
    </row>
    <row r="11699" spans="6:8">
      <c r="F11699" t="s">
        <v>11831</v>
      </c>
      <c r="G11699" t="s">
        <v>16072</v>
      </c>
      <c r="H11699" t="s">
        <v>20802</v>
      </c>
    </row>
    <row r="11700" spans="6:8">
      <c r="H11700" t="s">
        <v>18829</v>
      </c>
    </row>
    <row r="11701" spans="6:8">
      <c r="H11701" t="s">
        <v>18863</v>
      </c>
    </row>
    <row r="11702" spans="6:8">
      <c r="H11702" t="s">
        <v>20454</v>
      </c>
    </row>
    <row r="11703" spans="6:8">
      <c r="H11703" t="s">
        <v>19349</v>
      </c>
    </row>
    <row r="11704" spans="6:8">
      <c r="H11704" t="s">
        <v>20209</v>
      </c>
    </row>
    <row r="11705" spans="6:8">
      <c r="F11705" t="s">
        <v>11832</v>
      </c>
      <c r="G11705" t="s">
        <v>16073</v>
      </c>
      <c r="H11705" t="s">
        <v>20803</v>
      </c>
    </row>
    <row r="11706" spans="6:8">
      <c r="H11706" t="s">
        <v>18829</v>
      </c>
    </row>
    <row r="11707" spans="6:8">
      <c r="H11707" t="s">
        <v>18863</v>
      </c>
    </row>
    <row r="11708" spans="6:8">
      <c r="H11708" t="s">
        <v>20454</v>
      </c>
    </row>
    <row r="11709" spans="6:8">
      <c r="H11709" t="s">
        <v>19349</v>
      </c>
    </row>
    <row r="11710" spans="6:8">
      <c r="H11710" t="s">
        <v>20209</v>
      </c>
    </row>
    <row r="11711" spans="6:8">
      <c r="F11711" t="s">
        <v>11833</v>
      </c>
      <c r="G11711" t="s">
        <v>16074</v>
      </c>
      <c r="H11711" t="s">
        <v>20804</v>
      </c>
    </row>
    <row r="11712" spans="6:8">
      <c r="H11712" t="s">
        <v>18829</v>
      </c>
    </row>
    <row r="11713" spans="6:8">
      <c r="H11713" t="s">
        <v>18863</v>
      </c>
    </row>
    <row r="11714" spans="6:8">
      <c r="H11714" t="s">
        <v>20454</v>
      </c>
    </row>
    <row r="11715" spans="6:8">
      <c r="H11715" t="s">
        <v>19349</v>
      </c>
    </row>
    <row r="11716" spans="6:8">
      <c r="H11716" t="s">
        <v>20209</v>
      </c>
    </row>
    <row r="11717" spans="6:8">
      <c r="F11717" t="s">
        <v>11834</v>
      </c>
      <c r="G11717" t="s">
        <v>16075</v>
      </c>
      <c r="H11717" t="s">
        <v>20805</v>
      </c>
    </row>
    <row r="11718" spans="6:8">
      <c r="H11718" t="s">
        <v>18829</v>
      </c>
    </row>
    <row r="11719" spans="6:8">
      <c r="H11719" t="s">
        <v>18863</v>
      </c>
    </row>
    <row r="11720" spans="6:8">
      <c r="H11720" t="s">
        <v>20454</v>
      </c>
    </row>
    <row r="11721" spans="6:8">
      <c r="H11721" t="s">
        <v>19349</v>
      </c>
    </row>
    <row r="11722" spans="6:8">
      <c r="H11722" t="s">
        <v>20209</v>
      </c>
    </row>
    <row r="11723" spans="6:8">
      <c r="F11723" t="s">
        <v>11835</v>
      </c>
      <c r="G11723" t="s">
        <v>16076</v>
      </c>
      <c r="H11723" t="s">
        <v>20806</v>
      </c>
    </row>
    <row r="11724" spans="6:8">
      <c r="H11724" t="s">
        <v>18829</v>
      </c>
    </row>
    <row r="11725" spans="6:8">
      <c r="H11725" t="s">
        <v>18863</v>
      </c>
    </row>
    <row r="11726" spans="6:8">
      <c r="H11726" t="s">
        <v>20454</v>
      </c>
    </row>
    <row r="11727" spans="6:8">
      <c r="H11727" t="s">
        <v>19349</v>
      </c>
    </row>
    <row r="11728" spans="6:8">
      <c r="H11728" t="s">
        <v>20209</v>
      </c>
    </row>
    <row r="11729" spans="6:8">
      <c r="F11729" t="s">
        <v>11836</v>
      </c>
      <c r="G11729" t="s">
        <v>16077</v>
      </c>
      <c r="H11729" t="s">
        <v>20807</v>
      </c>
    </row>
    <row r="11730" spans="6:8">
      <c r="H11730" t="s">
        <v>18829</v>
      </c>
    </row>
    <row r="11731" spans="6:8">
      <c r="H11731" t="s">
        <v>18863</v>
      </c>
    </row>
    <row r="11732" spans="6:8">
      <c r="H11732" t="s">
        <v>20454</v>
      </c>
    </row>
    <row r="11733" spans="6:8">
      <c r="H11733" t="s">
        <v>19349</v>
      </c>
    </row>
    <row r="11734" spans="6:8">
      <c r="H11734" t="s">
        <v>20209</v>
      </c>
    </row>
    <row r="11735" spans="6:8">
      <c r="F11735" t="s">
        <v>11837</v>
      </c>
      <c r="G11735" t="s">
        <v>16078</v>
      </c>
      <c r="H11735" t="s">
        <v>20808</v>
      </c>
    </row>
    <row r="11736" spans="6:8">
      <c r="H11736" t="s">
        <v>18829</v>
      </c>
    </row>
    <row r="11737" spans="6:8">
      <c r="H11737" t="s">
        <v>18863</v>
      </c>
    </row>
    <row r="11738" spans="6:8">
      <c r="H11738" t="s">
        <v>20454</v>
      </c>
    </row>
    <row r="11739" spans="6:8">
      <c r="H11739" t="s">
        <v>19349</v>
      </c>
    </row>
    <row r="11740" spans="6:8">
      <c r="H11740" t="s">
        <v>20209</v>
      </c>
    </row>
    <row r="11741" spans="6:8">
      <c r="F11741" t="s">
        <v>11838</v>
      </c>
      <c r="G11741" t="s">
        <v>16079</v>
      </c>
      <c r="H11741" t="s">
        <v>20809</v>
      </c>
    </row>
    <row r="11742" spans="6:8">
      <c r="H11742" t="s">
        <v>18829</v>
      </c>
    </row>
    <row r="11743" spans="6:8">
      <c r="H11743" t="s">
        <v>18863</v>
      </c>
    </row>
    <row r="11744" spans="6:8">
      <c r="H11744" t="s">
        <v>20454</v>
      </c>
    </row>
    <row r="11745" spans="6:8">
      <c r="H11745" t="s">
        <v>19349</v>
      </c>
    </row>
    <row r="11746" spans="6:8">
      <c r="H11746" t="s">
        <v>20209</v>
      </c>
    </row>
    <row r="11747" spans="6:8">
      <c r="F11747" t="s">
        <v>11839</v>
      </c>
      <c r="G11747" t="s">
        <v>16080</v>
      </c>
      <c r="H11747" t="s">
        <v>20810</v>
      </c>
    </row>
    <row r="11748" spans="6:8">
      <c r="H11748" t="s">
        <v>18829</v>
      </c>
    </row>
    <row r="11749" spans="6:8">
      <c r="H11749" t="s">
        <v>18863</v>
      </c>
    </row>
    <row r="11750" spans="6:8">
      <c r="H11750" t="s">
        <v>20454</v>
      </c>
    </row>
    <row r="11751" spans="6:8">
      <c r="H11751" t="s">
        <v>19349</v>
      </c>
    </row>
    <row r="11752" spans="6:8">
      <c r="H11752" t="s">
        <v>20209</v>
      </c>
    </row>
    <row r="11753" spans="6:8">
      <c r="F11753" t="s">
        <v>11840</v>
      </c>
      <c r="G11753" t="s">
        <v>16081</v>
      </c>
      <c r="H11753" t="s">
        <v>20811</v>
      </c>
    </row>
    <row r="11754" spans="6:8">
      <c r="H11754" t="s">
        <v>18829</v>
      </c>
    </row>
    <row r="11755" spans="6:8">
      <c r="H11755" t="s">
        <v>18863</v>
      </c>
    </row>
    <row r="11756" spans="6:8">
      <c r="H11756" t="s">
        <v>20454</v>
      </c>
    </row>
    <row r="11757" spans="6:8">
      <c r="H11757" t="s">
        <v>19349</v>
      </c>
    </row>
    <row r="11758" spans="6:8">
      <c r="H11758" t="s">
        <v>20209</v>
      </c>
    </row>
    <row r="11759" spans="6:8">
      <c r="F11759" t="s">
        <v>11841</v>
      </c>
      <c r="G11759" t="s">
        <v>16082</v>
      </c>
      <c r="H11759" t="s">
        <v>20812</v>
      </c>
    </row>
    <row r="11760" spans="6:8">
      <c r="H11760" t="s">
        <v>18829</v>
      </c>
    </row>
    <row r="11761" spans="6:8">
      <c r="H11761" t="s">
        <v>18863</v>
      </c>
    </row>
    <row r="11762" spans="6:8">
      <c r="H11762" t="s">
        <v>20454</v>
      </c>
    </row>
    <row r="11763" spans="6:8">
      <c r="H11763" t="s">
        <v>19349</v>
      </c>
    </row>
    <row r="11764" spans="6:8">
      <c r="H11764" t="s">
        <v>20209</v>
      </c>
    </row>
    <row r="11765" spans="6:8">
      <c r="F11765" t="s">
        <v>11842</v>
      </c>
      <c r="G11765" t="s">
        <v>16083</v>
      </c>
      <c r="H11765" t="s">
        <v>20813</v>
      </c>
    </row>
    <row r="11766" spans="6:8">
      <c r="H11766" t="s">
        <v>18829</v>
      </c>
    </row>
    <row r="11767" spans="6:8">
      <c r="H11767" t="s">
        <v>18863</v>
      </c>
    </row>
    <row r="11768" spans="6:8">
      <c r="H11768" t="s">
        <v>20454</v>
      </c>
    </row>
    <row r="11769" spans="6:8">
      <c r="H11769" t="s">
        <v>19349</v>
      </c>
    </row>
    <row r="11770" spans="6:8">
      <c r="H11770" t="s">
        <v>20209</v>
      </c>
    </row>
    <row r="11771" spans="6:8">
      <c r="F11771" t="s">
        <v>11843</v>
      </c>
      <c r="G11771" t="s">
        <v>16084</v>
      </c>
      <c r="H11771" t="s">
        <v>20814</v>
      </c>
    </row>
    <row r="11772" spans="6:8">
      <c r="H11772" t="s">
        <v>18829</v>
      </c>
    </row>
    <row r="11773" spans="6:8">
      <c r="H11773" t="s">
        <v>18863</v>
      </c>
    </row>
    <row r="11774" spans="6:8">
      <c r="H11774" t="s">
        <v>20454</v>
      </c>
    </row>
    <row r="11775" spans="6:8">
      <c r="H11775" t="s">
        <v>19349</v>
      </c>
    </row>
    <row r="11776" spans="6:8">
      <c r="H11776" t="s">
        <v>20209</v>
      </c>
    </row>
    <row r="11777" spans="6:8">
      <c r="F11777" t="s">
        <v>11844</v>
      </c>
      <c r="G11777" t="s">
        <v>16085</v>
      </c>
      <c r="H11777" t="s">
        <v>20815</v>
      </c>
    </row>
    <row r="11778" spans="6:8">
      <c r="H11778" t="s">
        <v>18829</v>
      </c>
    </row>
    <row r="11779" spans="6:8">
      <c r="H11779" t="s">
        <v>18863</v>
      </c>
    </row>
    <row r="11780" spans="6:8">
      <c r="H11780" t="s">
        <v>20454</v>
      </c>
    </row>
    <row r="11781" spans="6:8">
      <c r="H11781" t="s">
        <v>19349</v>
      </c>
    </row>
    <row r="11782" spans="6:8">
      <c r="H11782" t="s">
        <v>20209</v>
      </c>
    </row>
    <row r="11783" spans="6:8">
      <c r="F11783" t="s">
        <v>11845</v>
      </c>
      <c r="G11783" t="s">
        <v>16086</v>
      </c>
      <c r="H11783" t="s">
        <v>20816</v>
      </c>
    </row>
    <row r="11784" spans="6:8">
      <c r="H11784" t="s">
        <v>18829</v>
      </c>
    </row>
    <row r="11785" spans="6:8">
      <c r="H11785" t="s">
        <v>18863</v>
      </c>
    </row>
    <row r="11786" spans="6:8">
      <c r="H11786" t="s">
        <v>20454</v>
      </c>
    </row>
    <row r="11787" spans="6:8">
      <c r="H11787" t="s">
        <v>19349</v>
      </c>
    </row>
    <row r="11788" spans="6:8">
      <c r="H11788" t="s">
        <v>20209</v>
      </c>
    </row>
    <row r="11789" spans="6:8">
      <c r="F11789" t="s">
        <v>11846</v>
      </c>
      <c r="G11789" t="s">
        <v>16087</v>
      </c>
      <c r="H11789" t="s">
        <v>20817</v>
      </c>
    </row>
    <row r="11790" spans="6:8">
      <c r="H11790" t="s">
        <v>18829</v>
      </c>
    </row>
    <row r="11791" spans="6:8">
      <c r="H11791" t="s">
        <v>18863</v>
      </c>
    </row>
    <row r="11792" spans="6:8">
      <c r="H11792" t="s">
        <v>20454</v>
      </c>
    </row>
    <row r="11793" spans="6:8">
      <c r="H11793" t="s">
        <v>19349</v>
      </c>
    </row>
    <row r="11794" spans="6:8">
      <c r="H11794" t="s">
        <v>20209</v>
      </c>
    </row>
    <row r="11795" spans="6:8">
      <c r="F11795" t="s">
        <v>11847</v>
      </c>
      <c r="G11795" t="s">
        <v>16088</v>
      </c>
      <c r="H11795" t="s">
        <v>20818</v>
      </c>
    </row>
    <row r="11796" spans="6:8">
      <c r="H11796" t="s">
        <v>18829</v>
      </c>
    </row>
    <row r="11797" spans="6:8">
      <c r="H11797" t="s">
        <v>18863</v>
      </c>
    </row>
    <row r="11798" spans="6:8">
      <c r="H11798" t="s">
        <v>20454</v>
      </c>
    </row>
    <row r="11799" spans="6:8">
      <c r="H11799" t="s">
        <v>19349</v>
      </c>
    </row>
    <row r="11800" spans="6:8">
      <c r="H11800" t="s">
        <v>20209</v>
      </c>
    </row>
    <row r="11801" spans="6:8">
      <c r="F11801" t="s">
        <v>11848</v>
      </c>
      <c r="G11801" t="s">
        <v>16089</v>
      </c>
      <c r="H11801" t="s">
        <v>20819</v>
      </c>
    </row>
    <row r="11802" spans="6:8">
      <c r="H11802" t="s">
        <v>18829</v>
      </c>
    </row>
    <row r="11803" spans="6:8">
      <c r="H11803" t="s">
        <v>18863</v>
      </c>
    </row>
    <row r="11804" spans="6:8">
      <c r="H11804" t="s">
        <v>20454</v>
      </c>
    </row>
    <row r="11805" spans="6:8">
      <c r="H11805" t="s">
        <v>19349</v>
      </c>
    </row>
    <row r="11806" spans="6:8">
      <c r="H11806" t="s">
        <v>20209</v>
      </c>
    </row>
    <row r="11807" spans="6:8">
      <c r="F11807" t="s">
        <v>11849</v>
      </c>
      <c r="G11807" t="s">
        <v>16090</v>
      </c>
      <c r="H11807" t="s">
        <v>20820</v>
      </c>
    </row>
    <row r="11808" spans="6:8">
      <c r="H11808" t="s">
        <v>18829</v>
      </c>
    </row>
    <row r="11809" spans="6:8">
      <c r="H11809" t="s">
        <v>18863</v>
      </c>
    </row>
    <row r="11810" spans="6:8">
      <c r="H11810" t="s">
        <v>20454</v>
      </c>
    </row>
    <row r="11811" spans="6:8">
      <c r="H11811" t="s">
        <v>19349</v>
      </c>
    </row>
    <row r="11812" spans="6:8">
      <c r="H11812" t="s">
        <v>20209</v>
      </c>
    </row>
    <row r="11813" spans="6:8">
      <c r="F11813" t="s">
        <v>11850</v>
      </c>
      <c r="G11813" t="s">
        <v>16091</v>
      </c>
      <c r="H11813" t="s">
        <v>20821</v>
      </c>
    </row>
    <row r="11814" spans="6:8">
      <c r="H11814" t="s">
        <v>18829</v>
      </c>
    </row>
    <row r="11815" spans="6:8">
      <c r="H11815" t="s">
        <v>18863</v>
      </c>
    </row>
    <row r="11816" spans="6:8">
      <c r="H11816" t="s">
        <v>20454</v>
      </c>
    </row>
    <row r="11817" spans="6:8">
      <c r="H11817" t="s">
        <v>19349</v>
      </c>
    </row>
    <row r="11818" spans="6:8">
      <c r="H11818" t="s">
        <v>20209</v>
      </c>
    </row>
    <row r="11819" spans="6:8">
      <c r="F11819" t="s">
        <v>11851</v>
      </c>
      <c r="G11819" t="s">
        <v>16092</v>
      </c>
      <c r="H11819" t="s">
        <v>20822</v>
      </c>
    </row>
    <row r="11820" spans="6:8">
      <c r="H11820" t="s">
        <v>18829</v>
      </c>
    </row>
    <row r="11821" spans="6:8">
      <c r="H11821" t="s">
        <v>18863</v>
      </c>
    </row>
    <row r="11822" spans="6:8">
      <c r="H11822" t="s">
        <v>20454</v>
      </c>
    </row>
    <row r="11823" spans="6:8">
      <c r="H11823" t="s">
        <v>19349</v>
      </c>
    </row>
    <row r="11824" spans="6:8">
      <c r="H11824" t="s">
        <v>20209</v>
      </c>
    </row>
    <row r="11825" spans="6:8">
      <c r="F11825" t="s">
        <v>11852</v>
      </c>
      <c r="G11825" t="s">
        <v>16093</v>
      </c>
      <c r="H11825" t="s">
        <v>20823</v>
      </c>
    </row>
    <row r="11826" spans="6:8">
      <c r="H11826" t="s">
        <v>18829</v>
      </c>
    </row>
    <row r="11827" spans="6:8">
      <c r="H11827" t="s">
        <v>18863</v>
      </c>
    </row>
    <row r="11828" spans="6:8">
      <c r="H11828" t="s">
        <v>20454</v>
      </c>
    </row>
    <row r="11829" spans="6:8">
      <c r="H11829" t="s">
        <v>19349</v>
      </c>
    </row>
    <row r="11830" spans="6:8">
      <c r="H11830" t="s">
        <v>20209</v>
      </c>
    </row>
    <row r="11831" spans="6:8">
      <c r="F11831" t="s">
        <v>11853</v>
      </c>
      <c r="G11831" t="s">
        <v>16094</v>
      </c>
      <c r="H11831" t="s">
        <v>20824</v>
      </c>
    </row>
    <row r="11832" spans="6:8">
      <c r="H11832" t="s">
        <v>18829</v>
      </c>
    </row>
    <row r="11833" spans="6:8">
      <c r="H11833" t="s">
        <v>18863</v>
      </c>
    </row>
    <row r="11834" spans="6:8">
      <c r="H11834" t="s">
        <v>20454</v>
      </c>
    </row>
    <row r="11835" spans="6:8">
      <c r="H11835" t="s">
        <v>19349</v>
      </c>
    </row>
    <row r="11836" spans="6:8">
      <c r="H11836" t="s">
        <v>20209</v>
      </c>
    </row>
    <row r="11837" spans="6:8">
      <c r="F11837" t="s">
        <v>11854</v>
      </c>
      <c r="G11837" t="s">
        <v>16095</v>
      </c>
      <c r="H11837" t="s">
        <v>20825</v>
      </c>
    </row>
    <row r="11838" spans="6:8">
      <c r="H11838" t="s">
        <v>18829</v>
      </c>
    </row>
    <row r="11839" spans="6:8">
      <c r="H11839" t="s">
        <v>18863</v>
      </c>
    </row>
    <row r="11840" spans="6:8">
      <c r="H11840" t="s">
        <v>20454</v>
      </c>
    </row>
    <row r="11841" spans="6:8">
      <c r="H11841" t="s">
        <v>19349</v>
      </c>
    </row>
    <row r="11842" spans="6:8">
      <c r="H11842" t="s">
        <v>20209</v>
      </c>
    </row>
    <row r="11843" spans="6:8">
      <c r="F11843" t="s">
        <v>11855</v>
      </c>
      <c r="G11843" t="s">
        <v>16096</v>
      </c>
      <c r="H11843" t="s">
        <v>20826</v>
      </c>
    </row>
    <row r="11844" spans="6:8">
      <c r="H11844" t="s">
        <v>18829</v>
      </c>
    </row>
    <row r="11845" spans="6:8">
      <c r="H11845" t="s">
        <v>18863</v>
      </c>
    </row>
    <row r="11846" spans="6:8">
      <c r="H11846" t="s">
        <v>20454</v>
      </c>
    </row>
    <row r="11847" spans="6:8">
      <c r="H11847" t="s">
        <v>19349</v>
      </c>
    </row>
    <row r="11848" spans="6:8">
      <c r="H11848" t="s">
        <v>20209</v>
      </c>
    </row>
    <row r="11849" spans="6:8">
      <c r="F11849" t="s">
        <v>11856</v>
      </c>
      <c r="G11849" t="s">
        <v>16097</v>
      </c>
      <c r="H11849" t="s">
        <v>20827</v>
      </c>
    </row>
    <row r="11850" spans="6:8">
      <c r="H11850" t="s">
        <v>18829</v>
      </c>
    </row>
    <row r="11851" spans="6:8">
      <c r="H11851" t="s">
        <v>18863</v>
      </c>
    </row>
    <row r="11852" spans="6:8">
      <c r="H11852" t="s">
        <v>20454</v>
      </c>
    </row>
    <row r="11853" spans="6:8">
      <c r="H11853" t="s">
        <v>19349</v>
      </c>
    </row>
    <row r="11854" spans="6:8">
      <c r="H11854" t="s">
        <v>20209</v>
      </c>
    </row>
    <row r="11855" spans="6:8">
      <c r="F11855" t="s">
        <v>11857</v>
      </c>
      <c r="G11855" t="s">
        <v>16098</v>
      </c>
      <c r="H11855" t="s">
        <v>20828</v>
      </c>
    </row>
    <row r="11856" spans="6:8">
      <c r="H11856" t="s">
        <v>18829</v>
      </c>
    </row>
    <row r="11857" spans="6:8">
      <c r="H11857" t="s">
        <v>18863</v>
      </c>
    </row>
    <row r="11858" spans="6:8">
      <c r="H11858" t="s">
        <v>20454</v>
      </c>
    </row>
    <row r="11859" spans="6:8">
      <c r="H11859" t="s">
        <v>19349</v>
      </c>
    </row>
    <row r="11860" spans="6:8">
      <c r="H11860" t="s">
        <v>20209</v>
      </c>
    </row>
    <row r="11861" spans="6:8">
      <c r="F11861" t="s">
        <v>11858</v>
      </c>
      <c r="G11861" t="s">
        <v>16099</v>
      </c>
      <c r="H11861" t="s">
        <v>20829</v>
      </c>
    </row>
    <row r="11862" spans="6:8">
      <c r="H11862" t="s">
        <v>18829</v>
      </c>
    </row>
    <row r="11863" spans="6:8">
      <c r="H11863" t="s">
        <v>18863</v>
      </c>
    </row>
    <row r="11864" spans="6:8">
      <c r="H11864" t="s">
        <v>20454</v>
      </c>
    </row>
    <row r="11865" spans="6:8">
      <c r="H11865" t="s">
        <v>19349</v>
      </c>
    </row>
    <row r="11866" spans="6:8">
      <c r="H11866" t="s">
        <v>20209</v>
      </c>
    </row>
    <row r="11867" spans="6:8">
      <c r="F11867" t="s">
        <v>11859</v>
      </c>
      <c r="G11867" t="s">
        <v>16100</v>
      </c>
      <c r="H11867" t="s">
        <v>20830</v>
      </c>
    </row>
    <row r="11868" spans="6:8">
      <c r="H11868" t="s">
        <v>18829</v>
      </c>
    </row>
    <row r="11869" spans="6:8">
      <c r="H11869" t="s">
        <v>18863</v>
      </c>
    </row>
    <row r="11870" spans="6:8">
      <c r="H11870" t="s">
        <v>20454</v>
      </c>
    </row>
    <row r="11871" spans="6:8">
      <c r="H11871" t="s">
        <v>19349</v>
      </c>
    </row>
    <row r="11872" spans="6:8">
      <c r="H11872" t="s">
        <v>20209</v>
      </c>
    </row>
    <row r="11873" spans="6:8">
      <c r="F11873" t="s">
        <v>11860</v>
      </c>
      <c r="G11873" t="s">
        <v>16101</v>
      </c>
      <c r="H11873" t="s">
        <v>20831</v>
      </c>
    </row>
    <row r="11874" spans="6:8">
      <c r="H11874" t="s">
        <v>18829</v>
      </c>
    </row>
    <row r="11875" spans="6:8">
      <c r="H11875" t="s">
        <v>18863</v>
      </c>
    </row>
    <row r="11876" spans="6:8">
      <c r="H11876" t="s">
        <v>20454</v>
      </c>
    </row>
    <row r="11877" spans="6:8">
      <c r="H11877" t="s">
        <v>19349</v>
      </c>
    </row>
    <row r="11878" spans="6:8">
      <c r="H11878" t="s">
        <v>20209</v>
      </c>
    </row>
    <row r="11879" spans="6:8">
      <c r="F11879" t="s">
        <v>11861</v>
      </c>
      <c r="G11879" t="s">
        <v>16102</v>
      </c>
      <c r="H11879" t="s">
        <v>20832</v>
      </c>
    </row>
    <row r="11880" spans="6:8">
      <c r="H11880" t="s">
        <v>18829</v>
      </c>
    </row>
    <row r="11881" spans="6:8">
      <c r="H11881" t="s">
        <v>18863</v>
      </c>
    </row>
    <row r="11882" spans="6:8">
      <c r="H11882" t="s">
        <v>20454</v>
      </c>
    </row>
    <row r="11883" spans="6:8">
      <c r="H11883" t="s">
        <v>19349</v>
      </c>
    </row>
    <row r="11884" spans="6:8">
      <c r="H11884" t="s">
        <v>20209</v>
      </c>
    </row>
    <row r="11885" spans="6:8">
      <c r="F11885" t="s">
        <v>11862</v>
      </c>
      <c r="G11885" t="s">
        <v>16103</v>
      </c>
      <c r="H11885" t="s">
        <v>20833</v>
      </c>
    </row>
    <row r="11886" spans="6:8">
      <c r="H11886" t="s">
        <v>18829</v>
      </c>
    </row>
    <row r="11887" spans="6:8">
      <c r="H11887" t="s">
        <v>18863</v>
      </c>
    </row>
    <row r="11888" spans="6:8">
      <c r="H11888" t="s">
        <v>20454</v>
      </c>
    </row>
    <row r="11889" spans="6:8">
      <c r="H11889" t="s">
        <v>19349</v>
      </c>
    </row>
    <row r="11890" spans="6:8">
      <c r="H11890" t="s">
        <v>20209</v>
      </c>
    </row>
    <row r="11891" spans="6:8">
      <c r="F11891" t="s">
        <v>11863</v>
      </c>
      <c r="G11891" t="s">
        <v>16104</v>
      </c>
      <c r="H11891" t="s">
        <v>20834</v>
      </c>
    </row>
    <row r="11892" spans="6:8">
      <c r="H11892" t="s">
        <v>18829</v>
      </c>
    </row>
    <row r="11893" spans="6:8">
      <c r="H11893" t="s">
        <v>18863</v>
      </c>
    </row>
    <row r="11894" spans="6:8">
      <c r="H11894" t="s">
        <v>20454</v>
      </c>
    </row>
    <row r="11895" spans="6:8">
      <c r="H11895" t="s">
        <v>19349</v>
      </c>
    </row>
    <row r="11896" spans="6:8">
      <c r="H11896" t="s">
        <v>20209</v>
      </c>
    </row>
    <row r="11897" spans="6:8">
      <c r="F11897" t="s">
        <v>11864</v>
      </c>
      <c r="G11897" t="s">
        <v>16105</v>
      </c>
      <c r="H11897" t="s">
        <v>20835</v>
      </c>
    </row>
    <row r="11898" spans="6:8">
      <c r="H11898" t="s">
        <v>18829</v>
      </c>
    </row>
    <row r="11899" spans="6:8">
      <c r="H11899" t="s">
        <v>18863</v>
      </c>
    </row>
    <row r="11900" spans="6:8">
      <c r="H11900" t="s">
        <v>20454</v>
      </c>
    </row>
    <row r="11901" spans="6:8">
      <c r="H11901" t="s">
        <v>19349</v>
      </c>
    </row>
    <row r="11902" spans="6:8">
      <c r="H11902" t="s">
        <v>20209</v>
      </c>
    </row>
    <row r="11903" spans="6:8">
      <c r="F11903" t="s">
        <v>11865</v>
      </c>
      <c r="G11903" t="s">
        <v>16106</v>
      </c>
      <c r="H11903" t="s">
        <v>20836</v>
      </c>
    </row>
    <row r="11904" spans="6:8">
      <c r="H11904" t="s">
        <v>18829</v>
      </c>
    </row>
    <row r="11905" spans="6:8">
      <c r="H11905" t="s">
        <v>18863</v>
      </c>
    </row>
    <row r="11906" spans="6:8">
      <c r="H11906" t="s">
        <v>20454</v>
      </c>
    </row>
    <row r="11907" spans="6:8">
      <c r="H11907" t="s">
        <v>19349</v>
      </c>
    </row>
    <row r="11908" spans="6:8">
      <c r="H11908" t="s">
        <v>20209</v>
      </c>
    </row>
    <row r="11909" spans="6:8">
      <c r="F11909" t="s">
        <v>11866</v>
      </c>
      <c r="G11909" t="s">
        <v>16107</v>
      </c>
      <c r="H11909" t="s">
        <v>20837</v>
      </c>
    </row>
    <row r="11910" spans="6:8">
      <c r="H11910" t="s">
        <v>18829</v>
      </c>
    </row>
    <row r="11911" spans="6:8">
      <c r="H11911" t="s">
        <v>18863</v>
      </c>
    </row>
    <row r="11912" spans="6:8">
      <c r="H11912" t="s">
        <v>20454</v>
      </c>
    </row>
    <row r="11913" spans="6:8">
      <c r="H11913" t="s">
        <v>19349</v>
      </c>
    </row>
    <row r="11914" spans="6:8">
      <c r="H11914" t="s">
        <v>20209</v>
      </c>
    </row>
    <row r="11915" spans="6:8">
      <c r="F11915" t="s">
        <v>11867</v>
      </c>
      <c r="G11915" t="s">
        <v>16108</v>
      </c>
      <c r="H11915" t="s">
        <v>20838</v>
      </c>
    </row>
    <row r="11916" spans="6:8">
      <c r="H11916" t="s">
        <v>18829</v>
      </c>
    </row>
    <row r="11917" spans="6:8">
      <c r="H11917" t="s">
        <v>18863</v>
      </c>
    </row>
    <row r="11918" spans="6:8">
      <c r="H11918" t="s">
        <v>20454</v>
      </c>
    </row>
    <row r="11919" spans="6:8">
      <c r="H11919" t="s">
        <v>19349</v>
      </c>
    </row>
    <row r="11920" spans="6:8">
      <c r="H11920" t="s">
        <v>20209</v>
      </c>
    </row>
    <row r="11921" spans="6:8">
      <c r="F11921" t="s">
        <v>11868</v>
      </c>
      <c r="G11921" t="s">
        <v>16109</v>
      </c>
      <c r="H11921" t="s">
        <v>20839</v>
      </c>
    </row>
    <row r="11922" spans="6:8">
      <c r="H11922" t="s">
        <v>18829</v>
      </c>
    </row>
    <row r="11923" spans="6:8">
      <c r="H11923" t="s">
        <v>18863</v>
      </c>
    </row>
    <row r="11924" spans="6:8">
      <c r="H11924" t="s">
        <v>20454</v>
      </c>
    </row>
    <row r="11925" spans="6:8">
      <c r="H11925" t="s">
        <v>19349</v>
      </c>
    </row>
    <row r="11926" spans="6:8">
      <c r="H11926" t="s">
        <v>20209</v>
      </c>
    </row>
    <row r="11927" spans="6:8">
      <c r="F11927" t="s">
        <v>11869</v>
      </c>
      <c r="G11927" t="s">
        <v>16110</v>
      </c>
      <c r="H11927" t="s">
        <v>20840</v>
      </c>
    </row>
    <row r="11928" spans="6:8">
      <c r="H11928" t="s">
        <v>18829</v>
      </c>
    </row>
    <row r="11929" spans="6:8">
      <c r="H11929" t="s">
        <v>18863</v>
      </c>
    </row>
    <row r="11930" spans="6:8">
      <c r="H11930" t="s">
        <v>20454</v>
      </c>
    </row>
    <row r="11931" spans="6:8">
      <c r="H11931" t="s">
        <v>19349</v>
      </c>
    </row>
    <row r="11932" spans="6:8">
      <c r="H11932" t="s">
        <v>20209</v>
      </c>
    </row>
    <row r="11933" spans="6:8">
      <c r="F11933" t="s">
        <v>11870</v>
      </c>
      <c r="G11933" t="s">
        <v>16111</v>
      </c>
      <c r="H11933" t="s">
        <v>20841</v>
      </c>
    </row>
    <row r="11934" spans="6:8">
      <c r="H11934" t="s">
        <v>18829</v>
      </c>
    </row>
    <row r="11935" spans="6:8">
      <c r="H11935" t="s">
        <v>18863</v>
      </c>
    </row>
    <row r="11936" spans="6:8">
      <c r="H11936" t="s">
        <v>20454</v>
      </c>
    </row>
    <row r="11937" spans="6:8">
      <c r="H11937" t="s">
        <v>19349</v>
      </c>
    </row>
    <row r="11938" spans="6:8">
      <c r="H11938" t="s">
        <v>20209</v>
      </c>
    </row>
    <row r="11939" spans="6:8">
      <c r="F11939" t="s">
        <v>11871</v>
      </c>
      <c r="G11939" t="s">
        <v>16112</v>
      </c>
      <c r="H11939" t="s">
        <v>20842</v>
      </c>
    </row>
    <row r="11940" spans="6:8">
      <c r="H11940" t="s">
        <v>18829</v>
      </c>
    </row>
    <row r="11941" spans="6:8">
      <c r="H11941" t="s">
        <v>18863</v>
      </c>
    </row>
    <row r="11942" spans="6:8">
      <c r="H11942" t="s">
        <v>20454</v>
      </c>
    </row>
    <row r="11943" spans="6:8">
      <c r="H11943" t="s">
        <v>19349</v>
      </c>
    </row>
    <row r="11944" spans="6:8">
      <c r="H11944" t="s">
        <v>20209</v>
      </c>
    </row>
    <row r="11945" spans="6:8">
      <c r="F11945" t="s">
        <v>11872</v>
      </c>
      <c r="G11945" t="s">
        <v>16113</v>
      </c>
      <c r="H11945" t="s">
        <v>20843</v>
      </c>
    </row>
    <row r="11946" spans="6:8">
      <c r="H11946" t="s">
        <v>18829</v>
      </c>
    </row>
    <row r="11947" spans="6:8">
      <c r="H11947" t="s">
        <v>18863</v>
      </c>
    </row>
    <row r="11948" spans="6:8">
      <c r="H11948" t="s">
        <v>20454</v>
      </c>
    </row>
    <row r="11949" spans="6:8">
      <c r="H11949" t="s">
        <v>19349</v>
      </c>
    </row>
    <row r="11950" spans="6:8">
      <c r="H11950" t="s">
        <v>20209</v>
      </c>
    </row>
    <row r="11951" spans="6:8">
      <c r="F11951" t="s">
        <v>11873</v>
      </c>
      <c r="G11951" t="s">
        <v>16114</v>
      </c>
      <c r="H11951" t="s">
        <v>20844</v>
      </c>
    </row>
    <row r="11952" spans="6:8">
      <c r="H11952" t="s">
        <v>18829</v>
      </c>
    </row>
    <row r="11953" spans="6:8">
      <c r="H11953" t="s">
        <v>18863</v>
      </c>
    </row>
    <row r="11954" spans="6:8">
      <c r="H11954" t="s">
        <v>20454</v>
      </c>
    </row>
    <row r="11955" spans="6:8">
      <c r="H11955" t="s">
        <v>19349</v>
      </c>
    </row>
    <row r="11956" spans="6:8">
      <c r="H11956" t="s">
        <v>20209</v>
      </c>
    </row>
    <row r="11957" spans="6:8">
      <c r="F11957" t="s">
        <v>11874</v>
      </c>
      <c r="G11957" t="s">
        <v>16115</v>
      </c>
      <c r="H11957" t="s">
        <v>20845</v>
      </c>
    </row>
    <row r="11958" spans="6:8">
      <c r="H11958" t="s">
        <v>18829</v>
      </c>
    </row>
    <row r="11959" spans="6:8">
      <c r="H11959" t="s">
        <v>18863</v>
      </c>
    </row>
    <row r="11960" spans="6:8">
      <c r="H11960" t="s">
        <v>20454</v>
      </c>
    </row>
    <row r="11961" spans="6:8">
      <c r="H11961" t="s">
        <v>19349</v>
      </c>
    </row>
    <row r="11962" spans="6:8">
      <c r="H11962" t="s">
        <v>20209</v>
      </c>
    </row>
    <row r="11963" spans="6:8">
      <c r="F11963" t="s">
        <v>11875</v>
      </c>
      <c r="G11963" t="s">
        <v>16116</v>
      </c>
      <c r="H11963" t="s">
        <v>20846</v>
      </c>
    </row>
    <row r="11964" spans="6:8">
      <c r="H11964" t="s">
        <v>18829</v>
      </c>
    </row>
    <row r="11965" spans="6:8">
      <c r="H11965" t="s">
        <v>18863</v>
      </c>
    </row>
    <row r="11966" spans="6:8">
      <c r="H11966" t="s">
        <v>20454</v>
      </c>
    </row>
    <row r="11967" spans="6:8">
      <c r="H11967" t="s">
        <v>19349</v>
      </c>
    </row>
    <row r="11968" spans="6:8">
      <c r="H11968" t="s">
        <v>20209</v>
      </c>
    </row>
    <row r="11969" spans="6:8">
      <c r="F11969" t="s">
        <v>11876</v>
      </c>
      <c r="G11969" t="s">
        <v>16117</v>
      </c>
      <c r="H11969" t="s">
        <v>20847</v>
      </c>
    </row>
    <row r="11970" spans="6:8">
      <c r="H11970" t="s">
        <v>18829</v>
      </c>
    </row>
    <row r="11971" spans="6:8">
      <c r="H11971" t="s">
        <v>18863</v>
      </c>
    </row>
    <row r="11972" spans="6:8">
      <c r="H11972" t="s">
        <v>20454</v>
      </c>
    </row>
    <row r="11973" spans="6:8">
      <c r="H11973" t="s">
        <v>19349</v>
      </c>
    </row>
    <row r="11974" spans="6:8">
      <c r="H11974" t="s">
        <v>20209</v>
      </c>
    </row>
    <row r="11975" spans="6:8">
      <c r="F11975" t="s">
        <v>11877</v>
      </c>
      <c r="G11975" t="s">
        <v>16118</v>
      </c>
      <c r="H11975" t="s">
        <v>20848</v>
      </c>
    </row>
    <row r="11976" spans="6:8">
      <c r="H11976" t="s">
        <v>18829</v>
      </c>
    </row>
    <row r="11977" spans="6:8">
      <c r="H11977" t="s">
        <v>18863</v>
      </c>
    </row>
    <row r="11978" spans="6:8">
      <c r="H11978" t="s">
        <v>20454</v>
      </c>
    </row>
    <row r="11979" spans="6:8">
      <c r="H11979" t="s">
        <v>19349</v>
      </c>
    </row>
    <row r="11980" spans="6:8">
      <c r="H11980" t="s">
        <v>20209</v>
      </c>
    </row>
    <row r="11981" spans="6:8">
      <c r="F11981" t="s">
        <v>11878</v>
      </c>
      <c r="G11981" t="s">
        <v>16119</v>
      </c>
      <c r="H11981" t="s">
        <v>20849</v>
      </c>
    </row>
    <row r="11982" spans="6:8">
      <c r="H11982" t="s">
        <v>18829</v>
      </c>
    </row>
    <row r="11983" spans="6:8">
      <c r="H11983" t="s">
        <v>18863</v>
      </c>
    </row>
    <row r="11984" spans="6:8">
      <c r="H11984" t="s">
        <v>20454</v>
      </c>
    </row>
    <row r="11985" spans="6:8">
      <c r="H11985" t="s">
        <v>19349</v>
      </c>
    </row>
    <row r="11986" spans="6:8">
      <c r="H11986" t="s">
        <v>20209</v>
      </c>
    </row>
    <row r="11987" spans="6:8">
      <c r="F11987" t="s">
        <v>11879</v>
      </c>
      <c r="G11987" t="s">
        <v>16120</v>
      </c>
      <c r="H11987" t="s">
        <v>20850</v>
      </c>
    </row>
    <row r="11988" spans="6:8">
      <c r="H11988" t="s">
        <v>18829</v>
      </c>
    </row>
    <row r="11989" spans="6:8">
      <c r="H11989" t="s">
        <v>18863</v>
      </c>
    </row>
    <row r="11990" spans="6:8">
      <c r="H11990" t="s">
        <v>20454</v>
      </c>
    </row>
    <row r="11991" spans="6:8">
      <c r="H11991" t="s">
        <v>19349</v>
      </c>
    </row>
    <row r="11992" spans="6:8">
      <c r="H11992" t="s">
        <v>20209</v>
      </c>
    </row>
    <row r="11993" spans="6:8">
      <c r="F11993" t="s">
        <v>11880</v>
      </c>
      <c r="G11993" t="s">
        <v>16121</v>
      </c>
      <c r="H11993" t="s">
        <v>20851</v>
      </c>
    </row>
    <row r="11994" spans="6:8">
      <c r="H11994" t="s">
        <v>18829</v>
      </c>
    </row>
    <row r="11995" spans="6:8">
      <c r="H11995" t="s">
        <v>18863</v>
      </c>
    </row>
    <row r="11996" spans="6:8">
      <c r="H11996" t="s">
        <v>20454</v>
      </c>
    </row>
    <row r="11997" spans="6:8">
      <c r="H11997" t="s">
        <v>19349</v>
      </c>
    </row>
    <row r="11998" spans="6:8">
      <c r="H11998" t="s">
        <v>20209</v>
      </c>
    </row>
    <row r="11999" spans="6:8">
      <c r="F11999" t="s">
        <v>11881</v>
      </c>
      <c r="G11999" t="s">
        <v>16122</v>
      </c>
      <c r="H11999" t="s">
        <v>20852</v>
      </c>
    </row>
    <row r="12000" spans="6:8">
      <c r="H12000" t="s">
        <v>18829</v>
      </c>
    </row>
    <row r="12001" spans="6:8">
      <c r="H12001" t="s">
        <v>18863</v>
      </c>
    </row>
    <row r="12002" spans="6:8">
      <c r="H12002" t="s">
        <v>20454</v>
      </c>
    </row>
    <row r="12003" spans="6:8">
      <c r="H12003" t="s">
        <v>19349</v>
      </c>
    </row>
    <row r="12004" spans="6:8">
      <c r="H12004" t="s">
        <v>20209</v>
      </c>
    </row>
    <row r="12005" spans="6:8">
      <c r="F12005" t="s">
        <v>11882</v>
      </c>
      <c r="G12005" t="s">
        <v>16123</v>
      </c>
      <c r="H12005" t="s">
        <v>20853</v>
      </c>
    </row>
    <row r="12006" spans="6:8">
      <c r="H12006" t="s">
        <v>18829</v>
      </c>
    </row>
    <row r="12007" spans="6:8">
      <c r="H12007" t="s">
        <v>18863</v>
      </c>
    </row>
    <row r="12008" spans="6:8">
      <c r="H12008" t="s">
        <v>20454</v>
      </c>
    </row>
    <row r="12009" spans="6:8">
      <c r="H12009" t="s">
        <v>19349</v>
      </c>
    </row>
    <row r="12010" spans="6:8">
      <c r="H12010" t="s">
        <v>20209</v>
      </c>
    </row>
    <row r="12011" spans="6:8">
      <c r="F12011" t="s">
        <v>11883</v>
      </c>
      <c r="G12011" t="s">
        <v>16124</v>
      </c>
      <c r="H12011" t="s">
        <v>20854</v>
      </c>
    </row>
    <row r="12012" spans="6:8">
      <c r="H12012" t="s">
        <v>18829</v>
      </c>
    </row>
    <row r="12013" spans="6:8">
      <c r="H12013" t="s">
        <v>18863</v>
      </c>
    </row>
    <row r="12014" spans="6:8">
      <c r="H12014" t="s">
        <v>20454</v>
      </c>
    </row>
    <row r="12015" spans="6:8">
      <c r="H12015" t="s">
        <v>19349</v>
      </c>
    </row>
    <row r="12016" spans="6:8">
      <c r="H12016" t="s">
        <v>20209</v>
      </c>
    </row>
    <row r="12017" spans="6:8">
      <c r="F12017" t="s">
        <v>11884</v>
      </c>
      <c r="G12017" t="s">
        <v>16125</v>
      </c>
      <c r="H12017" t="s">
        <v>20855</v>
      </c>
    </row>
    <row r="12018" spans="6:8">
      <c r="H12018" t="s">
        <v>18829</v>
      </c>
    </row>
    <row r="12019" spans="6:8">
      <c r="H12019" t="s">
        <v>18863</v>
      </c>
    </row>
    <row r="12020" spans="6:8">
      <c r="H12020" t="s">
        <v>20454</v>
      </c>
    </row>
    <row r="12021" spans="6:8">
      <c r="H12021" t="s">
        <v>19349</v>
      </c>
    </row>
    <row r="12022" spans="6:8">
      <c r="H12022" t="s">
        <v>20209</v>
      </c>
    </row>
    <row r="12023" spans="6:8">
      <c r="F12023" t="s">
        <v>11885</v>
      </c>
      <c r="G12023" t="s">
        <v>16126</v>
      </c>
      <c r="H12023" t="s">
        <v>20856</v>
      </c>
    </row>
    <row r="12024" spans="6:8">
      <c r="H12024" t="s">
        <v>18829</v>
      </c>
    </row>
    <row r="12025" spans="6:8">
      <c r="H12025" t="s">
        <v>18863</v>
      </c>
    </row>
    <row r="12026" spans="6:8">
      <c r="H12026" t="s">
        <v>20454</v>
      </c>
    </row>
    <row r="12027" spans="6:8">
      <c r="H12027" t="s">
        <v>19349</v>
      </c>
    </row>
    <row r="12028" spans="6:8">
      <c r="H12028" t="s">
        <v>20209</v>
      </c>
    </row>
    <row r="12029" spans="6:8">
      <c r="F12029" t="s">
        <v>11886</v>
      </c>
      <c r="G12029" t="s">
        <v>16127</v>
      </c>
      <c r="H12029" t="s">
        <v>20857</v>
      </c>
    </row>
    <row r="12030" spans="6:8">
      <c r="H12030" t="s">
        <v>18829</v>
      </c>
    </row>
    <row r="12031" spans="6:8">
      <c r="H12031" t="s">
        <v>18863</v>
      </c>
    </row>
    <row r="12032" spans="6:8">
      <c r="H12032" t="s">
        <v>20454</v>
      </c>
    </row>
    <row r="12033" spans="6:8">
      <c r="H12033" t="s">
        <v>19349</v>
      </c>
    </row>
    <row r="12034" spans="6:8">
      <c r="H12034" t="s">
        <v>20209</v>
      </c>
    </row>
    <row r="12035" spans="6:8">
      <c r="F12035" t="s">
        <v>11887</v>
      </c>
      <c r="G12035" t="s">
        <v>16128</v>
      </c>
      <c r="H12035" t="s">
        <v>20858</v>
      </c>
    </row>
    <row r="12036" spans="6:8">
      <c r="H12036" t="s">
        <v>18829</v>
      </c>
    </row>
    <row r="12037" spans="6:8">
      <c r="H12037" t="s">
        <v>18863</v>
      </c>
    </row>
    <row r="12038" spans="6:8">
      <c r="H12038" t="s">
        <v>20454</v>
      </c>
    </row>
    <row r="12039" spans="6:8">
      <c r="H12039" t="s">
        <v>19349</v>
      </c>
    </row>
    <row r="12040" spans="6:8">
      <c r="H12040" t="s">
        <v>20209</v>
      </c>
    </row>
    <row r="12041" spans="6:8">
      <c r="F12041" t="s">
        <v>11888</v>
      </c>
      <c r="G12041" t="s">
        <v>16129</v>
      </c>
      <c r="H12041" t="s">
        <v>20859</v>
      </c>
    </row>
    <row r="12042" spans="6:8">
      <c r="H12042" t="s">
        <v>18829</v>
      </c>
    </row>
    <row r="12043" spans="6:8">
      <c r="H12043" t="s">
        <v>18863</v>
      </c>
    </row>
    <row r="12044" spans="6:8">
      <c r="H12044" t="s">
        <v>20454</v>
      </c>
    </row>
    <row r="12045" spans="6:8">
      <c r="H12045" t="s">
        <v>19349</v>
      </c>
    </row>
    <row r="12046" spans="6:8">
      <c r="H12046" t="s">
        <v>20209</v>
      </c>
    </row>
    <row r="12047" spans="6:8">
      <c r="F12047" t="s">
        <v>11889</v>
      </c>
      <c r="G12047" t="s">
        <v>16130</v>
      </c>
      <c r="H12047" t="s">
        <v>20860</v>
      </c>
    </row>
    <row r="12048" spans="6:8">
      <c r="H12048" t="s">
        <v>18829</v>
      </c>
    </row>
    <row r="12049" spans="6:8">
      <c r="H12049" t="s">
        <v>18863</v>
      </c>
    </row>
    <row r="12050" spans="6:8">
      <c r="H12050" t="s">
        <v>20454</v>
      </c>
    </row>
    <row r="12051" spans="6:8">
      <c r="H12051" t="s">
        <v>19349</v>
      </c>
    </row>
    <row r="12052" spans="6:8">
      <c r="H12052" t="s">
        <v>20209</v>
      </c>
    </row>
    <row r="12053" spans="6:8">
      <c r="F12053" t="s">
        <v>11890</v>
      </c>
      <c r="G12053" t="s">
        <v>16131</v>
      </c>
      <c r="H12053" t="s">
        <v>20861</v>
      </c>
    </row>
    <row r="12054" spans="6:8">
      <c r="H12054" t="s">
        <v>18829</v>
      </c>
    </row>
    <row r="12055" spans="6:8">
      <c r="H12055" t="s">
        <v>18863</v>
      </c>
    </row>
    <row r="12056" spans="6:8">
      <c r="H12056" t="s">
        <v>20454</v>
      </c>
    </row>
    <row r="12057" spans="6:8">
      <c r="H12057" t="s">
        <v>19349</v>
      </c>
    </row>
    <row r="12058" spans="6:8">
      <c r="H12058" t="s">
        <v>20209</v>
      </c>
    </row>
    <row r="12059" spans="6:8">
      <c r="F12059" t="s">
        <v>11891</v>
      </c>
      <c r="G12059" t="s">
        <v>16132</v>
      </c>
      <c r="H12059" t="s">
        <v>20862</v>
      </c>
    </row>
    <row r="12060" spans="6:8">
      <c r="H12060" t="s">
        <v>18829</v>
      </c>
    </row>
    <row r="12061" spans="6:8">
      <c r="H12061" t="s">
        <v>18863</v>
      </c>
    </row>
    <row r="12062" spans="6:8">
      <c r="H12062" t="s">
        <v>20454</v>
      </c>
    </row>
    <row r="12063" spans="6:8">
      <c r="H12063" t="s">
        <v>19349</v>
      </c>
    </row>
    <row r="12064" spans="6:8">
      <c r="H12064" t="s">
        <v>20209</v>
      </c>
    </row>
    <row r="12065" spans="6:8">
      <c r="F12065" t="s">
        <v>11892</v>
      </c>
      <c r="G12065" t="s">
        <v>16133</v>
      </c>
      <c r="H12065" t="s">
        <v>20863</v>
      </c>
    </row>
    <row r="12066" spans="6:8">
      <c r="H12066" t="s">
        <v>18829</v>
      </c>
    </row>
    <row r="12067" spans="6:8">
      <c r="H12067" t="s">
        <v>18863</v>
      </c>
    </row>
    <row r="12068" spans="6:8">
      <c r="H12068" t="s">
        <v>20454</v>
      </c>
    </row>
    <row r="12069" spans="6:8">
      <c r="H12069" t="s">
        <v>19349</v>
      </c>
    </row>
    <row r="12070" spans="6:8">
      <c r="H12070" t="s">
        <v>20209</v>
      </c>
    </row>
    <row r="12071" spans="6:8">
      <c r="F12071" t="s">
        <v>11893</v>
      </c>
      <c r="G12071" t="s">
        <v>16134</v>
      </c>
      <c r="H12071" t="s">
        <v>20864</v>
      </c>
    </row>
    <row r="12072" spans="6:8">
      <c r="H12072" t="s">
        <v>18829</v>
      </c>
    </row>
    <row r="12073" spans="6:8">
      <c r="H12073" t="s">
        <v>18863</v>
      </c>
    </row>
    <row r="12074" spans="6:8">
      <c r="H12074" t="s">
        <v>20454</v>
      </c>
    </row>
    <row r="12075" spans="6:8">
      <c r="H12075" t="s">
        <v>19349</v>
      </c>
    </row>
    <row r="12076" spans="6:8">
      <c r="H12076" t="s">
        <v>20209</v>
      </c>
    </row>
    <row r="12077" spans="6:8">
      <c r="F12077" t="s">
        <v>11894</v>
      </c>
      <c r="G12077" t="s">
        <v>16135</v>
      </c>
      <c r="H12077" t="s">
        <v>20865</v>
      </c>
    </row>
    <row r="12078" spans="6:8">
      <c r="H12078" t="s">
        <v>18829</v>
      </c>
    </row>
    <row r="12079" spans="6:8">
      <c r="H12079" t="s">
        <v>18863</v>
      </c>
    </row>
    <row r="12080" spans="6:8">
      <c r="H12080" t="s">
        <v>20454</v>
      </c>
    </row>
    <row r="12081" spans="6:8">
      <c r="H12081" t="s">
        <v>19349</v>
      </c>
    </row>
    <row r="12082" spans="6:8">
      <c r="H12082" t="s">
        <v>20209</v>
      </c>
    </row>
    <row r="12083" spans="6:8">
      <c r="F12083" t="s">
        <v>11895</v>
      </c>
      <c r="G12083" t="s">
        <v>16136</v>
      </c>
      <c r="H12083" t="s">
        <v>20866</v>
      </c>
    </row>
    <row r="12084" spans="6:8">
      <c r="H12084" t="s">
        <v>18829</v>
      </c>
    </row>
    <row r="12085" spans="6:8">
      <c r="H12085" t="s">
        <v>18863</v>
      </c>
    </row>
    <row r="12086" spans="6:8">
      <c r="H12086" t="s">
        <v>20454</v>
      </c>
    </row>
    <row r="12087" spans="6:8">
      <c r="H12087" t="s">
        <v>19349</v>
      </c>
    </row>
    <row r="12088" spans="6:8">
      <c r="H12088" t="s">
        <v>20209</v>
      </c>
    </row>
    <row r="12089" spans="6:8">
      <c r="F12089" t="s">
        <v>11896</v>
      </c>
      <c r="G12089" t="s">
        <v>16137</v>
      </c>
      <c r="H12089" t="s">
        <v>20867</v>
      </c>
    </row>
    <row r="12090" spans="6:8">
      <c r="H12090" t="s">
        <v>18829</v>
      </c>
    </row>
    <row r="12091" spans="6:8">
      <c r="H12091" t="s">
        <v>18863</v>
      </c>
    </row>
    <row r="12092" spans="6:8">
      <c r="H12092" t="s">
        <v>20454</v>
      </c>
    </row>
    <row r="12093" spans="6:8">
      <c r="H12093" t="s">
        <v>19349</v>
      </c>
    </row>
    <row r="12094" spans="6:8">
      <c r="H12094" t="s">
        <v>20209</v>
      </c>
    </row>
    <row r="12095" spans="6:8">
      <c r="F12095" t="s">
        <v>11897</v>
      </c>
      <c r="G12095" t="s">
        <v>16138</v>
      </c>
      <c r="H12095" t="s">
        <v>20868</v>
      </c>
    </row>
    <row r="12096" spans="6:8">
      <c r="H12096" t="s">
        <v>18829</v>
      </c>
    </row>
    <row r="12097" spans="6:8">
      <c r="H12097" t="s">
        <v>18863</v>
      </c>
    </row>
    <row r="12098" spans="6:8">
      <c r="H12098" t="s">
        <v>20454</v>
      </c>
    </row>
    <row r="12099" spans="6:8">
      <c r="H12099" t="s">
        <v>19349</v>
      </c>
    </row>
    <row r="12100" spans="6:8">
      <c r="H12100" t="s">
        <v>20209</v>
      </c>
    </row>
    <row r="12101" spans="6:8">
      <c r="F12101" t="s">
        <v>11898</v>
      </c>
      <c r="G12101" t="s">
        <v>16139</v>
      </c>
      <c r="H12101" t="s">
        <v>20869</v>
      </c>
    </row>
    <row r="12102" spans="6:8">
      <c r="H12102" t="s">
        <v>18829</v>
      </c>
    </row>
    <row r="12103" spans="6:8">
      <c r="H12103" t="s">
        <v>18863</v>
      </c>
    </row>
    <row r="12104" spans="6:8">
      <c r="H12104" t="s">
        <v>20454</v>
      </c>
    </row>
    <row r="12105" spans="6:8">
      <c r="H12105" t="s">
        <v>19349</v>
      </c>
    </row>
    <row r="12106" spans="6:8">
      <c r="H12106" t="s">
        <v>20209</v>
      </c>
    </row>
    <row r="12107" spans="6:8">
      <c r="F12107" t="s">
        <v>11899</v>
      </c>
      <c r="G12107" t="s">
        <v>16140</v>
      </c>
      <c r="H12107" t="s">
        <v>20870</v>
      </c>
    </row>
    <row r="12108" spans="6:8">
      <c r="H12108" t="s">
        <v>18829</v>
      </c>
    </row>
    <row r="12109" spans="6:8">
      <c r="H12109" t="s">
        <v>18863</v>
      </c>
    </row>
    <row r="12110" spans="6:8">
      <c r="H12110" t="s">
        <v>20454</v>
      </c>
    </row>
    <row r="12111" spans="6:8">
      <c r="H12111" t="s">
        <v>19349</v>
      </c>
    </row>
    <row r="12112" spans="6:8">
      <c r="H12112" t="s">
        <v>20209</v>
      </c>
    </row>
    <row r="12113" spans="6:8">
      <c r="F12113" t="s">
        <v>11900</v>
      </c>
      <c r="G12113" t="s">
        <v>16141</v>
      </c>
      <c r="H12113" t="s">
        <v>20871</v>
      </c>
    </row>
    <row r="12114" spans="6:8">
      <c r="H12114" t="s">
        <v>18829</v>
      </c>
    </row>
    <row r="12115" spans="6:8">
      <c r="H12115" t="s">
        <v>18863</v>
      </c>
    </row>
    <row r="12116" spans="6:8">
      <c r="H12116" t="s">
        <v>20454</v>
      </c>
    </row>
    <row r="12117" spans="6:8">
      <c r="H12117" t="s">
        <v>19349</v>
      </c>
    </row>
    <row r="12118" spans="6:8">
      <c r="H12118" t="s">
        <v>20209</v>
      </c>
    </row>
    <row r="12119" spans="6:8">
      <c r="F12119" t="s">
        <v>11901</v>
      </c>
      <c r="G12119" t="s">
        <v>16142</v>
      </c>
      <c r="H12119" t="s">
        <v>20872</v>
      </c>
    </row>
    <row r="12120" spans="6:8">
      <c r="H12120" t="s">
        <v>18829</v>
      </c>
    </row>
    <row r="12121" spans="6:8">
      <c r="H12121" t="s">
        <v>18863</v>
      </c>
    </row>
    <row r="12122" spans="6:8">
      <c r="H12122" t="s">
        <v>20454</v>
      </c>
    </row>
    <row r="12123" spans="6:8">
      <c r="H12123" t="s">
        <v>19349</v>
      </c>
    </row>
    <row r="12124" spans="6:8">
      <c r="H12124" t="s">
        <v>20209</v>
      </c>
    </row>
    <row r="12125" spans="6:8">
      <c r="F12125" t="s">
        <v>11902</v>
      </c>
      <c r="G12125" t="s">
        <v>16143</v>
      </c>
      <c r="H12125" t="s">
        <v>20873</v>
      </c>
    </row>
    <row r="12126" spans="6:8">
      <c r="H12126" t="s">
        <v>18829</v>
      </c>
    </row>
    <row r="12127" spans="6:8">
      <c r="H12127" t="s">
        <v>18863</v>
      </c>
    </row>
    <row r="12128" spans="6:8">
      <c r="H12128" t="s">
        <v>20454</v>
      </c>
    </row>
    <row r="12129" spans="6:8">
      <c r="H12129" t="s">
        <v>19349</v>
      </c>
    </row>
    <row r="12130" spans="6:8">
      <c r="H12130" t="s">
        <v>20209</v>
      </c>
    </row>
    <row r="12131" spans="6:8">
      <c r="F12131" t="s">
        <v>11903</v>
      </c>
      <c r="G12131" t="s">
        <v>16144</v>
      </c>
      <c r="H12131" t="s">
        <v>20874</v>
      </c>
    </row>
    <row r="12132" spans="6:8">
      <c r="H12132" t="s">
        <v>18829</v>
      </c>
    </row>
    <row r="12133" spans="6:8">
      <c r="H12133" t="s">
        <v>18863</v>
      </c>
    </row>
    <row r="12134" spans="6:8">
      <c r="H12134" t="s">
        <v>20454</v>
      </c>
    </row>
    <row r="12135" spans="6:8">
      <c r="H12135" t="s">
        <v>19349</v>
      </c>
    </row>
    <row r="12136" spans="6:8">
      <c r="H12136" t="s">
        <v>20209</v>
      </c>
    </row>
    <row r="12137" spans="6:8">
      <c r="F12137" t="s">
        <v>11904</v>
      </c>
      <c r="G12137" t="s">
        <v>16145</v>
      </c>
      <c r="H12137" t="s">
        <v>20875</v>
      </c>
    </row>
    <row r="12138" spans="6:8">
      <c r="H12138" t="s">
        <v>18829</v>
      </c>
    </row>
    <row r="12139" spans="6:8">
      <c r="H12139" t="s">
        <v>18863</v>
      </c>
    </row>
    <row r="12140" spans="6:8">
      <c r="H12140" t="s">
        <v>20454</v>
      </c>
    </row>
    <row r="12141" spans="6:8">
      <c r="H12141" t="s">
        <v>19349</v>
      </c>
    </row>
    <row r="12142" spans="6:8">
      <c r="H12142" t="s">
        <v>20209</v>
      </c>
    </row>
    <row r="12143" spans="6:8">
      <c r="F12143" t="s">
        <v>11905</v>
      </c>
      <c r="G12143" t="s">
        <v>16146</v>
      </c>
      <c r="H12143" t="s">
        <v>20876</v>
      </c>
    </row>
    <row r="12144" spans="6:8">
      <c r="H12144" t="s">
        <v>18829</v>
      </c>
    </row>
    <row r="12145" spans="6:8">
      <c r="H12145" t="s">
        <v>18863</v>
      </c>
    </row>
    <row r="12146" spans="6:8">
      <c r="H12146" t="s">
        <v>20454</v>
      </c>
    </row>
    <row r="12147" spans="6:8">
      <c r="H12147" t="s">
        <v>19349</v>
      </c>
    </row>
    <row r="12148" spans="6:8">
      <c r="H12148" t="s">
        <v>20209</v>
      </c>
    </row>
    <row r="12149" spans="6:8">
      <c r="F12149" t="s">
        <v>11906</v>
      </c>
      <c r="G12149" t="s">
        <v>16147</v>
      </c>
      <c r="H12149" t="s">
        <v>20877</v>
      </c>
    </row>
    <row r="12150" spans="6:8">
      <c r="H12150" t="s">
        <v>18829</v>
      </c>
    </row>
    <row r="12151" spans="6:8">
      <c r="H12151" t="s">
        <v>18863</v>
      </c>
    </row>
    <row r="12152" spans="6:8">
      <c r="H12152" t="s">
        <v>20454</v>
      </c>
    </row>
    <row r="12153" spans="6:8">
      <c r="H12153" t="s">
        <v>19349</v>
      </c>
    </row>
    <row r="12154" spans="6:8">
      <c r="H12154" t="s">
        <v>20209</v>
      </c>
    </row>
    <row r="12155" spans="6:8">
      <c r="F12155" t="s">
        <v>11907</v>
      </c>
      <c r="G12155" t="s">
        <v>16148</v>
      </c>
      <c r="H12155" t="s">
        <v>20878</v>
      </c>
    </row>
    <row r="12156" spans="6:8">
      <c r="H12156" t="s">
        <v>18829</v>
      </c>
    </row>
    <row r="12157" spans="6:8">
      <c r="H12157" t="s">
        <v>18863</v>
      </c>
    </row>
    <row r="12158" spans="6:8">
      <c r="H12158" t="s">
        <v>20454</v>
      </c>
    </row>
    <row r="12159" spans="6:8">
      <c r="H12159" t="s">
        <v>19349</v>
      </c>
    </row>
    <row r="12160" spans="6:8">
      <c r="H12160" t="s">
        <v>20209</v>
      </c>
    </row>
    <row r="12161" spans="6:8">
      <c r="F12161" t="s">
        <v>11908</v>
      </c>
      <c r="G12161" t="s">
        <v>16149</v>
      </c>
      <c r="H12161" t="s">
        <v>20879</v>
      </c>
    </row>
    <row r="12162" spans="6:8">
      <c r="H12162" t="s">
        <v>18829</v>
      </c>
    </row>
    <row r="12163" spans="6:8">
      <c r="H12163" t="s">
        <v>18863</v>
      </c>
    </row>
    <row r="12164" spans="6:8">
      <c r="H12164" t="s">
        <v>20454</v>
      </c>
    </row>
    <row r="12165" spans="6:8">
      <c r="H12165" t="s">
        <v>19349</v>
      </c>
    </row>
    <row r="12166" spans="6:8">
      <c r="H12166" t="s">
        <v>20209</v>
      </c>
    </row>
    <row r="12167" spans="6:8">
      <c r="F12167" t="s">
        <v>11909</v>
      </c>
      <c r="G12167" t="s">
        <v>16150</v>
      </c>
      <c r="H12167" t="s">
        <v>20880</v>
      </c>
    </row>
    <row r="12168" spans="6:8">
      <c r="H12168" t="s">
        <v>18829</v>
      </c>
    </row>
    <row r="12169" spans="6:8">
      <c r="H12169" t="s">
        <v>18863</v>
      </c>
    </row>
    <row r="12170" spans="6:8">
      <c r="H12170" t="s">
        <v>20454</v>
      </c>
    </row>
    <row r="12171" spans="6:8">
      <c r="H12171" t="s">
        <v>19349</v>
      </c>
    </row>
    <row r="12172" spans="6:8">
      <c r="H12172" t="s">
        <v>20209</v>
      </c>
    </row>
    <row r="12173" spans="6:8">
      <c r="F12173" t="s">
        <v>11910</v>
      </c>
      <c r="G12173" t="s">
        <v>16151</v>
      </c>
      <c r="H12173" t="s">
        <v>20881</v>
      </c>
    </row>
    <row r="12174" spans="6:8">
      <c r="H12174" t="s">
        <v>18829</v>
      </c>
    </row>
    <row r="12175" spans="6:8">
      <c r="H12175" t="s">
        <v>18863</v>
      </c>
    </row>
    <row r="12176" spans="6:8">
      <c r="H12176" t="s">
        <v>20454</v>
      </c>
    </row>
    <row r="12177" spans="6:8">
      <c r="H12177" t="s">
        <v>19349</v>
      </c>
    </row>
    <row r="12178" spans="6:8">
      <c r="H12178" t="s">
        <v>20209</v>
      </c>
    </row>
    <row r="12179" spans="6:8">
      <c r="F12179" t="s">
        <v>11911</v>
      </c>
      <c r="G12179" t="s">
        <v>16152</v>
      </c>
      <c r="H12179" t="s">
        <v>20882</v>
      </c>
    </row>
    <row r="12180" spans="6:8">
      <c r="H12180" t="s">
        <v>18829</v>
      </c>
    </row>
    <row r="12181" spans="6:8">
      <c r="H12181" t="s">
        <v>18863</v>
      </c>
    </row>
    <row r="12182" spans="6:8">
      <c r="H12182" t="s">
        <v>20454</v>
      </c>
    </row>
    <row r="12183" spans="6:8">
      <c r="H12183" t="s">
        <v>19349</v>
      </c>
    </row>
    <row r="12184" spans="6:8">
      <c r="H12184" t="s">
        <v>20209</v>
      </c>
    </row>
    <row r="12185" spans="6:8">
      <c r="F12185" t="s">
        <v>11912</v>
      </c>
      <c r="G12185" t="s">
        <v>16153</v>
      </c>
      <c r="H12185" t="s">
        <v>20883</v>
      </c>
    </row>
    <row r="12186" spans="6:8">
      <c r="H12186" t="s">
        <v>18829</v>
      </c>
    </row>
    <row r="12187" spans="6:8">
      <c r="H12187" t="s">
        <v>18863</v>
      </c>
    </row>
    <row r="12188" spans="6:8">
      <c r="H12188" t="s">
        <v>20454</v>
      </c>
    </row>
    <row r="12189" spans="6:8">
      <c r="H12189" t="s">
        <v>19349</v>
      </c>
    </row>
    <row r="12190" spans="6:8">
      <c r="H12190" t="s">
        <v>20209</v>
      </c>
    </row>
    <row r="12191" spans="6:8">
      <c r="F12191" t="s">
        <v>11913</v>
      </c>
      <c r="G12191" t="s">
        <v>16154</v>
      </c>
      <c r="H12191" t="s">
        <v>20884</v>
      </c>
    </row>
    <row r="12192" spans="6:8">
      <c r="H12192" t="s">
        <v>18829</v>
      </c>
    </row>
    <row r="12193" spans="6:8">
      <c r="H12193" t="s">
        <v>18863</v>
      </c>
    </row>
    <row r="12194" spans="6:8">
      <c r="H12194" t="s">
        <v>20454</v>
      </c>
    </row>
    <row r="12195" spans="6:8">
      <c r="H12195" t="s">
        <v>19349</v>
      </c>
    </row>
    <row r="12196" spans="6:8">
      <c r="H12196" t="s">
        <v>20209</v>
      </c>
    </row>
    <row r="12197" spans="6:8">
      <c r="F12197" t="s">
        <v>11914</v>
      </c>
      <c r="G12197" t="s">
        <v>16155</v>
      </c>
      <c r="H12197" t="s">
        <v>20885</v>
      </c>
    </row>
    <row r="12198" spans="6:8">
      <c r="H12198" t="s">
        <v>18829</v>
      </c>
    </row>
    <row r="12199" spans="6:8">
      <c r="H12199" t="s">
        <v>18863</v>
      </c>
    </row>
    <row r="12200" spans="6:8">
      <c r="H12200" t="s">
        <v>20454</v>
      </c>
    </row>
    <row r="12201" spans="6:8">
      <c r="H12201" t="s">
        <v>19349</v>
      </c>
    </row>
    <row r="12202" spans="6:8">
      <c r="H12202" t="s">
        <v>20209</v>
      </c>
    </row>
    <row r="12203" spans="6:8">
      <c r="F12203" t="s">
        <v>11915</v>
      </c>
      <c r="G12203" t="s">
        <v>16156</v>
      </c>
      <c r="H12203" t="s">
        <v>20886</v>
      </c>
    </row>
    <row r="12204" spans="6:8">
      <c r="H12204" t="s">
        <v>18829</v>
      </c>
    </row>
    <row r="12205" spans="6:8">
      <c r="H12205" t="s">
        <v>18863</v>
      </c>
    </row>
    <row r="12206" spans="6:8">
      <c r="H12206" t="s">
        <v>20454</v>
      </c>
    </row>
    <row r="12207" spans="6:8">
      <c r="H12207" t="s">
        <v>19349</v>
      </c>
    </row>
    <row r="12208" spans="6:8">
      <c r="H12208" t="s">
        <v>20209</v>
      </c>
    </row>
    <row r="12209" spans="6:8">
      <c r="F12209" t="s">
        <v>11916</v>
      </c>
      <c r="G12209" t="s">
        <v>16157</v>
      </c>
      <c r="H12209" t="s">
        <v>20887</v>
      </c>
    </row>
    <row r="12210" spans="6:8">
      <c r="H12210" t="s">
        <v>18829</v>
      </c>
    </row>
    <row r="12211" spans="6:8">
      <c r="H12211" t="s">
        <v>18863</v>
      </c>
    </row>
    <row r="12212" spans="6:8">
      <c r="H12212" t="s">
        <v>20454</v>
      </c>
    </row>
    <row r="12213" spans="6:8">
      <c r="H12213" t="s">
        <v>19349</v>
      </c>
    </row>
    <row r="12214" spans="6:8">
      <c r="H12214" t="s">
        <v>20209</v>
      </c>
    </row>
    <row r="12215" spans="6:8">
      <c r="F12215" t="s">
        <v>11917</v>
      </c>
      <c r="G12215" t="s">
        <v>16158</v>
      </c>
      <c r="H12215" t="s">
        <v>20888</v>
      </c>
    </row>
    <row r="12216" spans="6:8">
      <c r="H12216" t="s">
        <v>18829</v>
      </c>
    </row>
    <row r="12217" spans="6:8">
      <c r="H12217" t="s">
        <v>18863</v>
      </c>
    </row>
    <row r="12218" spans="6:8">
      <c r="H12218" t="s">
        <v>20454</v>
      </c>
    </row>
    <row r="12219" spans="6:8">
      <c r="H12219" t="s">
        <v>19349</v>
      </c>
    </row>
    <row r="12220" spans="6:8">
      <c r="H12220" t="s">
        <v>20209</v>
      </c>
    </row>
    <row r="12221" spans="6:8">
      <c r="F12221" t="s">
        <v>11918</v>
      </c>
      <c r="G12221" t="s">
        <v>16159</v>
      </c>
      <c r="H12221" t="s">
        <v>20889</v>
      </c>
    </row>
    <row r="12222" spans="6:8">
      <c r="H12222" t="s">
        <v>18829</v>
      </c>
    </row>
    <row r="12223" spans="6:8">
      <c r="H12223" t="s">
        <v>18863</v>
      </c>
    </row>
    <row r="12224" spans="6:8">
      <c r="H12224" t="s">
        <v>20454</v>
      </c>
    </row>
    <row r="12225" spans="6:8">
      <c r="H12225" t="s">
        <v>19349</v>
      </c>
    </row>
    <row r="12226" spans="6:8">
      <c r="H12226" t="s">
        <v>20209</v>
      </c>
    </row>
    <row r="12227" spans="6:8">
      <c r="F12227" t="s">
        <v>11919</v>
      </c>
      <c r="G12227" t="s">
        <v>16160</v>
      </c>
      <c r="H12227" t="s">
        <v>20890</v>
      </c>
    </row>
    <row r="12228" spans="6:8">
      <c r="H12228" t="s">
        <v>18829</v>
      </c>
    </row>
    <row r="12229" spans="6:8">
      <c r="H12229" t="s">
        <v>18863</v>
      </c>
    </row>
    <row r="12230" spans="6:8">
      <c r="H12230" t="s">
        <v>20454</v>
      </c>
    </row>
    <row r="12231" spans="6:8">
      <c r="H12231" t="s">
        <v>19349</v>
      </c>
    </row>
    <row r="12232" spans="6:8">
      <c r="H12232" t="s">
        <v>20209</v>
      </c>
    </row>
    <row r="12233" spans="6:8">
      <c r="F12233" t="s">
        <v>11920</v>
      </c>
      <c r="G12233" t="s">
        <v>16161</v>
      </c>
      <c r="H12233" t="s">
        <v>20891</v>
      </c>
    </row>
    <row r="12234" spans="6:8">
      <c r="H12234" t="s">
        <v>18829</v>
      </c>
    </row>
    <row r="12235" spans="6:8">
      <c r="H12235" t="s">
        <v>18863</v>
      </c>
    </row>
    <row r="12236" spans="6:8">
      <c r="H12236" t="s">
        <v>20454</v>
      </c>
    </row>
    <row r="12237" spans="6:8">
      <c r="H12237" t="s">
        <v>19349</v>
      </c>
    </row>
    <row r="12238" spans="6:8">
      <c r="H12238" t="s">
        <v>20209</v>
      </c>
    </row>
    <row r="12239" spans="6:8">
      <c r="F12239" t="s">
        <v>11921</v>
      </c>
      <c r="G12239" t="s">
        <v>16162</v>
      </c>
      <c r="H12239" t="s">
        <v>20892</v>
      </c>
    </row>
    <row r="12240" spans="6:8">
      <c r="H12240" t="s">
        <v>18829</v>
      </c>
    </row>
    <row r="12241" spans="6:8">
      <c r="H12241" t="s">
        <v>18863</v>
      </c>
    </row>
    <row r="12242" spans="6:8">
      <c r="H12242" t="s">
        <v>20454</v>
      </c>
    </row>
    <row r="12243" spans="6:8">
      <c r="H12243" t="s">
        <v>19349</v>
      </c>
    </row>
    <row r="12244" spans="6:8">
      <c r="H12244" t="s">
        <v>20209</v>
      </c>
    </row>
    <row r="12245" spans="6:8">
      <c r="F12245" t="s">
        <v>11922</v>
      </c>
      <c r="G12245" t="s">
        <v>16163</v>
      </c>
      <c r="H12245" t="s">
        <v>20893</v>
      </c>
    </row>
    <row r="12246" spans="6:8">
      <c r="H12246" t="s">
        <v>18829</v>
      </c>
    </row>
    <row r="12247" spans="6:8">
      <c r="H12247" t="s">
        <v>18863</v>
      </c>
    </row>
    <row r="12248" spans="6:8">
      <c r="H12248" t="s">
        <v>20454</v>
      </c>
    </row>
    <row r="12249" spans="6:8">
      <c r="H12249" t="s">
        <v>19349</v>
      </c>
    </row>
    <row r="12250" spans="6:8">
      <c r="H12250" t="s">
        <v>20209</v>
      </c>
    </row>
    <row r="12251" spans="6:8">
      <c r="F12251" t="s">
        <v>11923</v>
      </c>
      <c r="G12251" t="s">
        <v>16164</v>
      </c>
      <c r="H12251" t="s">
        <v>20894</v>
      </c>
    </row>
    <row r="12252" spans="6:8">
      <c r="H12252" t="s">
        <v>18829</v>
      </c>
    </row>
    <row r="12253" spans="6:8">
      <c r="H12253" t="s">
        <v>18863</v>
      </c>
    </row>
    <row r="12254" spans="6:8">
      <c r="H12254" t="s">
        <v>20454</v>
      </c>
    </row>
    <row r="12255" spans="6:8">
      <c r="H12255" t="s">
        <v>19349</v>
      </c>
    </row>
    <row r="12256" spans="6:8">
      <c r="H12256" t="s">
        <v>20209</v>
      </c>
    </row>
    <row r="12257" spans="6:8">
      <c r="F12257" t="s">
        <v>11924</v>
      </c>
      <c r="G12257" t="s">
        <v>16165</v>
      </c>
      <c r="H12257" t="s">
        <v>20895</v>
      </c>
    </row>
    <row r="12258" spans="6:8">
      <c r="H12258" t="s">
        <v>18829</v>
      </c>
    </row>
    <row r="12259" spans="6:8">
      <c r="H12259" t="s">
        <v>18863</v>
      </c>
    </row>
    <row r="12260" spans="6:8">
      <c r="H12260" t="s">
        <v>20454</v>
      </c>
    </row>
    <row r="12261" spans="6:8">
      <c r="H12261" t="s">
        <v>19349</v>
      </c>
    </row>
    <row r="12262" spans="6:8">
      <c r="H12262" t="s">
        <v>20209</v>
      </c>
    </row>
    <row r="12263" spans="6:8">
      <c r="F12263" t="s">
        <v>11925</v>
      </c>
      <c r="G12263" t="s">
        <v>16166</v>
      </c>
      <c r="H12263" t="s">
        <v>20896</v>
      </c>
    </row>
    <row r="12264" spans="6:8">
      <c r="H12264" t="s">
        <v>18829</v>
      </c>
    </row>
    <row r="12265" spans="6:8">
      <c r="H12265" t="s">
        <v>18863</v>
      </c>
    </row>
    <row r="12266" spans="6:8">
      <c r="H12266" t="s">
        <v>20454</v>
      </c>
    </row>
    <row r="12267" spans="6:8">
      <c r="H12267" t="s">
        <v>19349</v>
      </c>
    </row>
    <row r="12268" spans="6:8">
      <c r="H12268" t="s">
        <v>20209</v>
      </c>
    </row>
    <row r="12269" spans="6:8">
      <c r="F12269" t="s">
        <v>11926</v>
      </c>
      <c r="G12269" t="s">
        <v>16167</v>
      </c>
      <c r="H12269" t="s">
        <v>20897</v>
      </c>
    </row>
    <row r="12270" spans="6:8">
      <c r="H12270" t="s">
        <v>18829</v>
      </c>
    </row>
    <row r="12271" spans="6:8">
      <c r="H12271" t="s">
        <v>18863</v>
      </c>
    </row>
    <row r="12272" spans="6:8">
      <c r="H12272" t="s">
        <v>20454</v>
      </c>
    </row>
    <row r="12273" spans="6:8">
      <c r="H12273" t="s">
        <v>19349</v>
      </c>
    </row>
    <row r="12274" spans="6:8">
      <c r="H12274" t="s">
        <v>20209</v>
      </c>
    </row>
    <row r="12275" spans="6:8">
      <c r="F12275" t="s">
        <v>11927</v>
      </c>
      <c r="G12275" t="s">
        <v>16168</v>
      </c>
      <c r="H12275" t="s">
        <v>20898</v>
      </c>
    </row>
    <row r="12276" spans="6:8">
      <c r="H12276" t="s">
        <v>18829</v>
      </c>
    </row>
    <row r="12277" spans="6:8">
      <c r="H12277" t="s">
        <v>18863</v>
      </c>
    </row>
    <row r="12278" spans="6:8">
      <c r="H12278" t="s">
        <v>20454</v>
      </c>
    </row>
    <row r="12279" spans="6:8">
      <c r="H12279" t="s">
        <v>19349</v>
      </c>
    </row>
    <row r="12280" spans="6:8">
      <c r="H12280" t="s">
        <v>20209</v>
      </c>
    </row>
    <row r="12281" spans="6:8">
      <c r="F12281" t="s">
        <v>11928</v>
      </c>
      <c r="G12281" t="s">
        <v>16169</v>
      </c>
      <c r="H12281" t="s">
        <v>20899</v>
      </c>
    </row>
    <row r="12282" spans="6:8">
      <c r="H12282" t="s">
        <v>18829</v>
      </c>
    </row>
    <row r="12283" spans="6:8">
      <c r="H12283" t="s">
        <v>18863</v>
      </c>
    </row>
    <row r="12284" spans="6:8">
      <c r="H12284" t="s">
        <v>20454</v>
      </c>
    </row>
    <row r="12285" spans="6:8">
      <c r="H12285" t="s">
        <v>19349</v>
      </c>
    </row>
    <row r="12286" spans="6:8">
      <c r="H12286" t="s">
        <v>20209</v>
      </c>
    </row>
    <row r="12287" spans="6:8">
      <c r="F12287" t="s">
        <v>11929</v>
      </c>
      <c r="G12287" t="s">
        <v>16170</v>
      </c>
      <c r="H12287" t="s">
        <v>20900</v>
      </c>
    </row>
    <row r="12288" spans="6:8">
      <c r="H12288" t="s">
        <v>18829</v>
      </c>
    </row>
    <row r="12289" spans="6:8">
      <c r="H12289" t="s">
        <v>18863</v>
      </c>
    </row>
    <row r="12290" spans="6:8">
      <c r="H12290" t="s">
        <v>20454</v>
      </c>
    </row>
    <row r="12291" spans="6:8">
      <c r="H12291" t="s">
        <v>19349</v>
      </c>
    </row>
    <row r="12292" spans="6:8">
      <c r="H12292" t="s">
        <v>20209</v>
      </c>
    </row>
    <row r="12293" spans="6:8">
      <c r="F12293" t="s">
        <v>11930</v>
      </c>
      <c r="G12293" t="s">
        <v>16171</v>
      </c>
      <c r="H12293" t="s">
        <v>20901</v>
      </c>
    </row>
    <row r="12294" spans="6:8">
      <c r="H12294" t="s">
        <v>18829</v>
      </c>
    </row>
    <row r="12295" spans="6:8">
      <c r="H12295" t="s">
        <v>18863</v>
      </c>
    </row>
    <row r="12296" spans="6:8">
      <c r="H12296" t="s">
        <v>20454</v>
      </c>
    </row>
    <row r="12297" spans="6:8">
      <c r="H12297" t="s">
        <v>19349</v>
      </c>
    </row>
    <row r="12298" spans="6:8">
      <c r="H12298" t="s">
        <v>20209</v>
      </c>
    </row>
    <row r="12299" spans="6:8">
      <c r="F12299" t="s">
        <v>11931</v>
      </c>
      <c r="G12299" t="s">
        <v>16172</v>
      </c>
      <c r="H12299" t="s">
        <v>20902</v>
      </c>
    </row>
    <row r="12300" spans="6:8">
      <c r="H12300" t="s">
        <v>18829</v>
      </c>
    </row>
    <row r="12301" spans="6:8">
      <c r="H12301" t="s">
        <v>18863</v>
      </c>
    </row>
    <row r="12302" spans="6:8">
      <c r="H12302" t="s">
        <v>20454</v>
      </c>
    </row>
    <row r="12303" spans="6:8">
      <c r="H12303" t="s">
        <v>19349</v>
      </c>
    </row>
    <row r="12304" spans="6:8">
      <c r="H12304" t="s">
        <v>20209</v>
      </c>
    </row>
    <row r="12305" spans="6:8">
      <c r="F12305" t="s">
        <v>11932</v>
      </c>
      <c r="G12305" t="s">
        <v>16173</v>
      </c>
      <c r="H12305" t="s">
        <v>20903</v>
      </c>
    </row>
    <row r="12306" spans="6:8">
      <c r="H12306" t="s">
        <v>18829</v>
      </c>
    </row>
    <row r="12307" spans="6:8">
      <c r="H12307" t="s">
        <v>18863</v>
      </c>
    </row>
    <row r="12308" spans="6:8">
      <c r="H12308" t="s">
        <v>20454</v>
      </c>
    </row>
    <row r="12309" spans="6:8">
      <c r="H12309" t="s">
        <v>19349</v>
      </c>
    </row>
    <row r="12310" spans="6:8">
      <c r="H12310" t="s">
        <v>20209</v>
      </c>
    </row>
    <row r="12311" spans="6:8">
      <c r="F12311" t="s">
        <v>11933</v>
      </c>
      <c r="G12311" t="s">
        <v>16174</v>
      </c>
      <c r="H12311" t="s">
        <v>20904</v>
      </c>
    </row>
    <row r="12312" spans="6:8">
      <c r="H12312" t="s">
        <v>18829</v>
      </c>
    </row>
    <row r="12313" spans="6:8">
      <c r="H12313" t="s">
        <v>18863</v>
      </c>
    </row>
    <row r="12314" spans="6:8">
      <c r="H12314" t="s">
        <v>20454</v>
      </c>
    </row>
    <row r="12315" spans="6:8">
      <c r="H12315" t="s">
        <v>19349</v>
      </c>
    </row>
    <row r="12316" spans="6:8">
      <c r="H12316" t="s">
        <v>20209</v>
      </c>
    </row>
    <row r="12317" spans="6:8">
      <c r="F12317" t="s">
        <v>11934</v>
      </c>
      <c r="G12317" t="s">
        <v>16175</v>
      </c>
      <c r="H12317" t="s">
        <v>20905</v>
      </c>
    </row>
    <row r="12318" spans="6:8">
      <c r="H12318" t="s">
        <v>18829</v>
      </c>
    </row>
    <row r="12319" spans="6:8">
      <c r="H12319" t="s">
        <v>18863</v>
      </c>
    </row>
    <row r="12320" spans="6:8">
      <c r="H12320" t="s">
        <v>20454</v>
      </c>
    </row>
    <row r="12321" spans="6:8">
      <c r="H12321" t="s">
        <v>19349</v>
      </c>
    </row>
    <row r="12322" spans="6:8">
      <c r="H12322" t="s">
        <v>20209</v>
      </c>
    </row>
    <row r="12323" spans="6:8">
      <c r="F12323" t="s">
        <v>11935</v>
      </c>
      <c r="G12323" t="s">
        <v>16176</v>
      </c>
      <c r="H12323" t="s">
        <v>20906</v>
      </c>
    </row>
    <row r="12324" spans="6:8">
      <c r="H12324" t="s">
        <v>18829</v>
      </c>
    </row>
    <row r="12325" spans="6:8">
      <c r="H12325" t="s">
        <v>18863</v>
      </c>
    </row>
    <row r="12326" spans="6:8">
      <c r="H12326" t="s">
        <v>20454</v>
      </c>
    </row>
    <row r="12327" spans="6:8">
      <c r="H12327" t="s">
        <v>19349</v>
      </c>
    </row>
    <row r="12328" spans="6:8">
      <c r="H12328" t="s">
        <v>20209</v>
      </c>
    </row>
    <row r="12329" spans="6:8">
      <c r="F12329" t="s">
        <v>11936</v>
      </c>
      <c r="G12329" t="s">
        <v>16177</v>
      </c>
      <c r="H12329" t="s">
        <v>20907</v>
      </c>
    </row>
    <row r="12330" spans="6:8">
      <c r="H12330" t="s">
        <v>18829</v>
      </c>
    </row>
    <row r="12331" spans="6:8">
      <c r="H12331" t="s">
        <v>18863</v>
      </c>
    </row>
    <row r="12332" spans="6:8">
      <c r="H12332" t="s">
        <v>20454</v>
      </c>
    </row>
    <row r="12333" spans="6:8">
      <c r="H12333" t="s">
        <v>19349</v>
      </c>
    </row>
    <row r="12334" spans="6:8">
      <c r="H12334" t="s">
        <v>20209</v>
      </c>
    </row>
    <row r="12335" spans="6:8">
      <c r="F12335" t="s">
        <v>11937</v>
      </c>
      <c r="G12335" t="s">
        <v>16178</v>
      </c>
      <c r="H12335" t="s">
        <v>20908</v>
      </c>
    </row>
    <row r="12336" spans="6:8">
      <c r="H12336" t="s">
        <v>18829</v>
      </c>
    </row>
    <row r="12337" spans="6:8">
      <c r="H12337" t="s">
        <v>18863</v>
      </c>
    </row>
    <row r="12338" spans="6:8">
      <c r="H12338" t="s">
        <v>20454</v>
      </c>
    </row>
    <row r="12339" spans="6:8">
      <c r="H12339" t="s">
        <v>19349</v>
      </c>
    </row>
    <row r="12340" spans="6:8">
      <c r="H12340" t="s">
        <v>20209</v>
      </c>
    </row>
    <row r="12341" spans="6:8">
      <c r="F12341" t="s">
        <v>11938</v>
      </c>
      <c r="G12341" t="s">
        <v>16179</v>
      </c>
      <c r="H12341" t="s">
        <v>20909</v>
      </c>
    </row>
    <row r="12342" spans="6:8">
      <c r="H12342" t="s">
        <v>18829</v>
      </c>
    </row>
    <row r="12343" spans="6:8">
      <c r="H12343" t="s">
        <v>18863</v>
      </c>
    </row>
    <row r="12344" spans="6:8">
      <c r="H12344" t="s">
        <v>20454</v>
      </c>
    </row>
    <row r="12345" spans="6:8">
      <c r="H12345" t="s">
        <v>19349</v>
      </c>
    </row>
    <row r="12346" spans="6:8">
      <c r="H12346" t="s">
        <v>20209</v>
      </c>
    </row>
    <row r="12347" spans="6:8">
      <c r="F12347" t="s">
        <v>11939</v>
      </c>
      <c r="G12347" t="s">
        <v>16180</v>
      </c>
      <c r="H12347" t="s">
        <v>20910</v>
      </c>
    </row>
    <row r="12348" spans="6:8">
      <c r="H12348" t="s">
        <v>18829</v>
      </c>
    </row>
    <row r="12349" spans="6:8">
      <c r="H12349" t="s">
        <v>18863</v>
      </c>
    </row>
    <row r="12350" spans="6:8">
      <c r="H12350" t="s">
        <v>20454</v>
      </c>
    </row>
    <row r="12351" spans="6:8">
      <c r="H12351" t="s">
        <v>19349</v>
      </c>
    </row>
    <row r="12352" spans="6:8">
      <c r="H12352" t="s">
        <v>20209</v>
      </c>
    </row>
    <row r="12353" spans="6:8">
      <c r="F12353" t="s">
        <v>11940</v>
      </c>
      <c r="G12353" t="s">
        <v>16181</v>
      </c>
      <c r="H12353" t="s">
        <v>20911</v>
      </c>
    </row>
    <row r="12354" spans="6:8">
      <c r="H12354" t="s">
        <v>18829</v>
      </c>
    </row>
    <row r="12355" spans="6:8">
      <c r="H12355" t="s">
        <v>18863</v>
      </c>
    </row>
    <row r="12356" spans="6:8">
      <c r="H12356" t="s">
        <v>20454</v>
      </c>
    </row>
    <row r="12357" spans="6:8">
      <c r="H12357" t="s">
        <v>19349</v>
      </c>
    </row>
    <row r="12358" spans="6:8">
      <c r="H12358" t="s">
        <v>20209</v>
      </c>
    </row>
    <row r="12359" spans="6:8">
      <c r="F12359" t="s">
        <v>11941</v>
      </c>
      <c r="G12359" t="s">
        <v>16182</v>
      </c>
      <c r="H12359" t="s">
        <v>20912</v>
      </c>
    </row>
    <row r="12360" spans="6:8">
      <c r="H12360" t="s">
        <v>18829</v>
      </c>
    </row>
    <row r="12361" spans="6:8">
      <c r="H12361" t="s">
        <v>18863</v>
      </c>
    </row>
    <row r="12362" spans="6:8">
      <c r="H12362" t="s">
        <v>20454</v>
      </c>
    </row>
    <row r="12363" spans="6:8">
      <c r="H12363" t="s">
        <v>19349</v>
      </c>
    </row>
    <row r="12364" spans="6:8">
      <c r="H12364" t="s">
        <v>20209</v>
      </c>
    </row>
    <row r="12365" spans="6:8">
      <c r="F12365" t="s">
        <v>11942</v>
      </c>
      <c r="G12365" t="s">
        <v>16183</v>
      </c>
      <c r="H12365" t="s">
        <v>20913</v>
      </c>
    </row>
    <row r="12366" spans="6:8">
      <c r="H12366" t="s">
        <v>18829</v>
      </c>
    </row>
    <row r="12367" spans="6:8">
      <c r="H12367" t="s">
        <v>18863</v>
      </c>
    </row>
    <row r="12368" spans="6:8">
      <c r="H12368" t="s">
        <v>20454</v>
      </c>
    </row>
    <row r="12369" spans="6:8">
      <c r="H12369" t="s">
        <v>19349</v>
      </c>
    </row>
    <row r="12370" spans="6:8">
      <c r="H12370" t="s">
        <v>20209</v>
      </c>
    </row>
    <row r="12371" spans="6:8">
      <c r="F12371" t="s">
        <v>11943</v>
      </c>
      <c r="G12371" t="s">
        <v>16184</v>
      </c>
      <c r="H12371" t="s">
        <v>20914</v>
      </c>
    </row>
    <row r="12372" spans="6:8">
      <c r="H12372" t="s">
        <v>18829</v>
      </c>
    </row>
    <row r="12373" spans="6:8">
      <c r="H12373" t="s">
        <v>18863</v>
      </c>
    </row>
    <row r="12374" spans="6:8">
      <c r="H12374" t="s">
        <v>20454</v>
      </c>
    </row>
    <row r="12375" spans="6:8">
      <c r="H12375" t="s">
        <v>19349</v>
      </c>
    </row>
    <row r="12376" spans="6:8">
      <c r="H12376" t="s">
        <v>20209</v>
      </c>
    </row>
    <row r="12377" spans="6:8">
      <c r="F12377" t="s">
        <v>11944</v>
      </c>
      <c r="G12377" t="s">
        <v>16185</v>
      </c>
      <c r="H12377" t="s">
        <v>20915</v>
      </c>
    </row>
    <row r="12378" spans="6:8">
      <c r="H12378" t="s">
        <v>18829</v>
      </c>
    </row>
    <row r="12379" spans="6:8">
      <c r="H12379" t="s">
        <v>18863</v>
      </c>
    </row>
    <row r="12380" spans="6:8">
      <c r="H12380" t="s">
        <v>20454</v>
      </c>
    </row>
    <row r="12381" spans="6:8">
      <c r="H12381" t="s">
        <v>19349</v>
      </c>
    </row>
    <row r="12382" spans="6:8">
      <c r="H12382" t="s">
        <v>20209</v>
      </c>
    </row>
    <row r="12383" spans="6:8">
      <c r="F12383" t="s">
        <v>11945</v>
      </c>
      <c r="G12383" t="s">
        <v>16186</v>
      </c>
      <c r="H12383" t="s">
        <v>20916</v>
      </c>
    </row>
    <row r="12384" spans="6:8">
      <c r="H12384" t="s">
        <v>18829</v>
      </c>
    </row>
    <row r="12385" spans="6:8">
      <c r="H12385" t="s">
        <v>18863</v>
      </c>
    </row>
    <row r="12386" spans="6:8">
      <c r="H12386" t="s">
        <v>20454</v>
      </c>
    </row>
    <row r="12387" spans="6:8">
      <c r="H12387" t="s">
        <v>19349</v>
      </c>
    </row>
    <row r="12388" spans="6:8">
      <c r="H12388" t="s">
        <v>20209</v>
      </c>
    </row>
    <row r="12389" spans="6:8">
      <c r="F12389" t="s">
        <v>11946</v>
      </c>
      <c r="G12389" t="s">
        <v>16187</v>
      </c>
      <c r="H12389" t="s">
        <v>20917</v>
      </c>
    </row>
    <row r="12390" spans="6:8">
      <c r="H12390" t="s">
        <v>18829</v>
      </c>
    </row>
    <row r="12391" spans="6:8">
      <c r="H12391" t="s">
        <v>18863</v>
      </c>
    </row>
    <row r="12392" spans="6:8">
      <c r="H12392" t="s">
        <v>20454</v>
      </c>
    </row>
    <row r="12393" spans="6:8">
      <c r="H12393" t="s">
        <v>19349</v>
      </c>
    </row>
    <row r="12394" spans="6:8">
      <c r="H12394" t="s">
        <v>20209</v>
      </c>
    </row>
    <row r="12395" spans="6:8">
      <c r="F12395" t="s">
        <v>11947</v>
      </c>
      <c r="G12395" t="s">
        <v>16188</v>
      </c>
      <c r="H12395" t="s">
        <v>20918</v>
      </c>
    </row>
    <row r="12396" spans="6:8">
      <c r="H12396" t="s">
        <v>18829</v>
      </c>
    </row>
    <row r="12397" spans="6:8">
      <c r="H12397" t="s">
        <v>18863</v>
      </c>
    </row>
    <row r="12398" spans="6:8">
      <c r="H12398" t="s">
        <v>20454</v>
      </c>
    </row>
    <row r="12399" spans="6:8">
      <c r="H12399" t="s">
        <v>19349</v>
      </c>
    </row>
    <row r="12400" spans="6:8">
      <c r="H12400" t="s">
        <v>20209</v>
      </c>
    </row>
    <row r="12401" spans="6:8">
      <c r="F12401" t="s">
        <v>11948</v>
      </c>
      <c r="G12401" t="s">
        <v>16189</v>
      </c>
      <c r="H12401" t="s">
        <v>20919</v>
      </c>
    </row>
    <row r="12402" spans="6:8">
      <c r="H12402" t="s">
        <v>18829</v>
      </c>
    </row>
    <row r="12403" spans="6:8">
      <c r="H12403" t="s">
        <v>18863</v>
      </c>
    </row>
    <row r="12404" spans="6:8">
      <c r="H12404" t="s">
        <v>20454</v>
      </c>
    </row>
    <row r="12405" spans="6:8">
      <c r="H12405" t="s">
        <v>19349</v>
      </c>
    </row>
    <row r="12406" spans="6:8">
      <c r="H12406" t="s">
        <v>20209</v>
      </c>
    </row>
    <row r="12407" spans="6:8">
      <c r="F12407" t="s">
        <v>11949</v>
      </c>
      <c r="G12407" t="s">
        <v>16190</v>
      </c>
      <c r="H12407" t="s">
        <v>20920</v>
      </c>
    </row>
    <row r="12408" spans="6:8">
      <c r="H12408" t="s">
        <v>18829</v>
      </c>
    </row>
    <row r="12409" spans="6:8">
      <c r="H12409" t="s">
        <v>18863</v>
      </c>
    </row>
    <row r="12410" spans="6:8">
      <c r="H12410" t="s">
        <v>20454</v>
      </c>
    </row>
    <row r="12411" spans="6:8">
      <c r="H12411" t="s">
        <v>19349</v>
      </c>
    </row>
    <row r="12412" spans="6:8">
      <c r="H12412" t="s">
        <v>20209</v>
      </c>
    </row>
    <row r="12413" spans="6:8">
      <c r="F12413" t="s">
        <v>11950</v>
      </c>
      <c r="G12413" t="s">
        <v>16191</v>
      </c>
      <c r="H12413" t="s">
        <v>20921</v>
      </c>
    </row>
    <row r="12414" spans="6:8">
      <c r="H12414" t="s">
        <v>18829</v>
      </c>
    </row>
    <row r="12415" spans="6:8">
      <c r="H12415" t="s">
        <v>18863</v>
      </c>
    </row>
    <row r="12416" spans="6:8">
      <c r="H12416" t="s">
        <v>20454</v>
      </c>
    </row>
    <row r="12417" spans="6:8">
      <c r="H12417" t="s">
        <v>19349</v>
      </c>
    </row>
    <row r="12418" spans="6:8">
      <c r="H12418" t="s">
        <v>20209</v>
      </c>
    </row>
    <row r="12419" spans="6:8">
      <c r="F12419" t="s">
        <v>11951</v>
      </c>
      <c r="G12419" t="s">
        <v>16192</v>
      </c>
      <c r="H12419" t="s">
        <v>20922</v>
      </c>
    </row>
    <row r="12420" spans="6:8">
      <c r="H12420" t="s">
        <v>18829</v>
      </c>
    </row>
    <row r="12421" spans="6:8">
      <c r="H12421" t="s">
        <v>18863</v>
      </c>
    </row>
    <row r="12422" spans="6:8">
      <c r="H12422" t="s">
        <v>20454</v>
      </c>
    </row>
    <row r="12423" spans="6:8">
      <c r="H12423" t="s">
        <v>19349</v>
      </c>
    </row>
    <row r="12424" spans="6:8">
      <c r="H12424" t="s">
        <v>20209</v>
      </c>
    </row>
    <row r="12425" spans="6:8">
      <c r="F12425" t="s">
        <v>11952</v>
      </c>
      <c r="G12425" t="s">
        <v>16193</v>
      </c>
      <c r="H12425" t="s">
        <v>20923</v>
      </c>
    </row>
    <row r="12426" spans="6:8">
      <c r="H12426" t="s">
        <v>18829</v>
      </c>
    </row>
    <row r="12427" spans="6:8">
      <c r="H12427" t="s">
        <v>18863</v>
      </c>
    </row>
    <row r="12428" spans="6:8">
      <c r="H12428" t="s">
        <v>20454</v>
      </c>
    </row>
    <row r="12429" spans="6:8">
      <c r="H12429" t="s">
        <v>19349</v>
      </c>
    </row>
    <row r="12430" spans="6:8">
      <c r="H12430" t="s">
        <v>20209</v>
      </c>
    </row>
    <row r="12431" spans="6:8">
      <c r="F12431" t="s">
        <v>11953</v>
      </c>
      <c r="G12431" t="s">
        <v>16194</v>
      </c>
      <c r="H12431" t="s">
        <v>20924</v>
      </c>
    </row>
    <row r="12432" spans="6:8">
      <c r="H12432" t="s">
        <v>18829</v>
      </c>
    </row>
    <row r="12433" spans="6:8">
      <c r="H12433" t="s">
        <v>18863</v>
      </c>
    </row>
    <row r="12434" spans="6:8">
      <c r="H12434" t="s">
        <v>20454</v>
      </c>
    </row>
    <row r="12435" spans="6:8">
      <c r="H12435" t="s">
        <v>19349</v>
      </c>
    </row>
    <row r="12436" spans="6:8">
      <c r="H12436" t="s">
        <v>20209</v>
      </c>
    </row>
    <row r="12437" spans="6:8">
      <c r="F12437" t="s">
        <v>11954</v>
      </c>
      <c r="G12437" t="s">
        <v>16195</v>
      </c>
      <c r="H12437" t="s">
        <v>20925</v>
      </c>
    </row>
    <row r="12438" spans="6:8">
      <c r="H12438" t="s">
        <v>18829</v>
      </c>
    </row>
    <row r="12439" spans="6:8">
      <c r="H12439" t="s">
        <v>18863</v>
      </c>
    </row>
    <row r="12440" spans="6:8">
      <c r="H12440" t="s">
        <v>20454</v>
      </c>
    </row>
    <row r="12441" spans="6:8">
      <c r="H12441" t="s">
        <v>19349</v>
      </c>
    </row>
    <row r="12442" spans="6:8">
      <c r="H12442" t="s">
        <v>20209</v>
      </c>
    </row>
    <row r="12443" spans="6:8">
      <c r="F12443" t="s">
        <v>11955</v>
      </c>
      <c r="G12443" t="s">
        <v>16196</v>
      </c>
      <c r="H12443" t="s">
        <v>20926</v>
      </c>
    </row>
    <row r="12444" spans="6:8">
      <c r="H12444" t="s">
        <v>18829</v>
      </c>
    </row>
    <row r="12445" spans="6:8">
      <c r="H12445" t="s">
        <v>18863</v>
      </c>
    </row>
    <row r="12446" spans="6:8">
      <c r="H12446" t="s">
        <v>20454</v>
      </c>
    </row>
    <row r="12447" spans="6:8">
      <c r="H12447" t="s">
        <v>19349</v>
      </c>
    </row>
    <row r="12448" spans="6:8">
      <c r="H12448" t="s">
        <v>20209</v>
      </c>
    </row>
    <row r="12449" spans="6:8">
      <c r="F12449" t="s">
        <v>11956</v>
      </c>
      <c r="G12449" t="s">
        <v>16197</v>
      </c>
      <c r="H12449" t="s">
        <v>20927</v>
      </c>
    </row>
    <row r="12450" spans="6:8">
      <c r="H12450" t="s">
        <v>18829</v>
      </c>
    </row>
    <row r="12451" spans="6:8">
      <c r="H12451" t="s">
        <v>18863</v>
      </c>
    </row>
    <row r="12452" spans="6:8">
      <c r="H12452" t="s">
        <v>20454</v>
      </c>
    </row>
    <row r="12453" spans="6:8">
      <c r="H12453" t="s">
        <v>19349</v>
      </c>
    </row>
    <row r="12454" spans="6:8">
      <c r="H12454" t="s">
        <v>20209</v>
      </c>
    </row>
    <row r="12455" spans="6:8">
      <c r="F12455" t="s">
        <v>11957</v>
      </c>
      <c r="G12455" t="s">
        <v>16198</v>
      </c>
      <c r="H12455" t="s">
        <v>20928</v>
      </c>
    </row>
    <row r="12456" spans="6:8">
      <c r="H12456" t="s">
        <v>18829</v>
      </c>
    </row>
    <row r="12457" spans="6:8">
      <c r="H12457" t="s">
        <v>18863</v>
      </c>
    </row>
    <row r="12458" spans="6:8">
      <c r="H12458" t="s">
        <v>20454</v>
      </c>
    </row>
    <row r="12459" spans="6:8">
      <c r="H12459" t="s">
        <v>19349</v>
      </c>
    </row>
    <row r="12460" spans="6:8">
      <c r="H12460" t="s">
        <v>20209</v>
      </c>
    </row>
    <row r="12461" spans="6:8">
      <c r="F12461" t="s">
        <v>11958</v>
      </c>
      <c r="G12461" t="s">
        <v>16199</v>
      </c>
      <c r="H12461" t="s">
        <v>20929</v>
      </c>
    </row>
    <row r="12462" spans="6:8">
      <c r="H12462" t="s">
        <v>18829</v>
      </c>
    </row>
    <row r="12463" spans="6:8">
      <c r="H12463" t="s">
        <v>18863</v>
      </c>
    </row>
    <row r="12464" spans="6:8">
      <c r="H12464" t="s">
        <v>20454</v>
      </c>
    </row>
    <row r="12465" spans="6:8">
      <c r="H12465" t="s">
        <v>19349</v>
      </c>
    </row>
    <row r="12466" spans="6:8">
      <c r="H12466" t="s">
        <v>20209</v>
      </c>
    </row>
    <row r="12467" spans="6:8">
      <c r="F12467" t="s">
        <v>11959</v>
      </c>
      <c r="G12467" t="s">
        <v>16200</v>
      </c>
      <c r="H12467" t="s">
        <v>20930</v>
      </c>
    </row>
    <row r="12468" spans="6:8">
      <c r="H12468" t="s">
        <v>18829</v>
      </c>
    </row>
    <row r="12469" spans="6:8">
      <c r="H12469" t="s">
        <v>18863</v>
      </c>
    </row>
    <row r="12470" spans="6:8">
      <c r="H12470" t="s">
        <v>20454</v>
      </c>
    </row>
    <row r="12471" spans="6:8">
      <c r="H12471" t="s">
        <v>19349</v>
      </c>
    </row>
    <row r="12472" spans="6:8">
      <c r="H12472" t="s">
        <v>20209</v>
      </c>
    </row>
    <row r="12473" spans="6:8">
      <c r="F12473" t="s">
        <v>11960</v>
      </c>
      <c r="G12473" t="s">
        <v>16201</v>
      </c>
      <c r="H12473" t="s">
        <v>20931</v>
      </c>
    </row>
    <row r="12474" spans="6:8">
      <c r="H12474" t="s">
        <v>18829</v>
      </c>
    </row>
    <row r="12475" spans="6:8">
      <c r="H12475" t="s">
        <v>18863</v>
      </c>
    </row>
    <row r="12476" spans="6:8">
      <c r="H12476" t="s">
        <v>20454</v>
      </c>
    </row>
    <row r="12477" spans="6:8">
      <c r="H12477" t="s">
        <v>19349</v>
      </c>
    </row>
    <row r="12478" spans="6:8">
      <c r="H12478" t="s">
        <v>20209</v>
      </c>
    </row>
    <row r="12479" spans="6:8">
      <c r="F12479" t="s">
        <v>11961</v>
      </c>
      <c r="G12479" t="s">
        <v>16202</v>
      </c>
      <c r="H12479" t="s">
        <v>20932</v>
      </c>
    </row>
    <row r="12480" spans="6:8">
      <c r="H12480" t="s">
        <v>18829</v>
      </c>
    </row>
    <row r="12481" spans="6:8">
      <c r="H12481" t="s">
        <v>18863</v>
      </c>
    </row>
    <row r="12482" spans="6:8">
      <c r="H12482" t="s">
        <v>20454</v>
      </c>
    </row>
    <row r="12483" spans="6:8">
      <c r="H12483" t="s">
        <v>19349</v>
      </c>
    </row>
    <row r="12484" spans="6:8">
      <c r="H12484" t="s">
        <v>20209</v>
      </c>
    </row>
    <row r="12485" spans="6:8">
      <c r="F12485" t="s">
        <v>11962</v>
      </c>
      <c r="G12485" t="s">
        <v>16203</v>
      </c>
      <c r="H12485" t="s">
        <v>20933</v>
      </c>
    </row>
    <row r="12486" spans="6:8">
      <c r="H12486" t="s">
        <v>18829</v>
      </c>
    </row>
    <row r="12487" spans="6:8">
      <c r="H12487" t="s">
        <v>18863</v>
      </c>
    </row>
    <row r="12488" spans="6:8">
      <c r="H12488" t="s">
        <v>20454</v>
      </c>
    </row>
    <row r="12489" spans="6:8">
      <c r="H12489" t="s">
        <v>19349</v>
      </c>
    </row>
    <row r="12490" spans="6:8">
      <c r="H12490" t="s">
        <v>20209</v>
      </c>
    </row>
    <row r="12491" spans="6:8">
      <c r="F12491" t="s">
        <v>11963</v>
      </c>
      <c r="G12491" t="s">
        <v>16204</v>
      </c>
      <c r="H12491" t="s">
        <v>20934</v>
      </c>
    </row>
    <row r="12492" spans="6:8">
      <c r="H12492" t="s">
        <v>18829</v>
      </c>
    </row>
    <row r="12493" spans="6:8">
      <c r="H12493" t="s">
        <v>18863</v>
      </c>
    </row>
    <row r="12494" spans="6:8">
      <c r="H12494" t="s">
        <v>20454</v>
      </c>
    </row>
    <row r="12495" spans="6:8">
      <c r="H12495" t="s">
        <v>19349</v>
      </c>
    </row>
    <row r="12496" spans="6:8">
      <c r="H12496" t="s">
        <v>20209</v>
      </c>
    </row>
    <row r="12497" spans="6:8">
      <c r="F12497" t="s">
        <v>11964</v>
      </c>
      <c r="G12497" t="s">
        <v>16205</v>
      </c>
      <c r="H12497" t="s">
        <v>20935</v>
      </c>
    </row>
    <row r="12498" spans="6:8">
      <c r="H12498" t="s">
        <v>18829</v>
      </c>
    </row>
    <row r="12499" spans="6:8">
      <c r="H12499" t="s">
        <v>18863</v>
      </c>
    </row>
    <row r="12500" spans="6:8">
      <c r="H12500" t="s">
        <v>20454</v>
      </c>
    </row>
    <row r="12501" spans="6:8">
      <c r="H12501" t="s">
        <v>19349</v>
      </c>
    </row>
    <row r="12502" spans="6:8">
      <c r="H12502" t="s">
        <v>20209</v>
      </c>
    </row>
    <row r="12503" spans="6:8">
      <c r="F12503" t="s">
        <v>11965</v>
      </c>
      <c r="G12503" t="s">
        <v>16206</v>
      </c>
      <c r="H12503" t="s">
        <v>20936</v>
      </c>
    </row>
    <row r="12504" spans="6:8">
      <c r="H12504" t="s">
        <v>18829</v>
      </c>
    </row>
    <row r="12505" spans="6:8">
      <c r="H12505" t="s">
        <v>18863</v>
      </c>
    </row>
    <row r="12506" spans="6:8">
      <c r="H12506" t="s">
        <v>20454</v>
      </c>
    </row>
    <row r="12507" spans="6:8">
      <c r="H12507" t="s">
        <v>19349</v>
      </c>
    </row>
    <row r="12508" spans="6:8">
      <c r="H12508" t="s">
        <v>20209</v>
      </c>
    </row>
    <row r="12509" spans="6:8">
      <c r="F12509" t="s">
        <v>11966</v>
      </c>
      <c r="G12509" t="s">
        <v>16207</v>
      </c>
      <c r="H12509" t="s">
        <v>20937</v>
      </c>
    </row>
    <row r="12510" spans="6:8">
      <c r="H12510" t="s">
        <v>18829</v>
      </c>
    </row>
    <row r="12511" spans="6:8">
      <c r="H12511" t="s">
        <v>18863</v>
      </c>
    </row>
    <row r="12512" spans="6:8">
      <c r="H12512" t="s">
        <v>20454</v>
      </c>
    </row>
    <row r="12513" spans="6:8">
      <c r="H12513" t="s">
        <v>19349</v>
      </c>
    </row>
    <row r="12514" spans="6:8">
      <c r="H12514" t="s">
        <v>20209</v>
      </c>
    </row>
    <row r="12515" spans="6:8">
      <c r="F12515" t="s">
        <v>11967</v>
      </c>
      <c r="G12515" t="s">
        <v>16208</v>
      </c>
      <c r="H12515" t="s">
        <v>20938</v>
      </c>
    </row>
    <row r="12516" spans="6:8">
      <c r="H12516" t="s">
        <v>18829</v>
      </c>
    </row>
    <row r="12517" spans="6:8">
      <c r="H12517" t="s">
        <v>18863</v>
      </c>
    </row>
    <row r="12518" spans="6:8">
      <c r="H12518" t="s">
        <v>20454</v>
      </c>
    </row>
    <row r="12519" spans="6:8">
      <c r="H12519" t="s">
        <v>19349</v>
      </c>
    </row>
    <row r="12520" spans="6:8">
      <c r="H12520" t="s">
        <v>20209</v>
      </c>
    </row>
    <row r="12521" spans="6:8">
      <c r="F12521" t="s">
        <v>11968</v>
      </c>
      <c r="G12521" t="s">
        <v>16209</v>
      </c>
      <c r="H12521" t="s">
        <v>20939</v>
      </c>
    </row>
    <row r="12522" spans="6:8">
      <c r="H12522" t="s">
        <v>18829</v>
      </c>
    </row>
    <row r="12523" spans="6:8">
      <c r="H12523" t="s">
        <v>18863</v>
      </c>
    </row>
    <row r="12524" spans="6:8">
      <c r="H12524" t="s">
        <v>20454</v>
      </c>
    </row>
    <row r="12525" spans="6:8">
      <c r="H12525" t="s">
        <v>19349</v>
      </c>
    </row>
    <row r="12526" spans="6:8">
      <c r="H12526" t="s">
        <v>20209</v>
      </c>
    </row>
    <row r="12527" spans="6:8">
      <c r="F12527" t="s">
        <v>11969</v>
      </c>
      <c r="G12527" t="s">
        <v>16210</v>
      </c>
      <c r="H12527" t="s">
        <v>20940</v>
      </c>
    </row>
    <row r="12528" spans="6:8">
      <c r="H12528" t="s">
        <v>18829</v>
      </c>
    </row>
    <row r="12529" spans="6:8">
      <c r="H12529" t="s">
        <v>18863</v>
      </c>
    </row>
    <row r="12530" spans="6:8">
      <c r="H12530" t="s">
        <v>20454</v>
      </c>
    </row>
    <row r="12531" spans="6:8">
      <c r="H12531" t="s">
        <v>19349</v>
      </c>
    </row>
    <row r="12532" spans="6:8">
      <c r="H12532" t="s">
        <v>20209</v>
      </c>
    </row>
    <row r="12533" spans="6:8">
      <c r="F12533" t="s">
        <v>11970</v>
      </c>
      <c r="G12533" t="s">
        <v>16211</v>
      </c>
      <c r="H12533" t="s">
        <v>20941</v>
      </c>
    </row>
    <row r="12534" spans="6:8">
      <c r="H12534" t="s">
        <v>18829</v>
      </c>
    </row>
    <row r="12535" spans="6:8">
      <c r="H12535" t="s">
        <v>18863</v>
      </c>
    </row>
    <row r="12536" spans="6:8">
      <c r="H12536" t="s">
        <v>20454</v>
      </c>
    </row>
    <row r="12537" spans="6:8">
      <c r="H12537" t="s">
        <v>19349</v>
      </c>
    </row>
    <row r="12538" spans="6:8">
      <c r="H12538" t="s">
        <v>20209</v>
      </c>
    </row>
    <row r="12539" spans="6:8">
      <c r="F12539" t="s">
        <v>11971</v>
      </c>
      <c r="G12539" t="s">
        <v>16212</v>
      </c>
      <c r="H12539" t="s">
        <v>20942</v>
      </c>
    </row>
    <row r="12540" spans="6:8">
      <c r="H12540" t="s">
        <v>18829</v>
      </c>
    </row>
    <row r="12541" spans="6:8">
      <c r="H12541" t="s">
        <v>18863</v>
      </c>
    </row>
    <row r="12542" spans="6:8">
      <c r="H12542" t="s">
        <v>20454</v>
      </c>
    </row>
    <row r="12543" spans="6:8">
      <c r="H12543" t="s">
        <v>19349</v>
      </c>
    </row>
    <row r="12544" spans="6:8">
      <c r="H12544" t="s">
        <v>20209</v>
      </c>
    </row>
    <row r="12545" spans="6:8">
      <c r="F12545" t="s">
        <v>11972</v>
      </c>
      <c r="G12545" t="s">
        <v>16213</v>
      </c>
      <c r="H12545" t="s">
        <v>20943</v>
      </c>
    </row>
    <row r="12546" spans="6:8">
      <c r="H12546" t="s">
        <v>18829</v>
      </c>
    </row>
    <row r="12547" spans="6:8">
      <c r="H12547" t="s">
        <v>18863</v>
      </c>
    </row>
    <row r="12548" spans="6:8">
      <c r="H12548" t="s">
        <v>20454</v>
      </c>
    </row>
    <row r="12549" spans="6:8">
      <c r="H12549" t="s">
        <v>19349</v>
      </c>
    </row>
    <row r="12550" spans="6:8">
      <c r="H12550" t="s">
        <v>20209</v>
      </c>
    </row>
    <row r="12551" spans="6:8">
      <c r="F12551" t="s">
        <v>11973</v>
      </c>
      <c r="G12551" t="s">
        <v>16214</v>
      </c>
      <c r="H12551" t="s">
        <v>20944</v>
      </c>
    </row>
    <row r="12552" spans="6:8">
      <c r="H12552" t="s">
        <v>18829</v>
      </c>
    </row>
    <row r="12553" spans="6:8">
      <c r="H12553" t="s">
        <v>18863</v>
      </c>
    </row>
    <row r="12554" spans="6:8">
      <c r="H12554" t="s">
        <v>20454</v>
      </c>
    </row>
    <row r="12555" spans="6:8">
      <c r="H12555" t="s">
        <v>19349</v>
      </c>
    </row>
    <row r="12556" spans="6:8">
      <c r="H12556" t="s">
        <v>20209</v>
      </c>
    </row>
    <row r="12557" spans="6:8">
      <c r="F12557" t="s">
        <v>11974</v>
      </c>
      <c r="G12557" t="s">
        <v>16215</v>
      </c>
      <c r="H12557" t="s">
        <v>20945</v>
      </c>
    </row>
    <row r="12558" spans="6:8">
      <c r="H12558" t="s">
        <v>18829</v>
      </c>
    </row>
    <row r="12559" spans="6:8">
      <c r="H12559" t="s">
        <v>18863</v>
      </c>
    </row>
    <row r="12560" spans="6:8">
      <c r="H12560" t="s">
        <v>20454</v>
      </c>
    </row>
    <row r="12561" spans="6:8">
      <c r="H12561" t="s">
        <v>19349</v>
      </c>
    </row>
    <row r="12562" spans="6:8">
      <c r="H12562" t="s">
        <v>20209</v>
      </c>
    </row>
    <row r="12563" spans="6:8">
      <c r="F12563" t="s">
        <v>11975</v>
      </c>
      <c r="G12563" t="s">
        <v>16216</v>
      </c>
      <c r="H12563" t="s">
        <v>20946</v>
      </c>
    </row>
    <row r="12564" spans="6:8">
      <c r="H12564" t="s">
        <v>18829</v>
      </c>
    </row>
    <row r="12565" spans="6:8">
      <c r="H12565" t="s">
        <v>18863</v>
      </c>
    </row>
    <row r="12566" spans="6:8">
      <c r="H12566" t="s">
        <v>20454</v>
      </c>
    </row>
    <row r="12567" spans="6:8">
      <c r="H12567" t="s">
        <v>19349</v>
      </c>
    </row>
    <row r="12568" spans="6:8">
      <c r="H12568" t="s">
        <v>20209</v>
      </c>
    </row>
    <row r="12569" spans="6:8">
      <c r="F12569" t="s">
        <v>11976</v>
      </c>
      <c r="G12569" t="s">
        <v>16217</v>
      </c>
      <c r="H12569" t="s">
        <v>20947</v>
      </c>
    </row>
    <row r="12570" spans="6:8">
      <c r="H12570" t="s">
        <v>18829</v>
      </c>
    </row>
    <row r="12571" spans="6:8">
      <c r="H12571" t="s">
        <v>18863</v>
      </c>
    </row>
    <row r="12572" spans="6:8">
      <c r="H12572" t="s">
        <v>20454</v>
      </c>
    </row>
    <row r="12573" spans="6:8">
      <c r="H12573" t="s">
        <v>19349</v>
      </c>
    </row>
    <row r="12574" spans="6:8">
      <c r="H12574" t="s">
        <v>20209</v>
      </c>
    </row>
    <row r="12575" spans="6:8">
      <c r="F12575" t="s">
        <v>11977</v>
      </c>
      <c r="G12575" t="s">
        <v>16218</v>
      </c>
      <c r="H12575" t="s">
        <v>20948</v>
      </c>
    </row>
    <row r="12576" spans="6:8">
      <c r="H12576" t="s">
        <v>18829</v>
      </c>
    </row>
    <row r="12577" spans="6:8">
      <c r="H12577" t="s">
        <v>18863</v>
      </c>
    </row>
    <row r="12578" spans="6:8">
      <c r="H12578" t="s">
        <v>20454</v>
      </c>
    </row>
    <row r="12579" spans="6:8">
      <c r="H12579" t="s">
        <v>19349</v>
      </c>
    </row>
    <row r="12580" spans="6:8">
      <c r="H12580" t="s">
        <v>20209</v>
      </c>
    </row>
    <row r="12581" spans="6:8">
      <c r="F12581" t="s">
        <v>11978</v>
      </c>
      <c r="G12581" t="s">
        <v>16219</v>
      </c>
      <c r="H12581" t="s">
        <v>20949</v>
      </c>
    </row>
    <row r="12582" spans="6:8">
      <c r="H12582" t="s">
        <v>18829</v>
      </c>
    </row>
    <row r="12583" spans="6:8">
      <c r="H12583" t="s">
        <v>18863</v>
      </c>
    </row>
    <row r="12584" spans="6:8">
      <c r="H12584" t="s">
        <v>20454</v>
      </c>
    </row>
    <row r="12585" spans="6:8">
      <c r="H12585" t="s">
        <v>19349</v>
      </c>
    </row>
    <row r="12586" spans="6:8">
      <c r="H12586" t="s">
        <v>20209</v>
      </c>
    </row>
    <row r="12587" spans="6:8">
      <c r="F12587" t="s">
        <v>11979</v>
      </c>
      <c r="G12587" t="s">
        <v>16220</v>
      </c>
      <c r="H12587" t="s">
        <v>20950</v>
      </c>
    </row>
    <row r="12588" spans="6:8">
      <c r="H12588" t="s">
        <v>18829</v>
      </c>
    </row>
    <row r="12589" spans="6:8">
      <c r="H12589" t="s">
        <v>18863</v>
      </c>
    </row>
    <row r="12590" spans="6:8">
      <c r="H12590" t="s">
        <v>20454</v>
      </c>
    </row>
    <row r="12591" spans="6:8">
      <c r="H12591" t="s">
        <v>19349</v>
      </c>
    </row>
    <row r="12592" spans="6:8">
      <c r="H12592" t="s">
        <v>20209</v>
      </c>
    </row>
    <row r="12593" spans="6:8">
      <c r="F12593" t="s">
        <v>11980</v>
      </c>
      <c r="G12593" t="s">
        <v>16221</v>
      </c>
      <c r="H12593" t="s">
        <v>20951</v>
      </c>
    </row>
    <row r="12594" spans="6:8">
      <c r="H12594" t="s">
        <v>18829</v>
      </c>
    </row>
    <row r="12595" spans="6:8">
      <c r="H12595" t="s">
        <v>18863</v>
      </c>
    </row>
    <row r="12596" spans="6:8">
      <c r="H12596" t="s">
        <v>20454</v>
      </c>
    </row>
    <row r="12597" spans="6:8">
      <c r="H12597" t="s">
        <v>19349</v>
      </c>
    </row>
    <row r="12598" spans="6:8">
      <c r="H12598" t="s">
        <v>20209</v>
      </c>
    </row>
    <row r="12599" spans="6:8">
      <c r="F12599" t="s">
        <v>11981</v>
      </c>
      <c r="G12599" t="s">
        <v>16222</v>
      </c>
      <c r="H12599" t="s">
        <v>20952</v>
      </c>
    </row>
    <row r="12600" spans="6:8">
      <c r="H12600" t="s">
        <v>18829</v>
      </c>
    </row>
    <row r="12601" spans="6:8">
      <c r="H12601" t="s">
        <v>18863</v>
      </c>
    </row>
    <row r="12602" spans="6:8">
      <c r="H12602" t="s">
        <v>20454</v>
      </c>
    </row>
    <row r="12603" spans="6:8">
      <c r="H12603" t="s">
        <v>19349</v>
      </c>
    </row>
    <row r="12604" spans="6:8">
      <c r="H12604" t="s">
        <v>20209</v>
      </c>
    </row>
    <row r="12605" spans="6:8">
      <c r="F12605" t="s">
        <v>11982</v>
      </c>
      <c r="G12605" t="s">
        <v>16223</v>
      </c>
      <c r="H12605" t="s">
        <v>20953</v>
      </c>
    </row>
    <row r="12606" spans="6:8">
      <c r="H12606" t="s">
        <v>18829</v>
      </c>
    </row>
    <row r="12607" spans="6:8">
      <c r="H12607" t="s">
        <v>18863</v>
      </c>
    </row>
    <row r="12608" spans="6:8">
      <c r="H12608" t="s">
        <v>20454</v>
      </c>
    </row>
    <row r="12609" spans="6:8">
      <c r="H12609" t="s">
        <v>19349</v>
      </c>
    </row>
    <row r="12610" spans="6:8">
      <c r="H12610" t="s">
        <v>20209</v>
      </c>
    </row>
    <row r="12611" spans="6:8">
      <c r="F12611" t="s">
        <v>11983</v>
      </c>
      <c r="G12611" t="s">
        <v>16224</v>
      </c>
      <c r="H12611" t="s">
        <v>20954</v>
      </c>
    </row>
    <row r="12612" spans="6:8">
      <c r="H12612" t="s">
        <v>18829</v>
      </c>
    </row>
    <row r="12613" spans="6:8">
      <c r="H12613" t="s">
        <v>18863</v>
      </c>
    </row>
    <row r="12614" spans="6:8">
      <c r="H12614" t="s">
        <v>20454</v>
      </c>
    </row>
    <row r="12615" spans="6:8">
      <c r="H12615" t="s">
        <v>19349</v>
      </c>
    </row>
    <row r="12616" spans="6:8">
      <c r="H12616" t="s">
        <v>20209</v>
      </c>
    </row>
    <row r="12617" spans="6:8">
      <c r="F12617" t="s">
        <v>11984</v>
      </c>
      <c r="G12617" t="s">
        <v>16225</v>
      </c>
      <c r="H12617" t="s">
        <v>20955</v>
      </c>
    </row>
    <row r="12618" spans="6:8">
      <c r="H12618" t="s">
        <v>18829</v>
      </c>
    </row>
    <row r="12619" spans="6:8">
      <c r="H12619" t="s">
        <v>18863</v>
      </c>
    </row>
    <row r="12620" spans="6:8">
      <c r="H12620" t="s">
        <v>20454</v>
      </c>
    </row>
    <row r="12621" spans="6:8">
      <c r="H12621" t="s">
        <v>19349</v>
      </c>
    </row>
    <row r="12622" spans="6:8">
      <c r="H12622" t="s">
        <v>20209</v>
      </c>
    </row>
    <row r="12623" spans="6:8">
      <c r="F12623" t="s">
        <v>11985</v>
      </c>
      <c r="G12623" t="s">
        <v>16226</v>
      </c>
      <c r="H12623" t="s">
        <v>20956</v>
      </c>
    </row>
    <row r="12624" spans="6:8">
      <c r="H12624" t="s">
        <v>18829</v>
      </c>
    </row>
    <row r="12625" spans="6:8">
      <c r="H12625" t="s">
        <v>18863</v>
      </c>
    </row>
    <row r="12626" spans="6:8">
      <c r="H12626" t="s">
        <v>20454</v>
      </c>
    </row>
    <row r="12627" spans="6:8">
      <c r="H12627" t="s">
        <v>19349</v>
      </c>
    </row>
    <row r="12628" spans="6:8">
      <c r="H12628" t="s">
        <v>20209</v>
      </c>
    </row>
    <row r="12629" spans="6:8">
      <c r="F12629" t="s">
        <v>11986</v>
      </c>
      <c r="G12629" t="s">
        <v>16227</v>
      </c>
      <c r="H12629" t="s">
        <v>20957</v>
      </c>
    </row>
    <row r="12630" spans="6:8">
      <c r="H12630" t="s">
        <v>18829</v>
      </c>
    </row>
    <row r="12631" spans="6:8">
      <c r="H12631" t="s">
        <v>18863</v>
      </c>
    </row>
    <row r="12632" spans="6:8">
      <c r="H12632" t="s">
        <v>20454</v>
      </c>
    </row>
    <row r="12633" spans="6:8">
      <c r="H12633" t="s">
        <v>19349</v>
      </c>
    </row>
    <row r="12634" spans="6:8">
      <c r="H12634" t="s">
        <v>20209</v>
      </c>
    </row>
    <row r="12635" spans="6:8">
      <c r="F12635" t="s">
        <v>11987</v>
      </c>
      <c r="G12635" t="s">
        <v>16228</v>
      </c>
      <c r="H12635" t="s">
        <v>20958</v>
      </c>
    </row>
    <row r="12636" spans="6:8">
      <c r="H12636" t="s">
        <v>18829</v>
      </c>
    </row>
    <row r="12637" spans="6:8">
      <c r="H12637" t="s">
        <v>18863</v>
      </c>
    </row>
    <row r="12638" spans="6:8">
      <c r="H12638" t="s">
        <v>20454</v>
      </c>
    </row>
    <row r="12639" spans="6:8">
      <c r="H12639" t="s">
        <v>19349</v>
      </c>
    </row>
    <row r="12640" spans="6:8">
      <c r="H12640" t="s">
        <v>20209</v>
      </c>
    </row>
    <row r="12641" spans="6:8">
      <c r="F12641" t="s">
        <v>11988</v>
      </c>
      <c r="G12641" t="s">
        <v>16229</v>
      </c>
      <c r="H12641" t="s">
        <v>20959</v>
      </c>
    </row>
    <row r="12642" spans="6:8">
      <c r="H12642" t="s">
        <v>18829</v>
      </c>
    </row>
    <row r="12643" spans="6:8">
      <c r="H12643" t="s">
        <v>18863</v>
      </c>
    </row>
    <row r="12644" spans="6:8">
      <c r="H12644" t="s">
        <v>20454</v>
      </c>
    </row>
    <row r="12645" spans="6:8">
      <c r="H12645" t="s">
        <v>19349</v>
      </c>
    </row>
    <row r="12646" spans="6:8">
      <c r="H12646" t="s">
        <v>20209</v>
      </c>
    </row>
    <row r="12647" spans="6:8">
      <c r="F12647" t="s">
        <v>11989</v>
      </c>
      <c r="G12647" t="s">
        <v>16230</v>
      </c>
      <c r="H12647" t="s">
        <v>20960</v>
      </c>
    </row>
    <row r="12648" spans="6:8">
      <c r="H12648" t="s">
        <v>18829</v>
      </c>
    </row>
    <row r="12649" spans="6:8">
      <c r="H12649" t="s">
        <v>18863</v>
      </c>
    </row>
    <row r="12650" spans="6:8">
      <c r="H12650" t="s">
        <v>20454</v>
      </c>
    </row>
    <row r="12651" spans="6:8">
      <c r="H12651" t="s">
        <v>19349</v>
      </c>
    </row>
    <row r="12652" spans="6:8">
      <c r="H12652" t="s">
        <v>20209</v>
      </c>
    </row>
    <row r="12653" spans="6:8">
      <c r="F12653" t="s">
        <v>11990</v>
      </c>
      <c r="G12653" t="s">
        <v>16231</v>
      </c>
      <c r="H12653" t="s">
        <v>20961</v>
      </c>
    </row>
    <row r="12654" spans="6:8">
      <c r="H12654" t="s">
        <v>18829</v>
      </c>
    </row>
    <row r="12655" spans="6:8">
      <c r="H12655" t="s">
        <v>18863</v>
      </c>
    </row>
    <row r="12656" spans="6:8">
      <c r="H12656" t="s">
        <v>20454</v>
      </c>
    </row>
    <row r="12657" spans="6:8">
      <c r="H12657" t="s">
        <v>19349</v>
      </c>
    </row>
    <row r="12658" spans="6:8">
      <c r="H12658" t="s">
        <v>20209</v>
      </c>
    </row>
    <row r="12659" spans="6:8">
      <c r="F12659" t="s">
        <v>11991</v>
      </c>
      <c r="G12659" t="s">
        <v>16232</v>
      </c>
      <c r="H12659" t="s">
        <v>20962</v>
      </c>
    </row>
    <row r="12660" spans="6:8">
      <c r="H12660" t="s">
        <v>18829</v>
      </c>
    </row>
    <row r="12661" spans="6:8">
      <c r="H12661" t="s">
        <v>18863</v>
      </c>
    </row>
    <row r="12662" spans="6:8">
      <c r="H12662" t="s">
        <v>20454</v>
      </c>
    </row>
    <row r="12663" spans="6:8">
      <c r="H12663" t="s">
        <v>19349</v>
      </c>
    </row>
    <row r="12664" spans="6:8">
      <c r="H12664" t="s">
        <v>20209</v>
      </c>
    </row>
    <row r="12665" spans="6:8">
      <c r="F12665" t="s">
        <v>11992</v>
      </c>
      <c r="G12665" t="s">
        <v>16233</v>
      </c>
      <c r="H12665" t="s">
        <v>20963</v>
      </c>
    </row>
    <row r="12666" spans="6:8">
      <c r="H12666" t="s">
        <v>18829</v>
      </c>
    </row>
    <row r="12667" spans="6:8">
      <c r="H12667" t="s">
        <v>18863</v>
      </c>
    </row>
    <row r="12668" spans="6:8">
      <c r="H12668" t="s">
        <v>20454</v>
      </c>
    </row>
    <row r="12669" spans="6:8">
      <c r="H12669" t="s">
        <v>19349</v>
      </c>
    </row>
    <row r="12670" spans="6:8">
      <c r="H12670" t="s">
        <v>20209</v>
      </c>
    </row>
    <row r="12671" spans="6:8">
      <c r="F12671" t="s">
        <v>11993</v>
      </c>
      <c r="G12671" t="s">
        <v>16234</v>
      </c>
      <c r="H12671" t="s">
        <v>20964</v>
      </c>
    </row>
    <row r="12672" spans="6:8">
      <c r="H12672" t="s">
        <v>18829</v>
      </c>
    </row>
    <row r="12673" spans="6:8">
      <c r="H12673" t="s">
        <v>18863</v>
      </c>
    </row>
    <row r="12674" spans="6:8">
      <c r="H12674" t="s">
        <v>20454</v>
      </c>
    </row>
    <row r="12675" spans="6:8">
      <c r="H12675" t="s">
        <v>19349</v>
      </c>
    </row>
    <row r="12676" spans="6:8">
      <c r="H12676" t="s">
        <v>20209</v>
      </c>
    </row>
    <row r="12677" spans="6:8">
      <c r="F12677" t="s">
        <v>11994</v>
      </c>
      <c r="G12677" t="s">
        <v>16235</v>
      </c>
      <c r="H12677" t="s">
        <v>20965</v>
      </c>
    </row>
    <row r="12678" spans="6:8">
      <c r="H12678" t="s">
        <v>18829</v>
      </c>
    </row>
    <row r="12679" spans="6:8">
      <c r="H12679" t="s">
        <v>18863</v>
      </c>
    </row>
    <row r="12680" spans="6:8">
      <c r="H12680" t="s">
        <v>20454</v>
      </c>
    </row>
    <row r="12681" spans="6:8">
      <c r="H12681" t="s">
        <v>19349</v>
      </c>
    </row>
    <row r="12682" spans="6:8">
      <c r="H12682" t="s">
        <v>20209</v>
      </c>
    </row>
    <row r="12683" spans="6:8">
      <c r="F12683" t="s">
        <v>11995</v>
      </c>
      <c r="G12683" t="s">
        <v>16236</v>
      </c>
      <c r="H12683" t="s">
        <v>20966</v>
      </c>
    </row>
    <row r="12684" spans="6:8">
      <c r="H12684" t="s">
        <v>18829</v>
      </c>
    </row>
    <row r="12685" spans="6:8">
      <c r="H12685" t="s">
        <v>18863</v>
      </c>
    </row>
    <row r="12686" spans="6:8">
      <c r="H12686" t="s">
        <v>20454</v>
      </c>
    </row>
    <row r="12687" spans="6:8">
      <c r="H12687" t="s">
        <v>19349</v>
      </c>
    </row>
    <row r="12688" spans="6:8">
      <c r="H12688" t="s">
        <v>20209</v>
      </c>
    </row>
    <row r="12689" spans="6:8">
      <c r="F12689" t="s">
        <v>11996</v>
      </c>
      <c r="G12689" t="s">
        <v>16237</v>
      </c>
      <c r="H12689" t="s">
        <v>20967</v>
      </c>
    </row>
    <row r="12690" spans="6:8">
      <c r="H12690" t="s">
        <v>18829</v>
      </c>
    </row>
    <row r="12691" spans="6:8">
      <c r="H12691" t="s">
        <v>18863</v>
      </c>
    </row>
    <row r="12692" spans="6:8">
      <c r="H12692" t="s">
        <v>20454</v>
      </c>
    </row>
    <row r="12693" spans="6:8">
      <c r="H12693" t="s">
        <v>19349</v>
      </c>
    </row>
    <row r="12694" spans="6:8">
      <c r="H12694" t="s">
        <v>20209</v>
      </c>
    </row>
    <row r="12695" spans="6:8">
      <c r="F12695" t="s">
        <v>11997</v>
      </c>
      <c r="G12695" t="s">
        <v>16238</v>
      </c>
      <c r="H12695" t="s">
        <v>20968</v>
      </c>
    </row>
    <row r="12696" spans="6:8">
      <c r="H12696" t="s">
        <v>18829</v>
      </c>
    </row>
    <row r="12697" spans="6:8">
      <c r="H12697" t="s">
        <v>18863</v>
      </c>
    </row>
    <row r="12698" spans="6:8">
      <c r="H12698" t="s">
        <v>20454</v>
      </c>
    </row>
    <row r="12699" spans="6:8">
      <c r="H12699" t="s">
        <v>19349</v>
      </c>
    </row>
    <row r="12700" spans="6:8">
      <c r="H12700" t="s">
        <v>20209</v>
      </c>
    </row>
    <row r="12701" spans="6:8">
      <c r="F12701" t="s">
        <v>11998</v>
      </c>
      <c r="G12701" t="s">
        <v>16239</v>
      </c>
      <c r="H12701" t="s">
        <v>20969</v>
      </c>
    </row>
    <row r="12702" spans="6:8">
      <c r="H12702" t="s">
        <v>18829</v>
      </c>
    </row>
    <row r="12703" spans="6:8">
      <c r="H12703" t="s">
        <v>18863</v>
      </c>
    </row>
    <row r="12704" spans="6:8">
      <c r="H12704" t="s">
        <v>20454</v>
      </c>
    </row>
    <row r="12705" spans="6:8">
      <c r="H12705" t="s">
        <v>19349</v>
      </c>
    </row>
    <row r="12706" spans="6:8">
      <c r="H12706" t="s">
        <v>20209</v>
      </c>
    </row>
    <row r="12707" spans="6:8">
      <c r="F12707" t="s">
        <v>11999</v>
      </c>
      <c r="G12707" t="s">
        <v>16240</v>
      </c>
      <c r="H12707" t="s">
        <v>20970</v>
      </c>
    </row>
    <row r="12708" spans="6:8">
      <c r="H12708" t="s">
        <v>18829</v>
      </c>
    </row>
    <row r="12709" spans="6:8">
      <c r="H12709" t="s">
        <v>18863</v>
      </c>
    </row>
    <row r="12710" spans="6:8">
      <c r="H12710" t="s">
        <v>20454</v>
      </c>
    </row>
    <row r="12711" spans="6:8">
      <c r="H12711" t="s">
        <v>19349</v>
      </c>
    </row>
    <row r="12712" spans="6:8">
      <c r="H12712" t="s">
        <v>20209</v>
      </c>
    </row>
    <row r="12713" spans="6:8">
      <c r="F12713" t="s">
        <v>12000</v>
      </c>
      <c r="G12713" t="s">
        <v>16241</v>
      </c>
      <c r="H12713" t="s">
        <v>20971</v>
      </c>
    </row>
    <row r="12714" spans="6:8">
      <c r="H12714" t="s">
        <v>18829</v>
      </c>
    </row>
    <row r="12715" spans="6:8">
      <c r="H12715" t="s">
        <v>18863</v>
      </c>
    </row>
    <row r="12716" spans="6:8">
      <c r="H12716" t="s">
        <v>20454</v>
      </c>
    </row>
    <row r="12717" spans="6:8">
      <c r="H12717" t="s">
        <v>19349</v>
      </c>
    </row>
    <row r="12718" spans="6:8">
      <c r="H12718" t="s">
        <v>20209</v>
      </c>
    </row>
    <row r="12719" spans="6:8">
      <c r="F12719" t="s">
        <v>12001</v>
      </c>
      <c r="G12719" t="s">
        <v>16242</v>
      </c>
      <c r="H12719" t="s">
        <v>20972</v>
      </c>
    </row>
    <row r="12720" spans="6:8">
      <c r="H12720" t="s">
        <v>18829</v>
      </c>
    </row>
    <row r="12721" spans="6:8">
      <c r="H12721" t="s">
        <v>18863</v>
      </c>
    </row>
    <row r="12722" spans="6:8">
      <c r="H12722" t="s">
        <v>20454</v>
      </c>
    </row>
    <row r="12723" spans="6:8">
      <c r="H12723" t="s">
        <v>19349</v>
      </c>
    </row>
    <row r="12724" spans="6:8">
      <c r="H12724" t="s">
        <v>20209</v>
      </c>
    </row>
    <row r="12725" spans="6:8">
      <c r="F12725" t="s">
        <v>12002</v>
      </c>
      <c r="G12725" t="s">
        <v>16243</v>
      </c>
      <c r="H12725" t="s">
        <v>20973</v>
      </c>
    </row>
    <row r="12726" spans="6:8">
      <c r="H12726" t="s">
        <v>18829</v>
      </c>
    </row>
    <row r="12727" spans="6:8">
      <c r="H12727" t="s">
        <v>18863</v>
      </c>
    </row>
    <row r="12728" spans="6:8">
      <c r="H12728" t="s">
        <v>20454</v>
      </c>
    </row>
    <row r="12729" spans="6:8">
      <c r="H12729" t="s">
        <v>19349</v>
      </c>
    </row>
    <row r="12730" spans="6:8">
      <c r="H12730" t="s">
        <v>20209</v>
      </c>
    </row>
    <row r="12731" spans="6:8">
      <c r="F12731" t="s">
        <v>12003</v>
      </c>
      <c r="G12731" t="s">
        <v>16244</v>
      </c>
      <c r="H12731" t="s">
        <v>20974</v>
      </c>
    </row>
    <row r="12732" spans="6:8">
      <c r="H12732" t="s">
        <v>18829</v>
      </c>
    </row>
    <row r="12733" spans="6:8">
      <c r="H12733" t="s">
        <v>18863</v>
      </c>
    </row>
    <row r="12734" spans="6:8">
      <c r="H12734" t="s">
        <v>20454</v>
      </c>
    </row>
    <row r="12735" spans="6:8">
      <c r="H12735" t="s">
        <v>19349</v>
      </c>
    </row>
    <row r="12736" spans="6:8">
      <c r="H12736" t="s">
        <v>20209</v>
      </c>
    </row>
    <row r="12737" spans="6:8">
      <c r="F12737" t="s">
        <v>12004</v>
      </c>
      <c r="G12737" t="s">
        <v>16245</v>
      </c>
      <c r="H12737" t="s">
        <v>20975</v>
      </c>
    </row>
    <row r="12738" spans="6:8">
      <c r="H12738" t="s">
        <v>18829</v>
      </c>
    </row>
    <row r="12739" spans="6:8">
      <c r="H12739" t="s">
        <v>18863</v>
      </c>
    </row>
    <row r="12740" spans="6:8">
      <c r="H12740" t="s">
        <v>20454</v>
      </c>
    </row>
    <row r="12741" spans="6:8">
      <c r="H12741" t="s">
        <v>19349</v>
      </c>
    </row>
    <row r="12742" spans="6:8">
      <c r="H12742" t="s">
        <v>20209</v>
      </c>
    </row>
    <row r="12743" spans="6:8">
      <c r="F12743" t="s">
        <v>12005</v>
      </c>
      <c r="G12743" t="s">
        <v>16246</v>
      </c>
      <c r="H12743" t="s">
        <v>20976</v>
      </c>
    </row>
    <row r="12744" spans="6:8">
      <c r="H12744" t="s">
        <v>18829</v>
      </c>
    </row>
    <row r="12745" spans="6:8">
      <c r="H12745" t="s">
        <v>18863</v>
      </c>
    </row>
    <row r="12746" spans="6:8">
      <c r="H12746" t="s">
        <v>20454</v>
      </c>
    </row>
    <row r="12747" spans="6:8">
      <c r="H12747" t="s">
        <v>19349</v>
      </c>
    </row>
    <row r="12748" spans="6:8">
      <c r="H12748" t="s">
        <v>20209</v>
      </c>
    </row>
    <row r="12749" spans="6:8">
      <c r="F12749" t="s">
        <v>12006</v>
      </c>
      <c r="G12749" t="s">
        <v>16247</v>
      </c>
      <c r="H12749" t="s">
        <v>20977</v>
      </c>
    </row>
    <row r="12750" spans="6:8">
      <c r="H12750" t="s">
        <v>18829</v>
      </c>
    </row>
    <row r="12751" spans="6:8">
      <c r="H12751" t="s">
        <v>18863</v>
      </c>
    </row>
    <row r="12752" spans="6:8">
      <c r="H12752" t="s">
        <v>20454</v>
      </c>
    </row>
    <row r="12753" spans="6:8">
      <c r="H12753" t="s">
        <v>19349</v>
      </c>
    </row>
    <row r="12754" spans="6:8">
      <c r="H12754" t="s">
        <v>20209</v>
      </c>
    </row>
    <row r="12755" spans="6:8">
      <c r="F12755" t="s">
        <v>12007</v>
      </c>
      <c r="G12755" t="s">
        <v>16248</v>
      </c>
      <c r="H12755" t="s">
        <v>20978</v>
      </c>
    </row>
    <row r="12756" spans="6:8">
      <c r="H12756" t="s">
        <v>18829</v>
      </c>
    </row>
    <row r="12757" spans="6:8">
      <c r="H12757" t="s">
        <v>18863</v>
      </c>
    </row>
    <row r="12758" spans="6:8">
      <c r="H12758" t="s">
        <v>20454</v>
      </c>
    </row>
    <row r="12759" spans="6:8">
      <c r="H12759" t="s">
        <v>19349</v>
      </c>
    </row>
    <row r="12760" spans="6:8">
      <c r="H12760" t="s">
        <v>20209</v>
      </c>
    </row>
    <row r="12761" spans="6:8">
      <c r="F12761" t="s">
        <v>12008</v>
      </c>
      <c r="G12761" t="s">
        <v>16249</v>
      </c>
      <c r="H12761" t="s">
        <v>20979</v>
      </c>
    </row>
    <row r="12762" spans="6:8">
      <c r="H12762" t="s">
        <v>18829</v>
      </c>
    </row>
    <row r="12763" spans="6:8">
      <c r="H12763" t="s">
        <v>18863</v>
      </c>
    </row>
    <row r="12764" spans="6:8">
      <c r="H12764" t="s">
        <v>20454</v>
      </c>
    </row>
    <row r="12765" spans="6:8">
      <c r="H12765" t="s">
        <v>19349</v>
      </c>
    </row>
    <row r="12766" spans="6:8">
      <c r="H12766" t="s">
        <v>20209</v>
      </c>
    </row>
    <row r="12767" spans="6:8">
      <c r="F12767" t="s">
        <v>12009</v>
      </c>
      <c r="G12767" t="s">
        <v>16250</v>
      </c>
      <c r="H12767" t="s">
        <v>20980</v>
      </c>
    </row>
    <row r="12768" spans="6:8">
      <c r="H12768" t="s">
        <v>18829</v>
      </c>
    </row>
    <row r="12769" spans="6:8">
      <c r="H12769" t="s">
        <v>18863</v>
      </c>
    </row>
    <row r="12770" spans="6:8">
      <c r="H12770" t="s">
        <v>20454</v>
      </c>
    </row>
    <row r="12771" spans="6:8">
      <c r="H12771" t="s">
        <v>19349</v>
      </c>
    </row>
    <row r="12772" spans="6:8">
      <c r="H12772" t="s">
        <v>20209</v>
      </c>
    </row>
    <row r="12773" spans="6:8">
      <c r="F12773" t="s">
        <v>12010</v>
      </c>
      <c r="G12773" t="s">
        <v>16251</v>
      </c>
      <c r="H12773" t="s">
        <v>20981</v>
      </c>
    </row>
    <row r="12774" spans="6:8">
      <c r="H12774" t="s">
        <v>18829</v>
      </c>
    </row>
    <row r="12775" spans="6:8">
      <c r="H12775" t="s">
        <v>18863</v>
      </c>
    </row>
    <row r="12776" spans="6:8">
      <c r="H12776" t="s">
        <v>20454</v>
      </c>
    </row>
    <row r="12777" spans="6:8">
      <c r="H12777" t="s">
        <v>19349</v>
      </c>
    </row>
    <row r="12778" spans="6:8">
      <c r="H12778" t="s">
        <v>20209</v>
      </c>
    </row>
    <row r="12779" spans="6:8">
      <c r="F12779" t="s">
        <v>12011</v>
      </c>
      <c r="G12779" t="s">
        <v>16252</v>
      </c>
      <c r="H12779" t="s">
        <v>20982</v>
      </c>
    </row>
    <row r="12780" spans="6:8">
      <c r="H12780" t="s">
        <v>18829</v>
      </c>
    </row>
    <row r="12781" spans="6:8">
      <c r="H12781" t="s">
        <v>18863</v>
      </c>
    </row>
    <row r="12782" spans="6:8">
      <c r="H12782" t="s">
        <v>20454</v>
      </c>
    </row>
    <row r="12783" spans="6:8">
      <c r="H12783" t="s">
        <v>19349</v>
      </c>
    </row>
    <row r="12784" spans="6:8">
      <c r="H12784" t="s">
        <v>20209</v>
      </c>
    </row>
    <row r="12785" spans="6:8">
      <c r="F12785" t="s">
        <v>12012</v>
      </c>
      <c r="G12785" t="s">
        <v>16253</v>
      </c>
      <c r="H12785" t="s">
        <v>20983</v>
      </c>
    </row>
    <row r="12786" spans="6:8">
      <c r="H12786" t="s">
        <v>18829</v>
      </c>
    </row>
    <row r="12787" spans="6:8">
      <c r="H12787" t="s">
        <v>18863</v>
      </c>
    </row>
    <row r="12788" spans="6:8">
      <c r="H12788" t="s">
        <v>20454</v>
      </c>
    </row>
    <row r="12789" spans="6:8">
      <c r="H12789" t="s">
        <v>19349</v>
      </c>
    </row>
    <row r="12790" spans="6:8">
      <c r="H12790" t="s">
        <v>20209</v>
      </c>
    </row>
    <row r="12791" spans="6:8">
      <c r="F12791" t="s">
        <v>12013</v>
      </c>
      <c r="G12791" t="s">
        <v>16254</v>
      </c>
      <c r="H12791" t="s">
        <v>20984</v>
      </c>
    </row>
    <row r="12792" spans="6:8">
      <c r="H12792" t="s">
        <v>18829</v>
      </c>
    </row>
    <row r="12793" spans="6:8">
      <c r="H12793" t="s">
        <v>18863</v>
      </c>
    </row>
    <row r="12794" spans="6:8">
      <c r="H12794" t="s">
        <v>20454</v>
      </c>
    </row>
    <row r="12795" spans="6:8">
      <c r="H12795" t="s">
        <v>19349</v>
      </c>
    </row>
    <row r="12796" spans="6:8">
      <c r="H12796" t="s">
        <v>20209</v>
      </c>
    </row>
    <row r="12797" spans="6:8">
      <c r="F12797" t="s">
        <v>12014</v>
      </c>
      <c r="G12797" t="s">
        <v>16255</v>
      </c>
      <c r="H12797" t="s">
        <v>20985</v>
      </c>
    </row>
    <row r="12798" spans="6:8">
      <c r="H12798" t="s">
        <v>18829</v>
      </c>
    </row>
    <row r="12799" spans="6:8">
      <c r="H12799" t="s">
        <v>18863</v>
      </c>
    </row>
    <row r="12800" spans="6:8">
      <c r="H12800" t="s">
        <v>20454</v>
      </c>
    </row>
    <row r="12801" spans="6:8">
      <c r="H12801" t="s">
        <v>19349</v>
      </c>
    </row>
    <row r="12802" spans="6:8">
      <c r="H12802" t="s">
        <v>20209</v>
      </c>
    </row>
    <row r="12803" spans="6:8">
      <c r="F12803" t="s">
        <v>12015</v>
      </c>
      <c r="G12803" t="s">
        <v>16256</v>
      </c>
      <c r="H12803" t="s">
        <v>20986</v>
      </c>
    </row>
    <row r="12804" spans="6:8">
      <c r="H12804" t="s">
        <v>18829</v>
      </c>
    </row>
    <row r="12805" spans="6:8">
      <c r="H12805" t="s">
        <v>18863</v>
      </c>
    </row>
    <row r="12806" spans="6:8">
      <c r="H12806" t="s">
        <v>20454</v>
      </c>
    </row>
    <row r="12807" spans="6:8">
      <c r="H12807" t="s">
        <v>19349</v>
      </c>
    </row>
    <row r="12808" spans="6:8">
      <c r="H12808" t="s">
        <v>20209</v>
      </c>
    </row>
    <row r="12809" spans="6:8">
      <c r="F12809" t="s">
        <v>12016</v>
      </c>
      <c r="G12809" t="s">
        <v>16257</v>
      </c>
      <c r="H12809" t="s">
        <v>20987</v>
      </c>
    </row>
    <row r="12810" spans="6:8">
      <c r="H12810" t="s">
        <v>18829</v>
      </c>
    </row>
    <row r="12811" spans="6:8">
      <c r="H12811" t="s">
        <v>18863</v>
      </c>
    </row>
    <row r="12812" spans="6:8">
      <c r="H12812" t="s">
        <v>20454</v>
      </c>
    </row>
    <row r="12813" spans="6:8">
      <c r="H12813" t="s">
        <v>19349</v>
      </c>
    </row>
    <row r="12814" spans="6:8">
      <c r="H12814" t="s">
        <v>20209</v>
      </c>
    </row>
    <row r="12815" spans="6:8">
      <c r="F12815" t="s">
        <v>12017</v>
      </c>
      <c r="G12815" t="s">
        <v>16258</v>
      </c>
      <c r="H12815" t="s">
        <v>20988</v>
      </c>
    </row>
    <row r="12816" spans="6:8">
      <c r="H12816" t="s">
        <v>18829</v>
      </c>
    </row>
    <row r="12817" spans="6:8">
      <c r="H12817" t="s">
        <v>18863</v>
      </c>
    </row>
    <row r="12818" spans="6:8">
      <c r="H12818" t="s">
        <v>20454</v>
      </c>
    </row>
    <row r="12819" spans="6:8">
      <c r="H12819" t="s">
        <v>19349</v>
      </c>
    </row>
    <row r="12820" spans="6:8">
      <c r="H12820" t="s">
        <v>20209</v>
      </c>
    </row>
    <row r="12821" spans="6:8">
      <c r="F12821" t="s">
        <v>12018</v>
      </c>
      <c r="G12821" t="s">
        <v>16259</v>
      </c>
      <c r="H12821" t="s">
        <v>20989</v>
      </c>
    </row>
    <row r="12822" spans="6:8">
      <c r="H12822" t="s">
        <v>18829</v>
      </c>
    </row>
    <row r="12823" spans="6:8">
      <c r="H12823" t="s">
        <v>18863</v>
      </c>
    </row>
    <row r="12824" spans="6:8">
      <c r="H12824" t="s">
        <v>20454</v>
      </c>
    </row>
    <row r="12825" spans="6:8">
      <c r="H12825" t="s">
        <v>19349</v>
      </c>
    </row>
    <row r="12826" spans="6:8">
      <c r="H12826" t="s">
        <v>20209</v>
      </c>
    </row>
    <row r="12827" spans="6:8">
      <c r="F12827" t="s">
        <v>12019</v>
      </c>
      <c r="G12827" t="s">
        <v>16260</v>
      </c>
      <c r="H12827" t="s">
        <v>20990</v>
      </c>
    </row>
    <row r="12828" spans="6:8">
      <c r="H12828" t="s">
        <v>18829</v>
      </c>
    </row>
    <row r="12829" spans="6:8">
      <c r="H12829" t="s">
        <v>18863</v>
      </c>
    </row>
    <row r="12830" spans="6:8">
      <c r="H12830" t="s">
        <v>20454</v>
      </c>
    </row>
    <row r="12831" spans="6:8">
      <c r="H12831" t="s">
        <v>19349</v>
      </c>
    </row>
    <row r="12832" spans="6:8">
      <c r="H12832" t="s">
        <v>20209</v>
      </c>
    </row>
    <row r="12833" spans="6:8">
      <c r="F12833" t="s">
        <v>12020</v>
      </c>
      <c r="G12833" t="s">
        <v>16261</v>
      </c>
      <c r="H12833" t="s">
        <v>20991</v>
      </c>
    </row>
    <row r="12834" spans="6:8">
      <c r="H12834" t="s">
        <v>18829</v>
      </c>
    </row>
    <row r="12835" spans="6:8">
      <c r="H12835" t="s">
        <v>18863</v>
      </c>
    </row>
    <row r="12836" spans="6:8">
      <c r="H12836" t="s">
        <v>20454</v>
      </c>
    </row>
    <row r="12837" spans="6:8">
      <c r="H12837" t="s">
        <v>19349</v>
      </c>
    </row>
    <row r="12838" spans="6:8">
      <c r="H12838" t="s">
        <v>20209</v>
      </c>
    </row>
    <row r="12839" spans="6:8">
      <c r="F12839" t="s">
        <v>12021</v>
      </c>
      <c r="G12839" t="s">
        <v>16262</v>
      </c>
      <c r="H12839" t="s">
        <v>20992</v>
      </c>
    </row>
    <row r="12840" spans="6:8">
      <c r="H12840" t="s">
        <v>18829</v>
      </c>
    </row>
    <row r="12841" spans="6:8">
      <c r="H12841" t="s">
        <v>18863</v>
      </c>
    </row>
    <row r="12842" spans="6:8">
      <c r="H12842" t="s">
        <v>20454</v>
      </c>
    </row>
    <row r="12843" spans="6:8">
      <c r="H12843" t="s">
        <v>19349</v>
      </c>
    </row>
    <row r="12844" spans="6:8">
      <c r="H12844" t="s">
        <v>20209</v>
      </c>
    </row>
    <row r="12845" spans="6:8">
      <c r="F12845" t="s">
        <v>12022</v>
      </c>
      <c r="G12845" t="s">
        <v>16263</v>
      </c>
      <c r="H12845" t="s">
        <v>20993</v>
      </c>
    </row>
    <row r="12846" spans="6:8">
      <c r="H12846" t="s">
        <v>18829</v>
      </c>
    </row>
    <row r="12847" spans="6:8">
      <c r="H12847" t="s">
        <v>18863</v>
      </c>
    </row>
    <row r="12848" spans="6:8">
      <c r="H12848" t="s">
        <v>20454</v>
      </c>
    </row>
    <row r="12849" spans="6:8">
      <c r="H12849" t="s">
        <v>19349</v>
      </c>
    </row>
    <row r="12850" spans="6:8">
      <c r="H12850" t="s">
        <v>20209</v>
      </c>
    </row>
    <row r="12851" spans="6:8">
      <c r="F12851" t="s">
        <v>12023</v>
      </c>
      <c r="G12851" t="s">
        <v>16264</v>
      </c>
      <c r="H12851" t="s">
        <v>20994</v>
      </c>
    </row>
    <row r="12852" spans="6:8">
      <c r="H12852" t="s">
        <v>18829</v>
      </c>
    </row>
    <row r="12853" spans="6:8">
      <c r="H12853" t="s">
        <v>18863</v>
      </c>
    </row>
    <row r="12854" spans="6:8">
      <c r="H12854" t="s">
        <v>20454</v>
      </c>
    </row>
    <row r="12855" spans="6:8">
      <c r="H12855" t="s">
        <v>19349</v>
      </c>
    </row>
    <row r="12856" spans="6:8">
      <c r="H12856" t="s">
        <v>20209</v>
      </c>
    </row>
    <row r="12857" spans="6:8">
      <c r="F12857" t="s">
        <v>12024</v>
      </c>
      <c r="G12857" t="s">
        <v>16265</v>
      </c>
      <c r="H12857" t="s">
        <v>20995</v>
      </c>
    </row>
    <row r="12858" spans="6:8">
      <c r="H12858" t="s">
        <v>18829</v>
      </c>
    </row>
    <row r="12859" spans="6:8">
      <c r="H12859" t="s">
        <v>18863</v>
      </c>
    </row>
    <row r="12860" spans="6:8">
      <c r="H12860" t="s">
        <v>20454</v>
      </c>
    </row>
    <row r="12861" spans="6:8">
      <c r="H12861" t="s">
        <v>19349</v>
      </c>
    </row>
    <row r="12862" spans="6:8">
      <c r="H12862" t="s">
        <v>20209</v>
      </c>
    </row>
    <row r="12863" spans="6:8">
      <c r="F12863" t="s">
        <v>12025</v>
      </c>
      <c r="G12863" t="s">
        <v>16266</v>
      </c>
      <c r="H12863" t="s">
        <v>20996</v>
      </c>
    </row>
    <row r="12864" spans="6:8">
      <c r="H12864" t="s">
        <v>18829</v>
      </c>
    </row>
    <row r="12865" spans="6:8">
      <c r="H12865" t="s">
        <v>18863</v>
      </c>
    </row>
    <row r="12866" spans="6:8">
      <c r="H12866" t="s">
        <v>20454</v>
      </c>
    </row>
    <row r="12867" spans="6:8">
      <c r="H12867" t="s">
        <v>19349</v>
      </c>
    </row>
    <row r="12868" spans="6:8">
      <c r="H12868" t="s">
        <v>20209</v>
      </c>
    </row>
    <row r="12869" spans="6:8">
      <c r="F12869" t="s">
        <v>12026</v>
      </c>
      <c r="G12869" t="s">
        <v>16267</v>
      </c>
      <c r="H12869" t="s">
        <v>20997</v>
      </c>
    </row>
    <row r="12870" spans="6:8">
      <c r="H12870" t="s">
        <v>18829</v>
      </c>
    </row>
    <row r="12871" spans="6:8">
      <c r="H12871" t="s">
        <v>18863</v>
      </c>
    </row>
    <row r="12872" spans="6:8">
      <c r="H12872" t="s">
        <v>20454</v>
      </c>
    </row>
    <row r="12873" spans="6:8">
      <c r="H12873" t="s">
        <v>19349</v>
      </c>
    </row>
    <row r="12874" spans="6:8">
      <c r="H12874" t="s">
        <v>20209</v>
      </c>
    </row>
    <row r="12875" spans="6:8">
      <c r="F12875" t="s">
        <v>12027</v>
      </c>
      <c r="G12875" t="s">
        <v>16268</v>
      </c>
      <c r="H12875" t="s">
        <v>20998</v>
      </c>
    </row>
    <row r="12876" spans="6:8">
      <c r="H12876" t="s">
        <v>18829</v>
      </c>
    </row>
    <row r="12877" spans="6:8">
      <c r="H12877" t="s">
        <v>18863</v>
      </c>
    </row>
    <row r="12878" spans="6:8">
      <c r="H12878" t="s">
        <v>20454</v>
      </c>
    </row>
    <row r="12879" spans="6:8">
      <c r="H12879" t="s">
        <v>19349</v>
      </c>
    </row>
    <row r="12880" spans="6:8">
      <c r="H12880" t="s">
        <v>20209</v>
      </c>
    </row>
    <row r="12881" spans="6:8">
      <c r="F12881" t="s">
        <v>12028</v>
      </c>
      <c r="G12881" t="s">
        <v>16269</v>
      </c>
      <c r="H12881" t="s">
        <v>20999</v>
      </c>
    </row>
    <row r="12882" spans="6:8">
      <c r="H12882" t="s">
        <v>18829</v>
      </c>
    </row>
    <row r="12883" spans="6:8">
      <c r="H12883" t="s">
        <v>18863</v>
      </c>
    </row>
    <row r="12884" spans="6:8">
      <c r="H12884" t="s">
        <v>20454</v>
      </c>
    </row>
    <row r="12885" spans="6:8">
      <c r="H12885" t="s">
        <v>19349</v>
      </c>
    </row>
    <row r="12886" spans="6:8">
      <c r="H12886" t="s">
        <v>20209</v>
      </c>
    </row>
    <row r="12887" spans="6:8">
      <c r="F12887" t="s">
        <v>12029</v>
      </c>
      <c r="G12887" t="s">
        <v>16270</v>
      </c>
      <c r="H12887" t="s">
        <v>21000</v>
      </c>
    </row>
    <row r="12888" spans="6:8">
      <c r="H12888" t="s">
        <v>18829</v>
      </c>
    </row>
    <row r="12889" spans="6:8">
      <c r="H12889" t="s">
        <v>18863</v>
      </c>
    </row>
    <row r="12890" spans="6:8">
      <c r="H12890" t="s">
        <v>20454</v>
      </c>
    </row>
    <row r="12891" spans="6:8">
      <c r="H12891" t="s">
        <v>19349</v>
      </c>
    </row>
    <row r="12892" spans="6:8">
      <c r="H12892" t="s">
        <v>20209</v>
      </c>
    </row>
    <row r="12893" spans="6:8">
      <c r="F12893" t="s">
        <v>12030</v>
      </c>
      <c r="G12893" t="s">
        <v>16271</v>
      </c>
      <c r="H12893" t="s">
        <v>21001</v>
      </c>
    </row>
    <row r="12894" spans="6:8">
      <c r="H12894" t="s">
        <v>18829</v>
      </c>
    </row>
    <row r="12895" spans="6:8">
      <c r="H12895" t="s">
        <v>18863</v>
      </c>
    </row>
    <row r="12896" spans="6:8">
      <c r="H12896" t="s">
        <v>20454</v>
      </c>
    </row>
    <row r="12897" spans="6:8">
      <c r="H12897" t="s">
        <v>19349</v>
      </c>
    </row>
    <row r="12898" spans="6:8">
      <c r="H12898" t="s">
        <v>20209</v>
      </c>
    </row>
    <row r="12899" spans="6:8">
      <c r="F12899" t="s">
        <v>12031</v>
      </c>
      <c r="G12899" t="s">
        <v>16272</v>
      </c>
      <c r="H12899" t="s">
        <v>21002</v>
      </c>
    </row>
    <row r="12900" spans="6:8">
      <c r="H12900" t="s">
        <v>18829</v>
      </c>
    </row>
    <row r="12901" spans="6:8">
      <c r="H12901" t="s">
        <v>18863</v>
      </c>
    </row>
    <row r="12902" spans="6:8">
      <c r="H12902" t="s">
        <v>20454</v>
      </c>
    </row>
    <row r="12903" spans="6:8">
      <c r="H12903" t="s">
        <v>19349</v>
      </c>
    </row>
    <row r="12904" spans="6:8">
      <c r="H12904" t="s">
        <v>20209</v>
      </c>
    </row>
    <row r="12905" spans="6:8">
      <c r="F12905" t="s">
        <v>12032</v>
      </c>
      <c r="G12905" t="s">
        <v>16273</v>
      </c>
      <c r="H12905" t="s">
        <v>21003</v>
      </c>
    </row>
    <row r="12906" spans="6:8">
      <c r="H12906" t="s">
        <v>18829</v>
      </c>
    </row>
    <row r="12907" spans="6:8">
      <c r="H12907" t="s">
        <v>18863</v>
      </c>
    </row>
    <row r="12908" spans="6:8">
      <c r="H12908" t="s">
        <v>20454</v>
      </c>
    </row>
    <row r="12909" spans="6:8">
      <c r="H12909" t="s">
        <v>19349</v>
      </c>
    </row>
    <row r="12910" spans="6:8">
      <c r="H12910" t="s">
        <v>20209</v>
      </c>
    </row>
    <row r="12911" spans="6:8">
      <c r="F12911" t="s">
        <v>12033</v>
      </c>
      <c r="G12911" t="s">
        <v>16274</v>
      </c>
      <c r="H12911" t="s">
        <v>21004</v>
      </c>
    </row>
    <row r="12912" spans="6:8">
      <c r="H12912" t="s">
        <v>18829</v>
      </c>
    </row>
    <row r="12913" spans="6:8">
      <c r="H12913" t="s">
        <v>18863</v>
      </c>
    </row>
    <row r="12914" spans="6:8">
      <c r="H12914" t="s">
        <v>20454</v>
      </c>
    </row>
    <row r="12915" spans="6:8">
      <c r="H12915" t="s">
        <v>19349</v>
      </c>
    </row>
    <row r="12916" spans="6:8">
      <c r="H12916" t="s">
        <v>20209</v>
      </c>
    </row>
    <row r="12917" spans="6:8">
      <c r="F12917" t="s">
        <v>12034</v>
      </c>
      <c r="G12917" t="s">
        <v>16275</v>
      </c>
      <c r="H12917" t="s">
        <v>21005</v>
      </c>
    </row>
    <row r="12918" spans="6:8">
      <c r="H12918" t="s">
        <v>18829</v>
      </c>
    </row>
    <row r="12919" spans="6:8">
      <c r="H12919" t="s">
        <v>18863</v>
      </c>
    </row>
    <row r="12920" spans="6:8">
      <c r="H12920" t="s">
        <v>20454</v>
      </c>
    </row>
    <row r="12921" spans="6:8">
      <c r="H12921" t="s">
        <v>19349</v>
      </c>
    </row>
    <row r="12922" spans="6:8">
      <c r="H12922" t="s">
        <v>20209</v>
      </c>
    </row>
    <row r="12923" spans="6:8">
      <c r="F12923" t="s">
        <v>12035</v>
      </c>
      <c r="G12923" t="s">
        <v>16276</v>
      </c>
      <c r="H12923" t="s">
        <v>21006</v>
      </c>
    </row>
    <row r="12924" spans="6:8">
      <c r="H12924" t="s">
        <v>18829</v>
      </c>
    </row>
    <row r="12925" spans="6:8">
      <c r="H12925" t="s">
        <v>18863</v>
      </c>
    </row>
    <row r="12926" spans="6:8">
      <c r="H12926" t="s">
        <v>20454</v>
      </c>
    </row>
    <row r="12927" spans="6:8">
      <c r="H12927" t="s">
        <v>19349</v>
      </c>
    </row>
    <row r="12928" spans="6:8">
      <c r="H12928" t="s">
        <v>20209</v>
      </c>
    </row>
    <row r="12929" spans="6:8">
      <c r="F12929" t="s">
        <v>12036</v>
      </c>
      <c r="G12929" t="s">
        <v>16277</v>
      </c>
      <c r="H12929" t="s">
        <v>21007</v>
      </c>
    </row>
    <row r="12930" spans="6:8">
      <c r="H12930" t="s">
        <v>18829</v>
      </c>
    </row>
    <row r="12931" spans="6:8">
      <c r="H12931" t="s">
        <v>18863</v>
      </c>
    </row>
    <row r="12932" spans="6:8">
      <c r="H12932" t="s">
        <v>20454</v>
      </c>
    </row>
    <row r="12933" spans="6:8">
      <c r="H12933" t="s">
        <v>19349</v>
      </c>
    </row>
    <row r="12934" spans="6:8">
      <c r="H12934" t="s">
        <v>20209</v>
      </c>
    </row>
    <row r="12935" spans="6:8">
      <c r="F12935" t="s">
        <v>12037</v>
      </c>
      <c r="G12935" t="s">
        <v>16278</v>
      </c>
      <c r="H12935" t="s">
        <v>21008</v>
      </c>
    </row>
    <row r="12936" spans="6:8">
      <c r="H12936" t="s">
        <v>18829</v>
      </c>
    </row>
    <row r="12937" spans="6:8">
      <c r="H12937" t="s">
        <v>18863</v>
      </c>
    </row>
    <row r="12938" spans="6:8">
      <c r="H12938" t="s">
        <v>20454</v>
      </c>
    </row>
    <row r="12939" spans="6:8">
      <c r="H12939" t="s">
        <v>19349</v>
      </c>
    </row>
    <row r="12940" spans="6:8">
      <c r="H12940" t="s">
        <v>20209</v>
      </c>
    </row>
    <row r="12941" spans="6:8">
      <c r="F12941" t="s">
        <v>12038</v>
      </c>
      <c r="G12941" t="s">
        <v>16279</v>
      </c>
      <c r="H12941" t="s">
        <v>21009</v>
      </c>
    </row>
    <row r="12942" spans="6:8">
      <c r="H12942" t="s">
        <v>18829</v>
      </c>
    </row>
    <row r="12943" spans="6:8">
      <c r="H12943" t="s">
        <v>18863</v>
      </c>
    </row>
    <row r="12944" spans="6:8">
      <c r="H12944" t="s">
        <v>20454</v>
      </c>
    </row>
    <row r="12945" spans="6:8">
      <c r="H12945" t="s">
        <v>19349</v>
      </c>
    </row>
    <row r="12946" spans="6:8">
      <c r="H12946" t="s">
        <v>20209</v>
      </c>
    </row>
    <row r="12947" spans="6:8">
      <c r="F12947" t="s">
        <v>12039</v>
      </c>
      <c r="G12947" t="s">
        <v>16280</v>
      </c>
      <c r="H12947" t="s">
        <v>21010</v>
      </c>
    </row>
    <row r="12948" spans="6:8">
      <c r="H12948" t="s">
        <v>18829</v>
      </c>
    </row>
    <row r="12949" spans="6:8">
      <c r="H12949" t="s">
        <v>18863</v>
      </c>
    </row>
    <row r="12950" spans="6:8">
      <c r="H12950" t="s">
        <v>20454</v>
      </c>
    </row>
    <row r="12951" spans="6:8">
      <c r="H12951" t="s">
        <v>19349</v>
      </c>
    </row>
    <row r="12952" spans="6:8">
      <c r="H12952" t="s">
        <v>20209</v>
      </c>
    </row>
    <row r="12953" spans="6:8">
      <c r="F12953" t="s">
        <v>12040</v>
      </c>
      <c r="G12953" t="s">
        <v>16281</v>
      </c>
      <c r="H12953" t="s">
        <v>21011</v>
      </c>
    </row>
    <row r="12954" spans="6:8">
      <c r="H12954" t="s">
        <v>18829</v>
      </c>
    </row>
    <row r="12955" spans="6:8">
      <c r="H12955" t="s">
        <v>18863</v>
      </c>
    </row>
    <row r="12956" spans="6:8">
      <c r="H12956" t="s">
        <v>20454</v>
      </c>
    </row>
    <row r="12957" spans="6:8">
      <c r="H12957" t="s">
        <v>19349</v>
      </c>
    </row>
    <row r="12958" spans="6:8">
      <c r="H12958" t="s">
        <v>20209</v>
      </c>
    </row>
    <row r="12959" spans="6:8">
      <c r="F12959" t="s">
        <v>12041</v>
      </c>
      <c r="G12959" t="s">
        <v>16282</v>
      </c>
      <c r="H12959" t="s">
        <v>21012</v>
      </c>
    </row>
    <row r="12960" spans="6:8">
      <c r="H12960" t="s">
        <v>18829</v>
      </c>
    </row>
    <row r="12961" spans="6:8">
      <c r="H12961" t="s">
        <v>18863</v>
      </c>
    </row>
    <row r="12962" spans="6:8">
      <c r="H12962" t="s">
        <v>20454</v>
      </c>
    </row>
    <row r="12963" spans="6:8">
      <c r="H12963" t="s">
        <v>19349</v>
      </c>
    </row>
    <row r="12964" spans="6:8">
      <c r="H12964" t="s">
        <v>20209</v>
      </c>
    </row>
    <row r="12965" spans="6:8">
      <c r="F12965" t="s">
        <v>12042</v>
      </c>
      <c r="G12965" t="s">
        <v>16283</v>
      </c>
      <c r="H12965" t="s">
        <v>21013</v>
      </c>
    </row>
    <row r="12966" spans="6:8">
      <c r="H12966" t="s">
        <v>18829</v>
      </c>
    </row>
    <row r="12967" spans="6:8">
      <c r="H12967" t="s">
        <v>18863</v>
      </c>
    </row>
    <row r="12968" spans="6:8">
      <c r="H12968" t="s">
        <v>20454</v>
      </c>
    </row>
    <row r="12969" spans="6:8">
      <c r="H12969" t="s">
        <v>19349</v>
      </c>
    </row>
    <row r="12970" spans="6:8">
      <c r="H12970" t="s">
        <v>20209</v>
      </c>
    </row>
    <row r="12971" spans="6:8">
      <c r="F12971" t="s">
        <v>12043</v>
      </c>
      <c r="G12971" t="s">
        <v>16284</v>
      </c>
      <c r="H12971" t="s">
        <v>21014</v>
      </c>
    </row>
    <row r="12972" spans="6:8">
      <c r="H12972" t="s">
        <v>18829</v>
      </c>
    </row>
    <row r="12973" spans="6:8">
      <c r="H12973" t="s">
        <v>18863</v>
      </c>
    </row>
    <row r="12974" spans="6:8">
      <c r="H12974" t="s">
        <v>20454</v>
      </c>
    </row>
    <row r="12975" spans="6:8">
      <c r="H12975" t="s">
        <v>19349</v>
      </c>
    </row>
    <row r="12976" spans="6:8">
      <c r="H12976" t="s">
        <v>20209</v>
      </c>
    </row>
    <row r="12977" spans="6:8">
      <c r="F12977" t="s">
        <v>12044</v>
      </c>
      <c r="G12977" t="s">
        <v>16285</v>
      </c>
      <c r="H12977" t="s">
        <v>21015</v>
      </c>
    </row>
    <row r="12978" spans="6:8">
      <c r="H12978" t="s">
        <v>18829</v>
      </c>
    </row>
    <row r="12979" spans="6:8">
      <c r="H12979" t="s">
        <v>18863</v>
      </c>
    </row>
    <row r="12980" spans="6:8">
      <c r="H12980" t="s">
        <v>20454</v>
      </c>
    </row>
    <row r="12981" spans="6:8">
      <c r="H12981" t="s">
        <v>19349</v>
      </c>
    </row>
    <row r="12982" spans="6:8">
      <c r="H12982" t="s">
        <v>20209</v>
      </c>
    </row>
    <row r="12983" spans="6:8">
      <c r="F12983" t="s">
        <v>12045</v>
      </c>
      <c r="G12983" t="s">
        <v>16286</v>
      </c>
      <c r="H12983" t="s">
        <v>21016</v>
      </c>
    </row>
    <row r="12984" spans="6:8">
      <c r="H12984" t="s">
        <v>18829</v>
      </c>
    </row>
    <row r="12985" spans="6:8">
      <c r="H12985" t="s">
        <v>18863</v>
      </c>
    </row>
    <row r="12986" spans="6:8">
      <c r="H12986" t="s">
        <v>20454</v>
      </c>
    </row>
    <row r="12987" spans="6:8">
      <c r="H12987" t="s">
        <v>19349</v>
      </c>
    </row>
    <row r="12988" spans="6:8">
      <c r="H12988" t="s">
        <v>20209</v>
      </c>
    </row>
    <row r="12989" spans="6:8">
      <c r="F12989" t="s">
        <v>12046</v>
      </c>
      <c r="G12989" t="s">
        <v>16287</v>
      </c>
      <c r="H12989" t="s">
        <v>21017</v>
      </c>
    </row>
    <row r="12990" spans="6:8">
      <c r="H12990" t="s">
        <v>18829</v>
      </c>
    </row>
    <row r="12991" spans="6:8">
      <c r="H12991" t="s">
        <v>18863</v>
      </c>
    </row>
    <row r="12992" spans="6:8">
      <c r="H12992" t="s">
        <v>20454</v>
      </c>
    </row>
    <row r="12993" spans="6:8">
      <c r="H12993" t="s">
        <v>19349</v>
      </c>
    </row>
    <row r="12994" spans="6:8">
      <c r="H12994" t="s">
        <v>20209</v>
      </c>
    </row>
    <row r="12995" spans="6:8">
      <c r="F12995" t="s">
        <v>12047</v>
      </c>
      <c r="G12995" t="s">
        <v>16288</v>
      </c>
      <c r="H12995" t="s">
        <v>21018</v>
      </c>
    </row>
    <row r="12996" spans="6:8">
      <c r="H12996" t="s">
        <v>18829</v>
      </c>
    </row>
    <row r="12997" spans="6:8">
      <c r="H12997" t="s">
        <v>18863</v>
      </c>
    </row>
    <row r="12998" spans="6:8">
      <c r="H12998" t="s">
        <v>20454</v>
      </c>
    </row>
    <row r="12999" spans="6:8">
      <c r="H12999" t="s">
        <v>19349</v>
      </c>
    </row>
    <row r="13000" spans="6:8">
      <c r="H13000" t="s">
        <v>20209</v>
      </c>
    </row>
    <row r="13001" spans="6:8">
      <c r="F13001" t="s">
        <v>12048</v>
      </c>
      <c r="G13001" t="s">
        <v>16289</v>
      </c>
      <c r="H13001" t="s">
        <v>21019</v>
      </c>
    </row>
    <row r="13002" spans="6:8">
      <c r="H13002" t="s">
        <v>18829</v>
      </c>
    </row>
    <row r="13003" spans="6:8">
      <c r="H13003" t="s">
        <v>18863</v>
      </c>
    </row>
    <row r="13004" spans="6:8">
      <c r="H13004" t="s">
        <v>20454</v>
      </c>
    </row>
    <row r="13005" spans="6:8">
      <c r="H13005" t="s">
        <v>19349</v>
      </c>
    </row>
    <row r="13006" spans="6:8">
      <c r="H13006" t="s">
        <v>20209</v>
      </c>
    </row>
    <row r="13007" spans="6:8">
      <c r="F13007" t="s">
        <v>12049</v>
      </c>
      <c r="G13007" t="s">
        <v>16290</v>
      </c>
      <c r="H13007" t="s">
        <v>21020</v>
      </c>
    </row>
    <row r="13008" spans="6:8">
      <c r="H13008" t="s">
        <v>18829</v>
      </c>
    </row>
    <row r="13009" spans="6:8">
      <c r="H13009" t="s">
        <v>18863</v>
      </c>
    </row>
    <row r="13010" spans="6:8">
      <c r="H13010" t="s">
        <v>20454</v>
      </c>
    </row>
    <row r="13011" spans="6:8">
      <c r="H13011" t="s">
        <v>19349</v>
      </c>
    </row>
    <row r="13012" spans="6:8">
      <c r="H13012" t="s">
        <v>20209</v>
      </c>
    </row>
    <row r="13013" spans="6:8">
      <c r="F13013" t="s">
        <v>12050</v>
      </c>
      <c r="G13013" t="s">
        <v>16291</v>
      </c>
      <c r="H13013" t="s">
        <v>21021</v>
      </c>
    </row>
    <row r="13014" spans="6:8">
      <c r="H13014" t="s">
        <v>18829</v>
      </c>
    </row>
    <row r="13015" spans="6:8">
      <c r="H13015" t="s">
        <v>18863</v>
      </c>
    </row>
    <row r="13016" spans="6:8">
      <c r="H13016" t="s">
        <v>20454</v>
      </c>
    </row>
    <row r="13017" spans="6:8">
      <c r="H13017" t="s">
        <v>19349</v>
      </c>
    </row>
    <row r="13018" spans="6:8">
      <c r="H13018" t="s">
        <v>20209</v>
      </c>
    </row>
    <row r="13019" spans="6:8">
      <c r="F13019" t="s">
        <v>12051</v>
      </c>
      <c r="G13019" t="s">
        <v>16292</v>
      </c>
      <c r="H13019" t="s">
        <v>21022</v>
      </c>
    </row>
    <row r="13020" spans="6:8">
      <c r="H13020" t="s">
        <v>18829</v>
      </c>
    </row>
    <row r="13021" spans="6:8">
      <c r="H13021" t="s">
        <v>18863</v>
      </c>
    </row>
    <row r="13022" spans="6:8">
      <c r="H13022" t="s">
        <v>20454</v>
      </c>
    </row>
    <row r="13023" spans="6:8">
      <c r="H13023" t="s">
        <v>19349</v>
      </c>
    </row>
    <row r="13024" spans="6:8">
      <c r="H13024" t="s">
        <v>20209</v>
      </c>
    </row>
    <row r="13025" spans="6:8">
      <c r="F13025" t="s">
        <v>12052</v>
      </c>
      <c r="G13025" t="s">
        <v>16293</v>
      </c>
      <c r="H13025" t="s">
        <v>21023</v>
      </c>
    </row>
    <row r="13026" spans="6:8">
      <c r="H13026" t="s">
        <v>18829</v>
      </c>
    </row>
    <row r="13027" spans="6:8">
      <c r="H13027" t="s">
        <v>18863</v>
      </c>
    </row>
    <row r="13028" spans="6:8">
      <c r="H13028" t="s">
        <v>20454</v>
      </c>
    </row>
    <row r="13029" spans="6:8">
      <c r="H13029" t="s">
        <v>19349</v>
      </c>
    </row>
    <row r="13030" spans="6:8">
      <c r="H13030" t="s">
        <v>20209</v>
      </c>
    </row>
    <row r="13031" spans="6:8">
      <c r="F13031" t="s">
        <v>12053</v>
      </c>
      <c r="G13031" t="s">
        <v>16294</v>
      </c>
      <c r="H13031" t="s">
        <v>21024</v>
      </c>
    </row>
    <row r="13032" spans="6:8">
      <c r="H13032" t="s">
        <v>18829</v>
      </c>
    </row>
    <row r="13033" spans="6:8">
      <c r="H13033" t="s">
        <v>18863</v>
      </c>
    </row>
    <row r="13034" spans="6:8">
      <c r="H13034" t="s">
        <v>20454</v>
      </c>
    </row>
    <row r="13035" spans="6:8">
      <c r="H13035" t="s">
        <v>19349</v>
      </c>
    </row>
    <row r="13036" spans="6:8">
      <c r="H13036" t="s">
        <v>20209</v>
      </c>
    </row>
    <row r="13037" spans="6:8">
      <c r="F13037" t="s">
        <v>12054</v>
      </c>
      <c r="G13037" t="s">
        <v>16295</v>
      </c>
      <c r="H13037" t="s">
        <v>21025</v>
      </c>
    </row>
    <row r="13038" spans="6:8">
      <c r="H13038" t="s">
        <v>18829</v>
      </c>
    </row>
    <row r="13039" spans="6:8">
      <c r="H13039" t="s">
        <v>18863</v>
      </c>
    </row>
    <row r="13040" spans="6:8">
      <c r="H13040" t="s">
        <v>20454</v>
      </c>
    </row>
    <row r="13041" spans="6:8">
      <c r="H13041" t="s">
        <v>19349</v>
      </c>
    </row>
    <row r="13042" spans="6:8">
      <c r="H13042" t="s">
        <v>20209</v>
      </c>
    </row>
    <row r="13043" spans="6:8">
      <c r="F13043" t="s">
        <v>12055</v>
      </c>
      <c r="G13043" t="s">
        <v>16296</v>
      </c>
      <c r="H13043" t="s">
        <v>21026</v>
      </c>
    </row>
    <row r="13044" spans="6:8">
      <c r="H13044" t="s">
        <v>18829</v>
      </c>
    </row>
    <row r="13045" spans="6:8">
      <c r="H13045" t="s">
        <v>18863</v>
      </c>
    </row>
    <row r="13046" spans="6:8">
      <c r="H13046" t="s">
        <v>20454</v>
      </c>
    </row>
    <row r="13047" spans="6:8">
      <c r="H13047" t="s">
        <v>19349</v>
      </c>
    </row>
    <row r="13048" spans="6:8">
      <c r="H13048" t="s">
        <v>20209</v>
      </c>
    </row>
    <row r="13049" spans="6:8">
      <c r="F13049" t="s">
        <v>12056</v>
      </c>
      <c r="G13049" t="s">
        <v>16297</v>
      </c>
      <c r="H13049" t="s">
        <v>21027</v>
      </c>
    </row>
    <row r="13050" spans="6:8">
      <c r="H13050" t="s">
        <v>18829</v>
      </c>
    </row>
    <row r="13051" spans="6:8">
      <c r="H13051" t="s">
        <v>18863</v>
      </c>
    </row>
    <row r="13052" spans="6:8">
      <c r="H13052" t="s">
        <v>20454</v>
      </c>
    </row>
    <row r="13053" spans="6:8">
      <c r="H13053" t="s">
        <v>19349</v>
      </c>
    </row>
    <row r="13054" spans="6:8">
      <c r="H13054" t="s">
        <v>20209</v>
      </c>
    </row>
    <row r="13055" spans="6:8">
      <c r="F13055" t="s">
        <v>12057</v>
      </c>
      <c r="G13055" t="s">
        <v>16298</v>
      </c>
      <c r="H13055" t="s">
        <v>21028</v>
      </c>
    </row>
    <row r="13056" spans="6:8">
      <c r="H13056" t="s">
        <v>18829</v>
      </c>
    </row>
    <row r="13057" spans="6:8">
      <c r="H13057" t="s">
        <v>18863</v>
      </c>
    </row>
    <row r="13058" spans="6:8">
      <c r="H13058" t="s">
        <v>20454</v>
      </c>
    </row>
    <row r="13059" spans="6:8">
      <c r="H13059" t="s">
        <v>19349</v>
      </c>
    </row>
    <row r="13060" spans="6:8">
      <c r="H13060" t="s">
        <v>20209</v>
      </c>
    </row>
    <row r="13061" spans="6:8">
      <c r="F13061" t="s">
        <v>12058</v>
      </c>
      <c r="G13061" t="s">
        <v>16299</v>
      </c>
      <c r="H13061" t="s">
        <v>21029</v>
      </c>
    </row>
    <row r="13062" spans="6:8">
      <c r="H13062" t="s">
        <v>18829</v>
      </c>
    </row>
    <row r="13063" spans="6:8">
      <c r="H13063" t="s">
        <v>18863</v>
      </c>
    </row>
    <row r="13064" spans="6:8">
      <c r="H13064" t="s">
        <v>20454</v>
      </c>
    </row>
    <row r="13065" spans="6:8">
      <c r="H13065" t="s">
        <v>19349</v>
      </c>
    </row>
    <row r="13066" spans="6:8">
      <c r="H13066" t="s">
        <v>20209</v>
      </c>
    </row>
    <row r="13067" spans="6:8">
      <c r="F13067" t="s">
        <v>12059</v>
      </c>
      <c r="G13067" t="s">
        <v>16300</v>
      </c>
      <c r="H13067" t="s">
        <v>21030</v>
      </c>
    </row>
    <row r="13068" spans="6:8">
      <c r="H13068" t="s">
        <v>18829</v>
      </c>
    </row>
    <row r="13069" spans="6:8">
      <c r="H13069" t="s">
        <v>18863</v>
      </c>
    </row>
    <row r="13070" spans="6:8">
      <c r="H13070" t="s">
        <v>20454</v>
      </c>
    </row>
    <row r="13071" spans="6:8">
      <c r="H13071" t="s">
        <v>19349</v>
      </c>
    </row>
    <row r="13072" spans="6:8">
      <c r="H13072" t="s">
        <v>20209</v>
      </c>
    </row>
    <row r="13073" spans="6:8">
      <c r="F13073" t="s">
        <v>12060</v>
      </c>
      <c r="G13073" t="s">
        <v>16301</v>
      </c>
      <c r="H13073" t="s">
        <v>21031</v>
      </c>
    </row>
    <row r="13074" spans="6:8">
      <c r="H13074" t="s">
        <v>18829</v>
      </c>
    </row>
    <row r="13075" spans="6:8">
      <c r="H13075" t="s">
        <v>18863</v>
      </c>
    </row>
    <row r="13076" spans="6:8">
      <c r="H13076" t="s">
        <v>20454</v>
      </c>
    </row>
    <row r="13077" spans="6:8">
      <c r="H13077" t="s">
        <v>19349</v>
      </c>
    </row>
    <row r="13078" spans="6:8">
      <c r="H13078" t="s">
        <v>20209</v>
      </c>
    </row>
    <row r="13079" spans="6:8">
      <c r="F13079" t="s">
        <v>12061</v>
      </c>
      <c r="G13079" t="s">
        <v>16302</v>
      </c>
      <c r="H13079" t="s">
        <v>21032</v>
      </c>
    </row>
    <row r="13080" spans="6:8">
      <c r="H13080" t="s">
        <v>18829</v>
      </c>
    </row>
    <row r="13081" spans="6:8">
      <c r="H13081" t="s">
        <v>18863</v>
      </c>
    </row>
    <row r="13082" spans="6:8">
      <c r="H13082" t="s">
        <v>20454</v>
      </c>
    </row>
    <row r="13083" spans="6:8">
      <c r="H13083" t="s">
        <v>19349</v>
      </c>
    </row>
    <row r="13084" spans="6:8">
      <c r="H13084" t="s">
        <v>20209</v>
      </c>
    </row>
    <row r="13085" spans="6:8">
      <c r="F13085" t="s">
        <v>12062</v>
      </c>
      <c r="G13085" t="s">
        <v>16303</v>
      </c>
      <c r="H13085" t="s">
        <v>21033</v>
      </c>
    </row>
    <row r="13086" spans="6:8">
      <c r="H13086" t="s">
        <v>18829</v>
      </c>
    </row>
    <row r="13087" spans="6:8">
      <c r="H13087" t="s">
        <v>18863</v>
      </c>
    </row>
    <row r="13088" spans="6:8">
      <c r="H13088" t="s">
        <v>20454</v>
      </c>
    </row>
    <row r="13089" spans="6:8">
      <c r="H13089" t="s">
        <v>19349</v>
      </c>
    </row>
    <row r="13090" spans="6:8">
      <c r="H13090" t="s">
        <v>20209</v>
      </c>
    </row>
    <row r="13091" spans="6:8">
      <c r="F13091" t="s">
        <v>12063</v>
      </c>
      <c r="G13091" t="s">
        <v>16304</v>
      </c>
      <c r="H13091" t="s">
        <v>21034</v>
      </c>
    </row>
    <row r="13092" spans="6:8">
      <c r="H13092" t="s">
        <v>18829</v>
      </c>
    </row>
    <row r="13093" spans="6:8">
      <c r="H13093" t="s">
        <v>18863</v>
      </c>
    </row>
    <row r="13094" spans="6:8">
      <c r="H13094" t="s">
        <v>20454</v>
      </c>
    </row>
    <row r="13095" spans="6:8">
      <c r="H13095" t="s">
        <v>19349</v>
      </c>
    </row>
    <row r="13096" spans="6:8">
      <c r="H13096" t="s">
        <v>20209</v>
      </c>
    </row>
    <row r="13097" spans="6:8">
      <c r="F13097" t="s">
        <v>12064</v>
      </c>
      <c r="G13097" t="s">
        <v>16305</v>
      </c>
      <c r="H13097" t="s">
        <v>21035</v>
      </c>
    </row>
    <row r="13098" spans="6:8">
      <c r="H13098" t="s">
        <v>18829</v>
      </c>
    </row>
    <row r="13099" spans="6:8">
      <c r="H13099" t="s">
        <v>18863</v>
      </c>
    </row>
    <row r="13100" spans="6:8">
      <c r="H13100" t="s">
        <v>20454</v>
      </c>
    </row>
    <row r="13101" spans="6:8">
      <c r="H13101" t="s">
        <v>19349</v>
      </c>
    </row>
    <row r="13102" spans="6:8">
      <c r="H13102" t="s">
        <v>20209</v>
      </c>
    </row>
    <row r="13103" spans="6:8">
      <c r="F13103" t="s">
        <v>12065</v>
      </c>
      <c r="G13103" t="s">
        <v>16306</v>
      </c>
      <c r="H13103" t="s">
        <v>21036</v>
      </c>
    </row>
    <row r="13104" spans="6:8">
      <c r="H13104" t="s">
        <v>18829</v>
      </c>
    </row>
    <row r="13105" spans="6:8">
      <c r="H13105" t="s">
        <v>18863</v>
      </c>
    </row>
    <row r="13106" spans="6:8">
      <c r="H13106" t="s">
        <v>20454</v>
      </c>
    </row>
    <row r="13107" spans="6:8">
      <c r="H13107" t="s">
        <v>19349</v>
      </c>
    </row>
    <row r="13108" spans="6:8">
      <c r="H13108" t="s">
        <v>20209</v>
      </c>
    </row>
    <row r="13109" spans="6:8">
      <c r="F13109" t="s">
        <v>12066</v>
      </c>
      <c r="G13109" t="s">
        <v>16307</v>
      </c>
      <c r="H13109" t="s">
        <v>21037</v>
      </c>
    </row>
    <row r="13110" spans="6:8">
      <c r="H13110" t="s">
        <v>18829</v>
      </c>
    </row>
    <row r="13111" spans="6:8">
      <c r="H13111" t="s">
        <v>18863</v>
      </c>
    </row>
    <row r="13112" spans="6:8">
      <c r="H13112" t="s">
        <v>20454</v>
      </c>
    </row>
    <row r="13113" spans="6:8">
      <c r="H13113" t="s">
        <v>19349</v>
      </c>
    </row>
    <row r="13114" spans="6:8">
      <c r="H13114" t="s">
        <v>20209</v>
      </c>
    </row>
    <row r="13115" spans="6:8">
      <c r="F13115" t="s">
        <v>12067</v>
      </c>
      <c r="G13115" t="s">
        <v>16308</v>
      </c>
      <c r="H13115" t="s">
        <v>21038</v>
      </c>
    </row>
    <row r="13116" spans="6:8">
      <c r="H13116" t="s">
        <v>18829</v>
      </c>
    </row>
    <row r="13117" spans="6:8">
      <c r="H13117" t="s">
        <v>18863</v>
      </c>
    </row>
    <row r="13118" spans="6:8">
      <c r="H13118" t="s">
        <v>20454</v>
      </c>
    </row>
    <row r="13119" spans="6:8">
      <c r="H13119" t="s">
        <v>19349</v>
      </c>
    </row>
    <row r="13120" spans="6:8">
      <c r="H13120" t="s">
        <v>20209</v>
      </c>
    </row>
    <row r="13121" spans="6:8">
      <c r="F13121" t="s">
        <v>12068</v>
      </c>
      <c r="G13121" t="s">
        <v>16309</v>
      </c>
      <c r="H13121" t="s">
        <v>21039</v>
      </c>
    </row>
    <row r="13122" spans="6:8">
      <c r="H13122" t="s">
        <v>18829</v>
      </c>
    </row>
    <row r="13123" spans="6:8">
      <c r="H13123" t="s">
        <v>18863</v>
      </c>
    </row>
    <row r="13124" spans="6:8">
      <c r="H13124" t="s">
        <v>20454</v>
      </c>
    </row>
    <row r="13125" spans="6:8">
      <c r="H13125" t="s">
        <v>19349</v>
      </c>
    </row>
    <row r="13126" spans="6:8">
      <c r="H13126" t="s">
        <v>20209</v>
      </c>
    </row>
    <row r="13127" spans="6:8">
      <c r="F13127" t="s">
        <v>12069</v>
      </c>
      <c r="G13127" t="s">
        <v>16310</v>
      </c>
      <c r="H13127" t="s">
        <v>21040</v>
      </c>
    </row>
    <row r="13128" spans="6:8">
      <c r="H13128" t="s">
        <v>18829</v>
      </c>
    </row>
    <row r="13129" spans="6:8">
      <c r="H13129" t="s">
        <v>18863</v>
      </c>
    </row>
    <row r="13130" spans="6:8">
      <c r="H13130" t="s">
        <v>20454</v>
      </c>
    </row>
    <row r="13131" spans="6:8">
      <c r="H13131" t="s">
        <v>19349</v>
      </c>
    </row>
    <row r="13132" spans="6:8">
      <c r="H13132" t="s">
        <v>20209</v>
      </c>
    </row>
    <row r="13133" spans="6:8">
      <c r="F13133" t="s">
        <v>12070</v>
      </c>
      <c r="G13133" t="s">
        <v>16311</v>
      </c>
      <c r="H13133" t="s">
        <v>21041</v>
      </c>
    </row>
    <row r="13134" spans="6:8">
      <c r="H13134" t="s">
        <v>18829</v>
      </c>
    </row>
    <row r="13135" spans="6:8">
      <c r="H13135" t="s">
        <v>18863</v>
      </c>
    </row>
    <row r="13136" spans="6:8">
      <c r="H13136" t="s">
        <v>20454</v>
      </c>
    </row>
    <row r="13137" spans="6:8">
      <c r="H13137" t="s">
        <v>19349</v>
      </c>
    </row>
    <row r="13138" spans="6:8">
      <c r="H13138" t="s">
        <v>20209</v>
      </c>
    </row>
    <row r="13139" spans="6:8">
      <c r="F13139" t="s">
        <v>12071</v>
      </c>
      <c r="G13139" t="s">
        <v>16312</v>
      </c>
      <c r="H13139" t="s">
        <v>21042</v>
      </c>
    </row>
    <row r="13140" spans="6:8">
      <c r="H13140" t="s">
        <v>18829</v>
      </c>
    </row>
    <row r="13141" spans="6:8">
      <c r="H13141" t="s">
        <v>18863</v>
      </c>
    </row>
    <row r="13142" spans="6:8">
      <c r="H13142" t="s">
        <v>20454</v>
      </c>
    </row>
    <row r="13143" spans="6:8">
      <c r="H13143" t="s">
        <v>19349</v>
      </c>
    </row>
    <row r="13144" spans="6:8">
      <c r="H13144" t="s">
        <v>20209</v>
      </c>
    </row>
    <row r="13145" spans="6:8">
      <c r="F13145" t="s">
        <v>12072</v>
      </c>
      <c r="G13145" t="s">
        <v>16313</v>
      </c>
      <c r="H13145" t="s">
        <v>21043</v>
      </c>
    </row>
    <row r="13146" spans="6:8">
      <c r="H13146" t="s">
        <v>18829</v>
      </c>
    </row>
    <row r="13147" spans="6:8">
      <c r="H13147" t="s">
        <v>18863</v>
      </c>
    </row>
    <row r="13148" spans="6:8">
      <c r="H13148" t="s">
        <v>20454</v>
      </c>
    </row>
    <row r="13149" spans="6:8">
      <c r="H13149" t="s">
        <v>19349</v>
      </c>
    </row>
    <row r="13150" spans="6:8">
      <c r="H13150" t="s">
        <v>20209</v>
      </c>
    </row>
    <row r="13151" spans="6:8">
      <c r="F13151" t="s">
        <v>12073</v>
      </c>
      <c r="G13151" t="s">
        <v>16314</v>
      </c>
      <c r="H13151" t="s">
        <v>21044</v>
      </c>
    </row>
    <row r="13152" spans="6:8">
      <c r="H13152" t="s">
        <v>18829</v>
      </c>
    </row>
    <row r="13153" spans="6:8">
      <c r="H13153" t="s">
        <v>18863</v>
      </c>
    </row>
    <row r="13154" spans="6:8">
      <c r="H13154" t="s">
        <v>20454</v>
      </c>
    </row>
    <row r="13155" spans="6:8">
      <c r="H13155" t="s">
        <v>19349</v>
      </c>
    </row>
    <row r="13156" spans="6:8">
      <c r="H13156" t="s">
        <v>20209</v>
      </c>
    </row>
    <row r="13157" spans="6:8">
      <c r="F13157" t="s">
        <v>12074</v>
      </c>
      <c r="G13157" t="s">
        <v>16315</v>
      </c>
      <c r="H13157" t="s">
        <v>21045</v>
      </c>
    </row>
    <row r="13158" spans="6:8">
      <c r="H13158" t="s">
        <v>18829</v>
      </c>
    </row>
    <row r="13159" spans="6:8">
      <c r="H13159" t="s">
        <v>18863</v>
      </c>
    </row>
    <row r="13160" spans="6:8">
      <c r="H13160" t="s">
        <v>20454</v>
      </c>
    </row>
    <row r="13161" spans="6:8">
      <c r="H13161" t="s">
        <v>19349</v>
      </c>
    </row>
    <row r="13162" spans="6:8">
      <c r="H13162" t="s">
        <v>20209</v>
      </c>
    </row>
    <row r="13163" spans="6:8">
      <c r="F13163" t="s">
        <v>12075</v>
      </c>
      <c r="G13163" t="s">
        <v>16316</v>
      </c>
      <c r="H13163" t="s">
        <v>21046</v>
      </c>
    </row>
    <row r="13164" spans="6:8">
      <c r="H13164" t="s">
        <v>18829</v>
      </c>
    </row>
    <row r="13165" spans="6:8">
      <c r="H13165" t="s">
        <v>18863</v>
      </c>
    </row>
    <row r="13166" spans="6:8">
      <c r="H13166" t="s">
        <v>20454</v>
      </c>
    </row>
    <row r="13167" spans="6:8">
      <c r="H13167" t="s">
        <v>19349</v>
      </c>
    </row>
    <row r="13168" spans="6:8">
      <c r="H13168" t="s">
        <v>20209</v>
      </c>
    </row>
    <row r="13169" spans="6:8">
      <c r="F13169" t="s">
        <v>12076</v>
      </c>
      <c r="G13169" t="s">
        <v>16317</v>
      </c>
      <c r="H13169" t="s">
        <v>21047</v>
      </c>
    </row>
    <row r="13170" spans="6:8">
      <c r="H13170" t="s">
        <v>18829</v>
      </c>
    </row>
    <row r="13171" spans="6:8">
      <c r="H13171" t="s">
        <v>18863</v>
      </c>
    </row>
    <row r="13172" spans="6:8">
      <c r="H13172" t="s">
        <v>20454</v>
      </c>
    </row>
    <row r="13173" spans="6:8">
      <c r="H13173" t="s">
        <v>19349</v>
      </c>
    </row>
    <row r="13174" spans="6:8">
      <c r="H13174" t="s">
        <v>20209</v>
      </c>
    </row>
    <row r="13175" spans="6:8">
      <c r="F13175" t="s">
        <v>12077</v>
      </c>
      <c r="G13175" t="s">
        <v>16318</v>
      </c>
      <c r="H13175" t="s">
        <v>21048</v>
      </c>
    </row>
    <row r="13176" spans="6:8">
      <c r="H13176" t="s">
        <v>18829</v>
      </c>
    </row>
    <row r="13177" spans="6:8">
      <c r="H13177" t="s">
        <v>18863</v>
      </c>
    </row>
    <row r="13178" spans="6:8">
      <c r="H13178" t="s">
        <v>20454</v>
      </c>
    </row>
    <row r="13179" spans="6:8">
      <c r="H13179" t="s">
        <v>19349</v>
      </c>
    </row>
    <row r="13180" spans="6:8">
      <c r="H13180" t="s">
        <v>20209</v>
      </c>
    </row>
    <row r="13181" spans="6:8">
      <c r="F13181" t="s">
        <v>12078</v>
      </c>
      <c r="G13181" t="s">
        <v>16319</v>
      </c>
      <c r="H13181" t="s">
        <v>21049</v>
      </c>
    </row>
    <row r="13182" spans="6:8">
      <c r="H13182" t="s">
        <v>18829</v>
      </c>
    </row>
    <row r="13183" spans="6:8">
      <c r="H13183" t="s">
        <v>18863</v>
      </c>
    </row>
    <row r="13184" spans="6:8">
      <c r="H13184" t="s">
        <v>20454</v>
      </c>
    </row>
    <row r="13185" spans="6:8">
      <c r="H13185" t="s">
        <v>19349</v>
      </c>
    </row>
    <row r="13186" spans="6:8">
      <c r="H13186" t="s">
        <v>20209</v>
      </c>
    </row>
    <row r="13187" spans="6:8">
      <c r="F13187" t="s">
        <v>12079</v>
      </c>
      <c r="G13187" t="s">
        <v>16320</v>
      </c>
      <c r="H13187" t="s">
        <v>21050</v>
      </c>
    </row>
    <row r="13188" spans="6:8">
      <c r="H13188" t="s">
        <v>18829</v>
      </c>
    </row>
    <row r="13189" spans="6:8">
      <c r="H13189" t="s">
        <v>18863</v>
      </c>
    </row>
    <row r="13190" spans="6:8">
      <c r="H13190" t="s">
        <v>20454</v>
      </c>
    </row>
    <row r="13191" spans="6:8">
      <c r="H13191" t="s">
        <v>19349</v>
      </c>
    </row>
    <row r="13192" spans="6:8">
      <c r="H13192" t="s">
        <v>20209</v>
      </c>
    </row>
    <row r="13193" spans="6:8">
      <c r="F13193" t="s">
        <v>12080</v>
      </c>
      <c r="G13193" t="s">
        <v>16321</v>
      </c>
      <c r="H13193" t="s">
        <v>21051</v>
      </c>
    </row>
    <row r="13194" spans="6:8">
      <c r="H13194" t="s">
        <v>18829</v>
      </c>
    </row>
    <row r="13195" spans="6:8">
      <c r="H13195" t="s">
        <v>18863</v>
      </c>
    </row>
    <row r="13196" spans="6:8">
      <c r="H13196" t="s">
        <v>20454</v>
      </c>
    </row>
    <row r="13197" spans="6:8">
      <c r="H13197" t="s">
        <v>19349</v>
      </c>
    </row>
    <row r="13198" spans="6:8">
      <c r="H13198" t="s">
        <v>20209</v>
      </c>
    </row>
    <row r="13199" spans="6:8">
      <c r="F13199" t="s">
        <v>12081</v>
      </c>
      <c r="G13199" t="s">
        <v>16322</v>
      </c>
      <c r="H13199" t="s">
        <v>21052</v>
      </c>
    </row>
    <row r="13200" spans="6:8">
      <c r="H13200" t="s">
        <v>18829</v>
      </c>
    </row>
    <row r="13201" spans="6:8">
      <c r="H13201" t="s">
        <v>18863</v>
      </c>
    </row>
    <row r="13202" spans="6:8">
      <c r="H13202" t="s">
        <v>20454</v>
      </c>
    </row>
    <row r="13203" spans="6:8">
      <c r="H13203" t="s">
        <v>19349</v>
      </c>
    </row>
    <row r="13204" spans="6:8">
      <c r="H13204" t="s">
        <v>20209</v>
      </c>
    </row>
    <row r="13205" spans="6:8">
      <c r="F13205" t="s">
        <v>12082</v>
      </c>
      <c r="G13205" t="s">
        <v>16323</v>
      </c>
      <c r="H13205" t="s">
        <v>21053</v>
      </c>
    </row>
    <row r="13206" spans="6:8">
      <c r="H13206" t="s">
        <v>18829</v>
      </c>
    </row>
    <row r="13207" spans="6:8">
      <c r="H13207" t="s">
        <v>18863</v>
      </c>
    </row>
    <row r="13208" spans="6:8">
      <c r="H13208" t="s">
        <v>20454</v>
      </c>
    </row>
    <row r="13209" spans="6:8">
      <c r="H13209" t="s">
        <v>19349</v>
      </c>
    </row>
    <row r="13210" spans="6:8">
      <c r="H13210" t="s">
        <v>20209</v>
      </c>
    </row>
    <row r="13211" spans="6:8">
      <c r="F13211" t="s">
        <v>12083</v>
      </c>
      <c r="G13211" t="s">
        <v>16324</v>
      </c>
      <c r="H13211" t="s">
        <v>21054</v>
      </c>
    </row>
    <row r="13212" spans="6:8">
      <c r="H13212" t="s">
        <v>18829</v>
      </c>
    </row>
    <row r="13213" spans="6:8">
      <c r="H13213" t="s">
        <v>18863</v>
      </c>
    </row>
    <row r="13214" spans="6:8">
      <c r="H13214" t="s">
        <v>20454</v>
      </c>
    </row>
    <row r="13215" spans="6:8">
      <c r="H13215" t="s">
        <v>19349</v>
      </c>
    </row>
    <row r="13216" spans="6:8">
      <c r="H13216" t="s">
        <v>20209</v>
      </c>
    </row>
    <row r="13217" spans="6:8">
      <c r="F13217" t="s">
        <v>12084</v>
      </c>
      <c r="G13217" t="s">
        <v>16325</v>
      </c>
      <c r="H13217" t="s">
        <v>21055</v>
      </c>
    </row>
    <row r="13218" spans="6:8">
      <c r="H13218" t="s">
        <v>18829</v>
      </c>
    </row>
    <row r="13219" spans="6:8">
      <c r="H13219" t="s">
        <v>18863</v>
      </c>
    </row>
    <row r="13220" spans="6:8">
      <c r="H13220" t="s">
        <v>20454</v>
      </c>
    </row>
    <row r="13221" spans="6:8">
      <c r="H13221" t="s">
        <v>19349</v>
      </c>
    </row>
    <row r="13222" spans="6:8">
      <c r="H13222" t="s">
        <v>20209</v>
      </c>
    </row>
    <row r="13223" spans="6:8">
      <c r="F13223" t="s">
        <v>12085</v>
      </c>
      <c r="G13223" t="s">
        <v>16326</v>
      </c>
      <c r="H13223" t="s">
        <v>21056</v>
      </c>
    </row>
    <row r="13224" spans="6:8">
      <c r="H13224" t="s">
        <v>18829</v>
      </c>
    </row>
    <row r="13225" spans="6:8">
      <c r="H13225" t="s">
        <v>18863</v>
      </c>
    </row>
    <row r="13226" spans="6:8">
      <c r="H13226" t="s">
        <v>20454</v>
      </c>
    </row>
    <row r="13227" spans="6:8">
      <c r="H13227" t="s">
        <v>19349</v>
      </c>
    </row>
    <row r="13228" spans="6:8">
      <c r="H13228" t="s">
        <v>20209</v>
      </c>
    </row>
    <row r="13229" spans="6:8">
      <c r="F13229" t="s">
        <v>12086</v>
      </c>
      <c r="G13229" t="s">
        <v>16327</v>
      </c>
      <c r="H13229" t="s">
        <v>21057</v>
      </c>
    </row>
    <row r="13230" spans="6:8">
      <c r="H13230" t="s">
        <v>18829</v>
      </c>
    </row>
    <row r="13231" spans="6:8">
      <c r="H13231" t="s">
        <v>18863</v>
      </c>
    </row>
    <row r="13232" spans="6:8">
      <c r="H13232" t="s">
        <v>20454</v>
      </c>
    </row>
    <row r="13233" spans="6:8">
      <c r="H13233" t="s">
        <v>19349</v>
      </c>
    </row>
    <row r="13234" spans="6:8">
      <c r="H13234" t="s">
        <v>20209</v>
      </c>
    </row>
    <row r="13235" spans="6:8">
      <c r="F13235" t="s">
        <v>12087</v>
      </c>
      <c r="G13235" t="s">
        <v>16328</v>
      </c>
      <c r="H13235" t="s">
        <v>21058</v>
      </c>
    </row>
    <row r="13236" spans="6:8">
      <c r="H13236" t="s">
        <v>18829</v>
      </c>
    </row>
    <row r="13237" spans="6:8">
      <c r="H13237" t="s">
        <v>18863</v>
      </c>
    </row>
    <row r="13238" spans="6:8">
      <c r="H13238" t="s">
        <v>20454</v>
      </c>
    </row>
    <row r="13239" spans="6:8">
      <c r="H13239" t="s">
        <v>19349</v>
      </c>
    </row>
    <row r="13240" spans="6:8">
      <c r="H13240" t="s">
        <v>20209</v>
      </c>
    </row>
    <row r="13241" spans="6:8">
      <c r="F13241" t="s">
        <v>12088</v>
      </c>
      <c r="G13241" t="s">
        <v>16329</v>
      </c>
      <c r="H13241" t="s">
        <v>21059</v>
      </c>
    </row>
    <row r="13242" spans="6:8">
      <c r="H13242" t="s">
        <v>18829</v>
      </c>
    </row>
    <row r="13243" spans="6:8">
      <c r="H13243" t="s">
        <v>18863</v>
      </c>
    </row>
    <row r="13244" spans="6:8">
      <c r="H13244" t="s">
        <v>20454</v>
      </c>
    </row>
    <row r="13245" spans="6:8">
      <c r="H13245" t="s">
        <v>19349</v>
      </c>
    </row>
    <row r="13246" spans="6:8">
      <c r="H13246" t="s">
        <v>20209</v>
      </c>
    </row>
    <row r="13247" spans="6:8">
      <c r="F13247" t="s">
        <v>12089</v>
      </c>
      <c r="G13247" t="s">
        <v>16330</v>
      </c>
      <c r="H13247" t="s">
        <v>21060</v>
      </c>
    </row>
    <row r="13248" spans="6:8">
      <c r="H13248" t="s">
        <v>18829</v>
      </c>
    </row>
    <row r="13249" spans="6:8">
      <c r="H13249" t="s">
        <v>18863</v>
      </c>
    </row>
    <row r="13250" spans="6:8">
      <c r="H13250" t="s">
        <v>20454</v>
      </c>
    </row>
    <row r="13251" spans="6:8">
      <c r="H13251" t="s">
        <v>19349</v>
      </c>
    </row>
    <row r="13252" spans="6:8">
      <c r="H13252" t="s">
        <v>20209</v>
      </c>
    </row>
    <row r="13253" spans="6:8">
      <c r="F13253" t="s">
        <v>12090</v>
      </c>
      <c r="G13253" t="s">
        <v>16331</v>
      </c>
      <c r="H13253" t="s">
        <v>21061</v>
      </c>
    </row>
    <row r="13254" spans="6:8">
      <c r="H13254" t="s">
        <v>18829</v>
      </c>
    </row>
    <row r="13255" spans="6:8">
      <c r="H13255" t="s">
        <v>18863</v>
      </c>
    </row>
    <row r="13256" spans="6:8">
      <c r="H13256" t="s">
        <v>20454</v>
      </c>
    </row>
    <row r="13257" spans="6:8">
      <c r="H13257" t="s">
        <v>19349</v>
      </c>
    </row>
    <row r="13258" spans="6:8">
      <c r="H13258" t="s">
        <v>20209</v>
      </c>
    </row>
    <row r="13259" spans="6:8">
      <c r="F13259" t="s">
        <v>12091</v>
      </c>
      <c r="G13259" t="s">
        <v>16332</v>
      </c>
      <c r="H13259" t="s">
        <v>21062</v>
      </c>
    </row>
    <row r="13260" spans="6:8">
      <c r="H13260" t="s">
        <v>18829</v>
      </c>
    </row>
    <row r="13261" spans="6:8">
      <c r="H13261" t="s">
        <v>18863</v>
      </c>
    </row>
    <row r="13262" spans="6:8">
      <c r="H13262" t="s">
        <v>20454</v>
      </c>
    </row>
    <row r="13263" spans="6:8">
      <c r="H13263" t="s">
        <v>19349</v>
      </c>
    </row>
    <row r="13264" spans="6:8">
      <c r="H13264" t="s">
        <v>20209</v>
      </c>
    </row>
    <row r="13265" spans="6:8">
      <c r="F13265" t="s">
        <v>12092</v>
      </c>
      <c r="G13265" t="s">
        <v>16333</v>
      </c>
      <c r="H13265" t="s">
        <v>21063</v>
      </c>
    </row>
    <row r="13266" spans="6:8">
      <c r="H13266" t="s">
        <v>18829</v>
      </c>
    </row>
    <row r="13267" spans="6:8">
      <c r="H13267" t="s">
        <v>18863</v>
      </c>
    </row>
    <row r="13268" spans="6:8">
      <c r="H13268" t="s">
        <v>20454</v>
      </c>
    </row>
    <row r="13269" spans="6:8">
      <c r="H13269" t="s">
        <v>19349</v>
      </c>
    </row>
    <row r="13270" spans="6:8">
      <c r="H13270" t="s">
        <v>20209</v>
      </c>
    </row>
    <row r="13271" spans="6:8">
      <c r="F13271" t="s">
        <v>12093</v>
      </c>
      <c r="G13271" t="s">
        <v>16334</v>
      </c>
      <c r="H13271" t="s">
        <v>21064</v>
      </c>
    </row>
    <row r="13272" spans="6:8">
      <c r="H13272" t="s">
        <v>18829</v>
      </c>
    </row>
    <row r="13273" spans="6:8">
      <c r="H13273" t="s">
        <v>18863</v>
      </c>
    </row>
    <row r="13274" spans="6:8">
      <c r="H13274" t="s">
        <v>20454</v>
      </c>
    </row>
    <row r="13275" spans="6:8">
      <c r="H13275" t="s">
        <v>19349</v>
      </c>
    </row>
    <row r="13276" spans="6:8">
      <c r="H13276" t="s">
        <v>20209</v>
      </c>
    </row>
    <row r="13277" spans="6:8">
      <c r="F13277" t="s">
        <v>12094</v>
      </c>
      <c r="G13277" t="s">
        <v>16335</v>
      </c>
      <c r="H13277" t="s">
        <v>21065</v>
      </c>
    </row>
    <row r="13278" spans="6:8">
      <c r="H13278" t="s">
        <v>18829</v>
      </c>
    </row>
    <row r="13279" spans="6:8">
      <c r="H13279" t="s">
        <v>18863</v>
      </c>
    </row>
    <row r="13280" spans="6:8">
      <c r="H13280" t="s">
        <v>20454</v>
      </c>
    </row>
    <row r="13281" spans="6:8">
      <c r="H13281" t="s">
        <v>19349</v>
      </c>
    </row>
    <row r="13282" spans="6:8">
      <c r="H13282" t="s">
        <v>20209</v>
      </c>
    </row>
    <row r="13283" spans="6:8">
      <c r="F13283" t="s">
        <v>12095</v>
      </c>
      <c r="G13283" t="s">
        <v>16336</v>
      </c>
      <c r="H13283" t="s">
        <v>21066</v>
      </c>
    </row>
    <row r="13284" spans="6:8">
      <c r="H13284" t="s">
        <v>18829</v>
      </c>
    </row>
    <row r="13285" spans="6:8">
      <c r="H13285" t="s">
        <v>18863</v>
      </c>
    </row>
    <row r="13286" spans="6:8">
      <c r="H13286" t="s">
        <v>20454</v>
      </c>
    </row>
    <row r="13287" spans="6:8">
      <c r="H13287" t="s">
        <v>19349</v>
      </c>
    </row>
    <row r="13288" spans="6:8">
      <c r="H13288" t="s">
        <v>20209</v>
      </c>
    </row>
    <row r="13289" spans="6:8">
      <c r="F13289" t="s">
        <v>12096</v>
      </c>
      <c r="G13289" t="s">
        <v>16337</v>
      </c>
      <c r="H13289" t="s">
        <v>21067</v>
      </c>
    </row>
    <row r="13290" spans="6:8">
      <c r="H13290" t="s">
        <v>18829</v>
      </c>
    </row>
    <row r="13291" spans="6:8">
      <c r="H13291" t="s">
        <v>18863</v>
      </c>
    </row>
    <row r="13292" spans="6:8">
      <c r="H13292" t="s">
        <v>20454</v>
      </c>
    </row>
    <row r="13293" spans="6:8">
      <c r="H13293" t="s">
        <v>19349</v>
      </c>
    </row>
    <row r="13294" spans="6:8">
      <c r="H13294" t="s">
        <v>20209</v>
      </c>
    </row>
    <row r="13295" spans="6:8">
      <c r="F13295" t="s">
        <v>12097</v>
      </c>
      <c r="G13295" t="s">
        <v>16338</v>
      </c>
      <c r="H13295" t="s">
        <v>21068</v>
      </c>
    </row>
    <row r="13296" spans="6:8">
      <c r="H13296" t="s">
        <v>18829</v>
      </c>
    </row>
    <row r="13297" spans="6:8">
      <c r="H13297" t="s">
        <v>18863</v>
      </c>
    </row>
    <row r="13298" spans="6:8">
      <c r="H13298" t="s">
        <v>20454</v>
      </c>
    </row>
    <row r="13299" spans="6:8">
      <c r="H13299" t="s">
        <v>19349</v>
      </c>
    </row>
    <row r="13300" spans="6:8">
      <c r="H13300" t="s">
        <v>20209</v>
      </c>
    </row>
    <row r="13301" spans="6:8">
      <c r="F13301" t="s">
        <v>12098</v>
      </c>
      <c r="G13301" t="s">
        <v>16339</v>
      </c>
      <c r="H13301" t="s">
        <v>21069</v>
      </c>
    </row>
    <row r="13302" spans="6:8">
      <c r="H13302" t="s">
        <v>18829</v>
      </c>
    </row>
    <row r="13303" spans="6:8">
      <c r="H13303" t="s">
        <v>18863</v>
      </c>
    </row>
    <row r="13304" spans="6:8">
      <c r="H13304" t="s">
        <v>20454</v>
      </c>
    </row>
    <row r="13305" spans="6:8">
      <c r="H13305" t="s">
        <v>19349</v>
      </c>
    </row>
    <row r="13306" spans="6:8">
      <c r="H13306" t="s">
        <v>20209</v>
      </c>
    </row>
    <row r="13307" spans="6:8">
      <c r="F13307" t="s">
        <v>12099</v>
      </c>
      <c r="G13307" t="s">
        <v>16340</v>
      </c>
      <c r="H13307" t="s">
        <v>21070</v>
      </c>
    </row>
    <row r="13308" spans="6:8">
      <c r="H13308" t="s">
        <v>18829</v>
      </c>
    </row>
    <row r="13309" spans="6:8">
      <c r="H13309" t="s">
        <v>18863</v>
      </c>
    </row>
    <row r="13310" spans="6:8">
      <c r="H13310" t="s">
        <v>20454</v>
      </c>
    </row>
    <row r="13311" spans="6:8">
      <c r="H13311" t="s">
        <v>19349</v>
      </c>
    </row>
    <row r="13312" spans="6:8">
      <c r="H13312" t="s">
        <v>20209</v>
      </c>
    </row>
    <row r="13313" spans="6:8">
      <c r="F13313" t="s">
        <v>12100</v>
      </c>
      <c r="G13313" t="s">
        <v>16341</v>
      </c>
      <c r="H13313" t="s">
        <v>21071</v>
      </c>
    </row>
    <row r="13314" spans="6:8">
      <c r="H13314" t="s">
        <v>18829</v>
      </c>
    </row>
    <row r="13315" spans="6:8">
      <c r="H13315" t="s">
        <v>18863</v>
      </c>
    </row>
    <row r="13316" spans="6:8">
      <c r="H13316" t="s">
        <v>20454</v>
      </c>
    </row>
    <row r="13317" spans="6:8">
      <c r="H13317" t="s">
        <v>19349</v>
      </c>
    </row>
    <row r="13318" spans="6:8">
      <c r="H13318" t="s">
        <v>20209</v>
      </c>
    </row>
    <row r="13319" spans="6:8">
      <c r="F13319" t="s">
        <v>12101</v>
      </c>
      <c r="G13319" t="s">
        <v>16342</v>
      </c>
      <c r="H13319" t="s">
        <v>21072</v>
      </c>
    </row>
    <row r="13320" spans="6:8">
      <c r="H13320" t="s">
        <v>18829</v>
      </c>
    </row>
    <row r="13321" spans="6:8">
      <c r="H13321" t="s">
        <v>18863</v>
      </c>
    </row>
    <row r="13322" spans="6:8">
      <c r="H13322" t="s">
        <v>20454</v>
      </c>
    </row>
    <row r="13323" spans="6:8">
      <c r="H13323" t="s">
        <v>19349</v>
      </c>
    </row>
    <row r="13324" spans="6:8">
      <c r="H13324" t="s">
        <v>20209</v>
      </c>
    </row>
    <row r="13325" spans="6:8">
      <c r="F13325" t="s">
        <v>12102</v>
      </c>
      <c r="G13325" t="s">
        <v>16343</v>
      </c>
      <c r="H13325" t="s">
        <v>21073</v>
      </c>
    </row>
    <row r="13326" spans="6:8">
      <c r="H13326" t="s">
        <v>18829</v>
      </c>
    </row>
    <row r="13327" spans="6:8">
      <c r="H13327" t="s">
        <v>18863</v>
      </c>
    </row>
    <row r="13328" spans="6:8">
      <c r="H13328" t="s">
        <v>20454</v>
      </c>
    </row>
    <row r="13329" spans="6:8">
      <c r="H13329" t="s">
        <v>19349</v>
      </c>
    </row>
    <row r="13330" spans="6:8">
      <c r="H13330" t="s">
        <v>20209</v>
      </c>
    </row>
    <row r="13331" spans="6:8">
      <c r="F13331" t="s">
        <v>12103</v>
      </c>
      <c r="G13331" t="s">
        <v>16344</v>
      </c>
      <c r="H13331" t="s">
        <v>21074</v>
      </c>
    </row>
    <row r="13332" spans="6:8">
      <c r="H13332" t="s">
        <v>18829</v>
      </c>
    </row>
    <row r="13333" spans="6:8">
      <c r="H13333" t="s">
        <v>18863</v>
      </c>
    </row>
    <row r="13334" spans="6:8">
      <c r="H13334" t="s">
        <v>20454</v>
      </c>
    </row>
    <row r="13335" spans="6:8">
      <c r="H13335" t="s">
        <v>19349</v>
      </c>
    </row>
    <row r="13336" spans="6:8">
      <c r="H13336" t="s">
        <v>20209</v>
      </c>
    </row>
    <row r="13337" spans="6:8">
      <c r="F13337" t="s">
        <v>12104</v>
      </c>
      <c r="G13337" t="s">
        <v>16345</v>
      </c>
      <c r="H13337" t="s">
        <v>21075</v>
      </c>
    </row>
    <row r="13338" spans="6:8">
      <c r="H13338" t="s">
        <v>18829</v>
      </c>
    </row>
    <row r="13339" spans="6:8">
      <c r="H13339" t="s">
        <v>18863</v>
      </c>
    </row>
    <row r="13340" spans="6:8">
      <c r="H13340" t="s">
        <v>20454</v>
      </c>
    </row>
    <row r="13341" spans="6:8">
      <c r="H13341" t="s">
        <v>19349</v>
      </c>
    </row>
    <row r="13342" spans="6:8">
      <c r="H13342" t="s">
        <v>20209</v>
      </c>
    </row>
    <row r="13343" spans="6:8">
      <c r="F13343" t="s">
        <v>12105</v>
      </c>
      <c r="G13343" t="s">
        <v>16346</v>
      </c>
      <c r="H13343" t="s">
        <v>21076</v>
      </c>
    </row>
    <row r="13344" spans="6:8">
      <c r="H13344" t="s">
        <v>18829</v>
      </c>
    </row>
    <row r="13345" spans="6:8">
      <c r="H13345" t="s">
        <v>18863</v>
      </c>
    </row>
    <row r="13346" spans="6:8">
      <c r="H13346" t="s">
        <v>20454</v>
      </c>
    </row>
    <row r="13347" spans="6:8">
      <c r="H13347" t="s">
        <v>19349</v>
      </c>
    </row>
    <row r="13348" spans="6:8">
      <c r="H13348" t="s">
        <v>20209</v>
      </c>
    </row>
    <row r="13349" spans="6:8">
      <c r="F13349" t="s">
        <v>12106</v>
      </c>
      <c r="G13349" t="s">
        <v>16347</v>
      </c>
      <c r="H13349" t="s">
        <v>21077</v>
      </c>
    </row>
    <row r="13350" spans="6:8">
      <c r="H13350" t="s">
        <v>18829</v>
      </c>
    </row>
    <row r="13351" spans="6:8">
      <c r="H13351" t="s">
        <v>18863</v>
      </c>
    </row>
    <row r="13352" spans="6:8">
      <c r="H13352" t="s">
        <v>20454</v>
      </c>
    </row>
    <row r="13353" spans="6:8">
      <c r="H13353" t="s">
        <v>19349</v>
      </c>
    </row>
    <row r="13354" spans="6:8">
      <c r="H13354" t="s">
        <v>20209</v>
      </c>
    </row>
    <row r="13355" spans="6:8">
      <c r="F13355" t="s">
        <v>12107</v>
      </c>
      <c r="G13355" t="s">
        <v>16348</v>
      </c>
      <c r="H13355" t="s">
        <v>21078</v>
      </c>
    </row>
    <row r="13356" spans="6:8">
      <c r="H13356" t="s">
        <v>18829</v>
      </c>
    </row>
    <row r="13357" spans="6:8">
      <c r="H13357" t="s">
        <v>18863</v>
      </c>
    </row>
    <row r="13358" spans="6:8">
      <c r="H13358" t="s">
        <v>20454</v>
      </c>
    </row>
    <row r="13359" spans="6:8">
      <c r="H13359" t="s">
        <v>19349</v>
      </c>
    </row>
    <row r="13360" spans="6:8">
      <c r="H13360" t="s">
        <v>20209</v>
      </c>
    </row>
    <row r="13361" spans="6:8">
      <c r="F13361" t="s">
        <v>12108</v>
      </c>
      <c r="G13361" t="s">
        <v>16349</v>
      </c>
      <c r="H13361" t="s">
        <v>21079</v>
      </c>
    </row>
    <row r="13362" spans="6:8">
      <c r="H13362" t="s">
        <v>18829</v>
      </c>
    </row>
    <row r="13363" spans="6:8">
      <c r="H13363" t="s">
        <v>18863</v>
      </c>
    </row>
    <row r="13364" spans="6:8">
      <c r="H13364" t="s">
        <v>20454</v>
      </c>
    </row>
    <row r="13365" spans="6:8">
      <c r="H13365" t="s">
        <v>19349</v>
      </c>
    </row>
    <row r="13366" spans="6:8">
      <c r="H13366" t="s">
        <v>20209</v>
      </c>
    </row>
    <row r="13367" spans="6:8">
      <c r="F13367" t="s">
        <v>12109</v>
      </c>
      <c r="G13367" t="s">
        <v>16350</v>
      </c>
      <c r="H13367" t="s">
        <v>21080</v>
      </c>
    </row>
    <row r="13368" spans="6:8">
      <c r="H13368" t="s">
        <v>18829</v>
      </c>
    </row>
    <row r="13369" spans="6:8">
      <c r="H13369" t="s">
        <v>18863</v>
      </c>
    </row>
    <row r="13370" spans="6:8">
      <c r="H13370" t="s">
        <v>20454</v>
      </c>
    </row>
    <row r="13371" spans="6:8">
      <c r="H13371" t="s">
        <v>19349</v>
      </c>
    </row>
    <row r="13372" spans="6:8">
      <c r="H13372" t="s">
        <v>20209</v>
      </c>
    </row>
    <row r="13373" spans="6:8">
      <c r="F13373" t="s">
        <v>12110</v>
      </c>
      <c r="G13373" t="s">
        <v>16351</v>
      </c>
      <c r="H13373" t="s">
        <v>21081</v>
      </c>
    </row>
    <row r="13374" spans="6:8">
      <c r="H13374" t="s">
        <v>18829</v>
      </c>
    </row>
    <row r="13375" spans="6:8">
      <c r="H13375" t="s">
        <v>18863</v>
      </c>
    </row>
    <row r="13376" spans="6:8">
      <c r="H13376" t="s">
        <v>20454</v>
      </c>
    </row>
    <row r="13377" spans="6:8">
      <c r="H13377" t="s">
        <v>19349</v>
      </c>
    </row>
    <row r="13378" spans="6:8">
      <c r="H13378" t="s">
        <v>20209</v>
      </c>
    </row>
    <row r="13379" spans="6:8">
      <c r="F13379" t="s">
        <v>12111</v>
      </c>
      <c r="G13379" t="s">
        <v>16352</v>
      </c>
      <c r="H13379" t="s">
        <v>21082</v>
      </c>
    </row>
    <row r="13380" spans="6:8">
      <c r="H13380" t="s">
        <v>18829</v>
      </c>
    </row>
    <row r="13381" spans="6:8">
      <c r="H13381" t="s">
        <v>18863</v>
      </c>
    </row>
    <row r="13382" spans="6:8">
      <c r="H13382" t="s">
        <v>20454</v>
      </c>
    </row>
    <row r="13383" spans="6:8">
      <c r="H13383" t="s">
        <v>19349</v>
      </c>
    </row>
    <row r="13384" spans="6:8">
      <c r="H13384" t="s">
        <v>20209</v>
      </c>
    </row>
    <row r="13385" spans="6:8">
      <c r="F13385" t="s">
        <v>12112</v>
      </c>
      <c r="G13385" t="s">
        <v>16353</v>
      </c>
      <c r="H13385" t="s">
        <v>21083</v>
      </c>
    </row>
    <row r="13386" spans="6:8">
      <c r="H13386" t="s">
        <v>18829</v>
      </c>
    </row>
    <row r="13387" spans="6:8">
      <c r="H13387" t="s">
        <v>18863</v>
      </c>
    </row>
    <row r="13388" spans="6:8">
      <c r="H13388" t="s">
        <v>20454</v>
      </c>
    </row>
    <row r="13389" spans="6:8">
      <c r="H13389" t="s">
        <v>19349</v>
      </c>
    </row>
    <row r="13390" spans="6:8">
      <c r="H13390" t="s">
        <v>20209</v>
      </c>
    </row>
    <row r="13391" spans="6:8">
      <c r="F13391" t="s">
        <v>12113</v>
      </c>
      <c r="G13391" t="s">
        <v>16354</v>
      </c>
      <c r="H13391" t="s">
        <v>21084</v>
      </c>
    </row>
    <row r="13392" spans="6:8">
      <c r="H13392" t="s">
        <v>18829</v>
      </c>
    </row>
    <row r="13393" spans="6:8">
      <c r="H13393" t="s">
        <v>18863</v>
      </c>
    </row>
    <row r="13394" spans="6:8">
      <c r="H13394" t="s">
        <v>20454</v>
      </c>
    </row>
    <row r="13395" spans="6:8">
      <c r="H13395" t="s">
        <v>19349</v>
      </c>
    </row>
    <row r="13396" spans="6:8">
      <c r="H13396" t="s">
        <v>20209</v>
      </c>
    </row>
    <row r="13397" spans="6:8">
      <c r="F13397" t="s">
        <v>12114</v>
      </c>
      <c r="G13397" t="s">
        <v>16355</v>
      </c>
      <c r="H13397" t="s">
        <v>21085</v>
      </c>
    </row>
    <row r="13398" spans="6:8">
      <c r="H13398" t="s">
        <v>18829</v>
      </c>
    </row>
    <row r="13399" spans="6:8">
      <c r="H13399" t="s">
        <v>18863</v>
      </c>
    </row>
    <row r="13400" spans="6:8">
      <c r="H13400" t="s">
        <v>20454</v>
      </c>
    </row>
    <row r="13401" spans="6:8">
      <c r="H13401" t="s">
        <v>19349</v>
      </c>
    </row>
    <row r="13402" spans="6:8">
      <c r="H13402" t="s">
        <v>20209</v>
      </c>
    </row>
    <row r="13403" spans="6:8">
      <c r="F13403" t="s">
        <v>12115</v>
      </c>
      <c r="G13403" t="s">
        <v>16356</v>
      </c>
      <c r="H13403" t="s">
        <v>21086</v>
      </c>
    </row>
    <row r="13404" spans="6:8">
      <c r="H13404" t="s">
        <v>18829</v>
      </c>
    </row>
    <row r="13405" spans="6:8">
      <c r="H13405" t="s">
        <v>18863</v>
      </c>
    </row>
    <row r="13406" spans="6:8">
      <c r="H13406" t="s">
        <v>20454</v>
      </c>
    </row>
    <row r="13407" spans="6:8">
      <c r="H13407" t="s">
        <v>19349</v>
      </c>
    </row>
    <row r="13408" spans="6:8">
      <c r="H13408" t="s">
        <v>20209</v>
      </c>
    </row>
    <row r="13409" spans="6:8">
      <c r="F13409" t="s">
        <v>12116</v>
      </c>
      <c r="G13409" t="s">
        <v>16357</v>
      </c>
      <c r="H13409" t="s">
        <v>21087</v>
      </c>
    </row>
    <row r="13410" spans="6:8">
      <c r="H13410" t="s">
        <v>18829</v>
      </c>
    </row>
    <row r="13411" spans="6:8">
      <c r="H13411" t="s">
        <v>18863</v>
      </c>
    </row>
    <row r="13412" spans="6:8">
      <c r="H13412" t="s">
        <v>20454</v>
      </c>
    </row>
    <row r="13413" spans="6:8">
      <c r="H13413" t="s">
        <v>19349</v>
      </c>
    </row>
    <row r="13414" spans="6:8">
      <c r="H13414" t="s">
        <v>20209</v>
      </c>
    </row>
    <row r="13415" spans="6:8">
      <c r="F13415" t="s">
        <v>12117</v>
      </c>
      <c r="G13415" t="s">
        <v>16358</v>
      </c>
      <c r="H13415" t="s">
        <v>21088</v>
      </c>
    </row>
    <row r="13416" spans="6:8">
      <c r="H13416" t="s">
        <v>18829</v>
      </c>
    </row>
    <row r="13417" spans="6:8">
      <c r="H13417" t="s">
        <v>18863</v>
      </c>
    </row>
    <row r="13418" spans="6:8">
      <c r="H13418" t="s">
        <v>20454</v>
      </c>
    </row>
    <row r="13419" spans="6:8">
      <c r="H13419" t="s">
        <v>19349</v>
      </c>
    </row>
    <row r="13420" spans="6:8">
      <c r="H13420" t="s">
        <v>20209</v>
      </c>
    </row>
    <row r="13421" spans="6:8">
      <c r="F13421" t="s">
        <v>12118</v>
      </c>
      <c r="G13421" t="s">
        <v>16359</v>
      </c>
      <c r="H13421" t="s">
        <v>21089</v>
      </c>
    </row>
    <row r="13422" spans="6:8">
      <c r="H13422" t="s">
        <v>18829</v>
      </c>
    </row>
    <row r="13423" spans="6:8">
      <c r="H13423" t="s">
        <v>18863</v>
      </c>
    </row>
    <row r="13424" spans="6:8">
      <c r="H13424" t="s">
        <v>20454</v>
      </c>
    </row>
    <row r="13425" spans="6:8">
      <c r="H13425" t="s">
        <v>19349</v>
      </c>
    </row>
    <row r="13426" spans="6:8">
      <c r="H13426" t="s">
        <v>20209</v>
      </c>
    </row>
    <row r="13427" spans="6:8">
      <c r="F13427" t="s">
        <v>12119</v>
      </c>
      <c r="G13427" t="s">
        <v>16360</v>
      </c>
      <c r="H13427" t="s">
        <v>21090</v>
      </c>
    </row>
    <row r="13428" spans="6:8">
      <c r="H13428" t="s">
        <v>18829</v>
      </c>
    </row>
    <row r="13429" spans="6:8">
      <c r="H13429" t="s">
        <v>18863</v>
      </c>
    </row>
    <row r="13430" spans="6:8">
      <c r="H13430" t="s">
        <v>20454</v>
      </c>
    </row>
    <row r="13431" spans="6:8">
      <c r="H13431" t="s">
        <v>19349</v>
      </c>
    </row>
    <row r="13432" spans="6:8">
      <c r="H13432" t="s">
        <v>20209</v>
      </c>
    </row>
    <row r="13433" spans="6:8">
      <c r="F13433" t="s">
        <v>12120</v>
      </c>
      <c r="G13433" t="s">
        <v>16361</v>
      </c>
      <c r="H13433" t="s">
        <v>21091</v>
      </c>
    </row>
    <row r="13434" spans="6:8">
      <c r="H13434" t="s">
        <v>18829</v>
      </c>
    </row>
    <row r="13435" spans="6:8">
      <c r="H13435" t="s">
        <v>18863</v>
      </c>
    </row>
    <row r="13436" spans="6:8">
      <c r="H13436" t="s">
        <v>20454</v>
      </c>
    </row>
    <row r="13437" spans="6:8">
      <c r="H13437" t="s">
        <v>19349</v>
      </c>
    </row>
    <row r="13438" spans="6:8">
      <c r="H13438" t="s">
        <v>20209</v>
      </c>
    </row>
    <row r="13439" spans="6:8">
      <c r="F13439" t="s">
        <v>12121</v>
      </c>
      <c r="G13439" t="s">
        <v>16362</v>
      </c>
      <c r="H13439" t="s">
        <v>21092</v>
      </c>
    </row>
    <row r="13440" spans="6:8">
      <c r="H13440" t="s">
        <v>18829</v>
      </c>
    </row>
    <row r="13441" spans="6:8">
      <c r="H13441" t="s">
        <v>18863</v>
      </c>
    </row>
    <row r="13442" spans="6:8">
      <c r="H13442" t="s">
        <v>20454</v>
      </c>
    </row>
    <row r="13443" spans="6:8">
      <c r="H13443" t="s">
        <v>19349</v>
      </c>
    </row>
    <row r="13444" spans="6:8">
      <c r="H13444" t="s">
        <v>20209</v>
      </c>
    </row>
    <row r="13445" spans="6:8">
      <c r="F13445" t="s">
        <v>12122</v>
      </c>
      <c r="G13445" t="s">
        <v>16363</v>
      </c>
      <c r="H13445" t="s">
        <v>21093</v>
      </c>
    </row>
    <row r="13446" spans="6:8">
      <c r="H13446" t="s">
        <v>18829</v>
      </c>
    </row>
    <row r="13447" spans="6:8">
      <c r="H13447" t="s">
        <v>18863</v>
      </c>
    </row>
    <row r="13448" spans="6:8">
      <c r="H13448" t="s">
        <v>20454</v>
      </c>
    </row>
    <row r="13449" spans="6:8">
      <c r="H13449" t="s">
        <v>19349</v>
      </c>
    </row>
    <row r="13450" spans="6:8">
      <c r="H13450" t="s">
        <v>20209</v>
      </c>
    </row>
    <row r="13451" spans="6:8">
      <c r="F13451" t="s">
        <v>12123</v>
      </c>
      <c r="G13451" t="s">
        <v>16364</v>
      </c>
      <c r="H13451" t="s">
        <v>21094</v>
      </c>
    </row>
    <row r="13452" spans="6:8">
      <c r="H13452" t="s">
        <v>18829</v>
      </c>
    </row>
    <row r="13453" spans="6:8">
      <c r="H13453" t="s">
        <v>18863</v>
      </c>
    </row>
    <row r="13454" spans="6:8">
      <c r="H13454" t="s">
        <v>20454</v>
      </c>
    </row>
    <row r="13455" spans="6:8">
      <c r="H13455" t="s">
        <v>19349</v>
      </c>
    </row>
    <row r="13456" spans="6:8">
      <c r="H13456" t="s">
        <v>20209</v>
      </c>
    </row>
    <row r="13457" spans="6:8">
      <c r="F13457" t="s">
        <v>12124</v>
      </c>
      <c r="G13457" t="s">
        <v>16365</v>
      </c>
      <c r="H13457" t="s">
        <v>21095</v>
      </c>
    </row>
    <row r="13458" spans="6:8">
      <c r="H13458" t="s">
        <v>18829</v>
      </c>
    </row>
    <row r="13459" spans="6:8">
      <c r="H13459" t="s">
        <v>18863</v>
      </c>
    </row>
    <row r="13460" spans="6:8">
      <c r="H13460" t="s">
        <v>20454</v>
      </c>
    </row>
    <row r="13461" spans="6:8">
      <c r="H13461" t="s">
        <v>19349</v>
      </c>
    </row>
    <row r="13462" spans="6:8">
      <c r="H13462" t="s">
        <v>20209</v>
      </c>
    </row>
    <row r="13463" spans="6:8">
      <c r="F13463" t="s">
        <v>12125</v>
      </c>
      <c r="G13463" t="s">
        <v>16366</v>
      </c>
      <c r="H13463" t="s">
        <v>21096</v>
      </c>
    </row>
    <row r="13464" spans="6:8">
      <c r="H13464" t="s">
        <v>18829</v>
      </c>
    </row>
    <row r="13465" spans="6:8">
      <c r="H13465" t="s">
        <v>18863</v>
      </c>
    </row>
    <row r="13466" spans="6:8">
      <c r="H13466" t="s">
        <v>20454</v>
      </c>
    </row>
    <row r="13467" spans="6:8">
      <c r="H13467" t="s">
        <v>19349</v>
      </c>
    </row>
    <row r="13468" spans="6:8">
      <c r="H13468" t="s">
        <v>20209</v>
      </c>
    </row>
    <row r="13469" spans="6:8">
      <c r="F13469" t="s">
        <v>12126</v>
      </c>
      <c r="G13469" t="s">
        <v>16367</v>
      </c>
      <c r="H13469" t="s">
        <v>21097</v>
      </c>
    </row>
    <row r="13470" spans="6:8">
      <c r="H13470" t="s">
        <v>18829</v>
      </c>
    </row>
    <row r="13471" spans="6:8">
      <c r="H13471" t="s">
        <v>18863</v>
      </c>
    </row>
    <row r="13472" spans="6:8">
      <c r="H13472" t="s">
        <v>20454</v>
      </c>
    </row>
    <row r="13473" spans="6:8">
      <c r="H13473" t="s">
        <v>19349</v>
      </c>
    </row>
    <row r="13474" spans="6:8">
      <c r="H13474" t="s">
        <v>20209</v>
      </c>
    </row>
    <row r="13475" spans="6:8">
      <c r="F13475" t="s">
        <v>12127</v>
      </c>
      <c r="G13475" t="s">
        <v>16368</v>
      </c>
      <c r="H13475" t="s">
        <v>21098</v>
      </c>
    </row>
    <row r="13476" spans="6:8">
      <c r="H13476" t="s">
        <v>18829</v>
      </c>
    </row>
    <row r="13477" spans="6:8">
      <c r="H13477" t="s">
        <v>18863</v>
      </c>
    </row>
    <row r="13478" spans="6:8">
      <c r="H13478" t="s">
        <v>20454</v>
      </c>
    </row>
    <row r="13479" spans="6:8">
      <c r="H13479" t="s">
        <v>19349</v>
      </c>
    </row>
    <row r="13480" spans="6:8">
      <c r="H13480" t="s">
        <v>20209</v>
      </c>
    </row>
    <row r="13481" spans="6:8">
      <c r="F13481" t="s">
        <v>12128</v>
      </c>
      <c r="G13481" t="s">
        <v>16369</v>
      </c>
      <c r="H13481" t="s">
        <v>21099</v>
      </c>
    </row>
    <row r="13482" spans="6:8">
      <c r="H13482" t="s">
        <v>18829</v>
      </c>
    </row>
    <row r="13483" spans="6:8">
      <c r="H13483" t="s">
        <v>18863</v>
      </c>
    </row>
    <row r="13484" spans="6:8">
      <c r="H13484" t="s">
        <v>20454</v>
      </c>
    </row>
    <row r="13485" spans="6:8">
      <c r="H13485" t="s">
        <v>19349</v>
      </c>
    </row>
    <row r="13486" spans="6:8">
      <c r="H13486" t="s">
        <v>20209</v>
      </c>
    </row>
    <row r="13487" spans="6:8">
      <c r="F13487" t="s">
        <v>12129</v>
      </c>
      <c r="G13487" t="s">
        <v>16370</v>
      </c>
      <c r="H13487" t="s">
        <v>21100</v>
      </c>
    </row>
    <row r="13488" spans="6:8">
      <c r="H13488" t="s">
        <v>18829</v>
      </c>
    </row>
    <row r="13489" spans="6:8">
      <c r="H13489" t="s">
        <v>18863</v>
      </c>
    </row>
    <row r="13490" spans="6:8">
      <c r="H13490" t="s">
        <v>20454</v>
      </c>
    </row>
    <row r="13491" spans="6:8">
      <c r="H13491" t="s">
        <v>19349</v>
      </c>
    </row>
    <row r="13492" spans="6:8">
      <c r="H13492" t="s">
        <v>20209</v>
      </c>
    </row>
    <row r="13493" spans="6:8">
      <c r="F13493" t="s">
        <v>12130</v>
      </c>
      <c r="G13493" t="s">
        <v>16371</v>
      </c>
      <c r="H13493" t="s">
        <v>21101</v>
      </c>
    </row>
    <row r="13494" spans="6:8">
      <c r="H13494" t="s">
        <v>18829</v>
      </c>
    </row>
    <row r="13495" spans="6:8">
      <c r="H13495" t="s">
        <v>18863</v>
      </c>
    </row>
    <row r="13496" spans="6:8">
      <c r="H13496" t="s">
        <v>20454</v>
      </c>
    </row>
    <row r="13497" spans="6:8">
      <c r="H13497" t="s">
        <v>19349</v>
      </c>
    </row>
    <row r="13498" spans="6:8">
      <c r="H13498" t="s">
        <v>20209</v>
      </c>
    </row>
    <row r="13499" spans="6:8">
      <c r="F13499" t="s">
        <v>12131</v>
      </c>
      <c r="G13499" t="s">
        <v>16372</v>
      </c>
      <c r="H13499" t="s">
        <v>21102</v>
      </c>
    </row>
    <row r="13500" spans="6:8">
      <c r="H13500" t="s">
        <v>18829</v>
      </c>
    </row>
    <row r="13501" spans="6:8">
      <c r="H13501" t="s">
        <v>18863</v>
      </c>
    </row>
    <row r="13502" spans="6:8">
      <c r="H13502" t="s">
        <v>20454</v>
      </c>
    </row>
    <row r="13503" spans="6:8">
      <c r="H13503" t="s">
        <v>19349</v>
      </c>
    </row>
    <row r="13504" spans="6:8">
      <c r="H13504" t="s">
        <v>20209</v>
      </c>
    </row>
    <row r="13505" spans="6:8">
      <c r="F13505" t="s">
        <v>12132</v>
      </c>
      <c r="G13505" t="s">
        <v>16373</v>
      </c>
      <c r="H13505" t="s">
        <v>21103</v>
      </c>
    </row>
    <row r="13506" spans="6:8">
      <c r="H13506" t="s">
        <v>18829</v>
      </c>
    </row>
    <row r="13507" spans="6:8">
      <c r="H13507" t="s">
        <v>18863</v>
      </c>
    </row>
    <row r="13508" spans="6:8">
      <c r="H13508" t="s">
        <v>20454</v>
      </c>
    </row>
    <row r="13509" spans="6:8">
      <c r="H13509" t="s">
        <v>19349</v>
      </c>
    </row>
    <row r="13510" spans="6:8">
      <c r="H13510" t="s">
        <v>20209</v>
      </c>
    </row>
    <row r="13511" spans="6:8">
      <c r="F13511" t="s">
        <v>12133</v>
      </c>
      <c r="G13511" t="s">
        <v>16374</v>
      </c>
      <c r="H13511" t="s">
        <v>21104</v>
      </c>
    </row>
    <row r="13512" spans="6:8">
      <c r="H13512" t="s">
        <v>18829</v>
      </c>
    </row>
    <row r="13513" spans="6:8">
      <c r="H13513" t="s">
        <v>18863</v>
      </c>
    </row>
    <row r="13514" spans="6:8">
      <c r="H13514" t="s">
        <v>20454</v>
      </c>
    </row>
    <row r="13515" spans="6:8">
      <c r="H13515" t="s">
        <v>19349</v>
      </c>
    </row>
    <row r="13516" spans="6:8">
      <c r="H13516" t="s">
        <v>20209</v>
      </c>
    </row>
    <row r="13517" spans="6:8">
      <c r="F13517" t="s">
        <v>12134</v>
      </c>
      <c r="G13517" t="s">
        <v>16375</v>
      </c>
      <c r="H13517" t="s">
        <v>21105</v>
      </c>
    </row>
    <row r="13518" spans="6:8">
      <c r="H13518" t="s">
        <v>18829</v>
      </c>
    </row>
    <row r="13519" spans="6:8">
      <c r="H13519" t="s">
        <v>18863</v>
      </c>
    </row>
    <row r="13520" spans="6:8">
      <c r="H13520" t="s">
        <v>20454</v>
      </c>
    </row>
    <row r="13521" spans="6:8">
      <c r="H13521" t="s">
        <v>19349</v>
      </c>
    </row>
    <row r="13522" spans="6:8">
      <c r="H13522" t="s">
        <v>20209</v>
      </c>
    </row>
    <row r="13523" spans="6:8">
      <c r="F13523" t="s">
        <v>12135</v>
      </c>
      <c r="G13523" t="s">
        <v>16376</v>
      </c>
      <c r="H13523" t="s">
        <v>21106</v>
      </c>
    </row>
    <row r="13524" spans="6:8">
      <c r="H13524" t="s">
        <v>18829</v>
      </c>
    </row>
    <row r="13525" spans="6:8">
      <c r="H13525" t="s">
        <v>18863</v>
      </c>
    </row>
    <row r="13526" spans="6:8">
      <c r="H13526" t="s">
        <v>20454</v>
      </c>
    </row>
    <row r="13527" spans="6:8">
      <c r="H13527" t="s">
        <v>19349</v>
      </c>
    </row>
    <row r="13528" spans="6:8">
      <c r="H13528" t="s">
        <v>20209</v>
      </c>
    </row>
    <row r="13529" spans="6:8">
      <c r="F13529" t="s">
        <v>12136</v>
      </c>
      <c r="G13529" t="s">
        <v>16377</v>
      </c>
      <c r="H13529" t="s">
        <v>21107</v>
      </c>
    </row>
    <row r="13530" spans="6:8">
      <c r="H13530" t="s">
        <v>18829</v>
      </c>
    </row>
    <row r="13531" spans="6:8">
      <c r="H13531" t="s">
        <v>18863</v>
      </c>
    </row>
    <row r="13532" spans="6:8">
      <c r="H13532" t="s">
        <v>20454</v>
      </c>
    </row>
    <row r="13533" spans="6:8">
      <c r="H13533" t="s">
        <v>19349</v>
      </c>
    </row>
    <row r="13534" spans="6:8">
      <c r="H13534" t="s">
        <v>20209</v>
      </c>
    </row>
    <row r="13535" spans="6:8">
      <c r="F13535" t="s">
        <v>12137</v>
      </c>
      <c r="G13535" t="s">
        <v>16378</v>
      </c>
      <c r="H13535" t="s">
        <v>21108</v>
      </c>
    </row>
    <row r="13536" spans="6:8">
      <c r="H13536" t="s">
        <v>18829</v>
      </c>
    </row>
    <row r="13537" spans="6:8">
      <c r="H13537" t="s">
        <v>18863</v>
      </c>
    </row>
    <row r="13538" spans="6:8">
      <c r="H13538" t="s">
        <v>20454</v>
      </c>
    </row>
    <row r="13539" spans="6:8">
      <c r="H13539" t="s">
        <v>19349</v>
      </c>
    </row>
    <row r="13540" spans="6:8">
      <c r="H13540" t="s">
        <v>20209</v>
      </c>
    </row>
    <row r="13541" spans="6:8">
      <c r="F13541" t="s">
        <v>12138</v>
      </c>
      <c r="G13541" t="s">
        <v>16379</v>
      </c>
      <c r="H13541" t="s">
        <v>21109</v>
      </c>
    </row>
    <row r="13542" spans="6:8">
      <c r="H13542" t="s">
        <v>18829</v>
      </c>
    </row>
    <row r="13543" spans="6:8">
      <c r="H13543" t="s">
        <v>18863</v>
      </c>
    </row>
    <row r="13544" spans="6:8">
      <c r="H13544" t="s">
        <v>20454</v>
      </c>
    </row>
    <row r="13545" spans="6:8">
      <c r="H13545" t="s">
        <v>19349</v>
      </c>
    </row>
    <row r="13546" spans="6:8">
      <c r="H13546" t="s">
        <v>20209</v>
      </c>
    </row>
    <row r="13547" spans="6:8">
      <c r="F13547" t="s">
        <v>12139</v>
      </c>
      <c r="G13547" t="s">
        <v>16380</v>
      </c>
      <c r="H13547" t="s">
        <v>21110</v>
      </c>
    </row>
    <row r="13548" spans="6:8">
      <c r="H13548" t="s">
        <v>18829</v>
      </c>
    </row>
    <row r="13549" spans="6:8">
      <c r="H13549" t="s">
        <v>18863</v>
      </c>
    </row>
    <row r="13550" spans="6:8">
      <c r="H13550" t="s">
        <v>20454</v>
      </c>
    </row>
    <row r="13551" spans="6:8">
      <c r="H13551" t="s">
        <v>19349</v>
      </c>
    </row>
    <row r="13552" spans="6:8">
      <c r="H13552" t="s">
        <v>20209</v>
      </c>
    </row>
    <row r="13553" spans="6:8">
      <c r="F13553" t="s">
        <v>12140</v>
      </c>
      <c r="G13553" t="s">
        <v>16381</v>
      </c>
      <c r="H13553" t="s">
        <v>21111</v>
      </c>
    </row>
    <row r="13554" spans="6:8">
      <c r="H13554" t="s">
        <v>18829</v>
      </c>
    </row>
    <row r="13555" spans="6:8">
      <c r="H13555" t="s">
        <v>18863</v>
      </c>
    </row>
    <row r="13556" spans="6:8">
      <c r="H13556" t="s">
        <v>20454</v>
      </c>
    </row>
    <row r="13557" spans="6:8">
      <c r="H13557" t="s">
        <v>19349</v>
      </c>
    </row>
    <row r="13558" spans="6:8">
      <c r="H13558" t="s">
        <v>20209</v>
      </c>
    </row>
    <row r="13559" spans="6:8">
      <c r="F13559" t="s">
        <v>12141</v>
      </c>
      <c r="G13559" t="s">
        <v>16382</v>
      </c>
      <c r="H13559" t="s">
        <v>21112</v>
      </c>
    </row>
    <row r="13560" spans="6:8">
      <c r="H13560" t="s">
        <v>18829</v>
      </c>
    </row>
    <row r="13561" spans="6:8">
      <c r="H13561" t="s">
        <v>18863</v>
      </c>
    </row>
    <row r="13562" spans="6:8">
      <c r="H13562" t="s">
        <v>20454</v>
      </c>
    </row>
    <row r="13563" spans="6:8">
      <c r="H13563" t="s">
        <v>19349</v>
      </c>
    </row>
    <row r="13564" spans="6:8">
      <c r="H13564" t="s">
        <v>20209</v>
      </c>
    </row>
    <row r="13565" spans="6:8">
      <c r="F13565" t="s">
        <v>12142</v>
      </c>
      <c r="G13565" t="s">
        <v>16383</v>
      </c>
      <c r="H13565" t="s">
        <v>21113</v>
      </c>
    </row>
    <row r="13566" spans="6:8">
      <c r="H13566" t="s">
        <v>18829</v>
      </c>
    </row>
    <row r="13567" spans="6:8">
      <c r="H13567" t="s">
        <v>18863</v>
      </c>
    </row>
    <row r="13568" spans="6:8">
      <c r="H13568" t="s">
        <v>20454</v>
      </c>
    </row>
    <row r="13569" spans="6:8">
      <c r="H13569" t="s">
        <v>19349</v>
      </c>
    </row>
    <row r="13570" spans="6:8">
      <c r="H13570" t="s">
        <v>20209</v>
      </c>
    </row>
    <row r="13571" spans="6:8">
      <c r="F13571" t="s">
        <v>12143</v>
      </c>
      <c r="G13571" t="s">
        <v>16384</v>
      </c>
      <c r="H13571" t="s">
        <v>21114</v>
      </c>
    </row>
    <row r="13572" spans="6:8">
      <c r="H13572" t="s">
        <v>18829</v>
      </c>
    </row>
    <row r="13573" spans="6:8">
      <c r="H13573" t="s">
        <v>18863</v>
      </c>
    </row>
    <row r="13574" spans="6:8">
      <c r="H13574" t="s">
        <v>20454</v>
      </c>
    </row>
    <row r="13575" spans="6:8">
      <c r="H13575" t="s">
        <v>19349</v>
      </c>
    </row>
    <row r="13576" spans="6:8">
      <c r="H13576" t="s">
        <v>20209</v>
      </c>
    </row>
    <row r="13577" spans="6:8">
      <c r="F13577" t="s">
        <v>12144</v>
      </c>
      <c r="G13577" t="s">
        <v>16385</v>
      </c>
      <c r="H13577" t="s">
        <v>21115</v>
      </c>
    </row>
    <row r="13578" spans="6:8">
      <c r="H13578" t="s">
        <v>18829</v>
      </c>
    </row>
    <row r="13579" spans="6:8">
      <c r="H13579" t="s">
        <v>18863</v>
      </c>
    </row>
    <row r="13580" spans="6:8">
      <c r="H13580" t="s">
        <v>20454</v>
      </c>
    </row>
    <row r="13581" spans="6:8">
      <c r="H13581" t="s">
        <v>19349</v>
      </c>
    </row>
    <row r="13582" spans="6:8">
      <c r="H13582" t="s">
        <v>20209</v>
      </c>
    </row>
    <row r="13583" spans="6:8">
      <c r="F13583" t="s">
        <v>12145</v>
      </c>
      <c r="G13583" t="s">
        <v>16386</v>
      </c>
      <c r="H13583" t="s">
        <v>21116</v>
      </c>
    </row>
    <row r="13584" spans="6:8">
      <c r="H13584" t="s">
        <v>18829</v>
      </c>
    </row>
    <row r="13585" spans="6:8">
      <c r="H13585" t="s">
        <v>18863</v>
      </c>
    </row>
    <row r="13586" spans="6:8">
      <c r="H13586" t="s">
        <v>20454</v>
      </c>
    </row>
    <row r="13587" spans="6:8">
      <c r="H13587" t="s">
        <v>19349</v>
      </c>
    </row>
    <row r="13588" spans="6:8">
      <c r="H13588" t="s">
        <v>20209</v>
      </c>
    </row>
    <row r="13589" spans="6:8">
      <c r="F13589" t="s">
        <v>12146</v>
      </c>
      <c r="G13589" t="s">
        <v>16387</v>
      </c>
      <c r="H13589" t="s">
        <v>21117</v>
      </c>
    </row>
    <row r="13590" spans="6:8">
      <c r="H13590" t="s">
        <v>18829</v>
      </c>
    </row>
    <row r="13591" spans="6:8">
      <c r="H13591" t="s">
        <v>18863</v>
      </c>
    </row>
    <row r="13592" spans="6:8">
      <c r="H13592" t="s">
        <v>20454</v>
      </c>
    </row>
    <row r="13593" spans="6:8">
      <c r="H13593" t="s">
        <v>19349</v>
      </c>
    </row>
    <row r="13594" spans="6:8">
      <c r="H13594" t="s">
        <v>20209</v>
      </c>
    </row>
    <row r="13595" spans="6:8">
      <c r="F13595" t="s">
        <v>12147</v>
      </c>
      <c r="G13595" t="s">
        <v>16388</v>
      </c>
      <c r="H13595" t="s">
        <v>21118</v>
      </c>
    </row>
    <row r="13596" spans="6:8">
      <c r="H13596" t="s">
        <v>18829</v>
      </c>
    </row>
    <row r="13597" spans="6:8">
      <c r="H13597" t="s">
        <v>18863</v>
      </c>
    </row>
    <row r="13598" spans="6:8">
      <c r="H13598" t="s">
        <v>20454</v>
      </c>
    </row>
    <row r="13599" spans="6:8">
      <c r="H13599" t="s">
        <v>19349</v>
      </c>
    </row>
    <row r="13600" spans="6:8">
      <c r="H13600" t="s">
        <v>20209</v>
      </c>
    </row>
    <row r="13601" spans="6:8">
      <c r="F13601" t="s">
        <v>12148</v>
      </c>
      <c r="G13601" t="s">
        <v>16389</v>
      </c>
      <c r="H13601" t="s">
        <v>21119</v>
      </c>
    </row>
    <row r="13602" spans="6:8">
      <c r="H13602" t="s">
        <v>18829</v>
      </c>
    </row>
    <row r="13603" spans="6:8">
      <c r="H13603" t="s">
        <v>18863</v>
      </c>
    </row>
    <row r="13604" spans="6:8">
      <c r="H13604" t="s">
        <v>20454</v>
      </c>
    </row>
    <row r="13605" spans="6:8">
      <c r="H13605" t="s">
        <v>19349</v>
      </c>
    </row>
    <row r="13606" spans="6:8">
      <c r="H13606" t="s">
        <v>20209</v>
      </c>
    </row>
    <row r="13607" spans="6:8">
      <c r="F13607" t="s">
        <v>12149</v>
      </c>
      <c r="G13607" t="s">
        <v>16390</v>
      </c>
      <c r="H13607" t="s">
        <v>21120</v>
      </c>
    </row>
    <row r="13608" spans="6:8">
      <c r="H13608" t="s">
        <v>18829</v>
      </c>
    </row>
    <row r="13609" spans="6:8">
      <c r="H13609" t="s">
        <v>18863</v>
      </c>
    </row>
    <row r="13610" spans="6:8">
      <c r="H13610" t="s">
        <v>20454</v>
      </c>
    </row>
    <row r="13611" spans="6:8">
      <c r="H13611" t="s">
        <v>19349</v>
      </c>
    </row>
    <row r="13612" spans="6:8">
      <c r="H13612" t="s">
        <v>20209</v>
      </c>
    </row>
    <row r="13613" spans="6:8">
      <c r="F13613" t="s">
        <v>12150</v>
      </c>
      <c r="G13613" t="s">
        <v>16391</v>
      </c>
      <c r="H13613" t="s">
        <v>21121</v>
      </c>
    </row>
    <row r="13614" spans="6:8">
      <c r="H13614" t="s">
        <v>18829</v>
      </c>
    </row>
    <row r="13615" spans="6:8">
      <c r="H13615" t="s">
        <v>18863</v>
      </c>
    </row>
    <row r="13616" spans="6:8">
      <c r="H13616" t="s">
        <v>20454</v>
      </c>
    </row>
    <row r="13617" spans="6:8">
      <c r="H13617" t="s">
        <v>19349</v>
      </c>
    </row>
    <row r="13618" spans="6:8">
      <c r="H13618" t="s">
        <v>20209</v>
      </c>
    </row>
    <row r="13619" spans="6:8">
      <c r="F13619" t="s">
        <v>12151</v>
      </c>
      <c r="G13619" t="s">
        <v>16392</v>
      </c>
      <c r="H13619" t="s">
        <v>21122</v>
      </c>
    </row>
    <row r="13620" spans="6:8">
      <c r="H13620" t="s">
        <v>18829</v>
      </c>
    </row>
    <row r="13621" spans="6:8">
      <c r="H13621" t="s">
        <v>18863</v>
      </c>
    </row>
    <row r="13622" spans="6:8">
      <c r="H13622" t="s">
        <v>20454</v>
      </c>
    </row>
    <row r="13623" spans="6:8">
      <c r="H13623" t="s">
        <v>19349</v>
      </c>
    </row>
    <row r="13624" spans="6:8">
      <c r="H13624" t="s">
        <v>20209</v>
      </c>
    </row>
    <row r="13625" spans="6:8">
      <c r="F13625" t="s">
        <v>12152</v>
      </c>
      <c r="G13625" t="s">
        <v>16393</v>
      </c>
      <c r="H13625" t="s">
        <v>21123</v>
      </c>
    </row>
    <row r="13626" spans="6:8">
      <c r="H13626" t="s">
        <v>18829</v>
      </c>
    </row>
    <row r="13627" spans="6:8">
      <c r="H13627" t="s">
        <v>18863</v>
      </c>
    </row>
    <row r="13628" spans="6:8">
      <c r="H13628" t="s">
        <v>20454</v>
      </c>
    </row>
    <row r="13629" spans="6:8">
      <c r="H13629" t="s">
        <v>19349</v>
      </c>
    </row>
    <row r="13630" spans="6:8">
      <c r="H13630" t="s">
        <v>20209</v>
      </c>
    </row>
    <row r="13631" spans="6:8">
      <c r="F13631" t="s">
        <v>12153</v>
      </c>
      <c r="G13631" t="s">
        <v>16394</v>
      </c>
      <c r="H13631" t="s">
        <v>21124</v>
      </c>
    </row>
    <row r="13632" spans="6:8">
      <c r="H13632" t="s">
        <v>18829</v>
      </c>
    </row>
    <row r="13633" spans="6:8">
      <c r="H13633" t="s">
        <v>18863</v>
      </c>
    </row>
    <row r="13634" spans="6:8">
      <c r="H13634" t="s">
        <v>20454</v>
      </c>
    </row>
    <row r="13635" spans="6:8">
      <c r="H13635" t="s">
        <v>19349</v>
      </c>
    </row>
    <row r="13636" spans="6:8">
      <c r="H13636" t="s">
        <v>20209</v>
      </c>
    </row>
    <row r="13637" spans="6:8">
      <c r="F13637" t="s">
        <v>12154</v>
      </c>
      <c r="G13637" t="s">
        <v>16395</v>
      </c>
      <c r="H13637" t="s">
        <v>21125</v>
      </c>
    </row>
    <row r="13638" spans="6:8">
      <c r="H13638" t="s">
        <v>18829</v>
      </c>
    </row>
    <row r="13639" spans="6:8">
      <c r="H13639" t="s">
        <v>18863</v>
      </c>
    </row>
    <row r="13640" spans="6:8">
      <c r="H13640" t="s">
        <v>20454</v>
      </c>
    </row>
    <row r="13641" spans="6:8">
      <c r="H13641" t="s">
        <v>19349</v>
      </c>
    </row>
    <row r="13642" spans="6:8">
      <c r="H13642" t="s">
        <v>20209</v>
      </c>
    </row>
    <row r="13643" spans="6:8">
      <c r="F13643" t="s">
        <v>12155</v>
      </c>
      <c r="G13643" t="s">
        <v>16396</v>
      </c>
      <c r="H13643" t="s">
        <v>21126</v>
      </c>
    </row>
    <row r="13644" spans="6:8">
      <c r="H13644" t="s">
        <v>18829</v>
      </c>
    </row>
    <row r="13645" spans="6:8">
      <c r="H13645" t="s">
        <v>18863</v>
      </c>
    </row>
    <row r="13646" spans="6:8">
      <c r="H13646" t="s">
        <v>20454</v>
      </c>
    </row>
    <row r="13647" spans="6:8">
      <c r="H13647" t="s">
        <v>19349</v>
      </c>
    </row>
    <row r="13648" spans="6:8">
      <c r="H13648" t="s">
        <v>20209</v>
      </c>
    </row>
    <row r="13649" spans="6:8">
      <c r="F13649" t="s">
        <v>12156</v>
      </c>
      <c r="G13649" t="s">
        <v>16397</v>
      </c>
      <c r="H13649" t="s">
        <v>21127</v>
      </c>
    </row>
    <row r="13650" spans="6:8">
      <c r="H13650" t="s">
        <v>18829</v>
      </c>
    </row>
    <row r="13651" spans="6:8">
      <c r="H13651" t="s">
        <v>18863</v>
      </c>
    </row>
    <row r="13652" spans="6:8">
      <c r="H13652" t="s">
        <v>20454</v>
      </c>
    </row>
    <row r="13653" spans="6:8">
      <c r="H13653" t="s">
        <v>19349</v>
      </c>
    </row>
    <row r="13654" spans="6:8">
      <c r="H13654" t="s">
        <v>20209</v>
      </c>
    </row>
    <row r="13655" spans="6:8">
      <c r="F13655" t="s">
        <v>12157</v>
      </c>
      <c r="G13655" t="s">
        <v>16398</v>
      </c>
      <c r="H13655" t="s">
        <v>21128</v>
      </c>
    </row>
    <row r="13656" spans="6:8">
      <c r="H13656" t="s">
        <v>18829</v>
      </c>
    </row>
    <row r="13657" spans="6:8">
      <c r="H13657" t="s">
        <v>18863</v>
      </c>
    </row>
    <row r="13658" spans="6:8">
      <c r="H13658" t="s">
        <v>20454</v>
      </c>
    </row>
    <row r="13659" spans="6:8">
      <c r="H13659" t="s">
        <v>19349</v>
      </c>
    </row>
    <row r="13660" spans="6:8">
      <c r="H13660" t="s">
        <v>20209</v>
      </c>
    </row>
    <row r="13661" spans="6:8">
      <c r="F13661" t="s">
        <v>12158</v>
      </c>
      <c r="G13661" t="s">
        <v>16399</v>
      </c>
      <c r="H13661" t="s">
        <v>21129</v>
      </c>
    </row>
    <row r="13662" spans="6:8">
      <c r="H13662" t="s">
        <v>18829</v>
      </c>
    </row>
    <row r="13663" spans="6:8">
      <c r="H13663" t="s">
        <v>18863</v>
      </c>
    </row>
    <row r="13664" spans="6:8">
      <c r="H13664" t="s">
        <v>20454</v>
      </c>
    </row>
    <row r="13665" spans="6:8">
      <c r="H13665" t="s">
        <v>19349</v>
      </c>
    </row>
    <row r="13666" spans="6:8">
      <c r="H13666" t="s">
        <v>20209</v>
      </c>
    </row>
    <row r="13667" spans="6:8">
      <c r="F13667" t="s">
        <v>12159</v>
      </c>
      <c r="G13667" t="s">
        <v>16400</v>
      </c>
      <c r="H13667" t="s">
        <v>21130</v>
      </c>
    </row>
    <row r="13668" spans="6:8">
      <c r="H13668" t="s">
        <v>18829</v>
      </c>
    </row>
    <row r="13669" spans="6:8">
      <c r="H13669" t="s">
        <v>18863</v>
      </c>
    </row>
    <row r="13670" spans="6:8">
      <c r="H13670" t="s">
        <v>20454</v>
      </c>
    </row>
    <row r="13671" spans="6:8">
      <c r="H13671" t="s">
        <v>19349</v>
      </c>
    </row>
    <row r="13672" spans="6:8">
      <c r="H13672" t="s">
        <v>20209</v>
      </c>
    </row>
    <row r="13673" spans="6:8">
      <c r="F13673" t="s">
        <v>12160</v>
      </c>
      <c r="G13673" t="s">
        <v>16401</v>
      </c>
      <c r="H13673" t="s">
        <v>21131</v>
      </c>
    </row>
    <row r="13674" spans="6:8">
      <c r="H13674" t="s">
        <v>18829</v>
      </c>
    </row>
    <row r="13675" spans="6:8">
      <c r="H13675" t="s">
        <v>18863</v>
      </c>
    </row>
    <row r="13676" spans="6:8">
      <c r="H13676" t="s">
        <v>20454</v>
      </c>
    </row>
    <row r="13677" spans="6:8">
      <c r="H13677" t="s">
        <v>19349</v>
      </c>
    </row>
    <row r="13678" spans="6:8">
      <c r="H13678" t="s">
        <v>20209</v>
      </c>
    </row>
    <row r="13679" spans="6:8">
      <c r="F13679" t="s">
        <v>12161</v>
      </c>
      <c r="G13679" t="s">
        <v>16402</v>
      </c>
      <c r="H13679" t="s">
        <v>21132</v>
      </c>
    </row>
    <row r="13680" spans="6:8">
      <c r="H13680" t="s">
        <v>18829</v>
      </c>
    </row>
    <row r="13681" spans="6:8">
      <c r="H13681" t="s">
        <v>18863</v>
      </c>
    </row>
    <row r="13682" spans="6:8">
      <c r="H13682" t="s">
        <v>20454</v>
      </c>
    </row>
    <row r="13683" spans="6:8">
      <c r="H13683" t="s">
        <v>19349</v>
      </c>
    </row>
    <row r="13684" spans="6:8">
      <c r="H13684" t="s">
        <v>20209</v>
      </c>
    </row>
    <row r="13685" spans="6:8">
      <c r="F13685" t="s">
        <v>12162</v>
      </c>
      <c r="G13685" t="s">
        <v>16403</v>
      </c>
      <c r="H13685" t="s">
        <v>21133</v>
      </c>
    </row>
    <row r="13686" spans="6:8">
      <c r="H13686" t="s">
        <v>18829</v>
      </c>
    </row>
    <row r="13687" spans="6:8">
      <c r="H13687" t="s">
        <v>18863</v>
      </c>
    </row>
    <row r="13688" spans="6:8">
      <c r="H13688" t="s">
        <v>20454</v>
      </c>
    </row>
    <row r="13689" spans="6:8">
      <c r="H13689" t="s">
        <v>19349</v>
      </c>
    </row>
    <row r="13690" spans="6:8">
      <c r="H13690" t="s">
        <v>20209</v>
      </c>
    </row>
    <row r="13691" spans="6:8">
      <c r="F13691" t="s">
        <v>12163</v>
      </c>
      <c r="G13691" t="s">
        <v>16404</v>
      </c>
      <c r="H13691" t="s">
        <v>21134</v>
      </c>
    </row>
    <row r="13692" spans="6:8">
      <c r="H13692" t="s">
        <v>18829</v>
      </c>
    </row>
    <row r="13693" spans="6:8">
      <c r="H13693" t="s">
        <v>18863</v>
      </c>
    </row>
    <row r="13694" spans="6:8">
      <c r="H13694" t="s">
        <v>20454</v>
      </c>
    </row>
    <row r="13695" spans="6:8">
      <c r="H13695" t="s">
        <v>19349</v>
      </c>
    </row>
    <row r="13696" spans="6:8">
      <c r="H13696" t="s">
        <v>20209</v>
      </c>
    </row>
    <row r="13697" spans="1:8">
      <c r="A13697" t="s">
        <v>385</v>
      </c>
      <c r="B13697">
        <f>HYPERLINK("https://android.googlesource.com/platform/cts/+/4e6d45f82b77da6b36998ddf51d628753867d137", "4e6d45f82b77da6b36998ddf51d628753867d137")</f>
        <v>0</v>
      </c>
      <c r="C13697">
        <f>HYPERLINK("https://android.googlesource.com/platform/cts/+/a0296d64c0c18e1a892d0ef770830624a8af0411", "a0296d64c0c18e1a892d0ef770830624a8af0411")</f>
        <v>0</v>
      </c>
      <c r="D13697" t="s">
        <v>4973</v>
      </c>
      <c r="E13697" t="s">
        <v>6179</v>
      </c>
      <c r="F13697" t="s">
        <v>11454</v>
      </c>
      <c r="G13697" t="s">
        <v>15694</v>
      </c>
      <c r="H13697" t="s">
        <v>21135</v>
      </c>
    </row>
    <row r="13698" spans="1:8">
      <c r="A13698" t="s">
        <v>386</v>
      </c>
      <c r="B13698">
        <f>HYPERLINK("https://android.googlesource.com/platform/cts/+/249fe05dbee3fcf67a1fcbb6c5371f833c606450", "249fe05dbee3fcf67a1fcbb6c5371f833c606450")</f>
        <v>0</v>
      </c>
      <c r="C13698">
        <f>HYPERLINK("https://android.googlesource.com/platform/cts/+/355ac7ba6634755553f607c6cce0fb623bea5519", "355ac7ba6634755553f607c6cce0fb623bea5519")</f>
        <v>0</v>
      </c>
      <c r="D13698" t="s">
        <v>4987</v>
      </c>
      <c r="E13698" t="s">
        <v>6180</v>
      </c>
      <c r="F13698" t="s">
        <v>10721</v>
      </c>
      <c r="G13698" t="s">
        <v>15120</v>
      </c>
      <c r="H13698" t="s">
        <v>21136</v>
      </c>
    </row>
    <row r="13699" spans="1:8">
      <c r="H13699" t="s">
        <v>18829</v>
      </c>
    </row>
    <row r="13700" spans="1:8">
      <c r="H13700" t="s">
        <v>18863</v>
      </c>
    </row>
    <row r="13701" spans="1:8">
      <c r="H13701" t="s">
        <v>21137</v>
      </c>
    </row>
    <row r="13702" spans="1:8">
      <c r="H13702" t="s">
        <v>21138</v>
      </c>
    </row>
    <row r="13703" spans="1:8">
      <c r="H13703" t="s">
        <v>21139</v>
      </c>
    </row>
    <row r="13704" spans="1:8">
      <c r="H13704" t="s">
        <v>19213</v>
      </c>
    </row>
    <row r="13705" spans="1:8">
      <c r="F13705" t="s">
        <v>11190</v>
      </c>
      <c r="G13705" t="s">
        <v>15579</v>
      </c>
      <c r="H13705" t="s">
        <v>21140</v>
      </c>
    </row>
    <row r="13706" spans="1:8">
      <c r="H13706" t="s">
        <v>18829</v>
      </c>
    </row>
    <row r="13707" spans="1:8">
      <c r="H13707" t="s">
        <v>18863</v>
      </c>
    </row>
    <row r="13708" spans="1:8">
      <c r="H13708" t="s">
        <v>21141</v>
      </c>
    </row>
    <row r="13709" spans="1:8">
      <c r="F13709" t="s">
        <v>10687</v>
      </c>
      <c r="G13709" t="s">
        <v>15087</v>
      </c>
      <c r="H13709" t="s">
        <v>21142</v>
      </c>
    </row>
    <row r="13710" spans="1:8">
      <c r="A13710" t="s">
        <v>387</v>
      </c>
      <c r="B13710">
        <f>HYPERLINK("https://android.googlesource.com/platform/cts/+/b1677ec3ffc62cc9ca67e57ce0eeefdd63d20c5d", "b1677ec3ffc62cc9ca67e57ce0eeefdd63d20c5d")</f>
        <v>0</v>
      </c>
      <c r="C13710">
        <f>HYPERLINK("https://android.googlesource.com/platform/cts/+/d747becc7c644563f8003a78ffb3442dc61f672b", "d747becc7c644563f8003a78ffb3442dc61f672b")</f>
        <v>0</v>
      </c>
      <c r="D13710" t="s">
        <v>4973</v>
      </c>
      <c r="E13710" t="s">
        <v>6181</v>
      </c>
      <c r="F13710" t="s">
        <v>12164</v>
      </c>
      <c r="G13710" t="s">
        <v>16405</v>
      </c>
      <c r="H13710" t="s">
        <v>21143</v>
      </c>
    </row>
    <row r="13711" spans="1:8">
      <c r="H13711" t="s">
        <v>21144</v>
      </c>
    </row>
    <row r="13712" spans="1:8">
      <c r="H13712" t="s">
        <v>21145</v>
      </c>
    </row>
    <row r="13713" spans="1:8">
      <c r="H13713" t="s">
        <v>21146</v>
      </c>
    </row>
    <row r="13714" spans="1:8">
      <c r="H13714" t="s">
        <v>21147</v>
      </c>
    </row>
    <row r="13715" spans="1:8">
      <c r="H13715" t="s">
        <v>21148</v>
      </c>
    </row>
    <row r="13716" spans="1:8">
      <c r="H13716" t="s">
        <v>21149</v>
      </c>
    </row>
    <row r="13717" spans="1:8">
      <c r="A13717" t="s">
        <v>388</v>
      </c>
      <c r="B13717">
        <f>HYPERLINK("https://android.googlesource.com/platform/cts/+/24428b818f44db5a242b3858bb97a15becad2318", "24428b818f44db5a242b3858bb97a15becad2318")</f>
        <v>0</v>
      </c>
      <c r="C13717">
        <f>HYPERLINK("https://android.googlesource.com/platform/cts/+/640916170fd94f52afc42e116f5086165136785d", "640916170fd94f52afc42e116f5086165136785d")</f>
        <v>0</v>
      </c>
      <c r="D13717" t="s">
        <v>4973</v>
      </c>
      <c r="E13717" t="s">
        <v>6182</v>
      </c>
      <c r="F13717" t="s">
        <v>11454</v>
      </c>
      <c r="G13717" t="s">
        <v>15694</v>
      </c>
      <c r="H13717" t="s">
        <v>21150</v>
      </c>
    </row>
    <row r="13718" spans="1:8">
      <c r="A13718" t="s">
        <v>389</v>
      </c>
      <c r="B13718">
        <f>HYPERLINK("https://android.googlesource.com/platform/cts/+/70d002367c94dae15fe19029f5f8dc13ed5054c0", "70d002367c94dae15fe19029f5f8dc13ed5054c0")</f>
        <v>0</v>
      </c>
      <c r="C13718">
        <f>HYPERLINK("https://android.googlesource.com/platform/cts/+/bdbb8113ca5973ab7c8ea0433a2bd877d15b6d23", "bdbb8113ca5973ab7c8ea0433a2bd877d15b6d23")</f>
        <v>0</v>
      </c>
      <c r="D13718" t="s">
        <v>4973</v>
      </c>
      <c r="E13718" t="s">
        <v>6183</v>
      </c>
      <c r="F13718" t="s">
        <v>12165</v>
      </c>
      <c r="G13718" t="s">
        <v>15676</v>
      </c>
      <c r="H13718" t="s">
        <v>20298</v>
      </c>
    </row>
    <row r="13719" spans="1:8">
      <c r="H13719" t="s">
        <v>20299</v>
      </c>
    </row>
    <row r="13720" spans="1:8">
      <c r="H13720" t="s">
        <v>20300</v>
      </c>
    </row>
    <row r="13721" spans="1:8">
      <c r="H13721" t="s">
        <v>20301</v>
      </c>
    </row>
    <row r="13722" spans="1:8">
      <c r="H13722" t="s">
        <v>20302</v>
      </c>
    </row>
    <row r="13723" spans="1:8">
      <c r="H13723" t="s">
        <v>20303</v>
      </c>
    </row>
    <row r="13724" spans="1:8">
      <c r="A13724" t="s">
        <v>390</v>
      </c>
      <c r="B13724">
        <f>HYPERLINK("https://android.googlesource.com/platform/cts/+/0ed72c72490f37a7d31643b459300e67fd3a5a1b", "0ed72c72490f37a7d31643b459300e67fd3a5a1b")</f>
        <v>0</v>
      </c>
      <c r="C13724">
        <f>HYPERLINK("https://android.googlesource.com/platform/cts/+/eec74668cf14293cd66968b73146cf4471fdfe47", "eec74668cf14293cd66968b73146cf4471fdfe47")</f>
        <v>0</v>
      </c>
      <c r="D13724" t="s">
        <v>4973</v>
      </c>
      <c r="E13724" t="s">
        <v>6184</v>
      </c>
      <c r="F13724" t="s">
        <v>11454</v>
      </c>
      <c r="G13724" t="s">
        <v>15694</v>
      </c>
      <c r="H13724" t="s">
        <v>21151</v>
      </c>
    </row>
    <row r="13725" spans="1:8">
      <c r="H13725" t="s">
        <v>21152</v>
      </c>
    </row>
    <row r="13726" spans="1:8">
      <c r="H13726" t="s">
        <v>21153</v>
      </c>
    </row>
    <row r="13727" spans="1:8">
      <c r="F13727" t="s">
        <v>11455</v>
      </c>
      <c r="G13727" t="s">
        <v>15695</v>
      </c>
      <c r="H13727" t="s">
        <v>21152</v>
      </c>
    </row>
    <row r="13728" spans="1:8">
      <c r="H13728" t="s">
        <v>21153</v>
      </c>
    </row>
    <row r="13729" spans="1:8">
      <c r="A13729" t="s">
        <v>391</v>
      </c>
      <c r="B13729">
        <f>HYPERLINK("https://android.googlesource.com/platform/cts/+/429cd4e77a27b07df65b3930bc19663ecdab1815", "429cd4e77a27b07df65b3930bc19663ecdab1815")</f>
        <v>0</v>
      </c>
      <c r="C13729">
        <f>HYPERLINK("https://android.googlesource.com/platform/cts/+/a0030efc8d69f281189d9dcae4e235883002f8f7", "a0030efc8d69f281189d9dcae4e235883002f8f7")</f>
        <v>0</v>
      </c>
      <c r="D13729" t="s">
        <v>4981</v>
      </c>
      <c r="E13729" t="s">
        <v>6185</v>
      </c>
      <c r="F13729" t="s">
        <v>12166</v>
      </c>
      <c r="G13729" t="s">
        <v>16406</v>
      </c>
      <c r="H13729" t="s">
        <v>21154</v>
      </c>
    </row>
    <row r="13730" spans="1:8">
      <c r="H13730" t="s">
        <v>21155</v>
      </c>
    </row>
    <row r="13731" spans="1:8">
      <c r="A13731" t="s">
        <v>392</v>
      </c>
      <c r="B13731">
        <f>HYPERLINK("https://android.googlesource.com/platform/cts/+/ade195341f22c03b3a1b2f29729bcb3dbca8710a", "ade195341f22c03b3a1b2f29729bcb3dbca8710a")</f>
        <v>0</v>
      </c>
      <c r="C13731">
        <f>HYPERLINK("https://android.googlesource.com/platform/cts/+/8d13f3f8cbf991832117a68053905df1659d71e0", "8d13f3f8cbf991832117a68053905df1659d71e0")</f>
        <v>0</v>
      </c>
      <c r="D13731" t="s">
        <v>4980</v>
      </c>
      <c r="E13731" t="s">
        <v>6186</v>
      </c>
      <c r="F13731" t="s">
        <v>10750</v>
      </c>
      <c r="G13731" t="s">
        <v>15148</v>
      </c>
      <c r="H13731" t="s">
        <v>21156</v>
      </c>
    </row>
    <row r="13732" spans="1:8">
      <c r="H13732" t="s">
        <v>21157</v>
      </c>
    </row>
    <row r="13733" spans="1:8">
      <c r="A13733" t="s">
        <v>393</v>
      </c>
      <c r="B13733">
        <f>HYPERLINK("https://android.googlesource.com/platform/cts/+/2e8627ac963a680c941f8147dca784a8d58a9b35", "2e8627ac963a680c941f8147dca784a8d58a9b35")</f>
        <v>0</v>
      </c>
      <c r="C13733">
        <f>HYPERLINK("https://android.googlesource.com/platform/cts/+/72ebb23ef0dd074e1852bc4e9d4ff75c59787b1f", "72ebb23ef0dd074e1852bc4e9d4ff75c59787b1f")</f>
        <v>0</v>
      </c>
      <c r="D13733" t="s">
        <v>4957</v>
      </c>
      <c r="E13733" t="s">
        <v>6187</v>
      </c>
      <c r="F13733" t="s">
        <v>12167</v>
      </c>
      <c r="G13733" t="s">
        <v>16407</v>
      </c>
      <c r="H13733" t="s">
        <v>21158</v>
      </c>
    </row>
    <row r="13734" spans="1:8">
      <c r="H13734" t="s">
        <v>21159</v>
      </c>
    </row>
    <row r="13735" spans="1:8">
      <c r="H13735" t="s">
        <v>21160</v>
      </c>
    </row>
    <row r="13736" spans="1:8">
      <c r="A13736" t="s">
        <v>394</v>
      </c>
      <c r="B13736">
        <f>HYPERLINK("https://android.googlesource.com/platform/cts/+/8cb5b6bbeeb0b59cd9a6cd3bf8c6161a22e7eae3", "8cb5b6bbeeb0b59cd9a6cd3bf8c6161a22e7eae3")</f>
        <v>0</v>
      </c>
      <c r="C13736">
        <f>HYPERLINK("https://android.googlesource.com/platform/cts/+/2a89c1e45aab107823c5b0f59f7ea21b36fcbe5e", "2a89c1e45aab107823c5b0f59f7ea21b36fcbe5e")</f>
        <v>0</v>
      </c>
      <c r="D13736" t="s">
        <v>4981</v>
      </c>
      <c r="E13736" t="s">
        <v>6188</v>
      </c>
      <c r="F13736" t="s">
        <v>12168</v>
      </c>
      <c r="G13736" t="s">
        <v>16408</v>
      </c>
      <c r="H13736" t="s">
        <v>21161</v>
      </c>
    </row>
    <row r="13737" spans="1:8">
      <c r="A13737" t="s">
        <v>395</v>
      </c>
      <c r="B13737">
        <f>HYPERLINK("https://android.googlesource.com/platform/cts/+/3fb1b91245e49887eec95f0daaaeef42766fc10b", "3fb1b91245e49887eec95f0daaaeef42766fc10b")</f>
        <v>0</v>
      </c>
      <c r="C13737">
        <f>HYPERLINK("https://android.googlesource.com/platform/cts/+/1060c8d576edb86f9df1f3f3ec178a0a0100c1e6", "1060c8d576edb86f9df1f3f3ec178a0a0100c1e6")</f>
        <v>0</v>
      </c>
      <c r="D13737" t="s">
        <v>4980</v>
      </c>
      <c r="E13737" t="s">
        <v>6189</v>
      </c>
      <c r="F13737" t="s">
        <v>12169</v>
      </c>
      <c r="G13737" t="s">
        <v>16409</v>
      </c>
      <c r="H13737" t="s">
        <v>21162</v>
      </c>
    </row>
    <row r="13738" spans="1:8">
      <c r="A13738" t="s">
        <v>396</v>
      </c>
      <c r="B13738">
        <f>HYPERLINK("https://android.googlesource.com/platform/cts/+/7e0ac86763565fa9d1d287932302f3e70064bc29", "7e0ac86763565fa9d1d287932302f3e70064bc29")</f>
        <v>0</v>
      </c>
      <c r="C13738">
        <f>HYPERLINK("https://android.googlesource.com/platform/cts/+/a33c105bb8396eac924e1c662ba1704ac40566e9", "a33c105bb8396eac924e1c662ba1704ac40566e9")</f>
        <v>0</v>
      </c>
      <c r="D13738" t="s">
        <v>4980</v>
      </c>
      <c r="E13738" t="s">
        <v>6190</v>
      </c>
      <c r="F13738" t="s">
        <v>10687</v>
      </c>
      <c r="G13738" t="s">
        <v>15087</v>
      </c>
      <c r="H13738" t="s">
        <v>21163</v>
      </c>
    </row>
    <row r="13739" spans="1:8">
      <c r="A13739" t="s">
        <v>397</v>
      </c>
      <c r="B13739">
        <f>HYPERLINK("https://android.googlesource.com/platform/cts/+/a8e522fe17e748294bcc5fe7bd69572ca3a417be", "a8e522fe17e748294bcc5fe7bd69572ca3a417be")</f>
        <v>0</v>
      </c>
      <c r="C13739">
        <f>HYPERLINK("https://android.googlesource.com/platform/cts/+/1824b0936b345c41e63200900cf2defa9440c0bf", "1824b0936b345c41e63200900cf2defa9440c0bf")</f>
        <v>0</v>
      </c>
      <c r="D13739" t="s">
        <v>4988</v>
      </c>
      <c r="E13739" t="s">
        <v>6191</v>
      </c>
      <c r="F13739" t="s">
        <v>12170</v>
      </c>
      <c r="G13739" t="s">
        <v>16410</v>
      </c>
      <c r="H13739" t="s">
        <v>21164</v>
      </c>
    </row>
    <row r="13740" spans="1:8">
      <c r="A13740" t="s">
        <v>398</v>
      </c>
      <c r="B13740">
        <f>HYPERLINK("https://android.googlesource.com/platform/cts/+/37eaaa0ac1ead9561a6af2a1cc5106efee5a0855", "37eaaa0ac1ead9561a6af2a1cc5106efee5a0855")</f>
        <v>0</v>
      </c>
      <c r="C13740">
        <f>HYPERLINK("https://android.googlesource.com/platform/cts/+/ce692966d5e59fe10027cbcd0298c91d4754cd63", "ce692966d5e59fe10027cbcd0298c91d4754cd63")</f>
        <v>0</v>
      </c>
      <c r="D13740" t="s">
        <v>4989</v>
      </c>
      <c r="E13740" t="s">
        <v>6192</v>
      </c>
      <c r="F13740" t="s">
        <v>12171</v>
      </c>
      <c r="G13740" t="s">
        <v>15008</v>
      </c>
      <c r="H13740" t="s">
        <v>21165</v>
      </c>
    </row>
    <row r="13741" spans="1:8">
      <c r="H13741" t="s">
        <v>21166</v>
      </c>
    </row>
    <row r="13742" spans="1:8">
      <c r="A13742" t="s">
        <v>399</v>
      </c>
      <c r="B13742">
        <f>HYPERLINK("https://android.googlesource.com/platform/cts/+/abd7f62560b53c40bc22f3a19630fe9b1dae95d2", "abd7f62560b53c40bc22f3a19630fe9b1dae95d2")</f>
        <v>0</v>
      </c>
      <c r="C13742">
        <f>HYPERLINK("https://android.googlesource.com/platform/cts/+/54ea8079237becd99105093d1daf70f04d12bd24", "54ea8079237becd99105093d1daf70f04d12bd24")</f>
        <v>0</v>
      </c>
      <c r="D13742" t="s">
        <v>4980</v>
      </c>
      <c r="E13742" t="s">
        <v>6193</v>
      </c>
      <c r="F13742" t="s">
        <v>10687</v>
      </c>
      <c r="G13742" t="s">
        <v>15087</v>
      </c>
      <c r="H13742" t="s">
        <v>21167</v>
      </c>
    </row>
    <row r="13743" spans="1:8">
      <c r="A13743" t="s">
        <v>400</v>
      </c>
      <c r="B13743">
        <f>HYPERLINK("https://android.googlesource.com/platform/cts/+/697f564baecbbf8d36cfb6897ebaf40ef7bc31b7", "697f564baecbbf8d36cfb6897ebaf40ef7bc31b7")</f>
        <v>0</v>
      </c>
      <c r="C13743">
        <f>HYPERLINK("https://android.googlesource.com/platform/cts/+/ce692966d5e59fe10027cbcd0298c91d4754cd63", "ce692966d5e59fe10027cbcd0298c91d4754cd63")</f>
        <v>0</v>
      </c>
      <c r="D13743" t="s">
        <v>4973</v>
      </c>
      <c r="E13743" t="s">
        <v>6194</v>
      </c>
      <c r="F13743" t="s">
        <v>12172</v>
      </c>
      <c r="G13743" t="s">
        <v>16411</v>
      </c>
      <c r="H13743" t="s">
        <v>21168</v>
      </c>
    </row>
    <row r="13744" spans="1:8">
      <c r="A13744" t="s">
        <v>401</v>
      </c>
      <c r="B13744">
        <f>HYPERLINK("https://android.googlesource.com/platform/cts/+/f1a472051e8c56ff7b2a017129b405be6e184b20", "f1a472051e8c56ff7b2a017129b405be6e184b20")</f>
        <v>0</v>
      </c>
      <c r="C13744">
        <f>HYPERLINK("https://android.googlesource.com/platform/cts/+/5ed832af05ab5f61ae45206ca1ac589f2ba7903b", "5ed832af05ab5f61ae45206ca1ac589f2ba7903b")</f>
        <v>0</v>
      </c>
      <c r="D13744" t="s">
        <v>4973</v>
      </c>
      <c r="E13744" t="s">
        <v>6195</v>
      </c>
      <c r="F13744" t="s">
        <v>11477</v>
      </c>
      <c r="G13744" t="s">
        <v>15717</v>
      </c>
      <c r="H13744" t="s">
        <v>20440</v>
      </c>
    </row>
    <row r="13745" spans="1:8">
      <c r="H13745" t="s">
        <v>20441</v>
      </c>
    </row>
    <row r="13746" spans="1:8">
      <c r="A13746" t="s">
        <v>402</v>
      </c>
      <c r="B13746">
        <f>HYPERLINK("https://android.googlesource.com/platform/cts/+/7993485b87a11657654a50e45be81cbeccd2f009", "7993485b87a11657654a50e45be81cbeccd2f009")</f>
        <v>0</v>
      </c>
      <c r="C13746">
        <f>HYPERLINK("https://android.googlesource.com/platform/cts/+/c7081bdb42feeea7c1cff5d023ac97f350a13903", "c7081bdb42feeea7c1cff5d023ac97f350a13903")</f>
        <v>0</v>
      </c>
      <c r="D13746" t="s">
        <v>4952</v>
      </c>
      <c r="E13746" t="s">
        <v>6196</v>
      </c>
      <c r="F13746" t="s">
        <v>12173</v>
      </c>
      <c r="G13746" t="s">
        <v>16412</v>
      </c>
      <c r="H13746" t="s">
        <v>21169</v>
      </c>
    </row>
    <row r="13747" spans="1:8">
      <c r="A13747" t="s">
        <v>403</v>
      </c>
      <c r="B13747">
        <f>HYPERLINK("https://android.googlesource.com/platform/cts/+/40a2d7e16acfe7180bbef0a4f3f7694d5008ea4f", "40a2d7e16acfe7180bbef0a4f3f7694d5008ea4f")</f>
        <v>0</v>
      </c>
      <c r="C13747">
        <f>HYPERLINK("https://android.googlesource.com/platform/cts/+/1922bf5e3d9fa47134747fcf28734e21cbe3ead4", "1922bf5e3d9fa47134747fcf28734e21cbe3ead4")</f>
        <v>0</v>
      </c>
      <c r="D13747" t="s">
        <v>4952</v>
      </c>
      <c r="E13747" t="s">
        <v>6197</v>
      </c>
      <c r="F13747" t="s">
        <v>12173</v>
      </c>
      <c r="G13747" t="s">
        <v>16412</v>
      </c>
      <c r="H13747" t="s">
        <v>21169</v>
      </c>
    </row>
    <row r="13748" spans="1:8">
      <c r="A13748" t="s">
        <v>404</v>
      </c>
      <c r="B13748">
        <f>HYPERLINK("https://android.googlesource.com/platform/cts/+/8f84783fb17b87f36473982b67bdc1a09c6997a7", "8f84783fb17b87f36473982b67bdc1a09c6997a7")</f>
        <v>0</v>
      </c>
      <c r="C13748">
        <f>HYPERLINK("https://android.googlesource.com/platform/cts/+/94d26b0c4352ae9b0c3f8d85df55c7ed20fb9f41", "94d26b0c4352ae9b0c3f8d85df55c7ed20fb9f41")</f>
        <v>0</v>
      </c>
      <c r="D13748" t="s">
        <v>4952</v>
      </c>
      <c r="E13748" t="s">
        <v>6198</v>
      </c>
      <c r="F13748" t="s">
        <v>12174</v>
      </c>
      <c r="G13748" t="s">
        <v>16413</v>
      </c>
      <c r="H13748" t="s">
        <v>21170</v>
      </c>
    </row>
    <row r="13749" spans="1:8">
      <c r="A13749" t="s">
        <v>405</v>
      </c>
      <c r="B13749">
        <f>HYPERLINK("https://android.googlesource.com/platform/cts/+/7432633be5569b9cd08480468e716d35baf7ecfc", "7432633be5569b9cd08480468e716d35baf7ecfc")</f>
        <v>0</v>
      </c>
      <c r="C13749">
        <f>HYPERLINK("https://android.googlesource.com/platform/cts/+/1922bf5e3d9fa47134747fcf28734e21cbe3ead4", "1922bf5e3d9fa47134747fcf28734e21cbe3ead4")</f>
        <v>0</v>
      </c>
      <c r="D13749" t="s">
        <v>4990</v>
      </c>
      <c r="E13749" t="s">
        <v>6199</v>
      </c>
      <c r="F13749" t="s">
        <v>12175</v>
      </c>
      <c r="G13749" t="s">
        <v>16414</v>
      </c>
      <c r="H13749" t="s">
        <v>21171</v>
      </c>
    </row>
    <row r="13750" spans="1:8">
      <c r="A13750" t="s">
        <v>406</v>
      </c>
      <c r="B13750">
        <f>HYPERLINK("https://android.googlesource.com/platform/cts/+/454631c5c6e4ee54ae67193c045b52463f7438e1", "454631c5c6e4ee54ae67193c045b52463f7438e1")</f>
        <v>0</v>
      </c>
      <c r="C13750">
        <f>HYPERLINK("https://android.googlesource.com/platform/cts/+/df312ed807e97e83aaf6bbd407d2a6480bcc0958", "df312ed807e97e83aaf6bbd407d2a6480bcc0958")</f>
        <v>0</v>
      </c>
      <c r="D13750" t="s">
        <v>4990</v>
      </c>
      <c r="E13750" t="s">
        <v>6200</v>
      </c>
      <c r="F13750" t="s">
        <v>12175</v>
      </c>
      <c r="G13750" t="s">
        <v>16414</v>
      </c>
      <c r="H13750" t="s">
        <v>21172</v>
      </c>
    </row>
    <row r="13751" spans="1:8">
      <c r="A13751" t="s">
        <v>407</v>
      </c>
      <c r="B13751">
        <f>HYPERLINK("https://android.googlesource.com/platform/cts/+/0235daf4e9e397fe2152b469530dc16ad86fbc3b", "0235daf4e9e397fe2152b469530dc16ad86fbc3b")</f>
        <v>0</v>
      </c>
      <c r="C13751">
        <f>HYPERLINK("https://android.googlesource.com/platform/cts/+/67beea30c970c2f3e07e1ef4ce12b70a66b6d7ed", "67beea30c970c2f3e07e1ef4ce12b70a66b6d7ed")</f>
        <v>0</v>
      </c>
      <c r="D13751" t="s">
        <v>4991</v>
      </c>
      <c r="E13751" t="s">
        <v>6201</v>
      </c>
      <c r="F13751" t="s">
        <v>11193</v>
      </c>
      <c r="G13751" t="s">
        <v>15582</v>
      </c>
      <c r="H13751" t="s">
        <v>21173</v>
      </c>
    </row>
    <row r="13752" spans="1:8">
      <c r="A13752" t="s">
        <v>408</v>
      </c>
      <c r="B13752">
        <f>HYPERLINK("https://android.googlesource.com/platform/cts/+/ec84c91ca2110ef00727f7dd24a8b0e02859c4fb", "ec84c91ca2110ef00727f7dd24a8b0e02859c4fb")</f>
        <v>0</v>
      </c>
      <c r="C13752">
        <f>HYPERLINK("https://android.googlesource.com/platform/cts/+/0d1f079da8d61874cbdb5418d933707a19125d4f", "0d1f079da8d61874cbdb5418d933707a19125d4f")</f>
        <v>0</v>
      </c>
      <c r="D13752" t="s">
        <v>4974</v>
      </c>
      <c r="E13752" t="s">
        <v>6202</v>
      </c>
      <c r="F13752" t="s">
        <v>12176</v>
      </c>
      <c r="G13752" t="s">
        <v>16415</v>
      </c>
      <c r="H13752" t="s">
        <v>19034</v>
      </c>
    </row>
    <row r="13753" spans="1:8">
      <c r="A13753" t="s">
        <v>409</v>
      </c>
      <c r="B13753">
        <f>HYPERLINK("https://android.googlesource.com/platform/cts/+/ed0cd10b3b1a78b7c146c3457f0e5d254af5e32f", "ed0cd10b3b1a78b7c146c3457f0e5d254af5e32f")</f>
        <v>0</v>
      </c>
      <c r="C13753">
        <f>HYPERLINK("https://android.googlesource.com/platform/cts/+/35936e7b7c30cc3755311cfd93e46e5d81c4c670", "35936e7b7c30cc3755311cfd93e46e5d81c4c670")</f>
        <v>0</v>
      </c>
      <c r="D13753" t="s">
        <v>4984</v>
      </c>
      <c r="E13753" t="s">
        <v>6203</v>
      </c>
      <c r="F13753" t="s">
        <v>11192</v>
      </c>
      <c r="G13753" t="s">
        <v>15581</v>
      </c>
      <c r="H13753" t="s">
        <v>21174</v>
      </c>
    </row>
    <row r="13754" spans="1:8">
      <c r="H13754" t="s">
        <v>21175</v>
      </c>
    </row>
    <row r="13755" spans="1:8">
      <c r="A13755" t="s">
        <v>410</v>
      </c>
      <c r="B13755">
        <f>HYPERLINK("https://android.googlesource.com/platform/cts/+/a7212deb6ccbfc5705a19fb1beebbf061fc3a007", "a7212deb6ccbfc5705a19fb1beebbf061fc3a007")</f>
        <v>0</v>
      </c>
      <c r="C13755">
        <f>HYPERLINK("https://android.googlesource.com/platform/cts/+/4f0d3b9d18388d010f15dd0bf0b0596886ff5c1e", "4f0d3b9d18388d010f15dd0bf0b0596886ff5c1e")</f>
        <v>0</v>
      </c>
      <c r="D13755" t="s">
        <v>4976</v>
      </c>
      <c r="E13755" t="s">
        <v>6204</v>
      </c>
      <c r="F13755" t="s">
        <v>11193</v>
      </c>
      <c r="G13755" t="s">
        <v>15582</v>
      </c>
      <c r="H13755" t="s">
        <v>21176</v>
      </c>
    </row>
    <row r="13756" spans="1:8">
      <c r="A13756" t="s">
        <v>411</v>
      </c>
      <c r="B13756">
        <f>HYPERLINK("https://android.googlesource.com/platform/cts/+/a15f67ae7c0361db2c4fc8bdf7b27cf9cb32a312", "a15f67ae7c0361db2c4fc8bdf7b27cf9cb32a312")</f>
        <v>0</v>
      </c>
      <c r="C13756">
        <f>HYPERLINK("https://android.googlesource.com/platform/cts/+/4f0d3b9d18388d010f15dd0bf0b0596886ff5c1e", "4f0d3b9d18388d010f15dd0bf0b0596886ff5c1e")</f>
        <v>0</v>
      </c>
      <c r="D13756" t="s">
        <v>4976</v>
      </c>
      <c r="E13756" t="s">
        <v>6205</v>
      </c>
      <c r="F13756" t="s">
        <v>11193</v>
      </c>
      <c r="G13756" t="s">
        <v>15582</v>
      </c>
      <c r="H13756" t="s">
        <v>21177</v>
      </c>
    </row>
    <row r="13757" spans="1:8">
      <c r="A13757" t="s">
        <v>412</v>
      </c>
      <c r="B13757">
        <f>HYPERLINK("https://android.googlesource.com/platform/cts/+/fb5798629739e3a0343f50418aec7beea3ddd6f5", "fb5798629739e3a0343f50418aec7beea3ddd6f5")</f>
        <v>0</v>
      </c>
      <c r="C13757">
        <f>HYPERLINK("https://android.googlesource.com/platform/cts/+/df45c01962a8deca614d1ec004220d975978b1c1", "df45c01962a8deca614d1ec004220d975978b1c1")</f>
        <v>0</v>
      </c>
      <c r="D13757" t="s">
        <v>4992</v>
      </c>
      <c r="E13757" t="s">
        <v>6206</v>
      </c>
      <c r="F13757" t="s">
        <v>10687</v>
      </c>
      <c r="G13757" t="s">
        <v>15087</v>
      </c>
      <c r="H13757" t="s">
        <v>21178</v>
      </c>
    </row>
    <row r="13758" spans="1:8">
      <c r="A13758" t="s">
        <v>413</v>
      </c>
      <c r="B13758">
        <f>HYPERLINK("https://android.googlesource.com/platform/cts/+/96b6e21011bee83ce54dd0aff3206847fd43a385", "96b6e21011bee83ce54dd0aff3206847fd43a385")</f>
        <v>0</v>
      </c>
      <c r="C13758">
        <f>HYPERLINK("https://android.googlesource.com/platform/cts/+/13f9624353332f4045b1bcf5dce9523e5f54c923", "13f9624353332f4045b1bcf5dce9523e5f54c923")</f>
        <v>0</v>
      </c>
      <c r="D13758" t="s">
        <v>4991</v>
      </c>
      <c r="E13758" t="s">
        <v>6207</v>
      </c>
      <c r="F13758" t="s">
        <v>11193</v>
      </c>
      <c r="G13758" t="s">
        <v>15582</v>
      </c>
      <c r="H13758" t="s">
        <v>21179</v>
      </c>
    </row>
    <row r="13759" spans="1:8">
      <c r="F13759" t="s">
        <v>10687</v>
      </c>
      <c r="G13759" t="s">
        <v>15087</v>
      </c>
      <c r="H13759" t="s">
        <v>21180</v>
      </c>
    </row>
    <row r="13760" spans="1:8">
      <c r="A13760" t="s">
        <v>414</v>
      </c>
      <c r="B13760">
        <f>HYPERLINK("https://android.googlesource.com/platform/cts/+/eef4c57eef34cd90794afb9165c071f6be6e1fcd", "eef4c57eef34cd90794afb9165c071f6be6e1fcd")</f>
        <v>0</v>
      </c>
      <c r="C13760">
        <f>HYPERLINK("https://android.googlesource.com/platform/cts/+/b2a4b59e58cce4e65c7c9347295007a735e995a7", "b2a4b59e58cce4e65c7c9347295007a735e995a7")</f>
        <v>0</v>
      </c>
      <c r="D13760" t="s">
        <v>4973</v>
      </c>
      <c r="E13760" t="s">
        <v>6208</v>
      </c>
      <c r="F13760" t="s">
        <v>12177</v>
      </c>
      <c r="G13760" t="s">
        <v>16416</v>
      </c>
      <c r="H13760" t="s">
        <v>18829</v>
      </c>
    </row>
    <row r="13761" spans="1:8">
      <c r="H13761" t="s">
        <v>18863</v>
      </c>
    </row>
    <row r="13762" spans="1:8">
      <c r="H13762" t="s">
        <v>21181</v>
      </c>
    </row>
    <row r="13763" spans="1:8">
      <c r="H13763" t="s">
        <v>21182</v>
      </c>
    </row>
    <row r="13764" spans="1:8">
      <c r="H13764" t="s">
        <v>21183</v>
      </c>
    </row>
    <row r="13765" spans="1:8">
      <c r="H13765" t="s">
        <v>21184</v>
      </c>
    </row>
    <row r="13766" spans="1:8">
      <c r="H13766" t="s">
        <v>20237</v>
      </c>
    </row>
    <row r="13767" spans="1:8">
      <c r="H13767" t="s">
        <v>19019</v>
      </c>
    </row>
    <row r="13768" spans="1:8">
      <c r="F13768" t="s">
        <v>12178</v>
      </c>
      <c r="G13768" t="s">
        <v>16417</v>
      </c>
      <c r="H13768" t="s">
        <v>20244</v>
      </c>
    </row>
    <row r="13769" spans="1:8">
      <c r="H13769" t="s">
        <v>18829</v>
      </c>
    </row>
    <row r="13770" spans="1:8">
      <c r="H13770" t="s">
        <v>18863</v>
      </c>
    </row>
    <row r="13771" spans="1:8">
      <c r="H13771" t="s">
        <v>21181</v>
      </c>
    </row>
    <row r="13772" spans="1:8">
      <c r="H13772" t="s">
        <v>21182</v>
      </c>
    </row>
    <row r="13773" spans="1:8">
      <c r="H13773" t="s">
        <v>21185</v>
      </c>
    </row>
    <row r="13774" spans="1:8">
      <c r="H13774" t="s">
        <v>21186</v>
      </c>
    </row>
    <row r="13775" spans="1:8">
      <c r="H13775" t="s">
        <v>21187</v>
      </c>
    </row>
    <row r="13776" spans="1:8">
      <c r="A13776" t="s">
        <v>415</v>
      </c>
      <c r="B13776">
        <f>HYPERLINK("https://android.googlesource.com/platform/cts/+/5a3302ab1fa404a673208b901b2b02274d211034", "5a3302ab1fa404a673208b901b2b02274d211034")</f>
        <v>0</v>
      </c>
      <c r="C13776">
        <f>HYPERLINK("https://android.googlesource.com/platform/cts/+/9e5dbc34a454643b61ff3065cc9e06860be1420c", "9e5dbc34a454643b61ff3065cc9e06860be1420c")</f>
        <v>0</v>
      </c>
      <c r="D13776" t="s">
        <v>4993</v>
      </c>
      <c r="E13776" t="s">
        <v>6209</v>
      </c>
      <c r="F13776" t="s">
        <v>12179</v>
      </c>
      <c r="G13776" t="s">
        <v>16418</v>
      </c>
      <c r="H13776" t="s">
        <v>18835</v>
      </c>
    </row>
    <row r="13777" spans="1:8">
      <c r="A13777" t="s">
        <v>416</v>
      </c>
      <c r="B13777">
        <f>HYPERLINK("https://android.googlesource.com/platform/cts/+/a4868789ce153b45e85cc1627181f57139e9a343", "a4868789ce153b45e85cc1627181f57139e9a343")</f>
        <v>0</v>
      </c>
      <c r="C13777">
        <f>HYPERLINK("https://android.googlesource.com/platform/cts/+/b04c81bfc2761b21293f9c095da38c757e570fd3", "b04c81bfc2761b21293f9c095da38c757e570fd3")</f>
        <v>0</v>
      </c>
      <c r="D13777" t="s">
        <v>4968</v>
      </c>
      <c r="E13777" t="s">
        <v>6210</v>
      </c>
      <c r="F13777" t="s">
        <v>12180</v>
      </c>
      <c r="G13777" t="s">
        <v>16419</v>
      </c>
      <c r="H13777" t="s">
        <v>21188</v>
      </c>
    </row>
    <row r="13778" spans="1:8">
      <c r="A13778" t="s">
        <v>417</v>
      </c>
      <c r="B13778">
        <f>HYPERLINK("https://android.googlesource.com/platform/cts/+/f4927387bdefd7fa465e05c02677759618ae162e", "f4927387bdefd7fa465e05c02677759618ae162e")</f>
        <v>0</v>
      </c>
      <c r="C13778">
        <f>HYPERLINK("https://android.googlesource.com/platform/cts/+/bd3a99dbc63532708241044fa22e09962e4deccd", "bd3a99dbc63532708241044fa22e09962e4deccd")</f>
        <v>0</v>
      </c>
      <c r="D13778" t="s">
        <v>4968</v>
      </c>
      <c r="E13778" t="s">
        <v>6211</v>
      </c>
      <c r="F13778" t="s">
        <v>12180</v>
      </c>
      <c r="G13778" t="s">
        <v>16419</v>
      </c>
      <c r="H13778" t="s">
        <v>21189</v>
      </c>
    </row>
    <row r="13779" spans="1:8">
      <c r="H13779" t="s">
        <v>21190</v>
      </c>
    </row>
    <row r="13780" spans="1:8">
      <c r="H13780" t="s">
        <v>20420</v>
      </c>
    </row>
    <row r="13781" spans="1:8">
      <c r="H13781" t="s">
        <v>21191</v>
      </c>
    </row>
    <row r="13782" spans="1:8">
      <c r="H13782" t="s">
        <v>21192</v>
      </c>
    </row>
    <row r="13783" spans="1:8">
      <c r="H13783" t="s">
        <v>21193</v>
      </c>
    </row>
    <row r="13784" spans="1:8">
      <c r="H13784" t="s">
        <v>21194</v>
      </c>
    </row>
    <row r="13785" spans="1:8">
      <c r="A13785" t="s">
        <v>418</v>
      </c>
      <c r="B13785">
        <f>HYPERLINK("https://android.googlesource.com/platform/cts/+/35b85b2499374e6f6514752c82bb1c2f0262090c", "35b85b2499374e6f6514752c82bb1c2f0262090c")</f>
        <v>0</v>
      </c>
      <c r="C13785">
        <f>HYPERLINK("https://android.googlesource.com/platform/cts/+/f79f408f0cb1d42fe2a8140694837a6617092c58", "f79f408f0cb1d42fe2a8140694837a6617092c58")</f>
        <v>0</v>
      </c>
      <c r="D13785" t="s">
        <v>4973</v>
      </c>
      <c r="E13785" t="s">
        <v>6212</v>
      </c>
      <c r="F13785" t="s">
        <v>12181</v>
      </c>
      <c r="G13785" t="s">
        <v>16420</v>
      </c>
      <c r="H13785" t="s">
        <v>21195</v>
      </c>
    </row>
    <row r="13786" spans="1:8">
      <c r="H13786" t="s">
        <v>21196</v>
      </c>
    </row>
    <row r="13787" spans="1:8">
      <c r="H13787" t="s">
        <v>21197</v>
      </c>
    </row>
    <row r="13788" spans="1:8">
      <c r="A13788" t="s">
        <v>419</v>
      </c>
      <c r="B13788">
        <f>HYPERLINK("https://android.googlesource.com/platform/cts/+/d0de47e2090b27c5c5615008215ea90c17aa0117", "d0de47e2090b27c5c5615008215ea90c17aa0117")</f>
        <v>0</v>
      </c>
      <c r="C13788">
        <f>HYPERLINK("https://android.googlesource.com/platform/cts/+/53cd5d0e366465d89a77f7ad871a5fe3f00f53a2", "53cd5d0e366465d89a77f7ad871a5fe3f00f53a2")</f>
        <v>0</v>
      </c>
      <c r="D13788" t="s">
        <v>4994</v>
      </c>
      <c r="E13788" t="s">
        <v>6213</v>
      </c>
      <c r="F13788" t="s">
        <v>11192</v>
      </c>
      <c r="G13788" t="s">
        <v>15581</v>
      </c>
      <c r="H13788" t="s">
        <v>21198</v>
      </c>
    </row>
    <row r="13789" spans="1:8">
      <c r="H13789" t="s">
        <v>21175</v>
      </c>
    </row>
    <row r="13790" spans="1:8">
      <c r="H13790" t="s">
        <v>21199</v>
      </c>
    </row>
    <row r="13791" spans="1:8">
      <c r="H13791" t="s">
        <v>21175</v>
      </c>
    </row>
    <row r="13792" spans="1:8">
      <c r="H13792" t="s">
        <v>21200</v>
      </c>
    </row>
    <row r="13793" spans="1:8">
      <c r="H13793" t="s">
        <v>21201</v>
      </c>
    </row>
    <row r="13794" spans="1:8">
      <c r="H13794" t="s">
        <v>21202</v>
      </c>
    </row>
    <row r="13795" spans="1:8">
      <c r="H13795" t="s">
        <v>21203</v>
      </c>
    </row>
    <row r="13796" spans="1:8">
      <c r="A13796" t="s">
        <v>421</v>
      </c>
      <c r="B13796">
        <f>HYPERLINK("https://android.googlesource.com/platform/cts/+/7929a713f8316c47b519f7d98a930ce7c2372e44", "7929a713f8316c47b519f7d98a930ce7c2372e44")</f>
        <v>0</v>
      </c>
      <c r="C13796">
        <f>HYPERLINK("https://android.googlesource.com/platform/cts/+/d8c93c14ede2cdca20e07af13de78ad533f8a3eb", "d8c93c14ede2cdca20e07af13de78ad533f8a3eb")</f>
        <v>0</v>
      </c>
      <c r="D13796" t="s">
        <v>4970</v>
      </c>
      <c r="E13796" t="s">
        <v>6214</v>
      </c>
      <c r="F13796" t="s">
        <v>12182</v>
      </c>
      <c r="G13796" t="s">
        <v>16421</v>
      </c>
      <c r="H13796" t="s">
        <v>21204</v>
      </c>
    </row>
    <row r="13797" spans="1:8">
      <c r="H13797" t="s">
        <v>21205</v>
      </c>
    </row>
    <row r="13798" spans="1:8">
      <c r="H13798" t="s">
        <v>21206</v>
      </c>
    </row>
    <row r="13799" spans="1:8">
      <c r="A13799" t="s">
        <v>422</v>
      </c>
      <c r="B13799">
        <f>HYPERLINK("https://android.googlesource.com/platform/cts/+/8669cace0433b06591a93136ecbdf4acafe6eaac", "8669cace0433b06591a93136ecbdf4acafe6eaac")</f>
        <v>0</v>
      </c>
      <c r="C13799">
        <f>HYPERLINK("https://android.googlesource.com/platform/cts/+/1de065b9156d171f13e2998f7a0c7dcaf29fbdd0", "1de065b9156d171f13e2998f7a0c7dcaf29fbdd0")</f>
        <v>0</v>
      </c>
      <c r="D13799" t="s">
        <v>4980</v>
      </c>
      <c r="E13799" t="s">
        <v>6215</v>
      </c>
      <c r="F13799" t="s">
        <v>11193</v>
      </c>
      <c r="G13799" t="s">
        <v>15582</v>
      </c>
      <c r="H13799" t="s">
        <v>21207</v>
      </c>
    </row>
    <row r="13800" spans="1:8">
      <c r="H13800" t="s">
        <v>21208</v>
      </c>
    </row>
    <row r="13801" spans="1:8">
      <c r="A13801" t="s">
        <v>423</v>
      </c>
      <c r="B13801">
        <f>HYPERLINK("https://android.googlesource.com/platform/cts/+/4dfaac64fc68ba57f5c4980ad8259fc776be4664", "4dfaac64fc68ba57f5c4980ad8259fc776be4664")</f>
        <v>0</v>
      </c>
      <c r="C13801">
        <f>HYPERLINK("https://android.googlesource.com/platform/cts/+/8e11d2db3c94c87b12b80062658792e4001c3502", "8e11d2db3c94c87b12b80062658792e4001c3502")</f>
        <v>0</v>
      </c>
      <c r="D13801" t="s">
        <v>4990</v>
      </c>
      <c r="E13801" t="s">
        <v>6216</v>
      </c>
      <c r="F13801" t="s">
        <v>12183</v>
      </c>
      <c r="G13801" t="s">
        <v>16422</v>
      </c>
      <c r="H13801" t="s">
        <v>21209</v>
      </c>
    </row>
    <row r="13802" spans="1:8">
      <c r="A13802" t="s">
        <v>424</v>
      </c>
      <c r="B13802">
        <f>HYPERLINK("https://android.googlesource.com/platform/cts/+/cbd961455ce8342d0d01558bf352fae6f7250a59", "cbd961455ce8342d0d01558bf352fae6f7250a59")</f>
        <v>0</v>
      </c>
      <c r="C13802">
        <f>HYPERLINK("https://android.googlesource.com/platform/cts/+/e5f03443d32567748927b3eecfafe5a5ae78fd29", "e5f03443d32567748927b3eecfafe5a5ae78fd29")</f>
        <v>0</v>
      </c>
      <c r="D13802" t="s">
        <v>4991</v>
      </c>
      <c r="E13802" t="s">
        <v>6217</v>
      </c>
      <c r="F13802" t="s">
        <v>11193</v>
      </c>
      <c r="G13802" t="s">
        <v>15582</v>
      </c>
      <c r="H13802" t="s">
        <v>21207</v>
      </c>
    </row>
    <row r="13803" spans="1:8">
      <c r="A13803" t="s">
        <v>425</v>
      </c>
      <c r="B13803">
        <f>HYPERLINK("https://android.googlesource.com/platform/cts/+/be8a59a596f7f72f26582f83f2430dac2f4f2578", "be8a59a596f7f72f26582f83f2430dac2f4f2578")</f>
        <v>0</v>
      </c>
      <c r="C13803">
        <f>HYPERLINK("https://android.googlesource.com/platform/cts/+/9b132549753631b4eb18a16c802efbf6c3b1ad79", "9b132549753631b4eb18a16c802efbf6c3b1ad79")</f>
        <v>0</v>
      </c>
      <c r="D13803" t="s">
        <v>4968</v>
      </c>
      <c r="E13803" t="s">
        <v>6218</v>
      </c>
      <c r="F13803" t="s">
        <v>12180</v>
      </c>
      <c r="G13803" t="s">
        <v>16419</v>
      </c>
      <c r="H13803" t="s">
        <v>21210</v>
      </c>
    </row>
    <row r="13804" spans="1:8">
      <c r="H13804" t="s">
        <v>21211</v>
      </c>
    </row>
    <row r="13805" spans="1:8">
      <c r="H13805" t="s">
        <v>21212</v>
      </c>
    </row>
    <row r="13806" spans="1:8">
      <c r="H13806" t="s">
        <v>21213</v>
      </c>
    </row>
    <row r="13807" spans="1:8">
      <c r="H13807" t="s">
        <v>21214</v>
      </c>
    </row>
    <row r="13808" spans="1:8">
      <c r="H13808" t="s">
        <v>21215</v>
      </c>
    </row>
    <row r="13809" spans="1:8">
      <c r="H13809" t="s">
        <v>21216</v>
      </c>
    </row>
    <row r="13810" spans="1:8">
      <c r="H13810" t="s">
        <v>21217</v>
      </c>
    </row>
    <row r="13811" spans="1:8">
      <c r="A13811" t="s">
        <v>426</v>
      </c>
      <c r="B13811">
        <f>HYPERLINK("https://android.googlesource.com/platform/cts/+/f3a5f8531b953c697a2eda26a91e5c633f1e26ea", "f3a5f8531b953c697a2eda26a91e5c633f1e26ea")</f>
        <v>0</v>
      </c>
      <c r="C13811">
        <f>HYPERLINK("https://android.googlesource.com/platform/cts/+/0dba1411477bd9224d6ec10da06c966469b1b77d", "0dba1411477bd9224d6ec10da06c966469b1b77d")</f>
        <v>0</v>
      </c>
      <c r="D13811" t="s">
        <v>4968</v>
      </c>
      <c r="E13811" t="s">
        <v>6219</v>
      </c>
      <c r="F13811" t="s">
        <v>12184</v>
      </c>
      <c r="G13811" t="s">
        <v>16423</v>
      </c>
      <c r="H13811" t="s">
        <v>21218</v>
      </c>
    </row>
    <row r="13812" spans="1:8">
      <c r="A13812" t="s">
        <v>427</v>
      </c>
      <c r="B13812">
        <f>HYPERLINK("https://android.googlesource.com/platform/cts/+/813027dfa9792bb83ea61240680305d6ba50d25a", "813027dfa9792bb83ea61240680305d6ba50d25a")</f>
        <v>0</v>
      </c>
      <c r="C13812">
        <f>HYPERLINK("https://android.googlesource.com/platform/cts/+/ba971d45ab4477a3647f6cfed79c2f74946e64d5", "ba971d45ab4477a3647f6cfed79c2f74946e64d5")</f>
        <v>0</v>
      </c>
      <c r="D13812" t="s">
        <v>4968</v>
      </c>
      <c r="E13812" t="s">
        <v>6220</v>
      </c>
      <c r="F13812" t="s">
        <v>12185</v>
      </c>
      <c r="G13812" t="s">
        <v>16424</v>
      </c>
      <c r="H13812" t="s">
        <v>21219</v>
      </c>
    </row>
    <row r="13813" spans="1:8">
      <c r="A13813" t="s">
        <v>428</v>
      </c>
      <c r="B13813">
        <f>HYPERLINK("https://android.googlesource.com/platform/cts/+/668b3b7f420974aee6f18f83e59c4c35da8e009d", "668b3b7f420974aee6f18f83e59c4c35da8e009d")</f>
        <v>0</v>
      </c>
      <c r="C13813">
        <f>HYPERLINK("https://android.googlesource.com/platform/cts/+/e15b00ae1fe1585a319d2326a3a9ef393760f5f7", "e15b00ae1fe1585a319d2326a3a9ef393760f5f7")</f>
        <v>0</v>
      </c>
      <c r="D13813" t="s">
        <v>4947</v>
      </c>
      <c r="E13813" t="s">
        <v>6221</v>
      </c>
      <c r="F13813" t="s">
        <v>10746</v>
      </c>
      <c r="G13813" t="s">
        <v>15145</v>
      </c>
      <c r="H13813" t="s">
        <v>21220</v>
      </c>
    </row>
    <row r="13814" spans="1:8">
      <c r="A13814" t="s">
        <v>429</v>
      </c>
      <c r="B13814">
        <f>HYPERLINK("https://android.googlesource.com/platform/cts/+/e9bce3561b3267a8b8e1e1eeae677191eec8532e", "e9bce3561b3267a8b8e1e1eeae677191eec8532e")</f>
        <v>0</v>
      </c>
      <c r="C13814">
        <f>HYPERLINK("https://android.googlesource.com/platform/cts/+/ca74206cf9b36881ef45ba30ce169dd8ad3659bb", "ca74206cf9b36881ef45ba30ce169dd8ad3659bb")</f>
        <v>0</v>
      </c>
      <c r="D13814" t="s">
        <v>4993</v>
      </c>
      <c r="E13814" t="s">
        <v>6222</v>
      </c>
      <c r="F13814" t="s">
        <v>12179</v>
      </c>
      <c r="G13814" t="s">
        <v>16418</v>
      </c>
      <c r="H13814" t="s">
        <v>18835</v>
      </c>
    </row>
    <row r="13815" spans="1:8">
      <c r="A13815" t="s">
        <v>430</v>
      </c>
      <c r="B13815">
        <f>HYPERLINK("https://android.googlesource.com/platform/cts/+/29d74173539baba0082dc6f78313f05151fb2cd5", "29d74173539baba0082dc6f78313f05151fb2cd5")</f>
        <v>0</v>
      </c>
      <c r="C13815">
        <f>HYPERLINK("https://android.googlesource.com/platform/cts/+/f84df7a15458ea2fb1c9e65cd18c2dfbaed31bbe", "f84df7a15458ea2fb1c9e65cd18c2dfbaed31bbe")</f>
        <v>0</v>
      </c>
      <c r="D13815" t="s">
        <v>4947</v>
      </c>
      <c r="E13815" t="s">
        <v>6223</v>
      </c>
      <c r="F13815" t="s">
        <v>12186</v>
      </c>
      <c r="G13815" t="s">
        <v>16425</v>
      </c>
      <c r="H13815" t="s">
        <v>21221</v>
      </c>
    </row>
    <row r="13816" spans="1:8">
      <c r="A13816" t="s">
        <v>431</v>
      </c>
      <c r="B13816">
        <f>HYPERLINK("https://android.googlesource.com/platform/cts/+/5f72216fd7f87d299537a778d88f4a5f15143db5", "5f72216fd7f87d299537a778d88f4a5f15143db5")</f>
        <v>0</v>
      </c>
      <c r="C13816">
        <f>HYPERLINK("https://android.googlesource.com/platform/cts/+/af108e4993183397d8ecd0671242a0ce0db19403", "af108e4993183397d8ecd0671242a0ce0db19403")</f>
        <v>0</v>
      </c>
      <c r="D13816" t="s">
        <v>4993</v>
      </c>
      <c r="E13816" t="s">
        <v>6224</v>
      </c>
      <c r="F13816" t="s">
        <v>12179</v>
      </c>
      <c r="G13816" t="s">
        <v>16418</v>
      </c>
      <c r="H13816" t="s">
        <v>18835</v>
      </c>
    </row>
    <row r="13817" spans="1:8">
      <c r="A13817" t="s">
        <v>432</v>
      </c>
      <c r="B13817">
        <f>HYPERLINK("https://android.googlesource.com/platform/cts/+/c271127437645cc5e2e5b50c57940cedd7642df6", "c271127437645cc5e2e5b50c57940cedd7642df6")</f>
        <v>0</v>
      </c>
      <c r="C13817">
        <f>HYPERLINK("https://android.googlesource.com/platform/cts/+/3372dbb28b630cb633f00a02339ca3c99f0b8a2d", "3372dbb28b630cb633f00a02339ca3c99f0b8a2d")</f>
        <v>0</v>
      </c>
      <c r="D13817" t="s">
        <v>4993</v>
      </c>
      <c r="E13817" t="s">
        <v>6225</v>
      </c>
      <c r="F13817" t="s">
        <v>12179</v>
      </c>
      <c r="G13817" t="s">
        <v>16418</v>
      </c>
      <c r="H13817" t="s">
        <v>18835</v>
      </c>
    </row>
    <row r="13818" spans="1:8">
      <c r="A13818" t="s">
        <v>433</v>
      </c>
      <c r="B13818">
        <f>HYPERLINK("https://android.googlesource.com/platform/cts/+/663a13cfa108afe02620403c87061b0ff22f08ed", "663a13cfa108afe02620403c87061b0ff22f08ed")</f>
        <v>0</v>
      </c>
      <c r="C13818">
        <f>HYPERLINK("https://android.googlesource.com/platform/cts/+/f736ec122c72be8429afdf6cc89b128f71668a3d", "f736ec122c72be8429afdf6cc89b128f71668a3d")</f>
        <v>0</v>
      </c>
      <c r="D13818" t="s">
        <v>4995</v>
      </c>
      <c r="E13818" t="s">
        <v>6226</v>
      </c>
      <c r="F13818" t="s">
        <v>12187</v>
      </c>
      <c r="G13818" t="s">
        <v>16426</v>
      </c>
      <c r="H13818" t="s">
        <v>18829</v>
      </c>
    </row>
    <row r="13819" spans="1:8">
      <c r="H13819" t="s">
        <v>21222</v>
      </c>
    </row>
    <row r="13820" spans="1:8">
      <c r="H13820" t="s">
        <v>21223</v>
      </c>
    </row>
    <row r="13821" spans="1:8">
      <c r="H13821" t="s">
        <v>21224</v>
      </c>
    </row>
    <row r="13822" spans="1:8">
      <c r="H13822" t="s">
        <v>21225</v>
      </c>
    </row>
    <row r="13823" spans="1:8">
      <c r="H13823" t="s">
        <v>21226</v>
      </c>
    </row>
    <row r="13824" spans="1:8">
      <c r="H13824" t="s">
        <v>21227</v>
      </c>
    </row>
    <row r="13825" spans="1:8">
      <c r="H13825" t="s">
        <v>21228</v>
      </c>
    </row>
    <row r="13826" spans="1:8">
      <c r="A13826" t="s">
        <v>434</v>
      </c>
      <c r="B13826">
        <f>HYPERLINK("https://android.googlesource.com/platform/cts/+/9e0e27eeda44f2eb94dea4a97a3faa3a01adabc3", "9e0e27eeda44f2eb94dea4a97a3faa3a01adabc3")</f>
        <v>0</v>
      </c>
      <c r="C13826">
        <f>HYPERLINK("https://android.googlesource.com/platform/cts/+/9de4863318f50b9123b5e8ac446ac82f2080fca7", "9de4863318f50b9123b5e8ac446ac82f2080fca7")</f>
        <v>0</v>
      </c>
      <c r="D13826" t="s">
        <v>4952</v>
      </c>
      <c r="E13826" t="s">
        <v>6227</v>
      </c>
      <c r="F13826" t="s">
        <v>12188</v>
      </c>
      <c r="G13826" t="s">
        <v>16427</v>
      </c>
      <c r="H13826" t="s">
        <v>21229</v>
      </c>
    </row>
    <row r="13827" spans="1:8">
      <c r="A13827" t="s">
        <v>435</v>
      </c>
      <c r="B13827">
        <f>HYPERLINK("https://android.googlesource.com/platform/cts/+/e0e57f5bae1b77826162cd5f6e78b7e75a348feb", "e0e57f5bae1b77826162cd5f6e78b7e75a348feb")</f>
        <v>0</v>
      </c>
      <c r="C13827">
        <f>HYPERLINK("https://android.googlesource.com/platform/cts/+/c88c34c94b067aedcd8140159644e6d1043a14cb", "c88c34c94b067aedcd8140159644e6d1043a14cb")</f>
        <v>0</v>
      </c>
      <c r="D13827" t="s">
        <v>4996</v>
      </c>
      <c r="E13827" t="s">
        <v>6228</v>
      </c>
      <c r="F13827" t="s">
        <v>11443</v>
      </c>
      <c r="G13827" t="s">
        <v>15683</v>
      </c>
      <c r="H13827" t="s">
        <v>21230</v>
      </c>
    </row>
    <row r="13828" spans="1:8">
      <c r="A13828" t="s">
        <v>436</v>
      </c>
      <c r="B13828">
        <f>HYPERLINK("https://android.googlesource.com/platform/cts/+/d173bbcb45446be72398be16ea9001b2bff9de95", "d173bbcb45446be72398be16ea9001b2bff9de95")</f>
        <v>0</v>
      </c>
      <c r="C13828">
        <f>HYPERLINK("https://android.googlesource.com/platform/cts/+/689a962fd6fb4ea4e5ac1343ff5ef21732cfcaee", "689a962fd6fb4ea4e5ac1343ff5ef21732cfcaee")</f>
        <v>0</v>
      </c>
      <c r="D13828" t="s">
        <v>4973</v>
      </c>
      <c r="E13828" t="s">
        <v>6229</v>
      </c>
      <c r="F13828" t="s">
        <v>12189</v>
      </c>
      <c r="G13828" t="s">
        <v>16428</v>
      </c>
      <c r="H13828" t="s">
        <v>21231</v>
      </c>
    </row>
    <row r="13829" spans="1:8">
      <c r="A13829" t="s">
        <v>437</v>
      </c>
      <c r="B13829">
        <f>HYPERLINK("https://android.googlesource.com/platform/cts/+/5427abe750ec97a3e7dda7e395a3b8da9c91a775", "5427abe750ec97a3e7dda7e395a3b8da9c91a775")</f>
        <v>0</v>
      </c>
      <c r="C13829">
        <f>HYPERLINK("https://android.googlesource.com/platform/cts/+/f1a493b1cc81290265571d65fd6ed96162b19bea", "f1a493b1cc81290265571d65fd6ed96162b19bea")</f>
        <v>0</v>
      </c>
      <c r="D13829" t="s">
        <v>4981</v>
      </c>
      <c r="E13829" t="s">
        <v>6230</v>
      </c>
      <c r="F13829" t="s">
        <v>10726</v>
      </c>
      <c r="G13829" t="s">
        <v>15125</v>
      </c>
      <c r="H13829" t="s">
        <v>21232</v>
      </c>
    </row>
    <row r="13830" spans="1:8">
      <c r="A13830" t="s">
        <v>438</v>
      </c>
      <c r="B13830">
        <f>HYPERLINK("https://android.googlesource.com/platform/cts/+/efa794f8232040c17318d07eec6c1ed0fac1739e", "efa794f8232040c17318d07eec6c1ed0fac1739e")</f>
        <v>0</v>
      </c>
      <c r="C13830">
        <f>HYPERLINK("https://android.googlesource.com/platform/cts/+/d173bbcb45446be72398be16ea9001b2bff9de95", "d173bbcb45446be72398be16ea9001b2bff9de95")</f>
        <v>0</v>
      </c>
      <c r="D13830" t="s">
        <v>4973</v>
      </c>
      <c r="E13830" t="s">
        <v>6231</v>
      </c>
      <c r="F13830" t="s">
        <v>12190</v>
      </c>
      <c r="G13830" t="s">
        <v>16429</v>
      </c>
      <c r="H13830" t="s">
        <v>18829</v>
      </c>
    </row>
    <row r="13831" spans="1:8">
      <c r="H13831" t="s">
        <v>18863</v>
      </c>
    </row>
    <row r="13832" spans="1:8">
      <c r="A13832" t="s">
        <v>439</v>
      </c>
      <c r="B13832">
        <f>HYPERLINK("https://android.googlesource.com/platform/cts/+/e5c0ac8950995e1bab72fa122d47f00e285dddf8", "e5c0ac8950995e1bab72fa122d47f00e285dddf8")</f>
        <v>0</v>
      </c>
      <c r="C13832">
        <f>HYPERLINK("https://android.googlesource.com/platform/cts/+/f01930f65b7a42246334649b09fa7b57f63e5c43", "f01930f65b7a42246334649b09fa7b57f63e5c43")</f>
        <v>0</v>
      </c>
      <c r="D13832" t="s">
        <v>4980</v>
      </c>
      <c r="E13832" t="s">
        <v>6232</v>
      </c>
      <c r="F13832" t="s">
        <v>11443</v>
      </c>
      <c r="G13832" t="s">
        <v>15683</v>
      </c>
      <c r="H13832" t="s">
        <v>21230</v>
      </c>
    </row>
    <row r="13833" spans="1:8">
      <c r="A13833" t="s">
        <v>440</v>
      </c>
      <c r="B13833">
        <f>HYPERLINK("https://android.googlesource.com/platform/cts/+/71df0d40e86e30dde9862134427b3f52040e5899", "71df0d40e86e30dde9862134427b3f52040e5899")</f>
        <v>0</v>
      </c>
      <c r="C13833">
        <f>HYPERLINK("https://android.googlesource.com/platform/cts/+/5d529caed64bf0cec2ef1eebb89284239ca382c0", "5d529caed64bf0cec2ef1eebb89284239ca382c0")</f>
        <v>0</v>
      </c>
      <c r="D13833" t="s">
        <v>4997</v>
      </c>
      <c r="E13833" t="s">
        <v>6233</v>
      </c>
      <c r="F13833" t="s">
        <v>12191</v>
      </c>
      <c r="G13833" t="s">
        <v>16430</v>
      </c>
      <c r="H13833" t="s">
        <v>21233</v>
      </c>
    </row>
    <row r="13834" spans="1:8">
      <c r="H13834" t="s">
        <v>21234</v>
      </c>
    </row>
    <row r="13835" spans="1:8">
      <c r="H13835" t="s">
        <v>21235</v>
      </c>
    </row>
    <row r="13836" spans="1:8">
      <c r="H13836" t="s">
        <v>21236</v>
      </c>
    </row>
    <row r="13837" spans="1:8">
      <c r="H13837" t="s">
        <v>21237</v>
      </c>
    </row>
    <row r="13838" spans="1:8">
      <c r="A13838" t="s">
        <v>441</v>
      </c>
      <c r="B13838">
        <f>HYPERLINK("https://android.googlesource.com/platform/cts/+/1b08aab7c7e60c56032229983bb9217f18fdbf07", "1b08aab7c7e60c56032229983bb9217f18fdbf07")</f>
        <v>0</v>
      </c>
      <c r="C13838">
        <f>HYPERLINK("https://android.googlesource.com/platform/cts/+/8391e6f817edb2adc3f7250650aef496843c0626", "8391e6f817edb2adc3f7250650aef496843c0626")</f>
        <v>0</v>
      </c>
      <c r="D13838" t="s">
        <v>4998</v>
      </c>
      <c r="E13838" t="s">
        <v>6234</v>
      </c>
      <c r="F13838" t="s">
        <v>11443</v>
      </c>
      <c r="G13838" t="s">
        <v>15683</v>
      </c>
      <c r="H13838" t="s">
        <v>21238</v>
      </c>
    </row>
    <row r="13839" spans="1:8">
      <c r="H13839" t="s">
        <v>21239</v>
      </c>
    </row>
    <row r="13840" spans="1:8">
      <c r="A13840" t="s">
        <v>442</v>
      </c>
      <c r="B13840">
        <f>HYPERLINK("https://android.googlesource.com/platform/cts/+/6cd9268a640074ec1ff5a1df0ee6aad9c9830caf", "6cd9268a640074ec1ff5a1df0ee6aad9c9830caf")</f>
        <v>0</v>
      </c>
      <c r="C13840">
        <f>HYPERLINK("https://android.googlesource.com/platform/cts/+/ce7ddc2becc214212893f6e20f0586d6d2d4b5e0", "ce7ddc2becc214212893f6e20f0586d6d2d4b5e0")</f>
        <v>0</v>
      </c>
      <c r="D13840" t="s">
        <v>4936</v>
      </c>
      <c r="E13840" t="s">
        <v>6235</v>
      </c>
      <c r="F13840" t="s">
        <v>12192</v>
      </c>
      <c r="G13840" t="s">
        <v>16431</v>
      </c>
      <c r="H13840" t="s">
        <v>21240</v>
      </c>
    </row>
    <row r="13841" spans="1:8">
      <c r="H13841" t="s">
        <v>21241</v>
      </c>
    </row>
    <row r="13842" spans="1:8">
      <c r="H13842" t="s">
        <v>21242</v>
      </c>
    </row>
    <row r="13843" spans="1:8">
      <c r="H13843" t="s">
        <v>21243</v>
      </c>
    </row>
    <row r="13844" spans="1:8">
      <c r="H13844" t="s">
        <v>21244</v>
      </c>
    </row>
    <row r="13845" spans="1:8">
      <c r="H13845" t="s">
        <v>21245</v>
      </c>
    </row>
    <row r="13846" spans="1:8">
      <c r="H13846" t="s">
        <v>21246</v>
      </c>
    </row>
    <row r="13847" spans="1:8">
      <c r="H13847" t="s">
        <v>21247</v>
      </c>
    </row>
    <row r="13848" spans="1:8">
      <c r="H13848" t="s">
        <v>21248</v>
      </c>
    </row>
    <row r="13849" spans="1:8">
      <c r="H13849" t="s">
        <v>21249</v>
      </c>
    </row>
    <row r="13850" spans="1:8">
      <c r="H13850" t="s">
        <v>21250</v>
      </c>
    </row>
    <row r="13851" spans="1:8">
      <c r="H13851" t="s">
        <v>21251</v>
      </c>
    </row>
    <row r="13852" spans="1:8">
      <c r="A13852" t="s">
        <v>443</v>
      </c>
      <c r="B13852">
        <f>HYPERLINK("https://android.googlesource.com/platform/cts/+/d131feadbf4f74bfafc256b7e7066085ddcfea27", "d131feadbf4f74bfafc256b7e7066085ddcfea27")</f>
        <v>0</v>
      </c>
      <c r="C13852">
        <f>HYPERLINK("https://android.googlesource.com/platform/cts/+/b97ab2e8640ece47c4233890cfb7c718a0c81c4d", "b97ab2e8640ece47c4233890cfb7c718a0c81c4d")</f>
        <v>0</v>
      </c>
      <c r="D13852" t="s">
        <v>4968</v>
      </c>
      <c r="E13852" t="s">
        <v>6236</v>
      </c>
      <c r="F13852" t="s">
        <v>12184</v>
      </c>
      <c r="G13852" t="s">
        <v>16423</v>
      </c>
      <c r="H13852" t="s">
        <v>21252</v>
      </c>
    </row>
    <row r="13853" spans="1:8">
      <c r="F13853" t="s">
        <v>12180</v>
      </c>
      <c r="G13853" t="s">
        <v>16419</v>
      </c>
      <c r="H13853" t="s">
        <v>21252</v>
      </c>
    </row>
    <row r="13854" spans="1:8">
      <c r="A13854" t="s">
        <v>444</v>
      </c>
      <c r="B13854">
        <f>HYPERLINK("https://android.googlesource.com/platform/cts/+/f428b3dd6d4f207b574b614f50ce2a2df7b273ec", "f428b3dd6d4f207b574b614f50ce2a2df7b273ec")</f>
        <v>0</v>
      </c>
      <c r="C13854">
        <f>HYPERLINK("https://android.googlesource.com/platform/cts/+/8e4d2d0317d0ddf376e010b1eb975bb9d3868317", "8e4d2d0317d0ddf376e010b1eb975bb9d3868317")</f>
        <v>0</v>
      </c>
      <c r="D13854" t="s">
        <v>4930</v>
      </c>
      <c r="E13854" t="s">
        <v>6237</v>
      </c>
      <c r="F13854" t="s">
        <v>10747</v>
      </c>
      <c r="G13854" t="s">
        <v>15129</v>
      </c>
      <c r="H13854" t="s">
        <v>21253</v>
      </c>
    </row>
    <row r="13855" spans="1:8">
      <c r="H13855" t="s">
        <v>21254</v>
      </c>
    </row>
    <row r="13856" spans="1:8">
      <c r="A13856" t="s">
        <v>445</v>
      </c>
      <c r="B13856">
        <f>HYPERLINK("https://android.googlesource.com/platform/cts/+/5a3b5953451d8dacc53bcb15e6a0fd955c7824cd", "5a3b5953451d8dacc53bcb15e6a0fd955c7824cd")</f>
        <v>0</v>
      </c>
      <c r="C13856">
        <f>HYPERLINK("https://android.googlesource.com/platform/cts/+/15ac8230207ac6e9060e6087abaf4a14cf47779c", "15ac8230207ac6e9060e6087abaf4a14cf47779c")</f>
        <v>0</v>
      </c>
      <c r="D13856" t="s">
        <v>4952</v>
      </c>
      <c r="E13856" t="s">
        <v>6238</v>
      </c>
      <c r="F13856" t="s">
        <v>11443</v>
      </c>
      <c r="G13856" t="s">
        <v>15683</v>
      </c>
      <c r="H13856" t="s">
        <v>21255</v>
      </c>
    </row>
    <row r="13857" spans="1:8">
      <c r="A13857" t="s">
        <v>446</v>
      </c>
      <c r="B13857">
        <f>HYPERLINK("https://android.googlesource.com/platform/cts/+/03adeb8a1b69e14c20854ac3a7ff60f17b8527d2", "03adeb8a1b69e14c20854ac3a7ff60f17b8527d2")</f>
        <v>0</v>
      </c>
      <c r="C13857">
        <f>HYPERLINK("https://android.googlesource.com/platform/cts/+/7cf81f86af29125b792e4f29aa0780298232d004", "7cf81f86af29125b792e4f29aa0780298232d004")</f>
        <v>0</v>
      </c>
      <c r="D13857" t="s">
        <v>4973</v>
      </c>
      <c r="E13857" t="s">
        <v>6239</v>
      </c>
      <c r="F13857" t="s">
        <v>12193</v>
      </c>
      <c r="G13857" t="s">
        <v>16432</v>
      </c>
      <c r="H13857" t="s">
        <v>18829</v>
      </c>
    </row>
    <row r="13858" spans="1:8">
      <c r="H13858" t="s">
        <v>18863</v>
      </c>
    </row>
    <row r="13859" spans="1:8">
      <c r="H13859" t="s">
        <v>21181</v>
      </c>
    </row>
    <row r="13860" spans="1:8">
      <c r="H13860" t="s">
        <v>19261</v>
      </c>
    </row>
    <row r="13861" spans="1:8">
      <c r="F13861" t="s">
        <v>12172</v>
      </c>
      <c r="G13861" t="s">
        <v>16411</v>
      </c>
      <c r="H13861" t="s">
        <v>18829</v>
      </c>
    </row>
    <row r="13862" spans="1:8">
      <c r="H13862" t="s">
        <v>21256</v>
      </c>
    </row>
    <row r="13863" spans="1:8">
      <c r="H13863" t="s">
        <v>21257</v>
      </c>
    </row>
    <row r="13864" spans="1:8">
      <c r="H13864" t="s">
        <v>21258</v>
      </c>
    </row>
    <row r="13865" spans="1:8">
      <c r="H13865" t="s">
        <v>21259</v>
      </c>
    </row>
    <row r="13866" spans="1:8">
      <c r="H13866" t="s">
        <v>21260</v>
      </c>
    </row>
    <row r="13867" spans="1:8">
      <c r="H13867" t="s">
        <v>21261</v>
      </c>
    </row>
    <row r="13868" spans="1:8">
      <c r="H13868" t="s">
        <v>21262</v>
      </c>
    </row>
    <row r="13869" spans="1:8">
      <c r="H13869" t="s">
        <v>21263</v>
      </c>
    </row>
    <row r="13870" spans="1:8">
      <c r="H13870" t="s">
        <v>21264</v>
      </c>
    </row>
    <row r="13871" spans="1:8">
      <c r="H13871" t="s">
        <v>21265</v>
      </c>
    </row>
    <row r="13872" spans="1:8">
      <c r="H13872" t="s">
        <v>21266</v>
      </c>
    </row>
    <row r="13873" spans="8:8">
      <c r="H13873" t="s">
        <v>21267</v>
      </c>
    </row>
    <row r="13874" spans="8:8">
      <c r="H13874" t="s">
        <v>21268</v>
      </c>
    </row>
    <row r="13875" spans="8:8">
      <c r="H13875" t="s">
        <v>21269</v>
      </c>
    </row>
    <row r="13876" spans="8:8">
      <c r="H13876" t="s">
        <v>21270</v>
      </c>
    </row>
    <row r="13877" spans="8:8">
      <c r="H13877" t="s">
        <v>21271</v>
      </c>
    </row>
    <row r="13878" spans="8:8">
      <c r="H13878" t="s">
        <v>21272</v>
      </c>
    </row>
    <row r="13879" spans="8:8">
      <c r="H13879" t="s">
        <v>21273</v>
      </c>
    </row>
    <row r="13880" spans="8:8">
      <c r="H13880" t="s">
        <v>21274</v>
      </c>
    </row>
    <row r="13881" spans="8:8">
      <c r="H13881" t="s">
        <v>21275</v>
      </c>
    </row>
    <row r="13882" spans="8:8">
      <c r="H13882" t="s">
        <v>21276</v>
      </c>
    </row>
    <row r="13883" spans="8:8">
      <c r="H13883" t="s">
        <v>21277</v>
      </c>
    </row>
    <row r="13884" spans="8:8">
      <c r="H13884" t="s">
        <v>21278</v>
      </c>
    </row>
    <row r="13885" spans="8:8">
      <c r="H13885" t="s">
        <v>21279</v>
      </c>
    </row>
    <row r="13886" spans="8:8">
      <c r="H13886" t="s">
        <v>21280</v>
      </c>
    </row>
    <row r="13887" spans="8:8">
      <c r="H13887" t="s">
        <v>21281</v>
      </c>
    </row>
    <row r="13888" spans="8:8">
      <c r="H13888" t="s">
        <v>21282</v>
      </c>
    </row>
    <row r="13889" spans="6:8">
      <c r="H13889" t="s">
        <v>21283</v>
      </c>
    </row>
    <row r="13890" spans="6:8">
      <c r="F13890" t="s">
        <v>12194</v>
      </c>
      <c r="G13890" t="s">
        <v>16433</v>
      </c>
      <c r="H13890" t="s">
        <v>21284</v>
      </c>
    </row>
    <row r="13891" spans="6:8">
      <c r="H13891" t="s">
        <v>18829</v>
      </c>
    </row>
    <row r="13892" spans="6:8">
      <c r="H13892" t="s">
        <v>18863</v>
      </c>
    </row>
    <row r="13893" spans="6:8">
      <c r="H13893" t="s">
        <v>21285</v>
      </c>
    </row>
    <row r="13894" spans="6:8">
      <c r="H13894" t="s">
        <v>21286</v>
      </c>
    </row>
    <row r="13895" spans="6:8">
      <c r="H13895" t="s">
        <v>21287</v>
      </c>
    </row>
    <row r="13896" spans="6:8">
      <c r="F13896" t="s">
        <v>12195</v>
      </c>
      <c r="G13896" t="s">
        <v>16434</v>
      </c>
      <c r="H13896" t="s">
        <v>18863</v>
      </c>
    </row>
    <row r="13897" spans="6:8">
      <c r="H13897" t="s">
        <v>21286</v>
      </c>
    </row>
    <row r="13898" spans="6:8">
      <c r="H13898" t="s">
        <v>21287</v>
      </c>
    </row>
    <row r="13899" spans="6:8">
      <c r="F13899" t="s">
        <v>12196</v>
      </c>
      <c r="G13899" t="s">
        <v>15720</v>
      </c>
      <c r="H13899" t="s">
        <v>18863</v>
      </c>
    </row>
    <row r="13900" spans="6:8">
      <c r="H13900" t="s">
        <v>20436</v>
      </c>
    </row>
    <row r="13901" spans="6:8">
      <c r="H13901" t="s">
        <v>20437</v>
      </c>
    </row>
    <row r="13902" spans="6:8">
      <c r="H13902" t="s">
        <v>20438</v>
      </c>
    </row>
    <row r="13903" spans="6:8">
      <c r="F13903" t="s">
        <v>11477</v>
      </c>
      <c r="G13903" t="s">
        <v>15717</v>
      </c>
      <c r="H13903" t="s">
        <v>18863</v>
      </c>
    </row>
    <row r="13904" spans="6:8">
      <c r="F13904" t="s">
        <v>12197</v>
      </c>
      <c r="G13904" t="s">
        <v>16435</v>
      </c>
      <c r="H13904" t="s">
        <v>18829</v>
      </c>
    </row>
    <row r="13905" spans="6:8">
      <c r="H13905" t="s">
        <v>21288</v>
      </c>
    </row>
    <row r="13906" spans="6:8">
      <c r="H13906" t="s">
        <v>21289</v>
      </c>
    </row>
    <row r="13907" spans="6:8">
      <c r="H13907" t="s">
        <v>21290</v>
      </c>
    </row>
    <row r="13908" spans="6:8">
      <c r="H13908" t="s">
        <v>21291</v>
      </c>
    </row>
    <row r="13909" spans="6:8">
      <c r="H13909" t="s">
        <v>21292</v>
      </c>
    </row>
    <row r="13910" spans="6:8">
      <c r="H13910" t="s">
        <v>21293</v>
      </c>
    </row>
    <row r="13911" spans="6:8">
      <c r="H13911" t="s">
        <v>21294</v>
      </c>
    </row>
    <row r="13912" spans="6:8">
      <c r="H13912" t="s">
        <v>21295</v>
      </c>
    </row>
    <row r="13913" spans="6:8">
      <c r="H13913" t="s">
        <v>21296</v>
      </c>
    </row>
    <row r="13914" spans="6:8">
      <c r="H13914" t="s">
        <v>21297</v>
      </c>
    </row>
    <row r="13915" spans="6:8">
      <c r="H13915" t="s">
        <v>21298</v>
      </c>
    </row>
    <row r="13916" spans="6:8">
      <c r="F13916" t="s">
        <v>12189</v>
      </c>
      <c r="G13916" t="s">
        <v>16428</v>
      </c>
      <c r="H13916" t="s">
        <v>21299</v>
      </c>
    </row>
    <row r="13917" spans="6:8">
      <c r="H13917" t="s">
        <v>18863</v>
      </c>
    </row>
    <row r="13918" spans="6:8">
      <c r="H13918" t="s">
        <v>21300</v>
      </c>
    </row>
    <row r="13919" spans="6:8">
      <c r="F13919" t="s">
        <v>11478</v>
      </c>
      <c r="G13919" t="s">
        <v>15718</v>
      </c>
      <c r="H13919" t="s">
        <v>20442</v>
      </c>
    </row>
    <row r="13920" spans="6:8">
      <c r="H13920" t="s">
        <v>18829</v>
      </c>
    </row>
    <row r="13921" spans="6:8">
      <c r="H13921" t="s">
        <v>18863</v>
      </c>
    </row>
    <row r="13922" spans="6:8">
      <c r="H13922" t="s">
        <v>20443</v>
      </c>
    </row>
    <row r="13923" spans="6:8">
      <c r="F13923" t="s">
        <v>12181</v>
      </c>
      <c r="G13923" t="s">
        <v>16420</v>
      </c>
      <c r="H13923" t="s">
        <v>18829</v>
      </c>
    </row>
    <row r="13924" spans="6:8">
      <c r="H13924" t="s">
        <v>18863</v>
      </c>
    </row>
    <row r="13925" spans="6:8">
      <c r="H13925" t="s">
        <v>21301</v>
      </c>
    </row>
    <row r="13926" spans="6:8">
      <c r="H13926" t="s">
        <v>21302</v>
      </c>
    </row>
    <row r="13927" spans="6:8">
      <c r="H13927" t="s">
        <v>21303</v>
      </c>
    </row>
    <row r="13928" spans="6:8">
      <c r="H13928" t="s">
        <v>21304</v>
      </c>
    </row>
    <row r="13929" spans="6:8">
      <c r="H13929" t="s">
        <v>21305</v>
      </c>
    </row>
    <row r="13930" spans="6:8">
      <c r="H13930" t="s">
        <v>19261</v>
      </c>
    </row>
    <row r="13931" spans="6:8">
      <c r="H13931" t="s">
        <v>21306</v>
      </c>
    </row>
    <row r="13932" spans="6:8">
      <c r="H13932" t="s">
        <v>21307</v>
      </c>
    </row>
    <row r="13933" spans="6:8">
      <c r="H13933" t="s">
        <v>21308</v>
      </c>
    </row>
    <row r="13934" spans="6:8">
      <c r="H13934" t="s">
        <v>21309</v>
      </c>
    </row>
    <row r="13935" spans="6:8">
      <c r="H13935" t="s">
        <v>21310</v>
      </c>
    </row>
    <row r="13936" spans="6:8">
      <c r="H13936" t="s">
        <v>21311</v>
      </c>
    </row>
    <row r="13937" spans="6:8">
      <c r="H13937" t="s">
        <v>21312</v>
      </c>
    </row>
    <row r="13938" spans="6:8">
      <c r="H13938" t="s">
        <v>21313</v>
      </c>
    </row>
    <row r="13939" spans="6:8">
      <c r="H13939" t="s">
        <v>21314</v>
      </c>
    </row>
    <row r="13940" spans="6:8">
      <c r="H13940" t="s">
        <v>21315</v>
      </c>
    </row>
    <row r="13941" spans="6:8">
      <c r="H13941" t="s">
        <v>21316</v>
      </c>
    </row>
    <row r="13942" spans="6:8">
      <c r="H13942" t="s">
        <v>21317</v>
      </c>
    </row>
    <row r="13943" spans="6:8">
      <c r="H13943" t="s">
        <v>21318</v>
      </c>
    </row>
    <row r="13944" spans="6:8">
      <c r="H13944" t="s">
        <v>21319</v>
      </c>
    </row>
    <row r="13945" spans="6:8">
      <c r="F13945" t="s">
        <v>12190</v>
      </c>
      <c r="G13945" t="s">
        <v>16429</v>
      </c>
      <c r="H13945" t="s">
        <v>21320</v>
      </c>
    </row>
    <row r="13946" spans="6:8">
      <c r="H13946" t="s">
        <v>21321</v>
      </c>
    </row>
    <row r="13947" spans="6:8">
      <c r="F13947" t="s">
        <v>12198</v>
      </c>
      <c r="G13947" t="s">
        <v>16436</v>
      </c>
      <c r="H13947" t="s">
        <v>18829</v>
      </c>
    </row>
    <row r="13948" spans="6:8">
      <c r="H13948" t="s">
        <v>18863</v>
      </c>
    </row>
    <row r="13949" spans="6:8">
      <c r="H13949" t="s">
        <v>21322</v>
      </c>
    </row>
    <row r="13950" spans="6:8">
      <c r="H13950" t="s">
        <v>21323</v>
      </c>
    </row>
    <row r="13951" spans="6:8">
      <c r="H13951" t="s">
        <v>20237</v>
      </c>
    </row>
    <row r="13952" spans="6:8">
      <c r="H13952" t="s">
        <v>19019</v>
      </c>
    </row>
    <row r="13953" spans="1:8">
      <c r="F13953" t="s">
        <v>12199</v>
      </c>
      <c r="G13953" t="s">
        <v>16437</v>
      </c>
      <c r="H13953" t="s">
        <v>20244</v>
      </c>
    </row>
    <row r="13954" spans="1:8">
      <c r="H13954" t="s">
        <v>18829</v>
      </c>
    </row>
    <row r="13955" spans="1:8">
      <c r="H13955" t="s">
        <v>18863</v>
      </c>
    </row>
    <row r="13956" spans="1:8">
      <c r="H13956" t="s">
        <v>21324</v>
      </c>
    </row>
    <row r="13957" spans="1:8">
      <c r="F13957" t="s">
        <v>12200</v>
      </c>
      <c r="G13957" t="s">
        <v>16438</v>
      </c>
      <c r="H13957" t="s">
        <v>20244</v>
      </c>
    </row>
    <row r="13958" spans="1:8">
      <c r="H13958" t="s">
        <v>18829</v>
      </c>
    </row>
    <row r="13959" spans="1:8">
      <c r="H13959" t="s">
        <v>18863</v>
      </c>
    </row>
    <row r="13960" spans="1:8">
      <c r="H13960" t="s">
        <v>21325</v>
      </c>
    </row>
    <row r="13961" spans="1:8">
      <c r="H13961" t="s">
        <v>21326</v>
      </c>
    </row>
    <row r="13962" spans="1:8">
      <c r="A13962" t="s">
        <v>447</v>
      </c>
      <c r="B13962">
        <f>HYPERLINK("https://android.googlesource.com/platform/cts/+/46bd645d356b166411f193220f0aa3026b706b14", "46bd645d356b166411f193220f0aa3026b706b14")</f>
        <v>0</v>
      </c>
      <c r="C13962">
        <f>HYPERLINK("https://android.googlesource.com/platform/cts/+/15ac8230207ac6e9060e6087abaf4a14cf47779c", "15ac8230207ac6e9060e6087abaf4a14cf47779c")</f>
        <v>0</v>
      </c>
      <c r="D13962" t="s">
        <v>4999</v>
      </c>
      <c r="E13962" t="s">
        <v>6240</v>
      </c>
      <c r="F13962" t="s">
        <v>12201</v>
      </c>
      <c r="G13962" t="s">
        <v>16439</v>
      </c>
      <c r="H13962" t="s">
        <v>21327</v>
      </c>
    </row>
    <row r="13963" spans="1:8">
      <c r="H13963" t="s">
        <v>21328</v>
      </c>
    </row>
    <row r="13964" spans="1:8">
      <c r="A13964" t="s">
        <v>448</v>
      </c>
      <c r="B13964">
        <f>HYPERLINK("https://android.googlesource.com/platform/cts/+/bb628a14a83f4c759117e92101e0e494f80dc838", "bb628a14a83f4c759117e92101e0e494f80dc838")</f>
        <v>0</v>
      </c>
      <c r="C13964">
        <f>HYPERLINK("https://android.googlesource.com/platform/cts/+/32bd694890ef7866f93c27df2d9090399491e471", "32bd694890ef7866f93c27df2d9090399491e471")</f>
        <v>0</v>
      </c>
      <c r="D13964" t="s">
        <v>4949</v>
      </c>
      <c r="E13964" t="s">
        <v>6241</v>
      </c>
      <c r="F13964" t="s">
        <v>12202</v>
      </c>
      <c r="G13964" t="s">
        <v>16440</v>
      </c>
      <c r="H13964" t="s">
        <v>21329</v>
      </c>
    </row>
    <row r="13965" spans="1:8">
      <c r="A13965" t="s">
        <v>449</v>
      </c>
      <c r="B13965">
        <f>HYPERLINK("https://android.googlesource.com/platform/cts/+/1e5e03eb4ff6e8acac339d4729d7866de7768ac6", "1e5e03eb4ff6e8acac339d4729d7866de7768ac6")</f>
        <v>0</v>
      </c>
      <c r="C13965">
        <f>HYPERLINK("https://android.googlesource.com/platform/cts/+/240d5843f8d56700c2e904c38facb7afbc308490", "240d5843f8d56700c2e904c38facb7afbc308490")</f>
        <v>0</v>
      </c>
      <c r="D13965" t="s">
        <v>4952</v>
      </c>
      <c r="E13965" t="s">
        <v>6242</v>
      </c>
      <c r="F13965" t="s">
        <v>11443</v>
      </c>
      <c r="G13965" t="s">
        <v>15683</v>
      </c>
      <c r="H13965" t="s">
        <v>21330</v>
      </c>
    </row>
    <row r="13966" spans="1:8">
      <c r="A13966" t="s">
        <v>451</v>
      </c>
      <c r="B13966">
        <f>HYPERLINK("https://android.googlesource.com/platform/cts/+/a90fb53676052e6661305dbd98340b0840850a83", "a90fb53676052e6661305dbd98340b0840850a83")</f>
        <v>0</v>
      </c>
      <c r="C13966">
        <f>HYPERLINK("https://android.googlesource.com/platform/cts/+/ee3927be9ea285a4c2096ddc975334fb55ec8fa9", "ee3927be9ea285a4c2096ddc975334fb55ec8fa9")</f>
        <v>0</v>
      </c>
      <c r="D13966" t="s">
        <v>5000</v>
      </c>
      <c r="E13966" t="s">
        <v>6243</v>
      </c>
      <c r="F13966" t="s">
        <v>10699</v>
      </c>
      <c r="G13966" t="s">
        <v>15099</v>
      </c>
      <c r="H13966" t="s">
        <v>21331</v>
      </c>
    </row>
    <row r="13967" spans="1:8">
      <c r="A13967" t="s">
        <v>452</v>
      </c>
      <c r="B13967">
        <f>HYPERLINK("https://android.googlesource.com/platform/cts/+/35773b44b85f7643dcbafa284c6623b05dfca64c", "35773b44b85f7643dcbafa284c6623b05dfca64c")</f>
        <v>0</v>
      </c>
      <c r="C13967">
        <f>HYPERLINK("https://android.googlesource.com/platform/cts/+/4b6589add5b641fadd4485445696eb4197da7c51", "4b6589add5b641fadd4485445696eb4197da7c51")</f>
        <v>0</v>
      </c>
      <c r="D13967" t="s">
        <v>4994</v>
      </c>
      <c r="E13967" t="s">
        <v>6244</v>
      </c>
      <c r="F13967" t="s">
        <v>10606</v>
      </c>
      <c r="G13967" t="s">
        <v>15009</v>
      </c>
      <c r="H13967" t="s">
        <v>21332</v>
      </c>
    </row>
    <row r="13968" spans="1:8">
      <c r="H13968" t="s">
        <v>21333</v>
      </c>
    </row>
    <row r="13969" spans="1:8">
      <c r="H13969" t="s">
        <v>21334</v>
      </c>
    </row>
    <row r="13970" spans="1:8">
      <c r="A13970" t="s">
        <v>453</v>
      </c>
      <c r="B13970">
        <f>HYPERLINK("https://android.googlesource.com/platform/cts/+/94165db4fbe29c734f5b86cb04ff7e5b4d154c4a", "94165db4fbe29c734f5b86cb04ff7e5b4d154c4a")</f>
        <v>0</v>
      </c>
      <c r="C13970">
        <f>HYPERLINK("https://android.googlesource.com/platform/cts/+/84f417ea17e15afde25eaed358dbf8e23fd5cbaf", "84f417ea17e15afde25eaed358dbf8e23fd5cbaf")</f>
        <v>0</v>
      </c>
      <c r="D13970" t="s">
        <v>5001</v>
      </c>
      <c r="E13970" t="s">
        <v>6245</v>
      </c>
      <c r="F13970" t="s">
        <v>12203</v>
      </c>
      <c r="G13970" t="s">
        <v>16441</v>
      </c>
      <c r="H13970" t="s">
        <v>21335</v>
      </c>
    </row>
    <row r="13971" spans="1:8">
      <c r="H13971" t="s">
        <v>18829</v>
      </c>
    </row>
    <row r="13972" spans="1:8">
      <c r="H13972" t="s">
        <v>21336</v>
      </c>
    </row>
    <row r="13973" spans="1:8">
      <c r="H13973" t="s">
        <v>21337</v>
      </c>
    </row>
    <row r="13974" spans="1:8">
      <c r="F13974" t="s">
        <v>12204</v>
      </c>
      <c r="G13974" t="s">
        <v>16442</v>
      </c>
      <c r="H13974" t="s">
        <v>21338</v>
      </c>
    </row>
    <row r="13975" spans="1:8">
      <c r="H13975" t="s">
        <v>18829</v>
      </c>
    </row>
    <row r="13976" spans="1:8">
      <c r="H13976" t="s">
        <v>21339</v>
      </c>
    </row>
    <row r="13977" spans="1:8">
      <c r="F13977" t="s">
        <v>12205</v>
      </c>
      <c r="G13977" t="s">
        <v>16443</v>
      </c>
      <c r="H13977" t="s">
        <v>21340</v>
      </c>
    </row>
    <row r="13978" spans="1:8">
      <c r="H13978" t="s">
        <v>18829</v>
      </c>
    </row>
    <row r="13979" spans="1:8">
      <c r="H13979" t="s">
        <v>21339</v>
      </c>
    </row>
    <row r="13980" spans="1:8">
      <c r="F13980" t="s">
        <v>12206</v>
      </c>
      <c r="G13980" t="s">
        <v>16444</v>
      </c>
      <c r="H13980" t="s">
        <v>21341</v>
      </c>
    </row>
    <row r="13981" spans="1:8">
      <c r="H13981" t="s">
        <v>18829</v>
      </c>
    </row>
    <row r="13982" spans="1:8">
      <c r="H13982" t="s">
        <v>21342</v>
      </c>
    </row>
    <row r="13983" spans="1:8">
      <c r="H13983" t="s">
        <v>21342</v>
      </c>
    </row>
    <row r="13984" spans="1:8">
      <c r="H13984" t="s">
        <v>21339</v>
      </c>
    </row>
    <row r="13985" spans="1:8">
      <c r="F13985" t="s">
        <v>10718</v>
      </c>
      <c r="G13985" t="s">
        <v>15117</v>
      </c>
      <c r="H13985" t="s">
        <v>21343</v>
      </c>
    </row>
    <row r="13986" spans="1:8">
      <c r="H13986" t="s">
        <v>18829</v>
      </c>
    </row>
    <row r="13987" spans="1:8">
      <c r="F13987" t="s">
        <v>12207</v>
      </c>
      <c r="G13987" t="s">
        <v>16445</v>
      </c>
      <c r="H13987" t="s">
        <v>21344</v>
      </c>
    </row>
    <row r="13988" spans="1:8">
      <c r="H13988" t="s">
        <v>18829</v>
      </c>
    </row>
    <row r="13989" spans="1:8">
      <c r="F13989" t="s">
        <v>10719</v>
      </c>
      <c r="G13989" t="s">
        <v>15118</v>
      </c>
      <c r="H13989" t="s">
        <v>21345</v>
      </c>
    </row>
    <row r="13990" spans="1:8">
      <c r="H13990" t="s">
        <v>18829</v>
      </c>
    </row>
    <row r="13991" spans="1:8">
      <c r="F13991" t="s">
        <v>10960</v>
      </c>
      <c r="G13991" t="s">
        <v>15352</v>
      </c>
      <c r="H13991" t="s">
        <v>21346</v>
      </c>
    </row>
    <row r="13992" spans="1:8">
      <c r="H13992" t="s">
        <v>18829</v>
      </c>
    </row>
    <row r="13993" spans="1:8">
      <c r="F13993" t="s">
        <v>12208</v>
      </c>
      <c r="G13993" t="s">
        <v>16446</v>
      </c>
      <c r="H13993" t="s">
        <v>21347</v>
      </c>
    </row>
    <row r="13994" spans="1:8">
      <c r="H13994" t="s">
        <v>18829</v>
      </c>
    </row>
    <row r="13995" spans="1:8">
      <c r="H13995" t="s">
        <v>21339</v>
      </c>
    </row>
    <row r="13996" spans="1:8">
      <c r="A13996" t="s">
        <v>454</v>
      </c>
      <c r="B13996">
        <f>HYPERLINK("https://android.googlesource.com/platform/cts/+/5ad500949841d429f31db0ddf1bcd2a9aa692012", "5ad500949841d429f31db0ddf1bcd2a9aa692012")</f>
        <v>0</v>
      </c>
      <c r="C13996">
        <f>HYPERLINK("https://android.googlesource.com/platform/cts/+/ac20e81bc597ce3d7c301f6059ca82c13d1c32df", "ac20e81bc597ce3d7c301f6059ca82c13d1c32df")</f>
        <v>0</v>
      </c>
      <c r="D13996" t="s">
        <v>5002</v>
      </c>
      <c r="E13996" t="s">
        <v>6246</v>
      </c>
      <c r="F13996" t="s">
        <v>12209</v>
      </c>
      <c r="G13996" t="s">
        <v>16447</v>
      </c>
      <c r="H13996" t="s">
        <v>21348</v>
      </c>
    </row>
    <row r="13997" spans="1:8">
      <c r="A13997" t="s">
        <v>455</v>
      </c>
      <c r="B13997">
        <f>HYPERLINK("https://android.googlesource.com/platform/cts/+/5e74e0acfd1b6785e3eb83fb3f58e6f338983271", "5e74e0acfd1b6785e3eb83fb3f58e6f338983271")</f>
        <v>0</v>
      </c>
      <c r="C13997">
        <f>HYPERLINK("https://android.googlesource.com/platform/cts/+/6ea76f81a49f537fb771d943d1c04350d78d9451", "6ea76f81a49f537fb771d943d1c04350d78d9451")</f>
        <v>0</v>
      </c>
      <c r="D13997" t="s">
        <v>5002</v>
      </c>
      <c r="E13997" t="s">
        <v>6247</v>
      </c>
      <c r="F13997" t="s">
        <v>12210</v>
      </c>
      <c r="G13997" t="s">
        <v>16448</v>
      </c>
      <c r="H13997" t="s">
        <v>21349</v>
      </c>
    </row>
    <row r="13998" spans="1:8">
      <c r="H13998" t="s">
        <v>21350</v>
      </c>
    </row>
    <row r="13999" spans="1:8">
      <c r="H13999" t="s">
        <v>21351</v>
      </c>
    </row>
    <row r="14000" spans="1:8">
      <c r="H14000" t="s">
        <v>21352</v>
      </c>
    </row>
    <row r="14001" spans="1:8">
      <c r="H14001" t="s">
        <v>21353</v>
      </c>
    </row>
    <row r="14002" spans="1:8">
      <c r="H14002" t="s">
        <v>21354</v>
      </c>
    </row>
    <row r="14003" spans="1:8">
      <c r="F14003" t="s">
        <v>12209</v>
      </c>
      <c r="G14003" t="s">
        <v>16447</v>
      </c>
      <c r="H14003" t="s">
        <v>21350</v>
      </c>
    </row>
    <row r="14004" spans="1:8">
      <c r="H14004" t="s">
        <v>21351</v>
      </c>
    </row>
    <row r="14005" spans="1:8">
      <c r="H14005" t="s">
        <v>21352</v>
      </c>
    </row>
    <row r="14006" spans="1:8">
      <c r="H14006" t="s">
        <v>21353</v>
      </c>
    </row>
    <row r="14007" spans="1:8">
      <c r="H14007" t="s">
        <v>21355</v>
      </c>
    </row>
    <row r="14008" spans="1:8">
      <c r="H14008" t="s">
        <v>21356</v>
      </c>
    </row>
    <row r="14009" spans="1:8">
      <c r="H14009" t="s">
        <v>21357</v>
      </c>
    </row>
    <row r="14010" spans="1:8">
      <c r="H14010" t="s">
        <v>18927</v>
      </c>
    </row>
    <row r="14011" spans="1:8">
      <c r="H14011" t="s">
        <v>20012</v>
      </c>
    </row>
    <row r="14012" spans="1:8">
      <c r="H14012" t="s">
        <v>21358</v>
      </c>
    </row>
    <row r="14013" spans="1:8">
      <c r="H14013" t="s">
        <v>21359</v>
      </c>
    </row>
    <row r="14014" spans="1:8">
      <c r="H14014" t="s">
        <v>21360</v>
      </c>
    </row>
    <row r="14015" spans="1:8">
      <c r="A14015" t="s">
        <v>456</v>
      </c>
      <c r="B14015">
        <f>HYPERLINK("https://android.googlesource.com/platform/cts/+/11a6875d8748fdc5514cfc49af182681a781f957", "11a6875d8748fdc5514cfc49af182681a781f957")</f>
        <v>0</v>
      </c>
      <c r="C14015">
        <f>HYPERLINK("https://android.googlesource.com/platform/cts/+/15e47193a78a260d87f820d6845d49ddaf5c91a1", "15e47193a78a260d87f820d6845d49ddaf5c91a1")</f>
        <v>0</v>
      </c>
      <c r="D14015" t="s">
        <v>4947</v>
      </c>
      <c r="E14015" t="s">
        <v>6248</v>
      </c>
      <c r="F14015" t="s">
        <v>10746</v>
      </c>
      <c r="G14015" t="s">
        <v>15145</v>
      </c>
      <c r="H14015" t="s">
        <v>21361</v>
      </c>
    </row>
    <row r="14016" spans="1:8">
      <c r="A14016" t="s">
        <v>457</v>
      </c>
      <c r="B14016">
        <f>HYPERLINK("https://android.googlesource.com/platform/cts/+/19dfe6fc5966bb9c1ceb0cf448b3a91737d5558f", "19dfe6fc5966bb9c1ceb0cf448b3a91737d5558f")</f>
        <v>0</v>
      </c>
      <c r="C14016">
        <f>HYPERLINK("https://android.googlesource.com/platform/cts/+/f8b53182ef88a5b0deaf1eb1d717152279f33280", "f8b53182ef88a5b0deaf1eb1d717152279f33280")</f>
        <v>0</v>
      </c>
      <c r="D14016" t="s">
        <v>5003</v>
      </c>
      <c r="E14016" t="s">
        <v>6249</v>
      </c>
      <c r="F14016" t="s">
        <v>12211</v>
      </c>
      <c r="G14016" t="s">
        <v>16449</v>
      </c>
      <c r="H14016" t="s">
        <v>21362</v>
      </c>
    </row>
    <row r="14017" spans="1:8">
      <c r="H14017" t="s">
        <v>21363</v>
      </c>
    </row>
    <row r="14018" spans="1:8">
      <c r="H14018" t="s">
        <v>21364</v>
      </c>
    </row>
    <row r="14019" spans="1:8">
      <c r="A14019" t="s">
        <v>458</v>
      </c>
      <c r="B14019">
        <f>HYPERLINK("https://android.googlesource.com/platform/cts/+/5d7cb1678cea7eaf44ec641900379031ea74b62a", "5d7cb1678cea7eaf44ec641900379031ea74b62a")</f>
        <v>0</v>
      </c>
      <c r="C14019">
        <f>HYPERLINK("https://android.googlesource.com/platform/cts/+/5a1f0b0fb3478b89e2c79c2ca2a2f0446f0c869f", "5a1f0b0fb3478b89e2c79c2ca2a2f0446f0c869f")</f>
        <v>0</v>
      </c>
      <c r="D14019" t="s">
        <v>4966</v>
      </c>
      <c r="E14019" t="s">
        <v>6250</v>
      </c>
      <c r="F14019" t="s">
        <v>10819</v>
      </c>
      <c r="G14019" t="s">
        <v>15214</v>
      </c>
      <c r="H14019" t="s">
        <v>20104</v>
      </c>
    </row>
    <row r="14020" spans="1:8">
      <c r="F14020" t="s">
        <v>10820</v>
      </c>
      <c r="G14020" t="s">
        <v>15215</v>
      </c>
      <c r="H14020" t="s">
        <v>20102</v>
      </c>
    </row>
    <row r="14021" spans="1:8">
      <c r="F14021" t="s">
        <v>10821</v>
      </c>
      <c r="G14021" t="s">
        <v>15216</v>
      </c>
      <c r="H14021" t="s">
        <v>20104</v>
      </c>
    </row>
    <row r="14022" spans="1:8">
      <c r="F14022" t="s">
        <v>10823</v>
      </c>
      <c r="G14022" t="s">
        <v>15218</v>
      </c>
      <c r="H14022" t="s">
        <v>20102</v>
      </c>
    </row>
    <row r="14023" spans="1:8">
      <c r="F14023" t="s">
        <v>12212</v>
      </c>
      <c r="G14023" t="s">
        <v>15614</v>
      </c>
      <c r="H14023" t="s">
        <v>20100</v>
      </c>
    </row>
    <row r="14024" spans="1:8">
      <c r="F14024" t="s">
        <v>12213</v>
      </c>
      <c r="G14024" t="s">
        <v>15615</v>
      </c>
      <c r="H14024" t="s">
        <v>20100</v>
      </c>
    </row>
    <row r="14025" spans="1:8">
      <c r="F14025" t="s">
        <v>12214</v>
      </c>
      <c r="G14025" t="s">
        <v>15616</v>
      </c>
      <c r="H14025" t="s">
        <v>20100</v>
      </c>
    </row>
    <row r="14026" spans="1:8">
      <c r="F14026" t="s">
        <v>12215</v>
      </c>
      <c r="G14026" t="s">
        <v>15618</v>
      </c>
      <c r="H14026" t="s">
        <v>20100</v>
      </c>
    </row>
    <row r="14027" spans="1:8">
      <c r="F14027" t="s">
        <v>12216</v>
      </c>
      <c r="G14027" t="s">
        <v>15649</v>
      </c>
      <c r="H14027" t="s">
        <v>20100</v>
      </c>
    </row>
    <row r="14028" spans="1:8">
      <c r="F14028" t="s">
        <v>12217</v>
      </c>
      <c r="G14028" t="s">
        <v>15650</v>
      </c>
      <c r="H14028" t="s">
        <v>20100</v>
      </c>
    </row>
    <row r="14029" spans="1:8">
      <c r="F14029" t="s">
        <v>12218</v>
      </c>
      <c r="G14029" t="s">
        <v>15651</v>
      </c>
      <c r="H14029" t="s">
        <v>20100</v>
      </c>
    </row>
    <row r="14030" spans="1:8">
      <c r="F14030" t="s">
        <v>12219</v>
      </c>
      <c r="G14030" t="s">
        <v>15653</v>
      </c>
      <c r="H14030" t="s">
        <v>20100</v>
      </c>
    </row>
    <row r="14031" spans="1:8">
      <c r="A14031" t="s">
        <v>459</v>
      </c>
      <c r="B14031">
        <f>HYPERLINK("https://android.googlesource.com/platform/cts/+/d503191ac4c105a7ba5896e72f76162b94100b31", "d503191ac4c105a7ba5896e72f76162b94100b31")</f>
        <v>0</v>
      </c>
      <c r="C14031">
        <f>HYPERLINK("https://android.googlesource.com/platform/cts/+/33bc7ecba27a1abf77352140be8e57f201068573", "33bc7ecba27a1abf77352140be8e57f201068573")</f>
        <v>0</v>
      </c>
      <c r="D14031" t="s">
        <v>4967</v>
      </c>
      <c r="E14031" t="s">
        <v>6251</v>
      </c>
      <c r="F14031" t="s">
        <v>12220</v>
      </c>
      <c r="G14031" t="s">
        <v>16450</v>
      </c>
      <c r="H14031" t="s">
        <v>21365</v>
      </c>
    </row>
    <row r="14032" spans="1:8">
      <c r="H14032" t="s">
        <v>21366</v>
      </c>
    </row>
    <row r="14033" spans="1:8">
      <c r="H14033" t="s">
        <v>21367</v>
      </c>
    </row>
    <row r="14034" spans="1:8">
      <c r="A14034" t="s">
        <v>460</v>
      </c>
      <c r="B14034">
        <f>HYPERLINK("https://android.googlesource.com/platform/cts/+/3cdd0d4a151b81a68af45366314a753a5dab98a2", "3cdd0d4a151b81a68af45366314a753a5dab98a2")</f>
        <v>0</v>
      </c>
      <c r="C14034">
        <f>HYPERLINK("https://android.googlesource.com/platform/cts/+/efc60de3235a12bfd6ba3ddb9fb3cc9a56a1bfdb", "efc60de3235a12bfd6ba3ddb9fb3cc9a56a1bfdb")</f>
        <v>0</v>
      </c>
      <c r="D14034" t="s">
        <v>5002</v>
      </c>
      <c r="E14034" t="s">
        <v>6252</v>
      </c>
      <c r="F14034" t="s">
        <v>12189</v>
      </c>
      <c r="G14034" t="s">
        <v>16428</v>
      </c>
      <c r="H14034" t="s">
        <v>21299</v>
      </c>
    </row>
    <row r="14035" spans="1:8">
      <c r="H14035" t="s">
        <v>18863</v>
      </c>
    </row>
    <row r="14036" spans="1:8">
      <c r="H14036" t="s">
        <v>21300</v>
      </c>
    </row>
    <row r="14037" spans="1:8">
      <c r="A14037" t="s">
        <v>461</v>
      </c>
      <c r="B14037">
        <f>HYPERLINK("https://android.googlesource.com/platform/cts/+/ce9cb7f81aafc8429095dba1e046cfb3f0df1f15", "ce9cb7f81aafc8429095dba1e046cfb3f0df1f15")</f>
        <v>0</v>
      </c>
      <c r="C14037">
        <f>HYPERLINK("https://android.googlesource.com/platform/cts/+/c1e7f652fef7c6f5c9d5c92481485e047ce18083", "c1e7f652fef7c6f5c9d5c92481485e047ce18083")</f>
        <v>0</v>
      </c>
      <c r="D14037" t="s">
        <v>4981</v>
      </c>
      <c r="E14037" t="s">
        <v>6253</v>
      </c>
      <c r="F14037" t="s">
        <v>10599</v>
      </c>
      <c r="G14037" t="s">
        <v>15002</v>
      </c>
      <c r="H14037" t="s">
        <v>21368</v>
      </c>
    </row>
    <row r="14038" spans="1:8">
      <c r="A14038" t="s">
        <v>462</v>
      </c>
      <c r="B14038">
        <f>HYPERLINK("https://android.googlesource.com/platform/cts/+/af24d26266225ba0769b2243bc8c607212914e3a", "af24d26266225ba0769b2243bc8c607212914e3a")</f>
        <v>0</v>
      </c>
      <c r="C14038">
        <f>HYPERLINK("https://android.googlesource.com/platform/cts/+/f4bf745d727abf46b5e6d756d01a056dc91eb372", "f4bf745d727abf46b5e6d756d01a056dc91eb372")</f>
        <v>0</v>
      </c>
      <c r="D14038" t="s">
        <v>5004</v>
      </c>
      <c r="E14038" t="s">
        <v>6254</v>
      </c>
      <c r="F14038" t="s">
        <v>12221</v>
      </c>
      <c r="G14038" t="s">
        <v>16451</v>
      </c>
      <c r="H14038" t="s">
        <v>21369</v>
      </c>
    </row>
    <row r="14039" spans="1:8">
      <c r="A14039" t="s">
        <v>463</v>
      </c>
      <c r="B14039">
        <f>HYPERLINK("https://android.googlesource.com/platform/cts/+/d37bc1981a1ee1ca1e36cede69ad46933dacc963", "d37bc1981a1ee1ca1e36cede69ad46933dacc963")</f>
        <v>0</v>
      </c>
      <c r="C14039">
        <f>HYPERLINK("https://android.googlesource.com/platform/cts/+/86f5853419163efea85e9e3e95c1fe0ce0b80b60", "86f5853419163efea85e9e3e95c1fe0ce0b80b60")</f>
        <v>0</v>
      </c>
      <c r="D14039" t="s">
        <v>4952</v>
      </c>
      <c r="E14039" t="s">
        <v>6255</v>
      </c>
      <c r="F14039" t="s">
        <v>12222</v>
      </c>
      <c r="G14039" t="s">
        <v>16452</v>
      </c>
      <c r="H14039" t="s">
        <v>21370</v>
      </c>
    </row>
    <row r="14040" spans="1:8">
      <c r="A14040" t="s">
        <v>464</v>
      </c>
      <c r="B14040">
        <f>HYPERLINK("https://android.googlesource.com/platform/cts/+/d64e65abba0f2ee9f992f429868324fa2c4acfda", "d64e65abba0f2ee9f992f429868324fa2c4acfda")</f>
        <v>0</v>
      </c>
      <c r="C14040">
        <f>HYPERLINK("https://android.googlesource.com/platform/cts/+/7889cbe790e86e9c02a0d77cb571ef5c9059b282", "7889cbe790e86e9c02a0d77cb571ef5c9059b282")</f>
        <v>0</v>
      </c>
      <c r="D14040" t="s">
        <v>4997</v>
      </c>
      <c r="E14040" t="s">
        <v>6256</v>
      </c>
      <c r="F14040" t="s">
        <v>12191</v>
      </c>
      <c r="G14040" t="s">
        <v>16430</v>
      </c>
      <c r="H14040" t="s">
        <v>21371</v>
      </c>
    </row>
    <row r="14041" spans="1:8">
      <c r="A14041" t="s">
        <v>465</v>
      </c>
      <c r="B14041">
        <f>HYPERLINK("https://android.googlesource.com/platform/cts/+/139d0a4fb780ce2cb46f56146ba32904c2373006", "139d0a4fb780ce2cb46f56146ba32904c2373006")</f>
        <v>0</v>
      </c>
      <c r="C14041">
        <f>HYPERLINK("https://android.googlesource.com/platform/cts/+/5b42ea303e612e44a7fb96b43db479b21a43992b", "5b42ea303e612e44a7fb96b43db479b21a43992b")</f>
        <v>0</v>
      </c>
      <c r="D14041" t="s">
        <v>4963</v>
      </c>
      <c r="E14041" t="s">
        <v>6257</v>
      </c>
      <c r="F14041" t="s">
        <v>12223</v>
      </c>
      <c r="G14041" t="s">
        <v>16453</v>
      </c>
      <c r="H14041" t="s">
        <v>21372</v>
      </c>
    </row>
    <row r="14042" spans="1:8">
      <c r="F14042" t="s">
        <v>12224</v>
      </c>
      <c r="G14042" t="s">
        <v>16454</v>
      </c>
      <c r="H14042" t="s">
        <v>21373</v>
      </c>
    </row>
    <row r="14043" spans="1:8">
      <c r="A14043" t="s">
        <v>466</v>
      </c>
      <c r="B14043">
        <f>HYPERLINK("https://android.googlesource.com/platform/cts/+/a6886a2276483a64cec469a04ed09873809a00e4", "a6886a2276483a64cec469a04ed09873809a00e4")</f>
        <v>0</v>
      </c>
      <c r="C14043">
        <f>HYPERLINK("https://android.googlesource.com/platform/cts/+/d6e20d8f8d6b2ff1bfba5464b7089ee6e6ae617f", "d6e20d8f8d6b2ff1bfba5464b7089ee6e6ae617f")</f>
        <v>0</v>
      </c>
      <c r="D14043" t="s">
        <v>4947</v>
      </c>
      <c r="E14043" t="s">
        <v>6258</v>
      </c>
      <c r="F14043" t="s">
        <v>10746</v>
      </c>
      <c r="G14043" t="s">
        <v>15145</v>
      </c>
      <c r="H14043" t="s">
        <v>21374</v>
      </c>
    </row>
    <row r="14044" spans="1:8">
      <c r="H14044" t="s">
        <v>21375</v>
      </c>
    </row>
    <row r="14045" spans="1:8">
      <c r="A14045" t="s">
        <v>467</v>
      </c>
      <c r="B14045">
        <f>HYPERLINK("https://android.googlesource.com/platform/cts/+/cb35803b31a8c0fe5e767e7a57632757c751346c", "cb35803b31a8c0fe5e767e7a57632757c751346c")</f>
        <v>0</v>
      </c>
      <c r="C14045">
        <f>HYPERLINK("https://android.googlesource.com/platform/cts/+/d6e20d8f8d6b2ff1bfba5464b7089ee6e6ae617f", "d6e20d8f8d6b2ff1bfba5464b7089ee6e6ae617f")</f>
        <v>0</v>
      </c>
      <c r="D14045" t="s">
        <v>4963</v>
      </c>
      <c r="E14045" t="s">
        <v>6259</v>
      </c>
      <c r="F14045" t="s">
        <v>11447</v>
      </c>
      <c r="G14045" t="s">
        <v>15687</v>
      </c>
      <c r="H14045" t="s">
        <v>21376</v>
      </c>
    </row>
    <row r="14046" spans="1:8">
      <c r="A14046" t="s">
        <v>469</v>
      </c>
      <c r="B14046">
        <f>HYPERLINK("https://android.googlesource.com/platform/cts/+/7772287ee149224ffcc934fb35702f63f54ccf29", "7772287ee149224ffcc934fb35702f63f54ccf29")</f>
        <v>0</v>
      </c>
      <c r="C14046">
        <f>HYPERLINK("https://android.googlesource.com/platform/cts/+/62552546ce41d2dc42a65fedfafefb2b58dac4d0", "62552546ce41d2dc42a65fedfafefb2b58dac4d0")</f>
        <v>0</v>
      </c>
      <c r="D14046" t="s">
        <v>5005</v>
      </c>
      <c r="E14046" t="s">
        <v>6261</v>
      </c>
      <c r="F14046" t="s">
        <v>12182</v>
      </c>
      <c r="G14046" t="s">
        <v>16421</v>
      </c>
      <c r="H14046" t="s">
        <v>21377</v>
      </c>
    </row>
    <row r="14047" spans="1:8">
      <c r="A14047" t="s">
        <v>470</v>
      </c>
      <c r="B14047">
        <f>HYPERLINK("https://android.googlesource.com/platform/cts/+/92f595c519f8c95b081f9cf2573df216876a8b3e", "92f595c519f8c95b081f9cf2573df216876a8b3e")</f>
        <v>0</v>
      </c>
      <c r="C14047">
        <f>HYPERLINK("https://android.googlesource.com/platform/cts/+/cf17d3237c4b2dd1e50a03d771781f6d0361f9d3", "cf17d3237c4b2dd1e50a03d771781f6d0361f9d3")</f>
        <v>0</v>
      </c>
      <c r="D14047" t="s">
        <v>4978</v>
      </c>
      <c r="E14047" t="s">
        <v>6262</v>
      </c>
      <c r="F14047" t="s">
        <v>12225</v>
      </c>
      <c r="G14047" t="s">
        <v>16455</v>
      </c>
      <c r="H14047" t="s">
        <v>21378</v>
      </c>
    </row>
    <row r="14048" spans="1:8">
      <c r="H14048" t="s">
        <v>21379</v>
      </c>
    </row>
    <row r="14049" spans="1:8">
      <c r="A14049" t="s">
        <v>471</v>
      </c>
      <c r="B14049">
        <f>HYPERLINK("https://android.googlesource.com/platform/cts/+/9cd57b6389dd8a4342c68951061d1807994c4e57", "9cd57b6389dd8a4342c68951061d1807994c4e57")</f>
        <v>0</v>
      </c>
      <c r="C14049">
        <f>HYPERLINK("https://android.googlesource.com/platform/cts/+/bc1cc90f39db26738cc7eacb0968b059a43aff7b", "bc1cc90f39db26738cc7eacb0968b059a43aff7b")</f>
        <v>0</v>
      </c>
      <c r="D14049" t="s">
        <v>4997</v>
      </c>
      <c r="E14049" t="s">
        <v>6263</v>
      </c>
      <c r="F14049" t="s">
        <v>12191</v>
      </c>
      <c r="G14049" t="s">
        <v>16430</v>
      </c>
      <c r="H14049" t="s">
        <v>21380</v>
      </c>
    </row>
    <row r="14050" spans="1:8">
      <c r="A14050" t="s">
        <v>473</v>
      </c>
      <c r="B14050">
        <f>HYPERLINK("https://android.googlesource.com/platform/cts/+/e3a79a8bdf322635c5634bd6ad41ab5e3c3b065a", "e3a79a8bdf322635c5634bd6ad41ab5e3c3b065a")</f>
        <v>0</v>
      </c>
      <c r="C14050">
        <f>HYPERLINK("https://android.googlesource.com/platform/cts/+/81616f80bd1b2af1e551f5a60d03a7a2f3345e5e", "81616f80bd1b2af1e551f5a60d03a7a2f3345e5e")</f>
        <v>0</v>
      </c>
      <c r="D14050" t="s">
        <v>5006</v>
      </c>
      <c r="E14050" t="s">
        <v>6264</v>
      </c>
      <c r="F14050" t="s">
        <v>10699</v>
      </c>
      <c r="G14050" t="s">
        <v>15099</v>
      </c>
      <c r="H14050" t="s">
        <v>21381</v>
      </c>
    </row>
    <row r="14051" spans="1:8">
      <c r="A14051" t="s">
        <v>474</v>
      </c>
      <c r="B14051">
        <f>HYPERLINK("https://android.googlesource.com/platform/cts/+/af23ba4a948e5da5f820fc640cd168346e4778a7", "af23ba4a948e5da5f820fc640cd168346e4778a7")</f>
        <v>0</v>
      </c>
      <c r="C14051">
        <f>HYPERLINK("https://android.googlesource.com/platform/cts/+/17af2e602886a8d33716a4c745f757db029e0901", "17af2e602886a8d33716a4c745f757db029e0901")</f>
        <v>0</v>
      </c>
      <c r="D14051" t="s">
        <v>5007</v>
      </c>
      <c r="E14051" t="s">
        <v>6265</v>
      </c>
      <c r="F14051" t="s">
        <v>12226</v>
      </c>
      <c r="G14051" t="s">
        <v>16456</v>
      </c>
      <c r="H14051" t="s">
        <v>21382</v>
      </c>
    </row>
    <row r="14052" spans="1:8">
      <c r="H14052" t="s">
        <v>21383</v>
      </c>
    </row>
    <row r="14053" spans="1:8">
      <c r="A14053" t="s">
        <v>475</v>
      </c>
      <c r="B14053">
        <f>HYPERLINK("https://android.googlesource.com/platform/cts/+/275cbc88ac41bf7e49309a99bde441d1c64fc077", "275cbc88ac41bf7e49309a99bde441d1c64fc077")</f>
        <v>0</v>
      </c>
      <c r="C14053">
        <f>HYPERLINK("https://android.googlesource.com/platform/cts/+/17af2e602886a8d33716a4c745f757db029e0901", "17af2e602886a8d33716a4c745f757db029e0901")</f>
        <v>0</v>
      </c>
      <c r="D14053" t="s">
        <v>5008</v>
      </c>
      <c r="E14053" t="s">
        <v>6266</v>
      </c>
      <c r="F14053" t="s">
        <v>12176</v>
      </c>
      <c r="G14053" t="s">
        <v>16415</v>
      </c>
      <c r="H14053" t="s">
        <v>21384</v>
      </c>
    </row>
    <row r="14054" spans="1:8">
      <c r="H14054" t="s">
        <v>21385</v>
      </c>
    </row>
    <row r="14055" spans="1:8">
      <c r="H14055" t="s">
        <v>21386</v>
      </c>
    </row>
    <row r="14056" spans="1:8">
      <c r="H14056" t="s">
        <v>21387</v>
      </c>
    </row>
    <row r="14057" spans="1:8">
      <c r="H14057" t="s">
        <v>21388</v>
      </c>
    </row>
    <row r="14058" spans="1:8">
      <c r="H14058" t="s">
        <v>21389</v>
      </c>
    </row>
    <row r="14059" spans="1:8">
      <c r="H14059" t="s">
        <v>21390</v>
      </c>
    </row>
    <row r="14060" spans="1:8">
      <c r="H14060" t="s">
        <v>21391</v>
      </c>
    </row>
    <row r="14061" spans="1:8">
      <c r="H14061" t="s">
        <v>21392</v>
      </c>
    </row>
    <row r="14062" spans="1:8">
      <c r="H14062" t="s">
        <v>21393</v>
      </c>
    </row>
    <row r="14063" spans="1:8">
      <c r="H14063" t="s">
        <v>21394</v>
      </c>
    </row>
    <row r="14064" spans="1:8">
      <c r="H14064" t="s">
        <v>21395</v>
      </c>
    </row>
    <row r="14065" spans="1:8">
      <c r="A14065" t="s">
        <v>476</v>
      </c>
      <c r="B14065">
        <f>HYPERLINK("https://android.googlesource.com/platform/cts/+/3bd4d67f3da67774db6a9a24ea77a7128591b232", "3bd4d67f3da67774db6a9a24ea77a7128591b232")</f>
        <v>0</v>
      </c>
      <c r="C14065">
        <f>HYPERLINK("https://android.googlesource.com/platform/cts/+/7e1eabf75371e5e4c3a0c444d019322c85e37373", "7e1eabf75371e5e4c3a0c444d019322c85e37373")</f>
        <v>0</v>
      </c>
      <c r="D14065" t="s">
        <v>5002</v>
      </c>
      <c r="E14065" t="s">
        <v>6267</v>
      </c>
      <c r="F14065" t="s">
        <v>10676</v>
      </c>
      <c r="G14065" t="s">
        <v>15076</v>
      </c>
      <c r="H14065" t="s">
        <v>21396</v>
      </c>
    </row>
    <row r="14066" spans="1:8">
      <c r="A14066" t="s">
        <v>477</v>
      </c>
      <c r="B14066">
        <f>HYPERLINK("https://android.googlesource.com/platform/cts/+/3740265ff4396d162dd427c63da9d1705e7ebbe8", "3740265ff4396d162dd427c63da9d1705e7ebbe8")</f>
        <v>0</v>
      </c>
      <c r="C14066">
        <f>HYPERLINK("https://android.googlesource.com/platform/cts/+/0c1bf5ffb33614cd3aa16d0c99bbbff230e0f402", "0c1bf5ffb33614cd3aa16d0c99bbbff230e0f402")</f>
        <v>0</v>
      </c>
      <c r="D14066" t="s">
        <v>4981</v>
      </c>
      <c r="E14066" t="s">
        <v>6268</v>
      </c>
      <c r="F14066" t="s">
        <v>12227</v>
      </c>
      <c r="G14066" t="s">
        <v>16457</v>
      </c>
      <c r="H14066" t="s">
        <v>21397</v>
      </c>
    </row>
    <row r="14067" spans="1:8">
      <c r="A14067" t="s">
        <v>478</v>
      </c>
      <c r="B14067">
        <f>HYPERLINK("https://android.googlesource.com/platform/cts/+/9053ec5e25e6b6bc27912804812ba2b37991829f", "9053ec5e25e6b6bc27912804812ba2b37991829f")</f>
        <v>0</v>
      </c>
      <c r="C14067">
        <f>HYPERLINK("https://android.googlesource.com/platform/cts/+/3740265ff4396d162dd427c63da9d1705e7ebbe8", "3740265ff4396d162dd427c63da9d1705e7ebbe8")</f>
        <v>0</v>
      </c>
      <c r="D14067" t="s">
        <v>4981</v>
      </c>
      <c r="E14067" t="s">
        <v>6269</v>
      </c>
      <c r="F14067" t="s">
        <v>10649</v>
      </c>
      <c r="G14067" t="s">
        <v>15050</v>
      </c>
      <c r="H14067" t="s">
        <v>21398</v>
      </c>
    </row>
    <row r="14068" spans="1:8">
      <c r="A14068" t="s">
        <v>483</v>
      </c>
      <c r="B14068">
        <f>HYPERLINK("https://android.googlesource.com/platform/cts/+/76ee5a0c579770d36d19468a169c5a07f00c7056", "76ee5a0c579770d36d19468a169c5a07f00c7056")</f>
        <v>0</v>
      </c>
      <c r="C14068">
        <f>HYPERLINK("https://android.googlesource.com/platform/cts/+/217c4eae7164b041a8600c939d4b3483a0aa9967", "217c4eae7164b041a8600c939d4b3483a0aa9967")</f>
        <v>0</v>
      </c>
      <c r="D14068" t="s">
        <v>4983</v>
      </c>
      <c r="E14068" t="s">
        <v>6270</v>
      </c>
      <c r="F14068" t="s">
        <v>12225</v>
      </c>
      <c r="G14068" t="s">
        <v>16455</v>
      </c>
      <c r="H14068" t="s">
        <v>21399</v>
      </c>
    </row>
    <row r="14069" spans="1:8">
      <c r="H14069" t="s">
        <v>21400</v>
      </c>
    </row>
    <row r="14070" spans="1:8">
      <c r="H14070" t="s">
        <v>21401</v>
      </c>
    </row>
    <row r="14071" spans="1:8">
      <c r="H14071" t="s">
        <v>21402</v>
      </c>
    </row>
    <row r="14072" spans="1:8">
      <c r="H14072" t="s">
        <v>21403</v>
      </c>
    </row>
    <row r="14073" spans="1:8">
      <c r="H14073" t="s">
        <v>21404</v>
      </c>
    </row>
    <row r="14074" spans="1:8">
      <c r="H14074" t="s">
        <v>21405</v>
      </c>
    </row>
    <row r="14075" spans="1:8">
      <c r="A14075" t="s">
        <v>485</v>
      </c>
      <c r="B14075">
        <f>HYPERLINK("https://android.googlesource.com/platform/cts/+/14b7a5e08fac86125cc0c6adff2b1eb8721ee71b", "14b7a5e08fac86125cc0c6adff2b1eb8721ee71b")</f>
        <v>0</v>
      </c>
      <c r="C14075">
        <f>HYPERLINK("https://android.googlesource.com/platform/cts/+/6338a97700f0b598d78860696c304a21d74592dc", "6338a97700f0b598d78860696c304a21d74592dc")</f>
        <v>0</v>
      </c>
      <c r="D14075" t="s">
        <v>5010</v>
      </c>
      <c r="E14075" t="s">
        <v>6272</v>
      </c>
      <c r="F14075" t="s">
        <v>12225</v>
      </c>
      <c r="G14075" t="s">
        <v>16455</v>
      </c>
      <c r="H14075" t="s">
        <v>21402</v>
      </c>
    </row>
    <row r="14076" spans="1:8">
      <c r="H14076" t="s">
        <v>21403</v>
      </c>
    </row>
    <row r="14077" spans="1:8">
      <c r="H14077" t="s">
        <v>21404</v>
      </c>
    </row>
    <row r="14078" spans="1:8">
      <c r="A14078" t="s">
        <v>486</v>
      </c>
      <c r="B14078">
        <f>HYPERLINK("https://android.googlesource.com/platform/cts/+/afce1a14850b9842aa05747152f9a7815f817149", "afce1a14850b9842aa05747152f9a7815f817149")</f>
        <v>0</v>
      </c>
      <c r="C14078">
        <f>HYPERLINK("https://android.googlesource.com/platform/cts/+/cdea4dd5f4e9940b28468e3251bcd93426180894", "cdea4dd5f4e9940b28468e3251bcd93426180894")</f>
        <v>0</v>
      </c>
      <c r="D14078" t="s">
        <v>5010</v>
      </c>
      <c r="E14078" t="s">
        <v>6273</v>
      </c>
      <c r="F14078" t="s">
        <v>12228</v>
      </c>
      <c r="G14078" t="s">
        <v>16458</v>
      </c>
      <c r="H14078" t="s">
        <v>19034</v>
      </c>
    </row>
    <row r="14079" spans="1:8">
      <c r="H14079" t="s">
        <v>18829</v>
      </c>
    </row>
    <row r="14080" spans="1:8">
      <c r="H14080" t="s">
        <v>18863</v>
      </c>
    </row>
    <row r="14081" spans="8:8">
      <c r="H14081" t="s">
        <v>21406</v>
      </c>
    </row>
    <row r="14082" spans="8:8">
      <c r="H14082" t="s">
        <v>21407</v>
      </c>
    </row>
    <row r="14083" spans="8:8">
      <c r="H14083" t="s">
        <v>21408</v>
      </c>
    </row>
    <row r="14084" spans="8:8">
      <c r="H14084" t="s">
        <v>21409</v>
      </c>
    </row>
    <row r="14085" spans="8:8">
      <c r="H14085" t="s">
        <v>21410</v>
      </c>
    </row>
    <row r="14086" spans="8:8">
      <c r="H14086" t="s">
        <v>21411</v>
      </c>
    </row>
    <row r="14087" spans="8:8">
      <c r="H14087" t="s">
        <v>21412</v>
      </c>
    </row>
    <row r="14088" spans="8:8">
      <c r="H14088" t="s">
        <v>21413</v>
      </c>
    </row>
    <row r="14089" spans="8:8">
      <c r="H14089" t="s">
        <v>21414</v>
      </c>
    </row>
    <row r="14090" spans="8:8">
      <c r="H14090" t="s">
        <v>21415</v>
      </c>
    </row>
    <row r="14091" spans="8:8">
      <c r="H14091" t="s">
        <v>21416</v>
      </c>
    </row>
    <row r="14092" spans="8:8">
      <c r="H14092" t="s">
        <v>21417</v>
      </c>
    </row>
    <row r="14093" spans="8:8">
      <c r="H14093" t="s">
        <v>21418</v>
      </c>
    </row>
    <row r="14094" spans="8:8">
      <c r="H14094" t="s">
        <v>21419</v>
      </c>
    </row>
    <row r="14095" spans="8:8">
      <c r="H14095" t="s">
        <v>21420</v>
      </c>
    </row>
    <row r="14096" spans="8:8">
      <c r="H14096" t="s">
        <v>21421</v>
      </c>
    </row>
    <row r="14097" spans="8:8">
      <c r="H14097" t="s">
        <v>21422</v>
      </c>
    </row>
    <row r="14098" spans="8:8">
      <c r="H14098" t="s">
        <v>21423</v>
      </c>
    </row>
    <row r="14099" spans="8:8">
      <c r="H14099" t="s">
        <v>21424</v>
      </c>
    </row>
    <row r="14100" spans="8:8">
      <c r="H14100" t="s">
        <v>21425</v>
      </c>
    </row>
    <row r="14101" spans="8:8">
      <c r="H14101" t="s">
        <v>21426</v>
      </c>
    </row>
    <row r="14102" spans="8:8">
      <c r="H14102" t="s">
        <v>21427</v>
      </c>
    </row>
    <row r="14103" spans="8:8">
      <c r="H14103" t="s">
        <v>21428</v>
      </c>
    </row>
    <row r="14104" spans="8:8">
      <c r="H14104" t="s">
        <v>21429</v>
      </c>
    </row>
    <row r="14105" spans="8:8">
      <c r="H14105" t="s">
        <v>21430</v>
      </c>
    </row>
    <row r="14106" spans="8:8">
      <c r="H14106" t="s">
        <v>21431</v>
      </c>
    </row>
    <row r="14107" spans="8:8">
      <c r="H14107" t="s">
        <v>21432</v>
      </c>
    </row>
    <row r="14108" spans="8:8">
      <c r="H14108" t="s">
        <v>21433</v>
      </c>
    </row>
    <row r="14109" spans="8:8">
      <c r="H14109" t="s">
        <v>21434</v>
      </c>
    </row>
    <row r="14110" spans="8:8">
      <c r="H14110" t="s">
        <v>21435</v>
      </c>
    </row>
    <row r="14111" spans="8:8">
      <c r="H14111" t="s">
        <v>21436</v>
      </c>
    </row>
    <row r="14112" spans="8:8">
      <c r="H14112" t="s">
        <v>21437</v>
      </c>
    </row>
    <row r="14113" spans="1:8">
      <c r="H14113" t="s">
        <v>21438</v>
      </c>
    </row>
    <row r="14114" spans="1:8">
      <c r="H14114" t="s">
        <v>21439</v>
      </c>
    </row>
    <row r="14115" spans="1:8">
      <c r="H14115" t="s">
        <v>21440</v>
      </c>
    </row>
    <row r="14116" spans="1:8">
      <c r="H14116" t="s">
        <v>21441</v>
      </c>
    </row>
    <row r="14117" spans="1:8">
      <c r="H14117" t="s">
        <v>21442</v>
      </c>
    </row>
    <row r="14118" spans="1:8">
      <c r="H14118" t="s">
        <v>21443</v>
      </c>
    </row>
    <row r="14119" spans="1:8">
      <c r="H14119" t="s">
        <v>21444</v>
      </c>
    </row>
    <row r="14120" spans="1:8">
      <c r="F14120" t="s">
        <v>12229</v>
      </c>
      <c r="G14120" t="s">
        <v>16459</v>
      </c>
      <c r="H14120" t="s">
        <v>21445</v>
      </c>
    </row>
    <row r="14121" spans="1:8">
      <c r="A14121" t="s">
        <v>487</v>
      </c>
      <c r="B14121">
        <f>HYPERLINK("https://android.googlesource.com/platform/cts/+/24294d74d0714a82bc51487202ae66d8bc66e036", "24294d74d0714a82bc51487202ae66d8bc66e036")</f>
        <v>0</v>
      </c>
      <c r="C14121">
        <f>HYPERLINK("https://android.googlesource.com/platform/cts/+/c7e76bfce7ebddc273087cd8808cccdba593e2ee", "c7e76bfce7ebddc273087cd8808cccdba593e2ee")</f>
        <v>0</v>
      </c>
      <c r="D14121" t="s">
        <v>5011</v>
      </c>
      <c r="E14121" t="s">
        <v>6274</v>
      </c>
      <c r="F14121" t="s">
        <v>12230</v>
      </c>
      <c r="G14121" t="s">
        <v>16460</v>
      </c>
      <c r="H14121" t="s">
        <v>18829</v>
      </c>
    </row>
    <row r="14122" spans="1:8">
      <c r="A14122" t="s">
        <v>488</v>
      </c>
      <c r="B14122">
        <f>HYPERLINK("https://android.googlesource.com/platform/cts/+/9dbe417023e71a298cb9cb729959453a96d8d907", "9dbe417023e71a298cb9cb729959453a96d8d907")</f>
        <v>0</v>
      </c>
      <c r="C14122">
        <f>HYPERLINK("https://android.googlesource.com/platform/cts/+/f6dfa9eb7807ded78f4e740686d629e7eb346d87", "f6dfa9eb7807ded78f4e740686d629e7eb346d87")</f>
        <v>0</v>
      </c>
      <c r="D14122" t="s">
        <v>5004</v>
      </c>
      <c r="E14122" t="s">
        <v>6275</v>
      </c>
      <c r="F14122" t="s">
        <v>12225</v>
      </c>
      <c r="G14122" t="s">
        <v>16455</v>
      </c>
      <c r="H14122" t="s">
        <v>21446</v>
      </c>
    </row>
    <row r="14123" spans="1:8">
      <c r="A14123" t="s">
        <v>489</v>
      </c>
      <c r="B14123">
        <f>HYPERLINK("https://android.googlesource.com/platform/cts/+/95988bdc4f6cad1662215bcc4ae5c27ef496a38c", "95988bdc4f6cad1662215bcc4ae5c27ef496a38c")</f>
        <v>0</v>
      </c>
      <c r="C14123">
        <f>HYPERLINK("https://android.googlesource.com/platform/cts/+/27bb29f13838fcdb7536848ab54b9afa2e5c1322", "27bb29f13838fcdb7536848ab54b9afa2e5c1322")</f>
        <v>0</v>
      </c>
      <c r="D14123" t="s">
        <v>5012</v>
      </c>
      <c r="E14123" t="s">
        <v>6276</v>
      </c>
      <c r="F14123" t="s">
        <v>12230</v>
      </c>
      <c r="G14123" t="s">
        <v>16460</v>
      </c>
      <c r="H14123" t="s">
        <v>21447</v>
      </c>
    </row>
    <row r="14124" spans="1:8">
      <c r="A14124" t="s">
        <v>490</v>
      </c>
      <c r="B14124">
        <f>HYPERLINK("https://android.googlesource.com/platform/cts/+/d5fb821449d0e610322f0a0c77b9150f12e09b10", "d5fb821449d0e610322f0a0c77b9150f12e09b10")</f>
        <v>0</v>
      </c>
      <c r="C14124">
        <f>HYPERLINK("https://android.googlesource.com/platform/cts/+/27bb29f13838fcdb7536848ab54b9afa2e5c1322", "27bb29f13838fcdb7536848ab54b9afa2e5c1322")</f>
        <v>0</v>
      </c>
      <c r="D14124" t="s">
        <v>4968</v>
      </c>
      <c r="E14124" t="s">
        <v>6277</v>
      </c>
      <c r="F14124" t="s">
        <v>12231</v>
      </c>
      <c r="G14124" t="s">
        <v>16461</v>
      </c>
      <c r="H14124" t="s">
        <v>21448</v>
      </c>
    </row>
    <row r="14125" spans="1:8">
      <c r="A14125" t="s">
        <v>492</v>
      </c>
      <c r="B14125">
        <f>HYPERLINK("https://android.googlesource.com/platform/cts/+/85fb765e613f03b51203a1384f5343394fb21d98", "85fb765e613f03b51203a1384f5343394fb21d98")</f>
        <v>0</v>
      </c>
      <c r="C14125">
        <f>HYPERLINK("https://android.googlesource.com/platform/cts/+/7d378bec4412e41b2ca0f1d99261fecf3cd27900", "7d378bec4412e41b2ca0f1d99261fecf3cd27900")</f>
        <v>0</v>
      </c>
      <c r="D14125" t="s">
        <v>4981</v>
      </c>
      <c r="E14125" t="s">
        <v>6278</v>
      </c>
      <c r="F14125" t="s">
        <v>12227</v>
      </c>
      <c r="G14125" t="s">
        <v>16457</v>
      </c>
      <c r="H14125" t="s">
        <v>21449</v>
      </c>
    </row>
    <row r="14126" spans="1:8">
      <c r="H14126" t="s">
        <v>21154</v>
      </c>
    </row>
    <row r="14127" spans="1:8">
      <c r="H14127" t="s">
        <v>21450</v>
      </c>
    </row>
    <row r="14128" spans="1:8">
      <c r="F14128" t="s">
        <v>12166</v>
      </c>
      <c r="G14128" t="s">
        <v>16406</v>
      </c>
      <c r="H14128" t="s">
        <v>21451</v>
      </c>
    </row>
    <row r="14129" spans="1:8">
      <c r="H14129" t="s">
        <v>21452</v>
      </c>
    </row>
    <row r="14130" spans="1:8">
      <c r="A14130" t="s">
        <v>493</v>
      </c>
      <c r="B14130">
        <f>HYPERLINK("https://android.googlesource.com/platform/cts/+/79fcc721bdbd0ef44b4c7a8b735b8f15e0faffb6", "79fcc721bdbd0ef44b4c7a8b735b8f15e0faffb6")</f>
        <v>0</v>
      </c>
      <c r="C14130">
        <f>HYPERLINK("https://android.googlesource.com/platform/cts/+/85fb765e613f03b51203a1384f5343394fb21d98", "85fb765e613f03b51203a1384f5343394fb21d98")</f>
        <v>0</v>
      </c>
      <c r="D14130" t="s">
        <v>4981</v>
      </c>
      <c r="E14130" t="s">
        <v>6279</v>
      </c>
      <c r="F14130" t="s">
        <v>12232</v>
      </c>
      <c r="G14130" t="s">
        <v>16462</v>
      </c>
      <c r="H14130" t="s">
        <v>21453</v>
      </c>
    </row>
    <row r="14131" spans="1:8">
      <c r="A14131" t="s">
        <v>494</v>
      </c>
      <c r="B14131">
        <f>HYPERLINK("https://android.googlesource.com/platform/cts/+/20ecc0e2eb094fa6cc6b27b5efeb9be3df3adb91", "20ecc0e2eb094fa6cc6b27b5efeb9be3df3adb91")</f>
        <v>0</v>
      </c>
      <c r="C14131">
        <f>HYPERLINK("https://android.googlesource.com/platform/cts/+/2b7ae5139a7ed7bfa158c6213906736431de12e5", "2b7ae5139a7ed7bfa158c6213906736431de12e5")</f>
        <v>0</v>
      </c>
      <c r="D14131" t="s">
        <v>4981</v>
      </c>
      <c r="E14131" t="s">
        <v>6280</v>
      </c>
      <c r="F14131" t="s">
        <v>12233</v>
      </c>
      <c r="G14131" t="s">
        <v>16463</v>
      </c>
      <c r="H14131" t="s">
        <v>21454</v>
      </c>
    </row>
    <row r="14132" spans="1:8">
      <c r="H14132" t="s">
        <v>21455</v>
      </c>
    </row>
    <row r="14133" spans="1:8">
      <c r="H14133" t="s">
        <v>21456</v>
      </c>
    </row>
    <row r="14134" spans="1:8">
      <c r="H14134" t="s">
        <v>21457</v>
      </c>
    </row>
    <row r="14135" spans="1:8">
      <c r="H14135" t="s">
        <v>21458</v>
      </c>
    </row>
    <row r="14136" spans="1:8">
      <c r="H14136" t="s">
        <v>21459</v>
      </c>
    </row>
    <row r="14137" spans="1:8">
      <c r="H14137" t="s">
        <v>21460</v>
      </c>
    </row>
    <row r="14138" spans="1:8">
      <c r="A14138" t="s">
        <v>495</v>
      </c>
      <c r="B14138">
        <f>HYPERLINK("https://android.googlesource.com/platform/cts/+/81bc303aa96f9f87fdc99e270a69ffa7ae9b5740", "81bc303aa96f9f87fdc99e270a69ffa7ae9b5740")</f>
        <v>0</v>
      </c>
      <c r="C14138">
        <f>HYPERLINK("https://android.googlesource.com/platform/cts/+/a9bfb656f9dd82ab51a45aa08c1cafbe00566038", "a9bfb656f9dd82ab51a45aa08c1cafbe00566038")</f>
        <v>0</v>
      </c>
      <c r="D14138" t="s">
        <v>4978</v>
      </c>
      <c r="E14138" t="s">
        <v>6281</v>
      </c>
      <c r="F14138" t="s">
        <v>12225</v>
      </c>
      <c r="G14138" t="s">
        <v>16455</v>
      </c>
      <c r="H14138" t="s">
        <v>21399</v>
      </c>
    </row>
    <row r="14139" spans="1:8">
      <c r="H14139" t="s">
        <v>21400</v>
      </c>
    </row>
    <row r="14140" spans="1:8">
      <c r="H14140" t="s">
        <v>21401</v>
      </c>
    </row>
    <row r="14141" spans="1:8">
      <c r="H14141" t="s">
        <v>21461</v>
      </c>
    </row>
    <row r="14142" spans="1:8">
      <c r="H14142" t="s">
        <v>21462</v>
      </c>
    </row>
    <row r="14143" spans="1:8">
      <c r="H14143" t="s">
        <v>20177</v>
      </c>
    </row>
    <row r="14144" spans="1:8">
      <c r="H14144" t="s">
        <v>21463</v>
      </c>
    </row>
    <row r="14145" spans="1:8">
      <c r="A14145" t="s">
        <v>496</v>
      </c>
      <c r="B14145">
        <f>HYPERLINK("https://android.googlesource.com/platform/cts/+/e69403f4663ecab20cfc80f42afc7247f3efc24b", "e69403f4663ecab20cfc80f42afc7247f3efc24b")</f>
        <v>0</v>
      </c>
      <c r="C14145">
        <f>HYPERLINK("https://android.googlesource.com/platform/cts/+/02519dac4380f1302aad40d2b96c08aa1fad52e1", "02519dac4380f1302aad40d2b96c08aa1fad52e1")</f>
        <v>0</v>
      </c>
      <c r="D14145" t="s">
        <v>5013</v>
      </c>
      <c r="E14145" t="s">
        <v>6282</v>
      </c>
      <c r="F14145" t="s">
        <v>12234</v>
      </c>
      <c r="G14145" t="s">
        <v>16464</v>
      </c>
      <c r="H14145" t="s">
        <v>21464</v>
      </c>
    </row>
    <row r="14146" spans="1:8">
      <c r="F14146" t="s">
        <v>12235</v>
      </c>
      <c r="G14146" t="s">
        <v>16465</v>
      </c>
      <c r="H14146" t="s">
        <v>21464</v>
      </c>
    </row>
    <row r="14147" spans="1:8">
      <c r="F14147" t="s">
        <v>12236</v>
      </c>
      <c r="G14147" t="s">
        <v>16466</v>
      </c>
      <c r="H14147" t="s">
        <v>21464</v>
      </c>
    </row>
    <row r="14148" spans="1:8">
      <c r="A14148" t="s">
        <v>497</v>
      </c>
      <c r="B14148">
        <f>HYPERLINK("https://android.googlesource.com/platform/cts/+/2b0131ca8b401d80531706a20ad358b9bf99d259", "2b0131ca8b401d80531706a20ad358b9bf99d259")</f>
        <v>0</v>
      </c>
      <c r="C14148">
        <f>HYPERLINK("https://android.googlesource.com/platform/cts/+/5c7773621b2f0760d8bb4163a2f73ac5ac545e78", "5c7773621b2f0760d8bb4163a2f73ac5ac545e78")</f>
        <v>0</v>
      </c>
      <c r="D14148" t="s">
        <v>5014</v>
      </c>
      <c r="E14148" t="s">
        <v>6283</v>
      </c>
      <c r="F14148" t="s">
        <v>12237</v>
      </c>
      <c r="G14148" t="s">
        <v>16467</v>
      </c>
      <c r="H14148" t="s">
        <v>21465</v>
      </c>
    </row>
    <row r="14149" spans="1:8">
      <c r="H14149" t="s">
        <v>21466</v>
      </c>
    </row>
    <row r="14150" spans="1:8">
      <c r="H14150" t="s">
        <v>21467</v>
      </c>
    </row>
    <row r="14151" spans="1:8">
      <c r="H14151" t="s">
        <v>21468</v>
      </c>
    </row>
    <row r="14152" spans="1:8">
      <c r="A14152" t="s">
        <v>498</v>
      </c>
      <c r="B14152">
        <f>HYPERLINK("https://android.googlesource.com/platform/cts/+/228d1b55ea6976e00c80372613511a6900c8ba4b", "228d1b55ea6976e00c80372613511a6900c8ba4b")</f>
        <v>0</v>
      </c>
      <c r="C14152">
        <f>HYPERLINK("https://android.googlesource.com/platform/cts/+/75eea801bf237975246f34c564725db3dde10b4c", "75eea801bf237975246f34c564725db3dde10b4c")</f>
        <v>0</v>
      </c>
      <c r="D14152" t="s">
        <v>5013</v>
      </c>
      <c r="E14152" t="s">
        <v>6284</v>
      </c>
      <c r="F14152" t="s">
        <v>12234</v>
      </c>
      <c r="G14152" t="s">
        <v>16464</v>
      </c>
      <c r="H14152" t="s">
        <v>21469</v>
      </c>
    </row>
    <row r="14153" spans="1:8">
      <c r="H14153" t="s">
        <v>21470</v>
      </c>
    </row>
    <row r="14154" spans="1:8">
      <c r="H14154" t="s">
        <v>21471</v>
      </c>
    </row>
    <row r="14155" spans="1:8">
      <c r="H14155" t="s">
        <v>21472</v>
      </c>
    </row>
    <row r="14156" spans="1:8">
      <c r="F14156" t="s">
        <v>12235</v>
      </c>
      <c r="G14156" t="s">
        <v>16465</v>
      </c>
      <c r="H14156" t="s">
        <v>21469</v>
      </c>
    </row>
    <row r="14157" spans="1:8">
      <c r="H14157" t="s">
        <v>21470</v>
      </c>
    </row>
    <row r="14158" spans="1:8">
      <c r="H14158" t="s">
        <v>21471</v>
      </c>
    </row>
    <row r="14159" spans="1:8">
      <c r="H14159" t="s">
        <v>21472</v>
      </c>
    </row>
    <row r="14160" spans="1:8">
      <c r="F14160" t="s">
        <v>12236</v>
      </c>
      <c r="G14160" t="s">
        <v>16466</v>
      </c>
      <c r="H14160" t="s">
        <v>21469</v>
      </c>
    </row>
    <row r="14161" spans="1:8">
      <c r="H14161" t="s">
        <v>21470</v>
      </c>
    </row>
    <row r="14162" spans="1:8">
      <c r="H14162" t="s">
        <v>21471</v>
      </c>
    </row>
    <row r="14163" spans="1:8">
      <c r="H14163" t="s">
        <v>21472</v>
      </c>
    </row>
    <row r="14164" spans="1:8">
      <c r="A14164" t="s">
        <v>499</v>
      </c>
      <c r="B14164">
        <f>HYPERLINK("https://android.googlesource.com/platform/cts/+/8f61b50e4dba5584e4796066bbb48637061d4b0b", "8f61b50e4dba5584e4796066bbb48637061d4b0b")</f>
        <v>0</v>
      </c>
      <c r="C14164">
        <f>HYPERLINK("https://android.googlesource.com/platform/cts/+/f2d8c5158a6e87900581ee26931ed7c315d62cd3", "f2d8c5158a6e87900581ee26931ed7c315d62cd3")</f>
        <v>0</v>
      </c>
      <c r="D14164" t="s">
        <v>4981</v>
      </c>
      <c r="E14164" t="s">
        <v>6285</v>
      </c>
      <c r="F14164" t="s">
        <v>12168</v>
      </c>
      <c r="G14164" t="s">
        <v>16408</v>
      </c>
      <c r="H14164" t="s">
        <v>21451</v>
      </c>
    </row>
    <row r="14165" spans="1:8">
      <c r="H14165" t="s">
        <v>21452</v>
      </c>
    </row>
    <row r="14166" spans="1:8">
      <c r="A14166" t="s">
        <v>500</v>
      </c>
      <c r="B14166">
        <f>HYPERLINK("https://android.googlesource.com/platform/cts/+/c3329438041a9514d308cc03dd3cfac75573c356", "c3329438041a9514d308cc03dd3cfac75573c356")</f>
        <v>0</v>
      </c>
      <c r="C14166">
        <f>HYPERLINK("https://android.googlesource.com/platform/cts/+/6dacad5cdac2f9c44ec672043aa67a5bce631c0a", "6dacad5cdac2f9c44ec672043aa67a5bce631c0a")</f>
        <v>0</v>
      </c>
      <c r="D14166" t="s">
        <v>5002</v>
      </c>
      <c r="E14166" t="s">
        <v>6286</v>
      </c>
      <c r="F14166" t="s">
        <v>12189</v>
      </c>
      <c r="G14166" t="s">
        <v>16428</v>
      </c>
      <c r="H14166" t="s">
        <v>21299</v>
      </c>
    </row>
    <row r="14167" spans="1:8">
      <c r="H14167" t="s">
        <v>18863</v>
      </c>
    </row>
    <row r="14168" spans="1:8">
      <c r="H14168" t="s">
        <v>21300</v>
      </c>
    </row>
    <row r="14169" spans="1:8">
      <c r="A14169" t="s">
        <v>501</v>
      </c>
      <c r="B14169">
        <f>HYPERLINK("https://android.googlesource.com/platform/cts/+/8569fef69488542b47233c8b15052ee3418c675f", "8569fef69488542b47233c8b15052ee3418c675f")</f>
        <v>0</v>
      </c>
      <c r="C14169">
        <f>HYPERLINK("https://android.googlesource.com/platform/cts/+/2c2d29aeb08de222be385736b30541e57c9238ab", "2c2d29aeb08de222be385736b30541e57c9238ab")</f>
        <v>0</v>
      </c>
      <c r="D14169" t="s">
        <v>4991</v>
      </c>
      <c r="E14169" t="s">
        <v>6287</v>
      </c>
      <c r="F14169" t="s">
        <v>10687</v>
      </c>
      <c r="G14169" t="s">
        <v>15087</v>
      </c>
      <c r="H14169" t="s">
        <v>21473</v>
      </c>
    </row>
    <row r="14170" spans="1:8">
      <c r="H14170" t="s">
        <v>21205</v>
      </c>
    </row>
    <row r="14171" spans="1:8">
      <c r="H14171" t="s">
        <v>21206</v>
      </c>
    </row>
    <row r="14172" spans="1:8">
      <c r="A14172" t="s">
        <v>502</v>
      </c>
      <c r="B14172">
        <f>HYPERLINK("https://android.googlesource.com/platform/cts/+/d9a21093d7cc38749a3013f9b0b011f6610be3b0", "d9a21093d7cc38749a3013f9b0b011f6610be3b0")</f>
        <v>0</v>
      </c>
      <c r="C14172">
        <f>HYPERLINK("https://android.googlesource.com/platform/cts/+/f3c7daee9db73999a26d817ae35868ea633ee7ee", "f3c7daee9db73999a26d817ae35868ea633ee7ee")</f>
        <v>0</v>
      </c>
      <c r="D14172" t="s">
        <v>5002</v>
      </c>
      <c r="E14172" t="s">
        <v>6288</v>
      </c>
      <c r="F14172" t="s">
        <v>12190</v>
      </c>
      <c r="G14172" t="s">
        <v>16429</v>
      </c>
      <c r="H14172" t="s">
        <v>21320</v>
      </c>
    </row>
    <row r="14173" spans="1:8">
      <c r="H14173" t="s">
        <v>21321</v>
      </c>
    </row>
    <row r="14174" spans="1:8">
      <c r="A14174" t="s">
        <v>503</v>
      </c>
      <c r="B14174">
        <f>HYPERLINK("https://android.googlesource.com/platform/cts/+/6ab5bad82445b81f833f16a5ec21ee2498d6422b", "6ab5bad82445b81f833f16a5ec21ee2498d6422b")</f>
        <v>0</v>
      </c>
      <c r="C14174">
        <f>HYPERLINK("https://android.googlesource.com/platform/cts/+/65c7cdb401ab923b50e0f59d32e166223c8ab089", "65c7cdb401ab923b50e0f59d32e166223c8ab089")</f>
        <v>0</v>
      </c>
      <c r="D14174" t="s">
        <v>5015</v>
      </c>
      <c r="E14174" t="s">
        <v>6289</v>
      </c>
      <c r="F14174" t="s">
        <v>12238</v>
      </c>
      <c r="G14174" t="s">
        <v>16468</v>
      </c>
      <c r="H14174" t="s">
        <v>20441</v>
      </c>
    </row>
    <row r="14175" spans="1:8">
      <c r="H14175" t="s">
        <v>21474</v>
      </c>
    </row>
    <row r="14176" spans="1:8">
      <c r="H14176" t="s">
        <v>21475</v>
      </c>
    </row>
    <row r="14177" spans="1:8">
      <c r="A14177" t="s">
        <v>504</v>
      </c>
      <c r="B14177">
        <f>HYPERLINK("https://android.googlesource.com/platform/cts/+/562ec52401a65facf4b5f1a7af06d66ac95c9022", "562ec52401a65facf4b5f1a7af06d66ac95c9022")</f>
        <v>0</v>
      </c>
      <c r="C14177">
        <f>HYPERLINK("https://android.googlesource.com/platform/cts/+/ef2d2fa944318a8973e50045051fb525ca29a81a", "ef2d2fa944318a8973e50045051fb525ca29a81a")</f>
        <v>0</v>
      </c>
      <c r="D14177" t="s">
        <v>4998</v>
      </c>
      <c r="E14177" t="s">
        <v>6290</v>
      </c>
      <c r="F14177" t="s">
        <v>12239</v>
      </c>
      <c r="G14177" t="s">
        <v>16469</v>
      </c>
      <c r="H14177" t="s">
        <v>21476</v>
      </c>
    </row>
    <row r="14178" spans="1:8">
      <c r="H14178" t="s">
        <v>21477</v>
      </c>
    </row>
    <row r="14179" spans="1:8">
      <c r="A14179" t="s">
        <v>505</v>
      </c>
      <c r="B14179">
        <f>HYPERLINK("https://android.googlesource.com/platform/cts/+/a132af6f95074f34298384b7b217afc42d76b30b", "a132af6f95074f34298384b7b217afc42d76b30b")</f>
        <v>0</v>
      </c>
      <c r="C14179">
        <f>HYPERLINK("https://android.googlesource.com/platform/cts/+/6ab5bad82445b81f833f16a5ec21ee2498d6422b", "6ab5bad82445b81f833f16a5ec21ee2498d6422b")</f>
        <v>0</v>
      </c>
      <c r="D14179" t="s">
        <v>5002</v>
      </c>
      <c r="E14179" t="s">
        <v>6291</v>
      </c>
      <c r="F14179" t="s">
        <v>12209</v>
      </c>
      <c r="G14179" t="s">
        <v>16470</v>
      </c>
      <c r="H14179" t="s">
        <v>21478</v>
      </c>
    </row>
    <row r="14180" spans="1:8">
      <c r="H14180" t="s">
        <v>20244</v>
      </c>
    </row>
    <row r="14181" spans="1:8">
      <c r="H14181" t="s">
        <v>18829</v>
      </c>
    </row>
    <row r="14182" spans="1:8">
      <c r="H14182" t="s">
        <v>18863</v>
      </c>
    </row>
    <row r="14183" spans="1:8">
      <c r="H14183" t="s">
        <v>21479</v>
      </c>
    </row>
    <row r="14184" spans="1:8">
      <c r="A14184" t="s">
        <v>507</v>
      </c>
      <c r="B14184">
        <f>HYPERLINK("https://android.googlesource.com/platform/cts/+/1a4b0ea6f68bd4d9ab31767fc3ac5a0b6ac0f3ca", "1a4b0ea6f68bd4d9ab31767fc3ac5a0b6ac0f3ca")</f>
        <v>0</v>
      </c>
      <c r="C14184">
        <f>HYPERLINK("https://android.googlesource.com/platform/cts/+/a861b9abc0ead1c6d54d4bb473169fa19d4cb33d", "a861b9abc0ead1c6d54d4bb473169fa19d4cb33d")</f>
        <v>0</v>
      </c>
      <c r="D14184" t="s">
        <v>5016</v>
      </c>
      <c r="E14184" t="s">
        <v>6293</v>
      </c>
      <c r="F14184" t="s">
        <v>12240</v>
      </c>
      <c r="G14184" t="s">
        <v>16471</v>
      </c>
      <c r="H14184" t="s">
        <v>21480</v>
      </c>
    </row>
    <row r="14185" spans="1:8">
      <c r="A14185" t="s">
        <v>508</v>
      </c>
      <c r="B14185">
        <f>HYPERLINK("https://android.googlesource.com/platform/cts/+/fa600c8143f25022160dd6046cb7fe6750d6d340", "fa600c8143f25022160dd6046cb7fe6750d6d340")</f>
        <v>0</v>
      </c>
      <c r="C14185">
        <f>HYPERLINK("https://android.googlesource.com/platform/cts/+/0a006b8ed35c78a3d615b67af5bc92cf4b271ca4", "0a006b8ed35c78a3d615b67af5bc92cf4b271ca4")</f>
        <v>0</v>
      </c>
      <c r="D14185" t="s">
        <v>4981</v>
      </c>
      <c r="E14185" t="s">
        <v>6294</v>
      </c>
      <c r="F14185" t="s">
        <v>12241</v>
      </c>
      <c r="G14185" t="s">
        <v>16472</v>
      </c>
      <c r="H14185" t="s">
        <v>21481</v>
      </c>
    </row>
    <row r="14186" spans="1:8">
      <c r="A14186" t="s">
        <v>509</v>
      </c>
      <c r="B14186">
        <f>HYPERLINK("https://android.googlesource.com/platform/cts/+/c09a2e0bfbc7d015dfddc41079d30d60ddf4b46c", "c09a2e0bfbc7d015dfddc41079d30d60ddf4b46c")</f>
        <v>0</v>
      </c>
      <c r="C14186">
        <f>HYPERLINK("https://android.googlesource.com/platform/cts/+/1437084725aa93716b6f5824ddce74c6add7af51", "1437084725aa93716b6f5824ddce74c6add7af51")</f>
        <v>0</v>
      </c>
      <c r="D14186" t="s">
        <v>5002</v>
      </c>
      <c r="E14186" t="s">
        <v>6295</v>
      </c>
      <c r="F14186" t="s">
        <v>10586</v>
      </c>
      <c r="G14186" t="s">
        <v>14989</v>
      </c>
      <c r="H14186" t="s">
        <v>21482</v>
      </c>
    </row>
    <row r="14187" spans="1:8">
      <c r="H14187" t="s">
        <v>19145</v>
      </c>
    </row>
    <row r="14188" spans="1:8">
      <c r="H14188" t="s">
        <v>21483</v>
      </c>
    </row>
    <row r="14189" spans="1:8">
      <c r="H14189" t="s">
        <v>21484</v>
      </c>
    </row>
    <row r="14190" spans="1:8">
      <c r="H14190" t="s">
        <v>21485</v>
      </c>
    </row>
    <row r="14191" spans="1:8">
      <c r="F14191" t="s">
        <v>12242</v>
      </c>
      <c r="G14191" t="s">
        <v>16473</v>
      </c>
      <c r="H14191" t="s">
        <v>21486</v>
      </c>
    </row>
    <row r="14192" spans="1:8">
      <c r="H14192" t="s">
        <v>18829</v>
      </c>
    </row>
    <row r="14193" spans="1:8">
      <c r="H14193" t="s">
        <v>19536</v>
      </c>
    </row>
    <row r="14194" spans="1:8">
      <c r="H14194" t="s">
        <v>21487</v>
      </c>
    </row>
    <row r="14195" spans="1:8">
      <c r="H14195" t="s">
        <v>19426</v>
      </c>
    </row>
    <row r="14196" spans="1:8">
      <c r="H14196" t="s">
        <v>21488</v>
      </c>
    </row>
    <row r="14197" spans="1:8">
      <c r="H14197" t="s">
        <v>21489</v>
      </c>
    </row>
    <row r="14198" spans="1:8">
      <c r="H14198" t="s">
        <v>21490</v>
      </c>
    </row>
    <row r="14199" spans="1:8">
      <c r="H14199" t="s">
        <v>21491</v>
      </c>
    </row>
    <row r="14200" spans="1:8">
      <c r="H14200" t="s">
        <v>21492</v>
      </c>
    </row>
    <row r="14201" spans="1:8">
      <c r="H14201" t="s">
        <v>21493</v>
      </c>
    </row>
    <row r="14202" spans="1:8">
      <c r="A14202" t="s">
        <v>510</v>
      </c>
      <c r="B14202">
        <f>HYPERLINK("https://android.googlesource.com/platform/cts/+/2567751603f86e69d22285066c877dd9fce2790d", "2567751603f86e69d22285066c877dd9fce2790d")</f>
        <v>0</v>
      </c>
      <c r="C14202">
        <f>HYPERLINK("https://android.googlesource.com/platform/cts/+/8c3b74bbeca085b0029191278707a29c6bc5aef1", "8c3b74bbeca085b0029191278707a29c6bc5aef1")</f>
        <v>0</v>
      </c>
      <c r="D14202" t="s">
        <v>4978</v>
      </c>
      <c r="E14202" t="s">
        <v>6296</v>
      </c>
      <c r="F14202" t="s">
        <v>10670</v>
      </c>
      <c r="G14202" t="s">
        <v>15029</v>
      </c>
      <c r="H14202" t="s">
        <v>21494</v>
      </c>
    </row>
    <row r="14203" spans="1:8">
      <c r="A14203" t="s">
        <v>511</v>
      </c>
      <c r="B14203">
        <f>HYPERLINK("https://android.googlesource.com/platform/cts/+/d6fe85283594f959ea11e7567f28a28837f191b9", "d6fe85283594f959ea11e7567f28a28837f191b9")</f>
        <v>0</v>
      </c>
      <c r="C14203">
        <f>HYPERLINK("https://android.googlesource.com/platform/cts/+/779cca73143371093f2d910f2d013e9dcc2142c8", "779cca73143371093f2d910f2d013e9dcc2142c8")</f>
        <v>0</v>
      </c>
      <c r="D14203" t="s">
        <v>4992</v>
      </c>
      <c r="E14203" t="s">
        <v>6297</v>
      </c>
      <c r="F14203" t="s">
        <v>10687</v>
      </c>
      <c r="G14203" t="s">
        <v>15087</v>
      </c>
      <c r="H14203" t="s">
        <v>21495</v>
      </c>
    </row>
    <row r="14204" spans="1:8">
      <c r="H14204" t="s">
        <v>21496</v>
      </c>
    </row>
    <row r="14205" spans="1:8">
      <c r="H14205" t="s">
        <v>21497</v>
      </c>
    </row>
    <row r="14206" spans="1:8">
      <c r="H14206" t="s">
        <v>21498</v>
      </c>
    </row>
    <row r="14207" spans="1:8">
      <c r="H14207" t="s">
        <v>21497</v>
      </c>
    </row>
    <row r="14208" spans="1:8">
      <c r="A14208" t="s">
        <v>512</v>
      </c>
      <c r="B14208">
        <f>HYPERLINK("https://android.googlesource.com/platform/cts/+/923ac68a526f638f67942f70fffecb4ebff392e9", "923ac68a526f638f67942f70fffecb4ebff392e9")</f>
        <v>0</v>
      </c>
      <c r="C14208">
        <f>HYPERLINK("https://android.googlesource.com/platform/cts/+/496f375f4f39faf4861023b4a2868d289b424c44", "496f375f4f39faf4861023b4a2868d289b424c44")</f>
        <v>0</v>
      </c>
      <c r="D14208" t="s">
        <v>4991</v>
      </c>
      <c r="E14208" t="s">
        <v>6298</v>
      </c>
      <c r="F14208" t="s">
        <v>10687</v>
      </c>
      <c r="G14208" t="s">
        <v>15087</v>
      </c>
      <c r="H14208" t="s">
        <v>21499</v>
      </c>
    </row>
    <row r="14209" spans="1:8">
      <c r="A14209" t="s">
        <v>513</v>
      </c>
      <c r="B14209">
        <f>HYPERLINK("https://android.googlesource.com/platform/cts/+/6d22bcaf77957a0bcab6293795769ad38557383a", "6d22bcaf77957a0bcab6293795769ad38557383a")</f>
        <v>0</v>
      </c>
      <c r="C14209">
        <f>HYPERLINK("https://android.googlesource.com/platform/cts/+/10020a8792533d82f2964c5ce5bded3d5195623b", "10020a8792533d82f2964c5ce5bded3d5195623b")</f>
        <v>0</v>
      </c>
      <c r="D14209" t="s">
        <v>4949</v>
      </c>
      <c r="E14209" t="s">
        <v>6299</v>
      </c>
      <c r="F14209" t="s">
        <v>12243</v>
      </c>
      <c r="G14209" t="s">
        <v>16474</v>
      </c>
      <c r="H14209" t="s">
        <v>18829</v>
      </c>
    </row>
    <row r="14210" spans="1:8">
      <c r="H14210" t="s">
        <v>18863</v>
      </c>
    </row>
    <row r="14211" spans="1:8">
      <c r="H14211" t="s">
        <v>21500</v>
      </c>
    </row>
    <row r="14212" spans="1:8">
      <c r="H14212" t="s">
        <v>19796</v>
      </c>
    </row>
    <row r="14213" spans="1:8">
      <c r="H14213" t="s">
        <v>21501</v>
      </c>
    </row>
    <row r="14214" spans="1:8">
      <c r="H14214" t="s">
        <v>21502</v>
      </c>
    </row>
    <row r="14215" spans="1:8">
      <c r="H14215" t="s">
        <v>21503</v>
      </c>
    </row>
    <row r="14216" spans="1:8">
      <c r="H14216" t="s">
        <v>21504</v>
      </c>
    </row>
    <row r="14217" spans="1:8">
      <c r="H14217" t="s">
        <v>21505</v>
      </c>
    </row>
    <row r="14218" spans="1:8">
      <c r="H14218" t="s">
        <v>21506</v>
      </c>
    </row>
    <row r="14219" spans="1:8">
      <c r="H14219" t="s">
        <v>21507</v>
      </c>
    </row>
    <row r="14220" spans="1:8">
      <c r="H14220" t="s">
        <v>21508</v>
      </c>
    </row>
    <row r="14221" spans="1:8">
      <c r="H14221" t="s">
        <v>21509</v>
      </c>
    </row>
    <row r="14222" spans="1:8">
      <c r="H14222" t="s">
        <v>21510</v>
      </c>
    </row>
    <row r="14223" spans="1:8">
      <c r="H14223" t="s">
        <v>21511</v>
      </c>
    </row>
    <row r="14224" spans="1:8">
      <c r="H14224" t="s">
        <v>21512</v>
      </c>
    </row>
    <row r="14225" spans="1:8">
      <c r="H14225" t="s">
        <v>21513</v>
      </c>
    </row>
    <row r="14226" spans="1:8">
      <c r="H14226" t="s">
        <v>21514</v>
      </c>
    </row>
    <row r="14227" spans="1:8">
      <c r="H14227" t="s">
        <v>21515</v>
      </c>
    </row>
    <row r="14228" spans="1:8">
      <c r="H14228" t="s">
        <v>21516</v>
      </c>
    </row>
    <row r="14229" spans="1:8">
      <c r="H14229" t="s">
        <v>21517</v>
      </c>
    </row>
    <row r="14230" spans="1:8">
      <c r="H14230" t="s">
        <v>21518</v>
      </c>
    </row>
    <row r="14231" spans="1:8">
      <c r="H14231" t="s">
        <v>21519</v>
      </c>
    </row>
    <row r="14232" spans="1:8">
      <c r="A14232" t="s">
        <v>514</v>
      </c>
      <c r="B14232">
        <f>HYPERLINK("https://android.googlesource.com/platform/cts/+/d35f8eb44fe78cb7bfc2f7d92cb64c5ed013abfd", "d35f8eb44fe78cb7bfc2f7d92cb64c5ed013abfd")</f>
        <v>0</v>
      </c>
      <c r="C14232">
        <f>HYPERLINK("https://android.googlesource.com/platform/cts/+/af052deac87840e2a3af6335376020adc0f0fde3", "af052deac87840e2a3af6335376020adc0f0fde3")</f>
        <v>0</v>
      </c>
      <c r="D14232" t="s">
        <v>5002</v>
      </c>
      <c r="E14232" t="s">
        <v>6300</v>
      </c>
      <c r="F14232" t="s">
        <v>12244</v>
      </c>
      <c r="G14232" t="s">
        <v>16475</v>
      </c>
      <c r="H14232" t="s">
        <v>21520</v>
      </c>
    </row>
    <row r="14233" spans="1:8">
      <c r="F14233" t="s">
        <v>12245</v>
      </c>
      <c r="G14233" t="s">
        <v>16476</v>
      </c>
      <c r="H14233" t="s">
        <v>21521</v>
      </c>
    </row>
    <row r="14234" spans="1:8">
      <c r="A14234" t="s">
        <v>515</v>
      </c>
      <c r="B14234">
        <f>HYPERLINK("https://android.googlesource.com/platform/cts/+/5c874325d5a5853373f9e36abdb4da1b1863b4f2", "5c874325d5a5853373f9e36abdb4da1b1863b4f2")</f>
        <v>0</v>
      </c>
      <c r="C14234">
        <f>HYPERLINK("https://android.googlesource.com/platform/cts/+/6d22bcaf77957a0bcab6293795769ad38557383a", "6d22bcaf77957a0bcab6293795769ad38557383a")</f>
        <v>0</v>
      </c>
      <c r="D14234" t="s">
        <v>4949</v>
      </c>
      <c r="E14234" t="s">
        <v>6301</v>
      </c>
      <c r="F14234" t="s">
        <v>12246</v>
      </c>
      <c r="G14234" t="s">
        <v>16477</v>
      </c>
      <c r="H14234" t="s">
        <v>21501</v>
      </c>
    </row>
    <row r="14235" spans="1:8">
      <c r="A14235" t="s">
        <v>516</v>
      </c>
      <c r="B14235">
        <f>HYPERLINK("https://android.googlesource.com/platform/cts/+/214b613d85dea5e8d3d7bcb89020282c11b46831", "214b613d85dea5e8d3d7bcb89020282c11b46831")</f>
        <v>0</v>
      </c>
      <c r="C14235">
        <f>HYPERLINK("https://android.googlesource.com/platform/cts/+/1677b409fb7562543499c3e3be29227801e296df", "1677b409fb7562543499c3e3be29227801e296df")</f>
        <v>0</v>
      </c>
      <c r="D14235" t="s">
        <v>5017</v>
      </c>
      <c r="E14235" t="s">
        <v>6302</v>
      </c>
      <c r="F14235" t="s">
        <v>12247</v>
      </c>
      <c r="G14235" t="s">
        <v>16478</v>
      </c>
      <c r="H14235" t="s">
        <v>21522</v>
      </c>
    </row>
    <row r="14236" spans="1:8">
      <c r="F14236" t="s">
        <v>12248</v>
      </c>
      <c r="G14236" t="s">
        <v>16479</v>
      </c>
      <c r="H14236" t="s">
        <v>21522</v>
      </c>
    </row>
    <row r="14237" spans="1:8">
      <c r="A14237" t="s">
        <v>517</v>
      </c>
      <c r="B14237">
        <f>HYPERLINK("https://android.googlesource.com/platform/cts/+/e86f98dd5468f8c4cfa59ebcd3ccb49e75311156", "e86f98dd5468f8c4cfa59ebcd3ccb49e75311156")</f>
        <v>0</v>
      </c>
      <c r="C14237">
        <f>HYPERLINK("https://android.googlesource.com/platform/cts/+/c74e235e0e1be734b22d27b5dc1696aa7836fb60", "c74e235e0e1be734b22d27b5dc1696aa7836fb60")</f>
        <v>0</v>
      </c>
      <c r="D14237" t="s">
        <v>4967</v>
      </c>
      <c r="E14237" t="s">
        <v>6303</v>
      </c>
      <c r="F14237" t="s">
        <v>12249</v>
      </c>
      <c r="G14237" t="s">
        <v>16480</v>
      </c>
      <c r="H14237" t="s">
        <v>21523</v>
      </c>
    </row>
    <row r="14238" spans="1:8">
      <c r="A14238" t="s">
        <v>519</v>
      </c>
      <c r="B14238">
        <f>HYPERLINK("https://android.googlesource.com/platform/cts/+/c5c1f068de4aac87595b4a3643f8a6c35dc9e854", "c5c1f068de4aac87595b4a3643f8a6c35dc9e854")</f>
        <v>0</v>
      </c>
      <c r="C14238">
        <f>HYPERLINK("https://android.googlesource.com/platform/cts/+/b21190dc4748538078b1a0420320f83d10a0aaa7", "b21190dc4748538078b1a0420320f83d10a0aaa7")</f>
        <v>0</v>
      </c>
      <c r="D14238" t="s">
        <v>5018</v>
      </c>
      <c r="E14238" t="s">
        <v>6305</v>
      </c>
      <c r="F14238" t="s">
        <v>12211</v>
      </c>
      <c r="G14238" t="s">
        <v>16449</v>
      </c>
      <c r="H14238" t="s">
        <v>21524</v>
      </c>
    </row>
    <row r="14239" spans="1:8">
      <c r="A14239" t="s">
        <v>521</v>
      </c>
      <c r="B14239">
        <f>HYPERLINK("https://android.googlesource.com/platform/cts/+/aee83a27e9f7ee3c770bd8f863bad68d5fb33be9", "aee83a27e9f7ee3c770bd8f863bad68d5fb33be9")</f>
        <v>0</v>
      </c>
      <c r="C14239">
        <f>HYPERLINK("https://android.googlesource.com/platform/cts/+/4c77c14ba0a97c5fdee364cb063e6a1e124612aa", "4c77c14ba0a97c5fdee364cb063e6a1e124612aa")</f>
        <v>0</v>
      </c>
      <c r="D14239" t="s">
        <v>5018</v>
      </c>
      <c r="E14239" t="s">
        <v>6307</v>
      </c>
      <c r="F14239" t="s">
        <v>12250</v>
      </c>
      <c r="G14239" t="s">
        <v>16481</v>
      </c>
      <c r="H14239" t="s">
        <v>19267</v>
      </c>
    </row>
    <row r="14240" spans="1:8">
      <c r="H14240" t="s">
        <v>18829</v>
      </c>
    </row>
    <row r="14241" spans="1:8">
      <c r="H14241" t="s">
        <v>21525</v>
      </c>
    </row>
    <row r="14242" spans="1:8">
      <c r="H14242" t="s">
        <v>21526</v>
      </c>
    </row>
    <row r="14243" spans="1:8">
      <c r="H14243" t="s">
        <v>21527</v>
      </c>
    </row>
    <row r="14244" spans="1:8">
      <c r="A14244" t="s">
        <v>522</v>
      </c>
      <c r="B14244">
        <f>HYPERLINK("https://android.googlesource.com/platform/cts/+/178f8818eb80316d16e3852b83bfdf14e1130407", "178f8818eb80316d16e3852b83bfdf14e1130407")</f>
        <v>0</v>
      </c>
      <c r="C14244">
        <f>HYPERLINK("https://android.googlesource.com/platform/cts/+/4adba5a0c2d6f14f1cda5589d7137be3107c6058", "4adba5a0c2d6f14f1cda5589d7137be3107c6058")</f>
        <v>0</v>
      </c>
      <c r="D14244" t="s">
        <v>5019</v>
      </c>
      <c r="E14244" t="s">
        <v>6308</v>
      </c>
      <c r="F14244" t="s">
        <v>10687</v>
      </c>
      <c r="G14244" t="s">
        <v>15087</v>
      </c>
      <c r="H14244" t="s">
        <v>21528</v>
      </c>
    </row>
    <row r="14245" spans="1:8">
      <c r="A14245" t="s">
        <v>523</v>
      </c>
      <c r="B14245">
        <f>HYPERLINK("https://android.googlesource.com/platform/cts/+/2830d721b4173ac7a91e4fc8b9cc0cafaaf86460", "2830d721b4173ac7a91e4fc8b9cc0cafaaf86460")</f>
        <v>0</v>
      </c>
      <c r="C14245">
        <f>HYPERLINK("https://android.googlesource.com/platform/cts/+/b24876794d9324ecc36b42a0c6d0b69690710afd", "b24876794d9324ecc36b42a0c6d0b69690710afd")</f>
        <v>0</v>
      </c>
      <c r="D14245" t="s">
        <v>5020</v>
      </c>
      <c r="E14245" t="s">
        <v>6309</v>
      </c>
      <c r="F14245" t="s">
        <v>12251</v>
      </c>
      <c r="G14245" t="s">
        <v>16482</v>
      </c>
      <c r="H14245" t="s">
        <v>21529</v>
      </c>
    </row>
    <row r="14246" spans="1:8">
      <c r="H14246" t="s">
        <v>21530</v>
      </c>
    </row>
    <row r="14247" spans="1:8">
      <c r="F14247" t="s">
        <v>12252</v>
      </c>
      <c r="G14247" t="s">
        <v>16483</v>
      </c>
      <c r="H14247" t="s">
        <v>21531</v>
      </c>
    </row>
    <row r="14248" spans="1:8">
      <c r="A14248" t="s">
        <v>524</v>
      </c>
      <c r="B14248">
        <f>HYPERLINK("https://android.googlesource.com/platform/cts/+/1781e39aae777152a097166996fc9d0ce45b533d", "1781e39aae777152a097166996fc9d0ce45b533d")</f>
        <v>0</v>
      </c>
      <c r="C14248">
        <f>HYPERLINK("https://android.googlesource.com/platform/cts/+/abdc4b1c9b38c129b9503ed122f00a168222216d", "abdc4b1c9b38c129b9503ed122f00a168222216d")</f>
        <v>0</v>
      </c>
      <c r="D14248" t="s">
        <v>5021</v>
      </c>
      <c r="E14248" t="s">
        <v>6310</v>
      </c>
      <c r="F14248" t="s">
        <v>10582</v>
      </c>
      <c r="G14248" t="s">
        <v>14985</v>
      </c>
      <c r="H14248" t="s">
        <v>21532</v>
      </c>
    </row>
    <row r="14249" spans="1:8">
      <c r="A14249" t="s">
        <v>525</v>
      </c>
      <c r="B14249">
        <f>HYPERLINK("https://android.googlesource.com/platform/cts/+/3d3e58536fc469ba8eeabb5f2f7334c6323b4f51", "3d3e58536fc469ba8eeabb5f2f7334c6323b4f51")</f>
        <v>0</v>
      </c>
      <c r="C14249">
        <f>HYPERLINK("https://android.googlesource.com/platform/cts/+/9e9c892a17fc1b5335e50601ee20884d2288b152", "9e9c892a17fc1b5335e50601ee20884d2288b152")</f>
        <v>0</v>
      </c>
      <c r="D14249" t="s">
        <v>5017</v>
      </c>
      <c r="E14249" t="s">
        <v>6311</v>
      </c>
      <c r="F14249" t="s">
        <v>12253</v>
      </c>
      <c r="G14249" t="s">
        <v>16484</v>
      </c>
      <c r="H14249" t="s">
        <v>18829</v>
      </c>
    </row>
    <row r="14250" spans="1:8">
      <c r="H14250" t="s">
        <v>21533</v>
      </c>
    </row>
    <row r="14251" spans="1:8">
      <c r="H14251" t="s">
        <v>21534</v>
      </c>
    </row>
    <row r="14252" spans="1:8">
      <c r="H14252" t="s">
        <v>21535</v>
      </c>
    </row>
    <row r="14253" spans="1:8">
      <c r="H14253" t="s">
        <v>21536</v>
      </c>
    </row>
    <row r="14254" spans="1:8">
      <c r="H14254" t="s">
        <v>21537</v>
      </c>
    </row>
    <row r="14255" spans="1:8">
      <c r="H14255" t="s">
        <v>21538</v>
      </c>
    </row>
    <row r="14256" spans="1:8">
      <c r="H14256" t="s">
        <v>21539</v>
      </c>
    </row>
    <row r="14257" spans="6:8">
      <c r="H14257" t="s">
        <v>21540</v>
      </c>
    </row>
    <row r="14258" spans="6:8">
      <c r="H14258" t="s">
        <v>21541</v>
      </c>
    </row>
    <row r="14259" spans="6:8">
      <c r="H14259" t="s">
        <v>21542</v>
      </c>
    </row>
    <row r="14260" spans="6:8">
      <c r="F14260" t="s">
        <v>12254</v>
      </c>
      <c r="G14260" t="s">
        <v>16485</v>
      </c>
      <c r="H14260" t="s">
        <v>18829</v>
      </c>
    </row>
    <row r="14261" spans="6:8">
      <c r="H14261" t="s">
        <v>21533</v>
      </c>
    </row>
    <row r="14262" spans="6:8">
      <c r="H14262" t="s">
        <v>21534</v>
      </c>
    </row>
    <row r="14263" spans="6:8">
      <c r="H14263" t="s">
        <v>21543</v>
      </c>
    </row>
    <row r="14264" spans="6:8">
      <c r="H14264" t="s">
        <v>21544</v>
      </c>
    </row>
    <row r="14265" spans="6:8">
      <c r="H14265" t="s">
        <v>21545</v>
      </c>
    </row>
    <row r="14266" spans="6:8">
      <c r="H14266" t="s">
        <v>21546</v>
      </c>
    </row>
    <row r="14267" spans="6:8">
      <c r="H14267" t="s">
        <v>21547</v>
      </c>
    </row>
    <row r="14268" spans="6:8">
      <c r="H14268" t="s">
        <v>21548</v>
      </c>
    </row>
    <row r="14269" spans="6:8">
      <c r="H14269" t="s">
        <v>21549</v>
      </c>
    </row>
    <row r="14270" spans="6:8">
      <c r="H14270" t="s">
        <v>21550</v>
      </c>
    </row>
    <row r="14271" spans="6:8">
      <c r="F14271" t="s">
        <v>12255</v>
      </c>
      <c r="G14271" t="s">
        <v>16486</v>
      </c>
      <c r="H14271" t="s">
        <v>18829</v>
      </c>
    </row>
    <row r="14272" spans="6:8">
      <c r="H14272" t="s">
        <v>21533</v>
      </c>
    </row>
    <row r="14273" spans="6:8">
      <c r="H14273" t="s">
        <v>21534</v>
      </c>
    </row>
    <row r="14274" spans="6:8">
      <c r="H14274" t="s">
        <v>21551</v>
      </c>
    </row>
    <row r="14275" spans="6:8">
      <c r="H14275" t="s">
        <v>21552</v>
      </c>
    </row>
    <row r="14276" spans="6:8">
      <c r="H14276" t="s">
        <v>21553</v>
      </c>
    </row>
    <row r="14277" spans="6:8">
      <c r="H14277" t="s">
        <v>21554</v>
      </c>
    </row>
    <row r="14278" spans="6:8">
      <c r="H14278" t="s">
        <v>21555</v>
      </c>
    </row>
    <row r="14279" spans="6:8">
      <c r="H14279" t="s">
        <v>21556</v>
      </c>
    </row>
    <row r="14280" spans="6:8">
      <c r="H14280" t="s">
        <v>21557</v>
      </c>
    </row>
    <row r="14281" spans="6:8">
      <c r="H14281" t="s">
        <v>21558</v>
      </c>
    </row>
    <row r="14282" spans="6:8">
      <c r="F14282" t="s">
        <v>12256</v>
      </c>
      <c r="G14282" t="s">
        <v>16487</v>
      </c>
      <c r="H14282" t="s">
        <v>18829</v>
      </c>
    </row>
    <row r="14283" spans="6:8">
      <c r="H14283" t="s">
        <v>21533</v>
      </c>
    </row>
    <row r="14284" spans="6:8">
      <c r="H14284" t="s">
        <v>21534</v>
      </c>
    </row>
    <row r="14285" spans="6:8">
      <c r="H14285" t="s">
        <v>21559</v>
      </c>
    </row>
    <row r="14286" spans="6:8">
      <c r="H14286" t="s">
        <v>21560</v>
      </c>
    </row>
    <row r="14287" spans="6:8">
      <c r="H14287" t="s">
        <v>21561</v>
      </c>
    </row>
    <row r="14288" spans="6:8">
      <c r="H14288" t="s">
        <v>21562</v>
      </c>
    </row>
    <row r="14289" spans="6:8">
      <c r="H14289" t="s">
        <v>21563</v>
      </c>
    </row>
    <row r="14290" spans="6:8">
      <c r="H14290" t="s">
        <v>21564</v>
      </c>
    </row>
    <row r="14291" spans="6:8">
      <c r="H14291" t="s">
        <v>21565</v>
      </c>
    </row>
    <row r="14292" spans="6:8">
      <c r="H14292" t="s">
        <v>21566</v>
      </c>
    </row>
    <row r="14293" spans="6:8">
      <c r="F14293" t="s">
        <v>12257</v>
      </c>
      <c r="G14293" t="s">
        <v>16488</v>
      </c>
      <c r="H14293" t="s">
        <v>18829</v>
      </c>
    </row>
    <row r="14294" spans="6:8">
      <c r="H14294" t="s">
        <v>21533</v>
      </c>
    </row>
    <row r="14295" spans="6:8">
      <c r="H14295" t="s">
        <v>21534</v>
      </c>
    </row>
    <row r="14296" spans="6:8">
      <c r="H14296" t="s">
        <v>21567</v>
      </c>
    </row>
    <row r="14297" spans="6:8">
      <c r="H14297" t="s">
        <v>21568</v>
      </c>
    </row>
    <row r="14298" spans="6:8">
      <c r="H14298" t="s">
        <v>21569</v>
      </c>
    </row>
    <row r="14299" spans="6:8">
      <c r="H14299" t="s">
        <v>21570</v>
      </c>
    </row>
    <row r="14300" spans="6:8">
      <c r="H14300" t="s">
        <v>21571</v>
      </c>
    </row>
    <row r="14301" spans="6:8">
      <c r="H14301" t="s">
        <v>21572</v>
      </c>
    </row>
    <row r="14302" spans="6:8">
      <c r="H14302" t="s">
        <v>21573</v>
      </c>
    </row>
    <row r="14303" spans="6:8">
      <c r="H14303" t="s">
        <v>21574</v>
      </c>
    </row>
    <row r="14304" spans="6:8">
      <c r="F14304" t="s">
        <v>12258</v>
      </c>
      <c r="G14304" t="s">
        <v>16489</v>
      </c>
      <c r="H14304" t="s">
        <v>18829</v>
      </c>
    </row>
    <row r="14305" spans="6:8">
      <c r="H14305" t="s">
        <v>21533</v>
      </c>
    </row>
    <row r="14306" spans="6:8">
      <c r="H14306" t="s">
        <v>21534</v>
      </c>
    </row>
    <row r="14307" spans="6:8">
      <c r="H14307" t="s">
        <v>21575</v>
      </c>
    </row>
    <row r="14308" spans="6:8">
      <c r="H14308" t="s">
        <v>21576</v>
      </c>
    </row>
    <row r="14309" spans="6:8">
      <c r="H14309" t="s">
        <v>21577</v>
      </c>
    </row>
    <row r="14310" spans="6:8">
      <c r="H14310" t="s">
        <v>21578</v>
      </c>
    </row>
    <row r="14311" spans="6:8">
      <c r="H14311" t="s">
        <v>21579</v>
      </c>
    </row>
    <row r="14312" spans="6:8">
      <c r="H14312" t="s">
        <v>21580</v>
      </c>
    </row>
    <row r="14313" spans="6:8">
      <c r="H14313" t="s">
        <v>21581</v>
      </c>
    </row>
    <row r="14314" spans="6:8">
      <c r="H14314" t="s">
        <v>21582</v>
      </c>
    </row>
    <row r="14315" spans="6:8">
      <c r="F14315" t="s">
        <v>12259</v>
      </c>
      <c r="G14315" t="s">
        <v>16490</v>
      </c>
      <c r="H14315" t="s">
        <v>18829</v>
      </c>
    </row>
    <row r="14316" spans="6:8">
      <c r="H14316" t="s">
        <v>21533</v>
      </c>
    </row>
    <row r="14317" spans="6:8">
      <c r="H14317" t="s">
        <v>21534</v>
      </c>
    </row>
    <row r="14318" spans="6:8">
      <c r="H14318" t="s">
        <v>21583</v>
      </c>
    </row>
    <row r="14319" spans="6:8">
      <c r="H14319" t="s">
        <v>21584</v>
      </c>
    </row>
    <row r="14320" spans="6:8">
      <c r="H14320" t="s">
        <v>21585</v>
      </c>
    </row>
    <row r="14321" spans="6:8">
      <c r="H14321" t="s">
        <v>21586</v>
      </c>
    </row>
    <row r="14322" spans="6:8">
      <c r="H14322" t="s">
        <v>21587</v>
      </c>
    </row>
    <row r="14323" spans="6:8">
      <c r="H14323" t="s">
        <v>21588</v>
      </c>
    </row>
    <row r="14324" spans="6:8">
      <c r="H14324" t="s">
        <v>21589</v>
      </c>
    </row>
    <row r="14325" spans="6:8">
      <c r="H14325" t="s">
        <v>21590</v>
      </c>
    </row>
    <row r="14326" spans="6:8">
      <c r="H14326" t="s">
        <v>21591</v>
      </c>
    </row>
    <row r="14327" spans="6:8">
      <c r="H14327" t="s">
        <v>21592</v>
      </c>
    </row>
    <row r="14328" spans="6:8">
      <c r="F14328" t="s">
        <v>12260</v>
      </c>
      <c r="G14328" t="s">
        <v>16491</v>
      </c>
      <c r="H14328" t="s">
        <v>18829</v>
      </c>
    </row>
    <row r="14329" spans="6:8">
      <c r="H14329" t="s">
        <v>21533</v>
      </c>
    </row>
    <row r="14330" spans="6:8">
      <c r="H14330" t="s">
        <v>21534</v>
      </c>
    </row>
    <row r="14331" spans="6:8">
      <c r="H14331" t="s">
        <v>21583</v>
      </c>
    </row>
    <row r="14332" spans="6:8">
      <c r="H14332" t="s">
        <v>21584</v>
      </c>
    </row>
    <row r="14333" spans="6:8">
      <c r="H14333" t="s">
        <v>21593</v>
      </c>
    </row>
    <row r="14334" spans="6:8">
      <c r="H14334" t="s">
        <v>21594</v>
      </c>
    </row>
    <row r="14335" spans="6:8">
      <c r="H14335" t="s">
        <v>21595</v>
      </c>
    </row>
    <row r="14336" spans="6:8">
      <c r="H14336" t="s">
        <v>21596</v>
      </c>
    </row>
    <row r="14337" spans="6:8">
      <c r="H14337" t="s">
        <v>21597</v>
      </c>
    </row>
    <row r="14338" spans="6:8">
      <c r="H14338" t="s">
        <v>21598</v>
      </c>
    </row>
    <row r="14339" spans="6:8">
      <c r="H14339" t="s">
        <v>21599</v>
      </c>
    </row>
    <row r="14340" spans="6:8">
      <c r="H14340" t="s">
        <v>21600</v>
      </c>
    </row>
    <row r="14341" spans="6:8">
      <c r="F14341" t="s">
        <v>12261</v>
      </c>
      <c r="G14341" t="s">
        <v>16492</v>
      </c>
      <c r="H14341" t="s">
        <v>18829</v>
      </c>
    </row>
    <row r="14342" spans="6:8">
      <c r="H14342" t="s">
        <v>21533</v>
      </c>
    </row>
    <row r="14343" spans="6:8">
      <c r="H14343" t="s">
        <v>21534</v>
      </c>
    </row>
    <row r="14344" spans="6:8">
      <c r="H14344" t="s">
        <v>21601</v>
      </c>
    </row>
    <row r="14345" spans="6:8">
      <c r="H14345" t="s">
        <v>21602</v>
      </c>
    </row>
    <row r="14346" spans="6:8">
      <c r="H14346" t="s">
        <v>21603</v>
      </c>
    </row>
    <row r="14347" spans="6:8">
      <c r="H14347" t="s">
        <v>21604</v>
      </c>
    </row>
    <row r="14348" spans="6:8">
      <c r="H14348" t="s">
        <v>21605</v>
      </c>
    </row>
    <row r="14349" spans="6:8">
      <c r="H14349" t="s">
        <v>21606</v>
      </c>
    </row>
    <row r="14350" spans="6:8">
      <c r="H14350" t="s">
        <v>21607</v>
      </c>
    </row>
    <row r="14351" spans="6:8">
      <c r="H14351" t="s">
        <v>21608</v>
      </c>
    </row>
    <row r="14352" spans="6:8">
      <c r="F14352" t="s">
        <v>12262</v>
      </c>
      <c r="G14352" t="s">
        <v>16493</v>
      </c>
      <c r="H14352" t="s">
        <v>18829</v>
      </c>
    </row>
    <row r="14353" spans="6:8">
      <c r="H14353" t="s">
        <v>21533</v>
      </c>
    </row>
    <row r="14354" spans="6:8">
      <c r="H14354" t="s">
        <v>21534</v>
      </c>
    </row>
    <row r="14355" spans="6:8">
      <c r="H14355" t="s">
        <v>21609</v>
      </c>
    </row>
    <row r="14356" spans="6:8">
      <c r="H14356" t="s">
        <v>21610</v>
      </c>
    </row>
    <row r="14357" spans="6:8">
      <c r="H14357" t="s">
        <v>21611</v>
      </c>
    </row>
    <row r="14358" spans="6:8">
      <c r="H14358" t="s">
        <v>21612</v>
      </c>
    </row>
    <row r="14359" spans="6:8">
      <c r="H14359" t="s">
        <v>21613</v>
      </c>
    </row>
    <row r="14360" spans="6:8">
      <c r="H14360" t="s">
        <v>21614</v>
      </c>
    </row>
    <row r="14361" spans="6:8">
      <c r="H14361" t="s">
        <v>21615</v>
      </c>
    </row>
    <row r="14362" spans="6:8">
      <c r="H14362" t="s">
        <v>21616</v>
      </c>
    </row>
    <row r="14363" spans="6:8">
      <c r="F14363" t="s">
        <v>12263</v>
      </c>
      <c r="G14363" t="s">
        <v>16494</v>
      </c>
      <c r="H14363" t="s">
        <v>18829</v>
      </c>
    </row>
    <row r="14364" spans="6:8">
      <c r="H14364" t="s">
        <v>21533</v>
      </c>
    </row>
    <row r="14365" spans="6:8">
      <c r="H14365" t="s">
        <v>21534</v>
      </c>
    </row>
    <row r="14366" spans="6:8">
      <c r="H14366" t="s">
        <v>21617</v>
      </c>
    </row>
    <row r="14367" spans="6:8">
      <c r="H14367" t="s">
        <v>21618</v>
      </c>
    </row>
    <row r="14368" spans="6:8">
      <c r="H14368" t="s">
        <v>21619</v>
      </c>
    </row>
    <row r="14369" spans="6:8">
      <c r="H14369" t="s">
        <v>21620</v>
      </c>
    </row>
    <row r="14370" spans="6:8">
      <c r="H14370" t="s">
        <v>21621</v>
      </c>
    </row>
    <row r="14371" spans="6:8">
      <c r="H14371" t="s">
        <v>21622</v>
      </c>
    </row>
    <row r="14372" spans="6:8">
      <c r="H14372" t="s">
        <v>21623</v>
      </c>
    </row>
    <row r="14373" spans="6:8">
      <c r="H14373" t="s">
        <v>21624</v>
      </c>
    </row>
    <row r="14374" spans="6:8">
      <c r="F14374" t="s">
        <v>12264</v>
      </c>
      <c r="G14374" t="s">
        <v>16495</v>
      </c>
      <c r="H14374" t="s">
        <v>18829</v>
      </c>
    </row>
    <row r="14375" spans="6:8">
      <c r="H14375" t="s">
        <v>21533</v>
      </c>
    </row>
    <row r="14376" spans="6:8">
      <c r="H14376" t="s">
        <v>21534</v>
      </c>
    </row>
    <row r="14377" spans="6:8">
      <c r="H14377" t="s">
        <v>21625</v>
      </c>
    </row>
    <row r="14378" spans="6:8">
      <c r="H14378" t="s">
        <v>21626</v>
      </c>
    </row>
    <row r="14379" spans="6:8">
      <c r="H14379" t="s">
        <v>21627</v>
      </c>
    </row>
    <row r="14380" spans="6:8">
      <c r="H14380" t="s">
        <v>21628</v>
      </c>
    </row>
    <row r="14381" spans="6:8">
      <c r="H14381" t="s">
        <v>21629</v>
      </c>
    </row>
    <row r="14382" spans="6:8">
      <c r="H14382" t="s">
        <v>21630</v>
      </c>
    </row>
    <row r="14383" spans="6:8">
      <c r="H14383" t="s">
        <v>21631</v>
      </c>
    </row>
    <row r="14384" spans="6:8">
      <c r="H14384" t="s">
        <v>21632</v>
      </c>
    </row>
    <row r="14385" spans="6:8">
      <c r="F14385" t="s">
        <v>12265</v>
      </c>
      <c r="G14385" t="s">
        <v>16496</v>
      </c>
      <c r="H14385" t="s">
        <v>18829</v>
      </c>
    </row>
    <row r="14386" spans="6:8">
      <c r="H14386" t="s">
        <v>21533</v>
      </c>
    </row>
    <row r="14387" spans="6:8">
      <c r="H14387" t="s">
        <v>21534</v>
      </c>
    </row>
    <row r="14388" spans="6:8">
      <c r="H14388" t="s">
        <v>21633</v>
      </c>
    </row>
    <row r="14389" spans="6:8">
      <c r="H14389" t="s">
        <v>21634</v>
      </c>
    </row>
    <row r="14390" spans="6:8">
      <c r="H14390" t="s">
        <v>21635</v>
      </c>
    </row>
    <row r="14391" spans="6:8">
      <c r="H14391" t="s">
        <v>21636</v>
      </c>
    </row>
    <row r="14392" spans="6:8">
      <c r="H14392" t="s">
        <v>21637</v>
      </c>
    </row>
    <row r="14393" spans="6:8">
      <c r="H14393" t="s">
        <v>21638</v>
      </c>
    </row>
    <row r="14394" spans="6:8">
      <c r="H14394" t="s">
        <v>21639</v>
      </c>
    </row>
    <row r="14395" spans="6:8">
      <c r="H14395" t="s">
        <v>21640</v>
      </c>
    </row>
    <row r="14396" spans="6:8">
      <c r="F14396" t="s">
        <v>11432</v>
      </c>
      <c r="G14396" t="s">
        <v>15672</v>
      </c>
      <c r="H14396" t="s">
        <v>21641</v>
      </c>
    </row>
    <row r="14397" spans="6:8">
      <c r="H14397" t="s">
        <v>21642</v>
      </c>
    </row>
    <row r="14398" spans="6:8">
      <c r="F14398" t="s">
        <v>12266</v>
      </c>
      <c r="G14398" t="s">
        <v>16497</v>
      </c>
      <c r="H14398" t="s">
        <v>18829</v>
      </c>
    </row>
    <row r="14399" spans="6:8">
      <c r="H14399" t="s">
        <v>21533</v>
      </c>
    </row>
    <row r="14400" spans="6:8">
      <c r="H14400" t="s">
        <v>21534</v>
      </c>
    </row>
    <row r="14401" spans="6:8">
      <c r="H14401" t="s">
        <v>21583</v>
      </c>
    </row>
    <row r="14402" spans="6:8">
      <c r="H14402" t="s">
        <v>21584</v>
      </c>
    </row>
    <row r="14403" spans="6:8">
      <c r="H14403" t="s">
        <v>21643</v>
      </c>
    </row>
    <row r="14404" spans="6:8">
      <c r="H14404" t="s">
        <v>21644</v>
      </c>
    </row>
    <row r="14405" spans="6:8">
      <c r="H14405" t="s">
        <v>21645</v>
      </c>
    </row>
    <row r="14406" spans="6:8">
      <c r="H14406" t="s">
        <v>21646</v>
      </c>
    </row>
    <row r="14407" spans="6:8">
      <c r="H14407" t="s">
        <v>21647</v>
      </c>
    </row>
    <row r="14408" spans="6:8">
      <c r="H14408" t="s">
        <v>21648</v>
      </c>
    </row>
    <row r="14409" spans="6:8">
      <c r="H14409" t="s">
        <v>21649</v>
      </c>
    </row>
    <row r="14410" spans="6:8">
      <c r="H14410" t="s">
        <v>21650</v>
      </c>
    </row>
    <row r="14411" spans="6:8">
      <c r="F14411" t="s">
        <v>12267</v>
      </c>
      <c r="G14411" t="s">
        <v>16498</v>
      </c>
      <c r="H14411" t="s">
        <v>18829</v>
      </c>
    </row>
    <row r="14412" spans="6:8">
      <c r="H14412" t="s">
        <v>21533</v>
      </c>
    </row>
    <row r="14413" spans="6:8">
      <c r="H14413" t="s">
        <v>21534</v>
      </c>
    </row>
    <row r="14414" spans="6:8">
      <c r="H14414" t="s">
        <v>21651</v>
      </c>
    </row>
    <row r="14415" spans="6:8">
      <c r="H14415" t="s">
        <v>21652</v>
      </c>
    </row>
    <row r="14416" spans="6:8">
      <c r="H14416" t="s">
        <v>21653</v>
      </c>
    </row>
    <row r="14417" spans="6:8">
      <c r="H14417" t="s">
        <v>21654</v>
      </c>
    </row>
    <row r="14418" spans="6:8">
      <c r="H14418" t="s">
        <v>21655</v>
      </c>
    </row>
    <row r="14419" spans="6:8">
      <c r="H14419" t="s">
        <v>21656</v>
      </c>
    </row>
    <row r="14420" spans="6:8">
      <c r="H14420" t="s">
        <v>21657</v>
      </c>
    </row>
    <row r="14421" spans="6:8">
      <c r="H14421" t="s">
        <v>21658</v>
      </c>
    </row>
    <row r="14422" spans="6:8">
      <c r="F14422" t="s">
        <v>12268</v>
      </c>
      <c r="G14422" t="s">
        <v>16499</v>
      </c>
      <c r="H14422" t="s">
        <v>18829</v>
      </c>
    </row>
    <row r="14423" spans="6:8">
      <c r="H14423" t="s">
        <v>21533</v>
      </c>
    </row>
    <row r="14424" spans="6:8">
      <c r="H14424" t="s">
        <v>21534</v>
      </c>
    </row>
    <row r="14425" spans="6:8">
      <c r="H14425" t="s">
        <v>21659</v>
      </c>
    </row>
    <row r="14426" spans="6:8">
      <c r="H14426" t="s">
        <v>21660</v>
      </c>
    </row>
    <row r="14427" spans="6:8">
      <c r="H14427" t="s">
        <v>21661</v>
      </c>
    </row>
    <row r="14428" spans="6:8">
      <c r="H14428" t="s">
        <v>21662</v>
      </c>
    </row>
    <row r="14429" spans="6:8">
      <c r="H14429" t="s">
        <v>21663</v>
      </c>
    </row>
    <row r="14430" spans="6:8">
      <c r="H14430" t="s">
        <v>21664</v>
      </c>
    </row>
    <row r="14431" spans="6:8">
      <c r="H14431" t="s">
        <v>21665</v>
      </c>
    </row>
    <row r="14432" spans="6:8">
      <c r="H14432" t="s">
        <v>21666</v>
      </c>
    </row>
    <row r="14433" spans="6:8">
      <c r="F14433" t="s">
        <v>12226</v>
      </c>
      <c r="G14433" t="s">
        <v>16456</v>
      </c>
      <c r="H14433" t="s">
        <v>18829</v>
      </c>
    </row>
    <row r="14434" spans="6:8">
      <c r="H14434" t="s">
        <v>21533</v>
      </c>
    </row>
    <row r="14435" spans="6:8">
      <c r="H14435" t="s">
        <v>21534</v>
      </c>
    </row>
    <row r="14436" spans="6:8">
      <c r="H14436" t="s">
        <v>21583</v>
      </c>
    </row>
    <row r="14437" spans="6:8">
      <c r="H14437" t="s">
        <v>21584</v>
      </c>
    </row>
    <row r="14438" spans="6:8">
      <c r="H14438" t="s">
        <v>21667</v>
      </c>
    </row>
    <row r="14439" spans="6:8">
      <c r="H14439" t="s">
        <v>21668</v>
      </c>
    </row>
    <row r="14440" spans="6:8">
      <c r="F14440" t="s">
        <v>12269</v>
      </c>
      <c r="G14440" t="s">
        <v>16500</v>
      </c>
      <c r="H14440" t="s">
        <v>18829</v>
      </c>
    </row>
    <row r="14441" spans="6:8">
      <c r="H14441" t="s">
        <v>21533</v>
      </c>
    </row>
    <row r="14442" spans="6:8">
      <c r="H14442" t="s">
        <v>21534</v>
      </c>
    </row>
    <row r="14443" spans="6:8">
      <c r="H14443" t="s">
        <v>21669</v>
      </c>
    </row>
    <row r="14444" spans="6:8">
      <c r="H14444" t="s">
        <v>21670</v>
      </c>
    </row>
    <row r="14445" spans="6:8">
      <c r="H14445" t="s">
        <v>21671</v>
      </c>
    </row>
    <row r="14446" spans="6:8">
      <c r="H14446" t="s">
        <v>21672</v>
      </c>
    </row>
    <row r="14447" spans="6:8">
      <c r="H14447" t="s">
        <v>21673</v>
      </c>
    </row>
    <row r="14448" spans="6:8">
      <c r="H14448" t="s">
        <v>21674</v>
      </c>
    </row>
    <row r="14449" spans="6:8">
      <c r="H14449" t="s">
        <v>21675</v>
      </c>
    </row>
    <row r="14450" spans="6:8">
      <c r="H14450" t="s">
        <v>21676</v>
      </c>
    </row>
    <row r="14451" spans="6:8">
      <c r="F14451" t="s">
        <v>12270</v>
      </c>
      <c r="G14451" t="s">
        <v>16501</v>
      </c>
      <c r="H14451" t="s">
        <v>18829</v>
      </c>
    </row>
    <row r="14452" spans="6:8">
      <c r="H14452" t="s">
        <v>21533</v>
      </c>
    </row>
    <row r="14453" spans="6:8">
      <c r="H14453" t="s">
        <v>21534</v>
      </c>
    </row>
    <row r="14454" spans="6:8">
      <c r="H14454" t="s">
        <v>21677</v>
      </c>
    </row>
    <row r="14455" spans="6:8">
      <c r="H14455" t="s">
        <v>21678</v>
      </c>
    </row>
    <row r="14456" spans="6:8">
      <c r="H14456" t="s">
        <v>21679</v>
      </c>
    </row>
    <row r="14457" spans="6:8">
      <c r="H14457" t="s">
        <v>21680</v>
      </c>
    </row>
    <row r="14458" spans="6:8">
      <c r="H14458" t="s">
        <v>21681</v>
      </c>
    </row>
    <row r="14459" spans="6:8">
      <c r="H14459" t="s">
        <v>21682</v>
      </c>
    </row>
    <row r="14460" spans="6:8">
      <c r="H14460" t="s">
        <v>21683</v>
      </c>
    </row>
    <row r="14461" spans="6:8">
      <c r="H14461" t="s">
        <v>21684</v>
      </c>
    </row>
    <row r="14462" spans="6:8">
      <c r="F14462" t="s">
        <v>12271</v>
      </c>
      <c r="G14462" t="s">
        <v>16502</v>
      </c>
      <c r="H14462" t="s">
        <v>18829</v>
      </c>
    </row>
    <row r="14463" spans="6:8">
      <c r="H14463" t="s">
        <v>21533</v>
      </c>
    </row>
    <row r="14464" spans="6:8">
      <c r="H14464" t="s">
        <v>21534</v>
      </c>
    </row>
    <row r="14465" spans="6:8">
      <c r="H14465" t="s">
        <v>21685</v>
      </c>
    </row>
    <row r="14466" spans="6:8">
      <c r="H14466" t="s">
        <v>21686</v>
      </c>
    </row>
    <row r="14467" spans="6:8">
      <c r="H14467" t="s">
        <v>21687</v>
      </c>
    </row>
    <row r="14468" spans="6:8">
      <c r="H14468" t="s">
        <v>21688</v>
      </c>
    </row>
    <row r="14469" spans="6:8">
      <c r="H14469" t="s">
        <v>21689</v>
      </c>
    </row>
    <row r="14470" spans="6:8">
      <c r="H14470" t="s">
        <v>21690</v>
      </c>
    </row>
    <row r="14471" spans="6:8">
      <c r="H14471" t="s">
        <v>21691</v>
      </c>
    </row>
    <row r="14472" spans="6:8">
      <c r="H14472" t="s">
        <v>21692</v>
      </c>
    </row>
    <row r="14473" spans="6:8">
      <c r="F14473" t="s">
        <v>12272</v>
      </c>
      <c r="G14473" t="s">
        <v>16503</v>
      </c>
      <c r="H14473" t="s">
        <v>18829</v>
      </c>
    </row>
    <row r="14474" spans="6:8">
      <c r="H14474" t="s">
        <v>21533</v>
      </c>
    </row>
    <row r="14475" spans="6:8">
      <c r="H14475" t="s">
        <v>21534</v>
      </c>
    </row>
    <row r="14476" spans="6:8">
      <c r="H14476" t="s">
        <v>21693</v>
      </c>
    </row>
    <row r="14477" spans="6:8">
      <c r="H14477" t="s">
        <v>21694</v>
      </c>
    </row>
    <row r="14478" spans="6:8">
      <c r="H14478" t="s">
        <v>21695</v>
      </c>
    </row>
    <row r="14479" spans="6:8">
      <c r="H14479" t="s">
        <v>21696</v>
      </c>
    </row>
    <row r="14480" spans="6:8">
      <c r="H14480" t="s">
        <v>21697</v>
      </c>
    </row>
    <row r="14481" spans="6:8">
      <c r="H14481" t="s">
        <v>21698</v>
      </c>
    </row>
    <row r="14482" spans="6:8">
      <c r="H14482" t="s">
        <v>21699</v>
      </c>
    </row>
    <row r="14483" spans="6:8">
      <c r="H14483" t="s">
        <v>21700</v>
      </c>
    </row>
    <row r="14484" spans="6:8">
      <c r="F14484" t="s">
        <v>12273</v>
      </c>
      <c r="G14484" t="s">
        <v>16504</v>
      </c>
      <c r="H14484" t="s">
        <v>18829</v>
      </c>
    </row>
    <row r="14485" spans="6:8">
      <c r="H14485" t="s">
        <v>21533</v>
      </c>
    </row>
    <row r="14486" spans="6:8">
      <c r="H14486" t="s">
        <v>21534</v>
      </c>
    </row>
    <row r="14487" spans="6:8">
      <c r="H14487" t="s">
        <v>21701</v>
      </c>
    </row>
    <row r="14488" spans="6:8">
      <c r="H14488" t="s">
        <v>21702</v>
      </c>
    </row>
    <row r="14489" spans="6:8">
      <c r="H14489" t="s">
        <v>21703</v>
      </c>
    </row>
    <row r="14490" spans="6:8">
      <c r="H14490" t="s">
        <v>21704</v>
      </c>
    </row>
    <row r="14491" spans="6:8">
      <c r="H14491" t="s">
        <v>21705</v>
      </c>
    </row>
    <row r="14492" spans="6:8">
      <c r="H14492" t="s">
        <v>21706</v>
      </c>
    </row>
    <row r="14493" spans="6:8">
      <c r="H14493" t="s">
        <v>21707</v>
      </c>
    </row>
    <row r="14494" spans="6:8">
      <c r="H14494" t="s">
        <v>21708</v>
      </c>
    </row>
    <row r="14495" spans="6:8">
      <c r="F14495" t="s">
        <v>12274</v>
      </c>
      <c r="G14495" t="s">
        <v>16505</v>
      </c>
      <c r="H14495" t="s">
        <v>18829</v>
      </c>
    </row>
    <row r="14496" spans="6:8">
      <c r="H14496" t="s">
        <v>21533</v>
      </c>
    </row>
    <row r="14497" spans="6:8">
      <c r="H14497" t="s">
        <v>21534</v>
      </c>
    </row>
    <row r="14498" spans="6:8">
      <c r="H14498" t="s">
        <v>21709</v>
      </c>
    </row>
    <row r="14499" spans="6:8">
      <c r="H14499" t="s">
        <v>21710</v>
      </c>
    </row>
    <row r="14500" spans="6:8">
      <c r="H14500" t="s">
        <v>21711</v>
      </c>
    </row>
    <row r="14501" spans="6:8">
      <c r="H14501" t="s">
        <v>21712</v>
      </c>
    </row>
    <row r="14502" spans="6:8">
      <c r="H14502" t="s">
        <v>21713</v>
      </c>
    </row>
    <row r="14503" spans="6:8">
      <c r="H14503" t="s">
        <v>21714</v>
      </c>
    </row>
    <row r="14504" spans="6:8">
      <c r="H14504" t="s">
        <v>21715</v>
      </c>
    </row>
    <row r="14505" spans="6:8">
      <c r="H14505" t="s">
        <v>21716</v>
      </c>
    </row>
    <row r="14506" spans="6:8">
      <c r="F14506" t="s">
        <v>12275</v>
      </c>
      <c r="G14506" t="s">
        <v>16506</v>
      </c>
      <c r="H14506" t="s">
        <v>18829</v>
      </c>
    </row>
    <row r="14507" spans="6:8">
      <c r="H14507" t="s">
        <v>21533</v>
      </c>
    </row>
    <row r="14508" spans="6:8">
      <c r="H14508" t="s">
        <v>21534</v>
      </c>
    </row>
    <row r="14509" spans="6:8">
      <c r="H14509" t="s">
        <v>21583</v>
      </c>
    </row>
    <row r="14510" spans="6:8">
      <c r="H14510" t="s">
        <v>21584</v>
      </c>
    </row>
    <row r="14511" spans="6:8">
      <c r="H14511" t="s">
        <v>21717</v>
      </c>
    </row>
    <row r="14512" spans="6:8">
      <c r="H14512" t="s">
        <v>21718</v>
      </c>
    </row>
    <row r="14513" spans="6:8">
      <c r="H14513" t="s">
        <v>21719</v>
      </c>
    </row>
    <row r="14514" spans="6:8">
      <c r="H14514" t="s">
        <v>21720</v>
      </c>
    </row>
    <row r="14515" spans="6:8">
      <c r="H14515" t="s">
        <v>21721</v>
      </c>
    </row>
    <row r="14516" spans="6:8">
      <c r="H14516" t="s">
        <v>21722</v>
      </c>
    </row>
    <row r="14517" spans="6:8">
      <c r="H14517" t="s">
        <v>21723</v>
      </c>
    </row>
    <row r="14518" spans="6:8">
      <c r="H14518" t="s">
        <v>21724</v>
      </c>
    </row>
    <row r="14519" spans="6:8">
      <c r="F14519" t="s">
        <v>12276</v>
      </c>
      <c r="G14519" t="s">
        <v>16507</v>
      </c>
      <c r="H14519" t="s">
        <v>18829</v>
      </c>
    </row>
    <row r="14520" spans="6:8">
      <c r="H14520" t="s">
        <v>21533</v>
      </c>
    </row>
    <row r="14521" spans="6:8">
      <c r="H14521" t="s">
        <v>21534</v>
      </c>
    </row>
    <row r="14522" spans="6:8">
      <c r="H14522" t="s">
        <v>21725</v>
      </c>
    </row>
    <row r="14523" spans="6:8">
      <c r="H14523" t="s">
        <v>21726</v>
      </c>
    </row>
    <row r="14524" spans="6:8">
      <c r="H14524" t="s">
        <v>21727</v>
      </c>
    </row>
    <row r="14525" spans="6:8">
      <c r="H14525" t="s">
        <v>21728</v>
      </c>
    </row>
    <row r="14526" spans="6:8">
      <c r="H14526" t="s">
        <v>21729</v>
      </c>
    </row>
    <row r="14527" spans="6:8">
      <c r="H14527" t="s">
        <v>21730</v>
      </c>
    </row>
    <row r="14528" spans="6:8">
      <c r="H14528" t="s">
        <v>21731</v>
      </c>
    </row>
    <row r="14529" spans="6:8">
      <c r="H14529" t="s">
        <v>21732</v>
      </c>
    </row>
    <row r="14530" spans="6:8">
      <c r="F14530" t="s">
        <v>12277</v>
      </c>
      <c r="G14530" t="s">
        <v>16508</v>
      </c>
      <c r="H14530" t="s">
        <v>18829</v>
      </c>
    </row>
    <row r="14531" spans="6:8">
      <c r="H14531" t="s">
        <v>21533</v>
      </c>
    </row>
    <row r="14532" spans="6:8">
      <c r="H14532" t="s">
        <v>21534</v>
      </c>
    </row>
    <row r="14533" spans="6:8">
      <c r="H14533" t="s">
        <v>21583</v>
      </c>
    </row>
    <row r="14534" spans="6:8">
      <c r="H14534" t="s">
        <v>21584</v>
      </c>
    </row>
    <row r="14535" spans="6:8">
      <c r="H14535" t="s">
        <v>21733</v>
      </c>
    </row>
    <row r="14536" spans="6:8">
      <c r="H14536" t="s">
        <v>21734</v>
      </c>
    </row>
    <row r="14537" spans="6:8">
      <c r="H14537" t="s">
        <v>21735</v>
      </c>
    </row>
    <row r="14538" spans="6:8">
      <c r="H14538" t="s">
        <v>21736</v>
      </c>
    </row>
    <row r="14539" spans="6:8">
      <c r="H14539" t="s">
        <v>21737</v>
      </c>
    </row>
    <row r="14540" spans="6:8">
      <c r="H14540" t="s">
        <v>21738</v>
      </c>
    </row>
    <row r="14541" spans="6:8">
      <c r="H14541" t="s">
        <v>21739</v>
      </c>
    </row>
    <row r="14542" spans="6:8">
      <c r="H14542" t="s">
        <v>21740</v>
      </c>
    </row>
    <row r="14543" spans="6:8">
      <c r="F14543" t="s">
        <v>12278</v>
      </c>
      <c r="G14543" t="s">
        <v>16509</v>
      </c>
      <c r="H14543" t="s">
        <v>18829</v>
      </c>
    </row>
    <row r="14544" spans="6:8">
      <c r="H14544" t="s">
        <v>21533</v>
      </c>
    </row>
    <row r="14545" spans="6:8">
      <c r="H14545" t="s">
        <v>21534</v>
      </c>
    </row>
    <row r="14546" spans="6:8">
      <c r="H14546" t="s">
        <v>21583</v>
      </c>
    </row>
    <row r="14547" spans="6:8">
      <c r="H14547" t="s">
        <v>21584</v>
      </c>
    </row>
    <row r="14548" spans="6:8">
      <c r="H14548" t="s">
        <v>21741</v>
      </c>
    </row>
    <row r="14549" spans="6:8">
      <c r="H14549" t="s">
        <v>21742</v>
      </c>
    </row>
    <row r="14550" spans="6:8">
      <c r="H14550" t="s">
        <v>21743</v>
      </c>
    </row>
    <row r="14551" spans="6:8">
      <c r="H14551" t="s">
        <v>21744</v>
      </c>
    </row>
    <row r="14552" spans="6:8">
      <c r="H14552" t="s">
        <v>21745</v>
      </c>
    </row>
    <row r="14553" spans="6:8">
      <c r="H14553" t="s">
        <v>21746</v>
      </c>
    </row>
    <row r="14554" spans="6:8">
      <c r="H14554" t="s">
        <v>21747</v>
      </c>
    </row>
    <row r="14555" spans="6:8">
      <c r="H14555" t="s">
        <v>21748</v>
      </c>
    </row>
    <row r="14556" spans="6:8">
      <c r="F14556" t="s">
        <v>12279</v>
      </c>
      <c r="G14556" t="s">
        <v>16510</v>
      </c>
      <c r="H14556" t="s">
        <v>18829</v>
      </c>
    </row>
    <row r="14557" spans="6:8">
      <c r="H14557" t="s">
        <v>21533</v>
      </c>
    </row>
    <row r="14558" spans="6:8">
      <c r="H14558" t="s">
        <v>21534</v>
      </c>
    </row>
    <row r="14559" spans="6:8">
      <c r="H14559" t="s">
        <v>21583</v>
      </c>
    </row>
    <row r="14560" spans="6:8">
      <c r="H14560" t="s">
        <v>21584</v>
      </c>
    </row>
    <row r="14561" spans="6:8">
      <c r="H14561" t="s">
        <v>21749</v>
      </c>
    </row>
    <row r="14562" spans="6:8">
      <c r="H14562" t="s">
        <v>21750</v>
      </c>
    </row>
    <row r="14563" spans="6:8">
      <c r="H14563" t="s">
        <v>21751</v>
      </c>
    </row>
    <row r="14564" spans="6:8">
      <c r="H14564" t="s">
        <v>21752</v>
      </c>
    </row>
    <row r="14565" spans="6:8">
      <c r="H14565" t="s">
        <v>21753</v>
      </c>
    </row>
    <row r="14566" spans="6:8">
      <c r="H14566" t="s">
        <v>21754</v>
      </c>
    </row>
    <row r="14567" spans="6:8">
      <c r="H14567" t="s">
        <v>21755</v>
      </c>
    </row>
    <row r="14568" spans="6:8">
      <c r="H14568" t="s">
        <v>21756</v>
      </c>
    </row>
    <row r="14569" spans="6:8">
      <c r="F14569" t="s">
        <v>12280</v>
      </c>
      <c r="G14569" t="s">
        <v>16511</v>
      </c>
      <c r="H14569" t="s">
        <v>18829</v>
      </c>
    </row>
    <row r="14570" spans="6:8">
      <c r="H14570" t="s">
        <v>21533</v>
      </c>
    </row>
    <row r="14571" spans="6:8">
      <c r="H14571" t="s">
        <v>21534</v>
      </c>
    </row>
    <row r="14572" spans="6:8">
      <c r="H14572" t="s">
        <v>21583</v>
      </c>
    </row>
    <row r="14573" spans="6:8">
      <c r="H14573" t="s">
        <v>21584</v>
      </c>
    </row>
    <row r="14574" spans="6:8">
      <c r="H14574" t="s">
        <v>21757</v>
      </c>
    </row>
    <row r="14575" spans="6:8">
      <c r="H14575" t="s">
        <v>21758</v>
      </c>
    </row>
    <row r="14576" spans="6:8">
      <c r="H14576" t="s">
        <v>21759</v>
      </c>
    </row>
    <row r="14577" spans="6:8">
      <c r="H14577" t="s">
        <v>21760</v>
      </c>
    </row>
    <row r="14578" spans="6:8">
      <c r="H14578" t="s">
        <v>21761</v>
      </c>
    </row>
    <row r="14579" spans="6:8">
      <c r="H14579" t="s">
        <v>21762</v>
      </c>
    </row>
    <row r="14580" spans="6:8">
      <c r="H14580" t="s">
        <v>21763</v>
      </c>
    </row>
    <row r="14581" spans="6:8">
      <c r="H14581" t="s">
        <v>21764</v>
      </c>
    </row>
    <row r="14582" spans="6:8">
      <c r="F14582" t="s">
        <v>12281</v>
      </c>
      <c r="G14582" t="s">
        <v>16512</v>
      </c>
      <c r="H14582" t="s">
        <v>18829</v>
      </c>
    </row>
    <row r="14583" spans="6:8">
      <c r="H14583" t="s">
        <v>21533</v>
      </c>
    </row>
    <row r="14584" spans="6:8">
      <c r="H14584" t="s">
        <v>21534</v>
      </c>
    </row>
    <row r="14585" spans="6:8">
      <c r="H14585" t="s">
        <v>21583</v>
      </c>
    </row>
    <row r="14586" spans="6:8">
      <c r="H14586" t="s">
        <v>21584</v>
      </c>
    </row>
    <row r="14587" spans="6:8">
      <c r="H14587" t="s">
        <v>21765</v>
      </c>
    </row>
    <row r="14588" spans="6:8">
      <c r="H14588" t="s">
        <v>21766</v>
      </c>
    </row>
    <row r="14589" spans="6:8">
      <c r="H14589" t="s">
        <v>21767</v>
      </c>
    </row>
    <row r="14590" spans="6:8">
      <c r="H14590" t="s">
        <v>21768</v>
      </c>
    </row>
    <row r="14591" spans="6:8">
      <c r="H14591" t="s">
        <v>21769</v>
      </c>
    </row>
    <row r="14592" spans="6:8">
      <c r="H14592" t="s">
        <v>21770</v>
      </c>
    </row>
    <row r="14593" spans="6:8">
      <c r="H14593" t="s">
        <v>21771</v>
      </c>
    </row>
    <row r="14594" spans="6:8">
      <c r="H14594" t="s">
        <v>21772</v>
      </c>
    </row>
    <row r="14595" spans="6:8">
      <c r="F14595" t="s">
        <v>12282</v>
      </c>
      <c r="G14595" t="s">
        <v>16513</v>
      </c>
      <c r="H14595" t="s">
        <v>18829</v>
      </c>
    </row>
    <row r="14596" spans="6:8">
      <c r="H14596" t="s">
        <v>21533</v>
      </c>
    </row>
    <row r="14597" spans="6:8">
      <c r="H14597" t="s">
        <v>21534</v>
      </c>
    </row>
    <row r="14598" spans="6:8">
      <c r="H14598" t="s">
        <v>21773</v>
      </c>
    </row>
    <row r="14599" spans="6:8">
      <c r="H14599" t="s">
        <v>21774</v>
      </c>
    </row>
    <row r="14600" spans="6:8">
      <c r="H14600" t="s">
        <v>21775</v>
      </c>
    </row>
    <row r="14601" spans="6:8">
      <c r="H14601" t="s">
        <v>21776</v>
      </c>
    </row>
    <row r="14602" spans="6:8">
      <c r="H14602" t="s">
        <v>21777</v>
      </c>
    </row>
    <row r="14603" spans="6:8">
      <c r="H14603" t="s">
        <v>21778</v>
      </c>
    </row>
    <row r="14604" spans="6:8">
      <c r="H14604" t="s">
        <v>21779</v>
      </c>
    </row>
    <row r="14605" spans="6:8">
      <c r="H14605" t="s">
        <v>21780</v>
      </c>
    </row>
    <row r="14606" spans="6:8">
      <c r="F14606" t="s">
        <v>12283</v>
      </c>
      <c r="G14606" t="s">
        <v>16514</v>
      </c>
      <c r="H14606" t="s">
        <v>18829</v>
      </c>
    </row>
    <row r="14607" spans="6:8">
      <c r="H14607" t="s">
        <v>21533</v>
      </c>
    </row>
    <row r="14608" spans="6:8">
      <c r="H14608" t="s">
        <v>21534</v>
      </c>
    </row>
    <row r="14609" spans="6:8">
      <c r="H14609" t="s">
        <v>21781</v>
      </c>
    </row>
    <row r="14610" spans="6:8">
      <c r="H14610" t="s">
        <v>21782</v>
      </c>
    </row>
    <row r="14611" spans="6:8">
      <c r="H14611" t="s">
        <v>21783</v>
      </c>
    </row>
    <row r="14612" spans="6:8">
      <c r="H14612" t="s">
        <v>21784</v>
      </c>
    </row>
    <row r="14613" spans="6:8">
      <c r="H14613" t="s">
        <v>21785</v>
      </c>
    </row>
    <row r="14614" spans="6:8">
      <c r="H14614" t="s">
        <v>21786</v>
      </c>
    </row>
    <row r="14615" spans="6:8">
      <c r="H14615" t="s">
        <v>21787</v>
      </c>
    </row>
    <row r="14616" spans="6:8">
      <c r="H14616" t="s">
        <v>21788</v>
      </c>
    </row>
    <row r="14617" spans="6:8">
      <c r="F14617" t="s">
        <v>12284</v>
      </c>
      <c r="G14617" t="s">
        <v>16515</v>
      </c>
      <c r="H14617" t="s">
        <v>18829</v>
      </c>
    </row>
    <row r="14618" spans="6:8">
      <c r="H14618" t="s">
        <v>21533</v>
      </c>
    </row>
    <row r="14619" spans="6:8">
      <c r="H14619" t="s">
        <v>21534</v>
      </c>
    </row>
    <row r="14620" spans="6:8">
      <c r="H14620" t="s">
        <v>21789</v>
      </c>
    </row>
    <row r="14621" spans="6:8">
      <c r="H14621" t="s">
        <v>21790</v>
      </c>
    </row>
    <row r="14622" spans="6:8">
      <c r="H14622" t="s">
        <v>21791</v>
      </c>
    </row>
    <row r="14623" spans="6:8">
      <c r="H14623" t="s">
        <v>21792</v>
      </c>
    </row>
    <row r="14624" spans="6:8">
      <c r="H14624" t="s">
        <v>21793</v>
      </c>
    </row>
    <row r="14625" spans="6:8">
      <c r="H14625" t="s">
        <v>21794</v>
      </c>
    </row>
    <row r="14626" spans="6:8">
      <c r="H14626" t="s">
        <v>21795</v>
      </c>
    </row>
    <row r="14627" spans="6:8">
      <c r="H14627" t="s">
        <v>21796</v>
      </c>
    </row>
    <row r="14628" spans="6:8">
      <c r="F14628" t="s">
        <v>12285</v>
      </c>
      <c r="G14628" t="s">
        <v>16516</v>
      </c>
      <c r="H14628" t="s">
        <v>18829</v>
      </c>
    </row>
    <row r="14629" spans="6:8">
      <c r="H14629" t="s">
        <v>21533</v>
      </c>
    </row>
    <row r="14630" spans="6:8">
      <c r="H14630" t="s">
        <v>21534</v>
      </c>
    </row>
    <row r="14631" spans="6:8">
      <c r="H14631" t="s">
        <v>21797</v>
      </c>
    </row>
    <row r="14632" spans="6:8">
      <c r="H14632" t="s">
        <v>21798</v>
      </c>
    </row>
    <row r="14633" spans="6:8">
      <c r="H14633" t="s">
        <v>21799</v>
      </c>
    </row>
    <row r="14634" spans="6:8">
      <c r="H14634" t="s">
        <v>21800</v>
      </c>
    </row>
    <row r="14635" spans="6:8">
      <c r="H14635" t="s">
        <v>21801</v>
      </c>
    </row>
    <row r="14636" spans="6:8">
      <c r="H14636" t="s">
        <v>21802</v>
      </c>
    </row>
    <row r="14637" spans="6:8">
      <c r="H14637" t="s">
        <v>21803</v>
      </c>
    </row>
    <row r="14638" spans="6:8">
      <c r="H14638" t="s">
        <v>21804</v>
      </c>
    </row>
    <row r="14639" spans="6:8">
      <c r="F14639" t="s">
        <v>12286</v>
      </c>
      <c r="G14639" t="s">
        <v>16517</v>
      </c>
      <c r="H14639" t="s">
        <v>18829</v>
      </c>
    </row>
    <row r="14640" spans="6:8">
      <c r="H14640" t="s">
        <v>21533</v>
      </c>
    </row>
    <row r="14641" spans="6:8">
      <c r="H14641" t="s">
        <v>21534</v>
      </c>
    </row>
    <row r="14642" spans="6:8">
      <c r="H14642" t="s">
        <v>21805</v>
      </c>
    </row>
    <row r="14643" spans="6:8">
      <c r="H14643" t="s">
        <v>21806</v>
      </c>
    </row>
    <row r="14644" spans="6:8">
      <c r="H14644" t="s">
        <v>21807</v>
      </c>
    </row>
    <row r="14645" spans="6:8">
      <c r="H14645" t="s">
        <v>21808</v>
      </c>
    </row>
    <row r="14646" spans="6:8">
      <c r="H14646" t="s">
        <v>21809</v>
      </c>
    </row>
    <row r="14647" spans="6:8">
      <c r="H14647" t="s">
        <v>21810</v>
      </c>
    </row>
    <row r="14648" spans="6:8">
      <c r="H14648" t="s">
        <v>21811</v>
      </c>
    </row>
    <row r="14649" spans="6:8">
      <c r="H14649" t="s">
        <v>21812</v>
      </c>
    </row>
    <row r="14650" spans="6:8">
      <c r="F14650" t="s">
        <v>12287</v>
      </c>
      <c r="G14650" t="s">
        <v>16518</v>
      </c>
      <c r="H14650" t="s">
        <v>18829</v>
      </c>
    </row>
    <row r="14651" spans="6:8">
      <c r="H14651" t="s">
        <v>21533</v>
      </c>
    </row>
    <row r="14652" spans="6:8">
      <c r="H14652" t="s">
        <v>21534</v>
      </c>
    </row>
    <row r="14653" spans="6:8">
      <c r="H14653" t="s">
        <v>21583</v>
      </c>
    </row>
    <row r="14654" spans="6:8">
      <c r="H14654" t="s">
        <v>21584</v>
      </c>
    </row>
    <row r="14655" spans="6:8">
      <c r="H14655" t="s">
        <v>21813</v>
      </c>
    </row>
    <row r="14656" spans="6:8">
      <c r="H14656" t="s">
        <v>21814</v>
      </c>
    </row>
    <row r="14657" spans="6:8">
      <c r="H14657" t="s">
        <v>21815</v>
      </c>
    </row>
    <row r="14658" spans="6:8">
      <c r="H14658" t="s">
        <v>21816</v>
      </c>
    </row>
    <row r="14659" spans="6:8">
      <c r="H14659" t="s">
        <v>21817</v>
      </c>
    </row>
    <row r="14660" spans="6:8">
      <c r="H14660" t="s">
        <v>21818</v>
      </c>
    </row>
    <row r="14661" spans="6:8">
      <c r="H14661" t="s">
        <v>21819</v>
      </c>
    </row>
    <row r="14662" spans="6:8">
      <c r="H14662" t="s">
        <v>21820</v>
      </c>
    </row>
    <row r="14663" spans="6:8">
      <c r="F14663" t="s">
        <v>12288</v>
      </c>
      <c r="G14663" t="s">
        <v>16519</v>
      </c>
      <c r="H14663" t="s">
        <v>18829</v>
      </c>
    </row>
    <row r="14664" spans="6:8">
      <c r="H14664" t="s">
        <v>21533</v>
      </c>
    </row>
    <row r="14665" spans="6:8">
      <c r="H14665" t="s">
        <v>21534</v>
      </c>
    </row>
    <row r="14666" spans="6:8">
      <c r="H14666" t="s">
        <v>21583</v>
      </c>
    </row>
    <row r="14667" spans="6:8">
      <c r="H14667" t="s">
        <v>21584</v>
      </c>
    </row>
    <row r="14668" spans="6:8">
      <c r="H14668" t="s">
        <v>21821</v>
      </c>
    </row>
    <row r="14669" spans="6:8">
      <c r="H14669" t="s">
        <v>21822</v>
      </c>
    </row>
    <row r="14670" spans="6:8">
      <c r="H14670" t="s">
        <v>21823</v>
      </c>
    </row>
    <row r="14671" spans="6:8">
      <c r="H14671" t="s">
        <v>21824</v>
      </c>
    </row>
    <row r="14672" spans="6:8">
      <c r="H14672" t="s">
        <v>21825</v>
      </c>
    </row>
    <row r="14673" spans="6:8">
      <c r="H14673" t="s">
        <v>21826</v>
      </c>
    </row>
    <row r="14674" spans="6:8">
      <c r="H14674" t="s">
        <v>21827</v>
      </c>
    </row>
    <row r="14675" spans="6:8">
      <c r="H14675" t="s">
        <v>21828</v>
      </c>
    </row>
    <row r="14676" spans="6:8">
      <c r="F14676" t="s">
        <v>12247</v>
      </c>
      <c r="G14676" t="s">
        <v>16478</v>
      </c>
      <c r="H14676" t="s">
        <v>18829</v>
      </c>
    </row>
    <row r="14677" spans="6:8">
      <c r="H14677" t="s">
        <v>21533</v>
      </c>
    </row>
    <row r="14678" spans="6:8">
      <c r="H14678" t="s">
        <v>21534</v>
      </c>
    </row>
    <row r="14679" spans="6:8">
      <c r="H14679" t="s">
        <v>21583</v>
      </c>
    </row>
    <row r="14680" spans="6:8">
      <c r="H14680" t="s">
        <v>21584</v>
      </c>
    </row>
    <row r="14681" spans="6:8">
      <c r="H14681" t="s">
        <v>21829</v>
      </c>
    </row>
    <row r="14682" spans="6:8">
      <c r="H14682" t="s">
        <v>21830</v>
      </c>
    </row>
    <row r="14683" spans="6:8">
      <c r="H14683" t="s">
        <v>21831</v>
      </c>
    </row>
    <row r="14684" spans="6:8">
      <c r="H14684" t="s">
        <v>21832</v>
      </c>
    </row>
    <row r="14685" spans="6:8">
      <c r="H14685" t="s">
        <v>21833</v>
      </c>
    </row>
    <row r="14686" spans="6:8">
      <c r="H14686" t="s">
        <v>21834</v>
      </c>
    </row>
    <row r="14687" spans="6:8">
      <c r="H14687" t="s">
        <v>21835</v>
      </c>
    </row>
    <row r="14688" spans="6:8">
      <c r="H14688" t="s">
        <v>21836</v>
      </c>
    </row>
    <row r="14689" spans="6:8">
      <c r="H14689" t="s">
        <v>21837</v>
      </c>
    </row>
    <row r="14690" spans="6:8">
      <c r="F14690" t="s">
        <v>12289</v>
      </c>
      <c r="G14690" t="s">
        <v>16520</v>
      </c>
      <c r="H14690" t="s">
        <v>18829</v>
      </c>
    </row>
    <row r="14691" spans="6:8">
      <c r="H14691" t="s">
        <v>21533</v>
      </c>
    </row>
    <row r="14692" spans="6:8">
      <c r="H14692" t="s">
        <v>21534</v>
      </c>
    </row>
    <row r="14693" spans="6:8">
      <c r="H14693" t="s">
        <v>21838</v>
      </c>
    </row>
    <row r="14694" spans="6:8">
      <c r="H14694" t="s">
        <v>21839</v>
      </c>
    </row>
    <row r="14695" spans="6:8">
      <c r="H14695" t="s">
        <v>21840</v>
      </c>
    </row>
    <row r="14696" spans="6:8">
      <c r="H14696" t="s">
        <v>21841</v>
      </c>
    </row>
    <row r="14697" spans="6:8">
      <c r="H14697" t="s">
        <v>21842</v>
      </c>
    </row>
    <row r="14698" spans="6:8">
      <c r="H14698" t="s">
        <v>21843</v>
      </c>
    </row>
    <row r="14699" spans="6:8">
      <c r="H14699" t="s">
        <v>21844</v>
      </c>
    </row>
    <row r="14700" spans="6:8">
      <c r="H14700" t="s">
        <v>21845</v>
      </c>
    </row>
    <row r="14701" spans="6:8">
      <c r="F14701" t="s">
        <v>12248</v>
      </c>
      <c r="G14701" t="s">
        <v>16479</v>
      </c>
      <c r="H14701" t="s">
        <v>18829</v>
      </c>
    </row>
    <row r="14702" spans="6:8">
      <c r="H14702" t="s">
        <v>21533</v>
      </c>
    </row>
    <row r="14703" spans="6:8">
      <c r="H14703" t="s">
        <v>21534</v>
      </c>
    </row>
    <row r="14704" spans="6:8">
      <c r="H14704" t="s">
        <v>21583</v>
      </c>
    </row>
    <row r="14705" spans="6:8">
      <c r="H14705" t="s">
        <v>21584</v>
      </c>
    </row>
    <row r="14706" spans="6:8">
      <c r="H14706" t="s">
        <v>21829</v>
      </c>
    </row>
    <row r="14707" spans="6:8">
      <c r="H14707" t="s">
        <v>21846</v>
      </c>
    </row>
    <row r="14708" spans="6:8">
      <c r="H14708" t="s">
        <v>21847</v>
      </c>
    </row>
    <row r="14709" spans="6:8">
      <c r="H14709" t="s">
        <v>21848</v>
      </c>
    </row>
    <row r="14710" spans="6:8">
      <c r="H14710" t="s">
        <v>21849</v>
      </c>
    </row>
    <row r="14711" spans="6:8">
      <c r="H14711" t="s">
        <v>21850</v>
      </c>
    </row>
    <row r="14712" spans="6:8">
      <c r="H14712" t="s">
        <v>21851</v>
      </c>
    </row>
    <row r="14713" spans="6:8">
      <c r="H14713" t="s">
        <v>21852</v>
      </c>
    </row>
    <row r="14714" spans="6:8">
      <c r="H14714" t="s">
        <v>21853</v>
      </c>
    </row>
    <row r="14715" spans="6:8">
      <c r="F14715" t="s">
        <v>12290</v>
      </c>
      <c r="G14715" t="s">
        <v>16521</v>
      </c>
      <c r="H14715" t="s">
        <v>18829</v>
      </c>
    </row>
    <row r="14716" spans="6:8">
      <c r="H14716" t="s">
        <v>21533</v>
      </c>
    </row>
    <row r="14717" spans="6:8">
      <c r="H14717" t="s">
        <v>21534</v>
      </c>
    </row>
    <row r="14718" spans="6:8">
      <c r="H14718" t="s">
        <v>21854</v>
      </c>
    </row>
    <row r="14719" spans="6:8">
      <c r="H14719" t="s">
        <v>21855</v>
      </c>
    </row>
    <row r="14720" spans="6:8">
      <c r="H14720" t="s">
        <v>21856</v>
      </c>
    </row>
    <row r="14721" spans="6:8">
      <c r="H14721" t="s">
        <v>21857</v>
      </c>
    </row>
    <row r="14722" spans="6:8">
      <c r="H14722" t="s">
        <v>21858</v>
      </c>
    </row>
    <row r="14723" spans="6:8">
      <c r="H14723" t="s">
        <v>21859</v>
      </c>
    </row>
    <row r="14724" spans="6:8">
      <c r="H14724" t="s">
        <v>21860</v>
      </c>
    </row>
    <row r="14725" spans="6:8">
      <c r="H14725" t="s">
        <v>21861</v>
      </c>
    </row>
    <row r="14726" spans="6:8">
      <c r="F14726" t="s">
        <v>12291</v>
      </c>
      <c r="G14726" t="s">
        <v>16522</v>
      </c>
      <c r="H14726" t="s">
        <v>18829</v>
      </c>
    </row>
    <row r="14727" spans="6:8">
      <c r="H14727" t="s">
        <v>21533</v>
      </c>
    </row>
    <row r="14728" spans="6:8">
      <c r="H14728" t="s">
        <v>21534</v>
      </c>
    </row>
    <row r="14729" spans="6:8">
      <c r="H14729" t="s">
        <v>21583</v>
      </c>
    </row>
    <row r="14730" spans="6:8">
      <c r="H14730" t="s">
        <v>21584</v>
      </c>
    </row>
    <row r="14731" spans="6:8">
      <c r="H14731" t="s">
        <v>21862</v>
      </c>
    </row>
    <row r="14732" spans="6:8">
      <c r="H14732" t="s">
        <v>21863</v>
      </c>
    </row>
    <row r="14733" spans="6:8">
      <c r="H14733" t="s">
        <v>21864</v>
      </c>
    </row>
    <row r="14734" spans="6:8">
      <c r="H14734" t="s">
        <v>21865</v>
      </c>
    </row>
    <row r="14735" spans="6:8">
      <c r="H14735" t="s">
        <v>21866</v>
      </c>
    </row>
    <row r="14736" spans="6:8">
      <c r="H14736" t="s">
        <v>21867</v>
      </c>
    </row>
    <row r="14737" spans="6:8">
      <c r="H14737" t="s">
        <v>21868</v>
      </c>
    </row>
    <row r="14738" spans="6:8">
      <c r="H14738" t="s">
        <v>21869</v>
      </c>
    </row>
    <row r="14739" spans="6:8">
      <c r="F14739" t="s">
        <v>12292</v>
      </c>
      <c r="G14739" t="s">
        <v>16523</v>
      </c>
      <c r="H14739" t="s">
        <v>18829</v>
      </c>
    </row>
    <row r="14740" spans="6:8">
      <c r="H14740" t="s">
        <v>21533</v>
      </c>
    </row>
    <row r="14741" spans="6:8">
      <c r="H14741" t="s">
        <v>21534</v>
      </c>
    </row>
    <row r="14742" spans="6:8">
      <c r="H14742" t="s">
        <v>21870</v>
      </c>
    </row>
    <row r="14743" spans="6:8">
      <c r="H14743" t="s">
        <v>21871</v>
      </c>
    </row>
    <row r="14744" spans="6:8">
      <c r="H14744" t="s">
        <v>21872</v>
      </c>
    </row>
    <row r="14745" spans="6:8">
      <c r="H14745" t="s">
        <v>21873</v>
      </c>
    </row>
    <row r="14746" spans="6:8">
      <c r="H14746" t="s">
        <v>21874</v>
      </c>
    </row>
    <row r="14747" spans="6:8">
      <c r="H14747" t="s">
        <v>21875</v>
      </c>
    </row>
    <row r="14748" spans="6:8">
      <c r="H14748" t="s">
        <v>21876</v>
      </c>
    </row>
    <row r="14749" spans="6:8">
      <c r="H14749" t="s">
        <v>21877</v>
      </c>
    </row>
    <row r="14750" spans="6:8">
      <c r="F14750" t="s">
        <v>12293</v>
      </c>
      <c r="G14750" t="s">
        <v>16524</v>
      </c>
      <c r="H14750" t="s">
        <v>18829</v>
      </c>
    </row>
    <row r="14751" spans="6:8">
      <c r="H14751" t="s">
        <v>21533</v>
      </c>
    </row>
    <row r="14752" spans="6:8">
      <c r="H14752" t="s">
        <v>21534</v>
      </c>
    </row>
    <row r="14753" spans="6:8">
      <c r="H14753" t="s">
        <v>21878</v>
      </c>
    </row>
    <row r="14754" spans="6:8">
      <c r="H14754" t="s">
        <v>21879</v>
      </c>
    </row>
    <row r="14755" spans="6:8">
      <c r="H14755" t="s">
        <v>21880</v>
      </c>
    </row>
    <row r="14756" spans="6:8">
      <c r="H14756" t="s">
        <v>21881</v>
      </c>
    </row>
    <row r="14757" spans="6:8">
      <c r="H14757" t="s">
        <v>21882</v>
      </c>
    </row>
    <row r="14758" spans="6:8">
      <c r="H14758" t="s">
        <v>21883</v>
      </c>
    </row>
    <row r="14759" spans="6:8">
      <c r="H14759" t="s">
        <v>21884</v>
      </c>
    </row>
    <row r="14760" spans="6:8">
      <c r="H14760" t="s">
        <v>21885</v>
      </c>
    </row>
    <row r="14761" spans="6:8">
      <c r="F14761" t="s">
        <v>12294</v>
      </c>
      <c r="G14761" t="s">
        <v>16525</v>
      </c>
      <c r="H14761" t="s">
        <v>18829</v>
      </c>
    </row>
    <row r="14762" spans="6:8">
      <c r="H14762" t="s">
        <v>21533</v>
      </c>
    </row>
    <row r="14763" spans="6:8">
      <c r="H14763" t="s">
        <v>21534</v>
      </c>
    </row>
    <row r="14764" spans="6:8">
      <c r="H14764" t="s">
        <v>21886</v>
      </c>
    </row>
    <row r="14765" spans="6:8">
      <c r="H14765" t="s">
        <v>21887</v>
      </c>
    </row>
    <row r="14766" spans="6:8">
      <c r="H14766" t="s">
        <v>21888</v>
      </c>
    </row>
    <row r="14767" spans="6:8">
      <c r="H14767" t="s">
        <v>21889</v>
      </c>
    </row>
    <row r="14768" spans="6:8">
      <c r="H14768" t="s">
        <v>21890</v>
      </c>
    </row>
    <row r="14769" spans="6:8">
      <c r="H14769" t="s">
        <v>21891</v>
      </c>
    </row>
    <row r="14770" spans="6:8">
      <c r="H14770" t="s">
        <v>21892</v>
      </c>
    </row>
    <row r="14771" spans="6:8">
      <c r="H14771" t="s">
        <v>21893</v>
      </c>
    </row>
    <row r="14772" spans="6:8">
      <c r="F14772" t="s">
        <v>12295</v>
      </c>
      <c r="G14772" t="s">
        <v>16526</v>
      </c>
      <c r="H14772" t="s">
        <v>21533</v>
      </c>
    </row>
    <row r="14773" spans="6:8">
      <c r="H14773" t="s">
        <v>21534</v>
      </c>
    </row>
    <row r="14774" spans="6:8">
      <c r="H14774" t="s">
        <v>21894</v>
      </c>
    </row>
    <row r="14775" spans="6:8">
      <c r="H14775" t="s">
        <v>21895</v>
      </c>
    </row>
    <row r="14776" spans="6:8">
      <c r="F14776" t="s">
        <v>12296</v>
      </c>
      <c r="G14776" t="s">
        <v>16527</v>
      </c>
      <c r="H14776" t="s">
        <v>18829</v>
      </c>
    </row>
    <row r="14777" spans="6:8">
      <c r="H14777" t="s">
        <v>21533</v>
      </c>
    </row>
    <row r="14778" spans="6:8">
      <c r="H14778" t="s">
        <v>21534</v>
      </c>
    </row>
    <row r="14779" spans="6:8">
      <c r="H14779" t="s">
        <v>21896</v>
      </c>
    </row>
    <row r="14780" spans="6:8">
      <c r="H14780" t="s">
        <v>21897</v>
      </c>
    </row>
    <row r="14781" spans="6:8">
      <c r="H14781" t="s">
        <v>21898</v>
      </c>
    </row>
    <row r="14782" spans="6:8">
      <c r="H14782" t="s">
        <v>21899</v>
      </c>
    </row>
    <row r="14783" spans="6:8">
      <c r="H14783" t="s">
        <v>21900</v>
      </c>
    </row>
    <row r="14784" spans="6:8">
      <c r="H14784" t="s">
        <v>21901</v>
      </c>
    </row>
    <row r="14785" spans="6:8">
      <c r="H14785" t="s">
        <v>21902</v>
      </c>
    </row>
    <row r="14786" spans="6:8">
      <c r="H14786" t="s">
        <v>21903</v>
      </c>
    </row>
    <row r="14787" spans="6:8">
      <c r="F14787" t="s">
        <v>12297</v>
      </c>
      <c r="G14787" t="s">
        <v>16528</v>
      </c>
      <c r="H14787" t="s">
        <v>18829</v>
      </c>
    </row>
    <row r="14788" spans="6:8">
      <c r="H14788" t="s">
        <v>21533</v>
      </c>
    </row>
    <row r="14789" spans="6:8">
      <c r="H14789" t="s">
        <v>21534</v>
      </c>
    </row>
    <row r="14790" spans="6:8">
      <c r="H14790" t="s">
        <v>21904</v>
      </c>
    </row>
    <row r="14791" spans="6:8">
      <c r="H14791" t="s">
        <v>21905</v>
      </c>
    </row>
    <row r="14792" spans="6:8">
      <c r="H14792" t="s">
        <v>21906</v>
      </c>
    </row>
    <row r="14793" spans="6:8">
      <c r="H14793" t="s">
        <v>21907</v>
      </c>
    </row>
    <row r="14794" spans="6:8">
      <c r="H14794" t="s">
        <v>21908</v>
      </c>
    </row>
    <row r="14795" spans="6:8">
      <c r="H14795" t="s">
        <v>21909</v>
      </c>
    </row>
    <row r="14796" spans="6:8">
      <c r="H14796" t="s">
        <v>21910</v>
      </c>
    </row>
    <row r="14797" spans="6:8">
      <c r="H14797" t="s">
        <v>21911</v>
      </c>
    </row>
    <row r="14798" spans="6:8">
      <c r="F14798" t="s">
        <v>12298</v>
      </c>
      <c r="G14798" t="s">
        <v>16529</v>
      </c>
      <c r="H14798" t="s">
        <v>18829</v>
      </c>
    </row>
    <row r="14799" spans="6:8">
      <c r="H14799" t="s">
        <v>21533</v>
      </c>
    </row>
    <row r="14800" spans="6:8">
      <c r="H14800" t="s">
        <v>21534</v>
      </c>
    </row>
    <row r="14801" spans="6:8">
      <c r="H14801" t="s">
        <v>21912</v>
      </c>
    </row>
    <row r="14802" spans="6:8">
      <c r="H14802" t="s">
        <v>21913</v>
      </c>
    </row>
    <row r="14803" spans="6:8">
      <c r="H14803" t="s">
        <v>21914</v>
      </c>
    </row>
    <row r="14804" spans="6:8">
      <c r="H14804" t="s">
        <v>21915</v>
      </c>
    </row>
    <row r="14805" spans="6:8">
      <c r="H14805" t="s">
        <v>21916</v>
      </c>
    </row>
    <row r="14806" spans="6:8">
      <c r="H14806" t="s">
        <v>21917</v>
      </c>
    </row>
    <row r="14807" spans="6:8">
      <c r="H14807" t="s">
        <v>21918</v>
      </c>
    </row>
    <row r="14808" spans="6:8">
      <c r="H14808" t="s">
        <v>21919</v>
      </c>
    </row>
    <row r="14809" spans="6:8">
      <c r="F14809" t="s">
        <v>12299</v>
      </c>
      <c r="G14809" t="s">
        <v>16530</v>
      </c>
      <c r="H14809" t="s">
        <v>18829</v>
      </c>
    </row>
    <row r="14810" spans="6:8">
      <c r="H14810" t="s">
        <v>21533</v>
      </c>
    </row>
    <row r="14811" spans="6:8">
      <c r="H14811" t="s">
        <v>21534</v>
      </c>
    </row>
    <row r="14812" spans="6:8">
      <c r="H14812" t="s">
        <v>21920</v>
      </c>
    </row>
    <row r="14813" spans="6:8">
      <c r="H14813" t="s">
        <v>21921</v>
      </c>
    </row>
    <row r="14814" spans="6:8">
      <c r="H14814" t="s">
        <v>21922</v>
      </c>
    </row>
    <row r="14815" spans="6:8">
      <c r="H14815" t="s">
        <v>21923</v>
      </c>
    </row>
    <row r="14816" spans="6:8">
      <c r="H14816" t="s">
        <v>21924</v>
      </c>
    </row>
    <row r="14817" spans="6:8">
      <c r="H14817" t="s">
        <v>21925</v>
      </c>
    </row>
    <row r="14818" spans="6:8">
      <c r="H14818" t="s">
        <v>21926</v>
      </c>
    </row>
    <row r="14819" spans="6:8">
      <c r="H14819" t="s">
        <v>21927</v>
      </c>
    </row>
    <row r="14820" spans="6:8">
      <c r="F14820" t="s">
        <v>12300</v>
      </c>
      <c r="G14820" t="s">
        <v>16531</v>
      </c>
      <c r="H14820" t="s">
        <v>18829</v>
      </c>
    </row>
    <row r="14821" spans="6:8">
      <c r="H14821" t="s">
        <v>21533</v>
      </c>
    </row>
    <row r="14822" spans="6:8">
      <c r="H14822" t="s">
        <v>21534</v>
      </c>
    </row>
    <row r="14823" spans="6:8">
      <c r="H14823" t="s">
        <v>21928</v>
      </c>
    </row>
    <row r="14824" spans="6:8">
      <c r="H14824" t="s">
        <v>21929</v>
      </c>
    </row>
    <row r="14825" spans="6:8">
      <c r="H14825" t="s">
        <v>21930</v>
      </c>
    </row>
    <row r="14826" spans="6:8">
      <c r="H14826" t="s">
        <v>21931</v>
      </c>
    </row>
    <row r="14827" spans="6:8">
      <c r="H14827" t="s">
        <v>21932</v>
      </c>
    </row>
    <row r="14828" spans="6:8">
      <c r="H14828" t="s">
        <v>21933</v>
      </c>
    </row>
    <row r="14829" spans="6:8">
      <c r="H14829" t="s">
        <v>21934</v>
      </c>
    </row>
    <row r="14830" spans="6:8">
      <c r="H14830" t="s">
        <v>21935</v>
      </c>
    </row>
    <row r="14831" spans="6:8">
      <c r="F14831" t="s">
        <v>12301</v>
      </c>
      <c r="G14831" t="s">
        <v>16532</v>
      </c>
      <c r="H14831" t="s">
        <v>18829</v>
      </c>
    </row>
    <row r="14832" spans="6:8">
      <c r="H14832" t="s">
        <v>21533</v>
      </c>
    </row>
    <row r="14833" spans="6:8">
      <c r="H14833" t="s">
        <v>21534</v>
      </c>
    </row>
    <row r="14834" spans="6:8">
      <c r="H14834" t="s">
        <v>21583</v>
      </c>
    </row>
    <row r="14835" spans="6:8">
      <c r="H14835" t="s">
        <v>21584</v>
      </c>
    </row>
    <row r="14836" spans="6:8">
      <c r="H14836" t="s">
        <v>21936</v>
      </c>
    </row>
    <row r="14837" spans="6:8">
      <c r="H14837" t="s">
        <v>21937</v>
      </c>
    </row>
    <row r="14838" spans="6:8">
      <c r="H14838" t="s">
        <v>21938</v>
      </c>
    </row>
    <row r="14839" spans="6:8">
      <c r="H14839" t="s">
        <v>21939</v>
      </c>
    </row>
    <row r="14840" spans="6:8">
      <c r="H14840" t="s">
        <v>21940</v>
      </c>
    </row>
    <row r="14841" spans="6:8">
      <c r="H14841" t="s">
        <v>21941</v>
      </c>
    </row>
    <row r="14842" spans="6:8">
      <c r="H14842" t="s">
        <v>21942</v>
      </c>
    </row>
    <row r="14843" spans="6:8">
      <c r="H14843" t="s">
        <v>21943</v>
      </c>
    </row>
    <row r="14844" spans="6:8">
      <c r="F14844" t="s">
        <v>12302</v>
      </c>
      <c r="G14844" t="s">
        <v>16533</v>
      </c>
      <c r="H14844" t="s">
        <v>18829</v>
      </c>
    </row>
    <row r="14845" spans="6:8">
      <c r="H14845" t="s">
        <v>21533</v>
      </c>
    </row>
    <row r="14846" spans="6:8">
      <c r="H14846" t="s">
        <v>21534</v>
      </c>
    </row>
    <row r="14847" spans="6:8">
      <c r="H14847" t="s">
        <v>21944</v>
      </c>
    </row>
    <row r="14848" spans="6:8">
      <c r="H14848" t="s">
        <v>21945</v>
      </c>
    </row>
    <row r="14849" spans="6:8">
      <c r="H14849" t="s">
        <v>21946</v>
      </c>
    </row>
    <row r="14850" spans="6:8">
      <c r="H14850" t="s">
        <v>21947</v>
      </c>
    </row>
    <row r="14851" spans="6:8">
      <c r="H14851" t="s">
        <v>21948</v>
      </c>
    </row>
    <row r="14852" spans="6:8">
      <c r="H14852" t="s">
        <v>21949</v>
      </c>
    </row>
    <row r="14853" spans="6:8">
      <c r="H14853" t="s">
        <v>21950</v>
      </c>
    </row>
    <row r="14854" spans="6:8">
      <c r="H14854" t="s">
        <v>21951</v>
      </c>
    </row>
    <row r="14855" spans="6:8">
      <c r="F14855" t="s">
        <v>12303</v>
      </c>
      <c r="G14855" t="s">
        <v>16534</v>
      </c>
      <c r="H14855" t="s">
        <v>18829</v>
      </c>
    </row>
    <row r="14856" spans="6:8">
      <c r="H14856" t="s">
        <v>21533</v>
      </c>
    </row>
    <row r="14857" spans="6:8">
      <c r="H14857" t="s">
        <v>21534</v>
      </c>
    </row>
    <row r="14858" spans="6:8">
      <c r="H14858" t="s">
        <v>21952</v>
      </c>
    </row>
    <row r="14859" spans="6:8">
      <c r="H14859" t="s">
        <v>21953</v>
      </c>
    </row>
    <row r="14860" spans="6:8">
      <c r="H14860" t="s">
        <v>21954</v>
      </c>
    </row>
    <row r="14861" spans="6:8">
      <c r="H14861" t="s">
        <v>21955</v>
      </c>
    </row>
    <row r="14862" spans="6:8">
      <c r="H14862" t="s">
        <v>21956</v>
      </c>
    </row>
    <row r="14863" spans="6:8">
      <c r="H14863" t="s">
        <v>21957</v>
      </c>
    </row>
    <row r="14864" spans="6:8">
      <c r="H14864" t="s">
        <v>21958</v>
      </c>
    </row>
    <row r="14865" spans="1:8">
      <c r="H14865" t="s">
        <v>21959</v>
      </c>
    </row>
    <row r="14866" spans="1:8">
      <c r="F14866" t="s">
        <v>12304</v>
      </c>
      <c r="G14866" t="s">
        <v>16535</v>
      </c>
      <c r="H14866" t="s">
        <v>18829</v>
      </c>
    </row>
    <row r="14867" spans="1:8">
      <c r="H14867" t="s">
        <v>21533</v>
      </c>
    </row>
    <row r="14868" spans="1:8">
      <c r="H14868" t="s">
        <v>21534</v>
      </c>
    </row>
    <row r="14869" spans="1:8">
      <c r="H14869" t="s">
        <v>21960</v>
      </c>
    </row>
    <row r="14870" spans="1:8">
      <c r="H14870" t="s">
        <v>21961</v>
      </c>
    </row>
    <row r="14871" spans="1:8">
      <c r="H14871" t="s">
        <v>21962</v>
      </c>
    </row>
    <row r="14872" spans="1:8">
      <c r="H14872" t="s">
        <v>21963</v>
      </c>
    </row>
    <row r="14873" spans="1:8">
      <c r="H14873" t="s">
        <v>21964</v>
      </c>
    </row>
    <row r="14874" spans="1:8">
      <c r="H14874" t="s">
        <v>21965</v>
      </c>
    </row>
    <row r="14875" spans="1:8">
      <c r="H14875" t="s">
        <v>21966</v>
      </c>
    </row>
    <row r="14876" spans="1:8">
      <c r="H14876" t="s">
        <v>21967</v>
      </c>
    </row>
    <row r="14877" spans="1:8">
      <c r="A14877" t="s">
        <v>526</v>
      </c>
      <c r="B14877">
        <f>HYPERLINK("https://android.googlesource.com/platform/cts/+/ff0a994dacffeee9c7918401bca7cdd6ae402707", "ff0a994dacffeee9c7918401bca7cdd6ae402707")</f>
        <v>0</v>
      </c>
      <c r="C14877">
        <f>HYPERLINK("https://android.googlesource.com/platform/cts/+/001664d27c8fedf061b5439cbf0c42c3e615bdcc", "001664d27c8fedf061b5439cbf0c42c3e615bdcc")</f>
        <v>0</v>
      </c>
      <c r="D14877" t="s">
        <v>5020</v>
      </c>
      <c r="E14877" t="s">
        <v>6312</v>
      </c>
      <c r="F14877" t="s">
        <v>12251</v>
      </c>
      <c r="G14877" t="s">
        <v>16482</v>
      </c>
      <c r="H14877" t="s">
        <v>21529</v>
      </c>
    </row>
    <row r="14878" spans="1:8">
      <c r="H14878" t="s">
        <v>21530</v>
      </c>
    </row>
    <row r="14879" spans="1:8">
      <c r="F14879" t="s">
        <v>12252</v>
      </c>
      <c r="G14879" t="s">
        <v>16483</v>
      </c>
      <c r="H14879" t="s">
        <v>21531</v>
      </c>
    </row>
    <row r="14880" spans="1:8">
      <c r="A14880" t="s">
        <v>527</v>
      </c>
      <c r="B14880">
        <f>HYPERLINK("https://android.googlesource.com/platform/cts/+/77f7b7a89e062dad33dbd5f09237d1106020c735", "77f7b7a89e062dad33dbd5f09237d1106020c735")</f>
        <v>0</v>
      </c>
      <c r="C14880">
        <f>HYPERLINK("https://android.googlesource.com/platform/cts/+/55b487e2c8568767d36e3fcaf64b7448af121b6a", "55b487e2c8568767d36e3fcaf64b7448af121b6a")</f>
        <v>0</v>
      </c>
      <c r="D14880" t="s">
        <v>5017</v>
      </c>
      <c r="E14880" t="s">
        <v>6313</v>
      </c>
      <c r="F14880" t="s">
        <v>12305</v>
      </c>
      <c r="G14880" t="s">
        <v>16536</v>
      </c>
      <c r="H14880" t="s">
        <v>21968</v>
      </c>
    </row>
    <row r="14881" spans="1:8">
      <c r="H14881" t="s">
        <v>21969</v>
      </c>
    </row>
    <row r="14882" spans="1:8">
      <c r="H14882" t="s">
        <v>21970</v>
      </c>
    </row>
    <row r="14883" spans="1:8">
      <c r="H14883" t="s">
        <v>21971</v>
      </c>
    </row>
    <row r="14884" spans="1:8">
      <c r="F14884" t="s">
        <v>12306</v>
      </c>
      <c r="G14884" t="s">
        <v>16537</v>
      </c>
      <c r="H14884" t="s">
        <v>21972</v>
      </c>
    </row>
    <row r="14885" spans="1:8">
      <c r="H14885" t="s">
        <v>21973</v>
      </c>
    </row>
    <row r="14886" spans="1:8">
      <c r="H14886" t="s">
        <v>21974</v>
      </c>
    </row>
    <row r="14887" spans="1:8">
      <c r="H14887" t="s">
        <v>21975</v>
      </c>
    </row>
    <row r="14888" spans="1:8">
      <c r="F14888" t="s">
        <v>12307</v>
      </c>
      <c r="G14888" t="s">
        <v>16538</v>
      </c>
      <c r="H14888" t="s">
        <v>21976</v>
      </c>
    </row>
    <row r="14889" spans="1:8">
      <c r="H14889" t="s">
        <v>21977</v>
      </c>
    </row>
    <row r="14890" spans="1:8">
      <c r="H14890" t="s">
        <v>21978</v>
      </c>
    </row>
    <row r="14891" spans="1:8">
      <c r="H14891" t="s">
        <v>21979</v>
      </c>
    </row>
    <row r="14892" spans="1:8">
      <c r="F14892" t="s">
        <v>12308</v>
      </c>
      <c r="G14892" t="s">
        <v>16539</v>
      </c>
      <c r="H14892" t="s">
        <v>21980</v>
      </c>
    </row>
    <row r="14893" spans="1:8">
      <c r="H14893" t="s">
        <v>21981</v>
      </c>
    </row>
    <row r="14894" spans="1:8">
      <c r="H14894" t="s">
        <v>21982</v>
      </c>
    </row>
    <row r="14895" spans="1:8">
      <c r="H14895" t="s">
        <v>21983</v>
      </c>
    </row>
    <row r="14896" spans="1:8">
      <c r="A14896" t="s">
        <v>528</v>
      </c>
      <c r="B14896">
        <f>HYPERLINK("https://android.googlesource.com/platform/cts/+/6efee00d6fb976bd616ea6c8fe91d4dadda12280", "6efee00d6fb976bd616ea6c8fe91d4dadda12280")</f>
        <v>0</v>
      </c>
      <c r="C14896">
        <f>HYPERLINK("https://android.googlesource.com/platform/cts/+/55b487e2c8568767d36e3fcaf64b7448af121b6a", "55b487e2c8568767d36e3fcaf64b7448af121b6a")</f>
        <v>0</v>
      </c>
      <c r="D14896" t="s">
        <v>5022</v>
      </c>
      <c r="E14896" t="s">
        <v>6314</v>
      </c>
      <c r="F14896" t="s">
        <v>12309</v>
      </c>
      <c r="G14896" t="s">
        <v>16540</v>
      </c>
      <c r="H14896" t="s">
        <v>21984</v>
      </c>
    </row>
    <row r="14897" spans="1:8">
      <c r="A14897" t="s">
        <v>529</v>
      </c>
      <c r="B14897">
        <f>HYPERLINK("https://android.googlesource.com/platform/cts/+/12ee8935b27621975674d8a3e6675c597af14783", "12ee8935b27621975674d8a3e6675c597af14783")</f>
        <v>0</v>
      </c>
      <c r="C14897">
        <f>HYPERLINK("https://android.googlesource.com/platform/cts/+/974c73e53e230096cbb2d14bbca7d57a6c90b8ad", "974c73e53e230096cbb2d14bbca7d57a6c90b8ad")</f>
        <v>0</v>
      </c>
      <c r="D14897" t="s">
        <v>4952</v>
      </c>
      <c r="E14897" t="s">
        <v>6315</v>
      </c>
      <c r="F14897" t="s">
        <v>12309</v>
      </c>
      <c r="G14897" t="s">
        <v>16540</v>
      </c>
      <c r="H14897" t="s">
        <v>21984</v>
      </c>
    </row>
    <row r="14898" spans="1:8">
      <c r="A14898" t="s">
        <v>530</v>
      </c>
      <c r="B14898">
        <f>HYPERLINK("https://android.googlesource.com/platform/cts/+/e364a32894a42656fe8d9a15637c5e4b0c58acbd", "e364a32894a42656fe8d9a15637c5e4b0c58acbd")</f>
        <v>0</v>
      </c>
      <c r="C14898">
        <f>HYPERLINK("https://android.googlesource.com/platform/cts/+/c6bb9a58592da7bdd897ce963d636e08d2336137", "c6bb9a58592da7bdd897ce963d636e08d2336137")</f>
        <v>0</v>
      </c>
      <c r="D14898" t="s">
        <v>4960</v>
      </c>
      <c r="E14898" t="s">
        <v>6316</v>
      </c>
      <c r="F14898" t="s">
        <v>12310</v>
      </c>
      <c r="G14898" t="s">
        <v>16541</v>
      </c>
      <c r="H14898" t="s">
        <v>21985</v>
      </c>
    </row>
    <row r="14899" spans="1:8">
      <c r="A14899" t="s">
        <v>532</v>
      </c>
      <c r="B14899">
        <f>HYPERLINK("https://android.googlesource.com/platform/cts/+/28f2b3e07fa21177afe9c0fee7ae2a9378b2ff04", "28f2b3e07fa21177afe9c0fee7ae2a9378b2ff04")</f>
        <v>0</v>
      </c>
      <c r="C14899">
        <f>HYPERLINK("https://android.googlesource.com/platform/cts/+/65f90b5d8f257c6ffd47265a2f23c23019954dc7", "65f90b5d8f257c6ffd47265a2f23c23019954dc7")</f>
        <v>0</v>
      </c>
      <c r="D14899" t="s">
        <v>5004</v>
      </c>
      <c r="E14899" t="s">
        <v>6317</v>
      </c>
      <c r="F14899" t="s">
        <v>12311</v>
      </c>
      <c r="G14899" t="s">
        <v>16542</v>
      </c>
      <c r="H14899" t="s">
        <v>21986</v>
      </c>
    </row>
    <row r="14900" spans="1:8">
      <c r="H14900" t="s">
        <v>21987</v>
      </c>
    </row>
    <row r="14901" spans="1:8">
      <c r="H14901" t="s">
        <v>21988</v>
      </c>
    </row>
    <row r="14902" spans="1:8">
      <c r="H14902" t="s">
        <v>21989</v>
      </c>
    </row>
    <row r="14903" spans="1:8">
      <c r="H14903" t="s">
        <v>21990</v>
      </c>
    </row>
    <row r="14904" spans="1:8">
      <c r="A14904" t="s">
        <v>533</v>
      </c>
      <c r="B14904">
        <f>HYPERLINK("https://android.googlesource.com/platform/cts/+/b9caa230fd4cd0648cb9dc2b521fa026294ab9c4", "b9caa230fd4cd0648cb9dc2b521fa026294ab9c4")</f>
        <v>0</v>
      </c>
      <c r="C14904">
        <f>HYPERLINK("https://android.googlesource.com/platform/cts/+/4d83439246ac67aff64a5102aaaa80fa39efd582", "4d83439246ac67aff64a5102aaaa80fa39efd582")</f>
        <v>0</v>
      </c>
      <c r="D14904" t="s">
        <v>5015</v>
      </c>
      <c r="E14904" t="s">
        <v>6318</v>
      </c>
      <c r="F14904" t="s">
        <v>10605</v>
      </c>
      <c r="G14904" t="s">
        <v>15008</v>
      </c>
      <c r="H14904" t="s">
        <v>21991</v>
      </c>
    </row>
    <row r="14905" spans="1:8">
      <c r="H14905" t="s">
        <v>21992</v>
      </c>
    </row>
    <row r="14906" spans="1:8">
      <c r="A14906" t="s">
        <v>534</v>
      </c>
      <c r="B14906">
        <f>HYPERLINK("https://android.googlesource.com/platform/cts/+/21c00dba3d00f5490ffa566e8231fec571bdfe96", "21c00dba3d00f5490ffa566e8231fec571bdfe96")</f>
        <v>0</v>
      </c>
      <c r="C14906">
        <f>HYPERLINK("https://android.googlesource.com/platform/cts/+/6dd4ab2e89426004f97244a43f8ed19df3aae971", "6dd4ab2e89426004f97244a43f8ed19df3aae971")</f>
        <v>0</v>
      </c>
      <c r="D14906" t="s">
        <v>5004</v>
      </c>
      <c r="E14906" t="s">
        <v>6319</v>
      </c>
      <c r="F14906" t="s">
        <v>12312</v>
      </c>
      <c r="G14906" t="s">
        <v>16543</v>
      </c>
      <c r="H14906" t="s">
        <v>21993</v>
      </c>
    </row>
    <row r="14907" spans="1:8">
      <c r="H14907" t="s">
        <v>21994</v>
      </c>
    </row>
    <row r="14908" spans="1:8">
      <c r="H14908" t="s">
        <v>21995</v>
      </c>
    </row>
    <row r="14909" spans="1:8">
      <c r="H14909" t="s">
        <v>21996</v>
      </c>
    </row>
    <row r="14910" spans="1:8">
      <c r="H14910" t="s">
        <v>21997</v>
      </c>
    </row>
    <row r="14911" spans="1:8">
      <c r="F14911" t="s">
        <v>12311</v>
      </c>
      <c r="G14911" t="s">
        <v>16544</v>
      </c>
      <c r="H14911" t="s">
        <v>19034</v>
      </c>
    </row>
    <row r="14912" spans="1:8">
      <c r="H14912" t="s">
        <v>18829</v>
      </c>
    </row>
    <row r="14913" spans="1:8">
      <c r="H14913" t="s">
        <v>18863</v>
      </c>
    </row>
    <row r="14914" spans="1:8">
      <c r="H14914" t="s">
        <v>21998</v>
      </c>
    </row>
    <row r="14915" spans="1:8">
      <c r="H14915" t="s">
        <v>21999</v>
      </c>
    </row>
    <row r="14916" spans="1:8">
      <c r="H14916" t="s">
        <v>22000</v>
      </c>
    </row>
    <row r="14917" spans="1:8">
      <c r="H14917" t="s">
        <v>22001</v>
      </c>
    </row>
    <row r="14918" spans="1:8">
      <c r="F14918" t="s">
        <v>12313</v>
      </c>
      <c r="G14918" t="s">
        <v>16545</v>
      </c>
      <c r="H14918" t="s">
        <v>22002</v>
      </c>
    </row>
    <row r="14919" spans="1:8">
      <c r="H14919" t="s">
        <v>18829</v>
      </c>
    </row>
    <row r="14920" spans="1:8">
      <c r="H14920" t="s">
        <v>18863</v>
      </c>
    </row>
    <row r="14921" spans="1:8">
      <c r="H14921" t="s">
        <v>22003</v>
      </c>
    </row>
    <row r="14922" spans="1:8">
      <c r="H14922" t="s">
        <v>22004</v>
      </c>
    </row>
    <row r="14923" spans="1:8">
      <c r="H14923" t="s">
        <v>21996</v>
      </c>
    </row>
    <row r="14924" spans="1:8">
      <c r="H14924" t="s">
        <v>21997</v>
      </c>
    </row>
    <row r="14925" spans="1:8">
      <c r="H14925" t="s">
        <v>22005</v>
      </c>
    </row>
    <row r="14926" spans="1:8">
      <c r="H14926" t="s">
        <v>22006</v>
      </c>
    </row>
    <row r="14927" spans="1:8">
      <c r="A14927" t="s">
        <v>535</v>
      </c>
      <c r="B14927">
        <f>HYPERLINK("https://android.googlesource.com/platform/cts/+/38db26307da6ad8e7b539037fed1559668154e68", "38db26307da6ad8e7b539037fed1559668154e68")</f>
        <v>0</v>
      </c>
      <c r="C14927">
        <f>HYPERLINK("https://android.googlesource.com/platform/cts/+/91911fcbb39f138d043a7142e3dae912c4e6d12b", "91911fcbb39f138d043a7142e3dae912c4e6d12b")</f>
        <v>0</v>
      </c>
      <c r="D14927" t="s">
        <v>5023</v>
      </c>
      <c r="E14927" t="s">
        <v>6320</v>
      </c>
      <c r="F14927" t="s">
        <v>12314</v>
      </c>
      <c r="G14927" t="s">
        <v>16546</v>
      </c>
      <c r="H14927" t="s">
        <v>22007</v>
      </c>
    </row>
    <row r="14928" spans="1:8">
      <c r="H14928" t="s">
        <v>22008</v>
      </c>
    </row>
    <row r="14929" spans="1:8">
      <c r="H14929" t="s">
        <v>22009</v>
      </c>
    </row>
    <row r="14930" spans="1:8">
      <c r="A14930" t="s">
        <v>536</v>
      </c>
      <c r="B14930">
        <f>HYPERLINK("https://android.googlesource.com/platform/cts/+/45bce9b369996703d4c8cebf60d98bb257ff465c", "45bce9b369996703d4c8cebf60d98bb257ff465c")</f>
        <v>0</v>
      </c>
      <c r="C14930">
        <f>HYPERLINK("https://android.googlesource.com/platform/cts/+/87241351c7ab0a48318325152e0b8213594fcead", "87241351c7ab0a48318325152e0b8213594fcead")</f>
        <v>0</v>
      </c>
      <c r="D14930" t="s">
        <v>5017</v>
      </c>
      <c r="E14930" t="s">
        <v>6321</v>
      </c>
      <c r="F14930" t="s">
        <v>12315</v>
      </c>
      <c r="G14930" t="s">
        <v>16547</v>
      </c>
      <c r="H14930" t="s">
        <v>22010</v>
      </c>
    </row>
    <row r="14931" spans="1:8">
      <c r="H14931" t="s">
        <v>22011</v>
      </c>
    </row>
    <row r="14932" spans="1:8">
      <c r="H14932" t="s">
        <v>22012</v>
      </c>
    </row>
    <row r="14933" spans="1:8">
      <c r="H14933" t="s">
        <v>22013</v>
      </c>
    </row>
    <row r="14934" spans="1:8">
      <c r="A14934" t="s">
        <v>537</v>
      </c>
      <c r="B14934">
        <f>HYPERLINK("https://android.googlesource.com/platform/cts/+/a6ea2481f93a3e703de11bb1f6c656827608cea3", "a6ea2481f93a3e703de11bb1f6c656827608cea3")</f>
        <v>0</v>
      </c>
      <c r="C14934">
        <f>HYPERLINK("https://android.googlesource.com/platform/cts/+/f6cf6d8170dec19b2f8ad29165abf2da02bbbd9b", "f6cf6d8170dec19b2f8ad29165abf2da02bbbd9b")</f>
        <v>0</v>
      </c>
      <c r="D14934" t="s">
        <v>4930</v>
      </c>
      <c r="E14934" t="s">
        <v>6322</v>
      </c>
      <c r="F14934" t="s">
        <v>12316</v>
      </c>
      <c r="G14934" t="s">
        <v>16548</v>
      </c>
      <c r="H14934" t="s">
        <v>18980</v>
      </c>
    </row>
    <row r="14935" spans="1:8">
      <c r="A14935" t="s">
        <v>538</v>
      </c>
      <c r="B14935">
        <f>HYPERLINK("https://android.googlesource.com/platform/cts/+/8354c8514204a73ed436c11078a91cb6c56bb6b7", "8354c8514204a73ed436c11078a91cb6c56bb6b7")</f>
        <v>0</v>
      </c>
      <c r="C14935">
        <f>HYPERLINK("https://android.googlesource.com/platform/cts/+/5f799ee6f3c1fa43e38a6081206c4e3b8c0f6138", "5f799ee6f3c1fa43e38a6081206c4e3b8c0f6138")</f>
        <v>0</v>
      </c>
      <c r="D14935" t="s">
        <v>5004</v>
      </c>
      <c r="E14935" t="s">
        <v>6323</v>
      </c>
      <c r="F14935" t="s">
        <v>12225</v>
      </c>
      <c r="G14935" t="s">
        <v>16455</v>
      </c>
      <c r="H14935" t="s">
        <v>22014</v>
      </c>
    </row>
    <row r="14936" spans="1:8">
      <c r="H14936" t="s">
        <v>22000</v>
      </c>
    </row>
    <row r="14937" spans="1:8">
      <c r="H14937" t="s">
        <v>22015</v>
      </c>
    </row>
    <row r="14938" spans="1:8">
      <c r="H14938" t="s">
        <v>22016</v>
      </c>
    </row>
    <row r="14939" spans="1:8">
      <c r="H14939" t="s">
        <v>22017</v>
      </c>
    </row>
    <row r="14940" spans="1:8">
      <c r="F14940" t="s">
        <v>12317</v>
      </c>
      <c r="G14940" t="s">
        <v>16544</v>
      </c>
      <c r="H14940" t="s">
        <v>22000</v>
      </c>
    </row>
    <row r="14941" spans="1:8">
      <c r="F14941" t="s">
        <v>12221</v>
      </c>
      <c r="G14941" t="s">
        <v>16451</v>
      </c>
      <c r="H14941" t="s">
        <v>22018</v>
      </c>
    </row>
    <row r="14942" spans="1:8">
      <c r="H14942" t="s">
        <v>22019</v>
      </c>
    </row>
    <row r="14943" spans="1:8">
      <c r="H14943" t="s">
        <v>22020</v>
      </c>
    </row>
    <row r="14944" spans="1:8">
      <c r="H14944" t="s">
        <v>22021</v>
      </c>
    </row>
    <row r="14945" spans="1:8">
      <c r="H14945" t="s">
        <v>22022</v>
      </c>
    </row>
    <row r="14946" spans="1:8">
      <c r="H14946" t="s">
        <v>21994</v>
      </c>
    </row>
    <row r="14947" spans="1:8">
      <c r="H14947" t="s">
        <v>21995</v>
      </c>
    </row>
    <row r="14948" spans="1:8">
      <c r="A14948" t="s">
        <v>539</v>
      </c>
      <c r="B14948">
        <f>HYPERLINK("https://android.googlesource.com/platform/cts/+/38271c76b0b254990b8f532d7851e3ac6c2b9715", "38271c76b0b254990b8f532d7851e3ac6c2b9715")</f>
        <v>0</v>
      </c>
      <c r="C14948">
        <f>HYPERLINK("https://android.googlesource.com/platform/cts/+/60234c98ef33b9a688e459a0d1816ce0b36be5fb", "60234c98ef33b9a688e459a0d1816ce0b36be5fb")</f>
        <v>0</v>
      </c>
      <c r="D14948" t="s">
        <v>5010</v>
      </c>
      <c r="E14948" t="s">
        <v>6324</v>
      </c>
      <c r="F14948" t="s">
        <v>12318</v>
      </c>
      <c r="G14948" t="s">
        <v>15148</v>
      </c>
      <c r="H14948" t="s">
        <v>22023</v>
      </c>
    </row>
    <row r="14949" spans="1:8">
      <c r="H14949" t="s">
        <v>22024</v>
      </c>
    </row>
    <row r="14950" spans="1:8">
      <c r="H14950" t="s">
        <v>22025</v>
      </c>
    </row>
    <row r="14951" spans="1:8">
      <c r="H14951" t="s">
        <v>22026</v>
      </c>
    </row>
    <row r="14952" spans="1:8">
      <c r="H14952" t="s">
        <v>22027</v>
      </c>
    </row>
    <row r="14953" spans="1:8">
      <c r="H14953" t="s">
        <v>22028</v>
      </c>
    </row>
    <row r="14954" spans="1:8">
      <c r="H14954" t="s">
        <v>22029</v>
      </c>
    </row>
    <row r="14955" spans="1:8">
      <c r="H14955" t="s">
        <v>22030</v>
      </c>
    </row>
    <row r="14956" spans="1:8">
      <c r="H14956" t="s">
        <v>22031</v>
      </c>
    </row>
    <row r="14957" spans="1:8">
      <c r="H14957" t="s">
        <v>22032</v>
      </c>
    </row>
    <row r="14958" spans="1:8">
      <c r="H14958" t="s">
        <v>22033</v>
      </c>
    </row>
    <row r="14959" spans="1:8">
      <c r="H14959" t="s">
        <v>22034</v>
      </c>
    </row>
    <row r="14960" spans="1:8">
      <c r="H14960" t="s">
        <v>22035</v>
      </c>
    </row>
    <row r="14961" spans="1:8">
      <c r="H14961" t="s">
        <v>22021</v>
      </c>
    </row>
    <row r="14962" spans="1:8">
      <c r="H14962" t="s">
        <v>21994</v>
      </c>
    </row>
    <row r="14963" spans="1:8">
      <c r="H14963" t="s">
        <v>21995</v>
      </c>
    </row>
    <row r="14964" spans="1:8">
      <c r="H14964" t="s">
        <v>22036</v>
      </c>
    </row>
    <row r="14965" spans="1:8">
      <c r="H14965" t="s">
        <v>22037</v>
      </c>
    </row>
    <row r="14966" spans="1:8">
      <c r="H14966" t="s">
        <v>22038</v>
      </c>
    </row>
    <row r="14967" spans="1:8">
      <c r="A14967" t="s">
        <v>540</v>
      </c>
      <c r="B14967">
        <f>HYPERLINK("https://android.googlesource.com/platform/cts/+/d51e0c83207dabadb0d64d86c2b4fff7ca9bef7f", "d51e0c83207dabadb0d64d86c2b4fff7ca9bef7f")</f>
        <v>0</v>
      </c>
      <c r="C14967">
        <f>HYPERLINK("https://android.googlesource.com/platform/cts/+/e32c995b1b14ea670626ebf651a0fc45ed2c8c00", "e32c995b1b14ea670626ebf651a0fc45ed2c8c00")</f>
        <v>0</v>
      </c>
      <c r="D14967" t="s">
        <v>4973</v>
      </c>
      <c r="E14967" t="s">
        <v>6325</v>
      </c>
      <c r="F14967" t="s">
        <v>12319</v>
      </c>
      <c r="G14967" t="s">
        <v>16549</v>
      </c>
      <c r="H14967" t="s">
        <v>18829</v>
      </c>
    </row>
    <row r="14968" spans="1:8">
      <c r="H14968" t="s">
        <v>22039</v>
      </c>
    </row>
    <row r="14969" spans="1:8">
      <c r="H14969" t="s">
        <v>22040</v>
      </c>
    </row>
    <row r="14970" spans="1:8">
      <c r="H14970" t="s">
        <v>22041</v>
      </c>
    </row>
    <row r="14971" spans="1:8">
      <c r="H14971" t="s">
        <v>22042</v>
      </c>
    </row>
    <row r="14972" spans="1:8">
      <c r="H14972" t="s">
        <v>20083</v>
      </c>
    </row>
    <row r="14973" spans="1:8">
      <c r="H14973" t="s">
        <v>22043</v>
      </c>
    </row>
    <row r="14974" spans="1:8">
      <c r="A14974" t="s">
        <v>541</v>
      </c>
      <c r="B14974">
        <f>HYPERLINK("https://android.googlesource.com/platform/cts/+/7b44fee3487ee84d9c10a51dddaac4dc95229ba7", "7b44fee3487ee84d9c10a51dddaac4dc95229ba7")</f>
        <v>0</v>
      </c>
      <c r="C14974">
        <f>HYPERLINK("https://android.googlesource.com/platform/cts/+/fd4862555abcc1d8aaf80ce112c2fcd9acd52ec9", "fd4862555abcc1d8aaf80ce112c2fcd9acd52ec9")</f>
        <v>0</v>
      </c>
      <c r="D14974" t="s">
        <v>5024</v>
      </c>
      <c r="E14974" t="s">
        <v>6326</v>
      </c>
      <c r="F14974" t="s">
        <v>12320</v>
      </c>
      <c r="G14974" t="s">
        <v>16550</v>
      </c>
      <c r="H14974" t="s">
        <v>22044</v>
      </c>
    </row>
    <row r="14975" spans="1:8">
      <c r="H14975" t="s">
        <v>22045</v>
      </c>
    </row>
    <row r="14976" spans="1:8">
      <c r="H14976" t="s">
        <v>22046</v>
      </c>
    </row>
    <row r="14977" spans="6:8">
      <c r="H14977" t="s">
        <v>22047</v>
      </c>
    </row>
    <row r="14978" spans="6:8">
      <c r="H14978" t="s">
        <v>22048</v>
      </c>
    </row>
    <row r="14979" spans="6:8">
      <c r="H14979" t="s">
        <v>22049</v>
      </c>
    </row>
    <row r="14980" spans="6:8">
      <c r="F14980" t="s">
        <v>12321</v>
      </c>
      <c r="G14980" t="s">
        <v>16551</v>
      </c>
      <c r="H14980" t="s">
        <v>22050</v>
      </c>
    </row>
    <row r="14981" spans="6:8">
      <c r="H14981" t="s">
        <v>22051</v>
      </c>
    </row>
    <row r="14982" spans="6:8">
      <c r="H14982" t="s">
        <v>22052</v>
      </c>
    </row>
    <row r="14983" spans="6:8">
      <c r="H14983" t="s">
        <v>22053</v>
      </c>
    </row>
    <row r="14984" spans="6:8">
      <c r="H14984" t="s">
        <v>22054</v>
      </c>
    </row>
    <row r="14985" spans="6:8">
      <c r="H14985" t="s">
        <v>22055</v>
      </c>
    </row>
    <row r="14986" spans="6:8">
      <c r="H14986" t="s">
        <v>22056</v>
      </c>
    </row>
    <row r="14987" spans="6:8">
      <c r="H14987" t="s">
        <v>22049</v>
      </c>
    </row>
    <row r="14988" spans="6:8">
      <c r="F14988" t="s">
        <v>12322</v>
      </c>
      <c r="G14988" t="s">
        <v>16552</v>
      </c>
      <c r="H14988" t="s">
        <v>22057</v>
      </c>
    </row>
    <row r="14989" spans="6:8">
      <c r="H14989" t="s">
        <v>22057</v>
      </c>
    </row>
    <row r="14990" spans="6:8">
      <c r="H14990" t="s">
        <v>22057</v>
      </c>
    </row>
    <row r="14991" spans="6:8">
      <c r="H14991" t="s">
        <v>22058</v>
      </c>
    </row>
    <row r="14992" spans="6:8">
      <c r="H14992" t="s">
        <v>22059</v>
      </c>
    </row>
    <row r="14993" spans="1:8">
      <c r="H14993" t="s">
        <v>22059</v>
      </c>
    </row>
    <row r="14994" spans="1:8">
      <c r="H14994" t="s">
        <v>22060</v>
      </c>
    </row>
    <row r="14995" spans="1:8">
      <c r="H14995" t="s">
        <v>21227</v>
      </c>
    </row>
    <row r="14996" spans="1:8">
      <c r="H14996" t="s">
        <v>21228</v>
      </c>
    </row>
    <row r="14997" spans="1:8">
      <c r="H14997" t="s">
        <v>22061</v>
      </c>
    </row>
    <row r="14998" spans="1:8">
      <c r="H14998" t="s">
        <v>22062</v>
      </c>
    </row>
    <row r="14999" spans="1:8">
      <c r="H14999" t="s">
        <v>22063</v>
      </c>
    </row>
    <row r="15000" spans="1:8">
      <c r="H15000" t="s">
        <v>22063</v>
      </c>
    </row>
    <row r="15001" spans="1:8">
      <c r="H15001" t="s">
        <v>22057</v>
      </c>
    </row>
    <row r="15002" spans="1:8">
      <c r="H15002" t="s">
        <v>22058</v>
      </c>
    </row>
    <row r="15003" spans="1:8">
      <c r="H15003" t="s">
        <v>22064</v>
      </c>
    </row>
    <row r="15004" spans="1:8">
      <c r="H15004" t="s">
        <v>22064</v>
      </c>
    </row>
    <row r="15005" spans="1:8">
      <c r="A15005" t="s">
        <v>542</v>
      </c>
      <c r="B15005">
        <f>HYPERLINK("https://android.googlesource.com/platform/cts/+/a8006db3b54d07318dbe593924267980c45d6876", "a8006db3b54d07318dbe593924267980c45d6876")</f>
        <v>0</v>
      </c>
      <c r="C15005">
        <f>HYPERLINK("https://android.googlesource.com/platform/cts/+/b445bf36cff59c9f237c6fc487435dd9f1ebbe31", "b445bf36cff59c9f237c6fc487435dd9f1ebbe31")</f>
        <v>0</v>
      </c>
      <c r="D15005" t="s">
        <v>5023</v>
      </c>
      <c r="E15005" t="s">
        <v>6327</v>
      </c>
      <c r="F15005" t="s">
        <v>12314</v>
      </c>
      <c r="G15005" t="s">
        <v>16546</v>
      </c>
      <c r="H15005" t="s">
        <v>19034</v>
      </c>
    </row>
    <row r="15006" spans="1:8">
      <c r="H15006" t="s">
        <v>22065</v>
      </c>
    </row>
    <row r="15007" spans="1:8">
      <c r="H15007" t="s">
        <v>22066</v>
      </c>
    </row>
    <row r="15008" spans="1:8">
      <c r="H15008" t="s">
        <v>22067</v>
      </c>
    </row>
    <row r="15009" spans="1:8">
      <c r="H15009" t="s">
        <v>22068</v>
      </c>
    </row>
    <row r="15010" spans="1:8">
      <c r="H15010" t="s">
        <v>22069</v>
      </c>
    </row>
    <row r="15011" spans="1:8">
      <c r="H15011" t="s">
        <v>22070</v>
      </c>
    </row>
    <row r="15012" spans="1:8">
      <c r="H15012" t="s">
        <v>22071</v>
      </c>
    </row>
    <row r="15013" spans="1:8">
      <c r="H15013" t="s">
        <v>22072</v>
      </c>
    </row>
    <row r="15014" spans="1:8">
      <c r="H15014" t="s">
        <v>22073</v>
      </c>
    </row>
    <row r="15015" spans="1:8">
      <c r="H15015" t="s">
        <v>22074</v>
      </c>
    </row>
    <row r="15016" spans="1:8">
      <c r="H15016" t="s">
        <v>22075</v>
      </c>
    </row>
    <row r="15017" spans="1:8">
      <c r="H15017" t="s">
        <v>22076</v>
      </c>
    </row>
    <row r="15018" spans="1:8">
      <c r="H15018" t="s">
        <v>22077</v>
      </c>
    </row>
    <row r="15019" spans="1:8">
      <c r="A15019" t="s">
        <v>543</v>
      </c>
      <c r="B15019">
        <f>HYPERLINK("https://android.googlesource.com/platform/cts/+/ea4bb059b8acefaec3bab9bb26c01a08586d160b", "ea4bb059b8acefaec3bab9bb26c01a08586d160b")</f>
        <v>0</v>
      </c>
      <c r="C15019">
        <f>HYPERLINK("https://android.googlesource.com/platform/cts/+/a40dc0b5fb7a54ccafd0555a1934dc2d6b3a267e", "a40dc0b5fb7a54ccafd0555a1934dc2d6b3a267e")</f>
        <v>0</v>
      </c>
      <c r="D15019" t="s">
        <v>5004</v>
      </c>
      <c r="E15019" t="s">
        <v>6328</v>
      </c>
      <c r="F15019" t="s">
        <v>12221</v>
      </c>
      <c r="G15019" t="s">
        <v>16451</v>
      </c>
      <c r="H15019" t="s">
        <v>22078</v>
      </c>
    </row>
    <row r="15020" spans="1:8">
      <c r="H15020" t="s">
        <v>22079</v>
      </c>
    </row>
    <row r="15021" spans="1:8">
      <c r="F15021" t="s">
        <v>12323</v>
      </c>
      <c r="G15021" t="s">
        <v>16553</v>
      </c>
      <c r="H15021" t="s">
        <v>22080</v>
      </c>
    </row>
    <row r="15022" spans="1:8">
      <c r="A15022" t="s">
        <v>544</v>
      </c>
      <c r="B15022">
        <f>HYPERLINK("https://android.googlesource.com/platform/cts/+/7b8cbb83ae12919c233925a0d94b0274b56e22ab", "7b8cbb83ae12919c233925a0d94b0274b56e22ab")</f>
        <v>0</v>
      </c>
      <c r="C15022">
        <f>HYPERLINK("https://android.googlesource.com/platform/cts/+/7841788129557bc18bc6a2c15ebedacceb731104", "7841788129557bc18bc6a2c15ebedacceb731104")</f>
        <v>0</v>
      </c>
      <c r="D15022" t="s">
        <v>5004</v>
      </c>
      <c r="E15022" t="s">
        <v>6329</v>
      </c>
      <c r="F15022" t="s">
        <v>12221</v>
      </c>
      <c r="G15022" t="s">
        <v>16451</v>
      </c>
      <c r="H15022" t="s">
        <v>22081</v>
      </c>
    </row>
    <row r="15023" spans="1:8">
      <c r="A15023" t="s">
        <v>545</v>
      </c>
      <c r="B15023">
        <f>HYPERLINK("https://android.googlesource.com/platform/cts/+/99211e46392ea3fcfc20685e36c709651aa9e6d3", "99211e46392ea3fcfc20685e36c709651aa9e6d3")</f>
        <v>0</v>
      </c>
      <c r="C15023">
        <f>HYPERLINK("https://android.googlesource.com/platform/cts/+/8906ad68996047981b432021e0963f02e7433115", "8906ad68996047981b432021e0963f02e7433115")</f>
        <v>0</v>
      </c>
      <c r="D15023" t="s">
        <v>5004</v>
      </c>
      <c r="E15023" t="s">
        <v>6330</v>
      </c>
      <c r="F15023" t="s">
        <v>12312</v>
      </c>
      <c r="G15023" t="s">
        <v>16543</v>
      </c>
      <c r="H15023" t="s">
        <v>22082</v>
      </c>
    </row>
    <row r="15024" spans="1:8">
      <c r="A15024" t="s">
        <v>546</v>
      </c>
      <c r="B15024">
        <f>HYPERLINK("https://android.googlesource.com/platform/cts/+/25c95b34af9b25a9935f9e2e8e6b455f5fb359c9", "25c95b34af9b25a9935f9e2e8e6b455f5fb359c9")</f>
        <v>0</v>
      </c>
      <c r="C15024">
        <f>HYPERLINK("https://android.googlesource.com/platform/cts/+/bdf643555822ec3023c4f71f421952e02a08e4f4", "bdf643555822ec3023c4f71f421952e02a08e4f4")</f>
        <v>0</v>
      </c>
      <c r="D15024" t="s">
        <v>5025</v>
      </c>
      <c r="E15024" t="s">
        <v>6331</v>
      </c>
      <c r="F15024" t="s">
        <v>12324</v>
      </c>
      <c r="G15024" t="s">
        <v>16554</v>
      </c>
      <c r="H15024" t="s">
        <v>22083</v>
      </c>
    </row>
    <row r="15025" spans="1:8">
      <c r="H15025" t="s">
        <v>22084</v>
      </c>
    </row>
    <row r="15026" spans="1:8">
      <c r="H15026" t="s">
        <v>22085</v>
      </c>
    </row>
    <row r="15027" spans="1:8">
      <c r="H15027" t="s">
        <v>22086</v>
      </c>
    </row>
    <row r="15028" spans="1:8">
      <c r="A15028" t="s">
        <v>547</v>
      </c>
      <c r="B15028">
        <f>HYPERLINK("https://android.googlesource.com/platform/cts/+/ccb3315b017c17710f0f190a50dbf9f92687aa87", "ccb3315b017c17710f0f190a50dbf9f92687aa87")</f>
        <v>0</v>
      </c>
      <c r="C15028">
        <f>HYPERLINK("https://android.googlesource.com/platform/cts/+/f5e85145970257730305e9f2681825e24100c4e7", "f5e85145970257730305e9f2681825e24100c4e7")</f>
        <v>0</v>
      </c>
      <c r="D15028" t="s">
        <v>5007</v>
      </c>
      <c r="E15028" t="s">
        <v>6332</v>
      </c>
      <c r="F15028" t="s">
        <v>12325</v>
      </c>
      <c r="G15028" t="s">
        <v>16555</v>
      </c>
      <c r="H15028" t="s">
        <v>22087</v>
      </c>
    </row>
    <row r="15029" spans="1:8">
      <c r="H15029" t="s">
        <v>22088</v>
      </c>
    </row>
    <row r="15030" spans="1:8">
      <c r="H15030" t="s">
        <v>22089</v>
      </c>
    </row>
    <row r="15031" spans="1:8">
      <c r="H15031" t="s">
        <v>22090</v>
      </c>
    </row>
    <row r="15032" spans="1:8">
      <c r="H15032" t="s">
        <v>22091</v>
      </c>
    </row>
    <row r="15033" spans="1:8">
      <c r="H15033" t="s">
        <v>22092</v>
      </c>
    </row>
    <row r="15034" spans="1:8">
      <c r="H15034" t="s">
        <v>22093</v>
      </c>
    </row>
    <row r="15035" spans="1:8">
      <c r="H15035" t="s">
        <v>22094</v>
      </c>
    </row>
    <row r="15036" spans="1:8">
      <c r="H15036" t="s">
        <v>22095</v>
      </c>
    </row>
    <row r="15037" spans="1:8">
      <c r="H15037" t="s">
        <v>22096</v>
      </c>
    </row>
    <row r="15038" spans="1:8">
      <c r="H15038" t="s">
        <v>22097</v>
      </c>
    </row>
    <row r="15039" spans="1:8">
      <c r="H15039" t="s">
        <v>22098</v>
      </c>
    </row>
    <row r="15040" spans="1:8">
      <c r="H15040" t="s">
        <v>22099</v>
      </c>
    </row>
    <row r="15041" spans="1:8">
      <c r="H15041" t="s">
        <v>22100</v>
      </c>
    </row>
    <row r="15042" spans="1:8">
      <c r="H15042" t="s">
        <v>22101</v>
      </c>
    </row>
    <row r="15043" spans="1:8">
      <c r="H15043" t="s">
        <v>22102</v>
      </c>
    </row>
    <row r="15044" spans="1:8">
      <c r="H15044" t="s">
        <v>22103</v>
      </c>
    </row>
    <row r="15045" spans="1:8">
      <c r="H15045" t="s">
        <v>22104</v>
      </c>
    </row>
    <row r="15046" spans="1:8">
      <c r="H15046" t="s">
        <v>22105</v>
      </c>
    </row>
    <row r="15047" spans="1:8">
      <c r="H15047" t="s">
        <v>22106</v>
      </c>
    </row>
    <row r="15048" spans="1:8">
      <c r="H15048" t="s">
        <v>22107</v>
      </c>
    </row>
    <row r="15049" spans="1:8">
      <c r="A15049" t="s">
        <v>548</v>
      </c>
      <c r="B15049">
        <f>HYPERLINK("https://android.googlesource.com/platform/cts/+/863fadbcff87c8809e9d9fae1c64a1fe692b2ea2", "863fadbcff87c8809e9d9fae1c64a1fe692b2ea2")</f>
        <v>0</v>
      </c>
      <c r="C15049">
        <f>HYPERLINK("https://android.googlesource.com/platform/cts/+/f09eb74555a4c8d46fa908fa83099a26a28d80eb", "f09eb74555a4c8d46fa908fa83099a26a28d80eb")</f>
        <v>0</v>
      </c>
      <c r="D15049" t="s">
        <v>5019</v>
      </c>
      <c r="E15049" t="s">
        <v>6333</v>
      </c>
      <c r="F15049" t="s">
        <v>12326</v>
      </c>
      <c r="G15049" t="s">
        <v>16556</v>
      </c>
      <c r="H15049" t="s">
        <v>22108</v>
      </c>
    </row>
    <row r="15050" spans="1:8">
      <c r="A15050" t="s">
        <v>549</v>
      </c>
      <c r="B15050">
        <f>HYPERLINK("https://android.googlesource.com/platform/cts/+/5b70b978e78d4731c66a0a4320984a69e4a88690", "5b70b978e78d4731c66a0a4320984a69e4a88690")</f>
        <v>0</v>
      </c>
      <c r="C15050">
        <f>HYPERLINK("https://android.googlesource.com/platform/cts/+/b7f71268276f56cd4b15ac51bffbb14e55480788", "b7f71268276f56cd4b15ac51bffbb14e55480788")</f>
        <v>0</v>
      </c>
      <c r="D15050" t="s">
        <v>5026</v>
      </c>
      <c r="E15050" t="s">
        <v>6334</v>
      </c>
      <c r="F15050" t="s">
        <v>12327</v>
      </c>
      <c r="G15050" t="s">
        <v>16557</v>
      </c>
      <c r="H15050" t="s">
        <v>22109</v>
      </c>
    </row>
    <row r="15051" spans="1:8">
      <c r="A15051" t="s">
        <v>550</v>
      </c>
      <c r="B15051">
        <f>HYPERLINK("https://android.googlesource.com/platform/cts/+/c9bccc623c3d30d2fed4d2bbe321765598801545", "c9bccc623c3d30d2fed4d2bbe321765598801545")</f>
        <v>0</v>
      </c>
      <c r="C15051">
        <f>HYPERLINK("https://android.googlesource.com/platform/cts/+/76a03019d359f0d2a11862d49d3fc2b9e99c9167", "76a03019d359f0d2a11862d49d3fc2b9e99c9167")</f>
        <v>0</v>
      </c>
      <c r="D15051" t="s">
        <v>5004</v>
      </c>
      <c r="E15051" t="s">
        <v>6335</v>
      </c>
      <c r="F15051" t="s">
        <v>12328</v>
      </c>
      <c r="G15051" t="s">
        <v>16458</v>
      </c>
      <c r="H15051" t="s">
        <v>22110</v>
      </c>
    </row>
    <row r="15052" spans="1:8">
      <c r="A15052" t="s">
        <v>552</v>
      </c>
      <c r="B15052">
        <f>HYPERLINK("https://android.googlesource.com/platform/cts/+/26eab6438226eeb4af8377e0c9fd6f631f1b150c", "26eab6438226eeb4af8377e0c9fd6f631f1b150c")</f>
        <v>0</v>
      </c>
      <c r="C15052">
        <f>HYPERLINK("https://android.googlesource.com/platform/cts/+/6360e58fba8f557874242c19bc9e558d00cefce4", "6360e58fba8f557874242c19bc9e558d00cefce4")</f>
        <v>0</v>
      </c>
      <c r="D15052" t="s">
        <v>5018</v>
      </c>
      <c r="E15052" t="s">
        <v>6336</v>
      </c>
      <c r="F15052" t="s">
        <v>12329</v>
      </c>
      <c r="G15052" t="s">
        <v>15331</v>
      </c>
      <c r="H15052" t="s">
        <v>19725</v>
      </c>
    </row>
    <row r="15053" spans="1:8">
      <c r="A15053" t="s">
        <v>553</v>
      </c>
      <c r="B15053">
        <f>HYPERLINK("https://android.googlesource.com/platform/cts/+/61dd5c68b6a7011a285d57c39f3b078c18cecda0", "61dd5c68b6a7011a285d57c39f3b078c18cecda0")</f>
        <v>0</v>
      </c>
      <c r="C15053">
        <f>HYPERLINK("https://android.googlesource.com/platform/cts/+/7ea8cec78201f6ef33ed0099ada6f8b60173ff63", "7ea8cec78201f6ef33ed0099ada6f8b60173ff63")</f>
        <v>0</v>
      </c>
      <c r="D15053" t="s">
        <v>5018</v>
      </c>
      <c r="E15053" t="s">
        <v>6337</v>
      </c>
      <c r="F15053" t="s">
        <v>10739</v>
      </c>
      <c r="G15053" t="s">
        <v>15138</v>
      </c>
      <c r="H15053" t="s">
        <v>22111</v>
      </c>
    </row>
    <row r="15054" spans="1:8">
      <c r="H15054" t="s">
        <v>22112</v>
      </c>
    </row>
    <row r="15055" spans="1:8">
      <c r="A15055" t="s">
        <v>555</v>
      </c>
      <c r="B15055">
        <f>HYPERLINK("https://android.googlesource.com/platform/cts/+/847f5c9273b29bf5f99ba716b50b64119ba38461", "847f5c9273b29bf5f99ba716b50b64119ba38461")</f>
        <v>0</v>
      </c>
      <c r="C15055">
        <f>HYPERLINK("https://android.googlesource.com/platform/cts/+/e98002608f8e8e61b9b8a86178a9eff41ef47554", "e98002608f8e8e61b9b8a86178a9eff41ef47554")</f>
        <v>0</v>
      </c>
      <c r="D15055" t="s">
        <v>5027</v>
      </c>
      <c r="E15055" t="s">
        <v>6339</v>
      </c>
      <c r="F15055" t="s">
        <v>12324</v>
      </c>
      <c r="G15055" t="s">
        <v>16554</v>
      </c>
      <c r="H15055" t="s">
        <v>22113</v>
      </c>
    </row>
    <row r="15056" spans="1:8">
      <c r="A15056" t="s">
        <v>556</v>
      </c>
      <c r="B15056">
        <f>HYPERLINK("https://android.googlesource.com/platform/cts/+/ebd15f5a37659ecb2ddacd979fa57924f5478394", "ebd15f5a37659ecb2ddacd979fa57924f5478394")</f>
        <v>0</v>
      </c>
      <c r="C15056">
        <f>HYPERLINK("https://android.googlesource.com/platform/cts/+/847f5c9273b29bf5f99ba716b50b64119ba38461", "847f5c9273b29bf5f99ba716b50b64119ba38461")</f>
        <v>0</v>
      </c>
      <c r="D15056" t="s">
        <v>5027</v>
      </c>
      <c r="E15056" t="s">
        <v>6340</v>
      </c>
      <c r="F15056" t="s">
        <v>12324</v>
      </c>
      <c r="G15056" t="s">
        <v>16554</v>
      </c>
      <c r="H15056" t="s">
        <v>20083</v>
      </c>
    </row>
    <row r="15057" spans="1:8">
      <c r="H15057" t="s">
        <v>22114</v>
      </c>
    </row>
    <row r="15058" spans="1:8">
      <c r="H15058" t="s">
        <v>22115</v>
      </c>
    </row>
    <row r="15059" spans="1:8">
      <c r="H15059" t="s">
        <v>22083</v>
      </c>
    </row>
    <row r="15060" spans="1:8">
      <c r="H15060" t="s">
        <v>22084</v>
      </c>
    </row>
    <row r="15061" spans="1:8">
      <c r="H15061" t="s">
        <v>22085</v>
      </c>
    </row>
    <row r="15062" spans="1:8">
      <c r="H15062" t="s">
        <v>22086</v>
      </c>
    </row>
    <row r="15063" spans="1:8">
      <c r="A15063" t="s">
        <v>557</v>
      </c>
      <c r="B15063">
        <f>HYPERLINK("https://android.googlesource.com/platform/cts/+/c7d2f628194c794cac832a74fe415a04d76b0c25", "c7d2f628194c794cac832a74fe415a04d76b0c25")</f>
        <v>0</v>
      </c>
      <c r="C15063">
        <f>HYPERLINK("https://android.googlesource.com/platform/cts/+/e100b5fc27a7af6fe0e895b9c1a026602edaeda5", "e100b5fc27a7af6fe0e895b9c1a026602edaeda5")</f>
        <v>0</v>
      </c>
      <c r="D15063" t="s">
        <v>5028</v>
      </c>
      <c r="E15063" t="s">
        <v>6341</v>
      </c>
      <c r="F15063" t="s">
        <v>12221</v>
      </c>
      <c r="G15063" t="s">
        <v>16451</v>
      </c>
      <c r="H15063" t="s">
        <v>22116</v>
      </c>
    </row>
    <row r="15064" spans="1:8">
      <c r="H15064" t="s">
        <v>22117</v>
      </c>
    </row>
    <row r="15065" spans="1:8">
      <c r="H15065" t="s">
        <v>22118</v>
      </c>
    </row>
    <row r="15066" spans="1:8">
      <c r="H15066" t="s">
        <v>22119</v>
      </c>
    </row>
    <row r="15067" spans="1:8">
      <c r="H15067" t="s">
        <v>22120</v>
      </c>
    </row>
    <row r="15068" spans="1:8">
      <c r="A15068" t="s">
        <v>558</v>
      </c>
      <c r="B15068">
        <f>HYPERLINK("https://android.googlesource.com/platform/cts/+/ffb1ee597d9fb627774c13e9b5c9c049d201aefd", "ffb1ee597d9fb627774c13e9b5c9c049d201aefd")</f>
        <v>0</v>
      </c>
      <c r="C15068">
        <f>HYPERLINK("https://android.googlesource.com/platform/cts/+/6e0ef8958e5d1ed0b880e8ec8004bcd40fc456dc", "6e0ef8958e5d1ed0b880e8ec8004bcd40fc456dc")</f>
        <v>0</v>
      </c>
      <c r="D15068" t="s">
        <v>5010</v>
      </c>
      <c r="E15068" t="s">
        <v>6342</v>
      </c>
      <c r="F15068" t="s">
        <v>12328</v>
      </c>
      <c r="G15068" t="s">
        <v>16458</v>
      </c>
      <c r="H15068" t="s">
        <v>22121</v>
      </c>
    </row>
    <row r="15069" spans="1:8">
      <c r="H15069" t="s">
        <v>22122</v>
      </c>
    </row>
    <row r="15070" spans="1:8">
      <c r="H15070" t="s">
        <v>22123</v>
      </c>
    </row>
    <row r="15071" spans="1:8">
      <c r="H15071" t="s">
        <v>22124</v>
      </c>
    </row>
    <row r="15072" spans="1:8">
      <c r="H15072" t="s">
        <v>22125</v>
      </c>
    </row>
    <row r="15073" spans="1:8">
      <c r="H15073" t="s">
        <v>22126</v>
      </c>
    </row>
    <row r="15074" spans="1:8">
      <c r="H15074" t="s">
        <v>22127</v>
      </c>
    </row>
    <row r="15075" spans="1:8">
      <c r="H15075" t="s">
        <v>22128</v>
      </c>
    </row>
    <row r="15076" spans="1:8">
      <c r="H15076" t="s">
        <v>22129</v>
      </c>
    </row>
    <row r="15077" spans="1:8">
      <c r="A15077" t="s">
        <v>559</v>
      </c>
      <c r="B15077">
        <f>HYPERLINK("https://android.googlesource.com/platform/cts/+/9de0160cc34cad014ad2b26f849c042b911e4680", "9de0160cc34cad014ad2b26f849c042b911e4680")</f>
        <v>0</v>
      </c>
      <c r="C15077">
        <f>HYPERLINK("https://android.googlesource.com/platform/cts/+/1ad2dfcc524463008a27bfc53f60a41a64620e27", "1ad2dfcc524463008a27bfc53f60a41a64620e27")</f>
        <v>0</v>
      </c>
      <c r="D15077" t="s">
        <v>5018</v>
      </c>
      <c r="E15077" t="s">
        <v>6343</v>
      </c>
      <c r="F15077" t="s">
        <v>12330</v>
      </c>
      <c r="G15077" t="s">
        <v>16558</v>
      </c>
      <c r="H15077" t="s">
        <v>22130</v>
      </c>
    </row>
    <row r="15078" spans="1:8">
      <c r="A15078" t="s">
        <v>560</v>
      </c>
      <c r="B15078">
        <f>HYPERLINK("https://android.googlesource.com/platform/cts/+/c7924612d5d22d4ed7169ca2897fcbc275918dea", "c7924612d5d22d4ed7169ca2897fcbc275918dea")</f>
        <v>0</v>
      </c>
      <c r="C15078">
        <f>HYPERLINK("https://android.googlesource.com/platform/cts/+/097fd5cc6743096bde7486c1f13d405c8aecdec0", "097fd5cc6743096bde7486c1f13d405c8aecdec0")</f>
        <v>0</v>
      </c>
      <c r="D15078" t="s">
        <v>5029</v>
      </c>
      <c r="E15078" t="s">
        <v>6344</v>
      </c>
      <c r="F15078" t="s">
        <v>12331</v>
      </c>
      <c r="G15078" t="s">
        <v>16559</v>
      </c>
      <c r="H15078" t="s">
        <v>22131</v>
      </c>
    </row>
    <row r="15079" spans="1:8">
      <c r="A15079" t="s">
        <v>561</v>
      </c>
      <c r="B15079">
        <f>HYPERLINK("https://android.googlesource.com/platform/cts/+/94399746c7dfbd36c947b3c3b47de8e2a0a97c63", "94399746c7dfbd36c947b3c3b47de8e2a0a97c63")</f>
        <v>0</v>
      </c>
      <c r="C15079">
        <f>HYPERLINK("https://android.googlesource.com/platform/cts/+/68809163646c6c437235723651915ba9056a1cfa", "68809163646c6c437235723651915ba9056a1cfa")</f>
        <v>0</v>
      </c>
      <c r="D15079" t="s">
        <v>5010</v>
      </c>
      <c r="E15079" t="s">
        <v>6345</v>
      </c>
      <c r="F15079" t="s">
        <v>12225</v>
      </c>
      <c r="G15079" t="s">
        <v>16455</v>
      </c>
      <c r="H15079" t="s">
        <v>22005</v>
      </c>
    </row>
    <row r="15080" spans="1:8">
      <c r="A15080" t="s">
        <v>562</v>
      </c>
      <c r="B15080">
        <f>HYPERLINK("https://android.googlesource.com/platform/cts/+/24bcfcded83c94beb7f5c5dc7cf9df3c233aa8f3", "24bcfcded83c94beb7f5c5dc7cf9df3c233aa8f3")</f>
        <v>0</v>
      </c>
      <c r="C15080">
        <f>HYPERLINK("https://android.googlesource.com/platform/cts/+/94399746c7dfbd36c947b3c3b47de8e2a0a97c63", "94399746c7dfbd36c947b3c3b47de8e2a0a97c63")</f>
        <v>0</v>
      </c>
      <c r="D15080" t="s">
        <v>5004</v>
      </c>
      <c r="E15080" t="s">
        <v>6346</v>
      </c>
      <c r="F15080" t="s">
        <v>12328</v>
      </c>
      <c r="G15080" t="s">
        <v>16458</v>
      </c>
      <c r="H15080" t="s">
        <v>22132</v>
      </c>
    </row>
    <row r="15081" spans="1:8">
      <c r="A15081" t="s">
        <v>563</v>
      </c>
      <c r="B15081">
        <f>HYPERLINK("https://android.googlesource.com/platform/cts/+/f18f2a212328ee84a1fe80767421888009a1f690", "f18f2a212328ee84a1fe80767421888009a1f690")</f>
        <v>0</v>
      </c>
      <c r="C15081">
        <f>HYPERLINK("https://android.googlesource.com/platform/cts/+/94399746c7dfbd36c947b3c3b47de8e2a0a97c63", "94399746c7dfbd36c947b3c3b47de8e2a0a97c63")</f>
        <v>0</v>
      </c>
      <c r="D15081" t="s">
        <v>5026</v>
      </c>
      <c r="E15081" t="s">
        <v>6347</v>
      </c>
      <c r="F15081" t="s">
        <v>12327</v>
      </c>
      <c r="G15081" t="s">
        <v>16557</v>
      </c>
      <c r="H15081" t="s">
        <v>18829</v>
      </c>
    </row>
    <row r="15082" spans="1:8">
      <c r="H15082" t="s">
        <v>22133</v>
      </c>
    </row>
    <row r="15083" spans="1:8">
      <c r="H15083" t="s">
        <v>22134</v>
      </c>
    </row>
    <row r="15084" spans="1:8">
      <c r="H15084" t="s">
        <v>22135</v>
      </c>
    </row>
    <row r="15085" spans="1:8">
      <c r="H15085" t="s">
        <v>22136</v>
      </c>
    </row>
    <row r="15086" spans="1:8">
      <c r="A15086" t="s">
        <v>564</v>
      </c>
      <c r="B15086">
        <f>HYPERLINK("https://android.googlesource.com/platform/cts/+/8c2da24389c4b868e8a91c052f85eca8f4dc4846", "8c2da24389c4b868e8a91c052f85eca8f4dc4846")</f>
        <v>0</v>
      </c>
      <c r="C15086">
        <f>HYPERLINK("https://android.googlesource.com/platform/cts/+/11741abf5c67ef97ec1a0457a690ed41ed7d0660", "11741abf5c67ef97ec1a0457a690ed41ed7d0660")</f>
        <v>0</v>
      </c>
      <c r="D15086" t="s">
        <v>4974</v>
      </c>
      <c r="E15086" t="s">
        <v>6348</v>
      </c>
      <c r="F15086" t="s">
        <v>12332</v>
      </c>
      <c r="G15086" t="s">
        <v>16560</v>
      </c>
      <c r="H15086" t="s">
        <v>22137</v>
      </c>
    </row>
    <row r="15087" spans="1:8">
      <c r="H15087" t="s">
        <v>22137</v>
      </c>
    </row>
    <row r="15088" spans="1:8">
      <c r="A15088" t="s">
        <v>565</v>
      </c>
      <c r="B15088">
        <f>HYPERLINK("https://android.googlesource.com/platform/cts/+/015ab0eb5461df156de94f61b28b58b45babace5", "015ab0eb5461df156de94f61b28b58b45babace5")</f>
        <v>0</v>
      </c>
      <c r="C15088">
        <f>HYPERLINK("https://android.googlesource.com/platform/cts/+/6e0bac587e3fd3b432ddc350dd0824b0d2da5013", "6e0bac587e3fd3b432ddc350dd0824b0d2da5013")</f>
        <v>0</v>
      </c>
      <c r="D15088" t="s">
        <v>5030</v>
      </c>
      <c r="E15088" t="s">
        <v>6349</v>
      </c>
      <c r="F15088" t="s">
        <v>12314</v>
      </c>
      <c r="G15088" t="s">
        <v>16546</v>
      </c>
      <c r="H15088" t="s">
        <v>22138</v>
      </c>
    </row>
    <row r="15089" spans="1:8">
      <c r="A15089" t="s">
        <v>566</v>
      </c>
      <c r="B15089">
        <f>HYPERLINK("https://android.googlesource.com/platform/cts/+/613d350d86ab99f42c4188cd423c9e23062f7484", "613d350d86ab99f42c4188cd423c9e23062f7484")</f>
        <v>0</v>
      </c>
      <c r="C15089">
        <f>HYPERLINK("https://android.googlesource.com/platform/cts/+/bead3a8ca7ab0c006ec3e47d89e6303eba01fe24", "bead3a8ca7ab0c006ec3e47d89e6303eba01fe24")</f>
        <v>0</v>
      </c>
      <c r="D15089" t="s">
        <v>4949</v>
      </c>
      <c r="E15089" t="s">
        <v>6350</v>
      </c>
      <c r="F15089" t="s">
        <v>12333</v>
      </c>
      <c r="G15089" t="s">
        <v>16561</v>
      </c>
      <c r="H15089" t="s">
        <v>22139</v>
      </c>
    </row>
    <row r="15090" spans="1:8">
      <c r="A15090" t="s">
        <v>567</v>
      </c>
      <c r="B15090">
        <f>HYPERLINK("https://android.googlesource.com/platform/cts/+/1cd3c6b2cd63b73a0a87a7cfb68fcadc577296fb", "1cd3c6b2cd63b73a0a87a7cfb68fcadc577296fb")</f>
        <v>0</v>
      </c>
      <c r="C15090">
        <f>HYPERLINK("https://android.googlesource.com/platform/cts/+/3da48980e4e30adb191235510def7b69b50b3b31", "3da48980e4e30adb191235510def7b69b50b3b31")</f>
        <v>0</v>
      </c>
      <c r="D15090" t="s">
        <v>4978</v>
      </c>
      <c r="E15090" t="s">
        <v>6351</v>
      </c>
      <c r="F15090" t="s">
        <v>12323</v>
      </c>
      <c r="G15090" t="s">
        <v>16553</v>
      </c>
      <c r="H15090" t="s">
        <v>22140</v>
      </c>
    </row>
    <row r="15091" spans="1:8">
      <c r="A15091" t="s">
        <v>567</v>
      </c>
      <c r="B15091">
        <f>HYPERLINK("https://android.googlesource.com/platform/cts/+/a6e6d53b82e90de1ff7a5f0849c52f65702816f3", "a6e6d53b82e90de1ff7a5f0849c52f65702816f3")</f>
        <v>0</v>
      </c>
      <c r="C15091">
        <f>HYPERLINK("https://android.googlesource.com/platform/cts/+/1cd3c6b2cd63b73a0a87a7cfb68fcadc577296fb", "1cd3c6b2cd63b73a0a87a7cfb68fcadc577296fb")</f>
        <v>0</v>
      </c>
      <c r="D15091" t="s">
        <v>4978</v>
      </c>
      <c r="E15091" t="s">
        <v>6352</v>
      </c>
      <c r="F15091" t="s">
        <v>12328</v>
      </c>
      <c r="G15091" t="s">
        <v>16458</v>
      </c>
      <c r="H15091" t="s">
        <v>22141</v>
      </c>
    </row>
    <row r="15092" spans="1:8">
      <c r="H15092" t="s">
        <v>22142</v>
      </c>
    </row>
    <row r="15093" spans="1:8">
      <c r="A15093" t="s">
        <v>568</v>
      </c>
      <c r="B15093">
        <f>HYPERLINK("https://android.googlesource.com/platform/cts/+/a47c85a90f67b953ff4fffb408d17ce47b6440a1", "a47c85a90f67b953ff4fffb408d17ce47b6440a1")</f>
        <v>0</v>
      </c>
      <c r="C15093">
        <f>HYPERLINK("https://android.googlesource.com/platform/cts/+/bb24757ddf2be5d5858e2e24382b7342119d9a85", "bb24757ddf2be5d5858e2e24382b7342119d9a85")</f>
        <v>0</v>
      </c>
      <c r="D15093" t="s">
        <v>4978</v>
      </c>
      <c r="E15093" t="s">
        <v>6353</v>
      </c>
      <c r="F15093" t="s">
        <v>12328</v>
      </c>
      <c r="G15093" t="s">
        <v>16458</v>
      </c>
      <c r="H15093" t="s">
        <v>22143</v>
      </c>
    </row>
    <row r="15094" spans="1:8">
      <c r="A15094" t="s">
        <v>569</v>
      </c>
      <c r="B15094">
        <f>HYPERLINK("https://android.googlesource.com/platform/cts/+/b3a6e408ed0196b0a825be2232742d88fcb8516b", "b3a6e408ed0196b0a825be2232742d88fcb8516b")</f>
        <v>0</v>
      </c>
      <c r="C15094">
        <f>HYPERLINK("https://android.googlesource.com/platform/cts/+/51c4608bd5dcb4662b5993d3609f895e4722ec55", "51c4608bd5dcb4662b5993d3609f895e4722ec55")</f>
        <v>0</v>
      </c>
      <c r="D15094" t="s">
        <v>5031</v>
      </c>
      <c r="E15094" t="s">
        <v>6354</v>
      </c>
      <c r="F15094" t="s">
        <v>11191</v>
      </c>
      <c r="G15094" t="s">
        <v>15580</v>
      </c>
      <c r="H15094" t="s">
        <v>22144</v>
      </c>
    </row>
    <row r="15095" spans="1:8">
      <c r="A15095" t="s">
        <v>571</v>
      </c>
      <c r="B15095">
        <f>HYPERLINK("https://android.googlesource.com/platform/cts/+/6e3dd2818f782221f2953d0aca445735c8dfdc6e", "6e3dd2818f782221f2953d0aca445735c8dfdc6e")</f>
        <v>0</v>
      </c>
      <c r="C15095">
        <f>HYPERLINK("https://android.googlesource.com/platform/cts/+/92b5677aa6248e59c327779a9585e724cb65e52a", "92b5677aa6248e59c327779a9585e724cb65e52a")</f>
        <v>0</v>
      </c>
      <c r="D15095" t="s">
        <v>5028</v>
      </c>
      <c r="E15095" t="s">
        <v>6356</v>
      </c>
      <c r="F15095" t="s">
        <v>12334</v>
      </c>
      <c r="G15095" t="s">
        <v>16562</v>
      </c>
      <c r="H15095" t="s">
        <v>22145</v>
      </c>
    </row>
    <row r="15096" spans="1:8">
      <c r="H15096" t="s">
        <v>22146</v>
      </c>
    </row>
    <row r="15097" spans="1:8">
      <c r="A15097" t="s">
        <v>572</v>
      </c>
      <c r="B15097">
        <f>HYPERLINK("https://android.googlesource.com/platform/cts/+/eb623d08ac67f6ebbc5aa2ece78eff874ea929f6", "eb623d08ac67f6ebbc5aa2ece78eff874ea929f6")</f>
        <v>0</v>
      </c>
      <c r="C15097">
        <f>HYPERLINK("https://android.googlesource.com/platform/cts/+/92b5677aa6248e59c327779a9585e724cb65e52a", "92b5677aa6248e59c327779a9585e724cb65e52a")</f>
        <v>0</v>
      </c>
      <c r="D15097" t="s">
        <v>4974</v>
      </c>
      <c r="E15097" t="s">
        <v>6357</v>
      </c>
      <c r="F15097" t="s">
        <v>12332</v>
      </c>
      <c r="G15097" t="s">
        <v>16560</v>
      </c>
      <c r="H15097" t="s">
        <v>22137</v>
      </c>
    </row>
    <row r="15098" spans="1:8">
      <c r="H15098" t="s">
        <v>22137</v>
      </c>
    </row>
    <row r="15099" spans="1:8">
      <c r="A15099" t="s">
        <v>573</v>
      </c>
      <c r="B15099">
        <f>HYPERLINK("https://android.googlesource.com/platform/cts/+/887b66fa88701f8b5aac65efc1d24aed3610a53a", "887b66fa88701f8b5aac65efc1d24aed3610a53a")</f>
        <v>0</v>
      </c>
      <c r="C15099">
        <f>HYPERLINK("https://android.googlesource.com/platform/cts/+/8d829f61cd17f1f0f8c022e2a71447b366189df9", "8d829f61cd17f1f0f8c022e2a71447b366189df9")</f>
        <v>0</v>
      </c>
      <c r="D15099" t="s">
        <v>5004</v>
      </c>
      <c r="E15099" t="s">
        <v>6358</v>
      </c>
      <c r="F15099" t="s">
        <v>12328</v>
      </c>
      <c r="G15099" t="s">
        <v>16458</v>
      </c>
      <c r="H15099" t="s">
        <v>22147</v>
      </c>
    </row>
    <row r="15100" spans="1:8">
      <c r="A15100" t="s">
        <v>574</v>
      </c>
      <c r="B15100">
        <f>HYPERLINK("https://android.googlesource.com/platform/cts/+/557301d95077750c30e308dc8c631eb314c711a0", "557301d95077750c30e308dc8c631eb314c711a0")</f>
        <v>0</v>
      </c>
      <c r="C15100">
        <f>HYPERLINK("https://android.googlesource.com/platform/cts/+/3b8578e49b159a0bb665afe7e2fa469159e38332", "3b8578e49b159a0bb665afe7e2fa469159e38332")</f>
        <v>0</v>
      </c>
      <c r="D15100" t="s">
        <v>4949</v>
      </c>
      <c r="E15100" t="s">
        <v>6359</v>
      </c>
      <c r="F15100" t="s">
        <v>12246</v>
      </c>
      <c r="G15100" t="s">
        <v>16477</v>
      </c>
      <c r="H15100" t="s">
        <v>21503</v>
      </c>
    </row>
    <row r="15101" spans="1:8">
      <c r="A15101" t="s">
        <v>575</v>
      </c>
      <c r="B15101">
        <f>HYPERLINK("https://android.googlesource.com/platform/cts/+/82ac6a26fb2bca781f40e02802ff8ed2a4460f1c", "82ac6a26fb2bca781f40e02802ff8ed2a4460f1c")</f>
        <v>0</v>
      </c>
      <c r="C15101">
        <f>HYPERLINK("https://android.googlesource.com/platform/cts/+/837ca9e66a79f5f5039d5fd45e02476a218ecb1e", "837ca9e66a79f5f5039d5fd45e02476a218ecb1e")</f>
        <v>0</v>
      </c>
      <c r="D15101" t="s">
        <v>5032</v>
      </c>
      <c r="E15101" t="s">
        <v>6360</v>
      </c>
      <c r="F15101" t="s">
        <v>10689</v>
      </c>
      <c r="G15101" t="s">
        <v>15089</v>
      </c>
      <c r="H15101" t="s">
        <v>22148</v>
      </c>
    </row>
    <row r="15102" spans="1:8">
      <c r="H15102" t="s">
        <v>22149</v>
      </c>
    </row>
    <row r="15103" spans="1:8">
      <c r="A15103" t="s">
        <v>576</v>
      </c>
      <c r="B15103">
        <f>HYPERLINK("https://android.googlesource.com/platform/cts/+/8fdacbecb39e320e56998d9d5513f831c852cfe1", "8fdacbecb39e320e56998d9d5513f831c852cfe1")</f>
        <v>0</v>
      </c>
      <c r="C15103">
        <f>HYPERLINK("https://android.googlesource.com/platform/cts/+/83c2b5de324e06b5206f8ebff39273ab0a20fc48", "83c2b5de324e06b5206f8ebff39273ab0a20fc48")</f>
        <v>0</v>
      </c>
      <c r="D15103" t="s">
        <v>5010</v>
      </c>
      <c r="E15103" t="s">
        <v>6361</v>
      </c>
      <c r="F15103" t="s">
        <v>12225</v>
      </c>
      <c r="G15103" t="s">
        <v>16455</v>
      </c>
      <c r="H15103" t="s">
        <v>22150</v>
      </c>
    </row>
    <row r="15104" spans="1:8">
      <c r="A15104" t="s">
        <v>577</v>
      </c>
      <c r="B15104">
        <f>HYPERLINK("https://android.googlesource.com/platform/cts/+/b3da24d0a95d74b18f7dea88d2aa11c493044bd4", "b3da24d0a95d74b18f7dea88d2aa11c493044bd4")</f>
        <v>0</v>
      </c>
      <c r="C15104">
        <f>HYPERLINK("https://android.googlesource.com/platform/cts/+/8386822c69457adddca52bc9b7146dde368fec9d", "8386822c69457adddca52bc9b7146dde368fec9d")</f>
        <v>0</v>
      </c>
      <c r="D15104" t="s">
        <v>4967</v>
      </c>
      <c r="E15104" t="s">
        <v>6362</v>
      </c>
      <c r="F15104" t="s">
        <v>12335</v>
      </c>
      <c r="G15104" t="s">
        <v>16563</v>
      </c>
      <c r="H15104" t="s">
        <v>22151</v>
      </c>
    </row>
    <row r="15105" spans="1:8">
      <c r="F15105" t="s">
        <v>12336</v>
      </c>
      <c r="G15105" t="s">
        <v>16564</v>
      </c>
      <c r="H15105" t="s">
        <v>22151</v>
      </c>
    </row>
    <row r="15106" spans="1:8">
      <c r="F15106" t="s">
        <v>10780</v>
      </c>
      <c r="G15106" t="s">
        <v>15176</v>
      </c>
      <c r="H15106" t="s">
        <v>22151</v>
      </c>
    </row>
    <row r="15107" spans="1:8">
      <c r="H15107" t="s">
        <v>22152</v>
      </c>
    </row>
    <row r="15108" spans="1:8">
      <c r="H15108" t="s">
        <v>22153</v>
      </c>
    </row>
    <row r="15109" spans="1:8">
      <c r="H15109" t="s">
        <v>22154</v>
      </c>
    </row>
    <row r="15110" spans="1:8">
      <c r="F15110" t="s">
        <v>12316</v>
      </c>
      <c r="G15110" t="s">
        <v>16548</v>
      </c>
      <c r="H15110" t="s">
        <v>22151</v>
      </c>
    </row>
    <row r="15111" spans="1:8">
      <c r="F15111" t="s">
        <v>10646</v>
      </c>
      <c r="G15111" t="s">
        <v>15047</v>
      </c>
      <c r="H15111" t="s">
        <v>22151</v>
      </c>
    </row>
    <row r="15112" spans="1:8">
      <c r="A15112" t="s">
        <v>578</v>
      </c>
      <c r="B15112">
        <f>HYPERLINK("https://android.googlesource.com/platform/cts/+/e32c8ecba4fb2c7ec0ab8112cd8977e2f876cf98", "e32c8ecba4fb2c7ec0ab8112cd8977e2f876cf98")</f>
        <v>0</v>
      </c>
      <c r="C15112">
        <f>HYPERLINK("https://android.googlesource.com/platform/cts/+/8688ecffd952e610f1ed4ad4228d66fffdd6cb4b", "8688ecffd952e610f1ed4ad4228d66fffdd6cb4b")</f>
        <v>0</v>
      </c>
      <c r="D15112" t="s">
        <v>5033</v>
      </c>
      <c r="E15112" t="s">
        <v>6363</v>
      </c>
      <c r="F15112" t="s">
        <v>12337</v>
      </c>
      <c r="G15112" t="s">
        <v>16565</v>
      </c>
      <c r="H15112" t="s">
        <v>22155</v>
      </c>
    </row>
    <row r="15113" spans="1:8">
      <c r="H15113" t="s">
        <v>22156</v>
      </c>
    </row>
    <row r="15114" spans="1:8">
      <c r="H15114" t="s">
        <v>22157</v>
      </c>
    </row>
    <row r="15115" spans="1:8">
      <c r="H15115" t="s">
        <v>22158</v>
      </c>
    </row>
    <row r="15116" spans="1:8">
      <c r="H15116" t="s">
        <v>22159</v>
      </c>
    </row>
    <row r="15117" spans="1:8">
      <c r="H15117" t="s">
        <v>22160</v>
      </c>
    </row>
    <row r="15118" spans="1:8">
      <c r="H15118" t="s">
        <v>22161</v>
      </c>
    </row>
    <row r="15119" spans="1:8">
      <c r="H15119" t="s">
        <v>22162</v>
      </c>
    </row>
    <row r="15120" spans="1:8">
      <c r="H15120" t="s">
        <v>22163</v>
      </c>
    </row>
    <row r="15121" spans="8:8">
      <c r="H15121" t="s">
        <v>22164</v>
      </c>
    </row>
    <row r="15122" spans="8:8">
      <c r="H15122" t="s">
        <v>22165</v>
      </c>
    </row>
    <row r="15123" spans="8:8">
      <c r="H15123" t="s">
        <v>22166</v>
      </c>
    </row>
    <row r="15124" spans="8:8">
      <c r="H15124" t="s">
        <v>22167</v>
      </c>
    </row>
    <row r="15125" spans="8:8">
      <c r="H15125" t="s">
        <v>22168</v>
      </c>
    </row>
    <row r="15126" spans="8:8">
      <c r="H15126" t="s">
        <v>22169</v>
      </c>
    </row>
    <row r="15127" spans="8:8">
      <c r="H15127" t="s">
        <v>22170</v>
      </c>
    </row>
    <row r="15128" spans="8:8">
      <c r="H15128" t="s">
        <v>22171</v>
      </c>
    </row>
    <row r="15129" spans="8:8">
      <c r="H15129" t="s">
        <v>22172</v>
      </c>
    </row>
    <row r="15130" spans="8:8">
      <c r="H15130" t="s">
        <v>22173</v>
      </c>
    </row>
    <row r="15131" spans="8:8">
      <c r="H15131" t="s">
        <v>22174</v>
      </c>
    </row>
    <row r="15132" spans="8:8">
      <c r="H15132" t="s">
        <v>22175</v>
      </c>
    </row>
    <row r="15133" spans="8:8">
      <c r="H15133" t="s">
        <v>22176</v>
      </c>
    </row>
    <row r="15134" spans="8:8">
      <c r="H15134" t="s">
        <v>22177</v>
      </c>
    </row>
    <row r="15135" spans="8:8">
      <c r="H15135" t="s">
        <v>22178</v>
      </c>
    </row>
    <row r="15136" spans="8:8">
      <c r="H15136" t="s">
        <v>22179</v>
      </c>
    </row>
    <row r="15137" spans="1:8">
      <c r="H15137" t="s">
        <v>20090</v>
      </c>
    </row>
    <row r="15138" spans="1:8">
      <c r="A15138" t="s">
        <v>579</v>
      </c>
      <c r="B15138">
        <f>HYPERLINK("https://android.googlesource.com/platform/cts/+/d8882878b5a28f9730a2a810812585645da5e983", "d8882878b5a28f9730a2a810812585645da5e983")</f>
        <v>0</v>
      </c>
      <c r="C15138">
        <f>HYPERLINK("https://android.googlesource.com/platform/cts/+/f9b62aaa3c171a5f6b0b3f6cbf9273c31a011fe4", "f9b62aaa3c171a5f6b0b3f6cbf9273c31a011fe4")</f>
        <v>0</v>
      </c>
      <c r="D15138" t="s">
        <v>4997</v>
      </c>
      <c r="E15138" t="s">
        <v>6364</v>
      </c>
      <c r="F15138" t="s">
        <v>12338</v>
      </c>
      <c r="G15138" t="s">
        <v>16566</v>
      </c>
      <c r="H15138" t="s">
        <v>22180</v>
      </c>
    </row>
    <row r="15139" spans="1:8">
      <c r="A15139" t="s">
        <v>580</v>
      </c>
      <c r="B15139">
        <f>HYPERLINK("https://android.googlesource.com/platform/cts/+/2a40eb9f66e54a22be7c0d045f04cc24db029e2a", "2a40eb9f66e54a22be7c0d045f04cc24db029e2a")</f>
        <v>0</v>
      </c>
      <c r="C15139">
        <f>HYPERLINK("https://android.googlesource.com/platform/cts/+/0eb98efc9081fec29cc91a5d137b9cec69072891", "0eb98efc9081fec29cc91a5d137b9cec69072891")</f>
        <v>0</v>
      </c>
      <c r="D15139" t="s">
        <v>5031</v>
      </c>
      <c r="E15139" t="s">
        <v>6365</v>
      </c>
      <c r="F15139" t="s">
        <v>12339</v>
      </c>
      <c r="G15139" t="s">
        <v>16567</v>
      </c>
      <c r="H15139" t="s">
        <v>22181</v>
      </c>
    </row>
    <row r="15140" spans="1:8">
      <c r="H15140" t="s">
        <v>22182</v>
      </c>
    </row>
    <row r="15141" spans="1:8">
      <c r="A15141" t="s">
        <v>581</v>
      </c>
      <c r="B15141">
        <f>HYPERLINK("https://android.googlesource.com/platform/cts/+/6b6a5feab14ec08b7faecfcdbeb9d47689496dda", "6b6a5feab14ec08b7faecfcdbeb9d47689496dda")</f>
        <v>0</v>
      </c>
      <c r="C15141">
        <f>HYPERLINK("https://android.googlesource.com/platform/cts/+/2b83b8dbb354eb0ced02f257898ecfc40619b1ca", "2b83b8dbb354eb0ced02f257898ecfc40619b1ca")</f>
        <v>0</v>
      </c>
      <c r="D15141" t="s">
        <v>5011</v>
      </c>
      <c r="E15141" t="s">
        <v>6366</v>
      </c>
      <c r="F15141" t="s">
        <v>12340</v>
      </c>
      <c r="G15141" t="s">
        <v>16568</v>
      </c>
      <c r="H15141" t="s">
        <v>22183</v>
      </c>
    </row>
    <row r="15142" spans="1:8">
      <c r="H15142" t="s">
        <v>22184</v>
      </c>
    </row>
    <row r="15143" spans="1:8">
      <c r="H15143" t="s">
        <v>22185</v>
      </c>
    </row>
    <row r="15144" spans="1:8">
      <c r="A15144" t="s">
        <v>582</v>
      </c>
      <c r="B15144">
        <f>HYPERLINK("https://android.googlesource.com/platform/cts/+/86905510ade6dfca1851c521103b529cf8aaff49", "86905510ade6dfca1851c521103b529cf8aaff49")</f>
        <v>0</v>
      </c>
      <c r="C15144">
        <f>HYPERLINK("https://android.googlesource.com/platform/cts/+/8d71331cf099f6ebfbe75bb8afdd232ed59a3002", "8d71331cf099f6ebfbe75bb8afdd232ed59a3002")</f>
        <v>0</v>
      </c>
      <c r="D15144" t="s">
        <v>5034</v>
      </c>
      <c r="E15144" t="s">
        <v>6367</v>
      </c>
      <c r="F15144" t="s">
        <v>12320</v>
      </c>
      <c r="G15144" t="s">
        <v>16550</v>
      </c>
      <c r="H15144" t="s">
        <v>22186</v>
      </c>
    </row>
    <row r="15145" spans="1:8">
      <c r="H15145" t="s">
        <v>22187</v>
      </c>
    </row>
    <row r="15146" spans="1:8">
      <c r="H15146" t="s">
        <v>22188</v>
      </c>
    </row>
    <row r="15147" spans="1:8">
      <c r="H15147" t="s">
        <v>22189</v>
      </c>
    </row>
    <row r="15148" spans="1:8">
      <c r="A15148" t="s">
        <v>583</v>
      </c>
      <c r="B15148">
        <f>HYPERLINK("https://android.googlesource.com/platform/cts/+/f2330d512c58e082c25c059fab340100bb6f8927", "f2330d512c58e082c25c059fab340100bb6f8927")</f>
        <v>0</v>
      </c>
      <c r="C15148">
        <f>HYPERLINK("https://android.googlesource.com/platform/cts/+/3de10fb26a45282983bda305e619cdcf85e73573", "3de10fb26a45282983bda305e619cdcf85e73573")</f>
        <v>0</v>
      </c>
      <c r="D15148" t="s">
        <v>5035</v>
      </c>
      <c r="E15148" t="s">
        <v>6368</v>
      </c>
      <c r="F15148" t="s">
        <v>12341</v>
      </c>
      <c r="G15148" t="s">
        <v>16569</v>
      </c>
      <c r="H15148" t="s">
        <v>22190</v>
      </c>
    </row>
    <row r="15149" spans="1:8">
      <c r="A15149" t="s">
        <v>584</v>
      </c>
      <c r="B15149">
        <f>HYPERLINK("https://android.googlesource.com/platform/cts/+/9530de4762034f40d9e6b23e506da38590c3559d", "9530de4762034f40d9e6b23e506da38590c3559d")</f>
        <v>0</v>
      </c>
      <c r="C15149">
        <f>HYPERLINK("https://android.googlesource.com/platform/cts/+/3a42b2c7400880a5e403b31ce05584c95fa95482", "3a42b2c7400880a5e403b31ce05584c95fa95482")</f>
        <v>0</v>
      </c>
      <c r="D15149" t="s">
        <v>5029</v>
      </c>
      <c r="E15149" t="s">
        <v>6369</v>
      </c>
      <c r="F15149" t="s">
        <v>10794</v>
      </c>
      <c r="G15149" t="s">
        <v>15189</v>
      </c>
      <c r="H15149" t="s">
        <v>22191</v>
      </c>
    </row>
    <row r="15150" spans="1:8">
      <c r="A15150" t="s">
        <v>585</v>
      </c>
      <c r="B15150">
        <f>HYPERLINK("https://android.googlesource.com/platform/cts/+/47678d04325a8777c175b446a1e0c1a284bfe0fc", "47678d04325a8777c175b446a1e0c1a284bfe0fc")</f>
        <v>0</v>
      </c>
      <c r="C15150">
        <f>HYPERLINK("https://android.googlesource.com/platform/cts/+/3a42b2c7400880a5e403b31ce05584c95fa95482", "3a42b2c7400880a5e403b31ce05584c95fa95482")</f>
        <v>0</v>
      </c>
      <c r="D15150" t="s">
        <v>4991</v>
      </c>
      <c r="E15150" t="s">
        <v>6370</v>
      </c>
      <c r="F15150" t="s">
        <v>10687</v>
      </c>
      <c r="G15150" t="s">
        <v>15087</v>
      </c>
      <c r="H15150" t="s">
        <v>22192</v>
      </c>
    </row>
    <row r="15151" spans="1:8">
      <c r="H15151" t="s">
        <v>22193</v>
      </c>
    </row>
    <row r="15152" spans="1:8">
      <c r="H15152" t="s">
        <v>22194</v>
      </c>
    </row>
    <row r="15153" spans="8:8">
      <c r="H15153" t="s">
        <v>22195</v>
      </c>
    </row>
    <row r="15154" spans="8:8">
      <c r="H15154" t="s">
        <v>22196</v>
      </c>
    </row>
    <row r="15155" spans="8:8">
      <c r="H15155" t="s">
        <v>22197</v>
      </c>
    </row>
    <row r="15156" spans="8:8">
      <c r="H15156" t="s">
        <v>22198</v>
      </c>
    </row>
    <row r="15157" spans="8:8">
      <c r="H15157" t="s">
        <v>22199</v>
      </c>
    </row>
    <row r="15158" spans="8:8">
      <c r="H15158" t="s">
        <v>22200</v>
      </c>
    </row>
    <row r="15159" spans="8:8">
      <c r="H15159" t="s">
        <v>22201</v>
      </c>
    </row>
    <row r="15160" spans="8:8">
      <c r="H15160" t="s">
        <v>22202</v>
      </c>
    </row>
    <row r="15161" spans="8:8">
      <c r="H15161" t="s">
        <v>22203</v>
      </c>
    </row>
    <row r="15162" spans="8:8">
      <c r="H15162" t="s">
        <v>22204</v>
      </c>
    </row>
    <row r="15163" spans="8:8">
      <c r="H15163" t="s">
        <v>22205</v>
      </c>
    </row>
    <row r="15164" spans="8:8">
      <c r="H15164" t="s">
        <v>22206</v>
      </c>
    </row>
    <row r="15165" spans="8:8">
      <c r="H15165" t="s">
        <v>22207</v>
      </c>
    </row>
    <row r="15166" spans="8:8">
      <c r="H15166" t="s">
        <v>22208</v>
      </c>
    </row>
    <row r="15167" spans="8:8">
      <c r="H15167" t="s">
        <v>22209</v>
      </c>
    </row>
    <row r="15168" spans="8:8">
      <c r="H15168" t="s">
        <v>22210</v>
      </c>
    </row>
    <row r="15169" spans="1:8">
      <c r="H15169" t="s">
        <v>19488</v>
      </c>
    </row>
    <row r="15170" spans="1:8">
      <c r="H15170" t="s">
        <v>22211</v>
      </c>
    </row>
    <row r="15171" spans="1:8">
      <c r="H15171" t="s">
        <v>22212</v>
      </c>
    </row>
    <row r="15172" spans="1:8">
      <c r="H15172" t="s">
        <v>22213</v>
      </c>
    </row>
    <row r="15173" spans="1:8">
      <c r="H15173" t="s">
        <v>22214</v>
      </c>
    </row>
    <row r="15174" spans="1:8">
      <c r="H15174" t="s">
        <v>22215</v>
      </c>
    </row>
    <row r="15175" spans="1:8">
      <c r="H15175" t="s">
        <v>22216</v>
      </c>
    </row>
    <row r="15176" spans="1:8">
      <c r="H15176" t="s">
        <v>22217</v>
      </c>
    </row>
    <row r="15177" spans="1:8">
      <c r="H15177" t="s">
        <v>22218</v>
      </c>
    </row>
    <row r="15178" spans="1:8">
      <c r="H15178" t="s">
        <v>22219</v>
      </c>
    </row>
    <row r="15179" spans="1:8">
      <c r="H15179" t="s">
        <v>22220</v>
      </c>
    </row>
    <row r="15180" spans="1:8">
      <c r="A15180" t="s">
        <v>586</v>
      </c>
      <c r="B15180">
        <f>HYPERLINK("https://android.googlesource.com/platform/cts/+/62e961bdb11353f4ddec77525bb7a0cea7df3bb4", "62e961bdb11353f4ddec77525bb7a0cea7df3bb4")</f>
        <v>0</v>
      </c>
      <c r="C15180">
        <f>HYPERLINK("https://android.googlesource.com/platform/cts/+/16d4ceba244a857e1be11c849bb345fd06297c92", "16d4ceba244a857e1be11c849bb345fd06297c92")</f>
        <v>0</v>
      </c>
      <c r="D15180" t="s">
        <v>5031</v>
      </c>
      <c r="E15180" t="s">
        <v>6371</v>
      </c>
      <c r="F15180" t="s">
        <v>11191</v>
      </c>
      <c r="G15180" t="s">
        <v>15580</v>
      </c>
      <c r="H15180" t="s">
        <v>22221</v>
      </c>
    </row>
    <row r="15181" spans="1:8">
      <c r="A15181" t="s">
        <v>587</v>
      </c>
      <c r="B15181">
        <f>HYPERLINK("https://android.googlesource.com/platform/cts/+/a45e9bbb2e9a6948e879c49cf0a521a022ec8f31", "a45e9bbb2e9a6948e879c49cf0a521a022ec8f31")</f>
        <v>0</v>
      </c>
      <c r="C15181">
        <f>HYPERLINK("https://android.googlesource.com/platform/cts/+/9e1c67acefa2f0e180218be2753ea2a353acc82a", "9e1c67acefa2f0e180218be2753ea2a353acc82a")</f>
        <v>0</v>
      </c>
      <c r="D15181" t="s">
        <v>4952</v>
      </c>
      <c r="E15181" t="s">
        <v>6372</v>
      </c>
      <c r="F15181" t="s">
        <v>12342</v>
      </c>
      <c r="G15181" t="s">
        <v>16570</v>
      </c>
      <c r="H15181" t="s">
        <v>22222</v>
      </c>
    </row>
    <row r="15182" spans="1:8">
      <c r="A15182" t="s">
        <v>588</v>
      </c>
      <c r="B15182">
        <f>HYPERLINK("https://android.googlesource.com/platform/cts/+/770349344fe104f5e50a44d9a71132c4fbdb122c", "770349344fe104f5e50a44d9a71132c4fbdb122c")</f>
        <v>0</v>
      </c>
      <c r="C15182">
        <f>HYPERLINK("https://android.googlesource.com/platform/cts/+/6ebfad551600ec100a47a6a196a06448c1844047", "6ebfad551600ec100a47a6a196a06448c1844047")</f>
        <v>0</v>
      </c>
      <c r="D15182" t="s">
        <v>5036</v>
      </c>
      <c r="E15182" t="s">
        <v>6373</v>
      </c>
      <c r="F15182" t="s">
        <v>12334</v>
      </c>
      <c r="G15182" t="s">
        <v>16562</v>
      </c>
      <c r="H15182" t="s">
        <v>22223</v>
      </c>
    </row>
    <row r="15183" spans="1:8">
      <c r="A15183" t="s">
        <v>589</v>
      </c>
      <c r="B15183">
        <f>HYPERLINK("https://android.googlesource.com/platform/cts/+/2b87267a0020d3cfd76df6cbf0d7a7d7e336802f", "2b87267a0020d3cfd76df6cbf0d7a7d7e336802f")</f>
        <v>0</v>
      </c>
      <c r="C15183">
        <f>HYPERLINK("https://android.googlesource.com/platform/cts/+/0543641a09e0ae35b30b453c4547ca22516f540d", "0543641a09e0ae35b30b453c4547ca22516f540d")</f>
        <v>0</v>
      </c>
      <c r="D15183" t="s">
        <v>5037</v>
      </c>
      <c r="E15183" t="s">
        <v>6374</v>
      </c>
      <c r="F15183" t="s">
        <v>12343</v>
      </c>
      <c r="G15183" t="s">
        <v>16571</v>
      </c>
      <c r="H15183" t="s">
        <v>22224</v>
      </c>
    </row>
    <row r="15184" spans="1:8">
      <c r="A15184" t="s">
        <v>590</v>
      </c>
      <c r="B15184">
        <f>HYPERLINK("https://android.googlesource.com/platform/cts/+/44bb161bd45d3d1a6c398e72078e4e73494e226a", "44bb161bd45d3d1a6c398e72078e4e73494e226a")</f>
        <v>0</v>
      </c>
      <c r="C15184">
        <f>HYPERLINK("https://android.googlesource.com/platform/cts/+/0543641a09e0ae35b30b453c4547ca22516f540d", "0543641a09e0ae35b30b453c4547ca22516f540d")</f>
        <v>0</v>
      </c>
      <c r="D15184" t="s">
        <v>5038</v>
      </c>
      <c r="E15184" t="s">
        <v>6375</v>
      </c>
      <c r="F15184" t="s">
        <v>11482</v>
      </c>
      <c r="G15184" t="s">
        <v>15723</v>
      </c>
      <c r="H15184" t="s">
        <v>22225</v>
      </c>
    </row>
    <row r="15185" spans="1:8">
      <c r="A15185" t="s">
        <v>591</v>
      </c>
      <c r="B15185">
        <f>HYPERLINK("https://android.googlesource.com/platform/cts/+/b6b04ed2c489cef628014e6c5971663dc3f79991", "b6b04ed2c489cef628014e6c5971663dc3f79991")</f>
        <v>0</v>
      </c>
      <c r="C15185">
        <f>HYPERLINK("https://android.googlesource.com/platform/cts/+/738a2c64aaca36394b578acb6cf8a5972205e721", "738a2c64aaca36394b578acb6cf8a5972205e721")</f>
        <v>0</v>
      </c>
      <c r="D15185" t="s">
        <v>5039</v>
      </c>
      <c r="E15185" t="s">
        <v>6376</v>
      </c>
      <c r="F15185" t="s">
        <v>12314</v>
      </c>
      <c r="G15185" t="s">
        <v>16546</v>
      </c>
      <c r="H15185" t="s">
        <v>22138</v>
      </c>
    </row>
    <row r="15186" spans="1:8">
      <c r="A15186" t="s">
        <v>594</v>
      </c>
      <c r="B15186">
        <f>HYPERLINK("https://android.googlesource.com/platform/cts/+/c132d4188f17b2e408907e059ab58f5ae6c3f292", "c132d4188f17b2e408907e059ab58f5ae6c3f292")</f>
        <v>0</v>
      </c>
      <c r="C15186">
        <f>HYPERLINK("https://android.googlesource.com/platform/cts/+/cc9e0d5f8f03d01d34211699d1edc2a03f93ee62", "cc9e0d5f8f03d01d34211699d1edc2a03f93ee62")</f>
        <v>0</v>
      </c>
      <c r="D15186" t="s">
        <v>5040</v>
      </c>
      <c r="E15186" t="s">
        <v>6379</v>
      </c>
      <c r="F15186" t="s">
        <v>12344</v>
      </c>
      <c r="G15186" t="s">
        <v>16572</v>
      </c>
      <c r="H15186" t="s">
        <v>22226</v>
      </c>
    </row>
    <row r="15187" spans="1:8">
      <c r="H15187" t="s">
        <v>22227</v>
      </c>
    </row>
    <row r="15188" spans="1:8">
      <c r="H15188" t="s">
        <v>22228</v>
      </c>
    </row>
    <row r="15189" spans="1:8">
      <c r="H15189" t="s">
        <v>22229</v>
      </c>
    </row>
    <row r="15190" spans="1:8">
      <c r="H15190" t="s">
        <v>22230</v>
      </c>
    </row>
    <row r="15191" spans="1:8">
      <c r="H15191" t="s">
        <v>22231</v>
      </c>
    </row>
    <row r="15192" spans="1:8">
      <c r="H15192" t="s">
        <v>22232</v>
      </c>
    </row>
    <row r="15193" spans="1:8">
      <c r="H15193" t="s">
        <v>22233</v>
      </c>
    </row>
    <row r="15194" spans="1:8">
      <c r="H15194" t="s">
        <v>22234</v>
      </c>
    </row>
    <row r="15195" spans="1:8">
      <c r="H15195" t="s">
        <v>22235</v>
      </c>
    </row>
    <row r="15196" spans="1:8">
      <c r="A15196" t="s">
        <v>595</v>
      </c>
      <c r="B15196">
        <f>HYPERLINK("https://android.googlesource.com/platform/cts/+/59330039ff3360509d66b17c21e732090f46d676", "59330039ff3360509d66b17c21e732090f46d676")</f>
        <v>0</v>
      </c>
      <c r="C15196">
        <f>HYPERLINK("https://android.googlesource.com/platform/cts/+/512201b9569e4b4b21be993523cac465ac4cf435", "512201b9569e4b4b21be993523cac465ac4cf435")</f>
        <v>0</v>
      </c>
      <c r="D15196" t="s">
        <v>5035</v>
      </c>
      <c r="E15196" t="s">
        <v>6380</v>
      </c>
      <c r="F15196" t="s">
        <v>12341</v>
      </c>
      <c r="G15196" t="s">
        <v>16569</v>
      </c>
      <c r="H15196" t="s">
        <v>22236</v>
      </c>
    </row>
    <row r="15197" spans="1:8">
      <c r="H15197" t="s">
        <v>22237</v>
      </c>
    </row>
    <row r="15198" spans="1:8">
      <c r="A15198" t="s">
        <v>596</v>
      </c>
      <c r="B15198">
        <f>HYPERLINK("https://android.googlesource.com/platform/cts/+/420fd9be8a2bad706e5286eacfc14710c42d1e8b", "420fd9be8a2bad706e5286eacfc14710c42d1e8b")</f>
        <v>0</v>
      </c>
      <c r="C15198">
        <f>HYPERLINK("https://android.googlesource.com/platform/cts/+/769f280530f261e8c000cb2bc9d21c5ee0e63bef", "769f280530f261e8c000cb2bc9d21c5ee0e63bef")</f>
        <v>0</v>
      </c>
      <c r="D15198" t="s">
        <v>5041</v>
      </c>
      <c r="E15198" t="s">
        <v>6381</v>
      </c>
      <c r="F15198" t="s">
        <v>11470</v>
      </c>
      <c r="G15198" t="s">
        <v>15710</v>
      </c>
      <c r="H15198" t="s">
        <v>22238</v>
      </c>
    </row>
    <row r="15199" spans="1:8">
      <c r="H15199" t="s">
        <v>22239</v>
      </c>
    </row>
    <row r="15200" spans="1:8">
      <c r="H15200" t="s">
        <v>22240</v>
      </c>
    </row>
    <row r="15201" spans="1:8">
      <c r="A15201" t="s">
        <v>597</v>
      </c>
      <c r="B15201">
        <f>HYPERLINK("https://android.googlesource.com/platform/cts/+/d00d9f1cc4efbfe5437f8ae6f10b9fff417d4cf0", "d00d9f1cc4efbfe5437f8ae6f10b9fff417d4cf0")</f>
        <v>0</v>
      </c>
      <c r="C15201">
        <f>HYPERLINK("https://android.googlesource.com/platform/cts/+/7674e9510329a83d8ca479c97b1a423e90d15b63", "7674e9510329a83d8ca479c97b1a423e90d15b63")</f>
        <v>0</v>
      </c>
      <c r="D15201" t="s">
        <v>5040</v>
      </c>
      <c r="E15201" t="s">
        <v>6382</v>
      </c>
      <c r="F15201" t="s">
        <v>12344</v>
      </c>
      <c r="G15201" t="s">
        <v>16572</v>
      </c>
      <c r="H15201" t="s">
        <v>22226</v>
      </c>
    </row>
    <row r="15202" spans="1:8">
      <c r="H15202" t="s">
        <v>22227</v>
      </c>
    </row>
    <row r="15203" spans="1:8">
      <c r="H15203" t="s">
        <v>22228</v>
      </c>
    </row>
    <row r="15204" spans="1:8">
      <c r="H15204" t="s">
        <v>22229</v>
      </c>
    </row>
    <row r="15205" spans="1:8">
      <c r="H15205" t="s">
        <v>22230</v>
      </c>
    </row>
    <row r="15206" spans="1:8">
      <c r="H15206" t="s">
        <v>22231</v>
      </c>
    </row>
    <row r="15207" spans="1:8">
      <c r="H15207" t="s">
        <v>22232</v>
      </c>
    </row>
    <row r="15208" spans="1:8">
      <c r="H15208" t="s">
        <v>22233</v>
      </c>
    </row>
    <row r="15209" spans="1:8">
      <c r="H15209" t="s">
        <v>22234</v>
      </c>
    </row>
    <row r="15210" spans="1:8">
      <c r="H15210" t="s">
        <v>22235</v>
      </c>
    </row>
    <row r="15211" spans="1:8">
      <c r="A15211" t="s">
        <v>598</v>
      </c>
      <c r="B15211">
        <f>HYPERLINK("https://android.googlesource.com/platform/cts/+/4d2d2509b4997e3d27de9ddfe1ad50774b4487c3", "4d2d2509b4997e3d27de9ddfe1ad50774b4487c3")</f>
        <v>0</v>
      </c>
      <c r="C15211">
        <f>HYPERLINK("https://android.googlesource.com/platform/cts/+/d4b40bae92e42c89744d6e1453927c3a5b0e89fd", "d4b40bae92e42c89744d6e1453927c3a5b0e89fd")</f>
        <v>0</v>
      </c>
      <c r="D15211" t="s">
        <v>4952</v>
      </c>
      <c r="E15211" t="s">
        <v>6383</v>
      </c>
      <c r="F15211" t="s">
        <v>12345</v>
      </c>
      <c r="G15211" t="s">
        <v>16573</v>
      </c>
      <c r="H15211" t="s">
        <v>18829</v>
      </c>
    </row>
    <row r="15212" spans="1:8">
      <c r="H15212" t="s">
        <v>22241</v>
      </c>
    </row>
    <row r="15213" spans="1:8">
      <c r="H15213" t="s">
        <v>22242</v>
      </c>
    </row>
    <row r="15214" spans="1:8">
      <c r="H15214" t="s">
        <v>22243</v>
      </c>
    </row>
    <row r="15215" spans="1:8">
      <c r="H15215" t="s">
        <v>22244</v>
      </c>
    </row>
    <row r="15216" spans="1:8">
      <c r="H15216" t="s">
        <v>22245</v>
      </c>
    </row>
    <row r="15217" spans="8:8">
      <c r="H15217" t="s">
        <v>22246</v>
      </c>
    </row>
    <row r="15218" spans="8:8">
      <c r="H15218" t="s">
        <v>22247</v>
      </c>
    </row>
    <row r="15219" spans="8:8">
      <c r="H15219" t="s">
        <v>22248</v>
      </c>
    </row>
    <row r="15220" spans="8:8">
      <c r="H15220" t="s">
        <v>22249</v>
      </c>
    </row>
    <row r="15221" spans="8:8">
      <c r="H15221" t="s">
        <v>22250</v>
      </c>
    </row>
    <row r="15222" spans="8:8">
      <c r="H15222" t="s">
        <v>22251</v>
      </c>
    </row>
    <row r="15223" spans="8:8">
      <c r="H15223" t="s">
        <v>22252</v>
      </c>
    </row>
    <row r="15224" spans="8:8">
      <c r="H15224" t="s">
        <v>22253</v>
      </c>
    </row>
    <row r="15225" spans="8:8">
      <c r="H15225" t="s">
        <v>22254</v>
      </c>
    </row>
    <row r="15226" spans="8:8">
      <c r="H15226" t="s">
        <v>22255</v>
      </c>
    </row>
    <row r="15227" spans="8:8">
      <c r="H15227" t="s">
        <v>22256</v>
      </c>
    </row>
    <row r="15228" spans="8:8">
      <c r="H15228" t="s">
        <v>22257</v>
      </c>
    </row>
    <row r="15229" spans="8:8">
      <c r="H15229" t="s">
        <v>22258</v>
      </c>
    </row>
    <row r="15230" spans="8:8">
      <c r="H15230" t="s">
        <v>22259</v>
      </c>
    </row>
    <row r="15231" spans="8:8">
      <c r="H15231" t="s">
        <v>22260</v>
      </c>
    </row>
    <row r="15232" spans="8:8">
      <c r="H15232" t="s">
        <v>22261</v>
      </c>
    </row>
    <row r="15233" spans="8:8">
      <c r="H15233" t="s">
        <v>22262</v>
      </c>
    </row>
    <row r="15234" spans="8:8">
      <c r="H15234" t="s">
        <v>22263</v>
      </c>
    </row>
    <row r="15235" spans="8:8">
      <c r="H15235" t="s">
        <v>22264</v>
      </c>
    </row>
    <row r="15236" spans="8:8">
      <c r="H15236" t="s">
        <v>22265</v>
      </c>
    </row>
    <row r="15237" spans="8:8">
      <c r="H15237" t="s">
        <v>22266</v>
      </c>
    </row>
    <row r="15238" spans="8:8">
      <c r="H15238" t="s">
        <v>22267</v>
      </c>
    </row>
    <row r="15239" spans="8:8">
      <c r="H15239" t="s">
        <v>22268</v>
      </c>
    </row>
    <row r="15240" spans="8:8">
      <c r="H15240" t="s">
        <v>22269</v>
      </c>
    </row>
    <row r="15241" spans="8:8">
      <c r="H15241" t="s">
        <v>22270</v>
      </c>
    </row>
    <row r="15242" spans="8:8">
      <c r="H15242" t="s">
        <v>22271</v>
      </c>
    </row>
    <row r="15243" spans="8:8">
      <c r="H15243" t="s">
        <v>22005</v>
      </c>
    </row>
    <row r="15244" spans="8:8">
      <c r="H15244" t="s">
        <v>22272</v>
      </c>
    </row>
    <row r="15245" spans="8:8">
      <c r="H15245" t="s">
        <v>22273</v>
      </c>
    </row>
    <row r="15246" spans="8:8">
      <c r="H15246" t="s">
        <v>22005</v>
      </c>
    </row>
    <row r="15247" spans="8:8">
      <c r="H15247" t="s">
        <v>22272</v>
      </c>
    </row>
    <row r="15248" spans="8:8">
      <c r="H15248" t="s">
        <v>22274</v>
      </c>
    </row>
    <row r="15249" spans="1:8">
      <c r="H15249" t="s">
        <v>22005</v>
      </c>
    </row>
    <row r="15250" spans="1:8">
      <c r="H15250" t="s">
        <v>22272</v>
      </c>
    </row>
    <row r="15251" spans="1:8">
      <c r="H15251" t="s">
        <v>22275</v>
      </c>
    </row>
    <row r="15252" spans="1:8">
      <c r="H15252" t="s">
        <v>22276</v>
      </c>
    </row>
    <row r="15253" spans="1:8">
      <c r="H15253" t="s">
        <v>22277</v>
      </c>
    </row>
    <row r="15254" spans="1:8">
      <c r="A15254" t="s">
        <v>599</v>
      </c>
      <c r="B15254">
        <f>HYPERLINK("https://android.googlesource.com/platform/cts/+/f394f7a5e939fd9b503c52bb28e3989d1554e117", "f394f7a5e939fd9b503c52bb28e3989d1554e117")</f>
        <v>0</v>
      </c>
      <c r="C15254">
        <f>HYPERLINK("https://android.googlesource.com/platform/cts/+/247ecfc0ddb8cf1487a8a36f93ceb84d7abbbfe6", "247ecfc0ddb8cf1487a8a36f93ceb84d7abbbfe6")</f>
        <v>0</v>
      </c>
      <c r="D15254" t="s">
        <v>5036</v>
      </c>
      <c r="E15254" t="s">
        <v>6384</v>
      </c>
      <c r="F15254" t="s">
        <v>12328</v>
      </c>
      <c r="G15254" t="s">
        <v>16458</v>
      </c>
      <c r="H15254" t="s">
        <v>22278</v>
      </c>
    </row>
    <row r="15255" spans="1:8">
      <c r="A15255" t="s">
        <v>600</v>
      </c>
      <c r="B15255">
        <f>HYPERLINK("https://android.googlesource.com/platform/cts/+/c8fe8ce718b5178c9a095ce031e81af735549990", "c8fe8ce718b5178c9a095ce031e81af735549990")</f>
        <v>0</v>
      </c>
      <c r="C15255">
        <f>HYPERLINK("https://android.googlesource.com/platform/cts/+/279092be5dc7e867acbee1ef8e24bc2284254ac0", "279092be5dc7e867acbee1ef8e24bc2284254ac0")</f>
        <v>0</v>
      </c>
      <c r="D15255" t="s">
        <v>4978</v>
      </c>
      <c r="E15255" t="s">
        <v>6385</v>
      </c>
      <c r="F15255" t="s">
        <v>12328</v>
      </c>
      <c r="G15255" t="s">
        <v>16458</v>
      </c>
      <c r="H15255" t="s">
        <v>22279</v>
      </c>
    </row>
    <row r="15256" spans="1:8">
      <c r="A15256" t="s">
        <v>601</v>
      </c>
      <c r="B15256">
        <f>HYPERLINK("https://android.googlesource.com/platform/cts/+/e8dafce124bed27ad116a7bfa713c376b793911a", "e8dafce124bed27ad116a7bfa713c376b793911a")</f>
        <v>0</v>
      </c>
      <c r="C15256">
        <f>HYPERLINK("https://android.googlesource.com/platform/cts/+/f1c6645984d9337622d98be5d2858d2483199a45", "f1c6645984d9337622d98be5d2858d2483199a45")</f>
        <v>0</v>
      </c>
      <c r="D15256" t="s">
        <v>5011</v>
      </c>
      <c r="E15256" t="s">
        <v>6386</v>
      </c>
      <c r="F15256" t="s">
        <v>12346</v>
      </c>
      <c r="G15256" t="s">
        <v>16574</v>
      </c>
      <c r="H15256" t="s">
        <v>18829</v>
      </c>
    </row>
    <row r="15257" spans="1:8">
      <c r="H15257" t="s">
        <v>18863</v>
      </c>
    </row>
    <row r="15258" spans="1:8">
      <c r="H15258" t="s">
        <v>22280</v>
      </c>
    </row>
    <row r="15259" spans="1:8">
      <c r="H15259" t="s">
        <v>22281</v>
      </c>
    </row>
    <row r="15260" spans="1:8">
      <c r="H15260" t="s">
        <v>22282</v>
      </c>
    </row>
    <row r="15261" spans="1:8">
      <c r="H15261" t="s">
        <v>22283</v>
      </c>
    </row>
    <row r="15262" spans="1:8">
      <c r="H15262" t="s">
        <v>22284</v>
      </c>
    </row>
    <row r="15263" spans="1:8">
      <c r="H15263" t="s">
        <v>22285</v>
      </c>
    </row>
    <row r="15264" spans="1:8">
      <c r="H15264" t="s">
        <v>22286</v>
      </c>
    </row>
    <row r="15265" spans="1:8">
      <c r="H15265" t="s">
        <v>22287</v>
      </c>
    </row>
    <row r="15266" spans="1:8">
      <c r="H15266" t="s">
        <v>22288</v>
      </c>
    </row>
    <row r="15267" spans="1:8">
      <c r="H15267" t="s">
        <v>22289</v>
      </c>
    </row>
    <row r="15268" spans="1:8">
      <c r="H15268" t="s">
        <v>22290</v>
      </c>
    </row>
    <row r="15269" spans="1:8">
      <c r="A15269" t="s">
        <v>602</v>
      </c>
      <c r="B15269">
        <f>HYPERLINK("https://android.googlesource.com/platform/cts/+/b80c661fd4eda66b0468b6acee747c3e6edf3db5", "b80c661fd4eda66b0468b6acee747c3e6edf3db5")</f>
        <v>0</v>
      </c>
      <c r="C15269">
        <f>HYPERLINK("https://android.googlesource.com/platform/cts/+/c2b441b9c6c793fc3db16f8179f6e84859ec4f57", "c2b441b9c6c793fc3db16f8179f6e84859ec4f57")</f>
        <v>0</v>
      </c>
      <c r="D15269" t="s">
        <v>4978</v>
      </c>
      <c r="E15269" t="s">
        <v>6387</v>
      </c>
      <c r="F15269" t="s">
        <v>12225</v>
      </c>
      <c r="G15269" t="s">
        <v>16455</v>
      </c>
      <c r="H15269" t="s">
        <v>22291</v>
      </c>
    </row>
    <row r="15270" spans="1:8">
      <c r="F15270" t="s">
        <v>12229</v>
      </c>
      <c r="G15270" t="s">
        <v>16459</v>
      </c>
      <c r="H15270" t="s">
        <v>22292</v>
      </c>
    </row>
    <row r="15271" spans="1:8">
      <c r="A15271" t="s">
        <v>603</v>
      </c>
      <c r="B15271">
        <f>HYPERLINK("https://android.googlesource.com/platform/cts/+/9195d41f05660cf67ca158332bdfa7a712c4afd4", "9195d41f05660cf67ca158332bdfa7a712c4afd4")</f>
        <v>0</v>
      </c>
      <c r="C15271">
        <f>HYPERLINK("https://android.googlesource.com/platform/cts/+/c9844285b022ebe514d3e7f2f0754284d5f8de22", "c9844285b022ebe514d3e7f2f0754284d5f8de22")</f>
        <v>0</v>
      </c>
      <c r="D15271" t="s">
        <v>5029</v>
      </c>
      <c r="E15271" t="s">
        <v>6388</v>
      </c>
      <c r="F15271" t="s">
        <v>10780</v>
      </c>
      <c r="G15271" t="s">
        <v>15176</v>
      </c>
      <c r="H15271" t="s">
        <v>22153</v>
      </c>
    </row>
    <row r="15272" spans="1:8">
      <c r="F15272" t="s">
        <v>10699</v>
      </c>
      <c r="G15272" t="s">
        <v>15099</v>
      </c>
      <c r="H15272" t="s">
        <v>22153</v>
      </c>
    </row>
    <row r="15273" spans="1:8">
      <c r="F15273" t="s">
        <v>10610</v>
      </c>
      <c r="G15273" t="s">
        <v>15013</v>
      </c>
      <c r="H15273" t="s">
        <v>22153</v>
      </c>
    </row>
    <row r="15274" spans="1:8">
      <c r="F15274" t="s">
        <v>12347</v>
      </c>
      <c r="G15274" t="s">
        <v>16575</v>
      </c>
      <c r="H15274" t="s">
        <v>22153</v>
      </c>
    </row>
    <row r="15275" spans="1:8">
      <c r="F15275" t="s">
        <v>12348</v>
      </c>
      <c r="G15275" t="s">
        <v>16576</v>
      </c>
      <c r="H15275" t="s">
        <v>22153</v>
      </c>
    </row>
    <row r="15276" spans="1:8">
      <c r="F15276" t="s">
        <v>11442</v>
      </c>
      <c r="G15276" t="s">
        <v>15682</v>
      </c>
      <c r="H15276" t="s">
        <v>22153</v>
      </c>
    </row>
    <row r="15277" spans="1:8">
      <c r="F15277" t="s">
        <v>10737</v>
      </c>
      <c r="G15277" t="s">
        <v>15136</v>
      </c>
      <c r="H15277" t="s">
        <v>22153</v>
      </c>
    </row>
    <row r="15278" spans="1:8">
      <c r="A15278" t="s">
        <v>604</v>
      </c>
      <c r="B15278">
        <f>HYPERLINK("https://android.googlesource.com/platform/cts/+/42fe88944b4ac0b78132744e389bdd44b4fa2ceb", "42fe88944b4ac0b78132744e389bdd44b4fa2ceb")</f>
        <v>0</v>
      </c>
      <c r="C15278">
        <f>HYPERLINK("https://android.googlesource.com/platform/cts/+/c2b441b9c6c793fc3db16f8179f6e84859ec4f57", "c2b441b9c6c793fc3db16f8179f6e84859ec4f57")</f>
        <v>0</v>
      </c>
      <c r="D15278" t="s">
        <v>5042</v>
      </c>
      <c r="E15278" t="s">
        <v>6389</v>
      </c>
      <c r="F15278" t="s">
        <v>12324</v>
      </c>
      <c r="G15278" t="s">
        <v>16554</v>
      </c>
      <c r="H15278" t="s">
        <v>22293</v>
      </c>
    </row>
    <row r="15279" spans="1:8">
      <c r="H15279" t="s">
        <v>19034</v>
      </c>
    </row>
    <row r="15280" spans="1:8">
      <c r="H15280" t="s">
        <v>18829</v>
      </c>
    </row>
    <row r="15281" spans="8:8">
      <c r="H15281" t="s">
        <v>18863</v>
      </c>
    </row>
    <row r="15282" spans="8:8">
      <c r="H15282" t="s">
        <v>22294</v>
      </c>
    </row>
    <row r="15283" spans="8:8">
      <c r="H15283" t="s">
        <v>22295</v>
      </c>
    </row>
    <row r="15284" spans="8:8">
      <c r="H15284" t="s">
        <v>22296</v>
      </c>
    </row>
    <row r="15285" spans="8:8">
      <c r="H15285" t="s">
        <v>22297</v>
      </c>
    </row>
    <row r="15286" spans="8:8">
      <c r="H15286" t="s">
        <v>22298</v>
      </c>
    </row>
    <row r="15287" spans="8:8">
      <c r="H15287" t="s">
        <v>22299</v>
      </c>
    </row>
    <row r="15288" spans="8:8">
      <c r="H15288" t="s">
        <v>22300</v>
      </c>
    </row>
    <row r="15289" spans="8:8">
      <c r="H15289" t="s">
        <v>22113</v>
      </c>
    </row>
    <row r="15290" spans="8:8">
      <c r="H15290" t="s">
        <v>22301</v>
      </c>
    </row>
    <row r="15291" spans="8:8">
      <c r="H15291" t="s">
        <v>20083</v>
      </c>
    </row>
    <row r="15292" spans="8:8">
      <c r="H15292" t="s">
        <v>22114</v>
      </c>
    </row>
    <row r="15293" spans="8:8">
      <c r="H15293" t="s">
        <v>22302</v>
      </c>
    </row>
    <row r="15294" spans="8:8">
      <c r="H15294" t="s">
        <v>22083</v>
      </c>
    </row>
    <row r="15295" spans="8:8">
      <c r="H15295" t="s">
        <v>22084</v>
      </c>
    </row>
    <row r="15296" spans="8:8">
      <c r="H15296" t="s">
        <v>22085</v>
      </c>
    </row>
    <row r="15297" spans="1:8">
      <c r="H15297" t="s">
        <v>22086</v>
      </c>
    </row>
    <row r="15298" spans="1:8">
      <c r="H15298" t="s">
        <v>20083</v>
      </c>
    </row>
    <row r="15299" spans="1:8">
      <c r="H15299" t="s">
        <v>22114</v>
      </c>
    </row>
    <row r="15300" spans="1:8">
      <c r="H15300" t="s">
        <v>22303</v>
      </c>
    </row>
    <row r="15301" spans="1:8">
      <c r="H15301" t="s">
        <v>22083</v>
      </c>
    </row>
    <row r="15302" spans="1:8">
      <c r="H15302" t="s">
        <v>22084</v>
      </c>
    </row>
    <row r="15303" spans="1:8">
      <c r="H15303" t="s">
        <v>22085</v>
      </c>
    </row>
    <row r="15304" spans="1:8">
      <c r="H15304" t="s">
        <v>22086</v>
      </c>
    </row>
    <row r="15305" spans="1:8">
      <c r="A15305" t="s">
        <v>605</v>
      </c>
      <c r="B15305">
        <f>HYPERLINK("https://android.googlesource.com/platform/cts/+/89e65a1ffc3a7da66922f2470b3bb3637188ec28", "89e65a1ffc3a7da66922f2470b3bb3637188ec28")</f>
        <v>0</v>
      </c>
      <c r="C15305">
        <f>HYPERLINK("https://android.googlesource.com/platform/cts/+/27484532f14e2e44f899982263489a5467d45956", "27484532f14e2e44f899982263489a5467d45956")</f>
        <v>0</v>
      </c>
      <c r="D15305" t="s">
        <v>5029</v>
      </c>
      <c r="E15305" t="s">
        <v>6390</v>
      </c>
      <c r="F15305" t="s">
        <v>10699</v>
      </c>
      <c r="G15305" t="s">
        <v>15099</v>
      </c>
      <c r="H15305" t="s">
        <v>22304</v>
      </c>
    </row>
    <row r="15306" spans="1:8">
      <c r="F15306" t="s">
        <v>10610</v>
      </c>
      <c r="G15306" t="s">
        <v>15013</v>
      </c>
      <c r="H15306" t="s">
        <v>22304</v>
      </c>
    </row>
    <row r="15307" spans="1:8">
      <c r="F15307" t="s">
        <v>12347</v>
      </c>
      <c r="G15307" t="s">
        <v>16575</v>
      </c>
      <c r="H15307" t="s">
        <v>22304</v>
      </c>
    </row>
    <row r="15308" spans="1:8">
      <c r="F15308" t="s">
        <v>12348</v>
      </c>
      <c r="G15308" t="s">
        <v>16576</v>
      </c>
      <c r="H15308" t="s">
        <v>22304</v>
      </c>
    </row>
    <row r="15309" spans="1:8">
      <c r="F15309" t="s">
        <v>11442</v>
      </c>
      <c r="G15309" t="s">
        <v>15682</v>
      </c>
      <c r="H15309" t="s">
        <v>22304</v>
      </c>
    </row>
    <row r="15310" spans="1:8">
      <c r="F15310" t="s">
        <v>10737</v>
      </c>
      <c r="G15310" t="s">
        <v>15136</v>
      </c>
      <c r="H15310" t="s">
        <v>22304</v>
      </c>
    </row>
    <row r="15311" spans="1:8">
      <c r="A15311" t="s">
        <v>606</v>
      </c>
      <c r="B15311">
        <f>HYPERLINK("https://android.googlesource.com/platform/cts/+/bc2bee43698344db51b2ee8383c5fbd18d99fe43", "bc2bee43698344db51b2ee8383c5fbd18d99fe43")</f>
        <v>0</v>
      </c>
      <c r="C15311">
        <f>HYPERLINK("https://android.googlesource.com/platform/cts/+/ed017f02bfdb1d6a1cc86d76144724e45c9f1b4b", "ed017f02bfdb1d6a1cc86d76144724e45c9f1b4b")</f>
        <v>0</v>
      </c>
      <c r="D15311" t="s">
        <v>5043</v>
      </c>
      <c r="E15311" t="s">
        <v>6391</v>
      </c>
      <c r="F15311" t="s">
        <v>11471</v>
      </c>
      <c r="G15311" t="s">
        <v>15711</v>
      </c>
      <c r="H15311" t="s">
        <v>22305</v>
      </c>
    </row>
    <row r="15312" spans="1:8">
      <c r="H15312" t="s">
        <v>22306</v>
      </c>
    </row>
    <row r="15313" spans="1:8">
      <c r="H15313" t="s">
        <v>22307</v>
      </c>
    </row>
    <row r="15314" spans="1:8">
      <c r="H15314" t="s">
        <v>22308</v>
      </c>
    </row>
    <row r="15315" spans="1:8">
      <c r="A15315" t="s">
        <v>607</v>
      </c>
      <c r="B15315">
        <f>HYPERLINK("https://android.googlesource.com/platform/cts/+/a8c7417df81be9716153639c5465c87cc61be6d0", "a8c7417df81be9716153639c5465c87cc61be6d0")</f>
        <v>0</v>
      </c>
      <c r="C15315">
        <f>HYPERLINK("https://android.googlesource.com/platform/cts/+/9d257f46c48d316819b3cd2e00891b261b608549", "9d257f46c48d316819b3cd2e00891b261b608549")</f>
        <v>0</v>
      </c>
      <c r="D15315" t="s">
        <v>5028</v>
      </c>
      <c r="E15315" t="s">
        <v>6392</v>
      </c>
      <c r="F15315" t="s">
        <v>12349</v>
      </c>
      <c r="G15315" t="s">
        <v>16577</v>
      </c>
      <c r="H15315" t="s">
        <v>22309</v>
      </c>
    </row>
    <row r="15316" spans="1:8">
      <c r="H15316" t="s">
        <v>22310</v>
      </c>
    </row>
    <row r="15317" spans="1:8">
      <c r="A15317" t="s">
        <v>608</v>
      </c>
      <c r="B15317">
        <f>HYPERLINK("https://android.googlesource.com/platform/cts/+/3797c659c9535f61becd0f83e66cb01b2e45f265", "3797c659c9535f61becd0f83e66cb01b2e45f265")</f>
        <v>0</v>
      </c>
      <c r="C15317">
        <f>HYPERLINK("https://android.googlesource.com/platform/cts/+/15679e5c59afd27f43ae5ad2f0a933c67f30ba2a", "15679e5c59afd27f43ae5ad2f0a933c67f30ba2a")</f>
        <v>0</v>
      </c>
      <c r="D15317" t="s">
        <v>4957</v>
      </c>
      <c r="E15317" t="s">
        <v>6393</v>
      </c>
      <c r="F15317" t="s">
        <v>12350</v>
      </c>
      <c r="G15317" t="s">
        <v>16578</v>
      </c>
      <c r="H15317" t="s">
        <v>22311</v>
      </c>
    </row>
    <row r="15318" spans="1:8">
      <c r="H15318" t="s">
        <v>22312</v>
      </c>
    </row>
    <row r="15319" spans="1:8">
      <c r="H15319" t="s">
        <v>22313</v>
      </c>
    </row>
    <row r="15320" spans="1:8">
      <c r="A15320" t="s">
        <v>610</v>
      </c>
      <c r="B15320">
        <f>HYPERLINK("https://android.googlesource.com/platform/cts/+/3efef9464cf9b08a4ff4f506e8a79a6ebd0166c2", "3efef9464cf9b08a4ff4f506e8a79a6ebd0166c2")</f>
        <v>0</v>
      </c>
      <c r="C15320">
        <f>HYPERLINK("https://android.googlesource.com/platform/cts/+/ed28817fbc2ce98ceba3e9997b375bff4492ae4b", "ed28817fbc2ce98ceba3e9997b375bff4492ae4b")</f>
        <v>0</v>
      </c>
      <c r="D15320" t="s">
        <v>5004</v>
      </c>
      <c r="E15320" t="s">
        <v>6395</v>
      </c>
      <c r="F15320" t="s">
        <v>12328</v>
      </c>
      <c r="G15320" t="s">
        <v>16458</v>
      </c>
      <c r="H15320" t="s">
        <v>22314</v>
      </c>
    </row>
    <row r="15321" spans="1:8">
      <c r="A15321" t="s">
        <v>611</v>
      </c>
      <c r="B15321">
        <f>HYPERLINK("https://android.googlesource.com/platform/cts/+/ae0e42d4d921f0cdc1aefd5a478c763ebfcad576", "ae0e42d4d921f0cdc1aefd5a478c763ebfcad576")</f>
        <v>0</v>
      </c>
      <c r="C15321">
        <f>HYPERLINK("https://android.googlesource.com/platform/cts/+/ed28817fbc2ce98ceba3e9997b375bff4492ae4b", "ed28817fbc2ce98ceba3e9997b375bff4492ae4b")</f>
        <v>0</v>
      </c>
      <c r="D15321" t="s">
        <v>5044</v>
      </c>
      <c r="E15321" t="s">
        <v>6396</v>
      </c>
      <c r="F15321" t="s">
        <v>11470</v>
      </c>
      <c r="G15321" t="s">
        <v>15710</v>
      </c>
      <c r="H15321" t="s">
        <v>22315</v>
      </c>
    </row>
    <row r="15322" spans="1:8">
      <c r="A15322" t="s">
        <v>612</v>
      </c>
      <c r="B15322">
        <f>HYPERLINK("https://android.googlesource.com/platform/cts/+/ae1f018a3e15c2ed946fe99526c56712b25003f9", "ae1f018a3e15c2ed946fe99526c56712b25003f9")</f>
        <v>0</v>
      </c>
      <c r="C15322">
        <f>HYPERLINK("https://android.googlesource.com/platform/cts/+/cf2912d66443f9ca7dbd1c951ba3518bf3f51b5a", "cf2912d66443f9ca7dbd1c951ba3518bf3f51b5a")</f>
        <v>0</v>
      </c>
      <c r="D15322" t="s">
        <v>5045</v>
      </c>
      <c r="E15322" t="s">
        <v>6397</v>
      </c>
      <c r="F15322" t="s">
        <v>12351</v>
      </c>
      <c r="G15322" t="s">
        <v>16579</v>
      </c>
      <c r="H15322" t="s">
        <v>22316</v>
      </c>
    </row>
    <row r="15323" spans="1:8">
      <c r="H15323" t="s">
        <v>22316</v>
      </c>
    </row>
    <row r="15324" spans="1:8">
      <c r="H15324" t="s">
        <v>22317</v>
      </c>
    </row>
    <row r="15325" spans="1:8">
      <c r="A15325" t="s">
        <v>613</v>
      </c>
      <c r="B15325">
        <f>HYPERLINK("https://android.googlesource.com/platform/cts/+/74236261a8f1205501845c5ed884e0d6f998a65f", "74236261a8f1205501845c5ed884e0d6f998a65f")</f>
        <v>0</v>
      </c>
      <c r="C15325">
        <f>HYPERLINK("https://android.googlesource.com/platform/cts/+/58bb90a9c0482b0cb89a809906cf44290acab91c", "58bb90a9c0482b0cb89a809906cf44290acab91c")</f>
        <v>0</v>
      </c>
      <c r="D15325" t="s">
        <v>4952</v>
      </c>
      <c r="E15325" t="s">
        <v>6398</v>
      </c>
      <c r="F15325" t="s">
        <v>12222</v>
      </c>
      <c r="G15325" t="s">
        <v>16452</v>
      </c>
      <c r="H15325" t="s">
        <v>22318</v>
      </c>
    </row>
    <row r="15326" spans="1:8">
      <c r="A15326" t="s">
        <v>614</v>
      </c>
      <c r="B15326">
        <f>HYPERLINK("https://android.googlesource.com/platform/cts/+/53a0d6735b1296938b0db2b70c66e7ab75a66e76", "53a0d6735b1296938b0db2b70c66e7ab75a66e76")</f>
        <v>0</v>
      </c>
      <c r="C15326">
        <f>HYPERLINK("https://android.googlesource.com/platform/cts/+/ae1f018a3e15c2ed946fe99526c56712b25003f9", "ae1f018a3e15c2ed946fe99526c56712b25003f9")</f>
        <v>0</v>
      </c>
      <c r="D15326" t="s">
        <v>5045</v>
      </c>
      <c r="E15326" t="s">
        <v>6399</v>
      </c>
      <c r="F15326" t="s">
        <v>12352</v>
      </c>
      <c r="G15326" t="s">
        <v>16580</v>
      </c>
      <c r="H15326" t="s">
        <v>22319</v>
      </c>
    </row>
    <row r="15327" spans="1:8">
      <c r="F15327" t="s">
        <v>12353</v>
      </c>
      <c r="G15327" t="s">
        <v>16581</v>
      </c>
      <c r="H15327" t="s">
        <v>22320</v>
      </c>
    </row>
    <row r="15328" spans="1:8">
      <c r="H15328" t="s">
        <v>18829</v>
      </c>
    </row>
    <row r="15329" spans="6:8">
      <c r="H15329" t="s">
        <v>18863</v>
      </c>
    </row>
    <row r="15330" spans="6:8">
      <c r="H15330" t="s">
        <v>22321</v>
      </c>
    </row>
    <row r="15331" spans="6:8">
      <c r="H15331" t="s">
        <v>22322</v>
      </c>
    </row>
    <row r="15332" spans="6:8">
      <c r="H15332" t="s">
        <v>22323</v>
      </c>
    </row>
    <row r="15333" spans="6:8">
      <c r="F15333" t="s">
        <v>12354</v>
      </c>
      <c r="G15333" t="s">
        <v>16582</v>
      </c>
      <c r="H15333" t="s">
        <v>22324</v>
      </c>
    </row>
    <row r="15334" spans="6:8">
      <c r="H15334" t="s">
        <v>22325</v>
      </c>
    </row>
    <row r="15335" spans="6:8">
      <c r="H15335" t="s">
        <v>22326</v>
      </c>
    </row>
    <row r="15336" spans="6:8">
      <c r="H15336" t="s">
        <v>22327</v>
      </c>
    </row>
    <row r="15337" spans="6:8">
      <c r="H15337" t="s">
        <v>22328</v>
      </c>
    </row>
    <row r="15338" spans="6:8">
      <c r="H15338" t="s">
        <v>22329</v>
      </c>
    </row>
    <row r="15339" spans="6:8">
      <c r="H15339" t="s">
        <v>22330</v>
      </c>
    </row>
    <row r="15340" spans="6:8">
      <c r="H15340" t="s">
        <v>22331</v>
      </c>
    </row>
    <row r="15341" spans="6:8">
      <c r="H15341" t="s">
        <v>22332</v>
      </c>
    </row>
    <row r="15342" spans="6:8">
      <c r="H15342" t="s">
        <v>22333</v>
      </c>
    </row>
    <row r="15343" spans="6:8">
      <c r="F15343" t="s">
        <v>12355</v>
      </c>
      <c r="G15343" t="s">
        <v>15153</v>
      </c>
      <c r="H15343" t="s">
        <v>22334</v>
      </c>
    </row>
    <row r="15344" spans="6:8">
      <c r="H15344" t="s">
        <v>22333</v>
      </c>
    </row>
    <row r="15345" spans="6:8">
      <c r="H15345" t="s">
        <v>22325</v>
      </c>
    </row>
    <row r="15346" spans="6:8">
      <c r="H15346" t="s">
        <v>22335</v>
      </c>
    </row>
    <row r="15347" spans="6:8">
      <c r="H15347" t="s">
        <v>22324</v>
      </c>
    </row>
    <row r="15348" spans="6:8">
      <c r="F15348" t="s">
        <v>12356</v>
      </c>
      <c r="G15348" t="s">
        <v>16583</v>
      </c>
      <c r="H15348" t="s">
        <v>18829</v>
      </c>
    </row>
    <row r="15349" spans="6:8">
      <c r="H15349" t="s">
        <v>22336</v>
      </c>
    </row>
    <row r="15350" spans="6:8">
      <c r="H15350" t="s">
        <v>22337</v>
      </c>
    </row>
    <row r="15351" spans="6:8">
      <c r="H15351" t="s">
        <v>22338</v>
      </c>
    </row>
    <row r="15352" spans="6:8">
      <c r="H15352" t="s">
        <v>22339</v>
      </c>
    </row>
    <row r="15353" spans="6:8">
      <c r="H15353" t="s">
        <v>22340</v>
      </c>
    </row>
    <row r="15354" spans="6:8">
      <c r="F15354" t="s">
        <v>12357</v>
      </c>
      <c r="G15354" t="s">
        <v>16584</v>
      </c>
      <c r="H15354" t="s">
        <v>18829</v>
      </c>
    </row>
    <row r="15355" spans="6:8">
      <c r="H15355" t="s">
        <v>18863</v>
      </c>
    </row>
    <row r="15356" spans="6:8">
      <c r="H15356" t="s">
        <v>22341</v>
      </c>
    </row>
    <row r="15357" spans="6:8">
      <c r="H15357" t="s">
        <v>22341</v>
      </c>
    </row>
    <row r="15358" spans="6:8">
      <c r="H15358" t="s">
        <v>22342</v>
      </c>
    </row>
    <row r="15359" spans="6:8">
      <c r="H15359" t="s">
        <v>22343</v>
      </c>
    </row>
    <row r="15360" spans="6:8">
      <c r="F15360" t="s">
        <v>12358</v>
      </c>
      <c r="G15360" t="s">
        <v>16585</v>
      </c>
      <c r="H15360" t="s">
        <v>18829</v>
      </c>
    </row>
    <row r="15361" spans="6:8">
      <c r="H15361" t="s">
        <v>18863</v>
      </c>
    </row>
    <row r="15362" spans="6:8">
      <c r="H15362" t="s">
        <v>22344</v>
      </c>
    </row>
    <row r="15363" spans="6:8">
      <c r="H15363" t="s">
        <v>22345</v>
      </c>
    </row>
    <row r="15364" spans="6:8">
      <c r="H15364" t="s">
        <v>22346</v>
      </c>
    </row>
    <row r="15365" spans="6:8">
      <c r="H15365" t="s">
        <v>22347</v>
      </c>
    </row>
    <row r="15366" spans="6:8">
      <c r="H15366" t="s">
        <v>22348</v>
      </c>
    </row>
    <row r="15367" spans="6:8">
      <c r="F15367" t="s">
        <v>12359</v>
      </c>
      <c r="G15367" t="s">
        <v>16586</v>
      </c>
      <c r="H15367" t="s">
        <v>22349</v>
      </c>
    </row>
    <row r="15368" spans="6:8">
      <c r="H15368" t="s">
        <v>22350</v>
      </c>
    </row>
    <row r="15369" spans="6:8">
      <c r="H15369" t="s">
        <v>22351</v>
      </c>
    </row>
    <row r="15370" spans="6:8">
      <c r="F15370" t="s">
        <v>12360</v>
      </c>
      <c r="G15370" t="s">
        <v>15150</v>
      </c>
      <c r="H15370" t="s">
        <v>22352</v>
      </c>
    </row>
    <row r="15371" spans="6:8">
      <c r="H15371" t="s">
        <v>22353</v>
      </c>
    </row>
    <row r="15372" spans="6:8">
      <c r="H15372" t="s">
        <v>22354</v>
      </c>
    </row>
    <row r="15373" spans="6:8">
      <c r="H15373" t="s">
        <v>22355</v>
      </c>
    </row>
    <row r="15374" spans="6:8">
      <c r="H15374" t="s">
        <v>22356</v>
      </c>
    </row>
    <row r="15375" spans="6:8">
      <c r="H15375" t="s">
        <v>22357</v>
      </c>
    </row>
    <row r="15376" spans="6:8">
      <c r="F15376" t="s">
        <v>12361</v>
      </c>
      <c r="G15376" t="s">
        <v>16587</v>
      </c>
      <c r="H15376" t="s">
        <v>18829</v>
      </c>
    </row>
    <row r="15377" spans="6:8">
      <c r="H15377" t="s">
        <v>18863</v>
      </c>
    </row>
    <row r="15378" spans="6:8">
      <c r="H15378" t="s">
        <v>22358</v>
      </c>
    </row>
    <row r="15379" spans="6:8">
      <c r="H15379" t="s">
        <v>22359</v>
      </c>
    </row>
    <row r="15380" spans="6:8">
      <c r="H15380" t="s">
        <v>22359</v>
      </c>
    </row>
    <row r="15381" spans="6:8">
      <c r="F15381" t="s">
        <v>12362</v>
      </c>
      <c r="G15381" t="s">
        <v>16588</v>
      </c>
      <c r="H15381" t="s">
        <v>18829</v>
      </c>
    </row>
    <row r="15382" spans="6:8">
      <c r="H15382" t="s">
        <v>18863</v>
      </c>
    </row>
    <row r="15383" spans="6:8">
      <c r="H15383" t="s">
        <v>22344</v>
      </c>
    </row>
    <row r="15384" spans="6:8">
      <c r="H15384" t="s">
        <v>22360</v>
      </c>
    </row>
    <row r="15385" spans="6:8">
      <c r="H15385" t="s">
        <v>22361</v>
      </c>
    </row>
    <row r="15386" spans="6:8">
      <c r="H15386" t="s">
        <v>22362</v>
      </c>
    </row>
    <row r="15387" spans="6:8">
      <c r="F15387" t="s">
        <v>12363</v>
      </c>
      <c r="G15387" t="s">
        <v>16589</v>
      </c>
      <c r="H15387" t="s">
        <v>22363</v>
      </c>
    </row>
    <row r="15388" spans="6:8">
      <c r="H15388" t="s">
        <v>22364</v>
      </c>
    </row>
    <row r="15389" spans="6:8">
      <c r="H15389" t="s">
        <v>22365</v>
      </c>
    </row>
    <row r="15390" spans="6:8">
      <c r="H15390" t="s">
        <v>22366</v>
      </c>
    </row>
    <row r="15391" spans="6:8">
      <c r="H15391" t="s">
        <v>22367</v>
      </c>
    </row>
    <row r="15392" spans="6:8">
      <c r="F15392" t="s">
        <v>12364</v>
      </c>
      <c r="G15392" t="s">
        <v>16590</v>
      </c>
      <c r="H15392" t="s">
        <v>22368</v>
      </c>
    </row>
    <row r="15393" spans="1:8">
      <c r="H15393" t="s">
        <v>22369</v>
      </c>
    </row>
    <row r="15394" spans="1:8">
      <c r="H15394" t="s">
        <v>18981</v>
      </c>
    </row>
    <row r="15395" spans="1:8">
      <c r="H15395" t="s">
        <v>22370</v>
      </c>
    </row>
    <row r="15396" spans="1:8">
      <c r="H15396" t="s">
        <v>22371</v>
      </c>
    </row>
    <row r="15397" spans="1:8">
      <c r="H15397" t="s">
        <v>22372</v>
      </c>
    </row>
    <row r="15398" spans="1:8">
      <c r="A15398" t="s">
        <v>615</v>
      </c>
      <c r="B15398">
        <f>HYPERLINK("https://android.googlesource.com/platform/cts/+/34f7c2db3ba3e696f4a2ecad0a7c860c389b91dd", "34f7c2db3ba3e696f4a2ecad0a7c860c389b91dd")</f>
        <v>0</v>
      </c>
      <c r="C15398">
        <f>HYPERLINK("https://android.googlesource.com/platform/cts/+/c3b4d18504bed2cf3e238ad28e5cee1c93dd7b73", "c3b4d18504bed2cf3e238ad28e5cee1c93dd7b73")</f>
        <v>0</v>
      </c>
      <c r="D15398" t="s">
        <v>5046</v>
      </c>
      <c r="E15398" t="s">
        <v>6400</v>
      </c>
      <c r="F15398" t="s">
        <v>10758</v>
      </c>
      <c r="G15398" t="s">
        <v>15156</v>
      </c>
      <c r="H15398" t="s">
        <v>22373</v>
      </c>
    </row>
    <row r="15399" spans="1:8">
      <c r="A15399" t="s">
        <v>616</v>
      </c>
      <c r="B15399">
        <f>HYPERLINK("https://android.googlesource.com/platform/cts/+/d2f312b7a752fb0b4f77ba8e2979132ff62abe9f", "d2f312b7a752fb0b4f77ba8e2979132ff62abe9f")</f>
        <v>0</v>
      </c>
      <c r="C15399">
        <f>HYPERLINK("https://android.googlesource.com/platform/cts/+/7ba45d63aa8e8098eb21fd4081b23f5d5267f8b6", "7ba45d63aa8e8098eb21fd4081b23f5d5267f8b6")</f>
        <v>0</v>
      </c>
      <c r="D15399" t="s">
        <v>5047</v>
      </c>
      <c r="E15399" t="s">
        <v>6401</v>
      </c>
      <c r="F15399" t="s">
        <v>12365</v>
      </c>
      <c r="G15399" t="s">
        <v>16591</v>
      </c>
      <c r="H15399" t="s">
        <v>20244</v>
      </c>
    </row>
    <row r="15400" spans="1:8">
      <c r="H15400" t="s">
        <v>18829</v>
      </c>
    </row>
    <row r="15401" spans="1:8">
      <c r="H15401" t="s">
        <v>18863</v>
      </c>
    </row>
    <row r="15402" spans="1:8">
      <c r="H15402" t="s">
        <v>22374</v>
      </c>
    </row>
    <row r="15403" spans="1:8">
      <c r="H15403" t="s">
        <v>22375</v>
      </c>
    </row>
    <row r="15404" spans="1:8">
      <c r="H15404" t="s">
        <v>22376</v>
      </c>
    </row>
    <row r="15405" spans="1:8">
      <c r="A15405" t="s">
        <v>617</v>
      </c>
      <c r="B15405">
        <f>HYPERLINK("https://android.googlesource.com/platform/cts/+/3986d5e3a1b71843a982ece781251f40ccdf840d", "3986d5e3a1b71843a982ece781251f40ccdf840d")</f>
        <v>0</v>
      </c>
      <c r="C15405">
        <f>HYPERLINK("https://android.googlesource.com/platform/cts/+/09eea44a5067f5eaa6233d771e607897c25823ca", "09eea44a5067f5eaa6233d771e607897c25823ca")</f>
        <v>0</v>
      </c>
      <c r="D15405" t="s">
        <v>5047</v>
      </c>
      <c r="E15405" t="s">
        <v>6402</v>
      </c>
      <c r="F15405" t="s">
        <v>12337</v>
      </c>
      <c r="G15405" t="s">
        <v>16565</v>
      </c>
      <c r="H15405" t="s">
        <v>22155</v>
      </c>
    </row>
    <row r="15406" spans="1:8">
      <c r="H15406" t="s">
        <v>22156</v>
      </c>
    </row>
    <row r="15407" spans="1:8">
      <c r="H15407" t="s">
        <v>22157</v>
      </c>
    </row>
    <row r="15408" spans="1:8">
      <c r="H15408" t="s">
        <v>22158</v>
      </c>
    </row>
    <row r="15409" spans="8:8">
      <c r="H15409" t="s">
        <v>22159</v>
      </c>
    </row>
    <row r="15410" spans="8:8">
      <c r="H15410" t="s">
        <v>22160</v>
      </c>
    </row>
    <row r="15411" spans="8:8">
      <c r="H15411" t="s">
        <v>22161</v>
      </c>
    </row>
    <row r="15412" spans="8:8">
      <c r="H15412" t="s">
        <v>22162</v>
      </c>
    </row>
    <row r="15413" spans="8:8">
      <c r="H15413" t="s">
        <v>22163</v>
      </c>
    </row>
    <row r="15414" spans="8:8">
      <c r="H15414" t="s">
        <v>22164</v>
      </c>
    </row>
    <row r="15415" spans="8:8">
      <c r="H15415" t="s">
        <v>22165</v>
      </c>
    </row>
    <row r="15416" spans="8:8">
      <c r="H15416" t="s">
        <v>22166</v>
      </c>
    </row>
    <row r="15417" spans="8:8">
      <c r="H15417" t="s">
        <v>22167</v>
      </c>
    </row>
    <row r="15418" spans="8:8">
      <c r="H15418" t="s">
        <v>22168</v>
      </c>
    </row>
    <row r="15419" spans="8:8">
      <c r="H15419" t="s">
        <v>22169</v>
      </c>
    </row>
    <row r="15420" spans="8:8">
      <c r="H15420" t="s">
        <v>22170</v>
      </c>
    </row>
    <row r="15421" spans="8:8">
      <c r="H15421" t="s">
        <v>22171</v>
      </c>
    </row>
    <row r="15422" spans="8:8">
      <c r="H15422" t="s">
        <v>22172</v>
      </c>
    </row>
    <row r="15423" spans="8:8">
      <c r="H15423" t="s">
        <v>22173</v>
      </c>
    </row>
    <row r="15424" spans="8:8">
      <c r="H15424" t="s">
        <v>22174</v>
      </c>
    </row>
    <row r="15425" spans="1:8">
      <c r="H15425" t="s">
        <v>22175</v>
      </c>
    </row>
    <row r="15426" spans="1:8">
      <c r="H15426" t="s">
        <v>22176</v>
      </c>
    </row>
    <row r="15427" spans="1:8">
      <c r="H15427" t="s">
        <v>22177</v>
      </c>
    </row>
    <row r="15428" spans="1:8">
      <c r="H15428" t="s">
        <v>22178</v>
      </c>
    </row>
    <row r="15429" spans="1:8">
      <c r="H15429" t="s">
        <v>22179</v>
      </c>
    </row>
    <row r="15430" spans="1:8">
      <c r="H15430" t="s">
        <v>20090</v>
      </c>
    </row>
    <row r="15431" spans="1:8">
      <c r="A15431" t="s">
        <v>618</v>
      </c>
      <c r="B15431">
        <f>HYPERLINK("https://android.googlesource.com/platform/cts/+/686bac0da7a991c902059018cc13b97f2ce379a7", "686bac0da7a991c902059018cc13b97f2ce379a7")</f>
        <v>0</v>
      </c>
      <c r="C15431">
        <f>HYPERLINK("https://android.googlesource.com/platform/cts/+/aca80ccfe5c0e2aaa0374282072261397835d841", "aca80ccfe5c0e2aaa0374282072261397835d841")</f>
        <v>0</v>
      </c>
      <c r="D15431" t="s">
        <v>4949</v>
      </c>
      <c r="E15431" t="s">
        <v>6403</v>
      </c>
      <c r="F15431" t="s">
        <v>12333</v>
      </c>
      <c r="G15431" t="s">
        <v>16561</v>
      </c>
      <c r="H15431" t="s">
        <v>22377</v>
      </c>
    </row>
    <row r="15432" spans="1:8">
      <c r="A15432" t="s">
        <v>619</v>
      </c>
      <c r="B15432">
        <f>HYPERLINK("https://android.googlesource.com/platform/cts/+/8bd84f742639deeac362f660f8d304a6d9cce34b", "8bd84f742639deeac362f660f8d304a6d9cce34b")</f>
        <v>0</v>
      </c>
      <c r="C15432">
        <f>HYPERLINK("https://android.googlesource.com/platform/cts/+/a97a16bee3277b96ba836a8f1b653d7d638a2b41", "a97a16bee3277b96ba836a8f1b653d7d638a2b41")</f>
        <v>0</v>
      </c>
      <c r="D15432" t="s">
        <v>5047</v>
      </c>
      <c r="E15432" t="s">
        <v>6404</v>
      </c>
      <c r="F15432" t="s">
        <v>12337</v>
      </c>
      <c r="G15432" t="s">
        <v>16565</v>
      </c>
      <c r="H15432" t="s">
        <v>22155</v>
      </c>
    </row>
    <row r="15433" spans="1:8">
      <c r="H15433" t="s">
        <v>22156</v>
      </c>
    </row>
    <row r="15434" spans="1:8">
      <c r="H15434" t="s">
        <v>22157</v>
      </c>
    </row>
    <row r="15435" spans="1:8">
      <c r="H15435" t="s">
        <v>22158</v>
      </c>
    </row>
    <row r="15436" spans="1:8">
      <c r="H15436" t="s">
        <v>22159</v>
      </c>
    </row>
    <row r="15437" spans="1:8">
      <c r="H15437" t="s">
        <v>22160</v>
      </c>
    </row>
    <row r="15438" spans="1:8">
      <c r="H15438" t="s">
        <v>22161</v>
      </c>
    </row>
    <row r="15439" spans="1:8">
      <c r="H15439" t="s">
        <v>22162</v>
      </c>
    </row>
    <row r="15440" spans="1:8">
      <c r="H15440" t="s">
        <v>22163</v>
      </c>
    </row>
    <row r="15441" spans="8:8">
      <c r="H15441" t="s">
        <v>22164</v>
      </c>
    </row>
    <row r="15442" spans="8:8">
      <c r="H15442" t="s">
        <v>22165</v>
      </c>
    </row>
    <row r="15443" spans="8:8">
      <c r="H15443" t="s">
        <v>22166</v>
      </c>
    </row>
    <row r="15444" spans="8:8">
      <c r="H15444" t="s">
        <v>22167</v>
      </c>
    </row>
    <row r="15445" spans="8:8">
      <c r="H15445" t="s">
        <v>22168</v>
      </c>
    </row>
    <row r="15446" spans="8:8">
      <c r="H15446" t="s">
        <v>22169</v>
      </c>
    </row>
    <row r="15447" spans="8:8">
      <c r="H15447" t="s">
        <v>22170</v>
      </c>
    </row>
    <row r="15448" spans="8:8">
      <c r="H15448" t="s">
        <v>22171</v>
      </c>
    </row>
    <row r="15449" spans="8:8">
      <c r="H15449" t="s">
        <v>22172</v>
      </c>
    </row>
    <row r="15450" spans="8:8">
      <c r="H15450" t="s">
        <v>22173</v>
      </c>
    </row>
    <row r="15451" spans="8:8">
      <c r="H15451" t="s">
        <v>22174</v>
      </c>
    </row>
    <row r="15452" spans="8:8">
      <c r="H15452" t="s">
        <v>22175</v>
      </c>
    </row>
    <row r="15453" spans="8:8">
      <c r="H15453" t="s">
        <v>22176</v>
      </c>
    </row>
    <row r="15454" spans="8:8">
      <c r="H15454" t="s">
        <v>22177</v>
      </c>
    </row>
    <row r="15455" spans="8:8">
      <c r="H15455" t="s">
        <v>22178</v>
      </c>
    </row>
    <row r="15456" spans="8:8">
      <c r="H15456" t="s">
        <v>22179</v>
      </c>
    </row>
    <row r="15457" spans="1:8">
      <c r="H15457" t="s">
        <v>20090</v>
      </c>
    </row>
    <row r="15458" spans="1:8">
      <c r="A15458" t="s">
        <v>620</v>
      </c>
      <c r="B15458">
        <f>HYPERLINK("https://android.googlesource.com/platform/cts/+/c8d1d101a6ea2e18576da17733e31a566a12d0e6", "c8d1d101a6ea2e18576da17733e31a566a12d0e6")</f>
        <v>0</v>
      </c>
      <c r="C15458">
        <f>HYPERLINK("https://android.googlesource.com/platform/cts/+/b014cf523a2b089b6f7082585d8bcae25a89af63", "b014cf523a2b089b6f7082585d8bcae25a89af63")</f>
        <v>0</v>
      </c>
      <c r="D15458" t="s">
        <v>5010</v>
      </c>
      <c r="E15458" t="s">
        <v>6405</v>
      </c>
      <c r="F15458" t="s">
        <v>12328</v>
      </c>
      <c r="G15458" t="s">
        <v>16458</v>
      </c>
      <c r="H15458" t="s">
        <v>19034</v>
      </c>
    </row>
    <row r="15459" spans="1:8">
      <c r="H15459" t="s">
        <v>18829</v>
      </c>
    </row>
    <row r="15460" spans="1:8">
      <c r="H15460" t="s">
        <v>18863</v>
      </c>
    </row>
    <row r="15461" spans="1:8">
      <c r="H15461" t="s">
        <v>22378</v>
      </c>
    </row>
    <row r="15462" spans="1:8">
      <c r="H15462" t="s">
        <v>22379</v>
      </c>
    </row>
    <row r="15463" spans="1:8">
      <c r="H15463" t="s">
        <v>22380</v>
      </c>
    </row>
    <row r="15464" spans="1:8">
      <c r="H15464" t="s">
        <v>22381</v>
      </c>
    </row>
    <row r="15465" spans="1:8">
      <c r="H15465" t="s">
        <v>22382</v>
      </c>
    </row>
    <row r="15466" spans="1:8">
      <c r="H15466" t="s">
        <v>22383</v>
      </c>
    </row>
    <row r="15467" spans="1:8">
      <c r="H15467" t="s">
        <v>22384</v>
      </c>
    </row>
    <row r="15468" spans="1:8">
      <c r="H15468" t="s">
        <v>22385</v>
      </c>
    </row>
    <row r="15469" spans="1:8">
      <c r="H15469" t="s">
        <v>22386</v>
      </c>
    </row>
    <row r="15470" spans="1:8">
      <c r="H15470" t="s">
        <v>22387</v>
      </c>
    </row>
    <row r="15471" spans="1:8">
      <c r="H15471" t="s">
        <v>22388</v>
      </c>
    </row>
    <row r="15472" spans="1:8">
      <c r="H15472" t="s">
        <v>22389</v>
      </c>
    </row>
    <row r="15473" spans="8:8">
      <c r="H15473" t="s">
        <v>22390</v>
      </c>
    </row>
    <row r="15474" spans="8:8">
      <c r="H15474" t="s">
        <v>22391</v>
      </c>
    </row>
    <row r="15475" spans="8:8">
      <c r="H15475" t="s">
        <v>22392</v>
      </c>
    </row>
    <row r="15476" spans="8:8">
      <c r="H15476" t="s">
        <v>22393</v>
      </c>
    </row>
    <row r="15477" spans="8:8">
      <c r="H15477" t="s">
        <v>22394</v>
      </c>
    </row>
    <row r="15478" spans="8:8">
      <c r="H15478" t="s">
        <v>22395</v>
      </c>
    </row>
    <row r="15479" spans="8:8">
      <c r="H15479" t="s">
        <v>22396</v>
      </c>
    </row>
    <row r="15480" spans="8:8">
      <c r="H15480" t="s">
        <v>22397</v>
      </c>
    </row>
    <row r="15481" spans="8:8">
      <c r="H15481" t="s">
        <v>22398</v>
      </c>
    </row>
    <row r="15482" spans="8:8">
      <c r="H15482" t="s">
        <v>22399</v>
      </c>
    </row>
    <row r="15483" spans="8:8">
      <c r="H15483" t="s">
        <v>22400</v>
      </c>
    </row>
    <row r="15484" spans="8:8">
      <c r="H15484" t="s">
        <v>22401</v>
      </c>
    </row>
    <row r="15485" spans="8:8">
      <c r="H15485" t="s">
        <v>22402</v>
      </c>
    </row>
    <row r="15486" spans="8:8">
      <c r="H15486" t="s">
        <v>22403</v>
      </c>
    </row>
    <row r="15487" spans="8:8">
      <c r="H15487" t="s">
        <v>22404</v>
      </c>
    </row>
    <row r="15488" spans="8:8">
      <c r="H15488" t="s">
        <v>22405</v>
      </c>
    </row>
    <row r="15489" spans="8:8">
      <c r="H15489" t="s">
        <v>22406</v>
      </c>
    </row>
    <row r="15490" spans="8:8">
      <c r="H15490" t="s">
        <v>22407</v>
      </c>
    </row>
    <row r="15491" spans="8:8">
      <c r="H15491" t="s">
        <v>22408</v>
      </c>
    </row>
    <row r="15492" spans="8:8">
      <c r="H15492" t="s">
        <v>22409</v>
      </c>
    </row>
    <row r="15493" spans="8:8">
      <c r="H15493" t="s">
        <v>22410</v>
      </c>
    </row>
    <row r="15494" spans="8:8">
      <c r="H15494" t="s">
        <v>22411</v>
      </c>
    </row>
    <row r="15495" spans="8:8">
      <c r="H15495" t="s">
        <v>22412</v>
      </c>
    </row>
    <row r="15496" spans="8:8">
      <c r="H15496" t="s">
        <v>22413</v>
      </c>
    </row>
    <row r="15497" spans="8:8">
      <c r="H15497" t="s">
        <v>22414</v>
      </c>
    </row>
    <row r="15498" spans="8:8">
      <c r="H15498" t="s">
        <v>22415</v>
      </c>
    </row>
    <row r="15499" spans="8:8">
      <c r="H15499" t="s">
        <v>22416</v>
      </c>
    </row>
    <row r="15500" spans="8:8">
      <c r="H15500" t="s">
        <v>22417</v>
      </c>
    </row>
    <row r="15501" spans="8:8">
      <c r="H15501" t="s">
        <v>22418</v>
      </c>
    </row>
    <row r="15502" spans="8:8">
      <c r="H15502" t="s">
        <v>22419</v>
      </c>
    </row>
    <row r="15503" spans="8:8">
      <c r="H15503" t="s">
        <v>22420</v>
      </c>
    </row>
    <row r="15504" spans="8:8">
      <c r="H15504" t="s">
        <v>22421</v>
      </c>
    </row>
    <row r="15505" spans="8:8">
      <c r="H15505" t="s">
        <v>22422</v>
      </c>
    </row>
    <row r="15506" spans="8:8">
      <c r="H15506" t="s">
        <v>22423</v>
      </c>
    </row>
    <row r="15507" spans="8:8">
      <c r="H15507" t="s">
        <v>22424</v>
      </c>
    </row>
    <row r="15508" spans="8:8">
      <c r="H15508" t="s">
        <v>22425</v>
      </c>
    </row>
    <row r="15509" spans="8:8">
      <c r="H15509" t="s">
        <v>22426</v>
      </c>
    </row>
    <row r="15510" spans="8:8">
      <c r="H15510" t="s">
        <v>22427</v>
      </c>
    </row>
    <row r="15511" spans="8:8">
      <c r="H15511" t="s">
        <v>22428</v>
      </c>
    </row>
    <row r="15512" spans="8:8">
      <c r="H15512" t="s">
        <v>22429</v>
      </c>
    </row>
    <row r="15513" spans="8:8">
      <c r="H15513" t="s">
        <v>22430</v>
      </c>
    </row>
    <row r="15514" spans="8:8">
      <c r="H15514" t="s">
        <v>22431</v>
      </c>
    </row>
    <row r="15515" spans="8:8">
      <c r="H15515" t="s">
        <v>22432</v>
      </c>
    </row>
    <row r="15516" spans="8:8">
      <c r="H15516" t="s">
        <v>22433</v>
      </c>
    </row>
    <row r="15517" spans="8:8">
      <c r="H15517" t="s">
        <v>22434</v>
      </c>
    </row>
    <row r="15518" spans="8:8">
      <c r="H15518" t="s">
        <v>22435</v>
      </c>
    </row>
    <row r="15519" spans="8:8">
      <c r="H15519" t="s">
        <v>22436</v>
      </c>
    </row>
    <row r="15520" spans="8:8">
      <c r="H15520" t="s">
        <v>22437</v>
      </c>
    </row>
    <row r="15521" spans="1:8">
      <c r="H15521" t="s">
        <v>22438</v>
      </c>
    </row>
    <row r="15522" spans="1:8">
      <c r="H15522" t="s">
        <v>22439</v>
      </c>
    </row>
    <row r="15523" spans="1:8">
      <c r="H15523" t="s">
        <v>22440</v>
      </c>
    </row>
    <row r="15524" spans="1:8">
      <c r="H15524" t="s">
        <v>22441</v>
      </c>
    </row>
    <row r="15525" spans="1:8">
      <c r="A15525" t="s">
        <v>622</v>
      </c>
      <c r="B15525">
        <f>HYPERLINK("https://android.googlesource.com/platform/cts/+/c0dd022fb07dc04bf910451706498d3674db66fd", "c0dd022fb07dc04bf910451706498d3674db66fd")</f>
        <v>0</v>
      </c>
      <c r="C15525">
        <f>HYPERLINK("https://android.googlesource.com/platform/cts/+/b3a935b7df3dcc97dbb143c32181bc2c526a914c", "b3a935b7df3dcc97dbb143c32181bc2c526a914c")</f>
        <v>0</v>
      </c>
      <c r="D15525" t="s">
        <v>4978</v>
      </c>
      <c r="E15525" t="s">
        <v>6407</v>
      </c>
      <c r="F15525" t="s">
        <v>12366</v>
      </c>
      <c r="G15525" t="s">
        <v>16593</v>
      </c>
      <c r="H15525" t="s">
        <v>22442</v>
      </c>
    </row>
    <row r="15526" spans="1:8">
      <c r="A15526" t="s">
        <v>623</v>
      </c>
      <c r="B15526">
        <f>HYPERLINK("https://android.googlesource.com/platform/cts/+/79833af64528af6e98c704b64536d741286fe814", "79833af64528af6e98c704b64536d741286fe814")</f>
        <v>0</v>
      </c>
      <c r="C15526">
        <f>HYPERLINK("https://android.googlesource.com/platform/cts/+/4dffb513a16dc6ad2d2b1d8042d4306ae96fb119", "4dffb513a16dc6ad2d2b1d8042d4306ae96fb119")</f>
        <v>0</v>
      </c>
      <c r="D15526" t="s">
        <v>5048</v>
      </c>
      <c r="E15526" t="s">
        <v>6408</v>
      </c>
      <c r="F15526" t="s">
        <v>12367</v>
      </c>
      <c r="G15526" t="s">
        <v>16594</v>
      </c>
      <c r="H15526" t="s">
        <v>22443</v>
      </c>
    </row>
    <row r="15527" spans="1:8">
      <c r="H15527" t="s">
        <v>22444</v>
      </c>
    </row>
    <row r="15528" spans="1:8">
      <c r="H15528" t="s">
        <v>22445</v>
      </c>
    </row>
    <row r="15529" spans="1:8">
      <c r="F15529" t="s">
        <v>12368</v>
      </c>
      <c r="G15529" t="s">
        <v>16595</v>
      </c>
      <c r="H15529" t="s">
        <v>22446</v>
      </c>
    </row>
    <row r="15530" spans="1:8">
      <c r="H15530" t="s">
        <v>22444</v>
      </c>
    </row>
    <row r="15531" spans="1:8">
      <c r="H15531" t="s">
        <v>22445</v>
      </c>
    </row>
    <row r="15532" spans="1:8">
      <c r="H15532" t="s">
        <v>22447</v>
      </c>
    </row>
    <row r="15533" spans="1:8">
      <c r="H15533" t="s">
        <v>22448</v>
      </c>
    </row>
    <row r="15534" spans="1:8">
      <c r="H15534" t="s">
        <v>22449</v>
      </c>
    </row>
    <row r="15535" spans="1:8">
      <c r="H15535" t="s">
        <v>22450</v>
      </c>
    </row>
    <row r="15536" spans="1:8">
      <c r="F15536" t="s">
        <v>12369</v>
      </c>
      <c r="G15536" t="s">
        <v>16596</v>
      </c>
      <c r="H15536" t="s">
        <v>22451</v>
      </c>
    </row>
    <row r="15537" spans="1:8">
      <c r="H15537" t="s">
        <v>22452</v>
      </c>
    </row>
    <row r="15538" spans="1:8">
      <c r="H15538" t="s">
        <v>22453</v>
      </c>
    </row>
    <row r="15539" spans="1:8">
      <c r="H15539" t="s">
        <v>22444</v>
      </c>
    </row>
    <row r="15540" spans="1:8">
      <c r="H15540" t="s">
        <v>22445</v>
      </c>
    </row>
    <row r="15541" spans="1:8">
      <c r="H15541" t="s">
        <v>22447</v>
      </c>
    </row>
    <row r="15542" spans="1:8">
      <c r="H15542" t="s">
        <v>22448</v>
      </c>
    </row>
    <row r="15543" spans="1:8">
      <c r="A15543" t="s">
        <v>624</v>
      </c>
      <c r="B15543">
        <f>HYPERLINK("https://android.googlesource.com/platform/cts/+/aa2be984e409f2b4dc4ccf8602decd8000fe30d4", "aa2be984e409f2b4dc4ccf8602decd8000fe30d4")</f>
        <v>0</v>
      </c>
      <c r="C15543">
        <f>HYPERLINK("https://android.googlesource.com/platform/cts/+/7581090d38826db254d5b6c222ba79381e104365", "7581090d38826db254d5b6c222ba79381e104365")</f>
        <v>0</v>
      </c>
      <c r="D15543" t="s">
        <v>5049</v>
      </c>
      <c r="E15543" t="s">
        <v>6409</v>
      </c>
      <c r="F15543" t="s">
        <v>12370</v>
      </c>
      <c r="G15543" t="s">
        <v>16597</v>
      </c>
      <c r="H15543" t="s">
        <v>22454</v>
      </c>
    </row>
    <row r="15544" spans="1:8">
      <c r="A15544" t="s">
        <v>625</v>
      </c>
      <c r="B15544">
        <f>HYPERLINK("https://android.googlesource.com/platform/cts/+/755a9597adbe56f8d80ab3943d28e0ed821b93f7", "755a9597adbe56f8d80ab3943d28e0ed821b93f7")</f>
        <v>0</v>
      </c>
      <c r="C15544">
        <f>HYPERLINK("https://android.googlesource.com/platform/cts/+/7581090d38826db254d5b6c222ba79381e104365", "7581090d38826db254d5b6c222ba79381e104365")</f>
        <v>0</v>
      </c>
      <c r="D15544" t="s">
        <v>5049</v>
      </c>
      <c r="E15544" t="s">
        <v>6410</v>
      </c>
      <c r="F15544" t="s">
        <v>12370</v>
      </c>
      <c r="G15544" t="s">
        <v>16597</v>
      </c>
      <c r="H15544" t="s">
        <v>22455</v>
      </c>
    </row>
    <row r="15545" spans="1:8">
      <c r="A15545" t="s">
        <v>626</v>
      </c>
      <c r="B15545">
        <f>HYPERLINK("https://android.googlesource.com/platform/cts/+/f2bee368d1e58d50027facfc6f2eff52206cc117", "f2bee368d1e58d50027facfc6f2eff52206cc117")</f>
        <v>0</v>
      </c>
      <c r="C15545">
        <f>HYPERLINK("https://android.googlesource.com/platform/cts/+/e45b4a5fba6c94e181f47e44a1c27696af4c42ef", "e45b4a5fba6c94e181f47e44a1c27696af4c42ef")</f>
        <v>0</v>
      </c>
      <c r="D15545" t="s">
        <v>5046</v>
      </c>
      <c r="E15545" t="s">
        <v>6411</v>
      </c>
      <c r="F15545" t="s">
        <v>10758</v>
      </c>
      <c r="G15545" t="s">
        <v>15156</v>
      </c>
      <c r="H15545" t="s">
        <v>22456</v>
      </c>
    </row>
    <row r="15546" spans="1:8">
      <c r="A15546" t="s">
        <v>627</v>
      </c>
      <c r="B15546">
        <f>HYPERLINK("https://android.googlesource.com/platform/cts/+/47172406f474366765c582e2272ff32cd0afbc2d", "47172406f474366765c582e2272ff32cd0afbc2d")</f>
        <v>0</v>
      </c>
      <c r="C15546">
        <f>HYPERLINK("https://android.googlesource.com/platform/cts/+/0c52cab4322df24ab30eccb75a3ced599431990c", "0c52cab4322df24ab30eccb75a3ced599431990c")</f>
        <v>0</v>
      </c>
      <c r="D15546" t="s">
        <v>5050</v>
      </c>
      <c r="E15546" t="s">
        <v>6412</v>
      </c>
      <c r="F15546" t="s">
        <v>12371</v>
      </c>
      <c r="G15546" t="s">
        <v>16598</v>
      </c>
      <c r="H15546" t="s">
        <v>22457</v>
      </c>
    </row>
    <row r="15547" spans="1:8">
      <c r="H15547" t="s">
        <v>22458</v>
      </c>
    </row>
    <row r="15548" spans="1:8">
      <c r="A15548" t="s">
        <v>628</v>
      </c>
      <c r="B15548">
        <f>HYPERLINK("https://android.googlesource.com/platform/cts/+/36fbe06aec51d2f0c9edec22f0d6903997ecf665", "36fbe06aec51d2f0c9edec22f0d6903997ecf665")</f>
        <v>0</v>
      </c>
      <c r="C15548">
        <f>HYPERLINK("https://android.googlesource.com/platform/cts/+/856b1cc7ef19414da9568447c4ed079a167b29db", "856b1cc7ef19414da9568447c4ed079a167b29db")</f>
        <v>0</v>
      </c>
      <c r="D15548" t="s">
        <v>4966</v>
      </c>
      <c r="E15548" t="s">
        <v>6413</v>
      </c>
      <c r="F15548" t="s">
        <v>12372</v>
      </c>
      <c r="G15548" t="s">
        <v>16599</v>
      </c>
      <c r="H15548" t="s">
        <v>18961</v>
      </c>
    </row>
    <row r="15549" spans="1:8">
      <c r="A15549" t="s">
        <v>629</v>
      </c>
      <c r="B15549">
        <f>HYPERLINK("https://android.googlesource.com/platform/cts/+/6b9fb05742aa05283e0eca98651743b564aea0b4", "6b9fb05742aa05283e0eca98651743b564aea0b4")</f>
        <v>0</v>
      </c>
      <c r="C15549">
        <f>HYPERLINK("https://android.googlesource.com/platform/cts/+/b356ae78745be1d70fd188578851b92aaec4dedb", "b356ae78745be1d70fd188578851b92aaec4dedb")</f>
        <v>0</v>
      </c>
      <c r="D15549" t="s">
        <v>5051</v>
      </c>
      <c r="E15549" t="s">
        <v>6414</v>
      </c>
      <c r="F15549" t="s">
        <v>12373</v>
      </c>
      <c r="G15549" t="s">
        <v>16600</v>
      </c>
      <c r="H15549" t="s">
        <v>22459</v>
      </c>
    </row>
    <row r="15550" spans="1:8">
      <c r="A15550" t="s">
        <v>630</v>
      </c>
      <c r="B15550">
        <f>HYPERLINK("https://android.googlesource.com/platform/cts/+/fef5e2c93f8f4371d52eec56dd8da7012e970da5", "fef5e2c93f8f4371d52eec56dd8da7012e970da5")</f>
        <v>0</v>
      </c>
      <c r="C15550">
        <f>HYPERLINK("https://android.googlesource.com/platform/cts/+/beb727c733565b48db1c3ee5ff3ca990b4682fc7", "beb727c733565b48db1c3ee5ff3ca990b4682fc7")</f>
        <v>0</v>
      </c>
      <c r="D15550" t="s">
        <v>5002</v>
      </c>
      <c r="E15550" t="s">
        <v>6415</v>
      </c>
      <c r="F15550" t="s">
        <v>12374</v>
      </c>
      <c r="G15550" t="s">
        <v>16601</v>
      </c>
      <c r="H15550" t="s">
        <v>20244</v>
      </c>
    </row>
    <row r="15551" spans="1:8">
      <c r="H15551" t="s">
        <v>22460</v>
      </c>
    </row>
    <row r="15552" spans="1:8">
      <c r="H15552" t="s">
        <v>18927</v>
      </c>
    </row>
    <row r="15553" spans="1:8">
      <c r="F15553" t="s">
        <v>10745</v>
      </c>
      <c r="G15553" t="s">
        <v>15144</v>
      </c>
      <c r="H15553" t="s">
        <v>22461</v>
      </c>
    </row>
    <row r="15554" spans="1:8">
      <c r="F15554" t="s">
        <v>12375</v>
      </c>
      <c r="G15554" t="s">
        <v>16602</v>
      </c>
      <c r="H15554" t="s">
        <v>22461</v>
      </c>
    </row>
    <row r="15555" spans="1:8">
      <c r="A15555" t="s">
        <v>631</v>
      </c>
      <c r="B15555">
        <f>HYPERLINK("https://android.googlesource.com/platform/cts/+/7e48d4c1959396d08a315a237a456442137d80a6", "7e48d4c1959396d08a315a237a456442137d80a6")</f>
        <v>0</v>
      </c>
      <c r="C15555">
        <f>HYPERLINK("https://android.googlesource.com/platform/cts/+/beb727c733565b48db1c3ee5ff3ca990b4682fc7", "beb727c733565b48db1c3ee5ff3ca990b4682fc7")</f>
        <v>0</v>
      </c>
      <c r="D15555" t="s">
        <v>4952</v>
      </c>
      <c r="E15555" t="s">
        <v>6416</v>
      </c>
      <c r="F15555" t="s">
        <v>12376</v>
      </c>
      <c r="G15555" t="s">
        <v>16603</v>
      </c>
      <c r="H15555" t="s">
        <v>22462</v>
      </c>
    </row>
    <row r="15556" spans="1:8">
      <c r="H15556" t="s">
        <v>22463</v>
      </c>
    </row>
    <row r="15557" spans="1:8">
      <c r="H15557" t="s">
        <v>22464</v>
      </c>
    </row>
    <row r="15558" spans="1:8">
      <c r="H15558" t="s">
        <v>22465</v>
      </c>
    </row>
    <row r="15559" spans="1:8">
      <c r="H15559" t="s">
        <v>22466</v>
      </c>
    </row>
    <row r="15560" spans="1:8">
      <c r="A15560" t="s">
        <v>632</v>
      </c>
      <c r="B15560">
        <f>HYPERLINK("https://android.googlesource.com/platform/cts/+/774c01574557a7b544f5d41473d3448a8d88581a", "774c01574557a7b544f5d41473d3448a8d88581a")</f>
        <v>0</v>
      </c>
      <c r="C15560">
        <f>HYPERLINK("https://android.googlesource.com/platform/cts/+/22d7ed486e3ae5294b51ef84b11aa11d295517f0", "22d7ed486e3ae5294b51ef84b11aa11d295517f0")</f>
        <v>0</v>
      </c>
      <c r="D15560" t="s">
        <v>5013</v>
      </c>
      <c r="E15560" t="s">
        <v>6417</v>
      </c>
      <c r="F15560" t="s">
        <v>12377</v>
      </c>
      <c r="G15560" t="s">
        <v>16604</v>
      </c>
      <c r="H15560" t="s">
        <v>22467</v>
      </c>
    </row>
    <row r="15561" spans="1:8">
      <c r="H15561" t="s">
        <v>22468</v>
      </c>
    </row>
    <row r="15562" spans="1:8">
      <c r="H15562" t="s">
        <v>22469</v>
      </c>
    </row>
    <row r="15563" spans="1:8">
      <c r="H15563" t="s">
        <v>22470</v>
      </c>
    </row>
    <row r="15564" spans="1:8">
      <c r="H15564" t="s">
        <v>22471</v>
      </c>
    </row>
    <row r="15565" spans="1:8">
      <c r="H15565" t="s">
        <v>22472</v>
      </c>
    </row>
    <row r="15566" spans="1:8">
      <c r="A15566" t="s">
        <v>633</v>
      </c>
      <c r="B15566">
        <f>HYPERLINK("https://android.googlesource.com/platform/cts/+/e00a2b8d92832236fc647d74acf21b7f4b35677b", "e00a2b8d92832236fc647d74acf21b7f4b35677b")</f>
        <v>0</v>
      </c>
      <c r="C15566">
        <f>HYPERLINK("https://android.googlesource.com/platform/cts/+/fef5e2c93f8f4371d52eec56dd8da7012e970da5", "fef5e2c93f8f4371d52eec56dd8da7012e970da5")</f>
        <v>0</v>
      </c>
      <c r="D15566" t="s">
        <v>5002</v>
      </c>
      <c r="E15566" t="s">
        <v>6418</v>
      </c>
      <c r="F15566" t="s">
        <v>11479</v>
      </c>
      <c r="G15566" t="s">
        <v>15719</v>
      </c>
      <c r="H15566" t="s">
        <v>22473</v>
      </c>
    </row>
    <row r="15567" spans="1:8">
      <c r="H15567" t="s">
        <v>22474</v>
      </c>
    </row>
    <row r="15568" spans="1:8">
      <c r="H15568" t="s">
        <v>20445</v>
      </c>
    </row>
    <row r="15569" spans="6:8">
      <c r="F15569" t="s">
        <v>10734</v>
      </c>
      <c r="G15569" t="s">
        <v>15133</v>
      </c>
      <c r="H15569" t="s">
        <v>22475</v>
      </c>
    </row>
    <row r="15570" spans="6:8">
      <c r="H15570" t="s">
        <v>22476</v>
      </c>
    </row>
    <row r="15571" spans="6:8">
      <c r="H15571" t="s">
        <v>22477</v>
      </c>
    </row>
    <row r="15572" spans="6:8">
      <c r="F15572" t="s">
        <v>12378</v>
      </c>
      <c r="G15572" t="s">
        <v>15334</v>
      </c>
      <c r="H15572" t="s">
        <v>19745</v>
      </c>
    </row>
    <row r="15573" spans="6:8">
      <c r="F15573" t="s">
        <v>12379</v>
      </c>
      <c r="G15573" t="s">
        <v>16605</v>
      </c>
      <c r="H15573" t="s">
        <v>19169</v>
      </c>
    </row>
    <row r="15574" spans="6:8">
      <c r="F15574" t="s">
        <v>12329</v>
      </c>
      <c r="G15574" t="s">
        <v>15331</v>
      </c>
      <c r="H15574" t="s">
        <v>19727</v>
      </c>
    </row>
    <row r="15575" spans="6:8">
      <c r="H15575" t="s">
        <v>19728</v>
      </c>
    </row>
    <row r="15576" spans="6:8">
      <c r="F15576" t="s">
        <v>12380</v>
      </c>
      <c r="G15576" t="s">
        <v>16606</v>
      </c>
      <c r="H15576" t="s">
        <v>18829</v>
      </c>
    </row>
    <row r="15577" spans="6:8">
      <c r="H15577" t="s">
        <v>22478</v>
      </c>
    </row>
    <row r="15578" spans="6:8">
      <c r="H15578" t="s">
        <v>22479</v>
      </c>
    </row>
    <row r="15579" spans="6:8">
      <c r="H15579" t="s">
        <v>22480</v>
      </c>
    </row>
    <row r="15580" spans="6:8">
      <c r="H15580" t="s">
        <v>22481</v>
      </c>
    </row>
    <row r="15581" spans="6:8">
      <c r="H15581" t="s">
        <v>22482</v>
      </c>
    </row>
    <row r="15582" spans="6:8">
      <c r="H15582" t="s">
        <v>22483</v>
      </c>
    </row>
    <row r="15583" spans="6:8">
      <c r="H15583" t="s">
        <v>22484</v>
      </c>
    </row>
    <row r="15584" spans="6:8">
      <c r="H15584" t="s">
        <v>22485</v>
      </c>
    </row>
    <row r="15585" spans="1:8">
      <c r="H15585" t="s">
        <v>22486</v>
      </c>
    </row>
    <row r="15586" spans="1:8">
      <c r="H15586" t="s">
        <v>22487</v>
      </c>
    </row>
    <row r="15587" spans="1:8">
      <c r="H15587" t="s">
        <v>22488</v>
      </c>
    </row>
    <row r="15588" spans="1:8">
      <c r="H15588" t="s">
        <v>22489</v>
      </c>
    </row>
    <row r="15589" spans="1:8">
      <c r="H15589" t="s">
        <v>22490</v>
      </c>
    </row>
    <row r="15590" spans="1:8">
      <c r="H15590" t="s">
        <v>22491</v>
      </c>
    </row>
    <row r="15591" spans="1:8">
      <c r="H15591" t="s">
        <v>22492</v>
      </c>
    </row>
    <row r="15592" spans="1:8">
      <c r="H15592" t="s">
        <v>22493</v>
      </c>
    </row>
    <row r="15593" spans="1:8">
      <c r="H15593" t="s">
        <v>22494</v>
      </c>
    </row>
    <row r="15594" spans="1:8">
      <c r="H15594" t="s">
        <v>22495</v>
      </c>
    </row>
    <row r="15595" spans="1:8">
      <c r="A15595" t="s">
        <v>634</v>
      </c>
      <c r="B15595">
        <f>HYPERLINK("https://android.googlesource.com/platform/cts/+/b7f8949d760eaa3d9af623f730f01b3cd72205c8", "b7f8949d760eaa3d9af623f730f01b3cd72205c8")</f>
        <v>0</v>
      </c>
      <c r="C15595">
        <f>HYPERLINK("https://android.googlesource.com/platform/cts/+/bf9021c60e54a6120acb9368c5cbd382f099fb16", "bf9021c60e54a6120acb9368c5cbd382f099fb16")</f>
        <v>0</v>
      </c>
      <c r="D15595" t="s">
        <v>5013</v>
      </c>
      <c r="E15595" t="s">
        <v>6419</v>
      </c>
      <c r="F15595" t="s">
        <v>12381</v>
      </c>
      <c r="G15595" t="s">
        <v>16607</v>
      </c>
      <c r="H15595" t="s">
        <v>22496</v>
      </c>
    </row>
    <row r="15596" spans="1:8">
      <c r="F15596" t="s">
        <v>12322</v>
      </c>
      <c r="G15596" t="s">
        <v>16552</v>
      </c>
      <c r="H15596" t="s">
        <v>22497</v>
      </c>
    </row>
    <row r="15597" spans="1:8">
      <c r="A15597" t="s">
        <v>635</v>
      </c>
      <c r="B15597">
        <f>HYPERLINK("https://android.googlesource.com/platform/cts/+/e0c56355cc48c33a0535850a6d75882aa80b0363", "e0c56355cc48c33a0535850a6d75882aa80b0363")</f>
        <v>0</v>
      </c>
      <c r="C15597">
        <f>HYPERLINK("https://android.googlesource.com/platform/cts/+/c354f8c661ad50aadd719de13d902ce7824f7aad", "c354f8c661ad50aadd719de13d902ce7824f7aad")</f>
        <v>0</v>
      </c>
      <c r="D15597" t="s">
        <v>5018</v>
      </c>
      <c r="E15597" t="s">
        <v>6420</v>
      </c>
      <c r="F15597" t="s">
        <v>12382</v>
      </c>
      <c r="G15597" t="s">
        <v>16608</v>
      </c>
      <c r="H15597" t="s">
        <v>22498</v>
      </c>
    </row>
    <row r="15598" spans="1:8">
      <c r="A15598" t="s">
        <v>636</v>
      </c>
      <c r="B15598">
        <f>HYPERLINK("https://android.googlesource.com/platform/cts/+/46f616f6f7fdd8195443acbdb5c09359ac203376", "46f616f6f7fdd8195443acbdb5c09359ac203376")</f>
        <v>0</v>
      </c>
      <c r="C15598">
        <f>HYPERLINK("https://android.googlesource.com/platform/cts/+/1b77bfc9258a8901f534c0d407959df15bfc11cd", "1b77bfc9258a8901f534c0d407959df15bfc11cd")</f>
        <v>0</v>
      </c>
      <c r="D15598" t="s">
        <v>5018</v>
      </c>
      <c r="E15598" t="s">
        <v>6421</v>
      </c>
      <c r="F15598" t="s">
        <v>12383</v>
      </c>
      <c r="G15598" t="s">
        <v>16609</v>
      </c>
      <c r="H15598" t="s">
        <v>18863</v>
      </c>
    </row>
    <row r="15599" spans="1:8">
      <c r="A15599" t="s">
        <v>637</v>
      </c>
      <c r="B15599">
        <f>HYPERLINK("https://android.googlesource.com/platform/cts/+/e337f8e68faf3222f4d8493e031ca33e055d266f", "e337f8e68faf3222f4d8493e031ca33e055d266f")</f>
        <v>0</v>
      </c>
      <c r="C15599">
        <f>HYPERLINK("https://android.googlesource.com/platform/cts/+/9afe698a2605aa52b25454fd740848ac2d097bcd", "9afe698a2605aa52b25454fd740848ac2d097bcd")</f>
        <v>0</v>
      </c>
      <c r="D15599" t="s">
        <v>4949</v>
      </c>
      <c r="E15599" t="s">
        <v>6422</v>
      </c>
      <c r="F15599" t="s">
        <v>12333</v>
      </c>
      <c r="G15599" t="s">
        <v>16561</v>
      </c>
      <c r="H15599" t="s">
        <v>22499</v>
      </c>
    </row>
    <row r="15600" spans="1:8">
      <c r="H15600" t="s">
        <v>22500</v>
      </c>
    </row>
    <row r="15601" spans="1:8">
      <c r="A15601" t="s">
        <v>638</v>
      </c>
      <c r="B15601">
        <f>HYPERLINK("https://android.googlesource.com/platform/cts/+/814b63f9b79f80195679e66fb40e256e3fec953a", "814b63f9b79f80195679e66fb40e256e3fec953a")</f>
        <v>0</v>
      </c>
      <c r="C15601">
        <f>HYPERLINK("https://android.googlesource.com/platform/cts/+/f69d80cb31c34c0de186f17de65b281a5b4298e3", "f69d80cb31c34c0de186f17de65b281a5b4298e3")</f>
        <v>0</v>
      </c>
      <c r="D15601" t="s">
        <v>5052</v>
      </c>
      <c r="E15601" t="s">
        <v>6423</v>
      </c>
      <c r="F15601" t="s">
        <v>12384</v>
      </c>
      <c r="G15601" t="s">
        <v>16610</v>
      </c>
      <c r="H15601" t="s">
        <v>22501</v>
      </c>
    </row>
    <row r="15602" spans="1:8">
      <c r="H15602" t="s">
        <v>22502</v>
      </c>
    </row>
    <row r="15603" spans="1:8">
      <c r="H15603" t="s">
        <v>22503</v>
      </c>
    </row>
    <row r="15604" spans="1:8">
      <c r="H15604" t="s">
        <v>22504</v>
      </c>
    </row>
    <row r="15605" spans="1:8">
      <c r="H15605" t="s">
        <v>22505</v>
      </c>
    </row>
    <row r="15606" spans="1:8">
      <c r="F15606" t="s">
        <v>12385</v>
      </c>
      <c r="G15606" t="s">
        <v>16600</v>
      </c>
      <c r="H15606" t="s">
        <v>22459</v>
      </c>
    </row>
    <row r="15607" spans="1:8">
      <c r="A15607" t="s">
        <v>639</v>
      </c>
      <c r="B15607">
        <f>HYPERLINK("https://android.googlesource.com/platform/cts/+/8eb978837675fb5f785f51c357e83c8032c8cfb9", "8eb978837675fb5f785f51c357e83c8032c8cfb9")</f>
        <v>0</v>
      </c>
      <c r="C15607">
        <f>HYPERLINK("https://android.googlesource.com/platform/cts/+/f2071f60a465485ca9fcd6286a378975a35fd827", "f2071f60a465485ca9fcd6286a378975a35fd827")</f>
        <v>0</v>
      </c>
      <c r="D15607" t="s">
        <v>4952</v>
      </c>
      <c r="E15607" t="s">
        <v>6424</v>
      </c>
      <c r="F15607" t="s">
        <v>10695</v>
      </c>
      <c r="G15607" t="s">
        <v>15095</v>
      </c>
      <c r="H15607" t="s">
        <v>22506</v>
      </c>
    </row>
    <row r="15608" spans="1:8">
      <c r="A15608" t="s">
        <v>640</v>
      </c>
      <c r="B15608">
        <f>HYPERLINK("https://android.googlesource.com/platform/cts/+/903ea27402939e0559c5be028b6dde2b64a8dae6", "903ea27402939e0559c5be028b6dde2b64a8dae6")</f>
        <v>0</v>
      </c>
      <c r="C15608">
        <f>HYPERLINK("https://android.googlesource.com/platform/cts/+/7dab75cc1d566395701cd3aa337600dbc2de9f15", "7dab75cc1d566395701cd3aa337600dbc2de9f15")</f>
        <v>0</v>
      </c>
      <c r="D15608" t="s">
        <v>5053</v>
      </c>
      <c r="E15608" t="s">
        <v>6425</v>
      </c>
      <c r="F15608" t="s">
        <v>12386</v>
      </c>
      <c r="G15608" t="s">
        <v>16611</v>
      </c>
      <c r="H15608" t="s">
        <v>22507</v>
      </c>
    </row>
    <row r="15609" spans="1:8">
      <c r="H15609" t="s">
        <v>22508</v>
      </c>
    </row>
    <row r="15610" spans="1:8">
      <c r="H15610" t="s">
        <v>22509</v>
      </c>
    </row>
    <row r="15611" spans="1:8">
      <c r="F15611" t="s">
        <v>12387</v>
      </c>
      <c r="G15611" t="s">
        <v>16612</v>
      </c>
      <c r="H15611" t="s">
        <v>22507</v>
      </c>
    </row>
    <row r="15612" spans="1:8">
      <c r="H15612" t="s">
        <v>22508</v>
      </c>
    </row>
    <row r="15613" spans="1:8">
      <c r="H15613" t="s">
        <v>22510</v>
      </c>
    </row>
    <row r="15614" spans="1:8">
      <c r="A15614" t="s">
        <v>641</v>
      </c>
      <c r="B15614">
        <f>HYPERLINK("https://android.googlesource.com/platform/cts/+/619b7e2a1d66b7deac94f546e1e1a1a0ced64cd1", "619b7e2a1d66b7deac94f546e1e1a1a0ced64cd1")</f>
        <v>0</v>
      </c>
      <c r="C15614">
        <f>HYPERLINK("https://android.googlesource.com/platform/cts/+/090352bd37f5c56a75d6d2141be39c6704443e9a", "090352bd37f5c56a75d6d2141be39c6704443e9a")</f>
        <v>0</v>
      </c>
      <c r="D15614" t="s">
        <v>5047</v>
      </c>
      <c r="E15614" t="s">
        <v>6426</v>
      </c>
      <c r="F15614" t="s">
        <v>12388</v>
      </c>
      <c r="G15614" t="s">
        <v>16613</v>
      </c>
      <c r="H15614" t="s">
        <v>22511</v>
      </c>
    </row>
    <row r="15615" spans="1:8">
      <c r="H15615" t="s">
        <v>18927</v>
      </c>
    </row>
    <row r="15616" spans="1:8">
      <c r="H15616" t="s">
        <v>18929</v>
      </c>
    </row>
    <row r="15617" spans="1:8">
      <c r="H15617" t="s">
        <v>22512</v>
      </c>
    </row>
    <row r="15618" spans="1:8">
      <c r="H15618" t="s">
        <v>22513</v>
      </c>
    </row>
    <row r="15619" spans="1:8">
      <c r="H15619" t="s">
        <v>22514</v>
      </c>
    </row>
    <row r="15620" spans="1:8">
      <c r="H15620" t="s">
        <v>22515</v>
      </c>
    </row>
    <row r="15621" spans="1:8">
      <c r="A15621" t="s">
        <v>642</v>
      </c>
      <c r="B15621">
        <f>HYPERLINK("https://android.googlesource.com/platform/cts/+/60aa6c0d72bccf01cfc6752160decf5940c0d605", "60aa6c0d72bccf01cfc6752160decf5940c0d605")</f>
        <v>0</v>
      </c>
      <c r="C15621">
        <f>HYPERLINK("https://android.googlesource.com/platform/cts/+/594bce789f06a1499b54246b108c066cb2252d01", "594bce789f06a1499b54246b108c066cb2252d01")</f>
        <v>0</v>
      </c>
      <c r="D15621" t="s">
        <v>5054</v>
      </c>
      <c r="E15621" t="s">
        <v>6427</v>
      </c>
      <c r="F15621" t="s">
        <v>12370</v>
      </c>
      <c r="G15621" t="s">
        <v>16597</v>
      </c>
      <c r="H15621" t="s">
        <v>22516</v>
      </c>
    </row>
    <row r="15622" spans="1:8">
      <c r="H15622" t="s">
        <v>22517</v>
      </c>
    </row>
    <row r="15623" spans="1:8">
      <c r="H15623" t="s">
        <v>22518</v>
      </c>
    </row>
    <row r="15624" spans="1:8">
      <c r="H15624" t="s">
        <v>22519</v>
      </c>
    </row>
    <row r="15625" spans="1:8">
      <c r="H15625" t="s">
        <v>22520</v>
      </c>
    </row>
    <row r="15626" spans="1:8">
      <c r="H15626" t="s">
        <v>22521</v>
      </c>
    </row>
    <row r="15627" spans="1:8">
      <c r="H15627" t="s">
        <v>22522</v>
      </c>
    </row>
    <row r="15628" spans="1:8">
      <c r="H15628" t="s">
        <v>22523</v>
      </c>
    </row>
    <row r="15629" spans="1:8">
      <c r="H15629" t="s">
        <v>22524</v>
      </c>
    </row>
    <row r="15630" spans="1:8">
      <c r="H15630" t="s">
        <v>22525</v>
      </c>
    </row>
    <row r="15631" spans="1:8">
      <c r="H15631" t="s">
        <v>22526</v>
      </c>
    </row>
    <row r="15632" spans="1:8">
      <c r="H15632" t="s">
        <v>22527</v>
      </c>
    </row>
    <row r="15633" spans="1:8">
      <c r="H15633" t="s">
        <v>22528</v>
      </c>
    </row>
    <row r="15634" spans="1:8">
      <c r="H15634" t="s">
        <v>22529</v>
      </c>
    </row>
    <row r="15635" spans="1:8">
      <c r="H15635" t="s">
        <v>22530</v>
      </c>
    </row>
    <row r="15636" spans="1:8">
      <c r="H15636" t="s">
        <v>22531</v>
      </c>
    </row>
    <row r="15637" spans="1:8">
      <c r="H15637" t="s">
        <v>22532</v>
      </c>
    </row>
    <row r="15638" spans="1:8">
      <c r="H15638" t="s">
        <v>22533</v>
      </c>
    </row>
    <row r="15639" spans="1:8">
      <c r="H15639" t="s">
        <v>22534</v>
      </c>
    </row>
    <row r="15640" spans="1:8">
      <c r="H15640" t="s">
        <v>22535</v>
      </c>
    </row>
    <row r="15641" spans="1:8">
      <c r="A15641" t="s">
        <v>643</v>
      </c>
      <c r="B15641">
        <f>HYPERLINK("https://android.googlesource.com/platform/cts/+/f797404407641c7105c863b7cb75cc93e5e6cb88", "f797404407641c7105c863b7cb75cc93e5e6cb88")</f>
        <v>0</v>
      </c>
      <c r="C15641">
        <f>HYPERLINK("https://android.googlesource.com/platform/cts/+/a0277538f0ef4eec3fc686c78fe99d8fac1a1f41", "a0277538f0ef4eec3fc686c78fe99d8fac1a1f41")</f>
        <v>0</v>
      </c>
      <c r="D15641" t="s">
        <v>5055</v>
      </c>
      <c r="E15641" t="s">
        <v>6428</v>
      </c>
      <c r="F15641" t="s">
        <v>12389</v>
      </c>
      <c r="G15641" t="s">
        <v>16614</v>
      </c>
      <c r="H15641" t="s">
        <v>22536</v>
      </c>
    </row>
    <row r="15642" spans="1:8">
      <c r="A15642" t="s">
        <v>644</v>
      </c>
      <c r="B15642">
        <f>HYPERLINK("https://android.googlesource.com/platform/cts/+/31f5743c5522820b490404f8026b8051368dc106", "31f5743c5522820b490404f8026b8051368dc106")</f>
        <v>0</v>
      </c>
      <c r="C15642">
        <f>HYPERLINK("https://android.googlesource.com/platform/cts/+/ba8be2ffd90af05cbc882a52e54db6a7bf5acc7c", "ba8be2ffd90af05cbc882a52e54db6a7bf5acc7c")</f>
        <v>0</v>
      </c>
      <c r="D15642" t="s">
        <v>5013</v>
      </c>
      <c r="E15642" t="s">
        <v>6429</v>
      </c>
      <c r="F15642" t="s">
        <v>12390</v>
      </c>
      <c r="G15642" t="s">
        <v>16615</v>
      </c>
      <c r="H15642" t="s">
        <v>22537</v>
      </c>
    </row>
    <row r="15643" spans="1:8">
      <c r="H15643" t="s">
        <v>22538</v>
      </c>
    </row>
    <row r="15644" spans="1:8">
      <c r="H15644" t="s">
        <v>22539</v>
      </c>
    </row>
    <row r="15645" spans="1:8">
      <c r="A15645" t="s">
        <v>645</v>
      </c>
      <c r="B15645">
        <f>HYPERLINK("https://android.googlesource.com/platform/cts/+/e9ec75e038faf78fbfa9a44fcac7b861c8473aa5", "e9ec75e038faf78fbfa9a44fcac7b861c8473aa5")</f>
        <v>0</v>
      </c>
      <c r="C15645">
        <f>HYPERLINK("https://android.googlesource.com/platform/cts/+/ba8be2ffd90af05cbc882a52e54db6a7bf5acc7c", "ba8be2ffd90af05cbc882a52e54db6a7bf5acc7c")</f>
        <v>0</v>
      </c>
      <c r="D15645" t="s">
        <v>5007</v>
      </c>
      <c r="E15645" t="s">
        <v>6430</v>
      </c>
      <c r="F15645" t="s">
        <v>12391</v>
      </c>
      <c r="G15645" t="s">
        <v>16616</v>
      </c>
      <c r="H15645" t="s">
        <v>22540</v>
      </c>
    </row>
    <row r="15646" spans="1:8">
      <c r="H15646" t="s">
        <v>22541</v>
      </c>
    </row>
    <row r="15647" spans="1:8">
      <c r="H15647" t="s">
        <v>22542</v>
      </c>
    </row>
    <row r="15648" spans="1:8">
      <c r="H15648" t="s">
        <v>22543</v>
      </c>
    </row>
    <row r="15649" spans="8:8">
      <c r="H15649" t="s">
        <v>22544</v>
      </c>
    </row>
    <row r="15650" spans="8:8">
      <c r="H15650" t="s">
        <v>22545</v>
      </c>
    </row>
    <row r="15651" spans="8:8">
      <c r="H15651" t="s">
        <v>22546</v>
      </c>
    </row>
    <row r="15652" spans="8:8">
      <c r="H15652" t="s">
        <v>22547</v>
      </c>
    </row>
    <row r="15653" spans="8:8">
      <c r="H15653" t="s">
        <v>22548</v>
      </c>
    </row>
    <row r="15654" spans="8:8">
      <c r="H15654" t="s">
        <v>22549</v>
      </c>
    </row>
    <row r="15655" spans="8:8">
      <c r="H15655" t="s">
        <v>22550</v>
      </c>
    </row>
    <row r="15656" spans="8:8">
      <c r="H15656" t="s">
        <v>22551</v>
      </c>
    </row>
    <row r="15657" spans="8:8">
      <c r="H15657" t="s">
        <v>22552</v>
      </c>
    </row>
    <row r="15658" spans="8:8">
      <c r="H15658" t="s">
        <v>22553</v>
      </c>
    </row>
    <row r="15659" spans="8:8">
      <c r="H15659" t="s">
        <v>22554</v>
      </c>
    </row>
    <row r="15660" spans="8:8">
      <c r="H15660" t="s">
        <v>22555</v>
      </c>
    </row>
    <row r="15661" spans="8:8">
      <c r="H15661" t="s">
        <v>22556</v>
      </c>
    </row>
    <row r="15662" spans="8:8">
      <c r="H15662" t="s">
        <v>22557</v>
      </c>
    </row>
    <row r="15663" spans="8:8">
      <c r="H15663" t="s">
        <v>22558</v>
      </c>
    </row>
    <row r="15664" spans="8:8">
      <c r="H15664" t="s">
        <v>22559</v>
      </c>
    </row>
    <row r="15665" spans="8:8">
      <c r="H15665" t="s">
        <v>22560</v>
      </c>
    </row>
    <row r="15666" spans="8:8">
      <c r="H15666" t="s">
        <v>22561</v>
      </c>
    </row>
    <row r="15667" spans="8:8">
      <c r="H15667" t="s">
        <v>22562</v>
      </c>
    </row>
    <row r="15668" spans="8:8">
      <c r="H15668" t="s">
        <v>22563</v>
      </c>
    </row>
    <row r="15669" spans="8:8">
      <c r="H15669" t="s">
        <v>22564</v>
      </c>
    </row>
    <row r="15670" spans="8:8">
      <c r="H15670" t="s">
        <v>22565</v>
      </c>
    </row>
    <row r="15671" spans="8:8">
      <c r="H15671" t="s">
        <v>22566</v>
      </c>
    </row>
    <row r="15672" spans="8:8">
      <c r="H15672" t="s">
        <v>22567</v>
      </c>
    </row>
    <row r="15673" spans="8:8">
      <c r="H15673" t="s">
        <v>22568</v>
      </c>
    </row>
    <row r="15674" spans="8:8">
      <c r="H15674" t="s">
        <v>22569</v>
      </c>
    </row>
    <row r="15675" spans="8:8">
      <c r="H15675" t="s">
        <v>22570</v>
      </c>
    </row>
    <row r="15676" spans="8:8">
      <c r="H15676" t="s">
        <v>22571</v>
      </c>
    </row>
    <row r="15677" spans="8:8">
      <c r="H15677" t="s">
        <v>22572</v>
      </c>
    </row>
    <row r="15678" spans="8:8">
      <c r="H15678" t="s">
        <v>22573</v>
      </c>
    </row>
    <row r="15679" spans="8:8">
      <c r="H15679" t="s">
        <v>22574</v>
      </c>
    </row>
    <row r="15680" spans="8:8">
      <c r="H15680" t="s">
        <v>22575</v>
      </c>
    </row>
    <row r="15681" spans="1:8">
      <c r="H15681" t="s">
        <v>22576</v>
      </c>
    </row>
    <row r="15682" spans="1:8">
      <c r="A15682" t="s">
        <v>646</v>
      </c>
      <c r="B15682">
        <f>HYPERLINK("https://android.googlesource.com/platform/cts/+/f67280f1c1b720c6e1f651e2092ccbb207539b4c", "f67280f1c1b720c6e1f651e2092ccbb207539b4c")</f>
        <v>0</v>
      </c>
      <c r="C15682">
        <f>HYPERLINK("https://android.googlesource.com/platform/cts/+/2635cc8e87289ee5d9e186ad3ee4699b34b48c20", "2635cc8e87289ee5d9e186ad3ee4699b34b48c20")</f>
        <v>0</v>
      </c>
      <c r="D15682" t="s">
        <v>5002</v>
      </c>
      <c r="E15682" t="s">
        <v>6431</v>
      </c>
      <c r="F15682" t="s">
        <v>10734</v>
      </c>
      <c r="G15682" t="s">
        <v>15133</v>
      </c>
      <c r="H15682" t="s">
        <v>22577</v>
      </c>
    </row>
    <row r="15683" spans="1:8">
      <c r="H15683" t="s">
        <v>22578</v>
      </c>
    </row>
    <row r="15684" spans="1:8">
      <c r="A15684" t="s">
        <v>647</v>
      </c>
      <c r="B15684">
        <f>HYPERLINK("https://android.googlesource.com/platform/cts/+/17aafef6b643b07102d9a7284eca3d4c3296021f", "17aafef6b643b07102d9a7284eca3d4c3296021f")</f>
        <v>0</v>
      </c>
      <c r="C15684">
        <f>HYPERLINK("https://android.googlesource.com/platform/cts/+/a7fc8dbfef73bebd77d53f9083bb17daddcafc2a", "a7fc8dbfef73bebd77d53f9083bb17daddcafc2a")</f>
        <v>0</v>
      </c>
      <c r="D15684" t="s">
        <v>5044</v>
      </c>
      <c r="E15684" t="s">
        <v>6432</v>
      </c>
      <c r="F15684" t="s">
        <v>12392</v>
      </c>
      <c r="G15684" t="s">
        <v>16617</v>
      </c>
      <c r="H15684" t="s">
        <v>18829</v>
      </c>
    </row>
    <row r="15685" spans="1:8">
      <c r="F15685" t="s">
        <v>12393</v>
      </c>
      <c r="G15685" t="s">
        <v>16618</v>
      </c>
      <c r="H15685" t="s">
        <v>22579</v>
      </c>
    </row>
    <row r="15686" spans="1:8">
      <c r="F15686" t="s">
        <v>12394</v>
      </c>
      <c r="G15686" t="s">
        <v>16619</v>
      </c>
      <c r="H15686" t="s">
        <v>20244</v>
      </c>
    </row>
    <row r="15687" spans="1:8">
      <c r="H15687" t="s">
        <v>18829</v>
      </c>
    </row>
    <row r="15688" spans="1:8">
      <c r="H15688" t="s">
        <v>22580</v>
      </c>
    </row>
    <row r="15689" spans="1:8">
      <c r="H15689" t="s">
        <v>18863</v>
      </c>
    </row>
    <row r="15690" spans="1:8">
      <c r="H15690" t="s">
        <v>22581</v>
      </c>
    </row>
    <row r="15691" spans="1:8">
      <c r="H15691" t="s">
        <v>22582</v>
      </c>
    </row>
    <row r="15692" spans="1:8">
      <c r="H15692" t="s">
        <v>22583</v>
      </c>
    </row>
    <row r="15693" spans="1:8">
      <c r="H15693" t="s">
        <v>22584</v>
      </c>
    </row>
    <row r="15694" spans="1:8">
      <c r="H15694" t="s">
        <v>22585</v>
      </c>
    </row>
    <row r="15695" spans="1:8">
      <c r="H15695" t="s">
        <v>22586</v>
      </c>
    </row>
    <row r="15696" spans="1:8">
      <c r="H15696" t="s">
        <v>22587</v>
      </c>
    </row>
    <row r="15697" spans="1:8">
      <c r="H15697" t="s">
        <v>22588</v>
      </c>
    </row>
    <row r="15698" spans="1:8">
      <c r="H15698" t="s">
        <v>22589</v>
      </c>
    </row>
    <row r="15699" spans="1:8">
      <c r="H15699" t="s">
        <v>22590</v>
      </c>
    </row>
    <row r="15700" spans="1:8">
      <c r="H15700" t="s">
        <v>22591</v>
      </c>
    </row>
    <row r="15701" spans="1:8">
      <c r="H15701" t="s">
        <v>22590</v>
      </c>
    </row>
    <row r="15702" spans="1:8">
      <c r="H15702" t="s">
        <v>22592</v>
      </c>
    </row>
    <row r="15703" spans="1:8">
      <c r="H15703" t="s">
        <v>22593</v>
      </c>
    </row>
    <row r="15704" spans="1:8">
      <c r="H15704" t="s">
        <v>22594</v>
      </c>
    </row>
    <row r="15705" spans="1:8">
      <c r="A15705" t="s">
        <v>648</v>
      </c>
      <c r="B15705">
        <f>HYPERLINK("https://android.googlesource.com/platform/cts/+/a5c70e1993d7dbf2bb1c12ac38a94b29c8529ec6", "a5c70e1993d7dbf2bb1c12ac38a94b29c8529ec6")</f>
        <v>0</v>
      </c>
      <c r="C15705">
        <f>HYPERLINK("https://android.googlesource.com/platform/cts/+/26215f546dd22c93b3cfd58f668ceead1ca0005f", "26215f546dd22c93b3cfd58f668ceead1ca0005f")</f>
        <v>0</v>
      </c>
      <c r="D15705" t="s">
        <v>5056</v>
      </c>
      <c r="E15705" t="s">
        <v>6433</v>
      </c>
      <c r="F15705" t="s">
        <v>12395</v>
      </c>
      <c r="G15705" t="s">
        <v>16620</v>
      </c>
      <c r="H15705" t="s">
        <v>22595</v>
      </c>
    </row>
    <row r="15706" spans="1:8">
      <c r="A15706" t="s">
        <v>649</v>
      </c>
      <c r="B15706">
        <f>HYPERLINK("https://android.googlesource.com/platform/cts/+/d82745ff4a8b174f7be1258fd329dedc52ce58bb", "d82745ff4a8b174f7be1258fd329dedc52ce58bb")</f>
        <v>0</v>
      </c>
      <c r="C15706">
        <f>HYPERLINK("https://android.googlesource.com/platform/cts/+/01a0abaa5d946965dd96c298dc31c7504dc844fe", "01a0abaa5d946965dd96c298dc31c7504dc844fe")</f>
        <v>0</v>
      </c>
      <c r="D15706" t="s">
        <v>5047</v>
      </c>
      <c r="E15706" t="s">
        <v>6434</v>
      </c>
      <c r="F15706" t="s">
        <v>12396</v>
      </c>
      <c r="G15706" t="s">
        <v>16613</v>
      </c>
      <c r="H15706" t="s">
        <v>22511</v>
      </c>
    </row>
    <row r="15707" spans="1:8">
      <c r="H15707" t="s">
        <v>18927</v>
      </c>
    </row>
    <row r="15708" spans="1:8">
      <c r="H15708" t="s">
        <v>18929</v>
      </c>
    </row>
    <row r="15709" spans="1:8">
      <c r="H15709" t="s">
        <v>22512</v>
      </c>
    </row>
    <row r="15710" spans="1:8">
      <c r="H15710" t="s">
        <v>22513</v>
      </c>
    </row>
    <row r="15711" spans="1:8">
      <c r="H15711" t="s">
        <v>22514</v>
      </c>
    </row>
    <row r="15712" spans="1:8">
      <c r="H15712" t="s">
        <v>22515</v>
      </c>
    </row>
    <row r="15713" spans="1:8">
      <c r="F15713" t="s">
        <v>12397</v>
      </c>
      <c r="G15713" t="s">
        <v>16613</v>
      </c>
      <c r="H15713" t="s">
        <v>22511</v>
      </c>
    </row>
    <row r="15714" spans="1:8">
      <c r="H15714" t="s">
        <v>18927</v>
      </c>
    </row>
    <row r="15715" spans="1:8">
      <c r="H15715" t="s">
        <v>18929</v>
      </c>
    </row>
    <row r="15716" spans="1:8">
      <c r="H15716" t="s">
        <v>22512</v>
      </c>
    </row>
    <row r="15717" spans="1:8">
      <c r="H15717" t="s">
        <v>22513</v>
      </c>
    </row>
    <row r="15718" spans="1:8">
      <c r="H15718" t="s">
        <v>22514</v>
      </c>
    </row>
    <row r="15719" spans="1:8">
      <c r="H15719" t="s">
        <v>22515</v>
      </c>
    </row>
    <row r="15720" spans="1:8">
      <c r="A15720" t="s">
        <v>650</v>
      </c>
      <c r="B15720">
        <f>HYPERLINK("https://android.googlesource.com/platform/cts/+/7defa712d3a9f54a52dece5ef7094f35f681e97e", "7defa712d3a9f54a52dece5ef7094f35f681e97e")</f>
        <v>0</v>
      </c>
      <c r="C15720">
        <f>HYPERLINK("https://android.googlesource.com/platform/cts/+/06f4097c1662191bb1bfd8eb28b907986ca839c8", "06f4097c1662191bb1bfd8eb28b907986ca839c8")</f>
        <v>0</v>
      </c>
      <c r="D15720" t="s">
        <v>5057</v>
      </c>
      <c r="E15720" t="s">
        <v>6435</v>
      </c>
      <c r="F15720" t="s">
        <v>12398</v>
      </c>
      <c r="G15720" t="s">
        <v>16621</v>
      </c>
      <c r="H15720" t="s">
        <v>22596</v>
      </c>
    </row>
    <row r="15721" spans="1:8">
      <c r="H15721" t="s">
        <v>22597</v>
      </c>
    </row>
    <row r="15722" spans="1:8">
      <c r="H15722" t="s">
        <v>22598</v>
      </c>
    </row>
    <row r="15723" spans="1:8">
      <c r="H15723" t="s">
        <v>22599</v>
      </c>
    </row>
    <row r="15724" spans="1:8">
      <c r="A15724" t="s">
        <v>651</v>
      </c>
      <c r="B15724">
        <f>HYPERLINK("https://android.googlesource.com/platform/cts/+/a8fe8f8bed94e10af6071c823c3dac99c957bda3", "a8fe8f8bed94e10af6071c823c3dac99c957bda3")</f>
        <v>0</v>
      </c>
      <c r="C15724">
        <f>HYPERLINK("https://android.googlesource.com/platform/cts/+/3924da3d4d4d1ce2a5329834a7a3f9e270aec892", "3924da3d4d4d1ce2a5329834a7a3f9e270aec892")</f>
        <v>0</v>
      </c>
      <c r="D15724" t="s">
        <v>5058</v>
      </c>
      <c r="E15724" t="s">
        <v>6436</v>
      </c>
      <c r="F15724" t="s">
        <v>12399</v>
      </c>
      <c r="G15724" t="s">
        <v>16606</v>
      </c>
      <c r="H15724" t="s">
        <v>22480</v>
      </c>
    </row>
    <row r="15725" spans="1:8">
      <c r="A15725" t="s">
        <v>652</v>
      </c>
      <c r="B15725">
        <f>HYPERLINK("https://android.googlesource.com/platform/cts/+/d1301be379b0090f9f39a25a69fd0e77c02ac944", "d1301be379b0090f9f39a25a69fd0e77c02ac944")</f>
        <v>0</v>
      </c>
      <c r="C15725">
        <f>HYPERLINK("https://android.googlesource.com/platform/cts/+/4aa17ebc9e4c4e2566500a5d5b33767abeaaf8aa", "4aa17ebc9e4c4e2566500a5d5b33767abeaaf8aa")</f>
        <v>0</v>
      </c>
      <c r="D15725" t="s">
        <v>5007</v>
      </c>
      <c r="E15725" t="s">
        <v>6437</v>
      </c>
      <c r="F15725" t="s">
        <v>12391</v>
      </c>
      <c r="G15725" t="s">
        <v>16616</v>
      </c>
      <c r="H15725" t="s">
        <v>22540</v>
      </c>
    </row>
    <row r="15726" spans="1:8">
      <c r="H15726" t="s">
        <v>22541</v>
      </c>
    </row>
    <row r="15727" spans="1:8">
      <c r="H15727" t="s">
        <v>22542</v>
      </c>
    </row>
    <row r="15728" spans="1:8">
      <c r="H15728" t="s">
        <v>22543</v>
      </c>
    </row>
    <row r="15729" spans="8:8">
      <c r="H15729" t="s">
        <v>22544</v>
      </c>
    </row>
    <row r="15730" spans="8:8">
      <c r="H15730" t="s">
        <v>22545</v>
      </c>
    </row>
    <row r="15731" spans="8:8">
      <c r="H15731" t="s">
        <v>22546</v>
      </c>
    </row>
    <row r="15732" spans="8:8">
      <c r="H15732" t="s">
        <v>22547</v>
      </c>
    </row>
    <row r="15733" spans="8:8">
      <c r="H15733" t="s">
        <v>22548</v>
      </c>
    </row>
    <row r="15734" spans="8:8">
      <c r="H15734" t="s">
        <v>22549</v>
      </c>
    </row>
    <row r="15735" spans="8:8">
      <c r="H15735" t="s">
        <v>22550</v>
      </c>
    </row>
    <row r="15736" spans="8:8">
      <c r="H15736" t="s">
        <v>22551</v>
      </c>
    </row>
    <row r="15737" spans="8:8">
      <c r="H15737" t="s">
        <v>22552</v>
      </c>
    </row>
    <row r="15738" spans="8:8">
      <c r="H15738" t="s">
        <v>22553</v>
      </c>
    </row>
    <row r="15739" spans="8:8">
      <c r="H15739" t="s">
        <v>22554</v>
      </c>
    </row>
    <row r="15740" spans="8:8">
      <c r="H15740" t="s">
        <v>22555</v>
      </c>
    </row>
    <row r="15741" spans="8:8">
      <c r="H15741" t="s">
        <v>22556</v>
      </c>
    </row>
    <row r="15742" spans="8:8">
      <c r="H15742" t="s">
        <v>22557</v>
      </c>
    </row>
    <row r="15743" spans="8:8">
      <c r="H15743" t="s">
        <v>22558</v>
      </c>
    </row>
    <row r="15744" spans="8:8">
      <c r="H15744" t="s">
        <v>22559</v>
      </c>
    </row>
    <row r="15745" spans="8:8">
      <c r="H15745" t="s">
        <v>22560</v>
      </c>
    </row>
    <row r="15746" spans="8:8">
      <c r="H15746" t="s">
        <v>22561</v>
      </c>
    </row>
    <row r="15747" spans="8:8">
      <c r="H15747" t="s">
        <v>22562</v>
      </c>
    </row>
    <row r="15748" spans="8:8">
      <c r="H15748" t="s">
        <v>22563</v>
      </c>
    </row>
    <row r="15749" spans="8:8">
      <c r="H15749" t="s">
        <v>22564</v>
      </c>
    </row>
    <row r="15750" spans="8:8">
      <c r="H15750" t="s">
        <v>22565</v>
      </c>
    </row>
    <row r="15751" spans="8:8">
      <c r="H15751" t="s">
        <v>22566</v>
      </c>
    </row>
    <row r="15752" spans="8:8">
      <c r="H15752" t="s">
        <v>22567</v>
      </c>
    </row>
    <row r="15753" spans="8:8">
      <c r="H15753" t="s">
        <v>22568</v>
      </c>
    </row>
    <row r="15754" spans="8:8">
      <c r="H15754" t="s">
        <v>22569</v>
      </c>
    </row>
    <row r="15755" spans="8:8">
      <c r="H15755" t="s">
        <v>22570</v>
      </c>
    </row>
    <row r="15756" spans="8:8">
      <c r="H15756" t="s">
        <v>22571</v>
      </c>
    </row>
    <row r="15757" spans="8:8">
      <c r="H15757" t="s">
        <v>22572</v>
      </c>
    </row>
    <row r="15758" spans="8:8">
      <c r="H15758" t="s">
        <v>22573</v>
      </c>
    </row>
    <row r="15759" spans="8:8">
      <c r="H15759" t="s">
        <v>22574</v>
      </c>
    </row>
    <row r="15760" spans="8:8">
      <c r="H15760" t="s">
        <v>22575</v>
      </c>
    </row>
    <row r="15761" spans="1:8">
      <c r="H15761" t="s">
        <v>22576</v>
      </c>
    </row>
    <row r="15762" spans="1:8">
      <c r="A15762" t="s">
        <v>653</v>
      </c>
      <c r="B15762">
        <f>HYPERLINK("https://android.googlesource.com/platform/cts/+/8d959c10e2f3eb9e85951e9348c869cb9ef1cefd", "8d959c10e2f3eb9e85951e9348c869cb9ef1cefd")</f>
        <v>0</v>
      </c>
      <c r="C15762">
        <f>HYPERLINK("https://android.googlesource.com/platform/cts/+/01c2b49b71b753c9dec109ba2419e5ae5d677ce0", "01c2b49b71b753c9dec109ba2419e5ae5d677ce0")</f>
        <v>0</v>
      </c>
      <c r="D15762" t="s">
        <v>4981</v>
      </c>
      <c r="E15762" t="s">
        <v>6438</v>
      </c>
      <c r="F15762" t="s">
        <v>12400</v>
      </c>
      <c r="G15762" t="s">
        <v>16622</v>
      </c>
      <c r="H15762" t="s">
        <v>22600</v>
      </c>
    </row>
    <row r="15763" spans="1:8">
      <c r="H15763" t="s">
        <v>18829</v>
      </c>
    </row>
    <row r="15764" spans="1:8">
      <c r="H15764" t="s">
        <v>18863</v>
      </c>
    </row>
    <row r="15765" spans="1:8">
      <c r="H15765" t="s">
        <v>22601</v>
      </c>
    </row>
    <row r="15766" spans="1:8">
      <c r="H15766" t="s">
        <v>22602</v>
      </c>
    </row>
    <row r="15767" spans="1:8">
      <c r="H15767" t="s">
        <v>22603</v>
      </c>
    </row>
    <row r="15768" spans="1:8">
      <c r="H15768" t="s">
        <v>22604</v>
      </c>
    </row>
    <row r="15769" spans="1:8">
      <c r="H15769" t="s">
        <v>22605</v>
      </c>
    </row>
    <row r="15770" spans="1:8">
      <c r="H15770" t="s">
        <v>22606</v>
      </c>
    </row>
    <row r="15771" spans="1:8">
      <c r="H15771" t="s">
        <v>22607</v>
      </c>
    </row>
    <row r="15772" spans="1:8">
      <c r="H15772" t="s">
        <v>22608</v>
      </c>
    </row>
    <row r="15773" spans="1:8">
      <c r="A15773" t="s">
        <v>654</v>
      </c>
      <c r="B15773">
        <f>HYPERLINK("https://android.googlesource.com/platform/cts/+/4458c69a44bade4f46c38222f3dfe1b582f4a33d", "4458c69a44bade4f46c38222f3dfe1b582f4a33d")</f>
        <v>0</v>
      </c>
      <c r="C15773">
        <f>HYPERLINK("https://android.googlesource.com/platform/cts/+/1c1ab4a091d264807670744d0f6e927312b51c50", "1c1ab4a091d264807670744d0f6e927312b51c50")</f>
        <v>0</v>
      </c>
      <c r="D15773" t="s">
        <v>5013</v>
      </c>
      <c r="E15773" t="s">
        <v>6439</v>
      </c>
      <c r="F15773" t="s">
        <v>12187</v>
      </c>
      <c r="G15773" t="s">
        <v>16426</v>
      </c>
      <c r="H15773" t="s">
        <v>22609</v>
      </c>
    </row>
    <row r="15774" spans="1:8">
      <c r="H15774" t="s">
        <v>21227</v>
      </c>
    </row>
    <row r="15775" spans="1:8">
      <c r="H15775" t="s">
        <v>22610</v>
      </c>
    </row>
    <row r="15776" spans="1:8">
      <c r="H15776" t="s">
        <v>21228</v>
      </c>
    </row>
    <row r="15777" spans="6:8">
      <c r="H15777" t="s">
        <v>22611</v>
      </c>
    </row>
    <row r="15778" spans="6:8">
      <c r="H15778" t="s">
        <v>22612</v>
      </c>
    </row>
    <row r="15779" spans="6:8">
      <c r="H15779" t="s">
        <v>22613</v>
      </c>
    </row>
    <row r="15780" spans="6:8">
      <c r="H15780" t="s">
        <v>21226</v>
      </c>
    </row>
    <row r="15781" spans="6:8">
      <c r="H15781" t="s">
        <v>21227</v>
      </c>
    </row>
    <row r="15782" spans="6:8">
      <c r="H15782" t="s">
        <v>21228</v>
      </c>
    </row>
    <row r="15783" spans="6:8">
      <c r="F15783" t="s">
        <v>12322</v>
      </c>
      <c r="G15783" t="s">
        <v>16552</v>
      </c>
      <c r="H15783" t="s">
        <v>22063</v>
      </c>
    </row>
    <row r="15784" spans="6:8">
      <c r="H15784" t="s">
        <v>22063</v>
      </c>
    </row>
    <row r="15785" spans="6:8">
      <c r="H15785" t="s">
        <v>22614</v>
      </c>
    </row>
    <row r="15786" spans="6:8">
      <c r="H15786" t="s">
        <v>22615</v>
      </c>
    </row>
    <row r="15787" spans="6:8">
      <c r="H15787" t="s">
        <v>22616</v>
      </c>
    </row>
    <row r="15788" spans="6:8">
      <c r="H15788" t="s">
        <v>22617</v>
      </c>
    </row>
    <row r="15789" spans="6:8">
      <c r="H15789" t="s">
        <v>22617</v>
      </c>
    </row>
    <row r="15790" spans="6:8">
      <c r="H15790" t="s">
        <v>22618</v>
      </c>
    </row>
    <row r="15791" spans="6:8">
      <c r="F15791" t="s">
        <v>12401</v>
      </c>
      <c r="G15791" t="s">
        <v>16623</v>
      </c>
      <c r="H15791" t="s">
        <v>22619</v>
      </c>
    </row>
    <row r="15792" spans="6:8">
      <c r="H15792" t="s">
        <v>22620</v>
      </c>
    </row>
    <row r="15793" spans="1:8">
      <c r="H15793" t="s">
        <v>22621</v>
      </c>
    </row>
    <row r="15794" spans="1:8">
      <c r="F15794" t="s">
        <v>12377</v>
      </c>
      <c r="G15794" t="s">
        <v>16604</v>
      </c>
      <c r="H15794" t="s">
        <v>22620</v>
      </c>
    </row>
    <row r="15795" spans="1:8">
      <c r="H15795" t="s">
        <v>22621</v>
      </c>
    </row>
    <row r="15796" spans="1:8">
      <c r="A15796" t="s">
        <v>655</v>
      </c>
      <c r="B15796">
        <f>HYPERLINK("https://android.googlesource.com/platform/cts/+/85211ebbcd2c14c3de8d14051e6f7144818f34c1", "85211ebbcd2c14c3de8d14051e6f7144818f34c1")</f>
        <v>0</v>
      </c>
      <c r="C15796">
        <f>HYPERLINK("https://android.googlesource.com/platform/cts/+/1d82a8f57f47f61e3cd87cb13121ff78d1ac1195", "1d82a8f57f47f61e3cd87cb13121ff78d1ac1195")</f>
        <v>0</v>
      </c>
      <c r="D15796" t="s">
        <v>4960</v>
      </c>
      <c r="E15796" t="s">
        <v>6440</v>
      </c>
      <c r="F15796" t="s">
        <v>12402</v>
      </c>
      <c r="G15796" t="s">
        <v>16624</v>
      </c>
      <c r="H15796" t="s">
        <v>22622</v>
      </c>
    </row>
    <row r="15797" spans="1:8">
      <c r="A15797" t="s">
        <v>656</v>
      </c>
      <c r="B15797">
        <f>HYPERLINK("https://android.googlesource.com/platform/cts/+/49a11da037dd2b7aa283b48039a1da1c82c260a1", "49a11da037dd2b7aa283b48039a1da1c82c260a1")</f>
        <v>0</v>
      </c>
      <c r="C15797">
        <f>HYPERLINK("https://android.googlesource.com/platform/cts/+/206fb1022448bdd1a6496d40c638732aa994c432", "206fb1022448bdd1a6496d40c638732aa994c432")</f>
        <v>0</v>
      </c>
      <c r="D15797" t="s">
        <v>5059</v>
      </c>
      <c r="E15797" t="s">
        <v>6441</v>
      </c>
      <c r="F15797" t="s">
        <v>12389</v>
      </c>
      <c r="G15797" t="s">
        <v>16614</v>
      </c>
      <c r="H15797" t="s">
        <v>22623</v>
      </c>
    </row>
    <row r="15798" spans="1:8">
      <c r="H15798" t="s">
        <v>22624</v>
      </c>
    </row>
    <row r="15799" spans="1:8">
      <c r="F15799" t="s">
        <v>12403</v>
      </c>
      <c r="G15799" t="s">
        <v>16625</v>
      </c>
      <c r="H15799" t="s">
        <v>22625</v>
      </c>
    </row>
    <row r="15800" spans="1:8">
      <c r="A15800" t="s">
        <v>657</v>
      </c>
      <c r="B15800">
        <f>HYPERLINK("https://android.googlesource.com/platform/cts/+/a2a23157acd87e8618b7e7158e3644750a779905", "a2a23157acd87e8618b7e7158e3644750a779905")</f>
        <v>0</v>
      </c>
      <c r="C15800">
        <f>HYPERLINK("https://android.googlesource.com/platform/cts/+/c189d58d586eb7ff467f9ed1276462828ad21b8e", "c189d58d586eb7ff467f9ed1276462828ad21b8e")</f>
        <v>0</v>
      </c>
      <c r="D15800" t="s">
        <v>4952</v>
      </c>
      <c r="E15800" t="s">
        <v>6442</v>
      </c>
      <c r="F15800" t="s">
        <v>12404</v>
      </c>
      <c r="G15800" t="s">
        <v>16626</v>
      </c>
      <c r="H15800" t="s">
        <v>22626</v>
      </c>
    </row>
    <row r="15801" spans="1:8">
      <c r="A15801" t="s">
        <v>658</v>
      </c>
      <c r="B15801">
        <f>HYPERLINK("https://android.googlesource.com/platform/cts/+/1e4bf6161c7e771c48540cd77d8e7ada69af8c95", "1e4bf6161c7e771c48540cd77d8e7ada69af8c95")</f>
        <v>0</v>
      </c>
      <c r="C15801">
        <f>HYPERLINK("https://android.googlesource.com/platform/cts/+/82d999a624995f3a52856493dab133ebf10d3d7e", "82d999a624995f3a52856493dab133ebf10d3d7e")</f>
        <v>0</v>
      </c>
      <c r="D15801" t="s">
        <v>5060</v>
      </c>
      <c r="E15801" t="s">
        <v>6443</v>
      </c>
      <c r="F15801" t="s">
        <v>12342</v>
      </c>
      <c r="G15801" t="s">
        <v>16570</v>
      </c>
      <c r="H15801" t="s">
        <v>22627</v>
      </c>
    </row>
    <row r="15802" spans="1:8">
      <c r="H15802" t="s">
        <v>22628</v>
      </c>
    </row>
    <row r="15803" spans="1:8">
      <c r="H15803" t="s">
        <v>22629</v>
      </c>
    </row>
    <row r="15804" spans="1:8">
      <c r="A15804" t="s">
        <v>660</v>
      </c>
      <c r="B15804">
        <f>HYPERLINK("https://android.googlesource.com/platform/cts/+/74486465410b6bc86beb8ac346ca3574c0a8790c", "74486465410b6bc86beb8ac346ca3574c0a8790c")</f>
        <v>0</v>
      </c>
      <c r="C15804">
        <f>HYPERLINK("https://android.googlesource.com/platform/cts/+/8c8aa2eae6198f3fea628806d65c7d3698746eab", "8c8aa2eae6198f3fea628806d65c7d3698746eab")</f>
        <v>0</v>
      </c>
      <c r="D15804" t="s">
        <v>5061</v>
      </c>
      <c r="E15804" t="s">
        <v>6445</v>
      </c>
      <c r="F15804" t="s">
        <v>11470</v>
      </c>
      <c r="G15804" t="s">
        <v>15710</v>
      </c>
      <c r="H15804" t="s">
        <v>22630</v>
      </c>
    </row>
    <row r="15805" spans="1:8">
      <c r="A15805" t="s">
        <v>661</v>
      </c>
      <c r="B15805">
        <f>HYPERLINK("https://android.googlesource.com/platform/cts/+/c176cac43bbed5bb27d0e89f16c109ff1f9b8ec3", "c176cac43bbed5bb27d0e89f16c109ff1f9b8ec3")</f>
        <v>0</v>
      </c>
      <c r="C15805">
        <f>HYPERLINK("https://android.googlesource.com/platform/cts/+/cd14265f18df8b1f46035d4d4673757206c388de", "cd14265f18df8b1f46035d4d4673757206c388de")</f>
        <v>0</v>
      </c>
      <c r="D15805" t="s">
        <v>5018</v>
      </c>
      <c r="E15805" t="s">
        <v>6446</v>
      </c>
      <c r="F15805" t="s">
        <v>10747</v>
      </c>
      <c r="G15805" t="s">
        <v>15129</v>
      </c>
      <c r="H15805" t="s">
        <v>22631</v>
      </c>
    </row>
    <row r="15806" spans="1:8">
      <c r="H15806" t="s">
        <v>22632</v>
      </c>
    </row>
    <row r="15807" spans="1:8">
      <c r="A15807" t="s">
        <v>662</v>
      </c>
      <c r="B15807">
        <f>HYPERLINK("https://android.googlesource.com/platform/cts/+/99f81251726e5ed294a723541b694d3a940138d4", "99f81251726e5ed294a723541b694d3a940138d4")</f>
        <v>0</v>
      </c>
      <c r="C15807">
        <f>HYPERLINK("https://android.googlesource.com/platform/cts/+/23a8f762e037f0c289154541fa07ce4545614a9b", "23a8f762e037f0c289154541fa07ce4545614a9b")</f>
        <v>0</v>
      </c>
      <c r="D15807" t="s">
        <v>5062</v>
      </c>
      <c r="E15807" t="s">
        <v>6447</v>
      </c>
      <c r="F15807" t="s">
        <v>12405</v>
      </c>
      <c r="G15807" t="s">
        <v>16627</v>
      </c>
      <c r="H15807" t="s">
        <v>18829</v>
      </c>
    </row>
    <row r="15808" spans="1:8">
      <c r="H15808" t="s">
        <v>18863</v>
      </c>
    </row>
    <row r="15809" spans="1:8">
      <c r="H15809" t="s">
        <v>22601</v>
      </c>
    </row>
    <row r="15810" spans="1:8">
      <c r="H15810" t="s">
        <v>22602</v>
      </c>
    </row>
    <row r="15811" spans="1:8">
      <c r="H15811" t="s">
        <v>22603</v>
      </c>
    </row>
    <row r="15812" spans="1:8">
      <c r="H15812" t="s">
        <v>22604</v>
      </c>
    </row>
    <row r="15813" spans="1:8">
      <c r="H15813" t="s">
        <v>22633</v>
      </c>
    </row>
    <row r="15814" spans="1:8">
      <c r="H15814" t="s">
        <v>22605</v>
      </c>
    </row>
    <row r="15815" spans="1:8">
      <c r="H15815" t="s">
        <v>22606</v>
      </c>
    </row>
    <row r="15816" spans="1:8">
      <c r="H15816" t="s">
        <v>22607</v>
      </c>
    </row>
    <row r="15817" spans="1:8">
      <c r="H15817" t="s">
        <v>22608</v>
      </c>
    </row>
    <row r="15818" spans="1:8">
      <c r="A15818" t="s">
        <v>663</v>
      </c>
      <c r="B15818">
        <f>HYPERLINK("https://android.googlesource.com/platform/cts/+/76ea6326e7728a6f1c27e8f32db2e16efaaf0a98", "76ea6326e7728a6f1c27e8f32db2e16efaaf0a98")</f>
        <v>0</v>
      </c>
      <c r="C15818">
        <f>HYPERLINK("https://android.googlesource.com/platform/cts/+/b56fc59d78e60c9a89fc711f79ebc0c0884514dc", "b56fc59d78e60c9a89fc711f79ebc0c0884514dc")</f>
        <v>0</v>
      </c>
      <c r="D15818" t="s">
        <v>5029</v>
      </c>
      <c r="E15818" t="s">
        <v>6448</v>
      </c>
      <c r="F15818" t="s">
        <v>10945</v>
      </c>
      <c r="G15818" t="s">
        <v>15338</v>
      </c>
      <c r="H15818" t="s">
        <v>19072</v>
      </c>
    </row>
    <row r="15819" spans="1:8">
      <c r="H15819" t="s">
        <v>19073</v>
      </c>
    </row>
    <row r="15820" spans="1:8">
      <c r="A15820" t="s">
        <v>665</v>
      </c>
      <c r="B15820">
        <f>HYPERLINK("https://android.googlesource.com/platform/cts/+/6396d2134c42d1841031a1ad40c1408d98494d03", "6396d2134c42d1841031a1ad40c1408d98494d03")</f>
        <v>0</v>
      </c>
      <c r="C15820">
        <f>HYPERLINK("https://android.googlesource.com/platform/cts/+/ec69fcc99f9e459fa6fe4ba8e9884600aa5c10ae", "ec69fcc99f9e459fa6fe4ba8e9884600aa5c10ae")</f>
        <v>0</v>
      </c>
      <c r="D15820" t="s">
        <v>5018</v>
      </c>
      <c r="E15820" t="s">
        <v>6450</v>
      </c>
      <c r="F15820" t="s">
        <v>10747</v>
      </c>
      <c r="G15820" t="s">
        <v>15129</v>
      </c>
      <c r="H15820" t="s">
        <v>22634</v>
      </c>
    </row>
    <row r="15821" spans="1:8">
      <c r="H15821" t="s">
        <v>22635</v>
      </c>
    </row>
    <row r="15822" spans="1:8">
      <c r="F15822" t="s">
        <v>10734</v>
      </c>
      <c r="G15822" t="s">
        <v>15133</v>
      </c>
      <c r="H15822" t="s">
        <v>22636</v>
      </c>
    </row>
    <row r="15823" spans="1:8">
      <c r="H15823" t="s">
        <v>22637</v>
      </c>
    </row>
    <row r="15824" spans="1:8">
      <c r="F15824" t="s">
        <v>12378</v>
      </c>
      <c r="G15824" t="s">
        <v>15334</v>
      </c>
      <c r="H15824" t="s">
        <v>20004</v>
      </c>
    </row>
    <row r="15825" spans="1:8">
      <c r="F15825" t="s">
        <v>10735</v>
      </c>
      <c r="G15825" t="s">
        <v>15134</v>
      </c>
      <c r="H15825" t="s">
        <v>22638</v>
      </c>
    </row>
    <row r="15826" spans="1:8">
      <c r="A15826" t="s">
        <v>666</v>
      </c>
      <c r="B15826">
        <f>HYPERLINK("https://android.googlesource.com/platform/cts/+/6340ecadcc0df9e3f658ef58cfac2cbc2da4dbef", "6340ecadcc0df9e3f658ef58cfac2cbc2da4dbef")</f>
        <v>0</v>
      </c>
      <c r="C15826">
        <f>HYPERLINK("https://android.googlesource.com/platform/cts/+/1b16d5ced284c1341c6bf3003f39027083053e30", "1b16d5ced284c1341c6bf3003f39027083053e30")</f>
        <v>0</v>
      </c>
      <c r="D15826" t="s">
        <v>5063</v>
      </c>
      <c r="E15826" t="s">
        <v>6451</v>
      </c>
      <c r="F15826" t="s">
        <v>12406</v>
      </c>
      <c r="G15826" t="s">
        <v>16628</v>
      </c>
      <c r="H15826" t="s">
        <v>22639</v>
      </c>
    </row>
    <row r="15827" spans="1:8">
      <c r="F15827" t="s">
        <v>12176</v>
      </c>
      <c r="G15827" t="s">
        <v>16415</v>
      </c>
      <c r="H15827" t="s">
        <v>22640</v>
      </c>
    </row>
    <row r="15828" spans="1:8">
      <c r="H15828" t="s">
        <v>22641</v>
      </c>
    </row>
    <row r="15829" spans="1:8">
      <c r="H15829" t="s">
        <v>22642</v>
      </c>
    </row>
    <row r="15830" spans="1:8">
      <c r="H15830" t="s">
        <v>22643</v>
      </c>
    </row>
    <row r="15831" spans="1:8">
      <c r="H15831" t="s">
        <v>22644</v>
      </c>
    </row>
    <row r="15832" spans="1:8">
      <c r="H15832" t="s">
        <v>22645</v>
      </c>
    </row>
    <row r="15833" spans="1:8">
      <c r="H15833" t="s">
        <v>22646</v>
      </c>
    </row>
    <row r="15834" spans="1:8">
      <c r="A15834" t="s">
        <v>667</v>
      </c>
      <c r="B15834">
        <f>HYPERLINK("https://android.googlesource.com/platform/cts/+/583d2d3f49ffacaff1e647e1d9ed59d459e7df3c", "583d2d3f49ffacaff1e647e1d9ed59d459e7df3c")</f>
        <v>0</v>
      </c>
      <c r="C15834">
        <f>HYPERLINK("https://android.googlesource.com/platform/cts/+/7b101b6bcf2ceb5469479fa4211074f463e039e7", "7b101b6bcf2ceb5469479fa4211074f463e039e7")</f>
        <v>0</v>
      </c>
      <c r="D15834" t="s">
        <v>5060</v>
      </c>
      <c r="E15834" t="s">
        <v>6452</v>
      </c>
      <c r="F15834" t="s">
        <v>12342</v>
      </c>
      <c r="G15834" t="s">
        <v>16570</v>
      </c>
      <c r="H15834" t="s">
        <v>22627</v>
      </c>
    </row>
    <row r="15835" spans="1:8">
      <c r="H15835" t="s">
        <v>22628</v>
      </c>
    </row>
    <row r="15836" spans="1:8">
      <c r="H15836" t="s">
        <v>22629</v>
      </c>
    </row>
    <row r="15837" spans="1:8">
      <c r="A15837" t="s">
        <v>668</v>
      </c>
      <c r="B15837">
        <f>HYPERLINK("https://android.googlesource.com/platform/cts/+/8e1f6e4a0868bb0bfce4341b068898ec615cd6b8", "8e1f6e4a0868bb0bfce4341b068898ec615cd6b8")</f>
        <v>0</v>
      </c>
      <c r="C15837">
        <f>HYPERLINK("https://android.googlesource.com/platform/cts/+/736f60e4ee34c9d9bf23f217c300545c67c3a065", "736f60e4ee34c9d9bf23f217c300545c67c3a065")</f>
        <v>0</v>
      </c>
      <c r="D15837" t="s">
        <v>5060</v>
      </c>
      <c r="E15837" t="s">
        <v>6453</v>
      </c>
      <c r="F15837" t="s">
        <v>12407</v>
      </c>
      <c r="G15837" t="s">
        <v>16629</v>
      </c>
      <c r="H15837" t="s">
        <v>22647</v>
      </c>
    </row>
    <row r="15838" spans="1:8">
      <c r="A15838" t="s">
        <v>669</v>
      </c>
      <c r="B15838">
        <f>HYPERLINK("https://android.googlesource.com/platform/cts/+/6fe901d4fa1107d4f104d1722e4814031f8545f5", "6fe901d4fa1107d4f104d1722e4814031f8545f5")</f>
        <v>0</v>
      </c>
      <c r="C15838">
        <f>HYPERLINK("https://android.googlesource.com/platform/cts/+/9caf39821afcc9433e8c196a8ad42eb63cea4692", "9caf39821afcc9433e8c196a8ad42eb63cea4692")</f>
        <v>0</v>
      </c>
      <c r="D15838" t="s">
        <v>5064</v>
      </c>
      <c r="E15838" t="s">
        <v>6454</v>
      </c>
      <c r="F15838" t="s">
        <v>12370</v>
      </c>
      <c r="G15838" t="s">
        <v>16597</v>
      </c>
      <c r="H15838" t="s">
        <v>22517</v>
      </c>
    </row>
    <row r="15839" spans="1:8">
      <c r="H15839" t="s">
        <v>22518</v>
      </c>
    </row>
    <row r="15840" spans="1:8">
      <c r="H15840" t="s">
        <v>22519</v>
      </c>
    </row>
    <row r="15841" spans="1:8">
      <c r="A15841" t="s">
        <v>670</v>
      </c>
      <c r="B15841">
        <f>HYPERLINK("https://android.googlesource.com/platform/cts/+/85bbb7c3d8c9e6e55c0147fd1627e4eefaf6b865", "85bbb7c3d8c9e6e55c0147fd1627e4eefaf6b865")</f>
        <v>0</v>
      </c>
      <c r="C15841">
        <f>HYPERLINK("https://android.googlesource.com/platform/cts/+/ffa07edf597da1451ddfd62e3ea0d0f4b4efbe19", "ffa07edf597da1451ddfd62e3ea0d0f4b4efbe19")</f>
        <v>0</v>
      </c>
      <c r="D15841" t="s">
        <v>5030</v>
      </c>
      <c r="E15841" t="s">
        <v>6455</v>
      </c>
      <c r="F15841" t="s">
        <v>12334</v>
      </c>
      <c r="G15841" t="s">
        <v>16562</v>
      </c>
      <c r="H15841" t="s">
        <v>22648</v>
      </c>
    </row>
    <row r="15842" spans="1:8">
      <c r="F15842" t="s">
        <v>12180</v>
      </c>
      <c r="G15842" t="s">
        <v>16419</v>
      </c>
      <c r="H15842" t="s">
        <v>22649</v>
      </c>
    </row>
    <row r="15843" spans="1:8">
      <c r="F15843" t="s">
        <v>12408</v>
      </c>
      <c r="G15843" t="s">
        <v>16630</v>
      </c>
      <c r="H15843" t="s">
        <v>22650</v>
      </c>
    </row>
    <row r="15844" spans="1:8">
      <c r="F15844" t="s">
        <v>12319</v>
      </c>
      <c r="G15844" t="s">
        <v>16549</v>
      </c>
      <c r="H15844" t="s">
        <v>22649</v>
      </c>
    </row>
    <row r="15845" spans="1:8">
      <c r="H15845" t="s">
        <v>22651</v>
      </c>
    </row>
    <row r="15846" spans="1:8">
      <c r="F15846" t="s">
        <v>12409</v>
      </c>
      <c r="G15846" t="s">
        <v>16631</v>
      </c>
      <c r="H15846" t="s">
        <v>22649</v>
      </c>
    </row>
    <row r="15847" spans="1:8">
      <c r="A15847" t="s">
        <v>673</v>
      </c>
      <c r="B15847">
        <f>HYPERLINK("https://android.googlesource.com/platform/cts/+/8143153cef876e2b14eb6d170cab85d6973349f1", "8143153cef876e2b14eb6d170cab85d6973349f1")</f>
        <v>0</v>
      </c>
      <c r="C15847">
        <f>HYPERLINK("https://android.googlesource.com/platform/cts/+/6e598db82d333af8a4108e22d335b8b34d35ce5e", "6e598db82d333af8a4108e22d335b8b34d35ce5e")</f>
        <v>0</v>
      </c>
      <c r="D15847" t="s">
        <v>5038</v>
      </c>
      <c r="E15847" t="s">
        <v>6456</v>
      </c>
      <c r="F15847" t="s">
        <v>12185</v>
      </c>
      <c r="G15847" t="s">
        <v>16424</v>
      </c>
      <c r="H15847" t="s">
        <v>22652</v>
      </c>
    </row>
    <row r="15848" spans="1:8">
      <c r="A15848" t="s">
        <v>674</v>
      </c>
      <c r="B15848">
        <f>HYPERLINK("https://android.googlesource.com/platform/cts/+/d2be1693f09bca8ce37f945f3e342eb37444d774", "d2be1693f09bca8ce37f945f3e342eb37444d774")</f>
        <v>0</v>
      </c>
      <c r="C15848">
        <f>HYPERLINK("https://android.googlesource.com/platform/cts/+/380a0c49847776707abc578cf9883441b898a00c", "380a0c49847776707abc578cf9883441b898a00c")</f>
        <v>0</v>
      </c>
      <c r="D15848" t="s">
        <v>5030</v>
      </c>
      <c r="E15848" t="s">
        <v>6457</v>
      </c>
      <c r="F15848" t="s">
        <v>12410</v>
      </c>
      <c r="G15848" t="s">
        <v>16632</v>
      </c>
      <c r="H15848" t="s">
        <v>22653</v>
      </c>
    </row>
    <row r="15849" spans="1:8">
      <c r="H15849" t="s">
        <v>22650</v>
      </c>
    </row>
    <row r="15850" spans="1:8">
      <c r="F15850" t="s">
        <v>12411</v>
      </c>
      <c r="G15850" t="s">
        <v>16633</v>
      </c>
      <c r="H15850" t="s">
        <v>22640</v>
      </c>
    </row>
    <row r="15851" spans="1:8">
      <c r="H15851" t="s">
        <v>22654</v>
      </c>
    </row>
    <row r="15852" spans="1:8">
      <c r="H15852" t="s">
        <v>22655</v>
      </c>
    </row>
    <row r="15853" spans="1:8">
      <c r="H15853" t="s">
        <v>22656</v>
      </c>
    </row>
    <row r="15854" spans="1:8">
      <c r="F15854" t="s">
        <v>12412</v>
      </c>
      <c r="G15854" t="s">
        <v>16634</v>
      </c>
      <c r="H15854" t="s">
        <v>22650</v>
      </c>
    </row>
    <row r="15855" spans="1:8">
      <c r="A15855" t="s">
        <v>675</v>
      </c>
      <c r="B15855">
        <f>HYPERLINK("https://android.googlesource.com/platform/cts/+/993e0e230f7d28a0889c83d17386ec21f9cf9c50", "993e0e230f7d28a0889c83d17386ec21f9cf9c50")</f>
        <v>0</v>
      </c>
      <c r="C15855">
        <f>HYPERLINK("https://android.googlesource.com/platform/cts/+/2568025d95587addc694660352f3ac7701bd6d8c", "2568025d95587addc694660352f3ac7701bd6d8c")</f>
        <v>0</v>
      </c>
      <c r="D15855" t="s">
        <v>5057</v>
      </c>
      <c r="E15855" t="s">
        <v>6458</v>
      </c>
      <c r="F15855" t="s">
        <v>12176</v>
      </c>
      <c r="G15855" t="s">
        <v>16415</v>
      </c>
      <c r="H15855" t="s">
        <v>22657</v>
      </c>
    </row>
    <row r="15856" spans="1:8">
      <c r="A15856" t="s">
        <v>677</v>
      </c>
      <c r="B15856">
        <f>HYPERLINK("https://android.googlesource.com/platform/cts/+/df1c6d45f64d6f7b33a84bc1b089754cdbeaa4d2", "df1c6d45f64d6f7b33a84bc1b089754cdbeaa4d2")</f>
        <v>0</v>
      </c>
      <c r="C15856">
        <f>HYPERLINK("https://android.googlesource.com/platform/cts/+/b732a7a8aad6a7c7dea47dee464a8fee183f851b", "b732a7a8aad6a7c7dea47dee464a8fee183f851b")</f>
        <v>0</v>
      </c>
      <c r="D15856" t="s">
        <v>5030</v>
      </c>
      <c r="E15856" t="s">
        <v>6460</v>
      </c>
      <c r="F15856" t="s">
        <v>12413</v>
      </c>
      <c r="G15856" t="s">
        <v>16635</v>
      </c>
      <c r="H15856" t="s">
        <v>22658</v>
      </c>
    </row>
    <row r="15857" spans="1:8">
      <c r="H15857" t="s">
        <v>22659</v>
      </c>
    </row>
    <row r="15858" spans="1:8">
      <c r="H15858" t="s">
        <v>22660</v>
      </c>
    </row>
    <row r="15859" spans="1:8">
      <c r="H15859" t="s">
        <v>22661</v>
      </c>
    </row>
    <row r="15860" spans="1:8">
      <c r="H15860" t="s">
        <v>22662</v>
      </c>
    </row>
    <row r="15861" spans="1:8">
      <c r="H15861" t="s">
        <v>22663</v>
      </c>
    </row>
    <row r="15862" spans="1:8">
      <c r="A15862" t="s">
        <v>678</v>
      </c>
      <c r="B15862">
        <f>HYPERLINK("https://android.googlesource.com/platform/cts/+/53e2937cdf8b78b3b3fa48c3f030049c3e3c7806", "53e2937cdf8b78b3b3fa48c3f030049c3e3c7806")</f>
        <v>0</v>
      </c>
      <c r="C15862">
        <f>HYPERLINK("https://android.googlesource.com/platform/cts/+/047dbd9300d8eb83461c0a0065da60c558ee03cf", "047dbd9300d8eb83461c0a0065da60c558ee03cf")</f>
        <v>0</v>
      </c>
      <c r="D15862" t="s">
        <v>4949</v>
      </c>
      <c r="E15862" t="s">
        <v>6461</v>
      </c>
      <c r="F15862" t="s">
        <v>11451</v>
      </c>
      <c r="G15862" t="s">
        <v>15691</v>
      </c>
      <c r="H15862" t="s">
        <v>22664</v>
      </c>
    </row>
    <row r="15863" spans="1:8">
      <c r="A15863" t="s">
        <v>679</v>
      </c>
      <c r="B15863">
        <f>HYPERLINK("https://android.googlesource.com/platform/cts/+/247db5d542a79888b85915cbe72958bc30136d14", "247db5d542a79888b85915cbe72958bc30136d14")</f>
        <v>0</v>
      </c>
      <c r="C15863">
        <f>HYPERLINK("https://android.googlesource.com/platform/cts/+/3551f488f171a868ce2c1d18dc1086f6cae2158f", "3551f488f171a868ce2c1d18dc1086f6cae2158f")</f>
        <v>0</v>
      </c>
      <c r="D15863" t="s">
        <v>5060</v>
      </c>
      <c r="E15863" t="s">
        <v>6462</v>
      </c>
      <c r="F15863" t="s">
        <v>12414</v>
      </c>
      <c r="G15863" t="s">
        <v>16636</v>
      </c>
      <c r="H15863" t="s">
        <v>22665</v>
      </c>
    </row>
    <row r="15864" spans="1:8">
      <c r="A15864" t="s">
        <v>680</v>
      </c>
      <c r="B15864">
        <f>HYPERLINK("https://android.googlesource.com/platform/cts/+/601e6332ed2286254a9940322ce97ab140241fa9", "601e6332ed2286254a9940322ce97ab140241fa9")</f>
        <v>0</v>
      </c>
      <c r="C15864">
        <f>HYPERLINK("https://android.googlesource.com/platform/cts/+/2caacd7b5f436b1a336e0696f8788c279ea2429c", "2caacd7b5f436b1a336e0696f8788c279ea2429c")</f>
        <v>0</v>
      </c>
      <c r="D15864" t="s">
        <v>5028</v>
      </c>
      <c r="E15864" t="s">
        <v>6463</v>
      </c>
      <c r="F15864" t="s">
        <v>12415</v>
      </c>
      <c r="G15864" t="s">
        <v>16637</v>
      </c>
      <c r="H15864" t="s">
        <v>22014</v>
      </c>
    </row>
    <row r="15865" spans="1:8">
      <c r="A15865" t="s">
        <v>681</v>
      </c>
      <c r="B15865">
        <f>HYPERLINK("https://android.googlesource.com/platform/cts/+/72cdd8ea759d0681042361faad31ed6a5ac3fbe7", "72cdd8ea759d0681042361faad31ed6a5ac3fbe7")</f>
        <v>0</v>
      </c>
      <c r="C15865">
        <f>HYPERLINK("https://android.googlesource.com/platform/cts/+/f102f2a4198651d876a8482fc683724b209e347a", "f102f2a4198651d876a8482fc683724b209e347a")</f>
        <v>0</v>
      </c>
      <c r="D15865" t="s">
        <v>5029</v>
      </c>
      <c r="E15865" t="s">
        <v>6464</v>
      </c>
      <c r="F15865" t="s">
        <v>10945</v>
      </c>
      <c r="G15865" t="s">
        <v>15338</v>
      </c>
      <c r="H15865" t="s">
        <v>22666</v>
      </c>
    </row>
    <row r="15866" spans="1:8">
      <c r="A15866" t="s">
        <v>682</v>
      </c>
      <c r="B15866">
        <f>HYPERLINK("https://android.googlesource.com/platform/cts/+/cbb8c0061e89d231ee6ddf98c6a4885f522b2dac", "cbb8c0061e89d231ee6ddf98c6a4885f522b2dac")</f>
        <v>0</v>
      </c>
      <c r="C15866">
        <f>HYPERLINK("https://android.googlesource.com/platform/cts/+/5be22b9e0a61f801a852ac2dd9a7148592256c7b", "5be22b9e0a61f801a852ac2dd9a7148592256c7b")</f>
        <v>0</v>
      </c>
      <c r="D15866" t="s">
        <v>5013</v>
      </c>
      <c r="E15866" t="s">
        <v>6465</v>
      </c>
      <c r="F15866" t="s">
        <v>12381</v>
      </c>
      <c r="G15866" t="s">
        <v>16607</v>
      </c>
      <c r="H15866" t="s">
        <v>22667</v>
      </c>
    </row>
    <row r="15867" spans="1:8">
      <c r="H15867" t="s">
        <v>22467</v>
      </c>
    </row>
    <row r="15868" spans="1:8">
      <c r="A15868" t="s">
        <v>683</v>
      </c>
      <c r="B15868">
        <f>HYPERLINK("https://android.googlesource.com/platform/cts/+/e18732741b68c4bc2d92141a2fbe6e33d46dc19b", "e18732741b68c4bc2d92141a2fbe6e33d46dc19b")</f>
        <v>0</v>
      </c>
      <c r="C15868">
        <f>HYPERLINK("https://android.googlesource.com/platform/cts/+/dac4e3f459cb23b12b4d5180e17c00208acdbb23", "dac4e3f459cb23b12b4d5180e17c00208acdbb23")</f>
        <v>0</v>
      </c>
      <c r="D15868" t="s">
        <v>4952</v>
      </c>
      <c r="E15868" t="s">
        <v>6466</v>
      </c>
      <c r="F15868" t="s">
        <v>12309</v>
      </c>
      <c r="G15868" t="s">
        <v>16540</v>
      </c>
      <c r="H15868" t="s">
        <v>22668</v>
      </c>
    </row>
    <row r="15869" spans="1:8">
      <c r="A15869" t="s">
        <v>685</v>
      </c>
      <c r="B15869">
        <f>HYPERLINK("https://android.googlesource.com/platform/cts/+/4cb525394d52ecce303c18590d9955e098a22696", "4cb525394d52ecce303c18590d9955e098a22696")</f>
        <v>0</v>
      </c>
      <c r="C15869">
        <f>HYPERLINK("https://android.googlesource.com/platform/cts/+/58236b6874c70063bba65dc79cc42268c6cfaa7a", "58236b6874c70063bba65dc79cc42268c6cfaa7a")</f>
        <v>0</v>
      </c>
      <c r="D15869" t="s">
        <v>5065</v>
      </c>
      <c r="E15869" t="s">
        <v>6468</v>
      </c>
      <c r="F15869" t="s">
        <v>12416</v>
      </c>
      <c r="G15869" t="s">
        <v>16638</v>
      </c>
      <c r="H15869" t="s">
        <v>22669</v>
      </c>
    </row>
    <row r="15870" spans="1:8">
      <c r="H15870" t="s">
        <v>22670</v>
      </c>
    </row>
    <row r="15871" spans="1:8">
      <c r="A15871" t="s">
        <v>686</v>
      </c>
      <c r="B15871">
        <f>HYPERLINK("https://android.googlesource.com/platform/cts/+/1ee86ea886a1617b8c716f7327cbd0b343181246", "1ee86ea886a1617b8c716f7327cbd0b343181246")</f>
        <v>0</v>
      </c>
      <c r="C15871">
        <f>HYPERLINK("https://android.googlesource.com/platform/cts/+/5734eb5493f4a36cd640b5320e28dee891e396cb", "5734eb5493f4a36cd640b5320e28dee891e396cb")</f>
        <v>0</v>
      </c>
      <c r="D15871" t="s">
        <v>5038</v>
      </c>
      <c r="E15871" t="s">
        <v>6469</v>
      </c>
      <c r="F15871" t="s">
        <v>12417</v>
      </c>
      <c r="G15871" t="s">
        <v>16639</v>
      </c>
      <c r="H15871" t="s">
        <v>18829</v>
      </c>
    </row>
    <row r="15872" spans="1:8">
      <c r="H15872" t="s">
        <v>18863</v>
      </c>
    </row>
    <row r="15873" spans="1:8">
      <c r="A15873" t="s">
        <v>687</v>
      </c>
      <c r="B15873">
        <f>HYPERLINK("https://android.googlesource.com/platform/cts/+/24289b529a367b22d0acf30dee33586f7dac1da4", "24289b529a367b22d0acf30dee33586f7dac1da4")</f>
        <v>0</v>
      </c>
      <c r="C15873">
        <f>HYPERLINK("https://android.googlesource.com/platform/cts/+/d32728fd9a5da80877148201938c74c4734a303f", "d32728fd9a5da80877148201938c74c4734a303f")</f>
        <v>0</v>
      </c>
      <c r="D15873" t="s">
        <v>5013</v>
      </c>
      <c r="E15873" t="s">
        <v>6470</v>
      </c>
      <c r="F15873" t="s">
        <v>12377</v>
      </c>
      <c r="G15873" t="s">
        <v>16604</v>
      </c>
      <c r="H15873" t="s">
        <v>22467</v>
      </c>
    </row>
    <row r="15874" spans="1:8">
      <c r="A15874" t="s">
        <v>688</v>
      </c>
      <c r="B15874">
        <f>HYPERLINK("https://android.googlesource.com/platform/cts/+/75e210ce59f34d0caf3c1c07bce933cb9ad6e4c9", "75e210ce59f34d0caf3c1c07bce933cb9ad6e4c9")</f>
        <v>0</v>
      </c>
      <c r="C15874">
        <f>HYPERLINK("https://android.googlesource.com/platform/cts/+/122af17e0c46dc39bc9d468b6e2c10794c5968fd", "122af17e0c46dc39bc9d468b6e2c10794c5968fd")</f>
        <v>0</v>
      </c>
      <c r="D15874" t="s">
        <v>5066</v>
      </c>
      <c r="E15874" t="s">
        <v>6471</v>
      </c>
      <c r="F15874" t="s">
        <v>12418</v>
      </c>
      <c r="G15874" t="s">
        <v>16640</v>
      </c>
      <c r="H15874" t="s">
        <v>22671</v>
      </c>
    </row>
    <row r="15875" spans="1:8">
      <c r="H15875" t="s">
        <v>18829</v>
      </c>
    </row>
    <row r="15876" spans="1:8">
      <c r="H15876" t="s">
        <v>22672</v>
      </c>
    </row>
    <row r="15877" spans="1:8">
      <c r="H15877" t="s">
        <v>22673</v>
      </c>
    </row>
    <row r="15878" spans="1:8">
      <c r="H15878" t="s">
        <v>22674</v>
      </c>
    </row>
    <row r="15879" spans="1:8">
      <c r="H15879" t="s">
        <v>22633</v>
      </c>
    </row>
    <row r="15880" spans="1:8">
      <c r="H15880" t="s">
        <v>22675</v>
      </c>
    </row>
    <row r="15881" spans="1:8">
      <c r="H15881" t="s">
        <v>22676</v>
      </c>
    </row>
    <row r="15882" spans="1:8">
      <c r="F15882" t="s">
        <v>12419</v>
      </c>
      <c r="G15882" t="s">
        <v>16641</v>
      </c>
      <c r="H15882" t="s">
        <v>22677</v>
      </c>
    </row>
    <row r="15883" spans="1:8">
      <c r="A15883" t="s">
        <v>689</v>
      </c>
      <c r="B15883">
        <f>HYPERLINK("https://android.googlesource.com/platform/cts/+/04a351f80782c25bae3511bd97e0283e3ccaa6b6", "04a351f80782c25bae3511bd97e0283e3ccaa6b6")</f>
        <v>0</v>
      </c>
      <c r="C15883">
        <f>HYPERLINK("https://android.googlesource.com/platform/cts/+/38f99e260a9cd80952e07b7f20b4cc2467f65c54", "38f99e260a9cd80952e07b7f20b4cc2467f65c54")</f>
        <v>0</v>
      </c>
      <c r="D15883" t="s">
        <v>4978</v>
      </c>
      <c r="E15883" t="s">
        <v>6472</v>
      </c>
      <c r="F15883" t="s">
        <v>12420</v>
      </c>
      <c r="G15883" t="s">
        <v>16642</v>
      </c>
      <c r="H15883" t="s">
        <v>22678</v>
      </c>
    </row>
    <row r="15884" spans="1:8">
      <c r="H15884" t="s">
        <v>22679</v>
      </c>
    </row>
    <row r="15885" spans="1:8">
      <c r="H15885" t="s">
        <v>22680</v>
      </c>
    </row>
    <row r="15886" spans="1:8">
      <c r="H15886" t="s">
        <v>22681</v>
      </c>
    </row>
    <row r="15887" spans="1:8">
      <c r="H15887" t="s">
        <v>22682</v>
      </c>
    </row>
    <row r="15888" spans="1:8">
      <c r="H15888" t="s">
        <v>22683</v>
      </c>
    </row>
    <row r="15889" spans="8:8">
      <c r="H15889" t="s">
        <v>22684</v>
      </c>
    </row>
    <row r="15890" spans="8:8">
      <c r="H15890" t="s">
        <v>22685</v>
      </c>
    </row>
    <row r="15891" spans="8:8">
      <c r="H15891" t="s">
        <v>22686</v>
      </c>
    </row>
    <row r="15892" spans="8:8">
      <c r="H15892" t="s">
        <v>18853</v>
      </c>
    </row>
    <row r="15893" spans="8:8">
      <c r="H15893" t="s">
        <v>18927</v>
      </c>
    </row>
    <row r="15894" spans="8:8">
      <c r="H15894" t="s">
        <v>22687</v>
      </c>
    </row>
    <row r="15895" spans="8:8">
      <c r="H15895" t="s">
        <v>20127</v>
      </c>
    </row>
    <row r="15896" spans="8:8">
      <c r="H15896" t="s">
        <v>22688</v>
      </c>
    </row>
    <row r="15897" spans="8:8">
      <c r="H15897" t="s">
        <v>22689</v>
      </c>
    </row>
    <row r="15898" spans="8:8">
      <c r="H15898" t="s">
        <v>22690</v>
      </c>
    </row>
    <row r="15899" spans="8:8">
      <c r="H15899" t="s">
        <v>22691</v>
      </c>
    </row>
    <row r="15900" spans="8:8">
      <c r="H15900" t="s">
        <v>22692</v>
      </c>
    </row>
    <row r="15901" spans="8:8">
      <c r="H15901" t="s">
        <v>22693</v>
      </c>
    </row>
    <row r="15902" spans="8:8">
      <c r="H15902" t="s">
        <v>22694</v>
      </c>
    </row>
    <row r="15903" spans="8:8">
      <c r="H15903" t="s">
        <v>22695</v>
      </c>
    </row>
    <row r="15904" spans="8:8">
      <c r="H15904" t="s">
        <v>22696</v>
      </c>
    </row>
    <row r="15905" spans="8:8">
      <c r="H15905" t="s">
        <v>22697</v>
      </c>
    </row>
    <row r="15906" spans="8:8">
      <c r="H15906" t="s">
        <v>22698</v>
      </c>
    </row>
    <row r="15907" spans="8:8">
      <c r="H15907" t="s">
        <v>22699</v>
      </c>
    </row>
    <row r="15908" spans="8:8">
      <c r="H15908" t="s">
        <v>22700</v>
      </c>
    </row>
    <row r="15909" spans="8:8">
      <c r="H15909" t="s">
        <v>22701</v>
      </c>
    </row>
    <row r="15910" spans="8:8">
      <c r="H15910" t="s">
        <v>22702</v>
      </c>
    </row>
    <row r="15911" spans="8:8">
      <c r="H15911" t="s">
        <v>22703</v>
      </c>
    </row>
    <row r="15912" spans="8:8">
      <c r="H15912" t="s">
        <v>22704</v>
      </c>
    </row>
    <row r="15913" spans="8:8">
      <c r="H15913" t="s">
        <v>22705</v>
      </c>
    </row>
    <row r="15914" spans="8:8">
      <c r="H15914" t="s">
        <v>21996</v>
      </c>
    </row>
    <row r="15915" spans="8:8">
      <c r="H15915" t="s">
        <v>22706</v>
      </c>
    </row>
    <row r="15916" spans="8:8">
      <c r="H15916" t="s">
        <v>22707</v>
      </c>
    </row>
    <row r="15917" spans="8:8">
      <c r="H15917" t="s">
        <v>22708</v>
      </c>
    </row>
    <row r="15918" spans="8:8">
      <c r="H15918" t="s">
        <v>22709</v>
      </c>
    </row>
    <row r="15919" spans="8:8">
      <c r="H15919" t="s">
        <v>22710</v>
      </c>
    </row>
    <row r="15920" spans="8:8">
      <c r="H15920" t="s">
        <v>22711</v>
      </c>
    </row>
    <row r="15921" spans="6:8">
      <c r="H15921" t="s">
        <v>22712</v>
      </c>
    </row>
    <row r="15922" spans="6:8">
      <c r="H15922" t="s">
        <v>22713</v>
      </c>
    </row>
    <row r="15923" spans="6:8">
      <c r="H15923" t="s">
        <v>22714</v>
      </c>
    </row>
    <row r="15924" spans="6:8">
      <c r="H15924" t="s">
        <v>22715</v>
      </c>
    </row>
    <row r="15925" spans="6:8">
      <c r="H15925" t="s">
        <v>22715</v>
      </c>
    </row>
    <row r="15926" spans="6:8">
      <c r="H15926" t="s">
        <v>19791</v>
      </c>
    </row>
    <row r="15927" spans="6:8">
      <c r="H15927" t="s">
        <v>22716</v>
      </c>
    </row>
    <row r="15928" spans="6:8">
      <c r="H15928" t="s">
        <v>22717</v>
      </c>
    </row>
    <row r="15929" spans="6:8">
      <c r="F15929" t="s">
        <v>12421</v>
      </c>
      <c r="G15929" t="s">
        <v>16643</v>
      </c>
      <c r="H15929" t="s">
        <v>22718</v>
      </c>
    </row>
    <row r="15930" spans="6:8">
      <c r="H15930" t="s">
        <v>22684</v>
      </c>
    </row>
    <row r="15931" spans="6:8">
      <c r="H15931" t="s">
        <v>22682</v>
      </c>
    </row>
    <row r="15932" spans="6:8">
      <c r="H15932" t="s">
        <v>22683</v>
      </c>
    </row>
    <row r="15933" spans="6:8">
      <c r="H15933" t="s">
        <v>18927</v>
      </c>
    </row>
    <row r="15934" spans="6:8">
      <c r="H15934" t="s">
        <v>22719</v>
      </c>
    </row>
    <row r="15935" spans="6:8">
      <c r="H15935" t="s">
        <v>22717</v>
      </c>
    </row>
    <row r="15936" spans="6:8">
      <c r="H15936" t="s">
        <v>22720</v>
      </c>
    </row>
    <row r="15937" spans="6:8">
      <c r="H15937" t="s">
        <v>19982</v>
      </c>
    </row>
    <row r="15938" spans="6:8">
      <c r="H15938" t="s">
        <v>22715</v>
      </c>
    </row>
    <row r="15939" spans="6:8">
      <c r="H15939" t="s">
        <v>22715</v>
      </c>
    </row>
    <row r="15940" spans="6:8">
      <c r="H15940" t="s">
        <v>19791</v>
      </c>
    </row>
    <row r="15941" spans="6:8">
      <c r="H15941" t="s">
        <v>22716</v>
      </c>
    </row>
    <row r="15942" spans="6:8">
      <c r="F15942" t="s">
        <v>12422</v>
      </c>
      <c r="G15942" t="s">
        <v>16644</v>
      </c>
      <c r="H15942" t="s">
        <v>22721</v>
      </c>
    </row>
    <row r="15943" spans="6:8">
      <c r="H15943" t="s">
        <v>22684</v>
      </c>
    </row>
    <row r="15944" spans="6:8">
      <c r="H15944" t="s">
        <v>22682</v>
      </c>
    </row>
    <row r="15945" spans="6:8">
      <c r="H15945" t="s">
        <v>22683</v>
      </c>
    </row>
    <row r="15946" spans="6:8">
      <c r="H15946" t="s">
        <v>18927</v>
      </c>
    </row>
    <row r="15947" spans="6:8">
      <c r="H15947" t="s">
        <v>22717</v>
      </c>
    </row>
    <row r="15948" spans="6:8">
      <c r="H15948" t="s">
        <v>22715</v>
      </c>
    </row>
    <row r="15949" spans="6:8">
      <c r="H15949" t="s">
        <v>19791</v>
      </c>
    </row>
    <row r="15950" spans="6:8">
      <c r="H15950" t="s">
        <v>22716</v>
      </c>
    </row>
    <row r="15951" spans="6:8">
      <c r="H15951" t="s">
        <v>22715</v>
      </c>
    </row>
    <row r="15952" spans="6:8">
      <c r="H15952" t="s">
        <v>22713</v>
      </c>
    </row>
    <row r="15953" spans="6:8">
      <c r="F15953" t="s">
        <v>12423</v>
      </c>
      <c r="G15953" t="s">
        <v>16645</v>
      </c>
      <c r="H15953" t="s">
        <v>22722</v>
      </c>
    </row>
    <row r="15954" spans="6:8">
      <c r="H15954" t="s">
        <v>22684</v>
      </c>
    </row>
    <row r="15955" spans="6:8">
      <c r="H15955" t="s">
        <v>22682</v>
      </c>
    </row>
    <row r="15956" spans="6:8">
      <c r="H15956" t="s">
        <v>22683</v>
      </c>
    </row>
    <row r="15957" spans="6:8">
      <c r="H15957" t="s">
        <v>18927</v>
      </c>
    </row>
    <row r="15958" spans="6:8">
      <c r="H15958" t="s">
        <v>22711</v>
      </c>
    </row>
    <row r="15959" spans="6:8">
      <c r="H15959" t="s">
        <v>22723</v>
      </c>
    </row>
    <row r="15960" spans="6:8">
      <c r="H15960" t="s">
        <v>22724</v>
      </c>
    </row>
    <row r="15961" spans="6:8">
      <c r="H15961" t="s">
        <v>22725</v>
      </c>
    </row>
    <row r="15962" spans="6:8">
      <c r="H15962" t="s">
        <v>22726</v>
      </c>
    </row>
    <row r="15963" spans="6:8">
      <c r="H15963" t="s">
        <v>22710</v>
      </c>
    </row>
    <row r="15964" spans="6:8">
      <c r="H15964" t="s">
        <v>22727</v>
      </c>
    </row>
    <row r="15965" spans="6:8">
      <c r="H15965" t="s">
        <v>22713</v>
      </c>
    </row>
    <row r="15966" spans="6:8">
      <c r="H15966" t="s">
        <v>22714</v>
      </c>
    </row>
    <row r="15967" spans="6:8">
      <c r="H15967" t="s">
        <v>22715</v>
      </c>
    </row>
    <row r="15968" spans="6:8">
      <c r="H15968" t="s">
        <v>22715</v>
      </c>
    </row>
    <row r="15969" spans="6:8">
      <c r="H15969" t="s">
        <v>19791</v>
      </c>
    </row>
    <row r="15970" spans="6:8">
      <c r="H15970" t="s">
        <v>22716</v>
      </c>
    </row>
    <row r="15971" spans="6:8">
      <c r="H15971" t="s">
        <v>22717</v>
      </c>
    </row>
    <row r="15972" spans="6:8">
      <c r="F15972" t="s">
        <v>12424</v>
      </c>
      <c r="G15972" t="s">
        <v>16646</v>
      </c>
      <c r="H15972" t="s">
        <v>22728</v>
      </c>
    </row>
    <row r="15973" spans="6:8">
      <c r="H15973" t="s">
        <v>22684</v>
      </c>
    </row>
    <row r="15974" spans="6:8">
      <c r="H15974" t="s">
        <v>22682</v>
      </c>
    </row>
    <row r="15975" spans="6:8">
      <c r="H15975" t="s">
        <v>22683</v>
      </c>
    </row>
    <row r="15976" spans="6:8">
      <c r="H15976" t="s">
        <v>22729</v>
      </c>
    </row>
    <row r="15977" spans="6:8">
      <c r="H15977" t="s">
        <v>22710</v>
      </c>
    </row>
    <row r="15978" spans="6:8">
      <c r="H15978" t="s">
        <v>18927</v>
      </c>
    </row>
    <row r="15979" spans="6:8">
      <c r="H15979" t="s">
        <v>22711</v>
      </c>
    </row>
    <row r="15980" spans="6:8">
      <c r="H15980" t="s">
        <v>22713</v>
      </c>
    </row>
    <row r="15981" spans="6:8">
      <c r="H15981" t="s">
        <v>22714</v>
      </c>
    </row>
    <row r="15982" spans="6:8">
      <c r="H15982" t="s">
        <v>22715</v>
      </c>
    </row>
    <row r="15983" spans="6:8">
      <c r="H15983" t="s">
        <v>22715</v>
      </c>
    </row>
    <row r="15984" spans="6:8">
      <c r="H15984" t="s">
        <v>19791</v>
      </c>
    </row>
    <row r="15985" spans="1:8">
      <c r="H15985" t="s">
        <v>22716</v>
      </c>
    </row>
    <row r="15986" spans="1:8">
      <c r="H15986" t="s">
        <v>22730</v>
      </c>
    </row>
    <row r="15987" spans="1:8">
      <c r="H15987" t="s">
        <v>22730</v>
      </c>
    </row>
    <row r="15988" spans="1:8">
      <c r="H15988" t="s">
        <v>22717</v>
      </c>
    </row>
    <row r="15989" spans="1:8">
      <c r="A15989" t="s">
        <v>690</v>
      </c>
      <c r="B15989">
        <f>HYPERLINK("https://android.googlesource.com/platform/cts/+/c0445a9e6aab6cf7f50fdb1c1525d77db739dbb6", "c0445a9e6aab6cf7f50fdb1c1525d77db739dbb6")</f>
        <v>0</v>
      </c>
      <c r="C15989">
        <f>HYPERLINK("https://android.googlesource.com/platform/cts/+/45f5a112f43e2377d3b0f3c532683f9e6b3d4418", "45f5a112f43e2377d3b0f3c532683f9e6b3d4418")</f>
        <v>0</v>
      </c>
      <c r="D15989" t="s">
        <v>5067</v>
      </c>
      <c r="E15989" t="s">
        <v>6473</v>
      </c>
      <c r="F15989" t="s">
        <v>12370</v>
      </c>
      <c r="G15989" t="s">
        <v>16597</v>
      </c>
      <c r="H15989" t="s">
        <v>22532</v>
      </c>
    </row>
    <row r="15990" spans="1:8">
      <c r="A15990" t="s">
        <v>691</v>
      </c>
      <c r="B15990">
        <f>HYPERLINK("https://android.googlesource.com/platform/cts/+/74c91f00988b6c536a6ed404a07873bc251f5fae", "74c91f00988b6c536a6ed404a07873bc251f5fae")</f>
        <v>0</v>
      </c>
      <c r="C15990">
        <f>HYPERLINK("https://android.googlesource.com/platform/cts/+/70876c3e81fee1635347d5c16b504ec45d5f86b0", "70876c3e81fee1635347d5c16b504ec45d5f86b0")</f>
        <v>0</v>
      </c>
      <c r="D15990" t="s">
        <v>5006</v>
      </c>
      <c r="E15990" t="s">
        <v>6474</v>
      </c>
      <c r="F15990" t="s">
        <v>10734</v>
      </c>
      <c r="G15990" t="s">
        <v>15133</v>
      </c>
      <c r="H15990" t="s">
        <v>22731</v>
      </c>
    </row>
    <row r="15991" spans="1:8">
      <c r="A15991" t="s">
        <v>692</v>
      </c>
      <c r="B15991">
        <f>HYPERLINK("https://android.googlesource.com/platform/cts/+/112f559433a19668cec5c8f7b9b0897af67c41b4", "112f559433a19668cec5c8f7b9b0897af67c41b4")</f>
        <v>0</v>
      </c>
      <c r="C15991">
        <f>HYPERLINK("https://android.googlesource.com/platform/cts/+/ba2f09ccd8b4b6e1c7a575d467ce2ac801775006", "ba2f09ccd8b4b6e1c7a575d467ce2ac801775006")</f>
        <v>0</v>
      </c>
      <c r="D15991" t="s">
        <v>5006</v>
      </c>
      <c r="E15991" t="s">
        <v>6475</v>
      </c>
      <c r="F15991" t="s">
        <v>12246</v>
      </c>
      <c r="G15991" t="s">
        <v>16477</v>
      </c>
      <c r="H15991" t="s">
        <v>21360</v>
      </c>
    </row>
    <row r="15992" spans="1:8">
      <c r="A15992" t="s">
        <v>693</v>
      </c>
      <c r="B15992">
        <f>HYPERLINK("https://android.googlesource.com/platform/cts/+/712bb78cb792948e9914f6d09637182533c5b918", "712bb78cb792948e9914f6d09637182533c5b918")</f>
        <v>0</v>
      </c>
      <c r="C15992">
        <f>HYPERLINK("https://android.googlesource.com/platform/cts/+/fb9023359a546eaa93d7753c0c1af37f8d859111", "fb9023359a546eaa93d7753c0c1af37f8d859111")</f>
        <v>0</v>
      </c>
      <c r="D15992" t="s">
        <v>5060</v>
      </c>
      <c r="E15992" t="s">
        <v>6476</v>
      </c>
      <c r="F15992" t="s">
        <v>12425</v>
      </c>
      <c r="G15992" t="s">
        <v>16647</v>
      </c>
      <c r="H15992" t="s">
        <v>22732</v>
      </c>
    </row>
    <row r="15993" spans="1:8">
      <c r="H15993" t="s">
        <v>22733</v>
      </c>
    </row>
    <row r="15994" spans="1:8">
      <c r="H15994" t="s">
        <v>22734</v>
      </c>
    </row>
    <row r="15995" spans="1:8">
      <c r="H15995" t="s">
        <v>22735</v>
      </c>
    </row>
    <row r="15996" spans="1:8">
      <c r="H15996" t="s">
        <v>22736</v>
      </c>
    </row>
    <row r="15997" spans="1:8">
      <c r="H15997" t="s">
        <v>22737</v>
      </c>
    </row>
    <row r="15998" spans="1:8">
      <c r="H15998" t="s">
        <v>22738</v>
      </c>
    </row>
    <row r="15999" spans="1:8">
      <c r="H15999" t="s">
        <v>22739</v>
      </c>
    </row>
    <row r="16000" spans="1:8">
      <c r="H16000" t="s">
        <v>22740</v>
      </c>
    </row>
    <row r="16001" spans="8:8">
      <c r="H16001" t="s">
        <v>22741</v>
      </c>
    </row>
    <row r="16002" spans="8:8">
      <c r="H16002" t="s">
        <v>22742</v>
      </c>
    </row>
    <row r="16003" spans="8:8">
      <c r="H16003" t="s">
        <v>22743</v>
      </c>
    </row>
    <row r="16004" spans="8:8">
      <c r="H16004" t="s">
        <v>22744</v>
      </c>
    </row>
    <row r="16005" spans="8:8">
      <c r="H16005" t="s">
        <v>22745</v>
      </c>
    </row>
    <row r="16006" spans="8:8">
      <c r="H16006" t="s">
        <v>22746</v>
      </c>
    </row>
    <row r="16007" spans="8:8">
      <c r="H16007" t="s">
        <v>22747</v>
      </c>
    </row>
    <row r="16008" spans="8:8">
      <c r="H16008" t="s">
        <v>22748</v>
      </c>
    </row>
    <row r="16009" spans="8:8">
      <c r="H16009" t="s">
        <v>22749</v>
      </c>
    </row>
    <row r="16010" spans="8:8">
      <c r="H16010" t="s">
        <v>22750</v>
      </c>
    </row>
    <row r="16011" spans="8:8">
      <c r="H16011" t="s">
        <v>22751</v>
      </c>
    </row>
    <row r="16012" spans="8:8">
      <c r="H16012" t="s">
        <v>22752</v>
      </c>
    </row>
    <row r="16013" spans="8:8">
      <c r="H16013" t="s">
        <v>22753</v>
      </c>
    </row>
    <row r="16014" spans="8:8">
      <c r="H16014" t="s">
        <v>22754</v>
      </c>
    </row>
    <row r="16015" spans="8:8">
      <c r="H16015" t="s">
        <v>22755</v>
      </c>
    </row>
    <row r="16016" spans="8:8">
      <c r="H16016" t="s">
        <v>22756</v>
      </c>
    </row>
    <row r="16017" spans="1:8">
      <c r="H16017" t="s">
        <v>22757</v>
      </c>
    </row>
    <row r="16018" spans="1:8">
      <c r="H16018" t="s">
        <v>22758</v>
      </c>
    </row>
    <row r="16019" spans="1:8">
      <c r="H16019" t="s">
        <v>18930</v>
      </c>
    </row>
    <row r="16020" spans="1:8">
      <c r="H16020" t="s">
        <v>22759</v>
      </c>
    </row>
    <row r="16021" spans="1:8">
      <c r="H16021" t="s">
        <v>22760</v>
      </c>
    </row>
    <row r="16022" spans="1:8">
      <c r="H16022" t="s">
        <v>22761</v>
      </c>
    </row>
    <row r="16023" spans="1:8">
      <c r="H16023" t="s">
        <v>22762</v>
      </c>
    </row>
    <row r="16024" spans="1:8">
      <c r="A16024" t="s">
        <v>694</v>
      </c>
      <c r="B16024">
        <f>HYPERLINK("https://android.googlesource.com/platform/cts/+/8e56bf2f1d4cae9182022d6ba0307fe4aec6ab2d", "8e56bf2f1d4cae9182022d6ba0307fe4aec6ab2d")</f>
        <v>0</v>
      </c>
      <c r="C16024">
        <f>HYPERLINK("https://android.googlesource.com/platform/cts/+/e556bba0bbc10b5ec75d1288cd8e54e5bc83e2aa", "e556bba0bbc10b5ec75d1288cd8e54e5bc83e2aa")</f>
        <v>0</v>
      </c>
      <c r="D16024" t="s">
        <v>5030</v>
      </c>
      <c r="E16024" t="s">
        <v>6477</v>
      </c>
      <c r="F16024" t="s">
        <v>12426</v>
      </c>
      <c r="G16024" t="s">
        <v>16648</v>
      </c>
      <c r="H16024" t="s">
        <v>22763</v>
      </c>
    </row>
    <row r="16025" spans="1:8">
      <c r="H16025" t="s">
        <v>22764</v>
      </c>
    </row>
    <row r="16026" spans="1:8">
      <c r="H16026" t="s">
        <v>22765</v>
      </c>
    </row>
    <row r="16027" spans="1:8">
      <c r="H16027" t="s">
        <v>22766</v>
      </c>
    </row>
    <row r="16028" spans="1:8">
      <c r="H16028" t="s">
        <v>22767</v>
      </c>
    </row>
    <row r="16029" spans="1:8">
      <c r="H16029" t="s">
        <v>22768</v>
      </c>
    </row>
    <row r="16030" spans="1:8">
      <c r="H16030" t="s">
        <v>22769</v>
      </c>
    </row>
    <row r="16031" spans="1:8">
      <c r="H16031" t="s">
        <v>22770</v>
      </c>
    </row>
    <row r="16032" spans="1:8">
      <c r="H16032" t="s">
        <v>22771</v>
      </c>
    </row>
    <row r="16033" spans="1:8">
      <c r="H16033" t="s">
        <v>22772</v>
      </c>
    </row>
    <row r="16034" spans="1:8">
      <c r="H16034" t="s">
        <v>22773</v>
      </c>
    </row>
    <row r="16035" spans="1:8">
      <c r="H16035" t="s">
        <v>22774</v>
      </c>
    </row>
    <row r="16036" spans="1:8">
      <c r="H16036" t="s">
        <v>22775</v>
      </c>
    </row>
    <row r="16037" spans="1:8">
      <c r="H16037" t="s">
        <v>22776</v>
      </c>
    </row>
    <row r="16038" spans="1:8">
      <c r="H16038" t="s">
        <v>22777</v>
      </c>
    </row>
    <row r="16039" spans="1:8">
      <c r="H16039" t="s">
        <v>22778</v>
      </c>
    </row>
    <row r="16040" spans="1:8">
      <c r="H16040" t="s">
        <v>22779</v>
      </c>
    </row>
    <row r="16041" spans="1:8">
      <c r="H16041" t="s">
        <v>22780</v>
      </c>
    </row>
    <row r="16042" spans="1:8">
      <c r="H16042" t="s">
        <v>22781</v>
      </c>
    </row>
    <row r="16043" spans="1:8">
      <c r="H16043" t="s">
        <v>22782</v>
      </c>
    </row>
    <row r="16044" spans="1:8">
      <c r="H16044" t="s">
        <v>22783</v>
      </c>
    </row>
    <row r="16045" spans="1:8">
      <c r="H16045" t="s">
        <v>22784</v>
      </c>
    </row>
    <row r="16046" spans="1:8">
      <c r="H16046" t="s">
        <v>22785</v>
      </c>
    </row>
    <row r="16047" spans="1:8">
      <c r="H16047" t="s">
        <v>22786</v>
      </c>
    </row>
    <row r="16048" spans="1:8">
      <c r="A16048" t="s">
        <v>695</v>
      </c>
      <c r="B16048">
        <f>HYPERLINK("https://android.googlesource.com/platform/cts/+/06496e5fbe0a1cee23cf1f2a2e1c7d1552910a9a", "06496e5fbe0a1cee23cf1f2a2e1c7d1552910a9a")</f>
        <v>0</v>
      </c>
      <c r="C16048">
        <f>HYPERLINK("https://android.googlesource.com/platform/cts/+/135b942522544e8df629074dd4a0a64ff5f3746d", "135b942522544e8df629074dd4a0a64ff5f3746d")</f>
        <v>0</v>
      </c>
      <c r="D16048" t="s">
        <v>5036</v>
      </c>
      <c r="E16048" t="s">
        <v>6478</v>
      </c>
      <c r="F16048" t="s">
        <v>12221</v>
      </c>
      <c r="G16048" t="s">
        <v>16451</v>
      </c>
      <c r="H16048" t="s">
        <v>22787</v>
      </c>
    </row>
    <row r="16049" spans="1:8">
      <c r="A16049" t="s">
        <v>696</v>
      </c>
      <c r="B16049">
        <f>HYPERLINK("https://android.googlesource.com/platform/cts/+/da65244c460e0c704fb1998b2235c4f14f291261", "da65244c460e0c704fb1998b2235c4f14f291261")</f>
        <v>0</v>
      </c>
      <c r="C16049">
        <f>HYPERLINK("https://android.googlesource.com/platform/cts/+/0dd5d9d93bda6f9fd30f2fe58e99812bc195a813", "0dd5d9d93bda6f9fd30f2fe58e99812bc195a813")</f>
        <v>0</v>
      </c>
      <c r="D16049" t="s">
        <v>5068</v>
      </c>
      <c r="E16049" t="s">
        <v>6479</v>
      </c>
      <c r="F16049" t="s">
        <v>12419</v>
      </c>
      <c r="G16049" t="s">
        <v>16641</v>
      </c>
      <c r="H16049" t="s">
        <v>22788</v>
      </c>
    </row>
    <row r="16050" spans="1:8">
      <c r="H16050" t="s">
        <v>22589</v>
      </c>
    </row>
    <row r="16051" spans="1:8">
      <c r="A16051" t="s">
        <v>697</v>
      </c>
      <c r="B16051">
        <f>HYPERLINK("https://android.googlesource.com/platform/cts/+/46389ea04b2d9a65f51db4ee45a4a4d24aa4c3bb", "46389ea04b2d9a65f51db4ee45a4a4d24aa4c3bb")</f>
        <v>0</v>
      </c>
      <c r="C16051">
        <f>HYPERLINK("https://android.googlesource.com/platform/cts/+/878a28e6fc23432eb00a44bbee4b57ffdb984298", "878a28e6fc23432eb00a44bbee4b57ffdb984298")</f>
        <v>0</v>
      </c>
      <c r="D16051" t="s">
        <v>5030</v>
      </c>
      <c r="E16051" t="s">
        <v>6480</v>
      </c>
      <c r="F16051" t="s">
        <v>12398</v>
      </c>
      <c r="G16051" t="s">
        <v>16621</v>
      </c>
      <c r="H16051" t="s">
        <v>22789</v>
      </c>
    </row>
    <row r="16052" spans="1:8">
      <c r="H16052" t="s">
        <v>22790</v>
      </c>
    </row>
    <row r="16053" spans="1:8">
      <c r="H16053" t="s">
        <v>22791</v>
      </c>
    </row>
    <row r="16054" spans="1:8">
      <c r="H16054" t="s">
        <v>22792</v>
      </c>
    </row>
    <row r="16055" spans="1:8">
      <c r="A16055" t="s">
        <v>698</v>
      </c>
      <c r="B16055">
        <f>HYPERLINK("https://android.googlesource.com/platform/cts/+/30044c619ab3fa1924f8909ed91a3f7c7ad0e896", "30044c619ab3fa1924f8909ed91a3f7c7ad0e896")</f>
        <v>0</v>
      </c>
      <c r="C16055">
        <f>HYPERLINK("https://android.googlesource.com/platform/cts/+/13eae907470271d41619140c16bc4be62379821f", "13eae907470271d41619140c16bc4be62379821f")</f>
        <v>0</v>
      </c>
      <c r="D16055" t="s">
        <v>5060</v>
      </c>
      <c r="E16055" t="s">
        <v>6481</v>
      </c>
      <c r="F16055" t="s">
        <v>12342</v>
      </c>
      <c r="G16055" t="s">
        <v>16570</v>
      </c>
      <c r="H16055" t="s">
        <v>22627</v>
      </c>
    </row>
    <row r="16056" spans="1:8">
      <c r="H16056" t="s">
        <v>22628</v>
      </c>
    </row>
    <row r="16057" spans="1:8">
      <c r="H16057" t="s">
        <v>22629</v>
      </c>
    </row>
    <row r="16058" spans="1:8">
      <c r="A16058" t="s">
        <v>699</v>
      </c>
      <c r="B16058">
        <f>HYPERLINK("https://android.googlesource.com/platform/cts/+/fb28897f87bf1da442ae589a198981a23b3b0a06", "fb28897f87bf1da442ae589a198981a23b3b0a06")</f>
        <v>0</v>
      </c>
      <c r="C16058">
        <f>HYPERLINK("https://android.googlesource.com/platform/cts/+/511af23079438ecdc02e245759defc9773d32172", "511af23079438ecdc02e245759defc9773d32172")</f>
        <v>0</v>
      </c>
      <c r="D16058" t="s">
        <v>5060</v>
      </c>
      <c r="E16058" t="s">
        <v>6482</v>
      </c>
      <c r="F16058" t="s">
        <v>12407</v>
      </c>
      <c r="G16058" t="s">
        <v>16629</v>
      </c>
      <c r="H16058" t="s">
        <v>22647</v>
      </c>
    </row>
    <row r="16059" spans="1:8">
      <c r="A16059" t="s">
        <v>700</v>
      </c>
      <c r="B16059">
        <f>HYPERLINK("https://android.googlesource.com/platform/cts/+/7e08ff86fd06d9fbe2cdbbf81672e2cf1a011304", "7e08ff86fd06d9fbe2cdbbf81672e2cf1a011304")</f>
        <v>0</v>
      </c>
      <c r="C16059">
        <f>HYPERLINK("https://android.googlesource.com/platform/cts/+/499109841b9f35e0d4f0a7f89c04266b4267819c", "499109841b9f35e0d4f0a7f89c04266b4267819c")</f>
        <v>0</v>
      </c>
      <c r="D16059" t="s">
        <v>4949</v>
      </c>
      <c r="E16059" t="s">
        <v>6483</v>
      </c>
      <c r="F16059" t="s">
        <v>12427</v>
      </c>
      <c r="G16059" t="s">
        <v>16649</v>
      </c>
      <c r="H16059" t="s">
        <v>22793</v>
      </c>
    </row>
    <row r="16060" spans="1:8">
      <c r="A16060" t="s">
        <v>701</v>
      </c>
      <c r="B16060">
        <f>HYPERLINK("https://android.googlesource.com/platform/cts/+/479d72c6b5406419282d7b0e1d6898334dba059f", "479d72c6b5406419282d7b0e1d6898334dba059f")</f>
        <v>0</v>
      </c>
      <c r="C16060">
        <f>HYPERLINK("https://android.googlesource.com/platform/cts/+/3d1db89f8d677d16aa383499e26d6fa11a3a1510", "3d1db89f8d677d16aa383499e26d6fa11a3a1510")</f>
        <v>0</v>
      </c>
      <c r="D16060" t="s">
        <v>5061</v>
      </c>
      <c r="E16060" t="s">
        <v>6484</v>
      </c>
      <c r="F16060" t="s">
        <v>12428</v>
      </c>
      <c r="G16060" t="s">
        <v>16619</v>
      </c>
      <c r="H16060" t="s">
        <v>22585</v>
      </c>
    </row>
    <row r="16061" spans="1:8">
      <c r="A16061" t="s">
        <v>702</v>
      </c>
      <c r="B16061">
        <f>HYPERLINK("https://android.googlesource.com/platform/cts/+/90fd37934108885c1c7596d2942f899fcdeeb391", "90fd37934108885c1c7596d2942f899fcdeeb391")</f>
        <v>0</v>
      </c>
      <c r="C16061">
        <f>HYPERLINK("https://android.googlesource.com/platform/cts/+/ba8d800b856cd04edf2437159868408695a9f90f", "ba8d800b856cd04edf2437159868408695a9f90f")</f>
        <v>0</v>
      </c>
      <c r="D16061" t="s">
        <v>5062</v>
      </c>
      <c r="E16061" t="s">
        <v>6485</v>
      </c>
      <c r="F16061" t="s">
        <v>12429</v>
      </c>
      <c r="G16061" t="s">
        <v>16650</v>
      </c>
      <c r="H16061" t="s">
        <v>22794</v>
      </c>
    </row>
    <row r="16062" spans="1:8">
      <c r="A16062" t="s">
        <v>703</v>
      </c>
      <c r="B16062">
        <f>HYPERLINK("https://android.googlesource.com/platform/cts/+/a68a0e4b2e2ccf3272c434a11c3d4c085b094ed0", "a68a0e4b2e2ccf3272c434a11c3d4c085b094ed0")</f>
        <v>0</v>
      </c>
      <c r="C16062">
        <f>HYPERLINK("https://android.googlesource.com/platform/cts/+/f7c53bd0bc9162cf4d44126c3ce39219bab1fb23", "f7c53bd0bc9162cf4d44126c3ce39219bab1fb23")</f>
        <v>0</v>
      </c>
      <c r="D16062" t="s">
        <v>4952</v>
      </c>
      <c r="E16062" t="s">
        <v>6486</v>
      </c>
      <c r="F16062" t="s">
        <v>11443</v>
      </c>
      <c r="G16062" t="s">
        <v>15683</v>
      </c>
      <c r="H16062" t="s">
        <v>22795</v>
      </c>
    </row>
    <row r="16063" spans="1:8">
      <c r="H16063" t="s">
        <v>22796</v>
      </c>
    </row>
    <row r="16064" spans="1:8">
      <c r="A16064" t="s">
        <v>704</v>
      </c>
      <c r="B16064">
        <f>HYPERLINK("https://android.googlesource.com/platform/cts/+/60fae26b58b0264669f6d03c3c91f0251d49b3d5", "60fae26b58b0264669f6d03c3c91f0251d49b3d5")</f>
        <v>0</v>
      </c>
      <c r="C16064">
        <f>HYPERLINK("https://android.googlesource.com/platform/cts/+/18bc3b8eef686e7c5d2ca984441b55be38679e0c", "18bc3b8eef686e7c5d2ca984441b55be38679e0c")</f>
        <v>0</v>
      </c>
      <c r="D16064" t="s">
        <v>5069</v>
      </c>
      <c r="E16064" t="s">
        <v>6487</v>
      </c>
      <c r="F16064" t="s">
        <v>10794</v>
      </c>
      <c r="G16064" t="s">
        <v>15189</v>
      </c>
      <c r="H16064" t="s">
        <v>22797</v>
      </c>
    </row>
    <row r="16065" spans="1:8">
      <c r="H16065" t="s">
        <v>22798</v>
      </c>
    </row>
    <row r="16066" spans="1:8">
      <c r="H16066" t="s">
        <v>22799</v>
      </c>
    </row>
    <row r="16067" spans="1:8">
      <c r="H16067" t="s">
        <v>22800</v>
      </c>
    </row>
    <row r="16068" spans="1:8">
      <c r="A16068" t="s">
        <v>705</v>
      </c>
      <c r="B16068">
        <f>HYPERLINK("https://android.googlesource.com/platform/cts/+/411a105cc5363c33e795d25ebd7d5d37ab79a9e7", "411a105cc5363c33e795d25ebd7d5d37ab79a9e7")</f>
        <v>0</v>
      </c>
      <c r="C16068">
        <f>HYPERLINK("https://android.googlesource.com/platform/cts/+/2cd14b39dcac4f4e994fd05a4f035051a7abcf67", "2cd14b39dcac4f4e994fd05a4f035051a7abcf67")</f>
        <v>0</v>
      </c>
      <c r="D16068" t="s">
        <v>5070</v>
      </c>
      <c r="E16068" t="s">
        <v>6488</v>
      </c>
      <c r="F16068" t="s">
        <v>10794</v>
      </c>
      <c r="G16068" t="s">
        <v>15189</v>
      </c>
      <c r="H16068" t="s">
        <v>22801</v>
      </c>
    </row>
    <row r="16069" spans="1:8">
      <c r="A16069" t="s">
        <v>706</v>
      </c>
      <c r="B16069">
        <f>HYPERLINK("https://android.googlesource.com/platform/cts/+/d1c66c1075f14daff2e7ac2264a9e88e4a2e21a8", "d1c66c1075f14daff2e7ac2264a9e88e4a2e21a8")</f>
        <v>0</v>
      </c>
      <c r="C16069">
        <f>HYPERLINK("https://android.googlesource.com/platform/cts/+/a725540bcb8a4a8e8a87173b4dd63a1243527f21", "a725540bcb8a4a8e8a87173b4dd63a1243527f21")</f>
        <v>0</v>
      </c>
      <c r="D16069" t="s">
        <v>4952</v>
      </c>
      <c r="E16069" t="s">
        <v>6489</v>
      </c>
      <c r="F16069" t="s">
        <v>11443</v>
      </c>
      <c r="G16069" t="s">
        <v>15683</v>
      </c>
      <c r="H16069" t="s">
        <v>22802</v>
      </c>
    </row>
    <row r="16070" spans="1:8">
      <c r="H16070" t="s">
        <v>22803</v>
      </c>
    </row>
    <row r="16071" spans="1:8">
      <c r="H16071" t="s">
        <v>22804</v>
      </c>
    </row>
    <row r="16072" spans="1:8">
      <c r="A16072" t="s">
        <v>707</v>
      </c>
      <c r="B16072">
        <f>HYPERLINK("https://android.googlesource.com/platform/cts/+/7afa91ecdd6ac31af479a49ceadd04c6f186c6f7", "7afa91ecdd6ac31af479a49ceadd04c6f186c6f7")</f>
        <v>0</v>
      </c>
      <c r="C16072">
        <f>HYPERLINK("https://android.googlesource.com/platform/cts/+/4b50be76f432caf3a0cb8303ed6692062bb6f498", "4b50be76f432caf3a0cb8303ed6692062bb6f498")</f>
        <v>0</v>
      </c>
      <c r="D16072" t="s">
        <v>5006</v>
      </c>
      <c r="E16072" t="s">
        <v>6490</v>
      </c>
      <c r="F16072" t="s">
        <v>12378</v>
      </c>
      <c r="G16072" t="s">
        <v>15334</v>
      </c>
      <c r="H16072" t="s">
        <v>19741</v>
      </c>
    </row>
    <row r="16073" spans="1:8">
      <c r="A16073" t="s">
        <v>708</v>
      </c>
      <c r="B16073">
        <f>HYPERLINK("https://android.googlesource.com/platform/cts/+/e2d58b18da97e826cb29fcff792227b3b1131b99", "e2d58b18da97e826cb29fcff792227b3b1131b99")</f>
        <v>0</v>
      </c>
      <c r="C16073">
        <f>HYPERLINK("https://android.googlesource.com/platform/cts/+/5a50430b5e5dbdca944faceab51ff95bfcc10f1f", "5a50430b5e5dbdca944faceab51ff95bfcc10f1f")</f>
        <v>0</v>
      </c>
      <c r="D16073" t="s">
        <v>5071</v>
      </c>
      <c r="E16073" t="s">
        <v>6491</v>
      </c>
      <c r="F16073" t="s">
        <v>12430</v>
      </c>
      <c r="G16073" t="s">
        <v>16651</v>
      </c>
      <c r="H16073" t="s">
        <v>22805</v>
      </c>
    </row>
    <row r="16074" spans="1:8">
      <c r="H16074" t="s">
        <v>22806</v>
      </c>
    </row>
    <row r="16075" spans="1:8">
      <c r="H16075" t="s">
        <v>22807</v>
      </c>
    </row>
    <row r="16076" spans="1:8">
      <c r="H16076" t="s">
        <v>22808</v>
      </c>
    </row>
    <row r="16077" spans="1:8">
      <c r="H16077" t="s">
        <v>22809</v>
      </c>
    </row>
    <row r="16078" spans="1:8">
      <c r="H16078" t="s">
        <v>22810</v>
      </c>
    </row>
    <row r="16079" spans="1:8">
      <c r="H16079" t="s">
        <v>22811</v>
      </c>
    </row>
    <row r="16080" spans="1:8">
      <c r="H16080" t="s">
        <v>22812</v>
      </c>
    </row>
    <row r="16081" spans="1:8">
      <c r="H16081" t="s">
        <v>22813</v>
      </c>
    </row>
    <row r="16082" spans="1:8">
      <c r="H16082" t="s">
        <v>22814</v>
      </c>
    </row>
    <row r="16083" spans="1:8">
      <c r="H16083" t="s">
        <v>22815</v>
      </c>
    </row>
    <row r="16084" spans="1:8">
      <c r="H16084" t="s">
        <v>22816</v>
      </c>
    </row>
    <row r="16085" spans="1:8">
      <c r="H16085" t="s">
        <v>22817</v>
      </c>
    </row>
    <row r="16086" spans="1:8">
      <c r="H16086" t="s">
        <v>22818</v>
      </c>
    </row>
    <row r="16087" spans="1:8">
      <c r="H16087" t="s">
        <v>22819</v>
      </c>
    </row>
    <row r="16088" spans="1:8">
      <c r="H16088" t="s">
        <v>22820</v>
      </c>
    </row>
    <row r="16089" spans="1:8">
      <c r="H16089" t="s">
        <v>22821</v>
      </c>
    </row>
    <row r="16090" spans="1:8">
      <c r="H16090" t="s">
        <v>22822</v>
      </c>
    </row>
    <row r="16091" spans="1:8">
      <c r="H16091" t="s">
        <v>22823</v>
      </c>
    </row>
    <row r="16092" spans="1:8">
      <c r="H16092" t="s">
        <v>22824</v>
      </c>
    </row>
    <row r="16093" spans="1:8">
      <c r="A16093" t="s">
        <v>709</v>
      </c>
      <c r="B16093">
        <f>HYPERLINK("https://android.googlesource.com/platform/cts/+/5140c5ad600527a436d78317ae3f242ec54ba174", "5140c5ad600527a436d78317ae3f242ec54ba174")</f>
        <v>0</v>
      </c>
      <c r="C16093">
        <f>HYPERLINK("https://android.googlesource.com/platform/cts/+/e40052544128b76a63bded1c2353d16c23dee264", "e40052544128b76a63bded1c2353d16c23dee264")</f>
        <v>0</v>
      </c>
      <c r="D16093" t="s">
        <v>4952</v>
      </c>
      <c r="E16093" t="s">
        <v>6492</v>
      </c>
      <c r="F16093" t="s">
        <v>11447</v>
      </c>
      <c r="G16093" t="s">
        <v>15687</v>
      </c>
      <c r="H16093" t="s">
        <v>22825</v>
      </c>
    </row>
    <row r="16094" spans="1:8">
      <c r="H16094" t="s">
        <v>22826</v>
      </c>
    </row>
    <row r="16095" spans="1:8">
      <c r="H16095" t="s">
        <v>22827</v>
      </c>
    </row>
    <row r="16096" spans="1:8">
      <c r="H16096" t="s">
        <v>22828</v>
      </c>
    </row>
    <row r="16097" spans="1:8">
      <c r="H16097" t="s">
        <v>22829</v>
      </c>
    </row>
    <row r="16098" spans="1:8">
      <c r="H16098" t="s">
        <v>22830</v>
      </c>
    </row>
    <row r="16099" spans="1:8">
      <c r="H16099" t="s">
        <v>22831</v>
      </c>
    </row>
    <row r="16100" spans="1:8">
      <c r="H16100" t="s">
        <v>22832</v>
      </c>
    </row>
    <row r="16101" spans="1:8">
      <c r="H16101" t="s">
        <v>22833</v>
      </c>
    </row>
    <row r="16102" spans="1:8">
      <c r="A16102" t="s">
        <v>710</v>
      </c>
      <c r="B16102">
        <f>HYPERLINK("https://android.googlesource.com/platform/cts/+/478800028cdb3c8080b0b1fb6b195b8c972688e0", "478800028cdb3c8080b0b1fb6b195b8c972688e0")</f>
        <v>0</v>
      </c>
      <c r="C16102">
        <f>HYPERLINK("https://android.googlesource.com/platform/cts/+/4049c5de179ae219e65c75cb0819f33b9088e87b", "4049c5de179ae219e65c75cb0819f33b9088e87b")</f>
        <v>0</v>
      </c>
      <c r="D16102" t="s">
        <v>5072</v>
      </c>
      <c r="E16102" t="s">
        <v>6493</v>
      </c>
      <c r="F16102" t="s">
        <v>12407</v>
      </c>
      <c r="G16102" t="s">
        <v>16629</v>
      </c>
      <c r="H16102" t="s">
        <v>22834</v>
      </c>
    </row>
    <row r="16103" spans="1:8">
      <c r="A16103" t="s">
        <v>711</v>
      </c>
      <c r="B16103">
        <f>HYPERLINK("https://android.googlesource.com/platform/cts/+/29dfebf7b40c2f1defbcf56878cc659c6e979a11", "29dfebf7b40c2f1defbcf56878cc659c6e979a11")</f>
        <v>0</v>
      </c>
      <c r="C16103">
        <f>HYPERLINK("https://android.googlesource.com/platform/cts/+/9251d4c05cbe7b9f2edb2071fcdd91e1679e80bc", "9251d4c05cbe7b9f2edb2071fcdd91e1679e80bc")</f>
        <v>0</v>
      </c>
      <c r="D16103" t="s">
        <v>5072</v>
      </c>
      <c r="E16103" t="s">
        <v>6494</v>
      </c>
      <c r="F16103" t="s">
        <v>12407</v>
      </c>
      <c r="G16103" t="s">
        <v>16629</v>
      </c>
      <c r="H16103" t="s">
        <v>22835</v>
      </c>
    </row>
    <row r="16104" spans="1:8">
      <c r="H16104" t="s">
        <v>22836</v>
      </c>
    </row>
    <row r="16105" spans="1:8">
      <c r="H16105" t="s">
        <v>22837</v>
      </c>
    </row>
    <row r="16106" spans="1:8">
      <c r="H16106" t="s">
        <v>22838</v>
      </c>
    </row>
    <row r="16107" spans="1:8">
      <c r="A16107" t="s">
        <v>712</v>
      </c>
      <c r="B16107">
        <f>HYPERLINK("https://android.googlesource.com/platform/cts/+/c1198c0aa7c7e9b52a32d9e2c0d663c69ee131c6", "c1198c0aa7c7e9b52a32d9e2c0d663c69ee131c6")</f>
        <v>0</v>
      </c>
      <c r="C16107">
        <f>HYPERLINK("https://android.googlesource.com/platform/cts/+/5e01fa965b9f518a6efb9a6c31bf0cd8167b5719", "5e01fa965b9f518a6efb9a6c31bf0cd8167b5719")</f>
        <v>0</v>
      </c>
      <c r="D16107" t="s">
        <v>5070</v>
      </c>
      <c r="E16107" t="s">
        <v>6495</v>
      </c>
      <c r="F16107" t="s">
        <v>10794</v>
      </c>
      <c r="G16107" t="s">
        <v>15189</v>
      </c>
      <c r="H16107" t="s">
        <v>22801</v>
      </c>
    </row>
    <row r="16108" spans="1:8">
      <c r="H16108" t="s">
        <v>22798</v>
      </c>
    </row>
    <row r="16109" spans="1:8">
      <c r="H16109" t="s">
        <v>22799</v>
      </c>
    </row>
    <row r="16110" spans="1:8">
      <c r="H16110" t="s">
        <v>22839</v>
      </c>
    </row>
    <row r="16111" spans="1:8">
      <c r="H16111" t="s">
        <v>22840</v>
      </c>
    </row>
    <row r="16112" spans="1:8">
      <c r="H16112" t="s">
        <v>22841</v>
      </c>
    </row>
    <row r="16113" spans="1:8">
      <c r="H16113" t="s">
        <v>22842</v>
      </c>
    </row>
    <row r="16114" spans="1:8">
      <c r="H16114" t="s">
        <v>22800</v>
      </c>
    </row>
    <row r="16115" spans="1:8">
      <c r="H16115" t="s">
        <v>22843</v>
      </c>
    </row>
    <row r="16116" spans="1:8">
      <c r="H16116" t="s">
        <v>22844</v>
      </c>
    </row>
    <row r="16117" spans="1:8">
      <c r="A16117" t="s">
        <v>713</v>
      </c>
      <c r="B16117">
        <f>HYPERLINK("https://android.googlesource.com/platform/cts/+/86d46afe064937dbec95d91e64e27baec141ae97", "86d46afe064937dbec95d91e64e27baec141ae97")</f>
        <v>0</v>
      </c>
      <c r="C16117">
        <f>HYPERLINK("https://android.googlesource.com/platform/cts/+/d6cc66a89811b7b9e843baf48860976a992c33f3", "d6cc66a89811b7b9e843baf48860976a992c33f3")</f>
        <v>0</v>
      </c>
      <c r="D16117" t="s">
        <v>4952</v>
      </c>
      <c r="E16117" t="s">
        <v>6496</v>
      </c>
      <c r="F16117" t="s">
        <v>12431</v>
      </c>
      <c r="G16117" t="s">
        <v>16652</v>
      </c>
      <c r="H16117" t="s">
        <v>22845</v>
      </c>
    </row>
    <row r="16118" spans="1:8">
      <c r="A16118" t="s">
        <v>714</v>
      </c>
      <c r="B16118">
        <f>HYPERLINK("https://android.googlesource.com/platform/cts/+/5adf9dc8394cff64d055aab018c72e407887c1ef", "5adf9dc8394cff64d055aab018c72e407887c1ef")</f>
        <v>0</v>
      </c>
      <c r="C16118">
        <f>HYPERLINK("https://android.googlesource.com/platform/cts/+/cd8879e7cff93dfe9408a4938c9e0129ebe1bae4", "cd8879e7cff93dfe9408a4938c9e0129ebe1bae4")</f>
        <v>0</v>
      </c>
      <c r="D16118" t="s">
        <v>5017</v>
      </c>
      <c r="E16118" t="s">
        <v>6497</v>
      </c>
      <c r="F16118" t="s">
        <v>12432</v>
      </c>
      <c r="G16118" t="s">
        <v>16653</v>
      </c>
      <c r="H16118" t="s">
        <v>18829</v>
      </c>
    </row>
    <row r="16119" spans="1:8">
      <c r="H16119" t="s">
        <v>22846</v>
      </c>
    </row>
    <row r="16120" spans="1:8">
      <c r="H16120" t="s">
        <v>22847</v>
      </c>
    </row>
    <row r="16121" spans="1:8">
      <c r="H16121" t="s">
        <v>20340</v>
      </c>
    </row>
    <row r="16122" spans="1:8">
      <c r="H16122" t="s">
        <v>20340</v>
      </c>
    </row>
    <row r="16123" spans="1:8">
      <c r="H16123" t="s">
        <v>20340</v>
      </c>
    </row>
    <row r="16124" spans="1:8">
      <c r="H16124" t="s">
        <v>20340</v>
      </c>
    </row>
    <row r="16125" spans="1:8">
      <c r="H16125" t="s">
        <v>20340</v>
      </c>
    </row>
    <row r="16126" spans="1:8">
      <c r="H16126" t="s">
        <v>20340</v>
      </c>
    </row>
    <row r="16127" spans="1:8">
      <c r="H16127" t="s">
        <v>22848</v>
      </c>
    </row>
    <row r="16128" spans="1:8">
      <c r="H16128" t="s">
        <v>22849</v>
      </c>
    </row>
    <row r="16129" spans="8:8">
      <c r="H16129" t="s">
        <v>22850</v>
      </c>
    </row>
    <row r="16130" spans="8:8">
      <c r="H16130" t="s">
        <v>22851</v>
      </c>
    </row>
    <row r="16131" spans="8:8">
      <c r="H16131" t="s">
        <v>22852</v>
      </c>
    </row>
    <row r="16132" spans="8:8">
      <c r="H16132" t="s">
        <v>22853</v>
      </c>
    </row>
    <row r="16133" spans="8:8">
      <c r="H16133" t="s">
        <v>22854</v>
      </c>
    </row>
    <row r="16134" spans="8:8">
      <c r="H16134" t="s">
        <v>22855</v>
      </c>
    </row>
    <row r="16135" spans="8:8">
      <c r="H16135" t="s">
        <v>22856</v>
      </c>
    </row>
    <row r="16136" spans="8:8">
      <c r="H16136" t="s">
        <v>22857</v>
      </c>
    </row>
    <row r="16137" spans="8:8">
      <c r="H16137" t="s">
        <v>22858</v>
      </c>
    </row>
    <row r="16138" spans="8:8">
      <c r="H16138" t="s">
        <v>22859</v>
      </c>
    </row>
    <row r="16139" spans="8:8">
      <c r="H16139" t="s">
        <v>22860</v>
      </c>
    </row>
    <row r="16140" spans="8:8">
      <c r="H16140" t="s">
        <v>22861</v>
      </c>
    </row>
    <row r="16141" spans="8:8">
      <c r="H16141" t="s">
        <v>22862</v>
      </c>
    </row>
    <row r="16142" spans="8:8">
      <c r="H16142" t="s">
        <v>22863</v>
      </c>
    </row>
    <row r="16143" spans="8:8">
      <c r="H16143" t="s">
        <v>22864</v>
      </c>
    </row>
    <row r="16144" spans="8:8">
      <c r="H16144" t="s">
        <v>22865</v>
      </c>
    </row>
    <row r="16145" spans="8:8">
      <c r="H16145" t="s">
        <v>22866</v>
      </c>
    </row>
    <row r="16146" spans="8:8">
      <c r="H16146" t="s">
        <v>22867</v>
      </c>
    </row>
    <row r="16147" spans="8:8">
      <c r="H16147" t="s">
        <v>22868</v>
      </c>
    </row>
    <row r="16148" spans="8:8">
      <c r="H16148" t="s">
        <v>22869</v>
      </c>
    </row>
    <row r="16149" spans="8:8">
      <c r="H16149" t="s">
        <v>22870</v>
      </c>
    </row>
    <row r="16150" spans="8:8">
      <c r="H16150" t="s">
        <v>22871</v>
      </c>
    </row>
    <row r="16151" spans="8:8">
      <c r="H16151" t="s">
        <v>22872</v>
      </c>
    </row>
    <row r="16152" spans="8:8">
      <c r="H16152" t="s">
        <v>22873</v>
      </c>
    </row>
    <row r="16153" spans="8:8">
      <c r="H16153" t="s">
        <v>22874</v>
      </c>
    </row>
    <row r="16154" spans="8:8">
      <c r="H16154" t="s">
        <v>22875</v>
      </c>
    </row>
    <row r="16155" spans="8:8">
      <c r="H16155" t="s">
        <v>22876</v>
      </c>
    </row>
    <row r="16156" spans="8:8">
      <c r="H16156" t="s">
        <v>22877</v>
      </c>
    </row>
    <row r="16157" spans="8:8">
      <c r="H16157" t="s">
        <v>22878</v>
      </c>
    </row>
    <row r="16158" spans="8:8">
      <c r="H16158" t="s">
        <v>22879</v>
      </c>
    </row>
    <row r="16159" spans="8:8">
      <c r="H16159" t="s">
        <v>22880</v>
      </c>
    </row>
    <row r="16160" spans="8:8">
      <c r="H16160" t="s">
        <v>22881</v>
      </c>
    </row>
    <row r="16161" spans="6:8">
      <c r="H16161" t="s">
        <v>22882</v>
      </c>
    </row>
    <row r="16162" spans="6:8">
      <c r="H16162" t="s">
        <v>22883</v>
      </c>
    </row>
    <row r="16163" spans="6:8">
      <c r="H16163" t="s">
        <v>22884</v>
      </c>
    </row>
    <row r="16164" spans="6:8">
      <c r="H16164" t="s">
        <v>22885</v>
      </c>
    </row>
    <row r="16165" spans="6:8">
      <c r="H16165" t="s">
        <v>22886</v>
      </c>
    </row>
    <row r="16166" spans="6:8">
      <c r="H16166" t="s">
        <v>22887</v>
      </c>
    </row>
    <row r="16167" spans="6:8">
      <c r="H16167" t="s">
        <v>22888</v>
      </c>
    </row>
    <row r="16168" spans="6:8">
      <c r="H16168" t="s">
        <v>22889</v>
      </c>
    </row>
    <row r="16169" spans="6:8">
      <c r="H16169" t="s">
        <v>22890</v>
      </c>
    </row>
    <row r="16170" spans="6:8">
      <c r="H16170" t="s">
        <v>22891</v>
      </c>
    </row>
    <row r="16171" spans="6:8">
      <c r="H16171" t="s">
        <v>22892</v>
      </c>
    </row>
    <row r="16172" spans="6:8">
      <c r="H16172" t="s">
        <v>22893</v>
      </c>
    </row>
    <row r="16173" spans="6:8">
      <c r="F16173" t="s">
        <v>12433</v>
      </c>
      <c r="G16173" t="s">
        <v>16654</v>
      </c>
      <c r="H16173" t="s">
        <v>18829</v>
      </c>
    </row>
    <row r="16174" spans="6:8">
      <c r="H16174" t="s">
        <v>22846</v>
      </c>
    </row>
    <row r="16175" spans="6:8">
      <c r="H16175" t="s">
        <v>22847</v>
      </c>
    </row>
    <row r="16176" spans="6:8">
      <c r="H16176" t="s">
        <v>20340</v>
      </c>
    </row>
    <row r="16177" spans="8:8">
      <c r="H16177" t="s">
        <v>20340</v>
      </c>
    </row>
    <row r="16178" spans="8:8">
      <c r="H16178" t="s">
        <v>20340</v>
      </c>
    </row>
    <row r="16179" spans="8:8">
      <c r="H16179" t="s">
        <v>20340</v>
      </c>
    </row>
    <row r="16180" spans="8:8">
      <c r="H16180" t="s">
        <v>20340</v>
      </c>
    </row>
    <row r="16181" spans="8:8">
      <c r="H16181" t="s">
        <v>20340</v>
      </c>
    </row>
    <row r="16182" spans="8:8">
      <c r="H16182" t="s">
        <v>22848</v>
      </c>
    </row>
    <row r="16183" spans="8:8">
      <c r="H16183" t="s">
        <v>22849</v>
      </c>
    </row>
    <row r="16184" spans="8:8">
      <c r="H16184" t="s">
        <v>22850</v>
      </c>
    </row>
    <row r="16185" spans="8:8">
      <c r="H16185" t="s">
        <v>22851</v>
      </c>
    </row>
    <row r="16186" spans="8:8">
      <c r="H16186" t="s">
        <v>22894</v>
      </c>
    </row>
    <row r="16187" spans="8:8">
      <c r="H16187" t="s">
        <v>22895</v>
      </c>
    </row>
    <row r="16188" spans="8:8">
      <c r="H16188" t="s">
        <v>22896</v>
      </c>
    </row>
    <row r="16189" spans="8:8">
      <c r="H16189" t="s">
        <v>22897</v>
      </c>
    </row>
    <row r="16190" spans="8:8">
      <c r="H16190" t="s">
        <v>22898</v>
      </c>
    </row>
    <row r="16191" spans="8:8">
      <c r="H16191" t="s">
        <v>22899</v>
      </c>
    </row>
    <row r="16192" spans="8:8">
      <c r="H16192" t="s">
        <v>22900</v>
      </c>
    </row>
    <row r="16193" spans="6:8">
      <c r="H16193" t="s">
        <v>22901</v>
      </c>
    </row>
    <row r="16194" spans="6:8">
      <c r="H16194" t="s">
        <v>22902</v>
      </c>
    </row>
    <row r="16195" spans="6:8">
      <c r="H16195" t="s">
        <v>22903</v>
      </c>
    </row>
    <row r="16196" spans="6:8">
      <c r="H16196" t="s">
        <v>22904</v>
      </c>
    </row>
    <row r="16197" spans="6:8">
      <c r="H16197" t="s">
        <v>22905</v>
      </c>
    </row>
    <row r="16198" spans="6:8">
      <c r="H16198" t="s">
        <v>22906</v>
      </c>
    </row>
    <row r="16199" spans="6:8">
      <c r="H16199" t="s">
        <v>22907</v>
      </c>
    </row>
    <row r="16200" spans="6:8">
      <c r="H16200" t="s">
        <v>22908</v>
      </c>
    </row>
    <row r="16201" spans="6:8">
      <c r="H16201" t="s">
        <v>22909</v>
      </c>
    </row>
    <row r="16202" spans="6:8">
      <c r="H16202" t="s">
        <v>22910</v>
      </c>
    </row>
    <row r="16203" spans="6:8">
      <c r="H16203" t="s">
        <v>22911</v>
      </c>
    </row>
    <row r="16204" spans="6:8">
      <c r="H16204" t="s">
        <v>22912</v>
      </c>
    </row>
    <row r="16205" spans="6:8">
      <c r="H16205" t="s">
        <v>22913</v>
      </c>
    </row>
    <row r="16206" spans="6:8">
      <c r="F16206" t="s">
        <v>12434</v>
      </c>
      <c r="G16206" t="s">
        <v>16655</v>
      </c>
      <c r="H16206" t="s">
        <v>18829</v>
      </c>
    </row>
    <row r="16207" spans="6:8">
      <c r="H16207" t="s">
        <v>22914</v>
      </c>
    </row>
    <row r="16208" spans="6:8">
      <c r="H16208" t="s">
        <v>22915</v>
      </c>
    </row>
    <row r="16209" spans="8:8">
      <c r="H16209" t="s">
        <v>22916</v>
      </c>
    </row>
    <row r="16210" spans="8:8">
      <c r="H16210" t="s">
        <v>22917</v>
      </c>
    </row>
    <row r="16211" spans="8:8">
      <c r="H16211" t="s">
        <v>22918</v>
      </c>
    </row>
    <row r="16212" spans="8:8">
      <c r="H16212" t="s">
        <v>22919</v>
      </c>
    </row>
    <row r="16213" spans="8:8">
      <c r="H16213" t="s">
        <v>22920</v>
      </c>
    </row>
    <row r="16214" spans="8:8">
      <c r="H16214" t="s">
        <v>22921</v>
      </c>
    </row>
    <row r="16215" spans="8:8">
      <c r="H16215" t="s">
        <v>22922</v>
      </c>
    </row>
    <row r="16216" spans="8:8">
      <c r="H16216" t="s">
        <v>22923</v>
      </c>
    </row>
    <row r="16217" spans="8:8">
      <c r="H16217" t="s">
        <v>22924</v>
      </c>
    </row>
    <row r="16218" spans="8:8">
      <c r="H16218" t="s">
        <v>22925</v>
      </c>
    </row>
    <row r="16219" spans="8:8">
      <c r="H16219" t="s">
        <v>22926</v>
      </c>
    </row>
    <row r="16220" spans="8:8">
      <c r="H16220" t="s">
        <v>22927</v>
      </c>
    </row>
    <row r="16221" spans="8:8">
      <c r="H16221" t="s">
        <v>22928</v>
      </c>
    </row>
    <row r="16222" spans="8:8">
      <c r="H16222" t="s">
        <v>22929</v>
      </c>
    </row>
    <row r="16223" spans="8:8">
      <c r="H16223" t="s">
        <v>22930</v>
      </c>
    </row>
    <row r="16224" spans="8:8">
      <c r="H16224" t="s">
        <v>22931</v>
      </c>
    </row>
    <row r="16225" spans="6:8">
      <c r="H16225" t="s">
        <v>22932</v>
      </c>
    </row>
    <row r="16226" spans="6:8">
      <c r="H16226" t="s">
        <v>22933</v>
      </c>
    </row>
    <row r="16227" spans="6:8">
      <c r="H16227" t="s">
        <v>22934</v>
      </c>
    </row>
    <row r="16228" spans="6:8">
      <c r="H16228" t="s">
        <v>22935</v>
      </c>
    </row>
    <row r="16229" spans="6:8">
      <c r="H16229" t="s">
        <v>22936</v>
      </c>
    </row>
    <row r="16230" spans="6:8">
      <c r="H16230" t="s">
        <v>22937</v>
      </c>
    </row>
    <row r="16231" spans="6:8">
      <c r="H16231" t="s">
        <v>22938</v>
      </c>
    </row>
    <row r="16232" spans="6:8">
      <c r="F16232" t="s">
        <v>12435</v>
      </c>
      <c r="G16232" t="s">
        <v>16656</v>
      </c>
      <c r="H16232" t="s">
        <v>18829</v>
      </c>
    </row>
    <row r="16233" spans="6:8">
      <c r="H16233" t="s">
        <v>22939</v>
      </c>
    </row>
    <row r="16234" spans="6:8">
      <c r="H16234" t="s">
        <v>22940</v>
      </c>
    </row>
    <row r="16235" spans="6:8">
      <c r="H16235" t="s">
        <v>22941</v>
      </c>
    </row>
    <row r="16236" spans="6:8">
      <c r="H16236" t="s">
        <v>22942</v>
      </c>
    </row>
    <row r="16237" spans="6:8">
      <c r="H16237" t="s">
        <v>22943</v>
      </c>
    </row>
    <row r="16238" spans="6:8">
      <c r="H16238" t="s">
        <v>22944</v>
      </c>
    </row>
    <row r="16239" spans="6:8">
      <c r="H16239" t="s">
        <v>22945</v>
      </c>
    </row>
    <row r="16240" spans="6:8">
      <c r="H16240" t="s">
        <v>22946</v>
      </c>
    </row>
    <row r="16241" spans="6:8">
      <c r="H16241" t="s">
        <v>22947</v>
      </c>
    </row>
    <row r="16242" spans="6:8">
      <c r="F16242" t="s">
        <v>12436</v>
      </c>
      <c r="G16242" t="s">
        <v>16657</v>
      </c>
      <c r="H16242" t="s">
        <v>18829</v>
      </c>
    </row>
    <row r="16243" spans="6:8">
      <c r="H16243" t="s">
        <v>22948</v>
      </c>
    </row>
    <row r="16244" spans="6:8">
      <c r="H16244" t="s">
        <v>22949</v>
      </c>
    </row>
    <row r="16245" spans="6:8">
      <c r="H16245" t="s">
        <v>22950</v>
      </c>
    </row>
    <row r="16246" spans="6:8">
      <c r="H16246" t="s">
        <v>22951</v>
      </c>
    </row>
    <row r="16247" spans="6:8">
      <c r="H16247" t="s">
        <v>22952</v>
      </c>
    </row>
    <row r="16248" spans="6:8">
      <c r="H16248" t="s">
        <v>22953</v>
      </c>
    </row>
    <row r="16249" spans="6:8">
      <c r="H16249" t="s">
        <v>22954</v>
      </c>
    </row>
    <row r="16250" spans="6:8">
      <c r="H16250" t="s">
        <v>22955</v>
      </c>
    </row>
    <row r="16251" spans="6:8">
      <c r="H16251" t="s">
        <v>22956</v>
      </c>
    </row>
    <row r="16252" spans="6:8">
      <c r="F16252" t="s">
        <v>12437</v>
      </c>
      <c r="G16252" t="s">
        <v>16658</v>
      </c>
      <c r="H16252" t="s">
        <v>18829</v>
      </c>
    </row>
    <row r="16253" spans="6:8">
      <c r="H16253" t="s">
        <v>22957</v>
      </c>
    </row>
    <row r="16254" spans="6:8">
      <c r="H16254" t="s">
        <v>22958</v>
      </c>
    </row>
    <row r="16255" spans="6:8">
      <c r="H16255" t="s">
        <v>22959</v>
      </c>
    </row>
    <row r="16256" spans="6:8">
      <c r="H16256" t="s">
        <v>22960</v>
      </c>
    </row>
    <row r="16257" spans="6:8">
      <c r="H16257" t="s">
        <v>22961</v>
      </c>
    </row>
    <row r="16258" spans="6:8">
      <c r="H16258" t="s">
        <v>22962</v>
      </c>
    </row>
    <row r="16259" spans="6:8">
      <c r="H16259" t="s">
        <v>22963</v>
      </c>
    </row>
    <row r="16260" spans="6:8">
      <c r="H16260" t="s">
        <v>22964</v>
      </c>
    </row>
    <row r="16261" spans="6:8">
      <c r="H16261" t="s">
        <v>22965</v>
      </c>
    </row>
    <row r="16262" spans="6:8">
      <c r="F16262" t="s">
        <v>12438</v>
      </c>
      <c r="G16262" t="s">
        <v>16659</v>
      </c>
      <c r="H16262" t="s">
        <v>18829</v>
      </c>
    </row>
    <row r="16263" spans="6:8">
      <c r="H16263" t="s">
        <v>22966</v>
      </c>
    </row>
    <row r="16264" spans="6:8">
      <c r="H16264" t="s">
        <v>22967</v>
      </c>
    </row>
    <row r="16265" spans="6:8">
      <c r="H16265" t="s">
        <v>22968</v>
      </c>
    </row>
    <row r="16266" spans="6:8">
      <c r="H16266" t="s">
        <v>22969</v>
      </c>
    </row>
    <row r="16267" spans="6:8">
      <c r="H16267" t="s">
        <v>22970</v>
      </c>
    </row>
    <row r="16268" spans="6:8">
      <c r="H16268" t="s">
        <v>22971</v>
      </c>
    </row>
    <row r="16269" spans="6:8">
      <c r="H16269" t="s">
        <v>22972</v>
      </c>
    </row>
    <row r="16270" spans="6:8">
      <c r="H16270" t="s">
        <v>22973</v>
      </c>
    </row>
    <row r="16271" spans="6:8">
      <c r="H16271" t="s">
        <v>22974</v>
      </c>
    </row>
    <row r="16272" spans="6:8">
      <c r="F16272" t="s">
        <v>12439</v>
      </c>
      <c r="G16272" t="s">
        <v>16660</v>
      </c>
      <c r="H16272" t="s">
        <v>18829</v>
      </c>
    </row>
    <row r="16273" spans="6:8">
      <c r="H16273" t="s">
        <v>22975</v>
      </c>
    </row>
    <row r="16274" spans="6:8">
      <c r="H16274" t="s">
        <v>22976</v>
      </c>
    </row>
    <row r="16275" spans="6:8">
      <c r="H16275" t="s">
        <v>22977</v>
      </c>
    </row>
    <row r="16276" spans="6:8">
      <c r="H16276" t="s">
        <v>22978</v>
      </c>
    </row>
    <row r="16277" spans="6:8">
      <c r="H16277" t="s">
        <v>22979</v>
      </c>
    </row>
    <row r="16278" spans="6:8">
      <c r="H16278" t="s">
        <v>22980</v>
      </c>
    </row>
    <row r="16279" spans="6:8">
      <c r="H16279" t="s">
        <v>22981</v>
      </c>
    </row>
    <row r="16280" spans="6:8">
      <c r="H16280" t="s">
        <v>22982</v>
      </c>
    </row>
    <row r="16281" spans="6:8">
      <c r="H16281" t="s">
        <v>22983</v>
      </c>
    </row>
    <row r="16282" spans="6:8">
      <c r="F16282" t="s">
        <v>12440</v>
      </c>
      <c r="G16282" t="s">
        <v>16661</v>
      </c>
      <c r="H16282" t="s">
        <v>18829</v>
      </c>
    </row>
    <row r="16283" spans="6:8">
      <c r="H16283" t="s">
        <v>22984</v>
      </c>
    </row>
    <row r="16284" spans="6:8">
      <c r="H16284" t="s">
        <v>22985</v>
      </c>
    </row>
    <row r="16285" spans="6:8">
      <c r="H16285" t="s">
        <v>22986</v>
      </c>
    </row>
    <row r="16286" spans="6:8">
      <c r="H16286" t="s">
        <v>22987</v>
      </c>
    </row>
    <row r="16287" spans="6:8">
      <c r="H16287" t="s">
        <v>22988</v>
      </c>
    </row>
    <row r="16288" spans="6:8">
      <c r="H16288" t="s">
        <v>22989</v>
      </c>
    </row>
    <row r="16289" spans="6:8">
      <c r="H16289" t="s">
        <v>22990</v>
      </c>
    </row>
    <row r="16290" spans="6:8">
      <c r="H16290" t="s">
        <v>22991</v>
      </c>
    </row>
    <row r="16291" spans="6:8">
      <c r="H16291" t="s">
        <v>22992</v>
      </c>
    </row>
    <row r="16292" spans="6:8">
      <c r="F16292" t="s">
        <v>12441</v>
      </c>
      <c r="G16292" t="s">
        <v>16662</v>
      </c>
      <c r="H16292" t="s">
        <v>18829</v>
      </c>
    </row>
    <row r="16293" spans="6:8">
      <c r="H16293" t="s">
        <v>22993</v>
      </c>
    </row>
    <row r="16294" spans="6:8">
      <c r="H16294" t="s">
        <v>22994</v>
      </c>
    </row>
    <row r="16295" spans="6:8">
      <c r="H16295" t="s">
        <v>22995</v>
      </c>
    </row>
    <row r="16296" spans="6:8">
      <c r="H16296" t="s">
        <v>22996</v>
      </c>
    </row>
    <row r="16297" spans="6:8">
      <c r="H16297" t="s">
        <v>22997</v>
      </c>
    </row>
    <row r="16298" spans="6:8">
      <c r="H16298" t="s">
        <v>22998</v>
      </c>
    </row>
    <row r="16299" spans="6:8">
      <c r="H16299" t="s">
        <v>22999</v>
      </c>
    </row>
    <row r="16300" spans="6:8">
      <c r="H16300" t="s">
        <v>23000</v>
      </c>
    </row>
    <row r="16301" spans="6:8">
      <c r="H16301" t="s">
        <v>23001</v>
      </c>
    </row>
    <row r="16302" spans="6:8">
      <c r="F16302" t="s">
        <v>12442</v>
      </c>
      <c r="G16302" t="s">
        <v>16663</v>
      </c>
      <c r="H16302" t="s">
        <v>18829</v>
      </c>
    </row>
    <row r="16303" spans="6:8">
      <c r="H16303" t="s">
        <v>23002</v>
      </c>
    </row>
    <row r="16304" spans="6:8">
      <c r="H16304" t="s">
        <v>23003</v>
      </c>
    </row>
    <row r="16305" spans="6:8">
      <c r="H16305" t="s">
        <v>23004</v>
      </c>
    </row>
    <row r="16306" spans="6:8">
      <c r="H16306" t="s">
        <v>23005</v>
      </c>
    </row>
    <row r="16307" spans="6:8">
      <c r="H16307" t="s">
        <v>23006</v>
      </c>
    </row>
    <row r="16308" spans="6:8">
      <c r="H16308" t="s">
        <v>23007</v>
      </c>
    </row>
    <row r="16309" spans="6:8">
      <c r="H16309" t="s">
        <v>23008</v>
      </c>
    </row>
    <row r="16310" spans="6:8">
      <c r="H16310" t="s">
        <v>23009</v>
      </c>
    </row>
    <row r="16311" spans="6:8">
      <c r="H16311" t="s">
        <v>23010</v>
      </c>
    </row>
    <row r="16312" spans="6:8">
      <c r="F16312" t="s">
        <v>12443</v>
      </c>
      <c r="G16312" t="s">
        <v>16664</v>
      </c>
      <c r="H16312" t="s">
        <v>18829</v>
      </c>
    </row>
    <row r="16313" spans="6:8">
      <c r="H16313" t="s">
        <v>23011</v>
      </c>
    </row>
    <row r="16314" spans="6:8">
      <c r="H16314" t="s">
        <v>23012</v>
      </c>
    </row>
    <row r="16315" spans="6:8">
      <c r="H16315" t="s">
        <v>23013</v>
      </c>
    </row>
    <row r="16316" spans="6:8">
      <c r="H16316" t="s">
        <v>23014</v>
      </c>
    </row>
    <row r="16317" spans="6:8">
      <c r="H16317" t="s">
        <v>23015</v>
      </c>
    </row>
    <row r="16318" spans="6:8">
      <c r="H16318" t="s">
        <v>23016</v>
      </c>
    </row>
    <row r="16319" spans="6:8">
      <c r="H16319" t="s">
        <v>23017</v>
      </c>
    </row>
    <row r="16320" spans="6:8">
      <c r="H16320" t="s">
        <v>23018</v>
      </c>
    </row>
    <row r="16321" spans="6:8">
      <c r="H16321" t="s">
        <v>23019</v>
      </c>
    </row>
    <row r="16322" spans="6:8">
      <c r="F16322" t="s">
        <v>12444</v>
      </c>
      <c r="G16322" t="s">
        <v>16665</v>
      </c>
      <c r="H16322" t="s">
        <v>18829</v>
      </c>
    </row>
    <row r="16323" spans="6:8">
      <c r="H16323" t="s">
        <v>23020</v>
      </c>
    </row>
    <row r="16324" spans="6:8">
      <c r="H16324" t="s">
        <v>23021</v>
      </c>
    </row>
    <row r="16325" spans="6:8">
      <c r="H16325" t="s">
        <v>23022</v>
      </c>
    </row>
    <row r="16326" spans="6:8">
      <c r="H16326" t="s">
        <v>23023</v>
      </c>
    </row>
    <row r="16327" spans="6:8">
      <c r="H16327" t="s">
        <v>23024</v>
      </c>
    </row>
    <row r="16328" spans="6:8">
      <c r="H16328" t="s">
        <v>23025</v>
      </c>
    </row>
    <row r="16329" spans="6:8">
      <c r="H16329" t="s">
        <v>23026</v>
      </c>
    </row>
    <row r="16330" spans="6:8">
      <c r="H16330" t="s">
        <v>23027</v>
      </c>
    </row>
    <row r="16331" spans="6:8">
      <c r="H16331" t="s">
        <v>23028</v>
      </c>
    </row>
    <row r="16332" spans="6:8">
      <c r="F16332" t="s">
        <v>12445</v>
      </c>
      <c r="G16332" t="s">
        <v>16666</v>
      </c>
      <c r="H16332" t="s">
        <v>18829</v>
      </c>
    </row>
    <row r="16333" spans="6:8">
      <c r="H16333" t="s">
        <v>23029</v>
      </c>
    </row>
    <row r="16334" spans="6:8">
      <c r="H16334" t="s">
        <v>23030</v>
      </c>
    </row>
    <row r="16335" spans="6:8">
      <c r="H16335" t="s">
        <v>23031</v>
      </c>
    </row>
    <row r="16336" spans="6:8">
      <c r="H16336" t="s">
        <v>23032</v>
      </c>
    </row>
    <row r="16337" spans="6:8">
      <c r="H16337" t="s">
        <v>23033</v>
      </c>
    </row>
    <row r="16338" spans="6:8">
      <c r="H16338" t="s">
        <v>23034</v>
      </c>
    </row>
    <row r="16339" spans="6:8">
      <c r="H16339" t="s">
        <v>23035</v>
      </c>
    </row>
    <row r="16340" spans="6:8">
      <c r="H16340" t="s">
        <v>23036</v>
      </c>
    </row>
    <row r="16341" spans="6:8">
      <c r="H16341" t="s">
        <v>23037</v>
      </c>
    </row>
    <row r="16342" spans="6:8">
      <c r="F16342" t="s">
        <v>12446</v>
      </c>
      <c r="G16342" t="s">
        <v>16667</v>
      </c>
      <c r="H16342" t="s">
        <v>18829</v>
      </c>
    </row>
    <row r="16343" spans="6:8">
      <c r="H16343" t="s">
        <v>23038</v>
      </c>
    </row>
    <row r="16344" spans="6:8">
      <c r="H16344" t="s">
        <v>23039</v>
      </c>
    </row>
    <row r="16345" spans="6:8">
      <c r="H16345" t="s">
        <v>23040</v>
      </c>
    </row>
    <row r="16346" spans="6:8">
      <c r="H16346" t="s">
        <v>23041</v>
      </c>
    </row>
    <row r="16347" spans="6:8">
      <c r="H16347" t="s">
        <v>23042</v>
      </c>
    </row>
    <row r="16348" spans="6:8">
      <c r="H16348" t="s">
        <v>23043</v>
      </c>
    </row>
    <row r="16349" spans="6:8">
      <c r="H16349" t="s">
        <v>23044</v>
      </c>
    </row>
    <row r="16350" spans="6:8">
      <c r="H16350" t="s">
        <v>23045</v>
      </c>
    </row>
    <row r="16351" spans="6:8">
      <c r="H16351" t="s">
        <v>23046</v>
      </c>
    </row>
    <row r="16352" spans="6:8">
      <c r="F16352" t="s">
        <v>12447</v>
      </c>
      <c r="G16352" t="s">
        <v>16668</v>
      </c>
      <c r="H16352" t="s">
        <v>18829</v>
      </c>
    </row>
    <row r="16353" spans="6:8">
      <c r="H16353" t="s">
        <v>23047</v>
      </c>
    </row>
    <row r="16354" spans="6:8">
      <c r="H16354" t="s">
        <v>23048</v>
      </c>
    </row>
    <row r="16355" spans="6:8">
      <c r="H16355" t="s">
        <v>23049</v>
      </c>
    </row>
    <row r="16356" spans="6:8">
      <c r="H16356" t="s">
        <v>23050</v>
      </c>
    </row>
    <row r="16357" spans="6:8">
      <c r="H16357" t="s">
        <v>23051</v>
      </c>
    </row>
    <row r="16358" spans="6:8">
      <c r="H16358" t="s">
        <v>23052</v>
      </c>
    </row>
    <row r="16359" spans="6:8">
      <c r="H16359" t="s">
        <v>23053</v>
      </c>
    </row>
    <row r="16360" spans="6:8">
      <c r="H16360" t="s">
        <v>23054</v>
      </c>
    </row>
    <row r="16361" spans="6:8">
      <c r="H16361" t="s">
        <v>23055</v>
      </c>
    </row>
    <row r="16362" spans="6:8">
      <c r="F16362" t="s">
        <v>12448</v>
      </c>
      <c r="G16362" t="s">
        <v>16669</v>
      </c>
      <c r="H16362" t="s">
        <v>18829</v>
      </c>
    </row>
    <row r="16363" spans="6:8">
      <c r="H16363" t="s">
        <v>23056</v>
      </c>
    </row>
    <row r="16364" spans="6:8">
      <c r="H16364" t="s">
        <v>23057</v>
      </c>
    </row>
    <row r="16365" spans="6:8">
      <c r="H16365" t="s">
        <v>23058</v>
      </c>
    </row>
    <row r="16366" spans="6:8">
      <c r="H16366" t="s">
        <v>23059</v>
      </c>
    </row>
    <row r="16367" spans="6:8">
      <c r="H16367" t="s">
        <v>23060</v>
      </c>
    </row>
    <row r="16368" spans="6:8">
      <c r="H16368" t="s">
        <v>23061</v>
      </c>
    </row>
    <row r="16369" spans="8:8">
      <c r="H16369" t="s">
        <v>23062</v>
      </c>
    </row>
    <row r="16370" spans="8:8">
      <c r="H16370" t="s">
        <v>23063</v>
      </c>
    </row>
    <row r="16371" spans="8:8">
      <c r="H16371" t="s">
        <v>23064</v>
      </c>
    </row>
    <row r="16372" spans="8:8">
      <c r="H16372" t="s">
        <v>23065</v>
      </c>
    </row>
    <row r="16373" spans="8:8">
      <c r="H16373" t="s">
        <v>23066</v>
      </c>
    </row>
    <row r="16374" spans="8:8">
      <c r="H16374" t="s">
        <v>23067</v>
      </c>
    </row>
    <row r="16375" spans="8:8">
      <c r="H16375" t="s">
        <v>23068</v>
      </c>
    </row>
    <row r="16376" spans="8:8">
      <c r="H16376" t="s">
        <v>23069</v>
      </c>
    </row>
    <row r="16377" spans="8:8">
      <c r="H16377" t="s">
        <v>23070</v>
      </c>
    </row>
    <row r="16378" spans="8:8">
      <c r="H16378" t="s">
        <v>23071</v>
      </c>
    </row>
    <row r="16379" spans="8:8">
      <c r="H16379" t="s">
        <v>23072</v>
      </c>
    </row>
    <row r="16380" spans="8:8">
      <c r="H16380" t="s">
        <v>23073</v>
      </c>
    </row>
    <row r="16381" spans="8:8">
      <c r="H16381" t="s">
        <v>23074</v>
      </c>
    </row>
    <row r="16382" spans="8:8">
      <c r="H16382" t="s">
        <v>23075</v>
      </c>
    </row>
    <row r="16383" spans="8:8">
      <c r="H16383" t="s">
        <v>23076</v>
      </c>
    </row>
    <row r="16384" spans="8:8">
      <c r="H16384" t="s">
        <v>23077</v>
      </c>
    </row>
    <row r="16385" spans="8:8">
      <c r="H16385" t="s">
        <v>23078</v>
      </c>
    </row>
    <row r="16386" spans="8:8">
      <c r="H16386" t="s">
        <v>23079</v>
      </c>
    </row>
    <row r="16387" spans="8:8">
      <c r="H16387" t="s">
        <v>23080</v>
      </c>
    </row>
    <row r="16388" spans="8:8">
      <c r="H16388" t="s">
        <v>23081</v>
      </c>
    </row>
    <row r="16389" spans="8:8">
      <c r="H16389" t="s">
        <v>23082</v>
      </c>
    </row>
    <row r="16390" spans="8:8">
      <c r="H16390" t="s">
        <v>23083</v>
      </c>
    </row>
    <row r="16391" spans="8:8">
      <c r="H16391" t="s">
        <v>23084</v>
      </c>
    </row>
    <row r="16392" spans="8:8">
      <c r="H16392" t="s">
        <v>23085</v>
      </c>
    </row>
    <row r="16393" spans="8:8">
      <c r="H16393" t="s">
        <v>23086</v>
      </c>
    </row>
    <row r="16394" spans="8:8">
      <c r="H16394" t="s">
        <v>23087</v>
      </c>
    </row>
    <row r="16395" spans="8:8">
      <c r="H16395" t="s">
        <v>23088</v>
      </c>
    </row>
    <row r="16396" spans="8:8">
      <c r="H16396" t="s">
        <v>23089</v>
      </c>
    </row>
    <row r="16397" spans="8:8">
      <c r="H16397" t="s">
        <v>23090</v>
      </c>
    </row>
    <row r="16398" spans="8:8">
      <c r="H16398" t="s">
        <v>23091</v>
      </c>
    </row>
    <row r="16399" spans="8:8">
      <c r="H16399" t="s">
        <v>23092</v>
      </c>
    </row>
    <row r="16400" spans="8:8">
      <c r="H16400" t="s">
        <v>23093</v>
      </c>
    </row>
    <row r="16401" spans="8:8">
      <c r="H16401" t="s">
        <v>23094</v>
      </c>
    </row>
    <row r="16402" spans="8:8">
      <c r="H16402" t="s">
        <v>23095</v>
      </c>
    </row>
    <row r="16403" spans="8:8">
      <c r="H16403" t="s">
        <v>23096</v>
      </c>
    </row>
    <row r="16404" spans="8:8">
      <c r="H16404" t="s">
        <v>23097</v>
      </c>
    </row>
    <row r="16405" spans="8:8">
      <c r="H16405" t="s">
        <v>23098</v>
      </c>
    </row>
    <row r="16406" spans="8:8">
      <c r="H16406" t="s">
        <v>23099</v>
      </c>
    </row>
    <row r="16407" spans="8:8">
      <c r="H16407" t="s">
        <v>23100</v>
      </c>
    </row>
    <row r="16408" spans="8:8">
      <c r="H16408" t="s">
        <v>23101</v>
      </c>
    </row>
    <row r="16409" spans="8:8">
      <c r="H16409" t="s">
        <v>23102</v>
      </c>
    </row>
    <row r="16410" spans="8:8">
      <c r="H16410" t="s">
        <v>23103</v>
      </c>
    </row>
    <row r="16411" spans="8:8">
      <c r="H16411" t="s">
        <v>23104</v>
      </c>
    </row>
    <row r="16412" spans="8:8">
      <c r="H16412" t="s">
        <v>23105</v>
      </c>
    </row>
    <row r="16413" spans="8:8">
      <c r="H16413" t="s">
        <v>23106</v>
      </c>
    </row>
    <row r="16414" spans="8:8">
      <c r="H16414" t="s">
        <v>23107</v>
      </c>
    </row>
    <row r="16415" spans="8:8">
      <c r="H16415" t="s">
        <v>23108</v>
      </c>
    </row>
    <row r="16416" spans="8:8">
      <c r="H16416" t="s">
        <v>23109</v>
      </c>
    </row>
    <row r="16417" spans="8:8">
      <c r="H16417" t="s">
        <v>23110</v>
      </c>
    </row>
    <row r="16418" spans="8:8">
      <c r="H16418" t="s">
        <v>23111</v>
      </c>
    </row>
    <row r="16419" spans="8:8">
      <c r="H16419" t="s">
        <v>23112</v>
      </c>
    </row>
    <row r="16420" spans="8:8">
      <c r="H16420" t="s">
        <v>23113</v>
      </c>
    </row>
    <row r="16421" spans="8:8">
      <c r="H16421" t="s">
        <v>23114</v>
      </c>
    </row>
    <row r="16422" spans="8:8">
      <c r="H16422" t="s">
        <v>23115</v>
      </c>
    </row>
    <row r="16423" spans="8:8">
      <c r="H16423" t="s">
        <v>23116</v>
      </c>
    </row>
    <row r="16424" spans="8:8">
      <c r="H16424" t="s">
        <v>23117</v>
      </c>
    </row>
    <row r="16425" spans="8:8">
      <c r="H16425" t="s">
        <v>23118</v>
      </c>
    </row>
    <row r="16426" spans="8:8">
      <c r="H16426" t="s">
        <v>23119</v>
      </c>
    </row>
    <row r="16427" spans="8:8">
      <c r="H16427" t="s">
        <v>23120</v>
      </c>
    </row>
    <row r="16428" spans="8:8">
      <c r="H16428" t="s">
        <v>23121</v>
      </c>
    </row>
    <row r="16429" spans="8:8">
      <c r="H16429" t="s">
        <v>23122</v>
      </c>
    </row>
    <row r="16430" spans="8:8">
      <c r="H16430" t="s">
        <v>23123</v>
      </c>
    </row>
    <row r="16431" spans="8:8">
      <c r="H16431" t="s">
        <v>23124</v>
      </c>
    </row>
    <row r="16432" spans="8:8">
      <c r="H16432" t="s">
        <v>23125</v>
      </c>
    </row>
    <row r="16433" spans="8:8">
      <c r="H16433" t="s">
        <v>23126</v>
      </c>
    </row>
    <row r="16434" spans="8:8">
      <c r="H16434" t="s">
        <v>23127</v>
      </c>
    </row>
    <row r="16435" spans="8:8">
      <c r="H16435" t="s">
        <v>23128</v>
      </c>
    </row>
    <row r="16436" spans="8:8">
      <c r="H16436" t="s">
        <v>23129</v>
      </c>
    </row>
    <row r="16437" spans="8:8">
      <c r="H16437" t="s">
        <v>23130</v>
      </c>
    </row>
    <row r="16438" spans="8:8">
      <c r="H16438" t="s">
        <v>23131</v>
      </c>
    </row>
    <row r="16439" spans="8:8">
      <c r="H16439" t="s">
        <v>23132</v>
      </c>
    </row>
    <row r="16440" spans="8:8">
      <c r="H16440" t="s">
        <v>23133</v>
      </c>
    </row>
    <row r="16441" spans="8:8">
      <c r="H16441" t="s">
        <v>23134</v>
      </c>
    </row>
    <row r="16442" spans="8:8">
      <c r="H16442" t="s">
        <v>23135</v>
      </c>
    </row>
    <row r="16443" spans="8:8">
      <c r="H16443" t="s">
        <v>23136</v>
      </c>
    </row>
    <row r="16444" spans="8:8">
      <c r="H16444" t="s">
        <v>23137</v>
      </c>
    </row>
    <row r="16445" spans="8:8">
      <c r="H16445" t="s">
        <v>23138</v>
      </c>
    </row>
    <row r="16446" spans="8:8">
      <c r="H16446" t="s">
        <v>23139</v>
      </c>
    </row>
    <row r="16447" spans="8:8">
      <c r="H16447" t="s">
        <v>23140</v>
      </c>
    </row>
    <row r="16448" spans="8:8">
      <c r="H16448" t="s">
        <v>23141</v>
      </c>
    </row>
    <row r="16449" spans="8:8">
      <c r="H16449" t="s">
        <v>23142</v>
      </c>
    </row>
    <row r="16450" spans="8:8">
      <c r="H16450" t="s">
        <v>23143</v>
      </c>
    </row>
    <row r="16451" spans="8:8">
      <c r="H16451" t="s">
        <v>23144</v>
      </c>
    </row>
    <row r="16452" spans="8:8">
      <c r="H16452" t="s">
        <v>23145</v>
      </c>
    </row>
    <row r="16453" spans="8:8">
      <c r="H16453" t="s">
        <v>23146</v>
      </c>
    </row>
    <row r="16454" spans="8:8">
      <c r="H16454" t="s">
        <v>23147</v>
      </c>
    </row>
    <row r="16455" spans="8:8">
      <c r="H16455" t="s">
        <v>23148</v>
      </c>
    </row>
    <row r="16456" spans="8:8">
      <c r="H16456" t="s">
        <v>23149</v>
      </c>
    </row>
    <row r="16457" spans="8:8">
      <c r="H16457" t="s">
        <v>23150</v>
      </c>
    </row>
    <row r="16458" spans="8:8">
      <c r="H16458" t="s">
        <v>23151</v>
      </c>
    </row>
    <row r="16459" spans="8:8">
      <c r="H16459" t="s">
        <v>23152</v>
      </c>
    </row>
    <row r="16460" spans="8:8">
      <c r="H16460" t="s">
        <v>23153</v>
      </c>
    </row>
    <row r="16461" spans="8:8">
      <c r="H16461" t="s">
        <v>23154</v>
      </c>
    </row>
    <row r="16462" spans="8:8">
      <c r="H16462" t="s">
        <v>23155</v>
      </c>
    </row>
    <row r="16463" spans="8:8">
      <c r="H16463" t="s">
        <v>23156</v>
      </c>
    </row>
    <row r="16464" spans="8:8">
      <c r="H16464" t="s">
        <v>23157</v>
      </c>
    </row>
    <row r="16465" spans="8:8">
      <c r="H16465" t="s">
        <v>23158</v>
      </c>
    </row>
    <row r="16466" spans="8:8">
      <c r="H16466" t="s">
        <v>23159</v>
      </c>
    </row>
    <row r="16467" spans="8:8">
      <c r="H16467" t="s">
        <v>23160</v>
      </c>
    </row>
    <row r="16468" spans="8:8">
      <c r="H16468" t="s">
        <v>23161</v>
      </c>
    </row>
    <row r="16469" spans="8:8">
      <c r="H16469" t="s">
        <v>23162</v>
      </c>
    </row>
    <row r="16470" spans="8:8">
      <c r="H16470" t="s">
        <v>23163</v>
      </c>
    </row>
    <row r="16471" spans="8:8">
      <c r="H16471" t="s">
        <v>23164</v>
      </c>
    </row>
    <row r="16472" spans="8:8">
      <c r="H16472" t="s">
        <v>23165</v>
      </c>
    </row>
    <row r="16473" spans="8:8">
      <c r="H16473" t="s">
        <v>23166</v>
      </c>
    </row>
    <row r="16474" spans="8:8">
      <c r="H16474" t="s">
        <v>23167</v>
      </c>
    </row>
    <row r="16475" spans="8:8">
      <c r="H16475" t="s">
        <v>23168</v>
      </c>
    </row>
    <row r="16476" spans="8:8">
      <c r="H16476" t="s">
        <v>23169</v>
      </c>
    </row>
    <row r="16477" spans="8:8">
      <c r="H16477" t="s">
        <v>23170</v>
      </c>
    </row>
    <row r="16478" spans="8:8">
      <c r="H16478" t="s">
        <v>23171</v>
      </c>
    </row>
    <row r="16479" spans="8:8">
      <c r="H16479" t="s">
        <v>23172</v>
      </c>
    </row>
    <row r="16480" spans="8:8">
      <c r="H16480" t="s">
        <v>23173</v>
      </c>
    </row>
    <row r="16481" spans="6:8">
      <c r="H16481" t="s">
        <v>23174</v>
      </c>
    </row>
    <row r="16482" spans="6:8">
      <c r="H16482" t="s">
        <v>23175</v>
      </c>
    </row>
    <row r="16483" spans="6:8">
      <c r="H16483" t="s">
        <v>23176</v>
      </c>
    </row>
    <row r="16484" spans="6:8">
      <c r="H16484" t="s">
        <v>23177</v>
      </c>
    </row>
    <row r="16485" spans="6:8">
      <c r="H16485" t="s">
        <v>23178</v>
      </c>
    </row>
    <row r="16486" spans="6:8">
      <c r="H16486" t="s">
        <v>23179</v>
      </c>
    </row>
    <row r="16487" spans="6:8">
      <c r="H16487" t="s">
        <v>23180</v>
      </c>
    </row>
    <row r="16488" spans="6:8">
      <c r="H16488" t="s">
        <v>23181</v>
      </c>
    </row>
    <row r="16489" spans="6:8">
      <c r="H16489" t="s">
        <v>21641</v>
      </c>
    </row>
    <row r="16490" spans="6:8">
      <c r="F16490" t="s">
        <v>12449</v>
      </c>
      <c r="G16490" t="s">
        <v>16670</v>
      </c>
      <c r="H16490" t="s">
        <v>18829</v>
      </c>
    </row>
    <row r="16491" spans="6:8">
      <c r="H16491" t="s">
        <v>23182</v>
      </c>
    </row>
    <row r="16492" spans="6:8">
      <c r="H16492" t="s">
        <v>23183</v>
      </c>
    </row>
    <row r="16493" spans="6:8">
      <c r="H16493" t="s">
        <v>23184</v>
      </c>
    </row>
    <row r="16494" spans="6:8">
      <c r="H16494" t="s">
        <v>23185</v>
      </c>
    </row>
    <row r="16495" spans="6:8">
      <c r="H16495" t="s">
        <v>23186</v>
      </c>
    </row>
    <row r="16496" spans="6:8">
      <c r="H16496" t="s">
        <v>23187</v>
      </c>
    </row>
    <row r="16497" spans="8:8">
      <c r="H16497" t="s">
        <v>23188</v>
      </c>
    </row>
    <row r="16498" spans="8:8">
      <c r="H16498" t="s">
        <v>23189</v>
      </c>
    </row>
    <row r="16499" spans="8:8">
      <c r="H16499" t="s">
        <v>23190</v>
      </c>
    </row>
    <row r="16500" spans="8:8">
      <c r="H16500" t="s">
        <v>23191</v>
      </c>
    </row>
    <row r="16501" spans="8:8">
      <c r="H16501" t="s">
        <v>23192</v>
      </c>
    </row>
    <row r="16502" spans="8:8">
      <c r="H16502" t="s">
        <v>23193</v>
      </c>
    </row>
    <row r="16503" spans="8:8">
      <c r="H16503" t="s">
        <v>23194</v>
      </c>
    </row>
    <row r="16504" spans="8:8">
      <c r="H16504" t="s">
        <v>23195</v>
      </c>
    </row>
    <row r="16505" spans="8:8">
      <c r="H16505" t="s">
        <v>23196</v>
      </c>
    </row>
    <row r="16506" spans="8:8">
      <c r="H16506" t="s">
        <v>23197</v>
      </c>
    </row>
    <row r="16507" spans="8:8">
      <c r="H16507" t="s">
        <v>23198</v>
      </c>
    </row>
    <row r="16508" spans="8:8">
      <c r="H16508" t="s">
        <v>23199</v>
      </c>
    </row>
    <row r="16509" spans="8:8">
      <c r="H16509" t="s">
        <v>23200</v>
      </c>
    </row>
    <row r="16510" spans="8:8">
      <c r="H16510" t="s">
        <v>23201</v>
      </c>
    </row>
    <row r="16511" spans="8:8">
      <c r="H16511" t="s">
        <v>23202</v>
      </c>
    </row>
    <row r="16512" spans="8:8">
      <c r="H16512" t="s">
        <v>23203</v>
      </c>
    </row>
    <row r="16513" spans="8:8">
      <c r="H16513" t="s">
        <v>23204</v>
      </c>
    </row>
    <row r="16514" spans="8:8">
      <c r="H16514" t="s">
        <v>23205</v>
      </c>
    </row>
    <row r="16515" spans="8:8">
      <c r="H16515" t="s">
        <v>23206</v>
      </c>
    </row>
    <row r="16516" spans="8:8">
      <c r="H16516" t="s">
        <v>23207</v>
      </c>
    </row>
    <row r="16517" spans="8:8">
      <c r="H16517" t="s">
        <v>23208</v>
      </c>
    </row>
    <row r="16518" spans="8:8">
      <c r="H16518" t="s">
        <v>23209</v>
      </c>
    </row>
    <row r="16519" spans="8:8">
      <c r="H16519" t="s">
        <v>23210</v>
      </c>
    </row>
    <row r="16520" spans="8:8">
      <c r="H16520" t="s">
        <v>23211</v>
      </c>
    </row>
    <row r="16521" spans="8:8">
      <c r="H16521" t="s">
        <v>23212</v>
      </c>
    </row>
    <row r="16522" spans="8:8">
      <c r="H16522" t="s">
        <v>23213</v>
      </c>
    </row>
    <row r="16523" spans="8:8">
      <c r="H16523" t="s">
        <v>23214</v>
      </c>
    </row>
    <row r="16524" spans="8:8">
      <c r="H16524" t="s">
        <v>23215</v>
      </c>
    </row>
    <row r="16525" spans="8:8">
      <c r="H16525" t="s">
        <v>23216</v>
      </c>
    </row>
    <row r="16526" spans="8:8">
      <c r="H16526" t="s">
        <v>23217</v>
      </c>
    </row>
    <row r="16527" spans="8:8">
      <c r="H16527" t="s">
        <v>23218</v>
      </c>
    </row>
    <row r="16528" spans="8:8">
      <c r="H16528" t="s">
        <v>23219</v>
      </c>
    </row>
    <row r="16529" spans="6:8">
      <c r="H16529" t="s">
        <v>23220</v>
      </c>
    </row>
    <row r="16530" spans="6:8">
      <c r="H16530" t="s">
        <v>23221</v>
      </c>
    </row>
    <row r="16531" spans="6:8">
      <c r="H16531" t="s">
        <v>23222</v>
      </c>
    </row>
    <row r="16532" spans="6:8">
      <c r="H16532" t="s">
        <v>23223</v>
      </c>
    </row>
    <row r="16533" spans="6:8">
      <c r="H16533" t="s">
        <v>23224</v>
      </c>
    </row>
    <row r="16534" spans="6:8">
      <c r="H16534" t="s">
        <v>23225</v>
      </c>
    </row>
    <row r="16535" spans="6:8">
      <c r="H16535" t="s">
        <v>23226</v>
      </c>
    </row>
    <row r="16536" spans="6:8">
      <c r="H16536" t="s">
        <v>23227</v>
      </c>
    </row>
    <row r="16537" spans="6:8">
      <c r="H16537" t="s">
        <v>23228</v>
      </c>
    </row>
    <row r="16538" spans="6:8">
      <c r="H16538" t="s">
        <v>23229</v>
      </c>
    </row>
    <row r="16539" spans="6:8">
      <c r="H16539" t="s">
        <v>23230</v>
      </c>
    </row>
    <row r="16540" spans="6:8">
      <c r="F16540" t="s">
        <v>12450</v>
      </c>
      <c r="G16540" t="s">
        <v>16671</v>
      </c>
      <c r="H16540" t="s">
        <v>18829</v>
      </c>
    </row>
    <row r="16541" spans="6:8">
      <c r="H16541" t="s">
        <v>23231</v>
      </c>
    </row>
    <row r="16542" spans="6:8">
      <c r="H16542" t="s">
        <v>23232</v>
      </c>
    </row>
    <row r="16543" spans="6:8">
      <c r="H16543" t="s">
        <v>23233</v>
      </c>
    </row>
    <row r="16544" spans="6:8">
      <c r="H16544" t="s">
        <v>23234</v>
      </c>
    </row>
    <row r="16545" spans="8:8">
      <c r="H16545" t="s">
        <v>23235</v>
      </c>
    </row>
    <row r="16546" spans="8:8">
      <c r="H16546" t="s">
        <v>23236</v>
      </c>
    </row>
    <row r="16547" spans="8:8">
      <c r="H16547" t="s">
        <v>23237</v>
      </c>
    </row>
    <row r="16548" spans="8:8">
      <c r="H16548" t="s">
        <v>23238</v>
      </c>
    </row>
    <row r="16549" spans="8:8">
      <c r="H16549" t="s">
        <v>23239</v>
      </c>
    </row>
    <row r="16550" spans="8:8">
      <c r="H16550" t="s">
        <v>23240</v>
      </c>
    </row>
    <row r="16551" spans="8:8">
      <c r="H16551" t="s">
        <v>23241</v>
      </c>
    </row>
    <row r="16552" spans="8:8">
      <c r="H16552" t="s">
        <v>23242</v>
      </c>
    </row>
    <row r="16553" spans="8:8">
      <c r="H16553" t="s">
        <v>23243</v>
      </c>
    </row>
    <row r="16554" spans="8:8">
      <c r="H16554" t="s">
        <v>23244</v>
      </c>
    </row>
    <row r="16555" spans="8:8">
      <c r="H16555" t="s">
        <v>23245</v>
      </c>
    </row>
    <row r="16556" spans="8:8">
      <c r="H16556" t="s">
        <v>23246</v>
      </c>
    </row>
    <row r="16557" spans="8:8">
      <c r="H16557" t="s">
        <v>23247</v>
      </c>
    </row>
    <row r="16558" spans="8:8">
      <c r="H16558" t="s">
        <v>23248</v>
      </c>
    </row>
    <row r="16559" spans="8:8">
      <c r="H16559" t="s">
        <v>23249</v>
      </c>
    </row>
    <row r="16560" spans="8:8">
      <c r="H16560" t="s">
        <v>23250</v>
      </c>
    </row>
    <row r="16561" spans="8:8">
      <c r="H16561" t="s">
        <v>23251</v>
      </c>
    </row>
    <row r="16562" spans="8:8">
      <c r="H16562" t="s">
        <v>23252</v>
      </c>
    </row>
    <row r="16563" spans="8:8">
      <c r="H16563" t="s">
        <v>23253</v>
      </c>
    </row>
    <row r="16564" spans="8:8">
      <c r="H16564" t="s">
        <v>23254</v>
      </c>
    </row>
    <row r="16565" spans="8:8">
      <c r="H16565" t="s">
        <v>23255</v>
      </c>
    </row>
    <row r="16566" spans="8:8">
      <c r="H16566" t="s">
        <v>23256</v>
      </c>
    </row>
    <row r="16567" spans="8:8">
      <c r="H16567" t="s">
        <v>23257</v>
      </c>
    </row>
    <row r="16568" spans="8:8">
      <c r="H16568" t="s">
        <v>23258</v>
      </c>
    </row>
    <row r="16569" spans="8:8">
      <c r="H16569" t="s">
        <v>23259</v>
      </c>
    </row>
    <row r="16570" spans="8:8">
      <c r="H16570" t="s">
        <v>23260</v>
      </c>
    </row>
    <row r="16571" spans="8:8">
      <c r="H16571" t="s">
        <v>23261</v>
      </c>
    </row>
    <row r="16572" spans="8:8">
      <c r="H16572" t="s">
        <v>23262</v>
      </c>
    </row>
    <row r="16573" spans="8:8">
      <c r="H16573" t="s">
        <v>23263</v>
      </c>
    </row>
    <row r="16574" spans="8:8">
      <c r="H16574" t="s">
        <v>23264</v>
      </c>
    </row>
    <row r="16575" spans="8:8">
      <c r="H16575" t="s">
        <v>23265</v>
      </c>
    </row>
    <row r="16576" spans="8:8">
      <c r="H16576" t="s">
        <v>23266</v>
      </c>
    </row>
    <row r="16577" spans="8:8">
      <c r="H16577" t="s">
        <v>23267</v>
      </c>
    </row>
    <row r="16578" spans="8:8">
      <c r="H16578" t="s">
        <v>23268</v>
      </c>
    </row>
    <row r="16579" spans="8:8">
      <c r="H16579" t="s">
        <v>23269</v>
      </c>
    </row>
    <row r="16580" spans="8:8">
      <c r="H16580" t="s">
        <v>23270</v>
      </c>
    </row>
    <row r="16581" spans="8:8">
      <c r="H16581" t="s">
        <v>23271</v>
      </c>
    </row>
    <row r="16582" spans="8:8">
      <c r="H16582" t="s">
        <v>23272</v>
      </c>
    </row>
    <row r="16583" spans="8:8">
      <c r="H16583" t="s">
        <v>23273</v>
      </c>
    </row>
    <row r="16584" spans="8:8">
      <c r="H16584" t="s">
        <v>23274</v>
      </c>
    </row>
    <row r="16585" spans="8:8">
      <c r="H16585" t="s">
        <v>23275</v>
      </c>
    </row>
    <row r="16586" spans="8:8">
      <c r="H16586" t="s">
        <v>23276</v>
      </c>
    </row>
    <row r="16587" spans="8:8">
      <c r="H16587" t="s">
        <v>23277</v>
      </c>
    </row>
    <row r="16588" spans="8:8">
      <c r="H16588" t="s">
        <v>23278</v>
      </c>
    </row>
    <row r="16589" spans="8:8">
      <c r="H16589" t="s">
        <v>23279</v>
      </c>
    </row>
    <row r="16590" spans="8:8">
      <c r="H16590" t="s">
        <v>23280</v>
      </c>
    </row>
    <row r="16591" spans="8:8">
      <c r="H16591" t="s">
        <v>23281</v>
      </c>
    </row>
    <row r="16592" spans="8:8">
      <c r="H16592" t="s">
        <v>23282</v>
      </c>
    </row>
    <row r="16593" spans="8:8">
      <c r="H16593" t="s">
        <v>23283</v>
      </c>
    </row>
    <row r="16594" spans="8:8">
      <c r="H16594" t="s">
        <v>23284</v>
      </c>
    </row>
    <row r="16595" spans="8:8">
      <c r="H16595" t="s">
        <v>23285</v>
      </c>
    </row>
    <row r="16596" spans="8:8">
      <c r="H16596" t="s">
        <v>23286</v>
      </c>
    </row>
    <row r="16597" spans="8:8">
      <c r="H16597" t="s">
        <v>23287</v>
      </c>
    </row>
    <row r="16598" spans="8:8">
      <c r="H16598" t="s">
        <v>23288</v>
      </c>
    </row>
    <row r="16599" spans="8:8">
      <c r="H16599" t="s">
        <v>23289</v>
      </c>
    </row>
    <row r="16600" spans="8:8">
      <c r="H16600" t="s">
        <v>23290</v>
      </c>
    </row>
    <row r="16601" spans="8:8">
      <c r="H16601" t="s">
        <v>23291</v>
      </c>
    </row>
    <row r="16602" spans="8:8">
      <c r="H16602" t="s">
        <v>23292</v>
      </c>
    </row>
    <row r="16603" spans="8:8">
      <c r="H16603" t="s">
        <v>23293</v>
      </c>
    </row>
    <row r="16604" spans="8:8">
      <c r="H16604" t="s">
        <v>23294</v>
      </c>
    </row>
    <row r="16605" spans="8:8">
      <c r="H16605" t="s">
        <v>23295</v>
      </c>
    </row>
    <row r="16606" spans="8:8">
      <c r="H16606" t="s">
        <v>23296</v>
      </c>
    </row>
    <row r="16607" spans="8:8">
      <c r="H16607" t="s">
        <v>23297</v>
      </c>
    </row>
    <row r="16608" spans="8:8">
      <c r="H16608" t="s">
        <v>23298</v>
      </c>
    </row>
    <row r="16609" spans="8:8">
      <c r="H16609" t="s">
        <v>23299</v>
      </c>
    </row>
    <row r="16610" spans="8:8">
      <c r="H16610" t="s">
        <v>23300</v>
      </c>
    </row>
    <row r="16611" spans="8:8">
      <c r="H16611" t="s">
        <v>23301</v>
      </c>
    </row>
    <row r="16612" spans="8:8">
      <c r="H16612" t="s">
        <v>23302</v>
      </c>
    </row>
    <row r="16613" spans="8:8">
      <c r="H16613" t="s">
        <v>23303</v>
      </c>
    </row>
    <row r="16614" spans="8:8">
      <c r="H16614" t="s">
        <v>23304</v>
      </c>
    </row>
    <row r="16615" spans="8:8">
      <c r="H16615" t="s">
        <v>23305</v>
      </c>
    </row>
    <row r="16616" spans="8:8">
      <c r="H16616" t="s">
        <v>23306</v>
      </c>
    </row>
    <row r="16617" spans="8:8">
      <c r="H16617" t="s">
        <v>23307</v>
      </c>
    </row>
    <row r="16618" spans="8:8">
      <c r="H16618" t="s">
        <v>23308</v>
      </c>
    </row>
    <row r="16619" spans="8:8">
      <c r="H16619" t="s">
        <v>23309</v>
      </c>
    </row>
    <row r="16620" spans="8:8">
      <c r="H16620" t="s">
        <v>23310</v>
      </c>
    </row>
    <row r="16621" spans="8:8">
      <c r="H16621" t="s">
        <v>23311</v>
      </c>
    </row>
    <row r="16622" spans="8:8">
      <c r="H16622" t="s">
        <v>23312</v>
      </c>
    </row>
    <row r="16623" spans="8:8">
      <c r="H16623" t="s">
        <v>23313</v>
      </c>
    </row>
    <row r="16624" spans="8:8">
      <c r="H16624" t="s">
        <v>23314</v>
      </c>
    </row>
    <row r="16625" spans="8:8">
      <c r="H16625" t="s">
        <v>23315</v>
      </c>
    </row>
    <row r="16626" spans="8:8">
      <c r="H16626" t="s">
        <v>23316</v>
      </c>
    </row>
    <row r="16627" spans="8:8">
      <c r="H16627" t="s">
        <v>23317</v>
      </c>
    </row>
    <row r="16628" spans="8:8">
      <c r="H16628" t="s">
        <v>23318</v>
      </c>
    </row>
    <row r="16629" spans="8:8">
      <c r="H16629" t="s">
        <v>23319</v>
      </c>
    </row>
    <row r="16630" spans="8:8">
      <c r="H16630" t="s">
        <v>23320</v>
      </c>
    </row>
    <row r="16631" spans="8:8">
      <c r="H16631" t="s">
        <v>23321</v>
      </c>
    </row>
    <row r="16632" spans="8:8">
      <c r="H16632" t="s">
        <v>23322</v>
      </c>
    </row>
    <row r="16633" spans="8:8">
      <c r="H16633" t="s">
        <v>23323</v>
      </c>
    </row>
    <row r="16634" spans="8:8">
      <c r="H16634" t="s">
        <v>23324</v>
      </c>
    </row>
    <row r="16635" spans="8:8">
      <c r="H16635" t="s">
        <v>23325</v>
      </c>
    </row>
    <row r="16636" spans="8:8">
      <c r="H16636" t="s">
        <v>23326</v>
      </c>
    </row>
    <row r="16637" spans="8:8">
      <c r="H16637" t="s">
        <v>23327</v>
      </c>
    </row>
    <row r="16638" spans="8:8">
      <c r="H16638" t="s">
        <v>23328</v>
      </c>
    </row>
    <row r="16639" spans="8:8">
      <c r="H16639" t="s">
        <v>23329</v>
      </c>
    </row>
    <row r="16640" spans="8:8">
      <c r="H16640" t="s">
        <v>23330</v>
      </c>
    </row>
    <row r="16641" spans="8:8">
      <c r="H16641" t="s">
        <v>23331</v>
      </c>
    </row>
    <row r="16642" spans="8:8">
      <c r="H16642" t="s">
        <v>23332</v>
      </c>
    </row>
    <row r="16643" spans="8:8">
      <c r="H16643" t="s">
        <v>23333</v>
      </c>
    </row>
    <row r="16644" spans="8:8">
      <c r="H16644" t="s">
        <v>23334</v>
      </c>
    </row>
    <row r="16645" spans="8:8">
      <c r="H16645" t="s">
        <v>23335</v>
      </c>
    </row>
    <row r="16646" spans="8:8">
      <c r="H16646" t="s">
        <v>23336</v>
      </c>
    </row>
    <row r="16647" spans="8:8">
      <c r="H16647" t="s">
        <v>23337</v>
      </c>
    </row>
    <row r="16648" spans="8:8">
      <c r="H16648" t="s">
        <v>23338</v>
      </c>
    </row>
    <row r="16649" spans="8:8">
      <c r="H16649" t="s">
        <v>23339</v>
      </c>
    </row>
    <row r="16650" spans="8:8">
      <c r="H16650" t="s">
        <v>23340</v>
      </c>
    </row>
    <row r="16651" spans="8:8">
      <c r="H16651" t="s">
        <v>23341</v>
      </c>
    </row>
    <row r="16652" spans="8:8">
      <c r="H16652" t="s">
        <v>23342</v>
      </c>
    </row>
    <row r="16653" spans="8:8">
      <c r="H16653" t="s">
        <v>23343</v>
      </c>
    </row>
    <row r="16654" spans="8:8">
      <c r="H16654" t="s">
        <v>23344</v>
      </c>
    </row>
    <row r="16655" spans="8:8">
      <c r="H16655" t="s">
        <v>23345</v>
      </c>
    </row>
    <row r="16656" spans="8:8">
      <c r="H16656" t="s">
        <v>23346</v>
      </c>
    </row>
    <row r="16657" spans="8:8">
      <c r="H16657" t="s">
        <v>23347</v>
      </c>
    </row>
    <row r="16658" spans="8:8">
      <c r="H16658" t="s">
        <v>23348</v>
      </c>
    </row>
    <row r="16659" spans="8:8">
      <c r="H16659" t="s">
        <v>23349</v>
      </c>
    </row>
    <row r="16660" spans="8:8">
      <c r="H16660" t="s">
        <v>23350</v>
      </c>
    </row>
    <row r="16661" spans="8:8">
      <c r="H16661" t="s">
        <v>23351</v>
      </c>
    </row>
    <row r="16662" spans="8:8">
      <c r="H16662" t="s">
        <v>23352</v>
      </c>
    </row>
    <row r="16663" spans="8:8">
      <c r="H16663" t="s">
        <v>23353</v>
      </c>
    </row>
    <row r="16664" spans="8:8">
      <c r="H16664" t="s">
        <v>23354</v>
      </c>
    </row>
    <row r="16665" spans="8:8">
      <c r="H16665" t="s">
        <v>23355</v>
      </c>
    </row>
    <row r="16666" spans="8:8">
      <c r="H16666" t="s">
        <v>23356</v>
      </c>
    </row>
    <row r="16667" spans="8:8">
      <c r="H16667" t="s">
        <v>23357</v>
      </c>
    </row>
    <row r="16668" spans="8:8">
      <c r="H16668" t="s">
        <v>23358</v>
      </c>
    </row>
    <row r="16669" spans="8:8">
      <c r="H16669" t="s">
        <v>23359</v>
      </c>
    </row>
    <row r="16670" spans="8:8">
      <c r="H16670" t="s">
        <v>23360</v>
      </c>
    </row>
    <row r="16671" spans="8:8">
      <c r="H16671" t="s">
        <v>23361</v>
      </c>
    </row>
    <row r="16672" spans="8:8">
      <c r="H16672" t="s">
        <v>23362</v>
      </c>
    </row>
    <row r="16673" spans="8:8">
      <c r="H16673" t="s">
        <v>23363</v>
      </c>
    </row>
    <row r="16674" spans="8:8">
      <c r="H16674" t="s">
        <v>23364</v>
      </c>
    </row>
    <row r="16675" spans="8:8">
      <c r="H16675" t="s">
        <v>23365</v>
      </c>
    </row>
    <row r="16676" spans="8:8">
      <c r="H16676" t="s">
        <v>23366</v>
      </c>
    </row>
    <row r="16677" spans="8:8">
      <c r="H16677" t="s">
        <v>23367</v>
      </c>
    </row>
    <row r="16678" spans="8:8">
      <c r="H16678" t="s">
        <v>23368</v>
      </c>
    </row>
    <row r="16679" spans="8:8">
      <c r="H16679" t="s">
        <v>23369</v>
      </c>
    </row>
    <row r="16680" spans="8:8">
      <c r="H16680" t="s">
        <v>23370</v>
      </c>
    </row>
    <row r="16681" spans="8:8">
      <c r="H16681" t="s">
        <v>23371</v>
      </c>
    </row>
    <row r="16682" spans="8:8">
      <c r="H16682" t="s">
        <v>23372</v>
      </c>
    </row>
    <row r="16683" spans="8:8">
      <c r="H16683" t="s">
        <v>23373</v>
      </c>
    </row>
    <row r="16684" spans="8:8">
      <c r="H16684" t="s">
        <v>23374</v>
      </c>
    </row>
    <row r="16685" spans="8:8">
      <c r="H16685" t="s">
        <v>23375</v>
      </c>
    </row>
    <row r="16686" spans="8:8">
      <c r="H16686" t="s">
        <v>23376</v>
      </c>
    </row>
    <row r="16687" spans="8:8">
      <c r="H16687" t="s">
        <v>23377</v>
      </c>
    </row>
    <row r="16688" spans="8:8">
      <c r="H16688" t="s">
        <v>23378</v>
      </c>
    </row>
    <row r="16689" spans="8:8">
      <c r="H16689" t="s">
        <v>23379</v>
      </c>
    </row>
    <row r="16690" spans="8:8">
      <c r="H16690" t="s">
        <v>23380</v>
      </c>
    </row>
    <row r="16691" spans="8:8">
      <c r="H16691" t="s">
        <v>23381</v>
      </c>
    </row>
    <row r="16692" spans="8:8">
      <c r="H16692" t="s">
        <v>23382</v>
      </c>
    </row>
    <row r="16693" spans="8:8">
      <c r="H16693" t="s">
        <v>23383</v>
      </c>
    </row>
    <row r="16694" spans="8:8">
      <c r="H16694" t="s">
        <v>23384</v>
      </c>
    </row>
    <row r="16695" spans="8:8">
      <c r="H16695" t="s">
        <v>23385</v>
      </c>
    </row>
    <row r="16696" spans="8:8">
      <c r="H16696" t="s">
        <v>23386</v>
      </c>
    </row>
    <row r="16697" spans="8:8">
      <c r="H16697" t="s">
        <v>23387</v>
      </c>
    </row>
    <row r="16698" spans="8:8">
      <c r="H16698" t="s">
        <v>23388</v>
      </c>
    </row>
    <row r="16699" spans="8:8">
      <c r="H16699" t="s">
        <v>23389</v>
      </c>
    </row>
    <row r="16700" spans="8:8">
      <c r="H16700" t="s">
        <v>23390</v>
      </c>
    </row>
    <row r="16701" spans="8:8">
      <c r="H16701" t="s">
        <v>23391</v>
      </c>
    </row>
    <row r="16702" spans="8:8">
      <c r="H16702" t="s">
        <v>23392</v>
      </c>
    </row>
    <row r="16703" spans="8:8">
      <c r="H16703" t="s">
        <v>23393</v>
      </c>
    </row>
    <row r="16704" spans="8:8">
      <c r="H16704" t="s">
        <v>23394</v>
      </c>
    </row>
    <row r="16705" spans="8:8">
      <c r="H16705" t="s">
        <v>23395</v>
      </c>
    </row>
    <row r="16706" spans="8:8">
      <c r="H16706" t="s">
        <v>23396</v>
      </c>
    </row>
    <row r="16707" spans="8:8">
      <c r="H16707" t="s">
        <v>23397</v>
      </c>
    </row>
    <row r="16708" spans="8:8">
      <c r="H16708" t="s">
        <v>23398</v>
      </c>
    </row>
    <row r="16709" spans="8:8">
      <c r="H16709" t="s">
        <v>23399</v>
      </c>
    </row>
    <row r="16710" spans="8:8">
      <c r="H16710" t="s">
        <v>23400</v>
      </c>
    </row>
    <row r="16711" spans="8:8">
      <c r="H16711" t="s">
        <v>23401</v>
      </c>
    </row>
    <row r="16712" spans="8:8">
      <c r="H16712" t="s">
        <v>23402</v>
      </c>
    </row>
    <row r="16713" spans="8:8">
      <c r="H16713" t="s">
        <v>23403</v>
      </c>
    </row>
    <row r="16714" spans="8:8">
      <c r="H16714" t="s">
        <v>23404</v>
      </c>
    </row>
    <row r="16715" spans="8:8">
      <c r="H16715" t="s">
        <v>23405</v>
      </c>
    </row>
    <row r="16716" spans="8:8">
      <c r="H16716" t="s">
        <v>23406</v>
      </c>
    </row>
    <row r="16717" spans="8:8">
      <c r="H16717" t="s">
        <v>23407</v>
      </c>
    </row>
    <row r="16718" spans="8:8">
      <c r="H16718" t="s">
        <v>23408</v>
      </c>
    </row>
    <row r="16719" spans="8:8">
      <c r="H16719" t="s">
        <v>23409</v>
      </c>
    </row>
    <row r="16720" spans="8:8">
      <c r="H16720" t="s">
        <v>23410</v>
      </c>
    </row>
    <row r="16721" spans="8:8">
      <c r="H16721" t="s">
        <v>23411</v>
      </c>
    </row>
    <row r="16722" spans="8:8">
      <c r="H16722" t="s">
        <v>23412</v>
      </c>
    </row>
    <row r="16723" spans="8:8">
      <c r="H16723" t="s">
        <v>23413</v>
      </c>
    </row>
    <row r="16724" spans="8:8">
      <c r="H16724" t="s">
        <v>23414</v>
      </c>
    </row>
    <row r="16725" spans="8:8">
      <c r="H16725" t="s">
        <v>23415</v>
      </c>
    </row>
    <row r="16726" spans="8:8">
      <c r="H16726" t="s">
        <v>23416</v>
      </c>
    </row>
    <row r="16727" spans="8:8">
      <c r="H16727" t="s">
        <v>23417</v>
      </c>
    </row>
    <row r="16728" spans="8:8">
      <c r="H16728" t="s">
        <v>23418</v>
      </c>
    </row>
    <row r="16729" spans="8:8">
      <c r="H16729" t="s">
        <v>23419</v>
      </c>
    </row>
    <row r="16730" spans="8:8">
      <c r="H16730" t="s">
        <v>23420</v>
      </c>
    </row>
    <row r="16731" spans="8:8">
      <c r="H16731" t="s">
        <v>23421</v>
      </c>
    </row>
    <row r="16732" spans="8:8">
      <c r="H16732" t="s">
        <v>23422</v>
      </c>
    </row>
    <row r="16733" spans="8:8">
      <c r="H16733" t="s">
        <v>23423</v>
      </c>
    </row>
    <row r="16734" spans="8:8">
      <c r="H16734" t="s">
        <v>23424</v>
      </c>
    </row>
    <row r="16735" spans="8:8">
      <c r="H16735" t="s">
        <v>23425</v>
      </c>
    </row>
    <row r="16736" spans="8:8">
      <c r="H16736" t="s">
        <v>23426</v>
      </c>
    </row>
    <row r="16737" spans="8:8">
      <c r="H16737" t="s">
        <v>23427</v>
      </c>
    </row>
    <row r="16738" spans="8:8">
      <c r="H16738" t="s">
        <v>23428</v>
      </c>
    </row>
    <row r="16739" spans="8:8">
      <c r="H16739" t="s">
        <v>23429</v>
      </c>
    </row>
    <row r="16740" spans="8:8">
      <c r="H16740" t="s">
        <v>23430</v>
      </c>
    </row>
    <row r="16741" spans="8:8">
      <c r="H16741" t="s">
        <v>23431</v>
      </c>
    </row>
    <row r="16742" spans="8:8">
      <c r="H16742" t="s">
        <v>23432</v>
      </c>
    </row>
    <row r="16743" spans="8:8">
      <c r="H16743" t="s">
        <v>23433</v>
      </c>
    </row>
    <row r="16744" spans="8:8">
      <c r="H16744" t="s">
        <v>23434</v>
      </c>
    </row>
    <row r="16745" spans="8:8">
      <c r="H16745" t="s">
        <v>23435</v>
      </c>
    </row>
    <row r="16746" spans="8:8">
      <c r="H16746" t="s">
        <v>23436</v>
      </c>
    </row>
    <row r="16747" spans="8:8">
      <c r="H16747" t="s">
        <v>23437</v>
      </c>
    </row>
    <row r="16748" spans="8:8">
      <c r="H16748" t="s">
        <v>23438</v>
      </c>
    </row>
    <row r="16749" spans="8:8">
      <c r="H16749" t="s">
        <v>23439</v>
      </c>
    </row>
    <row r="16750" spans="8:8">
      <c r="H16750" t="s">
        <v>23440</v>
      </c>
    </row>
    <row r="16751" spans="8:8">
      <c r="H16751" t="s">
        <v>23441</v>
      </c>
    </row>
    <row r="16752" spans="8:8">
      <c r="H16752" t="s">
        <v>23442</v>
      </c>
    </row>
    <row r="16753" spans="8:8">
      <c r="H16753" t="s">
        <v>23443</v>
      </c>
    </row>
    <row r="16754" spans="8:8">
      <c r="H16754" t="s">
        <v>23444</v>
      </c>
    </row>
    <row r="16755" spans="8:8">
      <c r="H16755" t="s">
        <v>23445</v>
      </c>
    </row>
    <row r="16756" spans="8:8">
      <c r="H16756" t="s">
        <v>23446</v>
      </c>
    </row>
    <row r="16757" spans="8:8">
      <c r="H16757" t="s">
        <v>23447</v>
      </c>
    </row>
    <row r="16758" spans="8:8">
      <c r="H16758" t="s">
        <v>23448</v>
      </c>
    </row>
    <row r="16759" spans="8:8">
      <c r="H16759" t="s">
        <v>23449</v>
      </c>
    </row>
    <row r="16760" spans="8:8">
      <c r="H16760" t="s">
        <v>23450</v>
      </c>
    </row>
    <row r="16761" spans="8:8">
      <c r="H16761" t="s">
        <v>23451</v>
      </c>
    </row>
    <row r="16762" spans="8:8">
      <c r="H16762" t="s">
        <v>23452</v>
      </c>
    </row>
    <row r="16763" spans="8:8">
      <c r="H16763" t="s">
        <v>23453</v>
      </c>
    </row>
    <row r="16764" spans="8:8">
      <c r="H16764" t="s">
        <v>23454</v>
      </c>
    </row>
    <row r="16765" spans="8:8">
      <c r="H16765" t="s">
        <v>23455</v>
      </c>
    </row>
    <row r="16766" spans="8:8">
      <c r="H16766" t="s">
        <v>23456</v>
      </c>
    </row>
    <row r="16767" spans="8:8">
      <c r="H16767" t="s">
        <v>23457</v>
      </c>
    </row>
    <row r="16768" spans="8:8">
      <c r="H16768" t="s">
        <v>23458</v>
      </c>
    </row>
    <row r="16769" spans="8:8">
      <c r="H16769" t="s">
        <v>23459</v>
      </c>
    </row>
    <row r="16770" spans="8:8">
      <c r="H16770" t="s">
        <v>23460</v>
      </c>
    </row>
    <row r="16771" spans="8:8">
      <c r="H16771" t="s">
        <v>23461</v>
      </c>
    </row>
    <row r="16772" spans="8:8">
      <c r="H16772" t="s">
        <v>23462</v>
      </c>
    </row>
    <row r="16773" spans="8:8">
      <c r="H16773" t="s">
        <v>23463</v>
      </c>
    </row>
    <row r="16774" spans="8:8">
      <c r="H16774" t="s">
        <v>23464</v>
      </c>
    </row>
    <row r="16775" spans="8:8">
      <c r="H16775" t="s">
        <v>23465</v>
      </c>
    </row>
    <row r="16776" spans="8:8">
      <c r="H16776" t="s">
        <v>23466</v>
      </c>
    </row>
    <row r="16777" spans="8:8">
      <c r="H16777" t="s">
        <v>23467</v>
      </c>
    </row>
    <row r="16778" spans="8:8">
      <c r="H16778" t="s">
        <v>23468</v>
      </c>
    </row>
    <row r="16779" spans="8:8">
      <c r="H16779" t="s">
        <v>23469</v>
      </c>
    </row>
    <row r="16780" spans="8:8">
      <c r="H16780" t="s">
        <v>23470</v>
      </c>
    </row>
    <row r="16781" spans="8:8">
      <c r="H16781" t="s">
        <v>23471</v>
      </c>
    </row>
    <row r="16782" spans="8:8">
      <c r="H16782" t="s">
        <v>23472</v>
      </c>
    </row>
    <row r="16783" spans="8:8">
      <c r="H16783" t="s">
        <v>23473</v>
      </c>
    </row>
    <row r="16784" spans="8:8">
      <c r="H16784" t="s">
        <v>23474</v>
      </c>
    </row>
    <row r="16785" spans="8:8">
      <c r="H16785" t="s">
        <v>23475</v>
      </c>
    </row>
    <row r="16786" spans="8:8">
      <c r="H16786" t="s">
        <v>23476</v>
      </c>
    </row>
    <row r="16787" spans="8:8">
      <c r="H16787" t="s">
        <v>23477</v>
      </c>
    </row>
    <row r="16788" spans="8:8">
      <c r="H16788" t="s">
        <v>23478</v>
      </c>
    </row>
    <row r="16789" spans="8:8">
      <c r="H16789" t="s">
        <v>23479</v>
      </c>
    </row>
    <row r="16790" spans="8:8">
      <c r="H16790" t="s">
        <v>23480</v>
      </c>
    </row>
    <row r="16791" spans="8:8">
      <c r="H16791" t="s">
        <v>23481</v>
      </c>
    </row>
    <row r="16792" spans="8:8">
      <c r="H16792" t="s">
        <v>23482</v>
      </c>
    </row>
    <row r="16793" spans="8:8">
      <c r="H16793" t="s">
        <v>23483</v>
      </c>
    </row>
    <row r="16794" spans="8:8">
      <c r="H16794" t="s">
        <v>23484</v>
      </c>
    </row>
    <row r="16795" spans="8:8">
      <c r="H16795" t="s">
        <v>23485</v>
      </c>
    </row>
    <row r="16796" spans="8:8">
      <c r="H16796" t="s">
        <v>23486</v>
      </c>
    </row>
    <row r="16797" spans="8:8">
      <c r="H16797" t="s">
        <v>23487</v>
      </c>
    </row>
    <row r="16798" spans="8:8">
      <c r="H16798" t="s">
        <v>23488</v>
      </c>
    </row>
    <row r="16799" spans="8:8">
      <c r="H16799" t="s">
        <v>23489</v>
      </c>
    </row>
    <row r="16800" spans="8:8">
      <c r="H16800" t="s">
        <v>23490</v>
      </c>
    </row>
    <row r="16801" spans="8:8">
      <c r="H16801" t="s">
        <v>23491</v>
      </c>
    </row>
    <row r="16802" spans="8:8">
      <c r="H16802" t="s">
        <v>23492</v>
      </c>
    </row>
    <row r="16803" spans="8:8">
      <c r="H16803" t="s">
        <v>23493</v>
      </c>
    </row>
    <row r="16804" spans="8:8">
      <c r="H16804" t="s">
        <v>23494</v>
      </c>
    </row>
    <row r="16805" spans="8:8">
      <c r="H16805" t="s">
        <v>23495</v>
      </c>
    </row>
    <row r="16806" spans="8:8">
      <c r="H16806" t="s">
        <v>23496</v>
      </c>
    </row>
    <row r="16807" spans="8:8">
      <c r="H16807" t="s">
        <v>23497</v>
      </c>
    </row>
    <row r="16808" spans="8:8">
      <c r="H16808" t="s">
        <v>23498</v>
      </c>
    </row>
    <row r="16809" spans="8:8">
      <c r="H16809" t="s">
        <v>23499</v>
      </c>
    </row>
    <row r="16810" spans="8:8">
      <c r="H16810" t="s">
        <v>23500</v>
      </c>
    </row>
    <row r="16811" spans="8:8">
      <c r="H16811" t="s">
        <v>23501</v>
      </c>
    </row>
    <row r="16812" spans="8:8">
      <c r="H16812" t="s">
        <v>23502</v>
      </c>
    </row>
    <row r="16813" spans="8:8">
      <c r="H16813" t="s">
        <v>23503</v>
      </c>
    </row>
    <row r="16814" spans="8:8">
      <c r="H16814" t="s">
        <v>23504</v>
      </c>
    </row>
    <row r="16815" spans="8:8">
      <c r="H16815" t="s">
        <v>23505</v>
      </c>
    </row>
    <row r="16816" spans="8:8">
      <c r="H16816" t="s">
        <v>23506</v>
      </c>
    </row>
    <row r="16817" spans="8:8">
      <c r="H16817" t="s">
        <v>23507</v>
      </c>
    </row>
    <row r="16818" spans="8:8">
      <c r="H16818" t="s">
        <v>23508</v>
      </c>
    </row>
    <row r="16819" spans="8:8">
      <c r="H16819" t="s">
        <v>23509</v>
      </c>
    </row>
    <row r="16820" spans="8:8">
      <c r="H16820" t="s">
        <v>23510</v>
      </c>
    </row>
    <row r="16821" spans="8:8">
      <c r="H16821" t="s">
        <v>23511</v>
      </c>
    </row>
    <row r="16822" spans="8:8">
      <c r="H16822" t="s">
        <v>23512</v>
      </c>
    </row>
    <row r="16823" spans="8:8">
      <c r="H16823" t="s">
        <v>23513</v>
      </c>
    </row>
    <row r="16824" spans="8:8">
      <c r="H16824" t="s">
        <v>23514</v>
      </c>
    </row>
    <row r="16825" spans="8:8">
      <c r="H16825" t="s">
        <v>23515</v>
      </c>
    </row>
    <row r="16826" spans="8:8">
      <c r="H16826" t="s">
        <v>23516</v>
      </c>
    </row>
    <row r="16827" spans="8:8">
      <c r="H16827" t="s">
        <v>23517</v>
      </c>
    </row>
    <row r="16828" spans="8:8">
      <c r="H16828" t="s">
        <v>23518</v>
      </c>
    </row>
    <row r="16829" spans="8:8">
      <c r="H16829" t="s">
        <v>23519</v>
      </c>
    </row>
    <row r="16830" spans="8:8">
      <c r="H16830" t="s">
        <v>23520</v>
      </c>
    </row>
    <row r="16831" spans="8:8">
      <c r="H16831" t="s">
        <v>23521</v>
      </c>
    </row>
    <row r="16832" spans="8:8">
      <c r="H16832" t="s">
        <v>23522</v>
      </c>
    </row>
    <row r="16833" spans="8:8">
      <c r="H16833" t="s">
        <v>23523</v>
      </c>
    </row>
    <row r="16834" spans="8:8">
      <c r="H16834" t="s">
        <v>23524</v>
      </c>
    </row>
    <row r="16835" spans="8:8">
      <c r="H16835" t="s">
        <v>23525</v>
      </c>
    </row>
    <row r="16836" spans="8:8">
      <c r="H16836" t="s">
        <v>23526</v>
      </c>
    </row>
    <row r="16837" spans="8:8">
      <c r="H16837" t="s">
        <v>23527</v>
      </c>
    </row>
    <row r="16838" spans="8:8">
      <c r="H16838" t="s">
        <v>23528</v>
      </c>
    </row>
    <row r="16839" spans="8:8">
      <c r="H16839" t="s">
        <v>23529</v>
      </c>
    </row>
    <row r="16840" spans="8:8">
      <c r="H16840" t="s">
        <v>23530</v>
      </c>
    </row>
    <row r="16841" spans="8:8">
      <c r="H16841" t="s">
        <v>23531</v>
      </c>
    </row>
    <row r="16842" spans="8:8">
      <c r="H16842" t="s">
        <v>23532</v>
      </c>
    </row>
    <row r="16843" spans="8:8">
      <c r="H16843" t="s">
        <v>23533</v>
      </c>
    </row>
    <row r="16844" spans="8:8">
      <c r="H16844" t="s">
        <v>23534</v>
      </c>
    </row>
    <row r="16845" spans="8:8">
      <c r="H16845" t="s">
        <v>23535</v>
      </c>
    </row>
    <row r="16846" spans="8:8">
      <c r="H16846" t="s">
        <v>23536</v>
      </c>
    </row>
    <row r="16847" spans="8:8">
      <c r="H16847" t="s">
        <v>23537</v>
      </c>
    </row>
    <row r="16848" spans="8:8">
      <c r="H16848" t="s">
        <v>23538</v>
      </c>
    </row>
    <row r="16849" spans="8:8">
      <c r="H16849" t="s">
        <v>23539</v>
      </c>
    </row>
    <row r="16850" spans="8:8">
      <c r="H16850" t="s">
        <v>23540</v>
      </c>
    </row>
    <row r="16851" spans="8:8">
      <c r="H16851" t="s">
        <v>23541</v>
      </c>
    </row>
    <row r="16852" spans="8:8">
      <c r="H16852" t="s">
        <v>23542</v>
      </c>
    </row>
    <row r="16853" spans="8:8">
      <c r="H16853" t="s">
        <v>23543</v>
      </c>
    </row>
    <row r="16854" spans="8:8">
      <c r="H16854" t="s">
        <v>23544</v>
      </c>
    </row>
    <row r="16855" spans="8:8">
      <c r="H16855" t="s">
        <v>23545</v>
      </c>
    </row>
    <row r="16856" spans="8:8">
      <c r="H16856" t="s">
        <v>23546</v>
      </c>
    </row>
    <row r="16857" spans="8:8">
      <c r="H16857" t="s">
        <v>23547</v>
      </c>
    </row>
    <row r="16858" spans="8:8">
      <c r="H16858" t="s">
        <v>23548</v>
      </c>
    </row>
    <row r="16859" spans="8:8">
      <c r="H16859" t="s">
        <v>23549</v>
      </c>
    </row>
    <row r="16860" spans="8:8">
      <c r="H16860" t="s">
        <v>23550</v>
      </c>
    </row>
    <row r="16861" spans="8:8">
      <c r="H16861" t="s">
        <v>23551</v>
      </c>
    </row>
    <row r="16862" spans="8:8">
      <c r="H16862" t="s">
        <v>23552</v>
      </c>
    </row>
    <row r="16863" spans="8:8">
      <c r="H16863" t="s">
        <v>23553</v>
      </c>
    </row>
    <row r="16864" spans="8:8">
      <c r="H16864" t="s">
        <v>23554</v>
      </c>
    </row>
    <row r="16865" spans="8:8">
      <c r="H16865" t="s">
        <v>23555</v>
      </c>
    </row>
    <row r="16866" spans="8:8">
      <c r="H16866" t="s">
        <v>23556</v>
      </c>
    </row>
    <row r="16867" spans="8:8">
      <c r="H16867" t="s">
        <v>23557</v>
      </c>
    </row>
    <row r="16868" spans="8:8">
      <c r="H16868" t="s">
        <v>23558</v>
      </c>
    </row>
    <row r="16869" spans="8:8">
      <c r="H16869" t="s">
        <v>23559</v>
      </c>
    </row>
    <row r="16870" spans="8:8">
      <c r="H16870" t="s">
        <v>23560</v>
      </c>
    </row>
    <row r="16871" spans="8:8">
      <c r="H16871" t="s">
        <v>23561</v>
      </c>
    </row>
    <row r="16872" spans="8:8">
      <c r="H16872" t="s">
        <v>23562</v>
      </c>
    </row>
    <row r="16873" spans="8:8">
      <c r="H16873" t="s">
        <v>23563</v>
      </c>
    </row>
    <row r="16874" spans="8:8">
      <c r="H16874" t="s">
        <v>23564</v>
      </c>
    </row>
    <row r="16875" spans="8:8">
      <c r="H16875" t="s">
        <v>23565</v>
      </c>
    </row>
    <row r="16876" spans="8:8">
      <c r="H16876" t="s">
        <v>23566</v>
      </c>
    </row>
    <row r="16877" spans="8:8">
      <c r="H16877" t="s">
        <v>23567</v>
      </c>
    </row>
    <row r="16878" spans="8:8">
      <c r="H16878" t="s">
        <v>23568</v>
      </c>
    </row>
    <row r="16879" spans="8:8">
      <c r="H16879" t="s">
        <v>23569</v>
      </c>
    </row>
    <row r="16880" spans="8:8">
      <c r="H16880" t="s">
        <v>23570</v>
      </c>
    </row>
    <row r="16881" spans="8:8">
      <c r="H16881" t="s">
        <v>23571</v>
      </c>
    </row>
    <row r="16882" spans="8:8">
      <c r="H16882" t="s">
        <v>23572</v>
      </c>
    </row>
    <row r="16883" spans="8:8">
      <c r="H16883" t="s">
        <v>23573</v>
      </c>
    </row>
    <row r="16884" spans="8:8">
      <c r="H16884" t="s">
        <v>23574</v>
      </c>
    </row>
    <row r="16885" spans="8:8">
      <c r="H16885" t="s">
        <v>23575</v>
      </c>
    </row>
    <row r="16886" spans="8:8">
      <c r="H16886" t="s">
        <v>23576</v>
      </c>
    </row>
    <row r="16887" spans="8:8">
      <c r="H16887" t="s">
        <v>23577</v>
      </c>
    </row>
    <row r="16888" spans="8:8">
      <c r="H16888" t="s">
        <v>23578</v>
      </c>
    </row>
    <row r="16889" spans="8:8">
      <c r="H16889" t="s">
        <v>23579</v>
      </c>
    </row>
    <row r="16890" spans="8:8">
      <c r="H16890" t="s">
        <v>23580</v>
      </c>
    </row>
    <row r="16891" spans="8:8">
      <c r="H16891" t="s">
        <v>23581</v>
      </c>
    </row>
    <row r="16892" spans="8:8">
      <c r="H16892" t="s">
        <v>23582</v>
      </c>
    </row>
    <row r="16893" spans="8:8">
      <c r="H16893" t="s">
        <v>23583</v>
      </c>
    </row>
    <row r="16894" spans="8:8">
      <c r="H16894" t="s">
        <v>23584</v>
      </c>
    </row>
    <row r="16895" spans="8:8">
      <c r="H16895" t="s">
        <v>23585</v>
      </c>
    </row>
    <row r="16896" spans="8:8">
      <c r="H16896" t="s">
        <v>23586</v>
      </c>
    </row>
    <row r="16897" spans="8:8">
      <c r="H16897" t="s">
        <v>23587</v>
      </c>
    </row>
    <row r="16898" spans="8:8">
      <c r="H16898" t="s">
        <v>23588</v>
      </c>
    </row>
    <row r="16899" spans="8:8">
      <c r="H16899" t="s">
        <v>23589</v>
      </c>
    </row>
    <row r="16900" spans="8:8">
      <c r="H16900" t="s">
        <v>23590</v>
      </c>
    </row>
    <row r="16901" spans="8:8">
      <c r="H16901" t="s">
        <v>23591</v>
      </c>
    </row>
    <row r="16902" spans="8:8">
      <c r="H16902" t="s">
        <v>23592</v>
      </c>
    </row>
    <row r="16903" spans="8:8">
      <c r="H16903" t="s">
        <v>23593</v>
      </c>
    </row>
    <row r="16904" spans="8:8">
      <c r="H16904" t="s">
        <v>23594</v>
      </c>
    </row>
    <row r="16905" spans="8:8">
      <c r="H16905" t="s">
        <v>23595</v>
      </c>
    </row>
    <row r="16906" spans="8:8">
      <c r="H16906" t="s">
        <v>23596</v>
      </c>
    </row>
    <row r="16907" spans="8:8">
      <c r="H16907" t="s">
        <v>23597</v>
      </c>
    </row>
    <row r="16908" spans="8:8">
      <c r="H16908" t="s">
        <v>23598</v>
      </c>
    </row>
    <row r="16909" spans="8:8">
      <c r="H16909" t="s">
        <v>23599</v>
      </c>
    </row>
    <row r="16910" spans="8:8">
      <c r="H16910" t="s">
        <v>23600</v>
      </c>
    </row>
    <row r="16911" spans="8:8">
      <c r="H16911" t="s">
        <v>23601</v>
      </c>
    </row>
    <row r="16912" spans="8:8">
      <c r="H16912" t="s">
        <v>23602</v>
      </c>
    </row>
    <row r="16913" spans="8:8">
      <c r="H16913" t="s">
        <v>23603</v>
      </c>
    </row>
    <row r="16914" spans="8:8">
      <c r="H16914" t="s">
        <v>23604</v>
      </c>
    </row>
    <row r="16915" spans="8:8">
      <c r="H16915" t="s">
        <v>23605</v>
      </c>
    </row>
    <row r="16916" spans="8:8">
      <c r="H16916" t="s">
        <v>23606</v>
      </c>
    </row>
    <row r="16917" spans="8:8">
      <c r="H16917" t="s">
        <v>23607</v>
      </c>
    </row>
    <row r="16918" spans="8:8">
      <c r="H16918" t="s">
        <v>23608</v>
      </c>
    </row>
    <row r="16919" spans="8:8">
      <c r="H16919" t="s">
        <v>23609</v>
      </c>
    </row>
    <row r="16920" spans="8:8">
      <c r="H16920" t="s">
        <v>23610</v>
      </c>
    </row>
    <row r="16921" spans="8:8">
      <c r="H16921" t="s">
        <v>23611</v>
      </c>
    </row>
    <row r="16922" spans="8:8">
      <c r="H16922" t="s">
        <v>23612</v>
      </c>
    </row>
    <row r="16923" spans="8:8">
      <c r="H16923" t="s">
        <v>23613</v>
      </c>
    </row>
    <row r="16924" spans="8:8">
      <c r="H16924" t="s">
        <v>23614</v>
      </c>
    </row>
    <row r="16925" spans="8:8">
      <c r="H16925" t="s">
        <v>23615</v>
      </c>
    </row>
    <row r="16926" spans="8:8">
      <c r="H16926" t="s">
        <v>23616</v>
      </c>
    </row>
    <row r="16927" spans="8:8">
      <c r="H16927" t="s">
        <v>23617</v>
      </c>
    </row>
    <row r="16928" spans="8:8">
      <c r="H16928" t="s">
        <v>23618</v>
      </c>
    </row>
    <row r="16929" spans="8:8">
      <c r="H16929" t="s">
        <v>23619</v>
      </c>
    </row>
    <row r="16930" spans="8:8">
      <c r="H16930" t="s">
        <v>23620</v>
      </c>
    </row>
    <row r="16931" spans="8:8">
      <c r="H16931" t="s">
        <v>23621</v>
      </c>
    </row>
    <row r="16932" spans="8:8">
      <c r="H16932" t="s">
        <v>23622</v>
      </c>
    </row>
    <row r="16933" spans="8:8">
      <c r="H16933" t="s">
        <v>23623</v>
      </c>
    </row>
    <row r="16934" spans="8:8">
      <c r="H16934" t="s">
        <v>23624</v>
      </c>
    </row>
    <row r="16935" spans="8:8">
      <c r="H16935" t="s">
        <v>23625</v>
      </c>
    </row>
    <row r="16936" spans="8:8">
      <c r="H16936" t="s">
        <v>23626</v>
      </c>
    </row>
    <row r="16937" spans="8:8">
      <c r="H16937" t="s">
        <v>23627</v>
      </c>
    </row>
    <row r="16938" spans="8:8">
      <c r="H16938" t="s">
        <v>23628</v>
      </c>
    </row>
    <row r="16939" spans="8:8">
      <c r="H16939" t="s">
        <v>23629</v>
      </c>
    </row>
    <row r="16940" spans="8:8">
      <c r="H16940" t="s">
        <v>23630</v>
      </c>
    </row>
    <row r="16941" spans="8:8">
      <c r="H16941" t="s">
        <v>23631</v>
      </c>
    </row>
    <row r="16942" spans="8:8">
      <c r="H16942" t="s">
        <v>23632</v>
      </c>
    </row>
    <row r="16943" spans="8:8">
      <c r="H16943" t="s">
        <v>23633</v>
      </c>
    </row>
    <row r="16944" spans="8:8">
      <c r="H16944" t="s">
        <v>23634</v>
      </c>
    </row>
    <row r="16945" spans="8:8">
      <c r="H16945" t="s">
        <v>23635</v>
      </c>
    </row>
    <row r="16946" spans="8:8">
      <c r="H16946" t="s">
        <v>23636</v>
      </c>
    </row>
    <row r="16947" spans="8:8">
      <c r="H16947" t="s">
        <v>23637</v>
      </c>
    </row>
    <row r="16948" spans="8:8">
      <c r="H16948" t="s">
        <v>23638</v>
      </c>
    </row>
    <row r="16949" spans="8:8">
      <c r="H16949" t="s">
        <v>23639</v>
      </c>
    </row>
    <row r="16950" spans="8:8">
      <c r="H16950" t="s">
        <v>23640</v>
      </c>
    </row>
    <row r="16951" spans="8:8">
      <c r="H16951" t="s">
        <v>23641</v>
      </c>
    </row>
    <row r="16952" spans="8:8">
      <c r="H16952" t="s">
        <v>23642</v>
      </c>
    </row>
    <row r="16953" spans="8:8">
      <c r="H16953" t="s">
        <v>23643</v>
      </c>
    </row>
    <row r="16954" spans="8:8">
      <c r="H16954" t="s">
        <v>23644</v>
      </c>
    </row>
    <row r="16955" spans="8:8">
      <c r="H16955" t="s">
        <v>23645</v>
      </c>
    </row>
    <row r="16956" spans="8:8">
      <c r="H16956" t="s">
        <v>23646</v>
      </c>
    </row>
    <row r="16957" spans="8:8">
      <c r="H16957" t="s">
        <v>23647</v>
      </c>
    </row>
    <row r="16958" spans="8:8">
      <c r="H16958" t="s">
        <v>23648</v>
      </c>
    </row>
    <row r="16959" spans="8:8">
      <c r="H16959" t="s">
        <v>23649</v>
      </c>
    </row>
    <row r="16960" spans="8:8">
      <c r="H16960" t="s">
        <v>23650</v>
      </c>
    </row>
    <row r="16961" spans="8:8">
      <c r="H16961" t="s">
        <v>23651</v>
      </c>
    </row>
    <row r="16962" spans="8:8">
      <c r="H16962" t="s">
        <v>23652</v>
      </c>
    </row>
    <row r="16963" spans="8:8">
      <c r="H16963" t="s">
        <v>23653</v>
      </c>
    </row>
    <row r="16964" spans="8:8">
      <c r="H16964" t="s">
        <v>23654</v>
      </c>
    </row>
    <row r="16965" spans="8:8">
      <c r="H16965" t="s">
        <v>23655</v>
      </c>
    </row>
    <row r="16966" spans="8:8">
      <c r="H16966" t="s">
        <v>23656</v>
      </c>
    </row>
    <row r="16967" spans="8:8">
      <c r="H16967" t="s">
        <v>23657</v>
      </c>
    </row>
    <row r="16968" spans="8:8">
      <c r="H16968" t="s">
        <v>23658</v>
      </c>
    </row>
    <row r="16969" spans="8:8">
      <c r="H16969" t="s">
        <v>23659</v>
      </c>
    </row>
    <row r="16970" spans="8:8">
      <c r="H16970" t="s">
        <v>23660</v>
      </c>
    </row>
    <row r="16971" spans="8:8">
      <c r="H16971" t="s">
        <v>23661</v>
      </c>
    </row>
    <row r="16972" spans="8:8">
      <c r="H16972" t="s">
        <v>23662</v>
      </c>
    </row>
    <row r="16973" spans="8:8">
      <c r="H16973" t="s">
        <v>23663</v>
      </c>
    </row>
    <row r="16974" spans="8:8">
      <c r="H16974" t="s">
        <v>23664</v>
      </c>
    </row>
    <row r="16975" spans="8:8">
      <c r="H16975" t="s">
        <v>23665</v>
      </c>
    </row>
    <row r="16976" spans="8:8">
      <c r="H16976" t="s">
        <v>23666</v>
      </c>
    </row>
    <row r="16977" spans="8:8">
      <c r="H16977" t="s">
        <v>23667</v>
      </c>
    </row>
    <row r="16978" spans="8:8">
      <c r="H16978" t="s">
        <v>23668</v>
      </c>
    </row>
    <row r="16979" spans="8:8">
      <c r="H16979" t="s">
        <v>23669</v>
      </c>
    </row>
    <row r="16980" spans="8:8">
      <c r="H16980" t="s">
        <v>23670</v>
      </c>
    </row>
    <row r="16981" spans="8:8">
      <c r="H16981" t="s">
        <v>23671</v>
      </c>
    </row>
    <row r="16982" spans="8:8">
      <c r="H16982" t="s">
        <v>23672</v>
      </c>
    </row>
    <row r="16983" spans="8:8">
      <c r="H16983" t="s">
        <v>23673</v>
      </c>
    </row>
    <row r="16984" spans="8:8">
      <c r="H16984" t="s">
        <v>23674</v>
      </c>
    </row>
    <row r="16985" spans="8:8">
      <c r="H16985" t="s">
        <v>23675</v>
      </c>
    </row>
    <row r="16986" spans="8:8">
      <c r="H16986" t="s">
        <v>23676</v>
      </c>
    </row>
    <row r="16987" spans="8:8">
      <c r="H16987" t="s">
        <v>23677</v>
      </c>
    </row>
    <row r="16988" spans="8:8">
      <c r="H16988" t="s">
        <v>23678</v>
      </c>
    </row>
    <row r="16989" spans="8:8">
      <c r="H16989" t="s">
        <v>23679</v>
      </c>
    </row>
    <row r="16990" spans="8:8">
      <c r="H16990" t="s">
        <v>23680</v>
      </c>
    </row>
    <row r="16991" spans="8:8">
      <c r="H16991" t="s">
        <v>23681</v>
      </c>
    </row>
    <row r="16992" spans="8:8">
      <c r="H16992" t="s">
        <v>23682</v>
      </c>
    </row>
    <row r="16993" spans="8:8">
      <c r="H16993" t="s">
        <v>23683</v>
      </c>
    </row>
    <row r="16994" spans="8:8">
      <c r="H16994" t="s">
        <v>23684</v>
      </c>
    </row>
    <row r="16995" spans="8:8">
      <c r="H16995" t="s">
        <v>23685</v>
      </c>
    </row>
    <row r="16996" spans="8:8">
      <c r="H16996" t="s">
        <v>23686</v>
      </c>
    </row>
    <row r="16997" spans="8:8">
      <c r="H16997" t="s">
        <v>23687</v>
      </c>
    </row>
    <row r="16998" spans="8:8">
      <c r="H16998" t="s">
        <v>23688</v>
      </c>
    </row>
    <row r="16999" spans="8:8">
      <c r="H16999" t="s">
        <v>23689</v>
      </c>
    </row>
    <row r="17000" spans="8:8">
      <c r="H17000" t="s">
        <v>23690</v>
      </c>
    </row>
    <row r="17001" spans="8:8">
      <c r="H17001" t="s">
        <v>23691</v>
      </c>
    </row>
    <row r="17002" spans="8:8">
      <c r="H17002" t="s">
        <v>23692</v>
      </c>
    </row>
    <row r="17003" spans="8:8">
      <c r="H17003" t="s">
        <v>23693</v>
      </c>
    </row>
    <row r="17004" spans="8:8">
      <c r="H17004" t="s">
        <v>23694</v>
      </c>
    </row>
    <row r="17005" spans="8:8">
      <c r="H17005" t="s">
        <v>23695</v>
      </c>
    </row>
    <row r="17006" spans="8:8">
      <c r="H17006" t="s">
        <v>23696</v>
      </c>
    </row>
    <row r="17007" spans="8:8">
      <c r="H17007" t="s">
        <v>23697</v>
      </c>
    </row>
    <row r="17008" spans="8:8">
      <c r="H17008" t="s">
        <v>23698</v>
      </c>
    </row>
    <row r="17009" spans="8:8">
      <c r="H17009" t="s">
        <v>23699</v>
      </c>
    </row>
    <row r="17010" spans="8:8">
      <c r="H17010" t="s">
        <v>23700</v>
      </c>
    </row>
    <row r="17011" spans="8:8">
      <c r="H17011" t="s">
        <v>23701</v>
      </c>
    </row>
    <row r="17012" spans="8:8">
      <c r="H17012" t="s">
        <v>23702</v>
      </c>
    </row>
    <row r="17013" spans="8:8">
      <c r="H17013" t="s">
        <v>23703</v>
      </c>
    </row>
    <row r="17014" spans="8:8">
      <c r="H17014" t="s">
        <v>23704</v>
      </c>
    </row>
    <row r="17015" spans="8:8">
      <c r="H17015" t="s">
        <v>23705</v>
      </c>
    </row>
    <row r="17016" spans="8:8">
      <c r="H17016" t="s">
        <v>23706</v>
      </c>
    </row>
    <row r="17017" spans="8:8">
      <c r="H17017" t="s">
        <v>23707</v>
      </c>
    </row>
    <row r="17018" spans="8:8">
      <c r="H17018" t="s">
        <v>23708</v>
      </c>
    </row>
    <row r="17019" spans="8:8">
      <c r="H17019" t="s">
        <v>23709</v>
      </c>
    </row>
    <row r="17020" spans="8:8">
      <c r="H17020" t="s">
        <v>23710</v>
      </c>
    </row>
    <row r="17021" spans="8:8">
      <c r="H17021" t="s">
        <v>23711</v>
      </c>
    </row>
    <row r="17022" spans="8:8">
      <c r="H17022" t="s">
        <v>23712</v>
      </c>
    </row>
    <row r="17023" spans="8:8">
      <c r="H17023" t="s">
        <v>23713</v>
      </c>
    </row>
    <row r="17024" spans="8:8">
      <c r="H17024" t="s">
        <v>23714</v>
      </c>
    </row>
    <row r="17025" spans="8:8">
      <c r="H17025" t="s">
        <v>23715</v>
      </c>
    </row>
    <row r="17026" spans="8:8">
      <c r="H17026" t="s">
        <v>23716</v>
      </c>
    </row>
    <row r="17027" spans="8:8">
      <c r="H17027" t="s">
        <v>23717</v>
      </c>
    </row>
    <row r="17028" spans="8:8">
      <c r="H17028" t="s">
        <v>23718</v>
      </c>
    </row>
    <row r="17029" spans="8:8">
      <c r="H17029" t="s">
        <v>23719</v>
      </c>
    </row>
    <row r="17030" spans="8:8">
      <c r="H17030" t="s">
        <v>23720</v>
      </c>
    </row>
    <row r="17031" spans="8:8">
      <c r="H17031" t="s">
        <v>23721</v>
      </c>
    </row>
    <row r="17032" spans="8:8">
      <c r="H17032" t="s">
        <v>23722</v>
      </c>
    </row>
    <row r="17033" spans="8:8">
      <c r="H17033" t="s">
        <v>23723</v>
      </c>
    </row>
    <row r="17034" spans="8:8">
      <c r="H17034" t="s">
        <v>23724</v>
      </c>
    </row>
    <row r="17035" spans="8:8">
      <c r="H17035" t="s">
        <v>23725</v>
      </c>
    </row>
    <row r="17036" spans="8:8">
      <c r="H17036" t="s">
        <v>23726</v>
      </c>
    </row>
    <row r="17037" spans="8:8">
      <c r="H17037" t="s">
        <v>23727</v>
      </c>
    </row>
    <row r="17038" spans="8:8">
      <c r="H17038" t="s">
        <v>23728</v>
      </c>
    </row>
    <row r="17039" spans="8:8">
      <c r="H17039" t="s">
        <v>23729</v>
      </c>
    </row>
    <row r="17040" spans="8:8">
      <c r="H17040" t="s">
        <v>23730</v>
      </c>
    </row>
    <row r="17041" spans="8:8">
      <c r="H17041" t="s">
        <v>23731</v>
      </c>
    </row>
    <row r="17042" spans="8:8">
      <c r="H17042" t="s">
        <v>23732</v>
      </c>
    </row>
    <row r="17043" spans="8:8">
      <c r="H17043" t="s">
        <v>23733</v>
      </c>
    </row>
    <row r="17044" spans="8:8">
      <c r="H17044" t="s">
        <v>23734</v>
      </c>
    </row>
    <row r="17045" spans="8:8">
      <c r="H17045" t="s">
        <v>23735</v>
      </c>
    </row>
    <row r="17046" spans="8:8">
      <c r="H17046" t="s">
        <v>23736</v>
      </c>
    </row>
    <row r="17047" spans="8:8">
      <c r="H17047" t="s">
        <v>23737</v>
      </c>
    </row>
    <row r="17048" spans="8:8">
      <c r="H17048" t="s">
        <v>23738</v>
      </c>
    </row>
    <row r="17049" spans="8:8">
      <c r="H17049" t="s">
        <v>23739</v>
      </c>
    </row>
    <row r="17050" spans="8:8">
      <c r="H17050" t="s">
        <v>23740</v>
      </c>
    </row>
    <row r="17051" spans="8:8">
      <c r="H17051" t="s">
        <v>23741</v>
      </c>
    </row>
    <row r="17052" spans="8:8">
      <c r="H17052" t="s">
        <v>23742</v>
      </c>
    </row>
    <row r="17053" spans="8:8">
      <c r="H17053" t="s">
        <v>23743</v>
      </c>
    </row>
    <row r="17054" spans="8:8">
      <c r="H17054" t="s">
        <v>23744</v>
      </c>
    </row>
    <row r="17055" spans="8:8">
      <c r="H17055" t="s">
        <v>23745</v>
      </c>
    </row>
    <row r="17056" spans="8:8">
      <c r="H17056" t="s">
        <v>23746</v>
      </c>
    </row>
    <row r="17057" spans="8:8">
      <c r="H17057" t="s">
        <v>23747</v>
      </c>
    </row>
    <row r="17058" spans="8:8">
      <c r="H17058" t="s">
        <v>23748</v>
      </c>
    </row>
    <row r="17059" spans="8:8">
      <c r="H17059" t="s">
        <v>23749</v>
      </c>
    </row>
    <row r="17060" spans="8:8">
      <c r="H17060" t="s">
        <v>23750</v>
      </c>
    </row>
    <row r="17061" spans="8:8">
      <c r="H17061" t="s">
        <v>23751</v>
      </c>
    </row>
    <row r="17062" spans="8:8">
      <c r="H17062" t="s">
        <v>23752</v>
      </c>
    </row>
    <row r="17063" spans="8:8">
      <c r="H17063" t="s">
        <v>23753</v>
      </c>
    </row>
    <row r="17064" spans="8:8">
      <c r="H17064" t="s">
        <v>23754</v>
      </c>
    </row>
    <row r="17065" spans="8:8">
      <c r="H17065" t="s">
        <v>23755</v>
      </c>
    </row>
    <row r="17066" spans="8:8">
      <c r="H17066" t="s">
        <v>23756</v>
      </c>
    </row>
    <row r="17067" spans="8:8">
      <c r="H17067" t="s">
        <v>23757</v>
      </c>
    </row>
    <row r="17068" spans="8:8">
      <c r="H17068" t="s">
        <v>23758</v>
      </c>
    </row>
    <row r="17069" spans="8:8">
      <c r="H17069" t="s">
        <v>23759</v>
      </c>
    </row>
    <row r="17070" spans="8:8">
      <c r="H17070" t="s">
        <v>23760</v>
      </c>
    </row>
    <row r="17071" spans="8:8">
      <c r="H17071" t="s">
        <v>23761</v>
      </c>
    </row>
    <row r="17072" spans="8:8">
      <c r="H17072" t="s">
        <v>23762</v>
      </c>
    </row>
    <row r="17073" spans="8:8">
      <c r="H17073" t="s">
        <v>23763</v>
      </c>
    </row>
    <row r="17074" spans="8:8">
      <c r="H17074" t="s">
        <v>23764</v>
      </c>
    </row>
    <row r="17075" spans="8:8">
      <c r="H17075" t="s">
        <v>23765</v>
      </c>
    </row>
    <row r="17076" spans="8:8">
      <c r="H17076" t="s">
        <v>23766</v>
      </c>
    </row>
    <row r="17077" spans="8:8">
      <c r="H17077" t="s">
        <v>23767</v>
      </c>
    </row>
    <row r="17078" spans="8:8">
      <c r="H17078" t="s">
        <v>23768</v>
      </c>
    </row>
    <row r="17079" spans="8:8">
      <c r="H17079" t="s">
        <v>23769</v>
      </c>
    </row>
    <row r="17080" spans="8:8">
      <c r="H17080" t="s">
        <v>23770</v>
      </c>
    </row>
    <row r="17081" spans="8:8">
      <c r="H17081" t="s">
        <v>23771</v>
      </c>
    </row>
    <row r="17082" spans="8:8">
      <c r="H17082" t="s">
        <v>23772</v>
      </c>
    </row>
    <row r="17083" spans="8:8">
      <c r="H17083" t="s">
        <v>23773</v>
      </c>
    </row>
    <row r="17084" spans="8:8">
      <c r="H17084" t="s">
        <v>23774</v>
      </c>
    </row>
    <row r="17085" spans="8:8">
      <c r="H17085" t="s">
        <v>23775</v>
      </c>
    </row>
    <row r="17086" spans="8:8">
      <c r="H17086" t="s">
        <v>23776</v>
      </c>
    </row>
    <row r="17087" spans="8:8">
      <c r="H17087" t="s">
        <v>23777</v>
      </c>
    </row>
    <row r="17088" spans="8:8">
      <c r="H17088" t="s">
        <v>23778</v>
      </c>
    </row>
    <row r="17089" spans="8:8">
      <c r="H17089" t="s">
        <v>23779</v>
      </c>
    </row>
    <row r="17090" spans="8:8">
      <c r="H17090" t="s">
        <v>23780</v>
      </c>
    </row>
    <row r="17091" spans="8:8">
      <c r="H17091" t="s">
        <v>23781</v>
      </c>
    </row>
    <row r="17092" spans="8:8">
      <c r="H17092" t="s">
        <v>23782</v>
      </c>
    </row>
    <row r="17093" spans="8:8">
      <c r="H17093" t="s">
        <v>23783</v>
      </c>
    </row>
    <row r="17094" spans="8:8">
      <c r="H17094" t="s">
        <v>23784</v>
      </c>
    </row>
    <row r="17095" spans="8:8">
      <c r="H17095" t="s">
        <v>23785</v>
      </c>
    </row>
    <row r="17096" spans="8:8">
      <c r="H17096" t="s">
        <v>23786</v>
      </c>
    </row>
    <row r="17097" spans="8:8">
      <c r="H17097" t="s">
        <v>23787</v>
      </c>
    </row>
    <row r="17098" spans="8:8">
      <c r="H17098" t="s">
        <v>23788</v>
      </c>
    </row>
    <row r="17099" spans="8:8">
      <c r="H17099" t="s">
        <v>23789</v>
      </c>
    </row>
    <row r="17100" spans="8:8">
      <c r="H17100" t="s">
        <v>23790</v>
      </c>
    </row>
    <row r="17101" spans="8:8">
      <c r="H17101" t="s">
        <v>23791</v>
      </c>
    </row>
    <row r="17102" spans="8:8">
      <c r="H17102" t="s">
        <v>23792</v>
      </c>
    </row>
    <row r="17103" spans="8:8">
      <c r="H17103" t="s">
        <v>23793</v>
      </c>
    </row>
    <row r="17104" spans="8:8">
      <c r="H17104" t="s">
        <v>23794</v>
      </c>
    </row>
    <row r="17105" spans="8:8">
      <c r="H17105" t="s">
        <v>23795</v>
      </c>
    </row>
    <row r="17106" spans="8:8">
      <c r="H17106" t="s">
        <v>23796</v>
      </c>
    </row>
    <row r="17107" spans="8:8">
      <c r="H17107" t="s">
        <v>23797</v>
      </c>
    </row>
    <row r="17108" spans="8:8">
      <c r="H17108" t="s">
        <v>23798</v>
      </c>
    </row>
    <row r="17109" spans="8:8">
      <c r="H17109" t="s">
        <v>23799</v>
      </c>
    </row>
    <row r="17110" spans="8:8">
      <c r="H17110" t="s">
        <v>23800</v>
      </c>
    </row>
    <row r="17111" spans="8:8">
      <c r="H17111" t="s">
        <v>23801</v>
      </c>
    </row>
    <row r="17112" spans="8:8">
      <c r="H17112" t="s">
        <v>23802</v>
      </c>
    </row>
    <row r="17113" spans="8:8">
      <c r="H17113" t="s">
        <v>23803</v>
      </c>
    </row>
    <row r="17114" spans="8:8">
      <c r="H17114" t="s">
        <v>23804</v>
      </c>
    </row>
    <row r="17115" spans="8:8">
      <c r="H17115" t="s">
        <v>23805</v>
      </c>
    </row>
    <row r="17116" spans="8:8">
      <c r="H17116" t="s">
        <v>23806</v>
      </c>
    </row>
    <row r="17117" spans="8:8">
      <c r="H17117" t="s">
        <v>23807</v>
      </c>
    </row>
    <row r="17118" spans="8:8">
      <c r="H17118" t="s">
        <v>23808</v>
      </c>
    </row>
    <row r="17119" spans="8:8">
      <c r="H17119" t="s">
        <v>23809</v>
      </c>
    </row>
    <row r="17120" spans="8:8">
      <c r="H17120" t="s">
        <v>23810</v>
      </c>
    </row>
    <row r="17121" spans="8:8">
      <c r="H17121" t="s">
        <v>23811</v>
      </c>
    </row>
    <row r="17122" spans="8:8">
      <c r="H17122" t="s">
        <v>23812</v>
      </c>
    </row>
    <row r="17123" spans="8:8">
      <c r="H17123" t="s">
        <v>23813</v>
      </c>
    </row>
    <row r="17124" spans="8:8">
      <c r="H17124" t="s">
        <v>23814</v>
      </c>
    </row>
    <row r="17125" spans="8:8">
      <c r="H17125" t="s">
        <v>23815</v>
      </c>
    </row>
    <row r="17126" spans="8:8">
      <c r="H17126" t="s">
        <v>23816</v>
      </c>
    </row>
    <row r="17127" spans="8:8">
      <c r="H17127" t="s">
        <v>23817</v>
      </c>
    </row>
    <row r="17128" spans="8:8">
      <c r="H17128" t="s">
        <v>23818</v>
      </c>
    </row>
    <row r="17129" spans="8:8">
      <c r="H17129" t="s">
        <v>23819</v>
      </c>
    </row>
    <row r="17130" spans="8:8">
      <c r="H17130" t="s">
        <v>23820</v>
      </c>
    </row>
    <row r="17131" spans="8:8">
      <c r="H17131" t="s">
        <v>23821</v>
      </c>
    </row>
    <row r="17132" spans="8:8">
      <c r="H17132" t="s">
        <v>23822</v>
      </c>
    </row>
    <row r="17133" spans="8:8">
      <c r="H17133" t="s">
        <v>23823</v>
      </c>
    </row>
    <row r="17134" spans="8:8">
      <c r="H17134" t="s">
        <v>23824</v>
      </c>
    </row>
    <row r="17135" spans="8:8">
      <c r="H17135" t="s">
        <v>23825</v>
      </c>
    </row>
    <row r="17136" spans="8:8">
      <c r="H17136" t="s">
        <v>23826</v>
      </c>
    </row>
    <row r="17137" spans="6:8">
      <c r="H17137" t="s">
        <v>23827</v>
      </c>
    </row>
    <row r="17138" spans="6:8">
      <c r="H17138" t="s">
        <v>23828</v>
      </c>
    </row>
    <row r="17139" spans="6:8">
      <c r="H17139" t="s">
        <v>23829</v>
      </c>
    </row>
    <row r="17140" spans="6:8">
      <c r="H17140" t="s">
        <v>23830</v>
      </c>
    </row>
    <row r="17141" spans="6:8">
      <c r="H17141" t="s">
        <v>23831</v>
      </c>
    </row>
    <row r="17142" spans="6:8">
      <c r="F17142" t="s">
        <v>12451</v>
      </c>
      <c r="G17142" t="s">
        <v>16672</v>
      </c>
      <c r="H17142" t="s">
        <v>18829</v>
      </c>
    </row>
    <row r="17143" spans="6:8">
      <c r="H17143" t="s">
        <v>23832</v>
      </c>
    </row>
    <row r="17144" spans="6:8">
      <c r="H17144" t="s">
        <v>23833</v>
      </c>
    </row>
    <row r="17145" spans="6:8">
      <c r="H17145" t="s">
        <v>23834</v>
      </c>
    </row>
    <row r="17146" spans="6:8">
      <c r="H17146" t="s">
        <v>23835</v>
      </c>
    </row>
    <row r="17147" spans="6:8">
      <c r="H17147" t="s">
        <v>23836</v>
      </c>
    </row>
    <row r="17148" spans="6:8">
      <c r="H17148" t="s">
        <v>23837</v>
      </c>
    </row>
    <row r="17149" spans="6:8">
      <c r="H17149" t="s">
        <v>23838</v>
      </c>
    </row>
    <row r="17150" spans="6:8">
      <c r="H17150" t="s">
        <v>23839</v>
      </c>
    </row>
    <row r="17151" spans="6:8">
      <c r="H17151" t="s">
        <v>23840</v>
      </c>
    </row>
    <row r="17152" spans="6:8">
      <c r="F17152" t="s">
        <v>12452</v>
      </c>
      <c r="G17152" t="s">
        <v>16673</v>
      </c>
      <c r="H17152" t="s">
        <v>18829</v>
      </c>
    </row>
    <row r="17153" spans="6:8">
      <c r="H17153" t="s">
        <v>23841</v>
      </c>
    </row>
    <row r="17154" spans="6:8">
      <c r="H17154" t="s">
        <v>23842</v>
      </c>
    </row>
    <row r="17155" spans="6:8">
      <c r="H17155" t="s">
        <v>23843</v>
      </c>
    </row>
    <row r="17156" spans="6:8">
      <c r="H17156" t="s">
        <v>23844</v>
      </c>
    </row>
    <row r="17157" spans="6:8">
      <c r="H17157" t="s">
        <v>23845</v>
      </c>
    </row>
    <row r="17158" spans="6:8">
      <c r="H17158" t="s">
        <v>23846</v>
      </c>
    </row>
    <row r="17159" spans="6:8">
      <c r="H17159" t="s">
        <v>23847</v>
      </c>
    </row>
    <row r="17160" spans="6:8">
      <c r="H17160" t="s">
        <v>23848</v>
      </c>
    </row>
    <row r="17161" spans="6:8">
      <c r="H17161" t="s">
        <v>23849</v>
      </c>
    </row>
    <row r="17162" spans="6:8">
      <c r="F17162" t="s">
        <v>12453</v>
      </c>
      <c r="G17162" t="s">
        <v>16674</v>
      </c>
      <c r="H17162" t="s">
        <v>18829</v>
      </c>
    </row>
    <row r="17163" spans="6:8">
      <c r="H17163" t="s">
        <v>23850</v>
      </c>
    </row>
    <row r="17164" spans="6:8">
      <c r="H17164" t="s">
        <v>23851</v>
      </c>
    </row>
    <row r="17165" spans="6:8">
      <c r="H17165" t="s">
        <v>23852</v>
      </c>
    </row>
    <row r="17166" spans="6:8">
      <c r="H17166" t="s">
        <v>23853</v>
      </c>
    </row>
    <row r="17167" spans="6:8">
      <c r="H17167" t="s">
        <v>23854</v>
      </c>
    </row>
    <row r="17168" spans="6:8">
      <c r="H17168" t="s">
        <v>23855</v>
      </c>
    </row>
    <row r="17169" spans="6:8">
      <c r="H17169" t="s">
        <v>23856</v>
      </c>
    </row>
    <row r="17170" spans="6:8">
      <c r="H17170" t="s">
        <v>23857</v>
      </c>
    </row>
    <row r="17171" spans="6:8">
      <c r="H17171" t="s">
        <v>23858</v>
      </c>
    </row>
    <row r="17172" spans="6:8">
      <c r="F17172" t="s">
        <v>12454</v>
      </c>
      <c r="G17172" t="s">
        <v>16675</v>
      </c>
      <c r="H17172" t="s">
        <v>18829</v>
      </c>
    </row>
    <row r="17173" spans="6:8">
      <c r="H17173" t="s">
        <v>23859</v>
      </c>
    </row>
    <row r="17174" spans="6:8">
      <c r="H17174" t="s">
        <v>23860</v>
      </c>
    </row>
    <row r="17175" spans="6:8">
      <c r="H17175" t="s">
        <v>23861</v>
      </c>
    </row>
    <row r="17176" spans="6:8">
      <c r="H17176" t="s">
        <v>23862</v>
      </c>
    </row>
    <row r="17177" spans="6:8">
      <c r="H17177" t="s">
        <v>23863</v>
      </c>
    </row>
    <row r="17178" spans="6:8">
      <c r="H17178" t="s">
        <v>23864</v>
      </c>
    </row>
    <row r="17179" spans="6:8">
      <c r="H17179" t="s">
        <v>23865</v>
      </c>
    </row>
    <row r="17180" spans="6:8">
      <c r="H17180" t="s">
        <v>23866</v>
      </c>
    </row>
    <row r="17181" spans="6:8">
      <c r="H17181" t="s">
        <v>23867</v>
      </c>
    </row>
    <row r="17182" spans="6:8">
      <c r="F17182" t="s">
        <v>12455</v>
      </c>
      <c r="G17182" t="s">
        <v>16676</v>
      </c>
      <c r="H17182" t="s">
        <v>18829</v>
      </c>
    </row>
    <row r="17183" spans="6:8">
      <c r="H17183" t="s">
        <v>23868</v>
      </c>
    </row>
    <row r="17184" spans="6:8">
      <c r="H17184" t="s">
        <v>23869</v>
      </c>
    </row>
    <row r="17185" spans="6:8">
      <c r="H17185" t="s">
        <v>23870</v>
      </c>
    </row>
    <row r="17186" spans="6:8">
      <c r="H17186" t="s">
        <v>23871</v>
      </c>
    </row>
    <row r="17187" spans="6:8">
      <c r="H17187" t="s">
        <v>23872</v>
      </c>
    </row>
    <row r="17188" spans="6:8">
      <c r="F17188" t="s">
        <v>12456</v>
      </c>
      <c r="G17188" t="s">
        <v>16677</v>
      </c>
      <c r="H17188" t="s">
        <v>18829</v>
      </c>
    </row>
    <row r="17189" spans="6:8">
      <c r="H17189" t="s">
        <v>23873</v>
      </c>
    </row>
    <row r="17190" spans="6:8">
      <c r="H17190" t="s">
        <v>23874</v>
      </c>
    </row>
    <row r="17191" spans="6:8">
      <c r="H17191" t="s">
        <v>23875</v>
      </c>
    </row>
    <row r="17192" spans="6:8">
      <c r="H17192" t="s">
        <v>23876</v>
      </c>
    </row>
    <row r="17193" spans="6:8">
      <c r="H17193" t="s">
        <v>23877</v>
      </c>
    </row>
    <row r="17194" spans="6:8">
      <c r="H17194" t="s">
        <v>23878</v>
      </c>
    </row>
    <row r="17195" spans="6:8">
      <c r="H17195" t="s">
        <v>23879</v>
      </c>
    </row>
    <row r="17196" spans="6:8">
      <c r="H17196" t="s">
        <v>23880</v>
      </c>
    </row>
    <row r="17197" spans="6:8">
      <c r="H17197" t="s">
        <v>23881</v>
      </c>
    </row>
    <row r="17198" spans="6:8">
      <c r="F17198" t="s">
        <v>12457</v>
      </c>
      <c r="G17198" t="s">
        <v>16678</v>
      </c>
      <c r="H17198" t="s">
        <v>18829</v>
      </c>
    </row>
    <row r="17199" spans="6:8">
      <c r="H17199" t="s">
        <v>23882</v>
      </c>
    </row>
    <row r="17200" spans="6:8">
      <c r="H17200" t="s">
        <v>23883</v>
      </c>
    </row>
    <row r="17201" spans="6:8">
      <c r="H17201" t="s">
        <v>23884</v>
      </c>
    </row>
    <row r="17202" spans="6:8">
      <c r="H17202" t="s">
        <v>23885</v>
      </c>
    </row>
    <row r="17203" spans="6:8">
      <c r="H17203" t="s">
        <v>23886</v>
      </c>
    </row>
    <row r="17204" spans="6:8">
      <c r="H17204" t="s">
        <v>23887</v>
      </c>
    </row>
    <row r="17205" spans="6:8">
      <c r="H17205" t="s">
        <v>23888</v>
      </c>
    </row>
    <row r="17206" spans="6:8">
      <c r="H17206" t="s">
        <v>23889</v>
      </c>
    </row>
    <row r="17207" spans="6:8">
      <c r="H17207" t="s">
        <v>23890</v>
      </c>
    </row>
    <row r="17208" spans="6:8">
      <c r="F17208" t="s">
        <v>12458</v>
      </c>
      <c r="G17208" t="s">
        <v>16679</v>
      </c>
      <c r="H17208" t="s">
        <v>18829</v>
      </c>
    </row>
    <row r="17209" spans="6:8">
      <c r="H17209" t="s">
        <v>23891</v>
      </c>
    </row>
    <row r="17210" spans="6:8">
      <c r="H17210" t="s">
        <v>23892</v>
      </c>
    </row>
    <row r="17211" spans="6:8">
      <c r="H17211" t="s">
        <v>23893</v>
      </c>
    </row>
    <row r="17212" spans="6:8">
      <c r="H17212" t="s">
        <v>23894</v>
      </c>
    </row>
    <row r="17213" spans="6:8">
      <c r="H17213" t="s">
        <v>23895</v>
      </c>
    </row>
    <row r="17214" spans="6:8">
      <c r="H17214" t="s">
        <v>23896</v>
      </c>
    </row>
    <row r="17215" spans="6:8">
      <c r="H17215" t="s">
        <v>23897</v>
      </c>
    </row>
    <row r="17216" spans="6:8">
      <c r="H17216" t="s">
        <v>23898</v>
      </c>
    </row>
    <row r="17217" spans="6:8">
      <c r="H17217" t="s">
        <v>23899</v>
      </c>
    </row>
    <row r="17218" spans="6:8">
      <c r="F17218" t="s">
        <v>12459</v>
      </c>
      <c r="G17218" t="s">
        <v>16680</v>
      </c>
      <c r="H17218" t="s">
        <v>18829</v>
      </c>
    </row>
    <row r="17219" spans="6:8">
      <c r="H17219" t="s">
        <v>23900</v>
      </c>
    </row>
    <row r="17220" spans="6:8">
      <c r="H17220" t="s">
        <v>23901</v>
      </c>
    </row>
    <row r="17221" spans="6:8">
      <c r="H17221" t="s">
        <v>23902</v>
      </c>
    </row>
    <row r="17222" spans="6:8">
      <c r="H17222" t="s">
        <v>23903</v>
      </c>
    </row>
    <row r="17223" spans="6:8">
      <c r="H17223" t="s">
        <v>23904</v>
      </c>
    </row>
    <row r="17224" spans="6:8">
      <c r="H17224" t="s">
        <v>23905</v>
      </c>
    </row>
    <row r="17225" spans="6:8">
      <c r="H17225" t="s">
        <v>23906</v>
      </c>
    </row>
    <row r="17226" spans="6:8">
      <c r="H17226" t="s">
        <v>23907</v>
      </c>
    </row>
    <row r="17227" spans="6:8">
      <c r="H17227" t="s">
        <v>23908</v>
      </c>
    </row>
    <row r="17228" spans="6:8">
      <c r="F17228" t="s">
        <v>12460</v>
      </c>
      <c r="G17228" t="s">
        <v>16681</v>
      </c>
      <c r="H17228" t="s">
        <v>18829</v>
      </c>
    </row>
    <row r="17229" spans="6:8">
      <c r="H17229" t="s">
        <v>23909</v>
      </c>
    </row>
    <row r="17230" spans="6:8">
      <c r="H17230" t="s">
        <v>23910</v>
      </c>
    </row>
    <row r="17231" spans="6:8">
      <c r="H17231" t="s">
        <v>23911</v>
      </c>
    </row>
    <row r="17232" spans="6:8">
      <c r="H17232" t="s">
        <v>23912</v>
      </c>
    </row>
    <row r="17233" spans="6:8">
      <c r="H17233" t="s">
        <v>23913</v>
      </c>
    </row>
    <row r="17234" spans="6:8">
      <c r="H17234" t="s">
        <v>23914</v>
      </c>
    </row>
    <row r="17235" spans="6:8">
      <c r="H17235" t="s">
        <v>23915</v>
      </c>
    </row>
    <row r="17236" spans="6:8">
      <c r="H17236" t="s">
        <v>23916</v>
      </c>
    </row>
    <row r="17237" spans="6:8">
      <c r="H17237" t="s">
        <v>23917</v>
      </c>
    </row>
    <row r="17238" spans="6:8">
      <c r="F17238" t="s">
        <v>12461</v>
      </c>
      <c r="G17238" t="s">
        <v>16682</v>
      </c>
      <c r="H17238" t="s">
        <v>18829</v>
      </c>
    </row>
    <row r="17239" spans="6:8">
      <c r="H17239" t="s">
        <v>23918</v>
      </c>
    </row>
    <row r="17240" spans="6:8">
      <c r="H17240" t="s">
        <v>23919</v>
      </c>
    </row>
    <row r="17241" spans="6:8">
      <c r="H17241" t="s">
        <v>23920</v>
      </c>
    </row>
    <row r="17242" spans="6:8">
      <c r="H17242" t="s">
        <v>23921</v>
      </c>
    </row>
    <row r="17243" spans="6:8">
      <c r="H17243" t="s">
        <v>23922</v>
      </c>
    </row>
    <row r="17244" spans="6:8">
      <c r="H17244" t="s">
        <v>23923</v>
      </c>
    </row>
    <row r="17245" spans="6:8">
      <c r="H17245" t="s">
        <v>23924</v>
      </c>
    </row>
    <row r="17246" spans="6:8">
      <c r="H17246" t="s">
        <v>23925</v>
      </c>
    </row>
    <row r="17247" spans="6:8">
      <c r="H17247" t="s">
        <v>23926</v>
      </c>
    </row>
    <row r="17248" spans="6:8">
      <c r="F17248" t="s">
        <v>12462</v>
      </c>
      <c r="G17248" t="s">
        <v>16536</v>
      </c>
      <c r="H17248" t="s">
        <v>18829</v>
      </c>
    </row>
    <row r="17249" spans="6:8">
      <c r="H17249" t="s">
        <v>23927</v>
      </c>
    </row>
    <row r="17250" spans="6:8">
      <c r="H17250" t="s">
        <v>21968</v>
      </c>
    </row>
    <row r="17251" spans="6:8">
      <c r="H17251" t="s">
        <v>23928</v>
      </c>
    </row>
    <row r="17252" spans="6:8">
      <c r="H17252" t="s">
        <v>21969</v>
      </c>
    </row>
    <row r="17253" spans="6:8">
      <c r="H17253" t="s">
        <v>23929</v>
      </c>
    </row>
    <row r="17254" spans="6:8">
      <c r="H17254" t="s">
        <v>21970</v>
      </c>
    </row>
    <row r="17255" spans="6:8">
      <c r="H17255" t="s">
        <v>23930</v>
      </c>
    </row>
    <row r="17256" spans="6:8">
      <c r="H17256" t="s">
        <v>21971</v>
      </c>
    </row>
    <row r="17257" spans="6:8">
      <c r="H17257" t="s">
        <v>23931</v>
      </c>
    </row>
    <row r="17258" spans="6:8">
      <c r="F17258" t="s">
        <v>12463</v>
      </c>
      <c r="G17258" t="s">
        <v>16683</v>
      </c>
      <c r="H17258" t="s">
        <v>18829</v>
      </c>
    </row>
    <row r="17259" spans="6:8">
      <c r="H17259" t="s">
        <v>23932</v>
      </c>
    </row>
    <row r="17260" spans="6:8">
      <c r="H17260" t="s">
        <v>23933</v>
      </c>
    </row>
    <row r="17261" spans="6:8">
      <c r="H17261" t="s">
        <v>23934</v>
      </c>
    </row>
    <row r="17262" spans="6:8">
      <c r="H17262" t="s">
        <v>23935</v>
      </c>
    </row>
    <row r="17263" spans="6:8">
      <c r="H17263" t="s">
        <v>23936</v>
      </c>
    </row>
    <row r="17264" spans="6:8">
      <c r="H17264" t="s">
        <v>23937</v>
      </c>
    </row>
    <row r="17265" spans="6:8">
      <c r="H17265" t="s">
        <v>23938</v>
      </c>
    </row>
    <row r="17266" spans="6:8">
      <c r="H17266" t="s">
        <v>23939</v>
      </c>
    </row>
    <row r="17267" spans="6:8">
      <c r="H17267" t="s">
        <v>23940</v>
      </c>
    </row>
    <row r="17268" spans="6:8">
      <c r="F17268" t="s">
        <v>12464</v>
      </c>
      <c r="G17268" t="s">
        <v>16684</v>
      </c>
      <c r="H17268" t="s">
        <v>18829</v>
      </c>
    </row>
    <row r="17269" spans="6:8">
      <c r="H17269" t="s">
        <v>23941</v>
      </c>
    </row>
    <row r="17270" spans="6:8">
      <c r="H17270" t="s">
        <v>23942</v>
      </c>
    </row>
    <row r="17271" spans="6:8">
      <c r="H17271" t="s">
        <v>23943</v>
      </c>
    </row>
    <row r="17272" spans="6:8">
      <c r="H17272" t="s">
        <v>23944</v>
      </c>
    </row>
    <row r="17273" spans="6:8">
      <c r="H17273" t="s">
        <v>23945</v>
      </c>
    </row>
    <row r="17274" spans="6:8">
      <c r="H17274" t="s">
        <v>23946</v>
      </c>
    </row>
    <row r="17275" spans="6:8">
      <c r="H17275" t="s">
        <v>23947</v>
      </c>
    </row>
    <row r="17276" spans="6:8">
      <c r="H17276" t="s">
        <v>23948</v>
      </c>
    </row>
    <row r="17277" spans="6:8">
      <c r="H17277" t="s">
        <v>23949</v>
      </c>
    </row>
    <row r="17278" spans="6:8">
      <c r="F17278" t="s">
        <v>12465</v>
      </c>
      <c r="G17278" t="s">
        <v>16685</v>
      </c>
      <c r="H17278" t="s">
        <v>18829</v>
      </c>
    </row>
    <row r="17279" spans="6:8">
      <c r="H17279" t="s">
        <v>23950</v>
      </c>
    </row>
    <row r="17280" spans="6:8">
      <c r="H17280" t="s">
        <v>23951</v>
      </c>
    </row>
    <row r="17281" spans="6:8">
      <c r="H17281" t="s">
        <v>23952</v>
      </c>
    </row>
    <row r="17282" spans="6:8">
      <c r="H17282" t="s">
        <v>23953</v>
      </c>
    </row>
    <row r="17283" spans="6:8">
      <c r="H17283" t="s">
        <v>23954</v>
      </c>
    </row>
    <row r="17284" spans="6:8">
      <c r="H17284" t="s">
        <v>23955</v>
      </c>
    </row>
    <row r="17285" spans="6:8">
      <c r="H17285" t="s">
        <v>23956</v>
      </c>
    </row>
    <row r="17286" spans="6:8">
      <c r="H17286" t="s">
        <v>23957</v>
      </c>
    </row>
    <row r="17287" spans="6:8">
      <c r="H17287" t="s">
        <v>23958</v>
      </c>
    </row>
    <row r="17288" spans="6:8">
      <c r="F17288" t="s">
        <v>12466</v>
      </c>
      <c r="G17288" t="s">
        <v>16686</v>
      </c>
      <c r="H17288" t="s">
        <v>18829</v>
      </c>
    </row>
    <row r="17289" spans="6:8">
      <c r="H17289" t="s">
        <v>23959</v>
      </c>
    </row>
    <row r="17290" spans="6:8">
      <c r="H17290" t="s">
        <v>23960</v>
      </c>
    </row>
    <row r="17291" spans="6:8">
      <c r="H17291" t="s">
        <v>23961</v>
      </c>
    </row>
    <row r="17292" spans="6:8">
      <c r="H17292" t="s">
        <v>23962</v>
      </c>
    </row>
    <row r="17293" spans="6:8">
      <c r="H17293" t="s">
        <v>23963</v>
      </c>
    </row>
    <row r="17294" spans="6:8">
      <c r="H17294" t="s">
        <v>23964</v>
      </c>
    </row>
    <row r="17295" spans="6:8">
      <c r="H17295" t="s">
        <v>23965</v>
      </c>
    </row>
    <row r="17296" spans="6:8">
      <c r="H17296" t="s">
        <v>23966</v>
      </c>
    </row>
    <row r="17297" spans="6:8">
      <c r="H17297" t="s">
        <v>23967</v>
      </c>
    </row>
    <row r="17298" spans="6:8">
      <c r="F17298" t="s">
        <v>12467</v>
      </c>
      <c r="G17298" t="s">
        <v>16687</v>
      </c>
      <c r="H17298" t="s">
        <v>18829</v>
      </c>
    </row>
    <row r="17299" spans="6:8">
      <c r="H17299" t="s">
        <v>23968</v>
      </c>
    </row>
    <row r="17300" spans="6:8">
      <c r="H17300" t="s">
        <v>23969</v>
      </c>
    </row>
    <row r="17301" spans="6:8">
      <c r="H17301" t="s">
        <v>23970</v>
      </c>
    </row>
    <row r="17302" spans="6:8">
      <c r="H17302" t="s">
        <v>23971</v>
      </c>
    </row>
    <row r="17303" spans="6:8">
      <c r="H17303" t="s">
        <v>23972</v>
      </c>
    </row>
    <row r="17304" spans="6:8">
      <c r="H17304" t="s">
        <v>23973</v>
      </c>
    </row>
    <row r="17305" spans="6:8">
      <c r="H17305" t="s">
        <v>23974</v>
      </c>
    </row>
    <row r="17306" spans="6:8">
      <c r="H17306" t="s">
        <v>23975</v>
      </c>
    </row>
    <row r="17307" spans="6:8">
      <c r="H17307" t="s">
        <v>23976</v>
      </c>
    </row>
    <row r="17308" spans="6:8">
      <c r="F17308" t="s">
        <v>12468</v>
      </c>
      <c r="G17308" t="s">
        <v>16688</v>
      </c>
      <c r="H17308" t="s">
        <v>18829</v>
      </c>
    </row>
    <row r="17309" spans="6:8">
      <c r="H17309" t="s">
        <v>23977</v>
      </c>
    </row>
    <row r="17310" spans="6:8">
      <c r="H17310" t="s">
        <v>23978</v>
      </c>
    </row>
    <row r="17311" spans="6:8">
      <c r="H17311" t="s">
        <v>23979</v>
      </c>
    </row>
    <row r="17312" spans="6:8">
      <c r="H17312" t="s">
        <v>23980</v>
      </c>
    </row>
    <row r="17313" spans="6:8">
      <c r="H17313" t="s">
        <v>23981</v>
      </c>
    </row>
    <row r="17314" spans="6:8">
      <c r="H17314" t="s">
        <v>23982</v>
      </c>
    </row>
    <row r="17315" spans="6:8">
      <c r="H17315" t="s">
        <v>23983</v>
      </c>
    </row>
    <row r="17316" spans="6:8">
      <c r="H17316" t="s">
        <v>23984</v>
      </c>
    </row>
    <row r="17317" spans="6:8">
      <c r="H17317" t="s">
        <v>23985</v>
      </c>
    </row>
    <row r="17318" spans="6:8">
      <c r="F17318" t="s">
        <v>12469</v>
      </c>
      <c r="G17318" t="s">
        <v>16689</v>
      </c>
      <c r="H17318" t="s">
        <v>18829</v>
      </c>
    </row>
    <row r="17319" spans="6:8">
      <c r="H17319" t="s">
        <v>23986</v>
      </c>
    </row>
    <row r="17320" spans="6:8">
      <c r="H17320" t="s">
        <v>23987</v>
      </c>
    </row>
    <row r="17321" spans="6:8">
      <c r="H17321" t="s">
        <v>23988</v>
      </c>
    </row>
    <row r="17322" spans="6:8">
      <c r="H17322" t="s">
        <v>23989</v>
      </c>
    </row>
    <row r="17323" spans="6:8">
      <c r="H17323" t="s">
        <v>23990</v>
      </c>
    </row>
    <row r="17324" spans="6:8">
      <c r="H17324" t="s">
        <v>23991</v>
      </c>
    </row>
    <row r="17325" spans="6:8">
      <c r="H17325" t="s">
        <v>23992</v>
      </c>
    </row>
    <row r="17326" spans="6:8">
      <c r="H17326" t="s">
        <v>23993</v>
      </c>
    </row>
    <row r="17327" spans="6:8">
      <c r="H17327" t="s">
        <v>23994</v>
      </c>
    </row>
    <row r="17328" spans="6:8">
      <c r="F17328" t="s">
        <v>12470</v>
      </c>
      <c r="G17328" t="s">
        <v>16690</v>
      </c>
      <c r="H17328" t="s">
        <v>18829</v>
      </c>
    </row>
    <row r="17329" spans="6:8">
      <c r="H17329" t="s">
        <v>23995</v>
      </c>
    </row>
    <row r="17330" spans="6:8">
      <c r="H17330" t="s">
        <v>23996</v>
      </c>
    </row>
    <row r="17331" spans="6:8">
      <c r="H17331" t="s">
        <v>23997</v>
      </c>
    </row>
    <row r="17332" spans="6:8">
      <c r="H17332" t="s">
        <v>23998</v>
      </c>
    </row>
    <row r="17333" spans="6:8">
      <c r="H17333" t="s">
        <v>23999</v>
      </c>
    </row>
    <row r="17334" spans="6:8">
      <c r="H17334" t="s">
        <v>24000</v>
      </c>
    </row>
    <row r="17335" spans="6:8">
      <c r="H17335" t="s">
        <v>24001</v>
      </c>
    </row>
    <row r="17336" spans="6:8">
      <c r="H17336" t="s">
        <v>24002</v>
      </c>
    </row>
    <row r="17337" spans="6:8">
      <c r="H17337" t="s">
        <v>24003</v>
      </c>
    </row>
    <row r="17338" spans="6:8">
      <c r="F17338" t="s">
        <v>12471</v>
      </c>
      <c r="G17338" t="s">
        <v>16691</v>
      </c>
      <c r="H17338" t="s">
        <v>18829</v>
      </c>
    </row>
    <row r="17339" spans="6:8">
      <c r="H17339" t="s">
        <v>24004</v>
      </c>
    </row>
    <row r="17340" spans="6:8">
      <c r="H17340" t="s">
        <v>24005</v>
      </c>
    </row>
    <row r="17341" spans="6:8">
      <c r="H17341" t="s">
        <v>24006</v>
      </c>
    </row>
    <row r="17342" spans="6:8">
      <c r="H17342" t="s">
        <v>24007</v>
      </c>
    </row>
    <row r="17343" spans="6:8">
      <c r="H17343" t="s">
        <v>24008</v>
      </c>
    </row>
    <row r="17344" spans="6:8">
      <c r="H17344" t="s">
        <v>24009</v>
      </c>
    </row>
    <row r="17345" spans="6:8">
      <c r="H17345" t="s">
        <v>24010</v>
      </c>
    </row>
    <row r="17346" spans="6:8">
      <c r="H17346" t="s">
        <v>24011</v>
      </c>
    </row>
    <row r="17347" spans="6:8">
      <c r="H17347" t="s">
        <v>24012</v>
      </c>
    </row>
    <row r="17348" spans="6:8">
      <c r="F17348" t="s">
        <v>12472</v>
      </c>
      <c r="G17348" t="s">
        <v>16692</v>
      </c>
      <c r="H17348" t="s">
        <v>18829</v>
      </c>
    </row>
    <row r="17349" spans="6:8">
      <c r="H17349" t="s">
        <v>24013</v>
      </c>
    </row>
    <row r="17350" spans="6:8">
      <c r="H17350" t="s">
        <v>24014</v>
      </c>
    </row>
    <row r="17351" spans="6:8">
      <c r="H17351" t="s">
        <v>24015</v>
      </c>
    </row>
    <row r="17352" spans="6:8">
      <c r="H17352" t="s">
        <v>24016</v>
      </c>
    </row>
    <row r="17353" spans="6:8">
      <c r="H17353" t="s">
        <v>24017</v>
      </c>
    </row>
    <row r="17354" spans="6:8">
      <c r="H17354" t="s">
        <v>24018</v>
      </c>
    </row>
    <row r="17355" spans="6:8">
      <c r="H17355" t="s">
        <v>24019</v>
      </c>
    </row>
    <row r="17356" spans="6:8">
      <c r="H17356" t="s">
        <v>24020</v>
      </c>
    </row>
    <row r="17357" spans="6:8">
      <c r="H17357" t="s">
        <v>24021</v>
      </c>
    </row>
    <row r="17358" spans="6:8">
      <c r="H17358" t="s">
        <v>24022</v>
      </c>
    </row>
    <row r="17359" spans="6:8">
      <c r="H17359" t="s">
        <v>24023</v>
      </c>
    </row>
    <row r="17360" spans="6:8">
      <c r="H17360" t="s">
        <v>24024</v>
      </c>
    </row>
    <row r="17361" spans="6:8">
      <c r="H17361" t="s">
        <v>24025</v>
      </c>
    </row>
    <row r="17362" spans="6:8">
      <c r="H17362" t="s">
        <v>24026</v>
      </c>
    </row>
    <row r="17363" spans="6:8">
      <c r="H17363" t="s">
        <v>24027</v>
      </c>
    </row>
    <row r="17364" spans="6:8">
      <c r="F17364" t="s">
        <v>12473</v>
      </c>
      <c r="G17364" t="s">
        <v>16693</v>
      </c>
      <c r="H17364" t="s">
        <v>18829</v>
      </c>
    </row>
    <row r="17365" spans="6:8">
      <c r="H17365" t="s">
        <v>24028</v>
      </c>
    </row>
    <row r="17366" spans="6:8">
      <c r="H17366" t="s">
        <v>24029</v>
      </c>
    </row>
    <row r="17367" spans="6:8">
      <c r="H17367" t="s">
        <v>24030</v>
      </c>
    </row>
    <row r="17368" spans="6:8">
      <c r="H17368" t="s">
        <v>24031</v>
      </c>
    </row>
    <row r="17369" spans="6:8">
      <c r="H17369" t="s">
        <v>24032</v>
      </c>
    </row>
    <row r="17370" spans="6:8">
      <c r="H17370" t="s">
        <v>24033</v>
      </c>
    </row>
    <row r="17371" spans="6:8">
      <c r="H17371" t="s">
        <v>24034</v>
      </c>
    </row>
    <row r="17372" spans="6:8">
      <c r="H17372" t="s">
        <v>24035</v>
      </c>
    </row>
    <row r="17373" spans="6:8">
      <c r="H17373" t="s">
        <v>24036</v>
      </c>
    </row>
    <row r="17374" spans="6:8">
      <c r="H17374" t="s">
        <v>24037</v>
      </c>
    </row>
    <row r="17375" spans="6:8">
      <c r="H17375" t="s">
        <v>24038</v>
      </c>
    </row>
    <row r="17376" spans="6:8">
      <c r="H17376" t="s">
        <v>24039</v>
      </c>
    </row>
    <row r="17377" spans="6:8">
      <c r="H17377" t="s">
        <v>24040</v>
      </c>
    </row>
    <row r="17378" spans="6:8">
      <c r="H17378" t="s">
        <v>24041</v>
      </c>
    </row>
    <row r="17379" spans="6:8">
      <c r="H17379" t="s">
        <v>24042</v>
      </c>
    </row>
    <row r="17380" spans="6:8">
      <c r="F17380" t="s">
        <v>12474</v>
      </c>
      <c r="G17380" t="s">
        <v>16694</v>
      </c>
      <c r="H17380" t="s">
        <v>18829</v>
      </c>
    </row>
    <row r="17381" spans="6:8">
      <c r="H17381" t="s">
        <v>24043</v>
      </c>
    </row>
    <row r="17382" spans="6:8">
      <c r="H17382" t="s">
        <v>24044</v>
      </c>
    </row>
    <row r="17383" spans="6:8">
      <c r="H17383" t="s">
        <v>24045</v>
      </c>
    </row>
    <row r="17384" spans="6:8">
      <c r="H17384" t="s">
        <v>24046</v>
      </c>
    </row>
    <row r="17385" spans="6:8">
      <c r="H17385" t="s">
        <v>24047</v>
      </c>
    </row>
    <row r="17386" spans="6:8">
      <c r="H17386" t="s">
        <v>24048</v>
      </c>
    </row>
    <row r="17387" spans="6:8">
      <c r="H17387" t="s">
        <v>24049</v>
      </c>
    </row>
    <row r="17388" spans="6:8">
      <c r="H17388" t="s">
        <v>24050</v>
      </c>
    </row>
    <row r="17389" spans="6:8">
      <c r="H17389" t="s">
        <v>24051</v>
      </c>
    </row>
    <row r="17390" spans="6:8">
      <c r="F17390" t="s">
        <v>12475</v>
      </c>
      <c r="G17390" t="s">
        <v>16695</v>
      </c>
      <c r="H17390" t="s">
        <v>18829</v>
      </c>
    </row>
    <row r="17391" spans="6:8">
      <c r="H17391" t="s">
        <v>24052</v>
      </c>
    </row>
    <row r="17392" spans="6:8">
      <c r="H17392" t="s">
        <v>24053</v>
      </c>
    </row>
    <row r="17393" spans="6:8">
      <c r="H17393" t="s">
        <v>24054</v>
      </c>
    </row>
    <row r="17394" spans="6:8">
      <c r="H17394" t="s">
        <v>24055</v>
      </c>
    </row>
    <row r="17395" spans="6:8">
      <c r="H17395" t="s">
        <v>24056</v>
      </c>
    </row>
    <row r="17396" spans="6:8">
      <c r="H17396" t="s">
        <v>24057</v>
      </c>
    </row>
    <row r="17397" spans="6:8">
      <c r="H17397" t="s">
        <v>24058</v>
      </c>
    </row>
    <row r="17398" spans="6:8">
      <c r="H17398" t="s">
        <v>24059</v>
      </c>
    </row>
    <row r="17399" spans="6:8">
      <c r="H17399" t="s">
        <v>24060</v>
      </c>
    </row>
    <row r="17400" spans="6:8">
      <c r="H17400" t="s">
        <v>24061</v>
      </c>
    </row>
    <row r="17401" spans="6:8">
      <c r="H17401" t="s">
        <v>24062</v>
      </c>
    </row>
    <row r="17402" spans="6:8">
      <c r="H17402" t="s">
        <v>24063</v>
      </c>
    </row>
    <row r="17403" spans="6:8">
      <c r="H17403" t="s">
        <v>24064</v>
      </c>
    </row>
    <row r="17404" spans="6:8">
      <c r="H17404" t="s">
        <v>24065</v>
      </c>
    </row>
    <row r="17405" spans="6:8">
      <c r="H17405" t="s">
        <v>24066</v>
      </c>
    </row>
    <row r="17406" spans="6:8">
      <c r="H17406" t="s">
        <v>24067</v>
      </c>
    </row>
    <row r="17407" spans="6:8">
      <c r="H17407" t="s">
        <v>24068</v>
      </c>
    </row>
    <row r="17408" spans="6:8">
      <c r="F17408" t="s">
        <v>12476</v>
      </c>
      <c r="G17408" t="s">
        <v>16696</v>
      </c>
      <c r="H17408" t="s">
        <v>18829</v>
      </c>
    </row>
    <row r="17409" spans="6:8">
      <c r="H17409" t="s">
        <v>24069</v>
      </c>
    </row>
    <row r="17410" spans="6:8">
      <c r="H17410" t="s">
        <v>24070</v>
      </c>
    </row>
    <row r="17411" spans="6:8">
      <c r="H17411" t="s">
        <v>24071</v>
      </c>
    </row>
    <row r="17412" spans="6:8">
      <c r="H17412" t="s">
        <v>24072</v>
      </c>
    </row>
    <row r="17413" spans="6:8">
      <c r="H17413" t="s">
        <v>24073</v>
      </c>
    </row>
    <row r="17414" spans="6:8">
      <c r="H17414" t="s">
        <v>24074</v>
      </c>
    </row>
    <row r="17415" spans="6:8">
      <c r="H17415" t="s">
        <v>24075</v>
      </c>
    </row>
    <row r="17416" spans="6:8">
      <c r="H17416" t="s">
        <v>24076</v>
      </c>
    </row>
    <row r="17417" spans="6:8">
      <c r="H17417" t="s">
        <v>24077</v>
      </c>
    </row>
    <row r="17418" spans="6:8">
      <c r="F17418" t="s">
        <v>12477</v>
      </c>
      <c r="G17418" t="s">
        <v>16697</v>
      </c>
      <c r="H17418" t="s">
        <v>18829</v>
      </c>
    </row>
    <row r="17419" spans="6:8">
      <c r="H17419" t="s">
        <v>24078</v>
      </c>
    </row>
    <row r="17420" spans="6:8">
      <c r="H17420" t="s">
        <v>24079</v>
      </c>
    </row>
    <row r="17421" spans="6:8">
      <c r="H17421" t="s">
        <v>24080</v>
      </c>
    </row>
    <row r="17422" spans="6:8">
      <c r="H17422" t="s">
        <v>24081</v>
      </c>
    </row>
    <row r="17423" spans="6:8">
      <c r="H17423" t="s">
        <v>24082</v>
      </c>
    </row>
    <row r="17424" spans="6:8">
      <c r="H17424" t="s">
        <v>24083</v>
      </c>
    </row>
    <row r="17425" spans="6:8">
      <c r="H17425" t="s">
        <v>24084</v>
      </c>
    </row>
    <row r="17426" spans="6:8">
      <c r="H17426" t="s">
        <v>24085</v>
      </c>
    </row>
    <row r="17427" spans="6:8">
      <c r="H17427" t="s">
        <v>24086</v>
      </c>
    </row>
    <row r="17428" spans="6:8">
      <c r="F17428" t="s">
        <v>12478</v>
      </c>
      <c r="G17428" t="s">
        <v>16698</v>
      </c>
      <c r="H17428" t="s">
        <v>18829</v>
      </c>
    </row>
    <row r="17429" spans="6:8">
      <c r="H17429" t="s">
        <v>24087</v>
      </c>
    </row>
    <row r="17430" spans="6:8">
      <c r="H17430" t="s">
        <v>24088</v>
      </c>
    </row>
    <row r="17431" spans="6:8">
      <c r="H17431" t="s">
        <v>24089</v>
      </c>
    </row>
    <row r="17432" spans="6:8">
      <c r="H17432" t="s">
        <v>24090</v>
      </c>
    </row>
    <row r="17433" spans="6:8">
      <c r="H17433" t="s">
        <v>24091</v>
      </c>
    </row>
    <row r="17434" spans="6:8">
      <c r="H17434" t="s">
        <v>24092</v>
      </c>
    </row>
    <row r="17435" spans="6:8">
      <c r="H17435" t="s">
        <v>24093</v>
      </c>
    </row>
    <row r="17436" spans="6:8">
      <c r="H17436" t="s">
        <v>24094</v>
      </c>
    </row>
    <row r="17437" spans="6:8">
      <c r="H17437" t="s">
        <v>24095</v>
      </c>
    </row>
    <row r="17438" spans="6:8">
      <c r="F17438" t="s">
        <v>12479</v>
      </c>
      <c r="G17438" t="s">
        <v>16699</v>
      </c>
      <c r="H17438" t="s">
        <v>18829</v>
      </c>
    </row>
    <row r="17439" spans="6:8">
      <c r="H17439" t="s">
        <v>24096</v>
      </c>
    </row>
    <row r="17440" spans="6:8">
      <c r="H17440" t="s">
        <v>24097</v>
      </c>
    </row>
    <row r="17441" spans="6:8">
      <c r="H17441" t="s">
        <v>24098</v>
      </c>
    </row>
    <row r="17442" spans="6:8">
      <c r="H17442" t="s">
        <v>24099</v>
      </c>
    </row>
    <row r="17443" spans="6:8">
      <c r="H17443" t="s">
        <v>24100</v>
      </c>
    </row>
    <row r="17444" spans="6:8">
      <c r="H17444" t="s">
        <v>24101</v>
      </c>
    </row>
    <row r="17445" spans="6:8">
      <c r="H17445" t="s">
        <v>24102</v>
      </c>
    </row>
    <row r="17446" spans="6:8">
      <c r="H17446" t="s">
        <v>24103</v>
      </c>
    </row>
    <row r="17447" spans="6:8">
      <c r="H17447" t="s">
        <v>24104</v>
      </c>
    </row>
    <row r="17448" spans="6:8">
      <c r="F17448" t="s">
        <v>12480</v>
      </c>
      <c r="G17448" t="s">
        <v>16700</v>
      </c>
      <c r="H17448" t="s">
        <v>18829</v>
      </c>
    </row>
    <row r="17449" spans="6:8">
      <c r="H17449" t="s">
        <v>24105</v>
      </c>
    </row>
    <row r="17450" spans="6:8">
      <c r="H17450" t="s">
        <v>24106</v>
      </c>
    </row>
    <row r="17451" spans="6:8">
      <c r="H17451" t="s">
        <v>24107</v>
      </c>
    </row>
    <row r="17452" spans="6:8">
      <c r="H17452" t="s">
        <v>24108</v>
      </c>
    </row>
    <row r="17453" spans="6:8">
      <c r="H17453" t="s">
        <v>24109</v>
      </c>
    </row>
    <row r="17454" spans="6:8">
      <c r="H17454" t="s">
        <v>24110</v>
      </c>
    </row>
    <row r="17455" spans="6:8">
      <c r="H17455" t="s">
        <v>24111</v>
      </c>
    </row>
    <row r="17456" spans="6:8">
      <c r="H17456" t="s">
        <v>24112</v>
      </c>
    </row>
    <row r="17457" spans="6:8">
      <c r="H17457" t="s">
        <v>24113</v>
      </c>
    </row>
    <row r="17458" spans="6:8">
      <c r="F17458" t="s">
        <v>12481</v>
      </c>
      <c r="G17458" t="s">
        <v>16537</v>
      </c>
      <c r="H17458" t="s">
        <v>18829</v>
      </c>
    </row>
    <row r="17459" spans="6:8">
      <c r="H17459" t="s">
        <v>24114</v>
      </c>
    </row>
    <row r="17460" spans="6:8">
      <c r="H17460" t="s">
        <v>21972</v>
      </c>
    </row>
    <row r="17461" spans="6:8">
      <c r="H17461" t="s">
        <v>24115</v>
      </c>
    </row>
    <row r="17462" spans="6:8">
      <c r="H17462" t="s">
        <v>21973</v>
      </c>
    </row>
    <row r="17463" spans="6:8">
      <c r="H17463" t="s">
        <v>24116</v>
      </c>
    </row>
    <row r="17464" spans="6:8">
      <c r="H17464" t="s">
        <v>21974</v>
      </c>
    </row>
    <row r="17465" spans="6:8">
      <c r="H17465" t="s">
        <v>24117</v>
      </c>
    </row>
    <row r="17466" spans="6:8">
      <c r="H17466" t="s">
        <v>21975</v>
      </c>
    </row>
    <row r="17467" spans="6:8">
      <c r="H17467" t="s">
        <v>24118</v>
      </c>
    </row>
    <row r="17468" spans="6:8">
      <c r="F17468" t="s">
        <v>12482</v>
      </c>
      <c r="G17468" t="s">
        <v>16701</v>
      </c>
      <c r="H17468" t="s">
        <v>18829</v>
      </c>
    </row>
    <row r="17469" spans="6:8">
      <c r="H17469" t="s">
        <v>24119</v>
      </c>
    </row>
    <row r="17470" spans="6:8">
      <c r="H17470" t="s">
        <v>24120</v>
      </c>
    </row>
    <row r="17471" spans="6:8">
      <c r="H17471" t="s">
        <v>24121</v>
      </c>
    </row>
    <row r="17472" spans="6:8">
      <c r="H17472" t="s">
        <v>24122</v>
      </c>
    </row>
    <row r="17473" spans="6:8">
      <c r="H17473" t="s">
        <v>24123</v>
      </c>
    </row>
    <row r="17474" spans="6:8">
      <c r="H17474" t="s">
        <v>24124</v>
      </c>
    </row>
    <row r="17475" spans="6:8">
      <c r="H17475" t="s">
        <v>24125</v>
      </c>
    </row>
    <row r="17476" spans="6:8">
      <c r="H17476" t="s">
        <v>24126</v>
      </c>
    </row>
    <row r="17477" spans="6:8">
      <c r="H17477" t="s">
        <v>24127</v>
      </c>
    </row>
    <row r="17478" spans="6:8">
      <c r="H17478" t="s">
        <v>24128</v>
      </c>
    </row>
    <row r="17479" spans="6:8">
      <c r="H17479" t="s">
        <v>24129</v>
      </c>
    </row>
    <row r="17480" spans="6:8">
      <c r="H17480" t="s">
        <v>24130</v>
      </c>
    </row>
    <row r="17481" spans="6:8">
      <c r="H17481" t="s">
        <v>24131</v>
      </c>
    </row>
    <row r="17482" spans="6:8">
      <c r="H17482" t="s">
        <v>24132</v>
      </c>
    </row>
    <row r="17483" spans="6:8">
      <c r="H17483" t="s">
        <v>24133</v>
      </c>
    </row>
    <row r="17484" spans="6:8">
      <c r="F17484" t="s">
        <v>12483</v>
      </c>
      <c r="G17484" t="s">
        <v>16702</v>
      </c>
      <c r="H17484" t="s">
        <v>18829</v>
      </c>
    </row>
    <row r="17485" spans="6:8">
      <c r="H17485" t="s">
        <v>24134</v>
      </c>
    </row>
    <row r="17486" spans="6:8">
      <c r="H17486" t="s">
        <v>24135</v>
      </c>
    </row>
    <row r="17487" spans="6:8">
      <c r="H17487" t="s">
        <v>24136</v>
      </c>
    </row>
    <row r="17488" spans="6:8">
      <c r="H17488" t="s">
        <v>24137</v>
      </c>
    </row>
    <row r="17489" spans="6:8">
      <c r="H17489" t="s">
        <v>24138</v>
      </c>
    </row>
    <row r="17490" spans="6:8">
      <c r="H17490" t="s">
        <v>24139</v>
      </c>
    </row>
    <row r="17491" spans="6:8">
      <c r="H17491" t="s">
        <v>24140</v>
      </c>
    </row>
    <row r="17492" spans="6:8">
      <c r="H17492" t="s">
        <v>24141</v>
      </c>
    </row>
    <row r="17493" spans="6:8">
      <c r="H17493" t="s">
        <v>24142</v>
      </c>
    </row>
    <row r="17494" spans="6:8">
      <c r="F17494" t="s">
        <v>12484</v>
      </c>
      <c r="G17494" t="s">
        <v>16703</v>
      </c>
      <c r="H17494" t="s">
        <v>18829</v>
      </c>
    </row>
    <row r="17495" spans="6:8">
      <c r="H17495" t="s">
        <v>24143</v>
      </c>
    </row>
    <row r="17496" spans="6:8">
      <c r="H17496" t="s">
        <v>24144</v>
      </c>
    </row>
    <row r="17497" spans="6:8">
      <c r="H17497" t="s">
        <v>24145</v>
      </c>
    </row>
    <row r="17498" spans="6:8">
      <c r="H17498" t="s">
        <v>24146</v>
      </c>
    </row>
    <row r="17499" spans="6:8">
      <c r="H17499" t="s">
        <v>24147</v>
      </c>
    </row>
    <row r="17500" spans="6:8">
      <c r="H17500" t="s">
        <v>24148</v>
      </c>
    </row>
    <row r="17501" spans="6:8">
      <c r="H17501" t="s">
        <v>24149</v>
      </c>
    </row>
    <row r="17502" spans="6:8">
      <c r="H17502" t="s">
        <v>24150</v>
      </c>
    </row>
    <row r="17503" spans="6:8">
      <c r="H17503" t="s">
        <v>24151</v>
      </c>
    </row>
    <row r="17504" spans="6:8">
      <c r="H17504" t="s">
        <v>24152</v>
      </c>
    </row>
    <row r="17505" spans="6:8">
      <c r="H17505" t="s">
        <v>24153</v>
      </c>
    </row>
    <row r="17506" spans="6:8">
      <c r="H17506" t="s">
        <v>24154</v>
      </c>
    </row>
    <row r="17507" spans="6:8">
      <c r="H17507" t="s">
        <v>24155</v>
      </c>
    </row>
    <row r="17508" spans="6:8">
      <c r="H17508" t="s">
        <v>24156</v>
      </c>
    </row>
    <row r="17509" spans="6:8">
      <c r="H17509" t="s">
        <v>24157</v>
      </c>
    </row>
    <row r="17510" spans="6:8">
      <c r="H17510" t="s">
        <v>24158</v>
      </c>
    </row>
    <row r="17511" spans="6:8">
      <c r="H17511" t="s">
        <v>24159</v>
      </c>
    </row>
    <row r="17512" spans="6:8">
      <c r="F17512" t="s">
        <v>12485</v>
      </c>
      <c r="G17512" t="s">
        <v>16704</v>
      </c>
      <c r="H17512" t="s">
        <v>18829</v>
      </c>
    </row>
    <row r="17513" spans="6:8">
      <c r="H17513" t="s">
        <v>24160</v>
      </c>
    </row>
    <row r="17514" spans="6:8">
      <c r="H17514" t="s">
        <v>24161</v>
      </c>
    </row>
    <row r="17515" spans="6:8">
      <c r="H17515" t="s">
        <v>24162</v>
      </c>
    </row>
    <row r="17516" spans="6:8">
      <c r="H17516" t="s">
        <v>24163</v>
      </c>
    </row>
    <row r="17517" spans="6:8">
      <c r="H17517" t="s">
        <v>24164</v>
      </c>
    </row>
    <row r="17518" spans="6:8">
      <c r="H17518" t="s">
        <v>24165</v>
      </c>
    </row>
    <row r="17519" spans="6:8">
      <c r="H17519" t="s">
        <v>24166</v>
      </c>
    </row>
    <row r="17520" spans="6:8">
      <c r="H17520" t="s">
        <v>24167</v>
      </c>
    </row>
    <row r="17521" spans="6:8">
      <c r="H17521" t="s">
        <v>24168</v>
      </c>
    </row>
    <row r="17522" spans="6:8">
      <c r="F17522" t="s">
        <v>12486</v>
      </c>
      <c r="G17522" t="s">
        <v>16705</v>
      </c>
      <c r="H17522" t="s">
        <v>18829</v>
      </c>
    </row>
    <row r="17523" spans="6:8">
      <c r="H17523" t="s">
        <v>24169</v>
      </c>
    </row>
    <row r="17524" spans="6:8">
      <c r="H17524" t="s">
        <v>24170</v>
      </c>
    </row>
    <row r="17525" spans="6:8">
      <c r="H17525" t="s">
        <v>24171</v>
      </c>
    </row>
    <row r="17526" spans="6:8">
      <c r="H17526" t="s">
        <v>24172</v>
      </c>
    </row>
    <row r="17527" spans="6:8">
      <c r="H17527" t="s">
        <v>24173</v>
      </c>
    </row>
    <row r="17528" spans="6:8">
      <c r="H17528" t="s">
        <v>24174</v>
      </c>
    </row>
    <row r="17529" spans="6:8">
      <c r="H17529" t="s">
        <v>24175</v>
      </c>
    </row>
    <row r="17530" spans="6:8">
      <c r="H17530" t="s">
        <v>24176</v>
      </c>
    </row>
    <row r="17531" spans="6:8">
      <c r="H17531" t="s">
        <v>24177</v>
      </c>
    </row>
    <row r="17532" spans="6:8">
      <c r="F17532" t="s">
        <v>12487</v>
      </c>
      <c r="G17532" t="s">
        <v>16706</v>
      </c>
      <c r="H17532" t="s">
        <v>18829</v>
      </c>
    </row>
    <row r="17533" spans="6:8">
      <c r="H17533" t="s">
        <v>24178</v>
      </c>
    </row>
    <row r="17534" spans="6:8">
      <c r="H17534" t="s">
        <v>24179</v>
      </c>
    </row>
    <row r="17535" spans="6:8">
      <c r="H17535" t="s">
        <v>24180</v>
      </c>
    </row>
    <row r="17536" spans="6:8">
      <c r="H17536" t="s">
        <v>24181</v>
      </c>
    </row>
    <row r="17537" spans="6:8">
      <c r="H17537" t="s">
        <v>24182</v>
      </c>
    </row>
    <row r="17538" spans="6:8">
      <c r="H17538" t="s">
        <v>24183</v>
      </c>
    </row>
    <row r="17539" spans="6:8">
      <c r="H17539" t="s">
        <v>24184</v>
      </c>
    </row>
    <row r="17540" spans="6:8">
      <c r="H17540" t="s">
        <v>24185</v>
      </c>
    </row>
    <row r="17541" spans="6:8">
      <c r="H17541" t="s">
        <v>24186</v>
      </c>
    </row>
    <row r="17542" spans="6:8">
      <c r="F17542" t="s">
        <v>12488</v>
      </c>
      <c r="G17542" t="s">
        <v>16707</v>
      </c>
      <c r="H17542" t="s">
        <v>18829</v>
      </c>
    </row>
    <row r="17543" spans="6:8">
      <c r="H17543" t="s">
        <v>24187</v>
      </c>
    </row>
    <row r="17544" spans="6:8">
      <c r="H17544" t="s">
        <v>24188</v>
      </c>
    </row>
    <row r="17545" spans="6:8">
      <c r="H17545" t="s">
        <v>24189</v>
      </c>
    </row>
    <row r="17546" spans="6:8">
      <c r="H17546" t="s">
        <v>24190</v>
      </c>
    </row>
    <row r="17547" spans="6:8">
      <c r="H17547" t="s">
        <v>24191</v>
      </c>
    </row>
    <row r="17548" spans="6:8">
      <c r="H17548" t="s">
        <v>24192</v>
      </c>
    </row>
    <row r="17549" spans="6:8">
      <c r="H17549" t="s">
        <v>24193</v>
      </c>
    </row>
    <row r="17550" spans="6:8">
      <c r="H17550" t="s">
        <v>24194</v>
      </c>
    </row>
    <row r="17551" spans="6:8">
      <c r="H17551" t="s">
        <v>24195</v>
      </c>
    </row>
    <row r="17552" spans="6:8">
      <c r="F17552" t="s">
        <v>12489</v>
      </c>
      <c r="G17552" t="s">
        <v>16538</v>
      </c>
      <c r="H17552" t="s">
        <v>18829</v>
      </c>
    </row>
    <row r="17553" spans="6:8">
      <c r="H17553" t="s">
        <v>24196</v>
      </c>
    </row>
    <row r="17554" spans="6:8">
      <c r="H17554" t="s">
        <v>21976</v>
      </c>
    </row>
    <row r="17555" spans="6:8">
      <c r="H17555" t="s">
        <v>24197</v>
      </c>
    </row>
    <row r="17556" spans="6:8">
      <c r="H17556" t="s">
        <v>21977</v>
      </c>
    </row>
    <row r="17557" spans="6:8">
      <c r="H17557" t="s">
        <v>24198</v>
      </c>
    </row>
    <row r="17558" spans="6:8">
      <c r="H17558" t="s">
        <v>21978</v>
      </c>
    </row>
    <row r="17559" spans="6:8">
      <c r="H17559" t="s">
        <v>24199</v>
      </c>
    </row>
    <row r="17560" spans="6:8">
      <c r="H17560" t="s">
        <v>21979</v>
      </c>
    </row>
    <row r="17561" spans="6:8">
      <c r="H17561" t="s">
        <v>24200</v>
      </c>
    </row>
    <row r="17562" spans="6:8">
      <c r="F17562" t="s">
        <v>12490</v>
      </c>
      <c r="G17562" t="s">
        <v>16708</v>
      </c>
      <c r="H17562" t="s">
        <v>18829</v>
      </c>
    </row>
    <row r="17563" spans="6:8">
      <c r="H17563" t="s">
        <v>24201</v>
      </c>
    </row>
    <row r="17564" spans="6:8">
      <c r="H17564" t="s">
        <v>24202</v>
      </c>
    </row>
    <row r="17565" spans="6:8">
      <c r="H17565" t="s">
        <v>24203</v>
      </c>
    </row>
    <row r="17566" spans="6:8">
      <c r="H17566" t="s">
        <v>24204</v>
      </c>
    </row>
    <row r="17567" spans="6:8">
      <c r="H17567" t="s">
        <v>24205</v>
      </c>
    </row>
    <row r="17568" spans="6:8">
      <c r="H17568" t="s">
        <v>24206</v>
      </c>
    </row>
    <row r="17569" spans="6:8">
      <c r="H17569" t="s">
        <v>24207</v>
      </c>
    </row>
    <row r="17570" spans="6:8">
      <c r="H17570" t="s">
        <v>24208</v>
      </c>
    </row>
    <row r="17571" spans="6:8">
      <c r="H17571" t="s">
        <v>24209</v>
      </c>
    </row>
    <row r="17572" spans="6:8">
      <c r="F17572" t="s">
        <v>12491</v>
      </c>
      <c r="G17572" t="s">
        <v>16709</v>
      </c>
      <c r="H17572" t="s">
        <v>18829</v>
      </c>
    </row>
    <row r="17573" spans="6:8">
      <c r="H17573" t="s">
        <v>24210</v>
      </c>
    </row>
    <row r="17574" spans="6:8">
      <c r="H17574" t="s">
        <v>24211</v>
      </c>
    </row>
    <row r="17575" spans="6:8">
      <c r="H17575" t="s">
        <v>24212</v>
      </c>
    </row>
    <row r="17576" spans="6:8">
      <c r="H17576" t="s">
        <v>24213</v>
      </c>
    </row>
    <row r="17577" spans="6:8">
      <c r="H17577" t="s">
        <v>24214</v>
      </c>
    </row>
    <row r="17578" spans="6:8">
      <c r="H17578" t="s">
        <v>24215</v>
      </c>
    </row>
    <row r="17579" spans="6:8">
      <c r="H17579" t="s">
        <v>24216</v>
      </c>
    </row>
    <row r="17580" spans="6:8">
      <c r="H17580" t="s">
        <v>24217</v>
      </c>
    </row>
    <row r="17581" spans="6:8">
      <c r="H17581" t="s">
        <v>24218</v>
      </c>
    </row>
    <row r="17582" spans="6:8">
      <c r="H17582" t="s">
        <v>24219</v>
      </c>
    </row>
    <row r="17583" spans="6:8">
      <c r="H17583" t="s">
        <v>24220</v>
      </c>
    </row>
    <row r="17584" spans="6:8">
      <c r="H17584" t="s">
        <v>24221</v>
      </c>
    </row>
    <row r="17585" spans="8:8">
      <c r="H17585" t="s">
        <v>24222</v>
      </c>
    </row>
    <row r="17586" spans="8:8">
      <c r="H17586" t="s">
        <v>24223</v>
      </c>
    </row>
    <row r="17587" spans="8:8">
      <c r="H17587" t="s">
        <v>24224</v>
      </c>
    </row>
    <row r="17588" spans="8:8">
      <c r="H17588" t="s">
        <v>24225</v>
      </c>
    </row>
    <row r="17589" spans="8:8">
      <c r="H17589" t="s">
        <v>24226</v>
      </c>
    </row>
    <row r="17590" spans="8:8">
      <c r="H17590" t="s">
        <v>24227</v>
      </c>
    </row>
    <row r="17591" spans="8:8">
      <c r="H17591" t="s">
        <v>24228</v>
      </c>
    </row>
    <row r="17592" spans="8:8">
      <c r="H17592" t="s">
        <v>24229</v>
      </c>
    </row>
    <row r="17593" spans="8:8">
      <c r="H17593" t="s">
        <v>24230</v>
      </c>
    </row>
    <row r="17594" spans="8:8">
      <c r="H17594" t="s">
        <v>24231</v>
      </c>
    </row>
    <row r="17595" spans="8:8">
      <c r="H17595" t="s">
        <v>24232</v>
      </c>
    </row>
    <row r="17596" spans="8:8">
      <c r="H17596" t="s">
        <v>24233</v>
      </c>
    </row>
    <row r="17597" spans="8:8">
      <c r="H17597" t="s">
        <v>24234</v>
      </c>
    </row>
    <row r="17598" spans="8:8">
      <c r="H17598" t="s">
        <v>24235</v>
      </c>
    </row>
    <row r="17599" spans="8:8">
      <c r="H17599" t="s">
        <v>24236</v>
      </c>
    </row>
    <row r="17600" spans="8:8">
      <c r="H17600" t="s">
        <v>24237</v>
      </c>
    </row>
    <row r="17601" spans="8:8">
      <c r="H17601" t="s">
        <v>24238</v>
      </c>
    </row>
    <row r="17602" spans="8:8">
      <c r="H17602" t="s">
        <v>24239</v>
      </c>
    </row>
    <row r="17603" spans="8:8">
      <c r="H17603" t="s">
        <v>24240</v>
      </c>
    </row>
    <row r="17604" spans="8:8">
      <c r="H17604" t="s">
        <v>24241</v>
      </c>
    </row>
    <row r="17605" spans="8:8">
      <c r="H17605" t="s">
        <v>24242</v>
      </c>
    </row>
    <row r="17606" spans="8:8">
      <c r="H17606" t="s">
        <v>24243</v>
      </c>
    </row>
    <row r="17607" spans="8:8">
      <c r="H17607" t="s">
        <v>24244</v>
      </c>
    </row>
    <row r="17608" spans="8:8">
      <c r="H17608" t="s">
        <v>24245</v>
      </c>
    </row>
    <row r="17609" spans="8:8">
      <c r="H17609" t="s">
        <v>24246</v>
      </c>
    </row>
    <row r="17610" spans="8:8">
      <c r="H17610" t="s">
        <v>24247</v>
      </c>
    </row>
    <row r="17611" spans="8:8">
      <c r="H17611" t="s">
        <v>24248</v>
      </c>
    </row>
    <row r="17612" spans="8:8">
      <c r="H17612" t="s">
        <v>24249</v>
      </c>
    </row>
    <row r="17613" spans="8:8">
      <c r="H17613" t="s">
        <v>24250</v>
      </c>
    </row>
    <row r="17614" spans="8:8">
      <c r="H17614" t="s">
        <v>24251</v>
      </c>
    </row>
    <row r="17615" spans="8:8">
      <c r="H17615" t="s">
        <v>24252</v>
      </c>
    </row>
    <row r="17616" spans="8:8">
      <c r="H17616" t="s">
        <v>24253</v>
      </c>
    </row>
    <row r="17617" spans="8:8">
      <c r="H17617" t="s">
        <v>24254</v>
      </c>
    </row>
    <row r="17618" spans="8:8">
      <c r="H17618" t="s">
        <v>24255</v>
      </c>
    </row>
    <row r="17619" spans="8:8">
      <c r="H17619" t="s">
        <v>24256</v>
      </c>
    </row>
    <row r="17620" spans="8:8">
      <c r="H17620" t="s">
        <v>24257</v>
      </c>
    </row>
    <row r="17621" spans="8:8">
      <c r="H17621" t="s">
        <v>24258</v>
      </c>
    </row>
    <row r="17622" spans="8:8">
      <c r="H17622" t="s">
        <v>24259</v>
      </c>
    </row>
    <row r="17623" spans="8:8">
      <c r="H17623" t="s">
        <v>24260</v>
      </c>
    </row>
    <row r="17624" spans="8:8">
      <c r="H17624" t="s">
        <v>24261</v>
      </c>
    </row>
    <row r="17625" spans="8:8">
      <c r="H17625" t="s">
        <v>24262</v>
      </c>
    </row>
    <row r="17626" spans="8:8">
      <c r="H17626" t="s">
        <v>24263</v>
      </c>
    </row>
    <row r="17627" spans="8:8">
      <c r="H17627" t="s">
        <v>24264</v>
      </c>
    </row>
    <row r="17628" spans="8:8">
      <c r="H17628" t="s">
        <v>24265</v>
      </c>
    </row>
    <row r="17629" spans="8:8">
      <c r="H17629" t="s">
        <v>24266</v>
      </c>
    </row>
    <row r="17630" spans="8:8">
      <c r="H17630" t="s">
        <v>24267</v>
      </c>
    </row>
    <row r="17631" spans="8:8">
      <c r="H17631" t="s">
        <v>24268</v>
      </c>
    </row>
    <row r="17632" spans="8:8">
      <c r="H17632" t="s">
        <v>24269</v>
      </c>
    </row>
    <row r="17633" spans="6:8">
      <c r="H17633" t="s">
        <v>24270</v>
      </c>
    </row>
    <row r="17634" spans="6:8">
      <c r="H17634" t="s">
        <v>24271</v>
      </c>
    </row>
    <row r="17635" spans="6:8">
      <c r="H17635" t="s">
        <v>24272</v>
      </c>
    </row>
    <row r="17636" spans="6:8">
      <c r="H17636" t="s">
        <v>24273</v>
      </c>
    </row>
    <row r="17637" spans="6:8">
      <c r="H17637" t="s">
        <v>24274</v>
      </c>
    </row>
    <row r="17638" spans="6:8">
      <c r="H17638" t="s">
        <v>24275</v>
      </c>
    </row>
    <row r="17639" spans="6:8">
      <c r="H17639" t="s">
        <v>24276</v>
      </c>
    </row>
    <row r="17640" spans="6:8">
      <c r="H17640" t="s">
        <v>24277</v>
      </c>
    </row>
    <row r="17641" spans="6:8">
      <c r="H17641" t="s">
        <v>24278</v>
      </c>
    </row>
    <row r="17642" spans="6:8">
      <c r="H17642" t="s">
        <v>24279</v>
      </c>
    </row>
    <row r="17643" spans="6:8">
      <c r="H17643" t="s">
        <v>24280</v>
      </c>
    </row>
    <row r="17644" spans="6:8">
      <c r="H17644" t="s">
        <v>24281</v>
      </c>
    </row>
    <row r="17645" spans="6:8">
      <c r="H17645" t="s">
        <v>24282</v>
      </c>
    </row>
    <row r="17646" spans="6:8">
      <c r="F17646" t="s">
        <v>12492</v>
      </c>
      <c r="G17646" t="s">
        <v>16710</v>
      </c>
      <c r="H17646" t="s">
        <v>18829</v>
      </c>
    </row>
    <row r="17647" spans="6:8">
      <c r="H17647" t="s">
        <v>24283</v>
      </c>
    </row>
    <row r="17648" spans="6:8">
      <c r="H17648" t="s">
        <v>24284</v>
      </c>
    </row>
    <row r="17649" spans="8:8">
      <c r="H17649" t="s">
        <v>24285</v>
      </c>
    </row>
    <row r="17650" spans="8:8">
      <c r="H17650" t="s">
        <v>24286</v>
      </c>
    </row>
    <row r="17651" spans="8:8">
      <c r="H17651" t="s">
        <v>24287</v>
      </c>
    </row>
    <row r="17652" spans="8:8">
      <c r="H17652" t="s">
        <v>24288</v>
      </c>
    </row>
    <row r="17653" spans="8:8">
      <c r="H17653" t="s">
        <v>24289</v>
      </c>
    </row>
    <row r="17654" spans="8:8">
      <c r="H17654" t="s">
        <v>24290</v>
      </c>
    </row>
    <row r="17655" spans="8:8">
      <c r="H17655" t="s">
        <v>24291</v>
      </c>
    </row>
    <row r="17656" spans="8:8">
      <c r="H17656" t="s">
        <v>24292</v>
      </c>
    </row>
    <row r="17657" spans="8:8">
      <c r="H17657" t="s">
        <v>24293</v>
      </c>
    </row>
    <row r="17658" spans="8:8">
      <c r="H17658" t="s">
        <v>24294</v>
      </c>
    </row>
    <row r="17659" spans="8:8">
      <c r="H17659" t="s">
        <v>24295</v>
      </c>
    </row>
    <row r="17660" spans="8:8">
      <c r="H17660" t="s">
        <v>24296</v>
      </c>
    </row>
    <row r="17661" spans="8:8">
      <c r="H17661" t="s">
        <v>24297</v>
      </c>
    </row>
    <row r="17662" spans="8:8">
      <c r="H17662" t="s">
        <v>24298</v>
      </c>
    </row>
    <row r="17663" spans="8:8">
      <c r="H17663" t="s">
        <v>24299</v>
      </c>
    </row>
    <row r="17664" spans="8:8">
      <c r="H17664" t="s">
        <v>24300</v>
      </c>
    </row>
    <row r="17665" spans="8:8">
      <c r="H17665" t="s">
        <v>24301</v>
      </c>
    </row>
    <row r="17666" spans="8:8">
      <c r="H17666" t="s">
        <v>24302</v>
      </c>
    </row>
    <row r="17667" spans="8:8">
      <c r="H17667" t="s">
        <v>24303</v>
      </c>
    </row>
    <row r="17668" spans="8:8">
      <c r="H17668" t="s">
        <v>24304</v>
      </c>
    </row>
    <row r="17669" spans="8:8">
      <c r="H17669" t="s">
        <v>24305</v>
      </c>
    </row>
    <row r="17670" spans="8:8">
      <c r="H17670" t="s">
        <v>24306</v>
      </c>
    </row>
    <row r="17671" spans="8:8">
      <c r="H17671" t="s">
        <v>24307</v>
      </c>
    </row>
    <row r="17672" spans="8:8">
      <c r="H17672" t="s">
        <v>24308</v>
      </c>
    </row>
    <row r="17673" spans="8:8">
      <c r="H17673" t="s">
        <v>24309</v>
      </c>
    </row>
    <row r="17674" spans="8:8">
      <c r="H17674" t="s">
        <v>24310</v>
      </c>
    </row>
    <row r="17675" spans="8:8">
      <c r="H17675" t="s">
        <v>24311</v>
      </c>
    </row>
    <row r="17676" spans="8:8">
      <c r="H17676" t="s">
        <v>24312</v>
      </c>
    </row>
    <row r="17677" spans="8:8">
      <c r="H17677" t="s">
        <v>24313</v>
      </c>
    </row>
    <row r="17678" spans="8:8">
      <c r="H17678" t="s">
        <v>24314</v>
      </c>
    </row>
    <row r="17679" spans="8:8">
      <c r="H17679" t="s">
        <v>24315</v>
      </c>
    </row>
    <row r="17680" spans="8:8">
      <c r="H17680" t="s">
        <v>24316</v>
      </c>
    </row>
    <row r="17681" spans="8:8">
      <c r="H17681" t="s">
        <v>24317</v>
      </c>
    </row>
    <row r="17682" spans="8:8">
      <c r="H17682" t="s">
        <v>24318</v>
      </c>
    </row>
    <row r="17683" spans="8:8">
      <c r="H17683" t="s">
        <v>24319</v>
      </c>
    </row>
    <row r="17684" spans="8:8">
      <c r="H17684" t="s">
        <v>24320</v>
      </c>
    </row>
    <row r="17685" spans="8:8">
      <c r="H17685" t="s">
        <v>24321</v>
      </c>
    </row>
    <row r="17686" spans="8:8">
      <c r="H17686" t="s">
        <v>24322</v>
      </c>
    </row>
    <row r="17687" spans="8:8">
      <c r="H17687" t="s">
        <v>24323</v>
      </c>
    </row>
    <row r="17688" spans="8:8">
      <c r="H17688" t="s">
        <v>24324</v>
      </c>
    </row>
    <row r="17689" spans="8:8">
      <c r="H17689" t="s">
        <v>24325</v>
      </c>
    </row>
    <row r="17690" spans="8:8">
      <c r="H17690" t="s">
        <v>24326</v>
      </c>
    </row>
    <row r="17691" spans="8:8">
      <c r="H17691" t="s">
        <v>24327</v>
      </c>
    </row>
    <row r="17692" spans="8:8">
      <c r="H17692" t="s">
        <v>24328</v>
      </c>
    </row>
    <row r="17693" spans="8:8">
      <c r="H17693" t="s">
        <v>24329</v>
      </c>
    </row>
    <row r="17694" spans="8:8">
      <c r="H17694" t="s">
        <v>24330</v>
      </c>
    </row>
    <row r="17695" spans="8:8">
      <c r="H17695" t="s">
        <v>24331</v>
      </c>
    </row>
    <row r="17696" spans="8:8">
      <c r="H17696" t="s">
        <v>24332</v>
      </c>
    </row>
    <row r="17697" spans="8:8">
      <c r="H17697" t="s">
        <v>24333</v>
      </c>
    </row>
    <row r="17698" spans="8:8">
      <c r="H17698" t="s">
        <v>24334</v>
      </c>
    </row>
    <row r="17699" spans="8:8">
      <c r="H17699" t="s">
        <v>24335</v>
      </c>
    </row>
    <row r="17700" spans="8:8">
      <c r="H17700" t="s">
        <v>24336</v>
      </c>
    </row>
    <row r="17701" spans="8:8">
      <c r="H17701" t="s">
        <v>24337</v>
      </c>
    </row>
    <row r="17702" spans="8:8">
      <c r="H17702" t="s">
        <v>24338</v>
      </c>
    </row>
    <row r="17703" spans="8:8">
      <c r="H17703" t="s">
        <v>24339</v>
      </c>
    </row>
    <row r="17704" spans="8:8">
      <c r="H17704" t="s">
        <v>24340</v>
      </c>
    </row>
    <row r="17705" spans="8:8">
      <c r="H17705" t="s">
        <v>24341</v>
      </c>
    </row>
    <row r="17706" spans="8:8">
      <c r="H17706" t="s">
        <v>24342</v>
      </c>
    </row>
    <row r="17707" spans="8:8">
      <c r="H17707" t="s">
        <v>24343</v>
      </c>
    </row>
    <row r="17708" spans="8:8">
      <c r="H17708" t="s">
        <v>24344</v>
      </c>
    </row>
    <row r="17709" spans="8:8">
      <c r="H17709" t="s">
        <v>24345</v>
      </c>
    </row>
    <row r="17710" spans="8:8">
      <c r="H17710" t="s">
        <v>24346</v>
      </c>
    </row>
    <row r="17711" spans="8:8">
      <c r="H17711" t="s">
        <v>24347</v>
      </c>
    </row>
    <row r="17712" spans="8:8">
      <c r="H17712" t="s">
        <v>24348</v>
      </c>
    </row>
    <row r="17713" spans="6:8">
      <c r="H17713" t="s">
        <v>24349</v>
      </c>
    </row>
    <row r="17714" spans="6:8">
      <c r="H17714" t="s">
        <v>24350</v>
      </c>
    </row>
    <row r="17715" spans="6:8">
      <c r="H17715" t="s">
        <v>24351</v>
      </c>
    </row>
    <row r="17716" spans="6:8">
      <c r="H17716" t="s">
        <v>24352</v>
      </c>
    </row>
    <row r="17717" spans="6:8">
      <c r="H17717" t="s">
        <v>24353</v>
      </c>
    </row>
    <row r="17718" spans="6:8">
      <c r="H17718" t="s">
        <v>24354</v>
      </c>
    </row>
    <row r="17719" spans="6:8">
      <c r="H17719" t="s">
        <v>24355</v>
      </c>
    </row>
    <row r="17720" spans="6:8">
      <c r="F17720" t="s">
        <v>12493</v>
      </c>
      <c r="G17720" t="s">
        <v>16711</v>
      </c>
      <c r="H17720" t="s">
        <v>18829</v>
      </c>
    </row>
    <row r="17721" spans="6:8">
      <c r="H17721" t="s">
        <v>24356</v>
      </c>
    </row>
    <row r="17722" spans="6:8">
      <c r="H17722" t="s">
        <v>24357</v>
      </c>
    </row>
    <row r="17723" spans="6:8">
      <c r="H17723" t="s">
        <v>24358</v>
      </c>
    </row>
    <row r="17724" spans="6:8">
      <c r="H17724" t="s">
        <v>24359</v>
      </c>
    </row>
    <row r="17725" spans="6:8">
      <c r="H17725" t="s">
        <v>24360</v>
      </c>
    </row>
    <row r="17726" spans="6:8">
      <c r="H17726" t="s">
        <v>24361</v>
      </c>
    </row>
    <row r="17727" spans="6:8">
      <c r="H17727" t="s">
        <v>24362</v>
      </c>
    </row>
    <row r="17728" spans="6:8">
      <c r="H17728" t="s">
        <v>24363</v>
      </c>
    </row>
    <row r="17729" spans="6:8">
      <c r="H17729" t="s">
        <v>24364</v>
      </c>
    </row>
    <row r="17730" spans="6:8">
      <c r="H17730" t="s">
        <v>24365</v>
      </c>
    </row>
    <row r="17731" spans="6:8">
      <c r="H17731" t="s">
        <v>24366</v>
      </c>
    </row>
    <row r="17732" spans="6:8">
      <c r="H17732" t="s">
        <v>24367</v>
      </c>
    </row>
    <row r="17733" spans="6:8">
      <c r="H17733" t="s">
        <v>24368</v>
      </c>
    </row>
    <row r="17734" spans="6:8">
      <c r="H17734" t="s">
        <v>24369</v>
      </c>
    </row>
    <row r="17735" spans="6:8">
      <c r="H17735" t="s">
        <v>24370</v>
      </c>
    </row>
    <row r="17736" spans="6:8">
      <c r="F17736" t="s">
        <v>12494</v>
      </c>
      <c r="G17736" t="s">
        <v>16712</v>
      </c>
      <c r="H17736" t="s">
        <v>18829</v>
      </c>
    </row>
    <row r="17737" spans="6:8">
      <c r="H17737" t="s">
        <v>24371</v>
      </c>
    </row>
    <row r="17738" spans="6:8">
      <c r="H17738" t="s">
        <v>24372</v>
      </c>
    </row>
    <row r="17739" spans="6:8">
      <c r="H17739" t="s">
        <v>24373</v>
      </c>
    </row>
    <row r="17740" spans="6:8">
      <c r="H17740" t="s">
        <v>24374</v>
      </c>
    </row>
    <row r="17741" spans="6:8">
      <c r="H17741" t="s">
        <v>24375</v>
      </c>
    </row>
    <row r="17742" spans="6:8">
      <c r="H17742" t="s">
        <v>24376</v>
      </c>
    </row>
    <row r="17743" spans="6:8">
      <c r="H17743" t="s">
        <v>24377</v>
      </c>
    </row>
    <row r="17744" spans="6:8">
      <c r="H17744" t="s">
        <v>24378</v>
      </c>
    </row>
    <row r="17745" spans="6:8">
      <c r="H17745" t="s">
        <v>24379</v>
      </c>
    </row>
    <row r="17746" spans="6:8">
      <c r="F17746" t="s">
        <v>12495</v>
      </c>
      <c r="G17746" t="s">
        <v>16713</v>
      </c>
      <c r="H17746" t="s">
        <v>18829</v>
      </c>
    </row>
    <row r="17747" spans="6:8">
      <c r="H17747" t="s">
        <v>24380</v>
      </c>
    </row>
    <row r="17748" spans="6:8">
      <c r="H17748" t="s">
        <v>24381</v>
      </c>
    </row>
    <row r="17749" spans="6:8">
      <c r="H17749" t="s">
        <v>24382</v>
      </c>
    </row>
    <row r="17750" spans="6:8">
      <c r="F17750" t="s">
        <v>12496</v>
      </c>
      <c r="G17750" t="s">
        <v>16714</v>
      </c>
      <c r="H17750" t="s">
        <v>18829</v>
      </c>
    </row>
    <row r="17751" spans="6:8">
      <c r="H17751" t="s">
        <v>24383</v>
      </c>
    </row>
    <row r="17752" spans="6:8">
      <c r="H17752" t="s">
        <v>24384</v>
      </c>
    </row>
    <row r="17753" spans="6:8">
      <c r="H17753" t="s">
        <v>24385</v>
      </c>
    </row>
    <row r="17754" spans="6:8">
      <c r="H17754" t="s">
        <v>24386</v>
      </c>
    </row>
    <row r="17755" spans="6:8">
      <c r="H17755" t="s">
        <v>24387</v>
      </c>
    </row>
    <row r="17756" spans="6:8">
      <c r="H17756" t="s">
        <v>24388</v>
      </c>
    </row>
    <row r="17757" spans="6:8">
      <c r="H17757" t="s">
        <v>24389</v>
      </c>
    </row>
    <row r="17758" spans="6:8">
      <c r="H17758" t="s">
        <v>24390</v>
      </c>
    </row>
    <row r="17759" spans="6:8">
      <c r="H17759" t="s">
        <v>24391</v>
      </c>
    </row>
    <row r="17760" spans="6:8">
      <c r="F17760" t="s">
        <v>12497</v>
      </c>
      <c r="G17760" t="s">
        <v>16715</v>
      </c>
      <c r="H17760" t="s">
        <v>18829</v>
      </c>
    </row>
    <row r="17761" spans="6:8">
      <c r="H17761" t="s">
        <v>24392</v>
      </c>
    </row>
    <row r="17762" spans="6:8">
      <c r="H17762" t="s">
        <v>24393</v>
      </c>
    </row>
    <row r="17763" spans="6:8">
      <c r="H17763" t="s">
        <v>24394</v>
      </c>
    </row>
    <row r="17764" spans="6:8">
      <c r="H17764" t="s">
        <v>24395</v>
      </c>
    </row>
    <row r="17765" spans="6:8">
      <c r="H17765" t="s">
        <v>24396</v>
      </c>
    </row>
    <row r="17766" spans="6:8">
      <c r="H17766" t="s">
        <v>24397</v>
      </c>
    </row>
    <row r="17767" spans="6:8">
      <c r="H17767" t="s">
        <v>24398</v>
      </c>
    </row>
    <row r="17768" spans="6:8">
      <c r="H17768" t="s">
        <v>24399</v>
      </c>
    </row>
    <row r="17769" spans="6:8">
      <c r="H17769" t="s">
        <v>24400</v>
      </c>
    </row>
    <row r="17770" spans="6:8">
      <c r="F17770" t="s">
        <v>12498</v>
      </c>
      <c r="G17770" t="s">
        <v>16716</v>
      </c>
      <c r="H17770" t="s">
        <v>18829</v>
      </c>
    </row>
    <row r="17771" spans="6:8">
      <c r="H17771" t="s">
        <v>24401</v>
      </c>
    </row>
    <row r="17772" spans="6:8">
      <c r="H17772" t="s">
        <v>24402</v>
      </c>
    </row>
    <row r="17773" spans="6:8">
      <c r="H17773" t="s">
        <v>24403</v>
      </c>
    </row>
    <row r="17774" spans="6:8">
      <c r="H17774" t="s">
        <v>24404</v>
      </c>
    </row>
    <row r="17775" spans="6:8">
      <c r="H17775" t="s">
        <v>24405</v>
      </c>
    </row>
    <row r="17776" spans="6:8">
      <c r="H17776" t="s">
        <v>24406</v>
      </c>
    </row>
    <row r="17777" spans="6:8">
      <c r="H17777" t="s">
        <v>24407</v>
      </c>
    </row>
    <row r="17778" spans="6:8">
      <c r="H17778" t="s">
        <v>24408</v>
      </c>
    </row>
    <row r="17779" spans="6:8">
      <c r="H17779" t="s">
        <v>24409</v>
      </c>
    </row>
    <row r="17780" spans="6:8">
      <c r="F17780" t="s">
        <v>12499</v>
      </c>
      <c r="G17780" t="s">
        <v>16717</v>
      </c>
      <c r="H17780" t="s">
        <v>18829</v>
      </c>
    </row>
    <row r="17781" spans="6:8">
      <c r="H17781" t="s">
        <v>24410</v>
      </c>
    </row>
    <row r="17782" spans="6:8">
      <c r="H17782" t="s">
        <v>24411</v>
      </c>
    </row>
    <row r="17783" spans="6:8">
      <c r="H17783" t="s">
        <v>24412</v>
      </c>
    </row>
    <row r="17784" spans="6:8">
      <c r="H17784" t="s">
        <v>24413</v>
      </c>
    </row>
    <row r="17785" spans="6:8">
      <c r="H17785" t="s">
        <v>24414</v>
      </c>
    </row>
    <row r="17786" spans="6:8">
      <c r="H17786" t="s">
        <v>24415</v>
      </c>
    </row>
    <row r="17787" spans="6:8">
      <c r="H17787" t="s">
        <v>24416</v>
      </c>
    </row>
    <row r="17788" spans="6:8">
      <c r="H17788" t="s">
        <v>24417</v>
      </c>
    </row>
    <row r="17789" spans="6:8">
      <c r="H17789" t="s">
        <v>24418</v>
      </c>
    </row>
    <row r="17790" spans="6:8">
      <c r="F17790" t="s">
        <v>12500</v>
      </c>
      <c r="G17790" t="s">
        <v>16718</v>
      </c>
      <c r="H17790" t="s">
        <v>18829</v>
      </c>
    </row>
    <row r="17791" spans="6:8">
      <c r="H17791" t="s">
        <v>24419</v>
      </c>
    </row>
    <row r="17792" spans="6:8">
      <c r="H17792" t="s">
        <v>24420</v>
      </c>
    </row>
    <row r="17793" spans="6:8">
      <c r="H17793" t="s">
        <v>24421</v>
      </c>
    </row>
    <row r="17794" spans="6:8">
      <c r="H17794" t="s">
        <v>24422</v>
      </c>
    </row>
    <row r="17795" spans="6:8">
      <c r="H17795" t="s">
        <v>24423</v>
      </c>
    </row>
    <row r="17796" spans="6:8">
      <c r="H17796" t="s">
        <v>24424</v>
      </c>
    </row>
    <row r="17797" spans="6:8">
      <c r="H17797" t="s">
        <v>24425</v>
      </c>
    </row>
    <row r="17798" spans="6:8">
      <c r="H17798" t="s">
        <v>24426</v>
      </c>
    </row>
    <row r="17799" spans="6:8">
      <c r="H17799" t="s">
        <v>24427</v>
      </c>
    </row>
    <row r="17800" spans="6:8">
      <c r="F17800" t="s">
        <v>12501</v>
      </c>
      <c r="G17800" t="s">
        <v>16719</v>
      </c>
      <c r="H17800" t="s">
        <v>18829</v>
      </c>
    </row>
    <row r="17801" spans="6:8">
      <c r="H17801" t="s">
        <v>24428</v>
      </c>
    </row>
    <row r="17802" spans="6:8">
      <c r="H17802" t="s">
        <v>24429</v>
      </c>
    </row>
    <row r="17803" spans="6:8">
      <c r="H17803" t="s">
        <v>24430</v>
      </c>
    </row>
    <row r="17804" spans="6:8">
      <c r="H17804" t="s">
        <v>24431</v>
      </c>
    </row>
    <row r="17805" spans="6:8">
      <c r="H17805" t="s">
        <v>24432</v>
      </c>
    </row>
    <row r="17806" spans="6:8">
      <c r="H17806" t="s">
        <v>24433</v>
      </c>
    </row>
    <row r="17807" spans="6:8">
      <c r="H17807" t="s">
        <v>24434</v>
      </c>
    </row>
    <row r="17808" spans="6:8">
      <c r="H17808" t="s">
        <v>24435</v>
      </c>
    </row>
    <row r="17809" spans="6:8">
      <c r="H17809" t="s">
        <v>24436</v>
      </c>
    </row>
    <row r="17810" spans="6:8">
      <c r="F17810" t="s">
        <v>12502</v>
      </c>
      <c r="G17810" t="s">
        <v>16720</v>
      </c>
      <c r="H17810" t="s">
        <v>18829</v>
      </c>
    </row>
    <row r="17811" spans="6:8">
      <c r="H17811" t="s">
        <v>24437</v>
      </c>
    </row>
    <row r="17812" spans="6:8">
      <c r="H17812" t="s">
        <v>24438</v>
      </c>
    </row>
    <row r="17813" spans="6:8">
      <c r="H17813" t="s">
        <v>24439</v>
      </c>
    </row>
    <row r="17814" spans="6:8">
      <c r="H17814" t="s">
        <v>24440</v>
      </c>
    </row>
    <row r="17815" spans="6:8">
      <c r="H17815" t="s">
        <v>24441</v>
      </c>
    </row>
    <row r="17816" spans="6:8">
      <c r="H17816" t="s">
        <v>24442</v>
      </c>
    </row>
    <row r="17817" spans="6:8">
      <c r="H17817" t="s">
        <v>24443</v>
      </c>
    </row>
    <row r="17818" spans="6:8">
      <c r="H17818" t="s">
        <v>24444</v>
      </c>
    </row>
    <row r="17819" spans="6:8">
      <c r="H17819" t="s">
        <v>24445</v>
      </c>
    </row>
    <row r="17820" spans="6:8">
      <c r="F17820" t="s">
        <v>12503</v>
      </c>
      <c r="G17820" t="s">
        <v>16721</v>
      </c>
      <c r="H17820" t="s">
        <v>18829</v>
      </c>
    </row>
    <row r="17821" spans="6:8">
      <c r="H17821" t="s">
        <v>24446</v>
      </c>
    </row>
    <row r="17822" spans="6:8">
      <c r="H17822" t="s">
        <v>24447</v>
      </c>
    </row>
    <row r="17823" spans="6:8">
      <c r="H17823" t="s">
        <v>24448</v>
      </c>
    </row>
    <row r="17824" spans="6:8">
      <c r="H17824" t="s">
        <v>24449</v>
      </c>
    </row>
    <row r="17825" spans="6:8">
      <c r="H17825" t="s">
        <v>24450</v>
      </c>
    </row>
    <row r="17826" spans="6:8">
      <c r="H17826" t="s">
        <v>24451</v>
      </c>
    </row>
    <row r="17827" spans="6:8">
      <c r="H17827" t="s">
        <v>24452</v>
      </c>
    </row>
    <row r="17828" spans="6:8">
      <c r="H17828" t="s">
        <v>24453</v>
      </c>
    </row>
    <row r="17829" spans="6:8">
      <c r="H17829" t="s">
        <v>24454</v>
      </c>
    </row>
    <row r="17830" spans="6:8">
      <c r="F17830" t="s">
        <v>12504</v>
      </c>
      <c r="G17830" t="s">
        <v>16722</v>
      </c>
      <c r="H17830" t="s">
        <v>18829</v>
      </c>
    </row>
    <row r="17831" spans="6:8">
      <c r="H17831" t="s">
        <v>24455</v>
      </c>
    </row>
    <row r="17832" spans="6:8">
      <c r="H17832" t="s">
        <v>24456</v>
      </c>
    </row>
    <row r="17833" spans="6:8">
      <c r="H17833" t="s">
        <v>24457</v>
      </c>
    </row>
    <row r="17834" spans="6:8">
      <c r="H17834" t="s">
        <v>24458</v>
      </c>
    </row>
    <row r="17835" spans="6:8">
      <c r="H17835" t="s">
        <v>24459</v>
      </c>
    </row>
    <row r="17836" spans="6:8">
      <c r="H17836" t="s">
        <v>24460</v>
      </c>
    </row>
    <row r="17837" spans="6:8">
      <c r="H17837" t="s">
        <v>24461</v>
      </c>
    </row>
    <row r="17838" spans="6:8">
      <c r="H17838" t="s">
        <v>24462</v>
      </c>
    </row>
    <row r="17839" spans="6:8">
      <c r="H17839" t="s">
        <v>24463</v>
      </c>
    </row>
    <row r="17840" spans="6:8">
      <c r="F17840" t="s">
        <v>12505</v>
      </c>
      <c r="G17840" t="s">
        <v>16723</v>
      </c>
      <c r="H17840" t="s">
        <v>18829</v>
      </c>
    </row>
    <row r="17841" spans="6:8">
      <c r="H17841" t="s">
        <v>24464</v>
      </c>
    </row>
    <row r="17842" spans="6:8">
      <c r="H17842" t="s">
        <v>24465</v>
      </c>
    </row>
    <row r="17843" spans="6:8">
      <c r="H17843" t="s">
        <v>24466</v>
      </c>
    </row>
    <row r="17844" spans="6:8">
      <c r="H17844" t="s">
        <v>24467</v>
      </c>
    </row>
    <row r="17845" spans="6:8">
      <c r="H17845" t="s">
        <v>24468</v>
      </c>
    </row>
    <row r="17846" spans="6:8">
      <c r="H17846" t="s">
        <v>24469</v>
      </c>
    </row>
    <row r="17847" spans="6:8">
      <c r="H17847" t="s">
        <v>24470</v>
      </c>
    </row>
    <row r="17848" spans="6:8">
      <c r="H17848" t="s">
        <v>24471</v>
      </c>
    </row>
    <row r="17849" spans="6:8">
      <c r="H17849" t="s">
        <v>24472</v>
      </c>
    </row>
    <row r="17850" spans="6:8">
      <c r="F17850" t="s">
        <v>12506</v>
      </c>
      <c r="G17850" t="s">
        <v>16724</v>
      </c>
      <c r="H17850" t="s">
        <v>18829</v>
      </c>
    </row>
    <row r="17851" spans="6:8">
      <c r="H17851" t="s">
        <v>24473</v>
      </c>
    </row>
    <row r="17852" spans="6:8">
      <c r="H17852" t="s">
        <v>24474</v>
      </c>
    </row>
    <row r="17853" spans="6:8">
      <c r="H17853" t="s">
        <v>24475</v>
      </c>
    </row>
    <row r="17854" spans="6:8">
      <c r="H17854" t="s">
        <v>24476</v>
      </c>
    </row>
    <row r="17855" spans="6:8">
      <c r="H17855" t="s">
        <v>24477</v>
      </c>
    </row>
    <row r="17856" spans="6:8">
      <c r="H17856" t="s">
        <v>24478</v>
      </c>
    </row>
    <row r="17857" spans="6:8">
      <c r="H17857" t="s">
        <v>24479</v>
      </c>
    </row>
    <row r="17858" spans="6:8">
      <c r="H17858" t="s">
        <v>24480</v>
      </c>
    </row>
    <row r="17859" spans="6:8">
      <c r="H17859" t="s">
        <v>24481</v>
      </c>
    </row>
    <row r="17860" spans="6:8">
      <c r="F17860" t="s">
        <v>12507</v>
      </c>
      <c r="G17860" t="s">
        <v>16725</v>
      </c>
      <c r="H17860" t="s">
        <v>18829</v>
      </c>
    </row>
    <row r="17861" spans="6:8">
      <c r="H17861" t="s">
        <v>24482</v>
      </c>
    </row>
    <row r="17862" spans="6:8">
      <c r="H17862" t="s">
        <v>24483</v>
      </c>
    </row>
    <row r="17863" spans="6:8">
      <c r="H17863" t="s">
        <v>24484</v>
      </c>
    </row>
    <row r="17864" spans="6:8">
      <c r="H17864" t="s">
        <v>24485</v>
      </c>
    </row>
    <row r="17865" spans="6:8">
      <c r="H17865" t="s">
        <v>24486</v>
      </c>
    </row>
    <row r="17866" spans="6:8">
      <c r="H17866" t="s">
        <v>24487</v>
      </c>
    </row>
    <row r="17867" spans="6:8">
      <c r="H17867" t="s">
        <v>24488</v>
      </c>
    </row>
    <row r="17868" spans="6:8">
      <c r="H17868" t="s">
        <v>24489</v>
      </c>
    </row>
    <row r="17869" spans="6:8">
      <c r="H17869" t="s">
        <v>24490</v>
      </c>
    </row>
    <row r="17870" spans="6:8">
      <c r="F17870" t="s">
        <v>12508</v>
      </c>
      <c r="G17870" t="s">
        <v>16726</v>
      </c>
      <c r="H17870" t="s">
        <v>18829</v>
      </c>
    </row>
    <row r="17871" spans="6:8">
      <c r="H17871" t="s">
        <v>24491</v>
      </c>
    </row>
    <row r="17872" spans="6:8">
      <c r="H17872" t="s">
        <v>24492</v>
      </c>
    </row>
    <row r="17873" spans="6:8">
      <c r="H17873" t="s">
        <v>24493</v>
      </c>
    </row>
    <row r="17874" spans="6:8">
      <c r="H17874" t="s">
        <v>24494</v>
      </c>
    </row>
    <row r="17875" spans="6:8">
      <c r="H17875" t="s">
        <v>24495</v>
      </c>
    </row>
    <row r="17876" spans="6:8">
      <c r="H17876" t="s">
        <v>24496</v>
      </c>
    </row>
    <row r="17877" spans="6:8">
      <c r="H17877" t="s">
        <v>24497</v>
      </c>
    </row>
    <row r="17878" spans="6:8">
      <c r="H17878" t="s">
        <v>24498</v>
      </c>
    </row>
    <row r="17879" spans="6:8">
      <c r="H17879" t="s">
        <v>24499</v>
      </c>
    </row>
    <row r="17880" spans="6:8">
      <c r="F17880" t="s">
        <v>12509</v>
      </c>
      <c r="G17880" t="s">
        <v>16727</v>
      </c>
      <c r="H17880" t="s">
        <v>18829</v>
      </c>
    </row>
    <row r="17881" spans="6:8">
      <c r="H17881" t="s">
        <v>24500</v>
      </c>
    </row>
    <row r="17882" spans="6:8">
      <c r="H17882" t="s">
        <v>24501</v>
      </c>
    </row>
    <row r="17883" spans="6:8">
      <c r="H17883" t="s">
        <v>24502</v>
      </c>
    </row>
    <row r="17884" spans="6:8">
      <c r="H17884" t="s">
        <v>24503</v>
      </c>
    </row>
    <row r="17885" spans="6:8">
      <c r="H17885" t="s">
        <v>24504</v>
      </c>
    </row>
    <row r="17886" spans="6:8">
      <c r="H17886" t="s">
        <v>24505</v>
      </c>
    </row>
    <row r="17887" spans="6:8">
      <c r="H17887" t="s">
        <v>24506</v>
      </c>
    </row>
    <row r="17888" spans="6:8">
      <c r="H17888" t="s">
        <v>24507</v>
      </c>
    </row>
    <row r="17889" spans="6:8">
      <c r="H17889" t="s">
        <v>24508</v>
      </c>
    </row>
    <row r="17890" spans="6:8">
      <c r="F17890" t="s">
        <v>12510</v>
      </c>
      <c r="G17890" t="s">
        <v>16728</v>
      </c>
      <c r="H17890" t="s">
        <v>18829</v>
      </c>
    </row>
    <row r="17891" spans="6:8">
      <c r="H17891" t="s">
        <v>24509</v>
      </c>
    </row>
    <row r="17892" spans="6:8">
      <c r="H17892" t="s">
        <v>24510</v>
      </c>
    </row>
    <row r="17893" spans="6:8">
      <c r="H17893" t="s">
        <v>24511</v>
      </c>
    </row>
    <row r="17894" spans="6:8">
      <c r="H17894" t="s">
        <v>24512</v>
      </c>
    </row>
    <row r="17895" spans="6:8">
      <c r="H17895" t="s">
        <v>24513</v>
      </c>
    </row>
    <row r="17896" spans="6:8">
      <c r="H17896" t="s">
        <v>24514</v>
      </c>
    </row>
    <row r="17897" spans="6:8">
      <c r="H17897" t="s">
        <v>24515</v>
      </c>
    </row>
    <row r="17898" spans="6:8">
      <c r="H17898" t="s">
        <v>24516</v>
      </c>
    </row>
    <row r="17899" spans="6:8">
      <c r="H17899" t="s">
        <v>24517</v>
      </c>
    </row>
    <row r="17900" spans="6:8">
      <c r="F17900" t="s">
        <v>12511</v>
      </c>
      <c r="G17900" t="s">
        <v>16729</v>
      </c>
      <c r="H17900" t="s">
        <v>18829</v>
      </c>
    </row>
    <row r="17901" spans="6:8">
      <c r="H17901" t="s">
        <v>24518</v>
      </c>
    </row>
    <row r="17902" spans="6:8">
      <c r="H17902" t="s">
        <v>24519</v>
      </c>
    </row>
    <row r="17903" spans="6:8">
      <c r="H17903" t="s">
        <v>24520</v>
      </c>
    </row>
    <row r="17904" spans="6:8">
      <c r="H17904" t="s">
        <v>24521</v>
      </c>
    </row>
    <row r="17905" spans="6:8">
      <c r="H17905" t="s">
        <v>24522</v>
      </c>
    </row>
    <row r="17906" spans="6:8">
      <c r="H17906" t="s">
        <v>24523</v>
      </c>
    </row>
    <row r="17907" spans="6:8">
      <c r="H17907" t="s">
        <v>24524</v>
      </c>
    </row>
    <row r="17908" spans="6:8">
      <c r="H17908" t="s">
        <v>24525</v>
      </c>
    </row>
    <row r="17909" spans="6:8">
      <c r="H17909" t="s">
        <v>24526</v>
      </c>
    </row>
    <row r="17910" spans="6:8">
      <c r="F17910" t="s">
        <v>12512</v>
      </c>
      <c r="G17910" t="s">
        <v>16730</v>
      </c>
      <c r="H17910" t="s">
        <v>18829</v>
      </c>
    </row>
    <row r="17911" spans="6:8">
      <c r="H17911" t="s">
        <v>24527</v>
      </c>
    </row>
    <row r="17912" spans="6:8">
      <c r="H17912" t="s">
        <v>24528</v>
      </c>
    </row>
    <row r="17913" spans="6:8">
      <c r="H17913" t="s">
        <v>24529</v>
      </c>
    </row>
    <row r="17914" spans="6:8">
      <c r="H17914" t="s">
        <v>24530</v>
      </c>
    </row>
    <row r="17915" spans="6:8">
      <c r="H17915" t="s">
        <v>24531</v>
      </c>
    </row>
    <row r="17916" spans="6:8">
      <c r="H17916" t="s">
        <v>24532</v>
      </c>
    </row>
    <row r="17917" spans="6:8">
      <c r="H17917" t="s">
        <v>24533</v>
      </c>
    </row>
    <row r="17918" spans="6:8">
      <c r="H17918" t="s">
        <v>24534</v>
      </c>
    </row>
    <row r="17919" spans="6:8">
      <c r="H17919" t="s">
        <v>24535</v>
      </c>
    </row>
    <row r="17920" spans="6:8">
      <c r="F17920" t="s">
        <v>12513</v>
      </c>
      <c r="G17920" t="s">
        <v>16731</v>
      </c>
      <c r="H17920" t="s">
        <v>18829</v>
      </c>
    </row>
    <row r="17921" spans="6:8">
      <c r="H17921" t="s">
        <v>24536</v>
      </c>
    </row>
    <row r="17922" spans="6:8">
      <c r="H17922" t="s">
        <v>24537</v>
      </c>
    </row>
    <row r="17923" spans="6:8">
      <c r="H17923" t="s">
        <v>24538</v>
      </c>
    </row>
    <row r="17924" spans="6:8">
      <c r="H17924" t="s">
        <v>24539</v>
      </c>
    </row>
    <row r="17925" spans="6:8">
      <c r="H17925" t="s">
        <v>24540</v>
      </c>
    </row>
    <row r="17926" spans="6:8">
      <c r="H17926" t="s">
        <v>24541</v>
      </c>
    </row>
    <row r="17927" spans="6:8">
      <c r="H17927" t="s">
        <v>24542</v>
      </c>
    </row>
    <row r="17928" spans="6:8">
      <c r="H17928" t="s">
        <v>24543</v>
      </c>
    </row>
    <row r="17929" spans="6:8">
      <c r="H17929" t="s">
        <v>24544</v>
      </c>
    </row>
    <row r="17930" spans="6:8">
      <c r="F17930" t="s">
        <v>12514</v>
      </c>
      <c r="G17930" t="s">
        <v>16732</v>
      </c>
      <c r="H17930" t="s">
        <v>18829</v>
      </c>
    </row>
    <row r="17931" spans="6:8">
      <c r="H17931" t="s">
        <v>24545</v>
      </c>
    </row>
    <row r="17932" spans="6:8">
      <c r="H17932" t="s">
        <v>24546</v>
      </c>
    </row>
    <row r="17933" spans="6:8">
      <c r="H17933" t="s">
        <v>24547</v>
      </c>
    </row>
    <row r="17934" spans="6:8">
      <c r="H17934" t="s">
        <v>24548</v>
      </c>
    </row>
    <row r="17935" spans="6:8">
      <c r="H17935" t="s">
        <v>24549</v>
      </c>
    </row>
    <row r="17936" spans="6:8">
      <c r="H17936" t="s">
        <v>24550</v>
      </c>
    </row>
    <row r="17937" spans="6:8">
      <c r="H17937" t="s">
        <v>24551</v>
      </c>
    </row>
    <row r="17938" spans="6:8">
      <c r="H17938" t="s">
        <v>24552</v>
      </c>
    </row>
    <row r="17939" spans="6:8">
      <c r="H17939" t="s">
        <v>24553</v>
      </c>
    </row>
    <row r="17940" spans="6:8">
      <c r="F17940" t="s">
        <v>12515</v>
      </c>
      <c r="G17940" t="s">
        <v>16733</v>
      </c>
      <c r="H17940" t="s">
        <v>18829</v>
      </c>
    </row>
    <row r="17941" spans="6:8">
      <c r="H17941" t="s">
        <v>24554</v>
      </c>
    </row>
    <row r="17942" spans="6:8">
      <c r="H17942" t="s">
        <v>24555</v>
      </c>
    </row>
    <row r="17943" spans="6:8">
      <c r="H17943" t="s">
        <v>24556</v>
      </c>
    </row>
    <row r="17944" spans="6:8">
      <c r="H17944" t="s">
        <v>24557</v>
      </c>
    </row>
    <row r="17945" spans="6:8">
      <c r="H17945" t="s">
        <v>24558</v>
      </c>
    </row>
    <row r="17946" spans="6:8">
      <c r="H17946" t="s">
        <v>24559</v>
      </c>
    </row>
    <row r="17947" spans="6:8">
      <c r="H17947" t="s">
        <v>24560</v>
      </c>
    </row>
    <row r="17948" spans="6:8">
      <c r="H17948" t="s">
        <v>24561</v>
      </c>
    </row>
    <row r="17949" spans="6:8">
      <c r="H17949" t="s">
        <v>24562</v>
      </c>
    </row>
    <row r="17950" spans="6:8">
      <c r="F17950" t="s">
        <v>12516</v>
      </c>
      <c r="G17950" t="s">
        <v>16734</v>
      </c>
      <c r="H17950" t="s">
        <v>18829</v>
      </c>
    </row>
    <row r="17951" spans="6:8">
      <c r="H17951" t="s">
        <v>24563</v>
      </c>
    </row>
    <row r="17952" spans="6:8">
      <c r="H17952" t="s">
        <v>24564</v>
      </c>
    </row>
    <row r="17953" spans="6:8">
      <c r="H17953" t="s">
        <v>24565</v>
      </c>
    </row>
    <row r="17954" spans="6:8">
      <c r="H17954" t="s">
        <v>24566</v>
      </c>
    </row>
    <row r="17955" spans="6:8">
      <c r="H17955" t="s">
        <v>24567</v>
      </c>
    </row>
    <row r="17956" spans="6:8">
      <c r="H17956" t="s">
        <v>24568</v>
      </c>
    </row>
    <row r="17957" spans="6:8">
      <c r="H17957" t="s">
        <v>24569</v>
      </c>
    </row>
    <row r="17958" spans="6:8">
      <c r="H17958" t="s">
        <v>24570</v>
      </c>
    </row>
    <row r="17959" spans="6:8">
      <c r="H17959" t="s">
        <v>24571</v>
      </c>
    </row>
    <row r="17960" spans="6:8">
      <c r="F17960" t="s">
        <v>12517</v>
      </c>
      <c r="G17960" t="s">
        <v>16735</v>
      </c>
      <c r="H17960" t="s">
        <v>18829</v>
      </c>
    </row>
    <row r="17961" spans="6:8">
      <c r="H17961" t="s">
        <v>24572</v>
      </c>
    </row>
    <row r="17962" spans="6:8">
      <c r="H17962" t="s">
        <v>24573</v>
      </c>
    </row>
    <row r="17963" spans="6:8">
      <c r="H17963" t="s">
        <v>24574</v>
      </c>
    </row>
    <row r="17964" spans="6:8">
      <c r="H17964" t="s">
        <v>24575</v>
      </c>
    </row>
    <row r="17965" spans="6:8">
      <c r="H17965" t="s">
        <v>24576</v>
      </c>
    </row>
    <row r="17966" spans="6:8">
      <c r="H17966" t="s">
        <v>24577</v>
      </c>
    </row>
    <row r="17967" spans="6:8">
      <c r="H17967" t="s">
        <v>24578</v>
      </c>
    </row>
    <row r="17968" spans="6:8">
      <c r="H17968" t="s">
        <v>24579</v>
      </c>
    </row>
    <row r="17969" spans="6:8">
      <c r="H17969" t="s">
        <v>24580</v>
      </c>
    </row>
    <row r="17970" spans="6:8">
      <c r="F17970" t="s">
        <v>12518</v>
      </c>
      <c r="G17970" t="s">
        <v>16736</v>
      </c>
      <c r="H17970" t="s">
        <v>18829</v>
      </c>
    </row>
    <row r="17971" spans="6:8">
      <c r="H17971" t="s">
        <v>24581</v>
      </c>
    </row>
    <row r="17972" spans="6:8">
      <c r="H17972" t="s">
        <v>24582</v>
      </c>
    </row>
    <row r="17973" spans="6:8">
      <c r="H17973" t="s">
        <v>24583</v>
      </c>
    </row>
    <row r="17974" spans="6:8">
      <c r="H17974" t="s">
        <v>24584</v>
      </c>
    </row>
    <row r="17975" spans="6:8">
      <c r="H17975" t="s">
        <v>24585</v>
      </c>
    </row>
    <row r="17976" spans="6:8">
      <c r="H17976" t="s">
        <v>24586</v>
      </c>
    </row>
    <row r="17977" spans="6:8">
      <c r="H17977" t="s">
        <v>24587</v>
      </c>
    </row>
    <row r="17978" spans="6:8">
      <c r="H17978" t="s">
        <v>24588</v>
      </c>
    </row>
    <row r="17979" spans="6:8">
      <c r="H17979" t="s">
        <v>24589</v>
      </c>
    </row>
    <row r="17980" spans="6:8">
      <c r="F17980" t="s">
        <v>12519</v>
      </c>
      <c r="G17980" t="s">
        <v>16737</v>
      </c>
      <c r="H17980" t="s">
        <v>18829</v>
      </c>
    </row>
    <row r="17981" spans="6:8">
      <c r="H17981" t="s">
        <v>24590</v>
      </c>
    </row>
    <row r="17982" spans="6:8">
      <c r="H17982" t="s">
        <v>24591</v>
      </c>
    </row>
    <row r="17983" spans="6:8">
      <c r="H17983" t="s">
        <v>24592</v>
      </c>
    </row>
    <row r="17984" spans="6:8">
      <c r="H17984" t="s">
        <v>24593</v>
      </c>
    </row>
    <row r="17985" spans="6:8">
      <c r="H17985" t="s">
        <v>24594</v>
      </c>
    </row>
    <row r="17986" spans="6:8">
      <c r="H17986" t="s">
        <v>24595</v>
      </c>
    </row>
    <row r="17987" spans="6:8">
      <c r="H17987" t="s">
        <v>24596</v>
      </c>
    </row>
    <row r="17988" spans="6:8">
      <c r="H17988" t="s">
        <v>24597</v>
      </c>
    </row>
    <row r="17989" spans="6:8">
      <c r="H17989" t="s">
        <v>24598</v>
      </c>
    </row>
    <row r="17990" spans="6:8">
      <c r="F17990" t="s">
        <v>12520</v>
      </c>
      <c r="G17990" t="s">
        <v>16738</v>
      </c>
      <c r="H17990" t="s">
        <v>18829</v>
      </c>
    </row>
    <row r="17991" spans="6:8">
      <c r="H17991" t="s">
        <v>24599</v>
      </c>
    </row>
    <row r="17992" spans="6:8">
      <c r="H17992" t="s">
        <v>24600</v>
      </c>
    </row>
    <row r="17993" spans="6:8">
      <c r="H17993" t="s">
        <v>24601</v>
      </c>
    </row>
    <row r="17994" spans="6:8">
      <c r="H17994" t="s">
        <v>24602</v>
      </c>
    </row>
    <row r="17995" spans="6:8">
      <c r="H17995" t="s">
        <v>24603</v>
      </c>
    </row>
    <row r="17996" spans="6:8">
      <c r="H17996" t="s">
        <v>24604</v>
      </c>
    </row>
    <row r="17997" spans="6:8">
      <c r="H17997" t="s">
        <v>24605</v>
      </c>
    </row>
    <row r="17998" spans="6:8">
      <c r="H17998" t="s">
        <v>24606</v>
      </c>
    </row>
    <row r="17999" spans="6:8">
      <c r="H17999" t="s">
        <v>24607</v>
      </c>
    </row>
    <row r="18000" spans="6:8">
      <c r="F18000" t="s">
        <v>12521</v>
      </c>
      <c r="G18000" t="s">
        <v>16739</v>
      </c>
      <c r="H18000" t="s">
        <v>18829</v>
      </c>
    </row>
    <row r="18001" spans="6:8">
      <c r="H18001" t="s">
        <v>24608</v>
      </c>
    </row>
    <row r="18002" spans="6:8">
      <c r="H18002" t="s">
        <v>24609</v>
      </c>
    </row>
    <row r="18003" spans="6:8">
      <c r="H18003" t="s">
        <v>24610</v>
      </c>
    </row>
    <row r="18004" spans="6:8">
      <c r="H18004" t="s">
        <v>24611</v>
      </c>
    </row>
    <row r="18005" spans="6:8">
      <c r="H18005" t="s">
        <v>24612</v>
      </c>
    </row>
    <row r="18006" spans="6:8">
      <c r="H18006" t="s">
        <v>24613</v>
      </c>
    </row>
    <row r="18007" spans="6:8">
      <c r="H18007" t="s">
        <v>24614</v>
      </c>
    </row>
    <row r="18008" spans="6:8">
      <c r="H18008" t="s">
        <v>24615</v>
      </c>
    </row>
    <row r="18009" spans="6:8">
      <c r="H18009" t="s">
        <v>24616</v>
      </c>
    </row>
    <row r="18010" spans="6:8">
      <c r="F18010" t="s">
        <v>12522</v>
      </c>
      <c r="G18010" t="s">
        <v>16740</v>
      </c>
      <c r="H18010" t="s">
        <v>18829</v>
      </c>
    </row>
    <row r="18011" spans="6:8">
      <c r="H18011" t="s">
        <v>24617</v>
      </c>
    </row>
    <row r="18012" spans="6:8">
      <c r="H18012" t="s">
        <v>24618</v>
      </c>
    </row>
    <row r="18013" spans="6:8">
      <c r="H18013" t="s">
        <v>24619</v>
      </c>
    </row>
    <row r="18014" spans="6:8">
      <c r="H18014" t="s">
        <v>24620</v>
      </c>
    </row>
    <row r="18015" spans="6:8">
      <c r="H18015" t="s">
        <v>24621</v>
      </c>
    </row>
    <row r="18016" spans="6:8">
      <c r="H18016" t="s">
        <v>24622</v>
      </c>
    </row>
    <row r="18017" spans="6:8">
      <c r="H18017" t="s">
        <v>24623</v>
      </c>
    </row>
    <row r="18018" spans="6:8">
      <c r="H18018" t="s">
        <v>24624</v>
      </c>
    </row>
    <row r="18019" spans="6:8">
      <c r="H18019" t="s">
        <v>24625</v>
      </c>
    </row>
    <row r="18020" spans="6:8">
      <c r="F18020" t="s">
        <v>12523</v>
      </c>
      <c r="G18020" t="s">
        <v>16741</v>
      </c>
      <c r="H18020" t="s">
        <v>18829</v>
      </c>
    </row>
    <row r="18021" spans="6:8">
      <c r="H18021" t="s">
        <v>24626</v>
      </c>
    </row>
    <row r="18022" spans="6:8">
      <c r="H18022" t="s">
        <v>24627</v>
      </c>
    </row>
    <row r="18023" spans="6:8">
      <c r="H18023" t="s">
        <v>24628</v>
      </c>
    </row>
    <row r="18024" spans="6:8">
      <c r="H18024" t="s">
        <v>24629</v>
      </c>
    </row>
    <row r="18025" spans="6:8">
      <c r="H18025" t="s">
        <v>24630</v>
      </c>
    </row>
    <row r="18026" spans="6:8">
      <c r="H18026" t="s">
        <v>24631</v>
      </c>
    </row>
    <row r="18027" spans="6:8">
      <c r="H18027" t="s">
        <v>24632</v>
      </c>
    </row>
    <row r="18028" spans="6:8">
      <c r="H18028" t="s">
        <v>24633</v>
      </c>
    </row>
    <row r="18029" spans="6:8">
      <c r="H18029" t="s">
        <v>24634</v>
      </c>
    </row>
    <row r="18030" spans="6:8">
      <c r="F18030" t="s">
        <v>12524</v>
      </c>
      <c r="G18030" t="s">
        <v>16742</v>
      </c>
      <c r="H18030" t="s">
        <v>18829</v>
      </c>
    </row>
    <row r="18031" spans="6:8">
      <c r="H18031" t="s">
        <v>24635</v>
      </c>
    </row>
    <row r="18032" spans="6:8">
      <c r="H18032" t="s">
        <v>24636</v>
      </c>
    </row>
    <row r="18033" spans="6:8">
      <c r="H18033" t="s">
        <v>24637</v>
      </c>
    </row>
    <row r="18034" spans="6:8">
      <c r="H18034" t="s">
        <v>24638</v>
      </c>
    </row>
    <row r="18035" spans="6:8">
      <c r="H18035" t="s">
        <v>24639</v>
      </c>
    </row>
    <row r="18036" spans="6:8">
      <c r="H18036" t="s">
        <v>24640</v>
      </c>
    </row>
    <row r="18037" spans="6:8">
      <c r="H18037" t="s">
        <v>24641</v>
      </c>
    </row>
    <row r="18038" spans="6:8">
      <c r="H18038" t="s">
        <v>24642</v>
      </c>
    </row>
    <row r="18039" spans="6:8">
      <c r="H18039" t="s">
        <v>24643</v>
      </c>
    </row>
    <row r="18040" spans="6:8">
      <c r="F18040" t="s">
        <v>12525</v>
      </c>
      <c r="G18040" t="s">
        <v>16743</v>
      </c>
      <c r="H18040" t="s">
        <v>18829</v>
      </c>
    </row>
    <row r="18041" spans="6:8">
      <c r="H18041" t="s">
        <v>24644</v>
      </c>
    </row>
    <row r="18042" spans="6:8">
      <c r="H18042" t="s">
        <v>24645</v>
      </c>
    </row>
    <row r="18043" spans="6:8">
      <c r="H18043" t="s">
        <v>24646</v>
      </c>
    </row>
    <row r="18044" spans="6:8">
      <c r="H18044" t="s">
        <v>24647</v>
      </c>
    </row>
    <row r="18045" spans="6:8">
      <c r="H18045" t="s">
        <v>24648</v>
      </c>
    </row>
    <row r="18046" spans="6:8">
      <c r="H18046" t="s">
        <v>24649</v>
      </c>
    </row>
    <row r="18047" spans="6:8">
      <c r="H18047" t="s">
        <v>24650</v>
      </c>
    </row>
    <row r="18048" spans="6:8">
      <c r="H18048" t="s">
        <v>24651</v>
      </c>
    </row>
    <row r="18049" spans="6:8">
      <c r="H18049" t="s">
        <v>24652</v>
      </c>
    </row>
    <row r="18050" spans="6:8">
      <c r="F18050" t="s">
        <v>12526</v>
      </c>
      <c r="G18050" t="s">
        <v>16744</v>
      </c>
      <c r="H18050" t="s">
        <v>18829</v>
      </c>
    </row>
    <row r="18051" spans="6:8">
      <c r="H18051" t="s">
        <v>24653</v>
      </c>
    </row>
    <row r="18052" spans="6:8">
      <c r="H18052" t="s">
        <v>24654</v>
      </c>
    </row>
    <row r="18053" spans="6:8">
      <c r="H18053" t="s">
        <v>24655</v>
      </c>
    </row>
    <row r="18054" spans="6:8">
      <c r="H18054" t="s">
        <v>24656</v>
      </c>
    </row>
    <row r="18055" spans="6:8">
      <c r="H18055" t="s">
        <v>24657</v>
      </c>
    </row>
    <row r="18056" spans="6:8">
      <c r="H18056" t="s">
        <v>24658</v>
      </c>
    </row>
    <row r="18057" spans="6:8">
      <c r="H18057" t="s">
        <v>24659</v>
      </c>
    </row>
    <row r="18058" spans="6:8">
      <c r="H18058" t="s">
        <v>24660</v>
      </c>
    </row>
    <row r="18059" spans="6:8">
      <c r="H18059" t="s">
        <v>24661</v>
      </c>
    </row>
    <row r="18060" spans="6:8">
      <c r="F18060" t="s">
        <v>12527</v>
      </c>
      <c r="G18060" t="s">
        <v>16745</v>
      </c>
      <c r="H18060" t="s">
        <v>18829</v>
      </c>
    </row>
    <row r="18061" spans="6:8">
      <c r="H18061" t="s">
        <v>24662</v>
      </c>
    </row>
    <row r="18062" spans="6:8">
      <c r="H18062" t="s">
        <v>24663</v>
      </c>
    </row>
    <row r="18063" spans="6:8">
      <c r="H18063" t="s">
        <v>24664</v>
      </c>
    </row>
    <row r="18064" spans="6:8">
      <c r="H18064" t="s">
        <v>24665</v>
      </c>
    </row>
    <row r="18065" spans="6:8">
      <c r="H18065" t="s">
        <v>24666</v>
      </c>
    </row>
    <row r="18066" spans="6:8">
      <c r="H18066" t="s">
        <v>24667</v>
      </c>
    </row>
    <row r="18067" spans="6:8">
      <c r="H18067" t="s">
        <v>24668</v>
      </c>
    </row>
    <row r="18068" spans="6:8">
      <c r="H18068" t="s">
        <v>24669</v>
      </c>
    </row>
    <row r="18069" spans="6:8">
      <c r="H18069" t="s">
        <v>24670</v>
      </c>
    </row>
    <row r="18070" spans="6:8">
      <c r="F18070" t="s">
        <v>12528</v>
      </c>
      <c r="G18070" t="s">
        <v>16746</v>
      </c>
      <c r="H18070" t="s">
        <v>18829</v>
      </c>
    </row>
    <row r="18071" spans="6:8">
      <c r="H18071" t="s">
        <v>24671</v>
      </c>
    </row>
    <row r="18072" spans="6:8">
      <c r="H18072" t="s">
        <v>24672</v>
      </c>
    </row>
    <row r="18073" spans="6:8">
      <c r="H18073" t="s">
        <v>24673</v>
      </c>
    </row>
    <row r="18074" spans="6:8">
      <c r="H18074" t="s">
        <v>24674</v>
      </c>
    </row>
    <row r="18075" spans="6:8">
      <c r="H18075" t="s">
        <v>24675</v>
      </c>
    </row>
    <row r="18076" spans="6:8">
      <c r="H18076" t="s">
        <v>24676</v>
      </c>
    </row>
    <row r="18077" spans="6:8">
      <c r="H18077" t="s">
        <v>24677</v>
      </c>
    </row>
    <row r="18078" spans="6:8">
      <c r="H18078" t="s">
        <v>24678</v>
      </c>
    </row>
    <row r="18079" spans="6:8">
      <c r="H18079" t="s">
        <v>24679</v>
      </c>
    </row>
    <row r="18080" spans="6:8">
      <c r="F18080" t="s">
        <v>12529</v>
      </c>
      <c r="G18080" t="s">
        <v>16747</v>
      </c>
      <c r="H18080" t="s">
        <v>18829</v>
      </c>
    </row>
    <row r="18081" spans="6:8">
      <c r="H18081" t="s">
        <v>24680</v>
      </c>
    </row>
    <row r="18082" spans="6:8">
      <c r="H18082" t="s">
        <v>24681</v>
      </c>
    </row>
    <row r="18083" spans="6:8">
      <c r="H18083" t="s">
        <v>24682</v>
      </c>
    </row>
    <row r="18084" spans="6:8">
      <c r="H18084" t="s">
        <v>24683</v>
      </c>
    </row>
    <row r="18085" spans="6:8">
      <c r="H18085" t="s">
        <v>24684</v>
      </c>
    </row>
    <row r="18086" spans="6:8">
      <c r="H18086" t="s">
        <v>24685</v>
      </c>
    </row>
    <row r="18087" spans="6:8">
      <c r="H18087" t="s">
        <v>24686</v>
      </c>
    </row>
    <row r="18088" spans="6:8">
      <c r="H18088" t="s">
        <v>24687</v>
      </c>
    </row>
    <row r="18089" spans="6:8">
      <c r="H18089" t="s">
        <v>24688</v>
      </c>
    </row>
    <row r="18090" spans="6:8">
      <c r="F18090" t="s">
        <v>12530</v>
      </c>
      <c r="G18090" t="s">
        <v>16748</v>
      </c>
      <c r="H18090" t="s">
        <v>18829</v>
      </c>
    </row>
    <row r="18091" spans="6:8">
      <c r="H18091" t="s">
        <v>24689</v>
      </c>
    </row>
    <row r="18092" spans="6:8">
      <c r="H18092" t="s">
        <v>24690</v>
      </c>
    </row>
    <row r="18093" spans="6:8">
      <c r="H18093" t="s">
        <v>24691</v>
      </c>
    </row>
    <row r="18094" spans="6:8">
      <c r="H18094" t="s">
        <v>24692</v>
      </c>
    </row>
    <row r="18095" spans="6:8">
      <c r="H18095" t="s">
        <v>24693</v>
      </c>
    </row>
    <row r="18096" spans="6:8">
      <c r="H18096" t="s">
        <v>24694</v>
      </c>
    </row>
    <row r="18097" spans="6:8">
      <c r="H18097" t="s">
        <v>24695</v>
      </c>
    </row>
    <row r="18098" spans="6:8">
      <c r="H18098" t="s">
        <v>24696</v>
      </c>
    </row>
    <row r="18099" spans="6:8">
      <c r="H18099" t="s">
        <v>24697</v>
      </c>
    </row>
    <row r="18100" spans="6:8">
      <c r="F18100" t="s">
        <v>12531</v>
      </c>
      <c r="G18100" t="s">
        <v>16749</v>
      </c>
      <c r="H18100" t="s">
        <v>18829</v>
      </c>
    </row>
    <row r="18101" spans="6:8">
      <c r="H18101" t="s">
        <v>24698</v>
      </c>
    </row>
    <row r="18102" spans="6:8">
      <c r="H18102" t="s">
        <v>24699</v>
      </c>
    </row>
    <row r="18103" spans="6:8">
      <c r="H18103" t="s">
        <v>24700</v>
      </c>
    </row>
    <row r="18104" spans="6:8">
      <c r="H18104" t="s">
        <v>24701</v>
      </c>
    </row>
    <row r="18105" spans="6:8">
      <c r="H18105" t="s">
        <v>24702</v>
      </c>
    </row>
    <row r="18106" spans="6:8">
      <c r="H18106" t="s">
        <v>24703</v>
      </c>
    </row>
    <row r="18107" spans="6:8">
      <c r="H18107" t="s">
        <v>24704</v>
      </c>
    </row>
    <row r="18108" spans="6:8">
      <c r="H18108" t="s">
        <v>24705</v>
      </c>
    </row>
    <row r="18109" spans="6:8">
      <c r="H18109" t="s">
        <v>24706</v>
      </c>
    </row>
    <row r="18110" spans="6:8">
      <c r="F18110" t="s">
        <v>12532</v>
      </c>
      <c r="G18110" t="s">
        <v>16750</v>
      </c>
      <c r="H18110" t="s">
        <v>18829</v>
      </c>
    </row>
    <row r="18111" spans="6:8">
      <c r="H18111" t="s">
        <v>24707</v>
      </c>
    </row>
    <row r="18112" spans="6:8">
      <c r="H18112" t="s">
        <v>24708</v>
      </c>
    </row>
    <row r="18113" spans="6:8">
      <c r="H18113" t="s">
        <v>24709</v>
      </c>
    </row>
    <row r="18114" spans="6:8">
      <c r="H18114" t="s">
        <v>24710</v>
      </c>
    </row>
    <row r="18115" spans="6:8">
      <c r="H18115" t="s">
        <v>24711</v>
      </c>
    </row>
    <row r="18116" spans="6:8">
      <c r="H18116" t="s">
        <v>24712</v>
      </c>
    </row>
    <row r="18117" spans="6:8">
      <c r="H18117" t="s">
        <v>24713</v>
      </c>
    </row>
    <row r="18118" spans="6:8">
      <c r="H18118" t="s">
        <v>24714</v>
      </c>
    </row>
    <row r="18119" spans="6:8">
      <c r="H18119" t="s">
        <v>24715</v>
      </c>
    </row>
    <row r="18120" spans="6:8">
      <c r="F18120" t="s">
        <v>12533</v>
      </c>
      <c r="G18120" t="s">
        <v>16751</v>
      </c>
      <c r="H18120" t="s">
        <v>18829</v>
      </c>
    </row>
    <row r="18121" spans="6:8">
      <c r="H18121" t="s">
        <v>24716</v>
      </c>
    </row>
    <row r="18122" spans="6:8">
      <c r="H18122" t="s">
        <v>24717</v>
      </c>
    </row>
    <row r="18123" spans="6:8">
      <c r="H18123" t="s">
        <v>24718</v>
      </c>
    </row>
    <row r="18124" spans="6:8">
      <c r="H18124" t="s">
        <v>24719</v>
      </c>
    </row>
    <row r="18125" spans="6:8">
      <c r="H18125" t="s">
        <v>24720</v>
      </c>
    </row>
    <row r="18126" spans="6:8">
      <c r="H18126" t="s">
        <v>24721</v>
      </c>
    </row>
    <row r="18127" spans="6:8">
      <c r="H18127" t="s">
        <v>24722</v>
      </c>
    </row>
    <row r="18128" spans="6:8">
      <c r="H18128" t="s">
        <v>24723</v>
      </c>
    </row>
    <row r="18129" spans="6:8">
      <c r="H18129" t="s">
        <v>24724</v>
      </c>
    </row>
    <row r="18130" spans="6:8">
      <c r="F18130" t="s">
        <v>12534</v>
      </c>
      <c r="G18130" t="s">
        <v>16752</v>
      </c>
      <c r="H18130" t="s">
        <v>18829</v>
      </c>
    </row>
    <row r="18131" spans="6:8">
      <c r="H18131" t="s">
        <v>24725</v>
      </c>
    </row>
    <row r="18132" spans="6:8">
      <c r="H18132" t="s">
        <v>24726</v>
      </c>
    </row>
    <row r="18133" spans="6:8">
      <c r="H18133" t="s">
        <v>24727</v>
      </c>
    </row>
    <row r="18134" spans="6:8">
      <c r="H18134" t="s">
        <v>24728</v>
      </c>
    </row>
    <row r="18135" spans="6:8">
      <c r="H18135" t="s">
        <v>24729</v>
      </c>
    </row>
    <row r="18136" spans="6:8">
      <c r="H18136" t="s">
        <v>24730</v>
      </c>
    </row>
    <row r="18137" spans="6:8">
      <c r="H18137" t="s">
        <v>24731</v>
      </c>
    </row>
    <row r="18138" spans="6:8">
      <c r="H18138" t="s">
        <v>24732</v>
      </c>
    </row>
    <row r="18139" spans="6:8">
      <c r="H18139" t="s">
        <v>24733</v>
      </c>
    </row>
    <row r="18140" spans="6:8">
      <c r="F18140" t="s">
        <v>12535</v>
      </c>
      <c r="G18140" t="s">
        <v>16753</v>
      </c>
      <c r="H18140" t="s">
        <v>18829</v>
      </c>
    </row>
    <row r="18141" spans="6:8">
      <c r="H18141" t="s">
        <v>24734</v>
      </c>
    </row>
    <row r="18142" spans="6:8">
      <c r="H18142" t="s">
        <v>24735</v>
      </c>
    </row>
    <row r="18143" spans="6:8">
      <c r="H18143" t="s">
        <v>24736</v>
      </c>
    </row>
    <row r="18144" spans="6:8">
      <c r="H18144" t="s">
        <v>24737</v>
      </c>
    </row>
    <row r="18145" spans="6:8">
      <c r="H18145" t="s">
        <v>24738</v>
      </c>
    </row>
    <row r="18146" spans="6:8">
      <c r="H18146" t="s">
        <v>24739</v>
      </c>
    </row>
    <row r="18147" spans="6:8">
      <c r="H18147" t="s">
        <v>24740</v>
      </c>
    </row>
    <row r="18148" spans="6:8">
      <c r="H18148" t="s">
        <v>24741</v>
      </c>
    </row>
    <row r="18149" spans="6:8">
      <c r="H18149" t="s">
        <v>24742</v>
      </c>
    </row>
    <row r="18150" spans="6:8">
      <c r="F18150" t="s">
        <v>12536</v>
      </c>
      <c r="G18150" t="s">
        <v>16754</v>
      </c>
      <c r="H18150" t="s">
        <v>18829</v>
      </c>
    </row>
    <row r="18151" spans="6:8">
      <c r="H18151" t="s">
        <v>24743</v>
      </c>
    </row>
    <row r="18152" spans="6:8">
      <c r="H18152" t="s">
        <v>24744</v>
      </c>
    </row>
    <row r="18153" spans="6:8">
      <c r="H18153" t="s">
        <v>24745</v>
      </c>
    </row>
    <row r="18154" spans="6:8">
      <c r="H18154" t="s">
        <v>24746</v>
      </c>
    </row>
    <row r="18155" spans="6:8">
      <c r="H18155" t="s">
        <v>24747</v>
      </c>
    </row>
    <row r="18156" spans="6:8">
      <c r="H18156" t="s">
        <v>24748</v>
      </c>
    </row>
    <row r="18157" spans="6:8">
      <c r="H18157" t="s">
        <v>24749</v>
      </c>
    </row>
    <row r="18158" spans="6:8">
      <c r="H18158" t="s">
        <v>24750</v>
      </c>
    </row>
    <row r="18159" spans="6:8">
      <c r="H18159" t="s">
        <v>24751</v>
      </c>
    </row>
    <row r="18160" spans="6:8">
      <c r="F18160" t="s">
        <v>12537</v>
      </c>
      <c r="G18160" t="s">
        <v>16755</v>
      </c>
      <c r="H18160" t="s">
        <v>18829</v>
      </c>
    </row>
    <row r="18161" spans="6:8">
      <c r="H18161" t="s">
        <v>24752</v>
      </c>
    </row>
    <row r="18162" spans="6:8">
      <c r="H18162" t="s">
        <v>24753</v>
      </c>
    </row>
    <row r="18163" spans="6:8">
      <c r="H18163" t="s">
        <v>24754</v>
      </c>
    </row>
    <row r="18164" spans="6:8">
      <c r="H18164" t="s">
        <v>24755</v>
      </c>
    </row>
    <row r="18165" spans="6:8">
      <c r="H18165" t="s">
        <v>24756</v>
      </c>
    </row>
    <row r="18166" spans="6:8">
      <c r="H18166" t="s">
        <v>24757</v>
      </c>
    </row>
    <row r="18167" spans="6:8">
      <c r="H18167" t="s">
        <v>24758</v>
      </c>
    </row>
    <row r="18168" spans="6:8">
      <c r="H18168" t="s">
        <v>24759</v>
      </c>
    </row>
    <row r="18169" spans="6:8">
      <c r="H18169" t="s">
        <v>20408</v>
      </c>
    </row>
    <row r="18170" spans="6:8">
      <c r="F18170" t="s">
        <v>12538</v>
      </c>
      <c r="G18170" t="s">
        <v>16756</v>
      </c>
      <c r="H18170" t="s">
        <v>18829</v>
      </c>
    </row>
    <row r="18171" spans="6:8">
      <c r="H18171" t="s">
        <v>24760</v>
      </c>
    </row>
    <row r="18172" spans="6:8">
      <c r="H18172" t="s">
        <v>24761</v>
      </c>
    </row>
    <row r="18173" spans="6:8">
      <c r="H18173" t="s">
        <v>24762</v>
      </c>
    </row>
    <row r="18174" spans="6:8">
      <c r="H18174" t="s">
        <v>24763</v>
      </c>
    </row>
    <row r="18175" spans="6:8">
      <c r="H18175" t="s">
        <v>24764</v>
      </c>
    </row>
    <row r="18176" spans="6:8">
      <c r="H18176" t="s">
        <v>24765</v>
      </c>
    </row>
    <row r="18177" spans="6:8">
      <c r="H18177" t="s">
        <v>24766</v>
      </c>
    </row>
    <row r="18178" spans="6:8">
      <c r="H18178" t="s">
        <v>24767</v>
      </c>
    </row>
    <row r="18179" spans="6:8">
      <c r="H18179" t="s">
        <v>24768</v>
      </c>
    </row>
    <row r="18180" spans="6:8">
      <c r="F18180" t="s">
        <v>12539</v>
      </c>
      <c r="G18180" t="s">
        <v>16539</v>
      </c>
      <c r="H18180" t="s">
        <v>18829</v>
      </c>
    </row>
    <row r="18181" spans="6:8">
      <c r="H18181" t="s">
        <v>24769</v>
      </c>
    </row>
    <row r="18182" spans="6:8">
      <c r="H18182" t="s">
        <v>21980</v>
      </c>
    </row>
    <row r="18183" spans="6:8">
      <c r="H18183" t="s">
        <v>24770</v>
      </c>
    </row>
    <row r="18184" spans="6:8">
      <c r="H18184" t="s">
        <v>21981</v>
      </c>
    </row>
    <row r="18185" spans="6:8">
      <c r="H18185" t="s">
        <v>24771</v>
      </c>
    </row>
    <row r="18186" spans="6:8">
      <c r="H18186" t="s">
        <v>21982</v>
      </c>
    </row>
    <row r="18187" spans="6:8">
      <c r="H18187" t="s">
        <v>24772</v>
      </c>
    </row>
    <row r="18188" spans="6:8">
      <c r="H18188" t="s">
        <v>21983</v>
      </c>
    </row>
    <row r="18189" spans="6:8">
      <c r="H18189" t="s">
        <v>24773</v>
      </c>
    </row>
    <row r="18190" spans="6:8">
      <c r="F18190" t="s">
        <v>12540</v>
      </c>
      <c r="G18190" t="s">
        <v>16757</v>
      </c>
      <c r="H18190" t="s">
        <v>18829</v>
      </c>
    </row>
    <row r="18191" spans="6:8">
      <c r="H18191" t="s">
        <v>24774</v>
      </c>
    </row>
    <row r="18192" spans="6:8">
      <c r="H18192" t="s">
        <v>24775</v>
      </c>
    </row>
    <row r="18193" spans="6:8">
      <c r="H18193" t="s">
        <v>24776</v>
      </c>
    </row>
    <row r="18194" spans="6:8">
      <c r="H18194" t="s">
        <v>24777</v>
      </c>
    </row>
    <row r="18195" spans="6:8">
      <c r="H18195" t="s">
        <v>24778</v>
      </c>
    </row>
    <row r="18196" spans="6:8">
      <c r="H18196" t="s">
        <v>24779</v>
      </c>
    </row>
    <row r="18197" spans="6:8">
      <c r="H18197" t="s">
        <v>24780</v>
      </c>
    </row>
    <row r="18198" spans="6:8">
      <c r="H18198" t="s">
        <v>24781</v>
      </c>
    </row>
    <row r="18199" spans="6:8">
      <c r="H18199" t="s">
        <v>24782</v>
      </c>
    </row>
    <row r="18200" spans="6:8">
      <c r="F18200" t="s">
        <v>12541</v>
      </c>
      <c r="G18200" t="s">
        <v>16758</v>
      </c>
      <c r="H18200" t="s">
        <v>18829</v>
      </c>
    </row>
    <row r="18201" spans="6:8">
      <c r="H18201" t="s">
        <v>24783</v>
      </c>
    </row>
    <row r="18202" spans="6:8">
      <c r="H18202" t="s">
        <v>24784</v>
      </c>
    </row>
    <row r="18203" spans="6:8">
      <c r="H18203" t="s">
        <v>24785</v>
      </c>
    </row>
    <row r="18204" spans="6:8">
      <c r="H18204" t="s">
        <v>24786</v>
      </c>
    </row>
    <row r="18205" spans="6:8">
      <c r="H18205" t="s">
        <v>24787</v>
      </c>
    </row>
    <row r="18206" spans="6:8">
      <c r="H18206" t="s">
        <v>24788</v>
      </c>
    </row>
    <row r="18207" spans="6:8">
      <c r="H18207" t="s">
        <v>24789</v>
      </c>
    </row>
    <row r="18208" spans="6:8">
      <c r="H18208" t="s">
        <v>24790</v>
      </c>
    </row>
    <row r="18209" spans="6:8">
      <c r="H18209" t="s">
        <v>24791</v>
      </c>
    </row>
    <row r="18210" spans="6:8">
      <c r="F18210" t="s">
        <v>12542</v>
      </c>
      <c r="G18210" t="s">
        <v>16759</v>
      </c>
      <c r="H18210" t="s">
        <v>18829</v>
      </c>
    </row>
    <row r="18211" spans="6:8">
      <c r="H18211" t="s">
        <v>24792</v>
      </c>
    </row>
    <row r="18212" spans="6:8">
      <c r="H18212" t="s">
        <v>24793</v>
      </c>
    </row>
    <row r="18213" spans="6:8">
      <c r="H18213" t="s">
        <v>24794</v>
      </c>
    </row>
    <row r="18214" spans="6:8">
      <c r="H18214" t="s">
        <v>24795</v>
      </c>
    </row>
    <row r="18215" spans="6:8">
      <c r="H18215" t="s">
        <v>24796</v>
      </c>
    </row>
    <row r="18216" spans="6:8">
      <c r="H18216" t="s">
        <v>24797</v>
      </c>
    </row>
    <row r="18217" spans="6:8">
      <c r="H18217" t="s">
        <v>24798</v>
      </c>
    </row>
    <row r="18218" spans="6:8">
      <c r="H18218" t="s">
        <v>24799</v>
      </c>
    </row>
    <row r="18219" spans="6:8">
      <c r="H18219" t="s">
        <v>24800</v>
      </c>
    </row>
    <row r="18220" spans="6:8">
      <c r="F18220" t="s">
        <v>12543</v>
      </c>
      <c r="G18220" t="s">
        <v>16760</v>
      </c>
      <c r="H18220" t="s">
        <v>18829</v>
      </c>
    </row>
    <row r="18221" spans="6:8">
      <c r="H18221" t="s">
        <v>24801</v>
      </c>
    </row>
    <row r="18222" spans="6:8">
      <c r="H18222" t="s">
        <v>24802</v>
      </c>
    </row>
    <row r="18223" spans="6:8">
      <c r="H18223" t="s">
        <v>24803</v>
      </c>
    </row>
    <row r="18224" spans="6:8">
      <c r="H18224" t="s">
        <v>24804</v>
      </c>
    </row>
    <row r="18225" spans="6:8">
      <c r="H18225" t="s">
        <v>24805</v>
      </c>
    </row>
    <row r="18226" spans="6:8">
      <c r="H18226" t="s">
        <v>24806</v>
      </c>
    </row>
    <row r="18227" spans="6:8">
      <c r="H18227" t="s">
        <v>24807</v>
      </c>
    </row>
    <row r="18228" spans="6:8">
      <c r="H18228" t="s">
        <v>24808</v>
      </c>
    </row>
    <row r="18229" spans="6:8">
      <c r="H18229" t="s">
        <v>24809</v>
      </c>
    </row>
    <row r="18230" spans="6:8">
      <c r="F18230" t="s">
        <v>12544</v>
      </c>
      <c r="G18230" t="s">
        <v>16761</v>
      </c>
      <c r="H18230" t="s">
        <v>18829</v>
      </c>
    </row>
    <row r="18231" spans="6:8">
      <c r="H18231" t="s">
        <v>24810</v>
      </c>
    </row>
    <row r="18232" spans="6:8">
      <c r="H18232" t="s">
        <v>24811</v>
      </c>
    </row>
    <row r="18233" spans="6:8">
      <c r="H18233" t="s">
        <v>24812</v>
      </c>
    </row>
    <row r="18234" spans="6:8">
      <c r="H18234" t="s">
        <v>24813</v>
      </c>
    </row>
    <row r="18235" spans="6:8">
      <c r="H18235" t="s">
        <v>24814</v>
      </c>
    </row>
    <row r="18236" spans="6:8">
      <c r="H18236" t="s">
        <v>24815</v>
      </c>
    </row>
    <row r="18237" spans="6:8">
      <c r="H18237" t="s">
        <v>24816</v>
      </c>
    </row>
    <row r="18238" spans="6:8">
      <c r="H18238" t="s">
        <v>24817</v>
      </c>
    </row>
    <row r="18239" spans="6:8">
      <c r="H18239" t="s">
        <v>24818</v>
      </c>
    </row>
    <row r="18240" spans="6:8">
      <c r="F18240" t="s">
        <v>12545</v>
      </c>
      <c r="G18240" t="s">
        <v>16547</v>
      </c>
      <c r="H18240" t="s">
        <v>18829</v>
      </c>
    </row>
    <row r="18241" spans="6:8">
      <c r="H18241" t="s">
        <v>24819</v>
      </c>
    </row>
    <row r="18242" spans="6:8">
      <c r="H18242" t="s">
        <v>22010</v>
      </c>
    </row>
    <row r="18243" spans="6:8">
      <c r="H18243" t="s">
        <v>24820</v>
      </c>
    </row>
    <row r="18244" spans="6:8">
      <c r="H18244" t="s">
        <v>22011</v>
      </c>
    </row>
    <row r="18245" spans="6:8">
      <c r="H18245" t="s">
        <v>24821</v>
      </c>
    </row>
    <row r="18246" spans="6:8">
      <c r="H18246" t="s">
        <v>22012</v>
      </c>
    </row>
    <row r="18247" spans="6:8">
      <c r="H18247" t="s">
        <v>24822</v>
      </c>
    </row>
    <row r="18248" spans="6:8">
      <c r="H18248" t="s">
        <v>22013</v>
      </c>
    </row>
    <row r="18249" spans="6:8">
      <c r="H18249" t="s">
        <v>24823</v>
      </c>
    </row>
    <row r="18250" spans="6:8">
      <c r="F18250" t="s">
        <v>12546</v>
      </c>
      <c r="G18250" t="s">
        <v>16762</v>
      </c>
      <c r="H18250" t="s">
        <v>18829</v>
      </c>
    </row>
    <row r="18251" spans="6:8">
      <c r="H18251" t="s">
        <v>24824</v>
      </c>
    </row>
    <row r="18252" spans="6:8">
      <c r="H18252" t="s">
        <v>24825</v>
      </c>
    </row>
    <row r="18253" spans="6:8">
      <c r="H18253" t="s">
        <v>24826</v>
      </c>
    </row>
    <row r="18254" spans="6:8">
      <c r="H18254" t="s">
        <v>24827</v>
      </c>
    </row>
    <row r="18255" spans="6:8">
      <c r="H18255" t="s">
        <v>24828</v>
      </c>
    </row>
    <row r="18256" spans="6:8">
      <c r="H18256" t="s">
        <v>24829</v>
      </c>
    </row>
    <row r="18257" spans="6:8">
      <c r="H18257" t="s">
        <v>24830</v>
      </c>
    </row>
    <row r="18258" spans="6:8">
      <c r="H18258" t="s">
        <v>24831</v>
      </c>
    </row>
    <row r="18259" spans="6:8">
      <c r="H18259" t="s">
        <v>24832</v>
      </c>
    </row>
    <row r="18260" spans="6:8">
      <c r="F18260" t="s">
        <v>12547</v>
      </c>
      <c r="G18260" t="s">
        <v>16763</v>
      </c>
      <c r="H18260" t="s">
        <v>18829</v>
      </c>
    </row>
    <row r="18261" spans="6:8">
      <c r="H18261" t="s">
        <v>24833</v>
      </c>
    </row>
    <row r="18262" spans="6:8">
      <c r="H18262" t="s">
        <v>24834</v>
      </c>
    </row>
    <row r="18263" spans="6:8">
      <c r="H18263" t="s">
        <v>24835</v>
      </c>
    </row>
    <row r="18264" spans="6:8">
      <c r="H18264" t="s">
        <v>24836</v>
      </c>
    </row>
    <row r="18265" spans="6:8">
      <c r="H18265" t="s">
        <v>24837</v>
      </c>
    </row>
    <row r="18266" spans="6:8">
      <c r="H18266" t="s">
        <v>24838</v>
      </c>
    </row>
    <row r="18267" spans="6:8">
      <c r="H18267" t="s">
        <v>24839</v>
      </c>
    </row>
    <row r="18268" spans="6:8">
      <c r="H18268" t="s">
        <v>24840</v>
      </c>
    </row>
    <row r="18269" spans="6:8">
      <c r="H18269" t="s">
        <v>24841</v>
      </c>
    </row>
    <row r="18270" spans="6:8">
      <c r="F18270" t="s">
        <v>12548</v>
      </c>
      <c r="G18270" t="s">
        <v>16764</v>
      </c>
      <c r="H18270" t="s">
        <v>18829</v>
      </c>
    </row>
    <row r="18271" spans="6:8">
      <c r="H18271" t="s">
        <v>24842</v>
      </c>
    </row>
    <row r="18272" spans="6:8">
      <c r="H18272" t="s">
        <v>24843</v>
      </c>
    </row>
    <row r="18273" spans="6:8">
      <c r="H18273" t="s">
        <v>24844</v>
      </c>
    </row>
    <row r="18274" spans="6:8">
      <c r="H18274" t="s">
        <v>24845</v>
      </c>
    </row>
    <row r="18275" spans="6:8">
      <c r="H18275" t="s">
        <v>24846</v>
      </c>
    </row>
    <row r="18276" spans="6:8">
      <c r="H18276" t="s">
        <v>24847</v>
      </c>
    </row>
    <row r="18277" spans="6:8">
      <c r="H18277" t="s">
        <v>24848</v>
      </c>
    </row>
    <row r="18278" spans="6:8">
      <c r="H18278" t="s">
        <v>24849</v>
      </c>
    </row>
    <row r="18279" spans="6:8">
      <c r="H18279" t="s">
        <v>24850</v>
      </c>
    </row>
    <row r="18280" spans="6:8">
      <c r="F18280" t="s">
        <v>12549</v>
      </c>
      <c r="G18280" t="s">
        <v>16765</v>
      </c>
      <c r="H18280" t="s">
        <v>18829</v>
      </c>
    </row>
    <row r="18281" spans="6:8">
      <c r="H18281" t="s">
        <v>24851</v>
      </c>
    </row>
    <row r="18282" spans="6:8">
      <c r="H18282" t="s">
        <v>24852</v>
      </c>
    </row>
    <row r="18283" spans="6:8">
      <c r="H18283" t="s">
        <v>24853</v>
      </c>
    </row>
    <row r="18284" spans="6:8">
      <c r="H18284" t="s">
        <v>24854</v>
      </c>
    </row>
    <row r="18285" spans="6:8">
      <c r="H18285" t="s">
        <v>24855</v>
      </c>
    </row>
    <row r="18286" spans="6:8">
      <c r="H18286" t="s">
        <v>24856</v>
      </c>
    </row>
    <row r="18287" spans="6:8">
      <c r="H18287" t="s">
        <v>24857</v>
      </c>
    </row>
    <row r="18288" spans="6:8">
      <c r="H18288" t="s">
        <v>24858</v>
      </c>
    </row>
    <row r="18289" spans="6:8">
      <c r="H18289" t="s">
        <v>24859</v>
      </c>
    </row>
    <row r="18290" spans="6:8">
      <c r="F18290" t="s">
        <v>12550</v>
      </c>
      <c r="G18290" t="s">
        <v>16766</v>
      </c>
      <c r="H18290" t="s">
        <v>18829</v>
      </c>
    </row>
    <row r="18291" spans="6:8">
      <c r="H18291" t="s">
        <v>24860</v>
      </c>
    </row>
    <row r="18292" spans="6:8">
      <c r="H18292" t="s">
        <v>24861</v>
      </c>
    </row>
    <row r="18293" spans="6:8">
      <c r="H18293" t="s">
        <v>24862</v>
      </c>
    </row>
    <row r="18294" spans="6:8">
      <c r="H18294" t="s">
        <v>24863</v>
      </c>
    </row>
    <row r="18295" spans="6:8">
      <c r="H18295" t="s">
        <v>24864</v>
      </c>
    </row>
    <row r="18296" spans="6:8">
      <c r="H18296" t="s">
        <v>24865</v>
      </c>
    </row>
    <row r="18297" spans="6:8">
      <c r="H18297" t="s">
        <v>24866</v>
      </c>
    </row>
    <row r="18298" spans="6:8">
      <c r="H18298" t="s">
        <v>24867</v>
      </c>
    </row>
    <row r="18299" spans="6:8">
      <c r="H18299" t="s">
        <v>24868</v>
      </c>
    </row>
    <row r="18300" spans="6:8">
      <c r="F18300" t="s">
        <v>12551</v>
      </c>
      <c r="G18300" t="s">
        <v>16767</v>
      </c>
      <c r="H18300" t="s">
        <v>18829</v>
      </c>
    </row>
    <row r="18301" spans="6:8">
      <c r="H18301" t="s">
        <v>24869</v>
      </c>
    </row>
    <row r="18302" spans="6:8">
      <c r="H18302" t="s">
        <v>24870</v>
      </c>
    </row>
    <row r="18303" spans="6:8">
      <c r="H18303" t="s">
        <v>24871</v>
      </c>
    </row>
    <row r="18304" spans="6:8">
      <c r="H18304" t="s">
        <v>24872</v>
      </c>
    </row>
    <row r="18305" spans="6:8">
      <c r="H18305" t="s">
        <v>24873</v>
      </c>
    </row>
    <row r="18306" spans="6:8">
      <c r="H18306" t="s">
        <v>24874</v>
      </c>
    </row>
    <row r="18307" spans="6:8">
      <c r="H18307" t="s">
        <v>24875</v>
      </c>
    </row>
    <row r="18308" spans="6:8">
      <c r="H18308" t="s">
        <v>24876</v>
      </c>
    </row>
    <row r="18309" spans="6:8">
      <c r="H18309" t="s">
        <v>24877</v>
      </c>
    </row>
    <row r="18310" spans="6:8">
      <c r="F18310" t="s">
        <v>12552</v>
      </c>
      <c r="G18310" t="s">
        <v>16768</v>
      </c>
      <c r="H18310" t="s">
        <v>18829</v>
      </c>
    </row>
    <row r="18311" spans="6:8">
      <c r="H18311" t="s">
        <v>24878</v>
      </c>
    </row>
    <row r="18312" spans="6:8">
      <c r="H18312" t="s">
        <v>24879</v>
      </c>
    </row>
    <row r="18313" spans="6:8">
      <c r="H18313" t="s">
        <v>24880</v>
      </c>
    </row>
    <row r="18314" spans="6:8">
      <c r="H18314" t="s">
        <v>24881</v>
      </c>
    </row>
    <row r="18315" spans="6:8">
      <c r="H18315" t="s">
        <v>24882</v>
      </c>
    </row>
    <row r="18316" spans="6:8">
      <c r="H18316" t="s">
        <v>24883</v>
      </c>
    </row>
    <row r="18317" spans="6:8">
      <c r="H18317" t="s">
        <v>24884</v>
      </c>
    </row>
    <row r="18318" spans="6:8">
      <c r="H18318" t="s">
        <v>24885</v>
      </c>
    </row>
    <row r="18319" spans="6:8">
      <c r="H18319" t="s">
        <v>24886</v>
      </c>
    </row>
    <row r="18320" spans="6:8">
      <c r="F18320" t="s">
        <v>12553</v>
      </c>
      <c r="G18320" t="s">
        <v>16769</v>
      </c>
      <c r="H18320" t="s">
        <v>18829</v>
      </c>
    </row>
    <row r="18321" spans="6:8">
      <c r="H18321" t="s">
        <v>24887</v>
      </c>
    </row>
    <row r="18322" spans="6:8">
      <c r="H18322" t="s">
        <v>24888</v>
      </c>
    </row>
    <row r="18323" spans="6:8">
      <c r="H18323" t="s">
        <v>24889</v>
      </c>
    </row>
    <row r="18324" spans="6:8">
      <c r="H18324" t="s">
        <v>24890</v>
      </c>
    </row>
    <row r="18325" spans="6:8">
      <c r="H18325" t="s">
        <v>24891</v>
      </c>
    </row>
    <row r="18326" spans="6:8">
      <c r="H18326" t="s">
        <v>24892</v>
      </c>
    </row>
    <row r="18327" spans="6:8">
      <c r="H18327" t="s">
        <v>24893</v>
      </c>
    </row>
    <row r="18328" spans="6:8">
      <c r="H18328" t="s">
        <v>24894</v>
      </c>
    </row>
    <row r="18329" spans="6:8">
      <c r="H18329" t="s">
        <v>24895</v>
      </c>
    </row>
    <row r="18330" spans="6:8">
      <c r="F18330" t="s">
        <v>12554</v>
      </c>
      <c r="G18330" t="s">
        <v>16770</v>
      </c>
      <c r="H18330" t="s">
        <v>18829</v>
      </c>
    </row>
    <row r="18331" spans="6:8">
      <c r="H18331" t="s">
        <v>24896</v>
      </c>
    </row>
    <row r="18332" spans="6:8">
      <c r="H18332" t="s">
        <v>24897</v>
      </c>
    </row>
    <row r="18333" spans="6:8">
      <c r="H18333" t="s">
        <v>24898</v>
      </c>
    </row>
    <row r="18334" spans="6:8">
      <c r="H18334" t="s">
        <v>24899</v>
      </c>
    </row>
    <row r="18335" spans="6:8">
      <c r="H18335" t="s">
        <v>24900</v>
      </c>
    </row>
    <row r="18336" spans="6:8">
      <c r="H18336" t="s">
        <v>24901</v>
      </c>
    </row>
    <row r="18337" spans="6:8">
      <c r="H18337" t="s">
        <v>24902</v>
      </c>
    </row>
    <row r="18338" spans="6:8">
      <c r="H18338" t="s">
        <v>24903</v>
      </c>
    </row>
    <row r="18339" spans="6:8">
      <c r="H18339" t="s">
        <v>24904</v>
      </c>
    </row>
    <row r="18340" spans="6:8">
      <c r="H18340" t="s">
        <v>24905</v>
      </c>
    </row>
    <row r="18341" spans="6:8">
      <c r="H18341" t="s">
        <v>24906</v>
      </c>
    </row>
    <row r="18342" spans="6:8">
      <c r="H18342" t="s">
        <v>24907</v>
      </c>
    </row>
    <row r="18343" spans="6:8">
      <c r="H18343" t="s">
        <v>24908</v>
      </c>
    </row>
    <row r="18344" spans="6:8">
      <c r="H18344" t="s">
        <v>24909</v>
      </c>
    </row>
    <row r="18345" spans="6:8">
      <c r="H18345" t="s">
        <v>24910</v>
      </c>
    </row>
    <row r="18346" spans="6:8">
      <c r="H18346" t="s">
        <v>24911</v>
      </c>
    </row>
    <row r="18347" spans="6:8">
      <c r="H18347" t="s">
        <v>24912</v>
      </c>
    </row>
    <row r="18348" spans="6:8">
      <c r="H18348" t="s">
        <v>24913</v>
      </c>
    </row>
    <row r="18349" spans="6:8">
      <c r="H18349" t="s">
        <v>24914</v>
      </c>
    </row>
    <row r="18350" spans="6:8">
      <c r="H18350" t="s">
        <v>24915</v>
      </c>
    </row>
    <row r="18351" spans="6:8">
      <c r="H18351" t="s">
        <v>24916</v>
      </c>
    </row>
    <row r="18352" spans="6:8">
      <c r="F18352" t="s">
        <v>12555</v>
      </c>
      <c r="G18352" t="s">
        <v>16771</v>
      </c>
      <c r="H18352" t="s">
        <v>18829</v>
      </c>
    </row>
    <row r="18353" spans="6:8">
      <c r="H18353" t="s">
        <v>24917</v>
      </c>
    </row>
    <row r="18354" spans="6:8">
      <c r="H18354" t="s">
        <v>24918</v>
      </c>
    </row>
    <row r="18355" spans="6:8">
      <c r="H18355" t="s">
        <v>24919</v>
      </c>
    </row>
    <row r="18356" spans="6:8">
      <c r="H18356" t="s">
        <v>24920</v>
      </c>
    </row>
    <row r="18357" spans="6:8">
      <c r="H18357" t="s">
        <v>24921</v>
      </c>
    </row>
    <row r="18358" spans="6:8">
      <c r="H18358" t="s">
        <v>24922</v>
      </c>
    </row>
    <row r="18359" spans="6:8">
      <c r="H18359" t="s">
        <v>24923</v>
      </c>
    </row>
    <row r="18360" spans="6:8">
      <c r="H18360" t="s">
        <v>24924</v>
      </c>
    </row>
    <row r="18361" spans="6:8">
      <c r="H18361" t="s">
        <v>24925</v>
      </c>
    </row>
    <row r="18362" spans="6:8">
      <c r="F18362" t="s">
        <v>12556</v>
      </c>
      <c r="G18362" t="s">
        <v>16772</v>
      </c>
      <c r="H18362" t="s">
        <v>18829</v>
      </c>
    </row>
    <row r="18363" spans="6:8">
      <c r="H18363" t="s">
        <v>24926</v>
      </c>
    </row>
    <row r="18364" spans="6:8">
      <c r="H18364" t="s">
        <v>24927</v>
      </c>
    </row>
    <row r="18365" spans="6:8">
      <c r="H18365" t="s">
        <v>24928</v>
      </c>
    </row>
    <row r="18366" spans="6:8">
      <c r="H18366" t="s">
        <v>24929</v>
      </c>
    </row>
    <row r="18367" spans="6:8">
      <c r="H18367" t="s">
        <v>24930</v>
      </c>
    </row>
    <row r="18368" spans="6:8">
      <c r="H18368" t="s">
        <v>24931</v>
      </c>
    </row>
    <row r="18369" spans="6:8">
      <c r="H18369" t="s">
        <v>24932</v>
      </c>
    </row>
    <row r="18370" spans="6:8">
      <c r="H18370" t="s">
        <v>24933</v>
      </c>
    </row>
    <row r="18371" spans="6:8">
      <c r="H18371" t="s">
        <v>24934</v>
      </c>
    </row>
    <row r="18372" spans="6:8">
      <c r="F18372" t="s">
        <v>12557</v>
      </c>
      <c r="G18372" t="s">
        <v>16773</v>
      </c>
      <c r="H18372" t="s">
        <v>18829</v>
      </c>
    </row>
    <row r="18373" spans="6:8">
      <c r="H18373" t="s">
        <v>24935</v>
      </c>
    </row>
    <row r="18374" spans="6:8">
      <c r="H18374" t="s">
        <v>24936</v>
      </c>
    </row>
    <row r="18375" spans="6:8">
      <c r="H18375" t="s">
        <v>24937</v>
      </c>
    </row>
    <row r="18376" spans="6:8">
      <c r="H18376" t="s">
        <v>24938</v>
      </c>
    </row>
    <row r="18377" spans="6:8">
      <c r="H18377" t="s">
        <v>24939</v>
      </c>
    </row>
    <row r="18378" spans="6:8">
      <c r="H18378" t="s">
        <v>24940</v>
      </c>
    </row>
    <row r="18379" spans="6:8">
      <c r="H18379" t="s">
        <v>24941</v>
      </c>
    </row>
    <row r="18380" spans="6:8">
      <c r="H18380" t="s">
        <v>24942</v>
      </c>
    </row>
    <row r="18381" spans="6:8">
      <c r="H18381" t="s">
        <v>24943</v>
      </c>
    </row>
    <row r="18382" spans="6:8">
      <c r="F18382" t="s">
        <v>12558</v>
      </c>
      <c r="G18382" t="s">
        <v>16774</v>
      </c>
      <c r="H18382" t="s">
        <v>18829</v>
      </c>
    </row>
    <row r="18383" spans="6:8">
      <c r="H18383" t="s">
        <v>24944</v>
      </c>
    </row>
    <row r="18384" spans="6:8">
      <c r="H18384" t="s">
        <v>24945</v>
      </c>
    </row>
    <row r="18385" spans="6:8">
      <c r="H18385" t="s">
        <v>24946</v>
      </c>
    </row>
    <row r="18386" spans="6:8">
      <c r="H18386" t="s">
        <v>24947</v>
      </c>
    </row>
    <row r="18387" spans="6:8">
      <c r="H18387" t="s">
        <v>24948</v>
      </c>
    </row>
    <row r="18388" spans="6:8">
      <c r="H18388" t="s">
        <v>24949</v>
      </c>
    </row>
    <row r="18389" spans="6:8">
      <c r="H18389" t="s">
        <v>24950</v>
      </c>
    </row>
    <row r="18390" spans="6:8">
      <c r="H18390" t="s">
        <v>24951</v>
      </c>
    </row>
    <row r="18391" spans="6:8">
      <c r="H18391" t="s">
        <v>24952</v>
      </c>
    </row>
    <row r="18392" spans="6:8">
      <c r="F18392" t="s">
        <v>12559</v>
      </c>
      <c r="G18392" t="s">
        <v>16775</v>
      </c>
      <c r="H18392" t="s">
        <v>18829</v>
      </c>
    </row>
    <row r="18393" spans="6:8">
      <c r="H18393" t="s">
        <v>24953</v>
      </c>
    </row>
    <row r="18394" spans="6:8">
      <c r="H18394" t="s">
        <v>24954</v>
      </c>
    </row>
    <row r="18395" spans="6:8">
      <c r="H18395" t="s">
        <v>24955</v>
      </c>
    </row>
    <row r="18396" spans="6:8">
      <c r="H18396" t="s">
        <v>24956</v>
      </c>
    </row>
    <row r="18397" spans="6:8">
      <c r="H18397" t="s">
        <v>24957</v>
      </c>
    </row>
    <row r="18398" spans="6:8">
      <c r="H18398" t="s">
        <v>24958</v>
      </c>
    </row>
    <row r="18399" spans="6:8">
      <c r="H18399" t="s">
        <v>24959</v>
      </c>
    </row>
    <row r="18400" spans="6:8">
      <c r="H18400" t="s">
        <v>24960</v>
      </c>
    </row>
    <row r="18401" spans="1:8">
      <c r="H18401" t="s">
        <v>24961</v>
      </c>
    </row>
    <row r="18402" spans="1:8">
      <c r="A18402" t="s">
        <v>715</v>
      </c>
      <c r="B18402">
        <f>HYPERLINK("https://android.googlesource.com/platform/cts/+/9149014c530500b65c6257bcf7f079a13f00476d", "9149014c530500b65c6257bcf7f079a13f00476d")</f>
        <v>0</v>
      </c>
      <c r="C18402">
        <f>HYPERLINK("https://android.googlesource.com/platform/cts/+/b264fc84918d8fce6de4ee8ba2609fb26052ec8f", "b264fc84918d8fce6de4ee8ba2609fb26052ec8f")</f>
        <v>0</v>
      </c>
      <c r="D18402" t="s">
        <v>5004</v>
      </c>
      <c r="E18402" t="s">
        <v>6498</v>
      </c>
      <c r="F18402" t="s">
        <v>12560</v>
      </c>
      <c r="G18402" t="s">
        <v>16776</v>
      </c>
      <c r="H18402" t="s">
        <v>24962</v>
      </c>
    </row>
    <row r="18403" spans="1:8">
      <c r="F18403" t="s">
        <v>12221</v>
      </c>
      <c r="G18403" t="s">
        <v>16451</v>
      </c>
      <c r="H18403" t="s">
        <v>22034</v>
      </c>
    </row>
    <row r="18404" spans="1:8">
      <c r="H18404" t="s">
        <v>24962</v>
      </c>
    </row>
    <row r="18405" spans="1:8">
      <c r="A18405" t="s">
        <v>716</v>
      </c>
      <c r="B18405">
        <f>HYPERLINK("https://android.googlesource.com/platform/cts/+/8c86d0a83653ef765f5ec6261bdb71c91a49e9c9", "8c86d0a83653ef765f5ec6261bdb71c91a49e9c9")</f>
        <v>0</v>
      </c>
      <c r="C18405">
        <f>HYPERLINK("https://android.googlesource.com/platform/cts/+/bdc053301f49d89004bff0db8a0c1500bec5dbef", "bdc053301f49d89004bff0db8a0c1500bec5dbef")</f>
        <v>0</v>
      </c>
      <c r="D18405" t="s">
        <v>5038</v>
      </c>
      <c r="E18405" t="s">
        <v>6499</v>
      </c>
      <c r="F18405" t="s">
        <v>12417</v>
      </c>
      <c r="G18405" t="s">
        <v>16639</v>
      </c>
      <c r="H18405" t="s">
        <v>19397</v>
      </c>
    </row>
    <row r="18406" spans="1:8">
      <c r="H18406" t="s">
        <v>24963</v>
      </c>
    </row>
    <row r="18407" spans="1:8">
      <c r="H18407" t="s">
        <v>24964</v>
      </c>
    </row>
    <row r="18408" spans="1:8">
      <c r="H18408" t="s">
        <v>24965</v>
      </c>
    </row>
    <row r="18409" spans="1:8">
      <c r="H18409" t="s">
        <v>19830</v>
      </c>
    </row>
    <row r="18410" spans="1:8">
      <c r="H18410" t="s">
        <v>24966</v>
      </c>
    </row>
    <row r="18411" spans="1:8">
      <c r="H18411" t="s">
        <v>24967</v>
      </c>
    </row>
    <row r="18412" spans="1:8">
      <c r="H18412" t="s">
        <v>24968</v>
      </c>
    </row>
    <row r="18413" spans="1:8">
      <c r="H18413" t="s">
        <v>24969</v>
      </c>
    </row>
    <row r="18414" spans="1:8">
      <c r="A18414" t="s">
        <v>717</v>
      </c>
      <c r="B18414">
        <f>HYPERLINK("https://android.googlesource.com/platform/cts/+/bfe1405befe2138259d2fdcbd93a6011620b7a89", "bfe1405befe2138259d2fdcbd93a6011620b7a89")</f>
        <v>0</v>
      </c>
      <c r="C18414">
        <f>HYPERLINK("https://android.googlesource.com/platform/cts/+/a207e44bb79d528a361586fc14af4f27d12eee7b", "a207e44bb79d528a361586fc14af4f27d12eee7b")</f>
        <v>0</v>
      </c>
      <c r="D18414" t="s">
        <v>5073</v>
      </c>
      <c r="E18414" t="s">
        <v>6500</v>
      </c>
      <c r="F18414" t="s">
        <v>12561</v>
      </c>
      <c r="G18414" t="s">
        <v>16777</v>
      </c>
      <c r="H18414" t="s">
        <v>24970</v>
      </c>
    </row>
    <row r="18415" spans="1:8">
      <c r="A18415" t="s">
        <v>718</v>
      </c>
      <c r="B18415">
        <f>HYPERLINK("https://android.googlesource.com/platform/cts/+/8ea3666ae94ac8f4b9b9c4bdbbf0695561d978cb", "8ea3666ae94ac8f4b9b9c4bdbbf0695561d978cb")</f>
        <v>0</v>
      </c>
      <c r="C18415">
        <f>HYPERLINK("https://android.googlesource.com/platform/cts/+/bfe1405befe2138259d2fdcbd93a6011620b7a89", "bfe1405befe2138259d2fdcbd93a6011620b7a89")</f>
        <v>0</v>
      </c>
      <c r="D18415" t="s">
        <v>5073</v>
      </c>
      <c r="E18415" t="s">
        <v>6501</v>
      </c>
      <c r="F18415" t="s">
        <v>12561</v>
      </c>
      <c r="G18415" t="s">
        <v>16777</v>
      </c>
      <c r="H18415" t="s">
        <v>24971</v>
      </c>
    </row>
    <row r="18416" spans="1:8">
      <c r="H18416" t="s">
        <v>24972</v>
      </c>
    </row>
    <row r="18417" spans="1:8">
      <c r="H18417" t="s">
        <v>24973</v>
      </c>
    </row>
    <row r="18418" spans="1:8">
      <c r="H18418" t="s">
        <v>24974</v>
      </c>
    </row>
    <row r="18419" spans="1:8">
      <c r="H18419" t="s">
        <v>24975</v>
      </c>
    </row>
    <row r="18420" spans="1:8">
      <c r="H18420" t="s">
        <v>24976</v>
      </c>
    </row>
    <row r="18421" spans="1:8">
      <c r="A18421" t="s">
        <v>719</v>
      </c>
      <c r="B18421">
        <f>HYPERLINK("https://android.googlesource.com/platform/cts/+/23a0fcc7a513d23d47e92f3ac6741a5a3c166f0d", "23a0fcc7a513d23d47e92f3ac6741a5a3c166f0d")</f>
        <v>0</v>
      </c>
      <c r="C18421">
        <f>HYPERLINK("https://android.googlesource.com/platform/cts/+/db3ab841b1a273aabcea7cebc8af7e02babf91ce", "db3ab841b1a273aabcea7cebc8af7e02babf91ce")</f>
        <v>0</v>
      </c>
      <c r="D18421" t="s">
        <v>5029</v>
      </c>
      <c r="E18421" t="s">
        <v>6502</v>
      </c>
      <c r="F18421" t="s">
        <v>10781</v>
      </c>
      <c r="G18421" t="s">
        <v>15177</v>
      </c>
      <c r="H18421" t="s">
        <v>24977</v>
      </c>
    </row>
    <row r="18422" spans="1:8">
      <c r="H18422" t="s">
        <v>18984</v>
      </c>
    </row>
    <row r="18423" spans="1:8">
      <c r="H18423" t="s">
        <v>18983</v>
      </c>
    </row>
    <row r="18424" spans="1:8">
      <c r="H18424" t="s">
        <v>24978</v>
      </c>
    </row>
    <row r="18425" spans="1:8">
      <c r="H18425" t="s">
        <v>24979</v>
      </c>
    </row>
    <row r="18426" spans="1:8">
      <c r="H18426" t="s">
        <v>18986</v>
      </c>
    </row>
    <row r="18427" spans="1:8">
      <c r="H18427" t="s">
        <v>18985</v>
      </c>
    </row>
    <row r="18428" spans="1:8">
      <c r="H18428" t="s">
        <v>24980</v>
      </c>
    </row>
    <row r="18429" spans="1:8">
      <c r="H18429" t="s">
        <v>18893</v>
      </c>
    </row>
    <row r="18430" spans="1:8">
      <c r="A18430" t="s">
        <v>720</v>
      </c>
      <c r="B18430">
        <f>HYPERLINK("https://android.googlesource.com/platform/cts/+/8ea2becef97509aef884c82cff8d794714ea9a25", "8ea2becef97509aef884c82cff8d794714ea9a25")</f>
        <v>0</v>
      </c>
      <c r="C18430">
        <f>HYPERLINK("https://android.googlesource.com/platform/cts/+/e64a5aa37a56a2bc67d48e0f0d3ca29567ebc0ac", "e64a5aa37a56a2bc67d48e0f0d3ca29567ebc0ac")</f>
        <v>0</v>
      </c>
      <c r="D18430" t="s">
        <v>5074</v>
      </c>
      <c r="E18430" t="s">
        <v>6503</v>
      </c>
      <c r="F18430" t="s">
        <v>12407</v>
      </c>
      <c r="G18430" t="s">
        <v>16629</v>
      </c>
      <c r="H18430" t="s">
        <v>24981</v>
      </c>
    </row>
    <row r="18431" spans="1:8">
      <c r="H18431" t="s">
        <v>24982</v>
      </c>
    </row>
    <row r="18432" spans="1:8">
      <c r="H18432" t="s">
        <v>24983</v>
      </c>
    </row>
    <row r="18433" spans="8:8">
      <c r="H18433" t="s">
        <v>24984</v>
      </c>
    </row>
    <row r="18434" spans="8:8">
      <c r="H18434" t="s">
        <v>24985</v>
      </c>
    </row>
    <row r="18435" spans="8:8">
      <c r="H18435" t="s">
        <v>24986</v>
      </c>
    </row>
    <row r="18436" spans="8:8">
      <c r="H18436" t="s">
        <v>24987</v>
      </c>
    </row>
    <row r="18437" spans="8:8">
      <c r="H18437" t="s">
        <v>24988</v>
      </c>
    </row>
    <row r="18438" spans="8:8">
      <c r="H18438" t="s">
        <v>24989</v>
      </c>
    </row>
    <row r="18439" spans="8:8">
      <c r="H18439" t="s">
        <v>24990</v>
      </c>
    </row>
    <row r="18440" spans="8:8">
      <c r="H18440" t="s">
        <v>24991</v>
      </c>
    </row>
    <row r="18441" spans="8:8">
      <c r="H18441" t="s">
        <v>24992</v>
      </c>
    </row>
    <row r="18442" spans="8:8">
      <c r="H18442" t="s">
        <v>22732</v>
      </c>
    </row>
    <row r="18443" spans="8:8">
      <c r="H18443" t="s">
        <v>22733</v>
      </c>
    </row>
    <row r="18444" spans="8:8">
      <c r="H18444" t="s">
        <v>22734</v>
      </c>
    </row>
    <row r="18445" spans="8:8">
      <c r="H18445" t="s">
        <v>22735</v>
      </c>
    </row>
    <row r="18446" spans="8:8">
      <c r="H18446" t="s">
        <v>22736</v>
      </c>
    </row>
    <row r="18447" spans="8:8">
      <c r="H18447" t="s">
        <v>22737</v>
      </c>
    </row>
    <row r="18448" spans="8:8">
      <c r="H18448" t="s">
        <v>22738</v>
      </c>
    </row>
    <row r="18449" spans="8:8">
      <c r="H18449" t="s">
        <v>22739</v>
      </c>
    </row>
    <row r="18450" spans="8:8">
      <c r="H18450" t="s">
        <v>22740</v>
      </c>
    </row>
    <row r="18451" spans="8:8">
      <c r="H18451" t="s">
        <v>22741</v>
      </c>
    </row>
    <row r="18452" spans="8:8">
      <c r="H18452" t="s">
        <v>22742</v>
      </c>
    </row>
    <row r="18453" spans="8:8">
      <c r="H18453" t="s">
        <v>22743</v>
      </c>
    </row>
    <row r="18454" spans="8:8">
      <c r="H18454" t="s">
        <v>22744</v>
      </c>
    </row>
    <row r="18455" spans="8:8">
      <c r="H18455" t="s">
        <v>22745</v>
      </c>
    </row>
    <row r="18456" spans="8:8">
      <c r="H18456" t="s">
        <v>22746</v>
      </c>
    </row>
    <row r="18457" spans="8:8">
      <c r="H18457" t="s">
        <v>22747</v>
      </c>
    </row>
    <row r="18458" spans="8:8">
      <c r="H18458" t="s">
        <v>22748</v>
      </c>
    </row>
    <row r="18459" spans="8:8">
      <c r="H18459" t="s">
        <v>22749</v>
      </c>
    </row>
    <row r="18460" spans="8:8">
      <c r="H18460" t="s">
        <v>22750</v>
      </c>
    </row>
    <row r="18461" spans="8:8">
      <c r="H18461" t="s">
        <v>22751</v>
      </c>
    </row>
    <row r="18462" spans="8:8">
      <c r="H18462" t="s">
        <v>22752</v>
      </c>
    </row>
    <row r="18463" spans="8:8">
      <c r="H18463" t="s">
        <v>22753</v>
      </c>
    </row>
    <row r="18464" spans="8:8">
      <c r="H18464" t="s">
        <v>22754</v>
      </c>
    </row>
    <row r="18465" spans="6:8">
      <c r="H18465" t="s">
        <v>22755</v>
      </c>
    </row>
    <row r="18466" spans="6:8">
      <c r="H18466" t="s">
        <v>22756</v>
      </c>
    </row>
    <row r="18467" spans="6:8">
      <c r="H18467" t="s">
        <v>22757</v>
      </c>
    </row>
    <row r="18468" spans="6:8">
      <c r="H18468" t="s">
        <v>22758</v>
      </c>
    </row>
    <row r="18469" spans="6:8">
      <c r="H18469" t="s">
        <v>18930</v>
      </c>
    </row>
    <row r="18470" spans="6:8">
      <c r="H18470" t="s">
        <v>24993</v>
      </c>
    </row>
    <row r="18471" spans="6:8">
      <c r="H18471" t="s">
        <v>24994</v>
      </c>
    </row>
    <row r="18472" spans="6:8">
      <c r="H18472" t="s">
        <v>22759</v>
      </c>
    </row>
    <row r="18473" spans="6:8">
      <c r="F18473" t="s">
        <v>12562</v>
      </c>
      <c r="G18473" t="s">
        <v>16778</v>
      </c>
      <c r="H18473" t="s">
        <v>22186</v>
      </c>
    </row>
    <row r="18474" spans="6:8">
      <c r="H18474" t="s">
        <v>22187</v>
      </c>
    </row>
    <row r="18475" spans="6:8">
      <c r="H18475" t="s">
        <v>22188</v>
      </c>
    </row>
    <row r="18476" spans="6:8">
      <c r="H18476" t="s">
        <v>22189</v>
      </c>
    </row>
    <row r="18477" spans="6:8">
      <c r="F18477" t="s">
        <v>12224</v>
      </c>
      <c r="G18477" t="s">
        <v>16454</v>
      </c>
      <c r="H18477" t="s">
        <v>24995</v>
      </c>
    </row>
    <row r="18478" spans="6:8">
      <c r="F18478" t="s">
        <v>12176</v>
      </c>
      <c r="G18478" t="s">
        <v>16415</v>
      </c>
      <c r="H18478" t="s">
        <v>24996</v>
      </c>
    </row>
    <row r="18479" spans="6:8">
      <c r="F18479" t="s">
        <v>12563</v>
      </c>
      <c r="G18479" t="s">
        <v>16779</v>
      </c>
      <c r="H18479" t="s">
        <v>18829</v>
      </c>
    </row>
    <row r="18480" spans="6:8">
      <c r="H18480" t="s">
        <v>18863</v>
      </c>
    </row>
    <row r="18481" spans="6:8">
      <c r="H18481" t="s">
        <v>24997</v>
      </c>
    </row>
    <row r="18482" spans="6:8">
      <c r="H18482" t="s">
        <v>24998</v>
      </c>
    </row>
    <row r="18483" spans="6:8">
      <c r="H18483" t="s">
        <v>24999</v>
      </c>
    </row>
    <row r="18484" spans="6:8">
      <c r="H18484" t="s">
        <v>25000</v>
      </c>
    </row>
    <row r="18485" spans="6:8">
      <c r="H18485" t="s">
        <v>25001</v>
      </c>
    </row>
    <row r="18486" spans="6:8">
      <c r="H18486" t="s">
        <v>25002</v>
      </c>
    </row>
    <row r="18487" spans="6:8">
      <c r="H18487" t="s">
        <v>25003</v>
      </c>
    </row>
    <row r="18488" spans="6:8">
      <c r="H18488" t="s">
        <v>25004</v>
      </c>
    </row>
    <row r="18489" spans="6:8">
      <c r="H18489" t="s">
        <v>25005</v>
      </c>
    </row>
    <row r="18490" spans="6:8">
      <c r="F18490" t="s">
        <v>12564</v>
      </c>
      <c r="G18490" t="s">
        <v>16780</v>
      </c>
      <c r="H18490" t="s">
        <v>18829</v>
      </c>
    </row>
    <row r="18491" spans="6:8">
      <c r="H18491" t="s">
        <v>25006</v>
      </c>
    </row>
    <row r="18492" spans="6:8">
      <c r="F18492" t="s">
        <v>12434</v>
      </c>
      <c r="G18492" t="s">
        <v>16655</v>
      </c>
      <c r="H18492" t="s">
        <v>18829</v>
      </c>
    </row>
    <row r="18493" spans="6:8">
      <c r="H18493" t="s">
        <v>22914</v>
      </c>
    </row>
    <row r="18494" spans="6:8">
      <c r="H18494" t="s">
        <v>22915</v>
      </c>
    </row>
    <row r="18495" spans="6:8">
      <c r="H18495" t="s">
        <v>22916</v>
      </c>
    </row>
    <row r="18496" spans="6:8">
      <c r="H18496" t="s">
        <v>22917</v>
      </c>
    </row>
    <row r="18497" spans="8:8">
      <c r="H18497" t="s">
        <v>22918</v>
      </c>
    </row>
    <row r="18498" spans="8:8">
      <c r="H18498" t="s">
        <v>22919</v>
      </c>
    </row>
    <row r="18499" spans="8:8">
      <c r="H18499" t="s">
        <v>22920</v>
      </c>
    </row>
    <row r="18500" spans="8:8">
      <c r="H18500" t="s">
        <v>22921</v>
      </c>
    </row>
    <row r="18501" spans="8:8">
      <c r="H18501" t="s">
        <v>22922</v>
      </c>
    </row>
    <row r="18502" spans="8:8">
      <c r="H18502" t="s">
        <v>22923</v>
      </c>
    </row>
    <row r="18503" spans="8:8">
      <c r="H18503" t="s">
        <v>22924</v>
      </c>
    </row>
    <row r="18504" spans="8:8">
      <c r="H18504" t="s">
        <v>22925</v>
      </c>
    </row>
    <row r="18505" spans="8:8">
      <c r="H18505" t="s">
        <v>22926</v>
      </c>
    </row>
    <row r="18506" spans="8:8">
      <c r="H18506" t="s">
        <v>22927</v>
      </c>
    </row>
    <row r="18507" spans="8:8">
      <c r="H18507" t="s">
        <v>22928</v>
      </c>
    </row>
    <row r="18508" spans="8:8">
      <c r="H18508" t="s">
        <v>22929</v>
      </c>
    </row>
    <row r="18509" spans="8:8">
      <c r="H18509" t="s">
        <v>22930</v>
      </c>
    </row>
    <row r="18510" spans="8:8">
      <c r="H18510" t="s">
        <v>22931</v>
      </c>
    </row>
    <row r="18511" spans="8:8">
      <c r="H18511" t="s">
        <v>22932</v>
      </c>
    </row>
    <row r="18512" spans="8:8">
      <c r="H18512" t="s">
        <v>22933</v>
      </c>
    </row>
    <row r="18513" spans="6:8">
      <c r="H18513" t="s">
        <v>22934</v>
      </c>
    </row>
    <row r="18514" spans="6:8">
      <c r="H18514" t="s">
        <v>22935</v>
      </c>
    </row>
    <row r="18515" spans="6:8">
      <c r="H18515" t="s">
        <v>22936</v>
      </c>
    </row>
    <row r="18516" spans="6:8">
      <c r="H18516" t="s">
        <v>22937</v>
      </c>
    </row>
    <row r="18517" spans="6:8">
      <c r="H18517" t="s">
        <v>22938</v>
      </c>
    </row>
    <row r="18518" spans="6:8">
      <c r="F18518" t="s">
        <v>12435</v>
      </c>
      <c r="G18518" t="s">
        <v>16656</v>
      </c>
      <c r="H18518" t="s">
        <v>18829</v>
      </c>
    </row>
    <row r="18519" spans="6:8">
      <c r="H18519" t="s">
        <v>22939</v>
      </c>
    </row>
    <row r="18520" spans="6:8">
      <c r="H18520" t="s">
        <v>22940</v>
      </c>
    </row>
    <row r="18521" spans="6:8">
      <c r="H18521" t="s">
        <v>22941</v>
      </c>
    </row>
    <row r="18522" spans="6:8">
      <c r="H18522" t="s">
        <v>22942</v>
      </c>
    </row>
    <row r="18523" spans="6:8">
      <c r="H18523" t="s">
        <v>22943</v>
      </c>
    </row>
    <row r="18524" spans="6:8">
      <c r="H18524" t="s">
        <v>22944</v>
      </c>
    </row>
    <row r="18525" spans="6:8">
      <c r="H18525" t="s">
        <v>22945</v>
      </c>
    </row>
    <row r="18526" spans="6:8">
      <c r="H18526" t="s">
        <v>22946</v>
      </c>
    </row>
    <row r="18527" spans="6:8">
      <c r="H18527" t="s">
        <v>22947</v>
      </c>
    </row>
    <row r="18528" spans="6:8">
      <c r="F18528" t="s">
        <v>12436</v>
      </c>
      <c r="G18528" t="s">
        <v>16657</v>
      </c>
      <c r="H18528" t="s">
        <v>18829</v>
      </c>
    </row>
    <row r="18529" spans="6:8">
      <c r="H18529" t="s">
        <v>22948</v>
      </c>
    </row>
    <row r="18530" spans="6:8">
      <c r="H18530" t="s">
        <v>22949</v>
      </c>
    </row>
    <row r="18531" spans="6:8">
      <c r="H18531" t="s">
        <v>22950</v>
      </c>
    </row>
    <row r="18532" spans="6:8">
      <c r="H18532" t="s">
        <v>22951</v>
      </c>
    </row>
    <row r="18533" spans="6:8">
      <c r="H18533" t="s">
        <v>22952</v>
      </c>
    </row>
    <row r="18534" spans="6:8">
      <c r="H18534" t="s">
        <v>22953</v>
      </c>
    </row>
    <row r="18535" spans="6:8">
      <c r="H18535" t="s">
        <v>22954</v>
      </c>
    </row>
    <row r="18536" spans="6:8">
      <c r="H18536" t="s">
        <v>22955</v>
      </c>
    </row>
    <row r="18537" spans="6:8">
      <c r="H18537" t="s">
        <v>22956</v>
      </c>
    </row>
    <row r="18538" spans="6:8">
      <c r="F18538" t="s">
        <v>12437</v>
      </c>
      <c r="G18538" t="s">
        <v>16658</v>
      </c>
      <c r="H18538" t="s">
        <v>18829</v>
      </c>
    </row>
    <row r="18539" spans="6:8">
      <c r="H18539" t="s">
        <v>22957</v>
      </c>
    </row>
    <row r="18540" spans="6:8">
      <c r="H18540" t="s">
        <v>22958</v>
      </c>
    </row>
    <row r="18541" spans="6:8">
      <c r="H18541" t="s">
        <v>22959</v>
      </c>
    </row>
    <row r="18542" spans="6:8">
      <c r="H18542" t="s">
        <v>22960</v>
      </c>
    </row>
    <row r="18543" spans="6:8">
      <c r="H18543" t="s">
        <v>22961</v>
      </c>
    </row>
    <row r="18544" spans="6:8">
      <c r="H18544" t="s">
        <v>22962</v>
      </c>
    </row>
    <row r="18545" spans="6:8">
      <c r="H18545" t="s">
        <v>22963</v>
      </c>
    </row>
    <row r="18546" spans="6:8">
      <c r="H18546" t="s">
        <v>22964</v>
      </c>
    </row>
    <row r="18547" spans="6:8">
      <c r="H18547" t="s">
        <v>22965</v>
      </c>
    </row>
    <row r="18548" spans="6:8">
      <c r="F18548" t="s">
        <v>12438</v>
      </c>
      <c r="G18548" t="s">
        <v>16659</v>
      </c>
      <c r="H18548" t="s">
        <v>18829</v>
      </c>
    </row>
    <row r="18549" spans="6:8">
      <c r="H18549" t="s">
        <v>22966</v>
      </c>
    </row>
    <row r="18550" spans="6:8">
      <c r="H18550" t="s">
        <v>22967</v>
      </c>
    </row>
    <row r="18551" spans="6:8">
      <c r="H18551" t="s">
        <v>22968</v>
      </c>
    </row>
    <row r="18552" spans="6:8">
      <c r="H18552" t="s">
        <v>22969</v>
      </c>
    </row>
    <row r="18553" spans="6:8">
      <c r="H18553" t="s">
        <v>22970</v>
      </c>
    </row>
    <row r="18554" spans="6:8">
      <c r="H18554" t="s">
        <v>22971</v>
      </c>
    </row>
    <row r="18555" spans="6:8">
      <c r="H18555" t="s">
        <v>22972</v>
      </c>
    </row>
    <row r="18556" spans="6:8">
      <c r="H18556" t="s">
        <v>22973</v>
      </c>
    </row>
    <row r="18557" spans="6:8">
      <c r="H18557" t="s">
        <v>22974</v>
      </c>
    </row>
    <row r="18558" spans="6:8">
      <c r="F18558" t="s">
        <v>12439</v>
      </c>
      <c r="G18558" t="s">
        <v>16660</v>
      </c>
      <c r="H18558" t="s">
        <v>18829</v>
      </c>
    </row>
    <row r="18559" spans="6:8">
      <c r="H18559" t="s">
        <v>22975</v>
      </c>
    </row>
    <row r="18560" spans="6:8">
      <c r="H18560" t="s">
        <v>22976</v>
      </c>
    </row>
    <row r="18561" spans="6:8">
      <c r="H18561" t="s">
        <v>22977</v>
      </c>
    </row>
    <row r="18562" spans="6:8">
      <c r="H18562" t="s">
        <v>22978</v>
      </c>
    </row>
    <row r="18563" spans="6:8">
      <c r="H18563" t="s">
        <v>22979</v>
      </c>
    </row>
    <row r="18564" spans="6:8">
      <c r="H18564" t="s">
        <v>22980</v>
      </c>
    </row>
    <row r="18565" spans="6:8">
      <c r="H18565" t="s">
        <v>22981</v>
      </c>
    </row>
    <row r="18566" spans="6:8">
      <c r="H18566" t="s">
        <v>22982</v>
      </c>
    </row>
    <row r="18567" spans="6:8">
      <c r="H18567" t="s">
        <v>22983</v>
      </c>
    </row>
    <row r="18568" spans="6:8">
      <c r="F18568" t="s">
        <v>12440</v>
      </c>
      <c r="G18568" t="s">
        <v>16661</v>
      </c>
      <c r="H18568" t="s">
        <v>18829</v>
      </c>
    </row>
    <row r="18569" spans="6:8">
      <c r="H18569" t="s">
        <v>22984</v>
      </c>
    </row>
    <row r="18570" spans="6:8">
      <c r="H18570" t="s">
        <v>22985</v>
      </c>
    </row>
    <row r="18571" spans="6:8">
      <c r="H18571" t="s">
        <v>22986</v>
      </c>
    </row>
    <row r="18572" spans="6:8">
      <c r="H18572" t="s">
        <v>22987</v>
      </c>
    </row>
    <row r="18573" spans="6:8">
      <c r="H18573" t="s">
        <v>22988</v>
      </c>
    </row>
    <row r="18574" spans="6:8">
      <c r="H18574" t="s">
        <v>22989</v>
      </c>
    </row>
    <row r="18575" spans="6:8">
      <c r="H18575" t="s">
        <v>22990</v>
      </c>
    </row>
    <row r="18576" spans="6:8">
      <c r="H18576" t="s">
        <v>22991</v>
      </c>
    </row>
    <row r="18577" spans="6:8">
      <c r="H18577" t="s">
        <v>22992</v>
      </c>
    </row>
    <row r="18578" spans="6:8">
      <c r="F18578" t="s">
        <v>12441</v>
      </c>
      <c r="G18578" t="s">
        <v>16662</v>
      </c>
      <c r="H18578" t="s">
        <v>18829</v>
      </c>
    </row>
    <row r="18579" spans="6:8">
      <c r="H18579" t="s">
        <v>22993</v>
      </c>
    </row>
    <row r="18580" spans="6:8">
      <c r="H18580" t="s">
        <v>22994</v>
      </c>
    </row>
    <row r="18581" spans="6:8">
      <c r="H18581" t="s">
        <v>22995</v>
      </c>
    </row>
    <row r="18582" spans="6:8">
      <c r="H18582" t="s">
        <v>22996</v>
      </c>
    </row>
    <row r="18583" spans="6:8">
      <c r="H18583" t="s">
        <v>22997</v>
      </c>
    </row>
    <row r="18584" spans="6:8">
      <c r="H18584" t="s">
        <v>22998</v>
      </c>
    </row>
    <row r="18585" spans="6:8">
      <c r="H18585" t="s">
        <v>22999</v>
      </c>
    </row>
    <row r="18586" spans="6:8">
      <c r="H18586" t="s">
        <v>23000</v>
      </c>
    </row>
    <row r="18587" spans="6:8">
      <c r="H18587" t="s">
        <v>23001</v>
      </c>
    </row>
    <row r="18588" spans="6:8">
      <c r="F18588" t="s">
        <v>12442</v>
      </c>
      <c r="G18588" t="s">
        <v>16663</v>
      </c>
      <c r="H18588" t="s">
        <v>18829</v>
      </c>
    </row>
    <row r="18589" spans="6:8">
      <c r="H18589" t="s">
        <v>23002</v>
      </c>
    </row>
    <row r="18590" spans="6:8">
      <c r="H18590" t="s">
        <v>23003</v>
      </c>
    </row>
    <row r="18591" spans="6:8">
      <c r="H18591" t="s">
        <v>23004</v>
      </c>
    </row>
    <row r="18592" spans="6:8">
      <c r="H18592" t="s">
        <v>23005</v>
      </c>
    </row>
    <row r="18593" spans="6:8">
      <c r="H18593" t="s">
        <v>23006</v>
      </c>
    </row>
    <row r="18594" spans="6:8">
      <c r="H18594" t="s">
        <v>23007</v>
      </c>
    </row>
    <row r="18595" spans="6:8">
      <c r="H18595" t="s">
        <v>23008</v>
      </c>
    </row>
    <row r="18596" spans="6:8">
      <c r="H18596" t="s">
        <v>23009</v>
      </c>
    </row>
    <row r="18597" spans="6:8">
      <c r="H18597" t="s">
        <v>23010</v>
      </c>
    </row>
    <row r="18598" spans="6:8">
      <c r="F18598" t="s">
        <v>12443</v>
      </c>
      <c r="G18598" t="s">
        <v>16664</v>
      </c>
      <c r="H18598" t="s">
        <v>18829</v>
      </c>
    </row>
    <row r="18599" spans="6:8">
      <c r="H18599" t="s">
        <v>23011</v>
      </c>
    </row>
    <row r="18600" spans="6:8">
      <c r="H18600" t="s">
        <v>23012</v>
      </c>
    </row>
    <row r="18601" spans="6:8">
      <c r="H18601" t="s">
        <v>23013</v>
      </c>
    </row>
    <row r="18602" spans="6:8">
      <c r="H18602" t="s">
        <v>23014</v>
      </c>
    </row>
    <row r="18603" spans="6:8">
      <c r="H18603" t="s">
        <v>23015</v>
      </c>
    </row>
    <row r="18604" spans="6:8">
      <c r="H18604" t="s">
        <v>23016</v>
      </c>
    </row>
    <row r="18605" spans="6:8">
      <c r="H18605" t="s">
        <v>23017</v>
      </c>
    </row>
    <row r="18606" spans="6:8">
      <c r="H18606" t="s">
        <v>23018</v>
      </c>
    </row>
    <row r="18607" spans="6:8">
      <c r="H18607" t="s">
        <v>23019</v>
      </c>
    </row>
    <row r="18608" spans="6:8">
      <c r="F18608" t="s">
        <v>12444</v>
      </c>
      <c r="G18608" t="s">
        <v>16665</v>
      </c>
      <c r="H18608" t="s">
        <v>18829</v>
      </c>
    </row>
    <row r="18609" spans="6:8">
      <c r="H18609" t="s">
        <v>23020</v>
      </c>
    </row>
    <row r="18610" spans="6:8">
      <c r="H18610" t="s">
        <v>23021</v>
      </c>
    </row>
    <row r="18611" spans="6:8">
      <c r="H18611" t="s">
        <v>23022</v>
      </c>
    </row>
    <row r="18612" spans="6:8">
      <c r="H18612" t="s">
        <v>23023</v>
      </c>
    </row>
    <row r="18613" spans="6:8">
      <c r="H18613" t="s">
        <v>23024</v>
      </c>
    </row>
    <row r="18614" spans="6:8">
      <c r="H18614" t="s">
        <v>23025</v>
      </c>
    </row>
    <row r="18615" spans="6:8">
      <c r="H18615" t="s">
        <v>23026</v>
      </c>
    </row>
    <row r="18616" spans="6:8">
      <c r="H18616" t="s">
        <v>23027</v>
      </c>
    </row>
    <row r="18617" spans="6:8">
      <c r="H18617" t="s">
        <v>23028</v>
      </c>
    </row>
    <row r="18618" spans="6:8">
      <c r="F18618" t="s">
        <v>12445</v>
      </c>
      <c r="G18618" t="s">
        <v>16666</v>
      </c>
      <c r="H18618" t="s">
        <v>18829</v>
      </c>
    </row>
    <row r="18619" spans="6:8">
      <c r="H18619" t="s">
        <v>23029</v>
      </c>
    </row>
    <row r="18620" spans="6:8">
      <c r="H18620" t="s">
        <v>23030</v>
      </c>
    </row>
    <row r="18621" spans="6:8">
      <c r="H18621" t="s">
        <v>23031</v>
      </c>
    </row>
    <row r="18622" spans="6:8">
      <c r="H18622" t="s">
        <v>23032</v>
      </c>
    </row>
    <row r="18623" spans="6:8">
      <c r="H18623" t="s">
        <v>23033</v>
      </c>
    </row>
    <row r="18624" spans="6:8">
      <c r="H18624" t="s">
        <v>23034</v>
      </c>
    </row>
    <row r="18625" spans="6:8">
      <c r="H18625" t="s">
        <v>23035</v>
      </c>
    </row>
    <row r="18626" spans="6:8">
      <c r="H18626" t="s">
        <v>23036</v>
      </c>
    </row>
    <row r="18627" spans="6:8">
      <c r="H18627" t="s">
        <v>23037</v>
      </c>
    </row>
    <row r="18628" spans="6:8">
      <c r="F18628" t="s">
        <v>12446</v>
      </c>
      <c r="G18628" t="s">
        <v>16667</v>
      </c>
      <c r="H18628" t="s">
        <v>18829</v>
      </c>
    </row>
    <row r="18629" spans="6:8">
      <c r="H18629" t="s">
        <v>23038</v>
      </c>
    </row>
    <row r="18630" spans="6:8">
      <c r="H18630" t="s">
        <v>23039</v>
      </c>
    </row>
    <row r="18631" spans="6:8">
      <c r="H18631" t="s">
        <v>23040</v>
      </c>
    </row>
    <row r="18632" spans="6:8">
      <c r="H18632" t="s">
        <v>23041</v>
      </c>
    </row>
    <row r="18633" spans="6:8">
      <c r="H18633" t="s">
        <v>23042</v>
      </c>
    </row>
    <row r="18634" spans="6:8">
      <c r="H18634" t="s">
        <v>23043</v>
      </c>
    </row>
    <row r="18635" spans="6:8">
      <c r="H18635" t="s">
        <v>23044</v>
      </c>
    </row>
    <row r="18636" spans="6:8">
      <c r="H18636" t="s">
        <v>23045</v>
      </c>
    </row>
    <row r="18637" spans="6:8">
      <c r="H18637" t="s">
        <v>23046</v>
      </c>
    </row>
    <row r="18638" spans="6:8">
      <c r="F18638" t="s">
        <v>12447</v>
      </c>
      <c r="G18638" t="s">
        <v>16668</v>
      </c>
      <c r="H18638" t="s">
        <v>18829</v>
      </c>
    </row>
    <row r="18639" spans="6:8">
      <c r="H18639" t="s">
        <v>23047</v>
      </c>
    </row>
    <row r="18640" spans="6:8">
      <c r="H18640" t="s">
        <v>23048</v>
      </c>
    </row>
    <row r="18641" spans="6:8">
      <c r="H18641" t="s">
        <v>23049</v>
      </c>
    </row>
    <row r="18642" spans="6:8">
      <c r="H18642" t="s">
        <v>23050</v>
      </c>
    </row>
    <row r="18643" spans="6:8">
      <c r="H18643" t="s">
        <v>23051</v>
      </c>
    </row>
    <row r="18644" spans="6:8">
      <c r="H18644" t="s">
        <v>23052</v>
      </c>
    </row>
    <row r="18645" spans="6:8">
      <c r="H18645" t="s">
        <v>23053</v>
      </c>
    </row>
    <row r="18646" spans="6:8">
      <c r="H18646" t="s">
        <v>23054</v>
      </c>
    </row>
    <row r="18647" spans="6:8">
      <c r="H18647" t="s">
        <v>23055</v>
      </c>
    </row>
    <row r="18648" spans="6:8">
      <c r="F18648" t="s">
        <v>12448</v>
      </c>
      <c r="G18648" t="s">
        <v>16669</v>
      </c>
      <c r="H18648" t="s">
        <v>18829</v>
      </c>
    </row>
    <row r="18649" spans="6:8">
      <c r="H18649" t="s">
        <v>23056</v>
      </c>
    </row>
    <row r="18650" spans="6:8">
      <c r="H18650" t="s">
        <v>23057</v>
      </c>
    </row>
    <row r="18651" spans="6:8">
      <c r="H18651" t="s">
        <v>23058</v>
      </c>
    </row>
    <row r="18652" spans="6:8">
      <c r="H18652" t="s">
        <v>23059</v>
      </c>
    </row>
    <row r="18653" spans="6:8">
      <c r="H18653" t="s">
        <v>23060</v>
      </c>
    </row>
    <row r="18654" spans="6:8">
      <c r="H18654" t="s">
        <v>23061</v>
      </c>
    </row>
    <row r="18655" spans="6:8">
      <c r="H18655" t="s">
        <v>23062</v>
      </c>
    </row>
    <row r="18656" spans="6:8">
      <c r="H18656" t="s">
        <v>23063</v>
      </c>
    </row>
    <row r="18657" spans="8:8">
      <c r="H18657" t="s">
        <v>23064</v>
      </c>
    </row>
    <row r="18658" spans="8:8">
      <c r="H18658" t="s">
        <v>23065</v>
      </c>
    </row>
    <row r="18659" spans="8:8">
      <c r="H18659" t="s">
        <v>23066</v>
      </c>
    </row>
    <row r="18660" spans="8:8">
      <c r="H18660" t="s">
        <v>23067</v>
      </c>
    </row>
    <row r="18661" spans="8:8">
      <c r="H18661" t="s">
        <v>23068</v>
      </c>
    </row>
    <row r="18662" spans="8:8">
      <c r="H18662" t="s">
        <v>23069</v>
      </c>
    </row>
    <row r="18663" spans="8:8">
      <c r="H18663" t="s">
        <v>23070</v>
      </c>
    </row>
    <row r="18664" spans="8:8">
      <c r="H18664" t="s">
        <v>23071</v>
      </c>
    </row>
    <row r="18665" spans="8:8">
      <c r="H18665" t="s">
        <v>23072</v>
      </c>
    </row>
    <row r="18666" spans="8:8">
      <c r="H18666" t="s">
        <v>23073</v>
      </c>
    </row>
    <row r="18667" spans="8:8">
      <c r="H18667" t="s">
        <v>23074</v>
      </c>
    </row>
    <row r="18668" spans="8:8">
      <c r="H18668" t="s">
        <v>23075</v>
      </c>
    </row>
    <row r="18669" spans="8:8">
      <c r="H18669" t="s">
        <v>23076</v>
      </c>
    </row>
    <row r="18670" spans="8:8">
      <c r="H18670" t="s">
        <v>23077</v>
      </c>
    </row>
    <row r="18671" spans="8:8">
      <c r="H18671" t="s">
        <v>23078</v>
      </c>
    </row>
    <row r="18672" spans="8:8">
      <c r="H18672" t="s">
        <v>23079</v>
      </c>
    </row>
    <row r="18673" spans="8:8">
      <c r="H18673" t="s">
        <v>23080</v>
      </c>
    </row>
    <row r="18674" spans="8:8">
      <c r="H18674" t="s">
        <v>23081</v>
      </c>
    </row>
    <row r="18675" spans="8:8">
      <c r="H18675" t="s">
        <v>23082</v>
      </c>
    </row>
    <row r="18676" spans="8:8">
      <c r="H18676" t="s">
        <v>23083</v>
      </c>
    </row>
    <row r="18677" spans="8:8">
      <c r="H18677" t="s">
        <v>23084</v>
      </c>
    </row>
    <row r="18678" spans="8:8">
      <c r="H18678" t="s">
        <v>23085</v>
      </c>
    </row>
    <row r="18679" spans="8:8">
      <c r="H18679" t="s">
        <v>23086</v>
      </c>
    </row>
    <row r="18680" spans="8:8">
      <c r="H18680" t="s">
        <v>23087</v>
      </c>
    </row>
    <row r="18681" spans="8:8">
      <c r="H18681" t="s">
        <v>23088</v>
      </c>
    </row>
    <row r="18682" spans="8:8">
      <c r="H18682" t="s">
        <v>23089</v>
      </c>
    </row>
    <row r="18683" spans="8:8">
      <c r="H18683" t="s">
        <v>23090</v>
      </c>
    </row>
    <row r="18684" spans="8:8">
      <c r="H18684" t="s">
        <v>23091</v>
      </c>
    </row>
    <row r="18685" spans="8:8">
      <c r="H18685" t="s">
        <v>23092</v>
      </c>
    </row>
    <row r="18686" spans="8:8">
      <c r="H18686" t="s">
        <v>23093</v>
      </c>
    </row>
    <row r="18687" spans="8:8">
      <c r="H18687" t="s">
        <v>23094</v>
      </c>
    </row>
    <row r="18688" spans="8:8">
      <c r="H18688" t="s">
        <v>23095</v>
      </c>
    </row>
    <row r="18689" spans="8:8">
      <c r="H18689" t="s">
        <v>23096</v>
      </c>
    </row>
    <row r="18690" spans="8:8">
      <c r="H18690" t="s">
        <v>23097</v>
      </c>
    </row>
    <row r="18691" spans="8:8">
      <c r="H18691" t="s">
        <v>23098</v>
      </c>
    </row>
    <row r="18692" spans="8:8">
      <c r="H18692" t="s">
        <v>23099</v>
      </c>
    </row>
    <row r="18693" spans="8:8">
      <c r="H18693" t="s">
        <v>23100</v>
      </c>
    </row>
    <row r="18694" spans="8:8">
      <c r="H18694" t="s">
        <v>23101</v>
      </c>
    </row>
    <row r="18695" spans="8:8">
      <c r="H18695" t="s">
        <v>23102</v>
      </c>
    </row>
    <row r="18696" spans="8:8">
      <c r="H18696" t="s">
        <v>23103</v>
      </c>
    </row>
    <row r="18697" spans="8:8">
      <c r="H18697" t="s">
        <v>23104</v>
      </c>
    </row>
    <row r="18698" spans="8:8">
      <c r="H18698" t="s">
        <v>23105</v>
      </c>
    </row>
    <row r="18699" spans="8:8">
      <c r="H18699" t="s">
        <v>23106</v>
      </c>
    </row>
    <row r="18700" spans="8:8">
      <c r="H18700" t="s">
        <v>23107</v>
      </c>
    </row>
    <row r="18701" spans="8:8">
      <c r="H18701" t="s">
        <v>23108</v>
      </c>
    </row>
    <row r="18702" spans="8:8">
      <c r="H18702" t="s">
        <v>23109</v>
      </c>
    </row>
    <row r="18703" spans="8:8">
      <c r="H18703" t="s">
        <v>23110</v>
      </c>
    </row>
    <row r="18704" spans="8:8">
      <c r="H18704" t="s">
        <v>23111</v>
      </c>
    </row>
    <row r="18705" spans="8:8">
      <c r="H18705" t="s">
        <v>23112</v>
      </c>
    </row>
    <row r="18706" spans="8:8">
      <c r="H18706" t="s">
        <v>23113</v>
      </c>
    </row>
    <row r="18707" spans="8:8">
      <c r="H18707" t="s">
        <v>23114</v>
      </c>
    </row>
    <row r="18708" spans="8:8">
      <c r="H18708" t="s">
        <v>23115</v>
      </c>
    </row>
    <row r="18709" spans="8:8">
      <c r="H18709" t="s">
        <v>23116</v>
      </c>
    </row>
    <row r="18710" spans="8:8">
      <c r="H18710" t="s">
        <v>23117</v>
      </c>
    </row>
    <row r="18711" spans="8:8">
      <c r="H18711" t="s">
        <v>23118</v>
      </c>
    </row>
    <row r="18712" spans="8:8">
      <c r="H18712" t="s">
        <v>23119</v>
      </c>
    </row>
    <row r="18713" spans="8:8">
      <c r="H18713" t="s">
        <v>23120</v>
      </c>
    </row>
    <row r="18714" spans="8:8">
      <c r="H18714" t="s">
        <v>23121</v>
      </c>
    </row>
    <row r="18715" spans="8:8">
      <c r="H18715" t="s">
        <v>23122</v>
      </c>
    </row>
    <row r="18716" spans="8:8">
      <c r="H18716" t="s">
        <v>23123</v>
      </c>
    </row>
    <row r="18717" spans="8:8">
      <c r="H18717" t="s">
        <v>23124</v>
      </c>
    </row>
    <row r="18718" spans="8:8">
      <c r="H18718" t="s">
        <v>23125</v>
      </c>
    </row>
    <row r="18719" spans="8:8">
      <c r="H18719" t="s">
        <v>23126</v>
      </c>
    </row>
    <row r="18720" spans="8:8">
      <c r="H18720" t="s">
        <v>23127</v>
      </c>
    </row>
    <row r="18721" spans="8:8">
      <c r="H18721" t="s">
        <v>23128</v>
      </c>
    </row>
    <row r="18722" spans="8:8">
      <c r="H18722" t="s">
        <v>23129</v>
      </c>
    </row>
    <row r="18723" spans="8:8">
      <c r="H18723" t="s">
        <v>23130</v>
      </c>
    </row>
    <row r="18724" spans="8:8">
      <c r="H18724" t="s">
        <v>23131</v>
      </c>
    </row>
    <row r="18725" spans="8:8">
      <c r="H18725" t="s">
        <v>23132</v>
      </c>
    </row>
    <row r="18726" spans="8:8">
      <c r="H18726" t="s">
        <v>23133</v>
      </c>
    </row>
    <row r="18727" spans="8:8">
      <c r="H18727" t="s">
        <v>23134</v>
      </c>
    </row>
    <row r="18728" spans="8:8">
      <c r="H18728" t="s">
        <v>23135</v>
      </c>
    </row>
    <row r="18729" spans="8:8">
      <c r="H18729" t="s">
        <v>23136</v>
      </c>
    </row>
    <row r="18730" spans="8:8">
      <c r="H18730" t="s">
        <v>23137</v>
      </c>
    </row>
    <row r="18731" spans="8:8">
      <c r="H18731" t="s">
        <v>23138</v>
      </c>
    </row>
    <row r="18732" spans="8:8">
      <c r="H18732" t="s">
        <v>23139</v>
      </c>
    </row>
    <row r="18733" spans="8:8">
      <c r="H18733" t="s">
        <v>23140</v>
      </c>
    </row>
    <row r="18734" spans="8:8">
      <c r="H18734" t="s">
        <v>23141</v>
      </c>
    </row>
    <row r="18735" spans="8:8">
      <c r="H18735" t="s">
        <v>23142</v>
      </c>
    </row>
    <row r="18736" spans="8:8">
      <c r="H18736" t="s">
        <v>23143</v>
      </c>
    </row>
    <row r="18737" spans="8:8">
      <c r="H18737" t="s">
        <v>23144</v>
      </c>
    </row>
    <row r="18738" spans="8:8">
      <c r="H18738" t="s">
        <v>23145</v>
      </c>
    </row>
    <row r="18739" spans="8:8">
      <c r="H18739" t="s">
        <v>23146</v>
      </c>
    </row>
    <row r="18740" spans="8:8">
      <c r="H18740" t="s">
        <v>23147</v>
      </c>
    </row>
    <row r="18741" spans="8:8">
      <c r="H18741" t="s">
        <v>23148</v>
      </c>
    </row>
    <row r="18742" spans="8:8">
      <c r="H18742" t="s">
        <v>23149</v>
      </c>
    </row>
    <row r="18743" spans="8:8">
      <c r="H18743" t="s">
        <v>23150</v>
      </c>
    </row>
    <row r="18744" spans="8:8">
      <c r="H18744" t="s">
        <v>23151</v>
      </c>
    </row>
    <row r="18745" spans="8:8">
      <c r="H18745" t="s">
        <v>23152</v>
      </c>
    </row>
    <row r="18746" spans="8:8">
      <c r="H18746" t="s">
        <v>23153</v>
      </c>
    </row>
    <row r="18747" spans="8:8">
      <c r="H18747" t="s">
        <v>23154</v>
      </c>
    </row>
    <row r="18748" spans="8:8">
      <c r="H18748" t="s">
        <v>23155</v>
      </c>
    </row>
    <row r="18749" spans="8:8">
      <c r="H18749" t="s">
        <v>23156</v>
      </c>
    </row>
    <row r="18750" spans="8:8">
      <c r="H18750" t="s">
        <v>23157</v>
      </c>
    </row>
    <row r="18751" spans="8:8">
      <c r="H18751" t="s">
        <v>23158</v>
      </c>
    </row>
    <row r="18752" spans="8:8">
      <c r="H18752" t="s">
        <v>23159</v>
      </c>
    </row>
    <row r="18753" spans="8:8">
      <c r="H18753" t="s">
        <v>23160</v>
      </c>
    </row>
    <row r="18754" spans="8:8">
      <c r="H18754" t="s">
        <v>23161</v>
      </c>
    </row>
    <row r="18755" spans="8:8">
      <c r="H18755" t="s">
        <v>23162</v>
      </c>
    </row>
    <row r="18756" spans="8:8">
      <c r="H18756" t="s">
        <v>23163</v>
      </c>
    </row>
    <row r="18757" spans="8:8">
      <c r="H18757" t="s">
        <v>23164</v>
      </c>
    </row>
    <row r="18758" spans="8:8">
      <c r="H18758" t="s">
        <v>23165</v>
      </c>
    </row>
    <row r="18759" spans="8:8">
      <c r="H18759" t="s">
        <v>23166</v>
      </c>
    </row>
    <row r="18760" spans="8:8">
      <c r="H18760" t="s">
        <v>23167</v>
      </c>
    </row>
    <row r="18761" spans="8:8">
      <c r="H18761" t="s">
        <v>23168</v>
      </c>
    </row>
    <row r="18762" spans="8:8">
      <c r="H18762" t="s">
        <v>23169</v>
      </c>
    </row>
    <row r="18763" spans="8:8">
      <c r="H18763" t="s">
        <v>23170</v>
      </c>
    </row>
    <row r="18764" spans="8:8">
      <c r="H18764" t="s">
        <v>23171</v>
      </c>
    </row>
    <row r="18765" spans="8:8">
      <c r="H18765" t="s">
        <v>23172</v>
      </c>
    </row>
    <row r="18766" spans="8:8">
      <c r="H18766" t="s">
        <v>23173</v>
      </c>
    </row>
    <row r="18767" spans="8:8">
      <c r="H18767" t="s">
        <v>23174</v>
      </c>
    </row>
    <row r="18768" spans="8:8">
      <c r="H18768" t="s">
        <v>23175</v>
      </c>
    </row>
    <row r="18769" spans="6:8">
      <c r="H18769" t="s">
        <v>23176</v>
      </c>
    </row>
    <row r="18770" spans="6:8">
      <c r="H18770" t="s">
        <v>23177</v>
      </c>
    </row>
    <row r="18771" spans="6:8">
      <c r="H18771" t="s">
        <v>23178</v>
      </c>
    </row>
    <row r="18772" spans="6:8">
      <c r="H18772" t="s">
        <v>23179</v>
      </c>
    </row>
    <row r="18773" spans="6:8">
      <c r="H18773" t="s">
        <v>23180</v>
      </c>
    </row>
    <row r="18774" spans="6:8">
      <c r="H18774" t="s">
        <v>23181</v>
      </c>
    </row>
    <row r="18775" spans="6:8">
      <c r="H18775" t="s">
        <v>21641</v>
      </c>
    </row>
    <row r="18776" spans="6:8">
      <c r="F18776" t="s">
        <v>12449</v>
      </c>
      <c r="G18776" t="s">
        <v>16670</v>
      </c>
      <c r="H18776" t="s">
        <v>18829</v>
      </c>
    </row>
    <row r="18777" spans="6:8">
      <c r="H18777" t="s">
        <v>23182</v>
      </c>
    </row>
    <row r="18778" spans="6:8">
      <c r="H18778" t="s">
        <v>23183</v>
      </c>
    </row>
    <row r="18779" spans="6:8">
      <c r="H18779" t="s">
        <v>23184</v>
      </c>
    </row>
    <row r="18780" spans="6:8">
      <c r="H18780" t="s">
        <v>23185</v>
      </c>
    </row>
    <row r="18781" spans="6:8">
      <c r="H18781" t="s">
        <v>23186</v>
      </c>
    </row>
    <row r="18782" spans="6:8">
      <c r="H18782" t="s">
        <v>23187</v>
      </c>
    </row>
    <row r="18783" spans="6:8">
      <c r="H18783" t="s">
        <v>23188</v>
      </c>
    </row>
    <row r="18784" spans="6:8">
      <c r="H18784" t="s">
        <v>23189</v>
      </c>
    </row>
    <row r="18785" spans="8:8">
      <c r="H18785" t="s">
        <v>23190</v>
      </c>
    </row>
    <row r="18786" spans="8:8">
      <c r="H18786" t="s">
        <v>23191</v>
      </c>
    </row>
    <row r="18787" spans="8:8">
      <c r="H18787" t="s">
        <v>23192</v>
      </c>
    </row>
    <row r="18788" spans="8:8">
      <c r="H18788" t="s">
        <v>23193</v>
      </c>
    </row>
    <row r="18789" spans="8:8">
      <c r="H18789" t="s">
        <v>23194</v>
      </c>
    </row>
    <row r="18790" spans="8:8">
      <c r="H18790" t="s">
        <v>23195</v>
      </c>
    </row>
    <row r="18791" spans="8:8">
      <c r="H18791" t="s">
        <v>23196</v>
      </c>
    </row>
    <row r="18792" spans="8:8">
      <c r="H18792" t="s">
        <v>23197</v>
      </c>
    </row>
    <row r="18793" spans="8:8">
      <c r="H18793" t="s">
        <v>23198</v>
      </c>
    </row>
    <row r="18794" spans="8:8">
      <c r="H18794" t="s">
        <v>23199</v>
      </c>
    </row>
    <row r="18795" spans="8:8">
      <c r="H18795" t="s">
        <v>23200</v>
      </c>
    </row>
    <row r="18796" spans="8:8">
      <c r="H18796" t="s">
        <v>23201</v>
      </c>
    </row>
    <row r="18797" spans="8:8">
      <c r="H18797" t="s">
        <v>23202</v>
      </c>
    </row>
    <row r="18798" spans="8:8">
      <c r="H18798" t="s">
        <v>23203</v>
      </c>
    </row>
    <row r="18799" spans="8:8">
      <c r="H18799" t="s">
        <v>23204</v>
      </c>
    </row>
    <row r="18800" spans="8:8">
      <c r="H18800" t="s">
        <v>23205</v>
      </c>
    </row>
    <row r="18801" spans="8:8">
      <c r="H18801" t="s">
        <v>23206</v>
      </c>
    </row>
    <row r="18802" spans="8:8">
      <c r="H18802" t="s">
        <v>23207</v>
      </c>
    </row>
    <row r="18803" spans="8:8">
      <c r="H18803" t="s">
        <v>23208</v>
      </c>
    </row>
    <row r="18804" spans="8:8">
      <c r="H18804" t="s">
        <v>23209</v>
      </c>
    </row>
    <row r="18805" spans="8:8">
      <c r="H18805" t="s">
        <v>23210</v>
      </c>
    </row>
    <row r="18806" spans="8:8">
      <c r="H18806" t="s">
        <v>23211</v>
      </c>
    </row>
    <row r="18807" spans="8:8">
      <c r="H18807" t="s">
        <v>23212</v>
      </c>
    </row>
    <row r="18808" spans="8:8">
      <c r="H18808" t="s">
        <v>23213</v>
      </c>
    </row>
    <row r="18809" spans="8:8">
      <c r="H18809" t="s">
        <v>23214</v>
      </c>
    </row>
    <row r="18810" spans="8:8">
      <c r="H18810" t="s">
        <v>23215</v>
      </c>
    </row>
    <row r="18811" spans="8:8">
      <c r="H18811" t="s">
        <v>23216</v>
      </c>
    </row>
    <row r="18812" spans="8:8">
      <c r="H18812" t="s">
        <v>23217</v>
      </c>
    </row>
    <row r="18813" spans="8:8">
      <c r="H18813" t="s">
        <v>23218</v>
      </c>
    </row>
    <row r="18814" spans="8:8">
      <c r="H18814" t="s">
        <v>23219</v>
      </c>
    </row>
    <row r="18815" spans="8:8">
      <c r="H18815" t="s">
        <v>23220</v>
      </c>
    </row>
    <row r="18816" spans="8:8">
      <c r="H18816" t="s">
        <v>23221</v>
      </c>
    </row>
    <row r="18817" spans="6:8">
      <c r="H18817" t="s">
        <v>23222</v>
      </c>
    </row>
    <row r="18818" spans="6:8">
      <c r="H18818" t="s">
        <v>23223</v>
      </c>
    </row>
    <row r="18819" spans="6:8">
      <c r="H18819" t="s">
        <v>23224</v>
      </c>
    </row>
    <row r="18820" spans="6:8">
      <c r="H18820" t="s">
        <v>23225</v>
      </c>
    </row>
    <row r="18821" spans="6:8">
      <c r="H18821" t="s">
        <v>23226</v>
      </c>
    </row>
    <row r="18822" spans="6:8">
      <c r="H18822" t="s">
        <v>23227</v>
      </c>
    </row>
    <row r="18823" spans="6:8">
      <c r="H18823" t="s">
        <v>23228</v>
      </c>
    </row>
    <row r="18824" spans="6:8">
      <c r="H18824" t="s">
        <v>23229</v>
      </c>
    </row>
    <row r="18825" spans="6:8">
      <c r="H18825" t="s">
        <v>23230</v>
      </c>
    </row>
    <row r="18826" spans="6:8">
      <c r="F18826" t="s">
        <v>12450</v>
      </c>
      <c r="G18826" t="s">
        <v>16671</v>
      </c>
      <c r="H18826" t="s">
        <v>18829</v>
      </c>
    </row>
    <row r="18827" spans="6:8">
      <c r="H18827" t="s">
        <v>23231</v>
      </c>
    </row>
    <row r="18828" spans="6:8">
      <c r="H18828" t="s">
        <v>23232</v>
      </c>
    </row>
    <row r="18829" spans="6:8">
      <c r="H18829" t="s">
        <v>23233</v>
      </c>
    </row>
    <row r="18830" spans="6:8">
      <c r="H18830" t="s">
        <v>23234</v>
      </c>
    </row>
    <row r="18831" spans="6:8">
      <c r="H18831" t="s">
        <v>23235</v>
      </c>
    </row>
    <row r="18832" spans="6:8">
      <c r="H18832" t="s">
        <v>23236</v>
      </c>
    </row>
    <row r="18833" spans="8:8">
      <c r="H18833" t="s">
        <v>23237</v>
      </c>
    </row>
    <row r="18834" spans="8:8">
      <c r="H18834" t="s">
        <v>23238</v>
      </c>
    </row>
    <row r="18835" spans="8:8">
      <c r="H18835" t="s">
        <v>23239</v>
      </c>
    </row>
    <row r="18836" spans="8:8">
      <c r="H18836" t="s">
        <v>23240</v>
      </c>
    </row>
    <row r="18837" spans="8:8">
      <c r="H18837" t="s">
        <v>23241</v>
      </c>
    </row>
    <row r="18838" spans="8:8">
      <c r="H18838" t="s">
        <v>23242</v>
      </c>
    </row>
    <row r="18839" spans="8:8">
      <c r="H18839" t="s">
        <v>23243</v>
      </c>
    </row>
    <row r="18840" spans="8:8">
      <c r="H18840" t="s">
        <v>23244</v>
      </c>
    </row>
    <row r="18841" spans="8:8">
      <c r="H18841" t="s">
        <v>23245</v>
      </c>
    </row>
    <row r="18842" spans="8:8">
      <c r="H18842" t="s">
        <v>23246</v>
      </c>
    </row>
    <row r="18843" spans="8:8">
      <c r="H18843" t="s">
        <v>23247</v>
      </c>
    </row>
    <row r="18844" spans="8:8">
      <c r="H18844" t="s">
        <v>23248</v>
      </c>
    </row>
    <row r="18845" spans="8:8">
      <c r="H18845" t="s">
        <v>23249</v>
      </c>
    </row>
    <row r="18846" spans="8:8">
      <c r="H18846" t="s">
        <v>23250</v>
      </c>
    </row>
    <row r="18847" spans="8:8">
      <c r="H18847" t="s">
        <v>23251</v>
      </c>
    </row>
    <row r="18848" spans="8:8">
      <c r="H18848" t="s">
        <v>23252</v>
      </c>
    </row>
    <row r="18849" spans="8:8">
      <c r="H18849" t="s">
        <v>23253</v>
      </c>
    </row>
    <row r="18850" spans="8:8">
      <c r="H18850" t="s">
        <v>23254</v>
      </c>
    </row>
    <row r="18851" spans="8:8">
      <c r="H18851" t="s">
        <v>23255</v>
      </c>
    </row>
    <row r="18852" spans="8:8">
      <c r="H18852" t="s">
        <v>23256</v>
      </c>
    </row>
    <row r="18853" spans="8:8">
      <c r="H18853" t="s">
        <v>23257</v>
      </c>
    </row>
    <row r="18854" spans="8:8">
      <c r="H18854" t="s">
        <v>23258</v>
      </c>
    </row>
    <row r="18855" spans="8:8">
      <c r="H18855" t="s">
        <v>23259</v>
      </c>
    </row>
    <row r="18856" spans="8:8">
      <c r="H18856" t="s">
        <v>23260</v>
      </c>
    </row>
    <row r="18857" spans="8:8">
      <c r="H18857" t="s">
        <v>23261</v>
      </c>
    </row>
    <row r="18858" spans="8:8">
      <c r="H18858" t="s">
        <v>23262</v>
      </c>
    </row>
    <row r="18859" spans="8:8">
      <c r="H18859" t="s">
        <v>23263</v>
      </c>
    </row>
    <row r="18860" spans="8:8">
      <c r="H18860" t="s">
        <v>23264</v>
      </c>
    </row>
    <row r="18861" spans="8:8">
      <c r="H18861" t="s">
        <v>23265</v>
      </c>
    </row>
    <row r="18862" spans="8:8">
      <c r="H18862" t="s">
        <v>23266</v>
      </c>
    </row>
    <row r="18863" spans="8:8">
      <c r="H18863" t="s">
        <v>23267</v>
      </c>
    </row>
    <row r="18864" spans="8:8">
      <c r="H18864" t="s">
        <v>23268</v>
      </c>
    </row>
    <row r="18865" spans="8:8">
      <c r="H18865" t="s">
        <v>23269</v>
      </c>
    </row>
    <row r="18866" spans="8:8">
      <c r="H18866" t="s">
        <v>23270</v>
      </c>
    </row>
    <row r="18867" spans="8:8">
      <c r="H18867" t="s">
        <v>23271</v>
      </c>
    </row>
    <row r="18868" spans="8:8">
      <c r="H18868" t="s">
        <v>23272</v>
      </c>
    </row>
    <row r="18869" spans="8:8">
      <c r="H18869" t="s">
        <v>23273</v>
      </c>
    </row>
    <row r="18870" spans="8:8">
      <c r="H18870" t="s">
        <v>23274</v>
      </c>
    </row>
    <row r="18871" spans="8:8">
      <c r="H18871" t="s">
        <v>23275</v>
      </c>
    </row>
    <row r="18872" spans="8:8">
      <c r="H18872" t="s">
        <v>23276</v>
      </c>
    </row>
    <row r="18873" spans="8:8">
      <c r="H18873" t="s">
        <v>23277</v>
      </c>
    </row>
    <row r="18874" spans="8:8">
      <c r="H18874" t="s">
        <v>23278</v>
      </c>
    </row>
    <row r="18875" spans="8:8">
      <c r="H18875" t="s">
        <v>23279</v>
      </c>
    </row>
    <row r="18876" spans="8:8">
      <c r="H18876" t="s">
        <v>23280</v>
      </c>
    </row>
    <row r="18877" spans="8:8">
      <c r="H18877" t="s">
        <v>23281</v>
      </c>
    </row>
    <row r="18878" spans="8:8">
      <c r="H18878" t="s">
        <v>23282</v>
      </c>
    </row>
    <row r="18879" spans="8:8">
      <c r="H18879" t="s">
        <v>23283</v>
      </c>
    </row>
    <row r="18880" spans="8:8">
      <c r="H18880" t="s">
        <v>23284</v>
      </c>
    </row>
    <row r="18881" spans="8:8">
      <c r="H18881" t="s">
        <v>23285</v>
      </c>
    </row>
    <row r="18882" spans="8:8">
      <c r="H18882" t="s">
        <v>23286</v>
      </c>
    </row>
    <row r="18883" spans="8:8">
      <c r="H18883" t="s">
        <v>23287</v>
      </c>
    </row>
    <row r="18884" spans="8:8">
      <c r="H18884" t="s">
        <v>23288</v>
      </c>
    </row>
    <row r="18885" spans="8:8">
      <c r="H18885" t="s">
        <v>23289</v>
      </c>
    </row>
    <row r="18886" spans="8:8">
      <c r="H18886" t="s">
        <v>23290</v>
      </c>
    </row>
    <row r="18887" spans="8:8">
      <c r="H18887" t="s">
        <v>23291</v>
      </c>
    </row>
    <row r="18888" spans="8:8">
      <c r="H18888" t="s">
        <v>23292</v>
      </c>
    </row>
    <row r="18889" spans="8:8">
      <c r="H18889" t="s">
        <v>23293</v>
      </c>
    </row>
    <row r="18890" spans="8:8">
      <c r="H18890" t="s">
        <v>23294</v>
      </c>
    </row>
    <row r="18891" spans="8:8">
      <c r="H18891" t="s">
        <v>23295</v>
      </c>
    </row>
    <row r="18892" spans="8:8">
      <c r="H18892" t="s">
        <v>23296</v>
      </c>
    </row>
    <row r="18893" spans="8:8">
      <c r="H18893" t="s">
        <v>23297</v>
      </c>
    </row>
    <row r="18894" spans="8:8">
      <c r="H18894" t="s">
        <v>23298</v>
      </c>
    </row>
    <row r="18895" spans="8:8">
      <c r="H18895" t="s">
        <v>23299</v>
      </c>
    </row>
    <row r="18896" spans="8:8">
      <c r="H18896" t="s">
        <v>23300</v>
      </c>
    </row>
    <row r="18897" spans="8:8">
      <c r="H18897" t="s">
        <v>23301</v>
      </c>
    </row>
    <row r="18898" spans="8:8">
      <c r="H18898" t="s">
        <v>23302</v>
      </c>
    </row>
    <row r="18899" spans="8:8">
      <c r="H18899" t="s">
        <v>23303</v>
      </c>
    </row>
    <row r="18900" spans="8:8">
      <c r="H18900" t="s">
        <v>23304</v>
      </c>
    </row>
    <row r="18901" spans="8:8">
      <c r="H18901" t="s">
        <v>23305</v>
      </c>
    </row>
    <row r="18902" spans="8:8">
      <c r="H18902" t="s">
        <v>23306</v>
      </c>
    </row>
    <row r="18903" spans="8:8">
      <c r="H18903" t="s">
        <v>23307</v>
      </c>
    </row>
    <row r="18904" spans="8:8">
      <c r="H18904" t="s">
        <v>23308</v>
      </c>
    </row>
    <row r="18905" spans="8:8">
      <c r="H18905" t="s">
        <v>23309</v>
      </c>
    </row>
    <row r="18906" spans="8:8">
      <c r="H18906" t="s">
        <v>23310</v>
      </c>
    </row>
    <row r="18907" spans="8:8">
      <c r="H18907" t="s">
        <v>23311</v>
      </c>
    </row>
    <row r="18908" spans="8:8">
      <c r="H18908" t="s">
        <v>23312</v>
      </c>
    </row>
    <row r="18909" spans="8:8">
      <c r="H18909" t="s">
        <v>23313</v>
      </c>
    </row>
    <row r="18910" spans="8:8">
      <c r="H18910" t="s">
        <v>23314</v>
      </c>
    </row>
    <row r="18911" spans="8:8">
      <c r="H18911" t="s">
        <v>23315</v>
      </c>
    </row>
    <row r="18912" spans="8:8">
      <c r="H18912" t="s">
        <v>23316</v>
      </c>
    </row>
    <row r="18913" spans="8:8">
      <c r="H18913" t="s">
        <v>23317</v>
      </c>
    </row>
    <row r="18914" spans="8:8">
      <c r="H18914" t="s">
        <v>23318</v>
      </c>
    </row>
    <row r="18915" spans="8:8">
      <c r="H18915" t="s">
        <v>23319</v>
      </c>
    </row>
    <row r="18916" spans="8:8">
      <c r="H18916" t="s">
        <v>23320</v>
      </c>
    </row>
    <row r="18917" spans="8:8">
      <c r="H18917" t="s">
        <v>23321</v>
      </c>
    </row>
    <row r="18918" spans="8:8">
      <c r="H18918" t="s">
        <v>23322</v>
      </c>
    </row>
    <row r="18919" spans="8:8">
      <c r="H18919" t="s">
        <v>23323</v>
      </c>
    </row>
    <row r="18920" spans="8:8">
      <c r="H18920" t="s">
        <v>23324</v>
      </c>
    </row>
    <row r="18921" spans="8:8">
      <c r="H18921" t="s">
        <v>23325</v>
      </c>
    </row>
    <row r="18922" spans="8:8">
      <c r="H18922" t="s">
        <v>23326</v>
      </c>
    </row>
    <row r="18923" spans="8:8">
      <c r="H18923" t="s">
        <v>23327</v>
      </c>
    </row>
    <row r="18924" spans="8:8">
      <c r="H18924" t="s">
        <v>23328</v>
      </c>
    </row>
    <row r="18925" spans="8:8">
      <c r="H18925" t="s">
        <v>23329</v>
      </c>
    </row>
    <row r="18926" spans="8:8">
      <c r="H18926" t="s">
        <v>23330</v>
      </c>
    </row>
    <row r="18927" spans="8:8">
      <c r="H18927" t="s">
        <v>23331</v>
      </c>
    </row>
    <row r="18928" spans="8:8">
      <c r="H18928" t="s">
        <v>23332</v>
      </c>
    </row>
    <row r="18929" spans="8:8">
      <c r="H18929" t="s">
        <v>23333</v>
      </c>
    </row>
    <row r="18930" spans="8:8">
      <c r="H18930" t="s">
        <v>23334</v>
      </c>
    </row>
    <row r="18931" spans="8:8">
      <c r="H18931" t="s">
        <v>23335</v>
      </c>
    </row>
    <row r="18932" spans="8:8">
      <c r="H18932" t="s">
        <v>23336</v>
      </c>
    </row>
    <row r="18933" spans="8:8">
      <c r="H18933" t="s">
        <v>23337</v>
      </c>
    </row>
    <row r="18934" spans="8:8">
      <c r="H18934" t="s">
        <v>23338</v>
      </c>
    </row>
    <row r="18935" spans="8:8">
      <c r="H18935" t="s">
        <v>23339</v>
      </c>
    </row>
    <row r="18936" spans="8:8">
      <c r="H18936" t="s">
        <v>23340</v>
      </c>
    </row>
    <row r="18937" spans="8:8">
      <c r="H18937" t="s">
        <v>23341</v>
      </c>
    </row>
    <row r="18938" spans="8:8">
      <c r="H18938" t="s">
        <v>23342</v>
      </c>
    </row>
    <row r="18939" spans="8:8">
      <c r="H18939" t="s">
        <v>23343</v>
      </c>
    </row>
    <row r="18940" spans="8:8">
      <c r="H18940" t="s">
        <v>23344</v>
      </c>
    </row>
    <row r="18941" spans="8:8">
      <c r="H18941" t="s">
        <v>23345</v>
      </c>
    </row>
    <row r="18942" spans="8:8">
      <c r="H18942" t="s">
        <v>23346</v>
      </c>
    </row>
    <row r="18943" spans="8:8">
      <c r="H18943" t="s">
        <v>23347</v>
      </c>
    </row>
    <row r="18944" spans="8:8">
      <c r="H18944" t="s">
        <v>23348</v>
      </c>
    </row>
    <row r="18945" spans="8:8">
      <c r="H18945" t="s">
        <v>23349</v>
      </c>
    </row>
    <row r="18946" spans="8:8">
      <c r="H18946" t="s">
        <v>23350</v>
      </c>
    </row>
    <row r="18947" spans="8:8">
      <c r="H18947" t="s">
        <v>23351</v>
      </c>
    </row>
    <row r="18948" spans="8:8">
      <c r="H18948" t="s">
        <v>23352</v>
      </c>
    </row>
    <row r="18949" spans="8:8">
      <c r="H18949" t="s">
        <v>23353</v>
      </c>
    </row>
    <row r="18950" spans="8:8">
      <c r="H18950" t="s">
        <v>23354</v>
      </c>
    </row>
    <row r="18951" spans="8:8">
      <c r="H18951" t="s">
        <v>23355</v>
      </c>
    </row>
    <row r="18952" spans="8:8">
      <c r="H18952" t="s">
        <v>23356</v>
      </c>
    </row>
    <row r="18953" spans="8:8">
      <c r="H18953" t="s">
        <v>23357</v>
      </c>
    </row>
    <row r="18954" spans="8:8">
      <c r="H18954" t="s">
        <v>23358</v>
      </c>
    </row>
    <row r="18955" spans="8:8">
      <c r="H18955" t="s">
        <v>23359</v>
      </c>
    </row>
    <row r="18956" spans="8:8">
      <c r="H18956" t="s">
        <v>23360</v>
      </c>
    </row>
    <row r="18957" spans="8:8">
      <c r="H18957" t="s">
        <v>23361</v>
      </c>
    </row>
    <row r="18958" spans="8:8">
      <c r="H18958" t="s">
        <v>23362</v>
      </c>
    </row>
    <row r="18959" spans="8:8">
      <c r="H18959" t="s">
        <v>23363</v>
      </c>
    </row>
    <row r="18960" spans="8:8">
      <c r="H18960" t="s">
        <v>23364</v>
      </c>
    </row>
    <row r="18961" spans="8:8">
      <c r="H18961" t="s">
        <v>23365</v>
      </c>
    </row>
    <row r="18962" spans="8:8">
      <c r="H18962" t="s">
        <v>23366</v>
      </c>
    </row>
    <row r="18963" spans="8:8">
      <c r="H18963" t="s">
        <v>23367</v>
      </c>
    </row>
    <row r="18964" spans="8:8">
      <c r="H18964" t="s">
        <v>23368</v>
      </c>
    </row>
    <row r="18965" spans="8:8">
      <c r="H18965" t="s">
        <v>23369</v>
      </c>
    </row>
    <row r="18966" spans="8:8">
      <c r="H18966" t="s">
        <v>23370</v>
      </c>
    </row>
    <row r="18967" spans="8:8">
      <c r="H18967" t="s">
        <v>23371</v>
      </c>
    </row>
    <row r="18968" spans="8:8">
      <c r="H18968" t="s">
        <v>23372</v>
      </c>
    </row>
    <row r="18969" spans="8:8">
      <c r="H18969" t="s">
        <v>23373</v>
      </c>
    </row>
    <row r="18970" spans="8:8">
      <c r="H18970" t="s">
        <v>23374</v>
      </c>
    </row>
    <row r="18971" spans="8:8">
      <c r="H18971" t="s">
        <v>23375</v>
      </c>
    </row>
    <row r="18972" spans="8:8">
      <c r="H18972" t="s">
        <v>23376</v>
      </c>
    </row>
    <row r="18973" spans="8:8">
      <c r="H18973" t="s">
        <v>23377</v>
      </c>
    </row>
    <row r="18974" spans="8:8">
      <c r="H18974" t="s">
        <v>23378</v>
      </c>
    </row>
    <row r="18975" spans="8:8">
      <c r="H18975" t="s">
        <v>23379</v>
      </c>
    </row>
    <row r="18976" spans="8:8">
      <c r="H18976" t="s">
        <v>23380</v>
      </c>
    </row>
    <row r="18977" spans="8:8">
      <c r="H18977" t="s">
        <v>23381</v>
      </c>
    </row>
    <row r="18978" spans="8:8">
      <c r="H18978" t="s">
        <v>23382</v>
      </c>
    </row>
    <row r="18979" spans="8:8">
      <c r="H18979" t="s">
        <v>23383</v>
      </c>
    </row>
    <row r="18980" spans="8:8">
      <c r="H18980" t="s">
        <v>23384</v>
      </c>
    </row>
    <row r="18981" spans="8:8">
      <c r="H18981" t="s">
        <v>23385</v>
      </c>
    </row>
    <row r="18982" spans="8:8">
      <c r="H18982" t="s">
        <v>23386</v>
      </c>
    </row>
    <row r="18983" spans="8:8">
      <c r="H18983" t="s">
        <v>23387</v>
      </c>
    </row>
    <row r="18984" spans="8:8">
      <c r="H18984" t="s">
        <v>23388</v>
      </c>
    </row>
    <row r="18985" spans="8:8">
      <c r="H18985" t="s">
        <v>23389</v>
      </c>
    </row>
    <row r="18986" spans="8:8">
      <c r="H18986" t="s">
        <v>23390</v>
      </c>
    </row>
    <row r="18987" spans="8:8">
      <c r="H18987" t="s">
        <v>23391</v>
      </c>
    </row>
    <row r="18988" spans="8:8">
      <c r="H18988" t="s">
        <v>23392</v>
      </c>
    </row>
    <row r="18989" spans="8:8">
      <c r="H18989" t="s">
        <v>23393</v>
      </c>
    </row>
    <row r="18990" spans="8:8">
      <c r="H18990" t="s">
        <v>23394</v>
      </c>
    </row>
    <row r="18991" spans="8:8">
      <c r="H18991" t="s">
        <v>23395</v>
      </c>
    </row>
    <row r="18992" spans="8:8">
      <c r="H18992" t="s">
        <v>23396</v>
      </c>
    </row>
    <row r="18993" spans="8:8">
      <c r="H18993" t="s">
        <v>23397</v>
      </c>
    </row>
    <row r="18994" spans="8:8">
      <c r="H18994" t="s">
        <v>23398</v>
      </c>
    </row>
    <row r="18995" spans="8:8">
      <c r="H18995" t="s">
        <v>23399</v>
      </c>
    </row>
    <row r="18996" spans="8:8">
      <c r="H18996" t="s">
        <v>23400</v>
      </c>
    </row>
    <row r="18997" spans="8:8">
      <c r="H18997" t="s">
        <v>23401</v>
      </c>
    </row>
    <row r="18998" spans="8:8">
      <c r="H18998" t="s">
        <v>23402</v>
      </c>
    </row>
    <row r="18999" spans="8:8">
      <c r="H18999" t="s">
        <v>23403</v>
      </c>
    </row>
    <row r="19000" spans="8:8">
      <c r="H19000" t="s">
        <v>23404</v>
      </c>
    </row>
    <row r="19001" spans="8:8">
      <c r="H19001" t="s">
        <v>23405</v>
      </c>
    </row>
    <row r="19002" spans="8:8">
      <c r="H19002" t="s">
        <v>23406</v>
      </c>
    </row>
    <row r="19003" spans="8:8">
      <c r="H19003" t="s">
        <v>23407</v>
      </c>
    </row>
    <row r="19004" spans="8:8">
      <c r="H19004" t="s">
        <v>23408</v>
      </c>
    </row>
    <row r="19005" spans="8:8">
      <c r="H19005" t="s">
        <v>23409</v>
      </c>
    </row>
    <row r="19006" spans="8:8">
      <c r="H19006" t="s">
        <v>23410</v>
      </c>
    </row>
    <row r="19007" spans="8:8">
      <c r="H19007" t="s">
        <v>23411</v>
      </c>
    </row>
    <row r="19008" spans="8:8">
      <c r="H19008" t="s">
        <v>23412</v>
      </c>
    </row>
    <row r="19009" spans="8:8">
      <c r="H19009" t="s">
        <v>23413</v>
      </c>
    </row>
    <row r="19010" spans="8:8">
      <c r="H19010" t="s">
        <v>23414</v>
      </c>
    </row>
    <row r="19011" spans="8:8">
      <c r="H19011" t="s">
        <v>23415</v>
      </c>
    </row>
    <row r="19012" spans="8:8">
      <c r="H19012" t="s">
        <v>23416</v>
      </c>
    </row>
    <row r="19013" spans="8:8">
      <c r="H19013" t="s">
        <v>23417</v>
      </c>
    </row>
    <row r="19014" spans="8:8">
      <c r="H19014" t="s">
        <v>23418</v>
      </c>
    </row>
    <row r="19015" spans="8:8">
      <c r="H19015" t="s">
        <v>23419</v>
      </c>
    </row>
    <row r="19016" spans="8:8">
      <c r="H19016" t="s">
        <v>23420</v>
      </c>
    </row>
    <row r="19017" spans="8:8">
      <c r="H19017" t="s">
        <v>23421</v>
      </c>
    </row>
    <row r="19018" spans="8:8">
      <c r="H19018" t="s">
        <v>23422</v>
      </c>
    </row>
    <row r="19019" spans="8:8">
      <c r="H19019" t="s">
        <v>23423</v>
      </c>
    </row>
    <row r="19020" spans="8:8">
      <c r="H19020" t="s">
        <v>23424</v>
      </c>
    </row>
    <row r="19021" spans="8:8">
      <c r="H19021" t="s">
        <v>23425</v>
      </c>
    </row>
    <row r="19022" spans="8:8">
      <c r="H19022" t="s">
        <v>23426</v>
      </c>
    </row>
    <row r="19023" spans="8:8">
      <c r="H19023" t="s">
        <v>23427</v>
      </c>
    </row>
    <row r="19024" spans="8:8">
      <c r="H19024" t="s">
        <v>23428</v>
      </c>
    </row>
    <row r="19025" spans="8:8">
      <c r="H19025" t="s">
        <v>23429</v>
      </c>
    </row>
    <row r="19026" spans="8:8">
      <c r="H19026" t="s">
        <v>23430</v>
      </c>
    </row>
    <row r="19027" spans="8:8">
      <c r="H19027" t="s">
        <v>23431</v>
      </c>
    </row>
    <row r="19028" spans="8:8">
      <c r="H19028" t="s">
        <v>23432</v>
      </c>
    </row>
    <row r="19029" spans="8:8">
      <c r="H19029" t="s">
        <v>23433</v>
      </c>
    </row>
    <row r="19030" spans="8:8">
      <c r="H19030" t="s">
        <v>23434</v>
      </c>
    </row>
    <row r="19031" spans="8:8">
      <c r="H19031" t="s">
        <v>23435</v>
      </c>
    </row>
    <row r="19032" spans="8:8">
      <c r="H19032" t="s">
        <v>23436</v>
      </c>
    </row>
    <row r="19033" spans="8:8">
      <c r="H19033" t="s">
        <v>23437</v>
      </c>
    </row>
    <row r="19034" spans="8:8">
      <c r="H19034" t="s">
        <v>23438</v>
      </c>
    </row>
    <row r="19035" spans="8:8">
      <c r="H19035" t="s">
        <v>23439</v>
      </c>
    </row>
    <row r="19036" spans="8:8">
      <c r="H19036" t="s">
        <v>23440</v>
      </c>
    </row>
    <row r="19037" spans="8:8">
      <c r="H19037" t="s">
        <v>23441</v>
      </c>
    </row>
    <row r="19038" spans="8:8">
      <c r="H19038" t="s">
        <v>23442</v>
      </c>
    </row>
    <row r="19039" spans="8:8">
      <c r="H19039" t="s">
        <v>23443</v>
      </c>
    </row>
    <row r="19040" spans="8:8">
      <c r="H19040" t="s">
        <v>23444</v>
      </c>
    </row>
    <row r="19041" spans="8:8">
      <c r="H19041" t="s">
        <v>23445</v>
      </c>
    </row>
    <row r="19042" spans="8:8">
      <c r="H19042" t="s">
        <v>23446</v>
      </c>
    </row>
    <row r="19043" spans="8:8">
      <c r="H19043" t="s">
        <v>23447</v>
      </c>
    </row>
    <row r="19044" spans="8:8">
      <c r="H19044" t="s">
        <v>23448</v>
      </c>
    </row>
    <row r="19045" spans="8:8">
      <c r="H19045" t="s">
        <v>23449</v>
      </c>
    </row>
    <row r="19046" spans="8:8">
      <c r="H19046" t="s">
        <v>23450</v>
      </c>
    </row>
    <row r="19047" spans="8:8">
      <c r="H19047" t="s">
        <v>23451</v>
      </c>
    </row>
    <row r="19048" spans="8:8">
      <c r="H19048" t="s">
        <v>23452</v>
      </c>
    </row>
    <row r="19049" spans="8:8">
      <c r="H19049" t="s">
        <v>23453</v>
      </c>
    </row>
    <row r="19050" spans="8:8">
      <c r="H19050" t="s">
        <v>23454</v>
      </c>
    </row>
    <row r="19051" spans="8:8">
      <c r="H19051" t="s">
        <v>23455</v>
      </c>
    </row>
    <row r="19052" spans="8:8">
      <c r="H19052" t="s">
        <v>23456</v>
      </c>
    </row>
    <row r="19053" spans="8:8">
      <c r="H19053" t="s">
        <v>23457</v>
      </c>
    </row>
    <row r="19054" spans="8:8">
      <c r="H19054" t="s">
        <v>23458</v>
      </c>
    </row>
    <row r="19055" spans="8:8">
      <c r="H19055" t="s">
        <v>23459</v>
      </c>
    </row>
    <row r="19056" spans="8:8">
      <c r="H19056" t="s">
        <v>23460</v>
      </c>
    </row>
    <row r="19057" spans="8:8">
      <c r="H19057" t="s">
        <v>23461</v>
      </c>
    </row>
    <row r="19058" spans="8:8">
      <c r="H19058" t="s">
        <v>23462</v>
      </c>
    </row>
    <row r="19059" spans="8:8">
      <c r="H19059" t="s">
        <v>23463</v>
      </c>
    </row>
    <row r="19060" spans="8:8">
      <c r="H19060" t="s">
        <v>23464</v>
      </c>
    </row>
    <row r="19061" spans="8:8">
      <c r="H19061" t="s">
        <v>23465</v>
      </c>
    </row>
    <row r="19062" spans="8:8">
      <c r="H19062" t="s">
        <v>23466</v>
      </c>
    </row>
    <row r="19063" spans="8:8">
      <c r="H19063" t="s">
        <v>23467</v>
      </c>
    </row>
    <row r="19064" spans="8:8">
      <c r="H19064" t="s">
        <v>23468</v>
      </c>
    </row>
    <row r="19065" spans="8:8">
      <c r="H19065" t="s">
        <v>23469</v>
      </c>
    </row>
    <row r="19066" spans="8:8">
      <c r="H19066" t="s">
        <v>23470</v>
      </c>
    </row>
    <row r="19067" spans="8:8">
      <c r="H19067" t="s">
        <v>23471</v>
      </c>
    </row>
    <row r="19068" spans="8:8">
      <c r="H19068" t="s">
        <v>23472</v>
      </c>
    </row>
    <row r="19069" spans="8:8">
      <c r="H19069" t="s">
        <v>23473</v>
      </c>
    </row>
    <row r="19070" spans="8:8">
      <c r="H19070" t="s">
        <v>23474</v>
      </c>
    </row>
    <row r="19071" spans="8:8">
      <c r="H19071" t="s">
        <v>23475</v>
      </c>
    </row>
    <row r="19072" spans="8:8">
      <c r="H19072" t="s">
        <v>23476</v>
      </c>
    </row>
    <row r="19073" spans="8:8">
      <c r="H19073" t="s">
        <v>23477</v>
      </c>
    </row>
    <row r="19074" spans="8:8">
      <c r="H19074" t="s">
        <v>23478</v>
      </c>
    </row>
    <row r="19075" spans="8:8">
      <c r="H19075" t="s">
        <v>23479</v>
      </c>
    </row>
    <row r="19076" spans="8:8">
      <c r="H19076" t="s">
        <v>23480</v>
      </c>
    </row>
    <row r="19077" spans="8:8">
      <c r="H19077" t="s">
        <v>23481</v>
      </c>
    </row>
    <row r="19078" spans="8:8">
      <c r="H19078" t="s">
        <v>23482</v>
      </c>
    </row>
    <row r="19079" spans="8:8">
      <c r="H19079" t="s">
        <v>23483</v>
      </c>
    </row>
    <row r="19080" spans="8:8">
      <c r="H19080" t="s">
        <v>23484</v>
      </c>
    </row>
    <row r="19081" spans="8:8">
      <c r="H19081" t="s">
        <v>23485</v>
      </c>
    </row>
    <row r="19082" spans="8:8">
      <c r="H19082" t="s">
        <v>23486</v>
      </c>
    </row>
    <row r="19083" spans="8:8">
      <c r="H19083" t="s">
        <v>23487</v>
      </c>
    </row>
    <row r="19084" spans="8:8">
      <c r="H19084" t="s">
        <v>23488</v>
      </c>
    </row>
    <row r="19085" spans="8:8">
      <c r="H19085" t="s">
        <v>23489</v>
      </c>
    </row>
    <row r="19086" spans="8:8">
      <c r="H19086" t="s">
        <v>23490</v>
      </c>
    </row>
    <row r="19087" spans="8:8">
      <c r="H19087" t="s">
        <v>23491</v>
      </c>
    </row>
    <row r="19088" spans="8:8">
      <c r="H19088" t="s">
        <v>23492</v>
      </c>
    </row>
    <row r="19089" spans="8:8">
      <c r="H19089" t="s">
        <v>23493</v>
      </c>
    </row>
    <row r="19090" spans="8:8">
      <c r="H19090" t="s">
        <v>23494</v>
      </c>
    </row>
    <row r="19091" spans="8:8">
      <c r="H19091" t="s">
        <v>23495</v>
      </c>
    </row>
    <row r="19092" spans="8:8">
      <c r="H19092" t="s">
        <v>23496</v>
      </c>
    </row>
    <row r="19093" spans="8:8">
      <c r="H19093" t="s">
        <v>23497</v>
      </c>
    </row>
    <row r="19094" spans="8:8">
      <c r="H19094" t="s">
        <v>23498</v>
      </c>
    </row>
    <row r="19095" spans="8:8">
      <c r="H19095" t="s">
        <v>23499</v>
      </c>
    </row>
    <row r="19096" spans="8:8">
      <c r="H19096" t="s">
        <v>23500</v>
      </c>
    </row>
    <row r="19097" spans="8:8">
      <c r="H19097" t="s">
        <v>23501</v>
      </c>
    </row>
    <row r="19098" spans="8:8">
      <c r="H19098" t="s">
        <v>23502</v>
      </c>
    </row>
    <row r="19099" spans="8:8">
      <c r="H19099" t="s">
        <v>23503</v>
      </c>
    </row>
    <row r="19100" spans="8:8">
      <c r="H19100" t="s">
        <v>23504</v>
      </c>
    </row>
    <row r="19101" spans="8:8">
      <c r="H19101" t="s">
        <v>23505</v>
      </c>
    </row>
    <row r="19102" spans="8:8">
      <c r="H19102" t="s">
        <v>23506</v>
      </c>
    </row>
    <row r="19103" spans="8:8">
      <c r="H19103" t="s">
        <v>23507</v>
      </c>
    </row>
    <row r="19104" spans="8:8">
      <c r="H19104" t="s">
        <v>23508</v>
      </c>
    </row>
    <row r="19105" spans="8:8">
      <c r="H19105" t="s">
        <v>23509</v>
      </c>
    </row>
    <row r="19106" spans="8:8">
      <c r="H19106" t="s">
        <v>23510</v>
      </c>
    </row>
    <row r="19107" spans="8:8">
      <c r="H19107" t="s">
        <v>23511</v>
      </c>
    </row>
    <row r="19108" spans="8:8">
      <c r="H19108" t="s">
        <v>23512</v>
      </c>
    </row>
    <row r="19109" spans="8:8">
      <c r="H19109" t="s">
        <v>23513</v>
      </c>
    </row>
    <row r="19110" spans="8:8">
      <c r="H19110" t="s">
        <v>23514</v>
      </c>
    </row>
    <row r="19111" spans="8:8">
      <c r="H19111" t="s">
        <v>23515</v>
      </c>
    </row>
    <row r="19112" spans="8:8">
      <c r="H19112" t="s">
        <v>23516</v>
      </c>
    </row>
    <row r="19113" spans="8:8">
      <c r="H19113" t="s">
        <v>23517</v>
      </c>
    </row>
    <row r="19114" spans="8:8">
      <c r="H19114" t="s">
        <v>23518</v>
      </c>
    </row>
    <row r="19115" spans="8:8">
      <c r="H19115" t="s">
        <v>23519</v>
      </c>
    </row>
    <row r="19116" spans="8:8">
      <c r="H19116" t="s">
        <v>23520</v>
      </c>
    </row>
    <row r="19117" spans="8:8">
      <c r="H19117" t="s">
        <v>23521</v>
      </c>
    </row>
    <row r="19118" spans="8:8">
      <c r="H19118" t="s">
        <v>23522</v>
      </c>
    </row>
    <row r="19119" spans="8:8">
      <c r="H19119" t="s">
        <v>23523</v>
      </c>
    </row>
    <row r="19120" spans="8:8">
      <c r="H19120" t="s">
        <v>23524</v>
      </c>
    </row>
    <row r="19121" spans="8:8">
      <c r="H19121" t="s">
        <v>23525</v>
      </c>
    </row>
    <row r="19122" spans="8:8">
      <c r="H19122" t="s">
        <v>23526</v>
      </c>
    </row>
    <row r="19123" spans="8:8">
      <c r="H19123" t="s">
        <v>23527</v>
      </c>
    </row>
    <row r="19124" spans="8:8">
      <c r="H19124" t="s">
        <v>23528</v>
      </c>
    </row>
    <row r="19125" spans="8:8">
      <c r="H19125" t="s">
        <v>23529</v>
      </c>
    </row>
    <row r="19126" spans="8:8">
      <c r="H19126" t="s">
        <v>23530</v>
      </c>
    </row>
    <row r="19127" spans="8:8">
      <c r="H19127" t="s">
        <v>23531</v>
      </c>
    </row>
    <row r="19128" spans="8:8">
      <c r="H19128" t="s">
        <v>23532</v>
      </c>
    </row>
    <row r="19129" spans="8:8">
      <c r="H19129" t="s">
        <v>23533</v>
      </c>
    </row>
    <row r="19130" spans="8:8">
      <c r="H19130" t="s">
        <v>23534</v>
      </c>
    </row>
    <row r="19131" spans="8:8">
      <c r="H19131" t="s">
        <v>23535</v>
      </c>
    </row>
    <row r="19132" spans="8:8">
      <c r="H19132" t="s">
        <v>23536</v>
      </c>
    </row>
    <row r="19133" spans="8:8">
      <c r="H19133" t="s">
        <v>23537</v>
      </c>
    </row>
    <row r="19134" spans="8:8">
      <c r="H19134" t="s">
        <v>23538</v>
      </c>
    </row>
    <row r="19135" spans="8:8">
      <c r="H19135" t="s">
        <v>23539</v>
      </c>
    </row>
    <row r="19136" spans="8:8">
      <c r="H19136" t="s">
        <v>23540</v>
      </c>
    </row>
    <row r="19137" spans="8:8">
      <c r="H19137" t="s">
        <v>23541</v>
      </c>
    </row>
    <row r="19138" spans="8:8">
      <c r="H19138" t="s">
        <v>23542</v>
      </c>
    </row>
    <row r="19139" spans="8:8">
      <c r="H19139" t="s">
        <v>23543</v>
      </c>
    </row>
    <row r="19140" spans="8:8">
      <c r="H19140" t="s">
        <v>23544</v>
      </c>
    </row>
    <row r="19141" spans="8:8">
      <c r="H19141" t="s">
        <v>23545</v>
      </c>
    </row>
    <row r="19142" spans="8:8">
      <c r="H19142" t="s">
        <v>23546</v>
      </c>
    </row>
    <row r="19143" spans="8:8">
      <c r="H19143" t="s">
        <v>23547</v>
      </c>
    </row>
    <row r="19144" spans="8:8">
      <c r="H19144" t="s">
        <v>23548</v>
      </c>
    </row>
    <row r="19145" spans="8:8">
      <c r="H19145" t="s">
        <v>23549</v>
      </c>
    </row>
    <row r="19146" spans="8:8">
      <c r="H19146" t="s">
        <v>23550</v>
      </c>
    </row>
    <row r="19147" spans="8:8">
      <c r="H19147" t="s">
        <v>23551</v>
      </c>
    </row>
    <row r="19148" spans="8:8">
      <c r="H19148" t="s">
        <v>23552</v>
      </c>
    </row>
    <row r="19149" spans="8:8">
      <c r="H19149" t="s">
        <v>23553</v>
      </c>
    </row>
    <row r="19150" spans="8:8">
      <c r="H19150" t="s">
        <v>23554</v>
      </c>
    </row>
    <row r="19151" spans="8:8">
      <c r="H19151" t="s">
        <v>23555</v>
      </c>
    </row>
    <row r="19152" spans="8:8">
      <c r="H19152" t="s">
        <v>23556</v>
      </c>
    </row>
    <row r="19153" spans="8:8">
      <c r="H19153" t="s">
        <v>23557</v>
      </c>
    </row>
    <row r="19154" spans="8:8">
      <c r="H19154" t="s">
        <v>23558</v>
      </c>
    </row>
    <row r="19155" spans="8:8">
      <c r="H19155" t="s">
        <v>23559</v>
      </c>
    </row>
    <row r="19156" spans="8:8">
      <c r="H19156" t="s">
        <v>23560</v>
      </c>
    </row>
    <row r="19157" spans="8:8">
      <c r="H19157" t="s">
        <v>23561</v>
      </c>
    </row>
    <row r="19158" spans="8:8">
      <c r="H19158" t="s">
        <v>23562</v>
      </c>
    </row>
    <row r="19159" spans="8:8">
      <c r="H19159" t="s">
        <v>23563</v>
      </c>
    </row>
    <row r="19160" spans="8:8">
      <c r="H19160" t="s">
        <v>23564</v>
      </c>
    </row>
    <row r="19161" spans="8:8">
      <c r="H19161" t="s">
        <v>23565</v>
      </c>
    </row>
    <row r="19162" spans="8:8">
      <c r="H19162" t="s">
        <v>23566</v>
      </c>
    </row>
    <row r="19163" spans="8:8">
      <c r="H19163" t="s">
        <v>23567</v>
      </c>
    </row>
    <row r="19164" spans="8:8">
      <c r="H19164" t="s">
        <v>23568</v>
      </c>
    </row>
    <row r="19165" spans="8:8">
      <c r="H19165" t="s">
        <v>23569</v>
      </c>
    </row>
    <row r="19166" spans="8:8">
      <c r="H19166" t="s">
        <v>23570</v>
      </c>
    </row>
    <row r="19167" spans="8:8">
      <c r="H19167" t="s">
        <v>23571</v>
      </c>
    </row>
    <row r="19168" spans="8:8">
      <c r="H19168" t="s">
        <v>23572</v>
      </c>
    </row>
    <row r="19169" spans="8:8">
      <c r="H19169" t="s">
        <v>23573</v>
      </c>
    </row>
    <row r="19170" spans="8:8">
      <c r="H19170" t="s">
        <v>23574</v>
      </c>
    </row>
    <row r="19171" spans="8:8">
      <c r="H19171" t="s">
        <v>23575</v>
      </c>
    </row>
    <row r="19172" spans="8:8">
      <c r="H19172" t="s">
        <v>23576</v>
      </c>
    </row>
    <row r="19173" spans="8:8">
      <c r="H19173" t="s">
        <v>23577</v>
      </c>
    </row>
    <row r="19174" spans="8:8">
      <c r="H19174" t="s">
        <v>23578</v>
      </c>
    </row>
    <row r="19175" spans="8:8">
      <c r="H19175" t="s">
        <v>23579</v>
      </c>
    </row>
    <row r="19176" spans="8:8">
      <c r="H19176" t="s">
        <v>23580</v>
      </c>
    </row>
    <row r="19177" spans="8:8">
      <c r="H19177" t="s">
        <v>23581</v>
      </c>
    </row>
    <row r="19178" spans="8:8">
      <c r="H19178" t="s">
        <v>23582</v>
      </c>
    </row>
    <row r="19179" spans="8:8">
      <c r="H19179" t="s">
        <v>23583</v>
      </c>
    </row>
    <row r="19180" spans="8:8">
      <c r="H19180" t="s">
        <v>23584</v>
      </c>
    </row>
    <row r="19181" spans="8:8">
      <c r="H19181" t="s">
        <v>23585</v>
      </c>
    </row>
    <row r="19182" spans="8:8">
      <c r="H19182" t="s">
        <v>23586</v>
      </c>
    </row>
    <row r="19183" spans="8:8">
      <c r="H19183" t="s">
        <v>23587</v>
      </c>
    </row>
    <row r="19184" spans="8:8">
      <c r="H19184" t="s">
        <v>23588</v>
      </c>
    </row>
    <row r="19185" spans="8:8">
      <c r="H19185" t="s">
        <v>23589</v>
      </c>
    </row>
    <row r="19186" spans="8:8">
      <c r="H19186" t="s">
        <v>23590</v>
      </c>
    </row>
    <row r="19187" spans="8:8">
      <c r="H19187" t="s">
        <v>23591</v>
      </c>
    </row>
    <row r="19188" spans="8:8">
      <c r="H19188" t="s">
        <v>23592</v>
      </c>
    </row>
    <row r="19189" spans="8:8">
      <c r="H19189" t="s">
        <v>23593</v>
      </c>
    </row>
    <row r="19190" spans="8:8">
      <c r="H19190" t="s">
        <v>23594</v>
      </c>
    </row>
    <row r="19191" spans="8:8">
      <c r="H19191" t="s">
        <v>23595</v>
      </c>
    </row>
    <row r="19192" spans="8:8">
      <c r="H19192" t="s">
        <v>23596</v>
      </c>
    </row>
    <row r="19193" spans="8:8">
      <c r="H19193" t="s">
        <v>23597</v>
      </c>
    </row>
    <row r="19194" spans="8:8">
      <c r="H19194" t="s">
        <v>23598</v>
      </c>
    </row>
    <row r="19195" spans="8:8">
      <c r="H19195" t="s">
        <v>23599</v>
      </c>
    </row>
    <row r="19196" spans="8:8">
      <c r="H19196" t="s">
        <v>23600</v>
      </c>
    </row>
    <row r="19197" spans="8:8">
      <c r="H19197" t="s">
        <v>23601</v>
      </c>
    </row>
    <row r="19198" spans="8:8">
      <c r="H19198" t="s">
        <v>23602</v>
      </c>
    </row>
    <row r="19199" spans="8:8">
      <c r="H19199" t="s">
        <v>23603</v>
      </c>
    </row>
    <row r="19200" spans="8:8">
      <c r="H19200" t="s">
        <v>23604</v>
      </c>
    </row>
    <row r="19201" spans="8:8">
      <c r="H19201" t="s">
        <v>23605</v>
      </c>
    </row>
    <row r="19202" spans="8:8">
      <c r="H19202" t="s">
        <v>23606</v>
      </c>
    </row>
    <row r="19203" spans="8:8">
      <c r="H19203" t="s">
        <v>23607</v>
      </c>
    </row>
    <row r="19204" spans="8:8">
      <c r="H19204" t="s">
        <v>23608</v>
      </c>
    </row>
    <row r="19205" spans="8:8">
      <c r="H19205" t="s">
        <v>23609</v>
      </c>
    </row>
    <row r="19206" spans="8:8">
      <c r="H19206" t="s">
        <v>23610</v>
      </c>
    </row>
    <row r="19207" spans="8:8">
      <c r="H19207" t="s">
        <v>23611</v>
      </c>
    </row>
    <row r="19208" spans="8:8">
      <c r="H19208" t="s">
        <v>23612</v>
      </c>
    </row>
    <row r="19209" spans="8:8">
      <c r="H19209" t="s">
        <v>23613</v>
      </c>
    </row>
    <row r="19210" spans="8:8">
      <c r="H19210" t="s">
        <v>23614</v>
      </c>
    </row>
    <row r="19211" spans="8:8">
      <c r="H19211" t="s">
        <v>23615</v>
      </c>
    </row>
    <row r="19212" spans="8:8">
      <c r="H19212" t="s">
        <v>23616</v>
      </c>
    </row>
    <row r="19213" spans="8:8">
      <c r="H19213" t="s">
        <v>23617</v>
      </c>
    </row>
    <row r="19214" spans="8:8">
      <c r="H19214" t="s">
        <v>23618</v>
      </c>
    </row>
    <row r="19215" spans="8:8">
      <c r="H19215" t="s">
        <v>23619</v>
      </c>
    </row>
    <row r="19216" spans="8:8">
      <c r="H19216" t="s">
        <v>23620</v>
      </c>
    </row>
    <row r="19217" spans="8:8">
      <c r="H19217" t="s">
        <v>23621</v>
      </c>
    </row>
    <row r="19218" spans="8:8">
      <c r="H19218" t="s">
        <v>23622</v>
      </c>
    </row>
    <row r="19219" spans="8:8">
      <c r="H19219" t="s">
        <v>23623</v>
      </c>
    </row>
    <row r="19220" spans="8:8">
      <c r="H19220" t="s">
        <v>23624</v>
      </c>
    </row>
    <row r="19221" spans="8:8">
      <c r="H19221" t="s">
        <v>23625</v>
      </c>
    </row>
    <row r="19222" spans="8:8">
      <c r="H19222" t="s">
        <v>23626</v>
      </c>
    </row>
    <row r="19223" spans="8:8">
      <c r="H19223" t="s">
        <v>23627</v>
      </c>
    </row>
    <row r="19224" spans="8:8">
      <c r="H19224" t="s">
        <v>23628</v>
      </c>
    </row>
    <row r="19225" spans="8:8">
      <c r="H19225" t="s">
        <v>23629</v>
      </c>
    </row>
    <row r="19226" spans="8:8">
      <c r="H19226" t="s">
        <v>23630</v>
      </c>
    </row>
    <row r="19227" spans="8:8">
      <c r="H19227" t="s">
        <v>23631</v>
      </c>
    </row>
    <row r="19228" spans="8:8">
      <c r="H19228" t="s">
        <v>23632</v>
      </c>
    </row>
    <row r="19229" spans="8:8">
      <c r="H19229" t="s">
        <v>23633</v>
      </c>
    </row>
    <row r="19230" spans="8:8">
      <c r="H19230" t="s">
        <v>23634</v>
      </c>
    </row>
    <row r="19231" spans="8:8">
      <c r="H19231" t="s">
        <v>23635</v>
      </c>
    </row>
    <row r="19232" spans="8:8">
      <c r="H19232" t="s">
        <v>23636</v>
      </c>
    </row>
    <row r="19233" spans="8:8">
      <c r="H19233" t="s">
        <v>23637</v>
      </c>
    </row>
    <row r="19234" spans="8:8">
      <c r="H19234" t="s">
        <v>23638</v>
      </c>
    </row>
    <row r="19235" spans="8:8">
      <c r="H19235" t="s">
        <v>23639</v>
      </c>
    </row>
    <row r="19236" spans="8:8">
      <c r="H19236" t="s">
        <v>23640</v>
      </c>
    </row>
    <row r="19237" spans="8:8">
      <c r="H19237" t="s">
        <v>23641</v>
      </c>
    </row>
    <row r="19238" spans="8:8">
      <c r="H19238" t="s">
        <v>23642</v>
      </c>
    </row>
    <row r="19239" spans="8:8">
      <c r="H19239" t="s">
        <v>23643</v>
      </c>
    </row>
    <row r="19240" spans="8:8">
      <c r="H19240" t="s">
        <v>23644</v>
      </c>
    </row>
    <row r="19241" spans="8:8">
      <c r="H19241" t="s">
        <v>23645</v>
      </c>
    </row>
    <row r="19242" spans="8:8">
      <c r="H19242" t="s">
        <v>23646</v>
      </c>
    </row>
    <row r="19243" spans="8:8">
      <c r="H19243" t="s">
        <v>23647</v>
      </c>
    </row>
    <row r="19244" spans="8:8">
      <c r="H19244" t="s">
        <v>23648</v>
      </c>
    </row>
    <row r="19245" spans="8:8">
      <c r="H19245" t="s">
        <v>23649</v>
      </c>
    </row>
    <row r="19246" spans="8:8">
      <c r="H19246" t="s">
        <v>23650</v>
      </c>
    </row>
    <row r="19247" spans="8:8">
      <c r="H19247" t="s">
        <v>23651</v>
      </c>
    </row>
    <row r="19248" spans="8:8">
      <c r="H19248" t="s">
        <v>23652</v>
      </c>
    </row>
    <row r="19249" spans="8:8">
      <c r="H19249" t="s">
        <v>23653</v>
      </c>
    </row>
    <row r="19250" spans="8:8">
      <c r="H19250" t="s">
        <v>23654</v>
      </c>
    </row>
    <row r="19251" spans="8:8">
      <c r="H19251" t="s">
        <v>23655</v>
      </c>
    </row>
    <row r="19252" spans="8:8">
      <c r="H19252" t="s">
        <v>23656</v>
      </c>
    </row>
    <row r="19253" spans="8:8">
      <c r="H19253" t="s">
        <v>23657</v>
      </c>
    </row>
    <row r="19254" spans="8:8">
      <c r="H19254" t="s">
        <v>23658</v>
      </c>
    </row>
    <row r="19255" spans="8:8">
      <c r="H19255" t="s">
        <v>23659</v>
      </c>
    </row>
    <row r="19256" spans="8:8">
      <c r="H19256" t="s">
        <v>23660</v>
      </c>
    </row>
    <row r="19257" spans="8:8">
      <c r="H19257" t="s">
        <v>23661</v>
      </c>
    </row>
    <row r="19258" spans="8:8">
      <c r="H19258" t="s">
        <v>23662</v>
      </c>
    </row>
    <row r="19259" spans="8:8">
      <c r="H19259" t="s">
        <v>23663</v>
      </c>
    </row>
    <row r="19260" spans="8:8">
      <c r="H19260" t="s">
        <v>23664</v>
      </c>
    </row>
    <row r="19261" spans="8:8">
      <c r="H19261" t="s">
        <v>23665</v>
      </c>
    </row>
    <row r="19262" spans="8:8">
      <c r="H19262" t="s">
        <v>23666</v>
      </c>
    </row>
    <row r="19263" spans="8:8">
      <c r="H19263" t="s">
        <v>23667</v>
      </c>
    </row>
    <row r="19264" spans="8:8">
      <c r="H19264" t="s">
        <v>23668</v>
      </c>
    </row>
    <row r="19265" spans="8:8">
      <c r="H19265" t="s">
        <v>23669</v>
      </c>
    </row>
    <row r="19266" spans="8:8">
      <c r="H19266" t="s">
        <v>23670</v>
      </c>
    </row>
    <row r="19267" spans="8:8">
      <c r="H19267" t="s">
        <v>23671</v>
      </c>
    </row>
    <row r="19268" spans="8:8">
      <c r="H19268" t="s">
        <v>23672</v>
      </c>
    </row>
    <row r="19269" spans="8:8">
      <c r="H19269" t="s">
        <v>23673</v>
      </c>
    </row>
    <row r="19270" spans="8:8">
      <c r="H19270" t="s">
        <v>23674</v>
      </c>
    </row>
    <row r="19271" spans="8:8">
      <c r="H19271" t="s">
        <v>23675</v>
      </c>
    </row>
    <row r="19272" spans="8:8">
      <c r="H19272" t="s">
        <v>23676</v>
      </c>
    </row>
    <row r="19273" spans="8:8">
      <c r="H19273" t="s">
        <v>23677</v>
      </c>
    </row>
    <row r="19274" spans="8:8">
      <c r="H19274" t="s">
        <v>23678</v>
      </c>
    </row>
    <row r="19275" spans="8:8">
      <c r="H19275" t="s">
        <v>23679</v>
      </c>
    </row>
    <row r="19276" spans="8:8">
      <c r="H19276" t="s">
        <v>23680</v>
      </c>
    </row>
    <row r="19277" spans="8:8">
      <c r="H19277" t="s">
        <v>23681</v>
      </c>
    </row>
    <row r="19278" spans="8:8">
      <c r="H19278" t="s">
        <v>23682</v>
      </c>
    </row>
    <row r="19279" spans="8:8">
      <c r="H19279" t="s">
        <v>23683</v>
      </c>
    </row>
    <row r="19280" spans="8:8">
      <c r="H19280" t="s">
        <v>23684</v>
      </c>
    </row>
    <row r="19281" spans="8:8">
      <c r="H19281" t="s">
        <v>23685</v>
      </c>
    </row>
    <row r="19282" spans="8:8">
      <c r="H19282" t="s">
        <v>23686</v>
      </c>
    </row>
    <row r="19283" spans="8:8">
      <c r="H19283" t="s">
        <v>23687</v>
      </c>
    </row>
    <row r="19284" spans="8:8">
      <c r="H19284" t="s">
        <v>23688</v>
      </c>
    </row>
    <row r="19285" spans="8:8">
      <c r="H19285" t="s">
        <v>23689</v>
      </c>
    </row>
    <row r="19286" spans="8:8">
      <c r="H19286" t="s">
        <v>23690</v>
      </c>
    </row>
    <row r="19287" spans="8:8">
      <c r="H19287" t="s">
        <v>23691</v>
      </c>
    </row>
    <row r="19288" spans="8:8">
      <c r="H19288" t="s">
        <v>23692</v>
      </c>
    </row>
    <row r="19289" spans="8:8">
      <c r="H19289" t="s">
        <v>23693</v>
      </c>
    </row>
    <row r="19290" spans="8:8">
      <c r="H19290" t="s">
        <v>23694</v>
      </c>
    </row>
    <row r="19291" spans="8:8">
      <c r="H19291" t="s">
        <v>23695</v>
      </c>
    </row>
    <row r="19292" spans="8:8">
      <c r="H19292" t="s">
        <v>23696</v>
      </c>
    </row>
    <row r="19293" spans="8:8">
      <c r="H19293" t="s">
        <v>23697</v>
      </c>
    </row>
    <row r="19294" spans="8:8">
      <c r="H19294" t="s">
        <v>23698</v>
      </c>
    </row>
    <row r="19295" spans="8:8">
      <c r="H19295" t="s">
        <v>23699</v>
      </c>
    </row>
    <row r="19296" spans="8:8">
      <c r="H19296" t="s">
        <v>23700</v>
      </c>
    </row>
    <row r="19297" spans="8:8">
      <c r="H19297" t="s">
        <v>23701</v>
      </c>
    </row>
    <row r="19298" spans="8:8">
      <c r="H19298" t="s">
        <v>23702</v>
      </c>
    </row>
    <row r="19299" spans="8:8">
      <c r="H19299" t="s">
        <v>23703</v>
      </c>
    </row>
    <row r="19300" spans="8:8">
      <c r="H19300" t="s">
        <v>23704</v>
      </c>
    </row>
    <row r="19301" spans="8:8">
      <c r="H19301" t="s">
        <v>23705</v>
      </c>
    </row>
    <row r="19302" spans="8:8">
      <c r="H19302" t="s">
        <v>23706</v>
      </c>
    </row>
    <row r="19303" spans="8:8">
      <c r="H19303" t="s">
        <v>23707</v>
      </c>
    </row>
    <row r="19304" spans="8:8">
      <c r="H19304" t="s">
        <v>23708</v>
      </c>
    </row>
    <row r="19305" spans="8:8">
      <c r="H19305" t="s">
        <v>23709</v>
      </c>
    </row>
    <row r="19306" spans="8:8">
      <c r="H19306" t="s">
        <v>23710</v>
      </c>
    </row>
    <row r="19307" spans="8:8">
      <c r="H19307" t="s">
        <v>23711</v>
      </c>
    </row>
    <row r="19308" spans="8:8">
      <c r="H19308" t="s">
        <v>23712</v>
      </c>
    </row>
    <row r="19309" spans="8:8">
      <c r="H19309" t="s">
        <v>23713</v>
      </c>
    </row>
    <row r="19310" spans="8:8">
      <c r="H19310" t="s">
        <v>23714</v>
      </c>
    </row>
    <row r="19311" spans="8:8">
      <c r="H19311" t="s">
        <v>23715</v>
      </c>
    </row>
    <row r="19312" spans="8:8">
      <c r="H19312" t="s">
        <v>23716</v>
      </c>
    </row>
    <row r="19313" spans="8:8">
      <c r="H19313" t="s">
        <v>23717</v>
      </c>
    </row>
    <row r="19314" spans="8:8">
      <c r="H19314" t="s">
        <v>23718</v>
      </c>
    </row>
    <row r="19315" spans="8:8">
      <c r="H19315" t="s">
        <v>23719</v>
      </c>
    </row>
    <row r="19316" spans="8:8">
      <c r="H19316" t="s">
        <v>23720</v>
      </c>
    </row>
    <row r="19317" spans="8:8">
      <c r="H19317" t="s">
        <v>23721</v>
      </c>
    </row>
    <row r="19318" spans="8:8">
      <c r="H19318" t="s">
        <v>23722</v>
      </c>
    </row>
    <row r="19319" spans="8:8">
      <c r="H19319" t="s">
        <v>23723</v>
      </c>
    </row>
    <row r="19320" spans="8:8">
      <c r="H19320" t="s">
        <v>23724</v>
      </c>
    </row>
    <row r="19321" spans="8:8">
      <c r="H19321" t="s">
        <v>23725</v>
      </c>
    </row>
    <row r="19322" spans="8:8">
      <c r="H19322" t="s">
        <v>23726</v>
      </c>
    </row>
    <row r="19323" spans="8:8">
      <c r="H19323" t="s">
        <v>23727</v>
      </c>
    </row>
    <row r="19324" spans="8:8">
      <c r="H19324" t="s">
        <v>23728</v>
      </c>
    </row>
    <row r="19325" spans="8:8">
      <c r="H19325" t="s">
        <v>23729</v>
      </c>
    </row>
    <row r="19326" spans="8:8">
      <c r="H19326" t="s">
        <v>23730</v>
      </c>
    </row>
    <row r="19327" spans="8:8">
      <c r="H19327" t="s">
        <v>23731</v>
      </c>
    </row>
    <row r="19328" spans="8:8">
      <c r="H19328" t="s">
        <v>23732</v>
      </c>
    </row>
    <row r="19329" spans="8:8">
      <c r="H19329" t="s">
        <v>23733</v>
      </c>
    </row>
    <row r="19330" spans="8:8">
      <c r="H19330" t="s">
        <v>23734</v>
      </c>
    </row>
    <row r="19331" spans="8:8">
      <c r="H19331" t="s">
        <v>23735</v>
      </c>
    </row>
    <row r="19332" spans="8:8">
      <c r="H19332" t="s">
        <v>23736</v>
      </c>
    </row>
    <row r="19333" spans="8:8">
      <c r="H19333" t="s">
        <v>23737</v>
      </c>
    </row>
    <row r="19334" spans="8:8">
      <c r="H19334" t="s">
        <v>23738</v>
      </c>
    </row>
    <row r="19335" spans="8:8">
      <c r="H19335" t="s">
        <v>23739</v>
      </c>
    </row>
    <row r="19336" spans="8:8">
      <c r="H19336" t="s">
        <v>23740</v>
      </c>
    </row>
    <row r="19337" spans="8:8">
      <c r="H19337" t="s">
        <v>23741</v>
      </c>
    </row>
    <row r="19338" spans="8:8">
      <c r="H19338" t="s">
        <v>23742</v>
      </c>
    </row>
    <row r="19339" spans="8:8">
      <c r="H19339" t="s">
        <v>23743</v>
      </c>
    </row>
    <row r="19340" spans="8:8">
      <c r="H19340" t="s">
        <v>23744</v>
      </c>
    </row>
    <row r="19341" spans="8:8">
      <c r="H19341" t="s">
        <v>23745</v>
      </c>
    </row>
    <row r="19342" spans="8:8">
      <c r="H19342" t="s">
        <v>23746</v>
      </c>
    </row>
    <row r="19343" spans="8:8">
      <c r="H19343" t="s">
        <v>23747</v>
      </c>
    </row>
    <row r="19344" spans="8:8">
      <c r="H19344" t="s">
        <v>23748</v>
      </c>
    </row>
    <row r="19345" spans="8:8">
      <c r="H19345" t="s">
        <v>23749</v>
      </c>
    </row>
    <row r="19346" spans="8:8">
      <c r="H19346" t="s">
        <v>23750</v>
      </c>
    </row>
    <row r="19347" spans="8:8">
      <c r="H19347" t="s">
        <v>23751</v>
      </c>
    </row>
    <row r="19348" spans="8:8">
      <c r="H19348" t="s">
        <v>23752</v>
      </c>
    </row>
    <row r="19349" spans="8:8">
      <c r="H19349" t="s">
        <v>23753</v>
      </c>
    </row>
    <row r="19350" spans="8:8">
      <c r="H19350" t="s">
        <v>23754</v>
      </c>
    </row>
    <row r="19351" spans="8:8">
      <c r="H19351" t="s">
        <v>23755</v>
      </c>
    </row>
    <row r="19352" spans="8:8">
      <c r="H19352" t="s">
        <v>23756</v>
      </c>
    </row>
    <row r="19353" spans="8:8">
      <c r="H19353" t="s">
        <v>23757</v>
      </c>
    </row>
    <row r="19354" spans="8:8">
      <c r="H19354" t="s">
        <v>23758</v>
      </c>
    </row>
    <row r="19355" spans="8:8">
      <c r="H19355" t="s">
        <v>23759</v>
      </c>
    </row>
    <row r="19356" spans="8:8">
      <c r="H19356" t="s">
        <v>23760</v>
      </c>
    </row>
    <row r="19357" spans="8:8">
      <c r="H19357" t="s">
        <v>23761</v>
      </c>
    </row>
    <row r="19358" spans="8:8">
      <c r="H19358" t="s">
        <v>23762</v>
      </c>
    </row>
    <row r="19359" spans="8:8">
      <c r="H19359" t="s">
        <v>23763</v>
      </c>
    </row>
    <row r="19360" spans="8:8">
      <c r="H19360" t="s">
        <v>23764</v>
      </c>
    </row>
    <row r="19361" spans="8:8">
      <c r="H19361" t="s">
        <v>23765</v>
      </c>
    </row>
    <row r="19362" spans="8:8">
      <c r="H19362" t="s">
        <v>23766</v>
      </c>
    </row>
    <row r="19363" spans="8:8">
      <c r="H19363" t="s">
        <v>23767</v>
      </c>
    </row>
    <row r="19364" spans="8:8">
      <c r="H19364" t="s">
        <v>23768</v>
      </c>
    </row>
    <row r="19365" spans="8:8">
      <c r="H19365" t="s">
        <v>23769</v>
      </c>
    </row>
    <row r="19366" spans="8:8">
      <c r="H19366" t="s">
        <v>23770</v>
      </c>
    </row>
    <row r="19367" spans="8:8">
      <c r="H19367" t="s">
        <v>23771</v>
      </c>
    </row>
    <row r="19368" spans="8:8">
      <c r="H19368" t="s">
        <v>23772</v>
      </c>
    </row>
    <row r="19369" spans="8:8">
      <c r="H19369" t="s">
        <v>23773</v>
      </c>
    </row>
    <row r="19370" spans="8:8">
      <c r="H19370" t="s">
        <v>23774</v>
      </c>
    </row>
    <row r="19371" spans="8:8">
      <c r="H19371" t="s">
        <v>23775</v>
      </c>
    </row>
    <row r="19372" spans="8:8">
      <c r="H19372" t="s">
        <v>23776</v>
      </c>
    </row>
    <row r="19373" spans="8:8">
      <c r="H19373" t="s">
        <v>23777</v>
      </c>
    </row>
    <row r="19374" spans="8:8">
      <c r="H19374" t="s">
        <v>23778</v>
      </c>
    </row>
    <row r="19375" spans="8:8">
      <c r="H19375" t="s">
        <v>23779</v>
      </c>
    </row>
    <row r="19376" spans="8:8">
      <c r="H19376" t="s">
        <v>23780</v>
      </c>
    </row>
    <row r="19377" spans="8:8">
      <c r="H19377" t="s">
        <v>23781</v>
      </c>
    </row>
    <row r="19378" spans="8:8">
      <c r="H19378" t="s">
        <v>23782</v>
      </c>
    </row>
    <row r="19379" spans="8:8">
      <c r="H19379" t="s">
        <v>23783</v>
      </c>
    </row>
    <row r="19380" spans="8:8">
      <c r="H19380" t="s">
        <v>23784</v>
      </c>
    </row>
    <row r="19381" spans="8:8">
      <c r="H19381" t="s">
        <v>23785</v>
      </c>
    </row>
    <row r="19382" spans="8:8">
      <c r="H19382" t="s">
        <v>23786</v>
      </c>
    </row>
    <row r="19383" spans="8:8">
      <c r="H19383" t="s">
        <v>23787</v>
      </c>
    </row>
    <row r="19384" spans="8:8">
      <c r="H19384" t="s">
        <v>23788</v>
      </c>
    </row>
    <row r="19385" spans="8:8">
      <c r="H19385" t="s">
        <v>23789</v>
      </c>
    </row>
    <row r="19386" spans="8:8">
      <c r="H19386" t="s">
        <v>23790</v>
      </c>
    </row>
    <row r="19387" spans="8:8">
      <c r="H19387" t="s">
        <v>23791</v>
      </c>
    </row>
    <row r="19388" spans="8:8">
      <c r="H19388" t="s">
        <v>23792</v>
      </c>
    </row>
    <row r="19389" spans="8:8">
      <c r="H19389" t="s">
        <v>23793</v>
      </c>
    </row>
    <row r="19390" spans="8:8">
      <c r="H19390" t="s">
        <v>23794</v>
      </c>
    </row>
    <row r="19391" spans="8:8">
      <c r="H19391" t="s">
        <v>23795</v>
      </c>
    </row>
    <row r="19392" spans="8:8">
      <c r="H19392" t="s">
        <v>23796</v>
      </c>
    </row>
    <row r="19393" spans="8:8">
      <c r="H19393" t="s">
        <v>23797</v>
      </c>
    </row>
    <row r="19394" spans="8:8">
      <c r="H19394" t="s">
        <v>23798</v>
      </c>
    </row>
    <row r="19395" spans="8:8">
      <c r="H19395" t="s">
        <v>23799</v>
      </c>
    </row>
    <row r="19396" spans="8:8">
      <c r="H19396" t="s">
        <v>23800</v>
      </c>
    </row>
    <row r="19397" spans="8:8">
      <c r="H19397" t="s">
        <v>23801</v>
      </c>
    </row>
    <row r="19398" spans="8:8">
      <c r="H19398" t="s">
        <v>23802</v>
      </c>
    </row>
    <row r="19399" spans="8:8">
      <c r="H19399" t="s">
        <v>23803</v>
      </c>
    </row>
    <row r="19400" spans="8:8">
      <c r="H19400" t="s">
        <v>23804</v>
      </c>
    </row>
    <row r="19401" spans="8:8">
      <c r="H19401" t="s">
        <v>23805</v>
      </c>
    </row>
    <row r="19402" spans="8:8">
      <c r="H19402" t="s">
        <v>23806</v>
      </c>
    </row>
    <row r="19403" spans="8:8">
      <c r="H19403" t="s">
        <v>23807</v>
      </c>
    </row>
    <row r="19404" spans="8:8">
      <c r="H19404" t="s">
        <v>23808</v>
      </c>
    </row>
    <row r="19405" spans="8:8">
      <c r="H19405" t="s">
        <v>23809</v>
      </c>
    </row>
    <row r="19406" spans="8:8">
      <c r="H19406" t="s">
        <v>23810</v>
      </c>
    </row>
    <row r="19407" spans="8:8">
      <c r="H19407" t="s">
        <v>23811</v>
      </c>
    </row>
    <row r="19408" spans="8:8">
      <c r="H19408" t="s">
        <v>23812</v>
      </c>
    </row>
    <row r="19409" spans="8:8">
      <c r="H19409" t="s">
        <v>23813</v>
      </c>
    </row>
    <row r="19410" spans="8:8">
      <c r="H19410" t="s">
        <v>23814</v>
      </c>
    </row>
    <row r="19411" spans="8:8">
      <c r="H19411" t="s">
        <v>23815</v>
      </c>
    </row>
    <row r="19412" spans="8:8">
      <c r="H19412" t="s">
        <v>23816</v>
      </c>
    </row>
    <row r="19413" spans="8:8">
      <c r="H19413" t="s">
        <v>23817</v>
      </c>
    </row>
    <row r="19414" spans="8:8">
      <c r="H19414" t="s">
        <v>23818</v>
      </c>
    </row>
    <row r="19415" spans="8:8">
      <c r="H19415" t="s">
        <v>23819</v>
      </c>
    </row>
    <row r="19416" spans="8:8">
      <c r="H19416" t="s">
        <v>23820</v>
      </c>
    </row>
    <row r="19417" spans="8:8">
      <c r="H19417" t="s">
        <v>23821</v>
      </c>
    </row>
    <row r="19418" spans="8:8">
      <c r="H19418" t="s">
        <v>23822</v>
      </c>
    </row>
    <row r="19419" spans="8:8">
      <c r="H19419" t="s">
        <v>23823</v>
      </c>
    </row>
    <row r="19420" spans="8:8">
      <c r="H19420" t="s">
        <v>23824</v>
      </c>
    </row>
    <row r="19421" spans="8:8">
      <c r="H19421" t="s">
        <v>23825</v>
      </c>
    </row>
    <row r="19422" spans="8:8">
      <c r="H19422" t="s">
        <v>23826</v>
      </c>
    </row>
    <row r="19423" spans="8:8">
      <c r="H19423" t="s">
        <v>23827</v>
      </c>
    </row>
    <row r="19424" spans="8:8">
      <c r="H19424" t="s">
        <v>23828</v>
      </c>
    </row>
    <row r="19425" spans="6:8">
      <c r="H19425" t="s">
        <v>23829</v>
      </c>
    </row>
    <row r="19426" spans="6:8">
      <c r="H19426" t="s">
        <v>23830</v>
      </c>
    </row>
    <row r="19427" spans="6:8">
      <c r="H19427" t="s">
        <v>23831</v>
      </c>
    </row>
    <row r="19428" spans="6:8">
      <c r="F19428" t="s">
        <v>12451</v>
      </c>
      <c r="G19428" t="s">
        <v>16672</v>
      </c>
      <c r="H19428" t="s">
        <v>18829</v>
      </c>
    </row>
    <row r="19429" spans="6:8">
      <c r="H19429" t="s">
        <v>23832</v>
      </c>
    </row>
    <row r="19430" spans="6:8">
      <c r="H19430" t="s">
        <v>23833</v>
      </c>
    </row>
    <row r="19431" spans="6:8">
      <c r="H19431" t="s">
        <v>23834</v>
      </c>
    </row>
    <row r="19432" spans="6:8">
      <c r="H19432" t="s">
        <v>23835</v>
      </c>
    </row>
    <row r="19433" spans="6:8">
      <c r="H19433" t="s">
        <v>23836</v>
      </c>
    </row>
    <row r="19434" spans="6:8">
      <c r="H19434" t="s">
        <v>23837</v>
      </c>
    </row>
    <row r="19435" spans="6:8">
      <c r="H19435" t="s">
        <v>23838</v>
      </c>
    </row>
    <row r="19436" spans="6:8">
      <c r="H19436" t="s">
        <v>23839</v>
      </c>
    </row>
    <row r="19437" spans="6:8">
      <c r="H19437" t="s">
        <v>23840</v>
      </c>
    </row>
    <row r="19438" spans="6:8">
      <c r="F19438" t="s">
        <v>12452</v>
      </c>
      <c r="G19438" t="s">
        <v>16673</v>
      </c>
      <c r="H19438" t="s">
        <v>18829</v>
      </c>
    </row>
    <row r="19439" spans="6:8">
      <c r="H19439" t="s">
        <v>23841</v>
      </c>
    </row>
    <row r="19440" spans="6:8">
      <c r="H19440" t="s">
        <v>23842</v>
      </c>
    </row>
    <row r="19441" spans="6:8">
      <c r="H19441" t="s">
        <v>23843</v>
      </c>
    </row>
    <row r="19442" spans="6:8">
      <c r="H19442" t="s">
        <v>23844</v>
      </c>
    </row>
    <row r="19443" spans="6:8">
      <c r="H19443" t="s">
        <v>23845</v>
      </c>
    </row>
    <row r="19444" spans="6:8">
      <c r="H19444" t="s">
        <v>23846</v>
      </c>
    </row>
    <row r="19445" spans="6:8">
      <c r="H19445" t="s">
        <v>23847</v>
      </c>
    </row>
    <row r="19446" spans="6:8">
      <c r="H19446" t="s">
        <v>23848</v>
      </c>
    </row>
    <row r="19447" spans="6:8">
      <c r="H19447" t="s">
        <v>23849</v>
      </c>
    </row>
    <row r="19448" spans="6:8">
      <c r="F19448" t="s">
        <v>12453</v>
      </c>
      <c r="G19448" t="s">
        <v>16674</v>
      </c>
      <c r="H19448" t="s">
        <v>18829</v>
      </c>
    </row>
    <row r="19449" spans="6:8">
      <c r="H19449" t="s">
        <v>23850</v>
      </c>
    </row>
    <row r="19450" spans="6:8">
      <c r="H19450" t="s">
        <v>23851</v>
      </c>
    </row>
    <row r="19451" spans="6:8">
      <c r="H19451" t="s">
        <v>23852</v>
      </c>
    </row>
    <row r="19452" spans="6:8">
      <c r="H19452" t="s">
        <v>23853</v>
      </c>
    </row>
    <row r="19453" spans="6:8">
      <c r="H19453" t="s">
        <v>23854</v>
      </c>
    </row>
    <row r="19454" spans="6:8">
      <c r="H19454" t="s">
        <v>23855</v>
      </c>
    </row>
    <row r="19455" spans="6:8">
      <c r="H19455" t="s">
        <v>23856</v>
      </c>
    </row>
    <row r="19456" spans="6:8">
      <c r="H19456" t="s">
        <v>23857</v>
      </c>
    </row>
    <row r="19457" spans="6:8">
      <c r="H19457" t="s">
        <v>23858</v>
      </c>
    </row>
    <row r="19458" spans="6:8">
      <c r="F19458" t="s">
        <v>12454</v>
      </c>
      <c r="G19458" t="s">
        <v>16675</v>
      </c>
      <c r="H19458" t="s">
        <v>18829</v>
      </c>
    </row>
    <row r="19459" spans="6:8">
      <c r="H19459" t="s">
        <v>23859</v>
      </c>
    </row>
    <row r="19460" spans="6:8">
      <c r="H19460" t="s">
        <v>23860</v>
      </c>
    </row>
    <row r="19461" spans="6:8">
      <c r="H19461" t="s">
        <v>23861</v>
      </c>
    </row>
    <row r="19462" spans="6:8">
      <c r="H19462" t="s">
        <v>23862</v>
      </c>
    </row>
    <row r="19463" spans="6:8">
      <c r="H19463" t="s">
        <v>23863</v>
      </c>
    </row>
    <row r="19464" spans="6:8">
      <c r="H19464" t="s">
        <v>23864</v>
      </c>
    </row>
    <row r="19465" spans="6:8">
      <c r="H19465" t="s">
        <v>23865</v>
      </c>
    </row>
    <row r="19466" spans="6:8">
      <c r="H19466" t="s">
        <v>23866</v>
      </c>
    </row>
    <row r="19467" spans="6:8">
      <c r="H19467" t="s">
        <v>23867</v>
      </c>
    </row>
    <row r="19468" spans="6:8">
      <c r="F19468" t="s">
        <v>12455</v>
      </c>
      <c r="G19468" t="s">
        <v>16676</v>
      </c>
      <c r="H19468" t="s">
        <v>18829</v>
      </c>
    </row>
    <row r="19469" spans="6:8">
      <c r="H19469" t="s">
        <v>23868</v>
      </c>
    </row>
    <row r="19470" spans="6:8">
      <c r="H19470" t="s">
        <v>23869</v>
      </c>
    </row>
    <row r="19471" spans="6:8">
      <c r="H19471" t="s">
        <v>23870</v>
      </c>
    </row>
    <row r="19472" spans="6:8">
      <c r="H19472" t="s">
        <v>23871</v>
      </c>
    </row>
    <row r="19473" spans="6:8">
      <c r="H19473" t="s">
        <v>23872</v>
      </c>
    </row>
    <row r="19474" spans="6:8">
      <c r="F19474" t="s">
        <v>12456</v>
      </c>
      <c r="G19474" t="s">
        <v>16677</v>
      </c>
      <c r="H19474" t="s">
        <v>18829</v>
      </c>
    </row>
    <row r="19475" spans="6:8">
      <c r="H19475" t="s">
        <v>23873</v>
      </c>
    </row>
    <row r="19476" spans="6:8">
      <c r="H19476" t="s">
        <v>23874</v>
      </c>
    </row>
    <row r="19477" spans="6:8">
      <c r="H19477" t="s">
        <v>23875</v>
      </c>
    </row>
    <row r="19478" spans="6:8">
      <c r="H19478" t="s">
        <v>23876</v>
      </c>
    </row>
    <row r="19479" spans="6:8">
      <c r="H19479" t="s">
        <v>23877</v>
      </c>
    </row>
    <row r="19480" spans="6:8">
      <c r="H19480" t="s">
        <v>23878</v>
      </c>
    </row>
    <row r="19481" spans="6:8">
      <c r="H19481" t="s">
        <v>23879</v>
      </c>
    </row>
    <row r="19482" spans="6:8">
      <c r="H19482" t="s">
        <v>23880</v>
      </c>
    </row>
    <row r="19483" spans="6:8">
      <c r="H19483" t="s">
        <v>23881</v>
      </c>
    </row>
    <row r="19484" spans="6:8">
      <c r="F19484" t="s">
        <v>12457</v>
      </c>
      <c r="G19484" t="s">
        <v>16678</v>
      </c>
      <c r="H19484" t="s">
        <v>18829</v>
      </c>
    </row>
    <row r="19485" spans="6:8">
      <c r="H19485" t="s">
        <v>23882</v>
      </c>
    </row>
    <row r="19486" spans="6:8">
      <c r="H19486" t="s">
        <v>23883</v>
      </c>
    </row>
    <row r="19487" spans="6:8">
      <c r="H19487" t="s">
        <v>23884</v>
      </c>
    </row>
    <row r="19488" spans="6:8">
      <c r="H19488" t="s">
        <v>23885</v>
      </c>
    </row>
    <row r="19489" spans="6:8">
      <c r="H19489" t="s">
        <v>23886</v>
      </c>
    </row>
    <row r="19490" spans="6:8">
      <c r="H19490" t="s">
        <v>23887</v>
      </c>
    </row>
    <row r="19491" spans="6:8">
      <c r="H19491" t="s">
        <v>23888</v>
      </c>
    </row>
    <row r="19492" spans="6:8">
      <c r="H19492" t="s">
        <v>23889</v>
      </c>
    </row>
    <row r="19493" spans="6:8">
      <c r="H19493" t="s">
        <v>23890</v>
      </c>
    </row>
    <row r="19494" spans="6:8">
      <c r="F19494" t="s">
        <v>12458</v>
      </c>
      <c r="G19494" t="s">
        <v>16679</v>
      </c>
      <c r="H19494" t="s">
        <v>18829</v>
      </c>
    </row>
    <row r="19495" spans="6:8">
      <c r="H19495" t="s">
        <v>23891</v>
      </c>
    </row>
    <row r="19496" spans="6:8">
      <c r="H19496" t="s">
        <v>23892</v>
      </c>
    </row>
    <row r="19497" spans="6:8">
      <c r="H19497" t="s">
        <v>23893</v>
      </c>
    </row>
    <row r="19498" spans="6:8">
      <c r="H19498" t="s">
        <v>23894</v>
      </c>
    </row>
    <row r="19499" spans="6:8">
      <c r="H19499" t="s">
        <v>23895</v>
      </c>
    </row>
    <row r="19500" spans="6:8">
      <c r="H19500" t="s">
        <v>23896</v>
      </c>
    </row>
    <row r="19501" spans="6:8">
      <c r="H19501" t="s">
        <v>23897</v>
      </c>
    </row>
    <row r="19502" spans="6:8">
      <c r="H19502" t="s">
        <v>23898</v>
      </c>
    </row>
    <row r="19503" spans="6:8">
      <c r="H19503" t="s">
        <v>23899</v>
      </c>
    </row>
    <row r="19504" spans="6:8">
      <c r="F19504" t="s">
        <v>12459</v>
      </c>
      <c r="G19504" t="s">
        <v>16680</v>
      </c>
      <c r="H19504" t="s">
        <v>18829</v>
      </c>
    </row>
    <row r="19505" spans="6:8">
      <c r="H19505" t="s">
        <v>23900</v>
      </c>
    </row>
    <row r="19506" spans="6:8">
      <c r="H19506" t="s">
        <v>23901</v>
      </c>
    </row>
    <row r="19507" spans="6:8">
      <c r="H19507" t="s">
        <v>23902</v>
      </c>
    </row>
    <row r="19508" spans="6:8">
      <c r="H19508" t="s">
        <v>23903</v>
      </c>
    </row>
    <row r="19509" spans="6:8">
      <c r="H19509" t="s">
        <v>23904</v>
      </c>
    </row>
    <row r="19510" spans="6:8">
      <c r="H19510" t="s">
        <v>23905</v>
      </c>
    </row>
    <row r="19511" spans="6:8">
      <c r="H19511" t="s">
        <v>23906</v>
      </c>
    </row>
    <row r="19512" spans="6:8">
      <c r="H19512" t="s">
        <v>23907</v>
      </c>
    </row>
    <row r="19513" spans="6:8">
      <c r="H19513" t="s">
        <v>23908</v>
      </c>
    </row>
    <row r="19514" spans="6:8">
      <c r="F19514" t="s">
        <v>12460</v>
      </c>
      <c r="G19514" t="s">
        <v>16681</v>
      </c>
      <c r="H19514" t="s">
        <v>18829</v>
      </c>
    </row>
    <row r="19515" spans="6:8">
      <c r="H19515" t="s">
        <v>23909</v>
      </c>
    </row>
    <row r="19516" spans="6:8">
      <c r="H19516" t="s">
        <v>23910</v>
      </c>
    </row>
    <row r="19517" spans="6:8">
      <c r="H19517" t="s">
        <v>23911</v>
      </c>
    </row>
    <row r="19518" spans="6:8">
      <c r="H19518" t="s">
        <v>23912</v>
      </c>
    </row>
    <row r="19519" spans="6:8">
      <c r="H19519" t="s">
        <v>23913</v>
      </c>
    </row>
    <row r="19520" spans="6:8">
      <c r="H19520" t="s">
        <v>23914</v>
      </c>
    </row>
    <row r="19521" spans="6:8">
      <c r="H19521" t="s">
        <v>23915</v>
      </c>
    </row>
    <row r="19522" spans="6:8">
      <c r="H19522" t="s">
        <v>23916</v>
      </c>
    </row>
    <row r="19523" spans="6:8">
      <c r="H19523" t="s">
        <v>23917</v>
      </c>
    </row>
    <row r="19524" spans="6:8">
      <c r="F19524" t="s">
        <v>12461</v>
      </c>
      <c r="G19524" t="s">
        <v>16682</v>
      </c>
      <c r="H19524" t="s">
        <v>18829</v>
      </c>
    </row>
    <row r="19525" spans="6:8">
      <c r="H19525" t="s">
        <v>23918</v>
      </c>
    </row>
    <row r="19526" spans="6:8">
      <c r="H19526" t="s">
        <v>23919</v>
      </c>
    </row>
    <row r="19527" spans="6:8">
      <c r="H19527" t="s">
        <v>23920</v>
      </c>
    </row>
    <row r="19528" spans="6:8">
      <c r="H19528" t="s">
        <v>23921</v>
      </c>
    </row>
    <row r="19529" spans="6:8">
      <c r="H19529" t="s">
        <v>23922</v>
      </c>
    </row>
    <row r="19530" spans="6:8">
      <c r="H19530" t="s">
        <v>23923</v>
      </c>
    </row>
    <row r="19531" spans="6:8">
      <c r="H19531" t="s">
        <v>23924</v>
      </c>
    </row>
    <row r="19532" spans="6:8">
      <c r="H19532" t="s">
        <v>23925</v>
      </c>
    </row>
    <row r="19533" spans="6:8">
      <c r="H19533" t="s">
        <v>23926</v>
      </c>
    </row>
    <row r="19534" spans="6:8">
      <c r="F19534" t="s">
        <v>12462</v>
      </c>
      <c r="G19534" t="s">
        <v>16536</v>
      </c>
      <c r="H19534" t="s">
        <v>18829</v>
      </c>
    </row>
    <row r="19535" spans="6:8">
      <c r="H19535" t="s">
        <v>23927</v>
      </c>
    </row>
    <row r="19536" spans="6:8">
      <c r="H19536" t="s">
        <v>21968</v>
      </c>
    </row>
    <row r="19537" spans="6:8">
      <c r="H19537" t="s">
        <v>23928</v>
      </c>
    </row>
    <row r="19538" spans="6:8">
      <c r="H19538" t="s">
        <v>21969</v>
      </c>
    </row>
    <row r="19539" spans="6:8">
      <c r="H19539" t="s">
        <v>23929</v>
      </c>
    </row>
    <row r="19540" spans="6:8">
      <c r="H19540" t="s">
        <v>21970</v>
      </c>
    </row>
    <row r="19541" spans="6:8">
      <c r="H19541" t="s">
        <v>23930</v>
      </c>
    </row>
    <row r="19542" spans="6:8">
      <c r="H19542" t="s">
        <v>21971</v>
      </c>
    </row>
    <row r="19543" spans="6:8">
      <c r="H19543" t="s">
        <v>23931</v>
      </c>
    </row>
    <row r="19544" spans="6:8">
      <c r="F19544" t="s">
        <v>12463</v>
      </c>
      <c r="G19544" t="s">
        <v>16683</v>
      </c>
      <c r="H19544" t="s">
        <v>18829</v>
      </c>
    </row>
    <row r="19545" spans="6:8">
      <c r="H19545" t="s">
        <v>23932</v>
      </c>
    </row>
    <row r="19546" spans="6:8">
      <c r="H19546" t="s">
        <v>23933</v>
      </c>
    </row>
    <row r="19547" spans="6:8">
      <c r="H19547" t="s">
        <v>23934</v>
      </c>
    </row>
    <row r="19548" spans="6:8">
      <c r="H19548" t="s">
        <v>23935</v>
      </c>
    </row>
    <row r="19549" spans="6:8">
      <c r="H19549" t="s">
        <v>23936</v>
      </c>
    </row>
    <row r="19550" spans="6:8">
      <c r="H19550" t="s">
        <v>23937</v>
      </c>
    </row>
    <row r="19551" spans="6:8">
      <c r="H19551" t="s">
        <v>23938</v>
      </c>
    </row>
    <row r="19552" spans="6:8">
      <c r="H19552" t="s">
        <v>23939</v>
      </c>
    </row>
    <row r="19553" spans="6:8">
      <c r="H19553" t="s">
        <v>23940</v>
      </c>
    </row>
    <row r="19554" spans="6:8">
      <c r="F19554" t="s">
        <v>12464</v>
      </c>
      <c r="G19554" t="s">
        <v>16684</v>
      </c>
      <c r="H19554" t="s">
        <v>18829</v>
      </c>
    </row>
    <row r="19555" spans="6:8">
      <c r="H19555" t="s">
        <v>23941</v>
      </c>
    </row>
    <row r="19556" spans="6:8">
      <c r="H19556" t="s">
        <v>23942</v>
      </c>
    </row>
    <row r="19557" spans="6:8">
      <c r="H19557" t="s">
        <v>23943</v>
      </c>
    </row>
    <row r="19558" spans="6:8">
      <c r="H19558" t="s">
        <v>23944</v>
      </c>
    </row>
    <row r="19559" spans="6:8">
      <c r="H19559" t="s">
        <v>23945</v>
      </c>
    </row>
    <row r="19560" spans="6:8">
      <c r="H19560" t="s">
        <v>23946</v>
      </c>
    </row>
    <row r="19561" spans="6:8">
      <c r="H19561" t="s">
        <v>23947</v>
      </c>
    </row>
    <row r="19562" spans="6:8">
      <c r="H19562" t="s">
        <v>23948</v>
      </c>
    </row>
    <row r="19563" spans="6:8">
      <c r="H19563" t="s">
        <v>23949</v>
      </c>
    </row>
    <row r="19564" spans="6:8">
      <c r="F19564" t="s">
        <v>12465</v>
      </c>
      <c r="G19564" t="s">
        <v>16685</v>
      </c>
      <c r="H19564" t="s">
        <v>18829</v>
      </c>
    </row>
    <row r="19565" spans="6:8">
      <c r="H19565" t="s">
        <v>23950</v>
      </c>
    </row>
    <row r="19566" spans="6:8">
      <c r="H19566" t="s">
        <v>23951</v>
      </c>
    </row>
    <row r="19567" spans="6:8">
      <c r="H19567" t="s">
        <v>23952</v>
      </c>
    </row>
    <row r="19568" spans="6:8">
      <c r="H19568" t="s">
        <v>23953</v>
      </c>
    </row>
    <row r="19569" spans="6:8">
      <c r="H19569" t="s">
        <v>23954</v>
      </c>
    </row>
    <row r="19570" spans="6:8">
      <c r="H19570" t="s">
        <v>23955</v>
      </c>
    </row>
    <row r="19571" spans="6:8">
      <c r="H19571" t="s">
        <v>23956</v>
      </c>
    </row>
    <row r="19572" spans="6:8">
      <c r="H19572" t="s">
        <v>23957</v>
      </c>
    </row>
    <row r="19573" spans="6:8">
      <c r="H19573" t="s">
        <v>23958</v>
      </c>
    </row>
    <row r="19574" spans="6:8">
      <c r="F19574" t="s">
        <v>12466</v>
      </c>
      <c r="G19574" t="s">
        <v>16686</v>
      </c>
      <c r="H19574" t="s">
        <v>18829</v>
      </c>
    </row>
    <row r="19575" spans="6:8">
      <c r="H19575" t="s">
        <v>23959</v>
      </c>
    </row>
    <row r="19576" spans="6:8">
      <c r="H19576" t="s">
        <v>23960</v>
      </c>
    </row>
    <row r="19577" spans="6:8">
      <c r="H19577" t="s">
        <v>23961</v>
      </c>
    </row>
    <row r="19578" spans="6:8">
      <c r="H19578" t="s">
        <v>23962</v>
      </c>
    </row>
    <row r="19579" spans="6:8">
      <c r="H19579" t="s">
        <v>23963</v>
      </c>
    </row>
    <row r="19580" spans="6:8">
      <c r="H19580" t="s">
        <v>23964</v>
      </c>
    </row>
    <row r="19581" spans="6:8">
      <c r="H19581" t="s">
        <v>23965</v>
      </c>
    </row>
    <row r="19582" spans="6:8">
      <c r="H19582" t="s">
        <v>23966</v>
      </c>
    </row>
    <row r="19583" spans="6:8">
      <c r="H19583" t="s">
        <v>23967</v>
      </c>
    </row>
    <row r="19584" spans="6:8">
      <c r="F19584" t="s">
        <v>12467</v>
      </c>
      <c r="G19584" t="s">
        <v>16687</v>
      </c>
      <c r="H19584" t="s">
        <v>18829</v>
      </c>
    </row>
    <row r="19585" spans="6:8">
      <c r="H19585" t="s">
        <v>23968</v>
      </c>
    </row>
    <row r="19586" spans="6:8">
      <c r="H19586" t="s">
        <v>23969</v>
      </c>
    </row>
    <row r="19587" spans="6:8">
      <c r="H19587" t="s">
        <v>23970</v>
      </c>
    </row>
    <row r="19588" spans="6:8">
      <c r="H19588" t="s">
        <v>23971</v>
      </c>
    </row>
    <row r="19589" spans="6:8">
      <c r="H19589" t="s">
        <v>23972</v>
      </c>
    </row>
    <row r="19590" spans="6:8">
      <c r="H19590" t="s">
        <v>23973</v>
      </c>
    </row>
    <row r="19591" spans="6:8">
      <c r="H19591" t="s">
        <v>23974</v>
      </c>
    </row>
    <row r="19592" spans="6:8">
      <c r="H19592" t="s">
        <v>23975</v>
      </c>
    </row>
    <row r="19593" spans="6:8">
      <c r="H19593" t="s">
        <v>23976</v>
      </c>
    </row>
    <row r="19594" spans="6:8">
      <c r="F19594" t="s">
        <v>12468</v>
      </c>
      <c r="G19594" t="s">
        <v>16688</v>
      </c>
      <c r="H19594" t="s">
        <v>18829</v>
      </c>
    </row>
    <row r="19595" spans="6:8">
      <c r="H19595" t="s">
        <v>23977</v>
      </c>
    </row>
    <row r="19596" spans="6:8">
      <c r="H19596" t="s">
        <v>23978</v>
      </c>
    </row>
    <row r="19597" spans="6:8">
      <c r="H19597" t="s">
        <v>23979</v>
      </c>
    </row>
    <row r="19598" spans="6:8">
      <c r="H19598" t="s">
        <v>23980</v>
      </c>
    </row>
    <row r="19599" spans="6:8">
      <c r="H19599" t="s">
        <v>23981</v>
      </c>
    </row>
    <row r="19600" spans="6:8">
      <c r="H19600" t="s">
        <v>23982</v>
      </c>
    </row>
    <row r="19601" spans="6:8">
      <c r="H19601" t="s">
        <v>23983</v>
      </c>
    </row>
    <row r="19602" spans="6:8">
      <c r="H19602" t="s">
        <v>23984</v>
      </c>
    </row>
    <row r="19603" spans="6:8">
      <c r="H19603" t="s">
        <v>23985</v>
      </c>
    </row>
    <row r="19604" spans="6:8">
      <c r="F19604" t="s">
        <v>12469</v>
      </c>
      <c r="G19604" t="s">
        <v>16689</v>
      </c>
      <c r="H19604" t="s">
        <v>18829</v>
      </c>
    </row>
    <row r="19605" spans="6:8">
      <c r="H19605" t="s">
        <v>23986</v>
      </c>
    </row>
    <row r="19606" spans="6:8">
      <c r="H19606" t="s">
        <v>23987</v>
      </c>
    </row>
    <row r="19607" spans="6:8">
      <c r="H19607" t="s">
        <v>23988</v>
      </c>
    </row>
    <row r="19608" spans="6:8">
      <c r="H19608" t="s">
        <v>23989</v>
      </c>
    </row>
    <row r="19609" spans="6:8">
      <c r="H19609" t="s">
        <v>23990</v>
      </c>
    </row>
    <row r="19610" spans="6:8">
      <c r="H19610" t="s">
        <v>23991</v>
      </c>
    </row>
    <row r="19611" spans="6:8">
      <c r="H19611" t="s">
        <v>23992</v>
      </c>
    </row>
    <row r="19612" spans="6:8">
      <c r="H19612" t="s">
        <v>23993</v>
      </c>
    </row>
    <row r="19613" spans="6:8">
      <c r="H19613" t="s">
        <v>23994</v>
      </c>
    </row>
    <row r="19614" spans="6:8">
      <c r="F19614" t="s">
        <v>12470</v>
      </c>
      <c r="G19614" t="s">
        <v>16690</v>
      </c>
      <c r="H19614" t="s">
        <v>18829</v>
      </c>
    </row>
    <row r="19615" spans="6:8">
      <c r="H19615" t="s">
        <v>23995</v>
      </c>
    </row>
    <row r="19616" spans="6:8">
      <c r="H19616" t="s">
        <v>23996</v>
      </c>
    </row>
    <row r="19617" spans="6:8">
      <c r="H19617" t="s">
        <v>23997</v>
      </c>
    </row>
    <row r="19618" spans="6:8">
      <c r="H19618" t="s">
        <v>23998</v>
      </c>
    </row>
    <row r="19619" spans="6:8">
      <c r="H19619" t="s">
        <v>23999</v>
      </c>
    </row>
    <row r="19620" spans="6:8">
      <c r="H19620" t="s">
        <v>24000</v>
      </c>
    </row>
    <row r="19621" spans="6:8">
      <c r="H19621" t="s">
        <v>24001</v>
      </c>
    </row>
    <row r="19622" spans="6:8">
      <c r="H19622" t="s">
        <v>24002</v>
      </c>
    </row>
    <row r="19623" spans="6:8">
      <c r="H19623" t="s">
        <v>24003</v>
      </c>
    </row>
    <row r="19624" spans="6:8">
      <c r="F19624" t="s">
        <v>12471</v>
      </c>
      <c r="G19624" t="s">
        <v>16691</v>
      </c>
      <c r="H19624" t="s">
        <v>18829</v>
      </c>
    </row>
    <row r="19625" spans="6:8">
      <c r="H19625" t="s">
        <v>24004</v>
      </c>
    </row>
    <row r="19626" spans="6:8">
      <c r="H19626" t="s">
        <v>24005</v>
      </c>
    </row>
    <row r="19627" spans="6:8">
      <c r="H19627" t="s">
        <v>24006</v>
      </c>
    </row>
    <row r="19628" spans="6:8">
      <c r="H19628" t="s">
        <v>24007</v>
      </c>
    </row>
    <row r="19629" spans="6:8">
      <c r="H19629" t="s">
        <v>24008</v>
      </c>
    </row>
    <row r="19630" spans="6:8">
      <c r="H19630" t="s">
        <v>24009</v>
      </c>
    </row>
    <row r="19631" spans="6:8">
      <c r="H19631" t="s">
        <v>24010</v>
      </c>
    </row>
    <row r="19632" spans="6:8">
      <c r="H19632" t="s">
        <v>24011</v>
      </c>
    </row>
    <row r="19633" spans="6:8">
      <c r="H19633" t="s">
        <v>24012</v>
      </c>
    </row>
    <row r="19634" spans="6:8">
      <c r="F19634" t="s">
        <v>12472</v>
      </c>
      <c r="G19634" t="s">
        <v>16692</v>
      </c>
      <c r="H19634" t="s">
        <v>18829</v>
      </c>
    </row>
    <row r="19635" spans="6:8">
      <c r="H19635" t="s">
        <v>24013</v>
      </c>
    </row>
    <row r="19636" spans="6:8">
      <c r="H19636" t="s">
        <v>24014</v>
      </c>
    </row>
    <row r="19637" spans="6:8">
      <c r="H19637" t="s">
        <v>24015</v>
      </c>
    </row>
    <row r="19638" spans="6:8">
      <c r="H19638" t="s">
        <v>24016</v>
      </c>
    </row>
    <row r="19639" spans="6:8">
      <c r="H19639" t="s">
        <v>24017</v>
      </c>
    </row>
    <row r="19640" spans="6:8">
      <c r="H19640" t="s">
        <v>24018</v>
      </c>
    </row>
    <row r="19641" spans="6:8">
      <c r="H19641" t="s">
        <v>24019</v>
      </c>
    </row>
    <row r="19642" spans="6:8">
      <c r="H19642" t="s">
        <v>24020</v>
      </c>
    </row>
    <row r="19643" spans="6:8">
      <c r="H19643" t="s">
        <v>24021</v>
      </c>
    </row>
    <row r="19644" spans="6:8">
      <c r="H19644" t="s">
        <v>24022</v>
      </c>
    </row>
    <row r="19645" spans="6:8">
      <c r="H19645" t="s">
        <v>24023</v>
      </c>
    </row>
    <row r="19646" spans="6:8">
      <c r="H19646" t="s">
        <v>24024</v>
      </c>
    </row>
    <row r="19647" spans="6:8">
      <c r="H19647" t="s">
        <v>24025</v>
      </c>
    </row>
    <row r="19648" spans="6:8">
      <c r="H19648" t="s">
        <v>24026</v>
      </c>
    </row>
    <row r="19649" spans="6:8">
      <c r="H19649" t="s">
        <v>24027</v>
      </c>
    </row>
    <row r="19650" spans="6:8">
      <c r="F19650" t="s">
        <v>12473</v>
      </c>
      <c r="G19650" t="s">
        <v>16693</v>
      </c>
      <c r="H19650" t="s">
        <v>18829</v>
      </c>
    </row>
    <row r="19651" spans="6:8">
      <c r="H19651" t="s">
        <v>24028</v>
      </c>
    </row>
    <row r="19652" spans="6:8">
      <c r="H19652" t="s">
        <v>24029</v>
      </c>
    </row>
    <row r="19653" spans="6:8">
      <c r="H19653" t="s">
        <v>24030</v>
      </c>
    </row>
    <row r="19654" spans="6:8">
      <c r="H19654" t="s">
        <v>24031</v>
      </c>
    </row>
    <row r="19655" spans="6:8">
      <c r="H19655" t="s">
        <v>24032</v>
      </c>
    </row>
    <row r="19656" spans="6:8">
      <c r="H19656" t="s">
        <v>24033</v>
      </c>
    </row>
    <row r="19657" spans="6:8">
      <c r="H19657" t="s">
        <v>24034</v>
      </c>
    </row>
    <row r="19658" spans="6:8">
      <c r="H19658" t="s">
        <v>24035</v>
      </c>
    </row>
    <row r="19659" spans="6:8">
      <c r="H19659" t="s">
        <v>24036</v>
      </c>
    </row>
    <row r="19660" spans="6:8">
      <c r="H19660" t="s">
        <v>24037</v>
      </c>
    </row>
    <row r="19661" spans="6:8">
      <c r="H19661" t="s">
        <v>24038</v>
      </c>
    </row>
    <row r="19662" spans="6:8">
      <c r="H19662" t="s">
        <v>24039</v>
      </c>
    </row>
    <row r="19663" spans="6:8">
      <c r="H19663" t="s">
        <v>24040</v>
      </c>
    </row>
    <row r="19664" spans="6:8">
      <c r="H19664" t="s">
        <v>24041</v>
      </c>
    </row>
    <row r="19665" spans="6:8">
      <c r="H19665" t="s">
        <v>24042</v>
      </c>
    </row>
    <row r="19666" spans="6:8">
      <c r="F19666" t="s">
        <v>12474</v>
      </c>
      <c r="G19666" t="s">
        <v>16694</v>
      </c>
      <c r="H19666" t="s">
        <v>18829</v>
      </c>
    </row>
    <row r="19667" spans="6:8">
      <c r="H19667" t="s">
        <v>24043</v>
      </c>
    </row>
    <row r="19668" spans="6:8">
      <c r="H19668" t="s">
        <v>24044</v>
      </c>
    </row>
    <row r="19669" spans="6:8">
      <c r="H19669" t="s">
        <v>24045</v>
      </c>
    </row>
    <row r="19670" spans="6:8">
      <c r="H19670" t="s">
        <v>24046</v>
      </c>
    </row>
    <row r="19671" spans="6:8">
      <c r="H19671" t="s">
        <v>24047</v>
      </c>
    </row>
    <row r="19672" spans="6:8">
      <c r="H19672" t="s">
        <v>24048</v>
      </c>
    </row>
    <row r="19673" spans="6:8">
      <c r="H19673" t="s">
        <v>24049</v>
      </c>
    </row>
    <row r="19674" spans="6:8">
      <c r="H19674" t="s">
        <v>24050</v>
      </c>
    </row>
    <row r="19675" spans="6:8">
      <c r="H19675" t="s">
        <v>24051</v>
      </c>
    </row>
    <row r="19676" spans="6:8">
      <c r="F19676" t="s">
        <v>12475</v>
      </c>
      <c r="G19676" t="s">
        <v>16695</v>
      </c>
      <c r="H19676" t="s">
        <v>18829</v>
      </c>
    </row>
    <row r="19677" spans="6:8">
      <c r="H19677" t="s">
        <v>24052</v>
      </c>
    </row>
    <row r="19678" spans="6:8">
      <c r="H19678" t="s">
        <v>24053</v>
      </c>
    </row>
    <row r="19679" spans="6:8">
      <c r="H19679" t="s">
        <v>24054</v>
      </c>
    </row>
    <row r="19680" spans="6:8">
      <c r="H19680" t="s">
        <v>24055</v>
      </c>
    </row>
    <row r="19681" spans="6:8">
      <c r="H19681" t="s">
        <v>24056</v>
      </c>
    </row>
    <row r="19682" spans="6:8">
      <c r="H19682" t="s">
        <v>24057</v>
      </c>
    </row>
    <row r="19683" spans="6:8">
      <c r="H19683" t="s">
        <v>24058</v>
      </c>
    </row>
    <row r="19684" spans="6:8">
      <c r="H19684" t="s">
        <v>24059</v>
      </c>
    </row>
    <row r="19685" spans="6:8">
      <c r="H19685" t="s">
        <v>24060</v>
      </c>
    </row>
    <row r="19686" spans="6:8">
      <c r="H19686" t="s">
        <v>24061</v>
      </c>
    </row>
    <row r="19687" spans="6:8">
      <c r="H19687" t="s">
        <v>24062</v>
      </c>
    </row>
    <row r="19688" spans="6:8">
      <c r="H19688" t="s">
        <v>24063</v>
      </c>
    </row>
    <row r="19689" spans="6:8">
      <c r="H19689" t="s">
        <v>24064</v>
      </c>
    </row>
    <row r="19690" spans="6:8">
      <c r="H19690" t="s">
        <v>24065</v>
      </c>
    </row>
    <row r="19691" spans="6:8">
      <c r="H19691" t="s">
        <v>24066</v>
      </c>
    </row>
    <row r="19692" spans="6:8">
      <c r="H19692" t="s">
        <v>24067</v>
      </c>
    </row>
    <row r="19693" spans="6:8">
      <c r="H19693" t="s">
        <v>24068</v>
      </c>
    </row>
    <row r="19694" spans="6:8">
      <c r="F19694" t="s">
        <v>12476</v>
      </c>
      <c r="G19694" t="s">
        <v>16696</v>
      </c>
      <c r="H19694" t="s">
        <v>18829</v>
      </c>
    </row>
    <row r="19695" spans="6:8">
      <c r="H19695" t="s">
        <v>24069</v>
      </c>
    </row>
    <row r="19696" spans="6:8">
      <c r="H19696" t="s">
        <v>24070</v>
      </c>
    </row>
    <row r="19697" spans="6:8">
      <c r="H19697" t="s">
        <v>24071</v>
      </c>
    </row>
    <row r="19698" spans="6:8">
      <c r="H19698" t="s">
        <v>24072</v>
      </c>
    </row>
    <row r="19699" spans="6:8">
      <c r="H19699" t="s">
        <v>24073</v>
      </c>
    </row>
    <row r="19700" spans="6:8">
      <c r="H19700" t="s">
        <v>24074</v>
      </c>
    </row>
    <row r="19701" spans="6:8">
      <c r="H19701" t="s">
        <v>24075</v>
      </c>
    </row>
    <row r="19702" spans="6:8">
      <c r="H19702" t="s">
        <v>24076</v>
      </c>
    </row>
    <row r="19703" spans="6:8">
      <c r="H19703" t="s">
        <v>24077</v>
      </c>
    </row>
    <row r="19704" spans="6:8">
      <c r="F19704" t="s">
        <v>12477</v>
      </c>
      <c r="G19704" t="s">
        <v>16697</v>
      </c>
      <c r="H19704" t="s">
        <v>18829</v>
      </c>
    </row>
    <row r="19705" spans="6:8">
      <c r="H19705" t="s">
        <v>24078</v>
      </c>
    </row>
    <row r="19706" spans="6:8">
      <c r="H19706" t="s">
        <v>24079</v>
      </c>
    </row>
    <row r="19707" spans="6:8">
      <c r="H19707" t="s">
        <v>24080</v>
      </c>
    </row>
    <row r="19708" spans="6:8">
      <c r="H19708" t="s">
        <v>24081</v>
      </c>
    </row>
    <row r="19709" spans="6:8">
      <c r="H19709" t="s">
        <v>24082</v>
      </c>
    </row>
    <row r="19710" spans="6:8">
      <c r="H19710" t="s">
        <v>24083</v>
      </c>
    </row>
    <row r="19711" spans="6:8">
      <c r="H19711" t="s">
        <v>24084</v>
      </c>
    </row>
    <row r="19712" spans="6:8">
      <c r="H19712" t="s">
        <v>24085</v>
      </c>
    </row>
    <row r="19713" spans="6:8">
      <c r="H19713" t="s">
        <v>24086</v>
      </c>
    </row>
    <row r="19714" spans="6:8">
      <c r="F19714" t="s">
        <v>12478</v>
      </c>
      <c r="G19714" t="s">
        <v>16698</v>
      </c>
      <c r="H19714" t="s">
        <v>18829</v>
      </c>
    </row>
    <row r="19715" spans="6:8">
      <c r="H19715" t="s">
        <v>24087</v>
      </c>
    </row>
    <row r="19716" spans="6:8">
      <c r="H19716" t="s">
        <v>24088</v>
      </c>
    </row>
    <row r="19717" spans="6:8">
      <c r="H19717" t="s">
        <v>24089</v>
      </c>
    </row>
    <row r="19718" spans="6:8">
      <c r="H19718" t="s">
        <v>24090</v>
      </c>
    </row>
    <row r="19719" spans="6:8">
      <c r="H19719" t="s">
        <v>24091</v>
      </c>
    </row>
    <row r="19720" spans="6:8">
      <c r="H19720" t="s">
        <v>24092</v>
      </c>
    </row>
    <row r="19721" spans="6:8">
      <c r="H19721" t="s">
        <v>24093</v>
      </c>
    </row>
    <row r="19722" spans="6:8">
      <c r="H19722" t="s">
        <v>24094</v>
      </c>
    </row>
    <row r="19723" spans="6:8">
      <c r="H19723" t="s">
        <v>24095</v>
      </c>
    </row>
    <row r="19724" spans="6:8">
      <c r="F19724" t="s">
        <v>12479</v>
      </c>
      <c r="G19724" t="s">
        <v>16699</v>
      </c>
      <c r="H19724" t="s">
        <v>18829</v>
      </c>
    </row>
    <row r="19725" spans="6:8">
      <c r="H19725" t="s">
        <v>24096</v>
      </c>
    </row>
    <row r="19726" spans="6:8">
      <c r="H19726" t="s">
        <v>24097</v>
      </c>
    </row>
    <row r="19727" spans="6:8">
      <c r="H19727" t="s">
        <v>24098</v>
      </c>
    </row>
    <row r="19728" spans="6:8">
      <c r="H19728" t="s">
        <v>24099</v>
      </c>
    </row>
    <row r="19729" spans="6:8">
      <c r="H19729" t="s">
        <v>24100</v>
      </c>
    </row>
    <row r="19730" spans="6:8">
      <c r="H19730" t="s">
        <v>24101</v>
      </c>
    </row>
    <row r="19731" spans="6:8">
      <c r="H19731" t="s">
        <v>24102</v>
      </c>
    </row>
    <row r="19732" spans="6:8">
      <c r="H19732" t="s">
        <v>24103</v>
      </c>
    </row>
    <row r="19733" spans="6:8">
      <c r="H19733" t="s">
        <v>24104</v>
      </c>
    </row>
    <row r="19734" spans="6:8">
      <c r="F19734" t="s">
        <v>12480</v>
      </c>
      <c r="G19734" t="s">
        <v>16700</v>
      </c>
      <c r="H19734" t="s">
        <v>18829</v>
      </c>
    </row>
    <row r="19735" spans="6:8">
      <c r="H19735" t="s">
        <v>24105</v>
      </c>
    </row>
    <row r="19736" spans="6:8">
      <c r="H19736" t="s">
        <v>24106</v>
      </c>
    </row>
    <row r="19737" spans="6:8">
      <c r="H19737" t="s">
        <v>24107</v>
      </c>
    </row>
    <row r="19738" spans="6:8">
      <c r="H19738" t="s">
        <v>24108</v>
      </c>
    </row>
    <row r="19739" spans="6:8">
      <c r="H19739" t="s">
        <v>24109</v>
      </c>
    </row>
    <row r="19740" spans="6:8">
      <c r="H19740" t="s">
        <v>24110</v>
      </c>
    </row>
    <row r="19741" spans="6:8">
      <c r="H19741" t="s">
        <v>24111</v>
      </c>
    </row>
    <row r="19742" spans="6:8">
      <c r="H19742" t="s">
        <v>24112</v>
      </c>
    </row>
    <row r="19743" spans="6:8">
      <c r="H19743" t="s">
        <v>24113</v>
      </c>
    </row>
    <row r="19744" spans="6:8">
      <c r="F19744" t="s">
        <v>12481</v>
      </c>
      <c r="G19744" t="s">
        <v>16537</v>
      </c>
      <c r="H19744" t="s">
        <v>18829</v>
      </c>
    </row>
    <row r="19745" spans="6:8">
      <c r="H19745" t="s">
        <v>24114</v>
      </c>
    </row>
    <row r="19746" spans="6:8">
      <c r="H19746" t="s">
        <v>21972</v>
      </c>
    </row>
    <row r="19747" spans="6:8">
      <c r="H19747" t="s">
        <v>24115</v>
      </c>
    </row>
    <row r="19748" spans="6:8">
      <c r="H19748" t="s">
        <v>21973</v>
      </c>
    </row>
    <row r="19749" spans="6:8">
      <c r="H19749" t="s">
        <v>24116</v>
      </c>
    </row>
    <row r="19750" spans="6:8">
      <c r="H19750" t="s">
        <v>21974</v>
      </c>
    </row>
    <row r="19751" spans="6:8">
      <c r="H19751" t="s">
        <v>24117</v>
      </c>
    </row>
    <row r="19752" spans="6:8">
      <c r="H19752" t="s">
        <v>21975</v>
      </c>
    </row>
    <row r="19753" spans="6:8">
      <c r="H19753" t="s">
        <v>24118</v>
      </c>
    </row>
    <row r="19754" spans="6:8">
      <c r="F19754" t="s">
        <v>12482</v>
      </c>
      <c r="G19754" t="s">
        <v>16701</v>
      </c>
      <c r="H19754" t="s">
        <v>18829</v>
      </c>
    </row>
    <row r="19755" spans="6:8">
      <c r="H19755" t="s">
        <v>24119</v>
      </c>
    </row>
    <row r="19756" spans="6:8">
      <c r="H19756" t="s">
        <v>24120</v>
      </c>
    </row>
    <row r="19757" spans="6:8">
      <c r="H19757" t="s">
        <v>24121</v>
      </c>
    </row>
    <row r="19758" spans="6:8">
      <c r="H19758" t="s">
        <v>24122</v>
      </c>
    </row>
    <row r="19759" spans="6:8">
      <c r="H19759" t="s">
        <v>24123</v>
      </c>
    </row>
    <row r="19760" spans="6:8">
      <c r="H19760" t="s">
        <v>24124</v>
      </c>
    </row>
    <row r="19761" spans="6:8">
      <c r="H19761" t="s">
        <v>24125</v>
      </c>
    </row>
    <row r="19762" spans="6:8">
      <c r="H19762" t="s">
        <v>24126</v>
      </c>
    </row>
    <row r="19763" spans="6:8">
      <c r="H19763" t="s">
        <v>24127</v>
      </c>
    </row>
    <row r="19764" spans="6:8">
      <c r="H19764" t="s">
        <v>24128</v>
      </c>
    </row>
    <row r="19765" spans="6:8">
      <c r="H19765" t="s">
        <v>24129</v>
      </c>
    </row>
    <row r="19766" spans="6:8">
      <c r="H19766" t="s">
        <v>24130</v>
      </c>
    </row>
    <row r="19767" spans="6:8">
      <c r="H19767" t="s">
        <v>24131</v>
      </c>
    </row>
    <row r="19768" spans="6:8">
      <c r="H19768" t="s">
        <v>24132</v>
      </c>
    </row>
    <row r="19769" spans="6:8">
      <c r="H19769" t="s">
        <v>24133</v>
      </c>
    </row>
    <row r="19770" spans="6:8">
      <c r="F19770" t="s">
        <v>12483</v>
      </c>
      <c r="G19770" t="s">
        <v>16702</v>
      </c>
      <c r="H19770" t="s">
        <v>18829</v>
      </c>
    </row>
    <row r="19771" spans="6:8">
      <c r="H19771" t="s">
        <v>24134</v>
      </c>
    </row>
    <row r="19772" spans="6:8">
      <c r="H19772" t="s">
        <v>24135</v>
      </c>
    </row>
    <row r="19773" spans="6:8">
      <c r="H19773" t="s">
        <v>24136</v>
      </c>
    </row>
    <row r="19774" spans="6:8">
      <c r="H19774" t="s">
        <v>24137</v>
      </c>
    </row>
    <row r="19775" spans="6:8">
      <c r="H19775" t="s">
        <v>24138</v>
      </c>
    </row>
    <row r="19776" spans="6:8">
      <c r="H19776" t="s">
        <v>24139</v>
      </c>
    </row>
    <row r="19777" spans="6:8">
      <c r="H19777" t="s">
        <v>24140</v>
      </c>
    </row>
    <row r="19778" spans="6:8">
      <c r="H19778" t="s">
        <v>24141</v>
      </c>
    </row>
    <row r="19779" spans="6:8">
      <c r="H19779" t="s">
        <v>24142</v>
      </c>
    </row>
    <row r="19780" spans="6:8">
      <c r="F19780" t="s">
        <v>12484</v>
      </c>
      <c r="G19780" t="s">
        <v>16703</v>
      </c>
      <c r="H19780" t="s">
        <v>18829</v>
      </c>
    </row>
    <row r="19781" spans="6:8">
      <c r="H19781" t="s">
        <v>24143</v>
      </c>
    </row>
    <row r="19782" spans="6:8">
      <c r="H19782" t="s">
        <v>24144</v>
      </c>
    </row>
    <row r="19783" spans="6:8">
      <c r="H19783" t="s">
        <v>24145</v>
      </c>
    </row>
    <row r="19784" spans="6:8">
      <c r="H19784" t="s">
        <v>24146</v>
      </c>
    </row>
    <row r="19785" spans="6:8">
      <c r="H19785" t="s">
        <v>24147</v>
      </c>
    </row>
    <row r="19786" spans="6:8">
      <c r="H19786" t="s">
        <v>24148</v>
      </c>
    </row>
    <row r="19787" spans="6:8">
      <c r="H19787" t="s">
        <v>24149</v>
      </c>
    </row>
    <row r="19788" spans="6:8">
      <c r="H19788" t="s">
        <v>24150</v>
      </c>
    </row>
    <row r="19789" spans="6:8">
      <c r="H19789" t="s">
        <v>24151</v>
      </c>
    </row>
    <row r="19790" spans="6:8">
      <c r="H19790" t="s">
        <v>24152</v>
      </c>
    </row>
    <row r="19791" spans="6:8">
      <c r="H19791" t="s">
        <v>24153</v>
      </c>
    </row>
    <row r="19792" spans="6:8">
      <c r="H19792" t="s">
        <v>24154</v>
      </c>
    </row>
    <row r="19793" spans="6:8">
      <c r="H19793" t="s">
        <v>24155</v>
      </c>
    </row>
    <row r="19794" spans="6:8">
      <c r="H19794" t="s">
        <v>24156</v>
      </c>
    </row>
    <row r="19795" spans="6:8">
      <c r="H19795" t="s">
        <v>24157</v>
      </c>
    </row>
    <row r="19796" spans="6:8">
      <c r="H19796" t="s">
        <v>24158</v>
      </c>
    </row>
    <row r="19797" spans="6:8">
      <c r="H19797" t="s">
        <v>24159</v>
      </c>
    </row>
    <row r="19798" spans="6:8">
      <c r="F19798" t="s">
        <v>12485</v>
      </c>
      <c r="G19798" t="s">
        <v>16704</v>
      </c>
      <c r="H19798" t="s">
        <v>18829</v>
      </c>
    </row>
    <row r="19799" spans="6:8">
      <c r="H19799" t="s">
        <v>24160</v>
      </c>
    </row>
    <row r="19800" spans="6:8">
      <c r="H19800" t="s">
        <v>24161</v>
      </c>
    </row>
    <row r="19801" spans="6:8">
      <c r="H19801" t="s">
        <v>24162</v>
      </c>
    </row>
    <row r="19802" spans="6:8">
      <c r="H19802" t="s">
        <v>24163</v>
      </c>
    </row>
    <row r="19803" spans="6:8">
      <c r="H19803" t="s">
        <v>24164</v>
      </c>
    </row>
    <row r="19804" spans="6:8">
      <c r="H19804" t="s">
        <v>24165</v>
      </c>
    </row>
    <row r="19805" spans="6:8">
      <c r="H19805" t="s">
        <v>24166</v>
      </c>
    </row>
    <row r="19806" spans="6:8">
      <c r="H19806" t="s">
        <v>24167</v>
      </c>
    </row>
    <row r="19807" spans="6:8">
      <c r="H19807" t="s">
        <v>24168</v>
      </c>
    </row>
    <row r="19808" spans="6:8">
      <c r="F19808" t="s">
        <v>12486</v>
      </c>
      <c r="G19808" t="s">
        <v>16705</v>
      </c>
      <c r="H19808" t="s">
        <v>18829</v>
      </c>
    </row>
    <row r="19809" spans="6:8">
      <c r="H19809" t="s">
        <v>24169</v>
      </c>
    </row>
    <row r="19810" spans="6:8">
      <c r="H19810" t="s">
        <v>24170</v>
      </c>
    </row>
    <row r="19811" spans="6:8">
      <c r="H19811" t="s">
        <v>24171</v>
      </c>
    </row>
    <row r="19812" spans="6:8">
      <c r="H19812" t="s">
        <v>24172</v>
      </c>
    </row>
    <row r="19813" spans="6:8">
      <c r="H19813" t="s">
        <v>24173</v>
      </c>
    </row>
    <row r="19814" spans="6:8">
      <c r="H19814" t="s">
        <v>24174</v>
      </c>
    </row>
    <row r="19815" spans="6:8">
      <c r="H19815" t="s">
        <v>24175</v>
      </c>
    </row>
    <row r="19816" spans="6:8">
      <c r="H19816" t="s">
        <v>24176</v>
      </c>
    </row>
    <row r="19817" spans="6:8">
      <c r="H19817" t="s">
        <v>24177</v>
      </c>
    </row>
    <row r="19818" spans="6:8">
      <c r="F19818" t="s">
        <v>12487</v>
      </c>
      <c r="G19818" t="s">
        <v>16706</v>
      </c>
      <c r="H19818" t="s">
        <v>18829</v>
      </c>
    </row>
    <row r="19819" spans="6:8">
      <c r="H19819" t="s">
        <v>24178</v>
      </c>
    </row>
    <row r="19820" spans="6:8">
      <c r="H19820" t="s">
        <v>24179</v>
      </c>
    </row>
    <row r="19821" spans="6:8">
      <c r="H19821" t="s">
        <v>24180</v>
      </c>
    </row>
    <row r="19822" spans="6:8">
      <c r="H19822" t="s">
        <v>24181</v>
      </c>
    </row>
    <row r="19823" spans="6:8">
      <c r="H19823" t="s">
        <v>24182</v>
      </c>
    </row>
    <row r="19824" spans="6:8">
      <c r="H19824" t="s">
        <v>24183</v>
      </c>
    </row>
    <row r="19825" spans="6:8">
      <c r="H19825" t="s">
        <v>24184</v>
      </c>
    </row>
    <row r="19826" spans="6:8">
      <c r="H19826" t="s">
        <v>24185</v>
      </c>
    </row>
    <row r="19827" spans="6:8">
      <c r="H19827" t="s">
        <v>24186</v>
      </c>
    </row>
    <row r="19828" spans="6:8">
      <c r="F19828" t="s">
        <v>12488</v>
      </c>
      <c r="G19828" t="s">
        <v>16707</v>
      </c>
      <c r="H19828" t="s">
        <v>18829</v>
      </c>
    </row>
    <row r="19829" spans="6:8">
      <c r="H19829" t="s">
        <v>24187</v>
      </c>
    </row>
    <row r="19830" spans="6:8">
      <c r="H19830" t="s">
        <v>24188</v>
      </c>
    </row>
    <row r="19831" spans="6:8">
      <c r="H19831" t="s">
        <v>24189</v>
      </c>
    </row>
    <row r="19832" spans="6:8">
      <c r="H19832" t="s">
        <v>24190</v>
      </c>
    </row>
    <row r="19833" spans="6:8">
      <c r="H19833" t="s">
        <v>24191</v>
      </c>
    </row>
    <row r="19834" spans="6:8">
      <c r="H19834" t="s">
        <v>24192</v>
      </c>
    </row>
    <row r="19835" spans="6:8">
      <c r="H19835" t="s">
        <v>24193</v>
      </c>
    </row>
    <row r="19836" spans="6:8">
      <c r="H19836" t="s">
        <v>24194</v>
      </c>
    </row>
    <row r="19837" spans="6:8">
      <c r="H19837" t="s">
        <v>24195</v>
      </c>
    </row>
    <row r="19838" spans="6:8">
      <c r="F19838" t="s">
        <v>12489</v>
      </c>
      <c r="G19838" t="s">
        <v>16538</v>
      </c>
      <c r="H19838" t="s">
        <v>18829</v>
      </c>
    </row>
    <row r="19839" spans="6:8">
      <c r="H19839" t="s">
        <v>24196</v>
      </c>
    </row>
    <row r="19840" spans="6:8">
      <c r="H19840" t="s">
        <v>21976</v>
      </c>
    </row>
    <row r="19841" spans="6:8">
      <c r="H19841" t="s">
        <v>24197</v>
      </c>
    </row>
    <row r="19842" spans="6:8">
      <c r="H19842" t="s">
        <v>21977</v>
      </c>
    </row>
    <row r="19843" spans="6:8">
      <c r="H19843" t="s">
        <v>24198</v>
      </c>
    </row>
    <row r="19844" spans="6:8">
      <c r="H19844" t="s">
        <v>21978</v>
      </c>
    </row>
    <row r="19845" spans="6:8">
      <c r="H19845" t="s">
        <v>24199</v>
      </c>
    </row>
    <row r="19846" spans="6:8">
      <c r="H19846" t="s">
        <v>21979</v>
      </c>
    </row>
    <row r="19847" spans="6:8">
      <c r="H19847" t="s">
        <v>24200</v>
      </c>
    </row>
    <row r="19848" spans="6:8">
      <c r="F19848" t="s">
        <v>12490</v>
      </c>
      <c r="G19848" t="s">
        <v>16708</v>
      </c>
      <c r="H19848" t="s">
        <v>18829</v>
      </c>
    </row>
    <row r="19849" spans="6:8">
      <c r="H19849" t="s">
        <v>24201</v>
      </c>
    </row>
    <row r="19850" spans="6:8">
      <c r="H19850" t="s">
        <v>24202</v>
      </c>
    </row>
    <row r="19851" spans="6:8">
      <c r="H19851" t="s">
        <v>24203</v>
      </c>
    </row>
    <row r="19852" spans="6:8">
      <c r="H19852" t="s">
        <v>24204</v>
      </c>
    </row>
    <row r="19853" spans="6:8">
      <c r="H19853" t="s">
        <v>24205</v>
      </c>
    </row>
    <row r="19854" spans="6:8">
      <c r="H19854" t="s">
        <v>24206</v>
      </c>
    </row>
    <row r="19855" spans="6:8">
      <c r="H19855" t="s">
        <v>24207</v>
      </c>
    </row>
    <row r="19856" spans="6:8">
      <c r="H19856" t="s">
        <v>24208</v>
      </c>
    </row>
    <row r="19857" spans="6:8">
      <c r="H19857" t="s">
        <v>24209</v>
      </c>
    </row>
    <row r="19858" spans="6:8">
      <c r="F19858" t="s">
        <v>12491</v>
      </c>
      <c r="G19858" t="s">
        <v>16709</v>
      </c>
      <c r="H19858" t="s">
        <v>18829</v>
      </c>
    </row>
    <row r="19859" spans="6:8">
      <c r="H19859" t="s">
        <v>24210</v>
      </c>
    </row>
    <row r="19860" spans="6:8">
      <c r="H19860" t="s">
        <v>24211</v>
      </c>
    </row>
    <row r="19861" spans="6:8">
      <c r="H19861" t="s">
        <v>24212</v>
      </c>
    </row>
    <row r="19862" spans="6:8">
      <c r="H19862" t="s">
        <v>24213</v>
      </c>
    </row>
    <row r="19863" spans="6:8">
      <c r="H19863" t="s">
        <v>24214</v>
      </c>
    </row>
    <row r="19864" spans="6:8">
      <c r="H19864" t="s">
        <v>24215</v>
      </c>
    </row>
    <row r="19865" spans="6:8">
      <c r="H19865" t="s">
        <v>24216</v>
      </c>
    </row>
    <row r="19866" spans="6:8">
      <c r="H19866" t="s">
        <v>24217</v>
      </c>
    </row>
    <row r="19867" spans="6:8">
      <c r="H19867" t="s">
        <v>24218</v>
      </c>
    </row>
    <row r="19868" spans="6:8">
      <c r="H19868" t="s">
        <v>24219</v>
      </c>
    </row>
    <row r="19869" spans="6:8">
      <c r="H19869" t="s">
        <v>24220</v>
      </c>
    </row>
    <row r="19870" spans="6:8">
      <c r="H19870" t="s">
        <v>24221</v>
      </c>
    </row>
    <row r="19871" spans="6:8">
      <c r="H19871" t="s">
        <v>24222</v>
      </c>
    </row>
    <row r="19872" spans="6:8">
      <c r="H19872" t="s">
        <v>24223</v>
      </c>
    </row>
    <row r="19873" spans="8:8">
      <c r="H19873" t="s">
        <v>24224</v>
      </c>
    </row>
    <row r="19874" spans="8:8">
      <c r="H19874" t="s">
        <v>24225</v>
      </c>
    </row>
    <row r="19875" spans="8:8">
      <c r="H19875" t="s">
        <v>24226</v>
      </c>
    </row>
    <row r="19876" spans="8:8">
      <c r="H19876" t="s">
        <v>24227</v>
      </c>
    </row>
    <row r="19877" spans="8:8">
      <c r="H19877" t="s">
        <v>24228</v>
      </c>
    </row>
    <row r="19878" spans="8:8">
      <c r="H19878" t="s">
        <v>24229</v>
      </c>
    </row>
    <row r="19879" spans="8:8">
      <c r="H19879" t="s">
        <v>24230</v>
      </c>
    </row>
    <row r="19880" spans="8:8">
      <c r="H19880" t="s">
        <v>24231</v>
      </c>
    </row>
    <row r="19881" spans="8:8">
      <c r="H19881" t="s">
        <v>24232</v>
      </c>
    </row>
    <row r="19882" spans="8:8">
      <c r="H19882" t="s">
        <v>24233</v>
      </c>
    </row>
    <row r="19883" spans="8:8">
      <c r="H19883" t="s">
        <v>24234</v>
      </c>
    </row>
    <row r="19884" spans="8:8">
      <c r="H19884" t="s">
        <v>24235</v>
      </c>
    </row>
    <row r="19885" spans="8:8">
      <c r="H19885" t="s">
        <v>24236</v>
      </c>
    </row>
    <row r="19886" spans="8:8">
      <c r="H19886" t="s">
        <v>24237</v>
      </c>
    </row>
    <row r="19887" spans="8:8">
      <c r="H19887" t="s">
        <v>24238</v>
      </c>
    </row>
    <row r="19888" spans="8:8">
      <c r="H19888" t="s">
        <v>24239</v>
      </c>
    </row>
    <row r="19889" spans="8:8">
      <c r="H19889" t="s">
        <v>24240</v>
      </c>
    </row>
    <row r="19890" spans="8:8">
      <c r="H19890" t="s">
        <v>24241</v>
      </c>
    </row>
    <row r="19891" spans="8:8">
      <c r="H19891" t="s">
        <v>24242</v>
      </c>
    </row>
    <row r="19892" spans="8:8">
      <c r="H19892" t="s">
        <v>24243</v>
      </c>
    </row>
    <row r="19893" spans="8:8">
      <c r="H19893" t="s">
        <v>24244</v>
      </c>
    </row>
    <row r="19894" spans="8:8">
      <c r="H19894" t="s">
        <v>24245</v>
      </c>
    </row>
    <row r="19895" spans="8:8">
      <c r="H19895" t="s">
        <v>24246</v>
      </c>
    </row>
    <row r="19896" spans="8:8">
      <c r="H19896" t="s">
        <v>24247</v>
      </c>
    </row>
    <row r="19897" spans="8:8">
      <c r="H19897" t="s">
        <v>24248</v>
      </c>
    </row>
    <row r="19898" spans="8:8">
      <c r="H19898" t="s">
        <v>24249</v>
      </c>
    </row>
    <row r="19899" spans="8:8">
      <c r="H19899" t="s">
        <v>24250</v>
      </c>
    </row>
    <row r="19900" spans="8:8">
      <c r="H19900" t="s">
        <v>24251</v>
      </c>
    </row>
    <row r="19901" spans="8:8">
      <c r="H19901" t="s">
        <v>24252</v>
      </c>
    </row>
    <row r="19902" spans="8:8">
      <c r="H19902" t="s">
        <v>24253</v>
      </c>
    </row>
    <row r="19903" spans="8:8">
      <c r="H19903" t="s">
        <v>24254</v>
      </c>
    </row>
    <row r="19904" spans="8:8">
      <c r="H19904" t="s">
        <v>24255</v>
      </c>
    </row>
    <row r="19905" spans="8:8">
      <c r="H19905" t="s">
        <v>24256</v>
      </c>
    </row>
    <row r="19906" spans="8:8">
      <c r="H19906" t="s">
        <v>24257</v>
      </c>
    </row>
    <row r="19907" spans="8:8">
      <c r="H19907" t="s">
        <v>24258</v>
      </c>
    </row>
    <row r="19908" spans="8:8">
      <c r="H19908" t="s">
        <v>24259</v>
      </c>
    </row>
    <row r="19909" spans="8:8">
      <c r="H19909" t="s">
        <v>24260</v>
      </c>
    </row>
    <row r="19910" spans="8:8">
      <c r="H19910" t="s">
        <v>24261</v>
      </c>
    </row>
    <row r="19911" spans="8:8">
      <c r="H19911" t="s">
        <v>24262</v>
      </c>
    </row>
    <row r="19912" spans="8:8">
      <c r="H19912" t="s">
        <v>24263</v>
      </c>
    </row>
    <row r="19913" spans="8:8">
      <c r="H19913" t="s">
        <v>24264</v>
      </c>
    </row>
    <row r="19914" spans="8:8">
      <c r="H19914" t="s">
        <v>24265</v>
      </c>
    </row>
    <row r="19915" spans="8:8">
      <c r="H19915" t="s">
        <v>24266</v>
      </c>
    </row>
    <row r="19916" spans="8:8">
      <c r="H19916" t="s">
        <v>24267</v>
      </c>
    </row>
    <row r="19917" spans="8:8">
      <c r="H19917" t="s">
        <v>24268</v>
      </c>
    </row>
    <row r="19918" spans="8:8">
      <c r="H19918" t="s">
        <v>24269</v>
      </c>
    </row>
    <row r="19919" spans="8:8">
      <c r="H19919" t="s">
        <v>24270</v>
      </c>
    </row>
    <row r="19920" spans="8:8">
      <c r="H19920" t="s">
        <v>24271</v>
      </c>
    </row>
    <row r="19921" spans="6:8">
      <c r="H19921" t="s">
        <v>24272</v>
      </c>
    </row>
    <row r="19922" spans="6:8">
      <c r="H19922" t="s">
        <v>24273</v>
      </c>
    </row>
    <row r="19923" spans="6:8">
      <c r="H19923" t="s">
        <v>24274</v>
      </c>
    </row>
    <row r="19924" spans="6:8">
      <c r="H19924" t="s">
        <v>24275</v>
      </c>
    </row>
    <row r="19925" spans="6:8">
      <c r="H19925" t="s">
        <v>24276</v>
      </c>
    </row>
    <row r="19926" spans="6:8">
      <c r="H19926" t="s">
        <v>24277</v>
      </c>
    </row>
    <row r="19927" spans="6:8">
      <c r="H19927" t="s">
        <v>24278</v>
      </c>
    </row>
    <row r="19928" spans="6:8">
      <c r="H19928" t="s">
        <v>24279</v>
      </c>
    </row>
    <row r="19929" spans="6:8">
      <c r="H19929" t="s">
        <v>24280</v>
      </c>
    </row>
    <row r="19930" spans="6:8">
      <c r="H19930" t="s">
        <v>24281</v>
      </c>
    </row>
    <row r="19931" spans="6:8">
      <c r="H19931" t="s">
        <v>24282</v>
      </c>
    </row>
    <row r="19932" spans="6:8">
      <c r="F19932" t="s">
        <v>12492</v>
      </c>
      <c r="G19932" t="s">
        <v>16710</v>
      </c>
      <c r="H19932" t="s">
        <v>18829</v>
      </c>
    </row>
    <row r="19933" spans="6:8">
      <c r="H19933" t="s">
        <v>24283</v>
      </c>
    </row>
    <row r="19934" spans="6:8">
      <c r="H19934" t="s">
        <v>24284</v>
      </c>
    </row>
    <row r="19935" spans="6:8">
      <c r="H19935" t="s">
        <v>24285</v>
      </c>
    </row>
    <row r="19936" spans="6:8">
      <c r="H19936" t="s">
        <v>24286</v>
      </c>
    </row>
    <row r="19937" spans="8:8">
      <c r="H19937" t="s">
        <v>24287</v>
      </c>
    </row>
    <row r="19938" spans="8:8">
      <c r="H19938" t="s">
        <v>24288</v>
      </c>
    </row>
    <row r="19939" spans="8:8">
      <c r="H19939" t="s">
        <v>24289</v>
      </c>
    </row>
    <row r="19940" spans="8:8">
      <c r="H19940" t="s">
        <v>24290</v>
      </c>
    </row>
    <row r="19941" spans="8:8">
      <c r="H19941" t="s">
        <v>24291</v>
      </c>
    </row>
    <row r="19942" spans="8:8">
      <c r="H19942" t="s">
        <v>24292</v>
      </c>
    </row>
    <row r="19943" spans="8:8">
      <c r="H19943" t="s">
        <v>24293</v>
      </c>
    </row>
    <row r="19944" spans="8:8">
      <c r="H19944" t="s">
        <v>24294</v>
      </c>
    </row>
    <row r="19945" spans="8:8">
      <c r="H19945" t="s">
        <v>24295</v>
      </c>
    </row>
    <row r="19946" spans="8:8">
      <c r="H19946" t="s">
        <v>24296</v>
      </c>
    </row>
    <row r="19947" spans="8:8">
      <c r="H19947" t="s">
        <v>24297</v>
      </c>
    </row>
    <row r="19948" spans="8:8">
      <c r="H19948" t="s">
        <v>24298</v>
      </c>
    </row>
    <row r="19949" spans="8:8">
      <c r="H19949" t="s">
        <v>24299</v>
      </c>
    </row>
    <row r="19950" spans="8:8">
      <c r="H19950" t="s">
        <v>24300</v>
      </c>
    </row>
    <row r="19951" spans="8:8">
      <c r="H19951" t="s">
        <v>24301</v>
      </c>
    </row>
    <row r="19952" spans="8:8">
      <c r="H19952" t="s">
        <v>24302</v>
      </c>
    </row>
    <row r="19953" spans="8:8">
      <c r="H19953" t="s">
        <v>24303</v>
      </c>
    </row>
    <row r="19954" spans="8:8">
      <c r="H19954" t="s">
        <v>24304</v>
      </c>
    </row>
    <row r="19955" spans="8:8">
      <c r="H19955" t="s">
        <v>24305</v>
      </c>
    </row>
    <row r="19956" spans="8:8">
      <c r="H19956" t="s">
        <v>24306</v>
      </c>
    </row>
    <row r="19957" spans="8:8">
      <c r="H19957" t="s">
        <v>24307</v>
      </c>
    </row>
    <row r="19958" spans="8:8">
      <c r="H19958" t="s">
        <v>24308</v>
      </c>
    </row>
    <row r="19959" spans="8:8">
      <c r="H19959" t="s">
        <v>24309</v>
      </c>
    </row>
    <row r="19960" spans="8:8">
      <c r="H19960" t="s">
        <v>24310</v>
      </c>
    </row>
    <row r="19961" spans="8:8">
      <c r="H19961" t="s">
        <v>24311</v>
      </c>
    </row>
    <row r="19962" spans="8:8">
      <c r="H19962" t="s">
        <v>24312</v>
      </c>
    </row>
    <row r="19963" spans="8:8">
      <c r="H19963" t="s">
        <v>24313</v>
      </c>
    </row>
    <row r="19964" spans="8:8">
      <c r="H19964" t="s">
        <v>24314</v>
      </c>
    </row>
    <row r="19965" spans="8:8">
      <c r="H19965" t="s">
        <v>24315</v>
      </c>
    </row>
    <row r="19966" spans="8:8">
      <c r="H19966" t="s">
        <v>24316</v>
      </c>
    </row>
    <row r="19967" spans="8:8">
      <c r="H19967" t="s">
        <v>24317</v>
      </c>
    </row>
    <row r="19968" spans="8:8">
      <c r="H19968" t="s">
        <v>24318</v>
      </c>
    </row>
    <row r="19969" spans="8:8">
      <c r="H19969" t="s">
        <v>24319</v>
      </c>
    </row>
    <row r="19970" spans="8:8">
      <c r="H19970" t="s">
        <v>24320</v>
      </c>
    </row>
    <row r="19971" spans="8:8">
      <c r="H19971" t="s">
        <v>24321</v>
      </c>
    </row>
    <row r="19972" spans="8:8">
      <c r="H19972" t="s">
        <v>24322</v>
      </c>
    </row>
    <row r="19973" spans="8:8">
      <c r="H19973" t="s">
        <v>24323</v>
      </c>
    </row>
    <row r="19974" spans="8:8">
      <c r="H19974" t="s">
        <v>24324</v>
      </c>
    </row>
    <row r="19975" spans="8:8">
      <c r="H19975" t="s">
        <v>24325</v>
      </c>
    </row>
    <row r="19976" spans="8:8">
      <c r="H19976" t="s">
        <v>24326</v>
      </c>
    </row>
    <row r="19977" spans="8:8">
      <c r="H19977" t="s">
        <v>24327</v>
      </c>
    </row>
    <row r="19978" spans="8:8">
      <c r="H19978" t="s">
        <v>24328</v>
      </c>
    </row>
    <row r="19979" spans="8:8">
      <c r="H19979" t="s">
        <v>24329</v>
      </c>
    </row>
    <row r="19980" spans="8:8">
      <c r="H19980" t="s">
        <v>24330</v>
      </c>
    </row>
    <row r="19981" spans="8:8">
      <c r="H19981" t="s">
        <v>24331</v>
      </c>
    </row>
    <row r="19982" spans="8:8">
      <c r="H19982" t="s">
        <v>24332</v>
      </c>
    </row>
    <row r="19983" spans="8:8">
      <c r="H19983" t="s">
        <v>24333</v>
      </c>
    </row>
    <row r="19984" spans="8:8">
      <c r="H19984" t="s">
        <v>24334</v>
      </c>
    </row>
    <row r="19985" spans="8:8">
      <c r="H19985" t="s">
        <v>24335</v>
      </c>
    </row>
    <row r="19986" spans="8:8">
      <c r="H19986" t="s">
        <v>24336</v>
      </c>
    </row>
    <row r="19987" spans="8:8">
      <c r="H19987" t="s">
        <v>24337</v>
      </c>
    </row>
    <row r="19988" spans="8:8">
      <c r="H19988" t="s">
        <v>24338</v>
      </c>
    </row>
    <row r="19989" spans="8:8">
      <c r="H19989" t="s">
        <v>24339</v>
      </c>
    </row>
    <row r="19990" spans="8:8">
      <c r="H19990" t="s">
        <v>24340</v>
      </c>
    </row>
    <row r="19991" spans="8:8">
      <c r="H19991" t="s">
        <v>24341</v>
      </c>
    </row>
    <row r="19992" spans="8:8">
      <c r="H19992" t="s">
        <v>24342</v>
      </c>
    </row>
    <row r="19993" spans="8:8">
      <c r="H19993" t="s">
        <v>24343</v>
      </c>
    </row>
    <row r="19994" spans="8:8">
      <c r="H19994" t="s">
        <v>24344</v>
      </c>
    </row>
    <row r="19995" spans="8:8">
      <c r="H19995" t="s">
        <v>24345</v>
      </c>
    </row>
    <row r="19996" spans="8:8">
      <c r="H19996" t="s">
        <v>24346</v>
      </c>
    </row>
    <row r="19997" spans="8:8">
      <c r="H19997" t="s">
        <v>24347</v>
      </c>
    </row>
    <row r="19998" spans="8:8">
      <c r="H19998" t="s">
        <v>24348</v>
      </c>
    </row>
    <row r="19999" spans="8:8">
      <c r="H19999" t="s">
        <v>24349</v>
      </c>
    </row>
    <row r="20000" spans="8:8">
      <c r="H20000" t="s">
        <v>24350</v>
      </c>
    </row>
    <row r="20001" spans="6:8">
      <c r="H20001" t="s">
        <v>24351</v>
      </c>
    </row>
    <row r="20002" spans="6:8">
      <c r="H20002" t="s">
        <v>24352</v>
      </c>
    </row>
    <row r="20003" spans="6:8">
      <c r="H20003" t="s">
        <v>24353</v>
      </c>
    </row>
    <row r="20004" spans="6:8">
      <c r="H20004" t="s">
        <v>24354</v>
      </c>
    </row>
    <row r="20005" spans="6:8">
      <c r="H20005" t="s">
        <v>24355</v>
      </c>
    </row>
    <row r="20006" spans="6:8">
      <c r="F20006" t="s">
        <v>12493</v>
      </c>
      <c r="G20006" t="s">
        <v>16711</v>
      </c>
      <c r="H20006" t="s">
        <v>18829</v>
      </c>
    </row>
    <row r="20007" spans="6:8">
      <c r="H20007" t="s">
        <v>24356</v>
      </c>
    </row>
    <row r="20008" spans="6:8">
      <c r="H20008" t="s">
        <v>24357</v>
      </c>
    </row>
    <row r="20009" spans="6:8">
      <c r="H20009" t="s">
        <v>24358</v>
      </c>
    </row>
    <row r="20010" spans="6:8">
      <c r="H20010" t="s">
        <v>24359</v>
      </c>
    </row>
    <row r="20011" spans="6:8">
      <c r="H20011" t="s">
        <v>24360</v>
      </c>
    </row>
    <row r="20012" spans="6:8">
      <c r="H20012" t="s">
        <v>24361</v>
      </c>
    </row>
    <row r="20013" spans="6:8">
      <c r="H20013" t="s">
        <v>24362</v>
      </c>
    </row>
    <row r="20014" spans="6:8">
      <c r="H20014" t="s">
        <v>24363</v>
      </c>
    </row>
    <row r="20015" spans="6:8">
      <c r="H20015" t="s">
        <v>24364</v>
      </c>
    </row>
    <row r="20016" spans="6:8">
      <c r="H20016" t="s">
        <v>24365</v>
      </c>
    </row>
    <row r="20017" spans="6:8">
      <c r="H20017" t="s">
        <v>24366</v>
      </c>
    </row>
    <row r="20018" spans="6:8">
      <c r="H20018" t="s">
        <v>24367</v>
      </c>
    </row>
    <row r="20019" spans="6:8">
      <c r="H20019" t="s">
        <v>24368</v>
      </c>
    </row>
    <row r="20020" spans="6:8">
      <c r="H20020" t="s">
        <v>24369</v>
      </c>
    </row>
    <row r="20021" spans="6:8">
      <c r="H20021" t="s">
        <v>24370</v>
      </c>
    </row>
    <row r="20022" spans="6:8">
      <c r="F20022" t="s">
        <v>12494</v>
      </c>
      <c r="G20022" t="s">
        <v>16712</v>
      </c>
      <c r="H20022" t="s">
        <v>18829</v>
      </c>
    </row>
    <row r="20023" spans="6:8">
      <c r="H20023" t="s">
        <v>24371</v>
      </c>
    </row>
    <row r="20024" spans="6:8">
      <c r="H20024" t="s">
        <v>24372</v>
      </c>
    </row>
    <row r="20025" spans="6:8">
      <c r="H20025" t="s">
        <v>24373</v>
      </c>
    </row>
    <row r="20026" spans="6:8">
      <c r="H20026" t="s">
        <v>24374</v>
      </c>
    </row>
    <row r="20027" spans="6:8">
      <c r="H20027" t="s">
        <v>24375</v>
      </c>
    </row>
    <row r="20028" spans="6:8">
      <c r="H20028" t="s">
        <v>24376</v>
      </c>
    </row>
    <row r="20029" spans="6:8">
      <c r="H20029" t="s">
        <v>24377</v>
      </c>
    </row>
    <row r="20030" spans="6:8">
      <c r="H20030" t="s">
        <v>24378</v>
      </c>
    </row>
    <row r="20031" spans="6:8">
      <c r="H20031" t="s">
        <v>24379</v>
      </c>
    </row>
    <row r="20032" spans="6:8">
      <c r="F20032" t="s">
        <v>12495</v>
      </c>
      <c r="G20032" t="s">
        <v>16713</v>
      </c>
      <c r="H20032" t="s">
        <v>18829</v>
      </c>
    </row>
    <row r="20033" spans="6:8">
      <c r="H20033" t="s">
        <v>24380</v>
      </c>
    </row>
    <row r="20034" spans="6:8">
      <c r="H20034" t="s">
        <v>24381</v>
      </c>
    </row>
    <row r="20035" spans="6:8">
      <c r="H20035" t="s">
        <v>24382</v>
      </c>
    </row>
    <row r="20036" spans="6:8">
      <c r="F20036" t="s">
        <v>12496</v>
      </c>
      <c r="G20036" t="s">
        <v>16714</v>
      </c>
      <c r="H20036" t="s">
        <v>18829</v>
      </c>
    </row>
    <row r="20037" spans="6:8">
      <c r="H20037" t="s">
        <v>24383</v>
      </c>
    </row>
    <row r="20038" spans="6:8">
      <c r="H20038" t="s">
        <v>24384</v>
      </c>
    </row>
    <row r="20039" spans="6:8">
      <c r="H20039" t="s">
        <v>24385</v>
      </c>
    </row>
    <row r="20040" spans="6:8">
      <c r="H20040" t="s">
        <v>24386</v>
      </c>
    </row>
    <row r="20041" spans="6:8">
      <c r="H20041" t="s">
        <v>24387</v>
      </c>
    </row>
    <row r="20042" spans="6:8">
      <c r="H20042" t="s">
        <v>24388</v>
      </c>
    </row>
    <row r="20043" spans="6:8">
      <c r="H20043" t="s">
        <v>24389</v>
      </c>
    </row>
    <row r="20044" spans="6:8">
      <c r="H20044" t="s">
        <v>24390</v>
      </c>
    </row>
    <row r="20045" spans="6:8">
      <c r="H20045" t="s">
        <v>24391</v>
      </c>
    </row>
    <row r="20046" spans="6:8">
      <c r="F20046" t="s">
        <v>12497</v>
      </c>
      <c r="G20046" t="s">
        <v>16715</v>
      </c>
      <c r="H20046" t="s">
        <v>18829</v>
      </c>
    </row>
    <row r="20047" spans="6:8">
      <c r="H20047" t="s">
        <v>24392</v>
      </c>
    </row>
    <row r="20048" spans="6:8">
      <c r="H20048" t="s">
        <v>24393</v>
      </c>
    </row>
    <row r="20049" spans="6:8">
      <c r="H20049" t="s">
        <v>24394</v>
      </c>
    </row>
    <row r="20050" spans="6:8">
      <c r="H20050" t="s">
        <v>24395</v>
      </c>
    </row>
    <row r="20051" spans="6:8">
      <c r="H20051" t="s">
        <v>24396</v>
      </c>
    </row>
    <row r="20052" spans="6:8">
      <c r="H20052" t="s">
        <v>24397</v>
      </c>
    </row>
    <row r="20053" spans="6:8">
      <c r="H20053" t="s">
        <v>24398</v>
      </c>
    </row>
    <row r="20054" spans="6:8">
      <c r="H20054" t="s">
        <v>24399</v>
      </c>
    </row>
    <row r="20055" spans="6:8">
      <c r="H20055" t="s">
        <v>24400</v>
      </c>
    </row>
    <row r="20056" spans="6:8">
      <c r="F20056" t="s">
        <v>12498</v>
      </c>
      <c r="G20056" t="s">
        <v>16716</v>
      </c>
      <c r="H20056" t="s">
        <v>18829</v>
      </c>
    </row>
    <row r="20057" spans="6:8">
      <c r="H20057" t="s">
        <v>24401</v>
      </c>
    </row>
    <row r="20058" spans="6:8">
      <c r="H20058" t="s">
        <v>24402</v>
      </c>
    </row>
    <row r="20059" spans="6:8">
      <c r="H20059" t="s">
        <v>24403</v>
      </c>
    </row>
    <row r="20060" spans="6:8">
      <c r="H20060" t="s">
        <v>24404</v>
      </c>
    </row>
    <row r="20061" spans="6:8">
      <c r="H20061" t="s">
        <v>24405</v>
      </c>
    </row>
    <row r="20062" spans="6:8">
      <c r="H20062" t="s">
        <v>24406</v>
      </c>
    </row>
    <row r="20063" spans="6:8">
      <c r="H20063" t="s">
        <v>24407</v>
      </c>
    </row>
    <row r="20064" spans="6:8">
      <c r="H20064" t="s">
        <v>24408</v>
      </c>
    </row>
    <row r="20065" spans="6:8">
      <c r="H20065" t="s">
        <v>24409</v>
      </c>
    </row>
    <row r="20066" spans="6:8">
      <c r="F20066" t="s">
        <v>12499</v>
      </c>
      <c r="G20066" t="s">
        <v>16717</v>
      </c>
      <c r="H20066" t="s">
        <v>18829</v>
      </c>
    </row>
    <row r="20067" spans="6:8">
      <c r="H20067" t="s">
        <v>24410</v>
      </c>
    </row>
    <row r="20068" spans="6:8">
      <c r="H20068" t="s">
        <v>24411</v>
      </c>
    </row>
    <row r="20069" spans="6:8">
      <c r="H20069" t="s">
        <v>24412</v>
      </c>
    </row>
    <row r="20070" spans="6:8">
      <c r="H20070" t="s">
        <v>24413</v>
      </c>
    </row>
    <row r="20071" spans="6:8">
      <c r="H20071" t="s">
        <v>24414</v>
      </c>
    </row>
    <row r="20072" spans="6:8">
      <c r="H20072" t="s">
        <v>24415</v>
      </c>
    </row>
    <row r="20073" spans="6:8">
      <c r="H20073" t="s">
        <v>24416</v>
      </c>
    </row>
    <row r="20074" spans="6:8">
      <c r="H20074" t="s">
        <v>24417</v>
      </c>
    </row>
    <row r="20075" spans="6:8">
      <c r="H20075" t="s">
        <v>24418</v>
      </c>
    </row>
    <row r="20076" spans="6:8">
      <c r="F20076" t="s">
        <v>12500</v>
      </c>
      <c r="G20076" t="s">
        <v>16718</v>
      </c>
      <c r="H20076" t="s">
        <v>18829</v>
      </c>
    </row>
    <row r="20077" spans="6:8">
      <c r="H20077" t="s">
        <v>24419</v>
      </c>
    </row>
    <row r="20078" spans="6:8">
      <c r="H20078" t="s">
        <v>24420</v>
      </c>
    </row>
    <row r="20079" spans="6:8">
      <c r="H20079" t="s">
        <v>24421</v>
      </c>
    </row>
    <row r="20080" spans="6:8">
      <c r="H20080" t="s">
        <v>24422</v>
      </c>
    </row>
    <row r="20081" spans="6:8">
      <c r="H20081" t="s">
        <v>24423</v>
      </c>
    </row>
    <row r="20082" spans="6:8">
      <c r="H20082" t="s">
        <v>24424</v>
      </c>
    </row>
    <row r="20083" spans="6:8">
      <c r="H20083" t="s">
        <v>24425</v>
      </c>
    </row>
    <row r="20084" spans="6:8">
      <c r="H20084" t="s">
        <v>24426</v>
      </c>
    </row>
    <row r="20085" spans="6:8">
      <c r="H20085" t="s">
        <v>24427</v>
      </c>
    </row>
    <row r="20086" spans="6:8">
      <c r="F20086" t="s">
        <v>12501</v>
      </c>
      <c r="G20086" t="s">
        <v>16719</v>
      </c>
      <c r="H20086" t="s">
        <v>18829</v>
      </c>
    </row>
    <row r="20087" spans="6:8">
      <c r="H20087" t="s">
        <v>24428</v>
      </c>
    </row>
    <row r="20088" spans="6:8">
      <c r="H20088" t="s">
        <v>24429</v>
      </c>
    </row>
    <row r="20089" spans="6:8">
      <c r="H20089" t="s">
        <v>24430</v>
      </c>
    </row>
    <row r="20090" spans="6:8">
      <c r="H20090" t="s">
        <v>24431</v>
      </c>
    </row>
    <row r="20091" spans="6:8">
      <c r="H20091" t="s">
        <v>24432</v>
      </c>
    </row>
    <row r="20092" spans="6:8">
      <c r="H20092" t="s">
        <v>24433</v>
      </c>
    </row>
    <row r="20093" spans="6:8">
      <c r="H20093" t="s">
        <v>24434</v>
      </c>
    </row>
    <row r="20094" spans="6:8">
      <c r="H20094" t="s">
        <v>24435</v>
      </c>
    </row>
    <row r="20095" spans="6:8">
      <c r="H20095" t="s">
        <v>24436</v>
      </c>
    </row>
    <row r="20096" spans="6:8">
      <c r="F20096" t="s">
        <v>12502</v>
      </c>
      <c r="G20096" t="s">
        <v>16720</v>
      </c>
      <c r="H20096" t="s">
        <v>18829</v>
      </c>
    </row>
    <row r="20097" spans="6:8">
      <c r="H20097" t="s">
        <v>24437</v>
      </c>
    </row>
    <row r="20098" spans="6:8">
      <c r="H20098" t="s">
        <v>24438</v>
      </c>
    </row>
    <row r="20099" spans="6:8">
      <c r="H20099" t="s">
        <v>24439</v>
      </c>
    </row>
    <row r="20100" spans="6:8">
      <c r="H20100" t="s">
        <v>24440</v>
      </c>
    </row>
    <row r="20101" spans="6:8">
      <c r="H20101" t="s">
        <v>24441</v>
      </c>
    </row>
    <row r="20102" spans="6:8">
      <c r="H20102" t="s">
        <v>24442</v>
      </c>
    </row>
    <row r="20103" spans="6:8">
      <c r="H20103" t="s">
        <v>24443</v>
      </c>
    </row>
    <row r="20104" spans="6:8">
      <c r="H20104" t="s">
        <v>24444</v>
      </c>
    </row>
    <row r="20105" spans="6:8">
      <c r="H20105" t="s">
        <v>24445</v>
      </c>
    </row>
    <row r="20106" spans="6:8">
      <c r="F20106" t="s">
        <v>12503</v>
      </c>
      <c r="G20106" t="s">
        <v>16721</v>
      </c>
      <c r="H20106" t="s">
        <v>18829</v>
      </c>
    </row>
    <row r="20107" spans="6:8">
      <c r="H20107" t="s">
        <v>24446</v>
      </c>
    </row>
    <row r="20108" spans="6:8">
      <c r="H20108" t="s">
        <v>24447</v>
      </c>
    </row>
    <row r="20109" spans="6:8">
      <c r="H20109" t="s">
        <v>24448</v>
      </c>
    </row>
    <row r="20110" spans="6:8">
      <c r="H20110" t="s">
        <v>24449</v>
      </c>
    </row>
    <row r="20111" spans="6:8">
      <c r="H20111" t="s">
        <v>24450</v>
      </c>
    </row>
    <row r="20112" spans="6:8">
      <c r="H20112" t="s">
        <v>24451</v>
      </c>
    </row>
    <row r="20113" spans="6:8">
      <c r="H20113" t="s">
        <v>24452</v>
      </c>
    </row>
    <row r="20114" spans="6:8">
      <c r="H20114" t="s">
        <v>24453</v>
      </c>
    </row>
    <row r="20115" spans="6:8">
      <c r="H20115" t="s">
        <v>24454</v>
      </c>
    </row>
    <row r="20116" spans="6:8">
      <c r="F20116" t="s">
        <v>12504</v>
      </c>
      <c r="G20116" t="s">
        <v>16722</v>
      </c>
      <c r="H20116" t="s">
        <v>18829</v>
      </c>
    </row>
    <row r="20117" spans="6:8">
      <c r="H20117" t="s">
        <v>24455</v>
      </c>
    </row>
    <row r="20118" spans="6:8">
      <c r="H20118" t="s">
        <v>24456</v>
      </c>
    </row>
    <row r="20119" spans="6:8">
      <c r="H20119" t="s">
        <v>24457</v>
      </c>
    </row>
    <row r="20120" spans="6:8">
      <c r="H20120" t="s">
        <v>24458</v>
      </c>
    </row>
    <row r="20121" spans="6:8">
      <c r="H20121" t="s">
        <v>24459</v>
      </c>
    </row>
    <row r="20122" spans="6:8">
      <c r="H20122" t="s">
        <v>24460</v>
      </c>
    </row>
    <row r="20123" spans="6:8">
      <c r="H20123" t="s">
        <v>24461</v>
      </c>
    </row>
    <row r="20124" spans="6:8">
      <c r="H20124" t="s">
        <v>24462</v>
      </c>
    </row>
    <row r="20125" spans="6:8">
      <c r="H20125" t="s">
        <v>24463</v>
      </c>
    </row>
    <row r="20126" spans="6:8">
      <c r="F20126" t="s">
        <v>12505</v>
      </c>
      <c r="G20126" t="s">
        <v>16723</v>
      </c>
      <c r="H20126" t="s">
        <v>18829</v>
      </c>
    </row>
    <row r="20127" spans="6:8">
      <c r="H20127" t="s">
        <v>24464</v>
      </c>
    </row>
    <row r="20128" spans="6:8">
      <c r="H20128" t="s">
        <v>24465</v>
      </c>
    </row>
    <row r="20129" spans="6:8">
      <c r="H20129" t="s">
        <v>24466</v>
      </c>
    </row>
    <row r="20130" spans="6:8">
      <c r="H20130" t="s">
        <v>24467</v>
      </c>
    </row>
    <row r="20131" spans="6:8">
      <c r="H20131" t="s">
        <v>24468</v>
      </c>
    </row>
    <row r="20132" spans="6:8">
      <c r="H20132" t="s">
        <v>24469</v>
      </c>
    </row>
    <row r="20133" spans="6:8">
      <c r="H20133" t="s">
        <v>24470</v>
      </c>
    </row>
    <row r="20134" spans="6:8">
      <c r="H20134" t="s">
        <v>24471</v>
      </c>
    </row>
    <row r="20135" spans="6:8">
      <c r="H20135" t="s">
        <v>24472</v>
      </c>
    </row>
    <row r="20136" spans="6:8">
      <c r="F20136" t="s">
        <v>12506</v>
      </c>
      <c r="G20136" t="s">
        <v>16724</v>
      </c>
      <c r="H20136" t="s">
        <v>18829</v>
      </c>
    </row>
    <row r="20137" spans="6:8">
      <c r="H20137" t="s">
        <v>24473</v>
      </c>
    </row>
    <row r="20138" spans="6:8">
      <c r="H20138" t="s">
        <v>24474</v>
      </c>
    </row>
    <row r="20139" spans="6:8">
      <c r="H20139" t="s">
        <v>24475</v>
      </c>
    </row>
    <row r="20140" spans="6:8">
      <c r="H20140" t="s">
        <v>24476</v>
      </c>
    </row>
    <row r="20141" spans="6:8">
      <c r="H20141" t="s">
        <v>24477</v>
      </c>
    </row>
    <row r="20142" spans="6:8">
      <c r="H20142" t="s">
        <v>24478</v>
      </c>
    </row>
    <row r="20143" spans="6:8">
      <c r="H20143" t="s">
        <v>24479</v>
      </c>
    </row>
    <row r="20144" spans="6:8">
      <c r="H20144" t="s">
        <v>24480</v>
      </c>
    </row>
    <row r="20145" spans="6:8">
      <c r="H20145" t="s">
        <v>24481</v>
      </c>
    </row>
    <row r="20146" spans="6:8">
      <c r="F20146" t="s">
        <v>12507</v>
      </c>
      <c r="G20146" t="s">
        <v>16725</v>
      </c>
      <c r="H20146" t="s">
        <v>18829</v>
      </c>
    </row>
    <row r="20147" spans="6:8">
      <c r="H20147" t="s">
        <v>24482</v>
      </c>
    </row>
    <row r="20148" spans="6:8">
      <c r="H20148" t="s">
        <v>24483</v>
      </c>
    </row>
    <row r="20149" spans="6:8">
      <c r="H20149" t="s">
        <v>24484</v>
      </c>
    </row>
    <row r="20150" spans="6:8">
      <c r="H20150" t="s">
        <v>24485</v>
      </c>
    </row>
    <row r="20151" spans="6:8">
      <c r="H20151" t="s">
        <v>24486</v>
      </c>
    </row>
    <row r="20152" spans="6:8">
      <c r="H20152" t="s">
        <v>24487</v>
      </c>
    </row>
    <row r="20153" spans="6:8">
      <c r="H20153" t="s">
        <v>24488</v>
      </c>
    </row>
    <row r="20154" spans="6:8">
      <c r="H20154" t="s">
        <v>24489</v>
      </c>
    </row>
    <row r="20155" spans="6:8">
      <c r="H20155" t="s">
        <v>24490</v>
      </c>
    </row>
    <row r="20156" spans="6:8">
      <c r="F20156" t="s">
        <v>12508</v>
      </c>
      <c r="G20156" t="s">
        <v>16726</v>
      </c>
      <c r="H20156" t="s">
        <v>18829</v>
      </c>
    </row>
    <row r="20157" spans="6:8">
      <c r="H20157" t="s">
        <v>24491</v>
      </c>
    </row>
    <row r="20158" spans="6:8">
      <c r="H20158" t="s">
        <v>24492</v>
      </c>
    </row>
    <row r="20159" spans="6:8">
      <c r="H20159" t="s">
        <v>24493</v>
      </c>
    </row>
    <row r="20160" spans="6:8">
      <c r="H20160" t="s">
        <v>24494</v>
      </c>
    </row>
    <row r="20161" spans="6:8">
      <c r="H20161" t="s">
        <v>24495</v>
      </c>
    </row>
    <row r="20162" spans="6:8">
      <c r="H20162" t="s">
        <v>24496</v>
      </c>
    </row>
    <row r="20163" spans="6:8">
      <c r="H20163" t="s">
        <v>24497</v>
      </c>
    </row>
    <row r="20164" spans="6:8">
      <c r="H20164" t="s">
        <v>24498</v>
      </c>
    </row>
    <row r="20165" spans="6:8">
      <c r="H20165" t="s">
        <v>24499</v>
      </c>
    </row>
    <row r="20166" spans="6:8">
      <c r="F20166" t="s">
        <v>12509</v>
      </c>
      <c r="G20166" t="s">
        <v>16727</v>
      </c>
      <c r="H20166" t="s">
        <v>18829</v>
      </c>
    </row>
    <row r="20167" spans="6:8">
      <c r="H20167" t="s">
        <v>24500</v>
      </c>
    </row>
    <row r="20168" spans="6:8">
      <c r="H20168" t="s">
        <v>24501</v>
      </c>
    </row>
    <row r="20169" spans="6:8">
      <c r="H20169" t="s">
        <v>24502</v>
      </c>
    </row>
    <row r="20170" spans="6:8">
      <c r="H20170" t="s">
        <v>24503</v>
      </c>
    </row>
    <row r="20171" spans="6:8">
      <c r="H20171" t="s">
        <v>24504</v>
      </c>
    </row>
    <row r="20172" spans="6:8">
      <c r="H20172" t="s">
        <v>24505</v>
      </c>
    </row>
    <row r="20173" spans="6:8">
      <c r="H20173" t="s">
        <v>24506</v>
      </c>
    </row>
    <row r="20174" spans="6:8">
      <c r="H20174" t="s">
        <v>24507</v>
      </c>
    </row>
    <row r="20175" spans="6:8">
      <c r="H20175" t="s">
        <v>24508</v>
      </c>
    </row>
    <row r="20176" spans="6:8">
      <c r="F20176" t="s">
        <v>12510</v>
      </c>
      <c r="G20176" t="s">
        <v>16728</v>
      </c>
      <c r="H20176" t="s">
        <v>18829</v>
      </c>
    </row>
    <row r="20177" spans="6:8">
      <c r="H20177" t="s">
        <v>24509</v>
      </c>
    </row>
    <row r="20178" spans="6:8">
      <c r="H20178" t="s">
        <v>24510</v>
      </c>
    </row>
    <row r="20179" spans="6:8">
      <c r="H20179" t="s">
        <v>24511</v>
      </c>
    </row>
    <row r="20180" spans="6:8">
      <c r="H20180" t="s">
        <v>24512</v>
      </c>
    </row>
    <row r="20181" spans="6:8">
      <c r="H20181" t="s">
        <v>24513</v>
      </c>
    </row>
    <row r="20182" spans="6:8">
      <c r="H20182" t="s">
        <v>24514</v>
      </c>
    </row>
    <row r="20183" spans="6:8">
      <c r="H20183" t="s">
        <v>24515</v>
      </c>
    </row>
    <row r="20184" spans="6:8">
      <c r="H20184" t="s">
        <v>24516</v>
      </c>
    </row>
    <row r="20185" spans="6:8">
      <c r="H20185" t="s">
        <v>24517</v>
      </c>
    </row>
    <row r="20186" spans="6:8">
      <c r="F20186" t="s">
        <v>12511</v>
      </c>
      <c r="G20186" t="s">
        <v>16729</v>
      </c>
      <c r="H20186" t="s">
        <v>18829</v>
      </c>
    </row>
    <row r="20187" spans="6:8">
      <c r="H20187" t="s">
        <v>24518</v>
      </c>
    </row>
    <row r="20188" spans="6:8">
      <c r="H20188" t="s">
        <v>24519</v>
      </c>
    </row>
    <row r="20189" spans="6:8">
      <c r="H20189" t="s">
        <v>24520</v>
      </c>
    </row>
    <row r="20190" spans="6:8">
      <c r="H20190" t="s">
        <v>24521</v>
      </c>
    </row>
    <row r="20191" spans="6:8">
      <c r="H20191" t="s">
        <v>24522</v>
      </c>
    </row>
    <row r="20192" spans="6:8">
      <c r="H20192" t="s">
        <v>24523</v>
      </c>
    </row>
    <row r="20193" spans="6:8">
      <c r="H20193" t="s">
        <v>24524</v>
      </c>
    </row>
    <row r="20194" spans="6:8">
      <c r="H20194" t="s">
        <v>24525</v>
      </c>
    </row>
    <row r="20195" spans="6:8">
      <c r="H20195" t="s">
        <v>24526</v>
      </c>
    </row>
    <row r="20196" spans="6:8">
      <c r="F20196" t="s">
        <v>12512</v>
      </c>
      <c r="G20196" t="s">
        <v>16730</v>
      </c>
      <c r="H20196" t="s">
        <v>18829</v>
      </c>
    </row>
    <row r="20197" spans="6:8">
      <c r="H20197" t="s">
        <v>24527</v>
      </c>
    </row>
    <row r="20198" spans="6:8">
      <c r="H20198" t="s">
        <v>24528</v>
      </c>
    </row>
    <row r="20199" spans="6:8">
      <c r="H20199" t="s">
        <v>24529</v>
      </c>
    </row>
    <row r="20200" spans="6:8">
      <c r="H20200" t="s">
        <v>24530</v>
      </c>
    </row>
    <row r="20201" spans="6:8">
      <c r="H20201" t="s">
        <v>24531</v>
      </c>
    </row>
    <row r="20202" spans="6:8">
      <c r="H20202" t="s">
        <v>24532</v>
      </c>
    </row>
    <row r="20203" spans="6:8">
      <c r="H20203" t="s">
        <v>24533</v>
      </c>
    </row>
    <row r="20204" spans="6:8">
      <c r="H20204" t="s">
        <v>24534</v>
      </c>
    </row>
    <row r="20205" spans="6:8">
      <c r="H20205" t="s">
        <v>24535</v>
      </c>
    </row>
    <row r="20206" spans="6:8">
      <c r="F20206" t="s">
        <v>12513</v>
      </c>
      <c r="G20206" t="s">
        <v>16731</v>
      </c>
      <c r="H20206" t="s">
        <v>18829</v>
      </c>
    </row>
    <row r="20207" spans="6:8">
      <c r="H20207" t="s">
        <v>24536</v>
      </c>
    </row>
    <row r="20208" spans="6:8">
      <c r="H20208" t="s">
        <v>24537</v>
      </c>
    </row>
    <row r="20209" spans="6:8">
      <c r="H20209" t="s">
        <v>24538</v>
      </c>
    </row>
    <row r="20210" spans="6:8">
      <c r="H20210" t="s">
        <v>24539</v>
      </c>
    </row>
    <row r="20211" spans="6:8">
      <c r="H20211" t="s">
        <v>24540</v>
      </c>
    </row>
    <row r="20212" spans="6:8">
      <c r="H20212" t="s">
        <v>24541</v>
      </c>
    </row>
    <row r="20213" spans="6:8">
      <c r="H20213" t="s">
        <v>24542</v>
      </c>
    </row>
    <row r="20214" spans="6:8">
      <c r="H20214" t="s">
        <v>24543</v>
      </c>
    </row>
    <row r="20215" spans="6:8">
      <c r="H20215" t="s">
        <v>24544</v>
      </c>
    </row>
    <row r="20216" spans="6:8">
      <c r="F20216" t="s">
        <v>12514</v>
      </c>
      <c r="G20216" t="s">
        <v>16732</v>
      </c>
      <c r="H20216" t="s">
        <v>18829</v>
      </c>
    </row>
    <row r="20217" spans="6:8">
      <c r="H20217" t="s">
        <v>24545</v>
      </c>
    </row>
    <row r="20218" spans="6:8">
      <c r="H20218" t="s">
        <v>24546</v>
      </c>
    </row>
    <row r="20219" spans="6:8">
      <c r="H20219" t="s">
        <v>24547</v>
      </c>
    </row>
    <row r="20220" spans="6:8">
      <c r="H20220" t="s">
        <v>24548</v>
      </c>
    </row>
    <row r="20221" spans="6:8">
      <c r="H20221" t="s">
        <v>24549</v>
      </c>
    </row>
    <row r="20222" spans="6:8">
      <c r="H20222" t="s">
        <v>24550</v>
      </c>
    </row>
    <row r="20223" spans="6:8">
      <c r="H20223" t="s">
        <v>24551</v>
      </c>
    </row>
    <row r="20224" spans="6:8">
      <c r="H20224" t="s">
        <v>24552</v>
      </c>
    </row>
    <row r="20225" spans="6:8">
      <c r="H20225" t="s">
        <v>24553</v>
      </c>
    </row>
    <row r="20226" spans="6:8">
      <c r="F20226" t="s">
        <v>12515</v>
      </c>
      <c r="G20226" t="s">
        <v>16733</v>
      </c>
      <c r="H20226" t="s">
        <v>18829</v>
      </c>
    </row>
    <row r="20227" spans="6:8">
      <c r="H20227" t="s">
        <v>24554</v>
      </c>
    </row>
    <row r="20228" spans="6:8">
      <c r="H20228" t="s">
        <v>24555</v>
      </c>
    </row>
    <row r="20229" spans="6:8">
      <c r="H20229" t="s">
        <v>24556</v>
      </c>
    </row>
    <row r="20230" spans="6:8">
      <c r="H20230" t="s">
        <v>24557</v>
      </c>
    </row>
    <row r="20231" spans="6:8">
      <c r="H20231" t="s">
        <v>24558</v>
      </c>
    </row>
    <row r="20232" spans="6:8">
      <c r="H20232" t="s">
        <v>24559</v>
      </c>
    </row>
    <row r="20233" spans="6:8">
      <c r="H20233" t="s">
        <v>24560</v>
      </c>
    </row>
    <row r="20234" spans="6:8">
      <c r="H20234" t="s">
        <v>24561</v>
      </c>
    </row>
    <row r="20235" spans="6:8">
      <c r="H20235" t="s">
        <v>24562</v>
      </c>
    </row>
    <row r="20236" spans="6:8">
      <c r="F20236" t="s">
        <v>12516</v>
      </c>
      <c r="G20236" t="s">
        <v>16734</v>
      </c>
      <c r="H20236" t="s">
        <v>18829</v>
      </c>
    </row>
    <row r="20237" spans="6:8">
      <c r="H20237" t="s">
        <v>24563</v>
      </c>
    </row>
    <row r="20238" spans="6:8">
      <c r="H20238" t="s">
        <v>24564</v>
      </c>
    </row>
    <row r="20239" spans="6:8">
      <c r="H20239" t="s">
        <v>24565</v>
      </c>
    </row>
    <row r="20240" spans="6:8">
      <c r="H20240" t="s">
        <v>24566</v>
      </c>
    </row>
    <row r="20241" spans="6:8">
      <c r="H20241" t="s">
        <v>24567</v>
      </c>
    </row>
    <row r="20242" spans="6:8">
      <c r="H20242" t="s">
        <v>24568</v>
      </c>
    </row>
    <row r="20243" spans="6:8">
      <c r="H20243" t="s">
        <v>24569</v>
      </c>
    </row>
    <row r="20244" spans="6:8">
      <c r="H20244" t="s">
        <v>24570</v>
      </c>
    </row>
    <row r="20245" spans="6:8">
      <c r="H20245" t="s">
        <v>24571</v>
      </c>
    </row>
    <row r="20246" spans="6:8">
      <c r="F20246" t="s">
        <v>12517</v>
      </c>
      <c r="G20246" t="s">
        <v>16735</v>
      </c>
      <c r="H20246" t="s">
        <v>18829</v>
      </c>
    </row>
    <row r="20247" spans="6:8">
      <c r="H20247" t="s">
        <v>24572</v>
      </c>
    </row>
    <row r="20248" spans="6:8">
      <c r="H20248" t="s">
        <v>24573</v>
      </c>
    </row>
    <row r="20249" spans="6:8">
      <c r="H20249" t="s">
        <v>24574</v>
      </c>
    </row>
    <row r="20250" spans="6:8">
      <c r="H20250" t="s">
        <v>24575</v>
      </c>
    </row>
    <row r="20251" spans="6:8">
      <c r="H20251" t="s">
        <v>24576</v>
      </c>
    </row>
    <row r="20252" spans="6:8">
      <c r="H20252" t="s">
        <v>24577</v>
      </c>
    </row>
    <row r="20253" spans="6:8">
      <c r="H20253" t="s">
        <v>24578</v>
      </c>
    </row>
    <row r="20254" spans="6:8">
      <c r="H20254" t="s">
        <v>24579</v>
      </c>
    </row>
    <row r="20255" spans="6:8">
      <c r="H20255" t="s">
        <v>24580</v>
      </c>
    </row>
    <row r="20256" spans="6:8">
      <c r="F20256" t="s">
        <v>12518</v>
      </c>
      <c r="G20256" t="s">
        <v>16736</v>
      </c>
      <c r="H20256" t="s">
        <v>18829</v>
      </c>
    </row>
    <row r="20257" spans="6:8">
      <c r="H20257" t="s">
        <v>24581</v>
      </c>
    </row>
    <row r="20258" spans="6:8">
      <c r="H20258" t="s">
        <v>24582</v>
      </c>
    </row>
    <row r="20259" spans="6:8">
      <c r="H20259" t="s">
        <v>24583</v>
      </c>
    </row>
    <row r="20260" spans="6:8">
      <c r="H20260" t="s">
        <v>24584</v>
      </c>
    </row>
    <row r="20261" spans="6:8">
      <c r="H20261" t="s">
        <v>24585</v>
      </c>
    </row>
    <row r="20262" spans="6:8">
      <c r="H20262" t="s">
        <v>24586</v>
      </c>
    </row>
    <row r="20263" spans="6:8">
      <c r="H20263" t="s">
        <v>24587</v>
      </c>
    </row>
    <row r="20264" spans="6:8">
      <c r="H20264" t="s">
        <v>24588</v>
      </c>
    </row>
    <row r="20265" spans="6:8">
      <c r="H20265" t="s">
        <v>24589</v>
      </c>
    </row>
    <row r="20266" spans="6:8">
      <c r="F20266" t="s">
        <v>12519</v>
      </c>
      <c r="G20266" t="s">
        <v>16737</v>
      </c>
      <c r="H20266" t="s">
        <v>18829</v>
      </c>
    </row>
    <row r="20267" spans="6:8">
      <c r="H20267" t="s">
        <v>24590</v>
      </c>
    </row>
    <row r="20268" spans="6:8">
      <c r="H20268" t="s">
        <v>24591</v>
      </c>
    </row>
    <row r="20269" spans="6:8">
      <c r="H20269" t="s">
        <v>24592</v>
      </c>
    </row>
    <row r="20270" spans="6:8">
      <c r="H20270" t="s">
        <v>24593</v>
      </c>
    </row>
    <row r="20271" spans="6:8">
      <c r="H20271" t="s">
        <v>24594</v>
      </c>
    </row>
    <row r="20272" spans="6:8">
      <c r="H20272" t="s">
        <v>24595</v>
      </c>
    </row>
    <row r="20273" spans="6:8">
      <c r="H20273" t="s">
        <v>24596</v>
      </c>
    </row>
    <row r="20274" spans="6:8">
      <c r="H20274" t="s">
        <v>24597</v>
      </c>
    </row>
    <row r="20275" spans="6:8">
      <c r="H20275" t="s">
        <v>24598</v>
      </c>
    </row>
    <row r="20276" spans="6:8">
      <c r="F20276" t="s">
        <v>12520</v>
      </c>
      <c r="G20276" t="s">
        <v>16738</v>
      </c>
      <c r="H20276" t="s">
        <v>18829</v>
      </c>
    </row>
    <row r="20277" spans="6:8">
      <c r="H20277" t="s">
        <v>24599</v>
      </c>
    </row>
    <row r="20278" spans="6:8">
      <c r="H20278" t="s">
        <v>24600</v>
      </c>
    </row>
    <row r="20279" spans="6:8">
      <c r="H20279" t="s">
        <v>24601</v>
      </c>
    </row>
    <row r="20280" spans="6:8">
      <c r="H20280" t="s">
        <v>24602</v>
      </c>
    </row>
    <row r="20281" spans="6:8">
      <c r="H20281" t="s">
        <v>24603</v>
      </c>
    </row>
    <row r="20282" spans="6:8">
      <c r="H20282" t="s">
        <v>24604</v>
      </c>
    </row>
    <row r="20283" spans="6:8">
      <c r="H20283" t="s">
        <v>24605</v>
      </c>
    </row>
    <row r="20284" spans="6:8">
      <c r="H20284" t="s">
        <v>24606</v>
      </c>
    </row>
    <row r="20285" spans="6:8">
      <c r="H20285" t="s">
        <v>24607</v>
      </c>
    </row>
    <row r="20286" spans="6:8">
      <c r="F20286" t="s">
        <v>12521</v>
      </c>
      <c r="G20286" t="s">
        <v>16739</v>
      </c>
      <c r="H20286" t="s">
        <v>18829</v>
      </c>
    </row>
    <row r="20287" spans="6:8">
      <c r="H20287" t="s">
        <v>24608</v>
      </c>
    </row>
    <row r="20288" spans="6:8">
      <c r="H20288" t="s">
        <v>24609</v>
      </c>
    </row>
    <row r="20289" spans="6:8">
      <c r="H20289" t="s">
        <v>24610</v>
      </c>
    </row>
    <row r="20290" spans="6:8">
      <c r="H20290" t="s">
        <v>24611</v>
      </c>
    </row>
    <row r="20291" spans="6:8">
      <c r="H20291" t="s">
        <v>24612</v>
      </c>
    </row>
    <row r="20292" spans="6:8">
      <c r="H20292" t="s">
        <v>24613</v>
      </c>
    </row>
    <row r="20293" spans="6:8">
      <c r="H20293" t="s">
        <v>24614</v>
      </c>
    </row>
    <row r="20294" spans="6:8">
      <c r="H20294" t="s">
        <v>24615</v>
      </c>
    </row>
    <row r="20295" spans="6:8">
      <c r="H20295" t="s">
        <v>24616</v>
      </c>
    </row>
    <row r="20296" spans="6:8">
      <c r="F20296" t="s">
        <v>12522</v>
      </c>
      <c r="G20296" t="s">
        <v>16740</v>
      </c>
      <c r="H20296" t="s">
        <v>18829</v>
      </c>
    </row>
    <row r="20297" spans="6:8">
      <c r="H20297" t="s">
        <v>24617</v>
      </c>
    </row>
    <row r="20298" spans="6:8">
      <c r="H20298" t="s">
        <v>24618</v>
      </c>
    </row>
    <row r="20299" spans="6:8">
      <c r="H20299" t="s">
        <v>24619</v>
      </c>
    </row>
    <row r="20300" spans="6:8">
      <c r="H20300" t="s">
        <v>24620</v>
      </c>
    </row>
    <row r="20301" spans="6:8">
      <c r="H20301" t="s">
        <v>24621</v>
      </c>
    </row>
    <row r="20302" spans="6:8">
      <c r="H20302" t="s">
        <v>24622</v>
      </c>
    </row>
    <row r="20303" spans="6:8">
      <c r="H20303" t="s">
        <v>24623</v>
      </c>
    </row>
    <row r="20304" spans="6:8">
      <c r="H20304" t="s">
        <v>24624</v>
      </c>
    </row>
    <row r="20305" spans="6:8">
      <c r="H20305" t="s">
        <v>24625</v>
      </c>
    </row>
    <row r="20306" spans="6:8">
      <c r="F20306" t="s">
        <v>12523</v>
      </c>
      <c r="G20306" t="s">
        <v>16741</v>
      </c>
      <c r="H20306" t="s">
        <v>18829</v>
      </c>
    </row>
    <row r="20307" spans="6:8">
      <c r="H20307" t="s">
        <v>24626</v>
      </c>
    </row>
    <row r="20308" spans="6:8">
      <c r="H20308" t="s">
        <v>24627</v>
      </c>
    </row>
    <row r="20309" spans="6:8">
      <c r="H20309" t="s">
        <v>24628</v>
      </c>
    </row>
    <row r="20310" spans="6:8">
      <c r="H20310" t="s">
        <v>24629</v>
      </c>
    </row>
    <row r="20311" spans="6:8">
      <c r="H20311" t="s">
        <v>24630</v>
      </c>
    </row>
    <row r="20312" spans="6:8">
      <c r="H20312" t="s">
        <v>24631</v>
      </c>
    </row>
    <row r="20313" spans="6:8">
      <c r="H20313" t="s">
        <v>24632</v>
      </c>
    </row>
    <row r="20314" spans="6:8">
      <c r="H20314" t="s">
        <v>24633</v>
      </c>
    </row>
    <row r="20315" spans="6:8">
      <c r="H20315" t="s">
        <v>24634</v>
      </c>
    </row>
    <row r="20316" spans="6:8">
      <c r="F20316" t="s">
        <v>12524</v>
      </c>
      <c r="G20316" t="s">
        <v>16742</v>
      </c>
      <c r="H20316" t="s">
        <v>18829</v>
      </c>
    </row>
    <row r="20317" spans="6:8">
      <c r="H20317" t="s">
        <v>24635</v>
      </c>
    </row>
    <row r="20318" spans="6:8">
      <c r="H20318" t="s">
        <v>24636</v>
      </c>
    </row>
    <row r="20319" spans="6:8">
      <c r="H20319" t="s">
        <v>24637</v>
      </c>
    </row>
    <row r="20320" spans="6:8">
      <c r="H20320" t="s">
        <v>24638</v>
      </c>
    </row>
    <row r="20321" spans="6:8">
      <c r="H20321" t="s">
        <v>24639</v>
      </c>
    </row>
    <row r="20322" spans="6:8">
      <c r="H20322" t="s">
        <v>24640</v>
      </c>
    </row>
    <row r="20323" spans="6:8">
      <c r="H20323" t="s">
        <v>24641</v>
      </c>
    </row>
    <row r="20324" spans="6:8">
      <c r="H20324" t="s">
        <v>24642</v>
      </c>
    </row>
    <row r="20325" spans="6:8">
      <c r="H20325" t="s">
        <v>24643</v>
      </c>
    </row>
    <row r="20326" spans="6:8">
      <c r="F20326" t="s">
        <v>12525</v>
      </c>
      <c r="G20326" t="s">
        <v>16743</v>
      </c>
      <c r="H20326" t="s">
        <v>18829</v>
      </c>
    </row>
    <row r="20327" spans="6:8">
      <c r="H20327" t="s">
        <v>24644</v>
      </c>
    </row>
    <row r="20328" spans="6:8">
      <c r="H20328" t="s">
        <v>24645</v>
      </c>
    </row>
    <row r="20329" spans="6:8">
      <c r="H20329" t="s">
        <v>24646</v>
      </c>
    </row>
    <row r="20330" spans="6:8">
      <c r="H20330" t="s">
        <v>24647</v>
      </c>
    </row>
    <row r="20331" spans="6:8">
      <c r="H20331" t="s">
        <v>24648</v>
      </c>
    </row>
    <row r="20332" spans="6:8">
      <c r="H20332" t="s">
        <v>24649</v>
      </c>
    </row>
    <row r="20333" spans="6:8">
      <c r="H20333" t="s">
        <v>24650</v>
      </c>
    </row>
    <row r="20334" spans="6:8">
      <c r="H20334" t="s">
        <v>24651</v>
      </c>
    </row>
    <row r="20335" spans="6:8">
      <c r="H20335" t="s">
        <v>24652</v>
      </c>
    </row>
    <row r="20336" spans="6:8">
      <c r="F20336" t="s">
        <v>12526</v>
      </c>
      <c r="G20336" t="s">
        <v>16744</v>
      </c>
      <c r="H20336" t="s">
        <v>18829</v>
      </c>
    </row>
    <row r="20337" spans="6:8">
      <c r="H20337" t="s">
        <v>24653</v>
      </c>
    </row>
    <row r="20338" spans="6:8">
      <c r="H20338" t="s">
        <v>24654</v>
      </c>
    </row>
    <row r="20339" spans="6:8">
      <c r="H20339" t="s">
        <v>24655</v>
      </c>
    </row>
    <row r="20340" spans="6:8">
      <c r="H20340" t="s">
        <v>24656</v>
      </c>
    </row>
    <row r="20341" spans="6:8">
      <c r="H20341" t="s">
        <v>24657</v>
      </c>
    </row>
    <row r="20342" spans="6:8">
      <c r="H20342" t="s">
        <v>24658</v>
      </c>
    </row>
    <row r="20343" spans="6:8">
      <c r="H20343" t="s">
        <v>24659</v>
      </c>
    </row>
    <row r="20344" spans="6:8">
      <c r="H20344" t="s">
        <v>24660</v>
      </c>
    </row>
    <row r="20345" spans="6:8">
      <c r="H20345" t="s">
        <v>24661</v>
      </c>
    </row>
    <row r="20346" spans="6:8">
      <c r="F20346" t="s">
        <v>12527</v>
      </c>
      <c r="G20346" t="s">
        <v>16745</v>
      </c>
      <c r="H20346" t="s">
        <v>18829</v>
      </c>
    </row>
    <row r="20347" spans="6:8">
      <c r="H20347" t="s">
        <v>24662</v>
      </c>
    </row>
    <row r="20348" spans="6:8">
      <c r="H20348" t="s">
        <v>24663</v>
      </c>
    </row>
    <row r="20349" spans="6:8">
      <c r="H20349" t="s">
        <v>24664</v>
      </c>
    </row>
    <row r="20350" spans="6:8">
      <c r="H20350" t="s">
        <v>24665</v>
      </c>
    </row>
    <row r="20351" spans="6:8">
      <c r="H20351" t="s">
        <v>24666</v>
      </c>
    </row>
    <row r="20352" spans="6:8">
      <c r="H20352" t="s">
        <v>24667</v>
      </c>
    </row>
    <row r="20353" spans="6:8">
      <c r="H20353" t="s">
        <v>24668</v>
      </c>
    </row>
    <row r="20354" spans="6:8">
      <c r="H20354" t="s">
        <v>24669</v>
      </c>
    </row>
    <row r="20355" spans="6:8">
      <c r="H20355" t="s">
        <v>24670</v>
      </c>
    </row>
    <row r="20356" spans="6:8">
      <c r="F20356" t="s">
        <v>12528</v>
      </c>
      <c r="G20356" t="s">
        <v>16746</v>
      </c>
      <c r="H20356" t="s">
        <v>18829</v>
      </c>
    </row>
    <row r="20357" spans="6:8">
      <c r="H20357" t="s">
        <v>24671</v>
      </c>
    </row>
    <row r="20358" spans="6:8">
      <c r="H20358" t="s">
        <v>24672</v>
      </c>
    </row>
    <row r="20359" spans="6:8">
      <c r="H20359" t="s">
        <v>24673</v>
      </c>
    </row>
    <row r="20360" spans="6:8">
      <c r="H20360" t="s">
        <v>24674</v>
      </c>
    </row>
    <row r="20361" spans="6:8">
      <c r="H20361" t="s">
        <v>24675</v>
      </c>
    </row>
    <row r="20362" spans="6:8">
      <c r="H20362" t="s">
        <v>24676</v>
      </c>
    </row>
    <row r="20363" spans="6:8">
      <c r="H20363" t="s">
        <v>24677</v>
      </c>
    </row>
    <row r="20364" spans="6:8">
      <c r="H20364" t="s">
        <v>24678</v>
      </c>
    </row>
    <row r="20365" spans="6:8">
      <c r="H20365" t="s">
        <v>24679</v>
      </c>
    </row>
    <row r="20366" spans="6:8">
      <c r="F20366" t="s">
        <v>12529</v>
      </c>
      <c r="G20366" t="s">
        <v>16747</v>
      </c>
      <c r="H20366" t="s">
        <v>18829</v>
      </c>
    </row>
    <row r="20367" spans="6:8">
      <c r="H20367" t="s">
        <v>24680</v>
      </c>
    </row>
    <row r="20368" spans="6:8">
      <c r="H20368" t="s">
        <v>24681</v>
      </c>
    </row>
    <row r="20369" spans="6:8">
      <c r="H20369" t="s">
        <v>24682</v>
      </c>
    </row>
    <row r="20370" spans="6:8">
      <c r="H20370" t="s">
        <v>24683</v>
      </c>
    </row>
    <row r="20371" spans="6:8">
      <c r="H20371" t="s">
        <v>24684</v>
      </c>
    </row>
    <row r="20372" spans="6:8">
      <c r="H20372" t="s">
        <v>24685</v>
      </c>
    </row>
    <row r="20373" spans="6:8">
      <c r="H20373" t="s">
        <v>24686</v>
      </c>
    </row>
    <row r="20374" spans="6:8">
      <c r="H20374" t="s">
        <v>24687</v>
      </c>
    </row>
    <row r="20375" spans="6:8">
      <c r="H20375" t="s">
        <v>24688</v>
      </c>
    </row>
    <row r="20376" spans="6:8">
      <c r="F20376" t="s">
        <v>12530</v>
      </c>
      <c r="G20376" t="s">
        <v>16748</v>
      </c>
      <c r="H20376" t="s">
        <v>18829</v>
      </c>
    </row>
    <row r="20377" spans="6:8">
      <c r="H20377" t="s">
        <v>24689</v>
      </c>
    </row>
    <row r="20378" spans="6:8">
      <c r="H20378" t="s">
        <v>24690</v>
      </c>
    </row>
    <row r="20379" spans="6:8">
      <c r="H20379" t="s">
        <v>24691</v>
      </c>
    </row>
    <row r="20380" spans="6:8">
      <c r="H20380" t="s">
        <v>24692</v>
      </c>
    </row>
    <row r="20381" spans="6:8">
      <c r="H20381" t="s">
        <v>24693</v>
      </c>
    </row>
    <row r="20382" spans="6:8">
      <c r="H20382" t="s">
        <v>24694</v>
      </c>
    </row>
    <row r="20383" spans="6:8">
      <c r="H20383" t="s">
        <v>24695</v>
      </c>
    </row>
    <row r="20384" spans="6:8">
      <c r="H20384" t="s">
        <v>24696</v>
      </c>
    </row>
    <row r="20385" spans="6:8">
      <c r="H20385" t="s">
        <v>24697</v>
      </c>
    </row>
    <row r="20386" spans="6:8">
      <c r="F20386" t="s">
        <v>12531</v>
      </c>
      <c r="G20386" t="s">
        <v>16749</v>
      </c>
      <c r="H20386" t="s">
        <v>18829</v>
      </c>
    </row>
    <row r="20387" spans="6:8">
      <c r="H20387" t="s">
        <v>24698</v>
      </c>
    </row>
    <row r="20388" spans="6:8">
      <c r="H20388" t="s">
        <v>24699</v>
      </c>
    </row>
    <row r="20389" spans="6:8">
      <c r="H20389" t="s">
        <v>24700</v>
      </c>
    </row>
    <row r="20390" spans="6:8">
      <c r="H20390" t="s">
        <v>24701</v>
      </c>
    </row>
    <row r="20391" spans="6:8">
      <c r="H20391" t="s">
        <v>24702</v>
      </c>
    </row>
    <row r="20392" spans="6:8">
      <c r="H20392" t="s">
        <v>24703</v>
      </c>
    </row>
    <row r="20393" spans="6:8">
      <c r="H20393" t="s">
        <v>24704</v>
      </c>
    </row>
    <row r="20394" spans="6:8">
      <c r="H20394" t="s">
        <v>24705</v>
      </c>
    </row>
    <row r="20395" spans="6:8">
      <c r="H20395" t="s">
        <v>24706</v>
      </c>
    </row>
    <row r="20396" spans="6:8">
      <c r="F20396" t="s">
        <v>12532</v>
      </c>
      <c r="G20396" t="s">
        <v>16750</v>
      </c>
      <c r="H20396" t="s">
        <v>18829</v>
      </c>
    </row>
    <row r="20397" spans="6:8">
      <c r="H20397" t="s">
        <v>24707</v>
      </c>
    </row>
    <row r="20398" spans="6:8">
      <c r="H20398" t="s">
        <v>24708</v>
      </c>
    </row>
    <row r="20399" spans="6:8">
      <c r="H20399" t="s">
        <v>24709</v>
      </c>
    </row>
    <row r="20400" spans="6:8">
      <c r="H20400" t="s">
        <v>24710</v>
      </c>
    </row>
    <row r="20401" spans="6:8">
      <c r="H20401" t="s">
        <v>24711</v>
      </c>
    </row>
    <row r="20402" spans="6:8">
      <c r="H20402" t="s">
        <v>24712</v>
      </c>
    </row>
    <row r="20403" spans="6:8">
      <c r="H20403" t="s">
        <v>24713</v>
      </c>
    </row>
    <row r="20404" spans="6:8">
      <c r="H20404" t="s">
        <v>24714</v>
      </c>
    </row>
    <row r="20405" spans="6:8">
      <c r="H20405" t="s">
        <v>24715</v>
      </c>
    </row>
    <row r="20406" spans="6:8">
      <c r="F20406" t="s">
        <v>12533</v>
      </c>
      <c r="G20406" t="s">
        <v>16751</v>
      </c>
      <c r="H20406" t="s">
        <v>18829</v>
      </c>
    </row>
    <row r="20407" spans="6:8">
      <c r="H20407" t="s">
        <v>24716</v>
      </c>
    </row>
    <row r="20408" spans="6:8">
      <c r="H20408" t="s">
        <v>24717</v>
      </c>
    </row>
    <row r="20409" spans="6:8">
      <c r="H20409" t="s">
        <v>24718</v>
      </c>
    </row>
    <row r="20410" spans="6:8">
      <c r="H20410" t="s">
        <v>24719</v>
      </c>
    </row>
    <row r="20411" spans="6:8">
      <c r="H20411" t="s">
        <v>24720</v>
      </c>
    </row>
    <row r="20412" spans="6:8">
      <c r="H20412" t="s">
        <v>24721</v>
      </c>
    </row>
    <row r="20413" spans="6:8">
      <c r="H20413" t="s">
        <v>24722</v>
      </c>
    </row>
    <row r="20414" spans="6:8">
      <c r="H20414" t="s">
        <v>24723</v>
      </c>
    </row>
    <row r="20415" spans="6:8">
      <c r="H20415" t="s">
        <v>24724</v>
      </c>
    </row>
    <row r="20416" spans="6:8">
      <c r="F20416" t="s">
        <v>12534</v>
      </c>
      <c r="G20416" t="s">
        <v>16752</v>
      </c>
      <c r="H20416" t="s">
        <v>18829</v>
      </c>
    </row>
    <row r="20417" spans="6:8">
      <c r="H20417" t="s">
        <v>24725</v>
      </c>
    </row>
    <row r="20418" spans="6:8">
      <c r="H20418" t="s">
        <v>24726</v>
      </c>
    </row>
    <row r="20419" spans="6:8">
      <c r="H20419" t="s">
        <v>24727</v>
      </c>
    </row>
    <row r="20420" spans="6:8">
      <c r="H20420" t="s">
        <v>24728</v>
      </c>
    </row>
    <row r="20421" spans="6:8">
      <c r="H20421" t="s">
        <v>24729</v>
      </c>
    </row>
    <row r="20422" spans="6:8">
      <c r="H20422" t="s">
        <v>24730</v>
      </c>
    </row>
    <row r="20423" spans="6:8">
      <c r="H20423" t="s">
        <v>24731</v>
      </c>
    </row>
    <row r="20424" spans="6:8">
      <c r="H20424" t="s">
        <v>24732</v>
      </c>
    </row>
    <row r="20425" spans="6:8">
      <c r="H20425" t="s">
        <v>24733</v>
      </c>
    </row>
    <row r="20426" spans="6:8">
      <c r="F20426" t="s">
        <v>12535</v>
      </c>
      <c r="G20426" t="s">
        <v>16753</v>
      </c>
      <c r="H20426" t="s">
        <v>18829</v>
      </c>
    </row>
    <row r="20427" spans="6:8">
      <c r="H20427" t="s">
        <v>24734</v>
      </c>
    </row>
    <row r="20428" spans="6:8">
      <c r="H20428" t="s">
        <v>24735</v>
      </c>
    </row>
    <row r="20429" spans="6:8">
      <c r="H20429" t="s">
        <v>24736</v>
      </c>
    </row>
    <row r="20430" spans="6:8">
      <c r="H20430" t="s">
        <v>24737</v>
      </c>
    </row>
    <row r="20431" spans="6:8">
      <c r="H20431" t="s">
        <v>24738</v>
      </c>
    </row>
    <row r="20432" spans="6:8">
      <c r="H20432" t="s">
        <v>24739</v>
      </c>
    </row>
    <row r="20433" spans="6:8">
      <c r="H20433" t="s">
        <v>24740</v>
      </c>
    </row>
    <row r="20434" spans="6:8">
      <c r="H20434" t="s">
        <v>24741</v>
      </c>
    </row>
    <row r="20435" spans="6:8">
      <c r="H20435" t="s">
        <v>24742</v>
      </c>
    </row>
    <row r="20436" spans="6:8">
      <c r="F20436" t="s">
        <v>12536</v>
      </c>
      <c r="G20436" t="s">
        <v>16754</v>
      </c>
      <c r="H20436" t="s">
        <v>18829</v>
      </c>
    </row>
    <row r="20437" spans="6:8">
      <c r="H20437" t="s">
        <v>24743</v>
      </c>
    </row>
    <row r="20438" spans="6:8">
      <c r="H20438" t="s">
        <v>24744</v>
      </c>
    </row>
    <row r="20439" spans="6:8">
      <c r="H20439" t="s">
        <v>24745</v>
      </c>
    </row>
    <row r="20440" spans="6:8">
      <c r="H20440" t="s">
        <v>24746</v>
      </c>
    </row>
    <row r="20441" spans="6:8">
      <c r="H20441" t="s">
        <v>24747</v>
      </c>
    </row>
    <row r="20442" spans="6:8">
      <c r="H20442" t="s">
        <v>24748</v>
      </c>
    </row>
    <row r="20443" spans="6:8">
      <c r="H20443" t="s">
        <v>24749</v>
      </c>
    </row>
    <row r="20444" spans="6:8">
      <c r="H20444" t="s">
        <v>24750</v>
      </c>
    </row>
    <row r="20445" spans="6:8">
      <c r="H20445" t="s">
        <v>24751</v>
      </c>
    </row>
    <row r="20446" spans="6:8">
      <c r="F20446" t="s">
        <v>12537</v>
      </c>
      <c r="G20446" t="s">
        <v>16755</v>
      </c>
      <c r="H20446" t="s">
        <v>18829</v>
      </c>
    </row>
    <row r="20447" spans="6:8">
      <c r="H20447" t="s">
        <v>24752</v>
      </c>
    </row>
    <row r="20448" spans="6:8">
      <c r="H20448" t="s">
        <v>24753</v>
      </c>
    </row>
    <row r="20449" spans="6:8">
      <c r="H20449" t="s">
        <v>24754</v>
      </c>
    </row>
    <row r="20450" spans="6:8">
      <c r="H20450" t="s">
        <v>24755</v>
      </c>
    </row>
    <row r="20451" spans="6:8">
      <c r="H20451" t="s">
        <v>24756</v>
      </c>
    </row>
    <row r="20452" spans="6:8">
      <c r="H20452" t="s">
        <v>24757</v>
      </c>
    </row>
    <row r="20453" spans="6:8">
      <c r="H20453" t="s">
        <v>24758</v>
      </c>
    </row>
    <row r="20454" spans="6:8">
      <c r="H20454" t="s">
        <v>24759</v>
      </c>
    </row>
    <row r="20455" spans="6:8">
      <c r="H20455" t="s">
        <v>20408</v>
      </c>
    </row>
    <row r="20456" spans="6:8">
      <c r="F20456" t="s">
        <v>12538</v>
      </c>
      <c r="G20456" t="s">
        <v>16756</v>
      </c>
      <c r="H20456" t="s">
        <v>18829</v>
      </c>
    </row>
    <row r="20457" spans="6:8">
      <c r="H20457" t="s">
        <v>24760</v>
      </c>
    </row>
    <row r="20458" spans="6:8">
      <c r="H20458" t="s">
        <v>24761</v>
      </c>
    </row>
    <row r="20459" spans="6:8">
      <c r="H20459" t="s">
        <v>24762</v>
      </c>
    </row>
    <row r="20460" spans="6:8">
      <c r="H20460" t="s">
        <v>24763</v>
      </c>
    </row>
    <row r="20461" spans="6:8">
      <c r="H20461" t="s">
        <v>24764</v>
      </c>
    </row>
    <row r="20462" spans="6:8">
      <c r="H20462" t="s">
        <v>24765</v>
      </c>
    </row>
    <row r="20463" spans="6:8">
      <c r="H20463" t="s">
        <v>24766</v>
      </c>
    </row>
    <row r="20464" spans="6:8">
      <c r="H20464" t="s">
        <v>24767</v>
      </c>
    </row>
    <row r="20465" spans="6:8">
      <c r="H20465" t="s">
        <v>24768</v>
      </c>
    </row>
    <row r="20466" spans="6:8">
      <c r="F20466" t="s">
        <v>12539</v>
      </c>
      <c r="G20466" t="s">
        <v>16539</v>
      </c>
      <c r="H20466" t="s">
        <v>18829</v>
      </c>
    </row>
    <row r="20467" spans="6:8">
      <c r="H20467" t="s">
        <v>24769</v>
      </c>
    </row>
    <row r="20468" spans="6:8">
      <c r="H20468" t="s">
        <v>21980</v>
      </c>
    </row>
    <row r="20469" spans="6:8">
      <c r="H20469" t="s">
        <v>24770</v>
      </c>
    </row>
    <row r="20470" spans="6:8">
      <c r="H20470" t="s">
        <v>21981</v>
      </c>
    </row>
    <row r="20471" spans="6:8">
      <c r="H20471" t="s">
        <v>24771</v>
      </c>
    </row>
    <row r="20472" spans="6:8">
      <c r="H20472" t="s">
        <v>21982</v>
      </c>
    </row>
    <row r="20473" spans="6:8">
      <c r="H20473" t="s">
        <v>24772</v>
      </c>
    </row>
    <row r="20474" spans="6:8">
      <c r="H20474" t="s">
        <v>21983</v>
      </c>
    </row>
    <row r="20475" spans="6:8">
      <c r="H20475" t="s">
        <v>24773</v>
      </c>
    </row>
    <row r="20476" spans="6:8">
      <c r="F20476" t="s">
        <v>12540</v>
      </c>
      <c r="G20476" t="s">
        <v>16757</v>
      </c>
      <c r="H20476" t="s">
        <v>18829</v>
      </c>
    </row>
    <row r="20477" spans="6:8">
      <c r="H20477" t="s">
        <v>24774</v>
      </c>
    </row>
    <row r="20478" spans="6:8">
      <c r="H20478" t="s">
        <v>24775</v>
      </c>
    </row>
    <row r="20479" spans="6:8">
      <c r="H20479" t="s">
        <v>24776</v>
      </c>
    </row>
    <row r="20480" spans="6:8">
      <c r="H20480" t="s">
        <v>24777</v>
      </c>
    </row>
    <row r="20481" spans="6:8">
      <c r="H20481" t="s">
        <v>24778</v>
      </c>
    </row>
    <row r="20482" spans="6:8">
      <c r="H20482" t="s">
        <v>24779</v>
      </c>
    </row>
    <row r="20483" spans="6:8">
      <c r="H20483" t="s">
        <v>24780</v>
      </c>
    </row>
    <row r="20484" spans="6:8">
      <c r="H20484" t="s">
        <v>24781</v>
      </c>
    </row>
    <row r="20485" spans="6:8">
      <c r="H20485" t="s">
        <v>24782</v>
      </c>
    </row>
    <row r="20486" spans="6:8">
      <c r="F20486" t="s">
        <v>12541</v>
      </c>
      <c r="G20486" t="s">
        <v>16758</v>
      </c>
      <c r="H20486" t="s">
        <v>18829</v>
      </c>
    </row>
    <row r="20487" spans="6:8">
      <c r="H20487" t="s">
        <v>24783</v>
      </c>
    </row>
    <row r="20488" spans="6:8">
      <c r="H20488" t="s">
        <v>24784</v>
      </c>
    </row>
    <row r="20489" spans="6:8">
      <c r="H20489" t="s">
        <v>24785</v>
      </c>
    </row>
    <row r="20490" spans="6:8">
      <c r="H20490" t="s">
        <v>24786</v>
      </c>
    </row>
    <row r="20491" spans="6:8">
      <c r="H20491" t="s">
        <v>24787</v>
      </c>
    </row>
    <row r="20492" spans="6:8">
      <c r="H20492" t="s">
        <v>24788</v>
      </c>
    </row>
    <row r="20493" spans="6:8">
      <c r="H20493" t="s">
        <v>24789</v>
      </c>
    </row>
    <row r="20494" spans="6:8">
      <c r="H20494" t="s">
        <v>24790</v>
      </c>
    </row>
    <row r="20495" spans="6:8">
      <c r="H20495" t="s">
        <v>24791</v>
      </c>
    </row>
    <row r="20496" spans="6:8">
      <c r="F20496" t="s">
        <v>12542</v>
      </c>
      <c r="G20496" t="s">
        <v>16759</v>
      </c>
      <c r="H20496" t="s">
        <v>18829</v>
      </c>
    </row>
    <row r="20497" spans="6:8">
      <c r="H20497" t="s">
        <v>24792</v>
      </c>
    </row>
    <row r="20498" spans="6:8">
      <c r="H20498" t="s">
        <v>24793</v>
      </c>
    </row>
    <row r="20499" spans="6:8">
      <c r="H20499" t="s">
        <v>24794</v>
      </c>
    </row>
    <row r="20500" spans="6:8">
      <c r="H20500" t="s">
        <v>24795</v>
      </c>
    </row>
    <row r="20501" spans="6:8">
      <c r="H20501" t="s">
        <v>24796</v>
      </c>
    </row>
    <row r="20502" spans="6:8">
      <c r="H20502" t="s">
        <v>24797</v>
      </c>
    </row>
    <row r="20503" spans="6:8">
      <c r="H20503" t="s">
        <v>24798</v>
      </c>
    </row>
    <row r="20504" spans="6:8">
      <c r="H20504" t="s">
        <v>24799</v>
      </c>
    </row>
    <row r="20505" spans="6:8">
      <c r="H20505" t="s">
        <v>24800</v>
      </c>
    </row>
    <row r="20506" spans="6:8">
      <c r="F20506" t="s">
        <v>12543</v>
      </c>
      <c r="G20506" t="s">
        <v>16760</v>
      </c>
      <c r="H20506" t="s">
        <v>18829</v>
      </c>
    </row>
    <row r="20507" spans="6:8">
      <c r="H20507" t="s">
        <v>24801</v>
      </c>
    </row>
    <row r="20508" spans="6:8">
      <c r="H20508" t="s">
        <v>24802</v>
      </c>
    </row>
    <row r="20509" spans="6:8">
      <c r="H20509" t="s">
        <v>24803</v>
      </c>
    </row>
    <row r="20510" spans="6:8">
      <c r="H20510" t="s">
        <v>24804</v>
      </c>
    </row>
    <row r="20511" spans="6:8">
      <c r="H20511" t="s">
        <v>24805</v>
      </c>
    </row>
    <row r="20512" spans="6:8">
      <c r="H20512" t="s">
        <v>24806</v>
      </c>
    </row>
    <row r="20513" spans="6:8">
      <c r="H20513" t="s">
        <v>24807</v>
      </c>
    </row>
    <row r="20514" spans="6:8">
      <c r="H20514" t="s">
        <v>24808</v>
      </c>
    </row>
    <row r="20515" spans="6:8">
      <c r="H20515" t="s">
        <v>24809</v>
      </c>
    </row>
    <row r="20516" spans="6:8">
      <c r="F20516" t="s">
        <v>12544</v>
      </c>
      <c r="G20516" t="s">
        <v>16761</v>
      </c>
      <c r="H20516" t="s">
        <v>18829</v>
      </c>
    </row>
    <row r="20517" spans="6:8">
      <c r="H20517" t="s">
        <v>24810</v>
      </c>
    </row>
    <row r="20518" spans="6:8">
      <c r="H20518" t="s">
        <v>24811</v>
      </c>
    </row>
    <row r="20519" spans="6:8">
      <c r="H20519" t="s">
        <v>24812</v>
      </c>
    </row>
    <row r="20520" spans="6:8">
      <c r="H20520" t="s">
        <v>24813</v>
      </c>
    </row>
    <row r="20521" spans="6:8">
      <c r="H20521" t="s">
        <v>24814</v>
      </c>
    </row>
    <row r="20522" spans="6:8">
      <c r="H20522" t="s">
        <v>24815</v>
      </c>
    </row>
    <row r="20523" spans="6:8">
      <c r="H20523" t="s">
        <v>24816</v>
      </c>
    </row>
    <row r="20524" spans="6:8">
      <c r="H20524" t="s">
        <v>24817</v>
      </c>
    </row>
    <row r="20525" spans="6:8">
      <c r="H20525" t="s">
        <v>24818</v>
      </c>
    </row>
    <row r="20526" spans="6:8">
      <c r="F20526" t="s">
        <v>12545</v>
      </c>
      <c r="G20526" t="s">
        <v>16547</v>
      </c>
      <c r="H20526" t="s">
        <v>18829</v>
      </c>
    </row>
    <row r="20527" spans="6:8">
      <c r="H20527" t="s">
        <v>24819</v>
      </c>
    </row>
    <row r="20528" spans="6:8">
      <c r="H20528" t="s">
        <v>22010</v>
      </c>
    </row>
    <row r="20529" spans="6:8">
      <c r="H20529" t="s">
        <v>24820</v>
      </c>
    </row>
    <row r="20530" spans="6:8">
      <c r="H20530" t="s">
        <v>22011</v>
      </c>
    </row>
    <row r="20531" spans="6:8">
      <c r="H20531" t="s">
        <v>24821</v>
      </c>
    </row>
    <row r="20532" spans="6:8">
      <c r="H20532" t="s">
        <v>22012</v>
      </c>
    </row>
    <row r="20533" spans="6:8">
      <c r="H20533" t="s">
        <v>24822</v>
      </c>
    </row>
    <row r="20534" spans="6:8">
      <c r="H20534" t="s">
        <v>22013</v>
      </c>
    </row>
    <row r="20535" spans="6:8">
      <c r="H20535" t="s">
        <v>24823</v>
      </c>
    </row>
    <row r="20536" spans="6:8">
      <c r="F20536" t="s">
        <v>12546</v>
      </c>
      <c r="G20536" t="s">
        <v>16762</v>
      </c>
      <c r="H20536" t="s">
        <v>18829</v>
      </c>
    </row>
    <row r="20537" spans="6:8">
      <c r="H20537" t="s">
        <v>24824</v>
      </c>
    </row>
    <row r="20538" spans="6:8">
      <c r="H20538" t="s">
        <v>24825</v>
      </c>
    </row>
    <row r="20539" spans="6:8">
      <c r="H20539" t="s">
        <v>24826</v>
      </c>
    </row>
    <row r="20540" spans="6:8">
      <c r="H20540" t="s">
        <v>24827</v>
      </c>
    </row>
    <row r="20541" spans="6:8">
      <c r="H20541" t="s">
        <v>24828</v>
      </c>
    </row>
    <row r="20542" spans="6:8">
      <c r="H20542" t="s">
        <v>24829</v>
      </c>
    </row>
    <row r="20543" spans="6:8">
      <c r="H20543" t="s">
        <v>24830</v>
      </c>
    </row>
    <row r="20544" spans="6:8">
      <c r="H20544" t="s">
        <v>24831</v>
      </c>
    </row>
    <row r="20545" spans="6:8">
      <c r="H20545" t="s">
        <v>24832</v>
      </c>
    </row>
    <row r="20546" spans="6:8">
      <c r="F20546" t="s">
        <v>12547</v>
      </c>
      <c r="G20546" t="s">
        <v>16763</v>
      </c>
      <c r="H20546" t="s">
        <v>18829</v>
      </c>
    </row>
    <row r="20547" spans="6:8">
      <c r="H20547" t="s">
        <v>24833</v>
      </c>
    </row>
    <row r="20548" spans="6:8">
      <c r="H20548" t="s">
        <v>24834</v>
      </c>
    </row>
    <row r="20549" spans="6:8">
      <c r="H20549" t="s">
        <v>24835</v>
      </c>
    </row>
    <row r="20550" spans="6:8">
      <c r="H20550" t="s">
        <v>24836</v>
      </c>
    </row>
    <row r="20551" spans="6:8">
      <c r="H20551" t="s">
        <v>24837</v>
      </c>
    </row>
    <row r="20552" spans="6:8">
      <c r="H20552" t="s">
        <v>24838</v>
      </c>
    </row>
    <row r="20553" spans="6:8">
      <c r="H20553" t="s">
        <v>24839</v>
      </c>
    </row>
    <row r="20554" spans="6:8">
      <c r="H20554" t="s">
        <v>24840</v>
      </c>
    </row>
    <row r="20555" spans="6:8">
      <c r="H20555" t="s">
        <v>24841</v>
      </c>
    </row>
    <row r="20556" spans="6:8">
      <c r="F20556" t="s">
        <v>12548</v>
      </c>
      <c r="G20556" t="s">
        <v>16764</v>
      </c>
      <c r="H20556" t="s">
        <v>18829</v>
      </c>
    </row>
    <row r="20557" spans="6:8">
      <c r="H20557" t="s">
        <v>24842</v>
      </c>
    </row>
    <row r="20558" spans="6:8">
      <c r="H20558" t="s">
        <v>24843</v>
      </c>
    </row>
    <row r="20559" spans="6:8">
      <c r="H20559" t="s">
        <v>24844</v>
      </c>
    </row>
    <row r="20560" spans="6:8">
      <c r="H20560" t="s">
        <v>24845</v>
      </c>
    </row>
    <row r="20561" spans="6:8">
      <c r="H20561" t="s">
        <v>24846</v>
      </c>
    </row>
    <row r="20562" spans="6:8">
      <c r="H20562" t="s">
        <v>24847</v>
      </c>
    </row>
    <row r="20563" spans="6:8">
      <c r="H20563" t="s">
        <v>24848</v>
      </c>
    </row>
    <row r="20564" spans="6:8">
      <c r="H20564" t="s">
        <v>24849</v>
      </c>
    </row>
    <row r="20565" spans="6:8">
      <c r="H20565" t="s">
        <v>24850</v>
      </c>
    </row>
    <row r="20566" spans="6:8">
      <c r="F20566" t="s">
        <v>12549</v>
      </c>
      <c r="G20566" t="s">
        <v>16765</v>
      </c>
      <c r="H20566" t="s">
        <v>18829</v>
      </c>
    </row>
    <row r="20567" spans="6:8">
      <c r="H20567" t="s">
        <v>24851</v>
      </c>
    </row>
    <row r="20568" spans="6:8">
      <c r="H20568" t="s">
        <v>24852</v>
      </c>
    </row>
    <row r="20569" spans="6:8">
      <c r="H20569" t="s">
        <v>24853</v>
      </c>
    </row>
    <row r="20570" spans="6:8">
      <c r="H20570" t="s">
        <v>24854</v>
      </c>
    </row>
    <row r="20571" spans="6:8">
      <c r="H20571" t="s">
        <v>24855</v>
      </c>
    </row>
    <row r="20572" spans="6:8">
      <c r="H20572" t="s">
        <v>24856</v>
      </c>
    </row>
    <row r="20573" spans="6:8">
      <c r="H20573" t="s">
        <v>24857</v>
      </c>
    </row>
    <row r="20574" spans="6:8">
      <c r="H20574" t="s">
        <v>24858</v>
      </c>
    </row>
    <row r="20575" spans="6:8">
      <c r="H20575" t="s">
        <v>24859</v>
      </c>
    </row>
    <row r="20576" spans="6:8">
      <c r="F20576" t="s">
        <v>12550</v>
      </c>
      <c r="G20576" t="s">
        <v>16766</v>
      </c>
      <c r="H20576" t="s">
        <v>18829</v>
      </c>
    </row>
    <row r="20577" spans="6:8">
      <c r="H20577" t="s">
        <v>24860</v>
      </c>
    </row>
    <row r="20578" spans="6:8">
      <c r="H20578" t="s">
        <v>24861</v>
      </c>
    </row>
    <row r="20579" spans="6:8">
      <c r="H20579" t="s">
        <v>24862</v>
      </c>
    </row>
    <row r="20580" spans="6:8">
      <c r="H20580" t="s">
        <v>24863</v>
      </c>
    </row>
    <row r="20581" spans="6:8">
      <c r="H20581" t="s">
        <v>24864</v>
      </c>
    </row>
    <row r="20582" spans="6:8">
      <c r="H20582" t="s">
        <v>24865</v>
      </c>
    </row>
    <row r="20583" spans="6:8">
      <c r="H20583" t="s">
        <v>24866</v>
      </c>
    </row>
    <row r="20584" spans="6:8">
      <c r="H20584" t="s">
        <v>24867</v>
      </c>
    </row>
    <row r="20585" spans="6:8">
      <c r="H20585" t="s">
        <v>24868</v>
      </c>
    </row>
    <row r="20586" spans="6:8">
      <c r="F20586" t="s">
        <v>12551</v>
      </c>
      <c r="G20586" t="s">
        <v>16767</v>
      </c>
      <c r="H20586" t="s">
        <v>18829</v>
      </c>
    </row>
    <row r="20587" spans="6:8">
      <c r="H20587" t="s">
        <v>24869</v>
      </c>
    </row>
    <row r="20588" spans="6:8">
      <c r="H20588" t="s">
        <v>24870</v>
      </c>
    </row>
    <row r="20589" spans="6:8">
      <c r="H20589" t="s">
        <v>24871</v>
      </c>
    </row>
    <row r="20590" spans="6:8">
      <c r="H20590" t="s">
        <v>24872</v>
      </c>
    </row>
    <row r="20591" spans="6:8">
      <c r="H20591" t="s">
        <v>24873</v>
      </c>
    </row>
    <row r="20592" spans="6:8">
      <c r="H20592" t="s">
        <v>24874</v>
      </c>
    </row>
    <row r="20593" spans="6:8">
      <c r="H20593" t="s">
        <v>24875</v>
      </c>
    </row>
    <row r="20594" spans="6:8">
      <c r="H20594" t="s">
        <v>24876</v>
      </c>
    </row>
    <row r="20595" spans="6:8">
      <c r="H20595" t="s">
        <v>24877</v>
      </c>
    </row>
    <row r="20596" spans="6:8">
      <c r="F20596" t="s">
        <v>12552</v>
      </c>
      <c r="G20596" t="s">
        <v>16768</v>
      </c>
      <c r="H20596" t="s">
        <v>18829</v>
      </c>
    </row>
    <row r="20597" spans="6:8">
      <c r="H20597" t="s">
        <v>24878</v>
      </c>
    </row>
    <row r="20598" spans="6:8">
      <c r="H20598" t="s">
        <v>24879</v>
      </c>
    </row>
    <row r="20599" spans="6:8">
      <c r="H20599" t="s">
        <v>24880</v>
      </c>
    </row>
    <row r="20600" spans="6:8">
      <c r="H20600" t="s">
        <v>24881</v>
      </c>
    </row>
    <row r="20601" spans="6:8">
      <c r="H20601" t="s">
        <v>24882</v>
      </c>
    </row>
    <row r="20602" spans="6:8">
      <c r="H20602" t="s">
        <v>24883</v>
      </c>
    </row>
    <row r="20603" spans="6:8">
      <c r="H20603" t="s">
        <v>24884</v>
      </c>
    </row>
    <row r="20604" spans="6:8">
      <c r="H20604" t="s">
        <v>24885</v>
      </c>
    </row>
    <row r="20605" spans="6:8">
      <c r="H20605" t="s">
        <v>24886</v>
      </c>
    </row>
    <row r="20606" spans="6:8">
      <c r="F20606" t="s">
        <v>12553</v>
      </c>
      <c r="G20606" t="s">
        <v>16769</v>
      </c>
      <c r="H20606" t="s">
        <v>18829</v>
      </c>
    </row>
    <row r="20607" spans="6:8">
      <c r="H20607" t="s">
        <v>24887</v>
      </c>
    </row>
    <row r="20608" spans="6:8">
      <c r="H20608" t="s">
        <v>24888</v>
      </c>
    </row>
    <row r="20609" spans="6:8">
      <c r="H20609" t="s">
        <v>24889</v>
      </c>
    </row>
    <row r="20610" spans="6:8">
      <c r="H20610" t="s">
        <v>24890</v>
      </c>
    </row>
    <row r="20611" spans="6:8">
      <c r="H20611" t="s">
        <v>24891</v>
      </c>
    </row>
    <row r="20612" spans="6:8">
      <c r="H20612" t="s">
        <v>24892</v>
      </c>
    </row>
    <row r="20613" spans="6:8">
      <c r="H20613" t="s">
        <v>24893</v>
      </c>
    </row>
    <row r="20614" spans="6:8">
      <c r="H20614" t="s">
        <v>24894</v>
      </c>
    </row>
    <row r="20615" spans="6:8">
      <c r="H20615" t="s">
        <v>24895</v>
      </c>
    </row>
    <row r="20616" spans="6:8">
      <c r="F20616" t="s">
        <v>12554</v>
      </c>
      <c r="G20616" t="s">
        <v>16770</v>
      </c>
      <c r="H20616" t="s">
        <v>18829</v>
      </c>
    </row>
    <row r="20617" spans="6:8">
      <c r="H20617" t="s">
        <v>24896</v>
      </c>
    </row>
    <row r="20618" spans="6:8">
      <c r="H20618" t="s">
        <v>24897</v>
      </c>
    </row>
    <row r="20619" spans="6:8">
      <c r="H20619" t="s">
        <v>24898</v>
      </c>
    </row>
    <row r="20620" spans="6:8">
      <c r="H20620" t="s">
        <v>24899</v>
      </c>
    </row>
    <row r="20621" spans="6:8">
      <c r="H20621" t="s">
        <v>24900</v>
      </c>
    </row>
    <row r="20622" spans="6:8">
      <c r="H20622" t="s">
        <v>24901</v>
      </c>
    </row>
    <row r="20623" spans="6:8">
      <c r="H20623" t="s">
        <v>24902</v>
      </c>
    </row>
    <row r="20624" spans="6:8">
      <c r="H20624" t="s">
        <v>24903</v>
      </c>
    </row>
    <row r="20625" spans="6:8">
      <c r="H20625" t="s">
        <v>24904</v>
      </c>
    </row>
    <row r="20626" spans="6:8">
      <c r="H20626" t="s">
        <v>24905</v>
      </c>
    </row>
    <row r="20627" spans="6:8">
      <c r="H20627" t="s">
        <v>24906</v>
      </c>
    </row>
    <row r="20628" spans="6:8">
      <c r="H20628" t="s">
        <v>24907</v>
      </c>
    </row>
    <row r="20629" spans="6:8">
      <c r="H20629" t="s">
        <v>24908</v>
      </c>
    </row>
    <row r="20630" spans="6:8">
      <c r="H20630" t="s">
        <v>24909</v>
      </c>
    </row>
    <row r="20631" spans="6:8">
      <c r="H20631" t="s">
        <v>24910</v>
      </c>
    </row>
    <row r="20632" spans="6:8">
      <c r="H20632" t="s">
        <v>24911</v>
      </c>
    </row>
    <row r="20633" spans="6:8">
      <c r="H20633" t="s">
        <v>24912</v>
      </c>
    </row>
    <row r="20634" spans="6:8">
      <c r="H20634" t="s">
        <v>24913</v>
      </c>
    </row>
    <row r="20635" spans="6:8">
      <c r="H20635" t="s">
        <v>24914</v>
      </c>
    </row>
    <row r="20636" spans="6:8">
      <c r="H20636" t="s">
        <v>24915</v>
      </c>
    </row>
    <row r="20637" spans="6:8">
      <c r="H20637" t="s">
        <v>24916</v>
      </c>
    </row>
    <row r="20638" spans="6:8">
      <c r="F20638" t="s">
        <v>12555</v>
      </c>
      <c r="G20638" t="s">
        <v>16771</v>
      </c>
      <c r="H20638" t="s">
        <v>18829</v>
      </c>
    </row>
    <row r="20639" spans="6:8">
      <c r="H20639" t="s">
        <v>24917</v>
      </c>
    </row>
    <row r="20640" spans="6:8">
      <c r="H20640" t="s">
        <v>24918</v>
      </c>
    </row>
    <row r="20641" spans="6:8">
      <c r="H20641" t="s">
        <v>24919</v>
      </c>
    </row>
    <row r="20642" spans="6:8">
      <c r="H20642" t="s">
        <v>24920</v>
      </c>
    </row>
    <row r="20643" spans="6:8">
      <c r="H20643" t="s">
        <v>24921</v>
      </c>
    </row>
    <row r="20644" spans="6:8">
      <c r="H20644" t="s">
        <v>24922</v>
      </c>
    </row>
    <row r="20645" spans="6:8">
      <c r="H20645" t="s">
        <v>24923</v>
      </c>
    </row>
    <row r="20646" spans="6:8">
      <c r="H20646" t="s">
        <v>24924</v>
      </c>
    </row>
    <row r="20647" spans="6:8">
      <c r="H20647" t="s">
        <v>24925</v>
      </c>
    </row>
    <row r="20648" spans="6:8">
      <c r="F20648" t="s">
        <v>12556</v>
      </c>
      <c r="G20648" t="s">
        <v>16772</v>
      </c>
      <c r="H20648" t="s">
        <v>18829</v>
      </c>
    </row>
    <row r="20649" spans="6:8">
      <c r="H20649" t="s">
        <v>24926</v>
      </c>
    </row>
    <row r="20650" spans="6:8">
      <c r="H20650" t="s">
        <v>24927</v>
      </c>
    </row>
    <row r="20651" spans="6:8">
      <c r="H20651" t="s">
        <v>24928</v>
      </c>
    </row>
    <row r="20652" spans="6:8">
      <c r="H20652" t="s">
        <v>24929</v>
      </c>
    </row>
    <row r="20653" spans="6:8">
      <c r="H20653" t="s">
        <v>24930</v>
      </c>
    </row>
    <row r="20654" spans="6:8">
      <c r="H20654" t="s">
        <v>24931</v>
      </c>
    </row>
    <row r="20655" spans="6:8">
      <c r="H20655" t="s">
        <v>24932</v>
      </c>
    </row>
    <row r="20656" spans="6:8">
      <c r="H20656" t="s">
        <v>24933</v>
      </c>
    </row>
    <row r="20657" spans="6:8">
      <c r="H20657" t="s">
        <v>24934</v>
      </c>
    </row>
    <row r="20658" spans="6:8">
      <c r="F20658" t="s">
        <v>12557</v>
      </c>
      <c r="G20658" t="s">
        <v>16773</v>
      </c>
      <c r="H20658" t="s">
        <v>18829</v>
      </c>
    </row>
    <row r="20659" spans="6:8">
      <c r="H20659" t="s">
        <v>24935</v>
      </c>
    </row>
    <row r="20660" spans="6:8">
      <c r="H20660" t="s">
        <v>24936</v>
      </c>
    </row>
    <row r="20661" spans="6:8">
      <c r="H20661" t="s">
        <v>24937</v>
      </c>
    </row>
    <row r="20662" spans="6:8">
      <c r="H20662" t="s">
        <v>24938</v>
      </c>
    </row>
    <row r="20663" spans="6:8">
      <c r="H20663" t="s">
        <v>24939</v>
      </c>
    </row>
    <row r="20664" spans="6:8">
      <c r="H20664" t="s">
        <v>24940</v>
      </c>
    </row>
    <row r="20665" spans="6:8">
      <c r="H20665" t="s">
        <v>24941</v>
      </c>
    </row>
    <row r="20666" spans="6:8">
      <c r="H20666" t="s">
        <v>24942</v>
      </c>
    </row>
    <row r="20667" spans="6:8">
      <c r="H20667" t="s">
        <v>24943</v>
      </c>
    </row>
    <row r="20668" spans="6:8">
      <c r="F20668" t="s">
        <v>12558</v>
      </c>
      <c r="G20668" t="s">
        <v>16774</v>
      </c>
      <c r="H20668" t="s">
        <v>18829</v>
      </c>
    </row>
    <row r="20669" spans="6:8">
      <c r="H20669" t="s">
        <v>24944</v>
      </c>
    </row>
    <row r="20670" spans="6:8">
      <c r="H20670" t="s">
        <v>24945</v>
      </c>
    </row>
    <row r="20671" spans="6:8">
      <c r="H20671" t="s">
        <v>24946</v>
      </c>
    </row>
    <row r="20672" spans="6:8">
      <c r="H20672" t="s">
        <v>24947</v>
      </c>
    </row>
    <row r="20673" spans="6:8">
      <c r="H20673" t="s">
        <v>24948</v>
      </c>
    </row>
    <row r="20674" spans="6:8">
      <c r="H20674" t="s">
        <v>24949</v>
      </c>
    </row>
    <row r="20675" spans="6:8">
      <c r="H20675" t="s">
        <v>24950</v>
      </c>
    </row>
    <row r="20676" spans="6:8">
      <c r="H20676" t="s">
        <v>24951</v>
      </c>
    </row>
    <row r="20677" spans="6:8">
      <c r="H20677" t="s">
        <v>24952</v>
      </c>
    </row>
    <row r="20678" spans="6:8">
      <c r="F20678" t="s">
        <v>12559</v>
      </c>
      <c r="G20678" t="s">
        <v>16775</v>
      </c>
      <c r="H20678" t="s">
        <v>18829</v>
      </c>
    </row>
    <row r="20679" spans="6:8">
      <c r="H20679" t="s">
        <v>24953</v>
      </c>
    </row>
    <row r="20680" spans="6:8">
      <c r="H20680" t="s">
        <v>24954</v>
      </c>
    </row>
    <row r="20681" spans="6:8">
      <c r="H20681" t="s">
        <v>24955</v>
      </c>
    </row>
    <row r="20682" spans="6:8">
      <c r="H20682" t="s">
        <v>24956</v>
      </c>
    </row>
    <row r="20683" spans="6:8">
      <c r="H20683" t="s">
        <v>24957</v>
      </c>
    </row>
    <row r="20684" spans="6:8">
      <c r="H20684" t="s">
        <v>24958</v>
      </c>
    </row>
    <row r="20685" spans="6:8">
      <c r="H20685" t="s">
        <v>24959</v>
      </c>
    </row>
    <row r="20686" spans="6:8">
      <c r="H20686" t="s">
        <v>24960</v>
      </c>
    </row>
    <row r="20687" spans="6:8">
      <c r="H20687" t="s">
        <v>24961</v>
      </c>
    </row>
    <row r="20688" spans="6:8">
      <c r="F20688" t="s">
        <v>12565</v>
      </c>
      <c r="G20688" t="s">
        <v>16781</v>
      </c>
      <c r="H20688" t="s">
        <v>25007</v>
      </c>
    </row>
    <row r="20689" spans="1:8">
      <c r="H20689" t="s">
        <v>25008</v>
      </c>
    </row>
    <row r="20690" spans="1:8">
      <c r="H20690" t="s">
        <v>25009</v>
      </c>
    </row>
    <row r="20691" spans="1:8">
      <c r="F20691" t="s">
        <v>12566</v>
      </c>
      <c r="G20691" t="s">
        <v>16782</v>
      </c>
      <c r="H20691" t="s">
        <v>25010</v>
      </c>
    </row>
    <row r="20692" spans="1:8">
      <c r="F20692" t="s">
        <v>12342</v>
      </c>
      <c r="G20692" t="s">
        <v>16570</v>
      </c>
      <c r="H20692" t="s">
        <v>25011</v>
      </c>
    </row>
    <row r="20693" spans="1:8">
      <c r="F20693" t="s">
        <v>12567</v>
      </c>
      <c r="G20693" t="s">
        <v>16783</v>
      </c>
      <c r="H20693" t="s">
        <v>25012</v>
      </c>
    </row>
    <row r="20694" spans="1:8">
      <c r="F20694" t="s">
        <v>12344</v>
      </c>
      <c r="G20694" t="s">
        <v>16572</v>
      </c>
      <c r="H20694" t="s">
        <v>25013</v>
      </c>
    </row>
    <row r="20695" spans="1:8">
      <c r="A20695" t="s">
        <v>721</v>
      </c>
      <c r="B20695">
        <f>HYPERLINK("https://android.googlesource.com/platform/cts/+/5e6ec40ad0f0a6996c63770def2aac83f69dea91", "5e6ec40ad0f0a6996c63770def2aac83f69dea91")</f>
        <v>0</v>
      </c>
      <c r="C20695">
        <f>HYPERLINK("https://android.googlesource.com/platform/cts/+/db3ab841b1a273aabcea7cebc8af7e02babf91ce", "db3ab841b1a273aabcea7cebc8af7e02babf91ce")</f>
        <v>0</v>
      </c>
      <c r="D20695" t="s">
        <v>5073</v>
      </c>
      <c r="E20695" t="s">
        <v>6504</v>
      </c>
      <c r="F20695" t="s">
        <v>12561</v>
      </c>
      <c r="G20695" t="s">
        <v>16777</v>
      </c>
      <c r="H20695" t="s">
        <v>24970</v>
      </c>
    </row>
    <row r="20696" spans="1:8">
      <c r="A20696" t="s">
        <v>722</v>
      </c>
      <c r="B20696">
        <f>HYPERLINK("https://android.googlesource.com/platform/cts/+/cc9af6e6ffb2bef2cd094795c738ae2b10624dea", "cc9af6e6ffb2bef2cd094795c738ae2b10624dea")</f>
        <v>0</v>
      </c>
      <c r="C20696">
        <f>HYPERLINK("https://android.googlesource.com/platform/cts/+/3dd9f1ec1a97905ea1901d9450cfddb48966a382", "3dd9f1ec1a97905ea1901d9450cfddb48966a382")</f>
        <v>0</v>
      </c>
      <c r="D20696" t="s">
        <v>5075</v>
      </c>
      <c r="E20696" t="s">
        <v>6505</v>
      </c>
      <c r="F20696" t="s">
        <v>12568</v>
      </c>
      <c r="G20696" t="s">
        <v>16784</v>
      </c>
      <c r="H20696" t="s">
        <v>18829</v>
      </c>
    </row>
    <row r="20697" spans="1:8">
      <c r="H20697" t="s">
        <v>25014</v>
      </c>
    </row>
    <row r="20698" spans="1:8">
      <c r="H20698" t="s">
        <v>25015</v>
      </c>
    </row>
    <row r="20699" spans="1:8">
      <c r="H20699" t="s">
        <v>25016</v>
      </c>
    </row>
    <row r="20700" spans="1:8">
      <c r="H20700" t="s">
        <v>25017</v>
      </c>
    </row>
    <row r="20701" spans="1:8">
      <c r="H20701" t="s">
        <v>25018</v>
      </c>
    </row>
    <row r="20702" spans="1:8">
      <c r="H20702" t="s">
        <v>25019</v>
      </c>
    </row>
    <row r="20703" spans="1:8">
      <c r="A20703" t="s">
        <v>723</v>
      </c>
      <c r="B20703">
        <f>HYPERLINK("https://android.googlesource.com/platform/cts/+/0830ac38a433e25dc5d32ee6aad28ec40f5a651e", "0830ac38a433e25dc5d32ee6aad28ec40f5a651e")</f>
        <v>0</v>
      </c>
      <c r="C20703">
        <f>HYPERLINK("https://android.googlesource.com/platform/cts/+/735358c6e5b9dacb51756eda8e663371126d685b", "735358c6e5b9dacb51756eda8e663371126d685b")</f>
        <v>0</v>
      </c>
      <c r="D20703" t="s">
        <v>5038</v>
      </c>
      <c r="E20703" t="s">
        <v>6506</v>
      </c>
      <c r="F20703" t="s">
        <v>12569</v>
      </c>
      <c r="G20703" t="s">
        <v>16785</v>
      </c>
      <c r="H20703" t="s">
        <v>25020</v>
      </c>
    </row>
    <row r="20704" spans="1:8">
      <c r="H20704" t="s">
        <v>25021</v>
      </c>
    </row>
    <row r="20705" spans="1:8">
      <c r="H20705" t="s">
        <v>25022</v>
      </c>
    </row>
    <row r="20706" spans="1:8">
      <c r="H20706" t="s">
        <v>25023</v>
      </c>
    </row>
    <row r="20707" spans="1:8">
      <c r="A20707" t="s">
        <v>724</v>
      </c>
      <c r="B20707">
        <f>HYPERLINK("https://android.googlesource.com/platform/cts/+/3b5af16f8a21e9ce5de57b7c748d8eda1b0bdbec", "3b5af16f8a21e9ce5de57b7c748d8eda1b0bdbec")</f>
        <v>0</v>
      </c>
      <c r="C20707">
        <f>HYPERLINK("https://android.googlesource.com/platform/cts/+/80b92d0b32aa5a9d6c18e04ee325b9e3f95e1bae", "80b92d0b32aa5a9d6c18e04ee325b9e3f95e1bae")</f>
        <v>0</v>
      </c>
      <c r="D20707" t="s">
        <v>5076</v>
      </c>
      <c r="E20707" t="s">
        <v>6507</v>
      </c>
      <c r="F20707" t="s">
        <v>12570</v>
      </c>
      <c r="G20707" t="s">
        <v>16786</v>
      </c>
      <c r="H20707" t="s">
        <v>25024</v>
      </c>
    </row>
    <row r="20708" spans="1:8">
      <c r="F20708" t="s">
        <v>10778</v>
      </c>
      <c r="G20708" t="s">
        <v>15174</v>
      </c>
      <c r="H20708" t="s">
        <v>25025</v>
      </c>
    </row>
    <row r="20709" spans="1:8">
      <c r="A20709" t="s">
        <v>725</v>
      </c>
      <c r="B20709">
        <f>HYPERLINK("https://android.googlesource.com/platform/cts/+/4b7f7c01129b624947d9f9a84e9e851a2761fed7", "4b7f7c01129b624947d9f9a84e9e851a2761fed7")</f>
        <v>0</v>
      </c>
      <c r="C20709">
        <f>HYPERLINK("https://android.googlesource.com/platform/cts/+/9306115a474168ff12dd5312c5820e9c54134e9c", "9306115a474168ff12dd5312c5820e9c54134e9c")</f>
        <v>0</v>
      </c>
      <c r="D20709" t="s">
        <v>5018</v>
      </c>
      <c r="E20709" t="s">
        <v>6508</v>
      </c>
      <c r="F20709" t="s">
        <v>12571</v>
      </c>
      <c r="G20709" t="s">
        <v>16787</v>
      </c>
      <c r="H20709" t="s">
        <v>25026</v>
      </c>
    </row>
    <row r="20710" spans="1:8">
      <c r="H20710" t="s">
        <v>25027</v>
      </c>
    </row>
    <row r="20711" spans="1:8">
      <c r="A20711" t="s">
        <v>726</v>
      </c>
      <c r="B20711">
        <f>HYPERLINK("https://android.googlesource.com/platform/cts/+/0408b17d15c515c251c3544104112f859168c9d3", "0408b17d15c515c251c3544104112f859168c9d3")</f>
        <v>0</v>
      </c>
      <c r="C20711">
        <f>HYPERLINK("https://android.googlesource.com/platform/cts/+/7082fb8c9cc97300f36b714efe4f6d99c344fd6d", "7082fb8c9cc97300f36b714efe4f6d99c344fd6d")</f>
        <v>0</v>
      </c>
      <c r="D20711" t="s">
        <v>5077</v>
      </c>
      <c r="E20711" t="s">
        <v>6509</v>
      </c>
      <c r="F20711" t="s">
        <v>12223</v>
      </c>
      <c r="G20711" t="s">
        <v>16453</v>
      </c>
      <c r="H20711" t="s">
        <v>25028</v>
      </c>
    </row>
    <row r="20712" spans="1:8">
      <c r="H20712" t="s">
        <v>25029</v>
      </c>
    </row>
    <row r="20713" spans="1:8">
      <c r="H20713" t="s">
        <v>25030</v>
      </c>
    </row>
    <row r="20714" spans="1:8">
      <c r="F20714" t="s">
        <v>12224</v>
      </c>
      <c r="G20714" t="s">
        <v>16454</v>
      </c>
      <c r="H20714" t="s">
        <v>25031</v>
      </c>
    </row>
    <row r="20715" spans="1:8">
      <c r="H20715" t="s">
        <v>25032</v>
      </c>
    </row>
    <row r="20716" spans="1:8">
      <c r="A20716" t="s">
        <v>727</v>
      </c>
      <c r="B20716">
        <f>HYPERLINK("https://android.googlesource.com/platform/cts/+/ba9da1b9432671d4405054462b863ed63a46af7f", "ba9da1b9432671d4405054462b863ed63a46af7f")</f>
        <v>0</v>
      </c>
      <c r="C20716">
        <f>HYPERLINK("https://android.googlesource.com/platform/cts/+/45ffab2bf010922764619f5f7dd379dc2c1bdf99", "45ffab2bf010922764619f5f7dd379dc2c1bdf99")</f>
        <v>0</v>
      </c>
      <c r="D20716" t="s">
        <v>5078</v>
      </c>
      <c r="E20716" t="s">
        <v>6510</v>
      </c>
      <c r="F20716" t="s">
        <v>12572</v>
      </c>
      <c r="G20716" t="s">
        <v>16788</v>
      </c>
      <c r="H20716" t="s">
        <v>25033</v>
      </c>
    </row>
    <row r="20717" spans="1:8">
      <c r="A20717" t="s">
        <v>728</v>
      </c>
      <c r="B20717">
        <f>HYPERLINK("https://android.googlesource.com/platform/cts/+/cb67c1d20b8f739cb7e11e6b5905739e015dfd27", "cb67c1d20b8f739cb7e11e6b5905739e015dfd27")</f>
        <v>0</v>
      </c>
      <c r="C20717">
        <f>HYPERLINK("https://android.googlesource.com/platform/cts/+/1eddd75307154218fb897e0fb3dee3e3166014c7", "1eddd75307154218fb897e0fb3dee3e3166014c7")</f>
        <v>0</v>
      </c>
      <c r="D20717" t="s">
        <v>5004</v>
      </c>
      <c r="E20717" t="s">
        <v>6511</v>
      </c>
      <c r="F20717" t="s">
        <v>12221</v>
      </c>
      <c r="G20717" t="s">
        <v>16451</v>
      </c>
      <c r="H20717" t="s">
        <v>25034</v>
      </c>
    </row>
    <row r="20718" spans="1:8">
      <c r="A20718" t="s">
        <v>729</v>
      </c>
      <c r="B20718">
        <f>HYPERLINK("https://android.googlesource.com/platform/cts/+/f5fc7f7dedbe5085ba9621bae0868141e5dcaa1f", "f5fc7f7dedbe5085ba9621bae0868141e5dcaa1f")</f>
        <v>0</v>
      </c>
      <c r="C20718">
        <f>HYPERLINK("https://android.googlesource.com/platform/cts/+/8dc44abd2f63ebb3f64a640004deec7a916a20c1", "8dc44abd2f63ebb3f64a640004deec7a916a20c1")</f>
        <v>0</v>
      </c>
      <c r="D20718" t="s">
        <v>5057</v>
      </c>
      <c r="E20718" t="s">
        <v>6512</v>
      </c>
      <c r="F20718" t="s">
        <v>12573</v>
      </c>
      <c r="G20718" t="s">
        <v>16789</v>
      </c>
      <c r="H20718" t="s">
        <v>25035</v>
      </c>
    </row>
    <row r="20719" spans="1:8">
      <c r="F20719" t="s">
        <v>12574</v>
      </c>
      <c r="G20719" t="s">
        <v>16790</v>
      </c>
      <c r="H20719" t="s">
        <v>25036</v>
      </c>
    </row>
    <row r="20720" spans="1:8">
      <c r="F20720" t="s">
        <v>12575</v>
      </c>
      <c r="G20720" t="s">
        <v>16791</v>
      </c>
      <c r="H20720" t="s">
        <v>25037</v>
      </c>
    </row>
    <row r="20721" spans="6:8">
      <c r="F20721" t="s">
        <v>12576</v>
      </c>
      <c r="G20721" t="s">
        <v>16792</v>
      </c>
      <c r="H20721" t="s">
        <v>25038</v>
      </c>
    </row>
    <row r="20722" spans="6:8">
      <c r="F20722" t="s">
        <v>12577</v>
      </c>
      <c r="G20722" t="s">
        <v>16793</v>
      </c>
      <c r="H20722" t="s">
        <v>25039</v>
      </c>
    </row>
    <row r="20723" spans="6:8">
      <c r="F20723" t="s">
        <v>12578</v>
      </c>
      <c r="G20723" t="s">
        <v>16794</v>
      </c>
      <c r="H20723" t="s">
        <v>25040</v>
      </c>
    </row>
    <row r="20724" spans="6:8">
      <c r="F20724" t="s">
        <v>12579</v>
      </c>
      <c r="G20724" t="s">
        <v>16795</v>
      </c>
      <c r="H20724" t="s">
        <v>25041</v>
      </c>
    </row>
    <row r="20725" spans="6:8">
      <c r="F20725" t="s">
        <v>12580</v>
      </c>
      <c r="G20725" t="s">
        <v>16796</v>
      </c>
      <c r="H20725" t="s">
        <v>25042</v>
      </c>
    </row>
    <row r="20726" spans="6:8">
      <c r="F20726" t="s">
        <v>12581</v>
      </c>
      <c r="G20726" t="s">
        <v>16797</v>
      </c>
      <c r="H20726" t="s">
        <v>25043</v>
      </c>
    </row>
    <row r="20727" spans="6:8">
      <c r="F20727" t="s">
        <v>11469</v>
      </c>
      <c r="G20727" t="s">
        <v>15709</v>
      </c>
      <c r="H20727" t="s">
        <v>25044</v>
      </c>
    </row>
    <row r="20728" spans="6:8">
      <c r="F20728" t="s">
        <v>12582</v>
      </c>
      <c r="G20728" t="s">
        <v>16798</v>
      </c>
      <c r="H20728" t="s">
        <v>25045</v>
      </c>
    </row>
    <row r="20729" spans="6:8">
      <c r="F20729" t="s">
        <v>12583</v>
      </c>
      <c r="G20729" t="s">
        <v>16799</v>
      </c>
      <c r="H20729" t="s">
        <v>25046</v>
      </c>
    </row>
    <row r="20730" spans="6:8">
      <c r="F20730" t="s">
        <v>12584</v>
      </c>
      <c r="G20730" t="s">
        <v>16800</v>
      </c>
      <c r="H20730" t="s">
        <v>25047</v>
      </c>
    </row>
    <row r="20731" spans="6:8">
      <c r="F20731" t="s">
        <v>12585</v>
      </c>
      <c r="G20731" t="s">
        <v>16801</v>
      </c>
      <c r="H20731" t="s">
        <v>25048</v>
      </c>
    </row>
    <row r="20732" spans="6:8">
      <c r="F20732" t="s">
        <v>12586</v>
      </c>
      <c r="G20732" t="s">
        <v>16802</v>
      </c>
      <c r="H20732" t="s">
        <v>25049</v>
      </c>
    </row>
    <row r="20733" spans="6:8">
      <c r="F20733" t="s">
        <v>12587</v>
      </c>
      <c r="G20733" t="s">
        <v>16803</v>
      </c>
      <c r="H20733" t="s">
        <v>25050</v>
      </c>
    </row>
    <row r="20734" spans="6:8">
      <c r="F20734" t="s">
        <v>12588</v>
      </c>
      <c r="G20734" t="s">
        <v>16804</v>
      </c>
      <c r="H20734" t="s">
        <v>25051</v>
      </c>
    </row>
    <row r="20735" spans="6:8">
      <c r="F20735" t="s">
        <v>12589</v>
      </c>
      <c r="G20735" t="s">
        <v>16805</v>
      </c>
      <c r="H20735" t="s">
        <v>25052</v>
      </c>
    </row>
    <row r="20736" spans="6:8">
      <c r="F20736" t="s">
        <v>11187</v>
      </c>
      <c r="G20736" t="s">
        <v>15576</v>
      </c>
      <c r="H20736" t="s">
        <v>25053</v>
      </c>
    </row>
    <row r="20737" spans="1:8">
      <c r="H20737" t="s">
        <v>25053</v>
      </c>
    </row>
    <row r="20738" spans="1:8">
      <c r="F20738" t="s">
        <v>12590</v>
      </c>
      <c r="G20738" t="s">
        <v>16806</v>
      </c>
      <c r="H20738" t="s">
        <v>25054</v>
      </c>
    </row>
    <row r="20739" spans="1:8">
      <c r="F20739" t="s">
        <v>12591</v>
      </c>
      <c r="G20739" t="s">
        <v>16807</v>
      </c>
      <c r="H20739" t="s">
        <v>25055</v>
      </c>
    </row>
    <row r="20740" spans="1:8">
      <c r="A20740" t="s">
        <v>730</v>
      </c>
      <c r="B20740">
        <f>HYPERLINK("https://android.googlesource.com/platform/cts/+/ac8d674e13b3eaf97990cc3e6aa86de86155a6cd", "ac8d674e13b3eaf97990cc3e6aa86de86155a6cd")</f>
        <v>0</v>
      </c>
      <c r="C20740">
        <f>HYPERLINK("https://android.googlesource.com/platform/cts/+/82f583a8b9e5608f36d08d5add3880db2b8c512e", "82f583a8b9e5608f36d08d5add3880db2b8c512e")</f>
        <v>0</v>
      </c>
      <c r="D20740" t="s">
        <v>5002</v>
      </c>
      <c r="E20740" t="s">
        <v>6513</v>
      </c>
      <c r="F20740" t="s">
        <v>12592</v>
      </c>
      <c r="G20740" t="s">
        <v>16808</v>
      </c>
      <c r="H20740" t="s">
        <v>25056</v>
      </c>
    </row>
    <row r="20741" spans="1:8">
      <c r="H20741" t="s">
        <v>25057</v>
      </c>
    </row>
    <row r="20742" spans="1:8">
      <c r="H20742" t="s">
        <v>25058</v>
      </c>
    </row>
    <row r="20743" spans="1:8">
      <c r="H20743" t="s">
        <v>25059</v>
      </c>
    </row>
    <row r="20744" spans="1:8">
      <c r="F20744" t="s">
        <v>12593</v>
      </c>
      <c r="G20744" t="s">
        <v>16809</v>
      </c>
      <c r="H20744" t="s">
        <v>25060</v>
      </c>
    </row>
    <row r="20745" spans="1:8">
      <c r="H20745" t="s">
        <v>25061</v>
      </c>
    </row>
    <row r="20746" spans="1:8">
      <c r="H20746" t="s">
        <v>25062</v>
      </c>
    </row>
    <row r="20747" spans="1:8">
      <c r="F20747" t="s">
        <v>12594</v>
      </c>
      <c r="G20747" t="s">
        <v>14991</v>
      </c>
      <c r="H20747" t="s">
        <v>19364</v>
      </c>
    </row>
    <row r="20748" spans="1:8">
      <c r="H20748" t="s">
        <v>18931</v>
      </c>
    </row>
    <row r="20749" spans="1:8">
      <c r="F20749" t="s">
        <v>12595</v>
      </c>
      <c r="G20749" t="s">
        <v>14992</v>
      </c>
      <c r="H20749" t="s">
        <v>18924</v>
      </c>
    </row>
    <row r="20750" spans="1:8">
      <c r="H20750" t="s">
        <v>18961</v>
      </c>
    </row>
    <row r="20751" spans="1:8">
      <c r="H20751" t="s">
        <v>18931</v>
      </c>
    </row>
    <row r="20752" spans="1:8">
      <c r="H20752" t="s">
        <v>19230</v>
      </c>
    </row>
    <row r="20753" spans="6:8">
      <c r="F20753" t="s">
        <v>12596</v>
      </c>
      <c r="G20753" t="s">
        <v>16810</v>
      </c>
      <c r="H20753" t="s">
        <v>25063</v>
      </c>
    </row>
    <row r="20754" spans="6:8">
      <c r="H20754" t="s">
        <v>19740</v>
      </c>
    </row>
    <row r="20755" spans="6:8">
      <c r="F20755" t="s">
        <v>12597</v>
      </c>
      <c r="G20755" t="s">
        <v>14995</v>
      </c>
      <c r="H20755" t="s">
        <v>18960</v>
      </c>
    </row>
    <row r="20756" spans="6:8">
      <c r="H20756" t="s">
        <v>25064</v>
      </c>
    </row>
    <row r="20757" spans="6:8">
      <c r="H20757" t="s">
        <v>19788</v>
      </c>
    </row>
    <row r="20758" spans="6:8">
      <c r="H20758" t="s">
        <v>18962</v>
      </c>
    </row>
    <row r="20759" spans="6:8">
      <c r="H20759" t="s">
        <v>20040</v>
      </c>
    </row>
    <row r="20760" spans="6:8">
      <c r="H20760" t="s">
        <v>18931</v>
      </c>
    </row>
    <row r="20761" spans="6:8">
      <c r="H20761" t="s">
        <v>19949</v>
      </c>
    </row>
    <row r="20762" spans="6:8">
      <c r="H20762" t="s">
        <v>20042</v>
      </c>
    </row>
    <row r="20763" spans="6:8">
      <c r="F20763" t="s">
        <v>12598</v>
      </c>
      <c r="G20763" t="s">
        <v>16811</v>
      </c>
      <c r="H20763" t="s">
        <v>25065</v>
      </c>
    </row>
    <row r="20764" spans="6:8">
      <c r="H20764" t="s">
        <v>25066</v>
      </c>
    </row>
    <row r="20765" spans="6:8">
      <c r="H20765" t="s">
        <v>25067</v>
      </c>
    </row>
    <row r="20766" spans="6:8">
      <c r="H20766" t="s">
        <v>25068</v>
      </c>
    </row>
    <row r="20767" spans="6:8">
      <c r="H20767" t="s">
        <v>25069</v>
      </c>
    </row>
    <row r="20768" spans="6:8">
      <c r="H20768" t="s">
        <v>25070</v>
      </c>
    </row>
    <row r="20769" spans="1:8">
      <c r="H20769" t="s">
        <v>25071</v>
      </c>
    </row>
    <row r="20770" spans="1:8">
      <c r="H20770" t="s">
        <v>25072</v>
      </c>
    </row>
    <row r="20771" spans="1:8">
      <c r="A20771" t="s">
        <v>731</v>
      </c>
      <c r="B20771">
        <f>HYPERLINK("https://android.googlesource.com/platform/cts/+/ea04cb95ba4c78cda9e197228803f75ab90efa00", "ea04cb95ba4c78cda9e197228803f75ab90efa00")</f>
        <v>0</v>
      </c>
      <c r="C20771">
        <f>HYPERLINK("https://android.googlesource.com/platform/cts/+/1ab85bf4c6456cac2b45930421eab914c33cbf45", "1ab85bf4c6456cac2b45930421eab914c33cbf45")</f>
        <v>0</v>
      </c>
      <c r="D20771" t="s">
        <v>5004</v>
      </c>
      <c r="E20771" t="s">
        <v>6514</v>
      </c>
      <c r="F20771" t="s">
        <v>12312</v>
      </c>
      <c r="G20771" t="s">
        <v>16543</v>
      </c>
      <c r="H20771" t="s">
        <v>25073</v>
      </c>
    </row>
    <row r="20772" spans="1:8">
      <c r="A20772" t="s">
        <v>732</v>
      </c>
      <c r="B20772">
        <f>HYPERLINK("https://android.googlesource.com/platform/cts/+/cbade83fee83f8205885f1a62838adaf57b1c4d2", "cbade83fee83f8205885f1a62838adaf57b1c4d2")</f>
        <v>0</v>
      </c>
      <c r="C20772">
        <f>HYPERLINK("https://android.googlesource.com/platform/cts/+/4e0c54f4becf7dd0f15ee0f5a91d997e86b67118", "4e0c54f4becf7dd0f15ee0f5a91d997e86b67118")</f>
        <v>0</v>
      </c>
      <c r="D20772" t="s">
        <v>5038</v>
      </c>
      <c r="E20772" t="s">
        <v>6515</v>
      </c>
      <c r="F20772" t="s">
        <v>12569</v>
      </c>
      <c r="G20772" t="s">
        <v>16785</v>
      </c>
      <c r="H20772" t="s">
        <v>25074</v>
      </c>
    </row>
    <row r="20773" spans="1:8">
      <c r="A20773" t="s">
        <v>733</v>
      </c>
      <c r="B20773">
        <f>HYPERLINK("https://android.googlesource.com/platform/cts/+/e4db5e3e8c4b742b6b1ded94000fcc8b861d8c70", "e4db5e3e8c4b742b6b1ded94000fcc8b861d8c70")</f>
        <v>0</v>
      </c>
      <c r="C20773">
        <f>HYPERLINK("https://android.googlesource.com/platform/cts/+/df18bbda3f6d24d077209b611735975e21fae093", "df18bbda3f6d24d077209b611735975e21fae093")</f>
        <v>0</v>
      </c>
      <c r="D20773" t="s">
        <v>4960</v>
      </c>
      <c r="E20773" t="s">
        <v>6516</v>
      </c>
      <c r="F20773" t="s">
        <v>11443</v>
      </c>
      <c r="G20773" t="s">
        <v>15683</v>
      </c>
      <c r="H20773" t="s">
        <v>25075</v>
      </c>
    </row>
    <row r="20774" spans="1:8">
      <c r="A20774" t="s">
        <v>735</v>
      </c>
      <c r="B20774">
        <f>HYPERLINK("https://android.googlesource.com/platform/cts/+/20815e69e7d5c7f62b190b7ef337a1dd6ec3df83", "20815e69e7d5c7f62b190b7ef337a1dd6ec3df83")</f>
        <v>0</v>
      </c>
      <c r="C20774">
        <f>HYPERLINK("https://android.googlesource.com/platform/cts/+/8e7fb5257401578e6eb5aac7194be991831bd619", "8e7fb5257401578e6eb5aac7194be991831bd619")</f>
        <v>0</v>
      </c>
      <c r="D20774" t="s">
        <v>5077</v>
      </c>
      <c r="E20774" t="s">
        <v>6518</v>
      </c>
      <c r="F20774" t="s">
        <v>12599</v>
      </c>
      <c r="G20774" t="s">
        <v>16812</v>
      </c>
      <c r="H20774" t="s">
        <v>25076</v>
      </c>
    </row>
    <row r="20775" spans="1:8">
      <c r="H20775" t="s">
        <v>25077</v>
      </c>
    </row>
    <row r="20776" spans="1:8">
      <c r="H20776" t="s">
        <v>25078</v>
      </c>
    </row>
    <row r="20777" spans="1:8">
      <c r="H20777" t="s">
        <v>25079</v>
      </c>
    </row>
    <row r="20778" spans="1:8">
      <c r="A20778" t="s">
        <v>738</v>
      </c>
      <c r="B20778">
        <f>HYPERLINK("https://android.googlesource.com/platform/cts/+/fab5b16079aa549caaf65f1b95ff98c3edbd98ec", "fab5b16079aa549caaf65f1b95ff98c3edbd98ec")</f>
        <v>0</v>
      </c>
      <c r="C20778">
        <f>HYPERLINK("https://android.googlesource.com/platform/cts/+/0b23c39fd161b04c7f2008b0b245542c3ba8aba0", "0b23c39fd161b04c7f2008b0b245542c3ba8aba0")</f>
        <v>0</v>
      </c>
      <c r="D20778" t="s">
        <v>5038</v>
      </c>
      <c r="E20778" t="s">
        <v>6521</v>
      </c>
      <c r="F20778" t="s">
        <v>12600</v>
      </c>
      <c r="G20778" t="s">
        <v>16813</v>
      </c>
      <c r="H20778" t="s">
        <v>25080</v>
      </c>
    </row>
    <row r="20779" spans="1:8">
      <c r="A20779" t="s">
        <v>739</v>
      </c>
      <c r="B20779">
        <f>HYPERLINK("https://android.googlesource.com/platform/cts/+/bfe21539f8796fecab7ebc52e69fbad415466876", "bfe21539f8796fecab7ebc52e69fbad415466876")</f>
        <v>0</v>
      </c>
      <c r="C20779">
        <f>HYPERLINK("https://android.googlesource.com/platform/cts/+/d36d7bbfe4041684772d97a41e024d18034f0fb1", "d36d7bbfe4041684772d97a41e024d18034f0fb1")</f>
        <v>0</v>
      </c>
      <c r="D20779" t="s">
        <v>5057</v>
      </c>
      <c r="E20779" t="s">
        <v>6522</v>
      </c>
      <c r="F20779" t="s">
        <v>12601</v>
      </c>
      <c r="G20779" t="s">
        <v>16420</v>
      </c>
      <c r="H20779" t="s">
        <v>21301</v>
      </c>
    </row>
    <row r="20780" spans="1:8">
      <c r="H20780" t="s">
        <v>21302</v>
      </c>
    </row>
    <row r="20781" spans="1:8">
      <c r="H20781" t="s">
        <v>21303</v>
      </c>
    </row>
    <row r="20782" spans="1:8">
      <c r="H20782" t="s">
        <v>21304</v>
      </c>
    </row>
    <row r="20783" spans="1:8">
      <c r="H20783" t="s">
        <v>21305</v>
      </c>
    </row>
    <row r="20784" spans="1:8">
      <c r="A20784" t="s">
        <v>740</v>
      </c>
      <c r="B20784">
        <f>HYPERLINK("https://android.googlesource.com/platform/cts/+/92b89af07ac9f528228d44b71ce6131e5d36dc13", "92b89af07ac9f528228d44b71ce6131e5d36dc13")</f>
        <v>0</v>
      </c>
      <c r="C20784">
        <f>HYPERLINK("https://android.googlesource.com/platform/cts/+/00d083abecc0d0671ff6e71bf3664fd4e825e52f", "00d083abecc0d0671ff6e71bf3664fd4e825e52f")</f>
        <v>0</v>
      </c>
      <c r="D20784" t="s">
        <v>5040</v>
      </c>
      <c r="E20784" t="s">
        <v>6523</v>
      </c>
      <c r="F20784" t="s">
        <v>12602</v>
      </c>
      <c r="G20784" t="s">
        <v>16814</v>
      </c>
      <c r="H20784" t="s">
        <v>25081</v>
      </c>
    </row>
    <row r="20785" spans="1:8">
      <c r="A20785" t="s">
        <v>741</v>
      </c>
      <c r="B20785">
        <f>HYPERLINK("https://android.googlesource.com/platform/cts/+/007eba931a2995cb28b5ee902db1de20e0af30bd", "007eba931a2995cb28b5ee902db1de20e0af30bd")</f>
        <v>0</v>
      </c>
      <c r="C20785">
        <f>HYPERLINK("https://android.googlesource.com/platform/cts/+/769e48db74612b80c294b96d1a2286888d2da6b6", "769e48db74612b80c294b96d1a2286888d2da6b6")</f>
        <v>0</v>
      </c>
      <c r="D20785" t="s">
        <v>5004</v>
      </c>
      <c r="E20785" t="s">
        <v>6524</v>
      </c>
      <c r="F20785" t="s">
        <v>12603</v>
      </c>
      <c r="G20785" t="s">
        <v>16815</v>
      </c>
      <c r="H20785" t="s">
        <v>25082</v>
      </c>
    </row>
    <row r="20786" spans="1:8">
      <c r="A20786" t="s">
        <v>742</v>
      </c>
      <c r="B20786">
        <f>HYPERLINK("https://android.googlesource.com/platform/cts/+/e523556a72ecf97c782354c95b2c018981a31e62", "e523556a72ecf97c782354c95b2c018981a31e62")</f>
        <v>0</v>
      </c>
      <c r="C20786">
        <f>HYPERLINK("https://android.googlesource.com/platform/cts/+/769e48db74612b80c294b96d1a2286888d2da6b6", "769e48db74612b80c294b96d1a2286888d2da6b6")</f>
        <v>0</v>
      </c>
      <c r="D20786" t="s">
        <v>5057</v>
      </c>
      <c r="E20786" t="s">
        <v>6525</v>
      </c>
      <c r="F20786" t="s">
        <v>12601</v>
      </c>
      <c r="G20786" t="s">
        <v>16420</v>
      </c>
      <c r="H20786" t="s">
        <v>25083</v>
      </c>
    </row>
    <row r="20787" spans="1:8">
      <c r="H20787" t="s">
        <v>25084</v>
      </c>
    </row>
    <row r="20788" spans="1:8">
      <c r="H20788" t="s">
        <v>25085</v>
      </c>
    </row>
    <row r="20789" spans="1:8">
      <c r="H20789" t="s">
        <v>25086</v>
      </c>
    </row>
    <row r="20790" spans="1:8">
      <c r="H20790" t="s">
        <v>25087</v>
      </c>
    </row>
    <row r="20791" spans="1:8">
      <c r="H20791" t="s">
        <v>25088</v>
      </c>
    </row>
    <row r="20792" spans="1:8">
      <c r="A20792" t="s">
        <v>743</v>
      </c>
      <c r="B20792">
        <f>HYPERLINK("https://android.googlesource.com/platform/cts/+/64c494af71f3907cac19d2101032420000a7e8d7", "64c494af71f3907cac19d2101032420000a7e8d7")</f>
        <v>0</v>
      </c>
      <c r="C20792">
        <f>HYPERLINK("https://android.googlesource.com/platform/cts/+/aefcae4de7db38bf091921a0827c8c44cbeb8d9b", "aefcae4de7db38bf091921a0827c8c44cbeb8d9b")</f>
        <v>0</v>
      </c>
      <c r="D20792" t="s">
        <v>5080</v>
      </c>
      <c r="E20792" t="s">
        <v>6526</v>
      </c>
      <c r="F20792" t="s">
        <v>12604</v>
      </c>
      <c r="G20792" t="s">
        <v>16816</v>
      </c>
      <c r="H20792" t="s">
        <v>25089</v>
      </c>
    </row>
    <row r="20793" spans="1:8">
      <c r="H20793" t="s">
        <v>25090</v>
      </c>
    </row>
    <row r="20794" spans="1:8">
      <c r="A20794" t="s">
        <v>744</v>
      </c>
      <c r="B20794">
        <f>HYPERLINK("https://android.googlesource.com/platform/cts/+/a6883759ffb4a19fc6ea6aae2d47cc9c60930a0f", "a6883759ffb4a19fc6ea6aae2d47cc9c60930a0f")</f>
        <v>0</v>
      </c>
      <c r="C20794">
        <f>HYPERLINK("https://android.googlesource.com/platform/cts/+/d9d3edb70a92b538694ba534cc46c3ecdae5c23a", "d9d3edb70a92b538694ba534cc46c3ecdae5c23a")</f>
        <v>0</v>
      </c>
      <c r="D20794" t="s">
        <v>5078</v>
      </c>
      <c r="E20794" t="s">
        <v>6527</v>
      </c>
      <c r="F20794" t="s">
        <v>12605</v>
      </c>
      <c r="G20794" t="s">
        <v>16817</v>
      </c>
      <c r="H20794" t="s">
        <v>25091</v>
      </c>
    </row>
    <row r="20795" spans="1:8">
      <c r="H20795" t="s">
        <v>25092</v>
      </c>
    </row>
    <row r="20796" spans="1:8">
      <c r="A20796" t="s">
        <v>745</v>
      </c>
      <c r="B20796">
        <f>HYPERLINK("https://android.googlesource.com/platform/cts/+/e4b9293da1a463f1ab623db7f960a35c54e18ec1", "e4b9293da1a463f1ab623db7f960a35c54e18ec1")</f>
        <v>0</v>
      </c>
      <c r="C20796">
        <f>HYPERLINK("https://android.googlesource.com/platform/cts/+/6fd2a43158d2cb4fc0f662b7575baeae65286f64", "6fd2a43158d2cb4fc0f662b7575baeae65286f64")</f>
        <v>0</v>
      </c>
      <c r="D20796" t="s">
        <v>5077</v>
      </c>
      <c r="E20796" t="s">
        <v>6528</v>
      </c>
      <c r="F20796" t="s">
        <v>12599</v>
      </c>
      <c r="G20796" t="s">
        <v>16812</v>
      </c>
      <c r="H20796" t="s">
        <v>25093</v>
      </c>
    </row>
    <row r="20797" spans="1:8">
      <c r="H20797" t="s">
        <v>25094</v>
      </c>
    </row>
    <row r="20798" spans="1:8">
      <c r="H20798" t="s">
        <v>25095</v>
      </c>
    </row>
    <row r="20799" spans="1:8">
      <c r="H20799" t="s">
        <v>25096</v>
      </c>
    </row>
    <row r="20800" spans="1:8">
      <c r="A20800" t="s">
        <v>746</v>
      </c>
      <c r="B20800">
        <f>HYPERLINK("https://android.googlesource.com/platform/cts/+/c68f28d8cb2083860bf04a6263c3a7745a671c66", "c68f28d8cb2083860bf04a6263c3a7745a671c66")</f>
        <v>0</v>
      </c>
      <c r="C20800">
        <f>HYPERLINK("https://android.googlesource.com/platform/cts/+/6fd2a43158d2cb4fc0f662b7575baeae65286f64", "6fd2a43158d2cb4fc0f662b7575baeae65286f64")</f>
        <v>0</v>
      </c>
      <c r="D20800" t="s">
        <v>5004</v>
      </c>
      <c r="E20800" t="s">
        <v>6529</v>
      </c>
      <c r="F20800" t="s">
        <v>12572</v>
      </c>
      <c r="G20800" t="s">
        <v>16788</v>
      </c>
      <c r="H20800" t="s">
        <v>25097</v>
      </c>
    </row>
    <row r="20801" spans="1:8">
      <c r="A20801" t="s">
        <v>747</v>
      </c>
      <c r="B20801">
        <f>HYPERLINK("https://android.googlesource.com/platform/cts/+/34a0f63071d5ee96f8db3fa02f672fd6081eb4ef", "34a0f63071d5ee96f8db3fa02f672fd6081eb4ef")</f>
        <v>0</v>
      </c>
      <c r="C20801">
        <f>HYPERLINK("https://android.googlesource.com/platform/cts/+/010adaca67b8fa1a9af744782e840a7142ab5b7d", "010adaca67b8fa1a9af744782e840a7142ab5b7d")</f>
        <v>0</v>
      </c>
      <c r="D20801" t="s">
        <v>5030</v>
      </c>
      <c r="E20801" t="s">
        <v>6530</v>
      </c>
      <c r="F20801" t="s">
        <v>12606</v>
      </c>
      <c r="G20801" t="s">
        <v>16818</v>
      </c>
      <c r="H20801" t="s">
        <v>25098</v>
      </c>
    </row>
    <row r="20802" spans="1:8">
      <c r="H20802" t="s">
        <v>25099</v>
      </c>
    </row>
    <row r="20803" spans="1:8">
      <c r="A20803" t="s">
        <v>748</v>
      </c>
      <c r="B20803">
        <f>HYPERLINK("https://android.googlesource.com/platform/cts/+/faacd3e9325c6c32fceaf777a945a21007b59a16", "faacd3e9325c6c32fceaf777a945a21007b59a16")</f>
        <v>0</v>
      </c>
      <c r="C20803">
        <f>HYPERLINK("https://android.googlesource.com/platform/cts/+/0dccfe2f8ee2dc3197ca72a3f37d412dd491c99b", "0dccfe2f8ee2dc3197ca72a3f37d412dd491c99b")</f>
        <v>0</v>
      </c>
      <c r="D20803" t="s">
        <v>5081</v>
      </c>
      <c r="E20803" t="s">
        <v>6531</v>
      </c>
      <c r="F20803" t="s">
        <v>12607</v>
      </c>
      <c r="G20803" t="s">
        <v>16819</v>
      </c>
      <c r="H20803" t="s">
        <v>18829</v>
      </c>
    </row>
    <row r="20804" spans="1:8">
      <c r="H20804" t="s">
        <v>18863</v>
      </c>
    </row>
    <row r="20805" spans="1:8">
      <c r="H20805" t="s">
        <v>25100</v>
      </c>
    </row>
    <row r="20806" spans="1:8">
      <c r="H20806" t="s">
        <v>25101</v>
      </c>
    </row>
    <row r="20807" spans="1:8">
      <c r="H20807" t="s">
        <v>25102</v>
      </c>
    </row>
    <row r="20808" spans="1:8">
      <c r="H20808" t="s">
        <v>25103</v>
      </c>
    </row>
    <row r="20809" spans="1:8">
      <c r="H20809" t="s">
        <v>25104</v>
      </c>
    </row>
    <row r="20810" spans="1:8">
      <c r="A20810" t="s">
        <v>749</v>
      </c>
      <c r="B20810">
        <f>HYPERLINK("https://android.googlesource.com/platform/cts/+/0369e341c58ce683714a4ce2181dad0755e9f4f9", "0369e341c58ce683714a4ce2181dad0755e9f4f9")</f>
        <v>0</v>
      </c>
      <c r="C20810">
        <f>HYPERLINK("https://android.googlesource.com/platform/cts/+/7ade97ba3fd19737b64c4fc6aef6497a4eb5fb7b", "7ade97ba3fd19737b64c4fc6aef6497a4eb5fb7b")</f>
        <v>0</v>
      </c>
      <c r="D20810" t="s">
        <v>4997</v>
      </c>
      <c r="E20810" t="s">
        <v>6532</v>
      </c>
      <c r="F20810" t="s">
        <v>12191</v>
      </c>
      <c r="G20810" t="s">
        <v>16430</v>
      </c>
      <c r="H20810" t="s">
        <v>25105</v>
      </c>
    </row>
    <row r="20811" spans="1:8">
      <c r="A20811" t="s">
        <v>750</v>
      </c>
      <c r="B20811">
        <f>HYPERLINK("https://android.googlesource.com/platform/cts/+/781c7b570e1f37b38489a85dbe470e6287fd24af", "781c7b570e1f37b38489a85dbe470e6287fd24af")</f>
        <v>0</v>
      </c>
      <c r="C20811">
        <f>HYPERLINK("https://android.googlesource.com/platform/cts/+/581ea15d6b917d99c210ce592333f42df8d26080", "581ea15d6b917d99c210ce592333f42df8d26080")</f>
        <v>0</v>
      </c>
      <c r="D20811" t="s">
        <v>5038</v>
      </c>
      <c r="E20811" t="s">
        <v>6533</v>
      </c>
      <c r="F20811" t="s">
        <v>11482</v>
      </c>
      <c r="G20811" t="s">
        <v>15723</v>
      </c>
      <c r="H20811" t="s">
        <v>25106</v>
      </c>
    </row>
    <row r="20812" spans="1:8">
      <c r="H20812" t="s">
        <v>25107</v>
      </c>
    </row>
    <row r="20813" spans="1:8">
      <c r="H20813" t="s">
        <v>25108</v>
      </c>
    </row>
    <row r="20814" spans="1:8">
      <c r="H20814" t="s">
        <v>25106</v>
      </c>
    </row>
    <row r="20815" spans="1:8">
      <c r="H20815" t="s">
        <v>25107</v>
      </c>
    </row>
    <row r="20816" spans="1:8">
      <c r="H20816" t="s">
        <v>25108</v>
      </c>
    </row>
    <row r="20817" spans="1:8">
      <c r="A20817" t="s">
        <v>751</v>
      </c>
      <c r="B20817">
        <f>HYPERLINK("https://android.googlesource.com/platform/cts/+/c30bdbc6e992b53a9f12d50c5659a776e2da5a02", "c30bdbc6e992b53a9f12d50c5659a776e2da5a02")</f>
        <v>0</v>
      </c>
      <c r="C20817">
        <f>HYPERLINK("https://android.googlesource.com/platform/cts/+/fd61f1805c374867db63678062fec3c17d0ab956", "fd61f1805c374867db63678062fec3c17d0ab956")</f>
        <v>0</v>
      </c>
      <c r="D20817" t="s">
        <v>4987</v>
      </c>
      <c r="E20817" t="s">
        <v>6534</v>
      </c>
      <c r="F20817" t="s">
        <v>12371</v>
      </c>
      <c r="G20817" t="s">
        <v>16598</v>
      </c>
      <c r="H20817" t="s">
        <v>25109</v>
      </c>
    </row>
    <row r="20818" spans="1:8">
      <c r="H20818" t="s">
        <v>18829</v>
      </c>
    </row>
    <row r="20819" spans="1:8">
      <c r="H20819" t="s">
        <v>18863</v>
      </c>
    </row>
    <row r="20820" spans="1:8">
      <c r="H20820" t="s">
        <v>19261</v>
      </c>
    </row>
    <row r="20821" spans="1:8">
      <c r="H20821" t="s">
        <v>25110</v>
      </c>
    </row>
    <row r="20822" spans="1:8">
      <c r="H20822" t="s">
        <v>25111</v>
      </c>
    </row>
    <row r="20823" spans="1:8">
      <c r="H20823" t="s">
        <v>25112</v>
      </c>
    </row>
    <row r="20824" spans="1:8">
      <c r="H20824" t="s">
        <v>25113</v>
      </c>
    </row>
    <row r="20825" spans="1:8">
      <c r="H20825" t="s">
        <v>25114</v>
      </c>
    </row>
    <row r="20826" spans="1:8">
      <c r="H20826" t="s">
        <v>25115</v>
      </c>
    </row>
    <row r="20827" spans="1:8">
      <c r="H20827" t="s">
        <v>25116</v>
      </c>
    </row>
    <row r="20828" spans="1:8">
      <c r="H20828" t="s">
        <v>25117</v>
      </c>
    </row>
    <row r="20829" spans="1:8">
      <c r="H20829" t="s">
        <v>25118</v>
      </c>
    </row>
    <row r="20830" spans="1:8">
      <c r="H20830" t="s">
        <v>25119</v>
      </c>
    </row>
    <row r="20831" spans="1:8">
      <c r="H20831" t="s">
        <v>25120</v>
      </c>
    </row>
    <row r="20832" spans="1:8">
      <c r="H20832" t="s">
        <v>25121</v>
      </c>
    </row>
    <row r="20833" spans="8:8">
      <c r="H20833" t="s">
        <v>25122</v>
      </c>
    </row>
    <row r="20834" spans="8:8">
      <c r="H20834" t="s">
        <v>25123</v>
      </c>
    </row>
    <row r="20835" spans="8:8">
      <c r="H20835" t="s">
        <v>25124</v>
      </c>
    </row>
    <row r="20836" spans="8:8">
      <c r="H20836" t="s">
        <v>25125</v>
      </c>
    </row>
    <row r="20837" spans="8:8">
      <c r="H20837" t="s">
        <v>25126</v>
      </c>
    </row>
    <row r="20838" spans="8:8">
      <c r="H20838" t="s">
        <v>25127</v>
      </c>
    </row>
    <row r="20839" spans="8:8">
      <c r="H20839" t="s">
        <v>25128</v>
      </c>
    </row>
    <row r="20840" spans="8:8">
      <c r="H20840" t="s">
        <v>25129</v>
      </c>
    </row>
    <row r="20841" spans="8:8">
      <c r="H20841" t="s">
        <v>25130</v>
      </c>
    </row>
    <row r="20842" spans="8:8">
      <c r="H20842" t="s">
        <v>25131</v>
      </c>
    </row>
    <row r="20843" spans="8:8">
      <c r="H20843" t="s">
        <v>25132</v>
      </c>
    </row>
    <row r="20844" spans="8:8">
      <c r="H20844" t="s">
        <v>25133</v>
      </c>
    </row>
    <row r="20845" spans="8:8">
      <c r="H20845" t="s">
        <v>25134</v>
      </c>
    </row>
    <row r="20846" spans="8:8">
      <c r="H20846" t="s">
        <v>25135</v>
      </c>
    </row>
    <row r="20847" spans="8:8">
      <c r="H20847" t="s">
        <v>25136</v>
      </c>
    </row>
    <row r="20848" spans="8:8">
      <c r="H20848" t="s">
        <v>25137</v>
      </c>
    </row>
    <row r="20849" spans="8:8">
      <c r="H20849" t="s">
        <v>25138</v>
      </c>
    </row>
    <row r="20850" spans="8:8">
      <c r="H20850" t="s">
        <v>25139</v>
      </c>
    </row>
    <row r="20851" spans="8:8">
      <c r="H20851" t="s">
        <v>25140</v>
      </c>
    </row>
    <row r="20852" spans="8:8">
      <c r="H20852" t="s">
        <v>25141</v>
      </c>
    </row>
    <row r="20853" spans="8:8">
      <c r="H20853" t="s">
        <v>25142</v>
      </c>
    </row>
    <row r="20854" spans="8:8">
      <c r="H20854" t="s">
        <v>25143</v>
      </c>
    </row>
    <row r="20855" spans="8:8">
      <c r="H20855" t="s">
        <v>25144</v>
      </c>
    </row>
    <row r="20856" spans="8:8">
      <c r="H20856" t="s">
        <v>25145</v>
      </c>
    </row>
    <row r="20857" spans="8:8">
      <c r="H20857" t="s">
        <v>25146</v>
      </c>
    </row>
    <row r="20858" spans="8:8">
      <c r="H20858" t="s">
        <v>25147</v>
      </c>
    </row>
    <row r="20859" spans="8:8">
      <c r="H20859" t="s">
        <v>25148</v>
      </c>
    </row>
    <row r="20860" spans="8:8">
      <c r="H20860" t="s">
        <v>25149</v>
      </c>
    </row>
    <row r="20861" spans="8:8">
      <c r="H20861" t="s">
        <v>25150</v>
      </c>
    </row>
    <row r="20862" spans="8:8">
      <c r="H20862" t="s">
        <v>25151</v>
      </c>
    </row>
    <row r="20863" spans="8:8">
      <c r="H20863" t="s">
        <v>25152</v>
      </c>
    </row>
    <row r="20864" spans="8:8">
      <c r="H20864" t="s">
        <v>25153</v>
      </c>
    </row>
    <row r="20865" spans="8:8">
      <c r="H20865" t="s">
        <v>25154</v>
      </c>
    </row>
    <row r="20866" spans="8:8">
      <c r="H20866" t="s">
        <v>25155</v>
      </c>
    </row>
    <row r="20867" spans="8:8">
      <c r="H20867" t="s">
        <v>25156</v>
      </c>
    </row>
    <row r="20868" spans="8:8">
      <c r="H20868" t="s">
        <v>25157</v>
      </c>
    </row>
    <row r="20869" spans="8:8">
      <c r="H20869" t="s">
        <v>25158</v>
      </c>
    </row>
    <row r="20870" spans="8:8">
      <c r="H20870" t="s">
        <v>25159</v>
      </c>
    </row>
    <row r="20871" spans="8:8">
      <c r="H20871" t="s">
        <v>25160</v>
      </c>
    </row>
    <row r="20872" spans="8:8">
      <c r="H20872" t="s">
        <v>25161</v>
      </c>
    </row>
    <row r="20873" spans="8:8">
      <c r="H20873" t="s">
        <v>25162</v>
      </c>
    </row>
    <row r="20874" spans="8:8">
      <c r="H20874" t="s">
        <v>25163</v>
      </c>
    </row>
    <row r="20875" spans="8:8">
      <c r="H20875" t="s">
        <v>25164</v>
      </c>
    </row>
    <row r="20876" spans="8:8">
      <c r="H20876" t="s">
        <v>25165</v>
      </c>
    </row>
    <row r="20877" spans="8:8">
      <c r="H20877" t="s">
        <v>25166</v>
      </c>
    </row>
    <row r="20878" spans="8:8">
      <c r="H20878" t="s">
        <v>25167</v>
      </c>
    </row>
    <row r="20879" spans="8:8">
      <c r="H20879" t="s">
        <v>25168</v>
      </c>
    </row>
    <row r="20880" spans="8:8">
      <c r="H20880" t="s">
        <v>25169</v>
      </c>
    </row>
    <row r="20881" spans="8:8">
      <c r="H20881" t="s">
        <v>25170</v>
      </c>
    </row>
    <row r="20882" spans="8:8">
      <c r="H20882" t="s">
        <v>25171</v>
      </c>
    </row>
    <row r="20883" spans="8:8">
      <c r="H20883" t="s">
        <v>25172</v>
      </c>
    </row>
    <row r="20884" spans="8:8">
      <c r="H20884" t="s">
        <v>25173</v>
      </c>
    </row>
    <row r="20885" spans="8:8">
      <c r="H20885" t="s">
        <v>25174</v>
      </c>
    </row>
    <row r="20886" spans="8:8">
      <c r="H20886" t="s">
        <v>25175</v>
      </c>
    </row>
    <row r="20887" spans="8:8">
      <c r="H20887" t="s">
        <v>25176</v>
      </c>
    </row>
    <row r="20888" spans="8:8">
      <c r="H20888" t="s">
        <v>25177</v>
      </c>
    </row>
    <row r="20889" spans="8:8">
      <c r="H20889" t="s">
        <v>25178</v>
      </c>
    </row>
    <row r="20890" spans="8:8">
      <c r="H20890" t="s">
        <v>25179</v>
      </c>
    </row>
    <row r="20891" spans="8:8">
      <c r="H20891" t="s">
        <v>25180</v>
      </c>
    </row>
    <row r="20892" spans="8:8">
      <c r="H20892" t="s">
        <v>25181</v>
      </c>
    </row>
    <row r="20893" spans="8:8">
      <c r="H20893" t="s">
        <v>25182</v>
      </c>
    </row>
    <row r="20894" spans="8:8">
      <c r="H20894" t="s">
        <v>25183</v>
      </c>
    </row>
    <row r="20895" spans="8:8">
      <c r="H20895" t="s">
        <v>25184</v>
      </c>
    </row>
    <row r="20896" spans="8:8">
      <c r="H20896" t="s">
        <v>25185</v>
      </c>
    </row>
    <row r="20897" spans="8:8">
      <c r="H20897" t="s">
        <v>25186</v>
      </c>
    </row>
    <row r="20898" spans="8:8">
      <c r="H20898" t="s">
        <v>25187</v>
      </c>
    </row>
    <row r="20899" spans="8:8">
      <c r="H20899" t="s">
        <v>25188</v>
      </c>
    </row>
    <row r="20900" spans="8:8">
      <c r="H20900" t="s">
        <v>25189</v>
      </c>
    </row>
    <row r="20901" spans="8:8">
      <c r="H20901" t="s">
        <v>25190</v>
      </c>
    </row>
    <row r="20902" spans="8:8">
      <c r="H20902" t="s">
        <v>25191</v>
      </c>
    </row>
    <row r="20903" spans="8:8">
      <c r="H20903" t="s">
        <v>25192</v>
      </c>
    </row>
    <row r="20904" spans="8:8">
      <c r="H20904" t="s">
        <v>25193</v>
      </c>
    </row>
    <row r="20905" spans="8:8">
      <c r="H20905" t="s">
        <v>25194</v>
      </c>
    </row>
    <row r="20906" spans="8:8">
      <c r="H20906" t="s">
        <v>25195</v>
      </c>
    </row>
    <row r="20907" spans="8:8">
      <c r="H20907" t="s">
        <v>25196</v>
      </c>
    </row>
    <row r="20908" spans="8:8">
      <c r="H20908" t="s">
        <v>25197</v>
      </c>
    </row>
    <row r="20909" spans="8:8">
      <c r="H20909" t="s">
        <v>25198</v>
      </c>
    </row>
    <row r="20910" spans="8:8">
      <c r="H20910" t="s">
        <v>25199</v>
      </c>
    </row>
    <row r="20911" spans="8:8">
      <c r="H20911" t="s">
        <v>25200</v>
      </c>
    </row>
    <row r="20912" spans="8:8">
      <c r="H20912" t="s">
        <v>25201</v>
      </c>
    </row>
    <row r="20913" spans="8:8">
      <c r="H20913" t="s">
        <v>25202</v>
      </c>
    </row>
    <row r="20914" spans="8:8">
      <c r="H20914" t="s">
        <v>25203</v>
      </c>
    </row>
    <row r="20915" spans="8:8">
      <c r="H20915" t="s">
        <v>25204</v>
      </c>
    </row>
    <row r="20916" spans="8:8">
      <c r="H20916" t="s">
        <v>25205</v>
      </c>
    </row>
    <row r="20917" spans="8:8">
      <c r="H20917" t="s">
        <v>25206</v>
      </c>
    </row>
    <row r="20918" spans="8:8">
      <c r="H20918" t="s">
        <v>25207</v>
      </c>
    </row>
    <row r="20919" spans="8:8">
      <c r="H20919" t="s">
        <v>25208</v>
      </c>
    </row>
    <row r="20920" spans="8:8">
      <c r="H20920" t="s">
        <v>25209</v>
      </c>
    </row>
    <row r="20921" spans="8:8">
      <c r="H20921" t="s">
        <v>25210</v>
      </c>
    </row>
    <row r="20922" spans="8:8">
      <c r="H20922" t="s">
        <v>25211</v>
      </c>
    </row>
    <row r="20923" spans="8:8">
      <c r="H20923" t="s">
        <v>25212</v>
      </c>
    </row>
    <row r="20924" spans="8:8">
      <c r="H20924" t="s">
        <v>25213</v>
      </c>
    </row>
    <row r="20925" spans="8:8">
      <c r="H20925" t="s">
        <v>25214</v>
      </c>
    </row>
    <row r="20926" spans="8:8">
      <c r="H20926" t="s">
        <v>25215</v>
      </c>
    </row>
    <row r="20927" spans="8:8">
      <c r="H20927" t="s">
        <v>25216</v>
      </c>
    </row>
    <row r="20928" spans="8:8">
      <c r="H20928" t="s">
        <v>25217</v>
      </c>
    </row>
    <row r="20929" spans="8:8">
      <c r="H20929" t="s">
        <v>25218</v>
      </c>
    </row>
    <row r="20930" spans="8:8">
      <c r="H20930" t="s">
        <v>25219</v>
      </c>
    </row>
    <row r="20931" spans="8:8">
      <c r="H20931" t="s">
        <v>25220</v>
      </c>
    </row>
    <row r="20932" spans="8:8">
      <c r="H20932" t="s">
        <v>25221</v>
      </c>
    </row>
    <row r="20933" spans="8:8">
      <c r="H20933" t="s">
        <v>25222</v>
      </c>
    </row>
    <row r="20934" spans="8:8">
      <c r="H20934" t="s">
        <v>25223</v>
      </c>
    </row>
    <row r="20935" spans="8:8">
      <c r="H20935" t="s">
        <v>25224</v>
      </c>
    </row>
    <row r="20936" spans="8:8">
      <c r="H20936" t="s">
        <v>25225</v>
      </c>
    </row>
    <row r="20937" spans="8:8">
      <c r="H20937" t="s">
        <v>25226</v>
      </c>
    </row>
    <row r="20938" spans="8:8">
      <c r="H20938" t="s">
        <v>25227</v>
      </c>
    </row>
    <row r="20939" spans="8:8">
      <c r="H20939" t="s">
        <v>25228</v>
      </c>
    </row>
    <row r="20940" spans="8:8">
      <c r="H20940" t="s">
        <v>25229</v>
      </c>
    </row>
    <row r="20941" spans="8:8">
      <c r="H20941" t="s">
        <v>25230</v>
      </c>
    </row>
    <row r="20942" spans="8:8">
      <c r="H20942" t="s">
        <v>25231</v>
      </c>
    </row>
    <row r="20943" spans="8:8">
      <c r="H20943" t="s">
        <v>25232</v>
      </c>
    </row>
    <row r="20944" spans="8:8">
      <c r="H20944" t="s">
        <v>25233</v>
      </c>
    </row>
    <row r="20945" spans="8:8">
      <c r="H20945" t="s">
        <v>25234</v>
      </c>
    </row>
    <row r="20946" spans="8:8">
      <c r="H20946" t="s">
        <v>25235</v>
      </c>
    </row>
    <row r="20947" spans="8:8">
      <c r="H20947" t="s">
        <v>25236</v>
      </c>
    </row>
    <row r="20948" spans="8:8">
      <c r="H20948" t="s">
        <v>25237</v>
      </c>
    </row>
    <row r="20949" spans="8:8">
      <c r="H20949" t="s">
        <v>25238</v>
      </c>
    </row>
    <row r="20950" spans="8:8">
      <c r="H20950" t="s">
        <v>25239</v>
      </c>
    </row>
    <row r="20951" spans="8:8">
      <c r="H20951" t="s">
        <v>25240</v>
      </c>
    </row>
    <row r="20952" spans="8:8">
      <c r="H20952" t="s">
        <v>25241</v>
      </c>
    </row>
    <row r="20953" spans="8:8">
      <c r="H20953" t="s">
        <v>25242</v>
      </c>
    </row>
    <row r="20954" spans="8:8">
      <c r="H20954" t="s">
        <v>25243</v>
      </c>
    </row>
    <row r="20955" spans="8:8">
      <c r="H20955" t="s">
        <v>25244</v>
      </c>
    </row>
    <row r="20956" spans="8:8">
      <c r="H20956" t="s">
        <v>25245</v>
      </c>
    </row>
    <row r="20957" spans="8:8">
      <c r="H20957" t="s">
        <v>25246</v>
      </c>
    </row>
    <row r="20958" spans="8:8">
      <c r="H20958" t="s">
        <v>25247</v>
      </c>
    </row>
    <row r="20959" spans="8:8">
      <c r="H20959" t="s">
        <v>25248</v>
      </c>
    </row>
    <row r="20960" spans="8:8">
      <c r="H20960" t="s">
        <v>25249</v>
      </c>
    </row>
    <row r="20961" spans="8:8">
      <c r="H20961" t="s">
        <v>25250</v>
      </c>
    </row>
    <row r="20962" spans="8:8">
      <c r="H20962" t="s">
        <v>25251</v>
      </c>
    </row>
    <row r="20963" spans="8:8">
      <c r="H20963" t="s">
        <v>25252</v>
      </c>
    </row>
    <row r="20964" spans="8:8">
      <c r="H20964" t="s">
        <v>25253</v>
      </c>
    </row>
    <row r="20965" spans="8:8">
      <c r="H20965" t="s">
        <v>25254</v>
      </c>
    </row>
    <row r="20966" spans="8:8">
      <c r="H20966" t="s">
        <v>25255</v>
      </c>
    </row>
    <row r="20967" spans="8:8">
      <c r="H20967" t="s">
        <v>25256</v>
      </c>
    </row>
    <row r="20968" spans="8:8">
      <c r="H20968" t="s">
        <v>25257</v>
      </c>
    </row>
    <row r="20969" spans="8:8">
      <c r="H20969" t="s">
        <v>25258</v>
      </c>
    </row>
    <row r="20970" spans="8:8">
      <c r="H20970" t="s">
        <v>25259</v>
      </c>
    </row>
    <row r="20971" spans="8:8">
      <c r="H20971" t="s">
        <v>25260</v>
      </c>
    </row>
    <row r="20972" spans="8:8">
      <c r="H20972" t="s">
        <v>25261</v>
      </c>
    </row>
    <row r="20973" spans="8:8">
      <c r="H20973" t="s">
        <v>25262</v>
      </c>
    </row>
    <row r="20974" spans="8:8">
      <c r="H20974" t="s">
        <v>25263</v>
      </c>
    </row>
    <row r="20975" spans="8:8">
      <c r="H20975" t="s">
        <v>25264</v>
      </c>
    </row>
    <row r="20976" spans="8:8">
      <c r="H20976" t="s">
        <v>25265</v>
      </c>
    </row>
    <row r="20977" spans="8:8">
      <c r="H20977" t="s">
        <v>25266</v>
      </c>
    </row>
    <row r="20978" spans="8:8">
      <c r="H20978" t="s">
        <v>25267</v>
      </c>
    </row>
    <row r="20979" spans="8:8">
      <c r="H20979" t="s">
        <v>25268</v>
      </c>
    </row>
    <row r="20980" spans="8:8">
      <c r="H20980" t="s">
        <v>25269</v>
      </c>
    </row>
    <row r="20981" spans="8:8">
      <c r="H20981" t="s">
        <v>25270</v>
      </c>
    </row>
    <row r="20982" spans="8:8">
      <c r="H20982" t="s">
        <v>25271</v>
      </c>
    </row>
    <row r="20983" spans="8:8">
      <c r="H20983" t="s">
        <v>25272</v>
      </c>
    </row>
    <row r="20984" spans="8:8">
      <c r="H20984" t="s">
        <v>25273</v>
      </c>
    </row>
    <row r="20985" spans="8:8">
      <c r="H20985" t="s">
        <v>25274</v>
      </c>
    </row>
    <row r="20986" spans="8:8">
      <c r="H20986" t="s">
        <v>25275</v>
      </c>
    </row>
    <row r="20987" spans="8:8">
      <c r="H20987" t="s">
        <v>25276</v>
      </c>
    </row>
    <row r="20988" spans="8:8">
      <c r="H20988" t="s">
        <v>25277</v>
      </c>
    </row>
    <row r="20989" spans="8:8">
      <c r="H20989" t="s">
        <v>25278</v>
      </c>
    </row>
    <row r="20990" spans="8:8">
      <c r="H20990" t="s">
        <v>25279</v>
      </c>
    </row>
    <row r="20991" spans="8:8">
      <c r="H20991" t="s">
        <v>25280</v>
      </c>
    </row>
    <row r="20992" spans="8:8">
      <c r="H20992" t="s">
        <v>25281</v>
      </c>
    </row>
    <row r="20993" spans="8:8">
      <c r="H20993" t="s">
        <v>25282</v>
      </c>
    </row>
    <row r="20994" spans="8:8">
      <c r="H20994" t="s">
        <v>25283</v>
      </c>
    </row>
    <row r="20995" spans="8:8">
      <c r="H20995" t="s">
        <v>25284</v>
      </c>
    </row>
    <row r="20996" spans="8:8">
      <c r="H20996" t="s">
        <v>25285</v>
      </c>
    </row>
    <row r="20997" spans="8:8">
      <c r="H20997" t="s">
        <v>25286</v>
      </c>
    </row>
    <row r="20998" spans="8:8">
      <c r="H20998" t="s">
        <v>25287</v>
      </c>
    </row>
    <row r="20999" spans="8:8">
      <c r="H20999" t="s">
        <v>25288</v>
      </c>
    </row>
    <row r="21000" spans="8:8">
      <c r="H21000" t="s">
        <v>25289</v>
      </c>
    </row>
    <row r="21001" spans="8:8">
      <c r="H21001" t="s">
        <v>25290</v>
      </c>
    </row>
    <row r="21002" spans="8:8">
      <c r="H21002" t="s">
        <v>25291</v>
      </c>
    </row>
    <row r="21003" spans="8:8">
      <c r="H21003" t="s">
        <v>25292</v>
      </c>
    </row>
    <row r="21004" spans="8:8">
      <c r="H21004" t="s">
        <v>25293</v>
      </c>
    </row>
    <row r="21005" spans="8:8">
      <c r="H21005" t="s">
        <v>25294</v>
      </c>
    </row>
    <row r="21006" spans="8:8">
      <c r="H21006" t="s">
        <v>25295</v>
      </c>
    </row>
    <row r="21007" spans="8:8">
      <c r="H21007" t="s">
        <v>25296</v>
      </c>
    </row>
    <row r="21008" spans="8:8">
      <c r="H21008" t="s">
        <v>25297</v>
      </c>
    </row>
    <row r="21009" spans="8:8">
      <c r="H21009" t="s">
        <v>25298</v>
      </c>
    </row>
    <row r="21010" spans="8:8">
      <c r="H21010" t="s">
        <v>25299</v>
      </c>
    </row>
    <row r="21011" spans="8:8">
      <c r="H21011" t="s">
        <v>25300</v>
      </c>
    </row>
    <row r="21012" spans="8:8">
      <c r="H21012" t="s">
        <v>25301</v>
      </c>
    </row>
    <row r="21013" spans="8:8">
      <c r="H21013" t="s">
        <v>25302</v>
      </c>
    </row>
    <row r="21014" spans="8:8">
      <c r="H21014" t="s">
        <v>25303</v>
      </c>
    </row>
    <row r="21015" spans="8:8">
      <c r="H21015" t="s">
        <v>25304</v>
      </c>
    </row>
    <row r="21016" spans="8:8">
      <c r="H21016" t="s">
        <v>25305</v>
      </c>
    </row>
    <row r="21017" spans="8:8">
      <c r="H21017" t="s">
        <v>25306</v>
      </c>
    </row>
    <row r="21018" spans="8:8">
      <c r="H21018" t="s">
        <v>25307</v>
      </c>
    </row>
    <row r="21019" spans="8:8">
      <c r="H21019" t="s">
        <v>25308</v>
      </c>
    </row>
    <row r="21020" spans="8:8">
      <c r="H21020" t="s">
        <v>25309</v>
      </c>
    </row>
    <row r="21021" spans="8:8">
      <c r="H21021" t="s">
        <v>25310</v>
      </c>
    </row>
    <row r="21022" spans="8:8">
      <c r="H21022" t="s">
        <v>25311</v>
      </c>
    </row>
    <row r="21023" spans="8:8">
      <c r="H21023" t="s">
        <v>25312</v>
      </c>
    </row>
    <row r="21024" spans="8:8">
      <c r="H21024" t="s">
        <v>25313</v>
      </c>
    </row>
    <row r="21025" spans="8:8">
      <c r="H21025" t="s">
        <v>25314</v>
      </c>
    </row>
    <row r="21026" spans="8:8">
      <c r="H21026" t="s">
        <v>25315</v>
      </c>
    </row>
    <row r="21027" spans="8:8">
      <c r="H21027" t="s">
        <v>25316</v>
      </c>
    </row>
    <row r="21028" spans="8:8">
      <c r="H21028" t="s">
        <v>25317</v>
      </c>
    </row>
    <row r="21029" spans="8:8">
      <c r="H21029" t="s">
        <v>25318</v>
      </c>
    </row>
    <row r="21030" spans="8:8">
      <c r="H21030" t="s">
        <v>25319</v>
      </c>
    </row>
    <row r="21031" spans="8:8">
      <c r="H21031" t="s">
        <v>25320</v>
      </c>
    </row>
    <row r="21032" spans="8:8">
      <c r="H21032" t="s">
        <v>25321</v>
      </c>
    </row>
    <row r="21033" spans="8:8">
      <c r="H21033" t="s">
        <v>25322</v>
      </c>
    </row>
    <row r="21034" spans="8:8">
      <c r="H21034" t="s">
        <v>25323</v>
      </c>
    </row>
    <row r="21035" spans="8:8">
      <c r="H21035" t="s">
        <v>25324</v>
      </c>
    </row>
    <row r="21036" spans="8:8">
      <c r="H21036" t="s">
        <v>25325</v>
      </c>
    </row>
    <row r="21037" spans="8:8">
      <c r="H21037" t="s">
        <v>25326</v>
      </c>
    </row>
    <row r="21038" spans="8:8">
      <c r="H21038" t="s">
        <v>25327</v>
      </c>
    </row>
    <row r="21039" spans="8:8">
      <c r="H21039" t="s">
        <v>25328</v>
      </c>
    </row>
    <row r="21040" spans="8:8">
      <c r="H21040" t="s">
        <v>25329</v>
      </c>
    </row>
    <row r="21041" spans="8:8">
      <c r="H21041" t="s">
        <v>25330</v>
      </c>
    </row>
    <row r="21042" spans="8:8">
      <c r="H21042" t="s">
        <v>25331</v>
      </c>
    </row>
    <row r="21043" spans="8:8">
      <c r="H21043" t="s">
        <v>25332</v>
      </c>
    </row>
    <row r="21044" spans="8:8">
      <c r="H21044" t="s">
        <v>25333</v>
      </c>
    </row>
    <row r="21045" spans="8:8">
      <c r="H21045" t="s">
        <v>25334</v>
      </c>
    </row>
    <row r="21046" spans="8:8">
      <c r="H21046" t="s">
        <v>25335</v>
      </c>
    </row>
    <row r="21047" spans="8:8">
      <c r="H21047" t="s">
        <v>25336</v>
      </c>
    </row>
    <row r="21048" spans="8:8">
      <c r="H21048" t="s">
        <v>25337</v>
      </c>
    </row>
    <row r="21049" spans="8:8">
      <c r="H21049" t="s">
        <v>25338</v>
      </c>
    </row>
    <row r="21050" spans="8:8">
      <c r="H21050" t="s">
        <v>25339</v>
      </c>
    </row>
    <row r="21051" spans="8:8">
      <c r="H21051" t="s">
        <v>25340</v>
      </c>
    </row>
    <row r="21052" spans="8:8">
      <c r="H21052" t="s">
        <v>25341</v>
      </c>
    </row>
    <row r="21053" spans="8:8">
      <c r="H21053" t="s">
        <v>25342</v>
      </c>
    </row>
    <row r="21054" spans="8:8">
      <c r="H21054" t="s">
        <v>25343</v>
      </c>
    </row>
    <row r="21055" spans="8:8">
      <c r="H21055" t="s">
        <v>25344</v>
      </c>
    </row>
    <row r="21056" spans="8:8">
      <c r="H21056" t="s">
        <v>25345</v>
      </c>
    </row>
    <row r="21057" spans="8:8">
      <c r="H21057" t="s">
        <v>25346</v>
      </c>
    </row>
    <row r="21058" spans="8:8">
      <c r="H21058" t="s">
        <v>25347</v>
      </c>
    </row>
    <row r="21059" spans="8:8">
      <c r="H21059" t="s">
        <v>25348</v>
      </c>
    </row>
    <row r="21060" spans="8:8">
      <c r="H21060" t="s">
        <v>25349</v>
      </c>
    </row>
    <row r="21061" spans="8:8">
      <c r="H21061" t="s">
        <v>25350</v>
      </c>
    </row>
    <row r="21062" spans="8:8">
      <c r="H21062" t="s">
        <v>25351</v>
      </c>
    </row>
    <row r="21063" spans="8:8">
      <c r="H21063" t="s">
        <v>25352</v>
      </c>
    </row>
    <row r="21064" spans="8:8">
      <c r="H21064" t="s">
        <v>25353</v>
      </c>
    </row>
    <row r="21065" spans="8:8">
      <c r="H21065" t="s">
        <v>25354</v>
      </c>
    </row>
    <row r="21066" spans="8:8">
      <c r="H21066" t="s">
        <v>25355</v>
      </c>
    </row>
    <row r="21067" spans="8:8">
      <c r="H21067" t="s">
        <v>25356</v>
      </c>
    </row>
    <row r="21068" spans="8:8">
      <c r="H21068" t="s">
        <v>25357</v>
      </c>
    </row>
    <row r="21069" spans="8:8">
      <c r="H21069" t="s">
        <v>25358</v>
      </c>
    </row>
    <row r="21070" spans="8:8">
      <c r="H21070" t="s">
        <v>25359</v>
      </c>
    </row>
    <row r="21071" spans="8:8">
      <c r="H21071" t="s">
        <v>25360</v>
      </c>
    </row>
    <row r="21072" spans="8:8">
      <c r="H21072" t="s">
        <v>25361</v>
      </c>
    </row>
    <row r="21073" spans="8:8">
      <c r="H21073" t="s">
        <v>25362</v>
      </c>
    </row>
    <row r="21074" spans="8:8">
      <c r="H21074" t="s">
        <v>25363</v>
      </c>
    </row>
    <row r="21075" spans="8:8">
      <c r="H21075" t="s">
        <v>25364</v>
      </c>
    </row>
    <row r="21076" spans="8:8">
      <c r="H21076" t="s">
        <v>25365</v>
      </c>
    </row>
    <row r="21077" spans="8:8">
      <c r="H21077" t="s">
        <v>25366</v>
      </c>
    </row>
    <row r="21078" spans="8:8">
      <c r="H21078" t="s">
        <v>25367</v>
      </c>
    </row>
    <row r="21079" spans="8:8">
      <c r="H21079" t="s">
        <v>25368</v>
      </c>
    </row>
    <row r="21080" spans="8:8">
      <c r="H21080" t="s">
        <v>25369</v>
      </c>
    </row>
    <row r="21081" spans="8:8">
      <c r="H21081" t="s">
        <v>25370</v>
      </c>
    </row>
    <row r="21082" spans="8:8">
      <c r="H21082" t="s">
        <v>25371</v>
      </c>
    </row>
    <row r="21083" spans="8:8">
      <c r="H21083" t="s">
        <v>25372</v>
      </c>
    </row>
    <row r="21084" spans="8:8">
      <c r="H21084" t="s">
        <v>25373</v>
      </c>
    </row>
    <row r="21085" spans="8:8">
      <c r="H21085" t="s">
        <v>25374</v>
      </c>
    </row>
    <row r="21086" spans="8:8">
      <c r="H21086" t="s">
        <v>25375</v>
      </c>
    </row>
    <row r="21087" spans="8:8">
      <c r="H21087" t="s">
        <v>25376</v>
      </c>
    </row>
    <row r="21088" spans="8:8">
      <c r="H21088" t="s">
        <v>25377</v>
      </c>
    </row>
    <row r="21089" spans="8:8">
      <c r="H21089" t="s">
        <v>25378</v>
      </c>
    </row>
    <row r="21090" spans="8:8">
      <c r="H21090" t="s">
        <v>25379</v>
      </c>
    </row>
    <row r="21091" spans="8:8">
      <c r="H21091" t="s">
        <v>25380</v>
      </c>
    </row>
    <row r="21092" spans="8:8">
      <c r="H21092" t="s">
        <v>25381</v>
      </c>
    </row>
    <row r="21093" spans="8:8">
      <c r="H21093" t="s">
        <v>25382</v>
      </c>
    </row>
    <row r="21094" spans="8:8">
      <c r="H21094" t="s">
        <v>25383</v>
      </c>
    </row>
    <row r="21095" spans="8:8">
      <c r="H21095" t="s">
        <v>25384</v>
      </c>
    </row>
    <row r="21096" spans="8:8">
      <c r="H21096" t="s">
        <v>25385</v>
      </c>
    </row>
    <row r="21097" spans="8:8">
      <c r="H21097" t="s">
        <v>25386</v>
      </c>
    </row>
    <row r="21098" spans="8:8">
      <c r="H21098" t="s">
        <v>25387</v>
      </c>
    </row>
    <row r="21099" spans="8:8">
      <c r="H21099" t="s">
        <v>25388</v>
      </c>
    </row>
    <row r="21100" spans="8:8">
      <c r="H21100" t="s">
        <v>25389</v>
      </c>
    </row>
    <row r="21101" spans="8:8">
      <c r="H21101" t="s">
        <v>25390</v>
      </c>
    </row>
    <row r="21102" spans="8:8">
      <c r="H21102" t="s">
        <v>25391</v>
      </c>
    </row>
    <row r="21103" spans="8:8">
      <c r="H21103" t="s">
        <v>25392</v>
      </c>
    </row>
    <row r="21104" spans="8:8">
      <c r="H21104" t="s">
        <v>25393</v>
      </c>
    </row>
    <row r="21105" spans="8:8">
      <c r="H21105" t="s">
        <v>25394</v>
      </c>
    </row>
    <row r="21106" spans="8:8">
      <c r="H21106" t="s">
        <v>25395</v>
      </c>
    </row>
    <row r="21107" spans="8:8">
      <c r="H21107" t="s">
        <v>25396</v>
      </c>
    </row>
    <row r="21108" spans="8:8">
      <c r="H21108" t="s">
        <v>25397</v>
      </c>
    </row>
    <row r="21109" spans="8:8">
      <c r="H21109" t="s">
        <v>25398</v>
      </c>
    </row>
    <row r="21110" spans="8:8">
      <c r="H21110" t="s">
        <v>25399</v>
      </c>
    </row>
    <row r="21111" spans="8:8">
      <c r="H21111" t="s">
        <v>25400</v>
      </c>
    </row>
    <row r="21112" spans="8:8">
      <c r="H21112" t="s">
        <v>25401</v>
      </c>
    </row>
    <row r="21113" spans="8:8">
      <c r="H21113" t="s">
        <v>25402</v>
      </c>
    </row>
    <row r="21114" spans="8:8">
      <c r="H21114" t="s">
        <v>25403</v>
      </c>
    </row>
    <row r="21115" spans="8:8">
      <c r="H21115" t="s">
        <v>25404</v>
      </c>
    </row>
    <row r="21116" spans="8:8">
      <c r="H21116" t="s">
        <v>25405</v>
      </c>
    </row>
    <row r="21117" spans="8:8">
      <c r="H21117" t="s">
        <v>25406</v>
      </c>
    </row>
    <row r="21118" spans="8:8">
      <c r="H21118" t="s">
        <v>25407</v>
      </c>
    </row>
    <row r="21119" spans="8:8">
      <c r="H21119" t="s">
        <v>25408</v>
      </c>
    </row>
    <row r="21120" spans="8:8">
      <c r="H21120" t="s">
        <v>25409</v>
      </c>
    </row>
    <row r="21121" spans="8:8">
      <c r="H21121" t="s">
        <v>25410</v>
      </c>
    </row>
    <row r="21122" spans="8:8">
      <c r="H21122" t="s">
        <v>25411</v>
      </c>
    </row>
    <row r="21123" spans="8:8">
      <c r="H21123" t="s">
        <v>25412</v>
      </c>
    </row>
    <row r="21124" spans="8:8">
      <c r="H21124" t="s">
        <v>25413</v>
      </c>
    </row>
    <row r="21125" spans="8:8">
      <c r="H21125" t="s">
        <v>25414</v>
      </c>
    </row>
    <row r="21126" spans="8:8">
      <c r="H21126" t="s">
        <v>25415</v>
      </c>
    </row>
    <row r="21127" spans="8:8">
      <c r="H21127" t="s">
        <v>25416</v>
      </c>
    </row>
    <row r="21128" spans="8:8">
      <c r="H21128" t="s">
        <v>25417</v>
      </c>
    </row>
    <row r="21129" spans="8:8">
      <c r="H21129" t="s">
        <v>25418</v>
      </c>
    </row>
    <row r="21130" spans="8:8">
      <c r="H21130" t="s">
        <v>25419</v>
      </c>
    </row>
    <row r="21131" spans="8:8">
      <c r="H21131" t="s">
        <v>25420</v>
      </c>
    </row>
    <row r="21132" spans="8:8">
      <c r="H21132" t="s">
        <v>25421</v>
      </c>
    </row>
    <row r="21133" spans="8:8">
      <c r="H21133" t="s">
        <v>25422</v>
      </c>
    </row>
    <row r="21134" spans="8:8">
      <c r="H21134" t="s">
        <v>25423</v>
      </c>
    </row>
    <row r="21135" spans="8:8">
      <c r="H21135" t="s">
        <v>25424</v>
      </c>
    </row>
    <row r="21136" spans="8:8">
      <c r="H21136" t="s">
        <v>25425</v>
      </c>
    </row>
    <row r="21137" spans="8:8">
      <c r="H21137" t="s">
        <v>25426</v>
      </c>
    </row>
    <row r="21138" spans="8:8">
      <c r="H21138" t="s">
        <v>25427</v>
      </c>
    </row>
    <row r="21139" spans="8:8">
      <c r="H21139" t="s">
        <v>25428</v>
      </c>
    </row>
    <row r="21140" spans="8:8">
      <c r="H21140" t="s">
        <v>25429</v>
      </c>
    </row>
    <row r="21141" spans="8:8">
      <c r="H21141" t="s">
        <v>25430</v>
      </c>
    </row>
    <row r="21142" spans="8:8">
      <c r="H21142" t="s">
        <v>25431</v>
      </c>
    </row>
    <row r="21143" spans="8:8">
      <c r="H21143" t="s">
        <v>25432</v>
      </c>
    </row>
    <row r="21144" spans="8:8">
      <c r="H21144" t="s">
        <v>25433</v>
      </c>
    </row>
    <row r="21145" spans="8:8">
      <c r="H21145" t="s">
        <v>25434</v>
      </c>
    </row>
    <row r="21146" spans="8:8">
      <c r="H21146" t="s">
        <v>25435</v>
      </c>
    </row>
    <row r="21147" spans="8:8">
      <c r="H21147" t="s">
        <v>25436</v>
      </c>
    </row>
    <row r="21148" spans="8:8">
      <c r="H21148" t="s">
        <v>25437</v>
      </c>
    </row>
    <row r="21149" spans="8:8">
      <c r="H21149" t="s">
        <v>25438</v>
      </c>
    </row>
    <row r="21150" spans="8:8">
      <c r="H21150" t="s">
        <v>25439</v>
      </c>
    </row>
    <row r="21151" spans="8:8">
      <c r="H21151" t="s">
        <v>25440</v>
      </c>
    </row>
    <row r="21152" spans="8:8">
      <c r="H21152" t="s">
        <v>25441</v>
      </c>
    </row>
    <row r="21153" spans="8:8">
      <c r="H21153" t="s">
        <v>25442</v>
      </c>
    </row>
    <row r="21154" spans="8:8">
      <c r="H21154" t="s">
        <v>25443</v>
      </c>
    </row>
    <row r="21155" spans="8:8">
      <c r="H21155" t="s">
        <v>25444</v>
      </c>
    </row>
    <row r="21156" spans="8:8">
      <c r="H21156" t="s">
        <v>25445</v>
      </c>
    </row>
    <row r="21157" spans="8:8">
      <c r="H21157" t="s">
        <v>25446</v>
      </c>
    </row>
    <row r="21158" spans="8:8">
      <c r="H21158" t="s">
        <v>25447</v>
      </c>
    </row>
    <row r="21159" spans="8:8">
      <c r="H21159" t="s">
        <v>25448</v>
      </c>
    </row>
    <row r="21160" spans="8:8">
      <c r="H21160" t="s">
        <v>25449</v>
      </c>
    </row>
    <row r="21161" spans="8:8">
      <c r="H21161" t="s">
        <v>25450</v>
      </c>
    </row>
    <row r="21162" spans="8:8">
      <c r="H21162" t="s">
        <v>25451</v>
      </c>
    </row>
    <row r="21163" spans="8:8">
      <c r="H21163" t="s">
        <v>25452</v>
      </c>
    </row>
    <row r="21164" spans="8:8">
      <c r="H21164" t="s">
        <v>25453</v>
      </c>
    </row>
    <row r="21165" spans="8:8">
      <c r="H21165" t="s">
        <v>25454</v>
      </c>
    </row>
    <row r="21166" spans="8:8">
      <c r="H21166" t="s">
        <v>25455</v>
      </c>
    </row>
    <row r="21167" spans="8:8">
      <c r="H21167" t="s">
        <v>25456</v>
      </c>
    </row>
    <row r="21168" spans="8:8">
      <c r="H21168" t="s">
        <v>25457</v>
      </c>
    </row>
    <row r="21169" spans="1:8">
      <c r="H21169" t="s">
        <v>25458</v>
      </c>
    </row>
    <row r="21170" spans="1:8">
      <c r="H21170" t="s">
        <v>25459</v>
      </c>
    </row>
    <row r="21171" spans="1:8">
      <c r="H21171" t="s">
        <v>25460</v>
      </c>
    </row>
    <row r="21172" spans="1:8">
      <c r="H21172" t="s">
        <v>25461</v>
      </c>
    </row>
    <row r="21173" spans="1:8">
      <c r="A21173" t="s">
        <v>752</v>
      </c>
      <c r="B21173">
        <f>HYPERLINK("https://android.googlesource.com/platform/cts/+/cba454795e4c233d82b7aec02b96bc259d0de86f", "cba454795e4c233d82b7aec02b96bc259d0de86f")</f>
        <v>0</v>
      </c>
      <c r="C21173">
        <f>HYPERLINK("https://android.googlesource.com/platform/cts/+/66f2eb8da0252e2a18ae78b405ee99c1b6fc1f45", "66f2eb8da0252e2a18ae78b405ee99c1b6fc1f45")</f>
        <v>0</v>
      </c>
      <c r="D21173" t="s">
        <v>5082</v>
      </c>
      <c r="E21173" t="s">
        <v>6535</v>
      </c>
      <c r="F21173" t="s">
        <v>12608</v>
      </c>
      <c r="G21173" t="s">
        <v>16820</v>
      </c>
      <c r="H21173" t="s">
        <v>25462</v>
      </c>
    </row>
    <row r="21174" spans="1:8">
      <c r="H21174" t="s">
        <v>25463</v>
      </c>
    </row>
    <row r="21175" spans="1:8">
      <c r="H21175" t="s">
        <v>25464</v>
      </c>
    </row>
    <row r="21176" spans="1:8">
      <c r="H21176" t="s">
        <v>25465</v>
      </c>
    </row>
    <row r="21177" spans="1:8">
      <c r="A21177" t="s">
        <v>753</v>
      </c>
      <c r="B21177">
        <f>HYPERLINK("https://android.googlesource.com/platform/cts/+/91611e14f0e94c819be7490997c2ee15da62b609", "91611e14f0e94c819be7490997c2ee15da62b609")</f>
        <v>0</v>
      </c>
      <c r="C21177">
        <f>HYPERLINK("https://android.googlesource.com/platform/cts/+/6f810d464adad59709687428546b53a7784b92ec", "6f810d464adad59709687428546b53a7784b92ec")</f>
        <v>0</v>
      </c>
      <c r="D21177" t="s">
        <v>5083</v>
      </c>
      <c r="E21177" t="s">
        <v>6536</v>
      </c>
      <c r="F21177" t="s">
        <v>12419</v>
      </c>
      <c r="G21177" t="s">
        <v>16641</v>
      </c>
      <c r="H21177" t="s">
        <v>25466</v>
      </c>
    </row>
    <row r="21178" spans="1:8">
      <c r="A21178" t="s">
        <v>754</v>
      </c>
      <c r="B21178">
        <f>HYPERLINK("https://android.googlesource.com/platform/cts/+/eb92bb2fdf14b51e08057f2f26bce601dfe88326", "eb92bb2fdf14b51e08057f2f26bce601dfe88326")</f>
        <v>0</v>
      </c>
      <c r="C21178">
        <f>HYPERLINK("https://android.googlesource.com/platform/cts/+/d8f754a0bf23a8e58e14b58b93e753cfe7e2de97", "d8f754a0bf23a8e58e14b58b93e753cfe7e2de97")</f>
        <v>0</v>
      </c>
      <c r="D21178" t="s">
        <v>5084</v>
      </c>
      <c r="E21178" t="s">
        <v>6537</v>
      </c>
      <c r="F21178" t="s">
        <v>12368</v>
      </c>
      <c r="G21178" t="s">
        <v>16595</v>
      </c>
      <c r="H21178" t="s">
        <v>25467</v>
      </c>
    </row>
    <row r="21179" spans="1:8">
      <c r="A21179" t="s">
        <v>755</v>
      </c>
      <c r="B21179">
        <f>HYPERLINK("https://android.googlesource.com/platform/cts/+/c489ac1ff6818cb1078d0178b812712ed5020afe", "c489ac1ff6818cb1078d0178b812712ed5020afe")</f>
        <v>0</v>
      </c>
      <c r="C21179">
        <f>HYPERLINK("https://android.googlesource.com/platform/cts/+/515ad7f7ab52ff3740670783aec30156ad2f0b31", "515ad7f7ab52ff3740670783aec30156ad2f0b31")</f>
        <v>0</v>
      </c>
      <c r="D21179" t="s">
        <v>5084</v>
      </c>
      <c r="E21179" t="s">
        <v>6538</v>
      </c>
      <c r="F21179" t="s">
        <v>12609</v>
      </c>
      <c r="G21179" t="s">
        <v>16554</v>
      </c>
      <c r="H21179" t="s">
        <v>25468</v>
      </c>
    </row>
    <row r="21180" spans="1:8">
      <c r="A21180" t="s">
        <v>756</v>
      </c>
      <c r="B21180">
        <f>HYPERLINK("https://android.googlesource.com/platform/cts/+/b75fb1a671e8da16d620fa628b7f7a4361524a1c", "b75fb1a671e8da16d620fa628b7f7a4361524a1c")</f>
        <v>0</v>
      </c>
      <c r="C21180">
        <f>HYPERLINK("https://android.googlesource.com/platform/cts/+/efba26263e9af226a929f1ca6e82994061149d2f", "efba26263e9af226a929f1ca6e82994061149d2f")</f>
        <v>0</v>
      </c>
      <c r="D21180" t="s">
        <v>5028</v>
      </c>
      <c r="E21180" t="s">
        <v>6539</v>
      </c>
      <c r="F21180" t="s">
        <v>12312</v>
      </c>
      <c r="G21180" t="s">
        <v>16543</v>
      </c>
      <c r="H21180" t="s">
        <v>25469</v>
      </c>
    </row>
    <row r="21181" spans="1:8">
      <c r="A21181" t="s">
        <v>757</v>
      </c>
      <c r="B21181">
        <f>HYPERLINK("https://android.googlesource.com/platform/cts/+/0e380fe74ca77952ed922f5f2e47e499378a4507", "0e380fe74ca77952ed922f5f2e47e499378a4507")</f>
        <v>0</v>
      </c>
      <c r="C21181">
        <f>HYPERLINK("https://android.googlesource.com/platform/cts/+/71a8a6d73a8132d33fab9824a3c7bae954ede4ec", "71a8a6d73a8132d33fab9824a3c7bae954ede4ec")</f>
        <v>0</v>
      </c>
      <c r="D21181" t="s">
        <v>5027</v>
      </c>
      <c r="E21181" t="s">
        <v>6540</v>
      </c>
      <c r="F21181" t="s">
        <v>12610</v>
      </c>
      <c r="G21181" t="s">
        <v>16821</v>
      </c>
      <c r="H21181" t="s">
        <v>25470</v>
      </c>
    </row>
    <row r="21182" spans="1:8">
      <c r="A21182" t="s">
        <v>758</v>
      </c>
      <c r="B21182">
        <f>HYPERLINK("https://android.googlesource.com/platform/cts/+/c2c580f3b45fe2cfb63d698941ac5870176f0ce7", "c2c580f3b45fe2cfb63d698941ac5870176f0ce7")</f>
        <v>0</v>
      </c>
      <c r="C21182">
        <f>HYPERLINK("https://android.googlesource.com/platform/cts/+/f3e13db68b92e0f551c87b1e7a753e301141aa20", "f3e13db68b92e0f551c87b1e7a753e301141aa20")</f>
        <v>0</v>
      </c>
      <c r="D21182" t="s">
        <v>5085</v>
      </c>
      <c r="E21182" t="s">
        <v>6541</v>
      </c>
      <c r="F21182" t="s">
        <v>12608</v>
      </c>
      <c r="G21182" t="s">
        <v>16820</v>
      </c>
      <c r="H21182" t="s">
        <v>25471</v>
      </c>
    </row>
    <row r="21183" spans="1:8">
      <c r="A21183" t="s">
        <v>759</v>
      </c>
      <c r="B21183">
        <f>HYPERLINK("https://android.googlesource.com/platform/cts/+/4cdc5be3ab10d195e640c59add4bfbb6fd292f9a", "4cdc5be3ab10d195e640c59add4bfbb6fd292f9a")</f>
        <v>0</v>
      </c>
      <c r="C21183">
        <f>HYPERLINK("https://android.googlesource.com/platform/cts/+/38bdf246551608dbe9b9cdd0c36f3af0370b502b", "38bdf246551608dbe9b9cdd0c36f3af0370b502b")</f>
        <v>0</v>
      </c>
      <c r="D21183" t="s">
        <v>5073</v>
      </c>
      <c r="E21183" t="s">
        <v>6542</v>
      </c>
      <c r="F21183" t="s">
        <v>12611</v>
      </c>
      <c r="G21183" t="s">
        <v>16822</v>
      </c>
      <c r="H21183" t="s">
        <v>25472</v>
      </c>
    </row>
    <row r="21184" spans="1:8">
      <c r="A21184" t="s">
        <v>761</v>
      </c>
      <c r="B21184">
        <f>HYPERLINK("https://android.googlesource.com/platform/cts/+/1b210a331cb9602e6be6b94c8e24dd474de2b564", "1b210a331cb9602e6be6b94c8e24dd474de2b564")</f>
        <v>0</v>
      </c>
      <c r="C21184">
        <f>HYPERLINK("https://android.googlesource.com/platform/cts/+/b8ae56db34b60a8a94ab7bee316be9a16181f830", "b8ae56db34b60a8a94ab7bee316be9a16181f830")</f>
        <v>0</v>
      </c>
      <c r="D21184" t="s">
        <v>5086</v>
      </c>
      <c r="E21184" t="s">
        <v>6543</v>
      </c>
      <c r="F21184" t="s">
        <v>12612</v>
      </c>
      <c r="G21184" t="s">
        <v>16823</v>
      </c>
      <c r="H21184" t="s">
        <v>25473</v>
      </c>
    </row>
    <row r="21185" spans="1:8">
      <c r="H21185" t="s">
        <v>25474</v>
      </c>
    </row>
    <row r="21186" spans="1:8">
      <c r="A21186" t="s">
        <v>762</v>
      </c>
      <c r="B21186">
        <f>HYPERLINK("https://android.googlesource.com/platform/cts/+/db3fca79716980fd615bba2619cfd5dd3b6267ef", "db3fca79716980fd615bba2619cfd5dd3b6267ef")</f>
        <v>0</v>
      </c>
      <c r="C21186">
        <f>HYPERLINK("https://android.googlesource.com/platform/cts/+/0bf361fb27fc216b05fa285a8e1d1b9e7551b08e", "0bf361fb27fc216b05fa285a8e1d1b9e7551b08e")</f>
        <v>0</v>
      </c>
      <c r="D21186" t="s">
        <v>5087</v>
      </c>
      <c r="E21186" t="s">
        <v>6544</v>
      </c>
      <c r="F21186" t="s">
        <v>12613</v>
      </c>
      <c r="G21186" t="s">
        <v>16824</v>
      </c>
      <c r="H21186" t="s">
        <v>19019</v>
      </c>
    </row>
    <row r="21187" spans="1:8">
      <c r="H21187" t="s">
        <v>25475</v>
      </c>
    </row>
    <row r="21188" spans="1:8">
      <c r="A21188" t="s">
        <v>763</v>
      </c>
      <c r="B21188">
        <f>HYPERLINK("https://android.googlesource.com/platform/cts/+/76f0d6d67fa01d4d0355fdab09429f7363c95c88", "76f0d6d67fa01d4d0355fdab09429f7363c95c88")</f>
        <v>0</v>
      </c>
      <c r="C21188">
        <f>HYPERLINK("https://android.googlesource.com/platform/cts/+/f1210482f999d58dc442d8d0717b3dfee4fcd386", "f1210482f999d58dc442d8d0717b3dfee4fcd386")</f>
        <v>0</v>
      </c>
      <c r="D21188" t="s">
        <v>5002</v>
      </c>
      <c r="E21188" t="s">
        <v>6545</v>
      </c>
      <c r="F21188" t="s">
        <v>12614</v>
      </c>
      <c r="G21188" t="s">
        <v>16825</v>
      </c>
      <c r="H21188" t="s">
        <v>25476</v>
      </c>
    </row>
    <row r="21189" spans="1:8">
      <c r="F21189" t="s">
        <v>12615</v>
      </c>
      <c r="G21189" t="s">
        <v>16826</v>
      </c>
      <c r="H21189" t="s">
        <v>25477</v>
      </c>
    </row>
    <row r="21190" spans="1:8">
      <c r="A21190" t="s">
        <v>765</v>
      </c>
      <c r="B21190">
        <f>HYPERLINK("https://android.googlesource.com/platform/cts/+/0c8aadfc3a80e2df2a4b7f1c32e52ee5d4cb3441", "0c8aadfc3a80e2df2a4b7f1c32e52ee5d4cb3441")</f>
        <v>0</v>
      </c>
      <c r="C21190">
        <f>HYPERLINK("https://android.googlesource.com/platform/cts/+/5f2f1a16fd7d7dfd5dbe23792ecb52775ae78e3f", "5f2f1a16fd7d7dfd5dbe23792ecb52775ae78e3f")</f>
        <v>0</v>
      </c>
      <c r="D21190" t="s">
        <v>5088</v>
      </c>
      <c r="E21190" t="s">
        <v>6547</v>
      </c>
      <c r="F21190" t="s">
        <v>12187</v>
      </c>
      <c r="G21190" t="s">
        <v>16426</v>
      </c>
      <c r="H21190" t="s">
        <v>25478</v>
      </c>
    </row>
    <row r="21191" spans="1:8">
      <c r="A21191" t="s">
        <v>767</v>
      </c>
      <c r="B21191">
        <f>HYPERLINK("https://android.googlesource.com/platform/cts/+/09733d96396e748c213c02b379417c1a3eb7d45c", "09733d96396e748c213c02b379417c1a3eb7d45c")</f>
        <v>0</v>
      </c>
      <c r="C21191">
        <f>HYPERLINK("https://android.googlesource.com/platform/cts/+/53dc715ef23ffbeb4a9d116c58035ab862e22600", "53dc715ef23ffbeb4a9d116c58035ab862e22600")</f>
        <v>0</v>
      </c>
      <c r="D21191" t="s">
        <v>5078</v>
      </c>
      <c r="E21191" t="s">
        <v>6549</v>
      </c>
      <c r="F21191" t="s">
        <v>12323</v>
      </c>
      <c r="G21191" t="s">
        <v>16553</v>
      </c>
      <c r="H21191" t="s">
        <v>25479</v>
      </c>
    </row>
    <row r="21192" spans="1:8">
      <c r="H21192" t="s">
        <v>25480</v>
      </c>
    </row>
    <row r="21193" spans="1:8">
      <c r="H21193" t="s">
        <v>25481</v>
      </c>
    </row>
    <row r="21194" spans="1:8">
      <c r="H21194" t="s">
        <v>25482</v>
      </c>
    </row>
    <row r="21195" spans="1:8">
      <c r="H21195" t="s">
        <v>25483</v>
      </c>
    </row>
    <row r="21196" spans="1:8">
      <c r="H21196" t="s">
        <v>25484</v>
      </c>
    </row>
    <row r="21197" spans="1:8">
      <c r="H21197" t="s">
        <v>25485</v>
      </c>
    </row>
    <row r="21198" spans="1:8">
      <c r="H21198" t="s">
        <v>25486</v>
      </c>
    </row>
    <row r="21199" spans="1:8">
      <c r="A21199" t="s">
        <v>768</v>
      </c>
      <c r="B21199">
        <f>HYPERLINK("https://android.googlesource.com/platform/cts/+/fbdb8cba50e12f2c4a55ddde3dfb77262233b28d", "fbdb8cba50e12f2c4a55ddde3dfb77262233b28d")</f>
        <v>0</v>
      </c>
      <c r="C21199">
        <f>HYPERLINK("https://android.googlesource.com/platform/cts/+/3364cf1e0a6beaf89067a654ffc3745af31c6acd", "3364cf1e0a6beaf89067a654ffc3745af31c6acd")</f>
        <v>0</v>
      </c>
      <c r="D21199" t="s">
        <v>5026</v>
      </c>
      <c r="E21199" t="s">
        <v>6550</v>
      </c>
      <c r="F21199" t="s">
        <v>12616</v>
      </c>
      <c r="G21199" t="s">
        <v>16827</v>
      </c>
      <c r="H21199" t="s">
        <v>25487</v>
      </c>
    </row>
    <row r="21200" spans="1:8">
      <c r="H21200" t="s">
        <v>25488</v>
      </c>
    </row>
    <row r="21201" spans="1:8">
      <c r="H21201" t="s">
        <v>25489</v>
      </c>
    </row>
    <row r="21202" spans="1:8">
      <c r="H21202" t="s">
        <v>25490</v>
      </c>
    </row>
    <row r="21203" spans="1:8">
      <c r="H21203" t="s">
        <v>25491</v>
      </c>
    </row>
    <row r="21204" spans="1:8">
      <c r="H21204" t="s">
        <v>25492</v>
      </c>
    </row>
    <row r="21205" spans="1:8">
      <c r="A21205" t="s">
        <v>769</v>
      </c>
      <c r="B21205">
        <f>HYPERLINK("https://android.googlesource.com/platform/cts/+/e9c7d2e58715dc315afae4328683cde601b68639", "e9c7d2e58715dc315afae4328683cde601b68639")</f>
        <v>0</v>
      </c>
      <c r="C21205">
        <f>HYPERLINK("https://android.googlesource.com/platform/cts/+/5ac9f6cd4fc3210b32c05ad32d7f28665a90c674", "5ac9f6cd4fc3210b32c05ad32d7f28665a90c674")</f>
        <v>0</v>
      </c>
      <c r="D21205" t="s">
        <v>5027</v>
      </c>
      <c r="E21205" t="s">
        <v>6551</v>
      </c>
      <c r="F21205" t="s">
        <v>12617</v>
      </c>
      <c r="G21205" t="s">
        <v>15155</v>
      </c>
      <c r="H21205" t="s">
        <v>25493</v>
      </c>
    </row>
    <row r="21206" spans="1:8">
      <c r="A21206" t="s">
        <v>770</v>
      </c>
      <c r="B21206">
        <f>HYPERLINK("https://android.googlesource.com/platform/cts/+/6639933dab8372af0687f2e8d2ffef85e318166e", "6639933dab8372af0687f2e8d2ffef85e318166e")</f>
        <v>0</v>
      </c>
      <c r="C21206">
        <f>HYPERLINK("https://android.googlesource.com/platform/cts/+/4aea9d6d61db7fb53625e7c89d7362b9181725b2", "4aea9d6d61db7fb53625e7c89d7362b9181725b2")</f>
        <v>0</v>
      </c>
      <c r="D21206" t="s">
        <v>4994</v>
      </c>
      <c r="E21206" t="s">
        <v>6552</v>
      </c>
      <c r="F21206" t="s">
        <v>12618</v>
      </c>
      <c r="G21206" t="s">
        <v>16828</v>
      </c>
      <c r="H21206" t="s">
        <v>18829</v>
      </c>
    </row>
    <row r="21207" spans="1:8">
      <c r="A21207" t="s">
        <v>771</v>
      </c>
      <c r="B21207">
        <f>HYPERLINK("https://android.googlesource.com/platform/cts/+/9db219d0cd071d9955fba1f195c2fae9ed561b56", "9db219d0cd071d9955fba1f195c2fae9ed561b56")</f>
        <v>0</v>
      </c>
      <c r="C21207">
        <f>HYPERLINK("https://android.googlesource.com/platform/cts/+/28a108a98c743d1bed0d04cdffd089ef55c6cd4b", "28a108a98c743d1bed0d04cdffd089ef55c6cd4b")</f>
        <v>0</v>
      </c>
      <c r="D21207" t="s">
        <v>5089</v>
      </c>
      <c r="E21207" t="s">
        <v>6553</v>
      </c>
      <c r="F21207" t="s">
        <v>10668</v>
      </c>
      <c r="G21207" t="s">
        <v>15069</v>
      </c>
      <c r="H21207" t="s">
        <v>25494</v>
      </c>
    </row>
    <row r="21208" spans="1:8">
      <c r="H21208" t="s">
        <v>25495</v>
      </c>
    </row>
    <row r="21209" spans="1:8">
      <c r="H21209" t="s">
        <v>25496</v>
      </c>
    </row>
    <row r="21210" spans="1:8">
      <c r="A21210" t="s">
        <v>772</v>
      </c>
      <c r="B21210">
        <f>HYPERLINK("https://android.googlesource.com/platform/cts/+/5ae19e157ee023aa6ed2af8bb88e3dafb30efd27", "5ae19e157ee023aa6ed2af8bb88e3dafb30efd27")</f>
        <v>0</v>
      </c>
      <c r="C21210">
        <f>HYPERLINK("https://android.googlesource.com/platform/cts/+/d4f6589de0cd5a2bf21bcfdbedd40ad90c2de41e", "d4f6589de0cd5a2bf21bcfdbedd40ad90c2de41e")</f>
        <v>0</v>
      </c>
      <c r="D21210" t="s">
        <v>5002</v>
      </c>
      <c r="E21210" t="s">
        <v>6554</v>
      </c>
      <c r="F21210" t="s">
        <v>12619</v>
      </c>
      <c r="G21210" t="s">
        <v>16829</v>
      </c>
      <c r="H21210" t="s">
        <v>25497</v>
      </c>
    </row>
    <row r="21211" spans="1:8">
      <c r="H21211" t="s">
        <v>20244</v>
      </c>
    </row>
    <row r="21212" spans="1:8">
      <c r="H21212" t="s">
        <v>18829</v>
      </c>
    </row>
    <row r="21213" spans="1:8">
      <c r="H21213" t="s">
        <v>18863</v>
      </c>
    </row>
    <row r="21214" spans="1:8">
      <c r="F21214" t="s">
        <v>12620</v>
      </c>
      <c r="G21214" t="s">
        <v>16830</v>
      </c>
      <c r="H21214" t="s">
        <v>25498</v>
      </c>
    </row>
    <row r="21215" spans="1:8">
      <c r="H21215" t="s">
        <v>25499</v>
      </c>
    </row>
    <row r="21216" spans="1:8">
      <c r="H21216" t="s">
        <v>25500</v>
      </c>
    </row>
    <row r="21217" spans="1:8">
      <c r="H21217" t="s">
        <v>25501</v>
      </c>
    </row>
    <row r="21218" spans="1:8">
      <c r="H21218" t="s">
        <v>18929</v>
      </c>
    </row>
    <row r="21219" spans="1:8">
      <c r="A21219" t="s">
        <v>773</v>
      </c>
      <c r="B21219">
        <f>HYPERLINK("https://android.googlesource.com/platform/cts/+/f4fcb4238d797f6eb7d1e5db79429f02ad9e9f56", "f4fcb4238d797f6eb7d1e5db79429f02ad9e9f56")</f>
        <v>0</v>
      </c>
      <c r="C21219">
        <f>HYPERLINK("https://android.googlesource.com/platform/cts/+/c1c8530a258267d3ab52e802294f75f1bebf7c8a", "c1c8530a258267d3ab52e802294f75f1bebf7c8a")</f>
        <v>0</v>
      </c>
      <c r="D21219" t="s">
        <v>5011</v>
      </c>
      <c r="E21219" t="s">
        <v>6555</v>
      </c>
      <c r="F21219" t="s">
        <v>12621</v>
      </c>
      <c r="G21219" t="s">
        <v>16831</v>
      </c>
      <c r="H21219" t="s">
        <v>18896</v>
      </c>
    </row>
    <row r="21220" spans="1:8">
      <c r="H21220" t="s">
        <v>25502</v>
      </c>
    </row>
    <row r="21221" spans="1:8">
      <c r="H21221" t="s">
        <v>25503</v>
      </c>
    </row>
    <row r="21222" spans="1:8">
      <c r="H21222" t="s">
        <v>25504</v>
      </c>
    </row>
    <row r="21223" spans="1:8">
      <c r="H21223" t="s">
        <v>25505</v>
      </c>
    </row>
    <row r="21224" spans="1:8">
      <c r="H21224" t="s">
        <v>25506</v>
      </c>
    </row>
    <row r="21225" spans="1:8">
      <c r="H21225" t="s">
        <v>25507</v>
      </c>
    </row>
    <row r="21226" spans="1:8">
      <c r="H21226" t="s">
        <v>25508</v>
      </c>
    </row>
    <row r="21227" spans="1:8">
      <c r="H21227" t="s">
        <v>25508</v>
      </c>
    </row>
    <row r="21228" spans="1:8">
      <c r="H21228" t="s">
        <v>25509</v>
      </c>
    </row>
    <row r="21229" spans="1:8">
      <c r="H21229" t="s">
        <v>25509</v>
      </c>
    </row>
    <row r="21230" spans="1:8">
      <c r="H21230" t="s">
        <v>25510</v>
      </c>
    </row>
    <row r="21231" spans="1:8">
      <c r="H21231" t="s">
        <v>25511</v>
      </c>
    </row>
    <row r="21232" spans="1:8">
      <c r="H21232" t="s">
        <v>25512</v>
      </c>
    </row>
    <row r="21233" spans="1:8">
      <c r="A21233" t="s">
        <v>774</v>
      </c>
      <c r="B21233">
        <f>HYPERLINK("https://android.googlesource.com/platform/cts/+/2a311ecf8307a9b3ca0b73ab27fe09821092035e", "2a311ecf8307a9b3ca0b73ab27fe09821092035e")</f>
        <v>0</v>
      </c>
      <c r="C21233">
        <f>HYPERLINK("https://android.googlesource.com/platform/cts/+/f4fcb4238d797f6eb7d1e5db79429f02ad9e9f56", "f4fcb4238d797f6eb7d1e5db79429f02ad9e9f56")</f>
        <v>0</v>
      </c>
      <c r="D21233" t="s">
        <v>5011</v>
      </c>
      <c r="E21233" t="s">
        <v>6556</v>
      </c>
      <c r="F21233" t="s">
        <v>12622</v>
      </c>
      <c r="G21233" t="s">
        <v>16832</v>
      </c>
      <c r="H21233" t="s">
        <v>18829</v>
      </c>
    </row>
    <row r="21234" spans="1:8">
      <c r="A21234" t="s">
        <v>775</v>
      </c>
      <c r="B21234">
        <f>HYPERLINK("https://android.googlesource.com/platform/cts/+/5fbf3724d112898002730fffbaf6ea382ba66e88", "5fbf3724d112898002730fffbaf6ea382ba66e88")</f>
        <v>0</v>
      </c>
      <c r="C21234">
        <f>HYPERLINK("https://android.googlesource.com/platform/cts/+/9db219d0cd071d9955fba1f195c2fae9ed561b56", "9db219d0cd071d9955fba1f195c2fae9ed561b56")</f>
        <v>0</v>
      </c>
      <c r="D21234" t="s">
        <v>5086</v>
      </c>
      <c r="E21234" t="s">
        <v>6557</v>
      </c>
      <c r="F21234" t="s">
        <v>12612</v>
      </c>
      <c r="G21234" t="s">
        <v>16823</v>
      </c>
      <c r="H21234" t="s">
        <v>25513</v>
      </c>
    </row>
    <row r="21235" spans="1:8">
      <c r="A21235" t="s">
        <v>776</v>
      </c>
      <c r="B21235">
        <f>HYPERLINK("https://android.googlesource.com/platform/cts/+/2d42dbc7f6d47315dfd60db6e68d6f71717978d8", "2d42dbc7f6d47315dfd60db6e68d6f71717978d8")</f>
        <v>0</v>
      </c>
      <c r="C21235">
        <f>HYPERLINK("https://android.googlesource.com/platform/cts/+/ee9451080c90ced53e83e8e08a77009030e5a681", "ee9451080c90ced53e83e8e08a77009030e5a681")</f>
        <v>0</v>
      </c>
      <c r="D21235" t="s">
        <v>5090</v>
      </c>
      <c r="E21235" t="s">
        <v>6558</v>
      </c>
      <c r="F21235" t="s">
        <v>10740</v>
      </c>
      <c r="G21235" t="s">
        <v>15139</v>
      </c>
      <c r="H21235" t="s">
        <v>25514</v>
      </c>
    </row>
    <row r="21236" spans="1:8">
      <c r="A21236" t="s">
        <v>777</v>
      </c>
      <c r="B21236">
        <f>HYPERLINK("https://android.googlesource.com/platform/cts/+/0f50331cee4e3974ebfb3fafabe4a0ee545b5087", "0f50331cee4e3974ebfb3fafabe4a0ee545b5087")</f>
        <v>0</v>
      </c>
      <c r="C21236">
        <f>HYPERLINK("https://android.googlesource.com/platform/cts/+/9ec8a506b394d983d9b68bd2fb8c37e2abeb4a5c", "9ec8a506b394d983d9b68bd2fb8c37e2abeb4a5c")</f>
        <v>0</v>
      </c>
      <c r="D21236" t="s">
        <v>5091</v>
      </c>
      <c r="E21236" t="s">
        <v>6559</v>
      </c>
      <c r="F21236" t="s">
        <v>12370</v>
      </c>
      <c r="G21236" t="s">
        <v>16597</v>
      </c>
      <c r="H21236" t="s">
        <v>25515</v>
      </c>
    </row>
    <row r="21237" spans="1:8">
      <c r="A21237" t="s">
        <v>778</v>
      </c>
      <c r="B21237">
        <f>HYPERLINK("https://android.googlesource.com/platform/cts/+/0530c03dda2a512e0db9bd3f95b43cdd0b4b0bdf", "0530c03dda2a512e0db9bd3f95b43cdd0b4b0bdf")</f>
        <v>0</v>
      </c>
      <c r="C21237">
        <f>HYPERLINK("https://android.googlesource.com/platform/cts/+/38c5c12a603bde1591134eab42d6b6295a48bb86", "38c5c12a603bde1591134eab42d6b6295a48bb86")</f>
        <v>0</v>
      </c>
      <c r="D21237" t="s">
        <v>4967</v>
      </c>
      <c r="E21237" t="s">
        <v>6560</v>
      </c>
      <c r="F21237" t="s">
        <v>11429</v>
      </c>
      <c r="G21237" t="s">
        <v>15669</v>
      </c>
      <c r="H21237" t="s">
        <v>25516</v>
      </c>
    </row>
    <row r="21238" spans="1:8">
      <c r="A21238" t="s">
        <v>779</v>
      </c>
      <c r="B21238">
        <f>HYPERLINK("https://android.googlesource.com/platform/cts/+/80eab506acc00fbc185c351db2d59703619b315e", "80eab506acc00fbc185c351db2d59703619b315e")</f>
        <v>0</v>
      </c>
      <c r="C21238">
        <f>HYPERLINK("https://android.googlesource.com/platform/cts/+/f62da83791dc668f8e222dd05e077b7e61154d3a", "f62da83791dc668f8e222dd05e077b7e61154d3a")</f>
        <v>0</v>
      </c>
      <c r="D21238" t="s">
        <v>5011</v>
      </c>
      <c r="E21238" t="s">
        <v>6561</v>
      </c>
      <c r="F21238" t="s">
        <v>12623</v>
      </c>
      <c r="G21238" t="s">
        <v>16833</v>
      </c>
      <c r="H21238" t="s">
        <v>25517</v>
      </c>
    </row>
    <row r="21239" spans="1:8">
      <c r="H21239" t="s">
        <v>25518</v>
      </c>
    </row>
    <row r="21240" spans="1:8">
      <c r="H21240" t="s">
        <v>25519</v>
      </c>
    </row>
    <row r="21241" spans="1:8">
      <c r="H21241" t="s">
        <v>25520</v>
      </c>
    </row>
    <row r="21242" spans="1:8">
      <c r="H21242" t="s">
        <v>25521</v>
      </c>
    </row>
    <row r="21243" spans="1:8">
      <c r="A21243" t="s">
        <v>780</v>
      </c>
      <c r="B21243">
        <f>HYPERLINK("https://android.googlesource.com/platform/cts/+/e4ea56b1f2f3d591ae05cc8cd70f047e047be677", "e4ea56b1f2f3d591ae05cc8cd70f047e047be677")</f>
        <v>0</v>
      </c>
      <c r="C21243">
        <f>HYPERLINK("https://android.googlesource.com/platform/cts/+/b2a0c9e915ced04790655910a17cd06645312ac1", "b2a0c9e915ced04790655910a17cd06645312ac1")</f>
        <v>0</v>
      </c>
      <c r="D21243" t="s">
        <v>5011</v>
      </c>
      <c r="E21243" t="s">
        <v>6562</v>
      </c>
      <c r="F21243" t="s">
        <v>12621</v>
      </c>
      <c r="G21243" t="s">
        <v>16831</v>
      </c>
      <c r="H21243" t="s">
        <v>18829</v>
      </c>
    </row>
    <row r="21244" spans="1:8">
      <c r="H21244" t="s">
        <v>18863</v>
      </c>
    </row>
    <row r="21245" spans="1:8">
      <c r="H21245" t="s">
        <v>25522</v>
      </c>
    </row>
    <row r="21246" spans="1:8">
      <c r="H21246" t="s">
        <v>25523</v>
      </c>
    </row>
    <row r="21247" spans="1:8">
      <c r="H21247" t="s">
        <v>25524</v>
      </c>
    </row>
    <row r="21248" spans="1:8">
      <c r="H21248" t="s">
        <v>25525</v>
      </c>
    </row>
    <row r="21249" spans="1:8">
      <c r="H21249" t="s">
        <v>25526</v>
      </c>
    </row>
    <row r="21250" spans="1:8">
      <c r="F21250" t="s">
        <v>12622</v>
      </c>
      <c r="G21250" t="s">
        <v>16832</v>
      </c>
      <c r="H21250" t="s">
        <v>18863</v>
      </c>
    </row>
    <row r="21251" spans="1:8">
      <c r="F21251" t="s">
        <v>12624</v>
      </c>
      <c r="G21251" t="s">
        <v>16834</v>
      </c>
      <c r="H21251" t="s">
        <v>18863</v>
      </c>
    </row>
    <row r="21252" spans="1:8">
      <c r="A21252" t="s">
        <v>781</v>
      </c>
      <c r="B21252">
        <f>HYPERLINK("https://android.googlesource.com/platform/cts/+/82396dfe4a8743748207c380ebf4a08cd9bebe29", "82396dfe4a8743748207c380ebf4a08cd9bebe29")</f>
        <v>0</v>
      </c>
      <c r="C21252">
        <f>HYPERLINK("https://android.googlesource.com/platform/cts/+/42d6f25df59b1790bcdae68ecb3b9ff90ff32c9e", "42d6f25df59b1790bcdae68ecb3b9ff90ff32c9e")</f>
        <v>0</v>
      </c>
      <c r="D21252" t="s">
        <v>4949</v>
      </c>
      <c r="E21252" t="s">
        <v>6563</v>
      </c>
      <c r="F21252" t="s">
        <v>10624</v>
      </c>
      <c r="G21252" t="s">
        <v>15027</v>
      </c>
      <c r="H21252" t="s">
        <v>25527</v>
      </c>
    </row>
    <row r="21253" spans="1:8">
      <c r="H21253" t="s">
        <v>25528</v>
      </c>
    </row>
    <row r="21254" spans="1:8">
      <c r="H21254" t="s">
        <v>25529</v>
      </c>
    </row>
    <row r="21255" spans="1:8">
      <c r="H21255" t="s">
        <v>25530</v>
      </c>
    </row>
    <row r="21256" spans="1:8">
      <c r="A21256" t="s">
        <v>782</v>
      </c>
      <c r="B21256">
        <f>HYPERLINK("https://android.googlesource.com/platform/cts/+/0c456de8db8f4f357369a3bffae46cc259a20f7d", "0c456de8db8f4f357369a3bffae46cc259a20f7d")</f>
        <v>0</v>
      </c>
      <c r="C21256">
        <f>HYPERLINK("https://android.googlesource.com/platform/cts/+/605cfcf37b2f3e5572d491f72644741a7e2bd18d", "605cfcf37b2f3e5572d491f72644741a7e2bd18d")</f>
        <v>0</v>
      </c>
      <c r="D21256" t="s">
        <v>5092</v>
      </c>
      <c r="E21256" t="s">
        <v>6564</v>
      </c>
      <c r="F21256" t="s">
        <v>10687</v>
      </c>
      <c r="G21256" t="s">
        <v>15087</v>
      </c>
      <c r="H21256" t="s">
        <v>25531</v>
      </c>
    </row>
    <row r="21257" spans="1:8">
      <c r="A21257" t="s">
        <v>783</v>
      </c>
      <c r="B21257">
        <f>HYPERLINK("https://android.googlesource.com/platform/cts/+/237718628c30e3ec499cecffe63fb9994afe8121", "237718628c30e3ec499cecffe63fb9994afe8121")</f>
        <v>0</v>
      </c>
      <c r="C21257">
        <f>HYPERLINK("https://android.googlesource.com/platform/cts/+/3870203c78f8c4f9c55ba0b675d52eea9880aceb", "3870203c78f8c4f9c55ba0b675d52eea9880aceb")</f>
        <v>0</v>
      </c>
      <c r="D21257" t="s">
        <v>5093</v>
      </c>
      <c r="E21257" t="s">
        <v>6565</v>
      </c>
      <c r="F21257" t="s">
        <v>12625</v>
      </c>
      <c r="G21257" t="s">
        <v>16835</v>
      </c>
      <c r="H21257" t="s">
        <v>25532</v>
      </c>
    </row>
    <row r="21258" spans="1:8">
      <c r="H21258" t="s">
        <v>25533</v>
      </c>
    </row>
    <row r="21259" spans="1:8">
      <c r="H21259" t="s">
        <v>25534</v>
      </c>
    </row>
    <row r="21260" spans="1:8">
      <c r="H21260" t="s">
        <v>25535</v>
      </c>
    </row>
    <row r="21261" spans="1:8">
      <c r="H21261" t="s">
        <v>18829</v>
      </c>
    </row>
    <row r="21262" spans="1:8">
      <c r="H21262" t="s">
        <v>18863</v>
      </c>
    </row>
    <row r="21263" spans="1:8">
      <c r="H21263" t="s">
        <v>25536</v>
      </c>
    </row>
    <row r="21264" spans="1:8">
      <c r="H21264" t="s">
        <v>19753</v>
      </c>
    </row>
    <row r="21265" spans="1:8">
      <c r="H21265" t="s">
        <v>25537</v>
      </c>
    </row>
    <row r="21266" spans="1:8">
      <c r="H21266" t="s">
        <v>19754</v>
      </c>
    </row>
    <row r="21267" spans="1:8">
      <c r="H21267" t="s">
        <v>25538</v>
      </c>
    </row>
    <row r="21268" spans="1:8">
      <c r="H21268" t="s">
        <v>25539</v>
      </c>
    </row>
    <row r="21269" spans="1:8">
      <c r="A21269" t="s">
        <v>784</v>
      </c>
      <c r="B21269">
        <f>HYPERLINK("https://android.googlesource.com/platform/cts/+/3f6dec1e99e8ec3d67c524215ec21afb50c56f27", "3f6dec1e99e8ec3d67c524215ec21afb50c56f27")</f>
        <v>0</v>
      </c>
      <c r="C21269">
        <f>HYPERLINK("https://android.googlesource.com/platform/cts/+/a1cedf3a159c7a8f7803063e3e3a699c45021252", "a1cedf3a159c7a8f7803063e3e3a699c45021252")</f>
        <v>0</v>
      </c>
      <c r="D21269" t="s">
        <v>5061</v>
      </c>
      <c r="E21269" t="s">
        <v>6566</v>
      </c>
      <c r="F21269" t="s">
        <v>12626</v>
      </c>
      <c r="G21269" t="s">
        <v>16836</v>
      </c>
      <c r="H21269" t="s">
        <v>18863</v>
      </c>
    </row>
    <row r="21270" spans="1:8">
      <c r="A21270" t="s">
        <v>785</v>
      </c>
      <c r="B21270">
        <f>HYPERLINK("https://android.googlesource.com/platform/cts/+/4bd0ad8697cb789d227561b861c1176908de122d", "4bd0ad8697cb789d227561b861c1176908de122d")</f>
        <v>0</v>
      </c>
      <c r="C21270">
        <f>HYPERLINK("https://android.googlesource.com/platform/cts/+/d20715e02e83b45ecef83279de6a5ab321fad79b", "d20715e02e83b45ecef83279de6a5ab321fad79b")</f>
        <v>0</v>
      </c>
      <c r="D21270" t="s">
        <v>4949</v>
      </c>
      <c r="E21270" t="s">
        <v>6567</v>
      </c>
      <c r="F21270" t="s">
        <v>12627</v>
      </c>
      <c r="G21270" t="s">
        <v>16417</v>
      </c>
      <c r="H21270" t="s">
        <v>25540</v>
      </c>
    </row>
    <row r="21271" spans="1:8">
      <c r="H21271" t="s">
        <v>18829</v>
      </c>
    </row>
    <row r="21272" spans="1:8">
      <c r="H21272" t="s">
        <v>18863</v>
      </c>
    </row>
    <row r="21273" spans="1:8">
      <c r="H21273" t="s">
        <v>25541</v>
      </c>
    </row>
    <row r="21274" spans="1:8">
      <c r="H21274" t="s">
        <v>25542</v>
      </c>
    </row>
    <row r="21275" spans="1:8">
      <c r="H21275" t="s">
        <v>25543</v>
      </c>
    </row>
    <row r="21276" spans="1:8">
      <c r="H21276" t="s">
        <v>25544</v>
      </c>
    </row>
    <row r="21277" spans="1:8">
      <c r="H21277" t="s">
        <v>25545</v>
      </c>
    </row>
    <row r="21278" spans="1:8">
      <c r="H21278" t="s">
        <v>25546</v>
      </c>
    </row>
    <row r="21279" spans="1:8">
      <c r="H21279" t="s">
        <v>25547</v>
      </c>
    </row>
    <row r="21280" spans="1:8">
      <c r="H21280" t="s">
        <v>25548</v>
      </c>
    </row>
    <row r="21281" spans="1:8">
      <c r="H21281" t="s">
        <v>25549</v>
      </c>
    </row>
    <row r="21282" spans="1:8">
      <c r="H21282" t="s">
        <v>25550</v>
      </c>
    </row>
    <row r="21283" spans="1:8">
      <c r="H21283" t="s">
        <v>25551</v>
      </c>
    </row>
    <row r="21284" spans="1:8">
      <c r="H21284" t="s">
        <v>25552</v>
      </c>
    </row>
    <row r="21285" spans="1:8">
      <c r="A21285" t="s">
        <v>786</v>
      </c>
      <c r="B21285">
        <f>HYPERLINK("https://android.googlesource.com/platform/cts/+/0f75cae59927d3c2ad509f7d55e16d229cf0dc6e", "0f75cae59927d3c2ad509f7d55e16d229cf0dc6e")</f>
        <v>0</v>
      </c>
      <c r="C21285">
        <f>HYPERLINK("https://android.googlesource.com/platform/cts/+/5733c43ed4546187058aba32edd7b27a89a13745", "5733c43ed4546187058aba32edd7b27a89a13745")</f>
        <v>0</v>
      </c>
      <c r="D21285" t="s">
        <v>5029</v>
      </c>
      <c r="E21285" t="s">
        <v>6568</v>
      </c>
      <c r="F21285" t="s">
        <v>10781</v>
      </c>
      <c r="G21285" t="s">
        <v>15177</v>
      </c>
      <c r="H21285" t="s">
        <v>25553</v>
      </c>
    </row>
    <row r="21286" spans="1:8">
      <c r="A21286" t="s">
        <v>787</v>
      </c>
      <c r="B21286">
        <f>HYPERLINK("https://android.googlesource.com/platform/cts/+/b568bfcab520d1129c314481aef2c1fb37d6ea10", "b568bfcab520d1129c314481aef2c1fb37d6ea10")</f>
        <v>0</v>
      </c>
      <c r="C21286">
        <f>HYPERLINK("https://android.googlesource.com/platform/cts/+/5f3dfe8a0fbffea5f935d0378daf3f55df1a5ade", "5f3dfe8a0fbffea5f935d0378daf3f55df1a5ade")</f>
        <v>0</v>
      </c>
      <c r="D21286" t="s">
        <v>5077</v>
      </c>
      <c r="E21286" t="s">
        <v>6569</v>
      </c>
      <c r="F21286" t="s">
        <v>12223</v>
      </c>
      <c r="G21286" t="s">
        <v>16453</v>
      </c>
      <c r="H21286" t="s">
        <v>25554</v>
      </c>
    </row>
    <row r="21287" spans="1:8">
      <c r="H21287" t="s">
        <v>25555</v>
      </c>
    </row>
    <row r="21288" spans="1:8">
      <c r="H21288" t="s">
        <v>25556</v>
      </c>
    </row>
    <row r="21289" spans="1:8">
      <c r="H21289" t="s">
        <v>25557</v>
      </c>
    </row>
    <row r="21290" spans="1:8">
      <c r="H21290" t="s">
        <v>25558</v>
      </c>
    </row>
    <row r="21291" spans="1:8">
      <c r="H21291" t="s">
        <v>25559</v>
      </c>
    </row>
    <row r="21292" spans="1:8">
      <c r="H21292" t="s">
        <v>25560</v>
      </c>
    </row>
    <row r="21293" spans="1:8">
      <c r="H21293" t="s">
        <v>25561</v>
      </c>
    </row>
    <row r="21294" spans="1:8">
      <c r="H21294" t="s">
        <v>25562</v>
      </c>
    </row>
    <row r="21295" spans="1:8">
      <c r="H21295" t="s">
        <v>25563</v>
      </c>
    </row>
    <row r="21296" spans="1:8">
      <c r="H21296" t="s">
        <v>25564</v>
      </c>
    </row>
    <row r="21297" spans="1:8">
      <c r="H21297" t="s">
        <v>25565</v>
      </c>
    </row>
    <row r="21298" spans="1:8">
      <c r="A21298" t="s">
        <v>788</v>
      </c>
      <c r="B21298">
        <f>HYPERLINK("https://android.googlesource.com/platform/cts/+/032503cf437400f0371ebc5775104cec9e67ec15", "032503cf437400f0371ebc5775104cec9e67ec15")</f>
        <v>0</v>
      </c>
      <c r="C21298">
        <f>HYPERLINK("https://android.googlesource.com/platform/cts/+/5742d8c67eb1ec5ccdc06ff74d14ecd6ad173fd0", "5742d8c67eb1ec5ccdc06ff74d14ecd6ad173fd0")</f>
        <v>0</v>
      </c>
      <c r="D21298" t="s">
        <v>5069</v>
      </c>
      <c r="E21298" t="s">
        <v>6570</v>
      </c>
      <c r="F21298" t="s">
        <v>10794</v>
      </c>
      <c r="G21298" t="s">
        <v>15189</v>
      </c>
      <c r="H21298" t="s">
        <v>25566</v>
      </c>
    </row>
    <row r="21299" spans="1:8">
      <c r="A21299" t="s">
        <v>789</v>
      </c>
      <c r="B21299">
        <f>HYPERLINK("https://android.googlesource.com/platform/cts/+/929a33641980c9bcbca3d20cd0eb4a51c1318a37", "929a33641980c9bcbca3d20cd0eb4a51c1318a37")</f>
        <v>0</v>
      </c>
      <c r="C21299">
        <f>HYPERLINK("https://android.googlesource.com/platform/cts/+/a1cedf3a159c7a8f7803063e3e3a699c45021252", "a1cedf3a159c7a8f7803063e3e3a699c45021252")</f>
        <v>0</v>
      </c>
      <c r="D21299" t="s">
        <v>5086</v>
      </c>
      <c r="E21299" t="s">
        <v>6571</v>
      </c>
      <c r="F21299" t="s">
        <v>12628</v>
      </c>
      <c r="G21299" t="s">
        <v>16837</v>
      </c>
      <c r="H21299" t="s">
        <v>22678</v>
      </c>
    </row>
    <row r="21300" spans="1:8">
      <c r="H21300" t="s">
        <v>18829</v>
      </c>
    </row>
    <row r="21301" spans="1:8">
      <c r="H21301" t="s">
        <v>18863</v>
      </c>
    </row>
    <row r="21302" spans="1:8">
      <c r="H21302" t="s">
        <v>25567</v>
      </c>
    </row>
    <row r="21303" spans="1:8">
      <c r="H21303" t="s">
        <v>25568</v>
      </c>
    </row>
    <row r="21304" spans="1:8">
      <c r="H21304" t="s">
        <v>25569</v>
      </c>
    </row>
    <row r="21305" spans="1:8">
      <c r="H21305" t="s">
        <v>25570</v>
      </c>
    </row>
    <row r="21306" spans="1:8">
      <c r="F21306" t="s">
        <v>12629</v>
      </c>
      <c r="G21306" t="s">
        <v>16838</v>
      </c>
      <c r="H21306" t="s">
        <v>25571</v>
      </c>
    </row>
    <row r="21307" spans="1:8">
      <c r="A21307" t="s">
        <v>790</v>
      </c>
      <c r="B21307">
        <f>HYPERLINK("https://android.googlesource.com/platform/cts/+/ba48b31882d682925b5d92fe1e7a11de34430fdb", "ba48b31882d682925b5d92fe1e7a11de34430fdb")</f>
        <v>0</v>
      </c>
      <c r="C21307">
        <f>HYPERLINK("https://android.googlesource.com/platform/cts/+/fe05bba4695faad83fa5b10749edf8c6aea5ad61", "fe05bba4695faad83fa5b10749edf8c6aea5ad61")</f>
        <v>0</v>
      </c>
      <c r="D21307" t="s">
        <v>5011</v>
      </c>
      <c r="E21307" t="s">
        <v>6572</v>
      </c>
      <c r="F21307" t="s">
        <v>12630</v>
      </c>
      <c r="G21307" t="s">
        <v>16839</v>
      </c>
      <c r="H21307" t="s">
        <v>18829</v>
      </c>
    </row>
    <row r="21308" spans="1:8">
      <c r="F21308" t="s">
        <v>12631</v>
      </c>
      <c r="G21308" t="s">
        <v>16840</v>
      </c>
      <c r="H21308" t="s">
        <v>18829</v>
      </c>
    </row>
    <row r="21309" spans="1:8">
      <c r="H21309" t="s">
        <v>18863</v>
      </c>
    </row>
    <row r="21310" spans="1:8">
      <c r="H21310" t="s">
        <v>25572</v>
      </c>
    </row>
    <row r="21311" spans="1:8">
      <c r="H21311" t="s">
        <v>25573</v>
      </c>
    </row>
    <row r="21312" spans="1:8">
      <c r="H21312" t="s">
        <v>25574</v>
      </c>
    </row>
    <row r="21313" spans="1:8">
      <c r="A21313" t="s">
        <v>791</v>
      </c>
      <c r="B21313">
        <f>HYPERLINK("https://android.googlesource.com/platform/cts/+/8bdb1a928dfc9a029aed1f7b754324ea2eddebf4", "8bdb1a928dfc9a029aed1f7b754324ea2eddebf4")</f>
        <v>0</v>
      </c>
      <c r="C21313">
        <f>HYPERLINK("https://android.googlesource.com/platform/cts/+/c224f518096a0e83d361b856397db3602db1932e", "c224f518096a0e83d361b856397db3602db1932e")</f>
        <v>0</v>
      </c>
      <c r="D21313" t="s">
        <v>5077</v>
      </c>
      <c r="E21313" t="s">
        <v>6573</v>
      </c>
      <c r="F21313" t="s">
        <v>12223</v>
      </c>
      <c r="G21313" t="s">
        <v>16841</v>
      </c>
      <c r="H21313" t="s">
        <v>18829</v>
      </c>
    </row>
    <row r="21314" spans="1:8">
      <c r="H21314" t="s">
        <v>25575</v>
      </c>
    </row>
    <row r="21315" spans="1:8">
      <c r="H21315" t="s">
        <v>25576</v>
      </c>
    </row>
    <row r="21316" spans="1:8">
      <c r="H21316" t="s">
        <v>25577</v>
      </c>
    </row>
    <row r="21317" spans="1:8">
      <c r="H21317" t="s">
        <v>25578</v>
      </c>
    </row>
    <row r="21318" spans="1:8">
      <c r="H21318" t="s">
        <v>25579</v>
      </c>
    </row>
    <row r="21319" spans="1:8">
      <c r="H21319" t="s">
        <v>25580</v>
      </c>
    </row>
    <row r="21320" spans="1:8">
      <c r="H21320" t="s">
        <v>25581</v>
      </c>
    </row>
    <row r="21321" spans="1:8">
      <c r="H21321" t="s">
        <v>25582</v>
      </c>
    </row>
    <row r="21322" spans="1:8">
      <c r="H21322" t="s">
        <v>25583</v>
      </c>
    </row>
    <row r="21323" spans="1:8">
      <c r="H21323" t="s">
        <v>25584</v>
      </c>
    </row>
    <row r="21324" spans="1:8">
      <c r="H21324" t="s">
        <v>25585</v>
      </c>
    </row>
    <row r="21325" spans="1:8">
      <c r="H21325" t="s">
        <v>25586</v>
      </c>
    </row>
    <row r="21326" spans="1:8">
      <c r="H21326" t="s">
        <v>25587</v>
      </c>
    </row>
    <row r="21327" spans="1:8">
      <c r="H21327" t="s">
        <v>25588</v>
      </c>
    </row>
    <row r="21328" spans="1:8">
      <c r="H21328" t="s">
        <v>25589</v>
      </c>
    </row>
    <row r="21329" spans="8:8">
      <c r="H21329" t="s">
        <v>25590</v>
      </c>
    </row>
    <row r="21330" spans="8:8">
      <c r="H21330" t="s">
        <v>25591</v>
      </c>
    </row>
    <row r="21331" spans="8:8">
      <c r="H21331" t="s">
        <v>25592</v>
      </c>
    </row>
    <row r="21332" spans="8:8">
      <c r="H21332" t="s">
        <v>25593</v>
      </c>
    </row>
    <row r="21333" spans="8:8">
      <c r="H21333" t="s">
        <v>25594</v>
      </c>
    </row>
    <row r="21334" spans="8:8">
      <c r="H21334" t="s">
        <v>25595</v>
      </c>
    </row>
    <row r="21335" spans="8:8">
      <c r="H21335" t="s">
        <v>25596</v>
      </c>
    </row>
    <row r="21336" spans="8:8">
      <c r="H21336" t="s">
        <v>25597</v>
      </c>
    </row>
    <row r="21337" spans="8:8">
      <c r="H21337" t="s">
        <v>25598</v>
      </c>
    </row>
    <row r="21338" spans="8:8">
      <c r="H21338" t="s">
        <v>25599</v>
      </c>
    </row>
    <row r="21339" spans="8:8">
      <c r="H21339" t="s">
        <v>25600</v>
      </c>
    </row>
    <row r="21340" spans="8:8">
      <c r="H21340" t="s">
        <v>25601</v>
      </c>
    </row>
    <row r="21341" spans="8:8">
      <c r="H21341" t="s">
        <v>25602</v>
      </c>
    </row>
    <row r="21342" spans="8:8">
      <c r="H21342" t="s">
        <v>25601</v>
      </c>
    </row>
    <row r="21343" spans="8:8">
      <c r="H21343" t="s">
        <v>25603</v>
      </c>
    </row>
    <row r="21344" spans="8:8">
      <c r="H21344" t="s">
        <v>25604</v>
      </c>
    </row>
    <row r="21345" spans="1:8">
      <c r="H21345" t="s">
        <v>25605</v>
      </c>
    </row>
    <row r="21346" spans="1:8">
      <c r="H21346" t="s">
        <v>25606</v>
      </c>
    </row>
    <row r="21347" spans="1:8">
      <c r="H21347" t="s">
        <v>25607</v>
      </c>
    </row>
    <row r="21348" spans="1:8">
      <c r="H21348" t="s">
        <v>25608</v>
      </c>
    </row>
    <row r="21349" spans="1:8">
      <c r="H21349" t="s">
        <v>25609</v>
      </c>
    </row>
    <row r="21350" spans="1:8">
      <c r="H21350" t="s">
        <v>25610</v>
      </c>
    </row>
    <row r="21351" spans="1:8">
      <c r="H21351" t="s">
        <v>25611</v>
      </c>
    </row>
    <row r="21352" spans="1:8">
      <c r="H21352" t="s">
        <v>25612</v>
      </c>
    </row>
    <row r="21353" spans="1:8">
      <c r="H21353" t="s">
        <v>25613</v>
      </c>
    </row>
    <row r="21354" spans="1:8">
      <c r="H21354" t="s">
        <v>25614</v>
      </c>
    </row>
    <row r="21355" spans="1:8">
      <c r="H21355" t="s">
        <v>25614</v>
      </c>
    </row>
    <row r="21356" spans="1:8">
      <c r="H21356" t="s">
        <v>25615</v>
      </c>
    </row>
    <row r="21357" spans="1:8">
      <c r="H21357" t="s">
        <v>25616</v>
      </c>
    </row>
    <row r="21358" spans="1:8">
      <c r="H21358" t="s">
        <v>25617</v>
      </c>
    </row>
    <row r="21359" spans="1:8">
      <c r="H21359" t="s">
        <v>25617</v>
      </c>
    </row>
    <row r="21360" spans="1:8">
      <c r="A21360" t="s">
        <v>792</v>
      </c>
      <c r="B21360">
        <f>HYPERLINK("https://android.googlesource.com/platform/cts/+/fedb39dc0f97de7f90a7925318e951e254d97afd", "fedb39dc0f97de7f90a7925318e951e254d97afd")</f>
        <v>0</v>
      </c>
      <c r="C21360">
        <f>HYPERLINK("https://android.googlesource.com/platform/cts/+/51e36fced5d4b82ab7a9cf4b36ac1896a1d0a4f5", "51e36fced5d4b82ab7a9cf4b36ac1896a1d0a4f5")</f>
        <v>0</v>
      </c>
      <c r="D21360" t="s">
        <v>5040</v>
      </c>
      <c r="E21360" t="s">
        <v>6574</v>
      </c>
      <c r="F21360" t="s">
        <v>12632</v>
      </c>
      <c r="G21360" t="s">
        <v>16842</v>
      </c>
      <c r="H21360" t="s">
        <v>25618</v>
      </c>
    </row>
    <row r="21361" spans="1:8">
      <c r="H21361" t="s">
        <v>25619</v>
      </c>
    </row>
    <row r="21362" spans="1:8">
      <c r="H21362" t="s">
        <v>25620</v>
      </c>
    </row>
    <row r="21363" spans="1:8">
      <c r="H21363" t="s">
        <v>25621</v>
      </c>
    </row>
    <row r="21364" spans="1:8">
      <c r="H21364" t="s">
        <v>25622</v>
      </c>
    </row>
    <row r="21365" spans="1:8">
      <c r="H21365" t="s">
        <v>19019</v>
      </c>
    </row>
    <row r="21366" spans="1:8">
      <c r="H21366" t="s">
        <v>22505</v>
      </c>
    </row>
    <row r="21367" spans="1:8">
      <c r="H21367" t="s">
        <v>25623</v>
      </c>
    </row>
    <row r="21368" spans="1:8">
      <c r="A21368" t="s">
        <v>793</v>
      </c>
      <c r="B21368">
        <f>HYPERLINK("https://android.googlesource.com/platform/cts/+/7b113c86a64aeb7060ff35882a2f2def97cd0484", "7b113c86a64aeb7060ff35882a2f2def97cd0484")</f>
        <v>0</v>
      </c>
      <c r="C21368">
        <f>HYPERLINK("https://android.googlesource.com/platform/cts/+/a47d5d6948f50f3bbc8300b8656bb426edc2c746", "a47d5d6948f50f3bbc8300b8656bb426edc2c746")</f>
        <v>0</v>
      </c>
      <c r="D21368" t="s">
        <v>5077</v>
      </c>
      <c r="E21368" t="s">
        <v>6575</v>
      </c>
      <c r="F21368" t="s">
        <v>12633</v>
      </c>
      <c r="G21368" t="s">
        <v>16841</v>
      </c>
      <c r="H21368" t="s">
        <v>25589</v>
      </c>
    </row>
    <row r="21369" spans="1:8">
      <c r="H21369" t="s">
        <v>25590</v>
      </c>
    </row>
    <row r="21370" spans="1:8">
      <c r="H21370" t="s">
        <v>25591</v>
      </c>
    </row>
    <row r="21371" spans="1:8">
      <c r="H21371" t="s">
        <v>25592</v>
      </c>
    </row>
    <row r="21372" spans="1:8">
      <c r="A21372" t="s">
        <v>794</v>
      </c>
      <c r="B21372">
        <f>HYPERLINK("https://android.googlesource.com/platform/cts/+/33f60d42ba2f49b684ee571abeb8e04eedea896c", "33f60d42ba2f49b684ee571abeb8e04eedea896c")</f>
        <v>0</v>
      </c>
      <c r="C21372">
        <f>HYPERLINK("https://android.googlesource.com/platform/cts/+/d6da57796270da3500f13d2c9a25d4dc10d56ba6", "d6da57796270da3500f13d2c9a25d4dc10d56ba6")</f>
        <v>0</v>
      </c>
      <c r="D21372" t="s">
        <v>5078</v>
      </c>
      <c r="E21372" t="s">
        <v>6576</v>
      </c>
      <c r="F21372" t="s">
        <v>12415</v>
      </c>
      <c r="G21372" t="s">
        <v>16637</v>
      </c>
      <c r="H21372" t="s">
        <v>25624</v>
      </c>
    </row>
    <row r="21373" spans="1:8">
      <c r="H21373" t="s">
        <v>25625</v>
      </c>
    </row>
    <row r="21374" spans="1:8">
      <c r="A21374" t="s">
        <v>795</v>
      </c>
      <c r="B21374">
        <f>HYPERLINK("https://android.googlesource.com/platform/cts/+/66476a95a70d3f73320b82edf33ea76a3f0df7ac", "66476a95a70d3f73320b82edf33ea76a3f0df7ac")</f>
        <v>0</v>
      </c>
      <c r="C21374">
        <f>HYPERLINK("https://android.googlesource.com/platform/cts/+/dea56337c8a5ee10af912938f8a625bd9c21306f", "dea56337c8a5ee10af912938f8a625bd9c21306f")</f>
        <v>0</v>
      </c>
      <c r="D21374" t="s">
        <v>5002</v>
      </c>
      <c r="E21374" t="s">
        <v>6577</v>
      </c>
      <c r="F21374" t="s">
        <v>12634</v>
      </c>
      <c r="G21374" t="s">
        <v>16843</v>
      </c>
      <c r="H21374" t="s">
        <v>25626</v>
      </c>
    </row>
    <row r="21375" spans="1:8">
      <c r="F21375" t="s">
        <v>12635</v>
      </c>
      <c r="G21375" t="s">
        <v>15331</v>
      </c>
      <c r="H21375" t="s">
        <v>25627</v>
      </c>
    </row>
    <row r="21376" spans="1:8">
      <c r="H21376" t="s">
        <v>25627</v>
      </c>
    </row>
    <row r="21377" spans="1:8">
      <c r="H21377" t="s">
        <v>18931</v>
      </c>
    </row>
    <row r="21378" spans="1:8">
      <c r="H21378" t="s">
        <v>25628</v>
      </c>
    </row>
    <row r="21379" spans="1:8">
      <c r="H21379" t="s">
        <v>25629</v>
      </c>
    </row>
    <row r="21380" spans="1:8">
      <c r="H21380" t="s">
        <v>25630</v>
      </c>
    </row>
    <row r="21381" spans="1:8">
      <c r="F21381" t="s">
        <v>12636</v>
      </c>
      <c r="G21381" t="s">
        <v>16844</v>
      </c>
      <c r="H21381" t="s">
        <v>25631</v>
      </c>
    </row>
    <row r="21382" spans="1:8">
      <c r="F21382" t="s">
        <v>12637</v>
      </c>
      <c r="G21382" t="s">
        <v>16845</v>
      </c>
      <c r="H21382" t="s">
        <v>25632</v>
      </c>
    </row>
    <row r="21383" spans="1:8">
      <c r="A21383" t="s">
        <v>796</v>
      </c>
      <c r="B21383">
        <f>HYPERLINK("https://android.googlesource.com/platform/cts/+/cb59a502afba73e207420190fba0d9c8494a2763", "cb59a502afba73e207420190fba0d9c8494a2763")</f>
        <v>0</v>
      </c>
      <c r="C21383">
        <f>HYPERLINK("https://android.googlesource.com/platform/cts/+/85e7ffbf4b693bdea9403c116e17ce97e25795ec", "85e7ffbf4b693bdea9403c116e17ce97e25795ec")</f>
        <v>0</v>
      </c>
      <c r="D21383" t="s">
        <v>4949</v>
      </c>
      <c r="E21383" t="s">
        <v>6578</v>
      </c>
      <c r="F21383" t="s">
        <v>12638</v>
      </c>
      <c r="G21383" t="s">
        <v>16846</v>
      </c>
      <c r="H21383" t="s">
        <v>18829</v>
      </c>
    </row>
    <row r="21384" spans="1:8">
      <c r="H21384" t="s">
        <v>25633</v>
      </c>
    </row>
    <row r="21385" spans="1:8">
      <c r="H21385" t="s">
        <v>25634</v>
      </c>
    </row>
    <row r="21386" spans="1:8">
      <c r="H21386" t="s">
        <v>25635</v>
      </c>
    </row>
    <row r="21387" spans="1:8">
      <c r="H21387" t="s">
        <v>25636</v>
      </c>
    </row>
    <row r="21388" spans="1:8">
      <c r="F21388" t="s">
        <v>12639</v>
      </c>
      <c r="G21388" t="s">
        <v>16847</v>
      </c>
      <c r="H21388" t="s">
        <v>18829</v>
      </c>
    </row>
    <row r="21389" spans="1:8">
      <c r="H21389" t="s">
        <v>25637</v>
      </c>
    </row>
    <row r="21390" spans="1:8">
      <c r="H21390" t="s">
        <v>25638</v>
      </c>
    </row>
    <row r="21391" spans="1:8">
      <c r="A21391" t="s">
        <v>797</v>
      </c>
      <c r="B21391">
        <f>HYPERLINK("https://android.googlesource.com/platform/cts/+/e195d6834e63268748583b0f198220b7bd9788ae", "e195d6834e63268748583b0f198220b7bd9788ae")</f>
        <v>0</v>
      </c>
      <c r="C21391">
        <f>HYPERLINK("https://android.googlesource.com/platform/cts/+/297d1d6bb7143dc0f78e472a6939275270d5f38b", "297d1d6bb7143dc0f78e472a6939275270d5f38b")</f>
        <v>0</v>
      </c>
      <c r="D21391" t="s">
        <v>5029</v>
      </c>
      <c r="E21391" t="s">
        <v>6579</v>
      </c>
      <c r="F21391" t="s">
        <v>12335</v>
      </c>
      <c r="G21391" t="s">
        <v>16563</v>
      </c>
      <c r="H21391" t="s">
        <v>25639</v>
      </c>
    </row>
    <row r="21392" spans="1:8">
      <c r="F21392" t="s">
        <v>10780</v>
      </c>
      <c r="G21392" t="s">
        <v>15176</v>
      </c>
      <c r="H21392" t="s">
        <v>25639</v>
      </c>
    </row>
    <row r="21393" spans="1:8">
      <c r="F21393" t="s">
        <v>10644</v>
      </c>
      <c r="G21393" t="s">
        <v>15045</v>
      </c>
      <c r="H21393" t="s">
        <v>25639</v>
      </c>
    </row>
    <row r="21394" spans="1:8">
      <c r="F21394" t="s">
        <v>10645</v>
      </c>
      <c r="G21394" t="s">
        <v>15046</v>
      </c>
      <c r="H21394" t="s">
        <v>25639</v>
      </c>
    </row>
    <row r="21395" spans="1:8">
      <c r="F21395" t="s">
        <v>10781</v>
      </c>
      <c r="G21395" t="s">
        <v>15177</v>
      </c>
      <c r="H21395" t="s">
        <v>25639</v>
      </c>
    </row>
    <row r="21396" spans="1:8">
      <c r="H21396" t="s">
        <v>25640</v>
      </c>
    </row>
    <row r="21397" spans="1:8">
      <c r="F21397" t="s">
        <v>12316</v>
      </c>
      <c r="G21397" t="s">
        <v>16548</v>
      </c>
      <c r="H21397" t="s">
        <v>25639</v>
      </c>
    </row>
    <row r="21398" spans="1:8">
      <c r="F21398" t="s">
        <v>10646</v>
      </c>
      <c r="G21398" t="s">
        <v>15047</v>
      </c>
      <c r="H21398" t="s">
        <v>25639</v>
      </c>
    </row>
    <row r="21399" spans="1:8">
      <c r="A21399" t="s">
        <v>798</v>
      </c>
      <c r="B21399">
        <f>HYPERLINK("https://android.googlesource.com/platform/cts/+/a98f8da6829f6f2a8c1d8e680fd1791a4ad25ef5", "a98f8da6829f6f2a8c1d8e680fd1791a4ad25ef5")</f>
        <v>0</v>
      </c>
      <c r="C21399">
        <f>HYPERLINK("https://android.googlesource.com/platform/cts/+/297d1d6bb7143dc0f78e472a6939275270d5f38b", "297d1d6bb7143dc0f78e472a6939275270d5f38b")</f>
        <v>0</v>
      </c>
      <c r="D21399" t="s">
        <v>5094</v>
      </c>
      <c r="E21399" t="s">
        <v>6580</v>
      </c>
      <c r="F21399" t="s">
        <v>12640</v>
      </c>
      <c r="G21399" t="s">
        <v>16848</v>
      </c>
      <c r="H21399" t="s">
        <v>25641</v>
      </c>
    </row>
    <row r="21400" spans="1:8">
      <c r="A21400" t="s">
        <v>799</v>
      </c>
      <c r="B21400">
        <f>HYPERLINK("https://android.googlesource.com/platform/cts/+/48d0713d2102b38e54d91a622c72a9b210fe215d", "48d0713d2102b38e54d91a622c72a9b210fe215d")</f>
        <v>0</v>
      </c>
      <c r="C21400">
        <f>HYPERLINK("https://android.googlesource.com/platform/cts/+/1bd444a2cb59b61f362b5a4e020b6e297814335e", "1bd444a2cb59b61f362b5a4e020b6e297814335e")</f>
        <v>0</v>
      </c>
      <c r="D21400" t="s">
        <v>5095</v>
      </c>
      <c r="E21400" t="s">
        <v>6581</v>
      </c>
      <c r="F21400" t="s">
        <v>12641</v>
      </c>
      <c r="G21400" t="s">
        <v>16849</v>
      </c>
      <c r="H21400" t="s">
        <v>25642</v>
      </c>
    </row>
    <row r="21401" spans="1:8">
      <c r="H21401" t="s">
        <v>25643</v>
      </c>
    </row>
    <row r="21402" spans="1:8">
      <c r="H21402" t="s">
        <v>25644</v>
      </c>
    </row>
    <row r="21403" spans="1:8">
      <c r="H21403" t="s">
        <v>25645</v>
      </c>
    </row>
    <row r="21404" spans="1:8">
      <c r="A21404" t="s">
        <v>800</v>
      </c>
      <c r="B21404">
        <f>HYPERLINK("https://android.googlesource.com/platform/cts/+/948eda6f30123df653c313b24677543c994ab490", "948eda6f30123df653c313b24677543c994ab490")</f>
        <v>0</v>
      </c>
      <c r="C21404">
        <f>HYPERLINK("https://android.googlesource.com/platform/cts/+/f67a438341ae19fe7288be0cd85d9b13345e96a5", "f67a438341ae19fe7288be0cd85d9b13345e96a5")</f>
        <v>0</v>
      </c>
      <c r="D21404" t="s">
        <v>5096</v>
      </c>
      <c r="E21404" t="s">
        <v>6582</v>
      </c>
      <c r="F21404" t="s">
        <v>12642</v>
      </c>
      <c r="G21404" t="s">
        <v>16850</v>
      </c>
      <c r="H21404" t="s">
        <v>25646</v>
      </c>
    </row>
    <row r="21405" spans="1:8">
      <c r="A21405" t="s">
        <v>801</v>
      </c>
      <c r="B21405">
        <f>HYPERLINK("https://android.googlesource.com/platform/cts/+/f3b6b6771bfd40c4e27f5a48d1296da3b03008b6", "f3b6b6771bfd40c4e27f5a48d1296da3b03008b6")</f>
        <v>0</v>
      </c>
      <c r="C21405">
        <f>HYPERLINK("https://android.googlesource.com/platform/cts/+/8188149eacbc02670152d42d7417c116efff614f", "8188149eacbc02670152d42d7417c116efff614f")</f>
        <v>0</v>
      </c>
      <c r="D21405" t="s">
        <v>5097</v>
      </c>
      <c r="E21405" t="s">
        <v>6583</v>
      </c>
      <c r="F21405" t="s">
        <v>10668</v>
      </c>
      <c r="G21405" t="s">
        <v>15069</v>
      </c>
      <c r="H21405" t="s">
        <v>25647</v>
      </c>
    </row>
    <row r="21406" spans="1:8">
      <c r="A21406" t="s">
        <v>802</v>
      </c>
      <c r="B21406">
        <f>HYPERLINK("https://android.googlesource.com/platform/cts/+/17f1800667e726853dd987b94c2cf36d11cf9369", "17f1800667e726853dd987b94c2cf36d11cf9369")</f>
        <v>0</v>
      </c>
      <c r="C21406">
        <f>HYPERLINK("https://android.googlesource.com/platform/cts/+/948eda6f30123df653c313b24677543c994ab490", "948eda6f30123df653c313b24677543c994ab490")</f>
        <v>0</v>
      </c>
      <c r="D21406" t="s">
        <v>5098</v>
      </c>
      <c r="E21406" t="s">
        <v>6584</v>
      </c>
      <c r="F21406" t="s">
        <v>12642</v>
      </c>
      <c r="G21406" t="s">
        <v>16850</v>
      </c>
      <c r="H21406" t="s">
        <v>25648</v>
      </c>
    </row>
    <row r="21407" spans="1:8">
      <c r="H21407" t="s">
        <v>25649</v>
      </c>
    </row>
    <row r="21408" spans="1:8">
      <c r="A21408" t="s">
        <v>803</v>
      </c>
      <c r="B21408">
        <f>HYPERLINK("https://android.googlesource.com/platform/cts/+/b67e5b4b46c5b873e9d4287694e0e38cf58c2d7e", "b67e5b4b46c5b873e9d4287694e0e38cf58c2d7e")</f>
        <v>0</v>
      </c>
      <c r="C21408">
        <f>HYPERLINK("https://android.googlesource.com/platform/cts/+/fcc5aea0474bea66dc5b9d39498522a4128e01f3", "fcc5aea0474bea66dc5b9d39498522a4128e01f3")</f>
        <v>0</v>
      </c>
      <c r="D21408" t="s">
        <v>5011</v>
      </c>
      <c r="E21408" t="s">
        <v>6585</v>
      </c>
      <c r="F21408" t="s">
        <v>12642</v>
      </c>
      <c r="G21408" t="s">
        <v>16850</v>
      </c>
      <c r="H21408" t="s">
        <v>25646</v>
      </c>
    </row>
    <row r="21409" spans="1:8">
      <c r="A21409" t="s">
        <v>804</v>
      </c>
      <c r="B21409">
        <f>HYPERLINK("https://android.googlesource.com/platform/cts/+/fe8fbf78494d523803777f8d677fd98e658992ea", "fe8fbf78494d523803777f8d677fd98e658992ea")</f>
        <v>0</v>
      </c>
      <c r="C21409">
        <f>HYPERLINK("https://android.googlesource.com/platform/cts/+/e7ecc2972ddbd1570c5092e1b5f3c40a5e70a781", "e7ecc2972ddbd1570c5092e1b5f3c40a5e70a781")</f>
        <v>0</v>
      </c>
      <c r="D21409" t="s">
        <v>5029</v>
      </c>
      <c r="E21409" t="s">
        <v>6586</v>
      </c>
      <c r="F21409" t="s">
        <v>12643</v>
      </c>
      <c r="G21409" t="s">
        <v>15001</v>
      </c>
      <c r="H21409" t="s">
        <v>18856</v>
      </c>
    </row>
    <row r="21410" spans="1:8">
      <c r="A21410" t="s">
        <v>805</v>
      </c>
      <c r="B21410">
        <f>HYPERLINK("https://android.googlesource.com/platform/cts/+/4ed3b6c02b917394dfc68c4d421c4b935a3325c8", "4ed3b6c02b917394dfc68c4d421c4b935a3325c8")</f>
        <v>0</v>
      </c>
      <c r="C21410">
        <f>HYPERLINK("https://android.googlesource.com/platform/cts/+/95ee48203ed2c4dd64a5364fed26ae626a33c481", "95ee48203ed2c4dd64a5364fed26ae626a33c481")</f>
        <v>0</v>
      </c>
      <c r="D21410" t="s">
        <v>5069</v>
      </c>
      <c r="E21410" t="s">
        <v>6587</v>
      </c>
      <c r="F21410" t="s">
        <v>12644</v>
      </c>
      <c r="G21410" t="s">
        <v>16851</v>
      </c>
      <c r="H21410" t="s">
        <v>19010</v>
      </c>
    </row>
    <row r="21411" spans="1:8">
      <c r="H21411" t="s">
        <v>18835</v>
      </c>
    </row>
    <row r="21412" spans="1:8">
      <c r="H21412" t="s">
        <v>25650</v>
      </c>
    </row>
    <row r="21413" spans="1:8">
      <c r="A21413" t="s">
        <v>806</v>
      </c>
      <c r="B21413">
        <f>HYPERLINK("https://android.googlesource.com/platform/cts/+/1a073be447b96901937855af7fc944598f1f06bf", "1a073be447b96901937855af7fc944598f1f06bf")</f>
        <v>0</v>
      </c>
      <c r="C21413">
        <f>HYPERLINK("https://android.googlesource.com/platform/cts/+/fcc5aea0474bea66dc5b9d39498522a4128e01f3", "fcc5aea0474bea66dc5b9d39498522a4128e01f3")</f>
        <v>0</v>
      </c>
      <c r="D21413" t="s">
        <v>5084</v>
      </c>
      <c r="E21413" t="s">
        <v>6588</v>
      </c>
      <c r="F21413" t="s">
        <v>12645</v>
      </c>
      <c r="G21413" t="s">
        <v>16852</v>
      </c>
      <c r="H21413" t="s">
        <v>18829</v>
      </c>
    </row>
    <row r="21414" spans="1:8">
      <c r="H21414" t="s">
        <v>18863</v>
      </c>
    </row>
    <row r="21415" spans="1:8">
      <c r="H21415" t="s">
        <v>25651</v>
      </c>
    </row>
    <row r="21416" spans="1:8">
      <c r="H21416" t="s">
        <v>25652</v>
      </c>
    </row>
    <row r="21417" spans="1:8">
      <c r="H21417" t="s">
        <v>25653</v>
      </c>
    </row>
    <row r="21418" spans="1:8">
      <c r="H21418" t="s">
        <v>25654</v>
      </c>
    </row>
    <row r="21419" spans="1:8">
      <c r="H21419" t="s">
        <v>25655</v>
      </c>
    </row>
    <row r="21420" spans="1:8">
      <c r="H21420" t="s">
        <v>25656</v>
      </c>
    </row>
    <row r="21421" spans="1:8">
      <c r="H21421" t="s">
        <v>25657</v>
      </c>
    </row>
    <row r="21422" spans="1:8">
      <c r="H21422" t="s">
        <v>25658</v>
      </c>
    </row>
    <row r="21423" spans="1:8">
      <c r="H21423" t="s">
        <v>25659</v>
      </c>
    </row>
    <row r="21424" spans="1:8">
      <c r="H21424" t="s">
        <v>25660</v>
      </c>
    </row>
    <row r="21425" spans="1:8">
      <c r="H21425" t="s">
        <v>25661</v>
      </c>
    </row>
    <row r="21426" spans="1:8">
      <c r="H21426" t="s">
        <v>25662</v>
      </c>
    </row>
    <row r="21427" spans="1:8">
      <c r="A21427" t="s">
        <v>807</v>
      </c>
      <c r="B21427">
        <f>HYPERLINK("https://android.googlesource.com/platform/cts/+/779eb03ca895dcf46dae4b1033da5e1e423591d2", "779eb03ca895dcf46dae4b1033da5e1e423591d2")</f>
        <v>0</v>
      </c>
      <c r="C21427">
        <f>HYPERLINK("https://android.googlesource.com/platform/cts/+/c90f606f964330d75f6080d4cb389e6cc633dd88", "c90f606f964330d75f6080d4cb389e6cc633dd88")</f>
        <v>0</v>
      </c>
      <c r="D21427" t="s">
        <v>5077</v>
      </c>
      <c r="E21427" t="s">
        <v>6589</v>
      </c>
      <c r="F21427" t="s">
        <v>12646</v>
      </c>
      <c r="G21427" t="s">
        <v>14989</v>
      </c>
      <c r="H21427" t="s">
        <v>25663</v>
      </c>
    </row>
    <row r="21428" spans="1:8">
      <c r="A21428" t="s">
        <v>808</v>
      </c>
      <c r="B21428">
        <f>HYPERLINK("https://android.googlesource.com/platform/cts/+/4621783a3e991184481bc8f2f853c4888fa78bdb", "4621783a3e991184481bc8f2f853c4888fa78bdb")</f>
        <v>0</v>
      </c>
      <c r="C21428">
        <f>HYPERLINK("https://android.googlesource.com/platform/cts/+/73965a872d2e4748f11ecec99f7bdb803226e21e", "73965a872d2e4748f11ecec99f7bdb803226e21e")</f>
        <v>0</v>
      </c>
      <c r="D21428" t="s">
        <v>5099</v>
      </c>
      <c r="E21428" t="s">
        <v>6590</v>
      </c>
      <c r="F21428" t="s">
        <v>11188</v>
      </c>
      <c r="G21428" t="s">
        <v>15577</v>
      </c>
      <c r="H21428" t="s">
        <v>20181</v>
      </c>
    </row>
    <row r="21429" spans="1:8">
      <c r="A21429" t="s">
        <v>809</v>
      </c>
      <c r="B21429">
        <f>HYPERLINK("https://android.googlesource.com/platform/cts/+/dd68739a3062ffff7159a2342a31d85557364f89", "dd68739a3062ffff7159a2342a31d85557364f89")</f>
        <v>0</v>
      </c>
      <c r="C21429">
        <f>HYPERLINK("https://android.googlesource.com/platform/cts/+/44657d4fcbc722bafa2129d76aa1e40de82c8361", "44657d4fcbc722bafa2129d76aa1e40de82c8361")</f>
        <v>0</v>
      </c>
      <c r="D21429" t="s">
        <v>5094</v>
      </c>
      <c r="E21429" t="s">
        <v>6591</v>
      </c>
      <c r="F21429" t="s">
        <v>12647</v>
      </c>
      <c r="G21429" t="s">
        <v>16853</v>
      </c>
      <c r="H21429" t="s">
        <v>25664</v>
      </c>
    </row>
    <row r="21430" spans="1:8">
      <c r="H21430" t="s">
        <v>25665</v>
      </c>
    </row>
    <row r="21431" spans="1:8">
      <c r="H21431" t="s">
        <v>25666</v>
      </c>
    </row>
    <row r="21432" spans="1:8">
      <c r="H21432" t="s">
        <v>25667</v>
      </c>
    </row>
    <row r="21433" spans="1:8">
      <c r="A21433" t="s">
        <v>810</v>
      </c>
      <c r="B21433">
        <f>HYPERLINK("https://android.googlesource.com/platform/cts/+/8fabf134e6971e2d2e756dab2386a3ab752e0adb", "8fabf134e6971e2d2e756dab2386a3ab752e0adb")</f>
        <v>0</v>
      </c>
      <c r="C21433">
        <f>HYPERLINK("https://android.googlesource.com/platform/cts/+/f2812948ac52dd0fe854492e4201841abc61eaa1", "f2812948ac52dd0fe854492e4201841abc61eaa1")</f>
        <v>0</v>
      </c>
      <c r="D21433" t="s">
        <v>5029</v>
      </c>
      <c r="E21433" t="s">
        <v>6592</v>
      </c>
      <c r="F21433" t="s">
        <v>10740</v>
      </c>
      <c r="G21433" t="s">
        <v>15139</v>
      </c>
      <c r="H21433" t="s">
        <v>19691</v>
      </c>
    </row>
    <row r="21434" spans="1:8">
      <c r="H21434" t="s">
        <v>25668</v>
      </c>
    </row>
    <row r="21435" spans="1:8">
      <c r="F21435" t="s">
        <v>10699</v>
      </c>
      <c r="G21435" t="s">
        <v>15099</v>
      </c>
      <c r="H21435" t="s">
        <v>25669</v>
      </c>
    </row>
    <row r="21436" spans="1:8">
      <c r="H21436" t="s">
        <v>25670</v>
      </c>
    </row>
    <row r="21437" spans="1:8">
      <c r="H21437" t="s">
        <v>25671</v>
      </c>
    </row>
    <row r="21438" spans="1:8">
      <c r="F21438" t="s">
        <v>11183</v>
      </c>
      <c r="G21438" t="s">
        <v>15572</v>
      </c>
      <c r="H21438" t="s">
        <v>25672</v>
      </c>
    </row>
    <row r="21439" spans="1:8">
      <c r="H21439" t="s">
        <v>25673</v>
      </c>
    </row>
    <row r="21440" spans="1:8">
      <c r="H21440" t="s">
        <v>25674</v>
      </c>
    </row>
    <row r="21441" spans="1:8">
      <c r="A21441" t="s">
        <v>811</v>
      </c>
      <c r="B21441">
        <f>HYPERLINK("https://android.googlesource.com/platform/cts/+/71862d1d0fe88bf924c0ed3263b5c109cb24fb9a", "71862d1d0fe88bf924c0ed3263b5c109cb24fb9a")</f>
        <v>0</v>
      </c>
      <c r="C21441">
        <f>HYPERLINK("https://android.googlesource.com/platform/cts/+/ecab77f1f4e09ca23d2b40e54a64b809513372c3", "ecab77f1f4e09ca23d2b40e54a64b809513372c3")</f>
        <v>0</v>
      </c>
      <c r="D21441" t="s">
        <v>5029</v>
      </c>
      <c r="E21441" t="s">
        <v>6593</v>
      </c>
      <c r="F21441" t="s">
        <v>10676</v>
      </c>
      <c r="G21441" t="s">
        <v>15076</v>
      </c>
      <c r="H21441" t="s">
        <v>25675</v>
      </c>
    </row>
    <row r="21442" spans="1:8">
      <c r="F21442" t="s">
        <v>12648</v>
      </c>
      <c r="G21442" t="s">
        <v>16854</v>
      </c>
      <c r="H21442" t="s">
        <v>25676</v>
      </c>
    </row>
    <row r="21443" spans="1:8">
      <c r="F21443" t="s">
        <v>12649</v>
      </c>
      <c r="G21443" t="s">
        <v>16855</v>
      </c>
      <c r="H21443" t="s">
        <v>18829</v>
      </c>
    </row>
    <row r="21444" spans="1:8">
      <c r="H21444" t="s">
        <v>25677</v>
      </c>
    </row>
    <row r="21445" spans="1:8">
      <c r="H21445" t="s">
        <v>25678</v>
      </c>
    </row>
    <row r="21446" spans="1:8">
      <c r="H21446" t="s">
        <v>25679</v>
      </c>
    </row>
    <row r="21447" spans="1:8">
      <c r="H21447" t="s">
        <v>25680</v>
      </c>
    </row>
    <row r="21448" spans="1:8">
      <c r="H21448" t="s">
        <v>25680</v>
      </c>
    </row>
    <row r="21449" spans="1:8">
      <c r="H21449" t="s">
        <v>20086</v>
      </c>
    </row>
    <row r="21450" spans="1:8">
      <c r="A21450" t="s">
        <v>813</v>
      </c>
      <c r="B21450">
        <f>HYPERLINK("https://android.googlesource.com/platform/cts/+/b054026b4d0347f958de7c4b3eaa6a52ff3d20cd", "b054026b4d0347f958de7c4b3eaa6a52ff3d20cd")</f>
        <v>0</v>
      </c>
      <c r="C21450">
        <f>HYPERLINK("https://android.googlesource.com/platform/cts/+/329f4b93faf91fcd62f4cbfd93a29221c3768ebc", "329f4b93faf91fcd62f4cbfd93a29221c3768ebc")</f>
        <v>0</v>
      </c>
      <c r="D21450" t="s">
        <v>5002</v>
      </c>
      <c r="E21450" t="s">
        <v>6594</v>
      </c>
      <c r="F21450" t="s">
        <v>12562</v>
      </c>
      <c r="G21450" t="s">
        <v>16778</v>
      </c>
      <c r="H21450" t="s">
        <v>22186</v>
      </c>
    </row>
    <row r="21451" spans="1:8">
      <c r="H21451" t="s">
        <v>22187</v>
      </c>
    </row>
    <row r="21452" spans="1:8">
      <c r="H21452" t="s">
        <v>22188</v>
      </c>
    </row>
    <row r="21453" spans="1:8">
      <c r="H21453" t="s">
        <v>22189</v>
      </c>
    </row>
    <row r="21454" spans="1:8">
      <c r="F21454" t="s">
        <v>10942</v>
      </c>
      <c r="G21454" t="s">
        <v>14991</v>
      </c>
      <c r="H21454" t="s">
        <v>25681</v>
      </c>
    </row>
    <row r="21455" spans="1:8">
      <c r="H21455" t="s">
        <v>25682</v>
      </c>
    </row>
    <row r="21456" spans="1:8">
      <c r="H21456" t="s">
        <v>25683</v>
      </c>
    </row>
    <row r="21457" spans="1:8">
      <c r="H21457" t="s">
        <v>25684</v>
      </c>
    </row>
    <row r="21458" spans="1:8">
      <c r="H21458" t="s">
        <v>19747</v>
      </c>
    </row>
    <row r="21459" spans="1:8">
      <c r="H21459" t="s">
        <v>25685</v>
      </c>
    </row>
    <row r="21460" spans="1:8">
      <c r="A21460" t="s">
        <v>814</v>
      </c>
      <c r="B21460">
        <f>HYPERLINK("https://android.googlesource.com/platform/cts/+/992b459293c4dcae2a12cdf5923e3e26a476bd1a", "992b459293c4dcae2a12cdf5923e3e26a476bd1a")</f>
        <v>0</v>
      </c>
      <c r="C21460">
        <f>HYPERLINK("https://android.googlesource.com/platform/cts/+/b054026b4d0347f958de7c4b3eaa6a52ff3d20cd", "b054026b4d0347f958de7c4b3eaa6a52ff3d20cd")</f>
        <v>0</v>
      </c>
      <c r="D21460" t="s">
        <v>5100</v>
      </c>
      <c r="E21460" t="s">
        <v>6595</v>
      </c>
      <c r="F21460" t="s">
        <v>12650</v>
      </c>
      <c r="G21460" t="s">
        <v>16856</v>
      </c>
      <c r="H21460" t="s">
        <v>22186</v>
      </c>
    </row>
    <row r="21461" spans="1:8">
      <c r="H21461" t="s">
        <v>25686</v>
      </c>
    </row>
    <row r="21462" spans="1:8">
      <c r="H21462" t="s">
        <v>22189</v>
      </c>
    </row>
    <row r="21463" spans="1:8">
      <c r="F21463" t="s">
        <v>10942</v>
      </c>
      <c r="G21463" t="s">
        <v>14991</v>
      </c>
      <c r="H21463" t="s">
        <v>25687</v>
      </c>
    </row>
    <row r="21464" spans="1:8">
      <c r="H21464" t="s">
        <v>25688</v>
      </c>
    </row>
    <row r="21465" spans="1:8">
      <c r="A21465" t="s">
        <v>815</v>
      </c>
      <c r="B21465">
        <f>HYPERLINK("https://android.googlesource.com/platform/cts/+/92423df543c8e11070c57585a6450e7f4e9a1a42", "92423df543c8e11070c57585a6450e7f4e9a1a42")</f>
        <v>0</v>
      </c>
      <c r="C21465">
        <f>HYPERLINK("https://android.googlesource.com/platform/cts/+/1b545b6700621d46c4c85a83c39706e9f9a2b8af", "1b545b6700621d46c4c85a83c39706e9f9a2b8af")</f>
        <v>0</v>
      </c>
      <c r="D21465" t="s">
        <v>5002</v>
      </c>
      <c r="E21465" t="s">
        <v>6596</v>
      </c>
      <c r="F21465" t="s">
        <v>12562</v>
      </c>
      <c r="G21465" t="s">
        <v>16778</v>
      </c>
      <c r="H21465" t="s">
        <v>22186</v>
      </c>
    </row>
    <row r="21466" spans="1:8">
      <c r="H21466" t="s">
        <v>22187</v>
      </c>
    </row>
    <row r="21467" spans="1:8">
      <c r="H21467" t="s">
        <v>22188</v>
      </c>
    </row>
    <row r="21468" spans="1:8">
      <c r="H21468" t="s">
        <v>22189</v>
      </c>
    </row>
    <row r="21469" spans="1:8">
      <c r="F21469" t="s">
        <v>10942</v>
      </c>
      <c r="G21469" t="s">
        <v>14991</v>
      </c>
      <c r="H21469" t="s">
        <v>25681</v>
      </c>
    </row>
    <row r="21470" spans="1:8">
      <c r="H21470" t="s">
        <v>25682</v>
      </c>
    </row>
    <row r="21471" spans="1:8">
      <c r="H21471" t="s">
        <v>25683</v>
      </c>
    </row>
    <row r="21472" spans="1:8">
      <c r="H21472" t="s">
        <v>25684</v>
      </c>
    </row>
    <row r="21473" spans="1:8">
      <c r="H21473" t="s">
        <v>19747</v>
      </c>
    </row>
    <row r="21474" spans="1:8">
      <c r="H21474" t="s">
        <v>25685</v>
      </c>
    </row>
    <row r="21475" spans="1:8">
      <c r="A21475" t="s">
        <v>816</v>
      </c>
      <c r="B21475">
        <f>HYPERLINK("https://android.googlesource.com/platform/cts/+/707b5430004bfc7e59cd418262196a88754f7114", "707b5430004bfc7e59cd418262196a88754f7114")</f>
        <v>0</v>
      </c>
      <c r="C21475">
        <f>HYPERLINK("https://android.googlesource.com/platform/cts/+/9a3e1c7df595c35c338c43511d2568c1209d965b", "9a3e1c7df595c35c338c43511d2568c1209d965b")</f>
        <v>0</v>
      </c>
      <c r="D21475" t="s">
        <v>5002</v>
      </c>
      <c r="E21475" t="s">
        <v>6597</v>
      </c>
      <c r="F21475" t="s">
        <v>12651</v>
      </c>
      <c r="G21475" t="s">
        <v>16857</v>
      </c>
      <c r="H21475" t="s">
        <v>25689</v>
      </c>
    </row>
    <row r="21476" spans="1:8">
      <c r="A21476" t="s">
        <v>817</v>
      </c>
      <c r="B21476">
        <f>HYPERLINK("https://android.googlesource.com/platform/cts/+/ae663de2120beb9de33d57e2c0ebfa6662e1d9f8", "ae663de2120beb9de33d57e2c0ebfa6662e1d9f8")</f>
        <v>0</v>
      </c>
      <c r="C21476">
        <f>HYPERLINK("https://android.googlesource.com/platform/cts/+/84ed05f1db7927e492773055445cc180cf590f1c", "84ed05f1db7927e492773055445cc180cf590f1c")</f>
        <v>0</v>
      </c>
      <c r="D21476" t="s">
        <v>5029</v>
      </c>
      <c r="E21476" t="s">
        <v>6598</v>
      </c>
      <c r="F21476" t="s">
        <v>10674</v>
      </c>
      <c r="G21476" t="s">
        <v>15074</v>
      </c>
      <c r="H21476" t="s">
        <v>25690</v>
      </c>
    </row>
    <row r="21477" spans="1:8">
      <c r="H21477" t="s">
        <v>25691</v>
      </c>
    </row>
    <row r="21478" spans="1:8">
      <c r="H21478" t="s">
        <v>25691</v>
      </c>
    </row>
    <row r="21479" spans="1:8">
      <c r="H21479" t="s">
        <v>25692</v>
      </c>
    </row>
    <row r="21480" spans="1:8">
      <c r="H21480" t="s">
        <v>25692</v>
      </c>
    </row>
    <row r="21481" spans="1:8">
      <c r="H21481" t="s">
        <v>25693</v>
      </c>
    </row>
    <row r="21482" spans="1:8">
      <c r="H21482" t="s">
        <v>25694</v>
      </c>
    </row>
    <row r="21483" spans="1:8">
      <c r="H21483" t="s">
        <v>19397</v>
      </c>
    </row>
    <row r="21484" spans="1:8">
      <c r="H21484" t="s">
        <v>19397</v>
      </c>
    </row>
    <row r="21485" spans="1:8">
      <c r="H21485" t="s">
        <v>19397</v>
      </c>
    </row>
    <row r="21486" spans="1:8">
      <c r="H21486" t="s">
        <v>19397</v>
      </c>
    </row>
    <row r="21487" spans="1:8">
      <c r="H21487" t="s">
        <v>25695</v>
      </c>
    </row>
    <row r="21488" spans="1:8">
      <c r="H21488" t="s">
        <v>25695</v>
      </c>
    </row>
    <row r="21489" spans="8:8">
      <c r="H21489" t="s">
        <v>25695</v>
      </c>
    </row>
    <row r="21490" spans="8:8">
      <c r="H21490" t="s">
        <v>25695</v>
      </c>
    </row>
    <row r="21491" spans="8:8">
      <c r="H21491" t="s">
        <v>25696</v>
      </c>
    </row>
    <row r="21492" spans="8:8">
      <c r="H21492" t="s">
        <v>25697</v>
      </c>
    </row>
    <row r="21493" spans="8:8">
      <c r="H21493" t="s">
        <v>25698</v>
      </c>
    </row>
    <row r="21494" spans="8:8">
      <c r="H21494" t="s">
        <v>19333</v>
      </c>
    </row>
    <row r="21495" spans="8:8">
      <c r="H21495" t="s">
        <v>25699</v>
      </c>
    </row>
    <row r="21496" spans="8:8">
      <c r="H21496" t="s">
        <v>25700</v>
      </c>
    </row>
    <row r="21497" spans="8:8">
      <c r="H21497" t="s">
        <v>25701</v>
      </c>
    </row>
    <row r="21498" spans="8:8">
      <c r="H21498" t="s">
        <v>25702</v>
      </c>
    </row>
    <row r="21499" spans="8:8">
      <c r="H21499" t="s">
        <v>25703</v>
      </c>
    </row>
    <row r="21500" spans="8:8">
      <c r="H21500" t="s">
        <v>19831</v>
      </c>
    </row>
    <row r="21501" spans="8:8">
      <c r="H21501" t="s">
        <v>19133</v>
      </c>
    </row>
    <row r="21502" spans="8:8">
      <c r="H21502" t="s">
        <v>25704</v>
      </c>
    </row>
    <row r="21503" spans="8:8">
      <c r="H21503" t="s">
        <v>25705</v>
      </c>
    </row>
    <row r="21504" spans="8:8">
      <c r="H21504" t="s">
        <v>25706</v>
      </c>
    </row>
    <row r="21505" spans="1:8">
      <c r="H21505" t="s">
        <v>25707</v>
      </c>
    </row>
    <row r="21506" spans="1:8">
      <c r="H21506" t="s">
        <v>25708</v>
      </c>
    </row>
    <row r="21507" spans="1:8">
      <c r="H21507" t="s">
        <v>25709</v>
      </c>
    </row>
    <row r="21508" spans="1:8">
      <c r="H21508" t="s">
        <v>25710</v>
      </c>
    </row>
    <row r="21509" spans="1:8">
      <c r="H21509" t="s">
        <v>19687</v>
      </c>
    </row>
    <row r="21510" spans="1:8">
      <c r="A21510" t="s">
        <v>818</v>
      </c>
      <c r="B21510">
        <f>HYPERLINK("https://android.googlesource.com/platform/cts/+/b107f79e3b190540cee21986d458226d3e2f338c", "b107f79e3b190540cee21986d458226d3e2f338c")</f>
        <v>0</v>
      </c>
      <c r="C21510">
        <f>HYPERLINK("https://android.googlesource.com/platform/cts/+/f62da83791dc668f8e222dd05e077b7e61154d3a", "f62da83791dc668f8e222dd05e077b7e61154d3a")</f>
        <v>0</v>
      </c>
      <c r="D21510" t="s">
        <v>5101</v>
      </c>
      <c r="E21510" t="s">
        <v>6599</v>
      </c>
      <c r="F21510" t="s">
        <v>12399</v>
      </c>
      <c r="G21510" t="s">
        <v>16606</v>
      </c>
      <c r="H21510" t="s">
        <v>25711</v>
      </c>
    </row>
    <row r="21511" spans="1:8">
      <c r="A21511" t="s">
        <v>819</v>
      </c>
      <c r="B21511">
        <f>HYPERLINK("https://android.googlesource.com/platform/cts/+/1743a5db4b49e43e3c52a768eef6ec2fa54eb940", "1743a5db4b49e43e3c52a768eef6ec2fa54eb940")</f>
        <v>0</v>
      </c>
      <c r="C21511">
        <f>HYPERLINK("https://android.googlesource.com/platform/cts/+/1674b99db40fdebf9faa2cbdc7f64152ab15537a", "1674b99db40fdebf9faa2cbdc7f64152ab15537a")</f>
        <v>0</v>
      </c>
      <c r="D21511" t="s">
        <v>5077</v>
      </c>
      <c r="E21511" t="s">
        <v>6600</v>
      </c>
      <c r="F21511" t="s">
        <v>12652</v>
      </c>
      <c r="G21511" t="s">
        <v>16858</v>
      </c>
      <c r="H21511" t="s">
        <v>25712</v>
      </c>
    </row>
    <row r="21512" spans="1:8">
      <c r="H21512" t="s">
        <v>25713</v>
      </c>
    </row>
    <row r="21513" spans="1:8">
      <c r="F21513" t="s">
        <v>12646</v>
      </c>
      <c r="G21513" t="s">
        <v>14989</v>
      </c>
      <c r="H21513" t="s">
        <v>25712</v>
      </c>
    </row>
    <row r="21514" spans="1:8">
      <c r="H21514" t="s">
        <v>25714</v>
      </c>
    </row>
    <row r="21515" spans="1:8">
      <c r="A21515" t="s">
        <v>820</v>
      </c>
      <c r="B21515">
        <f>HYPERLINK("https://android.googlesource.com/platform/cts/+/6006a91403f6e633e243728ea0531f9e47e47483", "6006a91403f6e633e243728ea0531f9e47e47483")</f>
        <v>0</v>
      </c>
      <c r="C21515">
        <f>HYPERLINK("https://android.googlesource.com/platform/cts/+/cb7962c01f5b5f48874e75de9787962151470e26", "cb7962c01f5b5f48874e75de9787962151470e26")</f>
        <v>0</v>
      </c>
      <c r="D21515" t="s">
        <v>5057</v>
      </c>
      <c r="E21515" t="s">
        <v>6601</v>
      </c>
      <c r="F21515" t="s">
        <v>12653</v>
      </c>
      <c r="G21515" t="s">
        <v>16859</v>
      </c>
      <c r="H21515" t="s">
        <v>25715</v>
      </c>
    </row>
    <row r="21516" spans="1:8">
      <c r="A21516" t="s">
        <v>821</v>
      </c>
      <c r="B21516">
        <f>HYPERLINK("https://android.googlesource.com/platform/cts/+/dca453b6e0aaaf16b2af6662a7da4f8f92726fee", "dca453b6e0aaaf16b2af6662a7da4f8f92726fee")</f>
        <v>0</v>
      </c>
      <c r="C21516">
        <f>HYPERLINK("https://android.googlesource.com/platform/cts/+/2e51868a583d523cfbbb5e6a243a86be02ec19e3", "2e51868a583d523cfbbb5e6a243a86be02ec19e3")</f>
        <v>0</v>
      </c>
      <c r="D21516" t="s">
        <v>5002</v>
      </c>
      <c r="E21516" t="s">
        <v>6602</v>
      </c>
      <c r="F21516" t="s">
        <v>12654</v>
      </c>
      <c r="G21516" t="s">
        <v>16860</v>
      </c>
      <c r="H21516" t="s">
        <v>18829</v>
      </c>
    </row>
    <row r="21517" spans="1:8">
      <c r="H21517" t="s">
        <v>18863</v>
      </c>
    </row>
    <row r="21518" spans="1:8">
      <c r="H21518" t="s">
        <v>25716</v>
      </c>
    </row>
    <row r="21519" spans="1:8">
      <c r="H21519" t="s">
        <v>25717</v>
      </c>
    </row>
    <row r="21520" spans="1:8">
      <c r="H21520" t="s">
        <v>25718</v>
      </c>
    </row>
    <row r="21521" spans="6:8">
      <c r="H21521" t="s">
        <v>25719</v>
      </c>
    </row>
    <row r="21522" spans="6:8">
      <c r="F21522" t="s">
        <v>12655</v>
      </c>
      <c r="G21522" t="s">
        <v>15044</v>
      </c>
      <c r="H21522" t="s">
        <v>25720</v>
      </c>
    </row>
    <row r="21523" spans="6:8">
      <c r="H21523" t="s">
        <v>18931</v>
      </c>
    </row>
    <row r="21524" spans="6:8">
      <c r="H21524" t="s">
        <v>25721</v>
      </c>
    </row>
    <row r="21525" spans="6:8">
      <c r="H21525" t="s">
        <v>25722</v>
      </c>
    </row>
    <row r="21526" spans="6:8">
      <c r="H21526" t="s">
        <v>25723</v>
      </c>
    </row>
    <row r="21527" spans="6:8">
      <c r="H21527" t="s">
        <v>20444</v>
      </c>
    </row>
    <row r="21528" spans="6:8">
      <c r="H21528" t="s">
        <v>19792</v>
      </c>
    </row>
    <row r="21529" spans="6:8">
      <c r="H21529" t="s">
        <v>19794</v>
      </c>
    </row>
    <row r="21530" spans="6:8">
      <c r="H21530" t="s">
        <v>19793</v>
      </c>
    </row>
    <row r="21531" spans="6:8">
      <c r="H21531" t="s">
        <v>19795</v>
      </c>
    </row>
    <row r="21532" spans="6:8">
      <c r="H21532" t="s">
        <v>18820</v>
      </c>
    </row>
    <row r="21533" spans="6:8">
      <c r="H21533" t="s">
        <v>18824</v>
      </c>
    </row>
    <row r="21534" spans="6:8">
      <c r="H21534" t="s">
        <v>25687</v>
      </c>
    </row>
    <row r="21535" spans="6:8">
      <c r="H21535" t="s">
        <v>25688</v>
      </c>
    </row>
    <row r="21536" spans="6:8">
      <c r="H21536" t="s">
        <v>25724</v>
      </c>
    </row>
    <row r="21537" spans="1:8">
      <c r="H21537" t="s">
        <v>25725</v>
      </c>
    </row>
    <row r="21538" spans="1:8">
      <c r="H21538" t="s">
        <v>25726</v>
      </c>
    </row>
    <row r="21539" spans="1:8">
      <c r="H21539" t="s">
        <v>25727</v>
      </c>
    </row>
    <row r="21540" spans="1:8">
      <c r="H21540" t="s">
        <v>25728</v>
      </c>
    </row>
    <row r="21541" spans="1:8">
      <c r="H21541" t="s">
        <v>19735</v>
      </c>
    </row>
    <row r="21542" spans="1:8">
      <c r="A21542" t="s">
        <v>822</v>
      </c>
      <c r="B21542">
        <f>HYPERLINK("https://android.googlesource.com/platform/cts/+/555c73ad80728deb5c867d052423bb0c9f7d3235", "555c73ad80728deb5c867d052423bb0c9f7d3235")</f>
        <v>0</v>
      </c>
      <c r="C21542">
        <f>HYPERLINK("https://android.googlesource.com/platform/cts/+/0dc51bf02ef3fb6a152464888946493bffa92194", "0dc51bf02ef3fb6a152464888946493bffa92194")</f>
        <v>0</v>
      </c>
      <c r="D21542" t="s">
        <v>5084</v>
      </c>
      <c r="E21542" t="s">
        <v>6603</v>
      </c>
      <c r="F21542" t="s">
        <v>12645</v>
      </c>
      <c r="G21542" t="s">
        <v>16852</v>
      </c>
      <c r="H21542" t="s">
        <v>25651</v>
      </c>
    </row>
    <row r="21543" spans="1:8">
      <c r="H21543" t="s">
        <v>25655</v>
      </c>
    </row>
    <row r="21544" spans="1:8">
      <c r="H21544" t="s">
        <v>25659</v>
      </c>
    </row>
    <row r="21545" spans="1:8">
      <c r="A21545" t="s">
        <v>823</v>
      </c>
      <c r="B21545">
        <f>HYPERLINK("https://android.googlesource.com/platform/cts/+/7c0cc59cbe56d1ea48f346cf20c56cfe45705422", "7c0cc59cbe56d1ea48f346cf20c56cfe45705422")</f>
        <v>0</v>
      </c>
      <c r="C21545">
        <f>HYPERLINK("https://android.googlesource.com/platform/cts/+/66f5dec2becfa4dd81ccefc30d5422654dc8a33b", "66f5dec2becfa4dd81ccefc30d5422654dc8a33b")</f>
        <v>0</v>
      </c>
      <c r="D21545" t="s">
        <v>5057</v>
      </c>
      <c r="E21545" t="s">
        <v>6604</v>
      </c>
      <c r="F21545" t="s">
        <v>12656</v>
      </c>
      <c r="G21545" t="s">
        <v>16861</v>
      </c>
      <c r="H21545" t="s">
        <v>18863</v>
      </c>
    </row>
    <row r="21546" spans="1:8">
      <c r="A21546" t="s">
        <v>825</v>
      </c>
      <c r="B21546">
        <f>HYPERLINK("https://android.googlesource.com/platform/cts/+/78066c63e227ef9ecc0075fe5d1d5ad4a6209270", "78066c63e227ef9ecc0075fe5d1d5ad4a6209270")</f>
        <v>0</v>
      </c>
      <c r="C21546">
        <f>HYPERLINK("https://android.googlesource.com/platform/cts/+/4621783a3e991184481bc8f2f853c4888fa78bdb", "4621783a3e991184481bc8f2f853c4888fa78bdb")</f>
        <v>0</v>
      </c>
      <c r="D21546" t="s">
        <v>5028</v>
      </c>
      <c r="E21546" t="s">
        <v>6606</v>
      </c>
      <c r="F21546" t="s">
        <v>10670</v>
      </c>
      <c r="G21546" t="s">
        <v>15029</v>
      </c>
      <c r="H21546" t="s">
        <v>25729</v>
      </c>
    </row>
    <row r="21547" spans="1:8">
      <c r="A21547" t="s">
        <v>826</v>
      </c>
      <c r="B21547">
        <f>HYPERLINK("https://android.googlesource.com/platform/cts/+/d4fde18d4c00d4b0fe34331c4d69c3c366adb295", "d4fde18d4c00d4b0fe34331c4d69c3c366adb295")</f>
        <v>0</v>
      </c>
      <c r="C21547">
        <f>HYPERLINK("https://android.googlesource.com/platform/cts/+/85d33ed5f2dc092e9e0bff4f7ab847a03fd36890", "85d33ed5f2dc092e9e0bff4f7ab847a03fd36890")</f>
        <v>0</v>
      </c>
      <c r="D21547" t="s">
        <v>5077</v>
      </c>
      <c r="E21547" t="s">
        <v>6607</v>
      </c>
      <c r="F21547" t="s">
        <v>12657</v>
      </c>
      <c r="G21547" t="s">
        <v>16862</v>
      </c>
      <c r="H21547" t="s">
        <v>25730</v>
      </c>
    </row>
    <row r="21548" spans="1:8">
      <c r="F21548" t="s">
        <v>12633</v>
      </c>
      <c r="G21548" t="s">
        <v>16841</v>
      </c>
      <c r="H21548" t="s">
        <v>25730</v>
      </c>
    </row>
    <row r="21549" spans="1:8">
      <c r="A21549" t="s">
        <v>827</v>
      </c>
      <c r="B21549">
        <f>HYPERLINK("https://android.googlesource.com/platform/cts/+/6f05e5e6bcd17fa067f6f4a278bc863235be20e1", "6f05e5e6bcd17fa067f6f4a278bc863235be20e1")</f>
        <v>0</v>
      </c>
      <c r="C21549">
        <f>HYPERLINK("https://android.googlesource.com/platform/cts/+/781c5be79d48b603760746ab9e2e75151e3c7ea5", "781c5be79d48b603760746ab9e2e75151e3c7ea5")</f>
        <v>0</v>
      </c>
      <c r="D21549" t="s">
        <v>5077</v>
      </c>
      <c r="E21549" t="s">
        <v>6608</v>
      </c>
      <c r="F21549" t="s">
        <v>12646</v>
      </c>
      <c r="G21549" t="s">
        <v>14989</v>
      </c>
      <c r="H21549" t="s">
        <v>25731</v>
      </c>
    </row>
    <row r="21550" spans="1:8">
      <c r="H21550" t="s">
        <v>25732</v>
      </c>
    </row>
    <row r="21551" spans="1:8">
      <c r="H21551" t="s">
        <v>25733</v>
      </c>
    </row>
    <row r="21552" spans="1:8">
      <c r="H21552" t="s">
        <v>25734</v>
      </c>
    </row>
    <row r="21553" spans="1:8">
      <c r="H21553" t="s">
        <v>25735</v>
      </c>
    </row>
    <row r="21554" spans="1:8">
      <c r="H21554" t="s">
        <v>25736</v>
      </c>
    </row>
    <row r="21555" spans="1:8">
      <c r="F21555" t="s">
        <v>12658</v>
      </c>
      <c r="G21555" t="s">
        <v>16863</v>
      </c>
      <c r="H21555" t="s">
        <v>25737</v>
      </c>
    </row>
    <row r="21556" spans="1:8">
      <c r="A21556" t="s">
        <v>828</v>
      </c>
      <c r="B21556">
        <f>HYPERLINK("https://android.googlesource.com/platform/cts/+/51a6899f797ff4bec862e2c2b5755c19b49bf129", "51a6899f797ff4bec862e2c2b5755c19b49bf129")</f>
        <v>0</v>
      </c>
      <c r="C21556">
        <f>HYPERLINK("https://android.googlesource.com/platform/cts/+/8dcb307f9847ccaad06fbb858c0fcd4709612c0d", "8dcb307f9847ccaad06fbb858c0fcd4709612c0d")</f>
        <v>0</v>
      </c>
      <c r="D21556" t="s">
        <v>5077</v>
      </c>
      <c r="E21556" t="s">
        <v>6609</v>
      </c>
      <c r="F21556" t="s">
        <v>12659</v>
      </c>
      <c r="G21556" t="s">
        <v>16864</v>
      </c>
      <c r="H21556" t="s">
        <v>25738</v>
      </c>
    </row>
    <row r="21557" spans="1:8">
      <c r="H21557" t="s">
        <v>25739</v>
      </c>
    </row>
    <row r="21558" spans="1:8">
      <c r="H21558" t="s">
        <v>25740</v>
      </c>
    </row>
    <row r="21559" spans="1:8">
      <c r="H21559" t="s">
        <v>25741</v>
      </c>
    </row>
    <row r="21560" spans="1:8">
      <c r="H21560" t="s">
        <v>25733</v>
      </c>
    </row>
    <row r="21561" spans="1:8">
      <c r="H21561" t="s">
        <v>25734</v>
      </c>
    </row>
    <row r="21562" spans="1:8">
      <c r="H21562" t="s">
        <v>25742</v>
      </c>
    </row>
    <row r="21563" spans="1:8">
      <c r="H21563" t="s">
        <v>25743</v>
      </c>
    </row>
    <row r="21564" spans="1:8">
      <c r="A21564" t="s">
        <v>829</v>
      </c>
      <c r="B21564">
        <f>HYPERLINK("https://android.googlesource.com/platform/cts/+/233c38d4c89fb6cb65a6e6bdd48847ae2f9f7a2b", "233c38d4c89fb6cb65a6e6bdd48847ae2f9f7a2b")</f>
        <v>0</v>
      </c>
      <c r="C21564">
        <f>HYPERLINK("https://android.googlesource.com/platform/cts/+/2f73496079817471850f1dc77320f7f0be7e34fa", "2f73496079817471850f1dc77320f7f0be7e34fa")</f>
        <v>0</v>
      </c>
      <c r="D21564" t="s">
        <v>5102</v>
      </c>
      <c r="E21564" t="s">
        <v>6610</v>
      </c>
      <c r="F21564" t="s">
        <v>12660</v>
      </c>
      <c r="G21564" t="s">
        <v>16865</v>
      </c>
      <c r="H21564" t="s">
        <v>25744</v>
      </c>
    </row>
    <row r="21565" spans="1:8">
      <c r="A21565" t="s">
        <v>830</v>
      </c>
      <c r="B21565">
        <f>HYPERLINK("https://android.googlesource.com/platform/cts/+/c10f3a4fed39569b19d815f85f05bae8cb5858d9", "c10f3a4fed39569b19d815f85f05bae8cb5858d9")</f>
        <v>0</v>
      </c>
      <c r="C21565">
        <f>HYPERLINK("https://android.googlesource.com/platform/cts/+/18f21297e63d345973e46dd806d633ada6edda12", "18f21297e63d345973e46dd806d633ada6edda12")</f>
        <v>0</v>
      </c>
      <c r="D21565" t="s">
        <v>4949</v>
      </c>
      <c r="E21565" t="s">
        <v>6611</v>
      </c>
      <c r="F21565" t="s">
        <v>12246</v>
      </c>
      <c r="G21565" t="s">
        <v>16477</v>
      </c>
      <c r="H21565" t="s">
        <v>25745</v>
      </c>
    </row>
    <row r="21566" spans="1:8">
      <c r="H21566" t="s">
        <v>25746</v>
      </c>
    </row>
    <row r="21567" spans="1:8">
      <c r="H21567" t="s">
        <v>25747</v>
      </c>
    </row>
    <row r="21568" spans="1:8">
      <c r="A21568" t="s">
        <v>831</v>
      </c>
      <c r="B21568">
        <f>HYPERLINK("https://android.googlesource.com/platform/cts/+/81bf0890f40cd953967dbf31d66408adb4012f0c", "81bf0890f40cd953967dbf31d66408adb4012f0c")</f>
        <v>0</v>
      </c>
      <c r="C21568">
        <f>HYPERLINK("https://android.googlesource.com/platform/cts/+/e50cdc49a139830766ab7f02145338e21c227089", "e50cdc49a139830766ab7f02145338e21c227089")</f>
        <v>0</v>
      </c>
      <c r="D21568" t="s">
        <v>4981</v>
      </c>
      <c r="E21568" t="s">
        <v>6612</v>
      </c>
      <c r="F21568" t="s">
        <v>12227</v>
      </c>
      <c r="G21568" t="s">
        <v>16457</v>
      </c>
      <c r="H21568" t="s">
        <v>25748</v>
      </c>
    </row>
    <row r="21569" spans="1:8">
      <c r="F21569" t="s">
        <v>12168</v>
      </c>
      <c r="G21569" t="s">
        <v>16408</v>
      </c>
      <c r="H21569" t="s">
        <v>25749</v>
      </c>
    </row>
    <row r="21570" spans="1:8">
      <c r="H21570" t="s">
        <v>25750</v>
      </c>
    </row>
    <row r="21571" spans="1:8">
      <c r="H21571" t="s">
        <v>25751</v>
      </c>
    </row>
    <row r="21572" spans="1:8">
      <c r="H21572" t="s">
        <v>25752</v>
      </c>
    </row>
    <row r="21573" spans="1:8">
      <c r="H21573" t="s">
        <v>25753</v>
      </c>
    </row>
    <row r="21574" spans="1:8">
      <c r="H21574" t="s">
        <v>25754</v>
      </c>
    </row>
    <row r="21575" spans="1:8">
      <c r="F21575" t="s">
        <v>12661</v>
      </c>
      <c r="G21575" t="s">
        <v>16866</v>
      </c>
      <c r="H21575" t="s">
        <v>25748</v>
      </c>
    </row>
    <row r="21576" spans="1:8">
      <c r="F21576" t="s">
        <v>12166</v>
      </c>
      <c r="G21576" t="s">
        <v>16406</v>
      </c>
      <c r="H21576" t="s">
        <v>25755</v>
      </c>
    </row>
    <row r="21577" spans="1:8">
      <c r="A21577" t="s">
        <v>832</v>
      </c>
      <c r="B21577">
        <f>HYPERLINK("https://android.googlesource.com/platform/cts/+/3272ea6b27b39a78e3e1dd72b0486d48f21f3cb2", "3272ea6b27b39a78e3e1dd72b0486d48f21f3cb2")</f>
        <v>0</v>
      </c>
      <c r="C21577">
        <f>HYPERLINK("https://android.googlesource.com/platform/cts/+/27eff0c17a6733a3fdf8129b9c821b72025dcebb", "27eff0c17a6733a3fdf8129b9c821b72025dcebb")</f>
        <v>0</v>
      </c>
      <c r="D21577" t="s">
        <v>5002</v>
      </c>
      <c r="E21577" t="s">
        <v>6613</v>
      </c>
      <c r="F21577" t="s">
        <v>12662</v>
      </c>
      <c r="G21577" t="s">
        <v>16867</v>
      </c>
      <c r="H21577" t="s">
        <v>25756</v>
      </c>
    </row>
    <row r="21578" spans="1:8">
      <c r="F21578" t="s">
        <v>12663</v>
      </c>
      <c r="G21578" t="s">
        <v>16868</v>
      </c>
      <c r="H21578" t="s">
        <v>25757</v>
      </c>
    </row>
    <row r="21579" spans="1:8">
      <c r="F21579" t="s">
        <v>12664</v>
      </c>
      <c r="G21579" t="s">
        <v>16869</v>
      </c>
      <c r="H21579" t="s">
        <v>25758</v>
      </c>
    </row>
    <row r="21580" spans="1:8">
      <c r="H21580" t="s">
        <v>25759</v>
      </c>
    </row>
    <row r="21581" spans="1:8">
      <c r="H21581" t="s">
        <v>25760</v>
      </c>
    </row>
    <row r="21582" spans="1:8">
      <c r="H21582" t="s">
        <v>25761</v>
      </c>
    </row>
    <row r="21583" spans="1:8">
      <c r="H21583" t="s">
        <v>25762</v>
      </c>
    </row>
    <row r="21584" spans="1:8">
      <c r="H21584" t="s">
        <v>25763</v>
      </c>
    </row>
    <row r="21585" spans="1:8">
      <c r="H21585" t="s">
        <v>25764</v>
      </c>
    </row>
    <row r="21586" spans="1:8">
      <c r="H21586" t="s">
        <v>25765</v>
      </c>
    </row>
    <row r="21587" spans="1:8">
      <c r="H21587" t="s">
        <v>25766</v>
      </c>
    </row>
    <row r="21588" spans="1:8">
      <c r="H21588" t="s">
        <v>25767</v>
      </c>
    </row>
    <row r="21589" spans="1:8">
      <c r="H21589" t="s">
        <v>25768</v>
      </c>
    </row>
    <row r="21590" spans="1:8">
      <c r="H21590" t="s">
        <v>25769</v>
      </c>
    </row>
    <row r="21591" spans="1:8">
      <c r="H21591" t="s">
        <v>25770</v>
      </c>
    </row>
    <row r="21592" spans="1:8">
      <c r="H21592" t="s">
        <v>25771</v>
      </c>
    </row>
    <row r="21593" spans="1:8">
      <c r="H21593" t="s">
        <v>25772</v>
      </c>
    </row>
    <row r="21594" spans="1:8">
      <c r="H21594" t="s">
        <v>25773</v>
      </c>
    </row>
    <row r="21595" spans="1:8">
      <c r="A21595" t="s">
        <v>833</v>
      </c>
      <c r="B21595">
        <f>HYPERLINK("https://android.googlesource.com/platform/cts/+/ac45aaf8f6a9955af5dd17cded9b280b95449797", "ac45aaf8f6a9955af5dd17cded9b280b95449797")</f>
        <v>0</v>
      </c>
      <c r="C21595">
        <f>HYPERLINK("https://android.googlesource.com/platform/cts/+/322ac31215e70820d23deeda0eca7acd0d1aaf2d", "322ac31215e70820d23deeda0eca7acd0d1aaf2d")</f>
        <v>0</v>
      </c>
      <c r="D21595" t="s">
        <v>5086</v>
      </c>
      <c r="E21595" t="s">
        <v>6614</v>
      </c>
      <c r="F21595" t="s">
        <v>12665</v>
      </c>
      <c r="G21595" t="s">
        <v>16870</v>
      </c>
      <c r="H21595" t="s">
        <v>25774</v>
      </c>
    </row>
    <row r="21596" spans="1:8">
      <c r="A21596" t="s">
        <v>834</v>
      </c>
      <c r="B21596">
        <f>HYPERLINK("https://android.googlesource.com/platform/cts/+/7530eed68f92aacb835a76f641669e6ed139b738", "7530eed68f92aacb835a76f641669e6ed139b738")</f>
        <v>0</v>
      </c>
      <c r="C21596">
        <f>HYPERLINK("https://android.googlesource.com/platform/cts/+/d95b38b71f2edd18ce635cb6f7db7cb8a480f6db", "d95b38b71f2edd18ce635cb6f7db7cb8a480f6db")</f>
        <v>0</v>
      </c>
      <c r="D21596" t="s">
        <v>4981</v>
      </c>
      <c r="E21596" t="s">
        <v>6615</v>
      </c>
      <c r="F21596" t="s">
        <v>12666</v>
      </c>
      <c r="G21596" t="s">
        <v>16871</v>
      </c>
      <c r="H21596" t="s">
        <v>25497</v>
      </c>
    </row>
    <row r="21597" spans="1:8">
      <c r="H21597" t="s">
        <v>20244</v>
      </c>
    </row>
    <row r="21598" spans="1:8">
      <c r="H21598" t="s">
        <v>18829</v>
      </c>
    </row>
    <row r="21599" spans="1:8">
      <c r="H21599" t="s">
        <v>18863</v>
      </c>
    </row>
    <row r="21600" spans="1:8">
      <c r="H21600" t="s">
        <v>25775</v>
      </c>
    </row>
    <row r="21601" spans="1:8">
      <c r="H21601" t="s">
        <v>25776</v>
      </c>
    </row>
    <row r="21602" spans="1:8">
      <c r="A21602" t="s">
        <v>835</v>
      </c>
      <c r="B21602">
        <f>HYPERLINK("https://android.googlesource.com/platform/cts/+/55cf974acfbd9ad29cc65e0ea961cb07ba124ef4", "55cf974acfbd9ad29cc65e0ea961cb07ba124ef4")</f>
        <v>0</v>
      </c>
      <c r="C21602">
        <f>HYPERLINK("https://android.googlesource.com/platform/cts/+/0f19d7f64134ddeb14bcc9c5289179dabbf678bb", "0f19d7f64134ddeb14bcc9c5289179dabbf678bb")</f>
        <v>0</v>
      </c>
      <c r="D21602" t="s">
        <v>5086</v>
      </c>
      <c r="E21602" t="s">
        <v>6616</v>
      </c>
      <c r="F21602" t="s">
        <v>12629</v>
      </c>
      <c r="G21602" t="s">
        <v>16838</v>
      </c>
      <c r="H21602" t="s">
        <v>25777</v>
      </c>
    </row>
    <row r="21603" spans="1:8">
      <c r="F21603" t="s">
        <v>12419</v>
      </c>
      <c r="G21603" t="s">
        <v>16641</v>
      </c>
      <c r="H21603" t="s">
        <v>25778</v>
      </c>
    </row>
    <row r="21604" spans="1:8">
      <c r="H21604" t="s">
        <v>25779</v>
      </c>
    </row>
    <row r="21605" spans="1:8">
      <c r="H21605" t="s">
        <v>25780</v>
      </c>
    </row>
    <row r="21606" spans="1:8">
      <c r="H21606" t="s">
        <v>25781</v>
      </c>
    </row>
    <row r="21607" spans="1:8">
      <c r="H21607" t="s">
        <v>25782</v>
      </c>
    </row>
    <row r="21608" spans="1:8">
      <c r="H21608" t="s">
        <v>25783</v>
      </c>
    </row>
    <row r="21609" spans="1:8">
      <c r="A21609" t="s">
        <v>836</v>
      </c>
      <c r="B21609">
        <f>HYPERLINK("https://android.googlesource.com/platform/cts/+/c397e8e5defd0e273e76848af63e40c80d396da9", "c397e8e5defd0e273e76848af63e40c80d396da9")</f>
        <v>0</v>
      </c>
      <c r="C21609">
        <f>HYPERLINK("https://android.googlesource.com/platform/cts/+/2f73496079817471850f1dc77320f7f0be7e34fa", "2f73496079817471850f1dc77320f7f0be7e34fa")</f>
        <v>0</v>
      </c>
      <c r="D21609" t="s">
        <v>4937</v>
      </c>
      <c r="E21609" t="s">
        <v>6617</v>
      </c>
      <c r="F21609" t="s">
        <v>12667</v>
      </c>
      <c r="G21609" t="s">
        <v>16872</v>
      </c>
      <c r="H21609" t="s">
        <v>25784</v>
      </c>
    </row>
    <row r="21610" spans="1:8">
      <c r="H21610" t="s">
        <v>18829</v>
      </c>
    </row>
    <row r="21611" spans="1:8">
      <c r="H21611" t="s">
        <v>18863</v>
      </c>
    </row>
    <row r="21612" spans="1:8">
      <c r="H21612" t="s">
        <v>25785</v>
      </c>
    </row>
    <row r="21613" spans="1:8">
      <c r="H21613" t="s">
        <v>25786</v>
      </c>
    </row>
    <row r="21614" spans="1:8">
      <c r="H21614" t="s">
        <v>25787</v>
      </c>
    </row>
    <row r="21615" spans="1:8">
      <c r="H21615" t="s">
        <v>25788</v>
      </c>
    </row>
    <row r="21616" spans="1:8">
      <c r="H21616" t="s">
        <v>25789</v>
      </c>
    </row>
    <row r="21617" spans="1:8">
      <c r="H21617" t="s">
        <v>19019</v>
      </c>
    </row>
    <row r="21618" spans="1:8">
      <c r="H21618" t="s">
        <v>25790</v>
      </c>
    </row>
    <row r="21619" spans="1:8">
      <c r="H21619" t="s">
        <v>25790</v>
      </c>
    </row>
    <row r="21620" spans="1:8">
      <c r="H21620" t="s">
        <v>18930</v>
      </c>
    </row>
    <row r="21621" spans="1:8">
      <c r="F21621" t="s">
        <v>12668</v>
      </c>
      <c r="G21621" t="s">
        <v>16873</v>
      </c>
      <c r="H21621" t="s">
        <v>20083</v>
      </c>
    </row>
    <row r="21622" spans="1:8">
      <c r="H21622" t="s">
        <v>25791</v>
      </c>
    </row>
    <row r="21623" spans="1:8">
      <c r="H21623" t="s">
        <v>19426</v>
      </c>
    </row>
    <row r="21624" spans="1:8">
      <c r="H21624" t="s">
        <v>25792</v>
      </c>
    </row>
    <row r="21625" spans="1:8">
      <c r="H21625" t="s">
        <v>25793</v>
      </c>
    </row>
    <row r="21626" spans="1:8">
      <c r="H21626" t="s">
        <v>25794</v>
      </c>
    </row>
    <row r="21627" spans="1:8">
      <c r="A21627" t="s">
        <v>837</v>
      </c>
      <c r="B21627">
        <f>HYPERLINK("https://android.googlesource.com/platform/cts/+/f877c5a0f71713a6118f00af11744bed1540a802", "f877c5a0f71713a6118f00af11744bed1540a802")</f>
        <v>0</v>
      </c>
      <c r="C21627">
        <f>HYPERLINK("https://android.googlesource.com/platform/cts/+/5b5fb5e6be49bd395266ff003783ecfdf37cfb95", "5b5fb5e6be49bd395266ff003783ecfdf37cfb95")</f>
        <v>0</v>
      </c>
      <c r="D21627" t="s">
        <v>5086</v>
      </c>
      <c r="E21627" t="s">
        <v>6618</v>
      </c>
      <c r="F21627" t="s">
        <v>12629</v>
      </c>
      <c r="G21627" t="s">
        <v>16838</v>
      </c>
      <c r="H21627" t="s">
        <v>25795</v>
      </c>
    </row>
    <row r="21628" spans="1:8">
      <c r="A21628" t="s">
        <v>838</v>
      </c>
      <c r="B21628">
        <f>HYPERLINK("https://android.googlesource.com/platform/cts/+/1db396d56ceb9ab23937d3c833c8678ff9e9628a", "1db396d56ceb9ab23937d3c833c8678ff9e9628a")</f>
        <v>0</v>
      </c>
      <c r="C21628">
        <f>HYPERLINK("https://android.googlesource.com/platform/cts/+/f877c5a0f71713a6118f00af11744bed1540a802", "f877c5a0f71713a6118f00af11744bed1540a802")</f>
        <v>0</v>
      </c>
      <c r="D21628" t="s">
        <v>5086</v>
      </c>
      <c r="E21628" t="s">
        <v>6619</v>
      </c>
      <c r="F21628" t="s">
        <v>12669</v>
      </c>
      <c r="G21628" t="s">
        <v>16874</v>
      </c>
      <c r="H21628" t="s">
        <v>25796</v>
      </c>
    </row>
    <row r="21629" spans="1:8">
      <c r="H21629" t="s">
        <v>25797</v>
      </c>
    </row>
    <row r="21630" spans="1:8">
      <c r="H21630" t="s">
        <v>25798</v>
      </c>
    </row>
    <row r="21631" spans="1:8">
      <c r="H21631" t="s">
        <v>25799</v>
      </c>
    </row>
    <row r="21632" spans="1:8">
      <c r="F21632" t="s">
        <v>12629</v>
      </c>
      <c r="G21632" t="s">
        <v>16838</v>
      </c>
      <c r="H21632" t="s">
        <v>25800</v>
      </c>
    </row>
    <row r="21633" spans="1:8">
      <c r="A21633" t="s">
        <v>839</v>
      </c>
      <c r="B21633">
        <f>HYPERLINK("https://android.googlesource.com/platform/cts/+/e772d86ec7215f6976e8ff0418b70bc40f0dd327", "e772d86ec7215f6976e8ff0418b70bc40f0dd327")</f>
        <v>0</v>
      </c>
      <c r="C21633">
        <f>HYPERLINK("https://android.googlesource.com/platform/cts/+/1db396d56ceb9ab23937d3c833c8678ff9e9628a", "1db396d56ceb9ab23937d3c833c8678ff9e9628a")</f>
        <v>0</v>
      </c>
      <c r="D21633" t="s">
        <v>5086</v>
      </c>
      <c r="E21633" t="s">
        <v>6620</v>
      </c>
      <c r="F21633" t="s">
        <v>12629</v>
      </c>
      <c r="G21633" t="s">
        <v>16838</v>
      </c>
      <c r="H21633" t="s">
        <v>25801</v>
      </c>
    </row>
    <row r="21634" spans="1:8">
      <c r="A21634" t="s">
        <v>840</v>
      </c>
      <c r="B21634">
        <f>HYPERLINK("https://android.googlesource.com/platform/cts/+/84d67ea320b2ca5458c020bf2d68833b44f01e6b", "84d67ea320b2ca5458c020bf2d68833b44f01e6b")</f>
        <v>0</v>
      </c>
      <c r="C21634">
        <f>HYPERLINK("https://android.googlesource.com/platform/cts/+/3016c3204e8434e461c85cb9a8e6fb6cf37c0dbf", "3016c3204e8434e461c85cb9a8e6fb6cf37c0dbf")</f>
        <v>0</v>
      </c>
      <c r="D21634" t="s">
        <v>5103</v>
      </c>
      <c r="E21634" t="s">
        <v>6621</v>
      </c>
      <c r="F21634" t="s">
        <v>12399</v>
      </c>
      <c r="G21634" t="s">
        <v>16606</v>
      </c>
      <c r="H21634" t="s">
        <v>25802</v>
      </c>
    </row>
    <row r="21635" spans="1:8">
      <c r="H21635" t="s">
        <v>25803</v>
      </c>
    </row>
    <row r="21636" spans="1:8">
      <c r="H21636" t="s">
        <v>25804</v>
      </c>
    </row>
    <row r="21637" spans="1:8">
      <c r="A21637" t="s">
        <v>841</v>
      </c>
      <c r="B21637">
        <f>HYPERLINK("https://android.googlesource.com/platform/cts/+/63073b9181c2df218fbbc28ad5196c9b547ac814", "63073b9181c2df218fbbc28ad5196c9b547ac814")</f>
        <v>0</v>
      </c>
      <c r="C21637">
        <f>HYPERLINK("https://android.googlesource.com/platform/cts/+/750082e838885e25a566021578998f2bd1a265a6", "750082e838885e25a566021578998f2bd1a265a6")</f>
        <v>0</v>
      </c>
      <c r="D21637" t="s">
        <v>5104</v>
      </c>
      <c r="E21637" t="s">
        <v>6622</v>
      </c>
      <c r="F21637" t="s">
        <v>10700</v>
      </c>
      <c r="G21637" t="s">
        <v>15100</v>
      </c>
      <c r="H21637" t="s">
        <v>25805</v>
      </c>
    </row>
    <row r="21638" spans="1:8">
      <c r="A21638" t="s">
        <v>842</v>
      </c>
      <c r="B21638">
        <f>HYPERLINK("https://android.googlesource.com/platform/cts/+/682a07b9399f7fc80a025753884b6b621da96328", "682a07b9399f7fc80a025753884b6b621da96328")</f>
        <v>0</v>
      </c>
      <c r="C21638">
        <f>HYPERLINK("https://android.googlesource.com/platform/cts/+/e6b2323cee0957b36631473b3138de780b687e8a", "e6b2323cee0957b36631473b3138de780b687e8a")</f>
        <v>0</v>
      </c>
      <c r="D21638" t="s">
        <v>5105</v>
      </c>
      <c r="E21638" t="s">
        <v>6623</v>
      </c>
      <c r="F21638" t="s">
        <v>12670</v>
      </c>
      <c r="G21638" t="s">
        <v>16875</v>
      </c>
      <c r="H21638" t="s">
        <v>25806</v>
      </c>
    </row>
    <row r="21639" spans="1:8">
      <c r="A21639" t="s">
        <v>843</v>
      </c>
      <c r="B21639">
        <f>HYPERLINK("https://android.googlesource.com/platform/cts/+/7ffe1affde8af674c875fed310757c70c44e8339", "7ffe1affde8af674c875fed310757c70c44e8339")</f>
        <v>0</v>
      </c>
      <c r="C21639">
        <f>HYPERLINK("https://android.googlesource.com/platform/cts/+/4d478a45fc29d2a8edc81665a165610f9cf1a7d1", "4d478a45fc29d2a8edc81665a165610f9cf1a7d1")</f>
        <v>0</v>
      </c>
      <c r="D21639" t="s">
        <v>5057</v>
      </c>
      <c r="E21639" t="s">
        <v>6624</v>
      </c>
      <c r="F21639" t="s">
        <v>12656</v>
      </c>
      <c r="G21639" t="s">
        <v>16861</v>
      </c>
      <c r="H21639" t="s">
        <v>25807</v>
      </c>
    </row>
    <row r="21640" spans="1:8">
      <c r="H21640" t="s">
        <v>25808</v>
      </c>
    </row>
    <row r="21641" spans="1:8">
      <c r="H21641" t="s">
        <v>25809</v>
      </c>
    </row>
    <row r="21642" spans="1:8">
      <c r="H21642" t="s">
        <v>25810</v>
      </c>
    </row>
    <row r="21643" spans="1:8">
      <c r="H21643" t="s">
        <v>25811</v>
      </c>
    </row>
    <row r="21644" spans="1:8">
      <c r="H21644" t="s">
        <v>25812</v>
      </c>
    </row>
    <row r="21645" spans="1:8">
      <c r="H21645" t="s">
        <v>25813</v>
      </c>
    </row>
    <row r="21646" spans="1:8">
      <c r="H21646" t="s">
        <v>25814</v>
      </c>
    </row>
    <row r="21647" spans="1:8">
      <c r="H21647" t="s">
        <v>25815</v>
      </c>
    </row>
    <row r="21648" spans="1:8">
      <c r="H21648" t="s">
        <v>25816</v>
      </c>
    </row>
    <row r="21649" spans="1:8">
      <c r="H21649" t="s">
        <v>25817</v>
      </c>
    </row>
    <row r="21650" spans="1:8">
      <c r="H21650" t="s">
        <v>25818</v>
      </c>
    </row>
    <row r="21651" spans="1:8">
      <c r="H21651" t="s">
        <v>25819</v>
      </c>
    </row>
    <row r="21652" spans="1:8">
      <c r="H21652" t="s">
        <v>25820</v>
      </c>
    </row>
    <row r="21653" spans="1:8">
      <c r="H21653" t="s">
        <v>25821</v>
      </c>
    </row>
    <row r="21654" spans="1:8">
      <c r="H21654" t="s">
        <v>25822</v>
      </c>
    </row>
    <row r="21655" spans="1:8">
      <c r="H21655" t="s">
        <v>25823</v>
      </c>
    </row>
    <row r="21656" spans="1:8">
      <c r="H21656" t="s">
        <v>25824</v>
      </c>
    </row>
    <row r="21657" spans="1:8">
      <c r="H21657" t="s">
        <v>25825</v>
      </c>
    </row>
    <row r="21658" spans="1:8">
      <c r="H21658" t="s">
        <v>25826</v>
      </c>
    </row>
    <row r="21659" spans="1:8">
      <c r="H21659" t="s">
        <v>25827</v>
      </c>
    </row>
    <row r="21660" spans="1:8">
      <c r="H21660" t="s">
        <v>25828</v>
      </c>
    </row>
    <row r="21661" spans="1:8">
      <c r="A21661" t="s">
        <v>844</v>
      </c>
      <c r="B21661">
        <f>HYPERLINK("https://android.googlesource.com/platform/cts/+/56d285ace4137dc9a3a00093322638631fa0bd05", "56d285ace4137dc9a3a00093322638631fa0bd05")</f>
        <v>0</v>
      </c>
      <c r="C21661">
        <f>HYPERLINK("https://android.googlesource.com/platform/cts/+/4a768873731f2a3300a7937131307a71f429e3ca", "4a768873731f2a3300a7937131307a71f429e3ca")</f>
        <v>0</v>
      </c>
      <c r="D21661" t="s">
        <v>5089</v>
      </c>
      <c r="E21661" t="s">
        <v>6625</v>
      </c>
      <c r="F21661" t="s">
        <v>12671</v>
      </c>
      <c r="G21661" t="s">
        <v>15069</v>
      </c>
      <c r="H21661" t="s">
        <v>18829</v>
      </c>
    </row>
    <row r="21662" spans="1:8">
      <c r="H21662" t="s">
        <v>25829</v>
      </c>
    </row>
    <row r="21663" spans="1:8">
      <c r="H21663" t="s">
        <v>25830</v>
      </c>
    </row>
    <row r="21664" spans="1:8">
      <c r="H21664" t="s">
        <v>25831</v>
      </c>
    </row>
    <row r="21665" spans="1:8">
      <c r="A21665" t="s">
        <v>845</v>
      </c>
      <c r="B21665">
        <f>HYPERLINK("https://android.googlesource.com/platform/cts/+/112b1bee3d670bd08caf4b644eca5b898b75d9ea", "112b1bee3d670bd08caf4b644eca5b898b75d9ea")</f>
        <v>0</v>
      </c>
      <c r="C21665">
        <f>HYPERLINK("https://android.googlesource.com/platform/cts/+/e6b2323cee0957b36631473b3138de780b687e8a", "e6b2323cee0957b36631473b3138de780b687e8a")</f>
        <v>0</v>
      </c>
      <c r="D21665" t="s">
        <v>5106</v>
      </c>
      <c r="E21665" t="s">
        <v>6626</v>
      </c>
      <c r="F21665" t="s">
        <v>12672</v>
      </c>
      <c r="G21665" t="s">
        <v>16876</v>
      </c>
      <c r="H21665" t="s">
        <v>25832</v>
      </c>
    </row>
    <row r="21666" spans="1:8">
      <c r="A21666" t="s">
        <v>846</v>
      </c>
      <c r="B21666">
        <f>HYPERLINK("https://android.googlesource.com/platform/cts/+/b9ee1f9683356a1edcd32bca59ac16f78f1927e5", "b9ee1f9683356a1edcd32bca59ac16f78f1927e5")</f>
        <v>0</v>
      </c>
      <c r="C21666">
        <f>HYPERLINK("https://android.googlesource.com/platform/cts/+/6ae0bcd2944168838f86df6279abaa8b1bbf734c", "6ae0bcd2944168838f86df6279abaa8b1bbf734c")</f>
        <v>0</v>
      </c>
      <c r="D21666" t="s">
        <v>5092</v>
      </c>
      <c r="E21666" t="s">
        <v>6627</v>
      </c>
      <c r="F21666" t="s">
        <v>12627</v>
      </c>
      <c r="G21666" t="s">
        <v>16417</v>
      </c>
      <c r="H21666" t="s">
        <v>25540</v>
      </c>
    </row>
    <row r="21667" spans="1:8">
      <c r="H21667" t="s">
        <v>18829</v>
      </c>
    </row>
    <row r="21668" spans="1:8">
      <c r="H21668" t="s">
        <v>18863</v>
      </c>
    </row>
    <row r="21669" spans="1:8">
      <c r="H21669" t="s">
        <v>25541</v>
      </c>
    </row>
    <row r="21670" spans="1:8">
      <c r="H21670" t="s">
        <v>25542</v>
      </c>
    </row>
    <row r="21671" spans="1:8">
      <c r="H21671" t="s">
        <v>25543</v>
      </c>
    </row>
    <row r="21672" spans="1:8">
      <c r="H21672" t="s">
        <v>25544</v>
      </c>
    </row>
    <row r="21673" spans="1:8">
      <c r="H21673" t="s">
        <v>25545</v>
      </c>
    </row>
    <row r="21674" spans="1:8">
      <c r="H21674" t="s">
        <v>25546</v>
      </c>
    </row>
    <row r="21675" spans="1:8">
      <c r="H21675" t="s">
        <v>25547</v>
      </c>
    </row>
    <row r="21676" spans="1:8">
      <c r="H21676" t="s">
        <v>25548</v>
      </c>
    </row>
    <row r="21677" spans="1:8">
      <c r="H21677" t="s">
        <v>25549</v>
      </c>
    </row>
    <row r="21678" spans="1:8">
      <c r="H21678" t="s">
        <v>25550</v>
      </c>
    </row>
    <row r="21679" spans="1:8">
      <c r="H21679" t="s">
        <v>25551</v>
      </c>
    </row>
    <row r="21680" spans="1:8">
      <c r="H21680" t="s">
        <v>25552</v>
      </c>
    </row>
    <row r="21681" spans="1:8">
      <c r="A21681" t="s">
        <v>847</v>
      </c>
      <c r="B21681">
        <f>HYPERLINK("https://android.googlesource.com/platform/cts/+/6189630a7b3f0e682da973f46880961fcf95b650", "6189630a7b3f0e682da973f46880961fcf95b650")</f>
        <v>0</v>
      </c>
      <c r="C21681">
        <f>HYPERLINK("https://android.googlesource.com/platform/cts/+/c143ec0cf42ecabec121b1e6c4107b2df14aabd2", "c143ec0cf42ecabec121b1e6c4107b2df14aabd2")</f>
        <v>0</v>
      </c>
      <c r="D21681" t="s">
        <v>5057</v>
      </c>
      <c r="E21681" t="s">
        <v>6628</v>
      </c>
      <c r="F21681" t="s">
        <v>12410</v>
      </c>
      <c r="G21681" t="s">
        <v>16632</v>
      </c>
      <c r="H21681" t="s">
        <v>25833</v>
      </c>
    </row>
    <row r="21682" spans="1:8">
      <c r="A21682" t="s">
        <v>848</v>
      </c>
      <c r="B21682">
        <f>HYPERLINK("https://android.googlesource.com/platform/cts/+/69f4ec4191166d198355a77e5622aeae6f50cb94", "69f4ec4191166d198355a77e5622aeae6f50cb94")</f>
        <v>0</v>
      </c>
      <c r="C21682">
        <f>HYPERLINK("https://android.googlesource.com/platform/cts/+/b32579835faa095c1e068132252596c8fb62c12a", "b32579835faa095c1e068132252596c8fb62c12a")</f>
        <v>0</v>
      </c>
      <c r="D21682" t="s">
        <v>5107</v>
      </c>
      <c r="E21682" t="s">
        <v>6629</v>
      </c>
      <c r="F21682" t="s">
        <v>12673</v>
      </c>
      <c r="G21682" t="s">
        <v>16877</v>
      </c>
      <c r="H21682" t="s">
        <v>25834</v>
      </c>
    </row>
    <row r="21683" spans="1:8">
      <c r="F21683" t="s">
        <v>12674</v>
      </c>
      <c r="G21683" t="s">
        <v>16878</v>
      </c>
      <c r="H21683" t="s">
        <v>25835</v>
      </c>
    </row>
    <row r="21684" spans="1:8">
      <c r="H21684" t="s">
        <v>25834</v>
      </c>
    </row>
    <row r="21685" spans="1:8">
      <c r="A21685" t="s">
        <v>849</v>
      </c>
      <c r="B21685">
        <f>HYPERLINK("https://android.googlesource.com/platform/cts/+/86b43e543f42aef87699a9bf62a7a201c977276b", "86b43e543f42aef87699a9bf62a7a201c977276b")</f>
        <v>0</v>
      </c>
      <c r="C21685">
        <f>HYPERLINK("https://android.googlesource.com/platform/cts/+/48e3c76c29a0f444dda22d0f39b60553ad94788a", "48e3c76c29a0f444dda22d0f39b60553ad94788a")</f>
        <v>0</v>
      </c>
      <c r="D21685" t="s">
        <v>5065</v>
      </c>
      <c r="E21685" t="s">
        <v>6630</v>
      </c>
      <c r="F21685" t="s">
        <v>10700</v>
      </c>
      <c r="G21685" t="s">
        <v>15100</v>
      </c>
      <c r="H21685" t="s">
        <v>25836</v>
      </c>
    </row>
    <row r="21686" spans="1:8">
      <c r="H21686" t="s">
        <v>25837</v>
      </c>
    </row>
    <row r="21687" spans="1:8">
      <c r="A21687" t="s">
        <v>850</v>
      </c>
      <c r="B21687">
        <f>HYPERLINK("https://android.googlesource.com/platform/cts/+/981f93347987e0f7f7955e40222e9f3826b7d5dd", "981f93347987e0f7f7955e40222e9f3826b7d5dd")</f>
        <v>0</v>
      </c>
      <c r="C21687">
        <f>HYPERLINK("https://android.googlesource.com/platform/cts/+/c1c1a48e5544e2524c7477021fa6cb40ceb01939", "c1c1a48e5544e2524c7477021fa6cb40ceb01939")</f>
        <v>0</v>
      </c>
      <c r="D21687" t="s">
        <v>4931</v>
      </c>
      <c r="E21687" t="s">
        <v>6631</v>
      </c>
      <c r="F21687" t="s">
        <v>10744</v>
      </c>
      <c r="G21687" t="s">
        <v>15143</v>
      </c>
      <c r="H21687" t="s">
        <v>18863</v>
      </c>
    </row>
    <row r="21688" spans="1:8">
      <c r="A21688" t="s">
        <v>851</v>
      </c>
      <c r="B21688">
        <f>HYPERLINK("https://android.googlesource.com/platform/cts/+/f556d7da13e9a6332558f99582c3285d61d615e0", "f556d7da13e9a6332558f99582c3285d61d615e0")</f>
        <v>0</v>
      </c>
      <c r="C21688">
        <f>HYPERLINK("https://android.googlesource.com/platform/cts/+/90a0691d5a39ce82bf1f8c76d4feb083e2178f47", "90a0691d5a39ce82bf1f8c76d4feb083e2178f47")</f>
        <v>0</v>
      </c>
      <c r="D21688" t="s">
        <v>5065</v>
      </c>
      <c r="E21688" t="s">
        <v>6632</v>
      </c>
      <c r="F21688" t="s">
        <v>12387</v>
      </c>
      <c r="G21688" t="s">
        <v>16612</v>
      </c>
      <c r="H21688" t="s">
        <v>25838</v>
      </c>
    </row>
    <row r="21689" spans="1:8">
      <c r="H21689" t="s">
        <v>25839</v>
      </c>
    </row>
    <row r="21690" spans="1:8">
      <c r="A21690" t="s">
        <v>852</v>
      </c>
      <c r="B21690">
        <f>HYPERLINK("https://android.googlesource.com/platform/cts/+/7cac2e6a081e4b8c3d232291d69bfff1683b9a0c", "7cac2e6a081e4b8c3d232291d69bfff1683b9a0c")</f>
        <v>0</v>
      </c>
      <c r="C21690">
        <f>HYPERLINK("https://android.googlesource.com/platform/cts/+/16adf601b94734ce74deeadc0c9340e603f35726", "16adf601b94734ce74deeadc0c9340e603f35726")</f>
        <v>0</v>
      </c>
      <c r="D21690" t="s">
        <v>5040</v>
      </c>
      <c r="E21690" t="s">
        <v>6633</v>
      </c>
      <c r="F21690" t="s">
        <v>12675</v>
      </c>
      <c r="G21690" t="s">
        <v>16879</v>
      </c>
      <c r="H21690" t="s">
        <v>25840</v>
      </c>
    </row>
    <row r="21691" spans="1:8">
      <c r="H21691" t="s">
        <v>25841</v>
      </c>
    </row>
    <row r="21692" spans="1:8">
      <c r="F21692" t="s">
        <v>12676</v>
      </c>
      <c r="G21692" t="s">
        <v>16880</v>
      </c>
      <c r="H21692" t="s">
        <v>25842</v>
      </c>
    </row>
    <row r="21693" spans="1:8">
      <c r="H21693" t="s">
        <v>25843</v>
      </c>
    </row>
    <row r="21694" spans="1:8">
      <c r="H21694" t="s">
        <v>25844</v>
      </c>
    </row>
    <row r="21695" spans="1:8">
      <c r="H21695" t="s">
        <v>25845</v>
      </c>
    </row>
    <row r="21696" spans="1:8">
      <c r="H21696" t="s">
        <v>25846</v>
      </c>
    </row>
    <row r="21697" spans="6:8">
      <c r="H21697" t="s">
        <v>25847</v>
      </c>
    </row>
    <row r="21698" spans="6:8">
      <c r="H21698" t="s">
        <v>25848</v>
      </c>
    </row>
    <row r="21699" spans="6:8">
      <c r="H21699" t="s">
        <v>25849</v>
      </c>
    </row>
    <row r="21700" spans="6:8">
      <c r="H21700" t="s">
        <v>25850</v>
      </c>
    </row>
    <row r="21701" spans="6:8">
      <c r="H21701" t="s">
        <v>25851</v>
      </c>
    </row>
    <row r="21702" spans="6:8">
      <c r="H21702" t="s">
        <v>25852</v>
      </c>
    </row>
    <row r="21703" spans="6:8">
      <c r="H21703" t="s">
        <v>25853</v>
      </c>
    </row>
    <row r="21704" spans="6:8">
      <c r="H21704" t="s">
        <v>25854</v>
      </c>
    </row>
    <row r="21705" spans="6:8">
      <c r="H21705" t="s">
        <v>25855</v>
      </c>
    </row>
    <row r="21706" spans="6:8">
      <c r="H21706" t="s">
        <v>25856</v>
      </c>
    </row>
    <row r="21707" spans="6:8">
      <c r="H21707" t="s">
        <v>25857</v>
      </c>
    </row>
    <row r="21708" spans="6:8">
      <c r="H21708" t="s">
        <v>25858</v>
      </c>
    </row>
    <row r="21709" spans="6:8">
      <c r="H21709" t="s">
        <v>25859</v>
      </c>
    </row>
    <row r="21710" spans="6:8">
      <c r="H21710" t="s">
        <v>25860</v>
      </c>
    </row>
    <row r="21711" spans="6:8">
      <c r="F21711" t="s">
        <v>12677</v>
      </c>
      <c r="G21711" t="s">
        <v>16881</v>
      </c>
      <c r="H21711" t="s">
        <v>25861</v>
      </c>
    </row>
    <row r="21712" spans="6:8">
      <c r="H21712" t="s">
        <v>25862</v>
      </c>
    </row>
    <row r="21713" spans="6:8">
      <c r="H21713" t="s">
        <v>25863</v>
      </c>
    </row>
    <row r="21714" spans="6:8">
      <c r="H21714" t="s">
        <v>25864</v>
      </c>
    </row>
    <row r="21715" spans="6:8">
      <c r="F21715" t="s">
        <v>12678</v>
      </c>
      <c r="G21715" t="s">
        <v>16882</v>
      </c>
      <c r="H21715" t="s">
        <v>25865</v>
      </c>
    </row>
    <row r="21716" spans="6:8">
      <c r="H21716" t="s">
        <v>19371</v>
      </c>
    </row>
    <row r="21717" spans="6:8">
      <c r="H21717" t="s">
        <v>25866</v>
      </c>
    </row>
    <row r="21718" spans="6:8">
      <c r="H21718" t="s">
        <v>25867</v>
      </c>
    </row>
    <row r="21719" spans="6:8">
      <c r="F21719" t="s">
        <v>12679</v>
      </c>
      <c r="G21719" t="s">
        <v>16883</v>
      </c>
      <c r="H21719" t="s">
        <v>25868</v>
      </c>
    </row>
    <row r="21720" spans="6:8">
      <c r="H21720" t="s">
        <v>25869</v>
      </c>
    </row>
    <row r="21721" spans="6:8">
      <c r="H21721" t="s">
        <v>25870</v>
      </c>
    </row>
    <row r="21722" spans="6:8">
      <c r="H21722" t="s">
        <v>25871</v>
      </c>
    </row>
    <row r="21723" spans="6:8">
      <c r="H21723" t="s">
        <v>25872</v>
      </c>
    </row>
    <row r="21724" spans="6:8">
      <c r="H21724" t="s">
        <v>25873</v>
      </c>
    </row>
    <row r="21725" spans="6:8">
      <c r="H21725" t="s">
        <v>25874</v>
      </c>
    </row>
    <row r="21726" spans="6:8">
      <c r="H21726" t="s">
        <v>25875</v>
      </c>
    </row>
    <row r="21727" spans="6:8">
      <c r="H21727" t="s">
        <v>25876</v>
      </c>
    </row>
    <row r="21728" spans="6:8">
      <c r="H21728" t="s">
        <v>25877</v>
      </c>
    </row>
    <row r="21729" spans="6:8">
      <c r="H21729" t="s">
        <v>25878</v>
      </c>
    </row>
    <row r="21730" spans="6:8">
      <c r="H21730" t="s">
        <v>25879</v>
      </c>
    </row>
    <row r="21731" spans="6:8">
      <c r="H21731" t="s">
        <v>25880</v>
      </c>
    </row>
    <row r="21732" spans="6:8">
      <c r="H21732" t="s">
        <v>25881</v>
      </c>
    </row>
    <row r="21733" spans="6:8">
      <c r="H21733" t="s">
        <v>25882</v>
      </c>
    </row>
    <row r="21734" spans="6:8">
      <c r="H21734" t="s">
        <v>25883</v>
      </c>
    </row>
    <row r="21735" spans="6:8">
      <c r="H21735" t="s">
        <v>25884</v>
      </c>
    </row>
    <row r="21736" spans="6:8">
      <c r="H21736" t="s">
        <v>25885</v>
      </c>
    </row>
    <row r="21737" spans="6:8">
      <c r="H21737" t="s">
        <v>25886</v>
      </c>
    </row>
    <row r="21738" spans="6:8">
      <c r="H21738" t="s">
        <v>25887</v>
      </c>
    </row>
    <row r="21739" spans="6:8">
      <c r="H21739" t="s">
        <v>25888</v>
      </c>
    </row>
    <row r="21740" spans="6:8">
      <c r="H21740" t="s">
        <v>25889</v>
      </c>
    </row>
    <row r="21741" spans="6:8">
      <c r="H21741" t="s">
        <v>25890</v>
      </c>
    </row>
    <row r="21742" spans="6:8">
      <c r="H21742" t="s">
        <v>25891</v>
      </c>
    </row>
    <row r="21743" spans="6:8">
      <c r="F21743" t="s">
        <v>12680</v>
      </c>
      <c r="G21743" t="s">
        <v>16884</v>
      </c>
      <c r="H21743" t="s">
        <v>25892</v>
      </c>
    </row>
    <row r="21744" spans="6:8">
      <c r="H21744" t="s">
        <v>25893</v>
      </c>
    </row>
    <row r="21745" spans="8:8">
      <c r="H21745" t="s">
        <v>25894</v>
      </c>
    </row>
    <row r="21746" spans="8:8">
      <c r="H21746" t="s">
        <v>25895</v>
      </c>
    </row>
    <row r="21747" spans="8:8">
      <c r="H21747" t="s">
        <v>25896</v>
      </c>
    </row>
    <row r="21748" spans="8:8">
      <c r="H21748" t="s">
        <v>25897</v>
      </c>
    </row>
    <row r="21749" spans="8:8">
      <c r="H21749" t="s">
        <v>25898</v>
      </c>
    </row>
    <row r="21750" spans="8:8">
      <c r="H21750" t="s">
        <v>25899</v>
      </c>
    </row>
    <row r="21751" spans="8:8">
      <c r="H21751" t="s">
        <v>25900</v>
      </c>
    </row>
    <row r="21752" spans="8:8">
      <c r="H21752" t="s">
        <v>25901</v>
      </c>
    </row>
    <row r="21753" spans="8:8">
      <c r="H21753" t="s">
        <v>25902</v>
      </c>
    </row>
    <row r="21754" spans="8:8">
      <c r="H21754" t="s">
        <v>25903</v>
      </c>
    </row>
    <row r="21755" spans="8:8">
      <c r="H21755" t="s">
        <v>25904</v>
      </c>
    </row>
    <row r="21756" spans="8:8">
      <c r="H21756" t="s">
        <v>25905</v>
      </c>
    </row>
    <row r="21757" spans="8:8">
      <c r="H21757" t="s">
        <v>25906</v>
      </c>
    </row>
    <row r="21758" spans="8:8">
      <c r="H21758" t="s">
        <v>25907</v>
      </c>
    </row>
    <row r="21759" spans="8:8">
      <c r="H21759" t="s">
        <v>25908</v>
      </c>
    </row>
    <row r="21760" spans="8:8">
      <c r="H21760" t="s">
        <v>25909</v>
      </c>
    </row>
    <row r="21761" spans="6:8">
      <c r="H21761" t="s">
        <v>25910</v>
      </c>
    </row>
    <row r="21762" spans="6:8">
      <c r="H21762" t="s">
        <v>25911</v>
      </c>
    </row>
    <row r="21763" spans="6:8">
      <c r="H21763" t="s">
        <v>25912</v>
      </c>
    </row>
    <row r="21764" spans="6:8">
      <c r="H21764" t="s">
        <v>25913</v>
      </c>
    </row>
    <row r="21765" spans="6:8">
      <c r="H21765" t="s">
        <v>25914</v>
      </c>
    </row>
    <row r="21766" spans="6:8">
      <c r="H21766" t="s">
        <v>25915</v>
      </c>
    </row>
    <row r="21767" spans="6:8">
      <c r="H21767" t="s">
        <v>25916</v>
      </c>
    </row>
    <row r="21768" spans="6:8">
      <c r="H21768" t="s">
        <v>25917</v>
      </c>
    </row>
    <row r="21769" spans="6:8">
      <c r="H21769" t="s">
        <v>25918</v>
      </c>
    </row>
    <row r="21770" spans="6:8">
      <c r="H21770" t="s">
        <v>25919</v>
      </c>
    </row>
    <row r="21771" spans="6:8">
      <c r="H21771" t="s">
        <v>25920</v>
      </c>
    </row>
    <row r="21772" spans="6:8">
      <c r="H21772" t="s">
        <v>25921</v>
      </c>
    </row>
    <row r="21773" spans="6:8">
      <c r="H21773" t="s">
        <v>25922</v>
      </c>
    </row>
    <row r="21774" spans="6:8">
      <c r="H21774" t="s">
        <v>25923</v>
      </c>
    </row>
    <row r="21775" spans="6:8">
      <c r="H21775" t="s">
        <v>25924</v>
      </c>
    </row>
    <row r="21776" spans="6:8">
      <c r="F21776" t="s">
        <v>12681</v>
      </c>
      <c r="G21776" t="s">
        <v>16885</v>
      </c>
      <c r="H21776" t="s">
        <v>25925</v>
      </c>
    </row>
    <row r="21777" spans="6:8">
      <c r="H21777" t="s">
        <v>25926</v>
      </c>
    </row>
    <row r="21778" spans="6:8">
      <c r="H21778" t="s">
        <v>25927</v>
      </c>
    </row>
    <row r="21779" spans="6:8">
      <c r="H21779" t="s">
        <v>25928</v>
      </c>
    </row>
    <row r="21780" spans="6:8">
      <c r="F21780" t="s">
        <v>12682</v>
      </c>
      <c r="G21780" t="s">
        <v>16886</v>
      </c>
      <c r="H21780" t="s">
        <v>25929</v>
      </c>
    </row>
    <row r="21781" spans="6:8">
      <c r="H21781" t="s">
        <v>25930</v>
      </c>
    </row>
    <row r="21782" spans="6:8">
      <c r="H21782" t="s">
        <v>25931</v>
      </c>
    </row>
    <row r="21783" spans="6:8">
      <c r="F21783" t="s">
        <v>12683</v>
      </c>
      <c r="G21783" t="s">
        <v>16887</v>
      </c>
      <c r="H21783" t="s">
        <v>25932</v>
      </c>
    </row>
    <row r="21784" spans="6:8">
      <c r="H21784" t="s">
        <v>25933</v>
      </c>
    </row>
    <row r="21785" spans="6:8">
      <c r="H21785" t="s">
        <v>25934</v>
      </c>
    </row>
    <row r="21786" spans="6:8">
      <c r="H21786" t="s">
        <v>25935</v>
      </c>
    </row>
    <row r="21787" spans="6:8">
      <c r="H21787" t="s">
        <v>25936</v>
      </c>
    </row>
    <row r="21788" spans="6:8">
      <c r="F21788" t="s">
        <v>12684</v>
      </c>
      <c r="G21788" t="s">
        <v>16888</v>
      </c>
      <c r="H21788" t="s">
        <v>25937</v>
      </c>
    </row>
    <row r="21789" spans="6:8">
      <c r="H21789" t="s">
        <v>25938</v>
      </c>
    </row>
    <row r="21790" spans="6:8">
      <c r="H21790" t="s">
        <v>25939</v>
      </c>
    </row>
    <row r="21791" spans="6:8">
      <c r="H21791" t="s">
        <v>25940</v>
      </c>
    </row>
    <row r="21792" spans="6:8">
      <c r="H21792" t="s">
        <v>25941</v>
      </c>
    </row>
    <row r="21793" spans="6:8">
      <c r="H21793" t="s">
        <v>25942</v>
      </c>
    </row>
    <row r="21794" spans="6:8">
      <c r="H21794" t="s">
        <v>25943</v>
      </c>
    </row>
    <row r="21795" spans="6:8">
      <c r="H21795" t="s">
        <v>25944</v>
      </c>
    </row>
    <row r="21796" spans="6:8">
      <c r="F21796" t="s">
        <v>12685</v>
      </c>
      <c r="G21796" t="s">
        <v>16889</v>
      </c>
      <c r="H21796" t="s">
        <v>25945</v>
      </c>
    </row>
    <row r="21797" spans="6:8">
      <c r="H21797" t="s">
        <v>25933</v>
      </c>
    </row>
    <row r="21798" spans="6:8">
      <c r="F21798" t="s">
        <v>12686</v>
      </c>
      <c r="G21798" t="s">
        <v>16890</v>
      </c>
      <c r="H21798" t="s">
        <v>25946</v>
      </c>
    </row>
    <row r="21799" spans="6:8">
      <c r="F21799" t="s">
        <v>12687</v>
      </c>
      <c r="G21799" t="s">
        <v>16891</v>
      </c>
      <c r="H21799" t="s">
        <v>25947</v>
      </c>
    </row>
    <row r="21800" spans="6:8">
      <c r="H21800" t="s">
        <v>25948</v>
      </c>
    </row>
    <row r="21801" spans="6:8">
      <c r="H21801" t="s">
        <v>25949</v>
      </c>
    </row>
    <row r="21802" spans="6:8">
      <c r="H21802" t="s">
        <v>25950</v>
      </c>
    </row>
    <row r="21803" spans="6:8">
      <c r="H21803" t="s">
        <v>25951</v>
      </c>
    </row>
    <row r="21804" spans="6:8">
      <c r="H21804" t="s">
        <v>25952</v>
      </c>
    </row>
    <row r="21805" spans="6:8">
      <c r="F21805" t="s">
        <v>12688</v>
      </c>
      <c r="G21805" t="s">
        <v>16892</v>
      </c>
      <c r="H21805" t="s">
        <v>25953</v>
      </c>
    </row>
    <row r="21806" spans="6:8">
      <c r="H21806" t="s">
        <v>25952</v>
      </c>
    </row>
    <row r="21807" spans="6:8">
      <c r="F21807" t="s">
        <v>12689</v>
      </c>
      <c r="G21807" t="s">
        <v>16893</v>
      </c>
      <c r="H21807" t="s">
        <v>25953</v>
      </c>
    </row>
    <row r="21808" spans="6:8">
      <c r="H21808" t="s">
        <v>25954</v>
      </c>
    </row>
    <row r="21809" spans="1:8">
      <c r="A21809" t="s">
        <v>853</v>
      </c>
      <c r="B21809">
        <f>HYPERLINK("https://android.googlesource.com/platform/cts/+/cdd549d382c1b8a27cfaf0daf048b493713ffe2e", "cdd549d382c1b8a27cfaf0daf048b493713ffe2e")</f>
        <v>0</v>
      </c>
      <c r="C21809">
        <f>HYPERLINK("https://android.googlesource.com/platform/cts/+/5eb0beea1659a29d1a0d8bff4e6ee2d583c860d3", "5eb0beea1659a29d1a0d8bff4e6ee2d583c860d3")</f>
        <v>0</v>
      </c>
      <c r="D21809" t="s">
        <v>5002</v>
      </c>
      <c r="E21809" t="s">
        <v>6634</v>
      </c>
      <c r="F21809" t="s">
        <v>12690</v>
      </c>
      <c r="G21809" t="s">
        <v>16894</v>
      </c>
      <c r="H21809" t="s">
        <v>18829</v>
      </c>
    </row>
    <row r="21810" spans="1:8">
      <c r="H21810" t="s">
        <v>18863</v>
      </c>
    </row>
    <row r="21811" spans="1:8">
      <c r="H21811" t="s">
        <v>25955</v>
      </c>
    </row>
    <row r="21812" spans="1:8">
      <c r="H21812" t="s">
        <v>25956</v>
      </c>
    </row>
    <row r="21813" spans="1:8">
      <c r="H21813" t="s">
        <v>25957</v>
      </c>
    </row>
    <row r="21814" spans="1:8">
      <c r="H21814" t="s">
        <v>25716</v>
      </c>
    </row>
    <row r="21815" spans="1:8">
      <c r="F21815" t="s">
        <v>12615</v>
      </c>
      <c r="G21815" t="s">
        <v>16826</v>
      </c>
      <c r="H21815" t="s">
        <v>18829</v>
      </c>
    </row>
    <row r="21816" spans="1:8">
      <c r="H21816" t="s">
        <v>18863</v>
      </c>
    </row>
    <row r="21817" spans="1:8">
      <c r="H21817" t="s">
        <v>25958</v>
      </c>
    </row>
    <row r="21818" spans="1:8">
      <c r="H21818" t="s">
        <v>25959</v>
      </c>
    </row>
    <row r="21819" spans="1:8">
      <c r="H21819" t="s">
        <v>25960</v>
      </c>
    </row>
    <row r="21820" spans="1:8">
      <c r="A21820" t="s">
        <v>854</v>
      </c>
      <c r="B21820">
        <f>HYPERLINK("https://android.googlesource.com/platform/cts/+/6ef453ef95a6c3af1e375123fe0cdf610ca937c7", "6ef453ef95a6c3af1e375123fe0cdf610ca937c7")</f>
        <v>0</v>
      </c>
      <c r="C21820">
        <f>HYPERLINK("https://android.googlesource.com/platform/cts/+/78de670d18349d6757631d66c32c8c14ca7f73f3", "78de670d18349d6757631d66c32c8c14ca7f73f3")</f>
        <v>0</v>
      </c>
      <c r="D21820" t="s">
        <v>5083</v>
      </c>
      <c r="E21820" t="s">
        <v>6635</v>
      </c>
      <c r="F21820" t="s">
        <v>12691</v>
      </c>
      <c r="G21820" t="s">
        <v>16895</v>
      </c>
      <c r="H21820" t="s">
        <v>25961</v>
      </c>
    </row>
    <row r="21821" spans="1:8">
      <c r="A21821" t="s">
        <v>855</v>
      </c>
      <c r="B21821">
        <f>HYPERLINK("https://android.googlesource.com/platform/cts/+/a0d8825e41cd41d4175aa01438471efeb546cf4b", "a0d8825e41cd41d4175aa01438471efeb546cf4b")</f>
        <v>0</v>
      </c>
      <c r="C21821">
        <f>HYPERLINK("https://android.googlesource.com/platform/cts/+/2268f4383ad786467f790fe0bda5fe2fa77e5ede", "2268f4383ad786467f790fe0bda5fe2fa77e5ede")</f>
        <v>0</v>
      </c>
      <c r="D21821" t="s">
        <v>4978</v>
      </c>
      <c r="E21821" t="s">
        <v>6636</v>
      </c>
      <c r="F21821" t="s">
        <v>12225</v>
      </c>
      <c r="G21821" t="s">
        <v>16455</v>
      </c>
      <c r="H21821" t="s">
        <v>22035</v>
      </c>
    </row>
    <row r="21822" spans="1:8">
      <c r="H21822" t="s">
        <v>25962</v>
      </c>
    </row>
    <row r="21823" spans="1:8">
      <c r="H21823" t="s">
        <v>25963</v>
      </c>
    </row>
    <row r="21824" spans="1:8">
      <c r="H21824" t="s">
        <v>25964</v>
      </c>
    </row>
    <row r="21825" spans="8:8">
      <c r="H21825" t="s">
        <v>25965</v>
      </c>
    </row>
    <row r="21826" spans="8:8">
      <c r="H21826" t="s">
        <v>22006</v>
      </c>
    </row>
    <row r="21827" spans="8:8">
      <c r="H21827" t="s">
        <v>25966</v>
      </c>
    </row>
    <row r="21828" spans="8:8">
      <c r="H21828" t="s">
        <v>25967</v>
      </c>
    </row>
    <row r="21829" spans="8:8">
      <c r="H21829" t="s">
        <v>25968</v>
      </c>
    </row>
    <row r="21830" spans="8:8">
      <c r="H21830" t="s">
        <v>25969</v>
      </c>
    </row>
    <row r="21831" spans="8:8">
      <c r="H21831" t="s">
        <v>25970</v>
      </c>
    </row>
    <row r="21832" spans="8:8">
      <c r="H21832" t="s">
        <v>25971</v>
      </c>
    </row>
    <row r="21833" spans="8:8">
      <c r="H21833" t="s">
        <v>25972</v>
      </c>
    </row>
    <row r="21834" spans="8:8">
      <c r="H21834" t="s">
        <v>25973</v>
      </c>
    </row>
    <row r="21835" spans="8:8">
      <c r="H21835" t="s">
        <v>25974</v>
      </c>
    </row>
    <row r="21836" spans="8:8">
      <c r="H21836" t="s">
        <v>25975</v>
      </c>
    </row>
    <row r="21837" spans="8:8">
      <c r="H21837" t="s">
        <v>25976</v>
      </c>
    </row>
    <row r="21838" spans="8:8">
      <c r="H21838" t="s">
        <v>25977</v>
      </c>
    </row>
    <row r="21839" spans="8:8">
      <c r="H21839" t="s">
        <v>25978</v>
      </c>
    </row>
    <row r="21840" spans="8:8">
      <c r="H21840" t="s">
        <v>25979</v>
      </c>
    </row>
    <row r="21841" spans="1:8">
      <c r="A21841" t="s">
        <v>856</v>
      </c>
      <c r="B21841">
        <f>HYPERLINK("https://android.googlesource.com/platform/cts/+/b58cd0172405a7ee4ebf8e620ab1db549f790ea7", "b58cd0172405a7ee4ebf8e620ab1db549f790ea7")</f>
        <v>0</v>
      </c>
      <c r="C21841">
        <f>HYPERLINK("https://android.googlesource.com/platform/cts/+/1cd85c855a22021c3777ae3b14b4bace10acb39d", "1cd85c855a22021c3777ae3b14b4bace10acb39d")</f>
        <v>0</v>
      </c>
      <c r="D21841" t="s">
        <v>5077</v>
      </c>
      <c r="E21841" t="s">
        <v>6637</v>
      </c>
      <c r="F21841" t="s">
        <v>12692</v>
      </c>
      <c r="G21841" t="s">
        <v>16896</v>
      </c>
      <c r="H21841" t="s">
        <v>25980</v>
      </c>
    </row>
    <row r="21842" spans="1:8">
      <c r="A21842" t="s">
        <v>857</v>
      </c>
      <c r="B21842">
        <f>HYPERLINK("https://android.googlesource.com/platform/cts/+/1c28c69c33fd2e8b84b22b240ca96c1df105e2fd", "1c28c69c33fd2e8b84b22b240ca96c1df105e2fd")</f>
        <v>0</v>
      </c>
      <c r="C21842">
        <f>HYPERLINK("https://android.googlesource.com/platform/cts/+/cdd549d382c1b8a27cfaf0daf048b493713ffe2e", "cdd549d382c1b8a27cfaf0daf048b493713ffe2e")</f>
        <v>0</v>
      </c>
      <c r="D21842" t="s">
        <v>5002</v>
      </c>
      <c r="E21842" t="s">
        <v>6638</v>
      </c>
      <c r="F21842" t="s">
        <v>12693</v>
      </c>
      <c r="G21842" t="s">
        <v>16897</v>
      </c>
      <c r="H21842" t="s">
        <v>18829</v>
      </c>
    </row>
    <row r="21843" spans="1:8">
      <c r="H21843" t="s">
        <v>18863</v>
      </c>
    </row>
    <row r="21844" spans="1:8">
      <c r="H21844" t="s">
        <v>25955</v>
      </c>
    </row>
    <row r="21845" spans="1:8">
      <c r="H21845" t="s">
        <v>25958</v>
      </c>
    </row>
    <row r="21846" spans="1:8">
      <c r="H21846" t="s">
        <v>25959</v>
      </c>
    </row>
    <row r="21847" spans="1:8">
      <c r="H21847" t="s">
        <v>25956</v>
      </c>
    </row>
    <row r="21848" spans="1:8">
      <c r="H21848" t="s">
        <v>25957</v>
      </c>
    </row>
    <row r="21849" spans="1:8">
      <c r="H21849" t="s">
        <v>25960</v>
      </c>
    </row>
    <row r="21850" spans="1:8">
      <c r="A21850" t="s">
        <v>858</v>
      </c>
      <c r="B21850">
        <f>HYPERLINK("https://android.googlesource.com/platform/cts/+/0ce632b8a1c66dc41690aec328f086eeda429768", "0ce632b8a1c66dc41690aec328f086eeda429768")</f>
        <v>0</v>
      </c>
      <c r="C21850">
        <f>HYPERLINK("https://android.googlesource.com/platform/cts/+/1c28c69c33fd2e8b84b22b240ca96c1df105e2fd", "1c28c69c33fd2e8b84b22b240ca96c1df105e2fd")</f>
        <v>0</v>
      </c>
      <c r="D21850" t="s">
        <v>5002</v>
      </c>
      <c r="E21850" t="s">
        <v>6639</v>
      </c>
      <c r="F21850" t="s">
        <v>12690</v>
      </c>
      <c r="G21850" t="s">
        <v>16894</v>
      </c>
      <c r="H21850" t="s">
        <v>18829</v>
      </c>
    </row>
    <row r="21851" spans="1:8">
      <c r="H21851" t="s">
        <v>18863</v>
      </c>
    </row>
    <row r="21852" spans="1:8">
      <c r="H21852" t="s">
        <v>25955</v>
      </c>
    </row>
    <row r="21853" spans="1:8">
      <c r="H21853" t="s">
        <v>25956</v>
      </c>
    </row>
    <row r="21854" spans="1:8">
      <c r="H21854" t="s">
        <v>25957</v>
      </c>
    </row>
    <row r="21855" spans="1:8">
      <c r="H21855" t="s">
        <v>25716</v>
      </c>
    </row>
    <row r="21856" spans="1:8">
      <c r="F21856" t="s">
        <v>12615</v>
      </c>
      <c r="G21856" t="s">
        <v>16826</v>
      </c>
      <c r="H21856" t="s">
        <v>18829</v>
      </c>
    </row>
    <row r="21857" spans="1:8">
      <c r="H21857" t="s">
        <v>18863</v>
      </c>
    </row>
    <row r="21858" spans="1:8">
      <c r="H21858" t="s">
        <v>25958</v>
      </c>
    </row>
    <row r="21859" spans="1:8">
      <c r="H21859" t="s">
        <v>25959</v>
      </c>
    </row>
    <row r="21860" spans="1:8">
      <c r="H21860" t="s">
        <v>25960</v>
      </c>
    </row>
    <row r="21861" spans="1:8">
      <c r="A21861" t="s">
        <v>859</v>
      </c>
      <c r="B21861">
        <f>HYPERLINK("https://android.googlesource.com/platform/cts/+/6cbd55d1b3a7fcb8b61ffee0dd735c6a96a81609", "6cbd55d1b3a7fcb8b61ffee0dd735c6a96a81609")</f>
        <v>0</v>
      </c>
      <c r="C21861">
        <f>HYPERLINK("https://android.googlesource.com/platform/cts/+/48e65a5010671dd41f03bbe15b99985d47f0feff", "48e65a5010671dd41f03bbe15b99985d47f0feff")</f>
        <v>0</v>
      </c>
      <c r="D21861" t="s">
        <v>5032</v>
      </c>
      <c r="E21861" t="s">
        <v>6640</v>
      </c>
      <c r="F21861" t="s">
        <v>12694</v>
      </c>
      <c r="G21861" t="s">
        <v>16898</v>
      </c>
      <c r="H21861" t="s">
        <v>25981</v>
      </c>
    </row>
    <row r="21862" spans="1:8">
      <c r="A21862" t="s">
        <v>860</v>
      </c>
      <c r="B21862">
        <f>HYPERLINK("https://android.googlesource.com/platform/cts/+/08e1d86a1a28344fb66c9275bf9e7aae13976852", "08e1d86a1a28344fb66c9275bf9e7aae13976852")</f>
        <v>0</v>
      </c>
      <c r="C21862">
        <f>HYPERLINK("https://android.googlesource.com/platform/cts/+/a7db12072db8cf07e44d70c85ca49a2660cf94c0", "a7db12072db8cf07e44d70c85ca49a2660cf94c0")</f>
        <v>0</v>
      </c>
      <c r="D21862" t="s">
        <v>5086</v>
      </c>
      <c r="E21862" t="s">
        <v>6641</v>
      </c>
      <c r="F21862" t="s">
        <v>12695</v>
      </c>
      <c r="G21862" t="s">
        <v>16899</v>
      </c>
      <c r="H21862" t="s">
        <v>25982</v>
      </c>
    </row>
    <row r="21863" spans="1:8">
      <c r="F21863" t="s">
        <v>12696</v>
      </c>
      <c r="G21863" t="s">
        <v>16900</v>
      </c>
      <c r="H21863" t="s">
        <v>18829</v>
      </c>
    </row>
    <row r="21864" spans="1:8">
      <c r="A21864" t="s">
        <v>861</v>
      </c>
      <c r="B21864">
        <f>HYPERLINK("https://android.googlesource.com/platform/cts/+/08a4a4925e01ae94aed94fca0f12d23838f8ba35", "08a4a4925e01ae94aed94fca0f12d23838f8ba35")</f>
        <v>0</v>
      </c>
      <c r="C21864">
        <f>HYPERLINK("https://android.googlesource.com/platform/cts/+/717e7ad397bc69da4f2eba4d4a30da23f3ec96f2", "717e7ad397bc69da4f2eba4d4a30da23f3ec96f2")</f>
        <v>0</v>
      </c>
      <c r="D21864" t="s">
        <v>4994</v>
      </c>
      <c r="E21864" t="s">
        <v>6642</v>
      </c>
      <c r="F21864" t="s">
        <v>12618</v>
      </c>
      <c r="G21864" t="s">
        <v>16828</v>
      </c>
      <c r="H21864" t="s">
        <v>25983</v>
      </c>
    </row>
    <row r="21865" spans="1:8">
      <c r="A21865" t="s">
        <v>862</v>
      </c>
      <c r="B21865">
        <f>HYPERLINK("https://android.googlesource.com/platform/cts/+/c944a87836179e2879139a2d866452a1272a1c0f", "c944a87836179e2879139a2d866452a1272a1c0f")</f>
        <v>0</v>
      </c>
      <c r="C21865">
        <f>HYPERLINK("https://android.googlesource.com/platform/cts/+/a60d59bb635710fa57b4c405183d44df530d5557", "a60d59bb635710fa57b4c405183d44df530d5557")</f>
        <v>0</v>
      </c>
      <c r="D21865" t="s">
        <v>5108</v>
      </c>
      <c r="E21865" t="s">
        <v>6643</v>
      </c>
      <c r="F21865" t="s">
        <v>12419</v>
      </c>
      <c r="G21865" t="s">
        <v>16641</v>
      </c>
      <c r="H21865" t="s">
        <v>25984</v>
      </c>
    </row>
    <row r="21866" spans="1:8">
      <c r="A21866" t="s">
        <v>863</v>
      </c>
      <c r="B21866">
        <f>HYPERLINK("https://android.googlesource.com/platform/cts/+/785dd11b446ed22370e5eaa31ad7ac4011b382a6", "785dd11b446ed22370e5eaa31ad7ac4011b382a6")</f>
        <v>0</v>
      </c>
      <c r="C21866">
        <f>HYPERLINK("https://android.googlesource.com/platform/cts/+/d38938f0eae6f69e10f25f3e39d95bb2b69f685a", "d38938f0eae6f69e10f25f3e39d95bb2b69f685a")</f>
        <v>0</v>
      </c>
      <c r="D21866" t="s">
        <v>5109</v>
      </c>
      <c r="E21866" t="s">
        <v>6644</v>
      </c>
      <c r="F21866" t="s">
        <v>12619</v>
      </c>
      <c r="G21866" t="s">
        <v>16829</v>
      </c>
      <c r="H21866" t="s">
        <v>25985</v>
      </c>
    </row>
    <row r="21867" spans="1:8">
      <c r="F21867" t="s">
        <v>12697</v>
      </c>
      <c r="G21867" t="s">
        <v>16901</v>
      </c>
      <c r="H21867" t="s">
        <v>25985</v>
      </c>
    </row>
    <row r="21868" spans="1:8">
      <c r="A21868" t="s">
        <v>864</v>
      </c>
      <c r="B21868">
        <f>HYPERLINK("https://android.googlesource.com/platform/cts/+/c15ea9f9eedc62d1c92511409b53e57f1691e249", "c15ea9f9eedc62d1c92511409b53e57f1691e249")</f>
        <v>0</v>
      </c>
      <c r="C21868">
        <f>HYPERLINK("https://android.googlesource.com/platform/cts/+/4db04227c052aaec075dd89a5483ebc27da47ad9", "4db04227c052aaec075dd89a5483ebc27da47ad9")</f>
        <v>0</v>
      </c>
      <c r="D21868" t="s">
        <v>5029</v>
      </c>
      <c r="E21868" t="s">
        <v>6645</v>
      </c>
      <c r="F21868" t="s">
        <v>12698</v>
      </c>
      <c r="G21868" t="s">
        <v>16591</v>
      </c>
      <c r="H21868" t="s">
        <v>22374</v>
      </c>
    </row>
    <row r="21869" spans="1:8">
      <c r="H21869" t="s">
        <v>22375</v>
      </c>
    </row>
    <row r="21870" spans="1:8">
      <c r="H21870" t="s">
        <v>22376</v>
      </c>
    </row>
    <row r="21871" spans="1:8">
      <c r="A21871" t="s">
        <v>865</v>
      </c>
      <c r="B21871">
        <f>HYPERLINK("https://android.googlesource.com/platform/cts/+/0cad7a117c1af817f125db2f31177e198d4feec4", "0cad7a117c1af817f125db2f31177e198d4feec4")</f>
        <v>0</v>
      </c>
      <c r="C21871">
        <f>HYPERLINK("https://android.googlesource.com/platform/cts/+/225b9a1c7b67366701e3c26ddc2593d4428660ff", "225b9a1c7b67366701e3c26ddc2593d4428660ff")</f>
        <v>0</v>
      </c>
      <c r="D21871" t="s">
        <v>5107</v>
      </c>
      <c r="E21871" t="s">
        <v>6646</v>
      </c>
      <c r="F21871" t="s">
        <v>12699</v>
      </c>
      <c r="G21871" t="s">
        <v>16902</v>
      </c>
      <c r="H21871" t="s">
        <v>25986</v>
      </c>
    </row>
    <row r="21872" spans="1:8">
      <c r="A21872" t="s">
        <v>866</v>
      </c>
      <c r="B21872">
        <f>HYPERLINK("https://android.googlesource.com/platform/cts/+/03abf5215a1b6d7c1d1394ed8e221adedd690c7a", "03abf5215a1b6d7c1d1394ed8e221adedd690c7a")</f>
        <v>0</v>
      </c>
      <c r="C21872">
        <f>HYPERLINK("https://android.googlesource.com/platform/cts/+/7273bd72c2ee52e05a692595022c6a223594b97c", "7273bd72c2ee52e05a692595022c6a223594b97c")</f>
        <v>0</v>
      </c>
      <c r="D21872" t="s">
        <v>5028</v>
      </c>
      <c r="E21872" t="s">
        <v>6647</v>
      </c>
      <c r="F21872" t="s">
        <v>12334</v>
      </c>
      <c r="G21872" t="s">
        <v>16562</v>
      </c>
      <c r="H21872" t="s">
        <v>25987</v>
      </c>
    </row>
    <row r="21873" spans="1:8">
      <c r="A21873" t="s">
        <v>867</v>
      </c>
      <c r="B21873">
        <f>HYPERLINK("https://android.googlesource.com/platform/cts/+/ff15fe978799fa9e23ba4f31a73f2ba84899bab6", "ff15fe978799fa9e23ba4f31a73f2ba84899bab6")</f>
        <v>0</v>
      </c>
      <c r="C21873">
        <f>HYPERLINK("https://android.googlesource.com/platform/cts/+/02ada350f9e21da49f78e8c485e991f2e71109ee", "02ada350f9e21da49f78e8c485e991f2e71109ee")</f>
        <v>0</v>
      </c>
      <c r="D21873" t="s">
        <v>5002</v>
      </c>
      <c r="E21873" t="s">
        <v>6648</v>
      </c>
      <c r="F21873" t="s">
        <v>12693</v>
      </c>
      <c r="G21873" t="s">
        <v>16894</v>
      </c>
      <c r="H21873" t="s">
        <v>25958</v>
      </c>
    </row>
    <row r="21874" spans="1:8">
      <c r="F21874" t="s">
        <v>12700</v>
      </c>
      <c r="G21874" t="s">
        <v>16903</v>
      </c>
      <c r="H21874" t="s">
        <v>25988</v>
      </c>
    </row>
    <row r="21875" spans="1:8">
      <c r="A21875" t="s">
        <v>868</v>
      </c>
      <c r="B21875">
        <f>HYPERLINK("https://android.googlesource.com/platform/cts/+/8b5df142344dadbf0ad0eb51952d0498eccf2eea", "8b5df142344dadbf0ad0eb51952d0498eccf2eea")</f>
        <v>0</v>
      </c>
      <c r="C21875">
        <f>HYPERLINK("https://android.googlesource.com/platform/cts/+/7ce4c33e68dad02c2db78b210f4dc7f1e87e4d9e", "7ce4c33e68dad02c2db78b210f4dc7f1e87e4d9e")</f>
        <v>0</v>
      </c>
      <c r="D21875" t="s">
        <v>5110</v>
      </c>
      <c r="E21875" t="s">
        <v>6649</v>
      </c>
      <c r="F21875" t="s">
        <v>12701</v>
      </c>
      <c r="G21875" t="s">
        <v>16904</v>
      </c>
      <c r="H21875" t="s">
        <v>22678</v>
      </c>
    </row>
    <row r="21876" spans="1:8">
      <c r="H21876" t="s">
        <v>18829</v>
      </c>
    </row>
    <row r="21877" spans="1:8">
      <c r="H21877" t="s">
        <v>18863</v>
      </c>
    </row>
    <row r="21878" spans="1:8">
      <c r="H21878" t="s">
        <v>25567</v>
      </c>
    </row>
    <row r="21879" spans="1:8">
      <c r="H21879" t="s">
        <v>25989</v>
      </c>
    </row>
    <row r="21880" spans="1:8">
      <c r="H21880" t="s">
        <v>25990</v>
      </c>
    </row>
    <row r="21881" spans="1:8">
      <c r="H21881" t="s">
        <v>25991</v>
      </c>
    </row>
    <row r="21882" spans="1:8">
      <c r="H21882" t="s">
        <v>25568</v>
      </c>
    </row>
    <row r="21883" spans="1:8">
      <c r="H21883" t="s">
        <v>25569</v>
      </c>
    </row>
    <row r="21884" spans="1:8">
      <c r="H21884" t="s">
        <v>25570</v>
      </c>
    </row>
    <row r="21885" spans="1:8">
      <c r="F21885" t="s">
        <v>12629</v>
      </c>
      <c r="G21885" t="s">
        <v>16838</v>
      </c>
      <c r="H21885" t="s">
        <v>25992</v>
      </c>
    </row>
    <row r="21886" spans="1:8">
      <c r="A21886" t="s">
        <v>869</v>
      </c>
      <c r="B21886">
        <f>HYPERLINK("https://android.googlesource.com/platform/cts/+/e65428769e4a484882f1f5ad4c002f53f8fff984", "e65428769e4a484882f1f5ad4c002f53f8fff984")</f>
        <v>0</v>
      </c>
      <c r="C21886">
        <f>HYPERLINK("https://android.googlesource.com/platform/cts/+/58581c3d1286052a6552c8c9c180f0fff89c3dad", "58581c3d1286052a6552c8c9c180f0fff89c3dad")</f>
        <v>0</v>
      </c>
      <c r="D21886" t="s">
        <v>5096</v>
      </c>
      <c r="E21886" t="s">
        <v>6650</v>
      </c>
      <c r="F21886" t="s">
        <v>12702</v>
      </c>
      <c r="G21886" t="s">
        <v>16905</v>
      </c>
      <c r="H21886" t="s">
        <v>25993</v>
      </c>
    </row>
    <row r="21887" spans="1:8">
      <c r="F21887" t="s">
        <v>12622</v>
      </c>
      <c r="G21887" t="s">
        <v>16832</v>
      </c>
      <c r="H21887" t="s">
        <v>25994</v>
      </c>
    </row>
    <row r="21888" spans="1:8">
      <c r="H21888" t="s">
        <v>25995</v>
      </c>
    </row>
    <row r="21889" spans="1:8">
      <c r="F21889" t="s">
        <v>12703</v>
      </c>
      <c r="G21889" t="s">
        <v>16906</v>
      </c>
      <c r="H21889" t="s">
        <v>18863</v>
      </c>
    </row>
    <row r="21890" spans="1:8">
      <c r="A21890" t="s">
        <v>870</v>
      </c>
      <c r="B21890">
        <f>HYPERLINK("https://android.googlesource.com/platform/cts/+/d8b2afae65d0b261d6ff3aaa77863a32adea6aa7", "d8b2afae65d0b261d6ff3aaa77863a32adea6aa7")</f>
        <v>0</v>
      </c>
      <c r="C21890">
        <f>HYPERLINK("https://android.googlesource.com/platform/cts/+/be10ebbd9d0fa1e05bbb1b654f4ee539b29e2869", "be10ebbd9d0fa1e05bbb1b654f4ee539b29e2869")</f>
        <v>0</v>
      </c>
      <c r="D21890" t="s">
        <v>5065</v>
      </c>
      <c r="E21890" t="s">
        <v>6651</v>
      </c>
      <c r="F21890" t="s">
        <v>12386</v>
      </c>
      <c r="G21890" t="s">
        <v>16611</v>
      </c>
      <c r="H21890" t="s">
        <v>25839</v>
      </c>
    </row>
    <row r="21891" spans="1:8">
      <c r="A21891" t="s">
        <v>871</v>
      </c>
      <c r="B21891">
        <f>HYPERLINK("https://android.googlesource.com/platform/cts/+/e4036feb8e016e46ab0391350e52172d1ea6bc54", "e4036feb8e016e46ab0391350e52172d1ea6bc54")</f>
        <v>0</v>
      </c>
      <c r="C21891">
        <f>HYPERLINK("https://android.googlesource.com/platform/cts/+/aca7e8c8473d45e9349caca76a686c5e3db2179b", "aca7e8c8473d45e9349caca76a686c5e3db2179b")</f>
        <v>0</v>
      </c>
      <c r="D21891" t="s">
        <v>5002</v>
      </c>
      <c r="E21891" t="s">
        <v>6652</v>
      </c>
      <c r="F21891" t="s">
        <v>12704</v>
      </c>
      <c r="G21891" t="s">
        <v>15717</v>
      </c>
      <c r="H21891" t="s">
        <v>18863</v>
      </c>
    </row>
    <row r="21892" spans="1:8">
      <c r="A21892" t="s">
        <v>872</v>
      </c>
      <c r="B21892">
        <f>HYPERLINK("https://android.googlesource.com/platform/cts/+/a99ccd9b2069ad63a404c8fe6b613fa37fd908c8", "a99ccd9b2069ad63a404c8fe6b613fa37fd908c8")</f>
        <v>0</v>
      </c>
      <c r="C21892">
        <f>HYPERLINK("https://android.googlesource.com/platform/cts/+/0bad9e7cd049ef3379708d030a19ce355cc3472d", "0bad9e7cd049ef3379708d030a19ce355cc3472d")</f>
        <v>0</v>
      </c>
      <c r="D21892" t="s">
        <v>5111</v>
      </c>
      <c r="E21892" t="s">
        <v>6653</v>
      </c>
      <c r="F21892" t="s">
        <v>12705</v>
      </c>
      <c r="G21892" t="s">
        <v>16907</v>
      </c>
      <c r="H21892" t="s">
        <v>25996</v>
      </c>
    </row>
    <row r="21893" spans="1:8">
      <c r="F21893" t="s">
        <v>12706</v>
      </c>
      <c r="G21893" t="s">
        <v>16908</v>
      </c>
      <c r="H21893" t="s">
        <v>25997</v>
      </c>
    </row>
    <row r="21894" spans="1:8">
      <c r="H21894" t="s">
        <v>25998</v>
      </c>
    </row>
    <row r="21895" spans="1:8">
      <c r="A21895" t="s">
        <v>873</v>
      </c>
      <c r="B21895">
        <f>HYPERLINK("https://android.googlesource.com/platform/cts/+/b36d21caa07701fab51142ee3880406402b3a9d2", "b36d21caa07701fab51142ee3880406402b3a9d2")</f>
        <v>0</v>
      </c>
      <c r="C21895">
        <f>HYPERLINK("https://android.googlesource.com/platform/cts/+/f5f73c32459a18fc8809c3f13603b86db7e3d2ea", "f5f73c32459a18fc8809c3f13603b86db7e3d2ea")</f>
        <v>0</v>
      </c>
      <c r="D21895" t="s">
        <v>5111</v>
      </c>
      <c r="E21895" t="s">
        <v>6654</v>
      </c>
      <c r="F21895" t="s">
        <v>12705</v>
      </c>
      <c r="G21895" t="s">
        <v>16907</v>
      </c>
      <c r="H21895" t="s">
        <v>25996</v>
      </c>
    </row>
    <row r="21896" spans="1:8">
      <c r="F21896" t="s">
        <v>12706</v>
      </c>
      <c r="G21896" t="s">
        <v>16908</v>
      </c>
      <c r="H21896" t="s">
        <v>25997</v>
      </c>
    </row>
    <row r="21897" spans="1:8">
      <c r="H21897" t="s">
        <v>25998</v>
      </c>
    </row>
    <row r="21898" spans="1:8">
      <c r="A21898" t="s">
        <v>874</v>
      </c>
      <c r="B21898">
        <f>HYPERLINK("https://android.googlesource.com/platform/cts/+/d1ade0d6ffd35a923bed0ef31ed90a16296f8ac3", "d1ade0d6ffd35a923bed0ef31ed90a16296f8ac3")</f>
        <v>0</v>
      </c>
      <c r="C21898">
        <f>HYPERLINK("https://android.googlesource.com/platform/cts/+/28330115cf93ec16b0b257b4d819f3238e7e4323", "28330115cf93ec16b0b257b4d819f3238e7e4323")</f>
        <v>0</v>
      </c>
      <c r="D21898" t="s">
        <v>5088</v>
      </c>
      <c r="E21898" t="s">
        <v>6655</v>
      </c>
      <c r="F21898" t="s">
        <v>12707</v>
      </c>
      <c r="G21898" t="s">
        <v>16909</v>
      </c>
      <c r="H21898" t="s">
        <v>25999</v>
      </c>
    </row>
    <row r="21899" spans="1:8">
      <c r="A21899" t="s">
        <v>876</v>
      </c>
      <c r="B21899">
        <f>HYPERLINK("https://android.googlesource.com/platform/cts/+/bc5ba005bebb8d0521356031076a8ee34d19d140", "bc5ba005bebb8d0521356031076a8ee34d19d140")</f>
        <v>0</v>
      </c>
      <c r="C21899">
        <f>HYPERLINK("https://android.googlesource.com/platform/cts/+/3d045942c8af49cb0d72d808698823876220ad7f", "3d045942c8af49cb0d72d808698823876220ad7f")</f>
        <v>0</v>
      </c>
      <c r="D21899" t="s">
        <v>5002</v>
      </c>
      <c r="E21899" t="s">
        <v>6657</v>
      </c>
      <c r="F21899" t="s">
        <v>12651</v>
      </c>
      <c r="G21899" t="s">
        <v>16857</v>
      </c>
      <c r="H21899" t="s">
        <v>20077</v>
      </c>
    </row>
    <row r="21900" spans="1:8">
      <c r="A21900" t="s">
        <v>877</v>
      </c>
      <c r="B21900">
        <f>HYPERLINK("https://android.googlesource.com/platform/cts/+/30c9cb82e7f598da54beecb9f587e1a21338fef2", "30c9cb82e7f598da54beecb9f587e1a21338fef2")</f>
        <v>0</v>
      </c>
      <c r="C21900">
        <f>HYPERLINK("https://android.googlesource.com/platform/cts/+/bc5ba005bebb8d0521356031076a8ee34d19d140", "bc5ba005bebb8d0521356031076a8ee34d19d140")</f>
        <v>0</v>
      </c>
      <c r="D21900" t="s">
        <v>5002</v>
      </c>
      <c r="E21900" t="s">
        <v>6658</v>
      </c>
      <c r="F21900" t="s">
        <v>12708</v>
      </c>
      <c r="G21900" t="s">
        <v>15044</v>
      </c>
      <c r="H21900" t="s">
        <v>19792</v>
      </c>
    </row>
    <row r="21901" spans="1:8">
      <c r="H21901" t="s">
        <v>19794</v>
      </c>
    </row>
    <row r="21902" spans="1:8">
      <c r="H21902" t="s">
        <v>19793</v>
      </c>
    </row>
    <row r="21903" spans="1:8">
      <c r="H21903" t="s">
        <v>19795</v>
      </c>
    </row>
    <row r="21904" spans="1:8">
      <c r="F21904" t="s">
        <v>12709</v>
      </c>
      <c r="G21904" t="s">
        <v>16910</v>
      </c>
      <c r="H21904" t="s">
        <v>18829</v>
      </c>
    </row>
    <row r="21905" spans="1:8">
      <c r="H21905" t="s">
        <v>18863</v>
      </c>
    </row>
    <row r="21906" spans="1:8">
      <c r="H21906" t="s">
        <v>26000</v>
      </c>
    </row>
    <row r="21907" spans="1:8">
      <c r="H21907" t="s">
        <v>26001</v>
      </c>
    </row>
    <row r="21908" spans="1:8">
      <c r="H21908" t="s">
        <v>26002</v>
      </c>
    </row>
    <row r="21909" spans="1:8">
      <c r="A21909" t="s">
        <v>878</v>
      </c>
      <c r="B21909">
        <f>HYPERLINK("https://android.googlesource.com/platform/cts/+/21a4341dddd8ec6529fcb9350fe465a57806216c", "21a4341dddd8ec6529fcb9350fe465a57806216c")</f>
        <v>0</v>
      </c>
      <c r="C21909">
        <f>HYPERLINK("https://android.googlesource.com/platform/cts/+/610aa6b0486b9a7ee5b17b5682520444c9d6dcef", "610aa6b0486b9a7ee5b17b5682520444c9d6dcef")</f>
        <v>0</v>
      </c>
      <c r="D21909" t="s">
        <v>5112</v>
      </c>
      <c r="E21909" t="s">
        <v>6659</v>
      </c>
      <c r="F21909" t="s">
        <v>12710</v>
      </c>
      <c r="G21909" t="s">
        <v>16911</v>
      </c>
      <c r="H21909" t="s">
        <v>26003</v>
      </c>
    </row>
    <row r="21910" spans="1:8">
      <c r="A21910" t="s">
        <v>879</v>
      </c>
      <c r="B21910">
        <f>HYPERLINK("https://android.googlesource.com/platform/cts/+/6085547eed5ccd4982a2ed0fa9ea69bbf620f435", "6085547eed5ccd4982a2ed0fa9ea69bbf620f435")</f>
        <v>0</v>
      </c>
      <c r="C21910">
        <f>HYPERLINK("https://android.googlesource.com/platform/cts/+/79ed2fbc34e4c1c740e5ceb8f9aaef164d8cbe7c", "79ed2fbc34e4c1c740e5ceb8f9aaef164d8cbe7c")</f>
        <v>0</v>
      </c>
      <c r="D21910" t="s">
        <v>5011</v>
      </c>
      <c r="E21910" t="s">
        <v>6660</v>
      </c>
      <c r="F21910" t="s">
        <v>12703</v>
      </c>
      <c r="G21910" t="s">
        <v>16906</v>
      </c>
      <c r="H21910" t="s">
        <v>26004</v>
      </c>
    </row>
    <row r="21911" spans="1:8">
      <c r="A21911" t="s">
        <v>880</v>
      </c>
      <c r="B21911">
        <f>HYPERLINK("https://android.googlesource.com/platform/cts/+/2046baee21708f108cdb1bbc9032877f60012ccd", "2046baee21708f108cdb1bbc9032877f60012ccd")</f>
        <v>0</v>
      </c>
      <c r="C21911">
        <f>HYPERLINK("https://android.googlesource.com/platform/cts/+/30c9cb82e7f598da54beecb9f587e1a21338fef2", "30c9cb82e7f598da54beecb9f587e1a21338fef2")</f>
        <v>0</v>
      </c>
      <c r="D21911" t="s">
        <v>5002</v>
      </c>
      <c r="E21911" t="s">
        <v>6661</v>
      </c>
      <c r="F21911" t="s">
        <v>12711</v>
      </c>
      <c r="G21911" t="s">
        <v>16912</v>
      </c>
      <c r="H21911" t="s">
        <v>18829</v>
      </c>
    </row>
    <row r="21912" spans="1:8">
      <c r="H21912" t="s">
        <v>18863</v>
      </c>
    </row>
    <row r="21913" spans="1:8">
      <c r="H21913" t="s">
        <v>26000</v>
      </c>
    </row>
    <row r="21914" spans="1:8">
      <c r="H21914" t="s">
        <v>26001</v>
      </c>
    </row>
    <row r="21915" spans="1:8">
      <c r="H21915" t="s">
        <v>26002</v>
      </c>
    </row>
    <row r="21916" spans="1:8">
      <c r="A21916" t="s">
        <v>881</v>
      </c>
      <c r="B21916">
        <f>HYPERLINK("https://android.googlesource.com/platform/cts/+/20e0771ee7b4a7612593cf0fb077b5b5636236e7", "20e0771ee7b4a7612593cf0fb077b5b5636236e7")</f>
        <v>0</v>
      </c>
      <c r="C21916">
        <f>HYPERLINK("https://android.googlesource.com/platform/cts/+/8d98451a68a4c21af5ecceb182033a949a6a4418", "8d98451a68a4c21af5ecceb182033a949a6a4418")</f>
        <v>0</v>
      </c>
      <c r="D21916" t="s">
        <v>5002</v>
      </c>
      <c r="E21916" t="s">
        <v>6662</v>
      </c>
      <c r="F21916" t="s">
        <v>12708</v>
      </c>
      <c r="G21916" t="s">
        <v>15044</v>
      </c>
      <c r="H21916" t="s">
        <v>19792</v>
      </c>
    </row>
    <row r="21917" spans="1:8">
      <c r="H21917" t="s">
        <v>19794</v>
      </c>
    </row>
    <row r="21918" spans="1:8">
      <c r="H21918" t="s">
        <v>19793</v>
      </c>
    </row>
    <row r="21919" spans="1:8">
      <c r="H21919" t="s">
        <v>19795</v>
      </c>
    </row>
    <row r="21920" spans="1:8">
      <c r="F21920" t="s">
        <v>12709</v>
      </c>
      <c r="G21920" t="s">
        <v>16910</v>
      </c>
      <c r="H21920" t="s">
        <v>18829</v>
      </c>
    </row>
    <row r="21921" spans="1:8">
      <c r="H21921" t="s">
        <v>18863</v>
      </c>
    </row>
    <row r="21922" spans="1:8">
      <c r="H21922" t="s">
        <v>26000</v>
      </c>
    </row>
    <row r="21923" spans="1:8">
      <c r="H21923" t="s">
        <v>26001</v>
      </c>
    </row>
    <row r="21924" spans="1:8">
      <c r="H21924" t="s">
        <v>26002</v>
      </c>
    </row>
    <row r="21925" spans="1:8">
      <c r="A21925" t="s">
        <v>882</v>
      </c>
      <c r="B21925">
        <f>HYPERLINK("https://android.googlesource.com/platform/cts/+/bb212349dbfd131dd771f01f27db542d67fbedba", "bb212349dbfd131dd771f01f27db542d67fbedba")</f>
        <v>0</v>
      </c>
      <c r="C21925">
        <f>HYPERLINK("https://android.googlesource.com/platform/cts/+/6baa9b58986a85dd76c4ca837a0c83c60d497914", "6baa9b58986a85dd76c4ca837a0c83c60d497914")</f>
        <v>0</v>
      </c>
      <c r="D21925" t="s">
        <v>5002</v>
      </c>
      <c r="E21925" t="s">
        <v>6663</v>
      </c>
      <c r="F21925" t="s">
        <v>12712</v>
      </c>
      <c r="G21925" t="s">
        <v>16913</v>
      </c>
      <c r="H21925" t="s">
        <v>18829</v>
      </c>
    </row>
    <row r="21926" spans="1:8">
      <c r="H21926" t="s">
        <v>18863</v>
      </c>
    </row>
    <row r="21927" spans="1:8">
      <c r="H21927" t="s">
        <v>21322</v>
      </c>
    </row>
    <row r="21928" spans="1:8">
      <c r="H21928" t="s">
        <v>21323</v>
      </c>
    </row>
    <row r="21929" spans="1:8">
      <c r="H21929" t="s">
        <v>20237</v>
      </c>
    </row>
    <row r="21930" spans="1:8">
      <c r="H21930" t="s">
        <v>19019</v>
      </c>
    </row>
    <row r="21931" spans="1:8">
      <c r="F21931" t="s">
        <v>12713</v>
      </c>
      <c r="G21931" t="s">
        <v>16438</v>
      </c>
      <c r="H21931" t="s">
        <v>21325</v>
      </c>
    </row>
    <row r="21932" spans="1:8">
      <c r="A21932" t="s">
        <v>883</v>
      </c>
      <c r="B21932">
        <f>HYPERLINK("https://android.googlesource.com/platform/cts/+/6b345c6f97dcc722caa93454db51f79417bfa07f", "6b345c6f97dcc722caa93454db51f79417bfa07f")</f>
        <v>0</v>
      </c>
      <c r="C21932">
        <f>HYPERLINK("https://android.googlesource.com/platform/cts/+/0e9f6c97bd7c7b514c0ff491ea9b0b7700db9da8", "0e9f6c97bd7c7b514c0ff491ea9b0b7700db9da8")</f>
        <v>0</v>
      </c>
      <c r="D21932" t="s">
        <v>4997</v>
      </c>
      <c r="E21932" t="s">
        <v>6664</v>
      </c>
      <c r="F21932" t="s">
        <v>12714</v>
      </c>
      <c r="G21932" t="s">
        <v>16914</v>
      </c>
      <c r="H21932" t="s">
        <v>26005</v>
      </c>
    </row>
    <row r="21933" spans="1:8">
      <c r="H21933" t="s">
        <v>26006</v>
      </c>
    </row>
    <row r="21934" spans="1:8">
      <c r="H21934" t="s">
        <v>26007</v>
      </c>
    </row>
    <row r="21935" spans="1:8">
      <c r="H21935" t="s">
        <v>26008</v>
      </c>
    </row>
    <row r="21936" spans="1:8">
      <c r="H21936" t="s">
        <v>26009</v>
      </c>
    </row>
    <row r="21937" spans="1:8">
      <c r="A21937" t="s">
        <v>884</v>
      </c>
      <c r="B21937">
        <f>HYPERLINK("https://android.googlesource.com/platform/cts/+/a0c6f39a65e5db0a01ef1216447e5ca838032aef", "a0c6f39a65e5db0a01ef1216447e5ca838032aef")</f>
        <v>0</v>
      </c>
      <c r="C21937">
        <f>HYPERLINK("https://android.googlesource.com/platform/cts/+/7f5422a0771a47a2a4c589e0eb6b63cb0839ead6", "7f5422a0771a47a2a4c589e0eb6b63cb0839ead6")</f>
        <v>0</v>
      </c>
      <c r="D21937" t="s">
        <v>5002</v>
      </c>
      <c r="E21937" t="s">
        <v>6665</v>
      </c>
      <c r="F21937" t="s">
        <v>12694</v>
      </c>
      <c r="G21937" t="s">
        <v>16898</v>
      </c>
      <c r="H21937" t="s">
        <v>20244</v>
      </c>
    </row>
    <row r="21938" spans="1:8">
      <c r="H21938" t="s">
        <v>18863</v>
      </c>
    </row>
    <row r="21939" spans="1:8">
      <c r="A21939" t="s">
        <v>885</v>
      </c>
      <c r="B21939">
        <f>HYPERLINK("https://android.googlesource.com/platform/cts/+/7ee56dc03b50548897453f0f0f9d97e19910673c", "7ee56dc03b50548897453f0f0f9d97e19910673c")</f>
        <v>0</v>
      </c>
      <c r="C21939">
        <f>HYPERLINK("https://android.googlesource.com/platform/cts/+/c27314324d6809533ab47e7bfe52efa484189e11", "c27314324d6809533ab47e7bfe52efa484189e11")</f>
        <v>0</v>
      </c>
      <c r="D21939" t="s">
        <v>5002</v>
      </c>
      <c r="E21939" t="s">
        <v>6666</v>
      </c>
      <c r="F21939" t="s">
        <v>12175</v>
      </c>
      <c r="G21939" t="s">
        <v>16915</v>
      </c>
      <c r="H21939" t="s">
        <v>18829</v>
      </c>
    </row>
    <row r="21940" spans="1:8">
      <c r="H21940" t="s">
        <v>21360</v>
      </c>
    </row>
    <row r="21941" spans="1:8">
      <c r="H21941" t="s">
        <v>26010</v>
      </c>
    </row>
    <row r="21942" spans="1:8">
      <c r="H21942" t="s">
        <v>26011</v>
      </c>
    </row>
    <row r="21943" spans="1:8">
      <c r="H21943" t="s">
        <v>26012</v>
      </c>
    </row>
    <row r="21944" spans="1:8">
      <c r="H21944" t="s">
        <v>26013</v>
      </c>
    </row>
    <row r="21945" spans="1:8">
      <c r="H21945" t="s">
        <v>26014</v>
      </c>
    </row>
    <row r="21946" spans="1:8">
      <c r="H21946" t="s">
        <v>26015</v>
      </c>
    </row>
    <row r="21947" spans="1:8">
      <c r="H21947" t="s">
        <v>26016</v>
      </c>
    </row>
    <row r="21948" spans="1:8">
      <c r="H21948" t="s">
        <v>26017</v>
      </c>
    </row>
    <row r="21949" spans="1:8">
      <c r="H21949" t="s">
        <v>26018</v>
      </c>
    </row>
    <row r="21950" spans="1:8">
      <c r="H21950" t="s">
        <v>26019</v>
      </c>
    </row>
    <row r="21951" spans="1:8">
      <c r="H21951" t="s">
        <v>26020</v>
      </c>
    </row>
    <row r="21952" spans="1:8">
      <c r="H21952" t="s">
        <v>26021</v>
      </c>
    </row>
    <row r="21953" spans="8:8">
      <c r="H21953" t="s">
        <v>26022</v>
      </c>
    </row>
    <row r="21954" spans="8:8">
      <c r="H21954" t="s">
        <v>26023</v>
      </c>
    </row>
    <row r="21955" spans="8:8">
      <c r="H21955" t="s">
        <v>26024</v>
      </c>
    </row>
    <row r="21956" spans="8:8">
      <c r="H21956" t="s">
        <v>26025</v>
      </c>
    </row>
    <row r="21957" spans="8:8">
      <c r="H21957" t="s">
        <v>26026</v>
      </c>
    </row>
    <row r="21958" spans="8:8">
      <c r="H21958" t="s">
        <v>26027</v>
      </c>
    </row>
    <row r="21959" spans="8:8">
      <c r="H21959" t="s">
        <v>26028</v>
      </c>
    </row>
    <row r="21960" spans="8:8">
      <c r="H21960" t="s">
        <v>26029</v>
      </c>
    </row>
    <row r="21961" spans="8:8">
      <c r="H21961" t="s">
        <v>26030</v>
      </c>
    </row>
    <row r="21962" spans="8:8">
      <c r="H21962" t="s">
        <v>26031</v>
      </c>
    </row>
    <row r="21963" spans="8:8">
      <c r="H21963" t="s">
        <v>26032</v>
      </c>
    </row>
    <row r="21964" spans="8:8">
      <c r="H21964" t="s">
        <v>26033</v>
      </c>
    </row>
    <row r="21965" spans="8:8">
      <c r="H21965" t="s">
        <v>26034</v>
      </c>
    </row>
    <row r="21966" spans="8:8">
      <c r="H21966" t="s">
        <v>26035</v>
      </c>
    </row>
    <row r="21967" spans="8:8">
      <c r="H21967" t="s">
        <v>26036</v>
      </c>
    </row>
    <row r="21968" spans="8:8">
      <c r="H21968" t="s">
        <v>26037</v>
      </c>
    </row>
    <row r="21969" spans="8:8">
      <c r="H21969" t="s">
        <v>26038</v>
      </c>
    </row>
    <row r="21970" spans="8:8">
      <c r="H21970" t="s">
        <v>26039</v>
      </c>
    </row>
    <row r="21971" spans="8:8">
      <c r="H21971" t="s">
        <v>26040</v>
      </c>
    </row>
    <row r="21972" spans="8:8">
      <c r="H21972" t="s">
        <v>26041</v>
      </c>
    </row>
    <row r="21973" spans="8:8">
      <c r="H21973" t="s">
        <v>26042</v>
      </c>
    </row>
    <row r="21974" spans="8:8">
      <c r="H21974" t="s">
        <v>26043</v>
      </c>
    </row>
    <row r="21975" spans="8:8">
      <c r="H21975" t="s">
        <v>26044</v>
      </c>
    </row>
    <row r="21976" spans="8:8">
      <c r="H21976" t="s">
        <v>26045</v>
      </c>
    </row>
    <row r="21977" spans="8:8">
      <c r="H21977" t="s">
        <v>26046</v>
      </c>
    </row>
    <row r="21978" spans="8:8">
      <c r="H21978" t="s">
        <v>26047</v>
      </c>
    </row>
    <row r="21979" spans="8:8">
      <c r="H21979" t="s">
        <v>26048</v>
      </c>
    </row>
    <row r="21980" spans="8:8">
      <c r="H21980" t="s">
        <v>26049</v>
      </c>
    </row>
    <row r="21981" spans="8:8">
      <c r="H21981" t="s">
        <v>26050</v>
      </c>
    </row>
    <row r="21982" spans="8:8">
      <c r="H21982" t="s">
        <v>26051</v>
      </c>
    </row>
    <row r="21983" spans="8:8">
      <c r="H21983" t="s">
        <v>26052</v>
      </c>
    </row>
    <row r="21984" spans="8:8">
      <c r="H21984" t="s">
        <v>26053</v>
      </c>
    </row>
    <row r="21985" spans="1:8">
      <c r="H21985" t="s">
        <v>26054</v>
      </c>
    </row>
    <row r="21986" spans="1:8">
      <c r="H21986" t="s">
        <v>26055</v>
      </c>
    </row>
    <row r="21987" spans="1:8">
      <c r="H21987" t="s">
        <v>26056</v>
      </c>
    </row>
    <row r="21988" spans="1:8">
      <c r="H21988" t="s">
        <v>26057</v>
      </c>
    </row>
    <row r="21989" spans="1:8">
      <c r="H21989" t="s">
        <v>26058</v>
      </c>
    </row>
    <row r="21990" spans="1:8">
      <c r="H21990" t="s">
        <v>26059</v>
      </c>
    </row>
    <row r="21991" spans="1:8">
      <c r="H21991" t="s">
        <v>26060</v>
      </c>
    </row>
    <row r="21992" spans="1:8">
      <c r="H21992" t="s">
        <v>26061</v>
      </c>
    </row>
    <row r="21993" spans="1:8">
      <c r="H21993" t="s">
        <v>26062</v>
      </c>
    </row>
    <row r="21994" spans="1:8">
      <c r="A21994" t="s">
        <v>886</v>
      </c>
      <c r="B21994">
        <f>HYPERLINK("https://android.googlesource.com/platform/cts/+/7f70ff05c578db6bf7ef6d51563a440d9afe6a91", "7f70ff05c578db6bf7ef6d51563a440d9afe6a91")</f>
        <v>0</v>
      </c>
      <c r="C21994">
        <f>HYPERLINK("https://android.googlesource.com/platform/cts/+/88137b334ea55a358860a470da58b0b8989acc3a", "88137b334ea55a358860a470da58b0b8989acc3a")</f>
        <v>0</v>
      </c>
      <c r="D21994" t="s">
        <v>5113</v>
      </c>
      <c r="E21994" t="s">
        <v>6667</v>
      </c>
      <c r="F21994" t="s">
        <v>12173</v>
      </c>
      <c r="G21994" t="s">
        <v>16412</v>
      </c>
      <c r="H21994" t="s">
        <v>26063</v>
      </c>
    </row>
    <row r="21995" spans="1:8">
      <c r="A21995" t="s">
        <v>887</v>
      </c>
      <c r="B21995">
        <f>HYPERLINK("https://android.googlesource.com/platform/cts/+/720504c7f1b8135bb4a37e2e7d2be1d3fef98654", "720504c7f1b8135bb4a37e2e7d2be1d3fef98654")</f>
        <v>0</v>
      </c>
      <c r="C21995">
        <f>HYPERLINK("https://android.googlesource.com/platform/cts/+/7f70ff05c578db6bf7ef6d51563a440d9afe6a91", "7f70ff05c578db6bf7ef6d51563a440d9afe6a91")</f>
        <v>0</v>
      </c>
      <c r="D21995" t="s">
        <v>5113</v>
      </c>
      <c r="E21995" t="s">
        <v>6668</v>
      </c>
      <c r="F21995" t="s">
        <v>12173</v>
      </c>
      <c r="G21995" t="s">
        <v>16412</v>
      </c>
      <c r="H21995" t="s">
        <v>26064</v>
      </c>
    </row>
    <row r="21996" spans="1:8">
      <c r="A21996" t="s">
        <v>888</v>
      </c>
      <c r="B21996">
        <f>HYPERLINK("https://android.googlesource.com/platform/cts/+/ac512edf60522e34d086398a773c02d1383bd07e", "ac512edf60522e34d086398a773c02d1383bd07e")</f>
        <v>0</v>
      </c>
      <c r="C21996">
        <f>HYPERLINK("https://android.googlesource.com/platform/cts/+/666fd82bed2f774757b4b706d2b4878d2a425a08", "666fd82bed2f774757b4b706d2b4878d2a425a08")</f>
        <v>0</v>
      </c>
      <c r="D21996" t="s">
        <v>5002</v>
      </c>
      <c r="E21996" t="s">
        <v>6669</v>
      </c>
      <c r="F21996" t="s">
        <v>12715</v>
      </c>
      <c r="G21996" t="s">
        <v>15144</v>
      </c>
      <c r="H21996" t="s">
        <v>20244</v>
      </c>
    </row>
    <row r="21997" spans="1:8">
      <c r="H21997" t="s">
        <v>26065</v>
      </c>
    </row>
    <row r="21998" spans="1:8">
      <c r="A21998" t="s">
        <v>889</v>
      </c>
      <c r="B21998">
        <f>HYPERLINK("https://android.googlesource.com/platform/cts/+/53d2671f2aac00abddd5648d8c4e1c29ee00efc5", "53d2671f2aac00abddd5648d8c4e1c29ee00efc5")</f>
        <v>0</v>
      </c>
      <c r="C21998">
        <f>HYPERLINK("https://android.googlesource.com/platform/cts/+/b08f69d66e75e14842bdcbdede68bff3bdd908b0", "b08f69d66e75e14842bdcbdede68bff3bdd908b0")</f>
        <v>0</v>
      </c>
      <c r="D21998" t="s">
        <v>5094</v>
      </c>
      <c r="E21998" t="s">
        <v>6670</v>
      </c>
      <c r="F21998" t="s">
        <v>12716</v>
      </c>
      <c r="G21998" t="s">
        <v>16916</v>
      </c>
      <c r="H21998" t="s">
        <v>26066</v>
      </c>
    </row>
    <row r="21999" spans="1:8">
      <c r="H21999" t="s">
        <v>26067</v>
      </c>
    </row>
    <row r="22000" spans="1:8">
      <c r="A22000" t="s">
        <v>890</v>
      </c>
      <c r="B22000">
        <f>HYPERLINK("https://android.googlesource.com/platform/cts/+/921cc7713ca69796cd8249e063298956ad9c7fd4", "921cc7713ca69796cd8249e063298956ad9c7fd4")</f>
        <v>0</v>
      </c>
      <c r="C22000">
        <f>HYPERLINK("https://android.googlesource.com/platform/cts/+/2984e627bed0bb9e27da6c3cb89180ae7bbab759", "2984e627bed0bb9e27da6c3cb89180ae7bbab759")</f>
        <v>0</v>
      </c>
      <c r="D22000" t="s">
        <v>5114</v>
      </c>
      <c r="E22000" t="s">
        <v>6671</v>
      </c>
      <c r="F22000" t="s">
        <v>12717</v>
      </c>
      <c r="G22000" t="s">
        <v>16917</v>
      </c>
      <c r="H22000" t="s">
        <v>26068</v>
      </c>
    </row>
    <row r="22001" spans="1:8">
      <c r="A22001" t="s">
        <v>891</v>
      </c>
      <c r="B22001">
        <f>HYPERLINK("https://android.googlesource.com/platform/cts/+/fb9c06c26aab7ed684b97767ae7290aa8ee63fea", "fb9c06c26aab7ed684b97767ae7290aa8ee63fea")</f>
        <v>0</v>
      </c>
      <c r="C22001">
        <f>HYPERLINK("https://android.googlesource.com/platform/cts/+/f7d279345d2a97e638b25a8975f05984b1ac8726", "f7d279345d2a97e638b25a8975f05984b1ac8726")</f>
        <v>0</v>
      </c>
      <c r="D22001" t="s">
        <v>5115</v>
      </c>
      <c r="E22001" t="s">
        <v>6672</v>
      </c>
      <c r="F22001" t="s">
        <v>12718</v>
      </c>
      <c r="G22001" t="s">
        <v>16918</v>
      </c>
      <c r="H22001" t="s">
        <v>18829</v>
      </c>
    </row>
    <row r="22002" spans="1:8">
      <c r="H22002" t="s">
        <v>26069</v>
      </c>
    </row>
    <row r="22003" spans="1:8">
      <c r="H22003" t="s">
        <v>26070</v>
      </c>
    </row>
    <row r="22004" spans="1:8">
      <c r="H22004" t="s">
        <v>26071</v>
      </c>
    </row>
    <row r="22005" spans="1:8">
      <c r="H22005" t="s">
        <v>26072</v>
      </c>
    </row>
    <row r="22006" spans="1:8">
      <c r="F22006" t="s">
        <v>12719</v>
      </c>
      <c r="G22006" t="s">
        <v>16919</v>
      </c>
      <c r="H22006" t="s">
        <v>18829</v>
      </c>
    </row>
    <row r="22007" spans="1:8">
      <c r="H22007" t="s">
        <v>26073</v>
      </c>
    </row>
    <row r="22008" spans="1:8">
      <c r="A22008" t="s">
        <v>892</v>
      </c>
      <c r="B22008">
        <f>HYPERLINK("https://android.googlesource.com/platform/cts/+/cdff076b35898bc9649f3fe4fcafc265022b4acb", "cdff076b35898bc9649f3fe4fcafc265022b4acb")</f>
        <v>0</v>
      </c>
      <c r="C22008">
        <f>HYPERLINK("https://android.googlesource.com/platform/cts/+/c87c845e78c253d88ce4fbac03d9bc62b6bd056d", "c87c845e78c253d88ce4fbac03d9bc62b6bd056d")</f>
        <v>0</v>
      </c>
      <c r="D22008" t="s">
        <v>5115</v>
      </c>
      <c r="E22008" t="s">
        <v>6673</v>
      </c>
      <c r="F22008" t="s">
        <v>12720</v>
      </c>
      <c r="G22008" t="s">
        <v>16920</v>
      </c>
      <c r="H22008" t="s">
        <v>26074</v>
      </c>
    </row>
    <row r="22009" spans="1:8">
      <c r="F22009" t="s">
        <v>12721</v>
      </c>
      <c r="G22009" t="s">
        <v>16920</v>
      </c>
      <c r="H22009" t="s">
        <v>26074</v>
      </c>
    </row>
    <row r="22010" spans="1:8">
      <c r="F22010" t="s">
        <v>12722</v>
      </c>
      <c r="G22010" t="s">
        <v>16920</v>
      </c>
      <c r="H22010" t="s">
        <v>26074</v>
      </c>
    </row>
    <row r="22011" spans="1:8">
      <c r="F22011" t="s">
        <v>12723</v>
      </c>
      <c r="G22011" t="s">
        <v>16920</v>
      </c>
      <c r="H22011" t="s">
        <v>26074</v>
      </c>
    </row>
    <row r="22012" spans="1:8">
      <c r="F22012" t="s">
        <v>12724</v>
      </c>
      <c r="G22012" t="s">
        <v>16920</v>
      </c>
      <c r="H22012" t="s">
        <v>26074</v>
      </c>
    </row>
    <row r="22013" spans="1:8">
      <c r="A22013" t="s">
        <v>893</v>
      </c>
      <c r="B22013">
        <f>HYPERLINK("https://android.googlesource.com/platform/cts/+/71ba78d1aa3f3f9ff87ba98f1534a375fafa2eb4", "71ba78d1aa3f3f9ff87ba98f1534a375fafa2eb4")</f>
        <v>0</v>
      </c>
      <c r="C22013">
        <f>HYPERLINK("https://android.googlesource.com/platform/cts/+/269497c34fdbf59a131021367d723f5548c16b0f", "269497c34fdbf59a131021367d723f5548c16b0f")</f>
        <v>0</v>
      </c>
      <c r="D22013" t="s">
        <v>5116</v>
      </c>
      <c r="E22013" t="s">
        <v>6674</v>
      </c>
      <c r="F22013" t="s">
        <v>12725</v>
      </c>
      <c r="G22013" t="s">
        <v>16825</v>
      </c>
      <c r="H22013" t="s">
        <v>26075</v>
      </c>
    </row>
    <row r="22014" spans="1:8">
      <c r="H22014" t="s">
        <v>18829</v>
      </c>
    </row>
    <row r="22015" spans="1:8">
      <c r="H22015" t="s">
        <v>18863</v>
      </c>
    </row>
    <row r="22016" spans="1:8">
      <c r="H22016" t="s">
        <v>26076</v>
      </c>
    </row>
    <row r="22017" spans="1:8">
      <c r="H22017" t="s">
        <v>25644</v>
      </c>
    </row>
    <row r="22018" spans="1:8">
      <c r="F22018" t="s">
        <v>12726</v>
      </c>
      <c r="G22018" t="s">
        <v>16921</v>
      </c>
      <c r="H22018" t="s">
        <v>20083</v>
      </c>
    </row>
    <row r="22019" spans="1:8">
      <c r="A22019" t="s">
        <v>894</v>
      </c>
      <c r="B22019">
        <f>HYPERLINK("https://android.googlesource.com/platform/cts/+/bf2b39b52934c754024d426b069ace1719d4f7ce", "bf2b39b52934c754024d426b069ace1719d4f7ce")</f>
        <v>0</v>
      </c>
      <c r="C22019">
        <f>HYPERLINK("https://android.googlesource.com/platform/cts/+/a36acb55ca5a134b3bbae31d74b524ce0272dbdf", "a36acb55ca5a134b3bbae31d74b524ce0272dbdf")</f>
        <v>0</v>
      </c>
      <c r="D22019" t="s">
        <v>5115</v>
      </c>
      <c r="E22019" t="s">
        <v>6675</v>
      </c>
      <c r="F22019" t="s">
        <v>12727</v>
      </c>
      <c r="G22019" t="s">
        <v>16922</v>
      </c>
      <c r="H22019" t="s">
        <v>18829</v>
      </c>
    </row>
    <row r="22020" spans="1:8">
      <c r="H22020" t="s">
        <v>26077</v>
      </c>
    </row>
    <row r="22021" spans="1:8">
      <c r="H22021" t="s">
        <v>26078</v>
      </c>
    </row>
    <row r="22022" spans="1:8">
      <c r="H22022" t="s">
        <v>26079</v>
      </c>
    </row>
    <row r="22023" spans="1:8">
      <c r="H22023" t="s">
        <v>26080</v>
      </c>
    </row>
    <row r="22024" spans="1:8">
      <c r="F22024" t="s">
        <v>12728</v>
      </c>
      <c r="G22024" t="s">
        <v>16923</v>
      </c>
      <c r="H22024" t="s">
        <v>18829</v>
      </c>
    </row>
    <row r="22025" spans="1:8">
      <c r="H22025" t="s">
        <v>26081</v>
      </c>
    </row>
    <row r="22026" spans="1:8">
      <c r="H22026" t="s">
        <v>26082</v>
      </c>
    </row>
    <row r="22027" spans="1:8">
      <c r="H22027" t="s">
        <v>26083</v>
      </c>
    </row>
    <row r="22028" spans="1:8">
      <c r="H22028" t="s">
        <v>26084</v>
      </c>
    </row>
    <row r="22029" spans="1:8">
      <c r="A22029" t="s">
        <v>895</v>
      </c>
      <c r="B22029">
        <f>HYPERLINK("https://android.googlesource.com/platform/cts/+/a41d49723a200eec6af9c9504a961cb2df306295", "a41d49723a200eec6af9c9504a961cb2df306295")</f>
        <v>0</v>
      </c>
      <c r="C22029">
        <f>HYPERLINK("https://android.googlesource.com/platform/cts/+/b54aa51c35a40855fd6fae092a831a7807f39ea2", "b54aa51c35a40855fd6fae092a831a7807f39ea2")</f>
        <v>0</v>
      </c>
      <c r="D22029" t="s">
        <v>5079</v>
      </c>
      <c r="E22029" t="s">
        <v>6676</v>
      </c>
      <c r="F22029" t="s">
        <v>12716</v>
      </c>
      <c r="G22029" t="s">
        <v>16916</v>
      </c>
      <c r="H22029" t="s">
        <v>26066</v>
      </c>
    </row>
    <row r="22030" spans="1:8">
      <c r="H22030" t="s">
        <v>26067</v>
      </c>
    </row>
    <row r="22031" spans="1:8">
      <c r="F22031" t="s">
        <v>12701</v>
      </c>
      <c r="G22031" t="s">
        <v>16904</v>
      </c>
      <c r="H22031" t="s">
        <v>22678</v>
      </c>
    </row>
    <row r="22032" spans="1:8">
      <c r="H22032" t="s">
        <v>18829</v>
      </c>
    </row>
    <row r="22033" spans="6:8">
      <c r="H22033" t="s">
        <v>18863</v>
      </c>
    </row>
    <row r="22034" spans="6:8">
      <c r="H22034" t="s">
        <v>25567</v>
      </c>
    </row>
    <row r="22035" spans="6:8">
      <c r="H22035" t="s">
        <v>25989</v>
      </c>
    </row>
    <row r="22036" spans="6:8">
      <c r="H22036" t="s">
        <v>25990</v>
      </c>
    </row>
    <row r="22037" spans="6:8">
      <c r="H22037" t="s">
        <v>25991</v>
      </c>
    </row>
    <row r="22038" spans="6:8">
      <c r="H22038" t="s">
        <v>25568</v>
      </c>
    </row>
    <row r="22039" spans="6:8">
      <c r="H22039" t="s">
        <v>25569</v>
      </c>
    </row>
    <row r="22040" spans="6:8">
      <c r="H22040" t="s">
        <v>25570</v>
      </c>
    </row>
    <row r="22041" spans="6:8">
      <c r="F22041" t="s">
        <v>12629</v>
      </c>
      <c r="G22041" t="s">
        <v>16838</v>
      </c>
      <c r="H22041" t="s">
        <v>25992</v>
      </c>
    </row>
    <row r="22042" spans="6:8">
      <c r="F22042" t="s">
        <v>12707</v>
      </c>
      <c r="G22042" t="s">
        <v>16909</v>
      </c>
      <c r="H22042" t="s">
        <v>25999</v>
      </c>
    </row>
    <row r="22043" spans="6:8">
      <c r="F22043" t="s">
        <v>12386</v>
      </c>
      <c r="G22043" t="s">
        <v>16611</v>
      </c>
      <c r="H22043" t="s">
        <v>25839</v>
      </c>
    </row>
    <row r="22044" spans="6:8">
      <c r="F22044" t="s">
        <v>12702</v>
      </c>
      <c r="G22044" t="s">
        <v>16905</v>
      </c>
      <c r="H22044" t="s">
        <v>25993</v>
      </c>
    </row>
    <row r="22045" spans="6:8">
      <c r="F22045" t="s">
        <v>12622</v>
      </c>
      <c r="G22045" t="s">
        <v>16832</v>
      </c>
      <c r="H22045" t="s">
        <v>25994</v>
      </c>
    </row>
    <row r="22046" spans="6:8">
      <c r="H22046" t="s">
        <v>25995</v>
      </c>
    </row>
    <row r="22047" spans="6:8">
      <c r="F22047" t="s">
        <v>12703</v>
      </c>
      <c r="G22047" t="s">
        <v>16906</v>
      </c>
      <c r="H22047" t="s">
        <v>18863</v>
      </c>
    </row>
    <row r="22048" spans="6:8">
      <c r="H22048" t="s">
        <v>26004</v>
      </c>
    </row>
    <row r="22049" spans="1:8">
      <c r="A22049" t="s">
        <v>896</v>
      </c>
      <c r="B22049">
        <f>HYPERLINK("https://android.googlesource.com/platform/cts/+/bb53f6fc166a61239c16d1038210e58eb2f8263e", "bb53f6fc166a61239c16d1038210e58eb2f8263e")</f>
        <v>0</v>
      </c>
      <c r="C22049">
        <f>HYPERLINK("https://android.googlesource.com/platform/cts/+/17a7df949cb7288fe9cf52b89e371d0fc802c65f", "17a7df949cb7288fe9cf52b89e371d0fc802c65f")</f>
        <v>0</v>
      </c>
      <c r="D22049" t="s">
        <v>5029</v>
      </c>
      <c r="E22049" t="s">
        <v>6677</v>
      </c>
      <c r="F22049" t="s">
        <v>12327</v>
      </c>
      <c r="G22049" t="s">
        <v>16557</v>
      </c>
      <c r="H22049" t="s">
        <v>19075</v>
      </c>
    </row>
    <row r="22050" spans="1:8">
      <c r="A22050" t="s">
        <v>897</v>
      </c>
      <c r="B22050">
        <f>HYPERLINK("https://android.googlesource.com/platform/cts/+/c12f929f29d662edf9cdaf54fc692c117c891e06", "c12f929f29d662edf9cdaf54fc692c117c891e06")</f>
        <v>0</v>
      </c>
      <c r="C22050">
        <f>HYPERLINK("https://android.googlesource.com/platform/cts/+/0689c24229072071cfe5c4fa89e27b815e506523", "0689c24229072071cfe5c4fa89e27b815e506523")</f>
        <v>0</v>
      </c>
      <c r="D22050" t="s">
        <v>5002</v>
      </c>
      <c r="E22050" t="s">
        <v>6678</v>
      </c>
      <c r="F22050" t="s">
        <v>12634</v>
      </c>
      <c r="G22050" t="s">
        <v>16843</v>
      </c>
      <c r="H22050" t="s">
        <v>26085</v>
      </c>
    </row>
    <row r="22051" spans="1:8">
      <c r="F22051" t="s">
        <v>12662</v>
      </c>
      <c r="G22051" t="s">
        <v>16867</v>
      </c>
      <c r="H22051" t="s">
        <v>26086</v>
      </c>
    </row>
    <row r="22052" spans="1:8">
      <c r="H22052" t="s">
        <v>26087</v>
      </c>
    </row>
    <row r="22053" spans="1:8">
      <c r="H22053" t="s">
        <v>26088</v>
      </c>
    </row>
    <row r="22054" spans="1:8">
      <c r="H22054" t="s">
        <v>26089</v>
      </c>
    </row>
    <row r="22055" spans="1:8">
      <c r="H22055" t="s">
        <v>21326</v>
      </c>
    </row>
    <row r="22056" spans="1:8">
      <c r="H22056" t="s">
        <v>26090</v>
      </c>
    </row>
    <row r="22057" spans="1:8">
      <c r="H22057" t="s">
        <v>21254</v>
      </c>
    </row>
    <row r="22058" spans="1:8">
      <c r="H22058" t="s">
        <v>26091</v>
      </c>
    </row>
    <row r="22059" spans="1:8">
      <c r="H22059" t="s">
        <v>26092</v>
      </c>
    </row>
    <row r="22060" spans="1:8">
      <c r="H22060" t="s">
        <v>26093</v>
      </c>
    </row>
    <row r="22061" spans="1:8">
      <c r="H22061" t="s">
        <v>26094</v>
      </c>
    </row>
    <row r="22062" spans="1:8">
      <c r="H22062" t="s">
        <v>25681</v>
      </c>
    </row>
    <row r="22063" spans="1:8">
      <c r="H22063" t="s">
        <v>26095</v>
      </c>
    </row>
    <row r="22064" spans="1:8">
      <c r="H22064" t="s">
        <v>26096</v>
      </c>
    </row>
    <row r="22065" spans="1:8">
      <c r="H22065" t="s">
        <v>24168</v>
      </c>
    </row>
    <row r="22066" spans="1:8">
      <c r="A22066" t="s">
        <v>898</v>
      </c>
      <c r="B22066">
        <f>HYPERLINK("https://android.googlesource.com/platform/cts/+/5cea83fde63e8dd77b79d5675e9ab719321f0d95", "5cea83fde63e8dd77b79d5675e9ab719321f0d95")</f>
        <v>0</v>
      </c>
      <c r="C22066">
        <f>HYPERLINK("https://android.googlesource.com/platform/cts/+/91c8fc48eaaae4cc3179f581bf12cc3ca8790584", "91c8fc48eaaae4cc3179f581bf12cc3ca8790584")</f>
        <v>0</v>
      </c>
      <c r="D22066" t="s">
        <v>5117</v>
      </c>
      <c r="E22066" t="s">
        <v>6679</v>
      </c>
      <c r="F22066" t="s">
        <v>12246</v>
      </c>
      <c r="G22066" t="s">
        <v>16477</v>
      </c>
      <c r="H22066" t="s">
        <v>26097</v>
      </c>
    </row>
    <row r="22067" spans="1:8">
      <c r="H22067" t="s">
        <v>26098</v>
      </c>
    </row>
    <row r="22068" spans="1:8">
      <c r="A22068" t="s">
        <v>899</v>
      </c>
      <c r="B22068">
        <f>HYPERLINK("https://android.googlesource.com/platform/cts/+/afa94ea2a9c9e1bd2db4e9c3536821eee79dee6c", "afa94ea2a9c9e1bd2db4e9c3536821eee79dee6c")</f>
        <v>0</v>
      </c>
      <c r="C22068">
        <f>HYPERLINK("https://android.googlesource.com/platform/cts/+/eefc845878e8586207a84257a72e37e4ef4e295f", "eefc845878e8586207a84257a72e37e4ef4e295f")</f>
        <v>0</v>
      </c>
      <c r="D22068" t="s">
        <v>5002</v>
      </c>
      <c r="E22068" t="s">
        <v>6680</v>
      </c>
      <c r="F22068" t="s">
        <v>12729</v>
      </c>
      <c r="G22068" t="s">
        <v>16924</v>
      </c>
      <c r="H22068" t="s">
        <v>26099</v>
      </c>
    </row>
    <row r="22069" spans="1:8">
      <c r="H22069" t="s">
        <v>26100</v>
      </c>
    </row>
    <row r="22070" spans="1:8">
      <c r="F22070" t="s">
        <v>12708</v>
      </c>
      <c r="G22070" t="s">
        <v>15044</v>
      </c>
      <c r="H22070" t="s">
        <v>26101</v>
      </c>
    </row>
    <row r="22071" spans="1:8">
      <c r="A22071" t="s">
        <v>900</v>
      </c>
      <c r="B22071">
        <f>HYPERLINK("https://android.googlesource.com/platform/cts/+/86e075d2d4634e583f62d7e0722235600439050e", "86e075d2d4634e583f62d7e0722235600439050e")</f>
        <v>0</v>
      </c>
      <c r="C22071">
        <f>HYPERLINK("https://android.googlesource.com/platform/cts/+/a91da6c8f35258c7f03957f298d8b0a1d1f4264e", "a91da6c8f35258c7f03957f298d8b0a1d1f4264e")</f>
        <v>0</v>
      </c>
      <c r="D22071" t="s">
        <v>5117</v>
      </c>
      <c r="E22071" t="s">
        <v>6681</v>
      </c>
      <c r="F22071" t="s">
        <v>12246</v>
      </c>
      <c r="G22071" t="s">
        <v>16477</v>
      </c>
      <c r="H22071" t="s">
        <v>26102</v>
      </c>
    </row>
    <row r="22072" spans="1:8">
      <c r="A22072" t="s">
        <v>901</v>
      </c>
      <c r="B22072">
        <f>HYPERLINK("https://android.googlesource.com/platform/cts/+/e989c0c16d0ff19ee509c994d0099181117ae3db", "e989c0c16d0ff19ee509c994d0099181117ae3db")</f>
        <v>0</v>
      </c>
      <c r="C22072">
        <f>HYPERLINK("https://android.googlesource.com/platform/cts/+/d8972ff406ad5af7c281ba88c184690aaf6e43c6", "d8972ff406ad5af7c281ba88c184690aaf6e43c6")</f>
        <v>0</v>
      </c>
      <c r="D22072" t="s">
        <v>5115</v>
      </c>
      <c r="E22072" t="s">
        <v>6682</v>
      </c>
      <c r="F22072" t="s">
        <v>12730</v>
      </c>
      <c r="G22072" t="s">
        <v>16925</v>
      </c>
      <c r="H22072" t="s">
        <v>18829</v>
      </c>
    </row>
    <row r="22073" spans="1:8">
      <c r="H22073" t="s">
        <v>26103</v>
      </c>
    </row>
    <row r="22074" spans="1:8">
      <c r="H22074" t="s">
        <v>26104</v>
      </c>
    </row>
    <row r="22075" spans="1:8">
      <c r="H22075" t="s">
        <v>26105</v>
      </c>
    </row>
    <row r="22076" spans="1:8">
      <c r="H22076" t="s">
        <v>26106</v>
      </c>
    </row>
    <row r="22077" spans="1:8">
      <c r="H22077" t="s">
        <v>26074</v>
      </c>
    </row>
    <row r="22078" spans="1:8">
      <c r="H22078" t="s">
        <v>26107</v>
      </c>
    </row>
    <row r="22079" spans="1:8">
      <c r="H22079" t="s">
        <v>26108</v>
      </c>
    </row>
    <row r="22080" spans="1:8">
      <c r="H22080" t="s">
        <v>26109</v>
      </c>
    </row>
    <row r="22081" spans="1:8">
      <c r="H22081" t="s">
        <v>26110</v>
      </c>
    </row>
    <row r="22082" spans="1:8">
      <c r="H22082" t="s">
        <v>26111</v>
      </c>
    </row>
    <row r="22083" spans="1:8">
      <c r="H22083" t="s">
        <v>26112</v>
      </c>
    </row>
    <row r="22084" spans="1:8">
      <c r="H22084" t="s">
        <v>26113</v>
      </c>
    </row>
    <row r="22085" spans="1:8">
      <c r="H22085" t="s">
        <v>26114</v>
      </c>
    </row>
    <row r="22086" spans="1:8">
      <c r="A22086" t="s">
        <v>902</v>
      </c>
      <c r="B22086">
        <f>HYPERLINK("https://android.googlesource.com/platform/cts/+/92eba402188adeefdcc42c0c0724b359cb8a3f52", "92eba402188adeefdcc42c0c0724b359cb8a3f52")</f>
        <v>0</v>
      </c>
      <c r="C22086">
        <f>HYPERLINK("https://android.googlesource.com/platform/cts/+/b9ac18d7a2bb7775816d265ee33eef636b79a99a", "b9ac18d7a2bb7775816d265ee33eef636b79a99a")</f>
        <v>0</v>
      </c>
      <c r="D22086" t="s">
        <v>5079</v>
      </c>
      <c r="E22086" t="s">
        <v>6683</v>
      </c>
      <c r="F22086" t="s">
        <v>12731</v>
      </c>
      <c r="G22086" t="s">
        <v>16920</v>
      </c>
      <c r="H22086" t="s">
        <v>26115</v>
      </c>
    </row>
    <row r="22087" spans="1:8">
      <c r="H22087" t="s">
        <v>26116</v>
      </c>
    </row>
    <row r="22088" spans="1:8">
      <c r="A22088" t="s">
        <v>903</v>
      </c>
      <c r="B22088">
        <f>HYPERLINK("https://android.googlesource.com/platform/cts/+/be782e94eed4d3892f3b74446a2b4d16a92ec2e6", "be782e94eed4d3892f3b74446a2b4d16a92ec2e6")</f>
        <v>0</v>
      </c>
      <c r="C22088">
        <f>HYPERLINK("https://android.googlesource.com/platform/cts/+/d9efe7ad69a351621f1e0e8282bc182d4b789ca2", "d9efe7ad69a351621f1e0e8282bc182d4b789ca2")</f>
        <v>0</v>
      </c>
      <c r="D22088" t="s">
        <v>4949</v>
      </c>
      <c r="E22088" t="s">
        <v>6684</v>
      </c>
      <c r="F22088" t="s">
        <v>12732</v>
      </c>
      <c r="G22088" t="s">
        <v>16926</v>
      </c>
      <c r="H22088" t="s">
        <v>26117</v>
      </c>
    </row>
    <row r="22089" spans="1:8">
      <c r="A22089" t="s">
        <v>904</v>
      </c>
      <c r="B22089">
        <f>HYPERLINK("https://android.googlesource.com/platform/cts/+/2783f4edc7ad5a05354d02d103b4476387a9ff4a", "2783f4edc7ad5a05354d02d103b4476387a9ff4a")</f>
        <v>0</v>
      </c>
      <c r="C22089">
        <f>HYPERLINK("https://android.googlesource.com/platform/cts/+/4cba52d3b3dd25c247fb2e9210776cdecb05898f", "4cba52d3b3dd25c247fb2e9210776cdecb05898f")</f>
        <v>0</v>
      </c>
      <c r="D22089" t="s">
        <v>5077</v>
      </c>
      <c r="E22089" t="s">
        <v>6685</v>
      </c>
      <c r="F22089" t="s">
        <v>12646</v>
      </c>
      <c r="G22089" t="s">
        <v>14989</v>
      </c>
      <c r="H22089" t="s">
        <v>26118</v>
      </c>
    </row>
    <row r="22090" spans="1:8">
      <c r="A22090" t="s">
        <v>905</v>
      </c>
      <c r="B22090">
        <f>HYPERLINK("https://android.googlesource.com/platform/cts/+/7c62a9afbf1b04af0d63bc6e89fb3bec582fc7ad", "7c62a9afbf1b04af0d63bc6e89fb3bec582fc7ad")</f>
        <v>0</v>
      </c>
      <c r="C22090">
        <f>HYPERLINK("https://android.googlesource.com/platform/cts/+/c623453648faea09d8a9a211672ba868298d8387", "c623453648faea09d8a9a211672ba868298d8387")</f>
        <v>0</v>
      </c>
      <c r="D22090" t="s">
        <v>5118</v>
      </c>
      <c r="E22090" t="s">
        <v>6686</v>
      </c>
      <c r="F22090" t="s">
        <v>12733</v>
      </c>
      <c r="G22090" t="s">
        <v>16854</v>
      </c>
      <c r="H22090" t="s">
        <v>26119</v>
      </c>
    </row>
    <row r="22091" spans="1:8">
      <c r="A22091" t="s">
        <v>906</v>
      </c>
      <c r="B22091">
        <f>HYPERLINK("https://android.googlesource.com/platform/cts/+/e3950f885a38e3dcbe9f81f316a318da083027b4", "e3950f885a38e3dcbe9f81f316a318da083027b4")</f>
        <v>0</v>
      </c>
      <c r="C22091">
        <f>HYPERLINK("https://android.googlesource.com/platform/cts/+/54d0125def33f4a1eff5a1315190de1c2a90d6f6", "54d0125def33f4a1eff5a1315190de1c2a90d6f6")</f>
        <v>0</v>
      </c>
      <c r="D22091" t="s">
        <v>5029</v>
      </c>
      <c r="E22091" t="s">
        <v>6687</v>
      </c>
      <c r="F22091" t="s">
        <v>12734</v>
      </c>
      <c r="G22091" t="s">
        <v>16927</v>
      </c>
      <c r="H22091" t="s">
        <v>26120</v>
      </c>
    </row>
    <row r="22092" spans="1:8">
      <c r="H22092" t="s">
        <v>26121</v>
      </c>
    </row>
    <row r="22093" spans="1:8">
      <c r="A22093" t="s">
        <v>907</v>
      </c>
      <c r="B22093">
        <f>HYPERLINK("https://android.googlesource.com/platform/cts/+/bd78e4da745776d9db0931c82a6c6b6e0a74e566", "bd78e4da745776d9db0931c82a6c6b6e0a74e566")</f>
        <v>0</v>
      </c>
      <c r="C22093">
        <f>HYPERLINK("https://android.googlesource.com/platform/cts/+/53c38327cf3094e650df9293f34571c395c53235", "53c38327cf3094e650df9293f34571c395c53235")</f>
        <v>0</v>
      </c>
      <c r="D22093" t="s">
        <v>5029</v>
      </c>
      <c r="E22093" t="s">
        <v>6688</v>
      </c>
      <c r="F22093" t="s">
        <v>10675</v>
      </c>
      <c r="G22093" t="s">
        <v>15075</v>
      </c>
      <c r="H22093" t="s">
        <v>26122</v>
      </c>
    </row>
    <row r="22094" spans="1:8">
      <c r="H22094" t="s">
        <v>26120</v>
      </c>
    </row>
    <row r="22095" spans="1:8">
      <c r="H22095" t="s">
        <v>26123</v>
      </c>
    </row>
    <row r="22096" spans="1:8">
      <c r="H22096" t="s">
        <v>26124</v>
      </c>
    </row>
    <row r="22097" spans="1:8">
      <c r="H22097" t="s">
        <v>26125</v>
      </c>
    </row>
    <row r="22098" spans="1:8">
      <c r="H22098" t="s">
        <v>26126</v>
      </c>
    </row>
    <row r="22099" spans="1:8">
      <c r="H22099" t="s">
        <v>26127</v>
      </c>
    </row>
    <row r="22100" spans="1:8">
      <c r="H22100" t="s">
        <v>26128</v>
      </c>
    </row>
    <row r="22101" spans="1:8">
      <c r="A22101" t="s">
        <v>908</v>
      </c>
      <c r="B22101">
        <f>HYPERLINK("https://android.googlesource.com/platform/cts/+/a99b6475960cda24ae831596381ef0865622cadd", "a99b6475960cda24ae831596381ef0865622cadd")</f>
        <v>0</v>
      </c>
      <c r="C22101">
        <f>HYPERLINK("https://android.googlesource.com/platform/cts/+/8e430c171911042e8af97fe382169f8a604ff96e", "8e430c171911042e8af97fe382169f8a604ff96e")</f>
        <v>0</v>
      </c>
      <c r="D22101" t="s">
        <v>5085</v>
      </c>
      <c r="E22101" t="s">
        <v>6689</v>
      </c>
      <c r="F22101" t="s">
        <v>12735</v>
      </c>
      <c r="G22101" t="s">
        <v>16928</v>
      </c>
      <c r="H22101" t="s">
        <v>26129</v>
      </c>
    </row>
    <row r="22102" spans="1:8">
      <c r="A22102" t="s">
        <v>909</v>
      </c>
      <c r="B22102">
        <f>HYPERLINK("https://android.googlesource.com/platform/cts/+/9fa97c2663726a5dd1b6ad923baa84be97b3416b", "9fa97c2663726a5dd1b6ad923baa84be97b3416b")</f>
        <v>0</v>
      </c>
      <c r="C22102">
        <f>HYPERLINK("https://android.googlesource.com/platform/cts/+/d1b93e3750f3c23f337473f90c93a9d43aab5443", "d1b93e3750f3c23f337473f90c93a9d43aab5443")</f>
        <v>0</v>
      </c>
      <c r="D22102" t="s">
        <v>5119</v>
      </c>
      <c r="E22102" t="s">
        <v>6690</v>
      </c>
      <c r="F22102" t="s">
        <v>12736</v>
      </c>
      <c r="G22102" t="s">
        <v>16929</v>
      </c>
      <c r="H22102" t="s">
        <v>26130</v>
      </c>
    </row>
    <row r="22103" spans="1:8">
      <c r="A22103" t="s">
        <v>910</v>
      </c>
      <c r="B22103">
        <f>HYPERLINK("https://android.googlesource.com/platform/cts/+/648ca45b75df760f716707b1ecbdd43ab1be221b", "648ca45b75df760f716707b1ecbdd43ab1be221b")</f>
        <v>0</v>
      </c>
      <c r="C22103">
        <f>HYPERLINK("https://android.googlesource.com/platform/cts/+/3d9381b5f96638e447812b312e2fce6b5a7198ca", "3d9381b5f96638e447812b312e2fce6b5a7198ca")</f>
        <v>0</v>
      </c>
      <c r="D22103" t="s">
        <v>5084</v>
      </c>
      <c r="E22103" t="s">
        <v>6691</v>
      </c>
      <c r="F22103" t="s">
        <v>12737</v>
      </c>
      <c r="G22103" t="s">
        <v>16930</v>
      </c>
      <c r="H22103" t="s">
        <v>26131</v>
      </c>
    </row>
    <row r="22104" spans="1:8">
      <c r="A22104" t="s">
        <v>911</v>
      </c>
      <c r="B22104">
        <f>HYPERLINK("https://android.googlesource.com/platform/cts/+/b0c1112c5cbcb837943e0b060f2c8a0400b2158a", "b0c1112c5cbcb837943e0b060f2c8a0400b2158a")</f>
        <v>0</v>
      </c>
      <c r="C22104">
        <f>HYPERLINK("https://android.googlesource.com/platform/cts/+/13c1585464a6ba445180e4d0d7d20aaaa418fcee", "13c1585464a6ba445180e4d0d7d20aaaa418fcee")</f>
        <v>0</v>
      </c>
      <c r="D22104" t="s">
        <v>5120</v>
      </c>
      <c r="E22104" t="s">
        <v>6692</v>
      </c>
      <c r="F22104" t="s">
        <v>12570</v>
      </c>
      <c r="G22104" t="s">
        <v>16786</v>
      </c>
      <c r="H22104" t="s">
        <v>26132</v>
      </c>
    </row>
    <row r="22105" spans="1:8">
      <c r="A22105" t="s">
        <v>912</v>
      </c>
      <c r="B22105">
        <f>HYPERLINK("https://android.googlesource.com/platform/cts/+/326bd0aad9db82b8d867364ad45d09a3968ea635", "326bd0aad9db82b8d867364ad45d09a3968ea635")</f>
        <v>0</v>
      </c>
      <c r="C22105">
        <f>HYPERLINK("https://android.googlesource.com/platform/cts/+/209cd9857903dfd589e1870e37d16917983476eb", "209cd9857903dfd589e1870e37d16917983476eb")</f>
        <v>0</v>
      </c>
      <c r="D22105" t="s">
        <v>4971</v>
      </c>
      <c r="E22105" t="s">
        <v>6693</v>
      </c>
      <c r="F22105" t="s">
        <v>12738</v>
      </c>
      <c r="G22105" t="s">
        <v>16931</v>
      </c>
      <c r="H22105" t="s">
        <v>26133</v>
      </c>
    </row>
    <row r="22106" spans="1:8">
      <c r="H22106" t="s">
        <v>18829</v>
      </c>
    </row>
    <row r="22107" spans="1:8">
      <c r="H22107" t="s">
        <v>26134</v>
      </c>
    </row>
    <row r="22108" spans="1:8">
      <c r="H22108" t="s">
        <v>26135</v>
      </c>
    </row>
    <row r="22109" spans="1:8">
      <c r="H22109" t="s">
        <v>26136</v>
      </c>
    </row>
    <row r="22110" spans="1:8">
      <c r="H22110" t="s">
        <v>26137</v>
      </c>
    </row>
    <row r="22111" spans="1:8">
      <c r="H22111" t="s">
        <v>26138</v>
      </c>
    </row>
    <row r="22112" spans="1:8">
      <c r="H22112" t="s">
        <v>26139</v>
      </c>
    </row>
    <row r="22113" spans="1:8">
      <c r="H22113" t="s">
        <v>26140</v>
      </c>
    </row>
    <row r="22114" spans="1:8">
      <c r="H22114" t="s">
        <v>26141</v>
      </c>
    </row>
    <row r="22115" spans="1:8">
      <c r="H22115" t="s">
        <v>26142</v>
      </c>
    </row>
    <row r="22116" spans="1:8">
      <c r="H22116" t="s">
        <v>26143</v>
      </c>
    </row>
    <row r="22117" spans="1:8">
      <c r="H22117" t="s">
        <v>26144</v>
      </c>
    </row>
    <row r="22118" spans="1:8">
      <c r="H22118" t="s">
        <v>26145</v>
      </c>
    </row>
    <row r="22119" spans="1:8">
      <c r="A22119" t="s">
        <v>913</v>
      </c>
      <c r="B22119">
        <f>HYPERLINK("https://android.googlesource.com/platform/cts/+/3a156530ee9bbaf4bff55580615787bf82761900", "3a156530ee9bbaf4bff55580615787bf82761900")</f>
        <v>0</v>
      </c>
      <c r="C22119">
        <f>HYPERLINK("https://android.googlesource.com/platform/cts/+/3f879d9ba78b6ef520c613166adb6f9640b13df1", "3f879d9ba78b6ef520c613166adb6f9640b13df1")</f>
        <v>0</v>
      </c>
      <c r="D22119" t="s">
        <v>5028</v>
      </c>
      <c r="E22119" t="s">
        <v>6694</v>
      </c>
      <c r="F22119" t="s">
        <v>10701</v>
      </c>
      <c r="G22119" t="s">
        <v>15101</v>
      </c>
      <c r="H22119" t="s">
        <v>26146</v>
      </c>
    </row>
    <row r="22120" spans="1:8">
      <c r="H22120" t="s">
        <v>26147</v>
      </c>
    </row>
    <row r="22121" spans="1:8">
      <c r="A22121" t="s">
        <v>915</v>
      </c>
      <c r="B22121">
        <f>HYPERLINK("https://android.googlesource.com/platform/cts/+/6490c5eb73f40afae5859996c3e0e24dfc6dee65", "6490c5eb73f40afae5859996c3e0e24dfc6dee65")</f>
        <v>0</v>
      </c>
      <c r="C22121">
        <f>HYPERLINK("https://android.googlesource.com/platform/cts/+/63bdefc50570e73db0ce9fef0aa06a0151aa5b78", "63bdefc50570e73db0ce9fef0aa06a0151aa5b78")</f>
        <v>0</v>
      </c>
      <c r="D22121" t="s">
        <v>5121</v>
      </c>
      <c r="E22121" t="s">
        <v>6695</v>
      </c>
      <c r="F22121" t="s">
        <v>10684</v>
      </c>
      <c r="G22121" t="s">
        <v>15084</v>
      </c>
      <c r="H22121" t="s">
        <v>26148</v>
      </c>
    </row>
    <row r="22122" spans="1:8">
      <c r="H22122" t="s">
        <v>26148</v>
      </c>
    </row>
    <row r="22123" spans="1:8">
      <c r="A22123" t="s">
        <v>916</v>
      </c>
      <c r="B22123">
        <f>HYPERLINK("https://android.googlesource.com/platform/cts/+/111872ef1f645a97d88ad3eea750adf05968d5cb", "111872ef1f645a97d88ad3eea750adf05968d5cb")</f>
        <v>0</v>
      </c>
      <c r="C22123">
        <f>HYPERLINK("https://android.googlesource.com/platform/cts/+/455f3da79f8a9ac48e0949bbce9d8f043a16f145", "455f3da79f8a9ac48e0949bbce9d8f043a16f145")</f>
        <v>0</v>
      </c>
      <c r="D22123" t="s">
        <v>5100</v>
      </c>
      <c r="E22123" t="s">
        <v>6696</v>
      </c>
      <c r="F22123" t="s">
        <v>12739</v>
      </c>
      <c r="G22123" t="s">
        <v>15083</v>
      </c>
      <c r="H22123" t="s">
        <v>26148</v>
      </c>
    </row>
    <row r="22124" spans="1:8">
      <c r="H22124" t="s">
        <v>26148</v>
      </c>
    </row>
    <row r="22125" spans="1:8">
      <c r="A22125" t="s">
        <v>917</v>
      </c>
      <c r="B22125">
        <f>HYPERLINK("https://android.googlesource.com/platform/cts/+/dfdf8cc8346b53c22b2980c8275a42660d760164", "dfdf8cc8346b53c22b2980c8275a42660d760164")</f>
        <v>0</v>
      </c>
      <c r="C22125">
        <f>HYPERLINK("https://android.googlesource.com/platform/cts/+/a52bce87a005d089f985262f2cf70d707b7bb18f", "a52bce87a005d089f985262f2cf70d707b7bb18f")</f>
        <v>0</v>
      </c>
      <c r="D22125" t="s">
        <v>5114</v>
      </c>
      <c r="E22125" t="s">
        <v>6697</v>
      </c>
      <c r="F22125" t="s">
        <v>10699</v>
      </c>
      <c r="G22125" t="s">
        <v>15099</v>
      </c>
      <c r="H22125" t="s">
        <v>26149</v>
      </c>
    </row>
    <row r="22126" spans="1:8">
      <c r="A22126" t="s">
        <v>918</v>
      </c>
      <c r="B22126">
        <f>HYPERLINK("https://android.googlesource.com/platform/cts/+/5d26815acc84f83bb9e357bc2b8fc358e7a0baae", "5d26815acc84f83bb9e357bc2b8fc358e7a0baae")</f>
        <v>0</v>
      </c>
      <c r="C22126">
        <f>HYPERLINK("https://android.googlesource.com/platform/cts/+/a124d6aebc5df90e1ac3cea75bafa078d10ca545", "a124d6aebc5df90e1ac3cea75bafa078d10ca545")</f>
        <v>0</v>
      </c>
      <c r="D22126" t="s">
        <v>5040</v>
      </c>
      <c r="E22126" t="s">
        <v>6698</v>
      </c>
      <c r="F22126" t="s">
        <v>12740</v>
      </c>
      <c r="G22126" t="s">
        <v>16932</v>
      </c>
      <c r="H22126" t="s">
        <v>26150</v>
      </c>
    </row>
    <row r="22127" spans="1:8">
      <c r="A22127" t="s">
        <v>919</v>
      </c>
      <c r="B22127">
        <f>HYPERLINK("https://android.googlesource.com/platform/cts/+/227bf2637d48c121b44836d9d10971c05430d804", "227bf2637d48c121b44836d9d10971c05430d804")</f>
        <v>0</v>
      </c>
      <c r="C22127">
        <f>HYPERLINK("https://android.googlesource.com/platform/cts/+/25893824f1793f56c5856807f9f0d5837b5d42bf", "25893824f1793f56c5856807f9f0d5837b5d42bf")</f>
        <v>0</v>
      </c>
      <c r="D22127" t="s">
        <v>5069</v>
      </c>
      <c r="E22127" t="s">
        <v>6699</v>
      </c>
      <c r="F22127" t="s">
        <v>10794</v>
      </c>
      <c r="G22127" t="s">
        <v>15189</v>
      </c>
      <c r="H22127" t="s">
        <v>26151</v>
      </c>
    </row>
    <row r="22128" spans="1:8">
      <c r="A22128" t="s">
        <v>920</v>
      </c>
      <c r="B22128">
        <f>HYPERLINK("https://android.googlesource.com/platform/cts/+/b91667c7cd21ec4c109aac2bf3e0e1e1bd49a4b6", "b91667c7cd21ec4c109aac2bf3e0e1e1bd49a4b6")</f>
        <v>0</v>
      </c>
      <c r="C22128">
        <f>HYPERLINK("https://android.googlesource.com/platform/cts/+/c4366a43ba1f3c90681681b9f998ae66ed705b78", "c4366a43ba1f3c90681681b9f998ae66ed705b78")</f>
        <v>0</v>
      </c>
      <c r="D22128" t="s">
        <v>4981</v>
      </c>
      <c r="E22128" t="s">
        <v>6700</v>
      </c>
      <c r="F22128" t="s">
        <v>12232</v>
      </c>
      <c r="G22128" t="s">
        <v>16462</v>
      </c>
      <c r="H22128" t="s">
        <v>26152</v>
      </c>
    </row>
    <row r="22129" spans="1:8">
      <c r="A22129" t="s">
        <v>922</v>
      </c>
      <c r="B22129">
        <f>HYPERLINK("https://android.googlesource.com/platform/cts/+/f042961722904f40be676c70d7037c659dc324f9", "f042961722904f40be676c70d7037c659dc324f9")</f>
        <v>0</v>
      </c>
      <c r="C22129">
        <f>HYPERLINK("https://android.googlesource.com/platform/cts/+/74f72b8075f4f8700aebfee6acccde5f36965d1f", "74f72b8075f4f8700aebfee6acccde5f36965d1f")</f>
        <v>0</v>
      </c>
      <c r="D22129" t="s">
        <v>5057</v>
      </c>
      <c r="E22129" t="s">
        <v>6701</v>
      </c>
      <c r="F22129" t="s">
        <v>12176</v>
      </c>
      <c r="G22129" t="s">
        <v>16415</v>
      </c>
      <c r="H22129" t="s">
        <v>26153</v>
      </c>
    </row>
    <row r="22130" spans="1:8">
      <c r="F22130" t="s">
        <v>12656</v>
      </c>
      <c r="G22130" t="s">
        <v>16861</v>
      </c>
      <c r="H22130" t="s">
        <v>26154</v>
      </c>
    </row>
    <row r="22131" spans="1:8">
      <c r="H22131" t="s">
        <v>26155</v>
      </c>
    </row>
    <row r="22132" spans="1:8">
      <c r="A22132" t="s">
        <v>923</v>
      </c>
      <c r="B22132">
        <f>HYPERLINK("https://android.googlesource.com/platform/cts/+/65db2da69693e5b80cf7cee06d3a398c9a56f07a", "65db2da69693e5b80cf7cee06d3a398c9a56f07a")</f>
        <v>0</v>
      </c>
      <c r="C22132">
        <f>HYPERLINK("https://android.googlesource.com/platform/cts/+/c4366a43ba1f3c90681681b9f998ae66ed705b78", "c4366a43ba1f3c90681681b9f998ae66ed705b78")</f>
        <v>0</v>
      </c>
      <c r="D22132" t="s">
        <v>5094</v>
      </c>
      <c r="E22132" t="s">
        <v>6702</v>
      </c>
      <c r="F22132" t="s">
        <v>12640</v>
      </c>
      <c r="G22132" t="s">
        <v>16848</v>
      </c>
      <c r="H22132" t="s">
        <v>26156</v>
      </c>
    </row>
    <row r="22133" spans="1:8">
      <c r="A22133" t="s">
        <v>924</v>
      </c>
      <c r="B22133">
        <f>HYPERLINK("https://android.googlesource.com/platform/cts/+/8f8fd3e55348b19c110a54f95d5ae15a315380fe", "8f8fd3e55348b19c110a54f95d5ae15a315380fe")</f>
        <v>0</v>
      </c>
      <c r="C22133">
        <f>HYPERLINK("https://android.googlesource.com/platform/cts/+/ecf8ee4a234b511e4abef4d265d2187bb98b495d", "ecf8ee4a234b511e4abef4d265d2187bb98b495d")</f>
        <v>0</v>
      </c>
      <c r="D22133" t="s">
        <v>5029</v>
      </c>
      <c r="E22133" t="s">
        <v>6703</v>
      </c>
      <c r="F22133" t="s">
        <v>10610</v>
      </c>
      <c r="G22133" t="s">
        <v>15013</v>
      </c>
      <c r="H22133" t="s">
        <v>26157</v>
      </c>
    </row>
    <row r="22134" spans="1:8">
      <c r="A22134" t="s">
        <v>925</v>
      </c>
      <c r="B22134">
        <f>HYPERLINK("https://android.googlesource.com/platform/cts/+/644e30575e0bfd0b0972346059e76d5f16e4c564", "644e30575e0bfd0b0972346059e76d5f16e4c564")</f>
        <v>0</v>
      </c>
      <c r="C22134">
        <f>HYPERLINK("https://android.googlesource.com/platform/cts/+/ecf8ee4a234b511e4abef4d265d2187bb98b495d", "ecf8ee4a234b511e4abef4d265d2187bb98b495d")</f>
        <v>0</v>
      </c>
      <c r="D22134" t="s">
        <v>4973</v>
      </c>
      <c r="E22134" t="s">
        <v>6704</v>
      </c>
      <c r="F22134" t="s">
        <v>12741</v>
      </c>
      <c r="G22134" t="s">
        <v>16933</v>
      </c>
      <c r="H22134" t="s">
        <v>26158</v>
      </c>
    </row>
    <row r="22135" spans="1:8">
      <c r="H22135" t="s">
        <v>26159</v>
      </c>
    </row>
    <row r="22136" spans="1:8">
      <c r="H22136" t="s">
        <v>26160</v>
      </c>
    </row>
    <row r="22137" spans="1:8">
      <c r="A22137" t="s">
        <v>926</v>
      </c>
      <c r="B22137">
        <f>HYPERLINK("https://android.googlesource.com/platform/cts/+/55c7c7f2cea318c56ebe3194708909fbde20e3e6", "55c7c7f2cea318c56ebe3194708909fbde20e3e6")</f>
        <v>0</v>
      </c>
      <c r="C22137">
        <f>HYPERLINK("https://android.googlesource.com/platform/cts/+/75a542318ed766f6d2b651306f4a1d041fa85ee1", "75a542318ed766f6d2b651306f4a1d041fa85ee1")</f>
        <v>0</v>
      </c>
      <c r="D22137" t="s">
        <v>5018</v>
      </c>
      <c r="E22137" t="s">
        <v>6705</v>
      </c>
      <c r="F22137" t="s">
        <v>12619</v>
      </c>
      <c r="G22137" t="s">
        <v>16829</v>
      </c>
      <c r="H22137" t="s">
        <v>26161</v>
      </c>
    </row>
    <row r="22138" spans="1:8">
      <c r="F22138" t="s">
        <v>12697</v>
      </c>
      <c r="G22138" t="s">
        <v>16901</v>
      </c>
      <c r="H22138" t="s">
        <v>26161</v>
      </c>
    </row>
    <row r="22139" spans="1:8">
      <c r="A22139" t="s">
        <v>927</v>
      </c>
      <c r="B22139">
        <f>HYPERLINK("https://android.googlesource.com/platform/cts/+/d711e3d97912467a49915fea4ca0d1a44e9b2b0c", "d711e3d97912467a49915fea4ca0d1a44e9b2b0c")</f>
        <v>0</v>
      </c>
      <c r="C22139">
        <f>HYPERLINK("https://android.googlesource.com/platform/cts/+/4a262f5b34bab95a1b7037dc536126b35471a2ff", "4a262f5b34bab95a1b7037dc536126b35471a2ff")</f>
        <v>0</v>
      </c>
      <c r="D22139" t="s">
        <v>5122</v>
      </c>
      <c r="E22139" t="s">
        <v>6706</v>
      </c>
      <c r="F22139" t="s">
        <v>12608</v>
      </c>
      <c r="G22139" t="s">
        <v>16820</v>
      </c>
      <c r="H22139" t="s">
        <v>26162</v>
      </c>
    </row>
    <row r="22140" spans="1:8">
      <c r="H22140" t="s">
        <v>26163</v>
      </c>
    </row>
    <row r="22141" spans="1:8">
      <c r="H22141" t="s">
        <v>26164</v>
      </c>
    </row>
    <row r="22142" spans="1:8">
      <c r="H22142" t="s">
        <v>26165</v>
      </c>
    </row>
    <row r="22143" spans="1:8">
      <c r="H22143" t="s">
        <v>26166</v>
      </c>
    </row>
    <row r="22144" spans="1:8">
      <c r="H22144" t="s">
        <v>26167</v>
      </c>
    </row>
    <row r="22145" spans="1:8">
      <c r="H22145" t="s">
        <v>26168</v>
      </c>
    </row>
    <row r="22146" spans="1:8">
      <c r="H22146" t="s">
        <v>26169</v>
      </c>
    </row>
    <row r="22147" spans="1:8">
      <c r="H22147" t="s">
        <v>26170</v>
      </c>
    </row>
    <row r="22148" spans="1:8">
      <c r="H22148" t="s">
        <v>26171</v>
      </c>
    </row>
    <row r="22149" spans="1:8">
      <c r="A22149" t="s">
        <v>928</v>
      </c>
      <c r="B22149">
        <f>HYPERLINK("https://android.googlesource.com/platform/cts/+/fca666e9af8d4d98e63cb4d391f27c362bd454a8", "fca666e9af8d4d98e63cb4d391f27c362bd454a8")</f>
        <v>0</v>
      </c>
      <c r="C22149">
        <f>HYPERLINK("https://android.googlesource.com/platform/cts/+/d711e3d97912467a49915fea4ca0d1a44e9b2b0c", "d711e3d97912467a49915fea4ca0d1a44e9b2b0c")</f>
        <v>0</v>
      </c>
      <c r="D22149" t="s">
        <v>5018</v>
      </c>
      <c r="E22149" t="s">
        <v>6707</v>
      </c>
      <c r="F22149" t="s">
        <v>12619</v>
      </c>
      <c r="G22149" t="s">
        <v>16829</v>
      </c>
      <c r="H22149" t="s">
        <v>26172</v>
      </c>
    </row>
    <row r="22150" spans="1:8">
      <c r="F22150" t="s">
        <v>12697</v>
      </c>
      <c r="G22150" t="s">
        <v>16901</v>
      </c>
      <c r="H22150" t="s">
        <v>26172</v>
      </c>
    </row>
    <row r="22151" spans="1:8">
      <c r="A22151" t="s">
        <v>929</v>
      </c>
      <c r="B22151">
        <f>HYPERLINK("https://android.googlesource.com/platform/cts/+/0e4f87371722474b2f74854c2cee1b8359dec6c0", "0e4f87371722474b2f74854c2cee1b8359dec6c0")</f>
        <v>0</v>
      </c>
      <c r="C22151">
        <f>HYPERLINK("https://android.googlesource.com/platform/cts/+/2ea6404f987026d4ded8eedc948ed40a010bc614", "2ea6404f987026d4ded8eedc948ed40a010bc614")</f>
        <v>0</v>
      </c>
      <c r="D22151" t="s">
        <v>5086</v>
      </c>
      <c r="E22151" t="s">
        <v>6708</v>
      </c>
      <c r="F22151" t="s">
        <v>12742</v>
      </c>
      <c r="G22151" t="s">
        <v>16934</v>
      </c>
      <c r="H22151" t="s">
        <v>26173</v>
      </c>
    </row>
    <row r="22152" spans="1:8">
      <c r="H22152" t="s">
        <v>26174</v>
      </c>
    </row>
    <row r="22153" spans="1:8">
      <c r="H22153" t="s">
        <v>26175</v>
      </c>
    </row>
    <row r="22154" spans="1:8">
      <c r="F22154" t="s">
        <v>12695</v>
      </c>
      <c r="G22154" t="s">
        <v>16899</v>
      </c>
      <c r="H22154" t="s">
        <v>18829</v>
      </c>
    </row>
    <row r="22155" spans="1:8">
      <c r="H22155" t="s">
        <v>18863</v>
      </c>
    </row>
    <row r="22156" spans="1:8">
      <c r="H22156" t="s">
        <v>26176</v>
      </c>
    </row>
    <row r="22157" spans="1:8">
      <c r="H22157" t="s">
        <v>26177</v>
      </c>
    </row>
    <row r="22158" spans="1:8">
      <c r="H22158" t="s">
        <v>26178</v>
      </c>
    </row>
    <row r="22159" spans="1:8">
      <c r="H22159" t="s">
        <v>26179</v>
      </c>
    </row>
    <row r="22160" spans="1:8">
      <c r="H22160" t="s">
        <v>26180</v>
      </c>
    </row>
    <row r="22161" spans="1:8">
      <c r="H22161" t="s">
        <v>26181</v>
      </c>
    </row>
    <row r="22162" spans="1:8">
      <c r="F22162" t="s">
        <v>12743</v>
      </c>
      <c r="G22162" t="s">
        <v>16935</v>
      </c>
      <c r="H22162" t="s">
        <v>26182</v>
      </c>
    </row>
    <row r="22163" spans="1:8">
      <c r="A22163" t="s">
        <v>930</v>
      </c>
      <c r="B22163">
        <f>HYPERLINK("https://android.googlesource.com/platform/cts/+/4dff480ff7b745c6e39da6559b5ab95f26e01ebb", "4dff480ff7b745c6e39da6559b5ab95f26e01ebb")</f>
        <v>0</v>
      </c>
      <c r="C22163">
        <f>HYPERLINK("https://android.googlesource.com/platform/cts/+/529bf964a2c298ba89a4342aaa28cd276fbe10be", "529bf964a2c298ba89a4342aaa28cd276fbe10be")</f>
        <v>0</v>
      </c>
      <c r="D22163" t="s">
        <v>5029</v>
      </c>
      <c r="E22163" t="s">
        <v>6709</v>
      </c>
      <c r="F22163" t="s">
        <v>10610</v>
      </c>
      <c r="G22163" t="s">
        <v>15013</v>
      </c>
      <c r="H22163" t="s">
        <v>26183</v>
      </c>
    </row>
    <row r="22164" spans="1:8">
      <c r="A22164" t="s">
        <v>931</v>
      </c>
      <c r="B22164">
        <f>HYPERLINK("https://android.googlesource.com/platform/cts/+/745b4d9fbe962ba5a7d3b4e289773ab133723498", "745b4d9fbe962ba5a7d3b4e289773ab133723498")</f>
        <v>0</v>
      </c>
      <c r="C22164">
        <f>HYPERLINK("https://android.googlesource.com/platform/cts/+/e6572c08c3bf2061cd81a333bb78f189e2db4a6b", "e6572c08c3bf2061cd81a333bb78f189e2db4a6b")</f>
        <v>0</v>
      </c>
      <c r="D22164" t="s">
        <v>5123</v>
      </c>
      <c r="E22164" t="s">
        <v>6710</v>
      </c>
      <c r="F22164" t="s">
        <v>10668</v>
      </c>
      <c r="G22164" t="s">
        <v>15069</v>
      </c>
      <c r="H22164" t="s">
        <v>26184</v>
      </c>
    </row>
    <row r="22165" spans="1:8">
      <c r="H22165" t="s">
        <v>26185</v>
      </c>
    </row>
    <row r="22166" spans="1:8">
      <c r="H22166" t="s">
        <v>26186</v>
      </c>
    </row>
    <row r="22167" spans="1:8">
      <c r="H22167" t="s">
        <v>26187</v>
      </c>
    </row>
    <row r="22168" spans="1:8">
      <c r="H22168" t="s">
        <v>26188</v>
      </c>
    </row>
    <row r="22169" spans="1:8">
      <c r="H22169" t="s">
        <v>26189</v>
      </c>
    </row>
    <row r="22170" spans="1:8">
      <c r="H22170" t="s">
        <v>26190</v>
      </c>
    </row>
    <row r="22171" spans="1:8">
      <c r="H22171" t="s">
        <v>26191</v>
      </c>
    </row>
    <row r="22172" spans="1:8">
      <c r="H22172" t="s">
        <v>26192</v>
      </c>
    </row>
    <row r="22173" spans="1:8">
      <c r="H22173" t="s">
        <v>26193</v>
      </c>
    </row>
    <row r="22174" spans="1:8">
      <c r="H22174" t="s">
        <v>26194</v>
      </c>
    </row>
    <row r="22175" spans="1:8">
      <c r="H22175" t="s">
        <v>26195</v>
      </c>
    </row>
    <row r="22176" spans="1:8">
      <c r="H22176" t="s">
        <v>26196</v>
      </c>
    </row>
    <row r="22177" spans="1:8">
      <c r="H22177" t="s">
        <v>26197</v>
      </c>
    </row>
    <row r="22178" spans="1:8">
      <c r="H22178" t="s">
        <v>26198</v>
      </c>
    </row>
    <row r="22179" spans="1:8">
      <c r="H22179" t="s">
        <v>26199</v>
      </c>
    </row>
    <row r="22180" spans="1:8">
      <c r="H22180" t="s">
        <v>26200</v>
      </c>
    </row>
    <row r="22181" spans="1:8">
      <c r="H22181" t="s">
        <v>26197</v>
      </c>
    </row>
    <row r="22182" spans="1:8">
      <c r="H22182" t="s">
        <v>26198</v>
      </c>
    </row>
    <row r="22183" spans="1:8">
      <c r="H22183" t="s">
        <v>26199</v>
      </c>
    </row>
    <row r="22184" spans="1:8">
      <c r="H22184" t="s">
        <v>26200</v>
      </c>
    </row>
    <row r="22185" spans="1:8">
      <c r="H22185" t="s">
        <v>26201</v>
      </c>
    </row>
    <row r="22186" spans="1:8">
      <c r="H22186" t="s">
        <v>26202</v>
      </c>
    </row>
    <row r="22187" spans="1:8">
      <c r="A22187" t="s">
        <v>932</v>
      </c>
      <c r="B22187">
        <f>HYPERLINK("https://android.googlesource.com/platform/cts/+/afed489c8b5d045e533efee015a9030b49a30c75", "afed489c8b5d045e533efee015a9030b49a30c75")</f>
        <v>0</v>
      </c>
      <c r="C22187">
        <f>HYPERLINK("https://android.googlesource.com/platform/cts/+/6f8eea9229412914ecd90f8840da2d8eb06634cc", "6f8eea9229412914ecd90f8840da2d8eb06634cc")</f>
        <v>0</v>
      </c>
      <c r="D22187" t="s">
        <v>5123</v>
      </c>
      <c r="E22187" t="s">
        <v>6711</v>
      </c>
      <c r="F22187" t="s">
        <v>10668</v>
      </c>
      <c r="G22187" t="s">
        <v>15069</v>
      </c>
      <c r="H22187" t="s">
        <v>26203</v>
      </c>
    </row>
    <row r="22188" spans="1:8">
      <c r="H22188" t="s">
        <v>26204</v>
      </c>
    </row>
    <row r="22189" spans="1:8">
      <c r="H22189" t="s">
        <v>26205</v>
      </c>
    </row>
    <row r="22190" spans="1:8">
      <c r="H22190" t="s">
        <v>26206</v>
      </c>
    </row>
    <row r="22191" spans="1:8">
      <c r="H22191" t="s">
        <v>26207</v>
      </c>
    </row>
    <row r="22192" spans="1:8">
      <c r="H22192" t="s">
        <v>26208</v>
      </c>
    </row>
    <row r="22193" spans="1:8">
      <c r="H22193" t="s">
        <v>26209</v>
      </c>
    </row>
    <row r="22194" spans="1:8">
      <c r="H22194" t="s">
        <v>26210</v>
      </c>
    </row>
    <row r="22195" spans="1:8">
      <c r="H22195" t="s">
        <v>26211</v>
      </c>
    </row>
    <row r="22196" spans="1:8">
      <c r="H22196" t="s">
        <v>26212</v>
      </c>
    </row>
    <row r="22197" spans="1:8">
      <c r="H22197" t="s">
        <v>26209</v>
      </c>
    </row>
    <row r="22198" spans="1:8">
      <c r="H22198" t="s">
        <v>26210</v>
      </c>
    </row>
    <row r="22199" spans="1:8">
      <c r="H22199" t="s">
        <v>26211</v>
      </c>
    </row>
    <row r="22200" spans="1:8">
      <c r="H22200" t="s">
        <v>26212</v>
      </c>
    </row>
    <row r="22201" spans="1:8">
      <c r="H22201" t="s">
        <v>26213</v>
      </c>
    </row>
    <row r="22202" spans="1:8">
      <c r="H22202" t="s">
        <v>26214</v>
      </c>
    </row>
    <row r="22203" spans="1:8">
      <c r="A22203" t="s">
        <v>933</v>
      </c>
      <c r="B22203">
        <f>HYPERLINK("https://android.googlesource.com/platform/cts/+/41db3385f518722e12a9b95a470f629b5715a902", "41db3385f518722e12a9b95a470f629b5715a902")</f>
        <v>0</v>
      </c>
      <c r="C22203">
        <f>HYPERLINK("https://android.googlesource.com/platform/cts/+/13e033da3568e4897c6df9c41225e92e85e8fde3", "13e033da3568e4897c6df9c41225e92e85e8fde3")</f>
        <v>0</v>
      </c>
      <c r="D22203" t="s">
        <v>5123</v>
      </c>
      <c r="E22203" t="s">
        <v>6712</v>
      </c>
      <c r="F22203" t="s">
        <v>10668</v>
      </c>
      <c r="G22203" t="s">
        <v>15069</v>
      </c>
      <c r="H22203" t="s">
        <v>26215</v>
      </c>
    </row>
    <row r="22204" spans="1:8">
      <c r="H22204" t="s">
        <v>26216</v>
      </c>
    </row>
    <row r="22205" spans="1:8">
      <c r="H22205" t="s">
        <v>26217</v>
      </c>
    </row>
    <row r="22206" spans="1:8">
      <c r="H22206" t="s">
        <v>26218</v>
      </c>
    </row>
    <row r="22207" spans="1:8">
      <c r="H22207" t="s">
        <v>26219</v>
      </c>
    </row>
    <row r="22208" spans="1:8">
      <c r="H22208" t="s">
        <v>26220</v>
      </c>
    </row>
    <row r="22209" spans="1:8">
      <c r="H22209" t="s">
        <v>26221</v>
      </c>
    </row>
    <row r="22210" spans="1:8">
      <c r="H22210" t="s">
        <v>26222</v>
      </c>
    </row>
    <row r="22211" spans="1:8">
      <c r="H22211" t="s">
        <v>26223</v>
      </c>
    </row>
    <row r="22212" spans="1:8">
      <c r="H22212" t="s">
        <v>26224</v>
      </c>
    </row>
    <row r="22213" spans="1:8">
      <c r="H22213" t="s">
        <v>26225</v>
      </c>
    </row>
    <row r="22214" spans="1:8">
      <c r="H22214" t="s">
        <v>26222</v>
      </c>
    </row>
    <row r="22215" spans="1:8">
      <c r="H22215" t="s">
        <v>26223</v>
      </c>
    </row>
    <row r="22216" spans="1:8">
      <c r="H22216" t="s">
        <v>26224</v>
      </c>
    </row>
    <row r="22217" spans="1:8">
      <c r="H22217" t="s">
        <v>26225</v>
      </c>
    </row>
    <row r="22218" spans="1:8">
      <c r="H22218" t="s">
        <v>26226</v>
      </c>
    </row>
    <row r="22219" spans="1:8">
      <c r="H22219" t="s">
        <v>26227</v>
      </c>
    </row>
    <row r="22220" spans="1:8">
      <c r="H22220" t="s">
        <v>26228</v>
      </c>
    </row>
    <row r="22221" spans="1:8">
      <c r="A22221" t="s">
        <v>934</v>
      </c>
      <c r="B22221">
        <f>HYPERLINK("https://android.googlesource.com/platform/cts/+/3f51455dc25c8e5582bb6981a0f6737d1f058c1a", "3f51455dc25c8e5582bb6981a0f6737d1f058c1a")</f>
        <v>0</v>
      </c>
      <c r="C22221">
        <f>HYPERLINK("https://android.googlesource.com/platform/cts/+/4fa953d62f751214b5f7563c83414a017ab67d27", "4fa953d62f751214b5f7563c83414a017ab67d27")</f>
        <v>0</v>
      </c>
      <c r="D22221" t="s">
        <v>5079</v>
      </c>
      <c r="E22221" t="s">
        <v>6713</v>
      </c>
      <c r="F22221" t="s">
        <v>12705</v>
      </c>
      <c r="G22221" t="s">
        <v>16907</v>
      </c>
      <c r="H22221" t="s">
        <v>25996</v>
      </c>
    </row>
    <row r="22222" spans="1:8">
      <c r="A22222" t="s">
        <v>935</v>
      </c>
      <c r="B22222">
        <f>HYPERLINK("https://android.googlesource.com/platform/cts/+/f2a9041ae33281e005cb6a22fc6e82b00cdcfe76", "f2a9041ae33281e005cb6a22fc6e82b00cdcfe76")</f>
        <v>0</v>
      </c>
      <c r="C22222">
        <f>HYPERLINK("https://android.googlesource.com/platform/cts/+/bcb4ec196a099ade361c718d9c9e290f29c563bf", "bcb4ec196a099ade361c718d9c9e290f29c563bf")</f>
        <v>0</v>
      </c>
      <c r="D22222" t="s">
        <v>5124</v>
      </c>
      <c r="E22222" t="s">
        <v>6714</v>
      </c>
      <c r="F22222" t="s">
        <v>12419</v>
      </c>
      <c r="G22222" t="s">
        <v>16641</v>
      </c>
      <c r="H22222" t="s">
        <v>26229</v>
      </c>
    </row>
    <row r="22223" spans="1:8">
      <c r="A22223" t="s">
        <v>936</v>
      </c>
      <c r="B22223">
        <f>HYPERLINK("https://android.googlesource.com/platform/cts/+/3b86bfabaf83e9757e9680826ccdba009721b6c1", "3b86bfabaf83e9757e9680826ccdba009721b6c1")</f>
        <v>0</v>
      </c>
      <c r="C22223">
        <f>HYPERLINK("https://android.googlesource.com/platform/cts/+/fa133cfcbb9d492411f77732e374cb84b136952a", "fa133cfcbb9d492411f77732e374cb84b136952a")</f>
        <v>0</v>
      </c>
      <c r="D22223" t="s">
        <v>5042</v>
      </c>
      <c r="E22223" t="s">
        <v>6715</v>
      </c>
      <c r="F22223" t="s">
        <v>12409</v>
      </c>
      <c r="G22223" t="s">
        <v>16631</v>
      </c>
      <c r="H22223" t="s">
        <v>26230</v>
      </c>
    </row>
    <row r="22224" spans="1:8">
      <c r="A22224" t="s">
        <v>937</v>
      </c>
      <c r="B22224">
        <f>HYPERLINK("https://android.googlesource.com/platform/cts/+/b5039461c45e0a6d99ef5e9be58b7ab6081197a5", "b5039461c45e0a6d99ef5e9be58b7ab6081197a5")</f>
        <v>0</v>
      </c>
      <c r="C22224">
        <f>HYPERLINK("https://android.googlesource.com/platform/cts/+/789a22e064f86eded58183ab2caecd40045d7b1c", "789a22e064f86eded58183ab2caecd40045d7b1c")</f>
        <v>0</v>
      </c>
      <c r="D22224" t="s">
        <v>5029</v>
      </c>
      <c r="E22224" t="s">
        <v>6716</v>
      </c>
      <c r="F22224" t="s">
        <v>10699</v>
      </c>
      <c r="G22224" t="s">
        <v>15099</v>
      </c>
      <c r="H22224" t="s">
        <v>26231</v>
      </c>
    </row>
    <row r="22225" spans="1:8">
      <c r="H22225" t="s">
        <v>26232</v>
      </c>
    </row>
    <row r="22226" spans="1:8">
      <c r="H22226" t="s">
        <v>26233</v>
      </c>
    </row>
    <row r="22227" spans="1:8">
      <c r="H22227" t="s">
        <v>26234</v>
      </c>
    </row>
    <row r="22228" spans="1:8">
      <c r="H22228" t="s">
        <v>26235</v>
      </c>
    </row>
    <row r="22229" spans="1:8">
      <c r="A22229" t="s">
        <v>938</v>
      </c>
      <c r="B22229">
        <f>HYPERLINK("https://android.googlesource.com/platform/cts/+/20bf624c17e25d1d98af47e26905bc288587ff1f", "20bf624c17e25d1d98af47e26905bc288587ff1f")</f>
        <v>0</v>
      </c>
      <c r="C22229">
        <f>HYPERLINK("https://android.googlesource.com/platform/cts/+/91f61b6cb1ebfeda88b506e55188681f582a88d7", "91f61b6cb1ebfeda88b506e55188681f582a88d7")</f>
        <v>0</v>
      </c>
      <c r="D22229" t="s">
        <v>5125</v>
      </c>
      <c r="E22229" t="s">
        <v>6717</v>
      </c>
      <c r="F22229" t="s">
        <v>10664</v>
      </c>
      <c r="G22229" t="s">
        <v>15065</v>
      </c>
      <c r="H22229" t="s">
        <v>26236</v>
      </c>
    </row>
    <row r="22230" spans="1:8">
      <c r="H22230" t="s">
        <v>26237</v>
      </c>
    </row>
    <row r="22231" spans="1:8">
      <c r="H22231" t="s">
        <v>26238</v>
      </c>
    </row>
    <row r="22232" spans="1:8">
      <c r="H22232" t="s">
        <v>26239</v>
      </c>
    </row>
    <row r="22233" spans="1:8">
      <c r="H22233" t="s">
        <v>26240</v>
      </c>
    </row>
    <row r="22234" spans="1:8">
      <c r="H22234" t="s">
        <v>26241</v>
      </c>
    </row>
    <row r="22235" spans="1:8">
      <c r="A22235" t="s">
        <v>939</v>
      </c>
      <c r="B22235">
        <f>HYPERLINK("https://android.googlesource.com/platform/cts/+/a92af14ce02ef622421c1a08f566dc4de8e6f535", "a92af14ce02ef622421c1a08f566dc4de8e6f535")</f>
        <v>0</v>
      </c>
      <c r="C22235">
        <f>HYPERLINK("https://android.googlesource.com/platform/cts/+/e507fc6e816e706187e7f09bce1281e19e3f02c1", "e507fc6e816e706187e7f09bce1281e19e3f02c1")</f>
        <v>0</v>
      </c>
      <c r="D22235" t="s">
        <v>5122</v>
      </c>
      <c r="E22235" t="s">
        <v>6718</v>
      </c>
      <c r="F22235" t="s">
        <v>12608</v>
      </c>
      <c r="G22235" t="s">
        <v>16820</v>
      </c>
      <c r="H22235" t="s">
        <v>26242</v>
      </c>
    </row>
    <row r="22236" spans="1:8">
      <c r="A22236" t="s">
        <v>940</v>
      </c>
      <c r="B22236">
        <f>HYPERLINK("https://android.googlesource.com/platform/cts/+/c07a541758271bf7c222ac946a0abf3631d6e37a", "c07a541758271bf7c222ac946a0abf3631d6e37a")</f>
        <v>0</v>
      </c>
      <c r="C22236">
        <f>HYPERLINK("https://android.googlesource.com/platform/cts/+/b48ad8c4ef8be3bbc4749585e526bed51158ac37", "b48ad8c4ef8be3bbc4749585e526bed51158ac37")</f>
        <v>0</v>
      </c>
      <c r="D22236" t="s">
        <v>5122</v>
      </c>
      <c r="E22236" t="s">
        <v>6719</v>
      </c>
      <c r="F22236" t="s">
        <v>12608</v>
      </c>
      <c r="G22236" t="s">
        <v>16820</v>
      </c>
      <c r="H22236" t="s">
        <v>26243</v>
      </c>
    </row>
    <row r="22237" spans="1:8">
      <c r="A22237" t="s">
        <v>941</v>
      </c>
      <c r="B22237">
        <f>HYPERLINK("https://android.googlesource.com/platform/cts/+/055d2f3e3e44e6723422368d4fa14a77c6022207", "055d2f3e3e44e6723422368d4fa14a77c6022207")</f>
        <v>0</v>
      </c>
      <c r="C22237">
        <f>HYPERLINK("https://android.googlesource.com/platform/cts/+/c07a541758271bf7c222ac946a0abf3631d6e37a", "c07a541758271bf7c222ac946a0abf3631d6e37a")</f>
        <v>0</v>
      </c>
      <c r="D22237" t="s">
        <v>5122</v>
      </c>
      <c r="E22237" t="s">
        <v>6720</v>
      </c>
      <c r="F22237" t="s">
        <v>12608</v>
      </c>
      <c r="G22237" t="s">
        <v>16820</v>
      </c>
      <c r="H22237" t="s">
        <v>26244</v>
      </c>
    </row>
    <row r="22238" spans="1:8">
      <c r="A22238" t="s">
        <v>942</v>
      </c>
      <c r="B22238">
        <f>HYPERLINK("https://android.googlesource.com/platform/cts/+/3fb5b364028955b4f4a76dee45cd15843ca088de", "3fb5b364028955b4f4a76dee45cd15843ca088de")</f>
        <v>0</v>
      </c>
      <c r="C22238">
        <f>HYPERLINK("https://android.googlesource.com/platform/cts/+/0f21d01fe7a282a1ccbc4f7a42970a6c9a9d73c3", "0f21d01fe7a282a1ccbc4f7a42970a6c9a9d73c3")</f>
        <v>0</v>
      </c>
      <c r="D22238" t="s">
        <v>5126</v>
      </c>
      <c r="E22238" t="s">
        <v>6721</v>
      </c>
      <c r="F22238" t="s">
        <v>12744</v>
      </c>
      <c r="G22238" t="s">
        <v>16936</v>
      </c>
      <c r="H22238" t="s">
        <v>26245</v>
      </c>
    </row>
    <row r="22239" spans="1:8">
      <c r="H22239" t="s">
        <v>26246</v>
      </c>
    </row>
    <row r="22240" spans="1:8">
      <c r="H22240" t="s">
        <v>26247</v>
      </c>
    </row>
    <row r="22241" spans="1:8">
      <c r="A22241" t="s">
        <v>943</v>
      </c>
      <c r="B22241">
        <f>HYPERLINK("https://android.googlesource.com/platform/cts/+/3c4645b36804bb1df84b3ade84cbe65d92617bd6", "3c4645b36804bb1df84b3ade84cbe65d92617bd6")</f>
        <v>0</v>
      </c>
      <c r="C22241">
        <f>HYPERLINK("https://android.googlesource.com/platform/cts/+/02c5493e279d70bc3cde45011ac472d3dd2c4470", "02c5493e279d70bc3cde45011ac472d3dd2c4470")</f>
        <v>0</v>
      </c>
      <c r="D22241" t="s">
        <v>5085</v>
      </c>
      <c r="E22241" t="s">
        <v>6722</v>
      </c>
      <c r="F22241" t="s">
        <v>12745</v>
      </c>
      <c r="G22241" t="s">
        <v>16937</v>
      </c>
      <c r="H22241" t="s">
        <v>26248</v>
      </c>
    </row>
    <row r="22242" spans="1:8">
      <c r="A22242" t="s">
        <v>944</v>
      </c>
      <c r="B22242">
        <f>HYPERLINK("https://android.googlesource.com/platform/cts/+/1238dde6693360b12f64233f0684b6013d9146be", "1238dde6693360b12f64233f0684b6013d9146be")</f>
        <v>0</v>
      </c>
      <c r="C22242">
        <f>HYPERLINK("https://android.googlesource.com/platform/cts/+/f10cf5284d1c6fd39c16851244df965026631552", "f10cf5284d1c6fd39c16851244df965026631552")</f>
        <v>0</v>
      </c>
      <c r="D22242" t="s">
        <v>5127</v>
      </c>
      <c r="E22242" t="s">
        <v>6723</v>
      </c>
      <c r="F22242" t="s">
        <v>12746</v>
      </c>
      <c r="G22242" t="s">
        <v>16938</v>
      </c>
      <c r="H22242" t="s">
        <v>26249</v>
      </c>
    </row>
    <row r="22243" spans="1:8">
      <c r="A22243" t="s">
        <v>945</v>
      </c>
      <c r="B22243">
        <f>HYPERLINK("https://android.googlesource.com/platform/cts/+/b617aceda80553cb25e7221e226d8a414f11c5c9", "b617aceda80553cb25e7221e226d8a414f11c5c9")</f>
        <v>0</v>
      </c>
      <c r="C22243">
        <f>HYPERLINK("https://android.googlesource.com/platform/cts/+/bb20ec7c6dedbbc59c1a099ae26cb16c332932d1", "bb20ec7c6dedbbc59c1a099ae26cb16c332932d1")</f>
        <v>0</v>
      </c>
      <c r="D22243" t="s">
        <v>5128</v>
      </c>
      <c r="E22243" t="s">
        <v>6724</v>
      </c>
      <c r="F22243" t="s">
        <v>12747</v>
      </c>
      <c r="G22243" t="s">
        <v>16863</v>
      </c>
      <c r="H22243" t="s">
        <v>26250</v>
      </c>
    </row>
    <row r="22244" spans="1:8">
      <c r="H22244" t="s">
        <v>26251</v>
      </c>
    </row>
    <row r="22245" spans="1:8">
      <c r="H22245" t="s">
        <v>26252</v>
      </c>
    </row>
    <row r="22246" spans="1:8">
      <c r="H22246" t="s">
        <v>26253</v>
      </c>
    </row>
    <row r="22247" spans="1:8">
      <c r="A22247" t="s">
        <v>946</v>
      </c>
      <c r="B22247">
        <f>HYPERLINK("https://android.googlesource.com/platform/cts/+/9ac9de3913248ec7b43aefcc62411205b2dba975", "9ac9de3913248ec7b43aefcc62411205b2dba975")</f>
        <v>0</v>
      </c>
      <c r="C22247">
        <f>HYPERLINK("https://android.googlesource.com/platform/cts/+/d10406fde2679d377a896953adea750c731f9f1e", "d10406fde2679d377a896953adea750c731f9f1e")</f>
        <v>0</v>
      </c>
      <c r="D22247" t="s">
        <v>5084</v>
      </c>
      <c r="E22247" t="s">
        <v>6725</v>
      </c>
      <c r="F22247" t="s">
        <v>12368</v>
      </c>
      <c r="G22247" t="s">
        <v>16595</v>
      </c>
      <c r="H22247" t="s">
        <v>26254</v>
      </c>
    </row>
    <row r="22248" spans="1:8">
      <c r="A22248" t="s">
        <v>947</v>
      </c>
      <c r="B22248">
        <f>HYPERLINK("https://android.googlesource.com/platform/cts/+/91a42b6b6329b2e65886bb99f0731a56ce947b2d", "91a42b6b6329b2e65886bb99f0731a56ce947b2d")</f>
        <v>0</v>
      </c>
      <c r="C22248">
        <f>HYPERLINK("https://android.googlesource.com/platform/cts/+/3feb77eaae0e114f6ae67578997ac741512cbf77", "3feb77eaae0e114f6ae67578997ac741512cbf77")</f>
        <v>0</v>
      </c>
      <c r="D22248" t="s">
        <v>5129</v>
      </c>
      <c r="E22248" t="s">
        <v>6726</v>
      </c>
      <c r="F22248" t="s">
        <v>12748</v>
      </c>
      <c r="G22248" t="s">
        <v>16939</v>
      </c>
      <c r="H22248" t="s">
        <v>26255</v>
      </c>
    </row>
    <row r="22249" spans="1:8">
      <c r="H22249" t="s">
        <v>26256</v>
      </c>
    </row>
    <row r="22250" spans="1:8">
      <c r="A22250" t="s">
        <v>948</v>
      </c>
      <c r="B22250">
        <f>HYPERLINK("https://android.googlesource.com/platform/cts/+/38fe68d06418803c0a3f2f276e1e39efce33546d", "38fe68d06418803c0a3f2f276e1e39efce33546d")</f>
        <v>0</v>
      </c>
      <c r="C22250">
        <f>HYPERLINK("https://android.googlesource.com/platform/cts/+/4283155acb654265037459489ac1a829c01d07d3", "4283155acb654265037459489ac1a829c01d07d3")</f>
        <v>0</v>
      </c>
      <c r="D22250" t="s">
        <v>5085</v>
      </c>
      <c r="E22250" t="s">
        <v>6727</v>
      </c>
      <c r="F22250" t="s">
        <v>12749</v>
      </c>
      <c r="G22250" t="s">
        <v>16940</v>
      </c>
      <c r="H22250" t="s">
        <v>26257</v>
      </c>
    </row>
    <row r="22251" spans="1:8">
      <c r="F22251" t="s">
        <v>12750</v>
      </c>
      <c r="G22251" t="s">
        <v>16941</v>
      </c>
      <c r="H22251" t="s">
        <v>26257</v>
      </c>
    </row>
    <row r="22252" spans="1:8">
      <c r="A22252" t="s">
        <v>949</v>
      </c>
      <c r="B22252">
        <f>HYPERLINK("https://android.googlesource.com/platform/cts/+/0a75dcb34c4fa2410820ba9ad1ca1276ba52d35e", "0a75dcb34c4fa2410820ba9ad1ca1276ba52d35e")</f>
        <v>0</v>
      </c>
      <c r="C22252">
        <f>HYPERLINK("https://android.googlesource.com/platform/cts/+/2d58eb573bb573c55ea97f8cc65ae9267f70cc1c", "2d58eb573bb573c55ea97f8cc65ae9267f70cc1c")</f>
        <v>0</v>
      </c>
      <c r="D22252" t="s">
        <v>5130</v>
      </c>
      <c r="E22252" t="s">
        <v>6728</v>
      </c>
      <c r="F22252" t="s">
        <v>10684</v>
      </c>
      <c r="G22252" t="s">
        <v>15084</v>
      </c>
      <c r="H22252" t="s">
        <v>26258</v>
      </c>
    </row>
    <row r="22253" spans="1:8">
      <c r="A22253" t="s">
        <v>950</v>
      </c>
      <c r="B22253">
        <f>HYPERLINK("https://android.googlesource.com/platform/cts/+/2db6ad170c94f0849862e61206e874abe8bc47d1", "2db6ad170c94f0849862e61206e874abe8bc47d1")</f>
        <v>0</v>
      </c>
      <c r="C22253">
        <f>HYPERLINK("https://android.googlesource.com/platform/cts/+/1f700ccb4ce83c46ca573c10d8125d739a52ea4c", "1f700ccb4ce83c46ca573c10d8125d739a52ea4c")</f>
        <v>0</v>
      </c>
      <c r="D22253" t="s">
        <v>5044</v>
      </c>
      <c r="E22253" t="s">
        <v>6729</v>
      </c>
      <c r="F22253" t="s">
        <v>12751</v>
      </c>
      <c r="G22253" t="s">
        <v>16942</v>
      </c>
      <c r="H22253" t="s">
        <v>26259</v>
      </c>
    </row>
    <row r="22254" spans="1:8">
      <c r="H22254" t="s">
        <v>26260</v>
      </c>
    </row>
    <row r="22255" spans="1:8">
      <c r="H22255" t="s">
        <v>20012</v>
      </c>
    </row>
    <row r="22256" spans="1:8">
      <c r="A22256" t="s">
        <v>951</v>
      </c>
      <c r="B22256">
        <f>HYPERLINK("https://android.googlesource.com/platform/cts/+/cb76377cef1653c62955555aff1f13f5c30c7480", "cb76377cef1653c62955555aff1f13f5c30c7480")</f>
        <v>0</v>
      </c>
      <c r="C22256">
        <f>HYPERLINK("https://android.googlesource.com/platform/cts/+/952879d26caf5afe9bc56d87608fc4f88d253347", "952879d26caf5afe9bc56d87608fc4f88d253347")</f>
        <v>0</v>
      </c>
      <c r="D22256" t="s">
        <v>5131</v>
      </c>
      <c r="E22256" t="s">
        <v>6730</v>
      </c>
      <c r="F22256" t="s">
        <v>12752</v>
      </c>
      <c r="G22256" t="s">
        <v>16943</v>
      </c>
      <c r="H22256" t="s">
        <v>26261</v>
      </c>
    </row>
    <row r="22257" spans="6:8">
      <c r="H22257" t="s">
        <v>19019</v>
      </c>
    </row>
    <row r="22258" spans="6:8">
      <c r="F22258" t="s">
        <v>12753</v>
      </c>
      <c r="G22258" t="s">
        <v>16944</v>
      </c>
      <c r="H22258" t="s">
        <v>20083</v>
      </c>
    </row>
    <row r="22259" spans="6:8">
      <c r="H22259" t="s">
        <v>26262</v>
      </c>
    </row>
    <row r="22260" spans="6:8">
      <c r="H22260" t="s">
        <v>26261</v>
      </c>
    </row>
    <row r="22261" spans="6:8">
      <c r="H22261" t="s">
        <v>26263</v>
      </c>
    </row>
    <row r="22262" spans="6:8">
      <c r="H22262" t="s">
        <v>26264</v>
      </c>
    </row>
    <row r="22263" spans="6:8">
      <c r="H22263" t="s">
        <v>26265</v>
      </c>
    </row>
    <row r="22264" spans="6:8">
      <c r="H22264" t="s">
        <v>26266</v>
      </c>
    </row>
    <row r="22265" spans="6:8">
      <c r="H22265" t="s">
        <v>26267</v>
      </c>
    </row>
    <row r="22266" spans="6:8">
      <c r="H22266" t="s">
        <v>26268</v>
      </c>
    </row>
    <row r="22267" spans="6:8">
      <c r="H22267" t="s">
        <v>26269</v>
      </c>
    </row>
    <row r="22268" spans="6:8">
      <c r="H22268" t="s">
        <v>19692</v>
      </c>
    </row>
    <row r="22269" spans="6:8">
      <c r="H22269" t="s">
        <v>22678</v>
      </c>
    </row>
    <row r="22270" spans="6:8">
      <c r="F22270" t="s">
        <v>12754</v>
      </c>
      <c r="G22270" t="s">
        <v>16945</v>
      </c>
      <c r="H22270" t="s">
        <v>26270</v>
      </c>
    </row>
    <row r="22271" spans="6:8">
      <c r="H22271" t="s">
        <v>26271</v>
      </c>
    </row>
    <row r="22272" spans="6:8">
      <c r="H22272" t="s">
        <v>26272</v>
      </c>
    </row>
    <row r="22273" spans="6:8">
      <c r="H22273" t="s">
        <v>26273</v>
      </c>
    </row>
    <row r="22274" spans="6:8">
      <c r="F22274" t="s">
        <v>12755</v>
      </c>
      <c r="G22274" t="s">
        <v>16946</v>
      </c>
      <c r="H22274" t="s">
        <v>26274</v>
      </c>
    </row>
    <row r="22275" spans="6:8">
      <c r="H22275" t="s">
        <v>18829</v>
      </c>
    </row>
    <row r="22276" spans="6:8">
      <c r="H22276" t="s">
        <v>18863</v>
      </c>
    </row>
    <row r="22277" spans="6:8">
      <c r="H22277" t="s">
        <v>26275</v>
      </c>
    </row>
    <row r="22278" spans="6:8">
      <c r="H22278" t="s">
        <v>26276</v>
      </c>
    </row>
    <row r="22279" spans="6:8">
      <c r="H22279" t="s">
        <v>26277</v>
      </c>
    </row>
    <row r="22280" spans="6:8">
      <c r="H22280" t="s">
        <v>26278</v>
      </c>
    </row>
    <row r="22281" spans="6:8">
      <c r="H22281" t="s">
        <v>26279</v>
      </c>
    </row>
    <row r="22282" spans="6:8">
      <c r="H22282" t="s">
        <v>26280</v>
      </c>
    </row>
    <row r="22283" spans="6:8">
      <c r="H22283" t="s">
        <v>26281</v>
      </c>
    </row>
    <row r="22284" spans="6:8">
      <c r="H22284" t="s">
        <v>22470</v>
      </c>
    </row>
    <row r="22285" spans="6:8">
      <c r="H22285" t="s">
        <v>26282</v>
      </c>
    </row>
    <row r="22286" spans="6:8">
      <c r="H22286" t="s">
        <v>26283</v>
      </c>
    </row>
    <row r="22287" spans="6:8">
      <c r="H22287" t="s">
        <v>26284</v>
      </c>
    </row>
    <row r="22288" spans="6:8">
      <c r="F22288" t="s">
        <v>12756</v>
      </c>
      <c r="G22288" t="s">
        <v>16947</v>
      </c>
      <c r="H22288" t="s">
        <v>26285</v>
      </c>
    </row>
    <row r="22289" spans="1:8">
      <c r="H22289" t="s">
        <v>26286</v>
      </c>
    </row>
    <row r="22290" spans="1:8">
      <c r="H22290" t="s">
        <v>26287</v>
      </c>
    </row>
    <row r="22291" spans="1:8">
      <c r="H22291" t="s">
        <v>26288</v>
      </c>
    </row>
    <row r="22292" spans="1:8">
      <c r="H22292" t="s">
        <v>26289</v>
      </c>
    </row>
    <row r="22293" spans="1:8">
      <c r="H22293" t="s">
        <v>26290</v>
      </c>
    </row>
    <row r="22294" spans="1:8">
      <c r="H22294" t="s">
        <v>26273</v>
      </c>
    </row>
    <row r="22295" spans="1:8">
      <c r="H22295" t="s">
        <v>26291</v>
      </c>
    </row>
    <row r="22296" spans="1:8">
      <c r="H22296" t="s">
        <v>26292</v>
      </c>
    </row>
    <row r="22297" spans="1:8">
      <c r="A22297" t="s">
        <v>952</v>
      </c>
      <c r="B22297">
        <f>HYPERLINK("https://android.googlesource.com/platform/cts/+/32afcaf2dfcc1bd52c952b1fc654123a7ba6f22e", "32afcaf2dfcc1bd52c952b1fc654123a7ba6f22e")</f>
        <v>0</v>
      </c>
      <c r="C22297">
        <f>HYPERLINK("https://android.googlesource.com/platform/cts/+/0d87f33eab8ab831019a3fb615aff0506e9c736c", "0d87f33eab8ab831019a3fb615aff0506e9c736c")</f>
        <v>0</v>
      </c>
      <c r="D22297" t="s">
        <v>5046</v>
      </c>
      <c r="E22297" t="s">
        <v>6731</v>
      </c>
      <c r="F22297" t="s">
        <v>12757</v>
      </c>
      <c r="G22297" t="s">
        <v>16948</v>
      </c>
      <c r="H22297" t="s">
        <v>26293</v>
      </c>
    </row>
    <row r="22298" spans="1:8">
      <c r="A22298" t="s">
        <v>953</v>
      </c>
      <c r="B22298">
        <f>HYPERLINK("https://android.googlesource.com/platform/cts/+/5295b42262329fc6e642eacf53d44456404933e4", "5295b42262329fc6e642eacf53d44456404933e4")</f>
        <v>0</v>
      </c>
      <c r="C22298">
        <f>HYPERLINK("https://android.googlesource.com/platform/cts/+/0d87f33eab8ab831019a3fb615aff0506e9c736c", "0d87f33eab8ab831019a3fb615aff0506e9c736c")</f>
        <v>0</v>
      </c>
      <c r="D22298" t="s">
        <v>5046</v>
      </c>
      <c r="E22298" t="s">
        <v>6732</v>
      </c>
      <c r="F22298" t="s">
        <v>12758</v>
      </c>
      <c r="G22298" t="s">
        <v>16949</v>
      </c>
      <c r="H22298" t="s">
        <v>26294</v>
      </c>
    </row>
    <row r="22299" spans="1:8">
      <c r="A22299" t="s">
        <v>954</v>
      </c>
      <c r="B22299">
        <f>HYPERLINK("https://android.googlesource.com/platform/cts/+/dc7e6f841006bd45e17fd3e9a0321e89e1849dbd", "dc7e6f841006bd45e17fd3e9a0321e89e1849dbd")</f>
        <v>0</v>
      </c>
      <c r="C22299">
        <f>HYPERLINK("https://android.googlesource.com/platform/cts/+/9c8a63587008c75a494531b6a747c76cf5cbbc33", "9c8a63587008c75a494531b6a747c76cf5cbbc33")</f>
        <v>0</v>
      </c>
      <c r="D22299" t="s">
        <v>5060</v>
      </c>
      <c r="E22299" t="s">
        <v>6733</v>
      </c>
      <c r="F22299" t="s">
        <v>12714</v>
      </c>
      <c r="G22299" t="s">
        <v>16914</v>
      </c>
      <c r="H22299" t="s">
        <v>26005</v>
      </c>
    </row>
    <row r="22300" spans="1:8">
      <c r="H22300" t="s">
        <v>26006</v>
      </c>
    </row>
    <row r="22301" spans="1:8">
      <c r="H22301" t="s">
        <v>26007</v>
      </c>
    </row>
    <row r="22302" spans="1:8">
      <c r="H22302" t="s">
        <v>26008</v>
      </c>
    </row>
    <row r="22303" spans="1:8">
      <c r="H22303" t="s">
        <v>26009</v>
      </c>
    </row>
    <row r="22304" spans="1:8">
      <c r="A22304" t="s">
        <v>955</v>
      </c>
      <c r="B22304">
        <f>HYPERLINK("https://android.googlesource.com/platform/cts/+/663bd12dc4f64ca00b26dd1d72f3a2f0b34b84d4", "663bd12dc4f64ca00b26dd1d72f3a2f0b34b84d4")</f>
        <v>0</v>
      </c>
      <c r="C22304">
        <f>HYPERLINK("https://android.googlesource.com/platform/cts/+/dc7e6f841006bd45e17fd3e9a0321e89e1849dbd", "dc7e6f841006bd45e17fd3e9a0321e89e1849dbd")</f>
        <v>0</v>
      </c>
      <c r="D22304" t="s">
        <v>5060</v>
      </c>
      <c r="E22304" t="s">
        <v>6734</v>
      </c>
      <c r="F22304" t="s">
        <v>12759</v>
      </c>
      <c r="G22304" t="s">
        <v>16950</v>
      </c>
      <c r="H22304" t="s">
        <v>26295</v>
      </c>
    </row>
    <row r="22305" spans="1:8">
      <c r="A22305" t="s">
        <v>956</v>
      </c>
      <c r="B22305">
        <f>HYPERLINK("https://android.googlesource.com/platform/cts/+/c769941fca4e88e0091415433091c4c34c2037ed", "c769941fca4e88e0091415433091c4c34c2037ed")</f>
        <v>0</v>
      </c>
      <c r="C22305">
        <f>HYPERLINK("https://android.googlesource.com/platform/cts/+/84ce9cb7baee483fe4e779724d18e3c0c9f544b2", "84ce9cb7baee483fe4e779724d18e3c0c9f544b2")</f>
        <v>0</v>
      </c>
      <c r="D22305" t="s">
        <v>5085</v>
      </c>
      <c r="E22305" t="s">
        <v>6735</v>
      </c>
      <c r="F22305" t="s">
        <v>12760</v>
      </c>
      <c r="G22305" t="s">
        <v>16951</v>
      </c>
      <c r="H22305" t="s">
        <v>18829</v>
      </c>
    </row>
    <row r="22306" spans="1:8">
      <c r="H22306" t="s">
        <v>18863</v>
      </c>
    </row>
    <row r="22307" spans="1:8">
      <c r="H22307" t="s">
        <v>26296</v>
      </c>
    </row>
    <row r="22308" spans="1:8">
      <c r="H22308" t="s">
        <v>26297</v>
      </c>
    </row>
    <row r="22309" spans="1:8">
      <c r="H22309" t="s">
        <v>26298</v>
      </c>
    </row>
    <row r="22310" spans="1:8">
      <c r="H22310" t="s">
        <v>26298</v>
      </c>
    </row>
    <row r="22311" spans="1:8">
      <c r="A22311" t="s">
        <v>957</v>
      </c>
      <c r="B22311">
        <f>HYPERLINK("https://android.googlesource.com/platform/cts/+/5523779ef190699cbd2e2415764a34666f658086", "5523779ef190699cbd2e2415764a34666f658086")</f>
        <v>0</v>
      </c>
      <c r="C22311">
        <f>HYPERLINK("https://android.googlesource.com/platform/cts/+/62d12955cc9b142d2e9724ece031589ef3cd7737", "62d12955cc9b142d2e9724ece031589ef3cd7737")</f>
        <v>0</v>
      </c>
      <c r="D22311" t="s">
        <v>5132</v>
      </c>
      <c r="E22311" t="s">
        <v>6736</v>
      </c>
      <c r="F22311" t="s">
        <v>10794</v>
      </c>
      <c r="G22311" t="s">
        <v>15189</v>
      </c>
      <c r="H22311" t="s">
        <v>26299</v>
      </c>
    </row>
    <row r="22312" spans="1:8">
      <c r="A22312" t="s">
        <v>958</v>
      </c>
      <c r="B22312">
        <f>HYPERLINK("https://android.googlesource.com/platform/cts/+/0fc33180d15abf5efff5e1327a696f1a2d748247", "0fc33180d15abf5efff5e1327a696f1a2d748247")</f>
        <v>0</v>
      </c>
      <c r="C22312">
        <f>HYPERLINK("https://android.googlesource.com/platform/cts/+/1784dee4390648dce2e5603e6576dd4e5db2ff32", "1784dee4390648dce2e5603e6576dd4e5db2ff32")</f>
        <v>0</v>
      </c>
      <c r="D22312" t="s">
        <v>5085</v>
      </c>
      <c r="E22312" t="s">
        <v>6737</v>
      </c>
      <c r="F22312" t="s">
        <v>12761</v>
      </c>
      <c r="G22312" t="s">
        <v>16952</v>
      </c>
      <c r="H22312" t="s">
        <v>26300</v>
      </c>
    </row>
    <row r="22313" spans="1:8">
      <c r="H22313" t="s">
        <v>26301</v>
      </c>
    </row>
    <row r="22314" spans="1:8">
      <c r="H22314" t="s">
        <v>26302</v>
      </c>
    </row>
    <row r="22315" spans="1:8">
      <c r="H22315" t="s">
        <v>26303</v>
      </c>
    </row>
    <row r="22316" spans="1:8">
      <c r="F22316" t="s">
        <v>12762</v>
      </c>
      <c r="G22316" t="s">
        <v>16953</v>
      </c>
      <c r="H22316" t="s">
        <v>26304</v>
      </c>
    </row>
    <row r="22317" spans="1:8">
      <c r="H22317" t="s">
        <v>26296</v>
      </c>
    </row>
    <row r="22318" spans="1:8">
      <c r="A22318" t="s">
        <v>959</v>
      </c>
      <c r="B22318">
        <f>HYPERLINK("https://android.googlesource.com/platform/cts/+/fc82ab789d348595a03e1a457bb4d6363c2fb4d7", "fc82ab789d348595a03e1a457bb4d6363c2fb4d7")</f>
        <v>0</v>
      </c>
      <c r="C22318">
        <f>HYPERLINK("https://android.googlesource.com/platform/cts/+/1784dee4390648dce2e5603e6576dd4e5db2ff32", "1784dee4390648dce2e5603e6576dd4e5db2ff32")</f>
        <v>0</v>
      </c>
      <c r="D22318" t="s">
        <v>5002</v>
      </c>
      <c r="E22318" t="s">
        <v>6738</v>
      </c>
      <c r="F22318" t="s">
        <v>12726</v>
      </c>
      <c r="G22318" t="s">
        <v>16921</v>
      </c>
      <c r="H22318" t="s">
        <v>26305</v>
      </c>
    </row>
    <row r="22319" spans="1:8">
      <c r="A22319" t="s">
        <v>960</v>
      </c>
      <c r="B22319">
        <f>HYPERLINK("https://android.googlesource.com/platform/cts/+/894124d8564b9ad349952bd1ef16eb9f3ab7b1a6", "894124d8564b9ad349952bd1ef16eb9f3ab7b1a6")</f>
        <v>0</v>
      </c>
      <c r="C22319">
        <f>HYPERLINK("https://android.googlesource.com/platform/cts/+/374fe02fe198fc3b8127a38fe3831c6e7ecb3835", "374fe02fe198fc3b8127a38fe3831c6e7ecb3835")</f>
        <v>0</v>
      </c>
      <c r="D22319" t="s">
        <v>5124</v>
      </c>
      <c r="E22319" t="s">
        <v>6739</v>
      </c>
      <c r="F22319" t="s">
        <v>12608</v>
      </c>
      <c r="G22319" t="s">
        <v>16820</v>
      </c>
      <c r="H22319" t="s">
        <v>26306</v>
      </c>
    </row>
    <row r="22320" spans="1:8">
      <c r="H22320" t="s">
        <v>26307</v>
      </c>
    </row>
    <row r="22321" spans="1:8">
      <c r="H22321" t="s">
        <v>26308</v>
      </c>
    </row>
    <row r="22322" spans="1:8">
      <c r="H22322" t="s">
        <v>26309</v>
      </c>
    </row>
    <row r="22323" spans="1:8">
      <c r="A22323" t="s">
        <v>961</v>
      </c>
      <c r="B22323">
        <f>HYPERLINK("https://android.googlesource.com/platform/cts/+/7aa3f53e295adc5d0e4da9d7b14ad6fcfd4a76d6", "7aa3f53e295adc5d0e4da9d7b14ad6fcfd4a76d6")</f>
        <v>0</v>
      </c>
      <c r="C22323">
        <f>HYPERLINK("https://android.googlesource.com/platform/cts/+/374fe02fe198fc3b8127a38fe3831c6e7ecb3835", "374fe02fe198fc3b8127a38fe3831c6e7ecb3835")</f>
        <v>0</v>
      </c>
      <c r="D22323" t="s">
        <v>5044</v>
      </c>
      <c r="E22323" t="s">
        <v>6740</v>
      </c>
      <c r="F22323" t="s">
        <v>12763</v>
      </c>
      <c r="G22323" t="s">
        <v>16940</v>
      </c>
      <c r="H22323" t="s">
        <v>26257</v>
      </c>
    </row>
    <row r="22324" spans="1:8">
      <c r="F22324" t="s">
        <v>12764</v>
      </c>
      <c r="G22324" t="s">
        <v>16940</v>
      </c>
      <c r="H22324" t="s">
        <v>26257</v>
      </c>
    </row>
    <row r="22325" spans="1:8">
      <c r="A22325" t="s">
        <v>963</v>
      </c>
      <c r="B22325">
        <f>HYPERLINK("https://android.googlesource.com/platform/cts/+/3ffafb155266d939633f72ce82bbfb5c53c7c9fc", "3ffafb155266d939633f72ce82bbfb5c53c7c9fc")</f>
        <v>0</v>
      </c>
      <c r="C22325">
        <f>HYPERLINK("https://android.googlesource.com/platform/cts/+/45930ac8c84fa422dd4e821c657862ece997c4ef", "45930ac8c84fa422dd4e821c657862ece997c4ef")</f>
        <v>0</v>
      </c>
      <c r="D22325" t="s">
        <v>5048</v>
      </c>
      <c r="E22325" t="s">
        <v>6741</v>
      </c>
      <c r="F22325" t="s">
        <v>12368</v>
      </c>
      <c r="G22325" t="s">
        <v>16595</v>
      </c>
      <c r="H22325" t="s">
        <v>26310</v>
      </c>
    </row>
    <row r="22326" spans="1:8">
      <c r="H22326" t="s">
        <v>26311</v>
      </c>
    </row>
    <row r="22327" spans="1:8">
      <c r="H22327" t="s">
        <v>26312</v>
      </c>
    </row>
    <row r="22328" spans="1:8">
      <c r="H22328" t="s">
        <v>26313</v>
      </c>
    </row>
    <row r="22329" spans="1:8">
      <c r="H22329" t="s">
        <v>26314</v>
      </c>
    </row>
    <row r="22330" spans="1:8">
      <c r="H22330" t="s">
        <v>26315</v>
      </c>
    </row>
    <row r="22331" spans="1:8">
      <c r="H22331" t="s">
        <v>26316</v>
      </c>
    </row>
    <row r="22332" spans="1:8">
      <c r="H22332" t="s">
        <v>21462</v>
      </c>
    </row>
    <row r="22333" spans="1:8">
      <c r="H22333" t="s">
        <v>26317</v>
      </c>
    </row>
    <row r="22334" spans="1:8">
      <c r="A22334" t="s">
        <v>964</v>
      </c>
      <c r="B22334">
        <f>HYPERLINK("https://android.googlesource.com/platform/cts/+/d012d2f8b50f9c336c3dd9b1be4e3acb01fa1fe8", "d012d2f8b50f9c336c3dd9b1be4e3acb01fa1fe8")</f>
        <v>0</v>
      </c>
      <c r="C22334">
        <f>HYPERLINK("https://android.googlesource.com/platform/cts/+/f15cf53fd0180c60b538e56a47f30ef12db91ca6", "f15cf53fd0180c60b538e56a47f30ef12db91ca6")</f>
        <v>0</v>
      </c>
      <c r="D22334" t="s">
        <v>5133</v>
      </c>
      <c r="E22334" t="s">
        <v>6742</v>
      </c>
      <c r="F22334" t="s">
        <v>12765</v>
      </c>
      <c r="G22334" t="s">
        <v>16954</v>
      </c>
      <c r="H22334" t="s">
        <v>26318</v>
      </c>
    </row>
    <row r="22335" spans="1:8">
      <c r="H22335" t="s">
        <v>26319</v>
      </c>
    </row>
    <row r="22336" spans="1:8">
      <c r="H22336" t="s">
        <v>26320</v>
      </c>
    </row>
    <row r="22337" spans="1:8">
      <c r="H22337" t="s">
        <v>26321</v>
      </c>
    </row>
    <row r="22338" spans="1:8">
      <c r="A22338" t="s">
        <v>965</v>
      </c>
      <c r="B22338">
        <f>HYPERLINK("https://android.googlesource.com/platform/cts/+/64c80f861acfc6b626c07f010ac06fcbd36a9ae3", "64c80f861acfc6b626c07f010ac06fcbd36a9ae3")</f>
        <v>0</v>
      </c>
      <c r="C22338">
        <f>HYPERLINK("https://android.googlesource.com/platform/cts/+/a135c2488a04f6d15d7aa801fb1c5b01b47b2cc2", "a135c2488a04f6d15d7aa801fb1c5b01b47b2cc2")</f>
        <v>0</v>
      </c>
      <c r="D22338" t="s">
        <v>5126</v>
      </c>
      <c r="E22338" t="s">
        <v>6743</v>
      </c>
      <c r="F22338" t="s">
        <v>12744</v>
      </c>
      <c r="G22338" t="s">
        <v>16936</v>
      </c>
      <c r="H22338" t="s">
        <v>26322</v>
      </c>
    </row>
    <row r="22339" spans="1:8">
      <c r="A22339" t="s">
        <v>966</v>
      </c>
      <c r="B22339">
        <f>HYPERLINK("https://android.googlesource.com/platform/cts/+/3732f6692eab24553b62b81b762e45e1e187061b", "3732f6692eab24553b62b81b762e45e1e187061b")</f>
        <v>0</v>
      </c>
      <c r="C22339">
        <f>HYPERLINK("https://android.googlesource.com/platform/cts/+/4a4ac91534edc4304a0eb6bdabcfba60fa7ec652", "4a4ac91534edc4304a0eb6bdabcfba60fa7ec652")</f>
        <v>0</v>
      </c>
      <c r="D22339" t="s">
        <v>5085</v>
      </c>
      <c r="E22339" t="s">
        <v>6744</v>
      </c>
      <c r="F22339" t="s">
        <v>12766</v>
      </c>
      <c r="G22339" t="s">
        <v>16940</v>
      </c>
      <c r="H22339" t="s">
        <v>26323</v>
      </c>
    </row>
    <row r="22340" spans="1:8">
      <c r="F22340" t="s">
        <v>12767</v>
      </c>
      <c r="G22340" t="s">
        <v>16955</v>
      </c>
      <c r="H22340" t="s">
        <v>26302</v>
      </c>
    </row>
    <row r="22341" spans="1:8">
      <c r="F22341" t="s">
        <v>12761</v>
      </c>
      <c r="G22341" t="s">
        <v>16952</v>
      </c>
      <c r="H22341" t="s">
        <v>26324</v>
      </c>
    </row>
    <row r="22342" spans="1:8">
      <c r="H22342" t="s">
        <v>26325</v>
      </c>
    </row>
    <row r="22343" spans="1:8">
      <c r="H22343" t="s">
        <v>26326</v>
      </c>
    </row>
    <row r="22344" spans="1:8">
      <c r="H22344" t="s">
        <v>26327</v>
      </c>
    </row>
    <row r="22345" spans="1:8">
      <c r="H22345" t="s">
        <v>26328</v>
      </c>
    </row>
    <row r="22346" spans="1:8">
      <c r="H22346" t="s">
        <v>26329</v>
      </c>
    </row>
    <row r="22347" spans="1:8">
      <c r="H22347" t="s">
        <v>26330</v>
      </c>
    </row>
    <row r="22348" spans="1:8">
      <c r="H22348" t="s">
        <v>26331</v>
      </c>
    </row>
    <row r="22349" spans="1:8">
      <c r="F22349" t="s">
        <v>12762</v>
      </c>
      <c r="G22349" t="s">
        <v>16953</v>
      </c>
      <c r="H22349" t="s">
        <v>26332</v>
      </c>
    </row>
    <row r="22350" spans="1:8">
      <c r="F22350" t="s">
        <v>12768</v>
      </c>
      <c r="G22350" t="s">
        <v>15710</v>
      </c>
      <c r="H22350" t="s">
        <v>18863</v>
      </c>
    </row>
    <row r="22351" spans="1:8">
      <c r="H22351" t="s">
        <v>26333</v>
      </c>
    </row>
    <row r="22352" spans="1:8">
      <c r="H22352" t="s">
        <v>26334</v>
      </c>
    </row>
    <row r="22353" spans="1:8">
      <c r="H22353" t="s">
        <v>26335</v>
      </c>
    </row>
    <row r="22354" spans="1:8">
      <c r="H22354" t="s">
        <v>26336</v>
      </c>
    </row>
    <row r="22355" spans="1:8">
      <c r="H22355" t="s">
        <v>26337</v>
      </c>
    </row>
    <row r="22356" spans="1:8">
      <c r="H22356" t="s">
        <v>26338</v>
      </c>
    </row>
    <row r="22357" spans="1:8">
      <c r="H22357" t="s">
        <v>26339</v>
      </c>
    </row>
    <row r="22358" spans="1:8">
      <c r="H22358" t="s">
        <v>26340</v>
      </c>
    </row>
    <row r="22359" spans="1:8">
      <c r="H22359" t="s">
        <v>26341</v>
      </c>
    </row>
    <row r="22360" spans="1:8">
      <c r="H22360" t="s">
        <v>26342</v>
      </c>
    </row>
    <row r="22361" spans="1:8">
      <c r="H22361" t="s">
        <v>26343</v>
      </c>
    </row>
    <row r="22362" spans="1:8">
      <c r="H22362" t="s">
        <v>26344</v>
      </c>
    </row>
    <row r="22363" spans="1:8">
      <c r="H22363" t="s">
        <v>26345</v>
      </c>
    </row>
    <row r="22364" spans="1:8">
      <c r="H22364" t="s">
        <v>26346</v>
      </c>
    </row>
    <row r="22365" spans="1:8">
      <c r="H22365" t="s">
        <v>26347</v>
      </c>
    </row>
    <row r="22366" spans="1:8">
      <c r="H22366" t="s">
        <v>26348</v>
      </c>
    </row>
    <row r="22367" spans="1:8">
      <c r="H22367" t="s">
        <v>26349</v>
      </c>
    </row>
    <row r="22368" spans="1:8">
      <c r="A22368" t="s">
        <v>967</v>
      </c>
      <c r="B22368">
        <f>HYPERLINK("https://android.googlesource.com/platform/cts/+/4614db983abe4cf67777fc131bb61684fbdd2524", "4614db983abe4cf67777fc131bb61684fbdd2524")</f>
        <v>0</v>
      </c>
      <c r="C22368">
        <f>HYPERLINK("https://android.googlesource.com/platform/cts/+/bc5a3c673daff6d6b5a844251bf6f64477492723", "bc5a3c673daff6d6b5a844251bf6f64477492723")</f>
        <v>0</v>
      </c>
      <c r="D22368" t="s">
        <v>5048</v>
      </c>
      <c r="E22368" t="s">
        <v>6745</v>
      </c>
      <c r="F22368" t="s">
        <v>12609</v>
      </c>
      <c r="G22368" t="s">
        <v>16554</v>
      </c>
      <c r="H22368" t="s">
        <v>26350</v>
      </c>
    </row>
    <row r="22369" spans="1:8">
      <c r="H22369" t="s">
        <v>26351</v>
      </c>
    </row>
    <row r="22370" spans="1:8">
      <c r="H22370" t="s">
        <v>26352</v>
      </c>
    </row>
    <row r="22371" spans="1:8">
      <c r="A22371" t="s">
        <v>968</v>
      </c>
      <c r="B22371">
        <f>HYPERLINK("https://android.googlesource.com/platform/cts/+/396ce25e4cbab2e177c08338c64b9c11ea6b7147", "396ce25e4cbab2e177c08338c64b9c11ea6b7147")</f>
        <v>0</v>
      </c>
      <c r="C22371">
        <f>HYPERLINK("https://android.googlesource.com/platform/cts/+/ac4b112b96e40eedc480a1685876d5c4c985ff2d", "ac4b112b96e40eedc480a1685876d5c4c985ff2d")</f>
        <v>0</v>
      </c>
      <c r="D22371" t="s">
        <v>4971</v>
      </c>
      <c r="E22371" t="s">
        <v>6746</v>
      </c>
      <c r="F22371" t="s">
        <v>12769</v>
      </c>
      <c r="G22371" t="s">
        <v>16956</v>
      </c>
      <c r="H22371" t="s">
        <v>26353</v>
      </c>
    </row>
    <row r="22372" spans="1:8">
      <c r="A22372" t="s">
        <v>969</v>
      </c>
      <c r="B22372">
        <f>HYPERLINK("https://android.googlesource.com/platform/cts/+/2d29cb1b4eeda1593d1f5f5f1785ceb1a8219ee1", "2d29cb1b4eeda1593d1f5f5f1785ceb1a8219ee1")</f>
        <v>0</v>
      </c>
      <c r="C22372">
        <f>HYPERLINK("https://android.googlesource.com/platform/cts/+/788182e37e833ee51428846029143a0e1392824d", "788182e37e833ee51428846029143a0e1392824d")</f>
        <v>0</v>
      </c>
      <c r="D22372" t="s">
        <v>5122</v>
      </c>
      <c r="E22372" t="s">
        <v>6747</v>
      </c>
      <c r="F22372" t="s">
        <v>12770</v>
      </c>
      <c r="G22372" t="s">
        <v>16957</v>
      </c>
      <c r="H22372" t="s">
        <v>26354</v>
      </c>
    </row>
    <row r="22373" spans="1:8">
      <c r="A22373" t="s">
        <v>970</v>
      </c>
      <c r="B22373">
        <f>HYPERLINK("https://android.googlesource.com/platform/cts/+/daffcecfeebd53e06e4e43dfe6905a84742a16e7", "daffcecfeebd53e06e4e43dfe6905a84742a16e7")</f>
        <v>0</v>
      </c>
      <c r="C22373">
        <f>HYPERLINK("https://android.googlesource.com/platform/cts/+/a3f94678cb10cbb9b1ad997591c98c22c7e71358", "a3f94678cb10cbb9b1ad997591c98c22c7e71358")</f>
        <v>0</v>
      </c>
      <c r="D22373" t="s">
        <v>5134</v>
      </c>
      <c r="E22373" t="s">
        <v>6748</v>
      </c>
      <c r="F22373" t="s">
        <v>12771</v>
      </c>
      <c r="G22373" t="s">
        <v>16958</v>
      </c>
      <c r="H22373" t="s">
        <v>26355</v>
      </c>
    </row>
    <row r="22374" spans="1:8">
      <c r="A22374" t="s">
        <v>971</v>
      </c>
      <c r="B22374">
        <f>HYPERLINK("https://android.googlesource.com/platform/cts/+/19dd977c92c89d3b2702ecabfd9d2d48c5bdd070", "19dd977c92c89d3b2702ecabfd9d2d48c5bdd070")</f>
        <v>0</v>
      </c>
      <c r="C22374">
        <f>HYPERLINK("https://android.googlesource.com/platform/cts/+/b1b723186902c71913b16ca2d6daae77b700bf36", "b1b723186902c71913b16ca2d6daae77b700bf36")</f>
        <v>0</v>
      </c>
      <c r="D22374" t="s">
        <v>5118</v>
      </c>
      <c r="E22374" t="s">
        <v>6749</v>
      </c>
      <c r="F22374" t="s">
        <v>12733</v>
      </c>
      <c r="G22374" t="s">
        <v>16854</v>
      </c>
      <c r="H22374" t="s">
        <v>26356</v>
      </c>
    </row>
    <row r="22375" spans="1:8">
      <c r="A22375" t="s">
        <v>972</v>
      </c>
      <c r="B22375">
        <f>HYPERLINK("https://android.googlesource.com/platform/cts/+/d07b043eaf456c7dd596bb4d79eee4add9a438e1", "d07b043eaf456c7dd596bb4d79eee4add9a438e1")</f>
        <v>0</v>
      </c>
      <c r="C22375">
        <f>HYPERLINK("https://android.googlesource.com/platform/cts/+/23d775efe9a874e8d98a750855ee9abfcdb61f34", "23d775efe9a874e8d98a750855ee9abfcdb61f34")</f>
        <v>0</v>
      </c>
      <c r="D22375" t="s">
        <v>5135</v>
      </c>
      <c r="E22375" t="s">
        <v>6750</v>
      </c>
      <c r="F22375" t="s">
        <v>12772</v>
      </c>
      <c r="G22375" t="s">
        <v>16543</v>
      </c>
      <c r="H22375" t="s">
        <v>26357</v>
      </c>
    </row>
    <row r="22376" spans="1:8">
      <c r="A22376" t="s">
        <v>973</v>
      </c>
      <c r="B22376">
        <f>HYPERLINK("https://android.googlesource.com/platform/cts/+/50a0db7e76e2380940e5ec1cf7fafd9592a062f5", "50a0db7e76e2380940e5ec1cf7fafd9592a062f5")</f>
        <v>0</v>
      </c>
      <c r="C22376">
        <f>HYPERLINK("https://android.googlesource.com/platform/cts/+/98c5cb02cc2f63cb403e83c38afb37736780a897", "98c5cb02cc2f63cb403e83c38afb37736780a897")</f>
        <v>0</v>
      </c>
      <c r="D22376" t="s">
        <v>5060</v>
      </c>
      <c r="E22376" t="s">
        <v>6751</v>
      </c>
      <c r="F22376" t="s">
        <v>12342</v>
      </c>
      <c r="G22376" t="s">
        <v>16570</v>
      </c>
      <c r="H22376" t="s">
        <v>24992</v>
      </c>
    </row>
    <row r="22377" spans="1:8">
      <c r="A22377" t="s">
        <v>974</v>
      </c>
      <c r="B22377">
        <f>HYPERLINK("https://android.googlesource.com/platform/cts/+/ae4a5536526101acf98eea60db85536d1819b203", "ae4a5536526101acf98eea60db85536d1819b203")</f>
        <v>0</v>
      </c>
      <c r="C22377">
        <f>HYPERLINK("https://android.googlesource.com/platform/cts/+/e4ba0dcedf949349880eb547b90ca878c66a375e", "e4ba0dcedf949349880eb547b90ca878c66a375e")</f>
        <v>0</v>
      </c>
      <c r="D22377" t="s">
        <v>5060</v>
      </c>
      <c r="E22377" t="s">
        <v>6752</v>
      </c>
      <c r="F22377" t="s">
        <v>12342</v>
      </c>
      <c r="G22377" t="s">
        <v>16570</v>
      </c>
      <c r="H22377" t="s">
        <v>24992</v>
      </c>
    </row>
    <row r="22378" spans="1:8">
      <c r="A22378" t="s">
        <v>975</v>
      </c>
      <c r="B22378">
        <f>HYPERLINK("https://android.googlesource.com/platform/cts/+/d1f30c0fa73e0918ec7040072a91f34fb9cd0777", "d1f30c0fa73e0918ec7040072a91f34fb9cd0777")</f>
        <v>0</v>
      </c>
      <c r="C22378">
        <f>HYPERLINK("https://android.googlesource.com/platform/cts/+/0ecaf158c14f75560d9b78fbd8a06d88e118b9da", "0ecaf158c14f75560d9b78fbd8a06d88e118b9da")</f>
        <v>0</v>
      </c>
      <c r="D22378" t="s">
        <v>5136</v>
      </c>
      <c r="E22378" t="s">
        <v>6753</v>
      </c>
      <c r="F22378" t="s">
        <v>10778</v>
      </c>
      <c r="G22378" t="s">
        <v>15174</v>
      </c>
      <c r="H22378" t="s">
        <v>26358</v>
      </c>
    </row>
    <row r="22379" spans="1:8">
      <c r="H22379" t="s">
        <v>26359</v>
      </c>
    </row>
    <row r="22380" spans="1:8">
      <c r="A22380" t="s">
        <v>976</v>
      </c>
      <c r="B22380">
        <f>HYPERLINK("https://android.googlesource.com/platform/cts/+/286f6fcd85c64eac9bb778303d114f5eb8bc46d1", "286f6fcd85c64eac9bb778303d114f5eb8bc46d1")</f>
        <v>0</v>
      </c>
      <c r="C22380">
        <f>HYPERLINK("https://android.googlesource.com/platform/cts/+/7c1d6150506403cb33e0f0f7d593789acfdaa628", "7c1d6150506403cb33e0f0f7d593789acfdaa628")</f>
        <v>0</v>
      </c>
      <c r="D22380" t="s">
        <v>5134</v>
      </c>
      <c r="E22380" t="s">
        <v>6754</v>
      </c>
      <c r="F22380" t="s">
        <v>12773</v>
      </c>
      <c r="G22380" t="s">
        <v>15100</v>
      </c>
      <c r="H22380" t="s">
        <v>26360</v>
      </c>
    </row>
    <row r="22381" spans="1:8">
      <c r="H22381" t="s">
        <v>26361</v>
      </c>
    </row>
    <row r="22382" spans="1:8">
      <c r="H22382" t="s">
        <v>26362</v>
      </c>
    </row>
    <row r="22383" spans="1:8">
      <c r="H22383" t="s">
        <v>26363</v>
      </c>
    </row>
    <row r="22384" spans="1:8">
      <c r="A22384" t="s">
        <v>977</v>
      </c>
      <c r="B22384">
        <f>HYPERLINK("https://android.googlesource.com/platform/cts/+/71a1a7085bb98d48ea9f10347d0c7f714a7c6e0c", "71a1a7085bb98d48ea9f10347d0c7f714a7c6e0c")</f>
        <v>0</v>
      </c>
      <c r="C22384">
        <f>HYPERLINK("https://android.googlesource.com/platform/cts/+/180f7fd154eada6fa82bf13b36bd392f349a6c61", "180f7fd154eada6fa82bf13b36bd392f349a6c61")</f>
        <v>0</v>
      </c>
      <c r="D22384" t="s">
        <v>5137</v>
      </c>
      <c r="E22384" t="s">
        <v>6755</v>
      </c>
      <c r="F22384" t="s">
        <v>12768</v>
      </c>
      <c r="G22384" t="s">
        <v>15710</v>
      </c>
      <c r="H22384" t="s">
        <v>26364</v>
      </c>
    </row>
    <row r="22385" spans="1:8">
      <c r="H22385" t="s">
        <v>26365</v>
      </c>
    </row>
    <row r="22386" spans="1:8">
      <c r="A22386" t="s">
        <v>978</v>
      </c>
      <c r="B22386">
        <f>HYPERLINK("https://android.googlesource.com/platform/cts/+/4fd3ca36abd6437ff8bf4d4ff24ffe1321413d0a", "4fd3ca36abd6437ff8bf4d4ff24ffe1321413d0a")</f>
        <v>0</v>
      </c>
      <c r="C22386">
        <f>HYPERLINK("https://android.googlesource.com/platform/cts/+/dc7d94929e909289731a833df59e39a5d5daab1f", "dc7d94929e909289731a833df59e39a5d5daab1f")</f>
        <v>0</v>
      </c>
      <c r="D22386" t="s">
        <v>5085</v>
      </c>
      <c r="E22386" t="s">
        <v>6756</v>
      </c>
      <c r="F22386" t="s">
        <v>12745</v>
      </c>
      <c r="G22386" t="s">
        <v>16937</v>
      </c>
      <c r="H22386" t="s">
        <v>25782</v>
      </c>
    </row>
    <row r="22387" spans="1:8">
      <c r="H22387" t="s">
        <v>25781</v>
      </c>
    </row>
    <row r="22388" spans="1:8">
      <c r="A22388" t="s">
        <v>979</v>
      </c>
      <c r="B22388">
        <f>HYPERLINK("https://android.googlesource.com/platform/cts/+/16ba4191c26aa4fdd28209465d4401c6ff35b436", "16ba4191c26aa4fdd28209465d4401c6ff35b436")</f>
        <v>0</v>
      </c>
      <c r="C22388">
        <f>HYPERLINK("https://android.googlesource.com/platform/cts/+/da0eb3ed691079232921e799b502c29073745112", "da0eb3ed691079232921e799b502c29073745112")</f>
        <v>0</v>
      </c>
      <c r="D22388" t="s">
        <v>5029</v>
      </c>
      <c r="E22388" t="s">
        <v>6757</v>
      </c>
      <c r="F22388" t="s">
        <v>12327</v>
      </c>
      <c r="G22388" t="s">
        <v>16557</v>
      </c>
      <c r="H22388" t="s">
        <v>22136</v>
      </c>
    </row>
    <row r="22389" spans="1:8">
      <c r="A22389" t="s">
        <v>980</v>
      </c>
      <c r="B22389">
        <f>HYPERLINK("https://android.googlesource.com/platform/cts/+/f09a96c482f265efc8b3d1f11f0eee91055e7ab4", "f09a96c482f265efc8b3d1f11f0eee91055e7ab4")</f>
        <v>0</v>
      </c>
      <c r="C22389">
        <f>HYPERLINK("https://android.googlesource.com/platform/cts/+/9db4f84a2599bfacf719050bc5ea5a6785387085", "9db4f84a2599bfacf719050bc5ea5a6785387085")</f>
        <v>0</v>
      </c>
      <c r="D22389" t="s">
        <v>5059</v>
      </c>
      <c r="E22389" t="s">
        <v>6758</v>
      </c>
      <c r="F22389" t="s">
        <v>12774</v>
      </c>
      <c r="G22389" t="s">
        <v>16959</v>
      </c>
      <c r="H22389" t="s">
        <v>26366</v>
      </c>
    </row>
    <row r="22390" spans="1:8">
      <c r="A22390" t="s">
        <v>981</v>
      </c>
      <c r="B22390">
        <f>HYPERLINK("https://android.googlesource.com/platform/cts/+/6b548d68a1357e3c568d805688134ab7fbe4e509", "6b548d68a1357e3c568d805688134ab7fbe4e509")</f>
        <v>0</v>
      </c>
      <c r="C22390">
        <f>HYPERLINK("https://android.googlesource.com/platform/cts/+/bd4dd355f09455d7092208c95738a4b31588b2ba", "bd4dd355f09455d7092208c95738a4b31588b2ba")</f>
        <v>0</v>
      </c>
      <c r="D22390" t="s">
        <v>5127</v>
      </c>
      <c r="E22390" t="s">
        <v>6759</v>
      </c>
      <c r="F22390" t="s">
        <v>12629</v>
      </c>
      <c r="G22390" t="s">
        <v>16838</v>
      </c>
      <c r="H22390" t="s">
        <v>26367</v>
      </c>
    </row>
    <row r="22391" spans="1:8">
      <c r="A22391" t="s">
        <v>982</v>
      </c>
      <c r="B22391">
        <f>HYPERLINK("https://android.googlesource.com/platform/cts/+/364fd16016b96162ce055395bab59b70621ecb0f", "364fd16016b96162ce055395bab59b70621ecb0f")</f>
        <v>0</v>
      </c>
      <c r="C22391">
        <f>HYPERLINK("https://android.googlesource.com/platform/cts/+/c07b74e0c83a1a6d35acd541c10abf81012f53c3", "c07b74e0c83a1a6d35acd541c10abf81012f53c3")</f>
        <v>0</v>
      </c>
      <c r="D22391" t="s">
        <v>4991</v>
      </c>
      <c r="E22391" t="s">
        <v>6760</v>
      </c>
      <c r="F22391" t="s">
        <v>12775</v>
      </c>
      <c r="G22391" t="s">
        <v>16960</v>
      </c>
      <c r="H22391" t="s">
        <v>26368</v>
      </c>
    </row>
    <row r="22392" spans="1:8">
      <c r="H22392" t="s">
        <v>18829</v>
      </c>
    </row>
    <row r="22393" spans="1:8">
      <c r="H22393" t="s">
        <v>18863</v>
      </c>
    </row>
    <row r="22394" spans="1:8">
      <c r="H22394" t="s">
        <v>26369</v>
      </c>
    </row>
    <row r="22395" spans="1:8">
      <c r="A22395" t="s">
        <v>983</v>
      </c>
      <c r="B22395">
        <f>HYPERLINK("https://android.googlesource.com/platform/cts/+/987019298727695c2b202081153a2bd67de1b063", "987019298727695c2b202081153a2bd67de1b063")</f>
        <v>0</v>
      </c>
      <c r="C22395">
        <f>HYPERLINK("https://android.googlesource.com/platform/cts/+/f480e061734cc4f08aa141a18b0985fbcc2e4f5b", "f480e061734cc4f08aa141a18b0985fbcc2e4f5b")</f>
        <v>0</v>
      </c>
      <c r="D22395" t="s">
        <v>5073</v>
      </c>
      <c r="E22395" t="s">
        <v>6761</v>
      </c>
      <c r="F22395" t="s">
        <v>12776</v>
      </c>
      <c r="G22395" t="s">
        <v>16961</v>
      </c>
      <c r="H22395" t="s">
        <v>26370</v>
      </c>
    </row>
    <row r="22396" spans="1:8">
      <c r="A22396" t="s">
        <v>984</v>
      </c>
      <c r="B22396">
        <f>HYPERLINK("https://android.googlesource.com/platform/cts/+/0f095ca986d7558f9f5260c71a12cef4474d9da3", "0f095ca986d7558f9f5260c71a12cef4474d9da3")</f>
        <v>0</v>
      </c>
      <c r="C22396">
        <f>HYPERLINK("https://android.googlesource.com/platform/cts/+/d8232b1acfa2fafb2329f4ac70015d2411fa862f", "d8232b1acfa2fafb2329f4ac70015d2411fa862f")</f>
        <v>0</v>
      </c>
      <c r="D22396" t="s">
        <v>5132</v>
      </c>
      <c r="E22396" t="s">
        <v>6762</v>
      </c>
      <c r="F22396" t="s">
        <v>10794</v>
      </c>
      <c r="G22396" t="s">
        <v>15189</v>
      </c>
      <c r="H22396" t="s">
        <v>26371</v>
      </c>
    </row>
    <row r="22397" spans="1:8">
      <c r="A22397" t="s">
        <v>985</v>
      </c>
      <c r="B22397">
        <f>HYPERLINK("https://android.googlesource.com/platform/cts/+/219c1171cf01c735ee805132084e79add5c5aa7e", "219c1171cf01c735ee805132084e79add5c5aa7e")</f>
        <v>0</v>
      </c>
      <c r="C22397">
        <f>HYPERLINK("https://android.googlesource.com/platform/cts/+/931d2695337f70f1abf31253c42e3bdf6eb338e2", "931d2695337f70f1abf31253c42e3bdf6eb338e2")</f>
        <v>0</v>
      </c>
      <c r="D22397" t="s">
        <v>4997</v>
      </c>
      <c r="E22397" t="s">
        <v>6763</v>
      </c>
      <c r="F22397" t="s">
        <v>12714</v>
      </c>
      <c r="G22397" t="s">
        <v>16914</v>
      </c>
      <c r="H22397" t="s">
        <v>26005</v>
      </c>
    </row>
    <row r="22398" spans="1:8">
      <c r="H22398" t="s">
        <v>26006</v>
      </c>
    </row>
    <row r="22399" spans="1:8">
      <c r="H22399" t="s">
        <v>26007</v>
      </c>
    </row>
    <row r="22400" spans="1:8">
      <c r="H22400" t="s">
        <v>26008</v>
      </c>
    </row>
    <row r="22401" spans="1:8">
      <c r="H22401" t="s">
        <v>26009</v>
      </c>
    </row>
    <row r="22402" spans="1:8">
      <c r="A22402" t="s">
        <v>986</v>
      </c>
      <c r="B22402">
        <f>HYPERLINK("https://android.googlesource.com/platform/cts/+/eb7db9c2a20f5067d031f97da49bd0028ed23232", "eb7db9c2a20f5067d031f97da49bd0028ed23232")</f>
        <v>0</v>
      </c>
      <c r="C22402">
        <f>HYPERLINK("https://android.googlesource.com/platform/cts/+/65731297b87192084b78cf884593f3cc81ffe419", "65731297b87192084b78cf884593f3cc81ffe419")</f>
        <v>0</v>
      </c>
      <c r="D22402" t="s">
        <v>5138</v>
      </c>
      <c r="E22402" t="s">
        <v>6764</v>
      </c>
      <c r="F22402" t="s">
        <v>12777</v>
      </c>
      <c r="G22402" t="s">
        <v>16962</v>
      </c>
      <c r="H22402" t="s">
        <v>26372</v>
      </c>
    </row>
    <row r="22403" spans="1:8">
      <c r="H22403" t="s">
        <v>26373</v>
      </c>
    </row>
    <row r="22404" spans="1:8">
      <c r="H22404" t="s">
        <v>26374</v>
      </c>
    </row>
    <row r="22405" spans="1:8">
      <c r="H22405" t="s">
        <v>26375</v>
      </c>
    </row>
    <row r="22406" spans="1:8">
      <c r="H22406" t="s">
        <v>26376</v>
      </c>
    </row>
    <row r="22407" spans="1:8">
      <c r="H22407" t="s">
        <v>26377</v>
      </c>
    </row>
    <row r="22408" spans="1:8">
      <c r="H22408" t="s">
        <v>26378</v>
      </c>
    </row>
    <row r="22409" spans="1:8">
      <c r="A22409" t="s">
        <v>987</v>
      </c>
      <c r="B22409">
        <f>HYPERLINK("https://android.googlesource.com/platform/cts/+/e5955cd84c0af809e11d232b1d1139cbfc3b4e6e", "e5955cd84c0af809e11d232b1d1139cbfc3b4e6e")</f>
        <v>0</v>
      </c>
      <c r="C22409">
        <f>HYPERLINK("https://android.googlesource.com/platform/cts/+/dbdf5086ddaa5bdc6d4793a930bc05f9fdba3609", "dbdf5086ddaa5bdc6d4793a930bc05f9fdba3609")</f>
        <v>0</v>
      </c>
      <c r="D22409" t="s">
        <v>5028</v>
      </c>
      <c r="E22409" t="s">
        <v>6765</v>
      </c>
      <c r="F22409" t="s">
        <v>12778</v>
      </c>
      <c r="G22409" t="s">
        <v>16963</v>
      </c>
      <c r="H22409" t="s">
        <v>18829</v>
      </c>
    </row>
    <row r="22410" spans="1:8">
      <c r="H22410" t="s">
        <v>18863</v>
      </c>
    </row>
    <row r="22411" spans="1:8">
      <c r="H22411" t="s">
        <v>26379</v>
      </c>
    </row>
    <row r="22412" spans="1:8">
      <c r="H22412" t="s">
        <v>26380</v>
      </c>
    </row>
    <row r="22413" spans="1:8">
      <c r="H22413" t="s">
        <v>26381</v>
      </c>
    </row>
    <row r="22414" spans="1:8">
      <c r="H22414" t="s">
        <v>26382</v>
      </c>
    </row>
    <row r="22415" spans="1:8">
      <c r="H22415" t="s">
        <v>26383</v>
      </c>
    </row>
    <row r="22416" spans="1:8">
      <c r="H22416" t="s">
        <v>26384</v>
      </c>
    </row>
    <row r="22417" spans="1:8">
      <c r="H22417" t="s">
        <v>26385</v>
      </c>
    </row>
    <row r="22418" spans="1:8">
      <c r="A22418" t="s">
        <v>988</v>
      </c>
      <c r="B22418">
        <f>HYPERLINK("https://android.googlesource.com/platform/cts/+/8a31c4c3b9340dceca107ad21496b913b4bd9b0f", "8a31c4c3b9340dceca107ad21496b913b4bd9b0f")</f>
        <v>0</v>
      </c>
      <c r="C22418">
        <f>HYPERLINK("https://android.googlesource.com/platform/cts/+/f8febd4813fa9ce637ddaa6b6ce7cd9b56e1a142", "f8febd4813fa9ce637ddaa6b6ce7cd9b56e1a142")</f>
        <v>0</v>
      </c>
      <c r="D22418" t="s">
        <v>5044</v>
      </c>
      <c r="E22418" t="s">
        <v>6766</v>
      </c>
      <c r="F22418" t="s">
        <v>12428</v>
      </c>
      <c r="G22418" t="s">
        <v>16619</v>
      </c>
      <c r="H22418" t="s">
        <v>22592</v>
      </c>
    </row>
    <row r="22419" spans="1:8">
      <c r="H22419" t="s">
        <v>22593</v>
      </c>
    </row>
    <row r="22420" spans="1:8">
      <c r="A22420" t="s">
        <v>989</v>
      </c>
      <c r="B22420">
        <f>HYPERLINK("https://android.googlesource.com/platform/cts/+/b928f9754c106b29b5e813b876509e1bd036430d", "b928f9754c106b29b5e813b876509e1bd036430d")</f>
        <v>0</v>
      </c>
      <c r="C22420">
        <f>HYPERLINK("https://android.googlesource.com/platform/cts/+/8a31c4c3b9340dceca107ad21496b913b4bd9b0f", "8a31c4c3b9340dceca107ad21496b913b4bd9b0f")</f>
        <v>0</v>
      </c>
      <c r="D22420" t="s">
        <v>5139</v>
      </c>
      <c r="E22420" t="s">
        <v>6767</v>
      </c>
      <c r="F22420" t="s">
        <v>12779</v>
      </c>
      <c r="G22420" t="s">
        <v>16964</v>
      </c>
      <c r="H22420" t="s">
        <v>26386</v>
      </c>
    </row>
    <row r="22421" spans="1:8">
      <c r="H22421" t="s">
        <v>26387</v>
      </c>
    </row>
    <row r="22422" spans="1:8">
      <c r="H22422" t="s">
        <v>26388</v>
      </c>
    </row>
    <row r="22423" spans="1:8">
      <c r="A22423" t="s">
        <v>990</v>
      </c>
      <c r="B22423">
        <f>HYPERLINK("https://android.googlesource.com/platform/cts/+/e38cc07991aa324da41bd0028c7342cc911fd1a9", "e38cc07991aa324da41bd0028c7342cc911fd1a9")</f>
        <v>0</v>
      </c>
      <c r="C22423">
        <f>HYPERLINK("https://android.googlesource.com/platform/cts/+/fd7bb14b9bb3c792635f448c25527587a01898af", "fd7bb14b9bb3c792635f448c25527587a01898af")</f>
        <v>0</v>
      </c>
      <c r="D22423" t="s">
        <v>5002</v>
      </c>
      <c r="E22423" t="s">
        <v>6768</v>
      </c>
      <c r="F22423" t="s">
        <v>12780</v>
      </c>
      <c r="G22423" t="s">
        <v>16965</v>
      </c>
      <c r="H22423" t="s">
        <v>20244</v>
      </c>
    </row>
    <row r="22424" spans="1:8">
      <c r="H22424" t="s">
        <v>18829</v>
      </c>
    </row>
    <row r="22425" spans="1:8">
      <c r="H22425" t="s">
        <v>18863</v>
      </c>
    </row>
    <row r="22426" spans="1:8">
      <c r="A22426" t="s">
        <v>991</v>
      </c>
      <c r="B22426">
        <f>HYPERLINK("https://android.googlesource.com/platform/cts/+/e472f22bd4ececc38235f791093e50e8954dbcb0", "e472f22bd4ececc38235f791093e50e8954dbcb0")</f>
        <v>0</v>
      </c>
      <c r="C22426">
        <f>HYPERLINK("https://android.googlesource.com/platform/cts/+/34278d0b58fd608a64f1e6aec57c531bd0290d49", "34278d0b58fd608a64f1e6aec57c531bd0290d49")</f>
        <v>0</v>
      </c>
      <c r="D22426" t="s">
        <v>5140</v>
      </c>
      <c r="E22426" t="s">
        <v>6769</v>
      </c>
      <c r="F22426" t="s">
        <v>12428</v>
      </c>
      <c r="G22426" t="s">
        <v>16619</v>
      </c>
      <c r="H22426" t="s">
        <v>22586</v>
      </c>
    </row>
    <row r="22427" spans="1:8">
      <c r="H22427" t="s">
        <v>22590</v>
      </c>
    </row>
    <row r="22428" spans="1:8">
      <c r="A22428" t="s">
        <v>992</v>
      </c>
      <c r="B22428">
        <f>HYPERLINK("https://android.googlesource.com/platform/cts/+/4767e57cc2cd10c648ef9c6cdab8d72c17410021", "4767e57cc2cd10c648ef9c6cdab8d72c17410021")</f>
        <v>0</v>
      </c>
      <c r="C22428">
        <f>HYPERLINK("https://android.googlesource.com/platform/cts/+/f0fd1a60a6f389bed1eaf2959d581506de8d84dc", "f0fd1a60a6f389bed1eaf2959d581506de8d84dc")</f>
        <v>0</v>
      </c>
      <c r="D22428" t="s">
        <v>4973</v>
      </c>
      <c r="E22428" t="s">
        <v>6770</v>
      </c>
      <c r="F22428" t="s">
        <v>12781</v>
      </c>
      <c r="G22428" t="s">
        <v>16966</v>
      </c>
      <c r="H22428" t="s">
        <v>26389</v>
      </c>
    </row>
    <row r="22429" spans="1:8">
      <c r="H22429" t="s">
        <v>26390</v>
      </c>
    </row>
    <row r="22430" spans="1:8">
      <c r="H22430" t="s">
        <v>26316</v>
      </c>
    </row>
    <row r="22431" spans="1:8">
      <c r="H22431" t="s">
        <v>21462</v>
      </c>
    </row>
    <row r="22432" spans="1:8">
      <c r="H22432" t="s">
        <v>25805</v>
      </c>
    </row>
    <row r="22433" spans="1:8">
      <c r="H22433" t="s">
        <v>26391</v>
      </c>
    </row>
    <row r="22434" spans="1:8">
      <c r="A22434" t="s">
        <v>993</v>
      </c>
      <c r="B22434">
        <f>HYPERLINK("https://android.googlesource.com/platform/cts/+/a600a0ec71f2243786795e7860360dd8c205dbe0", "a600a0ec71f2243786795e7860360dd8c205dbe0")</f>
        <v>0</v>
      </c>
      <c r="C22434">
        <f>HYPERLINK("https://android.googlesource.com/platform/cts/+/5a01b6c8bc3167159f9f347c0ecef4b97966ef25", "5a01b6c8bc3167159f9f347c0ecef4b97966ef25")</f>
        <v>0</v>
      </c>
      <c r="D22434" t="s">
        <v>5030</v>
      </c>
      <c r="E22434" t="s">
        <v>6771</v>
      </c>
      <c r="F22434" t="s">
        <v>12782</v>
      </c>
      <c r="G22434" t="s">
        <v>16420</v>
      </c>
      <c r="H22434" t="s">
        <v>26392</v>
      </c>
    </row>
    <row r="22435" spans="1:8">
      <c r="H22435" t="s">
        <v>26393</v>
      </c>
    </row>
    <row r="22436" spans="1:8">
      <c r="H22436" t="s">
        <v>19296</v>
      </c>
    </row>
    <row r="22437" spans="1:8">
      <c r="H22437" t="s">
        <v>19297</v>
      </c>
    </row>
    <row r="22438" spans="1:8">
      <c r="H22438" t="s">
        <v>26394</v>
      </c>
    </row>
    <row r="22439" spans="1:8">
      <c r="H22439" t="s">
        <v>26395</v>
      </c>
    </row>
    <row r="22440" spans="1:8">
      <c r="H22440" t="s">
        <v>25704</v>
      </c>
    </row>
    <row r="22441" spans="1:8">
      <c r="H22441" t="s">
        <v>26396</v>
      </c>
    </row>
    <row r="22442" spans="1:8">
      <c r="H22442" t="s">
        <v>26397</v>
      </c>
    </row>
    <row r="22443" spans="1:8">
      <c r="H22443" t="s">
        <v>26398</v>
      </c>
    </row>
    <row r="22444" spans="1:8">
      <c r="H22444" t="s">
        <v>26399</v>
      </c>
    </row>
    <row r="22445" spans="1:8">
      <c r="A22445" t="s">
        <v>994</v>
      </c>
      <c r="B22445">
        <f>HYPERLINK("https://android.googlesource.com/platform/cts/+/c264313c6594455bc9e670390acdabe500bf22a1", "c264313c6594455bc9e670390acdabe500bf22a1")</f>
        <v>0</v>
      </c>
      <c r="C22445">
        <f>HYPERLINK("https://android.googlesource.com/platform/cts/+/8787eb060bd8b8b1d09afc8bcf7882353264a9ee", "8787eb060bd8b8b1d09afc8bcf7882353264a9ee")</f>
        <v>0</v>
      </c>
      <c r="D22445" t="s">
        <v>5059</v>
      </c>
      <c r="E22445" t="s">
        <v>6772</v>
      </c>
      <c r="F22445" t="s">
        <v>12774</v>
      </c>
      <c r="G22445" t="s">
        <v>16967</v>
      </c>
      <c r="H22445" t="s">
        <v>18829</v>
      </c>
    </row>
    <row r="22446" spans="1:8">
      <c r="H22446" t="s">
        <v>18863</v>
      </c>
    </row>
    <row r="22447" spans="1:8">
      <c r="H22447" t="s">
        <v>26400</v>
      </c>
    </row>
    <row r="22448" spans="1:8">
      <c r="H22448" t="s">
        <v>26401</v>
      </c>
    </row>
    <row r="22449" spans="1:8">
      <c r="H22449" t="s">
        <v>18893</v>
      </c>
    </row>
    <row r="22450" spans="1:8">
      <c r="H22450" t="s">
        <v>26402</v>
      </c>
    </row>
    <row r="22451" spans="1:8">
      <c r="H22451" t="s">
        <v>26403</v>
      </c>
    </row>
    <row r="22452" spans="1:8">
      <c r="H22452" t="s">
        <v>26404</v>
      </c>
    </row>
    <row r="22453" spans="1:8">
      <c r="H22453" t="s">
        <v>26405</v>
      </c>
    </row>
    <row r="22454" spans="1:8">
      <c r="H22454" t="s">
        <v>25729</v>
      </c>
    </row>
    <row r="22455" spans="1:8">
      <c r="A22455" t="s">
        <v>995</v>
      </c>
      <c r="B22455">
        <f>HYPERLINK("https://android.googlesource.com/platform/cts/+/2ea427ae912c3e37a149b5069fc6e85c240fd982", "2ea427ae912c3e37a149b5069fc6e85c240fd982")</f>
        <v>0</v>
      </c>
      <c r="C22455">
        <f>HYPERLINK("https://android.googlesource.com/platform/cts/+/281beebb3d1b5d794e71c801c27297f73c3ac902", "281beebb3d1b5d794e71c801c27297f73c3ac902")</f>
        <v>0</v>
      </c>
      <c r="D22455" t="s">
        <v>5029</v>
      </c>
      <c r="E22455" t="s">
        <v>6773</v>
      </c>
      <c r="F22455" t="s">
        <v>10604</v>
      </c>
      <c r="G22455" t="s">
        <v>15007</v>
      </c>
      <c r="H22455" t="s">
        <v>18882</v>
      </c>
    </row>
    <row r="22456" spans="1:8">
      <c r="H22456" t="s">
        <v>26406</v>
      </c>
    </row>
    <row r="22457" spans="1:8">
      <c r="H22457" t="s">
        <v>18893</v>
      </c>
    </row>
    <row r="22458" spans="1:8">
      <c r="A22458" t="s">
        <v>996</v>
      </c>
      <c r="B22458">
        <f>HYPERLINK("https://android.googlesource.com/platform/cts/+/c65fc930b0d82ed2836c3c869a8c8123299ad877", "c65fc930b0d82ed2836c3c869a8c8123299ad877")</f>
        <v>0</v>
      </c>
      <c r="C22458">
        <f>HYPERLINK("https://android.googlesource.com/platform/cts/+/0e478bc1c528df4d395557d077c4f3a7e0291105", "0e478bc1c528df4d395557d077c4f3a7e0291105")</f>
        <v>0</v>
      </c>
      <c r="D22458" t="s">
        <v>5114</v>
      </c>
      <c r="E22458" t="s">
        <v>6774</v>
      </c>
      <c r="F22458" t="s">
        <v>12783</v>
      </c>
      <c r="G22458" t="s">
        <v>16968</v>
      </c>
      <c r="H22458" t="s">
        <v>26407</v>
      </c>
    </row>
    <row r="22459" spans="1:8">
      <c r="F22459" t="s">
        <v>12784</v>
      </c>
      <c r="G22459" t="s">
        <v>16969</v>
      </c>
      <c r="H22459" t="s">
        <v>26407</v>
      </c>
    </row>
    <row r="22460" spans="1:8">
      <c r="F22460" t="s">
        <v>12785</v>
      </c>
      <c r="G22460" t="s">
        <v>16970</v>
      </c>
      <c r="H22460" t="s">
        <v>26407</v>
      </c>
    </row>
    <row r="22461" spans="1:8">
      <c r="A22461" t="s">
        <v>997</v>
      </c>
      <c r="B22461">
        <f>HYPERLINK("https://android.googlesource.com/platform/cts/+/7f12f24c7c13b55dd591a4338f375d0eca55dc3e", "7f12f24c7c13b55dd591a4338f375d0eca55dc3e")</f>
        <v>0</v>
      </c>
      <c r="C22461">
        <f>HYPERLINK("https://android.googlesource.com/platform/cts/+/dfa0578a219053951774fc5dcf91c7c19572f3f9", "dfa0578a219053951774fc5dcf91c7c19572f3f9")</f>
        <v>0</v>
      </c>
      <c r="D22461" t="s">
        <v>5131</v>
      </c>
      <c r="E22461" t="s">
        <v>6775</v>
      </c>
      <c r="F22461" t="s">
        <v>12786</v>
      </c>
      <c r="G22461" t="s">
        <v>16946</v>
      </c>
      <c r="H22461" t="s">
        <v>20244</v>
      </c>
    </row>
    <row r="22462" spans="1:8">
      <c r="A22462" t="s">
        <v>998</v>
      </c>
      <c r="B22462">
        <f>HYPERLINK("https://android.googlesource.com/platform/cts/+/fd971c7298d41260e7f3764d3d490eacc6bdecc6", "fd971c7298d41260e7f3764d3d490eacc6bdecc6")</f>
        <v>0</v>
      </c>
      <c r="C22462">
        <f>HYPERLINK("https://android.googlesource.com/platform/cts/+/7faf69ef025d577f2a7d29d63d278f4517ac5b51", "7faf69ef025d577f2a7d29d63d278f4517ac5b51")</f>
        <v>0</v>
      </c>
      <c r="D22462" t="s">
        <v>5141</v>
      </c>
      <c r="E22462" t="s">
        <v>6776</v>
      </c>
      <c r="F22462" t="s">
        <v>12203</v>
      </c>
      <c r="G22462" t="s">
        <v>16441</v>
      </c>
      <c r="H22462" t="s">
        <v>26408</v>
      </c>
    </row>
    <row r="22463" spans="1:8">
      <c r="A22463" t="s">
        <v>999</v>
      </c>
      <c r="B22463">
        <f>HYPERLINK("https://android.googlesource.com/platform/cts/+/5da72853ae42b0443c57bad37d543d5f02d40f81", "5da72853ae42b0443c57bad37d543d5f02d40f81")</f>
        <v>0</v>
      </c>
      <c r="C22463">
        <f>HYPERLINK("https://android.googlesource.com/platform/cts/+/3b62e6a7073fae56b662ba813cfe04dab6bd2c51", "3b62e6a7073fae56b662ba813cfe04dab6bd2c51")</f>
        <v>0</v>
      </c>
      <c r="D22463" t="s">
        <v>5029</v>
      </c>
      <c r="E22463" t="s">
        <v>6777</v>
      </c>
      <c r="F22463" t="s">
        <v>10645</v>
      </c>
      <c r="G22463" t="s">
        <v>15046</v>
      </c>
      <c r="H22463" t="s">
        <v>26409</v>
      </c>
    </row>
    <row r="22464" spans="1:8">
      <c r="H22464" t="s">
        <v>26410</v>
      </c>
    </row>
    <row r="22465" spans="1:8">
      <c r="A22465" t="s">
        <v>1000</v>
      </c>
      <c r="B22465">
        <f>HYPERLINK("https://android.googlesource.com/platform/cts/+/62a8f5963039a89980f1d24374f514872cc5bf43", "62a8f5963039a89980f1d24374f514872cc5bf43")</f>
        <v>0</v>
      </c>
      <c r="C22465">
        <f>HYPERLINK("https://android.googlesource.com/platform/cts/+/3b62e6a7073fae56b662ba813cfe04dab6bd2c51", "3b62e6a7073fae56b662ba813cfe04dab6bd2c51")</f>
        <v>0</v>
      </c>
      <c r="D22465" t="s">
        <v>5029</v>
      </c>
      <c r="E22465" t="s">
        <v>6778</v>
      </c>
      <c r="F22465" t="s">
        <v>10644</v>
      </c>
      <c r="G22465" t="s">
        <v>15045</v>
      </c>
      <c r="H22465" t="s">
        <v>26411</v>
      </c>
    </row>
    <row r="22466" spans="1:8">
      <c r="H22466" t="s">
        <v>26412</v>
      </c>
    </row>
    <row r="22467" spans="1:8">
      <c r="H22467" t="s">
        <v>26413</v>
      </c>
    </row>
    <row r="22468" spans="1:8">
      <c r="F22468" t="s">
        <v>10781</v>
      </c>
      <c r="G22468" t="s">
        <v>15177</v>
      </c>
      <c r="H22468" t="s">
        <v>18982</v>
      </c>
    </row>
    <row r="22469" spans="1:8">
      <c r="H22469" t="s">
        <v>18980</v>
      </c>
    </row>
    <row r="22470" spans="1:8">
      <c r="A22470" t="s">
        <v>1001</v>
      </c>
      <c r="B22470">
        <f>HYPERLINK("https://android.googlesource.com/platform/cts/+/85796c9e16247c52c124455ee00ec3428bc73ee8", "85796c9e16247c52c124455ee00ec3428bc73ee8")</f>
        <v>0</v>
      </c>
      <c r="C22470">
        <f>HYPERLINK("https://android.googlesource.com/platform/cts/+/9c37f34b9e938847b70ca93a7c59b6053731ea81", "9c37f34b9e938847b70ca93a7c59b6053731ea81")</f>
        <v>0</v>
      </c>
      <c r="D22470" t="s">
        <v>5128</v>
      </c>
      <c r="E22470" t="s">
        <v>6779</v>
      </c>
      <c r="F22470" t="s">
        <v>12747</v>
      </c>
      <c r="G22470" t="s">
        <v>16863</v>
      </c>
      <c r="H22470" t="s">
        <v>26250</v>
      </c>
    </row>
    <row r="22471" spans="1:8">
      <c r="H22471" t="s">
        <v>26251</v>
      </c>
    </row>
    <row r="22472" spans="1:8">
      <c r="H22472" t="s">
        <v>26252</v>
      </c>
    </row>
    <row r="22473" spans="1:8">
      <c r="H22473" t="s">
        <v>26253</v>
      </c>
    </row>
    <row r="22474" spans="1:8">
      <c r="A22474" t="s">
        <v>1002</v>
      </c>
      <c r="B22474">
        <f>HYPERLINK("https://android.googlesource.com/platform/cts/+/85e84e10a7e43781308daaef20ddd23aa1a45402", "85e84e10a7e43781308daaef20ddd23aa1a45402")</f>
        <v>0</v>
      </c>
      <c r="C22474">
        <f>HYPERLINK("https://android.googlesource.com/platform/cts/+/ab40eeae6b40445a4293cd385b5b7e4815b281b2", "ab40eeae6b40445a4293cd385b5b7e4815b281b2")</f>
        <v>0</v>
      </c>
      <c r="D22474" t="s">
        <v>5142</v>
      </c>
      <c r="E22474" t="s">
        <v>6780</v>
      </c>
      <c r="F22474" t="s">
        <v>12787</v>
      </c>
      <c r="G22474" t="s">
        <v>16971</v>
      </c>
      <c r="H22474" t="s">
        <v>20244</v>
      </c>
    </row>
    <row r="22475" spans="1:8">
      <c r="H22475" t="s">
        <v>18829</v>
      </c>
    </row>
    <row r="22476" spans="1:8">
      <c r="H22476" t="s">
        <v>18863</v>
      </c>
    </row>
    <row r="22477" spans="1:8">
      <c r="A22477" t="s">
        <v>1003</v>
      </c>
      <c r="B22477">
        <f>HYPERLINK("https://android.googlesource.com/platform/cts/+/f4123ebeae35f72e006c8695ed891787a5bccf79", "f4123ebeae35f72e006c8695ed891787a5bccf79")</f>
        <v>0</v>
      </c>
      <c r="C22477">
        <f>HYPERLINK("https://android.googlesource.com/platform/cts/+/9bb7bd4725dd8253745486b6a81cf8afd25c2f83", "9bb7bd4725dd8253745486b6a81cf8afd25c2f83")</f>
        <v>0</v>
      </c>
      <c r="D22477" t="s">
        <v>5143</v>
      </c>
      <c r="E22477" t="s">
        <v>6781</v>
      </c>
      <c r="F22477" t="s">
        <v>12788</v>
      </c>
      <c r="G22477" t="s">
        <v>15076</v>
      </c>
      <c r="H22477" t="s">
        <v>26414</v>
      </c>
    </row>
    <row r="22478" spans="1:8">
      <c r="H22478" t="s">
        <v>26415</v>
      </c>
    </row>
    <row r="22479" spans="1:8">
      <c r="H22479" t="s">
        <v>26416</v>
      </c>
    </row>
    <row r="22480" spans="1:8">
      <c r="H22480" t="s">
        <v>26417</v>
      </c>
    </row>
    <row r="22481" spans="1:8">
      <c r="H22481" t="s">
        <v>26418</v>
      </c>
    </row>
    <row r="22482" spans="1:8">
      <c r="A22482" t="s">
        <v>1004</v>
      </c>
      <c r="B22482">
        <f>HYPERLINK("https://android.googlesource.com/platform/cts/+/7ac81e5517486a0b57a0882e5fbbc30d26c5cd34", "7ac81e5517486a0b57a0882e5fbbc30d26c5cd34")</f>
        <v>0</v>
      </c>
      <c r="C22482">
        <f>HYPERLINK("https://android.googlesource.com/platform/cts/+/a8c33dfd623fc76e9f568e91f8d39549aae95222", "a8c33dfd623fc76e9f568e91f8d39549aae95222")</f>
        <v>0</v>
      </c>
      <c r="D22482" t="s">
        <v>5144</v>
      </c>
      <c r="E22482" t="s">
        <v>6782</v>
      </c>
      <c r="F22482" t="s">
        <v>12789</v>
      </c>
      <c r="G22482" t="s">
        <v>16972</v>
      </c>
      <c r="H22482" t="s">
        <v>26419</v>
      </c>
    </row>
    <row r="22483" spans="1:8">
      <c r="F22483" t="s">
        <v>12790</v>
      </c>
      <c r="G22483" t="s">
        <v>16973</v>
      </c>
      <c r="H22483" t="s">
        <v>19183</v>
      </c>
    </row>
    <row r="22484" spans="1:8">
      <c r="H22484" t="s">
        <v>19184</v>
      </c>
    </row>
    <row r="22485" spans="1:8">
      <c r="F22485" t="s">
        <v>12791</v>
      </c>
      <c r="G22485" t="s">
        <v>16974</v>
      </c>
      <c r="H22485" t="s">
        <v>26420</v>
      </c>
    </row>
    <row r="22486" spans="1:8">
      <c r="H22486" t="s">
        <v>26421</v>
      </c>
    </row>
    <row r="22487" spans="1:8">
      <c r="A22487" t="s">
        <v>1005</v>
      </c>
      <c r="B22487">
        <f>HYPERLINK("https://android.googlesource.com/platform/cts/+/24a93beaf560304efdf54cd5c9f70b3f3793b765", "24a93beaf560304efdf54cd5c9f70b3f3793b765")</f>
        <v>0</v>
      </c>
      <c r="C22487">
        <f>HYPERLINK("https://android.googlesource.com/platform/cts/+/b0a710c741649aed4d243a1621f5ff42577b5f10", "b0a710c741649aed4d243a1621f5ff42577b5f10")</f>
        <v>0</v>
      </c>
      <c r="D22487" t="s">
        <v>5143</v>
      </c>
      <c r="E22487" t="s">
        <v>6783</v>
      </c>
      <c r="F22487" t="s">
        <v>12792</v>
      </c>
      <c r="G22487" t="s">
        <v>16975</v>
      </c>
      <c r="H22487" t="s">
        <v>18856</v>
      </c>
    </row>
    <row r="22488" spans="1:8">
      <c r="H22488" t="s">
        <v>26122</v>
      </c>
    </row>
    <row r="22489" spans="1:8">
      <c r="H22489" t="s">
        <v>26120</v>
      </c>
    </row>
    <row r="22490" spans="1:8">
      <c r="H22490" t="s">
        <v>26422</v>
      </c>
    </row>
    <row r="22491" spans="1:8">
      <c r="H22491" t="s">
        <v>26423</v>
      </c>
    </row>
    <row r="22492" spans="1:8">
      <c r="A22492" t="s">
        <v>1006</v>
      </c>
      <c r="B22492">
        <f>HYPERLINK("https://android.googlesource.com/platform/cts/+/ffe206d0fa6f5aab66da6af8d74714b2ea6fbca8", "ffe206d0fa6f5aab66da6af8d74714b2ea6fbca8")</f>
        <v>0</v>
      </c>
      <c r="C22492">
        <f>HYPERLINK("https://android.googlesource.com/platform/cts/+/79d03fac83c57fb659ba628a6375a8a8c3b28f07", "79d03fac83c57fb659ba628a6375a8a8c3b28f07")</f>
        <v>0</v>
      </c>
      <c r="D22492" t="s">
        <v>5029</v>
      </c>
      <c r="E22492" t="s">
        <v>6784</v>
      </c>
      <c r="F22492" t="s">
        <v>12793</v>
      </c>
      <c r="G22492" t="s">
        <v>16976</v>
      </c>
      <c r="H22492" t="s">
        <v>26424</v>
      </c>
    </row>
    <row r="22493" spans="1:8">
      <c r="F22493" t="s">
        <v>12794</v>
      </c>
      <c r="G22493" t="s">
        <v>16977</v>
      </c>
      <c r="H22493" t="s">
        <v>26424</v>
      </c>
    </row>
    <row r="22494" spans="1:8">
      <c r="A22494" t="s">
        <v>1007</v>
      </c>
      <c r="B22494">
        <f>HYPERLINK("https://android.googlesource.com/platform/cts/+/dcb9d13a2f91974edd8f7d8d105d795c5029ef0e", "dcb9d13a2f91974edd8f7d8d105d795c5029ef0e")</f>
        <v>0</v>
      </c>
      <c r="C22494">
        <f>HYPERLINK("https://android.googlesource.com/platform/cts/+/8cd6a9187ed3f9689f9e71d15df8a232c09721c6", "8cd6a9187ed3f9689f9e71d15df8a232c09721c6")</f>
        <v>0</v>
      </c>
      <c r="D22494" t="s">
        <v>5143</v>
      </c>
      <c r="E22494" t="s">
        <v>6785</v>
      </c>
      <c r="F22494" t="s">
        <v>12795</v>
      </c>
      <c r="G22494" t="s">
        <v>15113</v>
      </c>
      <c r="H22494" t="s">
        <v>26425</v>
      </c>
    </row>
    <row r="22495" spans="1:8">
      <c r="A22495" t="s">
        <v>1008</v>
      </c>
      <c r="B22495">
        <f>HYPERLINK("https://android.googlesource.com/platform/cts/+/2486f332e5c1eb702e324d4d38d80c9a83f2f8d5", "2486f332e5c1eb702e324d4d38d80c9a83f2f8d5")</f>
        <v>0</v>
      </c>
      <c r="C22495">
        <f>HYPERLINK("https://android.googlesource.com/platform/cts/+/d35ee758e9b6090d643f5cb85daabfabf56775fd", "d35ee758e9b6090d643f5cb85daabfabf56775fd")</f>
        <v>0</v>
      </c>
      <c r="D22495" t="s">
        <v>4971</v>
      </c>
      <c r="E22495" t="s">
        <v>6786</v>
      </c>
      <c r="F22495" t="s">
        <v>12796</v>
      </c>
      <c r="G22495" t="s">
        <v>16978</v>
      </c>
      <c r="H22495" t="s">
        <v>26426</v>
      </c>
    </row>
    <row r="22496" spans="1:8">
      <c r="F22496" t="s">
        <v>12797</v>
      </c>
      <c r="G22496" t="s">
        <v>16979</v>
      </c>
      <c r="H22496" t="s">
        <v>26427</v>
      </c>
    </row>
    <row r="22497" spans="1:8">
      <c r="A22497" t="s">
        <v>1009</v>
      </c>
      <c r="B22497">
        <f>HYPERLINK("https://android.googlesource.com/platform/cts/+/dc7920db557edae6f3ce67918995d2216efb6942", "dc7920db557edae6f3ce67918995d2216efb6942")</f>
        <v>0</v>
      </c>
      <c r="C22497">
        <f>HYPERLINK("https://android.googlesource.com/platform/cts/+/ceceb252dd6a5102144373bd5aebef6fcb962b20", "ceceb252dd6a5102144373bd5aebef6fcb962b20")</f>
        <v>0</v>
      </c>
      <c r="D22497" t="s">
        <v>5141</v>
      </c>
      <c r="E22497" t="s">
        <v>6787</v>
      </c>
      <c r="F22497" t="s">
        <v>12798</v>
      </c>
      <c r="G22497" t="s">
        <v>16980</v>
      </c>
      <c r="H22497" t="s">
        <v>26428</v>
      </c>
    </row>
    <row r="22498" spans="1:8">
      <c r="H22498" t="s">
        <v>26429</v>
      </c>
    </row>
    <row r="22499" spans="1:8">
      <c r="F22499" t="s">
        <v>12799</v>
      </c>
      <c r="G22499" t="s">
        <v>16981</v>
      </c>
      <c r="H22499" t="s">
        <v>26430</v>
      </c>
    </row>
    <row r="22500" spans="1:8">
      <c r="H22500" t="s">
        <v>26429</v>
      </c>
    </row>
    <row r="22501" spans="1:8">
      <c r="A22501" t="s">
        <v>1010</v>
      </c>
      <c r="B22501">
        <f>HYPERLINK("https://android.googlesource.com/platform/cts/+/88e3b22925216a9916d38e9ec67a2911699fd207", "88e3b22925216a9916d38e9ec67a2911699fd207")</f>
        <v>0</v>
      </c>
      <c r="C22501">
        <f>HYPERLINK("https://android.googlesource.com/platform/cts/+/ceceb252dd6a5102144373bd5aebef6fcb962b20", "ceceb252dd6a5102144373bd5aebef6fcb962b20")</f>
        <v>0</v>
      </c>
      <c r="D22501" t="s">
        <v>5145</v>
      </c>
      <c r="E22501" t="s">
        <v>6788</v>
      </c>
      <c r="F22501" t="s">
        <v>12800</v>
      </c>
      <c r="G22501" t="s">
        <v>16982</v>
      </c>
      <c r="H22501" t="s">
        <v>26431</v>
      </c>
    </row>
    <row r="22502" spans="1:8">
      <c r="A22502" t="s">
        <v>1011</v>
      </c>
      <c r="B22502">
        <f>HYPERLINK("https://android.googlesource.com/platform/cts/+/db006ec1c828f532a84c5015e45dd9313324bc80", "db006ec1c828f532a84c5015e45dd9313324bc80")</f>
        <v>0</v>
      </c>
      <c r="C22502">
        <f>HYPERLINK("https://android.googlesource.com/platform/cts/+/b12e1a10acae150e4d9c4fe8083fe2c069a0f96d", "b12e1a10acae150e4d9c4fe8083fe2c069a0f96d")</f>
        <v>0</v>
      </c>
      <c r="D22502" t="s">
        <v>5029</v>
      </c>
      <c r="E22502" t="s">
        <v>6789</v>
      </c>
      <c r="F22502" t="s">
        <v>12801</v>
      </c>
      <c r="G22502" t="s">
        <v>16983</v>
      </c>
      <c r="H22502" t="s">
        <v>26432</v>
      </c>
    </row>
    <row r="22503" spans="1:8">
      <c r="F22503" t="s">
        <v>12802</v>
      </c>
      <c r="G22503" t="s">
        <v>16984</v>
      </c>
      <c r="H22503" t="s">
        <v>26433</v>
      </c>
    </row>
    <row r="22504" spans="1:8">
      <c r="A22504" t="s">
        <v>1012</v>
      </c>
      <c r="B22504">
        <f>HYPERLINK("https://android.googlesource.com/platform/cts/+/5dc81d40436e0fb9ede9be31083f86277fc8e44c", "5dc81d40436e0fb9ede9be31083f86277fc8e44c")</f>
        <v>0</v>
      </c>
      <c r="C22504">
        <f>HYPERLINK("https://android.googlesource.com/platform/cts/+/ac1382972eee3fae451f0e2b455a0ca2afe851af", "ac1382972eee3fae451f0e2b455a0ca2afe851af")</f>
        <v>0</v>
      </c>
      <c r="D22504" t="s">
        <v>5143</v>
      </c>
      <c r="E22504" t="s">
        <v>6790</v>
      </c>
      <c r="F22504" t="s">
        <v>12788</v>
      </c>
      <c r="G22504" t="s">
        <v>15076</v>
      </c>
      <c r="H22504" t="s">
        <v>26434</v>
      </c>
    </row>
    <row r="22505" spans="1:8">
      <c r="H22505" t="s">
        <v>26435</v>
      </c>
    </row>
    <row r="22506" spans="1:8">
      <c r="H22506" t="s">
        <v>26436</v>
      </c>
    </row>
    <row r="22507" spans="1:8">
      <c r="H22507" t="s">
        <v>26437</v>
      </c>
    </row>
    <row r="22508" spans="1:8">
      <c r="A22508" t="s">
        <v>1013</v>
      </c>
      <c r="B22508">
        <f>HYPERLINK("https://android.googlesource.com/platform/cts/+/adca35a2393600069563826b6f7fc23fe2be929d", "adca35a2393600069563826b6f7fc23fe2be929d")</f>
        <v>0</v>
      </c>
      <c r="C22508">
        <f>HYPERLINK("https://android.googlesource.com/platform/cts/+/427501f4c2964b0b6e1d84a2ccf450830c3b8d9a", "427501f4c2964b0b6e1d84a2ccf450830c3b8d9a")</f>
        <v>0</v>
      </c>
      <c r="D22508" t="s">
        <v>5143</v>
      </c>
      <c r="E22508" t="s">
        <v>6791</v>
      </c>
      <c r="F22508" t="s">
        <v>12734</v>
      </c>
      <c r="G22508" t="s">
        <v>16927</v>
      </c>
      <c r="H22508" t="s">
        <v>26438</v>
      </c>
    </row>
    <row r="22509" spans="1:8">
      <c r="A22509" t="s">
        <v>1014</v>
      </c>
      <c r="B22509">
        <f>HYPERLINK("https://android.googlesource.com/platform/cts/+/5bd64517bf00af002c4c5febb6cdce7fb62a5b16", "5bd64517bf00af002c4c5febb6cdce7fb62a5b16")</f>
        <v>0</v>
      </c>
      <c r="C22509">
        <f>HYPERLINK("https://android.googlesource.com/platform/cts/+/3ccbf12472866c72a393ea42838213c292db37d1", "3ccbf12472866c72a393ea42838213c292db37d1")</f>
        <v>0</v>
      </c>
      <c r="D22509" t="s">
        <v>5146</v>
      </c>
      <c r="E22509" t="s">
        <v>6792</v>
      </c>
      <c r="F22509" t="s">
        <v>12803</v>
      </c>
      <c r="G22509" t="s">
        <v>16985</v>
      </c>
      <c r="H22509" t="s">
        <v>26439</v>
      </c>
    </row>
    <row r="22510" spans="1:8">
      <c r="H22510" t="s">
        <v>26440</v>
      </c>
    </row>
    <row r="22511" spans="1:8">
      <c r="H22511" t="s">
        <v>26441</v>
      </c>
    </row>
    <row r="22512" spans="1:8">
      <c r="H22512" t="s">
        <v>26442</v>
      </c>
    </row>
    <row r="22513" spans="1:8">
      <c r="H22513" t="s">
        <v>26443</v>
      </c>
    </row>
    <row r="22514" spans="1:8">
      <c r="H22514" t="s">
        <v>26444</v>
      </c>
    </row>
    <row r="22515" spans="1:8">
      <c r="H22515" t="s">
        <v>26445</v>
      </c>
    </row>
    <row r="22516" spans="1:8">
      <c r="H22516" t="s">
        <v>26446</v>
      </c>
    </row>
    <row r="22517" spans="1:8">
      <c r="H22517" t="s">
        <v>26447</v>
      </c>
    </row>
    <row r="22518" spans="1:8">
      <c r="H22518" t="s">
        <v>26448</v>
      </c>
    </row>
    <row r="22519" spans="1:8">
      <c r="H22519" t="s">
        <v>26449</v>
      </c>
    </row>
    <row r="22520" spans="1:8">
      <c r="H22520" t="s">
        <v>26450</v>
      </c>
    </row>
    <row r="22521" spans="1:8">
      <c r="H22521" t="s">
        <v>26451</v>
      </c>
    </row>
    <row r="22522" spans="1:8">
      <c r="H22522" t="s">
        <v>26452</v>
      </c>
    </row>
    <row r="22523" spans="1:8">
      <c r="H22523" t="s">
        <v>26453</v>
      </c>
    </row>
    <row r="22524" spans="1:8">
      <c r="H22524" t="s">
        <v>26454</v>
      </c>
    </row>
    <row r="22525" spans="1:8">
      <c r="H22525" t="s">
        <v>26455</v>
      </c>
    </row>
    <row r="22526" spans="1:8">
      <c r="H22526" t="s">
        <v>26456</v>
      </c>
    </row>
    <row r="22527" spans="1:8">
      <c r="A22527" t="s">
        <v>1015</v>
      </c>
      <c r="B22527">
        <f>HYPERLINK("https://android.googlesource.com/platform/cts/+/7b6cd266cc67dc7b6972c9fd1e3586071648bcdb", "7b6cd266cc67dc7b6972c9fd1e3586071648bcdb")</f>
        <v>0</v>
      </c>
      <c r="C22527">
        <f>HYPERLINK("https://android.googlesource.com/platform/cts/+/e38e6229bfe5502698b5d51f5beff3a1b179b4e8", "e38e6229bfe5502698b5d51f5beff3a1b179b4e8")</f>
        <v>0</v>
      </c>
      <c r="D22527" t="s">
        <v>5147</v>
      </c>
      <c r="E22527" t="s">
        <v>6793</v>
      </c>
      <c r="F22527" t="s">
        <v>12804</v>
      </c>
      <c r="G22527" t="s">
        <v>16986</v>
      </c>
      <c r="H22527" t="s">
        <v>26457</v>
      </c>
    </row>
    <row r="22528" spans="1:8">
      <c r="A22528" t="s">
        <v>1016</v>
      </c>
      <c r="B22528">
        <f>HYPERLINK("https://android.googlesource.com/platform/cts/+/204c5d8b265fe52bd714697bfd3fc4a83bf85333", "204c5d8b265fe52bd714697bfd3fc4a83bf85333")</f>
        <v>0</v>
      </c>
      <c r="C22528">
        <f>HYPERLINK("https://android.googlesource.com/platform/cts/+/c789147d7dbc233829eced7ea79a02a5df544e19", "c789147d7dbc233829eced7ea79a02a5df544e19")</f>
        <v>0</v>
      </c>
      <c r="D22528" t="s">
        <v>5118</v>
      </c>
      <c r="E22528" t="s">
        <v>6794</v>
      </c>
      <c r="F22528" t="s">
        <v>10744</v>
      </c>
      <c r="G22528" t="s">
        <v>15143</v>
      </c>
      <c r="H22528" t="s">
        <v>26458</v>
      </c>
    </row>
    <row r="22529" spans="1:8">
      <c r="A22529" t="s">
        <v>1017</v>
      </c>
      <c r="B22529">
        <f>HYPERLINK("https://android.googlesource.com/platform/cts/+/eceb394dd7385ab944b1e775b90a7dedafe0377a", "eceb394dd7385ab944b1e775b90a7dedafe0377a")</f>
        <v>0</v>
      </c>
      <c r="C22529">
        <f>HYPERLINK("https://android.googlesource.com/platform/cts/+/0f12ecebb5b1b8cf2969ded238bb3e3b5c63976e", "0f12ecebb5b1b8cf2969ded238bb3e3b5c63976e")</f>
        <v>0</v>
      </c>
      <c r="D22529" t="s">
        <v>5108</v>
      </c>
      <c r="E22529" t="s">
        <v>6795</v>
      </c>
      <c r="F22529" t="s">
        <v>12805</v>
      </c>
      <c r="G22529" t="s">
        <v>16987</v>
      </c>
      <c r="H22529" t="s">
        <v>26459</v>
      </c>
    </row>
    <row r="22530" spans="1:8">
      <c r="H22530" t="s">
        <v>26460</v>
      </c>
    </row>
    <row r="22531" spans="1:8">
      <c r="H22531" t="s">
        <v>26461</v>
      </c>
    </row>
    <row r="22532" spans="1:8">
      <c r="H22532" t="s">
        <v>26462</v>
      </c>
    </row>
    <row r="22533" spans="1:8">
      <c r="F22533" t="s">
        <v>12629</v>
      </c>
      <c r="G22533" t="s">
        <v>16838</v>
      </c>
      <c r="H22533" t="s">
        <v>26463</v>
      </c>
    </row>
    <row r="22534" spans="1:8">
      <c r="H22534" t="s">
        <v>26464</v>
      </c>
    </row>
    <row r="22535" spans="1:8">
      <c r="F22535" t="s">
        <v>12768</v>
      </c>
      <c r="G22535" t="s">
        <v>15710</v>
      </c>
      <c r="H22535" t="s">
        <v>26465</v>
      </c>
    </row>
    <row r="22536" spans="1:8">
      <c r="H22536" t="s">
        <v>26466</v>
      </c>
    </row>
    <row r="22537" spans="1:8">
      <c r="H22537" t="s">
        <v>26467</v>
      </c>
    </row>
    <row r="22538" spans="1:8">
      <c r="H22538" t="s">
        <v>26468</v>
      </c>
    </row>
    <row r="22539" spans="1:8">
      <c r="A22539" t="s">
        <v>1018</v>
      </c>
      <c r="B22539">
        <f>HYPERLINK("https://android.googlesource.com/platform/cts/+/bebcbf909d03f2975cd01fa28e9b5ea483a892c1", "bebcbf909d03f2975cd01fa28e9b5ea483a892c1")</f>
        <v>0</v>
      </c>
      <c r="C22539">
        <f>HYPERLINK("https://android.googlesource.com/platform/cts/+/95e713f5bae4829b1b92ee2dd0c8db42c056a5a6", "95e713f5bae4829b1b92ee2dd0c8db42c056a5a6")</f>
        <v>0</v>
      </c>
      <c r="D22539" t="s">
        <v>5026</v>
      </c>
      <c r="E22539" t="s">
        <v>6796</v>
      </c>
      <c r="F22539" t="s">
        <v>12327</v>
      </c>
      <c r="G22539" t="s">
        <v>16557</v>
      </c>
      <c r="H22539" t="s">
        <v>22133</v>
      </c>
    </row>
    <row r="22540" spans="1:8">
      <c r="A22540" t="s">
        <v>1019</v>
      </c>
      <c r="B22540">
        <f>HYPERLINK("https://android.googlesource.com/platform/cts/+/c53695b1358dd6807fe2d7398b298ebd90620e27", "c53695b1358dd6807fe2d7398b298ebd90620e27")</f>
        <v>0</v>
      </c>
      <c r="C22540">
        <f>HYPERLINK("https://android.googlesource.com/platform/cts/+/6b9f290d20b320dcd4ece0fdf24428357cd371c6", "6b9f290d20b320dcd4ece0fdf24428357cd371c6")</f>
        <v>0</v>
      </c>
      <c r="D22540" t="s">
        <v>5148</v>
      </c>
      <c r="E22540" t="s">
        <v>6797</v>
      </c>
      <c r="F22540" t="s">
        <v>12806</v>
      </c>
      <c r="G22540" t="s">
        <v>15054</v>
      </c>
      <c r="H22540" t="s">
        <v>19016</v>
      </c>
    </row>
    <row r="22541" spans="1:8">
      <c r="A22541" t="s">
        <v>1020</v>
      </c>
      <c r="B22541">
        <f>HYPERLINK("https://android.googlesource.com/platform/cts/+/b94e0ec10073287283b579424cc2a2de80295984", "b94e0ec10073287283b579424cc2a2de80295984")</f>
        <v>0</v>
      </c>
      <c r="C22541">
        <f>HYPERLINK("https://android.googlesource.com/platform/cts/+/ceceb252dd6a5102144373bd5aebef6fcb962b20", "ceceb252dd6a5102144373bd5aebef6fcb962b20")</f>
        <v>0</v>
      </c>
      <c r="D22541" t="s">
        <v>5145</v>
      </c>
      <c r="E22541" t="s">
        <v>6798</v>
      </c>
      <c r="F22541" t="s">
        <v>12800</v>
      </c>
      <c r="G22541" t="s">
        <v>16982</v>
      </c>
      <c r="H22541" t="s">
        <v>26431</v>
      </c>
    </row>
    <row r="22542" spans="1:8">
      <c r="A22542" t="s">
        <v>1021</v>
      </c>
      <c r="B22542">
        <f>HYPERLINK("https://android.googlesource.com/platform/cts/+/9ab6d91d753a810ef631a7270b85879a4700249b", "9ab6d91d753a810ef631a7270b85879a4700249b")</f>
        <v>0</v>
      </c>
      <c r="C22542">
        <f>HYPERLINK("https://android.googlesource.com/platform/cts/+/a0bc424cb4bbe4924a7e33fbbc27f6c4cc36ca68", "a0bc424cb4bbe4924a7e33fbbc27f6c4cc36ca68")</f>
        <v>0</v>
      </c>
      <c r="D22542" t="s">
        <v>5149</v>
      </c>
      <c r="E22542" t="s">
        <v>6799</v>
      </c>
      <c r="F22542" t="s">
        <v>12807</v>
      </c>
      <c r="G22542" t="s">
        <v>16988</v>
      </c>
      <c r="H22542" t="s">
        <v>26469</v>
      </c>
    </row>
    <row r="22543" spans="1:8">
      <c r="H22543" t="s">
        <v>26470</v>
      </c>
    </row>
    <row r="22544" spans="1:8">
      <c r="H22544" t="s">
        <v>26471</v>
      </c>
    </row>
    <row r="22545" spans="1:8">
      <c r="H22545" t="s">
        <v>26472</v>
      </c>
    </row>
    <row r="22546" spans="1:8">
      <c r="H22546" t="s">
        <v>26473</v>
      </c>
    </row>
    <row r="22547" spans="1:8">
      <c r="H22547" t="s">
        <v>26474</v>
      </c>
    </row>
    <row r="22548" spans="1:8">
      <c r="H22548" t="s">
        <v>26472</v>
      </c>
    </row>
    <row r="22549" spans="1:8">
      <c r="H22549" t="s">
        <v>26475</v>
      </c>
    </row>
    <row r="22550" spans="1:8">
      <c r="H22550" t="s">
        <v>26474</v>
      </c>
    </row>
    <row r="22551" spans="1:8">
      <c r="H22551" t="s">
        <v>26476</v>
      </c>
    </row>
    <row r="22552" spans="1:8">
      <c r="A22552" t="s">
        <v>1022</v>
      </c>
      <c r="B22552">
        <f>HYPERLINK("https://android.googlesource.com/platform/cts/+/2330f4564c94283c21eaf5461baa987cc68556c8", "2330f4564c94283c21eaf5461baa987cc68556c8")</f>
        <v>0</v>
      </c>
      <c r="C22552">
        <f>HYPERLINK("https://android.googlesource.com/platform/cts/+/75b1984a8a84243bc3b3aa2ccdf563fa33200af2", "75b1984a8a84243bc3b3aa2ccdf563fa33200af2")</f>
        <v>0</v>
      </c>
      <c r="D22552" t="s">
        <v>5118</v>
      </c>
      <c r="E22552" t="s">
        <v>6800</v>
      </c>
      <c r="F22552" t="s">
        <v>10744</v>
      </c>
      <c r="G22552" t="s">
        <v>15143</v>
      </c>
      <c r="H22552" t="s">
        <v>26477</v>
      </c>
    </row>
    <row r="22553" spans="1:8">
      <c r="H22553" t="s">
        <v>26478</v>
      </c>
    </row>
    <row r="22554" spans="1:8">
      <c r="H22554" t="s">
        <v>26479</v>
      </c>
    </row>
    <row r="22555" spans="1:8">
      <c r="A22555" t="s">
        <v>1023</v>
      </c>
      <c r="B22555">
        <f>HYPERLINK("https://android.googlesource.com/platform/cts/+/f99c78fa6a4b5f2304bb7eff93c0572153e17420", "f99c78fa6a4b5f2304bb7eff93c0572153e17420")</f>
        <v>0</v>
      </c>
      <c r="C22555">
        <f>HYPERLINK("https://android.googlesource.com/platform/cts/+/127ad892d1eb789b5ed6065b6b68f45259686777", "127ad892d1eb789b5ed6065b6b68f45259686777")</f>
        <v>0</v>
      </c>
      <c r="D22555" t="s">
        <v>4981</v>
      </c>
      <c r="E22555" t="s">
        <v>6801</v>
      </c>
      <c r="F22555" t="s">
        <v>12808</v>
      </c>
      <c r="G22555" t="s">
        <v>16989</v>
      </c>
      <c r="H22555" t="s">
        <v>26480</v>
      </c>
    </row>
    <row r="22556" spans="1:8">
      <c r="H22556" t="s">
        <v>26481</v>
      </c>
    </row>
    <row r="22557" spans="1:8">
      <c r="H22557" t="s">
        <v>26482</v>
      </c>
    </row>
    <row r="22558" spans="1:8">
      <c r="A22558" t="s">
        <v>1024</v>
      </c>
      <c r="B22558">
        <f>HYPERLINK("https://android.googlesource.com/platform/cts/+/9c554114f599ad3389a15a3e110d4b025bd2c176", "9c554114f599ad3389a15a3e110d4b025bd2c176")</f>
        <v>0</v>
      </c>
      <c r="C22558">
        <f>HYPERLINK("https://android.googlesource.com/platform/cts/+/698fa4179f45c705a790e91ceaf5a7b01966e67d", "698fa4179f45c705a790e91ceaf5a7b01966e67d")</f>
        <v>0</v>
      </c>
      <c r="D22558" t="s">
        <v>5057</v>
      </c>
      <c r="E22558" t="s">
        <v>6802</v>
      </c>
      <c r="F22558" t="s">
        <v>12412</v>
      </c>
      <c r="G22558" t="s">
        <v>16634</v>
      </c>
      <c r="H22558" t="s">
        <v>26483</v>
      </c>
    </row>
    <row r="22559" spans="1:8">
      <c r="A22559" t="s">
        <v>1025</v>
      </c>
      <c r="B22559">
        <f>HYPERLINK("https://android.googlesource.com/platform/cts/+/2a855feb22706cf2e757938e19bd9cf9f4c749c2", "2a855feb22706cf2e757938e19bd9cf9f4c749c2")</f>
        <v>0</v>
      </c>
      <c r="C22559">
        <f>HYPERLINK("https://android.googlesource.com/platform/cts/+/2cae0e6925eb37e78c3697b0b8fa9a3c0d30992b", "2cae0e6925eb37e78c3697b0b8fa9a3c0d30992b")</f>
        <v>0</v>
      </c>
      <c r="D22559" t="s">
        <v>5134</v>
      </c>
      <c r="E22559" t="s">
        <v>6803</v>
      </c>
      <c r="F22559" t="s">
        <v>12809</v>
      </c>
      <c r="G22559" t="s">
        <v>16990</v>
      </c>
      <c r="H22559" t="s">
        <v>25497</v>
      </c>
    </row>
    <row r="22560" spans="1:8">
      <c r="H22560" t="s">
        <v>20244</v>
      </c>
    </row>
    <row r="22561" spans="6:8">
      <c r="H22561" t="s">
        <v>26484</v>
      </c>
    </row>
    <row r="22562" spans="6:8">
      <c r="H22562" t="s">
        <v>26485</v>
      </c>
    </row>
    <row r="22563" spans="6:8">
      <c r="H22563" t="s">
        <v>26486</v>
      </c>
    </row>
    <row r="22564" spans="6:8">
      <c r="H22564" t="s">
        <v>26487</v>
      </c>
    </row>
    <row r="22565" spans="6:8">
      <c r="H22565" t="s">
        <v>26488</v>
      </c>
    </row>
    <row r="22566" spans="6:8">
      <c r="H22566" t="s">
        <v>26489</v>
      </c>
    </row>
    <row r="22567" spans="6:8">
      <c r="H22567" t="s">
        <v>26490</v>
      </c>
    </row>
    <row r="22568" spans="6:8">
      <c r="H22568" t="s">
        <v>22590</v>
      </c>
    </row>
    <row r="22569" spans="6:8">
      <c r="F22569" t="s">
        <v>12771</v>
      </c>
      <c r="G22569" t="s">
        <v>16958</v>
      </c>
      <c r="H22569" t="s">
        <v>18829</v>
      </c>
    </row>
    <row r="22570" spans="6:8">
      <c r="H22570" t="s">
        <v>18863</v>
      </c>
    </row>
    <row r="22571" spans="6:8">
      <c r="H22571" t="s">
        <v>26484</v>
      </c>
    </row>
    <row r="22572" spans="6:8">
      <c r="H22572" t="s">
        <v>26485</v>
      </c>
    </row>
    <row r="22573" spans="6:8">
      <c r="H22573" t="s">
        <v>26486</v>
      </c>
    </row>
    <row r="22574" spans="6:8">
      <c r="H22574" t="s">
        <v>26487</v>
      </c>
    </row>
    <row r="22575" spans="6:8">
      <c r="H22575" t="s">
        <v>26488</v>
      </c>
    </row>
    <row r="22576" spans="6:8">
      <c r="H22576" t="s">
        <v>26489</v>
      </c>
    </row>
    <row r="22577" spans="8:8">
      <c r="H22577" t="s">
        <v>26491</v>
      </c>
    </row>
    <row r="22578" spans="8:8">
      <c r="H22578" t="s">
        <v>26492</v>
      </c>
    </row>
    <row r="22579" spans="8:8">
      <c r="H22579" t="s">
        <v>26493</v>
      </c>
    </row>
    <row r="22580" spans="8:8">
      <c r="H22580" t="s">
        <v>26494</v>
      </c>
    </row>
    <row r="22581" spans="8:8">
      <c r="H22581" t="s">
        <v>26493</v>
      </c>
    </row>
    <row r="22582" spans="8:8">
      <c r="H22582" t="s">
        <v>26495</v>
      </c>
    </row>
    <row r="22583" spans="8:8">
      <c r="H22583" t="s">
        <v>26496</v>
      </c>
    </row>
    <row r="22584" spans="8:8">
      <c r="H22584" t="s">
        <v>26497</v>
      </c>
    </row>
    <row r="22585" spans="8:8">
      <c r="H22585" t="s">
        <v>26498</v>
      </c>
    </row>
    <row r="22586" spans="8:8">
      <c r="H22586" t="s">
        <v>26499</v>
      </c>
    </row>
    <row r="22587" spans="8:8">
      <c r="H22587" t="s">
        <v>26500</v>
      </c>
    </row>
    <row r="22588" spans="8:8">
      <c r="H22588" t="s">
        <v>26501</v>
      </c>
    </row>
    <row r="22589" spans="8:8">
      <c r="H22589" t="s">
        <v>26502</v>
      </c>
    </row>
    <row r="22590" spans="8:8">
      <c r="H22590" t="s">
        <v>26503</v>
      </c>
    </row>
    <row r="22591" spans="8:8">
      <c r="H22591" t="s">
        <v>26504</v>
      </c>
    </row>
    <row r="22592" spans="8:8">
      <c r="H22592" t="s">
        <v>26505</v>
      </c>
    </row>
    <row r="22593" spans="1:8">
      <c r="H22593" t="s">
        <v>26506</v>
      </c>
    </row>
    <row r="22594" spans="1:8">
      <c r="A22594" t="s">
        <v>1026</v>
      </c>
      <c r="B22594">
        <f>HYPERLINK("https://android.googlesource.com/platform/cts/+/54a180c2a8c899ac9c3e89d22279c3c196aac60b", "54a180c2a8c899ac9c3e89d22279c3c196aac60b")</f>
        <v>0</v>
      </c>
      <c r="C22594">
        <f>HYPERLINK("https://android.googlesource.com/platform/cts/+/d0d4955c581c7a3f98661f215d2fd6f1b90f1a58", "d0d4955c581c7a3f98661f215d2fd6f1b90f1a58")</f>
        <v>0</v>
      </c>
      <c r="D22594" t="s">
        <v>5150</v>
      </c>
      <c r="E22594" t="s">
        <v>6804</v>
      </c>
      <c r="F22594" t="s">
        <v>10724</v>
      </c>
      <c r="G22594" t="s">
        <v>15123</v>
      </c>
      <c r="H22594" t="s">
        <v>26507</v>
      </c>
    </row>
    <row r="22595" spans="1:8">
      <c r="A22595" t="s">
        <v>1027</v>
      </c>
      <c r="B22595">
        <f>HYPERLINK("https://android.googlesource.com/platform/cts/+/c2b73ac4c3401bc6014a2d67e2d3da1f4da679e5", "c2b73ac4c3401bc6014a2d67e2d3da1f4da679e5")</f>
        <v>0</v>
      </c>
      <c r="C22595">
        <f>HYPERLINK("https://android.googlesource.com/platform/cts/+/0776744dad5c12b1dfa7e2b8b18a11322428e0a9", "0776744dad5c12b1dfa7e2b8b18a11322428e0a9")</f>
        <v>0</v>
      </c>
      <c r="D22595" t="s">
        <v>5021</v>
      </c>
      <c r="E22595" t="s">
        <v>6805</v>
      </c>
      <c r="F22595" t="s">
        <v>12810</v>
      </c>
      <c r="G22595" t="s">
        <v>16991</v>
      </c>
      <c r="H22595" t="s">
        <v>26508</v>
      </c>
    </row>
    <row r="22596" spans="1:8">
      <c r="H22596" t="s">
        <v>19813</v>
      </c>
    </row>
    <row r="22597" spans="1:8">
      <c r="H22597" t="s">
        <v>18927</v>
      </c>
    </row>
    <row r="22598" spans="1:8">
      <c r="H22598" t="s">
        <v>26509</v>
      </c>
    </row>
    <row r="22599" spans="1:8">
      <c r="H22599" t="s">
        <v>26510</v>
      </c>
    </row>
    <row r="22600" spans="1:8">
      <c r="H22600" t="s">
        <v>25728</v>
      </c>
    </row>
    <row r="22601" spans="1:8">
      <c r="F22601" t="s">
        <v>12811</v>
      </c>
      <c r="G22601" t="s">
        <v>16992</v>
      </c>
      <c r="H22601" t="s">
        <v>26511</v>
      </c>
    </row>
    <row r="22602" spans="1:8">
      <c r="H22602" t="s">
        <v>26512</v>
      </c>
    </row>
    <row r="22603" spans="1:8">
      <c r="H22603" t="s">
        <v>19430</v>
      </c>
    </row>
    <row r="22604" spans="1:8">
      <c r="H22604" t="s">
        <v>26513</v>
      </c>
    </row>
    <row r="22605" spans="1:8">
      <c r="H22605" t="s">
        <v>26514</v>
      </c>
    </row>
    <row r="22606" spans="1:8">
      <c r="H22606" t="s">
        <v>26515</v>
      </c>
    </row>
    <row r="22607" spans="1:8">
      <c r="H22607" t="s">
        <v>26516</v>
      </c>
    </row>
    <row r="22608" spans="1:8">
      <c r="H22608" t="s">
        <v>26517</v>
      </c>
    </row>
    <row r="22609" spans="1:8">
      <c r="H22609" t="s">
        <v>26518</v>
      </c>
    </row>
    <row r="22610" spans="1:8">
      <c r="A22610" t="s">
        <v>1028</v>
      </c>
      <c r="B22610">
        <f>HYPERLINK("https://android.googlesource.com/platform/cts/+/8f9c5318b57196ac7d2df256f8ecc757ca87733f", "8f9c5318b57196ac7d2df256f8ecc757ca87733f")</f>
        <v>0</v>
      </c>
      <c r="C22610">
        <f>HYPERLINK("https://android.googlesource.com/platform/cts/+/b8d88313e62b5ea6036e34a77e603c6505fea4a5", "b8d88313e62b5ea6036e34a77e603c6505fea4a5")</f>
        <v>0</v>
      </c>
      <c r="D22610" t="s">
        <v>5151</v>
      </c>
      <c r="E22610" t="s">
        <v>6806</v>
      </c>
      <c r="F22610" t="s">
        <v>12812</v>
      </c>
      <c r="G22610" t="s">
        <v>16993</v>
      </c>
      <c r="H22610" t="s">
        <v>26519</v>
      </c>
    </row>
    <row r="22611" spans="1:8">
      <c r="A22611" t="s">
        <v>1029</v>
      </c>
      <c r="B22611">
        <f>HYPERLINK("https://android.googlesource.com/platform/cts/+/9f4b899f3edb63c5ab362fea428797c745c7f68d", "9f4b899f3edb63c5ab362fea428797c745c7f68d")</f>
        <v>0</v>
      </c>
      <c r="C22611">
        <f>HYPERLINK("https://android.googlesource.com/platform/cts/+/353437ac6232cbe248f9692cb9b23f87bd5fe299", "353437ac6232cbe248f9692cb9b23f87bd5fe299")</f>
        <v>0</v>
      </c>
      <c r="D22611" t="s">
        <v>5143</v>
      </c>
      <c r="E22611" t="s">
        <v>6807</v>
      </c>
      <c r="F22611" t="s">
        <v>12813</v>
      </c>
      <c r="G22611" t="s">
        <v>16994</v>
      </c>
      <c r="H22611" t="s">
        <v>26520</v>
      </c>
    </row>
    <row r="22612" spans="1:8">
      <c r="H22612" t="s">
        <v>18893</v>
      </c>
    </row>
    <row r="22613" spans="1:8">
      <c r="H22613" t="s">
        <v>26521</v>
      </c>
    </row>
    <row r="22614" spans="1:8">
      <c r="A22614" t="s">
        <v>1030</v>
      </c>
      <c r="B22614">
        <f>HYPERLINK("https://android.googlesource.com/platform/cts/+/545a9d771dc758bac9863a06db922e3f0356c230", "545a9d771dc758bac9863a06db922e3f0356c230")</f>
        <v>0</v>
      </c>
      <c r="C22614">
        <f>HYPERLINK("https://android.googlesource.com/platform/cts/+/aa8ed1d506635768dc1f45b4e95f636341844d75", "aa8ed1d506635768dc1f45b4e95f636341844d75")</f>
        <v>0</v>
      </c>
      <c r="D22614" t="s">
        <v>5152</v>
      </c>
      <c r="E22614" t="s">
        <v>6808</v>
      </c>
      <c r="F22614" t="s">
        <v>12714</v>
      </c>
      <c r="G22614" t="s">
        <v>16914</v>
      </c>
      <c r="H22614" t="s">
        <v>26005</v>
      </c>
    </row>
    <row r="22615" spans="1:8">
      <c r="H22615" t="s">
        <v>26006</v>
      </c>
    </row>
    <row r="22616" spans="1:8">
      <c r="H22616" t="s">
        <v>26007</v>
      </c>
    </row>
    <row r="22617" spans="1:8">
      <c r="H22617" t="s">
        <v>26008</v>
      </c>
    </row>
    <row r="22618" spans="1:8">
      <c r="H22618" t="s">
        <v>26009</v>
      </c>
    </row>
    <row r="22619" spans="1:8">
      <c r="A22619" t="s">
        <v>1031</v>
      </c>
      <c r="B22619">
        <f>HYPERLINK("https://android.googlesource.com/platform/cts/+/2c827e25615d6503ec00c2c058dd1aec03d8a80b", "2c827e25615d6503ec00c2c058dd1aec03d8a80b")</f>
        <v>0</v>
      </c>
      <c r="C22619">
        <f>HYPERLINK("https://android.googlesource.com/platform/cts/+/9928412d6e106946df4fd1eb5494075345b7bbd7", "9928412d6e106946df4fd1eb5494075345b7bbd7")</f>
        <v>0</v>
      </c>
      <c r="D22619" t="s">
        <v>4971</v>
      </c>
      <c r="E22619" t="s">
        <v>6809</v>
      </c>
      <c r="F22619" t="s">
        <v>12814</v>
      </c>
      <c r="G22619" t="s">
        <v>16995</v>
      </c>
      <c r="H22619" t="s">
        <v>26522</v>
      </c>
    </row>
    <row r="22620" spans="1:8">
      <c r="H22620" t="s">
        <v>26523</v>
      </c>
    </row>
    <row r="22621" spans="1:8">
      <c r="F22621" t="s">
        <v>12815</v>
      </c>
      <c r="G22621" t="s">
        <v>16996</v>
      </c>
      <c r="H22621" t="s">
        <v>26522</v>
      </c>
    </row>
    <row r="22622" spans="1:8">
      <c r="H22622" t="s">
        <v>26524</v>
      </c>
    </row>
    <row r="22623" spans="1:8">
      <c r="H22623" t="s">
        <v>26525</v>
      </c>
    </row>
    <row r="22624" spans="1:8">
      <c r="H22624" t="s">
        <v>26526</v>
      </c>
    </row>
    <row r="22625" spans="1:8">
      <c r="A22625" t="s">
        <v>1032</v>
      </c>
      <c r="B22625">
        <f>HYPERLINK("https://android.googlesource.com/platform/cts/+/9627ae1f87de6c555dc8df5333ffacbf825d1dae", "9627ae1f87de6c555dc8df5333ffacbf825d1dae")</f>
        <v>0</v>
      </c>
      <c r="C22625">
        <f>HYPERLINK("https://android.googlesource.com/platform/cts/+/c5dbd0de50fb37273032d7992816cc11a2d64c85", "c5dbd0de50fb37273032d7992816cc11a2d64c85")</f>
        <v>0</v>
      </c>
      <c r="D22625" t="s">
        <v>5026</v>
      </c>
      <c r="E22625" t="s">
        <v>6810</v>
      </c>
      <c r="F22625" t="s">
        <v>12616</v>
      </c>
      <c r="G22625" t="s">
        <v>16827</v>
      </c>
      <c r="H22625" t="s">
        <v>26527</v>
      </c>
    </row>
    <row r="22626" spans="1:8">
      <c r="A22626" t="s">
        <v>1033</v>
      </c>
      <c r="B22626">
        <f>HYPERLINK("https://android.googlesource.com/platform/cts/+/bc3fe68ead36060deb5c730bcae87eb4ab582517", "bc3fe68ead36060deb5c730bcae87eb4ab582517")</f>
        <v>0</v>
      </c>
      <c r="C22626">
        <f>HYPERLINK("https://android.googlesource.com/platform/cts/+/95fbb17bbf1d600fe04d5b8848d4ca1d7833cc90", "95fbb17bbf1d600fe04d5b8848d4ca1d7833cc90")</f>
        <v>0</v>
      </c>
      <c r="D22626" t="s">
        <v>5153</v>
      </c>
      <c r="E22626" t="s">
        <v>6811</v>
      </c>
      <c r="F22626" t="s">
        <v>12816</v>
      </c>
      <c r="G22626" t="s">
        <v>16997</v>
      </c>
      <c r="H22626" t="s">
        <v>26528</v>
      </c>
    </row>
    <row r="22627" spans="1:8">
      <c r="A22627" t="s">
        <v>1034</v>
      </c>
      <c r="B22627">
        <f>HYPERLINK("https://android.googlesource.com/platform/cts/+/2d82709451bda4243a2b542e69f61c09423ec248", "2d82709451bda4243a2b542e69f61c09423ec248")</f>
        <v>0</v>
      </c>
      <c r="C22627">
        <f>HYPERLINK("https://android.googlesource.com/platform/cts/+/0f31c5a7aaf741612ec159d58e8246a611bf6f2f", "0f31c5a7aaf741612ec159d58e8246a611bf6f2f")</f>
        <v>0</v>
      </c>
      <c r="D22627" t="s">
        <v>4952</v>
      </c>
      <c r="E22627" t="s">
        <v>6812</v>
      </c>
      <c r="F22627" t="s">
        <v>12817</v>
      </c>
      <c r="G22627" t="s">
        <v>16629</v>
      </c>
      <c r="H22627" t="s">
        <v>22747</v>
      </c>
    </row>
    <row r="22628" spans="1:8">
      <c r="A22628" t="s">
        <v>1035</v>
      </c>
      <c r="B22628">
        <f>HYPERLINK("https://android.googlesource.com/platform/cts/+/b5c11f23c012175eaa4608b8e5bc72c1f66bfc73", "b5c11f23c012175eaa4608b8e5bc72c1f66bfc73")</f>
        <v>0</v>
      </c>
      <c r="C22628">
        <f>HYPERLINK("https://android.googlesource.com/platform/cts/+/75e21eda18cc2a3f28a2cb392a63d03f1480afcb", "75e21eda18cc2a3f28a2cb392a63d03f1480afcb")</f>
        <v>0</v>
      </c>
      <c r="D22628" t="s">
        <v>5006</v>
      </c>
      <c r="E22628" t="s">
        <v>6813</v>
      </c>
      <c r="F22628" t="s">
        <v>12818</v>
      </c>
      <c r="G22628" t="s">
        <v>16470</v>
      </c>
      <c r="H22628" t="s">
        <v>26529</v>
      </c>
    </row>
    <row r="22629" spans="1:8">
      <c r="H22629" t="s">
        <v>25497</v>
      </c>
    </row>
    <row r="22630" spans="1:8">
      <c r="H22630" t="s">
        <v>20244</v>
      </c>
    </row>
    <row r="22631" spans="1:8">
      <c r="H22631" t="s">
        <v>19233</v>
      </c>
    </row>
    <row r="22632" spans="1:8">
      <c r="H22632" t="s">
        <v>19232</v>
      </c>
    </row>
    <row r="22633" spans="1:8">
      <c r="H22633" t="s">
        <v>18829</v>
      </c>
    </row>
    <row r="22634" spans="1:8">
      <c r="H22634" t="s">
        <v>18863</v>
      </c>
    </row>
    <row r="22635" spans="1:8">
      <c r="H22635" t="s">
        <v>21479</v>
      </c>
    </row>
    <row r="22636" spans="1:8">
      <c r="A22636" t="s">
        <v>1036</v>
      </c>
      <c r="B22636">
        <f>HYPERLINK("https://android.googlesource.com/platform/cts/+/bbcc0f185fd3b2cd6faeea1b4a8bbb885628d9b5", "bbcc0f185fd3b2cd6faeea1b4a8bbb885628d9b5")</f>
        <v>0</v>
      </c>
      <c r="C22636">
        <f>HYPERLINK("https://android.googlesource.com/platform/cts/+/c9acf324cd32f7bc7668b428927f21c67ad1c765", "c9acf324cd32f7bc7668b428927f21c67ad1c765")</f>
        <v>0</v>
      </c>
      <c r="D22636" t="s">
        <v>5143</v>
      </c>
      <c r="E22636" t="s">
        <v>6814</v>
      </c>
      <c r="F22636" t="s">
        <v>11442</v>
      </c>
      <c r="G22636" t="s">
        <v>15682</v>
      </c>
      <c r="H22636" t="s">
        <v>26530</v>
      </c>
    </row>
    <row r="22637" spans="1:8">
      <c r="H22637" t="s">
        <v>18981</v>
      </c>
    </row>
    <row r="22638" spans="1:8">
      <c r="H22638" t="s">
        <v>26531</v>
      </c>
    </row>
    <row r="22639" spans="1:8">
      <c r="H22639" t="s">
        <v>26532</v>
      </c>
    </row>
    <row r="22640" spans="1:8">
      <c r="H22640" t="s">
        <v>18893</v>
      </c>
    </row>
    <row r="22641" spans="1:8">
      <c r="H22641" t="s">
        <v>26533</v>
      </c>
    </row>
    <row r="22642" spans="1:8">
      <c r="H22642" t="s">
        <v>26534</v>
      </c>
    </row>
    <row r="22643" spans="1:8">
      <c r="H22643" t="s">
        <v>19078</v>
      </c>
    </row>
    <row r="22644" spans="1:8">
      <c r="H22644" t="s">
        <v>19080</v>
      </c>
    </row>
    <row r="22645" spans="1:8">
      <c r="H22645" t="s">
        <v>26535</v>
      </c>
    </row>
    <row r="22646" spans="1:8">
      <c r="H22646" t="s">
        <v>19081</v>
      </c>
    </row>
    <row r="22647" spans="1:8">
      <c r="H22647" t="s">
        <v>19079</v>
      </c>
    </row>
    <row r="22648" spans="1:8">
      <c r="H22648" t="s">
        <v>26536</v>
      </c>
    </row>
    <row r="22649" spans="1:8">
      <c r="H22649" t="s">
        <v>26537</v>
      </c>
    </row>
    <row r="22650" spans="1:8">
      <c r="H22650" t="s">
        <v>26538</v>
      </c>
    </row>
    <row r="22651" spans="1:8">
      <c r="H22651" t="s">
        <v>18893</v>
      </c>
    </row>
    <row r="22652" spans="1:8">
      <c r="A22652" t="s">
        <v>1037</v>
      </c>
      <c r="B22652">
        <f>HYPERLINK("https://android.googlesource.com/platform/cts/+/9f97cc6f8143226099357c75f3f1b889483be3f7", "9f97cc6f8143226099357c75f3f1b889483be3f7")</f>
        <v>0</v>
      </c>
      <c r="C22652">
        <f>HYPERLINK("https://android.googlesource.com/platform/cts/+/7bcbb0db4ac8fdc505c8b95ad72bfa85b8c981de", "7bcbb0db4ac8fdc505c8b95ad72bfa85b8c981de")</f>
        <v>0</v>
      </c>
      <c r="D22652" t="s">
        <v>5143</v>
      </c>
      <c r="E22652" t="s">
        <v>6815</v>
      </c>
      <c r="F22652" t="s">
        <v>10604</v>
      </c>
      <c r="G22652" t="s">
        <v>15007</v>
      </c>
      <c r="H22652" t="s">
        <v>26539</v>
      </c>
    </row>
    <row r="22653" spans="1:8">
      <c r="H22653" t="s">
        <v>19135</v>
      </c>
    </row>
    <row r="22654" spans="1:8">
      <c r="H22654" t="s">
        <v>26540</v>
      </c>
    </row>
    <row r="22655" spans="1:8">
      <c r="H22655" t="s">
        <v>26541</v>
      </c>
    </row>
    <row r="22656" spans="1:8">
      <c r="A22656" t="s">
        <v>1038</v>
      </c>
      <c r="B22656">
        <f>HYPERLINK("https://android.googlesource.com/platform/cts/+/24ee87792fac4a1ec104a3ccb283b0c14c9038f3", "24ee87792fac4a1ec104a3ccb283b0c14c9038f3")</f>
        <v>0</v>
      </c>
      <c r="C22656">
        <f>HYPERLINK("https://android.googlesource.com/platform/cts/+/b670c009e93964d933a299a026a2615d71d872c8", "b670c009e93964d933a299a026a2615d71d872c8")</f>
        <v>0</v>
      </c>
      <c r="D22656" t="s">
        <v>5090</v>
      </c>
      <c r="E22656" t="s">
        <v>6816</v>
      </c>
      <c r="F22656" t="s">
        <v>10684</v>
      </c>
      <c r="G22656" t="s">
        <v>15084</v>
      </c>
      <c r="H22656" t="s">
        <v>26542</v>
      </c>
    </row>
    <row r="22657" spans="1:8">
      <c r="A22657" t="s">
        <v>1039</v>
      </c>
      <c r="B22657">
        <f>HYPERLINK("https://android.googlesource.com/platform/cts/+/a42b7b4142cda75ed37ef6cc5f3e84f5aa07797c", "a42b7b4142cda75ed37ef6cc5f3e84f5aa07797c")</f>
        <v>0</v>
      </c>
      <c r="C22657">
        <f>HYPERLINK("https://android.googlesource.com/platform/cts/+/2a445cb1df8840f90ec49b1d08b8c1a2661250b9", "2a445cb1df8840f90ec49b1d08b8c1a2661250b9")</f>
        <v>0</v>
      </c>
      <c r="D22657" t="s">
        <v>5152</v>
      </c>
      <c r="E22657" t="s">
        <v>6817</v>
      </c>
      <c r="F22657" t="s">
        <v>12759</v>
      </c>
      <c r="G22657" t="s">
        <v>16950</v>
      </c>
      <c r="H22657" t="s">
        <v>26295</v>
      </c>
    </row>
    <row r="22658" spans="1:8">
      <c r="A22658" t="s">
        <v>1040</v>
      </c>
      <c r="B22658">
        <f>HYPERLINK("https://android.googlesource.com/platform/cts/+/b5c120319e432d648fa8283d7a53e6fab7df8406", "b5c120319e432d648fa8283d7a53e6fab7df8406")</f>
        <v>0</v>
      </c>
      <c r="C22658">
        <f>HYPERLINK("https://android.googlesource.com/platform/cts/+/3880a690e443eda634809278994e7380e2dd6dff", "3880a690e443eda634809278994e7380e2dd6dff")</f>
        <v>0</v>
      </c>
      <c r="D22658" t="s">
        <v>5143</v>
      </c>
      <c r="E22658" t="s">
        <v>6818</v>
      </c>
      <c r="F22658" t="s">
        <v>12734</v>
      </c>
      <c r="G22658" t="s">
        <v>16927</v>
      </c>
      <c r="H22658" t="s">
        <v>26543</v>
      </c>
    </row>
    <row r="22659" spans="1:8">
      <c r="A22659" t="s">
        <v>1041</v>
      </c>
      <c r="B22659">
        <f>HYPERLINK("https://android.googlesource.com/platform/cts/+/214d1783cfc2e92fda792511f6bf61d7a34c2b7b", "214d1783cfc2e92fda792511f6bf61d7a34c2b7b")</f>
        <v>0</v>
      </c>
      <c r="C22659">
        <f>HYPERLINK("https://android.googlesource.com/platform/cts/+/faf5bfa76238ae24448e6e91b9c3145d95d59a4a", "faf5bfa76238ae24448e6e91b9c3145d95d59a4a")</f>
        <v>0</v>
      </c>
      <c r="D22659" t="s">
        <v>5150</v>
      </c>
      <c r="E22659" t="s">
        <v>6819</v>
      </c>
      <c r="F22659" t="s">
        <v>10724</v>
      </c>
      <c r="G22659" t="s">
        <v>15123</v>
      </c>
      <c r="H22659" t="s">
        <v>26507</v>
      </c>
    </row>
    <row r="22660" spans="1:8">
      <c r="A22660" t="s">
        <v>1043</v>
      </c>
      <c r="B22660">
        <f>HYPERLINK("https://android.googlesource.com/platform/cts/+/9cc53801f585d5ff945abb55b3402d4a6eed14dc", "9cc53801f585d5ff945abb55b3402d4a6eed14dc")</f>
        <v>0</v>
      </c>
      <c r="C22660">
        <f>HYPERLINK("https://android.googlesource.com/platform/cts/+/57c3c87b0aec7f4b881ee04bca5af2e08d967103", "57c3c87b0aec7f4b881ee04bca5af2e08d967103")</f>
        <v>0</v>
      </c>
      <c r="D22660" t="s">
        <v>5154</v>
      </c>
      <c r="E22660" t="s">
        <v>6820</v>
      </c>
      <c r="F22660" t="s">
        <v>12819</v>
      </c>
      <c r="G22660" t="s">
        <v>16998</v>
      </c>
      <c r="H22660" t="s">
        <v>26544</v>
      </c>
    </row>
    <row r="22661" spans="1:8">
      <c r="H22661" t="s">
        <v>26545</v>
      </c>
    </row>
    <row r="22662" spans="1:8">
      <c r="H22662" t="s">
        <v>26546</v>
      </c>
    </row>
    <row r="22663" spans="1:8">
      <c r="A22663" t="s">
        <v>1044</v>
      </c>
      <c r="B22663">
        <f>HYPERLINK("https://android.googlesource.com/platform/cts/+/6fe236d475d1c81b28c05e5ae4fcb1c7de158980", "6fe236d475d1c81b28c05e5ae4fcb1c7de158980")</f>
        <v>0</v>
      </c>
      <c r="C22663">
        <f>HYPERLINK("https://android.googlesource.com/platform/cts/+/072f06260dd186996e0eac572b7fe3bae359480b", "072f06260dd186996e0eac572b7fe3bae359480b")</f>
        <v>0</v>
      </c>
      <c r="D22663" t="s">
        <v>4985</v>
      </c>
      <c r="E22663" t="s">
        <v>6821</v>
      </c>
      <c r="F22663" t="s">
        <v>12820</v>
      </c>
      <c r="G22663" t="s">
        <v>16999</v>
      </c>
      <c r="H22663" t="s">
        <v>26547</v>
      </c>
    </row>
    <row r="22664" spans="1:8">
      <c r="H22664" t="s">
        <v>26548</v>
      </c>
    </row>
    <row r="22665" spans="1:8">
      <c r="H22665" t="s">
        <v>26549</v>
      </c>
    </row>
    <row r="22666" spans="1:8">
      <c r="A22666" t="s">
        <v>1045</v>
      </c>
      <c r="B22666">
        <f>HYPERLINK("https://android.googlesource.com/platform/cts/+/40537e42de582523aed2d341eef650ea81c44dfc", "40537e42de582523aed2d341eef650ea81c44dfc")</f>
        <v>0</v>
      </c>
      <c r="C22666">
        <f>HYPERLINK("https://android.googlesource.com/platform/cts/+/e40e26fdccb1280594e5461ed1409627e3d477cc", "e40e26fdccb1280594e5461ed1409627e3d477cc")</f>
        <v>0</v>
      </c>
      <c r="D22666" t="s">
        <v>5143</v>
      </c>
      <c r="E22666" t="s">
        <v>6822</v>
      </c>
      <c r="F22666" t="s">
        <v>12792</v>
      </c>
      <c r="G22666" t="s">
        <v>16975</v>
      </c>
      <c r="H22666" t="s">
        <v>26550</v>
      </c>
    </row>
    <row r="22667" spans="1:8">
      <c r="A22667" t="s">
        <v>1046</v>
      </c>
      <c r="B22667">
        <f>HYPERLINK("https://android.googlesource.com/platform/cts/+/f4c87b375f2a449978ba0774098075f2aa069aa1", "f4c87b375f2a449978ba0774098075f2aa069aa1")</f>
        <v>0</v>
      </c>
      <c r="C22667">
        <f>HYPERLINK("https://android.googlesource.com/platform/cts/+/287defcf10255049d984ed7e3702ec7e120f8fc4", "287defcf10255049d984ed7e3702ec7e120f8fc4")</f>
        <v>0</v>
      </c>
      <c r="D22667" t="s">
        <v>5060</v>
      </c>
      <c r="E22667" t="s">
        <v>6823</v>
      </c>
      <c r="F22667" t="s">
        <v>12817</v>
      </c>
      <c r="G22667" t="s">
        <v>16629</v>
      </c>
      <c r="H22667" t="s">
        <v>26551</v>
      </c>
    </row>
    <row r="22668" spans="1:8">
      <c r="A22668" t="s">
        <v>1047</v>
      </c>
      <c r="B22668">
        <f>HYPERLINK("https://android.googlesource.com/platform/cts/+/7e31de6819e21b1289ae95be76b71d749581bc59", "7e31de6819e21b1289ae95be76b71d749581bc59")</f>
        <v>0</v>
      </c>
      <c r="C22668">
        <f>HYPERLINK("https://android.googlesource.com/platform/cts/+/2e5afb3fe448dd27c03a933a3861e3fc357f85d3", "2e5afb3fe448dd27c03a933a3861e3fc357f85d3")</f>
        <v>0</v>
      </c>
      <c r="D22668" t="s">
        <v>5060</v>
      </c>
      <c r="E22668" t="s">
        <v>6824</v>
      </c>
      <c r="F22668" t="s">
        <v>12407</v>
      </c>
      <c r="G22668" t="s">
        <v>16629</v>
      </c>
      <c r="H22668" t="s">
        <v>26551</v>
      </c>
    </row>
    <row r="22669" spans="1:8">
      <c r="A22669" t="s">
        <v>1048</v>
      </c>
      <c r="B22669">
        <f>HYPERLINK("https://android.googlesource.com/platform/cts/+/79ac43af49e57aa22ee4a09da648a5a56fa3f6ed", "79ac43af49e57aa22ee4a09da648a5a56fa3f6ed")</f>
        <v>0</v>
      </c>
      <c r="C22669">
        <f>HYPERLINK("https://android.googlesource.com/platform/cts/+/3880a690e443eda634809278994e7380e2dd6dff", "3880a690e443eda634809278994e7380e2dd6dff")</f>
        <v>0</v>
      </c>
      <c r="D22669" t="s">
        <v>5029</v>
      </c>
      <c r="E22669" t="s">
        <v>6825</v>
      </c>
      <c r="F22669" t="s">
        <v>12821</v>
      </c>
      <c r="G22669" t="s">
        <v>17000</v>
      </c>
      <c r="H22669" t="s">
        <v>26552</v>
      </c>
    </row>
    <row r="22670" spans="1:8">
      <c r="H22670" t="s">
        <v>26553</v>
      </c>
    </row>
    <row r="22671" spans="1:8">
      <c r="A22671" t="s">
        <v>1049</v>
      </c>
      <c r="B22671">
        <f>HYPERLINK("https://android.googlesource.com/platform/cts/+/de7b341676df03d53c3f7086d87a84f408144b89", "de7b341676df03d53c3f7086d87a84f408144b89")</f>
        <v>0</v>
      </c>
      <c r="C22671">
        <f>HYPERLINK("https://android.googlesource.com/platform/cts/+/8ef8b153002ad04917cf23834a482596314a50e3", "8ef8b153002ad04917cf23834a482596314a50e3")</f>
        <v>0</v>
      </c>
      <c r="D22671" t="s">
        <v>4971</v>
      </c>
      <c r="E22671" t="s">
        <v>6826</v>
      </c>
      <c r="F22671" t="s">
        <v>12717</v>
      </c>
      <c r="G22671" t="s">
        <v>16917</v>
      </c>
      <c r="H22671" t="s">
        <v>26554</v>
      </c>
    </row>
    <row r="22672" spans="1:8">
      <c r="A22672" t="s">
        <v>1050</v>
      </c>
      <c r="B22672">
        <f>HYPERLINK("https://android.googlesource.com/platform/cts/+/138e9354ea132b5fb306a43082647756a4e08c6c", "138e9354ea132b5fb306a43082647756a4e08c6c")</f>
        <v>0</v>
      </c>
      <c r="C22672">
        <f>HYPERLINK("https://android.googlesource.com/platform/cts/+/51582c8246fc590d03de88c94d6797307050ccaa", "51582c8246fc590d03de88c94d6797307050ccaa")</f>
        <v>0</v>
      </c>
      <c r="D22672" t="s">
        <v>5155</v>
      </c>
      <c r="E22672" t="s">
        <v>6827</v>
      </c>
      <c r="F22672" t="s">
        <v>12822</v>
      </c>
      <c r="G22672" t="s">
        <v>17001</v>
      </c>
      <c r="H22672" t="s">
        <v>26555</v>
      </c>
    </row>
    <row r="22673" spans="1:8">
      <c r="H22673" t="s">
        <v>26556</v>
      </c>
    </row>
    <row r="22674" spans="1:8">
      <c r="H22674" t="s">
        <v>26557</v>
      </c>
    </row>
    <row r="22675" spans="1:8">
      <c r="A22675" t="s">
        <v>1051</v>
      </c>
      <c r="B22675">
        <f>HYPERLINK("https://android.googlesource.com/platform/cts/+/48dd482d96342aca1dae697fbc41bc08c5febd36", "48dd482d96342aca1dae697fbc41bc08c5febd36")</f>
        <v>0</v>
      </c>
      <c r="C22675">
        <f>HYPERLINK("https://android.googlesource.com/platform/cts/+/15b8cacd08113d43814ff635cbc6b9b6e4e272d9", "15b8cacd08113d43814ff635cbc6b9b6e4e272d9")</f>
        <v>0</v>
      </c>
      <c r="D22675" t="s">
        <v>5117</v>
      </c>
      <c r="E22675" t="s">
        <v>6828</v>
      </c>
      <c r="F22675" t="s">
        <v>12823</v>
      </c>
      <c r="G22675" t="s">
        <v>17002</v>
      </c>
      <c r="H22675" t="s">
        <v>18929</v>
      </c>
    </row>
    <row r="22676" spans="1:8">
      <c r="A22676" t="s">
        <v>1052</v>
      </c>
      <c r="B22676">
        <f>HYPERLINK("https://android.googlesource.com/platform/cts/+/d31f7df59f21c51b7bf2abaeb415292ace61fb76", "d31f7df59f21c51b7bf2abaeb415292ace61fb76")</f>
        <v>0</v>
      </c>
      <c r="C22676">
        <f>HYPERLINK("https://android.googlesource.com/platform/cts/+/b5daad8c1685e65d4af2197a496a2cd39fe1872e", "b5daad8c1685e65d4af2197a496a2cd39fe1872e")</f>
        <v>0</v>
      </c>
      <c r="D22676" t="s">
        <v>5132</v>
      </c>
      <c r="E22676" t="s">
        <v>6829</v>
      </c>
      <c r="F22676" t="s">
        <v>10794</v>
      </c>
      <c r="G22676" t="s">
        <v>15189</v>
      </c>
      <c r="H22676" t="s">
        <v>26558</v>
      </c>
    </row>
    <row r="22677" spans="1:8">
      <c r="H22677" t="s">
        <v>26559</v>
      </c>
    </row>
    <row r="22678" spans="1:8">
      <c r="H22678" t="s">
        <v>26560</v>
      </c>
    </row>
    <row r="22679" spans="1:8">
      <c r="A22679" t="s">
        <v>1053</v>
      </c>
      <c r="B22679">
        <f>HYPERLINK("https://android.googlesource.com/platform/cts/+/a7fa4dceead8b1aa1db479d431b1ffdfdbcf641c", "a7fa4dceead8b1aa1db479d431b1ffdfdbcf641c")</f>
        <v>0</v>
      </c>
      <c r="C22679">
        <f>HYPERLINK("https://android.googlesource.com/platform/cts/+/b4a8b9914a77bfd58a5a42c930ae7ae89215f1ea", "b4a8b9914a77bfd58a5a42c930ae7ae89215f1ea")</f>
        <v>0</v>
      </c>
      <c r="D22679" t="s">
        <v>5156</v>
      </c>
      <c r="E22679" t="s">
        <v>6830</v>
      </c>
      <c r="F22679" t="s">
        <v>10684</v>
      </c>
      <c r="G22679" t="s">
        <v>15084</v>
      </c>
      <c r="H22679" t="s">
        <v>26561</v>
      </c>
    </row>
    <row r="22680" spans="1:8">
      <c r="A22680" t="s">
        <v>1054</v>
      </c>
      <c r="B22680">
        <f>HYPERLINK("https://android.googlesource.com/platform/cts/+/6c4b47cd022d9d2fdadbca2716fea168245bdff2", "6c4b47cd022d9d2fdadbca2716fea168245bdff2")</f>
        <v>0</v>
      </c>
      <c r="C22680">
        <f>HYPERLINK("https://android.googlesource.com/platform/cts/+/f986270bdc2fc78fec95a8f9e6e886d829846433", "f986270bdc2fc78fec95a8f9e6e886d829846433")</f>
        <v>0</v>
      </c>
      <c r="D22680" t="s">
        <v>5006</v>
      </c>
      <c r="E22680" t="s">
        <v>6831</v>
      </c>
      <c r="F22680" t="s">
        <v>12824</v>
      </c>
      <c r="G22680" t="s">
        <v>17003</v>
      </c>
      <c r="H22680" t="s">
        <v>26562</v>
      </c>
    </row>
    <row r="22681" spans="1:8">
      <c r="H22681" t="s">
        <v>20083</v>
      </c>
    </row>
    <row r="22682" spans="1:8">
      <c r="H22682" t="s">
        <v>26563</v>
      </c>
    </row>
    <row r="22683" spans="1:8">
      <c r="F22683" t="s">
        <v>12825</v>
      </c>
      <c r="G22683" t="s">
        <v>16422</v>
      </c>
      <c r="H22683" t="s">
        <v>26564</v>
      </c>
    </row>
    <row r="22684" spans="1:8">
      <c r="H22684" t="s">
        <v>20083</v>
      </c>
    </row>
    <row r="22685" spans="1:8">
      <c r="H22685" t="s">
        <v>26565</v>
      </c>
    </row>
    <row r="22686" spans="1:8">
      <c r="H22686" t="s">
        <v>26566</v>
      </c>
    </row>
    <row r="22687" spans="1:8">
      <c r="H22687" t="s">
        <v>26563</v>
      </c>
    </row>
    <row r="22688" spans="1:8">
      <c r="F22688" t="s">
        <v>12826</v>
      </c>
      <c r="G22688" t="s">
        <v>17004</v>
      </c>
      <c r="H22688" t="s">
        <v>26567</v>
      </c>
    </row>
    <row r="22689" spans="6:8">
      <c r="H22689" t="s">
        <v>20083</v>
      </c>
    </row>
    <row r="22690" spans="6:8">
      <c r="H22690" t="s">
        <v>26565</v>
      </c>
    </row>
    <row r="22691" spans="6:8">
      <c r="H22691" t="s">
        <v>26566</v>
      </c>
    </row>
    <row r="22692" spans="6:8">
      <c r="H22692" t="s">
        <v>26568</v>
      </c>
    </row>
    <row r="22693" spans="6:8">
      <c r="H22693" t="s">
        <v>26569</v>
      </c>
    </row>
    <row r="22694" spans="6:8">
      <c r="H22694" t="s">
        <v>26563</v>
      </c>
    </row>
    <row r="22695" spans="6:8">
      <c r="F22695" t="s">
        <v>12827</v>
      </c>
      <c r="G22695" t="s">
        <v>17005</v>
      </c>
      <c r="H22695" t="s">
        <v>26570</v>
      </c>
    </row>
    <row r="22696" spans="6:8">
      <c r="H22696" t="s">
        <v>20083</v>
      </c>
    </row>
    <row r="22697" spans="6:8">
      <c r="H22697" t="s">
        <v>26571</v>
      </c>
    </row>
    <row r="22698" spans="6:8">
      <c r="H22698" t="s">
        <v>26563</v>
      </c>
    </row>
    <row r="22699" spans="6:8">
      <c r="H22699" t="s">
        <v>26572</v>
      </c>
    </row>
    <row r="22700" spans="6:8">
      <c r="H22700" t="s">
        <v>26573</v>
      </c>
    </row>
    <row r="22701" spans="6:8">
      <c r="H22701" t="s">
        <v>26574</v>
      </c>
    </row>
    <row r="22702" spans="6:8">
      <c r="H22702" t="s">
        <v>26575</v>
      </c>
    </row>
    <row r="22703" spans="6:8">
      <c r="H22703" t="s">
        <v>19133</v>
      </c>
    </row>
    <row r="22704" spans="6:8">
      <c r="H22704" t="s">
        <v>19132</v>
      </c>
    </row>
    <row r="22705" spans="6:8">
      <c r="H22705" t="s">
        <v>26576</v>
      </c>
    </row>
    <row r="22706" spans="6:8">
      <c r="H22706" t="s">
        <v>26577</v>
      </c>
    </row>
    <row r="22707" spans="6:8">
      <c r="H22707" t="s">
        <v>26563</v>
      </c>
    </row>
    <row r="22708" spans="6:8">
      <c r="F22708" t="s">
        <v>12828</v>
      </c>
      <c r="G22708" t="s">
        <v>17006</v>
      </c>
      <c r="H22708" t="s">
        <v>26578</v>
      </c>
    </row>
    <row r="22709" spans="6:8">
      <c r="H22709" t="s">
        <v>20083</v>
      </c>
    </row>
    <row r="22710" spans="6:8">
      <c r="H22710" t="s">
        <v>26563</v>
      </c>
    </row>
    <row r="22711" spans="6:8">
      <c r="H22711" t="s">
        <v>26579</v>
      </c>
    </row>
    <row r="22712" spans="6:8">
      <c r="H22712" t="s">
        <v>26580</v>
      </c>
    </row>
    <row r="22713" spans="6:8">
      <c r="H22713" t="s">
        <v>26581</v>
      </c>
    </row>
    <row r="22714" spans="6:8">
      <c r="H22714" t="s">
        <v>26582</v>
      </c>
    </row>
    <row r="22715" spans="6:8">
      <c r="F22715" t="s">
        <v>12829</v>
      </c>
      <c r="G22715" t="s">
        <v>17007</v>
      </c>
      <c r="H22715" t="s">
        <v>26583</v>
      </c>
    </row>
    <row r="22716" spans="6:8">
      <c r="H22716" t="s">
        <v>20083</v>
      </c>
    </row>
    <row r="22717" spans="6:8">
      <c r="H22717" t="s">
        <v>26563</v>
      </c>
    </row>
    <row r="22718" spans="6:8">
      <c r="F22718" t="s">
        <v>12830</v>
      </c>
      <c r="G22718" t="s">
        <v>17008</v>
      </c>
      <c r="H22718" t="s">
        <v>26584</v>
      </c>
    </row>
    <row r="22719" spans="6:8">
      <c r="H22719" t="s">
        <v>20083</v>
      </c>
    </row>
    <row r="22720" spans="6:8">
      <c r="H22720" t="s">
        <v>26563</v>
      </c>
    </row>
    <row r="22721" spans="6:8">
      <c r="H22721" t="s">
        <v>26579</v>
      </c>
    </row>
    <row r="22722" spans="6:8">
      <c r="H22722" t="s">
        <v>26580</v>
      </c>
    </row>
    <row r="22723" spans="6:8">
      <c r="H22723" t="s">
        <v>26581</v>
      </c>
    </row>
    <row r="22724" spans="6:8">
      <c r="H22724" t="s">
        <v>26582</v>
      </c>
    </row>
    <row r="22725" spans="6:8">
      <c r="H22725" t="s">
        <v>26585</v>
      </c>
    </row>
    <row r="22726" spans="6:8">
      <c r="H22726" t="s">
        <v>26586</v>
      </c>
    </row>
    <row r="22727" spans="6:8">
      <c r="F22727" t="s">
        <v>12831</v>
      </c>
      <c r="G22727" t="s">
        <v>17009</v>
      </c>
      <c r="H22727" t="s">
        <v>26587</v>
      </c>
    </row>
    <row r="22728" spans="6:8">
      <c r="H22728" t="s">
        <v>18930</v>
      </c>
    </row>
    <row r="22729" spans="6:8">
      <c r="H22729" t="s">
        <v>26588</v>
      </c>
    </row>
    <row r="22730" spans="6:8">
      <c r="H22730" t="s">
        <v>19230</v>
      </c>
    </row>
    <row r="22731" spans="6:8">
      <c r="H22731" t="s">
        <v>26589</v>
      </c>
    </row>
    <row r="22732" spans="6:8">
      <c r="H22732" t="s">
        <v>26589</v>
      </c>
    </row>
    <row r="22733" spans="6:8">
      <c r="H22733" t="s">
        <v>26590</v>
      </c>
    </row>
    <row r="22734" spans="6:8">
      <c r="F22734" t="s">
        <v>12832</v>
      </c>
      <c r="G22734" t="s">
        <v>17010</v>
      </c>
      <c r="H22734" t="s">
        <v>26591</v>
      </c>
    </row>
    <row r="22735" spans="6:8">
      <c r="H22735" t="s">
        <v>26592</v>
      </c>
    </row>
    <row r="22736" spans="6:8">
      <c r="H22736" t="s">
        <v>20083</v>
      </c>
    </row>
    <row r="22737" spans="6:8">
      <c r="H22737" t="s">
        <v>26593</v>
      </c>
    </row>
    <row r="22738" spans="6:8">
      <c r="H22738" t="s">
        <v>26594</v>
      </c>
    </row>
    <row r="22739" spans="6:8">
      <c r="H22739" t="s">
        <v>26595</v>
      </c>
    </row>
    <row r="22740" spans="6:8">
      <c r="H22740" t="s">
        <v>19654</v>
      </c>
    </row>
    <row r="22741" spans="6:8">
      <c r="H22741" t="s">
        <v>21209</v>
      </c>
    </row>
    <row r="22742" spans="6:8">
      <c r="H22742" t="s">
        <v>26596</v>
      </c>
    </row>
    <row r="22743" spans="6:8">
      <c r="H22743" t="s">
        <v>26597</v>
      </c>
    </row>
    <row r="22744" spans="6:8">
      <c r="F22744" t="s">
        <v>12833</v>
      </c>
      <c r="G22744" t="s">
        <v>16915</v>
      </c>
      <c r="H22744" t="s">
        <v>18829</v>
      </c>
    </row>
    <row r="22745" spans="6:8">
      <c r="H22745" t="s">
        <v>21360</v>
      </c>
    </row>
    <row r="22746" spans="6:8">
      <c r="H22746" t="s">
        <v>26010</v>
      </c>
    </row>
    <row r="22747" spans="6:8">
      <c r="H22747" t="s">
        <v>26011</v>
      </c>
    </row>
    <row r="22748" spans="6:8">
      <c r="H22748" t="s">
        <v>26012</v>
      </c>
    </row>
    <row r="22749" spans="6:8">
      <c r="H22749" t="s">
        <v>26013</v>
      </c>
    </row>
    <row r="22750" spans="6:8">
      <c r="H22750" t="s">
        <v>26014</v>
      </c>
    </row>
    <row r="22751" spans="6:8">
      <c r="H22751" t="s">
        <v>26015</v>
      </c>
    </row>
    <row r="22752" spans="6:8">
      <c r="H22752" t="s">
        <v>26016</v>
      </c>
    </row>
    <row r="22753" spans="8:8">
      <c r="H22753" t="s">
        <v>26017</v>
      </c>
    </row>
    <row r="22754" spans="8:8">
      <c r="H22754" t="s">
        <v>26018</v>
      </c>
    </row>
    <row r="22755" spans="8:8">
      <c r="H22755" t="s">
        <v>26019</v>
      </c>
    </row>
    <row r="22756" spans="8:8">
      <c r="H22756" t="s">
        <v>26020</v>
      </c>
    </row>
    <row r="22757" spans="8:8">
      <c r="H22757" t="s">
        <v>26021</v>
      </c>
    </row>
    <row r="22758" spans="8:8">
      <c r="H22758" t="s">
        <v>26022</v>
      </c>
    </row>
    <row r="22759" spans="8:8">
      <c r="H22759" t="s">
        <v>26023</v>
      </c>
    </row>
    <row r="22760" spans="8:8">
      <c r="H22760" t="s">
        <v>26024</v>
      </c>
    </row>
    <row r="22761" spans="8:8">
      <c r="H22761" t="s">
        <v>26025</v>
      </c>
    </row>
    <row r="22762" spans="8:8">
      <c r="H22762" t="s">
        <v>26026</v>
      </c>
    </row>
    <row r="22763" spans="8:8">
      <c r="H22763" t="s">
        <v>26027</v>
      </c>
    </row>
    <row r="22764" spans="8:8">
      <c r="H22764" t="s">
        <v>26028</v>
      </c>
    </row>
    <row r="22765" spans="8:8">
      <c r="H22765" t="s">
        <v>26029</v>
      </c>
    </row>
    <row r="22766" spans="8:8">
      <c r="H22766" t="s">
        <v>26030</v>
      </c>
    </row>
    <row r="22767" spans="8:8">
      <c r="H22767" t="s">
        <v>26031</v>
      </c>
    </row>
    <row r="22768" spans="8:8">
      <c r="H22768" t="s">
        <v>26032</v>
      </c>
    </row>
    <row r="22769" spans="8:8">
      <c r="H22769" t="s">
        <v>26033</v>
      </c>
    </row>
    <row r="22770" spans="8:8">
      <c r="H22770" t="s">
        <v>26034</v>
      </c>
    </row>
    <row r="22771" spans="8:8">
      <c r="H22771" t="s">
        <v>26035</v>
      </c>
    </row>
    <row r="22772" spans="8:8">
      <c r="H22772" t="s">
        <v>26036</v>
      </c>
    </row>
    <row r="22773" spans="8:8">
      <c r="H22773" t="s">
        <v>26037</v>
      </c>
    </row>
    <row r="22774" spans="8:8">
      <c r="H22774" t="s">
        <v>26038</v>
      </c>
    </row>
    <row r="22775" spans="8:8">
      <c r="H22775" t="s">
        <v>26039</v>
      </c>
    </row>
    <row r="22776" spans="8:8">
      <c r="H22776" t="s">
        <v>26040</v>
      </c>
    </row>
    <row r="22777" spans="8:8">
      <c r="H22777" t="s">
        <v>26041</v>
      </c>
    </row>
    <row r="22778" spans="8:8">
      <c r="H22778" t="s">
        <v>26042</v>
      </c>
    </row>
    <row r="22779" spans="8:8">
      <c r="H22779" t="s">
        <v>26043</v>
      </c>
    </row>
    <row r="22780" spans="8:8">
      <c r="H22780" t="s">
        <v>26044</v>
      </c>
    </row>
    <row r="22781" spans="8:8">
      <c r="H22781" t="s">
        <v>26045</v>
      </c>
    </row>
    <row r="22782" spans="8:8">
      <c r="H22782" t="s">
        <v>26046</v>
      </c>
    </row>
    <row r="22783" spans="8:8">
      <c r="H22783" t="s">
        <v>26047</v>
      </c>
    </row>
    <row r="22784" spans="8:8">
      <c r="H22784" t="s">
        <v>26048</v>
      </c>
    </row>
    <row r="22785" spans="6:8">
      <c r="H22785" t="s">
        <v>26049</v>
      </c>
    </row>
    <row r="22786" spans="6:8">
      <c r="H22786" t="s">
        <v>26050</v>
      </c>
    </row>
    <row r="22787" spans="6:8">
      <c r="H22787" t="s">
        <v>26051</v>
      </c>
    </row>
    <row r="22788" spans="6:8">
      <c r="H22788" t="s">
        <v>26052</v>
      </c>
    </row>
    <row r="22789" spans="6:8">
      <c r="H22789" t="s">
        <v>26053</v>
      </c>
    </row>
    <row r="22790" spans="6:8">
      <c r="H22790" t="s">
        <v>26054</v>
      </c>
    </row>
    <row r="22791" spans="6:8">
      <c r="H22791" t="s">
        <v>26055</v>
      </c>
    </row>
    <row r="22792" spans="6:8">
      <c r="H22792" t="s">
        <v>26056</v>
      </c>
    </row>
    <row r="22793" spans="6:8">
      <c r="H22793" t="s">
        <v>26057</v>
      </c>
    </row>
    <row r="22794" spans="6:8">
      <c r="H22794" t="s">
        <v>26058</v>
      </c>
    </row>
    <row r="22795" spans="6:8">
      <c r="H22795" t="s">
        <v>26059</v>
      </c>
    </row>
    <row r="22796" spans="6:8">
      <c r="H22796" t="s">
        <v>26060</v>
      </c>
    </row>
    <row r="22797" spans="6:8">
      <c r="H22797" t="s">
        <v>26061</v>
      </c>
    </row>
    <row r="22798" spans="6:8">
      <c r="H22798" t="s">
        <v>26062</v>
      </c>
    </row>
    <row r="22799" spans="6:8">
      <c r="F22799" t="s">
        <v>10734</v>
      </c>
      <c r="G22799" t="s">
        <v>15133</v>
      </c>
      <c r="H22799" t="s">
        <v>26598</v>
      </c>
    </row>
    <row r="22800" spans="6:8">
      <c r="F22800" t="s">
        <v>12834</v>
      </c>
      <c r="G22800" t="s">
        <v>17011</v>
      </c>
      <c r="H22800" t="s">
        <v>20244</v>
      </c>
    </row>
    <row r="22801" spans="1:8">
      <c r="H22801" t="s">
        <v>26599</v>
      </c>
    </row>
    <row r="22802" spans="1:8">
      <c r="H22802" t="s">
        <v>18927</v>
      </c>
    </row>
    <row r="22803" spans="1:8">
      <c r="H22803" t="s">
        <v>26600</v>
      </c>
    </row>
    <row r="22804" spans="1:8">
      <c r="H22804" t="s">
        <v>26601</v>
      </c>
    </row>
    <row r="22805" spans="1:8">
      <c r="A22805" t="s">
        <v>1055</v>
      </c>
      <c r="B22805">
        <f>HYPERLINK("https://android.googlesource.com/platform/cts/+/f190d0c3c43c1f863c0dd159025f034b4a3dc47a", "f190d0c3c43c1f863c0dd159025f034b4a3dc47a")</f>
        <v>0</v>
      </c>
      <c r="C22805">
        <f>HYPERLINK("https://android.googlesource.com/platform/cts/+/51b4700619a513a4d8158e6b67a9d238787f8c43", "51b4700619a513a4d8158e6b67a9d238787f8c43")</f>
        <v>0</v>
      </c>
      <c r="D22805" t="s">
        <v>5029</v>
      </c>
      <c r="E22805" t="s">
        <v>6832</v>
      </c>
      <c r="F22805" t="s">
        <v>12698</v>
      </c>
      <c r="G22805" t="s">
        <v>16591</v>
      </c>
      <c r="H22805" t="s">
        <v>26602</v>
      </c>
    </row>
    <row r="22806" spans="1:8">
      <c r="H22806" t="s">
        <v>18927</v>
      </c>
    </row>
    <row r="22807" spans="1:8">
      <c r="H22807" t="s">
        <v>26603</v>
      </c>
    </row>
    <row r="22808" spans="1:8">
      <c r="A22808" t="s">
        <v>1056</v>
      </c>
      <c r="B22808">
        <f>HYPERLINK("https://android.googlesource.com/platform/cts/+/f86bd21bff5fa4e967dcc0dacd2bdc8d11cbf651", "f86bd21bff5fa4e967dcc0dacd2bdc8d11cbf651")</f>
        <v>0</v>
      </c>
      <c r="C22808">
        <f>HYPERLINK("https://android.googlesource.com/platform/cts/+/caf1c9b00ace75735ab7fb09629894f0d0664118", "caf1c9b00ace75735ab7fb09629894f0d0664118")</f>
        <v>0</v>
      </c>
      <c r="D22808" t="s">
        <v>4981</v>
      </c>
      <c r="E22808" t="s">
        <v>6833</v>
      </c>
      <c r="F22808" t="s">
        <v>12835</v>
      </c>
      <c r="G22808" t="s">
        <v>16417</v>
      </c>
      <c r="H22808" t="s">
        <v>26604</v>
      </c>
    </row>
    <row r="22809" spans="1:8">
      <c r="A22809" t="s">
        <v>1057</v>
      </c>
      <c r="B22809">
        <f>HYPERLINK("https://android.googlesource.com/platform/cts/+/556f884bd4aa1d2528d310b9b5d7a0f7e12e7c64", "556f884bd4aa1d2528d310b9b5d7a0f7e12e7c64")</f>
        <v>0</v>
      </c>
      <c r="C22809">
        <f>HYPERLINK("https://android.googlesource.com/platform/cts/+/7bedd0760d1f9bc0ebdb5a91d34548ffd53bff77", "7bedd0760d1f9bc0ebdb5a91d34548ffd53bff77")</f>
        <v>0</v>
      </c>
      <c r="D22809" t="s">
        <v>5117</v>
      </c>
      <c r="E22809" t="s">
        <v>6834</v>
      </c>
      <c r="F22809" t="s">
        <v>12836</v>
      </c>
      <c r="G22809" t="s">
        <v>17012</v>
      </c>
      <c r="H22809" t="s">
        <v>26605</v>
      </c>
    </row>
    <row r="22810" spans="1:8">
      <c r="A22810" t="s">
        <v>1058</v>
      </c>
      <c r="B22810">
        <f>HYPERLINK("https://android.googlesource.com/platform/cts/+/5c0b38c9edc00956e45918c568e454f38e40364d", "5c0b38c9edc00956e45918c568e454f38e40364d")</f>
        <v>0</v>
      </c>
      <c r="C22810">
        <f>HYPERLINK("https://android.googlesource.com/platform/cts/+/6decc874bcdb349d62e9fcd970b0aaf60f7011b0", "6decc874bcdb349d62e9fcd970b0aaf60f7011b0")</f>
        <v>0</v>
      </c>
      <c r="D22810" t="s">
        <v>5077</v>
      </c>
      <c r="E22810" t="s">
        <v>6835</v>
      </c>
      <c r="F22810" t="s">
        <v>12239</v>
      </c>
      <c r="G22810" t="s">
        <v>16469</v>
      </c>
      <c r="H22810" t="s">
        <v>26606</v>
      </c>
    </row>
    <row r="22811" spans="1:8">
      <c r="A22811" t="s">
        <v>1059</v>
      </c>
      <c r="B22811">
        <f>HYPERLINK("https://android.googlesource.com/platform/cts/+/0355f69ecbf9fa1be305abb4c833167094fc5ab3", "0355f69ecbf9fa1be305abb4c833167094fc5ab3")</f>
        <v>0</v>
      </c>
      <c r="C22811">
        <f>HYPERLINK("https://android.googlesource.com/platform/cts/+/e3ef037b2daae00d747f6a11d9cb9ad4a765083c", "e3ef037b2daae00d747f6a11d9cb9ad4a765083c")</f>
        <v>0</v>
      </c>
      <c r="D22811" t="s">
        <v>5157</v>
      </c>
      <c r="E22811" t="s">
        <v>6836</v>
      </c>
      <c r="F22811" t="s">
        <v>12837</v>
      </c>
      <c r="G22811" t="s">
        <v>17013</v>
      </c>
      <c r="H22811" t="s">
        <v>26607</v>
      </c>
    </row>
    <row r="22812" spans="1:8">
      <c r="H22812" t="s">
        <v>26608</v>
      </c>
    </row>
    <row r="22813" spans="1:8">
      <c r="F22813" t="s">
        <v>12620</v>
      </c>
      <c r="G22813" t="s">
        <v>16830</v>
      </c>
      <c r="H22813" t="s">
        <v>26607</v>
      </c>
    </row>
    <row r="22814" spans="1:8">
      <c r="H22814" t="s">
        <v>26608</v>
      </c>
    </row>
    <row r="22815" spans="1:8">
      <c r="A22815" t="s">
        <v>1060</v>
      </c>
      <c r="B22815">
        <f>HYPERLINK("https://android.googlesource.com/platform/cts/+/a3ea7e5808a0fceb6fcc5dbc7cf3ed02c5078f87", "a3ea7e5808a0fceb6fcc5dbc7cf3ed02c5078f87")</f>
        <v>0</v>
      </c>
      <c r="C22815">
        <f>HYPERLINK("https://android.googlesource.com/platform/cts/+/34fd9933dc125479b802cd2ae9b35317d245bcac", "34fd9933dc125479b802cd2ae9b35317d245bcac")</f>
        <v>0</v>
      </c>
      <c r="D22815" t="s">
        <v>5059</v>
      </c>
      <c r="E22815" t="s">
        <v>6837</v>
      </c>
      <c r="F22815" t="s">
        <v>12838</v>
      </c>
      <c r="G22815" t="s">
        <v>16967</v>
      </c>
      <c r="H22815" t="s">
        <v>26403</v>
      </c>
    </row>
    <row r="22816" spans="1:8">
      <c r="A22816" t="s">
        <v>1061</v>
      </c>
      <c r="B22816">
        <f>HYPERLINK("https://android.googlesource.com/platform/cts/+/eda2399b30a1c67fad8bdcceea2beca987834ff1", "eda2399b30a1c67fad8bdcceea2beca987834ff1")</f>
        <v>0</v>
      </c>
      <c r="C22816">
        <f>HYPERLINK("https://android.googlesource.com/platform/cts/+/c543c1f0e0ed134fc09363c116ebbd220904f886", "c543c1f0e0ed134fc09363c116ebbd220904f886")</f>
        <v>0</v>
      </c>
      <c r="D22816" t="s">
        <v>5158</v>
      </c>
      <c r="E22816" t="s">
        <v>6838</v>
      </c>
      <c r="F22816" t="s">
        <v>12839</v>
      </c>
      <c r="G22816" t="s">
        <v>17014</v>
      </c>
      <c r="H22816" t="s">
        <v>26609</v>
      </c>
    </row>
    <row r="22817" spans="1:8">
      <c r="H22817" t="s">
        <v>26610</v>
      </c>
    </row>
    <row r="22818" spans="1:8">
      <c r="A22818" t="s">
        <v>1062</v>
      </c>
      <c r="B22818">
        <f>HYPERLINK("https://android.googlesource.com/platform/cts/+/a23bb8c6b9ce153e5be73168fd153dc1b3004ea9", "a23bb8c6b9ce153e5be73168fd153dc1b3004ea9")</f>
        <v>0</v>
      </c>
      <c r="C22818">
        <f>HYPERLINK("https://android.googlesource.com/platform/cts/+/bab3e3b57d481b40f5e602a6b5ebfabdbeffc27d", "bab3e3b57d481b40f5e602a6b5ebfabdbeffc27d")</f>
        <v>0</v>
      </c>
      <c r="D22818" t="s">
        <v>5146</v>
      </c>
      <c r="E22818" t="s">
        <v>6839</v>
      </c>
      <c r="F22818" t="s">
        <v>12840</v>
      </c>
      <c r="G22818" t="s">
        <v>17015</v>
      </c>
      <c r="H22818" t="s">
        <v>18863</v>
      </c>
    </row>
    <row r="22819" spans="1:8">
      <c r="F22819" t="s">
        <v>12841</v>
      </c>
      <c r="G22819" t="s">
        <v>15119</v>
      </c>
      <c r="H22819" t="s">
        <v>18863</v>
      </c>
    </row>
    <row r="22820" spans="1:8">
      <c r="F22820" t="s">
        <v>12842</v>
      </c>
      <c r="G22820" t="s">
        <v>15690</v>
      </c>
      <c r="H22820" t="s">
        <v>18863</v>
      </c>
    </row>
    <row r="22821" spans="1:8">
      <c r="F22821" t="s">
        <v>12839</v>
      </c>
      <c r="G22821" t="s">
        <v>17014</v>
      </c>
      <c r="H22821" t="s">
        <v>26611</v>
      </c>
    </row>
    <row r="22822" spans="1:8">
      <c r="H22822" t="s">
        <v>19905</v>
      </c>
    </row>
    <row r="22823" spans="1:8">
      <c r="H22823" t="s">
        <v>26612</v>
      </c>
    </row>
    <row r="22824" spans="1:8">
      <c r="F22824" t="s">
        <v>12843</v>
      </c>
      <c r="G22824" t="s">
        <v>16556</v>
      </c>
      <c r="H22824" t="s">
        <v>18863</v>
      </c>
    </row>
    <row r="22825" spans="1:8">
      <c r="F22825" t="s">
        <v>12844</v>
      </c>
      <c r="G22825" t="s">
        <v>17016</v>
      </c>
      <c r="H22825" t="s">
        <v>18863</v>
      </c>
    </row>
    <row r="22826" spans="1:8">
      <c r="F22826" t="s">
        <v>12845</v>
      </c>
      <c r="G22826" t="s">
        <v>16561</v>
      </c>
      <c r="H22826" t="s">
        <v>18863</v>
      </c>
    </row>
    <row r="22827" spans="1:8">
      <c r="F22827" t="s">
        <v>12846</v>
      </c>
      <c r="G22827" t="s">
        <v>17017</v>
      </c>
      <c r="H22827" t="s">
        <v>26613</v>
      </c>
    </row>
    <row r="22828" spans="1:8">
      <c r="A22828" t="s">
        <v>1063</v>
      </c>
      <c r="B22828">
        <f>HYPERLINK("https://android.googlesource.com/platform/cts/+/1c5601985db0b6619d3a4ecaa3f16ea93bec0c30", "1c5601985db0b6619d3a4ecaa3f16ea93bec0c30")</f>
        <v>0</v>
      </c>
      <c r="C22828">
        <f>HYPERLINK("https://android.googlesource.com/platform/cts/+/e0c40d7cb975abc73eb2c3210e2d29cb48d5fa6b", "e0c40d7cb975abc73eb2c3210e2d29cb48d5fa6b")</f>
        <v>0</v>
      </c>
      <c r="D22828" t="s">
        <v>5021</v>
      </c>
      <c r="E22828" t="s">
        <v>6840</v>
      </c>
      <c r="F22828" t="s">
        <v>12847</v>
      </c>
      <c r="G22828" t="s">
        <v>16868</v>
      </c>
      <c r="H22828" t="s">
        <v>26614</v>
      </c>
    </row>
    <row r="22829" spans="1:8">
      <c r="H22829" t="s">
        <v>26615</v>
      </c>
    </row>
    <row r="22830" spans="1:8">
      <c r="H22830" t="s">
        <v>26616</v>
      </c>
    </row>
    <row r="22831" spans="1:8">
      <c r="H22831" t="s">
        <v>26617</v>
      </c>
    </row>
    <row r="22832" spans="1:8">
      <c r="F22832" t="s">
        <v>12848</v>
      </c>
      <c r="G22832" t="s">
        <v>17018</v>
      </c>
      <c r="H22832" t="s">
        <v>26618</v>
      </c>
    </row>
    <row r="22833" spans="1:8">
      <c r="H22833" t="s">
        <v>26619</v>
      </c>
    </row>
    <row r="22834" spans="1:8">
      <c r="H22834" t="s">
        <v>26065</v>
      </c>
    </row>
    <row r="22835" spans="1:8">
      <c r="H22835" t="s">
        <v>26620</v>
      </c>
    </row>
    <row r="22836" spans="1:8">
      <c r="H22836" t="s">
        <v>26621</v>
      </c>
    </row>
    <row r="22837" spans="1:8">
      <c r="H22837" t="s">
        <v>26622</v>
      </c>
    </row>
    <row r="22838" spans="1:8">
      <c r="A22838" t="s">
        <v>1064</v>
      </c>
      <c r="B22838">
        <f>HYPERLINK("https://android.googlesource.com/platform/cts/+/2037e79742e618fd3e35163165398ac8c57fe012", "2037e79742e618fd3e35163165398ac8c57fe012")</f>
        <v>0</v>
      </c>
      <c r="C22838">
        <f>HYPERLINK("https://android.googlesource.com/platform/cts/+/1e33d3d5406db08edc3fa43c62d8b4a77a541732", "1e33d3d5406db08edc3fa43c62d8b4a77a541732")</f>
        <v>0</v>
      </c>
      <c r="D22838" t="s">
        <v>5060</v>
      </c>
      <c r="E22838" t="s">
        <v>6841</v>
      </c>
      <c r="F22838" t="s">
        <v>12849</v>
      </c>
      <c r="G22838" t="s">
        <v>17019</v>
      </c>
      <c r="H22838" t="s">
        <v>26623</v>
      </c>
    </row>
    <row r="22839" spans="1:8">
      <c r="H22839" t="s">
        <v>26624</v>
      </c>
    </row>
    <row r="22840" spans="1:8">
      <c r="F22840" t="s">
        <v>12850</v>
      </c>
      <c r="G22840" t="s">
        <v>17020</v>
      </c>
      <c r="H22840" t="s">
        <v>26625</v>
      </c>
    </row>
    <row r="22841" spans="1:8">
      <c r="H22841" t="s">
        <v>26626</v>
      </c>
    </row>
    <row r="22842" spans="1:8">
      <c r="H22842" t="s">
        <v>26627</v>
      </c>
    </row>
    <row r="22843" spans="1:8">
      <c r="H22843" t="s">
        <v>26628</v>
      </c>
    </row>
    <row r="22844" spans="1:8">
      <c r="H22844" t="s">
        <v>26629</v>
      </c>
    </row>
    <row r="22845" spans="1:8">
      <c r="H22845" t="s">
        <v>26630</v>
      </c>
    </row>
    <row r="22846" spans="1:8">
      <c r="F22846" t="s">
        <v>12705</v>
      </c>
      <c r="G22846" t="s">
        <v>16907</v>
      </c>
      <c r="H22846" t="s">
        <v>26631</v>
      </c>
    </row>
    <row r="22847" spans="1:8">
      <c r="H22847" t="s">
        <v>26632</v>
      </c>
    </row>
    <row r="22848" spans="1:8">
      <c r="H22848" t="s">
        <v>26633</v>
      </c>
    </row>
    <row r="22849" spans="1:8">
      <c r="H22849" t="s">
        <v>26634</v>
      </c>
    </row>
    <row r="22850" spans="1:8">
      <c r="H22850" t="s">
        <v>25996</v>
      </c>
    </row>
    <row r="22851" spans="1:8">
      <c r="H22851" t="s">
        <v>26635</v>
      </c>
    </row>
    <row r="22852" spans="1:8">
      <c r="F22852" t="s">
        <v>12851</v>
      </c>
      <c r="G22852" t="s">
        <v>17021</v>
      </c>
      <c r="H22852" t="s">
        <v>26636</v>
      </c>
    </row>
    <row r="22853" spans="1:8">
      <c r="H22853" t="s">
        <v>26637</v>
      </c>
    </row>
    <row r="22854" spans="1:8">
      <c r="F22854" t="s">
        <v>12852</v>
      </c>
      <c r="G22854" t="s">
        <v>17022</v>
      </c>
      <c r="H22854" t="s">
        <v>26638</v>
      </c>
    </row>
    <row r="22855" spans="1:8">
      <c r="F22855" t="s">
        <v>12706</v>
      </c>
      <c r="G22855" t="s">
        <v>16908</v>
      </c>
      <c r="H22855" t="s">
        <v>25997</v>
      </c>
    </row>
    <row r="22856" spans="1:8">
      <c r="H22856" t="s">
        <v>25998</v>
      </c>
    </row>
    <row r="22857" spans="1:8">
      <c r="A22857" t="s">
        <v>1065</v>
      </c>
      <c r="B22857">
        <f>HYPERLINK("https://android.googlesource.com/platform/cts/+/ae4f67349084889d26e1260c1b0fbe0aa992408a", "ae4f67349084889d26e1260c1b0fbe0aa992408a")</f>
        <v>0</v>
      </c>
      <c r="C22857">
        <f>HYPERLINK("https://android.googlesource.com/platform/cts/+/42585fd1a00443bc286f00b8863d02ff0bf623d2", "42585fd1a00443bc286f00b8863d02ff0bf623d2")</f>
        <v>0</v>
      </c>
      <c r="D22857" t="s">
        <v>5018</v>
      </c>
      <c r="E22857" t="s">
        <v>6842</v>
      </c>
      <c r="F22857" t="s">
        <v>12402</v>
      </c>
      <c r="G22857" t="s">
        <v>16624</v>
      </c>
      <c r="H22857" t="s">
        <v>26639</v>
      </c>
    </row>
    <row r="22858" spans="1:8">
      <c r="H22858" t="s">
        <v>26640</v>
      </c>
    </row>
    <row r="22859" spans="1:8">
      <c r="H22859" t="s">
        <v>26641</v>
      </c>
    </row>
    <row r="22860" spans="1:8">
      <c r="A22860" t="s">
        <v>1066</v>
      </c>
      <c r="B22860">
        <f>HYPERLINK("https://android.googlesource.com/platform/cts/+/ee2588bbc0bdb2cf2f755327fcd3acffe0473206", "ee2588bbc0bdb2cf2f755327fcd3acffe0473206")</f>
        <v>0</v>
      </c>
      <c r="C22860">
        <f>HYPERLINK("https://android.googlesource.com/platform/cts/+/c2f9d8f3db67f3802ed9a2cd0e91575674b12d58", "c2f9d8f3db67f3802ed9a2cd0e91575674b12d58")</f>
        <v>0</v>
      </c>
      <c r="D22860" t="s">
        <v>5145</v>
      </c>
      <c r="E22860" t="s">
        <v>6843</v>
      </c>
      <c r="F22860" t="s">
        <v>12853</v>
      </c>
      <c r="G22860" t="s">
        <v>17023</v>
      </c>
      <c r="H22860" t="s">
        <v>26642</v>
      </c>
    </row>
    <row r="22861" spans="1:8">
      <c r="F22861" t="s">
        <v>12854</v>
      </c>
      <c r="G22861" t="s">
        <v>17024</v>
      </c>
      <c r="H22861" t="s">
        <v>19013</v>
      </c>
    </row>
    <row r="22862" spans="1:8">
      <c r="H22862" t="s">
        <v>18835</v>
      </c>
    </row>
    <row r="22863" spans="1:8">
      <c r="F22863" t="s">
        <v>10605</v>
      </c>
      <c r="G22863" t="s">
        <v>15008</v>
      </c>
      <c r="H22863" t="s">
        <v>26643</v>
      </c>
    </row>
    <row r="22864" spans="1:8">
      <c r="A22864" t="s">
        <v>1067</v>
      </c>
      <c r="B22864">
        <f>HYPERLINK("https://android.googlesource.com/platform/cts/+/05b3b03b4d262d3868cde3cf4b8260405506734a", "05b3b03b4d262d3868cde3cf4b8260405506734a")</f>
        <v>0</v>
      </c>
      <c r="C22864">
        <f>HYPERLINK("https://android.googlesource.com/platform/cts/+/9ab4d52013d3e426eb61631db3dcc4775524b3f8", "9ab4d52013d3e426eb61631db3dcc4775524b3f8")</f>
        <v>0</v>
      </c>
      <c r="D22864" t="s">
        <v>5159</v>
      </c>
      <c r="E22864" t="s">
        <v>6844</v>
      </c>
      <c r="F22864" t="s">
        <v>12850</v>
      </c>
      <c r="G22864" t="s">
        <v>17020</v>
      </c>
      <c r="H22864" t="s">
        <v>26628</v>
      </c>
    </row>
    <row r="22865" spans="1:8">
      <c r="A22865" t="s">
        <v>1068</v>
      </c>
      <c r="B22865">
        <f>HYPERLINK("https://android.googlesource.com/platform/cts/+/777c02a15053aa69b4e9db0537bb8346a5c9a4e8", "777c02a15053aa69b4e9db0537bb8346a5c9a4e8")</f>
        <v>0</v>
      </c>
      <c r="C22865">
        <f>HYPERLINK("https://android.googlesource.com/platform/cts/+/fb3029b1f071f17594a9f8d50e00acebbc4b2db1", "fb3029b1f071f17594a9f8d50e00acebbc4b2db1")</f>
        <v>0</v>
      </c>
      <c r="D22865" t="s">
        <v>5143</v>
      </c>
      <c r="E22865" t="s">
        <v>6845</v>
      </c>
      <c r="F22865" t="s">
        <v>10657</v>
      </c>
      <c r="G22865" t="s">
        <v>15058</v>
      </c>
      <c r="H22865" t="s">
        <v>18855</v>
      </c>
    </row>
    <row r="22866" spans="1:8">
      <c r="H22866" t="s">
        <v>26644</v>
      </c>
    </row>
    <row r="22867" spans="1:8">
      <c r="H22867" t="s">
        <v>26645</v>
      </c>
    </row>
    <row r="22868" spans="1:8">
      <c r="H22868" t="s">
        <v>26646</v>
      </c>
    </row>
    <row r="22869" spans="1:8">
      <c r="A22869" t="s">
        <v>1069</v>
      </c>
      <c r="B22869">
        <f>HYPERLINK("https://android.googlesource.com/platform/cts/+/4f6c30d1fb50043bcbc4ee94799ebe8dbeabf334", "4f6c30d1fb50043bcbc4ee94799ebe8dbeabf334")</f>
        <v>0</v>
      </c>
      <c r="C22869">
        <f>HYPERLINK("https://android.googlesource.com/platform/cts/+/dccba47f570a23f7b49f3515b8e1b432a686bfa5", "dccba47f570a23f7b49f3515b8e1b432a686bfa5")</f>
        <v>0</v>
      </c>
      <c r="D22869" t="s">
        <v>5152</v>
      </c>
      <c r="E22869" t="s">
        <v>6846</v>
      </c>
      <c r="F22869" t="s">
        <v>12342</v>
      </c>
      <c r="G22869" t="s">
        <v>16570</v>
      </c>
      <c r="H22869" t="s">
        <v>26647</v>
      </c>
    </row>
    <row r="22870" spans="1:8">
      <c r="H22870" t="s">
        <v>26648</v>
      </c>
    </row>
    <row r="22871" spans="1:8">
      <c r="H22871" t="s">
        <v>26649</v>
      </c>
    </row>
    <row r="22872" spans="1:8">
      <c r="H22872" t="s">
        <v>26650</v>
      </c>
    </row>
    <row r="22873" spans="1:8">
      <c r="H22873" t="s">
        <v>26651</v>
      </c>
    </row>
    <row r="22874" spans="1:8">
      <c r="A22874" t="s">
        <v>1070</v>
      </c>
      <c r="B22874">
        <f>HYPERLINK("https://android.googlesource.com/platform/cts/+/a17215a6bd14edeeb26cf52e013c411e18803525", "a17215a6bd14edeeb26cf52e013c411e18803525")</f>
        <v>0</v>
      </c>
      <c r="C22874">
        <f>HYPERLINK("https://android.googlesource.com/platform/cts/+/abc2bd7c73c9ddb3a9ccc1d76f2faf065455aaea", "abc2bd7c73c9ddb3a9ccc1d76f2faf065455aaea")</f>
        <v>0</v>
      </c>
      <c r="D22874" t="s">
        <v>5115</v>
      </c>
      <c r="E22874" t="s">
        <v>6847</v>
      </c>
      <c r="F22874" t="s">
        <v>12855</v>
      </c>
      <c r="G22874" t="s">
        <v>17025</v>
      </c>
      <c r="H22874" t="s">
        <v>25497</v>
      </c>
    </row>
    <row r="22875" spans="1:8">
      <c r="H22875" t="s">
        <v>20244</v>
      </c>
    </row>
    <row r="22876" spans="1:8">
      <c r="H22876" t="s">
        <v>19233</v>
      </c>
    </row>
    <row r="22877" spans="1:8">
      <c r="H22877" t="s">
        <v>19232</v>
      </c>
    </row>
    <row r="22878" spans="1:8">
      <c r="H22878" t="s">
        <v>26652</v>
      </c>
    </row>
    <row r="22879" spans="1:8">
      <c r="H22879" t="s">
        <v>26653</v>
      </c>
    </row>
    <row r="22880" spans="1:8">
      <c r="H22880" t="s">
        <v>26654</v>
      </c>
    </row>
    <row r="22881" spans="1:8">
      <c r="H22881" t="s">
        <v>26655</v>
      </c>
    </row>
    <row r="22882" spans="1:8">
      <c r="H22882" t="s">
        <v>26656</v>
      </c>
    </row>
    <row r="22883" spans="1:8">
      <c r="H22883" t="s">
        <v>18927</v>
      </c>
    </row>
    <row r="22884" spans="1:8">
      <c r="H22884" t="s">
        <v>26657</v>
      </c>
    </row>
    <row r="22885" spans="1:8">
      <c r="H22885" t="s">
        <v>26658</v>
      </c>
    </row>
    <row r="22886" spans="1:8">
      <c r="H22886" t="s">
        <v>19743</v>
      </c>
    </row>
    <row r="22887" spans="1:8">
      <c r="A22887" t="s">
        <v>1071</v>
      </c>
      <c r="B22887">
        <f>HYPERLINK("https://android.googlesource.com/platform/cts/+/551c7913ec661fcd4d883dbf1259b275f4a200b7", "551c7913ec661fcd4d883dbf1259b275f4a200b7")</f>
        <v>0</v>
      </c>
      <c r="C22887">
        <f>HYPERLINK("https://android.googlesource.com/platform/cts/+/33caf82ccf75749eabf9461064a90c9c7e9ffd1d", "33caf82ccf75749eabf9461064a90c9c7e9ffd1d")</f>
        <v>0</v>
      </c>
      <c r="D22887" t="s">
        <v>5143</v>
      </c>
      <c r="E22887" t="s">
        <v>6848</v>
      </c>
      <c r="F22887" t="s">
        <v>10584</v>
      </c>
      <c r="G22887" t="s">
        <v>14987</v>
      </c>
      <c r="H22887" t="s">
        <v>26659</v>
      </c>
    </row>
    <row r="22888" spans="1:8">
      <c r="H22888" t="s">
        <v>26660</v>
      </c>
    </row>
    <row r="22889" spans="1:8">
      <c r="H22889" t="s">
        <v>18888</v>
      </c>
    </row>
    <row r="22890" spans="1:8">
      <c r="H22890" t="s">
        <v>26661</v>
      </c>
    </row>
    <row r="22891" spans="1:8">
      <c r="H22891" t="s">
        <v>26539</v>
      </c>
    </row>
    <row r="22892" spans="1:8">
      <c r="H22892" t="s">
        <v>26662</v>
      </c>
    </row>
    <row r="22893" spans="1:8">
      <c r="H22893" t="s">
        <v>26663</v>
      </c>
    </row>
    <row r="22894" spans="1:8">
      <c r="H22894" t="s">
        <v>26664</v>
      </c>
    </row>
    <row r="22895" spans="1:8">
      <c r="H22895" t="s">
        <v>26665</v>
      </c>
    </row>
    <row r="22896" spans="1:8">
      <c r="H22896" t="s">
        <v>26666</v>
      </c>
    </row>
    <row r="22897" spans="1:8">
      <c r="H22897" t="s">
        <v>19690</v>
      </c>
    </row>
    <row r="22898" spans="1:8">
      <c r="H22898" t="s">
        <v>26667</v>
      </c>
    </row>
    <row r="22899" spans="1:8">
      <c r="H22899" t="s">
        <v>26668</v>
      </c>
    </row>
    <row r="22900" spans="1:8">
      <c r="H22900" t="s">
        <v>26669</v>
      </c>
    </row>
    <row r="22901" spans="1:8">
      <c r="H22901" t="s">
        <v>26670</v>
      </c>
    </row>
    <row r="22902" spans="1:8">
      <c r="H22902" t="s">
        <v>26671</v>
      </c>
    </row>
    <row r="22903" spans="1:8">
      <c r="H22903" t="s">
        <v>26672</v>
      </c>
    </row>
    <row r="22904" spans="1:8">
      <c r="H22904" t="s">
        <v>26673</v>
      </c>
    </row>
    <row r="22905" spans="1:8">
      <c r="A22905" t="s">
        <v>1072</v>
      </c>
      <c r="B22905">
        <f>HYPERLINK("https://android.googlesource.com/platform/cts/+/10f95d0e476defb89b5513c630949b6016eea231", "10f95d0e476defb89b5513c630949b6016eea231")</f>
        <v>0</v>
      </c>
      <c r="C22905">
        <f>HYPERLINK("https://android.googlesource.com/platform/cts/+/551c7913ec661fcd4d883dbf1259b275f4a200b7", "551c7913ec661fcd4d883dbf1259b275f4a200b7")</f>
        <v>0</v>
      </c>
      <c r="D22905" t="s">
        <v>5143</v>
      </c>
      <c r="E22905" t="s">
        <v>6849</v>
      </c>
      <c r="F22905" t="s">
        <v>10584</v>
      </c>
      <c r="G22905" t="s">
        <v>14987</v>
      </c>
      <c r="H22905" t="s">
        <v>26674</v>
      </c>
    </row>
    <row r="22906" spans="1:8">
      <c r="A22906" t="s">
        <v>1073</v>
      </c>
      <c r="B22906">
        <f>HYPERLINK("https://android.googlesource.com/platform/cts/+/47d10e11a948ab1d45782c22708c74e585f40d94", "47d10e11a948ab1d45782c22708c74e585f40d94")</f>
        <v>0</v>
      </c>
      <c r="C22906">
        <f>HYPERLINK("https://android.googlesource.com/platform/cts/+/d226d3e27f541c423955d8f79f1181abec9689f1", "d226d3e27f541c423955d8f79f1181abec9689f1")</f>
        <v>0</v>
      </c>
      <c r="D22906" t="s">
        <v>5160</v>
      </c>
      <c r="E22906" t="s">
        <v>6850</v>
      </c>
      <c r="F22906" t="s">
        <v>12368</v>
      </c>
      <c r="G22906" t="s">
        <v>16595</v>
      </c>
      <c r="H22906" t="s">
        <v>26675</v>
      </c>
    </row>
    <row r="22907" spans="1:8">
      <c r="H22907" t="s">
        <v>26676</v>
      </c>
    </row>
    <row r="22908" spans="1:8">
      <c r="H22908" t="s">
        <v>22086</v>
      </c>
    </row>
    <row r="22909" spans="1:8">
      <c r="H22909" t="s">
        <v>26677</v>
      </c>
    </row>
    <row r="22910" spans="1:8">
      <c r="H22910" t="s">
        <v>26678</v>
      </c>
    </row>
    <row r="22911" spans="1:8">
      <c r="H22911" t="s">
        <v>22083</v>
      </c>
    </row>
    <row r="22912" spans="1:8">
      <c r="F22912" t="s">
        <v>12369</v>
      </c>
      <c r="G22912" t="s">
        <v>16596</v>
      </c>
      <c r="H22912" t="s">
        <v>26679</v>
      </c>
    </row>
    <row r="22913" spans="1:8">
      <c r="A22913" t="s">
        <v>1074</v>
      </c>
      <c r="B22913">
        <f>HYPERLINK("https://android.googlesource.com/platform/cts/+/a4ad1a40e3fb65d8eb21816009b08fd2129c6aed", "a4ad1a40e3fb65d8eb21816009b08fd2129c6aed")</f>
        <v>0</v>
      </c>
      <c r="C22913">
        <f>HYPERLINK("https://android.googlesource.com/platform/cts/+/ee869092e862e5ade5a519e8cc702b53ba2d8649", "ee869092e862e5ade5a519e8cc702b53ba2d8649")</f>
        <v>0</v>
      </c>
      <c r="D22913" t="s">
        <v>5143</v>
      </c>
      <c r="E22913" t="s">
        <v>6851</v>
      </c>
      <c r="F22913" t="s">
        <v>12382</v>
      </c>
      <c r="G22913" t="s">
        <v>16608</v>
      </c>
      <c r="H22913" t="s">
        <v>26680</v>
      </c>
    </row>
    <row r="22914" spans="1:8">
      <c r="A22914" t="s">
        <v>1075</v>
      </c>
      <c r="B22914">
        <f>HYPERLINK("https://android.googlesource.com/platform/cts/+/2e31d2f5c5aaab42aebecea4d23c4f106ee92eac", "2e31d2f5c5aaab42aebecea4d23c4f106ee92eac")</f>
        <v>0</v>
      </c>
      <c r="C22914">
        <f>HYPERLINK("https://android.googlesource.com/platform/cts/+/c4e72cac789a30dd6cd5853b466b8d79c4f7d474", "c4e72cac789a30dd6cd5853b466b8d79c4f7d474")</f>
        <v>0</v>
      </c>
      <c r="D22914" t="s">
        <v>5143</v>
      </c>
      <c r="E22914" t="s">
        <v>6852</v>
      </c>
      <c r="F22914" t="s">
        <v>10584</v>
      </c>
      <c r="G22914" t="s">
        <v>14987</v>
      </c>
      <c r="H22914" t="s">
        <v>18887</v>
      </c>
    </row>
    <row r="22915" spans="1:8">
      <c r="A22915" t="s">
        <v>1076</v>
      </c>
      <c r="B22915">
        <f>HYPERLINK("https://android.googlesource.com/platform/cts/+/ee9cfbc0b46a07d24a6caec5c98c3652c3b77f84", "ee9cfbc0b46a07d24a6caec5c98c3652c3b77f84")</f>
        <v>0</v>
      </c>
      <c r="C22915">
        <f>HYPERLINK("https://android.googlesource.com/platform/cts/+/f98aaf2bd1e7a2dd9d7b8b5603a9293ba6c2f215", "f98aaf2bd1e7a2dd9d7b8b5603a9293ba6c2f215")</f>
        <v>0</v>
      </c>
      <c r="D22915" t="s">
        <v>5143</v>
      </c>
      <c r="E22915" t="s">
        <v>6853</v>
      </c>
      <c r="F22915" t="s">
        <v>12856</v>
      </c>
      <c r="G22915" t="s">
        <v>17026</v>
      </c>
      <c r="H22915" t="s">
        <v>26681</v>
      </c>
    </row>
    <row r="22916" spans="1:8">
      <c r="H22916" t="s">
        <v>26682</v>
      </c>
    </row>
    <row r="22917" spans="1:8">
      <c r="A22917" t="s">
        <v>1077</v>
      </c>
      <c r="B22917">
        <f>HYPERLINK("https://android.googlesource.com/platform/cts/+/93f3f6838de0c518413a677fe7b72facbcb8183d", "93f3f6838de0c518413a677fe7b72facbcb8183d")</f>
        <v>0</v>
      </c>
      <c r="C22917">
        <f>HYPERLINK("https://android.googlesource.com/platform/cts/+/ee9cfbc0b46a07d24a6caec5c98c3652c3b77f84", "ee9cfbc0b46a07d24a6caec5c98c3652c3b77f84")</f>
        <v>0</v>
      </c>
      <c r="D22917" t="s">
        <v>5132</v>
      </c>
      <c r="E22917" t="s">
        <v>6854</v>
      </c>
      <c r="F22917" t="s">
        <v>12857</v>
      </c>
      <c r="G22917" t="s">
        <v>17027</v>
      </c>
      <c r="H22917" t="s">
        <v>26683</v>
      </c>
    </row>
    <row r="22918" spans="1:8">
      <c r="A22918" t="s">
        <v>1078</v>
      </c>
      <c r="B22918">
        <f>HYPERLINK("https://android.googlesource.com/platform/cts/+/0a745cedb5e2eb6e8b354790ee891f66a3706f55", "0a745cedb5e2eb6e8b354790ee891f66a3706f55")</f>
        <v>0</v>
      </c>
      <c r="C22918">
        <f>HYPERLINK("https://android.googlesource.com/platform/cts/+/f4c71606249348ea9adbead686a7687d3fd20ff7", "f4c71606249348ea9adbead686a7687d3fd20ff7")</f>
        <v>0</v>
      </c>
      <c r="D22918" t="s">
        <v>5051</v>
      </c>
      <c r="E22918" t="s">
        <v>6855</v>
      </c>
      <c r="F22918" t="s">
        <v>12642</v>
      </c>
      <c r="G22918" t="s">
        <v>16850</v>
      </c>
      <c r="H22918" t="s">
        <v>26684</v>
      </c>
    </row>
    <row r="22919" spans="1:8">
      <c r="H22919" t="s">
        <v>26685</v>
      </c>
    </row>
    <row r="22920" spans="1:8">
      <c r="A22920" t="s">
        <v>1079</v>
      </c>
      <c r="B22920">
        <f>HYPERLINK("https://android.googlesource.com/platform/cts/+/3e9b72da290e46048cdb8630d9a99b3536a1d59d", "3e9b72da290e46048cdb8630d9a99b3536a1d59d")</f>
        <v>0</v>
      </c>
      <c r="C22920">
        <f>HYPERLINK("https://android.googlesource.com/platform/cts/+/0df7eb7d8987e89987b85118e765699f8fab981e", "0df7eb7d8987e89987b85118e765699f8fab981e")</f>
        <v>0</v>
      </c>
      <c r="D22920" t="s">
        <v>5143</v>
      </c>
      <c r="E22920" t="s">
        <v>6856</v>
      </c>
      <c r="F22920" t="s">
        <v>12792</v>
      </c>
      <c r="G22920" t="s">
        <v>16975</v>
      </c>
      <c r="H22920" t="s">
        <v>26686</v>
      </c>
    </row>
    <row r="22921" spans="1:8">
      <c r="A22921" t="s">
        <v>1080</v>
      </c>
      <c r="B22921">
        <f>HYPERLINK("https://android.googlesource.com/platform/cts/+/78325983804f239b217ff5eb607039a57462f4d9", "78325983804f239b217ff5eb607039a57462f4d9")</f>
        <v>0</v>
      </c>
      <c r="C22921">
        <f>HYPERLINK("https://android.googlesource.com/platform/cts/+/454cca0c08d2a93d69ed3605e29ca062c13ce7c7", "454cca0c08d2a93d69ed3605e29ca062c13ce7c7")</f>
        <v>0</v>
      </c>
      <c r="D22921" t="s">
        <v>5143</v>
      </c>
      <c r="E22921" t="s">
        <v>6857</v>
      </c>
      <c r="F22921" t="s">
        <v>12858</v>
      </c>
      <c r="G22921" t="s">
        <v>17026</v>
      </c>
      <c r="H22921" t="s">
        <v>26687</v>
      </c>
    </row>
    <row r="22922" spans="1:8">
      <c r="H22922" t="s">
        <v>26688</v>
      </c>
    </row>
    <row r="22923" spans="1:8">
      <c r="A22923" t="s">
        <v>1081</v>
      </c>
      <c r="B22923">
        <f>HYPERLINK("https://android.googlesource.com/platform/cts/+/dc782f228cd376fe8e20e7762402bc859164a6e1", "dc782f228cd376fe8e20e7762402bc859164a6e1")</f>
        <v>0</v>
      </c>
      <c r="C22923">
        <f>HYPERLINK("https://android.googlesource.com/platform/cts/+/5a1cbf9b51eaa72e7269fc0354b9eb7b13b15cc4", "5a1cbf9b51eaa72e7269fc0354b9eb7b13b15cc4")</f>
        <v>0</v>
      </c>
      <c r="D22923" t="s">
        <v>5117</v>
      </c>
      <c r="E22923" t="s">
        <v>6858</v>
      </c>
      <c r="F22923" t="s">
        <v>12859</v>
      </c>
      <c r="G22923" t="s">
        <v>17028</v>
      </c>
      <c r="H22923" t="s">
        <v>26689</v>
      </c>
    </row>
    <row r="22924" spans="1:8">
      <c r="F22924" t="s">
        <v>12836</v>
      </c>
      <c r="G22924" t="s">
        <v>17012</v>
      </c>
      <c r="H22924" t="s">
        <v>26690</v>
      </c>
    </row>
    <row r="22925" spans="1:8">
      <c r="A22925" t="s">
        <v>1082</v>
      </c>
      <c r="B22925">
        <f>HYPERLINK("https://android.googlesource.com/platform/cts/+/4720cbd4fdfc6bce9311eddf2dd081e454db7c53", "4720cbd4fdfc6bce9311eddf2dd081e454db7c53")</f>
        <v>0</v>
      </c>
      <c r="C22925">
        <f>HYPERLINK("https://android.googlesource.com/platform/cts/+/7b3ee108ce80c23f99fc5120a762ac93ad8e708a", "7b3ee108ce80c23f99fc5120a762ac93ad8e708a")</f>
        <v>0</v>
      </c>
      <c r="D22925" t="s">
        <v>4949</v>
      </c>
      <c r="E22925" t="s">
        <v>6859</v>
      </c>
      <c r="F22925" t="s">
        <v>12860</v>
      </c>
      <c r="G22925" t="s">
        <v>17029</v>
      </c>
      <c r="H22925" t="s">
        <v>26691</v>
      </c>
    </row>
    <row r="22926" spans="1:8">
      <c r="A22926" t="s">
        <v>1083</v>
      </c>
      <c r="B22926">
        <f>HYPERLINK("https://android.googlesource.com/platform/cts/+/b112f44e5dde4e2c37968c0d4b45b86e28e5fb84", "b112f44e5dde4e2c37968c0d4b45b86e28e5fb84")</f>
        <v>0</v>
      </c>
      <c r="C22926">
        <f>HYPERLINK("https://android.googlesource.com/platform/cts/+/baafc246e58bf2ca31f58af51efc9564db45fa80", "baafc246e58bf2ca31f58af51efc9564db45fa80")</f>
        <v>0</v>
      </c>
      <c r="D22926" t="s">
        <v>5051</v>
      </c>
      <c r="E22926" t="s">
        <v>6860</v>
      </c>
      <c r="F22926" t="s">
        <v>12642</v>
      </c>
      <c r="G22926" t="s">
        <v>16850</v>
      </c>
      <c r="H22926" t="s">
        <v>26692</v>
      </c>
    </row>
    <row r="22927" spans="1:8">
      <c r="H22927" t="s">
        <v>26693</v>
      </c>
    </row>
    <row r="22928" spans="1:8">
      <c r="H22928" t="s">
        <v>26694</v>
      </c>
    </row>
    <row r="22929" spans="6:8">
      <c r="H22929" t="s">
        <v>26695</v>
      </c>
    </row>
    <row r="22930" spans="6:8">
      <c r="H22930" t="s">
        <v>26696</v>
      </c>
    </row>
    <row r="22931" spans="6:8">
      <c r="H22931" t="s">
        <v>26697</v>
      </c>
    </row>
    <row r="22932" spans="6:8">
      <c r="F22932" t="s">
        <v>12861</v>
      </c>
      <c r="G22932" t="s">
        <v>17030</v>
      </c>
      <c r="H22932" t="s">
        <v>26698</v>
      </c>
    </row>
    <row r="22933" spans="6:8">
      <c r="H22933" t="s">
        <v>26699</v>
      </c>
    </row>
    <row r="22934" spans="6:8">
      <c r="H22934" t="s">
        <v>26700</v>
      </c>
    </row>
    <row r="22935" spans="6:8">
      <c r="H22935" t="s">
        <v>26701</v>
      </c>
    </row>
    <row r="22936" spans="6:8">
      <c r="F22936" t="s">
        <v>12862</v>
      </c>
      <c r="G22936" t="s">
        <v>16610</v>
      </c>
      <c r="H22936" t="s">
        <v>26702</v>
      </c>
    </row>
    <row r="22937" spans="6:8">
      <c r="H22937" t="s">
        <v>26703</v>
      </c>
    </row>
    <row r="22938" spans="6:8">
      <c r="H22938" t="s">
        <v>26704</v>
      </c>
    </row>
    <row r="22939" spans="6:8">
      <c r="H22939" t="s">
        <v>26705</v>
      </c>
    </row>
    <row r="22940" spans="6:8">
      <c r="H22940" t="s">
        <v>26706</v>
      </c>
    </row>
    <row r="22941" spans="6:8">
      <c r="F22941" t="s">
        <v>12863</v>
      </c>
      <c r="G22941" t="s">
        <v>17031</v>
      </c>
      <c r="H22941" t="s">
        <v>18829</v>
      </c>
    </row>
    <row r="22942" spans="6:8">
      <c r="H22942" t="s">
        <v>26684</v>
      </c>
    </row>
    <row r="22943" spans="6:8">
      <c r="H22943" t="s">
        <v>26707</v>
      </c>
    </row>
    <row r="22944" spans="6:8">
      <c r="F22944" t="s">
        <v>12864</v>
      </c>
      <c r="G22944" t="s">
        <v>17032</v>
      </c>
      <c r="H22944" t="s">
        <v>26708</v>
      </c>
    </row>
    <row r="22945" spans="1:8">
      <c r="F22945" t="s">
        <v>12865</v>
      </c>
      <c r="G22945" t="s">
        <v>17033</v>
      </c>
      <c r="H22945" t="s">
        <v>26709</v>
      </c>
    </row>
    <row r="22946" spans="1:8">
      <c r="H22946" t="s">
        <v>26710</v>
      </c>
    </row>
    <row r="22947" spans="1:8">
      <c r="H22947" t="s">
        <v>26711</v>
      </c>
    </row>
    <row r="22948" spans="1:8">
      <c r="A22948" t="s">
        <v>1084</v>
      </c>
      <c r="B22948">
        <f>HYPERLINK("https://android.googlesource.com/platform/cts/+/d8d087329468ef6f31cdff517167af1adc1c9bf2", "d8d087329468ef6f31cdff517167af1adc1c9bf2")</f>
        <v>0</v>
      </c>
      <c r="C22948">
        <f>HYPERLINK("https://android.googlesource.com/platform/cts/+/b8adcb8153f944be7e814898fd12bd9815ef86c8", "b8adcb8153f944be7e814898fd12bd9815ef86c8")</f>
        <v>0</v>
      </c>
      <c r="D22948" t="s">
        <v>5046</v>
      </c>
      <c r="E22948" t="s">
        <v>6861</v>
      </c>
      <c r="F22948" t="s">
        <v>10699</v>
      </c>
      <c r="G22948" t="s">
        <v>15099</v>
      </c>
      <c r="H22948" t="s">
        <v>26712</v>
      </c>
    </row>
    <row r="22949" spans="1:8">
      <c r="H22949" t="s">
        <v>26713</v>
      </c>
    </row>
    <row r="22950" spans="1:8">
      <c r="H22950" t="s">
        <v>26714</v>
      </c>
    </row>
    <row r="22951" spans="1:8">
      <c r="H22951" t="s">
        <v>26715</v>
      </c>
    </row>
    <row r="22952" spans="1:8">
      <c r="H22952" t="s">
        <v>26716</v>
      </c>
    </row>
    <row r="22953" spans="1:8">
      <c r="H22953" t="s">
        <v>26717</v>
      </c>
    </row>
    <row r="22954" spans="1:8">
      <c r="H22954" t="s">
        <v>18893</v>
      </c>
    </row>
    <row r="22955" spans="1:8">
      <c r="H22955" t="s">
        <v>26718</v>
      </c>
    </row>
    <row r="22956" spans="1:8">
      <c r="H22956" t="s">
        <v>19132</v>
      </c>
    </row>
    <row r="22957" spans="1:8">
      <c r="H22957" t="s">
        <v>19134</v>
      </c>
    </row>
    <row r="22958" spans="1:8">
      <c r="H22958" t="s">
        <v>19135</v>
      </c>
    </row>
    <row r="22959" spans="1:8">
      <c r="A22959" t="s">
        <v>1085</v>
      </c>
      <c r="B22959">
        <f>HYPERLINK("https://android.googlesource.com/platform/cts/+/fe9883f2e9025d8f86982749e631bbef14b10361", "fe9883f2e9025d8f86982749e631bbef14b10361")</f>
        <v>0</v>
      </c>
      <c r="C22959">
        <f>HYPERLINK("https://android.googlesource.com/platform/cts/+/9adcd0087f4103298af0f3d9031353bca92d6b22", "9adcd0087f4103298af0f3d9031353bca92d6b22")</f>
        <v>0</v>
      </c>
      <c r="D22959" t="s">
        <v>5128</v>
      </c>
      <c r="E22959" t="s">
        <v>6862</v>
      </c>
      <c r="F22959" t="s">
        <v>12866</v>
      </c>
      <c r="G22959" t="s">
        <v>17034</v>
      </c>
      <c r="H22959" t="s">
        <v>26719</v>
      </c>
    </row>
    <row r="22960" spans="1:8">
      <c r="A22960" t="s">
        <v>1086</v>
      </c>
      <c r="B22960">
        <f>HYPERLINK("https://android.googlesource.com/platform/cts/+/7a9c0418f5153976aa47177ed928289d0804dc29", "7a9c0418f5153976aa47177ed928289d0804dc29")</f>
        <v>0</v>
      </c>
      <c r="C22960">
        <f>HYPERLINK("https://android.googlesource.com/platform/cts/+/00d829ce1ded1682d95ea781a52d96b0f19dda11", "00d829ce1ded1682d95ea781a52d96b0f19dda11")</f>
        <v>0</v>
      </c>
      <c r="D22960" t="s">
        <v>5161</v>
      </c>
      <c r="E22960" t="s">
        <v>6863</v>
      </c>
      <c r="F22960" t="s">
        <v>11443</v>
      </c>
      <c r="G22960" t="s">
        <v>15683</v>
      </c>
      <c r="H22960" t="s">
        <v>26720</v>
      </c>
    </row>
    <row r="22961" spans="1:8">
      <c r="A22961" t="s">
        <v>1087</v>
      </c>
      <c r="B22961">
        <f>HYPERLINK("https://android.googlesource.com/platform/cts/+/ca3e9d13bfb15a8b94584549da8a4e23132e719f", "ca3e9d13bfb15a8b94584549da8a4e23132e719f")</f>
        <v>0</v>
      </c>
      <c r="C22961">
        <f>HYPERLINK("https://android.googlesource.com/platform/cts/+/248e1c8c79560e9344cf6efaf7f4a0e328b06b0d", "248e1c8c79560e9344cf6efaf7f4a0e328b06b0d")</f>
        <v>0</v>
      </c>
      <c r="D22961" t="s">
        <v>5143</v>
      </c>
      <c r="E22961" t="s">
        <v>6864</v>
      </c>
      <c r="F22961" t="s">
        <v>12867</v>
      </c>
      <c r="G22961" t="s">
        <v>17035</v>
      </c>
      <c r="H22961" t="s">
        <v>26721</v>
      </c>
    </row>
    <row r="22962" spans="1:8">
      <c r="A22962" t="s">
        <v>1088</v>
      </c>
      <c r="B22962">
        <f>HYPERLINK("https://android.googlesource.com/platform/cts/+/5c7da2012ca43a5a4e7b6936c8edd034729922bb", "5c7da2012ca43a5a4e7b6936c8edd034729922bb")</f>
        <v>0</v>
      </c>
      <c r="C22962">
        <f>HYPERLINK("https://android.googlesource.com/platform/cts/+/248e1c8c79560e9344cf6efaf7f4a0e328b06b0d", "248e1c8c79560e9344cf6efaf7f4a0e328b06b0d")</f>
        <v>0</v>
      </c>
      <c r="D22962" t="s">
        <v>5143</v>
      </c>
      <c r="E22962" t="s">
        <v>6865</v>
      </c>
      <c r="F22962" t="s">
        <v>12868</v>
      </c>
      <c r="G22962" t="s">
        <v>17036</v>
      </c>
      <c r="H22962" t="s">
        <v>20372</v>
      </c>
    </row>
    <row r="22963" spans="1:8">
      <c r="A22963" t="s">
        <v>1089</v>
      </c>
      <c r="B22963">
        <f>HYPERLINK("https://android.googlesource.com/platform/cts/+/1f86ab8d816d9356091e11da2b2f9383c40207a0", "1f86ab8d816d9356091e11da2b2f9383c40207a0")</f>
        <v>0</v>
      </c>
      <c r="C22963">
        <f>HYPERLINK("https://android.googlesource.com/platform/cts/+/e4d763b548cb3619771a0db63da12bc2f2901140", "e4d763b548cb3619771a0db63da12bc2f2901140")</f>
        <v>0</v>
      </c>
      <c r="D22963" t="s">
        <v>4994</v>
      </c>
      <c r="E22963" t="s">
        <v>6866</v>
      </c>
      <c r="F22963" t="s">
        <v>12869</v>
      </c>
      <c r="G22963" t="s">
        <v>17037</v>
      </c>
      <c r="H22963" t="s">
        <v>26722</v>
      </c>
    </row>
    <row r="22964" spans="1:8">
      <c r="F22964" t="s">
        <v>12870</v>
      </c>
      <c r="G22964" t="s">
        <v>17038</v>
      </c>
      <c r="H22964" t="s">
        <v>26723</v>
      </c>
    </row>
    <row r="22965" spans="1:8">
      <c r="A22965" t="s">
        <v>1090</v>
      </c>
      <c r="B22965">
        <f>HYPERLINK("https://android.googlesource.com/platform/cts/+/6b15fbbd5b6fa35ba9daf8229ffdfb126d694703", "6b15fbbd5b6fa35ba9daf8229ffdfb126d694703")</f>
        <v>0</v>
      </c>
      <c r="C22965">
        <f>HYPERLINK("https://android.googlesource.com/platform/cts/+/ab72e386268e871c8aca4c364c382f6c970adb4b", "ab72e386268e871c8aca4c364c382f6c970adb4b")</f>
        <v>0</v>
      </c>
      <c r="D22965" t="s">
        <v>5162</v>
      </c>
      <c r="E22965" t="s">
        <v>6867</v>
      </c>
      <c r="F22965" t="s">
        <v>12871</v>
      </c>
      <c r="G22965" t="s">
        <v>17039</v>
      </c>
      <c r="H22965" t="s">
        <v>26724</v>
      </c>
    </row>
    <row r="22966" spans="1:8">
      <c r="A22966" t="s">
        <v>1091</v>
      </c>
      <c r="B22966">
        <f>HYPERLINK("https://android.googlesource.com/platform/cts/+/d024365293b05aaa94b9015a27702b7d1ce7a0c6", "d024365293b05aaa94b9015a27702b7d1ce7a0c6")</f>
        <v>0</v>
      </c>
      <c r="C22966">
        <f>HYPERLINK("https://android.googlesource.com/platform/cts/+/8de4a1468f121bf1befe0eb9ac695499ba0243d7", "8de4a1468f121bf1befe0eb9ac695499ba0243d7")</f>
        <v>0</v>
      </c>
      <c r="D22966" t="s">
        <v>5163</v>
      </c>
      <c r="E22966" t="s">
        <v>6868</v>
      </c>
      <c r="F22966" t="s">
        <v>12872</v>
      </c>
      <c r="G22966" t="s">
        <v>17040</v>
      </c>
      <c r="H22966" t="s">
        <v>26725</v>
      </c>
    </row>
    <row r="22967" spans="1:8">
      <c r="H22967" t="s">
        <v>26726</v>
      </c>
    </row>
    <row r="22968" spans="1:8">
      <c r="H22968" t="s">
        <v>26727</v>
      </c>
    </row>
    <row r="22969" spans="1:8">
      <c r="F22969" t="s">
        <v>12629</v>
      </c>
      <c r="G22969" t="s">
        <v>16838</v>
      </c>
      <c r="H22969" t="s">
        <v>26728</v>
      </c>
    </row>
    <row r="22970" spans="1:8">
      <c r="A22970" t="s">
        <v>1092</v>
      </c>
      <c r="B22970">
        <f>HYPERLINK("https://android.googlesource.com/platform/cts/+/c4fa4dbd5a83c10d33021d9c8dfaa56c82248087", "c4fa4dbd5a83c10d33021d9c8dfaa56c82248087")</f>
        <v>0</v>
      </c>
      <c r="C22970">
        <f>HYPERLINK("https://android.googlesource.com/platform/cts/+/9a70fff3358270d42595c2f0106cedd777213b33", "9a70fff3358270d42595c2f0106cedd777213b33")</f>
        <v>0</v>
      </c>
      <c r="D22970" t="s">
        <v>5143</v>
      </c>
      <c r="E22970" t="s">
        <v>6869</v>
      </c>
      <c r="F22970" t="s">
        <v>12873</v>
      </c>
      <c r="G22970" t="s">
        <v>17041</v>
      </c>
      <c r="H22970" t="s">
        <v>18877</v>
      </c>
    </row>
    <row r="22971" spans="1:8">
      <c r="H22971" t="s">
        <v>26729</v>
      </c>
    </row>
    <row r="22972" spans="1:8">
      <c r="H22972" t="s">
        <v>26730</v>
      </c>
    </row>
    <row r="22973" spans="1:8">
      <c r="H22973" t="s">
        <v>26731</v>
      </c>
    </row>
    <row r="22974" spans="1:8">
      <c r="H22974" t="s">
        <v>26732</v>
      </c>
    </row>
    <row r="22975" spans="1:8">
      <c r="H22975" t="s">
        <v>18893</v>
      </c>
    </row>
    <row r="22976" spans="1:8">
      <c r="A22976" t="s">
        <v>1093</v>
      </c>
      <c r="B22976">
        <f>HYPERLINK("https://android.googlesource.com/platform/cts/+/3f071d64780d4598023a4fcbd3b695c8e814a979", "3f071d64780d4598023a4fcbd3b695c8e814a979")</f>
        <v>0</v>
      </c>
      <c r="C22976">
        <f>HYPERLINK("https://android.googlesource.com/platform/cts/+/fd8c5bdace0a311ff5271f03507dceb93c9110de", "fd8c5bdace0a311ff5271f03507dceb93c9110de")</f>
        <v>0</v>
      </c>
      <c r="D22976" t="s">
        <v>5163</v>
      </c>
      <c r="E22976" t="s">
        <v>6870</v>
      </c>
      <c r="F22976" t="s">
        <v>12874</v>
      </c>
      <c r="G22976" t="s">
        <v>17042</v>
      </c>
      <c r="H22976" t="s">
        <v>26733</v>
      </c>
    </row>
    <row r="22977" spans="1:8">
      <c r="A22977" t="s">
        <v>1094</v>
      </c>
      <c r="B22977">
        <f>HYPERLINK("https://android.googlesource.com/platform/cts/+/abe323d0355523f8feae3f53f9ef2000255fc45d", "abe323d0355523f8feae3f53f9ef2000255fc45d")</f>
        <v>0</v>
      </c>
      <c r="C22977">
        <f>HYPERLINK("https://android.googlesource.com/platform/cts/+/f995e9586cd0aa878e1e9a0bbb89971b69db0d65", "f995e9586cd0aa878e1e9a0bbb89971b69db0d65")</f>
        <v>0</v>
      </c>
      <c r="D22977" t="s">
        <v>4960</v>
      </c>
      <c r="E22977" t="s">
        <v>6871</v>
      </c>
      <c r="F22977" t="s">
        <v>12875</v>
      </c>
      <c r="G22977" t="s">
        <v>17043</v>
      </c>
      <c r="H22977" t="s">
        <v>25497</v>
      </c>
    </row>
    <row r="22978" spans="1:8">
      <c r="H22978" t="s">
        <v>19232</v>
      </c>
    </row>
    <row r="22979" spans="1:8">
      <c r="H22979" t="s">
        <v>19233</v>
      </c>
    </row>
    <row r="22980" spans="1:8">
      <c r="H22980" t="s">
        <v>26734</v>
      </c>
    </row>
    <row r="22981" spans="1:8">
      <c r="H22981" t="s">
        <v>26735</v>
      </c>
    </row>
    <row r="22982" spans="1:8">
      <c r="H22982" t="s">
        <v>26736</v>
      </c>
    </row>
    <row r="22983" spans="1:8">
      <c r="H22983" t="s">
        <v>19230</v>
      </c>
    </row>
    <row r="22984" spans="1:8">
      <c r="H22984" t="s">
        <v>18927</v>
      </c>
    </row>
    <row r="22985" spans="1:8">
      <c r="H22985" t="s">
        <v>26737</v>
      </c>
    </row>
    <row r="22986" spans="1:8">
      <c r="H22986" t="s">
        <v>26738</v>
      </c>
    </row>
    <row r="22987" spans="1:8">
      <c r="H22987" t="s">
        <v>20244</v>
      </c>
    </row>
    <row r="22988" spans="1:8">
      <c r="H22988" t="s">
        <v>26739</v>
      </c>
    </row>
    <row r="22989" spans="1:8">
      <c r="H22989" t="s">
        <v>26740</v>
      </c>
    </row>
    <row r="22990" spans="1:8">
      <c r="H22990" t="s">
        <v>26741</v>
      </c>
    </row>
    <row r="22991" spans="1:8">
      <c r="A22991" t="s">
        <v>1095</v>
      </c>
      <c r="B22991">
        <f>HYPERLINK("https://android.googlesource.com/platform/cts/+/05d4d4b42c1ca3916494f3be0b7783c5405a51ec", "05d4d4b42c1ca3916494f3be0b7783c5405a51ec")</f>
        <v>0</v>
      </c>
      <c r="C22991">
        <f>HYPERLINK("https://android.googlesource.com/platform/cts/+/a3566abb9a888a8fac82e636acb93665737be332", "a3566abb9a888a8fac82e636acb93665737be332")</f>
        <v>0</v>
      </c>
      <c r="D22991" t="s">
        <v>5046</v>
      </c>
      <c r="E22991" t="s">
        <v>6872</v>
      </c>
      <c r="F22991" t="s">
        <v>10604</v>
      </c>
      <c r="G22991" t="s">
        <v>15007</v>
      </c>
      <c r="H22991" t="s">
        <v>26742</v>
      </c>
    </row>
    <row r="22992" spans="1:8">
      <c r="A22992" t="s">
        <v>1096</v>
      </c>
      <c r="B22992">
        <f>HYPERLINK("https://android.googlesource.com/platform/cts/+/1f2cd960c6503c7f0c1b8e540a2df4a2c38c3351", "1f2cd960c6503c7f0c1b8e540a2df4a2c38c3351")</f>
        <v>0</v>
      </c>
      <c r="C22992">
        <f>HYPERLINK("https://android.googlesource.com/platform/cts/+/9828ff9738239467a638dd5a9fec7da0ab717595", "9828ff9738239467a638dd5a9fec7da0ab717595")</f>
        <v>0</v>
      </c>
      <c r="D22992" t="s">
        <v>5118</v>
      </c>
      <c r="E22992" t="s">
        <v>6873</v>
      </c>
      <c r="F22992" t="s">
        <v>10744</v>
      </c>
      <c r="G22992" t="s">
        <v>15143</v>
      </c>
      <c r="H22992" t="s">
        <v>26458</v>
      </c>
    </row>
    <row r="22993" spans="1:8">
      <c r="A22993" t="s">
        <v>1097</v>
      </c>
      <c r="B22993">
        <f>HYPERLINK("https://android.googlesource.com/platform/cts/+/067e9dcaac6c422116eb42b5deaac86d0fbd0e5b", "067e9dcaac6c422116eb42b5deaac86d0fbd0e5b")</f>
        <v>0</v>
      </c>
      <c r="C22993">
        <f>HYPERLINK("https://android.googlesource.com/platform/cts/+/58d6687efe9cc26126d2dd1ffd4299c53b576edb", "58d6687efe9cc26126d2dd1ffd4299c53b576edb")</f>
        <v>0</v>
      </c>
      <c r="D22993" t="s">
        <v>5146</v>
      </c>
      <c r="E22993" t="s">
        <v>6874</v>
      </c>
      <c r="F22993" t="s">
        <v>12803</v>
      </c>
      <c r="G22993" t="s">
        <v>16985</v>
      </c>
      <c r="H22993" t="s">
        <v>26743</v>
      </c>
    </row>
    <row r="22994" spans="1:8">
      <c r="A22994" t="s">
        <v>1098</v>
      </c>
      <c r="B22994">
        <f>HYPERLINK("https://android.googlesource.com/platform/cts/+/acccd2a2f455e6216e14f5730e1d35f399bb9a11", "acccd2a2f455e6216e14f5730e1d35f399bb9a11")</f>
        <v>0</v>
      </c>
      <c r="C22994">
        <f>HYPERLINK("https://android.googlesource.com/platform/cts/+/f3ade32f6f48ce3ae5bff75a42b18ef40173441d", "f3ade32f6f48ce3ae5bff75a42b18ef40173441d")</f>
        <v>0</v>
      </c>
      <c r="D22994" t="s">
        <v>5157</v>
      </c>
      <c r="E22994" t="s">
        <v>6875</v>
      </c>
      <c r="F22994" t="s">
        <v>12651</v>
      </c>
      <c r="G22994" t="s">
        <v>16857</v>
      </c>
      <c r="H22994" t="s">
        <v>26744</v>
      </c>
    </row>
    <row r="22995" spans="1:8">
      <c r="A22995" t="s">
        <v>1099</v>
      </c>
      <c r="B22995">
        <f>HYPERLINK("https://android.googlesource.com/platform/cts/+/3d867083902fce9517a0f4b8190e36b5e037f059", "3d867083902fce9517a0f4b8190e36b5e037f059")</f>
        <v>0</v>
      </c>
      <c r="C22995">
        <f>HYPERLINK("https://android.googlesource.com/platform/cts/+/b737f5e327aa9315a8b576bb363b5ead3d0ca19d", "b737f5e327aa9315a8b576bb363b5ead3d0ca19d")</f>
        <v>0</v>
      </c>
      <c r="D22995" t="s">
        <v>5018</v>
      </c>
      <c r="E22995" t="s">
        <v>6876</v>
      </c>
      <c r="F22995" t="s">
        <v>12876</v>
      </c>
      <c r="G22995" t="s">
        <v>17018</v>
      </c>
      <c r="H22995" t="s">
        <v>26618</v>
      </c>
    </row>
    <row r="22996" spans="1:8">
      <c r="H22996" t="s">
        <v>26745</v>
      </c>
    </row>
    <row r="22997" spans="1:8">
      <c r="A22997" t="s">
        <v>1100</v>
      </c>
      <c r="B22997">
        <f>HYPERLINK("https://android.googlesource.com/platform/cts/+/9023598e21e3972f6deb58fcf9864a853ca38766", "9023598e21e3972f6deb58fcf9864a853ca38766")</f>
        <v>0</v>
      </c>
      <c r="C22997">
        <f>HYPERLINK("https://android.googlesource.com/platform/cts/+/a96231f250be67dccd12c1cf2049014f55ab6194", "a96231f250be67dccd12c1cf2049014f55ab6194")</f>
        <v>0</v>
      </c>
      <c r="D22997" t="s">
        <v>5060</v>
      </c>
      <c r="E22997" t="s">
        <v>6877</v>
      </c>
      <c r="F22997" t="s">
        <v>11443</v>
      </c>
      <c r="G22997" t="s">
        <v>15683</v>
      </c>
      <c r="H22997" t="s">
        <v>21238</v>
      </c>
    </row>
    <row r="22998" spans="1:8">
      <c r="A22998" t="s">
        <v>1101</v>
      </c>
      <c r="B22998">
        <f>HYPERLINK("https://android.googlesource.com/platform/cts/+/9209cad77e695d57dfff4cce26d8b8d9c1b614cc", "9209cad77e695d57dfff4cce26d8b8d9c1b614cc")</f>
        <v>0</v>
      </c>
      <c r="C22998">
        <f>HYPERLINK("https://android.googlesource.com/platform/cts/+/054bec79abb50148dc59ef558e86686c153e3a50", "054bec79abb50148dc59ef558e86686c153e3a50")</f>
        <v>0</v>
      </c>
      <c r="D22998" t="s">
        <v>5046</v>
      </c>
      <c r="E22998" t="s">
        <v>6878</v>
      </c>
      <c r="F22998" t="s">
        <v>12877</v>
      </c>
      <c r="G22998" t="s">
        <v>17044</v>
      </c>
      <c r="H22998" t="s">
        <v>18829</v>
      </c>
    </row>
    <row r="22999" spans="1:8">
      <c r="H22999" t="s">
        <v>18863</v>
      </c>
    </row>
    <row r="23000" spans="1:8">
      <c r="H23000" t="s">
        <v>26746</v>
      </c>
    </row>
    <row r="23001" spans="1:8">
      <c r="H23001" t="s">
        <v>26747</v>
      </c>
    </row>
    <row r="23002" spans="1:8">
      <c r="H23002" t="s">
        <v>26748</v>
      </c>
    </row>
    <row r="23003" spans="1:8">
      <c r="A23003" t="s">
        <v>1102</v>
      </c>
      <c r="B23003">
        <f>HYPERLINK("https://android.googlesource.com/platform/cts/+/457d865d31014f84d4f0e332fe901abc8473b765", "457d865d31014f84d4f0e332fe901abc8473b765")</f>
        <v>0</v>
      </c>
      <c r="C23003">
        <f>HYPERLINK("https://android.googlesource.com/platform/cts/+/118fc1920a914be614f6144c5eaa56619173f373", "118fc1920a914be614f6144c5eaa56619173f373")</f>
        <v>0</v>
      </c>
      <c r="D23003" t="s">
        <v>5018</v>
      </c>
      <c r="E23003" t="s">
        <v>6879</v>
      </c>
      <c r="F23003" t="s">
        <v>12878</v>
      </c>
      <c r="G23003" t="s">
        <v>17045</v>
      </c>
      <c r="H23003" t="s">
        <v>26749</v>
      </c>
    </row>
    <row r="23004" spans="1:8">
      <c r="A23004" t="s">
        <v>1103</v>
      </c>
      <c r="B23004">
        <f>HYPERLINK("https://android.googlesource.com/platform/cts/+/4397789dd4476992249665c39b31353a3d79cd9b", "4397789dd4476992249665c39b31353a3d79cd9b")</f>
        <v>0</v>
      </c>
      <c r="C23004">
        <f>HYPERLINK("https://android.googlesource.com/platform/cts/+/44c41dbdeda175dc559c14f534d232119463989f", "44c41dbdeda175dc559c14f534d232119463989f")</f>
        <v>0</v>
      </c>
      <c r="D23004" t="s">
        <v>5164</v>
      </c>
      <c r="E23004" t="s">
        <v>6880</v>
      </c>
      <c r="F23004" t="s">
        <v>12710</v>
      </c>
      <c r="G23004" t="s">
        <v>16911</v>
      </c>
      <c r="H23004" t="s">
        <v>26750</v>
      </c>
    </row>
    <row r="23005" spans="1:8">
      <c r="A23005" t="s">
        <v>1104</v>
      </c>
      <c r="B23005">
        <f>HYPERLINK("https://android.googlesource.com/platform/cts/+/1a761d37d96c42714a2f758f5194c3da836e4619", "1a761d37d96c42714a2f758f5194c3da836e4619")</f>
        <v>0</v>
      </c>
      <c r="C23005">
        <f>HYPERLINK("https://android.googlesource.com/platform/cts/+/dc5f5356758fe292c570e7d25c01cf65111c71d8", "dc5f5356758fe292c570e7d25c01cf65111c71d8")</f>
        <v>0</v>
      </c>
      <c r="D23005" t="s">
        <v>4949</v>
      </c>
      <c r="E23005" t="s">
        <v>6881</v>
      </c>
      <c r="F23005" t="s">
        <v>12879</v>
      </c>
      <c r="G23005" t="s">
        <v>17046</v>
      </c>
      <c r="H23005" t="s">
        <v>26751</v>
      </c>
    </row>
    <row r="23006" spans="1:8">
      <c r="H23006" t="s">
        <v>26752</v>
      </c>
    </row>
    <row r="23007" spans="1:8">
      <c r="H23007" t="s">
        <v>26753</v>
      </c>
    </row>
    <row r="23008" spans="1:8">
      <c r="H23008" t="s">
        <v>26754</v>
      </c>
    </row>
    <row r="23009" spans="6:8">
      <c r="H23009" t="s">
        <v>26755</v>
      </c>
    </row>
    <row r="23010" spans="6:8">
      <c r="H23010" t="s">
        <v>26756</v>
      </c>
    </row>
    <row r="23011" spans="6:8">
      <c r="H23011" t="s">
        <v>26757</v>
      </c>
    </row>
    <row r="23012" spans="6:8">
      <c r="H23012" t="s">
        <v>26758</v>
      </c>
    </row>
    <row r="23013" spans="6:8">
      <c r="H23013" t="s">
        <v>26759</v>
      </c>
    </row>
    <row r="23014" spans="6:8">
      <c r="H23014" t="s">
        <v>26760</v>
      </c>
    </row>
    <row r="23015" spans="6:8">
      <c r="H23015" t="s">
        <v>26761</v>
      </c>
    </row>
    <row r="23016" spans="6:8">
      <c r="F23016" t="s">
        <v>12880</v>
      </c>
      <c r="G23016" t="s">
        <v>17047</v>
      </c>
      <c r="H23016" t="s">
        <v>20441</v>
      </c>
    </row>
    <row r="23017" spans="6:8">
      <c r="H23017" t="s">
        <v>26762</v>
      </c>
    </row>
    <row r="23018" spans="6:8">
      <c r="H23018" t="s">
        <v>26751</v>
      </c>
    </row>
    <row r="23019" spans="6:8">
      <c r="H23019" t="s">
        <v>26752</v>
      </c>
    </row>
    <row r="23020" spans="6:8">
      <c r="H23020" t="s">
        <v>26753</v>
      </c>
    </row>
    <row r="23021" spans="6:8">
      <c r="H23021" t="s">
        <v>26754</v>
      </c>
    </row>
    <row r="23022" spans="6:8">
      <c r="H23022" t="s">
        <v>26755</v>
      </c>
    </row>
    <row r="23023" spans="6:8">
      <c r="F23023" t="s">
        <v>12881</v>
      </c>
      <c r="G23023" t="s">
        <v>17048</v>
      </c>
      <c r="H23023" t="s">
        <v>26756</v>
      </c>
    </row>
    <row r="23024" spans="6:8">
      <c r="H23024" t="s">
        <v>26757</v>
      </c>
    </row>
    <row r="23025" spans="1:8">
      <c r="A23025" t="s">
        <v>1105</v>
      </c>
      <c r="B23025">
        <f>HYPERLINK("https://android.googlesource.com/platform/cts/+/a6e9a933aa7dbcc139959bed43f8d2b486d7e6d7", "a6e9a933aa7dbcc139959bed43f8d2b486d7e6d7")</f>
        <v>0</v>
      </c>
      <c r="C23025">
        <f>HYPERLINK("https://android.googlesource.com/platform/cts/+/ab6a2f58761e479429b7fe04ecf977e2112e7257", "ab6a2f58761e479429b7fe04ecf977e2112e7257")</f>
        <v>0</v>
      </c>
      <c r="D23025" t="s">
        <v>5143</v>
      </c>
      <c r="E23025" t="s">
        <v>6882</v>
      </c>
      <c r="F23025" t="s">
        <v>12882</v>
      </c>
      <c r="G23025" t="s">
        <v>17049</v>
      </c>
      <c r="H23025" t="s">
        <v>26763</v>
      </c>
    </row>
    <row r="23026" spans="1:8">
      <c r="A23026" t="s">
        <v>1106</v>
      </c>
      <c r="B23026">
        <f>HYPERLINK("https://android.googlesource.com/platform/cts/+/b9baf3c299f438a2a5124c71cde23c6a53e2f519", "b9baf3c299f438a2a5124c71cde23c6a53e2f519")</f>
        <v>0</v>
      </c>
      <c r="C23026">
        <f>HYPERLINK("https://android.googlesource.com/platform/cts/+/fa6888bc1d53d2f041be010b0fbba089a9966226", "fa6888bc1d53d2f041be010b0fbba089a9966226")</f>
        <v>0</v>
      </c>
      <c r="D23026" t="s">
        <v>5098</v>
      </c>
      <c r="E23026" t="s">
        <v>6883</v>
      </c>
      <c r="F23026" t="s">
        <v>12883</v>
      </c>
      <c r="G23026" t="s">
        <v>17050</v>
      </c>
      <c r="H23026" t="s">
        <v>26764</v>
      </c>
    </row>
    <row r="23027" spans="1:8">
      <c r="A23027" t="s">
        <v>1107</v>
      </c>
      <c r="B23027">
        <f>HYPERLINK("https://android.googlesource.com/platform/cts/+/68de967aa4b55a550db4e20401d30c48e671b597", "68de967aa4b55a550db4e20401d30c48e671b597")</f>
        <v>0</v>
      </c>
      <c r="C23027">
        <f>HYPERLINK("https://android.googlesource.com/platform/cts/+/be5bc373a6117cfcc2efd691d7ed08f4e10290d2", "be5bc373a6117cfcc2efd691d7ed08f4e10290d2")</f>
        <v>0</v>
      </c>
      <c r="D23027" t="s">
        <v>5098</v>
      </c>
      <c r="E23027" t="s">
        <v>6884</v>
      </c>
      <c r="F23027" t="s">
        <v>12884</v>
      </c>
      <c r="G23027" t="s">
        <v>17051</v>
      </c>
      <c r="H23027" t="s">
        <v>26765</v>
      </c>
    </row>
    <row r="23028" spans="1:8">
      <c r="H23028" t="s">
        <v>26766</v>
      </c>
    </row>
    <row r="23029" spans="1:8">
      <c r="H23029" t="s">
        <v>26767</v>
      </c>
    </row>
    <row r="23030" spans="1:8">
      <c r="A23030" t="s">
        <v>1110</v>
      </c>
      <c r="B23030">
        <f>HYPERLINK("https://android.googlesource.com/platform/cts/+/e91f1a61e8f1cede1cc994c9e9477f4700a3c1c4", "e91f1a61e8f1cede1cc994c9e9477f4700a3c1c4")</f>
        <v>0</v>
      </c>
      <c r="C23030">
        <f>HYPERLINK("https://android.googlesource.com/platform/cts/+/ceeb146d581f8c81d46a964c1909adc345ada9df", "ceeb146d581f8c81d46a964c1909adc345ada9df")</f>
        <v>0</v>
      </c>
      <c r="D23030" t="s">
        <v>5068</v>
      </c>
      <c r="E23030" t="s">
        <v>6885</v>
      </c>
      <c r="F23030" t="s">
        <v>12766</v>
      </c>
      <c r="G23030" t="s">
        <v>16940</v>
      </c>
      <c r="H23030" t="s">
        <v>26768</v>
      </c>
    </row>
    <row r="23031" spans="1:8">
      <c r="F23031" t="s">
        <v>12749</v>
      </c>
      <c r="G23031" t="s">
        <v>16940</v>
      </c>
      <c r="H23031" t="s">
        <v>18863</v>
      </c>
    </row>
    <row r="23032" spans="1:8">
      <c r="H23032" t="s">
        <v>26769</v>
      </c>
    </row>
    <row r="23033" spans="1:8">
      <c r="F23033" t="s">
        <v>12750</v>
      </c>
      <c r="G23033" t="s">
        <v>16941</v>
      </c>
      <c r="H23033" t="s">
        <v>18863</v>
      </c>
    </row>
    <row r="23034" spans="1:8">
      <c r="H23034" t="s">
        <v>26770</v>
      </c>
    </row>
    <row r="23035" spans="1:8">
      <c r="F23035" t="s">
        <v>12763</v>
      </c>
      <c r="G23035" t="s">
        <v>16940</v>
      </c>
      <c r="H23035" t="s">
        <v>18863</v>
      </c>
    </row>
    <row r="23036" spans="1:8">
      <c r="H23036" t="s">
        <v>26769</v>
      </c>
    </row>
    <row r="23037" spans="1:8">
      <c r="H23037" t="s">
        <v>26771</v>
      </c>
    </row>
    <row r="23038" spans="1:8">
      <c r="F23038" t="s">
        <v>12762</v>
      </c>
      <c r="G23038" t="s">
        <v>16953</v>
      </c>
      <c r="H23038" t="s">
        <v>26772</v>
      </c>
    </row>
    <row r="23039" spans="1:8">
      <c r="A23039" t="s">
        <v>1111</v>
      </c>
      <c r="B23039">
        <f>HYPERLINK("https://android.googlesource.com/platform/cts/+/204e44d213093f8eb813540f7e9f4fb40a7cb15e", "204e44d213093f8eb813540f7e9f4fb40a7cb15e")</f>
        <v>0</v>
      </c>
      <c r="C23039">
        <f>HYPERLINK("https://android.googlesource.com/platform/cts/+/567b1c7ef109afd60beb011693d1fa370bea0e50", "567b1c7ef109afd60beb011693d1fa370bea0e50")</f>
        <v>0</v>
      </c>
      <c r="D23039" t="s">
        <v>5146</v>
      </c>
      <c r="E23039" t="s">
        <v>6886</v>
      </c>
      <c r="F23039" t="s">
        <v>12845</v>
      </c>
      <c r="G23039" t="s">
        <v>16561</v>
      </c>
      <c r="H23039" t="s">
        <v>26773</v>
      </c>
    </row>
    <row r="23040" spans="1:8">
      <c r="H23040" t="s">
        <v>26774</v>
      </c>
    </row>
    <row r="23041" spans="1:8">
      <c r="H23041" t="s">
        <v>26775</v>
      </c>
    </row>
    <row r="23042" spans="1:8">
      <c r="H23042" t="s">
        <v>26776</v>
      </c>
    </row>
    <row r="23043" spans="1:8">
      <c r="H23043" t="s">
        <v>26777</v>
      </c>
    </row>
    <row r="23044" spans="1:8">
      <c r="H23044" t="s">
        <v>26778</v>
      </c>
    </row>
    <row r="23045" spans="1:8">
      <c r="A23045" t="s">
        <v>1112</v>
      </c>
      <c r="B23045">
        <f>HYPERLINK("https://android.googlesource.com/platform/cts/+/5e051e4ecce662083562475ce77272a15a01b88c", "5e051e4ecce662083562475ce77272a15a01b88c")</f>
        <v>0</v>
      </c>
      <c r="C23045">
        <f>HYPERLINK("https://android.googlesource.com/platform/cts/+/cdb30f18e44f14b32cfe76c572af22f82a816a00", "cdb30f18e44f14b32cfe76c572af22f82a816a00")</f>
        <v>0</v>
      </c>
      <c r="D23045" t="s">
        <v>4949</v>
      </c>
      <c r="E23045" t="s">
        <v>6887</v>
      </c>
      <c r="F23045" t="s">
        <v>12879</v>
      </c>
      <c r="G23045" t="s">
        <v>17046</v>
      </c>
      <c r="H23045" t="s">
        <v>26779</v>
      </c>
    </row>
    <row r="23046" spans="1:8">
      <c r="A23046" t="s">
        <v>1113</v>
      </c>
      <c r="B23046">
        <f>HYPERLINK("https://android.googlesource.com/platform/cts/+/e0c8636a09e79dcf07a5c56b54d87a9eb26d8320", "e0c8636a09e79dcf07a5c56b54d87a9eb26d8320")</f>
        <v>0</v>
      </c>
      <c r="C23046">
        <f>HYPERLINK("https://android.googlesource.com/platform/cts/+/9e077dd6f6733a15b38ead82b3b26b4d6890d460", "9e077dd6f6733a15b38ead82b3b26b4d6890d460")</f>
        <v>0</v>
      </c>
      <c r="D23046" t="s">
        <v>5126</v>
      </c>
      <c r="E23046" t="s">
        <v>6888</v>
      </c>
      <c r="F23046" t="s">
        <v>12744</v>
      </c>
      <c r="G23046" t="s">
        <v>16936</v>
      </c>
      <c r="H23046" t="s">
        <v>26780</v>
      </c>
    </row>
    <row r="23047" spans="1:8">
      <c r="A23047" t="s">
        <v>1114</v>
      </c>
      <c r="B23047">
        <f>HYPERLINK("https://android.googlesource.com/platform/cts/+/13f91d9c0761388b58426f7022b42ad504048c4c", "13f91d9c0761388b58426f7022b42ad504048c4c")</f>
        <v>0</v>
      </c>
      <c r="C23047">
        <f>HYPERLINK("https://android.googlesource.com/platform/cts/+/d2ef643f7a3a1f12e35d23545cc63dbfe277f084", "d2ef643f7a3a1f12e35d23545cc63dbfe277f084")</f>
        <v>0</v>
      </c>
      <c r="D23047" t="s">
        <v>5059</v>
      </c>
      <c r="E23047" t="s">
        <v>6889</v>
      </c>
      <c r="F23047" t="s">
        <v>12885</v>
      </c>
      <c r="G23047" t="s">
        <v>17052</v>
      </c>
      <c r="H23047" t="s">
        <v>26781</v>
      </c>
    </row>
    <row r="23048" spans="1:8">
      <c r="A23048" t="s">
        <v>1115</v>
      </c>
      <c r="B23048">
        <f>HYPERLINK("https://android.googlesource.com/platform/cts/+/6a836e7dbca236c907863da4eecc67f00856c58c", "6a836e7dbca236c907863da4eecc67f00856c58c")</f>
        <v>0</v>
      </c>
      <c r="C23048">
        <f>HYPERLINK("https://android.googlesource.com/platform/cts/+/1bdc00624f128efb0c4895b8fa621d0b181472c1", "1bdc00624f128efb0c4895b8fa621d0b181472c1")</f>
        <v>0</v>
      </c>
      <c r="D23048" t="s">
        <v>5059</v>
      </c>
      <c r="E23048" t="s">
        <v>6890</v>
      </c>
      <c r="F23048" t="s">
        <v>12885</v>
      </c>
      <c r="G23048" t="s">
        <v>17052</v>
      </c>
      <c r="H23048" t="s">
        <v>26782</v>
      </c>
    </row>
    <row r="23049" spans="1:8">
      <c r="H23049" t="s">
        <v>26783</v>
      </c>
    </row>
    <row r="23050" spans="1:8">
      <c r="H23050" t="s">
        <v>26784</v>
      </c>
    </row>
    <row r="23051" spans="1:8">
      <c r="A23051" t="s">
        <v>1116</v>
      </c>
      <c r="B23051">
        <f>HYPERLINK("https://android.googlesource.com/platform/cts/+/672aadc118d9e05538bf5ab919926634481f34c9", "672aadc118d9e05538bf5ab919926634481f34c9")</f>
        <v>0</v>
      </c>
      <c r="C23051">
        <f>HYPERLINK("https://android.googlesource.com/platform/cts/+/f7842fcc312d0dea6fadfac940a53ec6c793625a", "f7842fcc312d0dea6fadfac940a53ec6c793625a")</f>
        <v>0</v>
      </c>
      <c r="D23051" t="s">
        <v>5165</v>
      </c>
      <c r="E23051" t="s">
        <v>6891</v>
      </c>
      <c r="F23051" t="s">
        <v>10604</v>
      </c>
      <c r="G23051" t="s">
        <v>15007</v>
      </c>
      <c r="H23051" t="s">
        <v>26785</v>
      </c>
    </row>
    <row r="23052" spans="1:8">
      <c r="H23052" t="s">
        <v>26786</v>
      </c>
    </row>
    <row r="23053" spans="1:8">
      <c r="H23053" t="s">
        <v>18891</v>
      </c>
    </row>
    <row r="23054" spans="1:8">
      <c r="H23054" t="s">
        <v>26787</v>
      </c>
    </row>
    <row r="23055" spans="1:8">
      <c r="H23055" t="s">
        <v>19132</v>
      </c>
    </row>
    <row r="23056" spans="1:8">
      <c r="H23056" t="s">
        <v>19133</v>
      </c>
    </row>
    <row r="23057" spans="1:8">
      <c r="H23057" t="s">
        <v>19134</v>
      </c>
    </row>
    <row r="23058" spans="1:8">
      <c r="H23058" t="s">
        <v>19135</v>
      </c>
    </row>
    <row r="23059" spans="1:8">
      <c r="A23059" t="s">
        <v>1117</v>
      </c>
      <c r="B23059">
        <f>HYPERLINK("https://android.googlesource.com/platform/cts/+/de50080008f733baf2c87b4384ac823731ea11f3", "de50080008f733baf2c87b4384ac823731ea11f3")</f>
        <v>0</v>
      </c>
      <c r="C23059">
        <f>HYPERLINK("https://android.googlesource.com/platform/cts/+/b621e74e87636961f61bc2366f65a2626cb0f40c", "b621e74e87636961f61bc2366f65a2626cb0f40c")</f>
        <v>0</v>
      </c>
      <c r="D23059" t="s">
        <v>4991</v>
      </c>
      <c r="E23059" t="s">
        <v>6892</v>
      </c>
      <c r="F23059" t="s">
        <v>12886</v>
      </c>
      <c r="G23059" t="s">
        <v>16432</v>
      </c>
      <c r="H23059" t="s">
        <v>18829</v>
      </c>
    </row>
    <row r="23060" spans="1:8">
      <c r="H23060" t="s">
        <v>18863</v>
      </c>
    </row>
    <row r="23061" spans="1:8">
      <c r="H23061" t="s">
        <v>21181</v>
      </c>
    </row>
    <row r="23062" spans="1:8">
      <c r="H23062" t="s">
        <v>19261</v>
      </c>
    </row>
    <row r="23063" spans="1:8">
      <c r="H23063" t="s">
        <v>26788</v>
      </c>
    </row>
    <row r="23064" spans="1:8">
      <c r="A23064" t="s">
        <v>1118</v>
      </c>
      <c r="B23064">
        <f>HYPERLINK("https://android.googlesource.com/platform/cts/+/93b72fd0a567552f45575ea066a7ed04d65b24f1", "93b72fd0a567552f45575ea066a7ed04d65b24f1")</f>
        <v>0</v>
      </c>
      <c r="C23064">
        <f>HYPERLINK("https://android.googlesource.com/platform/cts/+/4880a1efe0e27bb369be7749edec6de06637517d", "4880a1efe0e27bb369be7749edec6de06637517d")</f>
        <v>0</v>
      </c>
      <c r="D23064" t="s">
        <v>5085</v>
      </c>
      <c r="E23064" t="s">
        <v>6893</v>
      </c>
      <c r="F23064" t="s">
        <v>12887</v>
      </c>
      <c r="G23064" t="s">
        <v>17053</v>
      </c>
      <c r="H23064" t="s">
        <v>26789</v>
      </c>
    </row>
    <row r="23065" spans="1:8">
      <c r="H23065" t="s">
        <v>26790</v>
      </c>
    </row>
    <row r="23066" spans="1:8">
      <c r="F23066" t="s">
        <v>12888</v>
      </c>
      <c r="G23066" t="s">
        <v>17054</v>
      </c>
      <c r="H23066" t="s">
        <v>18829</v>
      </c>
    </row>
    <row r="23067" spans="1:8">
      <c r="H23067" t="s">
        <v>18863</v>
      </c>
    </row>
    <row r="23068" spans="1:8">
      <c r="H23068" t="s">
        <v>26789</v>
      </c>
    </row>
    <row r="23069" spans="1:8">
      <c r="H23069" t="s">
        <v>26791</v>
      </c>
    </row>
    <row r="23070" spans="1:8">
      <c r="H23070" t="s">
        <v>26792</v>
      </c>
    </row>
    <row r="23071" spans="1:8">
      <c r="H23071" t="s">
        <v>26793</v>
      </c>
    </row>
    <row r="23072" spans="1:8">
      <c r="F23072" t="s">
        <v>12889</v>
      </c>
      <c r="G23072" t="s">
        <v>17055</v>
      </c>
      <c r="H23072" t="s">
        <v>26789</v>
      </c>
    </row>
    <row r="23073" spans="1:8">
      <c r="H23073" t="s">
        <v>26794</v>
      </c>
    </row>
    <row r="23074" spans="1:8">
      <c r="H23074" t="s">
        <v>26795</v>
      </c>
    </row>
    <row r="23075" spans="1:8">
      <c r="H23075" t="s">
        <v>26796</v>
      </c>
    </row>
    <row r="23076" spans="1:8">
      <c r="F23076" t="s">
        <v>12890</v>
      </c>
      <c r="G23076" t="s">
        <v>17056</v>
      </c>
      <c r="H23076" t="s">
        <v>26789</v>
      </c>
    </row>
    <row r="23077" spans="1:8">
      <c r="H23077" t="s">
        <v>26797</v>
      </c>
    </row>
    <row r="23078" spans="1:8">
      <c r="H23078" t="s">
        <v>26798</v>
      </c>
    </row>
    <row r="23079" spans="1:8">
      <c r="H23079" t="s">
        <v>26799</v>
      </c>
    </row>
    <row r="23080" spans="1:8">
      <c r="H23080" t="s">
        <v>26800</v>
      </c>
    </row>
    <row r="23081" spans="1:8">
      <c r="H23081" t="s">
        <v>26801</v>
      </c>
    </row>
    <row r="23082" spans="1:8">
      <c r="H23082" t="s">
        <v>26802</v>
      </c>
    </row>
    <row r="23083" spans="1:8">
      <c r="H23083" t="s">
        <v>26803</v>
      </c>
    </row>
    <row r="23084" spans="1:8">
      <c r="H23084" t="s">
        <v>26804</v>
      </c>
    </row>
    <row r="23085" spans="1:8">
      <c r="H23085" t="s">
        <v>26805</v>
      </c>
    </row>
    <row r="23086" spans="1:8">
      <c r="H23086" t="s">
        <v>26806</v>
      </c>
    </row>
    <row r="23087" spans="1:8">
      <c r="A23087" t="s">
        <v>1119</v>
      </c>
      <c r="B23087">
        <f>HYPERLINK("https://android.googlesource.com/platform/cts/+/ab72229a262299424b09feaa613c1ab7aa829a14", "ab72229a262299424b09feaa613c1ab7aa829a14")</f>
        <v>0</v>
      </c>
      <c r="C23087">
        <f>HYPERLINK("https://android.googlesource.com/platform/cts/+/14dbee391ef44cd8ea9371d28ebb0f4675eabd7f", "14dbee391ef44cd8ea9371d28ebb0f4675eabd7f")</f>
        <v>0</v>
      </c>
      <c r="D23087" t="s">
        <v>5166</v>
      </c>
      <c r="E23087" t="s">
        <v>6894</v>
      </c>
      <c r="F23087" t="s">
        <v>12314</v>
      </c>
      <c r="G23087" t="s">
        <v>17057</v>
      </c>
      <c r="H23087" t="s">
        <v>26807</v>
      </c>
    </row>
    <row r="23088" spans="1:8">
      <c r="H23088" t="s">
        <v>22138</v>
      </c>
    </row>
    <row r="23089" spans="1:8">
      <c r="H23089" t="s">
        <v>26808</v>
      </c>
    </row>
    <row r="23090" spans="1:8">
      <c r="H23090" t="s">
        <v>26809</v>
      </c>
    </row>
    <row r="23091" spans="1:8">
      <c r="H23091" t="s">
        <v>26810</v>
      </c>
    </row>
    <row r="23092" spans="1:8">
      <c r="H23092" t="s">
        <v>26811</v>
      </c>
    </row>
    <row r="23093" spans="1:8">
      <c r="A23093" t="s">
        <v>1120</v>
      </c>
      <c r="B23093">
        <f>HYPERLINK("https://android.googlesource.com/platform/cts/+/b835b21675bf4a6a0ef67f9c2817ce22c6b4a0c8", "b835b21675bf4a6a0ef67f9c2817ce22c6b4a0c8")</f>
        <v>0</v>
      </c>
      <c r="C23093">
        <f>HYPERLINK("https://android.googlesource.com/platform/cts/+/41f5c3808f443bd507c1c018805a0dc57ec3e08d", "41f5c3808f443bd507c1c018805a0dc57ec3e08d")</f>
        <v>0</v>
      </c>
      <c r="D23093" t="s">
        <v>5167</v>
      </c>
      <c r="E23093" t="s">
        <v>6895</v>
      </c>
      <c r="F23093" t="s">
        <v>12891</v>
      </c>
      <c r="G23093" t="s">
        <v>17058</v>
      </c>
      <c r="H23093" t="s">
        <v>26812</v>
      </c>
    </row>
    <row r="23094" spans="1:8">
      <c r="A23094" t="s">
        <v>1121</v>
      </c>
      <c r="B23094">
        <f>HYPERLINK("https://android.googlesource.com/platform/cts/+/34c10c16614ff6d4a5e2b50aeb86ed1d1fc603ec", "34c10c16614ff6d4a5e2b50aeb86ed1d1fc603ec")</f>
        <v>0</v>
      </c>
      <c r="C23094">
        <f>HYPERLINK("https://android.googlesource.com/platform/cts/+/e249caf4b8025d42dc5b8430b5930076c69c5d9e", "e249caf4b8025d42dc5b8430b5930076c69c5d9e")</f>
        <v>0</v>
      </c>
      <c r="D23094" t="s">
        <v>5168</v>
      </c>
      <c r="E23094" t="s">
        <v>6896</v>
      </c>
      <c r="F23094" t="s">
        <v>12892</v>
      </c>
      <c r="G23094" t="s">
        <v>17059</v>
      </c>
      <c r="H23094" t="s">
        <v>26813</v>
      </c>
    </row>
    <row r="23095" spans="1:8">
      <c r="H23095" t="s">
        <v>26814</v>
      </c>
    </row>
    <row r="23096" spans="1:8">
      <c r="H23096" t="s">
        <v>26815</v>
      </c>
    </row>
    <row r="23097" spans="1:8">
      <c r="H23097" t="s">
        <v>26816</v>
      </c>
    </row>
    <row r="23098" spans="1:8">
      <c r="H23098" t="s">
        <v>18863</v>
      </c>
    </row>
    <row r="23099" spans="1:8">
      <c r="H23099" t="s">
        <v>19019</v>
      </c>
    </row>
    <row r="23100" spans="1:8">
      <c r="A23100" t="s">
        <v>1124</v>
      </c>
      <c r="B23100">
        <f>HYPERLINK("https://android.googlesource.com/platform/cts/+/e0ab22a0d53e8d9a15f6652609f0e3fa2d5c64b5", "e0ab22a0d53e8d9a15f6652609f0e3fa2d5c64b5")</f>
        <v>0</v>
      </c>
      <c r="C23100">
        <f>HYPERLINK("https://android.googlesource.com/platform/cts/+/f797b06d8882ad81bfa03bc206d9c783a2bf54aa", "f797b06d8882ad81bfa03bc206d9c783a2bf54aa")</f>
        <v>0</v>
      </c>
      <c r="D23100" t="s">
        <v>5134</v>
      </c>
      <c r="E23100" t="s">
        <v>6899</v>
      </c>
      <c r="F23100" t="s">
        <v>12893</v>
      </c>
      <c r="G23100" t="s">
        <v>17060</v>
      </c>
      <c r="H23100" t="s">
        <v>18829</v>
      </c>
    </row>
    <row r="23101" spans="1:8">
      <c r="H23101" t="s">
        <v>18863</v>
      </c>
    </row>
    <row r="23102" spans="1:8">
      <c r="H23102" t="s">
        <v>26817</v>
      </c>
    </row>
    <row r="23103" spans="1:8">
      <c r="H23103" t="s">
        <v>26818</v>
      </c>
    </row>
    <row r="23104" spans="1:8">
      <c r="H23104" t="s">
        <v>26819</v>
      </c>
    </row>
    <row r="23105" spans="1:8">
      <c r="A23105" t="s">
        <v>1125</v>
      </c>
      <c r="B23105">
        <f>HYPERLINK("https://android.googlesource.com/platform/cts/+/0066d7f57205e2a818c356e140dbe7bd6a4ad5a4", "0066d7f57205e2a818c356e140dbe7bd6a4ad5a4")</f>
        <v>0</v>
      </c>
      <c r="C23105">
        <f>HYPERLINK("https://android.googlesource.com/platform/cts/+/f797b06d8882ad81bfa03bc206d9c783a2bf54aa", "f797b06d8882ad81bfa03bc206d9c783a2bf54aa")</f>
        <v>0</v>
      </c>
      <c r="D23105" t="s">
        <v>5018</v>
      </c>
      <c r="E23105" t="s">
        <v>6900</v>
      </c>
      <c r="F23105" t="s">
        <v>12894</v>
      </c>
      <c r="G23105" t="s">
        <v>17061</v>
      </c>
      <c r="H23105" t="s">
        <v>18829</v>
      </c>
    </row>
    <row r="23106" spans="1:8">
      <c r="H23106" t="s">
        <v>26820</v>
      </c>
    </row>
    <row r="23107" spans="1:8">
      <c r="H23107" t="s">
        <v>26821</v>
      </c>
    </row>
    <row r="23108" spans="1:8">
      <c r="H23108" t="s">
        <v>26822</v>
      </c>
    </row>
    <row r="23109" spans="1:8">
      <c r="A23109" t="s">
        <v>1126</v>
      </c>
      <c r="B23109">
        <f>HYPERLINK("https://android.googlesource.com/platform/cts/+/d65fda34d9ddff1f5c660f4a2a2064ca07f6aade", "d65fda34d9ddff1f5c660f4a2a2064ca07f6aade")</f>
        <v>0</v>
      </c>
      <c r="C23109">
        <f>HYPERLINK("https://android.googlesource.com/platform/cts/+/41f5c3808f443bd507c1c018805a0dc57ec3e08d", "41f5c3808f443bd507c1c018805a0dc57ec3e08d")</f>
        <v>0</v>
      </c>
      <c r="D23109" t="s">
        <v>5169</v>
      </c>
      <c r="E23109" t="s">
        <v>6901</v>
      </c>
      <c r="F23109" t="s">
        <v>12895</v>
      </c>
      <c r="G23109" t="s">
        <v>17062</v>
      </c>
      <c r="H23109" t="s">
        <v>26823</v>
      </c>
    </row>
    <row r="23110" spans="1:8">
      <c r="H23110" t="s">
        <v>26824</v>
      </c>
    </row>
    <row r="23111" spans="1:8">
      <c r="H23111" t="s">
        <v>26825</v>
      </c>
    </row>
    <row r="23112" spans="1:8">
      <c r="H23112" t="s">
        <v>26826</v>
      </c>
    </row>
    <row r="23113" spans="1:8">
      <c r="H23113" t="s">
        <v>26827</v>
      </c>
    </row>
    <row r="23114" spans="1:8">
      <c r="H23114" t="s">
        <v>26828</v>
      </c>
    </row>
    <row r="23115" spans="1:8">
      <c r="H23115" t="s">
        <v>26829</v>
      </c>
    </row>
    <row r="23116" spans="1:8">
      <c r="H23116" t="s">
        <v>26830</v>
      </c>
    </row>
    <row r="23117" spans="1:8">
      <c r="H23117" t="s">
        <v>26831</v>
      </c>
    </row>
    <row r="23118" spans="1:8">
      <c r="H23118" t="s">
        <v>26832</v>
      </c>
    </row>
    <row r="23119" spans="1:8">
      <c r="H23119" t="s">
        <v>26833</v>
      </c>
    </row>
    <row r="23120" spans="1:8">
      <c r="A23120" t="s">
        <v>1127</v>
      </c>
      <c r="B23120">
        <f>HYPERLINK("https://android.googlesource.com/platform/cts/+/51759978839bab562fe92594562814c82a33013a", "51759978839bab562fe92594562814c82a33013a")</f>
        <v>0</v>
      </c>
      <c r="C23120">
        <f>HYPERLINK("https://android.googlesource.com/platform/cts/+/cea90b5de4bd499d7c25e34c5377d36870f8f2bf", "cea90b5de4bd499d7c25e34c5377d36870f8f2bf")</f>
        <v>0</v>
      </c>
      <c r="D23120" t="s">
        <v>5000</v>
      </c>
      <c r="E23120" t="s">
        <v>6902</v>
      </c>
      <c r="F23120" t="s">
        <v>10699</v>
      </c>
      <c r="G23120" t="s">
        <v>15099</v>
      </c>
      <c r="H23120" t="s">
        <v>26834</v>
      </c>
    </row>
    <row r="23121" spans="1:8">
      <c r="A23121" t="s">
        <v>1128</v>
      </c>
      <c r="B23121">
        <f>HYPERLINK("https://android.googlesource.com/platform/cts/+/9bcd39d84ee7e9c9194125b0402feb761a3bfb54", "9bcd39d84ee7e9c9194125b0402feb761a3bfb54")</f>
        <v>0</v>
      </c>
      <c r="C23121">
        <f>HYPERLINK("https://android.googlesource.com/platform/cts/+/51759978839bab562fe92594562814c82a33013a", "51759978839bab562fe92594562814c82a33013a")</f>
        <v>0</v>
      </c>
      <c r="D23121" t="s">
        <v>5000</v>
      </c>
      <c r="E23121" t="s">
        <v>6903</v>
      </c>
      <c r="F23121" t="s">
        <v>10699</v>
      </c>
      <c r="G23121" t="s">
        <v>15099</v>
      </c>
      <c r="H23121" t="s">
        <v>26835</v>
      </c>
    </row>
    <row r="23122" spans="1:8">
      <c r="A23122" t="s">
        <v>1129</v>
      </c>
      <c r="B23122">
        <f>HYPERLINK("https://android.googlesource.com/platform/cts/+/22f4e0e92c6192f633c2829ca175f5730440fc98", "22f4e0e92c6192f633c2829ca175f5730440fc98")</f>
        <v>0</v>
      </c>
      <c r="C23122">
        <f>HYPERLINK("https://android.googlesource.com/platform/cts/+/cea90b5de4bd499d7c25e34c5377d36870f8f2bf", "cea90b5de4bd499d7c25e34c5377d36870f8f2bf")</f>
        <v>0</v>
      </c>
      <c r="D23122" t="s">
        <v>5018</v>
      </c>
      <c r="E23122" t="s">
        <v>6904</v>
      </c>
      <c r="F23122" t="s">
        <v>12896</v>
      </c>
      <c r="G23122" t="s">
        <v>17063</v>
      </c>
      <c r="H23122" t="s">
        <v>26836</v>
      </c>
    </row>
    <row r="23123" spans="1:8">
      <c r="H23123" t="s">
        <v>26837</v>
      </c>
    </row>
    <row r="23124" spans="1:8">
      <c r="A23124" t="s">
        <v>1130</v>
      </c>
      <c r="B23124">
        <f>HYPERLINK("https://android.googlesource.com/platform/cts/+/56f2c0ce80abffb87dcd44d318de31711f3ae8c5", "56f2c0ce80abffb87dcd44d318de31711f3ae8c5")</f>
        <v>0</v>
      </c>
      <c r="C23124">
        <f>HYPERLINK("https://android.googlesource.com/platform/cts/+/96f13bbf7e8123da8c3b048dd3d16a0044810e51", "96f13bbf7e8123da8c3b048dd3d16a0044810e51")</f>
        <v>0</v>
      </c>
      <c r="D23124" t="s">
        <v>5146</v>
      </c>
      <c r="E23124" t="s">
        <v>6905</v>
      </c>
      <c r="F23124" t="s">
        <v>10700</v>
      </c>
      <c r="G23124" t="s">
        <v>15100</v>
      </c>
      <c r="H23124" t="s">
        <v>26838</v>
      </c>
    </row>
    <row r="23125" spans="1:8">
      <c r="A23125" t="s">
        <v>1131</v>
      </c>
      <c r="B23125">
        <f>HYPERLINK("https://android.googlesource.com/platform/cts/+/b95d14358ff33f73d5bfc7e2a232af3a38a6abe6", "b95d14358ff33f73d5bfc7e2a232af3a38a6abe6")</f>
        <v>0</v>
      </c>
      <c r="C23125">
        <f>HYPERLINK("https://android.googlesource.com/platform/cts/+/cea90b5de4bd499d7c25e34c5377d36870f8f2bf", "cea90b5de4bd499d7c25e34c5377d36870f8f2bf")</f>
        <v>0</v>
      </c>
      <c r="D23125" t="s">
        <v>5018</v>
      </c>
      <c r="E23125" t="s">
        <v>6906</v>
      </c>
      <c r="F23125" t="s">
        <v>12897</v>
      </c>
      <c r="G23125" t="s">
        <v>16824</v>
      </c>
      <c r="H23125" t="s">
        <v>26839</v>
      </c>
    </row>
    <row r="23126" spans="1:8">
      <c r="A23126" t="s">
        <v>1132</v>
      </c>
      <c r="B23126">
        <f>HYPERLINK("https://android.googlesource.com/platform/cts/+/779b1d4c9b2ddd8068bceb72e30a0107c96befb9", "779b1d4c9b2ddd8068bceb72e30a0107c96befb9")</f>
        <v>0</v>
      </c>
      <c r="C23126">
        <f>HYPERLINK("https://android.googlesource.com/platform/cts/+/77951c3f110e67dc163b43ad703fff78c1558f39", "77951c3f110e67dc163b43ad703fff78c1558f39")</f>
        <v>0</v>
      </c>
      <c r="D23126" t="s">
        <v>5143</v>
      </c>
      <c r="E23126" t="s">
        <v>6907</v>
      </c>
      <c r="F23126" t="s">
        <v>12348</v>
      </c>
      <c r="G23126" t="s">
        <v>16576</v>
      </c>
      <c r="H23126" t="s">
        <v>19078</v>
      </c>
    </row>
    <row r="23127" spans="1:8">
      <c r="H23127" t="s">
        <v>19080</v>
      </c>
    </row>
    <row r="23128" spans="1:8">
      <c r="H23128" t="s">
        <v>19081</v>
      </c>
    </row>
    <row r="23129" spans="1:8">
      <c r="H23129" t="s">
        <v>26537</v>
      </c>
    </row>
    <row r="23130" spans="1:8">
      <c r="H23130" t="s">
        <v>19079</v>
      </c>
    </row>
    <row r="23131" spans="1:8">
      <c r="H23131" t="s">
        <v>26538</v>
      </c>
    </row>
    <row r="23132" spans="1:8">
      <c r="H23132" t="s">
        <v>18893</v>
      </c>
    </row>
    <row r="23133" spans="1:8">
      <c r="A23133" t="s">
        <v>1133</v>
      </c>
      <c r="B23133">
        <f>HYPERLINK("https://android.googlesource.com/platform/cts/+/e61e8812d89d1c311da94faee92417ee46c04cc8", "e61e8812d89d1c311da94faee92417ee46c04cc8")</f>
        <v>0</v>
      </c>
      <c r="C23133">
        <f>HYPERLINK("https://android.googlesource.com/platform/cts/+/bf19348cb7b9c69216df689ca343e71dd2b4a0a2", "bf19348cb7b9c69216df689ca343e71dd2b4a0a2")</f>
        <v>0</v>
      </c>
      <c r="D23133" t="s">
        <v>5167</v>
      </c>
      <c r="E23133" t="s">
        <v>6908</v>
      </c>
      <c r="F23133" t="s">
        <v>12891</v>
      </c>
      <c r="G23133" t="s">
        <v>17064</v>
      </c>
      <c r="H23133" t="s">
        <v>26840</v>
      </c>
    </row>
    <row r="23134" spans="1:8">
      <c r="H23134" t="s">
        <v>26841</v>
      </c>
    </row>
    <row r="23135" spans="1:8">
      <c r="H23135" t="s">
        <v>26842</v>
      </c>
    </row>
    <row r="23136" spans="1:8">
      <c r="H23136" t="s">
        <v>18829</v>
      </c>
    </row>
    <row r="23137" spans="1:8">
      <c r="H23137" t="s">
        <v>18863</v>
      </c>
    </row>
    <row r="23138" spans="1:8">
      <c r="H23138" t="s">
        <v>26843</v>
      </c>
    </row>
    <row r="23139" spans="1:8">
      <c r="H23139" t="s">
        <v>26844</v>
      </c>
    </row>
    <row r="23140" spans="1:8">
      <c r="H23140" t="s">
        <v>26845</v>
      </c>
    </row>
    <row r="23141" spans="1:8">
      <c r="H23141" t="s">
        <v>26846</v>
      </c>
    </row>
    <row r="23142" spans="1:8">
      <c r="H23142" t="s">
        <v>26847</v>
      </c>
    </row>
    <row r="23143" spans="1:8">
      <c r="H23143" t="s">
        <v>26848</v>
      </c>
    </row>
    <row r="23144" spans="1:8">
      <c r="H23144" t="s">
        <v>26849</v>
      </c>
    </row>
    <row r="23145" spans="1:8">
      <c r="H23145" t="s">
        <v>26850</v>
      </c>
    </row>
    <row r="23146" spans="1:8">
      <c r="H23146" t="s">
        <v>26851</v>
      </c>
    </row>
    <row r="23147" spans="1:8">
      <c r="H23147" t="s">
        <v>26852</v>
      </c>
    </row>
    <row r="23148" spans="1:8">
      <c r="H23148" t="s">
        <v>26853</v>
      </c>
    </row>
    <row r="23149" spans="1:8">
      <c r="H23149" t="s">
        <v>26854</v>
      </c>
    </row>
    <row r="23150" spans="1:8">
      <c r="H23150" t="s">
        <v>26854</v>
      </c>
    </row>
    <row r="23151" spans="1:8">
      <c r="H23151" t="s">
        <v>26855</v>
      </c>
    </row>
    <row r="23152" spans="1:8">
      <c r="A23152" t="s">
        <v>1134</v>
      </c>
      <c r="B23152">
        <f>HYPERLINK("https://android.googlesource.com/platform/cts/+/98cadfed66275a39752d0cfb2ef520e0eb41944c", "98cadfed66275a39752d0cfb2ef520e0eb41944c")</f>
        <v>0</v>
      </c>
      <c r="C23152">
        <f>HYPERLINK("https://android.googlesource.com/platform/cts/+/77951c3f110e67dc163b43ad703fff78c1558f39", "77951c3f110e67dc163b43ad703fff78c1558f39")</f>
        <v>0</v>
      </c>
      <c r="D23152" t="s">
        <v>5143</v>
      </c>
      <c r="E23152" t="s">
        <v>6909</v>
      </c>
      <c r="F23152" t="s">
        <v>10673</v>
      </c>
      <c r="G23152" t="s">
        <v>15073</v>
      </c>
      <c r="H23152" t="s">
        <v>26856</v>
      </c>
    </row>
    <row r="23153" spans="1:8">
      <c r="H23153" t="s">
        <v>26857</v>
      </c>
    </row>
    <row r="23154" spans="1:8">
      <c r="H23154" t="s">
        <v>18893</v>
      </c>
    </row>
    <row r="23155" spans="1:8">
      <c r="H23155" t="s">
        <v>26858</v>
      </c>
    </row>
    <row r="23156" spans="1:8">
      <c r="H23156" t="s">
        <v>19678</v>
      </c>
    </row>
    <row r="23157" spans="1:8">
      <c r="H23157" t="s">
        <v>18885</v>
      </c>
    </row>
    <row r="23158" spans="1:8">
      <c r="H23158" t="s">
        <v>26859</v>
      </c>
    </row>
    <row r="23159" spans="1:8">
      <c r="H23159" t="s">
        <v>26860</v>
      </c>
    </row>
    <row r="23160" spans="1:8">
      <c r="H23160" t="s">
        <v>18893</v>
      </c>
    </row>
    <row r="23161" spans="1:8">
      <c r="A23161" t="s">
        <v>1135</v>
      </c>
      <c r="B23161">
        <f>HYPERLINK("https://android.googlesource.com/platform/cts/+/ca4b8720e05e4ff652e56a9682cfcc2abb7ffe1f", "ca4b8720e05e4ff652e56a9682cfcc2abb7ffe1f")</f>
        <v>0</v>
      </c>
      <c r="C23161">
        <f>HYPERLINK("https://android.googlesource.com/platform/cts/+/77951c3f110e67dc163b43ad703fff78c1558f39", "77951c3f110e67dc163b43ad703fff78c1558f39")</f>
        <v>0</v>
      </c>
      <c r="D23161" t="s">
        <v>5143</v>
      </c>
      <c r="E23161" t="s">
        <v>6910</v>
      </c>
      <c r="F23161" t="s">
        <v>12898</v>
      </c>
      <c r="G23161" t="s">
        <v>17065</v>
      </c>
      <c r="H23161" t="s">
        <v>26861</v>
      </c>
    </row>
    <row r="23162" spans="1:8">
      <c r="H23162" t="s">
        <v>19814</v>
      </c>
    </row>
    <row r="23163" spans="1:8">
      <c r="H23163" t="s">
        <v>26862</v>
      </c>
    </row>
    <row r="23164" spans="1:8">
      <c r="A23164" t="s">
        <v>1136</v>
      </c>
      <c r="B23164">
        <f>HYPERLINK("https://android.googlesource.com/platform/cts/+/1d9207f4426374749088757954df80562efbb254", "1d9207f4426374749088757954df80562efbb254")</f>
        <v>0</v>
      </c>
      <c r="C23164">
        <f>HYPERLINK("https://android.googlesource.com/platform/cts/+/24e4936458d92528733f6692df9233e74e254e0c", "24e4936458d92528733f6692df9233e74e254e0c")</f>
        <v>0</v>
      </c>
      <c r="D23164" t="s">
        <v>5170</v>
      </c>
      <c r="E23164" t="s">
        <v>6911</v>
      </c>
      <c r="F23164" t="s">
        <v>12899</v>
      </c>
      <c r="G23164" t="s">
        <v>17066</v>
      </c>
      <c r="H23164" t="s">
        <v>26863</v>
      </c>
    </row>
    <row r="23165" spans="1:8">
      <c r="H23165" t="s">
        <v>18927</v>
      </c>
    </row>
    <row r="23166" spans="1:8">
      <c r="H23166" t="s">
        <v>26864</v>
      </c>
    </row>
    <row r="23167" spans="1:8">
      <c r="H23167" t="s">
        <v>26865</v>
      </c>
    </row>
    <row r="23168" spans="1:8">
      <c r="H23168" t="s">
        <v>26866</v>
      </c>
    </row>
    <row r="23169" spans="1:8">
      <c r="A23169" t="s">
        <v>1137</v>
      </c>
      <c r="B23169">
        <f>HYPERLINK("https://android.googlesource.com/platform/cts/+/2349d88103b1f0b8dc515dd3dc0b981226215336", "2349d88103b1f0b8dc515dd3dc0b981226215336")</f>
        <v>0</v>
      </c>
      <c r="C23169">
        <f>HYPERLINK("https://android.googlesource.com/platform/cts/+/39181956664b201d22dc935c9c2c4c57db9233cf", "39181956664b201d22dc935c9c2c4c57db9233cf")</f>
        <v>0</v>
      </c>
      <c r="D23169" t="s">
        <v>5085</v>
      </c>
      <c r="E23169" t="s">
        <v>6912</v>
      </c>
      <c r="F23169" t="s">
        <v>12743</v>
      </c>
      <c r="G23169" t="s">
        <v>16935</v>
      </c>
      <c r="H23169" t="s">
        <v>25781</v>
      </c>
    </row>
    <row r="23170" spans="1:8">
      <c r="A23170" t="s">
        <v>1139</v>
      </c>
      <c r="B23170">
        <f>HYPERLINK("https://android.googlesource.com/platform/cts/+/62ce8e98ee142432879185a1ba9052bf4aa9aa05", "62ce8e98ee142432879185a1ba9052bf4aa9aa05")</f>
        <v>0</v>
      </c>
      <c r="C23170">
        <f>HYPERLINK("https://android.googlesource.com/platform/cts/+/cf4047f982062307852cbec418e937c11473e29f", "cf4047f982062307852cbec418e937c11473e29f")</f>
        <v>0</v>
      </c>
      <c r="D23170" t="s">
        <v>5171</v>
      </c>
      <c r="E23170" t="s">
        <v>6913</v>
      </c>
      <c r="F23170" t="s">
        <v>12900</v>
      </c>
      <c r="G23170" t="s">
        <v>17067</v>
      </c>
      <c r="H23170" t="s">
        <v>26867</v>
      </c>
    </row>
    <row r="23171" spans="1:8">
      <c r="H23171" t="s">
        <v>26868</v>
      </c>
    </row>
    <row r="23172" spans="1:8">
      <c r="H23172" t="s">
        <v>26869</v>
      </c>
    </row>
    <row r="23173" spans="1:8">
      <c r="H23173" t="s">
        <v>26870</v>
      </c>
    </row>
    <row r="23174" spans="1:8">
      <c r="H23174" t="s">
        <v>20177</v>
      </c>
    </row>
    <row r="23175" spans="1:8">
      <c r="H23175" t="s">
        <v>18829</v>
      </c>
    </row>
    <row r="23176" spans="1:8">
      <c r="H23176" t="s">
        <v>26871</v>
      </c>
    </row>
    <row r="23177" spans="1:8">
      <c r="H23177" t="s">
        <v>18863</v>
      </c>
    </row>
    <row r="23178" spans="1:8">
      <c r="A23178" t="s">
        <v>1141</v>
      </c>
      <c r="B23178">
        <f>HYPERLINK("https://android.googlesource.com/platform/cts/+/4ace7a6f4e116f801c9b8691952a860fe2f193fe", "4ace7a6f4e116f801c9b8691952a860fe2f193fe")</f>
        <v>0</v>
      </c>
      <c r="C23178">
        <f>HYPERLINK("https://android.googlesource.com/platform/cts/+/50a0214fbe219f12405c01fcf8bf7f213996d39e", "50a0214fbe219f12405c01fcf8bf7f213996d39e")</f>
        <v>0</v>
      </c>
      <c r="D23178" t="s">
        <v>5164</v>
      </c>
      <c r="E23178" t="s">
        <v>6914</v>
      </c>
      <c r="F23178" t="s">
        <v>12900</v>
      </c>
      <c r="G23178" t="s">
        <v>17067</v>
      </c>
      <c r="H23178" t="s">
        <v>26867</v>
      </c>
    </row>
    <row r="23179" spans="1:8">
      <c r="H23179" t="s">
        <v>26868</v>
      </c>
    </row>
    <row r="23180" spans="1:8">
      <c r="H23180" t="s">
        <v>26869</v>
      </c>
    </row>
    <row r="23181" spans="1:8">
      <c r="H23181" t="s">
        <v>26870</v>
      </c>
    </row>
    <row r="23182" spans="1:8">
      <c r="H23182" t="s">
        <v>20177</v>
      </c>
    </row>
    <row r="23183" spans="1:8">
      <c r="H23183" t="s">
        <v>18829</v>
      </c>
    </row>
    <row r="23184" spans="1:8">
      <c r="H23184" t="s">
        <v>26871</v>
      </c>
    </row>
    <row r="23185" spans="1:8">
      <c r="H23185" t="s">
        <v>18863</v>
      </c>
    </row>
    <row r="23186" spans="1:8">
      <c r="A23186" t="s">
        <v>1142</v>
      </c>
      <c r="B23186">
        <f>HYPERLINK("https://android.googlesource.com/platform/cts/+/c84c2fbc89b2208775b9cadba2f6e8f0153a47af", "c84c2fbc89b2208775b9cadba2f6e8f0153a47af")</f>
        <v>0</v>
      </c>
      <c r="C23186">
        <f>HYPERLINK("https://android.googlesource.com/platform/cts/+/c0850410102620f5961facaebc7440ba4499aa4d", "c0850410102620f5961facaebc7440ba4499aa4d")</f>
        <v>0</v>
      </c>
      <c r="D23186" t="s">
        <v>5085</v>
      </c>
      <c r="E23186" t="s">
        <v>6915</v>
      </c>
      <c r="F23186" t="s">
        <v>12901</v>
      </c>
      <c r="G23186" t="s">
        <v>17068</v>
      </c>
      <c r="H23186" t="s">
        <v>18829</v>
      </c>
    </row>
    <row r="23187" spans="1:8">
      <c r="H23187" t="s">
        <v>18863</v>
      </c>
    </row>
    <row r="23188" spans="1:8">
      <c r="H23188" t="s">
        <v>26872</v>
      </c>
    </row>
    <row r="23189" spans="1:8">
      <c r="H23189" t="s">
        <v>26873</v>
      </c>
    </row>
    <row r="23190" spans="1:8">
      <c r="H23190" t="s">
        <v>26874</v>
      </c>
    </row>
    <row r="23191" spans="1:8">
      <c r="H23191" t="s">
        <v>26875</v>
      </c>
    </row>
    <row r="23192" spans="1:8">
      <c r="H23192" t="s">
        <v>26876</v>
      </c>
    </row>
    <row r="23193" spans="1:8">
      <c r="H23193" t="s">
        <v>26877</v>
      </c>
    </row>
    <row r="23194" spans="1:8">
      <c r="H23194" t="s">
        <v>26878</v>
      </c>
    </row>
    <row r="23195" spans="1:8">
      <c r="H23195" t="s">
        <v>26879</v>
      </c>
    </row>
    <row r="23196" spans="1:8">
      <c r="H23196" t="s">
        <v>26880</v>
      </c>
    </row>
    <row r="23197" spans="1:8">
      <c r="H23197" t="s">
        <v>26881</v>
      </c>
    </row>
    <row r="23198" spans="1:8">
      <c r="A23198" t="s">
        <v>1143</v>
      </c>
      <c r="B23198">
        <f>HYPERLINK("https://android.googlesource.com/platform/cts/+/89ab1d4a7a140736aaa8f53ac211ebd8b0a3b4b9", "89ab1d4a7a140736aaa8f53ac211ebd8b0a3b4b9")</f>
        <v>0</v>
      </c>
      <c r="C23198">
        <f>HYPERLINK("https://android.googlesource.com/platform/cts/+/e7114fdc88400aad8480d376a6d95bc1924cd1fc", "e7114fdc88400aad8480d376a6d95bc1924cd1fc")</f>
        <v>0</v>
      </c>
      <c r="D23198" t="s">
        <v>4991</v>
      </c>
      <c r="E23198" t="s">
        <v>6916</v>
      </c>
      <c r="F23198" t="s">
        <v>12902</v>
      </c>
      <c r="G23198" t="s">
        <v>17069</v>
      </c>
      <c r="H23198" t="s">
        <v>20244</v>
      </c>
    </row>
    <row r="23199" spans="1:8">
      <c r="H23199" t="s">
        <v>18829</v>
      </c>
    </row>
    <row r="23200" spans="1:8">
      <c r="H23200" t="s">
        <v>26882</v>
      </c>
    </row>
    <row r="23201" spans="1:8">
      <c r="A23201" t="s">
        <v>1144</v>
      </c>
      <c r="B23201">
        <f>HYPERLINK("https://android.googlesource.com/platform/cts/+/9d3de9076844ce66be815cb335026233b6fa4f8b", "9d3de9076844ce66be815cb335026233b6fa4f8b")</f>
        <v>0</v>
      </c>
      <c r="C23201">
        <f>HYPERLINK("https://android.googlesource.com/platform/cts/+/bf1667dd5bd7f6fb01c3a1baec8058cdb1f24f2b", "bf1667dd5bd7f6fb01c3a1baec8058cdb1f24f2b")</f>
        <v>0</v>
      </c>
      <c r="D23201" t="s">
        <v>5167</v>
      </c>
      <c r="E23201" t="s">
        <v>6917</v>
      </c>
      <c r="F23201" t="s">
        <v>12903</v>
      </c>
      <c r="G23201" t="s">
        <v>17064</v>
      </c>
      <c r="H23201" t="s">
        <v>26843</v>
      </c>
    </row>
    <row r="23202" spans="1:8">
      <c r="H23202" t="s">
        <v>26844</v>
      </c>
    </row>
    <row r="23203" spans="1:8">
      <c r="H23203" t="s">
        <v>26845</v>
      </c>
    </row>
    <row r="23204" spans="1:8">
      <c r="H23204" t="s">
        <v>26846</v>
      </c>
    </row>
    <row r="23205" spans="1:8">
      <c r="H23205" t="s">
        <v>26855</v>
      </c>
    </row>
    <row r="23206" spans="1:8">
      <c r="A23206" t="s">
        <v>1145</v>
      </c>
      <c r="B23206">
        <f>HYPERLINK("https://android.googlesource.com/platform/cts/+/f13cf4947850b3aad778ac8ea4b81477e23d352a", "f13cf4947850b3aad778ac8ea4b81477e23d352a")</f>
        <v>0</v>
      </c>
      <c r="C23206">
        <f>HYPERLINK("https://android.googlesource.com/platform/cts/+/890e3e23c801bdca308698f83b6cf6d50d0b3088", "890e3e23c801bdca308698f83b6cf6d50d0b3088")</f>
        <v>0</v>
      </c>
      <c r="D23206" t="s">
        <v>5137</v>
      </c>
      <c r="E23206" t="s">
        <v>6918</v>
      </c>
      <c r="F23206" t="s">
        <v>12629</v>
      </c>
      <c r="G23206" t="s">
        <v>16838</v>
      </c>
      <c r="H23206" t="s">
        <v>26876</v>
      </c>
    </row>
    <row r="23207" spans="1:8">
      <c r="H23207" t="s">
        <v>26883</v>
      </c>
    </row>
    <row r="23208" spans="1:8">
      <c r="H23208" t="s">
        <v>26878</v>
      </c>
    </row>
    <row r="23209" spans="1:8">
      <c r="H23209" t="s">
        <v>26879</v>
      </c>
    </row>
    <row r="23210" spans="1:8">
      <c r="H23210" t="s">
        <v>26880</v>
      </c>
    </row>
    <row r="23211" spans="1:8">
      <c r="H23211" t="s">
        <v>26881</v>
      </c>
    </row>
    <row r="23212" spans="1:8">
      <c r="A23212" t="s">
        <v>1146</v>
      </c>
      <c r="B23212">
        <f>HYPERLINK("https://android.googlesource.com/platform/cts/+/a909221fee3cf9192c7a9a656d736a64932ca150", "a909221fee3cf9192c7a9a656d736a64932ca150")</f>
        <v>0</v>
      </c>
      <c r="C23212">
        <f>HYPERLINK("https://android.googlesource.com/platform/cts/+/57b8deb9d49b902da3e69dd3b2fed9943ebe7e2c", "57b8deb9d49b902da3e69dd3b2fed9943ebe7e2c")</f>
        <v>0</v>
      </c>
      <c r="D23212" t="s">
        <v>5126</v>
      </c>
      <c r="E23212" t="s">
        <v>6919</v>
      </c>
      <c r="F23212" t="s">
        <v>12744</v>
      </c>
      <c r="G23212" t="s">
        <v>16936</v>
      </c>
      <c r="H23212" t="s">
        <v>18829</v>
      </c>
    </row>
    <row r="23213" spans="1:8">
      <c r="H23213" t="s">
        <v>26884</v>
      </c>
    </row>
    <row r="23214" spans="1:8">
      <c r="H23214" t="s">
        <v>26885</v>
      </c>
    </row>
    <row r="23215" spans="1:8">
      <c r="H23215" t="s">
        <v>26886</v>
      </c>
    </row>
    <row r="23216" spans="1:8">
      <c r="H23216" t="s">
        <v>26887</v>
      </c>
    </row>
    <row r="23217" spans="8:8">
      <c r="H23217" t="s">
        <v>26888</v>
      </c>
    </row>
    <row r="23218" spans="8:8">
      <c r="H23218" t="s">
        <v>26889</v>
      </c>
    </row>
    <row r="23219" spans="8:8">
      <c r="H23219" t="s">
        <v>26890</v>
      </c>
    </row>
    <row r="23220" spans="8:8">
      <c r="H23220" t="s">
        <v>26891</v>
      </c>
    </row>
    <row r="23221" spans="8:8">
      <c r="H23221" t="s">
        <v>19195</v>
      </c>
    </row>
    <row r="23222" spans="8:8">
      <c r="H23222" t="s">
        <v>26892</v>
      </c>
    </row>
    <row r="23223" spans="8:8">
      <c r="H23223" t="s">
        <v>26893</v>
      </c>
    </row>
    <row r="23224" spans="8:8">
      <c r="H23224" t="s">
        <v>26894</v>
      </c>
    </row>
    <row r="23225" spans="8:8">
      <c r="H23225" t="s">
        <v>26895</v>
      </c>
    </row>
    <row r="23226" spans="8:8">
      <c r="H23226" t="s">
        <v>26896</v>
      </c>
    </row>
    <row r="23227" spans="8:8">
      <c r="H23227" t="s">
        <v>26897</v>
      </c>
    </row>
    <row r="23228" spans="8:8">
      <c r="H23228" t="s">
        <v>26898</v>
      </c>
    </row>
    <row r="23229" spans="8:8">
      <c r="H23229" t="s">
        <v>26899</v>
      </c>
    </row>
    <row r="23230" spans="8:8">
      <c r="H23230" t="s">
        <v>26900</v>
      </c>
    </row>
    <row r="23231" spans="8:8">
      <c r="H23231" t="s">
        <v>26901</v>
      </c>
    </row>
    <row r="23232" spans="8:8">
      <c r="H23232" t="s">
        <v>26902</v>
      </c>
    </row>
    <row r="23233" spans="1:8">
      <c r="H23233" t="s">
        <v>26903</v>
      </c>
    </row>
    <row r="23234" spans="1:8">
      <c r="H23234" t="s">
        <v>26904</v>
      </c>
    </row>
    <row r="23235" spans="1:8">
      <c r="A23235" t="s">
        <v>1147</v>
      </c>
      <c r="B23235">
        <f>HYPERLINK("https://android.googlesource.com/platform/cts/+/7f98b2f76a1f3918cd7a36c5a5ac175ce033daa7", "7f98b2f76a1f3918cd7a36c5a5ac175ce033daa7")</f>
        <v>0</v>
      </c>
      <c r="C23235">
        <f>HYPERLINK("https://android.googlesource.com/platform/cts/+/27560ecc239d041cf5c6d55416199d422f9488af", "27560ecc239d041cf5c6d55416199d422f9488af")</f>
        <v>0</v>
      </c>
      <c r="D23235" t="s">
        <v>5000</v>
      </c>
      <c r="E23235" t="s">
        <v>6920</v>
      </c>
      <c r="F23235" t="s">
        <v>10699</v>
      </c>
      <c r="G23235" t="s">
        <v>15099</v>
      </c>
      <c r="H23235" t="s">
        <v>26834</v>
      </c>
    </row>
    <row r="23236" spans="1:8">
      <c r="A23236" t="s">
        <v>1148</v>
      </c>
      <c r="B23236">
        <f>HYPERLINK("https://android.googlesource.com/platform/cts/+/fefafa8d37f6c4fe6a18280243580cec7fb35716", "fefafa8d37f6c4fe6a18280243580cec7fb35716")</f>
        <v>0</v>
      </c>
      <c r="C23236">
        <f>HYPERLINK("https://android.googlesource.com/platform/cts/+/ca80941a5f81ec8e035e94a379b486042ac00336", "ca80941a5f81ec8e035e94a379b486042ac00336")</f>
        <v>0</v>
      </c>
      <c r="D23236" t="s">
        <v>5019</v>
      </c>
      <c r="E23236" t="s">
        <v>6921</v>
      </c>
      <c r="F23236" t="s">
        <v>12904</v>
      </c>
      <c r="G23236" t="s">
        <v>17070</v>
      </c>
      <c r="H23236" t="s">
        <v>26905</v>
      </c>
    </row>
    <row r="23237" spans="1:8">
      <c r="A23237" t="s">
        <v>1149</v>
      </c>
      <c r="B23237">
        <f>HYPERLINK("https://android.googlesource.com/platform/cts/+/d105427337086371c08b7f89f3e88c7a8f425dd5", "d105427337086371c08b7f89f3e88c7a8f425dd5")</f>
        <v>0</v>
      </c>
      <c r="C23237">
        <f>HYPERLINK("https://android.googlesource.com/platform/cts/+/023a728b2d838e61fb49c255f251b7e0b57eeb26", "023a728b2d838e61fb49c255f251b7e0b57eeb26")</f>
        <v>0</v>
      </c>
      <c r="D23237" t="s">
        <v>5172</v>
      </c>
      <c r="E23237" t="s">
        <v>6922</v>
      </c>
      <c r="F23237" t="s">
        <v>12176</v>
      </c>
      <c r="G23237" t="s">
        <v>16415</v>
      </c>
      <c r="H23237" t="s">
        <v>26906</v>
      </c>
    </row>
    <row r="23238" spans="1:8">
      <c r="H23238" t="s">
        <v>26907</v>
      </c>
    </row>
    <row r="23239" spans="1:8">
      <c r="A23239" t="s">
        <v>1150</v>
      </c>
      <c r="B23239">
        <f>HYPERLINK("https://android.googlesource.com/platform/cts/+/4d1c7f14f1ca857c554bcb2eb94823af7765a43f", "4d1c7f14f1ca857c554bcb2eb94823af7765a43f")</f>
        <v>0</v>
      </c>
      <c r="C23239">
        <f>HYPERLINK("https://android.googlesource.com/platform/cts/+/21464c8370f1f19ea935bb9046414f05706fbd0c", "21464c8370f1f19ea935bb9046414f05706fbd0c")</f>
        <v>0</v>
      </c>
      <c r="D23239" t="s">
        <v>5000</v>
      </c>
      <c r="E23239" t="s">
        <v>6923</v>
      </c>
      <c r="F23239" t="s">
        <v>10699</v>
      </c>
      <c r="G23239" t="s">
        <v>15099</v>
      </c>
      <c r="H23239" t="s">
        <v>26835</v>
      </c>
    </row>
    <row r="23240" spans="1:8">
      <c r="A23240" t="s">
        <v>1151</v>
      </c>
      <c r="B23240">
        <f>HYPERLINK("https://android.googlesource.com/platform/cts/+/56823a3629575d8b12cda6f4e60ab9d80c735ae0", "56823a3629575d8b12cda6f4e60ab9d80c735ae0")</f>
        <v>0</v>
      </c>
      <c r="C23240">
        <f>HYPERLINK("https://android.googlesource.com/platform/cts/+/4a2e4fad32fffc6f4a82c5008b46758a929cd5bd", "4a2e4fad32fffc6f4a82c5008b46758a929cd5bd")</f>
        <v>0</v>
      </c>
      <c r="D23240" t="s">
        <v>5030</v>
      </c>
      <c r="E23240" t="s">
        <v>6924</v>
      </c>
      <c r="F23240" t="s">
        <v>12332</v>
      </c>
      <c r="G23240" t="s">
        <v>16560</v>
      </c>
      <c r="H23240" t="s">
        <v>26908</v>
      </c>
    </row>
    <row r="23241" spans="1:8">
      <c r="A23241" t="s">
        <v>1152</v>
      </c>
      <c r="B23241">
        <f>HYPERLINK("https://android.googlesource.com/platform/cts/+/15936e7aa4b1fa198a38e9b72ad5d727d28abf0e", "15936e7aa4b1fa198a38e9b72ad5d727d28abf0e")</f>
        <v>0</v>
      </c>
      <c r="C23241">
        <f>HYPERLINK("https://android.googlesource.com/platform/cts/+/a033493d99f21e504b4cd170ac79991a6df053a2", "a033493d99f21e504b4cd170ac79991a6df053a2")</f>
        <v>0</v>
      </c>
      <c r="D23241" t="s">
        <v>5117</v>
      </c>
      <c r="E23241" t="s">
        <v>6925</v>
      </c>
      <c r="F23241" t="s">
        <v>12905</v>
      </c>
      <c r="G23241" t="s">
        <v>17071</v>
      </c>
      <c r="H23241" t="s">
        <v>26909</v>
      </c>
    </row>
    <row r="23242" spans="1:8">
      <c r="H23242" t="s">
        <v>18829</v>
      </c>
    </row>
    <row r="23243" spans="1:8">
      <c r="H23243" t="s">
        <v>26910</v>
      </c>
    </row>
    <row r="23244" spans="1:8">
      <c r="H23244" t="s">
        <v>26911</v>
      </c>
    </row>
    <row r="23245" spans="1:8">
      <c r="H23245" t="s">
        <v>26912</v>
      </c>
    </row>
    <row r="23246" spans="1:8">
      <c r="H23246" t="s">
        <v>26913</v>
      </c>
    </row>
    <row r="23247" spans="1:8">
      <c r="H23247" t="s">
        <v>26914</v>
      </c>
    </row>
    <row r="23248" spans="1:8">
      <c r="H23248" t="s">
        <v>26915</v>
      </c>
    </row>
    <row r="23249" spans="8:8">
      <c r="H23249" t="s">
        <v>26916</v>
      </c>
    </row>
    <row r="23250" spans="8:8">
      <c r="H23250" t="s">
        <v>26917</v>
      </c>
    </row>
    <row r="23251" spans="8:8">
      <c r="H23251" t="s">
        <v>26918</v>
      </c>
    </row>
    <row r="23252" spans="8:8">
      <c r="H23252" t="s">
        <v>26919</v>
      </c>
    </row>
    <row r="23253" spans="8:8">
      <c r="H23253" t="s">
        <v>26920</v>
      </c>
    </row>
    <row r="23254" spans="8:8">
      <c r="H23254" t="s">
        <v>26921</v>
      </c>
    </row>
    <row r="23255" spans="8:8">
      <c r="H23255" t="s">
        <v>26922</v>
      </c>
    </row>
    <row r="23256" spans="8:8">
      <c r="H23256" t="s">
        <v>26923</v>
      </c>
    </row>
    <row r="23257" spans="8:8">
      <c r="H23257" t="s">
        <v>26924</v>
      </c>
    </row>
    <row r="23258" spans="8:8">
      <c r="H23258" t="s">
        <v>26925</v>
      </c>
    </row>
    <row r="23259" spans="8:8">
      <c r="H23259" t="s">
        <v>26926</v>
      </c>
    </row>
    <row r="23260" spans="8:8">
      <c r="H23260" t="s">
        <v>26927</v>
      </c>
    </row>
    <row r="23261" spans="8:8">
      <c r="H23261" t="s">
        <v>26928</v>
      </c>
    </row>
    <row r="23262" spans="8:8">
      <c r="H23262" t="s">
        <v>26929</v>
      </c>
    </row>
    <row r="23263" spans="8:8">
      <c r="H23263" t="s">
        <v>26930</v>
      </c>
    </row>
    <row r="23264" spans="8:8">
      <c r="H23264" t="s">
        <v>26931</v>
      </c>
    </row>
    <row r="23265" spans="8:8">
      <c r="H23265" t="s">
        <v>26932</v>
      </c>
    </row>
    <row r="23266" spans="8:8">
      <c r="H23266" t="s">
        <v>26933</v>
      </c>
    </row>
    <row r="23267" spans="8:8">
      <c r="H23267" t="s">
        <v>26934</v>
      </c>
    </row>
    <row r="23268" spans="8:8">
      <c r="H23268" t="s">
        <v>26935</v>
      </c>
    </row>
    <row r="23269" spans="8:8">
      <c r="H23269" t="s">
        <v>26936</v>
      </c>
    </row>
    <row r="23270" spans="8:8">
      <c r="H23270" t="s">
        <v>26937</v>
      </c>
    </row>
    <row r="23271" spans="8:8">
      <c r="H23271" t="s">
        <v>26938</v>
      </c>
    </row>
    <row r="23272" spans="8:8">
      <c r="H23272" t="s">
        <v>26939</v>
      </c>
    </row>
    <row r="23273" spans="8:8">
      <c r="H23273" t="s">
        <v>26940</v>
      </c>
    </row>
    <row r="23274" spans="8:8">
      <c r="H23274" t="s">
        <v>26941</v>
      </c>
    </row>
    <row r="23275" spans="8:8">
      <c r="H23275" t="s">
        <v>26942</v>
      </c>
    </row>
    <row r="23276" spans="8:8">
      <c r="H23276" t="s">
        <v>26943</v>
      </c>
    </row>
    <row r="23277" spans="8:8">
      <c r="H23277" t="s">
        <v>26944</v>
      </c>
    </row>
    <row r="23278" spans="8:8">
      <c r="H23278" t="s">
        <v>26945</v>
      </c>
    </row>
    <row r="23279" spans="8:8">
      <c r="H23279" t="s">
        <v>26946</v>
      </c>
    </row>
    <row r="23280" spans="8:8">
      <c r="H23280" t="s">
        <v>26947</v>
      </c>
    </row>
    <row r="23281" spans="1:8">
      <c r="A23281" t="s">
        <v>1153</v>
      </c>
      <c r="B23281">
        <f>HYPERLINK("https://android.googlesource.com/platform/cts/+/8cf1a0f0257c2528c54c002ef4733d5e1362d549", "8cf1a0f0257c2528c54c002ef4733d5e1362d549")</f>
        <v>0</v>
      </c>
      <c r="C23281">
        <f>HYPERLINK("https://android.googlesource.com/platform/cts/+/44c8e95cf7ee3c4ea8c4b6b60bf14ce27bad75df", "44c8e95cf7ee3c4ea8c4b6b60bf14ce27bad75df")</f>
        <v>0</v>
      </c>
      <c r="D23281" t="s">
        <v>5173</v>
      </c>
      <c r="E23281" t="s">
        <v>6926</v>
      </c>
      <c r="F23281" t="s">
        <v>12717</v>
      </c>
      <c r="G23281" t="s">
        <v>16917</v>
      </c>
      <c r="H23281" t="s">
        <v>26948</v>
      </c>
    </row>
    <row r="23282" spans="1:8">
      <c r="A23282" t="s">
        <v>1154</v>
      </c>
      <c r="B23282">
        <f>HYPERLINK("https://android.googlesource.com/platform/cts/+/3567d303d1f1a7ff1468c17ec4aa5a6d92770a05", "3567d303d1f1a7ff1468c17ec4aa5a6d92770a05")</f>
        <v>0</v>
      </c>
      <c r="C23282">
        <f>HYPERLINK("https://android.googlesource.com/platform/cts/+/3c50727634c4cfcb7da6e20351c058e37f50b1c9", "3c50727634c4cfcb7da6e20351c058e37f50b1c9")</f>
        <v>0</v>
      </c>
      <c r="D23282" t="s">
        <v>5143</v>
      </c>
      <c r="E23282" t="s">
        <v>6927</v>
      </c>
      <c r="F23282" t="s">
        <v>12906</v>
      </c>
      <c r="G23282" t="s">
        <v>17072</v>
      </c>
      <c r="H23282" t="s">
        <v>26949</v>
      </c>
    </row>
    <row r="23283" spans="1:8">
      <c r="H23283" t="s">
        <v>26950</v>
      </c>
    </row>
    <row r="23284" spans="1:8">
      <c r="H23284" t="s">
        <v>26951</v>
      </c>
    </row>
    <row r="23285" spans="1:8">
      <c r="H23285" t="s">
        <v>26952</v>
      </c>
    </row>
    <row r="23286" spans="1:8">
      <c r="H23286" t="s">
        <v>26953</v>
      </c>
    </row>
    <row r="23287" spans="1:8">
      <c r="H23287" t="s">
        <v>26954</v>
      </c>
    </row>
    <row r="23288" spans="1:8">
      <c r="A23288" t="s">
        <v>1155</v>
      </c>
      <c r="B23288">
        <f>HYPERLINK("https://android.googlesource.com/platform/cts/+/299464294bc77b78433a0a0581a7656cdd6a496f", "299464294bc77b78433a0a0581a7656cdd6a496f")</f>
        <v>0</v>
      </c>
      <c r="C23288">
        <f>HYPERLINK("https://android.googlesource.com/platform/cts/+/3c50727634c4cfcb7da6e20351c058e37f50b1c9", "3c50727634c4cfcb7da6e20351c058e37f50b1c9")</f>
        <v>0</v>
      </c>
      <c r="D23288" t="s">
        <v>5143</v>
      </c>
      <c r="E23288" t="s">
        <v>6928</v>
      </c>
      <c r="F23288" t="s">
        <v>12907</v>
      </c>
      <c r="G23288" t="s">
        <v>17073</v>
      </c>
      <c r="H23288" t="s">
        <v>26955</v>
      </c>
    </row>
    <row r="23289" spans="1:8">
      <c r="H23289" t="s">
        <v>26956</v>
      </c>
    </row>
    <row r="23290" spans="1:8">
      <c r="H23290" t="s">
        <v>18893</v>
      </c>
    </row>
    <row r="23291" spans="1:8">
      <c r="H23291" t="s">
        <v>26957</v>
      </c>
    </row>
    <row r="23292" spans="1:8">
      <c r="H23292" t="s">
        <v>26958</v>
      </c>
    </row>
    <row r="23293" spans="1:8">
      <c r="H23293" t="s">
        <v>18893</v>
      </c>
    </row>
    <row r="23294" spans="1:8">
      <c r="H23294" t="s">
        <v>26539</v>
      </c>
    </row>
    <row r="23295" spans="1:8">
      <c r="H23295" t="s">
        <v>26959</v>
      </c>
    </row>
    <row r="23296" spans="1:8">
      <c r="H23296" t="s">
        <v>26960</v>
      </c>
    </row>
    <row r="23297" spans="1:8">
      <c r="H23297" t="s">
        <v>26961</v>
      </c>
    </row>
    <row r="23298" spans="1:8">
      <c r="H23298" t="s">
        <v>26962</v>
      </c>
    </row>
    <row r="23299" spans="1:8">
      <c r="A23299" t="s">
        <v>1156</v>
      </c>
      <c r="B23299">
        <f>HYPERLINK("https://android.googlesource.com/platform/cts/+/96a6b7efe1df9fa02ded5ae8454d734244d19332", "96a6b7efe1df9fa02ded5ae8454d734244d19332")</f>
        <v>0</v>
      </c>
      <c r="C23299">
        <f>HYPERLINK("https://android.googlesource.com/platform/cts/+/fb1864028bb8160360c149cc174d1dae824be92f", "fb1864028bb8160360c149cc174d1dae824be92f")</f>
        <v>0</v>
      </c>
      <c r="D23299" t="s">
        <v>5143</v>
      </c>
      <c r="E23299" t="s">
        <v>6929</v>
      </c>
      <c r="F23299" t="s">
        <v>12908</v>
      </c>
      <c r="G23299" t="s">
        <v>17074</v>
      </c>
      <c r="H23299" t="s">
        <v>26539</v>
      </c>
    </row>
    <row r="23300" spans="1:8">
      <c r="H23300" t="s">
        <v>26963</v>
      </c>
    </row>
    <row r="23301" spans="1:8">
      <c r="H23301" t="s">
        <v>26964</v>
      </c>
    </row>
    <row r="23302" spans="1:8">
      <c r="H23302" t="s">
        <v>26963</v>
      </c>
    </row>
    <row r="23303" spans="1:8">
      <c r="H23303" t="s">
        <v>26664</v>
      </c>
    </row>
    <row r="23304" spans="1:8">
      <c r="H23304" t="s">
        <v>26665</v>
      </c>
    </row>
    <row r="23305" spans="1:8">
      <c r="H23305" t="s">
        <v>26965</v>
      </c>
    </row>
    <row r="23306" spans="1:8">
      <c r="H23306" t="s">
        <v>26966</v>
      </c>
    </row>
    <row r="23307" spans="1:8">
      <c r="A23307" t="s">
        <v>1157</v>
      </c>
      <c r="B23307">
        <f>HYPERLINK("https://android.googlesource.com/platform/cts/+/86394041978113e596212eae6da62642dfc91c71", "86394041978113e596212eae6da62642dfc91c71")</f>
        <v>0</v>
      </c>
      <c r="C23307">
        <f>HYPERLINK("https://android.googlesource.com/platform/cts/+/8cd88929b2a726ea27eaae32d9baab545c626143", "8cd88929b2a726ea27eaae32d9baab545c626143")</f>
        <v>0</v>
      </c>
      <c r="D23307" t="s">
        <v>5115</v>
      </c>
      <c r="E23307" t="s">
        <v>6930</v>
      </c>
      <c r="F23307" t="s">
        <v>12662</v>
      </c>
      <c r="G23307" t="s">
        <v>16867</v>
      </c>
      <c r="H23307" t="s">
        <v>26967</v>
      </c>
    </row>
    <row r="23308" spans="1:8">
      <c r="A23308" t="s">
        <v>1158</v>
      </c>
      <c r="B23308">
        <f>HYPERLINK("https://android.googlesource.com/platform/cts/+/cfd9f2f6ae34f7cd2f4a4ee91afc67b558c75efa", "cfd9f2f6ae34f7cd2f4a4ee91afc67b558c75efa")</f>
        <v>0</v>
      </c>
      <c r="C23308">
        <f>HYPERLINK("https://android.googlesource.com/platform/cts/+/c80ea7b46c845c8ea41b5bf186d7c42b7fb32851", "c80ea7b46c845c8ea41b5bf186d7c42b7fb32851")</f>
        <v>0</v>
      </c>
      <c r="D23308" t="s">
        <v>5174</v>
      </c>
      <c r="E23308" t="s">
        <v>6931</v>
      </c>
      <c r="F23308" t="s">
        <v>12909</v>
      </c>
      <c r="G23308" t="s">
        <v>17075</v>
      </c>
      <c r="H23308" t="s">
        <v>26968</v>
      </c>
    </row>
    <row r="23309" spans="1:8">
      <c r="A23309" t="s">
        <v>1159</v>
      </c>
      <c r="B23309">
        <f>HYPERLINK("https://android.googlesource.com/platform/cts/+/2773547b152e8955272afa9a261d9a047b8c1c87", "2773547b152e8955272afa9a261d9a047b8c1c87")</f>
        <v>0</v>
      </c>
      <c r="C23309">
        <f>HYPERLINK("https://android.googlesource.com/platform/cts/+/4191d285d6d7e3caa760413f9fae91dcb0e8d0b0", "4191d285d6d7e3caa760413f9fae91dcb0e8d0b0")</f>
        <v>0</v>
      </c>
      <c r="D23309" t="s">
        <v>5143</v>
      </c>
      <c r="E23309" t="s">
        <v>6932</v>
      </c>
      <c r="F23309" t="s">
        <v>10658</v>
      </c>
      <c r="G23309" t="s">
        <v>15059</v>
      </c>
      <c r="H23309" t="s">
        <v>26969</v>
      </c>
    </row>
    <row r="23310" spans="1:8">
      <c r="H23310" t="s">
        <v>26970</v>
      </c>
    </row>
    <row r="23311" spans="1:8">
      <c r="H23311" t="s">
        <v>26971</v>
      </c>
    </row>
    <row r="23312" spans="1:8">
      <c r="H23312" t="s">
        <v>26972</v>
      </c>
    </row>
    <row r="23313" spans="1:8">
      <c r="H23313" t="s">
        <v>18893</v>
      </c>
    </row>
    <row r="23314" spans="1:8">
      <c r="H23314" t="s">
        <v>26973</v>
      </c>
    </row>
    <row r="23315" spans="1:8">
      <c r="A23315" t="s">
        <v>1160</v>
      </c>
      <c r="B23315">
        <f>HYPERLINK("https://android.googlesource.com/platform/cts/+/938e01e2ecbc870a6de7296ea3cbb1550404439d", "938e01e2ecbc870a6de7296ea3cbb1550404439d")</f>
        <v>0</v>
      </c>
      <c r="C23315">
        <f>HYPERLINK("https://android.googlesource.com/platform/cts/+/35184059cfb5db0ec557889218068db8bd835ee0", "35184059cfb5db0ec557889218068db8bd835ee0")</f>
        <v>0</v>
      </c>
      <c r="D23315" t="s">
        <v>5143</v>
      </c>
      <c r="E23315" t="s">
        <v>6933</v>
      </c>
      <c r="F23315" t="s">
        <v>10794</v>
      </c>
      <c r="G23315" t="s">
        <v>15189</v>
      </c>
      <c r="H23315" t="s">
        <v>26974</v>
      </c>
    </row>
    <row r="23316" spans="1:8">
      <c r="H23316" t="s">
        <v>26975</v>
      </c>
    </row>
    <row r="23317" spans="1:8">
      <c r="H23317" t="s">
        <v>26976</v>
      </c>
    </row>
    <row r="23318" spans="1:8">
      <c r="H23318" t="s">
        <v>26977</v>
      </c>
    </row>
    <row r="23319" spans="1:8">
      <c r="H23319" t="s">
        <v>25709</v>
      </c>
    </row>
    <row r="23320" spans="1:8">
      <c r="H23320" t="s">
        <v>18893</v>
      </c>
    </row>
    <row r="23321" spans="1:8">
      <c r="H23321" t="s">
        <v>19687</v>
      </c>
    </row>
    <row r="23322" spans="1:8">
      <c r="A23322" t="s">
        <v>1161</v>
      </c>
      <c r="B23322">
        <f>HYPERLINK("https://android.googlesource.com/platform/cts/+/98d000ba45f2a9485e391b8a8abff1d891ea4dbb", "98d000ba45f2a9485e391b8a8abff1d891ea4dbb")</f>
        <v>0</v>
      </c>
      <c r="C23322">
        <f>HYPERLINK("https://android.googlesource.com/platform/cts/+/938e01e2ecbc870a6de7296ea3cbb1550404439d", "938e01e2ecbc870a6de7296ea3cbb1550404439d")</f>
        <v>0</v>
      </c>
      <c r="D23322" t="s">
        <v>5143</v>
      </c>
      <c r="E23322" t="s">
        <v>6934</v>
      </c>
      <c r="F23322" t="s">
        <v>10794</v>
      </c>
      <c r="G23322" t="s">
        <v>15189</v>
      </c>
      <c r="H23322" t="s">
        <v>26978</v>
      </c>
    </row>
    <row r="23323" spans="1:8">
      <c r="H23323" t="s">
        <v>26979</v>
      </c>
    </row>
    <row r="23324" spans="1:8">
      <c r="H23324" t="s">
        <v>26980</v>
      </c>
    </row>
    <row r="23325" spans="1:8">
      <c r="H23325" t="s">
        <v>26981</v>
      </c>
    </row>
    <row r="23326" spans="1:8">
      <c r="H23326" t="s">
        <v>26982</v>
      </c>
    </row>
    <row r="23327" spans="1:8">
      <c r="H23327" t="s">
        <v>26983</v>
      </c>
    </row>
    <row r="23328" spans="1:8">
      <c r="H23328" t="s">
        <v>26984</v>
      </c>
    </row>
    <row r="23329" spans="1:8">
      <c r="H23329" t="s">
        <v>26985</v>
      </c>
    </row>
    <row r="23330" spans="1:8">
      <c r="H23330" t="s">
        <v>26986</v>
      </c>
    </row>
    <row r="23331" spans="1:8">
      <c r="H23331" t="s">
        <v>26987</v>
      </c>
    </row>
    <row r="23332" spans="1:8">
      <c r="H23332" t="s">
        <v>26988</v>
      </c>
    </row>
    <row r="23333" spans="1:8">
      <c r="H23333" t="s">
        <v>26989</v>
      </c>
    </row>
    <row r="23334" spans="1:8">
      <c r="H23334" t="s">
        <v>26990</v>
      </c>
    </row>
    <row r="23335" spans="1:8">
      <c r="H23335" t="s">
        <v>18893</v>
      </c>
    </row>
    <row r="23336" spans="1:8">
      <c r="H23336" t="s">
        <v>20354</v>
      </c>
    </row>
    <row r="23337" spans="1:8">
      <c r="H23337" t="s">
        <v>26991</v>
      </c>
    </row>
    <row r="23338" spans="1:8">
      <c r="H23338" t="s">
        <v>26992</v>
      </c>
    </row>
    <row r="23339" spans="1:8">
      <c r="H23339" t="s">
        <v>18893</v>
      </c>
    </row>
    <row r="23340" spans="1:8">
      <c r="H23340" t="s">
        <v>20354</v>
      </c>
    </row>
    <row r="23341" spans="1:8">
      <c r="H23341" t="s">
        <v>26993</v>
      </c>
    </row>
    <row r="23342" spans="1:8">
      <c r="A23342" t="s">
        <v>1162</v>
      </c>
      <c r="B23342">
        <f>HYPERLINK("https://android.googlesource.com/platform/cts/+/843836cb8ae821c853b0bac0bfed30961192d016", "843836cb8ae821c853b0bac0bfed30961192d016")</f>
        <v>0</v>
      </c>
      <c r="C23342">
        <f>HYPERLINK("https://android.googlesource.com/platform/cts/+/2699fd0c97994d0ed01f8e0bdecb1f92353ff697", "2699fd0c97994d0ed01f8e0bdecb1f92353ff697")</f>
        <v>0</v>
      </c>
      <c r="D23342" t="s">
        <v>5046</v>
      </c>
      <c r="E23342" t="s">
        <v>6935</v>
      </c>
      <c r="F23342" t="s">
        <v>10758</v>
      </c>
      <c r="G23342" t="s">
        <v>15156</v>
      </c>
      <c r="H23342" t="s">
        <v>26994</v>
      </c>
    </row>
    <row r="23343" spans="1:8">
      <c r="A23343" t="s">
        <v>1163</v>
      </c>
      <c r="B23343">
        <f>HYPERLINK("https://android.googlesource.com/platform/cts/+/9f67f0f2c239330040323010aece57fa9e1263ee", "9f67f0f2c239330040323010aece57fa9e1263ee")</f>
        <v>0</v>
      </c>
      <c r="C23343">
        <f>HYPERLINK("https://android.googlesource.com/platform/cts/+/d1c476b38fd560e462d5c7b0e898670b26ffbe46", "d1c476b38fd560e462d5c7b0e898670b26ffbe46")</f>
        <v>0</v>
      </c>
      <c r="D23343" t="s">
        <v>5030</v>
      </c>
      <c r="E23343" t="s">
        <v>6936</v>
      </c>
      <c r="F23343" t="s">
        <v>12176</v>
      </c>
      <c r="G23343" t="s">
        <v>16415</v>
      </c>
      <c r="H23343" t="s">
        <v>26995</v>
      </c>
    </row>
    <row r="23344" spans="1:8">
      <c r="F23344" t="s">
        <v>12910</v>
      </c>
      <c r="G23344" t="s">
        <v>17076</v>
      </c>
      <c r="H23344" t="s">
        <v>26996</v>
      </c>
    </row>
    <row r="23345" spans="1:8">
      <c r="F23345" t="s">
        <v>12656</v>
      </c>
      <c r="G23345" t="s">
        <v>16861</v>
      </c>
      <c r="H23345" t="s">
        <v>26997</v>
      </c>
    </row>
    <row r="23346" spans="1:8">
      <c r="F23346" t="s">
        <v>12782</v>
      </c>
      <c r="G23346" t="s">
        <v>16420</v>
      </c>
      <c r="H23346" t="s">
        <v>26998</v>
      </c>
    </row>
    <row r="23347" spans="1:8">
      <c r="H23347" t="s">
        <v>26997</v>
      </c>
    </row>
    <row r="23348" spans="1:8">
      <c r="H23348" t="s">
        <v>26999</v>
      </c>
    </row>
    <row r="23349" spans="1:8">
      <c r="H23349" t="s">
        <v>26998</v>
      </c>
    </row>
    <row r="23350" spans="1:8">
      <c r="H23350" t="s">
        <v>26997</v>
      </c>
    </row>
    <row r="23351" spans="1:8">
      <c r="H23351" t="s">
        <v>26999</v>
      </c>
    </row>
    <row r="23352" spans="1:8">
      <c r="A23352" t="s">
        <v>1164</v>
      </c>
      <c r="B23352">
        <f>HYPERLINK("https://android.googlesource.com/platform/cts/+/de5aea800f94d6709489721d38ec10851f6ce79a", "de5aea800f94d6709489721d38ec10851f6ce79a")</f>
        <v>0</v>
      </c>
      <c r="C23352">
        <f>HYPERLINK("https://android.googlesource.com/platform/cts/+/5ef048c114075fcda76190a29f3571ac228465a6", "5ef048c114075fcda76190a29f3571ac228465a6")</f>
        <v>0</v>
      </c>
      <c r="D23352" t="s">
        <v>5018</v>
      </c>
      <c r="E23352" t="s">
        <v>6937</v>
      </c>
      <c r="F23352" t="s">
        <v>12787</v>
      </c>
      <c r="G23352" t="s">
        <v>16971</v>
      </c>
      <c r="H23352" t="s">
        <v>27000</v>
      </c>
    </row>
    <row r="23353" spans="1:8">
      <c r="A23353" t="s">
        <v>1165</v>
      </c>
      <c r="B23353">
        <f>HYPERLINK("https://android.googlesource.com/platform/cts/+/4d48fa2917d59a56c65d54e1931e6b90545dd4a1", "4d48fa2917d59a56c65d54e1931e6b90545dd4a1")</f>
        <v>0</v>
      </c>
      <c r="C23353">
        <f>HYPERLINK("https://android.googlesource.com/platform/cts/+/10f180031a50c7cfe09fdb6460705ce303d97211", "10f180031a50c7cfe09fdb6460705ce303d97211")</f>
        <v>0</v>
      </c>
      <c r="D23353" t="s">
        <v>5030</v>
      </c>
      <c r="E23353" t="s">
        <v>6938</v>
      </c>
      <c r="F23353" t="s">
        <v>12656</v>
      </c>
      <c r="G23353" t="s">
        <v>16861</v>
      </c>
      <c r="H23353" t="s">
        <v>27001</v>
      </c>
    </row>
    <row r="23354" spans="1:8">
      <c r="H23354" t="s">
        <v>27002</v>
      </c>
    </row>
    <row r="23355" spans="1:8">
      <c r="H23355" t="s">
        <v>27003</v>
      </c>
    </row>
    <row r="23356" spans="1:8">
      <c r="H23356" t="s">
        <v>27004</v>
      </c>
    </row>
    <row r="23357" spans="1:8">
      <c r="H23357" t="s">
        <v>27005</v>
      </c>
    </row>
    <row r="23358" spans="1:8">
      <c r="H23358" t="s">
        <v>27006</v>
      </c>
    </row>
    <row r="23359" spans="1:8">
      <c r="H23359" t="s">
        <v>27007</v>
      </c>
    </row>
    <row r="23360" spans="1:8">
      <c r="H23360" t="s">
        <v>27008</v>
      </c>
    </row>
    <row r="23361" spans="8:8">
      <c r="H23361" t="s">
        <v>27009</v>
      </c>
    </row>
    <row r="23362" spans="8:8">
      <c r="H23362" t="s">
        <v>27010</v>
      </c>
    </row>
    <row r="23363" spans="8:8">
      <c r="H23363" t="s">
        <v>27011</v>
      </c>
    </row>
    <row r="23364" spans="8:8">
      <c r="H23364" t="s">
        <v>27012</v>
      </c>
    </row>
    <row r="23365" spans="8:8">
      <c r="H23365" t="s">
        <v>27013</v>
      </c>
    </row>
    <row r="23366" spans="8:8">
      <c r="H23366" t="s">
        <v>27014</v>
      </c>
    </row>
    <row r="23367" spans="8:8">
      <c r="H23367" t="s">
        <v>27015</v>
      </c>
    </row>
    <row r="23368" spans="8:8">
      <c r="H23368" t="s">
        <v>27016</v>
      </c>
    </row>
    <row r="23369" spans="8:8">
      <c r="H23369" t="s">
        <v>27017</v>
      </c>
    </row>
    <row r="23370" spans="8:8">
      <c r="H23370" t="s">
        <v>27018</v>
      </c>
    </row>
    <row r="23371" spans="8:8">
      <c r="H23371" t="s">
        <v>27019</v>
      </c>
    </row>
    <row r="23372" spans="8:8">
      <c r="H23372" t="s">
        <v>27020</v>
      </c>
    </row>
    <row r="23373" spans="8:8">
      <c r="H23373" t="s">
        <v>27021</v>
      </c>
    </row>
    <row r="23374" spans="8:8">
      <c r="H23374" t="s">
        <v>27022</v>
      </c>
    </row>
    <row r="23375" spans="8:8">
      <c r="H23375" t="s">
        <v>27023</v>
      </c>
    </row>
    <row r="23376" spans="8:8">
      <c r="H23376" t="s">
        <v>27024</v>
      </c>
    </row>
    <row r="23377" spans="8:8">
      <c r="H23377" t="s">
        <v>27025</v>
      </c>
    </row>
    <row r="23378" spans="8:8">
      <c r="H23378" t="s">
        <v>27026</v>
      </c>
    </row>
    <row r="23379" spans="8:8">
      <c r="H23379" t="s">
        <v>27027</v>
      </c>
    </row>
    <row r="23380" spans="8:8">
      <c r="H23380" t="s">
        <v>27028</v>
      </c>
    </row>
    <row r="23381" spans="8:8">
      <c r="H23381" t="s">
        <v>27029</v>
      </c>
    </row>
    <row r="23382" spans="8:8">
      <c r="H23382" t="s">
        <v>27030</v>
      </c>
    </row>
    <row r="23383" spans="8:8">
      <c r="H23383" t="s">
        <v>27031</v>
      </c>
    </row>
    <row r="23384" spans="8:8">
      <c r="H23384" t="s">
        <v>27032</v>
      </c>
    </row>
    <row r="23385" spans="8:8">
      <c r="H23385" t="s">
        <v>27033</v>
      </c>
    </row>
    <row r="23386" spans="8:8">
      <c r="H23386" t="s">
        <v>27034</v>
      </c>
    </row>
    <row r="23387" spans="8:8">
      <c r="H23387" t="s">
        <v>27035</v>
      </c>
    </row>
    <row r="23388" spans="8:8">
      <c r="H23388" t="s">
        <v>27036</v>
      </c>
    </row>
    <row r="23389" spans="8:8">
      <c r="H23389" t="s">
        <v>27037</v>
      </c>
    </row>
    <row r="23390" spans="8:8">
      <c r="H23390" t="s">
        <v>27038</v>
      </c>
    </row>
    <row r="23391" spans="8:8">
      <c r="H23391" t="s">
        <v>27039</v>
      </c>
    </row>
    <row r="23392" spans="8:8">
      <c r="H23392" t="s">
        <v>27040</v>
      </c>
    </row>
    <row r="23393" spans="6:8">
      <c r="H23393" t="s">
        <v>27041</v>
      </c>
    </row>
    <row r="23394" spans="6:8">
      <c r="H23394" t="s">
        <v>27042</v>
      </c>
    </row>
    <row r="23395" spans="6:8">
      <c r="H23395" t="s">
        <v>27043</v>
      </c>
    </row>
    <row r="23396" spans="6:8">
      <c r="H23396" t="s">
        <v>27044</v>
      </c>
    </row>
    <row r="23397" spans="6:8">
      <c r="H23397" t="s">
        <v>27045</v>
      </c>
    </row>
    <row r="23398" spans="6:8">
      <c r="H23398" t="s">
        <v>27046</v>
      </c>
    </row>
    <row r="23399" spans="6:8">
      <c r="F23399" t="s">
        <v>12782</v>
      </c>
      <c r="G23399" t="s">
        <v>16420</v>
      </c>
      <c r="H23399" t="s">
        <v>21301</v>
      </c>
    </row>
    <row r="23400" spans="6:8">
      <c r="H23400" t="s">
        <v>21302</v>
      </c>
    </row>
    <row r="23401" spans="6:8">
      <c r="H23401" t="s">
        <v>21303</v>
      </c>
    </row>
    <row r="23402" spans="6:8">
      <c r="H23402" t="s">
        <v>21304</v>
      </c>
    </row>
    <row r="23403" spans="6:8">
      <c r="H23403" t="s">
        <v>21305</v>
      </c>
    </row>
    <row r="23404" spans="6:8">
      <c r="H23404" t="s">
        <v>27047</v>
      </c>
    </row>
    <row r="23405" spans="6:8">
      <c r="H23405" t="s">
        <v>27048</v>
      </c>
    </row>
    <row r="23406" spans="6:8">
      <c r="H23406" t="s">
        <v>27049</v>
      </c>
    </row>
    <row r="23407" spans="6:8">
      <c r="H23407" t="s">
        <v>27050</v>
      </c>
    </row>
    <row r="23408" spans="6:8">
      <c r="H23408" t="s">
        <v>27051</v>
      </c>
    </row>
    <row r="23409" spans="8:8">
      <c r="H23409" t="s">
        <v>27052</v>
      </c>
    </row>
    <row r="23410" spans="8:8">
      <c r="H23410" t="s">
        <v>27053</v>
      </c>
    </row>
    <row r="23411" spans="8:8">
      <c r="H23411" t="s">
        <v>27054</v>
      </c>
    </row>
    <row r="23412" spans="8:8">
      <c r="H23412" t="s">
        <v>27055</v>
      </c>
    </row>
    <row r="23413" spans="8:8">
      <c r="H23413" t="s">
        <v>27056</v>
      </c>
    </row>
    <row r="23414" spans="8:8">
      <c r="H23414" t="s">
        <v>27057</v>
      </c>
    </row>
    <row r="23415" spans="8:8">
      <c r="H23415" t="s">
        <v>27058</v>
      </c>
    </row>
    <row r="23416" spans="8:8">
      <c r="H23416" t="s">
        <v>27059</v>
      </c>
    </row>
    <row r="23417" spans="8:8">
      <c r="H23417" t="s">
        <v>27060</v>
      </c>
    </row>
    <row r="23418" spans="8:8">
      <c r="H23418" t="s">
        <v>27061</v>
      </c>
    </row>
    <row r="23419" spans="8:8">
      <c r="H23419" t="s">
        <v>27062</v>
      </c>
    </row>
    <row r="23420" spans="8:8">
      <c r="H23420" t="s">
        <v>27037</v>
      </c>
    </row>
    <row r="23421" spans="8:8">
      <c r="H23421" t="s">
        <v>27038</v>
      </c>
    </row>
    <row r="23422" spans="8:8">
      <c r="H23422" t="s">
        <v>27039</v>
      </c>
    </row>
    <row r="23423" spans="8:8">
      <c r="H23423" t="s">
        <v>27040</v>
      </c>
    </row>
    <row r="23424" spans="8:8">
      <c r="H23424" t="s">
        <v>27063</v>
      </c>
    </row>
    <row r="23425" spans="8:8">
      <c r="H23425" t="s">
        <v>27064</v>
      </c>
    </row>
    <row r="23426" spans="8:8">
      <c r="H23426" t="s">
        <v>27065</v>
      </c>
    </row>
    <row r="23427" spans="8:8">
      <c r="H23427" t="s">
        <v>27066</v>
      </c>
    </row>
    <row r="23428" spans="8:8">
      <c r="H23428" t="s">
        <v>27067</v>
      </c>
    </row>
    <row r="23429" spans="8:8">
      <c r="H23429" t="s">
        <v>27068</v>
      </c>
    </row>
    <row r="23430" spans="8:8">
      <c r="H23430" t="s">
        <v>27069</v>
      </c>
    </row>
    <row r="23431" spans="8:8">
      <c r="H23431" t="s">
        <v>27070</v>
      </c>
    </row>
    <row r="23432" spans="8:8">
      <c r="H23432" t="s">
        <v>27071</v>
      </c>
    </row>
    <row r="23433" spans="8:8">
      <c r="H23433" t="s">
        <v>27072</v>
      </c>
    </row>
    <row r="23434" spans="8:8">
      <c r="H23434" t="s">
        <v>27073</v>
      </c>
    </row>
    <row r="23435" spans="8:8">
      <c r="H23435" t="s">
        <v>27074</v>
      </c>
    </row>
    <row r="23436" spans="8:8">
      <c r="H23436" t="s">
        <v>27075</v>
      </c>
    </row>
    <row r="23437" spans="8:8">
      <c r="H23437" t="s">
        <v>27076</v>
      </c>
    </row>
    <row r="23438" spans="8:8">
      <c r="H23438" t="s">
        <v>27077</v>
      </c>
    </row>
    <row r="23439" spans="8:8">
      <c r="H23439" t="s">
        <v>27078</v>
      </c>
    </row>
    <row r="23440" spans="8:8">
      <c r="H23440" t="s">
        <v>27079</v>
      </c>
    </row>
    <row r="23441" spans="1:8">
      <c r="H23441" t="s">
        <v>27080</v>
      </c>
    </row>
    <row r="23442" spans="1:8">
      <c r="H23442" t="s">
        <v>27081</v>
      </c>
    </row>
    <row r="23443" spans="1:8">
      <c r="H23443" t="s">
        <v>27082</v>
      </c>
    </row>
    <row r="23444" spans="1:8">
      <c r="H23444" t="s">
        <v>27083</v>
      </c>
    </row>
    <row r="23445" spans="1:8">
      <c r="H23445" t="s">
        <v>27084</v>
      </c>
    </row>
    <row r="23446" spans="1:8">
      <c r="A23446" t="s">
        <v>1166</v>
      </c>
      <c r="B23446">
        <f>HYPERLINK("https://android.googlesource.com/platform/cts/+/163676a464f8e1063b3729db7442be05e6474370", "163676a464f8e1063b3729db7442be05e6474370")</f>
        <v>0</v>
      </c>
      <c r="C23446">
        <f>HYPERLINK("https://android.googlesource.com/platform/cts/+/fe47a6a1de0fbc1a7826ea575507d5d182d735bd", "fe47a6a1de0fbc1a7826ea575507d5d182d735bd")</f>
        <v>0</v>
      </c>
      <c r="D23446" t="s">
        <v>5030</v>
      </c>
      <c r="E23446" t="s">
        <v>6939</v>
      </c>
      <c r="F23446" t="s">
        <v>12176</v>
      </c>
      <c r="G23446" t="s">
        <v>16415</v>
      </c>
      <c r="H23446" t="s">
        <v>27085</v>
      </c>
    </row>
    <row r="23447" spans="1:8">
      <c r="A23447" t="s">
        <v>1166</v>
      </c>
      <c r="B23447">
        <f>HYPERLINK("https://android.googlesource.com/platform/cts/+/aff93003f17a39087f011615d5ac2828a78716e7", "aff93003f17a39087f011615d5ac2828a78716e7")</f>
        <v>0</v>
      </c>
      <c r="C23447">
        <f>HYPERLINK("https://android.googlesource.com/platform/cts/+/06190f46835af928293eff2ed529c5490fee45cb", "06190f46835af928293eff2ed529c5490fee45cb")</f>
        <v>0</v>
      </c>
      <c r="D23447" t="s">
        <v>5030</v>
      </c>
      <c r="E23447" t="s">
        <v>6940</v>
      </c>
      <c r="F23447" t="s">
        <v>12176</v>
      </c>
      <c r="G23447" t="s">
        <v>16415</v>
      </c>
      <c r="H23447" t="s">
        <v>27086</v>
      </c>
    </row>
    <row r="23448" spans="1:8">
      <c r="A23448" t="s">
        <v>1167</v>
      </c>
      <c r="B23448">
        <f>HYPERLINK("https://android.googlesource.com/platform/cts/+/0dc0e1cdaa4aa164214a1be8a86107e7311bd597", "0dc0e1cdaa4aa164214a1be8a86107e7311bd597")</f>
        <v>0</v>
      </c>
      <c r="C23448">
        <f>HYPERLINK("https://android.googlesource.com/platform/cts/+/178278260ae4a970e5694a9863d169b4dfc37345", "178278260ae4a970e5694a9863d169b4dfc37345")</f>
        <v>0</v>
      </c>
      <c r="D23448" t="s">
        <v>5030</v>
      </c>
      <c r="E23448" t="s">
        <v>6941</v>
      </c>
      <c r="F23448" t="s">
        <v>12176</v>
      </c>
      <c r="G23448" t="s">
        <v>16415</v>
      </c>
      <c r="H23448" t="s">
        <v>27087</v>
      </c>
    </row>
    <row r="23449" spans="1:8">
      <c r="F23449" t="s">
        <v>12656</v>
      </c>
      <c r="G23449" t="s">
        <v>16861</v>
      </c>
      <c r="H23449" t="s">
        <v>27088</v>
      </c>
    </row>
    <row r="23450" spans="1:8">
      <c r="H23450" t="s">
        <v>27089</v>
      </c>
    </row>
    <row r="23451" spans="1:8">
      <c r="H23451" t="s">
        <v>27090</v>
      </c>
    </row>
    <row r="23452" spans="1:8">
      <c r="H23452" t="s">
        <v>27091</v>
      </c>
    </row>
    <row r="23453" spans="1:8">
      <c r="A23453" t="s">
        <v>1168</v>
      </c>
      <c r="B23453">
        <f>HYPERLINK("https://android.googlesource.com/platform/cts/+/99bd2de15b70c988973157fdbbeb8bdf58fe36fd", "99bd2de15b70c988973157fdbbeb8bdf58fe36fd")</f>
        <v>0</v>
      </c>
      <c r="C23453">
        <f>HYPERLINK("https://android.googlesource.com/platform/cts/+/6d97e3759cd1e5dc8759cbfd0c44d2382bcb88b4", "6d97e3759cd1e5dc8759cbfd0c44d2382bcb88b4")</f>
        <v>0</v>
      </c>
      <c r="D23453" t="s">
        <v>5030</v>
      </c>
      <c r="E23453" t="s">
        <v>6942</v>
      </c>
      <c r="F23453" t="s">
        <v>12176</v>
      </c>
      <c r="G23453" t="s">
        <v>16415</v>
      </c>
      <c r="H23453" t="s">
        <v>27092</v>
      </c>
    </row>
    <row r="23454" spans="1:8">
      <c r="F23454" t="s">
        <v>12656</v>
      </c>
      <c r="G23454" t="s">
        <v>16861</v>
      </c>
      <c r="H23454" t="s">
        <v>27093</v>
      </c>
    </row>
    <row r="23455" spans="1:8">
      <c r="H23455" t="s">
        <v>27094</v>
      </c>
    </row>
    <row r="23456" spans="1:8">
      <c r="H23456" t="s">
        <v>27095</v>
      </c>
    </row>
    <row r="23457" spans="1:8">
      <c r="H23457" t="s">
        <v>27096</v>
      </c>
    </row>
    <row r="23458" spans="1:8">
      <c r="H23458" t="s">
        <v>27097</v>
      </c>
    </row>
    <row r="23459" spans="1:8">
      <c r="H23459" t="s">
        <v>27098</v>
      </c>
    </row>
    <row r="23460" spans="1:8">
      <c r="A23460" t="s">
        <v>1169</v>
      </c>
      <c r="B23460">
        <f>HYPERLINK("https://android.googlesource.com/platform/cts/+/341ef0ed1753b304dcea0050a3a0ebda93f5df1f", "341ef0ed1753b304dcea0050a3a0ebda93f5df1f")</f>
        <v>0</v>
      </c>
      <c r="C23460">
        <f>HYPERLINK("https://android.googlesource.com/platform/cts/+/ef06d8de0e087c60de60ee53b756cf5078fb4a5c", "ef06d8de0e087c60de60ee53b756cf5078fb4a5c")</f>
        <v>0</v>
      </c>
      <c r="D23460" t="s">
        <v>5030</v>
      </c>
      <c r="E23460" t="s">
        <v>6943</v>
      </c>
      <c r="F23460" t="s">
        <v>12176</v>
      </c>
      <c r="G23460" t="s">
        <v>16415</v>
      </c>
      <c r="H23460" t="s">
        <v>27099</v>
      </c>
    </row>
    <row r="23461" spans="1:8">
      <c r="A23461" t="s">
        <v>1170</v>
      </c>
      <c r="B23461">
        <f>HYPERLINK("https://android.googlesource.com/platform/cts/+/354a3744faf4006b2d997ca71ffedef1da823c5e", "354a3744faf4006b2d997ca71ffedef1da823c5e")</f>
        <v>0</v>
      </c>
      <c r="C23461">
        <f>HYPERLINK("https://android.googlesource.com/platform/cts/+/a8d728bc7aca7aa34b192e0cbe10b96a38e8217c", "a8d728bc7aca7aa34b192e0cbe10b96a38e8217c")</f>
        <v>0</v>
      </c>
      <c r="D23461" t="s">
        <v>5143</v>
      </c>
      <c r="E23461" t="s">
        <v>6944</v>
      </c>
      <c r="F23461" t="s">
        <v>10794</v>
      </c>
      <c r="G23461" t="s">
        <v>15189</v>
      </c>
      <c r="H23461" t="s">
        <v>27100</v>
      </c>
    </row>
    <row r="23462" spans="1:8">
      <c r="H23462" t="s">
        <v>27101</v>
      </c>
    </row>
    <row r="23463" spans="1:8">
      <c r="A23463" t="s">
        <v>1171</v>
      </c>
      <c r="B23463">
        <f>HYPERLINK("https://android.googlesource.com/platform/cts/+/5c14d158346be1d61524875a01c62f52379b2fb4", "5c14d158346be1d61524875a01c62f52379b2fb4")</f>
        <v>0</v>
      </c>
      <c r="C23463">
        <f>HYPERLINK("https://android.googlesource.com/platform/cts/+/a8d728bc7aca7aa34b192e0cbe10b96a38e8217c", "a8d728bc7aca7aa34b192e0cbe10b96a38e8217c")</f>
        <v>0</v>
      </c>
      <c r="D23463" t="s">
        <v>5143</v>
      </c>
      <c r="E23463" t="s">
        <v>6945</v>
      </c>
      <c r="F23463" t="s">
        <v>12911</v>
      </c>
      <c r="G23463" t="s">
        <v>17077</v>
      </c>
      <c r="H23463" t="s">
        <v>27102</v>
      </c>
    </row>
    <row r="23464" spans="1:8">
      <c r="H23464" t="s">
        <v>27103</v>
      </c>
    </row>
    <row r="23465" spans="1:8">
      <c r="H23465" t="s">
        <v>27104</v>
      </c>
    </row>
    <row r="23466" spans="1:8">
      <c r="H23466" t="s">
        <v>18893</v>
      </c>
    </row>
    <row r="23467" spans="1:8">
      <c r="H23467" t="s">
        <v>19490</v>
      </c>
    </row>
    <row r="23468" spans="1:8">
      <c r="H23468" t="s">
        <v>27105</v>
      </c>
    </row>
    <row r="23469" spans="1:8">
      <c r="H23469" t="s">
        <v>27106</v>
      </c>
    </row>
    <row r="23470" spans="1:8">
      <c r="A23470" t="s">
        <v>1172</v>
      </c>
      <c r="B23470">
        <f>HYPERLINK("https://android.googlesource.com/platform/cts/+/f520f93dc4f0fb9e78e2d0af54c1fb9d1d16b8e1", "f520f93dc4f0fb9e78e2d0af54c1fb9d1d16b8e1")</f>
        <v>0</v>
      </c>
      <c r="C23470">
        <f>HYPERLINK("https://android.googlesource.com/platform/cts/+/46e06084c56019021aa7d6559596f5fab65b9a4d", "46e06084c56019021aa7d6559596f5fab65b9a4d")</f>
        <v>0</v>
      </c>
      <c r="D23470" t="s">
        <v>5094</v>
      </c>
      <c r="E23470" t="s">
        <v>6946</v>
      </c>
      <c r="F23470" t="s">
        <v>12629</v>
      </c>
      <c r="G23470" t="s">
        <v>16838</v>
      </c>
      <c r="H23470" t="s">
        <v>27107</v>
      </c>
    </row>
    <row r="23471" spans="1:8">
      <c r="A23471" t="s">
        <v>1173</v>
      </c>
      <c r="B23471">
        <f>HYPERLINK("https://android.googlesource.com/platform/cts/+/e2784be7dd616af44b2058b76e701e74ed41961b", "e2784be7dd616af44b2058b76e701e74ed41961b")</f>
        <v>0</v>
      </c>
      <c r="C23471">
        <f>HYPERLINK("https://android.googlesource.com/platform/cts/+/dec771a026285784ff5c82ad975de3964bd50f91", "dec771a026285784ff5c82ad975de3964bd50f91")</f>
        <v>0</v>
      </c>
      <c r="D23471" t="s">
        <v>4994</v>
      </c>
      <c r="E23471" t="s">
        <v>6947</v>
      </c>
      <c r="F23471" t="s">
        <v>10634</v>
      </c>
      <c r="G23471" t="s">
        <v>15037</v>
      </c>
      <c r="H23471" t="s">
        <v>27108</v>
      </c>
    </row>
    <row r="23472" spans="1:8">
      <c r="H23472" t="s">
        <v>27109</v>
      </c>
    </row>
    <row r="23473" spans="1:8">
      <c r="H23473" t="s">
        <v>27110</v>
      </c>
    </row>
    <row r="23474" spans="1:8">
      <c r="H23474" t="s">
        <v>27111</v>
      </c>
    </row>
    <row r="23475" spans="1:8">
      <c r="A23475" t="s">
        <v>1174</v>
      </c>
      <c r="B23475">
        <f>HYPERLINK("https://android.googlesource.com/platform/cts/+/0a304b0786021b6bba39b170e3193f56f0d0d244", "0a304b0786021b6bba39b170e3193f56f0d0d244")</f>
        <v>0</v>
      </c>
      <c r="C23475">
        <f>HYPERLINK("https://android.googlesource.com/platform/cts/+/dec771a026285784ff5c82ad975de3964bd50f91", "dec771a026285784ff5c82ad975de3964bd50f91")</f>
        <v>0</v>
      </c>
      <c r="D23475" t="s">
        <v>4994</v>
      </c>
      <c r="E23475" t="s">
        <v>6948</v>
      </c>
      <c r="F23475" t="s">
        <v>12912</v>
      </c>
      <c r="G23475" t="s">
        <v>17078</v>
      </c>
      <c r="H23475" t="s">
        <v>27112</v>
      </c>
    </row>
    <row r="23476" spans="1:8">
      <c r="A23476" t="s">
        <v>1175</v>
      </c>
      <c r="B23476">
        <f>HYPERLINK("https://android.googlesource.com/platform/cts/+/f92fb0b81547e780896b00e3c2198a1e133f36e7", "f92fb0b81547e780896b00e3c2198a1e133f36e7")</f>
        <v>0</v>
      </c>
      <c r="C23476">
        <f>HYPERLINK("https://android.googlesource.com/platform/cts/+/68e28793a646128d60b0d0976ee07e0fe82ab943", "68e28793a646128d60b0d0976ee07e0fe82ab943")</f>
        <v>0</v>
      </c>
      <c r="D23476" t="s">
        <v>4991</v>
      </c>
      <c r="E23476" t="s">
        <v>6949</v>
      </c>
      <c r="F23476" t="s">
        <v>12913</v>
      </c>
      <c r="G23476" t="s">
        <v>16432</v>
      </c>
      <c r="H23476" t="s">
        <v>18829</v>
      </c>
    </row>
    <row r="23477" spans="1:8">
      <c r="H23477" t="s">
        <v>18863</v>
      </c>
    </row>
    <row r="23478" spans="1:8">
      <c r="H23478" t="s">
        <v>21181</v>
      </c>
    </row>
    <row r="23479" spans="1:8">
      <c r="H23479" t="s">
        <v>19261</v>
      </c>
    </row>
    <row r="23480" spans="1:8">
      <c r="H23480" t="s">
        <v>26788</v>
      </c>
    </row>
    <row r="23481" spans="1:8">
      <c r="A23481" t="s">
        <v>1176</v>
      </c>
      <c r="B23481">
        <f>HYPERLINK("https://android.googlesource.com/platform/cts/+/4ecdf19f17c95c39189797cae19d99c5078f9f29", "4ecdf19f17c95c39189797cae19d99c5078f9f29")</f>
        <v>0</v>
      </c>
      <c r="C23481">
        <f>HYPERLINK("https://android.googlesource.com/platform/cts/+/a8d728bc7aca7aa34b192e0cbe10b96a38e8217c", "a8d728bc7aca7aa34b192e0cbe10b96a38e8217c")</f>
        <v>0</v>
      </c>
      <c r="D23481" t="s">
        <v>5143</v>
      </c>
      <c r="E23481" t="s">
        <v>6950</v>
      </c>
      <c r="F23481" t="s">
        <v>12914</v>
      </c>
      <c r="G23481" t="s">
        <v>17079</v>
      </c>
      <c r="H23481" t="s">
        <v>27113</v>
      </c>
    </row>
    <row r="23482" spans="1:8">
      <c r="H23482" t="s">
        <v>26266</v>
      </c>
    </row>
    <row r="23483" spans="1:8">
      <c r="A23483" t="s">
        <v>1177</v>
      </c>
      <c r="B23483">
        <f>HYPERLINK("https://android.googlesource.com/platform/cts/+/d1d1e73dd21846d44ffb8251743326a1bc19a43f", "d1d1e73dd21846d44ffb8251743326a1bc19a43f")</f>
        <v>0</v>
      </c>
      <c r="C23483">
        <f>HYPERLINK("https://android.googlesource.com/platform/cts/+/30040010201c5e25b0343f4d3290f18c90786771", "30040010201c5e25b0343f4d3290f18c90786771")</f>
        <v>0</v>
      </c>
      <c r="D23483" t="s">
        <v>5143</v>
      </c>
      <c r="E23483" t="s">
        <v>6951</v>
      </c>
      <c r="F23483" t="s">
        <v>10725</v>
      </c>
      <c r="G23483" t="s">
        <v>15124</v>
      </c>
      <c r="H23483" t="s">
        <v>27114</v>
      </c>
    </row>
    <row r="23484" spans="1:8">
      <c r="H23484" t="s">
        <v>27115</v>
      </c>
    </row>
    <row r="23485" spans="1:8">
      <c r="H23485" t="s">
        <v>27116</v>
      </c>
    </row>
    <row r="23486" spans="1:8">
      <c r="H23486" t="s">
        <v>27115</v>
      </c>
    </row>
    <row r="23487" spans="1:8">
      <c r="H23487" t="s">
        <v>27117</v>
      </c>
    </row>
    <row r="23488" spans="1:8">
      <c r="H23488" t="s">
        <v>27118</v>
      </c>
    </row>
    <row r="23489" spans="1:8">
      <c r="H23489" t="s">
        <v>19678</v>
      </c>
    </row>
    <row r="23490" spans="1:8">
      <c r="H23490" t="s">
        <v>19705</v>
      </c>
    </row>
    <row r="23491" spans="1:8">
      <c r="H23491" t="s">
        <v>27119</v>
      </c>
    </row>
    <row r="23492" spans="1:8">
      <c r="H23492" t="s">
        <v>19684</v>
      </c>
    </row>
    <row r="23493" spans="1:8">
      <c r="H23493" t="s">
        <v>18885</v>
      </c>
    </row>
    <row r="23494" spans="1:8">
      <c r="H23494" t="s">
        <v>27120</v>
      </c>
    </row>
    <row r="23495" spans="1:8">
      <c r="H23495" t="s">
        <v>18893</v>
      </c>
    </row>
    <row r="23496" spans="1:8">
      <c r="H23496" t="s">
        <v>26539</v>
      </c>
    </row>
    <row r="23497" spans="1:8">
      <c r="A23497" t="s">
        <v>1178</v>
      </c>
      <c r="B23497">
        <f>HYPERLINK("https://android.googlesource.com/platform/cts/+/54334b2902e19f4984726b52758c705f1d7c676d", "54334b2902e19f4984726b52758c705f1d7c676d")</f>
        <v>0</v>
      </c>
      <c r="C23497">
        <f>HYPERLINK("https://android.googlesource.com/platform/cts/+/e15787fa0620cebc5ed3506040a847f4e9a28872", "e15787fa0620cebc5ed3506040a847f4e9a28872")</f>
        <v>0</v>
      </c>
      <c r="D23497" t="s">
        <v>5143</v>
      </c>
      <c r="E23497" t="s">
        <v>6952</v>
      </c>
      <c r="F23497" t="s">
        <v>10610</v>
      </c>
      <c r="G23497" t="s">
        <v>15013</v>
      </c>
      <c r="H23497" t="s">
        <v>27121</v>
      </c>
    </row>
    <row r="23498" spans="1:8">
      <c r="H23498" t="s">
        <v>27122</v>
      </c>
    </row>
    <row r="23499" spans="1:8">
      <c r="H23499" t="s">
        <v>27123</v>
      </c>
    </row>
    <row r="23500" spans="1:8">
      <c r="H23500" t="s">
        <v>19078</v>
      </c>
    </row>
    <row r="23501" spans="1:8">
      <c r="H23501" t="s">
        <v>18893</v>
      </c>
    </row>
    <row r="23502" spans="1:8">
      <c r="H23502" t="s">
        <v>19079</v>
      </c>
    </row>
    <row r="23503" spans="1:8">
      <c r="H23503" t="s">
        <v>19080</v>
      </c>
    </row>
    <row r="23504" spans="1:8">
      <c r="H23504" t="s">
        <v>26535</v>
      </c>
    </row>
    <row r="23505" spans="1:8">
      <c r="H23505" t="s">
        <v>19081</v>
      </c>
    </row>
    <row r="23506" spans="1:8">
      <c r="H23506" t="s">
        <v>26537</v>
      </c>
    </row>
    <row r="23507" spans="1:8">
      <c r="H23507" t="s">
        <v>26538</v>
      </c>
    </row>
    <row r="23508" spans="1:8">
      <c r="A23508" t="s">
        <v>1179</v>
      </c>
      <c r="B23508">
        <f>HYPERLINK("https://android.googlesource.com/platform/cts/+/f0f8db454b980d4de8ab0cb7bcf091f5368bfb1b", "f0f8db454b980d4de8ab0cb7bcf091f5368bfb1b")</f>
        <v>0</v>
      </c>
      <c r="C23508">
        <f>HYPERLINK("https://android.googlesource.com/platform/cts/+/aa7b5a1c609bdeca7284ed0ab2e3f4b0e8ff39ac", "aa7b5a1c609bdeca7284ed0ab2e3f4b0e8ff39ac")</f>
        <v>0</v>
      </c>
      <c r="D23508" t="s">
        <v>5175</v>
      </c>
      <c r="E23508" t="s">
        <v>6953</v>
      </c>
      <c r="F23508" t="s">
        <v>10593</v>
      </c>
      <c r="G23508" t="s">
        <v>14996</v>
      </c>
      <c r="H23508" t="s">
        <v>27124</v>
      </c>
    </row>
    <row r="23509" spans="1:8">
      <c r="A23509" t="s">
        <v>1180</v>
      </c>
      <c r="B23509">
        <f>HYPERLINK("https://android.googlesource.com/platform/cts/+/d7e1292ea59b3e9e783b637b2d2a5ea7f05eff2d", "d7e1292ea59b3e9e783b637b2d2a5ea7f05eff2d")</f>
        <v>0</v>
      </c>
      <c r="C23509">
        <f>HYPERLINK("https://android.googlesource.com/platform/cts/+/f563004303232d068794d5126a48da0d183c9227", "f563004303232d068794d5126a48da0d183c9227")</f>
        <v>0</v>
      </c>
      <c r="D23509" t="s">
        <v>5176</v>
      </c>
      <c r="E23509" t="s">
        <v>6954</v>
      </c>
      <c r="F23509" t="s">
        <v>10604</v>
      </c>
      <c r="G23509" t="s">
        <v>15007</v>
      </c>
      <c r="H23509" t="s">
        <v>27125</v>
      </c>
    </row>
    <row r="23510" spans="1:8">
      <c r="A23510" t="s">
        <v>1181</v>
      </c>
      <c r="B23510">
        <f>HYPERLINK("https://android.googlesource.com/platform/cts/+/6a7d70f520117b679dc0e8af433e4241b47fe8b6", "6a7d70f520117b679dc0e8af433e4241b47fe8b6")</f>
        <v>0</v>
      </c>
      <c r="C23510">
        <f>HYPERLINK("https://android.googlesource.com/platform/cts/+/10c23a76924810fc364c9f0f8a9898a546d856c7", "10c23a76924810fc364c9f0f8a9898a546d856c7")</f>
        <v>0</v>
      </c>
      <c r="D23510" t="s">
        <v>5132</v>
      </c>
      <c r="E23510" t="s">
        <v>6955</v>
      </c>
      <c r="F23510" t="s">
        <v>10794</v>
      </c>
      <c r="G23510" t="s">
        <v>15189</v>
      </c>
      <c r="H23510" t="s">
        <v>27126</v>
      </c>
    </row>
    <row r="23511" spans="1:8">
      <c r="H23511" t="s">
        <v>27127</v>
      </c>
    </row>
    <row r="23512" spans="1:8">
      <c r="A23512" t="s">
        <v>1182</v>
      </c>
      <c r="B23512">
        <f>HYPERLINK("https://android.googlesource.com/platform/cts/+/86c506935f7de28ce9219c4f8b85bcef26f3badf", "86c506935f7de28ce9219c4f8b85bcef26f3badf")</f>
        <v>0</v>
      </c>
      <c r="C23512">
        <f>HYPERLINK("https://android.googlesource.com/platform/cts/+/e21e37d0fb59ca38ee669363d2d8bac15d051c14", "e21e37d0fb59ca38ee669363d2d8bac15d051c14")</f>
        <v>0</v>
      </c>
      <c r="D23512" t="s">
        <v>5124</v>
      </c>
      <c r="E23512" t="s">
        <v>6956</v>
      </c>
      <c r="F23512" t="s">
        <v>12915</v>
      </c>
      <c r="G23512" t="s">
        <v>17080</v>
      </c>
      <c r="H23512" t="s">
        <v>27128</v>
      </c>
    </row>
    <row r="23513" spans="1:8">
      <c r="H23513" t="s">
        <v>27129</v>
      </c>
    </row>
    <row r="23514" spans="1:8">
      <c r="H23514" t="s">
        <v>27130</v>
      </c>
    </row>
    <row r="23515" spans="1:8">
      <c r="H23515" t="s">
        <v>27131</v>
      </c>
    </row>
    <row r="23516" spans="1:8">
      <c r="A23516" t="s">
        <v>1183</v>
      </c>
      <c r="B23516">
        <f>HYPERLINK("https://android.googlesource.com/platform/cts/+/04966c40bf0859aeca842cc10da3e7a790b10a52", "04966c40bf0859aeca842cc10da3e7a790b10a52")</f>
        <v>0</v>
      </c>
      <c r="C23516">
        <f>HYPERLINK("https://android.googlesource.com/platform/cts/+/382b1555f06db0fce066af6dae40261609a5ee57", "382b1555f06db0fce066af6dae40261609a5ee57")</f>
        <v>0</v>
      </c>
      <c r="D23516" t="s">
        <v>5143</v>
      </c>
      <c r="E23516" t="s">
        <v>6957</v>
      </c>
      <c r="F23516" t="s">
        <v>12347</v>
      </c>
      <c r="G23516" t="s">
        <v>16575</v>
      </c>
      <c r="H23516" t="s">
        <v>19078</v>
      </c>
    </row>
    <row r="23517" spans="1:8">
      <c r="H23517" t="s">
        <v>19080</v>
      </c>
    </row>
    <row r="23518" spans="1:8">
      <c r="H23518" t="s">
        <v>19081</v>
      </c>
    </row>
    <row r="23519" spans="1:8">
      <c r="H23519" t="s">
        <v>26537</v>
      </c>
    </row>
    <row r="23520" spans="1:8">
      <c r="H23520" t="s">
        <v>19079</v>
      </c>
    </row>
    <row r="23521" spans="6:8">
      <c r="H23521" t="s">
        <v>26538</v>
      </c>
    </row>
    <row r="23522" spans="6:8">
      <c r="H23522" t="s">
        <v>18893</v>
      </c>
    </row>
    <row r="23523" spans="6:8">
      <c r="H23523" t="s">
        <v>27132</v>
      </c>
    </row>
    <row r="23524" spans="6:8">
      <c r="H23524" t="s">
        <v>27133</v>
      </c>
    </row>
    <row r="23525" spans="6:8">
      <c r="H23525" t="s">
        <v>27134</v>
      </c>
    </row>
    <row r="23526" spans="6:8">
      <c r="H23526" t="s">
        <v>27135</v>
      </c>
    </row>
    <row r="23527" spans="6:8">
      <c r="H23527" t="s">
        <v>18893</v>
      </c>
    </row>
    <row r="23528" spans="6:8">
      <c r="F23528" t="s">
        <v>10737</v>
      </c>
      <c r="G23528" t="s">
        <v>15136</v>
      </c>
      <c r="H23528" t="s">
        <v>19078</v>
      </c>
    </row>
    <row r="23529" spans="6:8">
      <c r="H23529" t="s">
        <v>19079</v>
      </c>
    </row>
    <row r="23530" spans="6:8">
      <c r="H23530" t="s">
        <v>19080</v>
      </c>
    </row>
    <row r="23531" spans="6:8">
      <c r="H23531" t="s">
        <v>19081</v>
      </c>
    </row>
    <row r="23532" spans="6:8">
      <c r="H23532" t="s">
        <v>26537</v>
      </c>
    </row>
    <row r="23533" spans="6:8">
      <c r="H23533" t="s">
        <v>26538</v>
      </c>
    </row>
    <row r="23534" spans="6:8">
      <c r="H23534" t="s">
        <v>26157</v>
      </c>
    </row>
    <row r="23535" spans="6:8">
      <c r="H23535" t="s">
        <v>18893</v>
      </c>
    </row>
    <row r="23536" spans="6:8">
      <c r="H23536" t="s">
        <v>18884</v>
      </c>
    </row>
    <row r="23537" spans="1:8">
      <c r="H23537" t="s">
        <v>18885</v>
      </c>
    </row>
    <row r="23538" spans="1:8">
      <c r="H23538" t="s">
        <v>18882</v>
      </c>
    </row>
    <row r="23539" spans="1:8">
      <c r="H23539" t="s">
        <v>18881</v>
      </c>
    </row>
    <row r="23540" spans="1:8">
      <c r="H23540" t="s">
        <v>27136</v>
      </c>
    </row>
    <row r="23541" spans="1:8">
      <c r="H23541" t="s">
        <v>27136</v>
      </c>
    </row>
    <row r="23542" spans="1:8">
      <c r="H23542" t="s">
        <v>27137</v>
      </c>
    </row>
    <row r="23543" spans="1:8">
      <c r="H23543" t="s">
        <v>18893</v>
      </c>
    </row>
    <row r="23544" spans="1:8">
      <c r="A23544" t="s">
        <v>1184</v>
      </c>
      <c r="B23544">
        <f>HYPERLINK("https://android.googlesource.com/platform/cts/+/5cf8f7dbe912ca3d4b88fe4e599e4268668c43c3", "5cf8f7dbe912ca3d4b88fe4e599e4268668c43c3")</f>
        <v>0</v>
      </c>
      <c r="C23544">
        <f>HYPERLINK("https://android.googlesource.com/platform/cts/+/d34c9a36230e6ae4136e8c2cdeb57842d955141d", "d34c9a36230e6ae4136e8c2cdeb57842d955141d")</f>
        <v>0</v>
      </c>
      <c r="D23544" t="s">
        <v>5157</v>
      </c>
      <c r="E23544" t="s">
        <v>6958</v>
      </c>
      <c r="F23544" t="s">
        <v>12916</v>
      </c>
      <c r="G23544" t="s">
        <v>17081</v>
      </c>
      <c r="H23544" t="s">
        <v>18829</v>
      </c>
    </row>
    <row r="23545" spans="1:8">
      <c r="H23545" t="s">
        <v>27138</v>
      </c>
    </row>
    <row r="23546" spans="1:8">
      <c r="A23546" t="s">
        <v>1185</v>
      </c>
      <c r="B23546">
        <f>HYPERLINK("https://android.googlesource.com/platform/cts/+/39fddc362dbbcb1876d6ae58aecf55d1adbe51cc", "39fddc362dbbcb1876d6ae58aecf55d1adbe51cc")</f>
        <v>0</v>
      </c>
      <c r="C23546">
        <f>HYPERLINK("https://android.googlesource.com/platform/cts/+/909228941c074db41bb99328ed815db60b5b344a", "909228941c074db41bb99328ed815db60b5b344a")</f>
        <v>0</v>
      </c>
      <c r="D23546" t="s">
        <v>5029</v>
      </c>
      <c r="E23546" t="s">
        <v>6959</v>
      </c>
      <c r="F23546" t="s">
        <v>12917</v>
      </c>
      <c r="G23546" t="s">
        <v>17082</v>
      </c>
      <c r="H23546" t="s">
        <v>18829</v>
      </c>
    </row>
    <row r="23547" spans="1:8">
      <c r="F23547" t="s">
        <v>12918</v>
      </c>
      <c r="G23547" t="s">
        <v>17083</v>
      </c>
      <c r="H23547" t="s">
        <v>18829</v>
      </c>
    </row>
    <row r="23548" spans="1:8">
      <c r="F23548" t="s">
        <v>12919</v>
      </c>
      <c r="G23548" t="s">
        <v>17084</v>
      </c>
      <c r="H23548" t="s">
        <v>18829</v>
      </c>
    </row>
    <row r="23549" spans="1:8">
      <c r="A23549" t="s">
        <v>1186</v>
      </c>
      <c r="B23549">
        <f>HYPERLINK("https://android.googlesource.com/platform/cts/+/2ecc93edcf13ec84e8504e6359fd1865e6d6f312", "2ecc93edcf13ec84e8504e6359fd1865e6d6f312")</f>
        <v>0</v>
      </c>
      <c r="C23549">
        <f>HYPERLINK("https://android.googlesource.com/platform/cts/+/909228941c074db41bb99328ed815db60b5b344a", "909228941c074db41bb99328ed815db60b5b344a")</f>
        <v>0</v>
      </c>
      <c r="D23549" t="s">
        <v>5029</v>
      </c>
      <c r="E23549" t="s">
        <v>6960</v>
      </c>
      <c r="F23549" t="s">
        <v>12920</v>
      </c>
      <c r="G23549" t="s">
        <v>17085</v>
      </c>
      <c r="H23549" t="s">
        <v>27139</v>
      </c>
    </row>
    <row r="23550" spans="1:8">
      <c r="H23550" t="s">
        <v>27140</v>
      </c>
    </row>
    <row r="23551" spans="1:8">
      <c r="H23551" t="s">
        <v>27140</v>
      </c>
    </row>
    <row r="23552" spans="1:8">
      <c r="H23552" t="s">
        <v>18990</v>
      </c>
    </row>
    <row r="23553" spans="1:8">
      <c r="H23553" t="s">
        <v>18991</v>
      </c>
    </row>
    <row r="23554" spans="1:8">
      <c r="H23554" t="s">
        <v>27141</v>
      </c>
    </row>
    <row r="23555" spans="1:8">
      <c r="H23555" t="s">
        <v>27142</v>
      </c>
    </row>
    <row r="23556" spans="1:8">
      <c r="A23556" t="s">
        <v>1187</v>
      </c>
      <c r="B23556">
        <f>HYPERLINK("https://android.googlesource.com/platform/cts/+/d4e65786f2389adf6d6cfc600d04efb0f9736400", "d4e65786f2389adf6d6cfc600d04efb0f9736400")</f>
        <v>0</v>
      </c>
      <c r="C23556">
        <f>HYPERLINK("https://android.googlesource.com/platform/cts/+/cae9af05cf6ce84a473394eed4b1c9ff56a0ad2b", "cae9af05cf6ce84a473394eed4b1c9ff56a0ad2b")</f>
        <v>0</v>
      </c>
      <c r="D23556" t="s">
        <v>4971</v>
      </c>
      <c r="E23556" t="s">
        <v>6961</v>
      </c>
      <c r="F23556" t="s">
        <v>12921</v>
      </c>
      <c r="G23556" t="s">
        <v>17086</v>
      </c>
      <c r="H23556" t="s">
        <v>27143</v>
      </c>
    </row>
    <row r="23557" spans="1:8">
      <c r="A23557" t="s">
        <v>1188</v>
      </c>
      <c r="B23557">
        <f>HYPERLINK("https://android.googlesource.com/platform/cts/+/91048540b3ac76f1ca6f2fd2b541a49b530bea05", "91048540b3ac76f1ca6f2fd2b541a49b530bea05")</f>
        <v>0</v>
      </c>
      <c r="C23557">
        <f>HYPERLINK("https://android.googlesource.com/platform/cts/+/76ccc07da0da845affc45b5569837aba65cae8df", "76ccc07da0da845affc45b5569837aba65cae8df")</f>
        <v>0</v>
      </c>
      <c r="D23557" t="s">
        <v>5143</v>
      </c>
      <c r="E23557" t="s">
        <v>6962</v>
      </c>
      <c r="F23557" t="s">
        <v>10732</v>
      </c>
      <c r="G23557" t="s">
        <v>15131</v>
      </c>
      <c r="H23557" t="s">
        <v>26183</v>
      </c>
    </row>
    <row r="23558" spans="1:8">
      <c r="H23558" t="s">
        <v>27144</v>
      </c>
    </row>
    <row r="23559" spans="1:8">
      <c r="H23559" t="s">
        <v>27145</v>
      </c>
    </row>
    <row r="23560" spans="1:8">
      <c r="H23560" t="s">
        <v>27146</v>
      </c>
    </row>
    <row r="23561" spans="1:8">
      <c r="H23561" t="s">
        <v>19135</v>
      </c>
    </row>
    <row r="23562" spans="1:8">
      <c r="H23562" t="s">
        <v>27147</v>
      </c>
    </row>
    <row r="23563" spans="1:8">
      <c r="H23563" t="s">
        <v>27148</v>
      </c>
    </row>
    <row r="23564" spans="1:8">
      <c r="H23564" t="s">
        <v>27149</v>
      </c>
    </row>
    <row r="23565" spans="1:8">
      <c r="H23565" t="s">
        <v>27150</v>
      </c>
    </row>
    <row r="23566" spans="1:8">
      <c r="H23566" t="s">
        <v>27151</v>
      </c>
    </row>
    <row r="23567" spans="1:8">
      <c r="H23567" t="s">
        <v>27152</v>
      </c>
    </row>
    <row r="23568" spans="1:8">
      <c r="H23568" t="s">
        <v>18893</v>
      </c>
    </row>
    <row r="23569" spans="1:8">
      <c r="H23569" t="s">
        <v>27153</v>
      </c>
    </row>
    <row r="23570" spans="1:8">
      <c r="H23570" t="s">
        <v>27154</v>
      </c>
    </row>
    <row r="23571" spans="1:8">
      <c r="H23571" t="s">
        <v>19135</v>
      </c>
    </row>
    <row r="23572" spans="1:8">
      <c r="H23572" t="s">
        <v>26964</v>
      </c>
    </row>
    <row r="23573" spans="1:8">
      <c r="H23573" t="s">
        <v>19805</v>
      </c>
    </row>
    <row r="23574" spans="1:8">
      <c r="H23574" t="s">
        <v>19135</v>
      </c>
    </row>
    <row r="23575" spans="1:8">
      <c r="H23575" t="s">
        <v>26540</v>
      </c>
    </row>
    <row r="23576" spans="1:8">
      <c r="H23576" t="s">
        <v>26541</v>
      </c>
    </row>
    <row r="23577" spans="1:8">
      <c r="A23577" t="s">
        <v>1189</v>
      </c>
      <c r="B23577">
        <f>HYPERLINK("https://android.googlesource.com/platform/cts/+/4e47d86641f4cbf8269723cca1a2ca1250f9aa02", "4e47d86641f4cbf8269723cca1a2ca1250f9aa02")</f>
        <v>0</v>
      </c>
      <c r="C23577">
        <f>HYPERLINK("https://android.googlesource.com/platform/cts/+/aca09c2b05c77ad9841af3f2dce2db2b42b82395", "aca09c2b05c77ad9841af3f2dce2db2b42b82395")</f>
        <v>0</v>
      </c>
      <c r="D23577" t="s">
        <v>5143</v>
      </c>
      <c r="E23577" t="s">
        <v>6963</v>
      </c>
      <c r="F23577" t="s">
        <v>12922</v>
      </c>
      <c r="G23577" t="s">
        <v>17087</v>
      </c>
      <c r="H23577" t="s">
        <v>26953</v>
      </c>
    </row>
    <row r="23578" spans="1:8">
      <c r="H23578" t="s">
        <v>27155</v>
      </c>
    </row>
    <row r="23579" spans="1:8">
      <c r="H23579" t="s">
        <v>26954</v>
      </c>
    </row>
    <row r="23580" spans="1:8">
      <c r="H23580" t="s">
        <v>27156</v>
      </c>
    </row>
    <row r="23581" spans="1:8">
      <c r="H23581" t="s">
        <v>18893</v>
      </c>
    </row>
    <row r="23582" spans="1:8">
      <c r="F23582" t="s">
        <v>12923</v>
      </c>
      <c r="G23582" t="s">
        <v>17088</v>
      </c>
      <c r="H23582" t="s">
        <v>26953</v>
      </c>
    </row>
    <row r="23583" spans="1:8">
      <c r="H23583" t="s">
        <v>27155</v>
      </c>
    </row>
    <row r="23584" spans="1:8">
      <c r="H23584" t="s">
        <v>26954</v>
      </c>
    </row>
    <row r="23585" spans="6:8">
      <c r="H23585" t="s">
        <v>27156</v>
      </c>
    </row>
    <row r="23586" spans="6:8">
      <c r="H23586" t="s">
        <v>18893</v>
      </c>
    </row>
    <row r="23587" spans="6:8">
      <c r="F23587" t="s">
        <v>10611</v>
      </c>
      <c r="G23587" t="s">
        <v>15014</v>
      </c>
      <c r="H23587" t="s">
        <v>27157</v>
      </c>
    </row>
    <row r="23588" spans="6:8">
      <c r="H23588" t="s">
        <v>27158</v>
      </c>
    </row>
    <row r="23589" spans="6:8">
      <c r="H23589" t="s">
        <v>18893</v>
      </c>
    </row>
    <row r="23590" spans="6:8">
      <c r="F23590" t="s">
        <v>12924</v>
      </c>
      <c r="G23590" t="s">
        <v>17089</v>
      </c>
      <c r="H23590" t="s">
        <v>26953</v>
      </c>
    </row>
    <row r="23591" spans="6:8">
      <c r="H23591" t="s">
        <v>26954</v>
      </c>
    </row>
    <row r="23592" spans="6:8">
      <c r="H23592" t="s">
        <v>27155</v>
      </c>
    </row>
    <row r="23593" spans="6:8">
      <c r="H23593" t="s">
        <v>27156</v>
      </c>
    </row>
    <row r="23594" spans="6:8">
      <c r="H23594" t="s">
        <v>18893</v>
      </c>
    </row>
    <row r="23595" spans="6:8">
      <c r="F23595" t="s">
        <v>12643</v>
      </c>
      <c r="G23595" t="s">
        <v>15001</v>
      </c>
      <c r="H23595" t="s">
        <v>27159</v>
      </c>
    </row>
    <row r="23596" spans="6:8">
      <c r="F23596" t="s">
        <v>12925</v>
      </c>
      <c r="G23596" t="s">
        <v>17090</v>
      </c>
      <c r="H23596" t="s">
        <v>26667</v>
      </c>
    </row>
    <row r="23597" spans="6:8">
      <c r="H23597" t="s">
        <v>27160</v>
      </c>
    </row>
    <row r="23598" spans="6:8">
      <c r="F23598" t="s">
        <v>10674</v>
      </c>
      <c r="G23598" t="s">
        <v>15074</v>
      </c>
      <c r="H23598" t="s">
        <v>26965</v>
      </c>
    </row>
    <row r="23599" spans="6:8">
      <c r="H23599" t="s">
        <v>27161</v>
      </c>
    </row>
    <row r="23600" spans="6:8">
      <c r="H23600" t="s">
        <v>27162</v>
      </c>
    </row>
    <row r="23601" spans="6:8">
      <c r="H23601" t="s">
        <v>18893</v>
      </c>
    </row>
    <row r="23602" spans="6:8">
      <c r="H23602" t="s">
        <v>26664</v>
      </c>
    </row>
    <row r="23603" spans="6:8">
      <c r="H23603" t="s">
        <v>26665</v>
      </c>
    </row>
    <row r="23604" spans="6:8">
      <c r="F23604" t="s">
        <v>12926</v>
      </c>
      <c r="G23604" t="s">
        <v>17091</v>
      </c>
      <c r="H23604" t="s">
        <v>26953</v>
      </c>
    </row>
    <row r="23605" spans="6:8">
      <c r="H23605" t="s">
        <v>26954</v>
      </c>
    </row>
    <row r="23606" spans="6:8">
      <c r="F23606" t="s">
        <v>10757</v>
      </c>
      <c r="G23606" t="s">
        <v>15155</v>
      </c>
      <c r="H23606" t="s">
        <v>27113</v>
      </c>
    </row>
    <row r="23607" spans="6:8">
      <c r="H23607" t="s">
        <v>26266</v>
      </c>
    </row>
    <row r="23608" spans="6:8">
      <c r="F23608" t="s">
        <v>12927</v>
      </c>
      <c r="G23608" t="s">
        <v>17092</v>
      </c>
      <c r="H23608" t="s">
        <v>27163</v>
      </c>
    </row>
    <row r="23609" spans="6:8">
      <c r="H23609" t="s">
        <v>27164</v>
      </c>
    </row>
    <row r="23610" spans="6:8">
      <c r="H23610" t="s">
        <v>27165</v>
      </c>
    </row>
    <row r="23611" spans="6:8">
      <c r="H23611" t="s">
        <v>27166</v>
      </c>
    </row>
    <row r="23612" spans="6:8">
      <c r="H23612" t="s">
        <v>27167</v>
      </c>
    </row>
    <row r="23613" spans="6:8">
      <c r="H23613" t="s">
        <v>27168</v>
      </c>
    </row>
    <row r="23614" spans="6:8">
      <c r="H23614" t="s">
        <v>27169</v>
      </c>
    </row>
    <row r="23615" spans="6:8">
      <c r="H23615" t="s">
        <v>27170</v>
      </c>
    </row>
    <row r="23616" spans="6:8">
      <c r="H23616" t="s">
        <v>27171</v>
      </c>
    </row>
    <row r="23617" spans="6:8">
      <c r="F23617" t="s">
        <v>10760</v>
      </c>
      <c r="G23617" t="s">
        <v>15158</v>
      </c>
      <c r="H23617" t="s">
        <v>27172</v>
      </c>
    </row>
    <row r="23618" spans="6:8">
      <c r="H23618" t="s">
        <v>27173</v>
      </c>
    </row>
    <row r="23619" spans="6:8">
      <c r="H23619" t="s">
        <v>27174</v>
      </c>
    </row>
    <row r="23620" spans="6:8">
      <c r="H23620" t="s">
        <v>27175</v>
      </c>
    </row>
    <row r="23621" spans="6:8">
      <c r="H23621" t="s">
        <v>27176</v>
      </c>
    </row>
    <row r="23622" spans="6:8">
      <c r="H23622" t="s">
        <v>18893</v>
      </c>
    </row>
    <row r="23623" spans="6:8">
      <c r="F23623" t="s">
        <v>12928</v>
      </c>
      <c r="G23623" t="s">
        <v>17093</v>
      </c>
      <c r="H23623" t="s">
        <v>27173</v>
      </c>
    </row>
    <row r="23624" spans="6:8">
      <c r="H23624" t="s">
        <v>27174</v>
      </c>
    </row>
    <row r="23625" spans="6:8">
      <c r="H23625" t="s">
        <v>27175</v>
      </c>
    </row>
    <row r="23626" spans="6:8">
      <c r="H23626" t="s">
        <v>27176</v>
      </c>
    </row>
    <row r="23627" spans="6:8">
      <c r="H23627" t="s">
        <v>18893</v>
      </c>
    </row>
    <row r="23628" spans="6:8">
      <c r="F23628" t="s">
        <v>10761</v>
      </c>
      <c r="G23628" t="s">
        <v>15159</v>
      </c>
      <c r="H23628" t="s">
        <v>26868</v>
      </c>
    </row>
    <row r="23629" spans="6:8">
      <c r="H23629" t="s">
        <v>26869</v>
      </c>
    </row>
    <row r="23630" spans="6:8">
      <c r="H23630" t="s">
        <v>26870</v>
      </c>
    </row>
    <row r="23631" spans="6:8">
      <c r="H23631" t="s">
        <v>27177</v>
      </c>
    </row>
    <row r="23632" spans="6:8">
      <c r="H23632" t="s">
        <v>20177</v>
      </c>
    </row>
    <row r="23633" spans="1:8">
      <c r="H23633" t="s">
        <v>27178</v>
      </c>
    </row>
    <row r="23634" spans="1:8">
      <c r="A23634" t="s">
        <v>1190</v>
      </c>
      <c r="B23634">
        <f>HYPERLINK("https://android.googlesource.com/platform/cts/+/b7311448c4a7c637e14aec1d4de3a78cceb10cce", "b7311448c4a7c637e14aec1d4de3a78cceb10cce")</f>
        <v>0</v>
      </c>
      <c r="C23634">
        <f>HYPERLINK("https://android.googlesource.com/platform/cts/+/1b7b94d98c0fa9c12182b6edaa932f27a35dff2e", "1b7b94d98c0fa9c12182b6edaa932f27a35dff2e")</f>
        <v>0</v>
      </c>
      <c r="D23634" t="s">
        <v>5173</v>
      </c>
      <c r="E23634" t="s">
        <v>6964</v>
      </c>
      <c r="F23634" t="s">
        <v>12929</v>
      </c>
      <c r="G23634" t="s">
        <v>17094</v>
      </c>
      <c r="H23634" t="s">
        <v>27179</v>
      </c>
    </row>
    <row r="23635" spans="1:8">
      <c r="A23635" t="s">
        <v>1191</v>
      </c>
      <c r="B23635">
        <f>HYPERLINK("https://android.googlesource.com/platform/cts/+/3e171ee627440299c8b1f7a544e00ceefc3330be", "3e171ee627440299c8b1f7a544e00ceefc3330be")</f>
        <v>0</v>
      </c>
      <c r="C23635">
        <f>HYPERLINK("https://android.googlesource.com/platform/cts/+/18781f81bd0eed56e97abb7c49bed1caf1278720", "18781f81bd0eed56e97abb7c49bed1caf1278720")</f>
        <v>0</v>
      </c>
      <c r="D23635" t="s">
        <v>4971</v>
      </c>
      <c r="E23635" t="s">
        <v>6965</v>
      </c>
      <c r="F23635" t="s">
        <v>12930</v>
      </c>
      <c r="G23635" t="s">
        <v>17095</v>
      </c>
      <c r="H23635" t="s">
        <v>27180</v>
      </c>
    </row>
    <row r="23636" spans="1:8">
      <c r="A23636" t="s">
        <v>1192</v>
      </c>
      <c r="B23636">
        <f>HYPERLINK("https://android.googlesource.com/platform/cts/+/8cb17c4476640323883be925aca42adf0d721b7f", "8cb17c4476640323883be925aca42adf0d721b7f")</f>
        <v>0</v>
      </c>
      <c r="C23636">
        <f>HYPERLINK("https://android.googlesource.com/platform/cts/+/064188951c3adcd8a3e777660b74a32a4ff8f238", "064188951c3adcd8a3e777660b74a32a4ff8f238")</f>
        <v>0</v>
      </c>
      <c r="D23636" t="s">
        <v>5143</v>
      </c>
      <c r="E23636" t="s">
        <v>6966</v>
      </c>
      <c r="F23636" t="s">
        <v>10611</v>
      </c>
      <c r="G23636" t="s">
        <v>15014</v>
      </c>
      <c r="H23636" t="s">
        <v>26183</v>
      </c>
    </row>
    <row r="23637" spans="1:8">
      <c r="A23637" t="s">
        <v>1193</v>
      </c>
      <c r="B23637">
        <f>HYPERLINK("https://android.googlesource.com/platform/cts/+/e493cde8b5f861930a1aaa2f93908cd5ea2d68bf", "e493cde8b5f861930a1aaa2f93908cd5ea2d68bf")</f>
        <v>0</v>
      </c>
      <c r="C23637">
        <f>HYPERLINK("https://android.googlesource.com/platform/cts/+/064188951c3adcd8a3e777660b74a32a4ff8f238", "064188951c3adcd8a3e777660b74a32a4ff8f238")</f>
        <v>0</v>
      </c>
      <c r="D23637" t="s">
        <v>5143</v>
      </c>
      <c r="E23637" t="s">
        <v>6967</v>
      </c>
      <c r="F23637" t="s">
        <v>12931</v>
      </c>
      <c r="G23637" t="s">
        <v>17096</v>
      </c>
      <c r="H23637" t="s">
        <v>27181</v>
      </c>
    </row>
    <row r="23638" spans="1:8">
      <c r="A23638" t="s">
        <v>1194</v>
      </c>
      <c r="B23638">
        <f>HYPERLINK("https://android.googlesource.com/platform/cts/+/a82283fc3d03aadf14baa7e731bd43ab744e732a", "a82283fc3d03aadf14baa7e731bd43ab744e732a")</f>
        <v>0</v>
      </c>
      <c r="C23638">
        <f>HYPERLINK("https://android.googlesource.com/platform/cts/+/a376c2fc679145fb3596b02324ca1b73344711ce", "a376c2fc679145fb3596b02324ca1b73344711ce")</f>
        <v>0</v>
      </c>
      <c r="D23638" t="s">
        <v>5143</v>
      </c>
      <c r="E23638" t="s">
        <v>6968</v>
      </c>
      <c r="F23638" t="s">
        <v>10794</v>
      </c>
      <c r="G23638" t="s">
        <v>15189</v>
      </c>
      <c r="H23638" t="s">
        <v>27182</v>
      </c>
    </row>
    <row r="23639" spans="1:8">
      <c r="H23639" t="s">
        <v>27183</v>
      </c>
    </row>
    <row r="23640" spans="1:8">
      <c r="H23640" t="s">
        <v>27184</v>
      </c>
    </row>
    <row r="23641" spans="1:8">
      <c r="H23641" t="s">
        <v>27185</v>
      </c>
    </row>
    <row r="23642" spans="1:8">
      <c r="A23642" t="s">
        <v>1195</v>
      </c>
      <c r="B23642">
        <f>HYPERLINK("https://android.googlesource.com/platform/cts/+/1620b3168ccc56f971120f8b2e8efd50e4b418f0", "1620b3168ccc56f971120f8b2e8efd50e4b418f0")</f>
        <v>0</v>
      </c>
      <c r="C23642">
        <f>HYPERLINK("https://android.googlesource.com/platform/cts/+/d17c93c60bb345f22e580c01574cddf6e15971fb", "d17c93c60bb345f22e580c01574cddf6e15971fb")</f>
        <v>0</v>
      </c>
      <c r="D23642" t="s">
        <v>5117</v>
      </c>
      <c r="E23642" t="s">
        <v>6969</v>
      </c>
      <c r="F23642" t="s">
        <v>12932</v>
      </c>
      <c r="G23642" t="s">
        <v>17097</v>
      </c>
      <c r="H23642" t="s">
        <v>27186</v>
      </c>
    </row>
    <row r="23643" spans="1:8">
      <c r="A23643" t="s">
        <v>1196</v>
      </c>
      <c r="B23643">
        <f>HYPERLINK("https://android.googlesource.com/platform/cts/+/0d347eb38e9735b08a6d21c30fd9ae0db568ecb4", "0d347eb38e9735b08a6d21c30fd9ae0db568ecb4")</f>
        <v>0</v>
      </c>
      <c r="C23643">
        <f>HYPERLINK("https://android.googlesource.com/platform/cts/+/09aed9330ec55a7f96bf96811f1016cb6e22dc8b", "09aed9330ec55a7f96bf96811f1016cb6e22dc8b")</f>
        <v>0</v>
      </c>
      <c r="D23643" t="s">
        <v>5090</v>
      </c>
      <c r="E23643" t="s">
        <v>6970</v>
      </c>
      <c r="F23643" t="s">
        <v>12933</v>
      </c>
      <c r="G23643" t="s">
        <v>17098</v>
      </c>
      <c r="H23643" t="s">
        <v>19656</v>
      </c>
    </row>
    <row r="23644" spans="1:8">
      <c r="A23644" t="s">
        <v>1197</v>
      </c>
      <c r="B23644">
        <f>HYPERLINK("https://android.googlesource.com/platform/cts/+/4d1e771123df1c446f0450f143f7d44625329651", "4d1e771123df1c446f0450f143f7d44625329651")</f>
        <v>0</v>
      </c>
      <c r="C23644">
        <f>HYPERLINK("https://android.googlesource.com/platform/cts/+/bfcd19392ce230c53fb4714250fbeccc0efe6ce8", "bfcd19392ce230c53fb4714250fbeccc0efe6ce8")</f>
        <v>0</v>
      </c>
      <c r="D23644" t="s">
        <v>5117</v>
      </c>
      <c r="E23644" t="s">
        <v>6971</v>
      </c>
      <c r="F23644" t="s">
        <v>12934</v>
      </c>
      <c r="G23644" t="s">
        <v>17099</v>
      </c>
      <c r="H23644" t="s">
        <v>26909</v>
      </c>
    </row>
    <row r="23645" spans="1:8">
      <c r="A23645" t="s">
        <v>1198</v>
      </c>
      <c r="B23645">
        <f>HYPERLINK("https://android.googlesource.com/platform/cts/+/7d078faf421ff1584c72e90f1d1a79863f26b312", "7d078faf421ff1584c72e90f1d1a79863f26b312")</f>
        <v>0</v>
      </c>
      <c r="C23645">
        <f>HYPERLINK("https://android.googlesource.com/platform/cts/+/fe57ad24e0a2a101663d7f726b72a0471694efd6", "fe57ad24e0a2a101663d7f726b72a0471694efd6")</f>
        <v>0</v>
      </c>
      <c r="D23645" t="s">
        <v>5117</v>
      </c>
      <c r="E23645" t="s">
        <v>6972</v>
      </c>
      <c r="F23645" t="s">
        <v>12935</v>
      </c>
      <c r="G23645" t="s">
        <v>17100</v>
      </c>
      <c r="H23645" t="s">
        <v>26909</v>
      </c>
    </row>
    <row r="23646" spans="1:8">
      <c r="A23646" t="s">
        <v>1199</v>
      </c>
      <c r="B23646">
        <f>HYPERLINK("https://android.googlesource.com/platform/cts/+/e82b1139c966bca13052529c630322ffcc5e9265", "e82b1139c966bca13052529c630322ffcc5e9265")</f>
        <v>0</v>
      </c>
      <c r="C23646">
        <f>HYPERLINK("https://android.googlesource.com/platform/cts/+/822f3ee5037adbf95790a5f9fe2943f028d0fc86", "822f3ee5037adbf95790a5f9fe2943f028d0fc86")</f>
        <v>0</v>
      </c>
      <c r="D23646" t="s">
        <v>5132</v>
      </c>
      <c r="E23646" t="s">
        <v>6973</v>
      </c>
      <c r="F23646" t="s">
        <v>12936</v>
      </c>
      <c r="G23646" t="s">
        <v>17101</v>
      </c>
      <c r="H23646" t="s">
        <v>27187</v>
      </c>
    </row>
    <row r="23647" spans="1:8">
      <c r="H23647" t="s">
        <v>27188</v>
      </c>
    </row>
    <row r="23648" spans="1:8">
      <c r="F23648" t="s">
        <v>12937</v>
      </c>
      <c r="G23648" t="s">
        <v>17102</v>
      </c>
      <c r="H23648" t="s">
        <v>27189</v>
      </c>
    </row>
    <row r="23649" spans="6:8">
      <c r="H23649" t="s">
        <v>27189</v>
      </c>
    </row>
    <row r="23650" spans="6:8">
      <c r="H23650" t="s">
        <v>27190</v>
      </c>
    </row>
    <row r="23651" spans="6:8">
      <c r="H23651" t="s">
        <v>27191</v>
      </c>
    </row>
    <row r="23652" spans="6:8">
      <c r="H23652" t="s">
        <v>27192</v>
      </c>
    </row>
    <row r="23653" spans="6:8">
      <c r="H23653" t="s">
        <v>27193</v>
      </c>
    </row>
    <row r="23654" spans="6:8">
      <c r="H23654" t="s">
        <v>20166</v>
      </c>
    </row>
    <row r="23655" spans="6:8">
      <c r="H23655" t="s">
        <v>27194</v>
      </c>
    </row>
    <row r="23656" spans="6:8">
      <c r="H23656" t="s">
        <v>18893</v>
      </c>
    </row>
    <row r="23657" spans="6:8">
      <c r="F23657" t="s">
        <v>10596</v>
      </c>
      <c r="G23657" t="s">
        <v>14999</v>
      </c>
      <c r="H23657" t="s">
        <v>19078</v>
      </c>
    </row>
    <row r="23658" spans="6:8">
      <c r="H23658" t="s">
        <v>27195</v>
      </c>
    </row>
    <row r="23659" spans="6:8">
      <c r="F23659" t="s">
        <v>12938</v>
      </c>
      <c r="G23659" t="s">
        <v>17103</v>
      </c>
      <c r="H23659" t="s">
        <v>19021</v>
      </c>
    </row>
    <row r="23660" spans="6:8">
      <c r="H23660" t="s">
        <v>18893</v>
      </c>
    </row>
    <row r="23661" spans="6:8">
      <c r="F23661" t="s">
        <v>12939</v>
      </c>
      <c r="G23661" t="s">
        <v>17104</v>
      </c>
      <c r="H23661" t="s">
        <v>27196</v>
      </c>
    </row>
    <row r="23662" spans="6:8">
      <c r="F23662" t="s">
        <v>12940</v>
      </c>
      <c r="G23662" t="s">
        <v>17105</v>
      </c>
      <c r="H23662" t="s">
        <v>27197</v>
      </c>
    </row>
    <row r="23663" spans="6:8">
      <c r="H23663" t="s">
        <v>27198</v>
      </c>
    </row>
    <row r="23664" spans="6:8">
      <c r="H23664" t="s">
        <v>19688</v>
      </c>
    </row>
    <row r="23665" spans="1:8">
      <c r="H23665" t="s">
        <v>19690</v>
      </c>
    </row>
    <row r="23666" spans="1:8">
      <c r="H23666" t="s">
        <v>27199</v>
      </c>
    </row>
    <row r="23667" spans="1:8">
      <c r="H23667" t="s">
        <v>19679</v>
      </c>
    </row>
    <row r="23668" spans="1:8">
      <c r="H23668" t="s">
        <v>27200</v>
      </c>
    </row>
    <row r="23669" spans="1:8">
      <c r="H23669" t="s">
        <v>19677</v>
      </c>
    </row>
    <row r="23670" spans="1:8">
      <c r="H23670" t="s">
        <v>18893</v>
      </c>
    </row>
    <row r="23671" spans="1:8">
      <c r="F23671" t="s">
        <v>10960</v>
      </c>
      <c r="G23671" t="s">
        <v>15352</v>
      </c>
      <c r="H23671" t="s">
        <v>27201</v>
      </c>
    </row>
    <row r="23672" spans="1:8">
      <c r="H23672" t="s">
        <v>27202</v>
      </c>
    </row>
    <row r="23673" spans="1:8">
      <c r="H23673" t="s">
        <v>27203</v>
      </c>
    </row>
    <row r="23674" spans="1:8">
      <c r="F23674" t="s">
        <v>12941</v>
      </c>
      <c r="G23674" t="s">
        <v>16863</v>
      </c>
      <c r="H23674" t="s">
        <v>27204</v>
      </c>
    </row>
    <row r="23675" spans="1:8">
      <c r="H23675" t="s">
        <v>27205</v>
      </c>
    </row>
    <row r="23676" spans="1:8">
      <c r="A23676" t="s">
        <v>1200</v>
      </c>
      <c r="B23676">
        <f>HYPERLINK("https://android.googlesource.com/platform/cts/+/0faec7b0a56b21623cfed09db04b076141214d74", "0faec7b0a56b21623cfed09db04b076141214d74")</f>
        <v>0</v>
      </c>
      <c r="C23676">
        <f>HYPERLINK("https://android.googlesource.com/platform/cts/+/7e586d7e84f428156269db193dd45699ef823048", "7e586d7e84f428156269db193dd45699ef823048")</f>
        <v>0</v>
      </c>
      <c r="D23676" t="s">
        <v>5117</v>
      </c>
      <c r="E23676" t="s">
        <v>6974</v>
      </c>
      <c r="F23676" t="s">
        <v>12243</v>
      </c>
      <c r="G23676" t="s">
        <v>16474</v>
      </c>
      <c r="H23676" t="s">
        <v>27206</v>
      </c>
    </row>
    <row r="23677" spans="1:8">
      <c r="A23677" t="s">
        <v>1201</v>
      </c>
      <c r="B23677">
        <f>HYPERLINK("https://android.googlesource.com/platform/cts/+/2480dba2994720953e1820ca83859bade90fbe84", "2480dba2994720953e1820ca83859bade90fbe84")</f>
        <v>0</v>
      </c>
      <c r="C23677">
        <f>HYPERLINK("https://android.googlesource.com/platform/cts/+/17bd4264056026891f2595b9777944a7a3e3f815", "17bd4264056026891f2595b9777944a7a3e3f815")</f>
        <v>0</v>
      </c>
      <c r="D23677" t="s">
        <v>5117</v>
      </c>
      <c r="E23677" t="s">
        <v>6975</v>
      </c>
      <c r="F23677" t="s">
        <v>12935</v>
      </c>
      <c r="G23677" t="s">
        <v>17100</v>
      </c>
      <c r="H23677" t="s">
        <v>27207</v>
      </c>
    </row>
    <row r="23678" spans="1:8">
      <c r="A23678" t="s">
        <v>1202</v>
      </c>
      <c r="B23678">
        <f>HYPERLINK("https://android.googlesource.com/platform/cts/+/e85701a1a3de334ab86dc05e178f55fa8d33e7dd", "e85701a1a3de334ab86dc05e178f55fa8d33e7dd")</f>
        <v>0</v>
      </c>
      <c r="C23678">
        <f>HYPERLINK("https://android.googlesource.com/platform/cts/+/db95d972791b0f1cafa497ca15fa687a67c34c5b", "db95d972791b0f1cafa497ca15fa687a67c34c5b")</f>
        <v>0</v>
      </c>
      <c r="D23678" t="s">
        <v>5117</v>
      </c>
      <c r="E23678" t="s">
        <v>6976</v>
      </c>
      <c r="F23678" t="s">
        <v>12246</v>
      </c>
      <c r="G23678" t="s">
        <v>16477</v>
      </c>
      <c r="H23678" t="s">
        <v>27186</v>
      </c>
    </row>
    <row r="23679" spans="1:8">
      <c r="A23679" t="s">
        <v>1203</v>
      </c>
      <c r="B23679">
        <f>HYPERLINK("https://android.googlesource.com/platform/cts/+/3b417f1e9a13439bc0aa7bf179df452fe52a904c", "3b417f1e9a13439bc0aa7bf179df452fe52a904c")</f>
        <v>0</v>
      </c>
      <c r="C23679">
        <f>HYPERLINK("https://android.googlesource.com/platform/cts/+/080c78a675451bba620cd961bbde34a569fc9e04", "080c78a675451bba620cd961bbde34a569fc9e04")</f>
        <v>0</v>
      </c>
      <c r="D23679" t="s">
        <v>5143</v>
      </c>
      <c r="E23679" t="s">
        <v>6977</v>
      </c>
      <c r="F23679" t="s">
        <v>12931</v>
      </c>
      <c r="G23679" t="s">
        <v>17096</v>
      </c>
      <c r="H23679" t="s">
        <v>27208</v>
      </c>
    </row>
    <row r="23680" spans="1:8">
      <c r="H23680" t="s">
        <v>18829</v>
      </c>
    </row>
    <row r="23681" spans="1:8">
      <c r="A23681" t="s">
        <v>1204</v>
      </c>
      <c r="B23681">
        <f>HYPERLINK("https://android.googlesource.com/platform/cts/+/8db78ceddbc85b5a5f1ab1e15c9c2f54bfffcf07", "8db78ceddbc85b5a5f1ab1e15c9c2f54bfffcf07")</f>
        <v>0</v>
      </c>
      <c r="C23681">
        <f>HYPERLINK("https://android.googlesource.com/platform/cts/+/03f89858c0b3ebf06af5de35b00baf7debf80535", "03f89858c0b3ebf06af5de35b00baf7debf80535")</f>
        <v>0</v>
      </c>
      <c r="D23681" t="s">
        <v>5117</v>
      </c>
      <c r="E23681" t="s">
        <v>6978</v>
      </c>
      <c r="F23681" t="s">
        <v>12942</v>
      </c>
      <c r="G23681" t="s">
        <v>17106</v>
      </c>
      <c r="H23681" t="s">
        <v>27209</v>
      </c>
    </row>
    <row r="23682" spans="1:8">
      <c r="F23682" t="s">
        <v>12943</v>
      </c>
      <c r="G23682" t="s">
        <v>17107</v>
      </c>
      <c r="H23682" t="s">
        <v>27210</v>
      </c>
    </row>
    <row r="23683" spans="1:8">
      <c r="H23683" t="s">
        <v>27211</v>
      </c>
    </row>
    <row r="23684" spans="1:8">
      <c r="A23684" t="s">
        <v>1205</v>
      </c>
      <c r="B23684">
        <f>HYPERLINK("https://android.googlesource.com/platform/cts/+/5537dd5c790e9b223226b1bc370c2f34e69917da", "5537dd5c790e9b223226b1bc370c2f34e69917da")</f>
        <v>0</v>
      </c>
      <c r="C23684">
        <f>HYPERLINK("https://android.googlesource.com/platform/cts/+/9716730b0cb34c7c37ecb4144e37b9977ebb8f79", "9716730b0cb34c7c37ecb4144e37b9977ebb8f79")</f>
        <v>0</v>
      </c>
      <c r="D23684" t="s">
        <v>5177</v>
      </c>
      <c r="E23684" t="s">
        <v>6979</v>
      </c>
      <c r="F23684" t="s">
        <v>12567</v>
      </c>
      <c r="G23684" t="s">
        <v>16783</v>
      </c>
      <c r="H23684" t="s">
        <v>25012</v>
      </c>
    </row>
    <row r="23685" spans="1:8">
      <c r="A23685" t="s">
        <v>1206</v>
      </c>
      <c r="B23685">
        <f>HYPERLINK("https://android.googlesource.com/platform/cts/+/38d1340b0dfd57ba0448257682f1c2eadfec08dd", "38d1340b0dfd57ba0448257682f1c2eadfec08dd")</f>
        <v>0</v>
      </c>
      <c r="C23685">
        <f>HYPERLINK("https://android.googlesource.com/platform/cts/+/0a0f260eccdcfffd07ad0bed93dd6986051c6756", "0a0f260eccdcfffd07ad0bed93dd6986051c6756")</f>
        <v>0</v>
      </c>
      <c r="D23685" t="s">
        <v>5143</v>
      </c>
      <c r="E23685" t="s">
        <v>6980</v>
      </c>
      <c r="F23685" t="s">
        <v>10732</v>
      </c>
      <c r="G23685" t="s">
        <v>15131</v>
      </c>
      <c r="H23685" t="s">
        <v>27212</v>
      </c>
    </row>
    <row r="23686" spans="1:8">
      <c r="H23686" t="s">
        <v>18829</v>
      </c>
    </row>
    <row r="23687" spans="1:8">
      <c r="H23687" t="s">
        <v>18836</v>
      </c>
    </row>
    <row r="23688" spans="1:8">
      <c r="H23688" t="s">
        <v>18979</v>
      </c>
    </row>
    <row r="23689" spans="1:8">
      <c r="H23689" t="s">
        <v>27213</v>
      </c>
    </row>
    <row r="23690" spans="1:8">
      <c r="A23690" t="s">
        <v>1207</v>
      </c>
      <c r="B23690">
        <f>HYPERLINK("https://android.googlesource.com/platform/cts/+/ac4a179b41e459af392d08ccf47d919d12af2560", "ac4a179b41e459af392d08ccf47d919d12af2560")</f>
        <v>0</v>
      </c>
      <c r="C23690">
        <f>HYPERLINK("https://android.googlesource.com/platform/cts/+/0a0f260eccdcfffd07ad0bed93dd6986051c6756", "0a0f260eccdcfffd07ad0bed93dd6986051c6756")</f>
        <v>0</v>
      </c>
      <c r="D23690" t="s">
        <v>5117</v>
      </c>
      <c r="E23690" t="s">
        <v>6981</v>
      </c>
      <c r="F23690" t="s">
        <v>12246</v>
      </c>
      <c r="G23690" t="s">
        <v>16477</v>
      </c>
      <c r="H23690" t="s">
        <v>27214</v>
      </c>
    </row>
    <row r="23691" spans="1:8">
      <c r="H23691" t="s">
        <v>27215</v>
      </c>
    </row>
    <row r="23692" spans="1:8">
      <c r="F23692" t="s">
        <v>12859</v>
      </c>
      <c r="G23692" t="s">
        <v>17028</v>
      </c>
      <c r="H23692" t="s">
        <v>27216</v>
      </c>
    </row>
    <row r="23693" spans="1:8">
      <c r="F23693" t="s">
        <v>12942</v>
      </c>
      <c r="G23693" t="s">
        <v>17108</v>
      </c>
      <c r="H23693" t="s">
        <v>27217</v>
      </c>
    </row>
    <row r="23694" spans="1:8">
      <c r="H23694" t="s">
        <v>19796</v>
      </c>
    </row>
    <row r="23695" spans="1:8">
      <c r="H23695" t="s">
        <v>21513</v>
      </c>
    </row>
    <row r="23696" spans="1:8">
      <c r="H23696" t="s">
        <v>27210</v>
      </c>
    </row>
    <row r="23697" spans="6:8">
      <c r="H23697" t="s">
        <v>27211</v>
      </c>
    </row>
    <row r="23698" spans="6:8">
      <c r="H23698" t="s">
        <v>27218</v>
      </c>
    </row>
    <row r="23699" spans="6:8">
      <c r="H23699" t="s">
        <v>27219</v>
      </c>
    </row>
    <row r="23700" spans="6:8">
      <c r="H23700" t="s">
        <v>27220</v>
      </c>
    </row>
    <row r="23701" spans="6:8">
      <c r="H23701" t="s">
        <v>27221</v>
      </c>
    </row>
    <row r="23702" spans="6:8">
      <c r="H23702" t="s">
        <v>27222</v>
      </c>
    </row>
    <row r="23703" spans="6:8">
      <c r="H23703" t="s">
        <v>27223</v>
      </c>
    </row>
    <row r="23704" spans="6:8">
      <c r="H23704" t="s">
        <v>27224</v>
      </c>
    </row>
    <row r="23705" spans="6:8">
      <c r="H23705" t="s">
        <v>27225</v>
      </c>
    </row>
    <row r="23706" spans="6:8">
      <c r="H23706" t="s">
        <v>27226</v>
      </c>
    </row>
    <row r="23707" spans="6:8">
      <c r="F23707" t="s">
        <v>12944</v>
      </c>
      <c r="G23707" t="s">
        <v>17109</v>
      </c>
      <c r="H23707" t="s">
        <v>27227</v>
      </c>
    </row>
    <row r="23708" spans="6:8">
      <c r="F23708" t="s">
        <v>12932</v>
      </c>
      <c r="G23708" t="s">
        <v>17097</v>
      </c>
      <c r="H23708" t="s">
        <v>21513</v>
      </c>
    </row>
    <row r="23709" spans="6:8">
      <c r="F23709" t="s">
        <v>12943</v>
      </c>
      <c r="G23709" t="s">
        <v>17107</v>
      </c>
      <c r="H23709" t="s">
        <v>21513</v>
      </c>
    </row>
    <row r="23710" spans="6:8">
      <c r="F23710" t="s">
        <v>12945</v>
      </c>
      <c r="G23710" t="s">
        <v>17110</v>
      </c>
      <c r="H23710" t="s">
        <v>26909</v>
      </c>
    </row>
    <row r="23711" spans="6:8">
      <c r="F23711" t="s">
        <v>12946</v>
      </c>
      <c r="G23711" t="s">
        <v>17111</v>
      </c>
      <c r="H23711" t="s">
        <v>21513</v>
      </c>
    </row>
    <row r="23712" spans="6:8">
      <c r="F23712" t="s">
        <v>12947</v>
      </c>
      <c r="G23712" t="s">
        <v>17112</v>
      </c>
      <c r="H23712" t="s">
        <v>21513</v>
      </c>
    </row>
    <row r="23713" spans="1:8">
      <c r="A23713" t="s">
        <v>1208</v>
      </c>
      <c r="B23713">
        <f>HYPERLINK("https://android.googlesource.com/platform/cts/+/9057fc3d529012d2317c769ae468137c6645b628", "9057fc3d529012d2317c769ae468137c6645b628")</f>
        <v>0</v>
      </c>
      <c r="C23713">
        <f>HYPERLINK("https://android.googlesource.com/platform/cts/+/e2992eb261dd1644d2d85be1deda3b704ee1445e", "e2992eb261dd1644d2d85be1deda3b704ee1445e")</f>
        <v>0</v>
      </c>
      <c r="D23713" t="s">
        <v>4973</v>
      </c>
      <c r="E23713" t="s">
        <v>6982</v>
      </c>
      <c r="F23713" t="s">
        <v>12819</v>
      </c>
      <c r="G23713" t="s">
        <v>16998</v>
      </c>
      <c r="H23713" t="s">
        <v>18829</v>
      </c>
    </row>
    <row r="23714" spans="1:8">
      <c r="H23714" t="s">
        <v>27228</v>
      </c>
    </row>
    <row r="23715" spans="1:8">
      <c r="H23715" t="s">
        <v>27229</v>
      </c>
    </row>
    <row r="23716" spans="1:8">
      <c r="H23716" t="s">
        <v>26389</v>
      </c>
    </row>
    <row r="23717" spans="1:8">
      <c r="H23717" t="s">
        <v>27230</v>
      </c>
    </row>
    <row r="23718" spans="1:8">
      <c r="H23718" t="s">
        <v>27231</v>
      </c>
    </row>
    <row r="23719" spans="1:8">
      <c r="H23719" t="s">
        <v>27232</v>
      </c>
    </row>
    <row r="23720" spans="1:8">
      <c r="H23720" t="s">
        <v>27233</v>
      </c>
    </row>
    <row r="23721" spans="1:8">
      <c r="H23721" t="s">
        <v>26545</v>
      </c>
    </row>
    <row r="23722" spans="1:8">
      <c r="H23722" t="s">
        <v>26546</v>
      </c>
    </row>
    <row r="23723" spans="1:8">
      <c r="A23723" t="s">
        <v>1209</v>
      </c>
      <c r="B23723">
        <f>HYPERLINK("https://android.googlesource.com/platform/cts/+/5c57bbdf5ddcff4c2fd66ec51f3e6744478c750a", "5c57bbdf5ddcff4c2fd66ec51f3e6744478c750a")</f>
        <v>0</v>
      </c>
      <c r="C23723">
        <f>HYPERLINK("https://android.googlesource.com/platform/cts/+/f0f4ee250d2599515eedfe3a81d4d0892efd4f80", "f0f4ee250d2599515eedfe3a81d4d0892efd4f80")</f>
        <v>0</v>
      </c>
      <c r="D23723" t="s">
        <v>5147</v>
      </c>
      <c r="E23723" t="s">
        <v>6983</v>
      </c>
      <c r="F23723" t="s">
        <v>11443</v>
      </c>
      <c r="G23723" t="s">
        <v>15683</v>
      </c>
      <c r="H23723" t="s">
        <v>27234</v>
      </c>
    </row>
    <row r="23724" spans="1:8">
      <c r="A23724" t="s">
        <v>1210</v>
      </c>
      <c r="B23724">
        <f>HYPERLINK("https://android.googlesource.com/platform/cts/+/62277f51d453e7dd38828d01ff7146055296418e", "62277f51d453e7dd38828d01ff7146055296418e")</f>
        <v>0</v>
      </c>
      <c r="C23724">
        <f>HYPERLINK("https://android.googlesource.com/platform/cts/+/741a685f14117f040c5afad35014f630e926ff40", "741a685f14117f040c5afad35014f630e926ff40")</f>
        <v>0</v>
      </c>
      <c r="D23724" t="s">
        <v>5143</v>
      </c>
      <c r="E23724" t="s">
        <v>6984</v>
      </c>
      <c r="F23724" t="s">
        <v>12948</v>
      </c>
      <c r="G23724" t="s">
        <v>17113</v>
      </c>
      <c r="H23724" t="s">
        <v>18829</v>
      </c>
    </row>
    <row r="23725" spans="1:8">
      <c r="F23725" t="s">
        <v>10610</v>
      </c>
      <c r="G23725" t="s">
        <v>15013</v>
      </c>
      <c r="H23725" t="s">
        <v>27235</v>
      </c>
    </row>
    <row r="23726" spans="1:8">
      <c r="H23726" t="s">
        <v>18829</v>
      </c>
    </row>
    <row r="23727" spans="1:8">
      <c r="F23727" t="s">
        <v>12949</v>
      </c>
      <c r="G23727" t="s">
        <v>17114</v>
      </c>
      <c r="H23727" t="s">
        <v>27236</v>
      </c>
    </row>
    <row r="23728" spans="1:8">
      <c r="H23728" t="s">
        <v>18829</v>
      </c>
    </row>
    <row r="23729" spans="6:8">
      <c r="H23729" t="s">
        <v>27237</v>
      </c>
    </row>
    <row r="23730" spans="6:8">
      <c r="H23730" t="s">
        <v>18878</v>
      </c>
    </row>
    <row r="23731" spans="6:8">
      <c r="F23731" t="s">
        <v>12950</v>
      </c>
      <c r="G23731" t="s">
        <v>17115</v>
      </c>
      <c r="H23731" t="s">
        <v>27238</v>
      </c>
    </row>
    <row r="23732" spans="6:8">
      <c r="H23732" t="s">
        <v>18829</v>
      </c>
    </row>
    <row r="23733" spans="6:8">
      <c r="H23733" t="s">
        <v>18878</v>
      </c>
    </row>
    <row r="23734" spans="6:8">
      <c r="H23734" t="s">
        <v>26680</v>
      </c>
    </row>
    <row r="23735" spans="6:8">
      <c r="F23735" t="s">
        <v>12951</v>
      </c>
      <c r="G23735" t="s">
        <v>17116</v>
      </c>
      <c r="H23735" t="s">
        <v>27239</v>
      </c>
    </row>
    <row r="23736" spans="6:8">
      <c r="H23736" t="s">
        <v>18829</v>
      </c>
    </row>
    <row r="23737" spans="6:8">
      <c r="F23737" t="s">
        <v>12908</v>
      </c>
      <c r="G23737" t="s">
        <v>17074</v>
      </c>
      <c r="H23737" t="s">
        <v>27240</v>
      </c>
    </row>
    <row r="23738" spans="6:8">
      <c r="H23738" t="s">
        <v>18829</v>
      </c>
    </row>
    <row r="23739" spans="6:8">
      <c r="H23739" t="s">
        <v>27241</v>
      </c>
    </row>
    <row r="23740" spans="6:8">
      <c r="H23740" t="s">
        <v>26680</v>
      </c>
    </row>
    <row r="23741" spans="6:8">
      <c r="F23741" t="s">
        <v>12952</v>
      </c>
      <c r="G23741" t="s">
        <v>17117</v>
      </c>
      <c r="H23741" t="s">
        <v>27242</v>
      </c>
    </row>
    <row r="23742" spans="6:8">
      <c r="H23742" t="s">
        <v>18829</v>
      </c>
    </row>
    <row r="23743" spans="6:8">
      <c r="H23743" t="s">
        <v>18878</v>
      </c>
    </row>
    <row r="23744" spans="6:8">
      <c r="H23744" t="s">
        <v>18879</v>
      </c>
    </row>
    <row r="23745" spans="6:8">
      <c r="H23745" t="s">
        <v>18877</v>
      </c>
    </row>
    <row r="23746" spans="6:8">
      <c r="H23746" t="s">
        <v>18888</v>
      </c>
    </row>
    <row r="23747" spans="6:8">
      <c r="H23747" t="s">
        <v>26659</v>
      </c>
    </row>
    <row r="23748" spans="6:8">
      <c r="F23748" t="s">
        <v>12906</v>
      </c>
      <c r="G23748" t="s">
        <v>17072</v>
      </c>
      <c r="H23748" t="s">
        <v>18829</v>
      </c>
    </row>
    <row r="23749" spans="6:8">
      <c r="H23749" t="s">
        <v>27243</v>
      </c>
    </row>
    <row r="23750" spans="6:8">
      <c r="F23750" t="s">
        <v>10584</v>
      </c>
      <c r="G23750" t="s">
        <v>14987</v>
      </c>
      <c r="H23750" t="s">
        <v>27244</v>
      </c>
    </row>
    <row r="23751" spans="6:8">
      <c r="H23751" t="s">
        <v>18829</v>
      </c>
    </row>
    <row r="23752" spans="6:8">
      <c r="F23752" t="s">
        <v>12953</v>
      </c>
      <c r="G23752" t="s">
        <v>17118</v>
      </c>
      <c r="H23752" t="s">
        <v>27245</v>
      </c>
    </row>
    <row r="23753" spans="6:8">
      <c r="H23753" t="s">
        <v>18829</v>
      </c>
    </row>
    <row r="23754" spans="6:8">
      <c r="F23754" t="s">
        <v>12954</v>
      </c>
      <c r="G23754" t="s">
        <v>17119</v>
      </c>
      <c r="H23754" t="s">
        <v>27246</v>
      </c>
    </row>
    <row r="23755" spans="6:8">
      <c r="H23755" t="s">
        <v>18829</v>
      </c>
    </row>
    <row r="23756" spans="6:8">
      <c r="F23756" t="s">
        <v>12873</v>
      </c>
      <c r="G23756" t="s">
        <v>17041</v>
      </c>
      <c r="H23756" t="s">
        <v>27247</v>
      </c>
    </row>
    <row r="23757" spans="6:8">
      <c r="H23757" t="s">
        <v>18829</v>
      </c>
    </row>
    <row r="23758" spans="6:8">
      <c r="F23758" t="s">
        <v>10611</v>
      </c>
      <c r="G23758" t="s">
        <v>15014</v>
      </c>
      <c r="H23758" t="s">
        <v>27248</v>
      </c>
    </row>
    <row r="23759" spans="6:8">
      <c r="H23759" t="s">
        <v>18829</v>
      </c>
    </row>
    <row r="23760" spans="6:8">
      <c r="F23760" t="s">
        <v>12347</v>
      </c>
      <c r="G23760" t="s">
        <v>16575</v>
      </c>
      <c r="H23760" t="s">
        <v>18829</v>
      </c>
    </row>
    <row r="23761" spans="1:8">
      <c r="F23761" t="s">
        <v>12643</v>
      </c>
      <c r="G23761" t="s">
        <v>15001</v>
      </c>
      <c r="H23761" t="s">
        <v>19215</v>
      </c>
    </row>
    <row r="23762" spans="1:8">
      <c r="H23762" t="s">
        <v>18829</v>
      </c>
    </row>
    <row r="23763" spans="1:8">
      <c r="H23763" t="s">
        <v>27249</v>
      </c>
    </row>
    <row r="23764" spans="1:8">
      <c r="A23764" t="s">
        <v>1211</v>
      </c>
      <c r="B23764">
        <f>HYPERLINK("https://android.googlesource.com/platform/cts/+/bc4b9b212df04f087df3a6439b85111c4c258d7d", "bc4b9b212df04f087df3a6439b85111c4c258d7d")</f>
        <v>0</v>
      </c>
      <c r="C23764">
        <f>HYPERLINK("https://android.googlesource.com/platform/cts/+/625870aa7a66d23975d03264304cdd563c84249a", "625870aa7a66d23975d03264304cdd563c84249a")</f>
        <v>0</v>
      </c>
      <c r="D23764" t="s">
        <v>5178</v>
      </c>
      <c r="E23764" t="s">
        <v>6985</v>
      </c>
      <c r="F23764" t="s">
        <v>12955</v>
      </c>
      <c r="G23764" t="s">
        <v>16873</v>
      </c>
      <c r="H23764" t="s">
        <v>27250</v>
      </c>
    </row>
    <row r="23765" spans="1:8">
      <c r="A23765" t="s">
        <v>1212</v>
      </c>
      <c r="B23765">
        <f>HYPERLINK("https://android.googlesource.com/platform/cts/+/2fe4fb6e7ef6fd85a34e70fab683d074a57ee230", "2fe4fb6e7ef6fd85a34e70fab683d074a57ee230")</f>
        <v>0</v>
      </c>
      <c r="C23765">
        <f>HYPERLINK("https://android.googlesource.com/platform/cts/+/3d333ccb68f0634c9f0f82c4666532fb20e71a73", "3d333ccb68f0634c9f0f82c4666532fb20e71a73")</f>
        <v>0</v>
      </c>
      <c r="D23765" t="s">
        <v>5176</v>
      </c>
      <c r="E23765" t="s">
        <v>6986</v>
      </c>
      <c r="F23765" t="s">
        <v>10658</v>
      </c>
      <c r="G23765" t="s">
        <v>15059</v>
      </c>
      <c r="H23765" t="s">
        <v>27251</v>
      </c>
    </row>
    <row r="23766" spans="1:8">
      <c r="A23766" t="s">
        <v>1213</v>
      </c>
      <c r="B23766">
        <f>HYPERLINK("https://android.googlesource.com/platform/cts/+/6031df7acadcd35236309edcbb046847735bda65", "6031df7acadcd35236309edcbb046847735bda65")</f>
        <v>0</v>
      </c>
      <c r="C23766">
        <f>HYPERLINK("https://android.googlesource.com/platform/cts/+/ba0bba0b62d27d4716d674e9ae1c9b36724f5705", "ba0bba0b62d27d4716d674e9ae1c9b36724f5705")</f>
        <v>0</v>
      </c>
      <c r="D23766" t="s">
        <v>5132</v>
      </c>
      <c r="E23766" t="s">
        <v>6987</v>
      </c>
      <c r="F23766" t="s">
        <v>10794</v>
      </c>
      <c r="G23766" t="s">
        <v>15189</v>
      </c>
      <c r="H23766" t="s">
        <v>27252</v>
      </c>
    </row>
    <row r="23767" spans="1:8">
      <c r="A23767" t="s">
        <v>1214</v>
      </c>
      <c r="B23767">
        <f>HYPERLINK("https://android.googlesource.com/platform/cts/+/05e7888ffbc73e998caf30eb7729f4a81b41df9c", "05e7888ffbc73e998caf30eb7729f4a81b41df9c")</f>
        <v>0</v>
      </c>
      <c r="C23767">
        <f>HYPERLINK("https://android.googlesource.com/platform/cts/+/a622b07cb4607287fa00bcd32c485b53b04fb669", "a622b07cb4607287fa00bcd32c485b53b04fb669")</f>
        <v>0</v>
      </c>
      <c r="D23767" t="s">
        <v>5143</v>
      </c>
      <c r="E23767" t="s">
        <v>6988</v>
      </c>
      <c r="F23767" t="s">
        <v>10732</v>
      </c>
      <c r="G23767" t="s">
        <v>15131</v>
      </c>
      <c r="H23767" t="s">
        <v>27253</v>
      </c>
    </row>
    <row r="23768" spans="1:8">
      <c r="H23768" t="s">
        <v>27146</v>
      </c>
    </row>
    <row r="23769" spans="1:8">
      <c r="H23769" t="s">
        <v>27145</v>
      </c>
    </row>
    <row r="23770" spans="1:8">
      <c r="H23770" t="s">
        <v>27254</v>
      </c>
    </row>
    <row r="23771" spans="1:8">
      <c r="H23771" t="s">
        <v>27255</v>
      </c>
    </row>
    <row r="23772" spans="1:8">
      <c r="H23772" t="s">
        <v>27256</v>
      </c>
    </row>
    <row r="23773" spans="1:8">
      <c r="A23773" t="s">
        <v>1215</v>
      </c>
      <c r="B23773">
        <f>HYPERLINK("https://android.googlesource.com/platform/cts/+/b6d441382890b4cd603124ee8dd0e7af3dca5454", "b6d441382890b4cd603124ee8dd0e7af3dca5454")</f>
        <v>0</v>
      </c>
      <c r="C23773">
        <f>HYPERLINK("https://android.googlesource.com/platform/cts/+/b66aa7e7fb6bf1b2814d0b7976324904e37905f2", "b66aa7e7fb6bf1b2814d0b7976324904e37905f2")</f>
        <v>0</v>
      </c>
      <c r="D23773" t="s">
        <v>5176</v>
      </c>
      <c r="E23773" t="s">
        <v>6989</v>
      </c>
      <c r="F23773" t="s">
        <v>12203</v>
      </c>
      <c r="G23773" t="s">
        <v>16441</v>
      </c>
      <c r="H23773" t="s">
        <v>18829</v>
      </c>
    </row>
    <row r="23774" spans="1:8">
      <c r="H23774" t="s">
        <v>27257</v>
      </c>
    </row>
    <row r="23775" spans="1:8">
      <c r="F23775" t="s">
        <v>12204</v>
      </c>
      <c r="G23775" t="s">
        <v>16442</v>
      </c>
      <c r="H23775" t="s">
        <v>18829</v>
      </c>
    </row>
    <row r="23776" spans="1:8">
      <c r="F23776" t="s">
        <v>12205</v>
      </c>
      <c r="G23776" t="s">
        <v>16443</v>
      </c>
      <c r="H23776" t="s">
        <v>18829</v>
      </c>
    </row>
    <row r="23777" spans="1:8">
      <c r="F23777" t="s">
        <v>12206</v>
      </c>
      <c r="G23777" t="s">
        <v>16444</v>
      </c>
      <c r="H23777" t="s">
        <v>18829</v>
      </c>
    </row>
    <row r="23778" spans="1:8">
      <c r="F23778" t="s">
        <v>12207</v>
      </c>
      <c r="G23778" t="s">
        <v>16445</v>
      </c>
      <c r="H23778" t="s">
        <v>18829</v>
      </c>
    </row>
    <row r="23779" spans="1:8">
      <c r="F23779" t="s">
        <v>10960</v>
      </c>
      <c r="G23779" t="s">
        <v>15352</v>
      </c>
      <c r="H23779" t="s">
        <v>18829</v>
      </c>
    </row>
    <row r="23780" spans="1:8">
      <c r="F23780" t="s">
        <v>12208</v>
      </c>
      <c r="G23780" t="s">
        <v>16446</v>
      </c>
      <c r="H23780" t="s">
        <v>18829</v>
      </c>
    </row>
    <row r="23781" spans="1:8">
      <c r="A23781" t="s">
        <v>1216</v>
      </c>
      <c r="B23781">
        <f>HYPERLINK("https://android.googlesource.com/platform/cts/+/09e7fe030a1d5f72a4e593017be9943c0b73651e", "09e7fe030a1d5f72a4e593017be9943c0b73651e")</f>
        <v>0</v>
      </c>
      <c r="C23781">
        <f>HYPERLINK("https://android.googlesource.com/platform/cts/+/36951ce4bd1b58915031daf98ec1921a7f01e072", "36951ce4bd1b58915031daf98ec1921a7f01e072")</f>
        <v>0</v>
      </c>
      <c r="D23781" t="s">
        <v>5085</v>
      </c>
      <c r="E23781" t="s">
        <v>6990</v>
      </c>
      <c r="F23781" t="s">
        <v>12887</v>
      </c>
      <c r="G23781" t="s">
        <v>17053</v>
      </c>
      <c r="H23781" t="s">
        <v>26789</v>
      </c>
    </row>
    <row r="23782" spans="1:8">
      <c r="H23782" t="s">
        <v>26790</v>
      </c>
    </row>
    <row r="23783" spans="1:8">
      <c r="F23783" t="s">
        <v>12888</v>
      </c>
      <c r="G23783" t="s">
        <v>17054</v>
      </c>
      <c r="H23783" t="s">
        <v>18829</v>
      </c>
    </row>
    <row r="23784" spans="1:8">
      <c r="H23784" t="s">
        <v>18863</v>
      </c>
    </row>
    <row r="23785" spans="1:8">
      <c r="H23785" t="s">
        <v>26789</v>
      </c>
    </row>
    <row r="23786" spans="1:8">
      <c r="H23786" t="s">
        <v>26791</v>
      </c>
    </row>
    <row r="23787" spans="1:8">
      <c r="A23787" t="s">
        <v>1217</v>
      </c>
      <c r="B23787">
        <f>HYPERLINK("https://android.googlesource.com/platform/cts/+/ab716dca257f9d22dd5ed844ff33f0e94eceebfd", "ab716dca257f9d22dd5ed844ff33f0e94eceebfd")</f>
        <v>0</v>
      </c>
      <c r="C23787">
        <f>HYPERLINK("https://android.googlesource.com/platform/cts/+/26dd268476311f024bdd2ff1f15464b76c0854a0", "26dd268476311f024bdd2ff1f15464b76c0854a0")</f>
        <v>0</v>
      </c>
      <c r="D23787" t="s">
        <v>5143</v>
      </c>
      <c r="E23787" t="s">
        <v>6991</v>
      </c>
      <c r="F23787" t="s">
        <v>10674</v>
      </c>
      <c r="G23787" t="s">
        <v>15074</v>
      </c>
      <c r="H23787" t="s">
        <v>27258</v>
      </c>
    </row>
    <row r="23788" spans="1:8">
      <c r="H23788" t="s">
        <v>18829</v>
      </c>
    </row>
    <row r="23789" spans="1:8">
      <c r="H23789" t="s">
        <v>27259</v>
      </c>
    </row>
    <row r="23790" spans="1:8">
      <c r="H23790" t="s">
        <v>26183</v>
      </c>
    </row>
    <row r="23791" spans="1:8">
      <c r="H23791" t="s">
        <v>27260</v>
      </c>
    </row>
    <row r="23792" spans="1:8">
      <c r="H23792" t="s">
        <v>27261</v>
      </c>
    </row>
    <row r="23793" spans="1:8">
      <c r="F23793" t="s">
        <v>12956</v>
      </c>
      <c r="G23793" t="s">
        <v>17120</v>
      </c>
      <c r="H23793" t="s">
        <v>27262</v>
      </c>
    </row>
    <row r="23794" spans="1:8">
      <c r="H23794" t="s">
        <v>18829</v>
      </c>
    </row>
    <row r="23795" spans="1:8">
      <c r="H23795" t="s">
        <v>20126</v>
      </c>
    </row>
    <row r="23796" spans="1:8">
      <c r="F23796" t="s">
        <v>10725</v>
      </c>
      <c r="G23796" t="s">
        <v>15124</v>
      </c>
      <c r="H23796" t="s">
        <v>27263</v>
      </c>
    </row>
    <row r="23797" spans="1:8">
      <c r="H23797" t="s">
        <v>18829</v>
      </c>
    </row>
    <row r="23798" spans="1:8">
      <c r="H23798" t="s">
        <v>18878</v>
      </c>
    </row>
    <row r="23799" spans="1:8">
      <c r="H23799" t="s">
        <v>27264</v>
      </c>
    </row>
    <row r="23800" spans="1:8">
      <c r="H23800" t="s">
        <v>27265</v>
      </c>
    </row>
    <row r="23801" spans="1:8">
      <c r="H23801" t="s">
        <v>27266</v>
      </c>
    </row>
    <row r="23802" spans="1:8">
      <c r="A23802" t="s">
        <v>1218</v>
      </c>
      <c r="B23802">
        <f>HYPERLINK("https://android.googlesource.com/platform/cts/+/5fae2c3104aa04ab14e2273cca8398c991ff34cd", "5fae2c3104aa04ab14e2273cca8398c991ff34cd")</f>
        <v>0</v>
      </c>
      <c r="C23802">
        <f>HYPERLINK("https://android.googlesource.com/platform/cts/+/c5d853c1932eb4cd202824983c69f94f8691cab6", "c5d853c1932eb4cd202824983c69f94f8691cab6")</f>
        <v>0</v>
      </c>
      <c r="D23802" t="s">
        <v>5143</v>
      </c>
      <c r="E23802" t="s">
        <v>6992</v>
      </c>
      <c r="F23802" t="s">
        <v>10657</v>
      </c>
      <c r="G23802" t="s">
        <v>15058</v>
      </c>
      <c r="H23802" t="s">
        <v>27267</v>
      </c>
    </row>
    <row r="23803" spans="1:8">
      <c r="F23803" t="s">
        <v>12957</v>
      </c>
      <c r="G23803" t="s">
        <v>17121</v>
      </c>
      <c r="H23803" t="s">
        <v>27268</v>
      </c>
    </row>
    <row r="23804" spans="1:8">
      <c r="H23804" t="s">
        <v>18829</v>
      </c>
    </row>
    <row r="23805" spans="1:8">
      <c r="H23805" t="s">
        <v>27269</v>
      </c>
    </row>
    <row r="23806" spans="1:8">
      <c r="H23806" t="s">
        <v>27270</v>
      </c>
    </row>
    <row r="23807" spans="1:8">
      <c r="H23807" t="s">
        <v>27271</v>
      </c>
    </row>
    <row r="23808" spans="1:8">
      <c r="H23808" t="s">
        <v>27272</v>
      </c>
    </row>
    <row r="23809" spans="6:8">
      <c r="H23809" t="s">
        <v>27198</v>
      </c>
    </row>
    <row r="23810" spans="6:8">
      <c r="H23810" t="s">
        <v>19690</v>
      </c>
    </row>
    <row r="23811" spans="6:8">
      <c r="H23811" t="s">
        <v>27197</v>
      </c>
    </row>
    <row r="23812" spans="6:8">
      <c r="H23812" t="s">
        <v>27273</v>
      </c>
    </row>
    <row r="23813" spans="6:8">
      <c r="F23813" t="s">
        <v>12958</v>
      </c>
      <c r="G23813" t="s">
        <v>17122</v>
      </c>
      <c r="H23813" t="s">
        <v>27274</v>
      </c>
    </row>
    <row r="23814" spans="6:8">
      <c r="H23814" t="s">
        <v>18829</v>
      </c>
    </row>
    <row r="23815" spans="6:8">
      <c r="F23815" t="s">
        <v>12959</v>
      </c>
      <c r="G23815" t="s">
        <v>17123</v>
      </c>
      <c r="H23815" t="s">
        <v>18829</v>
      </c>
    </row>
    <row r="23816" spans="6:8">
      <c r="H23816" t="s">
        <v>27275</v>
      </c>
    </row>
    <row r="23817" spans="6:8">
      <c r="F23817" t="s">
        <v>12960</v>
      </c>
      <c r="G23817" t="s">
        <v>17124</v>
      </c>
      <c r="H23817" t="s">
        <v>27276</v>
      </c>
    </row>
    <row r="23818" spans="6:8">
      <c r="H23818" t="s">
        <v>18829</v>
      </c>
    </row>
    <row r="23819" spans="6:8">
      <c r="F23819" t="s">
        <v>12907</v>
      </c>
      <c r="G23819" t="s">
        <v>17073</v>
      </c>
      <c r="H23819" t="s">
        <v>27277</v>
      </c>
    </row>
    <row r="23820" spans="6:8">
      <c r="H23820" t="s">
        <v>18829</v>
      </c>
    </row>
    <row r="23821" spans="6:8">
      <c r="H23821" t="s">
        <v>27278</v>
      </c>
    </row>
    <row r="23822" spans="6:8">
      <c r="F23822" t="s">
        <v>12961</v>
      </c>
      <c r="G23822" t="s">
        <v>17125</v>
      </c>
      <c r="H23822" t="s">
        <v>27279</v>
      </c>
    </row>
    <row r="23823" spans="6:8">
      <c r="H23823" t="s">
        <v>18829</v>
      </c>
    </row>
    <row r="23824" spans="6:8">
      <c r="F23824" t="s">
        <v>12925</v>
      </c>
      <c r="G23824" t="s">
        <v>17090</v>
      </c>
      <c r="H23824" t="s">
        <v>27280</v>
      </c>
    </row>
    <row r="23825" spans="1:8">
      <c r="F23825" t="s">
        <v>12348</v>
      </c>
      <c r="G23825" t="s">
        <v>16576</v>
      </c>
      <c r="H23825" t="s">
        <v>27281</v>
      </c>
    </row>
    <row r="23826" spans="1:8">
      <c r="H23826" t="s">
        <v>18829</v>
      </c>
    </row>
    <row r="23827" spans="1:8">
      <c r="H23827" t="s">
        <v>27282</v>
      </c>
    </row>
    <row r="23828" spans="1:8">
      <c r="H23828" t="s">
        <v>27283</v>
      </c>
    </row>
    <row r="23829" spans="1:8">
      <c r="H23829" t="s">
        <v>26680</v>
      </c>
    </row>
    <row r="23830" spans="1:8">
      <c r="H23830" t="s">
        <v>18878</v>
      </c>
    </row>
    <row r="23831" spans="1:8">
      <c r="H23831" t="s">
        <v>18879</v>
      </c>
    </row>
    <row r="23832" spans="1:8">
      <c r="A23832" t="s">
        <v>1219</v>
      </c>
      <c r="B23832">
        <f>HYPERLINK("https://android.googlesource.com/platform/cts/+/499c3d43f20d3ea1044c7bfc992df9833bb375d8", "499c3d43f20d3ea1044c7bfc992df9833bb375d8")</f>
        <v>0</v>
      </c>
      <c r="C23832">
        <f>HYPERLINK("https://android.googlesource.com/platform/cts/+/6c7f090fea84d2d3ec33bd45c6f9c11e0a70f07a", "6c7f090fea84d2d3ec33bd45c6f9c11e0a70f07a")</f>
        <v>0</v>
      </c>
      <c r="D23832" t="s">
        <v>5143</v>
      </c>
      <c r="E23832" t="s">
        <v>6993</v>
      </c>
      <c r="F23832" t="s">
        <v>12926</v>
      </c>
      <c r="G23832" t="s">
        <v>17091</v>
      </c>
      <c r="H23832" t="s">
        <v>18829</v>
      </c>
    </row>
    <row r="23833" spans="1:8">
      <c r="F23833" t="s">
        <v>10946</v>
      </c>
      <c r="G23833" t="s">
        <v>15339</v>
      </c>
      <c r="H23833" t="s">
        <v>27284</v>
      </c>
    </row>
    <row r="23834" spans="1:8">
      <c r="H23834" t="s">
        <v>18829</v>
      </c>
    </row>
    <row r="23835" spans="1:8">
      <c r="H23835" t="s">
        <v>26680</v>
      </c>
    </row>
    <row r="23836" spans="1:8">
      <c r="H23836" t="s">
        <v>18878</v>
      </c>
    </row>
    <row r="23837" spans="1:8">
      <c r="H23837" t="s">
        <v>27285</v>
      </c>
    </row>
    <row r="23838" spans="1:8">
      <c r="H23838" t="s">
        <v>27286</v>
      </c>
    </row>
    <row r="23839" spans="1:8">
      <c r="H23839" t="s">
        <v>18879</v>
      </c>
    </row>
    <row r="23840" spans="1:8">
      <c r="H23840" t="s">
        <v>19335</v>
      </c>
    </row>
    <row r="23841" spans="1:8">
      <c r="H23841" t="s">
        <v>27287</v>
      </c>
    </row>
    <row r="23842" spans="1:8">
      <c r="H23842" t="s">
        <v>18876</v>
      </c>
    </row>
    <row r="23843" spans="1:8">
      <c r="H23843" t="s">
        <v>19164</v>
      </c>
    </row>
    <row r="23844" spans="1:8">
      <c r="F23844" t="s">
        <v>12868</v>
      </c>
      <c r="G23844" t="s">
        <v>17036</v>
      </c>
      <c r="H23844" t="s">
        <v>27288</v>
      </c>
    </row>
    <row r="23845" spans="1:8">
      <c r="H23845" t="s">
        <v>18829</v>
      </c>
    </row>
    <row r="23846" spans="1:8">
      <c r="F23846" t="s">
        <v>11442</v>
      </c>
      <c r="G23846" t="s">
        <v>15682</v>
      </c>
      <c r="H23846" t="s">
        <v>27289</v>
      </c>
    </row>
    <row r="23847" spans="1:8">
      <c r="H23847" t="s">
        <v>18829</v>
      </c>
    </row>
    <row r="23848" spans="1:8">
      <c r="H23848" t="s">
        <v>27290</v>
      </c>
    </row>
    <row r="23849" spans="1:8">
      <c r="A23849" t="s">
        <v>1220</v>
      </c>
      <c r="B23849">
        <f>HYPERLINK("https://android.googlesource.com/platform/cts/+/153c8a3b82f994b5fc05806ff67c011f859d07d6", "153c8a3b82f994b5fc05806ff67c011f859d07d6")</f>
        <v>0</v>
      </c>
      <c r="C23849">
        <f>HYPERLINK("https://android.googlesource.com/platform/cts/+/6c7f090fea84d2d3ec33bd45c6f9c11e0a70f07a", "6c7f090fea84d2d3ec33bd45c6f9c11e0a70f07a")</f>
        <v>0</v>
      </c>
      <c r="D23849" t="s">
        <v>5143</v>
      </c>
      <c r="E23849" t="s">
        <v>6994</v>
      </c>
      <c r="F23849" t="s">
        <v>11446</v>
      </c>
      <c r="G23849" t="s">
        <v>15686</v>
      </c>
      <c r="H23849" t="s">
        <v>20381</v>
      </c>
    </row>
    <row r="23850" spans="1:8">
      <c r="H23850" t="s">
        <v>20384</v>
      </c>
    </row>
    <row r="23851" spans="1:8">
      <c r="H23851" t="s">
        <v>20386</v>
      </c>
    </row>
    <row r="23852" spans="1:8">
      <c r="H23852" t="s">
        <v>20388</v>
      </c>
    </row>
    <row r="23853" spans="1:8">
      <c r="F23853" t="s">
        <v>12962</v>
      </c>
      <c r="G23853" t="s">
        <v>17126</v>
      </c>
      <c r="H23853" t="s">
        <v>27291</v>
      </c>
    </row>
    <row r="23854" spans="1:8">
      <c r="H23854" t="s">
        <v>18829</v>
      </c>
    </row>
    <row r="23855" spans="1:8">
      <c r="H23855" t="s">
        <v>27292</v>
      </c>
    </row>
    <row r="23856" spans="1:8">
      <c r="F23856" t="s">
        <v>12792</v>
      </c>
      <c r="G23856" t="s">
        <v>16975</v>
      </c>
      <c r="H23856" t="s">
        <v>27293</v>
      </c>
    </row>
    <row r="23857" spans="6:8">
      <c r="H23857" t="s">
        <v>18829</v>
      </c>
    </row>
    <row r="23858" spans="6:8">
      <c r="H23858" t="s">
        <v>18863</v>
      </c>
    </row>
    <row r="23859" spans="6:8">
      <c r="F23859" t="s">
        <v>10604</v>
      </c>
      <c r="G23859" t="s">
        <v>15007</v>
      </c>
      <c r="H23859" t="s">
        <v>27294</v>
      </c>
    </row>
    <row r="23860" spans="6:8">
      <c r="H23860" t="s">
        <v>18829</v>
      </c>
    </row>
    <row r="23861" spans="6:8">
      <c r="H23861" t="s">
        <v>27295</v>
      </c>
    </row>
    <row r="23862" spans="6:8">
      <c r="H23862" t="s">
        <v>18876</v>
      </c>
    </row>
    <row r="23863" spans="6:8">
      <c r="H23863" t="s">
        <v>19051</v>
      </c>
    </row>
    <row r="23864" spans="6:8">
      <c r="H23864" t="s">
        <v>27213</v>
      </c>
    </row>
    <row r="23865" spans="6:8">
      <c r="H23865" t="s">
        <v>27269</v>
      </c>
    </row>
    <row r="23866" spans="6:8">
      <c r="H23866" t="s">
        <v>27270</v>
      </c>
    </row>
    <row r="23867" spans="6:8">
      <c r="H23867" t="s">
        <v>18878</v>
      </c>
    </row>
    <row r="23868" spans="6:8">
      <c r="H23868" t="s">
        <v>26718</v>
      </c>
    </row>
    <row r="23869" spans="6:8">
      <c r="H23869" t="s">
        <v>19135</v>
      </c>
    </row>
    <row r="23870" spans="6:8">
      <c r="F23870" t="s">
        <v>10757</v>
      </c>
      <c r="G23870" t="s">
        <v>15155</v>
      </c>
      <c r="H23870" t="s">
        <v>27296</v>
      </c>
    </row>
    <row r="23871" spans="6:8">
      <c r="H23871" t="s">
        <v>18829</v>
      </c>
    </row>
    <row r="23872" spans="6:8">
      <c r="H23872" t="s">
        <v>27297</v>
      </c>
    </row>
    <row r="23873" spans="1:8">
      <c r="A23873" t="s">
        <v>1221</v>
      </c>
      <c r="B23873">
        <f>HYPERLINK("https://android.googlesource.com/platform/cts/+/070bd2c60ecb566ee1ff1097bd22c743ff25f39c", "070bd2c60ecb566ee1ff1097bd22c743ff25f39c")</f>
        <v>0</v>
      </c>
      <c r="C23873">
        <f>HYPERLINK("https://android.googlesource.com/platform/cts/+/8997149778741c16c35e386a62379dfb86ec5c19", "8997149778741c16c35e386a62379dfb86ec5c19")</f>
        <v>0</v>
      </c>
      <c r="D23873" t="s">
        <v>5143</v>
      </c>
      <c r="E23873" t="s">
        <v>6995</v>
      </c>
      <c r="F23873" t="s">
        <v>12898</v>
      </c>
      <c r="G23873" t="s">
        <v>17065</v>
      </c>
      <c r="H23873" t="s">
        <v>27298</v>
      </c>
    </row>
    <row r="23874" spans="1:8">
      <c r="H23874" t="s">
        <v>18829</v>
      </c>
    </row>
    <row r="23875" spans="1:8">
      <c r="F23875" t="s">
        <v>12963</v>
      </c>
      <c r="G23875" t="s">
        <v>17127</v>
      </c>
      <c r="H23875" t="s">
        <v>18829</v>
      </c>
    </row>
    <row r="23876" spans="1:8">
      <c r="F23876" t="s">
        <v>12858</v>
      </c>
      <c r="G23876" t="s">
        <v>17026</v>
      </c>
      <c r="H23876" t="s">
        <v>27299</v>
      </c>
    </row>
    <row r="23877" spans="1:8">
      <c r="H23877" t="s">
        <v>18829</v>
      </c>
    </row>
    <row r="23878" spans="1:8">
      <c r="F23878" t="s">
        <v>12734</v>
      </c>
      <c r="G23878" t="s">
        <v>16927</v>
      </c>
      <c r="H23878" t="s">
        <v>27300</v>
      </c>
    </row>
    <row r="23879" spans="1:8">
      <c r="H23879" t="s">
        <v>18829</v>
      </c>
    </row>
    <row r="23880" spans="1:8">
      <c r="H23880" t="s">
        <v>18863</v>
      </c>
    </row>
    <row r="23881" spans="1:8">
      <c r="F23881" t="s">
        <v>10675</v>
      </c>
      <c r="G23881" t="s">
        <v>15075</v>
      </c>
      <c r="H23881" t="s">
        <v>27301</v>
      </c>
    </row>
    <row r="23882" spans="1:8">
      <c r="H23882" t="s">
        <v>18829</v>
      </c>
    </row>
    <row r="23883" spans="1:8">
      <c r="H23883" t="s">
        <v>27302</v>
      </c>
    </row>
    <row r="23884" spans="1:8">
      <c r="H23884" t="s">
        <v>27302</v>
      </c>
    </row>
    <row r="23885" spans="1:8">
      <c r="H23885" t="s">
        <v>27303</v>
      </c>
    </row>
    <row r="23886" spans="1:8">
      <c r="H23886" t="s">
        <v>27304</v>
      </c>
    </row>
    <row r="23887" spans="1:8">
      <c r="F23887" t="s">
        <v>10737</v>
      </c>
      <c r="G23887" t="s">
        <v>15136</v>
      </c>
      <c r="H23887" t="s">
        <v>27305</v>
      </c>
    </row>
    <row r="23888" spans="1:8">
      <c r="H23888" t="s">
        <v>18829</v>
      </c>
    </row>
    <row r="23889" spans="1:8">
      <c r="H23889" t="s">
        <v>18877</v>
      </c>
    </row>
    <row r="23890" spans="1:8">
      <c r="H23890" t="s">
        <v>18878</v>
      </c>
    </row>
    <row r="23891" spans="1:8">
      <c r="H23891" t="s">
        <v>27306</v>
      </c>
    </row>
    <row r="23892" spans="1:8">
      <c r="H23892" t="s">
        <v>27283</v>
      </c>
    </row>
    <row r="23893" spans="1:8">
      <c r="F23893" t="s">
        <v>12867</v>
      </c>
      <c r="G23893" t="s">
        <v>17035</v>
      </c>
      <c r="H23893" t="s">
        <v>27307</v>
      </c>
    </row>
    <row r="23894" spans="1:8">
      <c r="H23894" t="s">
        <v>18829</v>
      </c>
    </row>
    <row r="23895" spans="1:8">
      <c r="F23895" t="s">
        <v>12964</v>
      </c>
      <c r="G23895" t="s">
        <v>17128</v>
      </c>
      <c r="H23895" t="s">
        <v>18829</v>
      </c>
    </row>
    <row r="23896" spans="1:8">
      <c r="H23896" t="s">
        <v>27308</v>
      </c>
    </row>
    <row r="23897" spans="1:8">
      <c r="F23897" t="s">
        <v>12965</v>
      </c>
      <c r="G23897" t="s">
        <v>17129</v>
      </c>
      <c r="H23897" t="s">
        <v>18829</v>
      </c>
    </row>
    <row r="23898" spans="1:8">
      <c r="A23898" t="s">
        <v>1222</v>
      </c>
      <c r="B23898">
        <f>HYPERLINK("https://android.googlesource.com/platform/cts/+/7c00e3017424ff1c3eeb22236fea3607ee8a3843", "7c00e3017424ff1c3eeb22236fea3607ee8a3843")</f>
        <v>0</v>
      </c>
      <c r="C23898">
        <f>HYPERLINK("https://android.googlesource.com/platform/cts/+/8997149778741c16c35e386a62379dfb86ec5c19", "8997149778741c16c35e386a62379dfb86ec5c19")</f>
        <v>0</v>
      </c>
      <c r="D23898" t="s">
        <v>5143</v>
      </c>
      <c r="E23898" t="s">
        <v>6996</v>
      </c>
      <c r="F23898" t="s">
        <v>10673</v>
      </c>
      <c r="G23898" t="s">
        <v>15073</v>
      </c>
      <c r="H23898" t="s">
        <v>27309</v>
      </c>
    </row>
    <row r="23899" spans="1:8">
      <c r="H23899" t="s">
        <v>18829</v>
      </c>
    </row>
    <row r="23900" spans="1:8">
      <c r="F23900" t="s">
        <v>12882</v>
      </c>
      <c r="G23900" t="s">
        <v>17049</v>
      </c>
      <c r="H23900" t="s">
        <v>27310</v>
      </c>
    </row>
    <row r="23901" spans="1:8">
      <c r="H23901" t="s">
        <v>18829</v>
      </c>
    </row>
    <row r="23902" spans="1:8">
      <c r="H23902" t="s">
        <v>18878</v>
      </c>
    </row>
    <row r="23903" spans="1:8">
      <c r="H23903" t="s">
        <v>26680</v>
      </c>
    </row>
    <row r="23904" spans="1:8">
      <c r="F23904" t="s">
        <v>12966</v>
      </c>
      <c r="G23904" t="s">
        <v>17130</v>
      </c>
      <c r="H23904" t="s">
        <v>27311</v>
      </c>
    </row>
    <row r="23905" spans="6:8">
      <c r="H23905" t="s">
        <v>18829</v>
      </c>
    </row>
    <row r="23906" spans="6:8">
      <c r="H23906" t="s">
        <v>27312</v>
      </c>
    </row>
    <row r="23907" spans="6:8">
      <c r="H23907" t="s">
        <v>27313</v>
      </c>
    </row>
    <row r="23908" spans="6:8">
      <c r="F23908" t="s">
        <v>12967</v>
      </c>
      <c r="G23908" t="s">
        <v>17131</v>
      </c>
      <c r="H23908" t="s">
        <v>27314</v>
      </c>
    </row>
    <row r="23909" spans="6:8">
      <c r="H23909" t="s">
        <v>18829</v>
      </c>
    </row>
    <row r="23910" spans="6:8">
      <c r="F23910" t="s">
        <v>10947</v>
      </c>
      <c r="G23910" t="s">
        <v>15340</v>
      </c>
      <c r="H23910" t="s">
        <v>27315</v>
      </c>
    </row>
    <row r="23911" spans="6:8">
      <c r="H23911" t="s">
        <v>18829</v>
      </c>
    </row>
    <row r="23912" spans="6:8">
      <c r="H23912" t="s">
        <v>26680</v>
      </c>
    </row>
    <row r="23913" spans="6:8">
      <c r="H23913" t="s">
        <v>18878</v>
      </c>
    </row>
    <row r="23914" spans="6:8">
      <c r="H23914" t="s">
        <v>27285</v>
      </c>
    </row>
    <row r="23915" spans="6:8">
      <c r="H23915" t="s">
        <v>27286</v>
      </c>
    </row>
    <row r="23916" spans="6:8">
      <c r="H23916" t="s">
        <v>18879</v>
      </c>
    </row>
    <row r="23917" spans="6:8">
      <c r="H23917" t="s">
        <v>19335</v>
      </c>
    </row>
    <row r="23918" spans="6:8">
      <c r="H23918" t="s">
        <v>27287</v>
      </c>
    </row>
    <row r="23919" spans="6:8">
      <c r="H23919" t="s">
        <v>18876</v>
      </c>
    </row>
    <row r="23920" spans="6:8">
      <c r="H23920" t="s">
        <v>19164</v>
      </c>
    </row>
    <row r="23921" spans="1:8">
      <c r="F23921" t="s">
        <v>12968</v>
      </c>
      <c r="G23921" t="s">
        <v>17132</v>
      </c>
      <c r="H23921" t="s">
        <v>18829</v>
      </c>
    </row>
    <row r="23922" spans="1:8">
      <c r="A23922" t="s">
        <v>1223</v>
      </c>
      <c r="B23922">
        <f>HYPERLINK("https://android.googlesource.com/platform/cts/+/748ef71cd450ae0e4bdefa5e311c49fd7801589b", "748ef71cd450ae0e4bdefa5e311c49fd7801589b")</f>
        <v>0</v>
      </c>
      <c r="C23922">
        <f>HYPERLINK("https://android.googlesource.com/platform/cts/+/6229ca67116093f61b98099d1f3b28718d05b62c", "6229ca67116093f61b98099d1f3b28718d05b62c")</f>
        <v>0</v>
      </c>
      <c r="D23922" t="s">
        <v>5179</v>
      </c>
      <c r="E23922" t="s">
        <v>6997</v>
      </c>
      <c r="F23922" t="s">
        <v>12969</v>
      </c>
      <c r="G23922" t="s">
        <v>17133</v>
      </c>
      <c r="H23922" t="s">
        <v>27316</v>
      </c>
    </row>
    <row r="23923" spans="1:8">
      <c r="A23923" t="s">
        <v>1224</v>
      </c>
      <c r="B23923">
        <f>HYPERLINK("https://android.googlesource.com/platform/cts/+/068461843e9fef9d9559f4ebdc59d5ca6edaec3c", "068461843e9fef9d9559f4ebdc59d5ca6edaec3c")</f>
        <v>0</v>
      </c>
      <c r="C23923">
        <f>HYPERLINK("https://android.googlesource.com/platform/cts/+/8997149778741c16c35e386a62379dfb86ec5c19", "8997149778741c16c35e386a62379dfb86ec5c19")</f>
        <v>0</v>
      </c>
      <c r="D23923" t="s">
        <v>5143</v>
      </c>
      <c r="E23923" t="s">
        <v>6998</v>
      </c>
      <c r="F23923" t="s">
        <v>12927</v>
      </c>
      <c r="G23923" t="s">
        <v>17092</v>
      </c>
      <c r="H23923" t="s">
        <v>27317</v>
      </c>
    </row>
    <row r="23924" spans="1:8">
      <c r="H23924" t="s">
        <v>18829</v>
      </c>
    </row>
    <row r="23925" spans="1:8">
      <c r="H23925" t="s">
        <v>26680</v>
      </c>
    </row>
    <row r="23926" spans="1:8">
      <c r="H23926" t="s">
        <v>18878</v>
      </c>
    </row>
    <row r="23927" spans="1:8">
      <c r="H23927" t="s">
        <v>27269</v>
      </c>
    </row>
    <row r="23928" spans="1:8">
      <c r="H23928" t="s">
        <v>19051</v>
      </c>
    </row>
    <row r="23929" spans="1:8">
      <c r="H23929" t="s">
        <v>27287</v>
      </c>
    </row>
    <row r="23930" spans="1:8">
      <c r="H23930" t="s">
        <v>18876</v>
      </c>
    </row>
    <row r="23931" spans="1:8">
      <c r="F23931" t="s">
        <v>12382</v>
      </c>
      <c r="G23931" t="s">
        <v>16608</v>
      </c>
      <c r="H23931" t="s">
        <v>27318</v>
      </c>
    </row>
    <row r="23932" spans="1:8">
      <c r="H23932" t="s">
        <v>18829</v>
      </c>
    </row>
    <row r="23933" spans="1:8">
      <c r="F23933" t="s">
        <v>12970</v>
      </c>
      <c r="G23933" t="s">
        <v>17134</v>
      </c>
      <c r="H23933" t="s">
        <v>27319</v>
      </c>
    </row>
    <row r="23934" spans="1:8">
      <c r="H23934" t="s">
        <v>18829</v>
      </c>
    </row>
    <row r="23935" spans="1:8">
      <c r="F23935" t="s">
        <v>12813</v>
      </c>
      <c r="G23935" t="s">
        <v>16994</v>
      </c>
      <c r="H23935" t="s">
        <v>27320</v>
      </c>
    </row>
    <row r="23936" spans="1:8">
      <c r="H23936" t="s">
        <v>18829</v>
      </c>
    </row>
    <row r="23937" spans="1:8">
      <c r="H23937" t="s">
        <v>27321</v>
      </c>
    </row>
    <row r="23938" spans="1:8">
      <c r="H23938" t="s">
        <v>19335</v>
      </c>
    </row>
    <row r="23939" spans="1:8">
      <c r="H23939" t="s">
        <v>27322</v>
      </c>
    </row>
    <row r="23940" spans="1:8">
      <c r="H23940" t="s">
        <v>27323</v>
      </c>
    </row>
    <row r="23941" spans="1:8">
      <c r="F23941" t="s">
        <v>12971</v>
      </c>
      <c r="G23941" t="s">
        <v>17135</v>
      </c>
      <c r="H23941" t="s">
        <v>27324</v>
      </c>
    </row>
    <row r="23942" spans="1:8">
      <c r="H23942" t="s">
        <v>18829</v>
      </c>
    </row>
    <row r="23943" spans="1:8">
      <c r="A23943" t="s">
        <v>1225</v>
      </c>
      <c r="B23943">
        <f>HYPERLINK("https://android.googlesource.com/platform/cts/+/81337931b3489990e2bb365cf957668a80f72a46", "81337931b3489990e2bb365cf957668a80f72a46")</f>
        <v>0</v>
      </c>
      <c r="C23943">
        <f>HYPERLINK("https://android.googlesource.com/platform/cts/+/c6449b572003bf1b2871b0b12f7640501b65f7be", "c6449b572003bf1b2871b0b12f7640501b65f7be")</f>
        <v>0</v>
      </c>
      <c r="D23943" t="s">
        <v>5115</v>
      </c>
      <c r="E23943" t="s">
        <v>6999</v>
      </c>
      <c r="F23943" t="s">
        <v>12708</v>
      </c>
      <c r="G23943" t="s">
        <v>15044</v>
      </c>
      <c r="H23943" t="s">
        <v>27325</v>
      </c>
    </row>
    <row r="23944" spans="1:8">
      <c r="A23944" t="s">
        <v>1226</v>
      </c>
      <c r="B23944">
        <f>HYPERLINK("https://android.googlesource.com/platform/cts/+/ba8cb022e8e6ed64563f491466173cc68056bc6d", "ba8cb022e8e6ed64563f491466173cc68056bc6d")</f>
        <v>0</v>
      </c>
      <c r="C23944">
        <f>HYPERLINK("https://android.googlesource.com/platform/cts/+/76f9bb1ed7632c415bffe7d5fb10ce3ca7ca550c", "76f9bb1ed7632c415bffe7d5fb10ce3ca7ca550c")</f>
        <v>0</v>
      </c>
      <c r="D23944" t="s">
        <v>5143</v>
      </c>
      <c r="E23944" t="s">
        <v>7000</v>
      </c>
      <c r="F23944" t="s">
        <v>12972</v>
      </c>
      <c r="G23944" t="s">
        <v>17136</v>
      </c>
      <c r="H23944" t="s">
        <v>18829</v>
      </c>
    </row>
    <row r="23945" spans="1:8">
      <c r="H23945" t="s">
        <v>18863</v>
      </c>
    </row>
    <row r="23946" spans="1:8">
      <c r="F23946" t="s">
        <v>12924</v>
      </c>
      <c r="G23946" t="s">
        <v>17089</v>
      </c>
      <c r="H23946" t="s">
        <v>18829</v>
      </c>
    </row>
    <row r="23947" spans="1:8">
      <c r="H23947" t="s">
        <v>18863</v>
      </c>
    </row>
    <row r="23948" spans="1:8">
      <c r="F23948" t="s">
        <v>12973</v>
      </c>
      <c r="G23948" t="s">
        <v>17137</v>
      </c>
      <c r="H23948" t="s">
        <v>18829</v>
      </c>
    </row>
    <row r="23949" spans="1:8">
      <c r="F23949" t="s">
        <v>12974</v>
      </c>
      <c r="G23949" t="s">
        <v>17138</v>
      </c>
      <c r="H23949" t="s">
        <v>18829</v>
      </c>
    </row>
    <row r="23950" spans="1:8">
      <c r="A23950" t="s">
        <v>1227</v>
      </c>
      <c r="B23950">
        <f>HYPERLINK("https://android.googlesource.com/platform/cts/+/9ca93a3566485d3063021e0f2f71c1faaf888fe2", "9ca93a3566485d3063021e0f2f71c1faaf888fe2")</f>
        <v>0</v>
      </c>
      <c r="C23950">
        <f>HYPERLINK("https://android.googlesource.com/platform/cts/+/76f9bb1ed7632c415bffe7d5fb10ce3ca7ca550c", "76f9bb1ed7632c415bffe7d5fb10ce3ca7ca550c")</f>
        <v>0</v>
      </c>
      <c r="D23950" t="s">
        <v>5143</v>
      </c>
      <c r="E23950" t="s">
        <v>7001</v>
      </c>
      <c r="F23950" t="s">
        <v>12975</v>
      </c>
      <c r="G23950" t="s">
        <v>17139</v>
      </c>
      <c r="H23950" t="s">
        <v>27326</v>
      </c>
    </row>
    <row r="23951" spans="1:8">
      <c r="H23951" t="s">
        <v>18829</v>
      </c>
    </row>
    <row r="23952" spans="1:8">
      <c r="F23952" t="s">
        <v>12976</v>
      </c>
      <c r="G23952" t="s">
        <v>17140</v>
      </c>
      <c r="H23952" t="s">
        <v>27327</v>
      </c>
    </row>
    <row r="23953" spans="6:8">
      <c r="H23953" t="s">
        <v>18829</v>
      </c>
    </row>
    <row r="23954" spans="6:8">
      <c r="F23954" t="s">
        <v>12911</v>
      </c>
      <c r="G23954" t="s">
        <v>17077</v>
      </c>
      <c r="H23954" t="s">
        <v>27328</v>
      </c>
    </row>
    <row r="23955" spans="6:8">
      <c r="H23955" t="s">
        <v>18829</v>
      </c>
    </row>
    <row r="23956" spans="6:8">
      <c r="F23956" t="s">
        <v>12977</v>
      </c>
      <c r="G23956" t="s">
        <v>17141</v>
      </c>
      <c r="H23956" t="s">
        <v>18829</v>
      </c>
    </row>
    <row r="23957" spans="6:8">
      <c r="H23957" t="s">
        <v>27329</v>
      </c>
    </row>
    <row r="23958" spans="6:8">
      <c r="H23958" t="s">
        <v>18893</v>
      </c>
    </row>
    <row r="23959" spans="6:8">
      <c r="H23959" t="s">
        <v>27330</v>
      </c>
    </row>
    <row r="23960" spans="6:8">
      <c r="H23960" t="s">
        <v>27331</v>
      </c>
    </row>
    <row r="23961" spans="6:8">
      <c r="F23961" t="s">
        <v>12978</v>
      </c>
      <c r="G23961" t="s">
        <v>17142</v>
      </c>
      <c r="H23961" t="s">
        <v>18829</v>
      </c>
    </row>
    <row r="23962" spans="6:8">
      <c r="H23962" t="s">
        <v>27329</v>
      </c>
    </row>
    <row r="23963" spans="6:8">
      <c r="H23963" t="s">
        <v>18893</v>
      </c>
    </row>
    <row r="23964" spans="6:8">
      <c r="H23964" t="s">
        <v>27332</v>
      </c>
    </row>
    <row r="23965" spans="6:8">
      <c r="H23965" t="s">
        <v>27331</v>
      </c>
    </row>
    <row r="23966" spans="6:8">
      <c r="H23966" t="s">
        <v>27333</v>
      </c>
    </row>
    <row r="23967" spans="6:8">
      <c r="H23967" t="s">
        <v>18893</v>
      </c>
    </row>
    <row r="23968" spans="6:8">
      <c r="H23968" t="s">
        <v>27334</v>
      </c>
    </row>
    <row r="23969" spans="1:8">
      <c r="F23969" t="s">
        <v>12979</v>
      </c>
      <c r="G23969" t="s">
        <v>17143</v>
      </c>
      <c r="H23969" t="s">
        <v>18829</v>
      </c>
    </row>
    <row r="23970" spans="1:8">
      <c r="F23970" t="s">
        <v>12980</v>
      </c>
      <c r="G23970" t="s">
        <v>17144</v>
      </c>
      <c r="H23970" t="s">
        <v>18829</v>
      </c>
    </row>
    <row r="23971" spans="1:8">
      <c r="A23971" t="s">
        <v>1228</v>
      </c>
      <c r="B23971">
        <f>HYPERLINK("https://android.googlesource.com/platform/cts/+/0cc855fc64390a8b64b863dfe1946a0f28a70f07", "0cc855fc64390a8b64b863dfe1946a0f28a70f07")</f>
        <v>0</v>
      </c>
      <c r="C23971">
        <f>HYPERLINK("https://android.googlesource.com/platform/cts/+/d6cac1346df7e2788fb5c7fc0969000551449530", "d6cac1346df7e2788fb5c7fc0969000551449530")</f>
        <v>0</v>
      </c>
      <c r="D23971" t="s">
        <v>5143</v>
      </c>
      <c r="E23971" t="s">
        <v>7002</v>
      </c>
      <c r="F23971" t="s">
        <v>10760</v>
      </c>
      <c r="G23971" t="s">
        <v>15158</v>
      </c>
      <c r="H23971" t="s">
        <v>27335</v>
      </c>
    </row>
    <row r="23972" spans="1:8">
      <c r="H23972" t="s">
        <v>18829</v>
      </c>
    </row>
    <row r="23973" spans="1:8">
      <c r="H23973" t="s">
        <v>27336</v>
      </c>
    </row>
    <row r="23974" spans="1:8">
      <c r="H23974" t="s">
        <v>27337</v>
      </c>
    </row>
    <row r="23975" spans="1:8">
      <c r="H23975" t="s">
        <v>27338</v>
      </c>
    </row>
    <row r="23976" spans="1:8">
      <c r="H23976" t="s">
        <v>27339</v>
      </c>
    </row>
    <row r="23977" spans="1:8">
      <c r="H23977" t="s">
        <v>27340</v>
      </c>
    </row>
    <row r="23978" spans="1:8">
      <c r="H23978" t="s">
        <v>27341</v>
      </c>
    </row>
    <row r="23979" spans="1:8">
      <c r="F23979" t="s">
        <v>12981</v>
      </c>
      <c r="G23979" t="s">
        <v>17145</v>
      </c>
      <c r="H23979" t="s">
        <v>18829</v>
      </c>
    </row>
    <row r="23980" spans="1:8">
      <c r="F23980" t="s">
        <v>12928</v>
      </c>
      <c r="G23980" t="s">
        <v>17093</v>
      </c>
      <c r="H23980" t="s">
        <v>27342</v>
      </c>
    </row>
    <row r="23981" spans="1:8">
      <c r="H23981" t="s">
        <v>18829</v>
      </c>
    </row>
    <row r="23982" spans="1:8">
      <c r="H23982" t="s">
        <v>27343</v>
      </c>
    </row>
    <row r="23983" spans="1:8">
      <c r="H23983" t="s">
        <v>27341</v>
      </c>
    </row>
    <row r="23984" spans="1:8">
      <c r="A23984" t="s">
        <v>1229</v>
      </c>
      <c r="B23984">
        <f>HYPERLINK("https://android.googlesource.com/platform/cts/+/df781a95c2570e6b0fb107b2b2092360e3a272c2", "df781a95c2570e6b0fb107b2b2092360e3a272c2")</f>
        <v>0</v>
      </c>
      <c r="C23984">
        <f>HYPERLINK("https://android.googlesource.com/platform/cts/+/60a3dec13c8c7a09614aa65e6d3cf5baf87914c9", "60a3dec13c8c7a09614aa65e6d3cf5baf87914c9")</f>
        <v>0</v>
      </c>
      <c r="D23984" t="s">
        <v>5143</v>
      </c>
      <c r="E23984" t="s">
        <v>7003</v>
      </c>
      <c r="F23984" t="s">
        <v>10732</v>
      </c>
      <c r="G23984" t="s">
        <v>15131</v>
      </c>
      <c r="H23984" t="s">
        <v>27344</v>
      </c>
    </row>
    <row r="23985" spans="1:8">
      <c r="A23985" t="s">
        <v>1230</v>
      </c>
      <c r="B23985">
        <f>HYPERLINK("https://android.googlesource.com/platform/cts/+/9c5916d01b6a6c78e9432e7536b0b790567eea7d", "9c5916d01b6a6c78e9432e7536b0b790567eea7d")</f>
        <v>0</v>
      </c>
      <c r="C23985">
        <f>HYPERLINK("https://android.googlesource.com/platform/cts/+/aa45bac7a5ce788fc541504d4d7ff12d9ebc5725", "aa45bac7a5ce788fc541504d4d7ff12d9ebc5725")</f>
        <v>0</v>
      </c>
      <c r="D23985" t="s">
        <v>5176</v>
      </c>
      <c r="E23985" t="s">
        <v>7004</v>
      </c>
      <c r="F23985" t="s">
        <v>10658</v>
      </c>
      <c r="G23985" t="s">
        <v>15059</v>
      </c>
      <c r="H23985" t="s">
        <v>27345</v>
      </c>
    </row>
    <row r="23986" spans="1:8">
      <c r="H23986" t="s">
        <v>27346</v>
      </c>
    </row>
    <row r="23987" spans="1:8">
      <c r="A23987" t="s">
        <v>1231</v>
      </c>
      <c r="B23987">
        <f>HYPERLINK("https://android.googlesource.com/platform/cts/+/8200730442e9d7104e6aea4819b2f935c1fb3858", "8200730442e9d7104e6aea4819b2f935c1fb3858")</f>
        <v>0</v>
      </c>
      <c r="C23987">
        <f>HYPERLINK("https://android.googlesource.com/platform/cts/+/1debc5ae7441f649b5b0f89bfc7353b75e285455", "1debc5ae7441f649b5b0f89bfc7353b75e285455")</f>
        <v>0</v>
      </c>
      <c r="D23987" t="s">
        <v>5143</v>
      </c>
      <c r="E23987" t="s">
        <v>7005</v>
      </c>
      <c r="F23987" t="s">
        <v>12950</v>
      </c>
      <c r="G23987" t="s">
        <v>17115</v>
      </c>
      <c r="H23987" t="s">
        <v>27340</v>
      </c>
    </row>
    <row r="23988" spans="1:8">
      <c r="H23988" t="s">
        <v>27341</v>
      </c>
    </row>
    <row r="23989" spans="1:8">
      <c r="A23989" t="s">
        <v>1232</v>
      </c>
      <c r="B23989">
        <f>HYPERLINK("https://android.googlesource.com/platform/cts/+/a75fb03266b58562af9ed30eff91f2a67d177adc", "a75fb03266b58562af9ed30eff91f2a67d177adc")</f>
        <v>0</v>
      </c>
      <c r="C23989">
        <f>HYPERLINK("https://android.googlesource.com/platform/cts/+/1debc5ae7441f649b5b0f89bfc7353b75e285455", "1debc5ae7441f649b5b0f89bfc7353b75e285455")</f>
        <v>0</v>
      </c>
      <c r="D23989" t="s">
        <v>5143</v>
      </c>
      <c r="E23989" t="s">
        <v>7006</v>
      </c>
      <c r="F23989" t="s">
        <v>12982</v>
      </c>
      <c r="G23989" t="s">
        <v>17146</v>
      </c>
      <c r="H23989" t="s">
        <v>27347</v>
      </c>
    </row>
    <row r="23990" spans="1:8">
      <c r="H23990" t="s">
        <v>18829</v>
      </c>
    </row>
    <row r="23991" spans="1:8">
      <c r="H23991" t="s">
        <v>19051</v>
      </c>
    </row>
    <row r="23992" spans="1:8">
      <c r="H23992" t="s">
        <v>27348</v>
      </c>
    </row>
    <row r="23993" spans="1:8">
      <c r="H23993" t="s">
        <v>18879</v>
      </c>
    </row>
    <row r="23994" spans="1:8">
      <c r="F23994" t="s">
        <v>12983</v>
      </c>
      <c r="G23994" t="s">
        <v>17147</v>
      </c>
      <c r="H23994" t="s">
        <v>27349</v>
      </c>
    </row>
    <row r="23995" spans="1:8">
      <c r="H23995" t="s">
        <v>18829</v>
      </c>
    </row>
    <row r="23996" spans="1:8">
      <c r="F23996" t="s">
        <v>10794</v>
      </c>
      <c r="G23996" t="s">
        <v>15189</v>
      </c>
      <c r="H23996" t="s">
        <v>27350</v>
      </c>
    </row>
    <row r="23997" spans="1:8">
      <c r="H23997" t="s">
        <v>18829</v>
      </c>
    </row>
    <row r="23998" spans="1:8">
      <c r="H23998" t="s">
        <v>27351</v>
      </c>
    </row>
    <row r="23999" spans="1:8">
      <c r="H23999" t="s">
        <v>19053</v>
      </c>
    </row>
    <row r="24000" spans="1:8">
      <c r="H24000" t="s">
        <v>18876</v>
      </c>
    </row>
    <row r="24001" spans="1:8">
      <c r="H24001" t="s">
        <v>19363</v>
      </c>
    </row>
    <row r="24002" spans="1:8">
      <c r="H24002" t="s">
        <v>27352</v>
      </c>
    </row>
    <row r="24003" spans="1:8">
      <c r="H24003" t="s">
        <v>27353</v>
      </c>
    </row>
    <row r="24004" spans="1:8">
      <c r="H24004" t="s">
        <v>27354</v>
      </c>
    </row>
    <row r="24005" spans="1:8">
      <c r="H24005" t="s">
        <v>27355</v>
      </c>
    </row>
    <row r="24006" spans="1:8">
      <c r="H24006" t="s">
        <v>18888</v>
      </c>
    </row>
    <row r="24007" spans="1:8">
      <c r="H24007" t="s">
        <v>18877</v>
      </c>
    </row>
    <row r="24008" spans="1:8">
      <c r="H24008" t="s">
        <v>27270</v>
      </c>
    </row>
    <row r="24009" spans="1:8">
      <c r="H24009" t="s">
        <v>18878</v>
      </c>
    </row>
    <row r="24010" spans="1:8">
      <c r="H24010" t="s">
        <v>27356</v>
      </c>
    </row>
    <row r="24011" spans="1:8">
      <c r="H24011" t="s">
        <v>19163</v>
      </c>
    </row>
    <row r="24012" spans="1:8">
      <c r="H24012" t="s">
        <v>27357</v>
      </c>
    </row>
    <row r="24013" spans="1:8">
      <c r="H24013" t="s">
        <v>26183</v>
      </c>
    </row>
    <row r="24014" spans="1:8">
      <c r="A24014" t="s">
        <v>1233</v>
      </c>
      <c r="B24014">
        <f>HYPERLINK("https://android.googlesource.com/platform/cts/+/5129ad2e8340004b04bf5d49ceb73f4a5803531f", "5129ad2e8340004b04bf5d49ceb73f4a5803531f")</f>
        <v>0</v>
      </c>
      <c r="C24014">
        <f>HYPERLINK("https://android.googlesource.com/platform/cts/+/1debc5ae7441f649b5b0f89bfc7353b75e285455", "1debc5ae7441f649b5b0f89bfc7353b75e285455")</f>
        <v>0</v>
      </c>
      <c r="D24014" t="s">
        <v>5143</v>
      </c>
      <c r="E24014" t="s">
        <v>7007</v>
      </c>
      <c r="F24014" t="s">
        <v>10658</v>
      </c>
      <c r="G24014" t="s">
        <v>15059</v>
      </c>
      <c r="H24014" t="s">
        <v>27358</v>
      </c>
    </row>
    <row r="24015" spans="1:8">
      <c r="H24015" t="s">
        <v>18829</v>
      </c>
    </row>
    <row r="24016" spans="1:8">
      <c r="F24016" t="s">
        <v>12984</v>
      </c>
      <c r="G24016" t="s">
        <v>17148</v>
      </c>
      <c r="H24016" t="s">
        <v>27359</v>
      </c>
    </row>
    <row r="24017" spans="6:8">
      <c r="H24017" t="s">
        <v>18829</v>
      </c>
    </row>
    <row r="24018" spans="6:8">
      <c r="H24018" t="s">
        <v>27360</v>
      </c>
    </row>
    <row r="24019" spans="6:8">
      <c r="H24019" t="s">
        <v>27361</v>
      </c>
    </row>
    <row r="24020" spans="6:8">
      <c r="H24020" t="s">
        <v>27362</v>
      </c>
    </row>
    <row r="24021" spans="6:8">
      <c r="H24021" t="s">
        <v>27363</v>
      </c>
    </row>
    <row r="24022" spans="6:8">
      <c r="F24022" t="s">
        <v>12985</v>
      </c>
      <c r="G24022" t="s">
        <v>17149</v>
      </c>
      <c r="H24022" t="s">
        <v>27364</v>
      </c>
    </row>
    <row r="24023" spans="6:8">
      <c r="H24023" t="s">
        <v>18829</v>
      </c>
    </row>
    <row r="24024" spans="6:8">
      <c r="F24024" t="s">
        <v>12986</v>
      </c>
      <c r="G24024" t="s">
        <v>17150</v>
      </c>
      <c r="H24024" t="s">
        <v>27365</v>
      </c>
    </row>
    <row r="24025" spans="6:8">
      <c r="H24025" t="s">
        <v>18829</v>
      </c>
    </row>
    <row r="24026" spans="6:8">
      <c r="F24026" t="s">
        <v>12987</v>
      </c>
      <c r="G24026" t="s">
        <v>17151</v>
      </c>
      <c r="H24026" t="s">
        <v>27366</v>
      </c>
    </row>
    <row r="24027" spans="6:8">
      <c r="H24027" t="s">
        <v>18829</v>
      </c>
    </row>
    <row r="24028" spans="6:8">
      <c r="F24028" t="s">
        <v>10761</v>
      </c>
      <c r="G24028" t="s">
        <v>15159</v>
      </c>
      <c r="H24028" t="s">
        <v>27367</v>
      </c>
    </row>
    <row r="24029" spans="6:8">
      <c r="H24029" t="s">
        <v>27368</v>
      </c>
    </row>
    <row r="24030" spans="6:8">
      <c r="H24030" t="s">
        <v>27369</v>
      </c>
    </row>
    <row r="24031" spans="6:8">
      <c r="H24031" t="s">
        <v>18829</v>
      </c>
    </row>
    <row r="24032" spans="6:8">
      <c r="H24032" t="s">
        <v>27370</v>
      </c>
    </row>
    <row r="24033" spans="1:8">
      <c r="A24033" t="s">
        <v>1234</v>
      </c>
      <c r="B24033">
        <f>HYPERLINK("https://android.googlesource.com/platform/cts/+/46fe04bdbe926961c24d7a7919ba2eec2fd28f60", "46fe04bdbe926961c24d7a7919ba2eec2fd28f60")</f>
        <v>0</v>
      </c>
      <c r="C24033">
        <f>HYPERLINK("https://android.googlesource.com/platform/cts/+/816b5243faf117ef5a18ae7c923341d8a50348f6", "816b5243faf117ef5a18ae7c923341d8a50348f6")</f>
        <v>0</v>
      </c>
      <c r="D24033" t="s">
        <v>5170</v>
      </c>
      <c r="E24033" t="s">
        <v>7008</v>
      </c>
      <c r="F24033" t="s">
        <v>11443</v>
      </c>
      <c r="G24033" t="s">
        <v>15683</v>
      </c>
      <c r="H24033" t="s">
        <v>27371</v>
      </c>
    </row>
    <row r="24034" spans="1:8">
      <c r="A24034" t="s">
        <v>1235</v>
      </c>
      <c r="B24034">
        <f>HYPERLINK("https://android.googlesource.com/platform/cts/+/81cdbecce93d53fbdbc89e4f6f16721d0e9e79d3", "81cdbecce93d53fbdbc89e4f6f16721d0e9e79d3")</f>
        <v>0</v>
      </c>
      <c r="C24034">
        <f>HYPERLINK("https://android.googlesource.com/platform/cts/+/838417eb912600a0177b910449400c08288b34eb", "838417eb912600a0177b910449400c08288b34eb")</f>
        <v>0</v>
      </c>
      <c r="D24034" t="s">
        <v>5143</v>
      </c>
      <c r="E24034" t="s">
        <v>7009</v>
      </c>
      <c r="F24034" t="s">
        <v>12988</v>
      </c>
      <c r="G24034" t="s">
        <v>17152</v>
      </c>
      <c r="H24034" t="s">
        <v>27372</v>
      </c>
    </row>
    <row r="24035" spans="1:8">
      <c r="H24035" t="s">
        <v>18829</v>
      </c>
    </row>
    <row r="24036" spans="1:8">
      <c r="F24036" t="s">
        <v>12989</v>
      </c>
      <c r="G24036" t="s">
        <v>17153</v>
      </c>
      <c r="H24036" t="s">
        <v>27373</v>
      </c>
    </row>
    <row r="24037" spans="1:8">
      <c r="H24037" t="s">
        <v>18829</v>
      </c>
    </row>
    <row r="24038" spans="1:8">
      <c r="H24038" t="s">
        <v>27374</v>
      </c>
    </row>
    <row r="24039" spans="1:8">
      <c r="F24039" t="s">
        <v>12990</v>
      </c>
      <c r="G24039" t="s">
        <v>17154</v>
      </c>
      <c r="H24039" t="s">
        <v>18829</v>
      </c>
    </row>
    <row r="24040" spans="1:8">
      <c r="F24040" t="s">
        <v>12914</v>
      </c>
      <c r="G24040" t="s">
        <v>17079</v>
      </c>
      <c r="H24040" t="s">
        <v>27375</v>
      </c>
    </row>
    <row r="24041" spans="1:8">
      <c r="H24041" t="s">
        <v>18829</v>
      </c>
    </row>
    <row r="24042" spans="1:8">
      <c r="H24042" t="s">
        <v>18876</v>
      </c>
    </row>
    <row r="24043" spans="1:8">
      <c r="H24043" t="s">
        <v>27376</v>
      </c>
    </row>
    <row r="24044" spans="1:8">
      <c r="F24044" t="s">
        <v>10654</v>
      </c>
      <c r="G24044" t="s">
        <v>15055</v>
      </c>
      <c r="H24044" t="s">
        <v>18829</v>
      </c>
    </row>
    <row r="24045" spans="1:8">
      <c r="H24045" t="s">
        <v>26266</v>
      </c>
    </row>
    <row r="24046" spans="1:8">
      <c r="H24046" t="s">
        <v>18876</v>
      </c>
    </row>
    <row r="24047" spans="1:8">
      <c r="A24047" t="s">
        <v>1236</v>
      </c>
      <c r="B24047">
        <f>HYPERLINK("https://android.googlesource.com/platform/cts/+/e6ded0fa8cca4fc81feb23a50113848afe430698", "e6ded0fa8cca4fc81feb23a50113848afe430698")</f>
        <v>0</v>
      </c>
      <c r="C24047">
        <f>HYPERLINK("https://android.googlesource.com/platform/cts/+/3763966148d1d014b62a1bd27a68021c5ca17240", "3763966148d1d014b62a1bd27a68021c5ca17240")</f>
        <v>0</v>
      </c>
      <c r="D24047" t="s">
        <v>5143</v>
      </c>
      <c r="E24047" t="s">
        <v>7010</v>
      </c>
      <c r="F24047" t="s">
        <v>12991</v>
      </c>
      <c r="G24047" t="s">
        <v>17155</v>
      </c>
      <c r="H24047" t="s">
        <v>27377</v>
      </c>
    </row>
    <row r="24048" spans="1:8">
      <c r="H24048" t="s">
        <v>18829</v>
      </c>
    </row>
    <row r="24049" spans="6:8">
      <c r="H24049" t="s">
        <v>27378</v>
      </c>
    </row>
    <row r="24050" spans="6:8">
      <c r="H24050" t="s">
        <v>27379</v>
      </c>
    </row>
    <row r="24051" spans="6:8">
      <c r="F24051" t="s">
        <v>12992</v>
      </c>
      <c r="G24051" t="s">
        <v>17156</v>
      </c>
      <c r="H24051" t="s">
        <v>18903</v>
      </c>
    </row>
    <row r="24052" spans="6:8">
      <c r="F24052" t="s">
        <v>10758</v>
      </c>
      <c r="G24052" t="s">
        <v>15156</v>
      </c>
      <c r="H24052" t="s">
        <v>27380</v>
      </c>
    </row>
    <row r="24053" spans="6:8">
      <c r="H24053" t="s">
        <v>27381</v>
      </c>
    </row>
    <row r="24054" spans="6:8">
      <c r="H24054" t="s">
        <v>27382</v>
      </c>
    </row>
    <row r="24055" spans="6:8">
      <c r="H24055" t="s">
        <v>27383</v>
      </c>
    </row>
    <row r="24056" spans="6:8">
      <c r="H24056" t="s">
        <v>27384</v>
      </c>
    </row>
    <row r="24057" spans="6:8">
      <c r="H24057" t="s">
        <v>27385</v>
      </c>
    </row>
    <row r="24058" spans="6:8">
      <c r="H24058" t="s">
        <v>27386</v>
      </c>
    </row>
    <row r="24059" spans="6:8">
      <c r="H24059" t="s">
        <v>27387</v>
      </c>
    </row>
    <row r="24060" spans="6:8">
      <c r="H24060" t="s">
        <v>27388</v>
      </c>
    </row>
    <row r="24061" spans="6:8">
      <c r="H24061" t="s">
        <v>27389</v>
      </c>
    </row>
    <row r="24062" spans="6:8">
      <c r="H24062" t="s">
        <v>27390</v>
      </c>
    </row>
    <row r="24063" spans="6:8">
      <c r="H24063" t="s">
        <v>27391</v>
      </c>
    </row>
    <row r="24064" spans="6:8">
      <c r="H24064" t="s">
        <v>27392</v>
      </c>
    </row>
    <row r="24065" spans="6:8">
      <c r="H24065" t="s">
        <v>27393</v>
      </c>
    </row>
    <row r="24066" spans="6:8">
      <c r="H24066" t="s">
        <v>27394</v>
      </c>
    </row>
    <row r="24067" spans="6:8">
      <c r="H24067" t="s">
        <v>27395</v>
      </c>
    </row>
    <row r="24068" spans="6:8">
      <c r="H24068" t="s">
        <v>27396</v>
      </c>
    </row>
    <row r="24069" spans="6:8">
      <c r="H24069" t="s">
        <v>27397</v>
      </c>
    </row>
    <row r="24070" spans="6:8">
      <c r="H24070" t="s">
        <v>27398</v>
      </c>
    </row>
    <row r="24071" spans="6:8">
      <c r="H24071" t="s">
        <v>27399</v>
      </c>
    </row>
    <row r="24072" spans="6:8">
      <c r="H24072" t="s">
        <v>27400</v>
      </c>
    </row>
    <row r="24073" spans="6:8">
      <c r="H24073" t="s">
        <v>27401</v>
      </c>
    </row>
    <row r="24074" spans="6:8">
      <c r="H24074" t="s">
        <v>27402</v>
      </c>
    </row>
    <row r="24075" spans="6:8">
      <c r="H24075" t="s">
        <v>27403</v>
      </c>
    </row>
    <row r="24076" spans="6:8">
      <c r="H24076" t="s">
        <v>22686</v>
      </c>
    </row>
    <row r="24077" spans="6:8">
      <c r="H24077" t="s">
        <v>27404</v>
      </c>
    </row>
    <row r="24078" spans="6:8">
      <c r="F24078" t="s">
        <v>12993</v>
      </c>
      <c r="G24078" t="s">
        <v>17157</v>
      </c>
      <c r="H24078" t="s">
        <v>27405</v>
      </c>
    </row>
    <row r="24079" spans="6:8">
      <c r="H24079" t="s">
        <v>27406</v>
      </c>
    </row>
    <row r="24080" spans="6:8">
      <c r="F24080" t="s">
        <v>12179</v>
      </c>
      <c r="G24080" t="s">
        <v>16418</v>
      </c>
      <c r="H24080" t="s">
        <v>18829</v>
      </c>
    </row>
    <row r="24081" spans="1:8">
      <c r="H24081" t="s">
        <v>18903</v>
      </c>
    </row>
    <row r="24082" spans="1:8">
      <c r="F24082" t="s">
        <v>12994</v>
      </c>
      <c r="G24082" t="s">
        <v>17158</v>
      </c>
      <c r="H24082" t="s">
        <v>27407</v>
      </c>
    </row>
    <row r="24083" spans="1:8">
      <c r="H24083" t="s">
        <v>18829</v>
      </c>
    </row>
    <row r="24084" spans="1:8">
      <c r="H24084" t="s">
        <v>18863</v>
      </c>
    </row>
    <row r="24085" spans="1:8">
      <c r="A24085" t="s">
        <v>1237</v>
      </c>
      <c r="B24085">
        <f>HYPERLINK("https://android.googlesource.com/platform/cts/+/ea0e21920e0672078c7a12ced0c9d49785c7f1e4", "ea0e21920e0672078c7a12ced0c9d49785c7f1e4")</f>
        <v>0</v>
      </c>
      <c r="C24085">
        <f>HYPERLINK("https://android.googlesource.com/platform/cts/+/12c8f4a04d4676c71caa6a72d04e024b17ea6005", "12c8f4a04d4676c71caa6a72d04e024b17ea6005")</f>
        <v>0</v>
      </c>
      <c r="D24085" t="s">
        <v>5143</v>
      </c>
      <c r="E24085" t="s">
        <v>7011</v>
      </c>
      <c r="F24085" t="s">
        <v>12995</v>
      </c>
      <c r="G24085" t="s">
        <v>17159</v>
      </c>
      <c r="H24085" t="s">
        <v>27408</v>
      </c>
    </row>
    <row r="24086" spans="1:8">
      <c r="H24086" t="s">
        <v>18829</v>
      </c>
    </row>
    <row r="24087" spans="1:8">
      <c r="F24087" t="s">
        <v>12996</v>
      </c>
      <c r="G24087" t="s">
        <v>17160</v>
      </c>
      <c r="H24087" t="s">
        <v>18829</v>
      </c>
    </row>
    <row r="24088" spans="1:8">
      <c r="A24088" t="s">
        <v>1238</v>
      </c>
      <c r="B24088">
        <f>HYPERLINK("https://android.googlesource.com/platform/cts/+/d3fdf015276a074c96d71cf5255f756b761cd7bb", "d3fdf015276a074c96d71cf5255f756b761cd7bb")</f>
        <v>0</v>
      </c>
      <c r="C24088">
        <f>HYPERLINK("https://android.googlesource.com/platform/cts/+/86af933a388ec4591f879449cb7758b356d951e1", "86af933a388ec4591f879449cb7758b356d951e1")</f>
        <v>0</v>
      </c>
      <c r="D24088" t="s">
        <v>5143</v>
      </c>
      <c r="E24088" t="s">
        <v>7012</v>
      </c>
      <c r="F24088" t="s">
        <v>12997</v>
      </c>
      <c r="G24088" t="s">
        <v>17161</v>
      </c>
      <c r="H24088" t="s">
        <v>27409</v>
      </c>
    </row>
    <row r="24089" spans="1:8">
      <c r="H24089" t="s">
        <v>18829</v>
      </c>
    </row>
    <row r="24090" spans="1:8">
      <c r="F24090" t="s">
        <v>12998</v>
      </c>
      <c r="G24090" t="s">
        <v>17162</v>
      </c>
      <c r="H24090" t="s">
        <v>27410</v>
      </c>
    </row>
    <row r="24091" spans="1:8">
      <c r="H24091" t="s">
        <v>18829</v>
      </c>
    </row>
    <row r="24092" spans="1:8">
      <c r="F24092" t="s">
        <v>12999</v>
      </c>
      <c r="G24092" t="s">
        <v>17163</v>
      </c>
      <c r="H24092" t="s">
        <v>27411</v>
      </c>
    </row>
    <row r="24093" spans="1:8">
      <c r="H24093" t="s">
        <v>18829</v>
      </c>
    </row>
    <row r="24094" spans="1:8">
      <c r="F24094" t="s">
        <v>13000</v>
      </c>
      <c r="G24094" t="s">
        <v>17164</v>
      </c>
      <c r="H24094" t="s">
        <v>27412</v>
      </c>
    </row>
    <row r="24095" spans="1:8">
      <c r="H24095" t="s">
        <v>18829</v>
      </c>
    </row>
    <row r="24096" spans="1:8">
      <c r="F24096" t="s">
        <v>13001</v>
      </c>
      <c r="G24096" t="s">
        <v>17165</v>
      </c>
      <c r="H24096" t="s">
        <v>27413</v>
      </c>
    </row>
    <row r="24097" spans="6:8">
      <c r="H24097" t="s">
        <v>18829</v>
      </c>
    </row>
    <row r="24098" spans="6:8">
      <c r="F24098" t="s">
        <v>13002</v>
      </c>
      <c r="G24098" t="s">
        <v>17166</v>
      </c>
      <c r="H24098" t="s">
        <v>27414</v>
      </c>
    </row>
    <row r="24099" spans="6:8">
      <c r="H24099" t="s">
        <v>27415</v>
      </c>
    </row>
    <row r="24100" spans="6:8">
      <c r="F24100" t="s">
        <v>13003</v>
      </c>
      <c r="G24100" t="s">
        <v>17167</v>
      </c>
      <c r="H24100" t="s">
        <v>27416</v>
      </c>
    </row>
    <row r="24101" spans="6:8">
      <c r="H24101" t="s">
        <v>18829</v>
      </c>
    </row>
    <row r="24102" spans="6:8">
      <c r="H24102" t="s">
        <v>27417</v>
      </c>
    </row>
    <row r="24103" spans="6:8">
      <c r="F24103" t="s">
        <v>13004</v>
      </c>
      <c r="G24103" t="s">
        <v>17168</v>
      </c>
      <c r="H24103" t="s">
        <v>27418</v>
      </c>
    </row>
    <row r="24104" spans="6:8">
      <c r="H24104" t="s">
        <v>18829</v>
      </c>
    </row>
    <row r="24105" spans="6:8">
      <c r="F24105" t="s">
        <v>13005</v>
      </c>
      <c r="G24105" t="s">
        <v>17169</v>
      </c>
      <c r="H24105" t="s">
        <v>27419</v>
      </c>
    </row>
    <row r="24106" spans="6:8">
      <c r="H24106" t="s">
        <v>18829</v>
      </c>
    </row>
    <row r="24107" spans="6:8">
      <c r="F24107" t="s">
        <v>13006</v>
      </c>
      <c r="G24107" t="s">
        <v>17170</v>
      </c>
      <c r="H24107" t="s">
        <v>27420</v>
      </c>
    </row>
    <row r="24108" spans="6:8">
      <c r="H24108" t="s">
        <v>18829</v>
      </c>
    </row>
    <row r="24109" spans="6:8">
      <c r="F24109" t="s">
        <v>13007</v>
      </c>
      <c r="G24109" t="s">
        <v>17171</v>
      </c>
      <c r="H24109" t="s">
        <v>27421</v>
      </c>
    </row>
    <row r="24110" spans="6:8">
      <c r="H24110" t="s">
        <v>18829</v>
      </c>
    </row>
    <row r="24111" spans="6:8">
      <c r="F24111" t="s">
        <v>13008</v>
      </c>
      <c r="G24111" t="s">
        <v>17172</v>
      </c>
      <c r="H24111" t="s">
        <v>27422</v>
      </c>
    </row>
    <row r="24112" spans="6:8">
      <c r="H24112" t="s">
        <v>18829</v>
      </c>
    </row>
    <row r="24113" spans="1:8">
      <c r="F24113" t="s">
        <v>13009</v>
      </c>
      <c r="G24113" t="s">
        <v>17173</v>
      </c>
      <c r="H24113" t="s">
        <v>27423</v>
      </c>
    </row>
    <row r="24114" spans="1:8">
      <c r="H24114" t="s">
        <v>18829</v>
      </c>
    </row>
    <row r="24115" spans="1:8">
      <c r="F24115" t="s">
        <v>13010</v>
      </c>
      <c r="G24115" t="s">
        <v>17174</v>
      </c>
      <c r="H24115" t="s">
        <v>27424</v>
      </c>
    </row>
    <row r="24116" spans="1:8">
      <c r="H24116" t="s">
        <v>18829</v>
      </c>
    </row>
    <row r="24117" spans="1:8">
      <c r="F24117" t="s">
        <v>13011</v>
      </c>
      <c r="G24117" t="s">
        <v>17175</v>
      </c>
      <c r="H24117" t="s">
        <v>27425</v>
      </c>
    </row>
    <row r="24118" spans="1:8">
      <c r="H24118" t="s">
        <v>18829</v>
      </c>
    </row>
    <row r="24119" spans="1:8">
      <c r="A24119" t="s">
        <v>1239</v>
      </c>
      <c r="B24119">
        <f>HYPERLINK("https://android.googlesource.com/platform/cts/+/71762feb5610142e29ee6266ce4edf7bcdbb8aee", "71762feb5610142e29ee6266ce4edf7bcdbb8aee")</f>
        <v>0</v>
      </c>
      <c r="C24119">
        <f>HYPERLINK("https://android.googlesource.com/platform/cts/+/86af933a388ec4591f879449cb7758b356d951e1", "86af933a388ec4591f879449cb7758b356d951e1")</f>
        <v>0</v>
      </c>
      <c r="D24119" t="s">
        <v>5143</v>
      </c>
      <c r="E24119" t="s">
        <v>7013</v>
      </c>
      <c r="F24119" t="s">
        <v>13012</v>
      </c>
      <c r="G24119" t="s">
        <v>17176</v>
      </c>
      <c r="H24119" t="s">
        <v>27426</v>
      </c>
    </row>
    <row r="24120" spans="1:8">
      <c r="H24120" t="s">
        <v>27427</v>
      </c>
    </row>
    <row r="24121" spans="1:8">
      <c r="H24121" t="s">
        <v>27428</v>
      </c>
    </row>
    <row r="24122" spans="1:8">
      <c r="F24122" t="s">
        <v>11183</v>
      </c>
      <c r="G24122" t="s">
        <v>15572</v>
      </c>
      <c r="H24122" t="s">
        <v>18829</v>
      </c>
    </row>
    <row r="24123" spans="1:8">
      <c r="H24123" t="s">
        <v>27429</v>
      </c>
    </row>
    <row r="24124" spans="1:8">
      <c r="H24124" t="s">
        <v>27430</v>
      </c>
    </row>
    <row r="24125" spans="1:8">
      <c r="H24125" t="s">
        <v>27431</v>
      </c>
    </row>
    <row r="24126" spans="1:8">
      <c r="H24126" t="s">
        <v>27432</v>
      </c>
    </row>
    <row r="24127" spans="1:8">
      <c r="H24127" t="s">
        <v>27433</v>
      </c>
    </row>
    <row r="24128" spans="1:8">
      <c r="H24128" t="s">
        <v>18893</v>
      </c>
    </row>
    <row r="24129" spans="1:8">
      <c r="H24129" t="s">
        <v>27434</v>
      </c>
    </row>
    <row r="24130" spans="1:8">
      <c r="H24130" t="s">
        <v>27435</v>
      </c>
    </row>
    <row r="24131" spans="1:8">
      <c r="H24131" t="s">
        <v>18893</v>
      </c>
    </row>
    <row r="24132" spans="1:8">
      <c r="H24132" t="s">
        <v>27436</v>
      </c>
    </row>
    <row r="24133" spans="1:8">
      <c r="H24133" t="s">
        <v>27437</v>
      </c>
    </row>
    <row r="24134" spans="1:8">
      <c r="H24134" t="s">
        <v>18893</v>
      </c>
    </row>
    <row r="24135" spans="1:8">
      <c r="H24135" t="s">
        <v>27438</v>
      </c>
    </row>
    <row r="24136" spans="1:8">
      <c r="H24136" t="s">
        <v>27439</v>
      </c>
    </row>
    <row r="24137" spans="1:8">
      <c r="H24137" t="s">
        <v>27440</v>
      </c>
    </row>
    <row r="24138" spans="1:8">
      <c r="H24138" t="s">
        <v>27441</v>
      </c>
    </row>
    <row r="24139" spans="1:8">
      <c r="H24139" t="s">
        <v>18893</v>
      </c>
    </row>
    <row r="24140" spans="1:8">
      <c r="F24140" t="s">
        <v>12941</v>
      </c>
      <c r="G24140" t="s">
        <v>16863</v>
      </c>
      <c r="H24140" t="s">
        <v>27442</v>
      </c>
    </row>
    <row r="24141" spans="1:8">
      <c r="A24141" t="s">
        <v>1240</v>
      </c>
      <c r="B24141">
        <f>HYPERLINK("https://android.googlesource.com/platform/cts/+/d3fe2916af45dd3f0ab3b404bcb6ecc6453efe4e", "d3fe2916af45dd3f0ab3b404bcb6ecc6453efe4e")</f>
        <v>0</v>
      </c>
      <c r="C24141">
        <f>HYPERLINK("https://android.googlesource.com/platform/cts/+/1dc269dd661ed94e150625f19acd7fec3ed82d33", "1dc269dd661ed94e150625f19acd7fec3ed82d33")</f>
        <v>0</v>
      </c>
      <c r="D24141" t="s">
        <v>5143</v>
      </c>
      <c r="E24141" t="s">
        <v>7014</v>
      </c>
      <c r="F24141" t="s">
        <v>13013</v>
      </c>
      <c r="G24141" t="s">
        <v>17177</v>
      </c>
      <c r="H24141" t="s">
        <v>27443</v>
      </c>
    </row>
    <row r="24142" spans="1:8">
      <c r="H24142" t="s">
        <v>26986</v>
      </c>
    </row>
    <row r="24143" spans="1:8">
      <c r="H24143" t="s">
        <v>26984</v>
      </c>
    </row>
    <row r="24144" spans="1:8">
      <c r="H24144" t="s">
        <v>26987</v>
      </c>
    </row>
    <row r="24145" spans="1:8">
      <c r="H24145" t="s">
        <v>26985</v>
      </c>
    </row>
    <row r="24146" spans="1:8">
      <c r="H24146" t="s">
        <v>27444</v>
      </c>
    </row>
    <row r="24147" spans="1:8">
      <c r="A24147" t="s">
        <v>1241</v>
      </c>
      <c r="B24147">
        <f>HYPERLINK("https://android.googlesource.com/platform/cts/+/301504c388a5c0f37bfc4e2328e15ba5aae69389", "301504c388a5c0f37bfc4e2328e15ba5aae69389")</f>
        <v>0</v>
      </c>
      <c r="C24147">
        <f>HYPERLINK("https://android.googlesource.com/platform/cts/+/1dc269dd661ed94e150625f19acd7fec3ed82d33", "1dc269dd661ed94e150625f19acd7fec3ed82d33")</f>
        <v>0</v>
      </c>
      <c r="D24147" t="s">
        <v>5143</v>
      </c>
      <c r="E24147" t="s">
        <v>7015</v>
      </c>
      <c r="F24147" t="s">
        <v>13014</v>
      </c>
      <c r="G24147" t="s">
        <v>17178</v>
      </c>
      <c r="H24147" t="s">
        <v>27445</v>
      </c>
    </row>
    <row r="24148" spans="1:8">
      <c r="H24148" t="s">
        <v>18829</v>
      </c>
    </row>
    <row r="24149" spans="1:8">
      <c r="F24149" t="s">
        <v>13015</v>
      </c>
      <c r="G24149" t="s">
        <v>17179</v>
      </c>
      <c r="H24149" t="s">
        <v>21510</v>
      </c>
    </row>
    <row r="24150" spans="1:8">
      <c r="F24150" t="s">
        <v>13016</v>
      </c>
      <c r="G24150" t="s">
        <v>17180</v>
      </c>
      <c r="H24150" t="s">
        <v>27446</v>
      </c>
    </row>
    <row r="24151" spans="1:8">
      <c r="H24151" t="s">
        <v>18829</v>
      </c>
    </row>
    <row r="24152" spans="1:8">
      <c r="A24152" t="s">
        <v>1242</v>
      </c>
      <c r="B24152">
        <f>HYPERLINK("https://android.googlesource.com/platform/cts/+/437a0d948cf623dcc632e0f9df04e06e56d8e383", "437a0d948cf623dcc632e0f9df04e06e56d8e383")</f>
        <v>0</v>
      </c>
      <c r="C24152">
        <f>HYPERLINK("https://android.googlesource.com/platform/cts/+/1dc269dd661ed94e150625f19acd7fec3ed82d33", "1dc269dd661ed94e150625f19acd7fec3ed82d33")</f>
        <v>0</v>
      </c>
      <c r="D24152" t="s">
        <v>5143</v>
      </c>
      <c r="E24152" t="s">
        <v>7016</v>
      </c>
      <c r="F24152" t="s">
        <v>13017</v>
      </c>
      <c r="G24152" t="s">
        <v>17181</v>
      </c>
      <c r="H24152" t="s">
        <v>27447</v>
      </c>
    </row>
    <row r="24153" spans="1:8">
      <c r="H24153" t="s">
        <v>27448</v>
      </c>
    </row>
    <row r="24154" spans="1:8">
      <c r="H24154" t="s">
        <v>18829</v>
      </c>
    </row>
    <row r="24155" spans="1:8">
      <c r="H24155" t="s">
        <v>27449</v>
      </c>
    </row>
    <row r="24156" spans="1:8">
      <c r="H24156" t="s">
        <v>27450</v>
      </c>
    </row>
    <row r="24157" spans="1:8">
      <c r="H24157" t="s">
        <v>27451</v>
      </c>
    </row>
    <row r="24158" spans="1:8">
      <c r="F24158" t="s">
        <v>13018</v>
      </c>
      <c r="G24158" t="s">
        <v>17182</v>
      </c>
      <c r="H24158" t="s">
        <v>27452</v>
      </c>
    </row>
    <row r="24159" spans="1:8">
      <c r="H24159" t="s">
        <v>18829</v>
      </c>
    </row>
    <row r="24160" spans="1:8">
      <c r="H24160" t="s">
        <v>27453</v>
      </c>
    </row>
    <row r="24161" spans="1:8">
      <c r="H24161" t="s">
        <v>27454</v>
      </c>
    </row>
    <row r="24162" spans="1:8">
      <c r="H24162" t="s">
        <v>27455</v>
      </c>
    </row>
    <row r="24163" spans="1:8">
      <c r="F24163" t="s">
        <v>10756</v>
      </c>
      <c r="G24163" t="s">
        <v>15154</v>
      </c>
      <c r="H24163" t="s">
        <v>27456</v>
      </c>
    </row>
    <row r="24164" spans="1:8">
      <c r="H24164" t="s">
        <v>18829</v>
      </c>
    </row>
    <row r="24165" spans="1:8">
      <c r="H24165" t="s">
        <v>27457</v>
      </c>
    </row>
    <row r="24166" spans="1:8">
      <c r="H24166" t="s">
        <v>27458</v>
      </c>
    </row>
    <row r="24167" spans="1:8">
      <c r="F24167" t="s">
        <v>11453</v>
      </c>
      <c r="G24167" t="s">
        <v>15693</v>
      </c>
      <c r="H24167" t="s">
        <v>18829</v>
      </c>
    </row>
    <row r="24168" spans="1:8">
      <c r="H24168" t="s">
        <v>18863</v>
      </c>
    </row>
    <row r="24169" spans="1:8">
      <c r="A24169" t="s">
        <v>1243</v>
      </c>
      <c r="B24169">
        <f>HYPERLINK("https://android.googlesource.com/platform/cts/+/480a3a50174befdcf57de666587a8e1b4267d7f3", "480a3a50174befdcf57de666587a8e1b4267d7f3")</f>
        <v>0</v>
      </c>
      <c r="C24169">
        <f>HYPERLINK("https://android.googlesource.com/platform/cts/+/9dfbc395958780704bd8f65e7bd8cdc635033d04", "9dfbc395958780704bd8f65e7bd8cdc635033d04")</f>
        <v>0</v>
      </c>
      <c r="D24169" t="s">
        <v>5079</v>
      </c>
      <c r="E24169" t="s">
        <v>7017</v>
      </c>
      <c r="F24169" t="s">
        <v>13019</v>
      </c>
      <c r="G24169" t="s">
        <v>17183</v>
      </c>
      <c r="H24169" t="s">
        <v>27459</v>
      </c>
    </row>
    <row r="24170" spans="1:8">
      <c r="A24170" t="s">
        <v>1244</v>
      </c>
      <c r="B24170">
        <f>HYPERLINK("https://android.googlesource.com/platform/cts/+/4d96e9a80e80397328edc921e92059a3185bc8c7", "4d96e9a80e80397328edc921e92059a3185bc8c7")</f>
        <v>0</v>
      </c>
      <c r="C24170">
        <f>HYPERLINK("https://android.googlesource.com/platform/cts/+/fda12d2da96b9422f48be13c72343b9a31783b1b", "fda12d2da96b9422f48be13c72343b9a31783b1b")</f>
        <v>0</v>
      </c>
      <c r="D24170" t="s">
        <v>5143</v>
      </c>
      <c r="E24170" t="s">
        <v>7018</v>
      </c>
      <c r="F24170" t="s">
        <v>13020</v>
      </c>
      <c r="G24170" t="s">
        <v>17184</v>
      </c>
      <c r="H24170" t="s">
        <v>27460</v>
      </c>
    </row>
    <row r="24171" spans="1:8">
      <c r="F24171" t="s">
        <v>13021</v>
      </c>
      <c r="G24171" t="s">
        <v>17185</v>
      </c>
      <c r="H24171" t="s">
        <v>27461</v>
      </c>
    </row>
    <row r="24172" spans="1:8">
      <c r="H24172" t="s">
        <v>18829</v>
      </c>
    </row>
    <row r="24173" spans="1:8">
      <c r="H24173" t="s">
        <v>27462</v>
      </c>
    </row>
    <row r="24174" spans="1:8">
      <c r="H24174" t="s">
        <v>27463</v>
      </c>
    </row>
    <row r="24175" spans="1:8">
      <c r="F24175" t="s">
        <v>13022</v>
      </c>
      <c r="G24175" t="s">
        <v>17186</v>
      </c>
      <c r="H24175" t="s">
        <v>27464</v>
      </c>
    </row>
    <row r="24176" spans="1:8">
      <c r="H24176" t="s">
        <v>18829</v>
      </c>
    </row>
    <row r="24177" spans="1:8">
      <c r="F24177" t="s">
        <v>11452</v>
      </c>
      <c r="G24177" t="s">
        <v>15692</v>
      </c>
      <c r="H24177" t="s">
        <v>27465</v>
      </c>
    </row>
    <row r="24178" spans="1:8">
      <c r="H24178" t="s">
        <v>18829</v>
      </c>
    </row>
    <row r="24179" spans="1:8">
      <c r="A24179" t="s">
        <v>1245</v>
      </c>
      <c r="B24179">
        <f>HYPERLINK("https://android.googlesource.com/platform/cts/+/2ff3e016655b94de327766b57d0db1e026db49e0", "2ff3e016655b94de327766b57d0db1e026db49e0")</f>
        <v>0</v>
      </c>
      <c r="C24179">
        <f>HYPERLINK("https://android.googlesource.com/platform/cts/+/86af933a388ec4591f879449cb7758b356d951e1", "86af933a388ec4591f879449cb7758b356d951e1")</f>
        <v>0</v>
      </c>
      <c r="D24179" t="s">
        <v>5180</v>
      </c>
      <c r="E24179" t="s">
        <v>7019</v>
      </c>
      <c r="F24179" t="s">
        <v>13023</v>
      </c>
      <c r="G24179" t="s">
        <v>17187</v>
      </c>
      <c r="H24179" t="s">
        <v>27466</v>
      </c>
    </row>
    <row r="24180" spans="1:8">
      <c r="A24180" t="s">
        <v>1246</v>
      </c>
      <c r="B24180">
        <f>HYPERLINK("https://android.googlesource.com/platform/cts/+/b7bd8e54530c8586dca663708bd6c236643ed44c", "b7bd8e54530c8586dca663708bd6c236643ed44c")</f>
        <v>0</v>
      </c>
      <c r="C24180">
        <f>HYPERLINK("https://android.googlesource.com/platform/cts/+/34d5bfc81470b14c8c8c862bd1ae14ed6c5804c4", "34d5bfc81470b14c8c8c862bd1ae14ed6c5804c4")</f>
        <v>0</v>
      </c>
      <c r="D24180" t="s">
        <v>5181</v>
      </c>
      <c r="E24180" t="s">
        <v>7020</v>
      </c>
      <c r="F24180" t="s">
        <v>13024</v>
      </c>
      <c r="G24180" t="s">
        <v>17188</v>
      </c>
      <c r="H24180" t="s">
        <v>27467</v>
      </c>
    </row>
    <row r="24181" spans="1:8">
      <c r="A24181" t="s">
        <v>1247</v>
      </c>
      <c r="B24181">
        <f>HYPERLINK("https://android.googlesource.com/platform/cts/+/e13e14add99479d0b24325d632d0b9ace62e3e0f", "e13e14add99479d0b24325d632d0b9ace62e3e0f")</f>
        <v>0</v>
      </c>
      <c r="C24181">
        <f>HYPERLINK("https://android.googlesource.com/platform/cts/+/f6fba7a67b60792b0032f0fc3a0053d5724ec5bd", "f6fba7a67b60792b0032f0fc3a0053d5724ec5bd")</f>
        <v>0</v>
      </c>
      <c r="D24181" t="s">
        <v>5143</v>
      </c>
      <c r="E24181" t="s">
        <v>7021</v>
      </c>
      <c r="F24181" t="s">
        <v>11444</v>
      </c>
      <c r="G24181" t="s">
        <v>15684</v>
      </c>
      <c r="H24181" t="s">
        <v>18829</v>
      </c>
    </row>
    <row r="24182" spans="1:8">
      <c r="H24182" t="s">
        <v>20379</v>
      </c>
    </row>
    <row r="24183" spans="1:8">
      <c r="F24183" t="s">
        <v>13025</v>
      </c>
      <c r="G24183" t="s">
        <v>17189</v>
      </c>
      <c r="H24183" t="s">
        <v>18829</v>
      </c>
    </row>
    <row r="24184" spans="1:8">
      <c r="H24184" t="s">
        <v>27468</v>
      </c>
    </row>
    <row r="24185" spans="1:8">
      <c r="H24185" t="s">
        <v>19043</v>
      </c>
    </row>
    <row r="24186" spans="1:8">
      <c r="F24186" t="s">
        <v>10667</v>
      </c>
      <c r="G24186" t="s">
        <v>15068</v>
      </c>
      <c r="H24186" t="s">
        <v>18829</v>
      </c>
    </row>
    <row r="24187" spans="1:8">
      <c r="H24187" t="s">
        <v>27469</v>
      </c>
    </row>
    <row r="24188" spans="1:8">
      <c r="H24188" t="s">
        <v>27470</v>
      </c>
    </row>
    <row r="24189" spans="1:8">
      <c r="H24189" t="s">
        <v>27471</v>
      </c>
    </row>
    <row r="24190" spans="1:8">
      <c r="H24190" t="s">
        <v>27472</v>
      </c>
    </row>
    <row r="24191" spans="1:8">
      <c r="H24191" t="s">
        <v>27473</v>
      </c>
    </row>
    <row r="24192" spans="1:8">
      <c r="H24192" t="s">
        <v>19132</v>
      </c>
    </row>
    <row r="24193" spans="1:8">
      <c r="H24193" t="s">
        <v>18893</v>
      </c>
    </row>
    <row r="24194" spans="1:8">
      <c r="H24194" t="s">
        <v>27474</v>
      </c>
    </row>
    <row r="24195" spans="1:8">
      <c r="H24195" t="s">
        <v>27475</v>
      </c>
    </row>
    <row r="24196" spans="1:8">
      <c r="H24196" t="s">
        <v>19689</v>
      </c>
    </row>
    <row r="24197" spans="1:8">
      <c r="H24197" t="s">
        <v>27476</v>
      </c>
    </row>
    <row r="24198" spans="1:8">
      <c r="F24198" t="s">
        <v>13026</v>
      </c>
      <c r="G24198" t="s">
        <v>17190</v>
      </c>
      <c r="H24198" t="s">
        <v>18829</v>
      </c>
    </row>
    <row r="24199" spans="1:8">
      <c r="H24199" t="s">
        <v>18863</v>
      </c>
    </row>
    <row r="24200" spans="1:8">
      <c r="F24200" t="s">
        <v>13027</v>
      </c>
      <c r="G24200" t="s">
        <v>17191</v>
      </c>
      <c r="H24200" t="s">
        <v>27477</v>
      </c>
    </row>
    <row r="24201" spans="1:8">
      <c r="H24201" t="s">
        <v>27478</v>
      </c>
    </row>
    <row r="24202" spans="1:8">
      <c r="H24202" t="s">
        <v>18829</v>
      </c>
    </row>
    <row r="24203" spans="1:8">
      <c r="H24203" t="s">
        <v>27479</v>
      </c>
    </row>
    <row r="24204" spans="1:8">
      <c r="A24204" t="s">
        <v>1248</v>
      </c>
      <c r="B24204">
        <f>HYPERLINK("https://android.googlesource.com/platform/cts/+/157cea9e79dc71f14a15f0a9f6d5722fa61fef04", "157cea9e79dc71f14a15f0a9f6d5722fa61fef04")</f>
        <v>0</v>
      </c>
      <c r="C24204">
        <f>HYPERLINK("https://android.googlesource.com/platform/cts/+/018093626cfaaadebd4fb1e8d17c0ec992961d48", "018093626cfaaadebd4fb1e8d17c0ec992961d48")</f>
        <v>0</v>
      </c>
      <c r="D24204" t="s">
        <v>5143</v>
      </c>
      <c r="E24204" t="s">
        <v>7022</v>
      </c>
      <c r="F24204" t="s">
        <v>13028</v>
      </c>
      <c r="G24204" t="s">
        <v>17192</v>
      </c>
      <c r="H24204" t="s">
        <v>27480</v>
      </c>
    </row>
    <row r="24205" spans="1:8">
      <c r="H24205" t="s">
        <v>27480</v>
      </c>
    </row>
    <row r="24206" spans="1:8">
      <c r="H24206" t="s">
        <v>27481</v>
      </c>
    </row>
    <row r="24207" spans="1:8">
      <c r="F24207" t="s">
        <v>11430</v>
      </c>
      <c r="G24207" t="s">
        <v>15670</v>
      </c>
      <c r="H24207" t="s">
        <v>18829</v>
      </c>
    </row>
    <row r="24208" spans="1:8">
      <c r="H24208" t="s">
        <v>27482</v>
      </c>
    </row>
    <row r="24209" spans="6:8">
      <c r="H24209" t="s">
        <v>18893</v>
      </c>
    </row>
    <row r="24210" spans="6:8">
      <c r="F24210" t="s">
        <v>13029</v>
      </c>
      <c r="G24210" t="s">
        <v>17193</v>
      </c>
      <c r="H24210" t="s">
        <v>27483</v>
      </c>
    </row>
    <row r="24211" spans="6:8">
      <c r="H24211" t="s">
        <v>18829</v>
      </c>
    </row>
    <row r="24212" spans="6:8">
      <c r="F24212" t="s">
        <v>13030</v>
      </c>
      <c r="G24212" t="s">
        <v>17194</v>
      </c>
      <c r="H24212" t="s">
        <v>18829</v>
      </c>
    </row>
    <row r="24213" spans="6:8">
      <c r="H24213" t="s">
        <v>27484</v>
      </c>
    </row>
    <row r="24214" spans="6:8">
      <c r="F24214" t="s">
        <v>13031</v>
      </c>
      <c r="G24214" t="s">
        <v>17195</v>
      </c>
      <c r="H24214" t="s">
        <v>18829</v>
      </c>
    </row>
    <row r="24215" spans="6:8">
      <c r="F24215" t="s">
        <v>11448</v>
      </c>
      <c r="G24215" t="s">
        <v>15688</v>
      </c>
      <c r="H24215" t="s">
        <v>18829</v>
      </c>
    </row>
    <row r="24216" spans="6:8">
      <c r="F24216" t="s">
        <v>13032</v>
      </c>
      <c r="G24216" t="s">
        <v>17196</v>
      </c>
      <c r="H24216" t="s">
        <v>27485</v>
      </c>
    </row>
    <row r="24217" spans="6:8">
      <c r="F24217" t="s">
        <v>13033</v>
      </c>
      <c r="G24217" t="s">
        <v>17197</v>
      </c>
      <c r="H24217" t="s">
        <v>27486</v>
      </c>
    </row>
    <row r="24218" spans="6:8">
      <c r="F24218" t="s">
        <v>13034</v>
      </c>
      <c r="G24218" t="s">
        <v>17198</v>
      </c>
      <c r="H24218" t="s">
        <v>27487</v>
      </c>
    </row>
    <row r="24219" spans="6:8">
      <c r="H24219" t="s">
        <v>18829</v>
      </c>
    </row>
    <row r="24220" spans="6:8">
      <c r="F24220" t="s">
        <v>13035</v>
      </c>
      <c r="G24220" t="s">
        <v>17199</v>
      </c>
      <c r="H24220" t="s">
        <v>18829</v>
      </c>
    </row>
    <row r="24221" spans="6:8">
      <c r="H24221" t="s">
        <v>18836</v>
      </c>
    </row>
    <row r="24222" spans="6:8">
      <c r="F24222" t="s">
        <v>13036</v>
      </c>
      <c r="G24222" t="s">
        <v>17200</v>
      </c>
      <c r="H24222" t="s">
        <v>27488</v>
      </c>
    </row>
    <row r="24223" spans="6:8">
      <c r="H24223" t="s">
        <v>18829</v>
      </c>
    </row>
    <row r="24224" spans="6:8">
      <c r="H24224" t="s">
        <v>27489</v>
      </c>
    </row>
    <row r="24225" spans="1:8">
      <c r="H24225" t="s">
        <v>27490</v>
      </c>
    </row>
    <row r="24226" spans="1:8">
      <c r="H24226" t="s">
        <v>27113</v>
      </c>
    </row>
    <row r="24227" spans="1:8">
      <c r="H24227" t="s">
        <v>18893</v>
      </c>
    </row>
    <row r="24228" spans="1:8">
      <c r="H24228" t="s">
        <v>26266</v>
      </c>
    </row>
    <row r="24229" spans="1:8">
      <c r="H24229" t="s">
        <v>27113</v>
      </c>
    </row>
    <row r="24230" spans="1:8">
      <c r="H24230" t="s">
        <v>18893</v>
      </c>
    </row>
    <row r="24231" spans="1:8">
      <c r="H24231" t="s">
        <v>26976</v>
      </c>
    </row>
    <row r="24232" spans="1:8">
      <c r="H24232" t="s">
        <v>27491</v>
      </c>
    </row>
    <row r="24233" spans="1:8">
      <c r="H24233" t="s">
        <v>19135</v>
      </c>
    </row>
    <row r="24234" spans="1:8">
      <c r="A24234" t="s">
        <v>1249</v>
      </c>
      <c r="B24234">
        <f>HYPERLINK("https://android.googlesource.com/platform/cts/+/dcf7a6566c079bcb03d9946ed0080a4a4f1100db", "dcf7a6566c079bcb03d9946ed0080a4a4f1100db")</f>
        <v>0</v>
      </c>
      <c r="C24234">
        <f>HYPERLINK("https://android.googlesource.com/platform/cts/+/af8d162c45b96676eeecc32c5448e0ed315a67b2", "af8d162c45b96676eeecc32c5448e0ed315a67b2")</f>
        <v>0</v>
      </c>
      <c r="D24234" t="s">
        <v>5143</v>
      </c>
      <c r="E24234" t="s">
        <v>7023</v>
      </c>
      <c r="F24234" t="s">
        <v>13037</v>
      </c>
      <c r="G24234" t="s">
        <v>17201</v>
      </c>
      <c r="H24234" t="s">
        <v>18829</v>
      </c>
    </row>
    <row r="24235" spans="1:8">
      <c r="F24235" t="s">
        <v>11433</v>
      </c>
      <c r="G24235" t="s">
        <v>15673</v>
      </c>
      <c r="H24235" t="s">
        <v>18829</v>
      </c>
    </row>
    <row r="24236" spans="1:8">
      <c r="H24236" t="s">
        <v>18896</v>
      </c>
    </row>
    <row r="24237" spans="1:8">
      <c r="H24237" t="s">
        <v>18927</v>
      </c>
    </row>
    <row r="24238" spans="1:8">
      <c r="H24238" t="s">
        <v>27492</v>
      </c>
    </row>
    <row r="24239" spans="1:8">
      <c r="F24239" t="s">
        <v>13038</v>
      </c>
      <c r="G24239" t="s">
        <v>17202</v>
      </c>
      <c r="H24239" t="s">
        <v>19663</v>
      </c>
    </row>
    <row r="24240" spans="1:8">
      <c r="H24240" t="s">
        <v>27493</v>
      </c>
    </row>
    <row r="24241" spans="6:8">
      <c r="H24241" t="s">
        <v>27494</v>
      </c>
    </row>
    <row r="24242" spans="6:8">
      <c r="H24242" t="s">
        <v>27495</v>
      </c>
    </row>
    <row r="24243" spans="6:8">
      <c r="H24243" t="s">
        <v>27496</v>
      </c>
    </row>
    <row r="24244" spans="6:8">
      <c r="H24244" t="s">
        <v>27497</v>
      </c>
    </row>
    <row r="24245" spans="6:8">
      <c r="H24245" t="s">
        <v>20420</v>
      </c>
    </row>
    <row r="24246" spans="6:8">
      <c r="H24246" t="s">
        <v>27498</v>
      </c>
    </row>
    <row r="24247" spans="6:8">
      <c r="H24247" t="s">
        <v>21191</v>
      </c>
    </row>
    <row r="24248" spans="6:8">
      <c r="H24248" t="s">
        <v>27499</v>
      </c>
    </row>
    <row r="24249" spans="6:8">
      <c r="H24249" t="s">
        <v>18829</v>
      </c>
    </row>
    <row r="24250" spans="6:8">
      <c r="F24250" t="s">
        <v>13039</v>
      </c>
      <c r="G24250" t="s">
        <v>17203</v>
      </c>
      <c r="H24250" t="s">
        <v>18829</v>
      </c>
    </row>
    <row r="24251" spans="6:8">
      <c r="H24251" t="s">
        <v>27500</v>
      </c>
    </row>
    <row r="24252" spans="6:8">
      <c r="H24252" t="s">
        <v>27501</v>
      </c>
    </row>
    <row r="24253" spans="6:8">
      <c r="H24253" t="s">
        <v>27502</v>
      </c>
    </row>
    <row r="24254" spans="6:8">
      <c r="H24254" t="s">
        <v>27503</v>
      </c>
    </row>
    <row r="24255" spans="6:8">
      <c r="H24255" t="s">
        <v>27504</v>
      </c>
    </row>
    <row r="24256" spans="6:8">
      <c r="H24256" t="s">
        <v>27504</v>
      </c>
    </row>
    <row r="24257" spans="1:8">
      <c r="H24257" t="s">
        <v>27505</v>
      </c>
    </row>
    <row r="24258" spans="1:8">
      <c r="H24258" t="s">
        <v>27506</v>
      </c>
    </row>
    <row r="24259" spans="1:8">
      <c r="H24259" t="s">
        <v>21191</v>
      </c>
    </row>
    <row r="24260" spans="1:8">
      <c r="H24260" t="s">
        <v>27498</v>
      </c>
    </row>
    <row r="24261" spans="1:8">
      <c r="H24261" t="s">
        <v>20420</v>
      </c>
    </row>
    <row r="24262" spans="1:8">
      <c r="H24262" t="s">
        <v>27507</v>
      </c>
    </row>
    <row r="24263" spans="1:8">
      <c r="H24263" t="s">
        <v>27508</v>
      </c>
    </row>
    <row r="24264" spans="1:8">
      <c r="H24264" t="s">
        <v>27508</v>
      </c>
    </row>
    <row r="24265" spans="1:8">
      <c r="H24265" t="s">
        <v>27509</v>
      </c>
    </row>
    <row r="24266" spans="1:8">
      <c r="H24266" t="s">
        <v>27510</v>
      </c>
    </row>
    <row r="24267" spans="1:8">
      <c r="A24267" t="s">
        <v>1250</v>
      </c>
      <c r="B24267">
        <f>HYPERLINK("https://android.googlesource.com/platform/cts/+/770a3306d7699e4ec97f076971874974bf130cae", "770a3306d7699e4ec97f076971874974bf130cae")</f>
        <v>0</v>
      </c>
      <c r="C24267">
        <f>HYPERLINK("https://android.googlesource.com/platform/cts/+/ccf75895d9f04c3fd783b2eec94ab42aa51b90d4", "ccf75895d9f04c3fd783b2eec94ab42aa51b90d4")</f>
        <v>0</v>
      </c>
      <c r="D24267" t="s">
        <v>5143</v>
      </c>
      <c r="E24267" t="s">
        <v>7024</v>
      </c>
      <c r="F24267" t="s">
        <v>13040</v>
      </c>
      <c r="G24267" t="s">
        <v>17204</v>
      </c>
      <c r="H24267" t="s">
        <v>27511</v>
      </c>
    </row>
    <row r="24268" spans="1:8">
      <c r="H24268" t="s">
        <v>18829</v>
      </c>
    </row>
    <row r="24269" spans="1:8">
      <c r="H24269" t="s">
        <v>27512</v>
      </c>
    </row>
    <row r="24270" spans="1:8">
      <c r="F24270" t="s">
        <v>13041</v>
      </c>
      <c r="G24270" t="s">
        <v>17205</v>
      </c>
      <c r="H24270" t="s">
        <v>27513</v>
      </c>
    </row>
    <row r="24271" spans="1:8">
      <c r="H24271" t="s">
        <v>18829</v>
      </c>
    </row>
    <row r="24272" spans="1:8">
      <c r="F24272" t="s">
        <v>13042</v>
      </c>
      <c r="G24272" t="s">
        <v>17206</v>
      </c>
      <c r="H24272" t="s">
        <v>27514</v>
      </c>
    </row>
    <row r="24273" spans="6:8">
      <c r="H24273" t="s">
        <v>18829</v>
      </c>
    </row>
    <row r="24274" spans="6:8">
      <c r="H24274" t="s">
        <v>27515</v>
      </c>
    </row>
    <row r="24275" spans="6:8">
      <c r="F24275" t="s">
        <v>13043</v>
      </c>
      <c r="G24275" t="s">
        <v>17207</v>
      </c>
      <c r="H24275" t="s">
        <v>27516</v>
      </c>
    </row>
    <row r="24276" spans="6:8">
      <c r="F24276" t="s">
        <v>13044</v>
      </c>
      <c r="G24276" t="s">
        <v>17208</v>
      </c>
      <c r="H24276" t="s">
        <v>27517</v>
      </c>
    </row>
    <row r="24277" spans="6:8">
      <c r="H24277" t="s">
        <v>18829</v>
      </c>
    </row>
    <row r="24278" spans="6:8">
      <c r="F24278" t="s">
        <v>11457</v>
      </c>
      <c r="G24278" t="s">
        <v>15697</v>
      </c>
      <c r="H24278" t="s">
        <v>27518</v>
      </c>
    </row>
    <row r="24279" spans="6:8">
      <c r="H24279" t="s">
        <v>18829</v>
      </c>
    </row>
    <row r="24280" spans="6:8">
      <c r="F24280" t="s">
        <v>12929</v>
      </c>
      <c r="G24280" t="s">
        <v>17094</v>
      </c>
      <c r="H24280" t="s">
        <v>27519</v>
      </c>
    </row>
    <row r="24281" spans="6:8">
      <c r="H24281" t="s">
        <v>18829</v>
      </c>
    </row>
    <row r="24282" spans="6:8">
      <c r="F24282" t="s">
        <v>12717</v>
      </c>
      <c r="G24282" t="s">
        <v>16917</v>
      </c>
      <c r="H24282" t="s">
        <v>27520</v>
      </c>
    </row>
    <row r="24283" spans="6:8">
      <c r="H24283" t="s">
        <v>18829</v>
      </c>
    </row>
    <row r="24284" spans="6:8">
      <c r="H24284" t="s">
        <v>27515</v>
      </c>
    </row>
    <row r="24285" spans="6:8">
      <c r="H24285" t="s">
        <v>25489</v>
      </c>
    </row>
    <row r="24286" spans="6:8">
      <c r="H24286" t="s">
        <v>25490</v>
      </c>
    </row>
    <row r="24287" spans="6:8">
      <c r="H24287" t="s">
        <v>25491</v>
      </c>
    </row>
    <row r="24288" spans="6:8">
      <c r="H24288" t="s">
        <v>25492</v>
      </c>
    </row>
    <row r="24289" spans="1:8">
      <c r="A24289" t="s">
        <v>1251</v>
      </c>
      <c r="B24289">
        <f>HYPERLINK("https://android.googlesource.com/platform/cts/+/1763ba33ceeedcbaefb8de8a0554c3bfffa1afb2", "1763ba33ceeedcbaefb8de8a0554c3bfffa1afb2")</f>
        <v>0</v>
      </c>
      <c r="C24289">
        <f>HYPERLINK("https://android.googlesource.com/platform/cts/+/7235b2427b2ccbca14181806b14f46154587dcb2", "7235b2427b2ccbca14181806b14f46154587dcb2")</f>
        <v>0</v>
      </c>
      <c r="D24289" t="s">
        <v>5143</v>
      </c>
      <c r="E24289" t="s">
        <v>7025</v>
      </c>
      <c r="F24289" t="s">
        <v>13045</v>
      </c>
      <c r="G24289" t="s">
        <v>17209</v>
      </c>
      <c r="H24289" t="s">
        <v>18829</v>
      </c>
    </row>
    <row r="24290" spans="1:8">
      <c r="H24290" t="s">
        <v>21510</v>
      </c>
    </row>
    <row r="24291" spans="1:8">
      <c r="H24291" t="s">
        <v>27521</v>
      </c>
    </row>
    <row r="24292" spans="1:8">
      <c r="H24292" t="s">
        <v>27522</v>
      </c>
    </row>
    <row r="24293" spans="1:8">
      <c r="H24293" t="s">
        <v>27523</v>
      </c>
    </row>
    <row r="24294" spans="1:8">
      <c r="H24294" t="s">
        <v>27524</v>
      </c>
    </row>
    <row r="24295" spans="1:8">
      <c r="H24295" t="s">
        <v>27525</v>
      </c>
    </row>
    <row r="24296" spans="1:8">
      <c r="H24296" t="s">
        <v>27526</v>
      </c>
    </row>
    <row r="24297" spans="1:8">
      <c r="H24297" t="s">
        <v>27527</v>
      </c>
    </row>
    <row r="24298" spans="1:8">
      <c r="H24298" t="s">
        <v>27528</v>
      </c>
    </row>
    <row r="24299" spans="1:8">
      <c r="H24299" t="s">
        <v>27529</v>
      </c>
    </row>
    <row r="24300" spans="1:8">
      <c r="H24300" t="s">
        <v>27530</v>
      </c>
    </row>
    <row r="24301" spans="1:8">
      <c r="F24301" t="s">
        <v>13046</v>
      </c>
      <c r="G24301" t="s">
        <v>17210</v>
      </c>
      <c r="H24301" t="s">
        <v>27531</v>
      </c>
    </row>
    <row r="24302" spans="1:8">
      <c r="H24302" t="s">
        <v>18829</v>
      </c>
    </row>
    <row r="24303" spans="1:8">
      <c r="H24303" t="s">
        <v>18896</v>
      </c>
    </row>
    <row r="24304" spans="1:8">
      <c r="F24304" t="s">
        <v>13047</v>
      </c>
      <c r="G24304" t="s">
        <v>17211</v>
      </c>
      <c r="H24304" t="s">
        <v>18829</v>
      </c>
    </row>
    <row r="24305" spans="6:8">
      <c r="F24305" t="s">
        <v>10672</v>
      </c>
      <c r="G24305" t="s">
        <v>15072</v>
      </c>
      <c r="H24305" t="s">
        <v>27532</v>
      </c>
    </row>
    <row r="24306" spans="6:8">
      <c r="H24306" t="s">
        <v>18829</v>
      </c>
    </row>
    <row r="24307" spans="6:8">
      <c r="H24307" t="s">
        <v>27533</v>
      </c>
    </row>
    <row r="24308" spans="6:8">
      <c r="H24308" t="s">
        <v>27534</v>
      </c>
    </row>
    <row r="24309" spans="6:8">
      <c r="H24309" t="s">
        <v>27535</v>
      </c>
    </row>
    <row r="24310" spans="6:8">
      <c r="H24310" t="s">
        <v>18893</v>
      </c>
    </row>
    <row r="24311" spans="6:8">
      <c r="F24311" t="s">
        <v>13048</v>
      </c>
      <c r="G24311" t="s">
        <v>17212</v>
      </c>
      <c r="H24311" t="s">
        <v>27536</v>
      </c>
    </row>
    <row r="24312" spans="6:8">
      <c r="F24312" t="s">
        <v>10684</v>
      </c>
      <c r="G24312" t="s">
        <v>15084</v>
      </c>
      <c r="H24312" t="s">
        <v>27537</v>
      </c>
    </row>
    <row r="24313" spans="6:8">
      <c r="H24313" t="s">
        <v>18829</v>
      </c>
    </row>
    <row r="24314" spans="6:8">
      <c r="H24314" t="s">
        <v>18863</v>
      </c>
    </row>
    <row r="24315" spans="6:8">
      <c r="H24315" t="s">
        <v>27538</v>
      </c>
    </row>
    <row r="24316" spans="6:8">
      <c r="H24316" t="s">
        <v>27539</v>
      </c>
    </row>
    <row r="24317" spans="6:8">
      <c r="H24317" t="s">
        <v>27540</v>
      </c>
    </row>
    <row r="24318" spans="6:8">
      <c r="H24318" t="s">
        <v>27541</v>
      </c>
    </row>
    <row r="24319" spans="6:8">
      <c r="H24319" t="s">
        <v>27542</v>
      </c>
    </row>
    <row r="24320" spans="6:8">
      <c r="H24320" t="s">
        <v>27543</v>
      </c>
    </row>
    <row r="24321" spans="8:8">
      <c r="H24321" t="s">
        <v>27544</v>
      </c>
    </row>
    <row r="24322" spans="8:8">
      <c r="H24322" t="s">
        <v>27545</v>
      </c>
    </row>
    <row r="24323" spans="8:8">
      <c r="H24323" t="s">
        <v>27546</v>
      </c>
    </row>
    <row r="24324" spans="8:8">
      <c r="H24324" t="s">
        <v>27547</v>
      </c>
    </row>
    <row r="24325" spans="8:8">
      <c r="H24325" t="s">
        <v>27548</v>
      </c>
    </row>
    <row r="24326" spans="8:8">
      <c r="H24326" t="s">
        <v>27549</v>
      </c>
    </row>
    <row r="24327" spans="8:8">
      <c r="H24327" t="s">
        <v>27550</v>
      </c>
    </row>
    <row r="24328" spans="8:8">
      <c r="H24328" t="s">
        <v>27551</v>
      </c>
    </row>
    <row r="24329" spans="8:8">
      <c r="H24329" t="s">
        <v>27552</v>
      </c>
    </row>
    <row r="24330" spans="8:8">
      <c r="H24330" t="s">
        <v>27553</v>
      </c>
    </row>
    <row r="24331" spans="8:8">
      <c r="H24331" t="s">
        <v>27554</v>
      </c>
    </row>
    <row r="24332" spans="8:8">
      <c r="H24332" t="s">
        <v>27555</v>
      </c>
    </row>
    <row r="24333" spans="8:8">
      <c r="H24333" t="s">
        <v>27556</v>
      </c>
    </row>
    <row r="24334" spans="8:8">
      <c r="H24334" t="s">
        <v>27557</v>
      </c>
    </row>
    <row r="24335" spans="8:8">
      <c r="H24335" t="s">
        <v>27558</v>
      </c>
    </row>
    <row r="24336" spans="8:8">
      <c r="H24336" t="s">
        <v>27559</v>
      </c>
    </row>
    <row r="24337" spans="1:8">
      <c r="H24337" t="s">
        <v>27560</v>
      </c>
    </row>
    <row r="24338" spans="1:8">
      <c r="H24338" t="s">
        <v>27561</v>
      </c>
    </row>
    <row r="24339" spans="1:8">
      <c r="H24339" t="s">
        <v>19692</v>
      </c>
    </row>
    <row r="24340" spans="1:8">
      <c r="H24340" t="s">
        <v>18891</v>
      </c>
    </row>
    <row r="24341" spans="1:8">
      <c r="H24341" t="s">
        <v>26786</v>
      </c>
    </row>
    <row r="24342" spans="1:8">
      <c r="H24342" t="s">
        <v>27562</v>
      </c>
    </row>
    <row r="24343" spans="1:8">
      <c r="H24343" t="s">
        <v>27563</v>
      </c>
    </row>
    <row r="24344" spans="1:8">
      <c r="H24344" t="s">
        <v>27564</v>
      </c>
    </row>
    <row r="24345" spans="1:8">
      <c r="H24345" t="s">
        <v>27564</v>
      </c>
    </row>
    <row r="24346" spans="1:8">
      <c r="H24346" t="s">
        <v>27565</v>
      </c>
    </row>
    <row r="24347" spans="1:8">
      <c r="H24347" t="s">
        <v>27565</v>
      </c>
    </row>
    <row r="24348" spans="1:8">
      <c r="H24348" t="s">
        <v>27566</v>
      </c>
    </row>
    <row r="24349" spans="1:8">
      <c r="H24349" t="s">
        <v>27567</v>
      </c>
    </row>
    <row r="24350" spans="1:8">
      <c r="H24350" t="s">
        <v>27568</v>
      </c>
    </row>
    <row r="24351" spans="1:8">
      <c r="A24351" t="s">
        <v>1252</v>
      </c>
      <c r="B24351">
        <f>HYPERLINK("https://android.googlesource.com/platform/cts/+/0245fbe94eab50ca9cc1e9e4569353a1c9a0aba7", "0245fbe94eab50ca9cc1e9e4569353a1c9a0aba7")</f>
        <v>0</v>
      </c>
      <c r="C24351">
        <f>HYPERLINK("https://android.googlesource.com/platform/cts/+/e736ee5b1dd4d0db3c27a1630aa93574c38d8ce3", "e736ee5b1dd4d0db3c27a1630aa93574c38d8ce3")</f>
        <v>0</v>
      </c>
      <c r="D24351" t="s">
        <v>5143</v>
      </c>
      <c r="E24351" t="s">
        <v>7026</v>
      </c>
      <c r="F24351" t="s">
        <v>10740</v>
      </c>
      <c r="G24351" t="s">
        <v>15139</v>
      </c>
      <c r="H24351" t="s">
        <v>18829</v>
      </c>
    </row>
    <row r="24352" spans="1:8">
      <c r="H24352" t="s">
        <v>27569</v>
      </c>
    </row>
    <row r="24353" spans="1:8">
      <c r="H24353" t="s">
        <v>27173</v>
      </c>
    </row>
    <row r="24354" spans="1:8">
      <c r="H24354" t="s">
        <v>27174</v>
      </c>
    </row>
    <row r="24355" spans="1:8">
      <c r="H24355" t="s">
        <v>27570</v>
      </c>
    </row>
    <row r="24356" spans="1:8">
      <c r="H24356" t="s">
        <v>19426</v>
      </c>
    </row>
    <row r="24357" spans="1:8">
      <c r="A24357" t="s">
        <v>1253</v>
      </c>
      <c r="B24357">
        <f>HYPERLINK("https://android.googlesource.com/platform/cts/+/6adcaba10b92ddc83476478d64fe9604a0bc5816", "6adcaba10b92ddc83476478d64fe9604a0bc5816")</f>
        <v>0</v>
      </c>
      <c r="C24357">
        <f>HYPERLINK("https://android.googlesource.com/platform/cts/+/8770be349e17ce4c758ab04f6bf286569354ea37", "8770be349e17ce4c758ab04f6bf286569354ea37")</f>
        <v>0</v>
      </c>
      <c r="D24357" t="s">
        <v>5143</v>
      </c>
      <c r="E24357" t="s">
        <v>7027</v>
      </c>
      <c r="F24357" t="s">
        <v>10699</v>
      </c>
      <c r="G24357" t="s">
        <v>15099</v>
      </c>
      <c r="H24357" t="s">
        <v>27571</v>
      </c>
    </row>
    <row r="24358" spans="1:8">
      <c r="H24358" t="s">
        <v>18829</v>
      </c>
    </row>
    <row r="24359" spans="1:8">
      <c r="H24359" t="s">
        <v>27572</v>
      </c>
    </row>
    <row r="24360" spans="1:8">
      <c r="H24360" t="s">
        <v>19687</v>
      </c>
    </row>
    <row r="24361" spans="1:8">
      <c r="H24361" t="s">
        <v>27573</v>
      </c>
    </row>
    <row r="24362" spans="1:8">
      <c r="H24362" t="s">
        <v>18893</v>
      </c>
    </row>
    <row r="24363" spans="1:8">
      <c r="H24363" t="s">
        <v>26266</v>
      </c>
    </row>
    <row r="24364" spans="1:8">
      <c r="H24364" t="s">
        <v>27574</v>
      </c>
    </row>
    <row r="24365" spans="1:8">
      <c r="H24365" t="s">
        <v>18893</v>
      </c>
    </row>
    <row r="24366" spans="1:8">
      <c r="H24366" t="s">
        <v>27575</v>
      </c>
    </row>
    <row r="24367" spans="1:8">
      <c r="H24367" t="s">
        <v>18893</v>
      </c>
    </row>
    <row r="24368" spans="1:8">
      <c r="H24368" t="s">
        <v>26976</v>
      </c>
    </row>
    <row r="24369" spans="8:8">
      <c r="H24369" t="s">
        <v>27576</v>
      </c>
    </row>
    <row r="24370" spans="8:8">
      <c r="H24370" t="s">
        <v>18893</v>
      </c>
    </row>
    <row r="24371" spans="8:8">
      <c r="H24371" t="s">
        <v>27577</v>
      </c>
    </row>
    <row r="24372" spans="8:8">
      <c r="H24372" t="s">
        <v>27578</v>
      </c>
    </row>
    <row r="24373" spans="8:8">
      <c r="H24373" t="s">
        <v>27489</v>
      </c>
    </row>
    <row r="24374" spans="8:8">
      <c r="H24374" t="s">
        <v>27579</v>
      </c>
    </row>
    <row r="24375" spans="8:8">
      <c r="H24375" t="s">
        <v>18893</v>
      </c>
    </row>
    <row r="24376" spans="8:8">
      <c r="H24376" t="s">
        <v>27580</v>
      </c>
    </row>
    <row r="24377" spans="8:8">
      <c r="H24377" t="s">
        <v>18893</v>
      </c>
    </row>
    <row r="24378" spans="8:8">
      <c r="H24378" t="s">
        <v>27581</v>
      </c>
    </row>
    <row r="24379" spans="8:8">
      <c r="H24379" t="s">
        <v>26124</v>
      </c>
    </row>
    <row r="24380" spans="8:8">
      <c r="H24380" t="s">
        <v>18893</v>
      </c>
    </row>
    <row r="24381" spans="8:8">
      <c r="H24381" t="s">
        <v>27582</v>
      </c>
    </row>
    <row r="24382" spans="8:8">
      <c r="H24382" t="s">
        <v>27457</v>
      </c>
    </row>
    <row r="24383" spans="8:8">
      <c r="H24383" t="s">
        <v>27458</v>
      </c>
    </row>
    <row r="24384" spans="8:8">
      <c r="H24384" t="s">
        <v>27583</v>
      </c>
    </row>
    <row r="24385" spans="1:8">
      <c r="H24385" t="s">
        <v>18893</v>
      </c>
    </row>
    <row r="24386" spans="1:8">
      <c r="H24386" t="s">
        <v>18927</v>
      </c>
    </row>
    <row r="24387" spans="1:8">
      <c r="A24387" t="s">
        <v>1254</v>
      </c>
      <c r="B24387">
        <f>HYPERLINK("https://android.googlesource.com/platform/cts/+/9560fd0bff8ebc15f71898067d514cf1e2d3ad09", "9560fd0bff8ebc15f71898067d514cf1e2d3ad09")</f>
        <v>0</v>
      </c>
      <c r="C24387">
        <f>HYPERLINK("https://android.googlesource.com/platform/cts/+/2efab840f6039ccf78497cea813df73631c6137b", "2efab840f6039ccf78497cea813df73631c6137b")</f>
        <v>0</v>
      </c>
      <c r="D24387" t="s">
        <v>5176</v>
      </c>
      <c r="E24387" t="s">
        <v>7028</v>
      </c>
      <c r="F24387" t="s">
        <v>10794</v>
      </c>
      <c r="G24387" t="s">
        <v>15189</v>
      </c>
      <c r="H24387" t="s">
        <v>27584</v>
      </c>
    </row>
    <row r="24388" spans="1:8">
      <c r="H24388" t="s">
        <v>27585</v>
      </c>
    </row>
    <row r="24389" spans="1:8">
      <c r="H24389" t="s">
        <v>27586</v>
      </c>
    </row>
    <row r="24390" spans="1:8">
      <c r="H24390" t="s">
        <v>27587</v>
      </c>
    </row>
    <row r="24391" spans="1:8">
      <c r="H24391" t="s">
        <v>27588</v>
      </c>
    </row>
    <row r="24392" spans="1:8">
      <c r="H24392" t="s">
        <v>27589</v>
      </c>
    </row>
    <row r="24393" spans="1:8">
      <c r="A24393" t="s">
        <v>1255</v>
      </c>
      <c r="B24393">
        <f>HYPERLINK("https://android.googlesource.com/platform/cts/+/0544ac91f67c413d9261f15ea1c24a757ab7a8e6", "0544ac91f67c413d9261f15ea1c24a757ab7a8e6")</f>
        <v>0</v>
      </c>
      <c r="C24393">
        <f>HYPERLINK("https://android.googlesource.com/platform/cts/+/66b3c5ec4e0431f525038e0de8851440e98554c9", "66b3c5ec4e0431f525038e0de8851440e98554c9")</f>
        <v>0</v>
      </c>
      <c r="D24393" t="s">
        <v>5114</v>
      </c>
      <c r="E24393" t="s">
        <v>7029</v>
      </c>
      <c r="F24393" t="s">
        <v>13040</v>
      </c>
      <c r="G24393" t="s">
        <v>17204</v>
      </c>
      <c r="H24393" t="s">
        <v>27590</v>
      </c>
    </row>
    <row r="24394" spans="1:8">
      <c r="A24394" t="s">
        <v>1256</v>
      </c>
      <c r="B24394">
        <f>HYPERLINK("https://android.googlesource.com/platform/cts/+/bc9d98bfe6b1c1ad4dcfcf109200c96cca5fd4d5", "bc9d98bfe6b1c1ad4dcfcf109200c96cca5fd4d5")</f>
        <v>0</v>
      </c>
      <c r="C24394">
        <f>HYPERLINK("https://android.googlesource.com/platform/cts/+/3e6e41d1018c050b745986503f4d3acf0539a6da", "3e6e41d1018c050b745986503f4d3acf0539a6da")</f>
        <v>0</v>
      </c>
      <c r="D24394" t="s">
        <v>5143</v>
      </c>
      <c r="E24394" t="s">
        <v>7030</v>
      </c>
      <c r="F24394" t="s">
        <v>13000</v>
      </c>
      <c r="G24394" t="s">
        <v>17164</v>
      </c>
      <c r="H24394" t="s">
        <v>25492</v>
      </c>
    </row>
    <row r="24395" spans="1:8">
      <c r="H24395" t="s">
        <v>25490</v>
      </c>
    </row>
    <row r="24396" spans="1:8">
      <c r="H24396" t="s">
        <v>25491</v>
      </c>
    </row>
    <row r="24397" spans="1:8">
      <c r="H24397" t="s">
        <v>27591</v>
      </c>
    </row>
    <row r="24398" spans="1:8">
      <c r="H24398" t="s">
        <v>27592</v>
      </c>
    </row>
    <row r="24399" spans="1:8">
      <c r="H24399" t="s">
        <v>27593</v>
      </c>
    </row>
    <row r="24400" spans="1:8">
      <c r="H24400" t="s">
        <v>18893</v>
      </c>
    </row>
    <row r="24401" spans="1:8">
      <c r="A24401" t="s">
        <v>1257</v>
      </c>
      <c r="B24401">
        <f>HYPERLINK("https://android.googlesource.com/platform/cts/+/b23b2283696a9be0c6add4231ba1c928ec36f999", "b23b2283696a9be0c6add4231ba1c928ec36f999")</f>
        <v>0</v>
      </c>
      <c r="C24401">
        <f>HYPERLINK("https://android.googlesource.com/platform/cts/+/9136b1033036ef9ef51b829de940f414548a7ecc", "9136b1033036ef9ef51b829de940f414548a7ecc")</f>
        <v>0</v>
      </c>
      <c r="D24401" t="s">
        <v>5134</v>
      </c>
      <c r="E24401" t="s">
        <v>7031</v>
      </c>
      <c r="F24401" t="s">
        <v>13049</v>
      </c>
      <c r="G24401" t="s">
        <v>17213</v>
      </c>
      <c r="H24401" t="s">
        <v>26491</v>
      </c>
    </row>
    <row r="24402" spans="1:8">
      <c r="A24402" t="s">
        <v>1259</v>
      </c>
      <c r="B24402">
        <f>HYPERLINK("https://android.googlesource.com/platform/cts/+/ef5c50f96a4b6a08e1cb55eed7b1c0a54fa89f58", "ef5c50f96a4b6a08e1cb55eed7b1c0a54fa89f58")</f>
        <v>0</v>
      </c>
      <c r="C24402">
        <f>HYPERLINK("https://android.googlesource.com/platform/cts/+/3e6e41d1018c050b745986503f4d3acf0539a6da", "3e6e41d1018c050b745986503f4d3acf0539a6da")</f>
        <v>0</v>
      </c>
      <c r="D24402" t="s">
        <v>5143</v>
      </c>
      <c r="E24402" t="s">
        <v>7033</v>
      </c>
      <c r="F24402" t="s">
        <v>12797</v>
      </c>
      <c r="G24402" t="s">
        <v>16979</v>
      </c>
      <c r="H24402" t="s">
        <v>27594</v>
      </c>
    </row>
    <row r="24403" spans="1:8">
      <c r="H24403" t="s">
        <v>18829</v>
      </c>
    </row>
    <row r="24404" spans="1:8">
      <c r="F24404" t="s">
        <v>13050</v>
      </c>
      <c r="G24404" t="s">
        <v>17214</v>
      </c>
      <c r="H24404" t="s">
        <v>27595</v>
      </c>
    </row>
    <row r="24405" spans="1:8">
      <c r="F24405" t="s">
        <v>13051</v>
      </c>
      <c r="G24405" t="s">
        <v>17215</v>
      </c>
      <c r="H24405" t="s">
        <v>27596</v>
      </c>
    </row>
    <row r="24406" spans="1:8">
      <c r="H24406" t="s">
        <v>18829</v>
      </c>
    </row>
    <row r="24407" spans="1:8">
      <c r="F24407" t="s">
        <v>13052</v>
      </c>
      <c r="G24407" t="s">
        <v>17216</v>
      </c>
      <c r="H24407" t="s">
        <v>27597</v>
      </c>
    </row>
    <row r="24408" spans="1:8">
      <c r="H24408" t="s">
        <v>18829</v>
      </c>
    </row>
    <row r="24409" spans="1:8">
      <c r="F24409" t="s">
        <v>13053</v>
      </c>
      <c r="G24409" t="s">
        <v>17217</v>
      </c>
      <c r="H24409" t="s">
        <v>18829</v>
      </c>
    </row>
    <row r="24410" spans="1:8">
      <c r="H24410" t="s">
        <v>27598</v>
      </c>
    </row>
    <row r="24411" spans="1:8">
      <c r="F24411" t="s">
        <v>13054</v>
      </c>
      <c r="G24411" t="s">
        <v>17218</v>
      </c>
      <c r="H24411" t="s">
        <v>27599</v>
      </c>
    </row>
    <row r="24412" spans="1:8">
      <c r="H24412" t="s">
        <v>18829</v>
      </c>
    </row>
    <row r="24413" spans="1:8">
      <c r="F24413" t="s">
        <v>13055</v>
      </c>
      <c r="G24413" t="s">
        <v>17219</v>
      </c>
      <c r="H24413" t="s">
        <v>18829</v>
      </c>
    </row>
    <row r="24414" spans="1:8">
      <c r="F24414" t="s">
        <v>13056</v>
      </c>
      <c r="G24414" t="s">
        <v>17220</v>
      </c>
      <c r="H24414" t="s">
        <v>18829</v>
      </c>
    </row>
    <row r="24415" spans="1:8">
      <c r="H24415" t="s">
        <v>27600</v>
      </c>
    </row>
    <row r="24416" spans="1:8">
      <c r="H24416" t="s">
        <v>27601</v>
      </c>
    </row>
    <row r="24417" spans="6:8">
      <c r="F24417" t="s">
        <v>13057</v>
      </c>
      <c r="G24417" t="s">
        <v>17221</v>
      </c>
      <c r="H24417" t="s">
        <v>18829</v>
      </c>
    </row>
    <row r="24418" spans="6:8">
      <c r="F24418" t="s">
        <v>12921</v>
      </c>
      <c r="G24418" t="s">
        <v>17086</v>
      </c>
      <c r="H24418" t="s">
        <v>18927</v>
      </c>
    </row>
    <row r="24419" spans="6:8">
      <c r="F24419" t="s">
        <v>12815</v>
      </c>
      <c r="G24419" t="s">
        <v>16996</v>
      </c>
      <c r="H24419" t="s">
        <v>27602</v>
      </c>
    </row>
    <row r="24420" spans="6:8">
      <c r="H24420" t="s">
        <v>27600</v>
      </c>
    </row>
    <row r="24421" spans="6:8">
      <c r="H24421" t="s">
        <v>27601</v>
      </c>
    </row>
    <row r="24422" spans="6:8">
      <c r="F24422" t="s">
        <v>13058</v>
      </c>
      <c r="G24422" t="s">
        <v>17222</v>
      </c>
      <c r="H24422" t="s">
        <v>27603</v>
      </c>
    </row>
    <row r="24423" spans="6:8">
      <c r="H24423" t="s">
        <v>27604</v>
      </c>
    </row>
    <row r="24424" spans="6:8">
      <c r="H24424" t="s">
        <v>27605</v>
      </c>
    </row>
    <row r="24425" spans="6:8">
      <c r="H24425" t="s">
        <v>27606</v>
      </c>
    </row>
    <row r="24426" spans="6:8">
      <c r="H24426" t="s">
        <v>27607</v>
      </c>
    </row>
    <row r="24427" spans="6:8">
      <c r="H24427" t="s">
        <v>27608</v>
      </c>
    </row>
    <row r="24428" spans="6:8">
      <c r="H24428" t="s">
        <v>27609</v>
      </c>
    </row>
    <row r="24429" spans="6:8">
      <c r="H24429" t="s">
        <v>27610</v>
      </c>
    </row>
    <row r="24430" spans="6:8">
      <c r="H24430" t="s">
        <v>27611</v>
      </c>
    </row>
    <row r="24431" spans="6:8">
      <c r="H24431" t="s">
        <v>27612</v>
      </c>
    </row>
    <row r="24432" spans="6:8">
      <c r="H24432" t="s">
        <v>27613</v>
      </c>
    </row>
    <row r="24433" spans="1:8">
      <c r="H24433" t="s">
        <v>27614</v>
      </c>
    </row>
    <row r="24434" spans="1:8">
      <c r="H24434" t="s">
        <v>27615</v>
      </c>
    </row>
    <row r="24435" spans="1:8">
      <c r="H24435" t="s">
        <v>27616</v>
      </c>
    </row>
    <row r="24436" spans="1:8">
      <c r="H24436" t="s">
        <v>27617</v>
      </c>
    </row>
    <row r="24437" spans="1:8">
      <c r="H24437" t="s">
        <v>27618</v>
      </c>
    </row>
    <row r="24438" spans="1:8">
      <c r="H24438" t="s">
        <v>27619</v>
      </c>
    </row>
    <row r="24439" spans="1:8">
      <c r="F24439" t="s">
        <v>13059</v>
      </c>
      <c r="G24439" t="s">
        <v>17223</v>
      </c>
      <c r="H24439" t="s">
        <v>27620</v>
      </c>
    </row>
    <row r="24440" spans="1:8">
      <c r="F24440" t="s">
        <v>13060</v>
      </c>
      <c r="G24440" t="s">
        <v>17224</v>
      </c>
      <c r="H24440" t="s">
        <v>27621</v>
      </c>
    </row>
    <row r="24441" spans="1:8">
      <c r="F24441" t="s">
        <v>13061</v>
      </c>
      <c r="G24441" t="s">
        <v>17225</v>
      </c>
      <c r="H24441" t="s">
        <v>27622</v>
      </c>
    </row>
    <row r="24442" spans="1:8">
      <c r="H24442" t="s">
        <v>18829</v>
      </c>
    </row>
    <row r="24443" spans="1:8">
      <c r="A24443" t="s">
        <v>1260</v>
      </c>
      <c r="B24443">
        <f>HYPERLINK("https://android.googlesource.com/platform/cts/+/8434bc28e852bbf68b5b81322b22598f0b177070", "8434bc28e852bbf68b5b81322b22598f0b177070")</f>
        <v>0</v>
      </c>
      <c r="C24443">
        <f>HYPERLINK("https://android.googlesource.com/platform/cts/+/3e6e41d1018c050b745986503f4d3acf0539a6da", "3e6e41d1018c050b745986503f4d3acf0539a6da")</f>
        <v>0</v>
      </c>
      <c r="D24443" t="s">
        <v>5117</v>
      </c>
      <c r="E24443" t="s">
        <v>7034</v>
      </c>
      <c r="F24443" t="s">
        <v>12246</v>
      </c>
      <c r="G24443" t="s">
        <v>16477</v>
      </c>
      <c r="H24443" t="s">
        <v>18929</v>
      </c>
    </row>
    <row r="24444" spans="1:8">
      <c r="H24444" t="s">
        <v>27623</v>
      </c>
    </row>
    <row r="24445" spans="1:8">
      <c r="F24445" t="s">
        <v>12935</v>
      </c>
      <c r="G24445" t="s">
        <v>17100</v>
      </c>
      <c r="H24445" t="s">
        <v>27624</v>
      </c>
    </row>
    <row r="24446" spans="1:8">
      <c r="H24446" t="s">
        <v>27625</v>
      </c>
    </row>
    <row r="24447" spans="1:8">
      <c r="H24447" t="s">
        <v>27626</v>
      </c>
    </row>
    <row r="24448" spans="1:8">
      <c r="H24448" t="s">
        <v>27627</v>
      </c>
    </row>
    <row r="24449" spans="6:8">
      <c r="H24449" t="s">
        <v>27628</v>
      </c>
    </row>
    <row r="24450" spans="6:8">
      <c r="H24450" t="s">
        <v>27629</v>
      </c>
    </row>
    <row r="24451" spans="6:8">
      <c r="H24451" t="s">
        <v>27630</v>
      </c>
    </row>
    <row r="24452" spans="6:8">
      <c r="H24452" t="s">
        <v>27631</v>
      </c>
    </row>
    <row r="24453" spans="6:8">
      <c r="F24453" t="s">
        <v>12859</v>
      </c>
      <c r="G24453" t="s">
        <v>17028</v>
      </c>
      <c r="H24453" t="s">
        <v>27632</v>
      </c>
    </row>
    <row r="24454" spans="6:8">
      <c r="H24454" t="s">
        <v>27633</v>
      </c>
    </row>
    <row r="24455" spans="6:8">
      <c r="H24455" t="s">
        <v>27634</v>
      </c>
    </row>
    <row r="24456" spans="6:8">
      <c r="H24456" t="s">
        <v>27635</v>
      </c>
    </row>
    <row r="24457" spans="6:8">
      <c r="H24457" t="s">
        <v>27636</v>
      </c>
    </row>
    <row r="24458" spans="6:8">
      <c r="H24458" t="s">
        <v>27637</v>
      </c>
    </row>
    <row r="24459" spans="6:8">
      <c r="H24459" t="s">
        <v>27638</v>
      </c>
    </row>
    <row r="24460" spans="6:8">
      <c r="H24460" t="s">
        <v>27639</v>
      </c>
    </row>
    <row r="24461" spans="6:8">
      <c r="H24461" t="s">
        <v>27640</v>
      </c>
    </row>
    <row r="24462" spans="6:8">
      <c r="H24462" t="s">
        <v>27641</v>
      </c>
    </row>
    <row r="24463" spans="6:8">
      <c r="F24463" t="s">
        <v>13062</v>
      </c>
      <c r="G24463" t="s">
        <v>17108</v>
      </c>
      <c r="H24463" t="s">
        <v>27220</v>
      </c>
    </row>
    <row r="24464" spans="6:8">
      <c r="H24464" t="s">
        <v>27221</v>
      </c>
    </row>
    <row r="24465" spans="6:8">
      <c r="H24465" t="s">
        <v>27222</v>
      </c>
    </row>
    <row r="24466" spans="6:8">
      <c r="H24466" t="s">
        <v>27223</v>
      </c>
    </row>
    <row r="24467" spans="6:8">
      <c r="H24467" t="s">
        <v>27224</v>
      </c>
    </row>
    <row r="24468" spans="6:8">
      <c r="H24468" t="s">
        <v>27225</v>
      </c>
    </row>
    <row r="24469" spans="6:8">
      <c r="H24469" t="s">
        <v>27226</v>
      </c>
    </row>
    <row r="24470" spans="6:8">
      <c r="F24470" t="s">
        <v>12944</v>
      </c>
      <c r="G24470" t="s">
        <v>17109</v>
      </c>
      <c r="H24470" t="s">
        <v>27642</v>
      </c>
    </row>
    <row r="24471" spans="6:8">
      <c r="H24471" t="s">
        <v>27643</v>
      </c>
    </row>
    <row r="24472" spans="6:8">
      <c r="H24472" t="s">
        <v>27644</v>
      </c>
    </row>
    <row r="24473" spans="6:8">
      <c r="H24473" t="s">
        <v>27645</v>
      </c>
    </row>
    <row r="24474" spans="6:8">
      <c r="H24474" t="s">
        <v>27646</v>
      </c>
    </row>
    <row r="24475" spans="6:8">
      <c r="F24475" t="s">
        <v>12836</v>
      </c>
      <c r="G24475" t="s">
        <v>17012</v>
      </c>
      <c r="H24475" t="s">
        <v>27647</v>
      </c>
    </row>
    <row r="24476" spans="6:8">
      <c r="H24476" t="s">
        <v>27648</v>
      </c>
    </row>
    <row r="24477" spans="6:8">
      <c r="H24477" t="s">
        <v>27649</v>
      </c>
    </row>
    <row r="24478" spans="6:8">
      <c r="H24478" t="s">
        <v>27650</v>
      </c>
    </row>
    <row r="24479" spans="6:8">
      <c r="H24479" t="s">
        <v>27651</v>
      </c>
    </row>
    <row r="24480" spans="6:8">
      <c r="H24480" t="s">
        <v>27652</v>
      </c>
    </row>
    <row r="24481" spans="6:8">
      <c r="H24481" t="s">
        <v>27653</v>
      </c>
    </row>
    <row r="24482" spans="6:8">
      <c r="H24482" t="s">
        <v>27654</v>
      </c>
    </row>
    <row r="24483" spans="6:8">
      <c r="H24483" t="s">
        <v>27655</v>
      </c>
    </row>
    <row r="24484" spans="6:8">
      <c r="H24484" t="s">
        <v>27656</v>
      </c>
    </row>
    <row r="24485" spans="6:8">
      <c r="H24485" t="s">
        <v>27657</v>
      </c>
    </row>
    <row r="24486" spans="6:8">
      <c r="H24486" t="s">
        <v>27658</v>
      </c>
    </row>
    <row r="24487" spans="6:8">
      <c r="H24487" t="s">
        <v>27659</v>
      </c>
    </row>
    <row r="24488" spans="6:8">
      <c r="F24488" t="s">
        <v>12243</v>
      </c>
      <c r="G24488" t="s">
        <v>16474</v>
      </c>
      <c r="H24488" t="s">
        <v>27660</v>
      </c>
    </row>
    <row r="24489" spans="6:8">
      <c r="H24489" t="s">
        <v>27661</v>
      </c>
    </row>
    <row r="24490" spans="6:8">
      <c r="H24490" t="s">
        <v>27662</v>
      </c>
    </row>
    <row r="24491" spans="6:8">
      <c r="H24491" t="s">
        <v>27663</v>
      </c>
    </row>
    <row r="24492" spans="6:8">
      <c r="H24492" t="s">
        <v>27664</v>
      </c>
    </row>
    <row r="24493" spans="6:8">
      <c r="H24493" t="s">
        <v>27665</v>
      </c>
    </row>
    <row r="24494" spans="6:8">
      <c r="H24494" t="s">
        <v>27666</v>
      </c>
    </row>
    <row r="24495" spans="6:8">
      <c r="H24495" t="s">
        <v>27667</v>
      </c>
    </row>
    <row r="24496" spans="6:8">
      <c r="H24496" t="s">
        <v>27668</v>
      </c>
    </row>
    <row r="24497" spans="8:8">
      <c r="H24497" t="s">
        <v>27669</v>
      </c>
    </row>
    <row r="24498" spans="8:8">
      <c r="H24498" t="s">
        <v>27670</v>
      </c>
    </row>
    <row r="24499" spans="8:8">
      <c r="H24499" t="s">
        <v>27671</v>
      </c>
    </row>
    <row r="24500" spans="8:8">
      <c r="H24500" t="s">
        <v>27672</v>
      </c>
    </row>
    <row r="24501" spans="8:8">
      <c r="H24501" t="s">
        <v>27673</v>
      </c>
    </row>
    <row r="24502" spans="8:8">
      <c r="H24502" t="s">
        <v>27674</v>
      </c>
    </row>
    <row r="24503" spans="8:8">
      <c r="H24503" t="s">
        <v>27675</v>
      </c>
    </row>
    <row r="24504" spans="8:8">
      <c r="H24504" t="s">
        <v>27676</v>
      </c>
    </row>
    <row r="24505" spans="8:8">
      <c r="H24505" t="s">
        <v>27677</v>
      </c>
    </row>
    <row r="24506" spans="8:8">
      <c r="H24506" t="s">
        <v>27678</v>
      </c>
    </row>
    <row r="24507" spans="8:8">
      <c r="H24507" t="s">
        <v>27679</v>
      </c>
    </row>
    <row r="24508" spans="8:8">
      <c r="H24508" t="s">
        <v>27680</v>
      </c>
    </row>
    <row r="24509" spans="8:8">
      <c r="H24509" t="s">
        <v>27681</v>
      </c>
    </row>
    <row r="24510" spans="8:8">
      <c r="H24510" t="s">
        <v>27682</v>
      </c>
    </row>
    <row r="24511" spans="8:8">
      <c r="H24511" t="s">
        <v>27683</v>
      </c>
    </row>
    <row r="24512" spans="8:8">
      <c r="H24512" t="s">
        <v>27684</v>
      </c>
    </row>
    <row r="24513" spans="6:8">
      <c r="H24513" t="s">
        <v>27685</v>
      </c>
    </row>
    <row r="24514" spans="6:8">
      <c r="H24514" t="s">
        <v>27686</v>
      </c>
    </row>
    <row r="24515" spans="6:8">
      <c r="H24515" t="s">
        <v>27687</v>
      </c>
    </row>
    <row r="24516" spans="6:8">
      <c r="H24516" t="s">
        <v>27688</v>
      </c>
    </row>
    <row r="24517" spans="6:8">
      <c r="F24517" t="s">
        <v>12932</v>
      </c>
      <c r="G24517" t="s">
        <v>17097</v>
      </c>
      <c r="H24517" t="s">
        <v>27689</v>
      </c>
    </row>
    <row r="24518" spans="6:8">
      <c r="H24518" t="s">
        <v>27690</v>
      </c>
    </row>
    <row r="24519" spans="6:8">
      <c r="H24519" t="s">
        <v>27691</v>
      </c>
    </row>
    <row r="24520" spans="6:8">
      <c r="H24520" t="s">
        <v>27692</v>
      </c>
    </row>
    <row r="24521" spans="6:8">
      <c r="H24521" t="s">
        <v>27693</v>
      </c>
    </row>
    <row r="24522" spans="6:8">
      <c r="H24522" t="s">
        <v>27694</v>
      </c>
    </row>
    <row r="24523" spans="6:8">
      <c r="H24523" t="s">
        <v>27695</v>
      </c>
    </row>
    <row r="24524" spans="6:8">
      <c r="H24524" t="s">
        <v>27696</v>
      </c>
    </row>
    <row r="24525" spans="6:8">
      <c r="H24525" t="s">
        <v>27697</v>
      </c>
    </row>
    <row r="24526" spans="6:8">
      <c r="F24526" t="s">
        <v>12943</v>
      </c>
      <c r="G24526" t="s">
        <v>17107</v>
      </c>
      <c r="H24526" t="s">
        <v>27698</v>
      </c>
    </row>
    <row r="24527" spans="6:8">
      <c r="H24527" t="s">
        <v>27699</v>
      </c>
    </row>
    <row r="24528" spans="6:8">
      <c r="H24528" t="s">
        <v>27700</v>
      </c>
    </row>
    <row r="24529" spans="6:8">
      <c r="H24529" t="s">
        <v>27701</v>
      </c>
    </row>
    <row r="24530" spans="6:8">
      <c r="F24530" t="s">
        <v>12945</v>
      </c>
      <c r="G24530" t="s">
        <v>17110</v>
      </c>
      <c r="H24530" t="s">
        <v>27702</v>
      </c>
    </row>
    <row r="24531" spans="6:8">
      <c r="H24531" t="s">
        <v>27703</v>
      </c>
    </row>
    <row r="24532" spans="6:8">
      <c r="H24532" t="s">
        <v>27704</v>
      </c>
    </row>
    <row r="24533" spans="6:8">
      <c r="H24533" t="s">
        <v>27705</v>
      </c>
    </row>
    <row r="24534" spans="6:8">
      <c r="H24534" t="s">
        <v>27706</v>
      </c>
    </row>
    <row r="24535" spans="6:8">
      <c r="H24535" t="s">
        <v>27707</v>
      </c>
    </row>
    <row r="24536" spans="6:8">
      <c r="H24536" t="s">
        <v>27708</v>
      </c>
    </row>
    <row r="24537" spans="6:8">
      <c r="H24537" t="s">
        <v>27709</v>
      </c>
    </row>
    <row r="24538" spans="6:8">
      <c r="H24538" t="s">
        <v>27710</v>
      </c>
    </row>
    <row r="24539" spans="6:8">
      <c r="H24539" t="s">
        <v>27711</v>
      </c>
    </row>
    <row r="24540" spans="6:8">
      <c r="F24540" t="s">
        <v>12946</v>
      </c>
      <c r="G24540" t="s">
        <v>17111</v>
      </c>
      <c r="H24540" t="s">
        <v>27712</v>
      </c>
    </row>
    <row r="24541" spans="6:8">
      <c r="H24541" t="s">
        <v>27713</v>
      </c>
    </row>
    <row r="24542" spans="6:8">
      <c r="H24542" t="s">
        <v>27714</v>
      </c>
    </row>
    <row r="24543" spans="6:8">
      <c r="H24543" t="s">
        <v>27715</v>
      </c>
    </row>
    <row r="24544" spans="6:8">
      <c r="F24544" t="s">
        <v>12947</v>
      </c>
      <c r="G24544" t="s">
        <v>17112</v>
      </c>
      <c r="H24544" t="s">
        <v>27716</v>
      </c>
    </row>
    <row r="24545" spans="1:8">
      <c r="A24545" t="s">
        <v>1261</v>
      </c>
      <c r="B24545">
        <f>HYPERLINK("https://android.googlesource.com/platform/cts/+/3f891457b26f937f27f883cbf8000876fb6dbd47", "3f891457b26f937f27f883cbf8000876fb6dbd47")</f>
        <v>0</v>
      </c>
      <c r="C24545">
        <f>HYPERLINK("https://android.googlesource.com/platform/cts/+/e52cb13a84e8301f06106e97eb37ef19374a11b3", "e52cb13a84e8301f06106e97eb37ef19374a11b3")</f>
        <v>0</v>
      </c>
      <c r="D24545" t="s">
        <v>5143</v>
      </c>
      <c r="E24545" t="s">
        <v>7035</v>
      </c>
      <c r="F24545" t="s">
        <v>13060</v>
      </c>
      <c r="G24545" t="s">
        <v>17224</v>
      </c>
      <c r="H24545" t="s">
        <v>25492</v>
      </c>
    </row>
    <row r="24546" spans="1:8">
      <c r="A24546" t="s">
        <v>1262</v>
      </c>
      <c r="B24546">
        <f>HYPERLINK("https://android.googlesource.com/platform/cts/+/11132f1649446181c32f0887b3a1d948ef91bdb8", "11132f1649446181c32f0887b3a1d948ef91bdb8")</f>
        <v>0</v>
      </c>
      <c r="C24546">
        <f>HYPERLINK("https://android.googlesource.com/platform/cts/+/3e6e41d1018c050b745986503f4d3acf0539a6da", "3e6e41d1018c050b745986503f4d3acf0539a6da")</f>
        <v>0</v>
      </c>
      <c r="D24546" t="s">
        <v>5182</v>
      </c>
      <c r="E24546" t="s">
        <v>7036</v>
      </c>
      <c r="F24546" t="s">
        <v>12820</v>
      </c>
      <c r="G24546" t="s">
        <v>16999</v>
      </c>
      <c r="H24546" t="s">
        <v>18829</v>
      </c>
    </row>
    <row r="24547" spans="1:8">
      <c r="H24547" t="s">
        <v>18863</v>
      </c>
    </row>
    <row r="24548" spans="1:8">
      <c r="H24548" t="s">
        <v>27717</v>
      </c>
    </row>
    <row r="24549" spans="1:8">
      <c r="A24549" t="s">
        <v>1263</v>
      </c>
      <c r="B24549">
        <f>HYPERLINK("https://android.googlesource.com/platform/cts/+/6828f2e7323dd14481977986bf98be47f9b6069f", "6828f2e7323dd14481977986bf98be47f9b6069f")</f>
        <v>0</v>
      </c>
      <c r="C24549">
        <f>HYPERLINK("https://android.googlesource.com/platform/cts/+/6b1b1ae5068fc009f44c191b17b14288822f8f82", "6b1b1ae5068fc009f44c191b17b14288822f8f82")</f>
        <v>0</v>
      </c>
      <c r="D24549" t="s">
        <v>5143</v>
      </c>
      <c r="E24549" t="s">
        <v>7037</v>
      </c>
      <c r="F24549" t="s">
        <v>10749</v>
      </c>
      <c r="G24549" t="s">
        <v>15147</v>
      </c>
      <c r="H24549" t="s">
        <v>27718</v>
      </c>
    </row>
    <row r="24550" spans="1:8">
      <c r="H24550" t="s">
        <v>27719</v>
      </c>
    </row>
    <row r="24551" spans="1:8">
      <c r="F24551" t="s">
        <v>12310</v>
      </c>
      <c r="G24551" t="s">
        <v>16541</v>
      </c>
      <c r="H24551" t="s">
        <v>27720</v>
      </c>
    </row>
    <row r="24552" spans="1:8">
      <c r="H24552" t="s">
        <v>27721</v>
      </c>
    </row>
    <row r="24553" spans="1:8">
      <c r="F24553" t="s">
        <v>13063</v>
      </c>
      <c r="G24553" t="s">
        <v>17226</v>
      </c>
      <c r="H24553" t="s">
        <v>18829</v>
      </c>
    </row>
    <row r="24554" spans="1:8">
      <c r="F24554" t="s">
        <v>13064</v>
      </c>
      <c r="G24554" t="s">
        <v>17227</v>
      </c>
      <c r="H24554" t="s">
        <v>18829</v>
      </c>
    </row>
    <row r="24555" spans="1:8">
      <c r="H24555" t="s">
        <v>27722</v>
      </c>
    </row>
    <row r="24556" spans="1:8">
      <c r="F24556" t="s">
        <v>13065</v>
      </c>
      <c r="G24556" t="s">
        <v>17228</v>
      </c>
      <c r="H24556" t="s">
        <v>18829</v>
      </c>
    </row>
    <row r="24557" spans="1:8">
      <c r="H24557" t="s">
        <v>18863</v>
      </c>
    </row>
    <row r="24558" spans="1:8">
      <c r="F24558" t="s">
        <v>13066</v>
      </c>
      <c r="G24558" t="s">
        <v>17229</v>
      </c>
      <c r="H24558" t="s">
        <v>18829</v>
      </c>
    </row>
    <row r="24559" spans="1:8">
      <c r="H24559" t="s">
        <v>18863</v>
      </c>
    </row>
    <row r="24560" spans="1:8">
      <c r="F24560" t="s">
        <v>13067</v>
      </c>
      <c r="G24560" t="s">
        <v>17230</v>
      </c>
      <c r="H24560" t="s">
        <v>27723</v>
      </c>
    </row>
    <row r="24561" spans="6:8">
      <c r="H24561" t="s">
        <v>22023</v>
      </c>
    </row>
    <row r="24562" spans="6:8">
      <c r="H24562" t="s">
        <v>27724</v>
      </c>
    </row>
    <row r="24563" spans="6:8">
      <c r="H24563" t="s">
        <v>27725</v>
      </c>
    </row>
    <row r="24564" spans="6:8">
      <c r="H24564" t="s">
        <v>27726</v>
      </c>
    </row>
    <row r="24565" spans="6:8">
      <c r="H24565" t="s">
        <v>27727</v>
      </c>
    </row>
    <row r="24566" spans="6:8">
      <c r="H24566" t="s">
        <v>27727</v>
      </c>
    </row>
    <row r="24567" spans="6:8">
      <c r="H24567" t="s">
        <v>27728</v>
      </c>
    </row>
    <row r="24568" spans="6:8">
      <c r="F24568" t="s">
        <v>13068</v>
      </c>
      <c r="G24568" t="s">
        <v>17231</v>
      </c>
      <c r="H24568" t="s">
        <v>27729</v>
      </c>
    </row>
    <row r="24569" spans="6:8">
      <c r="H24569" t="s">
        <v>27729</v>
      </c>
    </row>
    <row r="24570" spans="6:8">
      <c r="H24570" t="s">
        <v>27729</v>
      </c>
    </row>
    <row r="24571" spans="6:8">
      <c r="H24571" t="s">
        <v>27729</v>
      </c>
    </row>
    <row r="24572" spans="6:8">
      <c r="H24572" t="s">
        <v>27729</v>
      </c>
    </row>
    <row r="24573" spans="6:8">
      <c r="H24573" t="s">
        <v>27730</v>
      </c>
    </row>
    <row r="24574" spans="6:8">
      <c r="H24574" t="s">
        <v>27731</v>
      </c>
    </row>
    <row r="24575" spans="6:8">
      <c r="H24575" t="s">
        <v>27732</v>
      </c>
    </row>
    <row r="24576" spans="6:8">
      <c r="H24576" t="s">
        <v>27733</v>
      </c>
    </row>
    <row r="24577" spans="1:8">
      <c r="H24577" t="s">
        <v>27727</v>
      </c>
    </row>
    <row r="24578" spans="1:8">
      <c r="H24578" t="s">
        <v>27734</v>
      </c>
    </row>
    <row r="24579" spans="1:8">
      <c r="H24579" t="s">
        <v>27735</v>
      </c>
    </row>
    <row r="24580" spans="1:8">
      <c r="H24580" t="s">
        <v>27736</v>
      </c>
    </row>
    <row r="24581" spans="1:8">
      <c r="H24581" t="s">
        <v>27737</v>
      </c>
    </row>
    <row r="24582" spans="1:8">
      <c r="F24582" t="s">
        <v>13069</v>
      </c>
      <c r="G24582" t="s">
        <v>17232</v>
      </c>
      <c r="H24582" t="s">
        <v>18829</v>
      </c>
    </row>
    <row r="24583" spans="1:8">
      <c r="F24583" t="s">
        <v>13070</v>
      </c>
      <c r="G24583" t="s">
        <v>17233</v>
      </c>
      <c r="H24583" t="s">
        <v>18829</v>
      </c>
    </row>
    <row r="24584" spans="1:8">
      <c r="F24584" t="s">
        <v>13071</v>
      </c>
      <c r="G24584" t="s">
        <v>17234</v>
      </c>
      <c r="H24584" t="s">
        <v>18829</v>
      </c>
    </row>
    <row r="24585" spans="1:8">
      <c r="F24585" t="s">
        <v>13072</v>
      </c>
      <c r="G24585" t="s">
        <v>17235</v>
      </c>
      <c r="H24585" t="s">
        <v>18829</v>
      </c>
    </row>
    <row r="24586" spans="1:8">
      <c r="H24586" t="s">
        <v>27738</v>
      </c>
    </row>
    <row r="24587" spans="1:8">
      <c r="A24587" t="s">
        <v>1264</v>
      </c>
      <c r="B24587">
        <f>HYPERLINK("https://android.googlesource.com/platform/cts/+/4495565d1c6a2a979937006e6d452b3b4deeef4c", "4495565d1c6a2a979937006e6d452b3b4deeef4c")</f>
        <v>0</v>
      </c>
      <c r="C24587">
        <f>HYPERLINK("https://android.googlesource.com/platform/cts/+/4c7b18e85be78095069bbfb59c6ecf4046dce466", "4c7b18e85be78095069bbfb59c6ecf4046dce466")</f>
        <v>0</v>
      </c>
      <c r="D24587" t="s">
        <v>5085</v>
      </c>
      <c r="E24587" t="s">
        <v>7038</v>
      </c>
      <c r="F24587" t="s">
        <v>13073</v>
      </c>
      <c r="G24587" t="s">
        <v>17056</v>
      </c>
      <c r="H24587" t="s">
        <v>27739</v>
      </c>
    </row>
    <row r="24588" spans="1:8">
      <c r="A24588" t="s">
        <v>1265</v>
      </c>
      <c r="B24588">
        <f>HYPERLINK("https://android.googlesource.com/platform/cts/+/0adb9d13b173219730eec4e9a07b9f68c3964fcc", "0adb9d13b173219730eec4e9a07b9f68c3964fcc")</f>
        <v>0</v>
      </c>
      <c r="C24588">
        <f>HYPERLINK("https://android.googlesource.com/platform/cts/+/6b1b1ae5068fc009f44c191b17b14288822f8f82", "6b1b1ae5068fc009f44c191b17b14288822f8f82")</f>
        <v>0</v>
      </c>
      <c r="D24588" t="s">
        <v>5143</v>
      </c>
      <c r="E24588" t="s">
        <v>7039</v>
      </c>
      <c r="F24588" t="s">
        <v>12186</v>
      </c>
      <c r="G24588" t="s">
        <v>16425</v>
      </c>
      <c r="H24588" t="s">
        <v>18829</v>
      </c>
    </row>
    <row r="24589" spans="1:8">
      <c r="H24589" t="s">
        <v>18863</v>
      </c>
    </row>
    <row r="24590" spans="1:8">
      <c r="F24590" t="s">
        <v>10746</v>
      </c>
      <c r="G24590" t="s">
        <v>15145</v>
      </c>
      <c r="H24590" t="s">
        <v>18829</v>
      </c>
    </row>
    <row r="24591" spans="1:8">
      <c r="F24591" t="s">
        <v>12344</v>
      </c>
      <c r="G24591" t="s">
        <v>16572</v>
      </c>
      <c r="H24591" t="s">
        <v>18829</v>
      </c>
    </row>
    <row r="24592" spans="1:8">
      <c r="H24592" t="s">
        <v>18863</v>
      </c>
    </row>
    <row r="24593" spans="6:8">
      <c r="H24593" t="s">
        <v>27740</v>
      </c>
    </row>
    <row r="24594" spans="6:8">
      <c r="H24594" t="s">
        <v>27741</v>
      </c>
    </row>
    <row r="24595" spans="6:8">
      <c r="H24595" t="s">
        <v>27742</v>
      </c>
    </row>
    <row r="24596" spans="6:8">
      <c r="H24596" t="s">
        <v>27743</v>
      </c>
    </row>
    <row r="24597" spans="6:8">
      <c r="H24597" t="s">
        <v>27744</v>
      </c>
    </row>
    <row r="24598" spans="6:8">
      <c r="H24598" t="s">
        <v>27745</v>
      </c>
    </row>
    <row r="24599" spans="6:8">
      <c r="H24599" t="s">
        <v>27746</v>
      </c>
    </row>
    <row r="24600" spans="6:8">
      <c r="H24600" t="s">
        <v>27747</v>
      </c>
    </row>
    <row r="24601" spans="6:8">
      <c r="H24601" t="s">
        <v>27748</v>
      </c>
    </row>
    <row r="24602" spans="6:8">
      <c r="H24602" t="s">
        <v>27749</v>
      </c>
    </row>
    <row r="24603" spans="6:8">
      <c r="H24603" t="s">
        <v>27750</v>
      </c>
    </row>
    <row r="24604" spans="6:8">
      <c r="H24604" t="s">
        <v>27751</v>
      </c>
    </row>
    <row r="24605" spans="6:8">
      <c r="H24605" t="s">
        <v>27751</v>
      </c>
    </row>
    <row r="24606" spans="6:8">
      <c r="H24606" t="s">
        <v>27751</v>
      </c>
    </row>
    <row r="24607" spans="6:8">
      <c r="H24607" t="s">
        <v>27751</v>
      </c>
    </row>
    <row r="24608" spans="6:8">
      <c r="F24608" t="s">
        <v>12857</v>
      </c>
      <c r="G24608" t="s">
        <v>17027</v>
      </c>
      <c r="H24608" t="s">
        <v>27752</v>
      </c>
    </row>
    <row r="24609" spans="8:8">
      <c r="H24609" t="s">
        <v>27753</v>
      </c>
    </row>
    <row r="24610" spans="8:8">
      <c r="H24610" t="s">
        <v>27754</v>
      </c>
    </row>
    <row r="24611" spans="8:8">
      <c r="H24611" t="s">
        <v>27755</v>
      </c>
    </row>
    <row r="24612" spans="8:8">
      <c r="H24612" t="s">
        <v>27756</v>
      </c>
    </row>
    <row r="24613" spans="8:8">
      <c r="H24613" t="s">
        <v>27757</v>
      </c>
    </row>
    <row r="24614" spans="8:8">
      <c r="H24614" t="s">
        <v>27758</v>
      </c>
    </row>
    <row r="24615" spans="8:8">
      <c r="H24615" t="s">
        <v>27759</v>
      </c>
    </row>
    <row r="24616" spans="8:8">
      <c r="H24616" t="s">
        <v>27760</v>
      </c>
    </row>
    <row r="24617" spans="8:8">
      <c r="H24617" t="s">
        <v>27761</v>
      </c>
    </row>
    <row r="24618" spans="8:8">
      <c r="H24618" t="s">
        <v>27762</v>
      </c>
    </row>
    <row r="24619" spans="8:8">
      <c r="H24619" t="s">
        <v>27763</v>
      </c>
    </row>
    <row r="24620" spans="8:8">
      <c r="H24620" t="s">
        <v>27764</v>
      </c>
    </row>
    <row r="24621" spans="8:8">
      <c r="H24621" t="s">
        <v>27765</v>
      </c>
    </row>
    <row r="24622" spans="8:8">
      <c r="H24622" t="s">
        <v>27766</v>
      </c>
    </row>
    <row r="24623" spans="8:8">
      <c r="H24623" t="s">
        <v>27767</v>
      </c>
    </row>
    <row r="24624" spans="8:8">
      <c r="H24624" t="s">
        <v>27768</v>
      </c>
    </row>
    <row r="24625" spans="1:8">
      <c r="H24625" t="s">
        <v>27769</v>
      </c>
    </row>
    <row r="24626" spans="1:8">
      <c r="F24626" t="s">
        <v>13074</v>
      </c>
      <c r="G24626" t="s">
        <v>17236</v>
      </c>
      <c r="H24626" t="s">
        <v>27770</v>
      </c>
    </row>
    <row r="24627" spans="1:8">
      <c r="A24627" t="s">
        <v>1266</v>
      </c>
      <c r="B24627">
        <f>HYPERLINK("https://android.googlesource.com/platform/cts/+/4b87605eb5dda80fad0c770b46342cdfbae44fd4", "4b87605eb5dda80fad0c770b46342cdfbae44fd4")</f>
        <v>0</v>
      </c>
      <c r="C24627">
        <f>HYPERLINK("https://android.googlesource.com/platform/cts/+/4c7b18e85be78095069bbfb59c6ecf4046dce466", "4c7b18e85be78095069bbfb59c6ecf4046dce466")</f>
        <v>0</v>
      </c>
      <c r="D24627" t="s">
        <v>5143</v>
      </c>
      <c r="E24627" t="s">
        <v>7040</v>
      </c>
      <c r="F24627" t="s">
        <v>13075</v>
      </c>
      <c r="G24627" t="s">
        <v>17237</v>
      </c>
      <c r="H24627" t="s">
        <v>18829</v>
      </c>
    </row>
    <row r="24628" spans="1:8">
      <c r="F24628" t="s">
        <v>13076</v>
      </c>
      <c r="G24628" t="s">
        <v>17238</v>
      </c>
      <c r="H24628" t="s">
        <v>27771</v>
      </c>
    </row>
    <row r="24629" spans="1:8">
      <c r="H24629" t="s">
        <v>18829</v>
      </c>
    </row>
    <row r="24630" spans="1:8">
      <c r="H24630" t="s">
        <v>27772</v>
      </c>
    </row>
    <row r="24631" spans="1:8">
      <c r="F24631" t="s">
        <v>12938</v>
      </c>
      <c r="G24631" t="s">
        <v>17103</v>
      </c>
      <c r="H24631" t="s">
        <v>27773</v>
      </c>
    </row>
    <row r="24632" spans="1:8">
      <c r="H24632" t="s">
        <v>18829</v>
      </c>
    </row>
    <row r="24633" spans="1:8">
      <c r="F24633" t="s">
        <v>12940</v>
      </c>
      <c r="G24633" t="s">
        <v>17105</v>
      </c>
      <c r="H24633" t="s">
        <v>27774</v>
      </c>
    </row>
    <row r="24634" spans="1:8">
      <c r="H24634" t="s">
        <v>18829</v>
      </c>
    </row>
    <row r="24635" spans="1:8">
      <c r="H24635" t="s">
        <v>18863</v>
      </c>
    </row>
    <row r="24636" spans="1:8">
      <c r="F24636" t="s">
        <v>13077</v>
      </c>
      <c r="G24636" t="s">
        <v>17239</v>
      </c>
      <c r="H24636" t="s">
        <v>27775</v>
      </c>
    </row>
    <row r="24637" spans="1:8">
      <c r="H24637" t="s">
        <v>18829</v>
      </c>
    </row>
    <row r="24638" spans="1:8">
      <c r="H24638" t="s">
        <v>27776</v>
      </c>
    </row>
    <row r="24639" spans="1:8">
      <c r="F24639" t="s">
        <v>13078</v>
      </c>
      <c r="G24639" t="s">
        <v>17240</v>
      </c>
      <c r="H24639" t="s">
        <v>27777</v>
      </c>
    </row>
    <row r="24640" spans="1:8">
      <c r="H24640" t="s">
        <v>18829</v>
      </c>
    </row>
    <row r="24641" spans="1:8">
      <c r="H24641" t="s">
        <v>27778</v>
      </c>
    </row>
    <row r="24642" spans="1:8">
      <c r="F24642" t="s">
        <v>13079</v>
      </c>
      <c r="G24642" t="s">
        <v>17241</v>
      </c>
      <c r="H24642" t="s">
        <v>27779</v>
      </c>
    </row>
    <row r="24643" spans="1:8">
      <c r="F24643" t="s">
        <v>13080</v>
      </c>
      <c r="G24643" t="s">
        <v>17242</v>
      </c>
      <c r="H24643" t="s">
        <v>27780</v>
      </c>
    </row>
    <row r="24644" spans="1:8">
      <c r="H24644" t="s">
        <v>18829</v>
      </c>
    </row>
    <row r="24645" spans="1:8">
      <c r="F24645" t="s">
        <v>13081</v>
      </c>
      <c r="G24645" t="s">
        <v>17243</v>
      </c>
      <c r="H24645" t="s">
        <v>27781</v>
      </c>
    </row>
    <row r="24646" spans="1:8">
      <c r="H24646" t="s">
        <v>27782</v>
      </c>
    </row>
    <row r="24647" spans="1:8">
      <c r="H24647" t="s">
        <v>27783</v>
      </c>
    </row>
    <row r="24648" spans="1:8">
      <c r="A24648" t="s">
        <v>1267</v>
      </c>
      <c r="B24648">
        <f>HYPERLINK("https://android.googlesource.com/platform/cts/+/77bf127037cf0245b224277ca7e9aab232cd9224", "77bf127037cf0245b224277ca7e9aab232cd9224")</f>
        <v>0</v>
      </c>
      <c r="C24648">
        <f>HYPERLINK("https://android.googlesource.com/platform/cts/+/4ae020cf4c653de69ab4c216dd10fc44b8a099e5", "4ae020cf4c653de69ab4c216dd10fc44b8a099e5")</f>
        <v>0</v>
      </c>
      <c r="D24648" t="s">
        <v>5143</v>
      </c>
      <c r="E24648" t="s">
        <v>7041</v>
      </c>
      <c r="F24648" t="s">
        <v>10733</v>
      </c>
      <c r="G24648" t="s">
        <v>15132</v>
      </c>
      <c r="H24648" t="s">
        <v>27784</v>
      </c>
    </row>
    <row r="24649" spans="1:8">
      <c r="H24649" t="s">
        <v>18829</v>
      </c>
    </row>
    <row r="24650" spans="1:8">
      <c r="H24650" t="s">
        <v>27785</v>
      </c>
    </row>
    <row r="24651" spans="1:8">
      <c r="H24651" t="s">
        <v>27786</v>
      </c>
    </row>
    <row r="24652" spans="1:8">
      <c r="H24652" t="s">
        <v>27787</v>
      </c>
    </row>
    <row r="24653" spans="1:8">
      <c r="H24653" t="s">
        <v>27788</v>
      </c>
    </row>
    <row r="24654" spans="1:8">
      <c r="H24654" t="s">
        <v>27789</v>
      </c>
    </row>
    <row r="24655" spans="1:8">
      <c r="H24655" t="s">
        <v>27789</v>
      </c>
    </row>
    <row r="24656" spans="1:8">
      <c r="H24656" t="s">
        <v>27790</v>
      </c>
    </row>
    <row r="24657" spans="1:8">
      <c r="H24657" t="s">
        <v>27791</v>
      </c>
    </row>
    <row r="24658" spans="1:8">
      <c r="H24658" t="s">
        <v>27792</v>
      </c>
    </row>
    <row r="24659" spans="1:8">
      <c r="F24659" t="s">
        <v>12203</v>
      </c>
      <c r="G24659" t="s">
        <v>16441</v>
      </c>
      <c r="H24659" t="s">
        <v>27793</v>
      </c>
    </row>
    <row r="24660" spans="1:8">
      <c r="F24660" t="s">
        <v>10718</v>
      </c>
      <c r="G24660" t="s">
        <v>15117</v>
      </c>
      <c r="H24660" t="s">
        <v>27794</v>
      </c>
    </row>
    <row r="24661" spans="1:8">
      <c r="H24661" t="s">
        <v>27202</v>
      </c>
    </row>
    <row r="24662" spans="1:8">
      <c r="H24662" t="s">
        <v>27203</v>
      </c>
    </row>
    <row r="24663" spans="1:8">
      <c r="A24663" t="s">
        <v>1268</v>
      </c>
      <c r="B24663">
        <f>HYPERLINK("https://android.googlesource.com/platform/cts/+/7c83e14b70e7a87e2331fb9d7d6a390c848db51d", "7c83e14b70e7a87e2331fb9d7d6a390c848db51d")</f>
        <v>0</v>
      </c>
      <c r="C24663">
        <f>HYPERLINK("https://android.googlesource.com/platform/cts/+/4ae020cf4c653de69ab4c216dd10fc44b8a099e5", "4ae020cf4c653de69ab4c216dd10fc44b8a099e5")</f>
        <v>0</v>
      </c>
      <c r="D24663" t="s">
        <v>5143</v>
      </c>
      <c r="E24663" t="s">
        <v>7042</v>
      </c>
      <c r="F24663" t="s">
        <v>13082</v>
      </c>
      <c r="G24663" t="s">
        <v>17244</v>
      </c>
      <c r="H24663" t="s">
        <v>27795</v>
      </c>
    </row>
    <row r="24664" spans="1:8">
      <c r="F24664" t="s">
        <v>12757</v>
      </c>
      <c r="G24664" t="s">
        <v>16948</v>
      </c>
      <c r="H24664" t="s">
        <v>27796</v>
      </c>
    </row>
    <row r="24665" spans="1:8">
      <c r="F24665" t="s">
        <v>12758</v>
      </c>
      <c r="G24665" t="s">
        <v>16949</v>
      </c>
      <c r="H24665" t="s">
        <v>27797</v>
      </c>
    </row>
    <row r="24666" spans="1:8">
      <c r="F24666" t="s">
        <v>13083</v>
      </c>
      <c r="G24666" t="s">
        <v>17245</v>
      </c>
      <c r="H24666" t="s">
        <v>18829</v>
      </c>
    </row>
    <row r="24667" spans="1:8">
      <c r="F24667" t="s">
        <v>13084</v>
      </c>
      <c r="G24667" t="s">
        <v>17246</v>
      </c>
      <c r="H24667" t="s">
        <v>27798</v>
      </c>
    </row>
    <row r="24668" spans="1:8">
      <c r="H24668" t="s">
        <v>18829</v>
      </c>
    </row>
    <row r="24669" spans="1:8">
      <c r="A24669" t="s">
        <v>1269</v>
      </c>
      <c r="B24669">
        <f>HYPERLINK("https://android.googlesource.com/platform/cts/+/5c2e80fb5930c72fbe18a16972df16283995f9e8", "5c2e80fb5930c72fbe18a16972df16283995f9e8")</f>
        <v>0</v>
      </c>
      <c r="C24669">
        <f>HYPERLINK("https://android.googlesource.com/platform/cts/+/77bf127037cf0245b224277ca7e9aab232cd9224", "77bf127037cf0245b224277ca7e9aab232cd9224")</f>
        <v>0</v>
      </c>
      <c r="D24669" t="s">
        <v>5143</v>
      </c>
      <c r="E24669" t="s">
        <v>7043</v>
      </c>
      <c r="F24669" t="s">
        <v>13085</v>
      </c>
      <c r="G24669" t="s">
        <v>17247</v>
      </c>
      <c r="H24669" t="s">
        <v>18829</v>
      </c>
    </row>
    <row r="24670" spans="1:8">
      <c r="F24670" t="s">
        <v>12936</v>
      </c>
      <c r="G24670" t="s">
        <v>17101</v>
      </c>
      <c r="H24670" t="s">
        <v>18829</v>
      </c>
    </row>
    <row r="24671" spans="1:8">
      <c r="F24671" t="s">
        <v>13086</v>
      </c>
      <c r="G24671" t="s">
        <v>17248</v>
      </c>
      <c r="H24671" t="s">
        <v>18829</v>
      </c>
    </row>
    <row r="24672" spans="1:8">
      <c r="F24672" t="s">
        <v>13087</v>
      </c>
      <c r="G24672" t="s">
        <v>17249</v>
      </c>
      <c r="H24672" t="s">
        <v>18829</v>
      </c>
    </row>
    <row r="24673" spans="6:8">
      <c r="F24673" t="s">
        <v>13088</v>
      </c>
      <c r="G24673" t="s">
        <v>17250</v>
      </c>
      <c r="H24673" t="s">
        <v>27799</v>
      </c>
    </row>
    <row r="24674" spans="6:8">
      <c r="H24674" t="s">
        <v>27800</v>
      </c>
    </row>
    <row r="24675" spans="6:8">
      <c r="F24675" t="s">
        <v>10722</v>
      </c>
      <c r="G24675" t="s">
        <v>15121</v>
      </c>
      <c r="H24675" t="s">
        <v>18829</v>
      </c>
    </row>
    <row r="24676" spans="6:8">
      <c r="F24676" t="s">
        <v>12937</v>
      </c>
      <c r="G24676" t="s">
        <v>17102</v>
      </c>
      <c r="H24676" t="s">
        <v>18829</v>
      </c>
    </row>
    <row r="24677" spans="6:8">
      <c r="F24677" t="s">
        <v>13089</v>
      </c>
      <c r="G24677" t="s">
        <v>17251</v>
      </c>
      <c r="H24677" t="s">
        <v>27801</v>
      </c>
    </row>
    <row r="24678" spans="6:8">
      <c r="H24678" t="s">
        <v>18829</v>
      </c>
    </row>
    <row r="24679" spans="6:8">
      <c r="H24679" t="s">
        <v>18863</v>
      </c>
    </row>
    <row r="24680" spans="6:8">
      <c r="F24680" t="s">
        <v>11439</v>
      </c>
      <c r="G24680" t="s">
        <v>15679</v>
      </c>
      <c r="H24680" t="s">
        <v>27802</v>
      </c>
    </row>
    <row r="24681" spans="6:8">
      <c r="H24681" t="s">
        <v>27803</v>
      </c>
    </row>
    <row r="24682" spans="6:8">
      <c r="H24682" t="s">
        <v>27804</v>
      </c>
    </row>
    <row r="24683" spans="6:8">
      <c r="H24683" t="s">
        <v>27805</v>
      </c>
    </row>
    <row r="24684" spans="6:8">
      <c r="H24684" t="s">
        <v>27806</v>
      </c>
    </row>
    <row r="24685" spans="6:8">
      <c r="H24685" t="s">
        <v>27807</v>
      </c>
    </row>
    <row r="24686" spans="6:8">
      <c r="F24686" t="s">
        <v>13090</v>
      </c>
      <c r="G24686" t="s">
        <v>17252</v>
      </c>
      <c r="H24686" t="s">
        <v>18829</v>
      </c>
    </row>
    <row r="24687" spans="6:8">
      <c r="H24687" t="s">
        <v>27808</v>
      </c>
    </row>
    <row r="24688" spans="6:8">
      <c r="H24688" t="s">
        <v>27809</v>
      </c>
    </row>
    <row r="24689" spans="1:8">
      <c r="F24689" t="s">
        <v>11471</v>
      </c>
      <c r="G24689" t="s">
        <v>15711</v>
      </c>
      <c r="H24689" t="s">
        <v>27810</v>
      </c>
    </row>
    <row r="24690" spans="1:8">
      <c r="H24690" t="s">
        <v>27811</v>
      </c>
    </row>
    <row r="24691" spans="1:8">
      <c r="H24691" t="s">
        <v>27812</v>
      </c>
    </row>
    <row r="24692" spans="1:8">
      <c r="F24692" t="s">
        <v>13091</v>
      </c>
      <c r="G24692" t="s">
        <v>17253</v>
      </c>
      <c r="H24692" t="s">
        <v>18829</v>
      </c>
    </row>
    <row r="24693" spans="1:8">
      <c r="H24693" t="s">
        <v>27813</v>
      </c>
    </row>
    <row r="24694" spans="1:8">
      <c r="F24694" t="s">
        <v>10596</v>
      </c>
      <c r="G24694" t="s">
        <v>14999</v>
      </c>
      <c r="H24694" t="s">
        <v>18829</v>
      </c>
    </row>
    <row r="24695" spans="1:8">
      <c r="H24695" t="s">
        <v>27814</v>
      </c>
    </row>
    <row r="24696" spans="1:8">
      <c r="H24696" t="s">
        <v>27815</v>
      </c>
    </row>
    <row r="24697" spans="1:8">
      <c r="A24697" t="s">
        <v>1270</v>
      </c>
      <c r="B24697">
        <f>HYPERLINK("https://android.googlesource.com/platform/cts/+/cb78d3922e94a86d54fe3920b4d13d387fce441a", "cb78d3922e94a86d54fe3920b4d13d387fce441a")</f>
        <v>0</v>
      </c>
      <c r="C24697">
        <f>HYPERLINK("https://android.googlesource.com/platform/cts/+/43b85ed018f27c930d9d799f32bcee09af428eb1", "43b85ed018f27c930d9d799f32bcee09af428eb1")</f>
        <v>0</v>
      </c>
      <c r="D24697" t="s">
        <v>5173</v>
      </c>
      <c r="E24697" t="s">
        <v>7044</v>
      </c>
      <c r="F24697" t="s">
        <v>12616</v>
      </c>
      <c r="G24697" t="s">
        <v>16827</v>
      </c>
      <c r="H24697" t="s">
        <v>27816</v>
      </c>
    </row>
    <row r="24698" spans="1:8">
      <c r="H24698" t="s">
        <v>18829</v>
      </c>
    </row>
    <row r="24699" spans="1:8">
      <c r="H24699" t="s">
        <v>27817</v>
      </c>
    </row>
    <row r="24700" spans="1:8">
      <c r="H24700" t="s">
        <v>27818</v>
      </c>
    </row>
    <row r="24701" spans="1:8">
      <c r="H24701" t="s">
        <v>27819</v>
      </c>
    </row>
    <row r="24702" spans="1:8">
      <c r="A24702" t="s">
        <v>1271</v>
      </c>
      <c r="B24702">
        <f>HYPERLINK("https://android.googlesource.com/platform/cts/+/110122e5b456f95d55fcead2a483611bb4d9dca1", "110122e5b456f95d55fcead2a483611bb4d9dca1")</f>
        <v>0</v>
      </c>
      <c r="C24702">
        <f>HYPERLINK("https://android.googlesource.com/platform/cts/+/2687d31f04b3676b2d8a6f999028099d124f4261", "2687d31f04b3676b2d8a6f999028099d124f4261")</f>
        <v>0</v>
      </c>
      <c r="D24702" t="s">
        <v>5143</v>
      </c>
      <c r="E24702" t="s">
        <v>7045</v>
      </c>
      <c r="F24702" t="s">
        <v>13092</v>
      </c>
      <c r="G24702" t="s">
        <v>17254</v>
      </c>
      <c r="H24702" t="s">
        <v>27820</v>
      </c>
    </row>
    <row r="24703" spans="1:8">
      <c r="H24703" t="s">
        <v>18829</v>
      </c>
    </row>
    <row r="24704" spans="1:8">
      <c r="H24704" t="s">
        <v>18863</v>
      </c>
    </row>
    <row r="24705" spans="1:8">
      <c r="A24705" t="s">
        <v>1272</v>
      </c>
      <c r="B24705">
        <f>HYPERLINK("https://android.googlesource.com/platform/cts/+/c5790b39b8ea5b37984750011e9fbe207a64a890", "c5790b39b8ea5b37984750011e9fbe207a64a890")</f>
        <v>0</v>
      </c>
      <c r="C24705">
        <f>HYPERLINK("https://android.googlesource.com/platform/cts/+/2687d31f04b3676b2d8a6f999028099d124f4261", "2687d31f04b3676b2d8a6f999028099d124f4261")</f>
        <v>0</v>
      </c>
      <c r="D24705" t="s">
        <v>5143</v>
      </c>
      <c r="E24705" t="s">
        <v>7046</v>
      </c>
      <c r="F24705" t="s">
        <v>13093</v>
      </c>
      <c r="G24705" t="s">
        <v>17255</v>
      </c>
      <c r="H24705" t="s">
        <v>27821</v>
      </c>
    </row>
    <row r="24706" spans="1:8">
      <c r="F24706" t="s">
        <v>13094</v>
      </c>
      <c r="G24706" t="s">
        <v>17256</v>
      </c>
      <c r="H24706" t="s">
        <v>27822</v>
      </c>
    </row>
    <row r="24707" spans="1:8">
      <c r="H24707" t="s">
        <v>18829</v>
      </c>
    </row>
    <row r="24708" spans="1:8">
      <c r="F24708" t="s">
        <v>13095</v>
      </c>
      <c r="G24708" t="s">
        <v>17257</v>
      </c>
      <c r="H24708" t="s">
        <v>27823</v>
      </c>
    </row>
    <row r="24709" spans="1:8">
      <c r="F24709" t="s">
        <v>13096</v>
      </c>
      <c r="G24709" t="s">
        <v>17258</v>
      </c>
      <c r="H24709" t="s">
        <v>27824</v>
      </c>
    </row>
    <row r="24710" spans="1:8">
      <c r="H24710" t="s">
        <v>18829</v>
      </c>
    </row>
    <row r="24711" spans="1:8">
      <c r="F24711" t="s">
        <v>12343</v>
      </c>
      <c r="G24711" t="s">
        <v>16571</v>
      </c>
      <c r="H24711" t="s">
        <v>27825</v>
      </c>
    </row>
    <row r="24712" spans="1:8">
      <c r="H24712" t="s">
        <v>18829</v>
      </c>
    </row>
    <row r="24713" spans="1:8">
      <c r="H24713" t="s">
        <v>27826</v>
      </c>
    </row>
    <row r="24714" spans="1:8">
      <c r="A24714" t="s">
        <v>1273</v>
      </c>
      <c r="B24714">
        <f>HYPERLINK("https://android.googlesource.com/platform/cts/+/5bc11e8dbafdbd7e367f85c7c85fc662c5d4656f", "5bc11e8dbafdbd7e367f85c7c85fc662c5d4656f")</f>
        <v>0</v>
      </c>
      <c r="C24714">
        <f>HYPERLINK("https://android.googlesource.com/platform/cts/+/2687d31f04b3676b2d8a6f999028099d124f4261", "2687d31f04b3676b2d8a6f999028099d124f4261")</f>
        <v>0</v>
      </c>
      <c r="D24714" t="s">
        <v>5143</v>
      </c>
      <c r="E24714" t="s">
        <v>7047</v>
      </c>
      <c r="F24714" t="s">
        <v>13097</v>
      </c>
      <c r="G24714" t="s">
        <v>17259</v>
      </c>
      <c r="H24714" t="s">
        <v>27827</v>
      </c>
    </row>
    <row r="24715" spans="1:8">
      <c r="F24715" t="s">
        <v>13098</v>
      </c>
      <c r="G24715" t="s">
        <v>17260</v>
      </c>
      <c r="H24715" t="s">
        <v>18829</v>
      </c>
    </row>
    <row r="24716" spans="1:8">
      <c r="F24716" t="s">
        <v>12934</v>
      </c>
      <c r="G24716" t="s">
        <v>17099</v>
      </c>
      <c r="H24716" t="s">
        <v>18829</v>
      </c>
    </row>
    <row r="24717" spans="1:8">
      <c r="F24717" t="s">
        <v>13099</v>
      </c>
      <c r="G24717" t="s">
        <v>17261</v>
      </c>
      <c r="H24717" t="s">
        <v>18829</v>
      </c>
    </row>
    <row r="24718" spans="1:8">
      <c r="A24718" t="s">
        <v>1274</v>
      </c>
      <c r="B24718">
        <f>HYPERLINK("https://android.googlesource.com/platform/cts/+/9aa6451ba5b071f40b4c38d05858203696284eff", "9aa6451ba5b071f40b4c38d05858203696284eff")</f>
        <v>0</v>
      </c>
      <c r="C24718">
        <f>HYPERLINK("https://android.googlesource.com/platform/cts/+/e9766ec7a3bfd338e1865ecf8700d7d196206312", "e9766ec7a3bfd338e1865ecf8700d7d196206312")</f>
        <v>0</v>
      </c>
      <c r="D24718" t="s">
        <v>5143</v>
      </c>
      <c r="E24718" t="s">
        <v>7048</v>
      </c>
      <c r="F24718" t="s">
        <v>13100</v>
      </c>
      <c r="G24718" t="s">
        <v>17262</v>
      </c>
      <c r="H24718" t="s">
        <v>18829</v>
      </c>
    </row>
    <row r="24719" spans="1:8">
      <c r="F24719" t="s">
        <v>10945</v>
      </c>
      <c r="G24719" t="s">
        <v>15338</v>
      </c>
      <c r="H24719" t="s">
        <v>27828</v>
      </c>
    </row>
    <row r="24720" spans="1:8">
      <c r="H24720" t="s">
        <v>18829</v>
      </c>
    </row>
    <row r="24721" spans="6:8">
      <c r="H24721" t="s">
        <v>27829</v>
      </c>
    </row>
    <row r="24722" spans="6:8">
      <c r="F24722" t="s">
        <v>12335</v>
      </c>
      <c r="G24722" t="s">
        <v>16563</v>
      </c>
      <c r="H24722" t="s">
        <v>18829</v>
      </c>
    </row>
    <row r="24723" spans="6:8">
      <c r="H24723" t="s">
        <v>18983</v>
      </c>
    </row>
    <row r="24724" spans="6:8">
      <c r="H24724" t="s">
        <v>27830</v>
      </c>
    </row>
    <row r="24725" spans="6:8">
      <c r="F24725" t="s">
        <v>10779</v>
      </c>
      <c r="G24725" t="s">
        <v>15175</v>
      </c>
      <c r="H24725" t="s">
        <v>27831</v>
      </c>
    </row>
    <row r="24726" spans="6:8">
      <c r="H24726" t="s">
        <v>19078</v>
      </c>
    </row>
    <row r="24727" spans="6:8">
      <c r="H24727" t="s">
        <v>19080</v>
      </c>
    </row>
    <row r="24728" spans="6:8">
      <c r="H24728" t="s">
        <v>26535</v>
      </c>
    </row>
    <row r="24729" spans="6:8">
      <c r="H24729" t="s">
        <v>19081</v>
      </c>
    </row>
    <row r="24730" spans="6:8">
      <c r="H24730" t="s">
        <v>26534</v>
      </c>
    </row>
    <row r="24731" spans="6:8">
      <c r="H24731" t="s">
        <v>19079</v>
      </c>
    </row>
    <row r="24732" spans="6:8">
      <c r="H24732" t="s">
        <v>27832</v>
      </c>
    </row>
    <row r="24733" spans="6:8">
      <c r="H24733" t="s">
        <v>18985</v>
      </c>
    </row>
    <row r="24734" spans="6:8">
      <c r="H24734" t="s">
        <v>18986</v>
      </c>
    </row>
    <row r="24735" spans="6:8">
      <c r="H24735" t="s">
        <v>24979</v>
      </c>
    </row>
    <row r="24736" spans="6:8">
      <c r="H24736" t="s">
        <v>27833</v>
      </c>
    </row>
    <row r="24737" spans="1:8">
      <c r="H24737" t="s">
        <v>27834</v>
      </c>
    </row>
    <row r="24738" spans="1:8">
      <c r="H24738" t="s">
        <v>27835</v>
      </c>
    </row>
    <row r="24739" spans="1:8">
      <c r="H24739" t="s">
        <v>27836</v>
      </c>
    </row>
    <row r="24740" spans="1:8">
      <c r="H24740" t="s">
        <v>27837</v>
      </c>
    </row>
    <row r="24741" spans="1:8">
      <c r="H24741" t="s">
        <v>27838</v>
      </c>
    </row>
    <row r="24742" spans="1:8">
      <c r="H24742" t="s">
        <v>27839</v>
      </c>
    </row>
    <row r="24743" spans="1:8">
      <c r="H24743" t="s">
        <v>27840</v>
      </c>
    </row>
    <row r="24744" spans="1:8">
      <c r="H24744" t="s">
        <v>27841</v>
      </c>
    </row>
    <row r="24745" spans="1:8">
      <c r="H24745" t="s">
        <v>20414</v>
      </c>
    </row>
    <row r="24746" spans="1:8">
      <c r="A24746" t="s">
        <v>1275</v>
      </c>
      <c r="B24746">
        <f>HYPERLINK("https://android.googlesource.com/platform/cts/+/24fee45e900df980543f9248238b3854ad2a258d", "24fee45e900df980543f9248238b3854ad2a258d")</f>
        <v>0</v>
      </c>
      <c r="C24746">
        <f>HYPERLINK("https://android.googlesource.com/platform/cts/+/330dd441bc45b601749c1dd3c3a3595d1b1267f5", "330dd441bc45b601749c1dd3c3a3595d1b1267f5")</f>
        <v>0</v>
      </c>
      <c r="D24746" t="s">
        <v>5085</v>
      </c>
      <c r="E24746" t="s">
        <v>7049</v>
      </c>
      <c r="F24746" t="s">
        <v>13073</v>
      </c>
      <c r="G24746" t="s">
        <v>17056</v>
      </c>
      <c r="H24746" t="s">
        <v>27739</v>
      </c>
    </row>
    <row r="24747" spans="1:8">
      <c r="A24747" t="s">
        <v>1276</v>
      </c>
      <c r="B24747">
        <f>HYPERLINK("https://android.googlesource.com/platform/cts/+/047c430fa4b8c5dfb7735fe32b8a3d5abf8bbbaf", "047c430fa4b8c5dfb7735fe32b8a3d5abf8bbbaf")</f>
        <v>0</v>
      </c>
      <c r="C24747">
        <f>HYPERLINK("https://android.googlesource.com/platform/cts/+/4d75b7492d1eb9ee3fb705e45f56db6209ee8881", "4d75b7492d1eb9ee3fb705e45f56db6209ee8881")</f>
        <v>0</v>
      </c>
      <c r="D24747" t="s">
        <v>5176</v>
      </c>
      <c r="E24747" t="s">
        <v>7050</v>
      </c>
      <c r="F24747" t="s">
        <v>10794</v>
      </c>
      <c r="G24747" t="s">
        <v>15189</v>
      </c>
      <c r="H24747" t="s">
        <v>18836</v>
      </c>
    </row>
    <row r="24748" spans="1:8">
      <c r="A24748" t="s">
        <v>1277</v>
      </c>
      <c r="B24748">
        <f>HYPERLINK("https://android.googlesource.com/platform/cts/+/e6006b05281094c1af1c2f33e2c5add08242bc5d", "e6006b05281094c1af1c2f33e2c5add08242bc5d")</f>
        <v>0</v>
      </c>
      <c r="C24748">
        <f>HYPERLINK("https://android.googlesource.com/platform/cts/+/407aa46e8970ee92de7ba3cbbb3f7617e6e386cb", "407aa46e8970ee92de7ba3cbbb3f7617e6e386cb")</f>
        <v>0</v>
      </c>
      <c r="D24748" t="s">
        <v>5143</v>
      </c>
      <c r="E24748" t="s">
        <v>7051</v>
      </c>
      <c r="F24748" t="s">
        <v>12793</v>
      </c>
      <c r="G24748" t="s">
        <v>16976</v>
      </c>
      <c r="H24748" t="s">
        <v>18829</v>
      </c>
    </row>
    <row r="24749" spans="1:8">
      <c r="H24749" t="s">
        <v>27842</v>
      </c>
    </row>
    <row r="24750" spans="1:8">
      <c r="H24750" t="s">
        <v>19078</v>
      </c>
    </row>
    <row r="24751" spans="1:8">
      <c r="H24751" t="s">
        <v>19079</v>
      </c>
    </row>
    <row r="24752" spans="1:8">
      <c r="H24752" t="s">
        <v>19080</v>
      </c>
    </row>
    <row r="24753" spans="6:8">
      <c r="H24753" t="s">
        <v>19081</v>
      </c>
    </row>
    <row r="24754" spans="6:8">
      <c r="H24754" t="s">
        <v>26536</v>
      </c>
    </row>
    <row r="24755" spans="6:8">
      <c r="H24755" t="s">
        <v>27843</v>
      </c>
    </row>
    <row r="24756" spans="6:8">
      <c r="H24756" t="s">
        <v>27844</v>
      </c>
    </row>
    <row r="24757" spans="6:8">
      <c r="H24757" t="s">
        <v>27845</v>
      </c>
    </row>
    <row r="24758" spans="6:8">
      <c r="H24758" t="s">
        <v>19083</v>
      </c>
    </row>
    <row r="24759" spans="6:8">
      <c r="H24759" t="s">
        <v>27846</v>
      </c>
    </row>
    <row r="24760" spans="6:8">
      <c r="H24760" t="s">
        <v>19082</v>
      </c>
    </row>
    <row r="24761" spans="6:8">
      <c r="H24761" t="s">
        <v>27847</v>
      </c>
    </row>
    <row r="24762" spans="6:8">
      <c r="H24762" t="s">
        <v>27848</v>
      </c>
    </row>
    <row r="24763" spans="6:8">
      <c r="H24763" t="s">
        <v>27849</v>
      </c>
    </row>
    <row r="24764" spans="6:8">
      <c r="H24764" t="s">
        <v>27850</v>
      </c>
    </row>
    <row r="24765" spans="6:8">
      <c r="H24765" t="s">
        <v>27851</v>
      </c>
    </row>
    <row r="24766" spans="6:8">
      <c r="H24766" t="s">
        <v>27832</v>
      </c>
    </row>
    <row r="24767" spans="6:8">
      <c r="F24767" t="s">
        <v>10780</v>
      </c>
      <c r="G24767" t="s">
        <v>15176</v>
      </c>
      <c r="H24767" t="s">
        <v>18829</v>
      </c>
    </row>
    <row r="24768" spans="6:8">
      <c r="H24768" t="s">
        <v>27852</v>
      </c>
    </row>
    <row r="24769" spans="8:8">
      <c r="H24769" t="s">
        <v>27853</v>
      </c>
    </row>
    <row r="24770" spans="8:8">
      <c r="H24770" t="s">
        <v>27854</v>
      </c>
    </row>
    <row r="24771" spans="8:8">
      <c r="H24771" t="s">
        <v>27855</v>
      </c>
    </row>
    <row r="24772" spans="8:8">
      <c r="H24772" t="s">
        <v>26536</v>
      </c>
    </row>
    <row r="24773" spans="8:8">
      <c r="H24773" t="s">
        <v>27843</v>
      </c>
    </row>
    <row r="24774" spans="8:8">
      <c r="H24774" t="s">
        <v>22152</v>
      </c>
    </row>
    <row r="24775" spans="8:8">
      <c r="H24775" t="s">
        <v>27844</v>
      </c>
    </row>
    <row r="24776" spans="8:8">
      <c r="H24776" t="s">
        <v>27845</v>
      </c>
    </row>
    <row r="24777" spans="8:8">
      <c r="H24777" t="s">
        <v>19083</v>
      </c>
    </row>
    <row r="24778" spans="8:8">
      <c r="H24778" t="s">
        <v>27846</v>
      </c>
    </row>
    <row r="24779" spans="8:8">
      <c r="H24779" t="s">
        <v>19082</v>
      </c>
    </row>
    <row r="24780" spans="8:8">
      <c r="H24780" t="s">
        <v>27847</v>
      </c>
    </row>
    <row r="24781" spans="8:8">
      <c r="H24781" t="s">
        <v>27856</v>
      </c>
    </row>
    <row r="24782" spans="8:8">
      <c r="H24782" t="s">
        <v>27857</v>
      </c>
    </row>
    <row r="24783" spans="8:8">
      <c r="H24783" t="s">
        <v>27848</v>
      </c>
    </row>
    <row r="24784" spans="8:8">
      <c r="H24784" t="s">
        <v>27849</v>
      </c>
    </row>
    <row r="24785" spans="8:8">
      <c r="H24785" t="s">
        <v>27850</v>
      </c>
    </row>
    <row r="24786" spans="8:8">
      <c r="H24786" t="s">
        <v>27851</v>
      </c>
    </row>
    <row r="24787" spans="8:8">
      <c r="H24787" t="s">
        <v>27832</v>
      </c>
    </row>
    <row r="24788" spans="8:8">
      <c r="H24788" t="s">
        <v>26533</v>
      </c>
    </row>
    <row r="24789" spans="8:8">
      <c r="H24789" t="s">
        <v>27858</v>
      </c>
    </row>
    <row r="24790" spans="8:8">
      <c r="H24790" t="s">
        <v>27859</v>
      </c>
    </row>
    <row r="24791" spans="8:8">
      <c r="H24791" t="s">
        <v>27860</v>
      </c>
    </row>
    <row r="24792" spans="8:8">
      <c r="H24792" t="s">
        <v>22154</v>
      </c>
    </row>
    <row r="24793" spans="8:8">
      <c r="H24793" t="s">
        <v>27861</v>
      </c>
    </row>
    <row r="24794" spans="8:8">
      <c r="H24794" t="s">
        <v>27862</v>
      </c>
    </row>
    <row r="24795" spans="8:8">
      <c r="H24795" t="s">
        <v>27863</v>
      </c>
    </row>
    <row r="24796" spans="8:8">
      <c r="H24796" t="s">
        <v>27864</v>
      </c>
    </row>
    <row r="24797" spans="8:8">
      <c r="H24797" t="s">
        <v>27865</v>
      </c>
    </row>
    <row r="24798" spans="8:8">
      <c r="H24798" t="s">
        <v>18893</v>
      </c>
    </row>
    <row r="24799" spans="8:8">
      <c r="H24799" t="s">
        <v>27839</v>
      </c>
    </row>
    <row r="24800" spans="8:8">
      <c r="H24800" t="s">
        <v>27840</v>
      </c>
    </row>
    <row r="24801" spans="1:8">
      <c r="H24801" t="s">
        <v>27841</v>
      </c>
    </row>
    <row r="24802" spans="1:8">
      <c r="H24802" t="s">
        <v>20414</v>
      </c>
    </row>
    <row r="24803" spans="1:8">
      <c r="F24803" t="s">
        <v>10644</v>
      </c>
      <c r="G24803" t="s">
        <v>15045</v>
      </c>
      <c r="H24803" t="s">
        <v>18829</v>
      </c>
    </row>
    <row r="24804" spans="1:8">
      <c r="H24804" t="s">
        <v>27866</v>
      </c>
    </row>
    <row r="24805" spans="1:8">
      <c r="H24805" t="s">
        <v>27835</v>
      </c>
    </row>
    <row r="24806" spans="1:8">
      <c r="H24806" t="s">
        <v>27836</v>
      </c>
    </row>
    <row r="24807" spans="1:8">
      <c r="H24807" t="s">
        <v>27837</v>
      </c>
    </row>
    <row r="24808" spans="1:8">
      <c r="H24808" t="s">
        <v>27838</v>
      </c>
    </row>
    <row r="24809" spans="1:8">
      <c r="H24809" t="s">
        <v>27839</v>
      </c>
    </row>
    <row r="24810" spans="1:8">
      <c r="H24810" t="s">
        <v>27840</v>
      </c>
    </row>
    <row r="24811" spans="1:8">
      <c r="H24811" t="s">
        <v>27841</v>
      </c>
    </row>
    <row r="24812" spans="1:8">
      <c r="F24812" t="s">
        <v>12794</v>
      </c>
      <c r="G24812" t="s">
        <v>16977</v>
      </c>
      <c r="H24812" t="s">
        <v>27867</v>
      </c>
    </row>
    <row r="24813" spans="1:8">
      <c r="H24813" t="s">
        <v>18893</v>
      </c>
    </row>
    <row r="24814" spans="1:8">
      <c r="A24814" t="s">
        <v>1278</v>
      </c>
      <c r="B24814">
        <f>HYPERLINK("https://android.googlesource.com/platform/cts/+/f2c0f4bdb245a805552f40039f0c5256df029547", "f2c0f4bdb245a805552f40039f0c5256df029547")</f>
        <v>0</v>
      </c>
      <c r="C24814">
        <f>HYPERLINK("https://android.googlesource.com/platform/cts/+/ef1a6197a0994cbc10807e85d4a196d17e86ebe1", "ef1a6197a0994cbc10807e85d4a196d17e86ebe1")</f>
        <v>0</v>
      </c>
      <c r="D24814" t="s">
        <v>5143</v>
      </c>
      <c r="E24814" t="s">
        <v>7052</v>
      </c>
      <c r="F24814" t="s">
        <v>13101</v>
      </c>
      <c r="G24814" t="s">
        <v>17263</v>
      </c>
      <c r="H24814" t="s">
        <v>18829</v>
      </c>
    </row>
    <row r="24815" spans="1:8">
      <c r="H24815" t="s">
        <v>19073</v>
      </c>
    </row>
    <row r="24816" spans="1:8">
      <c r="H24816" t="s">
        <v>19078</v>
      </c>
    </row>
    <row r="24817" spans="6:8">
      <c r="H24817" t="s">
        <v>19079</v>
      </c>
    </row>
    <row r="24818" spans="6:8">
      <c r="H24818" t="s">
        <v>19080</v>
      </c>
    </row>
    <row r="24819" spans="6:8">
      <c r="H24819" t="s">
        <v>19081</v>
      </c>
    </row>
    <row r="24820" spans="6:8">
      <c r="F24820" t="s">
        <v>12316</v>
      </c>
      <c r="G24820" t="s">
        <v>16548</v>
      </c>
      <c r="H24820" t="s">
        <v>18829</v>
      </c>
    </row>
    <row r="24821" spans="6:8">
      <c r="H24821" t="s">
        <v>18980</v>
      </c>
    </row>
    <row r="24822" spans="6:8">
      <c r="H24822" t="s">
        <v>27868</v>
      </c>
    </row>
    <row r="24823" spans="6:8">
      <c r="H24823" t="s">
        <v>27869</v>
      </c>
    </row>
    <row r="24824" spans="6:8">
      <c r="H24824" t="s">
        <v>27830</v>
      </c>
    </row>
    <row r="24825" spans="6:8">
      <c r="H24825" t="s">
        <v>27870</v>
      </c>
    </row>
    <row r="24826" spans="6:8">
      <c r="H24826" t="s">
        <v>27871</v>
      </c>
    </row>
    <row r="24827" spans="6:8">
      <c r="F24827" t="s">
        <v>13102</v>
      </c>
      <c r="G24827" t="s">
        <v>17264</v>
      </c>
      <c r="H24827" t="s">
        <v>27872</v>
      </c>
    </row>
    <row r="24828" spans="6:8">
      <c r="F24828" t="s">
        <v>13103</v>
      </c>
      <c r="G24828" t="s">
        <v>17265</v>
      </c>
      <c r="H24828" t="s">
        <v>27830</v>
      </c>
    </row>
    <row r="24829" spans="6:8">
      <c r="F24829" t="s">
        <v>10782</v>
      </c>
      <c r="G24829" t="s">
        <v>15178</v>
      </c>
      <c r="H24829" t="s">
        <v>18829</v>
      </c>
    </row>
    <row r="24830" spans="6:8">
      <c r="H24830" t="s">
        <v>26410</v>
      </c>
    </row>
    <row r="24831" spans="6:8">
      <c r="H24831" t="s">
        <v>27839</v>
      </c>
    </row>
    <row r="24832" spans="6:8">
      <c r="H24832" t="s">
        <v>27840</v>
      </c>
    </row>
    <row r="24833" spans="6:8">
      <c r="H24833" t="s">
        <v>27841</v>
      </c>
    </row>
    <row r="24834" spans="6:8">
      <c r="H24834" t="s">
        <v>27137</v>
      </c>
    </row>
    <row r="24835" spans="6:8">
      <c r="H24835" t="s">
        <v>27873</v>
      </c>
    </row>
    <row r="24836" spans="6:8">
      <c r="H24836" t="s">
        <v>27874</v>
      </c>
    </row>
    <row r="24837" spans="6:8">
      <c r="H24837" t="s">
        <v>20414</v>
      </c>
    </row>
    <row r="24838" spans="6:8">
      <c r="H24838" t="s">
        <v>18893</v>
      </c>
    </row>
    <row r="24839" spans="6:8">
      <c r="F24839" t="s">
        <v>10783</v>
      </c>
      <c r="G24839" t="s">
        <v>15179</v>
      </c>
      <c r="H24839" t="s">
        <v>27839</v>
      </c>
    </row>
    <row r="24840" spans="6:8">
      <c r="H24840" t="s">
        <v>27840</v>
      </c>
    </row>
    <row r="24841" spans="6:8">
      <c r="H24841" t="s">
        <v>27841</v>
      </c>
    </row>
    <row r="24842" spans="6:8">
      <c r="H24842" t="s">
        <v>27137</v>
      </c>
    </row>
    <row r="24843" spans="6:8">
      <c r="H24843" t="s">
        <v>27873</v>
      </c>
    </row>
    <row r="24844" spans="6:8">
      <c r="H24844" t="s">
        <v>27874</v>
      </c>
    </row>
    <row r="24845" spans="6:8">
      <c r="H24845" t="s">
        <v>20414</v>
      </c>
    </row>
    <row r="24846" spans="6:8">
      <c r="H24846" t="s">
        <v>18893</v>
      </c>
    </row>
    <row r="24847" spans="6:8">
      <c r="H24847" t="s">
        <v>27845</v>
      </c>
    </row>
    <row r="24848" spans="6:8">
      <c r="H24848" t="s">
        <v>27875</v>
      </c>
    </row>
    <row r="24849" spans="6:8">
      <c r="H24849" t="s">
        <v>26536</v>
      </c>
    </row>
    <row r="24850" spans="6:8">
      <c r="H24850" t="s">
        <v>27847</v>
      </c>
    </row>
    <row r="24851" spans="6:8">
      <c r="H24851" t="s">
        <v>19082</v>
      </c>
    </row>
    <row r="24852" spans="6:8">
      <c r="H24852" t="s">
        <v>27689</v>
      </c>
    </row>
    <row r="24853" spans="6:8">
      <c r="H24853" t="s">
        <v>26157</v>
      </c>
    </row>
    <row r="24854" spans="6:8">
      <c r="H24854" t="s">
        <v>27876</v>
      </c>
    </row>
    <row r="24855" spans="6:8">
      <c r="H24855" t="s">
        <v>27877</v>
      </c>
    </row>
    <row r="24856" spans="6:8">
      <c r="H24856" t="s">
        <v>27878</v>
      </c>
    </row>
    <row r="24857" spans="6:8">
      <c r="H24857" t="s">
        <v>27879</v>
      </c>
    </row>
    <row r="24858" spans="6:8">
      <c r="H24858" t="s">
        <v>27880</v>
      </c>
    </row>
    <row r="24859" spans="6:8">
      <c r="H24859" t="s">
        <v>27881</v>
      </c>
    </row>
    <row r="24860" spans="6:8">
      <c r="H24860" t="s">
        <v>27882</v>
      </c>
    </row>
    <row r="24861" spans="6:8">
      <c r="H24861" t="s">
        <v>27883</v>
      </c>
    </row>
    <row r="24862" spans="6:8">
      <c r="H24862" t="s">
        <v>27884</v>
      </c>
    </row>
    <row r="24863" spans="6:8">
      <c r="F24863" t="s">
        <v>10646</v>
      </c>
      <c r="G24863" t="s">
        <v>15047</v>
      </c>
      <c r="H24863" t="s">
        <v>18983</v>
      </c>
    </row>
    <row r="24864" spans="6:8">
      <c r="H24864" t="s">
        <v>26533</v>
      </c>
    </row>
    <row r="24865" spans="1:8">
      <c r="H24865" t="s">
        <v>18893</v>
      </c>
    </row>
    <row r="24866" spans="1:8">
      <c r="H24866" t="s">
        <v>19074</v>
      </c>
    </row>
    <row r="24867" spans="1:8">
      <c r="F24867" t="s">
        <v>13104</v>
      </c>
      <c r="G24867" t="s">
        <v>17266</v>
      </c>
      <c r="H24867" t="s">
        <v>18829</v>
      </c>
    </row>
    <row r="24868" spans="1:8">
      <c r="H24868" t="s">
        <v>27885</v>
      </c>
    </row>
    <row r="24869" spans="1:8">
      <c r="H24869" t="s">
        <v>27886</v>
      </c>
    </row>
    <row r="24870" spans="1:8">
      <c r="H24870" t="s">
        <v>19073</v>
      </c>
    </row>
    <row r="24871" spans="1:8">
      <c r="H24871" t="s">
        <v>19078</v>
      </c>
    </row>
    <row r="24872" spans="1:8">
      <c r="H24872" t="s">
        <v>19079</v>
      </c>
    </row>
    <row r="24873" spans="1:8">
      <c r="H24873" t="s">
        <v>19080</v>
      </c>
    </row>
    <row r="24874" spans="1:8">
      <c r="H24874" t="s">
        <v>19081</v>
      </c>
    </row>
    <row r="24875" spans="1:8">
      <c r="A24875" t="s">
        <v>1279</v>
      </c>
      <c r="B24875">
        <f>HYPERLINK("https://android.googlesource.com/platform/cts/+/f3758dd8f19df415349232783138dbda32cb6b48", "f3758dd8f19df415349232783138dbda32cb6b48")</f>
        <v>0</v>
      </c>
      <c r="C24875">
        <f>HYPERLINK("https://android.googlesource.com/platform/cts/+/ef1a6197a0994cbc10807e85d4a196d17e86ebe1", "ef1a6197a0994cbc10807e85d4a196d17e86ebe1")</f>
        <v>0</v>
      </c>
      <c r="D24875" t="s">
        <v>5143</v>
      </c>
      <c r="E24875" t="s">
        <v>7053</v>
      </c>
      <c r="F24875" t="s">
        <v>12331</v>
      </c>
      <c r="G24875" t="s">
        <v>16559</v>
      </c>
      <c r="H24875" t="s">
        <v>18829</v>
      </c>
    </row>
    <row r="24876" spans="1:8">
      <c r="H24876" t="s">
        <v>27887</v>
      </c>
    </row>
    <row r="24877" spans="1:8">
      <c r="H24877" t="s">
        <v>27888</v>
      </c>
    </row>
    <row r="24878" spans="1:8">
      <c r="F24878" t="s">
        <v>10647</v>
      </c>
      <c r="G24878" t="s">
        <v>15048</v>
      </c>
      <c r="H24878" t="s">
        <v>18829</v>
      </c>
    </row>
    <row r="24879" spans="1:8">
      <c r="H24879" t="s">
        <v>27889</v>
      </c>
    </row>
    <row r="24880" spans="1:8">
      <c r="H24880" t="s">
        <v>27890</v>
      </c>
    </row>
    <row r="24881" spans="1:8">
      <c r="H24881" t="s">
        <v>27891</v>
      </c>
    </row>
    <row r="24882" spans="1:8">
      <c r="H24882" t="s">
        <v>27892</v>
      </c>
    </row>
    <row r="24883" spans="1:8">
      <c r="H24883" t="s">
        <v>27893</v>
      </c>
    </row>
    <row r="24884" spans="1:8">
      <c r="H24884" t="s">
        <v>27871</v>
      </c>
    </row>
    <row r="24885" spans="1:8">
      <c r="H24885" t="s">
        <v>27894</v>
      </c>
    </row>
    <row r="24886" spans="1:8">
      <c r="H24886" t="s">
        <v>27895</v>
      </c>
    </row>
    <row r="24887" spans="1:8">
      <c r="H24887" t="s">
        <v>18893</v>
      </c>
    </row>
    <row r="24888" spans="1:8">
      <c r="H24888" t="s">
        <v>27839</v>
      </c>
    </row>
    <row r="24889" spans="1:8">
      <c r="H24889" t="s">
        <v>27840</v>
      </c>
    </row>
    <row r="24890" spans="1:8">
      <c r="H24890" t="s">
        <v>27841</v>
      </c>
    </row>
    <row r="24891" spans="1:8">
      <c r="H24891" t="s">
        <v>20414</v>
      </c>
    </row>
    <row r="24892" spans="1:8">
      <c r="F24892" t="s">
        <v>12327</v>
      </c>
      <c r="G24892" t="s">
        <v>16557</v>
      </c>
      <c r="H24892" t="s">
        <v>18829</v>
      </c>
    </row>
    <row r="24893" spans="1:8">
      <c r="H24893" t="s">
        <v>27830</v>
      </c>
    </row>
    <row r="24894" spans="1:8">
      <c r="A24894" t="s">
        <v>1280</v>
      </c>
      <c r="B24894">
        <f>HYPERLINK("https://android.googlesource.com/platform/cts/+/614d1ea50c6b5b00f54e09d3643482ee87452c9e", "614d1ea50c6b5b00f54e09d3643482ee87452c9e")</f>
        <v>0</v>
      </c>
      <c r="C24894">
        <f>HYPERLINK("https://android.googlesource.com/platform/cts/+/ef1a6197a0994cbc10807e85d4a196d17e86ebe1", "ef1a6197a0994cbc10807e85d4a196d17e86ebe1")</f>
        <v>0</v>
      </c>
      <c r="D24894" t="s">
        <v>5143</v>
      </c>
      <c r="E24894" t="s">
        <v>7054</v>
      </c>
      <c r="F24894" t="s">
        <v>10606</v>
      </c>
      <c r="G24894" t="s">
        <v>15009</v>
      </c>
      <c r="H24894" t="s">
        <v>18829</v>
      </c>
    </row>
    <row r="24895" spans="1:8">
      <c r="F24895" t="s">
        <v>10785</v>
      </c>
      <c r="G24895" t="s">
        <v>15181</v>
      </c>
      <c r="H24895" t="s">
        <v>18829</v>
      </c>
    </row>
    <row r="24896" spans="1:8">
      <c r="H24896" t="s">
        <v>18863</v>
      </c>
    </row>
    <row r="24897" spans="1:8">
      <c r="F24897" t="s">
        <v>13105</v>
      </c>
      <c r="G24897" t="s">
        <v>17267</v>
      </c>
      <c r="H24897" t="s">
        <v>27896</v>
      </c>
    </row>
    <row r="24898" spans="1:8">
      <c r="H24898" t="s">
        <v>27897</v>
      </c>
    </row>
    <row r="24899" spans="1:8">
      <c r="F24899" t="s">
        <v>10625</v>
      </c>
      <c r="G24899" t="s">
        <v>15028</v>
      </c>
      <c r="H24899" t="s">
        <v>18829</v>
      </c>
    </row>
    <row r="24900" spans="1:8">
      <c r="H24900" t="s">
        <v>27898</v>
      </c>
    </row>
    <row r="24901" spans="1:8">
      <c r="H24901" t="s">
        <v>27899</v>
      </c>
    </row>
    <row r="24902" spans="1:8">
      <c r="H24902" t="s">
        <v>27900</v>
      </c>
    </row>
    <row r="24903" spans="1:8">
      <c r="H24903" t="s">
        <v>27901</v>
      </c>
    </row>
    <row r="24904" spans="1:8">
      <c r="A24904" t="s">
        <v>1281</v>
      </c>
      <c r="B24904">
        <f>HYPERLINK("https://android.googlesource.com/platform/cts/+/b4be6a5eb49690759c8a6c921050909a178bb880", "b4be6a5eb49690759c8a6c921050909a178bb880")</f>
        <v>0</v>
      </c>
      <c r="C24904">
        <f>HYPERLINK("https://android.googlesource.com/platform/cts/+/d51ba4034a02227b21a6326b04f874420d842aed", "d51ba4034a02227b21a6326b04f874420d842aed")</f>
        <v>0</v>
      </c>
      <c r="D24904" t="s">
        <v>5085</v>
      </c>
      <c r="E24904" t="s">
        <v>7055</v>
      </c>
      <c r="F24904" t="s">
        <v>13073</v>
      </c>
      <c r="G24904" t="s">
        <v>17056</v>
      </c>
      <c r="H24904" t="s">
        <v>27739</v>
      </c>
    </row>
    <row r="24905" spans="1:8">
      <c r="A24905" t="s">
        <v>1282</v>
      </c>
      <c r="B24905">
        <f>HYPERLINK("https://android.googlesource.com/platform/cts/+/a958c078213fdb0829c4c92663380c9c0525bbac", "a958c078213fdb0829c4c92663380c9c0525bbac")</f>
        <v>0</v>
      </c>
      <c r="C24905">
        <f>HYPERLINK("https://android.googlesource.com/platform/cts/+/5528c25898146c749688f893f5610ac301a56625", "5528c25898146c749688f893f5610ac301a56625")</f>
        <v>0</v>
      </c>
      <c r="D24905" t="s">
        <v>5143</v>
      </c>
      <c r="E24905" t="s">
        <v>7056</v>
      </c>
      <c r="F24905" t="s">
        <v>13106</v>
      </c>
      <c r="G24905" t="s">
        <v>17268</v>
      </c>
      <c r="H24905" t="s">
        <v>27839</v>
      </c>
    </row>
    <row r="24906" spans="1:8">
      <c r="H24906" t="s">
        <v>27840</v>
      </c>
    </row>
    <row r="24907" spans="1:8">
      <c r="H24907" t="s">
        <v>27841</v>
      </c>
    </row>
    <row r="24908" spans="1:8">
      <c r="H24908" t="s">
        <v>27137</v>
      </c>
    </row>
    <row r="24909" spans="1:8">
      <c r="H24909" t="s">
        <v>27873</v>
      </c>
    </row>
    <row r="24910" spans="1:8">
      <c r="H24910" t="s">
        <v>27874</v>
      </c>
    </row>
    <row r="24911" spans="1:8">
      <c r="H24911" t="s">
        <v>20414</v>
      </c>
    </row>
    <row r="24912" spans="1:8">
      <c r="H24912" t="s">
        <v>18893</v>
      </c>
    </row>
    <row r="24913" spans="8:8">
      <c r="H24913" t="s">
        <v>27845</v>
      </c>
    </row>
    <row r="24914" spans="8:8">
      <c r="H24914" t="s">
        <v>27875</v>
      </c>
    </row>
    <row r="24915" spans="8:8">
      <c r="H24915" t="s">
        <v>26536</v>
      </c>
    </row>
    <row r="24916" spans="8:8">
      <c r="H24916" t="s">
        <v>27847</v>
      </c>
    </row>
    <row r="24917" spans="8:8">
      <c r="H24917" t="s">
        <v>19082</v>
      </c>
    </row>
    <row r="24918" spans="8:8">
      <c r="H24918" t="s">
        <v>27689</v>
      </c>
    </row>
    <row r="24919" spans="8:8">
      <c r="H24919" t="s">
        <v>26157</v>
      </c>
    </row>
    <row r="24920" spans="8:8">
      <c r="H24920" t="s">
        <v>27876</v>
      </c>
    </row>
    <row r="24921" spans="8:8">
      <c r="H24921" t="s">
        <v>27877</v>
      </c>
    </row>
    <row r="24922" spans="8:8">
      <c r="H24922" t="s">
        <v>27878</v>
      </c>
    </row>
    <row r="24923" spans="8:8">
      <c r="H24923" t="s">
        <v>27879</v>
      </c>
    </row>
    <row r="24924" spans="8:8">
      <c r="H24924" t="s">
        <v>27880</v>
      </c>
    </row>
    <row r="24925" spans="8:8">
      <c r="H24925" t="s">
        <v>27881</v>
      </c>
    </row>
    <row r="24926" spans="8:8">
      <c r="H24926" t="s">
        <v>27882</v>
      </c>
    </row>
    <row r="24927" spans="8:8">
      <c r="H24927" t="s">
        <v>27883</v>
      </c>
    </row>
    <row r="24928" spans="8:8">
      <c r="H24928" t="s">
        <v>27884</v>
      </c>
    </row>
    <row r="24929" spans="6:8">
      <c r="H24929" t="s">
        <v>24980</v>
      </c>
    </row>
    <row r="24930" spans="6:8">
      <c r="H24930" t="s">
        <v>18893</v>
      </c>
    </row>
    <row r="24931" spans="6:8">
      <c r="F24931" t="s">
        <v>10645</v>
      </c>
      <c r="G24931" t="s">
        <v>15046</v>
      </c>
      <c r="H24931" t="s">
        <v>27902</v>
      </c>
    </row>
    <row r="24932" spans="6:8">
      <c r="H24932" t="s">
        <v>27903</v>
      </c>
    </row>
    <row r="24933" spans="6:8">
      <c r="H24933" t="s">
        <v>27904</v>
      </c>
    </row>
    <row r="24934" spans="6:8">
      <c r="H24934" t="s">
        <v>27905</v>
      </c>
    </row>
    <row r="24935" spans="6:8">
      <c r="H24935" t="s">
        <v>27830</v>
      </c>
    </row>
    <row r="24936" spans="6:8">
      <c r="F24936" t="s">
        <v>13107</v>
      </c>
      <c r="G24936" t="s">
        <v>17269</v>
      </c>
      <c r="H24936" t="s">
        <v>27906</v>
      </c>
    </row>
    <row r="24937" spans="6:8">
      <c r="H24937" t="s">
        <v>18829</v>
      </c>
    </row>
    <row r="24938" spans="6:8">
      <c r="H24938" t="s">
        <v>27907</v>
      </c>
    </row>
    <row r="24939" spans="6:8">
      <c r="H24939" t="s">
        <v>27908</v>
      </c>
    </row>
    <row r="24940" spans="6:8">
      <c r="H24940" t="s">
        <v>18927</v>
      </c>
    </row>
    <row r="24941" spans="6:8">
      <c r="H24941" t="s">
        <v>27909</v>
      </c>
    </row>
    <row r="24942" spans="6:8">
      <c r="H24942" t="s">
        <v>18896</v>
      </c>
    </row>
    <row r="24943" spans="6:8">
      <c r="H24943" t="s">
        <v>27910</v>
      </c>
    </row>
    <row r="24944" spans="6:8">
      <c r="F24944" t="s">
        <v>10727</v>
      </c>
      <c r="G24944" t="s">
        <v>15126</v>
      </c>
      <c r="H24944" t="s">
        <v>27830</v>
      </c>
    </row>
    <row r="24945" spans="6:8">
      <c r="F24945" t="s">
        <v>10781</v>
      </c>
      <c r="G24945" t="s">
        <v>15177</v>
      </c>
      <c r="H24945" t="s">
        <v>27839</v>
      </c>
    </row>
    <row r="24946" spans="6:8">
      <c r="H24946" t="s">
        <v>27840</v>
      </c>
    </row>
    <row r="24947" spans="6:8">
      <c r="H24947" t="s">
        <v>27841</v>
      </c>
    </row>
    <row r="24948" spans="6:8">
      <c r="H24948" t="s">
        <v>27137</v>
      </c>
    </row>
    <row r="24949" spans="6:8">
      <c r="H24949" t="s">
        <v>27873</v>
      </c>
    </row>
    <row r="24950" spans="6:8">
      <c r="H24950" t="s">
        <v>27874</v>
      </c>
    </row>
    <row r="24951" spans="6:8">
      <c r="H24951" t="s">
        <v>20414</v>
      </c>
    </row>
    <row r="24952" spans="6:8">
      <c r="H24952" t="s">
        <v>18893</v>
      </c>
    </row>
    <row r="24953" spans="6:8">
      <c r="H24953" t="s">
        <v>26157</v>
      </c>
    </row>
    <row r="24954" spans="6:8">
      <c r="H24954" t="s">
        <v>27832</v>
      </c>
    </row>
    <row r="24955" spans="6:8">
      <c r="H24955" t="s">
        <v>27862</v>
      </c>
    </row>
    <row r="24956" spans="6:8">
      <c r="H24956" t="s">
        <v>27911</v>
      </c>
    </row>
    <row r="24957" spans="6:8">
      <c r="H24957" t="s">
        <v>27847</v>
      </c>
    </row>
    <row r="24958" spans="6:8">
      <c r="H24958" t="s">
        <v>19082</v>
      </c>
    </row>
    <row r="24959" spans="6:8">
      <c r="H24959" t="s">
        <v>27912</v>
      </c>
    </row>
    <row r="24960" spans="6:8">
      <c r="H24960" t="s">
        <v>27878</v>
      </c>
    </row>
    <row r="24961" spans="1:8">
      <c r="H24961" t="s">
        <v>27913</v>
      </c>
    </row>
    <row r="24962" spans="1:8">
      <c r="H24962" t="s">
        <v>27914</v>
      </c>
    </row>
    <row r="24963" spans="1:8">
      <c r="H24963" t="s">
        <v>27915</v>
      </c>
    </row>
    <row r="24964" spans="1:8">
      <c r="H24964" t="s">
        <v>27830</v>
      </c>
    </row>
    <row r="24965" spans="1:8">
      <c r="A24965" t="s">
        <v>1283</v>
      </c>
      <c r="B24965">
        <f>HYPERLINK("https://android.googlesource.com/platform/cts/+/0ca4f08cf337e15452e8c5ce23ea49837f6346b2", "0ca4f08cf337e15452e8c5ce23ea49837f6346b2")</f>
        <v>0</v>
      </c>
      <c r="C24965">
        <f>HYPERLINK("https://android.googlesource.com/platform/cts/+/5a8f0d5cdbf2af65e8613f6431c71ea882539a31", "5a8f0d5cdbf2af65e8613f6431c71ea882539a31")</f>
        <v>0</v>
      </c>
      <c r="D24965" t="s">
        <v>5143</v>
      </c>
      <c r="E24965" t="s">
        <v>7057</v>
      </c>
      <c r="F24965" t="s">
        <v>13108</v>
      </c>
      <c r="G24965" t="s">
        <v>17270</v>
      </c>
      <c r="H24965" t="s">
        <v>27897</v>
      </c>
    </row>
    <row r="24966" spans="1:8">
      <c r="H24966" t="s">
        <v>27897</v>
      </c>
    </row>
    <row r="24967" spans="1:8">
      <c r="F24967" t="s">
        <v>13109</v>
      </c>
      <c r="G24967" t="s">
        <v>17271</v>
      </c>
      <c r="H24967" t="s">
        <v>18829</v>
      </c>
    </row>
    <row r="24968" spans="1:8">
      <c r="F24968" t="s">
        <v>13110</v>
      </c>
      <c r="G24968" t="s">
        <v>17272</v>
      </c>
      <c r="H24968" t="s">
        <v>27916</v>
      </c>
    </row>
    <row r="24969" spans="1:8">
      <c r="H24969" t="s">
        <v>27917</v>
      </c>
    </row>
    <row r="24970" spans="1:8">
      <c r="A24970" t="s">
        <v>1285</v>
      </c>
      <c r="B24970">
        <f>HYPERLINK("https://android.googlesource.com/platform/cts/+/b3f0a0aff12a1d24b3c570286c059c3f0d22fc03", "b3f0a0aff12a1d24b3c570286c059c3f0d22fc03")</f>
        <v>0</v>
      </c>
      <c r="C24970">
        <f>HYPERLINK("https://android.googlesource.com/platform/cts/+/0ca4f08cf337e15452e8c5ce23ea49837f6346b2", "0ca4f08cf337e15452e8c5ce23ea49837f6346b2")</f>
        <v>0</v>
      </c>
      <c r="D24970" t="s">
        <v>5143</v>
      </c>
      <c r="E24970" t="s">
        <v>7058</v>
      </c>
      <c r="F24970" t="s">
        <v>13111</v>
      </c>
      <c r="G24970" t="s">
        <v>17273</v>
      </c>
      <c r="H24970" t="s">
        <v>27918</v>
      </c>
    </row>
    <row r="24971" spans="1:8">
      <c r="H24971" t="s">
        <v>27919</v>
      </c>
    </row>
    <row r="24972" spans="1:8">
      <c r="F24972" t="s">
        <v>10626</v>
      </c>
      <c r="G24972" t="s">
        <v>15029</v>
      </c>
      <c r="H24972" t="s">
        <v>18829</v>
      </c>
    </row>
    <row r="24973" spans="1:8">
      <c r="H24973" t="s">
        <v>27920</v>
      </c>
    </row>
    <row r="24974" spans="1:8">
      <c r="F24974" t="s">
        <v>10627</v>
      </c>
      <c r="G24974" t="s">
        <v>15030</v>
      </c>
      <c r="H24974" t="s">
        <v>18829</v>
      </c>
    </row>
    <row r="24975" spans="1:8">
      <c r="H24975" t="s">
        <v>27921</v>
      </c>
    </row>
    <row r="24976" spans="1:8">
      <c r="H24976" t="s">
        <v>27922</v>
      </c>
    </row>
    <row r="24977" spans="8:8">
      <c r="H24977" t="s">
        <v>27923</v>
      </c>
    </row>
    <row r="24978" spans="8:8">
      <c r="H24978" t="s">
        <v>27924</v>
      </c>
    </row>
    <row r="24979" spans="8:8">
      <c r="H24979" t="s">
        <v>27925</v>
      </c>
    </row>
    <row r="24980" spans="8:8">
      <c r="H24980" t="s">
        <v>27926</v>
      </c>
    </row>
    <row r="24981" spans="8:8">
      <c r="H24981" t="s">
        <v>27927</v>
      </c>
    </row>
    <row r="24982" spans="8:8">
      <c r="H24982" t="s">
        <v>27928</v>
      </c>
    </row>
    <row r="24983" spans="8:8">
      <c r="H24983" t="s">
        <v>27929</v>
      </c>
    </row>
    <row r="24984" spans="8:8">
      <c r="H24984" t="s">
        <v>27930</v>
      </c>
    </row>
    <row r="24985" spans="8:8">
      <c r="H24985" t="s">
        <v>27931</v>
      </c>
    </row>
    <row r="24986" spans="8:8">
      <c r="H24986" t="s">
        <v>27932</v>
      </c>
    </row>
    <row r="24987" spans="8:8">
      <c r="H24987" t="s">
        <v>27933</v>
      </c>
    </row>
    <row r="24988" spans="8:8">
      <c r="H24988" t="s">
        <v>27934</v>
      </c>
    </row>
    <row r="24989" spans="8:8">
      <c r="H24989" t="s">
        <v>27935</v>
      </c>
    </row>
    <row r="24990" spans="8:8">
      <c r="H24990" t="s">
        <v>27936</v>
      </c>
    </row>
    <row r="24991" spans="8:8">
      <c r="H24991" t="s">
        <v>27937</v>
      </c>
    </row>
    <row r="24992" spans="8:8">
      <c r="H24992" t="s">
        <v>27938</v>
      </c>
    </row>
    <row r="24993" spans="1:8">
      <c r="A24993" t="s">
        <v>1286</v>
      </c>
      <c r="B24993">
        <f>HYPERLINK("https://android.googlesource.com/platform/cts/+/6c6ebc13b2a14a7eb141ddbd9fbcc3e8279acec7", "6c6ebc13b2a14a7eb141ddbd9fbcc3e8279acec7")</f>
        <v>0</v>
      </c>
      <c r="C24993">
        <f>HYPERLINK("https://android.googlesource.com/platform/cts/+/0ca4f08cf337e15452e8c5ce23ea49837f6346b2", "0ca4f08cf337e15452e8c5ce23ea49837f6346b2")</f>
        <v>0</v>
      </c>
      <c r="D24993" t="s">
        <v>5143</v>
      </c>
      <c r="E24993" t="s">
        <v>7059</v>
      </c>
      <c r="F24993" t="s">
        <v>13112</v>
      </c>
      <c r="G24993" t="s">
        <v>17274</v>
      </c>
      <c r="H24993" t="s">
        <v>18829</v>
      </c>
    </row>
    <row r="24994" spans="1:8">
      <c r="F24994" t="s">
        <v>10583</v>
      </c>
      <c r="G24994" t="s">
        <v>14986</v>
      </c>
      <c r="H24994" t="s">
        <v>27939</v>
      </c>
    </row>
    <row r="24995" spans="1:8">
      <c r="H24995" t="s">
        <v>27940</v>
      </c>
    </row>
    <row r="24996" spans="1:8">
      <c r="H24996" t="s">
        <v>27939</v>
      </c>
    </row>
    <row r="24997" spans="1:8">
      <c r="H24997" t="s">
        <v>27941</v>
      </c>
    </row>
    <row r="24998" spans="1:8">
      <c r="F24998" t="s">
        <v>13113</v>
      </c>
      <c r="G24998" t="s">
        <v>17275</v>
      </c>
      <c r="H24998" t="s">
        <v>27897</v>
      </c>
    </row>
    <row r="24999" spans="1:8">
      <c r="F24999" t="s">
        <v>12912</v>
      </c>
      <c r="G24999" t="s">
        <v>17078</v>
      </c>
      <c r="H24999" t="s">
        <v>18829</v>
      </c>
    </row>
    <row r="25000" spans="1:8">
      <c r="H25000" t="s">
        <v>27942</v>
      </c>
    </row>
    <row r="25001" spans="1:8">
      <c r="H25001" t="s">
        <v>27943</v>
      </c>
    </row>
    <row r="25002" spans="1:8">
      <c r="H25002" t="s">
        <v>27944</v>
      </c>
    </row>
    <row r="25003" spans="1:8">
      <c r="H25003" t="s">
        <v>27945</v>
      </c>
    </row>
    <row r="25004" spans="1:8">
      <c r="H25004" t="s">
        <v>27946</v>
      </c>
    </row>
    <row r="25005" spans="1:8">
      <c r="A25005" t="s">
        <v>1287</v>
      </c>
      <c r="B25005">
        <f>HYPERLINK("https://android.googlesource.com/platform/cts/+/edb8aec92abd43a13f7982844c0d53cac681f580", "edb8aec92abd43a13f7982844c0d53cac681f580")</f>
        <v>0</v>
      </c>
      <c r="C25005">
        <f>HYPERLINK("https://android.googlesource.com/platform/cts/+/0ca4f08cf337e15452e8c5ce23ea49837f6346b2", "0ca4f08cf337e15452e8c5ce23ea49837f6346b2")</f>
        <v>0</v>
      </c>
      <c r="D25005" t="s">
        <v>5143</v>
      </c>
      <c r="E25005" t="s">
        <v>7060</v>
      </c>
      <c r="F25005" t="s">
        <v>13114</v>
      </c>
      <c r="G25005" t="s">
        <v>17276</v>
      </c>
      <c r="H25005" t="s">
        <v>27947</v>
      </c>
    </row>
    <row r="25006" spans="1:8">
      <c r="H25006" t="s">
        <v>18829</v>
      </c>
    </row>
    <row r="25007" spans="1:8">
      <c r="F25007" t="s">
        <v>13115</v>
      </c>
      <c r="G25007" t="s">
        <v>17277</v>
      </c>
      <c r="H25007" t="s">
        <v>18829</v>
      </c>
    </row>
    <row r="25008" spans="1:8">
      <c r="H25008" t="s">
        <v>27948</v>
      </c>
    </row>
    <row r="25009" spans="1:8">
      <c r="H25009" t="s">
        <v>27949</v>
      </c>
    </row>
    <row r="25010" spans="1:8">
      <c r="F25010" t="s">
        <v>13116</v>
      </c>
      <c r="G25010" t="s">
        <v>17278</v>
      </c>
      <c r="H25010" t="s">
        <v>18829</v>
      </c>
    </row>
    <row r="25011" spans="1:8">
      <c r="H25011" t="s">
        <v>27950</v>
      </c>
    </row>
    <row r="25012" spans="1:8">
      <c r="H25012" t="s">
        <v>27951</v>
      </c>
    </row>
    <row r="25013" spans="1:8">
      <c r="H25013" t="s">
        <v>27952</v>
      </c>
    </row>
    <row r="25014" spans="1:8">
      <c r="F25014" t="s">
        <v>10597</v>
      </c>
      <c r="G25014" t="s">
        <v>15000</v>
      </c>
      <c r="H25014" t="s">
        <v>27953</v>
      </c>
    </row>
    <row r="25015" spans="1:8">
      <c r="H25015" t="s">
        <v>27954</v>
      </c>
    </row>
    <row r="25016" spans="1:8">
      <c r="H25016" t="s">
        <v>27955</v>
      </c>
    </row>
    <row r="25017" spans="1:8">
      <c r="H25017" t="s">
        <v>27956</v>
      </c>
    </row>
    <row r="25018" spans="1:8">
      <c r="H25018" t="s">
        <v>27957</v>
      </c>
    </row>
    <row r="25019" spans="1:8">
      <c r="H25019" t="s">
        <v>27958</v>
      </c>
    </row>
    <row r="25020" spans="1:8">
      <c r="H25020" t="s">
        <v>27959</v>
      </c>
    </row>
    <row r="25021" spans="1:8">
      <c r="H25021" t="s">
        <v>27960</v>
      </c>
    </row>
    <row r="25022" spans="1:8">
      <c r="A25022" t="s">
        <v>1288</v>
      </c>
      <c r="B25022">
        <f>HYPERLINK("https://android.googlesource.com/platform/cts/+/31758c5853246db35cf44e1cf837210612d936f6", "31758c5853246db35cf44e1cf837210612d936f6")</f>
        <v>0</v>
      </c>
      <c r="C25022">
        <f>HYPERLINK("https://android.googlesource.com/platform/cts/+/f49ff4fd1ba6c741f7435d7c39772b87e66d89a9", "f49ff4fd1ba6c741f7435d7c39772b87e66d89a9")</f>
        <v>0</v>
      </c>
      <c r="D25022" t="s">
        <v>5143</v>
      </c>
      <c r="E25022" t="s">
        <v>7061</v>
      </c>
      <c r="F25022" t="s">
        <v>10607</v>
      </c>
      <c r="G25022" t="s">
        <v>15010</v>
      </c>
      <c r="H25022" t="s">
        <v>18829</v>
      </c>
    </row>
    <row r="25023" spans="1:8">
      <c r="F25023" t="s">
        <v>10634</v>
      </c>
      <c r="G25023" t="s">
        <v>15037</v>
      </c>
      <c r="H25023" t="s">
        <v>27961</v>
      </c>
    </row>
    <row r="25024" spans="1:8">
      <c r="H25024" t="s">
        <v>27962</v>
      </c>
    </row>
    <row r="25025" spans="1:8">
      <c r="F25025" t="s">
        <v>13117</v>
      </c>
      <c r="G25025" t="s">
        <v>17279</v>
      </c>
      <c r="H25025" t="s">
        <v>27963</v>
      </c>
    </row>
    <row r="25026" spans="1:8">
      <c r="H25026" t="s">
        <v>27964</v>
      </c>
    </row>
    <row r="25027" spans="1:8">
      <c r="H25027" t="s">
        <v>27965</v>
      </c>
    </row>
    <row r="25028" spans="1:8">
      <c r="F25028" t="s">
        <v>13118</v>
      </c>
      <c r="G25028" t="s">
        <v>17280</v>
      </c>
      <c r="H25028" t="s">
        <v>18829</v>
      </c>
    </row>
    <row r="25029" spans="1:8">
      <c r="F25029" t="s">
        <v>13119</v>
      </c>
      <c r="G25029" t="s">
        <v>17281</v>
      </c>
      <c r="H25029" t="s">
        <v>18829</v>
      </c>
    </row>
    <row r="25030" spans="1:8">
      <c r="A25030" t="s">
        <v>1289</v>
      </c>
      <c r="B25030">
        <f>HYPERLINK("https://android.googlesource.com/platform/cts/+/15e8f60a46b91864e039f608f5df8098b4483203", "15e8f60a46b91864e039f608f5df8098b4483203")</f>
        <v>0</v>
      </c>
      <c r="C25030">
        <f>HYPERLINK("https://android.googlesource.com/platform/cts/+/f49ff4fd1ba6c741f7435d7c39772b87e66d89a9", "f49ff4fd1ba6c741f7435d7c39772b87e66d89a9")</f>
        <v>0</v>
      </c>
      <c r="D25030" t="s">
        <v>5143</v>
      </c>
      <c r="E25030" t="s">
        <v>7062</v>
      </c>
      <c r="F25030" t="s">
        <v>10639</v>
      </c>
      <c r="G25030" t="s">
        <v>15042</v>
      </c>
      <c r="H25030" t="s">
        <v>27966</v>
      </c>
    </row>
    <row r="25031" spans="1:8">
      <c r="H25031" t="s">
        <v>27967</v>
      </c>
    </row>
    <row r="25032" spans="1:8">
      <c r="H25032" t="s">
        <v>27968</v>
      </c>
    </row>
    <row r="25033" spans="1:8">
      <c r="H25033" t="s">
        <v>27969</v>
      </c>
    </row>
    <row r="25034" spans="1:8">
      <c r="H25034" t="s">
        <v>27970</v>
      </c>
    </row>
    <row r="25035" spans="1:8">
      <c r="H25035" t="s">
        <v>27971</v>
      </c>
    </row>
    <row r="25036" spans="1:8">
      <c r="H25036" t="s">
        <v>27972</v>
      </c>
    </row>
    <row r="25037" spans="1:8">
      <c r="H25037" t="s">
        <v>27973</v>
      </c>
    </row>
    <row r="25038" spans="1:8">
      <c r="H25038" t="s">
        <v>27974</v>
      </c>
    </row>
    <row r="25039" spans="1:8">
      <c r="H25039" t="s">
        <v>27975</v>
      </c>
    </row>
    <row r="25040" spans="1:8">
      <c r="H25040" t="s">
        <v>27976</v>
      </c>
    </row>
    <row r="25041" spans="8:8">
      <c r="H25041" t="s">
        <v>27977</v>
      </c>
    </row>
    <row r="25042" spans="8:8">
      <c r="H25042" t="s">
        <v>27978</v>
      </c>
    </row>
    <row r="25043" spans="8:8">
      <c r="H25043" t="s">
        <v>27979</v>
      </c>
    </row>
    <row r="25044" spans="8:8">
      <c r="H25044" t="s">
        <v>27980</v>
      </c>
    </row>
    <row r="25045" spans="8:8">
      <c r="H25045" t="s">
        <v>27981</v>
      </c>
    </row>
    <row r="25046" spans="8:8">
      <c r="H25046" t="s">
        <v>27982</v>
      </c>
    </row>
    <row r="25047" spans="8:8">
      <c r="H25047" t="s">
        <v>27983</v>
      </c>
    </row>
    <row r="25048" spans="8:8">
      <c r="H25048" t="s">
        <v>27984</v>
      </c>
    </row>
    <row r="25049" spans="8:8">
      <c r="H25049" t="s">
        <v>27985</v>
      </c>
    </row>
    <row r="25050" spans="8:8">
      <c r="H25050" t="s">
        <v>27986</v>
      </c>
    </row>
    <row r="25051" spans="8:8">
      <c r="H25051" t="s">
        <v>27987</v>
      </c>
    </row>
    <row r="25052" spans="8:8">
      <c r="H25052" t="s">
        <v>27988</v>
      </c>
    </row>
    <row r="25053" spans="8:8">
      <c r="H25053" t="s">
        <v>27989</v>
      </c>
    </row>
    <row r="25054" spans="8:8">
      <c r="H25054" t="s">
        <v>27990</v>
      </c>
    </row>
    <row r="25055" spans="8:8">
      <c r="H25055" t="s">
        <v>27991</v>
      </c>
    </row>
    <row r="25056" spans="8:8">
      <c r="H25056" t="s">
        <v>27992</v>
      </c>
    </row>
    <row r="25057" spans="6:8">
      <c r="H25057" t="s">
        <v>27993</v>
      </c>
    </row>
    <row r="25058" spans="6:8">
      <c r="H25058" t="s">
        <v>27994</v>
      </c>
    </row>
    <row r="25059" spans="6:8">
      <c r="H25059" t="s">
        <v>27995</v>
      </c>
    </row>
    <row r="25060" spans="6:8">
      <c r="H25060" t="s">
        <v>27996</v>
      </c>
    </row>
    <row r="25061" spans="6:8">
      <c r="H25061" t="s">
        <v>27997</v>
      </c>
    </row>
    <row r="25062" spans="6:8">
      <c r="H25062" t="s">
        <v>27998</v>
      </c>
    </row>
    <row r="25063" spans="6:8">
      <c r="H25063" t="s">
        <v>27999</v>
      </c>
    </row>
    <row r="25064" spans="6:8">
      <c r="H25064" t="s">
        <v>28000</v>
      </c>
    </row>
    <row r="25065" spans="6:8">
      <c r="H25065" t="s">
        <v>28001</v>
      </c>
    </row>
    <row r="25066" spans="6:8">
      <c r="H25066" t="s">
        <v>28002</v>
      </c>
    </row>
    <row r="25067" spans="6:8">
      <c r="F25067" t="s">
        <v>13120</v>
      </c>
      <c r="G25067" t="s">
        <v>17282</v>
      </c>
      <c r="H25067" t="s">
        <v>18829</v>
      </c>
    </row>
    <row r="25068" spans="6:8">
      <c r="H25068" t="s">
        <v>28003</v>
      </c>
    </row>
    <row r="25069" spans="6:8">
      <c r="F25069" t="s">
        <v>13121</v>
      </c>
      <c r="G25069" t="s">
        <v>17283</v>
      </c>
      <c r="H25069" t="s">
        <v>28004</v>
      </c>
    </row>
    <row r="25070" spans="6:8">
      <c r="H25070" t="s">
        <v>28005</v>
      </c>
    </row>
    <row r="25071" spans="6:8">
      <c r="F25071" t="s">
        <v>13122</v>
      </c>
      <c r="G25071" t="s">
        <v>17284</v>
      </c>
      <c r="H25071" t="s">
        <v>28006</v>
      </c>
    </row>
    <row r="25072" spans="6:8">
      <c r="H25072" t="s">
        <v>18829</v>
      </c>
    </row>
    <row r="25073" spans="1:8">
      <c r="F25073" t="s">
        <v>13123</v>
      </c>
      <c r="G25073" t="s">
        <v>17285</v>
      </c>
      <c r="H25073" t="s">
        <v>18829</v>
      </c>
    </row>
    <row r="25074" spans="1:8">
      <c r="H25074" t="s">
        <v>28007</v>
      </c>
    </row>
    <row r="25075" spans="1:8">
      <c r="A25075" t="s">
        <v>1290</v>
      </c>
      <c r="B25075">
        <f>HYPERLINK("https://android.googlesource.com/platform/cts/+/01208f4de3714bd88f62aac0c3fc4d4511deb1b1", "01208f4de3714bd88f62aac0c3fc4d4511deb1b1")</f>
        <v>0</v>
      </c>
      <c r="C25075">
        <f>HYPERLINK("https://android.googlesource.com/platform/cts/+/17a3a6d38d435b6c08b3ccc8e88fcb61a40f1398", "17a3a6d38d435b6c08b3ccc8e88fcb61a40f1398")</f>
        <v>0</v>
      </c>
      <c r="D25075" t="s">
        <v>5115</v>
      </c>
      <c r="E25075" t="s">
        <v>7063</v>
      </c>
      <c r="F25075" t="s">
        <v>12708</v>
      </c>
      <c r="G25075" t="s">
        <v>15044</v>
      </c>
      <c r="H25075" t="s">
        <v>27325</v>
      </c>
    </row>
    <row r="25076" spans="1:8">
      <c r="A25076" t="s">
        <v>1291</v>
      </c>
      <c r="B25076">
        <f>HYPERLINK("https://android.googlesource.com/platform/cts/+/e9318bebca6df0b7e672ece6d4e5f4da9fdcd46c", "e9318bebca6df0b7e672ece6d4e5f4da9fdcd46c")</f>
        <v>0</v>
      </c>
      <c r="C25076">
        <f>HYPERLINK("https://android.googlesource.com/platform/cts/+/bd5cfb5a1b66120bc3a6d10b37af563d5a8aa641", "bd5cfb5a1b66120bc3a6d10b37af563d5a8aa641")</f>
        <v>0</v>
      </c>
      <c r="D25076" t="s">
        <v>5143</v>
      </c>
      <c r="E25076" t="s">
        <v>7064</v>
      </c>
      <c r="F25076" t="s">
        <v>13124</v>
      </c>
      <c r="G25076" t="s">
        <v>17211</v>
      </c>
      <c r="H25076" t="s">
        <v>28008</v>
      </c>
    </row>
    <row r="25077" spans="1:8">
      <c r="H25077" t="s">
        <v>18829</v>
      </c>
    </row>
    <row r="25078" spans="1:8">
      <c r="A25078" t="s">
        <v>1292</v>
      </c>
      <c r="B25078">
        <f>HYPERLINK("https://android.googlesource.com/platform/cts/+/3c987ef05601f9a3043c90032fe42fb3dae8152a", "3c987ef05601f9a3043c90032fe42fb3dae8152a")</f>
        <v>0</v>
      </c>
      <c r="C25078">
        <f>HYPERLINK("https://android.googlesource.com/platform/cts/+/7c5ec7561d3cf6f57219ae3fb30e997bf4303825", "7c5ec7561d3cf6f57219ae3fb30e997bf4303825")</f>
        <v>0</v>
      </c>
      <c r="D25078" t="s">
        <v>5018</v>
      </c>
      <c r="E25078" t="s">
        <v>7065</v>
      </c>
      <c r="F25078" t="s">
        <v>13125</v>
      </c>
      <c r="G25078" t="s">
        <v>14989</v>
      </c>
      <c r="H25078" t="s">
        <v>21488</v>
      </c>
    </row>
    <row r="25079" spans="1:8">
      <c r="H25079" t="s">
        <v>21489</v>
      </c>
    </row>
    <row r="25080" spans="1:8">
      <c r="H25080" t="s">
        <v>21490</v>
      </c>
    </row>
    <row r="25081" spans="1:8">
      <c r="H25081" t="s">
        <v>21491</v>
      </c>
    </row>
    <row r="25082" spans="1:8">
      <c r="H25082" t="s">
        <v>21492</v>
      </c>
    </row>
    <row r="25083" spans="1:8">
      <c r="H25083" t="s">
        <v>21493</v>
      </c>
    </row>
    <row r="25084" spans="1:8">
      <c r="A25084" t="s">
        <v>1293</v>
      </c>
      <c r="B25084">
        <f>HYPERLINK("https://android.googlesource.com/platform/cts/+/ca3ca9ea0521383b863cb0a963429cd381b6cdca", "ca3ca9ea0521383b863cb0a963429cd381b6cdca")</f>
        <v>0</v>
      </c>
      <c r="C25084">
        <f>HYPERLINK("https://android.googlesource.com/platform/cts/+/c5e7d8cbd760e7c6715a964ca4bcf2eecb591d59", "c5e7d8cbd760e7c6715a964ca4bcf2eecb591d59")</f>
        <v>0</v>
      </c>
      <c r="D25084" t="s">
        <v>5021</v>
      </c>
      <c r="E25084" t="s">
        <v>7066</v>
      </c>
      <c r="F25084" t="s">
        <v>13126</v>
      </c>
      <c r="G25084" t="s">
        <v>17286</v>
      </c>
      <c r="H25084" t="s">
        <v>28009</v>
      </c>
    </row>
    <row r="25085" spans="1:8">
      <c r="A25085" t="s">
        <v>1294</v>
      </c>
      <c r="B25085">
        <f>HYPERLINK("https://android.googlesource.com/platform/cts/+/66fe1509996c1e502fe306cd90cdccf512deaacc", "66fe1509996c1e502fe306cd90cdccf512deaacc")</f>
        <v>0</v>
      </c>
      <c r="C25085">
        <f>HYPERLINK("https://android.googlesource.com/platform/cts/+/90b60f9f09df1a72566ae19db1987575179ae2c9", "90b60f9f09df1a72566ae19db1987575179ae2c9")</f>
        <v>0</v>
      </c>
      <c r="D25085" t="s">
        <v>4965</v>
      </c>
      <c r="E25085" t="s">
        <v>7067</v>
      </c>
      <c r="F25085" t="s">
        <v>13127</v>
      </c>
      <c r="G25085" t="s">
        <v>17203</v>
      </c>
      <c r="H25085" t="s">
        <v>27500</v>
      </c>
    </row>
    <row r="25086" spans="1:8">
      <c r="H25086" t="s">
        <v>27501</v>
      </c>
    </row>
    <row r="25087" spans="1:8">
      <c r="A25087" t="s">
        <v>1295</v>
      </c>
      <c r="B25087">
        <f>HYPERLINK("https://android.googlesource.com/platform/cts/+/5c2437cdb9b66d8443af20f4ae0e2a92b8545b7c", "5c2437cdb9b66d8443af20f4ae0e2a92b8545b7c")</f>
        <v>0</v>
      </c>
      <c r="C25087">
        <f>HYPERLINK("https://android.googlesource.com/platform/cts/+/e5193e3730e2c9e1d1aa3b30c6ce5ed16ec98275", "e5193e3730e2c9e1d1aa3b30c6ce5ed16ec98275")</f>
        <v>0</v>
      </c>
      <c r="D25087" t="s">
        <v>5180</v>
      </c>
      <c r="E25087" t="s">
        <v>7068</v>
      </c>
      <c r="F25087" t="s">
        <v>12617</v>
      </c>
      <c r="G25087" t="s">
        <v>15155</v>
      </c>
      <c r="H25087" t="s">
        <v>28010</v>
      </c>
    </row>
    <row r="25088" spans="1:8">
      <c r="A25088" t="s">
        <v>1296</v>
      </c>
      <c r="B25088">
        <f>HYPERLINK("https://android.googlesource.com/platform/cts/+/767d645f06defd335d7d4696d4639e7e0b6808bc", "767d645f06defd335d7d4696d4639e7e0b6808bc")</f>
        <v>0</v>
      </c>
      <c r="C25088">
        <f>HYPERLINK("https://android.googlesource.com/platform/cts/+/d8c0a46fb7b3085fc579312b64f595ed09a58a92", "d8c0a46fb7b3085fc579312b64f595ed09a58a92")</f>
        <v>0</v>
      </c>
      <c r="D25088" t="s">
        <v>5143</v>
      </c>
      <c r="E25088" t="s">
        <v>7069</v>
      </c>
      <c r="F25088" t="s">
        <v>13026</v>
      </c>
      <c r="G25088" t="s">
        <v>17190</v>
      </c>
      <c r="H25088" t="s">
        <v>28011</v>
      </c>
    </row>
    <row r="25089" spans="1:8">
      <c r="H25089" t="s">
        <v>28012</v>
      </c>
    </row>
    <row r="25090" spans="1:8">
      <c r="H25090" t="s">
        <v>28013</v>
      </c>
    </row>
    <row r="25091" spans="1:8">
      <c r="H25091" t="s">
        <v>28014</v>
      </c>
    </row>
    <row r="25092" spans="1:8">
      <c r="H25092" t="s">
        <v>28015</v>
      </c>
    </row>
    <row r="25093" spans="1:8">
      <c r="H25093" t="s">
        <v>28016</v>
      </c>
    </row>
    <row r="25094" spans="1:8">
      <c r="A25094" t="s">
        <v>1297</v>
      </c>
      <c r="B25094">
        <f>HYPERLINK("https://android.googlesource.com/platform/cts/+/14ecabbe034e96ce69982dcfaa74cd8000a1af7e", "14ecabbe034e96ce69982dcfaa74cd8000a1af7e")</f>
        <v>0</v>
      </c>
      <c r="C25094">
        <f>HYPERLINK("https://android.googlesource.com/platform/cts/+/9febfc5680056d8f2a186fdc1c731edf8c230d79", "9febfc5680056d8f2a186fdc1c731edf8c230d79")</f>
        <v>0</v>
      </c>
      <c r="D25094" t="s">
        <v>5115</v>
      </c>
      <c r="E25094" t="s">
        <v>7070</v>
      </c>
      <c r="F25094" t="s">
        <v>13128</v>
      </c>
      <c r="G25094" t="s">
        <v>17287</v>
      </c>
      <c r="H25094" t="s">
        <v>26000</v>
      </c>
    </row>
    <row r="25095" spans="1:8">
      <c r="H25095" t="s">
        <v>26001</v>
      </c>
    </row>
    <row r="25096" spans="1:8">
      <c r="H25096" t="s">
        <v>28017</v>
      </c>
    </row>
    <row r="25097" spans="1:8">
      <c r="H25097" t="s">
        <v>28018</v>
      </c>
    </row>
    <row r="25098" spans="1:8">
      <c r="A25098" t="s">
        <v>1298</v>
      </c>
      <c r="B25098">
        <f>HYPERLINK("https://android.googlesource.com/platform/cts/+/43f1bfdde935f7178b907950b45e33b5082e55ab", "43f1bfdde935f7178b907950b45e33b5082e55ab")</f>
        <v>0</v>
      </c>
      <c r="C25098">
        <f>HYPERLINK("https://android.googlesource.com/platform/cts/+/767d645f06defd335d7d4696d4639e7e0b6808bc", "767d645f06defd335d7d4696d4639e7e0b6808bc")</f>
        <v>0</v>
      </c>
      <c r="D25098" t="s">
        <v>5143</v>
      </c>
      <c r="E25098" t="s">
        <v>7071</v>
      </c>
      <c r="F25098" t="s">
        <v>13026</v>
      </c>
      <c r="G25098" t="s">
        <v>17190</v>
      </c>
      <c r="H25098" t="s">
        <v>28019</v>
      </c>
    </row>
    <row r="25099" spans="1:8">
      <c r="H25099" t="s">
        <v>28020</v>
      </c>
    </row>
    <row r="25100" spans="1:8">
      <c r="H25100" t="s">
        <v>28021</v>
      </c>
    </row>
    <row r="25101" spans="1:8">
      <c r="A25101" t="s">
        <v>1299</v>
      </c>
      <c r="B25101">
        <f>HYPERLINK("https://android.googlesource.com/platform/cts/+/f684504f461432b3688cd61350765ff48754d65e", "f684504f461432b3688cd61350765ff48754d65e")</f>
        <v>0</v>
      </c>
      <c r="C25101">
        <f>HYPERLINK("https://android.googlesource.com/platform/cts/+/f97935a20e2cfedc2a4e79cf4c0bb3efce1faa89", "f97935a20e2cfedc2a4e79cf4c0bb3efce1faa89")</f>
        <v>0</v>
      </c>
      <c r="D25101" t="s">
        <v>5183</v>
      </c>
      <c r="E25101" t="s">
        <v>7072</v>
      </c>
      <c r="F25101" t="s">
        <v>13129</v>
      </c>
      <c r="G25101" t="s">
        <v>17288</v>
      </c>
      <c r="H25101" t="s">
        <v>28022</v>
      </c>
    </row>
    <row r="25102" spans="1:8">
      <c r="H25102" t="s">
        <v>28023</v>
      </c>
    </row>
    <row r="25103" spans="1:8">
      <c r="H25103" t="s">
        <v>28024</v>
      </c>
    </row>
    <row r="25104" spans="1:8">
      <c r="H25104" t="s">
        <v>28025</v>
      </c>
    </row>
    <row r="25105" spans="1:8">
      <c r="H25105" t="s">
        <v>28026</v>
      </c>
    </row>
    <row r="25106" spans="1:8">
      <c r="A25106" t="s">
        <v>1300</v>
      </c>
      <c r="B25106">
        <f>HYPERLINK("https://android.googlesource.com/platform/cts/+/d9006caf57db7fe3a5f563d70ef60169d07e7ff7", "d9006caf57db7fe3a5f563d70ef60169d07e7ff7")</f>
        <v>0</v>
      </c>
      <c r="C25106">
        <f>HYPERLINK("https://android.googlesource.com/platform/cts/+/1192f209d52a9efd25d56a72a4805b61df9f3b24", "1192f209d52a9efd25d56a72a4805b61df9f3b24")</f>
        <v>0</v>
      </c>
      <c r="D25106" t="s">
        <v>5184</v>
      </c>
      <c r="E25106" t="s">
        <v>7073</v>
      </c>
      <c r="F25106" t="s">
        <v>13130</v>
      </c>
      <c r="G25106" t="s">
        <v>17289</v>
      </c>
      <c r="H25106" t="s">
        <v>28027</v>
      </c>
    </row>
    <row r="25107" spans="1:8">
      <c r="H25107" t="s">
        <v>19264</v>
      </c>
    </row>
    <row r="25108" spans="1:8">
      <c r="H25108" t="s">
        <v>28028</v>
      </c>
    </row>
    <row r="25109" spans="1:8">
      <c r="H25109" t="s">
        <v>28028</v>
      </c>
    </row>
    <row r="25110" spans="1:8">
      <c r="F25110" t="s">
        <v>13131</v>
      </c>
      <c r="G25110" t="s">
        <v>15683</v>
      </c>
      <c r="H25110" t="s">
        <v>18829</v>
      </c>
    </row>
    <row r="25111" spans="1:8">
      <c r="H25111" t="s">
        <v>26720</v>
      </c>
    </row>
    <row r="25112" spans="1:8">
      <c r="H25112" t="s">
        <v>21238</v>
      </c>
    </row>
    <row r="25113" spans="1:8">
      <c r="H25113" t="s">
        <v>27234</v>
      </c>
    </row>
    <row r="25114" spans="1:8">
      <c r="H25114" t="s">
        <v>28029</v>
      </c>
    </row>
    <row r="25115" spans="1:8">
      <c r="F25115" t="s">
        <v>13132</v>
      </c>
      <c r="G25115" t="s">
        <v>17290</v>
      </c>
      <c r="H25115" t="s">
        <v>18863</v>
      </c>
    </row>
    <row r="25116" spans="1:8">
      <c r="H25116" t="s">
        <v>28030</v>
      </c>
    </row>
    <row r="25117" spans="1:8">
      <c r="H25117" t="s">
        <v>28031</v>
      </c>
    </row>
    <row r="25118" spans="1:8">
      <c r="H25118" t="s">
        <v>28032</v>
      </c>
    </row>
    <row r="25119" spans="1:8">
      <c r="H25119" t="s">
        <v>28033</v>
      </c>
    </row>
    <row r="25120" spans="1:8">
      <c r="H25120" t="s">
        <v>28034</v>
      </c>
    </row>
    <row r="25121" spans="6:8">
      <c r="H25121" t="s">
        <v>28035</v>
      </c>
    </row>
    <row r="25122" spans="6:8">
      <c r="H25122" t="s">
        <v>28036</v>
      </c>
    </row>
    <row r="25123" spans="6:8">
      <c r="H25123" t="s">
        <v>28037</v>
      </c>
    </row>
    <row r="25124" spans="6:8">
      <c r="H25124" t="s">
        <v>28038</v>
      </c>
    </row>
    <row r="25125" spans="6:8">
      <c r="H25125" t="s">
        <v>28039</v>
      </c>
    </row>
    <row r="25126" spans="6:8">
      <c r="H25126" t="s">
        <v>26815</v>
      </c>
    </row>
    <row r="25127" spans="6:8">
      <c r="H25127" t="s">
        <v>26816</v>
      </c>
    </row>
    <row r="25128" spans="6:8">
      <c r="H25128" t="s">
        <v>28040</v>
      </c>
    </row>
    <row r="25129" spans="6:8">
      <c r="H25129" t="s">
        <v>19019</v>
      </c>
    </row>
    <row r="25130" spans="6:8">
      <c r="F25130" t="s">
        <v>13133</v>
      </c>
      <c r="G25130" t="s">
        <v>17291</v>
      </c>
      <c r="H25130" t="s">
        <v>28041</v>
      </c>
    </row>
    <row r="25131" spans="6:8">
      <c r="H25131" t="s">
        <v>28042</v>
      </c>
    </row>
    <row r="25132" spans="6:8">
      <c r="H25132" t="s">
        <v>25720</v>
      </c>
    </row>
    <row r="25133" spans="6:8">
      <c r="H25133" t="s">
        <v>28043</v>
      </c>
    </row>
    <row r="25134" spans="6:8">
      <c r="H25134" t="s">
        <v>28044</v>
      </c>
    </row>
    <row r="25135" spans="6:8">
      <c r="H25135" t="s">
        <v>28045</v>
      </c>
    </row>
    <row r="25136" spans="6:8">
      <c r="H25136" t="s">
        <v>28046</v>
      </c>
    </row>
    <row r="25137" spans="1:8">
      <c r="H25137" t="s">
        <v>28047</v>
      </c>
    </row>
    <row r="25138" spans="1:8">
      <c r="H25138" t="s">
        <v>28048</v>
      </c>
    </row>
    <row r="25139" spans="1:8">
      <c r="H25139" t="s">
        <v>25704</v>
      </c>
    </row>
    <row r="25140" spans="1:8">
      <c r="A25140" t="s">
        <v>1301</v>
      </c>
      <c r="B25140">
        <f>HYPERLINK("https://android.googlesource.com/platform/cts/+/e4200e69813353bfb78c36075139d6be646b40cb", "e4200e69813353bfb78c36075139d6be646b40cb")</f>
        <v>0</v>
      </c>
      <c r="C25140">
        <f>HYPERLINK("https://android.googlesource.com/platform/cts/+/e3d4bc066071c3e875896a4b224c7685d7160a12", "e3d4bc066071c3e875896a4b224c7685d7160a12")</f>
        <v>0</v>
      </c>
      <c r="D25140" t="s">
        <v>5042</v>
      </c>
      <c r="E25140" t="s">
        <v>7074</v>
      </c>
      <c r="F25140" t="s">
        <v>13134</v>
      </c>
      <c r="G25140" t="s">
        <v>17292</v>
      </c>
      <c r="H25140" t="s">
        <v>28049</v>
      </c>
    </row>
    <row r="25141" spans="1:8">
      <c r="H25141" t="s">
        <v>28050</v>
      </c>
    </row>
    <row r="25142" spans="1:8">
      <c r="A25142" t="s">
        <v>1302</v>
      </c>
      <c r="B25142">
        <f>HYPERLINK("https://android.googlesource.com/platform/cts/+/e08a3556e1504cac23582e36e597ce483a2e037d", "e08a3556e1504cac23582e36e597ce483a2e037d")</f>
        <v>0</v>
      </c>
      <c r="C25142">
        <f>HYPERLINK("https://android.googlesource.com/platform/cts/+/0353d7942878b3b398e24a971ec33a600820bd48", "0353d7942878b3b398e24a971ec33a600820bd48")</f>
        <v>0</v>
      </c>
      <c r="D25142" t="s">
        <v>5185</v>
      </c>
      <c r="E25142" t="s">
        <v>7075</v>
      </c>
      <c r="F25142" t="s">
        <v>11443</v>
      </c>
      <c r="G25142" t="s">
        <v>15683</v>
      </c>
      <c r="H25142" t="s">
        <v>21238</v>
      </c>
    </row>
    <row r="25143" spans="1:8">
      <c r="H25143" t="s">
        <v>26720</v>
      </c>
    </row>
    <row r="25144" spans="1:8">
      <c r="H25144" t="s">
        <v>27234</v>
      </c>
    </row>
    <row r="25145" spans="1:8">
      <c r="A25145" t="s">
        <v>1303</v>
      </c>
      <c r="B25145">
        <f>HYPERLINK("https://android.googlesource.com/platform/cts/+/c598218f80e43220a271bd7045b930b49463cdc7", "c598218f80e43220a271bd7045b930b49463cdc7")</f>
        <v>0</v>
      </c>
      <c r="C25145">
        <f>HYPERLINK("https://android.googlesource.com/platform/cts/+/d76a3854b924e87d95e7283b583a6bfc9b84b03b", "d76a3854b924e87d95e7283b583a6bfc9b84b03b")</f>
        <v>0</v>
      </c>
      <c r="D25145" t="s">
        <v>5122</v>
      </c>
      <c r="E25145" t="s">
        <v>7076</v>
      </c>
      <c r="F25145" t="s">
        <v>13135</v>
      </c>
      <c r="G25145" t="s">
        <v>16874</v>
      </c>
      <c r="H25145" t="s">
        <v>18829</v>
      </c>
    </row>
    <row r="25146" spans="1:8">
      <c r="H25146" t="s">
        <v>18863</v>
      </c>
    </row>
    <row r="25147" spans="1:8">
      <c r="H25147" t="s">
        <v>28051</v>
      </c>
    </row>
    <row r="25148" spans="1:8">
      <c r="H25148" t="s">
        <v>19019</v>
      </c>
    </row>
    <row r="25149" spans="1:8">
      <c r="H25149" t="s">
        <v>20237</v>
      </c>
    </row>
    <row r="25150" spans="1:8">
      <c r="F25150" t="s">
        <v>13136</v>
      </c>
      <c r="G25150" t="s">
        <v>17293</v>
      </c>
      <c r="H25150" t="s">
        <v>28052</v>
      </c>
    </row>
    <row r="25151" spans="1:8">
      <c r="A25151" t="s">
        <v>1304</v>
      </c>
      <c r="B25151">
        <f>HYPERLINK("https://android.googlesource.com/platform/cts/+/77219490638c8c0f2250abd8816d2737a4da31f9", "77219490638c8c0f2250abd8816d2737a4da31f9")</f>
        <v>0</v>
      </c>
      <c r="C25151">
        <f>HYPERLINK("https://android.googlesource.com/platform/cts/+/dcae3872d845b3041d7eedf944391aa79ab028c6", "dcae3872d845b3041d7eedf944391aa79ab028c6")</f>
        <v>0</v>
      </c>
      <c r="D25151" t="s">
        <v>5143</v>
      </c>
      <c r="E25151" t="s">
        <v>7077</v>
      </c>
      <c r="F25151" t="s">
        <v>13026</v>
      </c>
      <c r="G25151" t="s">
        <v>17190</v>
      </c>
      <c r="H25151" t="s">
        <v>28053</v>
      </c>
    </row>
    <row r="25152" spans="1:8">
      <c r="H25152" t="s">
        <v>28054</v>
      </c>
    </row>
    <row r="25153" spans="8:8">
      <c r="H25153" t="s">
        <v>20014</v>
      </c>
    </row>
    <row r="25154" spans="8:8">
      <c r="H25154" t="s">
        <v>28055</v>
      </c>
    </row>
    <row r="25155" spans="8:8">
      <c r="H25155" t="s">
        <v>28056</v>
      </c>
    </row>
    <row r="25156" spans="8:8">
      <c r="H25156" t="s">
        <v>28057</v>
      </c>
    </row>
    <row r="25157" spans="8:8">
      <c r="H25157" t="s">
        <v>28058</v>
      </c>
    </row>
    <row r="25158" spans="8:8">
      <c r="H25158" t="s">
        <v>28059</v>
      </c>
    </row>
    <row r="25159" spans="8:8">
      <c r="H25159" t="s">
        <v>28060</v>
      </c>
    </row>
    <row r="25160" spans="8:8">
      <c r="H25160" t="s">
        <v>28061</v>
      </c>
    </row>
    <row r="25161" spans="8:8">
      <c r="H25161" t="s">
        <v>20014</v>
      </c>
    </row>
    <row r="25162" spans="8:8">
      <c r="H25162" t="s">
        <v>28055</v>
      </c>
    </row>
    <row r="25163" spans="8:8">
      <c r="H25163" t="s">
        <v>28055</v>
      </c>
    </row>
    <row r="25164" spans="8:8">
      <c r="H25164" t="s">
        <v>28062</v>
      </c>
    </row>
    <row r="25165" spans="8:8">
      <c r="H25165" t="s">
        <v>28062</v>
      </c>
    </row>
    <row r="25166" spans="8:8">
      <c r="H25166" t="s">
        <v>28063</v>
      </c>
    </row>
    <row r="25167" spans="8:8">
      <c r="H25167" t="s">
        <v>28063</v>
      </c>
    </row>
    <row r="25168" spans="8:8">
      <c r="H25168" t="s">
        <v>28064</v>
      </c>
    </row>
    <row r="25169" spans="1:8">
      <c r="A25169" t="s">
        <v>1305</v>
      </c>
      <c r="B25169">
        <f>HYPERLINK("https://android.googlesource.com/platform/cts/+/5e6da147809b4593f59c427b5205257e39e29f8e", "5e6da147809b4593f59c427b5205257e39e29f8e")</f>
        <v>0</v>
      </c>
      <c r="C25169">
        <f>HYPERLINK("https://android.googlesource.com/platform/cts/+/32971863a54533aa511889ae226e0a6fd9b0da8c", "32971863a54533aa511889ae226e0a6fd9b0da8c")</f>
        <v>0</v>
      </c>
      <c r="D25169" t="s">
        <v>5143</v>
      </c>
      <c r="E25169" t="s">
        <v>7078</v>
      </c>
      <c r="F25169" t="s">
        <v>10667</v>
      </c>
      <c r="G25169" t="s">
        <v>15068</v>
      </c>
      <c r="H25169" t="s">
        <v>28065</v>
      </c>
    </row>
    <row r="25170" spans="1:8">
      <c r="H25170" t="s">
        <v>28066</v>
      </c>
    </row>
    <row r="25171" spans="1:8">
      <c r="H25171" t="s">
        <v>28067</v>
      </c>
    </row>
    <row r="25172" spans="1:8">
      <c r="H25172" t="s">
        <v>27468</v>
      </c>
    </row>
    <row r="25173" spans="1:8">
      <c r="A25173" t="s">
        <v>1306</v>
      </c>
      <c r="B25173">
        <f>HYPERLINK("https://android.googlesource.com/platform/cts/+/616c3c4ff953538324d3b85b2f3d682a0bfd1cdb", "616c3c4ff953538324d3b85b2f3d682a0bfd1cdb")</f>
        <v>0</v>
      </c>
      <c r="C25173">
        <f>HYPERLINK("https://android.googlesource.com/platform/cts/+/58d4c3540bdd76be6ddef3118bf52a2bca8bb6eb", "58d4c3540bdd76be6ddef3118bf52a2bca8bb6eb")</f>
        <v>0</v>
      </c>
      <c r="D25173" t="s">
        <v>5085</v>
      </c>
      <c r="E25173" t="s">
        <v>7079</v>
      </c>
      <c r="F25173" t="s">
        <v>12394</v>
      </c>
      <c r="G25173" t="s">
        <v>17294</v>
      </c>
      <c r="H25173" t="s">
        <v>28068</v>
      </c>
    </row>
    <row r="25174" spans="1:8">
      <c r="A25174" t="s">
        <v>1308</v>
      </c>
      <c r="B25174">
        <f>HYPERLINK("https://android.googlesource.com/platform/cts/+/5b9ad98f81b3da14f5c2ca21722cd730d1a240fc", "5b9ad98f81b3da14f5c2ca21722cd730d1a240fc")</f>
        <v>0</v>
      </c>
      <c r="C25174">
        <f>HYPERLINK("https://android.googlesource.com/platform/cts/+/28df8eb84cc7779570cdaa39997bf65914472912", "28df8eb84cc7779570cdaa39997bf65914472912")</f>
        <v>0</v>
      </c>
      <c r="D25174" t="s">
        <v>4991</v>
      </c>
      <c r="E25174" t="s">
        <v>7081</v>
      </c>
      <c r="F25174" t="s">
        <v>10687</v>
      </c>
      <c r="G25174" t="s">
        <v>15087</v>
      </c>
      <c r="H25174" t="s">
        <v>28069</v>
      </c>
    </row>
    <row r="25175" spans="1:8">
      <c r="A25175" t="s">
        <v>1309</v>
      </c>
      <c r="B25175">
        <f>HYPERLINK("https://android.googlesource.com/platform/cts/+/167f23b4b7d966d9f5ac20b09a11e043f2e89a2e", "167f23b4b7d966d9f5ac20b09a11e043f2e89a2e")</f>
        <v>0</v>
      </c>
      <c r="C25175">
        <f>HYPERLINK("https://android.googlesource.com/platform/cts/+/622a9d6b2ca1c9d989c9eaeafbb41ac2dea07eb0", "622a9d6b2ca1c9d989c9eaeafbb41ac2dea07eb0")</f>
        <v>0</v>
      </c>
      <c r="D25175" t="s">
        <v>5186</v>
      </c>
      <c r="E25175" t="s">
        <v>7082</v>
      </c>
      <c r="F25175" t="s">
        <v>12743</v>
      </c>
      <c r="G25175" t="s">
        <v>16935</v>
      </c>
      <c r="H25175" t="s">
        <v>28070</v>
      </c>
    </row>
    <row r="25176" spans="1:8">
      <c r="A25176" t="s">
        <v>1310</v>
      </c>
      <c r="B25176">
        <f>HYPERLINK("https://android.googlesource.com/platform/cts/+/1418a40f30d0316108794a8acd8da82a8b4b3b03", "1418a40f30d0316108794a8acd8da82a8b4b3b03")</f>
        <v>0</v>
      </c>
      <c r="C25176">
        <f>HYPERLINK("https://android.googlesource.com/platform/cts/+/ea04caf88fad4addb8cbf7e7ff2bb3d020f96272", "ea04caf88fad4addb8cbf7e7ff2bb3d020f96272")</f>
        <v>0</v>
      </c>
      <c r="D25176" t="s">
        <v>5006</v>
      </c>
      <c r="E25176" t="s">
        <v>7083</v>
      </c>
      <c r="F25176" t="s">
        <v>10942</v>
      </c>
      <c r="G25176" t="s">
        <v>14991</v>
      </c>
      <c r="H25176" t="s">
        <v>19364</v>
      </c>
    </row>
    <row r="25177" spans="1:8">
      <c r="H25177" t="s">
        <v>19364</v>
      </c>
    </row>
    <row r="25178" spans="1:8">
      <c r="H25178" t="s">
        <v>28071</v>
      </c>
    </row>
    <row r="25179" spans="1:8">
      <c r="H25179" t="s">
        <v>18932</v>
      </c>
    </row>
    <row r="25180" spans="1:8">
      <c r="H25180" t="s">
        <v>18931</v>
      </c>
    </row>
    <row r="25181" spans="1:8">
      <c r="H25181" t="s">
        <v>19791</v>
      </c>
    </row>
    <row r="25182" spans="1:8">
      <c r="H25182" t="s">
        <v>25723</v>
      </c>
    </row>
    <row r="25183" spans="1:8">
      <c r="H25183" t="s">
        <v>20444</v>
      </c>
    </row>
    <row r="25184" spans="1:8">
      <c r="H25184" t="s">
        <v>19794</v>
      </c>
    </row>
    <row r="25185" spans="6:8">
      <c r="H25185" t="s">
        <v>19795</v>
      </c>
    </row>
    <row r="25186" spans="6:8">
      <c r="H25186" t="s">
        <v>18820</v>
      </c>
    </row>
    <row r="25187" spans="6:8">
      <c r="H25187" t="s">
        <v>18824</v>
      </c>
    </row>
    <row r="25188" spans="6:8">
      <c r="H25188" t="s">
        <v>25687</v>
      </c>
    </row>
    <row r="25189" spans="6:8">
      <c r="H25189" t="s">
        <v>25688</v>
      </c>
    </row>
    <row r="25190" spans="6:8">
      <c r="H25190" t="s">
        <v>28072</v>
      </c>
    </row>
    <row r="25191" spans="6:8">
      <c r="H25191" t="s">
        <v>25722</v>
      </c>
    </row>
    <row r="25192" spans="6:8">
      <c r="H25192" t="s">
        <v>20024</v>
      </c>
    </row>
    <row r="25193" spans="6:8">
      <c r="H25193" t="s">
        <v>19735</v>
      </c>
    </row>
    <row r="25194" spans="6:8">
      <c r="H25194" t="s">
        <v>19736</v>
      </c>
    </row>
    <row r="25195" spans="6:8">
      <c r="H25195" t="s">
        <v>19740</v>
      </c>
    </row>
    <row r="25196" spans="6:8">
      <c r="H25196" t="s">
        <v>28073</v>
      </c>
    </row>
    <row r="25197" spans="6:8">
      <c r="H25197" t="s">
        <v>28074</v>
      </c>
    </row>
    <row r="25198" spans="6:8">
      <c r="H25198" t="s">
        <v>28075</v>
      </c>
    </row>
    <row r="25199" spans="6:8">
      <c r="F25199" t="s">
        <v>10938</v>
      </c>
      <c r="G25199" t="s">
        <v>14992</v>
      </c>
      <c r="H25199" t="s">
        <v>18924</v>
      </c>
    </row>
    <row r="25200" spans="6:8">
      <c r="H25200" t="s">
        <v>18924</v>
      </c>
    </row>
    <row r="25201" spans="6:8">
      <c r="H25201" t="s">
        <v>18932</v>
      </c>
    </row>
    <row r="25202" spans="6:8">
      <c r="H25202" t="s">
        <v>18931</v>
      </c>
    </row>
    <row r="25203" spans="6:8">
      <c r="H25203" t="s">
        <v>19230</v>
      </c>
    </row>
    <row r="25204" spans="6:8">
      <c r="H25204" t="s">
        <v>28076</v>
      </c>
    </row>
    <row r="25205" spans="6:8">
      <c r="H25205" t="s">
        <v>20024</v>
      </c>
    </row>
    <row r="25206" spans="6:8">
      <c r="H25206" t="s">
        <v>19740</v>
      </c>
    </row>
    <row r="25207" spans="6:8">
      <c r="H25207" t="s">
        <v>28077</v>
      </c>
    </row>
    <row r="25208" spans="6:8">
      <c r="H25208" t="s">
        <v>28078</v>
      </c>
    </row>
    <row r="25209" spans="6:8">
      <c r="F25209" t="s">
        <v>13137</v>
      </c>
      <c r="G25209" t="s">
        <v>16704</v>
      </c>
      <c r="H25209" t="s">
        <v>28079</v>
      </c>
    </row>
    <row r="25210" spans="6:8">
      <c r="H25210" t="s">
        <v>28080</v>
      </c>
    </row>
    <row r="25211" spans="6:8">
      <c r="H25211" t="s">
        <v>28081</v>
      </c>
    </row>
    <row r="25212" spans="6:8">
      <c r="H25212" t="s">
        <v>28079</v>
      </c>
    </row>
    <row r="25213" spans="6:8">
      <c r="H25213" t="s">
        <v>28082</v>
      </c>
    </row>
    <row r="25214" spans="6:8">
      <c r="H25214" t="s">
        <v>28083</v>
      </c>
    </row>
    <row r="25215" spans="6:8">
      <c r="H25215" t="s">
        <v>28084</v>
      </c>
    </row>
    <row r="25216" spans="6:8">
      <c r="H25216" t="s">
        <v>28085</v>
      </c>
    </row>
    <row r="25217" spans="6:8">
      <c r="H25217" t="s">
        <v>19347</v>
      </c>
    </row>
    <row r="25218" spans="6:8">
      <c r="H25218" t="s">
        <v>20024</v>
      </c>
    </row>
    <row r="25219" spans="6:8">
      <c r="H25219" t="s">
        <v>28086</v>
      </c>
    </row>
    <row r="25220" spans="6:8">
      <c r="F25220" t="s">
        <v>11479</v>
      </c>
      <c r="G25220" t="s">
        <v>15719</v>
      </c>
      <c r="H25220" t="s">
        <v>28087</v>
      </c>
    </row>
    <row r="25221" spans="6:8">
      <c r="H25221" t="s">
        <v>28088</v>
      </c>
    </row>
    <row r="25222" spans="6:8">
      <c r="H25222" t="s">
        <v>19998</v>
      </c>
    </row>
    <row r="25223" spans="6:8">
      <c r="H25223" t="s">
        <v>28089</v>
      </c>
    </row>
    <row r="25224" spans="6:8">
      <c r="H25224" t="s">
        <v>19947</v>
      </c>
    </row>
    <row r="25225" spans="6:8">
      <c r="H25225" t="s">
        <v>18932</v>
      </c>
    </row>
    <row r="25226" spans="6:8">
      <c r="H25226" t="s">
        <v>18931</v>
      </c>
    </row>
    <row r="25227" spans="6:8">
      <c r="H25227" t="s">
        <v>25497</v>
      </c>
    </row>
    <row r="25228" spans="6:8">
      <c r="H25228" t="s">
        <v>28090</v>
      </c>
    </row>
    <row r="25229" spans="6:8">
      <c r="H25229" t="s">
        <v>28091</v>
      </c>
    </row>
    <row r="25230" spans="6:8">
      <c r="H25230" t="s">
        <v>28092</v>
      </c>
    </row>
    <row r="25231" spans="6:8">
      <c r="H25231" t="s">
        <v>19949</v>
      </c>
    </row>
    <row r="25232" spans="6:8">
      <c r="H25232" t="s">
        <v>19738</v>
      </c>
    </row>
    <row r="25233" spans="6:8">
      <c r="H25233" t="s">
        <v>28076</v>
      </c>
    </row>
    <row r="25234" spans="6:8">
      <c r="H25234" t="s">
        <v>28076</v>
      </c>
    </row>
    <row r="25235" spans="6:8">
      <c r="H25235" t="s">
        <v>20024</v>
      </c>
    </row>
    <row r="25236" spans="6:8">
      <c r="H25236" t="s">
        <v>28093</v>
      </c>
    </row>
    <row r="25237" spans="6:8">
      <c r="H25237" t="s">
        <v>19740</v>
      </c>
    </row>
    <row r="25238" spans="6:8">
      <c r="H25238" t="s">
        <v>28094</v>
      </c>
    </row>
    <row r="25239" spans="6:8">
      <c r="H25239" t="s">
        <v>28095</v>
      </c>
    </row>
    <row r="25240" spans="6:8">
      <c r="H25240" t="s">
        <v>28096</v>
      </c>
    </row>
    <row r="25241" spans="6:8">
      <c r="H25241" t="s">
        <v>28097</v>
      </c>
    </row>
    <row r="25242" spans="6:8">
      <c r="H25242" t="s">
        <v>28078</v>
      </c>
    </row>
    <row r="25243" spans="6:8">
      <c r="H25243" t="s">
        <v>28098</v>
      </c>
    </row>
    <row r="25244" spans="6:8">
      <c r="F25244" t="s">
        <v>10941</v>
      </c>
      <c r="G25244" t="s">
        <v>15336</v>
      </c>
      <c r="H25244" t="s">
        <v>28099</v>
      </c>
    </row>
    <row r="25245" spans="6:8">
      <c r="H25245" t="s">
        <v>28100</v>
      </c>
    </row>
    <row r="25246" spans="6:8">
      <c r="H25246" t="s">
        <v>19747</v>
      </c>
    </row>
    <row r="25247" spans="6:8">
      <c r="H25247" t="s">
        <v>28101</v>
      </c>
    </row>
    <row r="25248" spans="6:8">
      <c r="H25248" t="s">
        <v>19791</v>
      </c>
    </row>
    <row r="25249" spans="6:8">
      <c r="H25249" t="s">
        <v>19743</v>
      </c>
    </row>
    <row r="25250" spans="6:8">
      <c r="H25250" t="s">
        <v>19371</v>
      </c>
    </row>
    <row r="25251" spans="6:8">
      <c r="F25251" t="s">
        <v>10944</v>
      </c>
      <c r="G25251" t="s">
        <v>15337</v>
      </c>
      <c r="H25251" t="s">
        <v>19740</v>
      </c>
    </row>
    <row r="25252" spans="6:8">
      <c r="H25252" t="s">
        <v>28102</v>
      </c>
    </row>
    <row r="25253" spans="6:8">
      <c r="H25253" t="s">
        <v>28078</v>
      </c>
    </row>
    <row r="25254" spans="6:8">
      <c r="H25254" t="s">
        <v>20024</v>
      </c>
    </row>
    <row r="25255" spans="6:8">
      <c r="H25255" t="s">
        <v>28103</v>
      </c>
    </row>
    <row r="25256" spans="6:8">
      <c r="H25256" t="s">
        <v>28104</v>
      </c>
    </row>
    <row r="25257" spans="6:8">
      <c r="H25257" t="s">
        <v>19371</v>
      </c>
    </row>
    <row r="25258" spans="6:8">
      <c r="H25258" t="s">
        <v>28105</v>
      </c>
    </row>
    <row r="25259" spans="6:8">
      <c r="H25259" t="s">
        <v>28106</v>
      </c>
    </row>
    <row r="25260" spans="6:8">
      <c r="F25260" t="s">
        <v>10943</v>
      </c>
      <c r="G25260" t="s">
        <v>14995</v>
      </c>
      <c r="H25260" t="s">
        <v>18960</v>
      </c>
    </row>
    <row r="25261" spans="6:8">
      <c r="H25261" t="s">
        <v>18960</v>
      </c>
    </row>
    <row r="25262" spans="6:8">
      <c r="H25262" t="s">
        <v>18931</v>
      </c>
    </row>
    <row r="25263" spans="6:8">
      <c r="H25263" t="s">
        <v>18932</v>
      </c>
    </row>
    <row r="25264" spans="6:8">
      <c r="H25264" t="s">
        <v>28076</v>
      </c>
    </row>
    <row r="25265" spans="6:8">
      <c r="H25265" t="s">
        <v>19949</v>
      </c>
    </row>
    <row r="25266" spans="6:8">
      <c r="H25266" t="s">
        <v>20042</v>
      </c>
    </row>
    <row r="25267" spans="6:8">
      <c r="H25267" t="s">
        <v>19788</v>
      </c>
    </row>
    <row r="25268" spans="6:8">
      <c r="H25268" t="s">
        <v>19787</v>
      </c>
    </row>
    <row r="25269" spans="6:8">
      <c r="H25269" t="s">
        <v>20024</v>
      </c>
    </row>
    <row r="25270" spans="6:8">
      <c r="H25270" t="s">
        <v>19740</v>
      </c>
    </row>
    <row r="25271" spans="6:8">
      <c r="H25271" t="s">
        <v>28107</v>
      </c>
    </row>
    <row r="25272" spans="6:8">
      <c r="H25272" t="s">
        <v>28108</v>
      </c>
    </row>
    <row r="25273" spans="6:8">
      <c r="H25273" t="s">
        <v>28077</v>
      </c>
    </row>
    <row r="25274" spans="6:8">
      <c r="H25274" t="s">
        <v>28078</v>
      </c>
    </row>
    <row r="25275" spans="6:8">
      <c r="F25275" t="s">
        <v>10940</v>
      </c>
      <c r="G25275" t="s">
        <v>15335</v>
      </c>
      <c r="H25275" t="s">
        <v>28109</v>
      </c>
    </row>
    <row r="25276" spans="6:8">
      <c r="H25276" t="s">
        <v>19998</v>
      </c>
    </row>
    <row r="25277" spans="6:8">
      <c r="H25277" t="s">
        <v>26394</v>
      </c>
    </row>
    <row r="25278" spans="6:8">
      <c r="H25278" t="s">
        <v>28110</v>
      </c>
    </row>
    <row r="25279" spans="6:8">
      <c r="H25279" t="s">
        <v>28111</v>
      </c>
    </row>
    <row r="25280" spans="6:8">
      <c r="H25280" t="s">
        <v>28112</v>
      </c>
    </row>
    <row r="25281" spans="6:8">
      <c r="H25281" t="s">
        <v>28113</v>
      </c>
    </row>
    <row r="25282" spans="6:8">
      <c r="H25282" t="s">
        <v>19740</v>
      </c>
    </row>
    <row r="25283" spans="6:8">
      <c r="H25283" t="s">
        <v>19794</v>
      </c>
    </row>
    <row r="25284" spans="6:8">
      <c r="H25284" t="s">
        <v>28114</v>
      </c>
    </row>
    <row r="25285" spans="6:8">
      <c r="F25285" t="s">
        <v>13138</v>
      </c>
      <c r="G25285" t="s">
        <v>16601</v>
      </c>
      <c r="H25285" t="s">
        <v>25497</v>
      </c>
    </row>
    <row r="25286" spans="6:8">
      <c r="H25286" t="s">
        <v>20244</v>
      </c>
    </row>
    <row r="25287" spans="6:8">
      <c r="H25287" t="s">
        <v>22460</v>
      </c>
    </row>
    <row r="25288" spans="6:8">
      <c r="H25288" t="s">
        <v>18927</v>
      </c>
    </row>
    <row r="25289" spans="6:8">
      <c r="F25289" t="s">
        <v>10747</v>
      </c>
      <c r="G25289" t="s">
        <v>15129</v>
      </c>
      <c r="H25289" t="s">
        <v>19946</v>
      </c>
    </row>
    <row r="25290" spans="6:8">
      <c r="H25290" t="s">
        <v>19671</v>
      </c>
    </row>
    <row r="25291" spans="6:8">
      <c r="H25291" t="s">
        <v>19672</v>
      </c>
    </row>
    <row r="25292" spans="6:8">
      <c r="H25292" t="s">
        <v>19673</v>
      </c>
    </row>
    <row r="25293" spans="6:8">
      <c r="H25293" t="s">
        <v>28115</v>
      </c>
    </row>
    <row r="25294" spans="6:8">
      <c r="H25294" t="s">
        <v>28090</v>
      </c>
    </row>
    <row r="25295" spans="6:8">
      <c r="H25295" t="s">
        <v>28116</v>
      </c>
    </row>
    <row r="25296" spans="6:8">
      <c r="H25296" t="s">
        <v>21254</v>
      </c>
    </row>
    <row r="25297" spans="8:8">
      <c r="H25297" t="s">
        <v>28117</v>
      </c>
    </row>
    <row r="25298" spans="8:8">
      <c r="H25298" t="s">
        <v>21254</v>
      </c>
    </row>
    <row r="25299" spans="8:8">
      <c r="H25299" t="s">
        <v>28118</v>
      </c>
    </row>
    <row r="25300" spans="8:8">
      <c r="H25300" t="s">
        <v>21254</v>
      </c>
    </row>
    <row r="25301" spans="8:8">
      <c r="H25301" t="s">
        <v>28119</v>
      </c>
    </row>
    <row r="25302" spans="8:8">
      <c r="H25302" t="s">
        <v>28119</v>
      </c>
    </row>
    <row r="25303" spans="8:8">
      <c r="H25303" t="s">
        <v>19232</v>
      </c>
    </row>
    <row r="25304" spans="8:8">
      <c r="H25304" t="s">
        <v>19233</v>
      </c>
    </row>
    <row r="25305" spans="8:8">
      <c r="H25305" t="s">
        <v>19236</v>
      </c>
    </row>
    <row r="25306" spans="8:8">
      <c r="H25306" t="s">
        <v>28120</v>
      </c>
    </row>
    <row r="25307" spans="8:8">
      <c r="H25307" t="s">
        <v>28121</v>
      </c>
    </row>
    <row r="25308" spans="8:8">
      <c r="H25308" t="s">
        <v>28122</v>
      </c>
    </row>
    <row r="25309" spans="8:8">
      <c r="H25309" t="s">
        <v>28123</v>
      </c>
    </row>
    <row r="25310" spans="8:8">
      <c r="H25310" t="s">
        <v>28124</v>
      </c>
    </row>
    <row r="25311" spans="8:8">
      <c r="H25311" t="s">
        <v>28125</v>
      </c>
    </row>
    <row r="25312" spans="8:8">
      <c r="H25312" t="s">
        <v>28126</v>
      </c>
    </row>
    <row r="25313" spans="8:8">
      <c r="H25313" t="s">
        <v>28127</v>
      </c>
    </row>
    <row r="25314" spans="8:8">
      <c r="H25314" t="s">
        <v>20244</v>
      </c>
    </row>
    <row r="25315" spans="8:8">
      <c r="H25315" t="s">
        <v>28128</v>
      </c>
    </row>
    <row r="25316" spans="8:8">
      <c r="H25316" t="s">
        <v>18927</v>
      </c>
    </row>
    <row r="25317" spans="8:8">
      <c r="H25317" t="s">
        <v>28129</v>
      </c>
    </row>
    <row r="25318" spans="8:8">
      <c r="H25318" t="s">
        <v>28130</v>
      </c>
    </row>
    <row r="25319" spans="8:8">
      <c r="H25319" t="s">
        <v>24969</v>
      </c>
    </row>
    <row r="25320" spans="8:8">
      <c r="H25320" t="s">
        <v>28131</v>
      </c>
    </row>
    <row r="25321" spans="8:8">
      <c r="H25321" t="s">
        <v>28132</v>
      </c>
    </row>
    <row r="25322" spans="8:8">
      <c r="H25322" t="s">
        <v>28133</v>
      </c>
    </row>
    <row r="25323" spans="8:8">
      <c r="H25323" t="s">
        <v>21321</v>
      </c>
    </row>
    <row r="25324" spans="8:8">
      <c r="H25324" t="s">
        <v>28134</v>
      </c>
    </row>
    <row r="25325" spans="8:8">
      <c r="H25325" t="s">
        <v>28135</v>
      </c>
    </row>
    <row r="25326" spans="8:8">
      <c r="H25326" t="s">
        <v>28136</v>
      </c>
    </row>
    <row r="25327" spans="8:8">
      <c r="H25327" t="s">
        <v>28137</v>
      </c>
    </row>
    <row r="25328" spans="8:8">
      <c r="H25328" t="s">
        <v>28138</v>
      </c>
    </row>
    <row r="25329" spans="6:8">
      <c r="H25329" t="s">
        <v>28139</v>
      </c>
    </row>
    <row r="25330" spans="6:8">
      <c r="H25330" t="s">
        <v>28140</v>
      </c>
    </row>
    <row r="25331" spans="6:8">
      <c r="H25331" t="s">
        <v>28141</v>
      </c>
    </row>
    <row r="25332" spans="6:8">
      <c r="H25332" t="s">
        <v>26657</v>
      </c>
    </row>
    <row r="25333" spans="6:8">
      <c r="H25333" t="s">
        <v>19237</v>
      </c>
    </row>
    <row r="25334" spans="6:8">
      <c r="H25334" t="s">
        <v>28142</v>
      </c>
    </row>
    <row r="25335" spans="6:8">
      <c r="H25335" t="s">
        <v>28143</v>
      </c>
    </row>
    <row r="25336" spans="6:8">
      <c r="H25336" t="s">
        <v>19238</v>
      </c>
    </row>
    <row r="25337" spans="6:8">
      <c r="H25337" t="s">
        <v>28144</v>
      </c>
    </row>
    <row r="25338" spans="6:8">
      <c r="H25338" t="s">
        <v>28145</v>
      </c>
    </row>
    <row r="25339" spans="6:8">
      <c r="H25339" t="s">
        <v>28144</v>
      </c>
    </row>
    <row r="25340" spans="6:8">
      <c r="H25340" t="s">
        <v>19240</v>
      </c>
    </row>
    <row r="25341" spans="6:8">
      <c r="H25341" t="s">
        <v>26739</v>
      </c>
    </row>
    <row r="25342" spans="6:8">
      <c r="H25342" t="s">
        <v>28146</v>
      </c>
    </row>
    <row r="25343" spans="6:8">
      <c r="H25343" t="s">
        <v>28147</v>
      </c>
    </row>
    <row r="25344" spans="6:8">
      <c r="F25344" t="s">
        <v>13139</v>
      </c>
      <c r="G25344" t="s">
        <v>17295</v>
      </c>
      <c r="H25344" t="s">
        <v>28148</v>
      </c>
    </row>
    <row r="25345" spans="6:8">
      <c r="H25345" t="s">
        <v>28149</v>
      </c>
    </row>
    <row r="25346" spans="6:8">
      <c r="H25346" t="s">
        <v>28150</v>
      </c>
    </row>
    <row r="25347" spans="6:8">
      <c r="H25347" t="s">
        <v>28151</v>
      </c>
    </row>
    <row r="25348" spans="6:8">
      <c r="H25348" t="s">
        <v>25497</v>
      </c>
    </row>
    <row r="25349" spans="6:8">
      <c r="H25349" t="s">
        <v>18927</v>
      </c>
    </row>
    <row r="25350" spans="6:8">
      <c r="H25350" t="s">
        <v>28152</v>
      </c>
    </row>
    <row r="25351" spans="6:8">
      <c r="H25351" t="s">
        <v>28153</v>
      </c>
    </row>
    <row r="25352" spans="6:8">
      <c r="H25352" t="s">
        <v>18929</v>
      </c>
    </row>
    <row r="25353" spans="6:8">
      <c r="H25353" t="s">
        <v>20244</v>
      </c>
    </row>
    <row r="25354" spans="6:8">
      <c r="H25354" t="s">
        <v>19233</v>
      </c>
    </row>
    <row r="25355" spans="6:8">
      <c r="H25355" t="s">
        <v>19232</v>
      </c>
    </row>
    <row r="25356" spans="6:8">
      <c r="F25356" t="s">
        <v>13140</v>
      </c>
      <c r="G25356" t="s">
        <v>17296</v>
      </c>
      <c r="H25356" t="s">
        <v>25497</v>
      </c>
    </row>
    <row r="25357" spans="6:8">
      <c r="H25357" t="s">
        <v>19232</v>
      </c>
    </row>
    <row r="25358" spans="6:8">
      <c r="H25358" t="s">
        <v>19233</v>
      </c>
    </row>
    <row r="25359" spans="6:8">
      <c r="H25359" t="s">
        <v>26734</v>
      </c>
    </row>
    <row r="25360" spans="6:8">
      <c r="H25360" t="s">
        <v>26735</v>
      </c>
    </row>
    <row r="25361" spans="6:8">
      <c r="H25361" t="s">
        <v>26736</v>
      </c>
    </row>
    <row r="25362" spans="6:8">
      <c r="H25362" t="s">
        <v>19230</v>
      </c>
    </row>
    <row r="25363" spans="6:8">
      <c r="H25363" t="s">
        <v>18927</v>
      </c>
    </row>
    <row r="25364" spans="6:8">
      <c r="H25364" t="s">
        <v>26737</v>
      </c>
    </row>
    <row r="25365" spans="6:8">
      <c r="H25365" t="s">
        <v>26738</v>
      </c>
    </row>
    <row r="25366" spans="6:8">
      <c r="H25366" t="s">
        <v>20244</v>
      </c>
    </row>
    <row r="25367" spans="6:8">
      <c r="H25367" t="s">
        <v>26739</v>
      </c>
    </row>
    <row r="25368" spans="6:8">
      <c r="H25368" t="s">
        <v>26740</v>
      </c>
    </row>
    <row r="25369" spans="6:8">
      <c r="F25369" t="s">
        <v>10745</v>
      </c>
      <c r="G25369" t="s">
        <v>15144</v>
      </c>
      <c r="H25369" t="s">
        <v>25497</v>
      </c>
    </row>
    <row r="25370" spans="6:8">
      <c r="H25370" t="s">
        <v>20244</v>
      </c>
    </row>
    <row r="25371" spans="6:8">
      <c r="H25371" t="s">
        <v>28128</v>
      </c>
    </row>
    <row r="25372" spans="6:8">
      <c r="H25372" t="s">
        <v>28154</v>
      </c>
    </row>
    <row r="25373" spans="6:8">
      <c r="H25373" t="s">
        <v>28155</v>
      </c>
    </row>
    <row r="25374" spans="6:8">
      <c r="H25374" t="s">
        <v>28156</v>
      </c>
    </row>
    <row r="25375" spans="6:8">
      <c r="H25375" t="s">
        <v>26736</v>
      </c>
    </row>
    <row r="25376" spans="6:8">
      <c r="H25376" t="s">
        <v>19230</v>
      </c>
    </row>
    <row r="25377" spans="8:8">
      <c r="H25377" t="s">
        <v>28157</v>
      </c>
    </row>
    <row r="25378" spans="8:8">
      <c r="H25378" t="s">
        <v>26735</v>
      </c>
    </row>
    <row r="25379" spans="8:8">
      <c r="H25379" t="s">
        <v>19232</v>
      </c>
    </row>
    <row r="25380" spans="8:8">
      <c r="H25380" t="s">
        <v>19233</v>
      </c>
    </row>
    <row r="25381" spans="8:8">
      <c r="H25381" t="s">
        <v>18927</v>
      </c>
    </row>
    <row r="25382" spans="8:8">
      <c r="H25382" t="s">
        <v>18927</v>
      </c>
    </row>
    <row r="25383" spans="8:8">
      <c r="H25383" t="s">
        <v>18929</v>
      </c>
    </row>
    <row r="25384" spans="8:8">
      <c r="H25384" t="s">
        <v>20131</v>
      </c>
    </row>
    <row r="25385" spans="8:8">
      <c r="H25385" t="s">
        <v>18927</v>
      </c>
    </row>
    <row r="25386" spans="8:8">
      <c r="H25386" t="s">
        <v>28158</v>
      </c>
    </row>
    <row r="25387" spans="8:8">
      <c r="H25387" t="s">
        <v>26603</v>
      </c>
    </row>
    <row r="25388" spans="8:8">
      <c r="H25388" t="s">
        <v>20020</v>
      </c>
    </row>
    <row r="25389" spans="8:8">
      <c r="H25389" t="s">
        <v>28159</v>
      </c>
    </row>
    <row r="25390" spans="8:8">
      <c r="H25390" t="s">
        <v>28159</v>
      </c>
    </row>
    <row r="25391" spans="8:8">
      <c r="H25391" t="s">
        <v>28160</v>
      </c>
    </row>
    <row r="25392" spans="8:8">
      <c r="H25392" t="s">
        <v>26739</v>
      </c>
    </row>
    <row r="25393" spans="6:8">
      <c r="H25393" t="s">
        <v>18925</v>
      </c>
    </row>
    <row r="25394" spans="6:8">
      <c r="F25394" t="s">
        <v>13141</v>
      </c>
      <c r="G25394" t="s">
        <v>16868</v>
      </c>
      <c r="H25394" t="s">
        <v>28161</v>
      </c>
    </row>
    <row r="25395" spans="6:8">
      <c r="H25395" t="s">
        <v>28162</v>
      </c>
    </row>
    <row r="25396" spans="6:8">
      <c r="H25396" t="s">
        <v>28163</v>
      </c>
    </row>
    <row r="25397" spans="6:8">
      <c r="H25397" t="s">
        <v>28164</v>
      </c>
    </row>
    <row r="25398" spans="6:8">
      <c r="H25398" t="s">
        <v>28165</v>
      </c>
    </row>
    <row r="25399" spans="6:8">
      <c r="H25399" t="s">
        <v>28166</v>
      </c>
    </row>
    <row r="25400" spans="6:8">
      <c r="H25400" t="s">
        <v>28167</v>
      </c>
    </row>
    <row r="25401" spans="6:8">
      <c r="H25401" t="s">
        <v>28168</v>
      </c>
    </row>
    <row r="25402" spans="6:8">
      <c r="H25402" t="s">
        <v>28169</v>
      </c>
    </row>
    <row r="25403" spans="6:8">
      <c r="H25403" t="s">
        <v>28170</v>
      </c>
    </row>
    <row r="25404" spans="6:8">
      <c r="H25404" t="s">
        <v>28171</v>
      </c>
    </row>
    <row r="25405" spans="6:8">
      <c r="H25405" t="s">
        <v>28172</v>
      </c>
    </row>
    <row r="25406" spans="6:8">
      <c r="H25406" t="s">
        <v>28173</v>
      </c>
    </row>
    <row r="25407" spans="6:8">
      <c r="H25407" t="s">
        <v>19371</v>
      </c>
    </row>
    <row r="25408" spans="6:8">
      <c r="F25408" t="s">
        <v>12875</v>
      </c>
      <c r="G25408" t="s">
        <v>17043</v>
      </c>
      <c r="H25408" t="s">
        <v>25497</v>
      </c>
    </row>
    <row r="25409" spans="6:8">
      <c r="H25409" t="s">
        <v>19232</v>
      </c>
    </row>
    <row r="25410" spans="6:8">
      <c r="H25410" t="s">
        <v>19233</v>
      </c>
    </row>
    <row r="25411" spans="6:8">
      <c r="H25411" t="s">
        <v>26734</v>
      </c>
    </row>
    <row r="25412" spans="6:8">
      <c r="H25412" t="s">
        <v>26735</v>
      </c>
    </row>
    <row r="25413" spans="6:8">
      <c r="H25413" t="s">
        <v>26736</v>
      </c>
    </row>
    <row r="25414" spans="6:8">
      <c r="H25414" t="s">
        <v>19230</v>
      </c>
    </row>
    <row r="25415" spans="6:8">
      <c r="H25415" t="s">
        <v>18927</v>
      </c>
    </row>
    <row r="25416" spans="6:8">
      <c r="H25416" t="s">
        <v>26737</v>
      </c>
    </row>
    <row r="25417" spans="6:8">
      <c r="H25417" t="s">
        <v>26738</v>
      </c>
    </row>
    <row r="25418" spans="6:8">
      <c r="H25418" t="s">
        <v>20244</v>
      </c>
    </row>
    <row r="25419" spans="6:8">
      <c r="H25419" t="s">
        <v>26739</v>
      </c>
    </row>
    <row r="25420" spans="6:8">
      <c r="H25420" t="s">
        <v>26740</v>
      </c>
    </row>
    <row r="25421" spans="6:8">
      <c r="H25421" t="s">
        <v>26741</v>
      </c>
    </row>
    <row r="25422" spans="6:8">
      <c r="F25422" t="s">
        <v>10734</v>
      </c>
      <c r="G25422" t="s">
        <v>15133</v>
      </c>
      <c r="H25422" t="s">
        <v>28090</v>
      </c>
    </row>
    <row r="25423" spans="6:8">
      <c r="H25423" t="s">
        <v>25497</v>
      </c>
    </row>
    <row r="25424" spans="6:8">
      <c r="H25424" t="s">
        <v>19998</v>
      </c>
    </row>
    <row r="25425" spans="8:8">
      <c r="H25425" t="s">
        <v>28089</v>
      </c>
    </row>
    <row r="25426" spans="8:8">
      <c r="H25426" t="s">
        <v>19947</v>
      </c>
    </row>
    <row r="25427" spans="8:8">
      <c r="H25427" t="s">
        <v>28174</v>
      </c>
    </row>
    <row r="25428" spans="8:8">
      <c r="H25428" t="s">
        <v>28175</v>
      </c>
    </row>
    <row r="25429" spans="8:8">
      <c r="H25429" t="s">
        <v>19789</v>
      </c>
    </row>
    <row r="25430" spans="8:8">
      <c r="H25430" t="s">
        <v>18932</v>
      </c>
    </row>
    <row r="25431" spans="8:8">
      <c r="H25431" t="s">
        <v>18931</v>
      </c>
    </row>
    <row r="25432" spans="8:8">
      <c r="H25432" t="s">
        <v>28176</v>
      </c>
    </row>
    <row r="25433" spans="8:8">
      <c r="H25433" t="s">
        <v>28177</v>
      </c>
    </row>
    <row r="25434" spans="8:8">
      <c r="H25434" t="s">
        <v>28178</v>
      </c>
    </row>
    <row r="25435" spans="8:8">
      <c r="H25435" t="s">
        <v>28179</v>
      </c>
    </row>
    <row r="25436" spans="8:8">
      <c r="H25436" t="s">
        <v>28180</v>
      </c>
    </row>
    <row r="25437" spans="8:8">
      <c r="H25437" t="s">
        <v>19811</v>
      </c>
    </row>
    <row r="25438" spans="8:8">
      <c r="H25438" t="s">
        <v>28181</v>
      </c>
    </row>
    <row r="25439" spans="8:8">
      <c r="H25439" t="s">
        <v>28182</v>
      </c>
    </row>
    <row r="25440" spans="8:8">
      <c r="H25440" t="s">
        <v>28183</v>
      </c>
    </row>
    <row r="25441" spans="8:8">
      <c r="H25441" t="s">
        <v>28184</v>
      </c>
    </row>
    <row r="25442" spans="8:8">
      <c r="H25442" t="s">
        <v>28185</v>
      </c>
    </row>
    <row r="25443" spans="8:8">
      <c r="H25443" t="s">
        <v>28186</v>
      </c>
    </row>
    <row r="25444" spans="8:8">
      <c r="H25444" t="s">
        <v>28123</v>
      </c>
    </row>
    <row r="25445" spans="8:8">
      <c r="H25445" t="s">
        <v>28187</v>
      </c>
    </row>
    <row r="25446" spans="8:8">
      <c r="H25446" t="s">
        <v>28188</v>
      </c>
    </row>
    <row r="25447" spans="8:8">
      <c r="H25447" t="s">
        <v>18956</v>
      </c>
    </row>
    <row r="25448" spans="8:8">
      <c r="H25448" t="s">
        <v>28189</v>
      </c>
    </row>
    <row r="25449" spans="8:8">
      <c r="H25449" t="s">
        <v>28190</v>
      </c>
    </row>
    <row r="25450" spans="8:8">
      <c r="H25450" t="s">
        <v>28191</v>
      </c>
    </row>
    <row r="25451" spans="8:8">
      <c r="H25451" t="s">
        <v>18961</v>
      </c>
    </row>
    <row r="25452" spans="8:8">
      <c r="H25452" t="s">
        <v>28192</v>
      </c>
    </row>
    <row r="25453" spans="8:8">
      <c r="H25453" t="s">
        <v>19230</v>
      </c>
    </row>
    <row r="25454" spans="8:8">
      <c r="H25454" t="s">
        <v>28193</v>
      </c>
    </row>
    <row r="25455" spans="8:8">
      <c r="H25455" t="s">
        <v>28092</v>
      </c>
    </row>
    <row r="25456" spans="8:8">
      <c r="H25456" t="s">
        <v>28194</v>
      </c>
    </row>
    <row r="25457" spans="6:8">
      <c r="H25457" t="s">
        <v>28195</v>
      </c>
    </row>
    <row r="25458" spans="6:8">
      <c r="H25458" t="s">
        <v>19289</v>
      </c>
    </row>
    <row r="25459" spans="6:8">
      <c r="H25459" t="s">
        <v>25728</v>
      </c>
    </row>
    <row r="25460" spans="6:8">
      <c r="F25460" t="s">
        <v>12378</v>
      </c>
      <c r="G25460" t="s">
        <v>15334</v>
      </c>
      <c r="H25460" t="s">
        <v>28196</v>
      </c>
    </row>
    <row r="25461" spans="6:8">
      <c r="H25461" t="s">
        <v>19740</v>
      </c>
    </row>
    <row r="25462" spans="6:8">
      <c r="H25462" t="s">
        <v>28197</v>
      </c>
    </row>
    <row r="25463" spans="6:8">
      <c r="H25463" t="s">
        <v>28198</v>
      </c>
    </row>
    <row r="25464" spans="6:8">
      <c r="H25464" t="s">
        <v>19742</v>
      </c>
    </row>
    <row r="25465" spans="6:8">
      <c r="H25465" t="s">
        <v>19743</v>
      </c>
    </row>
    <row r="25466" spans="6:8">
      <c r="H25466" t="s">
        <v>19744</v>
      </c>
    </row>
    <row r="25467" spans="6:8">
      <c r="H25467" t="s">
        <v>28199</v>
      </c>
    </row>
    <row r="25468" spans="6:8">
      <c r="H25468" t="s">
        <v>19746</v>
      </c>
    </row>
    <row r="25469" spans="6:8">
      <c r="H25469" t="s">
        <v>28200</v>
      </c>
    </row>
    <row r="25470" spans="6:8">
      <c r="H25470" t="s">
        <v>28201</v>
      </c>
    </row>
    <row r="25471" spans="6:8">
      <c r="F25471" t="s">
        <v>12379</v>
      </c>
      <c r="G25471" t="s">
        <v>16605</v>
      </c>
      <c r="H25471" t="s">
        <v>28202</v>
      </c>
    </row>
    <row r="25472" spans="6:8">
      <c r="H25472" t="s">
        <v>19166</v>
      </c>
    </row>
    <row r="25473" spans="6:8">
      <c r="H25473" t="s">
        <v>28179</v>
      </c>
    </row>
    <row r="25474" spans="6:8">
      <c r="H25474" t="s">
        <v>28203</v>
      </c>
    </row>
    <row r="25475" spans="6:8">
      <c r="H25475" t="s">
        <v>19167</v>
      </c>
    </row>
    <row r="25476" spans="6:8">
      <c r="H25476" t="s">
        <v>28204</v>
      </c>
    </row>
    <row r="25477" spans="6:8">
      <c r="H25477" t="s">
        <v>19168</v>
      </c>
    </row>
    <row r="25478" spans="6:8">
      <c r="H25478" t="s">
        <v>28205</v>
      </c>
    </row>
    <row r="25479" spans="6:8">
      <c r="F25479" t="s">
        <v>12329</v>
      </c>
      <c r="G25479" t="s">
        <v>15331</v>
      </c>
      <c r="H25479" t="s">
        <v>19166</v>
      </c>
    </row>
    <row r="25480" spans="6:8">
      <c r="H25480" t="s">
        <v>28206</v>
      </c>
    </row>
    <row r="25481" spans="6:8">
      <c r="H25481" t="s">
        <v>25627</v>
      </c>
    </row>
    <row r="25482" spans="6:8">
      <c r="H25482" t="s">
        <v>18931</v>
      </c>
    </row>
    <row r="25483" spans="6:8">
      <c r="H25483" t="s">
        <v>28207</v>
      </c>
    </row>
    <row r="25484" spans="6:8">
      <c r="H25484" t="s">
        <v>19957</v>
      </c>
    </row>
    <row r="25485" spans="6:8">
      <c r="H25485" t="s">
        <v>28208</v>
      </c>
    </row>
    <row r="25486" spans="6:8">
      <c r="H25486" t="s">
        <v>19924</v>
      </c>
    </row>
    <row r="25487" spans="6:8">
      <c r="H25487" t="s">
        <v>19168</v>
      </c>
    </row>
    <row r="25488" spans="6:8">
      <c r="H25488" t="s">
        <v>28163</v>
      </c>
    </row>
    <row r="25489" spans="6:8">
      <c r="H25489" t="s">
        <v>28209</v>
      </c>
    </row>
    <row r="25490" spans="6:8">
      <c r="H25490" t="s">
        <v>20024</v>
      </c>
    </row>
    <row r="25491" spans="6:8">
      <c r="H25491" t="s">
        <v>28210</v>
      </c>
    </row>
    <row r="25492" spans="6:8">
      <c r="F25492" t="s">
        <v>12375</v>
      </c>
      <c r="G25492" t="s">
        <v>16602</v>
      </c>
      <c r="H25492" t="s">
        <v>18927</v>
      </c>
    </row>
    <row r="25493" spans="6:8">
      <c r="H25493" t="s">
        <v>28211</v>
      </c>
    </row>
    <row r="25494" spans="6:8">
      <c r="H25494" t="s">
        <v>28212</v>
      </c>
    </row>
    <row r="25495" spans="6:8">
      <c r="H25495" t="s">
        <v>28153</v>
      </c>
    </row>
    <row r="25496" spans="6:8">
      <c r="F25496" t="s">
        <v>13142</v>
      </c>
      <c r="G25496" t="s">
        <v>17297</v>
      </c>
      <c r="H25496" t="s">
        <v>28213</v>
      </c>
    </row>
    <row r="25497" spans="6:8">
      <c r="H25497" t="s">
        <v>25497</v>
      </c>
    </row>
    <row r="25498" spans="6:8">
      <c r="H25498" t="s">
        <v>20244</v>
      </c>
    </row>
    <row r="25499" spans="6:8">
      <c r="H25499" t="s">
        <v>19233</v>
      </c>
    </row>
    <row r="25500" spans="6:8">
      <c r="H25500" t="s">
        <v>19232</v>
      </c>
    </row>
    <row r="25501" spans="6:8">
      <c r="H25501" t="s">
        <v>18927</v>
      </c>
    </row>
    <row r="25502" spans="6:8">
      <c r="H25502" t="s">
        <v>28152</v>
      </c>
    </row>
    <row r="25503" spans="6:8">
      <c r="H25503" t="s">
        <v>18929</v>
      </c>
    </row>
    <row r="25504" spans="6:8">
      <c r="H25504" t="s">
        <v>28214</v>
      </c>
    </row>
    <row r="25505" spans="6:8">
      <c r="F25505" t="s">
        <v>13143</v>
      </c>
      <c r="G25505" t="s">
        <v>17298</v>
      </c>
      <c r="H25505" t="s">
        <v>18829</v>
      </c>
    </row>
    <row r="25506" spans="6:8">
      <c r="H25506" t="s">
        <v>28215</v>
      </c>
    </row>
    <row r="25507" spans="6:8">
      <c r="H25507" t="s">
        <v>28216</v>
      </c>
    </row>
    <row r="25508" spans="6:8">
      <c r="H25508" t="s">
        <v>28217</v>
      </c>
    </row>
    <row r="25509" spans="6:8">
      <c r="F25509" t="s">
        <v>13144</v>
      </c>
      <c r="G25509" t="s">
        <v>17299</v>
      </c>
      <c r="H25509" t="s">
        <v>18829</v>
      </c>
    </row>
    <row r="25510" spans="6:8">
      <c r="H25510" t="s">
        <v>18863</v>
      </c>
    </row>
    <row r="25511" spans="6:8">
      <c r="H25511" t="s">
        <v>28218</v>
      </c>
    </row>
    <row r="25512" spans="6:8">
      <c r="H25512" t="s">
        <v>28219</v>
      </c>
    </row>
    <row r="25513" spans="6:8">
      <c r="H25513" t="s">
        <v>28220</v>
      </c>
    </row>
    <row r="25514" spans="6:8">
      <c r="H25514" t="s">
        <v>28221</v>
      </c>
    </row>
    <row r="25515" spans="6:8">
      <c r="H25515" t="s">
        <v>28222</v>
      </c>
    </row>
    <row r="25516" spans="6:8">
      <c r="H25516" t="s">
        <v>28223</v>
      </c>
    </row>
    <row r="25517" spans="6:8">
      <c r="F25517" t="s">
        <v>11424</v>
      </c>
      <c r="G25517" t="s">
        <v>15665</v>
      </c>
      <c r="H25517" t="s">
        <v>18829</v>
      </c>
    </row>
    <row r="25518" spans="6:8">
      <c r="H25518" t="s">
        <v>28224</v>
      </c>
    </row>
    <row r="25519" spans="6:8">
      <c r="H25519" t="s">
        <v>28225</v>
      </c>
    </row>
    <row r="25520" spans="6:8">
      <c r="H25520" t="s">
        <v>28226</v>
      </c>
    </row>
    <row r="25521" spans="6:8">
      <c r="H25521" t="s">
        <v>28227</v>
      </c>
    </row>
    <row r="25522" spans="6:8">
      <c r="H25522" t="s">
        <v>28228</v>
      </c>
    </row>
    <row r="25523" spans="6:8">
      <c r="H25523" t="s">
        <v>28229</v>
      </c>
    </row>
    <row r="25524" spans="6:8">
      <c r="H25524" t="s">
        <v>28230</v>
      </c>
    </row>
    <row r="25525" spans="6:8">
      <c r="H25525" t="s">
        <v>28231</v>
      </c>
    </row>
    <row r="25526" spans="6:8">
      <c r="H25526" t="s">
        <v>20024</v>
      </c>
    </row>
    <row r="25527" spans="6:8">
      <c r="F25527" t="s">
        <v>13145</v>
      </c>
      <c r="G25527" t="s">
        <v>17300</v>
      </c>
      <c r="H25527" t="s">
        <v>28232</v>
      </c>
    </row>
    <row r="25528" spans="6:8">
      <c r="H25528" t="s">
        <v>28233</v>
      </c>
    </row>
    <row r="25529" spans="6:8">
      <c r="H25529" t="s">
        <v>28234</v>
      </c>
    </row>
    <row r="25530" spans="6:8">
      <c r="H25530" t="s">
        <v>28235</v>
      </c>
    </row>
    <row r="25531" spans="6:8">
      <c r="H25531" t="s">
        <v>28236</v>
      </c>
    </row>
    <row r="25532" spans="6:8">
      <c r="H25532" t="s">
        <v>28237</v>
      </c>
    </row>
    <row r="25533" spans="6:8">
      <c r="H25533" t="s">
        <v>28238</v>
      </c>
    </row>
    <row r="25534" spans="6:8">
      <c r="H25534" t="s">
        <v>28239</v>
      </c>
    </row>
    <row r="25535" spans="6:8">
      <c r="H25535" t="s">
        <v>28240</v>
      </c>
    </row>
    <row r="25536" spans="6:8">
      <c r="H25536" t="s">
        <v>28241</v>
      </c>
    </row>
    <row r="25537" spans="6:8">
      <c r="H25537" t="s">
        <v>28242</v>
      </c>
    </row>
    <row r="25538" spans="6:8">
      <c r="H25538" t="s">
        <v>28243</v>
      </c>
    </row>
    <row r="25539" spans="6:8">
      <c r="H25539" t="s">
        <v>20077</v>
      </c>
    </row>
    <row r="25540" spans="6:8">
      <c r="H25540" t="s">
        <v>28244</v>
      </c>
    </row>
    <row r="25541" spans="6:8">
      <c r="H25541" t="s">
        <v>28245</v>
      </c>
    </row>
    <row r="25542" spans="6:8">
      <c r="F25542" t="s">
        <v>13146</v>
      </c>
      <c r="G25542" t="s">
        <v>17301</v>
      </c>
      <c r="H25542" t="s">
        <v>28246</v>
      </c>
    </row>
    <row r="25543" spans="6:8">
      <c r="F25543" t="s">
        <v>13147</v>
      </c>
      <c r="G25543" t="s">
        <v>17302</v>
      </c>
      <c r="H25543" t="s">
        <v>28247</v>
      </c>
    </row>
    <row r="25544" spans="6:8">
      <c r="H25544" t="s">
        <v>28248</v>
      </c>
    </row>
    <row r="25545" spans="6:8">
      <c r="H25545" t="s">
        <v>28249</v>
      </c>
    </row>
    <row r="25546" spans="6:8">
      <c r="H25546" t="s">
        <v>28250</v>
      </c>
    </row>
    <row r="25547" spans="6:8">
      <c r="F25547" t="s">
        <v>13148</v>
      </c>
      <c r="G25547" t="s">
        <v>17303</v>
      </c>
      <c r="H25547" t="s">
        <v>18836</v>
      </c>
    </row>
    <row r="25548" spans="6:8">
      <c r="H25548" t="s">
        <v>19729</v>
      </c>
    </row>
    <row r="25549" spans="6:8">
      <c r="H25549" t="s">
        <v>28251</v>
      </c>
    </row>
    <row r="25550" spans="6:8">
      <c r="H25550" t="s">
        <v>28252</v>
      </c>
    </row>
    <row r="25551" spans="6:8">
      <c r="F25551" t="s">
        <v>13149</v>
      </c>
      <c r="G25551" t="s">
        <v>15717</v>
      </c>
      <c r="H25551" t="s">
        <v>28253</v>
      </c>
    </row>
    <row r="25552" spans="6:8">
      <c r="H25552" t="s">
        <v>28254</v>
      </c>
    </row>
    <row r="25553" spans="6:8">
      <c r="H25553" t="s">
        <v>28255</v>
      </c>
    </row>
    <row r="25554" spans="6:8">
      <c r="H25554" t="s">
        <v>28256</v>
      </c>
    </row>
    <row r="25555" spans="6:8">
      <c r="H25555" t="s">
        <v>28257</v>
      </c>
    </row>
    <row r="25556" spans="6:8">
      <c r="F25556" t="s">
        <v>10735</v>
      </c>
      <c r="G25556" t="s">
        <v>15134</v>
      </c>
      <c r="H25556" t="s">
        <v>18829</v>
      </c>
    </row>
    <row r="25557" spans="6:8">
      <c r="H25557" t="s">
        <v>28258</v>
      </c>
    </row>
    <row r="25558" spans="6:8">
      <c r="H25558" t="s">
        <v>28259</v>
      </c>
    </row>
    <row r="25559" spans="6:8">
      <c r="H25559" t="s">
        <v>28260</v>
      </c>
    </row>
    <row r="25560" spans="6:8">
      <c r="H25560" t="s">
        <v>28261</v>
      </c>
    </row>
    <row r="25561" spans="6:8">
      <c r="H25561" t="s">
        <v>28262</v>
      </c>
    </row>
    <row r="25562" spans="6:8">
      <c r="H25562" t="s">
        <v>28263</v>
      </c>
    </row>
    <row r="25563" spans="6:8">
      <c r="H25563" t="s">
        <v>28264</v>
      </c>
    </row>
    <row r="25564" spans="6:8">
      <c r="H25564" t="s">
        <v>28265</v>
      </c>
    </row>
    <row r="25565" spans="6:8">
      <c r="H25565" t="s">
        <v>28266</v>
      </c>
    </row>
    <row r="25566" spans="6:8">
      <c r="H25566" t="s">
        <v>28267</v>
      </c>
    </row>
    <row r="25567" spans="6:8">
      <c r="H25567" t="s">
        <v>28268</v>
      </c>
    </row>
    <row r="25568" spans="6:8">
      <c r="H25568" t="s">
        <v>28269</v>
      </c>
    </row>
    <row r="25569" spans="6:8">
      <c r="H25569" t="s">
        <v>28270</v>
      </c>
    </row>
    <row r="25570" spans="6:8">
      <c r="H25570" t="s">
        <v>28271</v>
      </c>
    </row>
    <row r="25571" spans="6:8">
      <c r="H25571" t="s">
        <v>28272</v>
      </c>
    </row>
    <row r="25572" spans="6:8">
      <c r="H25572" t="s">
        <v>28273</v>
      </c>
    </row>
    <row r="25573" spans="6:8">
      <c r="H25573" t="s">
        <v>28274</v>
      </c>
    </row>
    <row r="25574" spans="6:8">
      <c r="H25574" t="s">
        <v>28275</v>
      </c>
    </row>
    <row r="25575" spans="6:8">
      <c r="H25575" t="s">
        <v>19242</v>
      </c>
    </row>
    <row r="25576" spans="6:8">
      <c r="H25576" t="s">
        <v>19243</v>
      </c>
    </row>
    <row r="25577" spans="6:8">
      <c r="F25577" t="s">
        <v>12399</v>
      </c>
      <c r="G25577" t="s">
        <v>16606</v>
      </c>
      <c r="H25577" t="s">
        <v>28276</v>
      </c>
    </row>
    <row r="25578" spans="6:8">
      <c r="H25578" t="s">
        <v>19233</v>
      </c>
    </row>
    <row r="25579" spans="6:8">
      <c r="H25579" t="s">
        <v>28277</v>
      </c>
    </row>
    <row r="25580" spans="6:8">
      <c r="H25580" t="s">
        <v>28278</v>
      </c>
    </row>
    <row r="25581" spans="6:8">
      <c r="H25581" t="s">
        <v>25711</v>
      </c>
    </row>
    <row r="25582" spans="6:8">
      <c r="H25582" t="s">
        <v>18829</v>
      </c>
    </row>
    <row r="25583" spans="6:8">
      <c r="H25583" t="s">
        <v>22478</v>
      </c>
    </row>
    <row r="25584" spans="6:8">
      <c r="H25584" t="s">
        <v>28279</v>
      </c>
    </row>
    <row r="25585" spans="8:8">
      <c r="H25585" t="s">
        <v>28279</v>
      </c>
    </row>
    <row r="25586" spans="8:8">
      <c r="H25586" t="s">
        <v>28280</v>
      </c>
    </row>
    <row r="25587" spans="8:8">
      <c r="H25587" t="s">
        <v>22479</v>
      </c>
    </row>
    <row r="25588" spans="8:8">
      <c r="H25588" t="s">
        <v>28281</v>
      </c>
    </row>
    <row r="25589" spans="8:8">
      <c r="H25589" t="s">
        <v>28282</v>
      </c>
    </row>
    <row r="25590" spans="8:8">
      <c r="H25590" t="s">
        <v>28283</v>
      </c>
    </row>
    <row r="25591" spans="8:8">
      <c r="H25591" t="s">
        <v>28284</v>
      </c>
    </row>
    <row r="25592" spans="8:8">
      <c r="H25592" t="s">
        <v>28285</v>
      </c>
    </row>
    <row r="25593" spans="8:8">
      <c r="H25593" t="s">
        <v>22481</v>
      </c>
    </row>
    <row r="25594" spans="8:8">
      <c r="H25594" t="s">
        <v>22482</v>
      </c>
    </row>
    <row r="25595" spans="8:8">
      <c r="H25595" t="s">
        <v>22483</v>
      </c>
    </row>
    <row r="25596" spans="8:8">
      <c r="H25596" t="s">
        <v>22484</v>
      </c>
    </row>
    <row r="25597" spans="8:8">
      <c r="H25597" t="s">
        <v>22485</v>
      </c>
    </row>
    <row r="25598" spans="8:8">
      <c r="H25598" t="s">
        <v>22486</v>
      </c>
    </row>
    <row r="25599" spans="8:8">
      <c r="H25599" t="s">
        <v>22487</v>
      </c>
    </row>
    <row r="25600" spans="8:8">
      <c r="H25600" t="s">
        <v>22488</v>
      </c>
    </row>
    <row r="25601" spans="8:8">
      <c r="H25601" t="s">
        <v>22489</v>
      </c>
    </row>
    <row r="25602" spans="8:8">
      <c r="H25602" t="s">
        <v>22490</v>
      </c>
    </row>
    <row r="25603" spans="8:8">
      <c r="H25603" t="s">
        <v>22491</v>
      </c>
    </row>
    <row r="25604" spans="8:8">
      <c r="H25604" t="s">
        <v>22492</v>
      </c>
    </row>
    <row r="25605" spans="8:8">
      <c r="H25605" t="s">
        <v>22493</v>
      </c>
    </row>
    <row r="25606" spans="8:8">
      <c r="H25606" t="s">
        <v>22494</v>
      </c>
    </row>
    <row r="25607" spans="8:8">
      <c r="H25607" t="s">
        <v>22495</v>
      </c>
    </row>
    <row r="25608" spans="8:8">
      <c r="H25608" t="s">
        <v>28286</v>
      </c>
    </row>
    <row r="25609" spans="8:8">
      <c r="H25609" t="s">
        <v>28287</v>
      </c>
    </row>
    <row r="25610" spans="8:8">
      <c r="H25610" t="s">
        <v>28288</v>
      </c>
    </row>
    <row r="25611" spans="8:8">
      <c r="H25611" t="s">
        <v>28289</v>
      </c>
    </row>
    <row r="25612" spans="8:8">
      <c r="H25612" t="s">
        <v>28290</v>
      </c>
    </row>
    <row r="25613" spans="8:8">
      <c r="H25613" t="s">
        <v>28291</v>
      </c>
    </row>
    <row r="25614" spans="8:8">
      <c r="H25614" t="s">
        <v>28292</v>
      </c>
    </row>
    <row r="25615" spans="8:8">
      <c r="H25615" t="s">
        <v>28293</v>
      </c>
    </row>
    <row r="25616" spans="8:8">
      <c r="H25616" t="s">
        <v>28294</v>
      </c>
    </row>
    <row r="25617" spans="8:8">
      <c r="H25617" t="s">
        <v>28295</v>
      </c>
    </row>
    <row r="25618" spans="8:8">
      <c r="H25618" t="s">
        <v>28296</v>
      </c>
    </row>
    <row r="25619" spans="8:8">
      <c r="H25619" t="s">
        <v>28297</v>
      </c>
    </row>
    <row r="25620" spans="8:8">
      <c r="H25620" t="s">
        <v>28298</v>
      </c>
    </row>
    <row r="25621" spans="8:8">
      <c r="H25621" t="s">
        <v>28299</v>
      </c>
    </row>
    <row r="25622" spans="8:8">
      <c r="H25622" t="s">
        <v>28300</v>
      </c>
    </row>
    <row r="25623" spans="8:8">
      <c r="H25623" t="s">
        <v>28301</v>
      </c>
    </row>
    <row r="25624" spans="8:8">
      <c r="H25624" t="s">
        <v>28302</v>
      </c>
    </row>
    <row r="25625" spans="8:8">
      <c r="H25625" t="s">
        <v>28303</v>
      </c>
    </row>
    <row r="25626" spans="8:8">
      <c r="H25626" t="s">
        <v>28304</v>
      </c>
    </row>
    <row r="25627" spans="8:8">
      <c r="H25627" t="s">
        <v>28305</v>
      </c>
    </row>
    <row r="25628" spans="8:8">
      <c r="H25628" t="s">
        <v>28306</v>
      </c>
    </row>
    <row r="25629" spans="8:8">
      <c r="H25629" t="s">
        <v>28307</v>
      </c>
    </row>
    <row r="25630" spans="8:8">
      <c r="H25630" t="s">
        <v>28308</v>
      </c>
    </row>
    <row r="25631" spans="8:8">
      <c r="H25631" t="s">
        <v>28309</v>
      </c>
    </row>
    <row r="25632" spans="8:8">
      <c r="H25632" t="s">
        <v>28310</v>
      </c>
    </row>
    <row r="25633" spans="8:8">
      <c r="H25633" t="s">
        <v>28311</v>
      </c>
    </row>
    <row r="25634" spans="8:8">
      <c r="H25634" t="s">
        <v>28312</v>
      </c>
    </row>
    <row r="25635" spans="8:8">
      <c r="H25635" t="s">
        <v>28313</v>
      </c>
    </row>
    <row r="25636" spans="8:8">
      <c r="H25636" t="s">
        <v>28314</v>
      </c>
    </row>
    <row r="25637" spans="8:8">
      <c r="H25637" t="s">
        <v>28315</v>
      </c>
    </row>
    <row r="25638" spans="8:8">
      <c r="H25638" t="s">
        <v>28316</v>
      </c>
    </row>
    <row r="25639" spans="8:8">
      <c r="H25639" t="s">
        <v>28317</v>
      </c>
    </row>
    <row r="25640" spans="8:8">
      <c r="H25640" t="s">
        <v>28318</v>
      </c>
    </row>
    <row r="25641" spans="8:8">
      <c r="H25641" t="s">
        <v>28319</v>
      </c>
    </row>
    <row r="25642" spans="8:8">
      <c r="H25642" t="s">
        <v>28320</v>
      </c>
    </row>
    <row r="25643" spans="8:8">
      <c r="H25643" t="s">
        <v>28321</v>
      </c>
    </row>
    <row r="25644" spans="8:8">
      <c r="H25644" t="s">
        <v>28322</v>
      </c>
    </row>
    <row r="25645" spans="8:8">
      <c r="H25645" t="s">
        <v>28323</v>
      </c>
    </row>
    <row r="25646" spans="8:8">
      <c r="H25646" t="s">
        <v>28324</v>
      </c>
    </row>
    <row r="25647" spans="8:8">
      <c r="H25647" t="s">
        <v>28325</v>
      </c>
    </row>
    <row r="25648" spans="8:8">
      <c r="H25648" t="s">
        <v>28326</v>
      </c>
    </row>
    <row r="25649" spans="6:8">
      <c r="H25649" t="s">
        <v>28327</v>
      </c>
    </row>
    <row r="25650" spans="6:8">
      <c r="H25650" t="s">
        <v>28328</v>
      </c>
    </row>
    <row r="25651" spans="6:8">
      <c r="H25651" t="s">
        <v>28329</v>
      </c>
    </row>
    <row r="25652" spans="6:8">
      <c r="H25652" t="s">
        <v>28330</v>
      </c>
    </row>
    <row r="25653" spans="6:8">
      <c r="H25653" t="s">
        <v>28331</v>
      </c>
    </row>
    <row r="25654" spans="6:8">
      <c r="H25654" t="s">
        <v>28332</v>
      </c>
    </row>
    <row r="25655" spans="6:8">
      <c r="H25655" t="s">
        <v>28333</v>
      </c>
    </row>
    <row r="25656" spans="6:8">
      <c r="F25656" t="s">
        <v>13150</v>
      </c>
      <c r="G25656" t="s">
        <v>17304</v>
      </c>
      <c r="H25656" t="s">
        <v>18829</v>
      </c>
    </row>
    <row r="25657" spans="6:8">
      <c r="H25657" t="s">
        <v>28334</v>
      </c>
    </row>
    <row r="25658" spans="6:8">
      <c r="H25658" t="s">
        <v>28335</v>
      </c>
    </row>
    <row r="25659" spans="6:8">
      <c r="H25659" t="s">
        <v>28336</v>
      </c>
    </row>
    <row r="25660" spans="6:8">
      <c r="H25660" t="s">
        <v>28337</v>
      </c>
    </row>
    <row r="25661" spans="6:8">
      <c r="F25661" t="s">
        <v>13151</v>
      </c>
      <c r="G25661" t="s">
        <v>17305</v>
      </c>
      <c r="H25661" t="s">
        <v>18829</v>
      </c>
    </row>
    <row r="25662" spans="6:8">
      <c r="H25662" t="s">
        <v>28338</v>
      </c>
    </row>
    <row r="25663" spans="6:8">
      <c r="H25663" t="s">
        <v>28338</v>
      </c>
    </row>
    <row r="25664" spans="6:8">
      <c r="H25664" t="s">
        <v>26183</v>
      </c>
    </row>
    <row r="25665" spans="6:8">
      <c r="H25665" t="s">
        <v>19241</v>
      </c>
    </row>
    <row r="25666" spans="6:8">
      <c r="F25666" t="s">
        <v>13152</v>
      </c>
      <c r="G25666" t="s">
        <v>16869</v>
      </c>
      <c r="H25666" t="s">
        <v>18829</v>
      </c>
    </row>
    <row r="25667" spans="6:8">
      <c r="H25667" t="s">
        <v>28339</v>
      </c>
    </row>
    <row r="25668" spans="6:8">
      <c r="H25668" t="s">
        <v>28340</v>
      </c>
    </row>
    <row r="25669" spans="6:8">
      <c r="H25669" t="s">
        <v>28341</v>
      </c>
    </row>
    <row r="25670" spans="6:8">
      <c r="H25670" t="s">
        <v>28342</v>
      </c>
    </row>
    <row r="25671" spans="6:8">
      <c r="H25671" t="s">
        <v>28343</v>
      </c>
    </row>
    <row r="25672" spans="6:8">
      <c r="H25672" t="s">
        <v>28344</v>
      </c>
    </row>
    <row r="25673" spans="6:8">
      <c r="H25673" t="s">
        <v>28345</v>
      </c>
    </row>
    <row r="25674" spans="6:8">
      <c r="H25674" t="s">
        <v>28346</v>
      </c>
    </row>
    <row r="25675" spans="6:8">
      <c r="H25675" t="s">
        <v>28347</v>
      </c>
    </row>
    <row r="25676" spans="6:8">
      <c r="H25676" t="s">
        <v>28348</v>
      </c>
    </row>
    <row r="25677" spans="6:8">
      <c r="H25677" t="s">
        <v>28349</v>
      </c>
    </row>
    <row r="25678" spans="6:8">
      <c r="H25678" t="s">
        <v>28350</v>
      </c>
    </row>
    <row r="25679" spans="6:8">
      <c r="F25679" t="s">
        <v>13153</v>
      </c>
      <c r="G25679" t="s">
        <v>17306</v>
      </c>
      <c r="H25679" t="s">
        <v>28351</v>
      </c>
    </row>
    <row r="25680" spans="6:8">
      <c r="F25680" t="s">
        <v>13154</v>
      </c>
      <c r="G25680" t="s">
        <v>15103</v>
      </c>
      <c r="H25680" t="s">
        <v>19170</v>
      </c>
    </row>
    <row r="25681" spans="6:8">
      <c r="H25681" t="s">
        <v>19171</v>
      </c>
    </row>
    <row r="25682" spans="6:8">
      <c r="H25682" t="s">
        <v>28352</v>
      </c>
    </row>
    <row r="25683" spans="6:8">
      <c r="H25683" t="s">
        <v>19172</v>
      </c>
    </row>
    <row r="25684" spans="6:8">
      <c r="H25684" t="s">
        <v>28353</v>
      </c>
    </row>
    <row r="25685" spans="6:8">
      <c r="H25685" t="s">
        <v>28354</v>
      </c>
    </row>
    <row r="25686" spans="6:8">
      <c r="H25686" t="s">
        <v>28355</v>
      </c>
    </row>
    <row r="25687" spans="6:8">
      <c r="H25687" t="s">
        <v>19173</v>
      </c>
    </row>
    <row r="25688" spans="6:8">
      <c r="H25688" t="s">
        <v>28356</v>
      </c>
    </row>
    <row r="25689" spans="6:8">
      <c r="H25689" t="s">
        <v>28357</v>
      </c>
    </row>
    <row r="25690" spans="6:8">
      <c r="H25690" t="s">
        <v>28358</v>
      </c>
    </row>
    <row r="25691" spans="6:8">
      <c r="H25691" t="s">
        <v>28359</v>
      </c>
    </row>
    <row r="25692" spans="6:8">
      <c r="H25692" t="s">
        <v>19174</v>
      </c>
    </row>
    <row r="25693" spans="6:8">
      <c r="F25693" t="s">
        <v>13155</v>
      </c>
      <c r="G25693" t="s">
        <v>15332</v>
      </c>
      <c r="H25693" t="s">
        <v>18829</v>
      </c>
    </row>
    <row r="25694" spans="6:8">
      <c r="H25694" t="s">
        <v>19729</v>
      </c>
    </row>
    <row r="25695" spans="6:8">
      <c r="H25695" t="s">
        <v>28360</v>
      </c>
    </row>
    <row r="25696" spans="6:8">
      <c r="H25696" t="s">
        <v>19730</v>
      </c>
    </row>
    <row r="25697" spans="1:8">
      <c r="H25697" t="s">
        <v>19731</v>
      </c>
    </row>
    <row r="25698" spans="1:8">
      <c r="H25698" t="s">
        <v>28361</v>
      </c>
    </row>
    <row r="25699" spans="1:8">
      <c r="H25699" t="s">
        <v>19732</v>
      </c>
    </row>
    <row r="25700" spans="1:8">
      <c r="H25700" t="s">
        <v>28362</v>
      </c>
    </row>
    <row r="25701" spans="1:8">
      <c r="H25701" t="s">
        <v>28363</v>
      </c>
    </row>
    <row r="25702" spans="1:8">
      <c r="H25702" t="s">
        <v>28364</v>
      </c>
    </row>
    <row r="25703" spans="1:8">
      <c r="H25703" t="s">
        <v>19174</v>
      </c>
    </row>
    <row r="25704" spans="1:8">
      <c r="F25704" t="s">
        <v>13156</v>
      </c>
      <c r="G25704" t="s">
        <v>17307</v>
      </c>
      <c r="H25704" t="s">
        <v>18829</v>
      </c>
    </row>
    <row r="25705" spans="1:8">
      <c r="H25705" t="s">
        <v>28365</v>
      </c>
    </row>
    <row r="25706" spans="1:8">
      <c r="H25706" t="s">
        <v>28366</v>
      </c>
    </row>
    <row r="25707" spans="1:8">
      <c r="H25707" t="s">
        <v>28367</v>
      </c>
    </row>
    <row r="25708" spans="1:8">
      <c r="A25708" t="s">
        <v>1311</v>
      </c>
      <c r="B25708">
        <f>HYPERLINK("https://android.googlesource.com/platform/cts/+/3bf0f595735ee81b57ccfddbcc42031d73c941a4", "3bf0f595735ee81b57ccfddbcc42031d73c941a4")</f>
        <v>0</v>
      </c>
      <c r="C25708">
        <f>HYPERLINK("https://android.googlesource.com/platform/cts/+/e44ae0a4c65529a312a4f8f794612d0e59997979", "e44ae0a4c65529a312a4f8f794612d0e59997979")</f>
        <v>0</v>
      </c>
      <c r="D25708" t="s">
        <v>5040</v>
      </c>
      <c r="E25708" t="s">
        <v>7084</v>
      </c>
      <c r="F25708" t="s">
        <v>10746</v>
      </c>
      <c r="G25708" t="s">
        <v>15145</v>
      </c>
      <c r="H25708" t="s">
        <v>28368</v>
      </c>
    </row>
    <row r="25709" spans="1:8">
      <c r="A25709" t="s">
        <v>1313</v>
      </c>
      <c r="B25709">
        <f>HYPERLINK("https://android.googlesource.com/platform/cts/+/d7d521b441b48761eed81d47224e03e77bc80005", "d7d521b441b48761eed81d47224e03e77bc80005")</f>
        <v>0</v>
      </c>
      <c r="C25709">
        <f>HYPERLINK("https://android.googlesource.com/platform/cts/+/467b960629f49b3aa73eefbcb7fd60bd7adb0b39", "467b960629f49b3aa73eefbcb7fd60bd7adb0b39")</f>
        <v>0</v>
      </c>
      <c r="D25709" t="s">
        <v>5122</v>
      </c>
      <c r="E25709" t="s">
        <v>7086</v>
      </c>
      <c r="F25709" t="s">
        <v>13157</v>
      </c>
      <c r="G25709" t="s">
        <v>17308</v>
      </c>
      <c r="H25709" t="s">
        <v>28369</v>
      </c>
    </row>
    <row r="25710" spans="1:8">
      <c r="A25710" t="s">
        <v>1314</v>
      </c>
      <c r="B25710">
        <f>HYPERLINK("https://android.googlesource.com/platform/cts/+/03072b376deffd4953ec4487e133ee1ec3e33428", "03072b376deffd4953ec4487e133ee1ec3e33428")</f>
        <v>0</v>
      </c>
      <c r="C25710">
        <f>HYPERLINK("https://android.googlesource.com/platform/cts/+/e56fe3ca0e098885581ef6e53a8fd28280ffc00a", "e56fe3ca0e098885581ef6e53a8fd28280ffc00a")</f>
        <v>0</v>
      </c>
      <c r="D25710" t="s">
        <v>4973</v>
      </c>
      <c r="E25710" t="s">
        <v>7087</v>
      </c>
      <c r="F25710" t="s">
        <v>13158</v>
      </c>
      <c r="G25710" t="s">
        <v>17309</v>
      </c>
      <c r="H25710" t="s">
        <v>28370</v>
      </c>
    </row>
    <row r="25711" spans="1:8">
      <c r="H25711" t="s">
        <v>18893</v>
      </c>
    </row>
    <row r="25712" spans="1:8">
      <c r="H25712" t="s">
        <v>28371</v>
      </c>
    </row>
    <row r="25713" spans="1:8">
      <c r="H25713" t="s">
        <v>26545</v>
      </c>
    </row>
    <row r="25714" spans="1:8">
      <c r="H25714" t="s">
        <v>28372</v>
      </c>
    </row>
    <row r="25715" spans="1:8">
      <c r="F25715" t="s">
        <v>13159</v>
      </c>
      <c r="G25715" t="s">
        <v>17310</v>
      </c>
      <c r="H25715" t="s">
        <v>28373</v>
      </c>
    </row>
    <row r="25716" spans="1:8">
      <c r="A25716" t="s">
        <v>1315</v>
      </c>
      <c r="B25716">
        <f>HYPERLINK("https://android.googlesource.com/platform/cts/+/8ec14850a3cbf38f61136c875d8d21add3c95762", "8ec14850a3cbf38f61136c875d8d21add3c95762")</f>
        <v>0</v>
      </c>
      <c r="C25716">
        <f>HYPERLINK("https://android.googlesource.com/platform/cts/+/9962828b47084765294108b370d0e2cb829a32f6", "9962828b47084765294108b370d0e2cb829a32f6")</f>
        <v>0</v>
      </c>
      <c r="D25716" t="s">
        <v>4973</v>
      </c>
      <c r="E25716" t="s">
        <v>7088</v>
      </c>
      <c r="F25716" t="s">
        <v>13158</v>
      </c>
      <c r="G25716" t="s">
        <v>17309</v>
      </c>
      <c r="H25716" t="s">
        <v>26545</v>
      </c>
    </row>
    <row r="25717" spans="1:8">
      <c r="H25717" t="s">
        <v>28374</v>
      </c>
    </row>
    <row r="25718" spans="1:8">
      <c r="A25718" t="s">
        <v>1316</v>
      </c>
      <c r="B25718">
        <f>HYPERLINK("https://android.googlesource.com/platform/cts/+/6bc778960e5b34c8a362607c2848426a3f5c91d5", "6bc778960e5b34c8a362607c2848426a3f5c91d5")</f>
        <v>0</v>
      </c>
      <c r="C25718">
        <f>HYPERLINK("https://android.googlesource.com/platform/cts/+/8ec14850a3cbf38f61136c875d8d21add3c95762", "8ec14850a3cbf38f61136c875d8d21add3c95762")</f>
        <v>0</v>
      </c>
      <c r="D25718" t="s">
        <v>4973</v>
      </c>
      <c r="E25718" t="s">
        <v>7089</v>
      </c>
      <c r="F25718" t="s">
        <v>13160</v>
      </c>
      <c r="G25718" t="s">
        <v>17311</v>
      </c>
      <c r="H25718" t="s">
        <v>28375</v>
      </c>
    </row>
    <row r="25719" spans="1:8">
      <c r="H25719" t="s">
        <v>28376</v>
      </c>
    </row>
    <row r="25720" spans="1:8">
      <c r="A25720" t="s">
        <v>1317</v>
      </c>
      <c r="B25720">
        <f>HYPERLINK("https://android.googlesource.com/platform/cts/+/930b4affd802a0cd38ea93a2ba596f245dc8aea3", "930b4affd802a0cd38ea93a2ba596f245dc8aea3")</f>
        <v>0</v>
      </c>
      <c r="C25720">
        <f>HYPERLINK("https://android.googlesource.com/platform/cts/+/9ec99cbbf731d68a2512b6ebb490a333802287a4", "9ec99cbbf731d68a2512b6ebb490a333802287a4")</f>
        <v>0</v>
      </c>
      <c r="D25720" t="s">
        <v>4971</v>
      </c>
      <c r="E25720" t="s">
        <v>7090</v>
      </c>
      <c r="F25720" t="s">
        <v>13161</v>
      </c>
      <c r="G25720" t="s">
        <v>17312</v>
      </c>
      <c r="H25720" t="s">
        <v>28377</v>
      </c>
    </row>
    <row r="25721" spans="1:8">
      <c r="H25721" t="s">
        <v>18829</v>
      </c>
    </row>
    <row r="25722" spans="1:8">
      <c r="H25722" t="s">
        <v>28378</v>
      </c>
    </row>
    <row r="25723" spans="1:8">
      <c r="F25723" t="s">
        <v>12738</v>
      </c>
      <c r="G25723" t="s">
        <v>16931</v>
      </c>
      <c r="H25723" t="s">
        <v>26133</v>
      </c>
    </row>
    <row r="25724" spans="1:8">
      <c r="H25724" t="s">
        <v>18829</v>
      </c>
    </row>
    <row r="25725" spans="1:8">
      <c r="H25725" t="s">
        <v>26134</v>
      </c>
    </row>
    <row r="25726" spans="1:8">
      <c r="H25726" t="s">
        <v>26135</v>
      </c>
    </row>
    <row r="25727" spans="1:8">
      <c r="H25727" t="s">
        <v>26136</v>
      </c>
    </row>
    <row r="25728" spans="1:8">
      <c r="H25728" t="s">
        <v>26137</v>
      </c>
    </row>
    <row r="25729" spans="1:8">
      <c r="H25729" t="s">
        <v>26138</v>
      </c>
    </row>
    <row r="25730" spans="1:8">
      <c r="H25730" t="s">
        <v>26139</v>
      </c>
    </row>
    <row r="25731" spans="1:8">
      <c r="H25731" t="s">
        <v>26140</v>
      </c>
    </row>
    <row r="25732" spans="1:8">
      <c r="H25732" t="s">
        <v>26141</v>
      </c>
    </row>
    <row r="25733" spans="1:8">
      <c r="H25733" t="s">
        <v>26142</v>
      </c>
    </row>
    <row r="25734" spans="1:8">
      <c r="H25734" t="s">
        <v>26143</v>
      </c>
    </row>
    <row r="25735" spans="1:8">
      <c r="H25735" t="s">
        <v>26144</v>
      </c>
    </row>
    <row r="25736" spans="1:8">
      <c r="H25736" t="s">
        <v>26145</v>
      </c>
    </row>
    <row r="25737" spans="1:8">
      <c r="A25737" t="s">
        <v>1318</v>
      </c>
      <c r="B25737">
        <f>HYPERLINK("https://android.googlesource.com/platform/cts/+/eef1d8627fd4cdf7180b03054e2c115960f74827", "eef1d8627fd4cdf7180b03054e2c115960f74827")</f>
        <v>0</v>
      </c>
      <c r="C25737">
        <f>HYPERLINK("https://android.googlesource.com/platform/cts/+/610aba30fb5f81269083b574969034454bee958b", "610aba30fb5f81269083b574969034454bee958b")</f>
        <v>0</v>
      </c>
      <c r="D25737" t="s">
        <v>5187</v>
      </c>
      <c r="E25737" t="s">
        <v>7091</v>
      </c>
      <c r="F25737" t="s">
        <v>12176</v>
      </c>
      <c r="G25737" t="s">
        <v>16415</v>
      </c>
      <c r="H25737" t="s">
        <v>28379</v>
      </c>
    </row>
    <row r="25738" spans="1:8">
      <c r="H25738" t="s">
        <v>18927</v>
      </c>
    </row>
    <row r="25739" spans="1:8">
      <c r="H25739" t="s">
        <v>28380</v>
      </c>
    </row>
    <row r="25740" spans="1:8">
      <c r="H25740" t="s">
        <v>28381</v>
      </c>
    </row>
    <row r="25741" spans="1:8">
      <c r="H25741" t="s">
        <v>28382</v>
      </c>
    </row>
    <row r="25742" spans="1:8">
      <c r="A25742" t="s">
        <v>1319</v>
      </c>
      <c r="B25742">
        <f>HYPERLINK("https://android.googlesource.com/platform/cts/+/0cf7d3844f602ad43bab0ea745a40393b14618c7", "0cf7d3844f602ad43bab0ea745a40393b14618c7")</f>
        <v>0</v>
      </c>
      <c r="C25742">
        <f>HYPERLINK("https://android.googlesource.com/platform/cts/+/699995dbc5b6aea838609ff6d747ac7b5907bc92", "699995dbc5b6aea838609ff6d747ac7b5907bc92")</f>
        <v>0</v>
      </c>
      <c r="D25742" t="s">
        <v>5181</v>
      </c>
      <c r="E25742" t="s">
        <v>7092</v>
      </c>
      <c r="F25742" t="s">
        <v>13024</v>
      </c>
      <c r="G25742" t="s">
        <v>17188</v>
      </c>
      <c r="H25742" t="s">
        <v>27467</v>
      </c>
    </row>
    <row r="25743" spans="1:8">
      <c r="A25743" t="s">
        <v>1320</v>
      </c>
      <c r="B25743">
        <f>HYPERLINK("https://android.googlesource.com/platform/cts/+/e4401438629e0d9871d1d0c4584300fb683b722d", "e4401438629e0d9871d1d0c4584300fb683b722d")</f>
        <v>0</v>
      </c>
      <c r="C25743">
        <f>HYPERLINK("https://android.googlesource.com/platform/cts/+/6fcc55c5549261f0a65f246f6256821d17db4577", "6fcc55c5549261f0a65f246f6256821d17db4577")</f>
        <v>0</v>
      </c>
      <c r="D25743" t="s">
        <v>5188</v>
      </c>
      <c r="E25743" t="s">
        <v>7093</v>
      </c>
      <c r="F25743" t="s">
        <v>12176</v>
      </c>
      <c r="G25743" t="s">
        <v>16415</v>
      </c>
      <c r="H25743" t="s">
        <v>28379</v>
      </c>
    </row>
    <row r="25744" spans="1:8">
      <c r="H25744" t="s">
        <v>18927</v>
      </c>
    </row>
    <row r="25745" spans="1:8">
      <c r="H25745" t="s">
        <v>28380</v>
      </c>
    </row>
    <row r="25746" spans="1:8">
      <c r="H25746" t="s">
        <v>28381</v>
      </c>
    </row>
    <row r="25747" spans="1:8">
      <c r="H25747" t="s">
        <v>28382</v>
      </c>
    </row>
    <row r="25748" spans="1:8">
      <c r="A25748" t="s">
        <v>1322</v>
      </c>
      <c r="B25748">
        <f>HYPERLINK("https://android.googlesource.com/platform/cts/+/d176fe21490de004b3b080080370e6e041807a33", "d176fe21490de004b3b080080370e6e041807a33")</f>
        <v>0</v>
      </c>
      <c r="C25748">
        <f>HYPERLINK("https://android.googlesource.com/platform/cts/+/f80b4ff00b65b00b7aa7b39d8020c2e2f28639b7", "f80b4ff00b65b00b7aa7b39d8020c2e2f28639b7")</f>
        <v>0</v>
      </c>
      <c r="D25748" t="s">
        <v>5112</v>
      </c>
      <c r="E25748" t="s">
        <v>7094</v>
      </c>
      <c r="F25748" t="s">
        <v>10732</v>
      </c>
      <c r="G25748" t="s">
        <v>15131</v>
      </c>
      <c r="H25748" t="s">
        <v>28383</v>
      </c>
    </row>
    <row r="25749" spans="1:8">
      <c r="H25749" t="s">
        <v>28384</v>
      </c>
    </row>
    <row r="25750" spans="1:8">
      <c r="A25750" t="s">
        <v>1323</v>
      </c>
      <c r="B25750">
        <f>HYPERLINK("https://android.googlesource.com/platform/cts/+/bb6f8c5bb585c4df1f036e3855636e2bfda34245", "bb6f8c5bb585c4df1f036e3855636e2bfda34245")</f>
        <v>0</v>
      </c>
      <c r="C25750">
        <f>HYPERLINK("https://android.googlesource.com/platform/cts/+/8721e7cfe4d131a9fb26c357efea65d9c0955ba3", "8721e7cfe4d131a9fb26c357efea65d9c0955ba3")</f>
        <v>0</v>
      </c>
      <c r="D25750" t="s">
        <v>5189</v>
      </c>
      <c r="E25750" t="s">
        <v>7095</v>
      </c>
      <c r="F25750" t="s">
        <v>13162</v>
      </c>
      <c r="G25750" t="s">
        <v>16987</v>
      </c>
      <c r="H25750" t="s">
        <v>28385</v>
      </c>
    </row>
    <row r="25751" spans="1:8">
      <c r="A25751" t="s">
        <v>1324</v>
      </c>
      <c r="B25751">
        <f>HYPERLINK("https://android.googlesource.com/platform/cts/+/bf1605d391ba80e4a942e779b604fd0177724e83", "bf1605d391ba80e4a942e779b604fd0177724e83")</f>
        <v>0</v>
      </c>
      <c r="C25751">
        <f>HYPERLINK("https://android.googlesource.com/platform/cts/+/0e71b18cb619be99e01aaf64fa3f913370254ece", "0e71b18cb619be99e01aaf64fa3f913370254ece")</f>
        <v>0</v>
      </c>
      <c r="D25751" t="s">
        <v>5146</v>
      </c>
      <c r="E25751" t="s">
        <v>7096</v>
      </c>
      <c r="F25751" t="s">
        <v>12839</v>
      </c>
      <c r="G25751" t="s">
        <v>17014</v>
      </c>
      <c r="H25751" t="s">
        <v>28386</v>
      </c>
    </row>
    <row r="25752" spans="1:8">
      <c r="H25752" t="s">
        <v>28387</v>
      </c>
    </row>
    <row r="25753" spans="1:8">
      <c r="H25753" t="s">
        <v>28388</v>
      </c>
    </row>
    <row r="25754" spans="1:8">
      <c r="H25754" t="s">
        <v>21400</v>
      </c>
    </row>
    <row r="25755" spans="1:8">
      <c r="A25755" t="s">
        <v>1325</v>
      </c>
      <c r="B25755">
        <f>HYPERLINK("https://android.googlesource.com/platform/cts/+/92cd9119d1dbcb9664a830f216920d5bbde961a1", "92cd9119d1dbcb9664a830f216920d5bbde961a1")</f>
        <v>0</v>
      </c>
      <c r="C25755">
        <f>HYPERLINK("https://android.googlesource.com/platform/cts/+/ea862a6bd2f49df4bc0204743f955749b0230c26", "ea862a6bd2f49df4bc0204743f955749b0230c26")</f>
        <v>0</v>
      </c>
      <c r="D25755" t="s">
        <v>5132</v>
      </c>
      <c r="E25755" t="s">
        <v>7097</v>
      </c>
      <c r="F25755" t="s">
        <v>10794</v>
      </c>
      <c r="G25755" t="s">
        <v>15189</v>
      </c>
      <c r="H25755" t="s">
        <v>28389</v>
      </c>
    </row>
    <row r="25756" spans="1:8">
      <c r="H25756" t="s">
        <v>28390</v>
      </c>
    </row>
    <row r="25757" spans="1:8">
      <c r="A25757" t="s">
        <v>1326</v>
      </c>
      <c r="B25757">
        <f>HYPERLINK("https://android.googlesource.com/platform/cts/+/ed85533fa030ca397a36a0b8bac3189eae9d23c9", "ed85533fa030ca397a36a0b8bac3189eae9d23c9")</f>
        <v>0</v>
      </c>
      <c r="C25757">
        <f>HYPERLINK("https://android.googlesource.com/platform/cts/+/50d641d9ce7db1f7f7b7c2c945525026d8f07e1c", "50d641d9ce7db1f7f7b7c2c945525026d8f07e1c")</f>
        <v>0</v>
      </c>
      <c r="D25757" t="s">
        <v>5186</v>
      </c>
      <c r="E25757" t="s">
        <v>7098</v>
      </c>
      <c r="F25757" t="s">
        <v>13136</v>
      </c>
      <c r="G25757" t="s">
        <v>17293</v>
      </c>
      <c r="H25757" t="s">
        <v>25984</v>
      </c>
    </row>
    <row r="25758" spans="1:8">
      <c r="A25758" t="s">
        <v>1327</v>
      </c>
      <c r="B25758">
        <f>HYPERLINK("https://android.googlesource.com/platform/cts/+/2d25bb5e6456032f9838b4ff6b3621632591a5b5", "2d25bb5e6456032f9838b4ff6b3621632591a5b5")</f>
        <v>0</v>
      </c>
      <c r="C25758">
        <f>HYPERLINK("https://android.googlesource.com/platform/cts/+/995490cad52cb0aa0bce45724da9a1a366d798b2", "995490cad52cb0aa0bce45724da9a1a366d798b2")</f>
        <v>0</v>
      </c>
      <c r="D25758" t="s">
        <v>5190</v>
      </c>
      <c r="E25758" t="s">
        <v>7099</v>
      </c>
      <c r="F25758" t="s">
        <v>13163</v>
      </c>
      <c r="G25758" t="s">
        <v>17313</v>
      </c>
      <c r="H25758" t="s">
        <v>28391</v>
      </c>
    </row>
    <row r="25759" spans="1:8">
      <c r="A25759" t="s">
        <v>1328</v>
      </c>
      <c r="B25759">
        <f>HYPERLINK("https://android.googlesource.com/platform/cts/+/52781c7c29f20abd6b9a1c49a67aebf1e2592014", "52781c7c29f20abd6b9a1c49a67aebf1e2592014")</f>
        <v>0</v>
      </c>
      <c r="C25759">
        <f>HYPERLINK("https://android.googlesource.com/platform/cts/+/2eb66d66b0f2a6bfc71c217e12bcb6f002ecf336", "2eb66d66b0f2a6bfc71c217e12bcb6f002ecf336")</f>
        <v>0</v>
      </c>
      <c r="D25759" t="s">
        <v>4986</v>
      </c>
      <c r="E25759" t="s">
        <v>7100</v>
      </c>
      <c r="F25759" t="s">
        <v>13164</v>
      </c>
      <c r="G25759" t="s">
        <v>17314</v>
      </c>
      <c r="H25759" t="s">
        <v>28392</v>
      </c>
    </row>
    <row r="25760" spans="1:8">
      <c r="H25760" t="s">
        <v>28392</v>
      </c>
    </row>
    <row r="25761" spans="1:8">
      <c r="H25761" t="s">
        <v>28393</v>
      </c>
    </row>
    <row r="25762" spans="1:8">
      <c r="H25762" t="s">
        <v>28394</v>
      </c>
    </row>
    <row r="25763" spans="1:8">
      <c r="H25763" t="s">
        <v>28395</v>
      </c>
    </row>
    <row r="25764" spans="1:8">
      <c r="H25764" t="s">
        <v>28396</v>
      </c>
    </row>
    <row r="25765" spans="1:8">
      <c r="A25765" t="s">
        <v>1329</v>
      </c>
      <c r="B25765">
        <f>HYPERLINK("https://android.googlesource.com/platform/cts/+/529ae6fc49e8c27b14af459fc3af9dece68cdd93", "529ae6fc49e8c27b14af459fc3af9dece68cdd93")</f>
        <v>0</v>
      </c>
      <c r="C25765">
        <f>HYPERLINK("https://android.googlesource.com/platform/cts/+/a59e0e520934ffdc3b67f169eaffed4b3f6a7930", "a59e0e520934ffdc3b67f169eaffed4b3f6a7930")</f>
        <v>0</v>
      </c>
      <c r="D25765" t="s">
        <v>4965</v>
      </c>
      <c r="E25765" t="s">
        <v>7101</v>
      </c>
      <c r="F25765" t="s">
        <v>13127</v>
      </c>
      <c r="G25765" t="s">
        <v>17203</v>
      </c>
      <c r="H25765" t="s">
        <v>27508</v>
      </c>
    </row>
    <row r="25766" spans="1:8">
      <c r="H25766" t="s">
        <v>27508</v>
      </c>
    </row>
    <row r="25767" spans="1:8">
      <c r="H25767" t="s">
        <v>27508</v>
      </c>
    </row>
    <row r="25768" spans="1:8">
      <c r="H25768" t="s">
        <v>27508</v>
      </c>
    </row>
    <row r="25769" spans="1:8">
      <c r="H25769" t="s">
        <v>27508</v>
      </c>
    </row>
    <row r="25770" spans="1:8">
      <c r="H25770" t="s">
        <v>27508</v>
      </c>
    </row>
    <row r="25771" spans="1:8">
      <c r="H25771" t="s">
        <v>27509</v>
      </c>
    </row>
    <row r="25772" spans="1:8">
      <c r="H25772" t="s">
        <v>27510</v>
      </c>
    </row>
    <row r="25773" spans="1:8">
      <c r="A25773" t="s">
        <v>1330</v>
      </c>
      <c r="B25773">
        <f>HYPERLINK("https://android.googlesource.com/platform/cts/+/eba4da29339b68bcf5049d2382f6a2f79b05f66e", "eba4da29339b68bcf5049d2382f6a2f79b05f66e")</f>
        <v>0</v>
      </c>
      <c r="C25773">
        <f>HYPERLINK("https://android.googlesource.com/platform/cts/+/ed5f855f5a888399e2f0eed3639e95ae1af04fdf", "ed5f855f5a888399e2f0eed3639e95ae1af04fdf")</f>
        <v>0</v>
      </c>
      <c r="D25773" t="s">
        <v>5118</v>
      </c>
      <c r="E25773" t="s">
        <v>7102</v>
      </c>
      <c r="F25773" t="s">
        <v>13165</v>
      </c>
      <c r="G25773" t="s">
        <v>17315</v>
      </c>
      <c r="H25773" t="s">
        <v>28397</v>
      </c>
    </row>
    <row r="25774" spans="1:8">
      <c r="H25774" t="s">
        <v>28398</v>
      </c>
    </row>
    <row r="25775" spans="1:8">
      <c r="A25775" t="s">
        <v>1331</v>
      </c>
      <c r="B25775">
        <f>HYPERLINK("https://android.googlesource.com/platform/cts/+/ef6033e792d96dd9ebcb01849d579c483240dfa2", "ef6033e792d96dd9ebcb01849d579c483240dfa2")</f>
        <v>0</v>
      </c>
      <c r="C25775">
        <f>HYPERLINK("https://android.googlesource.com/platform/cts/+/e0761dc1fbfed28a5b058c945cc0ce4d7344b62b", "e0761dc1fbfed28a5b058c945cc0ce4d7344b62b")</f>
        <v>0</v>
      </c>
      <c r="D25775" t="s">
        <v>5111</v>
      </c>
      <c r="E25775" t="s">
        <v>7103</v>
      </c>
      <c r="F25775" t="s">
        <v>10778</v>
      </c>
      <c r="G25775" t="s">
        <v>15174</v>
      </c>
      <c r="H25775" t="s">
        <v>28399</v>
      </c>
    </row>
    <row r="25776" spans="1:8">
      <c r="A25776" t="s">
        <v>1333</v>
      </c>
      <c r="B25776">
        <f>HYPERLINK("https://android.googlesource.com/platform/cts/+/229afe3d739e3aa68893134024a860705375870b", "229afe3d739e3aa68893134024a860705375870b")</f>
        <v>0</v>
      </c>
      <c r="C25776">
        <f>HYPERLINK("https://android.googlesource.com/platform/cts/+/1682a8a3423ac44101af4cf27d1550ed5cd82b03", "1682a8a3423ac44101af4cf27d1550ed5cd82b03")</f>
        <v>0</v>
      </c>
      <c r="D25776" t="s">
        <v>5122</v>
      </c>
      <c r="E25776" t="s">
        <v>7105</v>
      </c>
      <c r="F25776" t="s">
        <v>12428</v>
      </c>
      <c r="G25776" t="s">
        <v>16619</v>
      </c>
      <c r="H25776" t="s">
        <v>22594</v>
      </c>
    </row>
    <row r="25777" spans="1:8">
      <c r="A25777" t="s">
        <v>1334</v>
      </c>
      <c r="B25777">
        <f>HYPERLINK("https://android.googlesource.com/platform/cts/+/9add87488a153d2c18bdcd1b42b09d893dedfcbd", "9add87488a153d2c18bdcd1b42b09d893dedfcbd")</f>
        <v>0</v>
      </c>
      <c r="C25777">
        <f>HYPERLINK("https://android.googlesource.com/platform/cts/+/229afe3d739e3aa68893134024a860705375870b", "229afe3d739e3aa68893134024a860705375870b")</f>
        <v>0</v>
      </c>
      <c r="D25777" t="s">
        <v>5122</v>
      </c>
      <c r="E25777" t="s">
        <v>7106</v>
      </c>
      <c r="F25777" t="s">
        <v>12419</v>
      </c>
      <c r="G25777" t="s">
        <v>16641</v>
      </c>
      <c r="H25777" t="s">
        <v>28400</v>
      </c>
    </row>
    <row r="25778" spans="1:8">
      <c r="A25778" t="s">
        <v>1335</v>
      </c>
      <c r="B25778">
        <f>HYPERLINK("https://android.googlesource.com/platform/cts/+/b08615e2a82d34e9d30b5878c103ce5098eac2a9", "b08615e2a82d34e9d30b5878c103ce5098eac2a9")</f>
        <v>0</v>
      </c>
      <c r="C25778">
        <f>HYPERLINK("https://android.googlesource.com/platform/cts/+/68a73ec79d2dabf69b83f4e16239989f2833693c", "68a73ec79d2dabf69b83f4e16239989f2833693c")</f>
        <v>0</v>
      </c>
      <c r="D25778" t="s">
        <v>4986</v>
      </c>
      <c r="E25778" t="s">
        <v>7107</v>
      </c>
      <c r="F25778" t="s">
        <v>13164</v>
      </c>
      <c r="G25778" t="s">
        <v>17314</v>
      </c>
      <c r="H25778" t="s">
        <v>28393</v>
      </c>
    </row>
    <row r="25779" spans="1:8">
      <c r="H25779" t="s">
        <v>28394</v>
      </c>
    </row>
    <row r="25780" spans="1:8">
      <c r="H25780" t="s">
        <v>28395</v>
      </c>
    </row>
    <row r="25781" spans="1:8">
      <c r="H25781" t="s">
        <v>28396</v>
      </c>
    </row>
    <row r="25782" spans="1:8">
      <c r="A25782" t="s">
        <v>1336</v>
      </c>
      <c r="B25782">
        <f>HYPERLINK("https://android.googlesource.com/platform/cts/+/a0c06bf4366b220f2dcce0cfbeaa1c7a6404371d", "a0c06bf4366b220f2dcce0cfbeaa1c7a6404371d")</f>
        <v>0</v>
      </c>
      <c r="C25782">
        <f>HYPERLINK("https://android.googlesource.com/platform/cts/+/50d641d9ce7db1f7f7b7c2c945525026d8f07e1c", "50d641d9ce7db1f7f7b7c2c945525026d8f07e1c")</f>
        <v>0</v>
      </c>
      <c r="D25782" t="s">
        <v>5179</v>
      </c>
      <c r="E25782" t="s">
        <v>7108</v>
      </c>
      <c r="F25782" t="s">
        <v>12969</v>
      </c>
      <c r="G25782" t="s">
        <v>17316</v>
      </c>
      <c r="H25782" t="s">
        <v>28401</v>
      </c>
    </row>
    <row r="25783" spans="1:8">
      <c r="H25783" t="s">
        <v>18829</v>
      </c>
    </row>
    <row r="25784" spans="1:8">
      <c r="H25784" t="s">
        <v>28402</v>
      </c>
    </row>
    <row r="25785" spans="1:8">
      <c r="A25785" t="s">
        <v>1337</v>
      </c>
      <c r="B25785">
        <f>HYPERLINK("https://android.googlesource.com/platform/cts/+/048475048be8820e538e1dffc3b0e06468d97969", "048475048be8820e538e1dffc3b0e06468d97969")</f>
        <v>0</v>
      </c>
      <c r="C25785">
        <f>HYPERLINK("https://android.googlesource.com/platform/cts/+/e3eee99b576e4418ccfcd172b9a989fc79d683f4", "e3eee99b576e4418ccfcd172b9a989fc79d683f4")</f>
        <v>0</v>
      </c>
      <c r="D25785" t="s">
        <v>5019</v>
      </c>
      <c r="E25785" t="s">
        <v>7109</v>
      </c>
      <c r="F25785" t="s">
        <v>13166</v>
      </c>
      <c r="G25785" t="s">
        <v>17317</v>
      </c>
      <c r="H25785" t="s">
        <v>28403</v>
      </c>
    </row>
    <row r="25786" spans="1:8">
      <c r="A25786" t="s">
        <v>1338</v>
      </c>
      <c r="B25786">
        <f>HYPERLINK("https://android.googlesource.com/platform/cts/+/181571db8be69346bc31e443ee31ae1c12269fd5", "181571db8be69346bc31e443ee31ae1c12269fd5")</f>
        <v>0</v>
      </c>
      <c r="C25786">
        <f>HYPERLINK("https://android.googlesource.com/platform/cts/+/fa7ffbbd61315c849834f00e49517f25af9db1a7", "fa7ffbbd61315c849834f00e49517f25af9db1a7")</f>
        <v>0</v>
      </c>
      <c r="D25786" t="s">
        <v>5191</v>
      </c>
      <c r="E25786" t="s">
        <v>7110</v>
      </c>
      <c r="F25786" t="s">
        <v>13167</v>
      </c>
      <c r="G25786" t="s">
        <v>16845</v>
      </c>
      <c r="H25786" t="s">
        <v>18863</v>
      </c>
    </row>
    <row r="25787" spans="1:8">
      <c r="A25787" t="s">
        <v>1339</v>
      </c>
      <c r="B25787">
        <f>HYPERLINK("https://android.googlesource.com/platform/cts/+/a31bbcbe0ea164da7441d59586b4ec0acf47fb65", "a31bbcbe0ea164da7441d59586b4ec0acf47fb65")</f>
        <v>0</v>
      </c>
      <c r="C25787">
        <f>HYPERLINK("https://android.googlesource.com/platform/cts/+/c49577f658a04fdf9f441b4b5cba145a9c716533", "c49577f658a04fdf9f441b4b5cba145a9c716533")</f>
        <v>0</v>
      </c>
      <c r="D25787" t="s">
        <v>5192</v>
      </c>
      <c r="E25787" t="s">
        <v>7111</v>
      </c>
      <c r="F25787" t="s">
        <v>13168</v>
      </c>
      <c r="G25787" t="s">
        <v>15071</v>
      </c>
      <c r="H25787" t="s">
        <v>28404</v>
      </c>
    </row>
    <row r="25788" spans="1:8">
      <c r="A25788" t="s">
        <v>1340</v>
      </c>
      <c r="B25788">
        <f>HYPERLINK("https://android.googlesource.com/platform/cts/+/21d2b0f9ffe0085edd2882d5e10d2069b5d7af13", "21d2b0f9ffe0085edd2882d5e10d2069b5d7af13")</f>
        <v>0</v>
      </c>
      <c r="C25788">
        <f>HYPERLINK("https://android.googlesource.com/platform/cts/+/e63db3ba06062b65b6b97737737e5be3114cf265", "e63db3ba06062b65b6b97737737e5be3114cf265")</f>
        <v>0</v>
      </c>
      <c r="D25788" t="s">
        <v>5193</v>
      </c>
      <c r="E25788" t="s">
        <v>7112</v>
      </c>
      <c r="F25788" t="s">
        <v>13168</v>
      </c>
      <c r="G25788" t="s">
        <v>15071</v>
      </c>
      <c r="H25788" t="s">
        <v>28405</v>
      </c>
    </row>
    <row r="25789" spans="1:8">
      <c r="A25789" t="s">
        <v>1341</v>
      </c>
      <c r="B25789">
        <f>HYPERLINK("https://android.googlesource.com/platform/cts/+/391b7662497f86bc38c0104282795eb6b74d79b5", "391b7662497f86bc38c0104282795eb6b74d79b5")</f>
        <v>0</v>
      </c>
      <c r="C25789">
        <f>HYPERLINK("https://android.googlesource.com/platform/cts/+/838061500a278383552e8e26f2addac4c1e9215a", "838061500a278383552e8e26f2addac4c1e9215a")</f>
        <v>0</v>
      </c>
      <c r="D25789" t="s">
        <v>5115</v>
      </c>
      <c r="E25789" t="s">
        <v>7113</v>
      </c>
      <c r="F25789" t="s">
        <v>12715</v>
      </c>
      <c r="G25789" t="s">
        <v>15144</v>
      </c>
      <c r="H25789" t="s">
        <v>25497</v>
      </c>
    </row>
    <row r="25790" spans="1:8">
      <c r="H25790" t="s">
        <v>20244</v>
      </c>
    </row>
    <row r="25791" spans="1:8">
      <c r="H25791" t="s">
        <v>28406</v>
      </c>
    </row>
    <row r="25792" spans="1:8">
      <c r="A25792" t="s">
        <v>1342</v>
      </c>
      <c r="B25792">
        <f>HYPERLINK("https://android.googlesource.com/platform/cts/+/384e10f51994798cf22ccc6e81c6c43ca0be4c4a", "384e10f51994798cf22ccc6e81c6c43ca0be4c4a")</f>
        <v>0</v>
      </c>
      <c r="C25792">
        <f>HYPERLINK("https://android.googlesource.com/platform/cts/+/248420dcbf65c1e279eac73db06b1841901877d6", "248420dcbf65c1e279eac73db06b1841901877d6")</f>
        <v>0</v>
      </c>
      <c r="D25792" t="s">
        <v>5000</v>
      </c>
      <c r="E25792" t="s">
        <v>7114</v>
      </c>
      <c r="F25792" t="s">
        <v>13169</v>
      </c>
      <c r="G25792" t="s">
        <v>17318</v>
      </c>
      <c r="H25792" t="s">
        <v>28407</v>
      </c>
    </row>
    <row r="25793" spans="1:8">
      <c r="A25793" t="s">
        <v>1343</v>
      </c>
      <c r="B25793">
        <f>HYPERLINK("https://android.googlesource.com/platform/cts/+/fc47e20cdfdbc53af890799cbd60bc97801b4e40", "fc47e20cdfdbc53af890799cbd60bc97801b4e40")</f>
        <v>0</v>
      </c>
      <c r="C25793">
        <f>HYPERLINK("https://android.googlesource.com/platform/cts/+/02aaa0c7a1ef11fefd5f0c83f7f90ba4dd2c88be", "02aaa0c7a1ef11fefd5f0c83f7f90ba4dd2c88be")</f>
        <v>0</v>
      </c>
      <c r="D25793" t="s">
        <v>5194</v>
      </c>
      <c r="E25793" t="s">
        <v>7115</v>
      </c>
      <c r="F25793" t="s">
        <v>12647</v>
      </c>
      <c r="G25793" t="s">
        <v>16853</v>
      </c>
      <c r="H25793" t="s">
        <v>25667</v>
      </c>
    </row>
    <row r="25794" spans="1:8">
      <c r="A25794" t="s">
        <v>1344</v>
      </c>
      <c r="B25794">
        <f>HYPERLINK("https://android.googlesource.com/platform/cts/+/b495ca4d06ce0fa665638b4f77c03c6a786e11e3", "b495ca4d06ce0fa665638b4f77c03c6a786e11e3")</f>
        <v>0</v>
      </c>
      <c r="C25794">
        <f>HYPERLINK("https://android.googlesource.com/platform/cts/+/46ee8141f4f1a17fb0c2f1768e3c1e3e79e8c3e0", "46ee8141f4f1a17fb0c2f1768e3c1e3e79e8c3e0")</f>
        <v>0</v>
      </c>
      <c r="D25794" t="s">
        <v>5195</v>
      </c>
      <c r="E25794" t="s">
        <v>7116</v>
      </c>
      <c r="F25794" t="s">
        <v>12703</v>
      </c>
      <c r="G25794" t="s">
        <v>16906</v>
      </c>
      <c r="H25794" t="s">
        <v>28408</v>
      </c>
    </row>
    <row r="25795" spans="1:8">
      <c r="H25795" t="s">
        <v>28409</v>
      </c>
    </row>
    <row r="25796" spans="1:8">
      <c r="A25796" t="s">
        <v>1346</v>
      </c>
      <c r="B25796">
        <f>HYPERLINK("https://android.googlesource.com/platform/cts/+/bdb3f8fa73e225b08b6b23f1d15e24e6307d0fe6", "bdb3f8fa73e225b08b6b23f1d15e24e6307d0fe6")</f>
        <v>0</v>
      </c>
      <c r="C25796">
        <f>HYPERLINK("https://android.googlesource.com/platform/cts/+/c907604e98f78cd50cebd1a6f6125973a84e0948", "c907604e98f78cd50cebd1a6f6125973a84e0948")</f>
        <v>0</v>
      </c>
      <c r="D25796" t="s">
        <v>5197</v>
      </c>
      <c r="E25796" t="s">
        <v>7117</v>
      </c>
      <c r="F25796" t="s">
        <v>13170</v>
      </c>
      <c r="G25796" t="s">
        <v>17319</v>
      </c>
      <c r="H25796" t="s">
        <v>28410</v>
      </c>
    </row>
    <row r="25797" spans="1:8">
      <c r="A25797" t="s">
        <v>1347</v>
      </c>
      <c r="B25797">
        <f>HYPERLINK("https://android.googlesource.com/platform/cts/+/1cf5c9afda9d3ed2c5f85f6040633932a0325630", "1cf5c9afda9d3ed2c5f85f6040633932a0325630")</f>
        <v>0</v>
      </c>
      <c r="C25797">
        <f>HYPERLINK("https://android.googlesource.com/platform/cts/+/d2c04c8a8a1c6d9a177aef91895f9c88dee5fd69", "d2c04c8a8a1c6d9a177aef91895f9c88dee5fd69")</f>
        <v>0</v>
      </c>
      <c r="D25797" t="s">
        <v>5156</v>
      </c>
      <c r="E25797" t="s">
        <v>7118</v>
      </c>
      <c r="F25797" t="s">
        <v>13171</v>
      </c>
      <c r="G25797" t="s">
        <v>16410</v>
      </c>
      <c r="H25797" t="s">
        <v>28411</v>
      </c>
    </row>
    <row r="25798" spans="1:8">
      <c r="A25798" t="s">
        <v>1348</v>
      </c>
      <c r="B25798">
        <f>HYPERLINK("https://android.googlesource.com/platform/cts/+/b3c3c63ac070777e45a8d39a27e017a28e72b2bc", "b3c3c63ac070777e45a8d39a27e017a28e72b2bc")</f>
        <v>0</v>
      </c>
      <c r="C25798">
        <f>HYPERLINK("https://android.googlesource.com/platform/cts/+/d2c04c8a8a1c6d9a177aef91895f9c88dee5fd69", "d2c04c8a8a1c6d9a177aef91895f9c88dee5fd69")</f>
        <v>0</v>
      </c>
      <c r="D25798" t="s">
        <v>5156</v>
      </c>
      <c r="E25798" t="s">
        <v>7119</v>
      </c>
      <c r="F25798" t="s">
        <v>13171</v>
      </c>
      <c r="G25798" t="s">
        <v>16410</v>
      </c>
      <c r="H25798" t="s">
        <v>28412</v>
      </c>
    </row>
    <row r="25799" spans="1:8">
      <c r="A25799" t="s">
        <v>1349</v>
      </c>
      <c r="B25799">
        <f>HYPERLINK("https://android.googlesource.com/platform/cts/+/dd6d39740513b4814212d6c02cb10fa9e3e5d1be", "dd6d39740513b4814212d6c02cb10fa9e3e5d1be")</f>
        <v>0</v>
      </c>
      <c r="C25799">
        <f>HYPERLINK("https://android.googlesource.com/platform/cts/+/36fb37540948ab6784216c84e063064afecd2b72", "36fb37540948ab6784216c84e063064afecd2b72")</f>
        <v>0</v>
      </c>
      <c r="D25799" t="s">
        <v>5122</v>
      </c>
      <c r="E25799" t="s">
        <v>7120</v>
      </c>
      <c r="F25799" t="s">
        <v>12428</v>
      </c>
      <c r="G25799" t="s">
        <v>16619</v>
      </c>
      <c r="H25799" t="s">
        <v>28413</v>
      </c>
    </row>
    <row r="25800" spans="1:8">
      <c r="H25800" t="s">
        <v>28414</v>
      </c>
    </row>
    <row r="25801" spans="1:8">
      <c r="A25801" t="s">
        <v>1350</v>
      </c>
      <c r="B25801">
        <f>HYPERLINK("https://android.googlesource.com/platform/cts/+/7b1462fa47277d2451dd45a8f8d9116e06509102", "7b1462fa47277d2451dd45a8f8d9116e06509102")</f>
        <v>0</v>
      </c>
      <c r="C25801">
        <f>HYPERLINK("https://android.googlesource.com/platform/cts/+/b080702ad7f5e61e3793cc4335e55b6bec128975", "b080702ad7f5e61e3793cc4335e55b6bec128975")</f>
        <v>0</v>
      </c>
      <c r="D25801" t="s">
        <v>5191</v>
      </c>
      <c r="E25801" t="s">
        <v>7121</v>
      </c>
      <c r="F25801" t="s">
        <v>13172</v>
      </c>
      <c r="G25801" t="s">
        <v>17320</v>
      </c>
      <c r="H25801" t="s">
        <v>28415</v>
      </c>
    </row>
    <row r="25802" spans="1:8">
      <c r="H25802" t="s">
        <v>28416</v>
      </c>
    </row>
    <row r="25803" spans="1:8">
      <c r="A25803" t="s">
        <v>1351</v>
      </c>
      <c r="B25803">
        <f>HYPERLINK("https://android.googlesource.com/platform/cts/+/4637c8a2e6eae35cf7991e5e8ef84a2793dacf20", "4637c8a2e6eae35cf7991e5e8ef84a2793dacf20")</f>
        <v>0</v>
      </c>
      <c r="C25803">
        <f>HYPERLINK("https://android.googlesource.com/platform/cts/+/1a9df8652c87f94d4ecab7e6e98c9c2b6d475afb", "1a9df8652c87f94d4ecab7e6e98c9c2b6d475afb")</f>
        <v>0</v>
      </c>
      <c r="D25803" t="s">
        <v>4986</v>
      </c>
      <c r="E25803" t="s">
        <v>7122</v>
      </c>
      <c r="F25803" t="s">
        <v>13095</v>
      </c>
      <c r="G25803" t="s">
        <v>17257</v>
      </c>
      <c r="H25803" t="s">
        <v>28417</v>
      </c>
    </row>
    <row r="25804" spans="1:8">
      <c r="H25804" t="s">
        <v>28418</v>
      </c>
    </row>
    <row r="25805" spans="1:8">
      <c r="H25805" t="s">
        <v>28419</v>
      </c>
    </row>
    <row r="25806" spans="1:8">
      <c r="H25806" t="s">
        <v>28420</v>
      </c>
    </row>
    <row r="25807" spans="1:8">
      <c r="H25807" t="s">
        <v>21194</v>
      </c>
    </row>
    <row r="25808" spans="1:8">
      <c r="A25808" t="s">
        <v>1352</v>
      </c>
      <c r="B25808">
        <f>HYPERLINK("https://android.googlesource.com/platform/cts/+/9a71b9b416f3d1e10e60e8b4ff1a9c248c98e418", "9a71b9b416f3d1e10e60e8b4ff1a9c248c98e418")</f>
        <v>0</v>
      </c>
      <c r="C25808">
        <f>HYPERLINK("https://android.googlesource.com/platform/cts/+/71397289505aeec5f2dd9f4ab83086a1dd155633", "71397289505aeec5f2dd9f4ab83086a1dd155633")</f>
        <v>0</v>
      </c>
      <c r="D25808" t="s">
        <v>5029</v>
      </c>
      <c r="E25808" t="s">
        <v>7123</v>
      </c>
      <c r="F25808" t="s">
        <v>10675</v>
      </c>
      <c r="G25808" t="s">
        <v>15075</v>
      </c>
      <c r="H25808" t="s">
        <v>28421</v>
      </c>
    </row>
    <row r="25809" spans="1:8">
      <c r="A25809" t="s">
        <v>1353</v>
      </c>
      <c r="B25809">
        <f>HYPERLINK("https://android.googlesource.com/platform/cts/+/76d27ce7c94d7559716fa779051f3cdc1af488b0", "76d27ce7c94d7559716fa779051f3cdc1af488b0")</f>
        <v>0</v>
      </c>
      <c r="C25809">
        <f>HYPERLINK("https://android.googlesource.com/platform/cts/+/2d3020b24fbc9db60e3fc94a075a9dce0ff9d4d6", "2d3020b24fbc9db60e3fc94a075a9dce0ff9d4d6")</f>
        <v>0</v>
      </c>
      <c r="D25809" t="s">
        <v>5127</v>
      </c>
      <c r="E25809" t="s">
        <v>7124</v>
      </c>
      <c r="F25809" t="s">
        <v>13173</v>
      </c>
      <c r="G25809" t="s">
        <v>17321</v>
      </c>
      <c r="H25809" t="s">
        <v>18829</v>
      </c>
    </row>
    <row r="25810" spans="1:8">
      <c r="H25810" t="s">
        <v>18863</v>
      </c>
    </row>
    <row r="25811" spans="1:8">
      <c r="H25811" t="s">
        <v>28422</v>
      </c>
    </row>
    <row r="25812" spans="1:8">
      <c r="H25812" t="s">
        <v>28423</v>
      </c>
    </row>
    <row r="25813" spans="1:8">
      <c r="H25813" t="s">
        <v>28424</v>
      </c>
    </row>
    <row r="25814" spans="1:8">
      <c r="H25814" t="s">
        <v>28425</v>
      </c>
    </row>
    <row r="25815" spans="1:8">
      <c r="H25815" t="s">
        <v>28426</v>
      </c>
    </row>
    <row r="25816" spans="1:8">
      <c r="H25816" t="s">
        <v>28427</v>
      </c>
    </row>
    <row r="25817" spans="1:8">
      <c r="H25817" t="s">
        <v>28428</v>
      </c>
    </row>
    <row r="25818" spans="1:8">
      <c r="H25818" t="s">
        <v>18896</v>
      </c>
    </row>
    <row r="25819" spans="1:8">
      <c r="F25819" t="s">
        <v>12629</v>
      </c>
      <c r="G25819" t="s">
        <v>16838</v>
      </c>
      <c r="H25819" t="s">
        <v>28429</v>
      </c>
    </row>
    <row r="25820" spans="1:8">
      <c r="A25820" t="s">
        <v>1354</v>
      </c>
      <c r="B25820">
        <f>HYPERLINK("https://android.googlesource.com/platform/cts/+/547798b36723c4f3c85f404133d316dd57039ce4", "547798b36723c4f3c85f404133d316dd57039ce4")</f>
        <v>0</v>
      </c>
      <c r="C25820">
        <f>HYPERLINK("https://android.googlesource.com/platform/cts/+/0888c63949b5f310bf46a38e3b4819ca9dc31304", "0888c63949b5f310bf46a38e3b4819ca9dc31304")</f>
        <v>0</v>
      </c>
      <c r="D25820" t="s">
        <v>5146</v>
      </c>
      <c r="E25820" t="s">
        <v>7125</v>
      </c>
      <c r="F25820" t="s">
        <v>12821</v>
      </c>
      <c r="G25820" t="s">
        <v>17000</v>
      </c>
      <c r="H25820" t="s">
        <v>28430</v>
      </c>
    </row>
    <row r="25821" spans="1:8">
      <c r="H25821" t="s">
        <v>28431</v>
      </c>
    </row>
    <row r="25822" spans="1:8">
      <c r="H25822" t="s">
        <v>28432</v>
      </c>
    </row>
    <row r="25823" spans="1:8">
      <c r="H25823" t="s">
        <v>28433</v>
      </c>
    </row>
    <row r="25824" spans="1:8">
      <c r="A25824" t="s">
        <v>1355</v>
      </c>
      <c r="B25824">
        <f>HYPERLINK("https://android.googlesource.com/platform/cts/+/483ab8e405360430b806b04aee51fedc32c4a34f", "483ab8e405360430b806b04aee51fedc32c4a34f")</f>
        <v>0</v>
      </c>
      <c r="C25824">
        <f>HYPERLINK("https://android.googlesource.com/platform/cts/+/00d2bbc0310e81973f5a9e9f37d3159ee3361c91", "00d2bbc0310e81973f5a9e9f37d3159ee3361c91")</f>
        <v>0</v>
      </c>
      <c r="D25824" t="s">
        <v>5198</v>
      </c>
      <c r="E25824" t="s">
        <v>7126</v>
      </c>
      <c r="F25824" t="s">
        <v>10668</v>
      </c>
      <c r="G25824" t="s">
        <v>15069</v>
      </c>
      <c r="H25824" t="s">
        <v>28434</v>
      </c>
    </row>
    <row r="25825" spans="1:8">
      <c r="A25825" t="s">
        <v>1356</v>
      </c>
      <c r="B25825">
        <f>HYPERLINK("https://android.googlesource.com/platform/cts/+/2fbc4fb2fec3bd955d6933feb5d4d63e357bc55b", "2fbc4fb2fec3bd955d6933feb5d4d63e357bc55b")</f>
        <v>0</v>
      </c>
      <c r="C25825">
        <f>HYPERLINK("https://android.googlesource.com/platform/cts/+/a57f7aacff3602f8a26ca01e300cf3a6965adcf3", "a57f7aacff3602f8a26ca01e300cf3a6965adcf3")</f>
        <v>0</v>
      </c>
      <c r="D25825" t="s">
        <v>5002</v>
      </c>
      <c r="E25825" t="s">
        <v>7127</v>
      </c>
      <c r="F25825" t="s">
        <v>12251</v>
      </c>
      <c r="G25825" t="s">
        <v>16482</v>
      </c>
      <c r="H25825" t="s">
        <v>28435</v>
      </c>
    </row>
    <row r="25826" spans="1:8">
      <c r="H25826" t="s">
        <v>19957</v>
      </c>
    </row>
    <row r="25827" spans="1:8">
      <c r="F25827" t="s">
        <v>12252</v>
      </c>
      <c r="G25827" t="s">
        <v>16483</v>
      </c>
      <c r="H25827" t="s">
        <v>25060</v>
      </c>
    </row>
    <row r="25828" spans="1:8">
      <c r="H25828" t="s">
        <v>25061</v>
      </c>
    </row>
    <row r="25829" spans="1:8">
      <c r="H25829" t="s">
        <v>25062</v>
      </c>
    </row>
    <row r="25830" spans="1:8">
      <c r="F25830" t="s">
        <v>13174</v>
      </c>
      <c r="G25830" t="s">
        <v>14991</v>
      </c>
      <c r="H25830" t="s">
        <v>19364</v>
      </c>
    </row>
    <row r="25831" spans="1:8">
      <c r="H25831" t="s">
        <v>18931</v>
      </c>
    </row>
    <row r="25832" spans="1:8">
      <c r="H25832" t="s">
        <v>28436</v>
      </c>
    </row>
    <row r="25833" spans="1:8">
      <c r="H25833" t="s">
        <v>25728</v>
      </c>
    </row>
    <row r="25834" spans="1:8">
      <c r="F25834" t="s">
        <v>13175</v>
      </c>
      <c r="G25834" t="s">
        <v>14992</v>
      </c>
      <c r="H25834" t="s">
        <v>18924</v>
      </c>
    </row>
    <row r="25835" spans="1:8">
      <c r="H25835" t="s">
        <v>18931</v>
      </c>
    </row>
    <row r="25836" spans="1:8">
      <c r="H25836" t="s">
        <v>18961</v>
      </c>
    </row>
    <row r="25837" spans="1:8">
      <c r="H25837" t="s">
        <v>19230</v>
      </c>
    </row>
    <row r="25838" spans="1:8">
      <c r="H25838" t="s">
        <v>25728</v>
      </c>
    </row>
    <row r="25839" spans="1:8">
      <c r="H25839" t="s">
        <v>28078</v>
      </c>
    </row>
    <row r="25840" spans="1:8">
      <c r="F25840" t="s">
        <v>13176</v>
      </c>
      <c r="G25840" t="s">
        <v>16810</v>
      </c>
      <c r="H25840" t="s">
        <v>19740</v>
      </c>
    </row>
    <row r="25841" spans="1:8">
      <c r="H25841" t="s">
        <v>28437</v>
      </c>
    </row>
    <row r="25842" spans="1:8">
      <c r="H25842" t="s">
        <v>28438</v>
      </c>
    </row>
    <row r="25843" spans="1:8">
      <c r="H25843" t="s">
        <v>28439</v>
      </c>
    </row>
    <row r="25844" spans="1:8">
      <c r="F25844" t="s">
        <v>13177</v>
      </c>
      <c r="G25844" t="s">
        <v>14995</v>
      </c>
      <c r="H25844" t="s">
        <v>18960</v>
      </c>
    </row>
    <row r="25845" spans="1:8">
      <c r="H25845" t="s">
        <v>18931</v>
      </c>
    </row>
    <row r="25846" spans="1:8">
      <c r="H25846" t="s">
        <v>28440</v>
      </c>
    </row>
    <row r="25847" spans="1:8">
      <c r="H25847" t="s">
        <v>28441</v>
      </c>
    </row>
    <row r="25848" spans="1:8">
      <c r="H25848" t="s">
        <v>28442</v>
      </c>
    </row>
    <row r="25849" spans="1:8">
      <c r="H25849" t="s">
        <v>28443</v>
      </c>
    </row>
    <row r="25850" spans="1:8">
      <c r="H25850" t="s">
        <v>28444</v>
      </c>
    </row>
    <row r="25851" spans="1:8">
      <c r="H25851" t="s">
        <v>28445</v>
      </c>
    </row>
    <row r="25852" spans="1:8">
      <c r="H25852" t="s">
        <v>25728</v>
      </c>
    </row>
    <row r="25853" spans="1:8">
      <c r="H25853" t="s">
        <v>28078</v>
      </c>
    </row>
    <row r="25854" spans="1:8">
      <c r="A25854" t="s">
        <v>1357</v>
      </c>
      <c r="B25854">
        <f>HYPERLINK("https://android.googlesource.com/platform/cts/+/8ab04d76cdd0b3c57ea2b94f9819c5ba1dc35525", "8ab04d76cdd0b3c57ea2b94f9819c5ba1dc35525")</f>
        <v>0</v>
      </c>
      <c r="C25854">
        <f>HYPERLINK("https://android.googlesource.com/platform/cts/+/69f13316b8c6b44e6f14593db351d9a2d878e338", "69f13316b8c6b44e6f14593db351d9a2d878e338")</f>
        <v>0</v>
      </c>
      <c r="D25854" t="s">
        <v>5021</v>
      </c>
      <c r="E25854" t="s">
        <v>7128</v>
      </c>
      <c r="F25854" t="s">
        <v>12251</v>
      </c>
      <c r="G25854" t="s">
        <v>16482</v>
      </c>
      <c r="H25854" t="s">
        <v>28435</v>
      </c>
    </row>
    <row r="25855" spans="1:8">
      <c r="H25855" t="s">
        <v>19957</v>
      </c>
    </row>
    <row r="25856" spans="1:8">
      <c r="F25856" t="s">
        <v>12252</v>
      </c>
      <c r="G25856" t="s">
        <v>16483</v>
      </c>
      <c r="H25856" t="s">
        <v>25060</v>
      </c>
    </row>
    <row r="25857" spans="6:8">
      <c r="H25857" t="s">
        <v>25061</v>
      </c>
    </row>
    <row r="25858" spans="6:8">
      <c r="H25858" t="s">
        <v>25062</v>
      </c>
    </row>
    <row r="25859" spans="6:8">
      <c r="F25859" t="s">
        <v>13174</v>
      </c>
      <c r="G25859" t="s">
        <v>14991</v>
      </c>
      <c r="H25859" t="s">
        <v>19364</v>
      </c>
    </row>
    <row r="25860" spans="6:8">
      <c r="H25860" t="s">
        <v>18931</v>
      </c>
    </row>
    <row r="25861" spans="6:8">
      <c r="H25861" t="s">
        <v>28436</v>
      </c>
    </row>
    <row r="25862" spans="6:8">
      <c r="H25862" t="s">
        <v>25728</v>
      </c>
    </row>
    <row r="25863" spans="6:8">
      <c r="F25863" t="s">
        <v>13175</v>
      </c>
      <c r="G25863" t="s">
        <v>14992</v>
      </c>
      <c r="H25863" t="s">
        <v>18924</v>
      </c>
    </row>
    <row r="25864" spans="6:8">
      <c r="H25864" t="s">
        <v>18931</v>
      </c>
    </row>
    <row r="25865" spans="6:8">
      <c r="H25865" t="s">
        <v>18961</v>
      </c>
    </row>
    <row r="25866" spans="6:8">
      <c r="H25866" t="s">
        <v>19230</v>
      </c>
    </row>
    <row r="25867" spans="6:8">
      <c r="H25867" t="s">
        <v>25728</v>
      </c>
    </row>
    <row r="25868" spans="6:8">
      <c r="H25868" t="s">
        <v>28078</v>
      </c>
    </row>
    <row r="25869" spans="6:8">
      <c r="F25869" t="s">
        <v>13176</v>
      </c>
      <c r="G25869" t="s">
        <v>16810</v>
      </c>
      <c r="H25869" t="s">
        <v>19740</v>
      </c>
    </row>
    <row r="25870" spans="6:8">
      <c r="H25870" t="s">
        <v>28437</v>
      </c>
    </row>
    <row r="25871" spans="6:8">
      <c r="H25871" t="s">
        <v>28438</v>
      </c>
    </row>
    <row r="25872" spans="6:8">
      <c r="H25872" t="s">
        <v>28439</v>
      </c>
    </row>
    <row r="25873" spans="1:8">
      <c r="F25873" t="s">
        <v>13177</v>
      </c>
      <c r="G25873" t="s">
        <v>14995</v>
      </c>
      <c r="H25873" t="s">
        <v>18960</v>
      </c>
    </row>
    <row r="25874" spans="1:8">
      <c r="H25874" t="s">
        <v>18931</v>
      </c>
    </row>
    <row r="25875" spans="1:8">
      <c r="H25875" t="s">
        <v>28440</v>
      </c>
    </row>
    <row r="25876" spans="1:8">
      <c r="H25876" t="s">
        <v>28441</v>
      </c>
    </row>
    <row r="25877" spans="1:8">
      <c r="H25877" t="s">
        <v>28442</v>
      </c>
    </row>
    <row r="25878" spans="1:8">
      <c r="H25878" t="s">
        <v>28443</v>
      </c>
    </row>
    <row r="25879" spans="1:8">
      <c r="H25879" t="s">
        <v>28444</v>
      </c>
    </row>
    <row r="25880" spans="1:8">
      <c r="H25880" t="s">
        <v>28445</v>
      </c>
    </row>
    <row r="25881" spans="1:8">
      <c r="H25881" t="s">
        <v>25728</v>
      </c>
    </row>
    <row r="25882" spans="1:8">
      <c r="H25882" t="s">
        <v>28078</v>
      </c>
    </row>
    <row r="25883" spans="1:8">
      <c r="A25883" t="s">
        <v>1358</v>
      </c>
      <c r="B25883">
        <f>HYPERLINK("https://android.googlesource.com/platform/cts/+/e7356ae25d3ed813a5d2c318889d6c4284e19168", "e7356ae25d3ed813a5d2c318889d6c4284e19168")</f>
        <v>0</v>
      </c>
      <c r="C25883">
        <f>HYPERLINK("https://android.googlesource.com/platform/cts/+/432ab07ffb19145e38925e1506a958101694cd1e", "432ab07ffb19145e38925e1506a958101694cd1e")</f>
        <v>0</v>
      </c>
      <c r="D25883" t="s">
        <v>5199</v>
      </c>
      <c r="E25883" t="s">
        <v>7129</v>
      </c>
      <c r="F25883" t="s">
        <v>10593</v>
      </c>
      <c r="G25883" t="s">
        <v>14996</v>
      </c>
      <c r="H25883" t="s">
        <v>28446</v>
      </c>
    </row>
    <row r="25884" spans="1:8">
      <c r="A25884" t="s">
        <v>1359</v>
      </c>
      <c r="B25884">
        <f>HYPERLINK("https://android.googlesource.com/platform/cts/+/b15da1e1d851994fd4fde3665349ed43ac27d5f4", "b15da1e1d851994fd4fde3665349ed43ac27d5f4")</f>
        <v>0</v>
      </c>
      <c r="C25884">
        <f>HYPERLINK("https://android.googlesource.com/platform/cts/+/b7f33fffee58de858e2da2c769f21dcf79a7f0f3", "b7f33fffee58de858e2da2c769f21dcf79a7f0f3")</f>
        <v>0</v>
      </c>
      <c r="D25884" t="s">
        <v>5115</v>
      </c>
      <c r="E25884" t="s">
        <v>7130</v>
      </c>
      <c r="F25884" t="s">
        <v>13178</v>
      </c>
      <c r="G25884" t="s">
        <v>17322</v>
      </c>
      <c r="H25884" t="s">
        <v>26112</v>
      </c>
    </row>
    <row r="25885" spans="1:8">
      <c r="H25885" t="s">
        <v>26113</v>
      </c>
    </row>
    <row r="25886" spans="1:8">
      <c r="A25886" t="s">
        <v>1360</v>
      </c>
      <c r="B25886">
        <f>HYPERLINK("https://android.googlesource.com/platform/cts/+/788fa2593127d294d51b78eea57f2f09279b9628", "788fa2593127d294d51b78eea57f2f09279b9628")</f>
        <v>0</v>
      </c>
      <c r="C25886">
        <f>HYPERLINK("https://android.googlesource.com/platform/cts/+/44135355ace2cba95b4bade9e0e1f7db6d63fe5e", "44135355ace2cba95b4bade9e0e1f7db6d63fe5e")</f>
        <v>0</v>
      </c>
      <c r="D25886" t="s">
        <v>5191</v>
      </c>
      <c r="E25886" t="s">
        <v>7131</v>
      </c>
      <c r="F25886" t="s">
        <v>12634</v>
      </c>
      <c r="G25886" t="s">
        <v>16843</v>
      </c>
      <c r="H25886" t="s">
        <v>28127</v>
      </c>
    </row>
    <row r="25887" spans="1:8">
      <c r="A25887" t="s">
        <v>1361</v>
      </c>
      <c r="B25887">
        <f>HYPERLINK("https://android.googlesource.com/platform/cts/+/d6a150c16597a035d34a13e5f19dde88270e2489", "d6a150c16597a035d34a13e5f19dde88270e2489")</f>
        <v>0</v>
      </c>
      <c r="C25887">
        <f>HYPERLINK("https://android.googlesource.com/platform/cts/+/ce2b45acebf16f975b897dc1ec6cb45c1efe9738", "ce2b45acebf16f975b897dc1ec6cb45c1efe9738")</f>
        <v>0</v>
      </c>
      <c r="D25887" t="s">
        <v>4974</v>
      </c>
      <c r="E25887" t="s">
        <v>7132</v>
      </c>
      <c r="F25887" t="s">
        <v>13134</v>
      </c>
      <c r="G25887" t="s">
        <v>17292</v>
      </c>
      <c r="H25887" t="s">
        <v>28447</v>
      </c>
    </row>
    <row r="25888" spans="1:8">
      <c r="A25888" t="s">
        <v>1362</v>
      </c>
      <c r="B25888">
        <f>HYPERLINK("https://android.googlesource.com/platform/cts/+/58cdefa1792732ae895078450f76b53f861140c1", "58cdefa1792732ae895078450f76b53f861140c1")</f>
        <v>0</v>
      </c>
      <c r="C25888">
        <f>HYPERLINK("https://android.googlesource.com/platform/cts/+/7f750fbc36a64379f6f340143b159b15af48103f", "7f750fbc36a64379f6f340143b159b15af48103f")</f>
        <v>0</v>
      </c>
      <c r="D25888" t="s">
        <v>5191</v>
      </c>
      <c r="E25888" t="s">
        <v>7133</v>
      </c>
      <c r="F25888" t="s">
        <v>13179</v>
      </c>
      <c r="G25888" t="s">
        <v>17323</v>
      </c>
      <c r="H25888" t="s">
        <v>28448</v>
      </c>
    </row>
    <row r="25889" spans="1:8">
      <c r="A25889" t="s">
        <v>1363</v>
      </c>
      <c r="B25889">
        <f>HYPERLINK("https://android.googlesource.com/platform/cts/+/05aa18486e86a8e4b86fb2895b9cc13ca6833211", "05aa18486e86a8e4b86fb2895b9cc13ca6833211")</f>
        <v>0</v>
      </c>
      <c r="C25889">
        <f>HYPERLINK("https://android.googlesource.com/platform/cts/+/10155bca429e17f424be7c3fb4498a2685cd2dd0", "10155bca429e17f424be7c3fb4498a2685cd2dd0")</f>
        <v>0</v>
      </c>
      <c r="D25889" t="s">
        <v>5183</v>
      </c>
      <c r="E25889" t="s">
        <v>7134</v>
      </c>
      <c r="F25889" t="s">
        <v>10786</v>
      </c>
      <c r="G25889" t="s">
        <v>15182</v>
      </c>
      <c r="H25889" t="s">
        <v>28449</v>
      </c>
    </row>
    <row r="25890" spans="1:8">
      <c r="A25890" t="s">
        <v>1364</v>
      </c>
      <c r="B25890">
        <f>HYPERLINK("https://android.googlesource.com/platform/cts/+/7cdf75b9b036c4a2f14a546b9ea9b8803f57e8e4", "7cdf75b9b036c4a2f14a546b9ea9b8803f57e8e4")</f>
        <v>0</v>
      </c>
      <c r="C25890">
        <f>HYPERLINK("https://android.googlesource.com/platform/cts/+/d3b60bbf30c1a99efd1576c4cb7880b1319d7565", "d3b60bbf30c1a99efd1576c4cb7880b1319d7565")</f>
        <v>0</v>
      </c>
      <c r="D25890" t="s">
        <v>5191</v>
      </c>
      <c r="E25890" t="s">
        <v>7135</v>
      </c>
      <c r="F25890" t="s">
        <v>13172</v>
      </c>
      <c r="G25890" t="s">
        <v>17320</v>
      </c>
      <c r="H25890" t="s">
        <v>28450</v>
      </c>
    </row>
    <row r="25891" spans="1:8">
      <c r="A25891" t="s">
        <v>1365</v>
      </c>
      <c r="B25891">
        <f>HYPERLINK("https://android.googlesource.com/platform/cts/+/2c01b4761a1e5f31245c9ea50d610449ff1b6f33", "2c01b4761a1e5f31245c9ea50d610449ff1b6f33")</f>
        <v>0</v>
      </c>
      <c r="C25891">
        <f>HYPERLINK("https://android.googlesource.com/platform/cts/+/d3b60bbf30c1a99efd1576c4cb7880b1319d7565", "d3b60bbf30c1a99efd1576c4cb7880b1319d7565")</f>
        <v>0</v>
      </c>
      <c r="D25891" t="s">
        <v>5144</v>
      </c>
      <c r="E25891" t="s">
        <v>7136</v>
      </c>
      <c r="F25891" t="s">
        <v>10629</v>
      </c>
      <c r="G25891" t="s">
        <v>15032</v>
      </c>
      <c r="H25891" t="s">
        <v>28451</v>
      </c>
    </row>
    <row r="25892" spans="1:8">
      <c r="H25892" t="s">
        <v>18836</v>
      </c>
    </row>
    <row r="25893" spans="1:8">
      <c r="H25893" t="s">
        <v>28452</v>
      </c>
    </row>
    <row r="25894" spans="1:8">
      <c r="H25894" t="s">
        <v>28453</v>
      </c>
    </row>
    <row r="25895" spans="1:8">
      <c r="F25895" t="s">
        <v>10597</v>
      </c>
      <c r="G25895" t="s">
        <v>15000</v>
      </c>
      <c r="H25895" t="s">
        <v>28454</v>
      </c>
    </row>
    <row r="25896" spans="1:8">
      <c r="F25896" t="s">
        <v>13180</v>
      </c>
      <c r="G25896" t="s">
        <v>17324</v>
      </c>
      <c r="H25896" t="s">
        <v>18851</v>
      </c>
    </row>
    <row r="25897" spans="1:8">
      <c r="H25897" t="s">
        <v>18853</v>
      </c>
    </row>
    <row r="25898" spans="1:8">
      <c r="F25898" t="s">
        <v>13181</v>
      </c>
      <c r="G25898" t="s">
        <v>17325</v>
      </c>
      <c r="H25898" t="s">
        <v>18836</v>
      </c>
    </row>
    <row r="25899" spans="1:8">
      <c r="H25899" t="s">
        <v>28455</v>
      </c>
    </row>
    <row r="25900" spans="1:8">
      <c r="H25900" t="s">
        <v>28456</v>
      </c>
    </row>
    <row r="25901" spans="1:8">
      <c r="H25901" t="s">
        <v>28457</v>
      </c>
    </row>
    <row r="25902" spans="1:8">
      <c r="A25902" t="s">
        <v>1366</v>
      </c>
      <c r="B25902">
        <f>HYPERLINK("https://android.googlesource.com/platform/cts/+/2c7e5170a20547c236819d56593d8b8b7d2f0f21", "2c7e5170a20547c236819d56593d8b8b7d2f0f21")</f>
        <v>0</v>
      </c>
      <c r="C25902">
        <f>HYPERLINK("https://android.googlesource.com/platform/cts/+/cf8c9298e24c5b769afe9ec7c89d888587c322e4", "cf8c9298e24c5b769afe9ec7c89d888587c322e4")</f>
        <v>0</v>
      </c>
      <c r="D25902" t="s">
        <v>5189</v>
      </c>
      <c r="E25902" t="s">
        <v>7137</v>
      </c>
      <c r="F25902" t="s">
        <v>13162</v>
      </c>
      <c r="G25902" t="s">
        <v>16987</v>
      </c>
      <c r="H25902" t="s">
        <v>28385</v>
      </c>
    </row>
    <row r="25903" spans="1:8">
      <c r="A25903" t="s">
        <v>1367</v>
      </c>
      <c r="B25903">
        <f>HYPERLINK("https://android.googlesource.com/platform/cts/+/43fa4fc329d6ba6f1d405cb7e5c46166a2bded72", "43fa4fc329d6ba6f1d405cb7e5c46166a2bded72")</f>
        <v>0</v>
      </c>
      <c r="C25903">
        <f>HYPERLINK("https://android.googlesource.com/platform/cts/+/685c0080ced6a36a0858367246d86d1ce79ff1c7", "685c0080ced6a36a0858367246d86d1ce79ff1c7")</f>
        <v>0</v>
      </c>
      <c r="D25903" t="s">
        <v>5200</v>
      </c>
      <c r="E25903" t="s">
        <v>7138</v>
      </c>
      <c r="F25903" t="s">
        <v>13182</v>
      </c>
      <c r="G25903" t="s">
        <v>17326</v>
      </c>
      <c r="H25903" t="s">
        <v>28458</v>
      </c>
    </row>
    <row r="25904" spans="1:8">
      <c r="F25904" t="s">
        <v>13183</v>
      </c>
      <c r="G25904" t="s">
        <v>17327</v>
      </c>
      <c r="H25904" t="s">
        <v>28458</v>
      </c>
    </row>
    <row r="25905" spans="1:8">
      <c r="F25905" t="s">
        <v>13184</v>
      </c>
      <c r="G25905" t="s">
        <v>17328</v>
      </c>
      <c r="H25905" t="s">
        <v>28458</v>
      </c>
    </row>
    <row r="25906" spans="1:8">
      <c r="F25906" t="s">
        <v>12893</v>
      </c>
      <c r="G25906" t="s">
        <v>17060</v>
      </c>
      <c r="H25906" t="s">
        <v>28458</v>
      </c>
    </row>
    <row r="25907" spans="1:8">
      <c r="F25907" t="s">
        <v>13185</v>
      </c>
      <c r="G25907" t="s">
        <v>17329</v>
      </c>
      <c r="H25907" t="s">
        <v>28458</v>
      </c>
    </row>
    <row r="25908" spans="1:8">
      <c r="F25908" t="s">
        <v>13186</v>
      </c>
      <c r="G25908" t="s">
        <v>17330</v>
      </c>
      <c r="H25908" t="s">
        <v>28458</v>
      </c>
    </row>
    <row r="25909" spans="1:8">
      <c r="A25909" t="s">
        <v>1368</v>
      </c>
      <c r="B25909">
        <f>HYPERLINK("https://android.googlesource.com/platform/cts/+/bad1de54cbd83f249854fd246fe8d7757399e3ca", "bad1de54cbd83f249854fd246fe8d7757399e3ca")</f>
        <v>0</v>
      </c>
      <c r="C25909">
        <f>HYPERLINK("https://android.googlesource.com/platform/cts/+/9a7e561b8e283bdf010081444d23c3646a2fdde5", "9a7e561b8e283bdf010081444d23c3646a2fdde5")</f>
        <v>0</v>
      </c>
      <c r="D25909" t="s">
        <v>5027</v>
      </c>
      <c r="E25909" t="s">
        <v>7139</v>
      </c>
      <c r="F25909" t="s">
        <v>13187</v>
      </c>
      <c r="G25909" t="s">
        <v>17331</v>
      </c>
      <c r="H25909" t="s">
        <v>28459</v>
      </c>
    </row>
    <row r="25910" spans="1:8">
      <c r="H25910" t="s">
        <v>28460</v>
      </c>
    </row>
    <row r="25911" spans="1:8">
      <c r="H25911" t="s">
        <v>28461</v>
      </c>
    </row>
    <row r="25912" spans="1:8">
      <c r="A25912" t="s">
        <v>1369</v>
      </c>
      <c r="B25912">
        <f>HYPERLINK("https://android.googlesource.com/platform/cts/+/4a7e03dd53c02838bcd766a079d065d67555cf0d", "4a7e03dd53c02838bcd766a079d065d67555cf0d")</f>
        <v>0</v>
      </c>
      <c r="C25912">
        <f>HYPERLINK("https://android.googlesource.com/platform/cts/+/6f48da44578c0cfb95b538b7ef0d90316dca725c", "6f48da44578c0cfb95b538b7ef0d90316dca725c")</f>
        <v>0</v>
      </c>
      <c r="D25912" t="s">
        <v>5062</v>
      </c>
      <c r="E25912" t="s">
        <v>7140</v>
      </c>
      <c r="F25912" t="s">
        <v>13188</v>
      </c>
      <c r="G25912" t="s">
        <v>17332</v>
      </c>
      <c r="H25912" t="s">
        <v>28462</v>
      </c>
    </row>
    <row r="25913" spans="1:8">
      <c r="F25913" t="s">
        <v>13189</v>
      </c>
      <c r="G25913" t="s">
        <v>17333</v>
      </c>
      <c r="H25913" t="s">
        <v>28462</v>
      </c>
    </row>
    <row r="25914" spans="1:8">
      <c r="A25914" t="s">
        <v>1370</v>
      </c>
      <c r="B25914">
        <f>HYPERLINK("https://android.googlesource.com/platform/cts/+/db6000bf3923b236411ae253016c40ff09d43447", "db6000bf3923b236411ae253016c40ff09d43447")</f>
        <v>0</v>
      </c>
      <c r="C25914">
        <f>HYPERLINK("https://android.googlesource.com/platform/cts/+/e91e18261e4fac8d10549a16f0b55e74b8391da0", "e91e18261e4fac8d10549a16f0b55e74b8391da0")</f>
        <v>0</v>
      </c>
      <c r="D25914" t="s">
        <v>4965</v>
      </c>
      <c r="E25914" t="s">
        <v>7141</v>
      </c>
      <c r="F25914" t="s">
        <v>13127</v>
      </c>
      <c r="G25914" t="s">
        <v>17203</v>
      </c>
      <c r="H25914" t="s">
        <v>28463</v>
      </c>
    </row>
    <row r="25915" spans="1:8">
      <c r="A25915" t="s">
        <v>1371</v>
      </c>
      <c r="B25915">
        <f>HYPERLINK("https://android.googlesource.com/platform/cts/+/c0e543b38bdb38c13644ae3f74242afdbf064e9f", "c0e543b38bdb38c13644ae3f74242afdbf064e9f")</f>
        <v>0</v>
      </c>
      <c r="C25915">
        <f>HYPERLINK("https://android.googlesource.com/platform/cts/+/1d2557c80c1202ac983f7a83e4fee476b09a8ce3", "1d2557c80c1202ac983f7a83e4fee476b09a8ce3")</f>
        <v>0</v>
      </c>
      <c r="D25915" t="s">
        <v>5176</v>
      </c>
      <c r="E25915" t="s">
        <v>7142</v>
      </c>
      <c r="F25915" t="s">
        <v>10794</v>
      </c>
      <c r="G25915" t="s">
        <v>15189</v>
      </c>
      <c r="H25915" t="s">
        <v>28464</v>
      </c>
    </row>
    <row r="25916" spans="1:8">
      <c r="A25916" t="s">
        <v>1372</v>
      </c>
      <c r="B25916">
        <f>HYPERLINK("https://android.googlesource.com/platform/cts/+/86b0dcaf2ee8e10a0f0dd6fb2cfef4c43f963422", "86b0dcaf2ee8e10a0f0dd6fb2cfef4c43f963422")</f>
        <v>0</v>
      </c>
      <c r="C25916">
        <f>HYPERLINK("https://android.googlesource.com/platform/cts/+/1ef56e7ceb48f5bd09df5a6117b69d911e3807e1", "1ef56e7ceb48f5bd09df5a6117b69d911e3807e1")</f>
        <v>0</v>
      </c>
      <c r="D25916" t="s">
        <v>5153</v>
      </c>
      <c r="E25916" t="s">
        <v>7143</v>
      </c>
      <c r="F25916" t="s">
        <v>13190</v>
      </c>
      <c r="G25916" t="s">
        <v>17334</v>
      </c>
      <c r="H25916" t="s">
        <v>28465</v>
      </c>
    </row>
    <row r="25917" spans="1:8">
      <c r="F25917" t="s">
        <v>13191</v>
      </c>
      <c r="G25917" t="s">
        <v>17334</v>
      </c>
      <c r="H25917" t="s">
        <v>28465</v>
      </c>
    </row>
    <row r="25918" spans="1:8">
      <c r="A25918" t="s">
        <v>1373</v>
      </c>
      <c r="B25918">
        <f>HYPERLINK("https://android.googlesource.com/platform/cts/+/16abb8080a2f8d1860f84b86307daec04b1892d5", "16abb8080a2f8d1860f84b86307daec04b1892d5")</f>
        <v>0</v>
      </c>
      <c r="C25918">
        <f>HYPERLINK("https://android.googlesource.com/platform/cts/+/0e4d7ecb3471414e95744a8081a28cee8022d46a", "0e4d7ecb3471414e95744a8081a28cee8022d46a")</f>
        <v>0</v>
      </c>
      <c r="D25918" t="s">
        <v>4994</v>
      </c>
      <c r="E25918" t="s">
        <v>7144</v>
      </c>
      <c r="F25918" t="s">
        <v>10625</v>
      </c>
      <c r="G25918" t="s">
        <v>15028</v>
      </c>
      <c r="H25918" t="s">
        <v>28466</v>
      </c>
    </row>
    <row r="25919" spans="1:8">
      <c r="A25919" t="s">
        <v>1374</v>
      </c>
      <c r="B25919">
        <f>HYPERLINK("https://android.googlesource.com/platform/cts/+/f629b811ccb903fa09f44c98e7241e6144e547aa", "f629b811ccb903fa09f44c98e7241e6144e547aa")</f>
        <v>0</v>
      </c>
      <c r="C25919">
        <f>HYPERLINK("https://android.googlesource.com/platform/cts/+/e0f4d275f3fb92ff866ee2ce9300b4421d73c0f2", "e0f4d275f3fb92ff866ee2ce9300b4421d73c0f2")</f>
        <v>0</v>
      </c>
      <c r="D25919" t="s">
        <v>5201</v>
      </c>
      <c r="E25919" t="s">
        <v>7145</v>
      </c>
      <c r="F25919" t="s">
        <v>10749</v>
      </c>
      <c r="G25919" t="s">
        <v>15147</v>
      </c>
      <c r="H25919" t="s">
        <v>28467</v>
      </c>
    </row>
    <row r="25920" spans="1:8">
      <c r="A25920" t="s">
        <v>1375</v>
      </c>
      <c r="B25920">
        <f>HYPERLINK("https://android.googlesource.com/platform/cts/+/0e08bccac0267a702b62ddd93d4c3940ac60f5bc", "0e08bccac0267a702b62ddd93d4c3940ac60f5bc")</f>
        <v>0</v>
      </c>
      <c r="C25920">
        <f>HYPERLINK("https://android.googlesource.com/platform/cts/+/1c8a56a335d186d554634f26ef3135ab4fe6f838", "1c8a56a335d186d554634f26ef3135ab4fe6f838")</f>
        <v>0</v>
      </c>
      <c r="D25920" t="s">
        <v>5202</v>
      </c>
      <c r="E25920" t="s">
        <v>7146</v>
      </c>
      <c r="F25920" t="s">
        <v>13192</v>
      </c>
      <c r="G25920" t="s">
        <v>17335</v>
      </c>
      <c r="H25920" t="s">
        <v>28468</v>
      </c>
    </row>
    <row r="25921" spans="1:8">
      <c r="A25921" t="s">
        <v>1376</v>
      </c>
      <c r="B25921">
        <f>HYPERLINK("https://android.googlesource.com/platform/cts/+/0348a9fafbd2d61233f9296763f6dd5185fe4a38", "0348a9fafbd2d61233f9296763f6dd5185fe4a38")</f>
        <v>0</v>
      </c>
      <c r="C25921">
        <f>HYPERLINK("https://android.googlesource.com/platform/cts/+/4d3df5adcca4369774a4cc8f7313e5097be7d30f", "4d3df5adcca4369774a4cc8f7313e5097be7d30f")</f>
        <v>0</v>
      </c>
      <c r="D25921" t="s">
        <v>5191</v>
      </c>
      <c r="E25921" t="s">
        <v>7147</v>
      </c>
      <c r="F25921" t="s">
        <v>12634</v>
      </c>
      <c r="G25921" t="s">
        <v>16843</v>
      </c>
      <c r="H25921" t="s">
        <v>28469</v>
      </c>
    </row>
    <row r="25922" spans="1:8">
      <c r="A25922" t="s">
        <v>1377</v>
      </c>
      <c r="B25922">
        <f>HYPERLINK("https://android.googlesource.com/platform/cts/+/3bb2f327a046fb1389d3c71cb2ef26baada0eb96", "3bb2f327a046fb1389d3c71cb2ef26baada0eb96")</f>
        <v>0</v>
      </c>
      <c r="C25922">
        <f>HYPERLINK("https://android.googlesource.com/platform/cts/+/ee8e5c25e7239ee42ac9f817d5a40dbf5ed9cc8b", "ee8e5c25e7239ee42ac9f817d5a40dbf5ed9cc8b")</f>
        <v>0</v>
      </c>
      <c r="D25922" t="s">
        <v>4949</v>
      </c>
      <c r="E25922" t="s">
        <v>7148</v>
      </c>
      <c r="F25922" t="s">
        <v>12879</v>
      </c>
      <c r="G25922" t="s">
        <v>17046</v>
      </c>
      <c r="H25922" t="s">
        <v>28470</v>
      </c>
    </row>
    <row r="25923" spans="1:8">
      <c r="A25923" t="s">
        <v>1378</v>
      </c>
      <c r="B25923">
        <f>HYPERLINK("https://android.googlesource.com/platform/cts/+/aef954739ac695b5e17c9b3ac281b3429a36014d", "aef954739ac695b5e17c9b3ac281b3429a36014d")</f>
        <v>0</v>
      </c>
      <c r="C25923">
        <f>HYPERLINK("https://android.googlesource.com/platform/cts/+/abe70ae7ee1768851233c37333f929752317bdd4", "abe70ae7ee1768851233c37333f929752317bdd4")</f>
        <v>0</v>
      </c>
      <c r="D25923" t="s">
        <v>5144</v>
      </c>
      <c r="E25923" t="s">
        <v>7149</v>
      </c>
      <c r="F25923" t="s">
        <v>10627</v>
      </c>
      <c r="G25923" t="s">
        <v>15030</v>
      </c>
      <c r="H25923" t="s">
        <v>28471</v>
      </c>
    </row>
    <row r="25924" spans="1:8">
      <c r="H25924" t="s">
        <v>28472</v>
      </c>
    </row>
    <row r="25925" spans="1:8">
      <c r="H25925" t="s">
        <v>28473</v>
      </c>
    </row>
    <row r="25926" spans="1:8">
      <c r="H25926" t="s">
        <v>28474</v>
      </c>
    </row>
    <row r="25927" spans="1:8">
      <c r="A25927" t="s">
        <v>1379</v>
      </c>
      <c r="B25927">
        <f>HYPERLINK("https://android.googlesource.com/platform/cts/+/f734aa60e8524882ef7664e6d574844f3803e17f", "f734aa60e8524882ef7664e6d574844f3803e17f")</f>
        <v>0</v>
      </c>
      <c r="C25927">
        <f>HYPERLINK("https://android.googlesource.com/platform/cts/+/8317906b3dd1fde437d44c320facab49c0193205", "8317906b3dd1fde437d44c320facab49c0193205")</f>
        <v>0</v>
      </c>
      <c r="D25927" t="s">
        <v>5062</v>
      </c>
      <c r="E25927" t="s">
        <v>7150</v>
      </c>
      <c r="F25927" t="s">
        <v>13193</v>
      </c>
      <c r="G25927" t="s">
        <v>17336</v>
      </c>
      <c r="H25927" t="s">
        <v>18829</v>
      </c>
    </row>
    <row r="25928" spans="1:8">
      <c r="H25928" t="s">
        <v>28475</v>
      </c>
    </row>
    <row r="25929" spans="1:8">
      <c r="F25929" t="s">
        <v>13194</v>
      </c>
      <c r="G25929" t="s">
        <v>17337</v>
      </c>
      <c r="H25929" t="s">
        <v>19267</v>
      </c>
    </row>
    <row r="25930" spans="1:8">
      <c r="H25930" t="s">
        <v>28476</v>
      </c>
    </row>
    <row r="25931" spans="1:8">
      <c r="H25931" t="s">
        <v>28477</v>
      </c>
    </row>
    <row r="25932" spans="1:8">
      <c r="H25932" t="s">
        <v>28478</v>
      </c>
    </row>
    <row r="25933" spans="1:8">
      <c r="F25933" t="s">
        <v>13195</v>
      </c>
      <c r="G25933" t="s">
        <v>17338</v>
      </c>
      <c r="H25933" t="s">
        <v>19267</v>
      </c>
    </row>
    <row r="25934" spans="1:8">
      <c r="H25934" t="s">
        <v>28479</v>
      </c>
    </row>
    <row r="25935" spans="1:8">
      <c r="H25935" t="s">
        <v>22470</v>
      </c>
    </row>
    <row r="25936" spans="1:8">
      <c r="H25936" t="s">
        <v>28480</v>
      </c>
    </row>
    <row r="25937" spans="1:8">
      <c r="H25937" t="s">
        <v>28481</v>
      </c>
    </row>
    <row r="25938" spans="1:8">
      <c r="H25938" t="s">
        <v>28482</v>
      </c>
    </row>
    <row r="25939" spans="1:8">
      <c r="H25939" t="s">
        <v>28483</v>
      </c>
    </row>
    <row r="25940" spans="1:8">
      <c r="H25940" t="s">
        <v>28484</v>
      </c>
    </row>
    <row r="25941" spans="1:8">
      <c r="H25941" t="s">
        <v>28485</v>
      </c>
    </row>
    <row r="25942" spans="1:8">
      <c r="H25942" t="s">
        <v>28486</v>
      </c>
    </row>
    <row r="25943" spans="1:8">
      <c r="H25943" t="s">
        <v>28487</v>
      </c>
    </row>
    <row r="25944" spans="1:8">
      <c r="H25944" t="s">
        <v>28478</v>
      </c>
    </row>
    <row r="25945" spans="1:8">
      <c r="F25945" t="s">
        <v>13188</v>
      </c>
      <c r="G25945" t="s">
        <v>17332</v>
      </c>
      <c r="H25945" t="s">
        <v>28488</v>
      </c>
    </row>
    <row r="25946" spans="1:8">
      <c r="H25946" t="s">
        <v>28489</v>
      </c>
    </row>
    <row r="25947" spans="1:8">
      <c r="F25947" t="s">
        <v>13189</v>
      </c>
      <c r="G25947" t="s">
        <v>17333</v>
      </c>
      <c r="H25947" t="s">
        <v>28488</v>
      </c>
    </row>
    <row r="25948" spans="1:8">
      <c r="H25948" t="s">
        <v>28489</v>
      </c>
    </row>
    <row r="25949" spans="1:8">
      <c r="F25949" t="s">
        <v>13196</v>
      </c>
      <c r="G25949" t="s">
        <v>17339</v>
      </c>
      <c r="H25949" t="s">
        <v>18829</v>
      </c>
    </row>
    <row r="25950" spans="1:8">
      <c r="H25950" t="s">
        <v>28490</v>
      </c>
    </row>
    <row r="25951" spans="1:8">
      <c r="A25951" t="s">
        <v>1380</v>
      </c>
      <c r="B25951">
        <f>HYPERLINK("https://android.googlesource.com/platform/cts/+/41b239becd25e99b18617b59854674149633bdaa", "41b239becd25e99b18617b59854674149633bdaa")</f>
        <v>0</v>
      </c>
      <c r="C25951">
        <f>HYPERLINK("https://android.googlesource.com/platform/cts/+/a2246a6b80e191a3258903c5abfe46365b71d4e0", "a2246a6b80e191a3258903c5abfe46365b71d4e0")</f>
        <v>0</v>
      </c>
      <c r="D25951" t="s">
        <v>5026</v>
      </c>
      <c r="E25951" t="s">
        <v>7151</v>
      </c>
      <c r="F25951" t="s">
        <v>12616</v>
      </c>
      <c r="G25951" t="s">
        <v>16827</v>
      </c>
      <c r="H25951" t="s">
        <v>22135</v>
      </c>
    </row>
    <row r="25952" spans="1:8">
      <c r="H25952" t="s">
        <v>22135</v>
      </c>
    </row>
    <row r="25953" spans="1:8">
      <c r="A25953" t="s">
        <v>1381</v>
      </c>
      <c r="B25953">
        <f>HYPERLINK("https://android.googlesource.com/platform/cts/+/32908a51b1d83203d997ca2602e63060f6613c3b", "32908a51b1d83203d997ca2602e63060f6613c3b")</f>
        <v>0</v>
      </c>
      <c r="C25953">
        <f>HYPERLINK("https://android.googlesource.com/platform/cts/+/9e9010d06fe77db0c33a9ba504dc4d2bc94aa20d", "9e9010d06fe77db0c33a9ba504dc4d2bc94aa20d")</f>
        <v>0</v>
      </c>
      <c r="D25953" t="s">
        <v>5055</v>
      </c>
      <c r="E25953" t="s">
        <v>7152</v>
      </c>
      <c r="F25953" t="s">
        <v>12411</v>
      </c>
      <c r="G25953" t="s">
        <v>16633</v>
      </c>
      <c r="H25953" t="s">
        <v>28491</v>
      </c>
    </row>
    <row r="25954" spans="1:8">
      <c r="A25954" t="s">
        <v>1382</v>
      </c>
      <c r="B25954">
        <f>HYPERLINK("https://android.googlesource.com/platform/cts/+/6b3c15923fab701d06ef6a0eca198b06dd0f7288", "6b3c15923fab701d06ef6a0eca198b06dd0f7288")</f>
        <v>0</v>
      </c>
      <c r="C25954">
        <f>HYPERLINK("https://android.googlesource.com/platform/cts/+/0df066684bbee8c5e2091b3c068054619b768a42", "0df066684bbee8c5e2091b3c068054619b768a42")</f>
        <v>0</v>
      </c>
      <c r="D25954" t="s">
        <v>5118</v>
      </c>
      <c r="E25954" t="s">
        <v>7153</v>
      </c>
      <c r="F25954" t="s">
        <v>13197</v>
      </c>
      <c r="G25954" t="s">
        <v>17340</v>
      </c>
      <c r="H25954" t="s">
        <v>28492</v>
      </c>
    </row>
    <row r="25955" spans="1:8">
      <c r="A25955" t="s">
        <v>1383</v>
      </c>
      <c r="B25955">
        <f>HYPERLINK("https://android.googlesource.com/platform/cts/+/79803dcae5a19213aef99ead00a5d053ceab6cde", "79803dcae5a19213aef99ead00a5d053ceab6cde")</f>
        <v>0</v>
      </c>
      <c r="C25955">
        <f>HYPERLINK("https://android.googlesource.com/platform/cts/+/db97615ea76bbfb3f018245eef599c0d13a15e53", "db97615ea76bbfb3f018245eef599c0d13a15e53")</f>
        <v>0</v>
      </c>
      <c r="D25955" t="s">
        <v>5203</v>
      </c>
      <c r="E25955" t="s">
        <v>7154</v>
      </c>
      <c r="F25955" t="s">
        <v>13165</v>
      </c>
      <c r="G25955" t="s">
        <v>17315</v>
      </c>
      <c r="H25955" t="s">
        <v>28493</v>
      </c>
    </row>
    <row r="25956" spans="1:8">
      <c r="A25956" t="s">
        <v>1384</v>
      </c>
      <c r="B25956">
        <f>HYPERLINK("https://android.googlesource.com/platform/cts/+/5ad9feddf1244892f29eaf73ad32685f383ff579", "5ad9feddf1244892f29eaf73ad32685f383ff579")</f>
        <v>0</v>
      </c>
      <c r="C25956">
        <f>HYPERLINK("https://android.googlesource.com/platform/cts/+/109ad258780a542117825a3b5236d7339b4f5e2a", "109ad258780a542117825a3b5236d7339b4f5e2a")</f>
        <v>0</v>
      </c>
      <c r="D25956" t="s">
        <v>5204</v>
      </c>
      <c r="E25956" t="s">
        <v>7155</v>
      </c>
      <c r="F25956" t="s">
        <v>12904</v>
      </c>
      <c r="G25956" t="s">
        <v>17070</v>
      </c>
      <c r="H25956" t="s">
        <v>28494</v>
      </c>
    </row>
    <row r="25957" spans="1:8">
      <c r="H25957" t="s">
        <v>28495</v>
      </c>
    </row>
    <row r="25958" spans="1:8">
      <c r="A25958" t="s">
        <v>1385</v>
      </c>
      <c r="B25958">
        <f>HYPERLINK("https://android.googlesource.com/platform/cts/+/8832678e057cd9fed36eed89ba5316b949c8b922", "8832678e057cd9fed36eed89ba5316b949c8b922")</f>
        <v>0</v>
      </c>
      <c r="C25958">
        <f>HYPERLINK("https://android.googlesource.com/platform/cts/+/23fd68a7e7dcaafd8319dd178fbecff690567e59", "23fd68a7e7dcaafd8319dd178fbecff690567e59")</f>
        <v>0</v>
      </c>
      <c r="D25958" t="s">
        <v>5062</v>
      </c>
      <c r="E25958" t="s">
        <v>7156</v>
      </c>
      <c r="F25958" t="s">
        <v>13198</v>
      </c>
      <c r="G25958" t="s">
        <v>16941</v>
      </c>
      <c r="H25958" t="s">
        <v>18863</v>
      </c>
    </row>
    <row r="25959" spans="1:8">
      <c r="H25959" t="s">
        <v>26770</v>
      </c>
    </row>
    <row r="25960" spans="1:8">
      <c r="H25960" t="s">
        <v>26771</v>
      </c>
    </row>
    <row r="25961" spans="1:8">
      <c r="F25961" t="s">
        <v>13199</v>
      </c>
      <c r="G25961" t="s">
        <v>17341</v>
      </c>
      <c r="H25961" t="s">
        <v>28496</v>
      </c>
    </row>
    <row r="25962" spans="1:8">
      <c r="A25962" t="s">
        <v>1386</v>
      </c>
      <c r="B25962">
        <f>HYPERLINK("https://android.googlesource.com/platform/cts/+/010c93a1abdd4cd50bdacacb9a5a44047e5f7a7f", "010c93a1abdd4cd50bdacacb9a5a44047e5f7a7f")</f>
        <v>0</v>
      </c>
      <c r="C25962">
        <f>HYPERLINK("https://android.googlesource.com/platform/cts/+/23fd68a7e7dcaafd8319dd178fbecff690567e59", "23fd68a7e7dcaafd8319dd178fbecff690567e59")</f>
        <v>0</v>
      </c>
      <c r="D25962" t="s">
        <v>5062</v>
      </c>
      <c r="E25962" t="s">
        <v>7157</v>
      </c>
      <c r="F25962" t="s">
        <v>13200</v>
      </c>
      <c r="G25962" t="s">
        <v>17342</v>
      </c>
      <c r="H25962" t="s">
        <v>28497</v>
      </c>
    </row>
    <row r="25963" spans="1:8">
      <c r="F25963" t="s">
        <v>13201</v>
      </c>
      <c r="G25963" t="s">
        <v>17343</v>
      </c>
      <c r="H25963" t="s">
        <v>28498</v>
      </c>
    </row>
    <row r="25964" spans="1:8">
      <c r="A25964" t="s">
        <v>1387</v>
      </c>
      <c r="B25964">
        <f>HYPERLINK("https://android.googlesource.com/platform/cts/+/54cc0079519ffc8ff26c2b710d9f14efccf706c3", "54cc0079519ffc8ff26c2b710d9f14efccf706c3")</f>
        <v>0</v>
      </c>
      <c r="C25964">
        <f>HYPERLINK("https://android.googlesource.com/platform/cts/+/82059a74d4832ae95fd4f0c72adad2a5d56b0e15", "82059a74d4832ae95fd4f0c72adad2a5d56b0e15")</f>
        <v>0</v>
      </c>
      <c r="D25964" t="s">
        <v>5127</v>
      </c>
      <c r="E25964" t="s">
        <v>7158</v>
      </c>
      <c r="F25964" t="s">
        <v>13173</v>
      </c>
      <c r="G25964" t="s">
        <v>17321</v>
      </c>
      <c r="H25964" t="s">
        <v>28428</v>
      </c>
    </row>
    <row r="25965" spans="1:8">
      <c r="A25965" t="s">
        <v>1388</v>
      </c>
      <c r="B25965">
        <f>HYPERLINK("https://android.googlesource.com/platform/cts/+/d4904876d7075fe752f3f03b31ec541f516e36f2", "d4904876d7075fe752f3f03b31ec541f516e36f2")</f>
        <v>0</v>
      </c>
      <c r="C25965">
        <f>HYPERLINK("https://android.googlesource.com/platform/cts/+/a7f8f18ea4043c8a2b43de11ea6f44028d9c150c", "a7f8f18ea4043c8a2b43de11ea6f44028d9c150c")</f>
        <v>0</v>
      </c>
      <c r="D25965" t="s">
        <v>5094</v>
      </c>
      <c r="E25965" t="s">
        <v>7159</v>
      </c>
      <c r="F25965" t="s">
        <v>13202</v>
      </c>
      <c r="G25965" t="s">
        <v>17344</v>
      </c>
      <c r="H25965" t="s">
        <v>28499</v>
      </c>
    </row>
    <row r="25966" spans="1:8">
      <c r="H25966" t="s">
        <v>18893</v>
      </c>
    </row>
    <row r="25967" spans="1:8">
      <c r="H25967" t="s">
        <v>28500</v>
      </c>
    </row>
    <row r="25968" spans="1:8">
      <c r="H25968" t="s">
        <v>28501</v>
      </c>
    </row>
    <row r="25969" spans="8:8">
      <c r="H25969" t="s">
        <v>28502</v>
      </c>
    </row>
    <row r="25970" spans="8:8">
      <c r="H25970" t="s">
        <v>28503</v>
      </c>
    </row>
    <row r="25971" spans="8:8">
      <c r="H25971" t="s">
        <v>28504</v>
      </c>
    </row>
    <row r="25972" spans="8:8">
      <c r="H25972" t="s">
        <v>28505</v>
      </c>
    </row>
    <row r="25973" spans="8:8">
      <c r="H25973" t="s">
        <v>28506</v>
      </c>
    </row>
    <row r="25974" spans="8:8">
      <c r="H25974" t="s">
        <v>28506</v>
      </c>
    </row>
    <row r="25975" spans="8:8">
      <c r="H25975" t="s">
        <v>28507</v>
      </c>
    </row>
    <row r="25976" spans="8:8">
      <c r="H25976" t="s">
        <v>28507</v>
      </c>
    </row>
    <row r="25977" spans="8:8">
      <c r="H25977" t="s">
        <v>28508</v>
      </c>
    </row>
    <row r="25978" spans="8:8">
      <c r="H25978" t="s">
        <v>28508</v>
      </c>
    </row>
    <row r="25979" spans="8:8">
      <c r="H25979" t="s">
        <v>28509</v>
      </c>
    </row>
    <row r="25980" spans="8:8">
      <c r="H25980" t="s">
        <v>28509</v>
      </c>
    </row>
    <row r="25981" spans="8:8">
      <c r="H25981" t="s">
        <v>26872</v>
      </c>
    </row>
    <row r="25982" spans="8:8">
      <c r="H25982" t="s">
        <v>28510</v>
      </c>
    </row>
    <row r="25983" spans="8:8">
      <c r="H25983" t="s">
        <v>28511</v>
      </c>
    </row>
    <row r="25984" spans="8:8">
      <c r="H25984" t="s">
        <v>28512</v>
      </c>
    </row>
    <row r="25985" spans="1:8">
      <c r="H25985" t="s">
        <v>28513</v>
      </c>
    </row>
    <row r="25986" spans="1:8">
      <c r="H25986" t="s">
        <v>28514</v>
      </c>
    </row>
    <row r="25987" spans="1:8">
      <c r="H25987" t="s">
        <v>28515</v>
      </c>
    </row>
    <row r="25988" spans="1:8">
      <c r="H25988" t="s">
        <v>28516</v>
      </c>
    </row>
    <row r="25989" spans="1:8">
      <c r="A25989" t="s">
        <v>1389</v>
      </c>
      <c r="B25989">
        <f>HYPERLINK("https://android.googlesource.com/platform/cts/+/2f7fdffbfe64117bfd637a89b7855fcd90760d71", "2f7fdffbfe64117bfd637a89b7855fcd90760d71")</f>
        <v>0</v>
      </c>
      <c r="C25989">
        <f>HYPERLINK("https://android.googlesource.com/platform/cts/+/8317906b3dd1fde437d44c320facab49c0193205", "8317906b3dd1fde437d44c320facab49c0193205")</f>
        <v>0</v>
      </c>
      <c r="D25989" t="s">
        <v>5153</v>
      </c>
      <c r="E25989" t="s">
        <v>7160</v>
      </c>
      <c r="F25989" t="s">
        <v>13203</v>
      </c>
      <c r="G25989" t="s">
        <v>17345</v>
      </c>
      <c r="H25989" t="s">
        <v>28517</v>
      </c>
    </row>
    <row r="25990" spans="1:8">
      <c r="A25990" t="s">
        <v>1390</v>
      </c>
      <c r="B25990">
        <f>HYPERLINK("https://android.googlesource.com/platform/cts/+/069b4a9d9beacb7ae994d97ef44b696917822d21", "069b4a9d9beacb7ae994d97ef44b696917822d21")</f>
        <v>0</v>
      </c>
      <c r="C25990">
        <f>HYPERLINK("https://android.googlesource.com/platform/cts/+/e17b591ff58af048c7eaf3e4b7c0b5791cc7e970", "e17b591ff58af048c7eaf3e4b7c0b5791cc7e970")</f>
        <v>0</v>
      </c>
      <c r="D25990" t="s">
        <v>5176</v>
      </c>
      <c r="E25990" t="s">
        <v>7161</v>
      </c>
      <c r="F25990" t="s">
        <v>10794</v>
      </c>
      <c r="G25990" t="s">
        <v>15189</v>
      </c>
      <c r="H25990" t="s">
        <v>28518</v>
      </c>
    </row>
    <row r="25991" spans="1:8">
      <c r="H25991" t="s">
        <v>28519</v>
      </c>
    </row>
    <row r="25992" spans="1:8">
      <c r="H25992" t="s">
        <v>28520</v>
      </c>
    </row>
    <row r="25993" spans="1:8">
      <c r="H25993" t="s">
        <v>28521</v>
      </c>
    </row>
    <row r="25994" spans="1:8">
      <c r="A25994" t="s">
        <v>1391</v>
      </c>
      <c r="B25994">
        <f>HYPERLINK("https://android.googlesource.com/platform/cts/+/9e010b3f5e169bf42e1f084d404550fe33e961b1", "9e010b3f5e169bf42e1f084d404550fe33e961b1")</f>
        <v>0</v>
      </c>
      <c r="C25994">
        <f>HYPERLINK("https://android.googlesource.com/platform/cts/+/53e6f9c2d34943146bb500a335c7274a47019b89", "53e6f9c2d34943146bb500a335c7274a47019b89")</f>
        <v>0</v>
      </c>
      <c r="D25994" t="s">
        <v>5046</v>
      </c>
      <c r="E25994" t="s">
        <v>7162</v>
      </c>
      <c r="F25994" t="s">
        <v>12839</v>
      </c>
      <c r="G25994" t="s">
        <v>17014</v>
      </c>
      <c r="H25994" t="s">
        <v>28522</v>
      </c>
    </row>
    <row r="25995" spans="1:8">
      <c r="A25995" t="s">
        <v>1392</v>
      </c>
      <c r="B25995">
        <f>HYPERLINK("https://android.googlesource.com/platform/cts/+/c0777e14d4db6d94a1291f8f4d508beaee2348e3", "c0777e14d4db6d94a1291f8f4d508beaee2348e3")</f>
        <v>0</v>
      </c>
      <c r="C25995">
        <f>HYPERLINK("https://android.googlesource.com/platform/cts/+/2c8c74e3a4d6847b40f40793fe056aad929074a9", "2c8c74e3a4d6847b40f40793fe056aad929074a9")</f>
        <v>0</v>
      </c>
      <c r="D25995" t="s">
        <v>5191</v>
      </c>
      <c r="E25995" t="s">
        <v>7163</v>
      </c>
      <c r="F25995" t="s">
        <v>13167</v>
      </c>
      <c r="G25995" t="s">
        <v>16845</v>
      </c>
      <c r="H25995" t="s">
        <v>28523</v>
      </c>
    </row>
    <row r="25996" spans="1:8">
      <c r="H25996" t="s">
        <v>28524</v>
      </c>
    </row>
    <row r="25997" spans="1:8">
      <c r="A25997" t="s">
        <v>1393</v>
      </c>
      <c r="B25997">
        <f>HYPERLINK("https://android.googlesource.com/platform/cts/+/7f49961ff3ebd884353b528290b1ebd192d61ab5", "7f49961ff3ebd884353b528290b1ebd192d61ab5")</f>
        <v>0</v>
      </c>
      <c r="C25997">
        <f>HYPERLINK("https://android.googlesource.com/platform/cts/+/8750913a420bf12d3c294b0c2699c120419f9b40", "8750913a420bf12d3c294b0c2699c120419f9b40")</f>
        <v>0</v>
      </c>
      <c r="D25997" t="s">
        <v>5062</v>
      </c>
      <c r="E25997" t="s">
        <v>7164</v>
      </c>
      <c r="F25997" t="s">
        <v>12419</v>
      </c>
      <c r="G25997" t="s">
        <v>16641</v>
      </c>
      <c r="H25997" t="s">
        <v>28525</v>
      </c>
    </row>
    <row r="25998" spans="1:8">
      <c r="A25998" t="s">
        <v>1394</v>
      </c>
      <c r="B25998">
        <f>HYPERLINK("https://android.googlesource.com/platform/cts/+/19f8cfa39892e468831d0998954cfdd5a1a8dfa4", "19f8cfa39892e468831d0998954cfdd5a1a8dfa4")</f>
        <v>0</v>
      </c>
      <c r="C25998">
        <f>HYPERLINK("https://android.googlesource.com/platform/cts/+/d57bb4d0ec59016f842c19e8b8483799f97a1ff2", "d57bb4d0ec59016f842c19e8b8483799f97a1ff2")</f>
        <v>0</v>
      </c>
      <c r="D25998" t="s">
        <v>5085</v>
      </c>
      <c r="E25998" t="s">
        <v>7165</v>
      </c>
      <c r="F25998" t="s">
        <v>13204</v>
      </c>
      <c r="G25998" t="s">
        <v>17346</v>
      </c>
      <c r="H25998" t="s">
        <v>28526</v>
      </c>
    </row>
    <row r="25999" spans="1:8">
      <c r="H25999" t="s">
        <v>28527</v>
      </c>
    </row>
    <row r="26000" spans="1:8">
      <c r="A26000" t="s">
        <v>1395</v>
      </c>
      <c r="B26000">
        <f>HYPERLINK("https://android.googlesource.com/platform/cts/+/1b1d20bf1c1240bb2276887af3e1c162f25292cf", "1b1d20bf1c1240bb2276887af3e1c162f25292cf")</f>
        <v>0</v>
      </c>
      <c r="C26000">
        <f>HYPERLINK("https://android.googlesource.com/platform/cts/+/5b8daaa19d4fe6dd69ff414989a301ed94198d57", "5b8daaa19d4fe6dd69ff414989a301ed94198d57")</f>
        <v>0</v>
      </c>
      <c r="D26000" t="s">
        <v>5205</v>
      </c>
      <c r="E26000" t="s">
        <v>7166</v>
      </c>
      <c r="F26000" t="s">
        <v>12839</v>
      </c>
      <c r="G26000" t="s">
        <v>17014</v>
      </c>
      <c r="H26000" t="s">
        <v>28522</v>
      </c>
    </row>
    <row r="26001" spans="1:8">
      <c r="A26001" t="s">
        <v>1396</v>
      </c>
      <c r="B26001">
        <f>HYPERLINK("https://android.googlesource.com/platform/cts/+/a87a656a10ce2430c7aed66d876fd365cff3405f", "a87a656a10ce2430c7aed66d876fd365cff3405f")</f>
        <v>0</v>
      </c>
      <c r="C26001">
        <f>HYPERLINK("https://android.googlesource.com/platform/cts/+/9c5780640ab32bc81130583d28189dd21b6e9c2a", "9c5780640ab32bc81130583d28189dd21b6e9c2a")</f>
        <v>0</v>
      </c>
      <c r="D26001" t="s">
        <v>5044</v>
      </c>
      <c r="E26001" t="s">
        <v>7167</v>
      </c>
      <c r="F26001" t="s">
        <v>13205</v>
      </c>
      <c r="G26001" t="s">
        <v>17347</v>
      </c>
      <c r="H26001" t="s">
        <v>28528</v>
      </c>
    </row>
    <row r="26002" spans="1:8">
      <c r="F26002" t="s">
        <v>13206</v>
      </c>
      <c r="G26002" t="s">
        <v>17348</v>
      </c>
      <c r="H26002" t="s">
        <v>28529</v>
      </c>
    </row>
    <row r="26003" spans="1:8">
      <c r="H26003" t="s">
        <v>28530</v>
      </c>
    </row>
    <row r="26004" spans="1:8">
      <c r="H26004" t="s">
        <v>28531</v>
      </c>
    </row>
    <row r="26005" spans="1:8">
      <c r="F26005" t="s">
        <v>12872</v>
      </c>
      <c r="G26005" t="s">
        <v>17040</v>
      </c>
      <c r="H26005" t="s">
        <v>18829</v>
      </c>
    </row>
    <row r="26006" spans="1:8">
      <c r="H26006" t="s">
        <v>28532</v>
      </c>
    </row>
    <row r="26007" spans="1:8">
      <c r="F26007" t="s">
        <v>13162</v>
      </c>
      <c r="G26007" t="s">
        <v>16987</v>
      </c>
      <c r="H26007" t="s">
        <v>28533</v>
      </c>
    </row>
    <row r="26008" spans="1:8">
      <c r="H26008" t="s">
        <v>28534</v>
      </c>
    </row>
    <row r="26009" spans="1:8">
      <c r="H26009" t="s">
        <v>28535</v>
      </c>
    </row>
    <row r="26010" spans="1:8">
      <c r="A26010" t="s">
        <v>1397</v>
      </c>
      <c r="B26010">
        <f>HYPERLINK("https://android.googlesource.com/platform/cts/+/8b9f2a468aa8fc6c542256066c400ffd3a2fd48f", "8b9f2a468aa8fc6c542256066c400ffd3a2fd48f")</f>
        <v>0</v>
      </c>
      <c r="C26010">
        <f>HYPERLINK("https://android.googlesource.com/platform/cts/+/48eb162532cb33875f1a8d761a22e704790714f2", "48eb162532cb33875f1a8d761a22e704790714f2")</f>
        <v>0</v>
      </c>
      <c r="D26010" t="s">
        <v>5206</v>
      </c>
      <c r="E26010" t="s">
        <v>7168</v>
      </c>
      <c r="F26010" t="s">
        <v>13207</v>
      </c>
      <c r="G26010" t="s">
        <v>17349</v>
      </c>
      <c r="H26010" t="s">
        <v>25497</v>
      </c>
    </row>
    <row r="26011" spans="1:8">
      <c r="H26011" t="s">
        <v>20244</v>
      </c>
    </row>
    <row r="26012" spans="1:8">
      <c r="H26012" t="s">
        <v>18829</v>
      </c>
    </row>
    <row r="26013" spans="1:8">
      <c r="H26013" t="s">
        <v>18863</v>
      </c>
    </row>
    <row r="26014" spans="1:8">
      <c r="H26014" t="s">
        <v>28536</v>
      </c>
    </row>
    <row r="26015" spans="1:8">
      <c r="H26015" t="s">
        <v>28537</v>
      </c>
    </row>
    <row r="26016" spans="1:8">
      <c r="H26016" t="s">
        <v>28538</v>
      </c>
    </row>
    <row r="26017" spans="1:8">
      <c r="H26017" t="s">
        <v>22590</v>
      </c>
    </row>
    <row r="26018" spans="1:8">
      <c r="H26018" t="s">
        <v>22586</v>
      </c>
    </row>
    <row r="26019" spans="1:8">
      <c r="F26019" t="s">
        <v>13208</v>
      </c>
      <c r="G26019" t="s">
        <v>17334</v>
      </c>
      <c r="H26019" t="s">
        <v>18829</v>
      </c>
    </row>
    <row r="26020" spans="1:8">
      <c r="H26020" t="s">
        <v>21323</v>
      </c>
    </row>
    <row r="26021" spans="1:8">
      <c r="H26021" t="s">
        <v>18863</v>
      </c>
    </row>
    <row r="26022" spans="1:8">
      <c r="H26022" t="s">
        <v>28536</v>
      </c>
    </row>
    <row r="26023" spans="1:8">
      <c r="H26023" t="s">
        <v>28539</v>
      </c>
    </row>
    <row r="26024" spans="1:8">
      <c r="H26024" t="s">
        <v>28540</v>
      </c>
    </row>
    <row r="26025" spans="1:8">
      <c r="H26025" t="s">
        <v>28541</v>
      </c>
    </row>
    <row r="26026" spans="1:8">
      <c r="A26026" t="s">
        <v>1398</v>
      </c>
      <c r="B26026">
        <f>HYPERLINK("https://android.googlesource.com/platform/cts/+/e1aa3a8e09033c038e97d01a5446fe5797de4f4d", "e1aa3a8e09033c038e97d01a5446fe5797de4f4d")</f>
        <v>0</v>
      </c>
      <c r="C26026">
        <f>HYPERLINK("https://android.googlesource.com/platform/cts/+/ef3a1674d60f678eb7c0a7b646983acb585318c7", "ef3a1674d60f678eb7c0a7b646983acb585318c7")</f>
        <v>0</v>
      </c>
      <c r="D26026" t="s">
        <v>5062</v>
      </c>
      <c r="E26026" t="s">
        <v>7169</v>
      </c>
      <c r="F26026" t="s">
        <v>12762</v>
      </c>
      <c r="G26026" t="s">
        <v>16953</v>
      </c>
      <c r="H26026" t="s">
        <v>28542</v>
      </c>
    </row>
    <row r="26027" spans="1:8">
      <c r="F26027" t="s">
        <v>12743</v>
      </c>
      <c r="G26027" t="s">
        <v>16935</v>
      </c>
      <c r="H26027" t="s">
        <v>28543</v>
      </c>
    </row>
    <row r="26028" spans="1:8">
      <c r="H26028" t="s">
        <v>28544</v>
      </c>
    </row>
    <row r="26029" spans="1:8">
      <c r="F26029" t="s">
        <v>12419</v>
      </c>
      <c r="G26029" t="s">
        <v>16641</v>
      </c>
      <c r="H26029" t="s">
        <v>28543</v>
      </c>
    </row>
    <row r="26030" spans="1:8">
      <c r="A26030" t="s">
        <v>1399</v>
      </c>
      <c r="B26030">
        <f>HYPERLINK("https://android.googlesource.com/platform/cts/+/a054863718d13d5b03ed933442299f81ed6f9ca8", "a054863718d13d5b03ed933442299f81ed6f9ca8")</f>
        <v>0</v>
      </c>
      <c r="C26030">
        <f>HYPERLINK("https://android.googlesource.com/platform/cts/+/80ff846105064d3b28d9af7080194663cb678d12", "80ff846105064d3b28d9af7080194663cb678d12")</f>
        <v>0</v>
      </c>
      <c r="D26030" t="s">
        <v>5126</v>
      </c>
      <c r="E26030" t="s">
        <v>7170</v>
      </c>
      <c r="F26030" t="s">
        <v>13209</v>
      </c>
      <c r="G26030" t="s">
        <v>17350</v>
      </c>
      <c r="H26030" t="s">
        <v>28545</v>
      </c>
    </row>
    <row r="26031" spans="1:8">
      <c r="A26031" t="s">
        <v>1400</v>
      </c>
      <c r="B26031">
        <f>HYPERLINK("https://android.googlesource.com/platform/cts/+/d52ec60d388f560db1eca69e849dbeeccc5d9025", "d52ec60d388f560db1eca69e849dbeeccc5d9025")</f>
        <v>0</v>
      </c>
      <c r="C26031">
        <f>HYPERLINK("https://android.googlesource.com/platform/cts/+/4a41ad004e4843a0216fb9881e4d6ff5d5221bf8", "4a41ad004e4843a0216fb9881e4d6ff5d5221bf8")</f>
        <v>0</v>
      </c>
      <c r="D26031" t="s">
        <v>5115</v>
      </c>
      <c r="E26031" t="s">
        <v>7171</v>
      </c>
      <c r="F26031" t="s">
        <v>13178</v>
      </c>
      <c r="G26031" t="s">
        <v>17322</v>
      </c>
      <c r="H26031" t="s">
        <v>26112</v>
      </c>
    </row>
    <row r="26032" spans="1:8">
      <c r="H26032" t="s">
        <v>26113</v>
      </c>
    </row>
    <row r="26033" spans="1:8">
      <c r="A26033" t="s">
        <v>1401</v>
      </c>
      <c r="B26033">
        <f>HYPERLINK("https://android.googlesource.com/platform/cts/+/9e50016a271f806f7d09d673496f137d59090864", "9e50016a271f806f7d09d673496f137d59090864")</f>
        <v>0</v>
      </c>
      <c r="C26033">
        <f>HYPERLINK("https://android.googlesource.com/platform/cts/+/2e6f9b1133ed9930957fa285d008e4d6927ced51", "2e6f9b1133ed9930957fa285d008e4d6927ced51")</f>
        <v>0</v>
      </c>
      <c r="D26033" t="s">
        <v>5132</v>
      </c>
      <c r="E26033" t="s">
        <v>7172</v>
      </c>
      <c r="F26033" t="s">
        <v>10597</v>
      </c>
      <c r="G26033" t="s">
        <v>15000</v>
      </c>
      <c r="H26033" t="s">
        <v>28546</v>
      </c>
    </row>
    <row r="26034" spans="1:8">
      <c r="F26034" t="s">
        <v>10794</v>
      </c>
      <c r="G26034" t="s">
        <v>15189</v>
      </c>
      <c r="H26034" t="s">
        <v>28546</v>
      </c>
    </row>
    <row r="26035" spans="1:8">
      <c r="A26035" t="s">
        <v>1402</v>
      </c>
      <c r="B26035">
        <f>HYPERLINK("https://android.googlesource.com/platform/cts/+/d12d750d113d0f45ccf62dd650088c50fd0c485f", "d12d750d113d0f45ccf62dd650088c50fd0c485f")</f>
        <v>0</v>
      </c>
      <c r="C26035">
        <f>HYPERLINK("https://android.googlesource.com/platform/cts/+/195f82c0567070b421b91d1430e20cb83250d90f", "195f82c0567070b421b91d1430e20cb83250d90f")</f>
        <v>0</v>
      </c>
      <c r="D26035" t="s">
        <v>5207</v>
      </c>
      <c r="E26035" t="s">
        <v>7173</v>
      </c>
      <c r="F26035" t="s">
        <v>12345</v>
      </c>
      <c r="G26035" t="s">
        <v>16573</v>
      </c>
      <c r="H26035" t="s">
        <v>28547</v>
      </c>
    </row>
    <row r="26036" spans="1:8">
      <c r="H26036" t="s">
        <v>22263</v>
      </c>
    </row>
    <row r="26037" spans="1:8">
      <c r="H26037" t="s">
        <v>22267</v>
      </c>
    </row>
    <row r="26038" spans="1:8">
      <c r="H26038" t="s">
        <v>22268</v>
      </c>
    </row>
    <row r="26039" spans="1:8">
      <c r="F26039" t="s">
        <v>13210</v>
      </c>
      <c r="G26039" t="s">
        <v>17351</v>
      </c>
      <c r="H26039" t="s">
        <v>21360</v>
      </c>
    </row>
    <row r="26040" spans="1:8">
      <c r="A26040" t="s">
        <v>1403</v>
      </c>
      <c r="B26040">
        <f>HYPERLINK("https://android.googlesource.com/platform/cts/+/d61f52ec3dc8955173c897aebde485e26ba490f4", "d61f52ec3dc8955173c897aebde485e26ba490f4")</f>
        <v>0</v>
      </c>
      <c r="C26040">
        <f>HYPERLINK("https://android.googlesource.com/platform/cts/+/80ff846105064d3b28d9af7080194663cb678d12", "80ff846105064d3b28d9af7080194663cb678d12")</f>
        <v>0</v>
      </c>
      <c r="D26040" t="s">
        <v>5085</v>
      </c>
      <c r="E26040" t="s">
        <v>7174</v>
      </c>
      <c r="F26040" t="s">
        <v>13211</v>
      </c>
      <c r="G26040" t="s">
        <v>17352</v>
      </c>
      <c r="H26040" t="s">
        <v>28548</v>
      </c>
    </row>
    <row r="26041" spans="1:8">
      <c r="A26041" t="s">
        <v>1404</v>
      </c>
      <c r="B26041">
        <f>HYPERLINK("https://android.googlesource.com/platform/cts/+/e8dfea147452ea19fc8c0b8968241569baba3d65", "e8dfea147452ea19fc8c0b8968241569baba3d65")</f>
        <v>0</v>
      </c>
      <c r="C26041">
        <f>HYPERLINK("https://android.googlesource.com/platform/cts/+/43bc783fbd3790b99e5a60b67b44204aecaa35e8", "43bc783fbd3790b99e5a60b67b44204aecaa35e8")</f>
        <v>0</v>
      </c>
      <c r="D26041" t="s">
        <v>5208</v>
      </c>
      <c r="E26041" t="s">
        <v>7175</v>
      </c>
      <c r="F26041" t="s">
        <v>13212</v>
      </c>
      <c r="G26041" t="s">
        <v>17353</v>
      </c>
      <c r="H26041" t="s">
        <v>18836</v>
      </c>
    </row>
    <row r="26042" spans="1:8">
      <c r="H26042" t="s">
        <v>28549</v>
      </c>
    </row>
    <row r="26043" spans="1:8">
      <c r="H26043" t="s">
        <v>28550</v>
      </c>
    </row>
    <row r="26044" spans="1:8">
      <c r="H26044" t="s">
        <v>28551</v>
      </c>
    </row>
    <row r="26045" spans="1:8">
      <c r="H26045" t="s">
        <v>28552</v>
      </c>
    </row>
    <row r="26046" spans="1:8">
      <c r="H26046" t="s">
        <v>28553</v>
      </c>
    </row>
    <row r="26047" spans="1:8">
      <c r="A26047" t="s">
        <v>1405</v>
      </c>
      <c r="B26047">
        <f>HYPERLINK("https://android.googlesource.com/platform/cts/+/110a80b8b189741885e285d92e84f8810643e411", "110a80b8b189741885e285d92e84f8810643e411")</f>
        <v>0</v>
      </c>
      <c r="C26047">
        <f>HYPERLINK("https://android.googlesource.com/platform/cts/+/81ef9b5be48b0d28318a1f702a823a6a9aae41f5", "81ef9b5be48b0d28318a1f702a823a6a9aae41f5")</f>
        <v>0</v>
      </c>
      <c r="D26047" t="s">
        <v>5209</v>
      </c>
      <c r="E26047" t="s">
        <v>7176</v>
      </c>
      <c r="F26047" t="s">
        <v>13021</v>
      </c>
      <c r="G26047" t="s">
        <v>17185</v>
      </c>
      <c r="H26047" t="s">
        <v>28554</v>
      </c>
    </row>
    <row r="26048" spans="1:8">
      <c r="H26048" t="s">
        <v>28555</v>
      </c>
    </row>
    <row r="26049" spans="1:8">
      <c r="H26049" t="s">
        <v>28556</v>
      </c>
    </row>
    <row r="26050" spans="1:8">
      <c r="F26050" t="s">
        <v>10740</v>
      </c>
      <c r="G26050" t="s">
        <v>15139</v>
      </c>
      <c r="H26050" t="s">
        <v>28557</v>
      </c>
    </row>
    <row r="26051" spans="1:8">
      <c r="H26051" t="s">
        <v>28558</v>
      </c>
    </row>
    <row r="26052" spans="1:8">
      <c r="H26052" t="s">
        <v>28559</v>
      </c>
    </row>
    <row r="26053" spans="1:8">
      <c r="H26053" t="s">
        <v>28560</v>
      </c>
    </row>
    <row r="26054" spans="1:8">
      <c r="F26054" t="s">
        <v>10699</v>
      </c>
      <c r="G26054" t="s">
        <v>15099</v>
      </c>
      <c r="H26054" t="s">
        <v>28557</v>
      </c>
    </row>
    <row r="26055" spans="1:8">
      <c r="H26055" t="s">
        <v>28561</v>
      </c>
    </row>
    <row r="26056" spans="1:8">
      <c r="A26056" t="s">
        <v>1407</v>
      </c>
      <c r="B26056">
        <f>HYPERLINK("https://android.googlesource.com/platform/cts/+/639ea8ac68c171f3edc1fdd5938bf122da89cf5a", "639ea8ac68c171f3edc1fdd5938bf122da89cf5a")</f>
        <v>0</v>
      </c>
      <c r="C26056">
        <f>HYPERLINK("https://android.googlesource.com/platform/cts/+/d61f52ec3dc8955173c897aebde485e26ba490f4", "d61f52ec3dc8955173c897aebde485e26ba490f4")</f>
        <v>0</v>
      </c>
      <c r="D26056" t="s">
        <v>5085</v>
      </c>
      <c r="E26056" t="s">
        <v>7177</v>
      </c>
      <c r="F26056" t="s">
        <v>13211</v>
      </c>
      <c r="G26056" t="s">
        <v>17352</v>
      </c>
      <c r="H26056" t="s">
        <v>28562</v>
      </c>
    </row>
    <row r="26057" spans="1:8">
      <c r="H26057" t="s">
        <v>28563</v>
      </c>
    </row>
    <row r="26058" spans="1:8">
      <c r="A26058" t="s">
        <v>1408</v>
      </c>
      <c r="B26058">
        <f>HYPERLINK("https://android.googlesource.com/platform/cts/+/97d96b629ad082e753c496f5b16eea813a7bdd9e", "97d96b629ad082e753c496f5b16eea813a7bdd9e")</f>
        <v>0</v>
      </c>
      <c r="C26058">
        <f>HYPERLINK("https://android.googlesource.com/platform/cts/+/2b7cdd1bd51bc189fab016e81f1ec7befef273a5", "2b7cdd1bd51bc189fab016e81f1ec7befef273a5")</f>
        <v>0</v>
      </c>
      <c r="D26058" t="s">
        <v>5210</v>
      </c>
      <c r="E26058" t="s">
        <v>7178</v>
      </c>
      <c r="F26058" t="s">
        <v>13213</v>
      </c>
      <c r="G26058" t="s">
        <v>17354</v>
      </c>
      <c r="H26058" t="s">
        <v>28564</v>
      </c>
    </row>
    <row r="26059" spans="1:8">
      <c r="A26059" t="s">
        <v>1409</v>
      </c>
      <c r="B26059">
        <f>HYPERLINK("https://android.googlesource.com/platform/cts/+/a2174d0fb6f2eb0839d09b7f1b5228170754c02f", "a2174d0fb6f2eb0839d09b7f1b5228170754c02f")</f>
        <v>0</v>
      </c>
      <c r="C26059">
        <f>HYPERLINK("https://android.googlesource.com/platform/cts/+/afc5dc839aa74367500ad29768b3b78805f1f1f0", "afc5dc839aa74367500ad29768b3b78805f1f1f0")</f>
        <v>0</v>
      </c>
      <c r="D26059" t="s">
        <v>5029</v>
      </c>
      <c r="E26059" t="s">
        <v>7179</v>
      </c>
      <c r="F26059" t="s">
        <v>10675</v>
      </c>
      <c r="G26059" t="s">
        <v>15075</v>
      </c>
      <c r="H26059" t="s">
        <v>28421</v>
      </c>
    </row>
    <row r="26060" spans="1:8">
      <c r="A26060" t="s">
        <v>1410</v>
      </c>
      <c r="B26060">
        <f>HYPERLINK("https://android.googlesource.com/platform/cts/+/d6e53944e560f77d785f239349530c1906587054", "d6e53944e560f77d785f239349530c1906587054")</f>
        <v>0</v>
      </c>
      <c r="C26060">
        <f>HYPERLINK("https://android.googlesource.com/platform/cts/+/07459b983e24580123125b171339d1bf4f17a69e", "07459b983e24580123125b171339d1bf4f17a69e")</f>
        <v>0</v>
      </c>
      <c r="D26060" t="s">
        <v>4986</v>
      </c>
      <c r="E26060" t="s">
        <v>7180</v>
      </c>
      <c r="F26060" t="s">
        <v>10776</v>
      </c>
      <c r="G26060" t="s">
        <v>15172</v>
      </c>
      <c r="H26060" t="s">
        <v>28565</v>
      </c>
    </row>
    <row r="26061" spans="1:8">
      <c r="A26061" t="s">
        <v>1411</v>
      </c>
      <c r="B26061">
        <f>HYPERLINK("https://android.googlesource.com/platform/cts/+/3b1cd1e20c5cf95b3ecd1f3df9f20a8f0de9ff16", "3b1cd1e20c5cf95b3ecd1f3df9f20a8f0de9ff16")</f>
        <v>0</v>
      </c>
      <c r="C26061">
        <f>HYPERLINK("https://android.googlesource.com/platform/cts/+/9475c72834888cc6d4b8d1ff4fa154049d067800", "9475c72834888cc6d4b8d1ff4fa154049d067800")</f>
        <v>0</v>
      </c>
      <c r="D26061" t="s">
        <v>5126</v>
      </c>
      <c r="E26061" t="s">
        <v>7181</v>
      </c>
      <c r="F26061" t="s">
        <v>13214</v>
      </c>
      <c r="G26061" t="s">
        <v>17355</v>
      </c>
      <c r="H26061" t="s">
        <v>28566</v>
      </c>
    </row>
    <row r="26062" spans="1:8">
      <c r="H26062" t="s">
        <v>22005</v>
      </c>
    </row>
    <row r="26063" spans="1:8">
      <c r="H26063" t="s">
        <v>22272</v>
      </c>
    </row>
    <row r="26064" spans="1:8">
      <c r="H26064" t="s">
        <v>28567</v>
      </c>
    </row>
    <row r="26065" spans="1:8">
      <c r="H26065" t="s">
        <v>22005</v>
      </c>
    </row>
    <row r="26066" spans="1:8">
      <c r="H26066" t="s">
        <v>22272</v>
      </c>
    </row>
    <row r="26067" spans="1:8">
      <c r="H26067" t="s">
        <v>28568</v>
      </c>
    </row>
    <row r="26068" spans="1:8">
      <c r="H26068" t="s">
        <v>28569</v>
      </c>
    </row>
    <row r="26069" spans="1:8">
      <c r="H26069" t="s">
        <v>28570</v>
      </c>
    </row>
    <row r="26070" spans="1:8">
      <c r="H26070" t="s">
        <v>28571</v>
      </c>
    </row>
    <row r="26071" spans="1:8">
      <c r="H26071" t="s">
        <v>28572</v>
      </c>
    </row>
    <row r="26072" spans="1:8">
      <c r="H26072" t="s">
        <v>28572</v>
      </c>
    </row>
    <row r="26073" spans="1:8">
      <c r="H26073" t="s">
        <v>28573</v>
      </c>
    </row>
    <row r="26074" spans="1:8">
      <c r="A26074" t="s">
        <v>1412</v>
      </c>
      <c r="B26074">
        <f>HYPERLINK("https://android.googlesource.com/platform/cts/+/38c031cc4e46dfdcfe1af75123944c1bc2d7c52f", "38c031cc4e46dfdcfe1af75123944c1bc2d7c52f")</f>
        <v>0</v>
      </c>
      <c r="C26074">
        <f>HYPERLINK("https://android.googlesource.com/platform/cts/+/07459b983e24580123125b171339d1bf4f17a69e", "07459b983e24580123125b171339d1bf4f17a69e")</f>
        <v>0</v>
      </c>
      <c r="D26074" t="s">
        <v>5063</v>
      </c>
      <c r="E26074" t="s">
        <v>7182</v>
      </c>
      <c r="F26074" t="s">
        <v>12768</v>
      </c>
      <c r="G26074" t="s">
        <v>15710</v>
      </c>
      <c r="H26074" t="s">
        <v>28574</v>
      </c>
    </row>
    <row r="26075" spans="1:8">
      <c r="A26075" t="s">
        <v>1414</v>
      </c>
      <c r="B26075">
        <f>HYPERLINK("https://android.googlesource.com/platform/cts/+/b8c644768450339f62a52b4ecf97b6048568e4b9", "b8c644768450339f62a52b4ecf97b6048568e4b9")</f>
        <v>0</v>
      </c>
      <c r="C26075">
        <f>HYPERLINK("https://android.googlesource.com/platform/cts/+/01ef79d7d555b043d4aba1ced575a4ec1c58d60d", "01ef79d7d555b043d4aba1ced575a4ec1c58d60d")</f>
        <v>0</v>
      </c>
      <c r="D26075" t="s">
        <v>5211</v>
      </c>
      <c r="E26075" t="s">
        <v>7183</v>
      </c>
      <c r="F26075" t="s">
        <v>12991</v>
      </c>
      <c r="G26075" t="s">
        <v>17155</v>
      </c>
      <c r="H26075" t="s">
        <v>19981</v>
      </c>
    </row>
    <row r="26076" spans="1:8">
      <c r="H26076" t="s">
        <v>28575</v>
      </c>
    </row>
    <row r="26077" spans="1:8">
      <c r="H26077" t="s">
        <v>28576</v>
      </c>
    </row>
    <row r="26078" spans="1:8">
      <c r="H26078" t="s">
        <v>28577</v>
      </c>
    </row>
    <row r="26079" spans="1:8">
      <c r="H26079" t="s">
        <v>28578</v>
      </c>
    </row>
    <row r="26080" spans="1:8">
      <c r="H26080" t="s">
        <v>28579</v>
      </c>
    </row>
    <row r="26081" spans="6:8">
      <c r="H26081" t="s">
        <v>28580</v>
      </c>
    </row>
    <row r="26082" spans="6:8">
      <c r="H26082" t="s">
        <v>28581</v>
      </c>
    </row>
    <row r="26083" spans="6:8">
      <c r="H26083" t="s">
        <v>28582</v>
      </c>
    </row>
    <row r="26084" spans="6:8">
      <c r="H26084" t="s">
        <v>28583</v>
      </c>
    </row>
    <row r="26085" spans="6:8">
      <c r="H26085" t="s">
        <v>28584</v>
      </c>
    </row>
    <row r="26086" spans="6:8">
      <c r="H26086" t="s">
        <v>28585</v>
      </c>
    </row>
    <row r="26087" spans="6:8">
      <c r="H26087" t="s">
        <v>28586</v>
      </c>
    </row>
    <row r="26088" spans="6:8">
      <c r="H26088" t="s">
        <v>28587</v>
      </c>
    </row>
    <row r="26089" spans="6:8">
      <c r="H26089" t="s">
        <v>28588</v>
      </c>
    </row>
    <row r="26090" spans="6:8">
      <c r="F26090" t="s">
        <v>13215</v>
      </c>
      <c r="G26090" t="s">
        <v>17356</v>
      </c>
      <c r="H26090" t="s">
        <v>28589</v>
      </c>
    </row>
    <row r="26091" spans="6:8">
      <c r="H26091" t="s">
        <v>28590</v>
      </c>
    </row>
    <row r="26092" spans="6:8">
      <c r="F26092" t="s">
        <v>12992</v>
      </c>
      <c r="G26092" t="s">
        <v>17156</v>
      </c>
      <c r="H26092" t="s">
        <v>28591</v>
      </c>
    </row>
    <row r="26093" spans="6:8">
      <c r="H26093" t="s">
        <v>28592</v>
      </c>
    </row>
    <row r="26094" spans="6:8">
      <c r="F26094" t="s">
        <v>13216</v>
      </c>
      <c r="G26094" t="s">
        <v>17357</v>
      </c>
      <c r="H26094" t="s">
        <v>28593</v>
      </c>
    </row>
    <row r="26095" spans="6:8">
      <c r="F26095" t="s">
        <v>13217</v>
      </c>
      <c r="G26095" t="s">
        <v>17358</v>
      </c>
      <c r="H26095" t="s">
        <v>18835</v>
      </c>
    </row>
    <row r="26096" spans="6:8">
      <c r="F26096" t="s">
        <v>13218</v>
      </c>
      <c r="G26096" t="s">
        <v>17359</v>
      </c>
      <c r="H26096" t="s">
        <v>28594</v>
      </c>
    </row>
    <row r="26097" spans="6:8">
      <c r="F26097" t="s">
        <v>10758</v>
      </c>
      <c r="G26097" t="s">
        <v>15156</v>
      </c>
      <c r="H26097" t="s">
        <v>28595</v>
      </c>
    </row>
    <row r="26098" spans="6:8">
      <c r="F26098" t="s">
        <v>12993</v>
      </c>
      <c r="G26098" t="s">
        <v>17157</v>
      </c>
      <c r="H26098" t="s">
        <v>28596</v>
      </c>
    </row>
    <row r="26099" spans="6:8">
      <c r="H26099" t="s">
        <v>28597</v>
      </c>
    </row>
    <row r="26100" spans="6:8">
      <c r="H26100" t="s">
        <v>28598</v>
      </c>
    </row>
    <row r="26101" spans="6:8">
      <c r="H26101" t="s">
        <v>28599</v>
      </c>
    </row>
    <row r="26102" spans="6:8">
      <c r="H26102" t="s">
        <v>28600</v>
      </c>
    </row>
    <row r="26103" spans="6:8">
      <c r="H26103" t="s">
        <v>28601</v>
      </c>
    </row>
    <row r="26104" spans="6:8">
      <c r="H26104" t="s">
        <v>28602</v>
      </c>
    </row>
    <row r="26105" spans="6:8">
      <c r="H26105" t="s">
        <v>28603</v>
      </c>
    </row>
    <row r="26106" spans="6:8">
      <c r="H26106" t="s">
        <v>28604</v>
      </c>
    </row>
    <row r="26107" spans="6:8">
      <c r="F26107" t="s">
        <v>12179</v>
      </c>
      <c r="G26107" t="s">
        <v>16418</v>
      </c>
      <c r="H26107" t="s">
        <v>19981</v>
      </c>
    </row>
    <row r="26108" spans="6:8">
      <c r="H26108" t="s">
        <v>28605</v>
      </c>
    </row>
    <row r="26109" spans="6:8">
      <c r="H26109" t="s">
        <v>28606</v>
      </c>
    </row>
    <row r="26110" spans="6:8">
      <c r="H26110" t="s">
        <v>28607</v>
      </c>
    </row>
    <row r="26111" spans="6:8">
      <c r="H26111" t="s">
        <v>28608</v>
      </c>
    </row>
    <row r="26112" spans="6:8">
      <c r="H26112" t="s">
        <v>28609</v>
      </c>
    </row>
    <row r="26113" spans="1:8">
      <c r="H26113" t="s">
        <v>28610</v>
      </c>
    </row>
    <row r="26114" spans="1:8">
      <c r="H26114" t="s">
        <v>28611</v>
      </c>
    </row>
    <row r="26115" spans="1:8">
      <c r="H26115" t="s">
        <v>28612</v>
      </c>
    </row>
    <row r="26116" spans="1:8">
      <c r="H26116" t="s">
        <v>28613</v>
      </c>
    </row>
    <row r="26117" spans="1:8">
      <c r="H26117" t="s">
        <v>28614</v>
      </c>
    </row>
    <row r="26118" spans="1:8">
      <c r="H26118" t="s">
        <v>28615</v>
      </c>
    </row>
    <row r="26119" spans="1:8">
      <c r="H26119" t="s">
        <v>28616</v>
      </c>
    </row>
    <row r="26120" spans="1:8">
      <c r="H26120" t="s">
        <v>28617</v>
      </c>
    </row>
    <row r="26121" spans="1:8">
      <c r="F26121" t="s">
        <v>12994</v>
      </c>
      <c r="G26121" t="s">
        <v>17158</v>
      </c>
      <c r="H26121" t="s">
        <v>19981</v>
      </c>
    </row>
    <row r="26122" spans="1:8">
      <c r="H26122" t="s">
        <v>28618</v>
      </c>
    </row>
    <row r="26123" spans="1:8">
      <c r="H26123" t="s">
        <v>28619</v>
      </c>
    </row>
    <row r="26124" spans="1:8">
      <c r="F26124" t="s">
        <v>13219</v>
      </c>
      <c r="G26124" t="s">
        <v>17360</v>
      </c>
      <c r="H26124" t="s">
        <v>28620</v>
      </c>
    </row>
    <row r="26125" spans="1:8">
      <c r="A26125" t="s">
        <v>1415</v>
      </c>
      <c r="B26125">
        <f>HYPERLINK("https://android.googlesource.com/platform/cts/+/8d4a75ac8e0e6ec01900ad26f822a20d60782c18", "8d4a75ac8e0e6ec01900ad26f822a20d60782c18")</f>
        <v>0</v>
      </c>
      <c r="C26125">
        <f>HYPERLINK("https://android.googlesource.com/platform/cts/+/a9fb5fb351485d4b944db9296f07a87c0837c813", "a9fb5fb351485d4b944db9296f07a87c0837c813")</f>
        <v>0</v>
      </c>
      <c r="D26125" t="s">
        <v>5096</v>
      </c>
      <c r="E26125" t="s">
        <v>7184</v>
      </c>
      <c r="F26125" t="s">
        <v>13220</v>
      </c>
      <c r="G26125" t="s">
        <v>17361</v>
      </c>
      <c r="H26125" t="s">
        <v>28621</v>
      </c>
    </row>
    <row r="26126" spans="1:8">
      <c r="A26126" t="s">
        <v>1416</v>
      </c>
      <c r="B26126">
        <f>HYPERLINK("https://android.googlesource.com/platform/cts/+/90b239c4cc07bb369edc368d98a67654a5dc49e6", "90b239c4cc07bb369edc368d98a67654a5dc49e6")</f>
        <v>0</v>
      </c>
      <c r="C26126">
        <f>HYPERLINK("https://android.googlesource.com/platform/cts/+/2fc66d8c0911a281fd1b8e69da4cc1a3e8ea3e50", "2fc66d8c0911a281fd1b8e69da4cc1a3e8ea3e50")</f>
        <v>0</v>
      </c>
      <c r="D26126" t="s">
        <v>5118</v>
      </c>
      <c r="E26126" t="s">
        <v>7185</v>
      </c>
      <c r="F26126" t="s">
        <v>13197</v>
      </c>
      <c r="G26126" t="s">
        <v>17340</v>
      </c>
      <c r="H26126" t="s">
        <v>28622</v>
      </c>
    </row>
    <row r="26127" spans="1:8">
      <c r="A26127" t="s">
        <v>1417</v>
      </c>
      <c r="B26127">
        <f>HYPERLINK("https://android.googlesource.com/platform/cts/+/e75f8acc6e677f642f46848c54afc98d9915f79d", "e75f8acc6e677f642f46848c54afc98d9915f79d")</f>
        <v>0</v>
      </c>
      <c r="C26127">
        <f>HYPERLINK("https://android.googlesource.com/platform/cts/+/15b8c570d4a47394ef5a655ebb22bec22a5dcd5b", "15b8c570d4a47394ef5a655ebb22bec22a5dcd5b")</f>
        <v>0</v>
      </c>
      <c r="D26127" t="s">
        <v>5212</v>
      </c>
      <c r="E26127" t="s">
        <v>7186</v>
      </c>
      <c r="F26127" t="s">
        <v>13221</v>
      </c>
      <c r="G26127" t="s">
        <v>17362</v>
      </c>
      <c r="H26127" t="s">
        <v>28623</v>
      </c>
    </row>
    <row r="26128" spans="1:8">
      <c r="H26128" t="s">
        <v>28624</v>
      </c>
    </row>
    <row r="26129" spans="8:8">
      <c r="H26129" t="s">
        <v>28625</v>
      </c>
    </row>
    <row r="26130" spans="8:8">
      <c r="H26130" t="s">
        <v>28626</v>
      </c>
    </row>
    <row r="26131" spans="8:8">
      <c r="H26131" t="s">
        <v>28627</v>
      </c>
    </row>
    <row r="26132" spans="8:8">
      <c r="H26132" t="s">
        <v>28628</v>
      </c>
    </row>
    <row r="26133" spans="8:8">
      <c r="H26133" t="s">
        <v>28629</v>
      </c>
    </row>
    <row r="26134" spans="8:8">
      <c r="H26134" t="s">
        <v>28630</v>
      </c>
    </row>
    <row r="26135" spans="8:8">
      <c r="H26135" t="s">
        <v>28631</v>
      </c>
    </row>
    <row r="26136" spans="8:8">
      <c r="H26136" t="s">
        <v>28632</v>
      </c>
    </row>
    <row r="26137" spans="8:8">
      <c r="H26137" t="s">
        <v>28633</v>
      </c>
    </row>
    <row r="26138" spans="8:8">
      <c r="H26138" t="s">
        <v>28634</v>
      </c>
    </row>
    <row r="26139" spans="8:8">
      <c r="H26139" t="s">
        <v>28635</v>
      </c>
    </row>
    <row r="26140" spans="8:8">
      <c r="H26140" t="s">
        <v>28636</v>
      </c>
    </row>
    <row r="26141" spans="8:8">
      <c r="H26141" t="s">
        <v>28637</v>
      </c>
    </row>
    <row r="26142" spans="8:8">
      <c r="H26142" t="s">
        <v>28638</v>
      </c>
    </row>
    <row r="26143" spans="8:8">
      <c r="H26143" t="s">
        <v>28639</v>
      </c>
    </row>
    <row r="26144" spans="8:8">
      <c r="H26144" t="s">
        <v>28640</v>
      </c>
    </row>
    <row r="26145" spans="8:8">
      <c r="H26145" t="s">
        <v>28641</v>
      </c>
    </row>
    <row r="26146" spans="8:8">
      <c r="H26146" t="s">
        <v>28642</v>
      </c>
    </row>
    <row r="26147" spans="8:8">
      <c r="H26147" t="s">
        <v>28643</v>
      </c>
    </row>
    <row r="26148" spans="8:8">
      <c r="H26148" t="s">
        <v>28644</v>
      </c>
    </row>
    <row r="26149" spans="8:8">
      <c r="H26149" t="s">
        <v>28645</v>
      </c>
    </row>
    <row r="26150" spans="8:8">
      <c r="H26150" t="s">
        <v>28646</v>
      </c>
    </row>
    <row r="26151" spans="8:8">
      <c r="H26151" t="s">
        <v>28647</v>
      </c>
    </row>
    <row r="26152" spans="8:8">
      <c r="H26152" t="s">
        <v>28648</v>
      </c>
    </row>
    <row r="26153" spans="8:8">
      <c r="H26153" t="s">
        <v>28649</v>
      </c>
    </row>
    <row r="26154" spans="8:8">
      <c r="H26154" t="s">
        <v>28650</v>
      </c>
    </row>
    <row r="26155" spans="8:8">
      <c r="H26155" t="s">
        <v>28651</v>
      </c>
    </row>
    <row r="26156" spans="8:8">
      <c r="H26156" t="s">
        <v>28652</v>
      </c>
    </row>
    <row r="26157" spans="8:8">
      <c r="H26157" t="s">
        <v>28653</v>
      </c>
    </row>
    <row r="26158" spans="8:8">
      <c r="H26158" t="s">
        <v>28654</v>
      </c>
    </row>
    <row r="26159" spans="8:8">
      <c r="H26159" t="s">
        <v>28655</v>
      </c>
    </row>
    <row r="26160" spans="8:8">
      <c r="H26160" t="s">
        <v>28656</v>
      </c>
    </row>
    <row r="26161" spans="1:8">
      <c r="H26161" t="s">
        <v>28657</v>
      </c>
    </row>
    <row r="26162" spans="1:8">
      <c r="H26162" t="s">
        <v>28658</v>
      </c>
    </row>
    <row r="26163" spans="1:8">
      <c r="H26163" t="s">
        <v>28659</v>
      </c>
    </row>
    <row r="26164" spans="1:8">
      <c r="H26164" t="s">
        <v>28660</v>
      </c>
    </row>
    <row r="26165" spans="1:8">
      <c r="A26165" t="s">
        <v>1418</v>
      </c>
      <c r="B26165">
        <f>HYPERLINK("https://android.googlesource.com/platform/cts/+/043099b678b0a231cec86606780215fd2776f2c1", "043099b678b0a231cec86606780215fd2776f2c1")</f>
        <v>0</v>
      </c>
      <c r="C26165">
        <f>HYPERLINK("https://android.googlesource.com/platform/cts/+/38c1d6fad209d87a36456e977792b35e5a052ded", "38c1d6fad209d87a36456e977792b35e5a052ded")</f>
        <v>0</v>
      </c>
      <c r="D26165" t="s">
        <v>5044</v>
      </c>
      <c r="E26165" t="s">
        <v>7187</v>
      </c>
      <c r="F26165" t="s">
        <v>13201</v>
      </c>
      <c r="G26165" t="s">
        <v>17363</v>
      </c>
      <c r="H26165" t="s">
        <v>18829</v>
      </c>
    </row>
    <row r="26166" spans="1:8">
      <c r="H26166" t="s">
        <v>28661</v>
      </c>
    </row>
    <row r="26167" spans="1:8">
      <c r="H26167" t="s">
        <v>28662</v>
      </c>
    </row>
    <row r="26168" spans="1:8">
      <c r="H26168" t="s">
        <v>28663</v>
      </c>
    </row>
    <row r="26169" spans="1:8">
      <c r="H26169" t="s">
        <v>28664</v>
      </c>
    </row>
    <row r="26170" spans="1:8">
      <c r="H26170" t="s">
        <v>28665</v>
      </c>
    </row>
    <row r="26171" spans="1:8">
      <c r="H26171" t="s">
        <v>28666</v>
      </c>
    </row>
    <row r="26172" spans="1:8">
      <c r="H26172" t="s">
        <v>28667</v>
      </c>
    </row>
    <row r="26173" spans="1:8">
      <c r="H26173" t="s">
        <v>28668</v>
      </c>
    </row>
    <row r="26174" spans="1:8">
      <c r="H26174" t="s">
        <v>28669</v>
      </c>
    </row>
    <row r="26175" spans="1:8">
      <c r="H26175" t="s">
        <v>28670</v>
      </c>
    </row>
    <row r="26176" spans="1:8">
      <c r="H26176" t="s">
        <v>28671</v>
      </c>
    </row>
    <row r="26177" spans="8:8">
      <c r="H26177" t="s">
        <v>28672</v>
      </c>
    </row>
    <row r="26178" spans="8:8">
      <c r="H26178" t="s">
        <v>28673</v>
      </c>
    </row>
    <row r="26179" spans="8:8">
      <c r="H26179" t="s">
        <v>28674</v>
      </c>
    </row>
    <row r="26180" spans="8:8">
      <c r="H26180" t="s">
        <v>28497</v>
      </c>
    </row>
    <row r="26181" spans="8:8">
      <c r="H26181" t="s">
        <v>28675</v>
      </c>
    </row>
    <row r="26182" spans="8:8">
      <c r="H26182" t="s">
        <v>28676</v>
      </c>
    </row>
    <row r="26183" spans="8:8">
      <c r="H26183" t="s">
        <v>22581</v>
      </c>
    </row>
    <row r="26184" spans="8:8">
      <c r="H26184" t="s">
        <v>28677</v>
      </c>
    </row>
    <row r="26185" spans="8:8">
      <c r="H26185" t="s">
        <v>28678</v>
      </c>
    </row>
    <row r="26186" spans="8:8">
      <c r="H26186" t="s">
        <v>28679</v>
      </c>
    </row>
    <row r="26187" spans="8:8">
      <c r="H26187" t="s">
        <v>28680</v>
      </c>
    </row>
    <row r="26188" spans="8:8">
      <c r="H26188" t="s">
        <v>28681</v>
      </c>
    </row>
    <row r="26189" spans="8:8">
      <c r="H26189" t="s">
        <v>28682</v>
      </c>
    </row>
    <row r="26190" spans="8:8">
      <c r="H26190" t="s">
        <v>28683</v>
      </c>
    </row>
    <row r="26191" spans="8:8">
      <c r="H26191" t="s">
        <v>28684</v>
      </c>
    </row>
    <row r="26192" spans="8:8">
      <c r="H26192" t="s">
        <v>28685</v>
      </c>
    </row>
    <row r="26193" spans="1:8">
      <c r="A26193" t="s">
        <v>1419</v>
      </c>
      <c r="B26193">
        <f>HYPERLINK("https://android.googlesource.com/platform/cts/+/233ad042310aafb56113a7774f3fce483d7f3a25", "233ad042310aafb56113a7774f3fce483d7f3a25")</f>
        <v>0</v>
      </c>
      <c r="C26193">
        <f>HYPERLINK("https://android.googlesource.com/platform/cts/+/d75a1fe7b17cc2e6b94427a423139cf3872dc32f", "d75a1fe7b17cc2e6b94427a423139cf3872dc32f")</f>
        <v>0</v>
      </c>
      <c r="D26193" t="s">
        <v>5213</v>
      </c>
      <c r="E26193" t="s">
        <v>7188</v>
      </c>
      <c r="F26193" t="s">
        <v>13222</v>
      </c>
      <c r="G26193" t="s">
        <v>17364</v>
      </c>
      <c r="H26193" t="s">
        <v>22678</v>
      </c>
    </row>
    <row r="26194" spans="1:8">
      <c r="H26194" t="s">
        <v>18829</v>
      </c>
    </row>
    <row r="26195" spans="1:8">
      <c r="H26195" t="s">
        <v>18863</v>
      </c>
    </row>
    <row r="26196" spans="1:8">
      <c r="H26196" t="s">
        <v>28686</v>
      </c>
    </row>
    <row r="26197" spans="1:8">
      <c r="H26197" t="s">
        <v>28687</v>
      </c>
    </row>
    <row r="26198" spans="1:8">
      <c r="H26198" t="s">
        <v>28688</v>
      </c>
    </row>
    <row r="26199" spans="1:8">
      <c r="H26199" t="s">
        <v>28689</v>
      </c>
    </row>
    <row r="26200" spans="1:8">
      <c r="H26200" t="s">
        <v>28690</v>
      </c>
    </row>
    <row r="26201" spans="1:8">
      <c r="H26201" t="s">
        <v>28691</v>
      </c>
    </row>
    <row r="26202" spans="1:8">
      <c r="H26202" t="s">
        <v>28692</v>
      </c>
    </row>
    <row r="26203" spans="1:8">
      <c r="H26203" t="s">
        <v>28051</v>
      </c>
    </row>
    <row r="26204" spans="1:8">
      <c r="H26204" t="s">
        <v>26260</v>
      </c>
    </row>
    <row r="26205" spans="1:8">
      <c r="A26205" t="s">
        <v>1420</v>
      </c>
      <c r="B26205">
        <f>HYPERLINK("https://android.googlesource.com/platform/cts/+/b7e958732b19ff8613925198c6af5056ed70ff27", "b7e958732b19ff8613925198c6af5056ed70ff27")</f>
        <v>0</v>
      </c>
      <c r="C26205">
        <f>HYPERLINK("https://android.googlesource.com/platform/cts/+/54139c6b82e87871c303d13cddb8d47b24a0c323", "54139c6b82e87871c303d13cddb8d47b24a0c323")</f>
        <v>0</v>
      </c>
      <c r="D26205" t="s">
        <v>5085</v>
      </c>
      <c r="E26205" t="s">
        <v>7189</v>
      </c>
      <c r="F26205" t="s">
        <v>13223</v>
      </c>
      <c r="G26205" t="s">
        <v>17365</v>
      </c>
      <c r="H26205" t="s">
        <v>28693</v>
      </c>
    </row>
    <row r="26206" spans="1:8">
      <c r="A26206" t="s">
        <v>1421</v>
      </c>
      <c r="B26206">
        <f>HYPERLINK("https://android.googlesource.com/platform/cts/+/1cf3c1dd2a5bc7081e52936b0e68d2f9b5dac911", "1cf3c1dd2a5bc7081e52936b0e68d2f9b5dac911")</f>
        <v>0</v>
      </c>
      <c r="C26206">
        <f>HYPERLINK("https://android.googlesource.com/platform/cts/+/6678d3147a102a86d7f27c3e9f765b530bea3d53", "6678d3147a102a86d7f27c3e9f765b530bea3d53")</f>
        <v>0</v>
      </c>
      <c r="D26206" t="s">
        <v>5115</v>
      </c>
      <c r="E26206" t="s">
        <v>7190</v>
      </c>
      <c r="F26206" t="s">
        <v>12634</v>
      </c>
      <c r="G26206" t="s">
        <v>16843</v>
      </c>
      <c r="H26206" t="s">
        <v>28694</v>
      </c>
    </row>
    <row r="26207" spans="1:8">
      <c r="H26207" t="s">
        <v>26088</v>
      </c>
    </row>
    <row r="26208" spans="1:8">
      <c r="H26208" t="s">
        <v>20012</v>
      </c>
    </row>
    <row r="26209" spans="1:8">
      <c r="A26209" t="s">
        <v>1422</v>
      </c>
      <c r="B26209">
        <f>HYPERLINK("https://android.googlesource.com/platform/cts/+/b0bbf679972b4e624294550324a1c03992986300", "b0bbf679972b4e624294550324a1c03992986300")</f>
        <v>0</v>
      </c>
      <c r="C26209">
        <f>HYPERLINK("https://android.googlesource.com/platform/cts/+/16f3181bb61d301cc8a3e667098ed2122d764a7e", "16f3181bb61d301cc8a3e667098ed2122d764a7e")</f>
        <v>0</v>
      </c>
      <c r="D26209" t="s">
        <v>5203</v>
      </c>
      <c r="E26209" t="s">
        <v>7191</v>
      </c>
      <c r="F26209" t="s">
        <v>13224</v>
      </c>
      <c r="G26209" t="s">
        <v>15138</v>
      </c>
      <c r="H26209" t="s">
        <v>28695</v>
      </c>
    </row>
    <row r="26210" spans="1:8">
      <c r="A26210" t="s">
        <v>1423</v>
      </c>
      <c r="B26210">
        <f>HYPERLINK("https://android.googlesource.com/platform/cts/+/de764964951a457c31eece0b1e5b9f654eef2d51", "de764964951a457c31eece0b1e5b9f654eef2d51")</f>
        <v>0</v>
      </c>
      <c r="C26210">
        <f>HYPERLINK("https://android.googlesource.com/platform/cts/+/41b98d43db3266caa64716ce79701aaa25499105", "41b98d43db3266caa64716ce79701aaa25499105")</f>
        <v>0</v>
      </c>
      <c r="D26210" t="s">
        <v>5214</v>
      </c>
      <c r="E26210" t="s">
        <v>7192</v>
      </c>
      <c r="F26210" t="s">
        <v>13225</v>
      </c>
      <c r="G26210" t="s">
        <v>17366</v>
      </c>
      <c r="H26210" t="s">
        <v>28696</v>
      </c>
    </row>
    <row r="26211" spans="1:8">
      <c r="A26211" t="s">
        <v>1424</v>
      </c>
      <c r="B26211">
        <f>HYPERLINK("https://android.googlesource.com/platform/cts/+/24200411473729b7b4637c81784589374742453d", "24200411473729b7b4637c81784589374742453d")</f>
        <v>0</v>
      </c>
      <c r="C26211">
        <f>HYPERLINK("https://android.googlesource.com/platform/cts/+/aae10c62b8d172a7c49e77474c6a88ef48680616", "aae10c62b8d172a7c49e77474c6a88ef48680616")</f>
        <v>0</v>
      </c>
      <c r="D26211" t="s">
        <v>4960</v>
      </c>
      <c r="E26211" t="s">
        <v>7193</v>
      </c>
      <c r="F26211" t="s">
        <v>13226</v>
      </c>
      <c r="G26211" t="s">
        <v>17367</v>
      </c>
      <c r="H26211" t="s">
        <v>18863</v>
      </c>
    </row>
    <row r="26212" spans="1:8">
      <c r="H26212" t="s">
        <v>28697</v>
      </c>
    </row>
    <row r="26213" spans="1:8">
      <c r="A26213" t="s">
        <v>1425</v>
      </c>
      <c r="B26213">
        <f>HYPERLINK("https://android.googlesource.com/platform/cts/+/cebce48c5d121e6e8f3e0e96a02e73dfc146c2a7", "cebce48c5d121e6e8f3e0e96a02e73dfc146c2a7")</f>
        <v>0</v>
      </c>
      <c r="C26213">
        <f>HYPERLINK("https://android.googlesource.com/platform/cts/+/a3a87e68b709c3977e24f0f8020ccde6ec66f6e2", "a3a87e68b709c3977e24f0f8020ccde6ec66f6e2")</f>
        <v>0</v>
      </c>
      <c r="D26213" t="s">
        <v>5044</v>
      </c>
      <c r="E26213" t="s">
        <v>7194</v>
      </c>
      <c r="F26213" t="s">
        <v>12629</v>
      </c>
      <c r="G26213" t="s">
        <v>16838</v>
      </c>
      <c r="H26213" t="s">
        <v>28698</v>
      </c>
    </row>
    <row r="26214" spans="1:8">
      <c r="A26214" t="s">
        <v>1426</v>
      </c>
      <c r="B26214">
        <f>HYPERLINK("https://android.googlesource.com/platform/cts/+/34402f7899760e7d782a1ac1a3693d2fa7a1e957", "34402f7899760e7d782a1ac1a3693d2fa7a1e957")</f>
        <v>0</v>
      </c>
      <c r="C26214">
        <f>HYPERLINK("https://android.googlesource.com/platform/cts/+/c3d0dc8c583cf0a556d358c46454b27c9050a819", "c3d0dc8c583cf0a556d358c46454b27c9050a819")</f>
        <v>0</v>
      </c>
      <c r="D26214" t="s">
        <v>5215</v>
      </c>
      <c r="E26214" t="s">
        <v>7195</v>
      </c>
      <c r="F26214" t="s">
        <v>10740</v>
      </c>
      <c r="G26214" t="s">
        <v>15139</v>
      </c>
      <c r="H26214" t="s">
        <v>28699</v>
      </c>
    </row>
    <row r="26215" spans="1:8">
      <c r="A26215" t="s">
        <v>1428</v>
      </c>
      <c r="B26215">
        <f>HYPERLINK("https://android.googlesource.com/platform/cts/+/0444010020a02fc17be0dc849e86be37ac6261c5", "0444010020a02fc17be0dc849e86be37ac6261c5")</f>
        <v>0</v>
      </c>
      <c r="C26215">
        <f>HYPERLINK("https://android.googlesource.com/platform/cts/+/296fbe2ea4d7d58efd0d8428e7649eac5c4fb0b5", "296fbe2ea4d7d58efd0d8428e7649eac5c4fb0b5")</f>
        <v>0</v>
      </c>
      <c r="D26215" t="s">
        <v>5212</v>
      </c>
      <c r="E26215" t="s">
        <v>7196</v>
      </c>
      <c r="F26215" t="s">
        <v>13227</v>
      </c>
      <c r="G26215" t="s">
        <v>17368</v>
      </c>
      <c r="H26215" t="s">
        <v>28700</v>
      </c>
    </row>
    <row r="26216" spans="1:8">
      <c r="A26216" t="s">
        <v>1429</v>
      </c>
      <c r="B26216">
        <f>HYPERLINK("https://android.googlesource.com/platform/cts/+/77f017c2b1076d464811fc9c61c49f8f5dd39ced", "77f017c2b1076d464811fc9c61c49f8f5dd39ced")</f>
        <v>0</v>
      </c>
      <c r="C26216">
        <f>HYPERLINK("https://android.googlesource.com/platform/cts/+/78dcd89f04d2e14ae4eff468d1386d8c2adfdede", "78dcd89f04d2e14ae4eff468d1386d8c2adfdede")</f>
        <v>0</v>
      </c>
      <c r="D26216" t="s">
        <v>5044</v>
      </c>
      <c r="E26216" t="s">
        <v>7197</v>
      </c>
      <c r="F26216" t="s">
        <v>13228</v>
      </c>
      <c r="G26216" t="s">
        <v>17369</v>
      </c>
      <c r="H26216" t="s">
        <v>28701</v>
      </c>
    </row>
    <row r="26217" spans="1:8">
      <c r="H26217" t="s">
        <v>28702</v>
      </c>
    </row>
    <row r="26218" spans="1:8">
      <c r="A26218" t="s">
        <v>1430</v>
      </c>
      <c r="B26218">
        <f>HYPERLINK("https://android.googlesource.com/platform/cts/+/ca22566206634339ff6e2f8dd9b6088fb8f38362", "ca22566206634339ff6e2f8dd9b6088fb8f38362")</f>
        <v>0</v>
      </c>
      <c r="C26218">
        <f>HYPERLINK("https://android.googlesource.com/platform/cts/+/ea89bf13175f2edc95864b72c7e0a6560511b720", "ea89bf13175f2edc95864b72c7e0a6560511b720")</f>
        <v>0</v>
      </c>
      <c r="D26218" t="s">
        <v>5094</v>
      </c>
      <c r="E26218" t="s">
        <v>7198</v>
      </c>
      <c r="F26218" t="s">
        <v>13229</v>
      </c>
      <c r="G26218" t="s">
        <v>17370</v>
      </c>
      <c r="H26218" t="s">
        <v>28703</v>
      </c>
    </row>
    <row r="26219" spans="1:8">
      <c r="H26219" t="s">
        <v>28704</v>
      </c>
    </row>
    <row r="26220" spans="1:8">
      <c r="H26220" t="s">
        <v>28705</v>
      </c>
    </row>
    <row r="26221" spans="1:8">
      <c r="F26221" t="s">
        <v>12745</v>
      </c>
      <c r="G26221" t="s">
        <v>16937</v>
      </c>
      <c r="H26221" t="s">
        <v>28703</v>
      </c>
    </row>
    <row r="26222" spans="1:8">
      <c r="H26222" t="s">
        <v>28704</v>
      </c>
    </row>
    <row r="26223" spans="1:8">
      <c r="H26223" t="s">
        <v>28705</v>
      </c>
    </row>
    <row r="26224" spans="1:8">
      <c r="A26224" t="s">
        <v>1431</v>
      </c>
      <c r="B26224">
        <f>HYPERLINK("https://android.googlesource.com/platform/cts/+/ecbabc89501897e16a776e6eb40b4d6c0d25692e", "ecbabc89501897e16a776e6eb40b4d6c0d25692e")</f>
        <v>0</v>
      </c>
      <c r="C26224">
        <f>HYPERLINK("https://android.googlesource.com/platform/cts/+/d4d49d0b2ce756e79a2a70c550a2e81bd352db4b", "d4d49d0b2ce756e79a2a70c550a2e81bd352db4b")</f>
        <v>0</v>
      </c>
      <c r="D26224" t="s">
        <v>4928</v>
      </c>
      <c r="E26224" t="s">
        <v>7199</v>
      </c>
      <c r="F26224" t="s">
        <v>12897</v>
      </c>
      <c r="G26224" t="s">
        <v>16824</v>
      </c>
      <c r="H26224" t="s">
        <v>28706</v>
      </c>
    </row>
    <row r="26225" spans="1:8">
      <c r="H26225" t="s">
        <v>28707</v>
      </c>
    </row>
    <row r="26226" spans="1:8">
      <c r="H26226" t="s">
        <v>28708</v>
      </c>
    </row>
    <row r="26227" spans="1:8">
      <c r="H26227" t="s">
        <v>28709</v>
      </c>
    </row>
    <row r="26228" spans="1:8">
      <c r="F26228" t="s">
        <v>12739</v>
      </c>
      <c r="G26228" t="s">
        <v>15083</v>
      </c>
      <c r="H26228" t="s">
        <v>18836</v>
      </c>
    </row>
    <row r="26229" spans="1:8">
      <c r="A26229" t="s">
        <v>1432</v>
      </c>
      <c r="B26229">
        <f>HYPERLINK("https://android.googlesource.com/platform/cts/+/529185fdeae55e869855f32bc20831dc63ab60d9", "529185fdeae55e869855f32bc20831dc63ab60d9")</f>
        <v>0</v>
      </c>
      <c r="C26229">
        <f>HYPERLINK("https://android.googlesource.com/platform/cts/+/23c747e45765a5f6acca00b225244439fe9e12c5", "23c747e45765a5f6acca00b225244439fe9e12c5")</f>
        <v>0</v>
      </c>
      <c r="D26229" t="s">
        <v>5134</v>
      </c>
      <c r="E26229" t="s">
        <v>7200</v>
      </c>
      <c r="F26229" t="s">
        <v>13230</v>
      </c>
      <c r="G26229" t="s">
        <v>17371</v>
      </c>
      <c r="H26229" t="s">
        <v>22685</v>
      </c>
    </row>
    <row r="26230" spans="1:8">
      <c r="A26230" t="s">
        <v>1434</v>
      </c>
      <c r="B26230">
        <f>HYPERLINK("https://android.googlesource.com/platform/cts/+/55b2bd01a56bc397b4ef51af69706dd811c3036c", "55b2bd01a56bc397b4ef51af69706dd811c3036c")</f>
        <v>0</v>
      </c>
      <c r="C26230">
        <f>HYPERLINK("https://android.googlesource.com/platform/cts/+/d4b189c8c497ee6cc663cd344689a86be64d05d6", "d4b189c8c497ee6cc663cd344689a86be64d05d6")</f>
        <v>0</v>
      </c>
      <c r="D26230" t="s">
        <v>5176</v>
      </c>
      <c r="E26230" t="s">
        <v>7201</v>
      </c>
      <c r="F26230" t="s">
        <v>10794</v>
      </c>
      <c r="G26230" t="s">
        <v>15189</v>
      </c>
      <c r="H26230" t="s">
        <v>28710</v>
      </c>
    </row>
    <row r="26231" spans="1:8">
      <c r="A26231" t="s">
        <v>1436</v>
      </c>
      <c r="B26231">
        <f>HYPERLINK("https://android.googlesource.com/platform/cts/+/56818c6a7348f9bdb4110c87ca85e0f401c33cdf", "56818c6a7348f9bdb4110c87ca85e0f401c33cdf")</f>
        <v>0</v>
      </c>
      <c r="C26231">
        <f>HYPERLINK("https://android.googlesource.com/platform/cts/+/a95992f1909e433c96de99d85becc7e44cd07888", "a95992f1909e433c96de99d85becc7e44cd07888")</f>
        <v>0</v>
      </c>
      <c r="D26231" t="s">
        <v>4928</v>
      </c>
      <c r="E26231" t="s">
        <v>7202</v>
      </c>
      <c r="F26231" t="s">
        <v>13231</v>
      </c>
      <c r="G26231" t="s">
        <v>15081</v>
      </c>
      <c r="H26231" t="s">
        <v>28711</v>
      </c>
    </row>
    <row r="26232" spans="1:8">
      <c r="A26232" t="s">
        <v>1437</v>
      </c>
      <c r="B26232">
        <f>HYPERLINK("https://android.googlesource.com/platform/cts/+/73ce569899313f0f9497770f9e6584f47adf93c7", "73ce569899313f0f9497770f9e6584f47adf93c7")</f>
        <v>0</v>
      </c>
      <c r="C26232">
        <f>HYPERLINK("https://android.googlesource.com/platform/cts/+/271f35c4d3924d2d3bc0bdbd3f80699c70d83416", "271f35c4d3924d2d3bc0bdbd3f80699c70d83416")</f>
        <v>0</v>
      </c>
      <c r="D26232" t="s">
        <v>5207</v>
      </c>
      <c r="E26232" t="s">
        <v>7203</v>
      </c>
      <c r="F26232" t="s">
        <v>13232</v>
      </c>
      <c r="G26232" t="s">
        <v>16904</v>
      </c>
      <c r="H26232" t="s">
        <v>25991</v>
      </c>
    </row>
    <row r="26233" spans="1:8">
      <c r="H26233" t="s">
        <v>28712</v>
      </c>
    </row>
    <row r="26234" spans="1:8">
      <c r="F26234" t="s">
        <v>12696</v>
      </c>
      <c r="G26234" t="s">
        <v>16900</v>
      </c>
      <c r="H26234" t="s">
        <v>28713</v>
      </c>
    </row>
    <row r="26235" spans="1:8">
      <c r="H26235" t="s">
        <v>28714</v>
      </c>
    </row>
    <row r="26236" spans="1:8">
      <c r="A26236" t="s">
        <v>1438</v>
      </c>
      <c r="B26236">
        <f>HYPERLINK("https://android.googlesource.com/platform/cts/+/9000bece309586531c4f6ec36030c3f9894ce17b", "9000bece309586531c4f6ec36030c3f9894ce17b")</f>
        <v>0</v>
      </c>
      <c r="C26236">
        <f>HYPERLINK("https://android.googlesource.com/platform/cts/+/94c2c84530ba3eea31ecc6e3f4907920bf618ea6", "94c2c84530ba3eea31ecc6e3f4907920bf618ea6")</f>
        <v>0</v>
      </c>
      <c r="D26236" t="s">
        <v>5176</v>
      </c>
      <c r="E26236" t="s">
        <v>7204</v>
      </c>
      <c r="F26236" t="s">
        <v>10794</v>
      </c>
      <c r="G26236" t="s">
        <v>15189</v>
      </c>
      <c r="H26236" t="s">
        <v>28715</v>
      </c>
    </row>
    <row r="26237" spans="1:8">
      <c r="H26237" t="s">
        <v>28716</v>
      </c>
    </row>
    <row r="26238" spans="1:8">
      <c r="H26238" t="s">
        <v>28717</v>
      </c>
    </row>
    <row r="26239" spans="1:8">
      <c r="H26239" t="s">
        <v>28718</v>
      </c>
    </row>
    <row r="26240" spans="1:8">
      <c r="H26240" t="s">
        <v>28719</v>
      </c>
    </row>
    <row r="26241" spans="1:8">
      <c r="H26241" t="s">
        <v>28720</v>
      </c>
    </row>
    <row r="26242" spans="1:8">
      <c r="H26242" t="s">
        <v>28721</v>
      </c>
    </row>
    <row r="26243" spans="1:8">
      <c r="H26243" t="s">
        <v>28722</v>
      </c>
    </row>
    <row r="26244" spans="1:8">
      <c r="H26244" t="s">
        <v>28723</v>
      </c>
    </row>
    <row r="26245" spans="1:8">
      <c r="H26245" t="s">
        <v>28724</v>
      </c>
    </row>
    <row r="26246" spans="1:8">
      <c r="H26246" t="s">
        <v>28725</v>
      </c>
    </row>
    <row r="26247" spans="1:8">
      <c r="H26247" t="s">
        <v>28726</v>
      </c>
    </row>
    <row r="26248" spans="1:8">
      <c r="H26248" t="s">
        <v>28727</v>
      </c>
    </row>
    <row r="26249" spans="1:8">
      <c r="A26249" t="s">
        <v>1439</v>
      </c>
      <c r="B26249">
        <f>HYPERLINK("https://android.googlesource.com/platform/cts/+/40c0fbdb880888022eec9f77497b93b490ded32c", "40c0fbdb880888022eec9f77497b93b490ded32c")</f>
        <v>0</v>
      </c>
      <c r="C26249">
        <f>HYPERLINK("https://android.googlesource.com/platform/cts/+/9e5c598a273d1f564121fd503b81e89b272c56ea", "9e5c598a273d1f564121fd503b81e89b272c56ea")</f>
        <v>0</v>
      </c>
      <c r="D26249" t="s">
        <v>5018</v>
      </c>
      <c r="E26249" t="s">
        <v>7205</v>
      </c>
      <c r="F26249" t="s">
        <v>13233</v>
      </c>
      <c r="G26249" t="s">
        <v>17372</v>
      </c>
      <c r="H26249" t="s">
        <v>28728</v>
      </c>
    </row>
    <row r="26250" spans="1:8">
      <c r="H26250" t="s">
        <v>28729</v>
      </c>
    </row>
    <row r="26251" spans="1:8">
      <c r="A26251" t="s">
        <v>1440</v>
      </c>
      <c r="B26251">
        <f>HYPERLINK("https://android.googlesource.com/platform/cts/+/6c4571e122b4a4d110f8dcb7627763205a352ad6", "6c4571e122b4a4d110f8dcb7627763205a352ad6")</f>
        <v>0</v>
      </c>
      <c r="C26251">
        <f>HYPERLINK("https://android.googlesource.com/platform/cts/+/bb0d417aa7cd7360fe4f4b434e87ae35c2809aaf", "bb0d417aa7cd7360fe4f4b434e87ae35c2809aaf")</f>
        <v>0</v>
      </c>
      <c r="D26251" t="s">
        <v>5125</v>
      </c>
      <c r="E26251" t="s">
        <v>7206</v>
      </c>
      <c r="F26251" t="s">
        <v>12206</v>
      </c>
      <c r="G26251" t="s">
        <v>16444</v>
      </c>
      <c r="H26251" t="s">
        <v>28730</v>
      </c>
    </row>
    <row r="26252" spans="1:8">
      <c r="H26252" t="s">
        <v>28731</v>
      </c>
    </row>
    <row r="26253" spans="1:8">
      <c r="A26253" t="s">
        <v>1441</v>
      </c>
      <c r="B26253">
        <f>HYPERLINK("https://android.googlesource.com/platform/cts/+/37cd26d47468d246a9e3a8a7bff43f0f931a22e1", "37cd26d47468d246a9e3a8a7bff43f0f931a22e1")</f>
        <v>0</v>
      </c>
      <c r="C26253">
        <f>HYPERLINK("https://android.googlesource.com/platform/cts/+/9154927fb626c199405e8a1661029c6dfcd1988a", "9154927fb626c199405e8a1661029c6dfcd1988a")</f>
        <v>0</v>
      </c>
      <c r="D26253" t="s">
        <v>4963</v>
      </c>
      <c r="E26253" t="s">
        <v>7207</v>
      </c>
      <c r="F26253" t="s">
        <v>12250</v>
      </c>
      <c r="G26253" t="s">
        <v>16481</v>
      </c>
      <c r="H26253" t="s">
        <v>19267</v>
      </c>
    </row>
    <row r="26254" spans="1:8">
      <c r="H26254" t="s">
        <v>18829</v>
      </c>
    </row>
    <row r="26255" spans="1:8">
      <c r="H26255" t="s">
        <v>21525</v>
      </c>
    </row>
    <row r="26256" spans="1:8">
      <c r="H26256" t="s">
        <v>21526</v>
      </c>
    </row>
    <row r="26257" spans="1:8">
      <c r="H26257" t="s">
        <v>21527</v>
      </c>
    </row>
    <row r="26258" spans="1:8">
      <c r="A26258" t="s">
        <v>1442</v>
      </c>
      <c r="B26258">
        <f>HYPERLINK("https://android.googlesource.com/platform/cts/+/dcaac2d294b1b45ebddbbd44203729a2d0064562", "dcaac2d294b1b45ebddbbd44203729a2d0064562")</f>
        <v>0</v>
      </c>
      <c r="C26258">
        <f>HYPERLINK("https://android.googlesource.com/platform/cts/+/60e4b34abdba08423d798afeaceb44a76ab32ba0", "60e4b34abdba08423d798afeaceb44a76ab32ba0")</f>
        <v>0</v>
      </c>
      <c r="D26258" t="s">
        <v>5112</v>
      </c>
      <c r="E26258" t="s">
        <v>7208</v>
      </c>
      <c r="F26258" t="s">
        <v>12414</v>
      </c>
      <c r="G26258" t="s">
        <v>16636</v>
      </c>
      <c r="H26258" t="s">
        <v>28732</v>
      </c>
    </row>
    <row r="26259" spans="1:8">
      <c r="A26259" t="s">
        <v>1443</v>
      </c>
      <c r="B26259">
        <f>HYPERLINK("https://android.googlesource.com/platform/cts/+/29147d2564dec1e1641f1dc3eee62d68db84486a", "29147d2564dec1e1641f1dc3eee62d68db84486a")</f>
        <v>0</v>
      </c>
      <c r="C26259">
        <f>HYPERLINK("https://android.googlesource.com/platform/cts/+/d66b68ee699bd576cc43ddc1e09828310cffcf7f", "d66b68ee699bd576cc43ddc1e09828310cffcf7f")</f>
        <v>0</v>
      </c>
      <c r="D26259" t="s">
        <v>5085</v>
      </c>
      <c r="E26259" t="s">
        <v>7209</v>
      </c>
      <c r="F26259" t="s">
        <v>13211</v>
      </c>
      <c r="G26259" t="s">
        <v>17352</v>
      </c>
      <c r="H26259" t="s">
        <v>28548</v>
      </c>
    </row>
    <row r="26260" spans="1:8">
      <c r="H26260" t="s">
        <v>28733</v>
      </c>
    </row>
    <row r="26261" spans="1:8">
      <c r="A26261" t="s">
        <v>1444</v>
      </c>
      <c r="B26261">
        <f>HYPERLINK("https://android.googlesource.com/platform/cts/+/cfc39597bd8c2eab3a1845bded4fb403ecb14fd2", "cfc39597bd8c2eab3a1845bded4fb403ecb14fd2")</f>
        <v>0</v>
      </c>
      <c r="C26261">
        <f>HYPERLINK("https://android.googlesource.com/platform/cts/+/1e90b1e471ebe46e0e28fa5764cfe7f287d76b73", "1e90b1e471ebe46e0e28fa5764cfe7f287d76b73")</f>
        <v>0</v>
      </c>
      <c r="D26261" t="s">
        <v>5198</v>
      </c>
      <c r="E26261" t="s">
        <v>7210</v>
      </c>
      <c r="F26261" t="s">
        <v>10668</v>
      </c>
      <c r="G26261" t="s">
        <v>15069</v>
      </c>
      <c r="H26261" t="s">
        <v>28734</v>
      </c>
    </row>
    <row r="26262" spans="1:8">
      <c r="A26262" t="s">
        <v>1445</v>
      </c>
      <c r="B26262">
        <f>HYPERLINK("https://android.googlesource.com/platform/cts/+/c34eb130380ea58023fbabbf74288bb144627d3e", "c34eb130380ea58023fbabbf74288bb144627d3e")</f>
        <v>0</v>
      </c>
      <c r="C26262">
        <f>HYPERLINK("https://android.googlesource.com/platform/cts/+/408ffa36528328dbf9017eb156844e0b4a19e3ac", "408ffa36528328dbf9017eb156844e0b4a19e3ac")</f>
        <v>0</v>
      </c>
      <c r="D26262" t="s">
        <v>4949</v>
      </c>
      <c r="E26262" t="s">
        <v>7211</v>
      </c>
      <c r="F26262" t="s">
        <v>13230</v>
      </c>
      <c r="G26262" t="s">
        <v>17371</v>
      </c>
      <c r="H26262" t="s">
        <v>22685</v>
      </c>
    </row>
    <row r="26263" spans="1:8">
      <c r="H26263" t="s">
        <v>28735</v>
      </c>
    </row>
    <row r="26264" spans="1:8">
      <c r="A26264" t="s">
        <v>1446</v>
      </c>
      <c r="B26264">
        <f>HYPERLINK("https://android.googlesource.com/platform/cts/+/a579c2904470f3932be6e5e880e9c89325888c3b", "a579c2904470f3932be6e5e880e9c89325888c3b")</f>
        <v>0</v>
      </c>
      <c r="C26264">
        <f>HYPERLINK("https://android.googlesource.com/platform/cts/+/2668813c025884936baf705a0b042eff1791ac2c", "2668813c025884936baf705a0b042eff1791ac2c")</f>
        <v>0</v>
      </c>
      <c r="D26264" t="s">
        <v>5216</v>
      </c>
      <c r="E26264" t="s">
        <v>7212</v>
      </c>
      <c r="F26264" t="s">
        <v>10689</v>
      </c>
      <c r="G26264" t="s">
        <v>15089</v>
      </c>
      <c r="H26264" t="s">
        <v>28736</v>
      </c>
    </row>
    <row r="26265" spans="1:8">
      <c r="A26265" t="s">
        <v>1447</v>
      </c>
      <c r="B26265">
        <f>HYPERLINK("https://android.googlesource.com/platform/cts/+/ea5dbe1802a1a619824d5ce5dfeed6b70364d871", "ea5dbe1802a1a619824d5ce5dfeed6b70364d871")</f>
        <v>0</v>
      </c>
      <c r="C26265">
        <f>HYPERLINK("https://android.googlesource.com/platform/cts/+/94c2c84530ba3eea31ecc6e3f4907920bf618ea6", "94c2c84530ba3eea31ecc6e3f4907920bf618ea6")</f>
        <v>0</v>
      </c>
      <c r="D26265" t="s">
        <v>5176</v>
      </c>
      <c r="E26265" t="s">
        <v>7213</v>
      </c>
      <c r="F26265" t="s">
        <v>10794</v>
      </c>
      <c r="G26265" t="s">
        <v>15189</v>
      </c>
      <c r="H26265" t="s">
        <v>28737</v>
      </c>
    </row>
    <row r="26266" spans="1:8">
      <c r="H26266" t="s">
        <v>28738</v>
      </c>
    </row>
    <row r="26267" spans="1:8">
      <c r="H26267" t="s">
        <v>28739</v>
      </c>
    </row>
    <row r="26268" spans="1:8">
      <c r="A26268" t="s">
        <v>1448</v>
      </c>
      <c r="B26268">
        <f>HYPERLINK("https://android.googlesource.com/platform/cts/+/5eb19bfe1bda7f6dfe75b55e320a01ee15bae035", "5eb19bfe1bda7f6dfe75b55e320a01ee15bae035")</f>
        <v>0</v>
      </c>
      <c r="C26268">
        <f>HYPERLINK("https://android.googlesource.com/platform/cts/+/871fe1eb1ee80ec48899e7396539e496ab1719e3", "871fe1eb1ee80ec48899e7396539e496ab1719e3")</f>
        <v>0</v>
      </c>
      <c r="D26268" t="s">
        <v>5217</v>
      </c>
      <c r="E26268" t="s">
        <v>7214</v>
      </c>
      <c r="F26268" t="s">
        <v>12817</v>
      </c>
      <c r="G26268" t="s">
        <v>16629</v>
      </c>
      <c r="H26268" t="s">
        <v>22743</v>
      </c>
    </row>
    <row r="26269" spans="1:8">
      <c r="A26269" t="s">
        <v>1449</v>
      </c>
      <c r="B26269">
        <f>HYPERLINK("https://android.googlesource.com/platform/cts/+/4b4f5dd8dd01bc83d6870d490ccb81280796d8bb", "4b4f5dd8dd01bc83d6870d490ccb81280796d8bb")</f>
        <v>0</v>
      </c>
      <c r="C26269">
        <f>HYPERLINK("https://android.googlesource.com/platform/cts/+/5eb19bfe1bda7f6dfe75b55e320a01ee15bae035", "5eb19bfe1bda7f6dfe75b55e320a01ee15bae035")</f>
        <v>0</v>
      </c>
      <c r="D26269" t="s">
        <v>5217</v>
      </c>
      <c r="E26269" t="s">
        <v>7215</v>
      </c>
      <c r="F26269" t="s">
        <v>13234</v>
      </c>
      <c r="G26269" t="s">
        <v>17373</v>
      </c>
      <c r="H26269" t="s">
        <v>28740</v>
      </c>
    </row>
    <row r="26270" spans="1:8">
      <c r="A26270" t="s">
        <v>1450</v>
      </c>
      <c r="B26270">
        <f>HYPERLINK("https://android.googlesource.com/platform/cts/+/3747b9fe9a50d3ae38633c60e65d23a0003d84ad", "3747b9fe9a50d3ae38633c60e65d23a0003d84ad")</f>
        <v>0</v>
      </c>
      <c r="C26270">
        <f>HYPERLINK("https://android.googlesource.com/platform/cts/+/80f196062b9cf3d3ff3043328bb8039c86f78e88", "80f196062b9cf3d3ff3043328bb8039c86f78e88")</f>
        <v>0</v>
      </c>
      <c r="D26270" t="s">
        <v>5218</v>
      </c>
      <c r="E26270" t="s">
        <v>7216</v>
      </c>
      <c r="F26270" t="s">
        <v>13235</v>
      </c>
      <c r="G26270" t="s">
        <v>17374</v>
      </c>
      <c r="H26270" t="s">
        <v>28741</v>
      </c>
    </row>
    <row r="26271" spans="1:8">
      <c r="A26271" t="s">
        <v>1451</v>
      </c>
      <c r="B26271">
        <f>HYPERLINK("https://android.googlesource.com/platform/cts/+/67b0bb83bca4b40904575adcc791f8a2bf1357e4", "67b0bb83bca4b40904575adcc791f8a2bf1357e4")</f>
        <v>0</v>
      </c>
      <c r="C26271">
        <f>HYPERLINK("https://android.googlesource.com/platform/cts/+/59d7f3916d592532bf1f5e725342619373b967e4", "59d7f3916d592532bf1f5e725342619373b967e4")</f>
        <v>0</v>
      </c>
      <c r="D26271" t="s">
        <v>5194</v>
      </c>
      <c r="E26271" t="s">
        <v>7217</v>
      </c>
      <c r="F26271" t="s">
        <v>13236</v>
      </c>
      <c r="G26271" t="s">
        <v>17375</v>
      </c>
      <c r="H26271" t="s">
        <v>28742</v>
      </c>
    </row>
    <row r="26272" spans="1:8">
      <c r="A26272" t="s">
        <v>1452</v>
      </c>
      <c r="B26272">
        <f>HYPERLINK("https://android.googlesource.com/platform/cts/+/e70dc01bb7312e7de1944b128135d270c268711f", "e70dc01bb7312e7de1944b128135d270c268711f")</f>
        <v>0</v>
      </c>
      <c r="C26272">
        <f>HYPERLINK("https://android.googlesource.com/platform/cts/+/09cfaec62e68a19a0b908863c4a15f07d058352a", "09cfaec62e68a19a0b908863c4a15f07d058352a")</f>
        <v>0</v>
      </c>
      <c r="D26272" t="s">
        <v>5084</v>
      </c>
      <c r="E26272" t="s">
        <v>7218</v>
      </c>
      <c r="F26272" t="s">
        <v>12765</v>
      </c>
      <c r="G26272" t="s">
        <v>16954</v>
      </c>
      <c r="H26272" t="s">
        <v>28743</v>
      </c>
    </row>
    <row r="26273" spans="1:8">
      <c r="H26273" t="s">
        <v>28744</v>
      </c>
    </row>
    <row r="26274" spans="1:8">
      <c r="H26274" t="s">
        <v>28745</v>
      </c>
    </row>
    <row r="26275" spans="1:8">
      <c r="A26275" t="s">
        <v>1453</v>
      </c>
      <c r="B26275">
        <f>HYPERLINK("https://android.googlesource.com/platform/cts/+/e687ad77936d09e6bb1baf555c3b7bc18cc65867", "e687ad77936d09e6bb1baf555c3b7bc18cc65867")</f>
        <v>0</v>
      </c>
      <c r="C26275">
        <f>HYPERLINK("https://android.googlesource.com/platform/cts/+/7115fc9fb8e8a44bebafc804eab4d1fa5795a886", "7115fc9fb8e8a44bebafc804eab4d1fa5795a886")</f>
        <v>0</v>
      </c>
      <c r="D26275" t="s">
        <v>5198</v>
      </c>
      <c r="E26275" t="s">
        <v>7219</v>
      </c>
      <c r="F26275" t="s">
        <v>10668</v>
      </c>
      <c r="G26275" t="s">
        <v>15069</v>
      </c>
      <c r="H26275" t="s">
        <v>28746</v>
      </c>
    </row>
    <row r="26276" spans="1:8">
      <c r="H26276" t="s">
        <v>28747</v>
      </c>
    </row>
    <row r="26277" spans="1:8">
      <c r="A26277" t="s">
        <v>1454</v>
      </c>
      <c r="B26277">
        <f>HYPERLINK("https://android.googlesource.com/platform/cts/+/ac6e6cc51d2bb64dd7984934964f40fbaec35175", "ac6e6cc51d2bb64dd7984934964f40fbaec35175")</f>
        <v>0</v>
      </c>
      <c r="C26277">
        <f>HYPERLINK("https://android.googlesource.com/platform/cts/+/2acd32bd34066d9c0dc02404a71a4c5f766894a2", "2acd32bd34066d9c0dc02404a71a4c5f766894a2")</f>
        <v>0</v>
      </c>
      <c r="D26277" t="s">
        <v>4994</v>
      </c>
      <c r="E26277" t="s">
        <v>7220</v>
      </c>
      <c r="F26277" t="s">
        <v>13124</v>
      </c>
      <c r="G26277" t="s">
        <v>17376</v>
      </c>
      <c r="H26277" t="s">
        <v>19981</v>
      </c>
    </row>
    <row r="26278" spans="1:8">
      <c r="H26278" t="s">
        <v>28748</v>
      </c>
    </row>
    <row r="26279" spans="1:8">
      <c r="A26279" t="s">
        <v>1455</v>
      </c>
      <c r="B26279">
        <f>HYPERLINK("https://android.googlesource.com/platform/cts/+/017121aef8762229e700e97328c978fd36b8a9f4", "017121aef8762229e700e97328c978fd36b8a9f4")</f>
        <v>0</v>
      </c>
      <c r="C26279">
        <f>HYPERLINK("https://android.googlesource.com/platform/cts/+/d1038b4ed244bf5cd9186e01f432cabf0acd2fc6", "d1038b4ed244bf5cd9186e01f432cabf0acd2fc6")</f>
        <v>0</v>
      </c>
      <c r="D26279" t="s">
        <v>5219</v>
      </c>
      <c r="E26279" t="s">
        <v>7221</v>
      </c>
      <c r="F26279" t="s">
        <v>13237</v>
      </c>
      <c r="G26279" t="s">
        <v>17377</v>
      </c>
      <c r="H26279" t="s">
        <v>28749</v>
      </c>
    </row>
    <row r="26280" spans="1:8">
      <c r="H26280" t="s">
        <v>28750</v>
      </c>
    </row>
    <row r="26281" spans="1:8">
      <c r="A26281" t="s">
        <v>1456</v>
      </c>
      <c r="B26281">
        <f>HYPERLINK("https://android.googlesource.com/platform/cts/+/9a3019f24569937d1760f2a55457bf3fe6b2b186", "9a3019f24569937d1760f2a55457bf3fe6b2b186")</f>
        <v>0</v>
      </c>
      <c r="C26281">
        <f>HYPERLINK("https://android.googlesource.com/platform/cts/+/017121aef8762229e700e97328c978fd36b8a9f4", "017121aef8762229e700e97328c978fd36b8a9f4")</f>
        <v>0</v>
      </c>
      <c r="D26281" t="s">
        <v>5219</v>
      </c>
      <c r="E26281" t="s">
        <v>7222</v>
      </c>
      <c r="F26281" t="s">
        <v>10716</v>
      </c>
      <c r="G26281" t="s">
        <v>15115</v>
      </c>
      <c r="H26281" t="s">
        <v>19510</v>
      </c>
    </row>
    <row r="26282" spans="1:8">
      <c r="A26282" t="s">
        <v>1457</v>
      </c>
      <c r="B26282">
        <f>HYPERLINK("https://android.googlesource.com/platform/cts/+/09244bcc810dd789f4b222c76c582510f1ba4a10", "09244bcc810dd789f4b222c76c582510f1ba4a10")</f>
        <v>0</v>
      </c>
      <c r="C26282">
        <f>HYPERLINK("https://android.googlesource.com/platform/cts/+/d0979c3132a14e50546601a817270d7839a8e864", "d0979c3132a14e50546601a817270d7839a8e864")</f>
        <v>0</v>
      </c>
      <c r="D26282" t="s">
        <v>5220</v>
      </c>
      <c r="E26282" t="s">
        <v>7223</v>
      </c>
      <c r="F26282" t="s">
        <v>12222</v>
      </c>
      <c r="G26282" t="s">
        <v>16452</v>
      </c>
      <c r="H26282" t="s">
        <v>28751</v>
      </c>
    </row>
    <row r="26283" spans="1:8">
      <c r="A26283" t="s">
        <v>1458</v>
      </c>
      <c r="B26283">
        <f>HYPERLINK("https://android.googlesource.com/platform/cts/+/5c18b9727bc2e9ce91a948a677be33aaeb9c4214", "5c18b9727bc2e9ce91a948a677be33aaeb9c4214")</f>
        <v>0</v>
      </c>
      <c r="C26283">
        <f>HYPERLINK("https://android.googlesource.com/platform/cts/+/824ada18e8c59f8f14d34e2732cdf139e2d143fd", "824ada18e8c59f8f14d34e2732cdf139e2d143fd")</f>
        <v>0</v>
      </c>
      <c r="D26283" t="s">
        <v>5108</v>
      </c>
      <c r="E26283" t="s">
        <v>7224</v>
      </c>
      <c r="F26283" t="s">
        <v>12743</v>
      </c>
      <c r="G26283" t="s">
        <v>16935</v>
      </c>
      <c r="H26283" t="s">
        <v>26296</v>
      </c>
    </row>
    <row r="26284" spans="1:8">
      <c r="H26284" t="s">
        <v>28752</v>
      </c>
    </row>
    <row r="26285" spans="1:8">
      <c r="F26285" t="s">
        <v>13136</v>
      </c>
      <c r="G26285" t="s">
        <v>17293</v>
      </c>
      <c r="H26285" t="s">
        <v>26296</v>
      </c>
    </row>
    <row r="26286" spans="1:8">
      <c r="H26286" t="s">
        <v>28752</v>
      </c>
    </row>
    <row r="26287" spans="1:8">
      <c r="H26287" t="s">
        <v>28753</v>
      </c>
    </row>
    <row r="26288" spans="1:8">
      <c r="A26288" t="s">
        <v>1459</v>
      </c>
      <c r="B26288">
        <f>HYPERLINK("https://android.googlesource.com/platform/cts/+/b583abd2b5cfc13e3296030e2061343d474a0a57", "b583abd2b5cfc13e3296030e2061343d474a0a57")</f>
        <v>0</v>
      </c>
      <c r="C26288">
        <f>HYPERLINK("https://android.googlesource.com/platform/cts/+/7d36e01b3ee03de41e220d143ae604eb445da2fe", "7d36e01b3ee03de41e220d143ae604eb445da2fe")</f>
        <v>0</v>
      </c>
      <c r="D26288" t="s">
        <v>4994</v>
      </c>
      <c r="E26288" t="s">
        <v>7225</v>
      </c>
      <c r="F26288" t="s">
        <v>13238</v>
      </c>
      <c r="G26288" t="s">
        <v>17378</v>
      </c>
      <c r="H26288" t="s">
        <v>28008</v>
      </c>
    </row>
    <row r="26289" spans="1:8">
      <c r="H26289" t="s">
        <v>28754</v>
      </c>
    </row>
    <row r="26290" spans="1:8">
      <c r="H26290" t="s">
        <v>28755</v>
      </c>
    </row>
    <row r="26291" spans="1:8">
      <c r="H26291" t="s">
        <v>28756</v>
      </c>
    </row>
    <row r="26292" spans="1:8">
      <c r="H26292" t="s">
        <v>28757</v>
      </c>
    </row>
    <row r="26293" spans="1:8">
      <c r="A26293" t="s">
        <v>1460</v>
      </c>
      <c r="B26293">
        <f>HYPERLINK("https://android.googlesource.com/platform/cts/+/fbb7d80e9d647a6dbe05d811a5521e155e8f532a", "fbb7d80e9d647a6dbe05d811a5521e155e8f532a")</f>
        <v>0</v>
      </c>
      <c r="C26293">
        <f>HYPERLINK("https://android.googlesource.com/platform/cts/+/bde13c23346d7c5e1f464cae949c844ddf404dc5", "bde13c23346d7c5e1f464cae949c844ddf404dc5")</f>
        <v>0</v>
      </c>
      <c r="D26293" t="s">
        <v>5132</v>
      </c>
      <c r="E26293" t="s">
        <v>7226</v>
      </c>
      <c r="F26293" t="s">
        <v>13239</v>
      </c>
      <c r="G26293" t="s">
        <v>17379</v>
      </c>
      <c r="H26293" t="s">
        <v>28758</v>
      </c>
    </row>
    <row r="26294" spans="1:8">
      <c r="F26294" t="s">
        <v>13240</v>
      </c>
      <c r="G26294" t="s">
        <v>17380</v>
      </c>
      <c r="H26294" t="s">
        <v>28758</v>
      </c>
    </row>
    <row r="26295" spans="1:8">
      <c r="A26295" t="s">
        <v>1461</v>
      </c>
      <c r="B26295">
        <f>HYPERLINK("https://android.googlesource.com/platform/cts/+/8dda6e8488fa2a7d9f2133d0c0856b0f85c369b5", "8dda6e8488fa2a7d9f2133d0c0856b0f85c369b5")</f>
        <v>0</v>
      </c>
      <c r="C26295">
        <f>HYPERLINK("https://android.googlesource.com/platform/cts/+/1f405e4d0d286795f06caf62aa5e5704e6827690", "1f405e4d0d286795f06caf62aa5e5704e6827690")</f>
        <v>0</v>
      </c>
      <c r="D26295" t="s">
        <v>5191</v>
      </c>
      <c r="E26295" t="s">
        <v>7227</v>
      </c>
      <c r="F26295" t="s">
        <v>12715</v>
      </c>
      <c r="G26295" t="s">
        <v>15144</v>
      </c>
      <c r="H26295" t="s">
        <v>26656</v>
      </c>
    </row>
    <row r="26296" spans="1:8">
      <c r="A26296" t="s">
        <v>1462</v>
      </c>
      <c r="B26296">
        <f>HYPERLINK("https://android.googlesource.com/platform/cts/+/8d2593e7da07b66cd393caa7ebf6294abbbe6052", "8d2593e7da07b66cd393caa7ebf6294abbbe6052")</f>
        <v>0</v>
      </c>
      <c r="C26296">
        <f>HYPERLINK("https://android.googlesource.com/platform/cts/+/3475d09171224073c2f85fe3c8bb329023ff84a8", "3475d09171224073c2f85fe3c8bb329023ff84a8")</f>
        <v>0</v>
      </c>
      <c r="D26296" t="s">
        <v>5117</v>
      </c>
      <c r="E26296" t="s">
        <v>7228</v>
      </c>
      <c r="F26296" t="s">
        <v>13241</v>
      </c>
      <c r="G26296" t="s">
        <v>17381</v>
      </c>
      <c r="H26296" t="s">
        <v>28759</v>
      </c>
    </row>
    <row r="26297" spans="1:8">
      <c r="H26297" t="s">
        <v>28760</v>
      </c>
    </row>
    <row r="26298" spans="1:8">
      <c r="H26298" t="s">
        <v>28761</v>
      </c>
    </row>
    <row r="26299" spans="1:8">
      <c r="H26299" t="s">
        <v>28762</v>
      </c>
    </row>
    <row r="26300" spans="1:8">
      <c r="H26300" t="s">
        <v>28763</v>
      </c>
    </row>
    <row r="26301" spans="1:8">
      <c r="H26301" t="s">
        <v>28764</v>
      </c>
    </row>
    <row r="26302" spans="1:8">
      <c r="H26302" t="s">
        <v>28765</v>
      </c>
    </row>
    <row r="26303" spans="1:8">
      <c r="H26303" t="s">
        <v>28766</v>
      </c>
    </row>
    <row r="26304" spans="1:8">
      <c r="A26304" t="s">
        <v>1463</v>
      </c>
      <c r="B26304">
        <f>HYPERLINK("https://android.googlesource.com/platform/cts/+/059319ad2d844f036d1ab02538dcd44f16f58bf0", "059319ad2d844f036d1ab02538dcd44f16f58bf0")</f>
        <v>0</v>
      </c>
      <c r="C26304">
        <f>HYPERLINK("https://android.googlesource.com/platform/cts/+/650896ae232cf95b5ebe8792b829127ee731d366", "650896ae232cf95b5ebe8792b829127ee731d366")</f>
        <v>0</v>
      </c>
      <c r="D26304" t="s">
        <v>5132</v>
      </c>
      <c r="E26304" t="s">
        <v>7229</v>
      </c>
      <c r="F26304" t="s">
        <v>10794</v>
      </c>
      <c r="G26304" t="s">
        <v>15189</v>
      </c>
      <c r="H26304" t="s">
        <v>28767</v>
      </c>
    </row>
    <row r="26305" spans="1:8">
      <c r="A26305" t="s">
        <v>1464</v>
      </c>
      <c r="B26305">
        <f>HYPERLINK("https://android.googlesource.com/platform/cts/+/09b6eccae5812a1f72b97ceaa9f03790dfdc51c0", "09b6eccae5812a1f72b97ceaa9f03790dfdc51c0")</f>
        <v>0</v>
      </c>
      <c r="C26305">
        <f>HYPERLINK("https://android.googlesource.com/platform/cts/+/e58adc6aae7aeb2e64ae9e61177be19739ee9ca6", "e58adc6aae7aeb2e64ae9e61177be19739ee9ca6")</f>
        <v>0</v>
      </c>
      <c r="D26305" t="s">
        <v>5221</v>
      </c>
      <c r="E26305" t="s">
        <v>7230</v>
      </c>
      <c r="F26305" t="s">
        <v>10794</v>
      </c>
      <c r="G26305" t="s">
        <v>15189</v>
      </c>
      <c r="H26305" t="s">
        <v>28768</v>
      </c>
    </row>
    <row r="26306" spans="1:8">
      <c r="A26306" t="s">
        <v>1465</v>
      </c>
      <c r="B26306">
        <f>HYPERLINK("https://android.googlesource.com/platform/cts/+/1595c6a337805d838207d69a2f7aa2be27e5f21f", "1595c6a337805d838207d69a2f7aa2be27e5f21f")</f>
        <v>0</v>
      </c>
      <c r="C26306">
        <f>HYPERLINK("https://android.googlesource.com/platform/cts/+/2a74534e787c9665b233896920e758c1337c9c37", "2a74534e787c9665b233896920e758c1337c9c37")</f>
        <v>0</v>
      </c>
      <c r="D26306" t="s">
        <v>5051</v>
      </c>
      <c r="E26306" t="s">
        <v>7231</v>
      </c>
      <c r="F26306" t="s">
        <v>13242</v>
      </c>
      <c r="G26306" t="s">
        <v>17382</v>
      </c>
      <c r="H26306" t="s">
        <v>28769</v>
      </c>
    </row>
    <row r="26307" spans="1:8">
      <c r="H26307" t="s">
        <v>28770</v>
      </c>
    </row>
    <row r="26308" spans="1:8">
      <c r="H26308" t="s">
        <v>28771</v>
      </c>
    </row>
    <row r="26309" spans="1:8">
      <c r="A26309" t="s">
        <v>1467</v>
      </c>
      <c r="B26309">
        <f>HYPERLINK("https://android.googlesource.com/platform/cts/+/9d10eea6cc462812daf096a8c4acfea04ca98759", "9d10eea6cc462812daf096a8c4acfea04ca98759")</f>
        <v>0</v>
      </c>
      <c r="C26309">
        <f>HYPERLINK("https://android.googlesource.com/platform/cts/+/9ce652a09c5f1ff4dcbebe7b40a2aa971d98565c", "9ce652a09c5f1ff4dcbebe7b40a2aa971d98565c")</f>
        <v>0</v>
      </c>
      <c r="D26309" t="s">
        <v>5117</v>
      </c>
      <c r="E26309" t="s">
        <v>7232</v>
      </c>
      <c r="F26309" t="s">
        <v>13241</v>
      </c>
      <c r="G26309" t="s">
        <v>17381</v>
      </c>
      <c r="H26309" t="s">
        <v>28772</v>
      </c>
    </row>
    <row r="26310" spans="1:8">
      <c r="H26310" t="s">
        <v>28773</v>
      </c>
    </row>
    <row r="26311" spans="1:8">
      <c r="A26311" t="s">
        <v>1468</v>
      </c>
      <c r="B26311">
        <f>HYPERLINK("https://android.googlesource.com/platform/cts/+/a8c76d2d544f6ea6bc6e1014465ba6f1f35123c5", "a8c76d2d544f6ea6bc6e1014465ba6f1f35123c5")</f>
        <v>0</v>
      </c>
      <c r="C26311">
        <f>HYPERLINK("https://android.googlesource.com/platform/cts/+/07810b23e9f5dc6a2dec25031e66877ce7d0bec0", "07810b23e9f5dc6a2dec25031e66877ce7d0bec0")</f>
        <v>0</v>
      </c>
      <c r="D26311" t="s">
        <v>5167</v>
      </c>
      <c r="E26311" t="s">
        <v>7233</v>
      </c>
      <c r="F26311" t="s">
        <v>13243</v>
      </c>
      <c r="G26311" t="s">
        <v>17383</v>
      </c>
      <c r="H26311" t="s">
        <v>28774</v>
      </c>
    </row>
    <row r="26312" spans="1:8">
      <c r="H26312" t="s">
        <v>28775</v>
      </c>
    </row>
    <row r="26313" spans="1:8">
      <c r="H26313" t="s">
        <v>28776</v>
      </c>
    </row>
    <row r="26314" spans="1:8">
      <c r="F26314" t="s">
        <v>13244</v>
      </c>
      <c r="G26314" t="s">
        <v>17384</v>
      </c>
      <c r="H26314" t="s">
        <v>28777</v>
      </c>
    </row>
    <row r="26315" spans="1:8">
      <c r="A26315" t="s">
        <v>1469</v>
      </c>
      <c r="B26315">
        <f>HYPERLINK("https://android.googlesource.com/platform/cts/+/de6fec89b81cccfd0f880b20f16a560acb1a9818", "de6fec89b81cccfd0f880b20f16a560acb1a9818")</f>
        <v>0</v>
      </c>
      <c r="C26315">
        <f>HYPERLINK("https://android.googlesource.com/platform/cts/+/7166244312a84d08088d6385c5022ef30ba52b49", "7166244312a84d08088d6385c5022ef30ba52b49")</f>
        <v>0</v>
      </c>
      <c r="D26315" t="s">
        <v>5090</v>
      </c>
      <c r="E26315" t="s">
        <v>7234</v>
      </c>
      <c r="F26315" t="s">
        <v>13245</v>
      </c>
      <c r="G26315" t="s">
        <v>17385</v>
      </c>
      <c r="H26315" t="s">
        <v>28778</v>
      </c>
    </row>
    <row r="26316" spans="1:8">
      <c r="H26316" t="s">
        <v>28779</v>
      </c>
    </row>
    <row r="26317" spans="1:8">
      <c r="A26317" t="s">
        <v>1470</v>
      </c>
      <c r="B26317">
        <f>HYPERLINK("https://android.googlesource.com/platform/cts/+/48c25a12da73045d802603624423d1ac22f98aec", "48c25a12da73045d802603624423d1ac22f98aec")</f>
        <v>0</v>
      </c>
      <c r="C26317">
        <f>HYPERLINK("https://android.googlesource.com/platform/cts/+/dfb3576b3c5846e80b3e60429870ab95c3142fd3", "dfb3576b3c5846e80b3e60429870ab95c3142fd3")</f>
        <v>0</v>
      </c>
      <c r="D26317" t="s">
        <v>5222</v>
      </c>
      <c r="E26317" t="s">
        <v>7235</v>
      </c>
      <c r="F26317" t="s">
        <v>13246</v>
      </c>
      <c r="G26317" t="s">
        <v>17386</v>
      </c>
      <c r="H26317" t="s">
        <v>28780</v>
      </c>
    </row>
    <row r="26318" spans="1:8">
      <c r="A26318" t="s">
        <v>1471</v>
      </c>
      <c r="B26318">
        <f>HYPERLINK("https://android.googlesource.com/platform/cts/+/7effe392834833769347a27b0ae29ced4be72ede", "7effe392834833769347a27b0ae29ced4be72ede")</f>
        <v>0</v>
      </c>
      <c r="C26318">
        <f>HYPERLINK("https://android.googlesource.com/platform/cts/+/85e2d548c0f908fb7e053ad13d2ebd7aee6cd822", "85e2d548c0f908fb7e053ad13d2ebd7aee6cd822")</f>
        <v>0</v>
      </c>
      <c r="D26318" t="s">
        <v>4960</v>
      </c>
      <c r="E26318" t="s">
        <v>7236</v>
      </c>
      <c r="F26318" t="s">
        <v>13132</v>
      </c>
      <c r="G26318" t="s">
        <v>17290</v>
      </c>
      <c r="H26318" t="s">
        <v>28030</v>
      </c>
    </row>
    <row r="26319" spans="1:8">
      <c r="H26319" t="s">
        <v>28031</v>
      </c>
    </row>
    <row r="26320" spans="1:8">
      <c r="H26320" t="s">
        <v>28032</v>
      </c>
    </row>
    <row r="26321" spans="1:8">
      <c r="H26321" t="s">
        <v>28033</v>
      </c>
    </row>
    <row r="26322" spans="1:8">
      <c r="H26322" t="s">
        <v>28034</v>
      </c>
    </row>
    <row r="26323" spans="1:8">
      <c r="H26323" t="s">
        <v>28035</v>
      </c>
    </row>
    <row r="26324" spans="1:8">
      <c r="A26324" t="s">
        <v>1472</v>
      </c>
      <c r="B26324">
        <f>HYPERLINK("https://android.googlesource.com/platform/cts/+/500c917bdfa75fd734581d7ea825a7bd7383fab7", "500c917bdfa75fd734581d7ea825a7bd7383fab7")</f>
        <v>0</v>
      </c>
      <c r="C26324">
        <f>HYPERLINK("https://android.googlesource.com/platform/cts/+/43af5942cdd113fad21368fb22d7cbbf0f11443d", "43af5942cdd113fad21368fb22d7cbbf0f11443d")</f>
        <v>0</v>
      </c>
      <c r="D26324" t="s">
        <v>5223</v>
      </c>
      <c r="E26324" t="s">
        <v>7237</v>
      </c>
      <c r="F26324" t="s">
        <v>13247</v>
      </c>
      <c r="G26324" t="s">
        <v>17387</v>
      </c>
      <c r="H26324" t="s">
        <v>28781</v>
      </c>
    </row>
    <row r="26325" spans="1:8">
      <c r="H26325" t="s">
        <v>18829</v>
      </c>
    </row>
    <row r="26326" spans="1:8">
      <c r="H26326" t="s">
        <v>28782</v>
      </c>
    </row>
    <row r="26327" spans="1:8">
      <c r="A26327" t="s">
        <v>1473</v>
      </c>
      <c r="B26327">
        <f>HYPERLINK("https://android.googlesource.com/platform/cts/+/c404c53f41512941fe29e9de6ef8d26eeb063338", "c404c53f41512941fe29e9de6ef8d26eeb063338")</f>
        <v>0</v>
      </c>
      <c r="C26327">
        <f>HYPERLINK("https://android.googlesource.com/platform/cts/+/1bbdbb9c640bb6248723c463f5c416873d1aa526", "1bbdbb9c640bb6248723c463f5c416873d1aa526")</f>
        <v>0</v>
      </c>
      <c r="D26327" t="s">
        <v>5224</v>
      </c>
      <c r="E26327" t="s">
        <v>7238</v>
      </c>
      <c r="F26327" t="s">
        <v>13248</v>
      </c>
      <c r="G26327" t="s">
        <v>17388</v>
      </c>
      <c r="H26327" t="s">
        <v>28783</v>
      </c>
    </row>
    <row r="26328" spans="1:8">
      <c r="H26328" t="s">
        <v>28784</v>
      </c>
    </row>
    <row r="26329" spans="1:8">
      <c r="A26329" t="s">
        <v>1474</v>
      </c>
      <c r="B26329">
        <f>HYPERLINK("https://android.googlesource.com/platform/cts/+/19002cc10a00f9fb9e912ce54f7d22890159dd90", "19002cc10a00f9fb9e912ce54f7d22890159dd90")</f>
        <v>0</v>
      </c>
      <c r="C26329">
        <f>HYPERLINK("https://android.googlesource.com/platform/cts/+/c1463a271f1ddb5f372ba18e458c752aa76a5aff", "c1463a271f1ddb5f372ba18e458c752aa76a5aff")</f>
        <v>0</v>
      </c>
      <c r="D26329" t="s">
        <v>4986</v>
      </c>
      <c r="E26329" t="s">
        <v>7239</v>
      </c>
      <c r="F26329" t="s">
        <v>13249</v>
      </c>
      <c r="G26329" t="s">
        <v>17389</v>
      </c>
      <c r="H26329" t="s">
        <v>28785</v>
      </c>
    </row>
    <row r="26330" spans="1:8">
      <c r="H26330" t="s">
        <v>28786</v>
      </c>
    </row>
    <row r="26331" spans="1:8">
      <c r="A26331" t="s">
        <v>1475</v>
      </c>
      <c r="B26331">
        <f>HYPERLINK("https://android.googlesource.com/platform/cts/+/d88e016656aded7c8f4e808287225a80f829cf8b", "d88e016656aded7c8f4e808287225a80f829cf8b")</f>
        <v>0</v>
      </c>
      <c r="C26331">
        <f>HYPERLINK("https://android.googlesource.com/platform/cts/+/eb97c880df596df6575f0f22995c565797f03486", "eb97c880df596df6575f0f22995c565797f03486")</f>
        <v>0</v>
      </c>
      <c r="D26331" t="s">
        <v>5225</v>
      </c>
      <c r="E26331" t="s">
        <v>7240</v>
      </c>
      <c r="F26331" t="s">
        <v>13250</v>
      </c>
      <c r="G26331" t="s">
        <v>17390</v>
      </c>
      <c r="H26331" t="s">
        <v>18829</v>
      </c>
    </row>
    <row r="26332" spans="1:8">
      <c r="H26332" t="s">
        <v>28787</v>
      </c>
    </row>
    <row r="26333" spans="1:8">
      <c r="H26333" t="s">
        <v>28788</v>
      </c>
    </row>
    <row r="26334" spans="1:8">
      <c r="H26334" t="s">
        <v>28789</v>
      </c>
    </row>
    <row r="26335" spans="1:8">
      <c r="H26335" t="s">
        <v>28790</v>
      </c>
    </row>
    <row r="26336" spans="1:8">
      <c r="H26336" t="s">
        <v>28791</v>
      </c>
    </row>
    <row r="26337" spans="6:8">
      <c r="H26337" t="s">
        <v>28792</v>
      </c>
    </row>
    <row r="26338" spans="6:8">
      <c r="F26338" t="s">
        <v>13251</v>
      </c>
      <c r="G26338" t="s">
        <v>17391</v>
      </c>
      <c r="H26338" t="s">
        <v>18829</v>
      </c>
    </row>
    <row r="26339" spans="6:8">
      <c r="H26339" t="s">
        <v>28793</v>
      </c>
    </row>
    <row r="26340" spans="6:8">
      <c r="H26340" t="s">
        <v>28794</v>
      </c>
    </row>
    <row r="26341" spans="6:8">
      <c r="F26341" t="s">
        <v>13235</v>
      </c>
      <c r="G26341" t="s">
        <v>17374</v>
      </c>
      <c r="H26341" t="s">
        <v>28795</v>
      </c>
    </row>
    <row r="26342" spans="6:8">
      <c r="F26342" t="s">
        <v>13252</v>
      </c>
      <c r="G26342" t="s">
        <v>17392</v>
      </c>
      <c r="H26342" t="s">
        <v>18829</v>
      </c>
    </row>
    <row r="26343" spans="6:8">
      <c r="H26343" t="s">
        <v>28741</v>
      </c>
    </row>
    <row r="26344" spans="6:8">
      <c r="H26344" t="s">
        <v>28787</v>
      </c>
    </row>
    <row r="26345" spans="6:8">
      <c r="H26345" t="s">
        <v>28796</v>
      </c>
    </row>
    <row r="26346" spans="6:8">
      <c r="H26346" t="s">
        <v>28797</v>
      </c>
    </row>
    <row r="26347" spans="6:8">
      <c r="H26347" t="s">
        <v>28798</v>
      </c>
    </row>
    <row r="26348" spans="6:8">
      <c r="H26348" t="s">
        <v>28799</v>
      </c>
    </row>
    <row r="26349" spans="6:8">
      <c r="H26349" t="s">
        <v>18863</v>
      </c>
    </row>
    <row r="26350" spans="6:8">
      <c r="H26350" t="s">
        <v>28800</v>
      </c>
    </row>
    <row r="26351" spans="6:8">
      <c r="H26351" t="s">
        <v>28801</v>
      </c>
    </row>
    <row r="26352" spans="6:8">
      <c r="H26352" t="s">
        <v>28802</v>
      </c>
    </row>
    <row r="26353" spans="1:8">
      <c r="H26353" t="s">
        <v>28803</v>
      </c>
    </row>
    <row r="26354" spans="1:8">
      <c r="H26354" t="s">
        <v>28804</v>
      </c>
    </row>
    <row r="26355" spans="1:8">
      <c r="H26355" t="s">
        <v>28805</v>
      </c>
    </row>
    <row r="26356" spans="1:8">
      <c r="A26356" t="s">
        <v>1476</v>
      </c>
      <c r="B26356">
        <f>HYPERLINK("https://android.googlesource.com/platform/cts/+/bf8835b0fc7c836f91973aaef3e3a00f138feff4", "bf8835b0fc7c836f91973aaef3e3a00f138feff4")</f>
        <v>0</v>
      </c>
      <c r="C26356">
        <f>HYPERLINK("https://android.googlesource.com/platform/cts/+/522690f450072dc2f6f915d19833dd197cc7c404", "522690f450072dc2f6f915d19833dd197cc7c404")</f>
        <v>0</v>
      </c>
      <c r="D26356" t="s">
        <v>5021</v>
      </c>
      <c r="E26356" t="s">
        <v>7241</v>
      </c>
      <c r="F26356" t="s">
        <v>13253</v>
      </c>
      <c r="G26356" t="s">
        <v>16455</v>
      </c>
      <c r="H26356" t="s">
        <v>22005</v>
      </c>
    </row>
    <row r="26357" spans="1:8">
      <c r="F26357" t="s">
        <v>13254</v>
      </c>
      <c r="G26357" t="s">
        <v>16545</v>
      </c>
      <c r="H26357" t="s">
        <v>22005</v>
      </c>
    </row>
    <row r="26358" spans="1:8">
      <c r="A26358" t="s">
        <v>1477</v>
      </c>
      <c r="B26358">
        <f>HYPERLINK("https://android.googlesource.com/platform/cts/+/8e693239afbbb2095a4b6128a45fd8af69522b83", "8e693239afbbb2095a4b6128a45fd8af69522b83")</f>
        <v>0</v>
      </c>
      <c r="C26358">
        <f>HYPERLINK("https://android.googlesource.com/platform/cts/+/320d0f86337ca81bcda181a0cf4b5053dd3cea1b", "320d0f86337ca81bcda181a0cf4b5053dd3cea1b")</f>
        <v>0</v>
      </c>
      <c r="D26358" t="s">
        <v>5134</v>
      </c>
      <c r="E26358" t="s">
        <v>7242</v>
      </c>
      <c r="F26358" t="s">
        <v>13255</v>
      </c>
      <c r="G26358" t="s">
        <v>17393</v>
      </c>
      <c r="H26358" t="s">
        <v>28806</v>
      </c>
    </row>
    <row r="26359" spans="1:8">
      <c r="A26359" t="s">
        <v>1478</v>
      </c>
      <c r="B26359">
        <f>HYPERLINK("https://android.googlesource.com/platform/cts/+/f9cba22163b10ee61ede59e8e2d136dfd51e43f9", "f9cba22163b10ee61ede59e8e2d136dfd51e43f9")</f>
        <v>0</v>
      </c>
      <c r="C26359">
        <f>HYPERLINK("https://android.googlesource.com/platform/cts/+/2e6d8456b127923f50161f187d1ab07539b9285a", "2e6d8456b127923f50161f187d1ab07539b9285a")</f>
        <v>0</v>
      </c>
      <c r="D26359" t="s">
        <v>5134</v>
      </c>
      <c r="E26359" t="s">
        <v>7243</v>
      </c>
      <c r="F26359" t="s">
        <v>13241</v>
      </c>
      <c r="G26359" t="s">
        <v>17381</v>
      </c>
      <c r="H26359" t="s">
        <v>28807</v>
      </c>
    </row>
    <row r="26360" spans="1:8">
      <c r="A26360" t="s">
        <v>1479</v>
      </c>
      <c r="B26360">
        <f>HYPERLINK("https://android.googlesource.com/platform/cts/+/e5a0e293b4c4cce7a55aa4e019c92b6c67f74981", "e5a0e293b4c4cce7a55aa4e019c92b6c67f74981")</f>
        <v>0</v>
      </c>
      <c r="C26360">
        <f>HYPERLINK("https://android.googlesource.com/platform/cts/+/0edb7f51fd4c82bebcf4e6f5e76cef6e37d8f838", "0edb7f51fd4c82bebcf4e6f5e76cef6e37d8f838")</f>
        <v>0</v>
      </c>
      <c r="D26360" t="s">
        <v>5226</v>
      </c>
      <c r="E26360" t="s">
        <v>7244</v>
      </c>
      <c r="F26360" t="s">
        <v>12777</v>
      </c>
      <c r="G26360" t="s">
        <v>16962</v>
      </c>
      <c r="H26360" t="s">
        <v>28808</v>
      </c>
    </row>
    <row r="26361" spans="1:8">
      <c r="A26361" t="s">
        <v>1480</v>
      </c>
      <c r="B26361">
        <f>HYPERLINK("https://android.googlesource.com/platform/cts/+/902cd35d2e77a3193d1e6f4298b572a924a21135", "902cd35d2e77a3193d1e6f4298b572a924a21135")</f>
        <v>0</v>
      </c>
      <c r="C26361">
        <f>HYPERLINK("https://android.googlesource.com/platform/cts/+/23ebed0e9c50733a353b3c97f74f9a8d71f696df", "23ebed0e9c50733a353b3c97f74f9a8d71f696df")</f>
        <v>0</v>
      </c>
      <c r="D26361" t="s">
        <v>5227</v>
      </c>
      <c r="E26361" t="s">
        <v>7245</v>
      </c>
      <c r="F26361" t="s">
        <v>13121</v>
      </c>
      <c r="G26361" t="s">
        <v>17283</v>
      </c>
      <c r="H26361" t="s">
        <v>28809</v>
      </c>
    </row>
    <row r="26362" spans="1:8">
      <c r="A26362" t="s">
        <v>1481</v>
      </c>
      <c r="B26362">
        <f>HYPERLINK("https://android.googlesource.com/platform/cts/+/01e75a7a6a531bfe815e4be7bbc8ec0d46f67651", "01e75a7a6a531bfe815e4be7bbc8ec0d46f67651")</f>
        <v>0</v>
      </c>
      <c r="C26362">
        <f>HYPERLINK("https://android.googlesource.com/platform/cts/+/2a9c60c9e497f352f1a284a4eeb0206229fdc0e8", "2a9c60c9e497f352f1a284a4eeb0206229fdc0e8")</f>
        <v>0</v>
      </c>
      <c r="D26362" t="s">
        <v>5228</v>
      </c>
      <c r="E26362" t="s">
        <v>7246</v>
      </c>
      <c r="F26362" t="s">
        <v>13256</v>
      </c>
      <c r="G26362" t="s">
        <v>17394</v>
      </c>
      <c r="H26362" t="s">
        <v>28810</v>
      </c>
    </row>
    <row r="26363" spans="1:8">
      <c r="A26363" t="s">
        <v>1482</v>
      </c>
      <c r="B26363">
        <f>HYPERLINK("https://android.googlesource.com/platform/cts/+/4b3b9e34f262e475b90c83a45684880ba2d266f6", "4b3b9e34f262e475b90c83a45684880ba2d266f6")</f>
        <v>0</v>
      </c>
      <c r="C26363">
        <f>HYPERLINK("https://android.googlesource.com/platform/cts/+/8a5510f9d795b1532dd18e40fd7a7c8a2440f047", "8a5510f9d795b1532dd18e40fd7a7c8a2440f047")</f>
        <v>0</v>
      </c>
      <c r="D26363" t="s">
        <v>5117</v>
      </c>
      <c r="E26363" t="s">
        <v>7247</v>
      </c>
      <c r="F26363" t="s">
        <v>13241</v>
      </c>
      <c r="G26363" t="s">
        <v>17381</v>
      </c>
      <c r="H26363" t="s">
        <v>28811</v>
      </c>
    </row>
    <row r="26364" spans="1:8">
      <c r="H26364" t="s">
        <v>28812</v>
      </c>
    </row>
    <row r="26365" spans="1:8">
      <c r="A26365" t="s">
        <v>1483</v>
      </c>
      <c r="B26365">
        <f>HYPERLINK("https://android.googlesource.com/platform/cts/+/bf9348aac3303cec06bbcbfe5eb0c2dc1faeded6", "bf9348aac3303cec06bbcbfe5eb0c2dc1faeded6")</f>
        <v>0</v>
      </c>
      <c r="C26365">
        <f>HYPERLINK("https://android.googlesource.com/platform/cts/+/1b6437cd718e963c1038be43008d76ff678ac14d", "1b6437cd718e963c1038be43008d76ff678ac14d")</f>
        <v>0</v>
      </c>
      <c r="D26365" t="s">
        <v>5229</v>
      </c>
      <c r="E26365" t="s">
        <v>7248</v>
      </c>
      <c r="F26365" t="s">
        <v>10627</v>
      </c>
      <c r="G26365" t="s">
        <v>15030</v>
      </c>
      <c r="H26365" t="s">
        <v>28813</v>
      </c>
    </row>
    <row r="26366" spans="1:8">
      <c r="H26366" t="s">
        <v>28814</v>
      </c>
    </row>
    <row r="26367" spans="1:8">
      <c r="A26367" t="s">
        <v>1484</v>
      </c>
      <c r="B26367">
        <f>HYPERLINK("https://android.googlesource.com/platform/cts/+/cfa9b95a6123a036983de6e118d6a189afa5ac9e", "cfa9b95a6123a036983de6e118d6a189afa5ac9e")</f>
        <v>0</v>
      </c>
      <c r="C26367">
        <f>HYPERLINK("https://android.googlesource.com/platform/cts/+/c1fc6325b1168f58ea43eddd0c680e350b321161", "c1fc6325b1168f58ea43eddd0c680e350b321161")</f>
        <v>0</v>
      </c>
      <c r="D26367" t="s">
        <v>5117</v>
      </c>
      <c r="E26367" t="s">
        <v>7249</v>
      </c>
      <c r="F26367" t="s">
        <v>13257</v>
      </c>
      <c r="G26367" t="s">
        <v>17395</v>
      </c>
      <c r="H26367" t="s">
        <v>28815</v>
      </c>
    </row>
    <row r="26368" spans="1:8">
      <c r="H26368" t="s">
        <v>28816</v>
      </c>
    </row>
    <row r="26369" spans="1:8">
      <c r="H26369" t="s">
        <v>28817</v>
      </c>
    </row>
    <row r="26370" spans="1:8">
      <c r="A26370" t="s">
        <v>1485</v>
      </c>
      <c r="B26370">
        <f>HYPERLINK("https://android.googlesource.com/platform/cts/+/851c40c0e8331c68835b53e1bba0ef5a106fd3a3", "851c40c0e8331c68835b53e1bba0ef5a106fd3a3")</f>
        <v>0</v>
      </c>
      <c r="C26370">
        <f>HYPERLINK("https://android.googlesource.com/platform/cts/+/c77019853fe7d8e7623f9a38a053029c56d366e1", "c77019853fe7d8e7623f9a38a053029c56d366e1")</f>
        <v>0</v>
      </c>
      <c r="D26370" t="s">
        <v>5147</v>
      </c>
      <c r="E26370" t="s">
        <v>7250</v>
      </c>
      <c r="F26370" t="s">
        <v>12817</v>
      </c>
      <c r="G26370" t="s">
        <v>16629</v>
      </c>
      <c r="H26370" t="s">
        <v>28818</v>
      </c>
    </row>
    <row r="26371" spans="1:8">
      <c r="A26371" t="s">
        <v>1486</v>
      </c>
      <c r="B26371">
        <f>HYPERLINK("https://android.googlesource.com/platform/cts/+/43ad68171e4f1652c7bc556ec5924a3c8e83b8ab", "43ad68171e4f1652c7bc556ec5924a3c8e83b8ab")</f>
        <v>0</v>
      </c>
      <c r="C26371">
        <f>HYPERLINK("https://android.googlesource.com/platform/cts/+/e834e0fb68afc4539e50291d33ac3c8345b98ce8", "e834e0fb68afc4539e50291d33ac3c8345b98ce8")</f>
        <v>0</v>
      </c>
      <c r="D26371" t="s">
        <v>5143</v>
      </c>
      <c r="E26371" t="s">
        <v>7251</v>
      </c>
      <c r="F26371" t="s">
        <v>12986</v>
      </c>
      <c r="G26371" t="s">
        <v>17150</v>
      </c>
      <c r="H26371" t="s">
        <v>28819</v>
      </c>
    </row>
    <row r="26372" spans="1:8">
      <c r="H26372" t="s">
        <v>28820</v>
      </c>
    </row>
    <row r="26373" spans="1:8">
      <c r="A26373" t="s">
        <v>1487</v>
      </c>
      <c r="B26373">
        <f>HYPERLINK("https://android.googlesource.com/platform/cts/+/224b5b6e09b7de057aa4c25dd26aa5cb8ffea15e", "224b5b6e09b7de057aa4c25dd26aa5cb8ffea15e")</f>
        <v>0</v>
      </c>
      <c r="C26373">
        <f>HYPERLINK("https://android.googlesource.com/platform/cts/+/64368b8e25873c8141b260ce9244e1fd790f3cbf", "64368b8e25873c8141b260ce9244e1fd790f3cbf")</f>
        <v>0</v>
      </c>
      <c r="D26373" t="s">
        <v>5126</v>
      </c>
      <c r="E26373" t="s">
        <v>7252</v>
      </c>
      <c r="F26373" t="s">
        <v>12986</v>
      </c>
      <c r="G26373" t="s">
        <v>17150</v>
      </c>
      <c r="H26373" t="s">
        <v>28819</v>
      </c>
    </row>
    <row r="26374" spans="1:8">
      <c r="H26374" t="s">
        <v>28820</v>
      </c>
    </row>
    <row r="26375" spans="1:8">
      <c r="A26375" t="s">
        <v>1488</v>
      </c>
      <c r="B26375">
        <f>HYPERLINK("https://android.googlesource.com/platform/cts/+/9a997d5b3fd37c298822714294930b716010d7bf", "9a997d5b3fd37c298822714294930b716010d7bf")</f>
        <v>0</v>
      </c>
      <c r="C26375">
        <f>HYPERLINK("https://android.googlesource.com/platform/cts/+/0c5f797dc250f308f3cc16330c7e3aa8bf380fd4", "0c5f797dc250f308f3cc16330c7e3aa8bf380fd4")</f>
        <v>0</v>
      </c>
      <c r="D26375" t="s">
        <v>5118</v>
      </c>
      <c r="E26375" t="s">
        <v>7253</v>
      </c>
      <c r="F26375" t="s">
        <v>13165</v>
      </c>
      <c r="G26375" t="s">
        <v>17315</v>
      </c>
      <c r="H26375" t="s">
        <v>28821</v>
      </c>
    </row>
    <row r="26376" spans="1:8">
      <c r="A26376" t="s">
        <v>1489</v>
      </c>
      <c r="B26376">
        <f>HYPERLINK("https://android.googlesource.com/platform/cts/+/216716fadc7d379c8adfc9d41d51df466d2b006b", "216716fadc7d379c8adfc9d41d51df466d2b006b")</f>
        <v>0</v>
      </c>
      <c r="C26376">
        <f>HYPERLINK("https://android.googlesource.com/platform/cts/+/8727e443f85bf7d8393b38f0e0bbe8b39ae3c714", "8727e443f85bf7d8393b38f0e0bbe8b39ae3c714")</f>
        <v>0</v>
      </c>
      <c r="D26376" t="s">
        <v>4994</v>
      </c>
      <c r="E26376" t="s">
        <v>7254</v>
      </c>
      <c r="F26376" t="s">
        <v>13108</v>
      </c>
      <c r="G26376" t="s">
        <v>17270</v>
      </c>
      <c r="H26376" t="s">
        <v>28822</v>
      </c>
    </row>
    <row r="26377" spans="1:8">
      <c r="H26377" t="s">
        <v>28822</v>
      </c>
    </row>
    <row r="26378" spans="1:8">
      <c r="A26378" t="s">
        <v>1490</v>
      </c>
      <c r="B26378">
        <f>HYPERLINK("https://android.googlesource.com/platform/cts/+/070242952883a0cf690428d680bdcdd2ba7159c2", "070242952883a0cf690428d680bdcdd2ba7159c2")</f>
        <v>0</v>
      </c>
      <c r="C26378">
        <f>HYPERLINK("https://android.googlesource.com/platform/cts/+/4cbe1afaee22a5672fa040a0013544a4b76538b5", "4cbe1afaee22a5672fa040a0013544a4b76538b5")</f>
        <v>0</v>
      </c>
      <c r="D26378" t="s">
        <v>4928</v>
      </c>
      <c r="E26378" t="s">
        <v>7255</v>
      </c>
      <c r="F26378" t="s">
        <v>13258</v>
      </c>
      <c r="G26378" t="s">
        <v>17396</v>
      </c>
      <c r="H26378" t="s">
        <v>28823</v>
      </c>
    </row>
    <row r="26379" spans="1:8">
      <c r="A26379" t="s">
        <v>1491</v>
      </c>
      <c r="B26379">
        <f>HYPERLINK("https://android.googlesource.com/platform/cts/+/efdaee19cca51599e4afdbe7c93ffa97d60b9ac9", "efdaee19cca51599e4afdbe7c93ffa97d60b9ac9")</f>
        <v>0</v>
      </c>
      <c r="C26379">
        <f>HYPERLINK("https://android.googlesource.com/platform/cts/+/9c8fe6c2ec973929e191634f74840fe4df149416", "9c8fe6c2ec973929e191634f74840fe4df149416")</f>
        <v>0</v>
      </c>
      <c r="D26379" t="s">
        <v>5134</v>
      </c>
      <c r="E26379" t="s">
        <v>7256</v>
      </c>
      <c r="F26379" t="s">
        <v>13230</v>
      </c>
      <c r="G26379" t="s">
        <v>17371</v>
      </c>
      <c r="H26379" t="s">
        <v>28824</v>
      </c>
    </row>
    <row r="26380" spans="1:8">
      <c r="A26380" t="s">
        <v>1492</v>
      </c>
      <c r="B26380">
        <f>HYPERLINK("https://android.googlesource.com/platform/cts/+/14909e430c33f3ea065d4f61973b885ba0f3c19e", "14909e430c33f3ea065d4f61973b885ba0f3c19e")</f>
        <v>0</v>
      </c>
      <c r="C26380">
        <f>HYPERLINK("https://android.googlesource.com/platform/cts/+/11c086d028fa315d7f1149c59994c1e390164f1b", "11c086d028fa315d7f1149c59994c1e390164f1b")</f>
        <v>0</v>
      </c>
      <c r="D26380" t="s">
        <v>4966</v>
      </c>
      <c r="E26380" t="s">
        <v>7257</v>
      </c>
      <c r="F26380" t="s">
        <v>13259</v>
      </c>
      <c r="G26380" t="s">
        <v>17397</v>
      </c>
      <c r="H26380" t="s">
        <v>28825</v>
      </c>
    </row>
    <row r="26381" spans="1:8">
      <c r="F26381" t="s">
        <v>13260</v>
      </c>
      <c r="G26381" t="s">
        <v>17398</v>
      </c>
      <c r="H26381" t="s">
        <v>28825</v>
      </c>
    </row>
    <row r="26382" spans="1:8">
      <c r="A26382" t="s">
        <v>1493</v>
      </c>
      <c r="B26382">
        <f>HYPERLINK("https://android.googlesource.com/platform/cts/+/821a2c99bf3d64b427c0bf1dc8e16d5ac86192ee", "821a2c99bf3d64b427c0bf1dc8e16d5ac86192ee")</f>
        <v>0</v>
      </c>
      <c r="C26382">
        <f>HYPERLINK("https://android.googlesource.com/platform/cts/+/cf3d24a7b9d6532644d8ddaf0bfa183a7176d517", "cf3d24a7b9d6532644d8ddaf0bfa183a7176d517")</f>
        <v>0</v>
      </c>
      <c r="D26382" t="s">
        <v>4966</v>
      </c>
      <c r="E26382" t="s">
        <v>7258</v>
      </c>
      <c r="F26382" t="s">
        <v>13259</v>
      </c>
      <c r="G26382" t="s">
        <v>17397</v>
      </c>
      <c r="H26382" t="s">
        <v>28825</v>
      </c>
    </row>
    <row r="26383" spans="1:8">
      <c r="F26383" t="s">
        <v>13260</v>
      </c>
      <c r="G26383" t="s">
        <v>17398</v>
      </c>
      <c r="H26383" t="s">
        <v>28825</v>
      </c>
    </row>
    <row r="26384" spans="1:8">
      <c r="A26384" t="s">
        <v>1494</v>
      </c>
      <c r="B26384">
        <f>HYPERLINK("https://android.googlesource.com/platform/cts/+/d3389ea01af8c7388fe7f77b7d4cf0a2e70b2fd7", "d3389ea01af8c7388fe7f77b7d4cf0a2e70b2fd7")</f>
        <v>0</v>
      </c>
      <c r="C26384">
        <f>HYPERLINK("https://android.googlesource.com/platform/cts/+/62c121c39d347c9eec8569de20480f192ed791b5", "62c121c39d347c9eec8569de20480f192ed791b5")</f>
        <v>0</v>
      </c>
      <c r="D26384" t="s">
        <v>4981</v>
      </c>
      <c r="E26384" t="s">
        <v>7259</v>
      </c>
      <c r="F26384" t="s">
        <v>13261</v>
      </c>
      <c r="G26384" t="s">
        <v>17399</v>
      </c>
      <c r="H26384" t="s">
        <v>28826</v>
      </c>
    </row>
    <row r="26385" spans="1:8">
      <c r="H26385" t="s">
        <v>28827</v>
      </c>
    </row>
    <row r="26386" spans="1:8">
      <c r="H26386" t="s">
        <v>28828</v>
      </c>
    </row>
    <row r="26387" spans="1:8">
      <c r="H26387" t="s">
        <v>28829</v>
      </c>
    </row>
    <row r="26388" spans="1:8">
      <c r="H26388" t="s">
        <v>28830</v>
      </c>
    </row>
    <row r="26389" spans="1:8">
      <c r="H26389" t="s">
        <v>28831</v>
      </c>
    </row>
    <row r="26390" spans="1:8">
      <c r="H26390" t="s">
        <v>28832</v>
      </c>
    </row>
    <row r="26391" spans="1:8">
      <c r="H26391" t="s">
        <v>28833</v>
      </c>
    </row>
    <row r="26392" spans="1:8">
      <c r="H26392" t="s">
        <v>28834</v>
      </c>
    </row>
    <row r="26393" spans="1:8">
      <c r="H26393" t="s">
        <v>28835</v>
      </c>
    </row>
    <row r="26394" spans="1:8">
      <c r="H26394" t="s">
        <v>28836</v>
      </c>
    </row>
    <row r="26395" spans="1:8">
      <c r="H26395" t="s">
        <v>28837</v>
      </c>
    </row>
    <row r="26396" spans="1:8">
      <c r="A26396" t="s">
        <v>1495</v>
      </c>
      <c r="B26396">
        <f>HYPERLINK("https://android.googlesource.com/platform/cts/+/01fc0a5868c5ba2b97a60f0f3457f12746b97900", "01fc0a5868c5ba2b97a60f0f3457f12746b97900")</f>
        <v>0</v>
      </c>
      <c r="C26396">
        <f>HYPERLINK("https://android.googlesource.com/platform/cts/+/a271a96dd6e1027ba752428663f70ce5bee2eb1e", "a271a96dd6e1027ba752428663f70ce5bee2eb1e")</f>
        <v>0</v>
      </c>
      <c r="D26396" t="s">
        <v>5214</v>
      </c>
      <c r="E26396" t="s">
        <v>7260</v>
      </c>
      <c r="F26396" t="s">
        <v>13225</v>
      </c>
      <c r="G26396" t="s">
        <v>17366</v>
      </c>
      <c r="H26396" t="s">
        <v>28838</v>
      </c>
    </row>
    <row r="26397" spans="1:8">
      <c r="A26397" t="s">
        <v>1496</v>
      </c>
      <c r="B26397">
        <f>HYPERLINK("https://android.googlesource.com/platform/cts/+/c2302aca3309446b98cf086e3b3f2cb5304afd1a", "c2302aca3309446b98cf086e3b3f2cb5304afd1a")</f>
        <v>0</v>
      </c>
      <c r="C26397">
        <f>HYPERLINK("https://android.googlesource.com/platform/cts/+/04127df5e8708130ccf6f11a95c7e87f0549d8b0", "04127df5e8708130ccf6f11a95c7e87f0549d8b0")</f>
        <v>0</v>
      </c>
      <c r="D26397" t="s">
        <v>5134</v>
      </c>
      <c r="E26397" t="s">
        <v>7261</v>
      </c>
      <c r="F26397" t="s">
        <v>13230</v>
      </c>
      <c r="G26397" t="s">
        <v>17371</v>
      </c>
      <c r="H26397" t="s">
        <v>28839</v>
      </c>
    </row>
    <row r="26398" spans="1:8">
      <c r="F26398" t="s">
        <v>13255</v>
      </c>
      <c r="G26398" t="s">
        <v>17393</v>
      </c>
      <c r="H26398" t="s">
        <v>28840</v>
      </c>
    </row>
    <row r="26399" spans="1:8">
      <c r="A26399" t="s">
        <v>1497</v>
      </c>
      <c r="B26399">
        <f>HYPERLINK("https://android.googlesource.com/platform/cts/+/7a5ca2fa1ee2d5e1eea72d787c12cdcbed984008", "7a5ca2fa1ee2d5e1eea72d787c12cdcbed984008")</f>
        <v>0</v>
      </c>
      <c r="C26399">
        <f>HYPERLINK("https://android.googlesource.com/platform/cts/+/c91762707037511a1700a481f305683ab86424d7", "c91762707037511a1700a481f305683ab86424d7")</f>
        <v>0</v>
      </c>
      <c r="D26399" t="s">
        <v>5230</v>
      </c>
      <c r="E26399" t="s">
        <v>7262</v>
      </c>
      <c r="F26399" t="s">
        <v>13262</v>
      </c>
      <c r="G26399" t="s">
        <v>17400</v>
      </c>
      <c r="H26399" t="s">
        <v>19753</v>
      </c>
    </row>
    <row r="26400" spans="1:8">
      <c r="H26400" t="s">
        <v>19754</v>
      </c>
    </row>
    <row r="26401" spans="1:8">
      <c r="H26401" t="s">
        <v>24966</v>
      </c>
    </row>
    <row r="26402" spans="1:8">
      <c r="H26402" t="s">
        <v>18829</v>
      </c>
    </row>
    <row r="26403" spans="1:8">
      <c r="H26403" t="s">
        <v>18863</v>
      </c>
    </row>
    <row r="26404" spans="1:8">
      <c r="H26404" t="s">
        <v>28841</v>
      </c>
    </row>
    <row r="26405" spans="1:8">
      <c r="H26405" t="s">
        <v>28842</v>
      </c>
    </row>
    <row r="26406" spans="1:8">
      <c r="H26406" t="s">
        <v>28843</v>
      </c>
    </row>
    <row r="26407" spans="1:8">
      <c r="H26407" t="s">
        <v>28844</v>
      </c>
    </row>
    <row r="26408" spans="1:8">
      <c r="H26408" t="s">
        <v>28845</v>
      </c>
    </row>
    <row r="26409" spans="1:8">
      <c r="H26409" t="s">
        <v>28846</v>
      </c>
    </row>
    <row r="26410" spans="1:8">
      <c r="A26410" t="s">
        <v>1498</v>
      </c>
      <c r="B26410">
        <f>HYPERLINK("https://android.googlesource.com/platform/cts/+/84f58b784f4772cb4747c017646c14f786d12f7b", "84f58b784f4772cb4747c017646c14f786d12f7b")</f>
        <v>0</v>
      </c>
      <c r="C26410">
        <f>HYPERLINK("https://android.googlesource.com/platform/cts/+/afca158ab14b6f01854c11bcec42e58306765926", "afca158ab14b6f01854c11bcec42e58306765926")</f>
        <v>0</v>
      </c>
      <c r="D26410" t="s">
        <v>5111</v>
      </c>
      <c r="E26410" t="s">
        <v>7263</v>
      </c>
      <c r="F26410" t="s">
        <v>12180</v>
      </c>
      <c r="G26410" t="s">
        <v>16419</v>
      </c>
      <c r="H26410" t="s">
        <v>28847</v>
      </c>
    </row>
    <row r="26411" spans="1:8">
      <c r="H26411" t="s">
        <v>28848</v>
      </c>
    </row>
    <row r="26412" spans="1:8">
      <c r="H26412" t="s">
        <v>28849</v>
      </c>
    </row>
    <row r="26413" spans="1:8">
      <c r="H26413" t="s">
        <v>28850</v>
      </c>
    </row>
    <row r="26414" spans="1:8">
      <c r="A26414" t="s">
        <v>1499</v>
      </c>
      <c r="B26414">
        <f>HYPERLINK("https://android.googlesource.com/platform/cts/+/afd814317ab9f3350200f9d66674aee933dd5d36", "afd814317ab9f3350200f9d66674aee933dd5d36")</f>
        <v>0</v>
      </c>
      <c r="C26414">
        <f>HYPERLINK("https://android.googlesource.com/platform/cts/+/9059039545ded741f6cfdba0829769ba5e829037", "9059039545ded741f6cfdba0829769ba5e829037")</f>
        <v>0</v>
      </c>
      <c r="D26414" t="s">
        <v>4981</v>
      </c>
      <c r="E26414" t="s">
        <v>7264</v>
      </c>
      <c r="F26414" t="s">
        <v>13261</v>
      </c>
      <c r="G26414" t="s">
        <v>17399</v>
      </c>
      <c r="H26414" t="s">
        <v>28851</v>
      </c>
    </row>
    <row r="26415" spans="1:8">
      <c r="F26415" t="s">
        <v>13263</v>
      </c>
      <c r="G26415" t="s">
        <v>17401</v>
      </c>
      <c r="H26415" t="s">
        <v>28852</v>
      </c>
    </row>
    <row r="26416" spans="1:8">
      <c r="A26416" t="s">
        <v>1500</v>
      </c>
      <c r="B26416">
        <f>HYPERLINK("https://android.googlesource.com/platform/cts/+/6209cbc21c125559baa127f82cf297373e9ee182", "6209cbc21c125559baa127f82cf297373e9ee182")</f>
        <v>0</v>
      </c>
      <c r="C26416">
        <f>HYPERLINK("https://android.googlesource.com/platform/cts/+/68a5a2f01b08ae04159372ee7e80417bc4a2a327", "68a5a2f01b08ae04159372ee7e80417bc4a2a327")</f>
        <v>0</v>
      </c>
      <c r="D26416" t="s">
        <v>4971</v>
      </c>
      <c r="E26416" t="s">
        <v>7265</v>
      </c>
      <c r="F26416" t="s">
        <v>13264</v>
      </c>
      <c r="G26416" t="s">
        <v>17402</v>
      </c>
      <c r="H26416" t="s">
        <v>28853</v>
      </c>
    </row>
    <row r="26417" spans="1:8">
      <c r="A26417" t="s">
        <v>1501</v>
      </c>
      <c r="B26417">
        <f>HYPERLINK("https://android.googlesource.com/platform/cts/+/13c4120cab912ffc93d9fff1added9efa962ae08", "13c4120cab912ffc93d9fff1added9efa962ae08")</f>
        <v>0</v>
      </c>
      <c r="C26417">
        <f>HYPERLINK("https://android.googlesource.com/platform/cts/+/ab0227b5f6601858aa2052c59116bdf8ec6288d4", "ab0227b5f6601858aa2052c59116bdf8ec6288d4")</f>
        <v>0</v>
      </c>
      <c r="D26417" t="s">
        <v>5231</v>
      </c>
      <c r="E26417" t="s">
        <v>7266</v>
      </c>
      <c r="F26417" t="s">
        <v>10689</v>
      </c>
      <c r="G26417" t="s">
        <v>15089</v>
      </c>
      <c r="H26417" t="s">
        <v>28854</v>
      </c>
    </row>
    <row r="26418" spans="1:8">
      <c r="H26418" t="s">
        <v>28855</v>
      </c>
    </row>
    <row r="26419" spans="1:8">
      <c r="H26419" t="s">
        <v>28856</v>
      </c>
    </row>
    <row r="26420" spans="1:8">
      <c r="H26420" t="s">
        <v>28857</v>
      </c>
    </row>
    <row r="26421" spans="1:8">
      <c r="H26421" t="s">
        <v>28858</v>
      </c>
    </row>
    <row r="26422" spans="1:8">
      <c r="A26422" t="s">
        <v>1502</v>
      </c>
      <c r="B26422">
        <f>HYPERLINK("https://android.googlesource.com/platform/cts/+/680132d13fad6624b49d8b18807a05d32cfd11f8", "680132d13fad6624b49d8b18807a05d32cfd11f8")</f>
        <v>0</v>
      </c>
      <c r="C26422">
        <f>HYPERLINK("https://android.googlesource.com/platform/cts/+/191c16b50fd5b40dca5556934bb0166ad5417c63", "191c16b50fd5b40dca5556934bb0166ad5417c63")</f>
        <v>0</v>
      </c>
      <c r="D26422" t="s">
        <v>4928</v>
      </c>
      <c r="E26422" t="s">
        <v>7267</v>
      </c>
      <c r="F26422" t="s">
        <v>12897</v>
      </c>
      <c r="G26422" t="s">
        <v>16824</v>
      </c>
      <c r="H26422" t="s">
        <v>28859</v>
      </c>
    </row>
    <row r="26423" spans="1:8">
      <c r="H26423" t="s">
        <v>28860</v>
      </c>
    </row>
    <row r="26424" spans="1:8">
      <c r="H26424" t="s">
        <v>28861</v>
      </c>
    </row>
    <row r="26425" spans="1:8">
      <c r="H26425" t="s">
        <v>19267</v>
      </c>
    </row>
    <row r="26426" spans="1:8">
      <c r="H26426" t="s">
        <v>28862</v>
      </c>
    </row>
    <row r="26427" spans="1:8">
      <c r="H26427" t="s">
        <v>28863</v>
      </c>
    </row>
    <row r="26428" spans="1:8">
      <c r="H26428" t="s">
        <v>28864</v>
      </c>
    </row>
    <row r="26429" spans="1:8">
      <c r="H26429" t="s">
        <v>26391</v>
      </c>
    </row>
    <row r="26430" spans="1:8">
      <c r="H26430" t="s">
        <v>28865</v>
      </c>
    </row>
    <row r="26431" spans="1:8">
      <c r="H26431" t="s">
        <v>28478</v>
      </c>
    </row>
    <row r="26432" spans="1:8">
      <c r="H26432" t="s">
        <v>28866</v>
      </c>
    </row>
    <row r="26433" spans="1:8">
      <c r="H26433" t="s">
        <v>19753</v>
      </c>
    </row>
    <row r="26434" spans="1:8">
      <c r="H26434" t="s">
        <v>19754</v>
      </c>
    </row>
    <row r="26435" spans="1:8">
      <c r="A26435" t="s">
        <v>1503</v>
      </c>
      <c r="B26435">
        <f>HYPERLINK("https://android.googlesource.com/platform/cts/+/3cc3dc6c786ee3000cc66c2a3c1d96ba3bb0a823", "3cc3dc6c786ee3000cc66c2a3c1d96ba3bb0a823")</f>
        <v>0</v>
      </c>
      <c r="C26435">
        <f>HYPERLINK("https://android.googlesource.com/platform/cts/+/ed106a26167f71600fe264b0aef16ac249d926f1", "ed106a26167f71600fe264b0aef16ac249d926f1")</f>
        <v>0</v>
      </c>
      <c r="D26435" t="s">
        <v>5219</v>
      </c>
      <c r="E26435" t="s">
        <v>7268</v>
      </c>
      <c r="F26435" t="s">
        <v>13265</v>
      </c>
      <c r="G26435" t="s">
        <v>17403</v>
      </c>
      <c r="H26435" t="s">
        <v>28867</v>
      </c>
    </row>
    <row r="26436" spans="1:8">
      <c r="F26436" t="s">
        <v>13266</v>
      </c>
      <c r="G26436" t="s">
        <v>17404</v>
      </c>
      <c r="H26436" t="s">
        <v>28867</v>
      </c>
    </row>
    <row r="26437" spans="1:8">
      <c r="A26437" t="s">
        <v>1504</v>
      </c>
      <c r="B26437">
        <f>HYPERLINK("https://android.googlesource.com/platform/cts/+/0b20b47edcd7741be6dfa5b20398e1986ab80357", "0b20b47edcd7741be6dfa5b20398e1986ab80357")</f>
        <v>0</v>
      </c>
      <c r="C26437">
        <f>HYPERLINK("https://android.googlesource.com/platform/cts/+/65e01ca94335701d0d1b1bbdc748d3cf56c31c9a", "65e01ca94335701d0d1b1bbdc748d3cf56c31c9a")</f>
        <v>0</v>
      </c>
      <c r="D26437" t="s">
        <v>5232</v>
      </c>
      <c r="E26437" t="s">
        <v>7269</v>
      </c>
      <c r="F26437" t="s">
        <v>12817</v>
      </c>
      <c r="G26437" t="s">
        <v>16629</v>
      </c>
      <c r="H26437" t="s">
        <v>22751</v>
      </c>
    </row>
    <row r="26438" spans="1:8">
      <c r="A26438" t="s">
        <v>1506</v>
      </c>
      <c r="B26438">
        <f>HYPERLINK("https://android.googlesource.com/platform/cts/+/7a181b9da390a480e24d0fcf0db713d1d4024234", "7a181b9da390a480e24d0fcf0db713d1d4024234")</f>
        <v>0</v>
      </c>
      <c r="C26438">
        <f>HYPERLINK("https://android.googlesource.com/platform/cts/+/84fa53842716e4e0a58eb7de6eae145cb5135e60", "84fa53842716e4e0a58eb7de6eae145cb5135e60")</f>
        <v>0</v>
      </c>
      <c r="D26438" t="s">
        <v>5130</v>
      </c>
      <c r="E26438" t="s">
        <v>7271</v>
      </c>
      <c r="F26438" t="s">
        <v>12211</v>
      </c>
      <c r="G26438" t="s">
        <v>16449</v>
      </c>
      <c r="H26438" t="s">
        <v>28868</v>
      </c>
    </row>
    <row r="26439" spans="1:8">
      <c r="H26439" t="s">
        <v>28869</v>
      </c>
    </row>
    <row r="26440" spans="1:8">
      <c r="H26440" t="s">
        <v>21524</v>
      </c>
    </row>
    <row r="26441" spans="1:8">
      <c r="A26441" t="s">
        <v>1507</v>
      </c>
      <c r="B26441">
        <f>HYPERLINK("https://android.googlesource.com/platform/cts/+/25ea2597fb9cba7d63d22bb322e58b136785bd6c", "25ea2597fb9cba7d63d22bb322e58b136785bd6c")</f>
        <v>0</v>
      </c>
      <c r="C26441">
        <f>HYPERLINK("https://android.googlesource.com/platform/cts/+/8399eefd05a32ad1b52a82e4a0465bb9564c462e", "8399eefd05a32ad1b52a82e4a0465bb9564c462e")</f>
        <v>0</v>
      </c>
      <c r="D26441" t="s">
        <v>5141</v>
      </c>
      <c r="E26441" t="s">
        <v>7272</v>
      </c>
      <c r="F26441" t="s">
        <v>13267</v>
      </c>
      <c r="G26441" t="s">
        <v>17405</v>
      </c>
      <c r="H26441" t="s">
        <v>28870</v>
      </c>
    </row>
    <row r="26442" spans="1:8">
      <c r="A26442" t="s">
        <v>1508</v>
      </c>
      <c r="B26442">
        <f>HYPERLINK("https://android.googlesource.com/platform/cts/+/07418524352c75ca9b293c035246995d2d550f8b", "07418524352c75ca9b293c035246995d2d550f8b")</f>
        <v>0</v>
      </c>
      <c r="C26442">
        <f>HYPERLINK("https://android.googlesource.com/platform/cts/+/b864109ea4648b4ce838a097f6f3ae4c78207876", "b864109ea4648b4ce838a097f6f3ae4c78207876")</f>
        <v>0</v>
      </c>
      <c r="D26442" t="s">
        <v>5163</v>
      </c>
      <c r="E26442" t="s">
        <v>7273</v>
      </c>
      <c r="F26442" t="s">
        <v>13268</v>
      </c>
      <c r="G26442" t="s">
        <v>17406</v>
      </c>
      <c r="H26442" t="s">
        <v>18829</v>
      </c>
    </row>
    <row r="26443" spans="1:8">
      <c r="H26443" t="s">
        <v>28871</v>
      </c>
    </row>
    <row r="26444" spans="1:8">
      <c r="H26444" t="s">
        <v>28872</v>
      </c>
    </row>
    <row r="26445" spans="1:8">
      <c r="H26445" t="s">
        <v>28873</v>
      </c>
    </row>
    <row r="26446" spans="1:8">
      <c r="H26446" t="s">
        <v>28874</v>
      </c>
    </row>
    <row r="26447" spans="1:8">
      <c r="H26447" t="s">
        <v>28875</v>
      </c>
    </row>
    <row r="26448" spans="1:8">
      <c r="H26448" t="s">
        <v>28876</v>
      </c>
    </row>
    <row r="26449" spans="1:8">
      <c r="H26449" t="s">
        <v>28877</v>
      </c>
    </row>
    <row r="26450" spans="1:8">
      <c r="H26450" t="s">
        <v>28878</v>
      </c>
    </row>
    <row r="26451" spans="1:8">
      <c r="H26451" t="s">
        <v>28879</v>
      </c>
    </row>
    <row r="26452" spans="1:8">
      <c r="F26452" t="s">
        <v>13269</v>
      </c>
      <c r="G26452" t="s">
        <v>17407</v>
      </c>
      <c r="H26452" t="s">
        <v>28880</v>
      </c>
    </row>
    <row r="26453" spans="1:8">
      <c r="H26453" t="s">
        <v>28881</v>
      </c>
    </row>
    <row r="26454" spans="1:8">
      <c r="H26454" t="s">
        <v>28882</v>
      </c>
    </row>
    <row r="26455" spans="1:8">
      <c r="H26455" t="s">
        <v>28883</v>
      </c>
    </row>
    <row r="26456" spans="1:8">
      <c r="H26456" t="s">
        <v>28884</v>
      </c>
    </row>
    <row r="26457" spans="1:8">
      <c r="H26457" t="s">
        <v>28885</v>
      </c>
    </row>
    <row r="26458" spans="1:8">
      <c r="H26458" t="s">
        <v>28886</v>
      </c>
    </row>
    <row r="26459" spans="1:8">
      <c r="H26459" t="s">
        <v>28887</v>
      </c>
    </row>
    <row r="26460" spans="1:8">
      <c r="H26460" t="s">
        <v>28888</v>
      </c>
    </row>
    <row r="26461" spans="1:8">
      <c r="H26461" t="s">
        <v>28889</v>
      </c>
    </row>
    <row r="26462" spans="1:8">
      <c r="A26462" t="s">
        <v>1509</v>
      </c>
      <c r="B26462">
        <f>HYPERLINK("https://android.googlesource.com/platform/cts/+/6253c1f4694c8577e808a020f37df70fd838bd30", "6253c1f4694c8577e808a020f37df70fd838bd30")</f>
        <v>0</v>
      </c>
      <c r="C26462">
        <f>HYPERLINK("https://android.googlesource.com/platform/cts/+/11f70ee6af9b79d1bb92361065e68f95fe776ab0", "11f70ee6af9b79d1bb92361065e68f95fe776ab0")</f>
        <v>0</v>
      </c>
      <c r="D26462" t="s">
        <v>5233</v>
      </c>
      <c r="E26462" t="s">
        <v>7274</v>
      </c>
      <c r="F26462" t="s">
        <v>13270</v>
      </c>
      <c r="G26462" t="s">
        <v>15024</v>
      </c>
      <c r="H26462" t="s">
        <v>28890</v>
      </c>
    </row>
    <row r="26463" spans="1:8">
      <c r="H26463" t="s">
        <v>28891</v>
      </c>
    </row>
    <row r="26464" spans="1:8">
      <c r="A26464" t="s">
        <v>1510</v>
      </c>
      <c r="B26464">
        <f>HYPERLINK("https://android.googlesource.com/platform/cts/+/cc8b18507041fb1e9387c03135bf7ac173b5ae46", "cc8b18507041fb1e9387c03135bf7ac173b5ae46")</f>
        <v>0</v>
      </c>
      <c r="C26464">
        <f>HYPERLINK("https://android.googlesource.com/platform/cts/+/c651567f7e8859cef31ba61cba7a979b4297b720", "c651567f7e8859cef31ba61cba7a979b4297b720")</f>
        <v>0</v>
      </c>
      <c r="D26464" t="s">
        <v>5059</v>
      </c>
      <c r="E26464" t="s">
        <v>7275</v>
      </c>
      <c r="F26464" t="s">
        <v>13271</v>
      </c>
      <c r="G26464" t="s">
        <v>17408</v>
      </c>
      <c r="H26464" t="s">
        <v>28892</v>
      </c>
    </row>
    <row r="26465" spans="1:8">
      <c r="A26465" t="s">
        <v>1511</v>
      </c>
      <c r="B26465">
        <f>HYPERLINK("https://android.googlesource.com/platform/cts/+/b4f0b90b0103bc9643f92ebfa0aa54865b0fadee", "b4f0b90b0103bc9643f92ebfa0aa54865b0fadee")</f>
        <v>0</v>
      </c>
      <c r="C26465">
        <f>HYPERLINK("https://android.googlesource.com/platform/cts/+/8ed63f6fef3b2e5cdd4ea617e55a8803a00f4e38", "8ed63f6fef3b2e5cdd4ea617e55a8803a00f4e38")</f>
        <v>0</v>
      </c>
      <c r="D26465" t="s">
        <v>4997</v>
      </c>
      <c r="E26465" t="s">
        <v>7276</v>
      </c>
      <c r="F26465" t="s">
        <v>13272</v>
      </c>
      <c r="G26465" t="s">
        <v>17409</v>
      </c>
      <c r="H26465" t="s">
        <v>28893</v>
      </c>
    </row>
    <row r="26466" spans="1:8">
      <c r="H26466" t="s">
        <v>28894</v>
      </c>
    </row>
    <row r="26467" spans="1:8">
      <c r="H26467" t="s">
        <v>26563</v>
      </c>
    </row>
    <row r="26468" spans="1:8">
      <c r="A26468" t="s">
        <v>1512</v>
      </c>
      <c r="B26468">
        <f>HYPERLINK("https://android.googlesource.com/platform/cts/+/f61fa2b6db49f4c6133c9ef465995061b6a882d7", "f61fa2b6db49f4c6133c9ef465995061b6a882d7")</f>
        <v>0</v>
      </c>
      <c r="C26468">
        <f>HYPERLINK("https://android.googlesource.com/platform/cts/+/f134dd48f68a72306f9682f9572d7d9546603b32", "f134dd48f68a72306f9682f9572d7d9546603b32")</f>
        <v>0</v>
      </c>
      <c r="D26468" t="s">
        <v>5118</v>
      </c>
      <c r="E26468" t="s">
        <v>7277</v>
      </c>
      <c r="F26468" t="s">
        <v>13273</v>
      </c>
      <c r="G26468" t="s">
        <v>17410</v>
      </c>
      <c r="H26468" t="s">
        <v>18829</v>
      </c>
    </row>
    <row r="26469" spans="1:8">
      <c r="H26469" t="s">
        <v>19013</v>
      </c>
    </row>
    <row r="26470" spans="1:8">
      <c r="H26470" t="s">
        <v>18836</v>
      </c>
    </row>
    <row r="26471" spans="1:8">
      <c r="H26471" t="s">
        <v>18835</v>
      </c>
    </row>
    <row r="26472" spans="1:8">
      <c r="F26472" t="s">
        <v>13274</v>
      </c>
      <c r="G26472" t="s">
        <v>17411</v>
      </c>
      <c r="H26472" t="s">
        <v>18829</v>
      </c>
    </row>
    <row r="26473" spans="1:8">
      <c r="H26473" t="s">
        <v>19013</v>
      </c>
    </row>
    <row r="26474" spans="1:8">
      <c r="H26474" t="s">
        <v>18836</v>
      </c>
    </row>
    <row r="26475" spans="1:8">
      <c r="H26475" t="s">
        <v>18835</v>
      </c>
    </row>
    <row r="26476" spans="1:8">
      <c r="A26476" t="s">
        <v>1514</v>
      </c>
      <c r="B26476">
        <f>HYPERLINK("https://android.googlesource.com/platform/cts/+/ae13020ad3b8dbf51cb7231cf3921a0850affb19", "ae13020ad3b8dbf51cb7231cf3921a0850affb19")</f>
        <v>0</v>
      </c>
      <c r="C26476">
        <f>HYPERLINK("https://android.googlesource.com/platform/cts/+/b5a1aff1c339940d8598866e31e27cd564e935c0", "b5a1aff1c339940d8598866e31e27cd564e935c0")</f>
        <v>0</v>
      </c>
      <c r="D26476" t="s">
        <v>5141</v>
      </c>
      <c r="E26476" t="s">
        <v>7279</v>
      </c>
      <c r="F26476" t="s">
        <v>13267</v>
      </c>
      <c r="G26476" t="s">
        <v>17405</v>
      </c>
      <c r="H26476" t="s">
        <v>18829</v>
      </c>
    </row>
    <row r="26477" spans="1:8">
      <c r="H26477" t="s">
        <v>28895</v>
      </c>
    </row>
    <row r="26478" spans="1:8">
      <c r="H26478" t="s">
        <v>28896</v>
      </c>
    </row>
    <row r="26479" spans="1:8">
      <c r="A26479" t="s">
        <v>1515</v>
      </c>
      <c r="B26479">
        <f>HYPERLINK("https://android.googlesource.com/platform/cts/+/cb0479f80a93aaefdfb1a35d6ed32acf40728b87", "cb0479f80a93aaefdfb1a35d6ed32acf40728b87")</f>
        <v>0</v>
      </c>
      <c r="C26479">
        <f>HYPERLINK("https://android.googlesource.com/platform/cts/+/9e6e26ad74d3cd9546c0b52e1849f87e794d934d", "9e6e26ad74d3cd9546c0b52e1849f87e794d934d")</f>
        <v>0</v>
      </c>
      <c r="D26479" t="s">
        <v>5215</v>
      </c>
      <c r="E26479" t="s">
        <v>7280</v>
      </c>
      <c r="F26479" t="s">
        <v>13020</v>
      </c>
      <c r="G26479" t="s">
        <v>17184</v>
      </c>
      <c r="H26479" t="s">
        <v>28897</v>
      </c>
    </row>
    <row r="26480" spans="1:8">
      <c r="H26480" t="s">
        <v>28898</v>
      </c>
    </row>
    <row r="26481" spans="1:8">
      <c r="A26481" t="s">
        <v>1516</v>
      </c>
      <c r="B26481">
        <f>HYPERLINK("https://android.googlesource.com/platform/cts/+/f931bf800c3cd1423bda09c5da2bc623dfe6cd49", "f931bf800c3cd1423bda09c5da2bc623dfe6cd49")</f>
        <v>0</v>
      </c>
      <c r="C26481">
        <f>HYPERLINK("https://android.googlesource.com/platform/cts/+/c651567f7e8859cef31ba61cba7a979b4297b720", "c651567f7e8859cef31ba61cba7a979b4297b720")</f>
        <v>0</v>
      </c>
      <c r="D26481" t="s">
        <v>5085</v>
      </c>
      <c r="E26481" t="s">
        <v>7281</v>
      </c>
      <c r="F26481" t="s">
        <v>13275</v>
      </c>
      <c r="G26481" t="s">
        <v>17412</v>
      </c>
      <c r="H26481" t="s">
        <v>28899</v>
      </c>
    </row>
    <row r="26482" spans="1:8">
      <c r="F26482" t="s">
        <v>13276</v>
      </c>
      <c r="G26482" t="s">
        <v>17413</v>
      </c>
      <c r="H26482" t="s">
        <v>28900</v>
      </c>
    </row>
    <row r="26483" spans="1:8">
      <c r="A26483" t="s">
        <v>1517</v>
      </c>
      <c r="B26483">
        <f>HYPERLINK("https://android.googlesource.com/platform/cts/+/aa447ec5f85d97d9f1c793ed71463e1955292678", "aa447ec5f85d97d9f1c793ed71463e1955292678")</f>
        <v>0</v>
      </c>
      <c r="C26483">
        <f>HYPERLINK("https://android.googlesource.com/platform/cts/+/706e4886d5474f0a1513faa0d71cb0fedd96f9c3", "706e4886d5474f0a1513faa0d71cb0fedd96f9c3")</f>
        <v>0</v>
      </c>
      <c r="D26483" t="s">
        <v>5146</v>
      </c>
      <c r="E26483" t="s">
        <v>7282</v>
      </c>
      <c r="F26483" t="s">
        <v>13277</v>
      </c>
      <c r="G26483" t="s">
        <v>17414</v>
      </c>
      <c r="H26483" t="s">
        <v>28901</v>
      </c>
    </row>
    <row r="26484" spans="1:8">
      <c r="H26484" t="s">
        <v>28902</v>
      </c>
    </row>
    <row r="26485" spans="1:8">
      <c r="A26485" t="s">
        <v>1518</v>
      </c>
      <c r="B26485">
        <f>HYPERLINK("https://android.googlesource.com/platform/cts/+/b8acf2c7fe6b6da101a490d2c805526810fe26bc", "b8acf2c7fe6b6da101a490d2c805526810fe26bc")</f>
        <v>0</v>
      </c>
      <c r="C26485">
        <f>HYPERLINK("https://android.googlesource.com/platform/cts/+/2aaaf6a018413cc44149727c8f9c1d0f5345f0f6", "2aaaf6a018413cc44149727c8f9c1d0f5345f0f6")</f>
        <v>0</v>
      </c>
      <c r="D26485" t="s">
        <v>5234</v>
      </c>
      <c r="E26485" t="s">
        <v>7283</v>
      </c>
      <c r="F26485" t="s">
        <v>13278</v>
      </c>
      <c r="G26485" t="s">
        <v>17415</v>
      </c>
      <c r="H26485" t="s">
        <v>28903</v>
      </c>
    </row>
    <row r="26486" spans="1:8">
      <c r="H26486" t="s">
        <v>28904</v>
      </c>
    </row>
    <row r="26487" spans="1:8">
      <c r="H26487" t="s">
        <v>28905</v>
      </c>
    </row>
    <row r="26488" spans="1:8">
      <c r="H26488" t="s">
        <v>28906</v>
      </c>
    </row>
    <row r="26489" spans="1:8">
      <c r="H26489" t="s">
        <v>28907</v>
      </c>
    </row>
    <row r="26490" spans="1:8">
      <c r="H26490" t="s">
        <v>28908</v>
      </c>
    </row>
    <row r="26491" spans="1:8">
      <c r="H26491" t="s">
        <v>18829</v>
      </c>
    </row>
    <row r="26492" spans="1:8">
      <c r="H26492" t="s">
        <v>18863</v>
      </c>
    </row>
    <row r="26493" spans="1:8">
      <c r="H26493" t="s">
        <v>28909</v>
      </c>
    </row>
    <row r="26494" spans="1:8">
      <c r="H26494" t="s">
        <v>28910</v>
      </c>
    </row>
    <row r="26495" spans="1:8">
      <c r="H26495" t="s">
        <v>28911</v>
      </c>
    </row>
    <row r="26496" spans="1:8">
      <c r="H26496" t="s">
        <v>28912</v>
      </c>
    </row>
    <row r="26497" spans="1:8">
      <c r="H26497" t="s">
        <v>28913</v>
      </c>
    </row>
    <row r="26498" spans="1:8">
      <c r="H26498" t="s">
        <v>28914</v>
      </c>
    </row>
    <row r="26499" spans="1:8">
      <c r="H26499" t="s">
        <v>28915</v>
      </c>
    </row>
    <row r="26500" spans="1:8">
      <c r="H26500" t="s">
        <v>28916</v>
      </c>
    </row>
    <row r="26501" spans="1:8">
      <c r="H26501" t="s">
        <v>28917</v>
      </c>
    </row>
    <row r="26502" spans="1:8">
      <c r="H26502" t="s">
        <v>28918</v>
      </c>
    </row>
    <row r="26503" spans="1:8">
      <c r="H26503" t="s">
        <v>28919</v>
      </c>
    </row>
    <row r="26504" spans="1:8">
      <c r="H26504" t="s">
        <v>28920</v>
      </c>
    </row>
    <row r="26505" spans="1:8">
      <c r="H26505" t="s">
        <v>28921</v>
      </c>
    </row>
    <row r="26506" spans="1:8">
      <c r="H26506" t="s">
        <v>28922</v>
      </c>
    </row>
    <row r="26507" spans="1:8">
      <c r="A26507" t="s">
        <v>1519</v>
      </c>
      <c r="B26507">
        <f>HYPERLINK("https://android.googlesource.com/platform/cts/+/ae78af7f8b8f81b27591427d8d6202e8bab97978", "ae78af7f8b8f81b27591427d8d6202e8bab97978")</f>
        <v>0</v>
      </c>
      <c r="C26507">
        <f>HYPERLINK("https://android.googlesource.com/platform/cts/+/801b62a16a99ed89dbac8ac46f8437f97f24a0a9", "801b62a16a99ed89dbac8ac46f8437f97f24a0a9")</f>
        <v>0</v>
      </c>
      <c r="D26507" t="s">
        <v>5235</v>
      </c>
      <c r="E26507" t="s">
        <v>7284</v>
      </c>
      <c r="F26507" t="s">
        <v>13279</v>
      </c>
      <c r="G26507" t="s">
        <v>17416</v>
      </c>
      <c r="H26507" t="s">
        <v>18829</v>
      </c>
    </row>
    <row r="26508" spans="1:8">
      <c r="H26508" t="s">
        <v>28923</v>
      </c>
    </row>
    <row r="26509" spans="1:8">
      <c r="H26509" t="s">
        <v>28923</v>
      </c>
    </row>
    <row r="26510" spans="1:8">
      <c r="H26510" t="s">
        <v>19743</v>
      </c>
    </row>
    <row r="26511" spans="1:8">
      <c r="H26511" t="s">
        <v>28924</v>
      </c>
    </row>
    <row r="26512" spans="1:8">
      <c r="H26512" t="s">
        <v>28925</v>
      </c>
    </row>
    <row r="26513" spans="8:8">
      <c r="H26513" t="s">
        <v>28926</v>
      </c>
    </row>
    <row r="26514" spans="8:8">
      <c r="H26514" t="s">
        <v>28927</v>
      </c>
    </row>
    <row r="26515" spans="8:8">
      <c r="H26515" t="s">
        <v>28928</v>
      </c>
    </row>
    <row r="26516" spans="8:8">
      <c r="H26516" t="s">
        <v>28929</v>
      </c>
    </row>
    <row r="26517" spans="8:8">
      <c r="H26517" t="s">
        <v>28930</v>
      </c>
    </row>
    <row r="26518" spans="8:8">
      <c r="H26518" t="s">
        <v>28931</v>
      </c>
    </row>
    <row r="26519" spans="8:8">
      <c r="H26519" t="s">
        <v>28928</v>
      </c>
    </row>
    <row r="26520" spans="8:8">
      <c r="H26520" t="s">
        <v>28932</v>
      </c>
    </row>
    <row r="26521" spans="8:8">
      <c r="H26521" t="s">
        <v>28933</v>
      </c>
    </row>
    <row r="26522" spans="8:8">
      <c r="H26522" t="s">
        <v>28934</v>
      </c>
    </row>
    <row r="26523" spans="8:8">
      <c r="H26523" t="s">
        <v>28935</v>
      </c>
    </row>
    <row r="26524" spans="8:8">
      <c r="H26524" t="s">
        <v>28936</v>
      </c>
    </row>
    <row r="26525" spans="8:8">
      <c r="H26525" t="s">
        <v>28937</v>
      </c>
    </row>
    <row r="26526" spans="8:8">
      <c r="H26526" t="s">
        <v>28938</v>
      </c>
    </row>
    <row r="26527" spans="8:8">
      <c r="H26527" t="s">
        <v>28939</v>
      </c>
    </row>
    <row r="26528" spans="8:8">
      <c r="H26528" t="s">
        <v>28940</v>
      </c>
    </row>
    <row r="26529" spans="1:8">
      <c r="A26529" t="s">
        <v>1520</v>
      </c>
      <c r="B26529">
        <f>HYPERLINK("https://android.googlesource.com/platform/cts/+/d4c99081b67c01194b63c4e3bef959b220c3f66a", "d4c99081b67c01194b63c4e3bef959b220c3f66a")</f>
        <v>0</v>
      </c>
      <c r="C26529">
        <f>HYPERLINK("https://android.googlesource.com/platform/cts/+/ae78af7f8b8f81b27591427d8d6202e8bab97978", "ae78af7f8b8f81b27591427d8d6202e8bab97978")</f>
        <v>0</v>
      </c>
      <c r="D26529" t="s">
        <v>5235</v>
      </c>
      <c r="E26529" t="s">
        <v>7285</v>
      </c>
      <c r="F26529" t="s">
        <v>13280</v>
      </c>
      <c r="G26529" t="s">
        <v>17417</v>
      </c>
      <c r="H26529" t="s">
        <v>18829</v>
      </c>
    </row>
    <row r="26530" spans="1:8">
      <c r="H26530" t="s">
        <v>28941</v>
      </c>
    </row>
    <row r="26531" spans="1:8">
      <c r="H26531" t="s">
        <v>28942</v>
      </c>
    </row>
    <row r="26532" spans="1:8">
      <c r="H26532" t="s">
        <v>28943</v>
      </c>
    </row>
    <row r="26533" spans="1:8">
      <c r="H26533" t="s">
        <v>28944</v>
      </c>
    </row>
    <row r="26534" spans="1:8">
      <c r="H26534" t="s">
        <v>28945</v>
      </c>
    </row>
    <row r="26535" spans="1:8">
      <c r="H26535" t="s">
        <v>26282</v>
      </c>
    </row>
    <row r="26536" spans="1:8">
      <c r="A26536" t="s">
        <v>1521</v>
      </c>
      <c r="B26536">
        <f>HYPERLINK("https://android.googlesource.com/platform/cts/+/394fd446ee9641e0af74ec779302612f83d84acf", "394fd446ee9641e0af74ec779302612f83d84acf")</f>
        <v>0</v>
      </c>
      <c r="C26536">
        <f>HYPERLINK("https://android.googlesource.com/platform/cts/+/d4c99081b67c01194b63c4e3bef959b220c3f66a", "d4c99081b67c01194b63c4e3bef959b220c3f66a")</f>
        <v>0</v>
      </c>
      <c r="D26536" t="s">
        <v>5235</v>
      </c>
      <c r="E26536" t="s">
        <v>7286</v>
      </c>
      <c r="F26536" t="s">
        <v>13281</v>
      </c>
      <c r="G26536" t="s">
        <v>17418</v>
      </c>
      <c r="H26536" t="s">
        <v>18829</v>
      </c>
    </row>
    <row r="26537" spans="1:8">
      <c r="H26537" t="s">
        <v>20126</v>
      </c>
    </row>
    <row r="26538" spans="1:8">
      <c r="H26538" t="s">
        <v>28946</v>
      </c>
    </row>
    <row r="26539" spans="1:8">
      <c r="H26539" t="s">
        <v>28947</v>
      </c>
    </row>
    <row r="26540" spans="1:8">
      <c r="H26540" t="s">
        <v>28948</v>
      </c>
    </row>
    <row r="26541" spans="1:8">
      <c r="H26541" t="s">
        <v>28949</v>
      </c>
    </row>
    <row r="26542" spans="1:8">
      <c r="H26542" t="s">
        <v>28950</v>
      </c>
    </row>
    <row r="26543" spans="1:8">
      <c r="H26543" t="s">
        <v>21205</v>
      </c>
    </row>
    <row r="26544" spans="1:8">
      <c r="H26544" t="s">
        <v>19397</v>
      </c>
    </row>
    <row r="26545" spans="1:8">
      <c r="H26545" t="s">
        <v>28951</v>
      </c>
    </row>
    <row r="26546" spans="1:8">
      <c r="H26546" t="s">
        <v>19372</v>
      </c>
    </row>
    <row r="26547" spans="1:8">
      <c r="H26547" t="s">
        <v>25728</v>
      </c>
    </row>
    <row r="26548" spans="1:8">
      <c r="H26548" t="s">
        <v>18930</v>
      </c>
    </row>
    <row r="26549" spans="1:8">
      <c r="A26549" t="s">
        <v>1522</v>
      </c>
      <c r="B26549">
        <f>HYPERLINK("https://android.googlesource.com/platform/cts/+/b2c00541678ad24c0a1775ebef65e43cb08dc65b", "b2c00541678ad24c0a1775ebef65e43cb08dc65b")</f>
        <v>0</v>
      </c>
      <c r="C26549">
        <f>HYPERLINK("https://android.googlesource.com/platform/cts/+/394fd446ee9641e0af74ec779302612f83d84acf", "394fd446ee9641e0af74ec779302612f83d84acf")</f>
        <v>0</v>
      </c>
      <c r="D26549" t="s">
        <v>5235</v>
      </c>
      <c r="E26549" t="s">
        <v>7287</v>
      </c>
      <c r="F26549" t="s">
        <v>13282</v>
      </c>
      <c r="G26549" t="s">
        <v>17419</v>
      </c>
      <c r="H26549" t="s">
        <v>20244</v>
      </c>
    </row>
    <row r="26550" spans="1:8">
      <c r="H26550" t="s">
        <v>25497</v>
      </c>
    </row>
    <row r="26551" spans="1:8">
      <c r="H26551" t="s">
        <v>28952</v>
      </c>
    </row>
    <row r="26552" spans="1:8">
      <c r="H26552" t="s">
        <v>28953</v>
      </c>
    </row>
    <row r="26553" spans="1:8">
      <c r="H26553" t="s">
        <v>18927</v>
      </c>
    </row>
    <row r="26554" spans="1:8">
      <c r="H26554" t="s">
        <v>28954</v>
      </c>
    </row>
    <row r="26555" spans="1:8">
      <c r="H26555" t="s">
        <v>28955</v>
      </c>
    </row>
    <row r="26556" spans="1:8">
      <c r="H26556" t="s">
        <v>28956</v>
      </c>
    </row>
    <row r="26557" spans="1:8">
      <c r="H26557" t="s">
        <v>28957</v>
      </c>
    </row>
    <row r="26558" spans="1:8">
      <c r="H26558" t="s">
        <v>28958</v>
      </c>
    </row>
    <row r="26559" spans="1:8">
      <c r="H26559" t="s">
        <v>26091</v>
      </c>
    </row>
    <row r="26560" spans="1:8">
      <c r="H26560" t="s">
        <v>21326</v>
      </c>
    </row>
    <row r="26561" spans="1:8">
      <c r="H26561" t="s">
        <v>21254</v>
      </c>
    </row>
    <row r="26562" spans="1:8">
      <c r="H26562" t="s">
        <v>26090</v>
      </c>
    </row>
    <row r="26563" spans="1:8">
      <c r="H26563" t="s">
        <v>26093</v>
      </c>
    </row>
    <row r="26564" spans="1:8">
      <c r="H26564" t="s">
        <v>26094</v>
      </c>
    </row>
    <row r="26565" spans="1:8">
      <c r="H26565" t="s">
        <v>26088</v>
      </c>
    </row>
    <row r="26566" spans="1:8">
      <c r="H26566" t="s">
        <v>26092</v>
      </c>
    </row>
    <row r="26567" spans="1:8">
      <c r="H26567" t="s">
        <v>26089</v>
      </c>
    </row>
    <row r="26568" spans="1:8">
      <c r="A26568" t="s">
        <v>1523</v>
      </c>
      <c r="B26568">
        <f>HYPERLINK("https://android.googlesource.com/platform/cts/+/29614a7099c8492e38430f1c2ad0267f2b7f52e4", "29614a7099c8492e38430f1c2ad0267f2b7f52e4")</f>
        <v>0</v>
      </c>
      <c r="C26568">
        <f>HYPERLINK("https://android.googlesource.com/platform/cts/+/3ce5f1a703d0b08ae1210bdce7a71165dbd57003", "3ce5f1a703d0b08ae1210bdce7a71165dbd57003")</f>
        <v>0</v>
      </c>
      <c r="D26568" t="s">
        <v>5153</v>
      </c>
      <c r="E26568" t="s">
        <v>7288</v>
      </c>
      <c r="F26568" t="s">
        <v>13190</v>
      </c>
      <c r="G26568" t="s">
        <v>17334</v>
      </c>
      <c r="H26568" t="s">
        <v>28959</v>
      </c>
    </row>
    <row r="26569" spans="1:8">
      <c r="H26569" t="s">
        <v>18930</v>
      </c>
    </row>
    <row r="26570" spans="1:8">
      <c r="F26570" t="s">
        <v>13191</v>
      </c>
      <c r="G26570" t="s">
        <v>17334</v>
      </c>
      <c r="H26570" t="s">
        <v>28959</v>
      </c>
    </row>
    <row r="26571" spans="1:8">
      <c r="H26571" t="s">
        <v>18930</v>
      </c>
    </row>
    <row r="26572" spans="1:8">
      <c r="A26572" t="s">
        <v>1524</v>
      </c>
      <c r="B26572">
        <f>HYPERLINK("https://android.googlesource.com/platform/cts/+/bf3db54fec0910123ec037acec9888cc189a3b74", "bf3db54fec0910123ec037acec9888cc189a3b74")</f>
        <v>0</v>
      </c>
      <c r="C26572">
        <f>HYPERLINK("https://android.googlesource.com/platform/cts/+/14e6fc9a877e5eb53703a34722b3a16aefd896a5", "14e6fc9a877e5eb53703a34722b3a16aefd896a5")</f>
        <v>0</v>
      </c>
      <c r="D26572" t="s">
        <v>4928</v>
      </c>
      <c r="E26572" t="s">
        <v>7289</v>
      </c>
      <c r="F26572" t="s">
        <v>12897</v>
      </c>
      <c r="G26572" t="s">
        <v>16824</v>
      </c>
      <c r="H26572" t="s">
        <v>28960</v>
      </c>
    </row>
    <row r="26573" spans="1:8">
      <c r="H26573" t="s">
        <v>28961</v>
      </c>
    </row>
    <row r="26574" spans="1:8">
      <c r="H26574" t="s">
        <v>28962</v>
      </c>
    </row>
    <row r="26575" spans="1:8">
      <c r="A26575" t="s">
        <v>1526</v>
      </c>
      <c r="B26575">
        <f>HYPERLINK("https://android.googlesource.com/platform/cts/+/b7b8e1c1bf4152e7acbf8390402a2ea29856828a", "b7b8e1c1bf4152e7acbf8390402a2ea29856828a")</f>
        <v>0</v>
      </c>
      <c r="C26575">
        <f>HYPERLINK("https://android.googlesource.com/platform/cts/+/31f5662b6ad022cb412ea5607309f53fa3d58105", "31f5662b6ad022cb412ea5607309f53fa3d58105")</f>
        <v>0</v>
      </c>
      <c r="D26575" t="s">
        <v>5236</v>
      </c>
      <c r="E26575" t="s">
        <v>7291</v>
      </c>
      <c r="F26575" t="s">
        <v>13283</v>
      </c>
      <c r="G26575" t="s">
        <v>17420</v>
      </c>
      <c r="H26575" t="s">
        <v>19981</v>
      </c>
    </row>
    <row r="26576" spans="1:8">
      <c r="H26576" t="s">
        <v>28963</v>
      </c>
    </row>
    <row r="26577" spans="1:8">
      <c r="H26577" t="s">
        <v>28964</v>
      </c>
    </row>
    <row r="26578" spans="1:8">
      <c r="H26578" t="s">
        <v>28965</v>
      </c>
    </row>
    <row r="26579" spans="1:8">
      <c r="H26579" t="s">
        <v>28966</v>
      </c>
    </row>
    <row r="26580" spans="1:8">
      <c r="A26580" t="s">
        <v>1527</v>
      </c>
      <c r="B26580">
        <f>HYPERLINK("https://android.googlesource.com/platform/cts/+/941eebd149a5b30f93bc83d88434c4c1ab6c6fa3", "941eebd149a5b30f93bc83d88434c4c1ab6c6fa3")</f>
        <v>0</v>
      </c>
      <c r="C26580">
        <f>HYPERLINK("https://android.googlesource.com/platform/cts/+/d4fbaa754e23f3342de639e2d0c3dedb552cf785", "d4fbaa754e23f3342de639e2d0c3dedb552cf785")</f>
        <v>0</v>
      </c>
      <c r="D26580" t="s">
        <v>5134</v>
      </c>
      <c r="E26580" t="s">
        <v>7292</v>
      </c>
      <c r="F26580" t="s">
        <v>13230</v>
      </c>
      <c r="G26580" t="s">
        <v>17371</v>
      </c>
      <c r="H26580" t="s">
        <v>28967</v>
      </c>
    </row>
    <row r="26581" spans="1:8">
      <c r="A26581" t="s">
        <v>1528</v>
      </c>
      <c r="B26581">
        <f>HYPERLINK("https://android.googlesource.com/platform/cts/+/c0f551a272e721750084ff1b46189d0f2eba8fd0", "c0f551a272e721750084ff1b46189d0f2eba8fd0")</f>
        <v>0</v>
      </c>
      <c r="C26581">
        <f>HYPERLINK("https://android.googlesource.com/platform/cts/+/410b4ee5f545f93ceadd968fba84a431b86a7c05", "410b4ee5f545f93ceadd968fba84a431b86a7c05")</f>
        <v>0</v>
      </c>
      <c r="D26581" t="s">
        <v>5144</v>
      </c>
      <c r="E26581" t="s">
        <v>7293</v>
      </c>
      <c r="F26581" t="s">
        <v>10627</v>
      </c>
      <c r="G26581" t="s">
        <v>15030</v>
      </c>
      <c r="H26581" t="s">
        <v>28968</v>
      </c>
    </row>
    <row r="26582" spans="1:8">
      <c r="H26582" t="s">
        <v>28969</v>
      </c>
    </row>
    <row r="26583" spans="1:8">
      <c r="H26583" t="s">
        <v>28970</v>
      </c>
    </row>
    <row r="26584" spans="1:8">
      <c r="H26584" t="s">
        <v>28971</v>
      </c>
    </row>
    <row r="26585" spans="1:8">
      <c r="H26585" t="s">
        <v>28972</v>
      </c>
    </row>
    <row r="26586" spans="1:8">
      <c r="H26586" t="s">
        <v>28973</v>
      </c>
    </row>
    <row r="26587" spans="1:8">
      <c r="A26587" t="s">
        <v>1529</v>
      </c>
      <c r="B26587">
        <f>HYPERLINK("https://android.googlesource.com/platform/cts/+/8a2b05f64c050b1538953b595d332fc4fcd35259", "8a2b05f64c050b1538953b595d332fc4fcd35259")</f>
        <v>0</v>
      </c>
      <c r="C26587">
        <f>HYPERLINK("https://android.googlesource.com/platform/cts/+/c4d237b847c6682724386119d68a50ac8b653323", "c4d237b847c6682724386119d68a50ac8b653323")</f>
        <v>0</v>
      </c>
      <c r="D26587" t="s">
        <v>5128</v>
      </c>
      <c r="E26587" t="s">
        <v>7294</v>
      </c>
      <c r="F26587" t="s">
        <v>13203</v>
      </c>
      <c r="G26587" t="s">
        <v>17345</v>
      </c>
      <c r="H26587" t="s">
        <v>28974</v>
      </c>
    </row>
    <row r="26588" spans="1:8">
      <c r="A26588" t="s">
        <v>1530</v>
      </c>
      <c r="B26588">
        <f>HYPERLINK("https://android.googlesource.com/platform/cts/+/12b70ddabfd35125ff2f5c3af6d70b6cfd5e10b9", "12b70ddabfd35125ff2f5c3af6d70b6cfd5e10b9")</f>
        <v>0</v>
      </c>
      <c r="C26588">
        <f>HYPERLINK("https://android.googlesource.com/platform/cts/+/db3543520104fb089dae3cea7cd82c1617882061", "db3543520104fb089dae3cea7cd82c1617882061")</f>
        <v>0</v>
      </c>
      <c r="D26588" t="s">
        <v>4928</v>
      </c>
      <c r="E26588" t="s">
        <v>7295</v>
      </c>
      <c r="F26588" t="s">
        <v>13284</v>
      </c>
      <c r="G26588" t="s">
        <v>17421</v>
      </c>
      <c r="H26588" t="s">
        <v>28975</v>
      </c>
    </row>
    <row r="26589" spans="1:8">
      <c r="A26589" t="s">
        <v>1532</v>
      </c>
      <c r="B26589">
        <f>HYPERLINK("https://android.googlesource.com/platform/cts/+/457a879c55ca84e298e1e57204a6684ff03a5366", "457a879c55ca84e298e1e57204a6684ff03a5366")</f>
        <v>0</v>
      </c>
      <c r="C26589">
        <f>HYPERLINK("https://android.googlesource.com/platform/cts/+/f4a706ca7a19ebf61c2e706fc4e95c56ea9dff36", "f4a706ca7a19ebf61c2e706fc4e95c56ea9dff36")</f>
        <v>0</v>
      </c>
      <c r="D26589" t="s">
        <v>4981</v>
      </c>
      <c r="E26589" t="s">
        <v>7297</v>
      </c>
      <c r="F26589" t="s">
        <v>13285</v>
      </c>
      <c r="G26589" t="s">
        <v>17422</v>
      </c>
      <c r="H26589" t="s">
        <v>28976</v>
      </c>
    </row>
    <row r="26590" spans="1:8">
      <c r="A26590" t="s">
        <v>1533</v>
      </c>
      <c r="B26590">
        <f>HYPERLINK("https://android.googlesource.com/platform/cts/+/c546d35e6069f77b76a6fef3d4912f014b956cda", "c546d35e6069f77b76a6fef3d4912f014b956cda")</f>
        <v>0</v>
      </c>
      <c r="C26590">
        <f>HYPERLINK("https://android.googlesource.com/platform/cts/+/fa2bc101b0b5d435a8389a7f52ed08bc2b5e05fe", "fa2bc101b0b5d435a8389a7f52ed08bc2b5e05fe")</f>
        <v>0</v>
      </c>
      <c r="D26590" t="s">
        <v>4991</v>
      </c>
      <c r="E26590" t="s">
        <v>7298</v>
      </c>
      <c r="F26590" t="s">
        <v>11193</v>
      </c>
      <c r="G26590" t="s">
        <v>15582</v>
      </c>
      <c r="H26590" t="s">
        <v>28977</v>
      </c>
    </row>
    <row r="26591" spans="1:8">
      <c r="F26591" t="s">
        <v>10687</v>
      </c>
      <c r="G26591" t="s">
        <v>15087</v>
      </c>
      <c r="H26591" t="s">
        <v>19350</v>
      </c>
    </row>
    <row r="26592" spans="1:8">
      <c r="A26592" t="s">
        <v>1534</v>
      </c>
      <c r="B26592">
        <f>HYPERLINK("https://android.googlesource.com/platform/cts/+/be3621bcbb1df37364e00f91bcf2ec2211c98609", "be3621bcbb1df37364e00f91bcf2ec2211c98609")</f>
        <v>0</v>
      </c>
      <c r="C26592">
        <f>HYPERLINK("https://android.googlesource.com/platform/cts/+/bba14f67c803d7d61c845599509c70d64d42264a", "bba14f67c803d7d61c845599509c70d64d42264a")</f>
        <v>0</v>
      </c>
      <c r="D26592" t="s">
        <v>5046</v>
      </c>
      <c r="E26592" t="s">
        <v>7299</v>
      </c>
      <c r="F26592" t="s">
        <v>10780</v>
      </c>
      <c r="G26592" t="s">
        <v>15176</v>
      </c>
      <c r="H26592" t="s">
        <v>28978</v>
      </c>
    </row>
    <row r="26593" spans="1:8">
      <c r="H26593" t="s">
        <v>28979</v>
      </c>
    </row>
    <row r="26594" spans="1:8">
      <c r="F26594" t="s">
        <v>10781</v>
      </c>
      <c r="G26594" t="s">
        <v>15177</v>
      </c>
      <c r="H26594" t="s">
        <v>28978</v>
      </c>
    </row>
    <row r="26595" spans="1:8">
      <c r="H26595" t="s">
        <v>28979</v>
      </c>
    </row>
    <row r="26596" spans="1:8">
      <c r="A26596" t="s">
        <v>1535</v>
      </c>
      <c r="B26596">
        <f>HYPERLINK("https://android.googlesource.com/platform/cts/+/84e5ec105ce8daaf13714a33cbb2cfcd76a552f4", "84e5ec105ce8daaf13714a33cbb2cfcd76a552f4")</f>
        <v>0</v>
      </c>
      <c r="C26596">
        <f>HYPERLINK("https://android.googlesource.com/platform/cts/+/af3d8ca15657b77216b35537e1533d5a04f8689a", "af3d8ca15657b77216b35537e1533d5a04f8689a")</f>
        <v>0</v>
      </c>
      <c r="D26596" t="s">
        <v>5235</v>
      </c>
      <c r="E26596" t="s">
        <v>7300</v>
      </c>
      <c r="F26596" t="s">
        <v>13282</v>
      </c>
      <c r="G26596" t="s">
        <v>17419</v>
      </c>
      <c r="H26596" t="s">
        <v>28980</v>
      </c>
    </row>
    <row r="26597" spans="1:8">
      <c r="A26597" t="s">
        <v>1536</v>
      </c>
      <c r="B26597">
        <f>HYPERLINK("https://android.googlesource.com/platform/cts/+/40115c4f0f2bd235f3395c50dd92ca006d8d3daa", "40115c4f0f2bd235f3395c50dd92ca006d8d3daa")</f>
        <v>0</v>
      </c>
      <c r="C26597">
        <f>HYPERLINK("https://android.googlesource.com/platform/cts/+/3b3d110a4a6be30e7f6250bbeeca7b961767c201", "3b3d110a4a6be30e7f6250bbeeca7b961767c201")</f>
        <v>0</v>
      </c>
      <c r="D26597" t="s">
        <v>5029</v>
      </c>
      <c r="E26597" t="s">
        <v>7301</v>
      </c>
      <c r="F26597" t="s">
        <v>12698</v>
      </c>
      <c r="G26597" t="s">
        <v>16591</v>
      </c>
      <c r="H26597" t="s">
        <v>28981</v>
      </c>
    </row>
    <row r="26598" spans="1:8">
      <c r="A26598" t="s">
        <v>1537</v>
      </c>
      <c r="B26598">
        <f>HYPERLINK("https://android.googlesource.com/platform/cts/+/4b518951431367b6bc0568d4b3dae028d0daa664", "4b518951431367b6bc0568d4b3dae028d0daa664")</f>
        <v>0</v>
      </c>
      <c r="C26598">
        <f>HYPERLINK("https://android.googlesource.com/platform/cts/+/fa2bc101b0b5d435a8389a7f52ed08bc2b5e05fe", "fa2bc101b0b5d435a8389a7f52ed08bc2b5e05fe")</f>
        <v>0</v>
      </c>
      <c r="D26598" t="s">
        <v>5085</v>
      </c>
      <c r="E26598" t="s">
        <v>7302</v>
      </c>
      <c r="F26598" t="s">
        <v>13286</v>
      </c>
      <c r="G26598" t="s">
        <v>17423</v>
      </c>
      <c r="H26598" t="s">
        <v>28609</v>
      </c>
    </row>
    <row r="26599" spans="1:8">
      <c r="A26599" t="s">
        <v>1538</v>
      </c>
      <c r="B26599">
        <f>HYPERLINK("https://android.googlesource.com/platform/cts/+/07a824b3c05d9521f360d6dbdd5c424bb19e302a", "07a824b3c05d9521f360d6dbdd5c424bb19e302a")</f>
        <v>0</v>
      </c>
      <c r="C26599">
        <f>HYPERLINK("https://android.googlesource.com/platform/cts/+/311e21950d09d9e5ef37f2a818d4a390f54124b1", "311e21950d09d9e5ef37f2a818d4a390f54124b1")</f>
        <v>0</v>
      </c>
      <c r="D26599" t="s">
        <v>5219</v>
      </c>
      <c r="E26599" t="s">
        <v>7303</v>
      </c>
      <c r="F26599" t="s">
        <v>13287</v>
      </c>
      <c r="G26599" t="s">
        <v>17424</v>
      </c>
      <c r="H26599" t="s">
        <v>18829</v>
      </c>
    </row>
    <row r="26600" spans="1:8">
      <c r="H26600" t="s">
        <v>28051</v>
      </c>
    </row>
    <row r="26601" spans="1:8">
      <c r="H26601" t="s">
        <v>28982</v>
      </c>
    </row>
    <row r="26602" spans="1:8">
      <c r="H26602" t="s">
        <v>28983</v>
      </c>
    </row>
    <row r="26603" spans="1:8">
      <c r="H26603" t="s">
        <v>28984</v>
      </c>
    </row>
    <row r="26604" spans="1:8">
      <c r="H26604" t="s">
        <v>28985</v>
      </c>
    </row>
    <row r="26605" spans="1:8">
      <c r="H26605" t="s">
        <v>28986</v>
      </c>
    </row>
    <row r="26606" spans="1:8">
      <c r="H26606" t="s">
        <v>28987</v>
      </c>
    </row>
    <row r="26607" spans="1:8">
      <c r="H26607" t="s">
        <v>28988</v>
      </c>
    </row>
    <row r="26608" spans="1:8">
      <c r="H26608" t="s">
        <v>28989</v>
      </c>
    </row>
    <row r="26609" spans="1:8">
      <c r="H26609" t="s">
        <v>18863</v>
      </c>
    </row>
    <row r="26610" spans="1:8">
      <c r="A26610" t="s">
        <v>1540</v>
      </c>
      <c r="B26610">
        <f>HYPERLINK("https://android.googlesource.com/platform/cts/+/357c95328ba2eb1a6d1a1fc7d43792e33908605e", "357c95328ba2eb1a6d1a1fc7d43792e33908605e")</f>
        <v>0</v>
      </c>
      <c r="C26610">
        <f>HYPERLINK("https://android.googlesource.com/platform/cts/+/fe3fa49da935777c45ef3ea1f1b498f4ce74e2b9", "fe3fa49da935777c45ef3ea1f1b498f4ce74e2b9")</f>
        <v>0</v>
      </c>
      <c r="D26610" t="s">
        <v>4971</v>
      </c>
      <c r="E26610" t="s">
        <v>7305</v>
      </c>
      <c r="F26610" t="s">
        <v>13264</v>
      </c>
      <c r="G26610" t="s">
        <v>17402</v>
      </c>
      <c r="H26610" t="s">
        <v>28990</v>
      </c>
    </row>
    <row r="26611" spans="1:8">
      <c r="A26611" t="s">
        <v>1541</v>
      </c>
      <c r="B26611">
        <f>HYPERLINK("https://android.googlesource.com/platform/cts/+/ec0faa173d36d6535d8dc62f517e4c9c5b538e57", "ec0faa173d36d6535d8dc62f517e4c9c5b538e57")</f>
        <v>0</v>
      </c>
      <c r="C26611">
        <f>HYPERLINK("https://android.googlesource.com/platform/cts/+/df73d5fd6b60d9db038de439227e4574f0251f77", "df73d5fd6b60d9db038de439227e4574f0251f77")</f>
        <v>0</v>
      </c>
      <c r="D26611" t="s">
        <v>4971</v>
      </c>
      <c r="E26611" t="s">
        <v>7306</v>
      </c>
      <c r="F26611" t="s">
        <v>13288</v>
      </c>
      <c r="G26611" t="s">
        <v>17425</v>
      </c>
      <c r="H26611" t="s">
        <v>28991</v>
      </c>
    </row>
    <row r="26612" spans="1:8">
      <c r="F26612" t="s">
        <v>13264</v>
      </c>
      <c r="G26612" t="s">
        <v>17402</v>
      </c>
      <c r="H26612" t="s">
        <v>28991</v>
      </c>
    </row>
    <row r="26613" spans="1:8">
      <c r="A26613" t="s">
        <v>1542</v>
      </c>
      <c r="B26613">
        <f>HYPERLINK("https://android.googlesource.com/platform/cts/+/cc15b7211b2894cd5014e621cb69a9ec616333f1", "cc15b7211b2894cd5014e621cb69a9ec616333f1")</f>
        <v>0</v>
      </c>
      <c r="C26613">
        <f>HYPERLINK("https://android.googlesource.com/platform/cts/+/dbdc3a8fb1eba6f94a6e05f295194200e9ea8a7d", "dbdc3a8fb1eba6f94a6e05f295194200e9ea8a7d")</f>
        <v>0</v>
      </c>
      <c r="D26613" t="s">
        <v>5051</v>
      </c>
      <c r="E26613" t="s">
        <v>7307</v>
      </c>
      <c r="F26613" t="s">
        <v>13242</v>
      </c>
      <c r="G26613" t="s">
        <v>17382</v>
      </c>
      <c r="H26613" t="s">
        <v>28992</v>
      </c>
    </row>
    <row r="26614" spans="1:8">
      <c r="A26614" t="s">
        <v>1543</v>
      </c>
      <c r="B26614">
        <f>HYPERLINK("https://android.googlesource.com/platform/cts/+/9c35f1af284799ba552e940c232e97023d29a409", "9c35f1af284799ba552e940c232e97023d29a409")</f>
        <v>0</v>
      </c>
      <c r="C26614">
        <f>HYPERLINK("https://android.googlesource.com/platform/cts/+/7e1b17faf5f56539bc46d54388557e3aa718ca3a", "7e1b17faf5f56539bc46d54388557e3aa718ca3a")</f>
        <v>0</v>
      </c>
      <c r="D26614" t="s">
        <v>5115</v>
      </c>
      <c r="E26614" t="s">
        <v>7308</v>
      </c>
      <c r="F26614" t="s">
        <v>13289</v>
      </c>
      <c r="G26614" t="s">
        <v>17426</v>
      </c>
      <c r="H26614" t="s">
        <v>18829</v>
      </c>
    </row>
    <row r="26615" spans="1:8">
      <c r="H26615" t="s">
        <v>18863</v>
      </c>
    </row>
    <row r="26616" spans="1:8">
      <c r="H26616" t="s">
        <v>28993</v>
      </c>
    </row>
    <row r="26617" spans="1:8">
      <c r="H26617" t="s">
        <v>28994</v>
      </c>
    </row>
    <row r="26618" spans="1:8">
      <c r="H26618" t="s">
        <v>28995</v>
      </c>
    </row>
    <row r="26619" spans="1:8">
      <c r="H26619" t="s">
        <v>28996</v>
      </c>
    </row>
    <row r="26620" spans="1:8">
      <c r="H26620" t="s">
        <v>28997</v>
      </c>
    </row>
    <row r="26621" spans="1:8">
      <c r="A26621" t="s">
        <v>1544</v>
      </c>
      <c r="B26621">
        <f>HYPERLINK("https://android.googlesource.com/platform/cts/+/af1227e4063604cd64561a5e574cdf750897ea7a", "af1227e4063604cd64561a5e574cdf750897ea7a")</f>
        <v>0</v>
      </c>
      <c r="C26621">
        <f>HYPERLINK("https://android.googlesource.com/platform/cts/+/df73d5fd6b60d9db038de439227e4574f0251f77", "df73d5fd6b60d9db038de439227e4574f0251f77")</f>
        <v>0</v>
      </c>
      <c r="D26621" t="s">
        <v>5134</v>
      </c>
      <c r="E26621" t="s">
        <v>7309</v>
      </c>
      <c r="F26621" t="s">
        <v>13230</v>
      </c>
      <c r="G26621" t="s">
        <v>17371</v>
      </c>
      <c r="H26621" t="s">
        <v>28998</v>
      </c>
    </row>
    <row r="26622" spans="1:8">
      <c r="H26622" t="s">
        <v>28999</v>
      </c>
    </row>
    <row r="26623" spans="1:8">
      <c r="A26623" t="s">
        <v>1545</v>
      </c>
      <c r="B26623">
        <f>HYPERLINK("https://android.googlesource.com/platform/cts/+/8d7a72d81246bb94a69c414d4fe6fc5b7acce4e4", "8d7a72d81246bb94a69c414d4fe6fc5b7acce4e4")</f>
        <v>0</v>
      </c>
      <c r="C26623">
        <f>HYPERLINK("https://android.googlesource.com/platform/cts/+/45a512f12381f74bed66c2bd83dd0e733bfef7c6", "45a512f12381f74bed66c2bd83dd0e733bfef7c6")</f>
        <v>0</v>
      </c>
      <c r="D26623" t="s">
        <v>5125</v>
      </c>
      <c r="E26623" t="s">
        <v>7310</v>
      </c>
      <c r="F26623" t="s">
        <v>12206</v>
      </c>
      <c r="G26623" t="s">
        <v>16444</v>
      </c>
      <c r="H26623" t="s">
        <v>29000</v>
      </c>
    </row>
    <row r="26624" spans="1:8">
      <c r="H26624" t="s">
        <v>29001</v>
      </c>
    </row>
    <row r="26625" spans="1:8">
      <c r="A26625" t="s">
        <v>1547</v>
      </c>
      <c r="B26625">
        <f>HYPERLINK("https://android.googlesource.com/platform/cts/+/4691303e3b3002fd921e5a56ce5fced03ceaf938", "4691303e3b3002fd921e5a56ce5fced03ceaf938")</f>
        <v>0</v>
      </c>
      <c r="C26625">
        <f>HYPERLINK("https://android.googlesource.com/platform/cts/+/df73d5fd6b60d9db038de439227e4574f0251f77", "df73d5fd6b60d9db038de439227e4574f0251f77")</f>
        <v>0</v>
      </c>
      <c r="D26625" t="s">
        <v>4971</v>
      </c>
      <c r="E26625" t="s">
        <v>7312</v>
      </c>
      <c r="F26625" t="s">
        <v>13051</v>
      </c>
      <c r="G26625" t="s">
        <v>17215</v>
      </c>
      <c r="H26625" t="s">
        <v>29002</v>
      </c>
    </row>
    <row r="26626" spans="1:8">
      <c r="H26626" t="s">
        <v>29003</v>
      </c>
    </row>
    <row r="26627" spans="1:8">
      <c r="H26627" t="s">
        <v>29004</v>
      </c>
    </row>
    <row r="26628" spans="1:8">
      <c r="A26628" t="s">
        <v>1548</v>
      </c>
      <c r="B26628">
        <f>HYPERLINK("https://android.googlesource.com/platform/cts/+/6243ff729f6652552812ac1198e06cba90fb2d67", "6243ff729f6652552812ac1198e06cba90fb2d67")</f>
        <v>0</v>
      </c>
      <c r="C26628">
        <f>HYPERLINK("https://android.googlesource.com/platform/cts/+/4dc99fcc9f8f72b43f2c8fd54884e5182f2f24f7", "4dc99fcc9f8f72b43f2c8fd54884e5182f2f24f7")</f>
        <v>0</v>
      </c>
      <c r="D26628" t="s">
        <v>4952</v>
      </c>
      <c r="E26628" t="s">
        <v>7313</v>
      </c>
      <c r="F26628" t="s">
        <v>13131</v>
      </c>
      <c r="G26628" t="s">
        <v>15683</v>
      </c>
      <c r="H26628" t="s">
        <v>26720</v>
      </c>
    </row>
    <row r="26629" spans="1:8">
      <c r="F26629" t="s">
        <v>11443</v>
      </c>
      <c r="G26629" t="s">
        <v>15683</v>
      </c>
      <c r="H26629" t="s">
        <v>26720</v>
      </c>
    </row>
    <row r="26630" spans="1:8">
      <c r="A26630" t="s">
        <v>1549</v>
      </c>
      <c r="B26630">
        <f>HYPERLINK("https://android.googlesource.com/platform/cts/+/bea32fad0af0d46cbaff61673579951f8055f992", "bea32fad0af0d46cbaff61673579951f8055f992")</f>
        <v>0</v>
      </c>
      <c r="C26630">
        <f>HYPERLINK("https://android.googlesource.com/platform/cts/+/6d007c7e2fdcbb39d8a0b3fbe2186f0c677b3248", "6d007c7e2fdcbb39d8a0b3fbe2186f0c677b3248")</f>
        <v>0</v>
      </c>
      <c r="D26630" t="s">
        <v>5215</v>
      </c>
      <c r="E26630" t="s">
        <v>7314</v>
      </c>
      <c r="F26630" t="s">
        <v>12940</v>
      </c>
      <c r="G26630" t="s">
        <v>17105</v>
      </c>
      <c r="H26630" t="s">
        <v>27270</v>
      </c>
    </row>
    <row r="26631" spans="1:8">
      <c r="A26631" t="s">
        <v>1550</v>
      </c>
      <c r="B26631">
        <f>HYPERLINK("https://android.googlesource.com/platform/cts/+/9798b8e1409915c09ae44698d76056b6c8c1cbfc", "9798b8e1409915c09ae44698d76056b6c8c1cbfc")</f>
        <v>0</v>
      </c>
      <c r="C26631">
        <f>HYPERLINK("https://android.googlesource.com/platform/cts/+/b8b9920778a6f672bafa149295ecebcc27f95444", "b8b9920778a6f672bafa149295ecebcc27f95444")</f>
        <v>0</v>
      </c>
      <c r="D26631" t="s">
        <v>5092</v>
      </c>
      <c r="E26631" t="s">
        <v>7315</v>
      </c>
      <c r="F26631" t="s">
        <v>13290</v>
      </c>
      <c r="G26631" t="s">
        <v>17427</v>
      </c>
      <c r="H26631" t="s">
        <v>29005</v>
      </c>
    </row>
    <row r="26632" spans="1:8">
      <c r="A26632" t="s">
        <v>1552</v>
      </c>
      <c r="B26632">
        <f>HYPERLINK("https://android.googlesource.com/platform/cts/+/542699d4f3adaea3fdeb10cccac56837d979b19b", "542699d4f3adaea3fdeb10cccac56837d979b19b")</f>
        <v>0</v>
      </c>
      <c r="C26632">
        <f>HYPERLINK("https://android.googlesource.com/platform/cts/+/177cc6ed7aaadf0418001bf1aeff0395605be751", "177cc6ed7aaadf0418001bf1aeff0395605be751")</f>
        <v>0</v>
      </c>
      <c r="D26632" t="s">
        <v>5115</v>
      </c>
      <c r="E26632" t="s">
        <v>7316</v>
      </c>
      <c r="F26632" t="s">
        <v>13291</v>
      </c>
      <c r="G26632" t="s">
        <v>17426</v>
      </c>
      <c r="H26632" t="s">
        <v>18829</v>
      </c>
    </row>
    <row r="26633" spans="1:8">
      <c r="H26633" t="s">
        <v>18863</v>
      </c>
    </row>
    <row r="26634" spans="1:8">
      <c r="H26634" t="s">
        <v>28993</v>
      </c>
    </row>
    <row r="26635" spans="1:8">
      <c r="H26635" t="s">
        <v>28994</v>
      </c>
    </row>
    <row r="26636" spans="1:8">
      <c r="H26636" t="s">
        <v>28995</v>
      </c>
    </row>
    <row r="26637" spans="1:8">
      <c r="H26637" t="s">
        <v>28996</v>
      </c>
    </row>
    <row r="26638" spans="1:8">
      <c r="H26638" t="s">
        <v>28997</v>
      </c>
    </row>
    <row r="26639" spans="1:8">
      <c r="F26639" t="s">
        <v>13292</v>
      </c>
      <c r="G26639" t="s">
        <v>17428</v>
      </c>
      <c r="H26639" t="s">
        <v>29006</v>
      </c>
    </row>
    <row r="26640" spans="1:8">
      <c r="H26640" t="s">
        <v>29007</v>
      </c>
    </row>
    <row r="26641" spans="1:8">
      <c r="A26641" t="s">
        <v>1553</v>
      </c>
      <c r="B26641">
        <f>HYPERLINK("https://android.googlesource.com/platform/cts/+/4a5344f7c7bcd8aae5f33492d63a61d6efb0573b", "4a5344f7c7bcd8aae5f33492d63a61d6efb0573b")</f>
        <v>0</v>
      </c>
      <c r="C26641">
        <f>HYPERLINK("https://android.googlesource.com/platform/cts/+/62e251b9efc4c9244162f91abfe92149fe1dada5", "62e251b9efc4c9244162f91abfe92149fe1dada5")</f>
        <v>0</v>
      </c>
      <c r="D26641" t="s">
        <v>5115</v>
      </c>
      <c r="E26641" t="s">
        <v>7317</v>
      </c>
      <c r="F26641" t="s">
        <v>13289</v>
      </c>
      <c r="G26641" t="s">
        <v>17426</v>
      </c>
      <c r="H26641" t="s">
        <v>18829</v>
      </c>
    </row>
    <row r="26642" spans="1:8">
      <c r="H26642" t="s">
        <v>18863</v>
      </c>
    </row>
    <row r="26643" spans="1:8">
      <c r="H26643" t="s">
        <v>28993</v>
      </c>
    </row>
    <row r="26644" spans="1:8">
      <c r="H26644" t="s">
        <v>28994</v>
      </c>
    </row>
    <row r="26645" spans="1:8">
      <c r="H26645" t="s">
        <v>28995</v>
      </c>
    </row>
    <row r="26646" spans="1:8">
      <c r="H26646" t="s">
        <v>28996</v>
      </c>
    </row>
    <row r="26647" spans="1:8">
      <c r="H26647" t="s">
        <v>28997</v>
      </c>
    </row>
    <row r="26648" spans="1:8">
      <c r="A26648" t="s">
        <v>1554</v>
      </c>
      <c r="B26648">
        <f>HYPERLINK("https://android.googlesource.com/platform/cts/+/0fabc671de7e98de064bb0e8e18a386e5f8a440a", "0fabc671de7e98de064bb0e8e18a386e5f8a440a")</f>
        <v>0</v>
      </c>
      <c r="C26648">
        <f>HYPERLINK("https://android.googlesource.com/platform/cts/+/601a32b0f87188d5fc4573757a232b0dd807d7fc", "601a32b0f87188d5fc4573757a232b0dd807d7fc")</f>
        <v>0</v>
      </c>
      <c r="D26648" t="s">
        <v>4949</v>
      </c>
      <c r="E26648" t="s">
        <v>7318</v>
      </c>
      <c r="F26648" t="s">
        <v>13230</v>
      </c>
      <c r="G26648" t="s">
        <v>17371</v>
      </c>
      <c r="H26648" t="s">
        <v>29008</v>
      </c>
    </row>
    <row r="26649" spans="1:8">
      <c r="H26649" t="s">
        <v>29009</v>
      </c>
    </row>
    <row r="26650" spans="1:8">
      <c r="A26650" t="s">
        <v>1555</v>
      </c>
      <c r="B26650">
        <f>HYPERLINK("https://android.googlesource.com/platform/cts/+/095cd32439b9cfec2abd1b46a82b192118be21dd", "095cd32439b9cfec2abd1b46a82b192118be21dd")</f>
        <v>0</v>
      </c>
      <c r="C26650">
        <f>HYPERLINK("https://android.googlesource.com/platform/cts/+/c1862e0292e092a997a2fd375b593af0aa07b238", "c1862e0292e092a997a2fd375b593af0aa07b238")</f>
        <v>0</v>
      </c>
      <c r="D26650" t="s">
        <v>5120</v>
      </c>
      <c r="E26650" t="s">
        <v>7319</v>
      </c>
      <c r="F26650" t="s">
        <v>12165</v>
      </c>
      <c r="G26650" t="s">
        <v>15676</v>
      </c>
      <c r="H26650" t="s">
        <v>29010</v>
      </c>
    </row>
    <row r="26651" spans="1:8">
      <c r="A26651" t="s">
        <v>1556</v>
      </c>
      <c r="B26651">
        <f>HYPERLINK("https://android.googlesource.com/platform/cts/+/555b9c76cd35d4294f450558118033265a49af06", "555b9c76cd35d4294f450558118033265a49af06")</f>
        <v>0</v>
      </c>
      <c r="C26651">
        <f>HYPERLINK("https://android.googlesource.com/platform/cts/+/9862826c7ae0862e85e7e97bd2137f76ba7e4fc8", "9862826c7ae0862e85e7e97bd2137f76ba7e4fc8")</f>
        <v>0</v>
      </c>
      <c r="D26651" t="s">
        <v>4928</v>
      </c>
      <c r="E26651" t="s">
        <v>7320</v>
      </c>
      <c r="F26651" t="s">
        <v>13293</v>
      </c>
      <c r="G26651" t="s">
        <v>17429</v>
      </c>
      <c r="H26651" t="s">
        <v>29011</v>
      </c>
    </row>
    <row r="26652" spans="1:8">
      <c r="H26652" t="s">
        <v>29012</v>
      </c>
    </row>
    <row r="26653" spans="1:8">
      <c r="F26653" t="s">
        <v>13294</v>
      </c>
      <c r="G26653" t="s">
        <v>17430</v>
      </c>
      <c r="H26653" t="s">
        <v>29011</v>
      </c>
    </row>
    <row r="26654" spans="1:8">
      <c r="A26654" t="s">
        <v>1557</v>
      </c>
      <c r="B26654">
        <f>HYPERLINK("https://android.googlesource.com/platform/cts/+/fc25beca4c74953ff1c6e8be18f5c0a9a20ceebc", "fc25beca4c74953ff1c6e8be18f5c0a9a20ceebc")</f>
        <v>0</v>
      </c>
      <c r="C26654">
        <f>HYPERLINK("https://android.googlesource.com/platform/cts/+/6bd3e7168a5712630eca7838616287b32497ab36", "6bd3e7168a5712630eca7838616287b32497ab36")</f>
        <v>0</v>
      </c>
      <c r="D26654" t="s">
        <v>5214</v>
      </c>
      <c r="E26654" t="s">
        <v>7321</v>
      </c>
      <c r="F26654" t="s">
        <v>13225</v>
      </c>
      <c r="G26654" t="s">
        <v>17366</v>
      </c>
      <c r="H26654" t="s">
        <v>29013</v>
      </c>
    </row>
    <row r="26655" spans="1:8">
      <c r="H26655" t="s">
        <v>29014</v>
      </c>
    </row>
    <row r="26656" spans="1:8">
      <c r="H26656" t="s">
        <v>29015</v>
      </c>
    </row>
    <row r="26657" spans="1:8">
      <c r="H26657" t="s">
        <v>29016</v>
      </c>
    </row>
    <row r="26658" spans="1:8">
      <c r="A26658" t="s">
        <v>1558</v>
      </c>
      <c r="B26658">
        <f>HYPERLINK("https://android.googlesource.com/platform/cts/+/a179cec1b44f8d2cdb141bd040e9e333bb6b9610", "a179cec1b44f8d2cdb141bd040e9e333bb6b9610")</f>
        <v>0</v>
      </c>
      <c r="C26658">
        <f>HYPERLINK("https://android.googlesource.com/platform/cts/+/07c1494d6814ecf957c28b6139a175d18e68d958", "07c1494d6814ecf957c28b6139a175d18e68d958")</f>
        <v>0</v>
      </c>
      <c r="D26658" t="s">
        <v>5125</v>
      </c>
      <c r="E26658" t="s">
        <v>7322</v>
      </c>
      <c r="F26658" t="s">
        <v>10794</v>
      </c>
      <c r="G26658" t="s">
        <v>15189</v>
      </c>
      <c r="H26658" t="s">
        <v>29017</v>
      </c>
    </row>
    <row r="26659" spans="1:8">
      <c r="A26659" t="s">
        <v>1559</v>
      </c>
      <c r="B26659">
        <f>HYPERLINK("https://android.googlesource.com/platform/cts/+/a4b3ec33209fe43af6396645b191239a91b5ae08", "a4b3ec33209fe43af6396645b191239a91b5ae08")</f>
        <v>0</v>
      </c>
      <c r="C26659">
        <f>HYPERLINK("https://android.googlesource.com/platform/cts/+/bc81ed1685167c0e40d90c04d006cc4959cb0059", "bc81ed1685167c0e40d90c04d006cc4959cb0059")</f>
        <v>0</v>
      </c>
      <c r="D26659" t="s">
        <v>5238</v>
      </c>
      <c r="E26659" t="s">
        <v>7323</v>
      </c>
      <c r="F26659" t="s">
        <v>12903</v>
      </c>
      <c r="G26659" t="s">
        <v>17064</v>
      </c>
      <c r="H26659" t="s">
        <v>26854</v>
      </c>
    </row>
    <row r="26660" spans="1:8">
      <c r="H26660" t="s">
        <v>26854</v>
      </c>
    </row>
    <row r="26661" spans="1:8">
      <c r="A26661" t="s">
        <v>1560</v>
      </c>
      <c r="B26661">
        <f>HYPERLINK("https://android.googlesource.com/platform/cts/+/d4311977b79e507ac0d0f2f0b6fadd2016ecc149", "d4311977b79e507ac0d0f2f0b6fadd2016ecc149")</f>
        <v>0</v>
      </c>
      <c r="C26661">
        <f>HYPERLINK("https://android.googlesource.com/platform/cts/+/9862826c7ae0862e85e7e97bd2137f76ba7e4fc8", "9862826c7ae0862e85e7e97bd2137f76ba7e4fc8")</f>
        <v>0</v>
      </c>
      <c r="D26661" t="s">
        <v>4928</v>
      </c>
      <c r="E26661" t="s">
        <v>7324</v>
      </c>
      <c r="F26661" t="s">
        <v>10713</v>
      </c>
      <c r="G26661" t="s">
        <v>15112</v>
      </c>
      <c r="H26661" t="s">
        <v>29018</v>
      </c>
    </row>
    <row r="26662" spans="1:8">
      <c r="A26662" t="s">
        <v>1562</v>
      </c>
      <c r="B26662">
        <f>HYPERLINK("https://android.googlesource.com/platform/cts/+/dfa9e247e65e5fc9692e8df1a39aa43ecd9f4b48", "dfa9e247e65e5fc9692e8df1a39aa43ecd9f4b48")</f>
        <v>0</v>
      </c>
      <c r="C26662">
        <f>HYPERLINK("https://android.googlesource.com/platform/cts/+/5ad61b90d9bac1665316e941ac6ede3b391e107c", "5ad61b90d9bac1665316e941ac6ede3b391e107c")</f>
        <v>0</v>
      </c>
      <c r="D26662" t="s">
        <v>5143</v>
      </c>
      <c r="E26662" t="s">
        <v>7326</v>
      </c>
      <c r="F26662" t="s">
        <v>13295</v>
      </c>
      <c r="G26662" t="s">
        <v>17431</v>
      </c>
      <c r="H26662" t="s">
        <v>29019</v>
      </c>
    </row>
    <row r="26663" spans="1:8">
      <c r="A26663" t="s">
        <v>1563</v>
      </c>
      <c r="B26663">
        <f>HYPERLINK("https://android.googlesource.com/platform/cts/+/41a16ca7b6f16ebd7ec83a6b4d2691c1ec0f940d", "41a16ca7b6f16ebd7ec83a6b4d2691c1ec0f940d")</f>
        <v>0</v>
      </c>
      <c r="C26663">
        <f>HYPERLINK("https://android.googlesource.com/platform/cts/+/a8d86dac2f94f8d97d76c5ac27a68f1cf3d6ccc1", "a8d86dac2f94f8d97d76c5ac27a68f1cf3d6ccc1")</f>
        <v>0</v>
      </c>
      <c r="D26663" t="s">
        <v>5126</v>
      </c>
      <c r="E26663" t="s">
        <v>7327</v>
      </c>
      <c r="F26663" t="s">
        <v>10699</v>
      </c>
      <c r="G26663" t="s">
        <v>15099</v>
      </c>
      <c r="H26663" t="s">
        <v>29020</v>
      </c>
    </row>
    <row r="26664" spans="1:8">
      <c r="A26664" t="s">
        <v>1564</v>
      </c>
      <c r="B26664">
        <f>HYPERLINK("https://android.googlesource.com/platform/cts/+/59a36621969cd6b14755d5483a3cc38e78898de2", "59a36621969cd6b14755d5483a3cc38e78898de2")</f>
        <v>0</v>
      </c>
      <c r="C26664">
        <f>HYPERLINK("https://android.googlesource.com/platform/cts/+/51b0f0a9c9af6192e0601789714b843d36a514b3", "51b0f0a9c9af6192e0601789714b843d36a514b3")</f>
        <v>0</v>
      </c>
      <c r="D26664" t="s">
        <v>4931</v>
      </c>
      <c r="E26664" t="s">
        <v>7328</v>
      </c>
      <c r="F26664" t="s">
        <v>13296</v>
      </c>
      <c r="G26664" t="s">
        <v>17432</v>
      </c>
      <c r="H26664" t="s">
        <v>18829</v>
      </c>
    </row>
    <row r="26665" spans="1:8">
      <c r="H26665" t="s">
        <v>18863</v>
      </c>
    </row>
    <row r="26666" spans="1:8">
      <c r="H26666" t="s">
        <v>29021</v>
      </c>
    </row>
    <row r="26667" spans="1:8">
      <c r="H26667" t="s">
        <v>29022</v>
      </c>
    </row>
    <row r="26668" spans="1:8">
      <c r="H26668" t="s">
        <v>25729</v>
      </c>
    </row>
    <row r="26669" spans="1:8">
      <c r="A26669" t="s">
        <v>1566</v>
      </c>
      <c r="B26669">
        <f>HYPERLINK("https://android.googlesource.com/platform/cts/+/7435d710f41a7d4d94cb2b8eecb3297155c58a27", "7435d710f41a7d4d94cb2b8eecb3297155c58a27")</f>
        <v>0</v>
      </c>
      <c r="C26669">
        <f>HYPERLINK("https://android.googlesource.com/platform/cts/+/f770e20ef1b86bf3b9eb22fb07ae5ea9695060c5", "f770e20ef1b86bf3b9eb22fb07ae5ea9695060c5")</f>
        <v>0</v>
      </c>
      <c r="D26669" t="s">
        <v>5027</v>
      </c>
      <c r="E26669" t="s">
        <v>7330</v>
      </c>
      <c r="F26669" t="s">
        <v>13187</v>
      </c>
      <c r="G26669" t="s">
        <v>17331</v>
      </c>
      <c r="H26669" t="s">
        <v>29023</v>
      </c>
    </row>
    <row r="26670" spans="1:8">
      <c r="H26670" t="s">
        <v>26316</v>
      </c>
    </row>
    <row r="26671" spans="1:8">
      <c r="H26671" t="s">
        <v>29024</v>
      </c>
    </row>
    <row r="26672" spans="1:8">
      <c r="H26672" t="s">
        <v>29024</v>
      </c>
    </row>
    <row r="26673" spans="1:8">
      <c r="H26673" t="s">
        <v>18893</v>
      </c>
    </row>
    <row r="26674" spans="1:8">
      <c r="H26674" t="s">
        <v>29025</v>
      </c>
    </row>
    <row r="26675" spans="1:8">
      <c r="H26675" t="s">
        <v>18893</v>
      </c>
    </row>
    <row r="26676" spans="1:8">
      <c r="H26676" t="s">
        <v>29026</v>
      </c>
    </row>
    <row r="26677" spans="1:8">
      <c r="H26677" t="s">
        <v>20177</v>
      </c>
    </row>
    <row r="26678" spans="1:8">
      <c r="H26678" t="s">
        <v>18893</v>
      </c>
    </row>
    <row r="26679" spans="1:8">
      <c r="A26679" t="s">
        <v>1567</v>
      </c>
      <c r="B26679">
        <f>HYPERLINK("https://android.googlesource.com/platform/cts/+/0c62b6d65b1d22355d0ead1a6e96aabb5ac8e151", "0c62b6d65b1d22355d0ead1a6e96aabb5ac8e151")</f>
        <v>0</v>
      </c>
      <c r="C26679">
        <f>HYPERLINK("https://android.googlesource.com/platform/cts/+/7435d710f41a7d4d94cb2b8eecb3297155c58a27", "7435d710f41a7d4d94cb2b8eecb3297155c58a27")</f>
        <v>0</v>
      </c>
      <c r="D26679" t="s">
        <v>5027</v>
      </c>
      <c r="E26679" t="s">
        <v>7331</v>
      </c>
      <c r="F26679" t="s">
        <v>12617</v>
      </c>
      <c r="G26679" t="s">
        <v>15155</v>
      </c>
      <c r="H26679" t="s">
        <v>29027</v>
      </c>
    </row>
    <row r="26680" spans="1:8">
      <c r="H26680" t="s">
        <v>29028</v>
      </c>
    </row>
    <row r="26681" spans="1:8">
      <c r="H26681" t="s">
        <v>29028</v>
      </c>
    </row>
    <row r="26682" spans="1:8">
      <c r="H26682" t="s">
        <v>29029</v>
      </c>
    </row>
    <row r="26683" spans="1:8">
      <c r="H26683" t="s">
        <v>29030</v>
      </c>
    </row>
    <row r="26684" spans="1:8">
      <c r="A26684" t="s">
        <v>1568</v>
      </c>
      <c r="B26684">
        <f>HYPERLINK("https://android.googlesource.com/platform/cts/+/2c7728b35b84fe5605e3317b881d5a99659baab8", "2c7728b35b84fe5605e3317b881d5a99659baab8")</f>
        <v>0</v>
      </c>
      <c r="C26684">
        <f>HYPERLINK("https://android.googlesource.com/platform/cts/+/0c62b6d65b1d22355d0ead1a6e96aabb5ac8e151", "0c62b6d65b1d22355d0ead1a6e96aabb5ac8e151")</f>
        <v>0</v>
      </c>
      <c r="D26684" t="s">
        <v>5027</v>
      </c>
      <c r="E26684" t="s">
        <v>7332</v>
      </c>
      <c r="F26684" t="s">
        <v>12617</v>
      </c>
      <c r="G26684" t="s">
        <v>15155</v>
      </c>
      <c r="H26684" t="s">
        <v>29031</v>
      </c>
    </row>
    <row r="26685" spans="1:8">
      <c r="H26685" t="s">
        <v>29032</v>
      </c>
    </row>
    <row r="26686" spans="1:8">
      <c r="F26686" t="s">
        <v>13297</v>
      </c>
      <c r="G26686" t="s">
        <v>17433</v>
      </c>
      <c r="H26686" t="s">
        <v>29033</v>
      </c>
    </row>
    <row r="26687" spans="1:8">
      <c r="H26687" t="s">
        <v>29034</v>
      </c>
    </row>
    <row r="26688" spans="1:8">
      <c r="A26688" t="s">
        <v>1569</v>
      </c>
      <c r="B26688">
        <f>HYPERLINK("https://android.googlesource.com/platform/cts/+/9a05c717ca6ae16344cbe0471cb2e6dff0c7282f", "9a05c717ca6ae16344cbe0471cb2e6dff0c7282f")</f>
        <v>0</v>
      </c>
      <c r="C26688">
        <f>HYPERLINK("https://android.googlesource.com/platform/cts/+/c2c2493886f74212c518cbbdb7928579ad2d27c8", "c2c2493886f74212c518cbbdb7928579ad2d27c8")</f>
        <v>0</v>
      </c>
      <c r="D26688" t="s">
        <v>5077</v>
      </c>
      <c r="E26688" t="s">
        <v>7333</v>
      </c>
      <c r="F26688" t="s">
        <v>12817</v>
      </c>
      <c r="G26688" t="s">
        <v>16629</v>
      </c>
      <c r="H26688" t="s">
        <v>29035</v>
      </c>
    </row>
    <row r="26689" spans="1:8">
      <c r="H26689" t="s">
        <v>29036</v>
      </c>
    </row>
    <row r="26690" spans="1:8">
      <c r="A26690" t="s">
        <v>1570</v>
      </c>
      <c r="B26690">
        <f>HYPERLINK("https://android.googlesource.com/platform/cts/+/d793e4256716618d77ef129ce0c0bf519e679b00", "d793e4256716618d77ef129ce0c0bf519e679b00")</f>
        <v>0</v>
      </c>
      <c r="C26690">
        <f>HYPERLINK("https://android.googlesource.com/platform/cts/+/929244f1b79abc6958f876bbc5c5e88756f73bc5", "929244f1b79abc6958f876bbc5c5e88756f73bc5")</f>
        <v>0</v>
      </c>
      <c r="D26690" t="s">
        <v>5077</v>
      </c>
      <c r="E26690" t="s">
        <v>7334</v>
      </c>
      <c r="F26690" t="s">
        <v>12817</v>
      </c>
      <c r="G26690" t="s">
        <v>16629</v>
      </c>
      <c r="H26690" t="s">
        <v>29035</v>
      </c>
    </row>
    <row r="26691" spans="1:8">
      <c r="H26691" t="s">
        <v>29036</v>
      </c>
    </row>
    <row r="26692" spans="1:8">
      <c r="A26692" t="s">
        <v>1571</v>
      </c>
      <c r="B26692">
        <f>HYPERLINK("https://android.googlesource.com/platform/cts/+/400e7d594809ca2cb52c2a69cefbf92c21526237", "400e7d594809ca2cb52c2a69cefbf92c21526237")</f>
        <v>0</v>
      </c>
      <c r="C26692">
        <f>HYPERLINK("https://android.googlesource.com/platform/cts/+/36cd300c3d253eb36ec710e14be84e7e6ae4ffed", "36cd300c3d253eb36ec710e14be84e7e6ae4ffed")</f>
        <v>0</v>
      </c>
      <c r="D26692" t="s">
        <v>5117</v>
      </c>
      <c r="E26692" t="s">
        <v>7335</v>
      </c>
      <c r="F26692" t="s">
        <v>13241</v>
      </c>
      <c r="G26692" t="s">
        <v>17381</v>
      </c>
      <c r="H26692" t="s">
        <v>29037</v>
      </c>
    </row>
    <row r="26693" spans="1:8">
      <c r="H26693" t="s">
        <v>29038</v>
      </c>
    </row>
    <row r="26694" spans="1:8">
      <c r="H26694" t="s">
        <v>29039</v>
      </c>
    </row>
    <row r="26695" spans="1:8">
      <c r="H26695" t="s">
        <v>29040</v>
      </c>
    </row>
    <row r="26696" spans="1:8">
      <c r="H26696" t="s">
        <v>29041</v>
      </c>
    </row>
    <row r="26697" spans="1:8">
      <c r="H26697" t="s">
        <v>29042</v>
      </c>
    </row>
    <row r="26698" spans="1:8">
      <c r="H26698" t="s">
        <v>29043</v>
      </c>
    </row>
    <row r="26699" spans="1:8">
      <c r="H26699" t="s">
        <v>29044</v>
      </c>
    </row>
    <row r="26700" spans="1:8">
      <c r="H26700" t="s">
        <v>29045</v>
      </c>
    </row>
    <row r="26701" spans="1:8">
      <c r="H26701" t="s">
        <v>29046</v>
      </c>
    </row>
    <row r="26702" spans="1:8">
      <c r="H26702" t="s">
        <v>29047</v>
      </c>
    </row>
    <row r="26703" spans="1:8">
      <c r="H26703" t="s">
        <v>29048</v>
      </c>
    </row>
    <row r="26704" spans="1:8">
      <c r="H26704" t="s">
        <v>29049</v>
      </c>
    </row>
    <row r="26705" spans="1:8">
      <c r="H26705" t="s">
        <v>29050</v>
      </c>
    </row>
    <row r="26706" spans="1:8">
      <c r="H26706" t="s">
        <v>29051</v>
      </c>
    </row>
    <row r="26707" spans="1:8">
      <c r="H26707" t="s">
        <v>29052</v>
      </c>
    </row>
    <row r="26708" spans="1:8">
      <c r="H26708" t="s">
        <v>29053</v>
      </c>
    </row>
    <row r="26709" spans="1:8">
      <c r="H26709" t="s">
        <v>29054</v>
      </c>
    </row>
    <row r="26710" spans="1:8">
      <c r="H26710" t="s">
        <v>29055</v>
      </c>
    </row>
    <row r="26711" spans="1:8">
      <c r="H26711" t="s">
        <v>29056</v>
      </c>
    </row>
    <row r="26712" spans="1:8">
      <c r="H26712" t="s">
        <v>29057</v>
      </c>
    </row>
    <row r="26713" spans="1:8">
      <c r="H26713" t="s">
        <v>29058</v>
      </c>
    </row>
    <row r="26714" spans="1:8">
      <c r="H26714" t="s">
        <v>29059</v>
      </c>
    </row>
    <row r="26715" spans="1:8">
      <c r="H26715" t="s">
        <v>29060</v>
      </c>
    </row>
    <row r="26716" spans="1:8">
      <c r="A26716" t="s">
        <v>1572</v>
      </c>
      <c r="B26716">
        <f>HYPERLINK("https://android.googlesource.com/platform/cts/+/132add28bb79b857e866241a858695b933fd9dea", "132add28bb79b857e866241a858695b933fd9dea")</f>
        <v>0</v>
      </c>
      <c r="C26716">
        <f>HYPERLINK("https://android.googlesource.com/platform/cts/+/9ea549238750212c55861b249c4ea66c2a0662c6", "9ea549238750212c55861b249c4ea66c2a0662c6")</f>
        <v>0</v>
      </c>
      <c r="D26716" t="s">
        <v>5221</v>
      </c>
      <c r="E26716" t="s">
        <v>7336</v>
      </c>
      <c r="F26716" t="s">
        <v>13298</v>
      </c>
      <c r="G26716" t="s">
        <v>17434</v>
      </c>
      <c r="H26716" t="s">
        <v>29061</v>
      </c>
    </row>
    <row r="26717" spans="1:8">
      <c r="H26717" t="s">
        <v>29062</v>
      </c>
    </row>
    <row r="26718" spans="1:8">
      <c r="H26718" t="s">
        <v>29063</v>
      </c>
    </row>
    <row r="26719" spans="1:8">
      <c r="H26719" t="s">
        <v>29064</v>
      </c>
    </row>
    <row r="26720" spans="1:8">
      <c r="H26720" t="s">
        <v>29065</v>
      </c>
    </row>
    <row r="26721" spans="1:8">
      <c r="H26721" t="s">
        <v>29066</v>
      </c>
    </row>
    <row r="26722" spans="1:8">
      <c r="H26722" t="s">
        <v>29067</v>
      </c>
    </row>
    <row r="26723" spans="1:8">
      <c r="H26723" t="s">
        <v>29068</v>
      </c>
    </row>
    <row r="26724" spans="1:8">
      <c r="H26724" t="s">
        <v>29069</v>
      </c>
    </row>
    <row r="26725" spans="1:8">
      <c r="A26725" t="s">
        <v>1573</v>
      </c>
      <c r="B26725">
        <f>HYPERLINK("https://android.googlesource.com/platform/cts/+/651e374d7496f97f955c746c53fce77db5c21fc7", "651e374d7496f97f955c746c53fce77db5c21fc7")</f>
        <v>0</v>
      </c>
      <c r="C26725">
        <f>HYPERLINK("https://android.googlesource.com/platform/cts/+/3eb548948ae9ff26f05f03726586a9e0e0603d62", "3eb548948ae9ff26f05f03726586a9e0e0603d62")</f>
        <v>0</v>
      </c>
      <c r="D26725" t="s">
        <v>4994</v>
      </c>
      <c r="E26725" t="s">
        <v>7337</v>
      </c>
      <c r="F26725" t="s">
        <v>13105</v>
      </c>
      <c r="G26725" t="s">
        <v>17267</v>
      </c>
      <c r="H26725" t="s">
        <v>29070</v>
      </c>
    </row>
    <row r="26726" spans="1:8">
      <c r="F26726" t="s">
        <v>13108</v>
      </c>
      <c r="G26726" t="s">
        <v>17270</v>
      </c>
      <c r="H26726" t="s">
        <v>29071</v>
      </c>
    </row>
    <row r="26727" spans="1:8">
      <c r="H26727" t="s">
        <v>29072</v>
      </c>
    </row>
    <row r="26728" spans="1:8">
      <c r="F26728" t="s">
        <v>13299</v>
      </c>
      <c r="G26728" t="s">
        <v>17435</v>
      </c>
      <c r="H26728" t="s">
        <v>29073</v>
      </c>
    </row>
    <row r="26729" spans="1:8">
      <c r="H26729" t="s">
        <v>29074</v>
      </c>
    </row>
    <row r="26730" spans="1:8">
      <c r="F26730" t="s">
        <v>13113</v>
      </c>
      <c r="G26730" t="s">
        <v>17275</v>
      </c>
      <c r="H26730" t="s">
        <v>29075</v>
      </c>
    </row>
    <row r="26731" spans="1:8">
      <c r="H26731" t="s">
        <v>29076</v>
      </c>
    </row>
    <row r="26732" spans="1:8">
      <c r="F26732" t="s">
        <v>13300</v>
      </c>
      <c r="G26732" t="s">
        <v>17436</v>
      </c>
      <c r="H26732" t="s">
        <v>29073</v>
      </c>
    </row>
    <row r="26733" spans="1:8">
      <c r="F26733" t="s">
        <v>13301</v>
      </c>
      <c r="G26733" t="s">
        <v>17437</v>
      </c>
      <c r="H26733" t="s">
        <v>29075</v>
      </c>
    </row>
    <row r="26734" spans="1:8">
      <c r="H26734" t="s">
        <v>29076</v>
      </c>
    </row>
    <row r="26735" spans="1:8">
      <c r="F26735" t="s">
        <v>10754</v>
      </c>
      <c r="G26735" t="s">
        <v>15152</v>
      </c>
      <c r="H26735" t="s">
        <v>29073</v>
      </c>
    </row>
    <row r="26736" spans="1:8">
      <c r="F26736" t="s">
        <v>13120</v>
      </c>
      <c r="G26736" t="s">
        <v>17282</v>
      </c>
      <c r="H26736" t="s">
        <v>29073</v>
      </c>
    </row>
    <row r="26737" spans="1:8">
      <c r="A26737" t="s">
        <v>1574</v>
      </c>
      <c r="B26737">
        <f>HYPERLINK("https://android.googlesource.com/platform/cts/+/a41e22daec4b566d233a6ac3030311f599ec9fa9", "a41e22daec4b566d233a6ac3030311f599ec9fa9")</f>
        <v>0</v>
      </c>
      <c r="C26737">
        <f>HYPERLINK("https://android.googlesource.com/platform/cts/+/db76a375aa6872a5544fe545f0e501e96cb8c8ae", "db76a375aa6872a5544fe545f0e501e96cb8c8ae")</f>
        <v>0</v>
      </c>
      <c r="D26737" t="s">
        <v>5207</v>
      </c>
      <c r="E26737" t="s">
        <v>7338</v>
      </c>
      <c r="F26737" t="s">
        <v>12345</v>
      </c>
      <c r="G26737" t="s">
        <v>16573</v>
      </c>
      <c r="H26737" t="s">
        <v>22247</v>
      </c>
    </row>
    <row r="26738" spans="1:8">
      <c r="A26738" t="s">
        <v>1575</v>
      </c>
      <c r="B26738">
        <f>HYPERLINK("https://android.googlesource.com/platform/cts/+/2f85594f3b90e72122af62b01540de369456d533", "2f85594f3b90e72122af62b01540de369456d533")</f>
        <v>0</v>
      </c>
      <c r="C26738">
        <f>HYPERLINK("https://android.googlesource.com/platform/cts/+/0f1529c0a957241bee81adeb525e114e28db32c0", "0f1529c0a957241bee81adeb525e114e28db32c0")</f>
        <v>0</v>
      </c>
      <c r="D26738" t="s">
        <v>5134</v>
      </c>
      <c r="E26738" t="s">
        <v>7339</v>
      </c>
      <c r="F26738" t="s">
        <v>13302</v>
      </c>
      <c r="G26738" t="s">
        <v>17438</v>
      </c>
      <c r="H26738" t="s">
        <v>29077</v>
      </c>
    </row>
    <row r="26739" spans="1:8">
      <c r="H26739" t="s">
        <v>29078</v>
      </c>
    </row>
    <row r="26740" spans="1:8">
      <c r="H26740" t="s">
        <v>29079</v>
      </c>
    </row>
    <row r="26741" spans="1:8">
      <c r="H26741" t="s">
        <v>29080</v>
      </c>
    </row>
    <row r="26742" spans="1:8">
      <c r="H26742" t="s">
        <v>29081</v>
      </c>
    </row>
    <row r="26743" spans="1:8">
      <c r="H26743" t="s">
        <v>19133</v>
      </c>
    </row>
    <row r="26744" spans="1:8">
      <c r="H26744" t="s">
        <v>19135</v>
      </c>
    </row>
    <row r="26745" spans="1:8">
      <c r="A26745" t="s">
        <v>1576</v>
      </c>
      <c r="B26745">
        <f>HYPERLINK("https://android.googlesource.com/platform/cts/+/e57bc3dadf3c3f52ff93a34f3528f630d16f4c13", "e57bc3dadf3c3f52ff93a34f3528f630d16f4c13")</f>
        <v>0</v>
      </c>
      <c r="C26745">
        <f>HYPERLINK("https://android.googlesource.com/platform/cts/+/b11a0a1b86e3f7ae3bfab25a3903954ac707e7cf", "b11a0a1b86e3f7ae3bfab25a3903954ac707e7cf")</f>
        <v>0</v>
      </c>
      <c r="D26745" t="s">
        <v>5223</v>
      </c>
      <c r="E26745" t="s">
        <v>7340</v>
      </c>
      <c r="F26745" t="s">
        <v>13303</v>
      </c>
      <c r="G26745" t="s">
        <v>16873</v>
      </c>
      <c r="H26745" t="s">
        <v>29082</v>
      </c>
    </row>
    <row r="26746" spans="1:8">
      <c r="A26746" t="s">
        <v>1577</v>
      </c>
      <c r="B26746">
        <f>HYPERLINK("https://android.googlesource.com/platform/cts/+/6a3afe6449463cd63f126547b3594fd918e1f543", "6a3afe6449463cd63f126547b3594fd918e1f543")</f>
        <v>0</v>
      </c>
      <c r="C26746">
        <f>HYPERLINK("https://android.googlesource.com/platform/cts/+/e280b43711bbf54223f7bde587e75227446e06d4", "e280b43711bbf54223f7bde587e75227446e06d4")</f>
        <v>0</v>
      </c>
      <c r="D26746" t="s">
        <v>4971</v>
      </c>
      <c r="E26746" t="s">
        <v>7341</v>
      </c>
      <c r="F26746" t="s">
        <v>13304</v>
      </c>
      <c r="G26746" t="s">
        <v>17439</v>
      </c>
      <c r="H26746" t="s">
        <v>29083</v>
      </c>
    </row>
    <row r="26747" spans="1:8">
      <c r="A26747" t="s">
        <v>1578</v>
      </c>
      <c r="B26747">
        <f>HYPERLINK("https://android.googlesource.com/platform/cts/+/ae9ebfdb0a376e36b80b5d365e2e62d1502530bd", "ae9ebfdb0a376e36b80b5d365e2e62d1502530bd")</f>
        <v>0</v>
      </c>
      <c r="C26747">
        <f>HYPERLINK("https://android.googlesource.com/platform/cts/+/76ef62330b22abc31f9dd9cdaa14ee657328515b", "76ef62330b22abc31f9dd9cdaa14ee657328515b")</f>
        <v>0</v>
      </c>
      <c r="D26747" t="s">
        <v>5239</v>
      </c>
      <c r="E26747" t="s">
        <v>7342</v>
      </c>
      <c r="F26747" t="s">
        <v>10687</v>
      </c>
      <c r="G26747" t="s">
        <v>15087</v>
      </c>
      <c r="H26747" t="s">
        <v>29084</v>
      </c>
    </row>
    <row r="26748" spans="1:8">
      <c r="A26748" t="s">
        <v>1579</v>
      </c>
      <c r="B26748">
        <f>HYPERLINK("https://android.googlesource.com/platform/cts/+/80dd8b16b5907dc8142f519b73bc9836be6684d8", "80dd8b16b5907dc8142f519b73bc9836be6684d8")</f>
        <v>0</v>
      </c>
      <c r="C26748">
        <f>HYPERLINK("https://android.googlesource.com/platform/cts/+/9f1408142475d7f202609fd324467cb373d8abe7", "9f1408142475d7f202609fd324467cb373d8abe7")</f>
        <v>0</v>
      </c>
      <c r="D26748" t="s">
        <v>5146</v>
      </c>
      <c r="E26748" t="s">
        <v>7343</v>
      </c>
      <c r="F26748" t="s">
        <v>13277</v>
      </c>
      <c r="G26748" t="s">
        <v>17414</v>
      </c>
      <c r="H26748" t="s">
        <v>29085</v>
      </c>
    </row>
    <row r="26749" spans="1:8">
      <c r="H26749" t="s">
        <v>29086</v>
      </c>
    </row>
    <row r="26750" spans="1:8">
      <c r="H26750" t="s">
        <v>29087</v>
      </c>
    </row>
    <row r="26751" spans="1:8">
      <c r="A26751" t="s">
        <v>1580</v>
      </c>
      <c r="B26751">
        <f>HYPERLINK("https://android.googlesource.com/platform/cts/+/e66e55cc3151a2c3138df76fbf1721821d18398c", "e66e55cc3151a2c3138df76fbf1721821d18398c")</f>
        <v>0</v>
      </c>
      <c r="C26751">
        <f>HYPERLINK("https://android.googlesource.com/platform/cts/+/a0d4982aec29ab2f1d5948560a56e4e38c24b9f4", "a0d4982aec29ab2f1d5948560a56e4e38c24b9f4")</f>
        <v>0</v>
      </c>
      <c r="D26751" t="s">
        <v>5205</v>
      </c>
      <c r="E26751" t="s">
        <v>7344</v>
      </c>
      <c r="F26751" t="s">
        <v>13305</v>
      </c>
      <c r="G26751" t="s">
        <v>17148</v>
      </c>
      <c r="H26751" t="s">
        <v>29088</v>
      </c>
    </row>
    <row r="26752" spans="1:8">
      <c r="A26752" t="s">
        <v>1581</v>
      </c>
      <c r="B26752">
        <f>HYPERLINK("https://android.googlesource.com/platform/cts/+/b1c55daa44a4685a8961f7ac2fbf8586fac88281", "b1c55daa44a4685a8961f7ac2fbf8586fac88281")</f>
        <v>0</v>
      </c>
      <c r="C26752">
        <f>HYPERLINK("https://android.googlesource.com/platform/cts/+/c80b716b041267e475bb204d2b04e754451b10fe", "c80b716b041267e475bb204d2b04e754451b10fe")</f>
        <v>0</v>
      </c>
      <c r="D26752" t="s">
        <v>5236</v>
      </c>
      <c r="E26752" t="s">
        <v>7345</v>
      </c>
      <c r="F26752" t="s">
        <v>10727</v>
      </c>
      <c r="G26752" t="s">
        <v>15126</v>
      </c>
      <c r="H26752" t="s">
        <v>18982</v>
      </c>
    </row>
    <row r="26753" spans="1:8">
      <c r="H26753" t="s">
        <v>18983</v>
      </c>
    </row>
    <row r="26754" spans="1:8">
      <c r="A26754" t="s">
        <v>1582</v>
      </c>
      <c r="B26754">
        <f>HYPERLINK("https://android.googlesource.com/platform/cts/+/eec9f23a429b22bfbccbe4781679fedcbb526f7a", "eec9f23a429b22bfbccbe4781679fedcbb526f7a")</f>
        <v>0</v>
      </c>
      <c r="C26754">
        <f>HYPERLINK("https://android.googlesource.com/platform/cts/+/4cdee18aba37aee11a98fa08903e5671099f45a9", "4cdee18aba37aee11a98fa08903e5671099f45a9")</f>
        <v>0</v>
      </c>
      <c r="D26754" t="s">
        <v>5221</v>
      </c>
      <c r="E26754" t="s">
        <v>7346</v>
      </c>
      <c r="F26754" t="s">
        <v>13298</v>
      </c>
      <c r="G26754" t="s">
        <v>17434</v>
      </c>
      <c r="H26754" t="s">
        <v>29089</v>
      </c>
    </row>
    <row r="26755" spans="1:8">
      <c r="A26755" t="s">
        <v>1583</v>
      </c>
      <c r="B26755">
        <f>HYPERLINK("https://android.googlesource.com/platform/cts/+/c21996a3198d8f0cc40759a828ff5ecb343bf281", "c21996a3198d8f0cc40759a828ff5ecb343bf281")</f>
        <v>0</v>
      </c>
      <c r="C26755">
        <f>HYPERLINK("https://android.googlesource.com/platform/cts/+/5625dd670ca4f36967343375f0e7b4875bb1b56d", "5625dd670ca4f36967343375f0e7b4875bb1b56d")</f>
        <v>0</v>
      </c>
      <c r="D26755" t="s">
        <v>5167</v>
      </c>
      <c r="E26755" t="s">
        <v>7347</v>
      </c>
      <c r="F26755" t="s">
        <v>12402</v>
      </c>
      <c r="G26755" t="s">
        <v>16624</v>
      </c>
      <c r="H26755" t="s">
        <v>29090</v>
      </c>
    </row>
    <row r="26756" spans="1:8">
      <c r="H26756" t="s">
        <v>29091</v>
      </c>
    </row>
    <row r="26757" spans="1:8">
      <c r="H26757" t="s">
        <v>29092</v>
      </c>
    </row>
    <row r="26758" spans="1:8">
      <c r="A26758" t="s">
        <v>1584</v>
      </c>
      <c r="B26758">
        <f>HYPERLINK("https://android.googlesource.com/platform/cts/+/49a5c9fcc5aee50f0ecc54ebb1eefe0c450d7d6e", "49a5c9fcc5aee50f0ecc54ebb1eefe0c450d7d6e")</f>
        <v>0</v>
      </c>
      <c r="C26758">
        <f>HYPERLINK("https://android.googlesource.com/platform/cts/+/0e33545e073d0360a446a8f49662e6cdae44d780", "0e33545e073d0360a446a8f49662e6cdae44d780")</f>
        <v>0</v>
      </c>
      <c r="D26758" t="s">
        <v>5146</v>
      </c>
      <c r="E26758" t="s">
        <v>7348</v>
      </c>
      <c r="F26758" t="s">
        <v>13277</v>
      </c>
      <c r="G26758" t="s">
        <v>17414</v>
      </c>
      <c r="H26758" t="s">
        <v>29093</v>
      </c>
    </row>
    <row r="26759" spans="1:8">
      <c r="H26759" t="s">
        <v>29094</v>
      </c>
    </row>
    <row r="26760" spans="1:8">
      <c r="A26760" t="s">
        <v>1585</v>
      </c>
      <c r="B26760">
        <f>HYPERLINK("https://android.googlesource.com/platform/cts/+/97a8973fe9374294f44d915e9d11a28f57e9adc4", "97a8973fe9374294f44d915e9d11a28f57e9adc4")</f>
        <v>0</v>
      </c>
      <c r="C26760">
        <f>HYPERLINK("https://android.googlesource.com/platform/cts/+/fe2e7b214a5d42dc21ef078cec968bb9e7b5062c", "fe2e7b214a5d42dc21ef078cec968bb9e7b5062c")</f>
        <v>0</v>
      </c>
      <c r="D26760" t="s">
        <v>5167</v>
      </c>
      <c r="E26760" t="s">
        <v>7349</v>
      </c>
      <c r="F26760" t="s">
        <v>12402</v>
      </c>
      <c r="G26760" t="s">
        <v>16624</v>
      </c>
      <c r="H26760" t="s">
        <v>29090</v>
      </c>
    </row>
    <row r="26761" spans="1:8">
      <c r="H26761" t="s">
        <v>29091</v>
      </c>
    </row>
    <row r="26762" spans="1:8">
      <c r="H26762" t="s">
        <v>29092</v>
      </c>
    </row>
    <row r="26763" spans="1:8">
      <c r="A26763" t="s">
        <v>1586</v>
      </c>
      <c r="B26763">
        <f>HYPERLINK("https://android.googlesource.com/platform/cts/+/0bbc76997e8205fe8b93e6b875c19ed1993f5a75", "0bbc76997e8205fe8b93e6b875c19ed1993f5a75")</f>
        <v>0</v>
      </c>
      <c r="C26763">
        <f>HYPERLINK("https://android.googlesource.com/platform/cts/+/829b934ca4b4dd88d312ccb41af3ef2b44cf68e0", "829b934ca4b4dd88d312ccb41af3ef2b44cf68e0")</f>
        <v>0</v>
      </c>
      <c r="D26763" t="s">
        <v>5141</v>
      </c>
      <c r="E26763" t="s">
        <v>7350</v>
      </c>
      <c r="F26763" t="s">
        <v>13121</v>
      </c>
      <c r="G26763" t="s">
        <v>17283</v>
      </c>
      <c r="H26763" t="s">
        <v>29095</v>
      </c>
    </row>
    <row r="26764" spans="1:8">
      <c r="F26764" t="s">
        <v>13306</v>
      </c>
      <c r="G26764" t="s">
        <v>17440</v>
      </c>
      <c r="H26764" t="s">
        <v>19981</v>
      </c>
    </row>
    <row r="26765" spans="1:8">
      <c r="H26765" t="s">
        <v>18835</v>
      </c>
    </row>
    <row r="26766" spans="1:8">
      <c r="H26766" t="s">
        <v>29096</v>
      </c>
    </row>
    <row r="26767" spans="1:8">
      <c r="H26767" t="s">
        <v>29097</v>
      </c>
    </row>
    <row r="26768" spans="1:8">
      <c r="H26768" t="s">
        <v>29098</v>
      </c>
    </row>
    <row r="26769" spans="1:8">
      <c r="H26769" t="s">
        <v>29099</v>
      </c>
    </row>
    <row r="26770" spans="1:8">
      <c r="A26770" t="s">
        <v>1587</v>
      </c>
      <c r="B26770">
        <f>HYPERLINK("https://android.googlesource.com/platform/cts/+/fa00c81e658f7ad149f16f0f021bf9924578ea60", "fa00c81e658f7ad149f16f0f021bf9924578ea60")</f>
        <v>0</v>
      </c>
      <c r="C26770">
        <f>HYPERLINK("https://android.googlesource.com/platform/cts/+/2c4fc540e0e4cbbe67122d66aee957a02aec4274", "2c4fc540e0e4cbbe67122d66aee957a02aec4274")</f>
        <v>0</v>
      </c>
      <c r="D26770" t="s">
        <v>4978</v>
      </c>
      <c r="E26770" t="s">
        <v>7351</v>
      </c>
      <c r="F26770" t="s">
        <v>13307</v>
      </c>
      <c r="G26770" t="s">
        <v>16817</v>
      </c>
      <c r="H26770" t="s">
        <v>29100</v>
      </c>
    </row>
    <row r="26771" spans="1:8">
      <c r="A26771" t="s">
        <v>1592</v>
      </c>
      <c r="B26771">
        <f>HYPERLINK("https://android.googlesource.com/platform/cts/+/5b72ba4bb46657ca96c7295972cde1ec25be0fe3", "5b72ba4bb46657ca96c7295972cde1ec25be0fe3")</f>
        <v>0</v>
      </c>
      <c r="C26771">
        <f>HYPERLINK("https://android.googlesource.com/platform/cts/+/1beb10346c9f9ca4c35f8d3f26f5fa11de802dc4", "1beb10346c9f9ca4c35f8d3f26f5fa11de802dc4")</f>
        <v>0</v>
      </c>
      <c r="D26771" t="s">
        <v>5189</v>
      </c>
      <c r="E26771" t="s">
        <v>7353</v>
      </c>
      <c r="F26771" t="s">
        <v>13308</v>
      </c>
      <c r="G26771" t="s">
        <v>17441</v>
      </c>
      <c r="H26771" t="s">
        <v>29101</v>
      </c>
    </row>
    <row r="26772" spans="1:8">
      <c r="A26772" t="s">
        <v>1594</v>
      </c>
      <c r="B26772">
        <f>HYPERLINK("https://android.googlesource.com/platform/cts/+/b0ac26f2aca2b8b41cb06262db6599be15f16060", "b0ac26f2aca2b8b41cb06262db6599be15f16060")</f>
        <v>0</v>
      </c>
      <c r="C26772">
        <f>HYPERLINK("https://android.googlesource.com/platform/cts/+/bdb8d753ec2cc2fb3b0b830fa347187f21e18cb8", "bdb8d753ec2cc2fb3b0b830fa347187f21e18cb8")</f>
        <v>0</v>
      </c>
      <c r="D26772" t="s">
        <v>5241</v>
      </c>
      <c r="E26772" t="s">
        <v>7355</v>
      </c>
      <c r="F26772" t="s">
        <v>13281</v>
      </c>
      <c r="G26772" t="s">
        <v>17418</v>
      </c>
      <c r="H26772" t="s">
        <v>18829</v>
      </c>
    </row>
    <row r="26773" spans="1:8">
      <c r="A26773" t="s">
        <v>1595</v>
      </c>
      <c r="B26773">
        <f>HYPERLINK("https://android.googlesource.com/platform/cts/+/3a51173a3a762b576dd3c0d29c883e8763a9f95b", "3a51173a3a762b576dd3c0d29c883e8763a9f95b")</f>
        <v>0</v>
      </c>
      <c r="C26773">
        <f>HYPERLINK("https://android.googlesource.com/platform/cts/+/eb6e330495e48493247cd6f5dd06698d74cb585d", "eb6e330495e48493247cd6f5dd06698d74cb585d")</f>
        <v>0</v>
      </c>
      <c r="D26773" t="s">
        <v>5242</v>
      </c>
      <c r="E26773" t="s">
        <v>7356</v>
      </c>
      <c r="F26773" t="s">
        <v>13309</v>
      </c>
      <c r="G26773" t="s">
        <v>17442</v>
      </c>
      <c r="H26773" t="s">
        <v>26064</v>
      </c>
    </row>
    <row r="26774" spans="1:8">
      <c r="H26774" t="s">
        <v>18829</v>
      </c>
    </row>
    <row r="26775" spans="1:8">
      <c r="H26775" t="s">
        <v>29102</v>
      </c>
    </row>
    <row r="26776" spans="1:8">
      <c r="H26776" t="s">
        <v>29103</v>
      </c>
    </row>
    <row r="26777" spans="1:8">
      <c r="A26777" t="s">
        <v>1596</v>
      </c>
      <c r="B26777">
        <f>HYPERLINK("https://android.googlesource.com/platform/cts/+/fd6927db43ea193035aa5f5bb17eb22fc1fc7572", "fd6927db43ea193035aa5f5bb17eb22fc1fc7572")</f>
        <v>0</v>
      </c>
      <c r="C26777">
        <f>HYPERLINK("https://android.googlesource.com/platform/cts/+/826d2f5ebda02f61a5f2ca1efc232fe670e09d8e", "826d2f5ebda02f61a5f2ca1efc232fe670e09d8e")</f>
        <v>0</v>
      </c>
      <c r="D26777" t="s">
        <v>5026</v>
      </c>
      <c r="E26777" t="s">
        <v>7357</v>
      </c>
      <c r="F26777" t="s">
        <v>12327</v>
      </c>
      <c r="G26777" t="s">
        <v>16557</v>
      </c>
      <c r="H26777" t="s">
        <v>22135</v>
      </c>
    </row>
    <row r="26778" spans="1:8">
      <c r="A26778" t="s">
        <v>1598</v>
      </c>
      <c r="B26778">
        <f>HYPERLINK("https://android.googlesource.com/platform/cts/+/4703f3f991513b3878d181c0b03fb77dd5abc8f4", "4703f3f991513b3878d181c0b03fb77dd5abc8f4")</f>
        <v>0</v>
      </c>
      <c r="C26778">
        <f>HYPERLINK("https://android.googlesource.com/platform/cts/+/90e68aee31ea56235d968229b90fca947f012cfe", "90e68aee31ea56235d968229b90fca947f012cfe")</f>
        <v>0</v>
      </c>
      <c r="D26778" t="s">
        <v>5122</v>
      </c>
      <c r="E26778" t="s">
        <v>7359</v>
      </c>
      <c r="F26778" t="s">
        <v>13310</v>
      </c>
      <c r="G26778" t="s">
        <v>17338</v>
      </c>
      <c r="H26778" t="s">
        <v>29104</v>
      </c>
    </row>
    <row r="26779" spans="1:8">
      <c r="A26779" t="s">
        <v>1599</v>
      </c>
      <c r="B26779">
        <f>HYPERLINK("https://android.googlesource.com/platform/cts/+/fb89f455541966cbf213a494e5a39309bb0690eb", "fb89f455541966cbf213a494e5a39309bb0690eb")</f>
        <v>0</v>
      </c>
      <c r="C26779">
        <f>HYPERLINK("https://android.googlesource.com/platform/cts/+/0ab7b429d82e776eb7728e511a5cfe779316c78f", "0ab7b429d82e776eb7728e511a5cfe779316c78f")</f>
        <v>0</v>
      </c>
      <c r="D26779" t="s">
        <v>4949</v>
      </c>
      <c r="E26779" t="s">
        <v>7360</v>
      </c>
      <c r="F26779" t="s">
        <v>13230</v>
      </c>
      <c r="G26779" t="s">
        <v>17371</v>
      </c>
      <c r="H26779" t="s">
        <v>29105</v>
      </c>
    </row>
    <row r="26780" spans="1:8">
      <c r="A26780" t="s">
        <v>1600</v>
      </c>
      <c r="B26780">
        <f>HYPERLINK("https://android.googlesource.com/platform/cts/+/4704484d8f314b8879c7e1c659deec2b774f0902", "4704484d8f314b8879c7e1c659deec2b774f0902")</f>
        <v>0</v>
      </c>
      <c r="C26780">
        <f>HYPERLINK("https://android.googlesource.com/platform/cts/+/e19e0b274b15640731746916df2e83156d87f165", "e19e0b274b15640731746916df2e83156d87f165")</f>
        <v>0</v>
      </c>
      <c r="D26780" t="s">
        <v>5141</v>
      </c>
      <c r="E26780" t="s">
        <v>7361</v>
      </c>
      <c r="F26780" t="s">
        <v>13245</v>
      </c>
      <c r="G26780" t="s">
        <v>17385</v>
      </c>
      <c r="H26780" t="s">
        <v>18835</v>
      </c>
    </row>
    <row r="26781" spans="1:8">
      <c r="H26781" t="s">
        <v>29106</v>
      </c>
    </row>
    <row r="26782" spans="1:8">
      <c r="A26782" t="s">
        <v>1601</v>
      </c>
      <c r="B26782">
        <f>HYPERLINK("https://android.googlesource.com/platform/cts/+/3621ed0c7f3a3a864cb41ee654a3995d76b548bd", "3621ed0c7f3a3a864cb41ee654a3995d76b548bd")</f>
        <v>0</v>
      </c>
      <c r="C26782">
        <f>HYPERLINK("https://android.googlesource.com/platform/cts/+/c94d487f6e0a30d3f838ea6e158e0164efd7a5d1", "c94d487f6e0a30d3f838ea6e158e0164efd7a5d1")</f>
        <v>0</v>
      </c>
      <c r="D26782" t="s">
        <v>5122</v>
      </c>
      <c r="E26782" t="s">
        <v>7362</v>
      </c>
      <c r="F26782" t="s">
        <v>12743</v>
      </c>
      <c r="G26782" t="s">
        <v>16935</v>
      </c>
      <c r="H26782" t="s">
        <v>28052</v>
      </c>
    </row>
    <row r="26783" spans="1:8">
      <c r="A26783" t="s">
        <v>1602</v>
      </c>
      <c r="B26783">
        <f>HYPERLINK("https://android.googlesource.com/platform/cts/+/b6dfacd4a96a894ceb248ff3861a5c6dd9ff3b84", "b6dfacd4a96a894ceb248ff3861a5c6dd9ff3b84")</f>
        <v>0</v>
      </c>
      <c r="C26783">
        <f>HYPERLINK("https://android.googlesource.com/platform/cts/+/15000f9a2c996b036acf500439de4a22bdf09d2e", "15000f9a2c996b036acf500439de4a22bdf09d2e")</f>
        <v>0</v>
      </c>
      <c r="D26783" t="s">
        <v>5243</v>
      </c>
      <c r="E26783" t="s">
        <v>7363</v>
      </c>
      <c r="F26783" t="s">
        <v>13311</v>
      </c>
      <c r="G26783" t="s">
        <v>16471</v>
      </c>
      <c r="H26783" t="s">
        <v>29107</v>
      </c>
    </row>
    <row r="26784" spans="1:8">
      <c r="A26784" t="s">
        <v>1603</v>
      </c>
      <c r="B26784">
        <f>HYPERLINK("https://android.googlesource.com/platform/cts/+/dc861f0eb087bda4dacf1c51e4b30db07ff149ee", "dc861f0eb087bda4dacf1c51e4b30db07ff149ee")</f>
        <v>0</v>
      </c>
      <c r="C26784">
        <f>HYPERLINK("https://android.googlesource.com/platform/cts/+/0ab7b429d82e776eb7728e511a5cfe779316c78f", "0ab7b429d82e776eb7728e511a5cfe779316c78f")</f>
        <v>0</v>
      </c>
      <c r="D26784" t="s">
        <v>5189</v>
      </c>
      <c r="E26784" t="s">
        <v>7364</v>
      </c>
      <c r="F26784" t="s">
        <v>13206</v>
      </c>
      <c r="G26784" t="s">
        <v>17348</v>
      </c>
      <c r="H26784" t="s">
        <v>29108</v>
      </c>
    </row>
    <row r="26785" spans="1:8">
      <c r="A26785" t="s">
        <v>1604</v>
      </c>
      <c r="B26785">
        <f>HYPERLINK("https://android.googlesource.com/platform/cts/+/850e6daa43800a44a81b61c627ac643f942b4913", "850e6daa43800a44a81b61c627ac643f942b4913")</f>
        <v>0</v>
      </c>
      <c r="C26785">
        <f>HYPERLINK("https://android.googlesource.com/platform/cts/+/31c15e7bcec587dd6acc9d94d4070a5ad8ece4aa", "31c15e7bcec587dd6acc9d94d4070a5ad8ece4aa")</f>
        <v>0</v>
      </c>
      <c r="D26785" t="s">
        <v>4971</v>
      </c>
      <c r="E26785" t="s">
        <v>7365</v>
      </c>
      <c r="F26785" t="s">
        <v>13304</v>
      </c>
      <c r="G26785" t="s">
        <v>17439</v>
      </c>
      <c r="H26785" t="s">
        <v>29109</v>
      </c>
    </row>
    <row r="26786" spans="1:8">
      <c r="H26786" t="s">
        <v>29110</v>
      </c>
    </row>
    <row r="26787" spans="1:8">
      <c r="F26787" t="s">
        <v>13312</v>
      </c>
      <c r="G26787" t="s">
        <v>17443</v>
      </c>
      <c r="H26787" t="s">
        <v>19981</v>
      </c>
    </row>
    <row r="26788" spans="1:8">
      <c r="H26788" t="s">
        <v>29111</v>
      </c>
    </row>
    <row r="26789" spans="1:8">
      <c r="H26789" t="s">
        <v>29112</v>
      </c>
    </row>
    <row r="26790" spans="1:8">
      <c r="H26790" t="s">
        <v>29113</v>
      </c>
    </row>
    <row r="26791" spans="1:8">
      <c r="H26791" t="s">
        <v>29114</v>
      </c>
    </row>
    <row r="26792" spans="1:8">
      <c r="H26792" t="s">
        <v>29115</v>
      </c>
    </row>
    <row r="26793" spans="1:8">
      <c r="H26793" t="s">
        <v>29116</v>
      </c>
    </row>
    <row r="26794" spans="1:8">
      <c r="H26794" t="s">
        <v>29117</v>
      </c>
    </row>
    <row r="26795" spans="1:8">
      <c r="H26795" t="s">
        <v>29118</v>
      </c>
    </row>
    <row r="26796" spans="1:8">
      <c r="H26796" t="s">
        <v>29119</v>
      </c>
    </row>
    <row r="26797" spans="1:8">
      <c r="H26797" t="s">
        <v>29120</v>
      </c>
    </row>
    <row r="26798" spans="1:8">
      <c r="H26798" t="s">
        <v>29121</v>
      </c>
    </row>
    <row r="26799" spans="1:8">
      <c r="H26799" t="s">
        <v>29122</v>
      </c>
    </row>
    <row r="26800" spans="1:8">
      <c r="H26800" t="s">
        <v>29123</v>
      </c>
    </row>
    <row r="26801" spans="1:8">
      <c r="A26801" t="s">
        <v>1605</v>
      </c>
      <c r="B26801">
        <f>HYPERLINK("https://android.googlesource.com/platform/cts/+/1b23e52743ea6958cfce82b13842100dec6f2b28", "1b23e52743ea6958cfce82b13842100dec6f2b28")</f>
        <v>0</v>
      </c>
      <c r="C26801">
        <f>HYPERLINK("https://android.googlesource.com/platform/cts/+/d82c5956c79658ba9519182ba826aa94a42e14a5", "d82c5956c79658ba9519182ba826aa94a42e14a5")</f>
        <v>0</v>
      </c>
      <c r="D26801" t="s">
        <v>5244</v>
      </c>
      <c r="E26801" t="s">
        <v>7366</v>
      </c>
      <c r="F26801" t="s">
        <v>13313</v>
      </c>
      <c r="G26801" t="s">
        <v>17444</v>
      </c>
      <c r="H26801" t="s">
        <v>29124</v>
      </c>
    </row>
    <row r="26802" spans="1:8">
      <c r="H26802" t="s">
        <v>29125</v>
      </c>
    </row>
    <row r="26803" spans="1:8">
      <c r="H26803" t="s">
        <v>29126</v>
      </c>
    </row>
    <row r="26804" spans="1:8">
      <c r="H26804" t="s">
        <v>29127</v>
      </c>
    </row>
    <row r="26805" spans="1:8">
      <c r="H26805" t="s">
        <v>29128</v>
      </c>
    </row>
    <row r="26806" spans="1:8">
      <c r="A26806" t="s">
        <v>1606</v>
      </c>
      <c r="B26806">
        <f>HYPERLINK("https://android.googlesource.com/platform/cts/+/bf1931551bb500f36ac35aeb1e2d098d2a14e87d", "bf1931551bb500f36ac35aeb1e2d098d2a14e87d")</f>
        <v>0</v>
      </c>
      <c r="C26806">
        <f>HYPERLINK("https://android.googlesource.com/platform/cts/+/3d442a2c83119052e291987cd865b2522be94417", "3d442a2c83119052e291987cd865b2522be94417")</f>
        <v>0</v>
      </c>
      <c r="D26806" t="s">
        <v>4994</v>
      </c>
      <c r="E26806" t="s">
        <v>7367</v>
      </c>
      <c r="F26806" t="s">
        <v>10627</v>
      </c>
      <c r="G26806" t="s">
        <v>15030</v>
      </c>
      <c r="H26806" t="s">
        <v>29129</v>
      </c>
    </row>
    <row r="26807" spans="1:8">
      <c r="A26807" t="s">
        <v>1607</v>
      </c>
      <c r="B26807">
        <f>HYPERLINK("https://android.googlesource.com/platform/cts/+/1a51e0490717cbbc9719ba76074a32eba6554d0b", "1a51e0490717cbbc9719ba76074a32eba6554d0b")</f>
        <v>0</v>
      </c>
      <c r="C26807">
        <f>HYPERLINK("https://android.googlesource.com/platform/cts/+/2227b6ad4e3987bf498ec2af84a1b9b047e46d23", "2227b6ad4e3987bf498ec2af84a1b9b047e46d23")</f>
        <v>0</v>
      </c>
      <c r="D26807" t="s">
        <v>4994</v>
      </c>
      <c r="E26807" t="s">
        <v>7368</v>
      </c>
      <c r="F26807" t="s">
        <v>10627</v>
      </c>
      <c r="G26807" t="s">
        <v>15030</v>
      </c>
      <c r="H26807" t="s">
        <v>29130</v>
      </c>
    </row>
    <row r="26808" spans="1:8">
      <c r="A26808" t="s">
        <v>1609</v>
      </c>
      <c r="B26808">
        <f>HYPERLINK("https://android.googlesource.com/platform/cts/+/462de7a64368c6e4625df154cbbf302042cc43fd", "462de7a64368c6e4625df154cbbf302042cc43fd")</f>
        <v>0</v>
      </c>
      <c r="C26808">
        <f>HYPERLINK("https://android.googlesource.com/platform/cts/+/3557844ccf7845a56008216098f13aa83361681c", "3557844ccf7845a56008216098f13aa83361681c")</f>
        <v>0</v>
      </c>
      <c r="D26808" t="s">
        <v>4948</v>
      </c>
      <c r="E26808" t="s">
        <v>7370</v>
      </c>
      <c r="F26808" t="s">
        <v>13272</v>
      </c>
      <c r="G26808" t="s">
        <v>17409</v>
      </c>
      <c r="H26808" t="s">
        <v>29131</v>
      </c>
    </row>
    <row r="26809" spans="1:8">
      <c r="A26809" t="s">
        <v>1610</v>
      </c>
      <c r="B26809">
        <f>HYPERLINK("https://android.googlesource.com/platform/cts/+/e05087eaed040e5022cb67dadb40174a0c670c9d", "e05087eaed040e5022cb67dadb40174a0c670c9d")</f>
        <v>0</v>
      </c>
      <c r="C26809">
        <f>HYPERLINK("https://android.googlesource.com/platform/cts/+/47b0d98f75956ad1f502201def5ef514a2e38cb6", "47b0d98f75956ad1f502201def5ef514a2e38cb6")</f>
        <v>0</v>
      </c>
      <c r="D26809" t="s">
        <v>5134</v>
      </c>
      <c r="E26809" t="s">
        <v>7371</v>
      </c>
      <c r="F26809" t="s">
        <v>13314</v>
      </c>
      <c r="G26809" t="s">
        <v>17445</v>
      </c>
      <c r="H26809" t="s">
        <v>29132</v>
      </c>
    </row>
    <row r="26810" spans="1:8">
      <c r="A26810" t="s">
        <v>1611</v>
      </c>
      <c r="B26810">
        <f>HYPERLINK("https://android.googlesource.com/platform/cts/+/01c3c58f5e8ea782bddc22c0da1ae422af5f626d", "01c3c58f5e8ea782bddc22c0da1ae422af5f626d")</f>
        <v>0</v>
      </c>
      <c r="C26810">
        <f>HYPERLINK("https://android.googlesource.com/platform/cts/+/d322985dfb74715d62264023d19c9a0c9cf1b787", "d322985dfb74715d62264023d19c9a0c9cf1b787")</f>
        <v>0</v>
      </c>
      <c r="D26810" t="s">
        <v>5173</v>
      </c>
      <c r="E26810" t="s">
        <v>7372</v>
      </c>
      <c r="F26810" t="s">
        <v>11433</v>
      </c>
      <c r="G26810" t="s">
        <v>15673</v>
      </c>
      <c r="H26810" t="s">
        <v>29133</v>
      </c>
    </row>
    <row r="26811" spans="1:8">
      <c r="H26811" t="s">
        <v>29134</v>
      </c>
    </row>
    <row r="26812" spans="1:8">
      <c r="H26812" t="s">
        <v>29135</v>
      </c>
    </row>
    <row r="26813" spans="1:8">
      <c r="H26813" t="s">
        <v>29136</v>
      </c>
    </row>
    <row r="26814" spans="1:8">
      <c r="H26814" t="s">
        <v>29137</v>
      </c>
    </row>
    <row r="26815" spans="1:8">
      <c r="H26815" t="s">
        <v>29138</v>
      </c>
    </row>
    <row r="26816" spans="1:8">
      <c r="H26816" t="s">
        <v>29139</v>
      </c>
    </row>
    <row r="26817" spans="1:8">
      <c r="H26817" t="s">
        <v>29140</v>
      </c>
    </row>
    <row r="26818" spans="1:8">
      <c r="H26818" t="s">
        <v>29141</v>
      </c>
    </row>
    <row r="26819" spans="1:8">
      <c r="A26819" t="s">
        <v>1612</v>
      </c>
      <c r="B26819">
        <f>HYPERLINK("https://android.googlesource.com/platform/cts/+/d5ddcc51caeecd5ca89f56b29242ee22248efbaf", "d5ddcc51caeecd5ca89f56b29242ee22248efbaf")</f>
        <v>0</v>
      </c>
      <c r="C26819">
        <f>HYPERLINK("https://android.googlesource.com/platform/cts/+/387c3fddcb28a357b2af54a010fd851cfa1e87ef", "387c3fddcb28a357b2af54a010fd851cfa1e87ef")</f>
        <v>0</v>
      </c>
      <c r="D26819" t="s">
        <v>4994</v>
      </c>
      <c r="E26819" t="s">
        <v>7373</v>
      </c>
      <c r="F26819" t="s">
        <v>13315</v>
      </c>
      <c r="G26819" t="s">
        <v>17446</v>
      </c>
      <c r="H26819" t="s">
        <v>29142</v>
      </c>
    </row>
    <row r="26820" spans="1:8">
      <c r="H26820" t="s">
        <v>29143</v>
      </c>
    </row>
    <row r="26821" spans="1:8">
      <c r="H26821" t="s">
        <v>29144</v>
      </c>
    </row>
    <row r="26822" spans="1:8">
      <c r="F26822" t="s">
        <v>12336</v>
      </c>
      <c r="G26822" t="s">
        <v>16564</v>
      </c>
      <c r="H26822" t="s">
        <v>29145</v>
      </c>
    </row>
    <row r="26823" spans="1:8">
      <c r="A26823" t="s">
        <v>1613</v>
      </c>
      <c r="B26823">
        <f>HYPERLINK("https://android.googlesource.com/platform/cts/+/d09f0795c44bf98fbba6f28e62b86aa0ce536648", "d09f0795c44bf98fbba6f28e62b86aa0ce536648")</f>
        <v>0</v>
      </c>
      <c r="C26823">
        <f>HYPERLINK("https://android.googlesource.com/platform/cts/+/9ba11729349ba2572cd751974c76d72860dc4159", "9ba11729349ba2572cd751974c76d72860dc4159")</f>
        <v>0</v>
      </c>
      <c r="D26823" t="s">
        <v>5146</v>
      </c>
      <c r="E26823" t="s">
        <v>7374</v>
      </c>
      <c r="F26823" t="s">
        <v>12821</v>
      </c>
      <c r="G26823" t="s">
        <v>17000</v>
      </c>
      <c r="H26823" t="s">
        <v>29146</v>
      </c>
    </row>
    <row r="26824" spans="1:8">
      <c r="F26824" t="s">
        <v>12803</v>
      </c>
      <c r="G26824" t="s">
        <v>16985</v>
      </c>
      <c r="H26824" t="s">
        <v>29147</v>
      </c>
    </row>
    <row r="26825" spans="1:8">
      <c r="H26825" t="s">
        <v>29148</v>
      </c>
    </row>
    <row r="26826" spans="1:8">
      <c r="A26826" t="s">
        <v>1614</v>
      </c>
      <c r="B26826">
        <f>HYPERLINK("https://android.googlesource.com/platform/cts/+/0ce07e984c6133dc7e2aab6133e71ba31fb43f1b", "0ce07e984c6133dc7e2aab6133e71ba31fb43f1b")</f>
        <v>0</v>
      </c>
      <c r="C26826">
        <f>HYPERLINK("https://android.googlesource.com/platform/cts/+/9ba11729349ba2572cd751974c76d72860dc4159", "9ba11729349ba2572cd751974c76d72860dc4159")</f>
        <v>0</v>
      </c>
      <c r="D26826" t="s">
        <v>5221</v>
      </c>
      <c r="E26826" t="s">
        <v>7375</v>
      </c>
      <c r="F26826" t="s">
        <v>13298</v>
      </c>
      <c r="G26826" t="s">
        <v>17434</v>
      </c>
      <c r="H26826" t="s">
        <v>29149</v>
      </c>
    </row>
    <row r="26827" spans="1:8">
      <c r="A26827" t="s">
        <v>1615</v>
      </c>
      <c r="B26827">
        <f>HYPERLINK("https://android.googlesource.com/platform/cts/+/c6063db1182e5229fac3409f5f7aec40bc797630", "c6063db1182e5229fac3409f5f7aec40bc797630")</f>
        <v>0</v>
      </c>
      <c r="C26827">
        <f>HYPERLINK("https://android.googlesource.com/platform/cts/+/c3f0121226564ab661b249ef773fabdda086e3a4", "c3f0121226564ab661b249ef773fabdda086e3a4")</f>
        <v>0</v>
      </c>
      <c r="D26827" t="s">
        <v>5245</v>
      </c>
      <c r="E26827" t="s">
        <v>7376</v>
      </c>
      <c r="F26827" t="s">
        <v>13316</v>
      </c>
      <c r="G26827" t="s">
        <v>17447</v>
      </c>
      <c r="H26827" t="s">
        <v>29150</v>
      </c>
    </row>
    <row r="26828" spans="1:8">
      <c r="A26828" t="s">
        <v>1616</v>
      </c>
      <c r="B26828">
        <f>HYPERLINK("https://android.googlesource.com/platform/cts/+/94b3b550454af64b20dfde87c414640becbd69e7", "94b3b550454af64b20dfde87c414640becbd69e7")</f>
        <v>0</v>
      </c>
      <c r="C26828">
        <f>HYPERLINK("https://android.googlesource.com/platform/cts/+/d550bd304420581343822cca7a121d06eae5eba9", "d550bd304420581343822cca7a121d06eae5eba9")</f>
        <v>0</v>
      </c>
      <c r="D26828" t="s">
        <v>5134</v>
      </c>
      <c r="E26828" t="s">
        <v>7377</v>
      </c>
      <c r="F26828" t="s">
        <v>13230</v>
      </c>
      <c r="G26828" t="s">
        <v>17371</v>
      </c>
      <c r="H26828" t="s">
        <v>29151</v>
      </c>
    </row>
    <row r="26829" spans="1:8">
      <c r="A26829" t="s">
        <v>1617</v>
      </c>
      <c r="B26829">
        <f>HYPERLINK("https://android.googlesource.com/platform/cts/+/71b40518798bfd5b650b7164758e03922f19c0fe", "71b40518798bfd5b650b7164758e03922f19c0fe")</f>
        <v>0</v>
      </c>
      <c r="C26829">
        <f>HYPERLINK("https://android.googlesource.com/platform/cts/+/c1059dc42f48b62220b9977ced8fe2f166f5ebe9", "c1059dc42f48b62220b9977ced8fe2f166f5ebe9")</f>
        <v>0</v>
      </c>
      <c r="D26829" t="s">
        <v>5246</v>
      </c>
      <c r="E26829" t="s">
        <v>7378</v>
      </c>
      <c r="F26829" t="s">
        <v>10725</v>
      </c>
      <c r="G26829" t="s">
        <v>15124</v>
      </c>
      <c r="H26829" t="s">
        <v>27263</v>
      </c>
    </row>
    <row r="26830" spans="1:8">
      <c r="A26830" t="s">
        <v>1618</v>
      </c>
      <c r="B26830">
        <f>HYPERLINK("https://android.googlesource.com/platform/cts/+/c27fcc2b4804a1869f178fb0eef68ff53b94eac9", "c27fcc2b4804a1869f178fb0eef68ff53b94eac9")</f>
        <v>0</v>
      </c>
      <c r="C26830">
        <f>HYPERLINK("https://android.googlesource.com/platform/cts/+/d6a61e047471a52019df334e69d04b5ca90703ad", "d6a61e047471a52019df334e69d04b5ca90703ad")</f>
        <v>0</v>
      </c>
      <c r="D26830" t="s">
        <v>5247</v>
      </c>
      <c r="E26830" t="s">
        <v>7379</v>
      </c>
      <c r="F26830" t="s">
        <v>10659</v>
      </c>
      <c r="G26830" t="s">
        <v>15060</v>
      </c>
      <c r="H26830" t="s">
        <v>29152</v>
      </c>
    </row>
    <row r="26831" spans="1:8">
      <c r="H26831" t="s">
        <v>29153</v>
      </c>
    </row>
    <row r="26832" spans="1:8">
      <c r="H26832" t="s">
        <v>29154</v>
      </c>
    </row>
    <row r="26833" spans="1:8">
      <c r="A26833" t="s">
        <v>1619</v>
      </c>
      <c r="B26833">
        <f>HYPERLINK("https://android.googlesource.com/platform/cts/+/f99bcd008746a86d4d866eb6d40d328eab6a6501", "f99bcd008746a86d4d866eb6d40d328eab6a6501")</f>
        <v>0</v>
      </c>
      <c r="C26833">
        <f>HYPERLINK("https://android.googlesource.com/platform/cts/+/dae4d7587f3570a8b9950709c24e3adbe8a689c2", "dae4d7587f3570a8b9950709c24e3adbe8a689c2")</f>
        <v>0</v>
      </c>
      <c r="D26833" t="s">
        <v>5191</v>
      </c>
      <c r="E26833" t="s">
        <v>7380</v>
      </c>
      <c r="F26833" t="s">
        <v>13317</v>
      </c>
      <c r="G26833" t="s">
        <v>17448</v>
      </c>
      <c r="H26833" t="s">
        <v>29155</v>
      </c>
    </row>
    <row r="26834" spans="1:8">
      <c r="A26834" t="s">
        <v>1620</v>
      </c>
      <c r="B26834">
        <f>HYPERLINK("https://android.googlesource.com/platform/cts/+/0207ceedd65acc3210e62a66b9769c7894c3529e", "0207ceedd65acc3210e62a66b9769c7894c3529e")</f>
        <v>0</v>
      </c>
      <c r="C26834">
        <f>HYPERLINK("https://android.googlesource.com/platform/cts/+/113f5736a45d1f5528f6660800460b5dcef87aa2", "113f5736a45d1f5528f6660800460b5dcef87aa2")</f>
        <v>0</v>
      </c>
      <c r="D26834" t="s">
        <v>5117</v>
      </c>
      <c r="E26834" t="s">
        <v>7381</v>
      </c>
      <c r="F26834" t="s">
        <v>13241</v>
      </c>
      <c r="G26834" t="s">
        <v>17381</v>
      </c>
      <c r="H26834" t="s">
        <v>29156</v>
      </c>
    </row>
    <row r="26835" spans="1:8">
      <c r="H26835" t="s">
        <v>29157</v>
      </c>
    </row>
    <row r="26836" spans="1:8">
      <c r="H26836" t="s">
        <v>29158</v>
      </c>
    </row>
    <row r="26837" spans="1:8">
      <c r="H26837" t="s">
        <v>29159</v>
      </c>
    </row>
    <row r="26838" spans="1:8">
      <c r="H26838" t="s">
        <v>29160</v>
      </c>
    </row>
    <row r="26839" spans="1:8">
      <c r="A26839" t="s">
        <v>1621</v>
      </c>
      <c r="B26839">
        <f>HYPERLINK("https://android.googlesource.com/platform/cts/+/a15b313a5f1c068ce909cf05e44b6982dcde0b41", "a15b313a5f1c068ce909cf05e44b6982dcde0b41")</f>
        <v>0</v>
      </c>
      <c r="C26839">
        <f>HYPERLINK("https://android.googlesource.com/platform/cts/+/8cf20c1d08dd66519eb4833a6de62b31e580c01f", "8cf20c1d08dd66519eb4833a6de62b31e580c01f")</f>
        <v>0</v>
      </c>
      <c r="D26839" t="s">
        <v>4994</v>
      </c>
      <c r="E26839" t="s">
        <v>7382</v>
      </c>
      <c r="F26839" t="s">
        <v>12869</v>
      </c>
      <c r="G26839" t="s">
        <v>17037</v>
      </c>
      <c r="H26839" t="s">
        <v>18829</v>
      </c>
    </row>
    <row r="26840" spans="1:8">
      <c r="F26840" t="s">
        <v>12870</v>
      </c>
      <c r="G26840" t="s">
        <v>17038</v>
      </c>
      <c r="H26840" t="s">
        <v>18829</v>
      </c>
    </row>
    <row r="26841" spans="1:8">
      <c r="A26841" t="s">
        <v>1622</v>
      </c>
      <c r="B26841">
        <f>HYPERLINK("https://android.googlesource.com/platform/cts/+/9813a263965c354785f41a12bcd13c58f004a184", "9813a263965c354785f41a12bcd13c58f004a184")</f>
        <v>0</v>
      </c>
      <c r="C26841">
        <f>HYPERLINK("https://android.googlesource.com/platform/cts/+/bd3a85356a677761aabd84b41568ac3af438274e", "bd3a85356a677761aabd84b41568ac3af438274e")</f>
        <v>0</v>
      </c>
      <c r="D26841" t="s">
        <v>5125</v>
      </c>
      <c r="E26841" t="s">
        <v>7383</v>
      </c>
      <c r="F26841" t="s">
        <v>10596</v>
      </c>
      <c r="G26841" t="s">
        <v>14999</v>
      </c>
      <c r="H26841" t="s">
        <v>29161</v>
      </c>
    </row>
    <row r="26842" spans="1:8">
      <c r="A26842" t="s">
        <v>1623</v>
      </c>
      <c r="B26842">
        <f>HYPERLINK("https://android.googlesource.com/platform/cts/+/f88556f8f10cdacf1fa8c0aec2f22efc0a1846ea", "f88556f8f10cdacf1fa8c0aec2f22efc0a1846ea")</f>
        <v>0</v>
      </c>
      <c r="C26842">
        <f>HYPERLINK("https://android.googlesource.com/platform/cts/+/113f5736a45d1f5528f6660800460b5dcef87aa2", "113f5736a45d1f5528f6660800460b5dcef87aa2")</f>
        <v>0</v>
      </c>
      <c r="D26842" t="s">
        <v>5153</v>
      </c>
      <c r="E26842" t="s">
        <v>7384</v>
      </c>
      <c r="F26842" t="s">
        <v>13203</v>
      </c>
      <c r="G26842" t="s">
        <v>17345</v>
      </c>
      <c r="H26842" t="s">
        <v>29162</v>
      </c>
    </row>
    <row r="26843" spans="1:8">
      <c r="F26843" t="s">
        <v>13190</v>
      </c>
      <c r="G26843" t="s">
        <v>17334</v>
      </c>
      <c r="H26843" t="s">
        <v>29163</v>
      </c>
    </row>
    <row r="26844" spans="1:8">
      <c r="A26844" t="s">
        <v>1624</v>
      </c>
      <c r="B26844">
        <f>HYPERLINK("https://android.googlesource.com/platform/cts/+/86c62b976108d4e302ac59834bbac5004e6279bd", "86c62b976108d4e302ac59834bbac5004e6279bd")</f>
        <v>0</v>
      </c>
      <c r="C26844">
        <f>HYPERLINK("https://android.googlesource.com/platform/cts/+/2a4aeb16e29061d358cfbf9a03a052ddb41e800a", "2a4aeb16e29061d358cfbf9a03a052ddb41e800a")</f>
        <v>0</v>
      </c>
      <c r="D26844" t="s">
        <v>5146</v>
      </c>
      <c r="E26844" t="s">
        <v>7385</v>
      </c>
      <c r="F26844" t="s">
        <v>13318</v>
      </c>
      <c r="G26844" t="s">
        <v>17449</v>
      </c>
      <c r="H26844" t="s">
        <v>29164</v>
      </c>
    </row>
    <row r="26845" spans="1:8">
      <c r="A26845" t="s">
        <v>1625</v>
      </c>
      <c r="B26845">
        <f>HYPERLINK("https://android.googlesource.com/platform/cts/+/fb340e7b4f59a47e9e5e1e75237ec748d98bbb66", "fb340e7b4f59a47e9e5e1e75237ec748d98bbb66")</f>
        <v>0</v>
      </c>
      <c r="C26845">
        <f>HYPERLINK("https://android.googlesource.com/platform/cts/+/b00c06bd28f1487f41755cc003ff8be4adba9312", "b00c06bd28f1487f41755cc003ff8be4adba9312")</f>
        <v>0</v>
      </c>
      <c r="D26845" t="s">
        <v>5248</v>
      </c>
      <c r="E26845" t="s">
        <v>7386</v>
      </c>
      <c r="F26845" t="s">
        <v>13319</v>
      </c>
      <c r="G26845" t="s">
        <v>17450</v>
      </c>
      <c r="H26845" t="s">
        <v>29165</v>
      </c>
    </row>
    <row r="26846" spans="1:8">
      <c r="H26846" t="s">
        <v>29166</v>
      </c>
    </row>
    <row r="26847" spans="1:8">
      <c r="H26847" t="s">
        <v>29167</v>
      </c>
    </row>
    <row r="26848" spans="1:8">
      <c r="H26848" t="s">
        <v>29168</v>
      </c>
    </row>
    <row r="26849" spans="1:8">
      <c r="H26849" t="s">
        <v>29169</v>
      </c>
    </row>
    <row r="26850" spans="1:8">
      <c r="A26850" t="s">
        <v>1626</v>
      </c>
      <c r="B26850">
        <f>HYPERLINK("https://android.googlesource.com/platform/cts/+/9748f0cc7b0575db4bdf96ff491644ebc7008174", "9748f0cc7b0575db4bdf96ff491644ebc7008174")</f>
        <v>0</v>
      </c>
      <c r="C26850">
        <f>HYPERLINK("https://android.googlesource.com/platform/cts/+/a15b313a5f1c068ce909cf05e44b6982dcde0b41", "a15b313a5f1c068ce909cf05e44b6982dcde0b41")</f>
        <v>0</v>
      </c>
      <c r="D26850" t="s">
        <v>4994</v>
      </c>
      <c r="E26850" t="s">
        <v>7387</v>
      </c>
      <c r="F26850" t="s">
        <v>12869</v>
      </c>
      <c r="G26850" t="s">
        <v>17037</v>
      </c>
      <c r="H26850" t="s">
        <v>19981</v>
      </c>
    </row>
    <row r="26851" spans="1:8">
      <c r="F26851" t="s">
        <v>12870</v>
      </c>
      <c r="G26851" t="s">
        <v>17038</v>
      </c>
      <c r="H26851" t="s">
        <v>19981</v>
      </c>
    </row>
    <row r="26852" spans="1:8">
      <c r="A26852" t="s">
        <v>1627</v>
      </c>
      <c r="B26852">
        <f>HYPERLINK("https://android.googlesource.com/platform/cts/+/883fccda545906be3db121bc6b2420790747f99f", "883fccda545906be3db121bc6b2420790747f99f")</f>
        <v>0</v>
      </c>
      <c r="C26852">
        <f>HYPERLINK("https://android.googlesource.com/platform/cts/+/b46dc4767cdaa44992c2083c915d28cb1a94cc96", "b46dc4767cdaa44992c2083c915d28cb1a94cc96")</f>
        <v>0</v>
      </c>
      <c r="D26852" t="s">
        <v>5249</v>
      </c>
      <c r="E26852" t="s">
        <v>7388</v>
      </c>
      <c r="F26852" t="s">
        <v>13320</v>
      </c>
      <c r="G26852" t="s">
        <v>17451</v>
      </c>
      <c r="H26852" t="s">
        <v>18829</v>
      </c>
    </row>
    <row r="26853" spans="1:8">
      <c r="H26853" t="s">
        <v>18863</v>
      </c>
    </row>
    <row r="26854" spans="1:8">
      <c r="H26854" t="s">
        <v>29170</v>
      </c>
    </row>
    <row r="26855" spans="1:8">
      <c r="A26855" t="s">
        <v>1628</v>
      </c>
      <c r="B26855">
        <f>HYPERLINK("https://android.googlesource.com/platform/cts/+/10a335f759d64a4a2650426804d2fd4715b01eeb", "10a335f759d64a4a2650426804d2fd4715b01eeb")</f>
        <v>0</v>
      </c>
      <c r="C26855">
        <f>HYPERLINK("https://android.googlesource.com/platform/cts/+/b9506cb6329f93587fb9355cdae534ecd0de4c03", "b9506cb6329f93587fb9355cdae534ecd0de4c03")</f>
        <v>0</v>
      </c>
      <c r="D26855" t="s">
        <v>5117</v>
      </c>
      <c r="E26855" t="s">
        <v>7389</v>
      </c>
      <c r="F26855" t="s">
        <v>13321</v>
      </c>
      <c r="G26855" t="s">
        <v>17452</v>
      </c>
      <c r="H26855" t="s">
        <v>29171</v>
      </c>
    </row>
    <row r="26856" spans="1:8">
      <c r="A26856" t="s">
        <v>1629</v>
      </c>
      <c r="B26856">
        <f>HYPERLINK("https://android.googlesource.com/platform/cts/+/4938b4d5ef8f2246784e919113331420ae541208", "4938b4d5ef8f2246784e919113331420ae541208")</f>
        <v>0</v>
      </c>
      <c r="C26856">
        <f>HYPERLINK("https://android.googlesource.com/platform/cts/+/12644d30d10a3c25826cd4b2f0a20bc645d464a5", "12644d30d10a3c25826cd4b2f0a20bc645d464a5")</f>
        <v>0</v>
      </c>
      <c r="D26856" t="s">
        <v>4952</v>
      </c>
      <c r="E26856" t="s">
        <v>7390</v>
      </c>
      <c r="F26856" t="s">
        <v>12222</v>
      </c>
      <c r="G26856" t="s">
        <v>16452</v>
      </c>
      <c r="H26856" t="s">
        <v>29172</v>
      </c>
    </row>
    <row r="26857" spans="1:8">
      <c r="A26857" t="s">
        <v>1630</v>
      </c>
      <c r="B26857">
        <f>HYPERLINK("https://android.googlesource.com/platform/cts/+/3f351fc68277139f983c94164db50b2d0417bf93", "3f351fc68277139f983c94164db50b2d0417bf93")</f>
        <v>0</v>
      </c>
      <c r="C26857">
        <f>HYPERLINK("https://android.googlesource.com/platform/cts/+/377dff601f57f39d0eb4996c18a3c96e1c34b9b9", "377dff601f57f39d0eb4996c18a3c96e1c34b9b9")</f>
        <v>0</v>
      </c>
      <c r="D26857" t="s">
        <v>5228</v>
      </c>
      <c r="E26857" t="s">
        <v>7391</v>
      </c>
      <c r="F26857" t="s">
        <v>13256</v>
      </c>
      <c r="G26857" t="s">
        <v>17394</v>
      </c>
      <c r="H26857" t="s">
        <v>29173</v>
      </c>
    </row>
    <row r="26858" spans="1:8">
      <c r="H26858" t="s">
        <v>29174</v>
      </c>
    </row>
    <row r="26859" spans="1:8">
      <c r="F26859" t="s">
        <v>13322</v>
      </c>
      <c r="G26859" t="s">
        <v>17453</v>
      </c>
      <c r="H26859" t="s">
        <v>29175</v>
      </c>
    </row>
    <row r="26860" spans="1:8">
      <c r="A26860" t="s">
        <v>1631</v>
      </c>
      <c r="B26860">
        <f>HYPERLINK("https://android.googlesource.com/platform/cts/+/5a575804da7060c87dc88721137b2760ba77b10e", "5a575804da7060c87dc88721137b2760ba77b10e")</f>
        <v>0</v>
      </c>
      <c r="C26860">
        <f>HYPERLINK("https://android.googlesource.com/platform/cts/+/c24a1ea50b15cd38c748f07502d0cccad9b9d96b", "c24a1ea50b15cd38c748f07502d0cccad9b9d96b")</f>
        <v>0</v>
      </c>
      <c r="D26860" t="s">
        <v>5038</v>
      </c>
      <c r="E26860" t="s">
        <v>7392</v>
      </c>
      <c r="F26860" t="s">
        <v>13323</v>
      </c>
      <c r="G26860" t="s">
        <v>17454</v>
      </c>
      <c r="H26860" t="s">
        <v>29176</v>
      </c>
    </row>
    <row r="26861" spans="1:8">
      <c r="H26861" t="s">
        <v>29177</v>
      </c>
    </row>
    <row r="26862" spans="1:8">
      <c r="H26862" t="s">
        <v>29178</v>
      </c>
    </row>
    <row r="26863" spans="1:8">
      <c r="H26863" t="s">
        <v>29179</v>
      </c>
    </row>
    <row r="26864" spans="1:8">
      <c r="H26864" t="s">
        <v>29180</v>
      </c>
    </row>
    <row r="26865" spans="1:8">
      <c r="H26865" t="s">
        <v>29181</v>
      </c>
    </row>
    <row r="26866" spans="1:8">
      <c r="A26866" t="s">
        <v>1632</v>
      </c>
      <c r="B26866">
        <f>HYPERLINK("https://android.googlesource.com/platform/cts/+/86acc4015bd61a081ca8b79f22ab471ca0e9e4f7", "86acc4015bd61a081ca8b79f22ab471ca0e9e4f7")</f>
        <v>0</v>
      </c>
      <c r="C26866">
        <f>HYPERLINK("https://android.googlesource.com/platform/cts/+/ed6a097fa82e6ce3eb30ed85d65fd229ac6dded8", "ed6a097fa82e6ce3eb30ed85d65fd229ac6dded8")</f>
        <v>0</v>
      </c>
      <c r="D26866" t="s">
        <v>5216</v>
      </c>
      <c r="E26866" t="s">
        <v>7393</v>
      </c>
      <c r="F26866" t="s">
        <v>13324</v>
      </c>
      <c r="G26866" t="s">
        <v>17455</v>
      </c>
      <c r="H26866" t="s">
        <v>29182</v>
      </c>
    </row>
    <row r="26867" spans="1:8">
      <c r="H26867" t="s">
        <v>29183</v>
      </c>
    </row>
    <row r="26868" spans="1:8">
      <c r="A26868" t="s">
        <v>1633</v>
      </c>
      <c r="B26868">
        <f>HYPERLINK("https://android.googlesource.com/platform/cts/+/73d77f23c160d05711601e7edb81f3e7eb5e3bbb", "73d77f23c160d05711601e7edb81f3e7eb5e3bbb")</f>
        <v>0</v>
      </c>
      <c r="C26868">
        <f>HYPERLINK("https://android.googlesource.com/platform/cts/+/913b333163917366b2366092eabb868211ab15c8", "913b333163917366b2366092eabb868211ab15c8")</f>
        <v>0</v>
      </c>
      <c r="D26868" t="s">
        <v>5156</v>
      </c>
      <c r="E26868" t="s">
        <v>7394</v>
      </c>
      <c r="F26868" t="s">
        <v>13303</v>
      </c>
      <c r="G26868" t="s">
        <v>16873</v>
      </c>
      <c r="H26868" t="s">
        <v>29184</v>
      </c>
    </row>
    <row r="26869" spans="1:8">
      <c r="A26869" t="s">
        <v>1634</v>
      </c>
      <c r="B26869">
        <f>HYPERLINK("https://android.googlesource.com/platform/cts/+/773de498feb509c58075b5655749497b9edf09ab", "773de498feb509c58075b5655749497b9edf09ab")</f>
        <v>0</v>
      </c>
      <c r="C26869">
        <f>HYPERLINK("https://android.googlesource.com/platform/cts/+/5117a58ddd340b64c294fa98a9f0691678edd8bd", "5117a58ddd340b64c294fa98a9f0691678edd8bd")</f>
        <v>0</v>
      </c>
      <c r="D26869" t="s">
        <v>5169</v>
      </c>
      <c r="E26869" t="s">
        <v>7395</v>
      </c>
      <c r="F26869" t="s">
        <v>12895</v>
      </c>
      <c r="G26869" t="s">
        <v>17062</v>
      </c>
      <c r="H26869" t="s">
        <v>29185</v>
      </c>
    </row>
    <row r="26870" spans="1:8">
      <c r="H26870" t="s">
        <v>29186</v>
      </c>
    </row>
    <row r="26871" spans="1:8">
      <c r="H26871" t="s">
        <v>29187</v>
      </c>
    </row>
    <row r="26872" spans="1:8">
      <c r="H26872" t="s">
        <v>29188</v>
      </c>
    </row>
    <row r="26873" spans="1:8">
      <c r="H26873" t="s">
        <v>29189</v>
      </c>
    </row>
    <row r="26874" spans="1:8">
      <c r="H26874" t="s">
        <v>29190</v>
      </c>
    </row>
    <row r="26875" spans="1:8">
      <c r="H26875" t="s">
        <v>29191</v>
      </c>
    </row>
    <row r="26876" spans="1:8">
      <c r="H26876" t="s">
        <v>29192</v>
      </c>
    </row>
    <row r="26877" spans="1:8">
      <c r="H26877" t="s">
        <v>29193</v>
      </c>
    </row>
    <row r="26878" spans="1:8">
      <c r="H26878" t="s">
        <v>29194</v>
      </c>
    </row>
    <row r="26879" spans="1:8">
      <c r="H26879" t="s">
        <v>29195</v>
      </c>
    </row>
    <row r="26880" spans="1:8">
      <c r="H26880" t="s">
        <v>29196</v>
      </c>
    </row>
    <row r="26881" spans="1:8">
      <c r="H26881" t="s">
        <v>29197</v>
      </c>
    </row>
    <row r="26882" spans="1:8">
      <c r="H26882" t="s">
        <v>29198</v>
      </c>
    </row>
    <row r="26883" spans="1:8">
      <c r="H26883" t="s">
        <v>29199</v>
      </c>
    </row>
    <row r="26884" spans="1:8">
      <c r="H26884" t="s">
        <v>29200</v>
      </c>
    </row>
    <row r="26885" spans="1:8">
      <c r="H26885" t="s">
        <v>29201</v>
      </c>
    </row>
    <row r="26886" spans="1:8">
      <c r="H26886" t="s">
        <v>29202</v>
      </c>
    </row>
    <row r="26887" spans="1:8">
      <c r="A26887" t="s">
        <v>1635</v>
      </c>
      <c r="B26887">
        <f>HYPERLINK("https://android.googlesource.com/platform/cts/+/d3e185ac001ba84d0efa5be69dbfdd328c759cf3", "d3e185ac001ba84d0efa5be69dbfdd328c759cf3")</f>
        <v>0</v>
      </c>
      <c r="C26887">
        <f>HYPERLINK("https://android.googlesource.com/platform/cts/+/9aca2a73bfc04c9443a7d3b04a0b796f5f06891a", "9aca2a73bfc04c9443a7d3b04a0b796f5f06891a")</f>
        <v>0</v>
      </c>
      <c r="D26887" t="s">
        <v>5163</v>
      </c>
      <c r="E26887" t="s">
        <v>7396</v>
      </c>
      <c r="F26887" t="s">
        <v>13325</v>
      </c>
      <c r="G26887" t="s">
        <v>17456</v>
      </c>
      <c r="H26887" t="s">
        <v>18829</v>
      </c>
    </row>
    <row r="26888" spans="1:8">
      <c r="H26888" t="s">
        <v>29203</v>
      </c>
    </row>
    <row r="26889" spans="1:8">
      <c r="H26889" t="s">
        <v>29204</v>
      </c>
    </row>
    <row r="26890" spans="1:8">
      <c r="H26890" t="s">
        <v>29205</v>
      </c>
    </row>
    <row r="26891" spans="1:8">
      <c r="H26891" t="s">
        <v>29206</v>
      </c>
    </row>
    <row r="26892" spans="1:8">
      <c r="H26892" t="s">
        <v>29207</v>
      </c>
    </row>
    <row r="26893" spans="1:8">
      <c r="H26893" t="s">
        <v>29208</v>
      </c>
    </row>
    <row r="26894" spans="1:8">
      <c r="H26894" t="s">
        <v>26556</v>
      </c>
    </row>
    <row r="26895" spans="1:8">
      <c r="H26895" t="s">
        <v>26555</v>
      </c>
    </row>
    <row r="26896" spans="1:8">
      <c r="H26896" t="s">
        <v>29209</v>
      </c>
    </row>
    <row r="26897" spans="1:8">
      <c r="H26897" t="s">
        <v>29210</v>
      </c>
    </row>
    <row r="26898" spans="1:8">
      <c r="H26898" t="s">
        <v>29211</v>
      </c>
    </row>
    <row r="26899" spans="1:8">
      <c r="H26899" t="s">
        <v>25512</v>
      </c>
    </row>
    <row r="26900" spans="1:8">
      <c r="H26900" t="s">
        <v>29212</v>
      </c>
    </row>
    <row r="26901" spans="1:8">
      <c r="H26901" t="s">
        <v>29213</v>
      </c>
    </row>
    <row r="26902" spans="1:8">
      <c r="H26902" t="s">
        <v>26557</v>
      </c>
    </row>
    <row r="26903" spans="1:8">
      <c r="F26903" t="s">
        <v>13326</v>
      </c>
      <c r="G26903" t="s">
        <v>16863</v>
      </c>
      <c r="H26903" t="s">
        <v>19905</v>
      </c>
    </row>
    <row r="26904" spans="1:8">
      <c r="H26904" t="s">
        <v>29214</v>
      </c>
    </row>
    <row r="26905" spans="1:8">
      <c r="H26905" t="s">
        <v>29215</v>
      </c>
    </row>
    <row r="26906" spans="1:8">
      <c r="A26906" t="s">
        <v>1636</v>
      </c>
      <c r="B26906">
        <f>HYPERLINK("https://android.googlesource.com/platform/cts/+/274f3552effd7d59ff0ee2ced9fc5872541eba9f", "274f3552effd7d59ff0ee2ced9fc5872541eba9f")</f>
        <v>0</v>
      </c>
      <c r="C26906">
        <f>HYPERLINK("https://android.googlesource.com/platform/cts/+/8f43b55c939164fa93bc06c34ca1b2af04d0fee7", "8f43b55c939164fa93bc06c34ca1b2af04d0fee7")</f>
        <v>0</v>
      </c>
      <c r="D26906" t="s">
        <v>5250</v>
      </c>
      <c r="E26906" t="s">
        <v>7397</v>
      </c>
      <c r="F26906" t="s">
        <v>10625</v>
      </c>
      <c r="G26906" t="s">
        <v>15028</v>
      </c>
      <c r="H26906" t="s">
        <v>29216</v>
      </c>
    </row>
    <row r="26907" spans="1:8">
      <c r="H26907" t="s">
        <v>29217</v>
      </c>
    </row>
    <row r="26908" spans="1:8">
      <c r="A26908" t="s">
        <v>1637</v>
      </c>
      <c r="B26908">
        <f>HYPERLINK("https://android.googlesource.com/platform/cts/+/3338e9a596fb90847245303e24743c4e537e1b10", "3338e9a596fb90847245303e24743c4e537e1b10")</f>
        <v>0</v>
      </c>
      <c r="C26908">
        <f>HYPERLINK("https://android.googlesource.com/platform/cts/+/9564481ef06958d00841638121259c220f09ba3c", "9564481ef06958d00841638121259c220f09ba3c")</f>
        <v>0</v>
      </c>
      <c r="D26908" t="s">
        <v>4928</v>
      </c>
      <c r="E26908" t="s">
        <v>7398</v>
      </c>
      <c r="F26908" t="s">
        <v>13284</v>
      </c>
      <c r="G26908" t="s">
        <v>17421</v>
      </c>
      <c r="H26908" t="s">
        <v>28975</v>
      </c>
    </row>
    <row r="26909" spans="1:8">
      <c r="A26909" t="s">
        <v>1638</v>
      </c>
      <c r="B26909">
        <f>HYPERLINK("https://android.googlesource.com/platform/cts/+/6000acf6f62004f620fe30876c624dce03cfc2fe", "6000acf6f62004f620fe30876c624dce03cfc2fe")</f>
        <v>0</v>
      </c>
      <c r="C26909">
        <f>HYPERLINK("https://android.googlesource.com/platform/cts/+/62cd301c5ee9c36240186c87b5712c0134791337", "62cd301c5ee9c36240186c87b5712c0134791337")</f>
        <v>0</v>
      </c>
      <c r="D26909" t="s">
        <v>5111</v>
      </c>
      <c r="E26909" t="s">
        <v>7399</v>
      </c>
      <c r="F26909" t="s">
        <v>13327</v>
      </c>
      <c r="G26909" t="s">
        <v>17457</v>
      </c>
      <c r="H26909" t="s">
        <v>29218</v>
      </c>
    </row>
    <row r="26910" spans="1:8">
      <c r="A26910" t="s">
        <v>1639</v>
      </c>
      <c r="B26910">
        <f>HYPERLINK("https://android.googlesource.com/platform/cts/+/b8247720aeb50fc3d9249cc08b02894a67822c17", "b8247720aeb50fc3d9249cc08b02894a67822c17")</f>
        <v>0</v>
      </c>
      <c r="C26910">
        <f>HYPERLINK("https://android.googlesource.com/platform/cts/+/411f471e12b0958ff469420f2c69c3fe5db12da0", "411f471e12b0958ff469420f2c69c3fe5db12da0")</f>
        <v>0</v>
      </c>
      <c r="D26910" t="s">
        <v>5251</v>
      </c>
      <c r="E26910" t="s">
        <v>7400</v>
      </c>
      <c r="F26910" t="s">
        <v>13328</v>
      </c>
      <c r="G26910" t="s">
        <v>17458</v>
      </c>
      <c r="H26910" t="s">
        <v>18829</v>
      </c>
    </row>
    <row r="26911" spans="1:8">
      <c r="H26911" t="s">
        <v>18863</v>
      </c>
    </row>
    <row r="26912" spans="1:8">
      <c r="H26912" t="s">
        <v>29219</v>
      </c>
    </row>
    <row r="26913" spans="1:8">
      <c r="H26913" t="s">
        <v>29205</v>
      </c>
    </row>
    <row r="26914" spans="1:8">
      <c r="H26914" t="s">
        <v>26556</v>
      </c>
    </row>
    <row r="26915" spans="1:8">
      <c r="H26915" t="s">
        <v>26555</v>
      </c>
    </row>
    <row r="26916" spans="1:8">
      <c r="A26916" t="s">
        <v>1640</v>
      </c>
      <c r="B26916">
        <f>HYPERLINK("https://android.googlesource.com/platform/cts/+/0e8a8a026138d4a2f20daaadd70c9fb0132ab8a3", "0e8a8a026138d4a2f20daaadd70c9fb0132ab8a3")</f>
        <v>0</v>
      </c>
      <c r="C26916">
        <f>HYPERLINK("https://android.googlesource.com/platform/cts/+/97f9abd54e3c2a444c00ee2952b067da0c829350", "97f9abd54e3c2a444c00ee2952b067da0c829350")</f>
        <v>0</v>
      </c>
      <c r="D26916" t="s">
        <v>5039</v>
      </c>
      <c r="E26916" t="s">
        <v>7401</v>
      </c>
      <c r="F26916" t="s">
        <v>12426</v>
      </c>
      <c r="G26916" t="s">
        <v>16648</v>
      </c>
      <c r="H26916" t="s">
        <v>29220</v>
      </c>
    </row>
    <row r="26917" spans="1:8">
      <c r="H26917" t="s">
        <v>29221</v>
      </c>
    </row>
    <row r="26918" spans="1:8">
      <c r="H26918" t="s">
        <v>29220</v>
      </c>
    </row>
    <row r="26919" spans="1:8">
      <c r="H26919" t="s">
        <v>29221</v>
      </c>
    </row>
    <row r="26920" spans="1:8">
      <c r="A26920" t="s">
        <v>1641</v>
      </c>
      <c r="B26920">
        <f>HYPERLINK("https://android.googlesource.com/platform/cts/+/5ffd7064eba6ef108da6c00815b58a5341dfc66b", "5ffd7064eba6ef108da6c00815b58a5341dfc66b")</f>
        <v>0</v>
      </c>
      <c r="C26920">
        <f>HYPERLINK("https://android.googlesource.com/platform/cts/+/39d462740e6dfb8afce275d4be93294018eabe8c", "39d462740e6dfb8afce275d4be93294018eabe8c")</f>
        <v>0</v>
      </c>
      <c r="D26920" t="s">
        <v>5251</v>
      </c>
      <c r="E26920" t="s">
        <v>7402</v>
      </c>
      <c r="F26920" t="s">
        <v>13329</v>
      </c>
      <c r="G26920" t="s">
        <v>17459</v>
      </c>
      <c r="H26920" t="s">
        <v>29222</v>
      </c>
    </row>
    <row r="26921" spans="1:8">
      <c r="A26921" t="s">
        <v>1642</v>
      </c>
      <c r="B26921">
        <f>HYPERLINK("https://android.googlesource.com/platform/cts/+/8b6f771a4c31902ab644396a161e269b69a747fb", "8b6f771a4c31902ab644396a161e269b69a747fb")</f>
        <v>0</v>
      </c>
      <c r="C26921">
        <f>HYPERLINK("https://android.googlesource.com/platform/cts/+/4a9240df07382834e7edaa496d33c85ddbedabab", "4a9240df07382834e7edaa496d33c85ddbedabab")</f>
        <v>0</v>
      </c>
      <c r="D26921" t="s">
        <v>5163</v>
      </c>
      <c r="E26921" t="s">
        <v>7403</v>
      </c>
      <c r="F26921" t="s">
        <v>13319</v>
      </c>
      <c r="G26921" t="s">
        <v>17450</v>
      </c>
      <c r="H26921" t="s">
        <v>29165</v>
      </c>
    </row>
    <row r="26922" spans="1:8">
      <c r="H26922" t="s">
        <v>29166</v>
      </c>
    </row>
    <row r="26923" spans="1:8">
      <c r="H26923" t="s">
        <v>29167</v>
      </c>
    </row>
    <row r="26924" spans="1:8">
      <c r="H26924" t="s">
        <v>29168</v>
      </c>
    </row>
    <row r="26925" spans="1:8">
      <c r="H26925" t="s">
        <v>29169</v>
      </c>
    </row>
    <row r="26926" spans="1:8">
      <c r="A26926" t="s">
        <v>1644</v>
      </c>
      <c r="B26926">
        <f>HYPERLINK("https://android.googlesource.com/platform/cts/+/48f1a7bd20f5287061b80149cf4fe1ff0b4d4f13", "48f1a7bd20f5287061b80149cf4fe1ff0b4d4f13")</f>
        <v>0</v>
      </c>
      <c r="C26926">
        <f>HYPERLINK("https://android.googlesource.com/platform/cts/+/e8ddc79ad79915cb7df91841a42d9536220e86db", "e8ddc79ad79915cb7df91841a42d9536220e86db")</f>
        <v>0</v>
      </c>
      <c r="D26926" t="s">
        <v>5252</v>
      </c>
      <c r="E26926" t="s">
        <v>7405</v>
      </c>
      <c r="F26926" t="s">
        <v>13330</v>
      </c>
      <c r="G26926" t="s">
        <v>17460</v>
      </c>
      <c r="H26926" t="s">
        <v>18829</v>
      </c>
    </row>
    <row r="26927" spans="1:8">
      <c r="H26927" t="s">
        <v>29224</v>
      </c>
    </row>
    <row r="26928" spans="1:8">
      <c r="H26928" t="s">
        <v>29225</v>
      </c>
    </row>
    <row r="26929" spans="1:8">
      <c r="A26929" t="s">
        <v>1646</v>
      </c>
      <c r="B26929">
        <f>HYPERLINK("https://android.googlesource.com/platform/cts/+/d10da795a13a0d56f2d0fc0cfa5be723b102a09c", "d10da795a13a0d56f2d0fc0cfa5be723b102a09c")</f>
        <v>0</v>
      </c>
      <c r="C26929">
        <f>HYPERLINK("https://android.googlesource.com/platform/cts/+/9394abad93f87e2233397a0416d500a37903bc97", "9394abad93f87e2233397a0416d500a37903bc97")</f>
        <v>0</v>
      </c>
      <c r="D26929" t="s">
        <v>5060</v>
      </c>
      <c r="E26929" t="s">
        <v>7407</v>
      </c>
      <c r="F26929" t="s">
        <v>12817</v>
      </c>
      <c r="G26929" t="s">
        <v>16629</v>
      </c>
      <c r="H26929" t="s">
        <v>29226</v>
      </c>
    </row>
    <row r="26930" spans="1:8">
      <c r="A26930" t="s">
        <v>1647</v>
      </c>
      <c r="B26930">
        <f>HYPERLINK("https://android.googlesource.com/platform/cts/+/c6b8a08f4356649e1ab9f0a043622bdfe4d34c20", "c6b8a08f4356649e1ab9f0a043622bdfe4d34c20")</f>
        <v>0</v>
      </c>
      <c r="C26930">
        <f>HYPERLINK("https://android.googlesource.com/platform/cts/+/58a88d15d921b2ef3a36366cb456fc07e5449c8b", "58a88d15d921b2ef3a36366cb456fc07e5449c8b")</f>
        <v>0</v>
      </c>
      <c r="D26930" t="s">
        <v>4981</v>
      </c>
      <c r="E26930" t="s">
        <v>7408</v>
      </c>
      <c r="F26930" t="s">
        <v>13331</v>
      </c>
      <c r="G26930" t="s">
        <v>17461</v>
      </c>
      <c r="H26930" t="s">
        <v>18863</v>
      </c>
    </row>
    <row r="26931" spans="1:8">
      <c r="H26931" t="s">
        <v>22587</v>
      </c>
    </row>
    <row r="26932" spans="1:8">
      <c r="H26932" t="s">
        <v>22794</v>
      </c>
    </row>
    <row r="26933" spans="1:8">
      <c r="H26933" t="s">
        <v>22594</v>
      </c>
    </row>
    <row r="26934" spans="1:8">
      <c r="H26934" t="s">
        <v>22591</v>
      </c>
    </row>
    <row r="26935" spans="1:8">
      <c r="F26935" t="s">
        <v>13332</v>
      </c>
      <c r="G26935" t="s">
        <v>17462</v>
      </c>
      <c r="H26935" t="s">
        <v>29227</v>
      </c>
    </row>
    <row r="26936" spans="1:8">
      <c r="H26936" t="s">
        <v>29228</v>
      </c>
    </row>
    <row r="26937" spans="1:8">
      <c r="F26937" t="s">
        <v>13333</v>
      </c>
      <c r="G26937" t="s">
        <v>17463</v>
      </c>
      <c r="H26937" t="s">
        <v>29227</v>
      </c>
    </row>
    <row r="26938" spans="1:8">
      <c r="H26938" t="s">
        <v>29228</v>
      </c>
    </row>
    <row r="26939" spans="1:8">
      <c r="F26939" t="s">
        <v>13334</v>
      </c>
      <c r="G26939" t="s">
        <v>17464</v>
      </c>
      <c r="H26939" t="s">
        <v>29229</v>
      </c>
    </row>
    <row r="26940" spans="1:8">
      <c r="H26940" t="s">
        <v>22794</v>
      </c>
    </row>
    <row r="26941" spans="1:8">
      <c r="F26941" t="s">
        <v>13261</v>
      </c>
      <c r="G26941" t="s">
        <v>17399</v>
      </c>
      <c r="H26941" t="s">
        <v>25497</v>
      </c>
    </row>
    <row r="26942" spans="1:8">
      <c r="H26942" t="s">
        <v>20244</v>
      </c>
    </row>
    <row r="26943" spans="1:8">
      <c r="H26943" t="s">
        <v>29230</v>
      </c>
    </row>
    <row r="26944" spans="1:8">
      <c r="H26944" t="s">
        <v>29231</v>
      </c>
    </row>
    <row r="26945" spans="6:8">
      <c r="H26945" t="s">
        <v>29232</v>
      </c>
    </row>
    <row r="26946" spans="6:8">
      <c r="H26946" t="s">
        <v>29233</v>
      </c>
    </row>
    <row r="26947" spans="6:8">
      <c r="H26947" t="s">
        <v>29234</v>
      </c>
    </row>
    <row r="26948" spans="6:8">
      <c r="H26948" t="s">
        <v>29235</v>
      </c>
    </row>
    <row r="26949" spans="6:8">
      <c r="H26949" t="s">
        <v>29236</v>
      </c>
    </row>
    <row r="26950" spans="6:8">
      <c r="H26950" t="s">
        <v>29237</v>
      </c>
    </row>
    <row r="26951" spans="6:8">
      <c r="H26951" t="s">
        <v>29238</v>
      </c>
    </row>
    <row r="26952" spans="6:8">
      <c r="H26952" t="s">
        <v>29239</v>
      </c>
    </row>
    <row r="26953" spans="6:8">
      <c r="H26953" t="s">
        <v>29240</v>
      </c>
    </row>
    <row r="26954" spans="6:8">
      <c r="H26954" t="s">
        <v>29241</v>
      </c>
    </row>
    <row r="26955" spans="6:8">
      <c r="H26955" t="s">
        <v>29242</v>
      </c>
    </row>
    <row r="26956" spans="6:8">
      <c r="H26956" t="s">
        <v>29243</v>
      </c>
    </row>
    <row r="26957" spans="6:8">
      <c r="F26957" t="s">
        <v>13335</v>
      </c>
      <c r="G26957" t="s">
        <v>17465</v>
      </c>
      <c r="H26957" t="s">
        <v>29244</v>
      </c>
    </row>
    <row r="26958" spans="6:8">
      <c r="H26958" t="s">
        <v>25704</v>
      </c>
    </row>
    <row r="26959" spans="6:8">
      <c r="H26959" t="s">
        <v>29245</v>
      </c>
    </row>
    <row r="26960" spans="6:8">
      <c r="H26960" t="s">
        <v>29246</v>
      </c>
    </row>
    <row r="26961" spans="1:8">
      <c r="H26961" t="s">
        <v>29247</v>
      </c>
    </row>
    <row r="26962" spans="1:8">
      <c r="H26962" t="s">
        <v>29247</v>
      </c>
    </row>
    <row r="26963" spans="1:8">
      <c r="H26963" t="s">
        <v>29248</v>
      </c>
    </row>
    <row r="26964" spans="1:8">
      <c r="H26964" t="s">
        <v>29248</v>
      </c>
    </row>
    <row r="26965" spans="1:8">
      <c r="H26965" t="s">
        <v>29249</v>
      </c>
    </row>
    <row r="26966" spans="1:8">
      <c r="A26966" t="s">
        <v>1648</v>
      </c>
      <c r="B26966">
        <f>HYPERLINK("https://android.googlesource.com/platform/cts/+/5f006bf6256ac47900a72442c40d6e4d14473c90", "5f006bf6256ac47900a72442c40d6e4d14473c90")</f>
        <v>0</v>
      </c>
      <c r="C26966">
        <f>HYPERLINK("https://android.googlesource.com/platform/cts/+/e2a1a9e5d9aef1567485a7fad41a6309ea5a7010", "e2a1a9e5d9aef1567485a7fad41a6309ea5a7010")</f>
        <v>0</v>
      </c>
      <c r="D26966" t="s">
        <v>5125</v>
      </c>
      <c r="E26966" t="s">
        <v>7409</v>
      </c>
      <c r="F26966" t="s">
        <v>13336</v>
      </c>
      <c r="G26966" t="s">
        <v>17466</v>
      </c>
      <c r="H26966" t="s">
        <v>29250</v>
      </c>
    </row>
    <row r="26967" spans="1:8">
      <c r="A26967" t="s">
        <v>1649</v>
      </c>
      <c r="B26967">
        <f>HYPERLINK("https://android.googlesource.com/platform/cts/+/1b62b90a2e3976afeeae868d80fc860634cb8ab1", "1b62b90a2e3976afeeae868d80fc860634cb8ab1")</f>
        <v>0</v>
      </c>
      <c r="C26967">
        <f>HYPERLINK("https://android.googlesource.com/platform/cts/+/631a7fe1159fb9adbe38786fa14c56f3dbde7a7e", "631a7fe1159fb9adbe38786fa14c56f3dbde7a7e")</f>
        <v>0</v>
      </c>
      <c r="D26967" t="s">
        <v>5219</v>
      </c>
      <c r="E26967" t="s">
        <v>7410</v>
      </c>
      <c r="F26967" t="s">
        <v>13337</v>
      </c>
      <c r="G26967" t="s">
        <v>17467</v>
      </c>
      <c r="H26967" t="s">
        <v>29251</v>
      </c>
    </row>
    <row r="26968" spans="1:8">
      <c r="H26968" t="s">
        <v>19923</v>
      </c>
    </row>
    <row r="26969" spans="1:8">
      <c r="H26969" t="s">
        <v>29252</v>
      </c>
    </row>
    <row r="26970" spans="1:8">
      <c r="H26970" t="s">
        <v>29253</v>
      </c>
    </row>
    <row r="26971" spans="1:8">
      <c r="H26971" t="s">
        <v>29254</v>
      </c>
    </row>
    <row r="26972" spans="1:8">
      <c r="A26972" t="s">
        <v>1651</v>
      </c>
      <c r="B26972">
        <f>HYPERLINK("https://android.googlesource.com/platform/cts/+/170359c8eeae97d03a1b346da24ab7cf92c50b71", "170359c8eeae97d03a1b346da24ab7cf92c50b71")</f>
        <v>0</v>
      </c>
      <c r="C26972">
        <f>HYPERLINK("https://android.googlesource.com/platform/cts/+/0c8336979248cde71e28fcdf83be40fe7565f89d", "0c8336979248cde71e28fcdf83be40fe7565f89d")</f>
        <v>0</v>
      </c>
      <c r="D26972" t="s">
        <v>5194</v>
      </c>
      <c r="E26972" t="s">
        <v>7412</v>
      </c>
      <c r="F26972" t="s">
        <v>13236</v>
      </c>
      <c r="G26972" t="s">
        <v>17375</v>
      </c>
      <c r="H26972" t="s">
        <v>29255</v>
      </c>
    </row>
    <row r="26973" spans="1:8">
      <c r="A26973" t="s">
        <v>1652</v>
      </c>
      <c r="B26973">
        <f>HYPERLINK("https://android.googlesource.com/platform/cts/+/5a69a63bd4f5a9533312c09f00bdd0404620b1f9", "5a69a63bd4f5a9533312c09f00bdd0404620b1f9")</f>
        <v>0</v>
      </c>
      <c r="C26973">
        <f>HYPERLINK("https://android.googlesource.com/platform/cts/+/66562c058c978be66d333f7a641cb7959049e0ba", "66562c058c978be66d333f7a641cb7959049e0ba")</f>
        <v>0</v>
      </c>
      <c r="D26973" t="s">
        <v>4974</v>
      </c>
      <c r="E26973" t="s">
        <v>7413</v>
      </c>
      <c r="F26973" t="s">
        <v>12710</v>
      </c>
      <c r="G26973" t="s">
        <v>16911</v>
      </c>
      <c r="H26973" t="s">
        <v>29256</v>
      </c>
    </row>
    <row r="26974" spans="1:8">
      <c r="H26974" t="s">
        <v>29257</v>
      </c>
    </row>
    <row r="26975" spans="1:8">
      <c r="H26975" t="s">
        <v>29258</v>
      </c>
    </row>
    <row r="26976" spans="1:8">
      <c r="H26976" t="s">
        <v>29259</v>
      </c>
    </row>
    <row r="26977" spans="1:8">
      <c r="H26977" t="s">
        <v>29260</v>
      </c>
    </row>
    <row r="26978" spans="1:8">
      <c r="H26978" t="s">
        <v>29261</v>
      </c>
    </row>
    <row r="26979" spans="1:8">
      <c r="A26979" t="s">
        <v>1654</v>
      </c>
      <c r="B26979">
        <f>HYPERLINK("https://android.googlesource.com/platform/cts/+/74e17361be356ff8a46c96989f4e67a34e345ce4", "74e17361be356ff8a46c96989f4e67a34e345ce4")</f>
        <v>0</v>
      </c>
      <c r="C26979">
        <f>HYPERLINK("https://android.googlesource.com/platform/cts/+/6c11e6dd7b660544650fb8fbccb924b75b227a74", "6c11e6dd7b660544650fb8fbccb924b75b227a74")</f>
        <v>0</v>
      </c>
      <c r="D26979" t="s">
        <v>5132</v>
      </c>
      <c r="E26979" t="s">
        <v>7414</v>
      </c>
      <c r="F26979" t="s">
        <v>13338</v>
      </c>
      <c r="G26979" t="s">
        <v>17468</v>
      </c>
      <c r="H26979" t="s">
        <v>29262</v>
      </c>
    </row>
    <row r="26980" spans="1:8">
      <c r="A26980" t="s">
        <v>1655</v>
      </c>
      <c r="B26980">
        <f>HYPERLINK("https://android.googlesource.com/platform/cts/+/846ec2dd22d429832f10a4b82709cccf61b83ebb", "846ec2dd22d429832f10a4b82709cccf61b83ebb")</f>
        <v>0</v>
      </c>
      <c r="C26980">
        <f>HYPERLINK("https://android.googlesource.com/platform/cts/+/952f965a7a49f36e9ae9441c071379272378d19a", "952f965a7a49f36e9ae9441c071379272378d19a")</f>
        <v>0</v>
      </c>
      <c r="D26980" t="s">
        <v>5146</v>
      </c>
      <c r="E26980" t="s">
        <v>7415</v>
      </c>
      <c r="F26980" t="s">
        <v>12840</v>
      </c>
      <c r="G26980" t="s">
        <v>17015</v>
      </c>
      <c r="H26980" t="s">
        <v>29263</v>
      </c>
    </row>
    <row r="26981" spans="1:8">
      <c r="H26981" t="s">
        <v>29264</v>
      </c>
    </row>
    <row r="26982" spans="1:8">
      <c r="H26982" t="s">
        <v>29265</v>
      </c>
    </row>
    <row r="26983" spans="1:8">
      <c r="H26983" t="s">
        <v>29266</v>
      </c>
    </row>
    <row r="26984" spans="1:8">
      <c r="H26984" t="s">
        <v>18893</v>
      </c>
    </row>
    <row r="26985" spans="1:8">
      <c r="A26985" t="s">
        <v>1656</v>
      </c>
      <c r="B26985">
        <f>HYPERLINK("https://android.googlesource.com/platform/cts/+/5148a3338ec3e0833d49047f8d478776b6686ad0", "5148a3338ec3e0833d49047f8d478776b6686ad0")</f>
        <v>0</v>
      </c>
      <c r="C26985">
        <f>HYPERLINK("https://android.googlesource.com/platform/cts/+/02c12dde10d73f9a17a0e7fd957094ecb0f4678e", "02c12dde10d73f9a17a0e7fd957094ecb0f4678e")</f>
        <v>0</v>
      </c>
      <c r="D26985" t="s">
        <v>5239</v>
      </c>
      <c r="E26985" t="s">
        <v>7416</v>
      </c>
      <c r="F26985" t="s">
        <v>10687</v>
      </c>
      <c r="G26985" t="s">
        <v>15087</v>
      </c>
      <c r="H26985" t="s">
        <v>29084</v>
      </c>
    </row>
    <row r="26986" spans="1:8">
      <c r="A26986" t="s">
        <v>1657</v>
      </c>
      <c r="B26986">
        <f>HYPERLINK("https://android.googlesource.com/platform/cts/+/c131913926919e5237b7f6d10f96239277b73257", "c131913926919e5237b7f6d10f96239277b73257")</f>
        <v>0</v>
      </c>
      <c r="C26986">
        <f>HYPERLINK("https://android.googlesource.com/platform/cts/+/842062a80b276c95471ccca94cdace79651cb8cf", "842062a80b276c95471ccca94cdace79651cb8cf")</f>
        <v>0</v>
      </c>
      <c r="D26986" t="s">
        <v>5248</v>
      </c>
      <c r="E26986" t="s">
        <v>7417</v>
      </c>
      <c r="F26986" t="s">
        <v>13339</v>
      </c>
      <c r="G26986" t="s">
        <v>17469</v>
      </c>
      <c r="H26986" t="s">
        <v>22678</v>
      </c>
    </row>
    <row r="26987" spans="1:8">
      <c r="A26987" t="s">
        <v>1658</v>
      </c>
      <c r="B26987">
        <f>HYPERLINK("https://android.googlesource.com/platform/cts/+/5384ec0341ad4a8110bf4fd80c76d667618f8706", "5384ec0341ad4a8110bf4fd80c76d667618f8706")</f>
        <v>0</v>
      </c>
      <c r="C26987">
        <f>HYPERLINK("https://android.googlesource.com/platform/cts/+/5513323484daba314c3715aa5a4b2532a2fe5417", "5513323484daba314c3715aa5a4b2532a2fe5417")</f>
        <v>0</v>
      </c>
      <c r="D26987" t="s">
        <v>4974</v>
      </c>
      <c r="E26987" t="s">
        <v>7418</v>
      </c>
      <c r="F26987" t="s">
        <v>12710</v>
      </c>
      <c r="G26987" t="s">
        <v>16911</v>
      </c>
      <c r="H26987" t="s">
        <v>29267</v>
      </c>
    </row>
    <row r="26988" spans="1:8">
      <c r="A26988" t="s">
        <v>1660</v>
      </c>
      <c r="B26988">
        <f>HYPERLINK("https://android.googlesource.com/platform/cts/+/67d8501d4667cba8a6e2ddc64f3db54880831d2f", "67d8501d4667cba8a6e2ddc64f3db54880831d2f")</f>
        <v>0</v>
      </c>
      <c r="C26988">
        <f>HYPERLINK("https://android.googlesource.com/platform/cts/+/17415fa2106275cddf97b9f0ce6361cca1088a88", "17415fa2106275cddf97b9f0ce6361cca1088a88")</f>
        <v>0</v>
      </c>
      <c r="D26988" t="s">
        <v>5125</v>
      </c>
      <c r="E26988" t="s">
        <v>7420</v>
      </c>
      <c r="F26988" t="s">
        <v>13340</v>
      </c>
      <c r="G26988" t="s">
        <v>16431</v>
      </c>
      <c r="H26988" t="s">
        <v>21245</v>
      </c>
    </row>
    <row r="26989" spans="1:8">
      <c r="H26989" t="s">
        <v>21246</v>
      </c>
    </row>
    <row r="26990" spans="1:8">
      <c r="F26990" t="s">
        <v>10722</v>
      </c>
      <c r="G26990" t="s">
        <v>15121</v>
      </c>
      <c r="H26990" t="s">
        <v>19981</v>
      </c>
    </row>
    <row r="26991" spans="1:8">
      <c r="H26991" t="s">
        <v>18836</v>
      </c>
    </row>
    <row r="26992" spans="1:8">
      <c r="H26992" t="s">
        <v>29268</v>
      </c>
    </row>
    <row r="26993" spans="8:8">
      <c r="H26993" t="s">
        <v>29269</v>
      </c>
    </row>
    <row r="26994" spans="8:8">
      <c r="H26994" t="s">
        <v>29270</v>
      </c>
    </row>
    <row r="26995" spans="8:8">
      <c r="H26995" t="s">
        <v>29271</v>
      </c>
    </row>
    <row r="26996" spans="8:8">
      <c r="H26996" t="s">
        <v>29272</v>
      </c>
    </row>
    <row r="26997" spans="8:8">
      <c r="H26997" t="s">
        <v>29273</v>
      </c>
    </row>
    <row r="26998" spans="8:8">
      <c r="H26998" t="s">
        <v>29274</v>
      </c>
    </row>
    <row r="26999" spans="8:8">
      <c r="H26999" t="s">
        <v>29275</v>
      </c>
    </row>
    <row r="27000" spans="8:8">
      <c r="H27000" t="s">
        <v>29276</v>
      </c>
    </row>
    <row r="27001" spans="8:8">
      <c r="H27001" t="s">
        <v>29277</v>
      </c>
    </row>
    <row r="27002" spans="8:8">
      <c r="H27002" t="s">
        <v>29278</v>
      </c>
    </row>
    <row r="27003" spans="8:8">
      <c r="H27003" t="s">
        <v>29279</v>
      </c>
    </row>
    <row r="27004" spans="8:8">
      <c r="H27004" t="s">
        <v>29280</v>
      </c>
    </row>
    <row r="27005" spans="8:8">
      <c r="H27005" t="s">
        <v>29281</v>
      </c>
    </row>
    <row r="27006" spans="8:8">
      <c r="H27006" t="s">
        <v>29282</v>
      </c>
    </row>
    <row r="27007" spans="8:8">
      <c r="H27007" t="s">
        <v>29283</v>
      </c>
    </row>
    <row r="27008" spans="8:8">
      <c r="H27008" t="s">
        <v>29284</v>
      </c>
    </row>
    <row r="27009" spans="8:8">
      <c r="H27009" t="s">
        <v>29285</v>
      </c>
    </row>
    <row r="27010" spans="8:8">
      <c r="H27010" t="s">
        <v>29286</v>
      </c>
    </row>
    <row r="27011" spans="8:8">
      <c r="H27011" t="s">
        <v>29287</v>
      </c>
    </row>
    <row r="27012" spans="8:8">
      <c r="H27012" t="s">
        <v>29288</v>
      </c>
    </row>
    <row r="27013" spans="8:8">
      <c r="H27013" t="s">
        <v>29289</v>
      </c>
    </row>
    <row r="27014" spans="8:8">
      <c r="H27014" t="s">
        <v>29290</v>
      </c>
    </row>
    <row r="27015" spans="8:8">
      <c r="H27015" t="s">
        <v>29291</v>
      </c>
    </row>
    <row r="27016" spans="8:8">
      <c r="H27016" t="s">
        <v>29292</v>
      </c>
    </row>
    <row r="27017" spans="8:8">
      <c r="H27017" t="s">
        <v>29293</v>
      </c>
    </row>
    <row r="27018" spans="8:8">
      <c r="H27018" t="s">
        <v>29294</v>
      </c>
    </row>
    <row r="27019" spans="8:8">
      <c r="H27019" t="s">
        <v>29295</v>
      </c>
    </row>
    <row r="27020" spans="8:8">
      <c r="H27020" t="s">
        <v>29296</v>
      </c>
    </row>
    <row r="27021" spans="8:8">
      <c r="H27021" t="s">
        <v>29297</v>
      </c>
    </row>
    <row r="27022" spans="8:8">
      <c r="H27022" t="s">
        <v>29298</v>
      </c>
    </row>
    <row r="27023" spans="8:8">
      <c r="H27023" t="s">
        <v>29299</v>
      </c>
    </row>
    <row r="27024" spans="8:8">
      <c r="H27024" t="s">
        <v>29300</v>
      </c>
    </row>
    <row r="27025" spans="6:8">
      <c r="H27025" t="s">
        <v>29301</v>
      </c>
    </row>
    <row r="27026" spans="6:8">
      <c r="H27026" t="s">
        <v>29302</v>
      </c>
    </row>
    <row r="27027" spans="6:8">
      <c r="H27027" t="s">
        <v>19220</v>
      </c>
    </row>
    <row r="27028" spans="6:8">
      <c r="H27028" t="s">
        <v>19258</v>
      </c>
    </row>
    <row r="27029" spans="6:8">
      <c r="H27029" t="s">
        <v>18979</v>
      </c>
    </row>
    <row r="27030" spans="6:8">
      <c r="H27030" t="s">
        <v>29303</v>
      </c>
    </row>
    <row r="27031" spans="6:8">
      <c r="H27031" t="s">
        <v>27187</v>
      </c>
    </row>
    <row r="27032" spans="6:8">
      <c r="H27032" t="s">
        <v>27188</v>
      </c>
    </row>
    <row r="27033" spans="6:8">
      <c r="H27033" t="s">
        <v>27188</v>
      </c>
    </row>
    <row r="27034" spans="6:8">
      <c r="H27034" t="s">
        <v>27188</v>
      </c>
    </row>
    <row r="27035" spans="6:8">
      <c r="H27035" t="s">
        <v>29304</v>
      </c>
    </row>
    <row r="27036" spans="6:8">
      <c r="H27036" t="s">
        <v>29304</v>
      </c>
    </row>
    <row r="27037" spans="6:8">
      <c r="H27037" t="s">
        <v>29305</v>
      </c>
    </row>
    <row r="27038" spans="6:8">
      <c r="F27038" t="s">
        <v>13090</v>
      </c>
      <c r="G27038" t="s">
        <v>17252</v>
      </c>
      <c r="H27038" t="s">
        <v>29306</v>
      </c>
    </row>
    <row r="27039" spans="6:8">
      <c r="F27039" t="s">
        <v>11471</v>
      </c>
      <c r="G27039" t="s">
        <v>15711</v>
      </c>
      <c r="H27039" t="s">
        <v>29307</v>
      </c>
    </row>
    <row r="27040" spans="6:8">
      <c r="H27040" t="s">
        <v>29308</v>
      </c>
    </row>
    <row r="27041" spans="8:8">
      <c r="H27041" t="s">
        <v>29309</v>
      </c>
    </row>
    <row r="27042" spans="8:8">
      <c r="H27042" t="s">
        <v>29310</v>
      </c>
    </row>
    <row r="27043" spans="8:8">
      <c r="H27043" t="s">
        <v>29310</v>
      </c>
    </row>
    <row r="27044" spans="8:8">
      <c r="H27044" t="s">
        <v>29311</v>
      </c>
    </row>
    <row r="27045" spans="8:8">
      <c r="H27045" t="s">
        <v>29312</v>
      </c>
    </row>
    <row r="27046" spans="8:8">
      <c r="H27046" t="s">
        <v>29312</v>
      </c>
    </row>
    <row r="27047" spans="8:8">
      <c r="H27047" t="s">
        <v>29313</v>
      </c>
    </row>
    <row r="27048" spans="8:8">
      <c r="H27048" t="s">
        <v>29314</v>
      </c>
    </row>
    <row r="27049" spans="8:8">
      <c r="H27049" t="s">
        <v>29315</v>
      </c>
    </row>
    <row r="27050" spans="8:8">
      <c r="H27050" t="s">
        <v>29316</v>
      </c>
    </row>
    <row r="27051" spans="8:8">
      <c r="H27051" t="s">
        <v>29317</v>
      </c>
    </row>
    <row r="27052" spans="8:8">
      <c r="H27052" t="s">
        <v>29318</v>
      </c>
    </row>
    <row r="27053" spans="8:8">
      <c r="H27053" t="s">
        <v>29319</v>
      </c>
    </row>
    <row r="27054" spans="8:8">
      <c r="H27054" t="s">
        <v>29320</v>
      </c>
    </row>
    <row r="27055" spans="8:8">
      <c r="H27055" t="s">
        <v>29321</v>
      </c>
    </row>
    <row r="27056" spans="8:8">
      <c r="H27056" t="s">
        <v>29322</v>
      </c>
    </row>
    <row r="27057" spans="6:8">
      <c r="H27057" t="s">
        <v>29323</v>
      </c>
    </row>
    <row r="27058" spans="6:8">
      <c r="H27058" t="s">
        <v>29324</v>
      </c>
    </row>
    <row r="27059" spans="6:8">
      <c r="H27059" t="s">
        <v>29325</v>
      </c>
    </row>
    <row r="27060" spans="6:8">
      <c r="H27060" t="s">
        <v>29326</v>
      </c>
    </row>
    <row r="27061" spans="6:8">
      <c r="H27061" t="s">
        <v>29327</v>
      </c>
    </row>
    <row r="27062" spans="6:8">
      <c r="H27062" t="s">
        <v>29328</v>
      </c>
    </row>
    <row r="27063" spans="6:8">
      <c r="F27063" t="s">
        <v>13091</v>
      </c>
      <c r="G27063" t="s">
        <v>17253</v>
      </c>
      <c r="H27063" t="s">
        <v>29329</v>
      </c>
    </row>
    <row r="27064" spans="6:8">
      <c r="H27064" t="s">
        <v>29330</v>
      </c>
    </row>
    <row r="27065" spans="6:8">
      <c r="F27065" t="s">
        <v>10746</v>
      </c>
      <c r="G27065" t="s">
        <v>15145</v>
      </c>
      <c r="H27065" t="s">
        <v>29331</v>
      </c>
    </row>
    <row r="27066" spans="6:8">
      <c r="F27066" t="s">
        <v>13081</v>
      </c>
      <c r="G27066" t="s">
        <v>17243</v>
      </c>
      <c r="H27066" t="s">
        <v>29332</v>
      </c>
    </row>
    <row r="27067" spans="6:8">
      <c r="H27067" t="s">
        <v>29333</v>
      </c>
    </row>
    <row r="27068" spans="6:8">
      <c r="H27068" t="s">
        <v>29334</v>
      </c>
    </row>
    <row r="27069" spans="6:8">
      <c r="H27069" t="s">
        <v>29335</v>
      </c>
    </row>
    <row r="27070" spans="6:8">
      <c r="H27070" t="s">
        <v>27720</v>
      </c>
    </row>
    <row r="27071" spans="6:8">
      <c r="H27071" t="s">
        <v>29336</v>
      </c>
    </row>
    <row r="27072" spans="6:8">
      <c r="H27072" t="s">
        <v>29337</v>
      </c>
    </row>
    <row r="27073" spans="1:8">
      <c r="H27073" t="s">
        <v>29338</v>
      </c>
    </row>
    <row r="27074" spans="1:8">
      <c r="H27074" t="s">
        <v>29339</v>
      </c>
    </row>
    <row r="27075" spans="1:8">
      <c r="F27075" t="s">
        <v>13338</v>
      </c>
      <c r="G27075" t="s">
        <v>17468</v>
      </c>
      <c r="H27075" t="s">
        <v>29340</v>
      </c>
    </row>
    <row r="27076" spans="1:8">
      <c r="H27076" t="s">
        <v>29341</v>
      </c>
    </row>
    <row r="27077" spans="1:8">
      <c r="F27077" t="s">
        <v>12857</v>
      </c>
      <c r="G27077" t="s">
        <v>17027</v>
      </c>
      <c r="H27077" t="s">
        <v>29342</v>
      </c>
    </row>
    <row r="27078" spans="1:8">
      <c r="H27078" t="s">
        <v>29343</v>
      </c>
    </row>
    <row r="27079" spans="1:8">
      <c r="H27079" t="s">
        <v>29344</v>
      </c>
    </row>
    <row r="27080" spans="1:8">
      <c r="H27080" t="s">
        <v>29345</v>
      </c>
    </row>
    <row r="27081" spans="1:8">
      <c r="A27081" t="s">
        <v>1661</v>
      </c>
      <c r="B27081">
        <f>HYPERLINK("https://android.googlesource.com/platform/cts/+/39a3a6f8fe03d18a497d358859fe031be1971381", "39a3a6f8fe03d18a497d358859fe031be1971381")</f>
        <v>0</v>
      </c>
      <c r="C27081">
        <f>HYPERLINK("https://android.googlesource.com/platform/cts/+/66f165a05785e7e010e0e62db0e7d103ba255ff2", "66f165a05785e7e010e0e62db0e7d103ba255ff2")</f>
        <v>0</v>
      </c>
      <c r="D27081" t="s">
        <v>4952</v>
      </c>
      <c r="E27081" t="s">
        <v>7421</v>
      </c>
      <c r="F27081" t="s">
        <v>12222</v>
      </c>
      <c r="G27081" t="s">
        <v>16452</v>
      </c>
      <c r="H27081" t="s">
        <v>29172</v>
      </c>
    </row>
    <row r="27082" spans="1:8">
      <c r="A27082" t="s">
        <v>1662</v>
      </c>
      <c r="B27082">
        <f>HYPERLINK("https://android.googlesource.com/platform/cts/+/c4e0e9530d2146f25899deddb46d9ff32a69b71d", "c4e0e9530d2146f25899deddb46d9ff32a69b71d")</f>
        <v>0</v>
      </c>
      <c r="C27082">
        <f>HYPERLINK("https://android.googlesource.com/platform/cts/+/2dd3a197cb84c95ea31b3e58132fcd8c10db3726", "2dd3a197cb84c95ea31b3e58132fcd8c10db3726")</f>
        <v>0</v>
      </c>
      <c r="D27082" t="s">
        <v>5134</v>
      </c>
      <c r="E27082" t="s">
        <v>7422</v>
      </c>
      <c r="F27082" t="s">
        <v>13341</v>
      </c>
      <c r="G27082" t="s">
        <v>17470</v>
      </c>
      <c r="H27082" t="s">
        <v>20440</v>
      </c>
    </row>
    <row r="27083" spans="1:8">
      <c r="H27083" t="s">
        <v>20441</v>
      </c>
    </row>
    <row r="27084" spans="1:8">
      <c r="A27084" t="s">
        <v>1663</v>
      </c>
      <c r="B27084">
        <f>HYPERLINK("https://android.googlesource.com/platform/cts/+/94cf78b794bab790856b75dc4e285a73794182a6", "94cf78b794bab790856b75dc4e285a73794182a6")</f>
        <v>0</v>
      </c>
      <c r="C27084">
        <f>HYPERLINK("https://android.googlesource.com/platform/cts/+/42bc75bd71d6aa4572bfde94ca1e00bfaae86bd7", "42bc75bd71d6aa4572bfde94ca1e00bfaae86bd7")</f>
        <v>0</v>
      </c>
      <c r="D27084" t="s">
        <v>5176</v>
      </c>
      <c r="E27084" t="s">
        <v>7423</v>
      </c>
      <c r="F27084" t="s">
        <v>12953</v>
      </c>
      <c r="G27084" t="s">
        <v>17118</v>
      </c>
      <c r="H27084" t="s">
        <v>29346</v>
      </c>
    </row>
    <row r="27085" spans="1:8">
      <c r="H27085" t="s">
        <v>29347</v>
      </c>
    </row>
    <row r="27086" spans="1:8">
      <c r="A27086" t="s">
        <v>1664</v>
      </c>
      <c r="B27086">
        <f>HYPERLINK("https://android.googlesource.com/platform/cts/+/feea9012c87cdb04e563c0cd28daea315617e6db", "feea9012c87cdb04e563c0cd28daea315617e6db")</f>
        <v>0</v>
      </c>
      <c r="C27086">
        <f>HYPERLINK("https://android.googlesource.com/platform/cts/+/2fdac95fe1f450f11774c97f23f626b5a12a646a", "2fdac95fe1f450f11774c97f23f626b5a12a646a")</f>
        <v>0</v>
      </c>
      <c r="D27086" t="s">
        <v>5244</v>
      </c>
      <c r="E27086" t="s">
        <v>7424</v>
      </c>
      <c r="F27086" t="s">
        <v>13227</v>
      </c>
      <c r="G27086" t="s">
        <v>17368</v>
      </c>
      <c r="H27086" t="s">
        <v>29348</v>
      </c>
    </row>
    <row r="27087" spans="1:8">
      <c r="H27087" t="s">
        <v>29349</v>
      </c>
    </row>
    <row r="27088" spans="1:8">
      <c r="H27088" t="s">
        <v>29350</v>
      </c>
    </row>
    <row r="27089" spans="1:8">
      <c r="H27089" t="s">
        <v>29351</v>
      </c>
    </row>
    <row r="27090" spans="1:8">
      <c r="A27090" t="s">
        <v>1665</v>
      </c>
      <c r="B27090">
        <f>HYPERLINK("https://android.googlesource.com/platform/cts/+/951b84fbc39dd7dd954e65f8d4a4140acf8521a2", "951b84fbc39dd7dd954e65f8d4a4140acf8521a2")</f>
        <v>0</v>
      </c>
      <c r="C27090">
        <f>HYPERLINK("https://android.googlesource.com/platform/cts/+/9e4685ecbf67c4b62b9d3eacd311413063848d4c", "9e4685ecbf67c4b62b9d3eacd311413063848d4c")</f>
        <v>0</v>
      </c>
      <c r="D27090" t="s">
        <v>5207</v>
      </c>
      <c r="E27090" t="s">
        <v>7425</v>
      </c>
      <c r="F27090" t="s">
        <v>13342</v>
      </c>
      <c r="G27090" t="s">
        <v>17471</v>
      </c>
      <c r="H27090" t="s">
        <v>29352</v>
      </c>
    </row>
    <row r="27091" spans="1:8">
      <c r="H27091" t="s">
        <v>21360</v>
      </c>
    </row>
    <row r="27092" spans="1:8">
      <c r="A27092" t="s">
        <v>1666</v>
      </c>
      <c r="B27092">
        <f>HYPERLINK("https://android.googlesource.com/platform/cts/+/b3d5a1ed057218055c79c220905b97c972891545", "b3d5a1ed057218055c79c220905b97c972891545")</f>
        <v>0</v>
      </c>
      <c r="C27092">
        <f>HYPERLINK("https://android.googlesource.com/platform/cts/+/3573dc71085071a75fc0d18fdaee0393be9bb87a", "3573dc71085071a75fc0d18fdaee0393be9bb87a")</f>
        <v>0</v>
      </c>
      <c r="D27092" t="s">
        <v>5134</v>
      </c>
      <c r="E27092" t="s">
        <v>7426</v>
      </c>
      <c r="F27092" t="s">
        <v>13230</v>
      </c>
      <c r="G27092" t="s">
        <v>17371</v>
      </c>
      <c r="H27092" t="s">
        <v>29353</v>
      </c>
    </row>
    <row r="27093" spans="1:8">
      <c r="A27093" t="s">
        <v>1667</v>
      </c>
      <c r="B27093">
        <f>HYPERLINK("https://android.googlesource.com/platform/cts/+/38aba70dee86f7f24850f283bb5d4ea62923df76", "38aba70dee86f7f24850f283bb5d4ea62923df76")</f>
        <v>0</v>
      </c>
      <c r="C27093">
        <f>HYPERLINK("https://android.googlesource.com/platform/cts/+/6ef7ab7b6621dd6c570ecaa0165d6b7a3f17ba01", "6ef7ab7b6621dd6c570ecaa0165d6b7a3f17ba01")</f>
        <v>0</v>
      </c>
      <c r="D27093" t="s">
        <v>5111</v>
      </c>
      <c r="E27093" t="s">
        <v>7427</v>
      </c>
      <c r="F27093" t="s">
        <v>13343</v>
      </c>
      <c r="G27093" t="s">
        <v>17472</v>
      </c>
      <c r="H27093" t="s">
        <v>29354</v>
      </c>
    </row>
    <row r="27094" spans="1:8">
      <c r="H27094" t="s">
        <v>29355</v>
      </c>
    </row>
    <row r="27095" spans="1:8">
      <c r="H27095" t="s">
        <v>29356</v>
      </c>
    </row>
    <row r="27096" spans="1:8">
      <c r="H27096" t="s">
        <v>29357</v>
      </c>
    </row>
    <row r="27097" spans="1:8">
      <c r="H27097" t="s">
        <v>29358</v>
      </c>
    </row>
    <row r="27098" spans="1:8">
      <c r="H27098" t="s">
        <v>29359</v>
      </c>
    </row>
    <row r="27099" spans="1:8">
      <c r="H27099" t="s">
        <v>29360</v>
      </c>
    </row>
    <row r="27100" spans="1:8">
      <c r="H27100" t="s">
        <v>29361</v>
      </c>
    </row>
    <row r="27101" spans="1:8">
      <c r="H27101" t="s">
        <v>29362</v>
      </c>
    </row>
    <row r="27102" spans="1:8">
      <c r="H27102" t="s">
        <v>29363</v>
      </c>
    </row>
    <row r="27103" spans="1:8">
      <c r="H27103" t="s">
        <v>29364</v>
      </c>
    </row>
    <row r="27104" spans="1:8">
      <c r="H27104" t="s">
        <v>29365</v>
      </c>
    </row>
    <row r="27105" spans="8:8">
      <c r="H27105" t="s">
        <v>29366</v>
      </c>
    </row>
    <row r="27106" spans="8:8">
      <c r="H27106" t="s">
        <v>29367</v>
      </c>
    </row>
    <row r="27107" spans="8:8">
      <c r="H27107" t="s">
        <v>29368</v>
      </c>
    </row>
    <row r="27108" spans="8:8">
      <c r="H27108" t="s">
        <v>29369</v>
      </c>
    </row>
    <row r="27109" spans="8:8">
      <c r="H27109" t="s">
        <v>29370</v>
      </c>
    </row>
    <row r="27110" spans="8:8">
      <c r="H27110" t="s">
        <v>29371</v>
      </c>
    </row>
    <row r="27111" spans="8:8">
      <c r="H27111" t="s">
        <v>29372</v>
      </c>
    </row>
    <row r="27112" spans="8:8">
      <c r="H27112" t="s">
        <v>29373</v>
      </c>
    </row>
    <row r="27113" spans="8:8">
      <c r="H27113" t="s">
        <v>29374</v>
      </c>
    </row>
    <row r="27114" spans="8:8">
      <c r="H27114" t="s">
        <v>29375</v>
      </c>
    </row>
    <row r="27115" spans="8:8">
      <c r="H27115" t="s">
        <v>29376</v>
      </c>
    </row>
    <row r="27116" spans="8:8">
      <c r="H27116" t="s">
        <v>29377</v>
      </c>
    </row>
    <row r="27117" spans="8:8">
      <c r="H27117" t="s">
        <v>29378</v>
      </c>
    </row>
    <row r="27118" spans="8:8">
      <c r="H27118" t="s">
        <v>29379</v>
      </c>
    </row>
    <row r="27119" spans="8:8">
      <c r="H27119" t="s">
        <v>29380</v>
      </c>
    </row>
    <row r="27120" spans="8:8">
      <c r="H27120" t="s">
        <v>29381</v>
      </c>
    </row>
    <row r="27121" spans="8:8">
      <c r="H27121" t="s">
        <v>29382</v>
      </c>
    </row>
    <row r="27122" spans="8:8">
      <c r="H27122" t="s">
        <v>29383</v>
      </c>
    </row>
    <row r="27123" spans="8:8">
      <c r="H27123" t="s">
        <v>29384</v>
      </c>
    </row>
    <row r="27124" spans="8:8">
      <c r="H27124" t="s">
        <v>29385</v>
      </c>
    </row>
    <row r="27125" spans="8:8">
      <c r="H27125" t="s">
        <v>29386</v>
      </c>
    </row>
    <row r="27126" spans="8:8">
      <c r="H27126" t="s">
        <v>29387</v>
      </c>
    </row>
    <row r="27127" spans="8:8">
      <c r="H27127" t="s">
        <v>29388</v>
      </c>
    </row>
    <row r="27128" spans="8:8">
      <c r="H27128" t="s">
        <v>29389</v>
      </c>
    </row>
    <row r="27129" spans="8:8">
      <c r="H27129" t="s">
        <v>29390</v>
      </c>
    </row>
    <row r="27130" spans="8:8">
      <c r="H27130" t="s">
        <v>29391</v>
      </c>
    </row>
    <row r="27131" spans="8:8">
      <c r="H27131" t="s">
        <v>29392</v>
      </c>
    </row>
    <row r="27132" spans="8:8">
      <c r="H27132" t="s">
        <v>29393</v>
      </c>
    </row>
    <row r="27133" spans="8:8">
      <c r="H27133" t="s">
        <v>29394</v>
      </c>
    </row>
    <row r="27134" spans="8:8">
      <c r="H27134" t="s">
        <v>29395</v>
      </c>
    </row>
    <row r="27135" spans="8:8">
      <c r="H27135" t="s">
        <v>29396</v>
      </c>
    </row>
    <row r="27136" spans="8:8">
      <c r="H27136" t="s">
        <v>29397</v>
      </c>
    </row>
    <row r="27137" spans="8:8">
      <c r="H27137" t="s">
        <v>29398</v>
      </c>
    </row>
    <row r="27138" spans="8:8">
      <c r="H27138" t="s">
        <v>29399</v>
      </c>
    </row>
    <row r="27139" spans="8:8">
      <c r="H27139" t="s">
        <v>29400</v>
      </c>
    </row>
    <row r="27140" spans="8:8">
      <c r="H27140" t="s">
        <v>29401</v>
      </c>
    </row>
    <row r="27141" spans="8:8">
      <c r="H27141" t="s">
        <v>29402</v>
      </c>
    </row>
    <row r="27142" spans="8:8">
      <c r="H27142" t="s">
        <v>29403</v>
      </c>
    </row>
    <row r="27143" spans="8:8">
      <c r="H27143" t="s">
        <v>29404</v>
      </c>
    </row>
    <row r="27144" spans="8:8">
      <c r="H27144" t="s">
        <v>29405</v>
      </c>
    </row>
    <row r="27145" spans="8:8">
      <c r="H27145" t="s">
        <v>29406</v>
      </c>
    </row>
    <row r="27146" spans="8:8">
      <c r="H27146" t="s">
        <v>29407</v>
      </c>
    </row>
    <row r="27147" spans="8:8">
      <c r="H27147" t="s">
        <v>29408</v>
      </c>
    </row>
    <row r="27148" spans="8:8">
      <c r="H27148" t="s">
        <v>29409</v>
      </c>
    </row>
    <row r="27149" spans="8:8">
      <c r="H27149" t="s">
        <v>29410</v>
      </c>
    </row>
    <row r="27150" spans="8:8">
      <c r="H27150" t="s">
        <v>29411</v>
      </c>
    </row>
    <row r="27151" spans="8:8">
      <c r="H27151" t="s">
        <v>29412</v>
      </c>
    </row>
    <row r="27152" spans="8:8">
      <c r="H27152" t="s">
        <v>29413</v>
      </c>
    </row>
    <row r="27153" spans="1:8">
      <c r="H27153" t="s">
        <v>29414</v>
      </c>
    </row>
    <row r="27154" spans="1:8">
      <c r="A27154" t="s">
        <v>1668</v>
      </c>
      <c r="B27154">
        <f>HYPERLINK("https://android.googlesource.com/platform/cts/+/2cb7d26192a1940b8095608784611c57e0908fd7", "2cb7d26192a1940b8095608784611c57e0908fd7")</f>
        <v>0</v>
      </c>
      <c r="C27154">
        <f>HYPERLINK("https://android.googlesource.com/platform/cts/+/8f9d151902104aa8cc461bfcb639a6e2d647fe89", "8f9d151902104aa8cc461bfcb639a6e2d647fe89")</f>
        <v>0</v>
      </c>
      <c r="D27154" t="s">
        <v>5153</v>
      </c>
      <c r="E27154" t="s">
        <v>7428</v>
      </c>
      <c r="F27154" t="s">
        <v>13190</v>
      </c>
      <c r="G27154" t="s">
        <v>17334</v>
      </c>
      <c r="H27154" t="s">
        <v>28974</v>
      </c>
    </row>
    <row r="27155" spans="1:8">
      <c r="H27155" t="s">
        <v>29415</v>
      </c>
    </row>
    <row r="27156" spans="1:8">
      <c r="A27156" t="s">
        <v>1669</v>
      </c>
      <c r="B27156">
        <f>HYPERLINK("https://android.googlesource.com/platform/cts/+/b6039402b05226f58c44d6da1f36bbded7894189", "b6039402b05226f58c44d6da1f36bbded7894189")</f>
        <v>0</v>
      </c>
      <c r="C27156">
        <f>HYPERLINK("https://android.googlesource.com/platform/cts/+/7557094371211d5ebb69cb368a66083aebd4fc96", "7557094371211d5ebb69cb368a66083aebd4fc96")</f>
        <v>0</v>
      </c>
      <c r="D27156" t="s">
        <v>5254</v>
      </c>
      <c r="E27156" t="s">
        <v>7429</v>
      </c>
      <c r="F27156" t="s">
        <v>13344</v>
      </c>
      <c r="G27156" t="s">
        <v>17473</v>
      </c>
      <c r="H27156" t="s">
        <v>18829</v>
      </c>
    </row>
    <row r="27157" spans="1:8">
      <c r="H27157" t="s">
        <v>18863</v>
      </c>
    </row>
    <row r="27158" spans="1:8">
      <c r="H27158" t="s">
        <v>29416</v>
      </c>
    </row>
    <row r="27159" spans="1:8">
      <c r="H27159" t="s">
        <v>29205</v>
      </c>
    </row>
    <row r="27160" spans="1:8">
      <c r="H27160" t="s">
        <v>26556</v>
      </c>
    </row>
    <row r="27161" spans="1:8">
      <c r="H27161" t="s">
        <v>26555</v>
      </c>
    </row>
    <row r="27162" spans="1:8">
      <c r="H27162" t="s">
        <v>29417</v>
      </c>
    </row>
    <row r="27163" spans="1:8">
      <c r="H27163" t="s">
        <v>26557</v>
      </c>
    </row>
    <row r="27164" spans="1:8">
      <c r="H27164" t="s">
        <v>29214</v>
      </c>
    </row>
    <row r="27165" spans="1:8">
      <c r="H27165" t="s">
        <v>29215</v>
      </c>
    </row>
    <row r="27166" spans="1:8">
      <c r="A27166" t="s">
        <v>1670</v>
      </c>
      <c r="B27166">
        <f>HYPERLINK("https://android.googlesource.com/platform/cts/+/bc84819f887650934946fe1e85c4b8dccf6c629a", "bc84819f887650934946fe1e85c4b8dccf6c629a")</f>
        <v>0</v>
      </c>
      <c r="C27166">
        <f>HYPERLINK("https://android.googlesource.com/platform/cts/+/da2995931b65709be899d4c909b4da7999b5d3b4", "da2995931b65709be899d4c909b4da7999b5d3b4")</f>
        <v>0</v>
      </c>
      <c r="D27166" t="s">
        <v>5254</v>
      </c>
      <c r="E27166" t="s">
        <v>7430</v>
      </c>
      <c r="F27166" t="s">
        <v>13345</v>
      </c>
      <c r="G27166" t="s">
        <v>17473</v>
      </c>
      <c r="H27166" t="s">
        <v>18829</v>
      </c>
    </row>
    <row r="27167" spans="1:8">
      <c r="H27167" t="s">
        <v>18863</v>
      </c>
    </row>
    <row r="27168" spans="1:8">
      <c r="H27168" t="s">
        <v>29205</v>
      </c>
    </row>
    <row r="27169" spans="1:8">
      <c r="H27169" t="s">
        <v>26556</v>
      </c>
    </row>
    <row r="27170" spans="1:8">
      <c r="H27170" t="s">
        <v>26555</v>
      </c>
    </row>
    <row r="27171" spans="1:8">
      <c r="H27171" t="s">
        <v>29417</v>
      </c>
    </row>
    <row r="27172" spans="1:8">
      <c r="H27172" t="s">
        <v>26557</v>
      </c>
    </row>
    <row r="27173" spans="1:8">
      <c r="H27173" t="s">
        <v>29214</v>
      </c>
    </row>
    <row r="27174" spans="1:8">
      <c r="H27174" t="s">
        <v>29215</v>
      </c>
    </row>
    <row r="27175" spans="1:8">
      <c r="A27175" t="s">
        <v>1671</v>
      </c>
      <c r="B27175">
        <f>HYPERLINK("https://android.googlesource.com/platform/cts/+/a9f26e6d59795b6e8a9262a5ac07a0ef17ef06bc", "a9f26e6d59795b6e8a9262a5ac07a0ef17ef06bc")</f>
        <v>0</v>
      </c>
      <c r="C27175">
        <f>HYPERLINK("https://android.googlesource.com/platform/cts/+/4d89d6346ddef369920c331c2727e6464a6df9f6", "4d89d6346ddef369920c331c2727e6464a6df9f6")</f>
        <v>0</v>
      </c>
      <c r="D27175" t="s">
        <v>5134</v>
      </c>
      <c r="E27175" t="s">
        <v>7431</v>
      </c>
      <c r="F27175" t="s">
        <v>13321</v>
      </c>
      <c r="G27175" t="s">
        <v>17452</v>
      </c>
      <c r="H27175" t="s">
        <v>29418</v>
      </c>
    </row>
    <row r="27176" spans="1:8">
      <c r="A27176" t="s">
        <v>1672</v>
      </c>
      <c r="B27176">
        <f>HYPERLINK("https://android.googlesource.com/platform/cts/+/86a7f700463a4a514a8f56e6337c039166cacb6c", "86a7f700463a4a514a8f56e6337c039166cacb6c")</f>
        <v>0</v>
      </c>
      <c r="C27176">
        <f>HYPERLINK("https://android.googlesource.com/platform/cts/+/130fddcabe6ce956db5244c34ac8ffc76fc5adb0", "130fddcabe6ce956db5244c34ac8ffc76fc5adb0")</f>
        <v>0</v>
      </c>
      <c r="D27176" t="s">
        <v>5118</v>
      </c>
      <c r="E27176" t="s">
        <v>7432</v>
      </c>
      <c r="F27176" t="s">
        <v>13346</v>
      </c>
      <c r="G27176" t="s">
        <v>17474</v>
      </c>
      <c r="H27176" t="s">
        <v>29419</v>
      </c>
    </row>
    <row r="27177" spans="1:8">
      <c r="A27177" t="s">
        <v>1673</v>
      </c>
      <c r="B27177">
        <f>HYPERLINK("https://android.googlesource.com/platform/cts/+/bc54e8d160db726199c746d8270ba5d73c03f127", "bc54e8d160db726199c746d8270ba5d73c03f127")</f>
        <v>0</v>
      </c>
      <c r="C27177">
        <f>HYPERLINK("https://android.googlesource.com/platform/cts/+/b89de9e8a0cf689d3dce0a76e50e3a4f1a261da3", "b89de9e8a0cf689d3dce0a76e50e3a4f1a261da3")</f>
        <v>0</v>
      </c>
      <c r="D27177" t="s">
        <v>5248</v>
      </c>
      <c r="E27177" t="s">
        <v>7433</v>
      </c>
      <c r="F27177" t="s">
        <v>13347</v>
      </c>
      <c r="G27177" t="s">
        <v>17458</v>
      </c>
      <c r="H27177" t="s">
        <v>29420</v>
      </c>
    </row>
    <row r="27178" spans="1:8">
      <c r="H27178" t="s">
        <v>29421</v>
      </c>
    </row>
    <row r="27179" spans="1:8">
      <c r="H27179" t="s">
        <v>29422</v>
      </c>
    </row>
    <row r="27180" spans="1:8">
      <c r="H27180" t="s">
        <v>29423</v>
      </c>
    </row>
    <row r="27181" spans="1:8">
      <c r="H27181" t="s">
        <v>29424</v>
      </c>
    </row>
    <row r="27182" spans="1:8">
      <c r="H27182" t="s">
        <v>29425</v>
      </c>
    </row>
    <row r="27183" spans="1:8">
      <c r="H27183" t="s">
        <v>29417</v>
      </c>
    </row>
    <row r="27184" spans="1:8">
      <c r="H27184" t="s">
        <v>29426</v>
      </c>
    </row>
    <row r="27185" spans="1:8">
      <c r="A27185" t="s">
        <v>1674</v>
      </c>
      <c r="B27185">
        <f>HYPERLINK("https://android.googlesource.com/platform/cts/+/bc001dab575c60fb233b47abbe659d91c77a9b21", "bc001dab575c60fb233b47abbe659d91c77a9b21")</f>
        <v>0</v>
      </c>
      <c r="C27185">
        <f>HYPERLINK("https://android.googlesource.com/platform/cts/+/1e46ee7a0553ed969cd4ab6e2e980ac5665b0ada", "1e46ee7a0553ed969cd4ab6e2e980ac5665b0ada")</f>
        <v>0</v>
      </c>
      <c r="D27185" t="s">
        <v>4981</v>
      </c>
      <c r="E27185" t="s">
        <v>7434</v>
      </c>
      <c r="F27185" t="s">
        <v>13348</v>
      </c>
      <c r="G27185" t="s">
        <v>17475</v>
      </c>
      <c r="H27185" t="s">
        <v>29427</v>
      </c>
    </row>
    <row r="27186" spans="1:8">
      <c r="A27186" t="s">
        <v>1675</v>
      </c>
      <c r="B27186">
        <f>HYPERLINK("https://android.googlesource.com/platform/cts/+/441c826c88c19a247549229c8bb8def531473292", "441c826c88c19a247549229c8bb8def531473292")</f>
        <v>0</v>
      </c>
      <c r="C27186">
        <f>HYPERLINK("https://android.googlesource.com/platform/cts/+/c637798b30c072ea7cac0591cd83cb167b4ddbfb", "c637798b30c072ea7cac0591cd83cb167b4ddbfb")</f>
        <v>0</v>
      </c>
      <c r="D27186" t="s">
        <v>5248</v>
      </c>
      <c r="E27186" t="s">
        <v>7435</v>
      </c>
      <c r="F27186" t="s">
        <v>13349</v>
      </c>
      <c r="G27186" t="s">
        <v>17476</v>
      </c>
      <c r="H27186" t="s">
        <v>29205</v>
      </c>
    </row>
    <row r="27187" spans="1:8">
      <c r="H27187" t="s">
        <v>26556</v>
      </c>
    </row>
    <row r="27188" spans="1:8">
      <c r="H27188" t="s">
        <v>26555</v>
      </c>
    </row>
    <row r="27189" spans="1:8">
      <c r="A27189" t="s">
        <v>1676</v>
      </c>
      <c r="B27189">
        <f>HYPERLINK("https://android.googlesource.com/platform/cts/+/dbf28bf616e859b17e59c43ab96f565413d8c78d", "dbf28bf616e859b17e59c43ab96f565413d8c78d")</f>
        <v>0</v>
      </c>
      <c r="C27189">
        <f>HYPERLINK("https://android.googlesource.com/platform/cts/+/70c775a000fb83d29495306b5c7ceb902dd50938", "70c775a000fb83d29495306b5c7ceb902dd50938")</f>
        <v>0</v>
      </c>
      <c r="D27189" t="s">
        <v>5174</v>
      </c>
      <c r="E27189" t="s">
        <v>7436</v>
      </c>
      <c r="F27189" t="s">
        <v>13350</v>
      </c>
      <c r="G27189" t="s">
        <v>17477</v>
      </c>
      <c r="H27189" t="s">
        <v>29428</v>
      </c>
    </row>
    <row r="27190" spans="1:8">
      <c r="A27190" t="s">
        <v>1681</v>
      </c>
      <c r="B27190">
        <f>HYPERLINK("https://android.googlesource.com/platform/cts/+/69b095833c53097316386408c55f84e9152bb8df", "69b095833c53097316386408c55f84e9152bb8df")</f>
        <v>0</v>
      </c>
      <c r="C27190">
        <f>HYPERLINK("https://android.googlesource.com/platform/cts/+/ae013ee9dc79836aa16332f114c1e1e64058bcd0", "ae013ee9dc79836aa16332f114c1e1e64058bcd0")</f>
        <v>0</v>
      </c>
      <c r="D27190" t="s">
        <v>5254</v>
      </c>
      <c r="E27190" t="s">
        <v>7437</v>
      </c>
      <c r="F27190" t="s">
        <v>13351</v>
      </c>
      <c r="G27190" t="s">
        <v>17478</v>
      </c>
      <c r="H27190" t="s">
        <v>18863</v>
      </c>
    </row>
    <row r="27191" spans="1:8">
      <c r="H27191" t="s">
        <v>29205</v>
      </c>
    </row>
    <row r="27192" spans="1:8">
      <c r="H27192" t="s">
        <v>26556</v>
      </c>
    </row>
    <row r="27193" spans="1:8">
      <c r="H27193" t="s">
        <v>26555</v>
      </c>
    </row>
    <row r="27194" spans="1:8">
      <c r="A27194" t="s">
        <v>1682</v>
      </c>
      <c r="B27194">
        <f>HYPERLINK("https://android.googlesource.com/platform/cts/+/93d133b66ca4802958653e9d4be45dc1611d38fb", "93d133b66ca4802958653e9d4be45dc1611d38fb")</f>
        <v>0</v>
      </c>
      <c r="C27194">
        <f>HYPERLINK("https://android.googlesource.com/platform/cts/+/83c967c3374356707e96ef3683c2c2e597fa2d0f", "83c967c3374356707e96ef3683c2c2e597fa2d0f")</f>
        <v>0</v>
      </c>
      <c r="D27194" t="s">
        <v>5222</v>
      </c>
      <c r="E27194" t="s">
        <v>7438</v>
      </c>
      <c r="F27194" t="s">
        <v>13352</v>
      </c>
      <c r="G27194" t="s">
        <v>17479</v>
      </c>
      <c r="H27194" t="s">
        <v>29429</v>
      </c>
    </row>
    <row r="27195" spans="1:8">
      <c r="A27195" t="s">
        <v>1683</v>
      </c>
      <c r="B27195">
        <f>HYPERLINK("https://android.googlesource.com/platform/cts/+/6b1cf9ac70c362d07081d7ca35801d243108fd93", "6b1cf9ac70c362d07081d7ca35801d243108fd93")</f>
        <v>0</v>
      </c>
      <c r="C27195">
        <f>HYPERLINK("https://android.googlesource.com/platform/cts/+/69357089886c9ab7401f039ec769f86d42c82fe4", "69357089886c9ab7401f039ec769f86d42c82fe4")</f>
        <v>0</v>
      </c>
      <c r="D27195" t="s">
        <v>5243</v>
      </c>
      <c r="E27195" t="s">
        <v>7439</v>
      </c>
      <c r="F27195" t="s">
        <v>13353</v>
      </c>
      <c r="G27195" t="s">
        <v>17480</v>
      </c>
      <c r="H27195" t="s">
        <v>29430</v>
      </c>
    </row>
    <row r="27196" spans="1:8">
      <c r="H27196" t="s">
        <v>29431</v>
      </c>
    </row>
    <row r="27197" spans="1:8">
      <c r="A27197" t="s">
        <v>1684</v>
      </c>
      <c r="B27197">
        <f>HYPERLINK("https://android.googlesource.com/platform/cts/+/c89c9402a49f700e6f5646397607c45acdfe0ae4", "c89c9402a49f700e6f5646397607c45acdfe0ae4")</f>
        <v>0</v>
      </c>
      <c r="C27197">
        <f>HYPERLINK("https://android.googlesource.com/platform/cts/+/b12f27be231d05784f0ded3e3ef0bf829b02843e", "b12f27be231d05784f0ded3e3ef0bf829b02843e")</f>
        <v>0</v>
      </c>
      <c r="D27197" t="s">
        <v>5254</v>
      </c>
      <c r="E27197" t="s">
        <v>7440</v>
      </c>
      <c r="F27197" t="s">
        <v>13354</v>
      </c>
      <c r="G27197" t="s">
        <v>17481</v>
      </c>
      <c r="H27197" t="s">
        <v>29432</v>
      </c>
    </row>
    <row r="27198" spans="1:8">
      <c r="H27198" t="s">
        <v>29433</v>
      </c>
    </row>
    <row r="27199" spans="1:8">
      <c r="F27199" t="s">
        <v>13355</v>
      </c>
      <c r="G27199" t="s">
        <v>17482</v>
      </c>
      <c r="H27199" t="s">
        <v>29432</v>
      </c>
    </row>
    <row r="27200" spans="1:8">
      <c r="H27200" t="s">
        <v>29433</v>
      </c>
    </row>
    <row r="27201" spans="1:8">
      <c r="A27201" t="s">
        <v>1685</v>
      </c>
      <c r="B27201">
        <f>HYPERLINK("https://android.googlesource.com/platform/cts/+/1b184576cb03b46827a2bf31caecd1436de3b387", "1b184576cb03b46827a2bf31caecd1436de3b387")</f>
        <v>0</v>
      </c>
      <c r="C27201">
        <f>HYPERLINK("https://android.googlesource.com/platform/cts/+/16df1557dc8e39ce686bf8a8991901a01ab1129e", "16df1557dc8e39ce686bf8a8991901a01ab1129e")</f>
        <v>0</v>
      </c>
      <c r="D27201" t="s">
        <v>5021</v>
      </c>
      <c r="E27201" t="s">
        <v>7441</v>
      </c>
      <c r="F27201" t="s">
        <v>13356</v>
      </c>
      <c r="G27201" t="s">
        <v>14989</v>
      </c>
      <c r="H27201" t="s">
        <v>19146</v>
      </c>
    </row>
    <row r="27202" spans="1:8">
      <c r="A27202" t="s">
        <v>1686</v>
      </c>
      <c r="B27202">
        <f>HYPERLINK("https://android.googlesource.com/platform/cts/+/7ed4e727e70f529e9972b09870712c16742932bd", "7ed4e727e70f529e9972b09870712c16742932bd")</f>
        <v>0</v>
      </c>
      <c r="C27202">
        <f>HYPERLINK("https://android.googlesource.com/platform/cts/+/07ce5bab8b871b636c0b69247c112a3f80eb9f00", "07ce5bab8b871b636c0b69247c112a3f80eb9f00")</f>
        <v>0</v>
      </c>
      <c r="D27202" t="s">
        <v>5021</v>
      </c>
      <c r="E27202" t="s">
        <v>7442</v>
      </c>
      <c r="F27202" t="s">
        <v>13356</v>
      </c>
      <c r="G27202" t="s">
        <v>14989</v>
      </c>
      <c r="H27202" t="s">
        <v>21487</v>
      </c>
    </row>
    <row r="27203" spans="1:8">
      <c r="H27203" t="s">
        <v>19426</v>
      </c>
    </row>
    <row r="27204" spans="1:8">
      <c r="H27204" t="s">
        <v>29434</v>
      </c>
    </row>
    <row r="27205" spans="1:8">
      <c r="F27205" t="s">
        <v>13169</v>
      </c>
      <c r="G27205" t="s">
        <v>17483</v>
      </c>
      <c r="H27205" t="s">
        <v>21486</v>
      </c>
    </row>
    <row r="27206" spans="1:8">
      <c r="H27206" t="s">
        <v>29435</v>
      </c>
    </row>
    <row r="27207" spans="1:8">
      <c r="H27207" t="s">
        <v>21486</v>
      </c>
    </row>
    <row r="27208" spans="1:8">
      <c r="H27208" t="s">
        <v>29436</v>
      </c>
    </row>
    <row r="27209" spans="1:8">
      <c r="H27209" t="s">
        <v>29437</v>
      </c>
    </row>
    <row r="27210" spans="1:8">
      <c r="H27210" t="s">
        <v>29437</v>
      </c>
    </row>
    <row r="27211" spans="1:8">
      <c r="H27211" t="s">
        <v>29438</v>
      </c>
    </row>
    <row r="27212" spans="1:8">
      <c r="H27212" t="s">
        <v>29439</v>
      </c>
    </row>
    <row r="27213" spans="1:8">
      <c r="H27213" t="s">
        <v>29440</v>
      </c>
    </row>
    <row r="27214" spans="1:8">
      <c r="H27214" t="s">
        <v>29441</v>
      </c>
    </row>
    <row r="27215" spans="1:8">
      <c r="H27215" t="s">
        <v>29442</v>
      </c>
    </row>
    <row r="27216" spans="1:8">
      <c r="H27216" t="s">
        <v>29443</v>
      </c>
    </row>
    <row r="27217" spans="8:8">
      <c r="H27217" t="s">
        <v>29444</v>
      </c>
    </row>
    <row r="27218" spans="8:8">
      <c r="H27218" t="s">
        <v>29445</v>
      </c>
    </row>
    <row r="27219" spans="8:8">
      <c r="H27219" t="s">
        <v>29446</v>
      </c>
    </row>
    <row r="27220" spans="8:8">
      <c r="H27220" t="s">
        <v>29447</v>
      </c>
    </row>
    <row r="27221" spans="8:8">
      <c r="H27221" t="s">
        <v>29448</v>
      </c>
    </row>
    <row r="27222" spans="8:8">
      <c r="H27222" t="s">
        <v>29449</v>
      </c>
    </row>
    <row r="27223" spans="8:8">
      <c r="H27223" t="s">
        <v>29450</v>
      </c>
    </row>
    <row r="27224" spans="8:8">
      <c r="H27224" t="s">
        <v>29451</v>
      </c>
    </row>
    <row r="27225" spans="8:8">
      <c r="H27225" t="s">
        <v>29452</v>
      </c>
    </row>
    <row r="27226" spans="8:8">
      <c r="H27226" t="s">
        <v>29453</v>
      </c>
    </row>
    <row r="27227" spans="8:8">
      <c r="H27227" t="s">
        <v>29454</v>
      </c>
    </row>
    <row r="27228" spans="8:8">
      <c r="H27228" t="s">
        <v>29455</v>
      </c>
    </row>
    <row r="27229" spans="8:8">
      <c r="H27229" t="s">
        <v>29456</v>
      </c>
    </row>
    <row r="27230" spans="8:8">
      <c r="H27230" t="s">
        <v>29457</v>
      </c>
    </row>
    <row r="27231" spans="8:8">
      <c r="H27231" t="s">
        <v>29458</v>
      </c>
    </row>
    <row r="27232" spans="8:8">
      <c r="H27232" t="s">
        <v>29459</v>
      </c>
    </row>
    <row r="27233" spans="8:8">
      <c r="H27233" t="s">
        <v>29460</v>
      </c>
    </row>
    <row r="27234" spans="8:8">
      <c r="H27234" t="s">
        <v>29461</v>
      </c>
    </row>
    <row r="27235" spans="8:8">
      <c r="H27235" t="s">
        <v>29462</v>
      </c>
    </row>
    <row r="27236" spans="8:8">
      <c r="H27236" t="s">
        <v>29463</v>
      </c>
    </row>
    <row r="27237" spans="8:8">
      <c r="H27237" t="s">
        <v>29464</v>
      </c>
    </row>
    <row r="27238" spans="8:8">
      <c r="H27238" t="s">
        <v>29465</v>
      </c>
    </row>
    <row r="27239" spans="8:8">
      <c r="H27239" t="s">
        <v>29466</v>
      </c>
    </row>
    <row r="27240" spans="8:8">
      <c r="H27240" t="s">
        <v>29467</v>
      </c>
    </row>
    <row r="27241" spans="8:8">
      <c r="H27241" t="s">
        <v>29468</v>
      </c>
    </row>
    <row r="27242" spans="8:8">
      <c r="H27242" t="s">
        <v>29469</v>
      </c>
    </row>
    <row r="27243" spans="8:8">
      <c r="H27243" t="s">
        <v>29470</v>
      </c>
    </row>
    <row r="27244" spans="8:8">
      <c r="H27244" t="s">
        <v>29471</v>
      </c>
    </row>
    <row r="27245" spans="8:8">
      <c r="H27245" t="s">
        <v>27547</v>
      </c>
    </row>
    <row r="27246" spans="8:8">
      <c r="H27246" t="s">
        <v>29472</v>
      </c>
    </row>
    <row r="27247" spans="8:8">
      <c r="H27247" t="s">
        <v>29473</v>
      </c>
    </row>
    <row r="27248" spans="8:8">
      <c r="H27248" t="s">
        <v>29474</v>
      </c>
    </row>
    <row r="27249" spans="1:8">
      <c r="A27249" t="s">
        <v>1687</v>
      </c>
      <c r="B27249">
        <f>HYPERLINK("https://android.googlesource.com/platform/cts/+/6d8318f9d08669657eddca04661e736848546df7", "6d8318f9d08669657eddca04661e736848546df7")</f>
        <v>0</v>
      </c>
      <c r="C27249">
        <f>HYPERLINK("https://android.googlesource.com/platform/cts/+/f749c2cf845ce3b8dbffaea2e6b5075f17c132f8", "f749c2cf845ce3b8dbffaea2e6b5075f17c132f8")</f>
        <v>0</v>
      </c>
      <c r="D27249" t="s">
        <v>5088</v>
      </c>
      <c r="E27249" t="s">
        <v>7443</v>
      </c>
      <c r="F27249" t="s">
        <v>13357</v>
      </c>
      <c r="G27249" t="s">
        <v>17484</v>
      </c>
      <c r="H27249" t="s">
        <v>29475</v>
      </c>
    </row>
    <row r="27250" spans="1:8">
      <c r="H27250" t="s">
        <v>29476</v>
      </c>
    </row>
    <row r="27251" spans="1:8">
      <c r="A27251" t="s">
        <v>1688</v>
      </c>
      <c r="B27251">
        <f>HYPERLINK("https://android.googlesource.com/platform/cts/+/ffd8d565cc3b8a32e72bede4d6f677e2024ee817", "ffd8d565cc3b8a32e72bede4d6f677e2024ee817")</f>
        <v>0</v>
      </c>
      <c r="C27251">
        <f>HYPERLINK("https://android.googlesource.com/platform/cts/+/a561dc74a9ccbced2a3777e9c632579d9bdc0de6", "a561dc74a9ccbced2a3777e9c632579d9bdc0de6")</f>
        <v>0</v>
      </c>
      <c r="D27251" t="s">
        <v>5255</v>
      </c>
      <c r="E27251" t="s">
        <v>7444</v>
      </c>
      <c r="F27251" t="s">
        <v>11443</v>
      </c>
      <c r="G27251" t="s">
        <v>15683</v>
      </c>
      <c r="H27251" t="s">
        <v>29477</v>
      </c>
    </row>
    <row r="27252" spans="1:8">
      <c r="A27252" t="s">
        <v>1689</v>
      </c>
      <c r="B27252">
        <f>HYPERLINK("https://android.googlesource.com/platform/cts/+/1bc9ca61e2acccf806e2bdd80415ef9ffa498164", "1bc9ca61e2acccf806e2bdd80415ef9ffa498164")</f>
        <v>0</v>
      </c>
      <c r="C27252">
        <f>HYPERLINK("https://android.googlesource.com/platform/cts/+/0d6b1246c0e3c1188869ce91aa56cfe1447583d2", "0d6b1246c0e3c1188869ce91aa56cfe1447583d2")</f>
        <v>0</v>
      </c>
      <c r="D27252" t="s">
        <v>5144</v>
      </c>
      <c r="E27252" t="s">
        <v>7445</v>
      </c>
      <c r="F27252" t="s">
        <v>12335</v>
      </c>
      <c r="G27252" t="s">
        <v>16563</v>
      </c>
      <c r="H27252" t="s">
        <v>29478</v>
      </c>
    </row>
    <row r="27253" spans="1:8">
      <c r="H27253" t="s">
        <v>29479</v>
      </c>
    </row>
    <row r="27254" spans="1:8">
      <c r="H27254" t="s">
        <v>29480</v>
      </c>
    </row>
    <row r="27255" spans="1:8">
      <c r="H27255" t="s">
        <v>29481</v>
      </c>
    </row>
    <row r="27256" spans="1:8">
      <c r="H27256" t="s">
        <v>29482</v>
      </c>
    </row>
    <row r="27257" spans="1:8">
      <c r="H27257" t="s">
        <v>29483</v>
      </c>
    </row>
    <row r="27258" spans="1:8">
      <c r="A27258" t="s">
        <v>1690</v>
      </c>
      <c r="B27258">
        <f>HYPERLINK("https://android.googlesource.com/platform/cts/+/e1534f7a7580adaccc14d71f2b7e1c56b8ae29ad", "e1534f7a7580adaccc14d71f2b7e1c56b8ae29ad")</f>
        <v>0</v>
      </c>
      <c r="C27258">
        <f>HYPERLINK("https://android.googlesource.com/platform/cts/+/086770b481a2ecae808dd088e2222cf4a4235350", "086770b481a2ecae808dd088e2222cf4a4235350")</f>
        <v>0</v>
      </c>
      <c r="D27258" t="s">
        <v>5221</v>
      </c>
      <c r="E27258" t="s">
        <v>7446</v>
      </c>
      <c r="F27258" t="s">
        <v>13298</v>
      </c>
      <c r="G27258" t="s">
        <v>17434</v>
      </c>
      <c r="H27258" t="s">
        <v>29484</v>
      </c>
    </row>
    <row r="27259" spans="1:8">
      <c r="H27259" t="s">
        <v>29485</v>
      </c>
    </row>
    <row r="27260" spans="1:8">
      <c r="A27260" t="s">
        <v>1692</v>
      </c>
      <c r="B27260">
        <f>HYPERLINK("https://android.googlesource.com/platform/cts/+/000a9f0c6cf4ff800c5258784ad2aa962bf14ef5", "000a9f0c6cf4ff800c5258784ad2aa962bf14ef5")</f>
        <v>0</v>
      </c>
      <c r="C27260">
        <f>HYPERLINK("https://android.googlesource.com/platform/cts/+/5de9a55092a5e6f386ad103b20cf922e797fcc3d", "5de9a55092a5e6f386ad103b20cf922e797fcc3d")</f>
        <v>0</v>
      </c>
      <c r="D27260" t="s">
        <v>5215</v>
      </c>
      <c r="E27260" t="s">
        <v>7448</v>
      </c>
      <c r="F27260" t="s">
        <v>13032</v>
      </c>
      <c r="G27260" t="s">
        <v>17196</v>
      </c>
      <c r="H27260" t="s">
        <v>29486</v>
      </c>
    </row>
    <row r="27261" spans="1:8">
      <c r="H27261" t="s">
        <v>29487</v>
      </c>
    </row>
    <row r="27262" spans="1:8">
      <c r="H27262" t="s">
        <v>29488</v>
      </c>
    </row>
    <row r="27263" spans="1:8">
      <c r="A27263" t="s">
        <v>1693</v>
      </c>
      <c r="B27263">
        <f>HYPERLINK("https://android.googlesource.com/platform/cts/+/7156ffd4b48730be6921f656b57ac6d832ee75a3", "7156ffd4b48730be6921f656b57ac6d832ee75a3")</f>
        <v>0</v>
      </c>
      <c r="C27263">
        <f>HYPERLINK("https://android.googlesource.com/platform/cts/+/7b1e4ae81964b7588eca50e1d11467a87aa77ffa", "7b1e4ae81964b7588eca50e1d11467a87aa77ffa")</f>
        <v>0</v>
      </c>
      <c r="D27263" t="s">
        <v>4994</v>
      </c>
      <c r="E27263" t="s">
        <v>7449</v>
      </c>
      <c r="F27263" t="s">
        <v>10645</v>
      </c>
      <c r="G27263" t="s">
        <v>15046</v>
      </c>
      <c r="H27263" t="s">
        <v>27830</v>
      </c>
    </row>
    <row r="27264" spans="1:8">
      <c r="A27264" t="s">
        <v>1694</v>
      </c>
      <c r="B27264">
        <f>HYPERLINK("https://android.googlesource.com/platform/cts/+/9742d76bbccb14a66f8b07f5cf499f6bd6521e3f", "9742d76bbccb14a66f8b07f5cf499f6bd6521e3f")</f>
        <v>0</v>
      </c>
      <c r="C27264">
        <f>HYPERLINK("https://android.googlesource.com/platform/cts/+/7b1e4ae81964b7588eca50e1d11467a87aa77ffa", "7b1e4ae81964b7588eca50e1d11467a87aa77ffa")</f>
        <v>0</v>
      </c>
      <c r="D27264" t="s">
        <v>4994</v>
      </c>
      <c r="E27264" t="s">
        <v>7450</v>
      </c>
      <c r="F27264" t="s">
        <v>10727</v>
      </c>
      <c r="G27264" t="s">
        <v>15126</v>
      </c>
      <c r="H27264" t="s">
        <v>27830</v>
      </c>
    </row>
    <row r="27265" spans="1:8">
      <c r="F27265" t="s">
        <v>10781</v>
      </c>
      <c r="G27265" t="s">
        <v>15177</v>
      </c>
      <c r="H27265" t="s">
        <v>27830</v>
      </c>
    </row>
    <row r="27266" spans="1:8">
      <c r="F27266" t="s">
        <v>12327</v>
      </c>
      <c r="G27266" t="s">
        <v>16557</v>
      </c>
      <c r="H27266" t="s">
        <v>27830</v>
      </c>
    </row>
    <row r="27267" spans="1:8">
      <c r="A27267" t="s">
        <v>1695</v>
      </c>
      <c r="B27267">
        <f>HYPERLINK("https://android.googlesource.com/platform/cts/+/558049842ce8ec671f893b9859f9af197097964a", "558049842ce8ec671f893b9859f9af197097964a")</f>
        <v>0</v>
      </c>
      <c r="C27267">
        <f>HYPERLINK("https://android.googlesource.com/platform/cts/+/4e45605036a84257eb64b6966e6b62e15944ed53", "4e45605036a84257eb64b6966e6b62e15944ed53")</f>
        <v>0</v>
      </c>
      <c r="D27267" t="s">
        <v>5134</v>
      </c>
      <c r="E27267" t="s">
        <v>7451</v>
      </c>
      <c r="F27267" t="s">
        <v>13358</v>
      </c>
      <c r="G27267" t="s">
        <v>17485</v>
      </c>
      <c r="H27267" t="s">
        <v>29489</v>
      </c>
    </row>
    <row r="27268" spans="1:8">
      <c r="F27268" t="s">
        <v>13359</v>
      </c>
      <c r="G27268" t="s">
        <v>17486</v>
      </c>
      <c r="H27268" t="s">
        <v>29489</v>
      </c>
    </row>
    <row r="27269" spans="1:8">
      <c r="F27269" t="s">
        <v>13360</v>
      </c>
      <c r="G27269" t="s">
        <v>17487</v>
      </c>
      <c r="H27269" t="s">
        <v>29490</v>
      </c>
    </row>
    <row r="27270" spans="1:8">
      <c r="A27270" t="s">
        <v>1696</v>
      </c>
      <c r="B27270">
        <f>HYPERLINK("https://android.googlesource.com/platform/cts/+/619bccc35e15fefa90623b71a6e2f0a366b11d28", "619bccc35e15fefa90623b71a6e2f0a366b11d28")</f>
        <v>0</v>
      </c>
      <c r="C27270">
        <f>HYPERLINK("https://android.googlesource.com/platform/cts/+/558049842ce8ec671f893b9859f9af197097964a", "558049842ce8ec671f893b9859f9af197097964a")</f>
        <v>0</v>
      </c>
      <c r="D27270" t="s">
        <v>5134</v>
      </c>
      <c r="E27270" t="s">
        <v>7452</v>
      </c>
      <c r="F27270" t="s">
        <v>13361</v>
      </c>
      <c r="G27270" t="s">
        <v>17488</v>
      </c>
      <c r="H27270" t="s">
        <v>29491</v>
      </c>
    </row>
    <row r="27271" spans="1:8">
      <c r="A27271" t="s">
        <v>1697</v>
      </c>
      <c r="B27271">
        <f>HYPERLINK("https://android.googlesource.com/platform/cts/+/560c13ae1171e2193f7fc42ff54bb2dbed2681e8", "560c13ae1171e2193f7fc42ff54bb2dbed2681e8")</f>
        <v>0</v>
      </c>
      <c r="C27271">
        <f>HYPERLINK("https://android.googlesource.com/platform/cts/+/71c2f6b5ca1880a47f7e9847ee883b4dbcfc97b1", "71c2f6b5ca1880a47f7e9847ee883b4dbcfc97b1")</f>
        <v>0</v>
      </c>
      <c r="D27271" t="s">
        <v>5134</v>
      </c>
      <c r="E27271" t="s">
        <v>7453</v>
      </c>
      <c r="F27271" t="s">
        <v>13321</v>
      </c>
      <c r="G27271" t="s">
        <v>17452</v>
      </c>
      <c r="H27271" t="s">
        <v>29418</v>
      </c>
    </row>
    <row r="27272" spans="1:8">
      <c r="A27272" t="s">
        <v>1699</v>
      </c>
      <c r="B27272">
        <f>HYPERLINK("https://android.googlesource.com/platform/cts/+/3528f72158709d52b9d10b6f1df0eec4d2582986", "3528f72158709d52b9d10b6f1df0eec4d2582986")</f>
        <v>0</v>
      </c>
      <c r="C27272">
        <f>HYPERLINK("https://android.googlesource.com/platform/cts/+/fd4d9c187fbddf1f1ede802f47d7d24cadd7865e", "fd4d9c187fbddf1f1ede802f47d7d24cadd7865e")</f>
        <v>0</v>
      </c>
      <c r="D27272" t="s">
        <v>5021</v>
      </c>
      <c r="E27272" t="s">
        <v>7455</v>
      </c>
      <c r="F27272" t="s">
        <v>13362</v>
      </c>
      <c r="G27272" t="s">
        <v>17489</v>
      </c>
      <c r="H27272" t="s">
        <v>29492</v>
      </c>
    </row>
    <row r="27273" spans="1:8">
      <c r="H27273" t="s">
        <v>28159</v>
      </c>
    </row>
    <row r="27274" spans="1:8">
      <c r="H27274" t="s">
        <v>29493</v>
      </c>
    </row>
    <row r="27275" spans="1:8">
      <c r="H27275" t="s">
        <v>29494</v>
      </c>
    </row>
    <row r="27276" spans="1:8">
      <c r="H27276" t="s">
        <v>29495</v>
      </c>
    </row>
    <row r="27277" spans="1:8">
      <c r="H27277" t="s">
        <v>29496</v>
      </c>
    </row>
    <row r="27278" spans="1:8">
      <c r="H27278" t="s">
        <v>29497</v>
      </c>
    </row>
    <row r="27279" spans="1:8">
      <c r="H27279" t="s">
        <v>29498</v>
      </c>
    </row>
    <row r="27280" spans="1:8">
      <c r="H27280" t="s">
        <v>29499</v>
      </c>
    </row>
    <row r="27281" spans="6:8">
      <c r="H27281" t="s">
        <v>29500</v>
      </c>
    </row>
    <row r="27282" spans="6:8">
      <c r="H27282" t="s">
        <v>18967</v>
      </c>
    </row>
    <row r="27283" spans="6:8">
      <c r="H27283" t="s">
        <v>18968</v>
      </c>
    </row>
    <row r="27284" spans="6:8">
      <c r="H27284" t="s">
        <v>29501</v>
      </c>
    </row>
    <row r="27285" spans="6:8">
      <c r="H27285" t="s">
        <v>29502</v>
      </c>
    </row>
    <row r="27286" spans="6:8">
      <c r="F27286" t="s">
        <v>13363</v>
      </c>
      <c r="G27286" t="s">
        <v>17490</v>
      </c>
      <c r="H27286" t="s">
        <v>26065</v>
      </c>
    </row>
    <row r="27287" spans="6:8">
      <c r="H27287" t="s">
        <v>29503</v>
      </c>
    </row>
    <row r="27288" spans="6:8">
      <c r="H27288" t="s">
        <v>19743</v>
      </c>
    </row>
    <row r="27289" spans="6:8">
      <c r="F27289" t="s">
        <v>12876</v>
      </c>
      <c r="G27289" t="s">
        <v>17018</v>
      </c>
      <c r="H27289" t="s">
        <v>26619</v>
      </c>
    </row>
    <row r="27290" spans="6:8">
      <c r="H27290" t="s">
        <v>26065</v>
      </c>
    </row>
    <row r="27291" spans="6:8">
      <c r="H27291" t="s">
        <v>29504</v>
      </c>
    </row>
    <row r="27292" spans="6:8">
      <c r="H27292" t="s">
        <v>29505</v>
      </c>
    </row>
    <row r="27293" spans="6:8">
      <c r="H27293" t="s">
        <v>29506</v>
      </c>
    </row>
    <row r="27294" spans="6:8">
      <c r="H27294" t="s">
        <v>29507</v>
      </c>
    </row>
    <row r="27295" spans="6:8">
      <c r="H27295" t="s">
        <v>29508</v>
      </c>
    </row>
    <row r="27296" spans="6:8">
      <c r="H27296" t="s">
        <v>26621</v>
      </c>
    </row>
    <row r="27297" spans="1:8">
      <c r="H27297" t="s">
        <v>26622</v>
      </c>
    </row>
    <row r="27298" spans="1:8">
      <c r="A27298" t="s">
        <v>1701</v>
      </c>
      <c r="B27298">
        <f>HYPERLINK("https://android.googlesource.com/platform/cts/+/55ac8e34cae48bd42687924874fdeefd531a7fe0", "55ac8e34cae48bd42687924874fdeefd531a7fe0")</f>
        <v>0</v>
      </c>
      <c r="C27298">
        <f>HYPERLINK("https://android.googlesource.com/platform/cts/+/5483fb6a0e7064ce44fb31d97d0d3f30c5815fa4", "5483fb6a0e7064ce44fb31d97d0d3f30c5815fa4")</f>
        <v>0</v>
      </c>
      <c r="D27298" t="s">
        <v>5163</v>
      </c>
      <c r="E27298" t="s">
        <v>7456</v>
      </c>
      <c r="F27298" t="s">
        <v>13325</v>
      </c>
      <c r="G27298" t="s">
        <v>17456</v>
      </c>
      <c r="H27298" t="s">
        <v>18829</v>
      </c>
    </row>
    <row r="27299" spans="1:8">
      <c r="H27299" t="s">
        <v>29203</v>
      </c>
    </row>
    <row r="27300" spans="1:8">
      <c r="H27300" t="s">
        <v>29204</v>
      </c>
    </row>
    <row r="27301" spans="1:8">
      <c r="H27301" t="s">
        <v>29205</v>
      </c>
    </row>
    <row r="27302" spans="1:8">
      <c r="H27302" t="s">
        <v>29206</v>
      </c>
    </row>
    <row r="27303" spans="1:8">
      <c r="H27303" t="s">
        <v>29207</v>
      </c>
    </row>
    <row r="27304" spans="1:8">
      <c r="H27304" t="s">
        <v>29208</v>
      </c>
    </row>
    <row r="27305" spans="1:8">
      <c r="H27305" t="s">
        <v>26556</v>
      </c>
    </row>
    <row r="27306" spans="1:8">
      <c r="H27306" t="s">
        <v>26555</v>
      </c>
    </row>
    <row r="27307" spans="1:8">
      <c r="H27307" t="s">
        <v>29209</v>
      </c>
    </row>
    <row r="27308" spans="1:8">
      <c r="H27308" t="s">
        <v>29211</v>
      </c>
    </row>
    <row r="27309" spans="1:8">
      <c r="H27309" t="s">
        <v>29212</v>
      </c>
    </row>
    <row r="27310" spans="1:8">
      <c r="H27310" t="s">
        <v>29213</v>
      </c>
    </row>
    <row r="27311" spans="1:8">
      <c r="H27311" t="s">
        <v>26557</v>
      </c>
    </row>
    <row r="27312" spans="1:8">
      <c r="F27312" t="s">
        <v>13326</v>
      </c>
      <c r="G27312" t="s">
        <v>16863</v>
      </c>
      <c r="H27312" t="s">
        <v>19905</v>
      </c>
    </row>
    <row r="27313" spans="1:8">
      <c r="H27313" t="s">
        <v>29214</v>
      </c>
    </row>
    <row r="27314" spans="1:8">
      <c r="H27314" t="s">
        <v>29215</v>
      </c>
    </row>
    <row r="27315" spans="1:8">
      <c r="A27315" t="s">
        <v>1702</v>
      </c>
      <c r="B27315">
        <f>HYPERLINK("https://android.googlesource.com/platform/cts/+/37170b2a35525b897ca6636779545d6e7bd5097f", "37170b2a35525b897ca6636779545d6e7bd5097f")</f>
        <v>0</v>
      </c>
      <c r="C27315">
        <f>HYPERLINK("https://android.googlesource.com/platform/cts/+/300f7ed158e6648ca9af08356d783e28b0bd6e54", "300f7ed158e6648ca9af08356d783e28b0bd6e54")</f>
        <v>0</v>
      </c>
      <c r="D27315" t="s">
        <v>5163</v>
      </c>
      <c r="E27315" t="s">
        <v>7457</v>
      </c>
      <c r="F27315" t="s">
        <v>13325</v>
      </c>
      <c r="G27315" t="s">
        <v>17456</v>
      </c>
      <c r="H27315" t="s">
        <v>18829</v>
      </c>
    </row>
    <row r="27316" spans="1:8">
      <c r="H27316" t="s">
        <v>29203</v>
      </c>
    </row>
    <row r="27317" spans="1:8">
      <c r="H27317" t="s">
        <v>29204</v>
      </c>
    </row>
    <row r="27318" spans="1:8">
      <c r="H27318" t="s">
        <v>29205</v>
      </c>
    </row>
    <row r="27319" spans="1:8">
      <c r="H27319" t="s">
        <v>29206</v>
      </c>
    </row>
    <row r="27320" spans="1:8">
      <c r="H27320" t="s">
        <v>29207</v>
      </c>
    </row>
    <row r="27321" spans="1:8">
      <c r="H27321" t="s">
        <v>29208</v>
      </c>
    </row>
    <row r="27322" spans="1:8">
      <c r="H27322" t="s">
        <v>26556</v>
      </c>
    </row>
    <row r="27323" spans="1:8">
      <c r="H27323" t="s">
        <v>26555</v>
      </c>
    </row>
    <row r="27324" spans="1:8">
      <c r="H27324" t="s">
        <v>29209</v>
      </c>
    </row>
    <row r="27325" spans="1:8">
      <c r="H27325" t="s">
        <v>29210</v>
      </c>
    </row>
    <row r="27326" spans="1:8">
      <c r="H27326" t="s">
        <v>29211</v>
      </c>
    </row>
    <row r="27327" spans="1:8">
      <c r="H27327" t="s">
        <v>25512</v>
      </c>
    </row>
    <row r="27328" spans="1:8">
      <c r="H27328" t="s">
        <v>29212</v>
      </c>
    </row>
    <row r="27329" spans="1:8">
      <c r="H27329" t="s">
        <v>29213</v>
      </c>
    </row>
    <row r="27330" spans="1:8">
      <c r="H27330" t="s">
        <v>26557</v>
      </c>
    </row>
    <row r="27331" spans="1:8">
      <c r="F27331" t="s">
        <v>13326</v>
      </c>
      <c r="G27331" t="s">
        <v>16863</v>
      </c>
      <c r="H27331" t="s">
        <v>19905</v>
      </c>
    </row>
    <row r="27332" spans="1:8">
      <c r="H27332" t="s">
        <v>29214</v>
      </c>
    </row>
    <row r="27333" spans="1:8">
      <c r="H27333" t="s">
        <v>29215</v>
      </c>
    </row>
    <row r="27334" spans="1:8">
      <c r="A27334" t="s">
        <v>1703</v>
      </c>
      <c r="B27334">
        <f>HYPERLINK("https://android.googlesource.com/platform/cts/+/4b64d4ae01184d7335e3eeaf66a984daca620a38", "4b64d4ae01184d7335e3eeaf66a984daca620a38")</f>
        <v>0</v>
      </c>
      <c r="C27334">
        <f>HYPERLINK("https://android.googlesource.com/platform/cts/+/6affb830627d16d216942c7fcb13826fe90a1124", "6affb830627d16d216942c7fcb13826fe90a1124")</f>
        <v>0</v>
      </c>
      <c r="D27334" t="s">
        <v>5163</v>
      </c>
      <c r="E27334" t="s">
        <v>7458</v>
      </c>
      <c r="F27334" t="s">
        <v>13325</v>
      </c>
      <c r="G27334" t="s">
        <v>17456</v>
      </c>
      <c r="H27334" t="s">
        <v>18829</v>
      </c>
    </row>
    <row r="27335" spans="1:8">
      <c r="H27335" t="s">
        <v>29203</v>
      </c>
    </row>
    <row r="27336" spans="1:8">
      <c r="H27336" t="s">
        <v>29204</v>
      </c>
    </row>
    <row r="27337" spans="1:8">
      <c r="H27337" t="s">
        <v>29205</v>
      </c>
    </row>
    <row r="27338" spans="1:8">
      <c r="H27338" t="s">
        <v>29206</v>
      </c>
    </row>
    <row r="27339" spans="1:8">
      <c r="H27339" t="s">
        <v>29207</v>
      </c>
    </row>
    <row r="27340" spans="1:8">
      <c r="H27340" t="s">
        <v>29208</v>
      </c>
    </row>
    <row r="27341" spans="1:8">
      <c r="H27341" t="s">
        <v>26556</v>
      </c>
    </row>
    <row r="27342" spans="1:8">
      <c r="H27342" t="s">
        <v>26555</v>
      </c>
    </row>
    <row r="27343" spans="1:8">
      <c r="H27343" t="s">
        <v>29209</v>
      </c>
    </row>
    <row r="27344" spans="1:8">
      <c r="H27344" t="s">
        <v>29210</v>
      </c>
    </row>
    <row r="27345" spans="1:8">
      <c r="H27345" t="s">
        <v>29211</v>
      </c>
    </row>
    <row r="27346" spans="1:8">
      <c r="H27346" t="s">
        <v>25512</v>
      </c>
    </row>
    <row r="27347" spans="1:8">
      <c r="H27347" t="s">
        <v>29212</v>
      </c>
    </row>
    <row r="27348" spans="1:8">
      <c r="H27348" t="s">
        <v>29213</v>
      </c>
    </row>
    <row r="27349" spans="1:8">
      <c r="H27349" t="s">
        <v>26557</v>
      </c>
    </row>
    <row r="27350" spans="1:8">
      <c r="F27350" t="s">
        <v>13326</v>
      </c>
      <c r="G27350" t="s">
        <v>16863</v>
      </c>
      <c r="H27350" t="s">
        <v>19905</v>
      </c>
    </row>
    <row r="27351" spans="1:8">
      <c r="H27351" t="s">
        <v>29214</v>
      </c>
    </row>
    <row r="27352" spans="1:8">
      <c r="H27352" t="s">
        <v>29215</v>
      </c>
    </row>
    <row r="27353" spans="1:8">
      <c r="A27353" t="s">
        <v>1704</v>
      </c>
      <c r="B27353">
        <f>HYPERLINK("https://android.googlesource.com/platform/cts/+/d7a5a19d72a775711f592077dcbeda0726d97b31", "d7a5a19d72a775711f592077dcbeda0726d97b31")</f>
        <v>0</v>
      </c>
      <c r="C27353">
        <f>HYPERLINK("https://android.googlesource.com/platform/cts/+/5f3b317577deffa90316a3d13881c95ed8a6f276", "5f3b317577deffa90316a3d13881c95ed8a6f276")</f>
        <v>0</v>
      </c>
      <c r="D27353" t="s">
        <v>5083</v>
      </c>
      <c r="E27353" t="s">
        <v>7459</v>
      </c>
      <c r="F27353" t="s">
        <v>13364</v>
      </c>
      <c r="G27353" t="s">
        <v>17491</v>
      </c>
      <c r="H27353" t="s">
        <v>29509</v>
      </c>
    </row>
    <row r="27354" spans="1:8">
      <c r="A27354" t="s">
        <v>1705</v>
      </c>
      <c r="B27354">
        <f>HYPERLINK("https://android.googlesource.com/platform/cts/+/89e266cf3e7187dbd8d95f3a96ea082c41c3224a", "89e266cf3e7187dbd8d95f3a96ea082c41c3224a")</f>
        <v>0</v>
      </c>
      <c r="C27354">
        <f>HYPERLINK("https://android.googlesource.com/platform/cts/+/c0756736dd41352b72658e76186758d20d7bad3e", "c0756736dd41352b72658e76186758d20d7bad3e")</f>
        <v>0</v>
      </c>
      <c r="D27354" t="s">
        <v>5258</v>
      </c>
      <c r="E27354" t="s">
        <v>7460</v>
      </c>
      <c r="F27354" t="s">
        <v>13365</v>
      </c>
      <c r="G27354" t="s">
        <v>17492</v>
      </c>
      <c r="H27354" t="s">
        <v>29510</v>
      </c>
    </row>
    <row r="27355" spans="1:8">
      <c r="A27355" t="s">
        <v>1707</v>
      </c>
      <c r="B27355">
        <f>HYPERLINK("https://android.googlesource.com/platform/cts/+/82d248bb78d1b41eaa111eea19ea78f79722a6fb", "82d248bb78d1b41eaa111eea19ea78f79722a6fb")</f>
        <v>0</v>
      </c>
      <c r="C27355">
        <f>HYPERLINK("https://android.googlesource.com/platform/cts/+/c3f441e2dc3cbef33935bd5a595f1b32fe728129", "c3f441e2dc3cbef33935bd5a595f1b32fe728129")</f>
        <v>0</v>
      </c>
      <c r="D27355" t="s">
        <v>5125</v>
      </c>
      <c r="E27355" t="s">
        <v>7462</v>
      </c>
      <c r="F27355" t="s">
        <v>12936</v>
      </c>
      <c r="G27355" t="s">
        <v>17101</v>
      </c>
      <c r="H27355" t="s">
        <v>29511</v>
      </c>
    </row>
    <row r="27356" spans="1:8">
      <c r="H27356" t="s">
        <v>29512</v>
      </c>
    </row>
    <row r="27357" spans="1:8">
      <c r="H27357" t="s">
        <v>29513</v>
      </c>
    </row>
    <row r="27358" spans="1:8">
      <c r="H27358" t="s">
        <v>29514</v>
      </c>
    </row>
    <row r="27359" spans="1:8">
      <c r="F27359" t="s">
        <v>13091</v>
      </c>
      <c r="G27359" t="s">
        <v>17253</v>
      </c>
      <c r="H27359" t="s">
        <v>29515</v>
      </c>
    </row>
    <row r="27360" spans="1:8">
      <c r="H27360" t="s">
        <v>29516</v>
      </c>
    </row>
    <row r="27361" spans="1:8">
      <c r="H27361" t="s">
        <v>29517</v>
      </c>
    </row>
    <row r="27362" spans="1:8">
      <c r="H27362" t="s">
        <v>29514</v>
      </c>
    </row>
    <row r="27363" spans="1:8">
      <c r="F27363" t="s">
        <v>10596</v>
      </c>
      <c r="G27363" t="s">
        <v>14999</v>
      </c>
      <c r="H27363" t="s">
        <v>29515</v>
      </c>
    </row>
    <row r="27364" spans="1:8">
      <c r="H27364" t="s">
        <v>29516</v>
      </c>
    </row>
    <row r="27365" spans="1:8">
      <c r="H27365" t="s">
        <v>29517</v>
      </c>
    </row>
    <row r="27366" spans="1:8">
      <c r="H27366" t="s">
        <v>29514</v>
      </c>
    </row>
    <row r="27367" spans="1:8">
      <c r="A27367" t="s">
        <v>1708</v>
      </c>
      <c r="B27367">
        <f>HYPERLINK("https://android.googlesource.com/platform/cts/+/c3cc4568561dd6af3023c41a9afa288dea906572", "c3cc4568561dd6af3023c41a9afa288dea906572")</f>
        <v>0</v>
      </c>
      <c r="C27367">
        <f>HYPERLINK("https://android.googlesource.com/platform/cts/+/50d71fab486cda44b5961798edce7af89a6d7054", "50d71fab486cda44b5961798edce7af89a6d7054")</f>
        <v>0</v>
      </c>
      <c r="D27367" t="s">
        <v>5125</v>
      </c>
      <c r="E27367" t="s">
        <v>7463</v>
      </c>
      <c r="F27367" t="s">
        <v>12936</v>
      </c>
      <c r="G27367" t="s">
        <v>17101</v>
      </c>
      <c r="H27367" t="s">
        <v>29511</v>
      </c>
    </row>
    <row r="27368" spans="1:8">
      <c r="H27368" t="s">
        <v>29512</v>
      </c>
    </row>
    <row r="27369" spans="1:8">
      <c r="H27369" t="s">
        <v>29513</v>
      </c>
    </row>
    <row r="27370" spans="1:8">
      <c r="H27370" t="s">
        <v>29514</v>
      </c>
    </row>
    <row r="27371" spans="1:8">
      <c r="F27371" t="s">
        <v>13087</v>
      </c>
      <c r="G27371" t="s">
        <v>17249</v>
      </c>
      <c r="H27371" t="s">
        <v>29518</v>
      </c>
    </row>
    <row r="27372" spans="1:8">
      <c r="F27372" t="s">
        <v>13091</v>
      </c>
      <c r="G27372" t="s">
        <v>17253</v>
      </c>
      <c r="H27372" t="s">
        <v>29515</v>
      </c>
    </row>
    <row r="27373" spans="1:8">
      <c r="H27373" t="s">
        <v>29519</v>
      </c>
    </row>
    <row r="27374" spans="1:8">
      <c r="H27374" t="s">
        <v>29516</v>
      </c>
    </row>
    <row r="27375" spans="1:8">
      <c r="H27375" t="s">
        <v>29517</v>
      </c>
    </row>
    <row r="27376" spans="1:8">
      <c r="H27376" t="s">
        <v>29514</v>
      </c>
    </row>
    <row r="27377" spans="1:8">
      <c r="F27377" t="s">
        <v>10596</v>
      </c>
      <c r="G27377" t="s">
        <v>14999</v>
      </c>
      <c r="H27377" t="s">
        <v>29515</v>
      </c>
    </row>
    <row r="27378" spans="1:8">
      <c r="H27378" t="s">
        <v>29519</v>
      </c>
    </row>
    <row r="27379" spans="1:8">
      <c r="H27379" t="s">
        <v>29516</v>
      </c>
    </row>
    <row r="27380" spans="1:8">
      <c r="H27380" t="s">
        <v>29517</v>
      </c>
    </row>
    <row r="27381" spans="1:8">
      <c r="H27381" t="s">
        <v>29514</v>
      </c>
    </row>
    <row r="27382" spans="1:8">
      <c r="A27382" t="s">
        <v>1709</v>
      </c>
      <c r="B27382">
        <f>HYPERLINK("https://android.googlesource.com/platform/cts/+/98eaa48a1d0858bdd24bada492570ef0e39552db", "98eaa48a1d0858bdd24bada492570ef0e39552db")</f>
        <v>0</v>
      </c>
      <c r="C27382">
        <f>HYPERLINK("https://android.googlesource.com/platform/cts/+/e67470d31e38ed74ffd10ee5a3ce11ead9a33c2e", "e67470d31e38ed74ffd10ee5a3ce11ead9a33c2e")</f>
        <v>0</v>
      </c>
      <c r="D27382" t="s">
        <v>4965</v>
      </c>
      <c r="E27382" t="s">
        <v>7464</v>
      </c>
      <c r="F27382" t="s">
        <v>13366</v>
      </c>
      <c r="G27382" t="s">
        <v>15583</v>
      </c>
      <c r="H27382" t="s">
        <v>29520</v>
      </c>
    </row>
    <row r="27383" spans="1:8">
      <c r="H27383" t="s">
        <v>29521</v>
      </c>
    </row>
    <row r="27384" spans="1:8">
      <c r="H27384" t="s">
        <v>29522</v>
      </c>
    </row>
    <row r="27385" spans="1:8">
      <c r="A27385" t="s">
        <v>1711</v>
      </c>
      <c r="B27385">
        <f>HYPERLINK("https://android.googlesource.com/platform/cts/+/f1d094edfed4be344f8c0a57e67b6573daaa91ff", "f1d094edfed4be344f8c0a57e67b6573daaa91ff")</f>
        <v>0</v>
      </c>
      <c r="C27385">
        <f>HYPERLINK("https://android.googlesource.com/platform/cts/+/5b679b166d63cbd8aed249c9c4dd9e6ff156e0f0", "5b679b166d63cbd8aed249c9c4dd9e6ff156e0f0")</f>
        <v>0</v>
      </c>
      <c r="D27385" t="s">
        <v>5191</v>
      </c>
      <c r="E27385" t="s">
        <v>7466</v>
      </c>
      <c r="F27385" t="s">
        <v>12698</v>
      </c>
      <c r="G27385" t="s">
        <v>16591</v>
      </c>
      <c r="H27385" t="s">
        <v>25497</v>
      </c>
    </row>
    <row r="27386" spans="1:8">
      <c r="H27386" t="s">
        <v>20244</v>
      </c>
    </row>
    <row r="27387" spans="1:8">
      <c r="A27387" t="s">
        <v>1712</v>
      </c>
      <c r="B27387">
        <f>HYPERLINK("https://android.googlesource.com/platform/cts/+/0c0fffcaacf948c3d8e27570e313cccd331c35b9", "0c0fffcaacf948c3d8e27570e313cccd331c35b9")</f>
        <v>0</v>
      </c>
      <c r="C27387">
        <f>HYPERLINK("https://android.googlesource.com/platform/cts/+/8243446d847699e25b29b914e67e329efbf8b510", "8243446d847699e25b29b914e67e329efbf8b510")</f>
        <v>0</v>
      </c>
      <c r="D27387" t="s">
        <v>5117</v>
      </c>
      <c r="E27387" t="s">
        <v>7467</v>
      </c>
      <c r="F27387" t="s">
        <v>13367</v>
      </c>
      <c r="G27387" t="s">
        <v>17493</v>
      </c>
      <c r="H27387" t="s">
        <v>29523</v>
      </c>
    </row>
    <row r="27388" spans="1:8">
      <c r="H27388" t="s">
        <v>29524</v>
      </c>
    </row>
    <row r="27389" spans="1:8">
      <c r="H27389" t="s">
        <v>29525</v>
      </c>
    </row>
    <row r="27390" spans="1:8">
      <c r="H27390" t="s">
        <v>19933</v>
      </c>
    </row>
    <row r="27391" spans="1:8">
      <c r="H27391" t="s">
        <v>29526</v>
      </c>
    </row>
    <row r="27392" spans="1:8">
      <c r="H27392" t="s">
        <v>29527</v>
      </c>
    </row>
    <row r="27393" spans="1:8">
      <c r="H27393" t="s">
        <v>28083</v>
      </c>
    </row>
    <row r="27394" spans="1:8">
      <c r="H27394" t="s">
        <v>24966</v>
      </c>
    </row>
    <row r="27395" spans="1:8">
      <c r="H27395" t="s">
        <v>18930</v>
      </c>
    </row>
    <row r="27396" spans="1:8">
      <c r="H27396" t="s">
        <v>29528</v>
      </c>
    </row>
    <row r="27397" spans="1:8">
      <c r="H27397" t="s">
        <v>29529</v>
      </c>
    </row>
    <row r="27398" spans="1:8">
      <c r="F27398" t="s">
        <v>13368</v>
      </c>
      <c r="G27398" t="s">
        <v>17494</v>
      </c>
      <c r="H27398" t="s">
        <v>29525</v>
      </c>
    </row>
    <row r="27399" spans="1:8">
      <c r="H27399" t="s">
        <v>29530</v>
      </c>
    </row>
    <row r="27400" spans="1:8">
      <c r="H27400" t="s">
        <v>29531</v>
      </c>
    </row>
    <row r="27401" spans="1:8">
      <c r="H27401" t="s">
        <v>19933</v>
      </c>
    </row>
    <row r="27402" spans="1:8">
      <c r="H27402" t="s">
        <v>29532</v>
      </c>
    </row>
    <row r="27403" spans="1:8">
      <c r="H27403" t="s">
        <v>29533</v>
      </c>
    </row>
    <row r="27404" spans="1:8">
      <c r="H27404" t="s">
        <v>29534</v>
      </c>
    </row>
    <row r="27405" spans="1:8">
      <c r="H27405" t="s">
        <v>29535</v>
      </c>
    </row>
    <row r="27406" spans="1:8">
      <c r="H27406" t="s">
        <v>29536</v>
      </c>
    </row>
    <row r="27407" spans="1:8">
      <c r="H27407" t="s">
        <v>29537</v>
      </c>
    </row>
    <row r="27408" spans="1:8">
      <c r="A27408" t="s">
        <v>1713</v>
      </c>
      <c r="B27408">
        <f>HYPERLINK("https://android.googlesource.com/platform/cts/+/dc976f5856199b8f7ddc6053f28561fffdd7eb84", "dc976f5856199b8f7ddc6053f28561fffdd7eb84")</f>
        <v>0</v>
      </c>
      <c r="C27408">
        <f>HYPERLINK("https://android.googlesource.com/platform/cts/+/ac02fe5c79e0f246048f67bf388489a2841410e6", "ac02fe5c79e0f246048f67bf388489a2841410e6")</f>
        <v>0</v>
      </c>
      <c r="D27408" t="s">
        <v>4965</v>
      </c>
      <c r="E27408" t="s">
        <v>7468</v>
      </c>
      <c r="F27408" t="s">
        <v>13369</v>
      </c>
      <c r="G27408" t="s">
        <v>17495</v>
      </c>
      <c r="H27408" t="s">
        <v>29538</v>
      </c>
    </row>
    <row r="27409" spans="1:8">
      <c r="A27409" t="s">
        <v>1714</v>
      </c>
      <c r="B27409">
        <f>HYPERLINK("https://android.googlesource.com/platform/cts/+/20e39ade80b207dca9a770cfabb971e1bf02cbb6", "20e39ade80b207dca9a770cfabb971e1bf02cbb6")</f>
        <v>0</v>
      </c>
      <c r="C27409">
        <f>HYPERLINK("https://android.googlesource.com/platform/cts/+/1ddd45610d1c4634a9000fbaaa867522e1fe8621", "1ddd45610d1c4634a9000fbaaa867522e1fe8621")</f>
        <v>0</v>
      </c>
      <c r="D27409" t="s">
        <v>5134</v>
      </c>
      <c r="E27409" t="s">
        <v>7469</v>
      </c>
      <c r="F27409" t="s">
        <v>13360</v>
      </c>
      <c r="G27409" t="s">
        <v>17496</v>
      </c>
      <c r="H27409" t="s">
        <v>29539</v>
      </c>
    </row>
    <row r="27410" spans="1:8">
      <c r="H27410" t="s">
        <v>29540</v>
      </c>
    </row>
    <row r="27411" spans="1:8">
      <c r="H27411" t="s">
        <v>29541</v>
      </c>
    </row>
    <row r="27412" spans="1:8">
      <c r="H27412" t="s">
        <v>29542</v>
      </c>
    </row>
    <row r="27413" spans="1:8">
      <c r="H27413" t="s">
        <v>29543</v>
      </c>
    </row>
    <row r="27414" spans="1:8">
      <c r="H27414" t="s">
        <v>29544</v>
      </c>
    </row>
    <row r="27415" spans="1:8">
      <c r="A27415" t="s">
        <v>1716</v>
      </c>
      <c r="B27415">
        <f>HYPERLINK("https://android.googlesource.com/platform/cts/+/6ef3448ce7827e0db865a40dc6d39f8043ff1eba", "6ef3448ce7827e0db865a40dc6d39f8043ff1eba")</f>
        <v>0</v>
      </c>
      <c r="C27415">
        <f>HYPERLINK("https://android.googlesource.com/platform/cts/+/6a815a0eca683aa14b67e545a4349f11647d08a3", "6a815a0eca683aa14b67e545a4349f11647d08a3")</f>
        <v>0</v>
      </c>
      <c r="D27415" t="s">
        <v>4981</v>
      </c>
      <c r="E27415" t="s">
        <v>7470</v>
      </c>
      <c r="F27415" t="s">
        <v>13348</v>
      </c>
      <c r="G27415" t="s">
        <v>17475</v>
      </c>
      <c r="H27415" t="s">
        <v>29545</v>
      </c>
    </row>
    <row r="27416" spans="1:8">
      <c r="H27416" t="s">
        <v>29546</v>
      </c>
    </row>
    <row r="27417" spans="1:8">
      <c r="A27417" t="s">
        <v>1717</v>
      </c>
      <c r="B27417">
        <f>HYPERLINK("https://android.googlesource.com/platform/cts/+/f54a0a1a582e098000e842e23619ad732d2545ee", "f54a0a1a582e098000e842e23619ad732d2545ee")</f>
        <v>0</v>
      </c>
      <c r="C27417">
        <f>HYPERLINK("https://android.googlesource.com/platform/cts/+/64d7b90dc5036c142d6b407d0f183c9019b138d8", "64d7b90dc5036c142d6b407d0f183c9019b138d8")</f>
        <v>0</v>
      </c>
      <c r="D27417" t="s">
        <v>4949</v>
      </c>
      <c r="E27417" t="s">
        <v>7471</v>
      </c>
      <c r="F27417" t="s">
        <v>13370</v>
      </c>
      <c r="G27417" t="s">
        <v>17497</v>
      </c>
      <c r="H27417" t="s">
        <v>29547</v>
      </c>
    </row>
    <row r="27418" spans="1:8">
      <c r="A27418" t="s">
        <v>1718</v>
      </c>
      <c r="B27418">
        <f>HYPERLINK("https://android.googlesource.com/platform/cts/+/aff6ce05fc8bfd89a61d1428575ff7099c07751a", "aff6ce05fc8bfd89a61d1428575ff7099c07751a")</f>
        <v>0</v>
      </c>
      <c r="C27418">
        <f>HYPERLINK("https://android.googlesource.com/platform/cts/+/f7afc065420f0d38b2a53027b65e0042607f2cad", "f7afc065420f0d38b2a53027b65e0042607f2cad")</f>
        <v>0</v>
      </c>
      <c r="D27418" t="s">
        <v>5259</v>
      </c>
      <c r="E27418" t="s">
        <v>7472</v>
      </c>
      <c r="F27418" t="s">
        <v>13342</v>
      </c>
      <c r="G27418" t="s">
        <v>17471</v>
      </c>
      <c r="H27418" t="s">
        <v>29548</v>
      </c>
    </row>
    <row r="27419" spans="1:8">
      <c r="A27419" t="s">
        <v>1719</v>
      </c>
      <c r="B27419">
        <f>HYPERLINK("https://android.googlesource.com/platform/cts/+/17e3661bea3c7bc2d91be719f15006bfb1526bf0", "17e3661bea3c7bc2d91be719f15006bfb1526bf0")</f>
        <v>0</v>
      </c>
      <c r="C27419">
        <f>HYPERLINK("https://android.googlesource.com/platform/cts/+/5b5b371171f8f5987a246c9e3b95714c46637533", "5b5b371171f8f5987a246c9e3b95714c46637533")</f>
        <v>0</v>
      </c>
      <c r="D27419" t="s">
        <v>5134</v>
      </c>
      <c r="E27419" t="s">
        <v>7473</v>
      </c>
      <c r="F27419" t="s">
        <v>13230</v>
      </c>
      <c r="G27419" t="s">
        <v>17371</v>
      </c>
      <c r="H27419" t="s">
        <v>29549</v>
      </c>
    </row>
    <row r="27420" spans="1:8">
      <c r="F27420" t="s">
        <v>13371</v>
      </c>
      <c r="G27420" t="s">
        <v>17498</v>
      </c>
      <c r="H27420" t="s">
        <v>29550</v>
      </c>
    </row>
    <row r="27421" spans="1:8">
      <c r="A27421" t="s">
        <v>1720</v>
      </c>
      <c r="B27421">
        <f>HYPERLINK("https://android.googlesource.com/platform/cts/+/3ddad7723800310ec73eea4ff65bca0038ec3c20", "3ddad7723800310ec73eea4ff65bca0038ec3c20")</f>
        <v>0</v>
      </c>
      <c r="C27421">
        <f>HYPERLINK("https://android.googlesource.com/platform/cts/+/6ca2a7dded89d14f7f937d3c2ed01960b2f0ba66", "6ca2a7dded89d14f7f937d3c2ed01960b2f0ba66")</f>
        <v>0</v>
      </c>
      <c r="D27421" t="s">
        <v>5111</v>
      </c>
      <c r="E27421" t="s">
        <v>7474</v>
      </c>
      <c r="F27421" t="s">
        <v>13372</v>
      </c>
      <c r="G27421" t="s">
        <v>17499</v>
      </c>
      <c r="H27421" t="s">
        <v>29551</v>
      </c>
    </row>
    <row r="27422" spans="1:8">
      <c r="H27422" t="s">
        <v>29552</v>
      </c>
    </row>
    <row r="27423" spans="1:8">
      <c r="H27423" t="s">
        <v>29553</v>
      </c>
    </row>
    <row r="27424" spans="1:8">
      <c r="F27424" t="s">
        <v>13373</v>
      </c>
      <c r="G27424" t="s">
        <v>17500</v>
      </c>
      <c r="H27424" t="s">
        <v>29551</v>
      </c>
    </row>
    <row r="27425" spans="6:8">
      <c r="H27425" t="s">
        <v>29554</v>
      </c>
    </row>
    <row r="27426" spans="6:8">
      <c r="H27426" t="s">
        <v>29553</v>
      </c>
    </row>
    <row r="27427" spans="6:8">
      <c r="F27427" t="s">
        <v>13374</v>
      </c>
      <c r="G27427" t="s">
        <v>17501</v>
      </c>
      <c r="H27427" t="s">
        <v>29551</v>
      </c>
    </row>
    <row r="27428" spans="6:8">
      <c r="H27428" t="s">
        <v>29555</v>
      </c>
    </row>
    <row r="27429" spans="6:8">
      <c r="H27429" t="s">
        <v>29553</v>
      </c>
    </row>
    <row r="27430" spans="6:8">
      <c r="F27430" t="s">
        <v>13375</v>
      </c>
      <c r="G27430" t="s">
        <v>17502</v>
      </c>
      <c r="H27430" t="s">
        <v>29551</v>
      </c>
    </row>
    <row r="27431" spans="6:8">
      <c r="H27431" t="s">
        <v>29556</v>
      </c>
    </row>
    <row r="27432" spans="6:8">
      <c r="H27432" t="s">
        <v>29553</v>
      </c>
    </row>
    <row r="27433" spans="6:8">
      <c r="F27433" t="s">
        <v>13376</v>
      </c>
      <c r="G27433" t="s">
        <v>17503</v>
      </c>
      <c r="H27433" t="s">
        <v>29551</v>
      </c>
    </row>
    <row r="27434" spans="6:8">
      <c r="H27434" t="s">
        <v>29557</v>
      </c>
    </row>
    <row r="27435" spans="6:8">
      <c r="H27435" t="s">
        <v>29553</v>
      </c>
    </row>
    <row r="27436" spans="6:8">
      <c r="F27436" t="s">
        <v>13377</v>
      </c>
      <c r="G27436" t="s">
        <v>17504</v>
      </c>
      <c r="H27436" t="s">
        <v>29551</v>
      </c>
    </row>
    <row r="27437" spans="6:8">
      <c r="H27437" t="s">
        <v>29558</v>
      </c>
    </row>
    <row r="27438" spans="6:8">
      <c r="H27438" t="s">
        <v>29553</v>
      </c>
    </row>
    <row r="27439" spans="6:8">
      <c r="F27439" t="s">
        <v>13378</v>
      </c>
      <c r="G27439" t="s">
        <v>17505</v>
      </c>
      <c r="H27439" t="s">
        <v>29551</v>
      </c>
    </row>
    <row r="27440" spans="6:8">
      <c r="H27440" t="s">
        <v>29559</v>
      </c>
    </row>
    <row r="27441" spans="1:8">
      <c r="H27441" t="s">
        <v>29553</v>
      </c>
    </row>
    <row r="27442" spans="1:8">
      <c r="F27442" t="s">
        <v>13379</v>
      </c>
      <c r="G27442" t="s">
        <v>17506</v>
      </c>
      <c r="H27442" t="s">
        <v>29551</v>
      </c>
    </row>
    <row r="27443" spans="1:8">
      <c r="H27443" t="s">
        <v>29560</v>
      </c>
    </row>
    <row r="27444" spans="1:8">
      <c r="H27444" t="s">
        <v>29553</v>
      </c>
    </row>
    <row r="27445" spans="1:8">
      <c r="F27445" t="s">
        <v>13380</v>
      </c>
      <c r="G27445" t="s">
        <v>17507</v>
      </c>
      <c r="H27445" t="s">
        <v>29551</v>
      </c>
    </row>
    <row r="27446" spans="1:8">
      <c r="H27446" t="s">
        <v>29561</v>
      </c>
    </row>
    <row r="27447" spans="1:8">
      <c r="H27447" t="s">
        <v>29553</v>
      </c>
    </row>
    <row r="27448" spans="1:8">
      <c r="F27448" t="s">
        <v>13381</v>
      </c>
      <c r="G27448" t="s">
        <v>17508</v>
      </c>
      <c r="H27448" t="s">
        <v>29551</v>
      </c>
    </row>
    <row r="27449" spans="1:8">
      <c r="H27449" t="s">
        <v>29562</v>
      </c>
    </row>
    <row r="27450" spans="1:8">
      <c r="H27450" t="s">
        <v>29553</v>
      </c>
    </row>
    <row r="27451" spans="1:8">
      <c r="F27451" t="s">
        <v>13382</v>
      </c>
      <c r="G27451" t="s">
        <v>17509</v>
      </c>
      <c r="H27451" t="s">
        <v>29551</v>
      </c>
    </row>
    <row r="27452" spans="1:8">
      <c r="H27452" t="s">
        <v>29563</v>
      </c>
    </row>
    <row r="27453" spans="1:8">
      <c r="H27453" t="s">
        <v>29553</v>
      </c>
    </row>
    <row r="27454" spans="1:8">
      <c r="A27454" t="s">
        <v>1721</v>
      </c>
      <c r="B27454">
        <f>HYPERLINK("https://android.googlesource.com/platform/cts/+/165b5f2c56f4f0bc38842751e9932912c155bd05", "165b5f2c56f4f0bc38842751e9932912c155bd05")</f>
        <v>0</v>
      </c>
      <c r="C27454">
        <f>HYPERLINK("https://android.googlesource.com/platform/cts/+/5b5b371171f8f5987a246c9e3b95714c46637533", "5b5b371171f8f5987a246c9e3b95714c46637533")</f>
        <v>0</v>
      </c>
      <c r="D27454" t="s">
        <v>5260</v>
      </c>
      <c r="E27454" t="s">
        <v>7475</v>
      </c>
      <c r="F27454" t="s">
        <v>10687</v>
      </c>
      <c r="G27454" t="s">
        <v>15087</v>
      </c>
      <c r="H27454" t="s">
        <v>29564</v>
      </c>
    </row>
    <row r="27455" spans="1:8">
      <c r="H27455" t="s">
        <v>29565</v>
      </c>
    </row>
    <row r="27456" spans="1:8">
      <c r="H27456" t="s">
        <v>29566</v>
      </c>
    </row>
    <row r="27457" spans="1:8">
      <c r="H27457" t="s">
        <v>29567</v>
      </c>
    </row>
    <row r="27458" spans="1:8">
      <c r="A27458" t="s">
        <v>1722</v>
      </c>
      <c r="B27458">
        <f>HYPERLINK("https://android.googlesource.com/platform/cts/+/1ced57ac92c0c93dae407d3e26702f2df4b41a24", "1ced57ac92c0c93dae407d3e26702f2df4b41a24")</f>
        <v>0</v>
      </c>
      <c r="C27458">
        <f>HYPERLINK("https://android.googlesource.com/platform/cts/+/2c133721cfc4d1e0327d9aa7865473771ecf83c3", "2c133721cfc4d1e0327d9aa7865473771ecf83c3")</f>
        <v>0</v>
      </c>
      <c r="D27458" t="s">
        <v>5134</v>
      </c>
      <c r="E27458" t="s">
        <v>7476</v>
      </c>
      <c r="F27458" t="s">
        <v>13230</v>
      </c>
      <c r="G27458" t="s">
        <v>17371</v>
      </c>
      <c r="H27458" t="s">
        <v>29568</v>
      </c>
    </row>
    <row r="27459" spans="1:8">
      <c r="H27459" t="s">
        <v>29569</v>
      </c>
    </row>
    <row r="27460" spans="1:8">
      <c r="F27460" t="s">
        <v>13371</v>
      </c>
      <c r="G27460" t="s">
        <v>17498</v>
      </c>
      <c r="H27460" t="s">
        <v>29570</v>
      </c>
    </row>
    <row r="27461" spans="1:8">
      <c r="A27461" t="s">
        <v>1723</v>
      </c>
      <c r="B27461">
        <f>HYPERLINK("https://android.googlesource.com/platform/cts/+/0867188c15aa31b178e7d26ae683674e49b27932", "0867188c15aa31b178e7d26ae683674e49b27932")</f>
        <v>0</v>
      </c>
      <c r="C27461">
        <f>HYPERLINK("https://android.googlesource.com/platform/cts/+/84789cfeff9ecabca9a3f5746eadb0d342e58eae", "84789cfeff9ecabca9a3f5746eadb0d342e58eae")</f>
        <v>0</v>
      </c>
      <c r="D27461" t="s">
        <v>5134</v>
      </c>
      <c r="E27461" t="s">
        <v>7477</v>
      </c>
      <c r="F27461" t="s">
        <v>13371</v>
      </c>
      <c r="G27461" t="s">
        <v>17498</v>
      </c>
      <c r="H27461" t="s">
        <v>29571</v>
      </c>
    </row>
    <row r="27462" spans="1:8">
      <c r="A27462" t="s">
        <v>1724</v>
      </c>
      <c r="B27462">
        <f>HYPERLINK("https://android.googlesource.com/platform/cts/+/d2a834d03c18fd2acd8c61c271cb1b40e7b3effc", "d2a834d03c18fd2acd8c61c271cb1b40e7b3effc")</f>
        <v>0</v>
      </c>
      <c r="C27462">
        <f>HYPERLINK("https://android.googlesource.com/platform/cts/+/4eb439069abab0d2670eac9507a0fc739dab59f8", "4eb439069abab0d2670eac9507a0fc739dab59f8")</f>
        <v>0</v>
      </c>
      <c r="D27462" t="s">
        <v>5191</v>
      </c>
      <c r="E27462" t="s">
        <v>7478</v>
      </c>
      <c r="F27462" t="s">
        <v>13383</v>
      </c>
      <c r="G27462" t="s">
        <v>17510</v>
      </c>
      <c r="H27462" t="s">
        <v>18927</v>
      </c>
    </row>
    <row r="27463" spans="1:8">
      <c r="A27463" t="s">
        <v>1725</v>
      </c>
      <c r="B27463">
        <f>HYPERLINK("https://android.googlesource.com/platform/cts/+/930b1d3afaa9cbaa5f206459b182c7b32ef471cd", "930b1d3afaa9cbaa5f206459b182c7b32ef471cd")</f>
        <v>0</v>
      </c>
      <c r="C27463">
        <f>HYPERLINK("https://android.googlesource.com/platform/cts/+/404f16249b9131913fedf8b65ecb093dc53a72a8", "404f16249b9131913fedf8b65ecb093dc53a72a8")</f>
        <v>0</v>
      </c>
      <c r="D27463" t="s">
        <v>5086</v>
      </c>
      <c r="E27463" t="s">
        <v>7479</v>
      </c>
      <c r="F27463" t="s">
        <v>12629</v>
      </c>
      <c r="G27463" t="s">
        <v>16838</v>
      </c>
      <c r="H27463" t="s">
        <v>26883</v>
      </c>
    </row>
    <row r="27464" spans="1:8">
      <c r="F27464" t="s">
        <v>12746</v>
      </c>
      <c r="G27464" t="s">
        <v>16938</v>
      </c>
      <c r="H27464" t="s">
        <v>29572</v>
      </c>
    </row>
    <row r="27465" spans="1:8">
      <c r="A27465" t="s">
        <v>1726</v>
      </c>
      <c r="B27465">
        <f>HYPERLINK("https://android.googlesource.com/platform/cts/+/26f75808c3da406c6bf445db5f7a4961ef6b7d93", "26f75808c3da406c6bf445db5f7a4961ef6b7d93")</f>
        <v>0</v>
      </c>
      <c r="C27465">
        <f>HYPERLINK("https://android.googlesource.com/platform/cts/+/f69a8d81b71e1ea3a42779a9860276f60ae6675f", "f69a8d81b71e1ea3a42779a9860276f60ae6675f")</f>
        <v>0</v>
      </c>
      <c r="D27465" t="s">
        <v>5117</v>
      </c>
      <c r="E27465" t="s">
        <v>7480</v>
      </c>
      <c r="F27465" t="s">
        <v>13384</v>
      </c>
      <c r="G27465" t="s">
        <v>17511</v>
      </c>
      <c r="H27465" t="s">
        <v>27705</v>
      </c>
    </row>
    <row r="27466" spans="1:8">
      <c r="A27466" t="s">
        <v>1727</v>
      </c>
      <c r="B27466">
        <f>HYPERLINK("https://android.googlesource.com/platform/cts/+/23ee5b98d1bca99c0add6e1f3694a877a3ab5e6c", "23ee5b98d1bca99c0add6e1f3694a877a3ab5e6c")</f>
        <v>0</v>
      </c>
      <c r="C27466">
        <f>HYPERLINK("https://android.googlesource.com/platform/cts/+/c855e86d46981c77475277ed05e6c54c9dac45c3", "c855e86d46981c77475277ed05e6c54c9dac45c3")</f>
        <v>0</v>
      </c>
      <c r="D27466" t="s">
        <v>5147</v>
      </c>
      <c r="E27466" t="s">
        <v>7481</v>
      </c>
      <c r="F27466" t="s">
        <v>13385</v>
      </c>
      <c r="G27466" t="s">
        <v>17512</v>
      </c>
      <c r="H27466" t="s">
        <v>29573</v>
      </c>
    </row>
    <row r="27467" spans="1:8">
      <c r="H27467" t="s">
        <v>29574</v>
      </c>
    </row>
    <row r="27468" spans="1:8">
      <c r="A27468" t="s">
        <v>1730</v>
      </c>
      <c r="B27468">
        <f>HYPERLINK("https://android.googlesource.com/platform/cts/+/2e7b3d4dc635f216c7b07f3b4074ef1183456ef5", "2e7b3d4dc635f216c7b07f3b4074ef1183456ef5")</f>
        <v>0</v>
      </c>
      <c r="C27468">
        <f>HYPERLINK("https://android.googlesource.com/platform/cts/+/883677aef9a7dc6b396bc5c3a2801d0be80e475a", "883677aef9a7dc6b396bc5c3a2801d0be80e475a")</f>
        <v>0</v>
      </c>
      <c r="D27468" t="s">
        <v>5108</v>
      </c>
      <c r="E27468" t="s">
        <v>7484</v>
      </c>
      <c r="F27468" t="s">
        <v>13386</v>
      </c>
      <c r="G27468" t="s">
        <v>17513</v>
      </c>
      <c r="H27468" t="s">
        <v>29575</v>
      </c>
    </row>
    <row r="27469" spans="1:8">
      <c r="H27469" t="s">
        <v>29576</v>
      </c>
    </row>
    <row r="27470" spans="1:8">
      <c r="H27470" t="s">
        <v>29575</v>
      </c>
    </row>
    <row r="27471" spans="1:8">
      <c r="A27471" t="s">
        <v>1731</v>
      </c>
      <c r="B27471">
        <f>HYPERLINK("https://android.googlesource.com/platform/cts/+/703f943f14bc65df9256afca1726a226f87391ca", "703f943f14bc65df9256afca1726a226f87391ca")</f>
        <v>0</v>
      </c>
      <c r="C27471">
        <f>HYPERLINK("https://android.googlesource.com/platform/cts/+/264969f5c989db410f5a218731c1152692dfd786", "264969f5c989db410f5a218731c1152692dfd786")</f>
        <v>0</v>
      </c>
      <c r="D27471" t="s">
        <v>5108</v>
      </c>
      <c r="E27471" t="s">
        <v>7485</v>
      </c>
      <c r="F27471" t="s">
        <v>13386</v>
      </c>
      <c r="G27471" t="s">
        <v>17513</v>
      </c>
      <c r="H27471" t="s">
        <v>29577</v>
      </c>
    </row>
    <row r="27472" spans="1:8">
      <c r="A27472" t="s">
        <v>1732</v>
      </c>
      <c r="B27472">
        <f>HYPERLINK("https://android.googlesource.com/platform/cts/+/25a4cf6f93fb04b47fef5c4990cd3f4b1d97b53b", "25a4cf6f93fb04b47fef5c4990cd3f4b1d97b53b")</f>
        <v>0</v>
      </c>
      <c r="C27472">
        <f>HYPERLINK("https://android.googlesource.com/platform/cts/+/15b59e6f936a5a5521767d3bc5468194f08773af", "15b59e6f936a5a5521767d3bc5468194f08773af")</f>
        <v>0</v>
      </c>
      <c r="D27472" t="s">
        <v>5261</v>
      </c>
      <c r="E27472" t="s">
        <v>7486</v>
      </c>
      <c r="F27472" t="s">
        <v>13387</v>
      </c>
      <c r="G27472" t="s">
        <v>17514</v>
      </c>
      <c r="H27472" t="s">
        <v>18829</v>
      </c>
    </row>
    <row r="27473" spans="1:8">
      <c r="A27473" t="s">
        <v>1733</v>
      </c>
      <c r="B27473">
        <f>HYPERLINK("https://android.googlesource.com/platform/cts/+/fadc96a6125877b9dd110f35ee1f7973aa5deb5e", "fadc96a6125877b9dd110f35ee1f7973aa5deb5e")</f>
        <v>0</v>
      </c>
      <c r="C27473">
        <f>HYPERLINK("https://android.googlesource.com/platform/cts/+/0f05863bde96b03b8052c40b2622395c73370bdd", "0f05863bde96b03b8052c40b2622395c73370bdd")</f>
        <v>0</v>
      </c>
      <c r="D27473" t="s">
        <v>5219</v>
      </c>
      <c r="E27473" t="s">
        <v>7487</v>
      </c>
      <c r="F27473" t="s">
        <v>13388</v>
      </c>
      <c r="G27473" t="s">
        <v>17515</v>
      </c>
      <c r="H27473" t="s">
        <v>20244</v>
      </c>
    </row>
    <row r="27474" spans="1:8">
      <c r="H27474" t="s">
        <v>18829</v>
      </c>
    </row>
    <row r="27475" spans="1:8">
      <c r="H27475" t="s">
        <v>18863</v>
      </c>
    </row>
    <row r="27476" spans="1:8">
      <c r="H27476" t="s">
        <v>29578</v>
      </c>
    </row>
    <row r="27477" spans="1:8">
      <c r="H27477" t="s">
        <v>22590</v>
      </c>
    </row>
    <row r="27478" spans="1:8">
      <c r="F27478" t="s">
        <v>13389</v>
      </c>
      <c r="G27478" t="s">
        <v>17516</v>
      </c>
      <c r="H27478" t="s">
        <v>18829</v>
      </c>
    </row>
    <row r="27479" spans="1:8">
      <c r="H27479" t="s">
        <v>29579</v>
      </c>
    </row>
    <row r="27480" spans="1:8">
      <c r="H27480" t="s">
        <v>29580</v>
      </c>
    </row>
    <row r="27481" spans="1:8">
      <c r="H27481" t="s">
        <v>29581</v>
      </c>
    </row>
    <row r="27482" spans="1:8">
      <c r="H27482" t="s">
        <v>29582</v>
      </c>
    </row>
    <row r="27483" spans="1:8">
      <c r="A27483" t="s">
        <v>1734</v>
      </c>
      <c r="B27483">
        <f>HYPERLINK("https://android.googlesource.com/platform/cts/+/a7ca63bf69a52d472fc72d87fb3b9ba5638c9ca6", "a7ca63bf69a52d472fc72d87fb3b9ba5638c9ca6")</f>
        <v>0</v>
      </c>
      <c r="C27483">
        <f>HYPERLINK("https://android.googlesource.com/platform/cts/+/334c598516cf4a8a2203ff27a06539c3528a91ff", "334c598516cf4a8a2203ff27a06539c3528a91ff")</f>
        <v>0</v>
      </c>
      <c r="D27483" t="s">
        <v>5108</v>
      </c>
      <c r="E27483" t="s">
        <v>7488</v>
      </c>
      <c r="F27483" t="s">
        <v>13390</v>
      </c>
      <c r="G27483" t="s">
        <v>17513</v>
      </c>
      <c r="H27483" t="s">
        <v>29583</v>
      </c>
    </row>
    <row r="27484" spans="1:8">
      <c r="A27484" t="s">
        <v>1735</v>
      </c>
      <c r="B27484">
        <f>HYPERLINK("https://android.googlesource.com/platform/cts/+/4ed82b2f6d1ba89d9cd9cfb6f030ed18b0c046db", "4ed82b2f6d1ba89d9cd9cfb6f030ed18b0c046db")</f>
        <v>0</v>
      </c>
      <c r="C27484">
        <f>HYPERLINK("https://android.googlesource.com/platform/cts/+/409c6ffbfad64ec15869fedbc496ee6344a53050", "409c6ffbfad64ec15869fedbc496ee6344a53050")</f>
        <v>0</v>
      </c>
      <c r="D27484" t="s">
        <v>5240</v>
      </c>
      <c r="E27484" t="s">
        <v>7489</v>
      </c>
      <c r="F27484" t="s">
        <v>12710</v>
      </c>
      <c r="G27484" t="s">
        <v>16911</v>
      </c>
      <c r="H27484" t="s">
        <v>29584</v>
      </c>
    </row>
    <row r="27485" spans="1:8">
      <c r="A27485" t="s">
        <v>1736</v>
      </c>
      <c r="B27485">
        <f>HYPERLINK("https://android.googlesource.com/platform/cts/+/aed7867d94870503abbc128a0bdf6879534f09f7", "aed7867d94870503abbc128a0bdf6879534f09f7")</f>
        <v>0</v>
      </c>
      <c r="C27485">
        <f>HYPERLINK("https://android.googlesource.com/platform/cts/+/65fe1dab9d2fb50a6cb4c47b1efdf4ab876a7608", "65fe1dab9d2fb50a6cb4c47b1efdf4ab876a7608")</f>
        <v>0</v>
      </c>
      <c r="D27485" t="s">
        <v>5240</v>
      </c>
      <c r="E27485" t="s">
        <v>7490</v>
      </c>
      <c r="F27485" t="s">
        <v>12710</v>
      </c>
      <c r="G27485" t="s">
        <v>16911</v>
      </c>
      <c r="H27485" t="s">
        <v>29584</v>
      </c>
    </row>
    <row r="27486" spans="1:8">
      <c r="A27486" t="s">
        <v>1740</v>
      </c>
      <c r="B27486">
        <f>HYPERLINK("https://android.googlesource.com/platform/cts/+/f9cadd3e326a42b118e0e80dabebb26f6140e66d", "f9cadd3e326a42b118e0e80dabebb26f6140e66d")</f>
        <v>0</v>
      </c>
      <c r="C27486">
        <f>HYPERLINK("https://android.googlesource.com/platform/cts/+/b959c03ce60b30f73aba2ea64137760d990497b5", "b959c03ce60b30f73aba2ea64137760d990497b5")</f>
        <v>0</v>
      </c>
      <c r="D27486" t="s">
        <v>5263</v>
      </c>
      <c r="E27486" t="s">
        <v>7492</v>
      </c>
      <c r="F27486" t="s">
        <v>13391</v>
      </c>
      <c r="G27486" t="s">
        <v>17517</v>
      </c>
      <c r="H27486" t="s">
        <v>29585</v>
      </c>
    </row>
    <row r="27487" spans="1:8">
      <c r="A27487" t="s">
        <v>1742</v>
      </c>
      <c r="B27487">
        <f>HYPERLINK("https://android.googlesource.com/platform/cts/+/fa933bc0434e153347cb870f3f4b32cb311919f7", "fa933bc0434e153347cb870f3f4b32cb311919f7")</f>
        <v>0</v>
      </c>
      <c r="C27487">
        <f>HYPERLINK("https://android.googlesource.com/platform/cts/+/99148f08e24473d8b08fe25c5ceafed6862c71bd", "99148f08e24473d8b08fe25c5ceafed6862c71bd")</f>
        <v>0</v>
      </c>
      <c r="D27487" t="s">
        <v>5132</v>
      </c>
      <c r="E27487" t="s">
        <v>7494</v>
      </c>
      <c r="F27487" t="s">
        <v>12959</v>
      </c>
      <c r="G27487" t="s">
        <v>17123</v>
      </c>
      <c r="H27487" t="s">
        <v>29586</v>
      </c>
    </row>
    <row r="27488" spans="1:8">
      <c r="A27488" t="s">
        <v>1743</v>
      </c>
      <c r="B27488">
        <f>HYPERLINK("https://android.googlesource.com/platform/cts/+/e2527dbe0b9f951403ad1fe6cc2441278492da70", "e2527dbe0b9f951403ad1fe6cc2441278492da70")</f>
        <v>0</v>
      </c>
      <c r="C27488">
        <f>HYPERLINK("https://android.googlesource.com/platform/cts/+/372e2d7132e2ac17e0b77333add74bbbb2d8ddfa", "372e2d7132e2ac17e0b77333add74bbbb2d8ddfa")</f>
        <v>0</v>
      </c>
      <c r="D27488" t="s">
        <v>5179</v>
      </c>
      <c r="E27488" t="s">
        <v>7495</v>
      </c>
      <c r="F27488" t="s">
        <v>13392</v>
      </c>
      <c r="G27488" t="s">
        <v>17518</v>
      </c>
      <c r="H27488" t="s">
        <v>29587</v>
      </c>
    </row>
    <row r="27489" spans="1:8">
      <c r="A27489" t="s">
        <v>1744</v>
      </c>
      <c r="B27489">
        <f>HYPERLINK("https://android.googlesource.com/platform/cts/+/4ff2e36ec4d6cffd43c91c65d9c31195d7d0dad5", "4ff2e36ec4d6cffd43c91c65d9c31195d7d0dad5")</f>
        <v>0</v>
      </c>
      <c r="C27489">
        <f>HYPERLINK("https://android.googlesource.com/platform/cts/+/2089c1bef4f34f3ca28b38c3c27d88e3f40f7030", "2089c1bef4f34f3ca28b38c3c27d88e3f40f7030")</f>
        <v>0</v>
      </c>
      <c r="D27489" t="s">
        <v>5264</v>
      </c>
      <c r="E27489" t="s">
        <v>7496</v>
      </c>
      <c r="F27489" t="s">
        <v>13393</v>
      </c>
      <c r="G27489" t="s">
        <v>17519</v>
      </c>
      <c r="H27489" t="s">
        <v>29588</v>
      </c>
    </row>
    <row r="27490" spans="1:8">
      <c r="F27490" t="s">
        <v>13352</v>
      </c>
      <c r="G27490" t="s">
        <v>17479</v>
      </c>
      <c r="H27490" t="s">
        <v>29589</v>
      </c>
    </row>
    <row r="27491" spans="1:8">
      <c r="A27491" t="s">
        <v>1745</v>
      </c>
      <c r="B27491">
        <f>HYPERLINK("https://android.googlesource.com/platform/cts/+/9b8debe0193b564523d6423231408efc4e7900d6", "9b8debe0193b564523d6423231408efc4e7900d6")</f>
        <v>0</v>
      </c>
      <c r="C27491">
        <f>HYPERLINK("https://android.googlesource.com/platform/cts/+/4cb1acd11e755eb5878e48d7e9a6054c9e86599c", "4cb1acd11e755eb5878e48d7e9a6054c9e86599c")</f>
        <v>0</v>
      </c>
      <c r="D27491" t="s">
        <v>5265</v>
      </c>
      <c r="E27491" t="s">
        <v>7497</v>
      </c>
      <c r="F27491" t="s">
        <v>13394</v>
      </c>
      <c r="G27491" t="s">
        <v>17520</v>
      </c>
      <c r="H27491" t="s">
        <v>29590</v>
      </c>
    </row>
    <row r="27492" spans="1:8">
      <c r="H27492" t="s">
        <v>29590</v>
      </c>
    </row>
    <row r="27493" spans="1:8">
      <c r="H27493" t="s">
        <v>29590</v>
      </c>
    </row>
    <row r="27494" spans="1:8">
      <c r="H27494" t="s">
        <v>29590</v>
      </c>
    </row>
    <row r="27495" spans="1:8">
      <c r="H27495" t="s">
        <v>29591</v>
      </c>
    </row>
    <row r="27496" spans="1:8">
      <c r="H27496" t="s">
        <v>29592</v>
      </c>
    </row>
    <row r="27497" spans="1:8">
      <c r="H27497" t="s">
        <v>29593</v>
      </c>
    </row>
    <row r="27498" spans="1:8">
      <c r="H27498" t="s">
        <v>29594</v>
      </c>
    </row>
    <row r="27499" spans="1:8">
      <c r="A27499" t="s">
        <v>1746</v>
      </c>
      <c r="B27499">
        <f>HYPERLINK("https://android.googlesource.com/platform/cts/+/f86294b7e9a7beadc5e8892ab07b802e450133d9", "f86294b7e9a7beadc5e8892ab07b802e450133d9")</f>
        <v>0</v>
      </c>
      <c r="C27499">
        <f>HYPERLINK("https://android.googlesource.com/platform/cts/+/1a15f576fd85ced590cd0c95c81e68608742f3b0", "1a15f576fd85ced590cd0c95c81e68608742f3b0")</f>
        <v>0</v>
      </c>
      <c r="D27499" t="s">
        <v>5266</v>
      </c>
      <c r="E27499" t="s">
        <v>7498</v>
      </c>
      <c r="F27499" t="s">
        <v>12732</v>
      </c>
      <c r="G27499" t="s">
        <v>16926</v>
      </c>
      <c r="H27499" t="s">
        <v>29595</v>
      </c>
    </row>
    <row r="27500" spans="1:8">
      <c r="H27500" t="s">
        <v>29596</v>
      </c>
    </row>
    <row r="27501" spans="1:8">
      <c r="A27501" t="s">
        <v>1747</v>
      </c>
      <c r="B27501">
        <f>HYPERLINK("https://android.googlesource.com/platform/cts/+/d2b1f52389c1851861284189244641967db76a19", "d2b1f52389c1851861284189244641967db76a19")</f>
        <v>0</v>
      </c>
      <c r="C27501">
        <f>HYPERLINK("https://android.googlesource.com/platform/cts/+/f9e65045f2590a5409618dce3c0a38ed17c8a859", "f9e65045f2590a5409618dce3c0a38ed17c8a859")</f>
        <v>0</v>
      </c>
      <c r="D27501" t="s">
        <v>5267</v>
      </c>
      <c r="E27501" t="s">
        <v>7499</v>
      </c>
      <c r="F27501" t="s">
        <v>13395</v>
      </c>
      <c r="G27501" t="s">
        <v>17521</v>
      </c>
      <c r="H27501" t="s">
        <v>29597</v>
      </c>
    </row>
    <row r="27502" spans="1:8">
      <c r="H27502" t="s">
        <v>29598</v>
      </c>
    </row>
    <row r="27503" spans="1:8">
      <c r="A27503" t="s">
        <v>1748</v>
      </c>
      <c r="B27503">
        <f>HYPERLINK("https://android.googlesource.com/platform/cts/+/bcbca6ec2ca9d3b4e983851d72502012d2af6de7", "bcbca6ec2ca9d3b4e983851d72502012d2af6de7")</f>
        <v>0</v>
      </c>
      <c r="C27503">
        <f>HYPERLINK("https://android.googlesource.com/platform/cts/+/0c612c312efa04e1137ed62580ddaed739c153de", "0c612c312efa04e1137ed62580ddaed739c153de")</f>
        <v>0</v>
      </c>
      <c r="D27503" t="s">
        <v>4952</v>
      </c>
      <c r="E27503" t="s">
        <v>7500</v>
      </c>
      <c r="F27503" t="s">
        <v>13396</v>
      </c>
      <c r="G27503" t="s">
        <v>17522</v>
      </c>
      <c r="H27503" t="s">
        <v>18863</v>
      </c>
    </row>
    <row r="27504" spans="1:8">
      <c r="H27504" t="s">
        <v>29599</v>
      </c>
    </row>
    <row r="27505" spans="8:8">
      <c r="H27505" t="s">
        <v>29600</v>
      </c>
    </row>
    <row r="27506" spans="8:8">
      <c r="H27506" t="s">
        <v>29601</v>
      </c>
    </row>
    <row r="27507" spans="8:8">
      <c r="H27507" t="s">
        <v>29602</v>
      </c>
    </row>
    <row r="27508" spans="8:8">
      <c r="H27508" t="s">
        <v>29603</v>
      </c>
    </row>
    <row r="27509" spans="8:8">
      <c r="H27509" t="s">
        <v>29604</v>
      </c>
    </row>
    <row r="27510" spans="8:8">
      <c r="H27510" t="s">
        <v>29605</v>
      </c>
    </row>
    <row r="27511" spans="8:8">
      <c r="H27511" t="s">
        <v>29606</v>
      </c>
    </row>
    <row r="27512" spans="8:8">
      <c r="H27512" t="s">
        <v>29607</v>
      </c>
    </row>
    <row r="27513" spans="8:8">
      <c r="H27513" t="s">
        <v>29608</v>
      </c>
    </row>
    <row r="27514" spans="8:8">
      <c r="H27514" t="s">
        <v>29609</v>
      </c>
    </row>
    <row r="27515" spans="8:8">
      <c r="H27515" t="s">
        <v>29610</v>
      </c>
    </row>
    <row r="27516" spans="8:8">
      <c r="H27516" t="s">
        <v>29611</v>
      </c>
    </row>
    <row r="27517" spans="8:8">
      <c r="H27517" t="s">
        <v>29612</v>
      </c>
    </row>
    <row r="27518" spans="8:8">
      <c r="H27518" t="s">
        <v>29613</v>
      </c>
    </row>
    <row r="27519" spans="8:8">
      <c r="H27519" t="s">
        <v>29614</v>
      </c>
    </row>
    <row r="27520" spans="8:8">
      <c r="H27520" t="s">
        <v>29615</v>
      </c>
    </row>
    <row r="27521" spans="8:8">
      <c r="H27521" t="s">
        <v>29616</v>
      </c>
    </row>
    <row r="27522" spans="8:8">
      <c r="H27522" t="s">
        <v>29617</v>
      </c>
    </row>
    <row r="27523" spans="8:8">
      <c r="H27523" t="s">
        <v>29618</v>
      </c>
    </row>
    <row r="27524" spans="8:8">
      <c r="H27524" t="s">
        <v>29619</v>
      </c>
    </row>
    <row r="27525" spans="8:8">
      <c r="H27525" t="s">
        <v>29620</v>
      </c>
    </row>
    <row r="27526" spans="8:8">
      <c r="H27526" t="s">
        <v>29621</v>
      </c>
    </row>
    <row r="27527" spans="8:8">
      <c r="H27527" t="s">
        <v>29622</v>
      </c>
    </row>
    <row r="27528" spans="8:8">
      <c r="H27528" t="s">
        <v>29623</v>
      </c>
    </row>
    <row r="27529" spans="8:8">
      <c r="H27529" t="s">
        <v>29624</v>
      </c>
    </row>
    <row r="27530" spans="8:8">
      <c r="H27530" t="s">
        <v>29625</v>
      </c>
    </row>
    <row r="27531" spans="8:8">
      <c r="H27531" t="s">
        <v>29626</v>
      </c>
    </row>
    <row r="27532" spans="8:8">
      <c r="H27532" t="s">
        <v>29627</v>
      </c>
    </row>
    <row r="27533" spans="8:8">
      <c r="H27533" t="s">
        <v>29628</v>
      </c>
    </row>
    <row r="27534" spans="8:8">
      <c r="H27534" t="s">
        <v>29629</v>
      </c>
    </row>
    <row r="27535" spans="8:8">
      <c r="H27535" t="s">
        <v>29630</v>
      </c>
    </row>
    <row r="27536" spans="8:8">
      <c r="H27536" t="s">
        <v>29631</v>
      </c>
    </row>
    <row r="27537" spans="6:8">
      <c r="F27537" t="s">
        <v>13397</v>
      </c>
      <c r="G27537" t="s">
        <v>17523</v>
      </c>
      <c r="H27537" t="s">
        <v>18863</v>
      </c>
    </row>
    <row r="27538" spans="6:8">
      <c r="H27538" t="s">
        <v>29632</v>
      </c>
    </row>
    <row r="27539" spans="6:8">
      <c r="H27539" t="s">
        <v>29633</v>
      </c>
    </row>
    <row r="27540" spans="6:8">
      <c r="H27540" t="s">
        <v>29634</v>
      </c>
    </row>
    <row r="27541" spans="6:8">
      <c r="H27541" t="s">
        <v>29635</v>
      </c>
    </row>
    <row r="27542" spans="6:8">
      <c r="H27542" t="s">
        <v>29603</v>
      </c>
    </row>
    <row r="27543" spans="6:8">
      <c r="H27543" t="s">
        <v>29604</v>
      </c>
    </row>
    <row r="27544" spans="6:8">
      <c r="H27544" t="s">
        <v>29605</v>
      </c>
    </row>
    <row r="27545" spans="6:8">
      <c r="H27545" t="s">
        <v>29606</v>
      </c>
    </row>
    <row r="27546" spans="6:8">
      <c r="H27546" t="s">
        <v>29607</v>
      </c>
    </row>
    <row r="27547" spans="6:8">
      <c r="H27547" t="s">
        <v>29608</v>
      </c>
    </row>
    <row r="27548" spans="6:8">
      <c r="H27548" t="s">
        <v>29609</v>
      </c>
    </row>
    <row r="27549" spans="6:8">
      <c r="H27549" t="s">
        <v>29610</v>
      </c>
    </row>
    <row r="27550" spans="6:8">
      <c r="H27550" t="s">
        <v>29611</v>
      </c>
    </row>
    <row r="27551" spans="6:8">
      <c r="H27551" t="s">
        <v>29612</v>
      </c>
    </row>
    <row r="27552" spans="6:8">
      <c r="H27552" t="s">
        <v>29613</v>
      </c>
    </row>
    <row r="27553" spans="8:8">
      <c r="H27553" t="s">
        <v>29614</v>
      </c>
    </row>
    <row r="27554" spans="8:8">
      <c r="H27554" t="s">
        <v>29615</v>
      </c>
    </row>
    <row r="27555" spans="8:8">
      <c r="H27555" t="s">
        <v>29616</v>
      </c>
    </row>
    <row r="27556" spans="8:8">
      <c r="H27556" t="s">
        <v>29617</v>
      </c>
    </row>
    <row r="27557" spans="8:8">
      <c r="H27557" t="s">
        <v>29618</v>
      </c>
    </row>
    <row r="27558" spans="8:8">
      <c r="H27558" t="s">
        <v>29619</v>
      </c>
    </row>
    <row r="27559" spans="8:8">
      <c r="H27559" t="s">
        <v>29620</v>
      </c>
    </row>
    <row r="27560" spans="8:8">
      <c r="H27560" t="s">
        <v>29621</v>
      </c>
    </row>
    <row r="27561" spans="8:8">
      <c r="H27561" t="s">
        <v>29622</v>
      </c>
    </row>
    <row r="27562" spans="8:8">
      <c r="H27562" t="s">
        <v>29623</v>
      </c>
    </row>
    <row r="27563" spans="8:8">
      <c r="H27563" t="s">
        <v>29624</v>
      </c>
    </row>
    <row r="27564" spans="8:8">
      <c r="H27564" t="s">
        <v>29625</v>
      </c>
    </row>
    <row r="27565" spans="8:8">
      <c r="H27565" t="s">
        <v>29636</v>
      </c>
    </row>
    <row r="27566" spans="8:8">
      <c r="H27566" t="s">
        <v>29637</v>
      </c>
    </row>
    <row r="27567" spans="8:8">
      <c r="H27567" t="s">
        <v>29638</v>
      </c>
    </row>
    <row r="27568" spans="8:8">
      <c r="H27568" t="s">
        <v>29639</v>
      </c>
    </row>
    <row r="27569" spans="8:8">
      <c r="H27569" t="s">
        <v>29640</v>
      </c>
    </row>
    <row r="27570" spans="8:8">
      <c r="H27570" t="s">
        <v>29641</v>
      </c>
    </row>
    <row r="27571" spans="8:8">
      <c r="H27571" t="s">
        <v>29642</v>
      </c>
    </row>
    <row r="27572" spans="8:8">
      <c r="H27572" t="s">
        <v>19740</v>
      </c>
    </row>
    <row r="27573" spans="8:8">
      <c r="H27573" t="s">
        <v>29643</v>
      </c>
    </row>
    <row r="27574" spans="8:8">
      <c r="H27574" t="s">
        <v>29644</v>
      </c>
    </row>
    <row r="27575" spans="8:8">
      <c r="H27575" t="s">
        <v>29645</v>
      </c>
    </row>
    <row r="27576" spans="8:8">
      <c r="H27576" t="s">
        <v>29645</v>
      </c>
    </row>
    <row r="27577" spans="8:8">
      <c r="H27577" t="s">
        <v>29646</v>
      </c>
    </row>
    <row r="27578" spans="8:8">
      <c r="H27578" t="s">
        <v>29647</v>
      </c>
    </row>
    <row r="27579" spans="8:8">
      <c r="H27579" t="s">
        <v>29648</v>
      </c>
    </row>
    <row r="27580" spans="8:8">
      <c r="H27580" t="s">
        <v>29649</v>
      </c>
    </row>
    <row r="27581" spans="8:8">
      <c r="H27581" t="s">
        <v>29650</v>
      </c>
    </row>
    <row r="27582" spans="8:8">
      <c r="H27582" t="s">
        <v>29651</v>
      </c>
    </row>
    <row r="27583" spans="8:8">
      <c r="H27583" t="s">
        <v>29652</v>
      </c>
    </row>
    <row r="27584" spans="8:8">
      <c r="H27584" t="s">
        <v>29653</v>
      </c>
    </row>
    <row r="27585" spans="1:8">
      <c r="H27585" t="s">
        <v>29215</v>
      </c>
    </row>
    <row r="27586" spans="1:8">
      <c r="H27586" t="s">
        <v>29215</v>
      </c>
    </row>
    <row r="27587" spans="1:8">
      <c r="H27587" t="s">
        <v>29215</v>
      </c>
    </row>
    <row r="27588" spans="1:8">
      <c r="H27588" t="s">
        <v>29654</v>
      </c>
    </row>
    <row r="27589" spans="1:8">
      <c r="H27589" t="s">
        <v>22205</v>
      </c>
    </row>
    <row r="27590" spans="1:8">
      <c r="H27590" t="s">
        <v>22206</v>
      </c>
    </row>
    <row r="27591" spans="1:8">
      <c r="H27591" t="s">
        <v>22207</v>
      </c>
    </row>
    <row r="27592" spans="1:8">
      <c r="H27592" t="s">
        <v>29655</v>
      </c>
    </row>
    <row r="27593" spans="1:8">
      <c r="H27593" t="s">
        <v>25608</v>
      </c>
    </row>
    <row r="27594" spans="1:8">
      <c r="H27594" t="s">
        <v>25609</v>
      </c>
    </row>
    <row r="27595" spans="1:8">
      <c r="H27595" t="s">
        <v>25610</v>
      </c>
    </row>
    <row r="27596" spans="1:8">
      <c r="H27596" t="s">
        <v>25611</v>
      </c>
    </row>
    <row r="27597" spans="1:8">
      <c r="H27597" t="s">
        <v>25613</v>
      </c>
    </row>
    <row r="27598" spans="1:8">
      <c r="H27598" t="s">
        <v>25612</v>
      </c>
    </row>
    <row r="27599" spans="1:8">
      <c r="A27599" t="s">
        <v>1749</v>
      </c>
      <c r="B27599">
        <f>HYPERLINK("https://android.googlesource.com/platform/cts/+/06347b16cfda7ee0ca87b4dc68cf478c5b6559df", "06347b16cfda7ee0ca87b4dc68cf478c5b6559df")</f>
        <v>0</v>
      </c>
      <c r="C27599">
        <f>HYPERLINK("https://android.googlesource.com/platform/cts/+/1249be8a6157fb3140afd9879eecd80624541bc8", "1249be8a6157fb3140afd9879eecd80624541bc8")</f>
        <v>0</v>
      </c>
      <c r="D27599" t="s">
        <v>5268</v>
      </c>
      <c r="E27599" t="s">
        <v>7501</v>
      </c>
      <c r="F27599" t="s">
        <v>12710</v>
      </c>
      <c r="G27599" t="s">
        <v>16911</v>
      </c>
      <c r="H27599" t="s">
        <v>29656</v>
      </c>
    </row>
    <row r="27600" spans="1:8">
      <c r="A27600" t="s">
        <v>1750</v>
      </c>
      <c r="B27600">
        <f>HYPERLINK("https://android.googlesource.com/platform/cts/+/d9bf7cec6a7b8b8163af24e64358e2e29b10d087", "d9bf7cec6a7b8b8163af24e64358e2e29b10d087")</f>
        <v>0</v>
      </c>
      <c r="C27600">
        <f>HYPERLINK("https://android.googlesource.com/platform/cts/+/d6039c5c4f213e1740fc674522f522f3aadb6522", "d6039c5c4f213e1740fc674522f522f3aadb6522")</f>
        <v>0</v>
      </c>
      <c r="D27600" t="s">
        <v>5032</v>
      </c>
      <c r="E27600" t="s">
        <v>7502</v>
      </c>
      <c r="F27600" t="s">
        <v>13398</v>
      </c>
      <c r="G27600" t="s">
        <v>17524</v>
      </c>
      <c r="H27600" t="s">
        <v>18863</v>
      </c>
    </row>
    <row r="27601" spans="1:8">
      <c r="A27601" t="s">
        <v>1751</v>
      </c>
      <c r="B27601">
        <f>HYPERLINK("https://android.googlesource.com/platform/cts/+/edf28704619fd79df44aedd598eedb40bb4cad15", "edf28704619fd79df44aedd598eedb40bb4cad15")</f>
        <v>0</v>
      </c>
      <c r="C27601">
        <f>HYPERLINK("https://android.googlesource.com/platform/cts/+/008a737c965f3e8da68c853236436a919f23f4de", "008a737c965f3e8da68c853236436a919f23f4de")</f>
        <v>0</v>
      </c>
      <c r="D27601" t="s">
        <v>5111</v>
      </c>
      <c r="E27601" t="s">
        <v>7503</v>
      </c>
      <c r="F27601" t="s">
        <v>13399</v>
      </c>
      <c r="G27601" t="s">
        <v>17525</v>
      </c>
      <c r="H27601" t="s">
        <v>29551</v>
      </c>
    </row>
    <row r="27602" spans="1:8">
      <c r="H27602" t="s">
        <v>29657</v>
      </c>
    </row>
    <row r="27603" spans="1:8">
      <c r="F27603" t="s">
        <v>13400</v>
      </c>
      <c r="G27603" t="s">
        <v>17526</v>
      </c>
      <c r="H27603" t="s">
        <v>29551</v>
      </c>
    </row>
    <row r="27604" spans="1:8">
      <c r="H27604" t="s">
        <v>29658</v>
      </c>
    </row>
    <row r="27605" spans="1:8">
      <c r="A27605" t="s">
        <v>1752</v>
      </c>
      <c r="B27605">
        <f>HYPERLINK("https://android.googlesource.com/platform/cts/+/e894c10fb24b98df20b0b6ea9bbd60f7e6cb8016", "e894c10fb24b98df20b0b6ea9bbd60f7e6cb8016")</f>
        <v>0</v>
      </c>
      <c r="C27605">
        <f>HYPERLINK("https://android.googlesource.com/platform/cts/+/390c1dd19c61ec61939aebedea0e77cee4a1268c", "390c1dd19c61ec61939aebedea0e77cee4a1268c")</f>
        <v>0</v>
      </c>
      <c r="D27605" t="s">
        <v>5186</v>
      </c>
      <c r="E27605" t="s">
        <v>7504</v>
      </c>
      <c r="F27605" t="s">
        <v>12612</v>
      </c>
      <c r="G27605" t="s">
        <v>16823</v>
      </c>
      <c r="H27605" t="s">
        <v>20083</v>
      </c>
    </row>
    <row r="27606" spans="1:8">
      <c r="H27606" t="s">
        <v>29659</v>
      </c>
    </row>
    <row r="27607" spans="1:8">
      <c r="A27607" t="s">
        <v>1753</v>
      </c>
      <c r="B27607">
        <f>HYPERLINK("https://android.googlesource.com/platform/cts/+/400d169e3b1b3b17f100a7d5ba856d85d50d3782", "400d169e3b1b3b17f100a7d5ba856d85d50d3782")</f>
        <v>0</v>
      </c>
      <c r="C27607">
        <f>HYPERLINK("https://android.googlesource.com/platform/cts/+/13e1eb3e9f0abfb6d95e8c6b94a9070ab5e1cad5", "13e1eb3e9f0abfb6d95e8c6b94a9070ab5e1cad5")</f>
        <v>0</v>
      </c>
      <c r="D27607" t="s">
        <v>5191</v>
      </c>
      <c r="E27607" t="s">
        <v>7505</v>
      </c>
      <c r="F27607" t="s">
        <v>13401</v>
      </c>
      <c r="G27607" t="s">
        <v>17527</v>
      </c>
      <c r="H27607" t="s">
        <v>18829</v>
      </c>
    </row>
    <row r="27608" spans="1:8">
      <c r="H27608" t="s">
        <v>29660</v>
      </c>
    </row>
    <row r="27609" spans="1:8">
      <c r="H27609" t="s">
        <v>29661</v>
      </c>
    </row>
    <row r="27610" spans="1:8">
      <c r="H27610" t="s">
        <v>29662</v>
      </c>
    </row>
    <row r="27611" spans="1:8">
      <c r="H27611" t="s">
        <v>29663</v>
      </c>
    </row>
    <row r="27612" spans="1:8">
      <c r="H27612" t="s">
        <v>29664</v>
      </c>
    </row>
    <row r="27613" spans="1:8">
      <c r="H27613" t="s">
        <v>29665</v>
      </c>
    </row>
    <row r="27614" spans="1:8">
      <c r="A27614" t="s">
        <v>1754</v>
      </c>
      <c r="B27614">
        <f>HYPERLINK("https://android.googlesource.com/platform/cts/+/ae2e4240e4e934c5fe757ab17b2a4bb607ead530", "ae2e4240e4e934c5fe757ab17b2a4bb607ead530")</f>
        <v>0</v>
      </c>
      <c r="C27614">
        <f>HYPERLINK("https://android.googlesource.com/platform/cts/+/cbe4c4d9f5b152606c9c4decc885a194787d921b", "cbe4c4d9f5b152606c9c4decc885a194787d921b")</f>
        <v>0</v>
      </c>
      <c r="D27614" t="s">
        <v>5269</v>
      </c>
      <c r="E27614" t="s">
        <v>7506</v>
      </c>
      <c r="F27614" t="s">
        <v>12821</v>
      </c>
      <c r="G27614" t="s">
        <v>17000</v>
      </c>
      <c r="H27614" t="s">
        <v>29666</v>
      </c>
    </row>
    <row r="27615" spans="1:8">
      <c r="H27615" t="s">
        <v>29667</v>
      </c>
    </row>
    <row r="27616" spans="1:8">
      <c r="H27616" t="s">
        <v>29668</v>
      </c>
    </row>
    <row r="27617" spans="1:8">
      <c r="H27617" t="s">
        <v>29669</v>
      </c>
    </row>
    <row r="27618" spans="1:8">
      <c r="H27618" t="s">
        <v>18893</v>
      </c>
    </row>
    <row r="27619" spans="1:8">
      <c r="H27619" t="s">
        <v>29670</v>
      </c>
    </row>
    <row r="27620" spans="1:8">
      <c r="H27620" t="s">
        <v>29671</v>
      </c>
    </row>
    <row r="27621" spans="1:8">
      <c r="H27621" t="s">
        <v>29671</v>
      </c>
    </row>
    <row r="27622" spans="1:8">
      <c r="H27622" t="s">
        <v>29672</v>
      </c>
    </row>
    <row r="27623" spans="1:8">
      <c r="H27623" t="s">
        <v>29673</v>
      </c>
    </row>
    <row r="27624" spans="1:8">
      <c r="H27624" t="s">
        <v>29674</v>
      </c>
    </row>
    <row r="27625" spans="1:8">
      <c r="H27625" t="s">
        <v>29675</v>
      </c>
    </row>
    <row r="27626" spans="1:8">
      <c r="A27626" t="s">
        <v>1755</v>
      </c>
      <c r="B27626">
        <f>HYPERLINK("https://android.googlesource.com/platform/cts/+/74820224e9a5301757b3bc710d0a6241631b20fd", "74820224e9a5301757b3bc710d0a6241631b20fd")</f>
        <v>0</v>
      </c>
      <c r="C27626">
        <f>HYPERLINK("https://android.googlesource.com/platform/cts/+/bb7062c4229d4a553db396412f830bcfb0449093", "bb7062c4229d4a553db396412f830bcfb0449093")</f>
        <v>0</v>
      </c>
      <c r="D27626" t="s">
        <v>5134</v>
      </c>
      <c r="E27626" t="s">
        <v>7507</v>
      </c>
      <c r="F27626" t="s">
        <v>13402</v>
      </c>
      <c r="G27626" t="s">
        <v>17528</v>
      </c>
      <c r="H27626" t="s">
        <v>29676</v>
      </c>
    </row>
    <row r="27627" spans="1:8">
      <c r="A27627" t="s">
        <v>1756</v>
      </c>
      <c r="B27627">
        <f>HYPERLINK("https://android.googlesource.com/platform/cts/+/41ceea37eccb83af78f7897f4bb792e128ba811f", "41ceea37eccb83af78f7897f4bb792e128ba811f")</f>
        <v>0</v>
      </c>
      <c r="C27627">
        <f>HYPERLINK("https://android.googlesource.com/platform/cts/+/6ac7dd2e135d01dd4b2452811e69e68b5e7678d2", "6ac7dd2e135d01dd4b2452811e69e68b5e7678d2")</f>
        <v>0</v>
      </c>
      <c r="D27627" t="s">
        <v>5134</v>
      </c>
      <c r="E27627" t="s">
        <v>7508</v>
      </c>
      <c r="F27627" t="s">
        <v>13230</v>
      </c>
      <c r="G27627" t="s">
        <v>17371</v>
      </c>
      <c r="H27627" t="s">
        <v>29677</v>
      </c>
    </row>
    <row r="27628" spans="1:8">
      <c r="H27628" t="s">
        <v>29678</v>
      </c>
    </row>
    <row r="27629" spans="1:8">
      <c r="H27629" t="s">
        <v>29679</v>
      </c>
    </row>
    <row r="27630" spans="1:8">
      <c r="H27630" t="s">
        <v>29680</v>
      </c>
    </row>
    <row r="27631" spans="1:8">
      <c r="H27631" t="s">
        <v>29681</v>
      </c>
    </row>
    <row r="27632" spans="1:8">
      <c r="H27632" t="s">
        <v>29682</v>
      </c>
    </row>
    <row r="27633" spans="1:8">
      <c r="H27633" t="s">
        <v>29683</v>
      </c>
    </row>
    <row r="27634" spans="1:8">
      <c r="H27634" t="s">
        <v>29684</v>
      </c>
    </row>
    <row r="27635" spans="1:8">
      <c r="A27635" t="s">
        <v>1757</v>
      </c>
      <c r="B27635">
        <f>HYPERLINK("https://android.googlesource.com/platform/cts/+/4a4c4fd5237e506b76003249d2976d1d0a5bdffb", "4a4c4fd5237e506b76003249d2976d1d0a5bdffb")</f>
        <v>0</v>
      </c>
      <c r="C27635">
        <f>HYPERLINK("https://android.googlesource.com/platform/cts/+/41ceea37eccb83af78f7897f4bb792e128ba811f", "41ceea37eccb83af78f7897f4bb792e128ba811f")</f>
        <v>0</v>
      </c>
      <c r="D27635" t="s">
        <v>5134</v>
      </c>
      <c r="E27635" t="s">
        <v>7509</v>
      </c>
      <c r="F27635" t="s">
        <v>13403</v>
      </c>
      <c r="G27635" t="s">
        <v>17529</v>
      </c>
      <c r="H27635" t="s">
        <v>29677</v>
      </c>
    </row>
    <row r="27636" spans="1:8">
      <c r="H27636" t="s">
        <v>29678</v>
      </c>
    </row>
    <row r="27637" spans="1:8">
      <c r="H27637" t="s">
        <v>29679</v>
      </c>
    </row>
    <row r="27638" spans="1:8">
      <c r="H27638" t="s">
        <v>29680</v>
      </c>
    </row>
    <row r="27639" spans="1:8">
      <c r="H27639" t="s">
        <v>29681</v>
      </c>
    </row>
    <row r="27640" spans="1:8">
      <c r="H27640" t="s">
        <v>29682</v>
      </c>
    </row>
    <row r="27641" spans="1:8">
      <c r="H27641" t="s">
        <v>29684</v>
      </c>
    </row>
    <row r="27642" spans="1:8">
      <c r="A27642" t="s">
        <v>1758</v>
      </c>
      <c r="B27642">
        <f>HYPERLINK("https://android.googlesource.com/platform/cts/+/2c6a520be7e9730e98289796290a3253d5e84f50", "2c6a520be7e9730e98289796290a3253d5e84f50")</f>
        <v>0</v>
      </c>
      <c r="C27642">
        <f>HYPERLINK("https://android.googlesource.com/platform/cts/+/5d7799bc285c408b190cc4bd37ed1e174412df25", "5d7799bc285c408b190cc4bd37ed1e174412df25")</f>
        <v>0</v>
      </c>
      <c r="D27642" t="s">
        <v>5270</v>
      </c>
      <c r="E27642" t="s">
        <v>7510</v>
      </c>
      <c r="F27642" t="s">
        <v>13335</v>
      </c>
      <c r="G27642" t="s">
        <v>17465</v>
      </c>
      <c r="H27642" t="s">
        <v>29685</v>
      </c>
    </row>
    <row r="27643" spans="1:8">
      <c r="A27643" t="s">
        <v>1759</v>
      </c>
      <c r="B27643">
        <f>HYPERLINK("https://android.googlesource.com/platform/cts/+/53d494eb091e9e598091f5298689dcbd1c41314e", "53d494eb091e9e598091f5298689dcbd1c41314e")</f>
        <v>0</v>
      </c>
      <c r="C27643">
        <f>HYPERLINK("https://android.googlesource.com/platform/cts/+/f8c88838fef98b165d706235b3da9b36bf896067", "f8c88838fef98b165d706235b3da9b36bf896067")</f>
        <v>0</v>
      </c>
      <c r="D27643" t="s">
        <v>5191</v>
      </c>
      <c r="E27643" t="s">
        <v>7511</v>
      </c>
      <c r="F27643" t="s">
        <v>13404</v>
      </c>
      <c r="G27643" t="s">
        <v>17530</v>
      </c>
      <c r="H27643" t="s">
        <v>29686</v>
      </c>
    </row>
    <row r="27644" spans="1:8">
      <c r="H27644" t="s">
        <v>29687</v>
      </c>
    </row>
    <row r="27645" spans="1:8">
      <c r="H27645" t="s">
        <v>29688</v>
      </c>
    </row>
    <row r="27646" spans="1:8">
      <c r="H27646" t="s">
        <v>29689</v>
      </c>
    </row>
    <row r="27647" spans="1:8">
      <c r="H27647" t="s">
        <v>29690</v>
      </c>
    </row>
    <row r="27648" spans="1:8">
      <c r="H27648" t="s">
        <v>29691</v>
      </c>
    </row>
    <row r="27649" spans="1:8">
      <c r="H27649" t="s">
        <v>29692</v>
      </c>
    </row>
    <row r="27650" spans="1:8">
      <c r="H27650" t="s">
        <v>29693</v>
      </c>
    </row>
    <row r="27651" spans="1:8">
      <c r="H27651" t="s">
        <v>29694</v>
      </c>
    </row>
    <row r="27652" spans="1:8">
      <c r="H27652" t="s">
        <v>29695</v>
      </c>
    </row>
    <row r="27653" spans="1:8">
      <c r="H27653" t="s">
        <v>29696</v>
      </c>
    </row>
    <row r="27654" spans="1:8">
      <c r="H27654" t="s">
        <v>29697</v>
      </c>
    </row>
    <row r="27655" spans="1:8">
      <c r="H27655" t="s">
        <v>29698</v>
      </c>
    </row>
    <row r="27656" spans="1:8">
      <c r="H27656" t="s">
        <v>29699</v>
      </c>
    </row>
    <row r="27657" spans="1:8">
      <c r="H27657" t="s">
        <v>29700</v>
      </c>
    </row>
    <row r="27658" spans="1:8">
      <c r="A27658" t="s">
        <v>1760</v>
      </c>
      <c r="B27658">
        <f>HYPERLINK("https://android.googlesource.com/platform/cts/+/5956c998910401a5b5fd74f63682a7348f38919c", "5956c998910401a5b5fd74f63682a7348f38919c")</f>
        <v>0</v>
      </c>
      <c r="C27658">
        <f>HYPERLINK("https://android.googlesource.com/platform/cts/+/45b949b5a29dea022683262e54b1d76a4a61d8e0", "45b949b5a29dea022683262e54b1d76a4a61d8e0")</f>
        <v>0</v>
      </c>
      <c r="D27658" t="s">
        <v>5271</v>
      </c>
      <c r="E27658" t="s">
        <v>7512</v>
      </c>
      <c r="F27658" t="s">
        <v>13309</v>
      </c>
      <c r="G27658" t="s">
        <v>17442</v>
      </c>
      <c r="H27658" t="s">
        <v>26064</v>
      </c>
    </row>
    <row r="27659" spans="1:8">
      <c r="A27659" t="s">
        <v>1761</v>
      </c>
      <c r="B27659">
        <f>HYPERLINK("https://android.googlesource.com/platform/cts/+/d27aee23b0339599bbab47b73e06fc99f886b319", "d27aee23b0339599bbab47b73e06fc99f886b319")</f>
        <v>0</v>
      </c>
      <c r="C27659">
        <f>HYPERLINK("https://android.googlesource.com/platform/cts/+/6c6ab78b1a3573d90bb10f7fbfce633fd6dfb276", "6c6ab78b1a3573d90bb10f7fbfce633fd6dfb276")</f>
        <v>0</v>
      </c>
      <c r="D27659" t="s">
        <v>5128</v>
      </c>
      <c r="E27659" t="s">
        <v>7513</v>
      </c>
      <c r="F27659" t="s">
        <v>13405</v>
      </c>
      <c r="G27659" t="s">
        <v>17531</v>
      </c>
      <c r="H27659" t="s">
        <v>29701</v>
      </c>
    </row>
    <row r="27660" spans="1:8">
      <c r="H27660" t="s">
        <v>29702</v>
      </c>
    </row>
    <row r="27661" spans="1:8">
      <c r="H27661" t="s">
        <v>29703</v>
      </c>
    </row>
    <row r="27662" spans="1:8">
      <c r="A27662" t="s">
        <v>1762</v>
      </c>
      <c r="B27662">
        <f>HYPERLINK("https://android.googlesource.com/platform/cts/+/8fb399b5028e0bfeba9334d055a19a3009e479b6", "8fb399b5028e0bfeba9334d055a19a3009e479b6")</f>
        <v>0</v>
      </c>
      <c r="C27662">
        <f>HYPERLINK("https://android.googlesource.com/platform/cts/+/e2837b79959f4a2505f18d3f821326df2182a944", "e2837b79959f4a2505f18d3f821326df2182a944")</f>
        <v>0</v>
      </c>
      <c r="D27662" t="s">
        <v>5272</v>
      </c>
      <c r="E27662" t="s">
        <v>7514</v>
      </c>
      <c r="F27662" t="s">
        <v>13406</v>
      </c>
      <c r="G27662" t="s">
        <v>17532</v>
      </c>
      <c r="H27662" t="s">
        <v>29704</v>
      </c>
    </row>
    <row r="27663" spans="1:8">
      <c r="A27663" t="s">
        <v>1763</v>
      </c>
      <c r="B27663">
        <f>HYPERLINK("https://android.googlesource.com/platform/cts/+/3c8b8dc070b6ed00a4c74c48f17790047438bc16", "3c8b8dc070b6ed00a4c74c48f17790047438bc16")</f>
        <v>0</v>
      </c>
      <c r="C27663">
        <f>HYPERLINK("https://android.googlesource.com/platform/cts/+/653384c059f2ae83dcabd770ffbab904f02273e5", "653384c059f2ae83dcabd770ffbab904f02273e5")</f>
        <v>0</v>
      </c>
      <c r="D27663" t="s">
        <v>5195</v>
      </c>
      <c r="E27663" t="s">
        <v>7515</v>
      </c>
      <c r="F27663" t="s">
        <v>13407</v>
      </c>
      <c r="G27663" t="s">
        <v>17533</v>
      </c>
      <c r="H27663" t="s">
        <v>29705</v>
      </c>
    </row>
    <row r="27664" spans="1:8">
      <c r="A27664" t="s">
        <v>1764</v>
      </c>
      <c r="B27664">
        <f>HYPERLINK("https://android.googlesource.com/platform/cts/+/1d6955d6c6830fab9aeecde482c4d3d3866da3e5", "1d6955d6c6830fab9aeecde482c4d3d3866da3e5")</f>
        <v>0</v>
      </c>
      <c r="C27664">
        <f>HYPERLINK("https://android.googlesource.com/platform/cts/+/3c8b8dc070b6ed00a4c74c48f17790047438bc16", "3c8b8dc070b6ed00a4c74c48f17790047438bc16")</f>
        <v>0</v>
      </c>
      <c r="D27664" t="s">
        <v>5195</v>
      </c>
      <c r="E27664" t="s">
        <v>7516</v>
      </c>
      <c r="F27664" t="s">
        <v>13407</v>
      </c>
      <c r="G27664" t="s">
        <v>17533</v>
      </c>
      <c r="H27664" t="s">
        <v>20177</v>
      </c>
    </row>
    <row r="27665" spans="1:8">
      <c r="H27665" t="s">
        <v>29706</v>
      </c>
    </row>
    <row r="27666" spans="1:8">
      <c r="H27666" t="s">
        <v>29707</v>
      </c>
    </row>
    <row r="27667" spans="1:8">
      <c r="H27667" t="s">
        <v>29708</v>
      </c>
    </row>
    <row r="27668" spans="1:8">
      <c r="H27668" t="s">
        <v>29709</v>
      </c>
    </row>
    <row r="27669" spans="1:8">
      <c r="H27669" t="s">
        <v>29710</v>
      </c>
    </row>
    <row r="27670" spans="1:8">
      <c r="H27670" t="s">
        <v>29711</v>
      </c>
    </row>
    <row r="27671" spans="1:8">
      <c r="H27671" t="s">
        <v>18829</v>
      </c>
    </row>
    <row r="27672" spans="1:8">
      <c r="H27672" t="s">
        <v>18863</v>
      </c>
    </row>
    <row r="27673" spans="1:8">
      <c r="H27673" t="s">
        <v>29712</v>
      </c>
    </row>
    <row r="27674" spans="1:8">
      <c r="H27674" t="s">
        <v>29713</v>
      </c>
    </row>
    <row r="27675" spans="1:8">
      <c r="H27675" t="s">
        <v>29714</v>
      </c>
    </row>
    <row r="27676" spans="1:8">
      <c r="A27676" t="s">
        <v>1765</v>
      </c>
      <c r="B27676">
        <f>HYPERLINK("https://android.googlesource.com/platform/cts/+/6d73b079aca2cea80e6c3b9630a79e15be7d1a86", "6d73b079aca2cea80e6c3b9630a79e15be7d1a86")</f>
        <v>0</v>
      </c>
      <c r="C27676">
        <f>HYPERLINK("https://android.googlesource.com/platform/cts/+/7bac17f86d987ba38fc52e9855335fd49825b471", "7bac17f86d987ba38fc52e9855335fd49825b471")</f>
        <v>0</v>
      </c>
      <c r="D27676" t="s">
        <v>5191</v>
      </c>
      <c r="E27676" t="s">
        <v>7517</v>
      </c>
      <c r="F27676" t="s">
        <v>13348</v>
      </c>
      <c r="G27676" t="s">
        <v>17475</v>
      </c>
      <c r="H27676" t="s">
        <v>25497</v>
      </c>
    </row>
    <row r="27677" spans="1:8">
      <c r="H27677" t="s">
        <v>20244</v>
      </c>
    </row>
    <row r="27678" spans="1:8">
      <c r="H27678" t="s">
        <v>22590</v>
      </c>
    </row>
    <row r="27679" spans="1:8">
      <c r="F27679" t="s">
        <v>13331</v>
      </c>
      <c r="G27679" t="s">
        <v>17461</v>
      </c>
      <c r="H27679" t="s">
        <v>20244</v>
      </c>
    </row>
    <row r="27680" spans="1:8">
      <c r="F27680" t="s">
        <v>13408</v>
      </c>
      <c r="G27680" t="s">
        <v>17534</v>
      </c>
      <c r="H27680" t="s">
        <v>20244</v>
      </c>
    </row>
    <row r="27681" spans="1:8">
      <c r="F27681" t="s">
        <v>13332</v>
      </c>
      <c r="G27681" t="s">
        <v>17462</v>
      </c>
      <c r="H27681" t="s">
        <v>25497</v>
      </c>
    </row>
    <row r="27682" spans="1:8">
      <c r="H27682" t="s">
        <v>20244</v>
      </c>
    </row>
    <row r="27683" spans="1:8">
      <c r="F27683" t="s">
        <v>13333</v>
      </c>
      <c r="G27683" t="s">
        <v>17463</v>
      </c>
      <c r="H27683" t="s">
        <v>25497</v>
      </c>
    </row>
    <row r="27684" spans="1:8">
      <c r="H27684" t="s">
        <v>20244</v>
      </c>
    </row>
    <row r="27685" spans="1:8">
      <c r="H27685" t="s">
        <v>18863</v>
      </c>
    </row>
    <row r="27686" spans="1:8">
      <c r="F27686" t="s">
        <v>13409</v>
      </c>
      <c r="G27686" t="s">
        <v>17535</v>
      </c>
      <c r="H27686" t="s">
        <v>18829</v>
      </c>
    </row>
    <row r="27687" spans="1:8">
      <c r="A27687" t="s">
        <v>1766</v>
      </c>
      <c r="B27687">
        <f>HYPERLINK("https://android.googlesource.com/platform/cts/+/f259159ca7ba7c2996c5083cac1d9f469ad2a12c", "f259159ca7ba7c2996c5083cac1d9f469ad2a12c")</f>
        <v>0</v>
      </c>
      <c r="C27687">
        <f>HYPERLINK("https://android.googlesource.com/platform/cts/+/f8c88838fef98b165d706235b3da9b36bf896067", "f8c88838fef98b165d706235b3da9b36bf896067")</f>
        <v>0</v>
      </c>
      <c r="D27687" t="s">
        <v>5265</v>
      </c>
      <c r="E27687" t="s">
        <v>7518</v>
      </c>
      <c r="F27687" t="s">
        <v>10756</v>
      </c>
      <c r="G27687" t="s">
        <v>15154</v>
      </c>
      <c r="H27687" t="s">
        <v>18876</v>
      </c>
    </row>
    <row r="27688" spans="1:8">
      <c r="A27688" t="s">
        <v>1767</v>
      </c>
      <c r="B27688">
        <f>HYPERLINK("https://android.googlesource.com/platform/cts/+/e29b8e0f467c80bfedd4795938b3e04b3177c566", "e29b8e0f467c80bfedd4795938b3e04b3177c566")</f>
        <v>0</v>
      </c>
      <c r="C27688">
        <f>HYPERLINK("https://android.googlesource.com/platform/cts/+/b042a4415dbe145728a49dee81aa92b594c601de", "b042a4415dbe145728a49dee81aa92b594c601de")</f>
        <v>0</v>
      </c>
      <c r="D27688" t="s">
        <v>5191</v>
      </c>
      <c r="E27688" t="s">
        <v>7519</v>
      </c>
      <c r="F27688" t="s">
        <v>13410</v>
      </c>
      <c r="G27688" t="s">
        <v>17536</v>
      </c>
      <c r="H27688" t="s">
        <v>29715</v>
      </c>
    </row>
    <row r="27689" spans="1:8">
      <c r="H27689" t="s">
        <v>29716</v>
      </c>
    </row>
    <row r="27690" spans="1:8">
      <c r="H27690" t="s">
        <v>29717</v>
      </c>
    </row>
    <row r="27691" spans="1:8">
      <c r="A27691" t="s">
        <v>1768</v>
      </c>
      <c r="B27691">
        <f>HYPERLINK("https://android.googlesource.com/platform/cts/+/c57c89091963b9eb0428277d1ece22b1fda8d524", "c57c89091963b9eb0428277d1ece22b1fda8d524")</f>
        <v>0</v>
      </c>
      <c r="C27691">
        <f>HYPERLINK("https://android.googlesource.com/platform/cts/+/a8b3fdfef93dc139a7edcb2bd44cb379f2526e1d", "a8b3fdfef93dc139a7edcb2bd44cb379f2526e1d")</f>
        <v>0</v>
      </c>
      <c r="D27691" t="s">
        <v>5273</v>
      </c>
      <c r="E27691" t="s">
        <v>7520</v>
      </c>
      <c r="F27691" t="s">
        <v>13350</v>
      </c>
      <c r="G27691" t="s">
        <v>17477</v>
      </c>
      <c r="H27691" t="s">
        <v>29428</v>
      </c>
    </row>
    <row r="27692" spans="1:8">
      <c r="F27692" t="s">
        <v>13411</v>
      </c>
      <c r="G27692" t="s">
        <v>17537</v>
      </c>
      <c r="H27692" t="s">
        <v>29718</v>
      </c>
    </row>
    <row r="27693" spans="1:8">
      <c r="A27693" t="s">
        <v>1769</v>
      </c>
      <c r="B27693">
        <f>HYPERLINK("https://android.googlesource.com/platform/cts/+/7e54cd2a1b5f0a7b8f88f1a58c0127fd5fcfb005", "7e54cd2a1b5f0a7b8f88f1a58c0127fd5fcfb005")</f>
        <v>0</v>
      </c>
      <c r="C27693">
        <f>HYPERLINK("https://android.googlesource.com/platform/cts/+/cec7e2c4f3fdf78da5a97a267e0ef1b4cfb13f6e", "cec7e2c4f3fdf78da5a97a267e0ef1b4cfb13f6e")</f>
        <v>0</v>
      </c>
      <c r="D27693" t="s">
        <v>5274</v>
      </c>
      <c r="E27693" t="s">
        <v>7521</v>
      </c>
      <c r="F27693" t="s">
        <v>13412</v>
      </c>
      <c r="G27693" t="s">
        <v>17538</v>
      </c>
      <c r="H27693" t="s">
        <v>29719</v>
      </c>
    </row>
    <row r="27694" spans="1:8">
      <c r="A27694" t="s">
        <v>1770</v>
      </c>
      <c r="B27694">
        <f>HYPERLINK("https://android.googlesource.com/platform/cts/+/ffc30d238afb7a0832d11a6740cd7fa973fa127f", "ffc30d238afb7a0832d11a6740cd7fa973fa127f")</f>
        <v>0</v>
      </c>
      <c r="C27694">
        <f>HYPERLINK("https://android.googlesource.com/platform/cts/+/ddde083e52bea0b6c4c36a963b81fcb547ccc114", "ddde083e52bea0b6c4c36a963b81fcb547ccc114")</f>
        <v>0</v>
      </c>
      <c r="D27694" t="s">
        <v>5110</v>
      </c>
      <c r="E27694" t="s">
        <v>7522</v>
      </c>
      <c r="F27694" t="s">
        <v>12901</v>
      </c>
      <c r="G27694" t="s">
        <v>17068</v>
      </c>
      <c r="H27694" t="s">
        <v>26877</v>
      </c>
    </row>
    <row r="27695" spans="1:8">
      <c r="A27695" t="s">
        <v>1771</v>
      </c>
      <c r="B27695">
        <f>HYPERLINK("https://android.googlesource.com/platform/cts/+/3ae8059ea47c78869bc8aa1d0a8a4a7b726bf019", "3ae8059ea47c78869bc8aa1d0a8a4a7b726bf019")</f>
        <v>0</v>
      </c>
      <c r="C27695">
        <f>HYPERLINK("https://android.googlesource.com/platform/cts/+/3ddbd06f88653089694dca05c673227b6f5b9204", "3ddbd06f88653089694dca05c673227b6f5b9204")</f>
        <v>0</v>
      </c>
      <c r="D27695" t="s">
        <v>5215</v>
      </c>
      <c r="E27695" t="s">
        <v>7523</v>
      </c>
      <c r="F27695" t="s">
        <v>13032</v>
      </c>
      <c r="G27695" t="s">
        <v>17196</v>
      </c>
      <c r="H27695" t="s">
        <v>29486</v>
      </c>
    </row>
    <row r="27696" spans="1:8">
      <c r="H27696" t="s">
        <v>29487</v>
      </c>
    </row>
    <row r="27697" spans="1:8">
      <c r="H27697" t="s">
        <v>29488</v>
      </c>
    </row>
    <row r="27698" spans="1:8">
      <c r="A27698" t="s">
        <v>1773</v>
      </c>
      <c r="B27698">
        <f>HYPERLINK("https://android.googlesource.com/platform/cts/+/1167a04c6665713c3eb45906fa2c96d897e45cc5", "1167a04c6665713c3eb45906fa2c96d897e45cc5")</f>
        <v>0</v>
      </c>
      <c r="C27698">
        <f>HYPERLINK("https://android.googlesource.com/platform/cts/+/24c13049d91476ac27ca097212fbe4b558776c41", "24c13049d91476ac27ca097212fbe4b558776c41")</f>
        <v>0</v>
      </c>
      <c r="D27698" t="s">
        <v>5273</v>
      </c>
      <c r="E27698" t="s">
        <v>7525</v>
      </c>
      <c r="F27698" t="s">
        <v>13411</v>
      </c>
      <c r="G27698" t="s">
        <v>17537</v>
      </c>
      <c r="H27698" t="s">
        <v>29718</v>
      </c>
    </row>
    <row r="27699" spans="1:8">
      <c r="A27699" t="s">
        <v>1774</v>
      </c>
      <c r="B27699">
        <f>HYPERLINK("https://android.googlesource.com/platform/cts/+/afd42719c77bfbfd3beea52cf6ecb8b6fa9a8c3a", "afd42719c77bfbfd3beea52cf6ecb8b6fa9a8c3a")</f>
        <v>0</v>
      </c>
      <c r="C27699">
        <f>HYPERLINK("https://android.googlesource.com/platform/cts/+/ec7ebbd7e35dff62904393b3cf2c7fad13d1ba72", "ec7ebbd7e35dff62904393b3cf2c7fad13d1ba72")</f>
        <v>0</v>
      </c>
      <c r="D27699" t="s">
        <v>5276</v>
      </c>
      <c r="E27699" t="s">
        <v>7526</v>
      </c>
      <c r="F27699" t="s">
        <v>13309</v>
      </c>
      <c r="G27699" t="s">
        <v>17442</v>
      </c>
      <c r="H27699" t="s">
        <v>29720</v>
      </c>
    </row>
    <row r="27700" spans="1:8">
      <c r="A27700" t="s">
        <v>1775</v>
      </c>
      <c r="B27700">
        <f>HYPERLINK("https://android.googlesource.com/platform/cts/+/d9ab47652309cea2422863f79fbd68f3de318784", "d9ab47652309cea2422863f79fbd68f3de318784")</f>
        <v>0</v>
      </c>
      <c r="C27700">
        <f>HYPERLINK("https://android.googlesource.com/platform/cts/+/1af44a3c7408ea112f94925325a1b5548998ac2a", "1af44a3c7408ea112f94925325a1b5548998ac2a")</f>
        <v>0</v>
      </c>
      <c r="D27700" t="s">
        <v>5219</v>
      </c>
      <c r="E27700" t="s">
        <v>7527</v>
      </c>
      <c r="F27700" t="s">
        <v>13413</v>
      </c>
      <c r="G27700" t="s">
        <v>17539</v>
      </c>
      <c r="H27700" t="s">
        <v>20083</v>
      </c>
    </row>
    <row r="27701" spans="1:8">
      <c r="F27701" t="s">
        <v>13414</v>
      </c>
      <c r="G27701" t="s">
        <v>17540</v>
      </c>
      <c r="H27701" t="s">
        <v>22678</v>
      </c>
    </row>
    <row r="27702" spans="1:8">
      <c r="H27702" t="s">
        <v>18829</v>
      </c>
    </row>
    <row r="27703" spans="1:8">
      <c r="H27703" t="s">
        <v>29721</v>
      </c>
    </row>
    <row r="27704" spans="1:8">
      <c r="H27704" t="s">
        <v>29722</v>
      </c>
    </row>
    <row r="27705" spans="1:8">
      <c r="H27705" t="s">
        <v>18863</v>
      </c>
    </row>
    <row r="27706" spans="1:8">
      <c r="H27706" t="s">
        <v>29723</v>
      </c>
    </row>
    <row r="27707" spans="1:8">
      <c r="H27707" t="s">
        <v>29724</v>
      </c>
    </row>
    <row r="27708" spans="1:8">
      <c r="H27708" t="s">
        <v>29725</v>
      </c>
    </row>
    <row r="27709" spans="1:8">
      <c r="H27709" t="s">
        <v>29726</v>
      </c>
    </row>
    <row r="27710" spans="1:8">
      <c r="H27710" t="s">
        <v>29727</v>
      </c>
    </row>
    <row r="27711" spans="1:8">
      <c r="H27711" t="s">
        <v>29728</v>
      </c>
    </row>
    <row r="27712" spans="1:8">
      <c r="H27712" t="s">
        <v>29729</v>
      </c>
    </row>
    <row r="27713" spans="1:8">
      <c r="H27713" t="s">
        <v>29730</v>
      </c>
    </row>
    <row r="27714" spans="1:8">
      <c r="H27714" t="s">
        <v>18893</v>
      </c>
    </row>
    <row r="27715" spans="1:8">
      <c r="A27715" t="s">
        <v>1776</v>
      </c>
      <c r="B27715">
        <f>HYPERLINK("https://android.googlesource.com/platform/cts/+/684261b57d850d0f55cd747b541a4aec2488bc6d", "684261b57d850d0f55cd747b541a4aec2488bc6d")</f>
        <v>0</v>
      </c>
      <c r="C27715">
        <f>HYPERLINK("https://android.googlesource.com/platform/cts/+/e0fbc30a87b62db236580ee1c879bf90c226f4e6", "e0fbc30a87b62db236580ee1c879bf90c226f4e6")</f>
        <v>0</v>
      </c>
      <c r="D27715" t="s">
        <v>5272</v>
      </c>
      <c r="E27715" t="s">
        <v>7528</v>
      </c>
      <c r="F27715" t="s">
        <v>13415</v>
      </c>
      <c r="G27715" t="s">
        <v>17541</v>
      </c>
      <c r="H27715" t="s">
        <v>29731</v>
      </c>
    </row>
    <row r="27716" spans="1:8">
      <c r="H27716" t="s">
        <v>29732</v>
      </c>
    </row>
    <row r="27717" spans="1:8">
      <c r="A27717" t="s">
        <v>1777</v>
      </c>
      <c r="B27717">
        <f>HYPERLINK("https://android.googlesource.com/platform/cts/+/27a293325b145628ee8d7fc8e6333645b15476ae", "27a293325b145628ee8d7fc8e6333645b15476ae")</f>
        <v>0</v>
      </c>
      <c r="C27717">
        <f>HYPERLINK("https://android.googlesource.com/platform/cts/+/2dcae84e1d0d570cf444ec47ce149b909fe6048a", "2dcae84e1d0d570cf444ec47ce149b909fe6048a")</f>
        <v>0</v>
      </c>
      <c r="D27717" t="s">
        <v>5134</v>
      </c>
      <c r="E27717" t="s">
        <v>7529</v>
      </c>
      <c r="F27717" t="s">
        <v>13371</v>
      </c>
      <c r="G27717" t="s">
        <v>17498</v>
      </c>
      <c r="H27717" t="s">
        <v>29733</v>
      </c>
    </row>
    <row r="27718" spans="1:8">
      <c r="H27718" t="s">
        <v>29734</v>
      </c>
    </row>
    <row r="27719" spans="1:8">
      <c r="A27719" t="s">
        <v>1778</v>
      </c>
      <c r="B27719">
        <f>HYPERLINK("https://android.googlesource.com/platform/cts/+/622e278dec59cd44af2e8a80bbac3fd58a95d028", "622e278dec59cd44af2e8a80bbac3fd58a95d028")</f>
        <v>0</v>
      </c>
      <c r="C27719">
        <f>HYPERLINK("https://android.googlesource.com/platform/cts/+/2976943ffe98aa57891ae482ab299bb43cb172dd", "2976943ffe98aa57891ae482ab299bb43cb172dd")</f>
        <v>0</v>
      </c>
      <c r="D27719" t="s">
        <v>5215</v>
      </c>
      <c r="E27719" t="s">
        <v>7530</v>
      </c>
      <c r="F27719" t="s">
        <v>13032</v>
      </c>
      <c r="G27719" t="s">
        <v>17196</v>
      </c>
      <c r="H27719" t="s">
        <v>29735</v>
      </c>
    </row>
    <row r="27720" spans="1:8">
      <c r="H27720" t="s">
        <v>29736</v>
      </c>
    </row>
    <row r="27721" spans="1:8">
      <c r="A27721" t="s">
        <v>1779</v>
      </c>
      <c r="B27721">
        <f>HYPERLINK("https://android.googlesource.com/platform/cts/+/e7b08f15068f595deb4c2923d0a1bca98de33023", "e7b08f15068f595deb4c2923d0a1bca98de33023")</f>
        <v>0</v>
      </c>
      <c r="C27721">
        <f>HYPERLINK("https://android.googlesource.com/platform/cts/+/a729b7d2cb4cae57411d0642f55bcdb29fa4869d", "a729b7d2cb4cae57411d0642f55bcdb29fa4869d")</f>
        <v>0</v>
      </c>
      <c r="D27721" t="s">
        <v>5134</v>
      </c>
      <c r="E27721" t="s">
        <v>7531</v>
      </c>
      <c r="F27721" t="s">
        <v>13230</v>
      </c>
      <c r="G27721" t="s">
        <v>17371</v>
      </c>
      <c r="H27721" t="s">
        <v>29737</v>
      </c>
    </row>
    <row r="27722" spans="1:8">
      <c r="A27722" t="s">
        <v>1780</v>
      </c>
      <c r="B27722">
        <f>HYPERLINK("https://android.googlesource.com/platform/cts/+/d358aeaf0219351bddbbae3d9659b4dde476d228", "d358aeaf0219351bddbbae3d9659b4dde476d228")</f>
        <v>0</v>
      </c>
      <c r="C27722">
        <f>HYPERLINK("https://android.googlesource.com/platform/cts/+/0f49b808388f10b13b5d805b8324309b4817f4f2", "0f49b808388f10b13b5d805b8324309b4817f4f2")</f>
        <v>0</v>
      </c>
      <c r="D27722" t="s">
        <v>5134</v>
      </c>
      <c r="E27722" t="s">
        <v>7532</v>
      </c>
      <c r="F27722" t="s">
        <v>13416</v>
      </c>
      <c r="G27722" t="s">
        <v>17542</v>
      </c>
      <c r="H27722" t="s">
        <v>29738</v>
      </c>
    </row>
    <row r="27723" spans="1:8">
      <c r="H27723" t="s">
        <v>29739</v>
      </c>
    </row>
    <row r="27724" spans="1:8">
      <c r="H27724" t="s">
        <v>29740</v>
      </c>
    </row>
    <row r="27725" spans="1:8">
      <c r="H27725" t="s">
        <v>29741</v>
      </c>
    </row>
    <row r="27726" spans="1:8">
      <c r="H27726" t="s">
        <v>29742</v>
      </c>
    </row>
    <row r="27727" spans="1:8">
      <c r="H27727" t="s">
        <v>29743</v>
      </c>
    </row>
    <row r="27728" spans="1:8">
      <c r="H27728" t="s">
        <v>29744</v>
      </c>
    </row>
    <row r="27729" spans="1:8">
      <c r="A27729" t="s">
        <v>1781</v>
      </c>
      <c r="B27729">
        <f>HYPERLINK("https://android.googlesource.com/platform/cts/+/e4f97f97a9d11c636847539de03b3f82dab17900", "e4f97f97a9d11c636847539de03b3f82dab17900")</f>
        <v>0</v>
      </c>
      <c r="C27729">
        <f>HYPERLINK("https://android.googlesource.com/platform/cts/+/7f68e0092357239179cbb6ba6df0c4b435691e59", "7f68e0092357239179cbb6ba6df0c4b435691e59")</f>
        <v>0</v>
      </c>
      <c r="D27729" t="s">
        <v>5244</v>
      </c>
      <c r="E27729" t="s">
        <v>7533</v>
      </c>
      <c r="F27729" t="s">
        <v>13417</v>
      </c>
      <c r="G27729" t="s">
        <v>17543</v>
      </c>
      <c r="H27729" t="s">
        <v>18863</v>
      </c>
    </row>
    <row r="27730" spans="1:8">
      <c r="A27730" t="s">
        <v>1782</v>
      </c>
      <c r="B27730">
        <f>HYPERLINK("https://android.googlesource.com/platform/cts/+/41bbdb49266f3aca92fe7627aafd3b6c8629a7bd", "41bbdb49266f3aca92fe7627aafd3b6c8629a7bd")</f>
        <v>0</v>
      </c>
      <c r="C27730">
        <f>HYPERLINK("https://android.googlesource.com/platform/cts/+/b8e00b71d69cabc8c7b188d19cf6f6d446dd0244", "b8e00b71d69cabc8c7b188d19cf6f6d446dd0244")</f>
        <v>0</v>
      </c>
      <c r="D27730" t="s">
        <v>5277</v>
      </c>
      <c r="E27730" t="s">
        <v>7534</v>
      </c>
      <c r="F27730" t="s">
        <v>13351</v>
      </c>
      <c r="G27730" t="s">
        <v>17478</v>
      </c>
      <c r="H27730" t="s">
        <v>26284</v>
      </c>
    </row>
    <row r="27731" spans="1:8">
      <c r="A27731" t="s">
        <v>1783</v>
      </c>
      <c r="B27731">
        <f>HYPERLINK("https://android.googlesource.com/platform/cts/+/2052c7b87c9d9f129bae3808169bea604d3fc7ec", "2052c7b87c9d9f129bae3808169bea604d3fc7ec")</f>
        <v>0</v>
      </c>
      <c r="C27731">
        <f>HYPERLINK("https://android.googlesource.com/platform/cts/+/d38861f49e61da295b315b44e387d8218cb6aacd", "d38861f49e61da295b315b44e387d8218cb6aacd")</f>
        <v>0</v>
      </c>
      <c r="D27731" t="s">
        <v>5278</v>
      </c>
      <c r="E27731" t="s">
        <v>7535</v>
      </c>
      <c r="F27731" t="s">
        <v>13418</v>
      </c>
      <c r="G27731" t="s">
        <v>17544</v>
      </c>
      <c r="H27731" t="s">
        <v>29745</v>
      </c>
    </row>
    <row r="27732" spans="1:8">
      <c r="H27732" t="s">
        <v>29746</v>
      </c>
    </row>
    <row r="27733" spans="1:8">
      <c r="H27733" t="s">
        <v>29747</v>
      </c>
    </row>
    <row r="27734" spans="1:8">
      <c r="H27734" t="s">
        <v>29748</v>
      </c>
    </row>
    <row r="27735" spans="1:8">
      <c r="H27735" t="s">
        <v>29749</v>
      </c>
    </row>
    <row r="27736" spans="1:8">
      <c r="H27736" t="s">
        <v>29750</v>
      </c>
    </row>
    <row r="27737" spans="1:8">
      <c r="H27737" t="s">
        <v>29751</v>
      </c>
    </row>
    <row r="27738" spans="1:8">
      <c r="H27738" t="s">
        <v>29752</v>
      </c>
    </row>
    <row r="27739" spans="1:8">
      <c r="H27739" t="s">
        <v>29753</v>
      </c>
    </row>
    <row r="27740" spans="1:8">
      <c r="H27740" t="s">
        <v>29754</v>
      </c>
    </row>
    <row r="27741" spans="1:8">
      <c r="H27741" t="s">
        <v>29755</v>
      </c>
    </row>
    <row r="27742" spans="1:8">
      <c r="A27742" t="s">
        <v>1784</v>
      </c>
      <c r="B27742">
        <f>HYPERLINK("https://android.googlesource.com/platform/cts/+/a1f4131c8170703ea9bd2ec476ab940c555468b0", "a1f4131c8170703ea9bd2ec476ab940c555468b0")</f>
        <v>0</v>
      </c>
      <c r="C27742">
        <f>HYPERLINK("https://android.googlesource.com/platform/cts/+/6ea911e6e23e9204b2be7104c64b58069d1d2ef8", "6ea911e6e23e9204b2be7104c64b58069d1d2ef8")</f>
        <v>0</v>
      </c>
      <c r="D27742" t="s">
        <v>5258</v>
      </c>
      <c r="E27742" t="s">
        <v>7536</v>
      </c>
      <c r="F27742" t="s">
        <v>12406</v>
      </c>
      <c r="G27742" t="s">
        <v>16628</v>
      </c>
      <c r="H27742" t="s">
        <v>29756</v>
      </c>
    </row>
    <row r="27743" spans="1:8">
      <c r="A27743" t="s">
        <v>1785</v>
      </c>
      <c r="B27743">
        <f>HYPERLINK("https://android.googlesource.com/platform/cts/+/caeffb4cc5cda772f760694bcf32a6026f70fae4", "caeffb4cc5cda772f760694bcf32a6026f70fae4")</f>
        <v>0</v>
      </c>
      <c r="C27743">
        <f>HYPERLINK("https://android.googlesource.com/platform/cts/+/1b7de239759b6cbbc13e81f92823ff388fcf9988", "1b7de239759b6cbbc13e81f92823ff388fcf9988")</f>
        <v>0</v>
      </c>
      <c r="D27743" t="s">
        <v>5134</v>
      </c>
      <c r="E27743" t="s">
        <v>7537</v>
      </c>
      <c r="F27743" t="s">
        <v>13419</v>
      </c>
      <c r="G27743" t="s">
        <v>17545</v>
      </c>
      <c r="H27743" t="s">
        <v>22685</v>
      </c>
    </row>
    <row r="27744" spans="1:8">
      <c r="H27744" t="s">
        <v>29757</v>
      </c>
    </row>
    <row r="27745" spans="1:8">
      <c r="H27745" t="s">
        <v>29758</v>
      </c>
    </row>
    <row r="27746" spans="1:8">
      <c r="H27746" t="s">
        <v>29759</v>
      </c>
    </row>
    <row r="27747" spans="1:8">
      <c r="H27747" t="s">
        <v>29760</v>
      </c>
    </row>
    <row r="27748" spans="1:8">
      <c r="H27748" t="s">
        <v>29761</v>
      </c>
    </row>
    <row r="27749" spans="1:8">
      <c r="F27749" t="s">
        <v>13420</v>
      </c>
      <c r="G27749" t="s">
        <v>17546</v>
      </c>
      <c r="H27749" t="s">
        <v>29762</v>
      </c>
    </row>
    <row r="27750" spans="1:8">
      <c r="H27750" t="s">
        <v>29763</v>
      </c>
    </row>
    <row r="27751" spans="1:8">
      <c r="H27751" t="s">
        <v>29764</v>
      </c>
    </row>
    <row r="27752" spans="1:8">
      <c r="H27752" t="s">
        <v>29765</v>
      </c>
    </row>
    <row r="27753" spans="1:8">
      <c r="A27753" t="s">
        <v>1786</v>
      </c>
      <c r="B27753">
        <f>HYPERLINK("https://android.googlesource.com/platform/cts/+/c245c4bbb7349060e10a7006edf8fad5646d8e95", "c245c4bbb7349060e10a7006edf8fad5646d8e95")</f>
        <v>0</v>
      </c>
      <c r="C27753">
        <f>HYPERLINK("https://android.googlesource.com/platform/cts/+/50e2160d0b8f6f6f53c2d621aa7bf4cd5bb14f78", "50e2160d0b8f6f6f53c2d621aa7bf4cd5bb14f78")</f>
        <v>0</v>
      </c>
      <c r="D27753" t="s">
        <v>5269</v>
      </c>
      <c r="E27753" t="s">
        <v>7538</v>
      </c>
      <c r="F27753" t="s">
        <v>12841</v>
      </c>
      <c r="G27753" t="s">
        <v>15119</v>
      </c>
      <c r="H27753" t="s">
        <v>29766</v>
      </c>
    </row>
    <row r="27754" spans="1:8">
      <c r="H27754" t="s">
        <v>29767</v>
      </c>
    </row>
    <row r="27755" spans="1:8">
      <c r="A27755" t="s">
        <v>1790</v>
      </c>
      <c r="B27755">
        <f>HYPERLINK("https://android.googlesource.com/platform/cts/+/a5ea3d0dac7c11233538ffc26a968b0d655ff6eb", "a5ea3d0dac7c11233538ffc26a968b0d655ff6eb")</f>
        <v>0</v>
      </c>
      <c r="C27755">
        <f>HYPERLINK("https://android.googlesource.com/platform/cts/+/34ecbfa03264d4e8c2fd73e258a223e4991a46d5", "34ecbfa03264d4e8c2fd73e258a223e4991a46d5")</f>
        <v>0</v>
      </c>
      <c r="D27755" t="s">
        <v>4981</v>
      </c>
      <c r="E27755" t="s">
        <v>7541</v>
      </c>
      <c r="F27755" t="s">
        <v>12816</v>
      </c>
      <c r="G27755" t="s">
        <v>16997</v>
      </c>
      <c r="H27755" t="s">
        <v>29768</v>
      </c>
    </row>
    <row r="27756" spans="1:8">
      <c r="A27756" t="s">
        <v>1791</v>
      </c>
      <c r="B27756">
        <f>HYPERLINK("https://android.googlesource.com/platform/cts/+/f82d2c0e0219f4e063c96770f51e729a795d269f", "f82d2c0e0219f4e063c96770f51e729a795d269f")</f>
        <v>0</v>
      </c>
      <c r="C27756">
        <f>HYPERLINK("https://android.googlesource.com/platform/cts/+/c8eacc9abe2e5070a22c074e736cebf9e5d5eab6", "c8eacc9abe2e5070a22c074e736cebf9e5d5eab6")</f>
        <v>0</v>
      </c>
      <c r="D27756" t="s">
        <v>5134</v>
      </c>
      <c r="E27756" t="s">
        <v>7542</v>
      </c>
      <c r="F27756" t="s">
        <v>13421</v>
      </c>
      <c r="G27756" t="s">
        <v>17545</v>
      </c>
      <c r="H27756" t="s">
        <v>29759</v>
      </c>
    </row>
    <row r="27757" spans="1:8">
      <c r="A27757" t="s">
        <v>1792</v>
      </c>
      <c r="B27757">
        <f>HYPERLINK("https://android.googlesource.com/platform/cts/+/d84fb8030c0cd185ca4462fcfb2d61ec61b4f50a", "d84fb8030c0cd185ca4462fcfb2d61ec61b4f50a")</f>
        <v>0</v>
      </c>
      <c r="C27757">
        <f>HYPERLINK("https://android.googlesource.com/platform/cts/+/0ac259c1d056e7e5814baacbfea4916f7453b3e5", "0ac259c1d056e7e5814baacbfea4916f7453b3e5")</f>
        <v>0</v>
      </c>
      <c r="D27757" t="s">
        <v>5046</v>
      </c>
      <c r="E27757" t="s">
        <v>7543</v>
      </c>
      <c r="F27757" t="s">
        <v>13422</v>
      </c>
      <c r="G27757" t="s">
        <v>16418</v>
      </c>
      <c r="H27757" t="s">
        <v>28615</v>
      </c>
    </row>
    <row r="27758" spans="1:8">
      <c r="A27758" t="s">
        <v>1793</v>
      </c>
      <c r="B27758">
        <f>HYPERLINK("https://android.googlesource.com/platform/cts/+/bd07ba2a0100f08f8a95f33f73be1e6ed5b9369c", "bd07ba2a0100f08f8a95f33f73be1e6ed5b9369c")</f>
        <v>0</v>
      </c>
      <c r="C27758">
        <f>HYPERLINK("https://android.googlesource.com/platform/cts/+/52c4d6a7c139d5cc383e5572291cb115488795da", "52c4d6a7c139d5cc383e5572291cb115488795da")</f>
        <v>0</v>
      </c>
      <c r="D27758" t="s">
        <v>4964</v>
      </c>
      <c r="E27758" t="s">
        <v>7544</v>
      </c>
      <c r="F27758" t="s">
        <v>13423</v>
      </c>
      <c r="G27758" t="s">
        <v>17547</v>
      </c>
      <c r="H27758" t="s">
        <v>18829</v>
      </c>
    </row>
    <row r="27759" spans="1:8">
      <c r="A27759" t="s">
        <v>1794</v>
      </c>
      <c r="B27759">
        <f>HYPERLINK("https://android.googlesource.com/platform/cts/+/fc614de2bc767334108662c001a024da63971ec5", "fc614de2bc767334108662c001a024da63971ec5")</f>
        <v>0</v>
      </c>
      <c r="C27759">
        <f>HYPERLINK("https://android.googlesource.com/platform/cts/+/fb6eb1c90d5a7205f881b794e8ed146e75f88966", "fb6eb1c90d5a7205f881b794e8ed146e75f88966")</f>
        <v>0</v>
      </c>
      <c r="D27759" t="s">
        <v>5046</v>
      </c>
      <c r="E27759" t="s">
        <v>7545</v>
      </c>
      <c r="F27759" t="s">
        <v>13424</v>
      </c>
      <c r="G27759" t="s">
        <v>17548</v>
      </c>
      <c r="H27759" t="s">
        <v>29769</v>
      </c>
    </row>
    <row r="27760" spans="1:8">
      <c r="H27760" t="s">
        <v>29770</v>
      </c>
    </row>
    <row r="27761" spans="1:8">
      <c r="H27761" t="s">
        <v>29771</v>
      </c>
    </row>
    <row r="27762" spans="1:8">
      <c r="H27762" t="s">
        <v>29772</v>
      </c>
    </row>
    <row r="27763" spans="1:8">
      <c r="H27763" t="s">
        <v>29773</v>
      </c>
    </row>
    <row r="27764" spans="1:8">
      <c r="H27764" t="s">
        <v>29774</v>
      </c>
    </row>
    <row r="27765" spans="1:8">
      <c r="H27765" t="s">
        <v>29775</v>
      </c>
    </row>
    <row r="27766" spans="1:8">
      <c r="H27766" t="s">
        <v>19475</v>
      </c>
    </row>
    <row r="27767" spans="1:8">
      <c r="H27767" t="s">
        <v>29776</v>
      </c>
    </row>
    <row r="27768" spans="1:8">
      <c r="H27768" t="s">
        <v>29777</v>
      </c>
    </row>
    <row r="27769" spans="1:8">
      <c r="H27769" t="s">
        <v>29778</v>
      </c>
    </row>
    <row r="27770" spans="1:8">
      <c r="A27770" t="s">
        <v>1795</v>
      </c>
      <c r="B27770">
        <f>HYPERLINK("https://android.googlesource.com/platform/cts/+/76d91244b0cdb1feb0138906ccca062e3ec6c3a9", "76d91244b0cdb1feb0138906ccca062e3ec6c3a9")</f>
        <v>0</v>
      </c>
      <c r="C27770">
        <f>HYPERLINK("https://android.googlesource.com/platform/cts/+/f82d2c0e0219f4e063c96770f51e729a795d269f", "f82d2c0e0219f4e063c96770f51e729a795d269f")</f>
        <v>0</v>
      </c>
      <c r="D27770" t="s">
        <v>5134</v>
      </c>
      <c r="E27770" t="s">
        <v>7546</v>
      </c>
      <c r="F27770" t="s">
        <v>13425</v>
      </c>
      <c r="G27770" t="s">
        <v>17549</v>
      </c>
      <c r="H27770" t="s">
        <v>29779</v>
      </c>
    </row>
    <row r="27771" spans="1:8">
      <c r="H27771" t="s">
        <v>29780</v>
      </c>
    </row>
    <row r="27772" spans="1:8">
      <c r="H27772" t="s">
        <v>29781</v>
      </c>
    </row>
    <row r="27773" spans="1:8">
      <c r="H27773" t="s">
        <v>29782</v>
      </c>
    </row>
    <row r="27774" spans="1:8">
      <c r="H27774" t="s">
        <v>29783</v>
      </c>
    </row>
    <row r="27775" spans="1:8">
      <c r="H27775" t="s">
        <v>29784</v>
      </c>
    </row>
    <row r="27776" spans="1:8">
      <c r="H27776" t="s">
        <v>29785</v>
      </c>
    </row>
    <row r="27777" spans="1:8">
      <c r="A27777" t="s">
        <v>1796</v>
      </c>
      <c r="B27777">
        <f>HYPERLINK("https://android.googlesource.com/platform/cts/+/35d29fb30975daf022b21b018fbec117e9fed29c", "35d29fb30975daf022b21b018fbec117e9fed29c")</f>
        <v>0</v>
      </c>
      <c r="C27777">
        <f>HYPERLINK("https://android.googlesource.com/platform/cts/+/dde8bfab2be006d74204ead703df5ca3d8d74b8a", "dde8bfab2be006d74204ead703df5ca3d8d74b8a")</f>
        <v>0</v>
      </c>
      <c r="D27777" t="s">
        <v>5279</v>
      </c>
      <c r="E27777" t="s">
        <v>7547</v>
      </c>
      <c r="F27777" t="s">
        <v>13227</v>
      </c>
      <c r="G27777" t="s">
        <v>17368</v>
      </c>
      <c r="H27777" t="s">
        <v>29786</v>
      </c>
    </row>
    <row r="27778" spans="1:8">
      <c r="F27778" t="s">
        <v>13418</v>
      </c>
      <c r="G27778" t="s">
        <v>17544</v>
      </c>
      <c r="H27778" t="s">
        <v>29786</v>
      </c>
    </row>
    <row r="27779" spans="1:8">
      <c r="A27779" t="s">
        <v>1797</v>
      </c>
      <c r="B27779">
        <f>HYPERLINK("https://android.googlesource.com/platform/cts/+/df9f00f93c144b32442f31df26ec97d6e123d57f", "df9f00f93c144b32442f31df26ec97d6e123d57f")</f>
        <v>0</v>
      </c>
      <c r="C27779">
        <f>HYPERLINK("https://android.googlesource.com/platform/cts/+/1b09e54155e343105d236ab86d7a288ab0523428", "1b09e54155e343105d236ab86d7a288ab0523428")</f>
        <v>0</v>
      </c>
      <c r="D27779" t="s">
        <v>4960</v>
      </c>
      <c r="E27779" t="s">
        <v>7548</v>
      </c>
      <c r="F27779" t="s">
        <v>13426</v>
      </c>
      <c r="G27779" t="s">
        <v>17550</v>
      </c>
      <c r="H27779" t="s">
        <v>29787</v>
      </c>
    </row>
    <row r="27780" spans="1:8">
      <c r="H27780" t="s">
        <v>29788</v>
      </c>
    </row>
    <row r="27781" spans="1:8">
      <c r="H27781" t="s">
        <v>29789</v>
      </c>
    </row>
    <row r="27782" spans="1:8">
      <c r="H27782" t="s">
        <v>29790</v>
      </c>
    </row>
    <row r="27783" spans="1:8">
      <c r="H27783" t="s">
        <v>29791</v>
      </c>
    </row>
    <row r="27784" spans="1:8">
      <c r="A27784" t="s">
        <v>1798</v>
      </c>
      <c r="B27784">
        <f>HYPERLINK("https://android.googlesource.com/platform/cts/+/d4b42453e338a44dbe752ebcc4657655d2c08b88", "d4b42453e338a44dbe752ebcc4657655d2c08b88")</f>
        <v>0</v>
      </c>
      <c r="C27784">
        <f>HYPERLINK("https://android.googlesource.com/platform/cts/+/0405f295e97122381e1243e134d43457366a87f0", "0405f295e97122381e1243e134d43457366a87f0")</f>
        <v>0</v>
      </c>
      <c r="D27784" t="s">
        <v>5193</v>
      </c>
      <c r="E27784" t="s">
        <v>7549</v>
      </c>
      <c r="F27784" t="s">
        <v>13427</v>
      </c>
      <c r="G27784" t="s">
        <v>17551</v>
      </c>
      <c r="H27784" t="s">
        <v>18829</v>
      </c>
    </row>
    <row r="27785" spans="1:8">
      <c r="H27785" t="s">
        <v>29792</v>
      </c>
    </row>
    <row r="27786" spans="1:8">
      <c r="H27786" t="s">
        <v>29793</v>
      </c>
    </row>
    <row r="27787" spans="1:8">
      <c r="A27787" t="s">
        <v>1799</v>
      </c>
      <c r="B27787">
        <f>HYPERLINK("https://android.googlesource.com/platform/cts/+/418383b93b7b0edc02305aa9022c71781051c66e", "418383b93b7b0edc02305aa9022c71781051c66e")</f>
        <v>0</v>
      </c>
      <c r="C27787">
        <f>HYPERLINK("https://android.googlesource.com/platform/cts/+/938a9eadd82efc4fe19faf19ea1f91047087ea10", "938a9eadd82efc4fe19faf19ea1f91047087ea10")</f>
        <v>0</v>
      </c>
      <c r="D27787" t="s">
        <v>5134</v>
      </c>
      <c r="E27787" t="s">
        <v>7550</v>
      </c>
      <c r="F27787" t="s">
        <v>13302</v>
      </c>
      <c r="G27787" t="s">
        <v>17438</v>
      </c>
      <c r="H27787" t="s">
        <v>29794</v>
      </c>
    </row>
    <row r="27788" spans="1:8">
      <c r="F27788" t="s">
        <v>13361</v>
      </c>
      <c r="G27788" t="s">
        <v>17488</v>
      </c>
      <c r="H27788" t="s">
        <v>29794</v>
      </c>
    </row>
    <row r="27789" spans="1:8">
      <c r="F27789" t="s">
        <v>13403</v>
      </c>
      <c r="G27789" t="s">
        <v>17529</v>
      </c>
      <c r="H27789" t="s">
        <v>29794</v>
      </c>
    </row>
    <row r="27790" spans="1:8">
      <c r="F27790" t="s">
        <v>13230</v>
      </c>
      <c r="G27790" t="s">
        <v>17371</v>
      </c>
      <c r="H27790" t="s">
        <v>29794</v>
      </c>
    </row>
    <row r="27791" spans="1:8">
      <c r="F27791" t="s">
        <v>13428</v>
      </c>
      <c r="G27791" t="s">
        <v>17552</v>
      </c>
      <c r="H27791" t="s">
        <v>29794</v>
      </c>
    </row>
    <row r="27792" spans="1:8">
      <c r="F27792" t="s">
        <v>13429</v>
      </c>
      <c r="G27792" t="s">
        <v>17553</v>
      </c>
      <c r="H27792" t="s">
        <v>29794</v>
      </c>
    </row>
    <row r="27793" spans="1:8">
      <c r="F27793" t="s">
        <v>13416</v>
      </c>
      <c r="G27793" t="s">
        <v>17542</v>
      </c>
      <c r="H27793" t="s">
        <v>29794</v>
      </c>
    </row>
    <row r="27794" spans="1:8">
      <c r="F27794" t="s">
        <v>13255</v>
      </c>
      <c r="G27794" t="s">
        <v>17393</v>
      </c>
      <c r="H27794" t="s">
        <v>29794</v>
      </c>
    </row>
    <row r="27795" spans="1:8">
      <c r="A27795" t="s">
        <v>1800</v>
      </c>
      <c r="B27795">
        <f>HYPERLINK("https://android.googlesource.com/platform/cts/+/2829aa356851145c157467ffeaac080ef2a14f1e", "2829aa356851145c157467ffeaac080ef2a14f1e")</f>
        <v>0</v>
      </c>
      <c r="C27795">
        <f>HYPERLINK("https://android.googlesource.com/platform/cts/+/60f77a64b56818e118e75a2dcf05d87186bbc660", "60f77a64b56818e118e75a2dcf05d87186bbc660")</f>
        <v>0</v>
      </c>
      <c r="D27795" t="s">
        <v>5131</v>
      </c>
      <c r="E27795" t="s">
        <v>7551</v>
      </c>
      <c r="F27795" t="s">
        <v>13430</v>
      </c>
      <c r="G27795" t="s">
        <v>17554</v>
      </c>
      <c r="H27795" t="s">
        <v>29795</v>
      </c>
    </row>
    <row r="27796" spans="1:8">
      <c r="A27796" t="s">
        <v>1801</v>
      </c>
      <c r="B27796">
        <f>HYPERLINK("https://android.googlesource.com/platform/cts/+/ea42c31733f2dab665073c7b9db0e946dd442ed6", "ea42c31733f2dab665073c7b9db0e946dd442ed6")</f>
        <v>0</v>
      </c>
      <c r="C27796">
        <f>HYPERLINK("https://android.googlesource.com/platform/cts/+/b75fac9354e55876b0e50dde329da61d65f0bfbe", "b75fac9354e55876b0e50dde329da61d65f0bfbe")</f>
        <v>0</v>
      </c>
      <c r="D27796" t="s">
        <v>5126</v>
      </c>
      <c r="E27796" t="s">
        <v>7552</v>
      </c>
      <c r="F27796" t="s">
        <v>13209</v>
      </c>
      <c r="G27796" t="s">
        <v>17350</v>
      </c>
      <c r="H27796" t="s">
        <v>29796</v>
      </c>
    </row>
    <row r="27797" spans="1:8">
      <c r="A27797" t="s">
        <v>1802</v>
      </c>
      <c r="B27797">
        <f>HYPERLINK("https://android.googlesource.com/platform/cts/+/a2e1390f05a5f7b55795ab111a4f7d374ad08c4f", "a2e1390f05a5f7b55795ab111a4f7d374ad08c4f")</f>
        <v>0</v>
      </c>
      <c r="C27797">
        <f>HYPERLINK("https://android.googlesource.com/platform/cts/+/75ae3e1c15aeb84bb08e5ff49e62ccc6ae2e2665", "75ae3e1c15aeb84bb08e5ff49e62ccc6ae2e2665")</f>
        <v>0</v>
      </c>
      <c r="D27797" t="s">
        <v>5280</v>
      </c>
      <c r="E27797" t="s">
        <v>7553</v>
      </c>
      <c r="F27797" t="s">
        <v>12710</v>
      </c>
      <c r="G27797" t="s">
        <v>16911</v>
      </c>
      <c r="H27797" t="s">
        <v>29797</v>
      </c>
    </row>
    <row r="27798" spans="1:8">
      <c r="A27798" t="s">
        <v>1803</v>
      </c>
      <c r="B27798">
        <f>HYPERLINK("https://android.googlesource.com/platform/cts/+/06c47e3298a42ca6b70aa1d516edec019aca9d45", "06c47e3298a42ca6b70aa1d516edec019aca9d45")</f>
        <v>0</v>
      </c>
      <c r="C27798">
        <f>HYPERLINK("https://android.googlesource.com/platform/cts/+/b75fac9354e55876b0e50dde329da61d65f0bfbe", "b75fac9354e55876b0e50dde329da61d65f0bfbe")</f>
        <v>0</v>
      </c>
      <c r="D27798" t="s">
        <v>5281</v>
      </c>
      <c r="E27798" t="s">
        <v>7554</v>
      </c>
      <c r="F27798" t="s">
        <v>13431</v>
      </c>
      <c r="G27798" t="s">
        <v>17555</v>
      </c>
      <c r="H27798" t="s">
        <v>18829</v>
      </c>
    </row>
    <row r="27799" spans="1:8">
      <c r="H27799" t="s">
        <v>18863</v>
      </c>
    </row>
    <row r="27800" spans="1:8">
      <c r="H27800" t="s">
        <v>29798</v>
      </c>
    </row>
    <row r="27801" spans="1:8">
      <c r="A27801" t="s">
        <v>1806</v>
      </c>
      <c r="B27801">
        <f>HYPERLINK("https://android.googlesource.com/platform/cts/+/a6490cbf87d8a2ab182b30af44ca00933cb9ab5b", "a6490cbf87d8a2ab182b30af44ca00933cb9ab5b")</f>
        <v>0</v>
      </c>
      <c r="C27801">
        <f>HYPERLINK("https://android.googlesource.com/platform/cts/+/c0bd71ea57614aafaf9eb287e5e4c3f308221fec", "c0bd71ea57614aafaf9eb287e5e4c3f308221fec")</f>
        <v>0</v>
      </c>
      <c r="D27801" t="s">
        <v>5046</v>
      </c>
      <c r="E27801" t="s">
        <v>7556</v>
      </c>
      <c r="F27801" t="s">
        <v>13432</v>
      </c>
      <c r="G27801" t="s">
        <v>17556</v>
      </c>
      <c r="H27801" t="s">
        <v>29799</v>
      </c>
    </row>
    <row r="27802" spans="1:8">
      <c r="F27802" t="s">
        <v>13433</v>
      </c>
      <c r="G27802" t="s">
        <v>17557</v>
      </c>
      <c r="H27802" t="s">
        <v>29800</v>
      </c>
    </row>
    <row r="27803" spans="1:8">
      <c r="A27803" t="s">
        <v>1807</v>
      </c>
      <c r="B27803">
        <f>HYPERLINK("https://android.googlesource.com/platform/cts/+/807291f0bc780df7c37169fc4e340937f7f321d2", "807291f0bc780df7c37169fc4e340937f7f321d2")</f>
        <v>0</v>
      </c>
      <c r="C27803">
        <f>HYPERLINK("https://android.googlesource.com/platform/cts/+/b6cb77792e3abf2fbf4d4abbd32d01809713db15", "b6cb77792e3abf2fbf4d4abbd32d01809713db15")</f>
        <v>0</v>
      </c>
      <c r="D27803" t="s">
        <v>5046</v>
      </c>
      <c r="E27803" t="s">
        <v>7557</v>
      </c>
      <c r="F27803" t="s">
        <v>13432</v>
      </c>
      <c r="G27803" t="s">
        <v>17556</v>
      </c>
      <c r="H27803" t="s">
        <v>29801</v>
      </c>
    </row>
    <row r="27804" spans="1:8">
      <c r="H27804" t="s">
        <v>29802</v>
      </c>
    </row>
    <row r="27805" spans="1:8">
      <c r="F27805" t="s">
        <v>13434</v>
      </c>
      <c r="G27805" t="s">
        <v>17558</v>
      </c>
      <c r="H27805" t="s">
        <v>29803</v>
      </c>
    </row>
    <row r="27806" spans="1:8">
      <c r="F27806" t="s">
        <v>13433</v>
      </c>
      <c r="G27806" t="s">
        <v>17557</v>
      </c>
      <c r="H27806" t="s">
        <v>29804</v>
      </c>
    </row>
    <row r="27807" spans="1:8">
      <c r="H27807" t="s">
        <v>29805</v>
      </c>
    </row>
    <row r="27808" spans="1:8">
      <c r="H27808" t="s">
        <v>29806</v>
      </c>
    </row>
    <row r="27809" spans="1:8">
      <c r="A27809" t="s">
        <v>1808</v>
      </c>
      <c r="B27809">
        <f>HYPERLINK("https://android.googlesource.com/platform/cts/+/801e003859087338f28e98e1c4ab804acd3c4559", "801e003859087338f28e98e1c4ab804acd3c4559")</f>
        <v>0</v>
      </c>
      <c r="C27809">
        <f>HYPERLINK("https://android.googlesource.com/platform/cts/+/21991702d510ae724b1e14976dd36cfa4929dd60", "21991702d510ae724b1e14976dd36cfa4929dd60")</f>
        <v>0</v>
      </c>
      <c r="D27809" t="s">
        <v>4981</v>
      </c>
      <c r="E27809" t="s">
        <v>7558</v>
      </c>
      <c r="F27809" t="s">
        <v>13261</v>
      </c>
      <c r="G27809" t="s">
        <v>17399</v>
      </c>
      <c r="H27809" t="s">
        <v>29807</v>
      </c>
    </row>
    <row r="27810" spans="1:8">
      <c r="F27810" t="s">
        <v>13285</v>
      </c>
      <c r="G27810" t="s">
        <v>17422</v>
      </c>
      <c r="H27810" t="s">
        <v>29807</v>
      </c>
    </row>
    <row r="27811" spans="1:8">
      <c r="A27811" t="s">
        <v>1809</v>
      </c>
      <c r="B27811">
        <f>HYPERLINK("https://android.googlesource.com/platform/cts/+/ed3a992d99ee7e2c176fc90ac44b06d84ba4fbff", "ed3a992d99ee7e2c176fc90ac44b06d84ba4fbff")</f>
        <v>0</v>
      </c>
      <c r="C27811">
        <f>HYPERLINK("https://android.googlesource.com/platform/cts/+/21991702d510ae724b1e14976dd36cfa4929dd60", "21991702d510ae724b1e14976dd36cfa4929dd60")</f>
        <v>0</v>
      </c>
      <c r="D27811" t="s">
        <v>4981</v>
      </c>
      <c r="E27811" t="s">
        <v>7559</v>
      </c>
      <c r="F27811" t="s">
        <v>13435</v>
      </c>
      <c r="G27811" t="s">
        <v>17559</v>
      </c>
      <c r="H27811" t="s">
        <v>18829</v>
      </c>
    </row>
    <row r="27812" spans="1:8">
      <c r="H27812" t="s">
        <v>18863</v>
      </c>
    </row>
    <row r="27813" spans="1:8">
      <c r="A27813" t="s">
        <v>1810</v>
      </c>
      <c r="B27813">
        <f>HYPERLINK("https://android.googlesource.com/platform/cts/+/d1346481a6b78027ac9f3bb2c1199a3ee2e8d491", "d1346481a6b78027ac9f3bb2c1199a3ee2e8d491")</f>
        <v>0</v>
      </c>
      <c r="C27813">
        <f>HYPERLINK("https://android.googlesource.com/platform/cts/+/9a04818f3fcb1e799e843cb124d39b6934faca31", "9a04818f3fcb1e799e843cb124d39b6934faca31")</f>
        <v>0</v>
      </c>
      <c r="D27813" t="s">
        <v>5117</v>
      </c>
      <c r="E27813" t="s">
        <v>7560</v>
      </c>
      <c r="F27813" t="s">
        <v>13253</v>
      </c>
      <c r="G27813" t="s">
        <v>16455</v>
      </c>
      <c r="H27813" t="s">
        <v>29808</v>
      </c>
    </row>
    <row r="27814" spans="1:8">
      <c r="F27814" t="s">
        <v>13254</v>
      </c>
      <c r="G27814" t="s">
        <v>16545</v>
      </c>
      <c r="H27814" t="s">
        <v>29808</v>
      </c>
    </row>
    <row r="27815" spans="1:8">
      <c r="A27815" t="s">
        <v>1812</v>
      </c>
      <c r="B27815">
        <f>HYPERLINK("https://android.googlesource.com/platform/cts/+/bfba20642aafa956e2a3940633fa8cb4a6fc2da1", "bfba20642aafa956e2a3940633fa8cb4a6fc2da1")</f>
        <v>0</v>
      </c>
      <c r="C27815">
        <f>HYPERLINK("https://android.googlesource.com/platform/cts/+/4079c781ed14c8c53a29b4d2fd584702b220789e", "4079c781ed14c8c53a29b4d2fd584702b220789e")</f>
        <v>0</v>
      </c>
      <c r="D27815" t="s">
        <v>5211</v>
      </c>
      <c r="E27815" t="s">
        <v>7561</v>
      </c>
      <c r="F27815" t="s">
        <v>13436</v>
      </c>
      <c r="G27815" t="s">
        <v>17514</v>
      </c>
      <c r="H27815" t="s">
        <v>29809</v>
      </c>
    </row>
    <row r="27816" spans="1:8">
      <c r="H27816" t="s">
        <v>21323</v>
      </c>
    </row>
    <row r="27817" spans="1:8">
      <c r="H27817" t="s">
        <v>29810</v>
      </c>
    </row>
    <row r="27818" spans="1:8">
      <c r="H27818" t="s">
        <v>29811</v>
      </c>
    </row>
    <row r="27819" spans="1:8">
      <c r="H27819" t="s">
        <v>29812</v>
      </c>
    </row>
    <row r="27820" spans="1:8">
      <c r="A27820" t="s">
        <v>1815</v>
      </c>
      <c r="B27820">
        <f>HYPERLINK("https://android.googlesource.com/platform/cts/+/94868587b11c576580797b6df42af79a704632b6", "94868587b11c576580797b6df42af79a704632b6")</f>
        <v>0</v>
      </c>
      <c r="C27820">
        <f>HYPERLINK("https://android.googlesource.com/platform/cts/+/884097c59f91a98ad62f45514b35da86cec7060e", "884097c59f91a98ad62f45514b35da86cec7060e")</f>
        <v>0</v>
      </c>
      <c r="D27820" t="s">
        <v>5110</v>
      </c>
      <c r="E27820" t="s">
        <v>7563</v>
      </c>
      <c r="F27820" t="s">
        <v>13437</v>
      </c>
      <c r="G27820" t="s">
        <v>17560</v>
      </c>
      <c r="H27820" t="s">
        <v>26873</v>
      </c>
    </row>
    <row r="27821" spans="1:8">
      <c r="H27821" t="s">
        <v>29813</v>
      </c>
    </row>
    <row r="27822" spans="1:8">
      <c r="H27822" t="s">
        <v>29814</v>
      </c>
    </row>
    <row r="27823" spans="1:8">
      <c r="H27823" t="s">
        <v>29815</v>
      </c>
    </row>
    <row r="27824" spans="1:8">
      <c r="H27824" t="s">
        <v>28516</v>
      </c>
    </row>
    <row r="27825" spans="1:8">
      <c r="H27825" t="s">
        <v>29816</v>
      </c>
    </row>
    <row r="27826" spans="1:8">
      <c r="A27826" t="s">
        <v>1816</v>
      </c>
      <c r="B27826">
        <f>HYPERLINK("https://android.googlesource.com/platform/cts/+/02f7f4a5bfc8749962f1634ef83b96ab2a3150ac", "02f7f4a5bfc8749962f1634ef83b96ab2a3150ac")</f>
        <v>0</v>
      </c>
      <c r="C27826">
        <f>HYPERLINK("https://android.googlesource.com/platform/cts/+/40d7fbd4b39b1a6751ddf12dbd2d1639e99d3d45", "40d7fbd4b39b1a6751ddf12dbd2d1639e99d3d45")</f>
        <v>0</v>
      </c>
      <c r="D27826" t="s">
        <v>5046</v>
      </c>
      <c r="E27826" t="s">
        <v>7564</v>
      </c>
      <c r="F27826" t="s">
        <v>13432</v>
      </c>
      <c r="G27826" t="s">
        <v>17556</v>
      </c>
      <c r="H27826" t="s">
        <v>29817</v>
      </c>
    </row>
    <row r="27827" spans="1:8">
      <c r="A27827" t="s">
        <v>1817</v>
      </c>
      <c r="B27827">
        <f>HYPERLINK("https://android.googlesource.com/platform/cts/+/4a57cf66a84bf42515b02e1260651dd00eccdd40", "4a57cf66a84bf42515b02e1260651dd00eccdd40")</f>
        <v>0</v>
      </c>
      <c r="C27827">
        <f>HYPERLINK("https://android.googlesource.com/platform/cts/+/6cbde11fdb8f037fae5fc8425d04b42e56fe1c0b", "6cbde11fdb8f037fae5fc8425d04b42e56fe1c0b")</f>
        <v>0</v>
      </c>
      <c r="D27827" t="s">
        <v>5046</v>
      </c>
      <c r="E27827" t="s">
        <v>7565</v>
      </c>
      <c r="F27827" t="s">
        <v>13438</v>
      </c>
      <c r="G27827" t="s">
        <v>17561</v>
      </c>
      <c r="H27827" t="s">
        <v>29769</v>
      </c>
    </row>
    <row r="27828" spans="1:8">
      <c r="F27828" t="s">
        <v>13439</v>
      </c>
      <c r="G27828" t="s">
        <v>17139</v>
      </c>
      <c r="H27828" t="s">
        <v>29769</v>
      </c>
    </row>
    <row r="27829" spans="1:8">
      <c r="A27829" t="s">
        <v>1818</v>
      </c>
      <c r="B27829">
        <f>HYPERLINK("https://android.googlesource.com/platform/cts/+/f6949d08c0ece339cbfeaa653e1e69c36529559f", "f6949d08c0ece339cbfeaa653e1e69c36529559f")</f>
        <v>0</v>
      </c>
      <c r="C27829">
        <f>HYPERLINK("https://android.googlesource.com/platform/cts/+/99d9d9718502356286e0b1847d2e06da0347c4b4", "99d9d9718502356286e0b1847d2e06da0347c4b4")</f>
        <v>0</v>
      </c>
      <c r="D27829" t="s">
        <v>5046</v>
      </c>
      <c r="E27829" t="s">
        <v>7566</v>
      </c>
      <c r="F27829" t="s">
        <v>13432</v>
      </c>
      <c r="G27829" t="s">
        <v>17556</v>
      </c>
      <c r="H27829" t="s">
        <v>29818</v>
      </c>
    </row>
    <row r="27830" spans="1:8">
      <c r="H27830" t="s">
        <v>29819</v>
      </c>
    </row>
    <row r="27831" spans="1:8">
      <c r="H27831" t="s">
        <v>29820</v>
      </c>
    </row>
    <row r="27832" spans="1:8">
      <c r="F27832" t="s">
        <v>13434</v>
      </c>
      <c r="G27832" t="s">
        <v>17558</v>
      </c>
      <c r="H27832" t="s">
        <v>29821</v>
      </c>
    </row>
    <row r="27833" spans="1:8">
      <c r="H27833" t="s">
        <v>29822</v>
      </c>
    </row>
    <row r="27834" spans="1:8">
      <c r="F27834" t="s">
        <v>13433</v>
      </c>
      <c r="G27834" t="s">
        <v>17557</v>
      </c>
      <c r="H27834" t="s">
        <v>29823</v>
      </c>
    </row>
    <row r="27835" spans="1:8">
      <c r="H27835" t="s">
        <v>29824</v>
      </c>
    </row>
    <row r="27836" spans="1:8">
      <c r="A27836" t="s">
        <v>1819</v>
      </c>
      <c r="B27836">
        <f>HYPERLINK("https://android.googlesource.com/platform/cts/+/5cd9b6918363be2b4caea662427e55afd9d50e23", "5cd9b6918363be2b4caea662427e55afd9d50e23")</f>
        <v>0</v>
      </c>
      <c r="C27836">
        <f>HYPERLINK("https://android.googlesource.com/platform/cts/+/2e8aa2f2ce017bc271e2d1d115a5cf989556c353", "2e8aa2f2ce017bc271e2d1d115a5cf989556c353")</f>
        <v>0</v>
      </c>
      <c r="D27836" t="s">
        <v>5282</v>
      </c>
      <c r="E27836" t="s">
        <v>7567</v>
      </c>
      <c r="F27836" t="s">
        <v>13317</v>
      </c>
      <c r="G27836" t="s">
        <v>17448</v>
      </c>
      <c r="H27836" t="s">
        <v>29825</v>
      </c>
    </row>
    <row r="27837" spans="1:8">
      <c r="A27837" t="s">
        <v>1821</v>
      </c>
      <c r="B27837">
        <f>HYPERLINK("https://android.googlesource.com/platform/cts/+/27a09701c8190a1aaf829de288c34bdf9bc43d54", "27a09701c8190a1aaf829de288c34bdf9bc43d54")</f>
        <v>0</v>
      </c>
      <c r="C27837">
        <f>HYPERLINK("https://android.googlesource.com/platform/cts/+/a2e1390f05a5f7b55795ab111a4f7d374ad08c4f", "a2e1390f05a5f7b55795ab111a4f7d374ad08c4f")</f>
        <v>0</v>
      </c>
      <c r="D27837" t="s">
        <v>5280</v>
      </c>
      <c r="E27837" t="s">
        <v>7568</v>
      </c>
      <c r="F27837" t="s">
        <v>12710</v>
      </c>
      <c r="G27837" t="s">
        <v>16911</v>
      </c>
      <c r="H27837" t="s">
        <v>29826</v>
      </c>
    </row>
    <row r="27838" spans="1:8">
      <c r="A27838" t="s">
        <v>1822</v>
      </c>
      <c r="B27838">
        <f>HYPERLINK("https://android.googlesource.com/platform/cts/+/8b285538aaca0f6945a74c90309d5f2c2fd73288", "8b285538aaca0f6945a74c90309d5f2c2fd73288")</f>
        <v>0</v>
      </c>
      <c r="C27838">
        <f>HYPERLINK("https://android.googlesource.com/platform/cts/+/e5683a73191951a9e19b3c998da88cfd955ca022", "e5683a73191951a9e19b3c998da88cfd955ca022")</f>
        <v>0</v>
      </c>
      <c r="D27838" t="s">
        <v>5283</v>
      </c>
      <c r="E27838" t="s">
        <v>7569</v>
      </c>
      <c r="F27838" t="s">
        <v>13440</v>
      </c>
      <c r="G27838" t="s">
        <v>17562</v>
      </c>
      <c r="H27838" t="s">
        <v>29827</v>
      </c>
    </row>
    <row r="27839" spans="1:8">
      <c r="A27839" t="s">
        <v>1823</v>
      </c>
      <c r="B27839">
        <f>HYPERLINK("https://android.googlesource.com/platform/cts/+/07383f52e40d18baeac3a1188f8b472f4b0672ab", "07383f52e40d18baeac3a1188f8b472f4b0672ab")</f>
        <v>0</v>
      </c>
      <c r="C27839">
        <f>HYPERLINK("https://android.googlesource.com/platform/cts/+/4cd3817c07355301dab0f158bbe3d44c182c1849", "4cd3817c07355301dab0f158bbe3d44c182c1849")</f>
        <v>0</v>
      </c>
      <c r="D27839" t="s">
        <v>5146</v>
      </c>
      <c r="E27839" t="s">
        <v>7570</v>
      </c>
      <c r="F27839" t="s">
        <v>12844</v>
      </c>
      <c r="G27839" t="s">
        <v>17016</v>
      </c>
      <c r="H27839" t="s">
        <v>29828</v>
      </c>
    </row>
    <row r="27840" spans="1:8">
      <c r="H27840" t="s">
        <v>26611</v>
      </c>
    </row>
    <row r="27841" spans="1:8">
      <c r="F27841" t="s">
        <v>12845</v>
      </c>
      <c r="G27841" t="s">
        <v>16561</v>
      </c>
      <c r="H27841" t="s">
        <v>20276</v>
      </c>
    </row>
    <row r="27842" spans="1:8">
      <c r="H27842" t="s">
        <v>20277</v>
      </c>
    </row>
    <row r="27843" spans="1:8">
      <c r="H27843" t="s">
        <v>29829</v>
      </c>
    </row>
    <row r="27844" spans="1:8">
      <c r="F27844" t="s">
        <v>12860</v>
      </c>
      <c r="G27844" t="s">
        <v>17029</v>
      </c>
      <c r="H27844" t="s">
        <v>29830</v>
      </c>
    </row>
    <row r="27845" spans="1:8">
      <c r="H27845" t="s">
        <v>18863</v>
      </c>
    </row>
    <row r="27846" spans="1:8">
      <c r="H27846" t="s">
        <v>29831</v>
      </c>
    </row>
    <row r="27847" spans="1:8">
      <c r="H27847" t="s">
        <v>29832</v>
      </c>
    </row>
    <row r="27848" spans="1:8">
      <c r="A27848" t="s">
        <v>1824</v>
      </c>
      <c r="B27848">
        <f>HYPERLINK("https://android.googlesource.com/platform/cts/+/14ed8271cfd86219aa309ecb6927cfa96a31ec56", "14ed8271cfd86219aa309ecb6927cfa96a31ec56")</f>
        <v>0</v>
      </c>
      <c r="C27848">
        <f>HYPERLINK("https://android.googlesource.com/platform/cts/+/62edcb727db126775c6d767693d36355de37156f", "62edcb727db126775c6d767693d36355de37156f")</f>
        <v>0</v>
      </c>
      <c r="D27848" t="s">
        <v>5134</v>
      </c>
      <c r="E27848" t="s">
        <v>7571</v>
      </c>
      <c r="F27848" t="s">
        <v>13421</v>
      </c>
      <c r="G27848" t="s">
        <v>17545</v>
      </c>
      <c r="H27848" t="s">
        <v>29757</v>
      </c>
    </row>
    <row r="27849" spans="1:8">
      <c r="H27849" t="s">
        <v>29758</v>
      </c>
    </row>
    <row r="27850" spans="1:8">
      <c r="A27850" t="s">
        <v>1826</v>
      </c>
      <c r="B27850">
        <f>HYPERLINK("https://android.googlesource.com/platform/cts/+/221f4490ff727a5eb7438202deb37f0bfff75d2e", "221f4490ff727a5eb7438202deb37f0bfff75d2e")</f>
        <v>0</v>
      </c>
      <c r="C27850">
        <f>HYPERLINK("https://android.googlesource.com/platform/cts/+/63155514a029c2e0763d1132ab8326bb4a6e8a3d", "63155514a029c2e0763d1132ab8326bb4a6e8a3d")</f>
        <v>0</v>
      </c>
      <c r="D27850" t="s">
        <v>5284</v>
      </c>
      <c r="E27850" t="s">
        <v>7573</v>
      </c>
      <c r="F27850" t="s">
        <v>13441</v>
      </c>
      <c r="G27850" t="s">
        <v>17563</v>
      </c>
      <c r="H27850" t="s">
        <v>29833</v>
      </c>
    </row>
    <row r="27851" spans="1:8">
      <c r="H27851" t="s">
        <v>29834</v>
      </c>
    </row>
    <row r="27852" spans="1:8">
      <c r="H27852" t="s">
        <v>29835</v>
      </c>
    </row>
    <row r="27853" spans="1:8">
      <c r="A27853" t="s">
        <v>1827</v>
      </c>
      <c r="B27853">
        <f>HYPERLINK("https://android.googlesource.com/platform/cts/+/8b022c8c608ebaa48a5b94880a1eeb125aefc042", "8b022c8c608ebaa48a5b94880a1eeb125aefc042")</f>
        <v>0</v>
      </c>
      <c r="C27853">
        <f>HYPERLINK("https://android.googlesource.com/platform/cts/+/ee58e66f8526ac1eb6985f209ce116aa1aed2b45", "ee58e66f8526ac1eb6985f209ce116aa1aed2b45")</f>
        <v>0</v>
      </c>
      <c r="D27853" t="s">
        <v>5285</v>
      </c>
      <c r="E27853" t="s">
        <v>7574</v>
      </c>
      <c r="F27853" t="s">
        <v>13162</v>
      </c>
      <c r="G27853" t="s">
        <v>16987</v>
      </c>
      <c r="H27853" t="s">
        <v>29836</v>
      </c>
    </row>
    <row r="27854" spans="1:8">
      <c r="F27854" t="s">
        <v>12629</v>
      </c>
      <c r="G27854" t="s">
        <v>16838</v>
      </c>
      <c r="H27854" t="s">
        <v>29837</v>
      </c>
    </row>
    <row r="27855" spans="1:8">
      <c r="H27855" t="s">
        <v>29838</v>
      </c>
    </row>
    <row r="27856" spans="1:8">
      <c r="A27856" t="s">
        <v>1828</v>
      </c>
      <c r="B27856">
        <f>HYPERLINK("https://android.googlesource.com/platform/cts/+/954353183ff7015400865d49b6e88849d390d7d7", "954353183ff7015400865d49b6e88849d390d7d7")</f>
        <v>0</v>
      </c>
      <c r="C27856">
        <f>HYPERLINK("https://android.googlesource.com/platform/cts/+/2453cffe529ca1e49b8934d351a465387ffeff77", "2453cffe529ca1e49b8934d351a465387ffeff77")</f>
        <v>0</v>
      </c>
      <c r="D27856" t="s">
        <v>5286</v>
      </c>
      <c r="E27856" t="s">
        <v>7575</v>
      </c>
      <c r="F27856" t="s">
        <v>12732</v>
      </c>
      <c r="G27856" t="s">
        <v>16926</v>
      </c>
      <c r="H27856" t="s">
        <v>29839</v>
      </c>
    </row>
    <row r="27857" spans="1:8">
      <c r="A27857" t="s">
        <v>1829</v>
      </c>
      <c r="B27857">
        <f>HYPERLINK("https://android.googlesource.com/platform/cts/+/2b9275d1f57251d2b242a9b55da602cf0ee0bc93", "2b9275d1f57251d2b242a9b55da602cf0ee0bc93")</f>
        <v>0</v>
      </c>
      <c r="C27857">
        <f>HYPERLINK("https://android.googlesource.com/platform/cts/+/1c3f4ccbd8b402ea2c777293dd6df5ce44a7b1a2", "1c3f4ccbd8b402ea2c777293dd6df5ce44a7b1a2")</f>
        <v>0</v>
      </c>
      <c r="D27857" t="s">
        <v>5287</v>
      </c>
      <c r="E27857" t="s">
        <v>7576</v>
      </c>
      <c r="F27857" t="s">
        <v>13442</v>
      </c>
      <c r="G27857" t="s">
        <v>17564</v>
      </c>
      <c r="H27857" t="s">
        <v>29840</v>
      </c>
    </row>
    <row r="27858" spans="1:8">
      <c r="A27858" t="s">
        <v>1830</v>
      </c>
      <c r="B27858">
        <f>HYPERLINK("https://android.googlesource.com/platform/cts/+/4fcbb81d4fdff0fab6aebffebff67af697d90986", "4fcbb81d4fdff0fab6aebffebff67af697d90986")</f>
        <v>0</v>
      </c>
      <c r="C27858">
        <f>HYPERLINK("https://android.googlesource.com/platform/cts/+/98c0df34658acc8fdf27d6cd44050d4844770b63", "98c0df34658acc8fdf27d6cd44050d4844770b63")</f>
        <v>0</v>
      </c>
      <c r="D27858" t="s">
        <v>5280</v>
      </c>
      <c r="E27858" t="s">
        <v>7577</v>
      </c>
      <c r="F27858" t="s">
        <v>12710</v>
      </c>
      <c r="G27858" t="s">
        <v>16911</v>
      </c>
      <c r="H27858" t="s">
        <v>29584</v>
      </c>
    </row>
    <row r="27859" spans="1:8">
      <c r="A27859" t="s">
        <v>1831</v>
      </c>
      <c r="B27859">
        <f>HYPERLINK("https://android.googlesource.com/platform/cts/+/f97dae10da147e411db188c6b354fe3cbd3520a1", "f97dae10da147e411db188c6b354fe3cbd3520a1")</f>
        <v>0</v>
      </c>
      <c r="C27859">
        <f>HYPERLINK("https://android.googlesource.com/platform/cts/+/8ac6cf6f14c7769307db3590234ae2c982afec93", "8ac6cf6f14c7769307db3590234ae2c982afec93")</f>
        <v>0</v>
      </c>
      <c r="D27859" t="s">
        <v>5134</v>
      </c>
      <c r="E27859" t="s">
        <v>7578</v>
      </c>
      <c r="F27859" t="s">
        <v>13421</v>
      </c>
      <c r="G27859" t="s">
        <v>17545</v>
      </c>
      <c r="H27859" t="s">
        <v>22685</v>
      </c>
    </row>
    <row r="27860" spans="1:8">
      <c r="A27860" t="s">
        <v>1832</v>
      </c>
      <c r="B27860">
        <f>HYPERLINK("https://android.googlesource.com/platform/cts/+/14ebdc825353c2b16f66c3a276cb865cab96e69e", "14ebdc825353c2b16f66c3a276cb865cab96e69e")</f>
        <v>0</v>
      </c>
      <c r="C27860">
        <f>HYPERLINK("https://android.googlesource.com/platform/cts/+/4d75df2d3e7bca502354af043fc51c1caf8dfe09", "4d75df2d3e7bca502354af043fc51c1caf8dfe09")</f>
        <v>0</v>
      </c>
      <c r="D27860" t="s">
        <v>5288</v>
      </c>
      <c r="E27860" t="s">
        <v>7579</v>
      </c>
      <c r="F27860" t="s">
        <v>13443</v>
      </c>
      <c r="G27860" t="s">
        <v>17565</v>
      </c>
      <c r="H27860" t="s">
        <v>18829</v>
      </c>
    </row>
    <row r="27861" spans="1:8">
      <c r="F27861" t="s">
        <v>13444</v>
      </c>
      <c r="G27861" t="s">
        <v>17566</v>
      </c>
      <c r="H27861" t="s">
        <v>18829</v>
      </c>
    </row>
    <row r="27862" spans="1:8">
      <c r="H27862" t="s">
        <v>29841</v>
      </c>
    </row>
    <row r="27863" spans="1:8">
      <c r="H27863" t="s">
        <v>29842</v>
      </c>
    </row>
    <row r="27864" spans="1:8">
      <c r="H27864" t="s">
        <v>29843</v>
      </c>
    </row>
    <row r="27865" spans="1:8">
      <c r="F27865" t="s">
        <v>13445</v>
      </c>
      <c r="G27865" t="s">
        <v>17567</v>
      </c>
      <c r="H27865" t="s">
        <v>18829</v>
      </c>
    </row>
    <row r="27866" spans="1:8">
      <c r="H27866" t="s">
        <v>29844</v>
      </c>
    </row>
    <row r="27867" spans="1:8">
      <c r="H27867" t="s">
        <v>29845</v>
      </c>
    </row>
    <row r="27868" spans="1:8">
      <c r="H27868" t="s">
        <v>29846</v>
      </c>
    </row>
    <row r="27869" spans="1:8">
      <c r="H27869" t="s">
        <v>29847</v>
      </c>
    </row>
    <row r="27870" spans="1:8">
      <c r="H27870" t="s">
        <v>28678</v>
      </c>
    </row>
    <row r="27871" spans="1:8">
      <c r="A27871" t="s">
        <v>1833</v>
      </c>
      <c r="B27871">
        <f>HYPERLINK("https://android.googlesource.com/platform/cts/+/509f2cbbe9855468a4551487558b5733dd7efcb8", "509f2cbbe9855468a4551487558b5733dd7efcb8")</f>
        <v>0</v>
      </c>
      <c r="C27871">
        <f>HYPERLINK("https://android.googlesource.com/platform/cts/+/b4f13cde0b0cd988b05305bbc297505b6a383ebf", "b4f13cde0b0cd988b05305bbc297505b6a383ebf")</f>
        <v>0</v>
      </c>
      <c r="D27871" t="s">
        <v>4981</v>
      </c>
      <c r="E27871" t="s">
        <v>7580</v>
      </c>
      <c r="F27871" t="s">
        <v>13348</v>
      </c>
      <c r="G27871" t="s">
        <v>17475</v>
      </c>
      <c r="H27871" t="s">
        <v>29427</v>
      </c>
    </row>
    <row r="27872" spans="1:8">
      <c r="F27872" t="s">
        <v>13332</v>
      </c>
      <c r="G27872" t="s">
        <v>17462</v>
      </c>
      <c r="H27872" t="s">
        <v>29848</v>
      </c>
    </row>
    <row r="27873" spans="1:8">
      <c r="A27873" t="s">
        <v>1834</v>
      </c>
      <c r="B27873">
        <f>HYPERLINK("https://android.googlesource.com/platform/cts/+/5d268e23679340f6217b77b32480a2c331cc62ee", "5d268e23679340f6217b77b32480a2c331cc62ee")</f>
        <v>0</v>
      </c>
      <c r="C27873">
        <f>HYPERLINK("https://android.googlesource.com/platform/cts/+/dfdcc0eda744be765642560c5f9583822da3907a", "dfdcc0eda744be765642560c5f9583822da3907a")</f>
        <v>0</v>
      </c>
      <c r="D27873" t="s">
        <v>5134</v>
      </c>
      <c r="E27873" t="s">
        <v>7581</v>
      </c>
      <c r="F27873" t="s">
        <v>13446</v>
      </c>
      <c r="G27873" t="s">
        <v>17568</v>
      </c>
      <c r="H27873" t="s">
        <v>29779</v>
      </c>
    </row>
    <row r="27874" spans="1:8">
      <c r="H27874" t="s">
        <v>29780</v>
      </c>
    </row>
    <row r="27875" spans="1:8">
      <c r="H27875" t="s">
        <v>29781</v>
      </c>
    </row>
    <row r="27876" spans="1:8">
      <c r="H27876" t="s">
        <v>29782</v>
      </c>
    </row>
    <row r="27877" spans="1:8">
      <c r="H27877" t="s">
        <v>29783</v>
      </c>
    </row>
    <row r="27878" spans="1:8">
      <c r="H27878" t="s">
        <v>29784</v>
      </c>
    </row>
    <row r="27879" spans="1:8">
      <c r="H27879" t="s">
        <v>29785</v>
      </c>
    </row>
    <row r="27880" spans="1:8">
      <c r="A27880" t="s">
        <v>1835</v>
      </c>
      <c r="B27880">
        <f>HYPERLINK("https://android.googlesource.com/platform/cts/+/b6978a01e06e3dc4ca287c425124742ab9591f4f", "b6978a01e06e3dc4ca287c425124742ab9591f4f")</f>
        <v>0</v>
      </c>
      <c r="C27880">
        <f>HYPERLINK("https://android.googlesource.com/platform/cts/+/3fc318491f7857fd89f8b6966f9ec4f77ff1b4a7", "3fc318491f7857fd89f8b6966f9ec4f77ff1b4a7")</f>
        <v>0</v>
      </c>
      <c r="D27880" t="s">
        <v>5112</v>
      </c>
      <c r="E27880" t="s">
        <v>7582</v>
      </c>
      <c r="F27880" t="s">
        <v>13447</v>
      </c>
      <c r="G27880" t="s">
        <v>17569</v>
      </c>
      <c r="H27880" t="s">
        <v>29849</v>
      </c>
    </row>
    <row r="27881" spans="1:8">
      <c r="H27881" t="s">
        <v>29850</v>
      </c>
    </row>
    <row r="27882" spans="1:8">
      <c r="H27882" t="s">
        <v>29851</v>
      </c>
    </row>
    <row r="27883" spans="1:8">
      <c r="H27883" t="s">
        <v>28492</v>
      </c>
    </row>
    <row r="27884" spans="1:8">
      <c r="A27884" t="s">
        <v>1836</v>
      </c>
      <c r="B27884">
        <f>HYPERLINK("https://android.googlesource.com/platform/cts/+/a1d2c8086f63aaeb87313a778c274e80161b0f46", "a1d2c8086f63aaeb87313a778c274e80161b0f46")</f>
        <v>0</v>
      </c>
      <c r="C27884">
        <f>HYPERLINK("https://android.googlesource.com/platform/cts/+/e7ed22a14357e43b65b6a9258843bfdaa255e0a1", "e7ed22a14357e43b65b6a9258843bfdaa255e0a1")</f>
        <v>0</v>
      </c>
      <c r="D27884" t="s">
        <v>5110</v>
      </c>
      <c r="E27884" t="s">
        <v>7583</v>
      </c>
      <c r="F27884" t="s">
        <v>12629</v>
      </c>
      <c r="G27884" t="s">
        <v>16838</v>
      </c>
      <c r="H27884" t="s">
        <v>29852</v>
      </c>
    </row>
    <row r="27885" spans="1:8">
      <c r="A27885" t="s">
        <v>1837</v>
      </c>
      <c r="B27885">
        <f>HYPERLINK("https://android.googlesource.com/platform/cts/+/a15c8f1c5618f6c28da8a94fc608b7c114eab34c", "a15c8f1c5618f6c28da8a94fc608b7c114eab34c")</f>
        <v>0</v>
      </c>
      <c r="C27885">
        <f>HYPERLINK("https://android.googlesource.com/platform/cts/+/9eb0439a016e0f757b527a94a9c25fa7e69c48f2", "9eb0439a016e0f757b527a94a9c25fa7e69c48f2")</f>
        <v>0</v>
      </c>
      <c r="D27885" t="s">
        <v>5117</v>
      </c>
      <c r="E27885" t="s">
        <v>7584</v>
      </c>
      <c r="F27885" t="s">
        <v>13448</v>
      </c>
      <c r="G27885" t="s">
        <v>17570</v>
      </c>
      <c r="H27885" t="s">
        <v>25497</v>
      </c>
    </row>
    <row r="27886" spans="1:8">
      <c r="H27886" t="s">
        <v>20244</v>
      </c>
    </row>
    <row r="27887" spans="1:8">
      <c r="H27887" t="s">
        <v>18829</v>
      </c>
    </row>
    <row r="27888" spans="1:8">
      <c r="H27888" t="s">
        <v>18863</v>
      </c>
    </row>
    <row r="27889" spans="1:8">
      <c r="H27889" t="s">
        <v>29853</v>
      </c>
    </row>
    <row r="27890" spans="1:8">
      <c r="H27890" t="s">
        <v>29854</v>
      </c>
    </row>
    <row r="27891" spans="1:8">
      <c r="H27891" t="s">
        <v>22590</v>
      </c>
    </row>
    <row r="27892" spans="1:8">
      <c r="A27892" t="s">
        <v>1838</v>
      </c>
      <c r="B27892">
        <f>HYPERLINK("https://android.googlesource.com/platform/cts/+/ac76d8027f5b1db40d4da6af5652a9972c4ba9a8", "ac76d8027f5b1db40d4da6af5652a9972c4ba9a8")</f>
        <v>0</v>
      </c>
      <c r="C27892">
        <f>HYPERLINK("https://android.googlesource.com/platform/cts/+/c383b7276b71f22c9ae4b08e1b21d6dbcc53f1b1", "c383b7276b71f22c9ae4b08e1b21d6dbcc53f1b1")</f>
        <v>0</v>
      </c>
      <c r="D27892" t="s">
        <v>5117</v>
      </c>
      <c r="E27892" t="s">
        <v>7585</v>
      </c>
      <c r="F27892" t="s">
        <v>13449</v>
      </c>
      <c r="G27892" t="s">
        <v>17571</v>
      </c>
      <c r="H27892" t="s">
        <v>18829</v>
      </c>
    </row>
    <row r="27893" spans="1:8">
      <c r="H27893" t="s">
        <v>18863</v>
      </c>
    </row>
    <row r="27894" spans="1:8">
      <c r="H27894" t="s">
        <v>29855</v>
      </c>
    </row>
    <row r="27895" spans="1:8">
      <c r="H27895" t="s">
        <v>29213</v>
      </c>
    </row>
    <row r="27896" spans="1:8">
      <c r="H27896" t="s">
        <v>29856</v>
      </c>
    </row>
    <row r="27897" spans="1:8">
      <c r="H27897" t="s">
        <v>29857</v>
      </c>
    </row>
    <row r="27898" spans="1:8">
      <c r="H27898" t="s">
        <v>29858</v>
      </c>
    </row>
    <row r="27899" spans="1:8">
      <c r="H27899" t="s">
        <v>29859</v>
      </c>
    </row>
    <row r="27900" spans="1:8">
      <c r="H27900" t="s">
        <v>29860</v>
      </c>
    </row>
    <row r="27901" spans="1:8">
      <c r="A27901" t="s">
        <v>1840</v>
      </c>
      <c r="B27901">
        <f>HYPERLINK("https://android.googlesource.com/platform/cts/+/55ba6399004f0fdaa6c7f8e83270532513c72e31", "55ba6399004f0fdaa6c7f8e83270532513c72e31")</f>
        <v>0</v>
      </c>
      <c r="C27901">
        <f>HYPERLINK("https://android.googlesource.com/platform/cts/+/b1864524a50957b2c82a11e62656a87522175e01", "b1864524a50957b2c82a11e62656a87522175e01")</f>
        <v>0</v>
      </c>
      <c r="D27901" t="s">
        <v>5290</v>
      </c>
      <c r="E27901" t="s">
        <v>7586</v>
      </c>
      <c r="F27901" t="s">
        <v>12640</v>
      </c>
      <c r="G27901" t="s">
        <v>16848</v>
      </c>
      <c r="H27901" t="s">
        <v>29861</v>
      </c>
    </row>
    <row r="27902" spans="1:8">
      <c r="A27902" t="s">
        <v>1841</v>
      </c>
      <c r="B27902">
        <f>HYPERLINK("https://android.googlesource.com/platform/cts/+/392b9300fbc3f1ddf7c3e2b8e2d5d6e0b94d1637", "392b9300fbc3f1ddf7c3e2b8e2d5d6e0b94d1637")</f>
        <v>0</v>
      </c>
      <c r="C27902">
        <f>HYPERLINK("https://android.googlesource.com/platform/cts/+/a9e2ea44e979164178abc23740d882db3c297f7a", "a9e2ea44e979164178abc23740d882db3c297f7a")</f>
        <v>0</v>
      </c>
      <c r="D27902" t="s">
        <v>5191</v>
      </c>
      <c r="E27902" t="s">
        <v>7587</v>
      </c>
      <c r="F27902" t="s">
        <v>13404</v>
      </c>
      <c r="G27902" t="s">
        <v>17530</v>
      </c>
      <c r="H27902" t="s">
        <v>18829</v>
      </c>
    </row>
    <row r="27903" spans="1:8">
      <c r="H27903" t="s">
        <v>18927</v>
      </c>
    </row>
    <row r="27904" spans="1:8">
      <c r="H27904" t="s">
        <v>29862</v>
      </c>
    </row>
    <row r="27905" spans="1:8">
      <c r="A27905" t="s">
        <v>1842</v>
      </c>
      <c r="B27905">
        <f>HYPERLINK("https://android.googlesource.com/platform/cts/+/a0b514caf086fb0c54f4dfe4cf5a10da3ee1fef1", "a0b514caf086fb0c54f4dfe4cf5a10da3ee1fef1")</f>
        <v>0</v>
      </c>
      <c r="C27905">
        <f>HYPERLINK("https://android.googlesource.com/platform/cts/+/306a6572c9a18d7b2993df7d9dc095bb2e8827f8", "306a6572c9a18d7b2993df7d9dc095bb2e8827f8")</f>
        <v>0</v>
      </c>
      <c r="D27905" t="s">
        <v>5288</v>
      </c>
      <c r="E27905" t="s">
        <v>7588</v>
      </c>
      <c r="F27905" t="s">
        <v>13450</v>
      </c>
      <c r="G27905" t="s">
        <v>17572</v>
      </c>
      <c r="H27905" t="s">
        <v>29863</v>
      </c>
    </row>
    <row r="27906" spans="1:8">
      <c r="F27906" t="s">
        <v>13451</v>
      </c>
      <c r="G27906" t="s">
        <v>17573</v>
      </c>
      <c r="H27906" t="s">
        <v>29843</v>
      </c>
    </row>
    <row r="27907" spans="1:8">
      <c r="F27907" t="s">
        <v>13452</v>
      </c>
      <c r="G27907" t="s">
        <v>17574</v>
      </c>
      <c r="H27907" t="s">
        <v>29864</v>
      </c>
    </row>
    <row r="27908" spans="1:8">
      <c r="H27908" t="s">
        <v>29841</v>
      </c>
    </row>
    <row r="27909" spans="1:8">
      <c r="H27909" t="s">
        <v>29842</v>
      </c>
    </row>
    <row r="27910" spans="1:8">
      <c r="H27910" t="s">
        <v>29865</v>
      </c>
    </row>
    <row r="27911" spans="1:8">
      <c r="H27911" t="s">
        <v>29866</v>
      </c>
    </row>
    <row r="27912" spans="1:8">
      <c r="F27912" t="s">
        <v>13453</v>
      </c>
      <c r="G27912" t="s">
        <v>17575</v>
      </c>
      <c r="H27912" t="s">
        <v>18829</v>
      </c>
    </row>
    <row r="27913" spans="1:8">
      <c r="H27913" t="s">
        <v>29867</v>
      </c>
    </row>
    <row r="27914" spans="1:8">
      <c r="F27914" t="s">
        <v>13454</v>
      </c>
      <c r="G27914" t="s">
        <v>17576</v>
      </c>
      <c r="H27914" t="s">
        <v>18829</v>
      </c>
    </row>
    <row r="27915" spans="1:8">
      <c r="H27915" t="s">
        <v>28678</v>
      </c>
    </row>
    <row r="27916" spans="1:8">
      <c r="A27916" t="s">
        <v>1843</v>
      </c>
      <c r="B27916">
        <f>HYPERLINK("https://android.googlesource.com/platform/cts/+/f561db77e3e3f7ceb69d4fb1593fe9246eba6907", "f561db77e3e3f7ceb69d4fb1593fe9246eba6907")</f>
        <v>0</v>
      </c>
      <c r="C27916">
        <f>HYPERLINK("https://android.googlesource.com/platform/cts/+/6c9b8f0bf79b97b24a76d6d813aed64314545a5c", "6c9b8f0bf79b97b24a76d6d813aed64314545a5c")</f>
        <v>0</v>
      </c>
      <c r="D27916" t="s">
        <v>5141</v>
      </c>
      <c r="E27916" t="s">
        <v>7589</v>
      </c>
      <c r="F27916" t="s">
        <v>13455</v>
      </c>
      <c r="G27916" t="s">
        <v>17577</v>
      </c>
      <c r="H27916" t="s">
        <v>29868</v>
      </c>
    </row>
    <row r="27917" spans="1:8">
      <c r="H27917" t="s">
        <v>29869</v>
      </c>
    </row>
    <row r="27918" spans="1:8">
      <c r="H27918" t="s">
        <v>29870</v>
      </c>
    </row>
    <row r="27919" spans="1:8">
      <c r="H27919" t="s">
        <v>29871</v>
      </c>
    </row>
    <row r="27920" spans="1:8">
      <c r="H27920" t="s">
        <v>29872</v>
      </c>
    </row>
    <row r="27921" spans="1:8">
      <c r="H27921" t="s">
        <v>29873</v>
      </c>
    </row>
    <row r="27922" spans="1:8">
      <c r="H27922" t="s">
        <v>29269</v>
      </c>
    </row>
    <row r="27923" spans="1:8">
      <c r="H27923" t="s">
        <v>29874</v>
      </c>
    </row>
    <row r="27924" spans="1:8">
      <c r="H27924" t="s">
        <v>29875</v>
      </c>
    </row>
    <row r="27925" spans="1:8">
      <c r="H27925" t="s">
        <v>29270</v>
      </c>
    </row>
    <row r="27926" spans="1:8">
      <c r="H27926" t="s">
        <v>29876</v>
      </c>
    </row>
    <row r="27927" spans="1:8">
      <c r="F27927" t="s">
        <v>10794</v>
      </c>
      <c r="G27927" t="s">
        <v>15189</v>
      </c>
      <c r="H27927" t="s">
        <v>29877</v>
      </c>
    </row>
    <row r="27928" spans="1:8">
      <c r="A27928" t="s">
        <v>1844</v>
      </c>
      <c r="B27928">
        <f>HYPERLINK("https://android.googlesource.com/platform/cts/+/31608ab8c3cfca9e3ef0d1d9d5e2707b338f1842", "31608ab8c3cfca9e3ef0d1d9d5e2707b338f1842")</f>
        <v>0</v>
      </c>
      <c r="C27928">
        <f>HYPERLINK("https://android.googlesource.com/platform/cts/+/752ee2953e0479a16b1dcc24f39220ac9fb6efa1", "752ee2953e0479a16b1dcc24f39220ac9fb6efa1")</f>
        <v>0</v>
      </c>
      <c r="D27928" t="s">
        <v>5245</v>
      </c>
      <c r="E27928" t="s">
        <v>7590</v>
      </c>
      <c r="F27928" t="s">
        <v>13456</v>
      </c>
      <c r="G27928" t="s">
        <v>17578</v>
      </c>
      <c r="H27928" t="s">
        <v>19981</v>
      </c>
    </row>
    <row r="27929" spans="1:8">
      <c r="H27929" t="s">
        <v>29878</v>
      </c>
    </row>
    <row r="27930" spans="1:8">
      <c r="A27930" t="s">
        <v>1845</v>
      </c>
      <c r="B27930">
        <f>HYPERLINK("https://android.googlesource.com/platform/cts/+/6851ec22950f7394498fc51854d01cf8b07c9197", "6851ec22950f7394498fc51854d01cf8b07c9197")</f>
        <v>0</v>
      </c>
      <c r="C27930">
        <f>HYPERLINK("https://android.googlesource.com/platform/cts/+/7dcc9f84272be11509610f6555fd6eb1c404907c", "7dcc9f84272be11509610f6555fd6eb1c404907c")</f>
        <v>0</v>
      </c>
      <c r="D27930" t="s">
        <v>5215</v>
      </c>
      <c r="E27930" t="s">
        <v>7591</v>
      </c>
      <c r="F27930" t="s">
        <v>13032</v>
      </c>
      <c r="G27930" t="s">
        <v>17196</v>
      </c>
      <c r="H27930" t="s">
        <v>29879</v>
      </c>
    </row>
    <row r="27931" spans="1:8">
      <c r="A27931" t="s">
        <v>1846</v>
      </c>
      <c r="B27931">
        <f>HYPERLINK("https://android.googlesource.com/platform/cts/+/5b39028c6dd2503fdc0dfe0532850250cf77ea9c", "5b39028c6dd2503fdc0dfe0532850250cf77ea9c")</f>
        <v>0</v>
      </c>
      <c r="C27931">
        <f>HYPERLINK("https://android.googlesource.com/platform/cts/+/bb251ea23b2c433fb656ce65fee48cc9324982bb", "bb251ea23b2c433fb656ce65fee48cc9324982bb")</f>
        <v>0</v>
      </c>
      <c r="D27931" t="s">
        <v>5110</v>
      </c>
      <c r="E27931" t="s">
        <v>7592</v>
      </c>
      <c r="F27931" t="s">
        <v>12901</v>
      </c>
      <c r="G27931" t="s">
        <v>17068</v>
      </c>
      <c r="H27931" t="s">
        <v>29880</v>
      </c>
    </row>
    <row r="27932" spans="1:8">
      <c r="F27932" t="s">
        <v>12629</v>
      </c>
      <c r="G27932" t="s">
        <v>16838</v>
      </c>
      <c r="H27932" t="s">
        <v>29880</v>
      </c>
    </row>
    <row r="27933" spans="1:8">
      <c r="A27933" t="s">
        <v>1847</v>
      </c>
      <c r="B27933">
        <f>HYPERLINK("https://android.googlesource.com/platform/cts/+/ce31c0566e142ea05ea731755d3c7d3b202254c8", "ce31c0566e142ea05ea731755d3c7d3b202254c8")</f>
        <v>0</v>
      </c>
      <c r="C27933">
        <f>HYPERLINK("https://android.googlesource.com/platform/cts/+/e649acab87effb76c4efb3daa5c45321302e9c9b", "e649acab87effb76c4efb3daa5c45321302e9c9b")</f>
        <v>0</v>
      </c>
      <c r="D27933" t="s">
        <v>5021</v>
      </c>
      <c r="E27933" t="s">
        <v>7593</v>
      </c>
      <c r="F27933" t="s">
        <v>13356</v>
      </c>
      <c r="G27933" t="s">
        <v>14989</v>
      </c>
      <c r="H27933" t="s">
        <v>21486</v>
      </c>
    </row>
    <row r="27934" spans="1:8">
      <c r="H27934" t="s">
        <v>18829</v>
      </c>
    </row>
    <row r="27935" spans="1:8">
      <c r="H27935" t="s">
        <v>29881</v>
      </c>
    </row>
    <row r="27936" spans="1:8">
      <c r="F27936" t="s">
        <v>13457</v>
      </c>
      <c r="G27936" t="s">
        <v>17483</v>
      </c>
      <c r="H27936" t="s">
        <v>21486</v>
      </c>
    </row>
    <row r="27937" spans="8:8">
      <c r="H27937" t="s">
        <v>29435</v>
      </c>
    </row>
    <row r="27938" spans="8:8">
      <c r="H27938" t="s">
        <v>21486</v>
      </c>
    </row>
    <row r="27939" spans="8:8">
      <c r="H27939" t="s">
        <v>29436</v>
      </c>
    </row>
    <row r="27940" spans="8:8">
      <c r="H27940" t="s">
        <v>29882</v>
      </c>
    </row>
    <row r="27941" spans="8:8">
      <c r="H27941" t="s">
        <v>29882</v>
      </c>
    </row>
    <row r="27942" spans="8:8">
      <c r="H27942" t="s">
        <v>29882</v>
      </c>
    </row>
    <row r="27943" spans="8:8">
      <c r="H27943" t="s">
        <v>29882</v>
      </c>
    </row>
    <row r="27944" spans="8:8">
      <c r="H27944" t="s">
        <v>29437</v>
      </c>
    </row>
    <row r="27945" spans="8:8">
      <c r="H27945" t="s">
        <v>29883</v>
      </c>
    </row>
    <row r="27946" spans="8:8">
      <c r="H27946" t="s">
        <v>29884</v>
      </c>
    </row>
    <row r="27947" spans="8:8">
      <c r="H27947" t="s">
        <v>29885</v>
      </c>
    </row>
    <row r="27948" spans="8:8">
      <c r="H27948" t="s">
        <v>29886</v>
      </c>
    </row>
    <row r="27949" spans="8:8">
      <c r="H27949" t="s">
        <v>29887</v>
      </c>
    </row>
    <row r="27950" spans="8:8">
      <c r="H27950" t="s">
        <v>29888</v>
      </c>
    </row>
    <row r="27951" spans="8:8">
      <c r="H27951" t="s">
        <v>29889</v>
      </c>
    </row>
    <row r="27952" spans="8:8">
      <c r="H27952" t="s">
        <v>29890</v>
      </c>
    </row>
    <row r="27953" spans="1:8">
      <c r="H27953" t="s">
        <v>29891</v>
      </c>
    </row>
    <row r="27954" spans="1:8">
      <c r="H27954" t="s">
        <v>29892</v>
      </c>
    </row>
    <row r="27955" spans="1:8">
      <c r="H27955" t="s">
        <v>29893</v>
      </c>
    </row>
    <row r="27956" spans="1:8">
      <c r="H27956" t="s">
        <v>29894</v>
      </c>
    </row>
    <row r="27957" spans="1:8">
      <c r="A27957" t="s">
        <v>1848</v>
      </c>
      <c r="B27957">
        <f>HYPERLINK("https://android.googlesource.com/platform/cts/+/4bbce29c00ab1b989be46ca742ecee9a6ba6a954", "4bbce29c00ab1b989be46ca742ecee9a6ba6a954")</f>
        <v>0</v>
      </c>
      <c r="C27957">
        <f>HYPERLINK("https://android.googlesource.com/platform/cts/+/e649acab87effb76c4efb3daa5c45321302e9c9b", "e649acab87effb76c4efb3daa5c45321302e9c9b")</f>
        <v>0</v>
      </c>
      <c r="D27957" t="s">
        <v>5291</v>
      </c>
      <c r="E27957" t="s">
        <v>7594</v>
      </c>
      <c r="F27957" t="s">
        <v>12762</v>
      </c>
      <c r="G27957" t="s">
        <v>16953</v>
      </c>
      <c r="H27957" t="s">
        <v>29895</v>
      </c>
    </row>
    <row r="27958" spans="1:8">
      <c r="A27958" t="s">
        <v>1849</v>
      </c>
      <c r="B27958">
        <f>HYPERLINK("https://android.googlesource.com/platform/cts/+/56fda356ec383913141bb30629796e229a81fdf2", "56fda356ec383913141bb30629796e229a81fdf2")</f>
        <v>0</v>
      </c>
      <c r="C27958">
        <f>HYPERLINK("https://android.googlesource.com/platform/cts/+/016007174563ddf919019a7eae1b276a063dcfd4", "016007174563ddf919019a7eae1b276a063dcfd4")</f>
        <v>0</v>
      </c>
      <c r="D27958" t="s">
        <v>5014</v>
      </c>
      <c r="E27958" t="s">
        <v>7595</v>
      </c>
      <c r="F27958" t="s">
        <v>13458</v>
      </c>
      <c r="G27958" t="s">
        <v>17579</v>
      </c>
      <c r="H27958" t="s">
        <v>18927</v>
      </c>
    </row>
    <row r="27959" spans="1:8">
      <c r="H27959" t="s">
        <v>18927</v>
      </c>
    </row>
    <row r="27960" spans="1:8">
      <c r="H27960" t="s">
        <v>18927</v>
      </c>
    </row>
    <row r="27961" spans="1:8">
      <c r="H27961" t="s">
        <v>18927</v>
      </c>
    </row>
    <row r="27962" spans="1:8">
      <c r="H27962" t="s">
        <v>18927</v>
      </c>
    </row>
    <row r="27963" spans="1:8">
      <c r="A27963" t="s">
        <v>1850</v>
      </c>
      <c r="B27963">
        <f>HYPERLINK("https://android.googlesource.com/platform/cts/+/d82f3c3a53e3b0cb12dbd3dffb68418ef6e9f019", "d82f3c3a53e3b0cb12dbd3dffb68418ef6e9f019")</f>
        <v>0</v>
      </c>
      <c r="C27963">
        <f>HYPERLINK("https://android.googlesource.com/platform/cts/+/c7712f92b8353a19c68fe49b28ceed88c07403db", "c7712f92b8353a19c68fe49b28ceed88c07403db")</f>
        <v>0</v>
      </c>
      <c r="D27963" t="s">
        <v>5141</v>
      </c>
      <c r="E27963" t="s">
        <v>7596</v>
      </c>
      <c r="F27963" t="s">
        <v>13459</v>
      </c>
      <c r="G27963" t="s">
        <v>17577</v>
      </c>
      <c r="H27963" t="s">
        <v>29868</v>
      </c>
    </row>
    <row r="27964" spans="1:8">
      <c r="H27964" t="s">
        <v>29869</v>
      </c>
    </row>
    <row r="27965" spans="1:8">
      <c r="H27965" t="s">
        <v>29870</v>
      </c>
    </row>
    <row r="27966" spans="1:8">
      <c r="A27966" t="s">
        <v>1851</v>
      </c>
      <c r="B27966">
        <f>HYPERLINK("https://android.googlesource.com/platform/cts/+/9a0291cdd28ffa333414a4c0789689f65e98f95d", "9a0291cdd28ffa333414a4c0789689f65e98f95d")</f>
        <v>0</v>
      </c>
      <c r="C27966">
        <f>HYPERLINK("https://android.googlesource.com/platform/cts/+/c8b4800811bf9e9d388e524bee77ba7d17b1e2b2", "c8b4800811bf9e9d388e524bee77ba7d17b1e2b2")</f>
        <v>0</v>
      </c>
      <c r="D27966" t="s">
        <v>4947</v>
      </c>
      <c r="E27966" t="s">
        <v>7597</v>
      </c>
      <c r="F27966" t="s">
        <v>13460</v>
      </c>
      <c r="G27966" t="s">
        <v>16411</v>
      </c>
      <c r="H27966" t="s">
        <v>18829</v>
      </c>
    </row>
    <row r="27967" spans="1:8">
      <c r="H27967" t="s">
        <v>21256</v>
      </c>
    </row>
    <row r="27968" spans="1:8">
      <c r="H27968" t="s">
        <v>21257</v>
      </c>
    </row>
    <row r="27969" spans="8:8">
      <c r="H27969" t="s">
        <v>21258</v>
      </c>
    </row>
    <row r="27970" spans="8:8">
      <c r="H27970" t="s">
        <v>21259</v>
      </c>
    </row>
    <row r="27971" spans="8:8">
      <c r="H27971" t="s">
        <v>21260</v>
      </c>
    </row>
    <row r="27972" spans="8:8">
      <c r="H27972" t="s">
        <v>21261</v>
      </c>
    </row>
    <row r="27973" spans="8:8">
      <c r="H27973" t="s">
        <v>21262</v>
      </c>
    </row>
    <row r="27974" spans="8:8">
      <c r="H27974" t="s">
        <v>21263</v>
      </c>
    </row>
    <row r="27975" spans="8:8">
      <c r="H27975" t="s">
        <v>21264</v>
      </c>
    </row>
    <row r="27976" spans="8:8">
      <c r="H27976" t="s">
        <v>21265</v>
      </c>
    </row>
    <row r="27977" spans="8:8">
      <c r="H27977" t="s">
        <v>21266</v>
      </c>
    </row>
    <row r="27978" spans="8:8">
      <c r="H27978" t="s">
        <v>21267</v>
      </c>
    </row>
    <row r="27979" spans="8:8">
      <c r="H27979" t="s">
        <v>21268</v>
      </c>
    </row>
    <row r="27980" spans="8:8">
      <c r="H27980" t="s">
        <v>21269</v>
      </c>
    </row>
    <row r="27981" spans="8:8">
      <c r="H27981" t="s">
        <v>21270</v>
      </c>
    </row>
    <row r="27982" spans="8:8">
      <c r="H27982" t="s">
        <v>21271</v>
      </c>
    </row>
    <row r="27983" spans="8:8">
      <c r="H27983" t="s">
        <v>21272</v>
      </c>
    </row>
    <row r="27984" spans="8:8">
      <c r="H27984" t="s">
        <v>21273</v>
      </c>
    </row>
    <row r="27985" spans="1:8">
      <c r="H27985" t="s">
        <v>21274</v>
      </c>
    </row>
    <row r="27986" spans="1:8">
      <c r="H27986" t="s">
        <v>21275</v>
      </c>
    </row>
    <row r="27987" spans="1:8">
      <c r="H27987" t="s">
        <v>21276</v>
      </c>
    </row>
    <row r="27988" spans="1:8">
      <c r="H27988" t="s">
        <v>21277</v>
      </c>
    </row>
    <row r="27989" spans="1:8">
      <c r="H27989" t="s">
        <v>21278</v>
      </c>
    </row>
    <row r="27990" spans="1:8">
      <c r="H27990" t="s">
        <v>21279</v>
      </c>
    </row>
    <row r="27991" spans="1:8">
      <c r="H27991" t="s">
        <v>21280</v>
      </c>
    </row>
    <row r="27992" spans="1:8">
      <c r="H27992" t="s">
        <v>21281</v>
      </c>
    </row>
    <row r="27993" spans="1:8">
      <c r="H27993" t="s">
        <v>21282</v>
      </c>
    </row>
    <row r="27994" spans="1:8">
      <c r="H27994" t="s">
        <v>21283</v>
      </c>
    </row>
    <row r="27995" spans="1:8">
      <c r="A27995" t="s">
        <v>1853</v>
      </c>
      <c r="B27995">
        <f>HYPERLINK("https://android.googlesource.com/platform/cts/+/72c3317b2ab88df346760baa026afb4bcbb51609", "72c3317b2ab88df346760baa026afb4bcbb51609")</f>
        <v>0</v>
      </c>
      <c r="C27995">
        <f>HYPERLINK("https://android.googlesource.com/platform/cts/+/0e926eb597738fe9483785c5492c861ac731c65f", "0e926eb597738fe9483785c5492c861ac731c65f")</f>
        <v>0</v>
      </c>
      <c r="D27995" t="s">
        <v>5147</v>
      </c>
      <c r="E27995" t="s">
        <v>7599</v>
      </c>
      <c r="F27995" t="s">
        <v>13461</v>
      </c>
      <c r="G27995" t="s">
        <v>17580</v>
      </c>
      <c r="H27995" t="s">
        <v>29896</v>
      </c>
    </row>
    <row r="27996" spans="1:8">
      <c r="H27996" t="s">
        <v>29897</v>
      </c>
    </row>
    <row r="27997" spans="1:8">
      <c r="F27997" t="s">
        <v>13462</v>
      </c>
      <c r="G27997" t="s">
        <v>17581</v>
      </c>
      <c r="H27997" t="s">
        <v>29896</v>
      </c>
    </row>
    <row r="27998" spans="1:8">
      <c r="H27998" t="s">
        <v>29898</v>
      </c>
    </row>
    <row r="27999" spans="1:8">
      <c r="H27999" t="s">
        <v>29899</v>
      </c>
    </row>
    <row r="28000" spans="1:8">
      <c r="H28000" t="s">
        <v>29897</v>
      </c>
    </row>
    <row r="28001" spans="1:8">
      <c r="A28001" t="s">
        <v>1854</v>
      </c>
      <c r="B28001">
        <f>HYPERLINK("https://android.googlesource.com/platform/cts/+/43ec86b3d135730f302c88b1570250dd5a089b04", "43ec86b3d135730f302c88b1570250dd5a089b04")</f>
        <v>0</v>
      </c>
      <c r="C28001">
        <f>HYPERLINK("https://android.googlesource.com/platform/cts/+/75c434b68a54a299a2257d646ae1760aedd4c183", "75c434b68a54a299a2257d646ae1760aedd4c183")</f>
        <v>0</v>
      </c>
      <c r="D28001" t="s">
        <v>5083</v>
      </c>
      <c r="E28001" t="s">
        <v>7600</v>
      </c>
      <c r="F28001" t="s">
        <v>13463</v>
      </c>
      <c r="G28001" t="s">
        <v>17582</v>
      </c>
      <c r="H28001" t="s">
        <v>20244</v>
      </c>
    </row>
    <row r="28002" spans="1:8">
      <c r="A28002" t="s">
        <v>1855</v>
      </c>
      <c r="B28002">
        <f>HYPERLINK("https://android.googlesource.com/platform/cts/+/cce120537f28f6ce8b88610b14c722df16e2ab9b", "cce120537f28f6ce8b88610b14c722df16e2ab9b")</f>
        <v>0</v>
      </c>
      <c r="C28002">
        <f>HYPERLINK("https://android.googlesource.com/platform/cts/+/72a91074cd9a6ce30a1d8efcb1b28b59afe3950e", "72a91074cd9a6ce30a1d8efcb1b28b59afe3950e")</f>
        <v>0</v>
      </c>
      <c r="D28002" t="s">
        <v>5110</v>
      </c>
      <c r="E28002" t="s">
        <v>7601</v>
      </c>
      <c r="F28002" t="s">
        <v>13464</v>
      </c>
      <c r="G28002" t="s">
        <v>17583</v>
      </c>
      <c r="H28002" t="s">
        <v>18829</v>
      </c>
    </row>
    <row r="28003" spans="1:8">
      <c r="H28003" t="s">
        <v>18863</v>
      </c>
    </row>
    <row r="28004" spans="1:8">
      <c r="H28004" t="s">
        <v>26176</v>
      </c>
    </row>
    <row r="28005" spans="1:8">
      <c r="H28005" t="s">
        <v>29900</v>
      </c>
    </row>
    <row r="28006" spans="1:8">
      <c r="H28006" t="s">
        <v>29901</v>
      </c>
    </row>
    <row r="28007" spans="1:8">
      <c r="H28007" t="s">
        <v>26181</v>
      </c>
    </row>
    <row r="28008" spans="1:8">
      <c r="A28008" t="s">
        <v>1856</v>
      </c>
      <c r="B28008">
        <f>HYPERLINK("https://android.googlesource.com/platform/cts/+/255ae922c7ce8c2bbf5fcf567c3b368c73397a91", "255ae922c7ce8c2bbf5fcf567c3b368c73397a91")</f>
        <v>0</v>
      </c>
      <c r="C28008">
        <f>HYPERLINK("https://android.googlesource.com/platform/cts/+/11a8e678c564145010e7004cd80daf9a647ff8a9", "11a8e678c564145010e7004cd80daf9a647ff8a9")</f>
        <v>0</v>
      </c>
      <c r="D28008" t="s">
        <v>5127</v>
      </c>
      <c r="E28008" t="s">
        <v>7602</v>
      </c>
      <c r="F28008" t="s">
        <v>13465</v>
      </c>
      <c r="G28008" t="s">
        <v>17584</v>
      </c>
      <c r="H28008" t="s">
        <v>29902</v>
      </c>
    </row>
    <row r="28009" spans="1:8">
      <c r="A28009" t="s">
        <v>1857</v>
      </c>
      <c r="B28009">
        <f>HYPERLINK("https://android.googlesource.com/platform/cts/+/e1ced1a156eaa5d78eed200be6b4ca9e91d6ca7d", "e1ced1a156eaa5d78eed200be6b4ca9e91d6ca7d")</f>
        <v>0</v>
      </c>
      <c r="C28009">
        <f>HYPERLINK("https://android.googlesource.com/platform/cts/+/8226b3138121b780c972d563bb102f5960713707", "8226b3138121b780c972d563bb102f5960713707")</f>
        <v>0</v>
      </c>
      <c r="D28009" t="s">
        <v>5287</v>
      </c>
      <c r="E28009" t="s">
        <v>7603</v>
      </c>
      <c r="F28009" t="s">
        <v>13442</v>
      </c>
      <c r="G28009" t="s">
        <v>17564</v>
      </c>
      <c r="H28009" t="s">
        <v>29903</v>
      </c>
    </row>
    <row r="28010" spans="1:8">
      <c r="A28010" t="s">
        <v>1858</v>
      </c>
      <c r="B28010">
        <f>HYPERLINK("https://android.googlesource.com/platform/cts/+/9f640593185774420fa411fc6d9b014d6489869a", "9f640593185774420fa411fc6d9b014d6489869a")</f>
        <v>0</v>
      </c>
      <c r="C28010">
        <f>HYPERLINK("https://android.googlesource.com/platform/cts/+/56e3ade7e9420c039a81d20bac3e1aaa20178f66", "56e3ade7e9420c039a81d20bac3e1aaa20178f66")</f>
        <v>0</v>
      </c>
      <c r="D28010" t="s">
        <v>5085</v>
      </c>
      <c r="E28010" t="s">
        <v>7604</v>
      </c>
      <c r="F28010" t="s">
        <v>13466</v>
      </c>
      <c r="G28010" t="s">
        <v>17585</v>
      </c>
      <c r="H28010" t="s">
        <v>18863</v>
      </c>
    </row>
    <row r="28011" spans="1:8">
      <c r="A28011" t="s">
        <v>1859</v>
      </c>
      <c r="B28011">
        <f>HYPERLINK("https://android.googlesource.com/platform/cts/+/2fae90d5626c7cdab61852ae9271a5ec1f59c286", "2fae90d5626c7cdab61852ae9271a5ec1f59c286")</f>
        <v>0</v>
      </c>
      <c r="C28011">
        <f>HYPERLINK("https://android.googlesource.com/platform/cts/+/bead2a9ee1b6ac23c79b129142f2e177f0ff6f99", "bead2a9ee1b6ac23c79b129142f2e177f0ff6f99")</f>
        <v>0</v>
      </c>
      <c r="D28011" t="s">
        <v>5188</v>
      </c>
      <c r="E28011" t="s">
        <v>7605</v>
      </c>
      <c r="F28011" t="s">
        <v>13467</v>
      </c>
      <c r="G28011" t="s">
        <v>17586</v>
      </c>
      <c r="H28011" t="s">
        <v>29904</v>
      </c>
    </row>
    <row r="28012" spans="1:8">
      <c r="A28012" t="s">
        <v>1860</v>
      </c>
      <c r="B28012">
        <f>HYPERLINK("https://android.googlesource.com/platform/cts/+/5a70255ea615f3df3507455fcb8ad4c359ce2a19", "5a70255ea615f3df3507455fcb8ad4c359ce2a19")</f>
        <v>0</v>
      </c>
      <c r="C28012">
        <f>HYPERLINK("https://android.googlesource.com/platform/cts/+/7e8443e1d9d38ac375adeffae964e04348aa6045", "7e8443e1d9d38ac375adeffae964e04348aa6045")</f>
        <v>0</v>
      </c>
      <c r="D28012" t="s">
        <v>5292</v>
      </c>
      <c r="E28012" t="s">
        <v>7606</v>
      </c>
      <c r="F28012" t="s">
        <v>12841</v>
      </c>
      <c r="G28012" t="s">
        <v>15119</v>
      </c>
      <c r="H28012" t="s">
        <v>29905</v>
      </c>
    </row>
    <row r="28013" spans="1:8">
      <c r="H28013" t="s">
        <v>29906</v>
      </c>
    </row>
    <row r="28014" spans="1:8">
      <c r="H28014" t="s">
        <v>29907</v>
      </c>
    </row>
    <row r="28015" spans="1:8">
      <c r="A28015" t="s">
        <v>1861</v>
      </c>
      <c r="B28015">
        <f>HYPERLINK("https://android.googlesource.com/platform/cts/+/a770b6f80fad06b795f16e5b25352aad78e15ac6", "a770b6f80fad06b795f16e5b25352aad78e15ac6")</f>
        <v>0</v>
      </c>
      <c r="C28015">
        <f>HYPERLINK("https://android.googlesource.com/platform/cts/+/1a239d51b6a3736108a702f8cf5d1bf5c4845f98", "1a239d51b6a3736108a702f8cf5d1bf5c4845f98")</f>
        <v>0</v>
      </c>
      <c r="D28015" t="s">
        <v>5293</v>
      </c>
      <c r="E28015" t="s">
        <v>7607</v>
      </c>
      <c r="F28015" t="s">
        <v>13468</v>
      </c>
      <c r="G28015" t="s">
        <v>17587</v>
      </c>
      <c r="H28015" t="s">
        <v>29908</v>
      </c>
    </row>
    <row r="28016" spans="1:8">
      <c r="A28016" t="s">
        <v>1862</v>
      </c>
      <c r="B28016">
        <f>HYPERLINK("https://android.googlesource.com/platform/cts/+/dbb173fc4cf4a4465e410c3ed2acdfd87087554c", "dbb173fc4cf4a4465e410c3ed2acdfd87087554c")</f>
        <v>0</v>
      </c>
      <c r="C28016">
        <f>HYPERLINK("https://android.googlesource.com/platform/cts/+/52a0ca2e43096a6c4233b04f63923fd74ca35f99", "52a0ca2e43096a6c4233b04f63923fd74ca35f99")</f>
        <v>0</v>
      </c>
      <c r="D28016" t="s">
        <v>5134</v>
      </c>
      <c r="E28016" t="s">
        <v>7608</v>
      </c>
      <c r="F28016" t="s">
        <v>13469</v>
      </c>
      <c r="G28016" t="s">
        <v>17588</v>
      </c>
      <c r="H28016" t="s">
        <v>29909</v>
      </c>
    </row>
    <row r="28017" spans="1:8">
      <c r="F28017" t="s">
        <v>13321</v>
      </c>
      <c r="G28017" t="s">
        <v>17452</v>
      </c>
      <c r="H28017" t="s">
        <v>29910</v>
      </c>
    </row>
    <row r="28018" spans="1:8">
      <c r="A28018" t="s">
        <v>1863</v>
      </c>
      <c r="B28018">
        <f>HYPERLINK("https://android.googlesource.com/platform/cts/+/6bc93dff1e350d426c668ea6d0233ba4d809f25b", "6bc93dff1e350d426c668ea6d0233ba4d809f25b")</f>
        <v>0</v>
      </c>
      <c r="C28018">
        <f>HYPERLINK("https://android.googlesource.com/platform/cts/+/89cbef840d3520889430d7f6ca324eff92ef2678", "89cbef840d3520889430d7f6ca324eff92ef2678")</f>
        <v>0</v>
      </c>
      <c r="D28018" t="s">
        <v>5294</v>
      </c>
      <c r="E28018" t="s">
        <v>7609</v>
      </c>
      <c r="F28018" t="s">
        <v>13470</v>
      </c>
      <c r="G28018" t="s">
        <v>17589</v>
      </c>
      <c r="H28018" t="s">
        <v>29911</v>
      </c>
    </row>
    <row r="28019" spans="1:8">
      <c r="A28019" t="s">
        <v>1864</v>
      </c>
      <c r="B28019">
        <f>HYPERLINK("https://android.googlesource.com/platform/cts/+/472cc95ed7b2606f47eddc1b454b139a4a7e90f5", "472cc95ed7b2606f47eddc1b454b139a4a7e90f5")</f>
        <v>0</v>
      </c>
      <c r="C28019">
        <f>HYPERLINK("https://android.googlesource.com/platform/cts/+/6d001dca45f465dcdf659d3b7b15a06b9418e935", "6d001dca45f465dcdf659d3b7b15a06b9418e935")</f>
        <v>0</v>
      </c>
      <c r="D28019" t="s">
        <v>5293</v>
      </c>
      <c r="E28019" t="s">
        <v>7610</v>
      </c>
      <c r="F28019" t="s">
        <v>13468</v>
      </c>
      <c r="G28019" t="s">
        <v>17587</v>
      </c>
      <c r="H28019" t="s">
        <v>29912</v>
      </c>
    </row>
    <row r="28020" spans="1:8">
      <c r="H28020" t="s">
        <v>29913</v>
      </c>
    </row>
    <row r="28021" spans="1:8">
      <c r="H28021" t="s">
        <v>29914</v>
      </c>
    </row>
    <row r="28022" spans="1:8">
      <c r="H28022" t="s">
        <v>29915</v>
      </c>
    </row>
    <row r="28023" spans="1:8">
      <c r="H28023" t="s">
        <v>29916</v>
      </c>
    </row>
    <row r="28024" spans="1:8">
      <c r="H28024" t="s">
        <v>29917</v>
      </c>
    </row>
    <row r="28025" spans="1:8">
      <c r="H28025" t="s">
        <v>29918</v>
      </c>
    </row>
    <row r="28026" spans="1:8">
      <c r="H28026" t="s">
        <v>29919</v>
      </c>
    </row>
    <row r="28027" spans="1:8">
      <c r="H28027" t="s">
        <v>29920</v>
      </c>
    </row>
    <row r="28028" spans="1:8">
      <c r="H28028" t="s">
        <v>29921</v>
      </c>
    </row>
    <row r="28029" spans="1:8">
      <c r="H28029" t="s">
        <v>29922</v>
      </c>
    </row>
    <row r="28030" spans="1:8">
      <c r="H28030" t="s">
        <v>29923</v>
      </c>
    </row>
    <row r="28031" spans="1:8">
      <c r="H28031" t="s">
        <v>29924</v>
      </c>
    </row>
    <row r="28032" spans="1:8">
      <c r="H28032" t="s">
        <v>29925</v>
      </c>
    </row>
    <row r="28033" spans="1:8">
      <c r="H28033" t="s">
        <v>29926</v>
      </c>
    </row>
    <row r="28034" spans="1:8">
      <c r="A28034" t="s">
        <v>1865</v>
      </c>
      <c r="B28034">
        <f>HYPERLINK("https://android.googlesource.com/platform/cts/+/e57dd1d63d14fa87eba7c8ba665b1fb1b9704cc7", "e57dd1d63d14fa87eba7c8ba665b1fb1b9704cc7")</f>
        <v>0</v>
      </c>
      <c r="C28034">
        <f>HYPERLINK("https://android.googlesource.com/platform/cts/+/f7518117c62da09af067223ebe550b920d0445d2", "f7518117c62da09af067223ebe550b920d0445d2")</f>
        <v>0</v>
      </c>
      <c r="D28034" t="s">
        <v>5295</v>
      </c>
      <c r="E28034" t="s">
        <v>7611</v>
      </c>
      <c r="F28034" t="s">
        <v>13082</v>
      </c>
      <c r="G28034" t="s">
        <v>17244</v>
      </c>
      <c r="H28034" t="s">
        <v>18836</v>
      </c>
    </row>
    <row r="28035" spans="1:8">
      <c r="A28035" t="s">
        <v>1866</v>
      </c>
      <c r="B28035">
        <f>HYPERLINK("https://android.googlesource.com/platform/cts/+/dcc9b56112121fddfd0381a0e4e7934bafb5e68f", "dcc9b56112121fddfd0381a0e4e7934bafb5e68f")</f>
        <v>0</v>
      </c>
      <c r="C28035">
        <f>HYPERLINK("https://android.googlesource.com/platform/cts/+/fe1e9a02745cad67d02ca684ecc0d3be5bb31c08", "fe1e9a02745cad67d02ca684ecc0d3be5bb31c08")</f>
        <v>0</v>
      </c>
      <c r="D28035" t="s">
        <v>5110</v>
      </c>
      <c r="E28035" t="s">
        <v>7612</v>
      </c>
      <c r="F28035" t="s">
        <v>12901</v>
      </c>
      <c r="G28035" t="s">
        <v>17068</v>
      </c>
      <c r="H28035" t="s">
        <v>26876</v>
      </c>
    </row>
    <row r="28036" spans="1:8">
      <c r="H28036" t="s">
        <v>29927</v>
      </c>
    </row>
    <row r="28037" spans="1:8">
      <c r="F28037" t="s">
        <v>12629</v>
      </c>
      <c r="G28037" t="s">
        <v>16838</v>
      </c>
      <c r="H28037" t="s">
        <v>26876</v>
      </c>
    </row>
    <row r="28038" spans="1:8">
      <c r="H28038" t="s">
        <v>29927</v>
      </c>
    </row>
    <row r="28039" spans="1:8">
      <c r="A28039" t="s">
        <v>1867</v>
      </c>
      <c r="B28039">
        <f>HYPERLINK("https://android.googlesource.com/platform/cts/+/25b8f1757a77388f87a327f50aa21761f31f6428", "25b8f1757a77388f87a327f50aa21761f31f6428")</f>
        <v>0</v>
      </c>
      <c r="C28039">
        <f>HYPERLINK("https://android.googlesource.com/platform/cts/+/f029795ed4a00a352a0bd79a7d2f7e179906a443", "f029795ed4a00a352a0bd79a7d2f7e179906a443")</f>
        <v>0</v>
      </c>
      <c r="D28039" t="s">
        <v>5296</v>
      </c>
      <c r="E28039" t="s">
        <v>7613</v>
      </c>
      <c r="F28039" t="s">
        <v>13471</v>
      </c>
      <c r="G28039" t="s">
        <v>17590</v>
      </c>
      <c r="H28039" t="s">
        <v>29928</v>
      </c>
    </row>
    <row r="28040" spans="1:8">
      <c r="A28040" t="s">
        <v>1868</v>
      </c>
      <c r="B28040">
        <f>HYPERLINK("https://android.googlesource.com/platform/cts/+/3720a52d7039b67d5576f1c3410565df32a7167f", "3720a52d7039b67d5576f1c3410565df32a7167f")</f>
        <v>0</v>
      </c>
      <c r="C28040">
        <f>HYPERLINK("https://android.googlesource.com/platform/cts/+/9b142f2af737ed712a04247394db854e28afe6da", "9b142f2af737ed712a04247394db854e28afe6da")</f>
        <v>0</v>
      </c>
      <c r="D28040" t="s">
        <v>5240</v>
      </c>
      <c r="E28040" t="s">
        <v>7614</v>
      </c>
      <c r="F28040" t="s">
        <v>12710</v>
      </c>
      <c r="G28040" t="s">
        <v>16911</v>
      </c>
      <c r="H28040" t="s">
        <v>29584</v>
      </c>
    </row>
    <row r="28041" spans="1:8">
      <c r="A28041" t="s">
        <v>1869</v>
      </c>
      <c r="B28041">
        <f>HYPERLINK("https://android.googlesource.com/platform/cts/+/5f5e49c57e82e5d88193c5d2dfc594a91cb8f1b5", "5f5e49c57e82e5d88193c5d2dfc594a91cb8f1b5")</f>
        <v>0</v>
      </c>
      <c r="C28041">
        <f>HYPERLINK("https://android.googlesource.com/platform/cts/+/e3f806aae3ad3ee4df5ba7890f53ef0b153a30df", "e3f806aae3ad3ee4df5ba7890f53ef0b153a30df")</f>
        <v>0</v>
      </c>
      <c r="D28041" t="s">
        <v>5281</v>
      </c>
      <c r="E28041" t="s">
        <v>7615</v>
      </c>
      <c r="F28041" t="s">
        <v>13431</v>
      </c>
      <c r="G28041" t="s">
        <v>17555</v>
      </c>
      <c r="H28041" t="s">
        <v>18829</v>
      </c>
    </row>
    <row r="28042" spans="1:8">
      <c r="H28042" t="s">
        <v>18863</v>
      </c>
    </row>
    <row r="28043" spans="1:8">
      <c r="H28043" t="s">
        <v>29798</v>
      </c>
    </row>
    <row r="28044" spans="1:8">
      <c r="A28044" t="s">
        <v>1870</v>
      </c>
      <c r="B28044">
        <f>HYPERLINK("https://android.googlesource.com/platform/cts/+/b246155abd7e6d362d144fa27e2039f3398ab2a2", "b246155abd7e6d362d144fa27e2039f3398ab2a2")</f>
        <v>0</v>
      </c>
      <c r="C28044">
        <f>HYPERLINK("https://android.googlesource.com/platform/cts/+/a483d20dfb42caec47b66c2a7acb7c64453839c9", "a483d20dfb42caec47b66c2a7acb7c64453839c9")</f>
        <v>0</v>
      </c>
      <c r="D28044" t="s">
        <v>5132</v>
      </c>
      <c r="E28044" t="s">
        <v>7616</v>
      </c>
      <c r="F28044" t="s">
        <v>12936</v>
      </c>
      <c r="G28044" t="s">
        <v>17101</v>
      </c>
      <c r="H28044" t="s">
        <v>29511</v>
      </c>
    </row>
    <row r="28045" spans="1:8">
      <c r="H28045" t="s">
        <v>29512</v>
      </c>
    </row>
    <row r="28046" spans="1:8">
      <c r="H28046" t="s">
        <v>29513</v>
      </c>
    </row>
    <row r="28047" spans="1:8">
      <c r="H28047" t="s">
        <v>29514</v>
      </c>
    </row>
    <row r="28048" spans="1:8">
      <c r="F28048" t="s">
        <v>13087</v>
      </c>
      <c r="G28048" t="s">
        <v>17249</v>
      </c>
      <c r="H28048" t="s">
        <v>29518</v>
      </c>
    </row>
    <row r="28049" spans="1:8">
      <c r="F28049" t="s">
        <v>13091</v>
      </c>
      <c r="G28049" t="s">
        <v>17253</v>
      </c>
      <c r="H28049" t="s">
        <v>29515</v>
      </c>
    </row>
    <row r="28050" spans="1:8">
      <c r="H28050" t="s">
        <v>29519</v>
      </c>
    </row>
    <row r="28051" spans="1:8">
      <c r="H28051" t="s">
        <v>29516</v>
      </c>
    </row>
    <row r="28052" spans="1:8">
      <c r="H28052" t="s">
        <v>29517</v>
      </c>
    </row>
    <row r="28053" spans="1:8">
      <c r="H28053" t="s">
        <v>29514</v>
      </c>
    </row>
    <row r="28054" spans="1:8">
      <c r="F28054" t="s">
        <v>10596</v>
      </c>
      <c r="G28054" t="s">
        <v>14999</v>
      </c>
      <c r="H28054" t="s">
        <v>29515</v>
      </c>
    </row>
    <row r="28055" spans="1:8">
      <c r="H28055" t="s">
        <v>29519</v>
      </c>
    </row>
    <row r="28056" spans="1:8">
      <c r="H28056" t="s">
        <v>29516</v>
      </c>
    </row>
    <row r="28057" spans="1:8">
      <c r="H28057" t="s">
        <v>29517</v>
      </c>
    </row>
    <row r="28058" spans="1:8">
      <c r="H28058" t="s">
        <v>29514</v>
      </c>
    </row>
    <row r="28059" spans="1:8">
      <c r="A28059" t="s">
        <v>1871</v>
      </c>
      <c r="B28059">
        <f>HYPERLINK("https://android.googlesource.com/platform/cts/+/45d5ecd5cffb7e6399264e1b9aebc021e42d0787", "45d5ecd5cffb7e6399264e1b9aebc021e42d0787")</f>
        <v>0</v>
      </c>
      <c r="C28059">
        <f>HYPERLINK("https://android.googlesource.com/platform/cts/+/22e8a28e678566d7d944a37dc40842b1e0e5d525", "22e8a28e678566d7d944a37dc40842b1e0e5d525")</f>
        <v>0</v>
      </c>
      <c r="D28059" t="s">
        <v>5272</v>
      </c>
      <c r="E28059" t="s">
        <v>7617</v>
      </c>
      <c r="F28059" t="s">
        <v>13472</v>
      </c>
      <c r="G28059" t="s">
        <v>17591</v>
      </c>
      <c r="H28059" t="s">
        <v>29929</v>
      </c>
    </row>
    <row r="28060" spans="1:8">
      <c r="H28060" t="s">
        <v>29930</v>
      </c>
    </row>
    <row r="28061" spans="1:8">
      <c r="H28061" t="s">
        <v>29931</v>
      </c>
    </row>
    <row r="28062" spans="1:8">
      <c r="H28062" t="s">
        <v>29932</v>
      </c>
    </row>
    <row r="28063" spans="1:8">
      <c r="H28063" t="s">
        <v>29933</v>
      </c>
    </row>
    <row r="28064" spans="1:8">
      <c r="H28064" t="s">
        <v>28841</v>
      </c>
    </row>
    <row r="28065" spans="1:8">
      <c r="H28065" t="s">
        <v>29934</v>
      </c>
    </row>
    <row r="28066" spans="1:8">
      <c r="H28066" t="s">
        <v>29935</v>
      </c>
    </row>
    <row r="28067" spans="1:8">
      <c r="H28067" t="s">
        <v>29936</v>
      </c>
    </row>
    <row r="28068" spans="1:8">
      <c r="H28068" t="s">
        <v>29937</v>
      </c>
    </row>
    <row r="28069" spans="1:8">
      <c r="A28069" t="s">
        <v>1872</v>
      </c>
      <c r="B28069">
        <f>HYPERLINK("https://android.googlesource.com/platform/cts/+/0eaa8a0839097911b69283873e07885d35575e4c", "0eaa8a0839097911b69283873e07885d35575e4c")</f>
        <v>0</v>
      </c>
      <c r="C28069">
        <f>HYPERLINK("https://android.googlesource.com/platform/cts/+/a483d20dfb42caec47b66c2a7acb7c64453839c9", "a483d20dfb42caec47b66c2a7acb7c64453839c9")</f>
        <v>0</v>
      </c>
      <c r="D28069" t="s">
        <v>5032</v>
      </c>
      <c r="E28069" t="s">
        <v>7618</v>
      </c>
      <c r="F28069" t="s">
        <v>13473</v>
      </c>
      <c r="G28069" t="s">
        <v>17592</v>
      </c>
      <c r="H28069" t="s">
        <v>29938</v>
      </c>
    </row>
    <row r="28070" spans="1:8">
      <c r="A28070" t="s">
        <v>1873</v>
      </c>
      <c r="B28070">
        <f>HYPERLINK("https://android.googlesource.com/platform/cts/+/923b97d33e6c0fddb102ed0d81768f92b60e4121", "923b97d33e6c0fddb102ed0d81768f92b60e4121")</f>
        <v>0</v>
      </c>
      <c r="C28070">
        <f>HYPERLINK("https://android.googlesource.com/platform/cts/+/774f3a229ef8f43ed224c94884ce1abe1d73b258", "774f3a229ef8f43ed224c94884ce1abe1d73b258")</f>
        <v>0</v>
      </c>
      <c r="D28070" t="s">
        <v>5163</v>
      </c>
      <c r="E28070" t="s">
        <v>7619</v>
      </c>
      <c r="F28070" t="s">
        <v>13474</v>
      </c>
      <c r="G28070" t="s">
        <v>17593</v>
      </c>
      <c r="H28070" t="s">
        <v>29939</v>
      </c>
    </row>
    <row r="28071" spans="1:8">
      <c r="A28071" t="s">
        <v>1874</v>
      </c>
      <c r="B28071">
        <f>HYPERLINK("https://android.googlesource.com/platform/cts/+/1164f4c1282f695a138e4d9d091a5904a132d094", "1164f4c1282f695a138e4d9d091a5904a132d094")</f>
        <v>0</v>
      </c>
      <c r="C28071">
        <f>HYPERLINK("https://android.googlesource.com/platform/cts/+/c47d556a7eff36773ea503d3156c03ccd20633c2", "c47d556a7eff36773ea503d3156c03ccd20633c2")</f>
        <v>0</v>
      </c>
      <c r="D28071" t="s">
        <v>5295</v>
      </c>
      <c r="E28071" t="s">
        <v>7620</v>
      </c>
      <c r="F28071" t="s">
        <v>13475</v>
      </c>
      <c r="G28071" t="s">
        <v>17594</v>
      </c>
      <c r="H28071" t="s">
        <v>18836</v>
      </c>
    </row>
    <row r="28072" spans="1:8">
      <c r="A28072" t="s">
        <v>1876</v>
      </c>
      <c r="B28072">
        <f>HYPERLINK("https://android.googlesource.com/platform/cts/+/1a9bd8f2b1633f81ee980eeda69e7c6e44393b47", "1a9bd8f2b1633f81ee980eeda69e7c6e44393b47")</f>
        <v>0</v>
      </c>
      <c r="C28072">
        <f>HYPERLINK("https://android.googlesource.com/platform/cts/+/cb8b5a2e5a7f66755eab8002111f517eed5e2db0", "cb8b5a2e5a7f66755eab8002111f517eed5e2db0")</f>
        <v>0</v>
      </c>
      <c r="D28072" t="s">
        <v>5117</v>
      </c>
      <c r="E28072" t="s">
        <v>7622</v>
      </c>
      <c r="F28072" t="s">
        <v>13476</v>
      </c>
      <c r="G28072" t="s">
        <v>17571</v>
      </c>
      <c r="H28072" t="s">
        <v>29213</v>
      </c>
    </row>
    <row r="28073" spans="1:8">
      <c r="H28073" t="s">
        <v>29856</v>
      </c>
    </row>
    <row r="28074" spans="1:8">
      <c r="H28074" t="s">
        <v>29857</v>
      </c>
    </row>
    <row r="28075" spans="1:8">
      <c r="H28075" t="s">
        <v>29858</v>
      </c>
    </row>
    <row r="28076" spans="1:8">
      <c r="H28076" t="s">
        <v>29859</v>
      </c>
    </row>
    <row r="28077" spans="1:8">
      <c r="H28077" t="s">
        <v>29860</v>
      </c>
    </row>
    <row r="28078" spans="1:8">
      <c r="A28078" t="s">
        <v>1877</v>
      </c>
      <c r="B28078">
        <f>HYPERLINK("https://android.googlesource.com/platform/cts/+/af4c6ce6bcd4b4c65d64ad8594bc205dc7940cbc", "af4c6ce6bcd4b4c65d64ad8594bc205dc7940cbc")</f>
        <v>0</v>
      </c>
      <c r="C28078">
        <f>HYPERLINK("https://android.googlesource.com/platform/cts/+/0bc23fba3471eed62632fa5de47c1b587c2400c2", "0bc23fba3471eed62632fa5de47c1b587c2400c2")</f>
        <v>0</v>
      </c>
      <c r="D28078" t="s">
        <v>5219</v>
      </c>
      <c r="E28078" t="s">
        <v>7623</v>
      </c>
      <c r="F28078" t="s">
        <v>13477</v>
      </c>
      <c r="G28078" t="s">
        <v>17595</v>
      </c>
      <c r="H28078" t="s">
        <v>20083</v>
      </c>
    </row>
    <row r="28079" spans="1:8">
      <c r="F28079" t="s">
        <v>13478</v>
      </c>
      <c r="G28079" t="s">
        <v>17596</v>
      </c>
      <c r="H28079" t="s">
        <v>29940</v>
      </c>
    </row>
    <row r="28080" spans="1:8">
      <c r="A28080" t="s">
        <v>1878</v>
      </c>
      <c r="B28080">
        <f>HYPERLINK("https://android.googlesource.com/platform/cts/+/23fcc3b6b34719ad81de0d411090387396378317", "23fcc3b6b34719ad81de0d411090387396378317")</f>
        <v>0</v>
      </c>
      <c r="C28080">
        <f>HYPERLINK("https://android.googlesource.com/platform/cts/+/23a18ecd2757bf8414d99b441b0f2225e15267da", "23a18ecd2757bf8414d99b441b0f2225e15267da")</f>
        <v>0</v>
      </c>
      <c r="D28080" t="s">
        <v>5235</v>
      </c>
      <c r="E28080" t="s">
        <v>7624</v>
      </c>
      <c r="F28080" t="s">
        <v>13479</v>
      </c>
      <c r="G28080" t="s">
        <v>17597</v>
      </c>
      <c r="H28080" t="s">
        <v>29941</v>
      </c>
    </row>
    <row r="28081" spans="1:8">
      <c r="H28081" t="s">
        <v>29942</v>
      </c>
    </row>
    <row r="28082" spans="1:8">
      <c r="A28082" t="s">
        <v>1879</v>
      </c>
      <c r="B28082">
        <f>HYPERLINK("https://android.googlesource.com/platform/cts/+/5103ab556f4a82a7234776b212d057bf2f507c52", "5103ab556f4a82a7234776b212d057bf2f507c52")</f>
        <v>0</v>
      </c>
      <c r="C28082">
        <f>HYPERLINK("https://android.googlesource.com/platform/cts/+/9c36162953f5e4d1a9aa6305abba562f3f7b8e63", "9c36162953f5e4d1a9aa6305abba562f3f7b8e63")</f>
        <v>0</v>
      </c>
      <c r="D28082" t="s">
        <v>5297</v>
      </c>
      <c r="E28082" t="s">
        <v>7625</v>
      </c>
      <c r="F28082" t="s">
        <v>13480</v>
      </c>
      <c r="G28082" t="s">
        <v>17598</v>
      </c>
      <c r="H28082" t="s">
        <v>18829</v>
      </c>
    </row>
    <row r="28083" spans="1:8">
      <c r="H28083" t="s">
        <v>29943</v>
      </c>
    </row>
    <row r="28084" spans="1:8">
      <c r="H28084" t="s">
        <v>29944</v>
      </c>
    </row>
    <row r="28085" spans="1:8">
      <c r="A28085" t="s">
        <v>1880</v>
      </c>
      <c r="B28085">
        <f>HYPERLINK("https://android.googlesource.com/platform/cts/+/d7a77455b5262d906a0c6731b7208d8135269b14", "d7a77455b5262d906a0c6731b7208d8135269b14")</f>
        <v>0</v>
      </c>
      <c r="C28085">
        <f>HYPERLINK("https://android.googlesource.com/platform/cts/+/98a9e20123eac5e130acf75d84f07fbf7a59e68f", "98a9e20123eac5e130acf75d84f07fbf7a59e68f")</f>
        <v>0</v>
      </c>
      <c r="D28085" t="s">
        <v>5224</v>
      </c>
      <c r="E28085" t="s">
        <v>7626</v>
      </c>
      <c r="F28085" t="s">
        <v>13248</v>
      </c>
      <c r="G28085" t="s">
        <v>17388</v>
      </c>
      <c r="H28085" t="s">
        <v>29945</v>
      </c>
    </row>
    <row r="28086" spans="1:8">
      <c r="H28086" t="s">
        <v>29946</v>
      </c>
    </row>
    <row r="28087" spans="1:8">
      <c r="A28087" t="s">
        <v>1881</v>
      </c>
      <c r="B28087">
        <f>HYPERLINK("https://android.googlesource.com/platform/cts/+/16087b662276400ee7de00e0f1d8aee2f7515e51", "16087b662276400ee7de00e0f1d8aee2f7515e51")</f>
        <v>0</v>
      </c>
      <c r="C28087">
        <f>HYPERLINK("https://android.googlesource.com/platform/cts/+/ab9eb968540da4f5dc7d9e502a830a98d943e643", "ab9eb968540da4f5dc7d9e502a830a98d943e643")</f>
        <v>0</v>
      </c>
      <c r="D28087" t="s">
        <v>5110</v>
      </c>
      <c r="E28087" t="s">
        <v>7627</v>
      </c>
      <c r="F28087" t="s">
        <v>13435</v>
      </c>
      <c r="G28087" t="s">
        <v>17559</v>
      </c>
      <c r="H28087" t="s">
        <v>29947</v>
      </c>
    </row>
    <row r="28088" spans="1:8">
      <c r="F28088" t="s">
        <v>12743</v>
      </c>
      <c r="G28088" t="s">
        <v>16935</v>
      </c>
      <c r="H28088" t="s">
        <v>29947</v>
      </c>
    </row>
    <row r="28089" spans="1:8">
      <c r="A28089" t="s">
        <v>1882</v>
      </c>
      <c r="B28089">
        <f>HYPERLINK("https://android.googlesource.com/platform/cts/+/27b33a2b40ff9ab272934a18fcf3074d4dff4f09", "27b33a2b40ff9ab272934a18fcf3074d4dff4f09")</f>
        <v>0</v>
      </c>
      <c r="C28089">
        <f>HYPERLINK("https://android.googlesource.com/platform/cts/+/ef47172edc00074a0bd62aa09524c4e30ea3a32b", "ef47172edc00074a0bd62aa09524c4e30ea3a32b")</f>
        <v>0</v>
      </c>
      <c r="D28089" t="s">
        <v>5108</v>
      </c>
      <c r="E28089" t="s">
        <v>7628</v>
      </c>
      <c r="F28089" t="s">
        <v>13481</v>
      </c>
      <c r="G28089" t="s">
        <v>17599</v>
      </c>
      <c r="H28089" t="s">
        <v>20237</v>
      </c>
    </row>
    <row r="28090" spans="1:8">
      <c r="A28090" t="s">
        <v>1883</v>
      </c>
      <c r="B28090">
        <f>HYPERLINK("https://android.googlesource.com/platform/cts/+/09e1cf0830fe40d7cbf83df9a1681f702007977f", "09e1cf0830fe40d7cbf83df9a1681f702007977f")</f>
        <v>0</v>
      </c>
      <c r="C28090">
        <f>HYPERLINK("https://android.googlesource.com/platform/cts/+/fd523b6bc069392ea8fd76977cca45209e1e7091", "fd523b6bc069392ea8fd76977cca45209e1e7091")</f>
        <v>0</v>
      </c>
      <c r="D28090" t="s">
        <v>5131</v>
      </c>
      <c r="E28090" t="s">
        <v>7629</v>
      </c>
      <c r="F28090" t="s">
        <v>13430</v>
      </c>
      <c r="G28090" t="s">
        <v>17600</v>
      </c>
      <c r="H28090" t="s">
        <v>20228</v>
      </c>
    </row>
    <row r="28091" spans="1:8">
      <c r="H28091" t="s">
        <v>29948</v>
      </c>
    </row>
    <row r="28092" spans="1:8">
      <c r="H28092" t="s">
        <v>29949</v>
      </c>
    </row>
    <row r="28093" spans="1:8">
      <c r="H28093" t="s">
        <v>29950</v>
      </c>
    </row>
    <row r="28094" spans="1:8">
      <c r="H28094" t="s">
        <v>29951</v>
      </c>
    </row>
    <row r="28095" spans="1:8">
      <c r="H28095" t="s">
        <v>29952</v>
      </c>
    </row>
    <row r="28096" spans="1:8">
      <c r="H28096" t="s">
        <v>29953</v>
      </c>
    </row>
    <row r="28097" spans="1:8">
      <c r="H28097" t="s">
        <v>29954</v>
      </c>
    </row>
    <row r="28098" spans="1:8">
      <c r="H28098" t="s">
        <v>29955</v>
      </c>
    </row>
    <row r="28099" spans="1:8">
      <c r="H28099" t="s">
        <v>29956</v>
      </c>
    </row>
    <row r="28100" spans="1:8">
      <c r="H28100" t="s">
        <v>29957</v>
      </c>
    </row>
    <row r="28101" spans="1:8">
      <c r="H28101" t="s">
        <v>29958</v>
      </c>
    </row>
    <row r="28102" spans="1:8">
      <c r="H28102" t="s">
        <v>29959</v>
      </c>
    </row>
    <row r="28103" spans="1:8">
      <c r="H28103" t="s">
        <v>29960</v>
      </c>
    </row>
    <row r="28104" spans="1:8">
      <c r="A28104" t="s">
        <v>1884</v>
      </c>
      <c r="B28104">
        <f>HYPERLINK("https://android.googlesource.com/platform/cts/+/98d745e0dc3bb2910a7179c1b156a1f8b80eb77c", "98d745e0dc3bb2910a7179c1b156a1f8b80eb77c")</f>
        <v>0</v>
      </c>
      <c r="C28104">
        <f>HYPERLINK("https://android.googlesource.com/platform/cts/+/679c494b68253c07dcf713079f0d81df4839813f", "679c494b68253c07dcf713079f0d81df4839813f")</f>
        <v>0</v>
      </c>
      <c r="D28104" t="s">
        <v>5288</v>
      </c>
      <c r="E28104" t="s">
        <v>7630</v>
      </c>
      <c r="F28104" t="s">
        <v>13482</v>
      </c>
      <c r="G28104" t="s">
        <v>17576</v>
      </c>
      <c r="H28104" t="s">
        <v>28678</v>
      </c>
    </row>
    <row r="28105" spans="1:8">
      <c r="A28105" t="s">
        <v>1885</v>
      </c>
      <c r="B28105">
        <f>HYPERLINK("https://android.googlesource.com/platform/cts/+/399306b5136d320fcfa0b1dd79732db0f7ec5d78", "399306b5136d320fcfa0b1dd79732db0f7ec5d78")</f>
        <v>0</v>
      </c>
      <c r="C28105">
        <f>HYPERLINK("https://android.googlesource.com/platform/cts/+/98d745e0dc3bb2910a7179c1b156a1f8b80eb77c", "98d745e0dc3bb2910a7179c1b156a1f8b80eb77c")</f>
        <v>0</v>
      </c>
      <c r="D28105" t="s">
        <v>5288</v>
      </c>
      <c r="E28105" t="s">
        <v>7631</v>
      </c>
      <c r="F28105" t="s">
        <v>13451</v>
      </c>
      <c r="G28105" t="s">
        <v>17573</v>
      </c>
      <c r="H28105" t="s">
        <v>29961</v>
      </c>
    </row>
    <row r="28106" spans="1:8">
      <c r="A28106" t="s">
        <v>1886</v>
      </c>
      <c r="B28106">
        <f>HYPERLINK("https://android.googlesource.com/platform/cts/+/2e05cb3084e69d781ed2bceb51ddc72e34a35841", "2e05cb3084e69d781ed2bceb51ddc72e34a35841")</f>
        <v>0</v>
      </c>
      <c r="C28106">
        <f>HYPERLINK("https://android.googlesource.com/platform/cts/+/919bd619bde042060093998dcca40b85c2895e93", "919bd619bde042060093998dcca40b85c2895e93")</f>
        <v>0</v>
      </c>
      <c r="D28106" t="s">
        <v>5134</v>
      </c>
      <c r="E28106" t="s">
        <v>7632</v>
      </c>
      <c r="F28106" t="s">
        <v>13358</v>
      </c>
      <c r="G28106" t="s">
        <v>17485</v>
      </c>
      <c r="H28106" t="s">
        <v>29962</v>
      </c>
    </row>
    <row r="28107" spans="1:8">
      <c r="H28107" t="s">
        <v>22005</v>
      </c>
    </row>
    <row r="28108" spans="1:8">
      <c r="H28108" t="s">
        <v>18930</v>
      </c>
    </row>
    <row r="28109" spans="1:8">
      <c r="F28109" t="s">
        <v>13361</v>
      </c>
      <c r="G28109" t="s">
        <v>17488</v>
      </c>
      <c r="H28109" t="s">
        <v>29963</v>
      </c>
    </row>
    <row r="28110" spans="1:8">
      <c r="A28110" t="s">
        <v>1887</v>
      </c>
      <c r="B28110">
        <f>HYPERLINK("https://android.googlesource.com/platform/cts/+/82f6f5c96482e3e82e48d5c3feb9a96d24e24612", "82f6f5c96482e3e82e48d5c3feb9a96d24e24612")</f>
        <v>0</v>
      </c>
      <c r="C28110">
        <f>HYPERLINK("https://android.googlesource.com/platform/cts/+/d86edf468b23f6e37972a374102ad9d5d8f86284", "d86edf468b23f6e37972a374102ad9d5d8f86284")</f>
        <v>0</v>
      </c>
      <c r="D28110" t="s">
        <v>5191</v>
      </c>
      <c r="E28110" t="s">
        <v>7633</v>
      </c>
      <c r="F28110" t="s">
        <v>13483</v>
      </c>
      <c r="G28110" t="s">
        <v>17601</v>
      </c>
      <c r="H28110" t="s">
        <v>20244</v>
      </c>
    </row>
    <row r="28111" spans="1:8">
      <c r="A28111" t="s">
        <v>1888</v>
      </c>
      <c r="B28111">
        <f>HYPERLINK("https://android.googlesource.com/platform/cts/+/e6d8b9841b1bd3af635ceda614576c43f1b2a581", "e6d8b9841b1bd3af635ceda614576c43f1b2a581")</f>
        <v>0</v>
      </c>
      <c r="C28111">
        <f>HYPERLINK("https://android.googlesource.com/platform/cts/+/f0082c2a9392cba97d35130516a59441d58cf7c9", "f0082c2a9392cba97d35130516a59441d58cf7c9")</f>
        <v>0</v>
      </c>
      <c r="D28111" t="s">
        <v>5134</v>
      </c>
      <c r="E28111" t="s">
        <v>7634</v>
      </c>
      <c r="F28111" t="s">
        <v>13255</v>
      </c>
      <c r="G28111" t="s">
        <v>17393</v>
      </c>
      <c r="H28111" t="s">
        <v>29964</v>
      </c>
    </row>
    <row r="28112" spans="1:8">
      <c r="A28112" t="s">
        <v>1889</v>
      </c>
      <c r="B28112">
        <f>HYPERLINK("https://android.googlesource.com/platform/cts/+/cab55143adff46d9a4437821efd3bbb6170d8f6a", "cab55143adff46d9a4437821efd3bbb6170d8f6a")</f>
        <v>0</v>
      </c>
      <c r="C28112">
        <f>HYPERLINK("https://android.googlesource.com/platform/cts/+/7cf0fcfd504b195919ecac0e79ad37a0d0cf76a4", "7cf0fcfd504b195919ecac0e79ad37a0d0cf76a4")</f>
        <v>0</v>
      </c>
      <c r="D28112" t="s">
        <v>5287</v>
      </c>
      <c r="E28112" t="s">
        <v>7635</v>
      </c>
      <c r="F28112" t="s">
        <v>10663</v>
      </c>
      <c r="G28112" t="s">
        <v>15064</v>
      </c>
      <c r="H28112" t="s">
        <v>29965</v>
      </c>
    </row>
    <row r="28113" spans="1:8">
      <c r="H28113" t="s">
        <v>29966</v>
      </c>
    </row>
    <row r="28114" spans="1:8">
      <c r="H28114" t="s">
        <v>29967</v>
      </c>
    </row>
    <row r="28115" spans="1:8">
      <c r="H28115" t="s">
        <v>29968</v>
      </c>
    </row>
    <row r="28116" spans="1:8">
      <c r="A28116" t="s">
        <v>1890</v>
      </c>
      <c r="B28116">
        <f>HYPERLINK("https://android.googlesource.com/platform/cts/+/691fbd369b869251a50f9a420565fc1559cf287b", "691fbd369b869251a50f9a420565fc1559cf287b")</f>
        <v>0</v>
      </c>
      <c r="C28116">
        <f>HYPERLINK("https://android.googlesource.com/platform/cts/+/ab9eb968540da4f5dc7d9e502a830a98d943e643", "ab9eb968540da4f5dc7d9e502a830a98d943e643")</f>
        <v>0</v>
      </c>
      <c r="D28116" t="s">
        <v>4965</v>
      </c>
      <c r="E28116" t="s">
        <v>7636</v>
      </c>
      <c r="F28116" t="s">
        <v>10627</v>
      </c>
      <c r="G28116" t="s">
        <v>15030</v>
      </c>
      <c r="H28116" t="s">
        <v>29969</v>
      </c>
    </row>
    <row r="28117" spans="1:8">
      <c r="A28117" t="s">
        <v>1891</v>
      </c>
      <c r="B28117">
        <f>HYPERLINK("https://android.googlesource.com/platform/cts/+/58573820cd178ae744434aed3072c4a7114b778c", "58573820cd178ae744434aed3072c4a7114b778c")</f>
        <v>0</v>
      </c>
      <c r="C28117">
        <f>HYPERLINK("https://android.googlesource.com/platform/cts/+/ffe870bbc0174b4f734ad798b68ac5bf45777140", "ffe870bbc0174b4f734ad798b68ac5bf45777140")</f>
        <v>0</v>
      </c>
      <c r="D28117" t="s">
        <v>5156</v>
      </c>
      <c r="E28117" t="s">
        <v>7637</v>
      </c>
      <c r="F28117" t="s">
        <v>13288</v>
      </c>
      <c r="G28117" t="s">
        <v>17602</v>
      </c>
      <c r="H28117" t="s">
        <v>29970</v>
      </c>
    </row>
    <row r="28118" spans="1:8">
      <c r="A28118" t="s">
        <v>1892</v>
      </c>
      <c r="B28118">
        <f>HYPERLINK("https://android.googlesource.com/platform/cts/+/f69df28602daf0caf9205290cf0c239eba8cd46b", "f69df28602daf0caf9205290cf0c239eba8cd46b")</f>
        <v>0</v>
      </c>
      <c r="C28118">
        <f>HYPERLINK("https://android.googlesource.com/platform/cts/+/ffe870bbc0174b4f734ad798b68ac5bf45777140", "ffe870bbc0174b4f734ad798b68ac5bf45777140")</f>
        <v>0</v>
      </c>
      <c r="D28118" t="s">
        <v>5135</v>
      </c>
      <c r="E28118" t="s">
        <v>7638</v>
      </c>
      <c r="F28118" t="s">
        <v>13484</v>
      </c>
      <c r="G28118" t="s">
        <v>17603</v>
      </c>
      <c r="H28118" t="s">
        <v>29971</v>
      </c>
    </row>
    <row r="28119" spans="1:8">
      <c r="H28119" t="s">
        <v>29972</v>
      </c>
    </row>
    <row r="28120" spans="1:8">
      <c r="A28120" t="s">
        <v>1893</v>
      </c>
      <c r="B28120">
        <f>HYPERLINK("https://android.googlesource.com/platform/cts/+/ecfc130214ea87d6e9270f529669bb54dd9be3f5", "ecfc130214ea87d6e9270f529669bb54dd9be3f5")</f>
        <v>0</v>
      </c>
      <c r="C28120">
        <f>HYPERLINK("https://android.googlesource.com/platform/cts/+/a7ed1144ea6c6fd3415ff1f878b51a64e78d3d83", "a7ed1144ea6c6fd3415ff1f878b51a64e78d3d83")</f>
        <v>0</v>
      </c>
      <c r="D28120" t="s">
        <v>5298</v>
      </c>
      <c r="E28120" t="s">
        <v>7639</v>
      </c>
      <c r="F28120" t="s">
        <v>13485</v>
      </c>
      <c r="G28120" t="s">
        <v>17604</v>
      </c>
      <c r="H28120" t="s">
        <v>29973</v>
      </c>
    </row>
    <row r="28121" spans="1:8">
      <c r="H28121" t="s">
        <v>29974</v>
      </c>
    </row>
    <row r="28122" spans="1:8">
      <c r="H28122" t="s">
        <v>29975</v>
      </c>
    </row>
    <row r="28123" spans="1:8">
      <c r="H28123" t="s">
        <v>29976</v>
      </c>
    </row>
    <row r="28124" spans="1:8">
      <c r="A28124" t="s">
        <v>1894</v>
      </c>
      <c r="B28124">
        <f>HYPERLINK("https://android.googlesource.com/platform/cts/+/768971a9a356dccec93a4249e2a8cbc4463be538", "768971a9a356dccec93a4249e2a8cbc4463be538")</f>
        <v>0</v>
      </c>
      <c r="C28124">
        <f>HYPERLINK("https://android.googlesource.com/platform/cts/+/fdaf5e19de3b13b85a1005eb0a91dd3e6f4e31fe", "fdaf5e19de3b13b85a1005eb0a91dd3e6f4e31fe")</f>
        <v>0</v>
      </c>
      <c r="D28124" t="s">
        <v>5299</v>
      </c>
      <c r="E28124" t="s">
        <v>7640</v>
      </c>
      <c r="F28124" t="s">
        <v>13486</v>
      </c>
      <c r="G28124" t="s">
        <v>15098</v>
      </c>
      <c r="H28124" t="s">
        <v>29977</v>
      </c>
    </row>
    <row r="28125" spans="1:8">
      <c r="A28125" t="s">
        <v>1895</v>
      </c>
      <c r="B28125">
        <f>HYPERLINK("https://android.googlesource.com/platform/cts/+/75a4e7a907f9ed9c7ccdeee4042c895f94112635", "75a4e7a907f9ed9c7ccdeee4042c895f94112635")</f>
        <v>0</v>
      </c>
      <c r="C28125">
        <f>HYPERLINK("https://android.googlesource.com/platform/cts/+/e32bb16fbc533668a3ffa331372bf0ef1cebef01", "e32bb16fbc533668a3ffa331372bf0ef1cebef01")</f>
        <v>0</v>
      </c>
      <c r="D28125" t="s">
        <v>5046</v>
      </c>
      <c r="E28125" t="s">
        <v>7641</v>
      </c>
      <c r="F28125" t="s">
        <v>13487</v>
      </c>
      <c r="G28125" t="s">
        <v>17044</v>
      </c>
      <c r="H28125" t="s">
        <v>29978</v>
      </c>
    </row>
    <row r="28126" spans="1:8">
      <c r="H28126" t="s">
        <v>29979</v>
      </c>
    </row>
    <row r="28127" spans="1:8">
      <c r="A28127" t="s">
        <v>1896</v>
      </c>
      <c r="B28127">
        <f>HYPERLINK("https://android.googlesource.com/platform/cts/+/d1a8687d6cad7c651d7bd3de89923e46c774350e", "d1a8687d6cad7c651d7bd3de89923e46c774350e")</f>
        <v>0</v>
      </c>
      <c r="C28127">
        <f>HYPERLINK("https://android.googlesource.com/platform/cts/+/9272b86c66eb3e6bce0efb056ae13fec18094ce9", "9272b86c66eb3e6bce0efb056ae13fec18094ce9")</f>
        <v>0</v>
      </c>
      <c r="D28127" t="s">
        <v>5280</v>
      </c>
      <c r="E28127" t="s">
        <v>7642</v>
      </c>
      <c r="F28127" t="s">
        <v>12710</v>
      </c>
      <c r="G28127" t="s">
        <v>16911</v>
      </c>
      <c r="H28127" t="s">
        <v>29980</v>
      </c>
    </row>
    <row r="28128" spans="1:8">
      <c r="A28128" t="s">
        <v>1897</v>
      </c>
      <c r="B28128">
        <f>HYPERLINK("https://android.googlesource.com/platform/cts/+/a51de8668ae116830b9f2e304408e52ff5b1b03b", "a51de8668ae116830b9f2e304408e52ff5b1b03b")</f>
        <v>0</v>
      </c>
      <c r="C28128">
        <f>HYPERLINK("https://android.googlesource.com/platform/cts/+/69cee3ffa07b88928af18c9a5fb60a43fa473265", "69cee3ffa07b88928af18c9a5fb60a43fa473265")</f>
        <v>0</v>
      </c>
      <c r="D28128" t="s">
        <v>4997</v>
      </c>
      <c r="E28128" t="s">
        <v>7643</v>
      </c>
      <c r="F28128" t="s">
        <v>12406</v>
      </c>
      <c r="G28128" t="s">
        <v>17605</v>
      </c>
      <c r="H28128" t="s">
        <v>18829</v>
      </c>
    </row>
    <row r="28129" spans="8:8">
      <c r="H28129" t="s">
        <v>18863</v>
      </c>
    </row>
    <row r="28130" spans="8:8">
      <c r="H28130" t="s">
        <v>29981</v>
      </c>
    </row>
    <row r="28131" spans="8:8">
      <c r="H28131" t="s">
        <v>29982</v>
      </c>
    </row>
    <row r="28132" spans="8:8">
      <c r="H28132" t="s">
        <v>29983</v>
      </c>
    </row>
    <row r="28133" spans="8:8">
      <c r="H28133" t="s">
        <v>29984</v>
      </c>
    </row>
    <row r="28134" spans="8:8">
      <c r="H28134" t="s">
        <v>29985</v>
      </c>
    </row>
    <row r="28135" spans="8:8">
      <c r="H28135" t="s">
        <v>29986</v>
      </c>
    </row>
    <row r="28136" spans="8:8">
      <c r="H28136" t="s">
        <v>26007</v>
      </c>
    </row>
    <row r="28137" spans="8:8">
      <c r="H28137" t="s">
        <v>25973</v>
      </c>
    </row>
    <row r="28138" spans="8:8">
      <c r="H28138" t="s">
        <v>26483</v>
      </c>
    </row>
    <row r="28139" spans="8:8">
      <c r="H28139" t="s">
        <v>29987</v>
      </c>
    </row>
    <row r="28140" spans="8:8">
      <c r="H28140" t="s">
        <v>29988</v>
      </c>
    </row>
    <row r="28141" spans="8:8">
      <c r="H28141" t="s">
        <v>29989</v>
      </c>
    </row>
    <row r="28142" spans="8:8">
      <c r="H28142" t="s">
        <v>29990</v>
      </c>
    </row>
    <row r="28143" spans="8:8">
      <c r="H28143" t="s">
        <v>29991</v>
      </c>
    </row>
    <row r="28144" spans="8:8">
      <c r="H28144" t="s">
        <v>29992</v>
      </c>
    </row>
    <row r="28145" spans="6:8">
      <c r="H28145" t="s">
        <v>29993</v>
      </c>
    </row>
    <row r="28146" spans="6:8">
      <c r="H28146" t="s">
        <v>29994</v>
      </c>
    </row>
    <row r="28147" spans="6:8">
      <c r="H28147" t="s">
        <v>29995</v>
      </c>
    </row>
    <row r="28148" spans="6:8">
      <c r="H28148" t="s">
        <v>29996</v>
      </c>
    </row>
    <row r="28149" spans="6:8">
      <c r="H28149" t="s">
        <v>29997</v>
      </c>
    </row>
    <row r="28150" spans="6:8">
      <c r="H28150" t="s">
        <v>29998</v>
      </c>
    </row>
    <row r="28151" spans="6:8">
      <c r="H28151" t="s">
        <v>29999</v>
      </c>
    </row>
    <row r="28152" spans="6:8">
      <c r="H28152" t="s">
        <v>30000</v>
      </c>
    </row>
    <row r="28153" spans="6:8">
      <c r="F28153" t="s">
        <v>13365</v>
      </c>
      <c r="G28153" t="s">
        <v>17606</v>
      </c>
      <c r="H28153" t="s">
        <v>26064</v>
      </c>
    </row>
    <row r="28154" spans="6:8">
      <c r="H28154" t="s">
        <v>26064</v>
      </c>
    </row>
    <row r="28155" spans="6:8">
      <c r="H28155" t="s">
        <v>18829</v>
      </c>
    </row>
    <row r="28156" spans="6:8">
      <c r="H28156" t="s">
        <v>18863</v>
      </c>
    </row>
    <row r="28157" spans="6:8">
      <c r="H28157" t="s">
        <v>29981</v>
      </c>
    </row>
    <row r="28158" spans="6:8">
      <c r="H28158" t="s">
        <v>30001</v>
      </c>
    </row>
    <row r="28159" spans="6:8">
      <c r="H28159" t="s">
        <v>21380</v>
      </c>
    </row>
    <row r="28160" spans="6:8">
      <c r="H28160" t="s">
        <v>30002</v>
      </c>
    </row>
    <row r="28161" spans="1:8">
      <c r="H28161" t="s">
        <v>30003</v>
      </c>
    </row>
    <row r="28162" spans="1:8">
      <c r="H28162" t="s">
        <v>29989</v>
      </c>
    </row>
    <row r="28163" spans="1:8">
      <c r="H28163" t="s">
        <v>30004</v>
      </c>
    </row>
    <row r="28164" spans="1:8">
      <c r="H28164" t="s">
        <v>30005</v>
      </c>
    </row>
    <row r="28165" spans="1:8">
      <c r="H28165" t="s">
        <v>29987</v>
      </c>
    </row>
    <row r="28166" spans="1:8">
      <c r="H28166" t="s">
        <v>29510</v>
      </c>
    </row>
    <row r="28167" spans="1:8">
      <c r="H28167" t="s">
        <v>29990</v>
      </c>
    </row>
    <row r="28168" spans="1:8">
      <c r="H28168" t="s">
        <v>29991</v>
      </c>
    </row>
    <row r="28169" spans="1:8">
      <c r="A28169" t="s">
        <v>1898</v>
      </c>
      <c r="B28169">
        <f>HYPERLINK("https://android.googlesource.com/platform/cts/+/bb97cff38512caefe19bdd92efe82ff992b24180", "bb97cff38512caefe19bdd92efe82ff992b24180")</f>
        <v>0</v>
      </c>
      <c r="C28169">
        <f>HYPERLINK("https://android.googlesource.com/platform/cts/+/e8e373c8cd27a2f71281d3069d1356784f8eb781", "e8e373c8cd27a2f71281d3069d1356784f8eb781")</f>
        <v>0</v>
      </c>
      <c r="D28169" t="s">
        <v>5272</v>
      </c>
      <c r="E28169" t="s">
        <v>7644</v>
      </c>
      <c r="F28169" t="s">
        <v>13488</v>
      </c>
      <c r="G28169" t="s">
        <v>17607</v>
      </c>
      <c r="H28169" t="s">
        <v>30006</v>
      </c>
    </row>
    <row r="28170" spans="1:8">
      <c r="A28170" t="s">
        <v>1899</v>
      </c>
      <c r="B28170">
        <f>HYPERLINK("https://android.googlesource.com/platform/cts/+/83352cb54a9bb7a3273d88bd8460bf97ea7bf468", "83352cb54a9bb7a3273d88bd8460bf97ea7bf468")</f>
        <v>0</v>
      </c>
      <c r="C28170">
        <f>HYPERLINK("https://android.googlesource.com/platform/cts/+/25b5e5104a9cecaae2d17646d5641c5d82544b3a", "25b5e5104a9cecaae2d17646d5641c5d82544b3a")</f>
        <v>0</v>
      </c>
      <c r="D28170" t="s">
        <v>5293</v>
      </c>
      <c r="E28170" t="s">
        <v>7645</v>
      </c>
      <c r="F28170" t="s">
        <v>12616</v>
      </c>
      <c r="G28170" t="s">
        <v>16827</v>
      </c>
      <c r="H28170" t="s">
        <v>26141</v>
      </c>
    </row>
    <row r="28171" spans="1:8">
      <c r="H28171" t="s">
        <v>26140</v>
      </c>
    </row>
    <row r="28172" spans="1:8">
      <c r="H28172" t="s">
        <v>25492</v>
      </c>
    </row>
    <row r="28173" spans="1:8">
      <c r="H28173" t="s">
        <v>25490</v>
      </c>
    </row>
    <row r="28174" spans="1:8">
      <c r="H28174" t="s">
        <v>30007</v>
      </c>
    </row>
    <row r="28175" spans="1:8">
      <c r="H28175" t="s">
        <v>25550</v>
      </c>
    </row>
    <row r="28176" spans="1:8">
      <c r="H28176" t="s">
        <v>30008</v>
      </c>
    </row>
    <row r="28177" spans="1:8">
      <c r="H28177" t="s">
        <v>30009</v>
      </c>
    </row>
    <row r="28178" spans="1:8">
      <c r="A28178" t="s">
        <v>1900</v>
      </c>
      <c r="B28178">
        <f>HYPERLINK("https://android.googlesource.com/platform/cts/+/2e0f78f003fab010e53b0029b4fea4445887b8b4", "2e0f78f003fab010e53b0029b4fea4445887b8b4")</f>
        <v>0</v>
      </c>
      <c r="C28178">
        <f>HYPERLINK("https://android.googlesource.com/platform/cts/+/3a2aa75e2172e88bc10cb557c48fe9c8376e9e96", "3a2aa75e2172e88bc10cb557c48fe9c8376e9e96")</f>
        <v>0</v>
      </c>
      <c r="D28178" t="s">
        <v>5300</v>
      </c>
      <c r="E28178" t="s">
        <v>7646</v>
      </c>
      <c r="F28178" t="s">
        <v>13242</v>
      </c>
      <c r="G28178" t="s">
        <v>17382</v>
      </c>
      <c r="H28178" t="s">
        <v>30010</v>
      </c>
    </row>
    <row r="28179" spans="1:8">
      <c r="H28179" t="s">
        <v>30011</v>
      </c>
    </row>
    <row r="28180" spans="1:8">
      <c r="A28180" t="s">
        <v>1901</v>
      </c>
      <c r="B28180">
        <f>HYPERLINK("https://android.googlesource.com/platform/cts/+/d888e5df2bc94979766f4d8d162de3a02d7f35bb", "d888e5df2bc94979766f4d8d162de3a02d7f35bb")</f>
        <v>0</v>
      </c>
      <c r="C28180">
        <f>HYPERLINK("https://android.googlesource.com/platform/cts/+/f2752bc9eda206cfbd8f39241c0368cbce0cdcff", "f2752bc9eda206cfbd8f39241c0368cbce0cdcff")</f>
        <v>0</v>
      </c>
      <c r="D28180" t="s">
        <v>5265</v>
      </c>
      <c r="E28180" t="s">
        <v>7647</v>
      </c>
      <c r="F28180" t="s">
        <v>12795</v>
      </c>
      <c r="G28180" t="s">
        <v>15113</v>
      </c>
      <c r="H28180" t="s">
        <v>30012</v>
      </c>
    </row>
    <row r="28181" spans="1:8">
      <c r="F28181" t="s">
        <v>13486</v>
      </c>
      <c r="G28181" t="s">
        <v>15098</v>
      </c>
      <c r="H28181" t="s">
        <v>30013</v>
      </c>
    </row>
    <row r="28182" spans="1:8">
      <c r="H28182" t="s">
        <v>18829</v>
      </c>
    </row>
    <row r="28183" spans="1:8">
      <c r="H28183" t="s">
        <v>29829</v>
      </c>
    </row>
    <row r="28184" spans="1:8">
      <c r="H28184" t="s">
        <v>30014</v>
      </c>
    </row>
    <row r="28185" spans="1:8">
      <c r="A28185" t="s">
        <v>1902</v>
      </c>
      <c r="B28185">
        <f>HYPERLINK("https://android.googlesource.com/platform/cts/+/8113771c537b8dbbe17c3d2b14e740e73194cdac", "8113771c537b8dbbe17c3d2b14e740e73194cdac")</f>
        <v>0</v>
      </c>
      <c r="C28185">
        <f>HYPERLINK("https://android.googlesource.com/platform/cts/+/f642f7de3a5e79086b24b64d6e34c82311a756d9", "f642f7de3a5e79086b24b64d6e34c82311a756d9")</f>
        <v>0</v>
      </c>
      <c r="D28185" t="s">
        <v>5288</v>
      </c>
      <c r="E28185" t="s">
        <v>7648</v>
      </c>
      <c r="F28185" t="s">
        <v>13489</v>
      </c>
      <c r="G28185" t="s">
        <v>17608</v>
      </c>
      <c r="H28185" t="s">
        <v>30015</v>
      </c>
    </row>
    <row r="28186" spans="1:8">
      <c r="F28186" t="s">
        <v>13450</v>
      </c>
      <c r="G28186" t="s">
        <v>17572</v>
      </c>
      <c r="H28186" t="s">
        <v>30016</v>
      </c>
    </row>
    <row r="28187" spans="1:8">
      <c r="A28187" t="s">
        <v>1903</v>
      </c>
      <c r="B28187">
        <f>HYPERLINK("https://android.googlesource.com/platform/cts/+/24e48296a6809d0d77dd802ac3eaa3111847bc68", "24e48296a6809d0d77dd802ac3eaa3111847bc68")</f>
        <v>0</v>
      </c>
      <c r="C28187">
        <f>HYPERLINK("https://android.googlesource.com/platform/cts/+/bd513cb6343d9089941045173b7d484fc758a49e", "bd513cb6343d9089941045173b7d484fc758a49e")</f>
        <v>0</v>
      </c>
      <c r="D28187" t="s">
        <v>5301</v>
      </c>
      <c r="E28187" t="s">
        <v>7649</v>
      </c>
      <c r="F28187" t="s">
        <v>13490</v>
      </c>
      <c r="G28187" t="s">
        <v>17609</v>
      </c>
      <c r="H28187" t="s">
        <v>30017</v>
      </c>
    </row>
    <row r="28188" spans="1:8">
      <c r="A28188" t="s">
        <v>1904</v>
      </c>
      <c r="B28188">
        <f>HYPERLINK("https://android.googlesource.com/platform/cts/+/ce21d512ff3faea6f93c05a6b34021d45d483169", "ce21d512ff3faea6f93c05a6b34021d45d483169")</f>
        <v>0</v>
      </c>
      <c r="C28188">
        <f>HYPERLINK("https://android.googlesource.com/platform/cts/+/082c3dde5bb6b048bdc394d5306ea455415668e9", "082c3dde5bb6b048bdc394d5306ea455415668e9")</f>
        <v>0</v>
      </c>
      <c r="D28188" t="s">
        <v>5189</v>
      </c>
      <c r="E28188" t="s">
        <v>7650</v>
      </c>
      <c r="F28188" t="s">
        <v>13162</v>
      </c>
      <c r="G28188" t="s">
        <v>16987</v>
      </c>
      <c r="H28188" t="s">
        <v>30018</v>
      </c>
    </row>
    <row r="28189" spans="1:8">
      <c r="H28189" t="s">
        <v>30019</v>
      </c>
    </row>
    <row r="28190" spans="1:8">
      <c r="H28190" t="s">
        <v>30020</v>
      </c>
    </row>
    <row r="28191" spans="1:8">
      <c r="F28191" t="s">
        <v>12629</v>
      </c>
      <c r="G28191" t="s">
        <v>16838</v>
      </c>
      <c r="H28191" t="s">
        <v>30021</v>
      </c>
    </row>
    <row r="28192" spans="1:8">
      <c r="A28192" t="s">
        <v>1905</v>
      </c>
      <c r="B28192">
        <f>HYPERLINK("https://android.googlesource.com/platform/cts/+/e8954de1363262935a088d9c4707ed0999f56ff5", "e8954de1363262935a088d9c4707ed0999f56ff5")</f>
        <v>0</v>
      </c>
      <c r="C28192">
        <f>HYPERLINK("https://android.googlesource.com/platform/cts/+/ce21d512ff3faea6f93c05a6b34021d45d483169", "ce21d512ff3faea6f93c05a6b34021d45d483169")</f>
        <v>0</v>
      </c>
      <c r="D28192" t="s">
        <v>5189</v>
      </c>
      <c r="E28192" t="s">
        <v>7651</v>
      </c>
      <c r="F28192" t="s">
        <v>13162</v>
      </c>
      <c r="G28192" t="s">
        <v>16987</v>
      </c>
      <c r="H28192" t="s">
        <v>30022</v>
      </c>
    </row>
    <row r="28193" spans="1:8">
      <c r="H28193" t="s">
        <v>30023</v>
      </c>
    </row>
    <row r="28194" spans="1:8">
      <c r="H28194" t="s">
        <v>30024</v>
      </c>
    </row>
    <row r="28195" spans="1:8">
      <c r="H28195" t="s">
        <v>30025</v>
      </c>
    </row>
    <row r="28196" spans="1:8">
      <c r="H28196" t="s">
        <v>30026</v>
      </c>
    </row>
    <row r="28197" spans="1:8">
      <c r="H28197" t="s">
        <v>30027</v>
      </c>
    </row>
    <row r="28198" spans="1:8">
      <c r="A28198" t="s">
        <v>1906</v>
      </c>
      <c r="B28198">
        <f>HYPERLINK("https://android.googlesource.com/platform/cts/+/85a2b52602a3f7a0624a707934d20d36f050c4c6", "85a2b52602a3f7a0624a707934d20d36f050c4c6")</f>
        <v>0</v>
      </c>
      <c r="C28198">
        <f>HYPERLINK("https://android.googlesource.com/platform/cts/+/73eae3ab1e9141aca38d0ce3689a1708b2253d95", "73eae3ab1e9141aca38d0ce3689a1708b2253d95")</f>
        <v>0</v>
      </c>
      <c r="D28198" t="s">
        <v>4978</v>
      </c>
      <c r="E28198" t="s">
        <v>7652</v>
      </c>
      <c r="F28198" t="s">
        <v>13253</v>
      </c>
      <c r="G28198" t="s">
        <v>16455</v>
      </c>
      <c r="H28198" t="s">
        <v>30028</v>
      </c>
    </row>
    <row r="28199" spans="1:8">
      <c r="F28199" t="s">
        <v>13391</v>
      </c>
      <c r="G28199" t="s">
        <v>17517</v>
      </c>
      <c r="H28199" t="s">
        <v>30029</v>
      </c>
    </row>
    <row r="28200" spans="1:8">
      <c r="A28200" t="s">
        <v>1907</v>
      </c>
      <c r="B28200">
        <f>HYPERLINK("https://android.googlesource.com/platform/cts/+/83fdac5acda66ca69dcef777a4f43e744473ad7d", "83fdac5acda66ca69dcef777a4f43e744473ad7d")</f>
        <v>0</v>
      </c>
      <c r="C28200">
        <f>HYPERLINK("https://android.googlesource.com/platform/cts/+/73eae3ab1e9141aca38d0ce3689a1708b2253d95", "73eae3ab1e9141aca38d0ce3689a1708b2253d95")</f>
        <v>0</v>
      </c>
      <c r="D28200" t="s">
        <v>5141</v>
      </c>
      <c r="E28200" t="s">
        <v>7653</v>
      </c>
      <c r="F28200" t="s">
        <v>13459</v>
      </c>
      <c r="G28200" t="s">
        <v>17577</v>
      </c>
      <c r="H28200" t="s">
        <v>30030</v>
      </c>
    </row>
    <row r="28201" spans="1:8">
      <c r="H28201" t="s">
        <v>30031</v>
      </c>
    </row>
    <row r="28202" spans="1:8">
      <c r="H28202" t="s">
        <v>30032</v>
      </c>
    </row>
    <row r="28203" spans="1:8">
      <c r="H28203" t="s">
        <v>29871</v>
      </c>
    </row>
    <row r="28204" spans="1:8">
      <c r="H28204" t="s">
        <v>29872</v>
      </c>
    </row>
    <row r="28205" spans="1:8">
      <c r="H28205" t="s">
        <v>29873</v>
      </c>
    </row>
    <row r="28206" spans="1:8">
      <c r="H28206" t="s">
        <v>29269</v>
      </c>
    </row>
    <row r="28207" spans="1:8">
      <c r="H28207" t="s">
        <v>29874</v>
      </c>
    </row>
    <row r="28208" spans="1:8">
      <c r="H28208" t="s">
        <v>29875</v>
      </c>
    </row>
    <row r="28209" spans="1:8">
      <c r="H28209" t="s">
        <v>29270</v>
      </c>
    </row>
    <row r="28210" spans="1:8">
      <c r="H28210" t="s">
        <v>30033</v>
      </c>
    </row>
    <row r="28211" spans="1:8">
      <c r="H28211" t="s">
        <v>30034</v>
      </c>
    </row>
    <row r="28212" spans="1:8">
      <c r="H28212" t="s">
        <v>29876</v>
      </c>
    </row>
    <row r="28213" spans="1:8">
      <c r="F28213" t="s">
        <v>13091</v>
      </c>
      <c r="G28213" t="s">
        <v>17253</v>
      </c>
      <c r="H28213" t="s">
        <v>30035</v>
      </c>
    </row>
    <row r="28214" spans="1:8">
      <c r="F28214" t="s">
        <v>10794</v>
      </c>
      <c r="G28214" t="s">
        <v>15189</v>
      </c>
      <c r="H28214" t="s">
        <v>30036</v>
      </c>
    </row>
    <row r="28215" spans="1:8">
      <c r="A28215" t="s">
        <v>1908</v>
      </c>
      <c r="B28215">
        <f>HYPERLINK("https://android.googlesource.com/platform/cts/+/2bef4b4abfea88204bd21f093dbc2452212e80d0", "2bef4b4abfea88204bd21f093dbc2452212e80d0")</f>
        <v>0</v>
      </c>
      <c r="C28215">
        <f>HYPERLINK("https://android.googlesource.com/platform/cts/+/eb77ff4565af76f79c4b3576780add82c745d779", "eb77ff4565af76f79c4b3576780add82c745d779")</f>
        <v>0</v>
      </c>
      <c r="D28215" t="s">
        <v>5290</v>
      </c>
      <c r="E28215" t="s">
        <v>7654</v>
      </c>
      <c r="F28215" t="s">
        <v>12640</v>
      </c>
      <c r="G28215" t="s">
        <v>16848</v>
      </c>
      <c r="H28215" t="s">
        <v>30037</v>
      </c>
    </row>
    <row r="28216" spans="1:8">
      <c r="H28216" t="s">
        <v>30038</v>
      </c>
    </row>
    <row r="28217" spans="1:8">
      <c r="A28217" t="s">
        <v>1909</v>
      </c>
      <c r="B28217">
        <f>HYPERLINK("https://android.googlesource.com/platform/cts/+/06658d9196b28a7a82f07a9c6cb883110043b9f3", "06658d9196b28a7a82f07a9c6cb883110043b9f3")</f>
        <v>0</v>
      </c>
      <c r="C28217">
        <f>HYPERLINK("https://android.googlesource.com/platform/cts/+/cb66003bbf84ed10276db5c9d5c7bc28cb12a118", "cb66003bbf84ed10276db5c9d5c7bc28cb12a118")</f>
        <v>0</v>
      </c>
      <c r="D28217" t="s">
        <v>5141</v>
      </c>
      <c r="E28217" t="s">
        <v>7655</v>
      </c>
      <c r="F28217" t="s">
        <v>10597</v>
      </c>
      <c r="G28217" t="s">
        <v>15000</v>
      </c>
      <c r="H28217" t="s">
        <v>30039</v>
      </c>
    </row>
    <row r="28218" spans="1:8">
      <c r="F28218" t="s">
        <v>13491</v>
      </c>
      <c r="G28218" t="s">
        <v>17610</v>
      </c>
      <c r="H28218" t="s">
        <v>30040</v>
      </c>
    </row>
    <row r="28219" spans="1:8">
      <c r="H28219" t="s">
        <v>30041</v>
      </c>
    </row>
    <row r="28220" spans="1:8">
      <c r="H28220" t="s">
        <v>30042</v>
      </c>
    </row>
    <row r="28221" spans="1:8">
      <c r="H28221" t="s">
        <v>30043</v>
      </c>
    </row>
    <row r="28222" spans="1:8">
      <c r="H28222" t="s">
        <v>30044</v>
      </c>
    </row>
    <row r="28223" spans="1:8">
      <c r="H28223" t="s">
        <v>29269</v>
      </c>
    </row>
    <row r="28224" spans="1:8">
      <c r="H28224" t="s">
        <v>29876</v>
      </c>
    </row>
    <row r="28225" spans="1:8">
      <c r="F28225" t="s">
        <v>13091</v>
      </c>
      <c r="G28225" t="s">
        <v>17253</v>
      </c>
      <c r="H28225" t="s">
        <v>30045</v>
      </c>
    </row>
    <row r="28226" spans="1:8">
      <c r="H28226" t="s">
        <v>30046</v>
      </c>
    </row>
    <row r="28227" spans="1:8">
      <c r="H28227" t="s">
        <v>30047</v>
      </c>
    </row>
    <row r="28228" spans="1:8">
      <c r="H28228" t="s">
        <v>18930</v>
      </c>
    </row>
    <row r="28229" spans="1:8">
      <c r="H28229" t="s">
        <v>19136</v>
      </c>
    </row>
    <row r="28230" spans="1:8">
      <c r="H28230" t="s">
        <v>30048</v>
      </c>
    </row>
    <row r="28231" spans="1:8">
      <c r="H28231" t="s">
        <v>30049</v>
      </c>
    </row>
    <row r="28232" spans="1:8">
      <c r="H28232" t="s">
        <v>30050</v>
      </c>
    </row>
    <row r="28233" spans="1:8">
      <c r="F28233" t="s">
        <v>10794</v>
      </c>
      <c r="G28233" t="s">
        <v>15189</v>
      </c>
      <c r="H28233" t="s">
        <v>30051</v>
      </c>
    </row>
    <row r="28234" spans="1:8">
      <c r="H28234" t="s">
        <v>30052</v>
      </c>
    </row>
    <row r="28235" spans="1:8">
      <c r="H28235" t="s">
        <v>30053</v>
      </c>
    </row>
    <row r="28236" spans="1:8">
      <c r="A28236" t="s">
        <v>1910</v>
      </c>
      <c r="B28236">
        <f>HYPERLINK("https://android.googlesource.com/platform/cts/+/02511db57c32a567644b3de0ccc33492e4441de1", "02511db57c32a567644b3de0ccc33492e4441de1")</f>
        <v>0</v>
      </c>
      <c r="C28236">
        <f>HYPERLINK("https://android.googlesource.com/platform/cts/+/11a8e678c564145010e7004cd80daf9a647ff8a9", "11a8e678c564145010e7004cd80daf9a647ff8a9")</f>
        <v>0</v>
      </c>
      <c r="D28236" t="s">
        <v>5302</v>
      </c>
      <c r="E28236" t="s">
        <v>7656</v>
      </c>
      <c r="F28236" t="s">
        <v>13492</v>
      </c>
      <c r="G28236" t="s">
        <v>17611</v>
      </c>
      <c r="H28236" t="s">
        <v>30054</v>
      </c>
    </row>
    <row r="28237" spans="1:8">
      <c r="H28237" t="s">
        <v>30055</v>
      </c>
    </row>
    <row r="28238" spans="1:8">
      <c r="H28238" t="s">
        <v>30056</v>
      </c>
    </row>
    <row r="28239" spans="1:8">
      <c r="H28239" t="s">
        <v>30057</v>
      </c>
    </row>
    <row r="28240" spans="1:8">
      <c r="H28240" t="s">
        <v>30058</v>
      </c>
    </row>
    <row r="28241" spans="1:8">
      <c r="H28241" t="s">
        <v>30059</v>
      </c>
    </row>
    <row r="28242" spans="1:8">
      <c r="A28242" t="s">
        <v>1911</v>
      </c>
      <c r="B28242">
        <f>HYPERLINK("https://android.googlesource.com/platform/cts/+/0aaeb75c6628eb12d4800a5691b531f1d38ae214", "0aaeb75c6628eb12d4800a5691b531f1d38ae214")</f>
        <v>0</v>
      </c>
      <c r="C28242">
        <f>HYPERLINK("https://android.googlesource.com/platform/cts/+/6ac5c9fc162bea7eae363b8834418b291288aafd", "6ac5c9fc162bea7eae363b8834418b291288aafd")</f>
        <v>0</v>
      </c>
      <c r="D28242" t="s">
        <v>5134</v>
      </c>
      <c r="E28242" t="s">
        <v>7657</v>
      </c>
      <c r="F28242" t="s">
        <v>13493</v>
      </c>
      <c r="G28242" t="s">
        <v>17612</v>
      </c>
      <c r="H28242" t="s">
        <v>30060</v>
      </c>
    </row>
    <row r="28243" spans="1:8">
      <c r="H28243" t="s">
        <v>30061</v>
      </c>
    </row>
    <row r="28244" spans="1:8">
      <c r="A28244" t="s">
        <v>1912</v>
      </c>
      <c r="B28244">
        <f>HYPERLINK("https://android.googlesource.com/platform/cts/+/92e5073e104cd4b8c085e0e8489da81b9245cf30", "92e5073e104cd4b8c085e0e8489da81b9245cf30")</f>
        <v>0</v>
      </c>
      <c r="C28244">
        <f>HYPERLINK("https://android.googlesource.com/platform/cts/+/bd1b7b952c29405fd0c927e832814b975f147f42", "bd1b7b952c29405fd0c927e832814b975f147f42")</f>
        <v>0</v>
      </c>
      <c r="D28244" t="s">
        <v>5284</v>
      </c>
      <c r="E28244" t="s">
        <v>7658</v>
      </c>
      <c r="F28244" t="s">
        <v>13165</v>
      </c>
      <c r="G28244" t="s">
        <v>17315</v>
      </c>
      <c r="H28244" t="s">
        <v>30062</v>
      </c>
    </row>
    <row r="28245" spans="1:8">
      <c r="H28245" t="s">
        <v>30063</v>
      </c>
    </row>
    <row r="28246" spans="1:8">
      <c r="A28246" t="s">
        <v>1913</v>
      </c>
      <c r="B28246">
        <f>HYPERLINK("https://android.googlesource.com/platform/cts/+/77acca434bdbafea5e8c6197b5f74738a7af8047", "77acca434bdbafea5e8c6197b5f74738a7af8047")</f>
        <v>0</v>
      </c>
      <c r="C28246">
        <f>HYPERLINK("https://android.googlesource.com/platform/cts/+/076583a6c4e39db3bd6612d70d7e439c74876ddf", "076583a6c4e39db3bd6612d70d7e439c74876ddf")</f>
        <v>0</v>
      </c>
      <c r="D28246" t="s">
        <v>5303</v>
      </c>
      <c r="E28246" t="s">
        <v>7659</v>
      </c>
      <c r="F28246" t="s">
        <v>12839</v>
      </c>
      <c r="G28246" t="s">
        <v>17014</v>
      </c>
      <c r="H28246" t="s">
        <v>30064</v>
      </c>
    </row>
    <row r="28247" spans="1:8">
      <c r="H28247" t="s">
        <v>30065</v>
      </c>
    </row>
    <row r="28248" spans="1:8">
      <c r="H28248" t="s">
        <v>30066</v>
      </c>
    </row>
    <row r="28249" spans="1:8">
      <c r="H28249" t="s">
        <v>30067</v>
      </c>
    </row>
    <row r="28250" spans="1:8">
      <c r="H28250" t="s">
        <v>30068</v>
      </c>
    </row>
    <row r="28251" spans="1:8">
      <c r="A28251" t="s">
        <v>1914</v>
      </c>
      <c r="B28251">
        <f>HYPERLINK("https://android.googlesource.com/platform/cts/+/112d2e758eecc40682acb91736660d5f1272b3b4", "112d2e758eecc40682acb91736660d5f1272b3b4")</f>
        <v>0</v>
      </c>
      <c r="C28251">
        <f>HYPERLINK("https://android.googlesource.com/platform/cts/+/4870e49977adecccff410088539ee859b75848db", "4870e49977adecccff410088539ee859b75848db")</f>
        <v>0</v>
      </c>
      <c r="D28251" t="s">
        <v>5303</v>
      </c>
      <c r="E28251" t="s">
        <v>7660</v>
      </c>
      <c r="F28251" t="s">
        <v>12839</v>
      </c>
      <c r="G28251" t="s">
        <v>17014</v>
      </c>
      <c r="H28251" t="s">
        <v>30064</v>
      </c>
    </row>
    <row r="28252" spans="1:8">
      <c r="H28252" t="s">
        <v>30065</v>
      </c>
    </row>
    <row r="28253" spans="1:8">
      <c r="H28253" t="s">
        <v>30066</v>
      </c>
    </row>
    <row r="28254" spans="1:8">
      <c r="H28254" t="s">
        <v>30067</v>
      </c>
    </row>
    <row r="28255" spans="1:8">
      <c r="H28255" t="s">
        <v>30068</v>
      </c>
    </row>
    <row r="28256" spans="1:8">
      <c r="A28256" t="s">
        <v>1915</v>
      </c>
      <c r="B28256">
        <f>HYPERLINK("https://android.googlesource.com/platform/cts/+/92f094d20987fdd4530cd30feddd10ba5208b145", "92f094d20987fdd4530cd30feddd10ba5208b145")</f>
        <v>0</v>
      </c>
      <c r="C28256">
        <f>HYPERLINK("https://android.googlesource.com/platform/cts/+/a15ae145ff691090cbcbeeb8a548b3b6090c15dc", "a15ae145ff691090cbcbeeb8a548b3b6090c15dc")</f>
        <v>0</v>
      </c>
      <c r="D28256" t="s">
        <v>5195</v>
      </c>
      <c r="E28256" t="s">
        <v>7661</v>
      </c>
      <c r="F28256" t="s">
        <v>13494</v>
      </c>
      <c r="G28256" t="s">
        <v>17613</v>
      </c>
      <c r="H28256" t="s">
        <v>30069</v>
      </c>
    </row>
    <row r="28257" spans="1:8">
      <c r="A28257" t="s">
        <v>1916</v>
      </c>
      <c r="B28257">
        <f>HYPERLINK("https://android.googlesource.com/platform/cts/+/0d65517f0143a75a4dd29a2c82c0a20743edf050", "0d65517f0143a75a4dd29a2c82c0a20743edf050")</f>
        <v>0</v>
      </c>
      <c r="C28257">
        <f>HYPERLINK("https://android.googlesource.com/platform/cts/+/6cd66a486320ce682125dfebc229e0aecf20226e", "6cd66a486320ce682125dfebc229e0aecf20226e")</f>
        <v>0</v>
      </c>
      <c r="D28257" t="s">
        <v>5046</v>
      </c>
      <c r="E28257" t="s">
        <v>7662</v>
      </c>
      <c r="F28257" t="s">
        <v>13495</v>
      </c>
      <c r="G28257" t="s">
        <v>17158</v>
      </c>
      <c r="H28257" t="s">
        <v>28618</v>
      </c>
    </row>
    <row r="28258" spans="1:8">
      <c r="H28258" t="s">
        <v>28619</v>
      </c>
    </row>
    <row r="28259" spans="1:8">
      <c r="A28259" t="s">
        <v>1917</v>
      </c>
      <c r="B28259">
        <f>HYPERLINK("https://android.googlesource.com/platform/cts/+/82d73119016e321a8f90347bded84e25c87a0675", "82d73119016e321a8f90347bded84e25c87a0675")</f>
        <v>0</v>
      </c>
      <c r="C28259">
        <f>HYPERLINK("https://android.googlesource.com/platform/cts/+/9b73ba5302fd9740787284949b1b1197f1c16a49", "9b73ba5302fd9740787284949b1b1197f1c16a49")</f>
        <v>0</v>
      </c>
      <c r="D28259" t="s">
        <v>5141</v>
      </c>
      <c r="E28259" t="s">
        <v>7663</v>
      </c>
      <c r="F28259" t="s">
        <v>13459</v>
      </c>
      <c r="G28259" t="s">
        <v>17577</v>
      </c>
      <c r="H28259" t="s">
        <v>30030</v>
      </c>
    </row>
    <row r="28260" spans="1:8">
      <c r="H28260" t="s">
        <v>30031</v>
      </c>
    </row>
    <row r="28261" spans="1:8">
      <c r="H28261" t="s">
        <v>30032</v>
      </c>
    </row>
    <row r="28262" spans="1:8">
      <c r="H28262" t="s">
        <v>29871</v>
      </c>
    </row>
    <row r="28263" spans="1:8">
      <c r="H28263" t="s">
        <v>29872</v>
      </c>
    </row>
    <row r="28264" spans="1:8">
      <c r="H28264" t="s">
        <v>29873</v>
      </c>
    </row>
    <row r="28265" spans="1:8">
      <c r="H28265" t="s">
        <v>29269</v>
      </c>
    </row>
    <row r="28266" spans="1:8">
      <c r="H28266" t="s">
        <v>29874</v>
      </c>
    </row>
    <row r="28267" spans="1:8">
      <c r="H28267" t="s">
        <v>29875</v>
      </c>
    </row>
    <row r="28268" spans="1:8">
      <c r="H28268" t="s">
        <v>29270</v>
      </c>
    </row>
    <row r="28269" spans="1:8">
      <c r="H28269" t="s">
        <v>30033</v>
      </c>
    </row>
    <row r="28270" spans="1:8">
      <c r="H28270" t="s">
        <v>30034</v>
      </c>
    </row>
    <row r="28271" spans="1:8">
      <c r="H28271" t="s">
        <v>29876</v>
      </c>
    </row>
    <row r="28272" spans="1:8">
      <c r="F28272" t="s">
        <v>13091</v>
      </c>
      <c r="G28272" t="s">
        <v>17253</v>
      </c>
      <c r="H28272" t="s">
        <v>30035</v>
      </c>
    </row>
    <row r="28273" spans="1:8">
      <c r="F28273" t="s">
        <v>10794</v>
      </c>
      <c r="G28273" t="s">
        <v>15189</v>
      </c>
      <c r="H28273" t="s">
        <v>30036</v>
      </c>
    </row>
    <row r="28274" spans="1:8">
      <c r="A28274" t="s">
        <v>1919</v>
      </c>
      <c r="B28274">
        <f>HYPERLINK("https://android.googlesource.com/platform/cts/+/7374294785d6186fb63cad13b44d7ce203cdb810", "7374294785d6186fb63cad13b44d7ce203cdb810")</f>
        <v>0</v>
      </c>
      <c r="C28274">
        <f>HYPERLINK("https://android.googlesource.com/platform/cts/+/dd4aaaf3e39d73f1d1b532132e246de4e756ab48", "dd4aaaf3e39d73f1d1b532132e246de4e756ab48")</f>
        <v>0</v>
      </c>
      <c r="D28274" t="s">
        <v>5305</v>
      </c>
      <c r="E28274" t="s">
        <v>7665</v>
      </c>
      <c r="F28274" t="s">
        <v>13496</v>
      </c>
      <c r="G28274" t="s">
        <v>17614</v>
      </c>
      <c r="H28274" t="s">
        <v>30070</v>
      </c>
    </row>
    <row r="28275" spans="1:8">
      <c r="H28275" t="s">
        <v>30071</v>
      </c>
    </row>
    <row r="28276" spans="1:8">
      <c r="H28276" t="s">
        <v>30072</v>
      </c>
    </row>
    <row r="28277" spans="1:8">
      <c r="A28277" t="s">
        <v>1920</v>
      </c>
      <c r="B28277">
        <f>HYPERLINK("https://android.googlesource.com/platform/cts/+/dc938f33da9427dfdfd76dbdcd3459486007191d", "dc938f33da9427dfdfd76dbdcd3459486007191d")</f>
        <v>0</v>
      </c>
      <c r="C28277">
        <f>HYPERLINK("https://android.googlesource.com/platform/cts/+/56f2cbfaf29f8ca2f9a8b93ca493485bd3385151", "56f2cbfaf29f8ca2f9a8b93ca493485bd3385151")</f>
        <v>0</v>
      </c>
      <c r="D28277" t="s">
        <v>5305</v>
      </c>
      <c r="E28277" t="s">
        <v>7666</v>
      </c>
      <c r="F28277" t="s">
        <v>10593</v>
      </c>
      <c r="G28277" t="s">
        <v>14996</v>
      </c>
      <c r="H28277" t="s">
        <v>30073</v>
      </c>
    </row>
    <row r="28278" spans="1:8">
      <c r="A28278" t="s">
        <v>1921</v>
      </c>
      <c r="B28278">
        <f>HYPERLINK("https://android.googlesource.com/platform/cts/+/5b31af70b29f61919af889557ee15849c6695de3", "5b31af70b29f61919af889557ee15849c6695de3")</f>
        <v>0</v>
      </c>
      <c r="C28278">
        <f>HYPERLINK("https://android.googlesource.com/platform/cts/+/d6a6157f73cccd815307efbaa946711f90872885", "d6a6157f73cccd815307efbaa946711f90872885")</f>
        <v>0</v>
      </c>
      <c r="D28278" t="s">
        <v>5306</v>
      </c>
      <c r="E28278" t="s">
        <v>7667</v>
      </c>
      <c r="F28278" t="s">
        <v>13497</v>
      </c>
      <c r="G28278" t="s">
        <v>17615</v>
      </c>
      <c r="H28278" t="s">
        <v>30074</v>
      </c>
    </row>
    <row r="28279" spans="1:8">
      <c r="A28279" t="s">
        <v>1922</v>
      </c>
      <c r="B28279">
        <f>HYPERLINK("https://android.googlesource.com/platform/cts/+/64213cd0e7c8b60578770aa0544d75638839717f", "64213cd0e7c8b60578770aa0544d75638839717f")</f>
        <v>0</v>
      </c>
      <c r="C28279">
        <f>HYPERLINK("https://android.googlesource.com/platform/cts/+/6d5ec360319bc18c284585665c7acd6a050e70bb", "6d5ec360319bc18c284585665c7acd6a050e70bb")</f>
        <v>0</v>
      </c>
      <c r="D28279" t="s">
        <v>5211</v>
      </c>
      <c r="E28279" t="s">
        <v>7668</v>
      </c>
      <c r="F28279" t="s">
        <v>13498</v>
      </c>
      <c r="G28279" t="s">
        <v>17616</v>
      </c>
      <c r="H28279" t="s">
        <v>29809</v>
      </c>
    </row>
    <row r="28280" spans="1:8">
      <c r="H28280" t="s">
        <v>21323</v>
      </c>
    </row>
    <row r="28281" spans="1:8">
      <c r="H28281" t="s">
        <v>29811</v>
      </c>
    </row>
    <row r="28282" spans="1:8">
      <c r="H28282" t="s">
        <v>29812</v>
      </c>
    </row>
    <row r="28283" spans="1:8">
      <c r="A28283" t="s">
        <v>1923</v>
      </c>
      <c r="B28283">
        <f>HYPERLINK("https://android.googlesource.com/platform/cts/+/84b57d1cb17225cce903afb2eb8de5e02abf0eac", "84b57d1cb17225cce903afb2eb8de5e02abf0eac")</f>
        <v>0</v>
      </c>
      <c r="C28283">
        <f>HYPERLINK("https://android.googlesource.com/platform/cts/+/9aa51d7ed408ca04314c49fdbd046e08cf990ded", "9aa51d7ed408ca04314c49fdbd046e08cf990ded")</f>
        <v>0</v>
      </c>
      <c r="D28283" t="s">
        <v>5287</v>
      </c>
      <c r="E28283" t="s">
        <v>7669</v>
      </c>
      <c r="F28283" t="s">
        <v>13442</v>
      </c>
      <c r="G28283" t="s">
        <v>17564</v>
      </c>
      <c r="H28283" t="s">
        <v>30075</v>
      </c>
    </row>
    <row r="28284" spans="1:8">
      <c r="H28284" t="s">
        <v>30076</v>
      </c>
    </row>
    <row r="28285" spans="1:8">
      <c r="A28285" t="s">
        <v>1924</v>
      </c>
      <c r="B28285">
        <f>HYPERLINK("https://android.googlesource.com/platform/cts/+/594be7efd9cec66302b8e1de2b76246ed676030f", "594be7efd9cec66302b8e1de2b76246ed676030f")</f>
        <v>0</v>
      </c>
      <c r="C28285">
        <f>HYPERLINK("https://android.googlesource.com/platform/cts/+/5e6693f1c9581e099bc7341763ad5afaa3ef175e", "5e6693f1c9581e099bc7341763ad5afaa3ef175e")</f>
        <v>0</v>
      </c>
      <c r="D28285" t="s">
        <v>5211</v>
      </c>
      <c r="E28285" t="s">
        <v>7670</v>
      </c>
      <c r="F28285" t="s">
        <v>13499</v>
      </c>
      <c r="G28285" t="s">
        <v>17617</v>
      </c>
      <c r="H28285" t="s">
        <v>29809</v>
      </c>
    </row>
    <row r="28286" spans="1:8">
      <c r="H28286" t="s">
        <v>21323</v>
      </c>
    </row>
    <row r="28287" spans="1:8">
      <c r="H28287" t="s">
        <v>29811</v>
      </c>
    </row>
    <row r="28288" spans="1:8">
      <c r="H28288" t="s">
        <v>29812</v>
      </c>
    </row>
    <row r="28289" spans="1:8">
      <c r="A28289" t="s">
        <v>1925</v>
      </c>
      <c r="B28289">
        <f>HYPERLINK("https://android.googlesource.com/platform/cts/+/1ea7cb7111e32c44e52752e8846e8d0212233def", "1ea7cb7111e32c44e52752e8846e8d0212233def")</f>
        <v>0</v>
      </c>
      <c r="C28289">
        <f>HYPERLINK("https://android.googlesource.com/platform/cts/+/8a1539ec7620fe24ec792105c0a062593374066b", "8a1539ec7620fe24ec792105c0a062593374066b")</f>
        <v>0</v>
      </c>
      <c r="D28289" t="s">
        <v>5287</v>
      </c>
      <c r="E28289" t="s">
        <v>7671</v>
      </c>
      <c r="F28289" t="s">
        <v>10608</v>
      </c>
      <c r="G28289" t="s">
        <v>15011</v>
      </c>
      <c r="H28289" t="s">
        <v>30077</v>
      </c>
    </row>
    <row r="28290" spans="1:8">
      <c r="H28290" t="s">
        <v>30078</v>
      </c>
    </row>
    <row r="28291" spans="1:8">
      <c r="A28291" t="s">
        <v>1926</v>
      </c>
      <c r="B28291">
        <f>HYPERLINK("https://android.googlesource.com/platform/cts/+/729cd5b8e01795b195cfbf0e5b439cab2db6ad39", "729cd5b8e01795b195cfbf0e5b439cab2db6ad39")</f>
        <v>0</v>
      </c>
      <c r="C28291">
        <f>HYPERLINK("https://android.googlesource.com/platform/cts/+/fab1881862b305c9ac3721d44f48ec202875ec75", "fab1881862b305c9ac3721d44f48ec202875ec75")</f>
        <v>0</v>
      </c>
      <c r="D28291" t="s">
        <v>5293</v>
      </c>
      <c r="E28291" t="s">
        <v>7672</v>
      </c>
      <c r="F28291" t="s">
        <v>13468</v>
      </c>
      <c r="G28291" t="s">
        <v>17587</v>
      </c>
      <c r="H28291" t="s">
        <v>30079</v>
      </c>
    </row>
    <row r="28292" spans="1:8">
      <c r="H28292" t="s">
        <v>30080</v>
      </c>
    </row>
    <row r="28293" spans="1:8">
      <c r="A28293" t="s">
        <v>1927</v>
      </c>
      <c r="B28293">
        <f>HYPERLINK("https://android.googlesource.com/platform/cts/+/181afc848d26bcc618c4c6e100cf2a7cb7c8982f", "181afc848d26bcc618c4c6e100cf2a7cb7c8982f")</f>
        <v>0</v>
      </c>
      <c r="C28293">
        <f>HYPERLINK("https://android.googlesource.com/platform/cts/+/bd5f45cec7086fb3e4e0a246e7a4bfaa64ca90ca", "bd5f45cec7086fb3e4e0a246e7a4bfaa64ca90ca")</f>
        <v>0</v>
      </c>
      <c r="D28293" t="s">
        <v>5134</v>
      </c>
      <c r="E28293" t="s">
        <v>7673</v>
      </c>
      <c r="F28293" t="s">
        <v>13371</v>
      </c>
      <c r="G28293" t="s">
        <v>17498</v>
      </c>
      <c r="H28293" t="s">
        <v>30081</v>
      </c>
    </row>
    <row r="28294" spans="1:8">
      <c r="A28294" t="s">
        <v>1928</v>
      </c>
      <c r="B28294">
        <f>HYPERLINK("https://android.googlesource.com/platform/cts/+/ecaabc38c3568d9cf21d72497dc79536c71daa90", "ecaabc38c3568d9cf21d72497dc79536c71daa90")</f>
        <v>0</v>
      </c>
      <c r="C28294">
        <f>HYPERLINK("https://android.googlesource.com/platform/cts/+/3132240742c4eded7a40fccdef8c90a78e62e378", "3132240742c4eded7a40fccdef8c90a78e62e378")</f>
        <v>0</v>
      </c>
      <c r="D28294" t="s">
        <v>5134</v>
      </c>
      <c r="E28294" t="s">
        <v>7674</v>
      </c>
      <c r="F28294" t="s">
        <v>13230</v>
      </c>
      <c r="G28294" t="s">
        <v>17371</v>
      </c>
      <c r="H28294" t="s">
        <v>22685</v>
      </c>
    </row>
    <row r="28295" spans="1:8">
      <c r="H28295" t="s">
        <v>30082</v>
      </c>
    </row>
    <row r="28296" spans="1:8">
      <c r="H28296" t="s">
        <v>30083</v>
      </c>
    </row>
    <row r="28297" spans="1:8">
      <c r="H28297" t="s">
        <v>30084</v>
      </c>
    </row>
    <row r="28298" spans="1:8">
      <c r="H28298" t="s">
        <v>30085</v>
      </c>
    </row>
    <row r="28299" spans="1:8">
      <c r="H28299" t="s">
        <v>30086</v>
      </c>
    </row>
    <row r="28300" spans="1:8">
      <c r="H28300" t="s">
        <v>30087</v>
      </c>
    </row>
    <row r="28301" spans="1:8">
      <c r="H28301" t="s">
        <v>30088</v>
      </c>
    </row>
    <row r="28302" spans="1:8">
      <c r="H28302" t="s">
        <v>30089</v>
      </c>
    </row>
    <row r="28303" spans="1:8">
      <c r="H28303" t="s">
        <v>30090</v>
      </c>
    </row>
    <row r="28304" spans="1:8">
      <c r="H28304" t="s">
        <v>30091</v>
      </c>
    </row>
    <row r="28305" spans="8:8">
      <c r="H28305" t="s">
        <v>30092</v>
      </c>
    </row>
    <row r="28306" spans="8:8">
      <c r="H28306" t="s">
        <v>30093</v>
      </c>
    </row>
    <row r="28307" spans="8:8">
      <c r="H28307" t="s">
        <v>30094</v>
      </c>
    </row>
    <row r="28308" spans="8:8">
      <c r="H28308" t="s">
        <v>30095</v>
      </c>
    </row>
    <row r="28309" spans="8:8">
      <c r="H28309" t="s">
        <v>30096</v>
      </c>
    </row>
    <row r="28310" spans="8:8">
      <c r="H28310" t="s">
        <v>30097</v>
      </c>
    </row>
    <row r="28311" spans="8:8">
      <c r="H28311" t="s">
        <v>30098</v>
      </c>
    </row>
    <row r="28312" spans="8:8">
      <c r="H28312" t="s">
        <v>30099</v>
      </c>
    </row>
    <row r="28313" spans="8:8">
      <c r="H28313" t="s">
        <v>30100</v>
      </c>
    </row>
    <row r="28314" spans="8:8">
      <c r="H28314" t="s">
        <v>30101</v>
      </c>
    </row>
    <row r="28315" spans="8:8">
      <c r="H28315" t="s">
        <v>30102</v>
      </c>
    </row>
    <row r="28316" spans="8:8">
      <c r="H28316" t="s">
        <v>30103</v>
      </c>
    </row>
    <row r="28317" spans="8:8">
      <c r="H28317" t="s">
        <v>30104</v>
      </c>
    </row>
    <row r="28318" spans="8:8">
      <c r="H28318" t="s">
        <v>30105</v>
      </c>
    </row>
    <row r="28319" spans="8:8">
      <c r="H28319" t="s">
        <v>30106</v>
      </c>
    </row>
    <row r="28320" spans="8:8">
      <c r="H28320" t="s">
        <v>30107</v>
      </c>
    </row>
    <row r="28321" spans="8:8">
      <c r="H28321" t="s">
        <v>30108</v>
      </c>
    </row>
    <row r="28322" spans="8:8">
      <c r="H28322" t="s">
        <v>30109</v>
      </c>
    </row>
    <row r="28323" spans="8:8">
      <c r="H28323" t="s">
        <v>30110</v>
      </c>
    </row>
    <row r="28324" spans="8:8">
      <c r="H28324" t="s">
        <v>30111</v>
      </c>
    </row>
    <row r="28325" spans="8:8">
      <c r="H28325" t="s">
        <v>30112</v>
      </c>
    </row>
    <row r="28326" spans="8:8">
      <c r="H28326" t="s">
        <v>30113</v>
      </c>
    </row>
    <row r="28327" spans="8:8">
      <c r="H28327" t="s">
        <v>30114</v>
      </c>
    </row>
    <row r="28328" spans="8:8">
      <c r="H28328" t="s">
        <v>30115</v>
      </c>
    </row>
    <row r="28329" spans="8:8">
      <c r="H28329" t="s">
        <v>30116</v>
      </c>
    </row>
    <row r="28330" spans="8:8">
      <c r="H28330" t="s">
        <v>30117</v>
      </c>
    </row>
    <row r="28331" spans="8:8">
      <c r="H28331" t="s">
        <v>30118</v>
      </c>
    </row>
    <row r="28332" spans="8:8">
      <c r="H28332" t="s">
        <v>30119</v>
      </c>
    </row>
    <row r="28333" spans="8:8">
      <c r="H28333" t="s">
        <v>30120</v>
      </c>
    </row>
    <row r="28334" spans="8:8">
      <c r="H28334" t="s">
        <v>30121</v>
      </c>
    </row>
    <row r="28335" spans="8:8">
      <c r="H28335" t="s">
        <v>30122</v>
      </c>
    </row>
    <row r="28336" spans="8:8">
      <c r="H28336" t="s">
        <v>30123</v>
      </c>
    </row>
    <row r="28337" spans="1:8">
      <c r="H28337" t="s">
        <v>30124</v>
      </c>
    </row>
    <row r="28338" spans="1:8">
      <c r="A28338" t="s">
        <v>1929</v>
      </c>
      <c r="B28338">
        <f>HYPERLINK("https://android.googlesource.com/platform/cts/+/9b92b926e9a8da3a12e7fcb2d1a204df51bf8d8e", "9b92b926e9a8da3a12e7fcb2d1a204df51bf8d8e")</f>
        <v>0</v>
      </c>
      <c r="C28338">
        <f>HYPERLINK("https://android.googlesource.com/platform/cts/+/5104991283dc5241e19e8fc1103b8cb9bbff88e3", "5104991283dc5241e19e8fc1103b8cb9bbff88e3")</f>
        <v>0</v>
      </c>
      <c r="D28338" t="s">
        <v>5085</v>
      </c>
      <c r="E28338" t="s">
        <v>7675</v>
      </c>
      <c r="F28338" t="s">
        <v>13500</v>
      </c>
      <c r="G28338" t="s">
        <v>17618</v>
      </c>
      <c r="H28338" t="s">
        <v>18929</v>
      </c>
    </row>
    <row r="28339" spans="1:8">
      <c r="A28339" t="s">
        <v>1930</v>
      </c>
      <c r="B28339">
        <f>HYPERLINK("https://android.googlesource.com/platform/cts/+/897b5774f1cef3f9aa2c350abf05dd029de47f9e", "897b5774f1cef3f9aa2c350abf05dd029de47f9e")</f>
        <v>0</v>
      </c>
      <c r="C28339">
        <f>HYPERLINK("https://android.googlesource.com/platform/cts/+/0343f9be189f8cc25cc0a5071518c0029c460166", "0343f9be189f8cc25cc0a5071518c0029c460166")</f>
        <v>0</v>
      </c>
      <c r="D28339" t="s">
        <v>5279</v>
      </c>
      <c r="E28339" t="s">
        <v>7676</v>
      </c>
      <c r="F28339" t="s">
        <v>13501</v>
      </c>
      <c r="G28339" t="s">
        <v>17619</v>
      </c>
      <c r="H28339" t="s">
        <v>30125</v>
      </c>
    </row>
    <row r="28340" spans="1:8">
      <c r="F28340" t="s">
        <v>13488</v>
      </c>
      <c r="G28340" t="s">
        <v>17607</v>
      </c>
      <c r="H28340" t="s">
        <v>30126</v>
      </c>
    </row>
    <row r="28341" spans="1:8">
      <c r="A28341" t="s">
        <v>1931</v>
      </c>
      <c r="B28341">
        <f>HYPERLINK("https://android.googlesource.com/platform/cts/+/92833ec4696da47adee12b895ff2a970ce8b6dd2", "92833ec4696da47adee12b895ff2a970ce8b6dd2")</f>
        <v>0</v>
      </c>
      <c r="C28341">
        <f>HYPERLINK("https://android.googlesource.com/platform/cts/+/6037c92ea6d15b5bc7a922b510cb0f42520b5712", "6037c92ea6d15b5bc7a922b510cb0f42520b5712")</f>
        <v>0</v>
      </c>
      <c r="D28341" t="s">
        <v>5211</v>
      </c>
      <c r="E28341" t="s">
        <v>7677</v>
      </c>
      <c r="F28341" t="s">
        <v>13498</v>
      </c>
      <c r="G28341" t="s">
        <v>17616</v>
      </c>
      <c r="H28341" t="s">
        <v>30127</v>
      </c>
    </row>
    <row r="28342" spans="1:8">
      <c r="H28342" t="s">
        <v>30128</v>
      </c>
    </row>
    <row r="28343" spans="1:8">
      <c r="F28343" t="s">
        <v>13436</v>
      </c>
      <c r="G28343" t="s">
        <v>17514</v>
      </c>
      <c r="H28343" t="s">
        <v>30127</v>
      </c>
    </row>
    <row r="28344" spans="1:8">
      <c r="H28344" t="s">
        <v>30128</v>
      </c>
    </row>
    <row r="28345" spans="1:8">
      <c r="F28345" t="s">
        <v>13499</v>
      </c>
      <c r="G28345" t="s">
        <v>17617</v>
      </c>
      <c r="H28345" t="s">
        <v>29809</v>
      </c>
    </row>
    <row r="28346" spans="1:8">
      <c r="H28346" t="s">
        <v>21323</v>
      </c>
    </row>
    <row r="28347" spans="1:8">
      <c r="H28347" t="s">
        <v>29811</v>
      </c>
    </row>
    <row r="28348" spans="1:8">
      <c r="H28348" t="s">
        <v>29812</v>
      </c>
    </row>
    <row r="28349" spans="1:8">
      <c r="A28349" t="s">
        <v>1932</v>
      </c>
      <c r="B28349">
        <f>HYPERLINK("https://android.googlesource.com/platform/cts/+/d8276f982b9259e03e8d47edc06c6cb26726c640", "d8276f982b9259e03e8d47edc06c6cb26726c640")</f>
        <v>0</v>
      </c>
      <c r="C28349">
        <f>HYPERLINK("https://android.googlesource.com/platform/cts/+/92833ec4696da47adee12b895ff2a970ce8b6dd2", "92833ec4696da47adee12b895ff2a970ce8b6dd2")</f>
        <v>0</v>
      </c>
      <c r="D28349" t="s">
        <v>5211</v>
      </c>
      <c r="E28349" t="s">
        <v>7678</v>
      </c>
      <c r="F28349" t="s">
        <v>13436</v>
      </c>
      <c r="G28349" t="s">
        <v>17514</v>
      </c>
      <c r="H28349" t="s">
        <v>30129</v>
      </c>
    </row>
    <row r="28350" spans="1:8">
      <c r="H28350" t="s">
        <v>30130</v>
      </c>
    </row>
    <row r="28351" spans="1:8">
      <c r="H28351" t="s">
        <v>30131</v>
      </c>
    </row>
    <row r="28352" spans="1:8">
      <c r="H28352" t="s">
        <v>30132</v>
      </c>
    </row>
    <row r="28353" spans="1:8">
      <c r="A28353" t="s">
        <v>1933</v>
      </c>
      <c r="B28353">
        <f>HYPERLINK("https://android.googlesource.com/platform/cts/+/756e78f3db6dba07e830cdf67953460cad225e4e", "756e78f3db6dba07e830cdf67953460cad225e4e")</f>
        <v>0</v>
      </c>
      <c r="C28353">
        <f>HYPERLINK("https://android.googlesource.com/platform/cts/+/cbf8be0b50d70f4ff51bbfc8f1342a10deb5c86e", "cbf8be0b50d70f4ff51bbfc8f1342a10deb5c86e")</f>
        <v>0</v>
      </c>
      <c r="D28353" t="s">
        <v>5134</v>
      </c>
      <c r="E28353" t="s">
        <v>7679</v>
      </c>
      <c r="F28353" t="s">
        <v>13230</v>
      </c>
      <c r="G28353" t="s">
        <v>17371</v>
      </c>
      <c r="H28353" t="s">
        <v>30133</v>
      </c>
    </row>
    <row r="28354" spans="1:8">
      <c r="H28354" t="s">
        <v>30134</v>
      </c>
    </row>
    <row r="28355" spans="1:8">
      <c r="F28355" t="s">
        <v>13371</v>
      </c>
      <c r="G28355" t="s">
        <v>17498</v>
      </c>
      <c r="H28355" t="s">
        <v>30135</v>
      </c>
    </row>
    <row r="28356" spans="1:8">
      <c r="A28356" t="s">
        <v>1934</v>
      </c>
      <c r="B28356">
        <f>HYPERLINK("https://android.googlesource.com/platform/cts/+/12f701bf47597096f8c3bb6e3c8d9813036305c6", "12f701bf47597096f8c3bb6e3c8d9813036305c6")</f>
        <v>0</v>
      </c>
      <c r="C28356">
        <f>HYPERLINK("https://android.googlesource.com/platform/cts/+/488e9c52ad76efdb82a8237e40d54a34a15c3a6c", "488e9c52ad76efdb82a8237e40d54a34a15c3a6c")</f>
        <v>0</v>
      </c>
      <c r="D28356" t="s">
        <v>5307</v>
      </c>
      <c r="E28356" t="s">
        <v>7680</v>
      </c>
      <c r="F28356" t="s">
        <v>11435</v>
      </c>
      <c r="G28356" t="s">
        <v>15093</v>
      </c>
      <c r="H28356" t="s">
        <v>19019</v>
      </c>
    </row>
    <row r="28357" spans="1:8">
      <c r="H28357" t="s">
        <v>30136</v>
      </c>
    </row>
    <row r="28358" spans="1:8">
      <c r="H28358" t="s">
        <v>30137</v>
      </c>
    </row>
    <row r="28359" spans="1:8">
      <c r="F28359" t="s">
        <v>13502</v>
      </c>
      <c r="G28359" t="s">
        <v>17620</v>
      </c>
      <c r="H28359" t="s">
        <v>19019</v>
      </c>
    </row>
    <row r="28360" spans="1:8">
      <c r="H28360" t="s">
        <v>30136</v>
      </c>
    </row>
    <row r="28361" spans="1:8">
      <c r="H28361" t="s">
        <v>30137</v>
      </c>
    </row>
    <row r="28362" spans="1:8">
      <c r="F28362" t="s">
        <v>13503</v>
      </c>
      <c r="G28362" t="s">
        <v>17248</v>
      </c>
      <c r="H28362" t="s">
        <v>30138</v>
      </c>
    </row>
    <row r="28363" spans="1:8">
      <c r="A28363" t="s">
        <v>1935</v>
      </c>
      <c r="B28363">
        <f>HYPERLINK("https://android.googlesource.com/platform/cts/+/7afe0152199af69e195c3bd95061589e2b35c399", "7afe0152199af69e195c3bd95061589e2b35c399")</f>
        <v>0</v>
      </c>
      <c r="C28363">
        <f>HYPERLINK("https://android.googlesource.com/platform/cts/+/ef02d30d3aef44479a7b6b55d828307a71c79955", "ef02d30d3aef44479a7b6b55d828307a71c79955")</f>
        <v>0</v>
      </c>
      <c r="D28363" t="s">
        <v>5308</v>
      </c>
      <c r="E28363" t="s">
        <v>7681</v>
      </c>
      <c r="F28363" t="s">
        <v>13504</v>
      </c>
      <c r="G28363" t="s">
        <v>17621</v>
      </c>
      <c r="H28363" t="s">
        <v>30139</v>
      </c>
    </row>
    <row r="28364" spans="1:8">
      <c r="H28364" t="s">
        <v>30140</v>
      </c>
    </row>
    <row r="28365" spans="1:8">
      <c r="F28365" t="s">
        <v>10726</v>
      </c>
      <c r="G28365" t="s">
        <v>15125</v>
      </c>
      <c r="H28365" t="s">
        <v>30139</v>
      </c>
    </row>
    <row r="28366" spans="1:8">
      <c r="A28366" t="s">
        <v>1936</v>
      </c>
      <c r="B28366">
        <f>HYPERLINK("https://android.googlesource.com/platform/cts/+/f8ee864e2f403f55a39262ea9b5bc2d41815c9a5", "f8ee864e2f403f55a39262ea9b5bc2d41815c9a5")</f>
        <v>0</v>
      </c>
      <c r="C28366">
        <f>HYPERLINK("https://android.googlesource.com/platform/cts/+/4241d4a3ca12764c063cd0c712a4f79e6b34853c", "4241d4a3ca12764c063cd0c712a4f79e6b34853c")</f>
        <v>0</v>
      </c>
      <c r="D28366" t="s">
        <v>5180</v>
      </c>
      <c r="E28366" t="s">
        <v>7682</v>
      </c>
      <c r="F28366" t="s">
        <v>13505</v>
      </c>
      <c r="G28366" t="s">
        <v>17622</v>
      </c>
      <c r="H28366" t="s">
        <v>30141</v>
      </c>
    </row>
    <row r="28367" spans="1:8">
      <c r="H28367" t="s">
        <v>30142</v>
      </c>
    </row>
    <row r="28368" spans="1:8">
      <c r="H28368" t="s">
        <v>30143</v>
      </c>
    </row>
    <row r="28369" spans="8:8">
      <c r="H28369" t="s">
        <v>30144</v>
      </c>
    </row>
    <row r="28370" spans="8:8">
      <c r="H28370" t="s">
        <v>30145</v>
      </c>
    </row>
    <row r="28371" spans="8:8">
      <c r="H28371" t="s">
        <v>30146</v>
      </c>
    </row>
    <row r="28372" spans="8:8">
      <c r="H28372" t="s">
        <v>30147</v>
      </c>
    </row>
    <row r="28373" spans="8:8">
      <c r="H28373" t="s">
        <v>30148</v>
      </c>
    </row>
    <row r="28374" spans="8:8">
      <c r="H28374" t="s">
        <v>30149</v>
      </c>
    </row>
    <row r="28375" spans="8:8">
      <c r="H28375" t="s">
        <v>30150</v>
      </c>
    </row>
    <row r="28376" spans="8:8">
      <c r="H28376" t="s">
        <v>30151</v>
      </c>
    </row>
    <row r="28377" spans="8:8">
      <c r="H28377" t="s">
        <v>30152</v>
      </c>
    </row>
    <row r="28378" spans="8:8">
      <c r="H28378" t="s">
        <v>30153</v>
      </c>
    </row>
    <row r="28379" spans="8:8">
      <c r="H28379" t="s">
        <v>29023</v>
      </c>
    </row>
    <row r="28380" spans="8:8">
      <c r="H28380" t="s">
        <v>30154</v>
      </c>
    </row>
    <row r="28381" spans="8:8">
      <c r="H28381" t="s">
        <v>30155</v>
      </c>
    </row>
    <row r="28382" spans="8:8">
      <c r="H28382" t="s">
        <v>30156</v>
      </c>
    </row>
    <row r="28383" spans="8:8">
      <c r="H28383" t="s">
        <v>30157</v>
      </c>
    </row>
    <row r="28384" spans="8:8">
      <c r="H28384" t="s">
        <v>30158</v>
      </c>
    </row>
    <row r="28385" spans="8:8">
      <c r="H28385" t="s">
        <v>30159</v>
      </c>
    </row>
    <row r="28386" spans="8:8">
      <c r="H28386" t="s">
        <v>26316</v>
      </c>
    </row>
    <row r="28387" spans="8:8">
      <c r="H28387" t="s">
        <v>21462</v>
      </c>
    </row>
    <row r="28388" spans="8:8">
      <c r="H28388" t="s">
        <v>30160</v>
      </c>
    </row>
    <row r="28389" spans="8:8">
      <c r="H28389" t="s">
        <v>30161</v>
      </c>
    </row>
    <row r="28390" spans="8:8">
      <c r="H28390" t="s">
        <v>30162</v>
      </c>
    </row>
    <row r="28391" spans="8:8">
      <c r="H28391" t="s">
        <v>30163</v>
      </c>
    </row>
    <row r="28392" spans="8:8">
      <c r="H28392" t="s">
        <v>30164</v>
      </c>
    </row>
    <row r="28393" spans="8:8">
      <c r="H28393" t="s">
        <v>30142</v>
      </c>
    </row>
    <row r="28394" spans="8:8">
      <c r="H28394" t="s">
        <v>30143</v>
      </c>
    </row>
    <row r="28395" spans="8:8">
      <c r="H28395" t="s">
        <v>30145</v>
      </c>
    </row>
    <row r="28396" spans="8:8">
      <c r="H28396" t="s">
        <v>30146</v>
      </c>
    </row>
    <row r="28397" spans="8:8">
      <c r="H28397" t="s">
        <v>30147</v>
      </c>
    </row>
    <row r="28398" spans="8:8">
      <c r="H28398" t="s">
        <v>30144</v>
      </c>
    </row>
    <row r="28399" spans="8:8">
      <c r="H28399" t="s">
        <v>28864</v>
      </c>
    </row>
    <row r="28400" spans="8:8">
      <c r="H28400" t="s">
        <v>26391</v>
      </c>
    </row>
    <row r="28401" spans="6:8">
      <c r="H28401" t="s">
        <v>30165</v>
      </c>
    </row>
    <row r="28402" spans="6:8">
      <c r="H28402" t="s">
        <v>30166</v>
      </c>
    </row>
    <row r="28403" spans="6:8">
      <c r="F28403" t="s">
        <v>13506</v>
      </c>
      <c r="G28403" t="s">
        <v>17623</v>
      </c>
      <c r="H28403" t="s">
        <v>18829</v>
      </c>
    </row>
    <row r="28404" spans="6:8">
      <c r="H28404" t="s">
        <v>19982</v>
      </c>
    </row>
    <row r="28405" spans="6:8">
      <c r="H28405" t="s">
        <v>30167</v>
      </c>
    </row>
    <row r="28406" spans="6:8">
      <c r="H28406" t="s">
        <v>30168</v>
      </c>
    </row>
    <row r="28407" spans="6:8">
      <c r="H28407" t="s">
        <v>30169</v>
      </c>
    </row>
    <row r="28408" spans="6:8">
      <c r="H28408" t="s">
        <v>30170</v>
      </c>
    </row>
    <row r="28409" spans="6:8">
      <c r="H28409" t="s">
        <v>30171</v>
      </c>
    </row>
    <row r="28410" spans="6:8">
      <c r="H28410" t="s">
        <v>30172</v>
      </c>
    </row>
    <row r="28411" spans="6:8">
      <c r="H28411" t="s">
        <v>30173</v>
      </c>
    </row>
    <row r="28412" spans="6:8">
      <c r="H28412" t="s">
        <v>30174</v>
      </c>
    </row>
    <row r="28413" spans="6:8">
      <c r="H28413" t="s">
        <v>30175</v>
      </c>
    </row>
    <row r="28414" spans="6:8">
      <c r="H28414" t="s">
        <v>30176</v>
      </c>
    </row>
    <row r="28415" spans="6:8">
      <c r="H28415" t="s">
        <v>30177</v>
      </c>
    </row>
    <row r="28416" spans="6:8">
      <c r="H28416" t="s">
        <v>30178</v>
      </c>
    </row>
    <row r="28417" spans="8:8">
      <c r="H28417" t="s">
        <v>30179</v>
      </c>
    </row>
    <row r="28418" spans="8:8">
      <c r="H28418" t="s">
        <v>30180</v>
      </c>
    </row>
    <row r="28419" spans="8:8">
      <c r="H28419" t="s">
        <v>30181</v>
      </c>
    </row>
    <row r="28420" spans="8:8">
      <c r="H28420" t="s">
        <v>30182</v>
      </c>
    </row>
    <row r="28421" spans="8:8">
      <c r="H28421" t="s">
        <v>30183</v>
      </c>
    </row>
    <row r="28422" spans="8:8">
      <c r="H28422" t="s">
        <v>30184</v>
      </c>
    </row>
    <row r="28423" spans="8:8">
      <c r="H28423" t="s">
        <v>30185</v>
      </c>
    </row>
    <row r="28424" spans="8:8">
      <c r="H28424" t="s">
        <v>30186</v>
      </c>
    </row>
    <row r="28425" spans="8:8">
      <c r="H28425" t="s">
        <v>30187</v>
      </c>
    </row>
    <row r="28426" spans="8:8">
      <c r="H28426" t="s">
        <v>30188</v>
      </c>
    </row>
    <row r="28427" spans="8:8">
      <c r="H28427" t="s">
        <v>30189</v>
      </c>
    </row>
    <row r="28428" spans="8:8">
      <c r="H28428" t="s">
        <v>30190</v>
      </c>
    </row>
    <row r="28429" spans="8:8">
      <c r="H28429" t="s">
        <v>30191</v>
      </c>
    </row>
    <row r="28430" spans="8:8">
      <c r="H28430" t="s">
        <v>30192</v>
      </c>
    </row>
    <row r="28431" spans="8:8">
      <c r="H28431" t="s">
        <v>30193</v>
      </c>
    </row>
    <row r="28432" spans="8:8">
      <c r="H28432" t="s">
        <v>30194</v>
      </c>
    </row>
    <row r="28433" spans="8:8">
      <c r="H28433" t="s">
        <v>30195</v>
      </c>
    </row>
    <row r="28434" spans="8:8">
      <c r="H28434" t="s">
        <v>30196</v>
      </c>
    </row>
    <row r="28435" spans="8:8">
      <c r="H28435" t="s">
        <v>30197</v>
      </c>
    </row>
    <row r="28436" spans="8:8">
      <c r="H28436" t="s">
        <v>30198</v>
      </c>
    </row>
    <row r="28437" spans="8:8">
      <c r="H28437" t="s">
        <v>30199</v>
      </c>
    </row>
    <row r="28438" spans="8:8">
      <c r="H28438" t="s">
        <v>30200</v>
      </c>
    </row>
    <row r="28439" spans="8:8">
      <c r="H28439" t="s">
        <v>30201</v>
      </c>
    </row>
    <row r="28440" spans="8:8">
      <c r="H28440" t="s">
        <v>30202</v>
      </c>
    </row>
    <row r="28441" spans="8:8">
      <c r="H28441" t="s">
        <v>30203</v>
      </c>
    </row>
    <row r="28442" spans="8:8">
      <c r="H28442" t="s">
        <v>30204</v>
      </c>
    </row>
    <row r="28443" spans="8:8">
      <c r="H28443" t="s">
        <v>30205</v>
      </c>
    </row>
    <row r="28444" spans="8:8">
      <c r="H28444" t="s">
        <v>30206</v>
      </c>
    </row>
    <row r="28445" spans="8:8">
      <c r="H28445" t="s">
        <v>30207</v>
      </c>
    </row>
    <row r="28446" spans="8:8">
      <c r="H28446" t="s">
        <v>30208</v>
      </c>
    </row>
    <row r="28447" spans="8:8">
      <c r="H28447" t="s">
        <v>30209</v>
      </c>
    </row>
    <row r="28448" spans="8:8">
      <c r="H28448" t="s">
        <v>30210</v>
      </c>
    </row>
    <row r="28449" spans="6:8">
      <c r="H28449" t="s">
        <v>30211</v>
      </c>
    </row>
    <row r="28450" spans="6:8">
      <c r="H28450" t="s">
        <v>30212</v>
      </c>
    </row>
    <row r="28451" spans="6:8">
      <c r="H28451" t="s">
        <v>30213</v>
      </c>
    </row>
    <row r="28452" spans="6:8">
      <c r="F28452" t="s">
        <v>13507</v>
      </c>
      <c r="G28452" t="s">
        <v>17624</v>
      </c>
      <c r="H28452" t="s">
        <v>18829</v>
      </c>
    </row>
    <row r="28453" spans="6:8">
      <c r="H28453" t="s">
        <v>30030</v>
      </c>
    </row>
    <row r="28454" spans="6:8">
      <c r="F28454" t="s">
        <v>13508</v>
      </c>
      <c r="G28454" t="s">
        <v>17625</v>
      </c>
      <c r="H28454" t="s">
        <v>18829</v>
      </c>
    </row>
    <row r="28455" spans="6:8">
      <c r="H28455" t="s">
        <v>19982</v>
      </c>
    </row>
    <row r="28456" spans="6:8">
      <c r="H28456" t="s">
        <v>30030</v>
      </c>
    </row>
    <row r="28457" spans="6:8">
      <c r="H28457" t="s">
        <v>30214</v>
      </c>
    </row>
    <row r="28458" spans="6:8">
      <c r="H28458" t="s">
        <v>30215</v>
      </c>
    </row>
    <row r="28459" spans="6:8">
      <c r="H28459" t="s">
        <v>30167</v>
      </c>
    </row>
    <row r="28460" spans="6:8">
      <c r="H28460" t="s">
        <v>30168</v>
      </c>
    </row>
    <row r="28461" spans="6:8">
      <c r="H28461" t="s">
        <v>30171</v>
      </c>
    </row>
    <row r="28462" spans="6:8">
      <c r="H28462" t="s">
        <v>30170</v>
      </c>
    </row>
    <row r="28463" spans="6:8">
      <c r="H28463" t="s">
        <v>30169</v>
      </c>
    </row>
    <row r="28464" spans="6:8">
      <c r="H28464" t="s">
        <v>30216</v>
      </c>
    </row>
    <row r="28465" spans="6:8">
      <c r="H28465" t="s">
        <v>30217</v>
      </c>
    </row>
    <row r="28466" spans="6:8">
      <c r="H28466" t="s">
        <v>30218</v>
      </c>
    </row>
    <row r="28467" spans="6:8">
      <c r="H28467" t="s">
        <v>30219</v>
      </c>
    </row>
    <row r="28468" spans="6:8">
      <c r="H28468" t="s">
        <v>30220</v>
      </c>
    </row>
    <row r="28469" spans="6:8">
      <c r="H28469" t="s">
        <v>30221</v>
      </c>
    </row>
    <row r="28470" spans="6:8">
      <c r="H28470" t="s">
        <v>30222</v>
      </c>
    </row>
    <row r="28471" spans="6:8">
      <c r="H28471" t="s">
        <v>30223</v>
      </c>
    </row>
    <row r="28472" spans="6:8">
      <c r="H28472" t="s">
        <v>30224</v>
      </c>
    </row>
    <row r="28473" spans="6:8">
      <c r="H28473" t="s">
        <v>30225</v>
      </c>
    </row>
    <row r="28474" spans="6:8">
      <c r="H28474" t="s">
        <v>30226</v>
      </c>
    </row>
    <row r="28475" spans="6:8">
      <c r="H28475" t="s">
        <v>30227</v>
      </c>
    </row>
    <row r="28476" spans="6:8">
      <c r="H28476" t="s">
        <v>26314</v>
      </c>
    </row>
    <row r="28477" spans="6:8">
      <c r="H28477" t="s">
        <v>30228</v>
      </c>
    </row>
    <row r="28478" spans="6:8">
      <c r="H28478" t="s">
        <v>30229</v>
      </c>
    </row>
    <row r="28479" spans="6:8">
      <c r="H28479" t="s">
        <v>30230</v>
      </c>
    </row>
    <row r="28480" spans="6:8">
      <c r="F28480" t="s">
        <v>13509</v>
      </c>
      <c r="G28480" t="s">
        <v>17626</v>
      </c>
      <c r="H28480" t="s">
        <v>18829</v>
      </c>
    </row>
    <row r="28481" spans="6:8">
      <c r="H28481" t="s">
        <v>30231</v>
      </c>
    </row>
    <row r="28482" spans="6:8">
      <c r="H28482" t="s">
        <v>30232</v>
      </c>
    </row>
    <row r="28483" spans="6:8">
      <c r="F28483" t="s">
        <v>13510</v>
      </c>
      <c r="G28483" t="s">
        <v>17627</v>
      </c>
      <c r="H28483" t="s">
        <v>30233</v>
      </c>
    </row>
    <row r="28484" spans="6:8">
      <c r="H28484" t="s">
        <v>29213</v>
      </c>
    </row>
    <row r="28485" spans="6:8">
      <c r="H28485" t="s">
        <v>26314</v>
      </c>
    </row>
    <row r="28486" spans="6:8">
      <c r="H28486" t="s">
        <v>30234</v>
      </c>
    </row>
    <row r="28487" spans="6:8">
      <c r="H28487" t="s">
        <v>30235</v>
      </c>
    </row>
    <row r="28488" spans="6:8">
      <c r="H28488" t="s">
        <v>30236</v>
      </c>
    </row>
    <row r="28489" spans="6:8">
      <c r="H28489" t="s">
        <v>30237</v>
      </c>
    </row>
    <row r="28490" spans="6:8">
      <c r="H28490" t="s">
        <v>19928</v>
      </c>
    </row>
    <row r="28491" spans="6:8">
      <c r="H28491" t="s">
        <v>30238</v>
      </c>
    </row>
    <row r="28492" spans="6:8">
      <c r="H28492" t="s">
        <v>27403</v>
      </c>
    </row>
    <row r="28493" spans="6:8">
      <c r="H28493" t="s">
        <v>30239</v>
      </c>
    </row>
    <row r="28494" spans="6:8">
      <c r="H28494" t="s">
        <v>30240</v>
      </c>
    </row>
    <row r="28495" spans="6:8">
      <c r="H28495" t="s">
        <v>30241</v>
      </c>
    </row>
    <row r="28496" spans="6:8">
      <c r="H28496" t="s">
        <v>30242</v>
      </c>
    </row>
    <row r="28497" spans="1:8">
      <c r="H28497" t="s">
        <v>19982</v>
      </c>
    </row>
    <row r="28498" spans="1:8">
      <c r="A28498" t="s">
        <v>1937</v>
      </c>
      <c r="B28498">
        <f>HYPERLINK("https://android.googlesource.com/platform/cts/+/3ddcfdf3284036fea9e12be42d991ce96dd1538a", "3ddcfdf3284036fea9e12be42d991ce96dd1538a")</f>
        <v>0</v>
      </c>
      <c r="C28498">
        <f>HYPERLINK("https://android.googlesource.com/platform/cts/+/5b18d6f90b4ef8e5d2a88879e7461c5fe9a12e3c", "5b18d6f90b4ef8e5d2a88879e7461c5fe9a12e3c")</f>
        <v>0</v>
      </c>
      <c r="D28498" t="s">
        <v>5294</v>
      </c>
      <c r="E28498" t="s">
        <v>7683</v>
      </c>
      <c r="F28498" t="s">
        <v>13470</v>
      </c>
      <c r="G28498" t="s">
        <v>17589</v>
      </c>
      <c r="H28498" t="s">
        <v>30243</v>
      </c>
    </row>
    <row r="28499" spans="1:8">
      <c r="A28499" t="s">
        <v>1938</v>
      </c>
      <c r="B28499">
        <f>HYPERLINK("https://android.googlesource.com/platform/cts/+/a8f62c4a4a493cc528e98a27753806c06dc36d11", "a8f62c4a4a493cc528e98a27753806c06dc36d11")</f>
        <v>0</v>
      </c>
      <c r="C28499">
        <f>HYPERLINK("https://android.googlesource.com/platform/cts/+/468824af02c8607899ceb2c4df58a98fcc21c183", "468824af02c8607899ceb2c4df58a98fcc21c183")</f>
        <v>0</v>
      </c>
      <c r="D28499" t="s">
        <v>5224</v>
      </c>
      <c r="E28499" t="s">
        <v>7684</v>
      </c>
      <c r="F28499" t="s">
        <v>13248</v>
      </c>
      <c r="G28499" t="s">
        <v>17388</v>
      </c>
      <c r="H28499" t="s">
        <v>30244</v>
      </c>
    </row>
    <row r="28500" spans="1:8">
      <c r="A28500" t="s">
        <v>1939</v>
      </c>
      <c r="B28500">
        <f>HYPERLINK("https://android.googlesource.com/platform/cts/+/a53385fe82d8f569fc0cf6cc91fee60749c7ced2", "a53385fe82d8f569fc0cf6cc91fee60749c7ced2")</f>
        <v>0</v>
      </c>
      <c r="C28500">
        <f>HYPERLINK("https://android.googlesource.com/platform/cts/+/aa7171d9987238b20bacd7e651e3aad3a86dd74d", "aa7171d9987238b20bacd7e651e3aad3a86dd74d")</f>
        <v>0</v>
      </c>
      <c r="D28500" t="s">
        <v>5309</v>
      </c>
      <c r="E28500" t="s">
        <v>7685</v>
      </c>
      <c r="F28500" t="s">
        <v>13511</v>
      </c>
      <c r="G28500" t="s">
        <v>17628</v>
      </c>
      <c r="H28500" t="s">
        <v>30245</v>
      </c>
    </row>
    <row r="28501" spans="1:8">
      <c r="A28501" t="s">
        <v>1940</v>
      </c>
      <c r="B28501">
        <f>HYPERLINK("https://android.googlesource.com/platform/cts/+/5b51ce3002e1a6e1bc94e42bc9788a0b8d32b1eb", "5b51ce3002e1a6e1bc94e42bc9788a0b8d32b1eb")</f>
        <v>0</v>
      </c>
      <c r="C28501">
        <f>HYPERLINK("https://android.googlesource.com/platform/cts/+/47ff52cab976338b5db19e2f646a7703dcecc830", "47ff52cab976338b5db19e2f646a7703dcecc830")</f>
        <v>0</v>
      </c>
      <c r="D28501" t="s">
        <v>5046</v>
      </c>
      <c r="E28501" t="s">
        <v>7686</v>
      </c>
      <c r="F28501" t="s">
        <v>13512</v>
      </c>
      <c r="G28501" t="s">
        <v>17629</v>
      </c>
      <c r="H28501" t="s">
        <v>30246</v>
      </c>
    </row>
    <row r="28502" spans="1:8">
      <c r="A28502" t="s">
        <v>1941</v>
      </c>
      <c r="B28502">
        <f>HYPERLINK("https://android.googlesource.com/platform/cts/+/1d05377873342d465da5119cc1e925f515fb101f", "1d05377873342d465da5119cc1e925f515fb101f")</f>
        <v>0</v>
      </c>
      <c r="C28502">
        <f>HYPERLINK("https://android.googlesource.com/platform/cts/+/a4682064f766d76338012b74bf401b8a1704fecc", "a4682064f766d76338012b74bf401b8a1704fecc")</f>
        <v>0</v>
      </c>
      <c r="D28502" t="s">
        <v>5293</v>
      </c>
      <c r="E28502" t="s">
        <v>7687</v>
      </c>
      <c r="F28502" t="s">
        <v>13513</v>
      </c>
      <c r="G28502" t="s">
        <v>17630</v>
      </c>
      <c r="H28502" t="s">
        <v>30247</v>
      </c>
    </row>
    <row r="28503" spans="1:8">
      <c r="H28503" t="s">
        <v>30248</v>
      </c>
    </row>
    <row r="28504" spans="1:8">
      <c r="A28504" t="s">
        <v>1942</v>
      </c>
      <c r="B28504">
        <f>HYPERLINK("https://android.googlesource.com/platform/cts/+/0e850d8d79d15bfc71fb7817fa79ecdf084ca17b", "0e850d8d79d15bfc71fb7817fa79ecdf084ca17b")</f>
        <v>0</v>
      </c>
      <c r="C28504">
        <f>HYPERLINK("https://android.googlesource.com/platform/cts/+/74a0dc8acb34356a69ea77167f304583fbbd41b7", "74a0dc8acb34356a69ea77167f304583fbbd41b7")</f>
        <v>0</v>
      </c>
      <c r="D28504" t="s">
        <v>5284</v>
      </c>
      <c r="E28504" t="s">
        <v>7688</v>
      </c>
      <c r="F28504" t="s">
        <v>13165</v>
      </c>
      <c r="G28504" t="s">
        <v>17315</v>
      </c>
      <c r="H28504" t="s">
        <v>30249</v>
      </c>
    </row>
    <row r="28505" spans="1:8">
      <c r="A28505" t="s">
        <v>1943</v>
      </c>
      <c r="B28505">
        <f>HYPERLINK("https://android.googlesource.com/platform/cts/+/fe31a64c42aa4632e189644f685e6527644a1995", "fe31a64c42aa4632e189644f685e6527644a1995")</f>
        <v>0</v>
      </c>
      <c r="C28505">
        <f>HYPERLINK("https://android.googlesource.com/platform/cts/+/be505c4b7b3fd8242a8408d03dfa3f6101bb06d5", "be505c4b7b3fd8242a8408d03dfa3f6101bb06d5")</f>
        <v>0</v>
      </c>
      <c r="D28505" t="s">
        <v>5310</v>
      </c>
      <c r="E28505" t="s">
        <v>7689</v>
      </c>
      <c r="F28505" t="s">
        <v>13432</v>
      </c>
      <c r="G28505" t="s">
        <v>17556</v>
      </c>
      <c r="H28505" t="s">
        <v>30250</v>
      </c>
    </row>
    <row r="28506" spans="1:8">
      <c r="H28506" t="s">
        <v>30251</v>
      </c>
    </row>
    <row r="28507" spans="1:8">
      <c r="F28507" t="s">
        <v>13433</v>
      </c>
      <c r="G28507" t="s">
        <v>17557</v>
      </c>
      <c r="H28507" t="s">
        <v>30250</v>
      </c>
    </row>
    <row r="28508" spans="1:8">
      <c r="H28508" t="s">
        <v>30252</v>
      </c>
    </row>
    <row r="28509" spans="1:8">
      <c r="A28509" t="s">
        <v>1944</v>
      </c>
      <c r="B28509">
        <f>HYPERLINK("https://android.googlesource.com/platform/cts/+/d635f8936bb3baad00c4bf5658e3bc7f420a3421", "d635f8936bb3baad00c4bf5658e3bc7f420a3421")</f>
        <v>0</v>
      </c>
      <c r="C28509">
        <f>HYPERLINK("https://android.googlesource.com/platform/cts/+/f51a2ebd4a88bdb282dca909b2105f1e7e253a0e", "f51a2ebd4a88bdb282dca909b2105f1e7e253a0e")</f>
        <v>0</v>
      </c>
      <c r="D28509" t="s">
        <v>5012</v>
      </c>
      <c r="E28509" t="s">
        <v>7690</v>
      </c>
      <c r="F28509" t="s">
        <v>13514</v>
      </c>
      <c r="G28509" t="s">
        <v>17631</v>
      </c>
      <c r="H28509" t="s">
        <v>30253</v>
      </c>
    </row>
    <row r="28510" spans="1:8">
      <c r="H28510" t="s">
        <v>30254</v>
      </c>
    </row>
    <row r="28511" spans="1:8">
      <c r="H28511" t="s">
        <v>30255</v>
      </c>
    </row>
    <row r="28512" spans="1:8">
      <c r="H28512" t="s">
        <v>30256</v>
      </c>
    </row>
    <row r="28513" spans="1:8">
      <c r="H28513" t="s">
        <v>30257</v>
      </c>
    </row>
    <row r="28514" spans="1:8">
      <c r="H28514" t="s">
        <v>30258</v>
      </c>
    </row>
    <row r="28515" spans="1:8">
      <c r="H28515" t="s">
        <v>30259</v>
      </c>
    </row>
    <row r="28516" spans="1:8">
      <c r="A28516" t="s">
        <v>1946</v>
      </c>
      <c r="B28516">
        <f>HYPERLINK("https://android.googlesource.com/platform/cts/+/17cd23fa6d9784467051916d0495e633cbf02f31", "17cd23fa6d9784467051916d0495e633cbf02f31")</f>
        <v>0</v>
      </c>
      <c r="C28516">
        <f>HYPERLINK("https://android.googlesource.com/platform/cts/+/74a0dc8acb34356a69ea77167f304583fbbd41b7", "74a0dc8acb34356a69ea77167f304583fbbd41b7")</f>
        <v>0</v>
      </c>
      <c r="D28516" t="s">
        <v>5131</v>
      </c>
      <c r="E28516" t="s">
        <v>7692</v>
      </c>
      <c r="F28516" t="s">
        <v>13515</v>
      </c>
      <c r="G28516" t="s">
        <v>17632</v>
      </c>
      <c r="H28516" t="s">
        <v>30260</v>
      </c>
    </row>
    <row r="28517" spans="1:8">
      <c r="H28517" t="s">
        <v>26401</v>
      </c>
    </row>
    <row r="28518" spans="1:8">
      <c r="A28518" t="s">
        <v>1947</v>
      </c>
      <c r="B28518">
        <f>HYPERLINK("https://android.googlesource.com/platform/cts/+/ca088e3cfbee556d6e81b4dcfbb9d74f87a8bdf1", "ca088e3cfbee556d6e81b4dcfbb9d74f87a8bdf1")</f>
        <v>0</v>
      </c>
      <c r="C28518">
        <f>HYPERLINK("https://android.googlesource.com/platform/cts/+/888cb3bfbf963e9439e137ea83cef4ba1a7469f3", "888cb3bfbf963e9439e137ea83cef4ba1a7469f3")</f>
        <v>0</v>
      </c>
      <c r="D28518" t="s">
        <v>5118</v>
      </c>
      <c r="E28518" t="s">
        <v>7693</v>
      </c>
      <c r="F28518" t="s">
        <v>13165</v>
      </c>
      <c r="G28518" t="s">
        <v>17315</v>
      </c>
      <c r="H28518" t="s">
        <v>30261</v>
      </c>
    </row>
    <row r="28519" spans="1:8">
      <c r="A28519" t="s">
        <v>1949</v>
      </c>
      <c r="B28519">
        <f>HYPERLINK("https://android.googlesource.com/platform/cts/+/38077f45fea1e129f2b73d4a7698aa357050b6f8", "38077f45fea1e129f2b73d4a7698aa357050b6f8")</f>
        <v>0</v>
      </c>
      <c r="C28519">
        <f>HYPERLINK("https://android.googlesource.com/platform/cts/+/08ac09ec277af2629a9b916869c78d6b022df611", "08ac09ec277af2629a9b916869c78d6b022df611")</f>
        <v>0</v>
      </c>
      <c r="D28519" t="s">
        <v>5211</v>
      </c>
      <c r="E28519" t="s">
        <v>7694</v>
      </c>
      <c r="F28519" t="s">
        <v>13516</v>
      </c>
      <c r="G28519" t="s">
        <v>17633</v>
      </c>
      <c r="H28519" t="s">
        <v>27250</v>
      </c>
    </row>
    <row r="28520" spans="1:8">
      <c r="F28520" t="s">
        <v>13517</v>
      </c>
      <c r="G28520" t="s">
        <v>16873</v>
      </c>
      <c r="H28520" t="s">
        <v>27250</v>
      </c>
    </row>
    <row r="28521" spans="1:8">
      <c r="A28521" t="s">
        <v>1950</v>
      </c>
      <c r="B28521">
        <f>HYPERLINK("https://android.googlesource.com/platform/cts/+/257ec2146ece5ee82c705d812229705ad20eb6fb", "257ec2146ece5ee82c705d812229705ad20eb6fb")</f>
        <v>0</v>
      </c>
      <c r="C28521">
        <f>HYPERLINK("https://android.googlesource.com/platform/cts/+/fb5ef3197a26cc5f187acd7d47e8ed2172093540", "fb5ef3197a26cc5f187acd7d47e8ed2172093540")</f>
        <v>0</v>
      </c>
      <c r="D28521" t="s">
        <v>5311</v>
      </c>
      <c r="E28521" t="s">
        <v>7695</v>
      </c>
      <c r="F28521" t="s">
        <v>13518</v>
      </c>
      <c r="G28521" t="s">
        <v>17540</v>
      </c>
      <c r="H28521" t="s">
        <v>30262</v>
      </c>
    </row>
    <row r="28522" spans="1:8">
      <c r="H28522" t="s">
        <v>30263</v>
      </c>
    </row>
    <row r="28523" spans="1:8">
      <c r="A28523" t="s">
        <v>1951</v>
      </c>
      <c r="B28523">
        <f>HYPERLINK("https://android.googlesource.com/platform/cts/+/76e4008d21e7638e66b8efd205ef21c26672fc7d", "76e4008d21e7638e66b8efd205ef21c26672fc7d")</f>
        <v>0</v>
      </c>
      <c r="C28523">
        <f>HYPERLINK("https://android.googlesource.com/platform/cts/+/1c5dfaf7dbf88ecf8783fa4da0c87f27329f607b", "1c5dfaf7dbf88ecf8783fa4da0c87f27329f607b")</f>
        <v>0</v>
      </c>
      <c r="D28523" t="s">
        <v>5312</v>
      </c>
      <c r="E28523" t="s">
        <v>7696</v>
      </c>
      <c r="F28523" t="s">
        <v>13519</v>
      </c>
      <c r="G28523" t="s">
        <v>17634</v>
      </c>
      <c r="H28523" t="s">
        <v>30264</v>
      </c>
    </row>
    <row r="28524" spans="1:8">
      <c r="F28524" t="s">
        <v>12743</v>
      </c>
      <c r="G28524" t="s">
        <v>16935</v>
      </c>
      <c r="H28524" t="s">
        <v>30264</v>
      </c>
    </row>
    <row r="28525" spans="1:8">
      <c r="A28525" t="s">
        <v>1952</v>
      </c>
      <c r="B28525">
        <f>HYPERLINK("https://android.googlesource.com/platform/cts/+/7c83066c9ef287a85da22db6cd52fcf488f74b21", "7c83066c9ef287a85da22db6cd52fcf488f74b21")</f>
        <v>0</v>
      </c>
      <c r="C28525">
        <f>HYPERLINK("https://android.googlesource.com/platform/cts/+/7c1badd5696e774aab4d140e4591a99b31ac5d51", "7c1badd5696e774aab4d140e4591a99b31ac5d51")</f>
        <v>0</v>
      </c>
      <c r="D28525" t="s">
        <v>5134</v>
      </c>
      <c r="E28525" t="s">
        <v>7697</v>
      </c>
      <c r="F28525" t="s">
        <v>13520</v>
      </c>
      <c r="G28525" t="s">
        <v>17635</v>
      </c>
      <c r="H28525" t="s">
        <v>30265</v>
      </c>
    </row>
    <row r="28526" spans="1:8">
      <c r="F28526" t="s">
        <v>13255</v>
      </c>
      <c r="G28526" t="s">
        <v>17393</v>
      </c>
      <c r="H28526" t="s">
        <v>30266</v>
      </c>
    </row>
    <row r="28527" spans="1:8">
      <c r="A28527" t="s">
        <v>1953</v>
      </c>
      <c r="B28527">
        <f>HYPERLINK("https://android.googlesource.com/platform/cts/+/d91dbd832273ba506c5d2fc648f0504ff7b6b5e2", "d91dbd832273ba506c5d2fc648f0504ff7b6b5e2")</f>
        <v>0</v>
      </c>
      <c r="C28527">
        <f>HYPERLINK("https://android.googlesource.com/platform/cts/+/ddf263ced807b1611300115134f8a8b16622dfe5", "ddf263ced807b1611300115134f8a8b16622dfe5")</f>
        <v>0</v>
      </c>
      <c r="D28527" t="s">
        <v>5131</v>
      </c>
      <c r="E28527" t="s">
        <v>7698</v>
      </c>
      <c r="F28527" t="s">
        <v>13515</v>
      </c>
      <c r="G28527" t="s">
        <v>17632</v>
      </c>
      <c r="H28527" t="s">
        <v>30267</v>
      </c>
    </row>
    <row r="28528" spans="1:8">
      <c r="H28528" t="s">
        <v>30268</v>
      </c>
    </row>
    <row r="28529" spans="1:8">
      <c r="A28529" t="s">
        <v>1954</v>
      </c>
      <c r="B28529">
        <f>HYPERLINK("https://android.googlesource.com/platform/cts/+/9962ce229eebc7c3b884580cd3b040611c283bc4", "9962ce229eebc7c3b884580cd3b040611c283bc4")</f>
        <v>0</v>
      </c>
      <c r="C28529">
        <f>HYPERLINK("https://android.googlesource.com/platform/cts/+/a4913ecc3d8142e2fa2970b71f6b03ec1d66e7d1", "a4913ecc3d8142e2fa2970b71f6b03ec1d66e7d1")</f>
        <v>0</v>
      </c>
      <c r="D28529" t="s">
        <v>5000</v>
      </c>
      <c r="E28529" t="s">
        <v>7699</v>
      </c>
      <c r="F28529" t="s">
        <v>13521</v>
      </c>
      <c r="G28529" t="s">
        <v>17636</v>
      </c>
      <c r="H28529" t="s">
        <v>30269</v>
      </c>
    </row>
    <row r="28530" spans="1:8">
      <c r="A28530" t="s">
        <v>1955</v>
      </c>
      <c r="B28530">
        <f>HYPERLINK("https://android.googlesource.com/platform/cts/+/9802ac065aefa8cbbebda46216d3bddc0e53cffc", "9802ac065aefa8cbbebda46216d3bddc0e53cffc")</f>
        <v>0</v>
      </c>
      <c r="C28530">
        <f>HYPERLINK("https://android.googlesource.com/platform/cts/+/c8114a53302639eb2cdf839ecaca5df2cd0fe1b4", "c8114a53302639eb2cdf839ecaca5df2cd0fe1b4")</f>
        <v>0</v>
      </c>
      <c r="D28530" t="s">
        <v>5264</v>
      </c>
      <c r="E28530" t="s">
        <v>7700</v>
      </c>
      <c r="F28530" t="s">
        <v>13506</v>
      </c>
      <c r="G28530" t="s">
        <v>17623</v>
      </c>
      <c r="H28530" t="s">
        <v>30197</v>
      </c>
    </row>
    <row r="28531" spans="1:8">
      <c r="A28531" t="s">
        <v>1956</v>
      </c>
      <c r="B28531">
        <f>HYPERLINK("https://android.googlesource.com/platform/cts/+/fa7e65f874b230555773a35c091994b3dca34243", "fa7e65f874b230555773a35c091994b3dca34243")</f>
        <v>0</v>
      </c>
      <c r="C28531">
        <f>HYPERLINK("https://android.googlesource.com/platform/cts/+/e17379fce21eb43598dfa074fa409929171472d4", "e17379fce21eb43598dfa074fa409929171472d4")</f>
        <v>0</v>
      </c>
      <c r="D28531" t="s">
        <v>5264</v>
      </c>
      <c r="E28531" t="s">
        <v>7701</v>
      </c>
      <c r="F28531" t="s">
        <v>13505</v>
      </c>
      <c r="G28531" t="s">
        <v>17622</v>
      </c>
      <c r="H28531" t="s">
        <v>30142</v>
      </c>
    </row>
    <row r="28532" spans="1:8">
      <c r="H28532" t="s">
        <v>30143</v>
      </c>
    </row>
    <row r="28533" spans="1:8">
      <c r="H28533" t="s">
        <v>30144</v>
      </c>
    </row>
    <row r="28534" spans="1:8">
      <c r="H28534" t="s">
        <v>30145</v>
      </c>
    </row>
    <row r="28535" spans="1:8">
      <c r="H28535" t="s">
        <v>30146</v>
      </c>
    </row>
    <row r="28536" spans="1:8">
      <c r="H28536" t="s">
        <v>30147</v>
      </c>
    </row>
    <row r="28537" spans="1:8">
      <c r="F28537" t="s">
        <v>13522</v>
      </c>
      <c r="G28537" t="s">
        <v>17637</v>
      </c>
      <c r="H28537" t="s">
        <v>30233</v>
      </c>
    </row>
    <row r="28538" spans="1:8">
      <c r="H28538" t="s">
        <v>29213</v>
      </c>
    </row>
    <row r="28539" spans="1:8">
      <c r="H28539" t="s">
        <v>26314</v>
      </c>
    </row>
    <row r="28540" spans="1:8">
      <c r="H28540" t="s">
        <v>30234</v>
      </c>
    </row>
    <row r="28541" spans="1:8">
      <c r="H28541" t="s">
        <v>30235</v>
      </c>
    </row>
    <row r="28542" spans="1:8">
      <c r="H28542" t="s">
        <v>30236</v>
      </c>
    </row>
    <row r="28543" spans="1:8">
      <c r="H28543" t="s">
        <v>30237</v>
      </c>
    </row>
    <row r="28544" spans="1:8">
      <c r="H28544" t="s">
        <v>30239</v>
      </c>
    </row>
    <row r="28545" spans="1:8">
      <c r="H28545" t="s">
        <v>30240</v>
      </c>
    </row>
    <row r="28546" spans="1:8">
      <c r="A28546" t="s">
        <v>1957</v>
      </c>
      <c r="B28546">
        <f>HYPERLINK("https://android.googlesource.com/platform/cts/+/ce089f66fffff205137fc7e56a40d2be5c81b26c", "ce089f66fffff205137fc7e56a40d2be5c81b26c")</f>
        <v>0</v>
      </c>
      <c r="C28546">
        <f>HYPERLINK("https://android.googlesource.com/platform/cts/+/a802bdaa1198bed7a5e03c9eb6ab94195765b412", "a802bdaa1198bed7a5e03c9eb6ab94195765b412")</f>
        <v>0</v>
      </c>
      <c r="D28546" t="s">
        <v>5235</v>
      </c>
      <c r="E28546" t="s">
        <v>7702</v>
      </c>
      <c r="F28546" t="s">
        <v>13523</v>
      </c>
      <c r="G28546" t="s">
        <v>17638</v>
      </c>
      <c r="H28546" t="s">
        <v>30270</v>
      </c>
    </row>
    <row r="28547" spans="1:8">
      <c r="H28547" t="s">
        <v>30271</v>
      </c>
    </row>
    <row r="28548" spans="1:8">
      <c r="H28548" t="s">
        <v>30272</v>
      </c>
    </row>
    <row r="28549" spans="1:8">
      <c r="H28549" t="s">
        <v>18925</v>
      </c>
    </row>
    <row r="28550" spans="1:8">
      <c r="H28550" t="s">
        <v>28078</v>
      </c>
    </row>
    <row r="28551" spans="1:8">
      <c r="H28551" t="s">
        <v>18929</v>
      </c>
    </row>
    <row r="28552" spans="1:8">
      <c r="H28552" t="s">
        <v>26298</v>
      </c>
    </row>
    <row r="28553" spans="1:8">
      <c r="H28553" t="s">
        <v>26615</v>
      </c>
    </row>
    <row r="28554" spans="1:8">
      <c r="A28554" t="s">
        <v>1959</v>
      </c>
      <c r="B28554">
        <f>HYPERLINK("https://android.googlesource.com/platform/cts/+/9bcce19398e895110eaf7d630c94f403a5cbddf6", "9bcce19398e895110eaf7d630c94f403a5cbddf6")</f>
        <v>0</v>
      </c>
      <c r="C28554">
        <f>HYPERLINK("https://android.googlesource.com/platform/cts/+/c15a6dee26ba117c61e482778f478bb16b32a1c8", "c15a6dee26ba117c61e482778f478bb16b32a1c8")</f>
        <v>0</v>
      </c>
      <c r="D28554" t="s">
        <v>5180</v>
      </c>
      <c r="E28554" t="s">
        <v>7704</v>
      </c>
      <c r="F28554" t="s">
        <v>13505</v>
      </c>
      <c r="G28554" t="s">
        <v>17622</v>
      </c>
      <c r="H28554" t="s">
        <v>30160</v>
      </c>
    </row>
    <row r="28555" spans="1:8">
      <c r="F28555" t="s">
        <v>13506</v>
      </c>
      <c r="G28555" t="s">
        <v>17623</v>
      </c>
      <c r="H28555" t="s">
        <v>30181</v>
      </c>
    </row>
    <row r="28556" spans="1:8">
      <c r="F28556" t="s">
        <v>13508</v>
      </c>
      <c r="G28556" t="s">
        <v>17625</v>
      </c>
      <c r="H28556" t="s">
        <v>30218</v>
      </c>
    </row>
    <row r="28557" spans="1:8">
      <c r="A28557" t="s">
        <v>1960</v>
      </c>
      <c r="B28557">
        <f>HYPERLINK("https://android.googlesource.com/platform/cts/+/754b03c9341134949f4dbab6a595a7fbd11a5662", "754b03c9341134949f4dbab6a595a7fbd11a5662")</f>
        <v>0</v>
      </c>
      <c r="C28557">
        <f>HYPERLINK("https://android.googlesource.com/platform/cts/+/37d1558eb9d9ad4519ca5dd9acd7804fc7254432", "37d1558eb9d9ad4519ca5dd9acd7804fc7254432")</f>
        <v>0</v>
      </c>
      <c r="D28557" t="s">
        <v>5264</v>
      </c>
      <c r="E28557" t="s">
        <v>7705</v>
      </c>
      <c r="F28557" t="s">
        <v>13524</v>
      </c>
      <c r="G28557" t="s">
        <v>17639</v>
      </c>
      <c r="H28557" t="s">
        <v>30273</v>
      </c>
    </row>
    <row r="28558" spans="1:8">
      <c r="H28558" t="s">
        <v>30274</v>
      </c>
    </row>
    <row r="28559" spans="1:8">
      <c r="A28559" t="s">
        <v>1961</v>
      </c>
      <c r="B28559">
        <f>HYPERLINK("https://android.googlesource.com/platform/cts/+/759ad0a1239a9bf031ac6592b1ab1069d494bd45", "759ad0a1239a9bf031ac6592b1ab1069d494bd45")</f>
        <v>0</v>
      </c>
      <c r="C28559">
        <f>HYPERLINK("https://android.googlesource.com/platform/cts/+/74a0dc8acb34356a69ea77167f304583fbbd41b7", "74a0dc8acb34356a69ea77167f304583fbbd41b7")</f>
        <v>0</v>
      </c>
      <c r="D28559" t="s">
        <v>5313</v>
      </c>
      <c r="E28559" t="s">
        <v>7706</v>
      </c>
      <c r="F28559" t="s">
        <v>13525</v>
      </c>
      <c r="G28559" t="s">
        <v>17640</v>
      </c>
      <c r="H28559" t="s">
        <v>30275</v>
      </c>
    </row>
    <row r="28560" spans="1:8">
      <c r="A28560" t="s">
        <v>1962</v>
      </c>
      <c r="B28560">
        <f>HYPERLINK("https://android.googlesource.com/platform/cts/+/2171101ef129d9b6e0c941204038b17ffe560e7c", "2171101ef129d9b6e0c941204038b17ffe560e7c")</f>
        <v>0</v>
      </c>
      <c r="C28560">
        <f>HYPERLINK("https://android.googlesource.com/platform/cts/+/d413d2095eb2e30ab08bb9dc4a9cba3a845401c3", "d413d2095eb2e30ab08bb9dc4a9cba3a845401c3")</f>
        <v>0</v>
      </c>
      <c r="D28560" t="s">
        <v>5264</v>
      </c>
      <c r="E28560" t="s">
        <v>7707</v>
      </c>
      <c r="F28560" t="s">
        <v>13526</v>
      </c>
      <c r="G28560" t="s">
        <v>17641</v>
      </c>
      <c r="H28560" t="s">
        <v>30217</v>
      </c>
    </row>
    <row r="28561" spans="1:8">
      <c r="A28561" t="s">
        <v>1963</v>
      </c>
      <c r="B28561">
        <f>HYPERLINK("https://android.googlesource.com/platform/cts/+/97f475f92dff10849f09e1b1a341a94dba2da855", "97f475f92dff10849f09e1b1a341a94dba2da855")</f>
        <v>0</v>
      </c>
      <c r="C28561">
        <f>HYPERLINK("https://android.googlesource.com/platform/cts/+/7c1fa37b3aa710cd145ca048cf125dfbba62bad0", "7c1fa37b3aa710cd145ca048cf125dfbba62bad0")</f>
        <v>0</v>
      </c>
      <c r="D28561" t="s">
        <v>5306</v>
      </c>
      <c r="E28561" t="s">
        <v>7708</v>
      </c>
      <c r="F28561" t="s">
        <v>13527</v>
      </c>
      <c r="G28561" t="s">
        <v>17642</v>
      </c>
      <c r="H28561" t="s">
        <v>30276</v>
      </c>
    </row>
    <row r="28562" spans="1:8">
      <c r="A28562" t="s">
        <v>1964</v>
      </c>
      <c r="B28562">
        <f>HYPERLINK("https://android.googlesource.com/platform/cts/+/41c9292ded58ea61d14ea263e70d44e5b6d524f2", "41c9292ded58ea61d14ea263e70d44e5b6d524f2")</f>
        <v>0</v>
      </c>
      <c r="C28562">
        <f>HYPERLINK("https://android.googlesource.com/platform/cts/+/d88102d92d872d562d56c3c64b91d952a76d8b45", "d88102d92d872d562d56c3c64b91d952a76d8b45")</f>
        <v>0</v>
      </c>
      <c r="D28562" t="s">
        <v>5306</v>
      </c>
      <c r="E28562" t="s">
        <v>7709</v>
      </c>
      <c r="F28562" t="s">
        <v>13527</v>
      </c>
      <c r="G28562" t="s">
        <v>17642</v>
      </c>
      <c r="H28562" t="s">
        <v>30276</v>
      </c>
    </row>
    <row r="28563" spans="1:8">
      <c r="A28563" t="s">
        <v>1965</v>
      </c>
      <c r="B28563">
        <f>HYPERLINK("https://android.googlesource.com/platform/cts/+/64d80bab46b807a3e7c13dda506bd11834e44f05", "64d80bab46b807a3e7c13dda506bd11834e44f05")</f>
        <v>0</v>
      </c>
      <c r="C28563">
        <f>HYPERLINK("https://android.googlesource.com/platform/cts/+/d8af11583639d8aa2a7b6b47163bebb59a472c05", "d8af11583639d8aa2a7b6b47163bebb59a472c05")</f>
        <v>0</v>
      </c>
      <c r="D28563" t="s">
        <v>5224</v>
      </c>
      <c r="E28563" t="s">
        <v>7710</v>
      </c>
      <c r="F28563" t="s">
        <v>13528</v>
      </c>
      <c r="G28563" t="s">
        <v>17643</v>
      </c>
      <c r="H28563" t="s">
        <v>19019</v>
      </c>
    </row>
    <row r="28564" spans="1:8">
      <c r="H28564" t="s">
        <v>22505</v>
      </c>
    </row>
    <row r="28565" spans="1:8">
      <c r="H28565" t="s">
        <v>19019</v>
      </c>
    </row>
    <row r="28566" spans="1:8">
      <c r="H28566" t="s">
        <v>22505</v>
      </c>
    </row>
    <row r="28567" spans="1:8">
      <c r="A28567" t="s">
        <v>1966</v>
      </c>
      <c r="B28567">
        <f>HYPERLINK("https://android.googlesource.com/platform/cts/+/e1e11c8035103212af4993ef03a133fa90f1e6d0", "e1e11c8035103212af4993ef03a133fa90f1e6d0")</f>
        <v>0</v>
      </c>
      <c r="C28567">
        <f>HYPERLINK("https://android.googlesource.com/platform/cts/+/f012eb8c95749e4fca84ced8865d1b874996fe73", "f012eb8c95749e4fca84ced8865d1b874996fe73")</f>
        <v>0</v>
      </c>
      <c r="D28567" t="s">
        <v>5146</v>
      </c>
      <c r="E28567" t="s">
        <v>7711</v>
      </c>
      <c r="F28567" t="s">
        <v>12841</v>
      </c>
      <c r="G28567" t="s">
        <v>15119</v>
      </c>
      <c r="H28567" t="s">
        <v>29907</v>
      </c>
    </row>
    <row r="28568" spans="1:8">
      <c r="A28568" t="s">
        <v>1967</v>
      </c>
      <c r="B28568">
        <f>HYPERLINK("https://android.googlesource.com/platform/cts/+/e124269509f91ecae170db8eba71cc29f638c94f", "e124269509f91ecae170db8eba71cc29f638c94f")</f>
        <v>0</v>
      </c>
      <c r="C28568">
        <f>HYPERLINK("https://android.googlesource.com/platform/cts/+/8b2b45404e3d7220911703db6c238eeb73d53dde", "8b2b45404e3d7220911703db6c238eeb73d53dde")</f>
        <v>0</v>
      </c>
      <c r="D28568" t="s">
        <v>5224</v>
      </c>
      <c r="E28568" t="s">
        <v>7712</v>
      </c>
      <c r="F28568" t="s">
        <v>13529</v>
      </c>
      <c r="G28568" t="s">
        <v>17644</v>
      </c>
      <c r="H28568" t="s">
        <v>30277</v>
      </c>
    </row>
    <row r="28569" spans="1:8">
      <c r="A28569" t="s">
        <v>1968</v>
      </c>
      <c r="B28569">
        <f>HYPERLINK("https://android.googlesource.com/platform/cts/+/d348307e7e3d5eea3477209c2d3db9dffae13e2b", "d348307e7e3d5eea3477209c2d3db9dffae13e2b")</f>
        <v>0</v>
      </c>
      <c r="C28569">
        <f>HYPERLINK("https://android.googlesource.com/platform/cts/+/7e0c2c58f672de6c9dcf759557d56e30a0e44441", "7e0c2c58f672de6c9dcf759557d56e30a0e44441")</f>
        <v>0</v>
      </c>
      <c r="D28569" t="s">
        <v>5288</v>
      </c>
      <c r="E28569" t="s">
        <v>7713</v>
      </c>
      <c r="F28569" t="s">
        <v>13451</v>
      </c>
      <c r="G28569" t="s">
        <v>17573</v>
      </c>
      <c r="H28569" t="s">
        <v>30278</v>
      </c>
    </row>
    <row r="28570" spans="1:8">
      <c r="H28570" t="s">
        <v>30279</v>
      </c>
    </row>
    <row r="28571" spans="1:8">
      <c r="H28571" t="s">
        <v>30280</v>
      </c>
    </row>
    <row r="28572" spans="1:8">
      <c r="F28572" t="s">
        <v>13530</v>
      </c>
      <c r="G28572" t="s">
        <v>17645</v>
      </c>
      <c r="H28572" t="s">
        <v>29864</v>
      </c>
    </row>
    <row r="28573" spans="1:8">
      <c r="F28573" t="s">
        <v>13444</v>
      </c>
      <c r="G28573" t="s">
        <v>17566</v>
      </c>
      <c r="H28573" t="s">
        <v>29864</v>
      </c>
    </row>
    <row r="28574" spans="1:8">
      <c r="F28574" t="s">
        <v>13531</v>
      </c>
      <c r="G28574" t="s">
        <v>17574</v>
      </c>
      <c r="H28574" t="s">
        <v>29864</v>
      </c>
    </row>
    <row r="28575" spans="1:8">
      <c r="H28575" t="s">
        <v>30278</v>
      </c>
    </row>
    <row r="28576" spans="1:8">
      <c r="H28576" t="s">
        <v>30280</v>
      </c>
    </row>
    <row r="28577" spans="1:8">
      <c r="A28577" t="s">
        <v>1969</v>
      </c>
      <c r="B28577">
        <f>HYPERLINK("https://android.googlesource.com/platform/cts/+/b431c251965eadd6206812df66a1b63ab8e952d0", "b431c251965eadd6206812df66a1b63ab8e952d0")</f>
        <v>0</v>
      </c>
      <c r="C28577">
        <f>HYPERLINK("https://android.googlesource.com/platform/cts/+/2b60832a126adcb73d1d57e9e2460aa51baf9631", "2b60832a126adcb73d1d57e9e2460aa51baf9631")</f>
        <v>0</v>
      </c>
      <c r="D28577" t="s">
        <v>5264</v>
      </c>
      <c r="E28577" t="s">
        <v>7714</v>
      </c>
      <c r="F28577" t="s">
        <v>13505</v>
      </c>
      <c r="G28577" t="s">
        <v>17622</v>
      </c>
      <c r="H28577" t="s">
        <v>30161</v>
      </c>
    </row>
    <row r="28578" spans="1:8">
      <c r="F28578" t="s">
        <v>13506</v>
      </c>
      <c r="G28578" t="s">
        <v>17623</v>
      </c>
      <c r="H28578" t="s">
        <v>30177</v>
      </c>
    </row>
    <row r="28579" spans="1:8">
      <c r="F28579" t="s">
        <v>13508</v>
      </c>
      <c r="G28579" t="s">
        <v>17625</v>
      </c>
      <c r="H28579" t="s">
        <v>30217</v>
      </c>
    </row>
    <row r="28580" spans="1:8">
      <c r="F28580" t="s">
        <v>13532</v>
      </c>
      <c r="G28580" t="s">
        <v>16863</v>
      </c>
      <c r="H28580" t="s">
        <v>30281</v>
      </c>
    </row>
    <row r="28581" spans="1:8">
      <c r="A28581" t="s">
        <v>1970</v>
      </c>
      <c r="B28581">
        <f>HYPERLINK("https://android.googlesource.com/platform/cts/+/45bc61034edee35d4ea5ab1753e15411d4c9d15c", "45bc61034edee35d4ea5ab1753e15411d4c9d15c")</f>
        <v>0</v>
      </c>
      <c r="C28581">
        <f>HYPERLINK("https://android.googlesource.com/platform/cts/+/84a7cac32897cc96d98ea9f5e2c43d10ac2b2108", "84a7cac32897cc96d98ea9f5e2c43d10ac2b2108")</f>
        <v>0</v>
      </c>
      <c r="D28581" t="s">
        <v>5271</v>
      </c>
      <c r="E28581" t="s">
        <v>7715</v>
      </c>
      <c r="F28581" t="s">
        <v>13533</v>
      </c>
      <c r="G28581" t="s">
        <v>16849</v>
      </c>
      <c r="H28581" t="s">
        <v>25642</v>
      </c>
    </row>
    <row r="28582" spans="1:8">
      <c r="H28582" t="s">
        <v>25643</v>
      </c>
    </row>
    <row r="28583" spans="1:8">
      <c r="H28583" t="s">
        <v>25644</v>
      </c>
    </row>
    <row r="28584" spans="1:8">
      <c r="A28584" t="s">
        <v>1971</v>
      </c>
      <c r="B28584">
        <f>HYPERLINK("https://android.googlesource.com/platform/cts/+/afa297c94ee79fedcf47318585df1ccdbdf8964b", "afa297c94ee79fedcf47318585df1ccdbdf8964b")</f>
        <v>0</v>
      </c>
      <c r="C28584">
        <f>HYPERLINK("https://android.googlesource.com/platform/cts/+/bd4b143bf34270cd4504ad29c46cb75f336b0a30", "bd4b143bf34270cd4504ad29c46cb75f336b0a30")</f>
        <v>0</v>
      </c>
      <c r="D28584" t="s">
        <v>5180</v>
      </c>
      <c r="E28584" t="s">
        <v>7716</v>
      </c>
      <c r="F28584" t="s">
        <v>13526</v>
      </c>
      <c r="G28584" t="s">
        <v>17641</v>
      </c>
      <c r="H28584" t="s">
        <v>30282</v>
      </c>
    </row>
    <row r="28585" spans="1:8">
      <c r="H28585" t="s">
        <v>30283</v>
      </c>
    </row>
    <row r="28586" spans="1:8">
      <c r="H28586" t="s">
        <v>22005</v>
      </c>
    </row>
    <row r="28587" spans="1:8">
      <c r="A28587" t="s">
        <v>1972</v>
      </c>
      <c r="B28587">
        <f>HYPERLINK("https://android.googlesource.com/platform/cts/+/bdf29769f0c7750eda72926adfc33cbae3ae3273", "bdf29769f0c7750eda72926adfc33cbae3ae3273")</f>
        <v>0</v>
      </c>
      <c r="C28587">
        <f>HYPERLINK("https://android.googlesource.com/platform/cts/+/04d14540a4766c1b96eb26c98d7a0d99bad24e47", "04d14540a4766c1b96eb26c98d7a0d99bad24e47")</f>
        <v>0</v>
      </c>
      <c r="D28587" t="s">
        <v>5141</v>
      </c>
      <c r="E28587" t="s">
        <v>7717</v>
      </c>
      <c r="F28587" t="s">
        <v>13491</v>
      </c>
      <c r="G28587" t="s">
        <v>17610</v>
      </c>
      <c r="H28587" t="s">
        <v>30284</v>
      </c>
    </row>
    <row r="28588" spans="1:8">
      <c r="H28588" t="s">
        <v>30285</v>
      </c>
    </row>
    <row r="28589" spans="1:8">
      <c r="H28589" t="s">
        <v>30286</v>
      </c>
    </row>
    <row r="28590" spans="1:8">
      <c r="A28590" t="s">
        <v>1974</v>
      </c>
      <c r="B28590">
        <f>HYPERLINK("https://android.googlesource.com/platform/cts/+/a53821e5047bbfdeadbcfffba9bad2f3d442f1eb", "a53821e5047bbfdeadbcfffba9bad2f3d442f1eb")</f>
        <v>0</v>
      </c>
      <c r="C28590">
        <f>HYPERLINK("https://android.googlesource.com/platform/cts/+/d7a8f7f6d7f46f5d51353613c40467dc97996d3d", "d7a8f7f6d7f46f5d51353613c40467dc97996d3d")</f>
        <v>0</v>
      </c>
      <c r="D28590" t="s">
        <v>5134</v>
      </c>
      <c r="E28590" t="s">
        <v>7719</v>
      </c>
      <c r="F28590" t="s">
        <v>13255</v>
      </c>
      <c r="G28590" t="s">
        <v>17393</v>
      </c>
      <c r="H28590" t="s">
        <v>30287</v>
      </c>
    </row>
    <row r="28591" spans="1:8">
      <c r="H28591" t="s">
        <v>30288</v>
      </c>
    </row>
    <row r="28592" spans="1:8">
      <c r="A28592" t="s">
        <v>1975</v>
      </c>
      <c r="B28592">
        <f>HYPERLINK("https://android.googlesource.com/platform/cts/+/7afaea3d76c71f9fa7443ca4bdb2e29c66e4b662", "7afaea3d76c71f9fa7443ca4bdb2e29c66e4b662")</f>
        <v>0</v>
      </c>
      <c r="C28592">
        <f>HYPERLINK("https://android.googlesource.com/platform/cts/+/17b585c9bfd5a41123f36730dac7d6386cc16fa5", "17b585c9bfd5a41123f36730dac7d6386cc16fa5")</f>
        <v>0</v>
      </c>
      <c r="D28592" t="s">
        <v>5195</v>
      </c>
      <c r="E28592" t="s">
        <v>7720</v>
      </c>
      <c r="F28592" t="s">
        <v>13534</v>
      </c>
      <c r="G28592" t="s">
        <v>17646</v>
      </c>
      <c r="H28592" t="s">
        <v>30289</v>
      </c>
    </row>
    <row r="28593" spans="1:8">
      <c r="H28593" t="s">
        <v>30290</v>
      </c>
    </row>
    <row r="28594" spans="1:8">
      <c r="H28594" t="s">
        <v>30291</v>
      </c>
    </row>
    <row r="28595" spans="1:8">
      <c r="H28595" t="s">
        <v>30292</v>
      </c>
    </row>
    <row r="28596" spans="1:8">
      <c r="H28596" t="s">
        <v>30293</v>
      </c>
    </row>
    <row r="28597" spans="1:8">
      <c r="H28597" t="s">
        <v>30294</v>
      </c>
    </row>
    <row r="28598" spans="1:8">
      <c r="H28598" t="s">
        <v>30295</v>
      </c>
    </row>
    <row r="28599" spans="1:8">
      <c r="H28599" t="s">
        <v>30296</v>
      </c>
    </row>
    <row r="28600" spans="1:8">
      <c r="H28600" t="s">
        <v>30297</v>
      </c>
    </row>
    <row r="28601" spans="1:8">
      <c r="A28601" t="s">
        <v>1976</v>
      </c>
      <c r="B28601">
        <f>HYPERLINK("https://android.googlesource.com/platform/cts/+/976bf07506d3db8c490a08a83c8e021acef89be3", "976bf07506d3db8c490a08a83c8e021acef89be3")</f>
        <v>0</v>
      </c>
      <c r="C28601">
        <f>HYPERLINK("https://android.googlesource.com/platform/cts/+/abcf062c0b4942e5a386138625fe8ea097e93d59", "abcf062c0b4942e5a386138625fe8ea097e93d59")</f>
        <v>0</v>
      </c>
      <c r="D28601" t="s">
        <v>5314</v>
      </c>
      <c r="E28601" t="s">
        <v>7721</v>
      </c>
      <c r="F28601" t="s">
        <v>13535</v>
      </c>
      <c r="G28601" t="s">
        <v>17647</v>
      </c>
      <c r="H28601" t="s">
        <v>30298</v>
      </c>
    </row>
    <row r="28602" spans="1:8">
      <c r="H28602" t="s">
        <v>30299</v>
      </c>
    </row>
    <row r="28603" spans="1:8">
      <c r="A28603" t="s">
        <v>1978</v>
      </c>
      <c r="B28603">
        <f>HYPERLINK("https://android.googlesource.com/platform/cts/+/ec74bc3a3115e176d7a20148c8ed9a38888880fc", "ec74bc3a3115e176d7a20148c8ed9a38888880fc")</f>
        <v>0</v>
      </c>
      <c r="C28603">
        <f>HYPERLINK("https://android.googlesource.com/platform/cts/+/603e362ad22f97d41e3c71831707e8139e061f62", "603e362ad22f97d41e3c71831707e8139e061f62")</f>
        <v>0</v>
      </c>
      <c r="D28603" t="s">
        <v>5068</v>
      </c>
      <c r="E28603" t="s">
        <v>7723</v>
      </c>
      <c r="F28603" t="s">
        <v>13521</v>
      </c>
      <c r="G28603" t="s">
        <v>17636</v>
      </c>
      <c r="H28603" t="s">
        <v>30300</v>
      </c>
    </row>
    <row r="28604" spans="1:8">
      <c r="A28604" t="s">
        <v>1979</v>
      </c>
      <c r="B28604">
        <f>HYPERLINK("https://android.googlesource.com/platform/cts/+/e789d9c4fbac29f7593e609525c3e80d6353b4c5", "e789d9c4fbac29f7593e609525c3e80d6353b4c5")</f>
        <v>0</v>
      </c>
      <c r="C28604">
        <f>HYPERLINK("https://android.googlesource.com/platform/cts/+/1106a1fd641972a38b97417ef598f4b3a5bf8df0", "1106a1fd641972a38b97417ef598f4b3a5bf8df0")</f>
        <v>0</v>
      </c>
      <c r="D28604" t="s">
        <v>5127</v>
      </c>
      <c r="E28604" t="s">
        <v>7724</v>
      </c>
      <c r="F28604" t="s">
        <v>13536</v>
      </c>
      <c r="G28604" t="s">
        <v>17648</v>
      </c>
      <c r="H28604" t="s">
        <v>30301</v>
      </c>
    </row>
    <row r="28605" spans="1:8">
      <c r="H28605" t="s">
        <v>30302</v>
      </c>
    </row>
    <row r="28606" spans="1:8">
      <c r="A28606" t="s">
        <v>1980</v>
      </c>
      <c r="B28606">
        <f>HYPERLINK("https://android.googlesource.com/platform/cts/+/c9ec3b31d4cd6b064f59400fbe1f01695efee77e", "c9ec3b31d4cd6b064f59400fbe1f01695efee77e")</f>
        <v>0</v>
      </c>
      <c r="C28606">
        <f>HYPERLINK("https://android.googlesource.com/platform/cts/+/1106a1fd641972a38b97417ef598f4b3a5bf8df0", "1106a1fd641972a38b97417ef598f4b3a5bf8df0")</f>
        <v>0</v>
      </c>
      <c r="D28606" t="s">
        <v>5131</v>
      </c>
      <c r="E28606" t="s">
        <v>7725</v>
      </c>
      <c r="F28606" t="s">
        <v>13537</v>
      </c>
      <c r="G28606" t="s">
        <v>17649</v>
      </c>
      <c r="H28606" t="s">
        <v>30303</v>
      </c>
    </row>
    <row r="28607" spans="1:8">
      <c r="H28607" t="s">
        <v>30304</v>
      </c>
    </row>
    <row r="28608" spans="1:8">
      <c r="H28608" t="s">
        <v>30305</v>
      </c>
    </row>
    <row r="28609" spans="1:8">
      <c r="H28609" t="s">
        <v>30306</v>
      </c>
    </row>
    <row r="28610" spans="1:8">
      <c r="H28610" t="s">
        <v>30307</v>
      </c>
    </row>
    <row r="28611" spans="1:8">
      <c r="H28611" t="s">
        <v>30308</v>
      </c>
    </row>
    <row r="28612" spans="1:8">
      <c r="H28612" t="s">
        <v>29953</v>
      </c>
    </row>
    <row r="28613" spans="1:8">
      <c r="H28613" t="s">
        <v>30309</v>
      </c>
    </row>
    <row r="28614" spans="1:8">
      <c r="A28614" t="s">
        <v>1981</v>
      </c>
      <c r="B28614">
        <f>HYPERLINK("https://android.googlesource.com/platform/cts/+/3b9071a2280d021e41c800ac3b77ed44cdc98d5e", "3b9071a2280d021e41c800ac3b77ed44cdc98d5e")</f>
        <v>0</v>
      </c>
      <c r="C28614">
        <f>HYPERLINK("https://android.googlesource.com/platform/cts/+/d7a8f7f6d7f46f5d51353613c40467dc97996d3d", "d7a8f7f6d7f46f5d51353613c40467dc97996d3d")</f>
        <v>0</v>
      </c>
      <c r="D28614" t="s">
        <v>5315</v>
      </c>
      <c r="E28614" t="s">
        <v>7726</v>
      </c>
      <c r="F28614" t="s">
        <v>13227</v>
      </c>
      <c r="G28614" t="s">
        <v>17368</v>
      </c>
      <c r="H28614" t="s">
        <v>30310</v>
      </c>
    </row>
    <row r="28615" spans="1:8">
      <c r="H28615" t="s">
        <v>30311</v>
      </c>
    </row>
    <row r="28616" spans="1:8">
      <c r="H28616" t="s">
        <v>30312</v>
      </c>
    </row>
    <row r="28617" spans="1:8">
      <c r="A28617" t="s">
        <v>1984</v>
      </c>
      <c r="B28617">
        <f>HYPERLINK("https://android.googlesource.com/platform/cts/+/90363eeabae5a3b97dc2f6c04f88ba404e877833", "90363eeabae5a3b97dc2f6c04f88ba404e877833")</f>
        <v>0</v>
      </c>
      <c r="C28617">
        <f>HYPERLINK("https://android.googlesource.com/platform/cts/+/ca2f49e4fd9037b22e91615be58be96f3774a149", "ca2f49e4fd9037b22e91615be58be96f3774a149")</f>
        <v>0</v>
      </c>
      <c r="D28617" t="s">
        <v>5316</v>
      </c>
      <c r="E28617" t="s">
        <v>7729</v>
      </c>
      <c r="F28617" t="s">
        <v>13320</v>
      </c>
      <c r="G28617" t="s">
        <v>17451</v>
      </c>
      <c r="H28617" t="s">
        <v>18829</v>
      </c>
    </row>
    <row r="28618" spans="1:8">
      <c r="H28618" t="s">
        <v>18863</v>
      </c>
    </row>
    <row r="28619" spans="1:8">
      <c r="H28619" t="s">
        <v>29170</v>
      </c>
    </row>
    <row r="28620" spans="1:8">
      <c r="A28620" t="s">
        <v>1985</v>
      </c>
      <c r="B28620">
        <f>HYPERLINK("https://android.googlesource.com/platform/cts/+/0c7b1fecac46ca9b2e23cb8e39bf9fee188a6102", "0c7b1fecac46ca9b2e23cb8e39bf9fee188a6102")</f>
        <v>0</v>
      </c>
      <c r="C28620">
        <f>HYPERLINK("https://android.googlesource.com/platform/cts/+/4ab8af00c985d97f1fd4ecfb2abcfc44d2c54ac0", "4ab8af00c985d97f1fd4ecfb2abcfc44d2c54ac0")</f>
        <v>0</v>
      </c>
      <c r="D28620" t="s">
        <v>5073</v>
      </c>
      <c r="E28620" t="s">
        <v>7730</v>
      </c>
      <c r="F28620" t="s">
        <v>13538</v>
      </c>
      <c r="G28620" t="s">
        <v>17650</v>
      </c>
      <c r="H28620" t="s">
        <v>30313</v>
      </c>
    </row>
    <row r="28621" spans="1:8">
      <c r="H28621" t="s">
        <v>30314</v>
      </c>
    </row>
    <row r="28622" spans="1:8">
      <c r="H28622" t="s">
        <v>30315</v>
      </c>
    </row>
    <row r="28623" spans="1:8">
      <c r="H28623" t="s">
        <v>30316</v>
      </c>
    </row>
    <row r="28624" spans="1:8">
      <c r="H28624" t="s">
        <v>30317</v>
      </c>
    </row>
    <row r="28625" spans="1:8">
      <c r="H28625" t="s">
        <v>30318</v>
      </c>
    </row>
    <row r="28626" spans="1:8">
      <c r="H28626" t="s">
        <v>30319</v>
      </c>
    </row>
    <row r="28627" spans="1:8">
      <c r="H28627" t="s">
        <v>30320</v>
      </c>
    </row>
    <row r="28628" spans="1:8">
      <c r="H28628" t="s">
        <v>30321</v>
      </c>
    </row>
    <row r="28629" spans="1:8">
      <c r="H28629" t="s">
        <v>30322</v>
      </c>
    </row>
    <row r="28630" spans="1:8">
      <c r="A28630" t="s">
        <v>1987</v>
      </c>
      <c r="B28630">
        <f>HYPERLINK("https://android.googlesource.com/platform/cts/+/a54f36953bca823296434f6563fcfac142bf4e4e", "a54f36953bca823296434f6563fcfac142bf4e4e")</f>
        <v>0</v>
      </c>
      <c r="C28630">
        <f>HYPERLINK("https://android.googlesource.com/platform/cts/+/498fae8550d8f0b1d2d75299b33c57285dc0c3f6", "498fae8550d8f0b1d2d75299b33c57285dc0c3f6")</f>
        <v>0</v>
      </c>
      <c r="D28630" t="s">
        <v>5046</v>
      </c>
      <c r="E28630" t="s">
        <v>7731</v>
      </c>
      <c r="F28630" t="s">
        <v>13539</v>
      </c>
      <c r="G28630" t="s">
        <v>17155</v>
      </c>
      <c r="H28630" t="s">
        <v>28579</v>
      </c>
    </row>
    <row r="28631" spans="1:8">
      <c r="A28631" t="s">
        <v>1988</v>
      </c>
      <c r="B28631">
        <f>HYPERLINK("https://android.googlesource.com/platform/cts/+/3a3d431d91985ecef0e4edec61e93803c6a401de", "3a3d431d91985ecef0e4edec61e93803c6a401de")</f>
        <v>0</v>
      </c>
      <c r="C28631">
        <f>HYPERLINK("https://android.googlesource.com/platform/cts/+/a54f36953bca823296434f6563fcfac142bf4e4e", "a54f36953bca823296434f6563fcfac142bf4e4e")</f>
        <v>0</v>
      </c>
      <c r="D28631" t="s">
        <v>5046</v>
      </c>
      <c r="E28631" t="s">
        <v>7732</v>
      </c>
      <c r="F28631" t="s">
        <v>13539</v>
      </c>
      <c r="G28631" t="s">
        <v>17155</v>
      </c>
      <c r="H28631" t="s">
        <v>19981</v>
      </c>
    </row>
    <row r="28632" spans="1:8">
      <c r="H28632" t="s">
        <v>28581</v>
      </c>
    </row>
    <row r="28633" spans="1:8">
      <c r="A28633" t="s">
        <v>1989</v>
      </c>
      <c r="B28633">
        <f>HYPERLINK("https://android.googlesource.com/platform/cts/+/e784af5d1c8c4b946688c1034238fea329e30668", "e784af5d1c8c4b946688c1034238fea329e30668")</f>
        <v>0</v>
      </c>
      <c r="C28633">
        <f>HYPERLINK("https://android.googlesource.com/platform/cts/+/6c7cad8a2dd07c01a843bbeeaa8284f862b73566", "6c7cad8a2dd07c01a843bbeeaa8284f862b73566")</f>
        <v>0</v>
      </c>
      <c r="D28633" t="s">
        <v>5317</v>
      </c>
      <c r="E28633" t="s">
        <v>7733</v>
      </c>
      <c r="F28633" t="s">
        <v>13540</v>
      </c>
      <c r="G28633" t="s">
        <v>17651</v>
      </c>
      <c r="H28633" t="s">
        <v>30323</v>
      </c>
    </row>
    <row r="28634" spans="1:8">
      <c r="H28634" t="s">
        <v>30324</v>
      </c>
    </row>
    <row r="28635" spans="1:8">
      <c r="A28635" t="s">
        <v>1990</v>
      </c>
      <c r="B28635">
        <f>HYPERLINK("https://android.googlesource.com/platform/cts/+/69517633288bac80d31f53720b2837b261926485", "69517633288bac80d31f53720b2837b261926485")</f>
        <v>0</v>
      </c>
      <c r="C28635">
        <f>HYPERLINK("https://android.googlesource.com/platform/cts/+/9838f4ca9d363d3ab02d63b3d894ca78d678db31", "9838f4ca9d363d3ab02d63b3d894ca78d678db31")</f>
        <v>0</v>
      </c>
      <c r="D28635" t="s">
        <v>5271</v>
      </c>
      <c r="E28635" t="s">
        <v>7734</v>
      </c>
      <c r="F28635" t="s">
        <v>13309</v>
      </c>
      <c r="G28635" t="s">
        <v>17442</v>
      </c>
      <c r="H28635" t="s">
        <v>30325</v>
      </c>
    </row>
    <row r="28636" spans="1:8">
      <c r="A28636" t="s">
        <v>1991</v>
      </c>
      <c r="B28636">
        <f>HYPERLINK("https://android.googlesource.com/platform/cts/+/f301b158e12255c11f479293d05d5549f0136139", "f301b158e12255c11f479293d05d5549f0136139")</f>
        <v>0</v>
      </c>
      <c r="C28636">
        <f>HYPERLINK("https://android.googlesource.com/platform/cts/+/5ab2bfb149820907323025f59b8b87533c0a72ff", "5ab2bfb149820907323025f59b8b87533c0a72ff")</f>
        <v>0</v>
      </c>
      <c r="D28636" t="s">
        <v>5264</v>
      </c>
      <c r="E28636" t="s">
        <v>7735</v>
      </c>
      <c r="F28636" t="s">
        <v>13505</v>
      </c>
      <c r="G28636" t="s">
        <v>17622</v>
      </c>
      <c r="H28636" t="s">
        <v>30326</v>
      </c>
    </row>
    <row r="28637" spans="1:8">
      <c r="A28637" t="s">
        <v>1992</v>
      </c>
      <c r="B28637">
        <f>HYPERLINK("https://android.googlesource.com/platform/cts/+/b4fa0373b298d92eea4dfb209ab4dda6b1ef1c07", "b4fa0373b298d92eea4dfb209ab4dda6b1ef1c07")</f>
        <v>0</v>
      </c>
      <c r="C28637">
        <f>HYPERLINK("https://android.googlesource.com/platform/cts/+/4f8f314f1f0286b942f061896dd43cdca05d61b1", "4f8f314f1f0286b942f061896dd43cdca05d61b1")</f>
        <v>0</v>
      </c>
      <c r="D28637" t="s">
        <v>5287</v>
      </c>
      <c r="E28637" t="s">
        <v>7736</v>
      </c>
      <c r="F28637" t="s">
        <v>10663</v>
      </c>
      <c r="G28637" t="s">
        <v>15064</v>
      </c>
      <c r="H28637" t="s">
        <v>18829</v>
      </c>
    </row>
    <row r="28638" spans="1:8">
      <c r="H28638" t="s">
        <v>18863</v>
      </c>
    </row>
    <row r="28639" spans="1:8">
      <c r="H28639" t="s">
        <v>30327</v>
      </c>
    </row>
    <row r="28640" spans="1:8">
      <c r="H28640" t="s">
        <v>30328</v>
      </c>
    </row>
    <row r="28641" spans="8:8">
      <c r="H28641" t="s">
        <v>30329</v>
      </c>
    </row>
    <row r="28642" spans="8:8">
      <c r="H28642" t="s">
        <v>30330</v>
      </c>
    </row>
    <row r="28643" spans="8:8">
      <c r="H28643" t="s">
        <v>30331</v>
      </c>
    </row>
    <row r="28644" spans="8:8">
      <c r="H28644" t="s">
        <v>30332</v>
      </c>
    </row>
    <row r="28645" spans="8:8">
      <c r="H28645" t="s">
        <v>30333</v>
      </c>
    </row>
    <row r="28646" spans="8:8">
      <c r="H28646" t="s">
        <v>30334</v>
      </c>
    </row>
    <row r="28647" spans="8:8">
      <c r="H28647" t="s">
        <v>30335</v>
      </c>
    </row>
    <row r="28648" spans="8:8">
      <c r="H28648" t="s">
        <v>30336</v>
      </c>
    </row>
    <row r="28649" spans="8:8">
      <c r="H28649" t="s">
        <v>26292</v>
      </c>
    </row>
    <row r="28650" spans="8:8">
      <c r="H28650" t="s">
        <v>30337</v>
      </c>
    </row>
    <row r="28651" spans="8:8">
      <c r="H28651" t="s">
        <v>30338</v>
      </c>
    </row>
    <row r="28652" spans="8:8">
      <c r="H28652" t="s">
        <v>30339</v>
      </c>
    </row>
    <row r="28653" spans="8:8">
      <c r="H28653" t="s">
        <v>30340</v>
      </c>
    </row>
    <row r="28654" spans="8:8">
      <c r="H28654" t="s">
        <v>30341</v>
      </c>
    </row>
    <row r="28655" spans="8:8">
      <c r="H28655" t="s">
        <v>30342</v>
      </c>
    </row>
    <row r="28656" spans="8:8">
      <c r="H28656" t="s">
        <v>30343</v>
      </c>
    </row>
    <row r="28657" spans="8:8">
      <c r="H28657" t="s">
        <v>30344</v>
      </c>
    </row>
    <row r="28658" spans="8:8">
      <c r="H28658" t="s">
        <v>30180</v>
      </c>
    </row>
    <row r="28659" spans="8:8">
      <c r="H28659" t="s">
        <v>30345</v>
      </c>
    </row>
    <row r="28660" spans="8:8">
      <c r="H28660" t="s">
        <v>30346</v>
      </c>
    </row>
    <row r="28661" spans="8:8">
      <c r="H28661" t="s">
        <v>30347</v>
      </c>
    </row>
    <row r="28662" spans="8:8">
      <c r="H28662" t="s">
        <v>30348</v>
      </c>
    </row>
    <row r="28663" spans="8:8">
      <c r="H28663" t="s">
        <v>30349</v>
      </c>
    </row>
    <row r="28664" spans="8:8">
      <c r="H28664" t="s">
        <v>30350</v>
      </c>
    </row>
    <row r="28665" spans="8:8">
      <c r="H28665" t="s">
        <v>30351</v>
      </c>
    </row>
    <row r="28666" spans="8:8">
      <c r="H28666" t="s">
        <v>30352</v>
      </c>
    </row>
    <row r="28667" spans="8:8">
      <c r="H28667" t="s">
        <v>30353</v>
      </c>
    </row>
    <row r="28668" spans="8:8">
      <c r="H28668" t="s">
        <v>30354</v>
      </c>
    </row>
    <row r="28669" spans="8:8">
      <c r="H28669" t="s">
        <v>30355</v>
      </c>
    </row>
    <row r="28670" spans="8:8">
      <c r="H28670" t="s">
        <v>30356</v>
      </c>
    </row>
    <row r="28671" spans="8:8">
      <c r="H28671" t="s">
        <v>30357</v>
      </c>
    </row>
    <row r="28672" spans="8:8">
      <c r="H28672" t="s">
        <v>30358</v>
      </c>
    </row>
    <row r="28673" spans="8:8">
      <c r="H28673" t="s">
        <v>30359</v>
      </c>
    </row>
    <row r="28674" spans="8:8">
      <c r="H28674" t="s">
        <v>30360</v>
      </c>
    </row>
    <row r="28675" spans="8:8">
      <c r="H28675" t="s">
        <v>30361</v>
      </c>
    </row>
    <row r="28676" spans="8:8">
      <c r="H28676" t="s">
        <v>30362</v>
      </c>
    </row>
    <row r="28677" spans="8:8">
      <c r="H28677" t="s">
        <v>30363</v>
      </c>
    </row>
    <row r="28678" spans="8:8">
      <c r="H28678" t="s">
        <v>30364</v>
      </c>
    </row>
    <row r="28679" spans="8:8">
      <c r="H28679" t="s">
        <v>30365</v>
      </c>
    </row>
    <row r="28680" spans="8:8">
      <c r="H28680" t="s">
        <v>30366</v>
      </c>
    </row>
    <row r="28681" spans="8:8">
      <c r="H28681" t="s">
        <v>30367</v>
      </c>
    </row>
    <row r="28682" spans="8:8">
      <c r="H28682" t="s">
        <v>30368</v>
      </c>
    </row>
    <row r="28683" spans="8:8">
      <c r="H28683" t="s">
        <v>30369</v>
      </c>
    </row>
    <row r="28684" spans="8:8">
      <c r="H28684" t="s">
        <v>30370</v>
      </c>
    </row>
    <row r="28685" spans="8:8">
      <c r="H28685" t="s">
        <v>30371</v>
      </c>
    </row>
    <row r="28686" spans="8:8">
      <c r="H28686" t="s">
        <v>30372</v>
      </c>
    </row>
    <row r="28687" spans="8:8">
      <c r="H28687" t="s">
        <v>30373</v>
      </c>
    </row>
    <row r="28688" spans="8:8">
      <c r="H28688" t="s">
        <v>30374</v>
      </c>
    </row>
    <row r="28689" spans="8:8">
      <c r="H28689" t="s">
        <v>30375</v>
      </c>
    </row>
    <row r="28690" spans="8:8">
      <c r="H28690" t="s">
        <v>30376</v>
      </c>
    </row>
    <row r="28691" spans="8:8">
      <c r="H28691" t="s">
        <v>30377</v>
      </c>
    </row>
    <row r="28692" spans="8:8">
      <c r="H28692" t="s">
        <v>30378</v>
      </c>
    </row>
    <row r="28693" spans="8:8">
      <c r="H28693" t="s">
        <v>30379</v>
      </c>
    </row>
    <row r="28694" spans="8:8">
      <c r="H28694" t="s">
        <v>30380</v>
      </c>
    </row>
    <row r="28695" spans="8:8">
      <c r="H28695" t="s">
        <v>30381</v>
      </c>
    </row>
    <row r="28696" spans="8:8">
      <c r="H28696" t="s">
        <v>30382</v>
      </c>
    </row>
    <row r="28697" spans="8:8">
      <c r="H28697" t="s">
        <v>30383</v>
      </c>
    </row>
    <row r="28698" spans="8:8">
      <c r="H28698" t="s">
        <v>30384</v>
      </c>
    </row>
    <row r="28699" spans="8:8">
      <c r="H28699" t="s">
        <v>30385</v>
      </c>
    </row>
    <row r="28700" spans="8:8">
      <c r="H28700" t="s">
        <v>30386</v>
      </c>
    </row>
    <row r="28701" spans="8:8">
      <c r="H28701" t="s">
        <v>19019</v>
      </c>
    </row>
    <row r="28702" spans="8:8">
      <c r="H28702" t="s">
        <v>30387</v>
      </c>
    </row>
    <row r="28703" spans="8:8">
      <c r="H28703" t="s">
        <v>18893</v>
      </c>
    </row>
    <row r="28704" spans="8:8">
      <c r="H28704" t="s">
        <v>19019</v>
      </c>
    </row>
    <row r="28705" spans="1:8">
      <c r="H28705" t="s">
        <v>30388</v>
      </c>
    </row>
    <row r="28706" spans="1:8">
      <c r="H28706" t="s">
        <v>30389</v>
      </c>
    </row>
    <row r="28707" spans="1:8">
      <c r="H28707" t="s">
        <v>18893</v>
      </c>
    </row>
    <row r="28708" spans="1:8">
      <c r="H28708" t="s">
        <v>30390</v>
      </c>
    </row>
    <row r="28709" spans="1:8">
      <c r="H28709" t="s">
        <v>30391</v>
      </c>
    </row>
    <row r="28710" spans="1:8">
      <c r="H28710" t="s">
        <v>19753</v>
      </c>
    </row>
    <row r="28711" spans="1:8">
      <c r="H28711" t="s">
        <v>19754</v>
      </c>
    </row>
    <row r="28712" spans="1:8">
      <c r="A28712" t="s">
        <v>1997</v>
      </c>
      <c r="B28712">
        <f>HYPERLINK("https://android.googlesource.com/platform/cts/+/3f5bd08cbca4875f9f0cc0a6fd0f6faba4337be9", "3f5bd08cbca4875f9f0cc0a6fd0f6faba4337be9")</f>
        <v>0</v>
      </c>
      <c r="C28712">
        <f>HYPERLINK("https://android.googlesource.com/platform/cts/+/f0faabee02a3f524ebe3e78b565cc9371f8a57bc", "f0faabee02a3f524ebe3e78b565cc9371f8a57bc")</f>
        <v>0</v>
      </c>
      <c r="D28712" t="s">
        <v>4949</v>
      </c>
      <c r="E28712" t="s">
        <v>7739</v>
      </c>
      <c r="F28712" t="s">
        <v>12569</v>
      </c>
      <c r="G28712" t="s">
        <v>16785</v>
      </c>
      <c r="H28712" t="s">
        <v>30392</v>
      </c>
    </row>
    <row r="28713" spans="1:8">
      <c r="H28713" t="s">
        <v>30393</v>
      </c>
    </row>
    <row r="28714" spans="1:8">
      <c r="A28714" t="s">
        <v>1999</v>
      </c>
      <c r="B28714">
        <f>HYPERLINK("https://android.googlesource.com/platform/cts/+/afe6df6031defd668cdb538eb846741388796131", "afe6df6031defd668cdb538eb846741388796131")</f>
        <v>0</v>
      </c>
      <c r="C28714">
        <f>HYPERLINK("https://android.googlesource.com/platform/cts/+/0c26121cba2e319bbc38305e559c60f484cd7cef", "0c26121cba2e319bbc38305e559c60f484cd7cef")</f>
        <v>0</v>
      </c>
      <c r="D28714" t="s">
        <v>5215</v>
      </c>
      <c r="E28714" t="s">
        <v>7741</v>
      </c>
      <c r="F28714" t="s">
        <v>10699</v>
      </c>
      <c r="G28714" t="s">
        <v>15099</v>
      </c>
      <c r="H28714" t="s">
        <v>30394</v>
      </c>
    </row>
    <row r="28715" spans="1:8">
      <c r="H28715" t="s">
        <v>30395</v>
      </c>
    </row>
    <row r="28716" spans="1:8">
      <c r="H28716" t="s">
        <v>18893</v>
      </c>
    </row>
    <row r="28717" spans="1:8">
      <c r="H28717" t="s">
        <v>30396</v>
      </c>
    </row>
    <row r="28718" spans="1:8">
      <c r="A28718" t="s">
        <v>2000</v>
      </c>
      <c r="B28718">
        <f>HYPERLINK("https://android.googlesource.com/platform/cts/+/c0b261728705fef717188ce68b22eb4973fcc678", "c0b261728705fef717188ce68b22eb4973fcc678")</f>
        <v>0</v>
      </c>
      <c r="C28718">
        <f>HYPERLINK("https://android.googlesource.com/platform/cts/+/64748d699581515bbd48385a5cbee4be57974140", "64748d699581515bbd48385a5cbee4be57974140")</f>
        <v>0</v>
      </c>
      <c r="D28718" t="s">
        <v>5318</v>
      </c>
      <c r="E28718" t="s">
        <v>7742</v>
      </c>
      <c r="F28718" t="s">
        <v>13485</v>
      </c>
      <c r="G28718" t="s">
        <v>17652</v>
      </c>
      <c r="H28718" t="s">
        <v>29973</v>
      </c>
    </row>
    <row r="28719" spans="1:8">
      <c r="H28719" t="s">
        <v>29976</v>
      </c>
    </row>
    <row r="28720" spans="1:8">
      <c r="H28720" t="s">
        <v>30397</v>
      </c>
    </row>
    <row r="28721" spans="1:8">
      <c r="A28721" t="s">
        <v>2001</v>
      </c>
      <c r="B28721">
        <f>HYPERLINK("https://android.googlesource.com/platform/cts/+/34ac95d82e99fa5dcea9612c03a04092206d7a69", "34ac95d82e99fa5dcea9612c03a04092206d7a69")</f>
        <v>0</v>
      </c>
      <c r="C28721">
        <f>HYPERLINK("https://android.googlesource.com/platform/cts/+/2f83fe0d1a790b8651d55e6896cdc8f5af56ec1e", "2f83fe0d1a790b8651d55e6896cdc8f5af56ec1e")</f>
        <v>0</v>
      </c>
      <c r="D28721" t="s">
        <v>5319</v>
      </c>
      <c r="E28721" t="s">
        <v>7743</v>
      </c>
      <c r="F28721" t="s">
        <v>13507</v>
      </c>
      <c r="G28721" t="s">
        <v>17624</v>
      </c>
      <c r="H28721" t="s">
        <v>18829</v>
      </c>
    </row>
    <row r="28722" spans="1:8">
      <c r="F28722" t="s">
        <v>13508</v>
      </c>
      <c r="G28722" t="s">
        <v>17625</v>
      </c>
      <c r="H28722" t="s">
        <v>30227</v>
      </c>
    </row>
    <row r="28723" spans="1:8">
      <c r="H28723" t="s">
        <v>30228</v>
      </c>
    </row>
    <row r="28724" spans="1:8">
      <c r="A28724" t="s">
        <v>2002</v>
      </c>
      <c r="B28724">
        <f>HYPERLINK("https://android.googlesource.com/platform/cts/+/eaa2bbee9517de527137c0ca5488545124ba7e1c", "eaa2bbee9517de527137c0ca5488545124ba7e1c")</f>
        <v>0</v>
      </c>
      <c r="C28724">
        <f>HYPERLINK("https://android.googlesource.com/platform/cts/+/e907b0ac85ef8640a5e285256d4319b06b4add6d", "e907b0ac85ef8640a5e285256d4319b06b4add6d")</f>
        <v>0</v>
      </c>
      <c r="D28724" t="s">
        <v>5264</v>
      </c>
      <c r="E28724" t="s">
        <v>7744</v>
      </c>
      <c r="F28724" t="s">
        <v>12617</v>
      </c>
      <c r="G28724" t="s">
        <v>15155</v>
      </c>
      <c r="H28724" t="s">
        <v>30398</v>
      </c>
    </row>
    <row r="28725" spans="1:8">
      <c r="A28725" t="s">
        <v>2003</v>
      </c>
      <c r="B28725">
        <f>HYPERLINK("https://android.googlesource.com/platform/cts/+/b22c4ea6428a357cfc50928def4f6c42d684ffce", "b22c4ea6428a357cfc50928def4f6c42d684ffce")</f>
        <v>0</v>
      </c>
      <c r="C28725">
        <f>HYPERLINK("https://android.googlesource.com/platform/cts/+/2e63d86c2da34f4fdd19bf347b4c02449518cb28", "2e63d86c2da34f4fdd19bf347b4c02449518cb28")</f>
        <v>0</v>
      </c>
      <c r="D28725" t="s">
        <v>5264</v>
      </c>
      <c r="E28725" t="s">
        <v>7745</v>
      </c>
      <c r="F28725" t="s">
        <v>13508</v>
      </c>
      <c r="G28725" t="s">
        <v>17625</v>
      </c>
      <c r="H28725" t="s">
        <v>30173</v>
      </c>
    </row>
    <row r="28726" spans="1:8">
      <c r="H28726" t="s">
        <v>30174</v>
      </c>
    </row>
    <row r="28727" spans="1:8">
      <c r="A28727" t="s">
        <v>2004</v>
      </c>
      <c r="B28727">
        <f>HYPERLINK("https://android.googlesource.com/platform/cts/+/b4f27760084c86d99c45b932ae74c3c446297645", "b4f27760084c86d99c45b932ae74c3c446297645")</f>
        <v>0</v>
      </c>
      <c r="C28727">
        <f>HYPERLINK("https://android.googlesource.com/platform/cts/+/c51040240219bab560561da7a28a2cee3a507b49", "c51040240219bab560561da7a28a2cee3a507b49")</f>
        <v>0</v>
      </c>
      <c r="D28727" t="s">
        <v>5264</v>
      </c>
      <c r="E28727" t="s">
        <v>7746</v>
      </c>
      <c r="F28727" t="s">
        <v>13505</v>
      </c>
      <c r="G28727" t="s">
        <v>17622</v>
      </c>
      <c r="H28727" t="s">
        <v>30399</v>
      </c>
    </row>
    <row r="28728" spans="1:8">
      <c r="A28728" t="s">
        <v>2005</v>
      </c>
      <c r="B28728">
        <f>HYPERLINK("https://android.googlesource.com/platform/cts/+/e11b314c0abd734e2e659490ddb556b36e53e6ab", "e11b314c0abd734e2e659490ddb556b36e53e6ab")</f>
        <v>0</v>
      </c>
      <c r="C28728">
        <f>HYPERLINK("https://android.googlesource.com/platform/cts/+/814f1d8184f1b52323015351a308b4f0e437295a", "814f1d8184f1b52323015351a308b4f0e437295a")</f>
        <v>0</v>
      </c>
      <c r="D28728" t="s">
        <v>5144</v>
      </c>
      <c r="E28728" t="s">
        <v>7747</v>
      </c>
      <c r="F28728" t="s">
        <v>10627</v>
      </c>
      <c r="G28728" t="s">
        <v>15030</v>
      </c>
      <c r="H28728" t="s">
        <v>30400</v>
      </c>
    </row>
    <row r="28729" spans="1:8">
      <c r="H28729" t="s">
        <v>30401</v>
      </c>
    </row>
    <row r="28730" spans="1:8">
      <c r="H28730" t="s">
        <v>30402</v>
      </c>
    </row>
    <row r="28731" spans="1:8">
      <c r="H28731" t="s">
        <v>30403</v>
      </c>
    </row>
    <row r="28732" spans="1:8">
      <c r="H28732" t="s">
        <v>30404</v>
      </c>
    </row>
    <row r="28733" spans="1:8">
      <c r="H28733" t="s">
        <v>30405</v>
      </c>
    </row>
    <row r="28734" spans="1:8">
      <c r="H28734" t="s">
        <v>30406</v>
      </c>
    </row>
    <row r="28735" spans="1:8">
      <c r="H28735" t="s">
        <v>30407</v>
      </c>
    </row>
    <row r="28736" spans="1:8">
      <c r="H28736" t="s">
        <v>30408</v>
      </c>
    </row>
    <row r="28737" spans="1:8">
      <c r="H28737" t="s">
        <v>30409</v>
      </c>
    </row>
    <row r="28738" spans="1:8">
      <c r="H28738" t="s">
        <v>30410</v>
      </c>
    </row>
    <row r="28739" spans="1:8">
      <c r="H28739" t="s">
        <v>30411</v>
      </c>
    </row>
    <row r="28740" spans="1:8">
      <c r="H28740" t="s">
        <v>30412</v>
      </c>
    </row>
    <row r="28741" spans="1:8">
      <c r="A28741" t="s">
        <v>2006</v>
      </c>
      <c r="B28741">
        <f>HYPERLINK("https://android.googlesource.com/platform/cts/+/f2e0092e0858c3257dca4fdea419f08051346419", "f2e0092e0858c3257dca4fdea419f08051346419")</f>
        <v>0</v>
      </c>
      <c r="C28741">
        <f>HYPERLINK("https://android.googlesource.com/platform/cts/+/afe3d3ee615bfea1a1aa6e46a5ede9c9f582faca", "afe3d3ee615bfea1a1aa6e46a5ede9c9f582faca")</f>
        <v>0</v>
      </c>
      <c r="D28741" t="s">
        <v>5320</v>
      </c>
      <c r="E28741" t="s">
        <v>7748</v>
      </c>
      <c r="F28741" t="s">
        <v>10664</v>
      </c>
      <c r="G28741" t="s">
        <v>15065</v>
      </c>
      <c r="H28741" t="s">
        <v>30413</v>
      </c>
    </row>
    <row r="28742" spans="1:8">
      <c r="A28742" t="s">
        <v>2007</v>
      </c>
      <c r="B28742">
        <f>HYPERLINK("https://android.googlesource.com/platform/cts/+/f64579bceb6287f09503d940619d096aa8c1ac0d", "f64579bceb6287f09503d940619d096aa8c1ac0d")</f>
        <v>0</v>
      </c>
      <c r="C28742">
        <f>HYPERLINK("https://android.googlesource.com/platform/cts/+/18532f812784aaefb0987b334276976592d3d7cd", "18532f812784aaefb0987b334276976592d3d7cd")</f>
        <v>0</v>
      </c>
      <c r="D28742" t="s">
        <v>5271</v>
      </c>
      <c r="E28742" t="s">
        <v>7749</v>
      </c>
      <c r="F28742" t="s">
        <v>13309</v>
      </c>
      <c r="G28742" t="s">
        <v>17442</v>
      </c>
      <c r="H28742" t="s">
        <v>30414</v>
      </c>
    </row>
    <row r="28743" spans="1:8">
      <c r="A28743" t="s">
        <v>2008</v>
      </c>
      <c r="B28743">
        <f>HYPERLINK("https://android.googlesource.com/platform/cts/+/b3394f2c9fc07f8ad73541b42e7972ffd2ec0444", "b3394f2c9fc07f8ad73541b42e7972ffd2ec0444")</f>
        <v>0</v>
      </c>
      <c r="C28743">
        <f>HYPERLINK("https://android.googlesource.com/platform/cts/+/677fc6381fac76f77bfa20af89b4adf2127c439d", "677fc6381fac76f77bfa20af89b4adf2127c439d")</f>
        <v>0</v>
      </c>
      <c r="D28743" t="s">
        <v>5310</v>
      </c>
      <c r="E28743" t="s">
        <v>7750</v>
      </c>
      <c r="F28743" t="s">
        <v>13432</v>
      </c>
      <c r="G28743" t="s">
        <v>17556</v>
      </c>
      <c r="H28743" t="s">
        <v>29799</v>
      </c>
    </row>
    <row r="28744" spans="1:8">
      <c r="F28744" t="s">
        <v>13433</v>
      </c>
      <c r="G28744" t="s">
        <v>17557</v>
      </c>
      <c r="H28744" t="s">
        <v>29800</v>
      </c>
    </row>
    <row r="28745" spans="1:8">
      <c r="A28745" t="s">
        <v>2009</v>
      </c>
      <c r="B28745">
        <f>HYPERLINK("https://android.googlesource.com/platform/cts/+/d6558d4900cee718043224dded7ad430c2ec004f", "d6558d4900cee718043224dded7ad430c2ec004f")</f>
        <v>0</v>
      </c>
      <c r="C28745">
        <f>HYPERLINK("https://android.googlesource.com/platform/cts/+/e907b0ac85ef8640a5e285256d4319b06b4add6d", "e907b0ac85ef8640a5e285256d4319b06b4add6d")</f>
        <v>0</v>
      </c>
      <c r="D28745" t="s">
        <v>5317</v>
      </c>
      <c r="E28745" t="s">
        <v>7751</v>
      </c>
      <c r="F28745" t="s">
        <v>13541</v>
      </c>
      <c r="G28745" t="s">
        <v>17653</v>
      </c>
      <c r="H28745" t="s">
        <v>30415</v>
      </c>
    </row>
    <row r="28746" spans="1:8">
      <c r="A28746" t="s">
        <v>2010</v>
      </c>
      <c r="B28746">
        <f>HYPERLINK("https://android.googlesource.com/platform/cts/+/3151f8d0a27659e826f8338e7ebe598ba82b4a76", "3151f8d0a27659e826f8338e7ebe598ba82b4a76")</f>
        <v>0</v>
      </c>
      <c r="C28746">
        <f>HYPERLINK("https://android.googlesource.com/platform/cts/+/e33d09d45b475bdd9d7cc7532b2c750fa3790faf", "e33d09d45b475bdd9d7cc7532b2c750fa3790faf")</f>
        <v>0</v>
      </c>
      <c r="D28746" t="s">
        <v>5293</v>
      </c>
      <c r="E28746" t="s">
        <v>7752</v>
      </c>
      <c r="F28746" t="s">
        <v>13468</v>
      </c>
      <c r="G28746" t="s">
        <v>17587</v>
      </c>
      <c r="H28746" t="s">
        <v>30416</v>
      </c>
    </row>
    <row r="28747" spans="1:8">
      <c r="H28747" t="s">
        <v>21157</v>
      </c>
    </row>
    <row r="28748" spans="1:8">
      <c r="A28748" t="s">
        <v>2011</v>
      </c>
      <c r="B28748">
        <f>HYPERLINK("https://android.googlesource.com/platform/cts/+/ffe52878f6ee7695de02412d4a46f93abe3748ed", "ffe52878f6ee7695de02412d4a46f93abe3748ed")</f>
        <v>0</v>
      </c>
      <c r="C28748">
        <f>HYPERLINK("https://android.googlesource.com/platform/cts/+/38d5bec8b7cc788383c61ef48d6e9cb0afb038a0", "38d5bec8b7cc788383c61ef48d6e9cb0afb038a0")</f>
        <v>0</v>
      </c>
      <c r="D28748" t="s">
        <v>5221</v>
      </c>
      <c r="E28748" t="s">
        <v>7753</v>
      </c>
      <c r="F28748" t="s">
        <v>13542</v>
      </c>
      <c r="G28748" t="s">
        <v>17609</v>
      </c>
      <c r="H28748" t="s">
        <v>19981</v>
      </c>
    </row>
    <row r="28749" spans="1:8">
      <c r="H28749" t="s">
        <v>30417</v>
      </c>
    </row>
    <row r="28750" spans="1:8">
      <c r="H28750" t="s">
        <v>30418</v>
      </c>
    </row>
    <row r="28751" spans="1:8">
      <c r="H28751" t="s">
        <v>30419</v>
      </c>
    </row>
    <row r="28752" spans="1:8">
      <c r="H28752" t="s">
        <v>30420</v>
      </c>
    </row>
    <row r="28753" spans="1:8">
      <c r="H28753" t="s">
        <v>30421</v>
      </c>
    </row>
    <row r="28754" spans="1:8">
      <c r="H28754" t="s">
        <v>30422</v>
      </c>
    </row>
    <row r="28755" spans="1:8">
      <c r="H28755" t="s">
        <v>30423</v>
      </c>
    </row>
    <row r="28756" spans="1:8">
      <c r="F28756" t="s">
        <v>13298</v>
      </c>
      <c r="G28756" t="s">
        <v>17434</v>
      </c>
      <c r="H28756" t="s">
        <v>30424</v>
      </c>
    </row>
    <row r="28757" spans="1:8">
      <c r="H28757" t="s">
        <v>30425</v>
      </c>
    </row>
    <row r="28758" spans="1:8">
      <c r="A28758" t="s">
        <v>2012</v>
      </c>
      <c r="B28758">
        <f>HYPERLINK("https://android.googlesource.com/platform/cts/+/a9fe06c1f87e5df88942cf694672a4e41df5502e", "a9fe06c1f87e5df88942cf694672a4e41df5502e")</f>
        <v>0</v>
      </c>
      <c r="C28758">
        <f>HYPERLINK("https://android.googlesource.com/platform/cts/+/bdf7a2099c7a2e63881ae362414f2ee1aa6a0e2a", "bdf7a2099c7a2e63881ae362414f2ee1aa6a0e2a")</f>
        <v>0</v>
      </c>
      <c r="D28758" t="s">
        <v>5321</v>
      </c>
      <c r="E28758" t="s">
        <v>7754</v>
      </c>
      <c r="F28758" t="s">
        <v>12817</v>
      </c>
      <c r="G28758" t="s">
        <v>16629</v>
      </c>
      <c r="H28758" t="s">
        <v>30426</v>
      </c>
    </row>
    <row r="28759" spans="1:8">
      <c r="H28759" t="s">
        <v>30427</v>
      </c>
    </row>
    <row r="28760" spans="1:8">
      <c r="A28760" t="s">
        <v>2013</v>
      </c>
      <c r="B28760">
        <f>HYPERLINK("https://android.googlesource.com/platform/cts/+/5788d466601e202fb81eaffda73c4e99fd8ad269", "5788d466601e202fb81eaffda73c4e99fd8ad269")</f>
        <v>0</v>
      </c>
      <c r="C28760">
        <f>HYPERLINK("https://android.googlesource.com/platform/cts/+/3c74c0ebc468b879d7fac9f7638fff2f6e8e2eed", "3c74c0ebc468b879d7fac9f7638fff2f6e8e2eed")</f>
        <v>0</v>
      </c>
      <c r="D28760" t="s">
        <v>5108</v>
      </c>
      <c r="E28760" t="s">
        <v>7755</v>
      </c>
      <c r="F28760" t="s">
        <v>13543</v>
      </c>
      <c r="G28760" t="s">
        <v>17654</v>
      </c>
      <c r="H28760" t="s">
        <v>18829</v>
      </c>
    </row>
    <row r="28761" spans="1:8">
      <c r="H28761" t="s">
        <v>18863</v>
      </c>
    </row>
    <row r="28762" spans="1:8">
      <c r="H28762" t="s">
        <v>30428</v>
      </c>
    </row>
    <row r="28763" spans="1:8">
      <c r="H28763" t="s">
        <v>30429</v>
      </c>
    </row>
    <row r="28764" spans="1:8">
      <c r="H28764" t="s">
        <v>30430</v>
      </c>
    </row>
    <row r="28765" spans="1:8">
      <c r="H28765" t="s">
        <v>30431</v>
      </c>
    </row>
    <row r="28766" spans="1:8">
      <c r="H28766" t="s">
        <v>30432</v>
      </c>
    </row>
    <row r="28767" spans="1:8">
      <c r="H28767" t="s">
        <v>30433</v>
      </c>
    </row>
    <row r="28768" spans="1:8">
      <c r="H28768" t="s">
        <v>30434</v>
      </c>
    </row>
    <row r="28769" spans="6:8">
      <c r="H28769" t="s">
        <v>30435</v>
      </c>
    </row>
    <row r="28770" spans="6:8">
      <c r="H28770" t="s">
        <v>30436</v>
      </c>
    </row>
    <row r="28771" spans="6:8">
      <c r="H28771" t="s">
        <v>30437</v>
      </c>
    </row>
    <row r="28772" spans="6:8">
      <c r="H28772" t="s">
        <v>30438</v>
      </c>
    </row>
    <row r="28773" spans="6:8">
      <c r="H28773" t="s">
        <v>30439</v>
      </c>
    </row>
    <row r="28774" spans="6:8">
      <c r="H28774" t="s">
        <v>30440</v>
      </c>
    </row>
    <row r="28775" spans="6:8">
      <c r="H28775" t="s">
        <v>30441</v>
      </c>
    </row>
    <row r="28776" spans="6:8">
      <c r="H28776" t="s">
        <v>30442</v>
      </c>
    </row>
    <row r="28777" spans="6:8">
      <c r="H28777" t="s">
        <v>30443</v>
      </c>
    </row>
    <row r="28778" spans="6:8">
      <c r="H28778" t="s">
        <v>30444</v>
      </c>
    </row>
    <row r="28779" spans="6:8">
      <c r="H28779" t="s">
        <v>30445</v>
      </c>
    </row>
    <row r="28780" spans="6:8">
      <c r="H28780" t="s">
        <v>30446</v>
      </c>
    </row>
    <row r="28781" spans="6:8">
      <c r="H28781" t="s">
        <v>30447</v>
      </c>
    </row>
    <row r="28782" spans="6:8">
      <c r="F28782" t="s">
        <v>12743</v>
      </c>
      <c r="G28782" t="s">
        <v>16935</v>
      </c>
      <c r="H28782" t="s">
        <v>30447</v>
      </c>
    </row>
    <row r="28783" spans="6:8">
      <c r="F28783" t="s">
        <v>12768</v>
      </c>
      <c r="G28783" t="s">
        <v>15710</v>
      </c>
      <c r="H28783" t="s">
        <v>30448</v>
      </c>
    </row>
    <row r="28784" spans="6:8">
      <c r="H28784" t="s">
        <v>30449</v>
      </c>
    </row>
    <row r="28785" spans="1:8">
      <c r="A28785" t="s">
        <v>2014</v>
      </c>
      <c r="B28785">
        <f>HYPERLINK("https://android.googlesource.com/platform/cts/+/62df704ccbdd956a6018310d4e389223a436fe4e", "62df704ccbdd956a6018310d4e389223a436fe4e")</f>
        <v>0</v>
      </c>
      <c r="C28785">
        <f>HYPERLINK("https://android.googlesource.com/platform/cts/+/c3c270b6a9f795cd52975e3d6829e6e420300d64", "c3c270b6a9f795cd52975e3d6829e6e420300d64")</f>
        <v>0</v>
      </c>
      <c r="D28785" t="s">
        <v>5314</v>
      </c>
      <c r="E28785" t="s">
        <v>7756</v>
      </c>
      <c r="F28785" t="s">
        <v>13544</v>
      </c>
      <c r="G28785" t="s">
        <v>17655</v>
      </c>
      <c r="H28785" t="s">
        <v>30450</v>
      </c>
    </row>
    <row r="28786" spans="1:8">
      <c r="H28786" t="s">
        <v>30451</v>
      </c>
    </row>
    <row r="28787" spans="1:8">
      <c r="H28787" t="s">
        <v>30452</v>
      </c>
    </row>
    <row r="28788" spans="1:8">
      <c r="F28788" t="s">
        <v>12629</v>
      </c>
      <c r="G28788" t="s">
        <v>16838</v>
      </c>
      <c r="H28788" t="s">
        <v>30453</v>
      </c>
    </row>
    <row r="28789" spans="1:8">
      <c r="A28789" t="s">
        <v>2015</v>
      </c>
      <c r="B28789">
        <f>HYPERLINK("https://android.googlesource.com/platform/cts/+/52cbbbbf5889a8982a6c94487a8b985adf9a71bf", "52cbbbbf5889a8982a6c94487a8b985adf9a71bf")</f>
        <v>0</v>
      </c>
      <c r="C28789">
        <f>HYPERLINK("https://android.googlesource.com/platform/cts/+/ddfba4909a43bf961834d66a478549d7667f8a23", "ddfba4909a43bf961834d66a478549d7667f8a23")</f>
        <v>0</v>
      </c>
      <c r="D28789" t="s">
        <v>4965</v>
      </c>
      <c r="E28789" t="s">
        <v>7757</v>
      </c>
      <c r="F28789" t="s">
        <v>13047</v>
      </c>
      <c r="G28789" t="s">
        <v>17211</v>
      </c>
      <c r="H28789" t="s">
        <v>19981</v>
      </c>
    </row>
    <row r="28790" spans="1:8">
      <c r="A28790" t="s">
        <v>2016</v>
      </c>
      <c r="B28790">
        <f>HYPERLINK("https://android.googlesource.com/platform/cts/+/ca860dfb4a56aae4871151bec87ebf7c8c21b054", "ca860dfb4a56aae4871151bec87ebf7c8c21b054")</f>
        <v>0</v>
      </c>
      <c r="C28790">
        <f>HYPERLINK("https://android.googlesource.com/platform/cts/+/425334c29c09fabcb7ced887234c682994d4c996", "425334c29c09fabcb7ced887234c682994d4c996")</f>
        <v>0</v>
      </c>
      <c r="D28790" t="s">
        <v>5221</v>
      </c>
      <c r="E28790" t="s">
        <v>7758</v>
      </c>
      <c r="F28790" t="s">
        <v>12857</v>
      </c>
      <c r="G28790" t="s">
        <v>17027</v>
      </c>
      <c r="H28790" t="s">
        <v>30454</v>
      </c>
    </row>
    <row r="28791" spans="1:8">
      <c r="F28791" t="s">
        <v>13545</v>
      </c>
      <c r="G28791" t="s">
        <v>17656</v>
      </c>
      <c r="H28791" t="s">
        <v>30455</v>
      </c>
    </row>
    <row r="28792" spans="1:8">
      <c r="H28792" t="s">
        <v>30456</v>
      </c>
    </row>
    <row r="28793" spans="1:8">
      <c r="H28793" t="s">
        <v>30457</v>
      </c>
    </row>
    <row r="28794" spans="1:8">
      <c r="H28794" t="s">
        <v>30458</v>
      </c>
    </row>
    <row r="28795" spans="1:8">
      <c r="H28795" t="s">
        <v>30459</v>
      </c>
    </row>
    <row r="28796" spans="1:8">
      <c r="H28796" t="s">
        <v>30460</v>
      </c>
    </row>
    <row r="28797" spans="1:8">
      <c r="H28797" t="s">
        <v>30461</v>
      </c>
    </row>
    <row r="28798" spans="1:8">
      <c r="A28798" t="s">
        <v>2017</v>
      </c>
      <c r="B28798">
        <f>HYPERLINK("https://android.googlesource.com/platform/cts/+/bba47e7e77e7ffc0fe0870679dca70c29ad1cde0", "bba47e7e77e7ffc0fe0870679dca70c29ad1cde0")</f>
        <v>0</v>
      </c>
      <c r="C28798">
        <f>HYPERLINK("https://android.googlesource.com/platform/cts/+/76b34c577d58d088426280d28fd223d0bf4bb4a8", "76b34c577d58d088426280d28fd223d0bf4bb4a8")</f>
        <v>0</v>
      </c>
      <c r="D28798" t="s">
        <v>5310</v>
      </c>
      <c r="E28798" t="s">
        <v>7759</v>
      </c>
      <c r="F28798" t="s">
        <v>13438</v>
      </c>
      <c r="G28798" t="s">
        <v>17561</v>
      </c>
      <c r="H28798" t="s">
        <v>30462</v>
      </c>
    </row>
    <row r="28799" spans="1:8">
      <c r="H28799" t="s">
        <v>30463</v>
      </c>
    </row>
    <row r="28800" spans="1:8">
      <c r="A28800" t="s">
        <v>2018</v>
      </c>
      <c r="B28800">
        <f>HYPERLINK("https://android.googlesource.com/platform/cts/+/d524e0785c7bbe5c7987f8ae01fdc5d57e13545d", "d524e0785c7bbe5c7987f8ae01fdc5d57e13545d")</f>
        <v>0</v>
      </c>
      <c r="C28800">
        <f>HYPERLINK("https://android.googlesource.com/platform/cts/+/449fa60808e38753d8317943df5aac5a344f5d78", "449fa60808e38753d8317943df5aac5a344f5d78")</f>
        <v>0</v>
      </c>
      <c r="D28800" t="s">
        <v>5271</v>
      </c>
      <c r="E28800" t="s">
        <v>7760</v>
      </c>
      <c r="F28800" t="s">
        <v>13309</v>
      </c>
      <c r="G28800" t="s">
        <v>17442</v>
      </c>
      <c r="H28800" t="s">
        <v>26408</v>
      </c>
    </row>
    <row r="28801" spans="1:8">
      <c r="H28801" t="s">
        <v>30464</v>
      </c>
    </row>
    <row r="28802" spans="1:8">
      <c r="H28802" t="s">
        <v>30465</v>
      </c>
    </row>
    <row r="28803" spans="1:8">
      <c r="H28803" t="s">
        <v>30466</v>
      </c>
    </row>
    <row r="28804" spans="1:8">
      <c r="A28804" t="s">
        <v>2019</v>
      </c>
      <c r="B28804">
        <f>HYPERLINK("https://android.googlesource.com/platform/cts/+/e2fcb9d64ba10f07a69a6b96a7f7e1465856172a", "e2fcb9d64ba10f07a69a6b96a7f7e1465856172a")</f>
        <v>0</v>
      </c>
      <c r="C28804">
        <f>HYPERLINK("https://android.googlesource.com/platform/cts/+/7ee57eb05b56a186d67e7fb98a4a9bfaea722814", "7ee57eb05b56a186d67e7fb98a4a9bfaea722814")</f>
        <v>0</v>
      </c>
      <c r="D28804" t="s">
        <v>5271</v>
      </c>
      <c r="E28804" t="s">
        <v>7761</v>
      </c>
      <c r="F28804" t="s">
        <v>13309</v>
      </c>
      <c r="G28804" t="s">
        <v>17442</v>
      </c>
      <c r="H28804" t="s">
        <v>30467</v>
      </c>
    </row>
    <row r="28805" spans="1:8">
      <c r="H28805" t="s">
        <v>30468</v>
      </c>
    </row>
    <row r="28806" spans="1:8">
      <c r="A28806" t="s">
        <v>2023</v>
      </c>
      <c r="B28806">
        <f>HYPERLINK("https://android.googlesource.com/platform/cts/+/7cfffe08c841abdc01b0e29e90083493495df8a7", "7cfffe08c841abdc01b0e29e90083493495df8a7")</f>
        <v>0</v>
      </c>
      <c r="C28806">
        <f>HYPERLINK("https://android.googlesource.com/platform/cts/+/67e9da2b4df5f86501e9195e7d0f46017ddc5616", "67e9da2b4df5f86501e9195e7d0f46017ddc5616")</f>
        <v>0</v>
      </c>
      <c r="D28806" t="s">
        <v>5046</v>
      </c>
      <c r="E28806" t="s">
        <v>7765</v>
      </c>
      <c r="F28806" t="s">
        <v>10794</v>
      </c>
      <c r="G28806" t="s">
        <v>15189</v>
      </c>
      <c r="H28806" t="s">
        <v>30469</v>
      </c>
    </row>
    <row r="28807" spans="1:8">
      <c r="H28807" t="s">
        <v>30470</v>
      </c>
    </row>
    <row r="28808" spans="1:8">
      <c r="H28808" t="s">
        <v>18893</v>
      </c>
    </row>
    <row r="28809" spans="1:8">
      <c r="H28809" t="s">
        <v>30471</v>
      </c>
    </row>
    <row r="28810" spans="1:8">
      <c r="A28810" t="s">
        <v>2024</v>
      </c>
      <c r="B28810">
        <f>HYPERLINK("https://android.googlesource.com/platform/cts/+/1af82d73ef7161aabdf9848b7bec1c772c810266", "1af82d73ef7161aabdf9848b7bec1c772c810266")</f>
        <v>0</v>
      </c>
      <c r="C28810">
        <f>HYPERLINK("https://android.googlesource.com/platform/cts/+/948154ba5b38367c94c89c610e57aaabadc1228b", "948154ba5b38367c94c89c610e57aaabadc1228b")</f>
        <v>0</v>
      </c>
      <c r="D28810" t="s">
        <v>5108</v>
      </c>
      <c r="E28810" t="s">
        <v>7766</v>
      </c>
      <c r="F28810" t="s">
        <v>13481</v>
      </c>
      <c r="G28810" t="s">
        <v>17599</v>
      </c>
      <c r="H28810" t="s">
        <v>29595</v>
      </c>
    </row>
    <row r="28811" spans="1:8">
      <c r="A28811" t="s">
        <v>2025</v>
      </c>
      <c r="B28811">
        <f>HYPERLINK("https://android.googlesource.com/platform/cts/+/8512af40de2bf02acb6547218656d8806bbf138f", "8512af40de2bf02acb6547218656d8806bbf138f")</f>
        <v>0</v>
      </c>
      <c r="C28811">
        <f>HYPERLINK("https://android.googlesource.com/platform/cts/+/95b6c9b54caa48ce96a00e9eb55f21f3f41afc61", "95b6c9b54caa48ce96a00e9eb55f21f3f41afc61")</f>
        <v>0</v>
      </c>
      <c r="D28811" t="s">
        <v>4981</v>
      </c>
      <c r="E28811" t="s">
        <v>7767</v>
      </c>
      <c r="F28811" t="s">
        <v>12604</v>
      </c>
      <c r="G28811" t="s">
        <v>16816</v>
      </c>
      <c r="H28811" t="s">
        <v>18863</v>
      </c>
    </row>
    <row r="28812" spans="1:8">
      <c r="A28812" t="s">
        <v>2026</v>
      </c>
      <c r="B28812">
        <f>HYPERLINK("https://android.googlesource.com/platform/cts/+/6b91fa2a91df3c9911772890665993f1021e9b84", "6b91fa2a91df3c9911772890665993f1021e9b84")</f>
        <v>0</v>
      </c>
      <c r="C28812">
        <f>HYPERLINK("https://android.googlesource.com/platform/cts/+/2bd128e13188dd4d89d943cf245333a508546e6f", "2bd128e13188dd4d89d943cf245333a508546e6f")</f>
        <v>0</v>
      </c>
      <c r="D28812" t="s">
        <v>5195</v>
      </c>
      <c r="E28812" t="s">
        <v>7768</v>
      </c>
      <c r="F28812" t="s">
        <v>13546</v>
      </c>
      <c r="G28812" t="s">
        <v>17646</v>
      </c>
      <c r="H28812" t="s">
        <v>30293</v>
      </c>
    </row>
    <row r="28813" spans="1:8">
      <c r="F28813" t="s">
        <v>13547</v>
      </c>
      <c r="G28813" t="s">
        <v>17657</v>
      </c>
      <c r="H28813" t="s">
        <v>30472</v>
      </c>
    </row>
    <row r="28814" spans="1:8">
      <c r="A28814" t="s">
        <v>2028</v>
      </c>
      <c r="B28814">
        <f>HYPERLINK("https://android.googlesource.com/platform/cts/+/ad7327c6b72caba39a2d8625f048d907715a911c", "ad7327c6b72caba39a2d8625f048d907715a911c")</f>
        <v>0</v>
      </c>
      <c r="C28814">
        <f>HYPERLINK("https://android.googlesource.com/platform/cts/+/e3b6ea84b938ed570f1088f94ad100558231b7dd", "e3b6ea84b938ed570f1088f94ad100558231b7dd")</f>
        <v>0</v>
      </c>
      <c r="D28814" t="s">
        <v>5141</v>
      </c>
      <c r="E28814" t="s">
        <v>7769</v>
      </c>
      <c r="F28814" t="s">
        <v>13491</v>
      </c>
      <c r="G28814" t="s">
        <v>17610</v>
      </c>
      <c r="H28814" t="s">
        <v>29269</v>
      </c>
    </row>
    <row r="28815" spans="1:8">
      <c r="A28815" t="s">
        <v>2029</v>
      </c>
      <c r="B28815">
        <f>HYPERLINK("https://android.googlesource.com/platform/cts/+/60c2e3fe94a2ffbdbaab02617d28696d812efd89", "60c2e3fe94a2ffbdbaab02617d28696d812efd89")</f>
        <v>0</v>
      </c>
      <c r="C28815">
        <f>HYPERLINK("https://android.googlesource.com/platform/cts/+/9e86d90b0f6dfe75eacf99580b5848821b6ae1a6", "9e86d90b0f6dfe75eacf99580b5848821b6ae1a6")</f>
        <v>0</v>
      </c>
      <c r="D28815" t="s">
        <v>4928</v>
      </c>
      <c r="E28815" t="s">
        <v>7770</v>
      </c>
      <c r="F28815" t="s">
        <v>13398</v>
      </c>
      <c r="G28815" t="s">
        <v>17524</v>
      </c>
      <c r="H28815" t="s">
        <v>30473</v>
      </c>
    </row>
    <row r="28816" spans="1:8">
      <c r="H28816" t="s">
        <v>30474</v>
      </c>
    </row>
    <row r="28817" spans="1:8">
      <c r="A28817" t="s">
        <v>2030</v>
      </c>
      <c r="B28817">
        <f>HYPERLINK("https://android.googlesource.com/platform/cts/+/0e3b362d39e012c4c2a29c2319ee1b8c57ceb322", "0e3b362d39e012c4c2a29c2319ee1b8c57ceb322")</f>
        <v>0</v>
      </c>
      <c r="C28817">
        <f>HYPERLINK("https://android.googlesource.com/platform/cts/+/7532a8453a3013b9386d67b237e5f336c90d5e76", "7532a8453a3013b9386d67b237e5f336c90d5e76")</f>
        <v>0</v>
      </c>
      <c r="D28817" t="s">
        <v>5146</v>
      </c>
      <c r="E28817" t="s">
        <v>7771</v>
      </c>
      <c r="F28817" t="s">
        <v>13548</v>
      </c>
      <c r="G28817" t="s">
        <v>15171</v>
      </c>
      <c r="H28817" t="s">
        <v>30475</v>
      </c>
    </row>
    <row r="28818" spans="1:8">
      <c r="F28818" t="s">
        <v>13549</v>
      </c>
      <c r="G28818" t="s">
        <v>17658</v>
      </c>
      <c r="H28818" t="s">
        <v>30475</v>
      </c>
    </row>
    <row r="28819" spans="1:8">
      <c r="H28819" t="s">
        <v>20295</v>
      </c>
    </row>
    <row r="28820" spans="1:8">
      <c r="A28820" t="s">
        <v>2031</v>
      </c>
      <c r="B28820">
        <f>HYPERLINK("https://android.googlesource.com/platform/cts/+/e50ec1bba38ea5f340da3b88df80f261ebffc2f9", "e50ec1bba38ea5f340da3b88df80f261ebffc2f9")</f>
        <v>0</v>
      </c>
      <c r="C28820">
        <f>HYPERLINK("https://android.googlesource.com/platform/cts/+/e3b6ea84b938ed570f1088f94ad100558231b7dd", "e3b6ea84b938ed570f1088f94ad100558231b7dd")</f>
        <v>0</v>
      </c>
      <c r="D28820" t="s">
        <v>5322</v>
      </c>
      <c r="E28820" t="s">
        <v>7772</v>
      </c>
      <c r="F28820" t="s">
        <v>13550</v>
      </c>
      <c r="G28820" t="s">
        <v>17569</v>
      </c>
      <c r="H28820" t="s">
        <v>29850</v>
      </c>
    </row>
    <row r="28821" spans="1:8">
      <c r="H28821" t="s">
        <v>30476</v>
      </c>
    </row>
    <row r="28822" spans="1:8">
      <c r="F28822" t="s">
        <v>13551</v>
      </c>
      <c r="G28822" t="s">
        <v>17659</v>
      </c>
      <c r="H28822" t="s">
        <v>29850</v>
      </c>
    </row>
    <row r="28823" spans="1:8">
      <c r="A28823" t="s">
        <v>2032</v>
      </c>
      <c r="B28823">
        <f>HYPERLINK("https://android.googlesource.com/platform/cts/+/1f1196586f2035e09377ba5da2b654617846177b", "1f1196586f2035e09377ba5da2b654617846177b")</f>
        <v>0</v>
      </c>
      <c r="C28823">
        <f>HYPERLINK("https://android.googlesource.com/platform/cts/+/4ab736571a2546da9015c2a82e49964f21602e9e", "4ab736571a2546da9015c2a82e49964f21602e9e")</f>
        <v>0</v>
      </c>
      <c r="D28823" t="s">
        <v>5006</v>
      </c>
      <c r="E28823" t="s">
        <v>7773</v>
      </c>
      <c r="F28823" t="s">
        <v>13552</v>
      </c>
      <c r="G28823" t="s">
        <v>17660</v>
      </c>
      <c r="H28823" t="s">
        <v>18829</v>
      </c>
    </row>
    <row r="28824" spans="1:8">
      <c r="H28824" t="s">
        <v>30477</v>
      </c>
    </row>
    <row r="28825" spans="1:8">
      <c r="H28825" t="s">
        <v>30478</v>
      </c>
    </row>
    <row r="28826" spans="1:8">
      <c r="H28826" t="s">
        <v>30479</v>
      </c>
    </row>
    <row r="28827" spans="1:8">
      <c r="H28827" t="s">
        <v>30480</v>
      </c>
    </row>
    <row r="28828" spans="1:8">
      <c r="H28828" t="s">
        <v>30481</v>
      </c>
    </row>
    <row r="28829" spans="1:8">
      <c r="H28829" t="s">
        <v>30482</v>
      </c>
    </row>
    <row r="28830" spans="1:8">
      <c r="H28830" t="s">
        <v>30483</v>
      </c>
    </row>
    <row r="28831" spans="1:8">
      <c r="H28831" t="s">
        <v>30484</v>
      </c>
    </row>
    <row r="28832" spans="1:8">
      <c r="H28832" t="s">
        <v>30485</v>
      </c>
    </row>
    <row r="28833" spans="1:8">
      <c r="H28833" t="s">
        <v>30486</v>
      </c>
    </row>
    <row r="28834" spans="1:8">
      <c r="H28834" t="s">
        <v>30487</v>
      </c>
    </row>
    <row r="28835" spans="1:8">
      <c r="H28835" t="s">
        <v>30488</v>
      </c>
    </row>
    <row r="28836" spans="1:8">
      <c r="H28836" t="s">
        <v>30489</v>
      </c>
    </row>
    <row r="28837" spans="1:8">
      <c r="H28837" t="s">
        <v>30490</v>
      </c>
    </row>
    <row r="28838" spans="1:8">
      <c r="F28838" t="s">
        <v>13553</v>
      </c>
      <c r="G28838" t="s">
        <v>17661</v>
      </c>
      <c r="H28838" t="s">
        <v>18829</v>
      </c>
    </row>
    <row r="28839" spans="1:8">
      <c r="H28839" t="s">
        <v>30491</v>
      </c>
    </row>
    <row r="28840" spans="1:8">
      <c r="H28840" t="s">
        <v>30492</v>
      </c>
    </row>
    <row r="28841" spans="1:8">
      <c r="A28841" t="s">
        <v>2033</v>
      </c>
      <c r="B28841">
        <f>HYPERLINK("https://android.googlesource.com/platform/cts/+/d80769ed3a1f45a6397f82a50108f10d1033809b", "d80769ed3a1f45a6397f82a50108f10d1033809b")</f>
        <v>0</v>
      </c>
      <c r="C28841">
        <f>HYPERLINK("https://android.googlesource.com/platform/cts/+/5f9fe30f2c5ab8a45110d285599425d139906710", "5f9fe30f2c5ab8a45110d285599425d139906710")</f>
        <v>0</v>
      </c>
      <c r="D28841" t="s">
        <v>5318</v>
      </c>
      <c r="E28841" t="s">
        <v>7774</v>
      </c>
      <c r="F28841" t="s">
        <v>13554</v>
      </c>
      <c r="G28841" t="s">
        <v>17662</v>
      </c>
      <c r="H28841" t="s">
        <v>29973</v>
      </c>
    </row>
    <row r="28842" spans="1:8">
      <c r="H28842" t="s">
        <v>29976</v>
      </c>
    </row>
    <row r="28843" spans="1:8">
      <c r="H28843" t="s">
        <v>30397</v>
      </c>
    </row>
    <row r="28844" spans="1:8">
      <c r="A28844" t="s">
        <v>2034</v>
      </c>
      <c r="B28844">
        <f>HYPERLINK("https://android.googlesource.com/platform/cts/+/bf163c0b388d529f2e3741de1cc59ae90716b104", "bf163c0b388d529f2e3741de1cc59ae90716b104")</f>
        <v>0</v>
      </c>
      <c r="C28844">
        <f>HYPERLINK("https://android.googlesource.com/platform/cts/+/2039b8f96c0b2ba4ad86db6012fbe7c9c611cad7", "2039b8f96c0b2ba4ad86db6012fbe7c9c611cad7")</f>
        <v>0</v>
      </c>
      <c r="D28844" t="s">
        <v>5272</v>
      </c>
      <c r="E28844" t="s">
        <v>7775</v>
      </c>
      <c r="F28844" t="s">
        <v>13555</v>
      </c>
      <c r="G28844" t="s">
        <v>17362</v>
      </c>
      <c r="H28844" t="s">
        <v>28630</v>
      </c>
    </row>
    <row r="28845" spans="1:8">
      <c r="A28845" t="s">
        <v>2035</v>
      </c>
      <c r="B28845">
        <f>HYPERLINK("https://android.googlesource.com/platform/cts/+/6db92e98f16fc1b3465baf344cfef5ca34edc8cc", "6db92e98f16fc1b3465baf344cfef5ca34edc8cc")</f>
        <v>0</v>
      </c>
      <c r="C28845">
        <f>HYPERLINK("https://android.googlesource.com/platform/cts/+/581c1fa1aee0c8d5b00d195edd91a30cbb551b81", "581c1fa1aee0c8d5b00d195edd91a30cbb551b81")</f>
        <v>0</v>
      </c>
      <c r="D28845" t="s">
        <v>5323</v>
      </c>
      <c r="E28845" t="s">
        <v>7776</v>
      </c>
      <c r="F28845" t="s">
        <v>12733</v>
      </c>
      <c r="G28845" t="s">
        <v>16854</v>
      </c>
      <c r="H28845" t="s">
        <v>30493</v>
      </c>
    </row>
    <row r="28846" spans="1:8">
      <c r="H28846" t="s">
        <v>30494</v>
      </c>
    </row>
    <row r="28847" spans="1:8">
      <c r="A28847" t="s">
        <v>2036</v>
      </c>
      <c r="B28847">
        <f>HYPERLINK("https://android.googlesource.com/platform/cts/+/7ac93cd7f402475654367c47119f34b08de40b02", "7ac93cd7f402475654367c47119f34b08de40b02")</f>
        <v>0</v>
      </c>
      <c r="C28847">
        <f>HYPERLINK("https://android.googlesource.com/platform/cts/+/f25e7b6acdbd6c749656d8bf8d38f2e6ce0f4819", "f25e7b6acdbd6c749656d8bf8d38f2e6ce0f4819")</f>
        <v>0</v>
      </c>
      <c r="D28847" t="s">
        <v>5065</v>
      </c>
      <c r="E28847" t="s">
        <v>7777</v>
      </c>
      <c r="F28847" t="s">
        <v>13556</v>
      </c>
      <c r="G28847" t="s">
        <v>17663</v>
      </c>
      <c r="H28847" t="s">
        <v>30495</v>
      </c>
    </row>
    <row r="28848" spans="1:8">
      <c r="H28848" t="s">
        <v>30496</v>
      </c>
    </row>
    <row r="28849" spans="1:8">
      <c r="A28849" t="s">
        <v>2037</v>
      </c>
      <c r="B28849">
        <f>HYPERLINK("https://android.googlesource.com/platform/cts/+/d8de21b0f4f2cbe5790aa2395741308b0e257db6", "d8de21b0f4f2cbe5790aa2395741308b0e257db6")</f>
        <v>0</v>
      </c>
      <c r="C28849">
        <f>HYPERLINK("https://android.googlesource.com/platform/cts/+/ac893b69c1f75fa4b6fa0f38967c5cfae85e2bd0", "ac893b69c1f75fa4b6fa0f38967c5cfae85e2bd0")</f>
        <v>0</v>
      </c>
      <c r="D28849" t="s">
        <v>5279</v>
      </c>
      <c r="E28849" t="s">
        <v>7778</v>
      </c>
      <c r="F28849" t="s">
        <v>13557</v>
      </c>
      <c r="G28849" t="s">
        <v>17664</v>
      </c>
      <c r="H28849" t="s">
        <v>30497</v>
      </c>
    </row>
    <row r="28850" spans="1:8">
      <c r="H28850" t="s">
        <v>30498</v>
      </c>
    </row>
    <row r="28851" spans="1:8">
      <c r="H28851" t="s">
        <v>30499</v>
      </c>
    </row>
    <row r="28852" spans="1:8">
      <c r="A28852" t="s">
        <v>2038</v>
      </c>
      <c r="B28852">
        <f>HYPERLINK("https://android.googlesource.com/platform/cts/+/49670bee39135ec65e0aa03b3b3498ceb6f01b1c", "49670bee39135ec65e0aa03b3b3498ceb6f01b1c")</f>
        <v>0</v>
      </c>
      <c r="C28852">
        <f>HYPERLINK("https://android.googlesource.com/platform/cts/+/39f121e26a3f75ccbd09ff51d9127e4995d1084a", "39f121e26a3f75ccbd09ff51d9127e4995d1084a")</f>
        <v>0</v>
      </c>
      <c r="D28852" t="s">
        <v>5324</v>
      </c>
      <c r="E28852" t="s">
        <v>7779</v>
      </c>
      <c r="F28852" t="s">
        <v>13558</v>
      </c>
      <c r="G28852" t="s">
        <v>17665</v>
      </c>
      <c r="H28852" t="s">
        <v>30500</v>
      </c>
    </row>
    <row r="28853" spans="1:8">
      <c r="H28853" t="s">
        <v>30501</v>
      </c>
    </row>
    <row r="28854" spans="1:8">
      <c r="H28854" t="s">
        <v>19128</v>
      </c>
    </row>
    <row r="28855" spans="1:8">
      <c r="A28855" t="s">
        <v>2039</v>
      </c>
      <c r="B28855">
        <f>HYPERLINK("https://android.googlesource.com/platform/cts/+/2cec34cc5361d55c273b5e842326415c7e412289", "2cec34cc5361d55c273b5e842326415c7e412289")</f>
        <v>0</v>
      </c>
      <c r="C28855">
        <f>HYPERLINK("https://android.googlesource.com/platform/cts/+/f01ab7b268e5632f1d9ba5f36e686c200e91c124", "f01ab7b268e5632f1d9ba5f36e686c200e91c124")</f>
        <v>0</v>
      </c>
      <c r="D28855" t="s">
        <v>5065</v>
      </c>
      <c r="E28855" t="s">
        <v>7780</v>
      </c>
      <c r="F28855" t="s">
        <v>12626</v>
      </c>
      <c r="G28855" t="s">
        <v>16836</v>
      </c>
      <c r="H28855" t="s">
        <v>30502</v>
      </c>
    </row>
    <row r="28856" spans="1:8">
      <c r="A28856" t="s">
        <v>2040</v>
      </c>
      <c r="B28856">
        <f>HYPERLINK("https://android.googlesource.com/platform/cts/+/3bfaf269d420842600a27eceed7d16285712db41", "3bfaf269d420842600a27eceed7d16285712db41")</f>
        <v>0</v>
      </c>
      <c r="C28856">
        <f>HYPERLINK("https://android.googlesource.com/platform/cts/+/83f63f94bade47d219dbc6de5e3dda87a79cd248", "83f63f94bade47d219dbc6de5e3dda87a79cd248")</f>
        <v>0</v>
      </c>
      <c r="D28856" t="s">
        <v>4976</v>
      </c>
      <c r="E28856" t="s">
        <v>7781</v>
      </c>
      <c r="F28856" t="s">
        <v>12569</v>
      </c>
      <c r="G28856" t="s">
        <v>16785</v>
      </c>
      <c r="H28856" t="s">
        <v>30503</v>
      </c>
    </row>
    <row r="28857" spans="1:8">
      <c r="A28857" t="s">
        <v>2041</v>
      </c>
      <c r="B28857">
        <f>HYPERLINK("https://android.googlesource.com/platform/cts/+/874fd3ac47b1fc574939a703d2c65fd85139d7fb", "874fd3ac47b1fc574939a703d2c65fd85139d7fb")</f>
        <v>0</v>
      </c>
      <c r="C28857">
        <f>HYPERLINK("https://android.googlesource.com/platform/cts/+/83f63f94bade47d219dbc6de5e3dda87a79cd248", "83f63f94bade47d219dbc6de5e3dda87a79cd248")</f>
        <v>0</v>
      </c>
      <c r="D28857" t="s">
        <v>4981</v>
      </c>
      <c r="E28857" t="s">
        <v>7782</v>
      </c>
      <c r="F28857" t="s">
        <v>12604</v>
      </c>
      <c r="G28857" t="s">
        <v>16816</v>
      </c>
      <c r="H28857" t="s">
        <v>30504</v>
      </c>
    </row>
    <row r="28858" spans="1:8">
      <c r="A28858" t="s">
        <v>2042</v>
      </c>
      <c r="B28858">
        <f>HYPERLINK("https://android.googlesource.com/platform/cts/+/3ff2296ee9e7840105a6360d6123a55e90f8c3cd", "3ff2296ee9e7840105a6360d6123a55e90f8c3cd")</f>
        <v>0</v>
      </c>
      <c r="C28858">
        <f>HYPERLINK("https://android.googlesource.com/platform/cts/+/07443dc4836424bbe56b69e3dc4cd624b7d6c017", "07443dc4836424bbe56b69e3dc4cd624b7d6c017")</f>
        <v>0</v>
      </c>
      <c r="D28858" t="s">
        <v>5191</v>
      </c>
      <c r="E28858" t="s">
        <v>7783</v>
      </c>
      <c r="F28858" t="s">
        <v>12715</v>
      </c>
      <c r="G28858" t="s">
        <v>15144</v>
      </c>
      <c r="H28858" t="s">
        <v>30505</v>
      </c>
    </row>
    <row r="28859" spans="1:8">
      <c r="H28859" t="s">
        <v>30506</v>
      </c>
    </row>
    <row r="28860" spans="1:8">
      <c r="H28860" t="s">
        <v>26065</v>
      </c>
    </row>
    <row r="28861" spans="1:8">
      <c r="H28861" t="s">
        <v>19812</v>
      </c>
    </row>
    <row r="28862" spans="1:8">
      <c r="F28862" t="s">
        <v>13559</v>
      </c>
      <c r="G28862" t="s">
        <v>17305</v>
      </c>
      <c r="H28862" t="s">
        <v>30506</v>
      </c>
    </row>
    <row r="28863" spans="1:8">
      <c r="H28863" t="s">
        <v>30506</v>
      </c>
    </row>
    <row r="28864" spans="1:8">
      <c r="A28864" t="s">
        <v>2043</v>
      </c>
      <c r="B28864">
        <f>HYPERLINK("https://android.googlesource.com/platform/cts/+/601ef229f895fdf7d8d482e194b9f9ff8df27c82", "601ef229f895fdf7d8d482e194b9f9ff8df27c82")</f>
        <v>0</v>
      </c>
      <c r="C28864">
        <f>HYPERLINK("https://android.googlesource.com/platform/cts/+/a31b7c55e1bb228420ead613b1bfe37d7fe0c119", "a31b7c55e1bb228420ead613b1bfe37d7fe0c119")</f>
        <v>0</v>
      </c>
      <c r="D28864" t="s">
        <v>5127</v>
      </c>
      <c r="E28864" t="s">
        <v>7784</v>
      </c>
      <c r="F28864" t="s">
        <v>13560</v>
      </c>
      <c r="G28864" t="s">
        <v>17666</v>
      </c>
      <c r="H28864" t="s">
        <v>19981</v>
      </c>
    </row>
    <row r="28865" spans="6:8">
      <c r="H28865" t="s">
        <v>30507</v>
      </c>
    </row>
    <row r="28866" spans="6:8">
      <c r="H28866" t="s">
        <v>30508</v>
      </c>
    </row>
    <row r="28867" spans="6:8">
      <c r="H28867" t="s">
        <v>30509</v>
      </c>
    </row>
    <row r="28868" spans="6:8">
      <c r="H28868" t="s">
        <v>30510</v>
      </c>
    </row>
    <row r="28869" spans="6:8">
      <c r="H28869" t="s">
        <v>28475</v>
      </c>
    </row>
    <row r="28870" spans="6:8">
      <c r="H28870" t="s">
        <v>30511</v>
      </c>
    </row>
    <row r="28871" spans="6:8">
      <c r="F28871" t="s">
        <v>13536</v>
      </c>
      <c r="G28871" t="s">
        <v>17648</v>
      </c>
      <c r="H28871" t="s">
        <v>18829</v>
      </c>
    </row>
    <row r="28872" spans="6:8">
      <c r="H28872" t="s">
        <v>18863</v>
      </c>
    </row>
    <row r="28873" spans="6:8">
      <c r="H28873" t="s">
        <v>30512</v>
      </c>
    </row>
    <row r="28874" spans="6:8">
      <c r="H28874" t="s">
        <v>30513</v>
      </c>
    </row>
    <row r="28875" spans="6:8">
      <c r="H28875" t="s">
        <v>30514</v>
      </c>
    </row>
    <row r="28876" spans="6:8">
      <c r="H28876" t="s">
        <v>30514</v>
      </c>
    </row>
    <row r="28877" spans="6:8">
      <c r="H28877" t="s">
        <v>28887</v>
      </c>
    </row>
    <row r="28878" spans="6:8">
      <c r="H28878" t="s">
        <v>29205</v>
      </c>
    </row>
    <row r="28879" spans="6:8">
      <c r="H28879" t="s">
        <v>30515</v>
      </c>
    </row>
    <row r="28880" spans="6:8">
      <c r="H28880" t="s">
        <v>30516</v>
      </c>
    </row>
    <row r="28881" spans="1:8">
      <c r="H28881" t="s">
        <v>26556</v>
      </c>
    </row>
    <row r="28882" spans="1:8">
      <c r="H28882" t="s">
        <v>30517</v>
      </c>
    </row>
    <row r="28883" spans="1:8">
      <c r="F28883" t="s">
        <v>13561</v>
      </c>
      <c r="G28883" t="s">
        <v>17667</v>
      </c>
      <c r="H28883" t="s">
        <v>18829</v>
      </c>
    </row>
    <row r="28884" spans="1:8">
      <c r="H28884" t="s">
        <v>30518</v>
      </c>
    </row>
    <row r="28885" spans="1:8">
      <c r="F28885" t="s">
        <v>12629</v>
      </c>
      <c r="G28885" t="s">
        <v>16838</v>
      </c>
      <c r="H28885" t="s">
        <v>30518</v>
      </c>
    </row>
    <row r="28886" spans="1:8">
      <c r="A28886" t="s">
        <v>2044</v>
      </c>
      <c r="B28886">
        <f>HYPERLINK("https://android.googlesource.com/platform/cts/+/9bd20a47e041c8ed70e956efc1323d8ffc61e5af", "9bd20a47e041c8ed70e956efc1323d8ffc61e5af")</f>
        <v>0</v>
      </c>
      <c r="C28886">
        <f>HYPERLINK("https://android.googlesource.com/platform/cts/+/188d7c3d0f2d5bbfb908ead89a94f4e5f5aae284", "188d7c3d0f2d5bbfb908ead89a94f4e5f5aae284")</f>
        <v>0</v>
      </c>
      <c r="D28886" t="s">
        <v>4981</v>
      </c>
      <c r="E28886" t="s">
        <v>7785</v>
      </c>
      <c r="F28886" t="s">
        <v>13537</v>
      </c>
      <c r="G28886" t="s">
        <v>17649</v>
      </c>
      <c r="H28886" t="s">
        <v>29955</v>
      </c>
    </row>
    <row r="28887" spans="1:8">
      <c r="A28887" t="s">
        <v>2045</v>
      </c>
      <c r="B28887">
        <f>HYPERLINK("https://android.googlesource.com/platform/cts/+/03d333eecc43e5d38b00a90f890c3e3e29bf07de", "03d333eecc43e5d38b00a90f890c3e3e29bf07de")</f>
        <v>0</v>
      </c>
      <c r="C28887">
        <f>HYPERLINK("https://android.googlesource.com/platform/cts/+/758ece15a17e40cadd087b21454159e60de9120c", "758ece15a17e40cadd087b21454159e60de9120c")</f>
        <v>0</v>
      </c>
      <c r="D28887" t="s">
        <v>5325</v>
      </c>
      <c r="E28887" t="s">
        <v>7786</v>
      </c>
      <c r="F28887" t="s">
        <v>12710</v>
      </c>
      <c r="G28887" t="s">
        <v>16911</v>
      </c>
      <c r="H28887" t="s">
        <v>30519</v>
      </c>
    </row>
    <row r="28888" spans="1:8">
      <c r="A28888" t="s">
        <v>2046</v>
      </c>
      <c r="B28888">
        <f>HYPERLINK("https://android.googlesource.com/platform/cts/+/bb780622d28bf567da45f32f2df4230730180508", "bb780622d28bf567da45f32f2df4230730180508")</f>
        <v>0</v>
      </c>
      <c r="C28888">
        <f>HYPERLINK("https://android.googlesource.com/platform/cts/+/892a77796ccf07bd0ff814f6075a1adb0aac4775", "892a77796ccf07bd0ff814f6075a1adb0aac4775")</f>
        <v>0</v>
      </c>
      <c r="D28888" t="s">
        <v>5300</v>
      </c>
      <c r="E28888" t="s">
        <v>7787</v>
      </c>
      <c r="F28888" t="s">
        <v>10689</v>
      </c>
      <c r="G28888" t="s">
        <v>15089</v>
      </c>
      <c r="H28888" t="s">
        <v>30520</v>
      </c>
    </row>
    <row r="28889" spans="1:8">
      <c r="A28889" t="s">
        <v>2047</v>
      </c>
      <c r="B28889">
        <f>HYPERLINK("https://android.googlesource.com/platform/cts/+/310bb55ebb22d7245e8548107603489e50efa14e", "310bb55ebb22d7245e8548107603489e50efa14e")</f>
        <v>0</v>
      </c>
      <c r="C28889">
        <f>HYPERLINK("https://android.googlesource.com/platform/cts/+/03d333eecc43e5d38b00a90f890c3e3e29bf07de", "03d333eecc43e5d38b00a90f890c3e3e29bf07de")</f>
        <v>0</v>
      </c>
      <c r="D28889" t="s">
        <v>5325</v>
      </c>
      <c r="E28889" t="s">
        <v>7788</v>
      </c>
      <c r="F28889" t="s">
        <v>12710</v>
      </c>
      <c r="G28889" t="s">
        <v>16911</v>
      </c>
      <c r="H28889" t="s">
        <v>30521</v>
      </c>
    </row>
    <row r="28890" spans="1:8">
      <c r="A28890" t="s">
        <v>2048</v>
      </c>
      <c r="B28890">
        <f>HYPERLINK("https://android.googlesource.com/platform/cts/+/523f9d7e37868185b20fb27d4870c30a7db4aa2a", "523f9d7e37868185b20fb27d4870c30a7db4aa2a")</f>
        <v>0</v>
      </c>
      <c r="C28890">
        <f>HYPERLINK("https://android.googlesource.com/platform/cts/+/74448cfd004773cdc49594c4fd09f6c22904156e", "74448cfd004773cdc49594c4fd09f6c22904156e")</f>
        <v>0</v>
      </c>
      <c r="D28890" t="s">
        <v>5268</v>
      </c>
      <c r="E28890" t="s">
        <v>7789</v>
      </c>
      <c r="F28890" t="s">
        <v>12710</v>
      </c>
      <c r="G28890" t="s">
        <v>16911</v>
      </c>
      <c r="H28890" t="s">
        <v>30519</v>
      </c>
    </row>
    <row r="28891" spans="1:8">
      <c r="A28891" t="s">
        <v>2049</v>
      </c>
      <c r="B28891">
        <f>HYPERLINK("https://android.googlesource.com/platform/cts/+/da3e5236d3c2aed4e7c3cb63c8d196faaaf1128a", "da3e5236d3c2aed4e7c3cb63c8d196faaaf1128a")</f>
        <v>0</v>
      </c>
      <c r="C28891">
        <f>HYPERLINK("https://android.googlesource.com/platform/cts/+/8d701cd656c3ff353306507eae35f6ba44249617", "8d701cd656c3ff353306507eae35f6ba44249617")</f>
        <v>0</v>
      </c>
      <c r="D28891" t="s">
        <v>5268</v>
      </c>
      <c r="E28891" t="s">
        <v>7790</v>
      </c>
      <c r="F28891" t="s">
        <v>12710</v>
      </c>
      <c r="G28891" t="s">
        <v>16911</v>
      </c>
      <c r="H28891" t="s">
        <v>30519</v>
      </c>
    </row>
    <row r="28892" spans="1:8">
      <c r="A28892" t="s">
        <v>2050</v>
      </c>
      <c r="B28892">
        <f>HYPERLINK("https://android.googlesource.com/platform/cts/+/8f862dff5cc25f6b18ce324710ace98f96a14032", "8f862dff5cc25f6b18ce324710ace98f96a14032")</f>
        <v>0</v>
      </c>
      <c r="C28892">
        <f>HYPERLINK("https://android.googlesource.com/platform/cts/+/e94469ae95ee0edddfbd27c766be8f15a52bfd77", "e94469ae95ee0edddfbd27c766be8f15a52bfd77")</f>
        <v>0</v>
      </c>
      <c r="D28892" t="s">
        <v>5128</v>
      </c>
      <c r="E28892" t="s">
        <v>7791</v>
      </c>
      <c r="F28892" t="s">
        <v>12904</v>
      </c>
      <c r="G28892" t="s">
        <v>17070</v>
      </c>
      <c r="H28892" t="s">
        <v>30522</v>
      </c>
    </row>
    <row r="28893" spans="1:8">
      <c r="A28893" t="s">
        <v>2051</v>
      </c>
      <c r="B28893">
        <f>HYPERLINK("https://android.googlesource.com/platform/cts/+/696e60e4922ea5a7b612d170303f4311b560900f", "696e60e4922ea5a7b612d170303f4311b560900f")</f>
        <v>0</v>
      </c>
      <c r="C28893">
        <f>HYPERLINK("https://android.googlesource.com/platform/cts/+/621f1d895b134099c0c95b86ba802c86332ecaca", "621f1d895b134099c0c95b86ba802c86332ecaca")</f>
        <v>0</v>
      </c>
      <c r="D28893" t="s">
        <v>5040</v>
      </c>
      <c r="E28893" t="s">
        <v>7792</v>
      </c>
      <c r="F28893" t="s">
        <v>12344</v>
      </c>
      <c r="G28893" t="s">
        <v>16572</v>
      </c>
      <c r="H28893" t="s">
        <v>30523</v>
      </c>
    </row>
    <row r="28894" spans="1:8">
      <c r="A28894" t="s">
        <v>2056</v>
      </c>
      <c r="B28894">
        <f>HYPERLINK("https://android.googlesource.com/platform/cts/+/e70f26e7069ff25a88057b9ddc4520e16c273e50", "e70f26e7069ff25a88057b9ddc4520e16c273e50")</f>
        <v>0</v>
      </c>
      <c r="C28894">
        <f>HYPERLINK("https://android.googlesource.com/platform/cts/+/8272dc085491c473bc0b6073193c9bc20a08a2ee", "8272dc085491c473bc0b6073193c9bc20a08a2ee")</f>
        <v>0</v>
      </c>
      <c r="D28894" t="s">
        <v>5177</v>
      </c>
      <c r="E28894" t="s">
        <v>7794</v>
      </c>
      <c r="F28894" t="s">
        <v>13319</v>
      </c>
      <c r="G28894" t="s">
        <v>17450</v>
      </c>
      <c r="H28894" t="s">
        <v>29165</v>
      </c>
    </row>
    <row r="28895" spans="1:8">
      <c r="H28895" t="s">
        <v>29166</v>
      </c>
    </row>
    <row r="28896" spans="1:8">
      <c r="H28896" t="s">
        <v>29167</v>
      </c>
    </row>
    <row r="28897" spans="1:8">
      <c r="H28897" t="s">
        <v>29168</v>
      </c>
    </row>
    <row r="28898" spans="1:8">
      <c r="H28898" t="s">
        <v>29169</v>
      </c>
    </row>
    <row r="28899" spans="1:8">
      <c r="A28899" t="s">
        <v>2057</v>
      </c>
      <c r="B28899">
        <f>HYPERLINK("https://android.googlesource.com/platform/cts/+/fa3e2f4288ecc0a865ecb84f5e76132b5207cd6b", "fa3e2f4288ecc0a865ecb84f5e76132b5207cd6b")</f>
        <v>0</v>
      </c>
      <c r="C28899">
        <f>HYPERLINK("https://android.googlesource.com/platform/cts/+/79fbdf440d32149b074504c9aa086e304f8b2cd6", "79fbdf440d32149b074504c9aa086e304f8b2cd6")</f>
        <v>0</v>
      </c>
      <c r="D28899" t="s">
        <v>5326</v>
      </c>
      <c r="E28899" t="s">
        <v>7795</v>
      </c>
      <c r="F28899" t="s">
        <v>13562</v>
      </c>
      <c r="G28899" t="s">
        <v>17668</v>
      </c>
      <c r="H28899" t="s">
        <v>30524</v>
      </c>
    </row>
    <row r="28900" spans="1:8">
      <c r="H28900" t="s">
        <v>30525</v>
      </c>
    </row>
    <row r="28901" spans="1:8">
      <c r="H28901" t="s">
        <v>30526</v>
      </c>
    </row>
    <row r="28902" spans="1:8">
      <c r="H28902" t="s">
        <v>30527</v>
      </c>
    </row>
    <row r="28903" spans="1:8">
      <c r="H28903" t="s">
        <v>30528</v>
      </c>
    </row>
    <row r="28904" spans="1:8">
      <c r="H28904" t="s">
        <v>30529</v>
      </c>
    </row>
    <row r="28905" spans="1:8">
      <c r="F28905" t="s">
        <v>13563</v>
      </c>
      <c r="G28905" t="s">
        <v>17669</v>
      </c>
      <c r="H28905" t="s">
        <v>30530</v>
      </c>
    </row>
    <row r="28906" spans="1:8">
      <c r="H28906" t="s">
        <v>30531</v>
      </c>
    </row>
    <row r="28907" spans="1:8">
      <c r="H28907" t="s">
        <v>30532</v>
      </c>
    </row>
    <row r="28908" spans="1:8">
      <c r="H28908" t="s">
        <v>30533</v>
      </c>
    </row>
    <row r="28909" spans="1:8">
      <c r="H28909" t="s">
        <v>30534</v>
      </c>
    </row>
    <row r="28910" spans="1:8">
      <c r="H28910" t="s">
        <v>30535</v>
      </c>
    </row>
    <row r="28911" spans="1:8">
      <c r="F28911" t="s">
        <v>13564</v>
      </c>
      <c r="G28911" t="s">
        <v>17670</v>
      </c>
      <c r="H28911" t="s">
        <v>30536</v>
      </c>
    </row>
    <row r="28912" spans="1:8">
      <c r="H28912" t="s">
        <v>30537</v>
      </c>
    </row>
    <row r="28913" spans="1:8">
      <c r="H28913" t="s">
        <v>30538</v>
      </c>
    </row>
    <row r="28914" spans="1:8">
      <c r="H28914" t="s">
        <v>30539</v>
      </c>
    </row>
    <row r="28915" spans="1:8">
      <c r="H28915" t="s">
        <v>30540</v>
      </c>
    </row>
    <row r="28916" spans="1:8">
      <c r="H28916" t="s">
        <v>30541</v>
      </c>
    </row>
    <row r="28917" spans="1:8">
      <c r="F28917" t="s">
        <v>13565</v>
      </c>
      <c r="G28917" t="s">
        <v>17671</v>
      </c>
      <c r="H28917" t="s">
        <v>30542</v>
      </c>
    </row>
    <row r="28918" spans="1:8">
      <c r="H28918" t="s">
        <v>30543</v>
      </c>
    </row>
    <row r="28919" spans="1:8">
      <c r="F28919" t="s">
        <v>13566</v>
      </c>
      <c r="G28919" t="s">
        <v>16863</v>
      </c>
      <c r="H28919" t="s">
        <v>30544</v>
      </c>
    </row>
    <row r="28920" spans="1:8">
      <c r="H28920" t="s">
        <v>30545</v>
      </c>
    </row>
    <row r="28921" spans="1:8">
      <c r="H28921" t="s">
        <v>30546</v>
      </c>
    </row>
    <row r="28922" spans="1:8">
      <c r="H28922" t="s">
        <v>30547</v>
      </c>
    </row>
    <row r="28923" spans="1:8">
      <c r="H28923" t="s">
        <v>30548</v>
      </c>
    </row>
    <row r="28924" spans="1:8">
      <c r="H28924" t="s">
        <v>21360</v>
      </c>
    </row>
    <row r="28925" spans="1:8">
      <c r="A28925" t="s">
        <v>2058</v>
      </c>
      <c r="B28925">
        <f>HYPERLINK("https://android.googlesource.com/platform/cts/+/c6fdbfb44670545ce1083d02adcdfb85ac8aa9f2", "c6fdbfb44670545ce1083d02adcdfb85ac8aa9f2")</f>
        <v>0</v>
      </c>
      <c r="C28925">
        <f>HYPERLINK("https://android.googlesource.com/platform/cts/+/d9d2de0755c97a700e2e5613903fb681ec606f3b", "d9d2de0755c97a700e2e5613903fb681ec606f3b")</f>
        <v>0</v>
      </c>
      <c r="D28925" t="s">
        <v>5134</v>
      </c>
      <c r="E28925" t="s">
        <v>7796</v>
      </c>
      <c r="F28925" t="s">
        <v>13255</v>
      </c>
      <c r="G28925" t="s">
        <v>17393</v>
      </c>
      <c r="H28925" t="s">
        <v>30549</v>
      </c>
    </row>
    <row r="28926" spans="1:8">
      <c r="A28926" t="s">
        <v>2059</v>
      </c>
      <c r="B28926">
        <f>HYPERLINK("https://android.googlesource.com/platform/cts/+/6480e20315b40a4c3081b2b08247429462b99ffd", "6480e20315b40a4c3081b2b08247429462b99ffd")</f>
        <v>0</v>
      </c>
      <c r="C28926">
        <f>HYPERLINK("https://android.googlesource.com/platform/cts/+/d78f76f20eea814b1c5ffae38c796c38e8d6eb54", "d78f76f20eea814b1c5ffae38c796c38e8d6eb54")</f>
        <v>0</v>
      </c>
      <c r="D28926" t="s">
        <v>5311</v>
      </c>
      <c r="E28926" t="s">
        <v>7797</v>
      </c>
      <c r="F28926" t="s">
        <v>13518</v>
      </c>
      <c r="G28926" t="s">
        <v>17540</v>
      </c>
      <c r="H28926" t="s">
        <v>30550</v>
      </c>
    </row>
    <row r="28927" spans="1:8">
      <c r="A28927" t="s">
        <v>2060</v>
      </c>
      <c r="B28927">
        <f>HYPERLINK("https://android.googlesource.com/platform/cts/+/03fa52ac0b5a346e14aee1b705a686fc157b5218", "03fa52ac0b5a346e14aee1b705a686fc157b5218")</f>
        <v>0</v>
      </c>
      <c r="C28927">
        <f>HYPERLINK("https://android.googlesource.com/platform/cts/+/d036a9b9ee2919c7977fab4d4d8aaa8d15067501", "d036a9b9ee2919c7977fab4d4d8aaa8d15067501")</f>
        <v>0</v>
      </c>
      <c r="D28927" t="s">
        <v>5260</v>
      </c>
      <c r="E28927" t="s">
        <v>7798</v>
      </c>
      <c r="F28927" t="s">
        <v>10687</v>
      </c>
      <c r="G28927" t="s">
        <v>15087</v>
      </c>
      <c r="H28927" t="s">
        <v>30551</v>
      </c>
    </row>
    <row r="28928" spans="1:8">
      <c r="A28928" t="s">
        <v>2061</v>
      </c>
      <c r="B28928">
        <f>HYPERLINK("https://android.googlesource.com/platform/cts/+/a065c04eef3682374b0442674ee8225e8bc9abde", "a065c04eef3682374b0442674ee8225e8bc9abde")</f>
        <v>0</v>
      </c>
      <c r="C28928">
        <f>HYPERLINK("https://android.googlesource.com/platform/cts/+/a2bd05c1af762adc0536324e6defba8f3bc12934", "a2bd05c1af762adc0536324e6defba8f3bc12934")</f>
        <v>0</v>
      </c>
      <c r="D28928" t="s">
        <v>5134</v>
      </c>
      <c r="E28928" t="s">
        <v>7799</v>
      </c>
      <c r="F28928" t="s">
        <v>13341</v>
      </c>
      <c r="G28928" t="s">
        <v>17470</v>
      </c>
      <c r="H28928" t="s">
        <v>30552</v>
      </c>
    </row>
    <row r="28929" spans="1:8">
      <c r="H28929" t="s">
        <v>30553</v>
      </c>
    </row>
    <row r="28930" spans="1:8">
      <c r="A28930" t="s">
        <v>2062</v>
      </c>
      <c r="B28930">
        <f>HYPERLINK("https://android.googlesource.com/platform/cts/+/9f6f08803a48ada09bb79fa89a56dd46b0a1d196", "9f6f08803a48ada09bb79fa89a56dd46b0a1d196")</f>
        <v>0</v>
      </c>
      <c r="C28930">
        <f>HYPERLINK("https://android.googlesource.com/platform/cts/+/d036a9b9ee2919c7977fab4d4d8aaa8d15067501", "d036a9b9ee2919c7977fab4d4d8aaa8d15067501")</f>
        <v>0</v>
      </c>
      <c r="D28930" t="s">
        <v>5260</v>
      </c>
      <c r="E28930" t="s">
        <v>7800</v>
      </c>
      <c r="F28930" t="s">
        <v>10666</v>
      </c>
      <c r="G28930" t="s">
        <v>15067</v>
      </c>
      <c r="H28930" t="s">
        <v>30554</v>
      </c>
    </row>
    <row r="28931" spans="1:8">
      <c r="A28931" t="s">
        <v>2063</v>
      </c>
      <c r="B28931">
        <f>HYPERLINK("https://android.googlesource.com/platform/cts/+/1d551a383eee23de704aa721e56c0251e1e50f75", "1d551a383eee23de704aa721e56c0251e1e50f75")</f>
        <v>0</v>
      </c>
      <c r="C28931">
        <f>HYPERLINK("https://android.googlesource.com/platform/cts/+/9c2005a0e798a72d27f696cd9ef52fc628dde752", "9c2005a0e798a72d27f696cd9ef52fc628dde752")</f>
        <v>0</v>
      </c>
      <c r="D28931" t="s">
        <v>5287</v>
      </c>
      <c r="E28931" t="s">
        <v>7801</v>
      </c>
      <c r="F28931" t="s">
        <v>12808</v>
      </c>
      <c r="G28931" t="s">
        <v>16989</v>
      </c>
      <c r="H28931" t="s">
        <v>30361</v>
      </c>
    </row>
    <row r="28932" spans="1:8">
      <c r="H28932" t="s">
        <v>30362</v>
      </c>
    </row>
    <row r="28933" spans="1:8">
      <c r="H28933" t="s">
        <v>30363</v>
      </c>
    </row>
    <row r="28934" spans="1:8">
      <c r="H28934" t="s">
        <v>30364</v>
      </c>
    </row>
    <row r="28935" spans="1:8">
      <c r="H28935" t="s">
        <v>30365</v>
      </c>
    </row>
    <row r="28936" spans="1:8">
      <c r="H28936" t="s">
        <v>30366</v>
      </c>
    </row>
    <row r="28937" spans="1:8">
      <c r="H28937" t="s">
        <v>30367</v>
      </c>
    </row>
    <row r="28938" spans="1:8">
      <c r="A28938" t="s">
        <v>2064</v>
      </c>
      <c r="B28938">
        <f>HYPERLINK("https://android.googlesource.com/platform/cts/+/bf0f81dc4de2b145c8e6e25c51acd708204ab494", "bf0f81dc4de2b145c8e6e25c51acd708204ab494")</f>
        <v>0</v>
      </c>
      <c r="C28938">
        <f>HYPERLINK("https://android.googlesource.com/platform/cts/+/4b6e94dada8c18d784360ceb0f6ff1ef5e35f801", "4b6e94dada8c18d784360ceb0f6ff1ef5e35f801")</f>
        <v>0</v>
      </c>
      <c r="D28938" t="s">
        <v>5134</v>
      </c>
      <c r="E28938" t="s">
        <v>7802</v>
      </c>
      <c r="F28938" t="s">
        <v>13567</v>
      </c>
      <c r="G28938" t="s">
        <v>17672</v>
      </c>
      <c r="H28938" t="s">
        <v>30555</v>
      </c>
    </row>
    <row r="28939" spans="1:8">
      <c r="A28939" t="s">
        <v>2065</v>
      </c>
      <c r="B28939">
        <f>HYPERLINK("https://android.googlesource.com/platform/cts/+/3bda23003206500de60bc67e247d2bf4d85c73b1", "3bda23003206500de60bc67e247d2bf4d85c73b1")</f>
        <v>0</v>
      </c>
      <c r="C28939">
        <f>HYPERLINK("https://android.googlesource.com/platform/cts/+/0db3fbf059c97df7f872948e5eba0f564eb425d0", "0db3fbf059c97df7f872948e5eba0f564eb425d0")</f>
        <v>0</v>
      </c>
      <c r="D28939" t="s">
        <v>5117</v>
      </c>
      <c r="E28939" t="s">
        <v>7803</v>
      </c>
      <c r="F28939" t="s">
        <v>10697</v>
      </c>
      <c r="G28939" t="s">
        <v>15097</v>
      </c>
      <c r="H28939" t="s">
        <v>18829</v>
      </c>
    </row>
    <row r="28940" spans="1:8">
      <c r="H28940" t="s">
        <v>30556</v>
      </c>
    </row>
    <row r="28941" spans="1:8">
      <c r="F28941" t="s">
        <v>13568</v>
      </c>
      <c r="G28941" t="s">
        <v>17673</v>
      </c>
      <c r="H28941" t="s">
        <v>18829</v>
      </c>
    </row>
    <row r="28942" spans="1:8">
      <c r="H28942" t="s">
        <v>30557</v>
      </c>
    </row>
    <row r="28943" spans="1:8">
      <c r="F28943" t="s">
        <v>13569</v>
      </c>
      <c r="G28943" t="s">
        <v>17674</v>
      </c>
      <c r="H28943" t="s">
        <v>18829</v>
      </c>
    </row>
    <row r="28944" spans="1:8">
      <c r="H28944" t="s">
        <v>30557</v>
      </c>
    </row>
    <row r="28945" spans="1:8">
      <c r="H28945" t="s">
        <v>30558</v>
      </c>
    </row>
    <row r="28946" spans="1:8">
      <c r="F28946" t="s">
        <v>13570</v>
      </c>
      <c r="G28946" t="s">
        <v>17675</v>
      </c>
      <c r="H28946" t="s">
        <v>30559</v>
      </c>
    </row>
    <row r="28947" spans="1:8">
      <c r="H28947" t="s">
        <v>30560</v>
      </c>
    </row>
    <row r="28948" spans="1:8">
      <c r="A28948" t="s">
        <v>2066</v>
      </c>
      <c r="B28948">
        <f>HYPERLINK("https://android.googlesource.com/platform/cts/+/24f453a13d35fec32fded688a902003321c88961", "24f453a13d35fec32fded688a902003321c88961")</f>
        <v>0</v>
      </c>
      <c r="C28948">
        <f>HYPERLINK("https://android.googlesource.com/platform/cts/+/d1860181cb5cbe60ae590c8a549ef25386d5b9c8", "d1860181cb5cbe60ae590c8a549ef25386d5b9c8")</f>
        <v>0</v>
      </c>
      <c r="D28948" t="s">
        <v>5279</v>
      </c>
      <c r="E28948" t="s">
        <v>7804</v>
      </c>
      <c r="F28948" t="s">
        <v>13571</v>
      </c>
      <c r="G28948" t="s">
        <v>17676</v>
      </c>
      <c r="H28948" t="s">
        <v>18829</v>
      </c>
    </row>
    <row r="28949" spans="1:8">
      <c r="H28949" t="s">
        <v>18863</v>
      </c>
    </row>
    <row r="28950" spans="1:8">
      <c r="H28950" t="s">
        <v>30561</v>
      </c>
    </row>
    <row r="28951" spans="1:8">
      <c r="H28951" t="s">
        <v>30562</v>
      </c>
    </row>
    <row r="28952" spans="1:8">
      <c r="A28952" t="s">
        <v>2067</v>
      </c>
      <c r="B28952">
        <f>HYPERLINK("https://android.googlesource.com/platform/cts/+/4ff4d32eb076dbb3cad80aada0000d4dc84ac40b", "4ff4d32eb076dbb3cad80aada0000d4dc84ac40b")</f>
        <v>0</v>
      </c>
      <c r="C28952">
        <f>HYPERLINK("https://android.googlesource.com/platform/cts/+/be215eac7d741a20ae06ea0e5bb4f36a32ae42a5", "be215eac7d741a20ae06ea0e5bb4f36a32ae42a5")</f>
        <v>0</v>
      </c>
      <c r="D28952" t="s">
        <v>5219</v>
      </c>
      <c r="E28952" t="s">
        <v>7805</v>
      </c>
      <c r="F28952" t="s">
        <v>13568</v>
      </c>
      <c r="G28952" t="s">
        <v>17673</v>
      </c>
      <c r="H28952" t="s">
        <v>18829</v>
      </c>
    </row>
    <row r="28953" spans="1:8">
      <c r="H28953" t="s">
        <v>30557</v>
      </c>
    </row>
    <row r="28954" spans="1:8">
      <c r="A28954" t="s">
        <v>2068</v>
      </c>
      <c r="B28954">
        <f>HYPERLINK("https://android.googlesource.com/platform/cts/+/c4dc6918abd1e3558d0df10e94a9fd5f99d9e0a4", "c4dc6918abd1e3558d0df10e94a9fd5f99d9e0a4")</f>
        <v>0</v>
      </c>
      <c r="C28954">
        <f>HYPERLINK("https://android.googlesource.com/platform/cts/+/6f5696320483e7e849c4121ee94738f84e22368b", "6f5696320483e7e849c4121ee94738f84e22368b")</f>
        <v>0</v>
      </c>
      <c r="D28954" t="s">
        <v>5287</v>
      </c>
      <c r="E28954" t="s">
        <v>7806</v>
      </c>
      <c r="F28954" t="s">
        <v>10608</v>
      </c>
      <c r="G28954" t="s">
        <v>15011</v>
      </c>
      <c r="H28954" t="s">
        <v>30563</v>
      </c>
    </row>
    <row r="28955" spans="1:8">
      <c r="A28955" t="s">
        <v>2069</v>
      </c>
      <c r="B28955">
        <f>HYPERLINK("https://android.googlesource.com/platform/cts/+/95845d3e200ce0ed3d2c207f6cc1602ac1ac64b9", "95845d3e200ce0ed3d2c207f6cc1602ac1ac64b9")</f>
        <v>0</v>
      </c>
      <c r="C28955">
        <f>HYPERLINK("https://android.googlesource.com/platform/cts/+/e7422c62909f50125dc1c5a79ece3896af109ac5", "e7422c62909f50125dc1c5a79ece3896af109ac5")</f>
        <v>0</v>
      </c>
      <c r="D28955" t="s">
        <v>5030</v>
      </c>
      <c r="E28955" t="s">
        <v>7807</v>
      </c>
      <c r="F28955" t="s">
        <v>13317</v>
      </c>
      <c r="G28955" t="s">
        <v>17448</v>
      </c>
      <c r="H28955" t="s">
        <v>30564</v>
      </c>
    </row>
    <row r="28956" spans="1:8">
      <c r="H28956" t="s">
        <v>30565</v>
      </c>
    </row>
    <row r="28957" spans="1:8">
      <c r="H28957" t="s">
        <v>22650</v>
      </c>
    </row>
    <row r="28958" spans="1:8">
      <c r="A28958" t="s">
        <v>2070</v>
      </c>
      <c r="B28958">
        <f>HYPERLINK("https://android.googlesource.com/platform/cts/+/4a53881b2650669471b8acc610cdf515f5bfc7bb", "4a53881b2650669471b8acc610cdf515f5bfc7bb")</f>
        <v>0</v>
      </c>
      <c r="C28958">
        <f>HYPERLINK("https://android.googlesource.com/platform/cts/+/2efafca4896c3fc616610e0858d847eaf7823372", "2efafca4896c3fc616610e0858d847eaf7823372")</f>
        <v>0</v>
      </c>
      <c r="D28958" t="s">
        <v>4997</v>
      </c>
      <c r="E28958" t="s">
        <v>7808</v>
      </c>
      <c r="F28958" t="s">
        <v>13572</v>
      </c>
      <c r="G28958" t="s">
        <v>17605</v>
      </c>
      <c r="H28958" t="s">
        <v>30566</v>
      </c>
    </row>
    <row r="28959" spans="1:8">
      <c r="H28959" t="s">
        <v>30567</v>
      </c>
    </row>
    <row r="28960" spans="1:8">
      <c r="A28960" t="s">
        <v>2071</v>
      </c>
      <c r="B28960">
        <f>HYPERLINK("https://android.googlesource.com/platform/cts/+/d8fc67cbc5ef8c922a737bd1d27fc9a2ccb0a975", "d8fc67cbc5ef8c922a737bd1d27fc9a2ccb0a975")</f>
        <v>0</v>
      </c>
      <c r="C28960">
        <f>HYPERLINK("https://android.googlesource.com/platform/cts/+/1574189f36cf8149bdbc65986352dd310f417bd1", "1574189f36cf8149bdbc65986352dd310f417bd1")</f>
        <v>0</v>
      </c>
      <c r="D28960" t="s">
        <v>5311</v>
      </c>
      <c r="E28960" t="s">
        <v>7809</v>
      </c>
      <c r="F28960" t="s">
        <v>10593</v>
      </c>
      <c r="G28960" t="s">
        <v>14996</v>
      </c>
      <c r="H28960" t="s">
        <v>30568</v>
      </c>
    </row>
    <row r="28961" spans="1:8">
      <c r="H28961" t="s">
        <v>30569</v>
      </c>
    </row>
    <row r="28962" spans="1:8">
      <c r="A28962" t="s">
        <v>2072</v>
      </c>
      <c r="B28962">
        <f>HYPERLINK("https://android.googlesource.com/platform/cts/+/e7bc426286525af48dcb58b8c7bb0aba6d734525", "e7bc426286525af48dcb58b8c7bb0aba6d734525")</f>
        <v>0</v>
      </c>
      <c r="C28962">
        <f>HYPERLINK("https://android.googlesource.com/platform/cts/+/037b5d7d07bcbf3111418cf7d6e4ece9b9d35b22", "037b5d7d07bcbf3111418cf7d6e4ece9b9d35b22")</f>
        <v>0</v>
      </c>
      <c r="D28962" t="s">
        <v>5108</v>
      </c>
      <c r="E28962" t="s">
        <v>7810</v>
      </c>
      <c r="F28962" t="s">
        <v>12640</v>
      </c>
      <c r="G28962" t="s">
        <v>16848</v>
      </c>
      <c r="H28962" t="s">
        <v>30570</v>
      </c>
    </row>
    <row r="28963" spans="1:8">
      <c r="H28963" t="s">
        <v>28475</v>
      </c>
    </row>
    <row r="28964" spans="1:8">
      <c r="F28964" t="s">
        <v>12629</v>
      </c>
      <c r="G28964" t="s">
        <v>16838</v>
      </c>
      <c r="H28964" t="s">
        <v>30571</v>
      </c>
    </row>
    <row r="28965" spans="1:8">
      <c r="A28965" t="s">
        <v>2073</v>
      </c>
      <c r="B28965">
        <f>HYPERLINK("https://android.googlesource.com/platform/cts/+/a72063cfbae501fa4d7b2dfb23c1b588d8eb74ce", "a72063cfbae501fa4d7b2dfb23c1b588d8eb74ce")</f>
        <v>0</v>
      </c>
      <c r="C28965">
        <f>HYPERLINK("https://android.googlesource.com/platform/cts/+/0ac0251c90072d03bd1524ea8657a2936538f3c2", "0ac0251c90072d03bd1524ea8657a2936538f3c2")</f>
        <v>0</v>
      </c>
      <c r="D28965" t="s">
        <v>4947</v>
      </c>
      <c r="E28965" t="s">
        <v>7811</v>
      </c>
      <c r="F28965" t="s">
        <v>10770</v>
      </c>
      <c r="G28965" t="s">
        <v>15166</v>
      </c>
      <c r="H28965" t="s">
        <v>18829</v>
      </c>
    </row>
    <row r="28966" spans="1:8">
      <c r="H28966" t="s">
        <v>18863</v>
      </c>
    </row>
    <row r="28967" spans="1:8">
      <c r="H28967" t="s">
        <v>30572</v>
      </c>
    </row>
    <row r="28968" spans="1:8">
      <c r="H28968" t="s">
        <v>30573</v>
      </c>
    </row>
    <row r="28969" spans="1:8">
      <c r="H28969" t="s">
        <v>30574</v>
      </c>
    </row>
    <row r="28970" spans="1:8">
      <c r="H28970" t="s">
        <v>30575</v>
      </c>
    </row>
    <row r="28971" spans="1:8">
      <c r="H28971" t="s">
        <v>30576</v>
      </c>
    </row>
    <row r="28972" spans="1:8">
      <c r="H28972" t="s">
        <v>30577</v>
      </c>
    </row>
    <row r="28973" spans="1:8">
      <c r="H28973" t="s">
        <v>30578</v>
      </c>
    </row>
    <row r="28974" spans="1:8">
      <c r="H28974" t="s">
        <v>30579</v>
      </c>
    </row>
    <row r="28975" spans="1:8">
      <c r="H28975" t="s">
        <v>30580</v>
      </c>
    </row>
    <row r="28976" spans="1:8">
      <c r="H28976" t="s">
        <v>30581</v>
      </c>
    </row>
    <row r="28977" spans="1:8">
      <c r="A28977" t="s">
        <v>2074</v>
      </c>
      <c r="B28977">
        <f>HYPERLINK("https://android.googlesource.com/platform/cts/+/a868dbd49308abfc6635f79f3a5477dec628f122", "a868dbd49308abfc6635f79f3a5477dec628f122")</f>
        <v>0</v>
      </c>
      <c r="C28977">
        <f>HYPERLINK("https://android.googlesource.com/platform/cts/+/8fad518600a59180580c76d184766d2301d13df9", "8fad518600a59180580c76d184766d2301d13df9")</f>
        <v>0</v>
      </c>
      <c r="D28977" t="s">
        <v>5134</v>
      </c>
      <c r="E28977" t="s">
        <v>7812</v>
      </c>
      <c r="F28977" t="s">
        <v>13371</v>
      </c>
      <c r="G28977" t="s">
        <v>17498</v>
      </c>
      <c r="H28977" t="s">
        <v>30582</v>
      </c>
    </row>
    <row r="28978" spans="1:8">
      <c r="A28978" t="s">
        <v>2075</v>
      </c>
      <c r="B28978">
        <f>HYPERLINK("https://android.googlesource.com/platform/cts/+/c6d52c6080eb7a63828223facd6b21f1d448d865", "c6d52c6080eb7a63828223facd6b21f1d448d865")</f>
        <v>0</v>
      </c>
      <c r="C28978">
        <f>HYPERLINK("https://android.googlesource.com/platform/cts/+/62bdfaaf89d00c25822ec3c018e3b965673205ab", "62bdfaaf89d00c25822ec3c018e3b965673205ab")</f>
        <v>0</v>
      </c>
      <c r="D28978" t="s">
        <v>5129</v>
      </c>
      <c r="E28978" t="s">
        <v>7813</v>
      </c>
      <c r="F28978" t="s">
        <v>13573</v>
      </c>
      <c r="G28978" t="s">
        <v>17677</v>
      </c>
      <c r="H28978" t="s">
        <v>30583</v>
      </c>
    </row>
    <row r="28979" spans="1:8">
      <c r="H28979" t="s">
        <v>30584</v>
      </c>
    </row>
    <row r="28980" spans="1:8">
      <c r="A28980" t="s">
        <v>2076</v>
      </c>
      <c r="B28980">
        <f>HYPERLINK("https://android.googlesource.com/platform/cts/+/c4df8389462834c233c26c5986d344bf52866bba", "c4df8389462834c233c26c5986d344bf52866bba")</f>
        <v>0</v>
      </c>
      <c r="C28980">
        <f>HYPERLINK("https://android.googlesource.com/platform/cts/+/16ac29eba9be7f7e360991f1d86cc8a86639efd1", "16ac29eba9be7f7e360991f1d86cc8a86639efd1")</f>
        <v>0</v>
      </c>
      <c r="D28980" t="s">
        <v>5117</v>
      </c>
      <c r="E28980" t="s">
        <v>7814</v>
      </c>
      <c r="F28980" t="s">
        <v>13574</v>
      </c>
      <c r="G28980" t="s">
        <v>17678</v>
      </c>
      <c r="H28980" t="s">
        <v>30585</v>
      </c>
    </row>
    <row r="28981" spans="1:8">
      <c r="F28981" t="s">
        <v>13575</v>
      </c>
      <c r="G28981" t="s">
        <v>17679</v>
      </c>
      <c r="H28981" t="s">
        <v>30586</v>
      </c>
    </row>
    <row r="28982" spans="1:8">
      <c r="A28982" t="s">
        <v>2077</v>
      </c>
      <c r="B28982">
        <f>HYPERLINK("https://android.googlesource.com/platform/cts/+/9ddf644c32b6aaa61b2564bfd830d7c5ebddd119", "9ddf644c32b6aaa61b2564bfd830d7c5ebddd119")</f>
        <v>0</v>
      </c>
      <c r="C28982">
        <f>HYPERLINK("https://android.googlesource.com/platform/cts/+/16ac29eba9be7f7e360991f1d86cc8a86639efd1", "16ac29eba9be7f7e360991f1d86cc8a86639efd1")</f>
        <v>0</v>
      </c>
      <c r="D28982" t="s">
        <v>5117</v>
      </c>
      <c r="E28982" t="s">
        <v>7815</v>
      </c>
      <c r="F28982" t="s">
        <v>13576</v>
      </c>
      <c r="G28982" t="s">
        <v>16477</v>
      </c>
      <c r="H28982" t="s">
        <v>30587</v>
      </c>
    </row>
    <row r="28983" spans="1:8">
      <c r="H28983" t="s">
        <v>30588</v>
      </c>
    </row>
    <row r="28984" spans="1:8">
      <c r="H28984" t="s">
        <v>30589</v>
      </c>
    </row>
    <row r="28985" spans="1:8">
      <c r="H28985" t="s">
        <v>30590</v>
      </c>
    </row>
    <row r="28986" spans="1:8">
      <c r="A28986" t="s">
        <v>2078</v>
      </c>
      <c r="B28986">
        <f>HYPERLINK("https://android.googlesource.com/platform/cts/+/bda4fa92a84de697a2595a281223243c40f7eee2", "bda4fa92a84de697a2595a281223243c40f7eee2")</f>
        <v>0</v>
      </c>
      <c r="C28986">
        <f>HYPERLINK("https://android.googlesource.com/platform/cts/+/00645d98f82d577b5cd9702247ffc99d644c1401", "00645d98f82d577b5cd9702247ffc99d644c1401")</f>
        <v>0</v>
      </c>
      <c r="D28986" t="s">
        <v>5327</v>
      </c>
      <c r="E28986" t="s">
        <v>7816</v>
      </c>
      <c r="F28986" t="s">
        <v>12404</v>
      </c>
      <c r="G28986" t="s">
        <v>16626</v>
      </c>
      <c r="H28986" t="s">
        <v>30591</v>
      </c>
    </row>
    <row r="28987" spans="1:8">
      <c r="A28987" t="s">
        <v>2079</v>
      </c>
      <c r="B28987">
        <f>HYPERLINK("https://android.googlesource.com/platform/cts/+/429173b97e2445fa6bd7b9d8682666d79c8ba21b", "429173b97e2445fa6bd7b9d8682666d79c8ba21b")</f>
        <v>0</v>
      </c>
      <c r="C28987">
        <f>HYPERLINK("https://android.googlesource.com/platform/cts/+/16ac29eba9be7f7e360991f1d86cc8a86639efd1", "16ac29eba9be7f7e360991f1d86cc8a86639efd1")</f>
        <v>0</v>
      </c>
      <c r="D28987" t="s">
        <v>5117</v>
      </c>
      <c r="E28987" t="s">
        <v>7817</v>
      </c>
      <c r="F28987" t="s">
        <v>12345</v>
      </c>
      <c r="G28987" t="s">
        <v>16573</v>
      </c>
      <c r="H28987" t="s">
        <v>18829</v>
      </c>
    </row>
    <row r="28988" spans="1:8">
      <c r="F28988" t="s">
        <v>13210</v>
      </c>
      <c r="G28988" t="s">
        <v>17351</v>
      </c>
      <c r="H28988" t="s">
        <v>18829</v>
      </c>
    </row>
    <row r="28989" spans="1:8">
      <c r="H28989" t="s">
        <v>18863</v>
      </c>
    </row>
    <row r="28990" spans="1:8">
      <c r="F28990" t="s">
        <v>13577</v>
      </c>
      <c r="G28990" t="s">
        <v>17680</v>
      </c>
      <c r="H28990" t="s">
        <v>18829</v>
      </c>
    </row>
    <row r="28991" spans="1:8">
      <c r="H28991" t="s">
        <v>18863</v>
      </c>
    </row>
    <row r="28992" spans="1:8">
      <c r="A28992" t="s">
        <v>2080</v>
      </c>
      <c r="B28992">
        <f>HYPERLINK("https://android.googlesource.com/platform/cts/+/a51b8b5095cf7d63f8bcd527f6f9c75888dfa2d5", "a51b8b5095cf7d63f8bcd527f6f9c75888dfa2d5")</f>
        <v>0</v>
      </c>
      <c r="C28992">
        <f>HYPERLINK("https://android.googlesource.com/platform/cts/+/15b0e26d5558a889c5b58012dfb4771076ee6e67", "15b0e26d5558a889c5b58012dfb4771076ee6e67")</f>
        <v>0</v>
      </c>
      <c r="D28992" t="s">
        <v>5328</v>
      </c>
      <c r="E28992" t="s">
        <v>7818</v>
      </c>
      <c r="F28992" t="s">
        <v>13578</v>
      </c>
      <c r="G28992" t="s">
        <v>17681</v>
      </c>
      <c r="H28992" t="s">
        <v>25988</v>
      </c>
    </row>
    <row r="28993" spans="6:8">
      <c r="F28993" t="s">
        <v>13579</v>
      </c>
      <c r="G28993" t="s">
        <v>17682</v>
      </c>
      <c r="H28993" t="s">
        <v>30592</v>
      </c>
    </row>
    <row r="28994" spans="6:8">
      <c r="H28994" t="s">
        <v>30593</v>
      </c>
    </row>
    <row r="28995" spans="6:8">
      <c r="H28995" t="s">
        <v>30594</v>
      </c>
    </row>
    <row r="28996" spans="6:8">
      <c r="H28996" t="s">
        <v>30595</v>
      </c>
    </row>
    <row r="28997" spans="6:8">
      <c r="F28997" t="s">
        <v>13580</v>
      </c>
      <c r="G28997" t="s">
        <v>16843</v>
      </c>
      <c r="H28997" t="s">
        <v>30596</v>
      </c>
    </row>
    <row r="28998" spans="6:8">
      <c r="H28998" t="s">
        <v>30596</v>
      </c>
    </row>
    <row r="28999" spans="6:8">
      <c r="H28999" t="s">
        <v>19232</v>
      </c>
    </row>
    <row r="29000" spans="6:8">
      <c r="H29000" t="s">
        <v>19233</v>
      </c>
    </row>
    <row r="29001" spans="6:8">
      <c r="H29001" t="s">
        <v>20244</v>
      </c>
    </row>
    <row r="29002" spans="6:8">
      <c r="H29002" t="s">
        <v>18927</v>
      </c>
    </row>
    <row r="29003" spans="6:8">
      <c r="H29003" t="s">
        <v>30597</v>
      </c>
    </row>
    <row r="29004" spans="6:8">
      <c r="H29004" t="s">
        <v>28145</v>
      </c>
    </row>
    <row r="29005" spans="6:8">
      <c r="H29005" t="s">
        <v>30598</v>
      </c>
    </row>
    <row r="29006" spans="6:8">
      <c r="H29006" t="s">
        <v>30599</v>
      </c>
    </row>
    <row r="29007" spans="6:8">
      <c r="H29007" t="s">
        <v>30600</v>
      </c>
    </row>
    <row r="29008" spans="6:8">
      <c r="H29008" t="s">
        <v>30601</v>
      </c>
    </row>
    <row r="29009" spans="8:8">
      <c r="H29009" t="s">
        <v>30602</v>
      </c>
    </row>
    <row r="29010" spans="8:8">
      <c r="H29010" t="s">
        <v>30603</v>
      </c>
    </row>
    <row r="29011" spans="8:8">
      <c r="H29011" t="s">
        <v>30604</v>
      </c>
    </row>
    <row r="29012" spans="8:8">
      <c r="H29012" t="s">
        <v>30605</v>
      </c>
    </row>
    <row r="29013" spans="8:8">
      <c r="H29013" t="s">
        <v>30606</v>
      </c>
    </row>
    <row r="29014" spans="8:8">
      <c r="H29014" t="s">
        <v>26657</v>
      </c>
    </row>
    <row r="29015" spans="8:8">
      <c r="H29015" t="s">
        <v>26657</v>
      </c>
    </row>
    <row r="29016" spans="8:8">
      <c r="H29016" t="s">
        <v>30607</v>
      </c>
    </row>
    <row r="29017" spans="8:8">
      <c r="H29017" t="s">
        <v>30608</v>
      </c>
    </row>
    <row r="29018" spans="8:8">
      <c r="H29018" t="s">
        <v>30609</v>
      </c>
    </row>
    <row r="29019" spans="8:8">
      <c r="H29019" t="s">
        <v>30610</v>
      </c>
    </row>
    <row r="29020" spans="8:8">
      <c r="H29020" t="s">
        <v>30611</v>
      </c>
    </row>
    <row r="29021" spans="8:8">
      <c r="H29021" t="s">
        <v>30612</v>
      </c>
    </row>
    <row r="29022" spans="8:8">
      <c r="H29022" t="s">
        <v>30613</v>
      </c>
    </row>
    <row r="29023" spans="8:8">
      <c r="H29023" t="s">
        <v>30614</v>
      </c>
    </row>
    <row r="29024" spans="8:8">
      <c r="H29024" t="s">
        <v>30615</v>
      </c>
    </row>
    <row r="29025" spans="6:8">
      <c r="H29025" t="s">
        <v>30616</v>
      </c>
    </row>
    <row r="29026" spans="6:8">
      <c r="H29026" t="s">
        <v>22715</v>
      </c>
    </row>
    <row r="29027" spans="6:8">
      <c r="H29027" t="s">
        <v>30617</v>
      </c>
    </row>
    <row r="29028" spans="6:8">
      <c r="H29028" t="s">
        <v>30618</v>
      </c>
    </row>
    <row r="29029" spans="6:8">
      <c r="H29029" t="s">
        <v>30619</v>
      </c>
    </row>
    <row r="29030" spans="6:8">
      <c r="H29030" t="s">
        <v>30620</v>
      </c>
    </row>
    <row r="29031" spans="6:8">
      <c r="H29031" t="s">
        <v>30621</v>
      </c>
    </row>
    <row r="29032" spans="6:8">
      <c r="H29032" t="s">
        <v>30622</v>
      </c>
    </row>
    <row r="29033" spans="6:8">
      <c r="H29033" t="s">
        <v>30623</v>
      </c>
    </row>
    <row r="29034" spans="6:8">
      <c r="H29034" t="s">
        <v>30624</v>
      </c>
    </row>
    <row r="29035" spans="6:8">
      <c r="H29035" t="s">
        <v>30625</v>
      </c>
    </row>
    <row r="29036" spans="6:8">
      <c r="H29036" t="s">
        <v>28154</v>
      </c>
    </row>
    <row r="29037" spans="6:8">
      <c r="H29037" t="s">
        <v>30626</v>
      </c>
    </row>
    <row r="29038" spans="6:8">
      <c r="H29038" t="s">
        <v>30627</v>
      </c>
    </row>
    <row r="29039" spans="6:8">
      <c r="F29039" t="s">
        <v>13581</v>
      </c>
      <c r="G29039" t="s">
        <v>15144</v>
      </c>
      <c r="H29039" t="s">
        <v>18927</v>
      </c>
    </row>
    <row r="29040" spans="6:8">
      <c r="H29040" t="s">
        <v>30628</v>
      </c>
    </row>
    <row r="29041" spans="6:8">
      <c r="H29041" t="s">
        <v>26088</v>
      </c>
    </row>
    <row r="29042" spans="6:8">
      <c r="H29042" t="s">
        <v>26093</v>
      </c>
    </row>
    <row r="29043" spans="6:8">
      <c r="H29043" t="s">
        <v>26093</v>
      </c>
    </row>
    <row r="29044" spans="6:8">
      <c r="H29044" t="s">
        <v>28098</v>
      </c>
    </row>
    <row r="29045" spans="6:8">
      <c r="H29045" t="s">
        <v>30629</v>
      </c>
    </row>
    <row r="29046" spans="6:8">
      <c r="F29046" t="s">
        <v>13582</v>
      </c>
      <c r="G29046" t="s">
        <v>17683</v>
      </c>
      <c r="H29046" t="s">
        <v>30608</v>
      </c>
    </row>
    <row r="29047" spans="6:8">
      <c r="H29047" t="s">
        <v>20244</v>
      </c>
    </row>
    <row r="29048" spans="6:8">
      <c r="H29048" t="s">
        <v>19233</v>
      </c>
    </row>
    <row r="29049" spans="6:8">
      <c r="H29049" t="s">
        <v>19232</v>
      </c>
    </row>
    <row r="29050" spans="6:8">
      <c r="H29050" t="s">
        <v>30612</v>
      </c>
    </row>
    <row r="29051" spans="6:8">
      <c r="H29051" t="s">
        <v>30630</v>
      </c>
    </row>
    <row r="29052" spans="6:8">
      <c r="H29052" t="s">
        <v>18927</v>
      </c>
    </row>
    <row r="29053" spans="6:8">
      <c r="H29053" t="s">
        <v>26657</v>
      </c>
    </row>
    <row r="29054" spans="6:8">
      <c r="H29054" t="s">
        <v>20019</v>
      </c>
    </row>
    <row r="29055" spans="6:8">
      <c r="H29055" t="s">
        <v>30631</v>
      </c>
    </row>
    <row r="29056" spans="6:8">
      <c r="H29056" t="s">
        <v>18956</v>
      </c>
    </row>
    <row r="29057" spans="6:8">
      <c r="H29057" t="s">
        <v>30632</v>
      </c>
    </row>
    <row r="29058" spans="6:8">
      <c r="F29058" t="s">
        <v>13583</v>
      </c>
      <c r="G29058" t="s">
        <v>16894</v>
      </c>
      <c r="H29058" t="s">
        <v>18829</v>
      </c>
    </row>
    <row r="29059" spans="6:8">
      <c r="H29059" t="s">
        <v>18863</v>
      </c>
    </row>
    <row r="29060" spans="6:8">
      <c r="H29060" t="s">
        <v>25955</v>
      </c>
    </row>
    <row r="29061" spans="6:8">
      <c r="H29061" t="s">
        <v>30633</v>
      </c>
    </row>
    <row r="29062" spans="6:8">
      <c r="H29062" t="s">
        <v>25959</v>
      </c>
    </row>
    <row r="29063" spans="6:8">
      <c r="H29063" t="s">
        <v>25956</v>
      </c>
    </row>
    <row r="29064" spans="6:8">
      <c r="H29064" t="s">
        <v>25957</v>
      </c>
    </row>
    <row r="29065" spans="6:8">
      <c r="H29065" t="s">
        <v>30634</v>
      </c>
    </row>
    <row r="29066" spans="6:8">
      <c r="H29066" t="s">
        <v>30635</v>
      </c>
    </row>
    <row r="29067" spans="6:8">
      <c r="H29067" t="s">
        <v>30636</v>
      </c>
    </row>
    <row r="29068" spans="6:8">
      <c r="H29068" t="s">
        <v>25960</v>
      </c>
    </row>
    <row r="29069" spans="6:8">
      <c r="F29069" t="s">
        <v>13584</v>
      </c>
      <c r="G29069" t="s">
        <v>16826</v>
      </c>
      <c r="H29069" t="s">
        <v>18829</v>
      </c>
    </row>
    <row r="29070" spans="6:8">
      <c r="H29070" t="s">
        <v>18863</v>
      </c>
    </row>
    <row r="29071" spans="6:8">
      <c r="H29071" t="s">
        <v>30637</v>
      </c>
    </row>
    <row r="29072" spans="6:8">
      <c r="H29072" t="s">
        <v>30638</v>
      </c>
    </row>
    <row r="29073" spans="6:8">
      <c r="H29073" t="s">
        <v>30639</v>
      </c>
    </row>
    <row r="29074" spans="6:8">
      <c r="F29074" t="s">
        <v>13585</v>
      </c>
      <c r="G29074" t="s">
        <v>17323</v>
      </c>
      <c r="H29074" t="s">
        <v>18829</v>
      </c>
    </row>
    <row r="29075" spans="6:8">
      <c r="H29075" t="s">
        <v>18863</v>
      </c>
    </row>
    <row r="29076" spans="6:8">
      <c r="H29076" t="s">
        <v>30640</v>
      </c>
    </row>
    <row r="29077" spans="6:8">
      <c r="F29077" t="s">
        <v>13586</v>
      </c>
      <c r="G29077" t="s">
        <v>17684</v>
      </c>
      <c r="H29077" t="s">
        <v>18829</v>
      </c>
    </row>
    <row r="29078" spans="6:8">
      <c r="H29078" t="s">
        <v>30641</v>
      </c>
    </row>
    <row r="29079" spans="6:8">
      <c r="H29079" t="s">
        <v>30642</v>
      </c>
    </row>
    <row r="29080" spans="6:8">
      <c r="F29080" t="s">
        <v>13587</v>
      </c>
      <c r="G29080" t="s">
        <v>17685</v>
      </c>
      <c r="H29080" t="s">
        <v>30643</v>
      </c>
    </row>
    <row r="29081" spans="6:8">
      <c r="F29081" t="s">
        <v>13588</v>
      </c>
      <c r="G29081" t="s">
        <v>17686</v>
      </c>
      <c r="H29081" t="s">
        <v>18829</v>
      </c>
    </row>
    <row r="29082" spans="6:8">
      <c r="H29082" t="s">
        <v>18863</v>
      </c>
    </row>
    <row r="29083" spans="6:8">
      <c r="H29083" t="s">
        <v>30644</v>
      </c>
    </row>
    <row r="29084" spans="6:8">
      <c r="H29084" t="s">
        <v>30644</v>
      </c>
    </row>
    <row r="29085" spans="6:8">
      <c r="H29085" t="s">
        <v>30645</v>
      </c>
    </row>
    <row r="29086" spans="6:8">
      <c r="H29086" t="s">
        <v>30646</v>
      </c>
    </row>
    <row r="29087" spans="6:8">
      <c r="H29087" t="s">
        <v>30647</v>
      </c>
    </row>
    <row r="29088" spans="6:8">
      <c r="H29088" t="s">
        <v>30648</v>
      </c>
    </row>
    <row r="29089" spans="6:8">
      <c r="H29089" t="s">
        <v>30649</v>
      </c>
    </row>
    <row r="29090" spans="6:8">
      <c r="H29090" t="s">
        <v>30650</v>
      </c>
    </row>
    <row r="29091" spans="6:8">
      <c r="H29091" t="s">
        <v>30651</v>
      </c>
    </row>
    <row r="29092" spans="6:8">
      <c r="H29092" t="s">
        <v>30652</v>
      </c>
    </row>
    <row r="29093" spans="6:8">
      <c r="H29093" t="s">
        <v>18927</v>
      </c>
    </row>
    <row r="29094" spans="6:8">
      <c r="H29094" t="s">
        <v>30653</v>
      </c>
    </row>
    <row r="29095" spans="6:8">
      <c r="H29095" t="s">
        <v>30654</v>
      </c>
    </row>
    <row r="29096" spans="6:8">
      <c r="H29096" t="s">
        <v>30655</v>
      </c>
    </row>
    <row r="29097" spans="6:8">
      <c r="F29097" t="s">
        <v>13589</v>
      </c>
      <c r="G29097" t="s">
        <v>17687</v>
      </c>
      <c r="H29097" t="s">
        <v>18829</v>
      </c>
    </row>
    <row r="29098" spans="6:8">
      <c r="H29098" t="s">
        <v>18863</v>
      </c>
    </row>
    <row r="29099" spans="6:8">
      <c r="H29099" t="s">
        <v>30656</v>
      </c>
    </row>
    <row r="29100" spans="6:8">
      <c r="H29100" t="s">
        <v>30657</v>
      </c>
    </row>
    <row r="29101" spans="6:8">
      <c r="H29101" t="s">
        <v>30658</v>
      </c>
    </row>
    <row r="29102" spans="6:8">
      <c r="H29102" t="s">
        <v>30659</v>
      </c>
    </row>
    <row r="29103" spans="6:8">
      <c r="H29103" t="s">
        <v>30660</v>
      </c>
    </row>
    <row r="29104" spans="6:8">
      <c r="F29104" t="s">
        <v>13590</v>
      </c>
      <c r="G29104" t="s">
        <v>17688</v>
      </c>
      <c r="H29104" t="s">
        <v>18829</v>
      </c>
    </row>
    <row r="29105" spans="6:8">
      <c r="H29105" t="s">
        <v>18863</v>
      </c>
    </row>
    <row r="29106" spans="6:8">
      <c r="H29106" t="s">
        <v>30661</v>
      </c>
    </row>
    <row r="29107" spans="6:8">
      <c r="H29107" t="s">
        <v>30662</v>
      </c>
    </row>
    <row r="29108" spans="6:8">
      <c r="H29108" t="s">
        <v>26298</v>
      </c>
    </row>
    <row r="29109" spans="6:8">
      <c r="F29109" t="s">
        <v>13591</v>
      </c>
      <c r="G29109" t="s">
        <v>17372</v>
      </c>
      <c r="H29109" t="s">
        <v>18829</v>
      </c>
    </row>
    <row r="29110" spans="6:8">
      <c r="H29110" t="s">
        <v>18863</v>
      </c>
    </row>
    <row r="29111" spans="6:8">
      <c r="H29111" t="s">
        <v>30663</v>
      </c>
    </row>
    <row r="29112" spans="6:8">
      <c r="H29112" t="s">
        <v>30664</v>
      </c>
    </row>
    <row r="29113" spans="6:8">
      <c r="H29113" t="s">
        <v>26298</v>
      </c>
    </row>
    <row r="29114" spans="6:8">
      <c r="F29114" t="s">
        <v>13592</v>
      </c>
      <c r="G29114" t="s">
        <v>17689</v>
      </c>
      <c r="H29114" t="s">
        <v>30665</v>
      </c>
    </row>
    <row r="29115" spans="6:8">
      <c r="H29115" t="s">
        <v>30666</v>
      </c>
    </row>
    <row r="29116" spans="6:8">
      <c r="H29116" t="s">
        <v>30667</v>
      </c>
    </row>
    <row r="29117" spans="6:8">
      <c r="H29117" t="s">
        <v>30668</v>
      </c>
    </row>
    <row r="29118" spans="6:8">
      <c r="F29118" t="s">
        <v>13593</v>
      </c>
      <c r="G29118" t="s">
        <v>16924</v>
      </c>
      <c r="H29118" t="s">
        <v>18829</v>
      </c>
    </row>
    <row r="29119" spans="6:8">
      <c r="H29119" t="s">
        <v>18863</v>
      </c>
    </row>
    <row r="29120" spans="6:8">
      <c r="H29120" t="s">
        <v>22847</v>
      </c>
    </row>
    <row r="29121" spans="6:8">
      <c r="H29121" t="s">
        <v>25718</v>
      </c>
    </row>
    <row r="29122" spans="6:8">
      <c r="H29122" t="s">
        <v>26099</v>
      </c>
    </row>
    <row r="29123" spans="6:8">
      <c r="H29123" t="s">
        <v>26100</v>
      </c>
    </row>
    <row r="29124" spans="6:8">
      <c r="H29124" t="s">
        <v>30669</v>
      </c>
    </row>
    <row r="29125" spans="6:8">
      <c r="H29125" t="s">
        <v>30670</v>
      </c>
    </row>
    <row r="29126" spans="6:8">
      <c r="H29126" t="s">
        <v>30671</v>
      </c>
    </row>
    <row r="29127" spans="6:8">
      <c r="H29127" t="s">
        <v>30672</v>
      </c>
    </row>
    <row r="29128" spans="6:8">
      <c r="H29128" t="s">
        <v>30673</v>
      </c>
    </row>
    <row r="29129" spans="6:8">
      <c r="H29129" t="s">
        <v>30674</v>
      </c>
    </row>
    <row r="29130" spans="6:8">
      <c r="H29130" t="s">
        <v>30675</v>
      </c>
    </row>
    <row r="29131" spans="6:8">
      <c r="H29131" t="s">
        <v>30676</v>
      </c>
    </row>
    <row r="29132" spans="6:8">
      <c r="H29132" t="s">
        <v>30677</v>
      </c>
    </row>
    <row r="29133" spans="6:8">
      <c r="F29133" t="s">
        <v>13594</v>
      </c>
      <c r="G29133" t="s">
        <v>17426</v>
      </c>
      <c r="H29133" t="s">
        <v>18829</v>
      </c>
    </row>
    <row r="29134" spans="6:8">
      <c r="H29134" t="s">
        <v>18863</v>
      </c>
    </row>
    <row r="29135" spans="6:8">
      <c r="H29135" t="s">
        <v>28993</v>
      </c>
    </row>
    <row r="29136" spans="6:8">
      <c r="H29136" t="s">
        <v>30678</v>
      </c>
    </row>
    <row r="29137" spans="6:8">
      <c r="H29137" t="s">
        <v>30679</v>
      </c>
    </row>
    <row r="29138" spans="6:8">
      <c r="H29138" t="s">
        <v>30680</v>
      </c>
    </row>
    <row r="29139" spans="6:8">
      <c r="H29139" t="s">
        <v>30681</v>
      </c>
    </row>
    <row r="29140" spans="6:8">
      <c r="H29140" t="s">
        <v>28994</v>
      </c>
    </row>
    <row r="29141" spans="6:8">
      <c r="H29141" t="s">
        <v>28995</v>
      </c>
    </row>
    <row r="29142" spans="6:8">
      <c r="H29142" t="s">
        <v>28996</v>
      </c>
    </row>
    <row r="29143" spans="6:8">
      <c r="H29143" t="s">
        <v>28997</v>
      </c>
    </row>
    <row r="29144" spans="6:8">
      <c r="F29144" t="s">
        <v>13595</v>
      </c>
      <c r="G29144" t="s">
        <v>17690</v>
      </c>
      <c r="H29144" t="s">
        <v>18829</v>
      </c>
    </row>
    <row r="29145" spans="6:8">
      <c r="H29145" t="s">
        <v>18863</v>
      </c>
    </row>
    <row r="29146" spans="6:8">
      <c r="H29146" t="s">
        <v>30682</v>
      </c>
    </row>
    <row r="29147" spans="6:8">
      <c r="H29147" t="s">
        <v>30683</v>
      </c>
    </row>
    <row r="29148" spans="6:8">
      <c r="F29148" t="s">
        <v>13596</v>
      </c>
      <c r="G29148" t="s">
        <v>17691</v>
      </c>
      <c r="H29148" t="s">
        <v>18829</v>
      </c>
    </row>
    <row r="29149" spans="6:8">
      <c r="H29149" t="s">
        <v>30684</v>
      </c>
    </row>
    <row r="29150" spans="6:8">
      <c r="H29150" t="s">
        <v>30685</v>
      </c>
    </row>
    <row r="29151" spans="6:8">
      <c r="H29151" t="s">
        <v>30686</v>
      </c>
    </row>
    <row r="29152" spans="6:8">
      <c r="H29152" t="s">
        <v>30687</v>
      </c>
    </row>
    <row r="29153" spans="6:8">
      <c r="H29153" t="s">
        <v>30688</v>
      </c>
    </row>
    <row r="29154" spans="6:8">
      <c r="H29154" t="s">
        <v>19759</v>
      </c>
    </row>
    <row r="29155" spans="6:8">
      <c r="F29155" t="s">
        <v>13597</v>
      </c>
      <c r="G29155" t="s">
        <v>17322</v>
      </c>
      <c r="H29155" t="s">
        <v>18829</v>
      </c>
    </row>
    <row r="29156" spans="6:8">
      <c r="H29156" t="s">
        <v>30689</v>
      </c>
    </row>
    <row r="29157" spans="6:8">
      <c r="H29157" t="s">
        <v>30690</v>
      </c>
    </row>
    <row r="29158" spans="6:8">
      <c r="H29158" t="s">
        <v>30691</v>
      </c>
    </row>
    <row r="29159" spans="6:8">
      <c r="H29159" t="s">
        <v>30692</v>
      </c>
    </row>
    <row r="29160" spans="6:8">
      <c r="H29160" t="s">
        <v>26114</v>
      </c>
    </row>
    <row r="29161" spans="6:8">
      <c r="F29161" t="s">
        <v>13598</v>
      </c>
      <c r="G29161" t="s">
        <v>16923</v>
      </c>
      <c r="H29161" t="s">
        <v>18829</v>
      </c>
    </row>
    <row r="29162" spans="6:8">
      <c r="H29162" t="s">
        <v>26081</v>
      </c>
    </row>
    <row r="29163" spans="6:8">
      <c r="H29163" t="s">
        <v>26082</v>
      </c>
    </row>
    <row r="29164" spans="6:8">
      <c r="H29164" t="s">
        <v>26083</v>
      </c>
    </row>
    <row r="29165" spans="6:8">
      <c r="H29165" t="s">
        <v>26084</v>
      </c>
    </row>
    <row r="29166" spans="6:8">
      <c r="F29166" t="s">
        <v>13599</v>
      </c>
      <c r="G29166" t="s">
        <v>16918</v>
      </c>
      <c r="H29166" t="s">
        <v>18829</v>
      </c>
    </row>
    <row r="29167" spans="6:8">
      <c r="H29167" t="s">
        <v>26069</v>
      </c>
    </row>
    <row r="29168" spans="6:8">
      <c r="H29168" t="s">
        <v>26070</v>
      </c>
    </row>
    <row r="29169" spans="6:8">
      <c r="H29169" t="s">
        <v>26071</v>
      </c>
    </row>
    <row r="29170" spans="6:8">
      <c r="H29170" t="s">
        <v>26072</v>
      </c>
    </row>
    <row r="29171" spans="6:8">
      <c r="H29171" t="s">
        <v>26073</v>
      </c>
    </row>
    <row r="29172" spans="6:8">
      <c r="H29172" t="s">
        <v>30693</v>
      </c>
    </row>
    <row r="29173" spans="6:8">
      <c r="H29173" t="s">
        <v>30694</v>
      </c>
    </row>
    <row r="29174" spans="6:8">
      <c r="F29174" t="s">
        <v>13600</v>
      </c>
      <c r="G29174" t="s">
        <v>16845</v>
      </c>
      <c r="H29174" t="s">
        <v>18829</v>
      </c>
    </row>
    <row r="29175" spans="6:8">
      <c r="H29175" t="s">
        <v>29660</v>
      </c>
    </row>
    <row r="29176" spans="6:8">
      <c r="H29176" t="s">
        <v>29661</v>
      </c>
    </row>
    <row r="29177" spans="6:8">
      <c r="H29177" t="s">
        <v>29662</v>
      </c>
    </row>
    <row r="29178" spans="6:8">
      <c r="H29178" t="s">
        <v>29663</v>
      </c>
    </row>
    <row r="29179" spans="6:8">
      <c r="H29179" t="s">
        <v>29664</v>
      </c>
    </row>
    <row r="29180" spans="6:8">
      <c r="H29180" t="s">
        <v>29665</v>
      </c>
    </row>
    <row r="29181" spans="6:8">
      <c r="H29181" t="s">
        <v>30695</v>
      </c>
    </row>
    <row r="29182" spans="6:8">
      <c r="H29182" t="s">
        <v>30696</v>
      </c>
    </row>
    <row r="29183" spans="6:8">
      <c r="H29183" t="s">
        <v>30697</v>
      </c>
    </row>
    <row r="29184" spans="6:8">
      <c r="H29184" t="s">
        <v>30698</v>
      </c>
    </row>
    <row r="29185" spans="6:8">
      <c r="H29185" t="s">
        <v>30699</v>
      </c>
    </row>
    <row r="29186" spans="6:8">
      <c r="H29186" t="s">
        <v>30700</v>
      </c>
    </row>
    <row r="29187" spans="6:8">
      <c r="H29187" t="s">
        <v>30701</v>
      </c>
    </row>
    <row r="29188" spans="6:8">
      <c r="H29188" t="s">
        <v>30702</v>
      </c>
    </row>
    <row r="29189" spans="6:8">
      <c r="H29189" t="s">
        <v>30703</v>
      </c>
    </row>
    <row r="29190" spans="6:8">
      <c r="F29190" t="s">
        <v>13601</v>
      </c>
      <c r="G29190" t="s">
        <v>17305</v>
      </c>
      <c r="H29190" t="s">
        <v>30704</v>
      </c>
    </row>
    <row r="29191" spans="6:8">
      <c r="H29191" t="s">
        <v>30704</v>
      </c>
    </row>
    <row r="29192" spans="6:8">
      <c r="H29192" t="s">
        <v>18829</v>
      </c>
    </row>
    <row r="29193" spans="6:8">
      <c r="H29193" t="s">
        <v>18863</v>
      </c>
    </row>
    <row r="29194" spans="6:8">
      <c r="H29194" t="s">
        <v>30705</v>
      </c>
    </row>
    <row r="29195" spans="6:8">
      <c r="H29195" t="s">
        <v>30706</v>
      </c>
    </row>
    <row r="29196" spans="6:8">
      <c r="H29196" t="s">
        <v>30707</v>
      </c>
    </row>
    <row r="29197" spans="6:8">
      <c r="H29197" t="s">
        <v>30708</v>
      </c>
    </row>
    <row r="29198" spans="6:8">
      <c r="H29198" t="s">
        <v>30709</v>
      </c>
    </row>
    <row r="29199" spans="6:8">
      <c r="H29199" t="s">
        <v>30710</v>
      </c>
    </row>
    <row r="29200" spans="6:8">
      <c r="H29200" t="s">
        <v>30711</v>
      </c>
    </row>
    <row r="29201" spans="6:8">
      <c r="H29201" t="s">
        <v>30712</v>
      </c>
    </row>
    <row r="29202" spans="6:8">
      <c r="H29202" t="s">
        <v>30713</v>
      </c>
    </row>
    <row r="29203" spans="6:8">
      <c r="H29203" t="s">
        <v>30713</v>
      </c>
    </row>
    <row r="29204" spans="6:8">
      <c r="H29204" t="s">
        <v>29493</v>
      </c>
    </row>
    <row r="29205" spans="6:8">
      <c r="H29205" t="s">
        <v>30714</v>
      </c>
    </row>
    <row r="29206" spans="6:8">
      <c r="H29206" t="s">
        <v>30715</v>
      </c>
    </row>
    <row r="29207" spans="6:8">
      <c r="F29207" t="s">
        <v>13602</v>
      </c>
      <c r="G29207" t="s">
        <v>16867</v>
      </c>
      <c r="H29207" t="s">
        <v>25716</v>
      </c>
    </row>
    <row r="29208" spans="6:8">
      <c r="H29208" t="s">
        <v>30716</v>
      </c>
    </row>
    <row r="29209" spans="6:8">
      <c r="H29209" t="s">
        <v>26652</v>
      </c>
    </row>
    <row r="29210" spans="6:8">
      <c r="H29210" t="s">
        <v>26653</v>
      </c>
    </row>
    <row r="29211" spans="6:8">
      <c r="H29211" t="s">
        <v>26654</v>
      </c>
    </row>
    <row r="29212" spans="6:8">
      <c r="H29212" t="s">
        <v>26655</v>
      </c>
    </row>
    <row r="29213" spans="6:8">
      <c r="H29213" t="s">
        <v>18927</v>
      </c>
    </row>
    <row r="29214" spans="6:8">
      <c r="H29214" t="s">
        <v>25497</v>
      </c>
    </row>
    <row r="29215" spans="6:8">
      <c r="H29215" t="s">
        <v>28090</v>
      </c>
    </row>
    <row r="29216" spans="6:8">
      <c r="H29216" t="s">
        <v>26656</v>
      </c>
    </row>
    <row r="29217" spans="6:8">
      <c r="H29217" t="s">
        <v>30609</v>
      </c>
    </row>
    <row r="29218" spans="6:8">
      <c r="F29218" t="s">
        <v>13603</v>
      </c>
      <c r="G29218" t="s">
        <v>17320</v>
      </c>
      <c r="H29218" t="s">
        <v>18829</v>
      </c>
    </row>
    <row r="29219" spans="6:8">
      <c r="H29219" t="s">
        <v>30717</v>
      </c>
    </row>
    <row r="29220" spans="6:8">
      <c r="H29220" t="s">
        <v>30644</v>
      </c>
    </row>
    <row r="29221" spans="6:8">
      <c r="H29221" t="s">
        <v>30644</v>
      </c>
    </row>
    <row r="29222" spans="6:8">
      <c r="H29222" t="s">
        <v>18863</v>
      </c>
    </row>
    <row r="29223" spans="6:8">
      <c r="H29223" t="s">
        <v>28450</v>
      </c>
    </row>
    <row r="29224" spans="6:8">
      <c r="H29224" t="s">
        <v>30718</v>
      </c>
    </row>
    <row r="29225" spans="6:8">
      <c r="H29225" t="s">
        <v>30719</v>
      </c>
    </row>
    <row r="29226" spans="6:8">
      <c r="H29226" t="s">
        <v>30720</v>
      </c>
    </row>
    <row r="29227" spans="6:8">
      <c r="H29227" t="s">
        <v>30721</v>
      </c>
    </row>
    <row r="29228" spans="6:8">
      <c r="H29228" t="s">
        <v>30722</v>
      </c>
    </row>
    <row r="29229" spans="6:8">
      <c r="H29229" t="s">
        <v>30723</v>
      </c>
    </row>
    <row r="29230" spans="6:8">
      <c r="H29230" t="s">
        <v>30724</v>
      </c>
    </row>
    <row r="29231" spans="6:8">
      <c r="H29231" t="s">
        <v>30725</v>
      </c>
    </row>
    <row r="29232" spans="6:8">
      <c r="H29232" t="s">
        <v>30726</v>
      </c>
    </row>
    <row r="29233" spans="8:8">
      <c r="H29233" t="s">
        <v>30727</v>
      </c>
    </row>
    <row r="29234" spans="8:8">
      <c r="H29234" t="s">
        <v>26001</v>
      </c>
    </row>
    <row r="29235" spans="8:8">
      <c r="H29235" t="s">
        <v>30728</v>
      </c>
    </row>
    <row r="29236" spans="8:8">
      <c r="H29236" t="s">
        <v>30695</v>
      </c>
    </row>
    <row r="29237" spans="8:8">
      <c r="H29237" t="s">
        <v>30729</v>
      </c>
    </row>
    <row r="29238" spans="8:8">
      <c r="H29238" t="s">
        <v>28365</v>
      </c>
    </row>
    <row r="29239" spans="8:8">
      <c r="H29239" t="s">
        <v>26656</v>
      </c>
    </row>
    <row r="29240" spans="8:8">
      <c r="H29240" t="s">
        <v>18927</v>
      </c>
    </row>
    <row r="29241" spans="8:8">
      <c r="H29241" t="s">
        <v>26655</v>
      </c>
    </row>
    <row r="29242" spans="8:8">
      <c r="H29242" t="s">
        <v>26653</v>
      </c>
    </row>
    <row r="29243" spans="8:8">
      <c r="H29243" t="s">
        <v>26654</v>
      </c>
    </row>
    <row r="29244" spans="8:8">
      <c r="H29244" t="s">
        <v>26652</v>
      </c>
    </row>
    <row r="29245" spans="8:8">
      <c r="H29245" t="s">
        <v>30609</v>
      </c>
    </row>
    <row r="29246" spans="8:8">
      <c r="H29246" t="s">
        <v>25497</v>
      </c>
    </row>
    <row r="29247" spans="8:8">
      <c r="H29247" t="s">
        <v>28090</v>
      </c>
    </row>
    <row r="29248" spans="8:8">
      <c r="H29248" t="s">
        <v>30730</v>
      </c>
    </row>
    <row r="29249" spans="8:8">
      <c r="H29249" t="s">
        <v>30731</v>
      </c>
    </row>
    <row r="29250" spans="8:8">
      <c r="H29250" t="s">
        <v>29686</v>
      </c>
    </row>
    <row r="29251" spans="8:8">
      <c r="H29251" t="s">
        <v>29687</v>
      </c>
    </row>
    <row r="29252" spans="8:8">
      <c r="H29252" t="s">
        <v>29688</v>
      </c>
    </row>
    <row r="29253" spans="8:8">
      <c r="H29253" t="s">
        <v>29689</v>
      </c>
    </row>
    <row r="29254" spans="8:8">
      <c r="H29254" t="s">
        <v>29690</v>
      </c>
    </row>
    <row r="29255" spans="8:8">
      <c r="H29255" t="s">
        <v>29691</v>
      </c>
    </row>
    <row r="29256" spans="8:8">
      <c r="H29256" t="s">
        <v>29692</v>
      </c>
    </row>
    <row r="29257" spans="8:8">
      <c r="H29257" t="s">
        <v>29693</v>
      </c>
    </row>
    <row r="29258" spans="8:8">
      <c r="H29258" t="s">
        <v>29694</v>
      </c>
    </row>
    <row r="29259" spans="8:8">
      <c r="H29259" t="s">
        <v>29695</v>
      </c>
    </row>
    <row r="29260" spans="8:8">
      <c r="H29260" t="s">
        <v>29696</v>
      </c>
    </row>
    <row r="29261" spans="8:8">
      <c r="H29261" t="s">
        <v>29697</v>
      </c>
    </row>
    <row r="29262" spans="8:8">
      <c r="H29262" t="s">
        <v>29698</v>
      </c>
    </row>
    <row r="29263" spans="8:8">
      <c r="H29263" t="s">
        <v>29699</v>
      </c>
    </row>
    <row r="29264" spans="8:8">
      <c r="H29264" t="s">
        <v>29700</v>
      </c>
    </row>
    <row r="29265" spans="6:8">
      <c r="H29265" t="s">
        <v>18927</v>
      </c>
    </row>
    <row r="29266" spans="6:8">
      <c r="H29266" t="s">
        <v>29862</v>
      </c>
    </row>
    <row r="29267" spans="6:8">
      <c r="F29267" t="s">
        <v>13604</v>
      </c>
      <c r="G29267" t="s">
        <v>17287</v>
      </c>
      <c r="H29267" t="s">
        <v>26000</v>
      </c>
    </row>
    <row r="29268" spans="6:8">
      <c r="H29268" t="s">
        <v>26001</v>
      </c>
    </row>
    <row r="29269" spans="6:8">
      <c r="H29269" t="s">
        <v>30732</v>
      </c>
    </row>
    <row r="29270" spans="6:8">
      <c r="H29270" t="s">
        <v>28018</v>
      </c>
    </row>
    <row r="29271" spans="6:8">
      <c r="F29271" t="s">
        <v>13605</v>
      </c>
      <c r="G29271" t="s">
        <v>17692</v>
      </c>
      <c r="H29271" t="s">
        <v>30733</v>
      </c>
    </row>
    <row r="29272" spans="6:8">
      <c r="H29272" t="s">
        <v>18927</v>
      </c>
    </row>
    <row r="29273" spans="6:8">
      <c r="H29273" t="s">
        <v>25497</v>
      </c>
    </row>
    <row r="29274" spans="6:8">
      <c r="H29274" t="s">
        <v>28090</v>
      </c>
    </row>
    <row r="29275" spans="6:8">
      <c r="H29275" t="s">
        <v>26656</v>
      </c>
    </row>
    <row r="29276" spans="6:8">
      <c r="H29276" t="s">
        <v>30609</v>
      </c>
    </row>
    <row r="29277" spans="6:8">
      <c r="H29277" t="s">
        <v>26652</v>
      </c>
    </row>
    <row r="29278" spans="6:8">
      <c r="H29278" t="s">
        <v>26653</v>
      </c>
    </row>
    <row r="29279" spans="6:8">
      <c r="H29279" t="s">
        <v>26654</v>
      </c>
    </row>
    <row r="29280" spans="6:8">
      <c r="H29280" t="s">
        <v>26655</v>
      </c>
    </row>
    <row r="29281" spans="6:8">
      <c r="F29281" t="s">
        <v>13606</v>
      </c>
      <c r="G29281" t="s">
        <v>17693</v>
      </c>
      <c r="H29281" t="s">
        <v>30607</v>
      </c>
    </row>
    <row r="29282" spans="6:8">
      <c r="F29282" t="s">
        <v>13607</v>
      </c>
      <c r="G29282" t="s">
        <v>17510</v>
      </c>
      <c r="H29282" t="s">
        <v>30734</v>
      </c>
    </row>
    <row r="29283" spans="6:8">
      <c r="H29283" t="s">
        <v>26657</v>
      </c>
    </row>
    <row r="29284" spans="6:8">
      <c r="H29284" t="s">
        <v>30734</v>
      </c>
    </row>
    <row r="29285" spans="6:8">
      <c r="H29285" t="s">
        <v>18829</v>
      </c>
    </row>
    <row r="29286" spans="6:8">
      <c r="H29286" t="s">
        <v>30735</v>
      </c>
    </row>
    <row r="29287" spans="6:8">
      <c r="H29287" t="s">
        <v>30736</v>
      </c>
    </row>
    <row r="29288" spans="6:8">
      <c r="H29288" t="s">
        <v>25956</v>
      </c>
    </row>
    <row r="29289" spans="6:8">
      <c r="F29289" t="s">
        <v>13608</v>
      </c>
      <c r="G29289" t="s">
        <v>17694</v>
      </c>
      <c r="H29289" t="s">
        <v>30737</v>
      </c>
    </row>
    <row r="29290" spans="6:8">
      <c r="F29290" t="s">
        <v>13609</v>
      </c>
      <c r="G29290" t="s">
        <v>17695</v>
      </c>
      <c r="H29290" t="s">
        <v>18829</v>
      </c>
    </row>
    <row r="29291" spans="6:8">
      <c r="H29291" t="s">
        <v>18863</v>
      </c>
    </row>
    <row r="29292" spans="6:8">
      <c r="H29292" t="s">
        <v>30738</v>
      </c>
    </row>
    <row r="29293" spans="6:8">
      <c r="H29293" t="s">
        <v>30739</v>
      </c>
    </row>
    <row r="29294" spans="6:8">
      <c r="H29294" t="s">
        <v>30740</v>
      </c>
    </row>
    <row r="29295" spans="6:8">
      <c r="H29295" t="s">
        <v>30741</v>
      </c>
    </row>
    <row r="29296" spans="6:8">
      <c r="H29296" t="s">
        <v>30742</v>
      </c>
    </row>
    <row r="29297" spans="6:8">
      <c r="H29297" t="s">
        <v>30743</v>
      </c>
    </row>
    <row r="29298" spans="6:8">
      <c r="F29298" t="s">
        <v>13610</v>
      </c>
      <c r="G29298" t="s">
        <v>17696</v>
      </c>
      <c r="H29298" t="s">
        <v>30744</v>
      </c>
    </row>
    <row r="29299" spans="6:8">
      <c r="H29299" t="s">
        <v>30745</v>
      </c>
    </row>
    <row r="29300" spans="6:8">
      <c r="H29300" t="s">
        <v>30746</v>
      </c>
    </row>
    <row r="29301" spans="6:8">
      <c r="F29301" t="s">
        <v>13611</v>
      </c>
      <c r="G29301" t="s">
        <v>17428</v>
      </c>
      <c r="H29301" t="s">
        <v>29006</v>
      </c>
    </row>
    <row r="29302" spans="6:8">
      <c r="H29302" t="s">
        <v>29007</v>
      </c>
    </row>
    <row r="29303" spans="6:8">
      <c r="F29303" t="s">
        <v>13612</v>
      </c>
      <c r="G29303" t="s">
        <v>17697</v>
      </c>
      <c r="H29303" t="s">
        <v>30747</v>
      </c>
    </row>
    <row r="29304" spans="6:8">
      <c r="H29304" t="s">
        <v>30748</v>
      </c>
    </row>
    <row r="29305" spans="6:8">
      <c r="H29305" t="s">
        <v>30749</v>
      </c>
    </row>
    <row r="29306" spans="6:8">
      <c r="H29306" t="s">
        <v>30750</v>
      </c>
    </row>
    <row r="29307" spans="6:8">
      <c r="F29307" t="s">
        <v>13613</v>
      </c>
      <c r="G29307" t="s">
        <v>16868</v>
      </c>
      <c r="H29307" t="s">
        <v>30751</v>
      </c>
    </row>
    <row r="29308" spans="6:8">
      <c r="H29308" t="s">
        <v>28161</v>
      </c>
    </row>
    <row r="29309" spans="6:8">
      <c r="H29309" t="s">
        <v>18930</v>
      </c>
    </row>
    <row r="29310" spans="6:8">
      <c r="H29310" t="s">
        <v>28090</v>
      </c>
    </row>
    <row r="29311" spans="6:8">
      <c r="H29311" t="s">
        <v>18931</v>
      </c>
    </row>
    <row r="29312" spans="6:8">
      <c r="H29312" t="s">
        <v>26589</v>
      </c>
    </row>
    <row r="29313" spans="6:8">
      <c r="F29313" t="s">
        <v>13614</v>
      </c>
      <c r="G29313" t="s">
        <v>17698</v>
      </c>
      <c r="H29313" t="s">
        <v>18829</v>
      </c>
    </row>
    <row r="29314" spans="6:8">
      <c r="H29314" t="s">
        <v>30752</v>
      </c>
    </row>
    <row r="29315" spans="6:8">
      <c r="H29315" t="s">
        <v>30753</v>
      </c>
    </row>
    <row r="29316" spans="6:8">
      <c r="H29316" t="s">
        <v>30754</v>
      </c>
    </row>
    <row r="29317" spans="6:8">
      <c r="H29317" t="s">
        <v>30755</v>
      </c>
    </row>
    <row r="29318" spans="6:8">
      <c r="H29318" t="s">
        <v>30756</v>
      </c>
    </row>
    <row r="29319" spans="6:8">
      <c r="H29319" t="s">
        <v>30757</v>
      </c>
    </row>
    <row r="29320" spans="6:8">
      <c r="H29320" t="s">
        <v>30758</v>
      </c>
    </row>
    <row r="29321" spans="6:8">
      <c r="H29321" t="s">
        <v>30759</v>
      </c>
    </row>
    <row r="29322" spans="6:8">
      <c r="H29322" t="s">
        <v>30760</v>
      </c>
    </row>
    <row r="29323" spans="6:8">
      <c r="H29323" t="s">
        <v>30761</v>
      </c>
    </row>
    <row r="29324" spans="6:8">
      <c r="H29324" t="s">
        <v>30762</v>
      </c>
    </row>
    <row r="29325" spans="6:8">
      <c r="H29325" t="s">
        <v>30763</v>
      </c>
    </row>
    <row r="29326" spans="6:8">
      <c r="H29326" t="s">
        <v>30764</v>
      </c>
    </row>
    <row r="29327" spans="6:8">
      <c r="H29327" t="s">
        <v>30765</v>
      </c>
    </row>
    <row r="29328" spans="6:8">
      <c r="H29328" t="s">
        <v>30766</v>
      </c>
    </row>
    <row r="29329" spans="8:8">
      <c r="H29329" t="s">
        <v>30767</v>
      </c>
    </row>
    <row r="29330" spans="8:8">
      <c r="H29330" t="s">
        <v>30768</v>
      </c>
    </row>
    <row r="29331" spans="8:8">
      <c r="H29331" t="s">
        <v>30769</v>
      </c>
    </row>
    <row r="29332" spans="8:8">
      <c r="H29332" t="s">
        <v>30770</v>
      </c>
    </row>
    <row r="29333" spans="8:8">
      <c r="H29333" t="s">
        <v>30771</v>
      </c>
    </row>
    <row r="29334" spans="8:8">
      <c r="H29334" t="s">
        <v>30772</v>
      </c>
    </row>
    <row r="29335" spans="8:8">
      <c r="H29335" t="s">
        <v>30772</v>
      </c>
    </row>
    <row r="29336" spans="8:8">
      <c r="H29336" t="s">
        <v>30772</v>
      </c>
    </row>
    <row r="29337" spans="8:8">
      <c r="H29337" t="s">
        <v>30773</v>
      </c>
    </row>
    <row r="29338" spans="8:8">
      <c r="H29338" t="s">
        <v>30774</v>
      </c>
    </row>
    <row r="29339" spans="8:8">
      <c r="H29339" t="s">
        <v>30775</v>
      </c>
    </row>
    <row r="29340" spans="8:8">
      <c r="H29340" t="s">
        <v>30776</v>
      </c>
    </row>
    <row r="29341" spans="8:8">
      <c r="H29341" t="s">
        <v>30777</v>
      </c>
    </row>
    <row r="29342" spans="8:8">
      <c r="H29342" t="s">
        <v>30778</v>
      </c>
    </row>
    <row r="29343" spans="8:8">
      <c r="H29343" t="s">
        <v>30779</v>
      </c>
    </row>
    <row r="29344" spans="8:8">
      <c r="H29344" t="s">
        <v>30780</v>
      </c>
    </row>
    <row r="29345" spans="6:8">
      <c r="H29345" t="s">
        <v>30781</v>
      </c>
    </row>
    <row r="29346" spans="6:8">
      <c r="H29346" t="s">
        <v>30772</v>
      </c>
    </row>
    <row r="29347" spans="6:8">
      <c r="F29347" t="s">
        <v>13615</v>
      </c>
      <c r="G29347" t="s">
        <v>17699</v>
      </c>
      <c r="H29347" t="s">
        <v>30782</v>
      </c>
    </row>
    <row r="29348" spans="6:8">
      <c r="H29348" t="s">
        <v>30783</v>
      </c>
    </row>
    <row r="29349" spans="6:8">
      <c r="F29349" t="s">
        <v>13616</v>
      </c>
      <c r="G29349" t="s">
        <v>16860</v>
      </c>
      <c r="H29349" t="s">
        <v>18829</v>
      </c>
    </row>
    <row r="29350" spans="6:8">
      <c r="H29350" t="s">
        <v>18863</v>
      </c>
    </row>
    <row r="29351" spans="6:8">
      <c r="H29351" t="s">
        <v>25716</v>
      </c>
    </row>
    <row r="29352" spans="6:8">
      <c r="H29352" t="s">
        <v>25717</v>
      </c>
    </row>
    <row r="29353" spans="6:8">
      <c r="H29353" t="s">
        <v>25719</v>
      </c>
    </row>
    <row r="29354" spans="6:8">
      <c r="H29354" t="s">
        <v>30784</v>
      </c>
    </row>
    <row r="29355" spans="6:8">
      <c r="H29355" t="s">
        <v>30785</v>
      </c>
    </row>
    <row r="29356" spans="6:8">
      <c r="H29356" t="s">
        <v>30786</v>
      </c>
    </row>
    <row r="29357" spans="6:8">
      <c r="F29357" t="s">
        <v>13617</v>
      </c>
      <c r="G29357" t="s">
        <v>16869</v>
      </c>
      <c r="H29357" t="s">
        <v>30787</v>
      </c>
    </row>
    <row r="29358" spans="6:8">
      <c r="H29358" t="s">
        <v>30788</v>
      </c>
    </row>
    <row r="29359" spans="6:8">
      <c r="H29359" t="s">
        <v>30789</v>
      </c>
    </row>
    <row r="29360" spans="6:8">
      <c r="H29360" t="s">
        <v>30790</v>
      </c>
    </row>
    <row r="29361" spans="6:8">
      <c r="H29361" t="s">
        <v>30791</v>
      </c>
    </row>
    <row r="29362" spans="6:8">
      <c r="H29362" t="s">
        <v>30792</v>
      </c>
    </row>
    <row r="29363" spans="6:8">
      <c r="H29363" t="s">
        <v>30793</v>
      </c>
    </row>
    <row r="29364" spans="6:8">
      <c r="H29364" t="s">
        <v>30794</v>
      </c>
    </row>
    <row r="29365" spans="6:8">
      <c r="F29365" t="s">
        <v>13618</v>
      </c>
      <c r="G29365" t="s">
        <v>15044</v>
      </c>
      <c r="H29365" t="s">
        <v>18939</v>
      </c>
    </row>
    <row r="29366" spans="6:8">
      <c r="H29366" t="s">
        <v>18931</v>
      </c>
    </row>
    <row r="29367" spans="6:8">
      <c r="H29367" t="s">
        <v>19790</v>
      </c>
    </row>
    <row r="29368" spans="6:8">
      <c r="H29368" t="s">
        <v>25721</v>
      </c>
    </row>
    <row r="29369" spans="6:8">
      <c r="H29369" t="s">
        <v>25722</v>
      </c>
    </row>
    <row r="29370" spans="6:8">
      <c r="H29370" t="s">
        <v>25723</v>
      </c>
    </row>
    <row r="29371" spans="6:8">
      <c r="H29371" t="s">
        <v>20444</v>
      </c>
    </row>
    <row r="29372" spans="6:8">
      <c r="H29372" t="s">
        <v>18820</v>
      </c>
    </row>
    <row r="29373" spans="6:8">
      <c r="H29373" t="s">
        <v>18824</v>
      </c>
    </row>
    <row r="29374" spans="6:8">
      <c r="H29374" t="s">
        <v>25687</v>
      </c>
    </row>
    <row r="29375" spans="6:8">
      <c r="H29375" t="s">
        <v>25688</v>
      </c>
    </row>
    <row r="29376" spans="6:8">
      <c r="H29376" t="s">
        <v>25724</v>
      </c>
    </row>
    <row r="29377" spans="6:8">
      <c r="H29377" t="s">
        <v>25725</v>
      </c>
    </row>
    <row r="29378" spans="6:8">
      <c r="H29378" t="s">
        <v>25726</v>
      </c>
    </row>
    <row r="29379" spans="6:8">
      <c r="H29379" t="s">
        <v>25727</v>
      </c>
    </row>
    <row r="29380" spans="6:8">
      <c r="H29380" t="s">
        <v>19918</v>
      </c>
    </row>
    <row r="29381" spans="6:8">
      <c r="H29381" t="s">
        <v>30795</v>
      </c>
    </row>
    <row r="29382" spans="6:8">
      <c r="H29382" t="s">
        <v>30796</v>
      </c>
    </row>
    <row r="29383" spans="6:8">
      <c r="H29383" t="s">
        <v>30797</v>
      </c>
    </row>
    <row r="29384" spans="6:8">
      <c r="H29384" t="s">
        <v>30798</v>
      </c>
    </row>
    <row r="29385" spans="6:8">
      <c r="H29385" t="s">
        <v>30799</v>
      </c>
    </row>
    <row r="29386" spans="6:8">
      <c r="H29386" t="s">
        <v>18893</v>
      </c>
    </row>
    <row r="29387" spans="6:8">
      <c r="H29387" t="s">
        <v>30800</v>
      </c>
    </row>
    <row r="29388" spans="6:8">
      <c r="H29388" t="s">
        <v>30801</v>
      </c>
    </row>
    <row r="29389" spans="6:8">
      <c r="H29389" t="s">
        <v>30802</v>
      </c>
    </row>
    <row r="29390" spans="6:8">
      <c r="H29390" t="s">
        <v>25728</v>
      </c>
    </row>
    <row r="29391" spans="6:8">
      <c r="H29391" t="s">
        <v>19735</v>
      </c>
    </row>
    <row r="29392" spans="6:8">
      <c r="F29392" t="s">
        <v>13619</v>
      </c>
      <c r="G29392" t="s">
        <v>17700</v>
      </c>
      <c r="H29392" t="s">
        <v>30803</v>
      </c>
    </row>
    <row r="29393" spans="6:8">
      <c r="H29393" t="s">
        <v>22310</v>
      </c>
    </row>
    <row r="29394" spans="6:8">
      <c r="H29394" t="s">
        <v>19909</v>
      </c>
    </row>
    <row r="29395" spans="6:8">
      <c r="F29395" t="s">
        <v>13620</v>
      </c>
      <c r="G29395" t="s">
        <v>17701</v>
      </c>
      <c r="H29395" t="s">
        <v>30804</v>
      </c>
    </row>
    <row r="29396" spans="6:8">
      <c r="H29396" t="s">
        <v>30805</v>
      </c>
    </row>
    <row r="29397" spans="6:8">
      <c r="H29397" t="s">
        <v>30783</v>
      </c>
    </row>
    <row r="29398" spans="6:8">
      <c r="F29398" t="s">
        <v>13621</v>
      </c>
      <c r="G29398" t="s">
        <v>17702</v>
      </c>
      <c r="H29398" t="s">
        <v>18829</v>
      </c>
    </row>
    <row r="29399" spans="6:8">
      <c r="H29399" t="s">
        <v>18863</v>
      </c>
    </row>
    <row r="29400" spans="6:8">
      <c r="H29400" t="s">
        <v>25716</v>
      </c>
    </row>
    <row r="29401" spans="6:8">
      <c r="H29401" t="s">
        <v>25717</v>
      </c>
    </row>
    <row r="29402" spans="6:8">
      <c r="H29402" t="s">
        <v>25718</v>
      </c>
    </row>
    <row r="29403" spans="6:8">
      <c r="H29403" t="s">
        <v>25719</v>
      </c>
    </row>
    <row r="29404" spans="6:8">
      <c r="H29404" t="s">
        <v>30806</v>
      </c>
    </row>
    <row r="29405" spans="6:8">
      <c r="H29405" t="s">
        <v>30807</v>
      </c>
    </row>
    <row r="29406" spans="6:8">
      <c r="H29406" t="s">
        <v>30808</v>
      </c>
    </row>
    <row r="29407" spans="6:8">
      <c r="F29407" t="s">
        <v>13622</v>
      </c>
      <c r="G29407" t="s">
        <v>17703</v>
      </c>
      <c r="H29407" t="s">
        <v>30809</v>
      </c>
    </row>
    <row r="29408" spans="6:8">
      <c r="H29408" t="s">
        <v>30810</v>
      </c>
    </row>
    <row r="29409" spans="6:8">
      <c r="H29409" t="s">
        <v>30783</v>
      </c>
    </row>
    <row r="29410" spans="6:8">
      <c r="F29410" t="s">
        <v>13623</v>
      </c>
      <c r="G29410" t="s">
        <v>17704</v>
      </c>
      <c r="H29410" t="s">
        <v>18829</v>
      </c>
    </row>
    <row r="29411" spans="6:8">
      <c r="H29411" t="s">
        <v>18863</v>
      </c>
    </row>
    <row r="29412" spans="6:8">
      <c r="H29412" t="s">
        <v>30811</v>
      </c>
    </row>
    <row r="29413" spans="6:8">
      <c r="F29413" t="s">
        <v>13624</v>
      </c>
      <c r="G29413" t="s">
        <v>17705</v>
      </c>
      <c r="H29413" t="s">
        <v>18829</v>
      </c>
    </row>
    <row r="29414" spans="6:8">
      <c r="H29414" t="s">
        <v>30812</v>
      </c>
    </row>
    <row r="29415" spans="6:8">
      <c r="H29415" t="s">
        <v>30813</v>
      </c>
    </row>
    <row r="29416" spans="6:8">
      <c r="H29416" t="s">
        <v>20077</v>
      </c>
    </row>
    <row r="29417" spans="6:8">
      <c r="F29417" t="s">
        <v>13625</v>
      </c>
      <c r="G29417" t="s">
        <v>17706</v>
      </c>
      <c r="H29417" t="s">
        <v>30814</v>
      </c>
    </row>
    <row r="29418" spans="6:8">
      <c r="F29418" t="s">
        <v>13626</v>
      </c>
      <c r="G29418" t="s">
        <v>16857</v>
      </c>
      <c r="H29418" t="s">
        <v>18829</v>
      </c>
    </row>
    <row r="29419" spans="6:8">
      <c r="H29419" t="s">
        <v>30812</v>
      </c>
    </row>
    <row r="29420" spans="6:8">
      <c r="H29420" t="s">
        <v>30813</v>
      </c>
    </row>
    <row r="29421" spans="6:8">
      <c r="H29421" t="s">
        <v>30815</v>
      </c>
    </row>
    <row r="29422" spans="6:8">
      <c r="H29422" t="s">
        <v>30816</v>
      </c>
    </row>
    <row r="29423" spans="6:8">
      <c r="H29423" t="s">
        <v>30817</v>
      </c>
    </row>
    <row r="29424" spans="6:8">
      <c r="H29424" t="s">
        <v>30818</v>
      </c>
    </row>
    <row r="29425" spans="6:8">
      <c r="H29425" t="s">
        <v>19173</v>
      </c>
    </row>
    <row r="29426" spans="6:8">
      <c r="H29426" t="s">
        <v>30819</v>
      </c>
    </row>
    <row r="29427" spans="6:8">
      <c r="H29427" t="s">
        <v>30820</v>
      </c>
    </row>
    <row r="29428" spans="6:8">
      <c r="H29428" t="s">
        <v>30821</v>
      </c>
    </row>
    <row r="29429" spans="6:8">
      <c r="H29429" t="s">
        <v>30822</v>
      </c>
    </row>
    <row r="29430" spans="6:8">
      <c r="H29430" t="s">
        <v>30823</v>
      </c>
    </row>
    <row r="29431" spans="6:8">
      <c r="F29431" t="s">
        <v>13627</v>
      </c>
      <c r="G29431" t="s">
        <v>16910</v>
      </c>
      <c r="H29431" t="s">
        <v>18829</v>
      </c>
    </row>
    <row r="29432" spans="6:8">
      <c r="H29432" t="s">
        <v>18863</v>
      </c>
    </row>
    <row r="29433" spans="6:8">
      <c r="H29433" t="s">
        <v>26000</v>
      </c>
    </row>
    <row r="29434" spans="6:8">
      <c r="H29434" t="s">
        <v>26001</v>
      </c>
    </row>
    <row r="29435" spans="6:8">
      <c r="H29435" t="s">
        <v>30824</v>
      </c>
    </row>
    <row r="29436" spans="6:8">
      <c r="H29436" t="s">
        <v>30825</v>
      </c>
    </row>
    <row r="29437" spans="6:8">
      <c r="H29437" t="s">
        <v>30826</v>
      </c>
    </row>
    <row r="29438" spans="6:8">
      <c r="H29438" t="s">
        <v>30827</v>
      </c>
    </row>
    <row r="29439" spans="6:8">
      <c r="H29439" t="s">
        <v>30827</v>
      </c>
    </row>
    <row r="29440" spans="6:8">
      <c r="H29440" t="s">
        <v>30828</v>
      </c>
    </row>
    <row r="29441" spans="1:8">
      <c r="H29441" t="s">
        <v>26002</v>
      </c>
    </row>
    <row r="29442" spans="1:8">
      <c r="H29442" t="s">
        <v>26002</v>
      </c>
    </row>
    <row r="29443" spans="1:8">
      <c r="F29443" t="s">
        <v>13628</v>
      </c>
      <c r="G29443" t="s">
        <v>16856</v>
      </c>
      <c r="H29443" t="s">
        <v>22186</v>
      </c>
    </row>
    <row r="29444" spans="1:8">
      <c r="H29444" t="s">
        <v>25686</v>
      </c>
    </row>
    <row r="29445" spans="1:8">
      <c r="H29445" t="s">
        <v>22189</v>
      </c>
    </row>
    <row r="29446" spans="1:8">
      <c r="F29446" t="s">
        <v>13629</v>
      </c>
      <c r="G29446" t="s">
        <v>17707</v>
      </c>
      <c r="H29446" t="s">
        <v>18829</v>
      </c>
    </row>
    <row r="29447" spans="1:8">
      <c r="H29447" t="s">
        <v>18863</v>
      </c>
    </row>
    <row r="29448" spans="1:8">
      <c r="H29448" t="s">
        <v>25716</v>
      </c>
    </row>
    <row r="29449" spans="1:8">
      <c r="F29449" t="s">
        <v>13630</v>
      </c>
      <c r="G29449" t="s">
        <v>16903</v>
      </c>
      <c r="H29449" t="s">
        <v>18829</v>
      </c>
    </row>
    <row r="29450" spans="1:8">
      <c r="H29450" t="s">
        <v>18863</v>
      </c>
    </row>
    <row r="29451" spans="1:8">
      <c r="H29451" t="s">
        <v>30633</v>
      </c>
    </row>
    <row r="29452" spans="1:8">
      <c r="A29452" t="s">
        <v>2081</v>
      </c>
      <c r="B29452">
        <f>HYPERLINK("https://android.googlesource.com/platform/cts/+/dbc2e98f56fe79d07b9ac2f299388f314340c94b", "dbc2e98f56fe79d07b9ac2f299388f314340c94b")</f>
        <v>0</v>
      </c>
      <c r="C29452">
        <f>HYPERLINK("https://android.googlesource.com/platform/cts/+/ea174456d821a8464447c3f8fdc40ed8f57ed67f", "ea174456d821a8464447c3f8fdc40ed8f57ed67f")</f>
        <v>0</v>
      </c>
      <c r="D29452" t="s">
        <v>5328</v>
      </c>
      <c r="E29452" t="s">
        <v>7819</v>
      </c>
      <c r="F29452" t="s">
        <v>13578</v>
      </c>
      <c r="G29452" t="s">
        <v>17681</v>
      </c>
      <c r="H29452" t="s">
        <v>25988</v>
      </c>
    </row>
    <row r="29453" spans="1:8">
      <c r="F29453" t="s">
        <v>13579</v>
      </c>
      <c r="G29453" t="s">
        <v>17682</v>
      </c>
      <c r="H29453" t="s">
        <v>30592</v>
      </c>
    </row>
    <row r="29454" spans="1:8">
      <c r="H29454" t="s">
        <v>30593</v>
      </c>
    </row>
    <row r="29455" spans="1:8">
      <c r="H29455" t="s">
        <v>30594</v>
      </c>
    </row>
    <row r="29456" spans="1:8">
      <c r="H29456" t="s">
        <v>30595</v>
      </c>
    </row>
    <row r="29457" spans="6:8">
      <c r="F29457" t="s">
        <v>13580</v>
      </c>
      <c r="G29457" t="s">
        <v>16843</v>
      </c>
      <c r="H29457" t="s">
        <v>30596</v>
      </c>
    </row>
    <row r="29458" spans="6:8">
      <c r="H29458" t="s">
        <v>30596</v>
      </c>
    </row>
    <row r="29459" spans="6:8">
      <c r="H29459" t="s">
        <v>19232</v>
      </c>
    </row>
    <row r="29460" spans="6:8">
      <c r="H29460" t="s">
        <v>19233</v>
      </c>
    </row>
    <row r="29461" spans="6:8">
      <c r="H29461" t="s">
        <v>20244</v>
      </c>
    </row>
    <row r="29462" spans="6:8">
      <c r="H29462" t="s">
        <v>18927</v>
      </c>
    </row>
    <row r="29463" spans="6:8">
      <c r="H29463" t="s">
        <v>30597</v>
      </c>
    </row>
    <row r="29464" spans="6:8">
      <c r="H29464" t="s">
        <v>28145</v>
      </c>
    </row>
    <row r="29465" spans="6:8">
      <c r="H29465" t="s">
        <v>30598</v>
      </c>
    </row>
    <row r="29466" spans="6:8">
      <c r="H29466" t="s">
        <v>30599</v>
      </c>
    </row>
    <row r="29467" spans="6:8">
      <c r="H29467" t="s">
        <v>30600</v>
      </c>
    </row>
    <row r="29468" spans="6:8">
      <c r="H29468" t="s">
        <v>30601</v>
      </c>
    </row>
    <row r="29469" spans="6:8">
      <c r="H29469" t="s">
        <v>30602</v>
      </c>
    </row>
    <row r="29470" spans="6:8">
      <c r="H29470" t="s">
        <v>30603</v>
      </c>
    </row>
    <row r="29471" spans="6:8">
      <c r="H29471" t="s">
        <v>30604</v>
      </c>
    </row>
    <row r="29472" spans="6:8">
      <c r="H29472" t="s">
        <v>30605</v>
      </c>
    </row>
    <row r="29473" spans="8:8">
      <c r="H29473" t="s">
        <v>30606</v>
      </c>
    </row>
    <row r="29474" spans="8:8">
      <c r="H29474" t="s">
        <v>26657</v>
      </c>
    </row>
    <row r="29475" spans="8:8">
      <c r="H29475" t="s">
        <v>26657</v>
      </c>
    </row>
    <row r="29476" spans="8:8">
      <c r="H29476" t="s">
        <v>30607</v>
      </c>
    </row>
    <row r="29477" spans="8:8">
      <c r="H29477" t="s">
        <v>30608</v>
      </c>
    </row>
    <row r="29478" spans="8:8">
      <c r="H29478" t="s">
        <v>30609</v>
      </c>
    </row>
    <row r="29479" spans="8:8">
      <c r="H29479" t="s">
        <v>30610</v>
      </c>
    </row>
    <row r="29480" spans="8:8">
      <c r="H29480" t="s">
        <v>30611</v>
      </c>
    </row>
    <row r="29481" spans="8:8">
      <c r="H29481" t="s">
        <v>30612</v>
      </c>
    </row>
    <row r="29482" spans="8:8">
      <c r="H29482" t="s">
        <v>30613</v>
      </c>
    </row>
    <row r="29483" spans="8:8">
      <c r="H29483" t="s">
        <v>30614</v>
      </c>
    </row>
    <row r="29484" spans="8:8">
      <c r="H29484" t="s">
        <v>30615</v>
      </c>
    </row>
    <row r="29485" spans="8:8">
      <c r="H29485" t="s">
        <v>30616</v>
      </c>
    </row>
    <row r="29486" spans="8:8">
      <c r="H29486" t="s">
        <v>22715</v>
      </c>
    </row>
    <row r="29487" spans="8:8">
      <c r="H29487" t="s">
        <v>30617</v>
      </c>
    </row>
    <row r="29488" spans="8:8">
      <c r="H29488" t="s">
        <v>30618</v>
      </c>
    </row>
    <row r="29489" spans="6:8">
      <c r="H29489" t="s">
        <v>30619</v>
      </c>
    </row>
    <row r="29490" spans="6:8">
      <c r="H29490" t="s">
        <v>30620</v>
      </c>
    </row>
    <row r="29491" spans="6:8">
      <c r="H29491" t="s">
        <v>30621</v>
      </c>
    </row>
    <row r="29492" spans="6:8">
      <c r="H29492" t="s">
        <v>30622</v>
      </c>
    </row>
    <row r="29493" spans="6:8">
      <c r="H29493" t="s">
        <v>30623</v>
      </c>
    </row>
    <row r="29494" spans="6:8">
      <c r="H29494" t="s">
        <v>30624</v>
      </c>
    </row>
    <row r="29495" spans="6:8">
      <c r="H29495" t="s">
        <v>30625</v>
      </c>
    </row>
    <row r="29496" spans="6:8">
      <c r="H29496" t="s">
        <v>28154</v>
      </c>
    </row>
    <row r="29497" spans="6:8">
      <c r="H29497" t="s">
        <v>30626</v>
      </c>
    </row>
    <row r="29498" spans="6:8">
      <c r="H29498" t="s">
        <v>30627</v>
      </c>
    </row>
    <row r="29499" spans="6:8">
      <c r="F29499" t="s">
        <v>13581</v>
      </c>
      <c r="G29499" t="s">
        <v>15144</v>
      </c>
      <c r="H29499" t="s">
        <v>18927</v>
      </c>
    </row>
    <row r="29500" spans="6:8">
      <c r="H29500" t="s">
        <v>30628</v>
      </c>
    </row>
    <row r="29501" spans="6:8">
      <c r="H29501" t="s">
        <v>26088</v>
      </c>
    </row>
    <row r="29502" spans="6:8">
      <c r="H29502" t="s">
        <v>26093</v>
      </c>
    </row>
    <row r="29503" spans="6:8">
      <c r="H29503" t="s">
        <v>26093</v>
      </c>
    </row>
    <row r="29504" spans="6:8">
      <c r="H29504" t="s">
        <v>28098</v>
      </c>
    </row>
    <row r="29505" spans="6:8">
      <c r="H29505" t="s">
        <v>30629</v>
      </c>
    </row>
    <row r="29506" spans="6:8">
      <c r="F29506" t="s">
        <v>13582</v>
      </c>
      <c r="G29506" t="s">
        <v>17683</v>
      </c>
      <c r="H29506" t="s">
        <v>30608</v>
      </c>
    </row>
    <row r="29507" spans="6:8">
      <c r="H29507" t="s">
        <v>20244</v>
      </c>
    </row>
    <row r="29508" spans="6:8">
      <c r="H29508" t="s">
        <v>19233</v>
      </c>
    </row>
    <row r="29509" spans="6:8">
      <c r="H29509" t="s">
        <v>19232</v>
      </c>
    </row>
    <row r="29510" spans="6:8">
      <c r="H29510" t="s">
        <v>30612</v>
      </c>
    </row>
    <row r="29511" spans="6:8">
      <c r="H29511" t="s">
        <v>30630</v>
      </c>
    </row>
    <row r="29512" spans="6:8">
      <c r="H29512" t="s">
        <v>18927</v>
      </c>
    </row>
    <row r="29513" spans="6:8">
      <c r="H29513" t="s">
        <v>26657</v>
      </c>
    </row>
    <row r="29514" spans="6:8">
      <c r="H29514" t="s">
        <v>20019</v>
      </c>
    </row>
    <row r="29515" spans="6:8">
      <c r="H29515" t="s">
        <v>30631</v>
      </c>
    </row>
    <row r="29516" spans="6:8">
      <c r="H29516" t="s">
        <v>18956</v>
      </c>
    </row>
    <row r="29517" spans="6:8">
      <c r="H29517" t="s">
        <v>30632</v>
      </c>
    </row>
    <row r="29518" spans="6:8">
      <c r="F29518" t="s">
        <v>13583</v>
      </c>
      <c r="G29518" t="s">
        <v>16894</v>
      </c>
      <c r="H29518" t="s">
        <v>18829</v>
      </c>
    </row>
    <row r="29519" spans="6:8">
      <c r="H29519" t="s">
        <v>18863</v>
      </c>
    </row>
    <row r="29520" spans="6:8">
      <c r="H29520" t="s">
        <v>25955</v>
      </c>
    </row>
    <row r="29521" spans="6:8">
      <c r="H29521" t="s">
        <v>30633</v>
      </c>
    </row>
    <row r="29522" spans="6:8">
      <c r="H29522" t="s">
        <v>25959</v>
      </c>
    </row>
    <row r="29523" spans="6:8">
      <c r="H29523" t="s">
        <v>25956</v>
      </c>
    </row>
    <row r="29524" spans="6:8">
      <c r="H29524" t="s">
        <v>25957</v>
      </c>
    </row>
    <row r="29525" spans="6:8">
      <c r="H29525" t="s">
        <v>30634</v>
      </c>
    </row>
    <row r="29526" spans="6:8">
      <c r="H29526" t="s">
        <v>30635</v>
      </c>
    </row>
    <row r="29527" spans="6:8">
      <c r="H29527" t="s">
        <v>30636</v>
      </c>
    </row>
    <row r="29528" spans="6:8">
      <c r="H29528" t="s">
        <v>25960</v>
      </c>
    </row>
    <row r="29529" spans="6:8">
      <c r="F29529" t="s">
        <v>13584</v>
      </c>
      <c r="G29529" t="s">
        <v>16826</v>
      </c>
      <c r="H29529" t="s">
        <v>18829</v>
      </c>
    </row>
    <row r="29530" spans="6:8">
      <c r="H29530" t="s">
        <v>18863</v>
      </c>
    </row>
    <row r="29531" spans="6:8">
      <c r="H29531" t="s">
        <v>30637</v>
      </c>
    </row>
    <row r="29532" spans="6:8">
      <c r="H29532" t="s">
        <v>30638</v>
      </c>
    </row>
    <row r="29533" spans="6:8">
      <c r="H29533" t="s">
        <v>30639</v>
      </c>
    </row>
    <row r="29534" spans="6:8">
      <c r="F29534" t="s">
        <v>13585</v>
      </c>
      <c r="G29534" t="s">
        <v>17323</v>
      </c>
      <c r="H29534" t="s">
        <v>18829</v>
      </c>
    </row>
    <row r="29535" spans="6:8">
      <c r="H29535" t="s">
        <v>18863</v>
      </c>
    </row>
    <row r="29536" spans="6:8">
      <c r="H29536" t="s">
        <v>30640</v>
      </c>
    </row>
    <row r="29537" spans="6:8">
      <c r="F29537" t="s">
        <v>13586</v>
      </c>
      <c r="G29537" t="s">
        <v>17684</v>
      </c>
      <c r="H29537" t="s">
        <v>18829</v>
      </c>
    </row>
    <row r="29538" spans="6:8">
      <c r="H29538" t="s">
        <v>30641</v>
      </c>
    </row>
    <row r="29539" spans="6:8">
      <c r="H29539" t="s">
        <v>30642</v>
      </c>
    </row>
    <row r="29540" spans="6:8">
      <c r="F29540" t="s">
        <v>13587</v>
      </c>
      <c r="G29540" t="s">
        <v>17685</v>
      </c>
      <c r="H29540" t="s">
        <v>30643</v>
      </c>
    </row>
    <row r="29541" spans="6:8">
      <c r="F29541" t="s">
        <v>13588</v>
      </c>
      <c r="G29541" t="s">
        <v>17686</v>
      </c>
      <c r="H29541" t="s">
        <v>18829</v>
      </c>
    </row>
    <row r="29542" spans="6:8">
      <c r="H29542" t="s">
        <v>18863</v>
      </c>
    </row>
    <row r="29543" spans="6:8">
      <c r="H29543" t="s">
        <v>30644</v>
      </c>
    </row>
    <row r="29544" spans="6:8">
      <c r="H29544" t="s">
        <v>30644</v>
      </c>
    </row>
    <row r="29545" spans="6:8">
      <c r="H29545" t="s">
        <v>30645</v>
      </c>
    </row>
    <row r="29546" spans="6:8">
      <c r="H29546" t="s">
        <v>30646</v>
      </c>
    </row>
    <row r="29547" spans="6:8">
      <c r="H29547" t="s">
        <v>30647</v>
      </c>
    </row>
    <row r="29548" spans="6:8">
      <c r="H29548" t="s">
        <v>30648</v>
      </c>
    </row>
    <row r="29549" spans="6:8">
      <c r="H29549" t="s">
        <v>30649</v>
      </c>
    </row>
    <row r="29550" spans="6:8">
      <c r="H29550" t="s">
        <v>30650</v>
      </c>
    </row>
    <row r="29551" spans="6:8">
      <c r="H29551" t="s">
        <v>30651</v>
      </c>
    </row>
    <row r="29552" spans="6:8">
      <c r="H29552" t="s">
        <v>30652</v>
      </c>
    </row>
    <row r="29553" spans="6:8">
      <c r="H29553" t="s">
        <v>18927</v>
      </c>
    </row>
    <row r="29554" spans="6:8">
      <c r="H29554" t="s">
        <v>30653</v>
      </c>
    </row>
    <row r="29555" spans="6:8">
      <c r="H29555" t="s">
        <v>30654</v>
      </c>
    </row>
    <row r="29556" spans="6:8">
      <c r="H29556" t="s">
        <v>30655</v>
      </c>
    </row>
    <row r="29557" spans="6:8">
      <c r="F29557" t="s">
        <v>13589</v>
      </c>
      <c r="G29557" t="s">
        <v>17687</v>
      </c>
      <c r="H29557" t="s">
        <v>18829</v>
      </c>
    </row>
    <row r="29558" spans="6:8">
      <c r="H29558" t="s">
        <v>18863</v>
      </c>
    </row>
    <row r="29559" spans="6:8">
      <c r="H29559" t="s">
        <v>30656</v>
      </c>
    </row>
    <row r="29560" spans="6:8">
      <c r="H29560" t="s">
        <v>30657</v>
      </c>
    </row>
    <row r="29561" spans="6:8">
      <c r="H29561" t="s">
        <v>30658</v>
      </c>
    </row>
    <row r="29562" spans="6:8">
      <c r="H29562" t="s">
        <v>30659</v>
      </c>
    </row>
    <row r="29563" spans="6:8">
      <c r="H29563" t="s">
        <v>30660</v>
      </c>
    </row>
    <row r="29564" spans="6:8">
      <c r="F29564" t="s">
        <v>13590</v>
      </c>
      <c r="G29564" t="s">
        <v>17688</v>
      </c>
      <c r="H29564" t="s">
        <v>18829</v>
      </c>
    </row>
    <row r="29565" spans="6:8">
      <c r="H29565" t="s">
        <v>18863</v>
      </c>
    </row>
    <row r="29566" spans="6:8">
      <c r="H29566" t="s">
        <v>30661</v>
      </c>
    </row>
    <row r="29567" spans="6:8">
      <c r="H29567" t="s">
        <v>30662</v>
      </c>
    </row>
    <row r="29568" spans="6:8">
      <c r="H29568" t="s">
        <v>26298</v>
      </c>
    </row>
    <row r="29569" spans="6:8">
      <c r="F29569" t="s">
        <v>13591</v>
      </c>
      <c r="G29569" t="s">
        <v>17372</v>
      </c>
      <c r="H29569" t="s">
        <v>18829</v>
      </c>
    </row>
    <row r="29570" spans="6:8">
      <c r="H29570" t="s">
        <v>18863</v>
      </c>
    </row>
    <row r="29571" spans="6:8">
      <c r="H29571" t="s">
        <v>30663</v>
      </c>
    </row>
    <row r="29572" spans="6:8">
      <c r="H29572" t="s">
        <v>30664</v>
      </c>
    </row>
    <row r="29573" spans="6:8">
      <c r="H29573" t="s">
        <v>26298</v>
      </c>
    </row>
    <row r="29574" spans="6:8">
      <c r="F29574" t="s">
        <v>13592</v>
      </c>
      <c r="G29574" t="s">
        <v>17689</v>
      </c>
      <c r="H29574" t="s">
        <v>30665</v>
      </c>
    </row>
    <row r="29575" spans="6:8">
      <c r="H29575" t="s">
        <v>30666</v>
      </c>
    </row>
    <row r="29576" spans="6:8">
      <c r="H29576" t="s">
        <v>30667</v>
      </c>
    </row>
    <row r="29577" spans="6:8">
      <c r="H29577" t="s">
        <v>30668</v>
      </c>
    </row>
    <row r="29578" spans="6:8">
      <c r="F29578" t="s">
        <v>13593</v>
      </c>
      <c r="G29578" t="s">
        <v>16924</v>
      </c>
      <c r="H29578" t="s">
        <v>18829</v>
      </c>
    </row>
    <row r="29579" spans="6:8">
      <c r="H29579" t="s">
        <v>18863</v>
      </c>
    </row>
    <row r="29580" spans="6:8">
      <c r="H29580" t="s">
        <v>22847</v>
      </c>
    </row>
    <row r="29581" spans="6:8">
      <c r="H29581" t="s">
        <v>25718</v>
      </c>
    </row>
    <row r="29582" spans="6:8">
      <c r="H29582" t="s">
        <v>26099</v>
      </c>
    </row>
    <row r="29583" spans="6:8">
      <c r="H29583" t="s">
        <v>26100</v>
      </c>
    </row>
    <row r="29584" spans="6:8">
      <c r="H29584" t="s">
        <v>30669</v>
      </c>
    </row>
    <row r="29585" spans="6:8">
      <c r="H29585" t="s">
        <v>30670</v>
      </c>
    </row>
    <row r="29586" spans="6:8">
      <c r="H29586" t="s">
        <v>30671</v>
      </c>
    </row>
    <row r="29587" spans="6:8">
      <c r="H29587" t="s">
        <v>30672</v>
      </c>
    </row>
    <row r="29588" spans="6:8">
      <c r="H29588" t="s">
        <v>30673</v>
      </c>
    </row>
    <row r="29589" spans="6:8">
      <c r="H29589" t="s">
        <v>30674</v>
      </c>
    </row>
    <row r="29590" spans="6:8">
      <c r="H29590" t="s">
        <v>30675</v>
      </c>
    </row>
    <row r="29591" spans="6:8">
      <c r="H29591" t="s">
        <v>30676</v>
      </c>
    </row>
    <row r="29592" spans="6:8">
      <c r="H29592" t="s">
        <v>30677</v>
      </c>
    </row>
    <row r="29593" spans="6:8">
      <c r="F29593" t="s">
        <v>13594</v>
      </c>
      <c r="G29593" t="s">
        <v>17426</v>
      </c>
      <c r="H29593" t="s">
        <v>18829</v>
      </c>
    </row>
    <row r="29594" spans="6:8">
      <c r="H29594" t="s">
        <v>18863</v>
      </c>
    </row>
    <row r="29595" spans="6:8">
      <c r="H29595" t="s">
        <v>28993</v>
      </c>
    </row>
    <row r="29596" spans="6:8">
      <c r="H29596" t="s">
        <v>30678</v>
      </c>
    </row>
    <row r="29597" spans="6:8">
      <c r="H29597" t="s">
        <v>30679</v>
      </c>
    </row>
    <row r="29598" spans="6:8">
      <c r="H29598" t="s">
        <v>30680</v>
      </c>
    </row>
    <row r="29599" spans="6:8">
      <c r="H29599" t="s">
        <v>30681</v>
      </c>
    </row>
    <row r="29600" spans="6:8">
      <c r="H29600" t="s">
        <v>28994</v>
      </c>
    </row>
    <row r="29601" spans="6:8">
      <c r="H29601" t="s">
        <v>28995</v>
      </c>
    </row>
    <row r="29602" spans="6:8">
      <c r="H29602" t="s">
        <v>28996</v>
      </c>
    </row>
    <row r="29603" spans="6:8">
      <c r="H29603" t="s">
        <v>28997</v>
      </c>
    </row>
    <row r="29604" spans="6:8">
      <c r="F29604" t="s">
        <v>13595</v>
      </c>
      <c r="G29604" t="s">
        <v>17690</v>
      </c>
      <c r="H29604" t="s">
        <v>18829</v>
      </c>
    </row>
    <row r="29605" spans="6:8">
      <c r="H29605" t="s">
        <v>18863</v>
      </c>
    </row>
    <row r="29606" spans="6:8">
      <c r="H29606" t="s">
        <v>30682</v>
      </c>
    </row>
    <row r="29607" spans="6:8">
      <c r="H29607" t="s">
        <v>30683</v>
      </c>
    </row>
    <row r="29608" spans="6:8">
      <c r="F29608" t="s">
        <v>13596</v>
      </c>
      <c r="G29608" t="s">
        <v>17691</v>
      </c>
      <c r="H29608" t="s">
        <v>18829</v>
      </c>
    </row>
    <row r="29609" spans="6:8">
      <c r="H29609" t="s">
        <v>30684</v>
      </c>
    </row>
    <row r="29610" spans="6:8">
      <c r="H29610" t="s">
        <v>30685</v>
      </c>
    </row>
    <row r="29611" spans="6:8">
      <c r="H29611" t="s">
        <v>30686</v>
      </c>
    </row>
    <row r="29612" spans="6:8">
      <c r="H29612" t="s">
        <v>30687</v>
      </c>
    </row>
    <row r="29613" spans="6:8">
      <c r="H29613" t="s">
        <v>30688</v>
      </c>
    </row>
    <row r="29614" spans="6:8">
      <c r="H29614" t="s">
        <v>19759</v>
      </c>
    </row>
    <row r="29615" spans="6:8">
      <c r="F29615" t="s">
        <v>13597</v>
      </c>
      <c r="G29615" t="s">
        <v>17322</v>
      </c>
      <c r="H29615" t="s">
        <v>18829</v>
      </c>
    </row>
    <row r="29616" spans="6:8">
      <c r="H29616" t="s">
        <v>30689</v>
      </c>
    </row>
    <row r="29617" spans="6:8">
      <c r="H29617" t="s">
        <v>30690</v>
      </c>
    </row>
    <row r="29618" spans="6:8">
      <c r="H29618" t="s">
        <v>30691</v>
      </c>
    </row>
    <row r="29619" spans="6:8">
      <c r="H29619" t="s">
        <v>30692</v>
      </c>
    </row>
    <row r="29620" spans="6:8">
      <c r="H29620" t="s">
        <v>26114</v>
      </c>
    </row>
    <row r="29621" spans="6:8">
      <c r="F29621" t="s">
        <v>13598</v>
      </c>
      <c r="G29621" t="s">
        <v>16923</v>
      </c>
      <c r="H29621" t="s">
        <v>18829</v>
      </c>
    </row>
    <row r="29622" spans="6:8">
      <c r="H29622" t="s">
        <v>26081</v>
      </c>
    </row>
    <row r="29623" spans="6:8">
      <c r="H29623" t="s">
        <v>26082</v>
      </c>
    </row>
    <row r="29624" spans="6:8">
      <c r="H29624" t="s">
        <v>26083</v>
      </c>
    </row>
    <row r="29625" spans="6:8">
      <c r="H29625" t="s">
        <v>26084</v>
      </c>
    </row>
    <row r="29626" spans="6:8">
      <c r="F29626" t="s">
        <v>13599</v>
      </c>
      <c r="G29626" t="s">
        <v>16918</v>
      </c>
      <c r="H29626" t="s">
        <v>18829</v>
      </c>
    </row>
    <row r="29627" spans="6:8">
      <c r="H29627" t="s">
        <v>26069</v>
      </c>
    </row>
    <row r="29628" spans="6:8">
      <c r="H29628" t="s">
        <v>26070</v>
      </c>
    </row>
    <row r="29629" spans="6:8">
      <c r="H29629" t="s">
        <v>26071</v>
      </c>
    </row>
    <row r="29630" spans="6:8">
      <c r="H29630" t="s">
        <v>26072</v>
      </c>
    </row>
    <row r="29631" spans="6:8">
      <c r="H29631" t="s">
        <v>26073</v>
      </c>
    </row>
    <row r="29632" spans="6:8">
      <c r="H29632" t="s">
        <v>30693</v>
      </c>
    </row>
    <row r="29633" spans="6:8">
      <c r="H29633" t="s">
        <v>30694</v>
      </c>
    </row>
    <row r="29634" spans="6:8">
      <c r="F29634" t="s">
        <v>13600</v>
      </c>
      <c r="G29634" t="s">
        <v>16845</v>
      </c>
      <c r="H29634" t="s">
        <v>18829</v>
      </c>
    </row>
    <row r="29635" spans="6:8">
      <c r="H29635" t="s">
        <v>29660</v>
      </c>
    </row>
    <row r="29636" spans="6:8">
      <c r="H29636" t="s">
        <v>29661</v>
      </c>
    </row>
    <row r="29637" spans="6:8">
      <c r="H29637" t="s">
        <v>29662</v>
      </c>
    </row>
    <row r="29638" spans="6:8">
      <c r="H29638" t="s">
        <v>29663</v>
      </c>
    </row>
    <row r="29639" spans="6:8">
      <c r="H29639" t="s">
        <v>29664</v>
      </c>
    </row>
    <row r="29640" spans="6:8">
      <c r="H29640" t="s">
        <v>29665</v>
      </c>
    </row>
    <row r="29641" spans="6:8">
      <c r="H29641" t="s">
        <v>30695</v>
      </c>
    </row>
    <row r="29642" spans="6:8">
      <c r="H29642" t="s">
        <v>30696</v>
      </c>
    </row>
    <row r="29643" spans="6:8">
      <c r="H29643" t="s">
        <v>30697</v>
      </c>
    </row>
    <row r="29644" spans="6:8">
      <c r="H29644" t="s">
        <v>30698</v>
      </c>
    </row>
    <row r="29645" spans="6:8">
      <c r="H29645" t="s">
        <v>30699</v>
      </c>
    </row>
    <row r="29646" spans="6:8">
      <c r="H29646" t="s">
        <v>30700</v>
      </c>
    </row>
    <row r="29647" spans="6:8">
      <c r="H29647" t="s">
        <v>30701</v>
      </c>
    </row>
    <row r="29648" spans="6:8">
      <c r="H29648" t="s">
        <v>30702</v>
      </c>
    </row>
    <row r="29649" spans="6:8">
      <c r="H29649" t="s">
        <v>30703</v>
      </c>
    </row>
    <row r="29650" spans="6:8">
      <c r="F29650" t="s">
        <v>13601</v>
      </c>
      <c r="G29650" t="s">
        <v>17305</v>
      </c>
      <c r="H29650" t="s">
        <v>30704</v>
      </c>
    </row>
    <row r="29651" spans="6:8">
      <c r="H29651" t="s">
        <v>30704</v>
      </c>
    </row>
    <row r="29652" spans="6:8">
      <c r="H29652" t="s">
        <v>18829</v>
      </c>
    </row>
    <row r="29653" spans="6:8">
      <c r="H29653" t="s">
        <v>18863</v>
      </c>
    </row>
    <row r="29654" spans="6:8">
      <c r="H29654" t="s">
        <v>30705</v>
      </c>
    </row>
    <row r="29655" spans="6:8">
      <c r="H29655" t="s">
        <v>30706</v>
      </c>
    </row>
    <row r="29656" spans="6:8">
      <c r="H29656" t="s">
        <v>30707</v>
      </c>
    </row>
    <row r="29657" spans="6:8">
      <c r="H29657" t="s">
        <v>30708</v>
      </c>
    </row>
    <row r="29658" spans="6:8">
      <c r="H29658" t="s">
        <v>30709</v>
      </c>
    </row>
    <row r="29659" spans="6:8">
      <c r="H29659" t="s">
        <v>30710</v>
      </c>
    </row>
    <row r="29660" spans="6:8">
      <c r="H29660" t="s">
        <v>30711</v>
      </c>
    </row>
    <row r="29661" spans="6:8">
      <c r="H29661" t="s">
        <v>30712</v>
      </c>
    </row>
    <row r="29662" spans="6:8">
      <c r="H29662" t="s">
        <v>30713</v>
      </c>
    </row>
    <row r="29663" spans="6:8">
      <c r="H29663" t="s">
        <v>30713</v>
      </c>
    </row>
    <row r="29664" spans="6:8">
      <c r="H29664" t="s">
        <v>29493</v>
      </c>
    </row>
    <row r="29665" spans="6:8">
      <c r="H29665" t="s">
        <v>30714</v>
      </c>
    </row>
    <row r="29666" spans="6:8">
      <c r="H29666" t="s">
        <v>30715</v>
      </c>
    </row>
    <row r="29667" spans="6:8">
      <c r="F29667" t="s">
        <v>13602</v>
      </c>
      <c r="G29667" t="s">
        <v>16867</v>
      </c>
      <c r="H29667" t="s">
        <v>25716</v>
      </c>
    </row>
    <row r="29668" spans="6:8">
      <c r="H29668" t="s">
        <v>30716</v>
      </c>
    </row>
    <row r="29669" spans="6:8">
      <c r="H29669" t="s">
        <v>26652</v>
      </c>
    </row>
    <row r="29670" spans="6:8">
      <c r="H29670" t="s">
        <v>26653</v>
      </c>
    </row>
    <row r="29671" spans="6:8">
      <c r="H29671" t="s">
        <v>26654</v>
      </c>
    </row>
    <row r="29672" spans="6:8">
      <c r="H29672" t="s">
        <v>26655</v>
      </c>
    </row>
    <row r="29673" spans="6:8">
      <c r="H29673" t="s">
        <v>18927</v>
      </c>
    </row>
    <row r="29674" spans="6:8">
      <c r="H29674" t="s">
        <v>25497</v>
      </c>
    </row>
    <row r="29675" spans="6:8">
      <c r="H29675" t="s">
        <v>28090</v>
      </c>
    </row>
    <row r="29676" spans="6:8">
      <c r="H29676" t="s">
        <v>26656</v>
      </c>
    </row>
    <row r="29677" spans="6:8">
      <c r="H29677" t="s">
        <v>30609</v>
      </c>
    </row>
    <row r="29678" spans="6:8">
      <c r="F29678" t="s">
        <v>13603</v>
      </c>
      <c r="G29678" t="s">
        <v>17320</v>
      </c>
      <c r="H29678" t="s">
        <v>18829</v>
      </c>
    </row>
    <row r="29679" spans="6:8">
      <c r="H29679" t="s">
        <v>30717</v>
      </c>
    </row>
    <row r="29680" spans="6:8">
      <c r="H29680" t="s">
        <v>30644</v>
      </c>
    </row>
    <row r="29681" spans="8:8">
      <c r="H29681" t="s">
        <v>30644</v>
      </c>
    </row>
    <row r="29682" spans="8:8">
      <c r="H29682" t="s">
        <v>18863</v>
      </c>
    </row>
    <row r="29683" spans="8:8">
      <c r="H29683" t="s">
        <v>28450</v>
      </c>
    </row>
    <row r="29684" spans="8:8">
      <c r="H29684" t="s">
        <v>30718</v>
      </c>
    </row>
    <row r="29685" spans="8:8">
      <c r="H29685" t="s">
        <v>30719</v>
      </c>
    </row>
    <row r="29686" spans="8:8">
      <c r="H29686" t="s">
        <v>30720</v>
      </c>
    </row>
    <row r="29687" spans="8:8">
      <c r="H29687" t="s">
        <v>30721</v>
      </c>
    </row>
    <row r="29688" spans="8:8">
      <c r="H29688" t="s">
        <v>30722</v>
      </c>
    </row>
    <row r="29689" spans="8:8">
      <c r="H29689" t="s">
        <v>30723</v>
      </c>
    </row>
    <row r="29690" spans="8:8">
      <c r="H29690" t="s">
        <v>30724</v>
      </c>
    </row>
    <row r="29691" spans="8:8">
      <c r="H29691" t="s">
        <v>30725</v>
      </c>
    </row>
    <row r="29692" spans="8:8">
      <c r="H29692" t="s">
        <v>30726</v>
      </c>
    </row>
    <row r="29693" spans="8:8">
      <c r="H29693" t="s">
        <v>30727</v>
      </c>
    </row>
    <row r="29694" spans="8:8">
      <c r="H29694" t="s">
        <v>26001</v>
      </c>
    </row>
    <row r="29695" spans="8:8">
      <c r="H29695" t="s">
        <v>30728</v>
      </c>
    </row>
    <row r="29696" spans="8:8">
      <c r="H29696" t="s">
        <v>30695</v>
      </c>
    </row>
    <row r="29697" spans="8:8">
      <c r="H29697" t="s">
        <v>30729</v>
      </c>
    </row>
    <row r="29698" spans="8:8">
      <c r="H29698" t="s">
        <v>28365</v>
      </c>
    </row>
    <row r="29699" spans="8:8">
      <c r="H29699" t="s">
        <v>26656</v>
      </c>
    </row>
    <row r="29700" spans="8:8">
      <c r="H29700" t="s">
        <v>18927</v>
      </c>
    </row>
    <row r="29701" spans="8:8">
      <c r="H29701" t="s">
        <v>26655</v>
      </c>
    </row>
    <row r="29702" spans="8:8">
      <c r="H29702" t="s">
        <v>26653</v>
      </c>
    </row>
    <row r="29703" spans="8:8">
      <c r="H29703" t="s">
        <v>26654</v>
      </c>
    </row>
    <row r="29704" spans="8:8">
      <c r="H29704" t="s">
        <v>26652</v>
      </c>
    </row>
    <row r="29705" spans="8:8">
      <c r="H29705" t="s">
        <v>30609</v>
      </c>
    </row>
    <row r="29706" spans="8:8">
      <c r="H29706" t="s">
        <v>25497</v>
      </c>
    </row>
    <row r="29707" spans="8:8">
      <c r="H29707" t="s">
        <v>28090</v>
      </c>
    </row>
    <row r="29708" spans="8:8">
      <c r="H29708" t="s">
        <v>30730</v>
      </c>
    </row>
    <row r="29709" spans="8:8">
      <c r="H29709" t="s">
        <v>30731</v>
      </c>
    </row>
    <row r="29710" spans="8:8">
      <c r="H29710" t="s">
        <v>29686</v>
      </c>
    </row>
    <row r="29711" spans="8:8">
      <c r="H29711" t="s">
        <v>29687</v>
      </c>
    </row>
    <row r="29712" spans="8:8">
      <c r="H29712" t="s">
        <v>29688</v>
      </c>
    </row>
    <row r="29713" spans="6:8">
      <c r="H29713" t="s">
        <v>29689</v>
      </c>
    </row>
    <row r="29714" spans="6:8">
      <c r="H29714" t="s">
        <v>29690</v>
      </c>
    </row>
    <row r="29715" spans="6:8">
      <c r="H29715" t="s">
        <v>29691</v>
      </c>
    </row>
    <row r="29716" spans="6:8">
      <c r="H29716" t="s">
        <v>29692</v>
      </c>
    </row>
    <row r="29717" spans="6:8">
      <c r="H29717" t="s">
        <v>29693</v>
      </c>
    </row>
    <row r="29718" spans="6:8">
      <c r="H29718" t="s">
        <v>29694</v>
      </c>
    </row>
    <row r="29719" spans="6:8">
      <c r="H29719" t="s">
        <v>29695</v>
      </c>
    </row>
    <row r="29720" spans="6:8">
      <c r="H29720" t="s">
        <v>29696</v>
      </c>
    </row>
    <row r="29721" spans="6:8">
      <c r="H29721" t="s">
        <v>29697</v>
      </c>
    </row>
    <row r="29722" spans="6:8">
      <c r="H29722" t="s">
        <v>29698</v>
      </c>
    </row>
    <row r="29723" spans="6:8">
      <c r="H29723" t="s">
        <v>29699</v>
      </c>
    </row>
    <row r="29724" spans="6:8">
      <c r="H29724" t="s">
        <v>29700</v>
      </c>
    </row>
    <row r="29725" spans="6:8">
      <c r="H29725" t="s">
        <v>18927</v>
      </c>
    </row>
    <row r="29726" spans="6:8">
      <c r="H29726" t="s">
        <v>29862</v>
      </c>
    </row>
    <row r="29727" spans="6:8">
      <c r="F29727" t="s">
        <v>13604</v>
      </c>
      <c r="G29727" t="s">
        <v>17287</v>
      </c>
      <c r="H29727" t="s">
        <v>26000</v>
      </c>
    </row>
    <row r="29728" spans="6:8">
      <c r="H29728" t="s">
        <v>26001</v>
      </c>
    </row>
    <row r="29729" spans="6:8">
      <c r="H29729" t="s">
        <v>30732</v>
      </c>
    </row>
    <row r="29730" spans="6:8">
      <c r="H29730" t="s">
        <v>28018</v>
      </c>
    </row>
    <row r="29731" spans="6:8">
      <c r="F29731" t="s">
        <v>13605</v>
      </c>
      <c r="G29731" t="s">
        <v>17692</v>
      </c>
      <c r="H29731" t="s">
        <v>30733</v>
      </c>
    </row>
    <row r="29732" spans="6:8">
      <c r="H29732" t="s">
        <v>18927</v>
      </c>
    </row>
    <row r="29733" spans="6:8">
      <c r="H29733" t="s">
        <v>25497</v>
      </c>
    </row>
    <row r="29734" spans="6:8">
      <c r="H29734" t="s">
        <v>28090</v>
      </c>
    </row>
    <row r="29735" spans="6:8">
      <c r="H29735" t="s">
        <v>26656</v>
      </c>
    </row>
    <row r="29736" spans="6:8">
      <c r="H29736" t="s">
        <v>30609</v>
      </c>
    </row>
    <row r="29737" spans="6:8">
      <c r="H29737" t="s">
        <v>26652</v>
      </c>
    </row>
    <row r="29738" spans="6:8">
      <c r="H29738" t="s">
        <v>26653</v>
      </c>
    </row>
    <row r="29739" spans="6:8">
      <c r="H29739" t="s">
        <v>26654</v>
      </c>
    </row>
    <row r="29740" spans="6:8">
      <c r="H29740" t="s">
        <v>26655</v>
      </c>
    </row>
    <row r="29741" spans="6:8">
      <c r="F29741" t="s">
        <v>13606</v>
      </c>
      <c r="G29741" t="s">
        <v>17693</v>
      </c>
      <c r="H29741" t="s">
        <v>30607</v>
      </c>
    </row>
    <row r="29742" spans="6:8">
      <c r="F29742" t="s">
        <v>13607</v>
      </c>
      <c r="G29742" t="s">
        <v>17510</v>
      </c>
      <c r="H29742" t="s">
        <v>30734</v>
      </c>
    </row>
    <row r="29743" spans="6:8">
      <c r="H29743" t="s">
        <v>26657</v>
      </c>
    </row>
    <row r="29744" spans="6:8">
      <c r="H29744" t="s">
        <v>30734</v>
      </c>
    </row>
    <row r="29745" spans="6:8">
      <c r="H29745" t="s">
        <v>18829</v>
      </c>
    </row>
    <row r="29746" spans="6:8">
      <c r="H29746" t="s">
        <v>30735</v>
      </c>
    </row>
    <row r="29747" spans="6:8">
      <c r="H29747" t="s">
        <v>30736</v>
      </c>
    </row>
    <row r="29748" spans="6:8">
      <c r="H29748" t="s">
        <v>25956</v>
      </c>
    </row>
    <row r="29749" spans="6:8">
      <c r="F29749" t="s">
        <v>13608</v>
      </c>
      <c r="G29749" t="s">
        <v>17694</v>
      </c>
      <c r="H29749" t="s">
        <v>30737</v>
      </c>
    </row>
    <row r="29750" spans="6:8">
      <c r="F29750" t="s">
        <v>13609</v>
      </c>
      <c r="G29750" t="s">
        <v>17695</v>
      </c>
      <c r="H29750" t="s">
        <v>18829</v>
      </c>
    </row>
    <row r="29751" spans="6:8">
      <c r="H29751" t="s">
        <v>18863</v>
      </c>
    </row>
    <row r="29752" spans="6:8">
      <c r="H29752" t="s">
        <v>30738</v>
      </c>
    </row>
    <row r="29753" spans="6:8">
      <c r="H29753" t="s">
        <v>30739</v>
      </c>
    </row>
    <row r="29754" spans="6:8">
      <c r="H29754" t="s">
        <v>30740</v>
      </c>
    </row>
    <row r="29755" spans="6:8">
      <c r="H29755" t="s">
        <v>30741</v>
      </c>
    </row>
    <row r="29756" spans="6:8">
      <c r="H29756" t="s">
        <v>30742</v>
      </c>
    </row>
    <row r="29757" spans="6:8">
      <c r="H29757" t="s">
        <v>30743</v>
      </c>
    </row>
    <row r="29758" spans="6:8">
      <c r="F29758" t="s">
        <v>13610</v>
      </c>
      <c r="G29758" t="s">
        <v>17696</v>
      </c>
      <c r="H29758" t="s">
        <v>30744</v>
      </c>
    </row>
    <row r="29759" spans="6:8">
      <c r="H29759" t="s">
        <v>30745</v>
      </c>
    </row>
    <row r="29760" spans="6:8">
      <c r="H29760" t="s">
        <v>30746</v>
      </c>
    </row>
    <row r="29761" spans="6:8">
      <c r="F29761" t="s">
        <v>13611</v>
      </c>
      <c r="G29761" t="s">
        <v>17428</v>
      </c>
      <c r="H29761" t="s">
        <v>29006</v>
      </c>
    </row>
    <row r="29762" spans="6:8">
      <c r="H29762" t="s">
        <v>29007</v>
      </c>
    </row>
    <row r="29763" spans="6:8">
      <c r="F29763" t="s">
        <v>13612</v>
      </c>
      <c r="G29763" t="s">
        <v>17697</v>
      </c>
      <c r="H29763" t="s">
        <v>30747</v>
      </c>
    </row>
    <row r="29764" spans="6:8">
      <c r="H29764" t="s">
        <v>30748</v>
      </c>
    </row>
    <row r="29765" spans="6:8">
      <c r="H29765" t="s">
        <v>30749</v>
      </c>
    </row>
    <row r="29766" spans="6:8">
      <c r="H29766" t="s">
        <v>30750</v>
      </c>
    </row>
    <row r="29767" spans="6:8">
      <c r="F29767" t="s">
        <v>13613</v>
      </c>
      <c r="G29767" t="s">
        <v>16868</v>
      </c>
      <c r="H29767" t="s">
        <v>30751</v>
      </c>
    </row>
    <row r="29768" spans="6:8">
      <c r="H29768" t="s">
        <v>28161</v>
      </c>
    </row>
    <row r="29769" spans="6:8">
      <c r="H29769" t="s">
        <v>18930</v>
      </c>
    </row>
    <row r="29770" spans="6:8">
      <c r="H29770" t="s">
        <v>28090</v>
      </c>
    </row>
    <row r="29771" spans="6:8">
      <c r="H29771" t="s">
        <v>18931</v>
      </c>
    </row>
    <row r="29772" spans="6:8">
      <c r="H29772" t="s">
        <v>26589</v>
      </c>
    </row>
    <row r="29773" spans="6:8">
      <c r="F29773" t="s">
        <v>13614</v>
      </c>
      <c r="G29773" t="s">
        <v>17698</v>
      </c>
      <c r="H29773" t="s">
        <v>18829</v>
      </c>
    </row>
    <row r="29774" spans="6:8">
      <c r="H29774" t="s">
        <v>30752</v>
      </c>
    </row>
    <row r="29775" spans="6:8">
      <c r="H29775" t="s">
        <v>30753</v>
      </c>
    </row>
    <row r="29776" spans="6:8">
      <c r="H29776" t="s">
        <v>30754</v>
      </c>
    </row>
    <row r="29777" spans="8:8">
      <c r="H29777" t="s">
        <v>30755</v>
      </c>
    </row>
    <row r="29778" spans="8:8">
      <c r="H29778" t="s">
        <v>30756</v>
      </c>
    </row>
    <row r="29779" spans="8:8">
      <c r="H29779" t="s">
        <v>30757</v>
      </c>
    </row>
    <row r="29780" spans="8:8">
      <c r="H29780" t="s">
        <v>30758</v>
      </c>
    </row>
    <row r="29781" spans="8:8">
      <c r="H29781" t="s">
        <v>30759</v>
      </c>
    </row>
    <row r="29782" spans="8:8">
      <c r="H29782" t="s">
        <v>30760</v>
      </c>
    </row>
    <row r="29783" spans="8:8">
      <c r="H29783" t="s">
        <v>30761</v>
      </c>
    </row>
    <row r="29784" spans="8:8">
      <c r="H29784" t="s">
        <v>30762</v>
      </c>
    </row>
    <row r="29785" spans="8:8">
      <c r="H29785" t="s">
        <v>30763</v>
      </c>
    </row>
    <row r="29786" spans="8:8">
      <c r="H29786" t="s">
        <v>30764</v>
      </c>
    </row>
    <row r="29787" spans="8:8">
      <c r="H29787" t="s">
        <v>30765</v>
      </c>
    </row>
    <row r="29788" spans="8:8">
      <c r="H29788" t="s">
        <v>30766</v>
      </c>
    </row>
    <row r="29789" spans="8:8">
      <c r="H29789" t="s">
        <v>30767</v>
      </c>
    </row>
    <row r="29790" spans="8:8">
      <c r="H29790" t="s">
        <v>30768</v>
      </c>
    </row>
    <row r="29791" spans="8:8">
      <c r="H29791" t="s">
        <v>30769</v>
      </c>
    </row>
    <row r="29792" spans="8:8">
      <c r="H29792" t="s">
        <v>30770</v>
      </c>
    </row>
    <row r="29793" spans="6:8">
      <c r="H29793" t="s">
        <v>30771</v>
      </c>
    </row>
    <row r="29794" spans="6:8">
      <c r="H29794" t="s">
        <v>30772</v>
      </c>
    </row>
    <row r="29795" spans="6:8">
      <c r="H29795" t="s">
        <v>30772</v>
      </c>
    </row>
    <row r="29796" spans="6:8">
      <c r="H29796" t="s">
        <v>30772</v>
      </c>
    </row>
    <row r="29797" spans="6:8">
      <c r="H29797" t="s">
        <v>30773</v>
      </c>
    </row>
    <row r="29798" spans="6:8">
      <c r="H29798" t="s">
        <v>30774</v>
      </c>
    </row>
    <row r="29799" spans="6:8">
      <c r="H29799" t="s">
        <v>30775</v>
      </c>
    </row>
    <row r="29800" spans="6:8">
      <c r="H29800" t="s">
        <v>30776</v>
      </c>
    </row>
    <row r="29801" spans="6:8">
      <c r="H29801" t="s">
        <v>30777</v>
      </c>
    </row>
    <row r="29802" spans="6:8">
      <c r="H29802" t="s">
        <v>30778</v>
      </c>
    </row>
    <row r="29803" spans="6:8">
      <c r="H29803" t="s">
        <v>30779</v>
      </c>
    </row>
    <row r="29804" spans="6:8">
      <c r="H29804" t="s">
        <v>30780</v>
      </c>
    </row>
    <row r="29805" spans="6:8">
      <c r="H29805" t="s">
        <v>30781</v>
      </c>
    </row>
    <row r="29806" spans="6:8">
      <c r="H29806" t="s">
        <v>30772</v>
      </c>
    </row>
    <row r="29807" spans="6:8">
      <c r="F29807" t="s">
        <v>13615</v>
      </c>
      <c r="G29807" t="s">
        <v>17699</v>
      </c>
      <c r="H29807" t="s">
        <v>30782</v>
      </c>
    </row>
    <row r="29808" spans="6:8">
      <c r="H29808" t="s">
        <v>30783</v>
      </c>
    </row>
    <row r="29809" spans="6:8">
      <c r="F29809" t="s">
        <v>13616</v>
      </c>
      <c r="G29809" t="s">
        <v>16860</v>
      </c>
      <c r="H29809" t="s">
        <v>18829</v>
      </c>
    </row>
    <row r="29810" spans="6:8">
      <c r="H29810" t="s">
        <v>18863</v>
      </c>
    </row>
    <row r="29811" spans="6:8">
      <c r="H29811" t="s">
        <v>25716</v>
      </c>
    </row>
    <row r="29812" spans="6:8">
      <c r="H29812" t="s">
        <v>25717</v>
      </c>
    </row>
    <row r="29813" spans="6:8">
      <c r="H29813" t="s">
        <v>25719</v>
      </c>
    </row>
    <row r="29814" spans="6:8">
      <c r="H29814" t="s">
        <v>30784</v>
      </c>
    </row>
    <row r="29815" spans="6:8">
      <c r="H29815" t="s">
        <v>30785</v>
      </c>
    </row>
    <row r="29816" spans="6:8">
      <c r="H29816" t="s">
        <v>30786</v>
      </c>
    </row>
    <row r="29817" spans="6:8">
      <c r="F29817" t="s">
        <v>13617</v>
      </c>
      <c r="G29817" t="s">
        <v>16869</v>
      </c>
      <c r="H29817" t="s">
        <v>30787</v>
      </c>
    </row>
    <row r="29818" spans="6:8">
      <c r="H29818" t="s">
        <v>30788</v>
      </c>
    </row>
    <row r="29819" spans="6:8">
      <c r="H29819" t="s">
        <v>30789</v>
      </c>
    </row>
    <row r="29820" spans="6:8">
      <c r="H29820" t="s">
        <v>30790</v>
      </c>
    </row>
    <row r="29821" spans="6:8">
      <c r="H29821" t="s">
        <v>30791</v>
      </c>
    </row>
    <row r="29822" spans="6:8">
      <c r="H29822" t="s">
        <v>30792</v>
      </c>
    </row>
    <row r="29823" spans="6:8">
      <c r="H29823" t="s">
        <v>30793</v>
      </c>
    </row>
    <row r="29824" spans="6:8">
      <c r="H29824" t="s">
        <v>30794</v>
      </c>
    </row>
    <row r="29825" spans="6:8">
      <c r="F29825" t="s">
        <v>13618</v>
      </c>
      <c r="G29825" t="s">
        <v>15044</v>
      </c>
      <c r="H29825" t="s">
        <v>18939</v>
      </c>
    </row>
    <row r="29826" spans="6:8">
      <c r="H29826" t="s">
        <v>18931</v>
      </c>
    </row>
    <row r="29827" spans="6:8">
      <c r="H29827" t="s">
        <v>19790</v>
      </c>
    </row>
    <row r="29828" spans="6:8">
      <c r="H29828" t="s">
        <v>25721</v>
      </c>
    </row>
    <row r="29829" spans="6:8">
      <c r="H29829" t="s">
        <v>25722</v>
      </c>
    </row>
    <row r="29830" spans="6:8">
      <c r="H29830" t="s">
        <v>25723</v>
      </c>
    </row>
    <row r="29831" spans="6:8">
      <c r="H29831" t="s">
        <v>20444</v>
      </c>
    </row>
    <row r="29832" spans="6:8">
      <c r="H29832" t="s">
        <v>18820</v>
      </c>
    </row>
    <row r="29833" spans="6:8">
      <c r="H29833" t="s">
        <v>18824</v>
      </c>
    </row>
    <row r="29834" spans="6:8">
      <c r="H29834" t="s">
        <v>25687</v>
      </c>
    </row>
    <row r="29835" spans="6:8">
      <c r="H29835" t="s">
        <v>25688</v>
      </c>
    </row>
    <row r="29836" spans="6:8">
      <c r="H29836" t="s">
        <v>25724</v>
      </c>
    </row>
    <row r="29837" spans="6:8">
      <c r="H29837" t="s">
        <v>25725</v>
      </c>
    </row>
    <row r="29838" spans="6:8">
      <c r="H29838" t="s">
        <v>25726</v>
      </c>
    </row>
    <row r="29839" spans="6:8">
      <c r="H29839" t="s">
        <v>25727</v>
      </c>
    </row>
    <row r="29840" spans="6:8">
      <c r="H29840" t="s">
        <v>19918</v>
      </c>
    </row>
    <row r="29841" spans="6:8">
      <c r="H29841" t="s">
        <v>30795</v>
      </c>
    </row>
    <row r="29842" spans="6:8">
      <c r="H29842" t="s">
        <v>30796</v>
      </c>
    </row>
    <row r="29843" spans="6:8">
      <c r="H29843" t="s">
        <v>30797</v>
      </c>
    </row>
    <row r="29844" spans="6:8">
      <c r="H29844" t="s">
        <v>30798</v>
      </c>
    </row>
    <row r="29845" spans="6:8">
      <c r="H29845" t="s">
        <v>30799</v>
      </c>
    </row>
    <row r="29846" spans="6:8">
      <c r="H29846" t="s">
        <v>18893</v>
      </c>
    </row>
    <row r="29847" spans="6:8">
      <c r="H29847" t="s">
        <v>30800</v>
      </c>
    </row>
    <row r="29848" spans="6:8">
      <c r="H29848" t="s">
        <v>30801</v>
      </c>
    </row>
    <row r="29849" spans="6:8">
      <c r="H29849" t="s">
        <v>30802</v>
      </c>
    </row>
    <row r="29850" spans="6:8">
      <c r="H29850" t="s">
        <v>25728</v>
      </c>
    </row>
    <row r="29851" spans="6:8">
      <c r="H29851" t="s">
        <v>19735</v>
      </c>
    </row>
    <row r="29852" spans="6:8">
      <c r="F29852" t="s">
        <v>13619</v>
      </c>
      <c r="G29852" t="s">
        <v>17700</v>
      </c>
      <c r="H29852" t="s">
        <v>30803</v>
      </c>
    </row>
    <row r="29853" spans="6:8">
      <c r="H29853" t="s">
        <v>22310</v>
      </c>
    </row>
    <row r="29854" spans="6:8">
      <c r="H29854" t="s">
        <v>19909</v>
      </c>
    </row>
    <row r="29855" spans="6:8">
      <c r="F29855" t="s">
        <v>13620</v>
      </c>
      <c r="G29855" t="s">
        <v>17701</v>
      </c>
      <c r="H29855" t="s">
        <v>30804</v>
      </c>
    </row>
    <row r="29856" spans="6:8">
      <c r="H29856" t="s">
        <v>30805</v>
      </c>
    </row>
    <row r="29857" spans="6:8">
      <c r="H29857" t="s">
        <v>30783</v>
      </c>
    </row>
    <row r="29858" spans="6:8">
      <c r="F29858" t="s">
        <v>13621</v>
      </c>
      <c r="G29858" t="s">
        <v>17702</v>
      </c>
      <c r="H29858" t="s">
        <v>18829</v>
      </c>
    </row>
    <row r="29859" spans="6:8">
      <c r="H29859" t="s">
        <v>18863</v>
      </c>
    </row>
    <row r="29860" spans="6:8">
      <c r="H29860" t="s">
        <v>25716</v>
      </c>
    </row>
    <row r="29861" spans="6:8">
      <c r="H29861" t="s">
        <v>25717</v>
      </c>
    </row>
    <row r="29862" spans="6:8">
      <c r="H29862" t="s">
        <v>25718</v>
      </c>
    </row>
    <row r="29863" spans="6:8">
      <c r="H29863" t="s">
        <v>25719</v>
      </c>
    </row>
    <row r="29864" spans="6:8">
      <c r="H29864" t="s">
        <v>30806</v>
      </c>
    </row>
    <row r="29865" spans="6:8">
      <c r="H29865" t="s">
        <v>30807</v>
      </c>
    </row>
    <row r="29866" spans="6:8">
      <c r="H29866" t="s">
        <v>30808</v>
      </c>
    </row>
    <row r="29867" spans="6:8">
      <c r="F29867" t="s">
        <v>13622</v>
      </c>
      <c r="G29867" t="s">
        <v>17703</v>
      </c>
      <c r="H29867" t="s">
        <v>30809</v>
      </c>
    </row>
    <row r="29868" spans="6:8">
      <c r="H29868" t="s">
        <v>30810</v>
      </c>
    </row>
    <row r="29869" spans="6:8">
      <c r="H29869" t="s">
        <v>30783</v>
      </c>
    </row>
    <row r="29870" spans="6:8">
      <c r="F29870" t="s">
        <v>13623</v>
      </c>
      <c r="G29870" t="s">
        <v>17704</v>
      </c>
      <c r="H29870" t="s">
        <v>18829</v>
      </c>
    </row>
    <row r="29871" spans="6:8">
      <c r="H29871" t="s">
        <v>18863</v>
      </c>
    </row>
    <row r="29872" spans="6:8">
      <c r="H29872" t="s">
        <v>30811</v>
      </c>
    </row>
    <row r="29873" spans="6:8">
      <c r="F29873" t="s">
        <v>13624</v>
      </c>
      <c r="G29873" t="s">
        <v>17705</v>
      </c>
      <c r="H29873" t="s">
        <v>18829</v>
      </c>
    </row>
    <row r="29874" spans="6:8">
      <c r="H29874" t="s">
        <v>30812</v>
      </c>
    </row>
    <row r="29875" spans="6:8">
      <c r="H29875" t="s">
        <v>30813</v>
      </c>
    </row>
    <row r="29876" spans="6:8">
      <c r="H29876" t="s">
        <v>20077</v>
      </c>
    </row>
    <row r="29877" spans="6:8">
      <c r="F29877" t="s">
        <v>13625</v>
      </c>
      <c r="G29877" t="s">
        <v>17706</v>
      </c>
      <c r="H29877" t="s">
        <v>30814</v>
      </c>
    </row>
    <row r="29878" spans="6:8">
      <c r="F29878" t="s">
        <v>13626</v>
      </c>
      <c r="G29878" t="s">
        <v>16857</v>
      </c>
      <c r="H29878" t="s">
        <v>18829</v>
      </c>
    </row>
    <row r="29879" spans="6:8">
      <c r="H29879" t="s">
        <v>30812</v>
      </c>
    </row>
    <row r="29880" spans="6:8">
      <c r="H29880" t="s">
        <v>30813</v>
      </c>
    </row>
    <row r="29881" spans="6:8">
      <c r="H29881" t="s">
        <v>30815</v>
      </c>
    </row>
    <row r="29882" spans="6:8">
      <c r="H29882" t="s">
        <v>30816</v>
      </c>
    </row>
    <row r="29883" spans="6:8">
      <c r="H29883" t="s">
        <v>30817</v>
      </c>
    </row>
    <row r="29884" spans="6:8">
      <c r="H29884" t="s">
        <v>30818</v>
      </c>
    </row>
    <row r="29885" spans="6:8">
      <c r="H29885" t="s">
        <v>19173</v>
      </c>
    </row>
    <row r="29886" spans="6:8">
      <c r="H29886" t="s">
        <v>30819</v>
      </c>
    </row>
    <row r="29887" spans="6:8">
      <c r="H29887" t="s">
        <v>30820</v>
      </c>
    </row>
    <row r="29888" spans="6:8">
      <c r="H29888" t="s">
        <v>30821</v>
      </c>
    </row>
    <row r="29889" spans="6:8">
      <c r="H29889" t="s">
        <v>30822</v>
      </c>
    </row>
    <row r="29890" spans="6:8">
      <c r="H29890" t="s">
        <v>30823</v>
      </c>
    </row>
    <row r="29891" spans="6:8">
      <c r="F29891" t="s">
        <v>13627</v>
      </c>
      <c r="G29891" t="s">
        <v>16910</v>
      </c>
      <c r="H29891" t="s">
        <v>18829</v>
      </c>
    </row>
    <row r="29892" spans="6:8">
      <c r="H29892" t="s">
        <v>18863</v>
      </c>
    </row>
    <row r="29893" spans="6:8">
      <c r="H29893" t="s">
        <v>26000</v>
      </c>
    </row>
    <row r="29894" spans="6:8">
      <c r="H29894" t="s">
        <v>26001</v>
      </c>
    </row>
    <row r="29895" spans="6:8">
      <c r="H29895" t="s">
        <v>30824</v>
      </c>
    </row>
    <row r="29896" spans="6:8">
      <c r="H29896" t="s">
        <v>30825</v>
      </c>
    </row>
    <row r="29897" spans="6:8">
      <c r="H29897" t="s">
        <v>30826</v>
      </c>
    </row>
    <row r="29898" spans="6:8">
      <c r="H29898" t="s">
        <v>30827</v>
      </c>
    </row>
    <row r="29899" spans="6:8">
      <c r="H29899" t="s">
        <v>30827</v>
      </c>
    </row>
    <row r="29900" spans="6:8">
      <c r="H29900" t="s">
        <v>30828</v>
      </c>
    </row>
    <row r="29901" spans="6:8">
      <c r="H29901" t="s">
        <v>26002</v>
      </c>
    </row>
    <row r="29902" spans="6:8">
      <c r="H29902" t="s">
        <v>26002</v>
      </c>
    </row>
    <row r="29903" spans="6:8">
      <c r="F29903" t="s">
        <v>13628</v>
      </c>
      <c r="G29903" t="s">
        <v>16856</v>
      </c>
      <c r="H29903" t="s">
        <v>22186</v>
      </c>
    </row>
    <row r="29904" spans="6:8">
      <c r="H29904" t="s">
        <v>25686</v>
      </c>
    </row>
    <row r="29905" spans="1:8">
      <c r="H29905" t="s">
        <v>22189</v>
      </c>
    </row>
    <row r="29906" spans="1:8">
      <c r="F29906" t="s">
        <v>13629</v>
      </c>
      <c r="G29906" t="s">
        <v>17707</v>
      </c>
      <c r="H29906" t="s">
        <v>18829</v>
      </c>
    </row>
    <row r="29907" spans="1:8">
      <c r="H29907" t="s">
        <v>18863</v>
      </c>
    </row>
    <row r="29908" spans="1:8">
      <c r="H29908" t="s">
        <v>25716</v>
      </c>
    </row>
    <row r="29909" spans="1:8">
      <c r="F29909" t="s">
        <v>13630</v>
      </c>
      <c r="G29909" t="s">
        <v>16903</v>
      </c>
      <c r="H29909" t="s">
        <v>18829</v>
      </c>
    </row>
    <row r="29910" spans="1:8">
      <c r="H29910" t="s">
        <v>18863</v>
      </c>
    </row>
    <row r="29911" spans="1:8">
      <c r="H29911" t="s">
        <v>30633</v>
      </c>
    </row>
    <row r="29912" spans="1:8">
      <c r="A29912" t="s">
        <v>2082</v>
      </c>
      <c r="B29912">
        <f>HYPERLINK("https://android.googlesource.com/platform/cts/+/43cb66eafcb4e536c5d563b72e55edd299e8c590", "43cb66eafcb4e536c5d563b72e55edd299e8c590")</f>
        <v>0</v>
      </c>
      <c r="C29912">
        <f>HYPERLINK("https://android.googlesource.com/platform/cts/+/f760095f44712d28334b9cfc0cb8e0972899c60b", "f760095f44712d28334b9cfc0cb8e0972899c60b")</f>
        <v>0</v>
      </c>
      <c r="D29912" t="s">
        <v>5224</v>
      </c>
      <c r="E29912" t="s">
        <v>7820</v>
      </c>
      <c r="F29912" t="s">
        <v>13528</v>
      </c>
      <c r="G29912" t="s">
        <v>17643</v>
      </c>
      <c r="H29912" t="s">
        <v>30829</v>
      </c>
    </row>
    <row r="29913" spans="1:8">
      <c r="H29913" t="s">
        <v>19019</v>
      </c>
    </row>
    <row r="29914" spans="1:8">
      <c r="H29914" t="s">
        <v>22505</v>
      </c>
    </row>
    <row r="29915" spans="1:8">
      <c r="H29915" t="s">
        <v>30830</v>
      </c>
    </row>
    <row r="29916" spans="1:8">
      <c r="H29916" t="s">
        <v>19019</v>
      </c>
    </row>
    <row r="29917" spans="1:8">
      <c r="H29917" t="s">
        <v>30831</v>
      </c>
    </row>
    <row r="29918" spans="1:8">
      <c r="H29918" t="s">
        <v>19019</v>
      </c>
    </row>
    <row r="29919" spans="1:8">
      <c r="H29919" t="s">
        <v>30832</v>
      </c>
    </row>
    <row r="29920" spans="1:8">
      <c r="H29920" t="s">
        <v>30833</v>
      </c>
    </row>
    <row r="29921" spans="1:8">
      <c r="H29921" t="s">
        <v>30834</v>
      </c>
    </row>
    <row r="29922" spans="1:8">
      <c r="A29922" t="s">
        <v>2083</v>
      </c>
      <c r="B29922">
        <f>HYPERLINK("https://android.googlesource.com/platform/cts/+/a797a99ab3714c6629d3d5f972862dc42a6c219d", "a797a99ab3714c6629d3d5f972862dc42a6c219d")</f>
        <v>0</v>
      </c>
      <c r="C29922">
        <f>HYPERLINK("https://android.googlesource.com/platform/cts/+/f4f4126ca7fe0fed71694320371278ce162b6c4a", "f4f4126ca7fe0fed71694320371278ce162b6c4a")</f>
        <v>0</v>
      </c>
      <c r="D29922" t="s">
        <v>5111</v>
      </c>
      <c r="E29922" t="s">
        <v>7821</v>
      </c>
      <c r="F29922" t="s">
        <v>13631</v>
      </c>
      <c r="G29922" t="s">
        <v>17708</v>
      </c>
      <c r="H29922" t="s">
        <v>29551</v>
      </c>
    </row>
    <row r="29923" spans="1:8">
      <c r="H29923" t="s">
        <v>30835</v>
      </c>
    </row>
    <row r="29924" spans="1:8">
      <c r="F29924" t="s">
        <v>13632</v>
      </c>
      <c r="G29924" t="s">
        <v>17709</v>
      </c>
      <c r="H29924" t="s">
        <v>29551</v>
      </c>
    </row>
    <row r="29925" spans="1:8">
      <c r="H29925" t="s">
        <v>30836</v>
      </c>
    </row>
    <row r="29926" spans="1:8">
      <c r="F29926" t="s">
        <v>13633</v>
      </c>
      <c r="G29926" t="s">
        <v>17710</v>
      </c>
      <c r="H29926" t="s">
        <v>29551</v>
      </c>
    </row>
    <row r="29927" spans="1:8">
      <c r="H29927" t="s">
        <v>30837</v>
      </c>
    </row>
    <row r="29928" spans="1:8">
      <c r="A29928" t="s">
        <v>2084</v>
      </c>
      <c r="B29928">
        <f>HYPERLINK("https://android.googlesource.com/platform/cts/+/eaf4e60afd129a1cfab37159123443a4f9ff5d98", "eaf4e60afd129a1cfab37159123443a4f9ff5d98")</f>
        <v>0</v>
      </c>
      <c r="C29928">
        <f>HYPERLINK("https://android.googlesource.com/platform/cts/+/bd37e1b11f4ff0df3b6d49d8cab519d7c5816fb7", "bd37e1b11f4ff0df3b6d49d8cab519d7c5816fb7")</f>
        <v>0</v>
      </c>
      <c r="D29928" t="s">
        <v>5329</v>
      </c>
      <c r="E29928" t="s">
        <v>7822</v>
      </c>
      <c r="F29928" t="s">
        <v>13634</v>
      </c>
      <c r="G29928" t="s">
        <v>17711</v>
      </c>
      <c r="H29928" t="s">
        <v>30838</v>
      </c>
    </row>
    <row r="29929" spans="1:8">
      <c r="A29929" t="s">
        <v>2085</v>
      </c>
      <c r="B29929">
        <f>HYPERLINK("https://android.googlesource.com/platform/cts/+/7c45ef23464d75996ff8f7a3a3013770dfe34753", "7c45ef23464d75996ff8f7a3a3013770dfe34753")</f>
        <v>0</v>
      </c>
      <c r="C29929">
        <f>HYPERLINK("https://android.googlesource.com/platform/cts/+/2076ba66b0838a1960e1ade90decbaef9eb2728e", "2076ba66b0838a1960e1ade90decbaef9eb2728e")</f>
        <v>0</v>
      </c>
      <c r="D29929" t="s">
        <v>5146</v>
      </c>
      <c r="E29929" t="s">
        <v>7823</v>
      </c>
      <c r="F29929" t="s">
        <v>13318</v>
      </c>
      <c r="G29929" t="s">
        <v>17449</v>
      </c>
      <c r="H29929" t="s">
        <v>30839</v>
      </c>
    </row>
    <row r="29930" spans="1:8">
      <c r="A29930" t="s">
        <v>2086</v>
      </c>
      <c r="B29930">
        <f>HYPERLINK("https://android.googlesource.com/platform/cts/+/6d03af8260972a7676055c99b59a7e61942fca04", "6d03af8260972a7676055c99b59a7e61942fca04")</f>
        <v>0</v>
      </c>
      <c r="C29930">
        <f>HYPERLINK("https://android.googlesource.com/platform/cts/+/bf2e1363311ce363176e37f1a30e3f0a94022c80", "bf2e1363311ce363176e37f1a30e3f0a94022c80")</f>
        <v>0</v>
      </c>
      <c r="D29930" t="s">
        <v>5188</v>
      </c>
      <c r="E29930" t="s">
        <v>7824</v>
      </c>
      <c r="F29930" t="s">
        <v>13635</v>
      </c>
      <c r="G29930" t="s">
        <v>17712</v>
      </c>
      <c r="H29930" t="s">
        <v>30840</v>
      </c>
    </row>
    <row r="29931" spans="1:8">
      <c r="F29931" t="s">
        <v>13636</v>
      </c>
      <c r="G29931" t="s">
        <v>17713</v>
      </c>
      <c r="H29931" t="s">
        <v>30841</v>
      </c>
    </row>
    <row r="29932" spans="1:8">
      <c r="H29932" t="s">
        <v>30842</v>
      </c>
    </row>
    <row r="29933" spans="1:8">
      <c r="H29933" t="s">
        <v>19782</v>
      </c>
    </row>
    <row r="29934" spans="1:8">
      <c r="A29934" t="s">
        <v>2087</v>
      </c>
      <c r="B29934">
        <f>HYPERLINK("https://android.googlesource.com/platform/cts/+/ba785743db70b7c69db08109a285083ead05bf99", "ba785743db70b7c69db08109a285083ead05bf99")</f>
        <v>0</v>
      </c>
      <c r="C29934">
        <f>HYPERLINK("https://android.googlesource.com/platform/cts/+/628980712d5fa82520dd98692f559f8a6d8b46e1", "628980712d5fa82520dd98692f559f8a6d8b46e1")</f>
        <v>0</v>
      </c>
      <c r="D29934" t="s">
        <v>5330</v>
      </c>
      <c r="E29934" t="s">
        <v>7825</v>
      </c>
      <c r="F29934" t="s">
        <v>13255</v>
      </c>
      <c r="G29934" t="s">
        <v>17393</v>
      </c>
      <c r="H29934" t="s">
        <v>30549</v>
      </c>
    </row>
    <row r="29935" spans="1:8">
      <c r="A29935" t="s">
        <v>2088</v>
      </c>
      <c r="B29935">
        <f>HYPERLINK("https://android.googlesource.com/platform/cts/+/3e753f74127b87ca83fab047530992d29480e10c", "3e753f74127b87ca83fab047530992d29480e10c")</f>
        <v>0</v>
      </c>
      <c r="C29935">
        <f>HYPERLINK("https://android.googlesource.com/platform/cts/+/c23c0c20b926e4f4c6f41697a3655b487ad48c5e", "c23c0c20b926e4f4c6f41697a3655b487ad48c5e")</f>
        <v>0</v>
      </c>
      <c r="D29935" t="s">
        <v>5330</v>
      </c>
      <c r="E29935" t="s">
        <v>7826</v>
      </c>
      <c r="F29935" t="s">
        <v>13255</v>
      </c>
      <c r="G29935" t="s">
        <v>17393</v>
      </c>
      <c r="H29935" t="s">
        <v>30549</v>
      </c>
    </row>
    <row r="29936" spans="1:8">
      <c r="A29936" t="s">
        <v>2090</v>
      </c>
      <c r="B29936">
        <f>HYPERLINK("https://android.googlesource.com/platform/cts/+/094f6abf1cd1cc35e66f7d841da928442a3118c1", "094f6abf1cd1cc35e66f7d841da928442a3118c1")</f>
        <v>0</v>
      </c>
      <c r="C29936">
        <f>HYPERLINK("https://android.googlesource.com/platform/cts/+/b19203e123f30bf454d49a8dfc8abbda3d438b9a", "b19203e123f30bf454d49a8dfc8abbda3d438b9a")</f>
        <v>0</v>
      </c>
      <c r="D29936" t="s">
        <v>5127</v>
      </c>
      <c r="E29936" t="s">
        <v>7828</v>
      </c>
      <c r="F29936" t="s">
        <v>13637</v>
      </c>
      <c r="G29936" t="s">
        <v>17714</v>
      </c>
      <c r="H29936" t="s">
        <v>30843</v>
      </c>
    </row>
    <row r="29937" spans="1:8">
      <c r="H29937" t="s">
        <v>30844</v>
      </c>
    </row>
    <row r="29938" spans="1:8">
      <c r="F29938" t="s">
        <v>12629</v>
      </c>
      <c r="G29938" t="s">
        <v>16838</v>
      </c>
      <c r="H29938" t="s">
        <v>30843</v>
      </c>
    </row>
    <row r="29939" spans="1:8">
      <c r="H29939" t="s">
        <v>30845</v>
      </c>
    </row>
    <row r="29940" spans="1:8">
      <c r="H29940" t="s">
        <v>30846</v>
      </c>
    </row>
    <row r="29941" spans="1:8">
      <c r="H29941" t="s">
        <v>30847</v>
      </c>
    </row>
    <row r="29942" spans="1:8">
      <c r="H29942" t="s">
        <v>30848</v>
      </c>
    </row>
    <row r="29943" spans="1:8">
      <c r="A29943" t="s">
        <v>2091</v>
      </c>
      <c r="B29943">
        <f>HYPERLINK("https://android.googlesource.com/platform/cts/+/ffdbfcc26549f4b8a4cc71a65f2ebe1adc0f0f6d", "ffdbfcc26549f4b8a4cc71a65f2ebe1adc0f0f6d")</f>
        <v>0</v>
      </c>
      <c r="C29943">
        <f>HYPERLINK("https://android.googlesource.com/platform/cts/+/f8e54faa1acda7981cb7b98d307a8c411f2ad405", "f8e54faa1acda7981cb7b98d307a8c411f2ad405")</f>
        <v>0</v>
      </c>
      <c r="D29943" t="s">
        <v>5331</v>
      </c>
      <c r="E29943" t="s">
        <v>7829</v>
      </c>
      <c r="F29943" t="s">
        <v>13638</v>
      </c>
      <c r="G29943" t="s">
        <v>17715</v>
      </c>
      <c r="H29943" t="s">
        <v>18829</v>
      </c>
    </row>
    <row r="29944" spans="1:8">
      <c r="H29944" t="s">
        <v>30849</v>
      </c>
    </row>
    <row r="29945" spans="1:8">
      <c r="H29945" t="s">
        <v>30850</v>
      </c>
    </row>
    <row r="29946" spans="1:8">
      <c r="A29946" t="s">
        <v>2092</v>
      </c>
      <c r="B29946">
        <f>HYPERLINK("https://android.googlesource.com/platform/cts/+/ac328edfbb209ce9cef3192bdf0c73d307d61dab", "ac328edfbb209ce9cef3192bdf0c73d307d61dab")</f>
        <v>0</v>
      </c>
      <c r="C29946">
        <f>HYPERLINK("https://android.googlesource.com/platform/cts/+/9f185d5645fc29e7e557edec7b027297a1586cca", "9f185d5645fc29e7e557edec7b027297a1586cca")</f>
        <v>0</v>
      </c>
      <c r="D29946" t="s">
        <v>5039</v>
      </c>
      <c r="E29946" t="s">
        <v>7830</v>
      </c>
      <c r="F29946" t="s">
        <v>12570</v>
      </c>
      <c r="G29946" t="s">
        <v>16786</v>
      </c>
      <c r="H29946" t="s">
        <v>30851</v>
      </c>
    </row>
    <row r="29947" spans="1:8">
      <c r="A29947" t="s">
        <v>2093</v>
      </c>
      <c r="B29947">
        <f>HYPERLINK("https://android.googlesource.com/platform/cts/+/4dffe37493a875652d609a4172899285e977b5a4", "4dffe37493a875652d609a4172899285e977b5a4")</f>
        <v>0</v>
      </c>
      <c r="C29947">
        <f>HYPERLINK("https://android.googlesource.com/platform/cts/+/edbdb82b3463502fe16ab92ce27dd7fd1fe1eae4", "edbdb82b3463502fe16ab92ce27dd7fd1fe1eae4")</f>
        <v>0</v>
      </c>
      <c r="D29947" t="s">
        <v>5188</v>
      </c>
      <c r="E29947" t="s">
        <v>7831</v>
      </c>
      <c r="F29947" t="s">
        <v>13636</v>
      </c>
      <c r="G29947" t="s">
        <v>17713</v>
      </c>
      <c r="H29947" t="s">
        <v>30852</v>
      </c>
    </row>
    <row r="29948" spans="1:8">
      <c r="A29948" t="s">
        <v>2094</v>
      </c>
      <c r="B29948">
        <f>HYPERLINK("https://android.googlesource.com/platform/cts/+/b4c231ec2415f4054ee63c049f8ae706becc627e", "b4c231ec2415f4054ee63c049f8ae706becc627e")</f>
        <v>0</v>
      </c>
      <c r="C29948">
        <f>HYPERLINK("https://android.googlesource.com/platform/cts/+/cedcbbd0278dfec5d40e152c5ea822e671d0e8e1", "cedcbbd0278dfec5d40e152c5ea822e671d0e8e1")</f>
        <v>0</v>
      </c>
      <c r="D29948" t="s">
        <v>5108</v>
      </c>
      <c r="E29948" t="s">
        <v>7832</v>
      </c>
      <c r="F29948" t="s">
        <v>12647</v>
      </c>
      <c r="G29948" t="s">
        <v>16853</v>
      </c>
      <c r="H29948" t="s">
        <v>30853</v>
      </c>
    </row>
    <row r="29949" spans="1:8">
      <c r="A29949" t="s">
        <v>2095</v>
      </c>
      <c r="B29949">
        <f>HYPERLINK("https://android.googlesource.com/platform/cts/+/2fdc90bc593c5d7118ebac3deac83c5e9d345b63", "2fdc90bc593c5d7118ebac3deac83c5e9d345b63")</f>
        <v>0</v>
      </c>
      <c r="C29949">
        <f>HYPERLINK("https://android.googlesource.com/platform/cts/+/8f430dd6340db9a183f8ad05f93ced8890c000af", "8f430dd6340db9a183f8ad05f93ced8890c000af")</f>
        <v>0</v>
      </c>
      <c r="D29949" t="s">
        <v>5083</v>
      </c>
      <c r="E29949" t="s">
        <v>7833</v>
      </c>
      <c r="F29949" t="s">
        <v>13639</v>
      </c>
      <c r="G29949" t="s">
        <v>17716</v>
      </c>
      <c r="H29949" t="s">
        <v>30854</v>
      </c>
    </row>
    <row r="29950" spans="1:8">
      <c r="H29950" t="s">
        <v>30855</v>
      </c>
    </row>
    <row r="29951" spans="1:8">
      <c r="H29951" t="s">
        <v>30856</v>
      </c>
    </row>
    <row r="29952" spans="1:8">
      <c r="A29952" t="s">
        <v>2096</v>
      </c>
      <c r="B29952">
        <f>HYPERLINK("https://android.googlesource.com/platform/cts/+/7825c39aca72b2ed63c11b2326003899a7767d6f", "7825c39aca72b2ed63c11b2326003899a7767d6f")</f>
        <v>0</v>
      </c>
      <c r="C29952">
        <f>HYPERLINK("https://android.googlesource.com/platform/cts/+/ce605f2a2c842cc644a2f353bc5984ff04681387", "ce605f2a2c842cc644a2f353bc5984ff04681387")</f>
        <v>0</v>
      </c>
      <c r="D29952" t="s">
        <v>5177</v>
      </c>
      <c r="E29952" t="s">
        <v>7834</v>
      </c>
      <c r="F29952" t="s">
        <v>10659</v>
      </c>
      <c r="G29952" t="s">
        <v>15060</v>
      </c>
      <c r="H29952" t="s">
        <v>19028</v>
      </c>
    </row>
    <row r="29953" spans="1:8">
      <c r="A29953" t="s">
        <v>2098</v>
      </c>
      <c r="B29953">
        <f>HYPERLINK("https://android.googlesource.com/platform/cts/+/1f75f5963f7774c7d356ff88593fef0b7de5a404", "1f75f5963f7774c7d356ff88593fef0b7de5a404")</f>
        <v>0</v>
      </c>
      <c r="C29953">
        <f>HYPERLINK("https://android.googlesource.com/platform/cts/+/cedcbbd0278dfec5d40e152c5ea822e671d0e8e1", "cedcbbd0278dfec5d40e152c5ea822e671d0e8e1")</f>
        <v>0</v>
      </c>
      <c r="D29953" t="s">
        <v>5332</v>
      </c>
      <c r="E29953" t="s">
        <v>7835</v>
      </c>
      <c r="F29953" t="s">
        <v>13640</v>
      </c>
      <c r="G29953" t="s">
        <v>17458</v>
      </c>
      <c r="H29953" t="s">
        <v>29219</v>
      </c>
    </row>
    <row r="29954" spans="1:8">
      <c r="A29954" t="s">
        <v>2099</v>
      </c>
      <c r="B29954">
        <f>HYPERLINK("https://android.googlesource.com/platform/cts/+/8c2ea520e6490b215318ebaac4d58eb2caa9af0d", "8c2ea520e6490b215318ebaac4d58eb2caa9af0d")</f>
        <v>0</v>
      </c>
      <c r="C29954">
        <f>HYPERLINK("https://android.googlesource.com/platform/cts/+/0302fd21d4c87cffdb26b9188659e9a2cc54cb97", "0302fd21d4c87cffdb26b9188659e9a2cc54cb97")</f>
        <v>0</v>
      </c>
      <c r="D29954" t="s">
        <v>5134</v>
      </c>
      <c r="E29954" t="s">
        <v>7836</v>
      </c>
      <c r="F29954" t="s">
        <v>13641</v>
      </c>
      <c r="G29954" t="s">
        <v>17717</v>
      </c>
      <c r="H29954" t="s">
        <v>30857</v>
      </c>
    </row>
    <row r="29955" spans="1:8">
      <c r="A29955" t="s">
        <v>2100</v>
      </c>
      <c r="B29955">
        <f>HYPERLINK("https://android.googlesource.com/platform/cts/+/e81ba6c15b84cca84cbbe882fc3fc619d78b0460", "e81ba6c15b84cca84cbbe882fc3fc619d78b0460")</f>
        <v>0</v>
      </c>
      <c r="C29955">
        <f>HYPERLINK("https://android.googlesource.com/platform/cts/+/921ae7f2fc9df083c71cffb266b6b960d329eb43", "921ae7f2fc9df083c71cffb266b6b960d329eb43")</f>
        <v>0</v>
      </c>
      <c r="D29955" t="s">
        <v>5135</v>
      </c>
      <c r="E29955" t="s">
        <v>7837</v>
      </c>
      <c r="F29955" t="s">
        <v>12772</v>
      </c>
      <c r="G29955" t="s">
        <v>16543</v>
      </c>
      <c r="H29955" t="s">
        <v>30858</v>
      </c>
    </row>
    <row r="29956" spans="1:8">
      <c r="H29956" t="s">
        <v>30859</v>
      </c>
    </row>
    <row r="29957" spans="1:8">
      <c r="A29957" t="s">
        <v>2101</v>
      </c>
      <c r="B29957">
        <f>HYPERLINK("https://android.googlesource.com/platform/cts/+/3b8e8a72da86e50492fb7769f2e30e9a1e24c654", "3b8e8a72da86e50492fb7769f2e30e9a1e24c654")</f>
        <v>0</v>
      </c>
      <c r="C29957">
        <f>HYPERLINK("https://android.googlesource.com/platform/cts/+/4e3f64e3a25c08f9a3ec8f38fa1114310b141799", "4e3f64e3a25c08f9a3ec8f38fa1114310b141799")</f>
        <v>0</v>
      </c>
      <c r="D29957" t="s">
        <v>5332</v>
      </c>
      <c r="E29957" t="s">
        <v>7838</v>
      </c>
      <c r="F29957" t="s">
        <v>13640</v>
      </c>
      <c r="G29957" t="s">
        <v>17458</v>
      </c>
      <c r="H29957" t="s">
        <v>20244</v>
      </c>
    </row>
    <row r="29958" spans="1:8">
      <c r="H29958" t="s">
        <v>18829</v>
      </c>
    </row>
    <row r="29959" spans="1:8">
      <c r="H29959" t="s">
        <v>18863</v>
      </c>
    </row>
    <row r="29960" spans="1:8">
      <c r="H29960" t="s">
        <v>29420</v>
      </c>
    </row>
    <row r="29961" spans="1:8">
      <c r="H29961" t="s">
        <v>29421</v>
      </c>
    </row>
    <row r="29962" spans="1:8">
      <c r="H29962" t="s">
        <v>29422</v>
      </c>
    </row>
    <row r="29963" spans="1:8">
      <c r="H29963" t="s">
        <v>30860</v>
      </c>
    </row>
    <row r="29964" spans="1:8">
      <c r="H29964" t="s">
        <v>29423</v>
      </c>
    </row>
    <row r="29965" spans="1:8">
      <c r="H29965" t="s">
        <v>29424</v>
      </c>
    </row>
    <row r="29966" spans="1:8">
      <c r="H29966" t="s">
        <v>29426</v>
      </c>
    </row>
    <row r="29967" spans="1:8">
      <c r="H29967" t="s">
        <v>29205</v>
      </c>
    </row>
    <row r="29968" spans="1:8">
      <c r="H29968" t="s">
        <v>26556</v>
      </c>
    </row>
    <row r="29969" spans="1:8">
      <c r="H29969" t="s">
        <v>26555</v>
      </c>
    </row>
    <row r="29970" spans="1:8">
      <c r="H29970" t="s">
        <v>29223</v>
      </c>
    </row>
    <row r="29971" spans="1:8">
      <c r="A29971" t="s">
        <v>2102</v>
      </c>
      <c r="B29971">
        <f>HYPERLINK("https://android.googlesource.com/platform/cts/+/b630a8980abf4736df56fdab7c194bdb5c0bf28f", "b630a8980abf4736df56fdab7c194bdb5c0bf28f")</f>
        <v>0</v>
      </c>
      <c r="C29971">
        <f>HYPERLINK("https://android.googlesource.com/platform/cts/+/971433bb42e7d2321f0c61a0f048070d1099c582", "971433bb42e7d2321f0c61a0f048070d1099c582")</f>
        <v>0</v>
      </c>
      <c r="D29971" t="s">
        <v>5117</v>
      </c>
      <c r="E29971" t="s">
        <v>7839</v>
      </c>
      <c r="F29971" t="s">
        <v>13642</v>
      </c>
      <c r="G29971" t="s">
        <v>17718</v>
      </c>
      <c r="H29971" t="s">
        <v>18829</v>
      </c>
    </row>
    <row r="29972" spans="1:8">
      <c r="H29972" t="s">
        <v>30861</v>
      </c>
    </row>
    <row r="29973" spans="1:8">
      <c r="H29973" t="s">
        <v>30862</v>
      </c>
    </row>
    <row r="29974" spans="1:8">
      <c r="H29974" t="s">
        <v>30863</v>
      </c>
    </row>
    <row r="29975" spans="1:8">
      <c r="H29975" t="s">
        <v>30864</v>
      </c>
    </row>
    <row r="29976" spans="1:8">
      <c r="H29976" t="s">
        <v>18863</v>
      </c>
    </row>
    <row r="29977" spans="1:8">
      <c r="F29977" t="s">
        <v>13337</v>
      </c>
      <c r="G29977" t="s">
        <v>17467</v>
      </c>
      <c r="H29977" t="s">
        <v>18829</v>
      </c>
    </row>
    <row r="29978" spans="1:8">
      <c r="H29978" t="s">
        <v>30861</v>
      </c>
    </row>
    <row r="29979" spans="1:8">
      <c r="H29979" t="s">
        <v>30862</v>
      </c>
    </row>
    <row r="29980" spans="1:8">
      <c r="H29980" t="s">
        <v>30863</v>
      </c>
    </row>
    <row r="29981" spans="1:8">
      <c r="H29981" t="s">
        <v>30864</v>
      </c>
    </row>
    <row r="29982" spans="1:8">
      <c r="H29982" t="s">
        <v>30865</v>
      </c>
    </row>
    <row r="29983" spans="1:8">
      <c r="H29983" t="s">
        <v>18863</v>
      </c>
    </row>
    <row r="29984" spans="1:8">
      <c r="A29984" t="s">
        <v>2103</v>
      </c>
      <c r="B29984">
        <f>HYPERLINK("https://android.googlesource.com/platform/cts/+/294dab2c08f1046d6978f2ce1a54a8b82ae2b591", "294dab2c08f1046d6978f2ce1a54a8b82ae2b591")</f>
        <v>0</v>
      </c>
      <c r="C29984">
        <f>HYPERLINK("https://android.googlesource.com/platform/cts/+/dc52142b772a8895f107cc3f97ec1a878b9e1f70", "dc52142b772a8895f107cc3f97ec1a878b9e1f70")</f>
        <v>0</v>
      </c>
      <c r="D29984" t="s">
        <v>5083</v>
      </c>
      <c r="E29984" t="s">
        <v>7840</v>
      </c>
      <c r="F29984" t="s">
        <v>10682</v>
      </c>
      <c r="G29984" t="s">
        <v>15082</v>
      </c>
      <c r="H29984" t="s">
        <v>30866</v>
      </c>
    </row>
    <row r="29985" spans="1:8">
      <c r="A29985" t="s">
        <v>2104</v>
      </c>
      <c r="B29985">
        <f>HYPERLINK("https://android.googlesource.com/platform/cts/+/9348c7db0c61e1be414c24cc24a40b6bf7c99fe9", "9348c7db0c61e1be414c24cc24a40b6bf7c99fe9")</f>
        <v>0</v>
      </c>
      <c r="C29985">
        <f>HYPERLINK("https://android.googlesource.com/platform/cts/+/30404131f75131fba975b74981c0cb1231c96638", "30404131f75131fba975b74981c0cb1231c96638")</f>
        <v>0</v>
      </c>
      <c r="D29985" t="s">
        <v>5108</v>
      </c>
      <c r="E29985" t="s">
        <v>7841</v>
      </c>
      <c r="F29985" t="s">
        <v>13643</v>
      </c>
      <c r="G29985" t="s">
        <v>17719</v>
      </c>
      <c r="H29985" t="s">
        <v>30867</v>
      </c>
    </row>
    <row r="29986" spans="1:8">
      <c r="F29986" t="s">
        <v>13390</v>
      </c>
      <c r="G29986" t="s">
        <v>17513</v>
      </c>
      <c r="H29986" t="s">
        <v>30868</v>
      </c>
    </row>
    <row r="29987" spans="1:8">
      <c r="H29987" t="s">
        <v>30869</v>
      </c>
    </row>
    <row r="29988" spans="1:8">
      <c r="A29988" t="s">
        <v>2105</v>
      </c>
      <c r="B29988">
        <f>HYPERLINK("https://android.googlesource.com/platform/cts/+/3eaf69ecc35c61902fb39cad0b3d4031d7d92ff0", "3eaf69ecc35c61902fb39cad0b3d4031d7d92ff0")</f>
        <v>0</v>
      </c>
      <c r="C29988">
        <f>HYPERLINK("https://android.googlesource.com/platform/cts/+/bf41386d36f0896e41903723333c983a5e13198f", "bf41386d36f0896e41903723333c983a5e13198f")</f>
        <v>0</v>
      </c>
      <c r="D29988" t="s">
        <v>5134</v>
      </c>
      <c r="E29988" t="s">
        <v>7842</v>
      </c>
      <c r="F29988" t="s">
        <v>13644</v>
      </c>
      <c r="G29988" t="s">
        <v>17720</v>
      </c>
      <c r="H29988" t="s">
        <v>22685</v>
      </c>
    </row>
    <row r="29989" spans="1:8">
      <c r="F29989" t="s">
        <v>13302</v>
      </c>
      <c r="G29989" t="s">
        <v>17438</v>
      </c>
      <c r="H29989" t="s">
        <v>22685</v>
      </c>
    </row>
    <row r="29990" spans="1:8">
      <c r="F29990" t="s">
        <v>13645</v>
      </c>
      <c r="G29990" t="s">
        <v>17721</v>
      </c>
      <c r="H29990" t="s">
        <v>22685</v>
      </c>
    </row>
    <row r="29991" spans="1:8">
      <c r="F29991" t="s">
        <v>13361</v>
      </c>
      <c r="G29991" t="s">
        <v>17488</v>
      </c>
      <c r="H29991" t="s">
        <v>22685</v>
      </c>
    </row>
    <row r="29992" spans="1:8">
      <c r="F29992" t="s">
        <v>13646</v>
      </c>
      <c r="G29992" t="s">
        <v>17722</v>
      </c>
      <c r="H29992" t="s">
        <v>30870</v>
      </c>
    </row>
    <row r="29993" spans="1:8">
      <c r="F29993" t="s">
        <v>13647</v>
      </c>
      <c r="G29993" t="s">
        <v>17723</v>
      </c>
      <c r="H29993" t="s">
        <v>30870</v>
      </c>
    </row>
    <row r="29994" spans="1:8">
      <c r="F29994" t="s">
        <v>13648</v>
      </c>
      <c r="G29994" t="s">
        <v>17724</v>
      </c>
      <c r="H29994" t="s">
        <v>22685</v>
      </c>
    </row>
    <row r="29995" spans="1:8">
      <c r="F29995" t="s">
        <v>13567</v>
      </c>
      <c r="G29995" t="s">
        <v>17672</v>
      </c>
      <c r="H29995" t="s">
        <v>22685</v>
      </c>
    </row>
    <row r="29996" spans="1:8">
      <c r="F29996" t="s">
        <v>13421</v>
      </c>
      <c r="G29996" t="s">
        <v>17545</v>
      </c>
      <c r="H29996" t="s">
        <v>29571</v>
      </c>
    </row>
    <row r="29997" spans="1:8">
      <c r="F29997" t="s">
        <v>13403</v>
      </c>
      <c r="G29997" t="s">
        <v>17529</v>
      </c>
      <c r="H29997" t="s">
        <v>22685</v>
      </c>
    </row>
    <row r="29998" spans="1:8">
      <c r="F29998" t="s">
        <v>13649</v>
      </c>
      <c r="G29998" t="s">
        <v>17725</v>
      </c>
      <c r="H29998" t="s">
        <v>22685</v>
      </c>
    </row>
    <row r="29999" spans="1:8">
      <c r="F29999" t="s">
        <v>13650</v>
      </c>
      <c r="G29999" t="s">
        <v>17726</v>
      </c>
      <c r="H29999" t="s">
        <v>22685</v>
      </c>
    </row>
    <row r="30000" spans="1:8">
      <c r="F30000" t="s">
        <v>13651</v>
      </c>
      <c r="G30000" t="s">
        <v>17727</v>
      </c>
      <c r="H30000" t="s">
        <v>22685</v>
      </c>
    </row>
    <row r="30001" spans="6:8">
      <c r="F30001" t="s">
        <v>13470</v>
      </c>
      <c r="G30001" t="s">
        <v>17589</v>
      </c>
      <c r="H30001" t="s">
        <v>22685</v>
      </c>
    </row>
    <row r="30002" spans="6:8">
      <c r="F30002" t="s">
        <v>13652</v>
      </c>
      <c r="G30002" t="s">
        <v>17728</v>
      </c>
      <c r="H30002" t="s">
        <v>19017</v>
      </c>
    </row>
    <row r="30003" spans="6:8">
      <c r="F30003" t="s">
        <v>13653</v>
      </c>
      <c r="G30003" t="s">
        <v>17729</v>
      </c>
      <c r="H30003" t="s">
        <v>22685</v>
      </c>
    </row>
    <row r="30004" spans="6:8">
      <c r="H30004" t="s">
        <v>30871</v>
      </c>
    </row>
    <row r="30005" spans="6:8">
      <c r="F30005" t="s">
        <v>13428</v>
      </c>
      <c r="G30005" t="s">
        <v>17552</v>
      </c>
      <c r="H30005" t="s">
        <v>22685</v>
      </c>
    </row>
    <row r="30006" spans="6:8">
      <c r="F30006" t="s">
        <v>13314</v>
      </c>
      <c r="G30006" t="s">
        <v>17445</v>
      </c>
      <c r="H30006" t="s">
        <v>22685</v>
      </c>
    </row>
    <row r="30007" spans="6:8">
      <c r="H30007" t="s">
        <v>30871</v>
      </c>
    </row>
    <row r="30008" spans="6:8">
      <c r="H30008" t="s">
        <v>30872</v>
      </c>
    </row>
    <row r="30009" spans="6:8">
      <c r="F30009" t="s">
        <v>13429</v>
      </c>
      <c r="G30009" t="s">
        <v>17553</v>
      </c>
      <c r="H30009" t="s">
        <v>22685</v>
      </c>
    </row>
    <row r="30010" spans="6:8">
      <c r="F30010" t="s">
        <v>13641</v>
      </c>
      <c r="G30010" t="s">
        <v>17717</v>
      </c>
      <c r="H30010" t="s">
        <v>21323</v>
      </c>
    </row>
    <row r="30011" spans="6:8">
      <c r="F30011" t="s">
        <v>13654</v>
      </c>
      <c r="G30011" t="s">
        <v>17730</v>
      </c>
      <c r="H30011" t="s">
        <v>22685</v>
      </c>
    </row>
    <row r="30012" spans="6:8">
      <c r="F30012" t="s">
        <v>13371</v>
      </c>
      <c r="G30012" t="s">
        <v>17498</v>
      </c>
      <c r="H30012" t="s">
        <v>21323</v>
      </c>
    </row>
    <row r="30013" spans="6:8">
      <c r="H30013" t="s">
        <v>21323</v>
      </c>
    </row>
    <row r="30014" spans="6:8">
      <c r="F30014" t="s">
        <v>13655</v>
      </c>
      <c r="G30014" t="s">
        <v>17731</v>
      </c>
      <c r="H30014" t="s">
        <v>30873</v>
      </c>
    </row>
    <row r="30015" spans="6:8">
      <c r="F30015" t="s">
        <v>13656</v>
      </c>
      <c r="G30015" t="s">
        <v>17732</v>
      </c>
      <c r="H30015" t="s">
        <v>30873</v>
      </c>
    </row>
    <row r="30016" spans="6:8">
      <c r="F30016" t="s">
        <v>13416</v>
      </c>
      <c r="G30016" t="s">
        <v>17542</v>
      </c>
      <c r="H30016" t="s">
        <v>22685</v>
      </c>
    </row>
    <row r="30017" spans="1:8">
      <c r="F30017" t="s">
        <v>13241</v>
      </c>
      <c r="G30017" t="s">
        <v>17381</v>
      </c>
      <c r="H30017" t="s">
        <v>22685</v>
      </c>
    </row>
    <row r="30018" spans="1:8">
      <c r="F30018" t="s">
        <v>13255</v>
      </c>
      <c r="G30018" t="s">
        <v>17393</v>
      </c>
      <c r="H30018" t="s">
        <v>22685</v>
      </c>
    </row>
    <row r="30019" spans="1:8">
      <c r="F30019" t="s">
        <v>13657</v>
      </c>
      <c r="G30019" t="s">
        <v>17733</v>
      </c>
      <c r="H30019" t="s">
        <v>22685</v>
      </c>
    </row>
    <row r="30020" spans="1:8">
      <c r="A30020" t="s">
        <v>2106</v>
      </c>
      <c r="B30020">
        <f>HYPERLINK("https://android.googlesource.com/platform/cts/+/895569800aa5b822ba4408fd9e9d98db1695d8a7", "895569800aa5b822ba4408fd9e9d98db1695d8a7")</f>
        <v>0</v>
      </c>
      <c r="C30020">
        <f>HYPERLINK("https://android.googlesource.com/platform/cts/+/ee3a1be3e2a927b47311427caa0955289040d634", "ee3a1be3e2a927b47311427caa0955289040d634")</f>
        <v>0</v>
      </c>
      <c r="D30020" t="s">
        <v>5269</v>
      </c>
      <c r="E30020" t="s">
        <v>7843</v>
      </c>
      <c r="F30020" t="s">
        <v>13658</v>
      </c>
      <c r="G30020" t="s">
        <v>16913</v>
      </c>
      <c r="H30020" t="s">
        <v>18863</v>
      </c>
    </row>
    <row r="30021" spans="1:8">
      <c r="H30021" t="s">
        <v>21323</v>
      </c>
    </row>
    <row r="30022" spans="1:8">
      <c r="H30022" t="s">
        <v>20237</v>
      </c>
    </row>
    <row r="30023" spans="1:8">
      <c r="H30023" t="s">
        <v>19019</v>
      </c>
    </row>
    <row r="30024" spans="1:8">
      <c r="F30024" t="s">
        <v>13659</v>
      </c>
      <c r="G30024" t="s">
        <v>16438</v>
      </c>
      <c r="H30024" t="s">
        <v>30874</v>
      </c>
    </row>
    <row r="30025" spans="1:8">
      <c r="A30025" t="s">
        <v>2107</v>
      </c>
      <c r="B30025">
        <f>HYPERLINK("https://android.googlesource.com/platform/cts/+/a92f36f32d2ea3cbe8e77b4bb7e378622406c4f1", "a92f36f32d2ea3cbe8e77b4bb7e378622406c4f1")</f>
        <v>0</v>
      </c>
      <c r="C30025">
        <f>HYPERLINK("https://android.googlesource.com/platform/cts/+/703bf74391da98ba1b3a4109e809a43879536b4d", "703bf74391da98ba1b3a4109e809a43879536b4d")</f>
        <v>0</v>
      </c>
      <c r="D30025" t="s">
        <v>5085</v>
      </c>
      <c r="E30025" t="s">
        <v>7844</v>
      </c>
      <c r="F30025" t="s">
        <v>13518</v>
      </c>
      <c r="G30025" t="s">
        <v>17734</v>
      </c>
      <c r="H30025" t="s">
        <v>22678</v>
      </c>
    </row>
    <row r="30026" spans="1:8">
      <c r="H30026" t="s">
        <v>30875</v>
      </c>
    </row>
    <row r="30027" spans="1:8">
      <c r="H30027" t="s">
        <v>18829</v>
      </c>
    </row>
    <row r="30028" spans="1:8">
      <c r="H30028" t="s">
        <v>30876</v>
      </c>
    </row>
    <row r="30029" spans="1:8">
      <c r="H30029" t="s">
        <v>30877</v>
      </c>
    </row>
    <row r="30030" spans="1:8">
      <c r="H30030" t="s">
        <v>30878</v>
      </c>
    </row>
    <row r="30031" spans="1:8">
      <c r="H30031" t="s">
        <v>30879</v>
      </c>
    </row>
    <row r="30032" spans="1:8">
      <c r="H30032" t="s">
        <v>30880</v>
      </c>
    </row>
    <row r="30033" spans="1:8">
      <c r="H30033" t="s">
        <v>18863</v>
      </c>
    </row>
    <row r="30034" spans="1:8">
      <c r="H30034" t="s">
        <v>29723</v>
      </c>
    </row>
    <row r="30035" spans="1:8">
      <c r="H30035" t="s">
        <v>30881</v>
      </c>
    </row>
    <row r="30036" spans="1:8">
      <c r="H30036" t="s">
        <v>30882</v>
      </c>
    </row>
    <row r="30037" spans="1:8">
      <c r="H30037" t="s">
        <v>29725</v>
      </c>
    </row>
    <row r="30038" spans="1:8">
      <c r="H30038" t="s">
        <v>29726</v>
      </c>
    </row>
    <row r="30039" spans="1:8">
      <c r="H30039" t="s">
        <v>29940</v>
      </c>
    </row>
    <row r="30040" spans="1:8">
      <c r="H30040" t="s">
        <v>30883</v>
      </c>
    </row>
    <row r="30041" spans="1:8">
      <c r="H30041" t="s">
        <v>30884</v>
      </c>
    </row>
    <row r="30042" spans="1:8">
      <c r="H30042" t="s">
        <v>30885</v>
      </c>
    </row>
    <row r="30043" spans="1:8">
      <c r="H30043" t="s">
        <v>29727</v>
      </c>
    </row>
    <row r="30044" spans="1:8">
      <c r="H30044" t="s">
        <v>29728</v>
      </c>
    </row>
    <row r="30045" spans="1:8">
      <c r="H30045" t="s">
        <v>29729</v>
      </c>
    </row>
    <row r="30046" spans="1:8">
      <c r="H30046" t="s">
        <v>29730</v>
      </c>
    </row>
    <row r="30047" spans="1:8">
      <c r="H30047" t="s">
        <v>18893</v>
      </c>
    </row>
    <row r="30048" spans="1:8">
      <c r="A30048" t="s">
        <v>2108</v>
      </c>
      <c r="B30048">
        <f>HYPERLINK("https://android.googlesource.com/platform/cts/+/d8643fabad317fd027d8d2f9b33a9ebe769b65e6", "d8643fabad317fd027d8d2f9b33a9ebe769b65e6")</f>
        <v>0</v>
      </c>
      <c r="C30048">
        <f>HYPERLINK("https://android.googlesource.com/platform/cts/+/9cabcc170e3bf5ad32c3ba2017ed0afdf3f5c7e0", "9cabcc170e3bf5ad32c3ba2017ed0afdf3f5c7e0")</f>
        <v>0</v>
      </c>
      <c r="D30048" t="s">
        <v>5315</v>
      </c>
      <c r="E30048" t="s">
        <v>7845</v>
      </c>
      <c r="F30048" t="s">
        <v>13227</v>
      </c>
      <c r="G30048" t="s">
        <v>17368</v>
      </c>
      <c r="H30048" t="s">
        <v>30886</v>
      </c>
    </row>
    <row r="30049" spans="1:8">
      <c r="A30049" t="s">
        <v>2109</v>
      </c>
      <c r="B30049">
        <f>HYPERLINK("https://android.googlesource.com/platform/cts/+/712cacf636b330519dceffd7021b968473cb2894", "712cacf636b330519dceffd7021b968473cb2894")</f>
        <v>0</v>
      </c>
      <c r="C30049">
        <f>HYPERLINK("https://android.googlesource.com/platform/cts/+/3df83b32a8ac55ca6309282ef5239aef803a29ba", "3df83b32a8ac55ca6309282ef5239aef803a29ba")</f>
        <v>0</v>
      </c>
      <c r="D30049" t="s">
        <v>5258</v>
      </c>
      <c r="E30049" t="s">
        <v>7846</v>
      </c>
      <c r="F30049" t="s">
        <v>13572</v>
      </c>
      <c r="G30049" t="s">
        <v>17605</v>
      </c>
      <c r="H30049" t="s">
        <v>30887</v>
      </c>
    </row>
    <row r="30050" spans="1:8">
      <c r="F30050" t="s">
        <v>13660</v>
      </c>
      <c r="G30050" t="s">
        <v>17606</v>
      </c>
      <c r="H30050" t="s">
        <v>30887</v>
      </c>
    </row>
    <row r="30051" spans="1:8">
      <c r="A30051" t="s">
        <v>2110</v>
      </c>
      <c r="B30051">
        <f>HYPERLINK("https://android.googlesource.com/platform/cts/+/cfb0570dd8456090df2921fd5567d04a39544fc7", "cfb0570dd8456090df2921fd5567d04a39544fc7")</f>
        <v>0</v>
      </c>
      <c r="C30051">
        <f>HYPERLINK("https://android.googlesource.com/platform/cts/+/3438e01394cf14ef33d4a4d1fee8cccf7131a4cf", "3438e01394cf14ef33d4a4d1fee8cccf7131a4cf")</f>
        <v>0</v>
      </c>
      <c r="D30051" t="s">
        <v>5333</v>
      </c>
      <c r="E30051" t="s">
        <v>7847</v>
      </c>
      <c r="F30051" t="s">
        <v>13163</v>
      </c>
      <c r="G30051" t="s">
        <v>17313</v>
      </c>
      <c r="H30051" t="s">
        <v>30888</v>
      </c>
    </row>
    <row r="30052" spans="1:8">
      <c r="H30052" t="s">
        <v>30889</v>
      </c>
    </row>
    <row r="30053" spans="1:8">
      <c r="A30053" t="s">
        <v>2111</v>
      </c>
      <c r="B30053">
        <f>HYPERLINK("https://android.googlesource.com/platform/cts/+/c90bb4b67f6b202c4c4d73702ad4fc07cd4e196d", "c90bb4b67f6b202c4c4d73702ad4fc07cd4e196d")</f>
        <v>0</v>
      </c>
      <c r="C30053">
        <f>HYPERLINK("https://android.googlesource.com/platform/cts/+/480e5be10ac8e7b307a1987a0806058a83e50b53", "480e5be10ac8e7b307a1987a0806058a83e50b53")</f>
        <v>0</v>
      </c>
      <c r="D30053" t="s">
        <v>5240</v>
      </c>
      <c r="E30053" t="s">
        <v>7848</v>
      </c>
      <c r="F30053" t="s">
        <v>12710</v>
      </c>
      <c r="G30053" t="s">
        <v>16911</v>
      </c>
      <c r="H30053" t="s">
        <v>30890</v>
      </c>
    </row>
    <row r="30054" spans="1:8">
      <c r="A30054" t="s">
        <v>2112</v>
      </c>
      <c r="B30054">
        <f>HYPERLINK("https://android.googlesource.com/platform/cts/+/d7951b47c588c96e6aaf0c6e82b7807673798303", "d7951b47c588c96e6aaf0c6e82b7807673798303")</f>
        <v>0</v>
      </c>
      <c r="C30054">
        <f>HYPERLINK("https://android.googlesource.com/platform/cts/+/26778ef1134a1f42342257664a7fc398c5b40d0a", "26778ef1134a1f42342257664a7fc398c5b40d0a")</f>
        <v>0</v>
      </c>
      <c r="D30054" t="s">
        <v>5153</v>
      </c>
      <c r="E30054" t="s">
        <v>7849</v>
      </c>
      <c r="F30054" t="s">
        <v>13408</v>
      </c>
      <c r="G30054" t="s">
        <v>17534</v>
      </c>
      <c r="H30054" t="s">
        <v>30891</v>
      </c>
    </row>
    <row r="30055" spans="1:8">
      <c r="F30055" t="s">
        <v>13661</v>
      </c>
      <c r="G30055" t="s">
        <v>17735</v>
      </c>
      <c r="H30055" t="s">
        <v>25497</v>
      </c>
    </row>
    <row r="30056" spans="1:8">
      <c r="H30056" t="s">
        <v>20244</v>
      </c>
    </row>
    <row r="30057" spans="1:8">
      <c r="H30057" t="s">
        <v>22590</v>
      </c>
    </row>
    <row r="30058" spans="1:8">
      <c r="F30058" t="s">
        <v>13259</v>
      </c>
      <c r="G30058" t="s">
        <v>17397</v>
      </c>
      <c r="H30058" t="s">
        <v>25497</v>
      </c>
    </row>
    <row r="30059" spans="1:8">
      <c r="H30059" t="s">
        <v>20244</v>
      </c>
    </row>
    <row r="30060" spans="1:8">
      <c r="H30060" t="s">
        <v>22590</v>
      </c>
    </row>
    <row r="30061" spans="1:8">
      <c r="A30061" t="s">
        <v>2113</v>
      </c>
      <c r="B30061">
        <f>HYPERLINK("https://android.googlesource.com/platform/cts/+/9d4ba6c0df6c9227c24a519cb594429e4dadae4e", "9d4ba6c0df6c9227c24a519cb594429e4dadae4e")</f>
        <v>0</v>
      </c>
      <c r="C30061">
        <f>HYPERLINK("https://android.googlesource.com/platform/cts/+/3fb08b042ad14298b845e7c46b38a4c9feb928af", "3fb08b042ad14298b845e7c46b38a4c9feb928af")</f>
        <v>0</v>
      </c>
      <c r="D30061" t="s">
        <v>5310</v>
      </c>
      <c r="E30061" t="s">
        <v>7850</v>
      </c>
      <c r="F30061" t="s">
        <v>13433</v>
      </c>
      <c r="G30061" t="s">
        <v>17557</v>
      </c>
      <c r="H30061" t="s">
        <v>30892</v>
      </c>
    </row>
    <row r="30062" spans="1:8">
      <c r="H30062" t="s">
        <v>30893</v>
      </c>
    </row>
    <row r="30063" spans="1:8">
      <c r="A30063" t="s">
        <v>2114</v>
      </c>
      <c r="B30063">
        <f>HYPERLINK("https://android.googlesource.com/platform/cts/+/37972d530a566db0d68f6a367b4302671e5b02bc", "37972d530a566db0d68f6a367b4302671e5b02bc")</f>
        <v>0</v>
      </c>
      <c r="C30063">
        <f>HYPERLINK("https://android.googlesource.com/platform/cts/+/306c88bd58c581ed6710b881523cf88cbd49ae4f", "306c88bd58c581ed6710b881523cf88cbd49ae4f")</f>
        <v>0</v>
      </c>
      <c r="D30063" t="s">
        <v>5334</v>
      </c>
      <c r="E30063" t="s">
        <v>7851</v>
      </c>
      <c r="F30063" t="s">
        <v>13662</v>
      </c>
      <c r="G30063" t="s">
        <v>15122</v>
      </c>
      <c r="H30063" t="s">
        <v>30894</v>
      </c>
    </row>
    <row r="30064" spans="1:8">
      <c r="A30064" t="s">
        <v>2115</v>
      </c>
      <c r="B30064">
        <f>HYPERLINK("https://android.googlesource.com/platform/cts/+/b6ba44e26d97d5df59b657694e7ec1c2a7001a0d", "b6ba44e26d97d5df59b657694e7ec1c2a7001a0d")</f>
        <v>0</v>
      </c>
      <c r="C30064">
        <f>HYPERLINK("https://android.googlesource.com/platform/cts/+/6ebd08b079ba3f75b78c99c4fab7e89e7e4a5c13", "6ebd08b079ba3f75b78c99c4fab7e89e7e4a5c13")</f>
        <v>0</v>
      </c>
      <c r="D30064" t="s">
        <v>4974</v>
      </c>
      <c r="E30064" t="s">
        <v>7852</v>
      </c>
      <c r="F30064" t="s">
        <v>12710</v>
      </c>
      <c r="G30064" t="s">
        <v>16911</v>
      </c>
      <c r="H30064" t="s">
        <v>30895</v>
      </c>
    </row>
    <row r="30065" spans="1:8">
      <c r="A30065" t="s">
        <v>2116</v>
      </c>
      <c r="B30065">
        <f>HYPERLINK("https://android.googlesource.com/platform/cts/+/52a3ab25986ac0332139140bfa8fbb575bdb92c5", "52a3ab25986ac0332139140bfa8fbb575bdb92c5")</f>
        <v>0</v>
      </c>
      <c r="C30065">
        <f>HYPERLINK("https://android.googlesource.com/platform/cts/+/d49f63fe6f7746fe0bc08b78bce082d89052f9e9", "d49f63fe6f7746fe0bc08b78bce082d89052f9e9")</f>
        <v>0</v>
      </c>
      <c r="D30065" t="s">
        <v>5014</v>
      </c>
      <c r="E30065" t="s">
        <v>7853</v>
      </c>
      <c r="F30065" t="s">
        <v>13663</v>
      </c>
      <c r="G30065" t="s">
        <v>17736</v>
      </c>
      <c r="H30065" t="s">
        <v>19231</v>
      </c>
    </row>
    <row r="30066" spans="1:8">
      <c r="A30066" t="s">
        <v>2118</v>
      </c>
      <c r="B30066">
        <f>HYPERLINK("https://android.googlesource.com/platform/cts/+/55f6aa98e37b1c396a5da96372df04187d61f0b3", "55f6aa98e37b1c396a5da96372df04187d61f0b3")</f>
        <v>0</v>
      </c>
      <c r="C30066">
        <f>HYPERLINK("https://android.googlesource.com/platform/cts/+/c5bd776111fccf0dc1f129d407d10b7c64ddcdf4", "c5bd776111fccf0dc1f129d407d10b7c64ddcdf4")</f>
        <v>0</v>
      </c>
      <c r="D30066" t="s">
        <v>5288</v>
      </c>
      <c r="E30066" t="s">
        <v>7854</v>
      </c>
      <c r="F30066" t="s">
        <v>13664</v>
      </c>
      <c r="G30066" t="s">
        <v>17575</v>
      </c>
      <c r="H30066" t="s">
        <v>30896</v>
      </c>
    </row>
    <row r="30067" spans="1:8">
      <c r="H30067" t="s">
        <v>28673</v>
      </c>
    </row>
    <row r="30068" spans="1:8">
      <c r="A30068" t="s">
        <v>2119</v>
      </c>
      <c r="B30068">
        <f>HYPERLINK("https://android.googlesource.com/platform/cts/+/9bb06a0118cd578a33635491afc4844649e05eeb", "9bb06a0118cd578a33635491afc4844649e05eeb")</f>
        <v>0</v>
      </c>
      <c r="C30068">
        <f>HYPERLINK("https://android.googlesource.com/platform/cts/+/7f58167a26b4376ff39bdfaed5ed1e11c6087efa", "7f58167a26b4376ff39bdfaed5ed1e11c6087efa")</f>
        <v>0</v>
      </c>
      <c r="D30068" t="s">
        <v>5335</v>
      </c>
      <c r="E30068" t="s">
        <v>7855</v>
      </c>
      <c r="F30068" t="s">
        <v>12843</v>
      </c>
      <c r="G30068" t="s">
        <v>16556</v>
      </c>
      <c r="H30068" t="s">
        <v>30897</v>
      </c>
    </row>
    <row r="30069" spans="1:8">
      <c r="H30069" t="s">
        <v>30898</v>
      </c>
    </row>
    <row r="30070" spans="1:8">
      <c r="A30070" t="s">
        <v>2122</v>
      </c>
      <c r="B30070">
        <f>HYPERLINK("https://android.googlesource.com/platform/cts/+/6d711fa102389fee4008e485f15dbc407ac9a51d", "6d711fa102389fee4008e485f15dbc407ac9a51d")</f>
        <v>0</v>
      </c>
      <c r="C30070">
        <f>HYPERLINK("https://android.googlesource.com/platform/cts/+/a2d7f9d144631c2cf968e8cfe806676976cd0df2", "a2d7f9d144631c2cf968e8cfe806676976cd0df2")</f>
        <v>0</v>
      </c>
      <c r="D30070" t="s">
        <v>5277</v>
      </c>
      <c r="E30070" t="s">
        <v>7857</v>
      </c>
      <c r="F30070" t="s">
        <v>13665</v>
      </c>
      <c r="G30070" t="s">
        <v>17737</v>
      </c>
      <c r="H30070" t="s">
        <v>30899</v>
      </c>
    </row>
    <row r="30071" spans="1:8">
      <c r="H30071" t="s">
        <v>29214</v>
      </c>
    </row>
    <row r="30072" spans="1:8">
      <c r="H30072" t="s">
        <v>26557</v>
      </c>
    </row>
    <row r="30073" spans="1:8">
      <c r="H30073" t="s">
        <v>30900</v>
      </c>
    </row>
    <row r="30074" spans="1:8">
      <c r="H30074" t="s">
        <v>30901</v>
      </c>
    </row>
    <row r="30075" spans="1:8">
      <c r="H30075" t="s">
        <v>29219</v>
      </c>
    </row>
    <row r="30076" spans="1:8">
      <c r="H30076" t="s">
        <v>30902</v>
      </c>
    </row>
    <row r="30077" spans="1:8">
      <c r="H30077" t="s">
        <v>30903</v>
      </c>
    </row>
    <row r="30078" spans="1:8">
      <c r="H30078" t="s">
        <v>30904</v>
      </c>
    </row>
    <row r="30079" spans="1:8">
      <c r="F30079" t="s">
        <v>13349</v>
      </c>
      <c r="G30079" t="s">
        <v>17476</v>
      </c>
      <c r="H30079" t="s">
        <v>30901</v>
      </c>
    </row>
    <row r="30080" spans="1:8">
      <c r="H30080" t="s">
        <v>30900</v>
      </c>
    </row>
    <row r="30081" spans="1:8">
      <c r="H30081" t="s">
        <v>30902</v>
      </c>
    </row>
    <row r="30082" spans="1:8">
      <c r="H30082" t="s">
        <v>30903</v>
      </c>
    </row>
    <row r="30083" spans="1:8">
      <c r="H30083" t="s">
        <v>29219</v>
      </c>
    </row>
    <row r="30084" spans="1:8">
      <c r="H30084" t="s">
        <v>30905</v>
      </c>
    </row>
    <row r="30085" spans="1:8">
      <c r="H30085" t="s">
        <v>30904</v>
      </c>
    </row>
    <row r="30086" spans="1:8">
      <c r="H30086" t="s">
        <v>30906</v>
      </c>
    </row>
    <row r="30087" spans="1:8">
      <c r="F30087" t="s">
        <v>13351</v>
      </c>
      <c r="G30087" t="s">
        <v>17478</v>
      </c>
      <c r="H30087" t="s">
        <v>30906</v>
      </c>
    </row>
    <row r="30088" spans="1:8">
      <c r="H30088" t="s">
        <v>30907</v>
      </c>
    </row>
    <row r="30089" spans="1:8">
      <c r="H30089" t="s">
        <v>26557</v>
      </c>
    </row>
    <row r="30090" spans="1:8">
      <c r="H30090" t="s">
        <v>29214</v>
      </c>
    </row>
    <row r="30091" spans="1:8">
      <c r="H30091" t="s">
        <v>30908</v>
      </c>
    </row>
    <row r="30092" spans="1:8">
      <c r="H30092" t="s">
        <v>29215</v>
      </c>
    </row>
    <row r="30093" spans="1:8">
      <c r="A30093" t="s">
        <v>2123</v>
      </c>
      <c r="B30093">
        <f>HYPERLINK("https://android.googlesource.com/platform/cts/+/89925ec62138d6b48c40a3886c8d179285ae1349", "89925ec62138d6b48c40a3886c8d179285ae1349")</f>
        <v>0</v>
      </c>
      <c r="C30093">
        <f>HYPERLINK("https://android.googlesource.com/platform/cts/+/ce743c9c3509f6635c9f34dcc50bb2f97154e47b", "ce743c9c3509f6635c9f34dcc50bb2f97154e47b")</f>
        <v>0</v>
      </c>
      <c r="D30093" t="s">
        <v>5284</v>
      </c>
      <c r="E30093" t="s">
        <v>7858</v>
      </c>
      <c r="F30093" t="s">
        <v>10744</v>
      </c>
      <c r="G30093" t="s">
        <v>15143</v>
      </c>
      <c r="H30093" t="s">
        <v>30909</v>
      </c>
    </row>
    <row r="30094" spans="1:8">
      <c r="A30094" t="s">
        <v>2125</v>
      </c>
      <c r="B30094">
        <f>HYPERLINK("https://android.googlesource.com/platform/cts/+/1868569a5a0146e99060102f00fd13a295c56c86", "1868569a5a0146e99060102f00fd13a295c56c86")</f>
        <v>0</v>
      </c>
      <c r="C30094">
        <f>HYPERLINK("https://android.googlesource.com/platform/cts/+/79fce1b7d14932704861afee2921af410bb75ebd", "79fce1b7d14932704861afee2921af410bb75ebd")</f>
        <v>0</v>
      </c>
      <c r="D30094" t="s">
        <v>4981</v>
      </c>
      <c r="E30094" t="s">
        <v>7860</v>
      </c>
      <c r="F30094" t="s">
        <v>13335</v>
      </c>
      <c r="G30094" t="s">
        <v>17465</v>
      </c>
      <c r="H30094" t="s">
        <v>30910</v>
      </c>
    </row>
    <row r="30095" spans="1:8">
      <c r="A30095" t="s">
        <v>2126</v>
      </c>
      <c r="B30095">
        <f>HYPERLINK("https://android.googlesource.com/platform/cts/+/8f42d8cd939af4aa2bd696ad6f87e10fe297c7a7", "8f42d8cd939af4aa2bd696ad6f87e10fe297c7a7")</f>
        <v>0</v>
      </c>
      <c r="C30095">
        <f>HYPERLINK("https://android.googlesource.com/platform/cts/+/e68ca48d224c8f3f0c112192ff57777f82e631f5", "e68ca48d224c8f3f0c112192ff57777f82e631f5")</f>
        <v>0</v>
      </c>
      <c r="D30095" t="s">
        <v>5110</v>
      </c>
      <c r="E30095" t="s">
        <v>7861</v>
      </c>
      <c r="F30095" t="s">
        <v>12901</v>
      </c>
      <c r="G30095" t="s">
        <v>17068</v>
      </c>
      <c r="H30095" t="s">
        <v>26872</v>
      </c>
    </row>
    <row r="30096" spans="1:8">
      <c r="H30096" t="s">
        <v>26873</v>
      </c>
    </row>
    <row r="30097" spans="1:8">
      <c r="H30097" t="s">
        <v>26874</v>
      </c>
    </row>
    <row r="30098" spans="1:8">
      <c r="H30098" t="s">
        <v>26875</v>
      </c>
    </row>
    <row r="30099" spans="1:8">
      <c r="H30099" t="s">
        <v>26879</v>
      </c>
    </row>
    <row r="30100" spans="1:8">
      <c r="F30100" t="s">
        <v>12629</v>
      </c>
      <c r="G30100" t="s">
        <v>16838</v>
      </c>
      <c r="H30100" t="s">
        <v>26879</v>
      </c>
    </row>
    <row r="30101" spans="1:8">
      <c r="A30101" t="s">
        <v>2127</v>
      </c>
      <c r="B30101">
        <f>HYPERLINK("https://android.googlesource.com/platform/cts/+/ef23d4f1b62b3d47cb71df9a866bef7516d30f99", "ef23d4f1b62b3d47cb71df9a866bef7516d30f99")</f>
        <v>0</v>
      </c>
      <c r="C30101">
        <f>HYPERLINK("https://android.googlesource.com/platform/cts/+/424988188d5e155cc120094fe337b764d7a39759", "424988188d5e155cc120094fe337b764d7a39759")</f>
        <v>0</v>
      </c>
      <c r="D30101" t="s">
        <v>5153</v>
      </c>
      <c r="E30101" t="s">
        <v>7862</v>
      </c>
      <c r="F30101" t="s">
        <v>13331</v>
      </c>
      <c r="G30101" t="s">
        <v>17461</v>
      </c>
      <c r="H30101" t="s">
        <v>18829</v>
      </c>
    </row>
    <row r="30102" spans="1:8">
      <c r="F30102" t="s">
        <v>13666</v>
      </c>
      <c r="G30102" t="s">
        <v>17738</v>
      </c>
      <c r="H30102" t="s">
        <v>20244</v>
      </c>
    </row>
    <row r="30103" spans="1:8">
      <c r="F30103" t="s">
        <v>13667</v>
      </c>
      <c r="G30103" t="s">
        <v>17739</v>
      </c>
      <c r="H30103" t="s">
        <v>30911</v>
      </c>
    </row>
    <row r="30104" spans="1:8">
      <c r="A30104" t="s">
        <v>2128</v>
      </c>
      <c r="B30104">
        <f>HYPERLINK("https://android.googlesource.com/platform/cts/+/330cbd18e6cd92df3510ad985f60dbaf349bb767", "330cbd18e6cd92df3510ad985f60dbaf349bb767")</f>
        <v>0</v>
      </c>
      <c r="C30104">
        <f>HYPERLINK("https://android.googlesource.com/platform/cts/+/542156bd4afaf77c3ad6fd08d3b1b0605d3f7e1c", "542156bd4afaf77c3ad6fd08d3b1b0605d3f7e1c")</f>
        <v>0</v>
      </c>
      <c r="D30104" t="s">
        <v>4981</v>
      </c>
      <c r="E30104" t="s">
        <v>7863</v>
      </c>
      <c r="F30104" t="s">
        <v>13668</v>
      </c>
      <c r="G30104" t="s">
        <v>17740</v>
      </c>
      <c r="H30104" t="s">
        <v>30912</v>
      </c>
    </row>
    <row r="30105" spans="1:8">
      <c r="F30105" t="s">
        <v>10613</v>
      </c>
      <c r="G30105" t="s">
        <v>15016</v>
      </c>
      <c r="H30105" t="s">
        <v>30913</v>
      </c>
    </row>
    <row r="30106" spans="1:8">
      <c r="H30106" t="s">
        <v>30914</v>
      </c>
    </row>
    <row r="30107" spans="1:8">
      <c r="F30107" t="s">
        <v>13426</v>
      </c>
      <c r="G30107" t="s">
        <v>17550</v>
      </c>
      <c r="H30107" t="s">
        <v>18829</v>
      </c>
    </row>
    <row r="30108" spans="1:8">
      <c r="A30108" t="s">
        <v>2130</v>
      </c>
      <c r="B30108">
        <f>HYPERLINK("https://android.googlesource.com/platform/cts/+/6bec5f75efae1febb4d23da2b2bfddd2abd1b9a5", "6bec5f75efae1febb4d23da2b2bfddd2abd1b9a5")</f>
        <v>0</v>
      </c>
      <c r="C30108">
        <f>HYPERLINK("https://android.googlesource.com/platform/cts/+/f9707ce1a430adfac425262f8c362ae7b16d1902", "f9707ce1a430adfac425262f8c362ae7b16d1902")</f>
        <v>0</v>
      </c>
      <c r="D30108" t="s">
        <v>5207</v>
      </c>
      <c r="E30108" t="s">
        <v>7865</v>
      </c>
      <c r="F30108" t="s">
        <v>12345</v>
      </c>
      <c r="G30108" t="s">
        <v>16573</v>
      </c>
      <c r="H30108" t="s">
        <v>22261</v>
      </c>
    </row>
    <row r="30109" spans="1:8">
      <c r="H30109" t="s">
        <v>22262</v>
      </c>
    </row>
    <row r="30110" spans="1:8">
      <c r="F30110" t="s">
        <v>13669</v>
      </c>
      <c r="G30110" t="s">
        <v>17741</v>
      </c>
      <c r="H30110" t="s">
        <v>19981</v>
      </c>
    </row>
    <row r="30111" spans="1:8">
      <c r="H30111" t="s">
        <v>28618</v>
      </c>
    </row>
    <row r="30112" spans="1:8">
      <c r="H30112" t="s">
        <v>22261</v>
      </c>
    </row>
    <row r="30113" spans="8:8">
      <c r="H30113" t="s">
        <v>22262</v>
      </c>
    </row>
    <row r="30114" spans="8:8">
      <c r="H30114" t="s">
        <v>28547</v>
      </c>
    </row>
    <row r="30115" spans="8:8">
      <c r="H30115" t="s">
        <v>22269</v>
      </c>
    </row>
    <row r="30116" spans="8:8">
      <c r="H30116" t="s">
        <v>30915</v>
      </c>
    </row>
    <row r="30117" spans="8:8">
      <c r="H30117" t="s">
        <v>22266</v>
      </c>
    </row>
    <row r="30118" spans="8:8">
      <c r="H30118" t="s">
        <v>30916</v>
      </c>
    </row>
    <row r="30119" spans="8:8">
      <c r="H30119" t="s">
        <v>30917</v>
      </c>
    </row>
    <row r="30120" spans="8:8">
      <c r="H30120" t="s">
        <v>30918</v>
      </c>
    </row>
    <row r="30121" spans="8:8">
      <c r="H30121" t="s">
        <v>30919</v>
      </c>
    </row>
    <row r="30122" spans="8:8">
      <c r="H30122" t="s">
        <v>30920</v>
      </c>
    </row>
    <row r="30123" spans="8:8">
      <c r="H30123" t="s">
        <v>30921</v>
      </c>
    </row>
    <row r="30124" spans="8:8">
      <c r="H30124" t="s">
        <v>30922</v>
      </c>
    </row>
    <row r="30125" spans="8:8">
      <c r="H30125" t="s">
        <v>30923</v>
      </c>
    </row>
    <row r="30126" spans="8:8">
      <c r="H30126" t="s">
        <v>27146</v>
      </c>
    </row>
    <row r="30127" spans="8:8">
      <c r="H30127" t="s">
        <v>27145</v>
      </c>
    </row>
    <row r="30128" spans="8:8">
      <c r="H30128" t="s">
        <v>30924</v>
      </c>
    </row>
    <row r="30129" spans="1:8">
      <c r="A30129" t="s">
        <v>2131</v>
      </c>
      <c r="B30129">
        <f>HYPERLINK("https://android.googlesource.com/platform/cts/+/53f3fd0d319ebabeac1bacce00a0827423f52ee5", "53f3fd0d319ebabeac1bacce00a0827423f52ee5")</f>
        <v>0</v>
      </c>
      <c r="C30129">
        <f>HYPERLINK("https://android.googlesource.com/platform/cts/+/ec87d0a8f14fe586832729cc856824a08b82700f", "ec87d0a8f14fe586832729cc856824a08b82700f")</f>
        <v>0</v>
      </c>
      <c r="D30129" t="s">
        <v>5336</v>
      </c>
      <c r="E30129" t="s">
        <v>7866</v>
      </c>
      <c r="F30129" t="s">
        <v>13670</v>
      </c>
      <c r="G30129" t="s">
        <v>17742</v>
      </c>
      <c r="H30129" t="s">
        <v>30925</v>
      </c>
    </row>
    <row r="30130" spans="1:8">
      <c r="H30130" t="s">
        <v>30926</v>
      </c>
    </row>
    <row r="30131" spans="1:8">
      <c r="A30131" t="s">
        <v>2132</v>
      </c>
      <c r="B30131">
        <f>HYPERLINK("https://android.googlesource.com/platform/cts/+/614ee878edea1bdeb5d114d6b443e8a4918808ee", "614ee878edea1bdeb5d114d6b443e8a4918808ee")</f>
        <v>0</v>
      </c>
      <c r="C30131">
        <f>HYPERLINK("https://android.googlesource.com/platform/cts/+/34c5f99bcc0d439446460293e90a810a39f88385", "34c5f99bcc0d439446460293e90a810a39f88385")</f>
        <v>0</v>
      </c>
      <c r="D30131" t="s">
        <v>5100</v>
      </c>
      <c r="E30131" t="s">
        <v>7867</v>
      </c>
      <c r="F30131" t="s">
        <v>12857</v>
      </c>
      <c r="G30131" t="s">
        <v>17027</v>
      </c>
      <c r="H30131" t="s">
        <v>30927</v>
      </c>
    </row>
    <row r="30132" spans="1:8">
      <c r="H30132" t="s">
        <v>30928</v>
      </c>
    </row>
    <row r="30133" spans="1:8">
      <c r="H30133" t="s">
        <v>30929</v>
      </c>
    </row>
    <row r="30134" spans="1:8">
      <c r="H30134" t="s">
        <v>30930</v>
      </c>
    </row>
    <row r="30135" spans="1:8">
      <c r="H30135" t="s">
        <v>30931</v>
      </c>
    </row>
    <row r="30136" spans="1:8">
      <c r="A30136" t="s">
        <v>2133</v>
      </c>
      <c r="B30136">
        <f>HYPERLINK("https://android.googlesource.com/platform/cts/+/ae65fd8ebb17b8686aa02c8fcf784aaf01419eef", "ae65fd8ebb17b8686aa02c8fcf784aaf01419eef")</f>
        <v>0</v>
      </c>
      <c r="C30136">
        <f>HYPERLINK("https://android.googlesource.com/platform/cts/+/ee7a193ea70c64c72c69796365f1c7dff52621ee", "ee7a193ea70c64c72c69796365f1c7dff52621ee")</f>
        <v>0</v>
      </c>
      <c r="D30136" t="s">
        <v>5336</v>
      </c>
      <c r="E30136" t="s">
        <v>7868</v>
      </c>
      <c r="F30136" t="s">
        <v>13670</v>
      </c>
      <c r="G30136" t="s">
        <v>17742</v>
      </c>
      <c r="H30136" t="s">
        <v>30925</v>
      </c>
    </row>
    <row r="30137" spans="1:8">
      <c r="H30137" t="s">
        <v>30932</v>
      </c>
    </row>
    <row r="30138" spans="1:8">
      <c r="H30138" t="s">
        <v>30933</v>
      </c>
    </row>
    <row r="30139" spans="1:8">
      <c r="A30139" t="s">
        <v>2139</v>
      </c>
      <c r="B30139">
        <f>HYPERLINK("https://android.googlesource.com/platform/cts/+/7fd2a1b4bcc8b3485c5ed88b8824620a1cec584d", "7fd2a1b4bcc8b3485c5ed88b8824620a1cec584d")</f>
        <v>0</v>
      </c>
      <c r="C30139">
        <f>HYPERLINK("https://android.googlesource.com/platform/cts/+/6551f1f0ead0366619091235401073993cdfe220", "6551f1f0ead0366619091235401073993cdfe220")</f>
        <v>0</v>
      </c>
      <c r="D30139" t="s">
        <v>5240</v>
      </c>
      <c r="E30139" t="s">
        <v>7871</v>
      </c>
      <c r="F30139" t="s">
        <v>13670</v>
      </c>
      <c r="G30139" t="s">
        <v>17742</v>
      </c>
      <c r="H30139" t="s">
        <v>30934</v>
      </c>
    </row>
    <row r="30140" spans="1:8">
      <c r="A30140" t="s">
        <v>2140</v>
      </c>
      <c r="B30140">
        <f>HYPERLINK("https://android.googlesource.com/platform/cts/+/787d67a1c7609cb60ef558b07a067c1fdaa610aa", "787d67a1c7609cb60ef558b07a067c1fdaa610aa")</f>
        <v>0</v>
      </c>
      <c r="C30140">
        <f>HYPERLINK("https://android.googlesource.com/platform/cts/+/dabaaeaae7298057b0b208d59ede4359b9221a7a", "dabaaeaae7298057b0b208d59ede4359b9221a7a")</f>
        <v>0</v>
      </c>
      <c r="D30140" t="s">
        <v>5240</v>
      </c>
      <c r="E30140" t="s">
        <v>7872</v>
      </c>
      <c r="F30140" t="s">
        <v>13670</v>
      </c>
      <c r="G30140" t="s">
        <v>17742</v>
      </c>
      <c r="H30140" t="s">
        <v>30934</v>
      </c>
    </row>
    <row r="30141" spans="1:8">
      <c r="A30141" t="s">
        <v>2141</v>
      </c>
      <c r="B30141">
        <f>HYPERLINK("https://android.googlesource.com/platform/cts/+/6ed653922659e5c1ec21b35d97ef625942660cd0", "6ed653922659e5c1ec21b35d97ef625942660cd0")</f>
        <v>0</v>
      </c>
      <c r="C30141">
        <f>HYPERLINK("https://android.googlesource.com/platform/cts/+/27896e90fb8e3f211c241073673c8303ce32bac1", "27896e90fb8e3f211c241073673c8303ce32bac1")</f>
        <v>0</v>
      </c>
      <c r="D30141" t="s">
        <v>5240</v>
      </c>
      <c r="E30141" t="s">
        <v>7873</v>
      </c>
      <c r="F30141" t="s">
        <v>13670</v>
      </c>
      <c r="G30141" t="s">
        <v>17742</v>
      </c>
      <c r="H30141" t="s">
        <v>30934</v>
      </c>
    </row>
    <row r="30142" spans="1:8">
      <c r="A30142" t="s">
        <v>2143</v>
      </c>
      <c r="B30142">
        <f>HYPERLINK("https://android.googlesource.com/platform/cts/+/49cdceaeb2e8723e84b035f4efed3a709392d302", "49cdceaeb2e8723e84b035f4efed3a709392d302")</f>
        <v>0</v>
      </c>
      <c r="C30142">
        <f>HYPERLINK("https://android.googlesource.com/platform/cts/+/ea59d40acfb0c76786c9f977370dbf52391e695b", "ea59d40acfb0c76786c9f977370dbf52391e695b")</f>
        <v>0</v>
      </c>
      <c r="D30142" t="s">
        <v>5293</v>
      </c>
      <c r="E30142" t="s">
        <v>7875</v>
      </c>
      <c r="F30142" t="s">
        <v>13468</v>
      </c>
      <c r="G30142" t="s">
        <v>17587</v>
      </c>
      <c r="H30142" t="s">
        <v>30935</v>
      </c>
    </row>
    <row r="30143" spans="1:8">
      <c r="A30143" t="s">
        <v>2145</v>
      </c>
      <c r="B30143">
        <f>HYPERLINK("https://android.googlesource.com/platform/cts/+/8bfe2398662ea83cecf8bf7246212359fd6a19ac", "8bfe2398662ea83cecf8bf7246212359fd6a19ac")</f>
        <v>0</v>
      </c>
      <c r="C30143">
        <f>HYPERLINK("https://android.googlesource.com/platform/cts/+/476895552524b132c0fb347238e3c8e0b797b2f9", "476895552524b132c0fb347238e3c8e0b797b2f9")</f>
        <v>0</v>
      </c>
      <c r="D30143" t="s">
        <v>4947</v>
      </c>
      <c r="E30143" t="s">
        <v>7876</v>
      </c>
      <c r="F30143" t="s">
        <v>12404</v>
      </c>
      <c r="G30143" t="s">
        <v>16626</v>
      </c>
      <c r="H30143" t="s">
        <v>30936</v>
      </c>
    </row>
    <row r="30144" spans="1:8">
      <c r="A30144" t="s">
        <v>2147</v>
      </c>
      <c r="B30144">
        <f>HYPERLINK("https://android.googlesource.com/platform/cts/+/49a35715580d1e2b81773453afb877dbcc5b6115", "49a35715580d1e2b81773453afb877dbcc5b6115")</f>
        <v>0</v>
      </c>
      <c r="C30144">
        <f>HYPERLINK("https://android.googlesource.com/platform/cts/+/7bad9982003616cc4e3e553df713b9c9aefdeda9", "7bad9982003616cc4e3e553df713b9c9aefdeda9")</f>
        <v>0</v>
      </c>
      <c r="D30144" t="s">
        <v>4981</v>
      </c>
      <c r="E30144" t="s">
        <v>7878</v>
      </c>
      <c r="F30144" t="s">
        <v>13671</v>
      </c>
      <c r="G30144" t="s">
        <v>17743</v>
      </c>
      <c r="H30144" t="s">
        <v>30937</v>
      </c>
    </row>
    <row r="30145" spans="1:8">
      <c r="A30145" t="s">
        <v>2148</v>
      </c>
      <c r="B30145">
        <f>HYPERLINK("https://android.googlesource.com/platform/cts/+/fc6f3d001b46e5c5d40d16c9180a8b0fc3753608", "fc6f3d001b46e5c5d40d16c9180a8b0fc3753608")</f>
        <v>0</v>
      </c>
      <c r="C30145">
        <f>HYPERLINK("https://android.googlesource.com/platform/cts/+/0d5f6d5cd05713bac06c6edd84ee4ae24fc8c085", "0d5f6d5cd05713bac06c6edd84ee4ae24fc8c085")</f>
        <v>0</v>
      </c>
      <c r="D30145" t="s">
        <v>5275</v>
      </c>
      <c r="E30145" t="s">
        <v>7879</v>
      </c>
      <c r="F30145" t="s">
        <v>13671</v>
      </c>
      <c r="G30145" t="s">
        <v>17743</v>
      </c>
      <c r="H30145" t="s">
        <v>30937</v>
      </c>
    </row>
    <row r="30146" spans="1:8">
      <c r="A30146" t="s">
        <v>2149</v>
      </c>
      <c r="B30146">
        <f>HYPERLINK("https://android.googlesource.com/platform/cts/+/4e9a51f71210c8fd4c31a2d8844b0fa4b7bd17b1", "4e9a51f71210c8fd4c31a2d8844b0fa4b7bd17b1")</f>
        <v>0</v>
      </c>
      <c r="C30146">
        <f>HYPERLINK("https://android.googlesource.com/platform/cts/+/99c5973fc998a0033713503effacc57f031ff6cb", "99c5973fc998a0033713503effacc57f031ff6cb")</f>
        <v>0</v>
      </c>
      <c r="D30146" t="s">
        <v>5040</v>
      </c>
      <c r="E30146" t="s">
        <v>7880</v>
      </c>
      <c r="F30146" t="s">
        <v>11449</v>
      </c>
      <c r="G30146" t="s">
        <v>15689</v>
      </c>
      <c r="H30146" t="s">
        <v>30938</v>
      </c>
    </row>
    <row r="30147" spans="1:8">
      <c r="A30147" t="s">
        <v>2150</v>
      </c>
      <c r="B30147">
        <f>HYPERLINK("https://android.googlesource.com/platform/cts/+/a4f3ab72ff7fe5ca8de964d30f3514d95a7db494", "a4f3ab72ff7fe5ca8de964d30f3514d95a7db494")</f>
        <v>0</v>
      </c>
      <c r="C30147">
        <f>HYPERLINK("https://android.googlesource.com/platform/cts/+/18a79aa7f6349dfbec0079c92c81501fe3fd1092", "18a79aa7f6349dfbec0079c92c81501fe3fd1092")</f>
        <v>0</v>
      </c>
      <c r="D30147" t="s">
        <v>5028</v>
      </c>
      <c r="E30147" t="s">
        <v>7881</v>
      </c>
      <c r="F30147" t="s">
        <v>13672</v>
      </c>
      <c r="G30147" t="s">
        <v>17744</v>
      </c>
      <c r="H30147" t="s">
        <v>30939</v>
      </c>
    </row>
    <row r="30148" spans="1:8">
      <c r="F30148" t="s">
        <v>13673</v>
      </c>
      <c r="G30148" t="s">
        <v>15029</v>
      </c>
      <c r="H30148" t="s">
        <v>30940</v>
      </c>
    </row>
    <row r="30149" spans="1:8">
      <c r="A30149" t="s">
        <v>2151</v>
      </c>
      <c r="B30149">
        <f>HYPERLINK("https://android.googlesource.com/platform/cts/+/15d741dc1df4b0d078f2b3db9b236348938d244e", "15d741dc1df4b0d078f2b3db9b236348938d244e")</f>
        <v>0</v>
      </c>
      <c r="C30149">
        <f>HYPERLINK("https://android.googlesource.com/platform/cts/+/ea75f465317a46a58bad0e222a5fb6d0439985a3", "ea75f465317a46a58bad0e222a5fb6d0439985a3")</f>
        <v>0</v>
      </c>
      <c r="D30149" t="s">
        <v>5146</v>
      </c>
      <c r="E30149" t="s">
        <v>7882</v>
      </c>
      <c r="F30149" t="s">
        <v>12839</v>
      </c>
      <c r="G30149" t="s">
        <v>17014</v>
      </c>
      <c r="H30149" t="s">
        <v>30941</v>
      </c>
    </row>
    <row r="30150" spans="1:8">
      <c r="A30150" t="s">
        <v>2152</v>
      </c>
      <c r="B30150">
        <f>HYPERLINK("https://android.googlesource.com/platform/cts/+/b1805d386d9f0aef22b909d1ef1e3e7ff9e7ba80", "b1805d386d9f0aef22b909d1ef1e3e7ff9e7ba80")</f>
        <v>0</v>
      </c>
      <c r="C30150">
        <f>HYPERLINK("https://android.googlesource.com/platform/cts/+/f36bf11ca3d149b4bdae4ed46a8c8bb329a336dc", "f36bf11ca3d149b4bdae4ed46a8c8bb329a336dc")</f>
        <v>0</v>
      </c>
      <c r="D30150" t="s">
        <v>5337</v>
      </c>
      <c r="E30150" t="s">
        <v>7883</v>
      </c>
      <c r="F30150" t="s">
        <v>13674</v>
      </c>
      <c r="G30150" t="s">
        <v>17745</v>
      </c>
      <c r="H30150" t="s">
        <v>30942</v>
      </c>
    </row>
    <row r="30151" spans="1:8">
      <c r="H30151" t="s">
        <v>30943</v>
      </c>
    </row>
    <row r="30152" spans="1:8">
      <c r="F30152" t="s">
        <v>13675</v>
      </c>
      <c r="G30152" t="s">
        <v>17746</v>
      </c>
      <c r="H30152" t="s">
        <v>30942</v>
      </c>
    </row>
    <row r="30153" spans="1:8">
      <c r="H30153" t="s">
        <v>30943</v>
      </c>
    </row>
    <row r="30154" spans="1:8">
      <c r="A30154" t="s">
        <v>2153</v>
      </c>
      <c r="B30154">
        <f>HYPERLINK("https://android.googlesource.com/platform/cts/+/7b3947b5dac3145bcd1c5f423999b662352c7d4e", "7b3947b5dac3145bcd1c5f423999b662352c7d4e")</f>
        <v>0</v>
      </c>
      <c r="C30154">
        <f>HYPERLINK("https://android.googlesource.com/platform/cts/+/5be780a15f5388e538ddfc8e01049ebc4c48dad5", "5be780a15f5388e538ddfc8e01049ebc4c48dad5")</f>
        <v>0</v>
      </c>
      <c r="D30154" t="s">
        <v>4981</v>
      </c>
      <c r="E30154" t="s">
        <v>7884</v>
      </c>
      <c r="F30154" t="s">
        <v>13671</v>
      </c>
      <c r="G30154" t="s">
        <v>17743</v>
      </c>
      <c r="H30154" t="s">
        <v>30937</v>
      </c>
    </row>
    <row r="30155" spans="1:8">
      <c r="A30155" t="s">
        <v>2154</v>
      </c>
      <c r="B30155">
        <f>HYPERLINK("https://android.googlesource.com/platform/cts/+/c7a410848b08aca84f2be4f44a73c501e13b11e3", "c7a410848b08aca84f2be4f44a73c501e13b11e3")</f>
        <v>0</v>
      </c>
      <c r="C30155">
        <f>HYPERLINK("https://android.googlesource.com/platform/cts/+/99748b4c3ea4d417ade78a2b891a82f4bfb4a16f", "99748b4c3ea4d417ade78a2b891a82f4bfb4a16f")</f>
        <v>0</v>
      </c>
      <c r="D30155" t="s">
        <v>5336</v>
      </c>
      <c r="E30155" t="s">
        <v>7885</v>
      </c>
      <c r="F30155" t="s">
        <v>13676</v>
      </c>
      <c r="G30155" t="s">
        <v>17742</v>
      </c>
      <c r="H30155" t="s">
        <v>18829</v>
      </c>
    </row>
    <row r="30156" spans="1:8">
      <c r="H30156" t="s">
        <v>30944</v>
      </c>
    </row>
    <row r="30157" spans="1:8">
      <c r="H30157" t="s">
        <v>30934</v>
      </c>
    </row>
    <row r="30158" spans="1:8">
      <c r="H30158" t="s">
        <v>30925</v>
      </c>
    </row>
    <row r="30159" spans="1:8">
      <c r="H30159" t="s">
        <v>30932</v>
      </c>
    </row>
    <row r="30160" spans="1:8">
      <c r="H30160" t="s">
        <v>30933</v>
      </c>
    </row>
    <row r="30161" spans="1:8">
      <c r="A30161" t="s">
        <v>2155</v>
      </c>
      <c r="B30161">
        <f>HYPERLINK("https://android.googlesource.com/platform/cts/+/c58d6dc4b1d76a8adea0a55b44f62fd2ce93b552", "c58d6dc4b1d76a8adea0a55b44f62fd2ce93b552")</f>
        <v>0</v>
      </c>
      <c r="C30161">
        <f>HYPERLINK("https://android.googlesource.com/platform/cts/+/2db76c1db3c1872d8cd13cd68509f75b228f4399", "2db76c1db3c1872d8cd13cd68509f75b228f4399")</f>
        <v>0</v>
      </c>
      <c r="D30161" t="s">
        <v>5188</v>
      </c>
      <c r="E30161" t="s">
        <v>7886</v>
      </c>
      <c r="F30161" t="s">
        <v>13677</v>
      </c>
      <c r="G30161" t="s">
        <v>17747</v>
      </c>
      <c r="H30161" t="s">
        <v>30945</v>
      </c>
    </row>
    <row r="30162" spans="1:8">
      <c r="H30162" t="s">
        <v>30946</v>
      </c>
    </row>
    <row r="30163" spans="1:8">
      <c r="A30163" t="s">
        <v>2156</v>
      </c>
      <c r="B30163">
        <f>HYPERLINK("https://android.googlesource.com/platform/cts/+/6a31069fb1d06bb66b392f727547442203281672", "6a31069fb1d06bb66b392f727547442203281672")</f>
        <v>0</v>
      </c>
      <c r="C30163">
        <f>HYPERLINK("https://android.googlesource.com/platform/cts/+/5d7b4277c0d9463d4125baeb9fe3fa63776cc4f0", "5d7b4277c0d9463d4125baeb9fe3fa63776cc4f0")</f>
        <v>0</v>
      </c>
      <c r="D30163" t="s">
        <v>5338</v>
      </c>
      <c r="E30163" t="s">
        <v>7887</v>
      </c>
      <c r="F30163" t="s">
        <v>13370</v>
      </c>
      <c r="G30163" t="s">
        <v>17497</v>
      </c>
      <c r="H30163" t="s">
        <v>30947</v>
      </c>
    </row>
    <row r="30164" spans="1:8">
      <c r="A30164" t="s">
        <v>2157</v>
      </c>
      <c r="B30164">
        <f>HYPERLINK("https://android.googlesource.com/platform/cts/+/8b21abe5919b4788e9fc0e7cd94919b06ff9c2ec", "8b21abe5919b4788e9fc0e7cd94919b06ff9c2ec")</f>
        <v>0</v>
      </c>
      <c r="C30164">
        <f>HYPERLINK("https://android.googlesource.com/platform/cts/+/4db221c5f048754ef4fb5c1dcbc94a72553c6ce5", "4db221c5f048754ef4fb5c1dcbc94a72553c6ce5")</f>
        <v>0</v>
      </c>
      <c r="D30164" t="s">
        <v>5336</v>
      </c>
      <c r="E30164" t="s">
        <v>7888</v>
      </c>
      <c r="F30164" t="s">
        <v>13670</v>
      </c>
      <c r="G30164" t="s">
        <v>17742</v>
      </c>
      <c r="H30164" t="s">
        <v>30925</v>
      </c>
    </row>
    <row r="30165" spans="1:8">
      <c r="H30165" t="s">
        <v>30926</v>
      </c>
    </row>
    <row r="30166" spans="1:8">
      <c r="H30166" t="s">
        <v>30932</v>
      </c>
    </row>
    <row r="30167" spans="1:8">
      <c r="H30167" t="s">
        <v>30933</v>
      </c>
    </row>
    <row r="30168" spans="1:8">
      <c r="A30168" t="s">
        <v>2158</v>
      </c>
      <c r="B30168">
        <f>HYPERLINK("https://android.googlesource.com/platform/cts/+/40bf70ff06ea6ab5dae1ccfcb07115c897fbd7e3", "40bf70ff06ea6ab5dae1ccfcb07115c897fbd7e3")</f>
        <v>0</v>
      </c>
      <c r="C30168">
        <f>HYPERLINK("https://android.googlesource.com/platform/cts/+/5fd1e5113160e32861a110eb1b0494c6f7d640d5", "5fd1e5113160e32861a110eb1b0494c6f7d640d5")</f>
        <v>0</v>
      </c>
      <c r="D30168" t="s">
        <v>5338</v>
      </c>
      <c r="E30168" t="s">
        <v>7889</v>
      </c>
      <c r="F30168" t="s">
        <v>13370</v>
      </c>
      <c r="G30168" t="s">
        <v>17497</v>
      </c>
      <c r="H30168" t="s">
        <v>20244</v>
      </c>
    </row>
    <row r="30169" spans="1:8">
      <c r="H30169" t="s">
        <v>30948</v>
      </c>
    </row>
    <row r="30170" spans="1:8">
      <c r="H30170" t="s">
        <v>22590</v>
      </c>
    </row>
    <row r="30171" spans="1:8">
      <c r="A30171" t="s">
        <v>2159</v>
      </c>
      <c r="B30171">
        <f>HYPERLINK("https://android.googlesource.com/platform/cts/+/d0ec3cdde1494606da16a6aa4b66bb931f7ea56f", "d0ec3cdde1494606da16a6aa4b66bb931f7ea56f")</f>
        <v>0</v>
      </c>
      <c r="C30171">
        <f>HYPERLINK("https://android.googlesource.com/platform/cts/+/63ed9bda107f37b23955fffd3e31b68bbc5d395c", "63ed9bda107f37b23955fffd3e31b68bbc5d395c")</f>
        <v>0</v>
      </c>
      <c r="D30171" t="s">
        <v>5134</v>
      </c>
      <c r="E30171" t="s">
        <v>7890</v>
      </c>
      <c r="F30171" t="s">
        <v>13657</v>
      </c>
      <c r="G30171" t="s">
        <v>17733</v>
      </c>
      <c r="H30171" t="s">
        <v>30949</v>
      </c>
    </row>
    <row r="30172" spans="1:8">
      <c r="A30172" t="s">
        <v>2160</v>
      </c>
      <c r="B30172">
        <f>HYPERLINK("https://android.googlesource.com/platform/cts/+/4a80e5d21981194cfb8fa5264101ad280e611235", "4a80e5d21981194cfb8fa5264101ad280e611235")</f>
        <v>0</v>
      </c>
      <c r="C30172">
        <f>HYPERLINK("https://android.googlesource.com/platform/cts/+/10414404f6ef88328194bcb65b979d2b58f3254e", "10414404f6ef88328194bcb65b979d2b58f3254e")</f>
        <v>0</v>
      </c>
      <c r="D30172" t="s">
        <v>5134</v>
      </c>
      <c r="E30172" t="s">
        <v>7891</v>
      </c>
      <c r="F30172" t="s">
        <v>13428</v>
      </c>
      <c r="G30172" t="s">
        <v>17552</v>
      </c>
      <c r="H30172" t="s">
        <v>30950</v>
      </c>
    </row>
    <row r="30173" spans="1:8">
      <c r="H30173" t="s">
        <v>30951</v>
      </c>
    </row>
    <row r="30174" spans="1:8">
      <c r="H30174" t="s">
        <v>30952</v>
      </c>
    </row>
    <row r="30175" spans="1:8">
      <c r="H30175" t="s">
        <v>30953</v>
      </c>
    </row>
    <row r="30176" spans="1:8">
      <c r="H30176" t="s">
        <v>30954</v>
      </c>
    </row>
    <row r="30177" spans="1:8">
      <c r="H30177" t="s">
        <v>30955</v>
      </c>
    </row>
    <row r="30178" spans="1:8">
      <c r="A30178" t="s">
        <v>2161</v>
      </c>
      <c r="B30178">
        <f>HYPERLINK("https://android.googlesource.com/platform/cts/+/461e3e68d6ff5bb4f1b10154912116f4d8124567", "461e3e68d6ff5bb4f1b10154912116f4d8124567")</f>
        <v>0</v>
      </c>
      <c r="C30178">
        <f>HYPERLINK("https://android.googlesource.com/platform/cts/+/4ecb5420ac4bbbc2dca3fd8006d0efb0bf38dc56", "4ecb5420ac4bbbc2dca3fd8006d0efb0bf38dc56")</f>
        <v>0</v>
      </c>
      <c r="D30178" t="s">
        <v>5233</v>
      </c>
      <c r="E30178" t="s">
        <v>7892</v>
      </c>
      <c r="F30178" t="s">
        <v>10740</v>
      </c>
      <c r="G30178" t="s">
        <v>15139</v>
      </c>
      <c r="H30178" t="s">
        <v>30956</v>
      </c>
    </row>
    <row r="30179" spans="1:8">
      <c r="H30179" t="s">
        <v>30956</v>
      </c>
    </row>
    <row r="30180" spans="1:8">
      <c r="H30180" t="s">
        <v>19691</v>
      </c>
    </row>
    <row r="30181" spans="1:8">
      <c r="F30181" t="s">
        <v>10684</v>
      </c>
      <c r="G30181" t="s">
        <v>15084</v>
      </c>
      <c r="H30181" t="s">
        <v>26258</v>
      </c>
    </row>
    <row r="30182" spans="1:8">
      <c r="H30182" t="s">
        <v>30957</v>
      </c>
    </row>
    <row r="30183" spans="1:8">
      <c r="H30183" t="s">
        <v>30958</v>
      </c>
    </row>
    <row r="30184" spans="1:8">
      <c r="A30184" t="s">
        <v>2162</v>
      </c>
      <c r="B30184">
        <f>HYPERLINK("https://android.googlesource.com/platform/cts/+/88211a0563cec5b59a57c76f82ce0dbcc81b9842", "88211a0563cec5b59a57c76f82ce0dbcc81b9842")</f>
        <v>0</v>
      </c>
      <c r="C30184">
        <f>HYPERLINK("https://android.googlesource.com/platform/cts/+/1ce09b9ba99726ae779b07d7a7d1d57c1187408c", "1ce09b9ba99726ae779b07d7a7d1d57c1187408c")</f>
        <v>0</v>
      </c>
      <c r="D30184" t="s">
        <v>4981</v>
      </c>
      <c r="E30184" t="s">
        <v>7893</v>
      </c>
      <c r="F30184" t="s">
        <v>13678</v>
      </c>
      <c r="G30184" t="s">
        <v>17748</v>
      </c>
      <c r="H30184" t="s">
        <v>30959</v>
      </c>
    </row>
    <row r="30185" spans="1:8">
      <c r="A30185" t="s">
        <v>2163</v>
      </c>
      <c r="B30185">
        <f>HYPERLINK("https://android.googlesource.com/platform/cts/+/9a698190df01b2f8f4aa001a0ed19aea410df1ce", "9a698190df01b2f8f4aa001a0ed19aea410df1ce")</f>
        <v>0</v>
      </c>
      <c r="C30185">
        <f>HYPERLINK("https://android.googlesource.com/platform/cts/+/c77f29c324d5908ff573da32e425f5f5c1477804", "c77f29c324d5908ff573da32e425f5f5c1477804")</f>
        <v>0</v>
      </c>
      <c r="D30185" t="s">
        <v>4971</v>
      </c>
      <c r="E30185" t="s">
        <v>7894</v>
      </c>
      <c r="F30185" t="s">
        <v>13051</v>
      </c>
      <c r="G30185" t="s">
        <v>17215</v>
      </c>
      <c r="H30185" t="s">
        <v>30960</v>
      </c>
    </row>
    <row r="30186" spans="1:8">
      <c r="H30186" t="s">
        <v>30961</v>
      </c>
    </row>
    <row r="30187" spans="1:8">
      <c r="F30187" t="s">
        <v>13053</v>
      </c>
      <c r="G30187" t="s">
        <v>17217</v>
      </c>
      <c r="H30187" t="s">
        <v>30962</v>
      </c>
    </row>
    <row r="30188" spans="1:8">
      <c r="H30188" t="s">
        <v>30963</v>
      </c>
    </row>
    <row r="30189" spans="1:8">
      <c r="H30189" t="s">
        <v>25492</v>
      </c>
    </row>
    <row r="30190" spans="1:8">
      <c r="H30190" t="s">
        <v>25490</v>
      </c>
    </row>
    <row r="30191" spans="1:8">
      <c r="H30191" t="s">
        <v>30964</v>
      </c>
    </row>
    <row r="30192" spans="1:8">
      <c r="F30192" t="s">
        <v>13056</v>
      </c>
      <c r="G30192" t="s">
        <v>17220</v>
      </c>
      <c r="H30192" t="s">
        <v>30965</v>
      </c>
    </row>
    <row r="30193" spans="1:8">
      <c r="A30193" t="s">
        <v>2164</v>
      </c>
      <c r="B30193">
        <f>HYPERLINK("https://android.googlesource.com/platform/cts/+/bfb135c23b8a222a9707dcb99dc2a90afb6fad7d", "bfb135c23b8a222a9707dcb99dc2a90afb6fad7d")</f>
        <v>0</v>
      </c>
      <c r="C30193">
        <f>HYPERLINK("https://android.googlesource.com/platform/cts/+/dd9a17bcb322b190aef850450f2cc48ea1e23808", "dd9a17bcb322b190aef850450f2cc48ea1e23808")</f>
        <v>0</v>
      </c>
      <c r="D30193" t="s">
        <v>5339</v>
      </c>
      <c r="E30193" t="s">
        <v>7895</v>
      </c>
      <c r="F30193" t="s">
        <v>13679</v>
      </c>
      <c r="G30193" t="s">
        <v>17749</v>
      </c>
      <c r="H30193" t="s">
        <v>30966</v>
      </c>
    </row>
    <row r="30194" spans="1:8">
      <c r="A30194" t="s">
        <v>2165</v>
      </c>
      <c r="B30194">
        <f>HYPERLINK("https://android.googlesource.com/platform/cts/+/b86772daee6915549a02db62508ce593f5e44315", "b86772daee6915549a02db62508ce593f5e44315")</f>
        <v>0</v>
      </c>
      <c r="C30194">
        <f>HYPERLINK("https://android.googlesource.com/platform/cts/+/ac638e0f5f287d2baef0bbb150712a4fc761220d", "ac638e0f5f287d2baef0bbb150712a4fc761220d")</f>
        <v>0</v>
      </c>
      <c r="D30194" t="s">
        <v>5114</v>
      </c>
      <c r="E30194" t="s">
        <v>7896</v>
      </c>
      <c r="F30194" t="s">
        <v>13680</v>
      </c>
      <c r="G30194" t="s">
        <v>17750</v>
      </c>
      <c r="H30194" t="s">
        <v>30967</v>
      </c>
    </row>
    <row r="30195" spans="1:8">
      <c r="H30195" t="s">
        <v>30968</v>
      </c>
    </row>
    <row r="30196" spans="1:8">
      <c r="A30196" t="s">
        <v>2166</v>
      </c>
      <c r="B30196">
        <f>HYPERLINK("https://android.googlesource.com/platform/cts/+/82cade3e78381475053b9691ef718a46a9a6dd24", "82cade3e78381475053b9691ef718a46a9a6dd24")</f>
        <v>0</v>
      </c>
      <c r="C30196">
        <f>HYPERLINK("https://android.googlesource.com/platform/cts/+/6864b4f0a98bcee87beb874eb6cdfde97b530ecb", "6864b4f0a98bcee87beb874eb6cdfde97b530ecb")</f>
        <v>0</v>
      </c>
      <c r="D30196" t="s">
        <v>5143</v>
      </c>
      <c r="E30196" t="s">
        <v>7897</v>
      </c>
      <c r="F30196" t="s">
        <v>12914</v>
      </c>
      <c r="G30196" t="s">
        <v>17079</v>
      </c>
      <c r="H30196" t="s">
        <v>30969</v>
      </c>
    </row>
    <row r="30197" spans="1:8">
      <c r="H30197" t="s">
        <v>30970</v>
      </c>
    </row>
    <row r="30198" spans="1:8">
      <c r="H30198" t="s">
        <v>30971</v>
      </c>
    </row>
    <row r="30199" spans="1:8">
      <c r="A30199" t="s">
        <v>2167</v>
      </c>
      <c r="B30199">
        <f>HYPERLINK("https://android.googlesource.com/platform/cts/+/6456bccab461d03f9e0ef7f8d8c2c14c1b46ffb3", "6456bccab461d03f9e0ef7f8d8c2c14c1b46ffb3")</f>
        <v>0</v>
      </c>
      <c r="C30199">
        <f>HYPERLINK("https://android.googlesource.com/platform/cts/+/a3376cb6bb08c42fb9cc0c91ccae9998ce99daa8", "a3376cb6bb08c42fb9cc0c91ccae9998ce99daa8")</f>
        <v>0</v>
      </c>
      <c r="D30199" t="s">
        <v>5117</v>
      </c>
      <c r="E30199" t="s">
        <v>7898</v>
      </c>
      <c r="F30199" t="s">
        <v>13681</v>
      </c>
      <c r="G30199" t="s">
        <v>17751</v>
      </c>
      <c r="H30199" t="s">
        <v>30972</v>
      </c>
    </row>
    <row r="30200" spans="1:8">
      <c r="A30200" t="s">
        <v>2168</v>
      </c>
      <c r="B30200">
        <f>HYPERLINK("https://android.googlesource.com/platform/cts/+/9170936f7066d1bdea9bca7f28392de516c4d4a6", "9170936f7066d1bdea9bca7f28392de516c4d4a6")</f>
        <v>0</v>
      </c>
      <c r="C30200">
        <f>HYPERLINK("https://android.googlesource.com/platform/cts/+/6bd56a12526c9add9b742e6151412f4c0e03a80c", "6bd56a12526c9add9b742e6151412f4c0e03a80c")</f>
        <v>0</v>
      </c>
      <c r="D30200" t="s">
        <v>5134</v>
      </c>
      <c r="E30200" t="s">
        <v>7899</v>
      </c>
      <c r="F30200" t="s">
        <v>13682</v>
      </c>
      <c r="G30200" t="s">
        <v>17752</v>
      </c>
      <c r="H30200" t="s">
        <v>30973</v>
      </c>
    </row>
    <row r="30201" spans="1:8">
      <c r="H30201" t="s">
        <v>30974</v>
      </c>
    </row>
    <row r="30202" spans="1:8">
      <c r="A30202" t="s">
        <v>2169</v>
      </c>
      <c r="B30202">
        <f>HYPERLINK("https://android.googlesource.com/platform/cts/+/9a05c46bf5eef37a580ef0e2f37cf36806808a93", "9a05c46bf5eef37a580ef0e2f37cf36806808a93")</f>
        <v>0</v>
      </c>
      <c r="C30202">
        <f>HYPERLINK("https://android.googlesource.com/platform/cts/+/b0e6edb74cd3d54ae9844d9e3b6b137a86f70ec5", "b0e6edb74cd3d54ae9844d9e3b6b137a86f70ec5")</f>
        <v>0</v>
      </c>
      <c r="D30202" t="s">
        <v>4971</v>
      </c>
      <c r="E30202" t="s">
        <v>7900</v>
      </c>
      <c r="F30202" t="s">
        <v>13056</v>
      </c>
      <c r="G30202" t="s">
        <v>17220</v>
      </c>
      <c r="H30202" t="s">
        <v>30975</v>
      </c>
    </row>
    <row r="30203" spans="1:8">
      <c r="F30203" t="s">
        <v>12815</v>
      </c>
      <c r="G30203" t="s">
        <v>16996</v>
      </c>
      <c r="H30203" t="s">
        <v>30976</v>
      </c>
    </row>
    <row r="30204" spans="1:8">
      <c r="H30204" t="s">
        <v>30965</v>
      </c>
    </row>
    <row r="30205" spans="1:8">
      <c r="A30205" t="s">
        <v>2170</v>
      </c>
      <c r="B30205">
        <f>HYPERLINK("https://android.googlesource.com/platform/cts/+/d9916d984e691bb8a09a58487205fad3c4d546b5", "d9916d984e691bb8a09a58487205fad3c4d546b5")</f>
        <v>0</v>
      </c>
      <c r="C30205">
        <f>HYPERLINK("https://android.googlesource.com/platform/cts/+/63a12c68f60c6bb1c54729cf9c92d19a80074196", "63a12c68f60c6bb1c54729cf9c92d19a80074196")</f>
        <v>0</v>
      </c>
      <c r="D30205" t="s">
        <v>5340</v>
      </c>
      <c r="E30205" t="s">
        <v>7901</v>
      </c>
      <c r="F30205" t="s">
        <v>13683</v>
      </c>
      <c r="G30205" t="s">
        <v>17753</v>
      </c>
      <c r="H30205" t="s">
        <v>27000</v>
      </c>
    </row>
    <row r="30206" spans="1:8">
      <c r="A30206" t="s">
        <v>2171</v>
      </c>
      <c r="B30206">
        <f>HYPERLINK("https://android.googlesource.com/platform/cts/+/ef0ad61e0db620e4b29307ac2a8ac7bd205118f6", "ef0ad61e0db620e4b29307ac2a8ac7bd205118f6")</f>
        <v>0</v>
      </c>
      <c r="C30206">
        <f>HYPERLINK("https://android.googlesource.com/platform/cts/+/0be23ea9bf3bbd75da1ec866da97ea51b40cd3c0", "0be23ea9bf3bbd75da1ec866da97ea51b40cd3c0")</f>
        <v>0</v>
      </c>
      <c r="D30206" t="s">
        <v>5235</v>
      </c>
      <c r="E30206" t="s">
        <v>7902</v>
      </c>
      <c r="F30206" t="s">
        <v>13684</v>
      </c>
      <c r="G30206" t="s">
        <v>17754</v>
      </c>
      <c r="H30206" t="s">
        <v>20091</v>
      </c>
    </row>
    <row r="30207" spans="1:8">
      <c r="H30207" t="s">
        <v>19712</v>
      </c>
    </row>
    <row r="30208" spans="1:8">
      <c r="H30208" t="s">
        <v>19709</v>
      </c>
    </row>
    <row r="30209" spans="6:8">
      <c r="H30209" t="s">
        <v>20107</v>
      </c>
    </row>
    <row r="30210" spans="6:8">
      <c r="H30210" t="s">
        <v>20108</v>
      </c>
    </row>
    <row r="30211" spans="6:8">
      <c r="H30211" t="s">
        <v>19713</v>
      </c>
    </row>
    <row r="30212" spans="6:8">
      <c r="H30212" t="s">
        <v>19714</v>
      </c>
    </row>
    <row r="30213" spans="6:8">
      <c r="H30213" t="s">
        <v>20109</v>
      </c>
    </row>
    <row r="30214" spans="6:8">
      <c r="H30214" t="s">
        <v>20110</v>
      </c>
    </row>
    <row r="30215" spans="6:8">
      <c r="H30215" t="s">
        <v>20111</v>
      </c>
    </row>
    <row r="30216" spans="6:8">
      <c r="H30216" t="s">
        <v>20112</v>
      </c>
    </row>
    <row r="30217" spans="6:8">
      <c r="H30217" t="s">
        <v>20113</v>
      </c>
    </row>
    <row r="30218" spans="6:8">
      <c r="F30218" t="s">
        <v>13685</v>
      </c>
      <c r="G30218" t="s">
        <v>17755</v>
      </c>
      <c r="H30218" t="s">
        <v>20091</v>
      </c>
    </row>
    <row r="30219" spans="6:8">
      <c r="H30219" t="s">
        <v>19712</v>
      </c>
    </row>
    <row r="30220" spans="6:8">
      <c r="H30220" t="s">
        <v>19709</v>
      </c>
    </row>
    <row r="30221" spans="6:8">
      <c r="H30221" t="s">
        <v>20107</v>
      </c>
    </row>
    <row r="30222" spans="6:8">
      <c r="H30222" t="s">
        <v>20108</v>
      </c>
    </row>
    <row r="30223" spans="6:8">
      <c r="H30223" t="s">
        <v>19713</v>
      </c>
    </row>
    <row r="30224" spans="6:8">
      <c r="H30224" t="s">
        <v>19714</v>
      </c>
    </row>
    <row r="30225" spans="6:8">
      <c r="H30225" t="s">
        <v>20109</v>
      </c>
    </row>
    <row r="30226" spans="6:8">
      <c r="H30226" t="s">
        <v>20110</v>
      </c>
    </row>
    <row r="30227" spans="6:8">
      <c r="H30227" t="s">
        <v>20111</v>
      </c>
    </row>
    <row r="30228" spans="6:8">
      <c r="H30228" t="s">
        <v>20112</v>
      </c>
    </row>
    <row r="30229" spans="6:8">
      <c r="H30229" t="s">
        <v>20113</v>
      </c>
    </row>
    <row r="30230" spans="6:8">
      <c r="F30230" t="s">
        <v>13686</v>
      </c>
      <c r="G30230" t="s">
        <v>17756</v>
      </c>
      <c r="H30230" t="s">
        <v>20091</v>
      </c>
    </row>
    <row r="30231" spans="6:8">
      <c r="H30231" t="s">
        <v>19712</v>
      </c>
    </row>
    <row r="30232" spans="6:8">
      <c r="H30232" t="s">
        <v>19709</v>
      </c>
    </row>
    <row r="30233" spans="6:8">
      <c r="H30233" t="s">
        <v>20107</v>
      </c>
    </row>
    <row r="30234" spans="6:8">
      <c r="H30234" t="s">
        <v>20108</v>
      </c>
    </row>
    <row r="30235" spans="6:8">
      <c r="H30235" t="s">
        <v>19713</v>
      </c>
    </row>
    <row r="30236" spans="6:8">
      <c r="H30236" t="s">
        <v>19714</v>
      </c>
    </row>
    <row r="30237" spans="6:8">
      <c r="H30237" t="s">
        <v>20109</v>
      </c>
    </row>
    <row r="30238" spans="6:8">
      <c r="H30238" t="s">
        <v>20110</v>
      </c>
    </row>
    <row r="30239" spans="6:8">
      <c r="H30239" t="s">
        <v>20111</v>
      </c>
    </row>
    <row r="30240" spans="6:8">
      <c r="H30240" t="s">
        <v>20112</v>
      </c>
    </row>
    <row r="30241" spans="6:8">
      <c r="H30241" t="s">
        <v>20113</v>
      </c>
    </row>
    <row r="30242" spans="6:8">
      <c r="F30242" t="s">
        <v>13687</v>
      </c>
      <c r="G30242" t="s">
        <v>17757</v>
      </c>
      <c r="H30242" t="s">
        <v>20091</v>
      </c>
    </row>
    <row r="30243" spans="6:8">
      <c r="H30243" t="s">
        <v>19712</v>
      </c>
    </row>
    <row r="30244" spans="6:8">
      <c r="H30244" t="s">
        <v>19709</v>
      </c>
    </row>
    <row r="30245" spans="6:8">
      <c r="H30245" t="s">
        <v>20107</v>
      </c>
    </row>
    <row r="30246" spans="6:8">
      <c r="H30246" t="s">
        <v>20108</v>
      </c>
    </row>
    <row r="30247" spans="6:8">
      <c r="H30247" t="s">
        <v>19713</v>
      </c>
    </row>
    <row r="30248" spans="6:8">
      <c r="H30248" t="s">
        <v>19714</v>
      </c>
    </row>
    <row r="30249" spans="6:8">
      <c r="H30249" t="s">
        <v>20109</v>
      </c>
    </row>
    <row r="30250" spans="6:8">
      <c r="H30250" t="s">
        <v>20110</v>
      </c>
    </row>
    <row r="30251" spans="6:8">
      <c r="H30251" t="s">
        <v>20111</v>
      </c>
    </row>
    <row r="30252" spans="6:8">
      <c r="H30252" t="s">
        <v>20112</v>
      </c>
    </row>
    <row r="30253" spans="6:8">
      <c r="H30253" t="s">
        <v>20113</v>
      </c>
    </row>
    <row r="30254" spans="6:8">
      <c r="F30254" t="s">
        <v>13688</v>
      </c>
      <c r="G30254" t="s">
        <v>17758</v>
      </c>
      <c r="H30254" t="s">
        <v>20091</v>
      </c>
    </row>
    <row r="30255" spans="6:8">
      <c r="H30255" t="s">
        <v>19712</v>
      </c>
    </row>
    <row r="30256" spans="6:8">
      <c r="H30256" t="s">
        <v>19709</v>
      </c>
    </row>
    <row r="30257" spans="6:8">
      <c r="H30257" t="s">
        <v>19706</v>
      </c>
    </row>
    <row r="30258" spans="6:8">
      <c r="H30258" t="s">
        <v>19707</v>
      </c>
    </row>
    <row r="30259" spans="6:8">
      <c r="H30259" t="s">
        <v>19711</v>
      </c>
    </row>
    <row r="30260" spans="6:8">
      <c r="H30260" t="s">
        <v>20107</v>
      </c>
    </row>
    <row r="30261" spans="6:8">
      <c r="H30261" t="s">
        <v>20108</v>
      </c>
    </row>
    <row r="30262" spans="6:8">
      <c r="H30262" t="s">
        <v>19713</v>
      </c>
    </row>
    <row r="30263" spans="6:8">
      <c r="H30263" t="s">
        <v>19714</v>
      </c>
    </row>
    <row r="30264" spans="6:8">
      <c r="H30264" t="s">
        <v>20109</v>
      </c>
    </row>
    <row r="30265" spans="6:8">
      <c r="H30265" t="s">
        <v>20110</v>
      </c>
    </row>
    <row r="30266" spans="6:8">
      <c r="F30266" t="s">
        <v>13689</v>
      </c>
      <c r="G30266" t="s">
        <v>17759</v>
      </c>
      <c r="H30266" t="s">
        <v>20091</v>
      </c>
    </row>
    <row r="30267" spans="6:8">
      <c r="H30267" t="s">
        <v>19712</v>
      </c>
    </row>
    <row r="30268" spans="6:8">
      <c r="H30268" t="s">
        <v>19709</v>
      </c>
    </row>
    <row r="30269" spans="6:8">
      <c r="H30269" t="s">
        <v>19706</v>
      </c>
    </row>
    <row r="30270" spans="6:8">
      <c r="H30270" t="s">
        <v>19707</v>
      </c>
    </row>
    <row r="30271" spans="6:8">
      <c r="H30271" t="s">
        <v>19711</v>
      </c>
    </row>
    <row r="30272" spans="6:8">
      <c r="H30272" t="s">
        <v>20107</v>
      </c>
    </row>
    <row r="30273" spans="6:8">
      <c r="H30273" t="s">
        <v>20108</v>
      </c>
    </row>
    <row r="30274" spans="6:8">
      <c r="H30274" t="s">
        <v>19713</v>
      </c>
    </row>
    <row r="30275" spans="6:8">
      <c r="H30275" t="s">
        <v>19714</v>
      </c>
    </row>
    <row r="30276" spans="6:8">
      <c r="H30276" t="s">
        <v>20109</v>
      </c>
    </row>
    <row r="30277" spans="6:8">
      <c r="H30277" t="s">
        <v>20110</v>
      </c>
    </row>
    <row r="30278" spans="6:8">
      <c r="F30278" t="s">
        <v>13690</v>
      </c>
      <c r="G30278" t="s">
        <v>17760</v>
      </c>
      <c r="H30278" t="s">
        <v>20091</v>
      </c>
    </row>
    <row r="30279" spans="6:8">
      <c r="H30279" t="s">
        <v>19712</v>
      </c>
    </row>
    <row r="30280" spans="6:8">
      <c r="H30280" t="s">
        <v>19709</v>
      </c>
    </row>
    <row r="30281" spans="6:8">
      <c r="H30281" t="s">
        <v>19706</v>
      </c>
    </row>
    <row r="30282" spans="6:8">
      <c r="H30282" t="s">
        <v>19707</v>
      </c>
    </row>
    <row r="30283" spans="6:8">
      <c r="H30283" t="s">
        <v>19711</v>
      </c>
    </row>
    <row r="30284" spans="6:8">
      <c r="H30284" t="s">
        <v>20107</v>
      </c>
    </row>
    <row r="30285" spans="6:8">
      <c r="H30285" t="s">
        <v>20108</v>
      </c>
    </row>
    <row r="30286" spans="6:8">
      <c r="H30286" t="s">
        <v>19713</v>
      </c>
    </row>
    <row r="30287" spans="6:8">
      <c r="H30287" t="s">
        <v>19714</v>
      </c>
    </row>
    <row r="30288" spans="6:8">
      <c r="H30288" t="s">
        <v>20109</v>
      </c>
    </row>
    <row r="30289" spans="6:8">
      <c r="H30289" t="s">
        <v>20110</v>
      </c>
    </row>
    <row r="30290" spans="6:8">
      <c r="F30290" t="s">
        <v>13691</v>
      </c>
      <c r="G30290" t="s">
        <v>17761</v>
      </c>
      <c r="H30290" t="s">
        <v>20091</v>
      </c>
    </row>
    <row r="30291" spans="6:8">
      <c r="H30291" t="s">
        <v>19712</v>
      </c>
    </row>
    <row r="30292" spans="6:8">
      <c r="H30292" t="s">
        <v>19709</v>
      </c>
    </row>
    <row r="30293" spans="6:8">
      <c r="H30293" t="s">
        <v>20107</v>
      </c>
    </row>
    <row r="30294" spans="6:8">
      <c r="H30294" t="s">
        <v>20108</v>
      </c>
    </row>
    <row r="30295" spans="6:8">
      <c r="H30295" t="s">
        <v>19713</v>
      </c>
    </row>
    <row r="30296" spans="6:8">
      <c r="H30296" t="s">
        <v>19714</v>
      </c>
    </row>
    <row r="30297" spans="6:8">
      <c r="H30297" t="s">
        <v>20109</v>
      </c>
    </row>
    <row r="30298" spans="6:8">
      <c r="H30298" t="s">
        <v>20110</v>
      </c>
    </row>
    <row r="30299" spans="6:8">
      <c r="H30299" t="s">
        <v>20111</v>
      </c>
    </row>
    <row r="30300" spans="6:8">
      <c r="H30300" t="s">
        <v>20112</v>
      </c>
    </row>
    <row r="30301" spans="6:8">
      <c r="F30301" t="s">
        <v>13692</v>
      </c>
      <c r="G30301" t="s">
        <v>17762</v>
      </c>
      <c r="H30301" t="s">
        <v>20091</v>
      </c>
    </row>
    <row r="30302" spans="6:8">
      <c r="H30302" t="s">
        <v>19712</v>
      </c>
    </row>
    <row r="30303" spans="6:8">
      <c r="H30303" t="s">
        <v>19709</v>
      </c>
    </row>
    <row r="30304" spans="6:8">
      <c r="H30304" t="s">
        <v>20107</v>
      </c>
    </row>
    <row r="30305" spans="1:8">
      <c r="H30305" t="s">
        <v>20108</v>
      </c>
    </row>
    <row r="30306" spans="1:8">
      <c r="H30306" t="s">
        <v>19713</v>
      </c>
    </row>
    <row r="30307" spans="1:8">
      <c r="H30307" t="s">
        <v>19714</v>
      </c>
    </row>
    <row r="30308" spans="1:8">
      <c r="H30308" t="s">
        <v>20109</v>
      </c>
    </row>
    <row r="30309" spans="1:8">
      <c r="H30309" t="s">
        <v>20110</v>
      </c>
    </row>
    <row r="30310" spans="1:8">
      <c r="H30310" t="s">
        <v>20111</v>
      </c>
    </row>
    <row r="30311" spans="1:8">
      <c r="H30311" t="s">
        <v>20112</v>
      </c>
    </row>
    <row r="30312" spans="1:8">
      <c r="A30312" t="s">
        <v>2172</v>
      </c>
      <c r="B30312">
        <f>HYPERLINK("https://android.googlesource.com/platform/cts/+/7bbeda1f919af2199c482a489b0bc256916eb5ab", "7bbeda1f919af2199c482a489b0bc256916eb5ab")</f>
        <v>0</v>
      </c>
      <c r="C30312">
        <f>HYPERLINK("https://android.googlesource.com/platform/cts/+/8f980d5dbff4a4c5726bdd272ae813398f92a5f2", "8f980d5dbff4a4c5726bdd272ae813398f92a5f2")</f>
        <v>0</v>
      </c>
      <c r="D30312" t="s">
        <v>5284</v>
      </c>
      <c r="E30312" t="s">
        <v>7903</v>
      </c>
      <c r="F30312" t="s">
        <v>13441</v>
      </c>
      <c r="G30312" t="s">
        <v>17563</v>
      </c>
      <c r="H30312" t="s">
        <v>20083</v>
      </c>
    </row>
    <row r="30313" spans="1:8">
      <c r="H30313" t="s">
        <v>30977</v>
      </c>
    </row>
    <row r="30314" spans="1:8">
      <c r="H30314" t="s">
        <v>30978</v>
      </c>
    </row>
    <row r="30315" spans="1:8">
      <c r="H30315" t="s">
        <v>30979</v>
      </c>
    </row>
    <row r="30316" spans="1:8">
      <c r="H30316" t="s">
        <v>20166</v>
      </c>
    </row>
    <row r="30317" spans="1:8">
      <c r="A30317" t="s">
        <v>2173</v>
      </c>
      <c r="B30317">
        <f>HYPERLINK("https://android.googlesource.com/platform/cts/+/6598ee6014a7ecf5f0095e31371132bee4cf4ac8", "6598ee6014a7ecf5f0095e31371132bee4cf4ac8")</f>
        <v>0</v>
      </c>
      <c r="C30317">
        <f>HYPERLINK("https://android.googlesource.com/platform/cts/+/7fda12303ec9b0e6693fbe585c8f22d055de0c36", "7fda12303ec9b0e6693fbe585c8f22d055de0c36")</f>
        <v>0</v>
      </c>
      <c r="D30317" t="s">
        <v>5134</v>
      </c>
      <c r="E30317" t="s">
        <v>7904</v>
      </c>
      <c r="F30317" t="s">
        <v>13693</v>
      </c>
      <c r="G30317" t="s">
        <v>17763</v>
      </c>
      <c r="H30317" t="s">
        <v>30980</v>
      </c>
    </row>
    <row r="30318" spans="1:8">
      <c r="A30318" t="s">
        <v>2174</v>
      </c>
      <c r="B30318">
        <f>HYPERLINK("https://android.googlesource.com/platform/cts/+/a3e3acf6c1da02dd6b11770d3a7d107b313e74e2", "a3e3acf6c1da02dd6b11770d3a7d107b313e74e2")</f>
        <v>0</v>
      </c>
      <c r="C30318">
        <f>HYPERLINK("https://android.googlesource.com/platform/cts/+/a355251d43a97f8c364bde6ff88500c2d672f0e5", "a355251d43a97f8c364bde6ff88500c2d672f0e5")</f>
        <v>0</v>
      </c>
      <c r="D30318" t="s">
        <v>5338</v>
      </c>
      <c r="E30318" t="s">
        <v>7905</v>
      </c>
      <c r="F30318" t="s">
        <v>13203</v>
      </c>
      <c r="G30318" t="s">
        <v>17345</v>
      </c>
      <c r="H30318" t="s">
        <v>25497</v>
      </c>
    </row>
    <row r="30319" spans="1:8">
      <c r="H30319" t="s">
        <v>20244</v>
      </c>
    </row>
    <row r="30320" spans="1:8">
      <c r="H30320" t="s">
        <v>30981</v>
      </c>
    </row>
    <row r="30321" spans="1:8">
      <c r="H30321" t="s">
        <v>22590</v>
      </c>
    </row>
    <row r="30322" spans="1:8">
      <c r="H30322" t="s">
        <v>22590</v>
      </c>
    </row>
    <row r="30323" spans="1:8">
      <c r="A30323" t="s">
        <v>2175</v>
      </c>
      <c r="B30323">
        <f>HYPERLINK("https://android.googlesource.com/platform/cts/+/be0c2f96d9401d27a89b1a9a1c266c1743a9459a", "be0c2f96d9401d27a89b1a9a1c266c1743a9459a")</f>
        <v>0</v>
      </c>
      <c r="C30323">
        <f>HYPERLINK("https://android.googlesource.com/platform/cts/+/c53c0ae237d5af6ff2e0bad6512a9291e1bf676e", "c53c0ae237d5af6ff2e0bad6512a9291e1bf676e")</f>
        <v>0</v>
      </c>
      <c r="D30323" t="s">
        <v>5287</v>
      </c>
      <c r="E30323" t="s">
        <v>7906</v>
      </c>
      <c r="F30323" t="s">
        <v>10608</v>
      </c>
      <c r="G30323" t="s">
        <v>15011</v>
      </c>
      <c r="H30323" t="s">
        <v>30982</v>
      </c>
    </row>
    <row r="30324" spans="1:8">
      <c r="H30324" t="s">
        <v>30983</v>
      </c>
    </row>
    <row r="30325" spans="1:8">
      <c r="A30325" t="s">
        <v>2176</v>
      </c>
      <c r="B30325">
        <f>HYPERLINK("https://android.googlesource.com/platform/cts/+/1b77d561d522c0d872c3f1eb69e80a1d41370bd1", "1b77d561d522c0d872c3f1eb69e80a1d41370bd1")</f>
        <v>0</v>
      </c>
      <c r="C30325">
        <f>HYPERLINK("https://android.googlesource.com/platform/cts/+/ea2f11de3135e433a74ebbb0d360bc541b95faae", "ea2f11de3135e433a74ebbb0d360bc541b95faae")</f>
        <v>0</v>
      </c>
      <c r="D30325" t="s">
        <v>5117</v>
      </c>
      <c r="E30325" t="s">
        <v>7907</v>
      </c>
      <c r="F30325" t="s">
        <v>13442</v>
      </c>
      <c r="G30325" t="s">
        <v>17564</v>
      </c>
      <c r="H30325" t="s">
        <v>30984</v>
      </c>
    </row>
    <row r="30326" spans="1:8">
      <c r="A30326" t="s">
        <v>2177</v>
      </c>
      <c r="B30326">
        <f>HYPERLINK("https://android.googlesource.com/platform/cts/+/10408388332a9b3c40217b47670b3db7cf559a3b", "10408388332a9b3c40217b47670b3db7cf559a3b")</f>
        <v>0</v>
      </c>
      <c r="C30326">
        <f>HYPERLINK("https://android.googlesource.com/platform/cts/+/b16725a056d90e8a41a52229b00d90be0ce018ba", "b16725a056d90e8a41a52229b00d90be0ce018ba")</f>
        <v>0</v>
      </c>
      <c r="D30326" t="s">
        <v>5341</v>
      </c>
      <c r="E30326" t="s">
        <v>7908</v>
      </c>
      <c r="F30326" t="s">
        <v>13334</v>
      </c>
      <c r="G30326" t="s">
        <v>17464</v>
      </c>
      <c r="H30326" t="s">
        <v>25497</v>
      </c>
    </row>
    <row r="30327" spans="1:8">
      <c r="H30327" t="s">
        <v>20244</v>
      </c>
    </row>
    <row r="30328" spans="1:8">
      <c r="H30328" t="s">
        <v>22590</v>
      </c>
    </row>
    <row r="30329" spans="1:8">
      <c r="A30329" t="s">
        <v>2179</v>
      </c>
      <c r="B30329">
        <f>HYPERLINK("https://android.googlesource.com/platform/cts/+/7393c8beb6facf302f02e189fae69d0ca99f569b", "7393c8beb6facf302f02e189fae69d0ca99f569b")</f>
        <v>0</v>
      </c>
      <c r="C30329">
        <f>HYPERLINK("https://android.googlesource.com/platform/cts/+/367a2224cd3ad9d0243df4aa55316016e5dd0280", "367a2224cd3ad9d0243df4aa55316016e5dd0280")</f>
        <v>0</v>
      </c>
      <c r="D30329" t="s">
        <v>5085</v>
      </c>
      <c r="E30329" t="s">
        <v>7910</v>
      </c>
      <c r="F30329" t="s">
        <v>13694</v>
      </c>
      <c r="G30329" t="s">
        <v>17764</v>
      </c>
      <c r="H30329" t="s">
        <v>30985</v>
      </c>
    </row>
    <row r="30330" spans="1:8">
      <c r="H30330" t="s">
        <v>30985</v>
      </c>
    </row>
    <row r="30331" spans="1:8">
      <c r="A30331" t="s">
        <v>2180</v>
      </c>
      <c r="B30331">
        <f>HYPERLINK("https://android.googlesource.com/platform/cts/+/46b28a1b8c05132e33b32f801a2bc74a4273c35b", "46b28a1b8c05132e33b32f801a2bc74a4273c35b")</f>
        <v>0</v>
      </c>
      <c r="C30331">
        <f>HYPERLINK("https://android.googlesource.com/platform/cts/+/18db382f11af3c80367c3c60a29ee41ddf3cb79b", "18db382f11af3c80367c3c60a29ee41ddf3cb79b")</f>
        <v>0</v>
      </c>
      <c r="D30331" t="s">
        <v>5085</v>
      </c>
      <c r="E30331" t="s">
        <v>7911</v>
      </c>
      <c r="F30331" t="s">
        <v>13695</v>
      </c>
      <c r="G30331" t="s">
        <v>17764</v>
      </c>
      <c r="H30331" t="s">
        <v>30985</v>
      </c>
    </row>
    <row r="30332" spans="1:8">
      <c r="H30332" t="s">
        <v>30985</v>
      </c>
    </row>
    <row r="30333" spans="1:8">
      <c r="A30333" t="s">
        <v>2181</v>
      </c>
      <c r="B30333">
        <f>HYPERLINK("https://android.googlesource.com/platform/cts/+/ddfcb98f148fe0efa386ee4bfd66452e6523da72", "ddfcb98f148fe0efa386ee4bfd66452e6523da72")</f>
        <v>0</v>
      </c>
      <c r="C30333">
        <f>HYPERLINK("https://android.googlesource.com/platform/cts/+/26fa9959a336cf945d1410b9b9109d808940ffa4", "26fa9959a336cf945d1410b9b9109d808940ffa4")</f>
        <v>0</v>
      </c>
      <c r="D30333" t="s">
        <v>5134</v>
      </c>
      <c r="E30333" t="s">
        <v>7912</v>
      </c>
      <c r="F30333" t="s">
        <v>13693</v>
      </c>
      <c r="G30333" t="s">
        <v>17763</v>
      </c>
      <c r="H30333" t="s">
        <v>30986</v>
      </c>
    </row>
    <row r="30334" spans="1:8">
      <c r="H30334" t="s">
        <v>30987</v>
      </c>
    </row>
    <row r="30335" spans="1:8">
      <c r="F30335" t="s">
        <v>13696</v>
      </c>
      <c r="G30335" t="s">
        <v>17765</v>
      </c>
      <c r="H30335" t="s">
        <v>30986</v>
      </c>
    </row>
    <row r="30336" spans="1:8">
      <c r="H30336" t="s">
        <v>30987</v>
      </c>
    </row>
    <row r="30337" spans="1:8">
      <c r="F30337" t="s">
        <v>13657</v>
      </c>
      <c r="G30337" t="s">
        <v>17733</v>
      </c>
      <c r="H30337" t="s">
        <v>30988</v>
      </c>
    </row>
    <row r="30338" spans="1:8">
      <c r="H30338" t="s">
        <v>30989</v>
      </c>
    </row>
    <row r="30339" spans="1:8">
      <c r="H30339" t="s">
        <v>30990</v>
      </c>
    </row>
    <row r="30340" spans="1:8">
      <c r="A30340" t="s">
        <v>2182</v>
      </c>
      <c r="B30340">
        <f>HYPERLINK("https://android.googlesource.com/platform/cts/+/7f257c997fb6414c5fd38e39c81fa9463245aa4d", "7f257c997fb6414c5fd38e39c81fa9463245aa4d")</f>
        <v>0</v>
      </c>
      <c r="C30340">
        <f>HYPERLINK("https://android.googlesource.com/platform/cts/+/ddfcb98f148fe0efa386ee4bfd66452e6523da72", "ddfcb98f148fe0efa386ee4bfd66452e6523da72")</f>
        <v>0</v>
      </c>
      <c r="D30340" t="s">
        <v>5134</v>
      </c>
      <c r="E30340" t="s">
        <v>7913</v>
      </c>
      <c r="F30340" t="s">
        <v>13693</v>
      </c>
      <c r="G30340" t="s">
        <v>17763</v>
      </c>
      <c r="H30340" t="s">
        <v>30991</v>
      </c>
    </row>
    <row r="30341" spans="1:8">
      <c r="H30341" t="s">
        <v>30992</v>
      </c>
    </row>
    <row r="30342" spans="1:8">
      <c r="H30342" t="s">
        <v>30993</v>
      </c>
    </row>
    <row r="30343" spans="1:8">
      <c r="H30343" t="s">
        <v>30994</v>
      </c>
    </row>
    <row r="30344" spans="1:8">
      <c r="H30344" t="s">
        <v>30995</v>
      </c>
    </row>
    <row r="30345" spans="1:8">
      <c r="H30345" t="s">
        <v>30996</v>
      </c>
    </row>
    <row r="30346" spans="1:8">
      <c r="A30346" t="s">
        <v>2183</v>
      </c>
      <c r="B30346">
        <f>HYPERLINK("https://android.googlesource.com/platform/cts/+/9355612dcc816c876874e463d49fe598c2456401", "9355612dcc816c876874e463d49fe598c2456401")</f>
        <v>0</v>
      </c>
      <c r="C30346">
        <f>HYPERLINK("https://android.googlesource.com/platform/cts/+/494216db87272879193ed064304ac813a21ffd14", "494216db87272879193ed064304ac813a21ffd14")</f>
        <v>0</v>
      </c>
      <c r="D30346" t="s">
        <v>5342</v>
      </c>
      <c r="E30346" t="s">
        <v>7914</v>
      </c>
      <c r="F30346" t="s">
        <v>13311</v>
      </c>
      <c r="G30346" t="s">
        <v>16471</v>
      </c>
      <c r="H30346" t="s">
        <v>30997</v>
      </c>
    </row>
    <row r="30347" spans="1:8">
      <c r="A30347" t="s">
        <v>2184</v>
      </c>
      <c r="B30347">
        <f>HYPERLINK("https://android.googlesource.com/platform/cts/+/7e1f50625214ae6ec16bdd98539180b7494ee26f", "7e1f50625214ae6ec16bdd98539180b7494ee26f")</f>
        <v>0</v>
      </c>
      <c r="C30347">
        <f>HYPERLINK("https://android.googlesource.com/platform/cts/+/80ad63a28cc803de4cd3ee9596ac64a5ce8e3521", "80ad63a28cc803de4cd3ee9596ac64a5ce8e3521")</f>
        <v>0</v>
      </c>
      <c r="D30347" t="s">
        <v>5134</v>
      </c>
      <c r="E30347" t="s">
        <v>7915</v>
      </c>
      <c r="F30347" t="s">
        <v>13693</v>
      </c>
      <c r="G30347" t="s">
        <v>17763</v>
      </c>
      <c r="H30347" t="s">
        <v>30998</v>
      </c>
    </row>
    <row r="30348" spans="1:8">
      <c r="H30348" t="s">
        <v>30999</v>
      </c>
    </row>
    <row r="30349" spans="1:8">
      <c r="H30349" t="s">
        <v>31000</v>
      </c>
    </row>
    <row r="30350" spans="1:8">
      <c r="H30350" t="s">
        <v>31001</v>
      </c>
    </row>
    <row r="30351" spans="1:8">
      <c r="H30351" t="s">
        <v>31002</v>
      </c>
    </row>
    <row r="30352" spans="1:8">
      <c r="H30352" t="s">
        <v>31003</v>
      </c>
    </row>
    <row r="30353" spans="1:8">
      <c r="H30353" t="s">
        <v>31004</v>
      </c>
    </row>
    <row r="30354" spans="1:8">
      <c r="H30354" t="s">
        <v>31005</v>
      </c>
    </row>
    <row r="30355" spans="1:8">
      <c r="H30355" t="s">
        <v>31006</v>
      </c>
    </row>
    <row r="30356" spans="1:8">
      <c r="A30356" t="s">
        <v>2185</v>
      </c>
      <c r="B30356">
        <f>HYPERLINK("https://android.googlesource.com/platform/cts/+/4e66220ff665dfc1f84679acfbbca71db656a17c", "4e66220ff665dfc1f84679acfbbca71db656a17c")</f>
        <v>0</v>
      </c>
      <c r="C30356">
        <f>HYPERLINK("https://android.googlesource.com/platform/cts/+/5711e85d02f5e46559b20338e0c8a05c187509c2", "5711e85d02f5e46559b20338e0c8a05c187509c2")</f>
        <v>0</v>
      </c>
      <c r="D30356" t="s">
        <v>5343</v>
      </c>
      <c r="E30356" t="s">
        <v>7916</v>
      </c>
      <c r="F30356" t="s">
        <v>13697</v>
      </c>
      <c r="G30356" t="s">
        <v>17766</v>
      </c>
      <c r="H30356" t="s">
        <v>31007</v>
      </c>
    </row>
    <row r="30357" spans="1:8">
      <c r="H30357" t="s">
        <v>19019</v>
      </c>
    </row>
    <row r="30358" spans="1:8">
      <c r="H30358" t="s">
        <v>31008</v>
      </c>
    </row>
    <row r="30359" spans="1:8">
      <c r="H30359" t="s">
        <v>31009</v>
      </c>
    </row>
    <row r="30360" spans="1:8">
      <c r="H30360" t="s">
        <v>31010</v>
      </c>
    </row>
    <row r="30361" spans="1:8">
      <c r="H30361" t="s">
        <v>31011</v>
      </c>
    </row>
    <row r="30362" spans="1:8">
      <c r="H30362" t="s">
        <v>31012</v>
      </c>
    </row>
    <row r="30363" spans="1:8">
      <c r="H30363" t="s">
        <v>31013</v>
      </c>
    </row>
    <row r="30364" spans="1:8">
      <c r="A30364" t="s">
        <v>2186</v>
      </c>
      <c r="B30364">
        <f>HYPERLINK("https://android.googlesource.com/platform/cts/+/436ac98e179fefce517a20b47fec38d866c17fcc", "436ac98e179fefce517a20b47fec38d866c17fcc")</f>
        <v>0</v>
      </c>
      <c r="C30364">
        <f>HYPERLINK("https://android.googlesource.com/platform/cts/+/15ff1ce1f26950f4529b953fba3e8ebadd2b88fc", "15ff1ce1f26950f4529b953fba3e8ebadd2b88fc")</f>
        <v>0</v>
      </c>
      <c r="D30364" t="s">
        <v>5284</v>
      </c>
      <c r="E30364" t="s">
        <v>7917</v>
      </c>
      <c r="F30364" t="s">
        <v>13698</v>
      </c>
      <c r="G30364" t="s">
        <v>17767</v>
      </c>
      <c r="H30364" t="s">
        <v>19998</v>
      </c>
    </row>
    <row r="30365" spans="1:8">
      <c r="H30365" t="s">
        <v>26873</v>
      </c>
    </row>
    <row r="30366" spans="1:8">
      <c r="H30366" t="s">
        <v>20083</v>
      </c>
    </row>
    <row r="30367" spans="1:8">
      <c r="H30367" t="s">
        <v>31014</v>
      </c>
    </row>
    <row r="30368" spans="1:8">
      <c r="H30368" t="s">
        <v>31015</v>
      </c>
    </row>
    <row r="30369" spans="1:8">
      <c r="H30369" t="s">
        <v>19928</v>
      </c>
    </row>
    <row r="30370" spans="1:8">
      <c r="H30370" t="s">
        <v>31016</v>
      </c>
    </row>
    <row r="30371" spans="1:8">
      <c r="H30371" t="s">
        <v>31017</v>
      </c>
    </row>
    <row r="30372" spans="1:8">
      <c r="H30372" t="s">
        <v>31018</v>
      </c>
    </row>
    <row r="30373" spans="1:8">
      <c r="H30373" t="s">
        <v>31019</v>
      </c>
    </row>
    <row r="30374" spans="1:8">
      <c r="F30374" t="s">
        <v>13699</v>
      </c>
      <c r="G30374" t="s">
        <v>17767</v>
      </c>
      <c r="H30374" t="s">
        <v>19998</v>
      </c>
    </row>
    <row r="30375" spans="1:8">
      <c r="H30375" t="s">
        <v>26873</v>
      </c>
    </row>
    <row r="30376" spans="1:8">
      <c r="H30376" t="s">
        <v>20083</v>
      </c>
    </row>
    <row r="30377" spans="1:8">
      <c r="H30377" t="s">
        <v>31014</v>
      </c>
    </row>
    <row r="30378" spans="1:8">
      <c r="H30378" t="s">
        <v>31015</v>
      </c>
    </row>
    <row r="30379" spans="1:8">
      <c r="H30379" t="s">
        <v>19928</v>
      </c>
    </row>
    <row r="30380" spans="1:8">
      <c r="H30380" t="s">
        <v>31016</v>
      </c>
    </row>
    <row r="30381" spans="1:8">
      <c r="H30381" t="s">
        <v>31017</v>
      </c>
    </row>
    <row r="30382" spans="1:8">
      <c r="H30382" t="s">
        <v>31018</v>
      </c>
    </row>
    <row r="30383" spans="1:8">
      <c r="H30383" t="s">
        <v>31019</v>
      </c>
    </row>
    <row r="30384" spans="1:8">
      <c r="A30384" t="s">
        <v>2187</v>
      </c>
      <c r="B30384">
        <f>HYPERLINK("https://android.googlesource.com/platform/cts/+/6f71ec65409cdea4ed36d3c2f71fd6baffa81e18", "6f71ec65409cdea4ed36d3c2f71fd6baffa81e18")</f>
        <v>0</v>
      </c>
      <c r="C30384">
        <f>HYPERLINK("https://android.googlesource.com/platform/cts/+/b815e0a71d5a411f640b614bc9a4b4d3fe26dc00", "b815e0a71d5a411f640b614bc9a4b4d3fe26dc00")</f>
        <v>0</v>
      </c>
      <c r="D30384" t="s">
        <v>5308</v>
      </c>
      <c r="E30384" t="s">
        <v>7918</v>
      </c>
      <c r="F30384" t="s">
        <v>13700</v>
      </c>
      <c r="G30384" t="s">
        <v>17768</v>
      </c>
      <c r="H30384" t="s">
        <v>31020</v>
      </c>
    </row>
    <row r="30385" spans="1:8">
      <c r="H30385" t="s">
        <v>31021</v>
      </c>
    </row>
    <row r="30386" spans="1:8">
      <c r="H30386" t="s">
        <v>30139</v>
      </c>
    </row>
    <row r="30387" spans="1:8">
      <c r="H30387" t="s">
        <v>31022</v>
      </c>
    </row>
    <row r="30388" spans="1:8">
      <c r="A30388" t="s">
        <v>2188</v>
      </c>
      <c r="B30388">
        <f>HYPERLINK("https://android.googlesource.com/platform/cts/+/9659260b553b0c96ce41852811383069edd95850", "9659260b553b0c96ce41852811383069edd95850")</f>
        <v>0</v>
      </c>
      <c r="C30388">
        <f>HYPERLINK("https://android.googlesource.com/platform/cts/+/550da4e912aca361b2c0c352e238c3862af6d8ca", "550da4e912aca361b2c0c352e238c3862af6d8ca")</f>
        <v>0</v>
      </c>
      <c r="D30388" t="s">
        <v>4981</v>
      </c>
      <c r="E30388" t="s">
        <v>7919</v>
      </c>
      <c r="F30388" t="s">
        <v>13701</v>
      </c>
      <c r="G30388" t="s">
        <v>17769</v>
      </c>
      <c r="H30388" t="s">
        <v>22639</v>
      </c>
    </row>
    <row r="30389" spans="1:8">
      <c r="H30389" t="s">
        <v>31023</v>
      </c>
    </row>
    <row r="30390" spans="1:8">
      <c r="A30390" t="s">
        <v>2189</v>
      </c>
      <c r="B30390">
        <f>HYPERLINK("https://android.googlesource.com/platform/cts/+/4b9e1d198fa577a1724a1950ebe3ff39d8647352", "4b9e1d198fa577a1724a1950ebe3ff39d8647352")</f>
        <v>0</v>
      </c>
      <c r="C30390">
        <f>HYPERLINK("https://android.googlesource.com/platform/cts/+/47df825c46cd1afb1b20b9621317dd6bb0290611", "47df825c46cd1afb1b20b9621317dd6bb0290611")</f>
        <v>0</v>
      </c>
      <c r="D30390" t="s">
        <v>5141</v>
      </c>
      <c r="E30390" t="s">
        <v>7920</v>
      </c>
      <c r="F30390" t="s">
        <v>10597</v>
      </c>
      <c r="G30390" t="s">
        <v>15000</v>
      </c>
      <c r="H30390" t="s">
        <v>31024</v>
      </c>
    </row>
    <row r="30391" spans="1:8">
      <c r="A30391" t="s">
        <v>2190</v>
      </c>
      <c r="B30391">
        <f>HYPERLINK("https://android.googlesource.com/platform/cts/+/317c7e30641049dc69e901034375e7c8568a8eb7", "317c7e30641049dc69e901034375e7c8568a8eb7")</f>
        <v>0</v>
      </c>
      <c r="C30391">
        <f>HYPERLINK("https://android.googlesource.com/platform/cts/+/fb7032dab117b94a1983073600e1407a149fc6ce", "fb7032dab117b94a1983073600e1407a149fc6ce")</f>
        <v>0</v>
      </c>
      <c r="D30391" t="s">
        <v>5110</v>
      </c>
      <c r="E30391" t="s">
        <v>7921</v>
      </c>
      <c r="F30391" t="s">
        <v>13702</v>
      </c>
      <c r="G30391" t="s">
        <v>17770</v>
      </c>
      <c r="H30391" t="s">
        <v>31025</v>
      </c>
    </row>
    <row r="30392" spans="1:8">
      <c r="A30392" t="s">
        <v>2191</v>
      </c>
      <c r="B30392">
        <f>HYPERLINK("https://android.googlesource.com/platform/cts/+/a81bf90a6e57e78354da37a1e81253d9697cb539", "a81bf90a6e57e78354da37a1e81253d9697cb539")</f>
        <v>0</v>
      </c>
      <c r="C30392">
        <f>HYPERLINK("https://android.googlesource.com/platform/cts/+/b14d6c559a7ac8488c31d7946cbfe39d0a80df69", "b14d6c559a7ac8488c31d7946cbfe39d0a80df69")</f>
        <v>0</v>
      </c>
      <c r="D30392" t="s">
        <v>5344</v>
      </c>
      <c r="E30392" t="s">
        <v>7922</v>
      </c>
      <c r="F30392" t="s">
        <v>13703</v>
      </c>
      <c r="G30392" t="s">
        <v>17771</v>
      </c>
      <c r="H30392" t="s">
        <v>31026</v>
      </c>
    </row>
    <row r="30393" spans="1:8">
      <c r="A30393" t="s">
        <v>2192</v>
      </c>
      <c r="B30393">
        <f>HYPERLINK("https://android.googlesource.com/platform/cts/+/d3bfceba7af51900359649a5a8502c54d48118fa", "d3bfceba7af51900359649a5a8502c54d48118fa")</f>
        <v>0</v>
      </c>
      <c r="C30393">
        <f>HYPERLINK("https://android.googlesource.com/platform/cts/+/397c71276f5667bdf432dc113dbc23abacca5734", "397c71276f5667bdf432dc113dbc23abacca5734")</f>
        <v>0</v>
      </c>
      <c r="D30393" t="s">
        <v>5132</v>
      </c>
      <c r="E30393" t="s">
        <v>7923</v>
      </c>
      <c r="F30393" t="s">
        <v>13089</v>
      </c>
      <c r="G30393" t="s">
        <v>17251</v>
      </c>
      <c r="H30393" t="s">
        <v>31027</v>
      </c>
    </row>
    <row r="30394" spans="1:8">
      <c r="A30394" t="s">
        <v>2193</v>
      </c>
      <c r="B30394">
        <f>HYPERLINK("https://android.googlesource.com/platform/cts/+/fac06c7bdb59d38f7b7ecddd5e70da25cff482fd", "fac06c7bdb59d38f7b7ecddd5e70da25cff482fd")</f>
        <v>0</v>
      </c>
      <c r="C30394">
        <f>HYPERLINK("https://android.googlesource.com/platform/cts/+/f40eef17d255b03079168b6aa0f6b02443f561ec", "f40eef17d255b03079168b6aa0f6b02443f561ec")</f>
        <v>0</v>
      </c>
      <c r="D30394" t="s">
        <v>5146</v>
      </c>
      <c r="E30394" t="s">
        <v>7924</v>
      </c>
      <c r="F30394" t="s">
        <v>12841</v>
      </c>
      <c r="G30394" t="s">
        <v>15119</v>
      </c>
      <c r="H30394" t="s">
        <v>31028</v>
      </c>
    </row>
    <row r="30395" spans="1:8">
      <c r="F30395" t="s">
        <v>12842</v>
      </c>
      <c r="G30395" t="s">
        <v>15690</v>
      </c>
      <c r="H30395" t="s">
        <v>31029</v>
      </c>
    </row>
    <row r="30396" spans="1:8">
      <c r="F30396" t="s">
        <v>13704</v>
      </c>
      <c r="G30396" t="s">
        <v>17772</v>
      </c>
      <c r="H30396" t="s">
        <v>31030</v>
      </c>
    </row>
    <row r="30397" spans="1:8">
      <c r="H30397" t="s">
        <v>18863</v>
      </c>
    </row>
    <row r="30398" spans="1:8">
      <c r="F30398" t="s">
        <v>12843</v>
      </c>
      <c r="G30398" t="s">
        <v>16556</v>
      </c>
      <c r="H30398" t="s">
        <v>31031</v>
      </c>
    </row>
    <row r="30399" spans="1:8">
      <c r="F30399" t="s">
        <v>12845</v>
      </c>
      <c r="G30399" t="s">
        <v>16561</v>
      </c>
      <c r="H30399" t="s">
        <v>31032</v>
      </c>
    </row>
    <row r="30400" spans="1:8">
      <c r="H30400" t="s">
        <v>31032</v>
      </c>
    </row>
    <row r="30401" spans="1:8">
      <c r="H30401" t="s">
        <v>31033</v>
      </c>
    </row>
    <row r="30402" spans="1:8">
      <c r="H30402" t="s">
        <v>20346</v>
      </c>
    </row>
    <row r="30403" spans="1:8">
      <c r="A30403" t="s">
        <v>2194</v>
      </c>
      <c r="B30403">
        <f>HYPERLINK("https://android.googlesource.com/platform/cts/+/1a5bf7bbf82a4f8ed323ab32b2612b8333d64742", "1a5bf7bbf82a4f8ed323ab32b2612b8333d64742")</f>
        <v>0</v>
      </c>
      <c r="C30403">
        <f>HYPERLINK("https://android.googlesource.com/platform/cts/+/5ac82de7bf7042dc965d9ea4a09b7e9b43fa2387", "5ac82de7bf7042dc965d9ea4a09b7e9b43fa2387")</f>
        <v>0</v>
      </c>
      <c r="D30403" t="s">
        <v>5345</v>
      </c>
      <c r="E30403" t="s">
        <v>7925</v>
      </c>
      <c r="F30403" t="s">
        <v>12817</v>
      </c>
      <c r="G30403" t="s">
        <v>16629</v>
      </c>
      <c r="H30403" t="s">
        <v>22751</v>
      </c>
    </row>
    <row r="30404" spans="1:8">
      <c r="A30404" t="s">
        <v>2195</v>
      </c>
      <c r="B30404">
        <f>HYPERLINK("https://android.googlesource.com/platform/cts/+/b1d786b775a892c92f3003fadcc0bdba860d793a", "b1d786b775a892c92f3003fadcc0bdba860d793a")</f>
        <v>0</v>
      </c>
      <c r="C30404">
        <f>HYPERLINK("https://android.googlesource.com/platform/cts/+/007e4d2085c4066edd4fd57ffcd08d6d1b1684f6", "007e4d2085c4066edd4fd57ffcd08d6d1b1684f6")</f>
        <v>0</v>
      </c>
      <c r="D30404" t="s">
        <v>5147</v>
      </c>
      <c r="E30404" t="s">
        <v>7926</v>
      </c>
      <c r="F30404" t="s">
        <v>10700</v>
      </c>
      <c r="G30404" t="s">
        <v>15100</v>
      </c>
      <c r="H30404" t="s">
        <v>31034</v>
      </c>
    </row>
    <row r="30405" spans="1:8">
      <c r="H30405" t="s">
        <v>31035</v>
      </c>
    </row>
    <row r="30406" spans="1:8">
      <c r="H30406" t="s">
        <v>31036</v>
      </c>
    </row>
    <row r="30407" spans="1:8">
      <c r="H30407" t="s">
        <v>31037</v>
      </c>
    </row>
    <row r="30408" spans="1:8">
      <c r="H30408" t="s">
        <v>31038</v>
      </c>
    </row>
    <row r="30409" spans="1:8">
      <c r="F30409" t="s">
        <v>13705</v>
      </c>
      <c r="G30409" t="s">
        <v>17773</v>
      </c>
      <c r="H30409" t="s">
        <v>25645</v>
      </c>
    </row>
    <row r="30410" spans="1:8">
      <c r="F30410" t="s">
        <v>13533</v>
      </c>
      <c r="G30410" t="s">
        <v>16849</v>
      </c>
      <c r="H30410" t="s">
        <v>25645</v>
      </c>
    </row>
    <row r="30411" spans="1:8">
      <c r="F30411" t="s">
        <v>13706</v>
      </c>
      <c r="G30411" t="s">
        <v>17774</v>
      </c>
      <c r="H30411" t="s">
        <v>25642</v>
      </c>
    </row>
    <row r="30412" spans="1:8">
      <c r="H30412" t="s">
        <v>25643</v>
      </c>
    </row>
    <row r="30413" spans="1:8">
      <c r="H30413" t="s">
        <v>31039</v>
      </c>
    </row>
    <row r="30414" spans="1:8">
      <c r="H30414" t="s">
        <v>25644</v>
      </c>
    </row>
    <row r="30415" spans="1:8">
      <c r="H30415" t="s">
        <v>31040</v>
      </c>
    </row>
    <row r="30416" spans="1:8">
      <c r="A30416" t="s">
        <v>2196</v>
      </c>
      <c r="B30416">
        <f>HYPERLINK("https://android.googlesource.com/platform/cts/+/45349ecfef242b3b61205df954c49792fce74710", "45349ecfef242b3b61205df954c49792fce74710")</f>
        <v>0</v>
      </c>
      <c r="C30416">
        <f>HYPERLINK("https://android.googlesource.com/platform/cts/+/4dce4146751513f24b4cb93668be05217075a1a0", "4dce4146751513f24b4cb93668be05217075a1a0")</f>
        <v>0</v>
      </c>
      <c r="D30416" t="s">
        <v>5346</v>
      </c>
      <c r="E30416" t="s">
        <v>7927</v>
      </c>
      <c r="F30416" t="s">
        <v>13707</v>
      </c>
      <c r="G30416" t="s">
        <v>17775</v>
      </c>
      <c r="H30416" t="s">
        <v>31041</v>
      </c>
    </row>
    <row r="30417" spans="1:8">
      <c r="H30417" t="s">
        <v>31042</v>
      </c>
    </row>
    <row r="30418" spans="1:8">
      <c r="H30418" t="s">
        <v>19982</v>
      </c>
    </row>
    <row r="30419" spans="1:8">
      <c r="H30419" t="s">
        <v>31043</v>
      </c>
    </row>
    <row r="30420" spans="1:8">
      <c r="H30420" t="s">
        <v>22586</v>
      </c>
    </row>
    <row r="30421" spans="1:8">
      <c r="H30421" t="s">
        <v>31044</v>
      </c>
    </row>
    <row r="30422" spans="1:8">
      <c r="H30422" t="s">
        <v>31044</v>
      </c>
    </row>
    <row r="30423" spans="1:8">
      <c r="H30423" t="s">
        <v>26758</v>
      </c>
    </row>
    <row r="30424" spans="1:8">
      <c r="H30424" t="s">
        <v>31045</v>
      </c>
    </row>
    <row r="30425" spans="1:8">
      <c r="H30425" t="s">
        <v>21360</v>
      </c>
    </row>
    <row r="30426" spans="1:8">
      <c r="A30426" t="s">
        <v>2197</v>
      </c>
      <c r="B30426">
        <f>HYPERLINK("https://android.googlesource.com/platform/cts/+/51610aef93901fce897e0ca502195848c981740d", "51610aef93901fce897e0ca502195848c981740d")</f>
        <v>0</v>
      </c>
      <c r="C30426">
        <f>HYPERLINK("https://android.googlesource.com/platform/cts/+/123e1413fed13c69421dae351fdd115dcd61b2bb", "123e1413fed13c69421dae351fdd115dcd61b2bb")</f>
        <v>0</v>
      </c>
      <c r="D30426" t="s">
        <v>5346</v>
      </c>
      <c r="E30426" t="s">
        <v>7928</v>
      </c>
      <c r="F30426" t="s">
        <v>13707</v>
      </c>
      <c r="G30426" t="s">
        <v>17775</v>
      </c>
      <c r="H30426" t="s">
        <v>31041</v>
      </c>
    </row>
    <row r="30427" spans="1:8">
      <c r="H30427" t="s">
        <v>31042</v>
      </c>
    </row>
    <row r="30428" spans="1:8">
      <c r="H30428" t="s">
        <v>19982</v>
      </c>
    </row>
    <row r="30429" spans="1:8">
      <c r="H30429" t="s">
        <v>31043</v>
      </c>
    </row>
    <row r="30430" spans="1:8">
      <c r="H30430" t="s">
        <v>22586</v>
      </c>
    </row>
    <row r="30431" spans="1:8">
      <c r="H30431" t="s">
        <v>31044</v>
      </c>
    </row>
    <row r="30432" spans="1:8">
      <c r="H30432" t="s">
        <v>31044</v>
      </c>
    </row>
    <row r="30433" spans="1:8">
      <c r="H30433" t="s">
        <v>26758</v>
      </c>
    </row>
    <row r="30434" spans="1:8">
      <c r="H30434" t="s">
        <v>31045</v>
      </c>
    </row>
    <row r="30435" spans="1:8">
      <c r="H30435" t="s">
        <v>21360</v>
      </c>
    </row>
    <row r="30436" spans="1:8">
      <c r="A30436" t="s">
        <v>2198</v>
      </c>
      <c r="B30436">
        <f>HYPERLINK("https://android.googlesource.com/platform/cts/+/83a470242cdd0fe89b3d6bc92edf7f02ff784689", "83a470242cdd0fe89b3d6bc92edf7f02ff784689")</f>
        <v>0</v>
      </c>
      <c r="C30436">
        <f>HYPERLINK("https://android.googlesource.com/platform/cts/+/01b53c305fcd43352d1c592a75cda7ee5df78648", "01b53c305fcd43352d1c592a75cda7ee5df78648")</f>
        <v>0</v>
      </c>
      <c r="D30436" t="s">
        <v>5346</v>
      </c>
      <c r="E30436" t="s">
        <v>7929</v>
      </c>
      <c r="F30436" t="s">
        <v>13707</v>
      </c>
      <c r="G30436" t="s">
        <v>17775</v>
      </c>
      <c r="H30436" t="s">
        <v>31041</v>
      </c>
    </row>
    <row r="30437" spans="1:8">
      <c r="H30437" t="s">
        <v>31042</v>
      </c>
    </row>
    <row r="30438" spans="1:8">
      <c r="H30438" t="s">
        <v>19982</v>
      </c>
    </row>
    <row r="30439" spans="1:8">
      <c r="H30439" t="s">
        <v>31043</v>
      </c>
    </row>
    <row r="30440" spans="1:8">
      <c r="H30440" t="s">
        <v>22586</v>
      </c>
    </row>
    <row r="30441" spans="1:8">
      <c r="H30441" t="s">
        <v>31044</v>
      </c>
    </row>
    <row r="30442" spans="1:8">
      <c r="H30442" t="s">
        <v>31044</v>
      </c>
    </row>
    <row r="30443" spans="1:8">
      <c r="H30443" t="s">
        <v>26758</v>
      </c>
    </row>
    <row r="30444" spans="1:8">
      <c r="H30444" t="s">
        <v>31045</v>
      </c>
    </row>
    <row r="30445" spans="1:8">
      <c r="A30445" t="s">
        <v>2200</v>
      </c>
      <c r="B30445">
        <f>HYPERLINK("https://android.googlesource.com/platform/cts/+/6636907b037a817011c74fcf36636335760c939f", "6636907b037a817011c74fcf36636335760c939f")</f>
        <v>0</v>
      </c>
      <c r="C30445">
        <f>HYPERLINK("https://android.googlesource.com/platform/cts/+/e69d57706c20b217820bcb45fc860986468721cd", "e69d57706c20b217820bcb45fc860986468721cd")</f>
        <v>0</v>
      </c>
      <c r="D30445" t="s">
        <v>5085</v>
      </c>
      <c r="E30445" t="s">
        <v>7931</v>
      </c>
      <c r="F30445" t="s">
        <v>13708</v>
      </c>
      <c r="G30445" t="s">
        <v>17776</v>
      </c>
      <c r="H30445" t="s">
        <v>31046</v>
      </c>
    </row>
    <row r="30446" spans="1:8">
      <c r="H30446" t="s">
        <v>31047</v>
      </c>
    </row>
    <row r="30447" spans="1:8">
      <c r="H30447" t="s">
        <v>19517</v>
      </c>
    </row>
    <row r="30448" spans="1:8">
      <c r="H30448" t="s">
        <v>19517</v>
      </c>
    </row>
    <row r="30449" spans="1:8">
      <c r="H30449" t="s">
        <v>18893</v>
      </c>
    </row>
    <row r="30450" spans="1:8">
      <c r="H30450" t="s">
        <v>28391</v>
      </c>
    </row>
    <row r="30451" spans="1:8">
      <c r="A30451" t="s">
        <v>2201</v>
      </c>
      <c r="B30451">
        <f>HYPERLINK("https://android.googlesource.com/platform/cts/+/9286697901c3a39a449cd9b2f7d6478bc94ba5be", "9286697901c3a39a449cd9b2f7d6478bc94ba5be")</f>
        <v>0</v>
      </c>
      <c r="C30451">
        <f>HYPERLINK("https://android.googlesource.com/platform/cts/+/032e6c45051a10e2fcf583e4592c3fdce970f048", "032e6c45051a10e2fcf583e4592c3fdce970f048")</f>
        <v>0</v>
      </c>
      <c r="D30451" t="s">
        <v>5347</v>
      </c>
      <c r="E30451" t="s">
        <v>7932</v>
      </c>
      <c r="F30451" t="s">
        <v>10627</v>
      </c>
      <c r="G30451" t="s">
        <v>15030</v>
      </c>
      <c r="H30451" t="s">
        <v>19981</v>
      </c>
    </row>
    <row r="30452" spans="1:8">
      <c r="H30452" t="s">
        <v>31048</v>
      </c>
    </row>
    <row r="30453" spans="1:8">
      <c r="H30453" t="s">
        <v>31049</v>
      </c>
    </row>
    <row r="30454" spans="1:8">
      <c r="H30454" t="s">
        <v>31050</v>
      </c>
    </row>
    <row r="30455" spans="1:8">
      <c r="H30455" t="s">
        <v>31051</v>
      </c>
    </row>
    <row r="30456" spans="1:8">
      <c r="H30456" t="s">
        <v>31052</v>
      </c>
    </row>
    <row r="30457" spans="1:8">
      <c r="H30457" t="s">
        <v>31053</v>
      </c>
    </row>
    <row r="30458" spans="1:8">
      <c r="H30458" t="s">
        <v>31054</v>
      </c>
    </row>
    <row r="30459" spans="1:8">
      <c r="H30459" t="s">
        <v>28813</v>
      </c>
    </row>
    <row r="30460" spans="1:8">
      <c r="H30460" t="s">
        <v>28814</v>
      </c>
    </row>
    <row r="30461" spans="1:8">
      <c r="H30461" t="s">
        <v>31055</v>
      </c>
    </row>
    <row r="30462" spans="1:8">
      <c r="H30462" t="s">
        <v>31056</v>
      </c>
    </row>
    <row r="30463" spans="1:8">
      <c r="H30463" t="s">
        <v>31057</v>
      </c>
    </row>
    <row r="30464" spans="1:8">
      <c r="H30464" t="s">
        <v>31058</v>
      </c>
    </row>
    <row r="30465" spans="8:8">
      <c r="H30465" t="s">
        <v>31059</v>
      </c>
    </row>
    <row r="30466" spans="8:8">
      <c r="H30466" t="s">
        <v>31060</v>
      </c>
    </row>
    <row r="30467" spans="8:8">
      <c r="H30467" t="s">
        <v>31061</v>
      </c>
    </row>
    <row r="30468" spans="8:8">
      <c r="H30468" t="s">
        <v>31062</v>
      </c>
    </row>
    <row r="30469" spans="8:8">
      <c r="H30469" t="s">
        <v>31063</v>
      </c>
    </row>
    <row r="30470" spans="8:8">
      <c r="H30470" t="s">
        <v>31064</v>
      </c>
    </row>
    <row r="30471" spans="8:8">
      <c r="H30471" t="s">
        <v>31065</v>
      </c>
    </row>
    <row r="30472" spans="8:8">
      <c r="H30472" t="s">
        <v>31066</v>
      </c>
    </row>
    <row r="30473" spans="8:8">
      <c r="H30473" t="s">
        <v>31067</v>
      </c>
    </row>
    <row r="30474" spans="8:8">
      <c r="H30474" t="s">
        <v>31068</v>
      </c>
    </row>
    <row r="30475" spans="8:8">
      <c r="H30475" t="s">
        <v>31069</v>
      </c>
    </row>
    <row r="30476" spans="8:8">
      <c r="H30476" t="s">
        <v>31070</v>
      </c>
    </row>
    <row r="30477" spans="8:8">
      <c r="H30477" t="s">
        <v>31071</v>
      </c>
    </row>
    <row r="30478" spans="8:8">
      <c r="H30478" t="s">
        <v>31072</v>
      </c>
    </row>
    <row r="30479" spans="8:8">
      <c r="H30479" t="s">
        <v>31073</v>
      </c>
    </row>
    <row r="30480" spans="8:8">
      <c r="H30480" t="s">
        <v>31074</v>
      </c>
    </row>
    <row r="30481" spans="8:8">
      <c r="H30481" t="s">
        <v>31075</v>
      </c>
    </row>
    <row r="30482" spans="8:8">
      <c r="H30482" t="s">
        <v>31076</v>
      </c>
    </row>
    <row r="30483" spans="8:8">
      <c r="H30483" t="s">
        <v>31077</v>
      </c>
    </row>
    <row r="30484" spans="8:8">
      <c r="H30484" t="s">
        <v>31078</v>
      </c>
    </row>
    <row r="30485" spans="8:8">
      <c r="H30485" t="s">
        <v>31079</v>
      </c>
    </row>
    <row r="30486" spans="8:8">
      <c r="H30486" t="s">
        <v>31080</v>
      </c>
    </row>
    <row r="30487" spans="8:8">
      <c r="H30487" t="s">
        <v>31081</v>
      </c>
    </row>
    <row r="30488" spans="8:8">
      <c r="H30488" t="s">
        <v>31082</v>
      </c>
    </row>
    <row r="30489" spans="8:8">
      <c r="H30489" t="s">
        <v>31083</v>
      </c>
    </row>
    <row r="30490" spans="8:8">
      <c r="H30490" t="s">
        <v>31084</v>
      </c>
    </row>
    <row r="30491" spans="8:8">
      <c r="H30491" t="s">
        <v>31085</v>
      </c>
    </row>
    <row r="30492" spans="8:8">
      <c r="H30492" t="s">
        <v>31086</v>
      </c>
    </row>
    <row r="30493" spans="8:8">
      <c r="H30493" t="s">
        <v>31087</v>
      </c>
    </row>
    <row r="30494" spans="8:8">
      <c r="H30494" t="s">
        <v>31088</v>
      </c>
    </row>
    <row r="30495" spans="8:8">
      <c r="H30495" t="s">
        <v>31089</v>
      </c>
    </row>
    <row r="30496" spans="8:8">
      <c r="H30496" t="s">
        <v>31090</v>
      </c>
    </row>
    <row r="30497" spans="8:8">
      <c r="H30497" t="s">
        <v>31091</v>
      </c>
    </row>
    <row r="30498" spans="8:8">
      <c r="H30498" t="s">
        <v>31092</v>
      </c>
    </row>
    <row r="30499" spans="8:8">
      <c r="H30499" t="s">
        <v>31093</v>
      </c>
    </row>
    <row r="30500" spans="8:8">
      <c r="H30500" t="s">
        <v>31094</v>
      </c>
    </row>
    <row r="30501" spans="8:8">
      <c r="H30501" t="s">
        <v>31095</v>
      </c>
    </row>
    <row r="30502" spans="8:8">
      <c r="H30502" t="s">
        <v>31096</v>
      </c>
    </row>
    <row r="30503" spans="8:8">
      <c r="H30503" t="s">
        <v>31097</v>
      </c>
    </row>
    <row r="30504" spans="8:8">
      <c r="H30504" t="s">
        <v>31098</v>
      </c>
    </row>
    <row r="30505" spans="8:8">
      <c r="H30505" t="s">
        <v>31099</v>
      </c>
    </row>
    <row r="30506" spans="8:8">
      <c r="H30506" t="s">
        <v>31100</v>
      </c>
    </row>
    <row r="30507" spans="8:8">
      <c r="H30507" t="s">
        <v>31101</v>
      </c>
    </row>
    <row r="30508" spans="8:8">
      <c r="H30508" t="s">
        <v>31102</v>
      </c>
    </row>
    <row r="30509" spans="8:8">
      <c r="H30509" t="s">
        <v>31103</v>
      </c>
    </row>
    <row r="30510" spans="8:8">
      <c r="H30510" t="s">
        <v>31104</v>
      </c>
    </row>
    <row r="30511" spans="8:8">
      <c r="H30511" t="s">
        <v>31105</v>
      </c>
    </row>
    <row r="30512" spans="8:8">
      <c r="H30512" t="s">
        <v>31106</v>
      </c>
    </row>
    <row r="30513" spans="8:8">
      <c r="H30513" t="s">
        <v>31107</v>
      </c>
    </row>
    <row r="30514" spans="8:8">
      <c r="H30514" t="s">
        <v>31108</v>
      </c>
    </row>
    <row r="30515" spans="8:8">
      <c r="H30515" t="s">
        <v>31109</v>
      </c>
    </row>
    <row r="30516" spans="8:8">
      <c r="H30516" t="s">
        <v>31110</v>
      </c>
    </row>
    <row r="30517" spans="8:8">
      <c r="H30517" t="s">
        <v>31111</v>
      </c>
    </row>
    <row r="30518" spans="8:8">
      <c r="H30518" t="s">
        <v>31112</v>
      </c>
    </row>
    <row r="30519" spans="8:8">
      <c r="H30519" t="s">
        <v>31113</v>
      </c>
    </row>
    <row r="30520" spans="8:8">
      <c r="H30520" t="s">
        <v>31114</v>
      </c>
    </row>
    <row r="30521" spans="8:8">
      <c r="H30521" t="s">
        <v>31115</v>
      </c>
    </row>
    <row r="30522" spans="8:8">
      <c r="H30522" t="s">
        <v>31116</v>
      </c>
    </row>
    <row r="30523" spans="8:8">
      <c r="H30523" t="s">
        <v>31117</v>
      </c>
    </row>
    <row r="30524" spans="8:8">
      <c r="H30524" t="s">
        <v>31118</v>
      </c>
    </row>
    <row r="30525" spans="8:8">
      <c r="H30525" t="s">
        <v>31119</v>
      </c>
    </row>
    <row r="30526" spans="8:8">
      <c r="H30526" t="s">
        <v>31120</v>
      </c>
    </row>
    <row r="30527" spans="8:8">
      <c r="H30527" t="s">
        <v>31121</v>
      </c>
    </row>
    <row r="30528" spans="8:8">
      <c r="H30528" t="s">
        <v>31122</v>
      </c>
    </row>
    <row r="30529" spans="8:8">
      <c r="H30529" t="s">
        <v>31123</v>
      </c>
    </row>
    <row r="30530" spans="8:8">
      <c r="H30530" t="s">
        <v>31124</v>
      </c>
    </row>
    <row r="30531" spans="8:8">
      <c r="H30531" t="s">
        <v>31125</v>
      </c>
    </row>
    <row r="30532" spans="8:8">
      <c r="H30532" t="s">
        <v>31126</v>
      </c>
    </row>
    <row r="30533" spans="8:8">
      <c r="H30533" t="s">
        <v>31127</v>
      </c>
    </row>
    <row r="30534" spans="8:8">
      <c r="H30534" t="s">
        <v>31128</v>
      </c>
    </row>
    <row r="30535" spans="8:8">
      <c r="H30535" t="s">
        <v>31129</v>
      </c>
    </row>
    <row r="30536" spans="8:8">
      <c r="H30536" t="s">
        <v>31130</v>
      </c>
    </row>
    <row r="30537" spans="8:8">
      <c r="H30537" t="s">
        <v>31131</v>
      </c>
    </row>
    <row r="30538" spans="8:8">
      <c r="H30538" t="s">
        <v>31132</v>
      </c>
    </row>
    <row r="30539" spans="8:8">
      <c r="H30539" t="s">
        <v>31133</v>
      </c>
    </row>
    <row r="30540" spans="8:8">
      <c r="H30540" t="s">
        <v>31134</v>
      </c>
    </row>
    <row r="30541" spans="8:8">
      <c r="H30541" t="s">
        <v>31135</v>
      </c>
    </row>
    <row r="30542" spans="8:8">
      <c r="H30542" t="s">
        <v>31136</v>
      </c>
    </row>
    <row r="30543" spans="8:8">
      <c r="H30543" t="s">
        <v>31137</v>
      </c>
    </row>
    <row r="30544" spans="8:8">
      <c r="H30544" t="s">
        <v>31138</v>
      </c>
    </row>
    <row r="30545" spans="8:8">
      <c r="H30545" t="s">
        <v>31139</v>
      </c>
    </row>
    <row r="30546" spans="8:8">
      <c r="H30546" t="s">
        <v>31140</v>
      </c>
    </row>
    <row r="30547" spans="8:8">
      <c r="H30547" t="s">
        <v>31141</v>
      </c>
    </row>
    <row r="30548" spans="8:8">
      <c r="H30548" t="s">
        <v>31142</v>
      </c>
    </row>
    <row r="30549" spans="8:8">
      <c r="H30549" t="s">
        <v>31143</v>
      </c>
    </row>
    <row r="30550" spans="8:8">
      <c r="H30550" t="s">
        <v>31144</v>
      </c>
    </row>
    <row r="30551" spans="8:8">
      <c r="H30551" t="s">
        <v>31145</v>
      </c>
    </row>
    <row r="30552" spans="8:8">
      <c r="H30552" t="s">
        <v>31146</v>
      </c>
    </row>
    <row r="30553" spans="8:8">
      <c r="H30553" t="s">
        <v>31147</v>
      </c>
    </row>
    <row r="30554" spans="8:8">
      <c r="H30554" t="s">
        <v>31148</v>
      </c>
    </row>
    <row r="30555" spans="8:8">
      <c r="H30555" t="s">
        <v>31149</v>
      </c>
    </row>
    <row r="30556" spans="8:8">
      <c r="H30556" t="s">
        <v>31150</v>
      </c>
    </row>
    <row r="30557" spans="8:8">
      <c r="H30557" t="s">
        <v>31151</v>
      </c>
    </row>
    <row r="30558" spans="8:8">
      <c r="H30558" t="s">
        <v>31152</v>
      </c>
    </row>
    <row r="30559" spans="8:8">
      <c r="H30559" t="s">
        <v>31153</v>
      </c>
    </row>
    <row r="30560" spans="8:8">
      <c r="H30560" t="s">
        <v>31154</v>
      </c>
    </row>
    <row r="30561" spans="8:8">
      <c r="H30561" t="s">
        <v>31155</v>
      </c>
    </row>
    <row r="30562" spans="8:8">
      <c r="H30562" t="s">
        <v>31156</v>
      </c>
    </row>
    <row r="30563" spans="8:8">
      <c r="H30563" t="s">
        <v>31157</v>
      </c>
    </row>
    <row r="30564" spans="8:8">
      <c r="H30564" t="s">
        <v>31158</v>
      </c>
    </row>
    <row r="30565" spans="8:8">
      <c r="H30565" t="s">
        <v>31159</v>
      </c>
    </row>
    <row r="30566" spans="8:8">
      <c r="H30566" t="s">
        <v>31160</v>
      </c>
    </row>
    <row r="30567" spans="8:8">
      <c r="H30567" t="s">
        <v>31161</v>
      </c>
    </row>
    <row r="30568" spans="8:8">
      <c r="H30568" t="s">
        <v>31162</v>
      </c>
    </row>
    <row r="30569" spans="8:8">
      <c r="H30569" t="s">
        <v>31163</v>
      </c>
    </row>
    <row r="30570" spans="8:8">
      <c r="H30570" t="s">
        <v>31164</v>
      </c>
    </row>
    <row r="30571" spans="8:8">
      <c r="H30571" t="s">
        <v>31165</v>
      </c>
    </row>
    <row r="30572" spans="8:8">
      <c r="H30572" t="s">
        <v>31166</v>
      </c>
    </row>
    <row r="30573" spans="8:8">
      <c r="H30573" t="s">
        <v>31167</v>
      </c>
    </row>
    <row r="30574" spans="8:8">
      <c r="H30574" t="s">
        <v>31168</v>
      </c>
    </row>
    <row r="30575" spans="8:8">
      <c r="H30575" t="s">
        <v>31169</v>
      </c>
    </row>
    <row r="30576" spans="8:8">
      <c r="H30576" t="s">
        <v>31170</v>
      </c>
    </row>
    <row r="30577" spans="8:8">
      <c r="H30577" t="s">
        <v>31171</v>
      </c>
    </row>
    <row r="30578" spans="8:8">
      <c r="H30578" t="s">
        <v>31172</v>
      </c>
    </row>
    <row r="30579" spans="8:8">
      <c r="H30579" t="s">
        <v>31173</v>
      </c>
    </row>
    <row r="30580" spans="8:8">
      <c r="H30580" t="s">
        <v>31174</v>
      </c>
    </row>
    <row r="30581" spans="8:8">
      <c r="H30581" t="s">
        <v>31175</v>
      </c>
    </row>
    <row r="30582" spans="8:8">
      <c r="H30582" t="s">
        <v>31176</v>
      </c>
    </row>
    <row r="30583" spans="8:8">
      <c r="H30583" t="s">
        <v>31177</v>
      </c>
    </row>
    <row r="30584" spans="8:8">
      <c r="H30584" t="s">
        <v>31178</v>
      </c>
    </row>
    <row r="30585" spans="8:8">
      <c r="H30585" t="s">
        <v>31179</v>
      </c>
    </row>
    <row r="30586" spans="8:8">
      <c r="H30586" t="s">
        <v>31180</v>
      </c>
    </row>
    <row r="30587" spans="8:8">
      <c r="H30587" t="s">
        <v>31181</v>
      </c>
    </row>
    <row r="30588" spans="8:8">
      <c r="H30588" t="s">
        <v>31182</v>
      </c>
    </row>
    <row r="30589" spans="8:8">
      <c r="H30589" t="s">
        <v>31183</v>
      </c>
    </row>
    <row r="30590" spans="8:8">
      <c r="H30590" t="s">
        <v>31184</v>
      </c>
    </row>
    <row r="30591" spans="8:8">
      <c r="H30591" t="s">
        <v>31185</v>
      </c>
    </row>
    <row r="30592" spans="8:8">
      <c r="H30592" t="s">
        <v>31186</v>
      </c>
    </row>
    <row r="30593" spans="8:8">
      <c r="H30593" t="s">
        <v>31187</v>
      </c>
    </row>
    <row r="30594" spans="8:8">
      <c r="H30594" t="s">
        <v>31188</v>
      </c>
    </row>
    <row r="30595" spans="8:8">
      <c r="H30595" t="s">
        <v>31189</v>
      </c>
    </row>
    <row r="30596" spans="8:8">
      <c r="H30596" t="s">
        <v>31190</v>
      </c>
    </row>
    <row r="30597" spans="8:8">
      <c r="H30597" t="s">
        <v>31191</v>
      </c>
    </row>
    <row r="30598" spans="8:8">
      <c r="H30598" t="s">
        <v>31192</v>
      </c>
    </row>
    <row r="30599" spans="8:8">
      <c r="H30599" t="s">
        <v>31193</v>
      </c>
    </row>
    <row r="30600" spans="8:8">
      <c r="H30600" t="s">
        <v>31194</v>
      </c>
    </row>
    <row r="30601" spans="8:8">
      <c r="H30601" t="s">
        <v>31195</v>
      </c>
    </row>
    <row r="30602" spans="8:8">
      <c r="H30602" t="s">
        <v>31196</v>
      </c>
    </row>
    <row r="30603" spans="8:8">
      <c r="H30603" t="s">
        <v>31197</v>
      </c>
    </row>
    <row r="30604" spans="8:8">
      <c r="H30604" t="s">
        <v>31198</v>
      </c>
    </row>
    <row r="30605" spans="8:8">
      <c r="H30605" t="s">
        <v>31199</v>
      </c>
    </row>
    <row r="30606" spans="8:8">
      <c r="H30606" t="s">
        <v>27920</v>
      </c>
    </row>
    <row r="30607" spans="8:8">
      <c r="H30607" t="s">
        <v>31200</v>
      </c>
    </row>
    <row r="30608" spans="8:8">
      <c r="H30608" t="s">
        <v>31201</v>
      </c>
    </row>
    <row r="30609" spans="1:8">
      <c r="H30609" t="s">
        <v>29130</v>
      </c>
    </row>
    <row r="30610" spans="1:8">
      <c r="A30610" t="s">
        <v>2202</v>
      </c>
      <c r="B30610">
        <f>HYPERLINK("https://android.googlesource.com/platform/cts/+/6160382a81a89cf342dfde656d880d6d55408fb9", "6160382a81a89cf342dfde656d880d6d55408fb9")</f>
        <v>0</v>
      </c>
      <c r="C30610">
        <f>HYPERLINK("https://android.googlesource.com/platform/cts/+/0181ac593ccde4c2806fbc0541a5a1d02ebb78df", "0181ac593ccde4c2806fbc0541a5a1d02ebb78df")</f>
        <v>0</v>
      </c>
      <c r="D30610" t="s">
        <v>5298</v>
      </c>
      <c r="E30610" t="s">
        <v>7933</v>
      </c>
      <c r="F30610" t="s">
        <v>13709</v>
      </c>
      <c r="G30610" t="s">
        <v>17777</v>
      </c>
      <c r="H30610" t="s">
        <v>31202</v>
      </c>
    </row>
    <row r="30611" spans="1:8">
      <c r="A30611" t="s">
        <v>2203</v>
      </c>
      <c r="B30611">
        <f>HYPERLINK("https://android.googlesource.com/platform/cts/+/86b06ad1e44112002c59373343111cfd1c04818d", "86b06ad1e44112002c59373343111cfd1c04818d")</f>
        <v>0</v>
      </c>
      <c r="C30611">
        <f>HYPERLINK("https://android.googlesource.com/platform/cts/+/c1bb23330c6798871e51cca6cf4ff96c28e66a5b", "c1bb23330c6798871e51cca6cf4ff96c28e66a5b")</f>
        <v>0</v>
      </c>
      <c r="D30611" t="s">
        <v>5314</v>
      </c>
      <c r="E30611" t="s">
        <v>7934</v>
      </c>
      <c r="F30611" t="s">
        <v>13710</v>
      </c>
      <c r="G30611" t="s">
        <v>17778</v>
      </c>
      <c r="H30611" t="s">
        <v>31203</v>
      </c>
    </row>
    <row r="30612" spans="1:8">
      <c r="A30612" t="s">
        <v>2204</v>
      </c>
      <c r="B30612">
        <f>HYPERLINK("https://android.googlesource.com/platform/cts/+/72f161c5b17442e227e4d2aec895aca863681fb5", "72f161c5b17442e227e4d2aec895aca863681fb5")</f>
        <v>0</v>
      </c>
      <c r="C30612">
        <f>HYPERLINK("https://android.googlesource.com/platform/cts/+/f9d5044212ec4529ee691544dd627943712aa83d", "f9d5044212ec4529ee691544dd627943712aa83d")</f>
        <v>0</v>
      </c>
      <c r="D30612" t="s">
        <v>5348</v>
      </c>
      <c r="E30612" t="s">
        <v>7935</v>
      </c>
      <c r="F30612" t="s">
        <v>12710</v>
      </c>
      <c r="G30612" t="s">
        <v>16911</v>
      </c>
      <c r="H30612" t="s">
        <v>31204</v>
      </c>
    </row>
    <row r="30613" spans="1:8">
      <c r="A30613" t="s">
        <v>2205</v>
      </c>
      <c r="B30613">
        <f>HYPERLINK("https://android.googlesource.com/platform/cts/+/5101344599c7407945461434853f491cae929480", "5101344599c7407945461434853f491cae929480")</f>
        <v>0</v>
      </c>
      <c r="C30613">
        <f>HYPERLINK("https://android.googlesource.com/platform/cts/+/15894f5be206541a5ad380aef49d6a4ce0c3232f", "15894f5be206541a5ad380aef49d6a4ce0c3232f")</f>
        <v>0</v>
      </c>
      <c r="D30613" t="s">
        <v>5349</v>
      </c>
      <c r="E30613" t="s">
        <v>7936</v>
      </c>
      <c r="F30613" t="s">
        <v>12710</v>
      </c>
      <c r="G30613" t="s">
        <v>16911</v>
      </c>
      <c r="H30613" t="s">
        <v>31205</v>
      </c>
    </row>
    <row r="30614" spans="1:8">
      <c r="A30614" t="s">
        <v>2206</v>
      </c>
      <c r="B30614">
        <f>HYPERLINK("https://android.googlesource.com/platform/cts/+/190c5a3c785aedd1fc5607ff322c06f298b9866a", "190c5a3c785aedd1fc5607ff322c06f298b9866a")</f>
        <v>0</v>
      </c>
      <c r="C30614">
        <f>HYPERLINK("https://android.googlesource.com/platform/cts/+/fc5c43cc0fabeadc300c377a487645a694b3e270", "fc5c43cc0fabeadc300c377a487645a694b3e270")</f>
        <v>0</v>
      </c>
      <c r="D30614" t="s">
        <v>5350</v>
      </c>
      <c r="E30614" t="s">
        <v>7937</v>
      </c>
      <c r="F30614" t="s">
        <v>13711</v>
      </c>
      <c r="G30614" t="s">
        <v>17779</v>
      </c>
      <c r="H30614" t="s">
        <v>31206</v>
      </c>
    </row>
    <row r="30615" spans="1:8">
      <c r="H30615" t="s">
        <v>31207</v>
      </c>
    </row>
    <row r="30616" spans="1:8">
      <c r="H30616" t="s">
        <v>31208</v>
      </c>
    </row>
    <row r="30617" spans="1:8">
      <c r="H30617" t="s">
        <v>31209</v>
      </c>
    </row>
    <row r="30618" spans="1:8">
      <c r="H30618" t="s">
        <v>31210</v>
      </c>
    </row>
    <row r="30619" spans="1:8">
      <c r="H30619" t="s">
        <v>31211</v>
      </c>
    </row>
    <row r="30620" spans="1:8">
      <c r="H30620" t="s">
        <v>31212</v>
      </c>
    </row>
    <row r="30621" spans="1:8">
      <c r="H30621" t="s">
        <v>31213</v>
      </c>
    </row>
    <row r="30622" spans="1:8">
      <c r="H30622" t="s">
        <v>31214</v>
      </c>
    </row>
    <row r="30623" spans="1:8">
      <c r="A30623" t="s">
        <v>2208</v>
      </c>
      <c r="B30623">
        <f>HYPERLINK("https://android.googlesource.com/platform/cts/+/4879e642c08d8b8207cb04c1a15aa34d62c2bfeb", "4879e642c08d8b8207cb04c1a15aa34d62c2bfeb")</f>
        <v>0</v>
      </c>
      <c r="C30623">
        <f>HYPERLINK("https://android.googlesource.com/platform/cts/+/c0e865ff53bc603ae329ee00980f2f7c38ec54dc", "c0e865ff53bc603ae329ee00980f2f7c38ec54dc")</f>
        <v>0</v>
      </c>
      <c r="D30623" t="s">
        <v>5230</v>
      </c>
      <c r="E30623" t="s">
        <v>7939</v>
      </c>
      <c r="F30623" t="s">
        <v>12224</v>
      </c>
      <c r="G30623" t="s">
        <v>16454</v>
      </c>
      <c r="H30623" t="s">
        <v>31215</v>
      </c>
    </row>
    <row r="30624" spans="1:8">
      <c r="A30624" t="s">
        <v>2209</v>
      </c>
      <c r="B30624">
        <f>HYPERLINK("https://android.googlesource.com/platform/cts/+/64df6eb378b36cbcd7520d413addaf241e2731b0", "64df6eb378b36cbcd7520d413addaf241e2731b0")</f>
        <v>0</v>
      </c>
      <c r="C30624">
        <f>HYPERLINK("https://android.googlesource.com/platform/cts/+/d28d0dcaefe6f66e9d0801fbcbf9365c18e1c350", "d28d0dcaefe6f66e9d0801fbcbf9365c18e1c350")</f>
        <v>0</v>
      </c>
      <c r="D30624" t="s">
        <v>5351</v>
      </c>
      <c r="E30624" t="s">
        <v>7940</v>
      </c>
      <c r="F30624" t="s">
        <v>13091</v>
      </c>
      <c r="G30624" t="s">
        <v>17253</v>
      </c>
      <c r="H30624" t="s">
        <v>19220</v>
      </c>
    </row>
    <row r="30625" spans="1:8">
      <c r="A30625" t="s">
        <v>2210</v>
      </c>
      <c r="B30625">
        <f>HYPERLINK("https://android.googlesource.com/platform/cts/+/54f9eec442f3530332911e8628a7eade07264c9c", "54f9eec442f3530332911e8628a7eade07264c9c")</f>
        <v>0</v>
      </c>
      <c r="C30625">
        <f>HYPERLINK("https://android.googlesource.com/platform/cts/+/d28d0dcaefe6f66e9d0801fbcbf9365c18e1c350", "d28d0dcaefe6f66e9d0801fbcbf9365c18e1c350")</f>
        <v>0</v>
      </c>
      <c r="D30625" t="s">
        <v>5351</v>
      </c>
      <c r="E30625" t="s">
        <v>7941</v>
      </c>
      <c r="F30625" t="s">
        <v>13712</v>
      </c>
      <c r="G30625" t="s">
        <v>17780</v>
      </c>
      <c r="H30625" t="s">
        <v>31216</v>
      </c>
    </row>
    <row r="30626" spans="1:8">
      <c r="A30626" t="s">
        <v>2211</v>
      </c>
      <c r="B30626">
        <f>HYPERLINK("https://android.googlesource.com/platform/cts/+/c44fd709aeb95d510401718e860fc815e5f7f391", "c44fd709aeb95d510401718e860fc815e5f7f391")</f>
        <v>0</v>
      </c>
      <c r="C30626">
        <f>HYPERLINK("https://android.googlesource.com/platform/cts/+/920b16d817fc94e1ef95e08ef4ab65f1066091e9", "920b16d817fc94e1ef95e08ef4ab65f1066091e9")</f>
        <v>0</v>
      </c>
      <c r="D30626" t="s">
        <v>5334</v>
      </c>
      <c r="E30626" t="s">
        <v>7942</v>
      </c>
      <c r="F30626" t="s">
        <v>13713</v>
      </c>
      <c r="G30626" t="s">
        <v>17781</v>
      </c>
      <c r="H30626" t="s">
        <v>31217</v>
      </c>
    </row>
    <row r="30627" spans="1:8">
      <c r="F30627" t="s">
        <v>13714</v>
      </c>
      <c r="G30627" t="s">
        <v>17781</v>
      </c>
      <c r="H30627" t="s">
        <v>31218</v>
      </c>
    </row>
    <row r="30628" spans="1:8">
      <c r="A30628" t="s">
        <v>2213</v>
      </c>
      <c r="B30628">
        <f>HYPERLINK("https://android.googlesource.com/platform/cts/+/cd1ad722080039a38249175cb2e707a4cd18da73", "cd1ad722080039a38249175cb2e707a4cd18da73")</f>
        <v>0</v>
      </c>
      <c r="C30628">
        <f>HYPERLINK("https://android.googlesource.com/platform/cts/+/2c35e49fc446b0ab4dfee5fdcfe4a05631df552e", "2c35e49fc446b0ab4dfee5fdcfe4a05631df552e")</f>
        <v>0</v>
      </c>
      <c r="D30628" t="s">
        <v>5352</v>
      </c>
      <c r="E30628" t="s">
        <v>7944</v>
      </c>
      <c r="F30628" t="s">
        <v>13715</v>
      </c>
      <c r="G30628" t="s">
        <v>17782</v>
      </c>
      <c r="H30628" t="s">
        <v>31219</v>
      </c>
    </row>
    <row r="30629" spans="1:8">
      <c r="H30629" t="s">
        <v>31220</v>
      </c>
    </row>
    <row r="30630" spans="1:8">
      <c r="H30630" t="s">
        <v>31221</v>
      </c>
    </row>
    <row r="30631" spans="1:8">
      <c r="H30631" t="s">
        <v>31222</v>
      </c>
    </row>
    <row r="30632" spans="1:8">
      <c r="A30632" t="s">
        <v>2214</v>
      </c>
      <c r="B30632">
        <f>HYPERLINK("https://android.googlesource.com/platform/cts/+/5a564328c3c4a1e71e87ec2fbc3e0cc07714c846", "5a564328c3c4a1e71e87ec2fbc3e0cc07714c846")</f>
        <v>0</v>
      </c>
      <c r="C30632">
        <f>HYPERLINK("https://android.googlesource.com/platform/cts/+/0b6c2a5ad8fe399c592306b8de02eda59986e313", "0b6c2a5ad8fe399c592306b8de02eda59986e313")</f>
        <v>0</v>
      </c>
      <c r="D30632" t="s">
        <v>5349</v>
      </c>
      <c r="E30632" t="s">
        <v>7945</v>
      </c>
      <c r="F30632" t="s">
        <v>12710</v>
      </c>
      <c r="G30632" t="s">
        <v>16911</v>
      </c>
      <c r="H30632" t="s">
        <v>31204</v>
      </c>
    </row>
    <row r="30633" spans="1:8">
      <c r="A30633" t="s">
        <v>2216</v>
      </c>
      <c r="B30633">
        <f>HYPERLINK("https://android.googlesource.com/platform/cts/+/5e1e66a99080cb0395d84fb1d0424453e5cd1819", "5e1e66a99080cb0395d84fb1d0424453e5cd1819")</f>
        <v>0</v>
      </c>
      <c r="C30633">
        <f>HYPERLINK("https://android.googlesource.com/platform/cts/+/11077da717378cc9904285cbd28ec68738bb3eb3", "11077da717378cc9904285cbd28ec68738bb3eb3")</f>
        <v>0</v>
      </c>
      <c r="D30633" t="s">
        <v>5349</v>
      </c>
      <c r="E30633" t="s">
        <v>7947</v>
      </c>
      <c r="F30633" t="s">
        <v>13716</v>
      </c>
      <c r="G30633" t="s">
        <v>17783</v>
      </c>
      <c r="H30633" t="s">
        <v>31223</v>
      </c>
    </row>
    <row r="30634" spans="1:8">
      <c r="H30634" t="s">
        <v>31224</v>
      </c>
    </row>
    <row r="30635" spans="1:8">
      <c r="H30635" t="s">
        <v>31225</v>
      </c>
    </row>
    <row r="30636" spans="1:8">
      <c r="H30636" t="s">
        <v>31226</v>
      </c>
    </row>
    <row r="30637" spans="1:8">
      <c r="H30637" t="s">
        <v>31227</v>
      </c>
    </row>
    <row r="30638" spans="1:8">
      <c r="H30638" t="s">
        <v>31228</v>
      </c>
    </row>
    <row r="30639" spans="1:8">
      <c r="A30639" t="s">
        <v>2217</v>
      </c>
      <c r="B30639">
        <f>HYPERLINK("https://android.googlesource.com/platform/cts/+/ceb1866c29226f9703cbf63a5e155b00fd0c060c", "ceb1866c29226f9703cbf63a5e155b00fd0c060c")</f>
        <v>0</v>
      </c>
      <c r="C30639">
        <f>HYPERLINK("https://android.googlesource.com/platform/cts/+/068b2ab654ae1eaf8f4ca8fd783fe05d94f214d6", "068b2ab654ae1eaf8f4ca8fd783fe05d94f214d6")</f>
        <v>0</v>
      </c>
      <c r="D30639" t="s">
        <v>5128</v>
      </c>
      <c r="E30639" t="s">
        <v>7948</v>
      </c>
      <c r="F30639" t="s">
        <v>13717</v>
      </c>
      <c r="G30639" t="s">
        <v>17784</v>
      </c>
      <c r="H30639" t="s">
        <v>31229</v>
      </c>
    </row>
    <row r="30640" spans="1:8">
      <c r="A30640" t="s">
        <v>2218</v>
      </c>
      <c r="B30640">
        <f>HYPERLINK("https://android.googlesource.com/platform/cts/+/913b9144fe9d1594f9944a38f1a67bd5791cf169", "913b9144fe9d1594f9944a38f1a67bd5791cf169")</f>
        <v>0</v>
      </c>
      <c r="C30640">
        <f>HYPERLINK("https://android.googlesource.com/platform/cts/+/6e83813ff33d9236771386be698300cb4e65b309", "6e83813ff33d9236771386be698300cb4e65b309")</f>
        <v>0</v>
      </c>
      <c r="D30640" t="s">
        <v>5334</v>
      </c>
      <c r="E30640" t="s">
        <v>7949</v>
      </c>
      <c r="F30640" t="s">
        <v>13718</v>
      </c>
      <c r="G30640" t="s">
        <v>17785</v>
      </c>
      <c r="H30640" t="s">
        <v>31230</v>
      </c>
    </row>
    <row r="30641" spans="1:8">
      <c r="F30641" t="s">
        <v>13719</v>
      </c>
      <c r="G30641" t="s">
        <v>17785</v>
      </c>
      <c r="H30641" t="s">
        <v>31230</v>
      </c>
    </row>
    <row r="30642" spans="1:8">
      <c r="A30642" t="s">
        <v>2219</v>
      </c>
      <c r="B30642">
        <f>HYPERLINK("https://android.googlesource.com/platform/cts/+/573bde08e02296c6be0c577a3de4da539a511832", "573bde08e02296c6be0c577a3de4da539a511832")</f>
        <v>0</v>
      </c>
      <c r="C30642">
        <f>HYPERLINK("https://android.googlesource.com/platform/cts/+/c37ad5cd71ca2d2fc91608db107b8aa9f52c5d7f", "c37ad5cd71ca2d2fc91608db107b8aa9f52c5d7f")</f>
        <v>0</v>
      </c>
      <c r="D30642" t="s">
        <v>5312</v>
      </c>
      <c r="E30642" t="s">
        <v>7950</v>
      </c>
      <c r="F30642" t="s">
        <v>13720</v>
      </c>
      <c r="G30642" t="s">
        <v>17786</v>
      </c>
      <c r="H30642" t="s">
        <v>31231</v>
      </c>
    </row>
    <row r="30643" spans="1:8">
      <c r="A30643" t="s">
        <v>2220</v>
      </c>
      <c r="B30643">
        <f>HYPERLINK("https://android.googlesource.com/platform/cts/+/d61cb6225f6d86073a87c99e9bab77e9a6cd2dd5", "d61cb6225f6d86073a87c99e9bab77e9a6cd2dd5")</f>
        <v>0</v>
      </c>
      <c r="C30643">
        <f>HYPERLINK("https://android.googlesource.com/platform/cts/+/c65e2f4f2209858c34364a2a974857df2d977cfb", "c65e2f4f2209858c34364a2a974857df2d977cfb")</f>
        <v>0</v>
      </c>
      <c r="D30643" t="s">
        <v>5353</v>
      </c>
      <c r="E30643" t="s">
        <v>7951</v>
      </c>
      <c r="F30643" t="s">
        <v>12771</v>
      </c>
      <c r="G30643" t="s">
        <v>16958</v>
      </c>
      <c r="H30643" t="s">
        <v>31232</v>
      </c>
    </row>
    <row r="30644" spans="1:8">
      <c r="A30644" t="s">
        <v>2221</v>
      </c>
      <c r="B30644">
        <f>HYPERLINK("https://android.googlesource.com/platform/cts/+/eebdab1ab61731805473048f818e08af04dafcc9", "eebdab1ab61731805473048f818e08af04dafcc9")</f>
        <v>0</v>
      </c>
      <c r="C30644">
        <f>HYPERLINK("https://android.googlesource.com/platform/cts/+/345a4a11f0bbe9f536107b0a2324551a804deda2", "345a4a11f0bbe9f536107b0a2324551a804deda2")</f>
        <v>0</v>
      </c>
      <c r="D30644" t="s">
        <v>5334</v>
      </c>
      <c r="E30644" t="s">
        <v>7952</v>
      </c>
      <c r="F30644" t="s">
        <v>13662</v>
      </c>
      <c r="G30644" t="s">
        <v>15122</v>
      </c>
      <c r="H30644" t="s">
        <v>18829</v>
      </c>
    </row>
    <row r="30645" spans="1:8">
      <c r="H30645" t="s">
        <v>31233</v>
      </c>
    </row>
    <row r="30646" spans="1:8">
      <c r="H30646" t="s">
        <v>31234</v>
      </c>
    </row>
    <row r="30647" spans="1:8">
      <c r="H30647" t="s">
        <v>31235</v>
      </c>
    </row>
    <row r="30648" spans="1:8">
      <c r="H30648" t="s">
        <v>31236</v>
      </c>
    </row>
    <row r="30649" spans="1:8">
      <c r="H30649" t="s">
        <v>31237</v>
      </c>
    </row>
    <row r="30650" spans="1:8">
      <c r="H30650" t="s">
        <v>31238</v>
      </c>
    </row>
    <row r="30651" spans="1:8">
      <c r="H30651" t="s">
        <v>31239</v>
      </c>
    </row>
    <row r="30652" spans="1:8">
      <c r="H30652" t="s">
        <v>31240</v>
      </c>
    </row>
    <row r="30653" spans="1:8">
      <c r="H30653" t="s">
        <v>31241</v>
      </c>
    </row>
    <row r="30654" spans="1:8">
      <c r="A30654" t="s">
        <v>2222</v>
      </c>
      <c r="B30654">
        <f>HYPERLINK("https://android.googlesource.com/platform/cts/+/ce86d363e0f05bd03d6ec60d1f4eaa95fc113e0e", "ce86d363e0f05bd03d6ec60d1f4eaa95fc113e0e")</f>
        <v>0</v>
      </c>
      <c r="C30654">
        <f>HYPERLINK("https://android.googlesource.com/platform/cts/+/2c012b9d6be5f7ac0201012d32b3264d09da1c8e", "2c012b9d6be5f7ac0201012d32b3264d09da1c8e")</f>
        <v>0</v>
      </c>
      <c r="D30654" t="s">
        <v>4976</v>
      </c>
      <c r="E30654" t="s">
        <v>7953</v>
      </c>
      <c r="F30654" t="s">
        <v>13721</v>
      </c>
      <c r="G30654" t="s">
        <v>17787</v>
      </c>
      <c r="H30654" t="s">
        <v>31242</v>
      </c>
    </row>
    <row r="30655" spans="1:8">
      <c r="A30655" t="s">
        <v>2223</v>
      </c>
      <c r="B30655">
        <f>HYPERLINK("https://android.googlesource.com/platform/cts/+/bf83634e029f467800835449c5b6377d1d2ce53d", "bf83634e029f467800835449c5b6377d1d2ce53d")</f>
        <v>0</v>
      </c>
      <c r="C30655">
        <f>HYPERLINK("https://android.googlesource.com/platform/cts/+/879ed91e4a338cae998c5d59f31ce87ab8325ec4", "879ed91e4a338cae998c5d59f31ce87ab8325ec4")</f>
        <v>0</v>
      </c>
      <c r="D30655" t="s">
        <v>4952</v>
      </c>
      <c r="E30655" t="s">
        <v>7954</v>
      </c>
      <c r="F30655" t="s">
        <v>13722</v>
      </c>
      <c r="G30655" t="s">
        <v>17580</v>
      </c>
      <c r="H30655" t="s">
        <v>31243</v>
      </c>
    </row>
    <row r="30656" spans="1:8">
      <c r="F30656" t="s">
        <v>13723</v>
      </c>
      <c r="G30656" t="s">
        <v>17580</v>
      </c>
      <c r="H30656" t="s">
        <v>29899</v>
      </c>
    </row>
    <row r="30657" spans="1:8">
      <c r="H30657" t="s">
        <v>31244</v>
      </c>
    </row>
    <row r="30658" spans="1:8">
      <c r="H30658" t="s">
        <v>31245</v>
      </c>
    </row>
    <row r="30659" spans="1:8">
      <c r="F30659" t="s">
        <v>13724</v>
      </c>
      <c r="G30659" t="s">
        <v>17580</v>
      </c>
      <c r="H30659" t="s">
        <v>31246</v>
      </c>
    </row>
    <row r="30660" spans="1:8">
      <c r="A30660" t="s">
        <v>2224</v>
      </c>
      <c r="B30660">
        <f>HYPERLINK("https://android.googlesource.com/platform/cts/+/d9f86a39dd84a5be6ad06cff358ee4089650b3da", "d9f86a39dd84a5be6ad06cff358ee4089650b3da")</f>
        <v>0</v>
      </c>
      <c r="C30660">
        <f>HYPERLINK("https://android.googlesource.com/platform/cts/+/1ae4951078344aa8826aebc9db19a7886ea5062b", "1ae4951078344aa8826aebc9db19a7886ea5062b")</f>
        <v>0</v>
      </c>
      <c r="D30660" t="s">
        <v>5207</v>
      </c>
      <c r="E30660" t="s">
        <v>7955</v>
      </c>
      <c r="F30660" t="s">
        <v>12345</v>
      </c>
      <c r="G30660" t="s">
        <v>16573</v>
      </c>
      <c r="H30660" t="s">
        <v>22266</v>
      </c>
    </row>
    <row r="30661" spans="1:8">
      <c r="H30661" t="s">
        <v>22269</v>
      </c>
    </row>
    <row r="30662" spans="1:8">
      <c r="F30662" t="s">
        <v>13725</v>
      </c>
      <c r="G30662" t="s">
        <v>17741</v>
      </c>
      <c r="H30662" t="s">
        <v>22269</v>
      </c>
    </row>
    <row r="30663" spans="1:8">
      <c r="H30663" t="s">
        <v>22266</v>
      </c>
    </row>
    <row r="30664" spans="1:8">
      <c r="H30664" t="s">
        <v>19019</v>
      </c>
    </row>
    <row r="30665" spans="1:8">
      <c r="H30665" t="s">
        <v>31247</v>
      </c>
    </row>
    <row r="30666" spans="1:8">
      <c r="H30666" t="s">
        <v>21183</v>
      </c>
    </row>
    <row r="30667" spans="1:8">
      <c r="F30667" t="s">
        <v>13210</v>
      </c>
      <c r="G30667" t="s">
        <v>17351</v>
      </c>
      <c r="H30667" t="s">
        <v>19019</v>
      </c>
    </row>
    <row r="30668" spans="1:8">
      <c r="H30668" t="s">
        <v>21183</v>
      </c>
    </row>
    <row r="30669" spans="1:8">
      <c r="H30669" t="s">
        <v>28391</v>
      </c>
    </row>
    <row r="30670" spans="1:8">
      <c r="H30670" t="s">
        <v>21184</v>
      </c>
    </row>
    <row r="30671" spans="1:8">
      <c r="A30671" t="s">
        <v>2225</v>
      </c>
      <c r="B30671">
        <f>HYPERLINK("https://android.googlesource.com/platform/cts/+/e79db124b7f661a73223f01689583c848f59817a", "e79db124b7f661a73223f01689583c848f59817a")</f>
        <v>0</v>
      </c>
      <c r="C30671">
        <f>HYPERLINK("https://android.googlesource.com/platform/cts/+/24ee3ddb07c430825b3a09eb5525b8175f3171c4", "24ee3ddb07c430825b3a09eb5525b8175f3171c4")</f>
        <v>0</v>
      </c>
      <c r="D30671" t="s">
        <v>5354</v>
      </c>
      <c r="E30671" t="s">
        <v>7956</v>
      </c>
      <c r="F30671" t="s">
        <v>13726</v>
      </c>
      <c r="G30671" t="s">
        <v>17788</v>
      </c>
      <c r="H30671" t="s">
        <v>31248</v>
      </c>
    </row>
    <row r="30672" spans="1:8">
      <c r="A30672" t="s">
        <v>2226</v>
      </c>
      <c r="B30672">
        <f>HYPERLINK("https://android.googlesource.com/platform/cts/+/611b91affbb7b90f18ec34c347a995718690c281", "611b91affbb7b90f18ec34c347a995718690c281")</f>
        <v>0</v>
      </c>
      <c r="C30672">
        <f>HYPERLINK("https://android.googlesource.com/platform/cts/+/19a9801d51b081e7a335b323b156554e58d195d7", "19a9801d51b081e7a335b323b156554e58d195d7")</f>
        <v>0</v>
      </c>
      <c r="D30672" t="s">
        <v>5250</v>
      </c>
      <c r="E30672" t="s">
        <v>7957</v>
      </c>
      <c r="F30672" t="s">
        <v>13727</v>
      </c>
      <c r="G30672" t="s">
        <v>17789</v>
      </c>
      <c r="H30672" t="s">
        <v>29213</v>
      </c>
    </row>
    <row r="30673" spans="1:8">
      <c r="H30673" t="s">
        <v>31249</v>
      </c>
    </row>
    <row r="30674" spans="1:8">
      <c r="A30674" t="s">
        <v>2227</v>
      </c>
      <c r="B30674">
        <f>HYPERLINK("https://android.googlesource.com/platform/cts/+/e410f16b7b15fa92bacc2d23df14ebb1f0089f18", "e410f16b7b15fa92bacc2d23df14ebb1f0089f18")</f>
        <v>0</v>
      </c>
      <c r="C30674">
        <f>HYPERLINK("https://android.googlesource.com/platform/cts/+/87d3aaaf2e19138c5b83dfb3cd4dde4b8627fbf1", "87d3aaaf2e19138c5b83dfb3cd4dde4b8627fbf1")</f>
        <v>0</v>
      </c>
      <c r="D30674" t="s">
        <v>5355</v>
      </c>
      <c r="E30674" t="s">
        <v>7958</v>
      </c>
      <c r="F30674" t="s">
        <v>13728</v>
      </c>
      <c r="G30674" t="s">
        <v>17790</v>
      </c>
      <c r="H30674" t="s">
        <v>31250</v>
      </c>
    </row>
    <row r="30675" spans="1:8">
      <c r="A30675" t="s">
        <v>2228</v>
      </c>
      <c r="B30675">
        <f>HYPERLINK("https://android.googlesource.com/platform/cts/+/b775d27f927efb3a9b253f687b8b43207752665b", "b775d27f927efb3a9b253f687b8b43207752665b")</f>
        <v>0</v>
      </c>
      <c r="C30675">
        <f>HYPERLINK("https://android.googlesource.com/platform/cts/+/4ae3a42999b1db6e94d4686cc5dd63d0c45f4004", "4ae3a42999b1db6e94d4686cc5dd63d0c45f4004")</f>
        <v>0</v>
      </c>
      <c r="D30675" t="s">
        <v>5269</v>
      </c>
      <c r="E30675" t="s">
        <v>7959</v>
      </c>
      <c r="F30675" t="s">
        <v>12806</v>
      </c>
      <c r="G30675" t="s">
        <v>15054</v>
      </c>
      <c r="H30675" t="s">
        <v>31251</v>
      </c>
    </row>
    <row r="30676" spans="1:8">
      <c r="A30676" t="s">
        <v>2229</v>
      </c>
      <c r="B30676">
        <f>HYPERLINK("https://android.googlesource.com/platform/cts/+/fe80fa41fe7d2f567614a70c4a8c064a852051d9", "fe80fa41fe7d2f567614a70c4a8c064a852051d9")</f>
        <v>0</v>
      </c>
      <c r="C30676">
        <f>HYPERLINK("https://android.googlesource.com/platform/cts/+/8551ca012dea78ffa3e4fad645b9c35622b49997", "8551ca012dea78ffa3e4fad645b9c35622b49997")</f>
        <v>0</v>
      </c>
      <c r="D30676" t="s">
        <v>5349</v>
      </c>
      <c r="E30676" t="s">
        <v>7960</v>
      </c>
      <c r="F30676" t="s">
        <v>12710</v>
      </c>
      <c r="G30676" t="s">
        <v>16911</v>
      </c>
      <c r="H30676" t="s">
        <v>31252</v>
      </c>
    </row>
    <row r="30677" spans="1:8">
      <c r="A30677" t="s">
        <v>2230</v>
      </c>
      <c r="B30677">
        <f>HYPERLINK("https://android.googlesource.com/platform/cts/+/1012df8405b6e0e03da3a73d82b2a2a8a098d3ef", "1012df8405b6e0e03da3a73d82b2a2a8a098d3ef")</f>
        <v>0</v>
      </c>
      <c r="C30677">
        <f>HYPERLINK("https://android.googlesource.com/platform/cts/+/fe80fa41fe7d2f567614a70c4a8c064a852051d9", "fe80fa41fe7d2f567614a70c4a8c064a852051d9")</f>
        <v>0</v>
      </c>
      <c r="D30677" t="s">
        <v>5349</v>
      </c>
      <c r="E30677" t="s">
        <v>7961</v>
      </c>
      <c r="F30677" t="s">
        <v>12710</v>
      </c>
      <c r="G30677" t="s">
        <v>16911</v>
      </c>
      <c r="H30677" t="s">
        <v>31205</v>
      </c>
    </row>
    <row r="30678" spans="1:8">
      <c r="A30678" t="s">
        <v>2231</v>
      </c>
      <c r="B30678">
        <f>HYPERLINK("https://android.googlesource.com/platform/cts/+/f4af5fa24fd367be9b692e4003b074dd28cf31af", "f4af5fa24fd367be9b692e4003b074dd28cf31af")</f>
        <v>0</v>
      </c>
      <c r="C30678">
        <f>HYPERLINK("https://android.googlesource.com/platform/cts/+/1012df8405b6e0e03da3a73d82b2a2a8a098d3ef", "1012df8405b6e0e03da3a73d82b2a2a8a098d3ef")</f>
        <v>0</v>
      </c>
      <c r="D30678" t="s">
        <v>5349</v>
      </c>
      <c r="E30678" t="s">
        <v>7962</v>
      </c>
      <c r="F30678" t="s">
        <v>12710</v>
      </c>
      <c r="G30678" t="s">
        <v>16911</v>
      </c>
      <c r="H30678" t="s">
        <v>31253</v>
      </c>
    </row>
    <row r="30679" spans="1:8">
      <c r="A30679" t="s">
        <v>2232</v>
      </c>
      <c r="B30679">
        <f>HYPERLINK("https://android.googlesource.com/platform/cts/+/35ac03a6eaebe585348391728b6523ee5fa80478", "35ac03a6eaebe585348391728b6523ee5fa80478")</f>
        <v>0</v>
      </c>
      <c r="C30679">
        <f>HYPERLINK("https://android.googlesource.com/platform/cts/+/1573b2a6613ddec885873e8b34c350f6a1f27d3d", "1573b2a6613ddec885873e8b34c350f6a1f27d3d")</f>
        <v>0</v>
      </c>
      <c r="D30679" t="s">
        <v>5356</v>
      </c>
      <c r="E30679" t="s">
        <v>7963</v>
      </c>
      <c r="F30679" t="s">
        <v>13729</v>
      </c>
      <c r="G30679" t="s">
        <v>17791</v>
      </c>
      <c r="H30679" t="s">
        <v>31254</v>
      </c>
    </row>
    <row r="30680" spans="1:8">
      <c r="H30680" t="s">
        <v>31255</v>
      </c>
    </row>
    <row r="30681" spans="1:8">
      <c r="H30681" t="s">
        <v>31256</v>
      </c>
    </row>
    <row r="30682" spans="1:8">
      <c r="H30682" t="s">
        <v>31257</v>
      </c>
    </row>
    <row r="30683" spans="1:8">
      <c r="H30683" t="s">
        <v>31258</v>
      </c>
    </row>
    <row r="30684" spans="1:8">
      <c r="H30684" t="s">
        <v>31259</v>
      </c>
    </row>
    <row r="30685" spans="1:8">
      <c r="H30685" t="s">
        <v>31260</v>
      </c>
    </row>
    <row r="30686" spans="1:8">
      <c r="H30686" t="s">
        <v>31261</v>
      </c>
    </row>
    <row r="30687" spans="1:8">
      <c r="H30687" t="s">
        <v>31262</v>
      </c>
    </row>
    <row r="30688" spans="1:8">
      <c r="F30688" t="s">
        <v>13049</v>
      </c>
      <c r="G30688" t="s">
        <v>17213</v>
      </c>
      <c r="H30688" t="s">
        <v>31254</v>
      </c>
    </row>
    <row r="30689" spans="8:8">
      <c r="H30689" t="s">
        <v>31263</v>
      </c>
    </row>
    <row r="30690" spans="8:8">
      <c r="H30690" t="s">
        <v>31255</v>
      </c>
    </row>
    <row r="30691" spans="8:8">
      <c r="H30691" t="s">
        <v>31256</v>
      </c>
    </row>
    <row r="30692" spans="8:8">
      <c r="H30692" t="s">
        <v>31257</v>
      </c>
    </row>
    <row r="30693" spans="8:8">
      <c r="H30693" t="s">
        <v>31264</v>
      </c>
    </row>
    <row r="30694" spans="8:8">
      <c r="H30694" t="s">
        <v>31259</v>
      </c>
    </row>
    <row r="30695" spans="8:8">
      <c r="H30695" t="s">
        <v>31260</v>
      </c>
    </row>
    <row r="30696" spans="8:8">
      <c r="H30696" t="s">
        <v>31265</v>
      </c>
    </row>
    <row r="30697" spans="8:8">
      <c r="H30697" t="s">
        <v>31266</v>
      </c>
    </row>
    <row r="30698" spans="8:8">
      <c r="H30698" t="s">
        <v>31267</v>
      </c>
    </row>
    <row r="30699" spans="8:8">
      <c r="H30699" t="s">
        <v>31268</v>
      </c>
    </row>
    <row r="30700" spans="8:8">
      <c r="H30700" t="s">
        <v>31269</v>
      </c>
    </row>
    <row r="30701" spans="8:8">
      <c r="H30701" t="s">
        <v>31261</v>
      </c>
    </row>
    <row r="30702" spans="8:8">
      <c r="H30702" t="s">
        <v>31262</v>
      </c>
    </row>
    <row r="30703" spans="8:8">
      <c r="H30703" t="s">
        <v>31270</v>
      </c>
    </row>
    <row r="30704" spans="8:8">
      <c r="H30704" t="s">
        <v>31271</v>
      </c>
    </row>
    <row r="30705" spans="1:8">
      <c r="H30705" t="s">
        <v>26500</v>
      </c>
    </row>
    <row r="30706" spans="1:8">
      <c r="H30706" t="s">
        <v>26504</v>
      </c>
    </row>
    <row r="30707" spans="1:8">
      <c r="H30707" t="s">
        <v>26505</v>
      </c>
    </row>
    <row r="30708" spans="1:8">
      <c r="H30708" t="s">
        <v>26506</v>
      </c>
    </row>
    <row r="30709" spans="1:8">
      <c r="A30709" t="s">
        <v>2233</v>
      </c>
      <c r="B30709">
        <f>HYPERLINK("https://android.googlesource.com/platform/cts/+/d2a8e1f4b8dc82e2fc0efbcd3f89eb40fd168a6f", "d2a8e1f4b8dc82e2fc0efbcd3f89eb40fd168a6f")</f>
        <v>0</v>
      </c>
      <c r="C30709">
        <f>HYPERLINK("https://android.googlesource.com/platform/cts/+/a05a4a3a450c99c9554c2f6ecb5ca6d911369bc7", "a05a4a3a450c99c9554c2f6ecb5ca6d911369bc7")</f>
        <v>0</v>
      </c>
      <c r="D30709" t="s">
        <v>5357</v>
      </c>
      <c r="E30709" t="s">
        <v>7964</v>
      </c>
      <c r="F30709" t="s">
        <v>13277</v>
      </c>
      <c r="G30709" t="s">
        <v>17414</v>
      </c>
      <c r="H30709" t="s">
        <v>31272</v>
      </c>
    </row>
    <row r="30710" spans="1:8">
      <c r="H30710" t="s">
        <v>31273</v>
      </c>
    </row>
    <row r="30711" spans="1:8">
      <c r="H30711" t="s">
        <v>31274</v>
      </c>
    </row>
    <row r="30712" spans="1:8">
      <c r="A30712" t="s">
        <v>2234</v>
      </c>
      <c r="B30712">
        <f>HYPERLINK("https://android.googlesource.com/platform/cts/+/0b654f1f2ec31da6b04e42d0a79c7d0970cb0999", "0b654f1f2ec31da6b04e42d0a79c7d0970cb0999")</f>
        <v>0</v>
      </c>
      <c r="C30712">
        <f>HYPERLINK("https://android.googlesource.com/platform/cts/+/e47528b296da38c074dc2aefa365bd51ba570f2c", "e47528b296da38c074dc2aefa365bd51ba570f2c")</f>
        <v>0</v>
      </c>
      <c r="D30712" t="s">
        <v>5358</v>
      </c>
      <c r="E30712" t="s">
        <v>7965</v>
      </c>
      <c r="F30712" t="s">
        <v>13707</v>
      </c>
      <c r="G30712" t="s">
        <v>17775</v>
      </c>
      <c r="H30712" t="s">
        <v>31041</v>
      </c>
    </row>
    <row r="30713" spans="1:8">
      <c r="H30713" t="s">
        <v>31042</v>
      </c>
    </row>
    <row r="30714" spans="1:8">
      <c r="H30714" t="s">
        <v>31043</v>
      </c>
    </row>
    <row r="30715" spans="1:8">
      <c r="H30715" t="s">
        <v>22586</v>
      </c>
    </row>
    <row r="30716" spans="1:8">
      <c r="H30716" t="s">
        <v>31044</v>
      </c>
    </row>
    <row r="30717" spans="1:8">
      <c r="H30717" t="s">
        <v>26758</v>
      </c>
    </row>
    <row r="30718" spans="1:8">
      <c r="H30718" t="s">
        <v>31045</v>
      </c>
    </row>
    <row r="30719" spans="1:8">
      <c r="A30719" t="s">
        <v>2235</v>
      </c>
      <c r="B30719">
        <f>HYPERLINK("https://android.googlesource.com/platform/cts/+/1d7eef8d1421ab71182ff4f7f399276f23a42451", "1d7eef8d1421ab71182ff4f7f399276f23a42451")</f>
        <v>0</v>
      </c>
      <c r="C30719">
        <f>HYPERLINK("https://android.googlesource.com/platform/cts/+/5fa17a1be97aa3edca2f7d9ffd2d1e6bbecf4877", "5fa17a1be97aa3edca2f7d9ffd2d1e6bbecf4877")</f>
        <v>0</v>
      </c>
      <c r="D30719" t="s">
        <v>5359</v>
      </c>
      <c r="E30719" t="s">
        <v>7966</v>
      </c>
      <c r="F30719" t="s">
        <v>13730</v>
      </c>
      <c r="G30719" t="s">
        <v>16824</v>
      </c>
      <c r="H30719" t="s">
        <v>31275</v>
      </c>
    </row>
    <row r="30720" spans="1:8">
      <c r="H30720" t="s">
        <v>19905</v>
      </c>
    </row>
    <row r="30721" spans="1:8">
      <c r="H30721" t="s">
        <v>31276</v>
      </c>
    </row>
    <row r="30722" spans="1:8">
      <c r="H30722" t="s">
        <v>31277</v>
      </c>
    </row>
    <row r="30723" spans="1:8">
      <c r="H30723" t="s">
        <v>31278</v>
      </c>
    </row>
    <row r="30724" spans="1:8">
      <c r="H30724" t="s">
        <v>31277</v>
      </c>
    </row>
    <row r="30725" spans="1:8">
      <c r="A30725" t="s">
        <v>2236</v>
      </c>
      <c r="B30725">
        <f>HYPERLINK("https://android.googlesource.com/platform/cts/+/076e6db449787642e5be36e047d8fa896e87b9bb", "076e6db449787642e5be36e047d8fa896e87b9bb")</f>
        <v>0</v>
      </c>
      <c r="C30725">
        <f>HYPERLINK("https://android.googlesource.com/platform/cts/+/28337aabd302e6356626f299e85ed2cf5537d03d", "28337aabd302e6356626f299e85ed2cf5537d03d")</f>
        <v>0</v>
      </c>
      <c r="D30725" t="s">
        <v>4949</v>
      </c>
      <c r="E30725" t="s">
        <v>7967</v>
      </c>
      <c r="F30725" t="s">
        <v>12846</v>
      </c>
      <c r="G30725" t="s">
        <v>17017</v>
      </c>
      <c r="H30725" t="s">
        <v>31279</v>
      </c>
    </row>
    <row r="30726" spans="1:8">
      <c r="A30726" t="s">
        <v>2237</v>
      </c>
      <c r="B30726">
        <f>HYPERLINK("https://android.googlesource.com/platform/cts/+/05b3c093bdc5e38715909d4a2f9e920586f37dd8", "05b3c093bdc5e38715909d4a2f9e920586f37dd8")</f>
        <v>0</v>
      </c>
      <c r="C30726">
        <f>HYPERLINK("https://android.googlesource.com/platform/cts/+/810c260130d1d8c7714d2949e8c2fdb3df444a76", "810c260130d1d8c7714d2949e8c2fdb3df444a76")</f>
        <v>0</v>
      </c>
      <c r="D30726" t="s">
        <v>5360</v>
      </c>
      <c r="E30726" t="s">
        <v>7968</v>
      </c>
      <c r="F30726" t="s">
        <v>13731</v>
      </c>
      <c r="G30726" t="s">
        <v>17792</v>
      </c>
      <c r="H30726" t="s">
        <v>18829</v>
      </c>
    </row>
    <row r="30727" spans="1:8">
      <c r="H30727" t="s">
        <v>18863</v>
      </c>
    </row>
    <row r="30728" spans="1:8">
      <c r="H30728" t="s">
        <v>31280</v>
      </c>
    </row>
    <row r="30729" spans="1:8">
      <c r="H30729" t="s">
        <v>31281</v>
      </c>
    </row>
    <row r="30730" spans="1:8">
      <c r="H30730" t="s">
        <v>31282</v>
      </c>
    </row>
    <row r="30731" spans="1:8">
      <c r="H30731" t="s">
        <v>28102</v>
      </c>
    </row>
    <row r="30732" spans="1:8">
      <c r="H30732" t="s">
        <v>31283</v>
      </c>
    </row>
    <row r="30733" spans="1:8">
      <c r="H30733" t="s">
        <v>31284</v>
      </c>
    </row>
    <row r="30734" spans="1:8">
      <c r="H30734" t="s">
        <v>31285</v>
      </c>
    </row>
    <row r="30735" spans="1:8">
      <c r="H30735" t="s">
        <v>31286</v>
      </c>
    </row>
    <row r="30736" spans="1:8">
      <c r="H30736" t="s">
        <v>31287</v>
      </c>
    </row>
    <row r="30737" spans="1:8">
      <c r="H30737" t="s">
        <v>31288</v>
      </c>
    </row>
    <row r="30738" spans="1:8">
      <c r="A30738" t="s">
        <v>2239</v>
      </c>
      <c r="B30738">
        <f>HYPERLINK("https://android.googlesource.com/platform/cts/+/6962ed73b6544e9975d44fe2f15150d0ebb7e224", "6962ed73b6544e9975d44fe2f15150d0ebb7e224")</f>
        <v>0</v>
      </c>
      <c r="C30738">
        <f>HYPERLINK("https://android.googlesource.com/platform/cts/+/f06589057f3eb1768d78e7ffe51dfcb6271c7019", "f06589057f3eb1768d78e7ffe51dfcb6271c7019")</f>
        <v>0</v>
      </c>
      <c r="D30738" t="s">
        <v>5361</v>
      </c>
      <c r="E30738" t="s">
        <v>7970</v>
      </c>
      <c r="F30738" t="s">
        <v>12710</v>
      </c>
      <c r="G30738" t="s">
        <v>16911</v>
      </c>
      <c r="H30738" t="s">
        <v>31289</v>
      </c>
    </row>
    <row r="30739" spans="1:8">
      <c r="A30739" t="s">
        <v>2240</v>
      </c>
      <c r="B30739">
        <f>HYPERLINK("https://android.googlesource.com/platform/cts/+/f55db56d9c848609e930a27b4d3fb102bba7321f", "f55db56d9c848609e930a27b4d3fb102bba7321f")</f>
        <v>0</v>
      </c>
      <c r="C30739">
        <f>HYPERLINK("https://android.googlesource.com/platform/cts/+/dfc615b3cda0911dbf780e790d57ffef8d9b95a8", "dfc615b3cda0911dbf780e790d57ffef8d9b95a8")</f>
        <v>0</v>
      </c>
      <c r="D30739" t="s">
        <v>5362</v>
      </c>
      <c r="E30739" t="s">
        <v>7971</v>
      </c>
      <c r="F30739" t="s">
        <v>13412</v>
      </c>
      <c r="G30739" t="s">
        <v>17538</v>
      </c>
      <c r="H30739" t="s">
        <v>18829</v>
      </c>
    </row>
    <row r="30740" spans="1:8">
      <c r="A30740" t="s">
        <v>2241</v>
      </c>
      <c r="B30740">
        <f>HYPERLINK("https://android.googlesource.com/platform/cts/+/ef31653a5949f97ae5d822fcedfb888bed9212c2", "ef31653a5949f97ae5d822fcedfb888bed9212c2")</f>
        <v>0</v>
      </c>
      <c r="C30740">
        <f>HYPERLINK("https://android.googlesource.com/platform/cts/+/e42bfc6b161f6120662775eef7c8c866b2e90dbe", "e42bfc6b161f6120662775eef7c8c866b2e90dbe")</f>
        <v>0</v>
      </c>
      <c r="D30740" t="s">
        <v>5120</v>
      </c>
      <c r="E30740" t="s">
        <v>7972</v>
      </c>
      <c r="F30740" t="s">
        <v>13732</v>
      </c>
      <c r="G30740" t="s">
        <v>17793</v>
      </c>
      <c r="H30740" t="s">
        <v>31290</v>
      </c>
    </row>
    <row r="30741" spans="1:8">
      <c r="A30741" t="s">
        <v>2242</v>
      </c>
      <c r="B30741">
        <f>HYPERLINK("https://android.googlesource.com/platform/cts/+/6a8bc649f745053964fa5c9f8d55f08d40d787d6", "6a8bc649f745053964fa5c9f8d55f08d40d787d6")</f>
        <v>0</v>
      </c>
      <c r="C30741">
        <f>HYPERLINK("https://android.googlesource.com/platform/cts/+/070ac7a2da8aa0dfc146fa40940dc5e4ed7d0d84", "070ac7a2da8aa0dfc146fa40940dc5e4ed7d0d84")</f>
        <v>0</v>
      </c>
      <c r="D30741" t="s">
        <v>5363</v>
      </c>
      <c r="E30741" t="s">
        <v>7973</v>
      </c>
      <c r="F30741" t="s">
        <v>10605</v>
      </c>
      <c r="G30741" t="s">
        <v>15008</v>
      </c>
      <c r="H30741" t="s">
        <v>31291</v>
      </c>
    </row>
    <row r="30742" spans="1:8">
      <c r="F30742" t="s">
        <v>10594</v>
      </c>
      <c r="G30742" t="s">
        <v>14997</v>
      </c>
      <c r="H30742" t="s">
        <v>31291</v>
      </c>
    </row>
    <row r="30743" spans="1:8">
      <c r="H30743" t="s">
        <v>18973</v>
      </c>
    </row>
    <row r="30744" spans="1:8">
      <c r="A30744" t="s">
        <v>2243</v>
      </c>
      <c r="B30744">
        <f>HYPERLINK("https://android.googlesource.com/platform/cts/+/486cf57860e8370aaa15d9b9e51f42015e08ebd1", "486cf57860e8370aaa15d9b9e51f42015e08ebd1")</f>
        <v>0</v>
      </c>
      <c r="C30744">
        <f>HYPERLINK("https://android.googlesource.com/platform/cts/+/a71fbada39924cd4717506a14b69a79d39952d0b", "a71fbada39924cd4717506a14b69a79d39952d0b")</f>
        <v>0</v>
      </c>
      <c r="D30744" t="s">
        <v>5096</v>
      </c>
      <c r="E30744" t="s">
        <v>7974</v>
      </c>
      <c r="F30744" t="s">
        <v>13220</v>
      </c>
      <c r="G30744" t="s">
        <v>17361</v>
      </c>
      <c r="H30744" t="s">
        <v>31292</v>
      </c>
    </row>
    <row r="30745" spans="1:8">
      <c r="H30745" t="s">
        <v>31293</v>
      </c>
    </row>
    <row r="30746" spans="1:8">
      <c r="H30746" t="s">
        <v>31294</v>
      </c>
    </row>
    <row r="30747" spans="1:8">
      <c r="H30747" t="s">
        <v>31295</v>
      </c>
    </row>
    <row r="30748" spans="1:8">
      <c r="H30748" t="s">
        <v>31296</v>
      </c>
    </row>
    <row r="30749" spans="1:8">
      <c r="H30749" t="s">
        <v>31297</v>
      </c>
    </row>
    <row r="30750" spans="1:8">
      <c r="A30750" t="s">
        <v>2244</v>
      </c>
      <c r="B30750">
        <f>HYPERLINK("https://android.googlesource.com/platform/cts/+/f33ea4d2d093eb20ae4097cf6e96d27e013bbe4a", "f33ea4d2d093eb20ae4097cf6e96d27e013bbe4a")</f>
        <v>0</v>
      </c>
      <c r="C30750">
        <f>HYPERLINK("https://android.googlesource.com/platform/cts/+/48eb9a22d80081307d8f05efb2bb92d9be054a8c", "48eb9a22d80081307d8f05efb2bb92d9be054a8c")</f>
        <v>0</v>
      </c>
      <c r="D30750" t="s">
        <v>5364</v>
      </c>
      <c r="E30750" t="s">
        <v>7975</v>
      </c>
      <c r="F30750" t="s">
        <v>12841</v>
      </c>
      <c r="G30750" t="s">
        <v>15119</v>
      </c>
      <c r="H30750" t="s">
        <v>31298</v>
      </c>
    </row>
    <row r="30751" spans="1:8">
      <c r="A30751" t="s">
        <v>2246</v>
      </c>
      <c r="B30751">
        <f>HYPERLINK("https://android.googlesource.com/platform/cts/+/b1bc37ee4b886f1d979a9c6ebf0ebf3742314244", "b1bc37ee4b886f1d979a9c6ebf0ebf3742314244")</f>
        <v>0</v>
      </c>
      <c r="C30751">
        <f>HYPERLINK("https://android.googlesource.com/platform/cts/+/aca12a2af434a87b59a9500f64dba5797fca8fec", "aca12a2af434a87b59a9500f64dba5797fca8fec")</f>
        <v>0</v>
      </c>
      <c r="D30751" t="s">
        <v>5027</v>
      </c>
      <c r="E30751" t="s">
        <v>7977</v>
      </c>
      <c r="F30751" t="s">
        <v>13733</v>
      </c>
      <c r="G30751" t="s">
        <v>17794</v>
      </c>
      <c r="H30751" t="s">
        <v>19981</v>
      </c>
    </row>
    <row r="30752" spans="1:8">
      <c r="H30752" t="s">
        <v>18863</v>
      </c>
    </row>
    <row r="30753" spans="1:8">
      <c r="H30753" t="s">
        <v>22650</v>
      </c>
    </row>
    <row r="30754" spans="1:8">
      <c r="H30754" t="s">
        <v>31299</v>
      </c>
    </row>
    <row r="30755" spans="1:8">
      <c r="H30755" t="s">
        <v>18836</v>
      </c>
    </row>
    <row r="30756" spans="1:8">
      <c r="H30756" t="s">
        <v>31300</v>
      </c>
    </row>
    <row r="30757" spans="1:8">
      <c r="H30757" t="s">
        <v>31301</v>
      </c>
    </row>
    <row r="30758" spans="1:8">
      <c r="A30758" t="s">
        <v>2247</v>
      </c>
      <c r="B30758">
        <f>HYPERLINK("https://android.googlesource.com/platform/cts/+/45e6957fa314f6ed87845ca1968ec4c5c3e7999c", "45e6957fa314f6ed87845ca1968ec4c5c3e7999c")</f>
        <v>0</v>
      </c>
      <c r="C30758">
        <f>HYPERLINK("https://android.googlesource.com/platform/cts/+/ee53190acd1880453a1ea3d48c18d2bac17bb91b", "ee53190acd1880453a1ea3d48c18d2bac17bb91b")</f>
        <v>0</v>
      </c>
      <c r="D30758" t="s">
        <v>5117</v>
      </c>
      <c r="E30758" t="s">
        <v>7978</v>
      </c>
      <c r="F30758" t="s">
        <v>12879</v>
      </c>
      <c r="G30758" t="s">
        <v>17046</v>
      </c>
      <c r="H30758" t="s">
        <v>31302</v>
      </c>
    </row>
    <row r="30759" spans="1:8">
      <c r="A30759" t="s">
        <v>2248</v>
      </c>
      <c r="B30759">
        <f>HYPERLINK("https://android.googlesource.com/platform/cts/+/051869e9382db7863656b77c9bf98bd5d473552c", "051869e9382db7863656b77c9bf98bd5d473552c")</f>
        <v>0</v>
      </c>
      <c r="C30759">
        <f>HYPERLINK("https://android.googlesource.com/platform/cts/+/51aabd366653b874525fe4ac23717cf345b51006", "51aabd366653b874525fe4ac23717cf345b51006")</f>
        <v>0</v>
      </c>
      <c r="D30759" t="s">
        <v>5117</v>
      </c>
      <c r="E30759" t="s">
        <v>7979</v>
      </c>
      <c r="F30759" t="s">
        <v>13734</v>
      </c>
      <c r="G30759" t="s">
        <v>17795</v>
      </c>
      <c r="H30759" t="s">
        <v>31303</v>
      </c>
    </row>
    <row r="30760" spans="1:8">
      <c r="A30760" t="s">
        <v>2249</v>
      </c>
      <c r="B30760">
        <f>HYPERLINK("https://android.googlesource.com/platform/cts/+/44c45462cd023123669d103ade198ceda12990c2", "44c45462cd023123669d103ade198ceda12990c2")</f>
        <v>0</v>
      </c>
      <c r="C30760">
        <f>HYPERLINK("https://android.googlesource.com/platform/cts/+/a0ed22685e28cbc26c3408519c03de13cfa256fa", "a0ed22685e28cbc26c3408519c03de13cfa256fa")</f>
        <v>0</v>
      </c>
      <c r="D30760" t="s">
        <v>5263</v>
      </c>
      <c r="E30760" t="s">
        <v>7980</v>
      </c>
      <c r="F30760" t="s">
        <v>13735</v>
      </c>
      <c r="G30760" t="s">
        <v>16637</v>
      </c>
      <c r="H30760" t="s">
        <v>31304</v>
      </c>
    </row>
    <row r="30761" spans="1:8">
      <c r="H30761" t="s">
        <v>31305</v>
      </c>
    </row>
    <row r="30762" spans="1:8">
      <c r="H30762" t="s">
        <v>31306</v>
      </c>
    </row>
    <row r="30763" spans="1:8">
      <c r="H30763" t="s">
        <v>31307</v>
      </c>
    </row>
    <row r="30764" spans="1:8">
      <c r="H30764" t="s">
        <v>31308</v>
      </c>
    </row>
    <row r="30765" spans="1:8">
      <c r="A30765" t="s">
        <v>2250</v>
      </c>
      <c r="B30765">
        <f>HYPERLINK("https://android.googlesource.com/platform/cts/+/dec34053d18ca5cff7c482eadb7673818b5e8c8f", "dec34053d18ca5cff7c482eadb7673818b5e8c8f")</f>
        <v>0</v>
      </c>
      <c r="C30765">
        <f>HYPERLINK("https://android.googlesource.com/platform/cts/+/10b81daa165b7e6b182cf4457b7f919ad5680f73", "10b81daa165b7e6b182cf4457b7f919ad5680f73")</f>
        <v>0</v>
      </c>
      <c r="D30765" t="s">
        <v>5027</v>
      </c>
      <c r="E30765" t="s">
        <v>7981</v>
      </c>
      <c r="F30765" t="s">
        <v>13505</v>
      </c>
      <c r="G30765" t="s">
        <v>17622</v>
      </c>
      <c r="H30765" t="s">
        <v>30141</v>
      </c>
    </row>
    <row r="30766" spans="1:8">
      <c r="H30766" t="s">
        <v>31309</v>
      </c>
    </row>
    <row r="30767" spans="1:8">
      <c r="H30767" t="s">
        <v>30148</v>
      </c>
    </row>
    <row r="30768" spans="1:8">
      <c r="H30768" t="s">
        <v>30149</v>
      </c>
    </row>
    <row r="30769" spans="8:8">
      <c r="H30769" t="s">
        <v>30150</v>
      </c>
    </row>
    <row r="30770" spans="8:8">
      <c r="H30770" t="s">
        <v>30151</v>
      </c>
    </row>
    <row r="30771" spans="8:8">
      <c r="H30771" t="s">
        <v>30152</v>
      </c>
    </row>
    <row r="30772" spans="8:8">
      <c r="H30772" t="s">
        <v>30153</v>
      </c>
    </row>
    <row r="30773" spans="8:8">
      <c r="H30773" t="s">
        <v>29023</v>
      </c>
    </row>
    <row r="30774" spans="8:8">
      <c r="H30774" t="s">
        <v>30154</v>
      </c>
    </row>
    <row r="30775" spans="8:8">
      <c r="H30775" t="s">
        <v>30155</v>
      </c>
    </row>
    <row r="30776" spans="8:8">
      <c r="H30776" t="s">
        <v>30156</v>
      </c>
    </row>
    <row r="30777" spans="8:8">
      <c r="H30777" t="s">
        <v>30157</v>
      </c>
    </row>
    <row r="30778" spans="8:8">
      <c r="H30778" t="s">
        <v>30158</v>
      </c>
    </row>
    <row r="30779" spans="8:8">
      <c r="H30779" t="s">
        <v>30159</v>
      </c>
    </row>
    <row r="30780" spans="8:8">
      <c r="H30780" t="s">
        <v>26316</v>
      </c>
    </row>
    <row r="30781" spans="8:8">
      <c r="H30781" t="s">
        <v>21462</v>
      </c>
    </row>
    <row r="30782" spans="8:8">
      <c r="H30782" t="s">
        <v>28864</v>
      </c>
    </row>
    <row r="30783" spans="8:8">
      <c r="H30783" t="s">
        <v>26391</v>
      </c>
    </row>
    <row r="30784" spans="8:8">
      <c r="H30784" t="s">
        <v>30162</v>
      </c>
    </row>
    <row r="30785" spans="8:8">
      <c r="H30785" t="s">
        <v>30163</v>
      </c>
    </row>
    <row r="30786" spans="8:8">
      <c r="H30786" t="s">
        <v>30164</v>
      </c>
    </row>
    <row r="30787" spans="8:8">
      <c r="H30787" t="s">
        <v>31310</v>
      </c>
    </row>
    <row r="30788" spans="8:8">
      <c r="H30788" t="s">
        <v>31311</v>
      </c>
    </row>
    <row r="30789" spans="8:8">
      <c r="H30789" t="s">
        <v>31312</v>
      </c>
    </row>
    <row r="30790" spans="8:8">
      <c r="H30790" t="s">
        <v>31313</v>
      </c>
    </row>
    <row r="30791" spans="8:8">
      <c r="H30791" t="s">
        <v>31314</v>
      </c>
    </row>
    <row r="30792" spans="8:8">
      <c r="H30792" t="s">
        <v>20177</v>
      </c>
    </row>
    <row r="30793" spans="8:8">
      <c r="H30793" t="s">
        <v>31315</v>
      </c>
    </row>
    <row r="30794" spans="8:8">
      <c r="H30794" t="s">
        <v>31316</v>
      </c>
    </row>
    <row r="30795" spans="8:8">
      <c r="H30795" t="s">
        <v>31317</v>
      </c>
    </row>
    <row r="30796" spans="8:8">
      <c r="H30796" t="s">
        <v>29034</v>
      </c>
    </row>
    <row r="30797" spans="8:8">
      <c r="H30797" t="s">
        <v>29033</v>
      </c>
    </row>
    <row r="30798" spans="8:8">
      <c r="H30798" t="s">
        <v>30142</v>
      </c>
    </row>
    <row r="30799" spans="8:8">
      <c r="H30799" t="s">
        <v>30143</v>
      </c>
    </row>
    <row r="30800" spans="8:8">
      <c r="H30800" t="s">
        <v>30145</v>
      </c>
    </row>
    <row r="30801" spans="6:8">
      <c r="H30801" t="s">
        <v>30146</v>
      </c>
    </row>
    <row r="30802" spans="6:8">
      <c r="H30802" t="s">
        <v>30147</v>
      </c>
    </row>
    <row r="30803" spans="6:8">
      <c r="H30803" t="s">
        <v>30144</v>
      </c>
    </row>
    <row r="30804" spans="6:8">
      <c r="H30804" t="s">
        <v>30165</v>
      </c>
    </row>
    <row r="30805" spans="6:8">
      <c r="H30805" t="s">
        <v>30166</v>
      </c>
    </row>
    <row r="30806" spans="6:8">
      <c r="F30806" t="s">
        <v>13506</v>
      </c>
      <c r="G30806" t="s">
        <v>17623</v>
      </c>
      <c r="H30806" t="s">
        <v>30196</v>
      </c>
    </row>
    <row r="30807" spans="6:8">
      <c r="H30807" t="s">
        <v>30198</v>
      </c>
    </row>
    <row r="30808" spans="6:8">
      <c r="H30808" t="s">
        <v>30199</v>
      </c>
    </row>
    <row r="30809" spans="6:8">
      <c r="H30809" t="s">
        <v>30200</v>
      </c>
    </row>
    <row r="30810" spans="6:8">
      <c r="H30810" t="s">
        <v>30202</v>
      </c>
    </row>
    <row r="30811" spans="6:8">
      <c r="H30811" t="s">
        <v>30206</v>
      </c>
    </row>
    <row r="30812" spans="6:8">
      <c r="H30812" t="s">
        <v>30207</v>
      </c>
    </row>
    <row r="30813" spans="6:8">
      <c r="H30813" t="s">
        <v>30208</v>
      </c>
    </row>
    <row r="30814" spans="6:8">
      <c r="F30814" t="s">
        <v>13524</v>
      </c>
      <c r="G30814" t="s">
        <v>17639</v>
      </c>
      <c r="H30814" t="s">
        <v>18829</v>
      </c>
    </row>
    <row r="30815" spans="6:8">
      <c r="H30815" t="s">
        <v>19982</v>
      </c>
    </row>
    <row r="30816" spans="6:8">
      <c r="H30816" t="s">
        <v>31318</v>
      </c>
    </row>
    <row r="30817" spans="6:8">
      <c r="H30817" t="s">
        <v>31319</v>
      </c>
    </row>
    <row r="30818" spans="6:8">
      <c r="H30818" t="s">
        <v>31320</v>
      </c>
    </row>
    <row r="30819" spans="6:8">
      <c r="H30819" t="s">
        <v>31321</v>
      </c>
    </row>
    <row r="30820" spans="6:8">
      <c r="H30820" t="s">
        <v>31322</v>
      </c>
    </row>
    <row r="30821" spans="6:8">
      <c r="H30821" t="s">
        <v>31323</v>
      </c>
    </row>
    <row r="30822" spans="6:8">
      <c r="H30822" t="s">
        <v>31324</v>
      </c>
    </row>
    <row r="30823" spans="6:8">
      <c r="H30823" t="s">
        <v>18893</v>
      </c>
    </row>
    <row r="30824" spans="6:8">
      <c r="H30824" t="s">
        <v>28391</v>
      </c>
    </row>
    <row r="30825" spans="6:8">
      <c r="H30825" t="s">
        <v>31325</v>
      </c>
    </row>
    <row r="30826" spans="6:8">
      <c r="H30826" t="s">
        <v>31326</v>
      </c>
    </row>
    <row r="30827" spans="6:8">
      <c r="F30827" t="s">
        <v>13509</v>
      </c>
      <c r="G30827" t="s">
        <v>17626</v>
      </c>
      <c r="H30827" t="s">
        <v>18829</v>
      </c>
    </row>
    <row r="30828" spans="6:8">
      <c r="H30828" t="s">
        <v>30231</v>
      </c>
    </row>
    <row r="30829" spans="6:8">
      <c r="H30829" t="s">
        <v>30232</v>
      </c>
    </row>
    <row r="30830" spans="6:8">
      <c r="F30830" t="s">
        <v>13522</v>
      </c>
      <c r="G30830" t="s">
        <v>17637</v>
      </c>
      <c r="H30830" t="s">
        <v>31327</v>
      </c>
    </row>
    <row r="30831" spans="6:8">
      <c r="H30831" t="s">
        <v>30241</v>
      </c>
    </row>
    <row r="30832" spans="6:8">
      <c r="H30832" t="s">
        <v>30242</v>
      </c>
    </row>
    <row r="30833" spans="1:8">
      <c r="F30833" t="s">
        <v>13532</v>
      </c>
      <c r="G30833" t="s">
        <v>16863</v>
      </c>
      <c r="H30833" t="s">
        <v>31328</v>
      </c>
    </row>
    <row r="30834" spans="1:8">
      <c r="A30834" t="s">
        <v>2252</v>
      </c>
      <c r="B30834">
        <f>HYPERLINK("https://android.googlesource.com/platform/cts/+/d3dfe4f7b33630f6b51dccd8409136e91c7e8332", "d3dfe4f7b33630f6b51dccd8409136e91c7e8332")</f>
        <v>0</v>
      </c>
      <c r="C30834">
        <f>HYPERLINK("https://android.googlesource.com/platform/cts/+/136849cf31b240fd229e30887898677c0a063a41", "136849cf31b240fd229e30887898677c0a063a41")</f>
        <v>0</v>
      </c>
      <c r="D30834" t="s">
        <v>5365</v>
      </c>
      <c r="E30834" t="s">
        <v>7983</v>
      </c>
      <c r="F30834" t="s">
        <v>13736</v>
      </c>
      <c r="G30834" t="s">
        <v>17796</v>
      </c>
      <c r="H30834" t="s">
        <v>31329</v>
      </c>
    </row>
    <row r="30835" spans="1:8">
      <c r="H30835" t="s">
        <v>31330</v>
      </c>
    </row>
    <row r="30836" spans="1:8">
      <c r="H30836" t="s">
        <v>31331</v>
      </c>
    </row>
    <row r="30837" spans="1:8">
      <c r="H30837" t="s">
        <v>31332</v>
      </c>
    </row>
    <row r="30838" spans="1:8">
      <c r="H30838" t="s">
        <v>31333</v>
      </c>
    </row>
    <row r="30839" spans="1:8">
      <c r="H30839" t="s">
        <v>31334</v>
      </c>
    </row>
    <row r="30840" spans="1:8">
      <c r="A30840" t="s">
        <v>2253</v>
      </c>
      <c r="B30840">
        <f>HYPERLINK("https://android.googlesource.com/platform/cts/+/8a055eaf2365d57e2b3af6ea67839643038d71c2", "8a055eaf2365d57e2b3af6ea67839643038d71c2")</f>
        <v>0</v>
      </c>
      <c r="C30840">
        <f>HYPERLINK("https://android.googlesource.com/platform/cts/+/d3dfe4f7b33630f6b51dccd8409136e91c7e8332", "d3dfe4f7b33630f6b51dccd8409136e91c7e8332")</f>
        <v>0</v>
      </c>
      <c r="D30840" t="s">
        <v>5365</v>
      </c>
      <c r="E30840" t="s">
        <v>7984</v>
      </c>
      <c r="F30840" t="s">
        <v>13736</v>
      </c>
      <c r="G30840" t="s">
        <v>17796</v>
      </c>
      <c r="H30840" t="s">
        <v>31335</v>
      </c>
    </row>
    <row r="30841" spans="1:8">
      <c r="A30841" t="s">
        <v>2254</v>
      </c>
      <c r="B30841">
        <f>HYPERLINK("https://android.googlesource.com/platform/cts/+/36ac203ccee730c89e7cd4dfa46ad4455719c19b", "36ac203ccee730c89e7cd4dfa46ad4455719c19b")</f>
        <v>0</v>
      </c>
      <c r="C30841">
        <f>HYPERLINK("https://android.googlesource.com/platform/cts/+/a46868fca645ed193ec15c6790ccb970dd81d495", "a46868fca645ed193ec15c6790ccb970dd81d495")</f>
        <v>0</v>
      </c>
      <c r="D30841" t="s">
        <v>5330</v>
      </c>
      <c r="E30841" t="s">
        <v>7985</v>
      </c>
      <c r="F30841" t="s">
        <v>12250</v>
      </c>
      <c r="G30841" t="s">
        <v>16481</v>
      </c>
      <c r="H30841" t="s">
        <v>19267</v>
      </c>
    </row>
    <row r="30842" spans="1:8">
      <c r="H30842" t="s">
        <v>18829</v>
      </c>
    </row>
    <row r="30843" spans="1:8">
      <c r="H30843" t="s">
        <v>21525</v>
      </c>
    </row>
    <row r="30844" spans="1:8">
      <c r="H30844" t="s">
        <v>21526</v>
      </c>
    </row>
    <row r="30845" spans="1:8">
      <c r="H30845" t="s">
        <v>21527</v>
      </c>
    </row>
    <row r="30846" spans="1:8">
      <c r="A30846" t="s">
        <v>2255</v>
      </c>
      <c r="B30846">
        <f>HYPERLINK("https://android.googlesource.com/platform/cts/+/16d6c358e5dfdc820d614a49fb686548d4a2886b", "16d6c358e5dfdc820d614a49fb686548d4a2886b")</f>
        <v>0</v>
      </c>
      <c r="C30846">
        <f>HYPERLINK("https://android.googlesource.com/platform/cts/+/308c221271dad29c89b5885fc0a5cc05d3419100", "308c221271dad29c89b5885fc0a5cc05d3419100")</f>
        <v>0</v>
      </c>
      <c r="D30846" t="s">
        <v>5027</v>
      </c>
      <c r="E30846" t="s">
        <v>7986</v>
      </c>
      <c r="F30846" t="s">
        <v>13506</v>
      </c>
      <c r="G30846" t="s">
        <v>17623</v>
      </c>
      <c r="H30846" t="s">
        <v>18829</v>
      </c>
    </row>
    <row r="30847" spans="1:8">
      <c r="H30847" t="s">
        <v>19982</v>
      </c>
    </row>
    <row r="30848" spans="1:8">
      <c r="H30848" t="s">
        <v>31336</v>
      </c>
    </row>
    <row r="30849" spans="8:8">
      <c r="H30849" t="s">
        <v>30167</v>
      </c>
    </row>
    <row r="30850" spans="8:8">
      <c r="H30850" t="s">
        <v>30168</v>
      </c>
    </row>
    <row r="30851" spans="8:8">
      <c r="H30851" t="s">
        <v>30171</v>
      </c>
    </row>
    <row r="30852" spans="8:8">
      <c r="H30852" t="s">
        <v>30172</v>
      </c>
    </row>
    <row r="30853" spans="8:8">
      <c r="H30853" t="s">
        <v>30173</v>
      </c>
    </row>
    <row r="30854" spans="8:8">
      <c r="H30854" t="s">
        <v>30174</v>
      </c>
    </row>
    <row r="30855" spans="8:8">
      <c r="H30855" t="s">
        <v>30175</v>
      </c>
    </row>
    <row r="30856" spans="8:8">
      <c r="H30856" t="s">
        <v>31337</v>
      </c>
    </row>
    <row r="30857" spans="8:8">
      <c r="H30857" t="s">
        <v>30176</v>
      </c>
    </row>
    <row r="30858" spans="8:8">
      <c r="H30858" t="s">
        <v>30216</v>
      </c>
    </row>
    <row r="30859" spans="8:8">
      <c r="H30859" t="s">
        <v>31338</v>
      </c>
    </row>
    <row r="30860" spans="8:8">
      <c r="H30860" t="s">
        <v>31339</v>
      </c>
    </row>
    <row r="30861" spans="8:8">
      <c r="H30861" t="s">
        <v>31340</v>
      </c>
    </row>
    <row r="30862" spans="8:8">
      <c r="H30862" t="s">
        <v>31341</v>
      </c>
    </row>
    <row r="30863" spans="8:8">
      <c r="H30863" t="s">
        <v>31342</v>
      </c>
    </row>
    <row r="30864" spans="8:8">
      <c r="H30864" t="s">
        <v>31343</v>
      </c>
    </row>
    <row r="30865" spans="8:8">
      <c r="H30865" t="s">
        <v>31344</v>
      </c>
    </row>
    <row r="30866" spans="8:8">
      <c r="H30866" t="s">
        <v>31345</v>
      </c>
    </row>
    <row r="30867" spans="8:8">
      <c r="H30867" t="s">
        <v>31346</v>
      </c>
    </row>
    <row r="30868" spans="8:8">
      <c r="H30868" t="s">
        <v>31347</v>
      </c>
    </row>
    <row r="30869" spans="8:8">
      <c r="H30869" t="s">
        <v>31348</v>
      </c>
    </row>
    <row r="30870" spans="8:8">
      <c r="H30870" t="s">
        <v>31349</v>
      </c>
    </row>
    <row r="30871" spans="8:8">
      <c r="H30871" t="s">
        <v>31350</v>
      </c>
    </row>
    <row r="30872" spans="8:8">
      <c r="H30872" t="s">
        <v>31351</v>
      </c>
    </row>
    <row r="30873" spans="8:8">
      <c r="H30873" t="s">
        <v>30178</v>
      </c>
    </row>
    <row r="30874" spans="8:8">
      <c r="H30874" t="s">
        <v>30179</v>
      </c>
    </row>
    <row r="30875" spans="8:8">
      <c r="H30875" t="s">
        <v>30180</v>
      </c>
    </row>
    <row r="30876" spans="8:8">
      <c r="H30876" t="s">
        <v>30182</v>
      </c>
    </row>
    <row r="30877" spans="8:8">
      <c r="H30877" t="s">
        <v>30183</v>
      </c>
    </row>
    <row r="30878" spans="8:8">
      <c r="H30878" t="s">
        <v>30184</v>
      </c>
    </row>
    <row r="30879" spans="8:8">
      <c r="H30879" t="s">
        <v>30185</v>
      </c>
    </row>
    <row r="30880" spans="8:8">
      <c r="H30880" t="s">
        <v>30186</v>
      </c>
    </row>
    <row r="30881" spans="8:8">
      <c r="H30881" t="s">
        <v>30187</v>
      </c>
    </row>
    <row r="30882" spans="8:8">
      <c r="H30882" t="s">
        <v>30188</v>
      </c>
    </row>
    <row r="30883" spans="8:8">
      <c r="H30883" t="s">
        <v>30189</v>
      </c>
    </row>
    <row r="30884" spans="8:8">
      <c r="H30884" t="s">
        <v>30190</v>
      </c>
    </row>
    <row r="30885" spans="8:8">
      <c r="H30885" t="s">
        <v>30191</v>
      </c>
    </row>
    <row r="30886" spans="8:8">
      <c r="H30886" t="s">
        <v>30192</v>
      </c>
    </row>
    <row r="30887" spans="8:8">
      <c r="H30887" t="s">
        <v>30193</v>
      </c>
    </row>
    <row r="30888" spans="8:8">
      <c r="H30888" t="s">
        <v>30194</v>
      </c>
    </row>
    <row r="30889" spans="8:8">
      <c r="H30889" t="s">
        <v>30195</v>
      </c>
    </row>
    <row r="30890" spans="8:8">
      <c r="H30890" t="s">
        <v>30201</v>
      </c>
    </row>
    <row r="30891" spans="8:8">
      <c r="H30891" t="s">
        <v>30203</v>
      </c>
    </row>
    <row r="30892" spans="8:8">
      <c r="H30892" t="s">
        <v>30204</v>
      </c>
    </row>
    <row r="30893" spans="8:8">
      <c r="H30893" t="s">
        <v>30205</v>
      </c>
    </row>
    <row r="30894" spans="8:8">
      <c r="H30894" t="s">
        <v>30209</v>
      </c>
    </row>
    <row r="30895" spans="8:8">
      <c r="H30895" t="s">
        <v>30210</v>
      </c>
    </row>
    <row r="30896" spans="8:8">
      <c r="H30896" t="s">
        <v>30211</v>
      </c>
    </row>
    <row r="30897" spans="6:8">
      <c r="H30897" t="s">
        <v>30212</v>
      </c>
    </row>
    <row r="30898" spans="6:8">
      <c r="H30898" t="s">
        <v>30213</v>
      </c>
    </row>
    <row r="30899" spans="6:8">
      <c r="F30899" t="s">
        <v>13507</v>
      </c>
      <c r="G30899" t="s">
        <v>17624</v>
      </c>
      <c r="H30899" t="s">
        <v>30030</v>
      </c>
    </row>
    <row r="30900" spans="6:8">
      <c r="F30900" t="s">
        <v>13508</v>
      </c>
      <c r="G30900" t="s">
        <v>17625</v>
      </c>
      <c r="H30900" t="s">
        <v>18829</v>
      </c>
    </row>
    <row r="30901" spans="6:8">
      <c r="H30901" t="s">
        <v>19982</v>
      </c>
    </row>
    <row r="30902" spans="6:8">
      <c r="H30902" t="s">
        <v>30030</v>
      </c>
    </row>
    <row r="30903" spans="6:8">
      <c r="H30903" t="s">
        <v>31352</v>
      </c>
    </row>
    <row r="30904" spans="6:8">
      <c r="H30904" t="s">
        <v>31353</v>
      </c>
    </row>
    <row r="30905" spans="6:8">
      <c r="H30905" t="s">
        <v>31354</v>
      </c>
    </row>
    <row r="30906" spans="6:8">
      <c r="H30906" t="s">
        <v>31355</v>
      </c>
    </row>
    <row r="30907" spans="6:8">
      <c r="H30907" t="s">
        <v>31356</v>
      </c>
    </row>
    <row r="30908" spans="6:8">
      <c r="H30908" t="s">
        <v>30215</v>
      </c>
    </row>
    <row r="30909" spans="6:8">
      <c r="H30909" t="s">
        <v>30167</v>
      </c>
    </row>
    <row r="30910" spans="6:8">
      <c r="H30910" t="s">
        <v>30168</v>
      </c>
    </row>
    <row r="30911" spans="6:8">
      <c r="H30911" t="s">
        <v>30171</v>
      </c>
    </row>
    <row r="30912" spans="6:8">
      <c r="H30912" t="s">
        <v>31345</v>
      </c>
    </row>
    <row r="30913" spans="8:8">
      <c r="H30913" t="s">
        <v>31346</v>
      </c>
    </row>
    <row r="30914" spans="8:8">
      <c r="H30914" t="s">
        <v>31347</v>
      </c>
    </row>
    <row r="30915" spans="8:8">
      <c r="H30915" t="s">
        <v>31357</v>
      </c>
    </row>
    <row r="30916" spans="8:8">
      <c r="H30916" t="s">
        <v>31358</v>
      </c>
    </row>
    <row r="30917" spans="8:8">
      <c r="H30917" t="s">
        <v>31359</v>
      </c>
    </row>
    <row r="30918" spans="8:8">
      <c r="H30918" t="s">
        <v>30216</v>
      </c>
    </row>
    <row r="30919" spans="8:8">
      <c r="H30919" t="s">
        <v>31338</v>
      </c>
    </row>
    <row r="30920" spans="8:8">
      <c r="H30920" t="s">
        <v>31339</v>
      </c>
    </row>
    <row r="30921" spans="8:8">
      <c r="H30921" t="s">
        <v>31340</v>
      </c>
    </row>
    <row r="30922" spans="8:8">
      <c r="H30922" t="s">
        <v>31360</v>
      </c>
    </row>
    <row r="30923" spans="8:8">
      <c r="H30923" t="s">
        <v>31342</v>
      </c>
    </row>
    <row r="30924" spans="8:8">
      <c r="H30924" t="s">
        <v>31343</v>
      </c>
    </row>
    <row r="30925" spans="8:8">
      <c r="H30925" t="s">
        <v>31344</v>
      </c>
    </row>
    <row r="30926" spans="8:8">
      <c r="H30926" t="s">
        <v>31348</v>
      </c>
    </row>
    <row r="30927" spans="8:8">
      <c r="H30927" t="s">
        <v>31349</v>
      </c>
    </row>
    <row r="30928" spans="8:8">
      <c r="H30928" t="s">
        <v>31350</v>
      </c>
    </row>
    <row r="30929" spans="6:8">
      <c r="H30929" t="s">
        <v>31351</v>
      </c>
    </row>
    <row r="30930" spans="6:8">
      <c r="H30930" t="s">
        <v>30219</v>
      </c>
    </row>
    <row r="30931" spans="6:8">
      <c r="H30931" t="s">
        <v>30220</v>
      </c>
    </row>
    <row r="30932" spans="6:8">
      <c r="H30932" t="s">
        <v>31361</v>
      </c>
    </row>
    <row r="30933" spans="6:8">
      <c r="H30933" t="s">
        <v>30222</v>
      </c>
    </row>
    <row r="30934" spans="6:8">
      <c r="H30934" t="s">
        <v>30223</v>
      </c>
    </row>
    <row r="30935" spans="6:8">
      <c r="H30935" t="s">
        <v>31362</v>
      </c>
    </row>
    <row r="30936" spans="6:8">
      <c r="H30936" t="s">
        <v>30224</v>
      </c>
    </row>
    <row r="30937" spans="6:8">
      <c r="H30937" t="s">
        <v>31363</v>
      </c>
    </row>
    <row r="30938" spans="6:8">
      <c r="H30938" t="s">
        <v>30225</v>
      </c>
    </row>
    <row r="30939" spans="6:8">
      <c r="H30939" t="s">
        <v>31364</v>
      </c>
    </row>
    <row r="30940" spans="6:8">
      <c r="H30940" t="s">
        <v>30226</v>
      </c>
    </row>
    <row r="30941" spans="6:8">
      <c r="H30941" t="s">
        <v>26314</v>
      </c>
    </row>
    <row r="30942" spans="6:8">
      <c r="H30942" t="s">
        <v>30229</v>
      </c>
    </row>
    <row r="30943" spans="6:8">
      <c r="H30943" t="s">
        <v>30230</v>
      </c>
    </row>
    <row r="30944" spans="6:8">
      <c r="F30944" t="s">
        <v>13526</v>
      </c>
      <c r="G30944" t="s">
        <v>17641</v>
      </c>
      <c r="H30944" t="s">
        <v>18829</v>
      </c>
    </row>
    <row r="30945" spans="8:8">
      <c r="H30945" t="s">
        <v>19982</v>
      </c>
    </row>
    <row r="30946" spans="8:8">
      <c r="H30946" t="s">
        <v>31365</v>
      </c>
    </row>
    <row r="30947" spans="8:8">
      <c r="H30947" t="s">
        <v>31366</v>
      </c>
    </row>
    <row r="30948" spans="8:8">
      <c r="H30948" t="s">
        <v>31367</v>
      </c>
    </row>
    <row r="30949" spans="8:8">
      <c r="H30949" t="s">
        <v>31368</v>
      </c>
    </row>
    <row r="30950" spans="8:8">
      <c r="H30950" t="s">
        <v>30167</v>
      </c>
    </row>
    <row r="30951" spans="8:8">
      <c r="H30951" t="s">
        <v>30168</v>
      </c>
    </row>
    <row r="30952" spans="8:8">
      <c r="H30952" t="s">
        <v>30171</v>
      </c>
    </row>
    <row r="30953" spans="8:8">
      <c r="H30953" t="s">
        <v>30173</v>
      </c>
    </row>
    <row r="30954" spans="8:8">
      <c r="H30954" t="s">
        <v>30174</v>
      </c>
    </row>
    <row r="30955" spans="8:8">
      <c r="H30955" t="s">
        <v>30175</v>
      </c>
    </row>
    <row r="30956" spans="8:8">
      <c r="H30956" t="s">
        <v>30170</v>
      </c>
    </row>
    <row r="30957" spans="8:8">
      <c r="H30957" t="s">
        <v>30169</v>
      </c>
    </row>
    <row r="30958" spans="8:8">
      <c r="H30958" t="s">
        <v>31347</v>
      </c>
    </row>
    <row r="30959" spans="8:8">
      <c r="H30959" t="s">
        <v>30216</v>
      </c>
    </row>
    <row r="30960" spans="8:8">
      <c r="H30960" t="s">
        <v>31339</v>
      </c>
    </row>
    <row r="30961" spans="8:8">
      <c r="H30961" t="s">
        <v>31342</v>
      </c>
    </row>
    <row r="30962" spans="8:8">
      <c r="H30962" t="s">
        <v>31343</v>
      </c>
    </row>
    <row r="30963" spans="8:8">
      <c r="H30963" t="s">
        <v>31344</v>
      </c>
    </row>
    <row r="30964" spans="8:8">
      <c r="H30964" t="s">
        <v>31369</v>
      </c>
    </row>
    <row r="30965" spans="8:8">
      <c r="H30965" t="s">
        <v>30189</v>
      </c>
    </row>
    <row r="30966" spans="8:8">
      <c r="H30966" t="s">
        <v>30188</v>
      </c>
    </row>
    <row r="30967" spans="8:8">
      <c r="H30967" t="s">
        <v>30187</v>
      </c>
    </row>
    <row r="30968" spans="8:8">
      <c r="H30968" t="s">
        <v>30192</v>
      </c>
    </row>
    <row r="30969" spans="8:8">
      <c r="H30969" t="s">
        <v>30191</v>
      </c>
    </row>
    <row r="30970" spans="8:8">
      <c r="H30970" t="s">
        <v>30190</v>
      </c>
    </row>
    <row r="30971" spans="8:8">
      <c r="H30971" t="s">
        <v>31370</v>
      </c>
    </row>
    <row r="30972" spans="8:8">
      <c r="H30972" t="s">
        <v>30226</v>
      </c>
    </row>
    <row r="30973" spans="8:8">
      <c r="H30973" t="s">
        <v>31371</v>
      </c>
    </row>
    <row r="30974" spans="8:8">
      <c r="H30974" t="s">
        <v>18893</v>
      </c>
    </row>
    <row r="30975" spans="8:8">
      <c r="H30975" t="s">
        <v>30229</v>
      </c>
    </row>
    <row r="30976" spans="8:8">
      <c r="H30976" t="s">
        <v>31372</v>
      </c>
    </row>
    <row r="30977" spans="6:8">
      <c r="H30977" t="s">
        <v>31373</v>
      </c>
    </row>
    <row r="30978" spans="6:8">
      <c r="H30978" t="s">
        <v>31374</v>
      </c>
    </row>
    <row r="30979" spans="6:8">
      <c r="H30979" t="s">
        <v>31375</v>
      </c>
    </row>
    <row r="30980" spans="6:8">
      <c r="H30980" t="s">
        <v>31376</v>
      </c>
    </row>
    <row r="30981" spans="6:8">
      <c r="H30981" t="s">
        <v>31377</v>
      </c>
    </row>
    <row r="30982" spans="6:8">
      <c r="H30982" t="s">
        <v>31310</v>
      </c>
    </row>
    <row r="30983" spans="6:8">
      <c r="F30983" t="s">
        <v>13522</v>
      </c>
      <c r="G30983" t="s">
        <v>17637</v>
      </c>
      <c r="H30983" t="s">
        <v>31378</v>
      </c>
    </row>
    <row r="30984" spans="6:8">
      <c r="H30984" t="s">
        <v>31379</v>
      </c>
    </row>
    <row r="30985" spans="6:8">
      <c r="H30985" t="s">
        <v>19928</v>
      </c>
    </row>
    <row r="30986" spans="6:8">
      <c r="H30986" t="s">
        <v>30238</v>
      </c>
    </row>
    <row r="30987" spans="6:8">
      <c r="H30987" t="s">
        <v>27403</v>
      </c>
    </row>
    <row r="30988" spans="6:8">
      <c r="H30988" t="s">
        <v>31380</v>
      </c>
    </row>
    <row r="30989" spans="6:8">
      <c r="H30989" t="s">
        <v>31381</v>
      </c>
    </row>
    <row r="30990" spans="6:8">
      <c r="H30990" t="s">
        <v>19982</v>
      </c>
    </row>
    <row r="30991" spans="6:8">
      <c r="F30991" t="s">
        <v>13532</v>
      </c>
      <c r="G30991" t="s">
        <v>16863</v>
      </c>
      <c r="H30991" t="s">
        <v>31382</v>
      </c>
    </row>
    <row r="30992" spans="6:8">
      <c r="H30992" t="s">
        <v>31383</v>
      </c>
    </row>
    <row r="30993" spans="1:8">
      <c r="H30993" t="s">
        <v>31384</v>
      </c>
    </row>
    <row r="30994" spans="1:8">
      <c r="H30994" t="s">
        <v>31385</v>
      </c>
    </row>
    <row r="30995" spans="1:8">
      <c r="H30995" t="s">
        <v>31386</v>
      </c>
    </row>
    <row r="30996" spans="1:8">
      <c r="A30996" t="s">
        <v>2256</v>
      </c>
      <c r="B30996">
        <f>HYPERLINK("https://android.googlesource.com/platform/cts/+/0f0eb1d0c32602909949f863eb1f39f4b70808a0", "0f0eb1d0c32602909949f863eb1f39f4b70808a0")</f>
        <v>0</v>
      </c>
      <c r="C30996">
        <f>HYPERLINK("https://android.googlesource.com/platform/cts/+/11198a4acdd43f9495ab887e12e4658e99ef26db", "11198a4acdd43f9495ab887e12e4658e99ef26db")</f>
        <v>0</v>
      </c>
      <c r="D30996" t="s">
        <v>5195</v>
      </c>
      <c r="E30996" t="s">
        <v>7987</v>
      </c>
      <c r="F30996" t="s">
        <v>13737</v>
      </c>
      <c r="G30996" t="s">
        <v>17797</v>
      </c>
      <c r="H30996" t="s">
        <v>28365</v>
      </c>
    </row>
    <row r="30997" spans="1:8">
      <c r="A30997" t="s">
        <v>2257</v>
      </c>
      <c r="B30997">
        <f>HYPERLINK("https://android.googlesource.com/platform/cts/+/c58c564f9ef13f348d62fd06209fa2a78cc37f50", "c58c564f9ef13f348d62fd06209fa2a78cc37f50")</f>
        <v>0</v>
      </c>
      <c r="C30997">
        <f>HYPERLINK("https://android.googlesource.com/platform/cts/+/b08895e76207e13dbc8c77322919c21dcf35efd0", "b08895e76207e13dbc8c77322919c21dcf35efd0")</f>
        <v>0</v>
      </c>
      <c r="D30997" t="s">
        <v>4981</v>
      </c>
      <c r="E30997" t="s">
        <v>7988</v>
      </c>
      <c r="F30997" t="s">
        <v>12879</v>
      </c>
      <c r="G30997" t="s">
        <v>17046</v>
      </c>
      <c r="H30997" t="s">
        <v>31387</v>
      </c>
    </row>
    <row r="30998" spans="1:8">
      <c r="H30998" t="s">
        <v>31388</v>
      </c>
    </row>
    <row r="30999" spans="1:8">
      <c r="H30999" t="s">
        <v>31389</v>
      </c>
    </row>
    <row r="31000" spans="1:8">
      <c r="A31000" t="s">
        <v>2258</v>
      </c>
      <c r="B31000">
        <f>HYPERLINK("https://android.googlesource.com/platform/cts/+/c947633434292b6ead61d05a5eed27d6777b4832", "c947633434292b6ead61d05a5eed27d6777b4832")</f>
        <v>0</v>
      </c>
      <c r="C31000">
        <f>HYPERLINK("https://android.googlesource.com/platform/cts/+/96d991a29d632fec25559462ae9ac73a167b731b", "96d991a29d632fec25559462ae9ac73a167b731b")</f>
        <v>0</v>
      </c>
      <c r="D31000" t="s">
        <v>5344</v>
      </c>
      <c r="E31000" t="s">
        <v>7989</v>
      </c>
      <c r="F31000" t="s">
        <v>13421</v>
      </c>
      <c r="G31000" t="s">
        <v>17545</v>
      </c>
      <c r="H31000" t="s">
        <v>31390</v>
      </c>
    </row>
    <row r="31001" spans="1:8">
      <c r="A31001" t="s">
        <v>2259</v>
      </c>
      <c r="B31001">
        <f>HYPERLINK("https://android.googlesource.com/platform/cts/+/bfa75695220dbd0c67e0abf492b1e2496a5cc0d6", "bfa75695220dbd0c67e0abf492b1e2496a5cc0d6")</f>
        <v>0</v>
      </c>
      <c r="C31001">
        <f>HYPERLINK("https://android.googlesource.com/platform/cts/+/f19f669a6d21f20b6498beff6fb6c91b38767b18", "f19f669a6d21f20b6498beff6fb6c91b38767b18")</f>
        <v>0</v>
      </c>
      <c r="D31001" t="s">
        <v>5040</v>
      </c>
      <c r="E31001" t="s">
        <v>7990</v>
      </c>
      <c r="F31001" t="s">
        <v>13738</v>
      </c>
      <c r="G31001" t="s">
        <v>17798</v>
      </c>
      <c r="H31001" t="s">
        <v>31391</v>
      </c>
    </row>
    <row r="31002" spans="1:8">
      <c r="H31002" t="s">
        <v>31392</v>
      </c>
    </row>
    <row r="31003" spans="1:8">
      <c r="H31003" t="s">
        <v>31393</v>
      </c>
    </row>
    <row r="31004" spans="1:8">
      <c r="H31004" t="s">
        <v>31394</v>
      </c>
    </row>
    <row r="31005" spans="1:8">
      <c r="H31005" t="s">
        <v>31395</v>
      </c>
    </row>
    <row r="31006" spans="1:8">
      <c r="A31006" t="s">
        <v>2260</v>
      </c>
      <c r="B31006">
        <f>HYPERLINK("https://android.googlesource.com/platform/cts/+/fb8f490ffa73a100503deb7ebd256c25eef7a586", "fb8f490ffa73a100503deb7ebd256c25eef7a586")</f>
        <v>0</v>
      </c>
      <c r="C31006">
        <f>HYPERLINK("https://android.googlesource.com/platform/cts/+/217b3366e5ce774a9977a6b7a0050fe8e8a34ff9", "217b3366e5ce774a9977a6b7a0050fe8e8a34ff9")</f>
        <v>0</v>
      </c>
      <c r="D31006" t="s">
        <v>5120</v>
      </c>
      <c r="E31006" t="s">
        <v>7991</v>
      </c>
      <c r="F31006" t="s">
        <v>13739</v>
      </c>
      <c r="G31006" t="s">
        <v>17799</v>
      </c>
      <c r="H31006" t="s">
        <v>31396</v>
      </c>
    </row>
    <row r="31007" spans="1:8">
      <c r="H31007" t="s">
        <v>31397</v>
      </c>
    </row>
    <row r="31008" spans="1:8">
      <c r="H31008" t="s">
        <v>31398</v>
      </c>
    </row>
    <row r="31009" spans="1:8">
      <c r="H31009" t="s">
        <v>31399</v>
      </c>
    </row>
    <row r="31010" spans="1:8">
      <c r="H31010" t="s">
        <v>31400</v>
      </c>
    </row>
    <row r="31011" spans="1:8">
      <c r="F31011" t="s">
        <v>13740</v>
      </c>
      <c r="G31011" t="s">
        <v>17800</v>
      </c>
      <c r="H31011" t="s">
        <v>31401</v>
      </c>
    </row>
    <row r="31012" spans="1:8">
      <c r="H31012" t="s">
        <v>31402</v>
      </c>
    </row>
    <row r="31013" spans="1:8">
      <c r="H31013" t="s">
        <v>31403</v>
      </c>
    </row>
    <row r="31014" spans="1:8">
      <c r="H31014" t="s">
        <v>27195</v>
      </c>
    </row>
    <row r="31015" spans="1:8">
      <c r="H31015" t="s">
        <v>25704</v>
      </c>
    </row>
    <row r="31016" spans="1:8">
      <c r="H31016" t="s">
        <v>31404</v>
      </c>
    </row>
    <row r="31017" spans="1:8">
      <c r="H31017" t="s">
        <v>31405</v>
      </c>
    </row>
    <row r="31018" spans="1:8">
      <c r="H31018" t="s">
        <v>31406</v>
      </c>
    </row>
    <row r="31019" spans="1:8">
      <c r="H31019" t="s">
        <v>31407</v>
      </c>
    </row>
    <row r="31020" spans="1:8">
      <c r="H31020" t="s">
        <v>31408</v>
      </c>
    </row>
    <row r="31021" spans="1:8">
      <c r="A31021" t="s">
        <v>2261</v>
      </c>
      <c r="B31021">
        <f>HYPERLINK("https://android.googlesource.com/platform/cts/+/c43e9230fe4e25cae6e75f5f988a3031342b2985", "c43e9230fe4e25cae6e75f5f988a3031342b2985")</f>
        <v>0</v>
      </c>
      <c r="C31021">
        <f>HYPERLINK("https://android.googlesource.com/platform/cts/+/040243712635014fc5e65c434e918a6b6394031b", "040243712635014fc5e65c434e918a6b6394031b")</f>
        <v>0</v>
      </c>
      <c r="D31021" t="s">
        <v>5349</v>
      </c>
      <c r="E31021" t="s">
        <v>7992</v>
      </c>
      <c r="F31021" t="s">
        <v>12710</v>
      </c>
      <c r="G31021" t="s">
        <v>16911</v>
      </c>
      <c r="H31021" t="s">
        <v>31253</v>
      </c>
    </row>
    <row r="31022" spans="1:8">
      <c r="A31022" t="s">
        <v>2263</v>
      </c>
      <c r="B31022">
        <f>HYPERLINK("https://android.googlesource.com/platform/cts/+/44e386287d9ea41fd0352a8919ba3813e5a58e81", "44e386287d9ea41fd0352a8919ba3813e5a58e81")</f>
        <v>0</v>
      </c>
      <c r="C31022">
        <f>HYPERLINK("https://android.googlesource.com/platform/cts/+/78edddc2f41df327df4d1a6dc158ebf114fcc5eb", "78edddc2f41df327df4d1a6dc158ebf114fcc5eb")</f>
        <v>0</v>
      </c>
      <c r="D31022" t="s">
        <v>5018</v>
      </c>
      <c r="E31022" t="s">
        <v>7993</v>
      </c>
      <c r="F31022" t="s">
        <v>13741</v>
      </c>
      <c r="G31022" t="s">
        <v>17801</v>
      </c>
      <c r="H31022" t="s">
        <v>18829</v>
      </c>
    </row>
    <row r="31023" spans="1:8">
      <c r="F31023" t="s">
        <v>13159</v>
      </c>
      <c r="G31023" t="s">
        <v>17310</v>
      </c>
      <c r="H31023" t="s">
        <v>18829</v>
      </c>
    </row>
    <row r="31024" spans="1:8">
      <c r="A31024" t="s">
        <v>2264</v>
      </c>
      <c r="B31024">
        <f>HYPERLINK("https://android.googlesource.com/platform/cts/+/359e2f06ed6cbe3ec141f28b5fdff2ecb7b01376", "359e2f06ed6cbe3ec141f28b5fdff2ecb7b01376")</f>
        <v>0</v>
      </c>
      <c r="C31024">
        <f>HYPERLINK("https://android.googlesource.com/platform/cts/+/755637953cb7e520cecba55c27a5770602a6f1ec", "755637953cb7e520cecba55c27a5770602a6f1ec")</f>
        <v>0</v>
      </c>
      <c r="D31024" t="s">
        <v>4965</v>
      </c>
      <c r="E31024" t="s">
        <v>7994</v>
      </c>
      <c r="F31024" t="s">
        <v>12618</v>
      </c>
      <c r="G31024" t="s">
        <v>16828</v>
      </c>
      <c r="H31024" t="s">
        <v>20244</v>
      </c>
    </row>
    <row r="31025" spans="1:8">
      <c r="A31025" t="s">
        <v>2265</v>
      </c>
      <c r="B31025">
        <f>HYPERLINK("https://android.googlesource.com/platform/cts/+/3d767954223926868366c9e632bea4bf45c93a94", "3d767954223926868366c9e632bea4bf45c93a94")</f>
        <v>0</v>
      </c>
      <c r="C31025">
        <f>HYPERLINK("https://android.googlesource.com/platform/cts/+/f4a1c6dd44428e2369cab68df56fae482aa23e10", "f4a1c6dd44428e2369cab68df56fae482aa23e10")</f>
        <v>0</v>
      </c>
      <c r="D31025" t="s">
        <v>4981</v>
      </c>
      <c r="E31025" t="s">
        <v>7995</v>
      </c>
      <c r="F31025" t="s">
        <v>13742</v>
      </c>
      <c r="G31025" t="s">
        <v>17802</v>
      </c>
      <c r="H31025" t="s">
        <v>31409</v>
      </c>
    </row>
    <row r="31026" spans="1:8">
      <c r="F31026" t="s">
        <v>13743</v>
      </c>
      <c r="G31026" t="s">
        <v>17803</v>
      </c>
      <c r="H31026" t="s">
        <v>31410</v>
      </c>
    </row>
    <row r="31027" spans="1:8">
      <c r="F31027" t="s">
        <v>13744</v>
      </c>
      <c r="G31027" t="s">
        <v>17804</v>
      </c>
      <c r="H31027" t="s">
        <v>31411</v>
      </c>
    </row>
    <row r="31028" spans="1:8">
      <c r="F31028" t="s">
        <v>13745</v>
      </c>
      <c r="G31028" t="s">
        <v>17805</v>
      </c>
      <c r="H31028" t="s">
        <v>31412</v>
      </c>
    </row>
    <row r="31029" spans="1:8">
      <c r="A31029" t="s">
        <v>2266</v>
      </c>
      <c r="B31029">
        <f>HYPERLINK("https://android.googlesource.com/platform/cts/+/5cad7c9e2f47561f02368d6029a349952641cf7a", "5cad7c9e2f47561f02368d6029a349952641cf7a")</f>
        <v>0</v>
      </c>
      <c r="C31029">
        <f>HYPERLINK("https://android.googlesource.com/platform/cts/+/d4cc5fd5b2bc7eb3b17bef3d34a28c717bf61c6d", "d4cc5fd5b2bc7eb3b17bef3d34a28c717bf61c6d")</f>
        <v>0</v>
      </c>
      <c r="D31029" t="s">
        <v>5134</v>
      </c>
      <c r="E31029" t="s">
        <v>7996</v>
      </c>
      <c r="F31029" t="s">
        <v>13746</v>
      </c>
      <c r="G31029" t="s">
        <v>17806</v>
      </c>
      <c r="H31029" t="s">
        <v>31413</v>
      </c>
    </row>
    <row r="31030" spans="1:8">
      <c r="H31030" t="s">
        <v>31414</v>
      </c>
    </row>
    <row r="31031" spans="1:8">
      <c r="H31031" t="s">
        <v>31415</v>
      </c>
    </row>
    <row r="31032" spans="1:8">
      <c r="A31032" t="s">
        <v>2267</v>
      </c>
      <c r="B31032">
        <f>HYPERLINK("https://android.googlesource.com/platform/cts/+/e9dcebaa79ba68e79386bd26a50b5fd80b44b128", "e9dcebaa79ba68e79386bd26a50b5fd80b44b128")</f>
        <v>0</v>
      </c>
      <c r="C31032">
        <f>HYPERLINK("https://android.googlesource.com/platform/cts/+/075556b827c47c475db6d6dced9100d9d6349deb", "075556b827c47c475db6d6dced9100d9d6349deb")</f>
        <v>0</v>
      </c>
      <c r="D31032" t="s">
        <v>5349</v>
      </c>
      <c r="E31032" t="s">
        <v>7997</v>
      </c>
      <c r="F31032" t="s">
        <v>12710</v>
      </c>
      <c r="G31032" t="s">
        <v>16911</v>
      </c>
      <c r="H31032" t="s">
        <v>31252</v>
      </c>
    </row>
    <row r="31033" spans="1:8">
      <c r="A31033" t="s">
        <v>2269</v>
      </c>
      <c r="B31033">
        <f>HYPERLINK("https://android.googlesource.com/platform/cts/+/40495120a03a113bed24556da01d386d5557e81b", "40495120a03a113bed24556da01d386d5557e81b")</f>
        <v>0</v>
      </c>
      <c r="C31033">
        <f>HYPERLINK("https://android.googlesource.com/platform/cts/+/53797c14fde6a4002927e06f77ad28441f1f1dd6", "53797c14fde6a4002927e06f77ad28441f1f1dd6")</f>
        <v>0</v>
      </c>
      <c r="D31033" t="s">
        <v>5349</v>
      </c>
      <c r="E31033" t="s">
        <v>7998</v>
      </c>
      <c r="F31033" t="s">
        <v>12710</v>
      </c>
      <c r="G31033" t="s">
        <v>16911</v>
      </c>
      <c r="H31033" t="s">
        <v>31416</v>
      </c>
    </row>
    <row r="31034" spans="1:8">
      <c r="A31034" t="s">
        <v>2270</v>
      </c>
      <c r="B31034">
        <f>HYPERLINK("https://android.googlesource.com/platform/cts/+/109335e29bd3883a5b85876fbc2a0dfa37c5074c", "109335e29bd3883a5b85876fbc2a0dfa37c5074c")</f>
        <v>0</v>
      </c>
      <c r="C31034">
        <f>HYPERLINK("https://android.googlesource.com/platform/cts/+/2dce3c9b9dec3e664403f3c2486a72b561f59e38", "2dce3c9b9dec3e664403f3c2486a72b561f59e38")</f>
        <v>0</v>
      </c>
      <c r="D31034" t="s">
        <v>5059</v>
      </c>
      <c r="E31034" t="s">
        <v>7999</v>
      </c>
      <c r="F31034" t="s">
        <v>10744</v>
      </c>
      <c r="G31034" t="s">
        <v>15143</v>
      </c>
      <c r="H31034" t="s">
        <v>31417</v>
      </c>
    </row>
    <row r="31035" spans="1:8">
      <c r="H31035" t="s">
        <v>31418</v>
      </c>
    </row>
    <row r="31036" spans="1:8">
      <c r="A31036" t="s">
        <v>2271</v>
      </c>
      <c r="B31036">
        <f>HYPERLINK("https://android.googlesource.com/platform/cts/+/006cd531323ac0a0f81097968683585a87b7e289", "006cd531323ac0a0f81097968683585a87b7e289")</f>
        <v>0</v>
      </c>
      <c r="C31036">
        <f>HYPERLINK("https://android.googlesource.com/platform/cts/+/53bf11f1f143d557dcb2618eb126fddde9315a14", "53bf11f1f143d557dcb2618eb126fddde9315a14")</f>
        <v>0</v>
      </c>
      <c r="D31036" t="s">
        <v>4981</v>
      </c>
      <c r="E31036" t="s">
        <v>8000</v>
      </c>
      <c r="F31036" t="s">
        <v>13747</v>
      </c>
      <c r="G31036" t="s">
        <v>17807</v>
      </c>
      <c r="H31036" t="s">
        <v>18863</v>
      </c>
    </row>
    <row r="31037" spans="1:8">
      <c r="F31037" t="s">
        <v>13748</v>
      </c>
      <c r="G31037" t="s">
        <v>17808</v>
      </c>
      <c r="H31037" t="s">
        <v>31419</v>
      </c>
    </row>
    <row r="31038" spans="1:8">
      <c r="H31038" t="s">
        <v>31420</v>
      </c>
    </row>
    <row r="31039" spans="1:8">
      <c r="H31039" t="s">
        <v>30502</v>
      </c>
    </row>
    <row r="31040" spans="1:8">
      <c r="A31040" t="s">
        <v>2272</v>
      </c>
      <c r="B31040">
        <f>HYPERLINK("https://android.googlesource.com/platform/cts/+/69574198398c9bd6b5e21cb1b6a6864fa6c02e0f", "69574198398c9bd6b5e21cb1b6a6864fa6c02e0f")</f>
        <v>0</v>
      </c>
      <c r="C31040">
        <f>HYPERLINK("https://android.googlesource.com/platform/cts/+/006cd531323ac0a0f81097968683585a87b7e289", "006cd531323ac0a0f81097968683585a87b7e289")</f>
        <v>0</v>
      </c>
      <c r="D31040" t="s">
        <v>4981</v>
      </c>
      <c r="E31040" t="s">
        <v>8001</v>
      </c>
      <c r="F31040" t="s">
        <v>13333</v>
      </c>
      <c r="G31040" t="s">
        <v>17463</v>
      </c>
      <c r="H31040" t="s">
        <v>31421</v>
      </c>
    </row>
    <row r="31041" spans="1:8">
      <c r="A31041" t="s">
        <v>2273</v>
      </c>
      <c r="B31041">
        <f>HYPERLINK("https://android.googlesource.com/platform/cts/+/5fd4c3970fb386b0e753dcee4c5d742476e71788", "5fd4c3970fb386b0e753dcee4c5d742476e71788")</f>
        <v>0</v>
      </c>
      <c r="C31041">
        <f>HYPERLINK("https://android.googlesource.com/platform/cts/+/437f4c508dc8292f1d835649393ab073ea634b9e", "437f4c508dc8292f1d835649393ab073ea634b9e")</f>
        <v>0</v>
      </c>
      <c r="D31041" t="s">
        <v>5366</v>
      </c>
      <c r="E31041" t="s">
        <v>8002</v>
      </c>
      <c r="F31041" t="s">
        <v>13749</v>
      </c>
      <c r="G31041" t="s">
        <v>17809</v>
      </c>
      <c r="H31041" t="s">
        <v>31422</v>
      </c>
    </row>
    <row r="31042" spans="1:8">
      <c r="H31042" t="s">
        <v>31423</v>
      </c>
    </row>
    <row r="31043" spans="1:8">
      <c r="H31043" t="s">
        <v>31424</v>
      </c>
    </row>
    <row r="31044" spans="1:8">
      <c r="F31044" t="s">
        <v>13750</v>
      </c>
      <c r="G31044" t="s">
        <v>17810</v>
      </c>
      <c r="H31044" t="s">
        <v>31425</v>
      </c>
    </row>
    <row r="31045" spans="1:8">
      <c r="H31045" t="s">
        <v>31426</v>
      </c>
    </row>
    <row r="31046" spans="1:8">
      <c r="H31046" t="s">
        <v>31427</v>
      </c>
    </row>
    <row r="31047" spans="1:8">
      <c r="H31047" t="s">
        <v>18829</v>
      </c>
    </row>
    <row r="31048" spans="1:8">
      <c r="H31048" t="s">
        <v>31423</v>
      </c>
    </row>
    <row r="31049" spans="1:8">
      <c r="H31049" t="s">
        <v>31424</v>
      </c>
    </row>
    <row r="31050" spans="1:8">
      <c r="A31050" t="s">
        <v>2274</v>
      </c>
      <c r="B31050">
        <f>HYPERLINK("https://android.googlesource.com/platform/cts/+/a16afd3dae0a8ae24de4a585ada8cec3c7816635", "a16afd3dae0a8ae24de4a585ada8cec3c7816635")</f>
        <v>0</v>
      </c>
      <c r="C31050">
        <f>HYPERLINK("https://android.googlesource.com/platform/cts/+/ac8c5e9ba9dcf9022a38b75f7bc812582b652e64", "ac8c5e9ba9dcf9022a38b75f7bc812582b652e64")</f>
        <v>0</v>
      </c>
      <c r="D31050" t="s">
        <v>5349</v>
      </c>
      <c r="E31050" t="s">
        <v>8003</v>
      </c>
      <c r="F31050" t="s">
        <v>12710</v>
      </c>
      <c r="G31050" t="s">
        <v>16911</v>
      </c>
      <c r="H31050" t="s">
        <v>29656</v>
      </c>
    </row>
    <row r="31051" spans="1:8">
      <c r="A31051" t="s">
        <v>2275</v>
      </c>
      <c r="B31051">
        <f>HYPERLINK("https://android.googlesource.com/platform/cts/+/6ca6442a18d645ceb2889f3e06eda6c9c41c76ef", "6ca6442a18d645ceb2889f3e06eda6c9c41c76ef")</f>
        <v>0</v>
      </c>
      <c r="C31051">
        <f>HYPERLINK("https://android.googlesource.com/platform/cts/+/b039c8494e91029faa9d6757a5231584dc596e15", "b039c8494e91029faa9d6757a5231584dc596e15")</f>
        <v>0</v>
      </c>
      <c r="D31051" t="s">
        <v>5349</v>
      </c>
      <c r="E31051" t="s">
        <v>8004</v>
      </c>
      <c r="F31051" t="s">
        <v>12710</v>
      </c>
      <c r="G31051" t="s">
        <v>16911</v>
      </c>
      <c r="H31051" t="s">
        <v>31289</v>
      </c>
    </row>
    <row r="31052" spans="1:8">
      <c r="A31052" t="s">
        <v>2277</v>
      </c>
      <c r="B31052">
        <f>HYPERLINK("https://android.googlesource.com/platform/cts/+/1e64a7934450141853cfe5be77127dde510a9789", "1e64a7934450141853cfe5be77127dde510a9789")</f>
        <v>0</v>
      </c>
      <c r="C31052">
        <f>HYPERLINK("https://android.googlesource.com/platform/cts/+/d01a835059849c5f91b8c1ad7fe1d7d121a8089f", "d01a835059849c5f91b8c1ad7fe1d7d121a8089f")</f>
        <v>0</v>
      </c>
      <c r="D31052" t="s">
        <v>5134</v>
      </c>
      <c r="E31052" t="s">
        <v>8006</v>
      </c>
      <c r="F31052" t="s">
        <v>13746</v>
      </c>
      <c r="G31052" t="s">
        <v>17806</v>
      </c>
      <c r="H31052" t="s">
        <v>31428</v>
      </c>
    </row>
    <row r="31053" spans="1:8">
      <c r="H31053" t="s">
        <v>26552</v>
      </c>
    </row>
    <row r="31054" spans="1:8">
      <c r="F31054" t="s">
        <v>13751</v>
      </c>
      <c r="G31054" t="s">
        <v>17811</v>
      </c>
      <c r="H31054" t="s">
        <v>19721</v>
      </c>
    </row>
    <row r="31055" spans="1:8">
      <c r="H31055" t="s">
        <v>31429</v>
      </c>
    </row>
    <row r="31056" spans="1:8">
      <c r="A31056" t="s">
        <v>2278</v>
      </c>
      <c r="B31056">
        <f>HYPERLINK("https://android.googlesource.com/platform/cts/+/023d5d6f228bbb3e990f717e64b082c792aa087c", "023d5d6f228bbb3e990f717e64b082c792aa087c")</f>
        <v>0</v>
      </c>
      <c r="C31056">
        <f>HYPERLINK("https://android.googlesource.com/platform/cts/+/68d2bddce9c3fe197fa3c48e2dad50412566174a", "68d2bddce9c3fe197fa3c48e2dad50412566174a")</f>
        <v>0</v>
      </c>
      <c r="D31056" t="s">
        <v>5314</v>
      </c>
      <c r="E31056" t="s">
        <v>8007</v>
      </c>
      <c r="F31056" t="s">
        <v>13752</v>
      </c>
      <c r="G31056" t="s">
        <v>17812</v>
      </c>
      <c r="H31056" t="s">
        <v>31430</v>
      </c>
    </row>
    <row r="31057" spans="1:8">
      <c r="A31057" t="s">
        <v>2279</v>
      </c>
      <c r="B31057">
        <f>HYPERLINK("https://android.googlesource.com/platform/cts/+/c8c9ddc1d53889c777ac77f2155d6ff1d646cc97", "c8c9ddc1d53889c777ac77f2155d6ff1d646cc97")</f>
        <v>0</v>
      </c>
      <c r="C31057">
        <f>HYPERLINK("https://android.googlesource.com/platform/cts/+/8ce8bacf87e1b6acaca9663f80d3cb3de87be1ba", "8ce8bacf87e1b6acaca9663f80d3cb3de87be1ba")</f>
        <v>0</v>
      </c>
      <c r="D31057" t="s">
        <v>5349</v>
      </c>
      <c r="E31057" t="s">
        <v>8008</v>
      </c>
      <c r="F31057" t="s">
        <v>12710</v>
      </c>
      <c r="G31057" t="s">
        <v>16911</v>
      </c>
      <c r="H31057" t="s">
        <v>31289</v>
      </c>
    </row>
    <row r="31058" spans="1:8">
      <c r="A31058" t="s">
        <v>2280</v>
      </c>
      <c r="B31058">
        <f>HYPERLINK("https://android.googlesource.com/platform/cts/+/4f6721eccec8f51c8ec4555d310509f4570ba3b8", "4f6721eccec8f51c8ec4555d310509f4570ba3b8")</f>
        <v>0</v>
      </c>
      <c r="C31058">
        <f>HYPERLINK("https://android.googlesource.com/platform/cts/+/08434c07d24ad5f27d9d49476b1c2f97a2d1a62f", "08434c07d24ad5f27d9d49476b1c2f97a2d1a62f")</f>
        <v>0</v>
      </c>
      <c r="D31058" t="s">
        <v>5349</v>
      </c>
      <c r="E31058" t="s">
        <v>8009</v>
      </c>
      <c r="F31058" t="s">
        <v>12710</v>
      </c>
      <c r="G31058" t="s">
        <v>16911</v>
      </c>
      <c r="H31058" t="s">
        <v>29656</v>
      </c>
    </row>
    <row r="31059" spans="1:8">
      <c r="A31059" t="s">
        <v>2281</v>
      </c>
      <c r="B31059">
        <f>HYPERLINK("https://android.googlesource.com/platform/cts/+/3b108de29b1de33d1a02dd4d9f225df8e82f7260", "3b108de29b1de33d1a02dd4d9f225df8e82f7260")</f>
        <v>0</v>
      </c>
      <c r="C31059">
        <f>HYPERLINK("https://android.googlesource.com/platform/cts/+/1c5495adbfee486fd9b2d3c848f7d606bb696e0f", "1c5495adbfee486fd9b2d3c848f7d606bb696e0f")</f>
        <v>0</v>
      </c>
      <c r="D31059" t="s">
        <v>5349</v>
      </c>
      <c r="E31059" t="s">
        <v>8010</v>
      </c>
      <c r="F31059" t="s">
        <v>12710</v>
      </c>
      <c r="G31059" t="s">
        <v>16911</v>
      </c>
      <c r="H31059" t="s">
        <v>29656</v>
      </c>
    </row>
    <row r="31060" spans="1:8">
      <c r="A31060" t="s">
        <v>2282</v>
      </c>
      <c r="B31060">
        <f>HYPERLINK("https://android.googlesource.com/platform/cts/+/e968773305189d061c109c56f68d8350bad674d2", "e968773305189d061c109c56f68d8350bad674d2")</f>
        <v>0</v>
      </c>
      <c r="C31060">
        <f>HYPERLINK("https://android.googlesource.com/platform/cts/+/7a05d9c798ffdfa6c72e635a76e2e7791fa63825", "7a05d9c798ffdfa6c72e635a76e2e7791fa63825")</f>
        <v>0</v>
      </c>
      <c r="D31060" t="s">
        <v>5366</v>
      </c>
      <c r="E31060" t="s">
        <v>8011</v>
      </c>
      <c r="F31060" t="s">
        <v>13753</v>
      </c>
      <c r="G31060" t="s">
        <v>17813</v>
      </c>
      <c r="H31060" t="s">
        <v>31431</v>
      </c>
    </row>
    <row r="31061" spans="1:8">
      <c r="H31061" t="s">
        <v>31432</v>
      </c>
    </row>
    <row r="31062" spans="1:8">
      <c r="H31062" t="s">
        <v>31425</v>
      </c>
    </row>
    <row r="31063" spans="1:8">
      <c r="H31063" t="s">
        <v>21323</v>
      </c>
    </row>
    <row r="31064" spans="1:8">
      <c r="H31064" t="s">
        <v>31433</v>
      </c>
    </row>
    <row r="31065" spans="1:8">
      <c r="A31065" t="s">
        <v>2283</v>
      </c>
      <c r="B31065">
        <f>HYPERLINK("https://android.googlesource.com/platform/cts/+/e4140b01c65a28655766124813c880460729d56f", "e4140b01c65a28655766124813c880460729d56f")</f>
        <v>0</v>
      </c>
      <c r="C31065">
        <f>HYPERLINK("https://android.googlesource.com/platform/cts/+/a41f813eacf3c9accbf00fc195a81f3d662da7d7", "a41f813eacf3c9accbf00fc195a81f3d662da7d7")</f>
        <v>0</v>
      </c>
      <c r="D31065" t="s">
        <v>5349</v>
      </c>
      <c r="E31065" t="s">
        <v>8012</v>
      </c>
      <c r="F31065" t="s">
        <v>12710</v>
      </c>
      <c r="G31065" t="s">
        <v>16911</v>
      </c>
      <c r="H31065" t="s">
        <v>29656</v>
      </c>
    </row>
    <row r="31066" spans="1:8">
      <c r="A31066" t="s">
        <v>2284</v>
      </c>
      <c r="B31066">
        <f>HYPERLINK("https://android.googlesource.com/platform/cts/+/099f5fcbf37eee9bdf0f102e5cf8c474301165dc", "099f5fcbf37eee9bdf0f102e5cf8c474301165dc")</f>
        <v>0</v>
      </c>
      <c r="C31066">
        <f>HYPERLINK("https://android.googlesource.com/platform/cts/+/d09fdd24dee8949d0a936bc9abdafcf09384c81c", "d09fdd24dee8949d0a936bc9abdafcf09384c81c")</f>
        <v>0</v>
      </c>
      <c r="D31066" t="s">
        <v>5122</v>
      </c>
      <c r="E31066" t="s">
        <v>8013</v>
      </c>
      <c r="F31066" t="s">
        <v>13754</v>
      </c>
      <c r="G31066" t="s">
        <v>17814</v>
      </c>
      <c r="H31066" t="s">
        <v>31434</v>
      </c>
    </row>
    <row r="31067" spans="1:8">
      <c r="H31067" t="s">
        <v>31435</v>
      </c>
    </row>
    <row r="31068" spans="1:8">
      <c r="A31068" t="s">
        <v>2285</v>
      </c>
      <c r="B31068">
        <f>HYPERLINK("https://android.googlesource.com/platform/cts/+/b43a49f77e7bc4f99bb735ac3330f089c18997b1", "b43a49f77e7bc4f99bb735ac3330f089c18997b1")</f>
        <v>0</v>
      </c>
      <c r="C31068">
        <f>HYPERLINK("https://android.googlesource.com/platform/cts/+/de05ffeb8e9a75bb893f62e06c4ffff83b989196", "de05ffeb8e9a75bb893f62e06c4ffff83b989196")</f>
        <v>0</v>
      </c>
      <c r="D31068" t="s">
        <v>5040</v>
      </c>
      <c r="E31068" t="s">
        <v>8014</v>
      </c>
      <c r="F31068" t="s">
        <v>13738</v>
      </c>
      <c r="G31068" t="s">
        <v>17798</v>
      </c>
      <c r="H31068" t="s">
        <v>31436</v>
      </c>
    </row>
    <row r="31069" spans="1:8">
      <c r="A31069" t="s">
        <v>2286</v>
      </c>
      <c r="B31069">
        <f>HYPERLINK("https://android.googlesource.com/platform/cts/+/e924442d39bdc736351354f559c75ac67a89d5e7", "e924442d39bdc736351354f559c75ac67a89d5e7")</f>
        <v>0</v>
      </c>
      <c r="C31069">
        <f>HYPERLINK("https://android.googlesource.com/platform/cts/+/eae4ccc82d523cde3536d6ff6f2ff7adeab044ee", "eae4ccc82d523cde3536d6ff6f2ff7adeab044ee")</f>
        <v>0</v>
      </c>
      <c r="D31069" t="s">
        <v>5172</v>
      </c>
      <c r="E31069" t="s">
        <v>8015</v>
      </c>
      <c r="F31069" t="s">
        <v>13755</v>
      </c>
      <c r="G31069" t="s">
        <v>17815</v>
      </c>
      <c r="H31069" t="s">
        <v>31437</v>
      </c>
    </row>
    <row r="31070" spans="1:8">
      <c r="A31070" t="s">
        <v>2287</v>
      </c>
      <c r="B31070">
        <f>HYPERLINK("https://android.googlesource.com/platform/cts/+/d08b08429e6728a19159d270095a1320c193aff8", "d08b08429e6728a19159d270095a1320c193aff8")</f>
        <v>0</v>
      </c>
      <c r="C31070">
        <f>HYPERLINK("https://android.googlesource.com/platform/cts/+/fe7e8a8456f719b433a94af967f17eb7e27517fd", "fe7e8a8456f719b433a94af967f17eb7e27517fd")</f>
        <v>0</v>
      </c>
      <c r="D31070" t="s">
        <v>5117</v>
      </c>
      <c r="E31070" t="s">
        <v>8016</v>
      </c>
      <c r="F31070" t="s">
        <v>13332</v>
      </c>
      <c r="G31070" t="s">
        <v>17462</v>
      </c>
      <c r="H31070" t="s">
        <v>31438</v>
      </c>
    </row>
    <row r="31071" spans="1:8">
      <c r="H31071" t="s">
        <v>29719</v>
      </c>
    </row>
    <row r="31072" spans="1:8">
      <c r="A31072" t="s">
        <v>2288</v>
      </c>
      <c r="B31072">
        <f>HYPERLINK("https://android.googlesource.com/platform/cts/+/525e805fe88c7bb2a65a9996248bd01df4f06675", "525e805fe88c7bb2a65a9996248bd01df4f06675")</f>
        <v>0</v>
      </c>
      <c r="C31072">
        <f>HYPERLINK("https://android.googlesource.com/platform/cts/+/a2924ae70c67eee999af6612d2a230fb36f187c7", "a2924ae70c67eee999af6612d2a230fb36f187c7")</f>
        <v>0</v>
      </c>
      <c r="D31072" t="s">
        <v>5134</v>
      </c>
      <c r="E31072" t="s">
        <v>8017</v>
      </c>
      <c r="F31072" t="s">
        <v>13746</v>
      </c>
      <c r="G31072" t="s">
        <v>17806</v>
      </c>
      <c r="H31072" t="s">
        <v>31439</v>
      </c>
    </row>
    <row r="31073" spans="1:8">
      <c r="A31073" t="s">
        <v>2288</v>
      </c>
      <c r="B31073">
        <f>HYPERLINK("https://android.googlesource.com/platform/cts/+/549f4c7218f50a43223852cff3b29af328ac1e74", "549f4c7218f50a43223852cff3b29af328ac1e74")</f>
        <v>0</v>
      </c>
      <c r="C31073">
        <f>HYPERLINK("https://android.googlesource.com/platform/cts/+/525e805fe88c7bb2a65a9996248bd01df4f06675", "525e805fe88c7bb2a65a9996248bd01df4f06675")</f>
        <v>0</v>
      </c>
      <c r="D31073" t="s">
        <v>5134</v>
      </c>
      <c r="E31073" t="s">
        <v>8018</v>
      </c>
      <c r="F31073" t="s">
        <v>13756</v>
      </c>
      <c r="G31073" t="s">
        <v>17371</v>
      </c>
      <c r="H31073" t="s">
        <v>31429</v>
      </c>
    </row>
    <row r="31074" spans="1:8">
      <c r="A31074" t="s">
        <v>2289</v>
      </c>
      <c r="B31074">
        <f>HYPERLINK("https://android.googlesource.com/platform/cts/+/9f78bd64e4c96a12829d76b52a99721275108309", "9f78bd64e4c96a12829d76b52a99721275108309")</f>
        <v>0</v>
      </c>
      <c r="C31074">
        <f>HYPERLINK("https://android.googlesource.com/platform/cts/+/d583251e2cfbab0a45a962391e25b90788c106c6", "d583251e2cfbab0a45a962391e25b90788c106c6")</f>
        <v>0</v>
      </c>
      <c r="D31074" t="s">
        <v>5118</v>
      </c>
      <c r="E31074" t="s">
        <v>8019</v>
      </c>
      <c r="F31074" t="s">
        <v>13165</v>
      </c>
      <c r="G31074" t="s">
        <v>17315</v>
      </c>
      <c r="H31074" t="s">
        <v>30899</v>
      </c>
    </row>
    <row r="31075" spans="1:8">
      <c r="A31075" t="s">
        <v>2290</v>
      </c>
      <c r="B31075">
        <f>HYPERLINK("https://android.googlesource.com/platform/cts/+/2169d4fa17f5d9f7cf7b71adf4da546745cb6494", "2169d4fa17f5d9f7cf7b71adf4da546745cb6494")</f>
        <v>0</v>
      </c>
      <c r="C31075">
        <f>HYPERLINK("https://android.googlesource.com/platform/cts/+/a2924ae70c67eee999af6612d2a230fb36f187c7", "a2924ae70c67eee999af6612d2a230fb36f187c7")</f>
        <v>0</v>
      </c>
      <c r="D31075" t="s">
        <v>5084</v>
      </c>
      <c r="E31075" t="s">
        <v>8020</v>
      </c>
      <c r="F31075" t="s">
        <v>12165</v>
      </c>
      <c r="G31075" t="s">
        <v>15676</v>
      </c>
      <c r="H31075" t="s">
        <v>31290</v>
      </c>
    </row>
    <row r="31076" spans="1:8">
      <c r="A31076" t="s">
        <v>2291</v>
      </c>
      <c r="B31076">
        <f>HYPERLINK("https://android.googlesource.com/platform/cts/+/18deaf8beb458664a3c3365a685bcec03b3d4489", "18deaf8beb458664a3c3365a685bcec03b3d4489")</f>
        <v>0</v>
      </c>
      <c r="C31076">
        <f>HYPERLINK("https://android.googlesource.com/platform/cts/+/1341917cf63444e6b9c721df7ebe79f5b8ca3826", "1341917cf63444e6b9c721df7ebe79f5b8ca3826")</f>
        <v>0</v>
      </c>
      <c r="D31076" t="s">
        <v>5367</v>
      </c>
      <c r="E31076" t="s">
        <v>8021</v>
      </c>
      <c r="F31076" t="s">
        <v>13757</v>
      </c>
      <c r="G31076" t="s">
        <v>17816</v>
      </c>
      <c r="H31076" t="s">
        <v>31440</v>
      </c>
    </row>
    <row r="31077" spans="1:8">
      <c r="A31077" t="s">
        <v>2292</v>
      </c>
      <c r="B31077">
        <f>HYPERLINK("https://android.googlesource.com/platform/cts/+/698a2c9e23ddd590a5031bbc1fad961318bccff0", "698a2c9e23ddd590a5031bbc1fad961318bccff0")</f>
        <v>0</v>
      </c>
      <c r="C31077">
        <f>HYPERLINK("https://android.googlesource.com/platform/cts/+/40e8a005594e31e970ea64af430b96b20f95d32c", "40e8a005594e31e970ea64af430b96b20f95d32c")</f>
        <v>0</v>
      </c>
      <c r="D31077" t="s">
        <v>5368</v>
      </c>
      <c r="E31077" t="s">
        <v>8022</v>
      </c>
      <c r="F31077" t="s">
        <v>13758</v>
      </c>
      <c r="G31077" t="s">
        <v>17817</v>
      </c>
      <c r="H31077" t="s">
        <v>31441</v>
      </c>
    </row>
    <row r="31078" spans="1:8">
      <c r="H31078" t="s">
        <v>31442</v>
      </c>
    </row>
    <row r="31079" spans="1:8">
      <c r="H31079" t="s">
        <v>31443</v>
      </c>
    </row>
    <row r="31080" spans="1:8">
      <c r="H31080" t="s">
        <v>31444</v>
      </c>
    </row>
    <row r="31081" spans="1:8">
      <c r="A31081" t="s">
        <v>2293</v>
      </c>
      <c r="B31081">
        <f>HYPERLINK("https://android.googlesource.com/platform/cts/+/dbbe76b15b806cf916db2f412899de2b4a78acd4", "dbbe76b15b806cf916db2f412899de2b4a78acd4")</f>
        <v>0</v>
      </c>
      <c r="C31081">
        <f>HYPERLINK("https://android.googlesource.com/platform/cts/+/762edcf69a7b86916230b932713281388a82d3ad", "762edcf69a7b86916230b932713281388a82d3ad")</f>
        <v>0</v>
      </c>
      <c r="D31081" t="s">
        <v>5118</v>
      </c>
      <c r="E31081" t="s">
        <v>8023</v>
      </c>
      <c r="F31081" t="s">
        <v>13759</v>
      </c>
      <c r="G31081" t="s">
        <v>17818</v>
      </c>
      <c r="H31081" t="s">
        <v>31445</v>
      </c>
    </row>
    <row r="31082" spans="1:8">
      <c r="A31082" t="s">
        <v>2294</v>
      </c>
      <c r="B31082">
        <f>HYPERLINK("https://android.googlesource.com/platform/cts/+/d7f801e61fd434cd1ab5ebe76343a0a87a8befea", "d7f801e61fd434cd1ab5ebe76343a0a87a8befea")</f>
        <v>0</v>
      </c>
      <c r="C31082">
        <f>HYPERLINK("https://android.googlesource.com/platform/cts/+/2a0ea8e28218a0c66854ebbfa69432f0e0b75bde", "2a0ea8e28218a0c66854ebbfa69432f0e0b75bde")</f>
        <v>0</v>
      </c>
      <c r="D31082" t="s">
        <v>5288</v>
      </c>
      <c r="E31082" t="s">
        <v>8024</v>
      </c>
      <c r="F31082" t="s">
        <v>12629</v>
      </c>
      <c r="G31082" t="s">
        <v>16838</v>
      </c>
      <c r="H31082" t="s">
        <v>31446</v>
      </c>
    </row>
    <row r="31083" spans="1:8">
      <c r="A31083" t="s">
        <v>2295</v>
      </c>
      <c r="B31083">
        <f>HYPERLINK("https://android.googlesource.com/platform/cts/+/8bff2eafa334e1d1ec23825f5ee19cd889200f1a", "8bff2eafa334e1d1ec23825f5ee19cd889200f1a")</f>
        <v>0</v>
      </c>
      <c r="C31083">
        <f>HYPERLINK("https://android.googlesource.com/platform/cts/+/1cb001b4992515db6d0948e18a45a526851653a4", "1cb001b4992515db6d0948e18a45a526851653a4")</f>
        <v>0</v>
      </c>
      <c r="D31083" t="s">
        <v>5369</v>
      </c>
      <c r="E31083" t="s">
        <v>8025</v>
      </c>
      <c r="F31083" t="s">
        <v>13047</v>
      </c>
      <c r="G31083" t="s">
        <v>17211</v>
      </c>
      <c r="H31083" t="s">
        <v>31447</v>
      </c>
    </row>
    <row r="31084" spans="1:8">
      <c r="A31084" t="s">
        <v>2296</v>
      </c>
      <c r="B31084">
        <f>HYPERLINK("https://android.googlesource.com/platform/cts/+/7a68b335b97a687d416b83d526596e3ea8d6e466", "7a68b335b97a687d416b83d526596e3ea8d6e466")</f>
        <v>0</v>
      </c>
      <c r="C31084">
        <f>HYPERLINK("https://android.googlesource.com/platform/cts/+/4dabd7f52b987bf9626bedf6b20fea559428359a", "4dabd7f52b987bf9626bedf6b20fea559428359a")</f>
        <v>0</v>
      </c>
      <c r="D31084" t="s">
        <v>5370</v>
      </c>
      <c r="E31084" t="s">
        <v>8026</v>
      </c>
      <c r="F31084" t="s">
        <v>10624</v>
      </c>
      <c r="G31084" t="s">
        <v>15027</v>
      </c>
      <c r="H31084" t="s">
        <v>31448</v>
      </c>
    </row>
    <row r="31085" spans="1:8">
      <c r="A31085" t="s">
        <v>2297</v>
      </c>
      <c r="B31085">
        <f>HYPERLINK("https://android.googlesource.com/platform/cts/+/d4482f89d50919f5b2c877e2e4bd9e8d4d8e519e", "d4482f89d50919f5b2c877e2e4bd9e8d4d8e519e")</f>
        <v>0</v>
      </c>
      <c r="C31085">
        <f>HYPERLINK("https://android.googlesource.com/platform/cts/+/40e8a005594e31e970ea64af430b96b20f95d32c", "40e8a005594e31e970ea64af430b96b20f95d32c")</f>
        <v>0</v>
      </c>
      <c r="D31085" t="s">
        <v>5141</v>
      </c>
      <c r="E31085" t="s">
        <v>8027</v>
      </c>
      <c r="F31085" t="s">
        <v>13089</v>
      </c>
      <c r="G31085" t="s">
        <v>17251</v>
      </c>
      <c r="H31085" t="s">
        <v>31449</v>
      </c>
    </row>
    <row r="31086" spans="1:8">
      <c r="H31086" t="s">
        <v>31450</v>
      </c>
    </row>
    <row r="31087" spans="1:8">
      <c r="H31087" t="s">
        <v>31451</v>
      </c>
    </row>
    <row r="31088" spans="1:8">
      <c r="A31088" t="s">
        <v>2298</v>
      </c>
      <c r="B31088">
        <f>HYPERLINK("https://android.googlesource.com/platform/cts/+/57e91ed6396e92432884b2e22788d989cb780741", "57e91ed6396e92432884b2e22788d989cb780741")</f>
        <v>0</v>
      </c>
      <c r="C31088">
        <f>HYPERLINK("https://android.googlesource.com/platform/cts/+/40f313360008d6d2f27518d2e81ecfba91a335ab", "40f313360008d6d2f27518d2e81ecfba91a335ab")</f>
        <v>0</v>
      </c>
      <c r="D31088" t="s">
        <v>5134</v>
      </c>
      <c r="E31088" t="s">
        <v>8028</v>
      </c>
      <c r="F31088" t="s">
        <v>13760</v>
      </c>
      <c r="G31088" t="s">
        <v>17811</v>
      </c>
      <c r="H31088" t="s">
        <v>31429</v>
      </c>
    </row>
    <row r="31089" spans="1:8">
      <c r="A31089" t="s">
        <v>2299</v>
      </c>
      <c r="B31089">
        <f>HYPERLINK("https://android.googlesource.com/platform/cts/+/66b81c8cb962ac72163dd079e42f97e6abe58d67", "66b81c8cb962ac72163dd079e42f97e6abe58d67")</f>
        <v>0</v>
      </c>
      <c r="C31089">
        <f>HYPERLINK("https://android.googlesource.com/platform/cts/+/3524bf597d35361cc790c89f4d75691c366f566e", "3524bf597d35361cc790c89f4d75691c366f566e")</f>
        <v>0</v>
      </c>
      <c r="D31089" t="s">
        <v>5224</v>
      </c>
      <c r="E31089" t="s">
        <v>8029</v>
      </c>
      <c r="F31089" t="s">
        <v>13761</v>
      </c>
      <c r="G31089" t="s">
        <v>17819</v>
      </c>
      <c r="H31089" t="s">
        <v>31452</v>
      </c>
    </row>
    <row r="31090" spans="1:8">
      <c r="H31090" t="s">
        <v>31453</v>
      </c>
    </row>
    <row r="31091" spans="1:8">
      <c r="A31091" t="s">
        <v>2300</v>
      </c>
      <c r="B31091">
        <f>HYPERLINK("https://android.googlesource.com/platform/cts/+/7e68cfc02e1fd67cb74f6c182f28133a6da928b7", "7e68cfc02e1fd67cb74f6c182f28133a6da928b7")</f>
        <v>0</v>
      </c>
      <c r="C31091">
        <f>HYPERLINK("https://android.googlesource.com/platform/cts/+/72902e678d024b8755a845c1f1f5e73d653ddabf", "72902e678d024b8755a845c1f1f5e73d653ddabf")</f>
        <v>0</v>
      </c>
      <c r="D31091" t="s">
        <v>5271</v>
      </c>
      <c r="E31091" t="s">
        <v>8030</v>
      </c>
      <c r="F31091" t="s">
        <v>13309</v>
      </c>
      <c r="G31091" t="s">
        <v>17442</v>
      </c>
      <c r="H31091" t="s">
        <v>31454</v>
      </c>
    </row>
    <row r="31092" spans="1:8">
      <c r="A31092" t="s">
        <v>2301</v>
      </c>
      <c r="B31092">
        <f>HYPERLINK("https://android.googlesource.com/platform/cts/+/e01161eb14e12170c9927023b93792386117345e", "e01161eb14e12170c9927023b93792386117345e")</f>
        <v>0</v>
      </c>
      <c r="C31092">
        <f>HYPERLINK("https://android.googlesource.com/platform/cts/+/0c508ea8dad5a3064f74ffe4874f1d7ddbe647ef", "0c508ea8dad5a3064f74ffe4874f1d7ddbe647ef")</f>
        <v>0</v>
      </c>
      <c r="D31092" t="s">
        <v>5046</v>
      </c>
      <c r="E31092" t="s">
        <v>8031</v>
      </c>
      <c r="F31092" t="s">
        <v>13762</v>
      </c>
      <c r="G31092" t="s">
        <v>16873</v>
      </c>
      <c r="H31092" t="s">
        <v>31455</v>
      </c>
    </row>
    <row r="31093" spans="1:8">
      <c r="H31093" t="s">
        <v>20166</v>
      </c>
    </row>
    <row r="31094" spans="1:8">
      <c r="H31094" t="s">
        <v>31456</v>
      </c>
    </row>
    <row r="31095" spans="1:8">
      <c r="H31095" t="s">
        <v>31457</v>
      </c>
    </row>
    <row r="31096" spans="1:8">
      <c r="A31096" t="s">
        <v>2302</v>
      </c>
      <c r="B31096">
        <f>HYPERLINK("https://android.googlesource.com/platform/cts/+/7b0955af101617909c129f9a29bc94b3fd9a3c75", "7b0955af101617909c129f9a29bc94b3fd9a3c75")</f>
        <v>0</v>
      </c>
      <c r="C31096">
        <f>HYPERLINK("https://android.googlesource.com/platform/cts/+/3cced45a91cc0515b5a20a8c4017ec5b4deb927b", "3cced45a91cc0515b5a20a8c4017ec5b4deb927b")</f>
        <v>0</v>
      </c>
      <c r="D31096" t="s">
        <v>5046</v>
      </c>
      <c r="E31096" t="s">
        <v>8032</v>
      </c>
      <c r="F31096" t="s">
        <v>13432</v>
      </c>
      <c r="G31096" t="s">
        <v>17556</v>
      </c>
      <c r="H31096" t="s">
        <v>31458</v>
      </c>
    </row>
    <row r="31097" spans="1:8">
      <c r="H31097" t="s">
        <v>31459</v>
      </c>
    </row>
    <row r="31098" spans="1:8">
      <c r="H31098" t="s">
        <v>31460</v>
      </c>
    </row>
    <row r="31099" spans="1:8">
      <c r="H31099" t="s">
        <v>31461</v>
      </c>
    </row>
    <row r="31100" spans="1:8">
      <c r="H31100" t="s">
        <v>31462</v>
      </c>
    </row>
    <row r="31101" spans="1:8">
      <c r="H31101" t="s">
        <v>31463</v>
      </c>
    </row>
    <row r="31102" spans="1:8">
      <c r="A31102" t="s">
        <v>2303</v>
      </c>
      <c r="B31102">
        <f>HYPERLINK("https://android.googlesource.com/platform/cts/+/a9d947c27a506348d6843910c4d30d849f897a94", "a9d947c27a506348d6843910c4d30d849f897a94")</f>
        <v>0</v>
      </c>
      <c r="C31102">
        <f>HYPERLINK("https://android.googlesource.com/platform/cts/+/7cf5c6c60f300c22deabdafff0abc6579c110f5b", "7cf5c6c60f300c22deabdafff0abc6579c110f5b")</f>
        <v>0</v>
      </c>
      <c r="D31102" t="s">
        <v>5046</v>
      </c>
      <c r="E31102" t="s">
        <v>8033</v>
      </c>
      <c r="F31102" t="s">
        <v>13763</v>
      </c>
      <c r="G31102" t="s">
        <v>17820</v>
      </c>
      <c r="H31102" t="s">
        <v>31459</v>
      </c>
    </row>
    <row r="31103" spans="1:8">
      <c r="H31103" t="s">
        <v>31460</v>
      </c>
    </row>
    <row r="31104" spans="1:8">
      <c r="H31104" t="s">
        <v>31461</v>
      </c>
    </row>
    <row r="31105" spans="1:8">
      <c r="H31105" t="s">
        <v>31462</v>
      </c>
    </row>
    <row r="31106" spans="1:8">
      <c r="H31106" t="s">
        <v>31463</v>
      </c>
    </row>
    <row r="31107" spans="1:8">
      <c r="A31107" t="s">
        <v>2304</v>
      </c>
      <c r="B31107">
        <f>HYPERLINK("https://android.googlesource.com/platform/cts/+/dca9bf76d76aa9b2023f2ec3d22e1c61102539d1", "dca9bf76d76aa9b2023f2ec3d22e1c61102539d1")</f>
        <v>0</v>
      </c>
      <c r="C31107">
        <f>HYPERLINK("https://android.googlesource.com/platform/cts/+/c6b9d4351cc48c644a6ddd8b4c0250de84549f7b", "c6b9d4351cc48c644a6ddd8b4c0250de84549f7b")</f>
        <v>0</v>
      </c>
      <c r="D31107" t="s">
        <v>5263</v>
      </c>
      <c r="E31107" t="s">
        <v>8034</v>
      </c>
      <c r="F31107" t="s">
        <v>13673</v>
      </c>
      <c r="G31107" t="s">
        <v>15029</v>
      </c>
      <c r="H31107" t="s">
        <v>31464</v>
      </c>
    </row>
    <row r="31108" spans="1:8">
      <c r="A31108" t="s">
        <v>2305</v>
      </c>
      <c r="B31108">
        <f>HYPERLINK("https://android.googlesource.com/platform/cts/+/6190d13a522a0901a3cae568fe003f9cc4f58bc9", "6190d13a522a0901a3cae568fe003f9cc4f58bc9")</f>
        <v>0</v>
      </c>
      <c r="C31108">
        <f>HYPERLINK("https://android.googlesource.com/platform/cts/+/67b715293484e2c455150be0b9ddad96cc902db7", "67b715293484e2c455150be0b9ddad96cc902db7")</f>
        <v>0</v>
      </c>
      <c r="D31108" t="s">
        <v>4981</v>
      </c>
      <c r="E31108" t="s">
        <v>8035</v>
      </c>
      <c r="F31108" t="s">
        <v>13764</v>
      </c>
      <c r="G31108" t="s">
        <v>17821</v>
      </c>
      <c r="H31108" t="s">
        <v>31465</v>
      </c>
    </row>
    <row r="31109" spans="1:8">
      <c r="A31109" t="s">
        <v>2306</v>
      </c>
      <c r="B31109">
        <f>HYPERLINK("https://android.googlesource.com/platform/cts/+/a809aaaac8493821e1a4f232f622f71e4aadc4a0", "a809aaaac8493821e1a4f232f622f71e4aadc4a0")</f>
        <v>0</v>
      </c>
      <c r="C31109">
        <f>HYPERLINK("https://android.googlesource.com/platform/cts/+/8bf338e87df2a1390ecf3632d6a2ce7daa187936", "8bf338e87df2a1390ecf3632d6a2ce7daa187936")</f>
        <v>0</v>
      </c>
      <c r="D31109" t="s">
        <v>5371</v>
      </c>
      <c r="E31109" t="s">
        <v>8036</v>
      </c>
      <c r="F31109" t="s">
        <v>11191</v>
      </c>
      <c r="G31109" t="s">
        <v>15580</v>
      </c>
      <c r="H31109" t="s">
        <v>31466</v>
      </c>
    </row>
    <row r="31110" spans="1:8">
      <c r="H31110" t="s">
        <v>31467</v>
      </c>
    </row>
    <row r="31111" spans="1:8">
      <c r="A31111" t="s">
        <v>2307</v>
      </c>
      <c r="B31111">
        <f>HYPERLINK("https://android.googlesource.com/platform/cts/+/209c245b9e9684fe29ec04ab0526a6de57bf60d4", "209c245b9e9684fe29ec04ab0526a6de57bf60d4")</f>
        <v>0</v>
      </c>
      <c r="C31111">
        <f>HYPERLINK("https://android.googlesource.com/platform/cts/+/30fe1b769f2b082e9b9b909f111c4e899d4bf11f", "30fe1b769f2b082e9b9b909f111c4e899d4bf11f")</f>
        <v>0</v>
      </c>
      <c r="D31111" t="s">
        <v>5134</v>
      </c>
      <c r="E31111" t="s">
        <v>8037</v>
      </c>
      <c r="F31111" t="s">
        <v>13765</v>
      </c>
      <c r="G31111" t="s">
        <v>17822</v>
      </c>
      <c r="H31111" t="s">
        <v>31468</v>
      </c>
    </row>
    <row r="31112" spans="1:8">
      <c r="A31112" t="s">
        <v>2308</v>
      </c>
      <c r="B31112">
        <f>HYPERLINK("https://android.googlesource.com/platform/cts/+/825057c3eb02fd10b5dc694978ae647b173a172c", "825057c3eb02fd10b5dc694978ae647b173a172c")</f>
        <v>0</v>
      </c>
      <c r="C31112">
        <f>HYPERLINK("https://android.googlesource.com/platform/cts/+/5b7a7f0b126854034f92d18754a6a6f2566b91c4", "5b7a7f0b126854034f92d18754a6a6f2566b91c4")</f>
        <v>0</v>
      </c>
      <c r="D31112" t="s">
        <v>5296</v>
      </c>
      <c r="E31112" t="s">
        <v>8038</v>
      </c>
      <c r="F31112" t="s">
        <v>10740</v>
      </c>
      <c r="G31112" t="s">
        <v>15139</v>
      </c>
      <c r="H31112" t="s">
        <v>31469</v>
      </c>
    </row>
    <row r="31113" spans="1:8">
      <c r="H31113" t="s">
        <v>31470</v>
      </c>
    </row>
    <row r="31114" spans="1:8">
      <c r="A31114" t="s">
        <v>2309</v>
      </c>
      <c r="B31114">
        <f>HYPERLINK("https://android.googlesource.com/platform/cts/+/4d24a14d1349cc2d8e61a1df0508788fbdbd23bc", "4d24a14d1349cc2d8e61a1df0508788fbdbd23bc")</f>
        <v>0</v>
      </c>
      <c r="C31114">
        <f>HYPERLINK("https://android.googlesource.com/platform/cts/+/cafd7d0f74a2ac6f4bbb3736d8988d07084df2e6", "cafd7d0f74a2ac6f4bbb3736d8988d07084df2e6")</f>
        <v>0</v>
      </c>
      <c r="D31114" t="s">
        <v>5359</v>
      </c>
      <c r="E31114" t="s">
        <v>8039</v>
      </c>
      <c r="F31114" t="s">
        <v>13730</v>
      </c>
      <c r="G31114" t="s">
        <v>16824</v>
      </c>
      <c r="H31114" t="s">
        <v>31471</v>
      </c>
    </row>
    <row r="31115" spans="1:8">
      <c r="H31115" t="s">
        <v>31472</v>
      </c>
    </row>
    <row r="31116" spans="1:8">
      <c r="H31116" t="s">
        <v>19721</v>
      </c>
    </row>
    <row r="31117" spans="1:8">
      <c r="H31117" t="s">
        <v>31473</v>
      </c>
    </row>
    <row r="31118" spans="1:8">
      <c r="H31118" t="s">
        <v>20083</v>
      </c>
    </row>
    <row r="31119" spans="1:8">
      <c r="H31119" t="s">
        <v>20083</v>
      </c>
    </row>
    <row r="31120" spans="1:8">
      <c r="H31120" t="s">
        <v>31474</v>
      </c>
    </row>
    <row r="31121" spans="1:8">
      <c r="H31121" t="s">
        <v>31475</v>
      </c>
    </row>
    <row r="31122" spans="1:8">
      <c r="H31122" t="s">
        <v>31277</v>
      </c>
    </row>
    <row r="31123" spans="1:8">
      <c r="A31123" t="s">
        <v>2310</v>
      </c>
      <c r="B31123">
        <f>HYPERLINK("https://android.googlesource.com/platform/cts/+/f5b5cecb825d166fee6c92daa42c45973445c763", "f5b5cecb825d166fee6c92daa42c45973445c763")</f>
        <v>0</v>
      </c>
      <c r="C31123">
        <f>HYPERLINK("https://android.googlesource.com/platform/cts/+/11b56a4fe5944b0ced825622d155bfe8e2c4e652", "11b56a4fe5944b0ced825622d155bfe8e2c4e652")</f>
        <v>0</v>
      </c>
      <c r="D31123" t="s">
        <v>5363</v>
      </c>
      <c r="E31123" t="s">
        <v>8040</v>
      </c>
      <c r="F31123" t="s">
        <v>10605</v>
      </c>
      <c r="G31123" t="s">
        <v>15008</v>
      </c>
      <c r="H31123" t="s">
        <v>31476</v>
      </c>
    </row>
    <row r="31124" spans="1:8">
      <c r="A31124" t="s">
        <v>2311</v>
      </c>
      <c r="B31124">
        <f>HYPERLINK("https://android.googlesource.com/platform/cts/+/00c52ae0c93109a29c707517d746962cb2dfbf12", "00c52ae0c93109a29c707517d746962cb2dfbf12")</f>
        <v>0</v>
      </c>
      <c r="C31124">
        <f>HYPERLINK("https://android.googlesource.com/platform/cts/+/8f14829962fdc7aeb5ccbce6b5a3a0119e8cb0c7", "8f14829962fdc7aeb5ccbce6b5a3a0119e8cb0c7")</f>
        <v>0</v>
      </c>
      <c r="D31124" t="s">
        <v>5371</v>
      </c>
      <c r="E31124" t="s">
        <v>8041</v>
      </c>
      <c r="F31124" t="s">
        <v>10687</v>
      </c>
      <c r="G31124" t="s">
        <v>15087</v>
      </c>
      <c r="H31124" t="s">
        <v>31477</v>
      </c>
    </row>
    <row r="31125" spans="1:8">
      <c r="A31125" t="s">
        <v>2313</v>
      </c>
      <c r="B31125">
        <f>HYPERLINK("https://android.googlesource.com/platform/cts/+/1bd7fd87dc5f095eb076296d383d5aaf2f92e60f", "1bd7fd87dc5f095eb076296d383d5aaf2f92e60f")</f>
        <v>0</v>
      </c>
      <c r="C31125">
        <f>HYPERLINK("https://android.googlesource.com/platform/cts/+/df46da7632423fb3a8d99c568b0a4c33c48878c1", "df46da7632423fb3a8d99c568b0a4c33c48878c1")</f>
        <v>0</v>
      </c>
      <c r="D31125" t="s">
        <v>5349</v>
      </c>
      <c r="E31125" t="s">
        <v>8043</v>
      </c>
      <c r="F31125" t="s">
        <v>13716</v>
      </c>
      <c r="G31125" t="s">
        <v>17783</v>
      </c>
      <c r="H31125" t="s">
        <v>31223</v>
      </c>
    </row>
    <row r="31126" spans="1:8">
      <c r="H31126" t="s">
        <v>31224</v>
      </c>
    </row>
    <row r="31127" spans="1:8">
      <c r="H31127" t="s">
        <v>31225</v>
      </c>
    </row>
    <row r="31128" spans="1:8">
      <c r="H31128" t="s">
        <v>31226</v>
      </c>
    </row>
    <row r="31129" spans="1:8">
      <c r="H31129" t="s">
        <v>31227</v>
      </c>
    </row>
    <row r="31130" spans="1:8">
      <c r="H31130" t="s">
        <v>31228</v>
      </c>
    </row>
    <row r="31131" spans="1:8">
      <c r="A31131" t="s">
        <v>2314</v>
      </c>
      <c r="B31131">
        <f>HYPERLINK("https://android.googlesource.com/platform/cts/+/d4a29e44b8fb09822e218b6ebc2247000e481d76", "d4a29e44b8fb09822e218b6ebc2247000e481d76")</f>
        <v>0</v>
      </c>
      <c r="C31131">
        <f>HYPERLINK("https://android.googlesource.com/platform/cts/+/43ed8521c33206da31f884bb003c298708a1e1ac", "43ed8521c33206da31f884bb003c298708a1e1ac")</f>
        <v>0</v>
      </c>
      <c r="D31131" t="s">
        <v>5349</v>
      </c>
      <c r="E31131" t="s">
        <v>8044</v>
      </c>
      <c r="F31131" t="s">
        <v>13716</v>
      </c>
      <c r="G31131" t="s">
        <v>17783</v>
      </c>
      <c r="H31131" t="s">
        <v>31223</v>
      </c>
    </row>
    <row r="31132" spans="1:8">
      <c r="H31132" t="s">
        <v>31224</v>
      </c>
    </row>
    <row r="31133" spans="1:8">
      <c r="H31133" t="s">
        <v>31225</v>
      </c>
    </row>
    <row r="31134" spans="1:8">
      <c r="H31134" t="s">
        <v>31226</v>
      </c>
    </row>
    <row r="31135" spans="1:8">
      <c r="H31135" t="s">
        <v>31227</v>
      </c>
    </row>
    <row r="31136" spans="1:8">
      <c r="H31136" t="s">
        <v>31228</v>
      </c>
    </row>
    <row r="31137" spans="1:8">
      <c r="A31137" t="s">
        <v>2315</v>
      </c>
      <c r="B31137">
        <f>HYPERLINK("https://android.googlesource.com/platform/cts/+/7137ccad4f425a80832afaee8d82bbbfe1fa544a", "7137ccad4f425a80832afaee8d82bbbfe1fa544a")</f>
        <v>0</v>
      </c>
      <c r="C31137">
        <f>HYPERLINK("https://android.googlesource.com/platform/cts/+/2c65204a1e7db9267ef43d67f06e029e73ab43da", "2c65204a1e7db9267ef43d67f06e029e73ab43da")</f>
        <v>0</v>
      </c>
      <c r="D31137" t="s">
        <v>5365</v>
      </c>
      <c r="E31137" t="s">
        <v>8045</v>
      </c>
      <c r="F31137" t="s">
        <v>10794</v>
      </c>
      <c r="G31137" t="s">
        <v>15189</v>
      </c>
      <c r="H31137" t="s">
        <v>31478</v>
      </c>
    </row>
    <row r="31138" spans="1:8">
      <c r="H31138" t="s">
        <v>31479</v>
      </c>
    </row>
    <row r="31139" spans="1:8">
      <c r="H31139" t="s">
        <v>31480</v>
      </c>
    </row>
    <row r="31140" spans="1:8">
      <c r="H31140" t="s">
        <v>31481</v>
      </c>
    </row>
    <row r="31141" spans="1:8">
      <c r="H31141" t="s">
        <v>31482</v>
      </c>
    </row>
    <row r="31142" spans="1:8">
      <c r="H31142" t="s">
        <v>31483</v>
      </c>
    </row>
    <row r="31143" spans="1:8">
      <c r="A31143" t="s">
        <v>2316</v>
      </c>
      <c r="B31143">
        <f>HYPERLINK("https://android.googlesource.com/platform/cts/+/b04e27263001428b9f343010f422e71bd8713fe1", "b04e27263001428b9f343010f422e71bd8713fe1")</f>
        <v>0</v>
      </c>
      <c r="C31143">
        <f>HYPERLINK("https://android.googlesource.com/platform/cts/+/69bb567e68e3ea6ea9e8071b3d899da51ed996eb", "69bb567e68e3ea6ea9e8071b3d899da51ed996eb")</f>
        <v>0</v>
      </c>
      <c r="D31143" t="s">
        <v>4949</v>
      </c>
      <c r="E31143" t="s">
        <v>8046</v>
      </c>
      <c r="F31143" t="s">
        <v>13442</v>
      </c>
      <c r="G31143" t="s">
        <v>17564</v>
      </c>
      <c r="H31143" t="s">
        <v>18829</v>
      </c>
    </row>
    <row r="31144" spans="1:8">
      <c r="H31144" t="s">
        <v>31484</v>
      </c>
    </row>
    <row r="31145" spans="1:8">
      <c r="H31145" t="s">
        <v>31485</v>
      </c>
    </row>
    <row r="31146" spans="1:8">
      <c r="H31146" t="s">
        <v>31486</v>
      </c>
    </row>
    <row r="31147" spans="1:8">
      <c r="H31147" t="s">
        <v>31487</v>
      </c>
    </row>
    <row r="31148" spans="1:8">
      <c r="H31148" t="s">
        <v>31488</v>
      </c>
    </row>
    <row r="31149" spans="1:8">
      <c r="H31149" t="s">
        <v>30984</v>
      </c>
    </row>
    <row r="31150" spans="1:8">
      <c r="H31150" t="s">
        <v>31489</v>
      </c>
    </row>
    <row r="31151" spans="1:8">
      <c r="H31151" t="s">
        <v>31490</v>
      </c>
    </row>
    <row r="31152" spans="1:8">
      <c r="H31152" t="s">
        <v>31490</v>
      </c>
    </row>
    <row r="31153" spans="1:8">
      <c r="H31153" t="s">
        <v>31491</v>
      </c>
    </row>
    <row r="31154" spans="1:8">
      <c r="H31154" t="s">
        <v>31492</v>
      </c>
    </row>
    <row r="31155" spans="1:8">
      <c r="H31155" t="s">
        <v>31493</v>
      </c>
    </row>
    <row r="31156" spans="1:8">
      <c r="H31156" t="s">
        <v>31494</v>
      </c>
    </row>
    <row r="31157" spans="1:8">
      <c r="H31157" t="s">
        <v>31495</v>
      </c>
    </row>
    <row r="31158" spans="1:8">
      <c r="H31158" t="s">
        <v>31496</v>
      </c>
    </row>
    <row r="31159" spans="1:8">
      <c r="H31159" t="s">
        <v>31496</v>
      </c>
    </row>
    <row r="31160" spans="1:8">
      <c r="H31160" t="s">
        <v>31497</v>
      </c>
    </row>
    <row r="31161" spans="1:8">
      <c r="H31161" t="s">
        <v>30899</v>
      </c>
    </row>
    <row r="31162" spans="1:8">
      <c r="H31162" t="s">
        <v>29213</v>
      </c>
    </row>
    <row r="31163" spans="1:8">
      <c r="A31163" t="s">
        <v>2317</v>
      </c>
      <c r="B31163">
        <f>HYPERLINK("https://android.googlesource.com/platform/cts/+/dc5231ef6c04972549bfe717fd65d0c5f10f52ac", "dc5231ef6c04972549bfe717fd65d0c5f10f52ac")</f>
        <v>0</v>
      </c>
      <c r="C31163">
        <f>HYPERLINK("https://android.googlesource.com/platform/cts/+/80cb88106e953cde366e72b6c6bbe34414845a2f", "80cb88106e953cde366e72b6c6bbe34414845a2f")</f>
        <v>0</v>
      </c>
      <c r="D31163" t="s">
        <v>5029</v>
      </c>
      <c r="E31163" t="s">
        <v>8047</v>
      </c>
      <c r="F31163" t="s">
        <v>13766</v>
      </c>
      <c r="G31163" t="s">
        <v>17823</v>
      </c>
      <c r="H31163" t="s">
        <v>31498</v>
      </c>
    </row>
    <row r="31164" spans="1:8">
      <c r="A31164" t="s">
        <v>2318</v>
      </c>
      <c r="B31164">
        <f>HYPERLINK("https://android.googlesource.com/platform/cts/+/2496118a0fe909fb60ac76b4cd636ce5bb9c1e85", "2496118a0fe909fb60ac76b4cd636ce5bb9c1e85")</f>
        <v>0</v>
      </c>
      <c r="C31164">
        <f>HYPERLINK("https://android.googlesource.com/platform/cts/+/fb25cfbeb005247feafc443a9340be4dda37115d", "fb25cfbeb005247feafc443a9340be4dda37115d")</f>
        <v>0</v>
      </c>
      <c r="D31164" t="s">
        <v>5117</v>
      </c>
      <c r="E31164" t="s">
        <v>8048</v>
      </c>
      <c r="F31164" t="s">
        <v>13767</v>
      </c>
      <c r="G31164" t="s">
        <v>17824</v>
      </c>
      <c r="H31164" t="s">
        <v>31499</v>
      </c>
    </row>
    <row r="31165" spans="1:8">
      <c r="A31165" t="s">
        <v>2319</v>
      </c>
      <c r="B31165">
        <f>HYPERLINK("https://android.googlesource.com/platform/cts/+/72ac97ee179e776c9c64cddaaa3a0f50fc6c86c5", "72ac97ee179e776c9c64cddaaa3a0f50fc6c86c5")</f>
        <v>0</v>
      </c>
      <c r="C31165">
        <f>HYPERLINK("https://android.googlesource.com/platform/cts/+/08c8632988022fbba5969618c81cea9a7a3c02cf", "08c8632988022fbba5969618c81cea9a7a3c02cf")</f>
        <v>0</v>
      </c>
      <c r="D31165" t="s">
        <v>5372</v>
      </c>
      <c r="E31165" t="s">
        <v>8049</v>
      </c>
      <c r="F31165" t="s">
        <v>13768</v>
      </c>
      <c r="G31165" t="s">
        <v>17825</v>
      </c>
      <c r="H31165" t="s">
        <v>31500</v>
      </c>
    </row>
    <row r="31166" spans="1:8">
      <c r="H31166" t="s">
        <v>31501</v>
      </c>
    </row>
    <row r="31167" spans="1:8">
      <c r="A31167" t="s">
        <v>2320</v>
      </c>
      <c r="B31167">
        <f>HYPERLINK("https://android.googlesource.com/platform/cts/+/6a765ef76f8423f66ae38f773b522f11a5cb3eec", "6a765ef76f8423f66ae38f773b522f11a5cb3eec")</f>
        <v>0</v>
      </c>
      <c r="C31167">
        <f>HYPERLINK("https://android.googlesource.com/platform/cts/+/77eb3a28499bf92052e4ea866d55162a85d0301e", "77eb3a28499bf92052e4ea866d55162a85d0301e")</f>
        <v>0</v>
      </c>
      <c r="D31167" t="s">
        <v>5117</v>
      </c>
      <c r="E31167" t="s">
        <v>8050</v>
      </c>
      <c r="F31167" t="s">
        <v>13758</v>
      </c>
      <c r="G31167" t="s">
        <v>17817</v>
      </c>
      <c r="H31167" t="s">
        <v>31502</v>
      </c>
    </row>
    <row r="31168" spans="1:8">
      <c r="A31168" t="s">
        <v>2321</v>
      </c>
      <c r="B31168">
        <f>HYPERLINK("https://android.googlesource.com/platform/cts/+/5100ab9b0a698ff561ab95b3ba115e47302daccd", "5100ab9b0a698ff561ab95b3ba115e47302daccd")</f>
        <v>0</v>
      </c>
      <c r="C31168">
        <f>HYPERLINK("https://android.googlesource.com/platform/cts/+/eddcacf11881de9baec30662d61563f332c0edca", "eddcacf11881de9baec30662d61563f332c0edca")</f>
        <v>0</v>
      </c>
      <c r="D31168" t="s">
        <v>5132</v>
      </c>
      <c r="E31168" t="s">
        <v>8051</v>
      </c>
      <c r="F31168" t="s">
        <v>12857</v>
      </c>
      <c r="G31168" t="s">
        <v>17027</v>
      </c>
      <c r="H31168" t="s">
        <v>30928</v>
      </c>
    </row>
    <row r="31169" spans="1:8">
      <c r="H31169" t="s">
        <v>30931</v>
      </c>
    </row>
    <row r="31170" spans="1:8">
      <c r="A31170" t="s">
        <v>2322</v>
      </c>
      <c r="B31170">
        <f>HYPERLINK("https://android.googlesource.com/platform/cts/+/0ae122622d9f85d7bef94b59dbb49ea751c9099a", "0ae122622d9f85d7bef94b59dbb49ea751c9099a")</f>
        <v>0</v>
      </c>
      <c r="C31170">
        <f>HYPERLINK("https://android.googlesource.com/platform/cts/+/a911bf96165e5e7c6251d079d505c3cc043cf565", "a911bf96165e5e7c6251d079d505c3cc043cf565")</f>
        <v>0</v>
      </c>
      <c r="D31170" t="s">
        <v>5373</v>
      </c>
      <c r="E31170" t="s">
        <v>8052</v>
      </c>
      <c r="F31170" t="s">
        <v>13769</v>
      </c>
      <c r="G31170" t="s">
        <v>17209</v>
      </c>
      <c r="H31170" t="s">
        <v>31503</v>
      </c>
    </row>
    <row r="31171" spans="1:8">
      <c r="H31171" t="s">
        <v>31504</v>
      </c>
    </row>
    <row r="31172" spans="1:8">
      <c r="A31172" t="s">
        <v>2323</v>
      </c>
      <c r="B31172">
        <f>HYPERLINK("https://android.googlesource.com/platform/cts/+/c1d3ab52182154ebd2ad6aa837f14c23c387fb4c", "c1d3ab52182154ebd2ad6aa837f14c23c387fb4c")</f>
        <v>0</v>
      </c>
      <c r="C31172">
        <f>HYPERLINK("https://android.googlesource.com/platform/cts/+/71bc7ebb8f41ffca892e1d0b20d7e7478937d951", "71bc7ebb8f41ffca892e1d0b20d7e7478937d951")</f>
        <v>0</v>
      </c>
      <c r="D31172" t="s">
        <v>5344</v>
      </c>
      <c r="E31172" t="s">
        <v>8053</v>
      </c>
      <c r="F31172" t="s">
        <v>13756</v>
      </c>
      <c r="G31172" t="s">
        <v>17371</v>
      </c>
      <c r="H31172" t="s">
        <v>31505</v>
      </c>
    </row>
    <row r="31173" spans="1:8">
      <c r="A31173" t="s">
        <v>2324</v>
      </c>
      <c r="B31173">
        <f>HYPERLINK("https://android.googlesource.com/platform/cts/+/76ff4af59a4753ea627654a4d7b257728e9746fe", "76ff4af59a4753ea627654a4d7b257728e9746fe")</f>
        <v>0</v>
      </c>
      <c r="C31173">
        <f>HYPERLINK("https://android.googlesource.com/platform/cts/+/0ca5decb2d59e653f685142932f17499bdc22c3e", "0ca5decb2d59e653f685142932f17499bdc22c3e")</f>
        <v>0</v>
      </c>
      <c r="D31173" t="s">
        <v>5374</v>
      </c>
      <c r="E31173" t="s">
        <v>8054</v>
      </c>
      <c r="F31173" t="s">
        <v>13197</v>
      </c>
      <c r="G31173" t="s">
        <v>17340</v>
      </c>
      <c r="H31173" t="s">
        <v>31445</v>
      </c>
    </row>
    <row r="31174" spans="1:8">
      <c r="F31174" t="s">
        <v>13165</v>
      </c>
      <c r="G31174" t="s">
        <v>17315</v>
      </c>
      <c r="H31174" t="s">
        <v>31506</v>
      </c>
    </row>
    <row r="31175" spans="1:8">
      <c r="A31175" t="s">
        <v>2325</v>
      </c>
      <c r="B31175">
        <f>HYPERLINK("https://android.googlesource.com/platform/cts/+/7e609b9d2e8b2875270c6747b141e913180f0059", "7e609b9d2e8b2875270c6747b141e913180f0059")</f>
        <v>0</v>
      </c>
      <c r="C31175">
        <f>HYPERLINK("https://android.googlesource.com/platform/cts/+/83b03f0cd86afea1e3b98fac119f1b943275c6fa", "83b03f0cd86afea1e3b98fac119f1b943275c6fa")</f>
        <v>0</v>
      </c>
      <c r="D31175" t="s">
        <v>5363</v>
      </c>
      <c r="E31175" t="s">
        <v>8055</v>
      </c>
      <c r="F31175" t="s">
        <v>13770</v>
      </c>
      <c r="G31175" t="s">
        <v>14997</v>
      </c>
      <c r="H31175" t="s">
        <v>18974</v>
      </c>
    </row>
    <row r="31176" spans="1:8">
      <c r="A31176" t="s">
        <v>2326</v>
      </c>
      <c r="B31176">
        <f>HYPERLINK("https://android.googlesource.com/platform/cts/+/45fb5484c9a882b8f0974e925075ecd46f3f6aa0", "45fb5484c9a882b8f0974e925075ecd46f3f6aa0")</f>
        <v>0</v>
      </c>
      <c r="C31176">
        <f>HYPERLINK("https://android.googlesource.com/platform/cts/+/de1a06a8c534d6ae497d022cc188be26d95089d0", "de1a06a8c534d6ae497d022cc188be26d95089d0")</f>
        <v>0</v>
      </c>
      <c r="D31176" t="s">
        <v>5375</v>
      </c>
      <c r="E31176" t="s">
        <v>8056</v>
      </c>
      <c r="F31176" t="s">
        <v>13771</v>
      </c>
      <c r="G31176" t="s">
        <v>17826</v>
      </c>
      <c r="H31176" t="s">
        <v>31507</v>
      </c>
    </row>
    <row r="31177" spans="1:8">
      <c r="A31177" t="s">
        <v>2327</v>
      </c>
      <c r="B31177">
        <f>HYPERLINK("https://android.googlesource.com/platform/cts/+/9381b17063063adcf07d795631ec0e81b2b9400d", "9381b17063063adcf07d795631ec0e81b2b9400d")</f>
        <v>0</v>
      </c>
      <c r="C31177">
        <f>HYPERLINK("https://android.googlesource.com/platform/cts/+/f9174105834b117674efb98a8a27ad435a196356", "f9174105834b117674efb98a8a27ad435a196356")</f>
        <v>0</v>
      </c>
      <c r="D31177" t="s">
        <v>5376</v>
      </c>
      <c r="E31177" t="s">
        <v>8057</v>
      </c>
      <c r="F31177" t="s">
        <v>13540</v>
      </c>
      <c r="G31177" t="s">
        <v>17651</v>
      </c>
      <c r="H31177" t="s">
        <v>31508</v>
      </c>
    </row>
    <row r="31178" spans="1:8">
      <c r="H31178" t="s">
        <v>31509</v>
      </c>
    </row>
    <row r="31179" spans="1:8">
      <c r="A31179" t="s">
        <v>2329</v>
      </c>
      <c r="B31179">
        <f>HYPERLINK("https://android.googlesource.com/platform/cts/+/1477abf64ac4f0f9e6c252ed8c6c36f53967451b", "1477abf64ac4f0f9e6c252ed8c6c36f53967451b")</f>
        <v>0</v>
      </c>
      <c r="C31179">
        <f>HYPERLINK("https://android.googlesource.com/platform/cts/+/6457cbef5c387638d0c7531e04df3cb5174804b7", "6457cbef5c387638d0c7531e04df3cb5174804b7")</f>
        <v>0</v>
      </c>
      <c r="D31179" t="s">
        <v>5018</v>
      </c>
      <c r="E31179" t="s">
        <v>8059</v>
      </c>
      <c r="F31179" t="s">
        <v>13661</v>
      </c>
      <c r="G31179" t="s">
        <v>17735</v>
      </c>
      <c r="H31179" t="s">
        <v>31510</v>
      </c>
    </row>
    <row r="31180" spans="1:8">
      <c r="H31180" t="s">
        <v>22590</v>
      </c>
    </row>
    <row r="31181" spans="1:8">
      <c r="F31181" t="s">
        <v>13259</v>
      </c>
      <c r="G31181" t="s">
        <v>17397</v>
      </c>
      <c r="H31181" t="s">
        <v>22590</v>
      </c>
    </row>
    <row r="31182" spans="1:8">
      <c r="A31182" t="s">
        <v>2330</v>
      </c>
      <c r="B31182">
        <f>HYPERLINK("https://android.googlesource.com/platform/cts/+/5fe8cdbff59c704bb6d45d517ac34784b9000411", "5fe8cdbff59c704bb6d45d517ac34784b9000411")</f>
        <v>0</v>
      </c>
      <c r="C31182">
        <f>HYPERLINK("https://android.googlesource.com/platform/cts/+/30fd9f2f509181880c1c0cfd16f33b707afcd66f", "30fd9f2f509181880c1c0cfd16f33b707afcd66f")</f>
        <v>0</v>
      </c>
      <c r="D31182" t="s">
        <v>5134</v>
      </c>
      <c r="E31182" t="s">
        <v>8060</v>
      </c>
      <c r="F31182" t="s">
        <v>13765</v>
      </c>
      <c r="G31182" t="s">
        <v>17822</v>
      </c>
      <c r="H31182" t="s">
        <v>31511</v>
      </c>
    </row>
    <row r="31183" spans="1:8">
      <c r="A31183" t="s">
        <v>2331</v>
      </c>
      <c r="B31183">
        <f>HYPERLINK("https://android.googlesource.com/platform/cts/+/7209dcd2cf7e13f7a1645ba9abdb1da1627fac76", "7209dcd2cf7e13f7a1645ba9abdb1da1627fac76")</f>
        <v>0</v>
      </c>
      <c r="C31183">
        <f>HYPERLINK("https://android.googlesource.com/platform/cts/+/7e7880da7b530fff2e0867ba7e9cc52783f7a28d", "7e7880da7b530fff2e0867ba7e9cc52783f7a28d")</f>
        <v>0</v>
      </c>
      <c r="D31183" t="s">
        <v>5363</v>
      </c>
      <c r="E31183" t="s">
        <v>8061</v>
      </c>
      <c r="F31183" t="s">
        <v>10605</v>
      </c>
      <c r="G31183" t="s">
        <v>15008</v>
      </c>
      <c r="H31183" t="s">
        <v>31512</v>
      </c>
    </row>
    <row r="31184" spans="1:8">
      <c r="A31184" t="s">
        <v>2332</v>
      </c>
      <c r="B31184">
        <f>HYPERLINK("https://android.googlesource.com/platform/cts/+/ab2b8c6977b401a9eca08cc72cb3afe66246b46e", "ab2b8c6977b401a9eca08cc72cb3afe66246b46e")</f>
        <v>0</v>
      </c>
      <c r="C31184">
        <f>HYPERLINK("https://android.googlesource.com/platform/cts/+/af94bf80ee6e85725ad563bc2ee8f49ce4c77510", "af94bf80ee6e85725ad563bc2ee8f49ce4c77510")</f>
        <v>0</v>
      </c>
      <c r="D31184" t="s">
        <v>5290</v>
      </c>
      <c r="E31184" t="s">
        <v>8062</v>
      </c>
      <c r="F31184" t="s">
        <v>13772</v>
      </c>
      <c r="G31184" t="s">
        <v>17827</v>
      </c>
      <c r="H31184" t="s">
        <v>31513</v>
      </c>
    </row>
    <row r="31185" spans="1:8">
      <c r="A31185" t="s">
        <v>2333</v>
      </c>
      <c r="B31185">
        <f>HYPERLINK("https://android.googlesource.com/platform/cts/+/c0537b5d27438b175132bdc1f9feee52da96797c", "c0537b5d27438b175132bdc1f9feee52da96797c")</f>
        <v>0</v>
      </c>
      <c r="C31185">
        <f>HYPERLINK("https://android.googlesource.com/platform/cts/+/0ad6166affd9adcfd17624c5b20e3a29c04b9ccb", "0ad6166affd9adcfd17624c5b20e3a29c04b9ccb")</f>
        <v>0</v>
      </c>
      <c r="D31185" t="s">
        <v>4981</v>
      </c>
      <c r="E31185" t="s">
        <v>8063</v>
      </c>
      <c r="F31185" t="s">
        <v>13773</v>
      </c>
      <c r="G31185" t="s">
        <v>17828</v>
      </c>
      <c r="H31185" t="s">
        <v>18863</v>
      </c>
    </row>
    <row r="31186" spans="1:8">
      <c r="H31186" t="s">
        <v>31514</v>
      </c>
    </row>
    <row r="31187" spans="1:8">
      <c r="F31187" t="s">
        <v>13742</v>
      </c>
      <c r="G31187" t="s">
        <v>17802</v>
      </c>
      <c r="H31187" t="s">
        <v>31515</v>
      </c>
    </row>
    <row r="31188" spans="1:8">
      <c r="H31188" t="s">
        <v>31516</v>
      </c>
    </row>
    <row r="31189" spans="1:8">
      <c r="H31189" t="s">
        <v>31517</v>
      </c>
    </row>
    <row r="31190" spans="1:8">
      <c r="F31190" t="s">
        <v>13743</v>
      </c>
      <c r="G31190" t="s">
        <v>17803</v>
      </c>
      <c r="H31190" t="s">
        <v>31518</v>
      </c>
    </row>
    <row r="31191" spans="1:8">
      <c r="H31191" t="s">
        <v>31519</v>
      </c>
    </row>
    <row r="31192" spans="1:8">
      <c r="H31192" t="s">
        <v>31520</v>
      </c>
    </row>
    <row r="31193" spans="1:8">
      <c r="F31193" t="s">
        <v>13744</v>
      </c>
      <c r="G31193" t="s">
        <v>17804</v>
      </c>
      <c r="H31193" t="s">
        <v>31521</v>
      </c>
    </row>
    <row r="31194" spans="1:8">
      <c r="H31194" t="s">
        <v>31522</v>
      </c>
    </row>
    <row r="31195" spans="1:8">
      <c r="H31195" t="s">
        <v>31523</v>
      </c>
    </row>
    <row r="31196" spans="1:8">
      <c r="F31196" t="s">
        <v>13745</v>
      </c>
      <c r="G31196" t="s">
        <v>17805</v>
      </c>
      <c r="H31196" t="s">
        <v>31524</v>
      </c>
    </row>
    <row r="31197" spans="1:8">
      <c r="H31197" t="s">
        <v>31525</v>
      </c>
    </row>
    <row r="31198" spans="1:8">
      <c r="H31198" t="s">
        <v>31526</v>
      </c>
    </row>
    <row r="31199" spans="1:8">
      <c r="F31199" t="s">
        <v>13774</v>
      </c>
      <c r="G31199" t="s">
        <v>17829</v>
      </c>
      <c r="H31199" t="s">
        <v>18863</v>
      </c>
    </row>
    <row r="31200" spans="1:8">
      <c r="H31200" t="s">
        <v>31527</v>
      </c>
    </row>
    <row r="31201" spans="1:8">
      <c r="H31201" t="s">
        <v>31528</v>
      </c>
    </row>
    <row r="31202" spans="1:8">
      <c r="H31202" t="s">
        <v>31529</v>
      </c>
    </row>
    <row r="31203" spans="1:8">
      <c r="H31203" t="s">
        <v>31530</v>
      </c>
    </row>
    <row r="31204" spans="1:8">
      <c r="H31204" t="s">
        <v>31531</v>
      </c>
    </row>
    <row r="31205" spans="1:8">
      <c r="H31205" t="s">
        <v>20363</v>
      </c>
    </row>
    <row r="31206" spans="1:8">
      <c r="H31206" t="s">
        <v>31532</v>
      </c>
    </row>
    <row r="31207" spans="1:8">
      <c r="F31207" t="s">
        <v>13775</v>
      </c>
      <c r="G31207" t="s">
        <v>17830</v>
      </c>
      <c r="H31207" t="s">
        <v>18863</v>
      </c>
    </row>
    <row r="31208" spans="1:8">
      <c r="A31208" t="s">
        <v>2334</v>
      </c>
      <c r="B31208">
        <f>HYPERLINK("https://android.googlesource.com/platform/cts/+/1c2bbff7696e02fc7c20afc630be6a1ef635f153", "1c2bbff7696e02fc7c20afc630be6a1ef635f153")</f>
        <v>0</v>
      </c>
      <c r="C31208">
        <f>HYPERLINK("https://android.googlesource.com/platform/cts/+/3b4167f594d9829299a6690e2e1d0920520e5d6f", "3b4167f594d9829299a6690e2e1d0920520e5d6f")</f>
        <v>0</v>
      </c>
      <c r="D31208" t="s">
        <v>5298</v>
      </c>
      <c r="E31208" t="s">
        <v>8064</v>
      </c>
      <c r="F31208" t="s">
        <v>13776</v>
      </c>
      <c r="G31208" t="s">
        <v>17831</v>
      </c>
      <c r="H31208" t="s">
        <v>31533</v>
      </c>
    </row>
    <row r="31209" spans="1:8">
      <c r="A31209" t="s">
        <v>2335</v>
      </c>
      <c r="B31209">
        <f>HYPERLINK("https://android.googlesource.com/platform/cts/+/d6d609a42c9f4a28a9f9b0c69e0fbfcfdd99ce20", "d6d609a42c9f4a28a9f9b0c69e0fbfcfdd99ce20")</f>
        <v>0</v>
      </c>
      <c r="C31209">
        <f>HYPERLINK("https://android.googlesource.com/platform/cts/+/daedc89bb402d6ffa1a383b0b88916fd7b728605", "daedc89bb402d6ffa1a383b0b88916fd7b728605")</f>
        <v>0</v>
      </c>
      <c r="D31209" t="s">
        <v>4981</v>
      </c>
      <c r="E31209" t="s">
        <v>8065</v>
      </c>
      <c r="F31209" t="s">
        <v>13777</v>
      </c>
      <c r="G31209" t="s">
        <v>17832</v>
      </c>
      <c r="H31209" t="s">
        <v>31534</v>
      </c>
    </row>
    <row r="31210" spans="1:8">
      <c r="F31210" t="s">
        <v>13778</v>
      </c>
      <c r="G31210" t="s">
        <v>17833</v>
      </c>
      <c r="H31210" t="s">
        <v>31535</v>
      </c>
    </row>
    <row r="31211" spans="1:8">
      <c r="A31211" t="s">
        <v>2336</v>
      </c>
      <c r="B31211">
        <f>HYPERLINK("https://android.googlesource.com/platform/cts/+/c9d7c754df93ccbfbe7b1f356dc71fab35785990", "c9d7c754df93ccbfbe7b1f356dc71fab35785990")</f>
        <v>0</v>
      </c>
      <c r="C31211">
        <f>HYPERLINK("https://android.googlesource.com/platform/cts/+/27d8f877a7fd8a876dd4cbb9eb58309022052733", "27d8f877a7fd8a876dd4cbb9eb58309022052733")</f>
        <v>0</v>
      </c>
      <c r="D31211" t="s">
        <v>5359</v>
      </c>
      <c r="E31211" t="s">
        <v>8066</v>
      </c>
      <c r="F31211" t="s">
        <v>13398</v>
      </c>
      <c r="G31211" t="s">
        <v>17524</v>
      </c>
      <c r="H31211" t="s">
        <v>31536</v>
      </c>
    </row>
    <row r="31212" spans="1:8">
      <c r="A31212" t="s">
        <v>2337</v>
      </c>
      <c r="B31212">
        <f>HYPERLINK("https://android.googlesource.com/platform/cts/+/40aa0a2935b1541cbedfb7c7d11a0b87522cb9a1", "40aa0a2935b1541cbedfb7c7d11a0b87522cb9a1")</f>
        <v>0</v>
      </c>
      <c r="C31212">
        <f>HYPERLINK("https://android.googlesource.com/platform/cts/+/b25dd3d0de3702a42a1c547ba21f14cc57f46160", "b25dd3d0de3702a42a1c547ba21f14cc57f46160")</f>
        <v>0</v>
      </c>
      <c r="D31212" t="s">
        <v>5351</v>
      </c>
      <c r="E31212" t="s">
        <v>8067</v>
      </c>
      <c r="F31212" t="s">
        <v>13779</v>
      </c>
      <c r="G31212" t="s">
        <v>17834</v>
      </c>
      <c r="H31212" t="s">
        <v>19981</v>
      </c>
    </row>
    <row r="31213" spans="1:8">
      <c r="H31213" t="s">
        <v>31537</v>
      </c>
    </row>
    <row r="31214" spans="1:8">
      <c r="H31214" t="s">
        <v>31538</v>
      </c>
    </row>
    <row r="31215" spans="1:8">
      <c r="H31215" t="s">
        <v>31539</v>
      </c>
    </row>
    <row r="31216" spans="1:8">
      <c r="H31216" t="s">
        <v>31540</v>
      </c>
    </row>
    <row r="31217" spans="1:8">
      <c r="H31217" t="s">
        <v>31541</v>
      </c>
    </row>
    <row r="31218" spans="1:8">
      <c r="H31218" t="s">
        <v>31542</v>
      </c>
    </row>
    <row r="31219" spans="1:8">
      <c r="A31219" t="s">
        <v>2338</v>
      </c>
      <c r="B31219">
        <f>HYPERLINK("https://android.googlesource.com/platform/cts/+/4692fdf5dfd5d64528e163a570475e21ddca4791", "4692fdf5dfd5d64528e163a570475e21ddca4791")</f>
        <v>0</v>
      </c>
      <c r="C31219">
        <f>HYPERLINK("https://android.googlesource.com/platform/cts/+/7515dd14c8808b0c1b3101669dad9fb6efdb2791", "7515dd14c8808b0c1b3101669dad9fb6efdb2791")</f>
        <v>0</v>
      </c>
      <c r="D31219" t="s">
        <v>5314</v>
      </c>
      <c r="E31219" t="s">
        <v>8068</v>
      </c>
      <c r="F31219" t="s">
        <v>13752</v>
      </c>
      <c r="G31219" t="s">
        <v>17812</v>
      </c>
      <c r="H31219" t="s">
        <v>31543</v>
      </c>
    </row>
    <row r="31220" spans="1:8">
      <c r="A31220" t="s">
        <v>2339</v>
      </c>
      <c r="B31220">
        <f>HYPERLINK("https://android.googlesource.com/platform/cts/+/8ed62f56415387ca4671068ffd2d08dfbc27d43e", "8ed62f56415387ca4671068ffd2d08dfbc27d43e")</f>
        <v>0</v>
      </c>
      <c r="C31220">
        <f>HYPERLINK("https://android.googlesource.com/platform/cts/+/7a94e257c39f67f7c61d23e6ea50078bdc0e20ae", "7a94e257c39f67f7c61d23e6ea50078bdc0e20ae")</f>
        <v>0</v>
      </c>
      <c r="D31220" t="s">
        <v>5377</v>
      </c>
      <c r="E31220" t="s">
        <v>8069</v>
      </c>
      <c r="F31220" t="s">
        <v>13780</v>
      </c>
      <c r="G31220" t="s">
        <v>17667</v>
      </c>
      <c r="H31220" t="s">
        <v>29902</v>
      </c>
    </row>
    <row r="31221" spans="1:8">
      <c r="F31221" t="s">
        <v>12394</v>
      </c>
      <c r="G31221" t="s">
        <v>17294</v>
      </c>
      <c r="H31221" t="s">
        <v>31544</v>
      </c>
    </row>
    <row r="31222" spans="1:8">
      <c r="A31222" t="s">
        <v>2340</v>
      </c>
      <c r="B31222">
        <f>HYPERLINK("https://android.googlesource.com/platform/cts/+/ab220b66eeae7badfef4aaf5cc2e71758d3a51d1", "ab220b66eeae7badfef4aaf5cc2e71758d3a51d1")</f>
        <v>0</v>
      </c>
      <c r="C31222">
        <f>HYPERLINK("https://android.googlesource.com/platform/cts/+/d6d609a42c9f4a28a9f9b0c69e0fbfcfdd99ce20", "d6d609a42c9f4a28a9f9b0c69e0fbfcfdd99ce20")</f>
        <v>0</v>
      </c>
      <c r="D31222" t="s">
        <v>4981</v>
      </c>
      <c r="E31222" t="s">
        <v>8070</v>
      </c>
      <c r="F31222" t="s">
        <v>13747</v>
      </c>
      <c r="G31222" t="s">
        <v>17807</v>
      </c>
      <c r="H31222" t="s">
        <v>31545</v>
      </c>
    </row>
    <row r="31223" spans="1:8">
      <c r="A31223" t="s">
        <v>2342</v>
      </c>
      <c r="B31223">
        <f>HYPERLINK("https://android.googlesource.com/platform/cts/+/b0dd02679bce6f608032fdf3cf1974647402d6d2", "b0dd02679bce6f608032fdf3cf1974647402d6d2")</f>
        <v>0</v>
      </c>
      <c r="C31223">
        <f>HYPERLINK("https://android.googlesource.com/platform/cts/+/fd5c470459efb0516de8b3d7903aa4db2824ed2e", "fd5c470459efb0516de8b3d7903aa4db2824ed2e")</f>
        <v>0</v>
      </c>
      <c r="D31223" t="s">
        <v>5372</v>
      </c>
      <c r="E31223" t="s">
        <v>8072</v>
      </c>
      <c r="F31223" t="s">
        <v>13768</v>
      </c>
      <c r="G31223" t="s">
        <v>17825</v>
      </c>
      <c r="H31223" t="s">
        <v>31546</v>
      </c>
    </row>
    <row r="31224" spans="1:8">
      <c r="A31224" t="s">
        <v>2343</v>
      </c>
      <c r="B31224">
        <f>HYPERLINK("https://android.googlesource.com/platform/cts/+/714301b770faccbe8aff80e3d42b2b365ad3be9e", "714301b770faccbe8aff80e3d42b2b365ad3be9e")</f>
        <v>0</v>
      </c>
      <c r="C31224">
        <f>HYPERLINK("https://android.googlesource.com/platform/cts/+/763c74906fb50d273134086d45c185e1157a473a", "763c74906fb50d273134086d45c185e1157a473a")</f>
        <v>0</v>
      </c>
      <c r="D31224" t="s">
        <v>5122</v>
      </c>
      <c r="E31224" t="s">
        <v>8073</v>
      </c>
      <c r="F31224" t="s">
        <v>13781</v>
      </c>
      <c r="G31224" t="s">
        <v>17835</v>
      </c>
      <c r="H31224" t="s">
        <v>28786</v>
      </c>
    </row>
    <row r="31225" spans="1:8">
      <c r="A31225" t="s">
        <v>2344</v>
      </c>
      <c r="B31225">
        <f>HYPERLINK("https://android.googlesource.com/platform/cts/+/f73db4058fe2eaa18a508ecc12cbb264b827aa0f", "f73db4058fe2eaa18a508ecc12cbb264b827aa0f")</f>
        <v>0</v>
      </c>
      <c r="C31225">
        <f>HYPERLINK("https://android.googlesource.com/platform/cts/+/2c619b3b052fb18eb6c21947990874d28dd5bcb2", "2c619b3b052fb18eb6c21947990874d28dd5bcb2")</f>
        <v>0</v>
      </c>
      <c r="D31225" t="s">
        <v>5332</v>
      </c>
      <c r="E31225" t="s">
        <v>8074</v>
      </c>
      <c r="F31225" t="s">
        <v>13782</v>
      </c>
      <c r="G31225" t="s">
        <v>17836</v>
      </c>
      <c r="H31225" t="s">
        <v>31547</v>
      </c>
    </row>
    <row r="31226" spans="1:8">
      <c r="F31226" t="s">
        <v>13783</v>
      </c>
      <c r="G31226" t="s">
        <v>17837</v>
      </c>
      <c r="H31226" t="s">
        <v>18829</v>
      </c>
    </row>
    <row r="31227" spans="1:8">
      <c r="H31227" t="s">
        <v>18863</v>
      </c>
    </row>
    <row r="31228" spans="1:8">
      <c r="H31228" t="s">
        <v>29420</v>
      </c>
    </row>
    <row r="31229" spans="1:8">
      <c r="H31229" t="s">
        <v>28887</v>
      </c>
    </row>
    <row r="31230" spans="1:8">
      <c r="A31230" t="s">
        <v>2345</v>
      </c>
      <c r="B31230">
        <f>HYPERLINK("https://android.googlesource.com/platform/cts/+/f068f5f2507b26c284412b71a4057fdabecdad9c", "f068f5f2507b26c284412b71a4057fdabecdad9c")</f>
        <v>0</v>
      </c>
      <c r="C31230">
        <f>HYPERLINK("https://android.googlesource.com/platform/cts/+/83bdf787dbffd63bd1d413f4255048308976c41c", "83bdf787dbffd63bd1d413f4255048308976c41c")</f>
        <v>0</v>
      </c>
      <c r="D31230" t="s">
        <v>5167</v>
      </c>
      <c r="E31230" t="s">
        <v>8075</v>
      </c>
      <c r="F31230" t="s">
        <v>13784</v>
      </c>
      <c r="G31230" t="s">
        <v>17838</v>
      </c>
      <c r="H31230" t="s">
        <v>31548</v>
      </c>
    </row>
    <row r="31231" spans="1:8">
      <c r="A31231" t="s">
        <v>2346</v>
      </c>
      <c r="B31231">
        <f>HYPERLINK("https://android.googlesource.com/platform/cts/+/1a236a1193e92078748cfb3d04837d16909755b3", "1a236a1193e92078748cfb3d04837d16909755b3")</f>
        <v>0</v>
      </c>
      <c r="C31231">
        <f>HYPERLINK("https://android.googlesource.com/platform/cts/+/4c366dc228f7468a49efc2054c21e872716fb638", "4c366dc228f7468a49efc2054c21e872716fb638")</f>
        <v>0</v>
      </c>
      <c r="D31231" t="s">
        <v>5167</v>
      </c>
      <c r="E31231" t="s">
        <v>8076</v>
      </c>
      <c r="F31231" t="s">
        <v>13784</v>
      </c>
      <c r="G31231" t="s">
        <v>17838</v>
      </c>
      <c r="H31231" t="s">
        <v>31549</v>
      </c>
    </row>
    <row r="31232" spans="1:8">
      <c r="A31232" t="s">
        <v>2347</v>
      </c>
      <c r="B31232">
        <f>HYPERLINK("https://android.googlesource.com/platform/cts/+/25e9b80303296b012d020961ddf34f44150cf60b", "25e9b80303296b012d020961ddf34f44150cf60b")</f>
        <v>0</v>
      </c>
      <c r="C31232">
        <f>HYPERLINK("https://android.googlesource.com/platform/cts/+/b6a914dc4ef14a018d3bddae1cc03eb860a74640", "b6a914dc4ef14a018d3bddae1cc03eb860a74640")</f>
        <v>0</v>
      </c>
      <c r="D31232" t="s">
        <v>5378</v>
      </c>
      <c r="E31232" t="s">
        <v>8077</v>
      </c>
      <c r="F31232" t="s">
        <v>13315</v>
      </c>
      <c r="G31232" t="s">
        <v>17446</v>
      </c>
      <c r="H31232" t="s">
        <v>31550</v>
      </c>
    </row>
    <row r="31233" spans="1:8">
      <c r="H31233" t="s">
        <v>31551</v>
      </c>
    </row>
    <row r="31234" spans="1:8">
      <c r="H31234" t="s">
        <v>31552</v>
      </c>
    </row>
    <row r="31235" spans="1:8">
      <c r="H31235" t="s">
        <v>31553</v>
      </c>
    </row>
    <row r="31236" spans="1:8">
      <c r="A31236" t="s">
        <v>2348</v>
      </c>
      <c r="B31236">
        <f>HYPERLINK("https://android.googlesource.com/platform/cts/+/32015bc6a975972f6d6424f18f7fc5ba020e4240", "32015bc6a975972f6d6424f18f7fc5ba020e4240")</f>
        <v>0</v>
      </c>
      <c r="C31236">
        <f>HYPERLINK("https://android.googlesource.com/platform/cts/+/d3e71df48b4f858e8fd681025dad93e6117572f8", "d3e71df48b4f858e8fd681025dad93e6117572f8")</f>
        <v>0</v>
      </c>
      <c r="D31236" t="s">
        <v>4981</v>
      </c>
      <c r="E31236" t="s">
        <v>8078</v>
      </c>
      <c r="F31236" t="s">
        <v>13773</v>
      </c>
      <c r="G31236" t="s">
        <v>17828</v>
      </c>
      <c r="H31236" t="s">
        <v>31554</v>
      </c>
    </row>
    <row r="31237" spans="1:8">
      <c r="F31237" t="s">
        <v>13764</v>
      </c>
      <c r="G31237" t="s">
        <v>17821</v>
      </c>
      <c r="H31237" t="s">
        <v>31554</v>
      </c>
    </row>
    <row r="31238" spans="1:8">
      <c r="F31238" t="s">
        <v>13785</v>
      </c>
      <c r="G31238" t="s">
        <v>17839</v>
      </c>
      <c r="H31238" t="s">
        <v>18863</v>
      </c>
    </row>
    <row r="31239" spans="1:8">
      <c r="F31239" t="s">
        <v>13786</v>
      </c>
      <c r="G31239" t="s">
        <v>17840</v>
      </c>
      <c r="H31239" t="s">
        <v>18829</v>
      </c>
    </row>
    <row r="31240" spans="1:8">
      <c r="H31240" t="s">
        <v>31555</v>
      </c>
    </row>
    <row r="31241" spans="1:8">
      <c r="H31241" t="s">
        <v>31556</v>
      </c>
    </row>
    <row r="31242" spans="1:8">
      <c r="F31242" t="s">
        <v>13787</v>
      </c>
      <c r="G31242" t="s">
        <v>15664</v>
      </c>
      <c r="H31242" t="s">
        <v>18829</v>
      </c>
    </row>
    <row r="31243" spans="1:8">
      <c r="H31243" t="s">
        <v>31555</v>
      </c>
    </row>
    <row r="31244" spans="1:8">
      <c r="H31244" t="s">
        <v>31557</v>
      </c>
    </row>
    <row r="31245" spans="1:8">
      <c r="H31245" t="s">
        <v>31558</v>
      </c>
    </row>
    <row r="31246" spans="1:8">
      <c r="H31246" t="s">
        <v>27405</v>
      </c>
    </row>
    <row r="31247" spans="1:8">
      <c r="H31247" t="s">
        <v>31559</v>
      </c>
    </row>
    <row r="31248" spans="1:8">
      <c r="H31248" t="s">
        <v>31560</v>
      </c>
    </row>
    <row r="31249" spans="1:8">
      <c r="H31249" t="s">
        <v>31561</v>
      </c>
    </row>
    <row r="31250" spans="1:8">
      <c r="A31250" t="s">
        <v>2349</v>
      </c>
      <c r="B31250">
        <f>HYPERLINK("https://android.googlesource.com/platform/cts/+/a759547ab69235da0385bf8cb17dbad6edabfa97", "a759547ab69235da0385bf8cb17dbad6edabfa97")</f>
        <v>0</v>
      </c>
      <c r="C31250">
        <f>HYPERLINK("https://android.googlesource.com/platform/cts/+/d3e71df48b4f858e8fd681025dad93e6117572f8", "d3e71df48b4f858e8fd681025dad93e6117572f8")</f>
        <v>0</v>
      </c>
      <c r="D31250" t="s">
        <v>5244</v>
      </c>
      <c r="E31250" t="s">
        <v>8079</v>
      </c>
      <c r="F31250" t="s">
        <v>10678</v>
      </c>
      <c r="G31250" t="s">
        <v>15078</v>
      </c>
      <c r="H31250" t="s">
        <v>31562</v>
      </c>
    </row>
    <row r="31251" spans="1:8">
      <c r="A31251" t="s">
        <v>2350</v>
      </c>
      <c r="B31251">
        <f>HYPERLINK("https://android.googlesource.com/platform/cts/+/79545c720e13d34212f6e689bad5762770c52c3e", "79545c720e13d34212f6e689bad5762770c52c3e")</f>
        <v>0</v>
      </c>
      <c r="C31251">
        <f>HYPERLINK("https://android.googlesource.com/platform/cts/+/d66978874f2ad1c69c6ab2026e88c93948b9bb73", "d66978874f2ad1c69c6ab2026e88c93948b9bb73")</f>
        <v>0</v>
      </c>
      <c r="D31251" t="s">
        <v>5117</v>
      </c>
      <c r="E31251" t="s">
        <v>8080</v>
      </c>
      <c r="F31251" t="s">
        <v>13788</v>
      </c>
      <c r="G31251" t="s">
        <v>17841</v>
      </c>
      <c r="H31251" t="s">
        <v>31563</v>
      </c>
    </row>
    <row r="31252" spans="1:8">
      <c r="H31252" t="s">
        <v>31564</v>
      </c>
    </row>
    <row r="31253" spans="1:8">
      <c r="H31253" t="s">
        <v>31565</v>
      </c>
    </row>
    <row r="31254" spans="1:8">
      <c r="H31254" t="s">
        <v>26758</v>
      </c>
    </row>
    <row r="31255" spans="1:8">
      <c r="A31255" t="s">
        <v>2351</v>
      </c>
      <c r="B31255">
        <f>HYPERLINK("https://android.googlesource.com/platform/cts/+/957cdb84ff81f59e5b5534998ca30ae6669064bb", "957cdb84ff81f59e5b5534998ca30ae6669064bb")</f>
        <v>0</v>
      </c>
      <c r="C31255">
        <f>HYPERLINK("https://android.googlesource.com/platform/cts/+/5162b99d3af45c52006a541270a7f64881c03ed8", "5162b99d3af45c52006a541270a7f64881c03ed8")</f>
        <v>0</v>
      </c>
      <c r="D31255" t="s">
        <v>5375</v>
      </c>
      <c r="E31255" t="s">
        <v>8081</v>
      </c>
      <c r="F31255" t="s">
        <v>13789</v>
      </c>
      <c r="G31255" t="s">
        <v>17842</v>
      </c>
      <c r="H31255" t="s">
        <v>31566</v>
      </c>
    </row>
    <row r="31256" spans="1:8">
      <c r="H31256" t="s">
        <v>22310</v>
      </c>
    </row>
    <row r="31257" spans="1:8">
      <c r="H31257" t="s">
        <v>31567</v>
      </c>
    </row>
    <row r="31258" spans="1:8">
      <c r="H31258" t="s">
        <v>22310</v>
      </c>
    </row>
    <row r="31259" spans="1:8">
      <c r="H31259" t="s">
        <v>22310</v>
      </c>
    </row>
    <row r="31260" spans="1:8">
      <c r="H31260" t="s">
        <v>22310</v>
      </c>
    </row>
    <row r="31261" spans="1:8">
      <c r="H31261" t="s">
        <v>31568</v>
      </c>
    </row>
    <row r="31262" spans="1:8">
      <c r="H31262" t="s">
        <v>31569</v>
      </c>
    </row>
    <row r="31263" spans="1:8">
      <c r="H31263" t="s">
        <v>31570</v>
      </c>
    </row>
    <row r="31264" spans="1:8">
      <c r="H31264" t="s">
        <v>31571</v>
      </c>
    </row>
    <row r="31265" spans="8:8">
      <c r="H31265" t="s">
        <v>31572</v>
      </c>
    </row>
    <row r="31266" spans="8:8">
      <c r="H31266" t="s">
        <v>31569</v>
      </c>
    </row>
    <row r="31267" spans="8:8">
      <c r="H31267" t="s">
        <v>31570</v>
      </c>
    </row>
    <row r="31268" spans="8:8">
      <c r="H31268" t="s">
        <v>31571</v>
      </c>
    </row>
    <row r="31269" spans="8:8">
      <c r="H31269" t="s">
        <v>31573</v>
      </c>
    </row>
    <row r="31270" spans="8:8">
      <c r="H31270" t="s">
        <v>31574</v>
      </c>
    </row>
    <row r="31271" spans="8:8">
      <c r="H31271" t="s">
        <v>31575</v>
      </c>
    </row>
    <row r="31272" spans="8:8">
      <c r="H31272" t="s">
        <v>31576</v>
      </c>
    </row>
    <row r="31273" spans="8:8">
      <c r="H31273" t="s">
        <v>31577</v>
      </c>
    </row>
    <row r="31274" spans="8:8">
      <c r="H31274" t="s">
        <v>19431</v>
      </c>
    </row>
    <row r="31275" spans="8:8">
      <c r="H31275" t="s">
        <v>31578</v>
      </c>
    </row>
    <row r="31276" spans="8:8">
      <c r="H31276" t="s">
        <v>22310</v>
      </c>
    </row>
    <row r="31277" spans="8:8">
      <c r="H31277" t="s">
        <v>31579</v>
      </c>
    </row>
    <row r="31278" spans="8:8">
      <c r="H31278" t="s">
        <v>31580</v>
      </c>
    </row>
    <row r="31279" spans="8:8">
      <c r="H31279" t="s">
        <v>31581</v>
      </c>
    </row>
    <row r="31280" spans="8:8">
      <c r="H31280" t="s">
        <v>31582</v>
      </c>
    </row>
    <row r="31281" spans="1:8">
      <c r="H31281" t="s">
        <v>31583</v>
      </c>
    </row>
    <row r="31282" spans="1:8">
      <c r="H31282" t="s">
        <v>31584</v>
      </c>
    </row>
    <row r="31283" spans="1:8">
      <c r="H31283" t="s">
        <v>31585</v>
      </c>
    </row>
    <row r="31284" spans="1:8">
      <c r="H31284" t="s">
        <v>31586</v>
      </c>
    </row>
    <row r="31285" spans="1:8">
      <c r="H31285" t="s">
        <v>31587</v>
      </c>
    </row>
    <row r="31286" spans="1:8">
      <c r="H31286" t="s">
        <v>31588</v>
      </c>
    </row>
    <row r="31287" spans="1:8">
      <c r="H31287" t="s">
        <v>27273</v>
      </c>
    </row>
    <row r="31288" spans="1:8">
      <c r="H31288" t="s">
        <v>31589</v>
      </c>
    </row>
    <row r="31289" spans="1:8">
      <c r="A31289" t="s">
        <v>2352</v>
      </c>
      <c r="B31289">
        <f>HYPERLINK("https://android.googlesource.com/platform/cts/+/8374b8a41a4223b5fe93e91ce2b86f030ae95eec", "8374b8a41a4223b5fe93e91ce2b86f030ae95eec")</f>
        <v>0</v>
      </c>
      <c r="C31289">
        <f>HYPERLINK("https://android.googlesource.com/platform/cts/+/0886df9f62142b90f248c8b6197593c6e197f842", "0886df9f62142b90f248c8b6197593c6e197f842")</f>
        <v>0</v>
      </c>
      <c r="D31289" t="s">
        <v>5134</v>
      </c>
      <c r="E31289" t="s">
        <v>8082</v>
      </c>
      <c r="F31289" t="s">
        <v>13765</v>
      </c>
      <c r="G31289" t="s">
        <v>17822</v>
      </c>
      <c r="H31289" t="s">
        <v>31590</v>
      </c>
    </row>
    <row r="31290" spans="1:8">
      <c r="A31290" t="s">
        <v>2353</v>
      </c>
      <c r="B31290">
        <f>HYPERLINK("https://android.googlesource.com/platform/cts/+/2015ece1b9a3a151bcfb472492f539ce90d24c0e", "2015ece1b9a3a151bcfb472492f539ce90d24c0e")</f>
        <v>0</v>
      </c>
      <c r="C31290">
        <f>HYPERLINK("https://android.googlesource.com/platform/cts/+/a19c7436f9cf0c7e95cdb63c3e6750202a43cdca", "a19c7436f9cf0c7e95cdb63c3e6750202a43cdca")</f>
        <v>0</v>
      </c>
      <c r="D31290" t="s">
        <v>5180</v>
      </c>
      <c r="E31290" t="s">
        <v>8083</v>
      </c>
      <c r="F31290" t="s">
        <v>13790</v>
      </c>
      <c r="G31290" t="s">
        <v>17519</v>
      </c>
      <c r="H31290" t="s">
        <v>31591</v>
      </c>
    </row>
    <row r="31291" spans="1:8">
      <c r="H31291" t="s">
        <v>26314</v>
      </c>
    </row>
    <row r="31292" spans="1:8">
      <c r="A31292" t="s">
        <v>2354</v>
      </c>
      <c r="B31292">
        <f>HYPERLINK("https://android.googlesource.com/platform/cts/+/ab27d3418059c0a89767942a7c8555d4a6d6555a", "ab27d3418059c0a89767942a7c8555d4a6d6555a")</f>
        <v>0</v>
      </c>
      <c r="C31292">
        <f>HYPERLINK("https://android.googlesource.com/platform/cts/+/afea8423d7537d170546be57829986c3c5f21a2a", "afea8423d7537d170546be57829986c3c5f21a2a")</f>
        <v>0</v>
      </c>
      <c r="D31292" t="s">
        <v>5379</v>
      </c>
      <c r="E31292" t="s">
        <v>8084</v>
      </c>
      <c r="F31292" t="s">
        <v>13791</v>
      </c>
      <c r="G31292" t="s">
        <v>17843</v>
      </c>
      <c r="H31292" t="s">
        <v>31592</v>
      </c>
    </row>
    <row r="31293" spans="1:8">
      <c r="H31293" t="s">
        <v>19536</v>
      </c>
    </row>
    <row r="31294" spans="1:8">
      <c r="H31294" t="s">
        <v>31283</v>
      </c>
    </row>
    <row r="31295" spans="1:8">
      <c r="A31295" t="s">
        <v>2355</v>
      </c>
      <c r="B31295">
        <f>HYPERLINK("https://android.googlesource.com/platform/cts/+/11437a7d2287144017eb9c83e7eeede3b2009496", "11437a7d2287144017eb9c83e7eeede3b2009496")</f>
        <v>0</v>
      </c>
      <c r="C31295">
        <f>HYPERLINK("https://android.googlesource.com/platform/cts/+/e386b91dddf4ff7b7e3fcfe49195be348cddbe55", "e386b91dddf4ff7b7e3fcfe49195be348cddbe55")</f>
        <v>0</v>
      </c>
      <c r="D31295" t="s">
        <v>5018</v>
      </c>
      <c r="E31295" t="s">
        <v>8085</v>
      </c>
      <c r="F31295" t="s">
        <v>13331</v>
      </c>
      <c r="G31295" t="s">
        <v>17461</v>
      </c>
      <c r="H31295" t="s">
        <v>31593</v>
      </c>
    </row>
    <row r="31296" spans="1:8">
      <c r="F31296" t="s">
        <v>13332</v>
      </c>
      <c r="G31296" t="s">
        <v>17462</v>
      </c>
      <c r="H31296" t="s">
        <v>22590</v>
      </c>
    </row>
    <row r="31297" spans="1:8">
      <c r="A31297" t="s">
        <v>2357</v>
      </c>
      <c r="B31297">
        <f>HYPERLINK("https://android.googlesource.com/platform/cts/+/6e7ba057839a7c2030703081ec7af34fc5d9828e", "6e7ba057839a7c2030703081ec7af34fc5d9828e")</f>
        <v>0</v>
      </c>
      <c r="C31297">
        <f>HYPERLINK("https://android.googlesource.com/platform/cts/+/334f23923d2d46f3e57f17015049d0fee2aceafa", "334f23923d2d46f3e57f17015049d0fee2aceafa")</f>
        <v>0</v>
      </c>
      <c r="D31297" t="s">
        <v>5365</v>
      </c>
      <c r="E31297" t="s">
        <v>8087</v>
      </c>
      <c r="F31297" t="s">
        <v>13736</v>
      </c>
      <c r="G31297" t="s">
        <v>17796</v>
      </c>
      <c r="H31297" t="s">
        <v>31594</v>
      </c>
    </row>
    <row r="31298" spans="1:8">
      <c r="A31298" t="s">
        <v>2358</v>
      </c>
      <c r="B31298">
        <f>HYPERLINK("https://android.googlesource.com/platform/cts/+/2e0f588fa1dcb486ee7a2a790b2f147d2449f892", "2e0f588fa1dcb486ee7a2a790b2f147d2449f892")</f>
        <v>0</v>
      </c>
      <c r="C31298">
        <f>HYPERLINK("https://android.googlesource.com/platform/cts/+/41dcf09dcf5d9832331d87424da46c21cdf590f6", "41dcf09dcf5d9832331d87424da46c21cdf590f6")</f>
        <v>0</v>
      </c>
      <c r="D31298" t="s">
        <v>5096</v>
      </c>
      <c r="E31298" t="s">
        <v>8088</v>
      </c>
      <c r="F31298" t="s">
        <v>12419</v>
      </c>
      <c r="G31298" t="s">
        <v>16641</v>
      </c>
      <c r="H31298" t="s">
        <v>31595</v>
      </c>
    </row>
    <row r="31299" spans="1:8">
      <c r="A31299" t="s">
        <v>2359</v>
      </c>
      <c r="B31299">
        <f>HYPERLINK("https://android.googlesource.com/platform/cts/+/937f3a6d396ce5d4e9c9215be01dc25d4136b65c", "937f3a6d396ce5d4e9c9215be01dc25d4136b65c")</f>
        <v>0</v>
      </c>
      <c r="C31299">
        <f>HYPERLINK("https://android.googlesource.com/platform/cts/+/446fccde42fd9d30cc1b0036d8cd23dfea36dce4", "446fccde42fd9d30cc1b0036d8cd23dfea36dce4")</f>
        <v>0</v>
      </c>
      <c r="D31299" t="s">
        <v>5134</v>
      </c>
      <c r="E31299" t="s">
        <v>8089</v>
      </c>
      <c r="F31299" t="s">
        <v>13765</v>
      </c>
      <c r="G31299" t="s">
        <v>17822</v>
      </c>
      <c r="H31299" t="s">
        <v>31596</v>
      </c>
    </row>
    <row r="31300" spans="1:8">
      <c r="A31300" t="s">
        <v>2360</v>
      </c>
      <c r="B31300">
        <f>HYPERLINK("https://android.googlesource.com/platform/cts/+/e81877cca7ebbb4bc2f3d9fb46e3a6aef53a81ec", "e81877cca7ebbb4bc2f3d9fb46e3a6aef53a81ec")</f>
        <v>0</v>
      </c>
      <c r="C31300">
        <f>HYPERLINK("https://android.googlesource.com/platform/cts/+/0fc1b7851e546b06d34638ba6bd4719983635b9a", "0fc1b7851e546b06d34638ba6bd4719983635b9a")</f>
        <v>0</v>
      </c>
      <c r="D31300" t="s">
        <v>5380</v>
      </c>
      <c r="E31300" t="s">
        <v>8090</v>
      </c>
      <c r="F31300" t="s">
        <v>13792</v>
      </c>
      <c r="G31300" t="s">
        <v>17844</v>
      </c>
      <c r="H31300" t="s">
        <v>29930</v>
      </c>
    </row>
    <row r="31301" spans="1:8">
      <c r="A31301" t="s">
        <v>2361</v>
      </c>
      <c r="B31301">
        <f>HYPERLINK("https://android.googlesource.com/platform/cts/+/f51ff0eb17e5fcd96db3594eaef5f94bd9a79bf8", "f51ff0eb17e5fcd96db3594eaef5f94bd9a79bf8")</f>
        <v>0</v>
      </c>
      <c r="C31301">
        <f>HYPERLINK("https://android.googlesource.com/platform/cts/+/b5dee0037413996fb644b70a4c4d422080ad6efc", "b5dee0037413996fb644b70a4c4d422080ad6efc")</f>
        <v>0</v>
      </c>
      <c r="D31301" t="s">
        <v>5381</v>
      </c>
      <c r="E31301" t="s">
        <v>8091</v>
      </c>
      <c r="F31301" t="s">
        <v>13793</v>
      </c>
      <c r="G31301" t="s">
        <v>17845</v>
      </c>
      <c r="H31301" t="s">
        <v>31597</v>
      </c>
    </row>
    <row r="31302" spans="1:8">
      <c r="H31302" t="s">
        <v>31598</v>
      </c>
    </row>
    <row r="31303" spans="1:8">
      <c r="A31303" t="s">
        <v>2362</v>
      </c>
      <c r="B31303">
        <f>HYPERLINK("https://android.googlesource.com/platform/cts/+/2460f7b9abf86a30fe0e1975e721d55b9085b946", "2460f7b9abf86a30fe0e1975e721d55b9085b946")</f>
        <v>0</v>
      </c>
      <c r="C31303">
        <f>HYPERLINK("https://android.googlesource.com/platform/cts/+/1fe4cadc1ed4787753912dfc0756698df41e4e3a", "1fe4cadc1ed4787753912dfc0756698df41e4e3a")</f>
        <v>0</v>
      </c>
      <c r="D31303" t="s">
        <v>5379</v>
      </c>
      <c r="E31303" t="s">
        <v>8092</v>
      </c>
      <c r="F31303" t="s">
        <v>13794</v>
      </c>
      <c r="G31303" t="s">
        <v>17846</v>
      </c>
      <c r="H31303" t="s">
        <v>31599</v>
      </c>
    </row>
    <row r="31304" spans="1:8">
      <c r="H31304" t="s">
        <v>31283</v>
      </c>
    </row>
    <row r="31305" spans="1:8">
      <c r="H31305" t="s">
        <v>31600</v>
      </c>
    </row>
    <row r="31306" spans="1:8">
      <c r="A31306" t="s">
        <v>2363</v>
      </c>
      <c r="B31306">
        <f>HYPERLINK("https://android.googlesource.com/platform/cts/+/8c23de2732feaff86aa43cd32c659a32beafd7b6", "8c23de2732feaff86aa43cd32c659a32beafd7b6")</f>
        <v>0</v>
      </c>
      <c r="C31306">
        <f>HYPERLINK("https://android.googlesource.com/platform/cts/+/9284c6e1157295c95fe55c40f4c6bbbc2747ffd1", "9284c6e1157295c95fe55c40f4c6bbbc2747ffd1")</f>
        <v>0</v>
      </c>
      <c r="D31306" t="s">
        <v>5180</v>
      </c>
      <c r="E31306" t="s">
        <v>8093</v>
      </c>
      <c r="F31306" t="s">
        <v>13790</v>
      </c>
      <c r="G31306" t="s">
        <v>17519</v>
      </c>
      <c r="H31306" t="s">
        <v>31601</v>
      </c>
    </row>
    <row r="31307" spans="1:8">
      <c r="H31307" t="s">
        <v>31602</v>
      </c>
    </row>
    <row r="31308" spans="1:8">
      <c r="A31308" t="s">
        <v>2364</v>
      </c>
      <c r="B31308">
        <f>HYPERLINK("https://android.googlesource.com/platform/cts/+/c0c6d59aa09fc3e8f003a8e322d00846b3e6d316", "c0c6d59aa09fc3e8f003a8e322d00846b3e6d316")</f>
        <v>0</v>
      </c>
      <c r="C31308">
        <f>HYPERLINK("https://android.googlesource.com/platform/cts/+/a215eb85d4703cc2cfed58495a16be1c99c54830", "a215eb85d4703cc2cfed58495a16be1c99c54830")</f>
        <v>0</v>
      </c>
      <c r="D31308" t="s">
        <v>5134</v>
      </c>
      <c r="E31308" t="s">
        <v>8094</v>
      </c>
      <c r="F31308" t="s">
        <v>13765</v>
      </c>
      <c r="G31308" t="s">
        <v>17822</v>
      </c>
      <c r="H31308" t="s">
        <v>31603</v>
      </c>
    </row>
    <row r="31309" spans="1:8">
      <c r="F31309" t="s">
        <v>13756</v>
      </c>
      <c r="G31309" t="s">
        <v>17371</v>
      </c>
      <c r="H31309" t="s">
        <v>31604</v>
      </c>
    </row>
    <row r="31310" spans="1:8">
      <c r="H31310" t="s">
        <v>31605</v>
      </c>
    </row>
    <row r="31311" spans="1:8">
      <c r="H31311" t="s">
        <v>31606</v>
      </c>
    </row>
    <row r="31312" spans="1:8">
      <c r="A31312" t="s">
        <v>2365</v>
      </c>
      <c r="B31312">
        <f>HYPERLINK("https://android.googlesource.com/platform/cts/+/56d454cd914a55e6149e22a043dea683d71378a8", "56d454cd914a55e6149e22a043dea683d71378a8")</f>
        <v>0</v>
      </c>
      <c r="C31312">
        <f>HYPERLINK("https://android.googlesource.com/platform/cts/+/dbf932e3100885333b939a50a0c086d48f4d71ba", "dbf932e3100885333b939a50a0c086d48f4d71ba")</f>
        <v>0</v>
      </c>
      <c r="D31312" t="s">
        <v>5233</v>
      </c>
      <c r="E31312" t="s">
        <v>8095</v>
      </c>
      <c r="F31312" t="s">
        <v>12802</v>
      </c>
      <c r="G31312" t="s">
        <v>16984</v>
      </c>
      <c r="H31312" t="s">
        <v>31607</v>
      </c>
    </row>
    <row r="31313" spans="1:8">
      <c r="A31313" t="s">
        <v>2366</v>
      </c>
      <c r="B31313">
        <f>HYPERLINK("https://android.googlesource.com/platform/cts/+/6f80be06c44349a4c1945c9ef298d5e4f7f28dc6", "6f80be06c44349a4c1945c9ef298d5e4f7f28dc6")</f>
        <v>0</v>
      </c>
      <c r="C31313">
        <f>HYPERLINK("https://android.googlesource.com/platform/cts/+/3d32635e90e7f3faf5916351555e1d9de59fb078", "3d32635e90e7f3faf5916351555e1d9de59fb078")</f>
        <v>0</v>
      </c>
      <c r="D31313" t="s">
        <v>5382</v>
      </c>
      <c r="E31313" t="s">
        <v>8096</v>
      </c>
      <c r="F31313" t="s">
        <v>13795</v>
      </c>
      <c r="G31313" t="s">
        <v>17847</v>
      </c>
      <c r="H31313" t="s">
        <v>18829</v>
      </c>
    </row>
    <row r="31314" spans="1:8">
      <c r="H31314" t="s">
        <v>31608</v>
      </c>
    </row>
    <row r="31315" spans="1:8">
      <c r="H31315" t="s">
        <v>31609</v>
      </c>
    </row>
    <row r="31316" spans="1:8">
      <c r="H31316" t="s">
        <v>31610</v>
      </c>
    </row>
    <row r="31317" spans="1:8">
      <c r="H31317" t="s">
        <v>31611</v>
      </c>
    </row>
    <row r="31318" spans="1:8">
      <c r="H31318" t="s">
        <v>31612</v>
      </c>
    </row>
    <row r="31319" spans="1:8">
      <c r="H31319" t="s">
        <v>31613</v>
      </c>
    </row>
    <row r="31320" spans="1:8">
      <c r="H31320" t="s">
        <v>31614</v>
      </c>
    </row>
    <row r="31321" spans="1:8">
      <c r="H31321" t="s">
        <v>31615</v>
      </c>
    </row>
    <row r="31322" spans="1:8">
      <c r="F31322" t="s">
        <v>12710</v>
      </c>
      <c r="G31322" t="s">
        <v>16911</v>
      </c>
      <c r="H31322" t="s">
        <v>31616</v>
      </c>
    </row>
    <row r="31323" spans="1:8">
      <c r="A31323" t="s">
        <v>2367</v>
      </c>
      <c r="B31323">
        <f>HYPERLINK("https://android.googlesource.com/platform/cts/+/4af30d7440df06d9779a2177283ed7a08e66af98", "4af30d7440df06d9779a2177283ed7a08e66af98")</f>
        <v>0</v>
      </c>
      <c r="C31323">
        <f>HYPERLINK("https://android.googlesource.com/platform/cts/+/8cfc3b6dc2e1bd4ae45bdfe56d410305bc4bd27b", "8cfc3b6dc2e1bd4ae45bdfe56d410305bc4bd27b")</f>
        <v>0</v>
      </c>
      <c r="D31323" t="s">
        <v>5382</v>
      </c>
      <c r="E31323" t="s">
        <v>8097</v>
      </c>
      <c r="F31323" t="s">
        <v>13795</v>
      </c>
      <c r="G31323" t="s">
        <v>17847</v>
      </c>
      <c r="H31323" t="s">
        <v>18829</v>
      </c>
    </row>
    <row r="31324" spans="1:8">
      <c r="H31324" t="s">
        <v>31608</v>
      </c>
    </row>
    <row r="31325" spans="1:8">
      <c r="H31325" t="s">
        <v>31609</v>
      </c>
    </row>
    <row r="31326" spans="1:8">
      <c r="H31326" t="s">
        <v>31610</v>
      </c>
    </row>
    <row r="31327" spans="1:8">
      <c r="H31327" t="s">
        <v>31611</v>
      </c>
    </row>
    <row r="31328" spans="1:8">
      <c r="H31328" t="s">
        <v>31612</v>
      </c>
    </row>
    <row r="31329" spans="1:8">
      <c r="H31329" t="s">
        <v>31613</v>
      </c>
    </row>
    <row r="31330" spans="1:8">
      <c r="H31330" t="s">
        <v>31614</v>
      </c>
    </row>
    <row r="31331" spans="1:8">
      <c r="H31331" t="s">
        <v>31615</v>
      </c>
    </row>
    <row r="31332" spans="1:8">
      <c r="F31332" t="s">
        <v>12710</v>
      </c>
      <c r="G31332" t="s">
        <v>16911</v>
      </c>
      <c r="H31332" t="s">
        <v>31616</v>
      </c>
    </row>
    <row r="31333" spans="1:8">
      <c r="A31333" t="s">
        <v>2368</v>
      </c>
      <c r="B31333">
        <f>HYPERLINK("https://android.googlesource.com/platform/cts/+/b01752955ffac6640183feb36433033eb69d0232", "b01752955ffac6640183feb36433033eb69d0232")</f>
        <v>0</v>
      </c>
      <c r="C31333">
        <f>HYPERLINK("https://android.googlesource.com/platform/cts/+/6ed86fb21b871da99052bd1fcb8ff68f383160e9", "6ed86fb21b871da99052bd1fcb8ff68f383160e9")</f>
        <v>0</v>
      </c>
      <c r="D31333" t="s">
        <v>5382</v>
      </c>
      <c r="E31333" t="s">
        <v>8098</v>
      </c>
      <c r="F31333" t="s">
        <v>13795</v>
      </c>
      <c r="G31333" t="s">
        <v>17847</v>
      </c>
      <c r="H31333" t="s">
        <v>18829</v>
      </c>
    </row>
    <row r="31334" spans="1:8">
      <c r="H31334" t="s">
        <v>31608</v>
      </c>
    </row>
    <row r="31335" spans="1:8">
      <c r="H31335" t="s">
        <v>31609</v>
      </c>
    </row>
    <row r="31336" spans="1:8">
      <c r="H31336" t="s">
        <v>31610</v>
      </c>
    </row>
    <row r="31337" spans="1:8">
      <c r="H31337" t="s">
        <v>31611</v>
      </c>
    </row>
    <row r="31338" spans="1:8">
      <c r="H31338" t="s">
        <v>31612</v>
      </c>
    </row>
    <row r="31339" spans="1:8">
      <c r="H31339" t="s">
        <v>31613</v>
      </c>
    </row>
    <row r="31340" spans="1:8">
      <c r="H31340" t="s">
        <v>31614</v>
      </c>
    </row>
    <row r="31341" spans="1:8">
      <c r="H31341" t="s">
        <v>31615</v>
      </c>
    </row>
    <row r="31342" spans="1:8">
      <c r="F31342" t="s">
        <v>12710</v>
      </c>
      <c r="G31342" t="s">
        <v>16911</v>
      </c>
      <c r="H31342" t="s">
        <v>31616</v>
      </c>
    </row>
    <row r="31343" spans="1:8">
      <c r="A31343" t="s">
        <v>2369</v>
      </c>
      <c r="B31343">
        <f>HYPERLINK("https://android.googlesource.com/platform/cts/+/a56c508c589f37cea9aa28cec18c26665aee2e39", "a56c508c589f37cea9aa28cec18c26665aee2e39")</f>
        <v>0</v>
      </c>
      <c r="C31343">
        <f>HYPERLINK("https://android.googlesource.com/platform/cts/+/3b4167f594d9829299a6690e2e1d0920520e5d6f", "3b4167f594d9829299a6690e2e1d0920520e5d6f")</f>
        <v>0</v>
      </c>
      <c r="D31343" t="s">
        <v>5298</v>
      </c>
      <c r="E31343" t="s">
        <v>8099</v>
      </c>
      <c r="F31343" t="s">
        <v>13776</v>
      </c>
      <c r="G31343" t="s">
        <v>17831</v>
      </c>
      <c r="H31343" t="s">
        <v>31533</v>
      </c>
    </row>
    <row r="31344" spans="1:8">
      <c r="A31344" t="s">
        <v>2370</v>
      </c>
      <c r="B31344">
        <f>HYPERLINK("https://android.googlesource.com/platform/cts/+/d834029ae5a4d29afb15c1e96a53c6be317209a8", "d834029ae5a4d29afb15c1e96a53c6be317209a8")</f>
        <v>0</v>
      </c>
      <c r="C31344">
        <f>HYPERLINK("https://android.googlesource.com/platform/cts/+/72919e867b673e218449b6edae714dda749cb573", "72919e867b673e218449b6edae714dda749cb573")</f>
        <v>0</v>
      </c>
      <c r="D31344" t="s">
        <v>5134</v>
      </c>
      <c r="E31344" t="s">
        <v>8100</v>
      </c>
      <c r="F31344" t="s">
        <v>13428</v>
      </c>
      <c r="G31344" t="s">
        <v>17552</v>
      </c>
      <c r="H31344" t="s">
        <v>31617</v>
      </c>
    </row>
    <row r="31345" spans="1:8">
      <c r="A31345" t="s">
        <v>2371</v>
      </c>
      <c r="B31345">
        <f>HYPERLINK("https://android.googlesource.com/platform/cts/+/4d693be1bd137420092f69cab6afe42db4d15d37", "4d693be1bd137420092f69cab6afe42db4d15d37")</f>
        <v>0</v>
      </c>
      <c r="C31345">
        <f>HYPERLINK("https://android.googlesource.com/platform/cts/+/b8b4533d0318957ead2a52550a5aa069d7201e99", "b8b4533d0318957ead2a52550a5aa069d7201e99")</f>
        <v>0</v>
      </c>
      <c r="D31345" t="s">
        <v>5134</v>
      </c>
      <c r="E31345" t="s">
        <v>8101</v>
      </c>
      <c r="F31345" t="s">
        <v>13796</v>
      </c>
      <c r="G31345" t="s">
        <v>17848</v>
      </c>
      <c r="H31345" t="s">
        <v>31618</v>
      </c>
    </row>
    <row r="31346" spans="1:8">
      <c r="H31346" t="s">
        <v>31619</v>
      </c>
    </row>
    <row r="31347" spans="1:8">
      <c r="H31347" t="s">
        <v>31620</v>
      </c>
    </row>
    <row r="31348" spans="1:8">
      <c r="H31348" t="s">
        <v>31621</v>
      </c>
    </row>
    <row r="31349" spans="1:8">
      <c r="H31349" t="s">
        <v>31622</v>
      </c>
    </row>
    <row r="31350" spans="1:8">
      <c r="A31350" t="s">
        <v>2372</v>
      </c>
      <c r="B31350">
        <f>HYPERLINK("https://android.googlesource.com/platform/cts/+/271c1441e900bcd1ed505b5d26c97c69338b70e1", "271c1441e900bcd1ed505b5d26c97c69338b70e1")</f>
        <v>0</v>
      </c>
      <c r="C31350">
        <f>HYPERLINK("https://android.googlesource.com/platform/cts/+/d58c16236c140c46c95f8c94293b7dfff1ab5187", "d58c16236c140c46c95f8c94293b7dfff1ab5187")</f>
        <v>0</v>
      </c>
      <c r="D31350" t="s">
        <v>5244</v>
      </c>
      <c r="E31350" t="s">
        <v>8102</v>
      </c>
      <c r="F31350" t="s">
        <v>13764</v>
      </c>
      <c r="G31350" t="s">
        <v>17821</v>
      </c>
      <c r="H31350" t="s">
        <v>21530</v>
      </c>
    </row>
    <row r="31351" spans="1:8">
      <c r="A31351" t="s">
        <v>2373</v>
      </c>
      <c r="B31351">
        <f>HYPERLINK("https://android.googlesource.com/platform/cts/+/80f3dfb0bf5ce43c4b07dde17d522df5b58fe30a", "80f3dfb0bf5ce43c4b07dde17d522df5b58fe30a")</f>
        <v>0</v>
      </c>
      <c r="C31351">
        <f>HYPERLINK("https://android.googlesource.com/platform/cts/+/3ba81de58ffa5c967e142f3f925d0f9de3bd240a", "3ba81de58ffa5c967e142f3f925d0f9de3bd240a")</f>
        <v>0</v>
      </c>
      <c r="D31351" t="s">
        <v>5134</v>
      </c>
      <c r="E31351" t="s">
        <v>8103</v>
      </c>
      <c r="F31351" t="s">
        <v>13756</v>
      </c>
      <c r="G31351" t="s">
        <v>17371</v>
      </c>
      <c r="H31351" t="s">
        <v>31623</v>
      </c>
    </row>
    <row r="31352" spans="1:8">
      <c r="A31352" t="s">
        <v>2374</v>
      </c>
      <c r="B31352">
        <f>HYPERLINK("https://android.googlesource.com/platform/cts/+/13953ded9908bb75007968fca3c05299bf57c79a", "13953ded9908bb75007968fca3c05299bf57c79a")</f>
        <v>0</v>
      </c>
      <c r="C31352">
        <f>HYPERLINK("https://android.googlesource.com/platform/cts/+/3e0b153899f71eb897ed99bcbd432fcdb8b87dc3", "3e0b153899f71eb897ed99bcbd432fcdb8b87dc3")</f>
        <v>0</v>
      </c>
      <c r="D31352" t="s">
        <v>5260</v>
      </c>
      <c r="E31352" t="s">
        <v>8104</v>
      </c>
      <c r="F31352" t="s">
        <v>13797</v>
      </c>
      <c r="G31352" t="s">
        <v>17849</v>
      </c>
      <c r="H31352" t="s">
        <v>31624</v>
      </c>
    </row>
    <row r="31353" spans="1:8">
      <c r="H31353" t="s">
        <v>31625</v>
      </c>
    </row>
    <row r="31354" spans="1:8">
      <c r="A31354" t="s">
        <v>2375</v>
      </c>
      <c r="B31354">
        <f>HYPERLINK("https://android.googlesource.com/platform/cts/+/8833ad0802aa8eaeee63a257fe872acc15d30a87", "8833ad0802aa8eaeee63a257fe872acc15d30a87")</f>
        <v>0</v>
      </c>
      <c r="C31354">
        <f>HYPERLINK("https://android.googlesource.com/platform/cts/+/8404123d31656e0d8567c1dbd92229d5da81d902", "8404123d31656e0d8567c1dbd92229d5da81d902")</f>
        <v>0</v>
      </c>
      <c r="D31354" t="s">
        <v>4971</v>
      </c>
      <c r="E31354" t="s">
        <v>8105</v>
      </c>
      <c r="F31354" t="s">
        <v>13059</v>
      </c>
      <c r="G31354" t="s">
        <v>17223</v>
      </c>
      <c r="H31354" t="s">
        <v>31626</v>
      </c>
    </row>
    <row r="31355" spans="1:8">
      <c r="A31355" t="s">
        <v>2378</v>
      </c>
      <c r="B31355">
        <f>HYPERLINK("https://android.googlesource.com/platform/cts/+/6930052ff60cbe1db55097524cf8667b0b27a823", "6930052ff60cbe1db55097524cf8667b0b27a823")</f>
        <v>0</v>
      </c>
      <c r="C31355">
        <f>HYPERLINK("https://android.googlesource.com/platform/cts/+/3ba81de58ffa5c967e142f3f925d0f9de3bd240a", "3ba81de58ffa5c967e142f3f925d0f9de3bd240a")</f>
        <v>0</v>
      </c>
      <c r="D31355" t="s">
        <v>5134</v>
      </c>
      <c r="E31355" t="s">
        <v>8108</v>
      </c>
      <c r="F31355" t="s">
        <v>13746</v>
      </c>
      <c r="G31355" t="s">
        <v>17806</v>
      </c>
      <c r="H31355" t="s">
        <v>31627</v>
      </c>
    </row>
    <row r="31356" spans="1:8">
      <c r="A31356" t="s">
        <v>2379</v>
      </c>
      <c r="B31356">
        <f>HYPERLINK("https://android.googlesource.com/platform/cts/+/83ea2a67c60155fdff8194474dee2d9178d48461", "83ea2a67c60155fdff8194474dee2d9178d48461")</f>
        <v>0</v>
      </c>
      <c r="C31356">
        <f>HYPERLINK("https://android.googlesource.com/platform/cts/+/de4ddc0452fdead5ded61d2bb47a8ef32274bade", "de4ddc0452fdead5ded61d2bb47a8ef32274bade")</f>
        <v>0</v>
      </c>
      <c r="D31356" t="s">
        <v>5128</v>
      </c>
      <c r="E31356" t="s">
        <v>8109</v>
      </c>
      <c r="F31356" t="s">
        <v>13798</v>
      </c>
      <c r="G31356" t="s">
        <v>17850</v>
      </c>
      <c r="H31356" t="s">
        <v>18829</v>
      </c>
    </row>
    <row r="31357" spans="1:8">
      <c r="H31357" t="s">
        <v>31628</v>
      </c>
    </row>
    <row r="31358" spans="1:8">
      <c r="H31358" t="s">
        <v>26807</v>
      </c>
    </row>
    <row r="31359" spans="1:8">
      <c r="H31359" t="s">
        <v>31629</v>
      </c>
    </row>
    <row r="31360" spans="1:8">
      <c r="H31360" t="s">
        <v>31630</v>
      </c>
    </row>
    <row r="31361" spans="1:8">
      <c r="H31361" t="s">
        <v>31631</v>
      </c>
    </row>
    <row r="31362" spans="1:8">
      <c r="H31362" t="s">
        <v>31632</v>
      </c>
    </row>
    <row r="31363" spans="1:8">
      <c r="A31363" t="s">
        <v>2380</v>
      </c>
      <c r="B31363">
        <f>HYPERLINK("https://android.googlesource.com/platform/cts/+/9c906217748e3d53559753abdfea873319df4b8a", "9c906217748e3d53559753abdfea873319df4b8a")</f>
        <v>0</v>
      </c>
      <c r="C31363">
        <f>HYPERLINK("https://android.googlesource.com/platform/cts/+/0eace3d80ab5583addf94a5bfb84fd8a54f7cb0b", "0eace3d80ab5583addf94a5bfb84fd8a54f7cb0b")</f>
        <v>0</v>
      </c>
      <c r="D31363" t="s">
        <v>5135</v>
      </c>
      <c r="E31363" t="s">
        <v>8110</v>
      </c>
      <c r="F31363" t="s">
        <v>13799</v>
      </c>
      <c r="G31363" t="s">
        <v>16553</v>
      </c>
      <c r="H31363" t="s">
        <v>31633</v>
      </c>
    </row>
    <row r="31364" spans="1:8">
      <c r="A31364" t="s">
        <v>2381</v>
      </c>
      <c r="B31364">
        <f>HYPERLINK("https://android.googlesource.com/platform/cts/+/2da35c271e586f7779842c2825f8d32ca3820fb2", "2da35c271e586f7779842c2825f8d32ca3820fb2")</f>
        <v>0</v>
      </c>
      <c r="C31364">
        <f>HYPERLINK("https://android.googlesource.com/platform/cts/+/87e8ce53b5081b3054e92f80b494fad64323f891", "87e8ce53b5081b3054e92f80b494fad64323f891")</f>
        <v>0</v>
      </c>
      <c r="D31364" t="s">
        <v>5383</v>
      </c>
      <c r="E31364" t="s">
        <v>8111</v>
      </c>
      <c r="F31364" t="s">
        <v>13800</v>
      </c>
      <c r="G31364" t="s">
        <v>17851</v>
      </c>
      <c r="H31364" t="s">
        <v>31634</v>
      </c>
    </row>
    <row r="31365" spans="1:8">
      <c r="H31365" t="s">
        <v>31635</v>
      </c>
    </row>
    <row r="31366" spans="1:8">
      <c r="H31366" t="s">
        <v>31636</v>
      </c>
    </row>
    <row r="31367" spans="1:8">
      <c r="H31367" t="s">
        <v>31637</v>
      </c>
    </row>
    <row r="31368" spans="1:8">
      <c r="H31368" t="s">
        <v>31638</v>
      </c>
    </row>
    <row r="31369" spans="1:8">
      <c r="H31369" t="s">
        <v>31639</v>
      </c>
    </row>
    <row r="31370" spans="1:8">
      <c r="H31370" t="s">
        <v>19756</v>
      </c>
    </row>
    <row r="31371" spans="1:8">
      <c r="H31371" t="s">
        <v>22058</v>
      </c>
    </row>
    <row r="31372" spans="1:8">
      <c r="H31372" t="s">
        <v>31640</v>
      </c>
    </row>
    <row r="31373" spans="1:8">
      <c r="H31373" t="s">
        <v>31641</v>
      </c>
    </row>
    <row r="31374" spans="1:8">
      <c r="H31374" t="s">
        <v>31642</v>
      </c>
    </row>
    <row r="31375" spans="1:8">
      <c r="A31375" t="s">
        <v>2382</v>
      </c>
      <c r="B31375">
        <f>HYPERLINK("https://android.googlesource.com/platform/cts/+/2ac8add1d429cdf0aa63d753a3f6cc96c5a0a65a", "2ac8add1d429cdf0aa63d753a3f6cc96c5a0a65a")</f>
        <v>0</v>
      </c>
      <c r="C31375">
        <f>HYPERLINK("https://android.googlesource.com/platform/cts/+/a6e1a886435bbbca18470f4370607e7e977f92e0", "a6e1a886435bbbca18470f4370607e7e977f92e0")</f>
        <v>0</v>
      </c>
      <c r="D31375" t="s">
        <v>5384</v>
      </c>
      <c r="E31375" t="s">
        <v>8112</v>
      </c>
      <c r="F31375" t="s">
        <v>13801</v>
      </c>
      <c r="G31375" t="s">
        <v>16597</v>
      </c>
      <c r="H31375" t="s">
        <v>22521</v>
      </c>
    </row>
    <row r="31376" spans="1:8">
      <c r="H31376" t="s">
        <v>22528</v>
      </c>
    </row>
    <row r="31377" spans="1:8">
      <c r="H31377" t="s">
        <v>22529</v>
      </c>
    </row>
    <row r="31378" spans="1:8">
      <c r="A31378" t="s">
        <v>2384</v>
      </c>
      <c r="B31378">
        <f>HYPERLINK("https://android.googlesource.com/platform/cts/+/d4d7bb6e788c113646ce842d7a97531ddaa84a3c", "d4d7bb6e788c113646ce842d7a97531ddaa84a3c")</f>
        <v>0</v>
      </c>
      <c r="C31378">
        <f>HYPERLINK("https://android.googlesource.com/platform/cts/+/0e09cb0bb382f61037e33e30d36fc13c3d028d0d", "0e09cb0bb382f61037e33e30d36fc13c3d028d0d")</f>
        <v>0</v>
      </c>
      <c r="D31378" t="s">
        <v>5385</v>
      </c>
      <c r="E31378" t="s">
        <v>8114</v>
      </c>
      <c r="F31378" t="s">
        <v>13802</v>
      </c>
      <c r="G31378" t="s">
        <v>17852</v>
      </c>
      <c r="H31378" t="s">
        <v>31643</v>
      </c>
    </row>
    <row r="31379" spans="1:8">
      <c r="A31379" t="s">
        <v>2385</v>
      </c>
      <c r="B31379">
        <f>HYPERLINK("https://android.googlesource.com/platform/cts/+/15adc74127c14192af55ad176c7d341d257f7e53", "15adc74127c14192af55ad176c7d341d257f7e53")</f>
        <v>0</v>
      </c>
      <c r="C31379">
        <f>HYPERLINK("https://android.googlesource.com/platform/cts/+/065a4af81935925843c8af215faaef9d37ced9dd", "065a4af81935925843c8af215faaef9d37ced9dd")</f>
        <v>0</v>
      </c>
      <c r="D31379" t="s">
        <v>4981</v>
      </c>
      <c r="E31379" t="s">
        <v>8115</v>
      </c>
      <c r="F31379" t="s">
        <v>13727</v>
      </c>
      <c r="G31379" t="s">
        <v>17789</v>
      </c>
      <c r="H31379" t="s">
        <v>31644</v>
      </c>
    </row>
    <row r="31380" spans="1:8">
      <c r="F31380" t="s">
        <v>13803</v>
      </c>
      <c r="G31380" t="s">
        <v>17853</v>
      </c>
      <c r="H31380" t="s">
        <v>26522</v>
      </c>
    </row>
    <row r="31381" spans="1:8">
      <c r="H31381" t="s">
        <v>18829</v>
      </c>
    </row>
    <row r="31382" spans="1:8">
      <c r="H31382" t="s">
        <v>31645</v>
      </c>
    </row>
    <row r="31383" spans="1:8">
      <c r="H31383" t="s">
        <v>31646</v>
      </c>
    </row>
    <row r="31384" spans="1:8">
      <c r="H31384" t="s">
        <v>31514</v>
      </c>
    </row>
    <row r="31385" spans="1:8">
      <c r="H31385" t="s">
        <v>31647</v>
      </c>
    </row>
    <row r="31386" spans="1:8">
      <c r="A31386" t="s">
        <v>2386</v>
      </c>
      <c r="B31386">
        <f>HYPERLINK("https://android.googlesource.com/platform/cts/+/9266cc482e77c36e3770fe9ca0bafa2ba5efedf3", "9266cc482e77c36e3770fe9ca0bafa2ba5efedf3")</f>
        <v>0</v>
      </c>
      <c r="C31386">
        <f>HYPERLINK("https://android.googlesource.com/platform/cts/+/5490e152f631371feaf326124b9bf8494e004673", "5490e152f631371feaf326124b9bf8494e004673")</f>
        <v>0</v>
      </c>
      <c r="D31386" t="s">
        <v>5386</v>
      </c>
      <c r="E31386" t="s">
        <v>8116</v>
      </c>
      <c r="F31386" t="s">
        <v>13000</v>
      </c>
      <c r="G31386" t="s">
        <v>17164</v>
      </c>
      <c r="H31386" t="s">
        <v>31648</v>
      </c>
    </row>
    <row r="31387" spans="1:8">
      <c r="H31387" t="s">
        <v>31649</v>
      </c>
    </row>
    <row r="31388" spans="1:8">
      <c r="A31388" t="s">
        <v>2387</v>
      </c>
      <c r="B31388">
        <f>HYPERLINK("https://android.googlesource.com/platform/cts/+/c48d3476197080e1b73abd7bbb901b396c0413dd", "c48d3476197080e1b73abd7bbb901b396c0413dd")</f>
        <v>0</v>
      </c>
      <c r="C31388">
        <f>HYPERLINK("https://android.googlesource.com/platform/cts/+/065a4af81935925843c8af215faaef9d37ced9dd", "065a4af81935925843c8af215faaef9d37ced9dd")</f>
        <v>0</v>
      </c>
      <c r="D31388" t="s">
        <v>5260</v>
      </c>
      <c r="E31388" t="s">
        <v>8117</v>
      </c>
      <c r="F31388" t="s">
        <v>11193</v>
      </c>
      <c r="G31388" t="s">
        <v>15582</v>
      </c>
      <c r="H31388" t="s">
        <v>31650</v>
      </c>
    </row>
    <row r="31389" spans="1:8">
      <c r="H31389" t="s">
        <v>31651</v>
      </c>
    </row>
    <row r="31390" spans="1:8">
      <c r="A31390" t="s">
        <v>2388</v>
      </c>
      <c r="B31390">
        <f>HYPERLINK("https://android.googlesource.com/platform/cts/+/ecb5733f03100edeeb4bebb67e08ca75774bfdae", "ecb5733f03100edeeb4bebb67e08ca75774bfdae")</f>
        <v>0</v>
      </c>
      <c r="C31390">
        <f>HYPERLINK("https://android.googlesource.com/platform/cts/+/462659424c433c84a2f0da1bc40404a1ded46856", "462659424c433c84a2f0da1bc40404a1ded46856")</f>
        <v>0</v>
      </c>
      <c r="D31390" t="s">
        <v>5233</v>
      </c>
      <c r="E31390" t="s">
        <v>8118</v>
      </c>
      <c r="F31390" t="s">
        <v>13804</v>
      </c>
      <c r="G31390" t="s">
        <v>17854</v>
      </c>
      <c r="H31390" t="s">
        <v>18829</v>
      </c>
    </row>
    <row r="31391" spans="1:8">
      <c r="H31391" t="s">
        <v>18863</v>
      </c>
    </row>
    <row r="31392" spans="1:8">
      <c r="H31392" t="s">
        <v>31652</v>
      </c>
    </row>
    <row r="31393" spans="1:8">
      <c r="H31393" t="s">
        <v>31653</v>
      </c>
    </row>
    <row r="31394" spans="1:8">
      <c r="H31394" t="s">
        <v>31654</v>
      </c>
    </row>
    <row r="31395" spans="1:8">
      <c r="A31395" t="s">
        <v>2389</v>
      </c>
      <c r="B31395">
        <f>HYPERLINK("https://android.googlesource.com/platform/cts/+/89abe2222c580a3c53ed464f03079a7b6f6b65ef", "89abe2222c580a3c53ed464f03079a7b6f6b65ef")</f>
        <v>0</v>
      </c>
      <c r="C31395">
        <f>HYPERLINK("https://android.googlesource.com/platform/cts/+/b8c1e574fa53d17bd9698ea61a24ada0738ba5f3", "b8c1e574fa53d17bd9698ea61a24ada0738ba5f3")</f>
        <v>0</v>
      </c>
      <c r="D31395" t="s">
        <v>5371</v>
      </c>
      <c r="E31395" t="s">
        <v>8119</v>
      </c>
      <c r="F31395" t="s">
        <v>10687</v>
      </c>
      <c r="G31395" t="s">
        <v>15087</v>
      </c>
      <c r="H31395" t="s">
        <v>31655</v>
      </c>
    </row>
    <row r="31396" spans="1:8">
      <c r="H31396" t="s">
        <v>31656</v>
      </c>
    </row>
    <row r="31397" spans="1:8">
      <c r="H31397" t="s">
        <v>19520</v>
      </c>
    </row>
    <row r="31398" spans="1:8">
      <c r="H31398" t="s">
        <v>31657</v>
      </c>
    </row>
    <row r="31399" spans="1:8">
      <c r="H31399" t="s">
        <v>31658</v>
      </c>
    </row>
    <row r="31400" spans="1:8">
      <c r="H31400" t="s">
        <v>31659</v>
      </c>
    </row>
    <row r="31401" spans="1:8">
      <c r="H31401" t="s">
        <v>31660</v>
      </c>
    </row>
    <row r="31402" spans="1:8">
      <c r="H31402" t="s">
        <v>31661</v>
      </c>
    </row>
    <row r="31403" spans="1:8">
      <c r="H31403" t="s">
        <v>31662</v>
      </c>
    </row>
    <row r="31404" spans="1:8">
      <c r="H31404" t="s">
        <v>19487</v>
      </c>
    </row>
    <row r="31405" spans="1:8">
      <c r="H31405" t="s">
        <v>31663</v>
      </c>
    </row>
    <row r="31406" spans="1:8">
      <c r="H31406" t="s">
        <v>31664</v>
      </c>
    </row>
    <row r="31407" spans="1:8">
      <c r="H31407" t="s">
        <v>31665</v>
      </c>
    </row>
    <row r="31408" spans="1:8">
      <c r="H31408" t="s">
        <v>31666</v>
      </c>
    </row>
    <row r="31409" spans="1:8">
      <c r="H31409" t="s">
        <v>19486</v>
      </c>
    </row>
    <row r="31410" spans="1:8">
      <c r="A31410" t="s">
        <v>2390</v>
      </c>
      <c r="B31410">
        <f>HYPERLINK("https://android.googlesource.com/platform/cts/+/95cd19ec1ae583905ef4a6d3bb949bc41a84173d", "95cd19ec1ae583905ef4a6d3bb949bc41a84173d")</f>
        <v>0</v>
      </c>
      <c r="C31410">
        <f>HYPERLINK("https://android.googlesource.com/platform/cts/+/065a4af81935925843c8af215faaef9d37ced9dd", "065a4af81935925843c8af215faaef9d37ced9dd")</f>
        <v>0</v>
      </c>
      <c r="D31410" t="s">
        <v>5260</v>
      </c>
      <c r="E31410" t="s">
        <v>8120</v>
      </c>
      <c r="F31410" t="s">
        <v>10687</v>
      </c>
      <c r="G31410" t="s">
        <v>15087</v>
      </c>
      <c r="H31410" t="s">
        <v>31667</v>
      </c>
    </row>
    <row r="31411" spans="1:8">
      <c r="A31411" t="s">
        <v>2391</v>
      </c>
      <c r="B31411">
        <f>HYPERLINK("https://android.googlesource.com/platform/cts/+/99f6caabbfe25cd292362686f475756fd04430c9", "99f6caabbfe25cd292362686f475756fd04430c9")</f>
        <v>0</v>
      </c>
      <c r="C31411">
        <f>HYPERLINK("https://android.googlesource.com/platform/cts/+/462659424c433c84a2f0da1bc40404a1ded46856", "462659424c433c84a2f0da1bc40404a1ded46856")</f>
        <v>0</v>
      </c>
      <c r="D31411" t="s">
        <v>5233</v>
      </c>
      <c r="E31411" t="s">
        <v>8121</v>
      </c>
      <c r="F31411" t="s">
        <v>13805</v>
      </c>
      <c r="G31411" t="s">
        <v>15718</v>
      </c>
      <c r="H31411" t="s">
        <v>20442</v>
      </c>
    </row>
    <row r="31412" spans="1:8">
      <c r="H31412" t="s">
        <v>18829</v>
      </c>
    </row>
    <row r="31413" spans="1:8">
      <c r="H31413" t="s">
        <v>18863</v>
      </c>
    </row>
    <row r="31414" spans="1:8">
      <c r="H31414" t="s">
        <v>20443</v>
      </c>
    </row>
    <row r="31415" spans="1:8">
      <c r="A31415" t="s">
        <v>2392</v>
      </c>
      <c r="B31415">
        <f>HYPERLINK("https://android.googlesource.com/platform/cts/+/3cc23597be47dc9c463f4b25548a36b9d4de0376", "3cc23597be47dc9c463f4b25548a36b9d4de0376")</f>
        <v>0</v>
      </c>
      <c r="C31415">
        <f>HYPERLINK("https://android.googlesource.com/platform/cts/+/45ca456289b227bea3045d1ce59db49c6fc48de0", "45ca456289b227bea3045d1ce59db49c6fc48de0")</f>
        <v>0</v>
      </c>
      <c r="D31415" t="s">
        <v>5173</v>
      </c>
      <c r="E31415" t="s">
        <v>8122</v>
      </c>
      <c r="F31415" t="s">
        <v>12717</v>
      </c>
      <c r="G31415" t="s">
        <v>16917</v>
      </c>
      <c r="H31415" t="s">
        <v>22310</v>
      </c>
    </row>
    <row r="31416" spans="1:8">
      <c r="A31416" t="s">
        <v>2393</v>
      </c>
      <c r="B31416">
        <f>HYPERLINK("https://android.googlesource.com/platform/cts/+/ac3d943adab23661a285b93f50b87f6fd2c7b5f4", "ac3d943adab23661a285b93f50b87f6fd2c7b5f4")</f>
        <v>0</v>
      </c>
      <c r="C31416">
        <f>HYPERLINK("https://android.googlesource.com/platform/cts/+/7202446109bebdc6228a009637cb4866489c1c0e", "7202446109bebdc6228a009637cb4866489c1c0e")</f>
        <v>0</v>
      </c>
      <c r="D31416" t="s">
        <v>5330</v>
      </c>
      <c r="E31416" t="s">
        <v>8123</v>
      </c>
      <c r="F31416" t="s">
        <v>12604</v>
      </c>
      <c r="G31416" t="s">
        <v>16816</v>
      </c>
      <c r="H31416" t="s">
        <v>31668</v>
      </c>
    </row>
    <row r="31417" spans="1:8">
      <c r="H31417" t="s">
        <v>31669</v>
      </c>
    </row>
    <row r="31418" spans="1:8">
      <c r="A31418" t="s">
        <v>2394</v>
      </c>
      <c r="B31418">
        <f>HYPERLINK("https://android.googlesource.com/platform/cts/+/7ca91b27f3db421d5237263c24d383a091b3362a", "7ca91b27f3db421d5237263c24d383a091b3362a")</f>
        <v>0</v>
      </c>
      <c r="C31418">
        <f>HYPERLINK("https://android.googlesource.com/platform/cts/+/cf720488ba94c55c9216606a465d1d6ebb67f513", "cf720488ba94c55c9216606a465d1d6ebb67f513")</f>
        <v>0</v>
      </c>
      <c r="D31418" t="s">
        <v>5021</v>
      </c>
      <c r="E31418" t="s">
        <v>8124</v>
      </c>
      <c r="F31418" t="s">
        <v>13806</v>
      </c>
      <c r="G31418" t="s">
        <v>17843</v>
      </c>
      <c r="H31418" t="s">
        <v>31670</v>
      </c>
    </row>
    <row r="31419" spans="1:8">
      <c r="F31419" t="s">
        <v>13794</v>
      </c>
      <c r="G31419" t="s">
        <v>17846</v>
      </c>
      <c r="H31419" t="s">
        <v>31671</v>
      </c>
    </row>
    <row r="31420" spans="1:8">
      <c r="A31420" t="s">
        <v>2395</v>
      </c>
      <c r="B31420">
        <f>HYPERLINK("https://android.googlesource.com/platform/cts/+/b2353338b551cb745a2bb9c3147961e31e058569", "b2353338b551cb745a2bb9c3147961e31e058569")</f>
        <v>0</v>
      </c>
      <c r="C31420">
        <f>HYPERLINK("https://android.googlesource.com/platform/cts/+/a55443a96fb200bba776c83ff1a53d6a1890f604", "a55443a96fb200bba776c83ff1a53d6a1890f604")</f>
        <v>0</v>
      </c>
      <c r="D31420" t="s">
        <v>4981</v>
      </c>
      <c r="E31420" t="s">
        <v>8125</v>
      </c>
      <c r="F31420" t="s">
        <v>13773</v>
      </c>
      <c r="G31420" t="s">
        <v>17828</v>
      </c>
      <c r="H31420" t="s">
        <v>31672</v>
      </c>
    </row>
    <row r="31421" spans="1:8">
      <c r="H31421" t="s">
        <v>31673</v>
      </c>
    </row>
    <row r="31422" spans="1:8">
      <c r="A31422" t="s">
        <v>2396</v>
      </c>
      <c r="B31422">
        <f>HYPERLINK("https://android.googlesource.com/platform/cts/+/9eeedd679010c78c9c0fac6cea97ad4fc417bc28", "9eeedd679010c78c9c0fac6cea97ad4fc417bc28")</f>
        <v>0</v>
      </c>
      <c r="C31422">
        <f>HYPERLINK("https://android.googlesource.com/platform/cts/+/805c99940609fb19a0c1f9820619a148e4429c34", "805c99940609fb19a0c1f9820619a148e4429c34")</f>
        <v>0</v>
      </c>
      <c r="D31422" t="s">
        <v>5233</v>
      </c>
      <c r="E31422" t="s">
        <v>8126</v>
      </c>
      <c r="F31422" t="s">
        <v>13805</v>
      </c>
      <c r="G31422" t="s">
        <v>15718</v>
      </c>
      <c r="H31422" t="s">
        <v>20442</v>
      </c>
    </row>
    <row r="31423" spans="1:8">
      <c r="H31423" t="s">
        <v>18829</v>
      </c>
    </row>
    <row r="31424" spans="1:8">
      <c r="H31424" t="s">
        <v>18863</v>
      </c>
    </row>
    <row r="31425" spans="1:8">
      <c r="H31425" t="s">
        <v>20443</v>
      </c>
    </row>
    <row r="31426" spans="1:8">
      <c r="A31426" t="s">
        <v>2397</v>
      </c>
      <c r="B31426">
        <f>HYPERLINK("https://android.googlesource.com/platform/cts/+/e4fa35b874b4af901d724335f40a2550e113dee0", "e4fa35b874b4af901d724335f40a2550e113dee0")</f>
        <v>0</v>
      </c>
      <c r="C31426">
        <f>HYPERLINK("https://android.googlesource.com/platform/cts/+/458e2dc0d34cbafbd0b95fbcc636cae3474329f6", "458e2dc0d34cbafbd0b95fbcc636cae3474329f6")</f>
        <v>0</v>
      </c>
      <c r="D31426" t="s">
        <v>5134</v>
      </c>
      <c r="E31426" t="s">
        <v>8127</v>
      </c>
      <c r="F31426" t="s">
        <v>13765</v>
      </c>
      <c r="G31426" t="s">
        <v>17822</v>
      </c>
      <c r="H31426" t="s">
        <v>31674</v>
      </c>
    </row>
    <row r="31427" spans="1:8">
      <c r="H31427" t="s">
        <v>31675</v>
      </c>
    </row>
    <row r="31428" spans="1:8">
      <c r="A31428" t="s">
        <v>2398</v>
      </c>
      <c r="B31428">
        <f>HYPERLINK("https://android.googlesource.com/platform/cts/+/cea27e463106d748468c653dc1ea53a475c9b95b", "cea27e463106d748468c653dc1ea53a475c9b95b")</f>
        <v>0</v>
      </c>
      <c r="C31428">
        <f>HYPERLINK("https://android.googlesource.com/platform/cts/+/7700ca44e29ee369eabcfed769f4639ccb57a6af", "7700ca44e29ee369eabcfed769f4639ccb57a6af")</f>
        <v>0</v>
      </c>
      <c r="D31428" t="s">
        <v>5387</v>
      </c>
      <c r="E31428" t="s">
        <v>8128</v>
      </c>
      <c r="F31428" t="s">
        <v>13807</v>
      </c>
      <c r="G31428" t="s">
        <v>17855</v>
      </c>
      <c r="H31428" t="s">
        <v>31676</v>
      </c>
    </row>
    <row r="31429" spans="1:8">
      <c r="A31429" t="s">
        <v>2399</v>
      </c>
      <c r="B31429">
        <f>HYPERLINK("https://android.googlesource.com/platform/cts/+/58ada300167eac7fb3e7d95b027cfa03510d7c67", "58ada300167eac7fb3e7d95b027cfa03510d7c67")</f>
        <v>0</v>
      </c>
      <c r="C31429">
        <f>HYPERLINK("https://android.googlesource.com/platform/cts/+/e22390f77c96399348b9d7e9ce517e1c36f6201a", "e22390f77c96399348b9d7e9ce517e1c36f6201a")</f>
        <v>0</v>
      </c>
      <c r="D31429" t="s">
        <v>5293</v>
      </c>
      <c r="E31429" t="s">
        <v>8129</v>
      </c>
      <c r="F31429" t="s">
        <v>13249</v>
      </c>
      <c r="G31429" t="s">
        <v>17389</v>
      </c>
      <c r="H31429" t="s">
        <v>31677</v>
      </c>
    </row>
    <row r="31430" spans="1:8">
      <c r="F31430" t="s">
        <v>13468</v>
      </c>
      <c r="G31430" t="s">
        <v>17587</v>
      </c>
      <c r="H31430" t="s">
        <v>31678</v>
      </c>
    </row>
    <row r="31431" spans="1:8">
      <c r="A31431" t="s">
        <v>2400</v>
      </c>
      <c r="B31431">
        <f>HYPERLINK("https://android.googlesource.com/platform/cts/+/f9571d2c81dd47e0b078b21d053021d976314c59", "f9571d2c81dd47e0b078b21d053021d976314c59")</f>
        <v>0</v>
      </c>
      <c r="C31431">
        <f>HYPERLINK("https://android.googlesource.com/platform/cts/+/cfe54f55491226d54044f98b67e46f2a1ba0012e", "cfe54f55491226d54044f98b67e46f2a1ba0012e")</f>
        <v>0</v>
      </c>
      <c r="D31431" t="s">
        <v>5085</v>
      </c>
      <c r="E31431" t="s">
        <v>8130</v>
      </c>
      <c r="F31431" t="s">
        <v>13808</v>
      </c>
      <c r="G31431" t="s">
        <v>17856</v>
      </c>
      <c r="H31431" t="s">
        <v>31679</v>
      </c>
    </row>
    <row r="31432" spans="1:8">
      <c r="A31432" t="s">
        <v>2401</v>
      </c>
      <c r="B31432">
        <f>HYPERLINK("https://android.googlesource.com/platform/cts/+/125e22913c8ba780d62b865c3af00b85224fdb88", "125e22913c8ba780d62b865c3af00b85224fdb88")</f>
        <v>0</v>
      </c>
      <c r="C31432">
        <f>HYPERLINK("https://android.googlesource.com/platform/cts/+/2bfdd6e90d6c71a8a089175b314f4eeb6a7095fa", "2bfdd6e90d6c71a8a089175b314f4eeb6a7095fa")</f>
        <v>0</v>
      </c>
      <c r="D31432" t="s">
        <v>5195</v>
      </c>
      <c r="E31432" t="s">
        <v>8131</v>
      </c>
      <c r="F31432" t="s">
        <v>13809</v>
      </c>
      <c r="G31432" t="s">
        <v>17857</v>
      </c>
      <c r="H31432" t="s">
        <v>20177</v>
      </c>
    </row>
    <row r="31433" spans="1:8">
      <c r="H31433" t="s">
        <v>31680</v>
      </c>
    </row>
    <row r="31434" spans="1:8">
      <c r="H31434" t="s">
        <v>31681</v>
      </c>
    </row>
    <row r="31435" spans="1:8">
      <c r="A31435" t="s">
        <v>2402</v>
      </c>
      <c r="B31435">
        <f>HYPERLINK("https://android.googlesource.com/platform/cts/+/af5751ceb9edb62091f591f30641ec28f4a06dbc", "af5751ceb9edb62091f591f30641ec28f4a06dbc")</f>
        <v>0</v>
      </c>
      <c r="C31435">
        <f>HYPERLINK("https://android.googlesource.com/platform/cts/+/b11b00216dbbb928c7b31c43ab8bb16ddbb79c4e", "b11b00216dbbb928c7b31c43ab8bb16ddbb79c4e")</f>
        <v>0</v>
      </c>
      <c r="D31435" t="s">
        <v>5219</v>
      </c>
      <c r="E31435" t="s">
        <v>8132</v>
      </c>
      <c r="F31435" t="s">
        <v>13810</v>
      </c>
      <c r="G31435" t="s">
        <v>17734</v>
      </c>
      <c r="H31435" t="s">
        <v>29727</v>
      </c>
    </row>
    <row r="31436" spans="1:8">
      <c r="A31436" t="s">
        <v>2403</v>
      </c>
      <c r="B31436">
        <f>HYPERLINK("https://android.googlesource.com/platform/cts/+/2e7d7929f8bdbc477882dba9bb5108e1235a4f43", "2e7d7929f8bdbc477882dba9bb5108e1235a4f43")</f>
        <v>0</v>
      </c>
      <c r="C31436">
        <f>HYPERLINK("https://android.googlesource.com/platform/cts/+/b733e464763564bf471eb2443199361b2b464460", "b733e464763564bf471eb2443199361b2b464460")</f>
        <v>0</v>
      </c>
      <c r="D31436" t="s">
        <v>5388</v>
      </c>
      <c r="E31436" t="s">
        <v>8133</v>
      </c>
      <c r="F31436" t="s">
        <v>13811</v>
      </c>
      <c r="G31436" t="s">
        <v>17858</v>
      </c>
      <c r="H31436" t="s">
        <v>19019</v>
      </c>
    </row>
    <row r="31437" spans="1:8">
      <c r="H31437" t="s">
        <v>31682</v>
      </c>
    </row>
    <row r="31438" spans="1:8">
      <c r="H31438" t="s">
        <v>31683</v>
      </c>
    </row>
    <row r="31439" spans="1:8">
      <c r="H31439" t="s">
        <v>31684</v>
      </c>
    </row>
    <row r="31440" spans="1:8">
      <c r="H31440" t="s">
        <v>31685</v>
      </c>
    </row>
    <row r="31441" spans="1:8">
      <c r="H31441" t="s">
        <v>19753</v>
      </c>
    </row>
    <row r="31442" spans="1:8">
      <c r="H31442" t="s">
        <v>19754</v>
      </c>
    </row>
    <row r="31443" spans="1:8">
      <c r="H31443" t="s">
        <v>31686</v>
      </c>
    </row>
    <row r="31444" spans="1:8">
      <c r="H31444" t="s">
        <v>31687</v>
      </c>
    </row>
    <row r="31445" spans="1:8">
      <c r="H31445" t="s">
        <v>31688</v>
      </c>
    </row>
    <row r="31446" spans="1:8">
      <c r="H31446" t="s">
        <v>18829</v>
      </c>
    </row>
    <row r="31447" spans="1:8">
      <c r="H31447" t="s">
        <v>18863</v>
      </c>
    </row>
    <row r="31448" spans="1:8">
      <c r="H31448" t="s">
        <v>31689</v>
      </c>
    </row>
    <row r="31449" spans="1:8">
      <c r="A31449" t="s">
        <v>2404</v>
      </c>
      <c r="B31449">
        <f>HYPERLINK("https://android.googlesource.com/platform/cts/+/01901f57cba506a3a52a7b6658d52fabd2da702f", "01901f57cba506a3a52a7b6658d52fabd2da702f")</f>
        <v>0</v>
      </c>
      <c r="C31449">
        <f>HYPERLINK("https://android.googlesource.com/platform/cts/+/2ee5a9623255452984cc519ac9efbb4f6f6d0780", "2ee5a9623255452984cc519ac9efbb4f6f6d0780")</f>
        <v>0</v>
      </c>
      <c r="D31449" t="s">
        <v>5117</v>
      </c>
      <c r="E31449" t="s">
        <v>8134</v>
      </c>
      <c r="F31449" t="s">
        <v>13812</v>
      </c>
      <c r="G31449" t="s">
        <v>17859</v>
      </c>
      <c r="H31449" t="s">
        <v>31690</v>
      </c>
    </row>
    <row r="31450" spans="1:8">
      <c r="H31450" t="s">
        <v>31691</v>
      </c>
    </row>
    <row r="31451" spans="1:8">
      <c r="A31451" t="s">
        <v>2405</v>
      </c>
      <c r="B31451">
        <f>HYPERLINK("https://android.googlesource.com/platform/cts/+/9f9802ff018d142b7160a1968f9460977c09052a", "9f9802ff018d142b7160a1968f9460977c09052a")</f>
        <v>0</v>
      </c>
      <c r="C31451">
        <f>HYPERLINK("https://android.googlesource.com/platform/cts/+/2c01af7d74069c6bee43d41e0dea51ad1cf58e21", "2c01af7d74069c6bee43d41e0dea51ad1cf58e21")</f>
        <v>0</v>
      </c>
      <c r="D31451" t="s">
        <v>4981</v>
      </c>
      <c r="E31451" t="s">
        <v>8135</v>
      </c>
      <c r="F31451" t="s">
        <v>13333</v>
      </c>
      <c r="G31451" t="s">
        <v>17463</v>
      </c>
      <c r="H31451" t="s">
        <v>31692</v>
      </c>
    </row>
    <row r="31452" spans="1:8">
      <c r="A31452" t="s">
        <v>2406</v>
      </c>
      <c r="B31452">
        <f>HYPERLINK("https://android.googlesource.com/platform/cts/+/2d0c7a10382fdedc4c2ede0498c9c6cf2ef73006", "2d0c7a10382fdedc4c2ede0498c9c6cf2ef73006")</f>
        <v>0</v>
      </c>
      <c r="C31452">
        <f>HYPERLINK("https://android.googlesource.com/platform/cts/+/5674d8e23177c06053b2081182cb192707a1fd6e", "5674d8e23177c06053b2081182cb192707a1fd6e")</f>
        <v>0</v>
      </c>
      <c r="D31452" t="s">
        <v>5134</v>
      </c>
      <c r="E31452" t="s">
        <v>8136</v>
      </c>
      <c r="F31452" t="s">
        <v>13813</v>
      </c>
      <c r="G31452" t="s">
        <v>17860</v>
      </c>
      <c r="H31452" t="s">
        <v>31693</v>
      </c>
    </row>
    <row r="31453" spans="1:8">
      <c r="H31453" t="s">
        <v>31694</v>
      </c>
    </row>
    <row r="31454" spans="1:8">
      <c r="H31454" t="s">
        <v>31695</v>
      </c>
    </row>
    <row r="31455" spans="1:8">
      <c r="H31455" t="s">
        <v>31696</v>
      </c>
    </row>
    <row r="31456" spans="1:8">
      <c r="H31456" t="s">
        <v>31697</v>
      </c>
    </row>
    <row r="31457" spans="1:8">
      <c r="H31457" t="s">
        <v>31698</v>
      </c>
    </row>
    <row r="31458" spans="1:8">
      <c r="H31458" t="s">
        <v>31699</v>
      </c>
    </row>
    <row r="31459" spans="1:8">
      <c r="F31459" t="s">
        <v>13814</v>
      </c>
      <c r="G31459" t="s">
        <v>17861</v>
      </c>
      <c r="H31459" t="s">
        <v>31700</v>
      </c>
    </row>
    <row r="31460" spans="1:8">
      <c r="H31460" t="s">
        <v>31701</v>
      </c>
    </row>
    <row r="31461" spans="1:8">
      <c r="A31461" t="s">
        <v>2407</v>
      </c>
      <c r="B31461">
        <f>HYPERLINK("https://android.googlesource.com/platform/cts/+/90e5b6bba4c9f5754a3c2cfe517c70c24b6f34e1", "90e5b6bba4c9f5754a3c2cfe517c70c24b6f34e1")</f>
        <v>0</v>
      </c>
      <c r="C31461">
        <f>HYPERLINK("https://android.googlesource.com/platform/cts/+/ffd1807fbf182f969fc022c7d13328ea2aa19860", "ffd1807fbf182f969fc022c7d13328ea2aa19860")</f>
        <v>0</v>
      </c>
      <c r="D31461" t="s">
        <v>5134</v>
      </c>
      <c r="E31461" t="s">
        <v>8137</v>
      </c>
      <c r="F31461" t="s">
        <v>13760</v>
      </c>
      <c r="G31461" t="s">
        <v>17811</v>
      </c>
      <c r="H31461" t="s">
        <v>31702</v>
      </c>
    </row>
    <row r="31462" spans="1:8">
      <c r="F31462" t="s">
        <v>13765</v>
      </c>
      <c r="G31462" t="s">
        <v>17822</v>
      </c>
      <c r="H31462" t="s">
        <v>31703</v>
      </c>
    </row>
    <row r="31463" spans="1:8">
      <c r="A31463" t="s">
        <v>2408</v>
      </c>
      <c r="B31463">
        <f>HYPERLINK("https://android.googlesource.com/platform/cts/+/c0ec965385ac27f40442ad092c027328b584f21b", "c0ec965385ac27f40442ad092c027328b584f21b")</f>
        <v>0</v>
      </c>
      <c r="C31463">
        <f>HYPERLINK("https://android.googlesource.com/platform/cts/+/0d9e797617e37062691c81e1ef44d1962311054d", "0d9e797617e37062691c81e1ef44d1962311054d")</f>
        <v>0</v>
      </c>
      <c r="D31463" t="s">
        <v>5117</v>
      </c>
      <c r="E31463" t="s">
        <v>8138</v>
      </c>
      <c r="F31463" t="s">
        <v>13815</v>
      </c>
      <c r="G31463" t="s">
        <v>17862</v>
      </c>
      <c r="H31463" t="s">
        <v>31704</v>
      </c>
    </row>
    <row r="31464" spans="1:8">
      <c r="A31464" t="s">
        <v>2409</v>
      </c>
      <c r="B31464">
        <f>HYPERLINK("https://android.googlesource.com/platform/cts/+/c914f09595b760b16ae5897f843f4b05e2e2ce2e", "c914f09595b760b16ae5897f843f4b05e2e2ce2e")</f>
        <v>0</v>
      </c>
      <c r="C31464">
        <f>HYPERLINK("https://android.googlesource.com/platform/cts/+/4c9a008f627d23f85490a850b53060aae375019e", "4c9a008f627d23f85490a850b53060aae375019e")</f>
        <v>0</v>
      </c>
      <c r="D31464" t="s">
        <v>4960</v>
      </c>
      <c r="E31464" t="s">
        <v>8139</v>
      </c>
      <c r="F31464" t="s">
        <v>10682</v>
      </c>
      <c r="G31464" t="s">
        <v>15082</v>
      </c>
      <c r="H31464" t="s">
        <v>31705</v>
      </c>
    </row>
    <row r="31465" spans="1:8">
      <c r="A31465" t="s">
        <v>2410</v>
      </c>
      <c r="B31465">
        <f>HYPERLINK("https://android.googlesource.com/platform/cts/+/19c1c6f68b16749bc644b955e54594fdf3debfa3", "19c1c6f68b16749bc644b955e54594fdf3debfa3")</f>
        <v>0</v>
      </c>
      <c r="C31465">
        <f>HYPERLINK("https://android.googlesource.com/platform/cts/+/66e4f7752ee04c1d3389ad62f47b9e68ead5f61e", "66e4f7752ee04c1d3389ad62f47b9e68ead5f61e")</f>
        <v>0</v>
      </c>
      <c r="D31465" t="s">
        <v>5389</v>
      </c>
      <c r="E31465" t="s">
        <v>8140</v>
      </c>
      <c r="F31465" t="s">
        <v>13816</v>
      </c>
      <c r="G31465" t="s">
        <v>15089</v>
      </c>
      <c r="H31465" t="s">
        <v>31706</v>
      </c>
    </row>
    <row r="31466" spans="1:8">
      <c r="H31466" t="s">
        <v>31707</v>
      </c>
    </row>
    <row r="31467" spans="1:8">
      <c r="H31467" t="s">
        <v>31708</v>
      </c>
    </row>
    <row r="31468" spans="1:8">
      <c r="A31468" t="s">
        <v>2411</v>
      </c>
      <c r="B31468">
        <f>HYPERLINK("https://android.googlesource.com/platform/cts/+/422ff6844c90186d09f8953fd1a1260ef04c2394", "422ff6844c90186d09f8953fd1a1260ef04c2394")</f>
        <v>0</v>
      </c>
      <c r="C31468">
        <f>HYPERLINK("https://android.googlesource.com/platform/cts/+/3bbd2b1c0dde00579a33e228d74ef8aa56a0589a", "3bbd2b1c0dde00579a33e228d74ef8aa56a0589a")</f>
        <v>0</v>
      </c>
      <c r="D31468" t="s">
        <v>5235</v>
      </c>
      <c r="E31468" t="s">
        <v>8141</v>
      </c>
      <c r="F31468" t="s">
        <v>13817</v>
      </c>
      <c r="G31468" t="s">
        <v>17715</v>
      </c>
      <c r="H31468" t="s">
        <v>31709</v>
      </c>
    </row>
    <row r="31469" spans="1:8">
      <c r="F31469" t="s">
        <v>13514</v>
      </c>
      <c r="G31469" t="s">
        <v>17631</v>
      </c>
      <c r="H31469" t="s">
        <v>19536</v>
      </c>
    </row>
    <row r="31470" spans="1:8">
      <c r="A31470" t="s">
        <v>2412</v>
      </c>
      <c r="B31470">
        <f>HYPERLINK("https://android.googlesource.com/platform/cts/+/fdc5165862fc54337b714ab6f5c7df1b98eec0b3", "fdc5165862fc54337b714ab6f5c7df1b98eec0b3")</f>
        <v>0</v>
      </c>
      <c r="C31470">
        <f>HYPERLINK("https://android.googlesource.com/platform/cts/+/3d81df75ae6d04d0581a50b35e758279ed760b93", "3d81df75ae6d04d0581a50b35e758279ed760b93")</f>
        <v>0</v>
      </c>
      <c r="D31470" t="s">
        <v>5195</v>
      </c>
      <c r="E31470" t="s">
        <v>8142</v>
      </c>
      <c r="F31470" t="s">
        <v>10594</v>
      </c>
      <c r="G31470" t="s">
        <v>14997</v>
      </c>
      <c r="H31470" t="s">
        <v>31710</v>
      </c>
    </row>
    <row r="31471" spans="1:8">
      <c r="A31471" t="s">
        <v>2413</v>
      </c>
      <c r="B31471">
        <f>HYPERLINK("https://android.googlesource.com/platform/cts/+/3e63b7aea1f4a1d10821e0d0e9295a97ff3e35dc", "3e63b7aea1f4a1d10821e0d0e9295a97ff3e35dc")</f>
        <v>0</v>
      </c>
      <c r="C31471">
        <f>HYPERLINK("https://android.googlesource.com/platform/cts/+/e7ddc052d035328605e952608c37cfa8d5a5897e", "e7ddc052d035328605e952608c37cfa8d5a5897e")</f>
        <v>0</v>
      </c>
      <c r="D31471" t="s">
        <v>5085</v>
      </c>
      <c r="E31471" t="s">
        <v>8143</v>
      </c>
      <c r="F31471" t="s">
        <v>13818</v>
      </c>
      <c r="G31471" t="s">
        <v>17863</v>
      </c>
      <c r="H31471" t="s">
        <v>20244</v>
      </c>
    </row>
    <row r="31472" spans="1:8">
      <c r="F31472" t="s">
        <v>13819</v>
      </c>
      <c r="G31472" t="s">
        <v>17864</v>
      </c>
      <c r="H31472" t="s">
        <v>18829</v>
      </c>
    </row>
    <row r="31473" spans="1:8">
      <c r="F31473" t="s">
        <v>13820</v>
      </c>
      <c r="G31473" t="s">
        <v>17865</v>
      </c>
      <c r="H31473" t="s">
        <v>18829</v>
      </c>
    </row>
    <row r="31474" spans="1:8">
      <c r="A31474" t="s">
        <v>2414</v>
      </c>
      <c r="B31474">
        <f>HYPERLINK("https://android.googlesource.com/platform/cts/+/4aa40eefd3810f1922782778b3a6aa8bc2b500ee", "4aa40eefd3810f1922782778b3a6aa8bc2b500ee")</f>
        <v>0</v>
      </c>
      <c r="C31474">
        <f>HYPERLINK("https://android.googlesource.com/platform/cts/+/214749d8e1bd071ba5f4bd3006987c30212d897f", "214749d8e1bd071ba5f4bd3006987c30212d897f")</f>
        <v>0</v>
      </c>
      <c r="D31474" t="s">
        <v>4981</v>
      </c>
      <c r="E31474" t="s">
        <v>8144</v>
      </c>
      <c r="F31474" t="s">
        <v>13821</v>
      </c>
      <c r="G31474" t="s">
        <v>16627</v>
      </c>
      <c r="H31474" t="s">
        <v>22633</v>
      </c>
    </row>
    <row r="31475" spans="1:8">
      <c r="A31475" t="s">
        <v>2415</v>
      </c>
      <c r="B31475">
        <f>HYPERLINK("https://android.googlesource.com/platform/cts/+/7f50e023c6247455f10c9060f0044897406daacc", "7f50e023c6247455f10c9060f0044897406daacc")</f>
        <v>0</v>
      </c>
      <c r="C31475">
        <f>HYPERLINK("https://android.googlesource.com/platform/cts/+/214749d8e1bd071ba5f4bd3006987c30212d897f", "214749d8e1bd071ba5f4bd3006987c30212d897f")</f>
        <v>0</v>
      </c>
      <c r="D31475" t="s">
        <v>5085</v>
      </c>
      <c r="E31475" t="s">
        <v>8145</v>
      </c>
      <c r="F31475" t="s">
        <v>13818</v>
      </c>
      <c r="G31475" t="s">
        <v>17863</v>
      </c>
      <c r="H31475" t="s">
        <v>22594</v>
      </c>
    </row>
    <row r="31476" spans="1:8">
      <c r="A31476" t="s">
        <v>2416</v>
      </c>
      <c r="B31476">
        <f>HYPERLINK("https://android.googlesource.com/platform/cts/+/a9921d51c18b11113ed8fb345d220f16a6f71426", "a9921d51c18b11113ed8fb345d220f16a6f71426")</f>
        <v>0</v>
      </c>
      <c r="C31476">
        <f>HYPERLINK("https://android.googlesource.com/platform/cts/+/732f024cbf9fd991a01176351ba317a9ebffc1b4", "732f024cbf9fd991a01176351ba317a9ebffc1b4")</f>
        <v>0</v>
      </c>
      <c r="D31476" t="s">
        <v>5239</v>
      </c>
      <c r="E31476" t="s">
        <v>8146</v>
      </c>
      <c r="F31476" t="s">
        <v>10724</v>
      </c>
      <c r="G31476" t="s">
        <v>15123</v>
      </c>
      <c r="H31476" t="s">
        <v>31711</v>
      </c>
    </row>
    <row r="31477" spans="1:8">
      <c r="A31477" t="s">
        <v>2417</v>
      </c>
      <c r="B31477">
        <f>HYPERLINK("https://android.googlesource.com/platform/cts/+/5d6ca17d58062a6747d49af06a66a7cb3cb61f91", "5d6ca17d58062a6747d49af06a66a7cb3cb61f91")</f>
        <v>0</v>
      </c>
      <c r="C31477">
        <f>HYPERLINK("https://android.googlesource.com/platform/cts/+/a7d12a320775746cd9564f6d89e8d2b511ee4782", "a7d12a320775746cd9564f6d89e8d2b511ee4782")</f>
        <v>0</v>
      </c>
      <c r="D31477" t="s">
        <v>5372</v>
      </c>
      <c r="E31477" t="s">
        <v>8147</v>
      </c>
      <c r="F31477" t="s">
        <v>13768</v>
      </c>
      <c r="G31477" t="s">
        <v>17825</v>
      </c>
      <c r="H31477" t="s">
        <v>31712</v>
      </c>
    </row>
    <row r="31478" spans="1:8">
      <c r="H31478" t="s">
        <v>31713</v>
      </c>
    </row>
    <row r="31479" spans="1:8">
      <c r="H31479" t="s">
        <v>31714</v>
      </c>
    </row>
    <row r="31480" spans="1:8">
      <c r="H31480" t="s">
        <v>31715</v>
      </c>
    </row>
    <row r="31481" spans="1:8">
      <c r="H31481" t="s">
        <v>31716</v>
      </c>
    </row>
    <row r="31482" spans="1:8">
      <c r="A31482" t="s">
        <v>2418</v>
      </c>
      <c r="B31482">
        <f>HYPERLINK("https://android.googlesource.com/platform/cts/+/9e64e27feaed46f6c7d942fd3b45745d3ee64a9c", "9e64e27feaed46f6c7d942fd3b45745d3ee64a9c")</f>
        <v>0</v>
      </c>
      <c r="C31482">
        <f>HYPERLINK("https://android.googlesource.com/platform/cts/+/54526dee3443d0b16e12fe2665663f371087dc2d", "54526dee3443d0b16e12fe2665663f371087dc2d")</f>
        <v>0</v>
      </c>
      <c r="D31482" t="s">
        <v>5225</v>
      </c>
      <c r="E31482" t="s">
        <v>8148</v>
      </c>
      <c r="F31482" t="s">
        <v>13822</v>
      </c>
      <c r="G31482" t="s">
        <v>17866</v>
      </c>
      <c r="H31482" t="s">
        <v>31717</v>
      </c>
    </row>
    <row r="31483" spans="1:8">
      <c r="H31483" t="s">
        <v>29933</v>
      </c>
    </row>
    <row r="31484" spans="1:8">
      <c r="F31484" t="s">
        <v>13823</v>
      </c>
      <c r="G31484" t="s">
        <v>17867</v>
      </c>
      <c r="H31484" t="s">
        <v>18829</v>
      </c>
    </row>
    <row r="31485" spans="1:8">
      <c r="H31485" t="s">
        <v>18863</v>
      </c>
    </row>
    <row r="31486" spans="1:8">
      <c r="H31486" t="s">
        <v>29933</v>
      </c>
    </row>
    <row r="31487" spans="1:8">
      <c r="F31487" t="s">
        <v>13824</v>
      </c>
      <c r="G31487" t="s">
        <v>17868</v>
      </c>
      <c r="H31487" t="s">
        <v>31718</v>
      </c>
    </row>
    <row r="31488" spans="1:8">
      <c r="H31488" t="s">
        <v>29933</v>
      </c>
    </row>
    <row r="31489" spans="1:8">
      <c r="F31489" t="s">
        <v>13825</v>
      </c>
      <c r="G31489" t="s">
        <v>17869</v>
      </c>
      <c r="H31489" t="s">
        <v>31719</v>
      </c>
    </row>
    <row r="31490" spans="1:8">
      <c r="H31490" t="s">
        <v>29933</v>
      </c>
    </row>
    <row r="31491" spans="1:8">
      <c r="F31491" t="s">
        <v>13826</v>
      </c>
      <c r="G31491" t="s">
        <v>17870</v>
      </c>
      <c r="H31491" t="s">
        <v>20083</v>
      </c>
    </row>
    <row r="31492" spans="1:8">
      <c r="H31492" t="s">
        <v>29835</v>
      </c>
    </row>
    <row r="31493" spans="1:8">
      <c r="H31493" t="s">
        <v>18953</v>
      </c>
    </row>
    <row r="31494" spans="1:8">
      <c r="H31494" t="s">
        <v>29082</v>
      </c>
    </row>
    <row r="31495" spans="1:8">
      <c r="H31495" t="s">
        <v>27192</v>
      </c>
    </row>
    <row r="31496" spans="1:8">
      <c r="H31496" t="s">
        <v>31720</v>
      </c>
    </row>
    <row r="31497" spans="1:8">
      <c r="H31497" t="s">
        <v>20166</v>
      </c>
    </row>
    <row r="31498" spans="1:8">
      <c r="H31498" t="s">
        <v>26262</v>
      </c>
    </row>
    <row r="31499" spans="1:8">
      <c r="A31499" t="s">
        <v>2420</v>
      </c>
      <c r="B31499">
        <f>HYPERLINK("https://android.googlesource.com/platform/cts/+/d551acf22ffd8d62555d367ef6beac5c2f9c77d5", "d551acf22ffd8d62555d367ef6beac5c2f9c77d5")</f>
        <v>0</v>
      </c>
      <c r="C31499">
        <f>HYPERLINK("https://android.googlesource.com/platform/cts/+/f9a4592e8c79a4388009143df53574583f43c785", "f9a4592e8c79a4388009143df53574583f43c785")</f>
        <v>0</v>
      </c>
      <c r="D31499" t="s">
        <v>5341</v>
      </c>
      <c r="E31499" t="s">
        <v>8150</v>
      </c>
      <c r="F31499" t="s">
        <v>13827</v>
      </c>
      <c r="G31499" t="s">
        <v>17871</v>
      </c>
      <c r="H31499" t="s">
        <v>31721</v>
      </c>
    </row>
    <row r="31500" spans="1:8">
      <c r="H31500" t="s">
        <v>31722</v>
      </c>
    </row>
    <row r="31501" spans="1:8">
      <c r="A31501" t="s">
        <v>2421</v>
      </c>
      <c r="B31501">
        <f>HYPERLINK("https://android.googlesource.com/platform/cts/+/6217410640d9d20fe453d4f31a2be8324eb3b4e5", "6217410640d9d20fe453d4f31a2be8324eb3b4e5")</f>
        <v>0</v>
      </c>
      <c r="C31501">
        <f>HYPERLINK("https://android.googlesource.com/platform/cts/+/5a72ff3e93ea1d83a78cd6b9d602ebbce1211590", "5a72ff3e93ea1d83a78cd6b9d602ebbce1211590")</f>
        <v>0</v>
      </c>
      <c r="D31501" t="s">
        <v>5117</v>
      </c>
      <c r="E31501" t="s">
        <v>8151</v>
      </c>
      <c r="F31501" t="s">
        <v>13788</v>
      </c>
      <c r="G31501" t="s">
        <v>17841</v>
      </c>
      <c r="H31501" t="s">
        <v>31723</v>
      </c>
    </row>
    <row r="31502" spans="1:8">
      <c r="A31502" t="s">
        <v>2422</v>
      </c>
      <c r="B31502">
        <f>HYPERLINK("https://android.googlesource.com/platform/cts/+/1a47a8bebbac45f67d05c718859a10909fdc7cb1", "1a47a8bebbac45f67d05c718859a10909fdc7cb1")</f>
        <v>0</v>
      </c>
      <c r="C31502">
        <f>HYPERLINK("https://android.googlesource.com/platform/cts/+/b87bcd54900dc4365cd53cb2d952c53a56be3918", "b87bcd54900dc4365cd53cb2d952c53a56be3918")</f>
        <v>0</v>
      </c>
      <c r="D31502" t="s">
        <v>5363</v>
      </c>
      <c r="E31502" t="s">
        <v>8152</v>
      </c>
      <c r="F31502" t="s">
        <v>13828</v>
      </c>
      <c r="G31502" t="s">
        <v>17872</v>
      </c>
      <c r="H31502" t="s">
        <v>18829</v>
      </c>
    </row>
    <row r="31503" spans="1:8">
      <c r="H31503" t="s">
        <v>31724</v>
      </c>
    </row>
    <row r="31504" spans="1:8">
      <c r="H31504" t="s">
        <v>31725</v>
      </c>
    </row>
    <row r="31505" spans="6:8">
      <c r="H31505" t="s">
        <v>31726</v>
      </c>
    </row>
    <row r="31506" spans="6:8">
      <c r="H31506" t="s">
        <v>31727</v>
      </c>
    </row>
    <row r="31507" spans="6:8">
      <c r="H31507" t="s">
        <v>31728</v>
      </c>
    </row>
    <row r="31508" spans="6:8">
      <c r="H31508" t="s">
        <v>31729</v>
      </c>
    </row>
    <row r="31509" spans="6:8">
      <c r="H31509" t="s">
        <v>31730</v>
      </c>
    </row>
    <row r="31510" spans="6:8">
      <c r="F31510" t="s">
        <v>13829</v>
      </c>
      <c r="G31510" t="s">
        <v>17873</v>
      </c>
      <c r="H31510" t="s">
        <v>18829</v>
      </c>
    </row>
    <row r="31511" spans="6:8">
      <c r="H31511" t="s">
        <v>31731</v>
      </c>
    </row>
    <row r="31512" spans="6:8">
      <c r="H31512" t="s">
        <v>31732</v>
      </c>
    </row>
    <row r="31513" spans="6:8">
      <c r="F31513" t="s">
        <v>10605</v>
      </c>
      <c r="G31513" t="s">
        <v>15008</v>
      </c>
      <c r="H31513" t="s">
        <v>31733</v>
      </c>
    </row>
    <row r="31514" spans="6:8">
      <c r="H31514" t="s">
        <v>31734</v>
      </c>
    </row>
    <row r="31515" spans="6:8">
      <c r="H31515" t="s">
        <v>26643</v>
      </c>
    </row>
    <row r="31516" spans="6:8">
      <c r="H31516" t="s">
        <v>31735</v>
      </c>
    </row>
    <row r="31517" spans="6:8">
      <c r="H31517" t="s">
        <v>18893</v>
      </c>
    </row>
    <row r="31518" spans="6:8">
      <c r="H31518" t="s">
        <v>31736</v>
      </c>
    </row>
    <row r="31519" spans="6:8">
      <c r="H31519" t="s">
        <v>18893</v>
      </c>
    </row>
    <row r="31520" spans="6:8">
      <c r="H31520" t="s">
        <v>31737</v>
      </c>
    </row>
    <row r="31521" spans="6:8">
      <c r="F31521" t="s">
        <v>13830</v>
      </c>
      <c r="G31521" t="s">
        <v>17874</v>
      </c>
      <c r="H31521" t="s">
        <v>31738</v>
      </c>
    </row>
    <row r="31522" spans="6:8">
      <c r="H31522" t="s">
        <v>31737</v>
      </c>
    </row>
    <row r="31523" spans="6:8">
      <c r="H31523" t="s">
        <v>30888</v>
      </c>
    </row>
    <row r="31524" spans="6:8">
      <c r="H31524" t="s">
        <v>30889</v>
      </c>
    </row>
    <row r="31525" spans="6:8">
      <c r="H31525" t="s">
        <v>31739</v>
      </c>
    </row>
    <row r="31526" spans="6:8">
      <c r="H31526" t="s">
        <v>28391</v>
      </c>
    </row>
    <row r="31527" spans="6:8">
      <c r="F31527" t="s">
        <v>13831</v>
      </c>
      <c r="G31527" t="s">
        <v>17875</v>
      </c>
      <c r="H31527" t="s">
        <v>31740</v>
      </c>
    </row>
    <row r="31528" spans="6:8">
      <c r="H31528" t="s">
        <v>31741</v>
      </c>
    </row>
    <row r="31529" spans="6:8">
      <c r="F31529" t="s">
        <v>12171</v>
      </c>
      <c r="G31529" t="s">
        <v>15008</v>
      </c>
      <c r="H31529" t="s">
        <v>31733</v>
      </c>
    </row>
    <row r="31530" spans="6:8">
      <c r="H31530" t="s">
        <v>31742</v>
      </c>
    </row>
    <row r="31531" spans="6:8">
      <c r="H31531" t="s">
        <v>31736</v>
      </c>
    </row>
    <row r="31532" spans="6:8">
      <c r="H31532" t="s">
        <v>18893</v>
      </c>
    </row>
    <row r="31533" spans="6:8">
      <c r="H31533" t="s">
        <v>31737</v>
      </c>
    </row>
    <row r="31534" spans="6:8">
      <c r="H31534" t="s">
        <v>31743</v>
      </c>
    </row>
    <row r="31535" spans="6:8">
      <c r="H31535" t="s">
        <v>18893</v>
      </c>
    </row>
    <row r="31536" spans="6:8">
      <c r="H31536" t="s">
        <v>26643</v>
      </c>
    </row>
    <row r="31537" spans="1:8">
      <c r="A31537" t="s">
        <v>2423</v>
      </c>
      <c r="B31537">
        <f>HYPERLINK("https://android.googlesource.com/platform/cts/+/6842dad89d0f3749bd774c2b8478ee5428154eb9", "6842dad89d0f3749bd774c2b8478ee5428154eb9")</f>
        <v>0</v>
      </c>
      <c r="C31537">
        <f>HYPERLINK("https://android.googlesource.com/platform/cts/+/6079d973fb680da596631e55dfcdd2c631e8bd2d", "6079d973fb680da596631e55dfcdd2c631e8bd2d")</f>
        <v>0</v>
      </c>
      <c r="D31537" t="s">
        <v>5353</v>
      </c>
      <c r="E31537" t="s">
        <v>8153</v>
      </c>
      <c r="F31537" t="s">
        <v>12809</v>
      </c>
      <c r="G31537" t="s">
        <v>16990</v>
      </c>
      <c r="H31537" t="s">
        <v>31744</v>
      </c>
    </row>
    <row r="31538" spans="1:8">
      <c r="H31538" t="s">
        <v>31745</v>
      </c>
    </row>
    <row r="31539" spans="1:8">
      <c r="F31539" t="s">
        <v>12771</v>
      </c>
      <c r="G31539" t="s">
        <v>16958</v>
      </c>
      <c r="H31539" t="s">
        <v>31744</v>
      </c>
    </row>
    <row r="31540" spans="1:8">
      <c r="H31540" t="s">
        <v>31745</v>
      </c>
    </row>
    <row r="31541" spans="1:8">
      <c r="A31541" t="s">
        <v>2424</v>
      </c>
      <c r="B31541">
        <f>HYPERLINK("https://android.googlesource.com/platform/cts/+/10a6cff37f485e38790bdc525652f7e4b39f6216", "10a6cff37f485e38790bdc525652f7e4b39f6216")</f>
        <v>0</v>
      </c>
      <c r="C31541">
        <f>HYPERLINK("https://android.googlesource.com/platform/cts/+/69917a09df28b876bf7effedcd05638a254b805d", "69917a09df28b876bf7effedcd05638a254b805d")</f>
        <v>0</v>
      </c>
      <c r="D31541" t="s">
        <v>5189</v>
      </c>
      <c r="E31541" t="s">
        <v>8154</v>
      </c>
      <c r="F31541" t="s">
        <v>13832</v>
      </c>
      <c r="G31541" t="s">
        <v>17341</v>
      </c>
      <c r="H31541" t="s">
        <v>31746</v>
      </c>
    </row>
    <row r="31542" spans="1:8">
      <c r="A31542" t="s">
        <v>2425</v>
      </c>
      <c r="B31542">
        <f>HYPERLINK("https://android.googlesource.com/platform/cts/+/7293b1224b2b96feed4aaaaf84d268e3e77d4b23", "7293b1224b2b96feed4aaaaf84d268e3e77d4b23")</f>
        <v>0</v>
      </c>
      <c r="C31542">
        <f>HYPERLINK("https://android.googlesource.com/platform/cts/+/4e522d6d9231c1ed79b118a6ca0cccc71854f2e1", "4e522d6d9231c1ed79b118a6ca0cccc71854f2e1")</f>
        <v>0</v>
      </c>
      <c r="D31542" t="s">
        <v>5374</v>
      </c>
      <c r="E31542" t="s">
        <v>8155</v>
      </c>
      <c r="F31542" t="s">
        <v>12733</v>
      </c>
      <c r="G31542" t="s">
        <v>16854</v>
      </c>
      <c r="H31542" t="s">
        <v>31747</v>
      </c>
    </row>
    <row r="31543" spans="1:8">
      <c r="A31543" t="s">
        <v>2426</v>
      </c>
      <c r="B31543">
        <f>HYPERLINK("https://android.googlesource.com/platform/cts/+/7d86cf28bce1f787fe84098e10d3ee2542670f9d", "7d86cf28bce1f787fe84098e10d3ee2542670f9d")</f>
        <v>0</v>
      </c>
      <c r="C31543">
        <f>HYPERLINK("https://android.googlesource.com/platform/cts/+/42b3bd3d63b4a30c1e8cd5106b78fb31cd4354c9", "42b3bd3d63b4a30c1e8cd5106b78fb31cd4354c9")</f>
        <v>0</v>
      </c>
      <c r="D31543" t="s">
        <v>5134</v>
      </c>
      <c r="E31543" t="s">
        <v>8156</v>
      </c>
      <c r="F31543" t="s">
        <v>13756</v>
      </c>
      <c r="G31543" t="s">
        <v>17371</v>
      </c>
      <c r="H31543" t="s">
        <v>31748</v>
      </c>
    </row>
    <row r="31544" spans="1:8">
      <c r="H31544" t="s">
        <v>31749</v>
      </c>
    </row>
    <row r="31545" spans="1:8">
      <c r="F31545" t="s">
        <v>13814</v>
      </c>
      <c r="G31545" t="s">
        <v>17861</v>
      </c>
      <c r="H31545" t="s">
        <v>31750</v>
      </c>
    </row>
    <row r="31546" spans="1:8">
      <c r="H31546" t="s">
        <v>31751</v>
      </c>
    </row>
    <row r="31547" spans="1:8">
      <c r="H31547" t="s">
        <v>31752</v>
      </c>
    </row>
    <row r="31548" spans="1:8">
      <c r="A31548" t="s">
        <v>2427</v>
      </c>
      <c r="B31548">
        <f>HYPERLINK("https://android.googlesource.com/platform/cts/+/93767c370f0cde262c3f746b6cfea9b1d2475b48", "93767c370f0cde262c3f746b6cfea9b1d2475b48")</f>
        <v>0</v>
      </c>
      <c r="C31548">
        <f>HYPERLINK("https://android.googlesource.com/platform/cts/+/4d3fa970a0d5b6eae5f382afc9ef46012c72502c", "4d3fa970a0d5b6eae5f382afc9ef46012c72502c")</f>
        <v>0</v>
      </c>
      <c r="D31548" t="s">
        <v>5262</v>
      </c>
      <c r="E31548" t="s">
        <v>8157</v>
      </c>
      <c r="F31548" t="s">
        <v>13833</v>
      </c>
      <c r="G31548" t="s">
        <v>17876</v>
      </c>
      <c r="H31548" t="s">
        <v>31753</v>
      </c>
    </row>
    <row r="31549" spans="1:8">
      <c r="A31549" t="s">
        <v>2428</v>
      </c>
      <c r="B31549">
        <f>HYPERLINK("https://android.googlesource.com/platform/cts/+/1565e443df4bb1becb0d0a216a5659ed68a76093", "1565e443df4bb1becb0d0a216a5659ed68a76093")</f>
        <v>0</v>
      </c>
      <c r="C31549">
        <f>HYPERLINK("https://android.googlesource.com/platform/cts/+/6a10361096d695cca25a05a240ecf5aa6c364d67", "6a10361096d695cca25a05a240ecf5aa6c364d67")</f>
        <v>0</v>
      </c>
      <c r="D31549" t="s">
        <v>5118</v>
      </c>
      <c r="E31549" t="s">
        <v>8158</v>
      </c>
      <c r="F31549" t="s">
        <v>13273</v>
      </c>
      <c r="G31549" t="s">
        <v>17410</v>
      </c>
      <c r="H31549" t="s">
        <v>18829</v>
      </c>
    </row>
    <row r="31550" spans="1:8">
      <c r="H31550" t="s">
        <v>31754</v>
      </c>
    </row>
    <row r="31551" spans="1:8">
      <c r="H31551" t="s">
        <v>31755</v>
      </c>
    </row>
    <row r="31552" spans="1:8">
      <c r="H31552" t="s">
        <v>31756</v>
      </c>
    </row>
    <row r="31553" spans="6:8">
      <c r="H31553" t="s">
        <v>31757</v>
      </c>
    </row>
    <row r="31554" spans="6:8">
      <c r="H31554" t="s">
        <v>31758</v>
      </c>
    </row>
    <row r="31555" spans="6:8">
      <c r="H31555" t="s">
        <v>19013</v>
      </c>
    </row>
    <row r="31556" spans="6:8">
      <c r="H31556" t="s">
        <v>31759</v>
      </c>
    </row>
    <row r="31557" spans="6:8">
      <c r="F31557" t="s">
        <v>13834</v>
      </c>
      <c r="G31557" t="s">
        <v>17877</v>
      </c>
      <c r="H31557" t="s">
        <v>18829</v>
      </c>
    </row>
    <row r="31558" spans="6:8">
      <c r="H31558" t="s">
        <v>18863</v>
      </c>
    </row>
    <row r="31559" spans="6:8">
      <c r="H31559" t="s">
        <v>31760</v>
      </c>
    </row>
    <row r="31560" spans="6:8">
      <c r="H31560" t="s">
        <v>31761</v>
      </c>
    </row>
    <row r="31561" spans="6:8">
      <c r="H31561" t="s">
        <v>31762</v>
      </c>
    </row>
    <row r="31562" spans="6:8">
      <c r="H31562" t="s">
        <v>31763</v>
      </c>
    </row>
    <row r="31563" spans="6:8">
      <c r="H31563" t="s">
        <v>31764</v>
      </c>
    </row>
    <row r="31564" spans="6:8">
      <c r="H31564" t="s">
        <v>31765</v>
      </c>
    </row>
    <row r="31565" spans="6:8">
      <c r="H31565" t="s">
        <v>31766</v>
      </c>
    </row>
    <row r="31566" spans="6:8">
      <c r="H31566" t="s">
        <v>31767</v>
      </c>
    </row>
    <row r="31567" spans="6:8">
      <c r="H31567" t="s">
        <v>31768</v>
      </c>
    </row>
    <row r="31568" spans="6:8">
      <c r="H31568" t="s">
        <v>31769</v>
      </c>
    </row>
    <row r="31569" spans="1:8">
      <c r="H31569" t="s">
        <v>31770</v>
      </c>
    </row>
    <row r="31570" spans="1:8">
      <c r="H31570" t="s">
        <v>31771</v>
      </c>
    </row>
    <row r="31571" spans="1:8">
      <c r="H31571" t="s">
        <v>31772</v>
      </c>
    </row>
    <row r="31572" spans="1:8">
      <c r="H31572" t="s">
        <v>31772</v>
      </c>
    </row>
    <row r="31573" spans="1:8">
      <c r="H31573" t="s">
        <v>31773</v>
      </c>
    </row>
    <row r="31574" spans="1:8">
      <c r="H31574" t="s">
        <v>31774</v>
      </c>
    </row>
    <row r="31575" spans="1:8">
      <c r="H31575" t="s">
        <v>31775</v>
      </c>
    </row>
    <row r="31576" spans="1:8">
      <c r="F31576" t="s">
        <v>13835</v>
      </c>
      <c r="G31576" t="s">
        <v>17878</v>
      </c>
      <c r="H31576" t="s">
        <v>19998</v>
      </c>
    </row>
    <row r="31577" spans="1:8">
      <c r="H31577" t="s">
        <v>26873</v>
      </c>
    </row>
    <row r="31578" spans="1:8">
      <c r="H31578" t="s">
        <v>20083</v>
      </c>
    </row>
    <row r="31579" spans="1:8">
      <c r="H31579" t="s">
        <v>31014</v>
      </c>
    </row>
    <row r="31580" spans="1:8">
      <c r="H31580" t="s">
        <v>31015</v>
      </c>
    </row>
    <row r="31581" spans="1:8">
      <c r="H31581" t="s">
        <v>19928</v>
      </c>
    </row>
    <row r="31582" spans="1:8">
      <c r="H31582" t="s">
        <v>31776</v>
      </c>
    </row>
    <row r="31583" spans="1:8">
      <c r="H31583" t="s">
        <v>31777</v>
      </c>
    </row>
    <row r="31584" spans="1:8">
      <c r="A31584" t="s">
        <v>2429</v>
      </c>
      <c r="B31584">
        <f>HYPERLINK("https://android.googlesource.com/platform/cts/+/f93a3501d2bbd0c4d8ae5c522f3fe4d305c0aa30", "f93a3501d2bbd0c4d8ae5c522f3fe4d305c0aa30")</f>
        <v>0</v>
      </c>
      <c r="C31584">
        <f>HYPERLINK("https://android.googlesource.com/platform/cts/+/7f41cb2ec7189b421a5ba0d6f390d5aa5730a85a", "7f41cb2ec7189b421a5ba0d6f390d5aa5730a85a")</f>
        <v>0</v>
      </c>
      <c r="D31584" t="s">
        <v>5315</v>
      </c>
      <c r="E31584" t="s">
        <v>8159</v>
      </c>
      <c r="F31584" t="s">
        <v>13782</v>
      </c>
      <c r="G31584" t="s">
        <v>17836</v>
      </c>
      <c r="H31584" t="s">
        <v>31778</v>
      </c>
    </row>
    <row r="31585" spans="1:8">
      <c r="F31585" t="s">
        <v>13818</v>
      </c>
      <c r="G31585" t="s">
        <v>17863</v>
      </c>
      <c r="H31585" t="s">
        <v>31779</v>
      </c>
    </row>
    <row r="31586" spans="1:8">
      <c r="A31586" t="s">
        <v>2430</v>
      </c>
      <c r="B31586">
        <f>HYPERLINK("https://android.googlesource.com/platform/cts/+/25c2ec39cb40adf27f4c70949aa8e2fd2810a8ab", "25c2ec39cb40adf27f4c70949aa8e2fd2810a8ab")</f>
        <v>0</v>
      </c>
      <c r="C31586">
        <f>HYPERLINK("https://android.googlesource.com/platform/cts/+/1561eaf0c46111b660e7be5cfacef4cc2c9e46ec", "1561eaf0c46111b660e7be5cfacef4cc2c9e46ec")</f>
        <v>0</v>
      </c>
      <c r="D31586" t="s">
        <v>5263</v>
      </c>
      <c r="E31586" t="s">
        <v>8160</v>
      </c>
      <c r="F31586" t="s">
        <v>13836</v>
      </c>
      <c r="G31586" t="s">
        <v>17879</v>
      </c>
      <c r="H31586" t="s">
        <v>31780</v>
      </c>
    </row>
    <row r="31587" spans="1:8">
      <c r="H31587" t="s">
        <v>31781</v>
      </c>
    </row>
    <row r="31588" spans="1:8">
      <c r="H31588" t="s">
        <v>31782</v>
      </c>
    </row>
    <row r="31589" spans="1:8">
      <c r="A31589" t="s">
        <v>2431</v>
      </c>
      <c r="B31589">
        <f>HYPERLINK("https://android.googlesource.com/platform/cts/+/25526dfd701df8132e5957a65a125cf15b9d6182", "25526dfd701df8132e5957a65a125cf15b9d6182")</f>
        <v>0</v>
      </c>
      <c r="C31589">
        <f>HYPERLINK("https://android.googlesource.com/platform/cts/+/3542f935818abedf137afb766b779be14234d10f", "3542f935818abedf137afb766b779be14234d10f")</f>
        <v>0</v>
      </c>
      <c r="D31589" t="s">
        <v>5134</v>
      </c>
      <c r="E31589" t="s">
        <v>8161</v>
      </c>
      <c r="F31589" t="s">
        <v>13746</v>
      </c>
      <c r="G31589" t="s">
        <v>17806</v>
      </c>
      <c r="H31589" t="s">
        <v>31590</v>
      </c>
    </row>
    <row r="31590" spans="1:8">
      <c r="A31590" t="s">
        <v>2432</v>
      </c>
      <c r="B31590">
        <f>HYPERLINK("https://android.googlesource.com/platform/cts/+/9b77834ab87cd2fa8826f825712c40e119a366a3", "9b77834ab87cd2fa8826f825712c40e119a366a3")</f>
        <v>0</v>
      </c>
      <c r="C31590">
        <f>HYPERLINK("https://android.googlesource.com/platform/cts/+/0d1409b1cca7c3169433aff73314089e7a8cf40f", "0d1409b1cca7c3169433aff73314089e7a8cf40f")</f>
        <v>0</v>
      </c>
      <c r="D31590" t="s">
        <v>5390</v>
      </c>
      <c r="E31590" t="s">
        <v>8162</v>
      </c>
      <c r="F31590" t="s">
        <v>13837</v>
      </c>
      <c r="G31590" t="s">
        <v>17880</v>
      </c>
      <c r="H31590" t="s">
        <v>31783</v>
      </c>
    </row>
    <row r="31591" spans="1:8">
      <c r="A31591" t="s">
        <v>2433</v>
      </c>
      <c r="B31591">
        <f>HYPERLINK("https://android.googlesource.com/platform/cts/+/0a4b52835219a6dff395ad95caf159120dd1679b", "0a4b52835219a6dff395ad95caf159120dd1679b")</f>
        <v>0</v>
      </c>
      <c r="C31591">
        <f>HYPERLINK("https://android.googlesource.com/platform/cts/+/32086afe3ce09f24babba099c51dd6fefac5fe80", "32086afe3ce09f24babba099c51dd6fefac5fe80")</f>
        <v>0</v>
      </c>
      <c r="D31591" t="s">
        <v>5290</v>
      </c>
      <c r="E31591" t="s">
        <v>8163</v>
      </c>
      <c r="F31591" t="s">
        <v>13838</v>
      </c>
      <c r="G31591" t="s">
        <v>17881</v>
      </c>
      <c r="H31591" t="s">
        <v>31784</v>
      </c>
    </row>
    <row r="31592" spans="1:8">
      <c r="H31592" t="s">
        <v>31785</v>
      </c>
    </row>
    <row r="31593" spans="1:8">
      <c r="A31593" t="s">
        <v>2434</v>
      </c>
      <c r="B31593">
        <f>HYPERLINK("https://android.googlesource.com/platform/cts/+/5e6d2579be19cffd269f70b2efd703808ce6ccf9", "5e6d2579be19cffd269f70b2efd703808ce6ccf9")</f>
        <v>0</v>
      </c>
      <c r="C31593">
        <f>HYPERLINK("https://android.googlesource.com/platform/cts/+/faec8c5730f73c269b1bb37cff3153e2014e3347", "faec8c5730f73c269b1bb37cff3153e2014e3347")</f>
        <v>0</v>
      </c>
      <c r="D31593" t="s">
        <v>5117</v>
      </c>
      <c r="E31593" t="s">
        <v>8164</v>
      </c>
      <c r="F31593" t="s">
        <v>13839</v>
      </c>
      <c r="G31593" t="s">
        <v>17882</v>
      </c>
      <c r="H31593" t="s">
        <v>31786</v>
      </c>
    </row>
    <row r="31594" spans="1:8">
      <c r="A31594" t="s">
        <v>2435</v>
      </c>
      <c r="B31594">
        <f>HYPERLINK("https://android.googlesource.com/platform/cts/+/9f7cf9e8da9b69444843c64bf71172d33c4864bf", "9f7cf9e8da9b69444843c64bf71172d33c4864bf")</f>
        <v>0</v>
      </c>
      <c r="C31594">
        <f>HYPERLINK("https://android.googlesource.com/platform/cts/+/33974a73e3b3ba677ed44b221b290b558f0e6566", "33974a73e3b3ba677ed44b221b290b558f0e6566")</f>
        <v>0</v>
      </c>
      <c r="D31594" t="s">
        <v>5307</v>
      </c>
      <c r="E31594" t="s">
        <v>8165</v>
      </c>
      <c r="F31594" t="s">
        <v>13263</v>
      </c>
      <c r="G31594" t="s">
        <v>17401</v>
      </c>
      <c r="H31594" t="s">
        <v>31787</v>
      </c>
    </row>
    <row r="31595" spans="1:8">
      <c r="A31595" t="s">
        <v>2436</v>
      </c>
      <c r="B31595">
        <f>HYPERLINK("https://android.googlesource.com/platform/cts/+/ffa061368edb04d5d3c949ac315f73de97367dd9", "ffa061368edb04d5d3c949ac315f73de97367dd9")</f>
        <v>0</v>
      </c>
      <c r="C31595">
        <f>HYPERLINK("https://android.googlesource.com/platform/cts/+/39aba5c19984e345e28ab50bfd7cef1858ae72b2", "39aba5c19984e345e28ab50bfd7cef1858ae72b2")</f>
        <v>0</v>
      </c>
      <c r="D31595" t="s">
        <v>5341</v>
      </c>
      <c r="E31595" t="s">
        <v>8166</v>
      </c>
      <c r="F31595" t="s">
        <v>13827</v>
      </c>
      <c r="G31595" t="s">
        <v>17871</v>
      </c>
      <c r="H31595" t="s">
        <v>31788</v>
      </c>
    </row>
    <row r="31596" spans="1:8">
      <c r="H31596" t="s">
        <v>31789</v>
      </c>
    </row>
    <row r="31597" spans="1:8">
      <c r="A31597" t="s">
        <v>2437</v>
      </c>
      <c r="B31597">
        <f>HYPERLINK("https://android.googlesource.com/platform/cts/+/d9f641eae97133f1511b329a8d60d1d02635d8c9", "d9f641eae97133f1511b329a8d60d1d02635d8c9")</f>
        <v>0</v>
      </c>
      <c r="C31597">
        <f>HYPERLINK("https://android.googlesource.com/platform/cts/+/3542f935818abedf137afb766b779be14234d10f", "3542f935818abedf137afb766b779be14234d10f")</f>
        <v>0</v>
      </c>
      <c r="D31597" t="s">
        <v>5371</v>
      </c>
      <c r="E31597" t="s">
        <v>8167</v>
      </c>
      <c r="F31597" t="s">
        <v>13840</v>
      </c>
      <c r="G31597" t="s">
        <v>17883</v>
      </c>
      <c r="H31597" t="s">
        <v>31790</v>
      </c>
    </row>
    <row r="31598" spans="1:8">
      <c r="H31598" t="s">
        <v>18829</v>
      </c>
    </row>
    <row r="31599" spans="1:8">
      <c r="H31599" t="s">
        <v>18863</v>
      </c>
    </row>
    <row r="31600" spans="1:8">
      <c r="H31600" t="s">
        <v>31791</v>
      </c>
    </row>
    <row r="31601" spans="6:8">
      <c r="H31601" t="s">
        <v>31791</v>
      </c>
    </row>
    <row r="31602" spans="6:8">
      <c r="H31602" t="s">
        <v>31792</v>
      </c>
    </row>
    <row r="31603" spans="6:8">
      <c r="H31603" t="s">
        <v>31793</v>
      </c>
    </row>
    <row r="31604" spans="6:8">
      <c r="H31604" t="s">
        <v>31794</v>
      </c>
    </row>
    <row r="31605" spans="6:8">
      <c r="H31605" t="s">
        <v>31795</v>
      </c>
    </row>
    <row r="31606" spans="6:8">
      <c r="H31606" t="s">
        <v>31796</v>
      </c>
    </row>
    <row r="31607" spans="6:8">
      <c r="H31607" t="s">
        <v>31797</v>
      </c>
    </row>
    <row r="31608" spans="6:8">
      <c r="H31608" t="s">
        <v>31798</v>
      </c>
    </row>
    <row r="31609" spans="6:8">
      <c r="H31609" t="s">
        <v>31799</v>
      </c>
    </row>
    <row r="31610" spans="6:8">
      <c r="H31610" t="s">
        <v>31800</v>
      </c>
    </row>
    <row r="31611" spans="6:8">
      <c r="F31611" t="s">
        <v>13841</v>
      </c>
      <c r="G31611" t="s">
        <v>17884</v>
      </c>
      <c r="H31611" t="s">
        <v>31801</v>
      </c>
    </row>
    <row r="31612" spans="6:8">
      <c r="H31612" t="s">
        <v>18829</v>
      </c>
    </row>
    <row r="31613" spans="6:8">
      <c r="H31613" t="s">
        <v>18863</v>
      </c>
    </row>
    <row r="31614" spans="6:8">
      <c r="H31614" t="s">
        <v>31802</v>
      </c>
    </row>
    <row r="31615" spans="6:8">
      <c r="H31615" t="s">
        <v>31803</v>
      </c>
    </row>
    <row r="31616" spans="6:8">
      <c r="H31616" t="s">
        <v>31804</v>
      </c>
    </row>
    <row r="31617" spans="1:8">
      <c r="H31617" t="s">
        <v>31805</v>
      </c>
    </row>
    <row r="31618" spans="1:8">
      <c r="H31618" t="s">
        <v>31806</v>
      </c>
    </row>
    <row r="31619" spans="1:8">
      <c r="A31619" t="s">
        <v>2438</v>
      </c>
      <c r="B31619">
        <f>HYPERLINK("https://android.googlesource.com/platform/cts/+/687b54c3be1e22aa84ff3ee8a3c8f2d6162b0343", "687b54c3be1e22aa84ff3ee8a3c8f2d6162b0343")</f>
        <v>0</v>
      </c>
      <c r="C31619">
        <f>HYPERLINK("https://android.googlesource.com/platform/cts/+/8129c83b1a00c838609de64076e3a99a3eec9d67", "8129c83b1a00c838609de64076e3a99a3eec9d67")</f>
        <v>0</v>
      </c>
      <c r="D31619" t="s">
        <v>5375</v>
      </c>
      <c r="E31619" t="s">
        <v>8168</v>
      </c>
      <c r="F31619" t="s">
        <v>13842</v>
      </c>
      <c r="G31619" t="s">
        <v>17885</v>
      </c>
      <c r="H31619" t="s">
        <v>19981</v>
      </c>
    </row>
    <row r="31620" spans="1:8">
      <c r="H31620" t="s">
        <v>31807</v>
      </c>
    </row>
    <row r="31621" spans="1:8">
      <c r="A31621" t="s">
        <v>2439</v>
      </c>
      <c r="B31621">
        <f>HYPERLINK("https://android.googlesource.com/platform/cts/+/b3fc868ee051ecf084a98aa7ae2c8e1bb44bd68d", "b3fc868ee051ecf084a98aa7ae2c8e1bb44bd68d")</f>
        <v>0</v>
      </c>
      <c r="C31621">
        <f>HYPERLINK("https://android.googlesource.com/platform/cts/+/3f597d1d27048fdd3e4fafb0009994eb0cef16f7", "3f597d1d27048fdd3e4fafb0009994eb0cef16f7")</f>
        <v>0</v>
      </c>
      <c r="D31621" t="s">
        <v>5391</v>
      </c>
      <c r="E31621" t="s">
        <v>8169</v>
      </c>
      <c r="F31621" t="s">
        <v>10675</v>
      </c>
      <c r="G31621" t="s">
        <v>15075</v>
      </c>
      <c r="H31621" t="s">
        <v>31808</v>
      </c>
    </row>
    <row r="31622" spans="1:8">
      <c r="H31622" t="s">
        <v>31809</v>
      </c>
    </row>
    <row r="31623" spans="1:8">
      <c r="A31623" t="s">
        <v>2440</v>
      </c>
      <c r="B31623">
        <f>HYPERLINK("https://android.googlesource.com/platform/cts/+/2bbee6e1e5f35136311749b061a468b9b223d840", "2bbee6e1e5f35136311749b061a468b9b223d840")</f>
        <v>0</v>
      </c>
      <c r="C31623">
        <f>HYPERLINK("https://android.googlesource.com/platform/cts/+/be6d34f5c3b4e92204a1128d90b34e330e52f768", "be6d34f5c3b4e92204a1128d90b34e330e52f768")</f>
        <v>0</v>
      </c>
      <c r="D31623" t="s">
        <v>5392</v>
      </c>
      <c r="E31623" t="s">
        <v>8170</v>
      </c>
      <c r="F31623" t="s">
        <v>13220</v>
      </c>
      <c r="G31623" t="s">
        <v>17361</v>
      </c>
      <c r="H31623" t="s">
        <v>31810</v>
      </c>
    </row>
    <row r="31624" spans="1:8">
      <c r="H31624" t="s">
        <v>31811</v>
      </c>
    </row>
    <row r="31625" spans="1:8">
      <c r="H31625" t="s">
        <v>31812</v>
      </c>
    </row>
    <row r="31626" spans="1:8">
      <c r="H31626" t="s">
        <v>31813</v>
      </c>
    </row>
    <row r="31627" spans="1:8">
      <c r="H31627" t="s">
        <v>31814</v>
      </c>
    </row>
    <row r="31628" spans="1:8">
      <c r="H31628" t="s">
        <v>31815</v>
      </c>
    </row>
    <row r="31629" spans="1:8">
      <c r="H31629" t="s">
        <v>31816</v>
      </c>
    </row>
    <row r="31630" spans="1:8">
      <c r="H31630" t="s">
        <v>31817</v>
      </c>
    </row>
    <row r="31631" spans="1:8">
      <c r="A31631" t="s">
        <v>2441</v>
      </c>
      <c r="B31631">
        <f>HYPERLINK("https://android.googlesource.com/platform/cts/+/74b317f0e373dc139895ec2cfb472d2a4a1e7d28", "74b317f0e373dc139895ec2cfb472d2a4a1e7d28")</f>
        <v>0</v>
      </c>
      <c r="C31631">
        <f>HYPERLINK("https://android.googlesource.com/platform/cts/+/f6b28f2c3296f94066485f877e09f165938d75be", "f6b28f2c3296f94066485f877e09f165938d75be")</f>
        <v>0</v>
      </c>
      <c r="D31631" t="s">
        <v>5272</v>
      </c>
      <c r="E31631" t="s">
        <v>8171</v>
      </c>
      <c r="F31631" t="s">
        <v>13757</v>
      </c>
      <c r="G31631" t="s">
        <v>17816</v>
      </c>
      <c r="H31631" t="s">
        <v>31818</v>
      </c>
    </row>
    <row r="31632" spans="1:8">
      <c r="F31632" t="s">
        <v>13810</v>
      </c>
      <c r="G31632" t="s">
        <v>17734</v>
      </c>
      <c r="H31632" t="s">
        <v>30881</v>
      </c>
    </row>
    <row r="31633" spans="1:8">
      <c r="H31633" t="s">
        <v>29728</v>
      </c>
    </row>
    <row r="31634" spans="1:8">
      <c r="H31634" t="s">
        <v>29729</v>
      </c>
    </row>
    <row r="31635" spans="1:8">
      <c r="H31635" t="s">
        <v>18893</v>
      </c>
    </row>
    <row r="31636" spans="1:8">
      <c r="A31636" t="s">
        <v>2442</v>
      </c>
      <c r="B31636">
        <f>HYPERLINK("https://android.googlesource.com/platform/cts/+/61097212329e37c755dddac701c56daee8916620", "61097212329e37c755dddac701c56daee8916620")</f>
        <v>0</v>
      </c>
      <c r="C31636">
        <f>HYPERLINK("https://android.googlesource.com/platform/cts/+/7a7a4d51783339d3fe1b8f861c9c104ad8d5127b", "7a7a4d51783339d3fe1b8f861c9c104ad8d5127b")</f>
        <v>0</v>
      </c>
      <c r="D31636" t="s">
        <v>5375</v>
      </c>
      <c r="E31636" t="s">
        <v>8172</v>
      </c>
      <c r="F31636" t="s">
        <v>13771</v>
      </c>
      <c r="G31636" t="s">
        <v>17826</v>
      </c>
      <c r="H31636" t="s">
        <v>31819</v>
      </c>
    </row>
    <row r="31637" spans="1:8">
      <c r="H31637" t="s">
        <v>31820</v>
      </c>
    </row>
    <row r="31638" spans="1:8">
      <c r="H31638" t="s">
        <v>31821</v>
      </c>
    </row>
    <row r="31639" spans="1:8">
      <c r="H31639" t="s">
        <v>31822</v>
      </c>
    </row>
    <row r="31640" spans="1:8">
      <c r="A31640" t="s">
        <v>2443</v>
      </c>
      <c r="B31640">
        <f>HYPERLINK("https://android.googlesource.com/platform/cts/+/ca8a47dbd950b10c933e44299b22b4122b5dfcbf", "ca8a47dbd950b10c933e44299b22b4122b5dfcbf")</f>
        <v>0</v>
      </c>
      <c r="C31640">
        <f>HYPERLINK("https://android.googlesource.com/platform/cts/+/334db7e07be0c87875811fe3adf62b4c428cb93e", "334db7e07be0c87875811fe3adf62b4c428cb93e")</f>
        <v>0</v>
      </c>
      <c r="D31640" t="s">
        <v>5234</v>
      </c>
      <c r="E31640" t="s">
        <v>8173</v>
      </c>
      <c r="F31640" t="s">
        <v>13843</v>
      </c>
      <c r="G31640" t="s">
        <v>17886</v>
      </c>
      <c r="H31640" t="s">
        <v>28909</v>
      </c>
    </row>
    <row r="31641" spans="1:8">
      <c r="A31641" t="s">
        <v>2444</v>
      </c>
      <c r="B31641">
        <f>HYPERLINK("https://android.googlesource.com/platform/cts/+/e05ffed599d17559af16e04d17fcf74d075b7939", "e05ffed599d17559af16e04d17fcf74d075b7939")</f>
        <v>0</v>
      </c>
      <c r="C31641">
        <f>HYPERLINK("https://android.googlesource.com/platform/cts/+/b9b5147fcf9e2006cdac7baa91394a628439620a", "b9b5147fcf9e2006cdac7baa91394a628439620a")</f>
        <v>0</v>
      </c>
      <c r="D31641" t="s">
        <v>5393</v>
      </c>
      <c r="E31641" t="s">
        <v>8174</v>
      </c>
      <c r="F31641" t="s">
        <v>13844</v>
      </c>
      <c r="G31641" t="s">
        <v>17887</v>
      </c>
      <c r="H31641" t="s">
        <v>31823</v>
      </c>
    </row>
    <row r="31642" spans="1:8">
      <c r="H31642" t="s">
        <v>31824</v>
      </c>
    </row>
    <row r="31643" spans="1:8">
      <c r="H31643" t="s">
        <v>31825</v>
      </c>
    </row>
    <row r="31644" spans="1:8">
      <c r="F31644" t="s">
        <v>12743</v>
      </c>
      <c r="G31644" t="s">
        <v>16935</v>
      </c>
      <c r="H31644" t="s">
        <v>31825</v>
      </c>
    </row>
    <row r="31645" spans="1:8">
      <c r="A31645" t="s">
        <v>2445</v>
      </c>
      <c r="B31645">
        <f>HYPERLINK("https://android.googlesource.com/platform/cts/+/a09d19c0b15ad11765b0894cc7ba5577d2a4cee7", "a09d19c0b15ad11765b0894cc7ba5577d2a4cee7")</f>
        <v>0</v>
      </c>
      <c r="C31645">
        <f>HYPERLINK("https://android.googlesource.com/platform/cts/+/e55bc413d4ccbad074404640ccbdfb5692c1a685", "e55bc413d4ccbad074404640ccbdfb5692c1a685")</f>
        <v>0</v>
      </c>
      <c r="D31645" t="s">
        <v>5108</v>
      </c>
      <c r="E31645" t="s">
        <v>8175</v>
      </c>
      <c r="F31645" t="s">
        <v>13229</v>
      </c>
      <c r="G31645" t="s">
        <v>17370</v>
      </c>
      <c r="H31645" t="s">
        <v>31826</v>
      </c>
    </row>
    <row r="31646" spans="1:8">
      <c r="H31646" t="s">
        <v>31827</v>
      </c>
    </row>
    <row r="31647" spans="1:8">
      <c r="A31647" t="s">
        <v>2446</v>
      </c>
      <c r="B31647">
        <f>HYPERLINK("https://android.googlesource.com/platform/cts/+/a808b48a721f11d0676179afe16b8d17ae1bf28f", "a808b48a721f11d0676179afe16b8d17ae1bf28f")</f>
        <v>0</v>
      </c>
      <c r="C31647">
        <f>HYPERLINK("https://android.googlesource.com/platform/cts/+/f66199b97d5f8ae519d674b1efe94cedda89b177", "f66199b97d5f8ae519d674b1efe94cedda89b177")</f>
        <v>0</v>
      </c>
      <c r="D31647" t="s">
        <v>5134</v>
      </c>
      <c r="E31647" t="s">
        <v>8176</v>
      </c>
      <c r="F31647" t="s">
        <v>13230</v>
      </c>
      <c r="G31647" t="s">
        <v>17371</v>
      </c>
      <c r="H31647" t="s">
        <v>31828</v>
      </c>
    </row>
    <row r="31648" spans="1:8">
      <c r="H31648" t="s">
        <v>31829</v>
      </c>
    </row>
    <row r="31649" spans="1:8">
      <c r="A31649" t="s">
        <v>2447</v>
      </c>
      <c r="B31649">
        <f>HYPERLINK("https://android.googlesource.com/platform/cts/+/7e11d1fc534e84a8cde49ed3b50022858d75accd", "7e11d1fc534e84a8cde49ed3b50022858d75accd")</f>
        <v>0</v>
      </c>
      <c r="C31649">
        <f>HYPERLINK("https://android.googlesource.com/platform/cts/+/05aeecd8f6a57f592c1c8e09ed51265f9d0535cf", "05aeecd8f6a57f592c1c8e09ed51265f9d0535cf")</f>
        <v>0</v>
      </c>
      <c r="D31649" t="s">
        <v>5394</v>
      </c>
      <c r="E31649" t="s">
        <v>8177</v>
      </c>
      <c r="F31649" t="s">
        <v>13845</v>
      </c>
      <c r="G31649" t="s">
        <v>17888</v>
      </c>
      <c r="H31649" t="s">
        <v>31830</v>
      </c>
    </row>
    <row r="31650" spans="1:8">
      <c r="H31650" t="s">
        <v>31831</v>
      </c>
    </row>
    <row r="31651" spans="1:8">
      <c r="H31651" t="s">
        <v>31832</v>
      </c>
    </row>
    <row r="31652" spans="1:8">
      <c r="A31652" t="s">
        <v>2448</v>
      </c>
      <c r="B31652">
        <f>HYPERLINK("https://android.googlesource.com/platform/cts/+/2477139e7036106b38328090879cb03dbd83ad6e", "2477139e7036106b38328090879cb03dbd83ad6e")</f>
        <v>0</v>
      </c>
      <c r="C31652">
        <f>HYPERLINK("https://android.googlesource.com/platform/cts/+/fd0a6da7e815d071e66317fc5994320afeef6998", "fd0a6da7e815d071e66317fc5994320afeef6998")</f>
        <v>0</v>
      </c>
      <c r="D31652" t="s">
        <v>5395</v>
      </c>
      <c r="E31652" t="s">
        <v>8178</v>
      </c>
      <c r="F31652" t="s">
        <v>10597</v>
      </c>
      <c r="G31652" t="s">
        <v>15000</v>
      </c>
      <c r="H31652" t="s">
        <v>31833</v>
      </c>
    </row>
    <row r="31653" spans="1:8">
      <c r="A31653" t="s">
        <v>2449</v>
      </c>
      <c r="B31653">
        <f>HYPERLINK("https://android.googlesource.com/platform/cts/+/2d22791e40114cd02ab1489859ce0440f1bde5c4", "2d22791e40114cd02ab1489859ce0440f1bde5c4")</f>
        <v>0</v>
      </c>
      <c r="C31653">
        <f>HYPERLINK("https://android.googlesource.com/platform/cts/+/a96c66acda1b27ecf18394c218ea0d1549f88592", "a96c66acda1b27ecf18394c218ea0d1549f88592")</f>
        <v>0</v>
      </c>
      <c r="D31653" t="s">
        <v>5396</v>
      </c>
      <c r="E31653" t="s">
        <v>8179</v>
      </c>
      <c r="F31653" t="s">
        <v>13846</v>
      </c>
      <c r="G31653" t="s">
        <v>17889</v>
      </c>
      <c r="H31653" t="s">
        <v>31834</v>
      </c>
    </row>
    <row r="31654" spans="1:8">
      <c r="A31654" t="s">
        <v>2450</v>
      </c>
      <c r="B31654">
        <f>HYPERLINK("https://android.googlesource.com/platform/cts/+/06440c2a84e6510b91d0b57d9affb8de5693318f", "06440c2a84e6510b91d0b57d9affb8de5693318f")</f>
        <v>0</v>
      </c>
      <c r="C31654">
        <f>HYPERLINK("https://android.googlesource.com/platform/cts/+/2b193cd7f0aecc119de642dad3ecee23b0a5ff6f", "2b193cd7f0aecc119de642dad3ecee23b0a5ff6f")</f>
        <v>0</v>
      </c>
      <c r="D31654" t="s">
        <v>5140</v>
      </c>
      <c r="E31654" t="s">
        <v>8180</v>
      </c>
      <c r="F31654" t="s">
        <v>13847</v>
      </c>
      <c r="G31654" t="s">
        <v>17890</v>
      </c>
      <c r="H31654" t="s">
        <v>31835</v>
      </c>
    </row>
    <row r="31655" spans="1:8">
      <c r="A31655" t="s">
        <v>2451</v>
      </c>
      <c r="B31655">
        <f>HYPERLINK("https://android.googlesource.com/platform/cts/+/7f6c94fcaf257107f393a8f7e4db5a93bea7400b", "7f6c94fcaf257107f393a8f7e4db5a93bea7400b")</f>
        <v>0</v>
      </c>
      <c r="C31655">
        <f>HYPERLINK("https://android.googlesource.com/platform/cts/+/5e185ef5a5106a1f3ede504c0f8f499fbb2f5d18", "5e185ef5a5106a1f3ede504c0f8f499fbb2f5d18")</f>
        <v>0</v>
      </c>
      <c r="D31655" t="s">
        <v>5397</v>
      </c>
      <c r="E31655" t="s">
        <v>8181</v>
      </c>
      <c r="F31655" t="s">
        <v>13846</v>
      </c>
      <c r="G31655" t="s">
        <v>17889</v>
      </c>
      <c r="H31655" t="s">
        <v>31836</v>
      </c>
    </row>
    <row r="31656" spans="1:8">
      <c r="A31656" t="s">
        <v>2452</v>
      </c>
      <c r="B31656">
        <f>HYPERLINK("https://android.googlesource.com/platform/cts/+/0104be8e3b27720f2bbed7c9153e73cb4c26b278", "0104be8e3b27720f2bbed7c9153e73cb4c26b278")</f>
        <v>0</v>
      </c>
      <c r="C31656">
        <f>HYPERLINK("https://android.googlesource.com/platform/cts/+/06440c2a84e6510b91d0b57d9affb8de5693318f", "06440c2a84e6510b91d0b57d9affb8de5693318f")</f>
        <v>0</v>
      </c>
      <c r="D31656" t="s">
        <v>5140</v>
      </c>
      <c r="E31656" t="s">
        <v>8182</v>
      </c>
      <c r="F31656" t="s">
        <v>13847</v>
      </c>
      <c r="G31656" t="s">
        <v>17890</v>
      </c>
      <c r="H31656" t="s">
        <v>31837</v>
      </c>
    </row>
    <row r="31657" spans="1:8">
      <c r="A31657" t="s">
        <v>2453</v>
      </c>
      <c r="B31657">
        <f>HYPERLINK("https://android.googlesource.com/platform/cts/+/3cb9a051c01a6292545aa5a699542da803e5280a", "3cb9a051c01a6292545aa5a699542da803e5280a")</f>
        <v>0</v>
      </c>
      <c r="C31657">
        <f>HYPERLINK("https://android.googlesource.com/platform/cts/+/0104be8e3b27720f2bbed7c9153e73cb4c26b278", "0104be8e3b27720f2bbed7c9153e73cb4c26b278")</f>
        <v>0</v>
      </c>
      <c r="D31657" t="s">
        <v>5140</v>
      </c>
      <c r="E31657" t="s">
        <v>8183</v>
      </c>
      <c r="F31657" t="s">
        <v>13847</v>
      </c>
      <c r="G31657" t="s">
        <v>17890</v>
      </c>
      <c r="H31657" t="s">
        <v>31835</v>
      </c>
    </row>
    <row r="31658" spans="1:8">
      <c r="A31658" t="s">
        <v>2454</v>
      </c>
      <c r="B31658">
        <f>HYPERLINK("https://android.googlesource.com/platform/cts/+/d4cb745ba90cc3238a7bdd66cfd7b449339dc00e", "d4cb745ba90cc3238a7bdd66cfd7b449339dc00e")</f>
        <v>0</v>
      </c>
      <c r="C31658">
        <f>HYPERLINK("https://android.googlesource.com/platform/cts/+/ed8e97f57d294609dc9322445c9d1989360eefb9", "ed8e97f57d294609dc9322445c9d1989360eefb9")</f>
        <v>0</v>
      </c>
      <c r="D31658" t="s">
        <v>5334</v>
      </c>
      <c r="E31658" t="s">
        <v>8184</v>
      </c>
      <c r="F31658" t="s">
        <v>13719</v>
      </c>
      <c r="G31658" t="s">
        <v>17785</v>
      </c>
      <c r="H31658" t="s">
        <v>18829</v>
      </c>
    </row>
    <row r="31659" spans="1:8">
      <c r="H31659" t="s">
        <v>31838</v>
      </c>
    </row>
    <row r="31660" spans="1:8">
      <c r="H31660" t="s">
        <v>31839</v>
      </c>
    </row>
    <row r="31661" spans="1:8">
      <c r="H31661" t="s">
        <v>31840</v>
      </c>
    </row>
    <row r="31662" spans="1:8">
      <c r="H31662" t="s">
        <v>31841</v>
      </c>
    </row>
    <row r="31663" spans="1:8">
      <c r="H31663" t="s">
        <v>31842</v>
      </c>
    </row>
    <row r="31664" spans="1:8">
      <c r="H31664" t="s">
        <v>22533</v>
      </c>
    </row>
    <row r="31665" spans="1:8">
      <c r="H31665" t="s">
        <v>31843</v>
      </c>
    </row>
    <row r="31666" spans="1:8">
      <c r="H31666" t="s">
        <v>31844</v>
      </c>
    </row>
    <row r="31667" spans="1:8">
      <c r="A31667" t="s">
        <v>2455</v>
      </c>
      <c r="B31667">
        <f>HYPERLINK("https://android.googlesource.com/platform/cts/+/58c1321beba42398115e525df60059df0a17e814", "58c1321beba42398115e525df60059df0a17e814")</f>
        <v>0</v>
      </c>
      <c r="C31667">
        <f>HYPERLINK("https://android.googlesource.com/platform/cts/+/f06f5486579e9214594ca76cd78fdea30ce5c287", "f06f5486579e9214594ca76cd78fdea30ce5c287")</f>
        <v>0</v>
      </c>
      <c r="D31667" t="s">
        <v>5141</v>
      </c>
      <c r="E31667" t="s">
        <v>8185</v>
      </c>
      <c r="F31667" t="s">
        <v>13848</v>
      </c>
      <c r="G31667" t="s">
        <v>17891</v>
      </c>
      <c r="H31667" t="s">
        <v>31845</v>
      </c>
    </row>
    <row r="31668" spans="1:8">
      <c r="F31668" t="s">
        <v>10794</v>
      </c>
      <c r="G31668" t="s">
        <v>15189</v>
      </c>
      <c r="H31668" t="s">
        <v>31846</v>
      </c>
    </row>
    <row r="31669" spans="1:8">
      <c r="A31669" t="s">
        <v>2456</v>
      </c>
      <c r="B31669">
        <f>HYPERLINK("https://android.googlesource.com/platform/cts/+/432bae5679f197354d70f9c82f2460c65e322033", "432bae5679f197354d70f9c82f2460c65e322033")</f>
        <v>0</v>
      </c>
      <c r="C31669">
        <f>HYPERLINK("https://android.googlesource.com/platform/cts/+/064e8aad0269c0688d2ebba7f874252befe6cd99", "064e8aad0269c0688d2ebba7f874252befe6cd99")</f>
        <v>0</v>
      </c>
      <c r="D31669" t="s">
        <v>5111</v>
      </c>
      <c r="E31669" t="s">
        <v>8186</v>
      </c>
      <c r="F31669" t="s">
        <v>13572</v>
      </c>
      <c r="G31669" t="s">
        <v>17605</v>
      </c>
      <c r="H31669" t="s">
        <v>31847</v>
      </c>
    </row>
    <row r="31670" spans="1:8">
      <c r="H31670" t="s">
        <v>26483</v>
      </c>
    </row>
    <row r="31671" spans="1:8">
      <c r="H31671" t="s">
        <v>31848</v>
      </c>
    </row>
    <row r="31672" spans="1:8">
      <c r="A31672" t="s">
        <v>2457</v>
      </c>
      <c r="B31672">
        <f>HYPERLINK("https://android.googlesource.com/platform/cts/+/290dc5282c61ef2c311c05deeb588f204674cdd3", "290dc5282c61ef2c311c05deeb588f204674cdd3")</f>
        <v>0</v>
      </c>
      <c r="C31672">
        <f>HYPERLINK("https://android.googlesource.com/platform/cts/+/46529f564e4f49f0eb2c56605ced3ff0b92feea4", "46529f564e4f49f0eb2c56605ced3ff0b92feea4")</f>
        <v>0</v>
      </c>
      <c r="D31672" t="s">
        <v>5231</v>
      </c>
      <c r="E31672" t="s">
        <v>8187</v>
      </c>
      <c r="F31672" t="s">
        <v>13816</v>
      </c>
      <c r="G31672" t="s">
        <v>15089</v>
      </c>
      <c r="H31672" t="s">
        <v>31849</v>
      </c>
    </row>
    <row r="31673" spans="1:8">
      <c r="H31673" t="s">
        <v>31850</v>
      </c>
    </row>
    <row r="31674" spans="1:8">
      <c r="A31674" t="s">
        <v>2458</v>
      </c>
      <c r="B31674">
        <f>HYPERLINK("https://android.googlesource.com/platform/cts/+/258832fcaeb96f224a4325efdc243226e408cd23", "258832fcaeb96f224a4325efdc243226e408cd23")</f>
        <v>0</v>
      </c>
      <c r="C31674">
        <f>HYPERLINK("https://android.googlesource.com/platform/cts/+/7acf0c9b6a1b8d4ab6aa50eb85def618ac2c2187", "7acf0c9b6a1b8d4ab6aa50eb85def618ac2c2187")</f>
        <v>0</v>
      </c>
      <c r="D31674" t="s">
        <v>5263</v>
      </c>
      <c r="E31674" t="s">
        <v>8188</v>
      </c>
      <c r="F31674" t="s">
        <v>13391</v>
      </c>
      <c r="G31674" t="s">
        <v>17517</v>
      </c>
      <c r="H31674" t="s">
        <v>19034</v>
      </c>
    </row>
    <row r="31675" spans="1:8">
      <c r="A31675" t="s">
        <v>2459</v>
      </c>
      <c r="B31675">
        <f>HYPERLINK("https://android.googlesource.com/platform/cts/+/ce91955c966b69c05f299d60fca5a7ee3243c1a5", "ce91955c966b69c05f299d60fca5a7ee3243c1a5")</f>
        <v>0</v>
      </c>
      <c r="C31675">
        <f>HYPERLINK("https://android.googlesource.com/platform/cts/+/b52083dc1e389a8e6174514eb6893c6dd5c31fbb", "b52083dc1e389a8e6174514eb6893c6dd5c31fbb")</f>
        <v>0</v>
      </c>
      <c r="D31675" t="s">
        <v>5390</v>
      </c>
      <c r="E31675" t="s">
        <v>8189</v>
      </c>
      <c r="F31675" t="s">
        <v>13837</v>
      </c>
      <c r="G31675" t="s">
        <v>17880</v>
      </c>
      <c r="H31675" t="s">
        <v>31851</v>
      </c>
    </row>
    <row r="31676" spans="1:8">
      <c r="H31676" t="s">
        <v>31852</v>
      </c>
    </row>
    <row r="31677" spans="1:8">
      <c r="H31677" t="s">
        <v>31853</v>
      </c>
    </row>
    <row r="31678" spans="1:8">
      <c r="H31678" t="s">
        <v>31854</v>
      </c>
    </row>
    <row r="31679" spans="1:8">
      <c r="H31679" t="s">
        <v>31855</v>
      </c>
    </row>
    <row r="31680" spans="1:8">
      <c r="A31680" t="s">
        <v>2461</v>
      </c>
      <c r="B31680">
        <f>HYPERLINK("https://android.googlesource.com/platform/cts/+/c7556913619c8bb80283d203870efb98d708fba9", "c7556913619c8bb80283d203870efb98d708fba9")</f>
        <v>0</v>
      </c>
      <c r="C31680">
        <f>HYPERLINK("https://android.googlesource.com/platform/cts/+/66ab451f3b77117eae9ae7310ba5271e4827c396", "66ab451f3b77117eae9ae7310ba5271e4827c396")</f>
        <v>0</v>
      </c>
      <c r="D31680" t="s">
        <v>5398</v>
      </c>
      <c r="E31680" t="s">
        <v>8191</v>
      </c>
      <c r="F31680" t="s">
        <v>13849</v>
      </c>
      <c r="G31680" t="s">
        <v>17892</v>
      </c>
      <c r="H31680" t="s">
        <v>31856</v>
      </c>
    </row>
    <row r="31681" spans="1:8">
      <c r="F31681" t="s">
        <v>13227</v>
      </c>
      <c r="G31681" t="s">
        <v>17368</v>
      </c>
      <c r="H31681" t="s">
        <v>31023</v>
      </c>
    </row>
    <row r="31682" spans="1:8">
      <c r="A31682" t="s">
        <v>2462</v>
      </c>
      <c r="B31682">
        <f>HYPERLINK("https://android.googlesource.com/platform/cts/+/8dfc3488d1c9c9f9a7ca58d7b7939def00fb2cb3", "8dfc3488d1c9c9f9a7ca58d7b7939def00fb2cb3")</f>
        <v>0</v>
      </c>
      <c r="C31682">
        <f>HYPERLINK("https://android.googlesource.com/platform/cts/+/afa18150a76d426c64559e2c4ad939ff1668781f", "afa18150a76d426c64559e2c4ad939ff1668781f")</f>
        <v>0</v>
      </c>
      <c r="D31682" t="s">
        <v>4981</v>
      </c>
      <c r="E31682" t="s">
        <v>8192</v>
      </c>
      <c r="F31682" t="s">
        <v>13788</v>
      </c>
      <c r="G31682" t="s">
        <v>17841</v>
      </c>
      <c r="H31682" t="s">
        <v>31857</v>
      </c>
    </row>
    <row r="31683" spans="1:8">
      <c r="A31683" t="s">
        <v>2463</v>
      </c>
      <c r="B31683">
        <f>HYPERLINK("https://android.googlesource.com/platform/cts/+/6bd5826a807f5019d6275b006745c1b456522d63", "6bd5826a807f5019d6275b006745c1b456522d63")</f>
        <v>0</v>
      </c>
      <c r="C31683">
        <f>HYPERLINK("https://android.googlesource.com/platform/cts/+/3d15986fe0412e7bf631c484a595578484478897", "3d15986fe0412e7bf631c484a595578484478897")</f>
        <v>0</v>
      </c>
      <c r="D31683" t="s">
        <v>5399</v>
      </c>
      <c r="E31683" t="s">
        <v>8193</v>
      </c>
      <c r="F31683" t="s">
        <v>13850</v>
      </c>
      <c r="G31683" t="s">
        <v>16816</v>
      </c>
      <c r="H31683" t="s">
        <v>31858</v>
      </c>
    </row>
    <row r="31684" spans="1:8">
      <c r="A31684" t="s">
        <v>2464</v>
      </c>
      <c r="B31684">
        <f>HYPERLINK("https://android.googlesource.com/platform/cts/+/11967889783868bce0006b4e10950a5ecf654501", "11967889783868bce0006b4e10950a5ecf654501")</f>
        <v>0</v>
      </c>
      <c r="C31684">
        <f>HYPERLINK("https://android.googlesource.com/platform/cts/+/54661bb3c1d73d2995693f5baffd6ef8d1017720", "54661bb3c1d73d2995693f5baffd6ef8d1017720")</f>
        <v>0</v>
      </c>
      <c r="D31684" t="s">
        <v>5400</v>
      </c>
      <c r="E31684" t="s">
        <v>8194</v>
      </c>
      <c r="F31684" t="s">
        <v>13851</v>
      </c>
      <c r="G31684" t="s">
        <v>17893</v>
      </c>
      <c r="H31684" t="s">
        <v>31859</v>
      </c>
    </row>
    <row r="31685" spans="1:8">
      <c r="A31685" t="s">
        <v>2465</v>
      </c>
      <c r="B31685">
        <f>HYPERLINK("https://android.googlesource.com/platform/cts/+/1722852af986859f397af81423d7ebaf079b15c2", "1722852af986859f397af81423d7ebaf079b15c2")</f>
        <v>0</v>
      </c>
      <c r="C31685">
        <f>HYPERLINK("https://android.googlesource.com/platform/cts/+/625ece977bb0e6f56570bbcd2f873cba5574fcac", "625ece977bb0e6f56570bbcd2f873cba5574fcac")</f>
        <v>0</v>
      </c>
      <c r="D31685" t="s">
        <v>5059</v>
      </c>
      <c r="E31685" t="s">
        <v>8195</v>
      </c>
      <c r="F31685" t="s">
        <v>10744</v>
      </c>
      <c r="G31685" t="s">
        <v>15143</v>
      </c>
      <c r="H31685" t="s">
        <v>31860</v>
      </c>
    </row>
    <row r="31686" spans="1:8">
      <c r="A31686" t="s">
        <v>2466</v>
      </c>
      <c r="B31686">
        <f>HYPERLINK("https://android.googlesource.com/platform/cts/+/0d6ff6b156b786971cd74d5c2bb9ecc0b27b4b46", "0d6ff6b156b786971cd74d5c2bb9ecc0b27b4b46")</f>
        <v>0</v>
      </c>
      <c r="C31686">
        <f>HYPERLINK("https://android.googlesource.com/platform/cts/+/37cbb66798ef997b56e867100a8b2944023598d6", "37cbb66798ef997b56e867100a8b2944023598d6")</f>
        <v>0</v>
      </c>
      <c r="D31686" t="s">
        <v>5134</v>
      </c>
      <c r="E31686" t="s">
        <v>8196</v>
      </c>
      <c r="F31686" t="s">
        <v>13469</v>
      </c>
      <c r="G31686" t="s">
        <v>17588</v>
      </c>
      <c r="H31686" t="s">
        <v>31861</v>
      </c>
    </row>
    <row r="31687" spans="1:8">
      <c r="H31687" t="s">
        <v>31862</v>
      </c>
    </row>
    <row r="31688" spans="1:8">
      <c r="A31688" t="s">
        <v>2467</v>
      </c>
      <c r="B31688">
        <f>HYPERLINK("https://android.googlesource.com/platform/cts/+/51fb83a17e721abcf9c606ec29e88dd9824ecb05", "51fb83a17e721abcf9c606ec29e88dd9824ecb05")</f>
        <v>0</v>
      </c>
      <c r="C31688">
        <f>HYPERLINK("https://android.googlesource.com/platform/cts/+/0a8e5dd7da2eba0094d91c05ec2f5c0886d48c21", "0a8e5dd7da2eba0094d91c05ec2f5c0886d48c21")</f>
        <v>0</v>
      </c>
      <c r="D31688" t="s">
        <v>5400</v>
      </c>
      <c r="E31688" t="s">
        <v>8197</v>
      </c>
      <c r="F31688" t="s">
        <v>13851</v>
      </c>
      <c r="G31688" t="s">
        <v>17893</v>
      </c>
      <c r="H31688" t="s">
        <v>31863</v>
      </c>
    </row>
    <row r="31689" spans="1:8">
      <c r="A31689" t="s">
        <v>2468</v>
      </c>
      <c r="B31689">
        <f>HYPERLINK("https://android.googlesource.com/platform/cts/+/7d4879a70546d47847b30e8845aa64a2b9fb883d", "7d4879a70546d47847b30e8845aa64a2b9fb883d")</f>
        <v>0</v>
      </c>
      <c r="C31689">
        <f>HYPERLINK("https://android.googlesource.com/platform/cts/+/e5f7c87e9dec9ad21bec25feec24050d247b2a08", "e5f7c87e9dec9ad21bec25feec24050d247b2a08")</f>
        <v>0</v>
      </c>
      <c r="D31689" t="s">
        <v>5084</v>
      </c>
      <c r="E31689" t="s">
        <v>8198</v>
      </c>
      <c r="F31689" t="s">
        <v>13852</v>
      </c>
      <c r="G31689" t="s">
        <v>17894</v>
      </c>
      <c r="H31689" t="s">
        <v>31864</v>
      </c>
    </row>
    <row r="31690" spans="1:8">
      <c r="F31690" t="s">
        <v>13853</v>
      </c>
      <c r="G31690" t="s">
        <v>17895</v>
      </c>
      <c r="H31690" t="s">
        <v>31865</v>
      </c>
    </row>
    <row r="31691" spans="1:8">
      <c r="F31691" t="s">
        <v>13854</v>
      </c>
      <c r="G31691" t="s">
        <v>17896</v>
      </c>
      <c r="H31691" t="s">
        <v>31866</v>
      </c>
    </row>
    <row r="31692" spans="1:8">
      <c r="A31692" t="s">
        <v>2469</v>
      </c>
      <c r="B31692">
        <f>HYPERLINK("https://android.googlesource.com/platform/cts/+/2c51332c2c4f7e8303cf1bf7f544623af2289899", "2c51332c2c4f7e8303cf1bf7f544623af2289899")</f>
        <v>0</v>
      </c>
      <c r="C31692">
        <f>HYPERLINK("https://android.googlesource.com/platform/cts/+/f4f7d59a8069c0769d4d7932059d6358923c9881", "f4f7d59a8069c0769d4d7932059d6358923c9881")</f>
        <v>0</v>
      </c>
      <c r="D31692" t="s">
        <v>5375</v>
      </c>
      <c r="E31692" t="s">
        <v>8199</v>
      </c>
      <c r="F31692" t="s">
        <v>13789</v>
      </c>
      <c r="G31692" t="s">
        <v>17842</v>
      </c>
      <c r="H31692" t="s">
        <v>31867</v>
      </c>
    </row>
    <row r="31693" spans="1:8">
      <c r="A31693" t="s">
        <v>2470</v>
      </c>
      <c r="B31693">
        <f>HYPERLINK("https://android.googlesource.com/platform/cts/+/b7cd7c8bf04c5753028196790f35e3ac2d3480c9", "b7cd7c8bf04c5753028196790f35e3ac2d3480c9")</f>
        <v>0</v>
      </c>
      <c r="C31693">
        <f>HYPERLINK("https://android.googlesource.com/platform/cts/+/f160a5db69338148d798f10bd0b40d087e661613", "f160a5db69338148d798f10bd0b40d087e661613")</f>
        <v>0</v>
      </c>
      <c r="D31693" t="s">
        <v>5117</v>
      </c>
      <c r="E31693" t="s">
        <v>8200</v>
      </c>
      <c r="F31693" t="s">
        <v>13855</v>
      </c>
      <c r="G31693" t="s">
        <v>17897</v>
      </c>
      <c r="H31693" t="s">
        <v>31868</v>
      </c>
    </row>
    <row r="31694" spans="1:8">
      <c r="A31694" t="s">
        <v>2471</v>
      </c>
      <c r="B31694">
        <f>HYPERLINK("https://android.googlesource.com/platform/cts/+/51ca6c2113f8e64921ac108b19b862799891b3fa", "51ca6c2113f8e64921ac108b19b862799891b3fa")</f>
        <v>0</v>
      </c>
      <c r="C31694">
        <f>HYPERLINK("https://android.googlesource.com/platform/cts/+/f160a5db69338148d798f10bd0b40d087e661613", "f160a5db69338148d798f10bd0b40d087e661613")</f>
        <v>0</v>
      </c>
      <c r="D31694" t="s">
        <v>5084</v>
      </c>
      <c r="E31694" t="s">
        <v>8201</v>
      </c>
      <c r="F31694" t="s">
        <v>13739</v>
      </c>
      <c r="G31694" t="s">
        <v>17799</v>
      </c>
      <c r="H31694" t="s">
        <v>31869</v>
      </c>
    </row>
    <row r="31695" spans="1:8">
      <c r="H31695" t="s">
        <v>31870</v>
      </c>
    </row>
    <row r="31696" spans="1:8">
      <c r="H31696" t="s">
        <v>31871</v>
      </c>
    </row>
    <row r="31697" spans="1:8">
      <c r="H31697" t="s">
        <v>31872</v>
      </c>
    </row>
    <row r="31698" spans="1:8">
      <c r="H31698" t="s">
        <v>31873</v>
      </c>
    </row>
    <row r="31699" spans="1:8">
      <c r="H31699" t="s">
        <v>31874</v>
      </c>
    </row>
    <row r="31700" spans="1:8">
      <c r="F31700" t="s">
        <v>13856</v>
      </c>
      <c r="G31700" t="s">
        <v>17898</v>
      </c>
      <c r="H31700" t="s">
        <v>31401</v>
      </c>
    </row>
    <row r="31701" spans="1:8">
      <c r="H31701" t="s">
        <v>31875</v>
      </c>
    </row>
    <row r="31702" spans="1:8">
      <c r="H31702" t="s">
        <v>31403</v>
      </c>
    </row>
    <row r="31703" spans="1:8">
      <c r="H31703" t="s">
        <v>27195</v>
      </c>
    </row>
    <row r="31704" spans="1:8">
      <c r="H31704" t="s">
        <v>25704</v>
      </c>
    </row>
    <row r="31705" spans="1:8">
      <c r="H31705" t="s">
        <v>31404</v>
      </c>
    </row>
    <row r="31706" spans="1:8">
      <c r="H31706" t="s">
        <v>31405</v>
      </c>
    </row>
    <row r="31707" spans="1:8">
      <c r="H31707" t="s">
        <v>31406</v>
      </c>
    </row>
    <row r="31708" spans="1:8">
      <c r="H31708" t="s">
        <v>31407</v>
      </c>
    </row>
    <row r="31709" spans="1:8">
      <c r="H31709" t="s">
        <v>31408</v>
      </c>
    </row>
    <row r="31710" spans="1:8">
      <c r="A31710" t="s">
        <v>2472</v>
      </c>
      <c r="B31710">
        <f>HYPERLINK("https://android.googlesource.com/platform/cts/+/a61dd05c28f52b88ceeea819d8cd0f99d43bec07", "a61dd05c28f52b88ceeea819d8cd0f99d43bec07")</f>
        <v>0</v>
      </c>
      <c r="C31710">
        <f>HYPERLINK("https://android.googlesource.com/platform/cts/+/da9f5a440228365ef614e07044d7292d8edf8eee", "da9f5a440228365ef614e07044d7292d8edf8eee")</f>
        <v>0</v>
      </c>
      <c r="D31710" t="s">
        <v>5401</v>
      </c>
      <c r="E31710" t="s">
        <v>8202</v>
      </c>
      <c r="F31710" t="s">
        <v>13857</v>
      </c>
      <c r="G31710" t="s">
        <v>17899</v>
      </c>
      <c r="H31710" t="s">
        <v>31876</v>
      </c>
    </row>
    <row r="31711" spans="1:8">
      <c r="A31711" t="s">
        <v>2473</v>
      </c>
      <c r="B31711">
        <f>HYPERLINK("https://android.googlesource.com/platform/cts/+/9808ee8a72f59bfb258ce9cbc7bdc0f8e40297d0", "9808ee8a72f59bfb258ce9cbc7bdc0f8e40297d0")</f>
        <v>0</v>
      </c>
      <c r="C31711">
        <f>HYPERLINK("https://android.googlesource.com/platform/cts/+/498adeb5ad1686b85916abfb36ec90aadd41e1a3", "498adeb5ad1686b85916abfb36ec90aadd41e1a3")</f>
        <v>0</v>
      </c>
      <c r="D31711" t="s">
        <v>5307</v>
      </c>
      <c r="E31711" t="s">
        <v>8203</v>
      </c>
      <c r="F31711" t="s">
        <v>13773</v>
      </c>
      <c r="G31711" t="s">
        <v>17828</v>
      </c>
      <c r="H31711" t="s">
        <v>31877</v>
      </c>
    </row>
    <row r="31712" spans="1:8">
      <c r="A31712" t="s">
        <v>2474</v>
      </c>
      <c r="B31712">
        <f>HYPERLINK("https://android.googlesource.com/platform/cts/+/cf3185badfb6618311b7ddf2676670a4a01f7bd7", "cf3185badfb6618311b7ddf2676670a4a01f7bd7")</f>
        <v>0</v>
      </c>
      <c r="C31712">
        <f>HYPERLINK("https://android.googlesource.com/platform/cts/+/5ba191c27cf50d56cd9d61144ec2b16c6fc7f483", "5ba191c27cf50d56cd9d61144ec2b16c6fc7f483")</f>
        <v>0</v>
      </c>
      <c r="D31712" t="s">
        <v>5027</v>
      </c>
      <c r="E31712" t="s">
        <v>8204</v>
      </c>
      <c r="F31712" t="s">
        <v>13505</v>
      </c>
      <c r="G31712" t="s">
        <v>17622</v>
      </c>
      <c r="H31712" t="s">
        <v>30141</v>
      </c>
    </row>
    <row r="31713" spans="8:8">
      <c r="H31713" t="s">
        <v>31309</v>
      </c>
    </row>
    <row r="31714" spans="8:8">
      <c r="H31714" t="s">
        <v>30148</v>
      </c>
    </row>
    <row r="31715" spans="8:8">
      <c r="H31715" t="s">
        <v>30149</v>
      </c>
    </row>
    <row r="31716" spans="8:8">
      <c r="H31716" t="s">
        <v>30150</v>
      </c>
    </row>
    <row r="31717" spans="8:8">
      <c r="H31717" t="s">
        <v>30151</v>
      </c>
    </row>
    <row r="31718" spans="8:8">
      <c r="H31718" t="s">
        <v>30152</v>
      </c>
    </row>
    <row r="31719" spans="8:8">
      <c r="H31719" t="s">
        <v>30153</v>
      </c>
    </row>
    <row r="31720" spans="8:8">
      <c r="H31720" t="s">
        <v>29023</v>
      </c>
    </row>
    <row r="31721" spans="8:8">
      <c r="H31721" t="s">
        <v>30154</v>
      </c>
    </row>
    <row r="31722" spans="8:8">
      <c r="H31722" t="s">
        <v>30155</v>
      </c>
    </row>
    <row r="31723" spans="8:8">
      <c r="H31723" t="s">
        <v>30156</v>
      </c>
    </row>
    <row r="31724" spans="8:8">
      <c r="H31724" t="s">
        <v>30157</v>
      </c>
    </row>
    <row r="31725" spans="8:8">
      <c r="H31725" t="s">
        <v>30158</v>
      </c>
    </row>
    <row r="31726" spans="8:8">
      <c r="H31726" t="s">
        <v>30159</v>
      </c>
    </row>
    <row r="31727" spans="8:8">
      <c r="H31727" t="s">
        <v>26316</v>
      </c>
    </row>
    <row r="31728" spans="8:8">
      <c r="H31728" t="s">
        <v>21462</v>
      </c>
    </row>
    <row r="31729" spans="8:8">
      <c r="H31729" t="s">
        <v>28864</v>
      </c>
    </row>
    <row r="31730" spans="8:8">
      <c r="H31730" t="s">
        <v>26391</v>
      </c>
    </row>
    <row r="31731" spans="8:8">
      <c r="H31731" t="s">
        <v>30162</v>
      </c>
    </row>
    <row r="31732" spans="8:8">
      <c r="H31732" t="s">
        <v>30163</v>
      </c>
    </row>
    <row r="31733" spans="8:8">
      <c r="H31733" t="s">
        <v>30164</v>
      </c>
    </row>
    <row r="31734" spans="8:8">
      <c r="H31734" t="s">
        <v>31310</v>
      </c>
    </row>
    <row r="31735" spans="8:8">
      <c r="H31735" t="s">
        <v>31311</v>
      </c>
    </row>
    <row r="31736" spans="8:8">
      <c r="H31736" t="s">
        <v>31312</v>
      </c>
    </row>
    <row r="31737" spans="8:8">
      <c r="H31737" t="s">
        <v>31313</v>
      </c>
    </row>
    <row r="31738" spans="8:8">
      <c r="H31738" t="s">
        <v>31314</v>
      </c>
    </row>
    <row r="31739" spans="8:8">
      <c r="H31739" t="s">
        <v>20177</v>
      </c>
    </row>
    <row r="31740" spans="8:8">
      <c r="H31740" t="s">
        <v>31315</v>
      </c>
    </row>
    <row r="31741" spans="8:8">
      <c r="H31741" t="s">
        <v>31316</v>
      </c>
    </row>
    <row r="31742" spans="8:8">
      <c r="H31742" t="s">
        <v>31317</v>
      </c>
    </row>
    <row r="31743" spans="8:8">
      <c r="H31743" t="s">
        <v>29034</v>
      </c>
    </row>
    <row r="31744" spans="8:8">
      <c r="H31744" t="s">
        <v>29033</v>
      </c>
    </row>
    <row r="31745" spans="6:8">
      <c r="H31745" t="s">
        <v>30142</v>
      </c>
    </row>
    <row r="31746" spans="6:8">
      <c r="H31746" t="s">
        <v>30143</v>
      </c>
    </row>
    <row r="31747" spans="6:8">
      <c r="H31747" t="s">
        <v>30145</v>
      </c>
    </row>
    <row r="31748" spans="6:8">
      <c r="H31748" t="s">
        <v>30146</v>
      </c>
    </row>
    <row r="31749" spans="6:8">
      <c r="H31749" t="s">
        <v>30147</v>
      </c>
    </row>
    <row r="31750" spans="6:8">
      <c r="H31750" t="s">
        <v>30144</v>
      </c>
    </row>
    <row r="31751" spans="6:8">
      <c r="H31751" t="s">
        <v>30165</v>
      </c>
    </row>
    <row r="31752" spans="6:8">
      <c r="H31752" t="s">
        <v>30166</v>
      </c>
    </row>
    <row r="31753" spans="6:8">
      <c r="F31753" t="s">
        <v>13506</v>
      </c>
      <c r="G31753" t="s">
        <v>17623</v>
      </c>
      <c r="H31753" t="s">
        <v>18829</v>
      </c>
    </row>
    <row r="31754" spans="6:8">
      <c r="H31754" t="s">
        <v>19982</v>
      </c>
    </row>
    <row r="31755" spans="6:8">
      <c r="H31755" t="s">
        <v>31336</v>
      </c>
    </row>
    <row r="31756" spans="6:8">
      <c r="H31756" t="s">
        <v>30167</v>
      </c>
    </row>
    <row r="31757" spans="6:8">
      <c r="H31757" t="s">
        <v>30168</v>
      </c>
    </row>
    <row r="31758" spans="6:8">
      <c r="H31758" t="s">
        <v>30171</v>
      </c>
    </row>
    <row r="31759" spans="6:8">
      <c r="H31759" t="s">
        <v>30172</v>
      </c>
    </row>
    <row r="31760" spans="6:8">
      <c r="H31760" t="s">
        <v>30173</v>
      </c>
    </row>
    <row r="31761" spans="8:8">
      <c r="H31761" t="s">
        <v>30174</v>
      </c>
    </row>
    <row r="31762" spans="8:8">
      <c r="H31762" t="s">
        <v>30175</v>
      </c>
    </row>
    <row r="31763" spans="8:8">
      <c r="H31763" t="s">
        <v>31337</v>
      </c>
    </row>
    <row r="31764" spans="8:8">
      <c r="H31764" t="s">
        <v>30176</v>
      </c>
    </row>
    <row r="31765" spans="8:8">
      <c r="H31765" t="s">
        <v>30216</v>
      </c>
    </row>
    <row r="31766" spans="8:8">
      <c r="H31766" t="s">
        <v>31338</v>
      </c>
    </row>
    <row r="31767" spans="8:8">
      <c r="H31767" t="s">
        <v>31339</v>
      </c>
    </row>
    <row r="31768" spans="8:8">
      <c r="H31768" t="s">
        <v>31340</v>
      </c>
    </row>
    <row r="31769" spans="8:8">
      <c r="H31769" t="s">
        <v>31341</v>
      </c>
    </row>
    <row r="31770" spans="8:8">
      <c r="H31770" t="s">
        <v>31342</v>
      </c>
    </row>
    <row r="31771" spans="8:8">
      <c r="H31771" t="s">
        <v>31343</v>
      </c>
    </row>
    <row r="31772" spans="8:8">
      <c r="H31772" t="s">
        <v>31344</v>
      </c>
    </row>
    <row r="31773" spans="8:8">
      <c r="H31773" t="s">
        <v>31345</v>
      </c>
    </row>
    <row r="31774" spans="8:8">
      <c r="H31774" t="s">
        <v>31346</v>
      </c>
    </row>
    <row r="31775" spans="8:8">
      <c r="H31775" t="s">
        <v>31347</v>
      </c>
    </row>
    <row r="31776" spans="8:8">
      <c r="H31776" t="s">
        <v>31348</v>
      </c>
    </row>
    <row r="31777" spans="8:8">
      <c r="H31777" t="s">
        <v>31349</v>
      </c>
    </row>
    <row r="31778" spans="8:8">
      <c r="H31778" t="s">
        <v>31350</v>
      </c>
    </row>
    <row r="31779" spans="8:8">
      <c r="H31779" t="s">
        <v>31351</v>
      </c>
    </row>
    <row r="31780" spans="8:8">
      <c r="H31780" t="s">
        <v>30178</v>
      </c>
    </row>
    <row r="31781" spans="8:8">
      <c r="H31781" t="s">
        <v>30179</v>
      </c>
    </row>
    <row r="31782" spans="8:8">
      <c r="H31782" t="s">
        <v>30180</v>
      </c>
    </row>
    <row r="31783" spans="8:8">
      <c r="H31783" t="s">
        <v>30182</v>
      </c>
    </row>
    <row r="31784" spans="8:8">
      <c r="H31784" t="s">
        <v>30183</v>
      </c>
    </row>
    <row r="31785" spans="8:8">
      <c r="H31785" t="s">
        <v>30184</v>
      </c>
    </row>
    <row r="31786" spans="8:8">
      <c r="H31786" t="s">
        <v>30185</v>
      </c>
    </row>
    <row r="31787" spans="8:8">
      <c r="H31787" t="s">
        <v>30186</v>
      </c>
    </row>
    <row r="31788" spans="8:8">
      <c r="H31788" t="s">
        <v>30187</v>
      </c>
    </row>
    <row r="31789" spans="8:8">
      <c r="H31789" t="s">
        <v>30188</v>
      </c>
    </row>
    <row r="31790" spans="8:8">
      <c r="H31790" t="s">
        <v>30189</v>
      </c>
    </row>
    <row r="31791" spans="8:8">
      <c r="H31791" t="s">
        <v>30190</v>
      </c>
    </row>
    <row r="31792" spans="8:8">
      <c r="H31792" t="s">
        <v>30191</v>
      </c>
    </row>
    <row r="31793" spans="8:8">
      <c r="H31793" t="s">
        <v>30192</v>
      </c>
    </row>
    <row r="31794" spans="8:8">
      <c r="H31794" t="s">
        <v>30193</v>
      </c>
    </row>
    <row r="31795" spans="8:8">
      <c r="H31795" t="s">
        <v>30194</v>
      </c>
    </row>
    <row r="31796" spans="8:8">
      <c r="H31796" t="s">
        <v>30195</v>
      </c>
    </row>
    <row r="31797" spans="8:8">
      <c r="H31797" t="s">
        <v>30196</v>
      </c>
    </row>
    <row r="31798" spans="8:8">
      <c r="H31798" t="s">
        <v>30198</v>
      </c>
    </row>
    <row r="31799" spans="8:8">
      <c r="H31799" t="s">
        <v>30199</v>
      </c>
    </row>
    <row r="31800" spans="8:8">
      <c r="H31800" t="s">
        <v>30200</v>
      </c>
    </row>
    <row r="31801" spans="8:8">
      <c r="H31801" t="s">
        <v>30201</v>
      </c>
    </row>
    <row r="31802" spans="8:8">
      <c r="H31802" t="s">
        <v>30202</v>
      </c>
    </row>
    <row r="31803" spans="8:8">
      <c r="H31803" t="s">
        <v>30203</v>
      </c>
    </row>
    <row r="31804" spans="8:8">
      <c r="H31804" t="s">
        <v>30204</v>
      </c>
    </row>
    <row r="31805" spans="8:8">
      <c r="H31805" t="s">
        <v>30205</v>
      </c>
    </row>
    <row r="31806" spans="8:8">
      <c r="H31806" t="s">
        <v>30206</v>
      </c>
    </row>
    <row r="31807" spans="8:8">
      <c r="H31807" t="s">
        <v>30207</v>
      </c>
    </row>
    <row r="31808" spans="8:8">
      <c r="H31808" t="s">
        <v>30208</v>
      </c>
    </row>
    <row r="31809" spans="6:8">
      <c r="H31809" t="s">
        <v>30209</v>
      </c>
    </row>
    <row r="31810" spans="6:8">
      <c r="H31810" t="s">
        <v>30210</v>
      </c>
    </row>
    <row r="31811" spans="6:8">
      <c r="H31811" t="s">
        <v>30211</v>
      </c>
    </row>
    <row r="31812" spans="6:8">
      <c r="H31812" t="s">
        <v>30212</v>
      </c>
    </row>
    <row r="31813" spans="6:8">
      <c r="H31813" t="s">
        <v>30213</v>
      </c>
    </row>
    <row r="31814" spans="6:8">
      <c r="F31814" t="s">
        <v>13507</v>
      </c>
      <c r="G31814" t="s">
        <v>17624</v>
      </c>
      <c r="H31814" t="s">
        <v>30030</v>
      </c>
    </row>
    <row r="31815" spans="6:8">
      <c r="F31815" t="s">
        <v>13508</v>
      </c>
      <c r="G31815" t="s">
        <v>17625</v>
      </c>
      <c r="H31815" t="s">
        <v>18829</v>
      </c>
    </row>
    <row r="31816" spans="6:8">
      <c r="H31816" t="s">
        <v>19982</v>
      </c>
    </row>
    <row r="31817" spans="6:8">
      <c r="H31817" t="s">
        <v>30030</v>
      </c>
    </row>
    <row r="31818" spans="6:8">
      <c r="H31818" t="s">
        <v>31352</v>
      </c>
    </row>
    <row r="31819" spans="6:8">
      <c r="H31819" t="s">
        <v>31353</v>
      </c>
    </row>
    <row r="31820" spans="6:8">
      <c r="H31820" t="s">
        <v>31354</v>
      </c>
    </row>
    <row r="31821" spans="6:8">
      <c r="H31821" t="s">
        <v>31355</v>
      </c>
    </row>
    <row r="31822" spans="6:8">
      <c r="H31822" t="s">
        <v>31356</v>
      </c>
    </row>
    <row r="31823" spans="6:8">
      <c r="H31823" t="s">
        <v>30215</v>
      </c>
    </row>
    <row r="31824" spans="6:8">
      <c r="H31824" t="s">
        <v>30167</v>
      </c>
    </row>
    <row r="31825" spans="8:8">
      <c r="H31825" t="s">
        <v>30168</v>
      </c>
    </row>
    <row r="31826" spans="8:8">
      <c r="H31826" t="s">
        <v>30171</v>
      </c>
    </row>
    <row r="31827" spans="8:8">
      <c r="H31827" t="s">
        <v>31345</v>
      </c>
    </row>
    <row r="31828" spans="8:8">
      <c r="H31828" t="s">
        <v>31346</v>
      </c>
    </row>
    <row r="31829" spans="8:8">
      <c r="H31829" t="s">
        <v>31347</v>
      </c>
    </row>
    <row r="31830" spans="8:8">
      <c r="H31830" t="s">
        <v>31357</v>
      </c>
    </row>
    <row r="31831" spans="8:8">
      <c r="H31831" t="s">
        <v>31358</v>
      </c>
    </row>
    <row r="31832" spans="8:8">
      <c r="H31832" t="s">
        <v>31359</v>
      </c>
    </row>
    <row r="31833" spans="8:8">
      <c r="H31833" t="s">
        <v>30216</v>
      </c>
    </row>
    <row r="31834" spans="8:8">
      <c r="H31834" t="s">
        <v>31338</v>
      </c>
    </row>
    <row r="31835" spans="8:8">
      <c r="H31835" t="s">
        <v>31339</v>
      </c>
    </row>
    <row r="31836" spans="8:8">
      <c r="H31836" t="s">
        <v>31340</v>
      </c>
    </row>
    <row r="31837" spans="8:8">
      <c r="H31837" t="s">
        <v>31360</v>
      </c>
    </row>
    <row r="31838" spans="8:8">
      <c r="H31838" t="s">
        <v>31342</v>
      </c>
    </row>
    <row r="31839" spans="8:8">
      <c r="H31839" t="s">
        <v>31343</v>
      </c>
    </row>
    <row r="31840" spans="8:8">
      <c r="H31840" t="s">
        <v>31344</v>
      </c>
    </row>
    <row r="31841" spans="8:8">
      <c r="H31841" t="s">
        <v>31348</v>
      </c>
    </row>
    <row r="31842" spans="8:8">
      <c r="H31842" t="s">
        <v>31349</v>
      </c>
    </row>
    <row r="31843" spans="8:8">
      <c r="H31843" t="s">
        <v>31350</v>
      </c>
    </row>
    <row r="31844" spans="8:8">
      <c r="H31844" t="s">
        <v>31351</v>
      </c>
    </row>
    <row r="31845" spans="8:8">
      <c r="H31845" t="s">
        <v>30219</v>
      </c>
    </row>
    <row r="31846" spans="8:8">
      <c r="H31846" t="s">
        <v>30220</v>
      </c>
    </row>
    <row r="31847" spans="8:8">
      <c r="H31847" t="s">
        <v>31361</v>
      </c>
    </row>
    <row r="31848" spans="8:8">
      <c r="H31848" t="s">
        <v>30222</v>
      </c>
    </row>
    <row r="31849" spans="8:8">
      <c r="H31849" t="s">
        <v>30223</v>
      </c>
    </row>
    <row r="31850" spans="8:8">
      <c r="H31850" t="s">
        <v>31362</v>
      </c>
    </row>
    <row r="31851" spans="8:8">
      <c r="H31851" t="s">
        <v>30224</v>
      </c>
    </row>
    <row r="31852" spans="8:8">
      <c r="H31852" t="s">
        <v>31363</v>
      </c>
    </row>
    <row r="31853" spans="8:8">
      <c r="H31853" t="s">
        <v>30225</v>
      </c>
    </row>
    <row r="31854" spans="8:8">
      <c r="H31854" t="s">
        <v>31364</v>
      </c>
    </row>
    <row r="31855" spans="8:8">
      <c r="H31855" t="s">
        <v>30226</v>
      </c>
    </row>
    <row r="31856" spans="8:8">
      <c r="H31856" t="s">
        <v>26314</v>
      </c>
    </row>
    <row r="31857" spans="6:8">
      <c r="H31857" t="s">
        <v>30229</v>
      </c>
    </row>
    <row r="31858" spans="6:8">
      <c r="H31858" t="s">
        <v>30230</v>
      </c>
    </row>
    <row r="31859" spans="6:8">
      <c r="F31859" t="s">
        <v>13526</v>
      </c>
      <c r="G31859" t="s">
        <v>17641</v>
      </c>
      <c r="H31859" t="s">
        <v>18829</v>
      </c>
    </row>
    <row r="31860" spans="6:8">
      <c r="H31860" t="s">
        <v>19982</v>
      </c>
    </row>
    <row r="31861" spans="6:8">
      <c r="H31861" t="s">
        <v>31365</v>
      </c>
    </row>
    <row r="31862" spans="6:8">
      <c r="H31862" t="s">
        <v>31366</v>
      </c>
    </row>
    <row r="31863" spans="6:8">
      <c r="H31863" t="s">
        <v>31367</v>
      </c>
    </row>
    <row r="31864" spans="6:8">
      <c r="H31864" t="s">
        <v>31368</v>
      </c>
    </row>
    <row r="31865" spans="6:8">
      <c r="H31865" t="s">
        <v>30167</v>
      </c>
    </row>
    <row r="31866" spans="6:8">
      <c r="H31866" t="s">
        <v>30168</v>
      </c>
    </row>
    <row r="31867" spans="6:8">
      <c r="H31867" t="s">
        <v>30171</v>
      </c>
    </row>
    <row r="31868" spans="6:8">
      <c r="H31868" t="s">
        <v>30173</v>
      </c>
    </row>
    <row r="31869" spans="6:8">
      <c r="H31869" t="s">
        <v>30174</v>
      </c>
    </row>
    <row r="31870" spans="6:8">
      <c r="H31870" t="s">
        <v>30175</v>
      </c>
    </row>
    <row r="31871" spans="6:8">
      <c r="H31871" t="s">
        <v>30170</v>
      </c>
    </row>
    <row r="31872" spans="6:8">
      <c r="H31872" t="s">
        <v>30169</v>
      </c>
    </row>
    <row r="31873" spans="8:8">
      <c r="H31873" t="s">
        <v>31347</v>
      </c>
    </row>
    <row r="31874" spans="8:8">
      <c r="H31874" t="s">
        <v>30216</v>
      </c>
    </row>
    <row r="31875" spans="8:8">
      <c r="H31875" t="s">
        <v>31339</v>
      </c>
    </row>
    <row r="31876" spans="8:8">
      <c r="H31876" t="s">
        <v>31342</v>
      </c>
    </row>
    <row r="31877" spans="8:8">
      <c r="H31877" t="s">
        <v>31343</v>
      </c>
    </row>
    <row r="31878" spans="8:8">
      <c r="H31878" t="s">
        <v>31344</v>
      </c>
    </row>
    <row r="31879" spans="8:8">
      <c r="H31879" t="s">
        <v>31369</v>
      </c>
    </row>
    <row r="31880" spans="8:8">
      <c r="H31880" t="s">
        <v>30189</v>
      </c>
    </row>
    <row r="31881" spans="8:8">
      <c r="H31881" t="s">
        <v>30188</v>
      </c>
    </row>
    <row r="31882" spans="8:8">
      <c r="H31882" t="s">
        <v>30187</v>
      </c>
    </row>
    <row r="31883" spans="8:8">
      <c r="H31883" t="s">
        <v>30192</v>
      </c>
    </row>
    <row r="31884" spans="8:8">
      <c r="H31884" t="s">
        <v>30191</v>
      </c>
    </row>
    <row r="31885" spans="8:8">
      <c r="H31885" t="s">
        <v>30190</v>
      </c>
    </row>
    <row r="31886" spans="8:8">
      <c r="H31886" t="s">
        <v>31370</v>
      </c>
    </row>
    <row r="31887" spans="8:8">
      <c r="H31887" t="s">
        <v>30226</v>
      </c>
    </row>
    <row r="31888" spans="8:8">
      <c r="H31888" t="s">
        <v>31371</v>
      </c>
    </row>
    <row r="31889" spans="6:8">
      <c r="H31889" t="s">
        <v>18893</v>
      </c>
    </row>
    <row r="31890" spans="6:8">
      <c r="H31890" t="s">
        <v>30229</v>
      </c>
    </row>
    <row r="31891" spans="6:8">
      <c r="H31891" t="s">
        <v>31372</v>
      </c>
    </row>
    <row r="31892" spans="6:8">
      <c r="H31892" t="s">
        <v>31373</v>
      </c>
    </row>
    <row r="31893" spans="6:8">
      <c r="H31893" t="s">
        <v>31374</v>
      </c>
    </row>
    <row r="31894" spans="6:8">
      <c r="H31894" t="s">
        <v>31375</v>
      </c>
    </row>
    <row r="31895" spans="6:8">
      <c r="H31895" t="s">
        <v>31376</v>
      </c>
    </row>
    <row r="31896" spans="6:8">
      <c r="H31896" t="s">
        <v>31377</v>
      </c>
    </row>
    <row r="31897" spans="6:8">
      <c r="H31897" t="s">
        <v>31310</v>
      </c>
    </row>
    <row r="31898" spans="6:8">
      <c r="F31898" t="s">
        <v>13524</v>
      </c>
      <c r="G31898" t="s">
        <v>17639</v>
      </c>
      <c r="H31898" t="s">
        <v>18829</v>
      </c>
    </row>
    <row r="31899" spans="6:8">
      <c r="H31899" t="s">
        <v>19982</v>
      </c>
    </row>
    <row r="31900" spans="6:8">
      <c r="H31900" t="s">
        <v>31318</v>
      </c>
    </row>
    <row r="31901" spans="6:8">
      <c r="H31901" t="s">
        <v>31319</v>
      </c>
    </row>
    <row r="31902" spans="6:8">
      <c r="H31902" t="s">
        <v>31320</v>
      </c>
    </row>
    <row r="31903" spans="6:8">
      <c r="H31903" t="s">
        <v>31321</v>
      </c>
    </row>
    <row r="31904" spans="6:8">
      <c r="H31904" t="s">
        <v>31322</v>
      </c>
    </row>
    <row r="31905" spans="6:8">
      <c r="H31905" t="s">
        <v>31323</v>
      </c>
    </row>
    <row r="31906" spans="6:8">
      <c r="H31906" t="s">
        <v>31324</v>
      </c>
    </row>
    <row r="31907" spans="6:8">
      <c r="H31907" t="s">
        <v>18893</v>
      </c>
    </row>
    <row r="31908" spans="6:8">
      <c r="H31908" t="s">
        <v>28391</v>
      </c>
    </row>
    <row r="31909" spans="6:8">
      <c r="H31909" t="s">
        <v>31325</v>
      </c>
    </row>
    <row r="31910" spans="6:8">
      <c r="H31910" t="s">
        <v>31326</v>
      </c>
    </row>
    <row r="31911" spans="6:8">
      <c r="F31911" t="s">
        <v>13509</v>
      </c>
      <c r="G31911" t="s">
        <v>17626</v>
      </c>
      <c r="H31911" t="s">
        <v>18829</v>
      </c>
    </row>
    <row r="31912" spans="6:8">
      <c r="H31912" t="s">
        <v>30231</v>
      </c>
    </row>
    <row r="31913" spans="6:8">
      <c r="H31913" t="s">
        <v>30232</v>
      </c>
    </row>
    <row r="31914" spans="6:8">
      <c r="F31914" t="s">
        <v>13522</v>
      </c>
      <c r="G31914" t="s">
        <v>17637</v>
      </c>
      <c r="H31914" t="s">
        <v>31378</v>
      </c>
    </row>
    <row r="31915" spans="6:8">
      <c r="H31915" t="s">
        <v>31379</v>
      </c>
    </row>
    <row r="31916" spans="6:8">
      <c r="H31916" t="s">
        <v>19928</v>
      </c>
    </row>
    <row r="31917" spans="6:8">
      <c r="H31917" t="s">
        <v>30238</v>
      </c>
    </row>
    <row r="31918" spans="6:8">
      <c r="H31918" t="s">
        <v>27403</v>
      </c>
    </row>
    <row r="31919" spans="6:8">
      <c r="H31919" t="s">
        <v>31327</v>
      </c>
    </row>
    <row r="31920" spans="6:8">
      <c r="H31920" t="s">
        <v>31380</v>
      </c>
    </row>
    <row r="31921" spans="6:8">
      <c r="H31921" t="s">
        <v>31381</v>
      </c>
    </row>
    <row r="31922" spans="6:8">
      <c r="H31922" t="s">
        <v>30241</v>
      </c>
    </row>
    <row r="31923" spans="6:8">
      <c r="H31923" t="s">
        <v>30242</v>
      </c>
    </row>
    <row r="31924" spans="6:8">
      <c r="H31924" t="s">
        <v>19982</v>
      </c>
    </row>
    <row r="31925" spans="6:8">
      <c r="F31925" t="s">
        <v>13532</v>
      </c>
      <c r="G31925" t="s">
        <v>16863</v>
      </c>
      <c r="H31925" t="s">
        <v>31328</v>
      </c>
    </row>
    <row r="31926" spans="6:8">
      <c r="H31926" t="s">
        <v>31382</v>
      </c>
    </row>
    <row r="31927" spans="6:8">
      <c r="H31927" t="s">
        <v>31383</v>
      </c>
    </row>
    <row r="31928" spans="6:8">
      <c r="H31928" t="s">
        <v>31384</v>
      </c>
    </row>
    <row r="31929" spans="6:8">
      <c r="H31929" t="s">
        <v>31385</v>
      </c>
    </row>
    <row r="31930" spans="6:8">
      <c r="H31930" t="s">
        <v>31386</v>
      </c>
    </row>
    <row r="31931" spans="6:8">
      <c r="F31931" t="s">
        <v>13733</v>
      </c>
      <c r="G31931" t="s">
        <v>17794</v>
      </c>
      <c r="H31931" t="s">
        <v>19981</v>
      </c>
    </row>
    <row r="31932" spans="6:8">
      <c r="H31932" t="s">
        <v>18863</v>
      </c>
    </row>
    <row r="31933" spans="6:8">
      <c r="H31933" t="s">
        <v>22650</v>
      </c>
    </row>
    <row r="31934" spans="6:8">
      <c r="H31934" t="s">
        <v>31299</v>
      </c>
    </row>
    <row r="31935" spans="6:8">
      <c r="H31935" t="s">
        <v>18836</v>
      </c>
    </row>
    <row r="31936" spans="6:8">
      <c r="H31936" t="s">
        <v>31300</v>
      </c>
    </row>
    <row r="31937" spans="1:8">
      <c r="H31937" t="s">
        <v>31301</v>
      </c>
    </row>
    <row r="31938" spans="1:8">
      <c r="A31938" t="s">
        <v>2475</v>
      </c>
      <c r="B31938">
        <f>HYPERLINK("https://android.googlesource.com/platform/cts/+/ad030386f8d6cfaa6e259ae7699292400fd0d124", "ad030386f8d6cfaa6e259ae7699292400fd0d124")</f>
        <v>0</v>
      </c>
      <c r="C31938">
        <f>HYPERLINK("https://android.googlesource.com/platform/cts/+/625ece977bb0e6f56570bbcd2f873cba5574fcac", "625ece977bb0e6f56570bbcd2f873cba5574fcac")</f>
        <v>0</v>
      </c>
      <c r="D31938" t="s">
        <v>5359</v>
      </c>
      <c r="E31938" t="s">
        <v>8205</v>
      </c>
      <c r="F31938" t="s">
        <v>13858</v>
      </c>
      <c r="G31938" t="s">
        <v>17900</v>
      </c>
      <c r="H31938" t="s">
        <v>31878</v>
      </c>
    </row>
    <row r="31939" spans="1:8">
      <c r="A31939" t="s">
        <v>2476</v>
      </c>
      <c r="B31939">
        <f>HYPERLINK("https://android.googlesource.com/platform/cts/+/e70034412793280dfa853d42acec8c7cb328eedf", "e70034412793280dfa853d42acec8c7cb328eedf")</f>
        <v>0</v>
      </c>
      <c r="C31939">
        <f>HYPERLINK("https://android.googlesource.com/platform/cts/+/f160a5db69338148d798f10bd0b40d087e661613", "f160a5db69338148d798f10bd0b40d087e661613")</f>
        <v>0</v>
      </c>
      <c r="D31939" t="s">
        <v>5134</v>
      </c>
      <c r="E31939" t="s">
        <v>8206</v>
      </c>
      <c r="F31939" t="s">
        <v>13765</v>
      </c>
      <c r="G31939" t="s">
        <v>17822</v>
      </c>
      <c r="H31939" t="s">
        <v>31879</v>
      </c>
    </row>
    <row r="31940" spans="1:8">
      <c r="A31940" t="s">
        <v>2477</v>
      </c>
      <c r="B31940">
        <f>HYPERLINK("https://android.googlesource.com/platform/cts/+/8ec82baabff55573b8baa92ba0bec6bf4439d655", "8ec82baabff55573b8baa92ba0bec6bf4439d655")</f>
        <v>0</v>
      </c>
      <c r="C31940">
        <f>HYPERLINK("https://android.googlesource.com/platform/cts/+/bc8026158798b3cd0099d1abf5391f91098e1ccf", "bc8026158798b3cd0099d1abf5391f91098e1ccf")</f>
        <v>0</v>
      </c>
      <c r="D31940" t="s">
        <v>5239</v>
      </c>
      <c r="E31940" t="s">
        <v>8207</v>
      </c>
      <c r="F31940" t="s">
        <v>13859</v>
      </c>
      <c r="G31940" t="s">
        <v>17901</v>
      </c>
      <c r="H31940" t="s">
        <v>31880</v>
      </c>
    </row>
    <row r="31941" spans="1:8">
      <c r="A31941" t="s">
        <v>2478</v>
      </c>
      <c r="B31941">
        <f>HYPERLINK("https://android.googlesource.com/platform/cts/+/9237adeb4a6000c461bcdb8c78b8cf9e65e549e4", "9237adeb4a6000c461bcdb8c78b8cf9e65e549e4")</f>
        <v>0</v>
      </c>
      <c r="C31941">
        <f>HYPERLINK("https://android.googlesource.com/platform/cts/+/8120aad04030115551af13ac20d68f2557add000", "8120aad04030115551af13ac20d68f2557add000")</f>
        <v>0</v>
      </c>
      <c r="D31941" t="s">
        <v>5247</v>
      </c>
      <c r="E31941" t="s">
        <v>8208</v>
      </c>
      <c r="F31941" t="s">
        <v>13860</v>
      </c>
      <c r="G31941" t="s">
        <v>17902</v>
      </c>
      <c r="H31941" t="s">
        <v>19010</v>
      </c>
    </row>
    <row r="31942" spans="1:8">
      <c r="A31942" t="s">
        <v>2479</v>
      </c>
      <c r="B31942">
        <f>HYPERLINK("https://android.googlesource.com/platform/cts/+/d831c0132436e1f863862c9ff7dbfa7db71ac1ef", "d831c0132436e1f863862c9ff7dbfa7db71ac1ef")</f>
        <v>0</v>
      </c>
      <c r="C31942">
        <f>HYPERLINK("https://android.googlesource.com/platform/cts/+/4d8698e8b89000b4593a3c35215d0510ff828ba6", "4d8698e8b89000b4593a3c35215d0510ff828ba6")</f>
        <v>0</v>
      </c>
      <c r="D31942" t="s">
        <v>5234</v>
      </c>
      <c r="E31942" t="s">
        <v>8209</v>
      </c>
      <c r="F31942" t="s">
        <v>13278</v>
      </c>
      <c r="G31942" t="s">
        <v>17415</v>
      </c>
      <c r="H31942" t="s">
        <v>28909</v>
      </c>
    </row>
    <row r="31943" spans="1:8">
      <c r="A31943" t="s">
        <v>2480</v>
      </c>
      <c r="B31943">
        <f>HYPERLINK("https://android.googlesource.com/platform/cts/+/1781e39fc9450de57f1c50c6383e324943e00392", "1781e39fc9450de57f1c50c6383e324943e00392")</f>
        <v>0</v>
      </c>
      <c r="C31943">
        <f>HYPERLINK("https://android.googlesource.com/platform/cts/+/8120aad04030115551af13ac20d68f2557add000", "8120aad04030115551af13ac20d68f2557add000")</f>
        <v>0</v>
      </c>
      <c r="D31943" t="s">
        <v>5247</v>
      </c>
      <c r="E31943" t="s">
        <v>8210</v>
      </c>
      <c r="F31943" t="s">
        <v>13861</v>
      </c>
      <c r="G31943" t="s">
        <v>16783</v>
      </c>
      <c r="H31943" t="s">
        <v>31881</v>
      </c>
    </row>
    <row r="31944" spans="1:8">
      <c r="A31944" t="s">
        <v>2481</v>
      </c>
      <c r="B31944">
        <f>HYPERLINK("https://android.googlesource.com/platform/cts/+/e17aa4c7c0ce302d86af83a8254e7fe037c794a6", "e17aa4c7c0ce302d86af83a8254e7fe037c794a6")</f>
        <v>0</v>
      </c>
      <c r="C31944">
        <f>HYPERLINK("https://android.googlesource.com/platform/cts/+/8120aad04030115551af13ac20d68f2557add000", "8120aad04030115551af13ac20d68f2557add000")</f>
        <v>0</v>
      </c>
      <c r="D31944" t="s">
        <v>5247</v>
      </c>
      <c r="E31944" t="s">
        <v>8211</v>
      </c>
      <c r="F31944" t="s">
        <v>13862</v>
      </c>
      <c r="G31944" t="s">
        <v>15054</v>
      </c>
      <c r="H31944" t="s">
        <v>31882</v>
      </c>
    </row>
    <row r="31945" spans="1:8">
      <c r="H31945" t="s">
        <v>31883</v>
      </c>
    </row>
    <row r="31946" spans="1:8">
      <c r="H31946" t="s">
        <v>31884</v>
      </c>
    </row>
    <row r="31947" spans="1:8">
      <c r="H31947" t="s">
        <v>31885</v>
      </c>
    </row>
    <row r="31948" spans="1:8">
      <c r="H31948" t="s">
        <v>31886</v>
      </c>
    </row>
    <row r="31949" spans="1:8">
      <c r="H31949" t="s">
        <v>31887</v>
      </c>
    </row>
    <row r="31950" spans="1:8">
      <c r="A31950" t="s">
        <v>2482</v>
      </c>
      <c r="B31950">
        <f>HYPERLINK("https://android.googlesource.com/platform/cts/+/d875dca3272cf51a2232eed89f6013b623e4c3fa", "d875dca3272cf51a2232eed89f6013b623e4c3fa")</f>
        <v>0</v>
      </c>
      <c r="C31950">
        <f>HYPERLINK("https://android.googlesource.com/platform/cts/+/6346960caa1ca2f299f7d2a9aa8ef2f8e18c1888", "6346960caa1ca2f299f7d2a9aa8ef2f8e18c1888")</f>
        <v>0</v>
      </c>
      <c r="D31950" t="s">
        <v>5040</v>
      </c>
      <c r="E31950" t="s">
        <v>8212</v>
      </c>
      <c r="F31950" t="s">
        <v>12344</v>
      </c>
      <c r="G31950" t="s">
        <v>16572</v>
      </c>
      <c r="H31950" t="s">
        <v>31888</v>
      </c>
    </row>
    <row r="31951" spans="1:8">
      <c r="A31951" t="s">
        <v>2483</v>
      </c>
      <c r="B31951">
        <f>HYPERLINK("https://android.googlesource.com/platform/cts/+/280df5333a9cb345704f9df1500de23048b15337", "280df5333a9cb345704f9df1500de23048b15337")</f>
        <v>0</v>
      </c>
      <c r="C31951">
        <f>HYPERLINK("https://android.googlesource.com/platform/cts/+/664409086608b8d04f6c5462e9a8431762a888d7", "664409086608b8d04f6c5462e9a8431762a888d7")</f>
        <v>0</v>
      </c>
      <c r="D31951" t="s">
        <v>5397</v>
      </c>
      <c r="E31951" t="s">
        <v>8213</v>
      </c>
      <c r="F31951" t="s">
        <v>13846</v>
      </c>
      <c r="G31951" t="s">
        <v>17889</v>
      </c>
      <c r="H31951" t="s">
        <v>31889</v>
      </c>
    </row>
    <row r="31952" spans="1:8">
      <c r="H31952" t="s">
        <v>31890</v>
      </c>
    </row>
    <row r="31953" spans="1:8">
      <c r="A31953" t="s">
        <v>2484</v>
      </c>
      <c r="B31953">
        <f>HYPERLINK("https://android.googlesource.com/platform/cts/+/d59841af886d4602fcaa4d1cdbff31f3a3527bd7", "d59841af886d4602fcaa4d1cdbff31f3a3527bd7")</f>
        <v>0</v>
      </c>
      <c r="C31953">
        <f>HYPERLINK("https://android.googlesource.com/platform/cts/+/da338d031a9d16a19e812460325c40b0fb802870", "da338d031a9d16a19e812460325c40b0fb802870")</f>
        <v>0</v>
      </c>
      <c r="D31953" t="s">
        <v>5350</v>
      </c>
      <c r="E31953" t="s">
        <v>8214</v>
      </c>
      <c r="F31953" t="s">
        <v>13711</v>
      </c>
      <c r="G31953" t="s">
        <v>17779</v>
      </c>
      <c r="H31953" t="s">
        <v>31891</v>
      </c>
    </row>
    <row r="31954" spans="1:8">
      <c r="A31954" t="s">
        <v>2485</v>
      </c>
      <c r="B31954">
        <f>HYPERLINK("https://android.googlesource.com/platform/cts/+/5584f6efc6f454b053f4a4ac2ecdc4be0dff15be", "5584f6efc6f454b053f4a4ac2ecdc4be0dff15be")</f>
        <v>0</v>
      </c>
      <c r="C31954">
        <f>HYPERLINK("https://android.googlesource.com/platform/cts/+/0eff16732452266be698cae749d5bd47e4997d10", "0eff16732452266be698cae749d5bd47e4997d10")</f>
        <v>0</v>
      </c>
      <c r="D31954" t="s">
        <v>5134</v>
      </c>
      <c r="E31954" t="s">
        <v>8215</v>
      </c>
      <c r="F31954" t="s">
        <v>13863</v>
      </c>
      <c r="G31954" t="s">
        <v>17903</v>
      </c>
      <c r="H31954" t="s">
        <v>31892</v>
      </c>
    </row>
    <row r="31955" spans="1:8">
      <c r="A31955" t="s">
        <v>2486</v>
      </c>
      <c r="B31955">
        <f>HYPERLINK("https://android.googlesource.com/platform/cts/+/ff6139fad4552cb84567aaf8c50589efc08a4a78", "ff6139fad4552cb84567aaf8c50589efc08a4a78")</f>
        <v>0</v>
      </c>
      <c r="C31955">
        <f>HYPERLINK("https://android.googlesource.com/platform/cts/+/163255698c0d82f1e2b6b67376085a9eacb01bf9", "163255698c0d82f1e2b6b67376085a9eacb01bf9")</f>
        <v>0</v>
      </c>
      <c r="D31955" t="s">
        <v>5366</v>
      </c>
      <c r="E31955" t="s">
        <v>8216</v>
      </c>
      <c r="F31955" t="s">
        <v>13753</v>
      </c>
      <c r="G31955" t="s">
        <v>17813</v>
      </c>
      <c r="H31955" t="s">
        <v>31893</v>
      </c>
    </row>
    <row r="31956" spans="1:8">
      <c r="A31956" t="s">
        <v>2488</v>
      </c>
      <c r="B31956">
        <f>HYPERLINK("https://android.googlesource.com/platform/cts/+/4c2d2ae1919ef4ddc02cb964f9ef6a4cc1f5cbe7", "4c2d2ae1919ef4ddc02cb964f9ef6a4cc1f5cbe7")</f>
        <v>0</v>
      </c>
      <c r="C31956">
        <f>HYPERLINK("https://android.googlesource.com/platform/cts/+/3ccc176ac71fb14a9a64609d384276b886f9ae6e", "3ccc176ac71fb14a9a64609d384276b886f9ae6e")</f>
        <v>0</v>
      </c>
      <c r="D31956" t="s">
        <v>5051</v>
      </c>
      <c r="E31956" t="s">
        <v>8218</v>
      </c>
      <c r="F31956" t="s">
        <v>13864</v>
      </c>
      <c r="G31956" t="s">
        <v>17904</v>
      </c>
      <c r="H31956" t="s">
        <v>31894</v>
      </c>
    </row>
    <row r="31957" spans="1:8">
      <c r="H31957" t="s">
        <v>31895</v>
      </c>
    </row>
    <row r="31958" spans="1:8">
      <c r="H31958" t="s">
        <v>28786</v>
      </c>
    </row>
    <row r="31959" spans="1:8">
      <c r="H31959" t="s">
        <v>31896</v>
      </c>
    </row>
    <row r="31960" spans="1:8">
      <c r="H31960" t="s">
        <v>31897</v>
      </c>
    </row>
    <row r="31961" spans="1:8">
      <c r="H31961" t="s">
        <v>31898</v>
      </c>
    </row>
    <row r="31962" spans="1:8">
      <c r="A31962" t="s">
        <v>2489</v>
      </c>
      <c r="B31962">
        <f>HYPERLINK("https://android.googlesource.com/platform/cts/+/68d197d905293ed957c53eeeb8a5b6bf6ea79874", "68d197d905293ed957c53eeeb8a5b6bf6ea79874")</f>
        <v>0</v>
      </c>
      <c r="C31962">
        <f>HYPERLINK("https://android.googlesource.com/platform/cts/+/298e9fc1860f1e59b68d18eb92a061b4dbff7f30", "298e9fc1860f1e59b68d18eb92a061b4dbff7f30")</f>
        <v>0</v>
      </c>
      <c r="D31962" t="s">
        <v>5307</v>
      </c>
      <c r="E31962" t="s">
        <v>8219</v>
      </c>
      <c r="F31962" t="s">
        <v>10624</v>
      </c>
      <c r="G31962" t="s">
        <v>15027</v>
      </c>
      <c r="H31962" t="s">
        <v>31899</v>
      </c>
    </row>
    <row r="31963" spans="1:8">
      <c r="A31963" t="s">
        <v>2491</v>
      </c>
      <c r="B31963">
        <f>HYPERLINK("https://android.googlesource.com/platform/cts/+/5ebfc080b1c0926a3170e516a75679c93ccf6285", "5ebfc080b1c0926a3170e516a75679c93ccf6285")</f>
        <v>0</v>
      </c>
      <c r="C31963">
        <f>HYPERLINK("https://android.googlesource.com/platform/cts/+/479c6eb64fb0d7262121a8db5d306724ed0fc09f", "479c6eb64fb0d7262121a8db5d306724ed0fc09f")</f>
        <v>0</v>
      </c>
      <c r="D31963" t="s">
        <v>5153</v>
      </c>
      <c r="E31963" t="s">
        <v>8220</v>
      </c>
      <c r="F31963" t="s">
        <v>13865</v>
      </c>
      <c r="G31963" t="s">
        <v>17905</v>
      </c>
      <c r="H31963" t="s">
        <v>31900</v>
      </c>
    </row>
    <row r="31964" spans="1:8">
      <c r="H31964" t="s">
        <v>31901</v>
      </c>
    </row>
    <row r="31965" spans="1:8">
      <c r="A31965" t="s">
        <v>2492</v>
      </c>
      <c r="B31965">
        <f>HYPERLINK("https://android.googlesource.com/platform/cts/+/d62e80d63800df84590e2926451ccc76929431e4", "d62e80d63800df84590e2926451ccc76929431e4")</f>
        <v>0</v>
      </c>
      <c r="C31965">
        <f>HYPERLINK("https://android.googlesource.com/platform/cts/+/fdaa2581410956db77b46ae969dd70df75d04c29", "fdaa2581410956db77b46ae969dd70df75d04c29")</f>
        <v>0</v>
      </c>
      <c r="D31965" t="s">
        <v>5117</v>
      </c>
      <c r="E31965" t="s">
        <v>8221</v>
      </c>
      <c r="F31965" t="s">
        <v>13866</v>
      </c>
      <c r="G31965" t="s">
        <v>17906</v>
      </c>
      <c r="H31965" t="s">
        <v>31902</v>
      </c>
    </row>
    <row r="31966" spans="1:8">
      <c r="H31966" t="s">
        <v>31903</v>
      </c>
    </row>
    <row r="31967" spans="1:8">
      <c r="H31967" t="s">
        <v>31904</v>
      </c>
    </row>
    <row r="31968" spans="1:8">
      <c r="H31968" t="s">
        <v>31905</v>
      </c>
    </row>
    <row r="31969" spans="8:8">
      <c r="H31969" t="s">
        <v>31906</v>
      </c>
    </row>
    <row r="31970" spans="8:8">
      <c r="H31970" t="s">
        <v>31907</v>
      </c>
    </row>
    <row r="31971" spans="8:8">
      <c r="H31971" t="s">
        <v>31908</v>
      </c>
    </row>
    <row r="31972" spans="8:8">
      <c r="H31972" t="s">
        <v>31909</v>
      </c>
    </row>
    <row r="31973" spans="8:8">
      <c r="H31973" t="s">
        <v>31910</v>
      </c>
    </row>
    <row r="31974" spans="8:8">
      <c r="H31974" t="s">
        <v>31911</v>
      </c>
    </row>
    <row r="31975" spans="8:8">
      <c r="H31975" t="s">
        <v>31912</v>
      </c>
    </row>
    <row r="31976" spans="8:8">
      <c r="H31976" t="s">
        <v>31913</v>
      </c>
    </row>
    <row r="31977" spans="8:8">
      <c r="H31977" t="s">
        <v>31914</v>
      </c>
    </row>
    <row r="31978" spans="8:8">
      <c r="H31978" t="s">
        <v>31915</v>
      </c>
    </row>
    <row r="31979" spans="8:8">
      <c r="H31979" t="s">
        <v>31916</v>
      </c>
    </row>
    <row r="31980" spans="8:8">
      <c r="H31980" t="s">
        <v>31917</v>
      </c>
    </row>
    <row r="31981" spans="8:8">
      <c r="H31981" t="s">
        <v>31918</v>
      </c>
    </row>
    <row r="31982" spans="8:8">
      <c r="H31982" t="s">
        <v>31919</v>
      </c>
    </row>
    <row r="31983" spans="8:8">
      <c r="H31983" t="s">
        <v>31920</v>
      </c>
    </row>
    <row r="31984" spans="8:8">
      <c r="H31984" t="s">
        <v>31921</v>
      </c>
    </row>
    <row r="31985" spans="1:8">
      <c r="H31985" t="s">
        <v>31922</v>
      </c>
    </row>
    <row r="31986" spans="1:8">
      <c r="H31986" t="s">
        <v>31923</v>
      </c>
    </row>
    <row r="31987" spans="1:8">
      <c r="H31987" t="s">
        <v>31924</v>
      </c>
    </row>
    <row r="31988" spans="1:8">
      <c r="H31988" t="s">
        <v>31925</v>
      </c>
    </row>
    <row r="31989" spans="1:8">
      <c r="H31989" t="s">
        <v>31926</v>
      </c>
    </row>
    <row r="31990" spans="1:8">
      <c r="H31990" t="s">
        <v>31927</v>
      </c>
    </row>
    <row r="31991" spans="1:8">
      <c r="H31991" t="s">
        <v>31928</v>
      </c>
    </row>
    <row r="31992" spans="1:8">
      <c r="H31992" t="s">
        <v>31929</v>
      </c>
    </row>
    <row r="31993" spans="1:8">
      <c r="A31993" t="s">
        <v>2493</v>
      </c>
      <c r="B31993">
        <f>HYPERLINK("https://android.googlesource.com/platform/cts/+/1f42e222d204ef27733ba650799dcaed45ec1bcb", "1f42e222d204ef27733ba650799dcaed45ec1bcb")</f>
        <v>0</v>
      </c>
      <c r="C31993">
        <f>HYPERLINK("https://android.googlesource.com/platform/cts/+/be4f352894a953d6403c0dc40541079baf8a75eb", "be4f352894a953d6403c0dc40541079baf8a75eb")</f>
        <v>0</v>
      </c>
      <c r="D31993" t="s">
        <v>5341</v>
      </c>
      <c r="E31993" t="s">
        <v>8222</v>
      </c>
      <c r="F31993" t="s">
        <v>13827</v>
      </c>
      <c r="G31993" t="s">
        <v>17871</v>
      </c>
      <c r="H31993" t="s">
        <v>31930</v>
      </c>
    </row>
    <row r="31994" spans="1:8">
      <c r="H31994" t="s">
        <v>31931</v>
      </c>
    </row>
    <row r="31995" spans="1:8">
      <c r="A31995" t="s">
        <v>2494</v>
      </c>
      <c r="B31995">
        <f>HYPERLINK("https://android.googlesource.com/platform/cts/+/7b461aa75d595e23a1bdecfff1dd7a5b279e2f37", "7b461aa75d595e23a1bdecfff1dd7a5b279e2f37")</f>
        <v>0</v>
      </c>
      <c r="C31995">
        <f>HYPERLINK("https://android.googlesource.com/platform/cts/+/a37bdc77455dc6be0be2b8321c8e2fc4bbd7c5e8", "a37bdc77455dc6be0be2b8321c8e2fc4bbd7c5e8")</f>
        <v>0</v>
      </c>
      <c r="D31995" t="s">
        <v>5403</v>
      </c>
      <c r="E31995" t="s">
        <v>8223</v>
      </c>
      <c r="F31995" t="s">
        <v>13867</v>
      </c>
      <c r="G31995" t="s">
        <v>15101</v>
      </c>
      <c r="H31995" t="s">
        <v>31932</v>
      </c>
    </row>
    <row r="31996" spans="1:8">
      <c r="A31996" t="s">
        <v>2495</v>
      </c>
      <c r="B31996">
        <f>HYPERLINK("https://android.googlesource.com/platform/cts/+/263fd9852838d90de620b8ca33e9d885f99339b6", "263fd9852838d90de620b8ca33e9d885f99339b6")</f>
        <v>0</v>
      </c>
      <c r="C31996">
        <f>HYPERLINK("https://android.googlesource.com/platform/cts/+/056907a75762e2beaaf0c2bb57b95f55a3d01b0e", "056907a75762e2beaaf0c2bb57b95f55a3d01b0e")</f>
        <v>0</v>
      </c>
      <c r="D31996" t="s">
        <v>5403</v>
      </c>
      <c r="E31996" t="s">
        <v>8224</v>
      </c>
      <c r="F31996" t="s">
        <v>13867</v>
      </c>
      <c r="G31996" t="s">
        <v>15101</v>
      </c>
      <c r="H31996" t="s">
        <v>31932</v>
      </c>
    </row>
    <row r="31997" spans="1:8">
      <c r="A31997" t="s">
        <v>2496</v>
      </c>
      <c r="B31997">
        <f>HYPERLINK("https://android.googlesource.com/platform/cts/+/9d9091092eb19d636be723fb85ef95c89989343a", "9d9091092eb19d636be723fb85ef95c89989343a")</f>
        <v>0</v>
      </c>
      <c r="C31997">
        <f>HYPERLINK("https://android.googlesource.com/platform/cts/+/2f3ddc5630f9a06be9b1a4845323d353d26fccce", "2f3ddc5630f9a06be9b1a4845323d353d26fccce")</f>
        <v>0</v>
      </c>
      <c r="D31997" t="s">
        <v>5135</v>
      </c>
      <c r="E31997" t="s">
        <v>8225</v>
      </c>
      <c r="F31997" t="s">
        <v>13735</v>
      </c>
      <c r="G31997" t="s">
        <v>16637</v>
      </c>
      <c r="H31997" t="s">
        <v>31933</v>
      </c>
    </row>
    <row r="31998" spans="1:8">
      <c r="H31998" t="s">
        <v>31934</v>
      </c>
    </row>
    <row r="31999" spans="1:8">
      <c r="H31999" t="s">
        <v>31934</v>
      </c>
    </row>
    <row r="32000" spans="1:8">
      <c r="A32000" t="s">
        <v>2497</v>
      </c>
      <c r="B32000">
        <f>HYPERLINK("https://android.googlesource.com/platform/cts/+/fbc481c660258e4115b178920b91cd9bba67caee", "fbc481c660258e4115b178920b91cd9bba67caee")</f>
        <v>0</v>
      </c>
      <c r="C32000">
        <f>HYPERLINK("https://android.googlesource.com/platform/cts/+/0eff16732452266be698cae749d5bd47e4997d10", "0eff16732452266be698cae749d5bd47e4997d10")</f>
        <v>0</v>
      </c>
      <c r="D32000" t="s">
        <v>5404</v>
      </c>
      <c r="E32000" t="s">
        <v>8226</v>
      </c>
      <c r="F32000" t="s">
        <v>13666</v>
      </c>
      <c r="G32000" t="s">
        <v>17738</v>
      </c>
      <c r="H32000" t="s">
        <v>31935</v>
      </c>
    </row>
    <row r="32001" spans="1:8">
      <c r="A32001" t="s">
        <v>2498</v>
      </c>
      <c r="B32001">
        <f>HYPERLINK("https://android.googlesource.com/platform/cts/+/8167a8f78993e20ef90ef64bd3728192ffa86a3b", "8167a8f78993e20ef90ef64bd3728192ffa86a3b")</f>
        <v>0</v>
      </c>
      <c r="C32001">
        <f>HYPERLINK("https://android.googlesource.com/platform/cts/+/5167483b6985cae774aa31b6fd6350970fca0548", "5167483b6985cae774aa31b6fd6350970fca0548")</f>
        <v>0</v>
      </c>
      <c r="D32001" t="s">
        <v>5405</v>
      </c>
      <c r="E32001" t="s">
        <v>8227</v>
      </c>
      <c r="F32001" t="s">
        <v>13868</v>
      </c>
      <c r="G32001" t="s">
        <v>17907</v>
      </c>
      <c r="H32001" t="s">
        <v>31936</v>
      </c>
    </row>
    <row r="32002" spans="1:8">
      <c r="H32002" t="s">
        <v>31937</v>
      </c>
    </row>
    <row r="32003" spans="1:8">
      <c r="H32003" t="s">
        <v>31938</v>
      </c>
    </row>
    <row r="32004" spans="1:8">
      <c r="A32004" t="s">
        <v>2499</v>
      </c>
      <c r="B32004">
        <f>HYPERLINK("https://android.googlesource.com/platform/cts/+/6426497aac945a3b98c5f5191b9c2ac366d221e9", "6426497aac945a3b98c5f5191b9c2ac366d221e9")</f>
        <v>0</v>
      </c>
      <c r="C32004">
        <f>HYPERLINK("https://android.googlesource.com/platform/cts/+/a33cab94c9b1d11807afe3301034fca77879d9d4", "a33cab94c9b1d11807afe3301034fca77879d9d4")</f>
        <v>0</v>
      </c>
      <c r="D32004" t="s">
        <v>5406</v>
      </c>
      <c r="E32004" t="s">
        <v>8228</v>
      </c>
      <c r="F32004" t="s">
        <v>13869</v>
      </c>
      <c r="G32004" t="s">
        <v>17908</v>
      </c>
      <c r="H32004" t="s">
        <v>31939</v>
      </c>
    </row>
    <row r="32005" spans="1:8">
      <c r="A32005" t="s">
        <v>2500</v>
      </c>
      <c r="B32005">
        <f>HYPERLINK("https://android.googlesource.com/platform/cts/+/86a0e784f75d160243c12407843bd2f3974b4cd0", "86a0e784f75d160243c12407843bd2f3974b4cd0")</f>
        <v>0</v>
      </c>
      <c r="C32005">
        <f>HYPERLINK("https://android.googlesource.com/platform/cts/+/3838652df170db625544812a3e327b43b1b66d79", "3838652df170db625544812a3e327b43b1b66d79")</f>
        <v>0</v>
      </c>
      <c r="D32005" t="s">
        <v>5108</v>
      </c>
      <c r="E32005" t="s">
        <v>8229</v>
      </c>
      <c r="F32005" t="s">
        <v>13229</v>
      </c>
      <c r="G32005" t="s">
        <v>17370</v>
      </c>
      <c r="H32005" t="s">
        <v>31940</v>
      </c>
    </row>
    <row r="32006" spans="1:8">
      <c r="A32006" t="s">
        <v>2501</v>
      </c>
      <c r="B32006">
        <f>HYPERLINK("https://android.googlesource.com/platform/cts/+/446c280de2b061d9d561bd8e078ebe57e4743fcb", "446c280de2b061d9d561bd8e078ebe57e4743fcb")</f>
        <v>0</v>
      </c>
      <c r="C32006">
        <f>HYPERLINK("https://android.googlesource.com/platform/cts/+/c5f60e981a3cec67c79729b9102a02e91f6c829f", "c5f60e981a3cec67c79729b9102a02e91f6c829f")</f>
        <v>0</v>
      </c>
      <c r="D32006" t="s">
        <v>5400</v>
      </c>
      <c r="E32006" t="s">
        <v>8230</v>
      </c>
      <c r="F32006" t="s">
        <v>13718</v>
      </c>
      <c r="G32006" t="s">
        <v>17785</v>
      </c>
      <c r="H32006" t="s">
        <v>31844</v>
      </c>
    </row>
    <row r="32007" spans="1:8">
      <c r="A32007" t="s">
        <v>2502</v>
      </c>
      <c r="B32007">
        <f>HYPERLINK("https://android.googlesource.com/platform/cts/+/814edd52037ebde50dea49a2b9fb80e9abf14948", "814edd52037ebde50dea49a2b9fb80e9abf14948")</f>
        <v>0</v>
      </c>
      <c r="C32007">
        <f>HYPERLINK("https://android.googlesource.com/platform/cts/+/6d8dcb3f50cae8f79f33d3491d0bbc7566af3601", "6d8dcb3f50cae8f79f33d3491d0bbc7566af3601")</f>
        <v>0</v>
      </c>
      <c r="D32007" t="s">
        <v>5312</v>
      </c>
      <c r="E32007" t="s">
        <v>8231</v>
      </c>
      <c r="F32007" t="s">
        <v>13870</v>
      </c>
      <c r="G32007" t="s">
        <v>17909</v>
      </c>
      <c r="H32007" t="s">
        <v>31941</v>
      </c>
    </row>
    <row r="32008" spans="1:8">
      <c r="H32008" t="s">
        <v>31941</v>
      </c>
    </row>
    <row r="32009" spans="1:8">
      <c r="H32009" t="s">
        <v>31942</v>
      </c>
    </row>
    <row r="32010" spans="1:8">
      <c r="H32010" t="s">
        <v>31942</v>
      </c>
    </row>
    <row r="32011" spans="1:8">
      <c r="H32011" t="s">
        <v>31943</v>
      </c>
    </row>
    <row r="32012" spans="1:8">
      <c r="H32012" t="s">
        <v>31943</v>
      </c>
    </row>
    <row r="32013" spans="1:8">
      <c r="H32013" t="s">
        <v>31944</v>
      </c>
    </row>
    <row r="32014" spans="1:8">
      <c r="H32014" t="s">
        <v>31944</v>
      </c>
    </row>
    <row r="32015" spans="1:8">
      <c r="H32015" t="s">
        <v>31945</v>
      </c>
    </row>
    <row r="32016" spans="1:8">
      <c r="H32016" t="s">
        <v>31945</v>
      </c>
    </row>
    <row r="32017" spans="6:8">
      <c r="H32017" t="s">
        <v>31946</v>
      </c>
    </row>
    <row r="32018" spans="6:8">
      <c r="H32018" t="s">
        <v>31946</v>
      </c>
    </row>
    <row r="32019" spans="6:8">
      <c r="H32019" t="s">
        <v>31947</v>
      </c>
    </row>
    <row r="32020" spans="6:8">
      <c r="H32020" t="s">
        <v>31948</v>
      </c>
    </row>
    <row r="32021" spans="6:8">
      <c r="F32021" t="s">
        <v>13871</v>
      </c>
      <c r="G32021" t="s">
        <v>17910</v>
      </c>
      <c r="H32021" t="s">
        <v>31941</v>
      </c>
    </row>
    <row r="32022" spans="6:8">
      <c r="H32022" t="s">
        <v>31941</v>
      </c>
    </row>
    <row r="32023" spans="6:8">
      <c r="H32023" t="s">
        <v>31942</v>
      </c>
    </row>
    <row r="32024" spans="6:8">
      <c r="H32024" t="s">
        <v>31942</v>
      </c>
    </row>
    <row r="32025" spans="6:8">
      <c r="H32025" t="s">
        <v>31943</v>
      </c>
    </row>
    <row r="32026" spans="6:8">
      <c r="H32026" t="s">
        <v>31943</v>
      </c>
    </row>
    <row r="32027" spans="6:8">
      <c r="H32027" t="s">
        <v>31944</v>
      </c>
    </row>
    <row r="32028" spans="6:8">
      <c r="H32028" t="s">
        <v>31944</v>
      </c>
    </row>
    <row r="32029" spans="6:8">
      <c r="H32029" t="s">
        <v>31947</v>
      </c>
    </row>
    <row r="32030" spans="6:8">
      <c r="H32030" t="s">
        <v>31948</v>
      </c>
    </row>
    <row r="32031" spans="6:8">
      <c r="F32031" t="s">
        <v>13872</v>
      </c>
      <c r="G32031" t="s">
        <v>17911</v>
      </c>
      <c r="H32031" t="s">
        <v>31941</v>
      </c>
    </row>
    <row r="32032" spans="6:8">
      <c r="H32032" t="s">
        <v>31941</v>
      </c>
    </row>
    <row r="32033" spans="6:8">
      <c r="H32033" t="s">
        <v>31942</v>
      </c>
    </row>
    <row r="32034" spans="6:8">
      <c r="H32034" t="s">
        <v>31942</v>
      </c>
    </row>
    <row r="32035" spans="6:8">
      <c r="H32035" t="s">
        <v>31943</v>
      </c>
    </row>
    <row r="32036" spans="6:8">
      <c r="H32036" t="s">
        <v>31943</v>
      </c>
    </row>
    <row r="32037" spans="6:8">
      <c r="H32037" t="s">
        <v>31944</v>
      </c>
    </row>
    <row r="32038" spans="6:8">
      <c r="H32038" t="s">
        <v>31944</v>
      </c>
    </row>
    <row r="32039" spans="6:8">
      <c r="H32039" t="s">
        <v>31945</v>
      </c>
    </row>
    <row r="32040" spans="6:8">
      <c r="H32040" t="s">
        <v>31945</v>
      </c>
    </row>
    <row r="32041" spans="6:8">
      <c r="H32041" t="s">
        <v>31946</v>
      </c>
    </row>
    <row r="32042" spans="6:8">
      <c r="H32042" t="s">
        <v>31946</v>
      </c>
    </row>
    <row r="32043" spans="6:8">
      <c r="H32043" t="s">
        <v>31947</v>
      </c>
    </row>
    <row r="32044" spans="6:8">
      <c r="H32044" t="s">
        <v>31948</v>
      </c>
    </row>
    <row r="32045" spans="6:8">
      <c r="F32045" t="s">
        <v>13873</v>
      </c>
      <c r="G32045" t="s">
        <v>17912</v>
      </c>
      <c r="H32045" t="s">
        <v>31941</v>
      </c>
    </row>
    <row r="32046" spans="6:8">
      <c r="H32046" t="s">
        <v>31941</v>
      </c>
    </row>
    <row r="32047" spans="6:8">
      <c r="H32047" t="s">
        <v>31942</v>
      </c>
    </row>
    <row r="32048" spans="6:8">
      <c r="H32048" t="s">
        <v>31942</v>
      </c>
    </row>
    <row r="32049" spans="6:8">
      <c r="H32049" t="s">
        <v>31943</v>
      </c>
    </row>
    <row r="32050" spans="6:8">
      <c r="H32050" t="s">
        <v>31943</v>
      </c>
    </row>
    <row r="32051" spans="6:8">
      <c r="H32051" t="s">
        <v>31944</v>
      </c>
    </row>
    <row r="32052" spans="6:8">
      <c r="H32052" t="s">
        <v>31944</v>
      </c>
    </row>
    <row r="32053" spans="6:8">
      <c r="H32053" t="s">
        <v>31945</v>
      </c>
    </row>
    <row r="32054" spans="6:8">
      <c r="H32054" t="s">
        <v>31945</v>
      </c>
    </row>
    <row r="32055" spans="6:8">
      <c r="H32055" t="s">
        <v>31946</v>
      </c>
    </row>
    <row r="32056" spans="6:8">
      <c r="H32056" t="s">
        <v>31946</v>
      </c>
    </row>
    <row r="32057" spans="6:8">
      <c r="H32057" t="s">
        <v>31947</v>
      </c>
    </row>
    <row r="32058" spans="6:8">
      <c r="H32058" t="s">
        <v>31948</v>
      </c>
    </row>
    <row r="32059" spans="6:8">
      <c r="F32059" t="s">
        <v>13874</v>
      </c>
      <c r="G32059" t="s">
        <v>17913</v>
      </c>
      <c r="H32059" t="s">
        <v>31941</v>
      </c>
    </row>
    <row r="32060" spans="6:8">
      <c r="H32060" t="s">
        <v>31941</v>
      </c>
    </row>
    <row r="32061" spans="6:8">
      <c r="H32061" t="s">
        <v>31942</v>
      </c>
    </row>
    <row r="32062" spans="6:8">
      <c r="H32062" t="s">
        <v>31942</v>
      </c>
    </row>
    <row r="32063" spans="6:8">
      <c r="H32063" t="s">
        <v>31943</v>
      </c>
    </row>
    <row r="32064" spans="6:8">
      <c r="H32064" t="s">
        <v>31943</v>
      </c>
    </row>
    <row r="32065" spans="6:8">
      <c r="H32065" t="s">
        <v>31944</v>
      </c>
    </row>
    <row r="32066" spans="6:8">
      <c r="H32066" t="s">
        <v>31944</v>
      </c>
    </row>
    <row r="32067" spans="6:8">
      <c r="H32067" t="s">
        <v>31945</v>
      </c>
    </row>
    <row r="32068" spans="6:8">
      <c r="H32068" t="s">
        <v>31945</v>
      </c>
    </row>
    <row r="32069" spans="6:8">
      <c r="H32069" t="s">
        <v>31946</v>
      </c>
    </row>
    <row r="32070" spans="6:8">
      <c r="H32070" t="s">
        <v>31946</v>
      </c>
    </row>
    <row r="32071" spans="6:8">
      <c r="H32071" t="s">
        <v>31947</v>
      </c>
    </row>
    <row r="32072" spans="6:8">
      <c r="H32072" t="s">
        <v>31948</v>
      </c>
    </row>
    <row r="32073" spans="6:8">
      <c r="F32073" t="s">
        <v>13875</v>
      </c>
      <c r="G32073" t="s">
        <v>17914</v>
      </c>
      <c r="H32073" t="s">
        <v>31941</v>
      </c>
    </row>
    <row r="32074" spans="6:8">
      <c r="H32074" t="s">
        <v>31941</v>
      </c>
    </row>
    <row r="32075" spans="6:8">
      <c r="H32075" t="s">
        <v>31942</v>
      </c>
    </row>
    <row r="32076" spans="6:8">
      <c r="H32076" t="s">
        <v>31942</v>
      </c>
    </row>
    <row r="32077" spans="6:8">
      <c r="H32077" t="s">
        <v>31943</v>
      </c>
    </row>
    <row r="32078" spans="6:8">
      <c r="H32078" t="s">
        <v>31943</v>
      </c>
    </row>
    <row r="32079" spans="6:8">
      <c r="H32079" t="s">
        <v>31944</v>
      </c>
    </row>
    <row r="32080" spans="6:8">
      <c r="H32080" t="s">
        <v>31944</v>
      </c>
    </row>
    <row r="32081" spans="6:8">
      <c r="H32081" t="s">
        <v>31945</v>
      </c>
    </row>
    <row r="32082" spans="6:8">
      <c r="H32082" t="s">
        <v>31945</v>
      </c>
    </row>
    <row r="32083" spans="6:8">
      <c r="H32083" t="s">
        <v>31946</v>
      </c>
    </row>
    <row r="32084" spans="6:8">
      <c r="H32084" t="s">
        <v>31946</v>
      </c>
    </row>
    <row r="32085" spans="6:8">
      <c r="H32085" t="s">
        <v>31947</v>
      </c>
    </row>
    <row r="32086" spans="6:8">
      <c r="H32086" t="s">
        <v>31948</v>
      </c>
    </row>
    <row r="32087" spans="6:8">
      <c r="F32087" t="s">
        <v>13876</v>
      </c>
      <c r="G32087" t="s">
        <v>17915</v>
      </c>
      <c r="H32087" t="s">
        <v>31941</v>
      </c>
    </row>
    <row r="32088" spans="6:8">
      <c r="H32088" t="s">
        <v>31941</v>
      </c>
    </row>
    <row r="32089" spans="6:8">
      <c r="H32089" t="s">
        <v>31942</v>
      </c>
    </row>
    <row r="32090" spans="6:8">
      <c r="H32090" t="s">
        <v>31942</v>
      </c>
    </row>
    <row r="32091" spans="6:8">
      <c r="H32091" t="s">
        <v>31943</v>
      </c>
    </row>
    <row r="32092" spans="6:8">
      <c r="H32092" t="s">
        <v>31943</v>
      </c>
    </row>
    <row r="32093" spans="6:8">
      <c r="H32093" t="s">
        <v>31944</v>
      </c>
    </row>
    <row r="32094" spans="6:8">
      <c r="H32094" t="s">
        <v>31944</v>
      </c>
    </row>
    <row r="32095" spans="6:8">
      <c r="H32095" t="s">
        <v>31945</v>
      </c>
    </row>
    <row r="32096" spans="6:8">
      <c r="H32096" t="s">
        <v>31945</v>
      </c>
    </row>
    <row r="32097" spans="6:8">
      <c r="H32097" t="s">
        <v>31946</v>
      </c>
    </row>
    <row r="32098" spans="6:8">
      <c r="H32098" t="s">
        <v>31946</v>
      </c>
    </row>
    <row r="32099" spans="6:8">
      <c r="H32099" t="s">
        <v>31947</v>
      </c>
    </row>
    <row r="32100" spans="6:8">
      <c r="H32100" t="s">
        <v>31948</v>
      </c>
    </row>
    <row r="32101" spans="6:8">
      <c r="F32101" t="s">
        <v>13877</v>
      </c>
      <c r="G32101" t="s">
        <v>17916</v>
      </c>
      <c r="H32101" t="s">
        <v>31941</v>
      </c>
    </row>
    <row r="32102" spans="6:8">
      <c r="H32102" t="s">
        <v>31941</v>
      </c>
    </row>
    <row r="32103" spans="6:8">
      <c r="H32103" t="s">
        <v>31942</v>
      </c>
    </row>
    <row r="32104" spans="6:8">
      <c r="H32104" t="s">
        <v>31942</v>
      </c>
    </row>
    <row r="32105" spans="6:8">
      <c r="H32105" t="s">
        <v>31943</v>
      </c>
    </row>
    <row r="32106" spans="6:8">
      <c r="H32106" t="s">
        <v>31943</v>
      </c>
    </row>
    <row r="32107" spans="6:8">
      <c r="H32107" t="s">
        <v>31944</v>
      </c>
    </row>
    <row r="32108" spans="6:8">
      <c r="H32108" t="s">
        <v>31944</v>
      </c>
    </row>
    <row r="32109" spans="6:8">
      <c r="H32109" t="s">
        <v>31945</v>
      </c>
    </row>
    <row r="32110" spans="6:8">
      <c r="H32110" t="s">
        <v>31945</v>
      </c>
    </row>
    <row r="32111" spans="6:8">
      <c r="H32111" t="s">
        <v>31946</v>
      </c>
    </row>
    <row r="32112" spans="6:8">
      <c r="H32112" t="s">
        <v>31946</v>
      </c>
    </row>
    <row r="32113" spans="6:8">
      <c r="H32113" t="s">
        <v>31947</v>
      </c>
    </row>
    <row r="32114" spans="6:8">
      <c r="H32114" t="s">
        <v>31948</v>
      </c>
    </row>
    <row r="32115" spans="6:8">
      <c r="F32115" t="s">
        <v>13878</v>
      </c>
      <c r="G32115" t="s">
        <v>17917</v>
      </c>
      <c r="H32115" t="s">
        <v>31941</v>
      </c>
    </row>
    <row r="32116" spans="6:8">
      <c r="H32116" t="s">
        <v>31941</v>
      </c>
    </row>
    <row r="32117" spans="6:8">
      <c r="H32117" t="s">
        <v>31942</v>
      </c>
    </row>
    <row r="32118" spans="6:8">
      <c r="H32118" t="s">
        <v>31942</v>
      </c>
    </row>
    <row r="32119" spans="6:8">
      <c r="H32119" t="s">
        <v>31943</v>
      </c>
    </row>
    <row r="32120" spans="6:8">
      <c r="H32120" t="s">
        <v>31943</v>
      </c>
    </row>
    <row r="32121" spans="6:8">
      <c r="H32121" t="s">
        <v>31944</v>
      </c>
    </row>
    <row r="32122" spans="6:8">
      <c r="H32122" t="s">
        <v>31944</v>
      </c>
    </row>
    <row r="32123" spans="6:8">
      <c r="H32123" t="s">
        <v>31945</v>
      </c>
    </row>
    <row r="32124" spans="6:8">
      <c r="H32124" t="s">
        <v>31945</v>
      </c>
    </row>
    <row r="32125" spans="6:8">
      <c r="H32125" t="s">
        <v>31946</v>
      </c>
    </row>
    <row r="32126" spans="6:8">
      <c r="H32126" t="s">
        <v>31946</v>
      </c>
    </row>
    <row r="32127" spans="6:8">
      <c r="H32127" t="s">
        <v>31947</v>
      </c>
    </row>
    <row r="32128" spans="6:8">
      <c r="H32128" t="s">
        <v>31948</v>
      </c>
    </row>
    <row r="32129" spans="6:8">
      <c r="F32129" t="s">
        <v>13879</v>
      </c>
      <c r="G32129" t="s">
        <v>17918</v>
      </c>
      <c r="H32129" t="s">
        <v>31949</v>
      </c>
    </row>
    <row r="32130" spans="6:8">
      <c r="H32130" t="s">
        <v>31950</v>
      </c>
    </row>
    <row r="32131" spans="6:8">
      <c r="H32131" t="s">
        <v>31950</v>
      </c>
    </row>
    <row r="32132" spans="6:8">
      <c r="H32132" t="s">
        <v>31951</v>
      </c>
    </row>
    <row r="32133" spans="6:8">
      <c r="H32133" t="s">
        <v>31951</v>
      </c>
    </row>
    <row r="32134" spans="6:8">
      <c r="H32134" t="s">
        <v>31952</v>
      </c>
    </row>
    <row r="32135" spans="6:8">
      <c r="H32135" t="s">
        <v>31952</v>
      </c>
    </row>
    <row r="32136" spans="6:8">
      <c r="H32136" t="s">
        <v>31953</v>
      </c>
    </row>
    <row r="32137" spans="6:8">
      <c r="H32137" t="s">
        <v>31953</v>
      </c>
    </row>
    <row r="32138" spans="6:8">
      <c r="H32138" t="s">
        <v>31954</v>
      </c>
    </row>
    <row r="32139" spans="6:8">
      <c r="H32139" t="s">
        <v>31954</v>
      </c>
    </row>
    <row r="32140" spans="6:8">
      <c r="H32140" t="s">
        <v>31947</v>
      </c>
    </row>
    <row r="32141" spans="6:8">
      <c r="H32141" t="s">
        <v>31948</v>
      </c>
    </row>
    <row r="32142" spans="6:8">
      <c r="F32142" t="s">
        <v>13880</v>
      </c>
      <c r="G32142" t="s">
        <v>17919</v>
      </c>
      <c r="H32142" t="s">
        <v>31941</v>
      </c>
    </row>
    <row r="32143" spans="6:8">
      <c r="H32143" t="s">
        <v>31941</v>
      </c>
    </row>
    <row r="32144" spans="6:8">
      <c r="H32144" t="s">
        <v>31942</v>
      </c>
    </row>
    <row r="32145" spans="6:8">
      <c r="H32145" t="s">
        <v>31942</v>
      </c>
    </row>
    <row r="32146" spans="6:8">
      <c r="H32146" t="s">
        <v>31943</v>
      </c>
    </row>
    <row r="32147" spans="6:8">
      <c r="H32147" t="s">
        <v>31943</v>
      </c>
    </row>
    <row r="32148" spans="6:8">
      <c r="H32148" t="s">
        <v>31944</v>
      </c>
    </row>
    <row r="32149" spans="6:8">
      <c r="H32149" t="s">
        <v>31944</v>
      </c>
    </row>
    <row r="32150" spans="6:8">
      <c r="H32150" t="s">
        <v>31945</v>
      </c>
    </row>
    <row r="32151" spans="6:8">
      <c r="H32151" t="s">
        <v>31945</v>
      </c>
    </row>
    <row r="32152" spans="6:8">
      <c r="H32152" t="s">
        <v>31946</v>
      </c>
    </row>
    <row r="32153" spans="6:8">
      <c r="H32153" t="s">
        <v>31946</v>
      </c>
    </row>
    <row r="32154" spans="6:8">
      <c r="H32154" t="s">
        <v>31947</v>
      </c>
    </row>
    <row r="32155" spans="6:8">
      <c r="H32155" t="s">
        <v>31948</v>
      </c>
    </row>
    <row r="32156" spans="6:8">
      <c r="F32156" t="s">
        <v>13881</v>
      </c>
      <c r="G32156" t="s">
        <v>17920</v>
      </c>
      <c r="H32156" t="s">
        <v>31941</v>
      </c>
    </row>
    <row r="32157" spans="6:8">
      <c r="H32157" t="s">
        <v>31941</v>
      </c>
    </row>
    <row r="32158" spans="6:8">
      <c r="H32158" t="s">
        <v>31942</v>
      </c>
    </row>
    <row r="32159" spans="6:8">
      <c r="H32159" t="s">
        <v>31942</v>
      </c>
    </row>
    <row r="32160" spans="6:8">
      <c r="H32160" t="s">
        <v>31943</v>
      </c>
    </row>
    <row r="32161" spans="6:8">
      <c r="H32161" t="s">
        <v>31943</v>
      </c>
    </row>
    <row r="32162" spans="6:8">
      <c r="H32162" t="s">
        <v>31944</v>
      </c>
    </row>
    <row r="32163" spans="6:8">
      <c r="H32163" t="s">
        <v>31944</v>
      </c>
    </row>
    <row r="32164" spans="6:8">
      <c r="H32164" t="s">
        <v>31945</v>
      </c>
    </row>
    <row r="32165" spans="6:8">
      <c r="H32165" t="s">
        <v>31945</v>
      </c>
    </row>
    <row r="32166" spans="6:8">
      <c r="H32166" t="s">
        <v>31946</v>
      </c>
    </row>
    <row r="32167" spans="6:8">
      <c r="H32167" t="s">
        <v>31946</v>
      </c>
    </row>
    <row r="32168" spans="6:8">
      <c r="H32168" t="s">
        <v>31947</v>
      </c>
    </row>
    <row r="32169" spans="6:8">
      <c r="H32169" t="s">
        <v>31948</v>
      </c>
    </row>
    <row r="32170" spans="6:8">
      <c r="F32170" t="s">
        <v>13882</v>
      </c>
      <c r="G32170" t="s">
        <v>17921</v>
      </c>
      <c r="H32170" t="s">
        <v>31941</v>
      </c>
    </row>
    <row r="32171" spans="6:8">
      <c r="H32171" t="s">
        <v>31941</v>
      </c>
    </row>
    <row r="32172" spans="6:8">
      <c r="H32172" t="s">
        <v>31942</v>
      </c>
    </row>
    <row r="32173" spans="6:8">
      <c r="H32173" t="s">
        <v>31942</v>
      </c>
    </row>
    <row r="32174" spans="6:8">
      <c r="H32174" t="s">
        <v>31943</v>
      </c>
    </row>
    <row r="32175" spans="6:8">
      <c r="H32175" t="s">
        <v>31943</v>
      </c>
    </row>
    <row r="32176" spans="6:8">
      <c r="H32176" t="s">
        <v>31944</v>
      </c>
    </row>
    <row r="32177" spans="6:8">
      <c r="H32177" t="s">
        <v>31944</v>
      </c>
    </row>
    <row r="32178" spans="6:8">
      <c r="H32178" t="s">
        <v>31945</v>
      </c>
    </row>
    <row r="32179" spans="6:8">
      <c r="H32179" t="s">
        <v>31945</v>
      </c>
    </row>
    <row r="32180" spans="6:8">
      <c r="H32180" t="s">
        <v>31946</v>
      </c>
    </row>
    <row r="32181" spans="6:8">
      <c r="H32181" t="s">
        <v>31946</v>
      </c>
    </row>
    <row r="32182" spans="6:8">
      <c r="H32182" t="s">
        <v>31947</v>
      </c>
    </row>
    <row r="32183" spans="6:8">
      <c r="H32183" t="s">
        <v>31948</v>
      </c>
    </row>
    <row r="32184" spans="6:8">
      <c r="F32184" t="s">
        <v>13883</v>
      </c>
      <c r="G32184" t="s">
        <v>17922</v>
      </c>
      <c r="H32184" t="s">
        <v>31941</v>
      </c>
    </row>
    <row r="32185" spans="6:8">
      <c r="H32185" t="s">
        <v>31941</v>
      </c>
    </row>
    <row r="32186" spans="6:8">
      <c r="H32186" t="s">
        <v>31942</v>
      </c>
    </row>
    <row r="32187" spans="6:8">
      <c r="H32187" t="s">
        <v>31942</v>
      </c>
    </row>
    <row r="32188" spans="6:8">
      <c r="H32188" t="s">
        <v>31943</v>
      </c>
    </row>
    <row r="32189" spans="6:8">
      <c r="H32189" t="s">
        <v>31943</v>
      </c>
    </row>
    <row r="32190" spans="6:8">
      <c r="H32190" t="s">
        <v>31944</v>
      </c>
    </row>
    <row r="32191" spans="6:8">
      <c r="H32191" t="s">
        <v>31944</v>
      </c>
    </row>
    <row r="32192" spans="6:8">
      <c r="H32192" t="s">
        <v>31945</v>
      </c>
    </row>
    <row r="32193" spans="6:8">
      <c r="H32193" t="s">
        <v>31945</v>
      </c>
    </row>
    <row r="32194" spans="6:8">
      <c r="H32194" t="s">
        <v>31946</v>
      </c>
    </row>
    <row r="32195" spans="6:8">
      <c r="H32195" t="s">
        <v>31946</v>
      </c>
    </row>
    <row r="32196" spans="6:8">
      <c r="H32196" t="s">
        <v>31947</v>
      </c>
    </row>
    <row r="32197" spans="6:8">
      <c r="H32197" t="s">
        <v>31948</v>
      </c>
    </row>
    <row r="32198" spans="6:8">
      <c r="F32198" t="s">
        <v>13884</v>
      </c>
      <c r="G32198" t="s">
        <v>17923</v>
      </c>
      <c r="H32198" t="s">
        <v>31941</v>
      </c>
    </row>
    <row r="32199" spans="6:8">
      <c r="H32199" t="s">
        <v>31941</v>
      </c>
    </row>
    <row r="32200" spans="6:8">
      <c r="H32200" t="s">
        <v>31942</v>
      </c>
    </row>
    <row r="32201" spans="6:8">
      <c r="H32201" t="s">
        <v>31942</v>
      </c>
    </row>
    <row r="32202" spans="6:8">
      <c r="H32202" t="s">
        <v>31943</v>
      </c>
    </row>
    <row r="32203" spans="6:8">
      <c r="H32203" t="s">
        <v>31943</v>
      </c>
    </row>
    <row r="32204" spans="6:8">
      <c r="H32204" t="s">
        <v>31944</v>
      </c>
    </row>
    <row r="32205" spans="6:8">
      <c r="H32205" t="s">
        <v>31944</v>
      </c>
    </row>
    <row r="32206" spans="6:8">
      <c r="H32206" t="s">
        <v>31947</v>
      </c>
    </row>
    <row r="32207" spans="6:8">
      <c r="H32207" t="s">
        <v>31948</v>
      </c>
    </row>
    <row r="32208" spans="6:8">
      <c r="F32208" t="s">
        <v>13885</v>
      </c>
      <c r="G32208" t="s">
        <v>17924</v>
      </c>
      <c r="H32208" t="s">
        <v>31941</v>
      </c>
    </row>
    <row r="32209" spans="6:8">
      <c r="H32209" t="s">
        <v>31941</v>
      </c>
    </row>
    <row r="32210" spans="6:8">
      <c r="H32210" t="s">
        <v>31942</v>
      </c>
    </row>
    <row r="32211" spans="6:8">
      <c r="H32211" t="s">
        <v>31942</v>
      </c>
    </row>
    <row r="32212" spans="6:8">
      <c r="H32212" t="s">
        <v>31943</v>
      </c>
    </row>
    <row r="32213" spans="6:8">
      <c r="H32213" t="s">
        <v>31943</v>
      </c>
    </row>
    <row r="32214" spans="6:8">
      <c r="H32214" t="s">
        <v>31944</v>
      </c>
    </row>
    <row r="32215" spans="6:8">
      <c r="H32215" t="s">
        <v>31944</v>
      </c>
    </row>
    <row r="32216" spans="6:8">
      <c r="H32216" t="s">
        <v>31945</v>
      </c>
    </row>
    <row r="32217" spans="6:8">
      <c r="H32217" t="s">
        <v>31945</v>
      </c>
    </row>
    <row r="32218" spans="6:8">
      <c r="H32218" t="s">
        <v>31946</v>
      </c>
    </row>
    <row r="32219" spans="6:8">
      <c r="H32219" t="s">
        <v>31946</v>
      </c>
    </row>
    <row r="32220" spans="6:8">
      <c r="H32220" t="s">
        <v>31947</v>
      </c>
    </row>
    <row r="32221" spans="6:8">
      <c r="H32221" t="s">
        <v>31948</v>
      </c>
    </row>
    <row r="32222" spans="6:8">
      <c r="F32222" t="s">
        <v>13886</v>
      </c>
      <c r="G32222" t="s">
        <v>17925</v>
      </c>
      <c r="H32222" t="s">
        <v>31941</v>
      </c>
    </row>
    <row r="32223" spans="6:8">
      <c r="H32223" t="s">
        <v>31941</v>
      </c>
    </row>
    <row r="32224" spans="6:8">
      <c r="H32224" t="s">
        <v>31942</v>
      </c>
    </row>
    <row r="32225" spans="1:8">
      <c r="H32225" t="s">
        <v>31942</v>
      </c>
    </row>
    <row r="32226" spans="1:8">
      <c r="H32226" t="s">
        <v>31943</v>
      </c>
    </row>
    <row r="32227" spans="1:8">
      <c r="H32227" t="s">
        <v>31943</v>
      </c>
    </row>
    <row r="32228" spans="1:8">
      <c r="H32228" t="s">
        <v>31944</v>
      </c>
    </row>
    <row r="32229" spans="1:8">
      <c r="H32229" t="s">
        <v>31944</v>
      </c>
    </row>
    <row r="32230" spans="1:8">
      <c r="H32230" t="s">
        <v>31945</v>
      </c>
    </row>
    <row r="32231" spans="1:8">
      <c r="H32231" t="s">
        <v>31945</v>
      </c>
    </row>
    <row r="32232" spans="1:8">
      <c r="H32232" t="s">
        <v>31946</v>
      </c>
    </row>
    <row r="32233" spans="1:8">
      <c r="H32233" t="s">
        <v>31946</v>
      </c>
    </row>
    <row r="32234" spans="1:8">
      <c r="H32234" t="s">
        <v>31947</v>
      </c>
    </row>
    <row r="32235" spans="1:8">
      <c r="H32235" t="s">
        <v>31948</v>
      </c>
    </row>
    <row r="32236" spans="1:8">
      <c r="A32236" t="s">
        <v>2503</v>
      </c>
      <c r="B32236">
        <f>HYPERLINK("https://android.googlesource.com/platform/cts/+/9071aecab39f54bafa68d664252ceba3e81f245e", "9071aecab39f54bafa68d664252ceba3e81f245e")</f>
        <v>0</v>
      </c>
      <c r="C32236">
        <f>HYPERLINK("https://android.googlesource.com/platform/cts/+/6d8dcb3f50cae8f79f33d3491d0bbc7566af3601", "6d8dcb3f50cae8f79f33d3491d0bbc7566af3601")</f>
        <v>0</v>
      </c>
      <c r="D32236" t="s">
        <v>5407</v>
      </c>
      <c r="E32236" t="s">
        <v>8232</v>
      </c>
      <c r="F32236" t="s">
        <v>13887</v>
      </c>
      <c r="G32236" t="s">
        <v>17319</v>
      </c>
      <c r="H32236" t="s">
        <v>31955</v>
      </c>
    </row>
    <row r="32237" spans="1:8">
      <c r="H32237" t="s">
        <v>31956</v>
      </c>
    </row>
    <row r="32238" spans="1:8">
      <c r="H32238" t="s">
        <v>31957</v>
      </c>
    </row>
    <row r="32239" spans="1:8">
      <c r="H32239" t="s">
        <v>31958</v>
      </c>
    </row>
    <row r="32240" spans="1:8">
      <c r="H32240" t="s">
        <v>31959</v>
      </c>
    </row>
    <row r="32241" spans="1:8">
      <c r="H32241" t="s">
        <v>31960</v>
      </c>
    </row>
    <row r="32242" spans="1:8">
      <c r="A32242" t="s">
        <v>2504</v>
      </c>
      <c r="B32242">
        <f>HYPERLINK("https://android.googlesource.com/platform/cts/+/4147d599c8568e8d1e5a01b932b5fba7ef630f6c", "4147d599c8568e8d1e5a01b932b5fba7ef630f6c")</f>
        <v>0</v>
      </c>
      <c r="C32242">
        <f>HYPERLINK("https://android.googlesource.com/platform/cts/+/3838652df170db625544812a3e327b43b1b66d79", "3838652df170db625544812a3e327b43b1b66d79")</f>
        <v>0</v>
      </c>
      <c r="D32242" t="s">
        <v>5307</v>
      </c>
      <c r="E32242" t="s">
        <v>8233</v>
      </c>
      <c r="F32242" t="s">
        <v>13333</v>
      </c>
      <c r="G32242" t="s">
        <v>17463</v>
      </c>
      <c r="H32242" t="s">
        <v>31961</v>
      </c>
    </row>
    <row r="32243" spans="1:8">
      <c r="A32243" t="s">
        <v>2505</v>
      </c>
      <c r="B32243">
        <f>HYPERLINK("https://android.googlesource.com/platform/cts/+/34c1669f7d1b7d2d3248f999b04ced79c6da4c28", "34c1669f7d1b7d2d3248f999b04ced79c6da4c28")</f>
        <v>0</v>
      </c>
      <c r="C32243">
        <f>HYPERLINK("https://android.googlesource.com/platform/cts/+/0d87fda7c9078320c6efa0a06abd20cf24375222", "0d87fda7c9078320c6efa0a06abd20cf24375222")</f>
        <v>0</v>
      </c>
      <c r="D32243" t="s">
        <v>4949</v>
      </c>
      <c r="E32243" t="s">
        <v>8234</v>
      </c>
      <c r="F32243" t="s">
        <v>13767</v>
      </c>
      <c r="G32243" t="s">
        <v>17824</v>
      </c>
      <c r="H32243" t="s">
        <v>31962</v>
      </c>
    </row>
    <row r="32244" spans="1:8">
      <c r="F32244" t="s">
        <v>13888</v>
      </c>
      <c r="G32244" t="s">
        <v>15054</v>
      </c>
      <c r="H32244" t="s">
        <v>31963</v>
      </c>
    </row>
    <row r="32245" spans="1:8">
      <c r="H32245" t="s">
        <v>31964</v>
      </c>
    </row>
    <row r="32246" spans="1:8">
      <c r="A32246" t="s">
        <v>2508</v>
      </c>
      <c r="B32246">
        <f>HYPERLINK("https://android.googlesource.com/platform/cts/+/79eec7ff7f65bce1814caa145de48c6d89b6a7f4", "79eec7ff7f65bce1814caa145de48c6d89b6a7f4")</f>
        <v>0</v>
      </c>
      <c r="C32246">
        <f>HYPERLINK("https://android.googlesource.com/platform/cts/+/c81749d27631ff706e0bd6e061f5f85405a4b0c5", "c81749d27631ff706e0bd6e061f5f85405a4b0c5")</f>
        <v>0</v>
      </c>
      <c r="D32246" t="s">
        <v>5408</v>
      </c>
      <c r="E32246" t="s">
        <v>8237</v>
      </c>
      <c r="F32246" t="s">
        <v>13160</v>
      </c>
      <c r="G32246" t="s">
        <v>17311</v>
      </c>
      <c r="H32246" t="s">
        <v>31965</v>
      </c>
    </row>
    <row r="32247" spans="1:8">
      <c r="A32247" t="s">
        <v>2509</v>
      </c>
      <c r="B32247">
        <f>HYPERLINK("https://android.googlesource.com/platform/cts/+/e28f1d138f354f3e32bb7f180ca8dcac807ba98e", "e28f1d138f354f3e32bb7f180ca8dcac807ba98e")</f>
        <v>0</v>
      </c>
      <c r="C32247">
        <f>HYPERLINK("https://android.googlesource.com/platform/cts/+/4c9697d822f0b595d7f53f27001ed94e57d95754", "4c9697d822f0b595d7f53f27001ed94e57d95754")</f>
        <v>0</v>
      </c>
      <c r="D32247" t="s">
        <v>5390</v>
      </c>
      <c r="E32247" t="s">
        <v>8238</v>
      </c>
      <c r="F32247" t="s">
        <v>13837</v>
      </c>
      <c r="G32247" t="s">
        <v>17880</v>
      </c>
      <c r="H32247" t="s">
        <v>31966</v>
      </c>
    </row>
    <row r="32248" spans="1:8">
      <c r="H32248" t="s">
        <v>31967</v>
      </c>
    </row>
    <row r="32249" spans="1:8">
      <c r="H32249" t="s">
        <v>31968</v>
      </c>
    </row>
    <row r="32250" spans="1:8">
      <c r="H32250" t="s">
        <v>31969</v>
      </c>
    </row>
    <row r="32251" spans="1:8">
      <c r="H32251" t="s">
        <v>31969</v>
      </c>
    </row>
    <row r="32252" spans="1:8">
      <c r="H32252" t="s">
        <v>31970</v>
      </c>
    </row>
    <row r="32253" spans="1:8">
      <c r="H32253" t="s">
        <v>31971</v>
      </c>
    </row>
    <row r="32254" spans="1:8">
      <c r="H32254" t="s">
        <v>31972</v>
      </c>
    </row>
    <row r="32255" spans="1:8">
      <c r="H32255" t="s">
        <v>31973</v>
      </c>
    </row>
    <row r="32256" spans="1:8">
      <c r="H32256" t="s">
        <v>31974</v>
      </c>
    </row>
    <row r="32257" spans="1:8">
      <c r="H32257" t="s">
        <v>31975</v>
      </c>
    </row>
    <row r="32258" spans="1:8">
      <c r="H32258" t="s">
        <v>31976</v>
      </c>
    </row>
    <row r="32259" spans="1:8">
      <c r="H32259" t="s">
        <v>31977</v>
      </c>
    </row>
    <row r="32260" spans="1:8">
      <c r="H32260" t="s">
        <v>31972</v>
      </c>
    </row>
    <row r="32261" spans="1:8">
      <c r="H32261" t="s">
        <v>31973</v>
      </c>
    </row>
    <row r="32262" spans="1:8">
      <c r="H32262" t="s">
        <v>31978</v>
      </c>
    </row>
    <row r="32263" spans="1:8">
      <c r="H32263" t="s">
        <v>31979</v>
      </c>
    </row>
    <row r="32264" spans="1:8">
      <c r="H32264" t="s">
        <v>31972</v>
      </c>
    </row>
    <row r="32265" spans="1:8">
      <c r="H32265" t="s">
        <v>31973</v>
      </c>
    </row>
    <row r="32266" spans="1:8">
      <c r="A32266" t="s">
        <v>2510</v>
      </c>
      <c r="B32266">
        <f>HYPERLINK("https://android.googlesource.com/platform/cts/+/d16a6954d193197a171635e8eb913fad85b547ce", "d16a6954d193197a171635e8eb913fad85b547ce")</f>
        <v>0</v>
      </c>
      <c r="C32266">
        <f>HYPERLINK("https://android.googlesource.com/platform/cts/+/e17f395c22a7b70e237bac66db84d0f22d4b65dd", "e17f395c22a7b70e237bac66db84d0f22d4b65dd")</f>
        <v>0</v>
      </c>
      <c r="D32266" t="s">
        <v>5409</v>
      </c>
      <c r="E32266" t="s">
        <v>8239</v>
      </c>
      <c r="F32266" t="s">
        <v>12629</v>
      </c>
      <c r="G32266" t="s">
        <v>16838</v>
      </c>
      <c r="H32266" t="s">
        <v>31980</v>
      </c>
    </row>
    <row r="32267" spans="1:8">
      <c r="A32267" t="s">
        <v>2512</v>
      </c>
      <c r="B32267">
        <f>HYPERLINK("https://android.googlesource.com/platform/cts/+/c7a5d5a5d3e6f6a6e7e05f93f4ed848ec49a687f", "c7a5d5a5d3e6f6a6e7e05f93f4ed848ec49a687f")</f>
        <v>0</v>
      </c>
      <c r="C32267">
        <f>HYPERLINK("https://android.googlesource.com/platform/cts/+/5d88e09414e0b0a1b5acbac306ea614d5087da60", "5d88e09414e0b0a1b5acbac306ea614d5087da60")</f>
        <v>0</v>
      </c>
      <c r="D32267" t="s">
        <v>4981</v>
      </c>
      <c r="E32267" t="s">
        <v>8241</v>
      </c>
      <c r="F32267" t="s">
        <v>13727</v>
      </c>
      <c r="G32267" t="s">
        <v>17789</v>
      </c>
      <c r="H32267" t="s">
        <v>31981</v>
      </c>
    </row>
    <row r="32268" spans="1:8">
      <c r="F32268" t="s">
        <v>13889</v>
      </c>
      <c r="G32268" t="s">
        <v>17926</v>
      </c>
      <c r="H32268" t="s">
        <v>31982</v>
      </c>
    </row>
    <row r="32269" spans="1:8">
      <c r="F32269" t="s">
        <v>13890</v>
      </c>
      <c r="G32269" t="s">
        <v>17927</v>
      </c>
      <c r="H32269" t="s">
        <v>31983</v>
      </c>
    </row>
    <row r="32270" spans="1:8">
      <c r="F32270" t="s">
        <v>13764</v>
      </c>
      <c r="G32270" t="s">
        <v>17821</v>
      </c>
      <c r="H32270" t="s">
        <v>18863</v>
      </c>
    </row>
    <row r="32271" spans="1:8">
      <c r="F32271" t="s">
        <v>13775</v>
      </c>
      <c r="G32271" t="s">
        <v>17830</v>
      </c>
      <c r="H32271" t="s">
        <v>31984</v>
      </c>
    </row>
    <row r="32272" spans="1:8">
      <c r="F32272" t="s">
        <v>13678</v>
      </c>
      <c r="G32272" t="s">
        <v>17748</v>
      </c>
      <c r="H32272" t="s">
        <v>31984</v>
      </c>
    </row>
    <row r="32273" spans="1:8">
      <c r="F32273" t="s">
        <v>13891</v>
      </c>
      <c r="G32273" t="s">
        <v>17928</v>
      </c>
      <c r="H32273" t="s">
        <v>31985</v>
      </c>
    </row>
    <row r="32274" spans="1:8">
      <c r="A32274" t="s">
        <v>2513</v>
      </c>
      <c r="B32274">
        <f>HYPERLINK("https://android.googlesource.com/platform/cts/+/5e0dc711c30ce63e32dd1a25be36a44f879e84c3", "5e0dc711c30ce63e32dd1a25be36a44f879e84c3")</f>
        <v>0</v>
      </c>
      <c r="C32274">
        <f>HYPERLINK("https://android.googlesource.com/platform/cts/+/aa6f7390b80d198fc6915508d5727af1dd2dd165", "aa6f7390b80d198fc6915508d5727af1dd2dd165")</f>
        <v>0</v>
      </c>
      <c r="D32274" t="s">
        <v>5118</v>
      </c>
      <c r="E32274" t="s">
        <v>8242</v>
      </c>
      <c r="F32274" t="s">
        <v>13835</v>
      </c>
      <c r="G32274" t="s">
        <v>17878</v>
      </c>
      <c r="H32274" t="s">
        <v>31986</v>
      </c>
    </row>
    <row r="32275" spans="1:8">
      <c r="A32275" t="s">
        <v>2514</v>
      </c>
      <c r="B32275">
        <f>HYPERLINK("https://android.googlesource.com/platform/cts/+/645abc071d32c735aab709399a26c692c713e4cc", "645abc071d32c735aab709399a26c692c713e4cc")</f>
        <v>0</v>
      </c>
      <c r="C32275">
        <f>HYPERLINK("https://android.googlesource.com/platform/cts/+/e2120927920ea00443d6466db07f67628d11edff", "e2120927920ea00443d6466db07f67628d11edff")</f>
        <v>0</v>
      </c>
      <c r="D32275" t="s">
        <v>5400</v>
      </c>
      <c r="E32275" t="s">
        <v>8243</v>
      </c>
      <c r="F32275" t="s">
        <v>13892</v>
      </c>
      <c r="G32275" t="s">
        <v>17929</v>
      </c>
      <c r="H32275" t="s">
        <v>31987</v>
      </c>
    </row>
    <row r="32276" spans="1:8">
      <c r="A32276" t="s">
        <v>2515</v>
      </c>
      <c r="B32276">
        <f>HYPERLINK("https://android.googlesource.com/platform/cts/+/b339a858b63996d5ccc12bd0aa9fded9162b5fb8", "b339a858b63996d5ccc12bd0aa9fded9162b5fb8")</f>
        <v>0</v>
      </c>
      <c r="C32276">
        <f>HYPERLINK("https://android.googlesource.com/platform/cts/+/a5396d3130da17581a2adb35f6963f4d1a4558f1", "a5396d3130da17581a2adb35f6963f4d1a4558f1")</f>
        <v>0</v>
      </c>
      <c r="D32276" t="s">
        <v>5390</v>
      </c>
      <c r="E32276" t="s">
        <v>8244</v>
      </c>
      <c r="F32276" t="s">
        <v>13837</v>
      </c>
      <c r="G32276" t="s">
        <v>17880</v>
      </c>
      <c r="H32276" t="s">
        <v>31966</v>
      </c>
    </row>
    <row r="32277" spans="1:8">
      <c r="H32277" t="s">
        <v>31967</v>
      </c>
    </row>
    <row r="32278" spans="1:8">
      <c r="H32278" t="s">
        <v>31968</v>
      </c>
    </row>
    <row r="32279" spans="1:8">
      <c r="H32279" t="s">
        <v>31969</v>
      </c>
    </row>
    <row r="32280" spans="1:8">
      <c r="H32280" t="s">
        <v>31969</v>
      </c>
    </row>
    <row r="32281" spans="1:8">
      <c r="H32281" t="s">
        <v>31970</v>
      </c>
    </row>
    <row r="32282" spans="1:8">
      <c r="H32282" t="s">
        <v>31971</v>
      </c>
    </row>
    <row r="32283" spans="1:8">
      <c r="H32283" t="s">
        <v>31972</v>
      </c>
    </row>
    <row r="32284" spans="1:8">
      <c r="H32284" t="s">
        <v>31973</v>
      </c>
    </row>
    <row r="32285" spans="1:8">
      <c r="H32285" t="s">
        <v>31974</v>
      </c>
    </row>
    <row r="32286" spans="1:8">
      <c r="H32286" t="s">
        <v>31975</v>
      </c>
    </row>
    <row r="32287" spans="1:8">
      <c r="H32287" t="s">
        <v>31976</v>
      </c>
    </row>
    <row r="32288" spans="1:8">
      <c r="H32288" t="s">
        <v>31977</v>
      </c>
    </row>
    <row r="32289" spans="1:8">
      <c r="H32289" t="s">
        <v>31972</v>
      </c>
    </row>
    <row r="32290" spans="1:8">
      <c r="H32290" t="s">
        <v>31973</v>
      </c>
    </row>
    <row r="32291" spans="1:8">
      <c r="H32291" t="s">
        <v>31978</v>
      </c>
    </row>
    <row r="32292" spans="1:8">
      <c r="H32292" t="s">
        <v>31979</v>
      </c>
    </row>
    <row r="32293" spans="1:8">
      <c r="H32293" t="s">
        <v>31972</v>
      </c>
    </row>
    <row r="32294" spans="1:8">
      <c r="H32294" t="s">
        <v>31973</v>
      </c>
    </row>
    <row r="32295" spans="1:8">
      <c r="A32295" t="s">
        <v>2516</v>
      </c>
      <c r="B32295">
        <f>HYPERLINK("https://android.googlesource.com/platform/cts/+/e63ece3278eab43bea6ffab48326d60103d0e79e", "e63ece3278eab43bea6ffab48326d60103d0e79e")</f>
        <v>0</v>
      </c>
      <c r="C32295">
        <f>HYPERLINK("https://android.googlesource.com/platform/cts/+/aa6f7390b80d198fc6915508d5727af1dd2dd165", "aa6f7390b80d198fc6915508d5727af1dd2dd165")</f>
        <v>0</v>
      </c>
      <c r="D32295" t="s">
        <v>5180</v>
      </c>
      <c r="E32295" t="s">
        <v>8245</v>
      </c>
      <c r="F32295" t="s">
        <v>13506</v>
      </c>
      <c r="G32295" t="s">
        <v>17623</v>
      </c>
      <c r="H32295" t="s">
        <v>31988</v>
      </c>
    </row>
    <row r="32296" spans="1:8">
      <c r="F32296" t="s">
        <v>13893</v>
      </c>
      <c r="G32296" t="s">
        <v>17930</v>
      </c>
      <c r="H32296" t="s">
        <v>31989</v>
      </c>
    </row>
    <row r="32297" spans="1:8">
      <c r="H32297" t="s">
        <v>31990</v>
      </c>
    </row>
    <row r="32298" spans="1:8">
      <c r="H32298" t="s">
        <v>31991</v>
      </c>
    </row>
    <row r="32299" spans="1:8">
      <c r="A32299" t="s">
        <v>2517</v>
      </c>
      <c r="B32299">
        <f>HYPERLINK("https://android.googlesource.com/platform/cts/+/2b3f20dd424487d034bfdb84e7f5587b34c1d314", "2b3f20dd424487d034bfdb84e7f5587b34c1d314")</f>
        <v>0</v>
      </c>
      <c r="C32299">
        <f>HYPERLINK("https://android.googlesource.com/platform/cts/+/17a6893c375da8129c2e75361bafac83432f4e6d", "17a6893c375da8129c2e75361bafac83432f4e6d")</f>
        <v>0</v>
      </c>
      <c r="D32299" t="s">
        <v>5332</v>
      </c>
      <c r="E32299" t="s">
        <v>8246</v>
      </c>
      <c r="F32299" t="s">
        <v>13894</v>
      </c>
      <c r="G32299" t="s">
        <v>17931</v>
      </c>
      <c r="H32299" t="s">
        <v>31992</v>
      </c>
    </row>
    <row r="32300" spans="1:8">
      <c r="A32300" t="s">
        <v>2519</v>
      </c>
      <c r="B32300">
        <f>HYPERLINK("https://android.googlesource.com/platform/cts/+/ceb4aa2d26c9d25ce722ed2008731afb44b499aa", "ceb4aa2d26c9d25ce722ed2008731afb44b499aa")</f>
        <v>0</v>
      </c>
      <c r="C32300">
        <f>HYPERLINK("https://android.googlesource.com/platform/cts/+/c1c0a720de8609d6fd4da736edb1cbf4c0ceeacc", "c1c0a720de8609d6fd4da736edb1cbf4c0ceeacc")</f>
        <v>0</v>
      </c>
      <c r="D32300" t="s">
        <v>5410</v>
      </c>
      <c r="E32300" t="s">
        <v>8248</v>
      </c>
      <c r="F32300" t="s">
        <v>13895</v>
      </c>
      <c r="G32300" t="s">
        <v>17932</v>
      </c>
      <c r="H32300" t="s">
        <v>31993</v>
      </c>
    </row>
    <row r="32301" spans="1:8">
      <c r="H32301" t="s">
        <v>31994</v>
      </c>
    </row>
    <row r="32302" spans="1:8">
      <c r="F32302" t="s">
        <v>13896</v>
      </c>
      <c r="G32302" t="s">
        <v>17933</v>
      </c>
      <c r="H32302" t="s">
        <v>18829</v>
      </c>
    </row>
    <row r="32303" spans="1:8">
      <c r="H32303" t="s">
        <v>18863</v>
      </c>
    </row>
    <row r="32304" spans="1:8">
      <c r="H32304" t="s">
        <v>31995</v>
      </c>
    </row>
    <row r="32305" spans="6:8">
      <c r="H32305" t="s">
        <v>31996</v>
      </c>
    </row>
    <row r="32306" spans="6:8">
      <c r="H32306" t="s">
        <v>31997</v>
      </c>
    </row>
    <row r="32307" spans="6:8">
      <c r="H32307" t="s">
        <v>31998</v>
      </c>
    </row>
    <row r="32308" spans="6:8">
      <c r="H32308" t="s">
        <v>31999</v>
      </c>
    </row>
    <row r="32309" spans="6:8">
      <c r="H32309" t="s">
        <v>32000</v>
      </c>
    </row>
    <row r="32310" spans="6:8">
      <c r="H32310" t="s">
        <v>32001</v>
      </c>
    </row>
    <row r="32311" spans="6:8">
      <c r="H32311" t="s">
        <v>32002</v>
      </c>
    </row>
    <row r="32312" spans="6:8">
      <c r="H32312" t="s">
        <v>32003</v>
      </c>
    </row>
    <row r="32313" spans="6:8">
      <c r="H32313" t="s">
        <v>32004</v>
      </c>
    </row>
    <row r="32314" spans="6:8">
      <c r="H32314" t="s">
        <v>32005</v>
      </c>
    </row>
    <row r="32315" spans="6:8">
      <c r="H32315" t="s">
        <v>32006</v>
      </c>
    </row>
    <row r="32316" spans="6:8">
      <c r="H32316" t="s">
        <v>32007</v>
      </c>
    </row>
    <row r="32317" spans="6:8">
      <c r="F32317" t="s">
        <v>13739</v>
      </c>
      <c r="G32317" t="s">
        <v>17799</v>
      </c>
      <c r="H32317" t="s">
        <v>18829</v>
      </c>
    </row>
    <row r="32318" spans="6:8">
      <c r="H32318" t="s">
        <v>18863</v>
      </c>
    </row>
    <row r="32319" spans="6:8">
      <c r="H32319" t="s">
        <v>32008</v>
      </c>
    </row>
    <row r="32320" spans="6:8">
      <c r="H32320" t="s">
        <v>32009</v>
      </c>
    </row>
    <row r="32321" spans="8:8">
      <c r="H32321" t="s">
        <v>32010</v>
      </c>
    </row>
    <row r="32322" spans="8:8">
      <c r="H32322" t="s">
        <v>32011</v>
      </c>
    </row>
    <row r="32323" spans="8:8">
      <c r="H32323" t="s">
        <v>32012</v>
      </c>
    </row>
    <row r="32324" spans="8:8">
      <c r="H32324" t="s">
        <v>32013</v>
      </c>
    </row>
    <row r="32325" spans="8:8">
      <c r="H32325" t="s">
        <v>32014</v>
      </c>
    </row>
    <row r="32326" spans="8:8">
      <c r="H32326" t="s">
        <v>32015</v>
      </c>
    </row>
    <row r="32327" spans="8:8">
      <c r="H32327" t="s">
        <v>18893</v>
      </c>
    </row>
    <row r="32328" spans="8:8">
      <c r="H32328" t="s">
        <v>32016</v>
      </c>
    </row>
    <row r="32329" spans="8:8">
      <c r="H32329" t="s">
        <v>32017</v>
      </c>
    </row>
    <row r="32330" spans="8:8">
      <c r="H32330" t="s">
        <v>32018</v>
      </c>
    </row>
    <row r="32331" spans="8:8">
      <c r="H32331" t="s">
        <v>31300</v>
      </c>
    </row>
    <row r="32332" spans="8:8">
      <c r="H32332" t="s">
        <v>32019</v>
      </c>
    </row>
    <row r="32333" spans="8:8">
      <c r="H32333" t="s">
        <v>32020</v>
      </c>
    </row>
    <row r="32334" spans="8:8">
      <c r="H32334" t="s">
        <v>32021</v>
      </c>
    </row>
    <row r="32335" spans="8:8">
      <c r="H32335" t="s">
        <v>32022</v>
      </c>
    </row>
    <row r="32336" spans="8:8">
      <c r="H32336" t="s">
        <v>32023</v>
      </c>
    </row>
    <row r="32337" spans="8:8">
      <c r="H32337" t="s">
        <v>32024</v>
      </c>
    </row>
    <row r="32338" spans="8:8">
      <c r="H32338" t="s">
        <v>32025</v>
      </c>
    </row>
    <row r="32339" spans="8:8">
      <c r="H32339" t="s">
        <v>32026</v>
      </c>
    </row>
    <row r="32340" spans="8:8">
      <c r="H32340" t="s">
        <v>32027</v>
      </c>
    </row>
    <row r="32341" spans="8:8">
      <c r="H32341" t="s">
        <v>32028</v>
      </c>
    </row>
    <row r="32342" spans="8:8">
      <c r="H32342" t="s">
        <v>32029</v>
      </c>
    </row>
    <row r="32343" spans="8:8">
      <c r="H32343" t="s">
        <v>32030</v>
      </c>
    </row>
    <row r="32344" spans="8:8">
      <c r="H32344" t="s">
        <v>32031</v>
      </c>
    </row>
    <row r="32345" spans="8:8">
      <c r="H32345" t="s">
        <v>30170</v>
      </c>
    </row>
    <row r="32346" spans="8:8">
      <c r="H32346" t="s">
        <v>32032</v>
      </c>
    </row>
    <row r="32347" spans="8:8">
      <c r="H32347" t="s">
        <v>32033</v>
      </c>
    </row>
    <row r="32348" spans="8:8">
      <c r="H32348" t="s">
        <v>32034</v>
      </c>
    </row>
    <row r="32349" spans="8:8">
      <c r="H32349" t="s">
        <v>32035</v>
      </c>
    </row>
    <row r="32350" spans="8:8">
      <c r="H32350" t="s">
        <v>32036</v>
      </c>
    </row>
    <row r="32351" spans="8:8">
      <c r="H32351" t="s">
        <v>32037</v>
      </c>
    </row>
    <row r="32352" spans="8:8">
      <c r="H32352" t="s">
        <v>32038</v>
      </c>
    </row>
    <row r="32353" spans="8:8">
      <c r="H32353" t="s">
        <v>32039</v>
      </c>
    </row>
    <row r="32354" spans="8:8">
      <c r="H32354" t="s">
        <v>32040</v>
      </c>
    </row>
    <row r="32355" spans="8:8">
      <c r="H32355" t="s">
        <v>32041</v>
      </c>
    </row>
    <row r="32356" spans="8:8">
      <c r="H32356" t="s">
        <v>32042</v>
      </c>
    </row>
    <row r="32357" spans="8:8">
      <c r="H32357" t="s">
        <v>32043</v>
      </c>
    </row>
    <row r="32358" spans="8:8">
      <c r="H32358" t="s">
        <v>32044</v>
      </c>
    </row>
    <row r="32359" spans="8:8">
      <c r="H32359" t="s">
        <v>32045</v>
      </c>
    </row>
    <row r="32360" spans="8:8">
      <c r="H32360" t="s">
        <v>32046</v>
      </c>
    </row>
    <row r="32361" spans="8:8">
      <c r="H32361" t="s">
        <v>32047</v>
      </c>
    </row>
    <row r="32362" spans="8:8">
      <c r="H32362" t="s">
        <v>32048</v>
      </c>
    </row>
    <row r="32363" spans="8:8">
      <c r="H32363" t="s">
        <v>32049</v>
      </c>
    </row>
    <row r="32364" spans="8:8">
      <c r="H32364" t="s">
        <v>32050</v>
      </c>
    </row>
    <row r="32365" spans="8:8">
      <c r="H32365" t="s">
        <v>32051</v>
      </c>
    </row>
    <row r="32366" spans="8:8">
      <c r="H32366" t="s">
        <v>32052</v>
      </c>
    </row>
    <row r="32367" spans="8:8">
      <c r="H32367" t="s">
        <v>32053</v>
      </c>
    </row>
    <row r="32368" spans="8:8">
      <c r="H32368" t="s">
        <v>32054</v>
      </c>
    </row>
    <row r="32369" spans="8:8">
      <c r="H32369" t="s">
        <v>32055</v>
      </c>
    </row>
    <row r="32370" spans="8:8">
      <c r="H32370" t="s">
        <v>32056</v>
      </c>
    </row>
    <row r="32371" spans="8:8">
      <c r="H32371" t="s">
        <v>32057</v>
      </c>
    </row>
    <row r="32372" spans="8:8">
      <c r="H32372" t="s">
        <v>32058</v>
      </c>
    </row>
    <row r="32373" spans="8:8">
      <c r="H32373" t="s">
        <v>32059</v>
      </c>
    </row>
    <row r="32374" spans="8:8">
      <c r="H32374" t="s">
        <v>32060</v>
      </c>
    </row>
    <row r="32375" spans="8:8">
      <c r="H32375" t="s">
        <v>32061</v>
      </c>
    </row>
    <row r="32376" spans="8:8">
      <c r="H32376" t="s">
        <v>32062</v>
      </c>
    </row>
    <row r="32377" spans="8:8">
      <c r="H32377" t="s">
        <v>32063</v>
      </c>
    </row>
    <row r="32378" spans="8:8">
      <c r="H32378" t="s">
        <v>32064</v>
      </c>
    </row>
    <row r="32379" spans="8:8">
      <c r="H32379" t="s">
        <v>32065</v>
      </c>
    </row>
    <row r="32380" spans="8:8">
      <c r="H32380" t="s">
        <v>32066</v>
      </c>
    </row>
    <row r="32381" spans="8:8">
      <c r="H32381" t="s">
        <v>32067</v>
      </c>
    </row>
    <row r="32382" spans="8:8">
      <c r="H32382" t="s">
        <v>32068</v>
      </c>
    </row>
    <row r="32383" spans="8:8">
      <c r="H32383" t="s">
        <v>32069</v>
      </c>
    </row>
    <row r="32384" spans="8:8">
      <c r="H32384" t="s">
        <v>32070</v>
      </c>
    </row>
    <row r="32385" spans="8:8">
      <c r="H32385" t="s">
        <v>32071</v>
      </c>
    </row>
    <row r="32386" spans="8:8">
      <c r="H32386" t="s">
        <v>32072</v>
      </c>
    </row>
    <row r="32387" spans="8:8">
      <c r="H32387" t="s">
        <v>32073</v>
      </c>
    </row>
    <row r="32388" spans="8:8">
      <c r="H32388" t="s">
        <v>32074</v>
      </c>
    </row>
    <row r="32389" spans="8:8">
      <c r="H32389" t="s">
        <v>32075</v>
      </c>
    </row>
    <row r="32390" spans="8:8">
      <c r="H32390" t="s">
        <v>32076</v>
      </c>
    </row>
    <row r="32391" spans="8:8">
      <c r="H32391" t="s">
        <v>32077</v>
      </c>
    </row>
    <row r="32392" spans="8:8">
      <c r="H32392" t="s">
        <v>32078</v>
      </c>
    </row>
    <row r="32393" spans="8:8">
      <c r="H32393" t="s">
        <v>32078</v>
      </c>
    </row>
    <row r="32394" spans="8:8">
      <c r="H32394" t="s">
        <v>32079</v>
      </c>
    </row>
    <row r="32395" spans="8:8">
      <c r="H32395" t="s">
        <v>32079</v>
      </c>
    </row>
    <row r="32396" spans="8:8">
      <c r="H32396" t="s">
        <v>26401</v>
      </c>
    </row>
    <row r="32397" spans="8:8">
      <c r="H32397" t="s">
        <v>32080</v>
      </c>
    </row>
    <row r="32398" spans="8:8">
      <c r="H32398" t="s">
        <v>32081</v>
      </c>
    </row>
    <row r="32399" spans="8:8">
      <c r="H32399" t="s">
        <v>32082</v>
      </c>
    </row>
    <row r="32400" spans="8:8">
      <c r="H32400" t="s">
        <v>25729</v>
      </c>
    </row>
    <row r="32401" spans="6:8">
      <c r="H32401" t="s">
        <v>32083</v>
      </c>
    </row>
    <row r="32402" spans="6:8">
      <c r="H32402" t="s">
        <v>32084</v>
      </c>
    </row>
    <row r="32403" spans="6:8">
      <c r="H32403" t="s">
        <v>32085</v>
      </c>
    </row>
    <row r="32404" spans="6:8">
      <c r="H32404" t="s">
        <v>32086</v>
      </c>
    </row>
    <row r="32405" spans="6:8">
      <c r="H32405" t="s">
        <v>32087</v>
      </c>
    </row>
    <row r="32406" spans="6:8">
      <c r="H32406" t="s">
        <v>30168</v>
      </c>
    </row>
    <row r="32407" spans="6:8">
      <c r="H32407" t="s">
        <v>32088</v>
      </c>
    </row>
    <row r="32408" spans="6:8">
      <c r="H32408" t="s">
        <v>32089</v>
      </c>
    </row>
    <row r="32409" spans="6:8">
      <c r="H32409" t="s">
        <v>32090</v>
      </c>
    </row>
    <row r="32410" spans="6:8">
      <c r="H32410" t="s">
        <v>32091</v>
      </c>
    </row>
    <row r="32411" spans="6:8">
      <c r="H32411" t="s">
        <v>32092</v>
      </c>
    </row>
    <row r="32412" spans="6:8">
      <c r="H32412" t="s">
        <v>19374</v>
      </c>
    </row>
    <row r="32413" spans="6:8">
      <c r="H32413" t="s">
        <v>32093</v>
      </c>
    </row>
    <row r="32414" spans="6:8">
      <c r="F32414" t="s">
        <v>13897</v>
      </c>
      <c r="G32414" t="s">
        <v>17934</v>
      </c>
      <c r="H32414" t="s">
        <v>32094</v>
      </c>
    </row>
    <row r="32415" spans="6:8">
      <c r="H32415" t="s">
        <v>32095</v>
      </c>
    </row>
    <row r="32416" spans="6:8">
      <c r="H32416" t="s">
        <v>32096</v>
      </c>
    </row>
    <row r="32417" spans="6:8">
      <c r="H32417" t="s">
        <v>32097</v>
      </c>
    </row>
    <row r="32418" spans="6:8">
      <c r="H32418" t="s">
        <v>32098</v>
      </c>
    </row>
    <row r="32419" spans="6:8">
      <c r="H32419" t="s">
        <v>32099</v>
      </c>
    </row>
    <row r="32420" spans="6:8">
      <c r="F32420" t="s">
        <v>13732</v>
      </c>
      <c r="G32420" t="s">
        <v>17793</v>
      </c>
      <c r="H32420" t="s">
        <v>18829</v>
      </c>
    </row>
    <row r="32421" spans="6:8">
      <c r="H32421" t="s">
        <v>20304</v>
      </c>
    </row>
    <row r="32422" spans="6:8">
      <c r="H32422" t="s">
        <v>20305</v>
      </c>
    </row>
    <row r="32423" spans="6:8">
      <c r="H32423" t="s">
        <v>20306</v>
      </c>
    </row>
    <row r="32424" spans="6:8">
      <c r="H32424" t="s">
        <v>20307</v>
      </c>
    </row>
    <row r="32425" spans="6:8">
      <c r="H32425" t="s">
        <v>20308</v>
      </c>
    </row>
    <row r="32426" spans="6:8">
      <c r="H32426" t="s">
        <v>20309</v>
      </c>
    </row>
    <row r="32427" spans="6:8">
      <c r="H32427" t="s">
        <v>20310</v>
      </c>
    </row>
    <row r="32428" spans="6:8">
      <c r="H32428" t="s">
        <v>32100</v>
      </c>
    </row>
    <row r="32429" spans="6:8">
      <c r="H32429" t="s">
        <v>32101</v>
      </c>
    </row>
    <row r="32430" spans="6:8">
      <c r="H32430" t="s">
        <v>32102</v>
      </c>
    </row>
    <row r="32431" spans="6:8">
      <c r="H32431" t="s">
        <v>19646</v>
      </c>
    </row>
    <row r="32432" spans="6:8">
      <c r="H32432" t="s">
        <v>19647</v>
      </c>
    </row>
    <row r="32433" spans="8:8">
      <c r="H32433" t="s">
        <v>19648</v>
      </c>
    </row>
    <row r="32434" spans="8:8">
      <c r="H32434" t="s">
        <v>19649</v>
      </c>
    </row>
    <row r="32435" spans="8:8">
      <c r="H32435" t="s">
        <v>19650</v>
      </c>
    </row>
    <row r="32436" spans="8:8">
      <c r="H32436" t="s">
        <v>19651</v>
      </c>
    </row>
    <row r="32437" spans="8:8">
      <c r="H32437" t="s">
        <v>19652</v>
      </c>
    </row>
    <row r="32438" spans="8:8">
      <c r="H32438" t="s">
        <v>32103</v>
      </c>
    </row>
    <row r="32439" spans="8:8">
      <c r="H32439" t="s">
        <v>20311</v>
      </c>
    </row>
    <row r="32440" spans="8:8">
      <c r="H32440" t="s">
        <v>32104</v>
      </c>
    </row>
    <row r="32441" spans="8:8">
      <c r="H32441" t="s">
        <v>32105</v>
      </c>
    </row>
    <row r="32442" spans="8:8">
      <c r="H32442" t="s">
        <v>32106</v>
      </c>
    </row>
    <row r="32443" spans="8:8">
      <c r="H32443" t="s">
        <v>32107</v>
      </c>
    </row>
    <row r="32444" spans="8:8">
      <c r="H32444" t="s">
        <v>32108</v>
      </c>
    </row>
    <row r="32445" spans="8:8">
      <c r="H32445" t="s">
        <v>32109</v>
      </c>
    </row>
    <row r="32446" spans="8:8">
      <c r="H32446" t="s">
        <v>32110</v>
      </c>
    </row>
    <row r="32447" spans="8:8">
      <c r="H32447" t="s">
        <v>18927</v>
      </c>
    </row>
    <row r="32448" spans="8:8">
      <c r="H32448" t="s">
        <v>19264</v>
      </c>
    </row>
    <row r="32449" spans="1:8">
      <c r="H32449" t="s">
        <v>32111</v>
      </c>
    </row>
    <row r="32450" spans="1:8">
      <c r="H32450" t="s">
        <v>32112</v>
      </c>
    </row>
    <row r="32451" spans="1:8">
      <c r="A32451" t="s">
        <v>2520</v>
      </c>
      <c r="B32451">
        <f>HYPERLINK("https://android.googlesource.com/platform/cts/+/2d9f86920ec6c5e248bfb3b1c579f3096f7cf506", "2d9f86920ec6c5e248bfb3b1c579f3096f7cf506")</f>
        <v>0</v>
      </c>
      <c r="C32451">
        <f>HYPERLINK("https://android.googlesource.com/platform/cts/+/ff144b49d300cdfe996f6d4506a021e6690c9242", "ff144b49d300cdfe996f6d4506a021e6690c9242")</f>
        <v>0</v>
      </c>
      <c r="D32451" t="s">
        <v>5134</v>
      </c>
      <c r="E32451" t="s">
        <v>8249</v>
      </c>
      <c r="F32451" t="s">
        <v>13746</v>
      </c>
      <c r="G32451" t="s">
        <v>17806</v>
      </c>
      <c r="H32451" t="s">
        <v>32113</v>
      </c>
    </row>
    <row r="32452" spans="1:8">
      <c r="H32452" t="s">
        <v>32114</v>
      </c>
    </row>
    <row r="32453" spans="1:8">
      <c r="H32453" t="s">
        <v>32115</v>
      </c>
    </row>
    <row r="32454" spans="1:8">
      <c r="H32454" t="s">
        <v>31879</v>
      </c>
    </row>
    <row r="32455" spans="1:8">
      <c r="H32455" t="s">
        <v>19721</v>
      </c>
    </row>
    <row r="32456" spans="1:8">
      <c r="H32456" t="s">
        <v>19721</v>
      </c>
    </row>
    <row r="32457" spans="1:8">
      <c r="H32457" t="s">
        <v>32116</v>
      </c>
    </row>
    <row r="32458" spans="1:8">
      <c r="H32458" t="s">
        <v>32117</v>
      </c>
    </row>
    <row r="32459" spans="1:8">
      <c r="A32459" t="s">
        <v>2521</v>
      </c>
      <c r="B32459">
        <f>HYPERLINK("https://android.googlesource.com/platform/cts/+/49748dfcee2d397e7557824cc7bd9750e0fa5f61", "49748dfcee2d397e7557824cc7bd9750e0fa5f61")</f>
        <v>0</v>
      </c>
      <c r="C32459">
        <f>HYPERLINK("https://android.googlesource.com/platform/cts/+/2d9f86920ec6c5e248bfb3b1c579f3096f7cf506", "2d9f86920ec6c5e248bfb3b1c579f3096f7cf506")</f>
        <v>0</v>
      </c>
      <c r="D32459" t="s">
        <v>5134</v>
      </c>
      <c r="E32459" t="s">
        <v>8250</v>
      </c>
      <c r="F32459" t="s">
        <v>13760</v>
      </c>
      <c r="G32459" t="s">
        <v>17811</v>
      </c>
      <c r="H32459" t="s">
        <v>32118</v>
      </c>
    </row>
    <row r="32460" spans="1:8">
      <c r="H32460" t="s">
        <v>32119</v>
      </c>
    </row>
    <row r="32461" spans="1:8">
      <c r="H32461" t="s">
        <v>32120</v>
      </c>
    </row>
    <row r="32462" spans="1:8">
      <c r="H32462" t="s">
        <v>32121</v>
      </c>
    </row>
    <row r="32463" spans="1:8">
      <c r="H32463" t="s">
        <v>32122</v>
      </c>
    </row>
    <row r="32464" spans="1:8">
      <c r="H32464" t="s">
        <v>32123</v>
      </c>
    </row>
    <row r="32465" spans="6:8">
      <c r="H32465" t="s">
        <v>32124</v>
      </c>
    </row>
    <row r="32466" spans="6:8">
      <c r="H32466" t="s">
        <v>32125</v>
      </c>
    </row>
    <row r="32467" spans="6:8">
      <c r="F32467" t="s">
        <v>13898</v>
      </c>
      <c r="G32467" t="s">
        <v>17935</v>
      </c>
      <c r="H32467" t="s">
        <v>32126</v>
      </c>
    </row>
    <row r="32468" spans="6:8">
      <c r="H32468" t="s">
        <v>32119</v>
      </c>
    </row>
    <row r="32469" spans="6:8">
      <c r="H32469" t="s">
        <v>32120</v>
      </c>
    </row>
    <row r="32470" spans="6:8">
      <c r="H32470" t="s">
        <v>32127</v>
      </c>
    </row>
    <row r="32471" spans="6:8">
      <c r="F32471" t="s">
        <v>13765</v>
      </c>
      <c r="G32471" t="s">
        <v>17822</v>
      </c>
      <c r="H32471" t="s">
        <v>32128</v>
      </c>
    </row>
    <row r="32472" spans="6:8">
      <c r="H32472" t="s">
        <v>32119</v>
      </c>
    </row>
    <row r="32473" spans="6:8">
      <c r="H32473" t="s">
        <v>32129</v>
      </c>
    </row>
    <row r="32474" spans="6:8">
      <c r="H32474" t="s">
        <v>32130</v>
      </c>
    </row>
    <row r="32475" spans="6:8">
      <c r="H32475" t="s">
        <v>32131</v>
      </c>
    </row>
    <row r="32476" spans="6:8">
      <c r="H32476" t="s">
        <v>32132</v>
      </c>
    </row>
    <row r="32477" spans="6:8">
      <c r="H32477" t="s">
        <v>32133</v>
      </c>
    </row>
    <row r="32478" spans="6:8">
      <c r="H32478" t="s">
        <v>32134</v>
      </c>
    </row>
    <row r="32479" spans="6:8">
      <c r="H32479" t="s">
        <v>32135</v>
      </c>
    </row>
    <row r="32480" spans="6:8">
      <c r="H32480" t="s">
        <v>32136</v>
      </c>
    </row>
    <row r="32481" spans="8:8">
      <c r="H32481" t="s">
        <v>32137</v>
      </c>
    </row>
    <row r="32482" spans="8:8">
      <c r="H32482" t="s">
        <v>32138</v>
      </c>
    </row>
    <row r="32483" spans="8:8">
      <c r="H32483" t="s">
        <v>32139</v>
      </c>
    </row>
    <row r="32484" spans="8:8">
      <c r="H32484" t="s">
        <v>32140</v>
      </c>
    </row>
    <row r="32485" spans="8:8">
      <c r="H32485" t="s">
        <v>32141</v>
      </c>
    </row>
    <row r="32486" spans="8:8">
      <c r="H32486" t="s">
        <v>32142</v>
      </c>
    </row>
    <row r="32487" spans="8:8">
      <c r="H32487" t="s">
        <v>32143</v>
      </c>
    </row>
    <row r="32488" spans="8:8">
      <c r="H32488" t="s">
        <v>32144</v>
      </c>
    </row>
    <row r="32489" spans="8:8">
      <c r="H32489" t="s">
        <v>32145</v>
      </c>
    </row>
    <row r="32490" spans="8:8">
      <c r="H32490" t="s">
        <v>32146</v>
      </c>
    </row>
    <row r="32491" spans="8:8">
      <c r="H32491" t="s">
        <v>31590</v>
      </c>
    </row>
    <row r="32492" spans="8:8">
      <c r="H32492" t="s">
        <v>32147</v>
      </c>
    </row>
    <row r="32493" spans="8:8">
      <c r="H32493" t="s">
        <v>32148</v>
      </c>
    </row>
    <row r="32494" spans="8:8">
      <c r="H32494" t="s">
        <v>32149</v>
      </c>
    </row>
    <row r="32495" spans="8:8">
      <c r="H32495" t="s">
        <v>32150</v>
      </c>
    </row>
    <row r="32496" spans="8:8">
      <c r="H32496" t="s">
        <v>32151</v>
      </c>
    </row>
    <row r="32497" spans="6:8">
      <c r="H32497" t="s">
        <v>32152</v>
      </c>
    </row>
    <row r="32498" spans="6:8">
      <c r="H32498" t="s">
        <v>32153</v>
      </c>
    </row>
    <row r="32499" spans="6:8">
      <c r="H32499" t="s">
        <v>32154</v>
      </c>
    </row>
    <row r="32500" spans="6:8">
      <c r="H32500" t="s">
        <v>32155</v>
      </c>
    </row>
    <row r="32501" spans="6:8">
      <c r="H32501" t="s">
        <v>32156</v>
      </c>
    </row>
    <row r="32502" spans="6:8">
      <c r="H32502" t="s">
        <v>32157</v>
      </c>
    </row>
    <row r="32503" spans="6:8">
      <c r="H32503" t="s">
        <v>32158</v>
      </c>
    </row>
    <row r="32504" spans="6:8">
      <c r="H32504" t="s">
        <v>18896</v>
      </c>
    </row>
    <row r="32505" spans="6:8">
      <c r="H32505" t="s">
        <v>32159</v>
      </c>
    </row>
    <row r="32506" spans="6:8">
      <c r="H32506" t="s">
        <v>32160</v>
      </c>
    </row>
    <row r="32507" spans="6:8">
      <c r="H32507" t="s">
        <v>32161</v>
      </c>
    </row>
    <row r="32508" spans="6:8">
      <c r="F32508" t="s">
        <v>13756</v>
      </c>
      <c r="G32508" t="s">
        <v>17371</v>
      </c>
      <c r="H32508" t="s">
        <v>32162</v>
      </c>
    </row>
    <row r="32509" spans="6:8">
      <c r="H32509" t="s">
        <v>32119</v>
      </c>
    </row>
    <row r="32510" spans="6:8">
      <c r="H32510" t="s">
        <v>32129</v>
      </c>
    </row>
    <row r="32511" spans="6:8">
      <c r="H32511" t="s">
        <v>32163</v>
      </c>
    </row>
    <row r="32512" spans="6:8">
      <c r="H32512" t="s">
        <v>32164</v>
      </c>
    </row>
    <row r="32513" spans="8:8">
      <c r="H32513" t="s">
        <v>32165</v>
      </c>
    </row>
    <row r="32514" spans="8:8">
      <c r="H32514" t="s">
        <v>32166</v>
      </c>
    </row>
    <row r="32515" spans="8:8">
      <c r="H32515" t="s">
        <v>32167</v>
      </c>
    </row>
    <row r="32516" spans="8:8">
      <c r="H32516" t="s">
        <v>32168</v>
      </c>
    </row>
    <row r="32517" spans="8:8">
      <c r="H32517" t="s">
        <v>32169</v>
      </c>
    </row>
    <row r="32518" spans="8:8">
      <c r="H32518" t="s">
        <v>32170</v>
      </c>
    </row>
    <row r="32519" spans="8:8">
      <c r="H32519" t="s">
        <v>32171</v>
      </c>
    </row>
    <row r="32520" spans="8:8">
      <c r="H32520" t="s">
        <v>32172</v>
      </c>
    </row>
    <row r="32521" spans="8:8">
      <c r="H32521" t="s">
        <v>32173</v>
      </c>
    </row>
    <row r="32522" spans="8:8">
      <c r="H32522" t="s">
        <v>32174</v>
      </c>
    </row>
    <row r="32523" spans="8:8">
      <c r="H32523" t="s">
        <v>32175</v>
      </c>
    </row>
    <row r="32524" spans="8:8">
      <c r="H32524" t="s">
        <v>32176</v>
      </c>
    </row>
    <row r="32525" spans="8:8">
      <c r="H32525" t="s">
        <v>32177</v>
      </c>
    </row>
    <row r="32526" spans="8:8">
      <c r="H32526" t="s">
        <v>32178</v>
      </c>
    </row>
    <row r="32527" spans="8:8">
      <c r="H32527" t="s">
        <v>32179</v>
      </c>
    </row>
    <row r="32528" spans="8:8">
      <c r="H32528" t="s">
        <v>32180</v>
      </c>
    </row>
    <row r="32529" spans="1:8">
      <c r="F32529" t="s">
        <v>13814</v>
      </c>
      <c r="G32529" t="s">
        <v>17936</v>
      </c>
      <c r="H32529" t="s">
        <v>32181</v>
      </c>
    </row>
    <row r="32530" spans="1:8">
      <c r="H32530" t="s">
        <v>32182</v>
      </c>
    </row>
    <row r="32531" spans="1:8">
      <c r="H32531" t="s">
        <v>32183</v>
      </c>
    </row>
    <row r="32532" spans="1:8">
      <c r="H32532" t="s">
        <v>32184</v>
      </c>
    </row>
    <row r="32533" spans="1:8">
      <c r="H32533" t="s">
        <v>32185</v>
      </c>
    </row>
    <row r="32534" spans="1:8">
      <c r="H32534" t="s">
        <v>32186</v>
      </c>
    </row>
    <row r="32535" spans="1:8">
      <c r="H32535" t="s">
        <v>32187</v>
      </c>
    </row>
    <row r="32536" spans="1:8">
      <c r="H32536" t="s">
        <v>32188</v>
      </c>
    </row>
    <row r="32537" spans="1:8">
      <c r="H32537" t="s">
        <v>32189</v>
      </c>
    </row>
    <row r="32538" spans="1:8">
      <c r="H32538" t="s">
        <v>32190</v>
      </c>
    </row>
    <row r="32539" spans="1:8">
      <c r="H32539" t="s">
        <v>32191</v>
      </c>
    </row>
    <row r="32540" spans="1:8">
      <c r="H32540" t="s">
        <v>32192</v>
      </c>
    </row>
    <row r="32541" spans="1:8">
      <c r="H32541" t="s">
        <v>32193</v>
      </c>
    </row>
    <row r="32542" spans="1:8">
      <c r="H32542" t="s">
        <v>32194</v>
      </c>
    </row>
    <row r="32543" spans="1:8">
      <c r="H32543" t="s">
        <v>32195</v>
      </c>
    </row>
    <row r="32544" spans="1:8">
      <c r="A32544" t="s">
        <v>2523</v>
      </c>
      <c r="B32544">
        <f>HYPERLINK("https://android.googlesource.com/platform/cts/+/47aa4a86dbdb3d16e848dbdd0e0f8cb0a8d9d8e5", "47aa4a86dbdb3d16e848dbdd0e0f8cb0a8d9d8e5")</f>
        <v>0</v>
      </c>
      <c r="C32544">
        <f>HYPERLINK("https://android.googlesource.com/platform/cts/+/3d6972a62fed55f200720738703df55d33248933", "3d6972a62fed55f200720738703df55d33248933")</f>
        <v>0</v>
      </c>
      <c r="D32544" t="s">
        <v>5400</v>
      </c>
      <c r="E32544" t="s">
        <v>8252</v>
      </c>
      <c r="F32544" t="s">
        <v>13892</v>
      </c>
      <c r="G32544" t="s">
        <v>17929</v>
      </c>
      <c r="H32544" t="s">
        <v>18829</v>
      </c>
    </row>
    <row r="32545" spans="1:8">
      <c r="F32545" t="s">
        <v>13851</v>
      </c>
      <c r="G32545" t="s">
        <v>17893</v>
      </c>
      <c r="H32545" t="s">
        <v>18829</v>
      </c>
    </row>
    <row r="32546" spans="1:8">
      <c r="A32546" t="s">
        <v>2524</v>
      </c>
      <c r="B32546">
        <f>HYPERLINK("https://android.googlesource.com/platform/cts/+/6de3cc69c9462f0da94a25ab5ced7b411c1ce3f9", "6de3cc69c9462f0da94a25ab5ced7b411c1ce3f9")</f>
        <v>0</v>
      </c>
      <c r="C32546">
        <f>HYPERLINK("https://android.googlesource.com/platform/cts/+/186f3fc827a2b0ae18a3b9ecef4f802ffb0c30d2", "186f3fc827a2b0ae18a3b9ecef4f802ffb0c30d2")</f>
        <v>0</v>
      </c>
      <c r="D32546" t="s">
        <v>5396</v>
      </c>
      <c r="E32546" t="s">
        <v>8253</v>
      </c>
      <c r="F32546" t="s">
        <v>13846</v>
      </c>
      <c r="G32546" t="s">
        <v>17889</v>
      </c>
      <c r="H32546" t="s">
        <v>32197</v>
      </c>
    </row>
    <row r="32547" spans="1:8">
      <c r="H32547" t="s">
        <v>32198</v>
      </c>
    </row>
    <row r="32548" spans="1:8">
      <c r="F32548" t="s">
        <v>13899</v>
      </c>
      <c r="G32548" t="s">
        <v>17889</v>
      </c>
      <c r="H32548" t="s">
        <v>32197</v>
      </c>
    </row>
    <row r="32549" spans="1:8">
      <c r="H32549" t="s">
        <v>32198</v>
      </c>
    </row>
    <row r="32550" spans="1:8">
      <c r="A32550" t="s">
        <v>2525</v>
      </c>
      <c r="B32550">
        <f>HYPERLINK("https://android.googlesource.com/platform/cts/+/62d71fe94d5391cad1184f3aa0bda0e590e90413", "62d71fe94d5391cad1184f3aa0bda0e590e90413")</f>
        <v>0</v>
      </c>
      <c r="C32550">
        <f>HYPERLINK("https://android.googlesource.com/platform/cts/+/c0de7393e0ddf9b62d5adc76e906c445966f6472", "c0de7393e0ddf9b62d5adc76e906c445966f6472")</f>
        <v>0</v>
      </c>
      <c r="D32550" t="s">
        <v>5122</v>
      </c>
      <c r="E32550" t="s">
        <v>8254</v>
      </c>
      <c r="F32550" t="s">
        <v>13781</v>
      </c>
      <c r="G32550" t="s">
        <v>17835</v>
      </c>
      <c r="H32550" t="s">
        <v>32199</v>
      </c>
    </row>
    <row r="32551" spans="1:8">
      <c r="H32551" t="s">
        <v>32200</v>
      </c>
    </row>
    <row r="32552" spans="1:8">
      <c r="H32552" t="s">
        <v>32201</v>
      </c>
    </row>
    <row r="32553" spans="1:8">
      <c r="H32553" t="s">
        <v>32202</v>
      </c>
    </row>
    <row r="32554" spans="1:8">
      <c r="H32554" t="s">
        <v>32203</v>
      </c>
    </row>
    <row r="32555" spans="1:8">
      <c r="H32555" t="s">
        <v>32204</v>
      </c>
    </row>
    <row r="32556" spans="1:8">
      <c r="H32556" t="s">
        <v>32205</v>
      </c>
    </row>
    <row r="32557" spans="1:8">
      <c r="A32557" t="s">
        <v>2526</v>
      </c>
      <c r="B32557">
        <f>HYPERLINK("https://android.googlesource.com/platform/cts/+/e7ca1e87bb99bdb344b8e4d927aa904b10c0d65e", "e7ca1e87bb99bdb344b8e4d927aa904b10c0d65e")</f>
        <v>0</v>
      </c>
      <c r="C32557">
        <f>HYPERLINK("https://android.googlesource.com/platform/cts/+/5e0196d6b63161ac6834bb63a19d5cabbd9d56a8", "5e0196d6b63161ac6834bb63a19d5cabbd9d56a8")</f>
        <v>0</v>
      </c>
      <c r="D32557" t="s">
        <v>5027</v>
      </c>
      <c r="E32557" t="s">
        <v>8255</v>
      </c>
      <c r="F32557" t="s">
        <v>13900</v>
      </c>
      <c r="G32557" t="s">
        <v>17937</v>
      </c>
      <c r="H32557" t="s">
        <v>30030</v>
      </c>
    </row>
    <row r="32558" spans="1:8">
      <c r="H32558" t="s">
        <v>32206</v>
      </c>
    </row>
    <row r="32559" spans="1:8">
      <c r="H32559" t="s">
        <v>32207</v>
      </c>
    </row>
    <row r="32560" spans="1:8">
      <c r="H32560" t="s">
        <v>32208</v>
      </c>
    </row>
    <row r="32561" spans="1:8">
      <c r="H32561" t="s">
        <v>19013</v>
      </c>
    </row>
    <row r="32562" spans="1:8">
      <c r="H32562" t="s">
        <v>18835</v>
      </c>
    </row>
    <row r="32563" spans="1:8">
      <c r="H32563" t="s">
        <v>31384</v>
      </c>
    </row>
    <row r="32564" spans="1:8">
      <c r="A32564" t="s">
        <v>2527</v>
      </c>
      <c r="B32564">
        <f>HYPERLINK("https://android.googlesource.com/platform/cts/+/22a57d190517473014c10aa64718631f18adc608", "22a57d190517473014c10aa64718631f18adc608")</f>
        <v>0</v>
      </c>
      <c r="C32564">
        <f>HYPERLINK("https://android.googlesource.com/platform/cts/+/3ea8a7e22fd24b328e5f54edeac4a05154f89cc0", "3ea8a7e22fd24b328e5f54edeac4a05154f89cc0")</f>
        <v>0</v>
      </c>
      <c r="D32564" t="s">
        <v>5182</v>
      </c>
      <c r="E32564" t="s">
        <v>8256</v>
      </c>
      <c r="F32564" t="s">
        <v>13901</v>
      </c>
      <c r="G32564" t="s">
        <v>17938</v>
      </c>
      <c r="H32564" t="s">
        <v>32209</v>
      </c>
    </row>
    <row r="32565" spans="1:8">
      <c r="H32565" t="s">
        <v>32210</v>
      </c>
    </row>
    <row r="32566" spans="1:8">
      <c r="A32566" t="s">
        <v>2528</v>
      </c>
      <c r="B32566">
        <f>HYPERLINK("https://android.googlesource.com/platform/cts/+/5d533ed09e77e5a0ff24ff55de869df118bc506e", "5d533ed09e77e5a0ff24ff55de869df118bc506e")</f>
        <v>0</v>
      </c>
      <c r="C32566">
        <f>HYPERLINK("https://android.googlesource.com/platform/cts/+/a74027bcebba866ea4e3bb27c68320b495d6f943", "a74027bcebba866ea4e3bb27c68320b495d6f943")</f>
        <v>0</v>
      </c>
      <c r="D32566" t="s">
        <v>5307</v>
      </c>
      <c r="E32566" t="s">
        <v>8257</v>
      </c>
      <c r="F32566" t="s">
        <v>13902</v>
      </c>
      <c r="G32566" t="s">
        <v>17939</v>
      </c>
      <c r="H32566" t="s">
        <v>32211</v>
      </c>
    </row>
    <row r="32567" spans="1:8">
      <c r="H32567" t="s">
        <v>32212</v>
      </c>
    </row>
    <row r="32568" spans="1:8">
      <c r="H32568" t="s">
        <v>32213</v>
      </c>
    </row>
    <row r="32569" spans="1:8">
      <c r="A32569" t="s">
        <v>2529</v>
      </c>
      <c r="B32569">
        <f>HYPERLINK("https://android.googlesource.com/platform/cts/+/0fa57ec46cf3ccd979297a10c6ae236f34d30542", "0fa57ec46cf3ccd979297a10c6ae236f34d30542")</f>
        <v>0</v>
      </c>
      <c r="C32569">
        <f>HYPERLINK("https://android.googlesource.com/platform/cts/+/ae6291f54af160232bec414287af4c12d0a72f50", "ae6291f54af160232bec414287af4c12d0a72f50")</f>
        <v>0</v>
      </c>
      <c r="D32569" t="s">
        <v>5400</v>
      </c>
      <c r="E32569" t="s">
        <v>8258</v>
      </c>
      <c r="F32569" t="s">
        <v>13892</v>
      </c>
      <c r="G32569" t="s">
        <v>17929</v>
      </c>
      <c r="H32569" t="s">
        <v>31987</v>
      </c>
    </row>
    <row r="32570" spans="1:8">
      <c r="A32570" t="s">
        <v>2530</v>
      </c>
      <c r="B32570">
        <f>HYPERLINK("https://android.googlesource.com/platform/cts/+/4b922f5420439bd544bc51660883542ea96d92ed", "4b922f5420439bd544bc51660883542ea96d92ed")</f>
        <v>0</v>
      </c>
      <c r="C32570">
        <f>HYPERLINK("https://android.googlesource.com/platform/cts/+/b552eb2d06d226bdb880a004841757d5f06a89a8", "b552eb2d06d226bdb880a004841757d5f06a89a8")</f>
        <v>0</v>
      </c>
      <c r="D32570" t="s">
        <v>5134</v>
      </c>
      <c r="E32570" t="s">
        <v>8259</v>
      </c>
      <c r="F32570" t="s">
        <v>13903</v>
      </c>
      <c r="G32570" t="s">
        <v>17940</v>
      </c>
      <c r="H32570" t="s">
        <v>32214</v>
      </c>
    </row>
    <row r="32571" spans="1:8">
      <c r="H32571" t="s">
        <v>32215</v>
      </c>
    </row>
    <row r="32572" spans="1:8">
      <c r="H32572" t="s">
        <v>32216</v>
      </c>
    </row>
    <row r="32573" spans="1:8">
      <c r="A32573" t="s">
        <v>2531</v>
      </c>
      <c r="B32573">
        <f>HYPERLINK("https://android.googlesource.com/platform/cts/+/c71a40c1af87ba0c937276b9b7e9e3ab0a57350e", "c71a40c1af87ba0c937276b9b7e9e3ab0a57350e")</f>
        <v>0</v>
      </c>
      <c r="C32573">
        <f>HYPERLINK("https://android.googlesource.com/platform/cts/+/2761e853b2c01b420a6fb71be26f5116cc4a6cde", "2761e853b2c01b420a6fb71be26f5116cc4a6cde")</f>
        <v>0</v>
      </c>
      <c r="D32573" t="s">
        <v>5084</v>
      </c>
      <c r="E32573" t="s">
        <v>8260</v>
      </c>
      <c r="F32573" t="s">
        <v>13904</v>
      </c>
      <c r="G32573" t="s">
        <v>17941</v>
      </c>
      <c r="H32573" t="s">
        <v>32217</v>
      </c>
    </row>
    <row r="32574" spans="1:8">
      <c r="H32574" t="s">
        <v>32218</v>
      </c>
    </row>
    <row r="32575" spans="1:8">
      <c r="H32575" t="s">
        <v>32219</v>
      </c>
    </row>
    <row r="32576" spans="1:8">
      <c r="A32576" t="s">
        <v>2532</v>
      </c>
      <c r="B32576">
        <f>HYPERLINK("https://android.googlesource.com/platform/cts/+/79b2b27743b2c0a1ec90e3df5c7db09e68c1a5d8", "79b2b27743b2c0a1ec90e3df5c7db09e68c1a5d8")</f>
        <v>0</v>
      </c>
      <c r="C32576">
        <f>HYPERLINK("https://android.googlesource.com/platform/cts/+/0fa57ec46cf3ccd979297a10c6ae236f34d30542", "0fa57ec46cf3ccd979297a10c6ae236f34d30542")</f>
        <v>0</v>
      </c>
      <c r="D32576" t="s">
        <v>5406</v>
      </c>
      <c r="E32576" t="s">
        <v>8261</v>
      </c>
      <c r="F32576" t="s">
        <v>13892</v>
      </c>
      <c r="G32576" t="s">
        <v>17929</v>
      </c>
      <c r="H32576" t="s">
        <v>18829</v>
      </c>
    </row>
    <row r="32577" spans="1:8">
      <c r="F32577" t="s">
        <v>13851</v>
      </c>
      <c r="G32577" t="s">
        <v>17893</v>
      </c>
      <c r="H32577" t="s">
        <v>18829</v>
      </c>
    </row>
    <row r="32578" spans="1:8">
      <c r="A32578" t="s">
        <v>2533</v>
      </c>
      <c r="B32578">
        <f>HYPERLINK("https://android.googlesource.com/platform/cts/+/3cfca82296b999573414a6cc3d56df81f3ddd033", "3cfca82296b999573414a6cc3d56df81f3ddd033")</f>
        <v>0</v>
      </c>
      <c r="C32578">
        <f>HYPERLINK("https://android.googlesource.com/platform/cts/+/959b8729847d86f7e19099c8ad0bc5bb92bd0daa", "959b8729847d86f7e19099c8ad0bc5bb92bd0daa")</f>
        <v>0</v>
      </c>
      <c r="D32578" t="s">
        <v>5400</v>
      </c>
      <c r="E32578" t="s">
        <v>8262</v>
      </c>
      <c r="F32578" t="s">
        <v>13892</v>
      </c>
      <c r="G32578" t="s">
        <v>17929</v>
      </c>
      <c r="H32578" t="s">
        <v>31987</v>
      </c>
    </row>
    <row r="32579" spans="1:8">
      <c r="A32579" t="s">
        <v>2534</v>
      </c>
      <c r="B32579">
        <f>HYPERLINK("https://android.googlesource.com/platform/cts/+/6104779297c522a92f552514c6740fe526267a6e", "6104779297c522a92f552514c6740fe526267a6e")</f>
        <v>0</v>
      </c>
      <c r="C32579">
        <f>HYPERLINK("https://android.googlesource.com/platform/cts/+/5af4548e50bf58352e161975e20efeac26c3fe6b", "5af4548e50bf58352e161975e20efeac26c3fe6b")</f>
        <v>0</v>
      </c>
      <c r="D32579" t="s">
        <v>5347</v>
      </c>
      <c r="E32579" t="s">
        <v>8263</v>
      </c>
      <c r="F32579" t="s">
        <v>10780</v>
      </c>
      <c r="G32579" t="s">
        <v>15176</v>
      </c>
      <c r="H32579" t="s">
        <v>27857</v>
      </c>
    </row>
    <row r="32580" spans="1:8">
      <c r="F32580" t="s">
        <v>10644</v>
      </c>
      <c r="G32580" t="s">
        <v>15045</v>
      </c>
      <c r="H32580" t="s">
        <v>27857</v>
      </c>
    </row>
    <row r="32581" spans="1:8">
      <c r="A32581" t="s">
        <v>2535</v>
      </c>
      <c r="B32581">
        <f>HYPERLINK("https://android.googlesource.com/platform/cts/+/2aea50dd0da8b2cdc9b26a6c4ad26ec22da81a16", "2aea50dd0da8b2cdc9b26a6c4ad26ec22da81a16")</f>
        <v>0</v>
      </c>
      <c r="C32581">
        <f>HYPERLINK("https://android.googlesource.com/platform/cts/+/51ad828aa32ad434f2a155651eb3e4f4374450cc", "51ad828aa32ad434f2a155651eb3e4f4374450cc")</f>
        <v>0</v>
      </c>
      <c r="D32581" t="s">
        <v>4949</v>
      </c>
      <c r="E32581" t="s">
        <v>8264</v>
      </c>
      <c r="F32581" t="s">
        <v>13905</v>
      </c>
      <c r="G32581" t="s">
        <v>17942</v>
      </c>
      <c r="H32581" t="s">
        <v>32220</v>
      </c>
    </row>
    <row r="32582" spans="1:8">
      <c r="H32582" t="s">
        <v>32221</v>
      </c>
    </row>
    <row r="32583" spans="1:8">
      <c r="A32583" t="s">
        <v>2536</v>
      </c>
      <c r="B32583">
        <f>HYPERLINK("https://android.googlesource.com/platform/cts/+/11ba5593e3517f5d96a96deae2a8b7d5c5fdbb6c", "11ba5593e3517f5d96a96deae2a8b7d5c5fdbb6c")</f>
        <v>0</v>
      </c>
      <c r="C32583">
        <f>HYPERLINK("https://android.googlesource.com/platform/cts/+/493fe5e260290ec3af844a8a30b1ef89930ac2d0", "493fe5e260290ec3af844a8a30b1ef89930ac2d0")</f>
        <v>0</v>
      </c>
      <c r="D32583" t="s">
        <v>5122</v>
      </c>
      <c r="E32583" t="s">
        <v>8265</v>
      </c>
      <c r="F32583" t="s">
        <v>13781</v>
      </c>
      <c r="G32583" t="s">
        <v>17835</v>
      </c>
      <c r="H32583" t="s">
        <v>32222</v>
      </c>
    </row>
    <row r="32584" spans="1:8">
      <c r="A32584" t="s">
        <v>2538</v>
      </c>
      <c r="B32584">
        <f>HYPERLINK("https://android.googlesource.com/platform/cts/+/44e2485de2ed192a27425a02d0584cd051db1ca8", "44e2485de2ed192a27425a02d0584cd051db1ca8")</f>
        <v>0</v>
      </c>
      <c r="C32584">
        <f>HYPERLINK("https://android.googlesource.com/platform/cts/+/b4c24ddf7124ca2a8715d7f766711146def899aa", "b4c24ddf7124ca2a8715d7f766711146def899aa")</f>
        <v>0</v>
      </c>
      <c r="D32584" t="s">
        <v>5307</v>
      </c>
      <c r="E32584" t="s">
        <v>8267</v>
      </c>
      <c r="F32584" t="s">
        <v>13333</v>
      </c>
      <c r="G32584" t="s">
        <v>17463</v>
      </c>
      <c r="H32584" t="s">
        <v>32223</v>
      </c>
    </row>
    <row r="32585" spans="1:8">
      <c r="H32585" t="s">
        <v>32224</v>
      </c>
    </row>
    <row r="32586" spans="1:8">
      <c r="H32586" t="s">
        <v>32225</v>
      </c>
    </row>
    <row r="32587" spans="1:8">
      <c r="A32587" t="s">
        <v>2539</v>
      </c>
      <c r="B32587">
        <f>HYPERLINK("https://android.googlesource.com/platform/cts/+/0fb0b99b57af2a86884c464f207e12608d31e01e", "0fb0b99b57af2a86884c464f207e12608d31e01e")</f>
        <v>0</v>
      </c>
      <c r="C32587">
        <f>HYPERLINK("https://android.googlesource.com/platform/cts/+/05a79cc04292b072029520d328c00bb3ece98562", "05a79cc04292b072029520d328c00bb3ece98562")</f>
        <v>0</v>
      </c>
      <c r="D32587" t="s">
        <v>4952</v>
      </c>
      <c r="E32587" t="s">
        <v>8268</v>
      </c>
      <c r="F32587" t="s">
        <v>12835</v>
      </c>
      <c r="G32587" t="s">
        <v>16417</v>
      </c>
      <c r="H32587" t="s">
        <v>18829</v>
      </c>
    </row>
    <row r="32588" spans="1:8">
      <c r="H32588" t="s">
        <v>18863</v>
      </c>
    </row>
    <row r="32589" spans="1:8">
      <c r="H32589" t="s">
        <v>32226</v>
      </c>
    </row>
    <row r="32590" spans="1:8">
      <c r="H32590" t="s">
        <v>32227</v>
      </c>
    </row>
    <row r="32591" spans="1:8">
      <c r="H32591" t="s">
        <v>32228</v>
      </c>
    </row>
    <row r="32592" spans="1:8">
      <c r="H32592" t="s">
        <v>32229</v>
      </c>
    </row>
    <row r="32593" spans="1:8">
      <c r="H32593" t="s">
        <v>32230</v>
      </c>
    </row>
    <row r="32594" spans="1:8">
      <c r="H32594" t="s">
        <v>32231</v>
      </c>
    </row>
    <row r="32595" spans="1:8">
      <c r="H32595" t="s">
        <v>32232</v>
      </c>
    </row>
    <row r="32596" spans="1:8">
      <c r="F32596" t="s">
        <v>12414</v>
      </c>
      <c r="G32596" t="s">
        <v>16636</v>
      </c>
      <c r="H32596" t="s">
        <v>32233</v>
      </c>
    </row>
    <row r="32597" spans="1:8">
      <c r="H32597" t="s">
        <v>32234</v>
      </c>
    </row>
    <row r="32598" spans="1:8">
      <c r="H32598" t="s">
        <v>32235</v>
      </c>
    </row>
    <row r="32599" spans="1:8">
      <c r="H32599" t="s">
        <v>32236</v>
      </c>
    </row>
    <row r="32600" spans="1:8">
      <c r="H32600" t="s">
        <v>32237</v>
      </c>
    </row>
    <row r="32601" spans="1:8">
      <c r="H32601" t="s">
        <v>32238</v>
      </c>
    </row>
    <row r="32602" spans="1:8">
      <c r="H32602" t="s">
        <v>32239</v>
      </c>
    </row>
    <row r="32603" spans="1:8">
      <c r="A32603" t="s">
        <v>2540</v>
      </c>
      <c r="B32603">
        <f>HYPERLINK("https://android.googlesource.com/platform/cts/+/ebba5df3c2b48ee3778db6bf0a509898cadad192", "ebba5df3c2b48ee3778db6bf0a509898cadad192")</f>
        <v>0</v>
      </c>
      <c r="C32603">
        <f>HYPERLINK("https://android.googlesource.com/platform/cts/+/6f4d833a0e787dbb769cad529b60d4a9d783e99a", "6f4d833a0e787dbb769cad529b60d4a9d783e99a")</f>
        <v>0</v>
      </c>
      <c r="D32603" t="s">
        <v>5111</v>
      </c>
      <c r="E32603" t="s">
        <v>8269</v>
      </c>
      <c r="F32603" t="s">
        <v>10778</v>
      </c>
      <c r="G32603" t="s">
        <v>15174</v>
      </c>
      <c r="H32603" t="s">
        <v>32240</v>
      </c>
    </row>
    <row r="32604" spans="1:8">
      <c r="A32604" t="s">
        <v>2541</v>
      </c>
      <c r="B32604">
        <f>HYPERLINK("https://android.googlesource.com/platform/cts/+/e9d3df4065e09d6da426dd0833fd4ee3238c15de", "e9d3df4065e09d6da426dd0833fd4ee3238c15de")</f>
        <v>0</v>
      </c>
      <c r="C32604">
        <f>HYPERLINK("https://android.googlesource.com/platform/cts/+/f6a3f28f1df216b94a83ccca50e7c7eb3a88d503", "f6a3f28f1df216b94a83ccca50e7c7eb3a88d503")</f>
        <v>0</v>
      </c>
      <c r="D32604" t="s">
        <v>5134</v>
      </c>
      <c r="E32604" t="s">
        <v>8270</v>
      </c>
      <c r="F32604" t="s">
        <v>13906</v>
      </c>
      <c r="G32604" t="s">
        <v>17943</v>
      </c>
      <c r="H32604" t="s">
        <v>32241</v>
      </c>
    </row>
    <row r="32605" spans="1:8">
      <c r="H32605" t="s">
        <v>32242</v>
      </c>
    </row>
    <row r="32606" spans="1:8">
      <c r="A32606" t="s">
        <v>2542</v>
      </c>
      <c r="B32606">
        <f>HYPERLINK("https://android.googlesource.com/platform/cts/+/6e0d19e2ecec8aab3e63110c3640c069760983a9", "6e0d19e2ecec8aab3e63110c3640c069760983a9")</f>
        <v>0</v>
      </c>
      <c r="C32606">
        <f>HYPERLINK("https://android.googlesource.com/platform/cts/+/0a8521c3f49f355c77dc6179371117d302a45c93", "0a8521c3f49f355c77dc6179371117d302a45c93")</f>
        <v>0</v>
      </c>
      <c r="D32606" t="s">
        <v>5211</v>
      </c>
      <c r="E32606" t="s">
        <v>8271</v>
      </c>
      <c r="F32606" t="s">
        <v>13907</v>
      </c>
      <c r="G32606" t="s">
        <v>17944</v>
      </c>
      <c r="H32606" t="s">
        <v>32243</v>
      </c>
    </row>
    <row r="32607" spans="1:8">
      <c r="F32607" t="s">
        <v>13908</v>
      </c>
      <c r="G32607" t="s">
        <v>17945</v>
      </c>
      <c r="H32607" t="s">
        <v>32243</v>
      </c>
    </row>
    <row r="32608" spans="1:8">
      <c r="F32608" t="s">
        <v>13909</v>
      </c>
      <c r="G32608" t="s">
        <v>17946</v>
      </c>
      <c r="H32608" t="s">
        <v>32243</v>
      </c>
    </row>
    <row r="32609" spans="1:8">
      <c r="A32609" t="s">
        <v>2544</v>
      </c>
      <c r="B32609">
        <f>HYPERLINK("https://android.googlesource.com/platform/cts/+/46f2b81cd9fe1fa3700816df29540b73d65c833b", "46f2b81cd9fe1fa3700816df29540b73d65c833b")</f>
        <v>0</v>
      </c>
      <c r="C32609">
        <f>HYPERLINK("https://android.googlesource.com/platform/cts/+/f52888de1858a5d6cd48b215992d61ae5174d981", "f52888de1858a5d6cd48b215992d61ae5174d981")</f>
        <v>0</v>
      </c>
      <c r="D32609" t="s">
        <v>5383</v>
      </c>
      <c r="E32609" t="s">
        <v>8273</v>
      </c>
      <c r="F32609" t="s">
        <v>13910</v>
      </c>
      <c r="G32609" t="s">
        <v>17947</v>
      </c>
      <c r="H32609" t="s">
        <v>32244</v>
      </c>
    </row>
    <row r="32610" spans="1:8">
      <c r="H32610" t="s">
        <v>32245</v>
      </c>
    </row>
    <row r="32611" spans="1:8">
      <c r="H32611" t="s">
        <v>32246</v>
      </c>
    </row>
    <row r="32612" spans="1:8">
      <c r="H32612" t="s">
        <v>32247</v>
      </c>
    </row>
    <row r="32613" spans="1:8">
      <c r="H32613" t="s">
        <v>32248</v>
      </c>
    </row>
    <row r="32614" spans="1:8">
      <c r="H32614" t="s">
        <v>32249</v>
      </c>
    </row>
    <row r="32615" spans="1:8">
      <c r="A32615" t="s">
        <v>2545</v>
      </c>
      <c r="B32615">
        <f>HYPERLINK("https://android.googlesource.com/platform/cts/+/3ec96eabf54475e09c48c9fa9d41e33dcb879b62", "3ec96eabf54475e09c48c9fa9d41e33dcb879b62")</f>
        <v>0</v>
      </c>
      <c r="C32615">
        <f>HYPERLINK("https://android.googlesource.com/platform/cts/+/ba52917044e23f4691462fe29ee4129217302433", "ba52917044e23f4691462fe29ee4129217302433")</f>
        <v>0</v>
      </c>
      <c r="D32615" t="s">
        <v>5178</v>
      </c>
      <c r="E32615" t="s">
        <v>8274</v>
      </c>
      <c r="F32615" t="s">
        <v>13911</v>
      </c>
      <c r="G32615" t="s">
        <v>17948</v>
      </c>
      <c r="H32615" t="s">
        <v>32250</v>
      </c>
    </row>
    <row r="32616" spans="1:8">
      <c r="A32616" t="s">
        <v>2546</v>
      </c>
      <c r="B32616">
        <f>HYPERLINK("https://android.googlesource.com/platform/cts/+/4f4c1b15dcdb79087d766893c10c1326489d3f48", "4f4c1b15dcdb79087d766893c10c1326489d3f48")</f>
        <v>0</v>
      </c>
      <c r="C32616">
        <f>HYPERLINK("https://android.googlesource.com/platform/cts/+/e62fb2511999aa952cb96354678eb1194360d322", "e62fb2511999aa952cb96354678eb1194360d322")</f>
        <v>0</v>
      </c>
      <c r="D32616" t="s">
        <v>4952</v>
      </c>
      <c r="E32616" t="s">
        <v>8275</v>
      </c>
      <c r="F32616" t="s">
        <v>12222</v>
      </c>
      <c r="G32616" t="s">
        <v>16452</v>
      </c>
      <c r="H32616" t="s">
        <v>32251</v>
      </c>
    </row>
    <row r="32617" spans="1:8">
      <c r="A32617" t="s">
        <v>2547</v>
      </c>
      <c r="B32617">
        <f>HYPERLINK("https://android.googlesource.com/platform/cts/+/79fef0dd388d1b700b1aa07aefb6502b72503e8e", "79fef0dd388d1b700b1aa07aefb6502b72503e8e")</f>
        <v>0</v>
      </c>
      <c r="C32617">
        <f>HYPERLINK("https://android.googlesource.com/platform/cts/+/2b1974b36862350aa5b410d5180a938858f502ef", "2b1974b36862350aa5b410d5180a938858f502ef")</f>
        <v>0</v>
      </c>
      <c r="D32617" t="s">
        <v>5027</v>
      </c>
      <c r="E32617" t="s">
        <v>8276</v>
      </c>
      <c r="F32617" t="s">
        <v>13505</v>
      </c>
      <c r="G32617" t="s">
        <v>17622</v>
      </c>
      <c r="H32617" t="s">
        <v>30141</v>
      </c>
    </row>
    <row r="32618" spans="1:8">
      <c r="H32618" t="s">
        <v>31309</v>
      </c>
    </row>
    <row r="32619" spans="1:8">
      <c r="H32619" t="s">
        <v>30148</v>
      </c>
    </row>
    <row r="32620" spans="1:8">
      <c r="H32620" t="s">
        <v>30149</v>
      </c>
    </row>
    <row r="32621" spans="1:8">
      <c r="H32621" t="s">
        <v>30150</v>
      </c>
    </row>
    <row r="32622" spans="1:8">
      <c r="H32622" t="s">
        <v>30151</v>
      </c>
    </row>
    <row r="32623" spans="1:8">
      <c r="H32623" t="s">
        <v>30152</v>
      </c>
    </row>
    <row r="32624" spans="1:8">
      <c r="H32624" t="s">
        <v>30153</v>
      </c>
    </row>
    <row r="32625" spans="8:8">
      <c r="H32625" t="s">
        <v>29023</v>
      </c>
    </row>
    <row r="32626" spans="8:8">
      <c r="H32626" t="s">
        <v>30154</v>
      </c>
    </row>
    <row r="32627" spans="8:8">
      <c r="H32627" t="s">
        <v>30155</v>
      </c>
    </row>
    <row r="32628" spans="8:8">
      <c r="H32628" t="s">
        <v>30156</v>
      </c>
    </row>
    <row r="32629" spans="8:8">
      <c r="H32629" t="s">
        <v>30157</v>
      </c>
    </row>
    <row r="32630" spans="8:8">
      <c r="H32630" t="s">
        <v>30158</v>
      </c>
    </row>
    <row r="32631" spans="8:8">
      <c r="H32631" t="s">
        <v>30159</v>
      </c>
    </row>
    <row r="32632" spans="8:8">
      <c r="H32632" t="s">
        <v>26316</v>
      </c>
    </row>
    <row r="32633" spans="8:8">
      <c r="H32633" t="s">
        <v>21462</v>
      </c>
    </row>
    <row r="32634" spans="8:8">
      <c r="H32634" t="s">
        <v>28864</v>
      </c>
    </row>
    <row r="32635" spans="8:8">
      <c r="H32635" t="s">
        <v>26391</v>
      </c>
    </row>
    <row r="32636" spans="8:8">
      <c r="H32636" t="s">
        <v>30162</v>
      </c>
    </row>
    <row r="32637" spans="8:8">
      <c r="H32637" t="s">
        <v>30163</v>
      </c>
    </row>
    <row r="32638" spans="8:8">
      <c r="H32638" t="s">
        <v>30164</v>
      </c>
    </row>
    <row r="32639" spans="8:8">
      <c r="H32639" t="s">
        <v>31310</v>
      </c>
    </row>
    <row r="32640" spans="8:8">
      <c r="H32640" t="s">
        <v>31311</v>
      </c>
    </row>
    <row r="32641" spans="8:8">
      <c r="H32641" t="s">
        <v>31312</v>
      </c>
    </row>
    <row r="32642" spans="8:8">
      <c r="H32642" t="s">
        <v>31313</v>
      </c>
    </row>
    <row r="32643" spans="8:8">
      <c r="H32643" t="s">
        <v>31314</v>
      </c>
    </row>
    <row r="32644" spans="8:8">
      <c r="H32644" t="s">
        <v>20177</v>
      </c>
    </row>
    <row r="32645" spans="8:8">
      <c r="H32645" t="s">
        <v>31315</v>
      </c>
    </row>
    <row r="32646" spans="8:8">
      <c r="H32646" t="s">
        <v>31316</v>
      </c>
    </row>
    <row r="32647" spans="8:8">
      <c r="H32647" t="s">
        <v>31317</v>
      </c>
    </row>
    <row r="32648" spans="8:8">
      <c r="H32648" t="s">
        <v>29034</v>
      </c>
    </row>
    <row r="32649" spans="8:8">
      <c r="H32649" t="s">
        <v>29033</v>
      </c>
    </row>
    <row r="32650" spans="8:8">
      <c r="H32650" t="s">
        <v>30142</v>
      </c>
    </row>
    <row r="32651" spans="8:8">
      <c r="H32651" t="s">
        <v>30143</v>
      </c>
    </row>
    <row r="32652" spans="8:8">
      <c r="H32652" t="s">
        <v>30145</v>
      </c>
    </row>
    <row r="32653" spans="8:8">
      <c r="H32653" t="s">
        <v>30146</v>
      </c>
    </row>
    <row r="32654" spans="8:8">
      <c r="H32654" t="s">
        <v>30147</v>
      </c>
    </row>
    <row r="32655" spans="8:8">
      <c r="H32655" t="s">
        <v>30144</v>
      </c>
    </row>
    <row r="32656" spans="8:8">
      <c r="H32656" t="s">
        <v>30165</v>
      </c>
    </row>
    <row r="32657" spans="6:8">
      <c r="H32657" t="s">
        <v>30166</v>
      </c>
    </row>
    <row r="32658" spans="6:8">
      <c r="F32658" t="s">
        <v>13506</v>
      </c>
      <c r="G32658" t="s">
        <v>17623</v>
      </c>
      <c r="H32658" t="s">
        <v>18829</v>
      </c>
    </row>
    <row r="32659" spans="6:8">
      <c r="H32659" t="s">
        <v>19982</v>
      </c>
    </row>
    <row r="32660" spans="6:8">
      <c r="H32660" t="s">
        <v>31336</v>
      </c>
    </row>
    <row r="32661" spans="6:8">
      <c r="H32661" t="s">
        <v>30167</v>
      </c>
    </row>
    <row r="32662" spans="6:8">
      <c r="H32662" t="s">
        <v>30168</v>
      </c>
    </row>
    <row r="32663" spans="6:8">
      <c r="H32663" t="s">
        <v>30171</v>
      </c>
    </row>
    <row r="32664" spans="6:8">
      <c r="H32664" t="s">
        <v>30172</v>
      </c>
    </row>
    <row r="32665" spans="6:8">
      <c r="H32665" t="s">
        <v>30173</v>
      </c>
    </row>
    <row r="32666" spans="6:8">
      <c r="H32666" t="s">
        <v>30174</v>
      </c>
    </row>
    <row r="32667" spans="6:8">
      <c r="H32667" t="s">
        <v>30175</v>
      </c>
    </row>
    <row r="32668" spans="6:8">
      <c r="H32668" t="s">
        <v>31337</v>
      </c>
    </row>
    <row r="32669" spans="6:8">
      <c r="H32669" t="s">
        <v>30176</v>
      </c>
    </row>
    <row r="32670" spans="6:8">
      <c r="H32670" t="s">
        <v>30216</v>
      </c>
    </row>
    <row r="32671" spans="6:8">
      <c r="H32671" t="s">
        <v>31338</v>
      </c>
    </row>
    <row r="32672" spans="6:8">
      <c r="H32672" t="s">
        <v>31339</v>
      </c>
    </row>
    <row r="32673" spans="8:8">
      <c r="H32673" t="s">
        <v>31340</v>
      </c>
    </row>
    <row r="32674" spans="8:8">
      <c r="H32674" t="s">
        <v>31341</v>
      </c>
    </row>
    <row r="32675" spans="8:8">
      <c r="H32675" t="s">
        <v>31342</v>
      </c>
    </row>
    <row r="32676" spans="8:8">
      <c r="H32676" t="s">
        <v>31343</v>
      </c>
    </row>
    <row r="32677" spans="8:8">
      <c r="H32677" t="s">
        <v>31344</v>
      </c>
    </row>
    <row r="32678" spans="8:8">
      <c r="H32678" t="s">
        <v>31345</v>
      </c>
    </row>
    <row r="32679" spans="8:8">
      <c r="H32679" t="s">
        <v>31346</v>
      </c>
    </row>
    <row r="32680" spans="8:8">
      <c r="H32680" t="s">
        <v>31347</v>
      </c>
    </row>
    <row r="32681" spans="8:8">
      <c r="H32681" t="s">
        <v>31348</v>
      </c>
    </row>
    <row r="32682" spans="8:8">
      <c r="H32682" t="s">
        <v>31349</v>
      </c>
    </row>
    <row r="32683" spans="8:8">
      <c r="H32683" t="s">
        <v>31350</v>
      </c>
    </row>
    <row r="32684" spans="8:8">
      <c r="H32684" t="s">
        <v>31351</v>
      </c>
    </row>
    <row r="32685" spans="8:8">
      <c r="H32685" t="s">
        <v>30178</v>
      </c>
    </row>
    <row r="32686" spans="8:8">
      <c r="H32686" t="s">
        <v>30179</v>
      </c>
    </row>
    <row r="32687" spans="8:8">
      <c r="H32687" t="s">
        <v>30180</v>
      </c>
    </row>
    <row r="32688" spans="8:8">
      <c r="H32688" t="s">
        <v>30182</v>
      </c>
    </row>
    <row r="32689" spans="8:8">
      <c r="H32689" t="s">
        <v>30183</v>
      </c>
    </row>
    <row r="32690" spans="8:8">
      <c r="H32690" t="s">
        <v>30184</v>
      </c>
    </row>
    <row r="32691" spans="8:8">
      <c r="H32691" t="s">
        <v>30185</v>
      </c>
    </row>
    <row r="32692" spans="8:8">
      <c r="H32692" t="s">
        <v>30186</v>
      </c>
    </row>
    <row r="32693" spans="8:8">
      <c r="H32693" t="s">
        <v>30187</v>
      </c>
    </row>
    <row r="32694" spans="8:8">
      <c r="H32694" t="s">
        <v>30188</v>
      </c>
    </row>
    <row r="32695" spans="8:8">
      <c r="H32695" t="s">
        <v>30189</v>
      </c>
    </row>
    <row r="32696" spans="8:8">
      <c r="H32696" t="s">
        <v>30190</v>
      </c>
    </row>
    <row r="32697" spans="8:8">
      <c r="H32697" t="s">
        <v>30191</v>
      </c>
    </row>
    <row r="32698" spans="8:8">
      <c r="H32698" t="s">
        <v>30192</v>
      </c>
    </row>
    <row r="32699" spans="8:8">
      <c r="H32699" t="s">
        <v>30193</v>
      </c>
    </row>
    <row r="32700" spans="8:8">
      <c r="H32700" t="s">
        <v>30194</v>
      </c>
    </row>
    <row r="32701" spans="8:8">
      <c r="H32701" t="s">
        <v>30195</v>
      </c>
    </row>
    <row r="32702" spans="8:8">
      <c r="H32702" t="s">
        <v>30196</v>
      </c>
    </row>
    <row r="32703" spans="8:8">
      <c r="H32703" t="s">
        <v>30198</v>
      </c>
    </row>
    <row r="32704" spans="8:8">
      <c r="H32704" t="s">
        <v>30199</v>
      </c>
    </row>
    <row r="32705" spans="6:8">
      <c r="H32705" t="s">
        <v>30200</v>
      </c>
    </row>
    <row r="32706" spans="6:8">
      <c r="H32706" t="s">
        <v>30201</v>
      </c>
    </row>
    <row r="32707" spans="6:8">
      <c r="H32707" t="s">
        <v>30202</v>
      </c>
    </row>
    <row r="32708" spans="6:8">
      <c r="H32708" t="s">
        <v>30203</v>
      </c>
    </row>
    <row r="32709" spans="6:8">
      <c r="H32709" t="s">
        <v>30204</v>
      </c>
    </row>
    <row r="32710" spans="6:8">
      <c r="H32710" t="s">
        <v>30205</v>
      </c>
    </row>
    <row r="32711" spans="6:8">
      <c r="H32711" t="s">
        <v>30206</v>
      </c>
    </row>
    <row r="32712" spans="6:8">
      <c r="H32712" t="s">
        <v>30207</v>
      </c>
    </row>
    <row r="32713" spans="6:8">
      <c r="H32713" t="s">
        <v>30208</v>
      </c>
    </row>
    <row r="32714" spans="6:8">
      <c r="H32714" t="s">
        <v>30209</v>
      </c>
    </row>
    <row r="32715" spans="6:8">
      <c r="H32715" t="s">
        <v>30210</v>
      </c>
    </row>
    <row r="32716" spans="6:8">
      <c r="H32716" t="s">
        <v>30211</v>
      </c>
    </row>
    <row r="32717" spans="6:8">
      <c r="H32717" t="s">
        <v>30212</v>
      </c>
    </row>
    <row r="32718" spans="6:8">
      <c r="H32718" t="s">
        <v>30213</v>
      </c>
    </row>
    <row r="32719" spans="6:8">
      <c r="F32719" t="s">
        <v>13507</v>
      </c>
      <c r="G32719" t="s">
        <v>17624</v>
      </c>
      <c r="H32719" t="s">
        <v>30030</v>
      </c>
    </row>
    <row r="32720" spans="6:8">
      <c r="F32720" t="s">
        <v>13508</v>
      </c>
      <c r="G32720" t="s">
        <v>17625</v>
      </c>
      <c r="H32720" t="s">
        <v>18829</v>
      </c>
    </row>
    <row r="32721" spans="8:8">
      <c r="H32721" t="s">
        <v>19982</v>
      </c>
    </row>
    <row r="32722" spans="8:8">
      <c r="H32722" t="s">
        <v>30030</v>
      </c>
    </row>
    <row r="32723" spans="8:8">
      <c r="H32723" t="s">
        <v>31352</v>
      </c>
    </row>
    <row r="32724" spans="8:8">
      <c r="H32724" t="s">
        <v>31353</v>
      </c>
    </row>
    <row r="32725" spans="8:8">
      <c r="H32725" t="s">
        <v>31354</v>
      </c>
    </row>
    <row r="32726" spans="8:8">
      <c r="H32726" t="s">
        <v>31355</v>
      </c>
    </row>
    <row r="32727" spans="8:8">
      <c r="H32727" t="s">
        <v>31356</v>
      </c>
    </row>
    <row r="32728" spans="8:8">
      <c r="H32728" t="s">
        <v>30215</v>
      </c>
    </row>
    <row r="32729" spans="8:8">
      <c r="H32729" t="s">
        <v>30167</v>
      </c>
    </row>
    <row r="32730" spans="8:8">
      <c r="H32730" t="s">
        <v>30168</v>
      </c>
    </row>
    <row r="32731" spans="8:8">
      <c r="H32731" t="s">
        <v>30171</v>
      </c>
    </row>
    <row r="32732" spans="8:8">
      <c r="H32732" t="s">
        <v>31345</v>
      </c>
    </row>
    <row r="32733" spans="8:8">
      <c r="H32733" t="s">
        <v>31346</v>
      </c>
    </row>
    <row r="32734" spans="8:8">
      <c r="H32734" t="s">
        <v>31347</v>
      </c>
    </row>
    <row r="32735" spans="8:8">
      <c r="H32735" t="s">
        <v>31357</v>
      </c>
    </row>
    <row r="32736" spans="8:8">
      <c r="H32736" t="s">
        <v>31358</v>
      </c>
    </row>
    <row r="32737" spans="8:8">
      <c r="H32737" t="s">
        <v>31359</v>
      </c>
    </row>
    <row r="32738" spans="8:8">
      <c r="H32738" t="s">
        <v>30216</v>
      </c>
    </row>
    <row r="32739" spans="8:8">
      <c r="H32739" t="s">
        <v>31338</v>
      </c>
    </row>
    <row r="32740" spans="8:8">
      <c r="H32740" t="s">
        <v>31339</v>
      </c>
    </row>
    <row r="32741" spans="8:8">
      <c r="H32741" t="s">
        <v>31340</v>
      </c>
    </row>
    <row r="32742" spans="8:8">
      <c r="H32742" t="s">
        <v>31360</v>
      </c>
    </row>
    <row r="32743" spans="8:8">
      <c r="H32743" t="s">
        <v>31342</v>
      </c>
    </row>
    <row r="32744" spans="8:8">
      <c r="H32744" t="s">
        <v>31343</v>
      </c>
    </row>
    <row r="32745" spans="8:8">
      <c r="H32745" t="s">
        <v>31344</v>
      </c>
    </row>
    <row r="32746" spans="8:8">
      <c r="H32746" t="s">
        <v>31348</v>
      </c>
    </row>
    <row r="32747" spans="8:8">
      <c r="H32747" t="s">
        <v>31349</v>
      </c>
    </row>
    <row r="32748" spans="8:8">
      <c r="H32748" t="s">
        <v>31350</v>
      </c>
    </row>
    <row r="32749" spans="8:8">
      <c r="H32749" t="s">
        <v>31351</v>
      </c>
    </row>
    <row r="32750" spans="8:8">
      <c r="H32750" t="s">
        <v>30219</v>
      </c>
    </row>
    <row r="32751" spans="8:8">
      <c r="H32751" t="s">
        <v>30220</v>
      </c>
    </row>
    <row r="32752" spans="8:8">
      <c r="H32752" t="s">
        <v>31361</v>
      </c>
    </row>
    <row r="32753" spans="6:8">
      <c r="H32753" t="s">
        <v>30222</v>
      </c>
    </row>
    <row r="32754" spans="6:8">
      <c r="H32754" t="s">
        <v>30223</v>
      </c>
    </row>
    <row r="32755" spans="6:8">
      <c r="H32755" t="s">
        <v>31362</v>
      </c>
    </row>
    <row r="32756" spans="6:8">
      <c r="H32756" t="s">
        <v>30224</v>
      </c>
    </row>
    <row r="32757" spans="6:8">
      <c r="H32757" t="s">
        <v>31363</v>
      </c>
    </row>
    <row r="32758" spans="6:8">
      <c r="H32758" t="s">
        <v>30225</v>
      </c>
    </row>
    <row r="32759" spans="6:8">
      <c r="H32759" t="s">
        <v>31364</v>
      </c>
    </row>
    <row r="32760" spans="6:8">
      <c r="H32760" t="s">
        <v>30226</v>
      </c>
    </row>
    <row r="32761" spans="6:8">
      <c r="H32761" t="s">
        <v>26314</v>
      </c>
    </row>
    <row r="32762" spans="6:8">
      <c r="H32762" t="s">
        <v>30229</v>
      </c>
    </row>
    <row r="32763" spans="6:8">
      <c r="H32763" t="s">
        <v>30230</v>
      </c>
    </row>
    <row r="32764" spans="6:8">
      <c r="F32764" t="s">
        <v>13526</v>
      </c>
      <c r="G32764" t="s">
        <v>17641</v>
      </c>
      <c r="H32764" t="s">
        <v>18829</v>
      </c>
    </row>
    <row r="32765" spans="6:8">
      <c r="H32765" t="s">
        <v>19982</v>
      </c>
    </row>
    <row r="32766" spans="6:8">
      <c r="H32766" t="s">
        <v>31365</v>
      </c>
    </row>
    <row r="32767" spans="6:8">
      <c r="H32767" t="s">
        <v>31366</v>
      </c>
    </row>
    <row r="32768" spans="6:8">
      <c r="H32768" t="s">
        <v>31367</v>
      </c>
    </row>
    <row r="32769" spans="8:8">
      <c r="H32769" t="s">
        <v>31368</v>
      </c>
    </row>
    <row r="32770" spans="8:8">
      <c r="H32770" t="s">
        <v>30167</v>
      </c>
    </row>
    <row r="32771" spans="8:8">
      <c r="H32771" t="s">
        <v>30168</v>
      </c>
    </row>
    <row r="32772" spans="8:8">
      <c r="H32772" t="s">
        <v>30171</v>
      </c>
    </row>
    <row r="32773" spans="8:8">
      <c r="H32773" t="s">
        <v>30173</v>
      </c>
    </row>
    <row r="32774" spans="8:8">
      <c r="H32774" t="s">
        <v>30174</v>
      </c>
    </row>
    <row r="32775" spans="8:8">
      <c r="H32775" t="s">
        <v>30175</v>
      </c>
    </row>
    <row r="32776" spans="8:8">
      <c r="H32776" t="s">
        <v>30170</v>
      </c>
    </row>
    <row r="32777" spans="8:8">
      <c r="H32777" t="s">
        <v>30169</v>
      </c>
    </row>
    <row r="32778" spans="8:8">
      <c r="H32778" t="s">
        <v>31347</v>
      </c>
    </row>
    <row r="32779" spans="8:8">
      <c r="H32779" t="s">
        <v>30216</v>
      </c>
    </row>
    <row r="32780" spans="8:8">
      <c r="H32780" t="s">
        <v>31339</v>
      </c>
    </row>
    <row r="32781" spans="8:8">
      <c r="H32781" t="s">
        <v>31342</v>
      </c>
    </row>
    <row r="32782" spans="8:8">
      <c r="H32782" t="s">
        <v>31343</v>
      </c>
    </row>
    <row r="32783" spans="8:8">
      <c r="H32783" t="s">
        <v>31344</v>
      </c>
    </row>
    <row r="32784" spans="8:8">
      <c r="H32784" t="s">
        <v>31369</v>
      </c>
    </row>
    <row r="32785" spans="8:8">
      <c r="H32785" t="s">
        <v>30189</v>
      </c>
    </row>
    <row r="32786" spans="8:8">
      <c r="H32786" t="s">
        <v>30188</v>
      </c>
    </row>
    <row r="32787" spans="8:8">
      <c r="H32787" t="s">
        <v>30187</v>
      </c>
    </row>
    <row r="32788" spans="8:8">
      <c r="H32788" t="s">
        <v>30192</v>
      </c>
    </row>
    <row r="32789" spans="8:8">
      <c r="H32789" t="s">
        <v>30191</v>
      </c>
    </row>
    <row r="32790" spans="8:8">
      <c r="H32790" t="s">
        <v>30190</v>
      </c>
    </row>
    <row r="32791" spans="8:8">
      <c r="H32791" t="s">
        <v>31370</v>
      </c>
    </row>
    <row r="32792" spans="8:8">
      <c r="H32792" t="s">
        <v>30226</v>
      </c>
    </row>
    <row r="32793" spans="8:8">
      <c r="H32793" t="s">
        <v>31371</v>
      </c>
    </row>
    <row r="32794" spans="8:8">
      <c r="H32794" t="s">
        <v>18893</v>
      </c>
    </row>
    <row r="32795" spans="8:8">
      <c r="H32795" t="s">
        <v>30229</v>
      </c>
    </row>
    <row r="32796" spans="8:8">
      <c r="H32796" t="s">
        <v>31372</v>
      </c>
    </row>
    <row r="32797" spans="8:8">
      <c r="H32797" t="s">
        <v>31373</v>
      </c>
    </row>
    <row r="32798" spans="8:8">
      <c r="H32798" t="s">
        <v>31374</v>
      </c>
    </row>
    <row r="32799" spans="8:8">
      <c r="H32799" t="s">
        <v>31375</v>
      </c>
    </row>
    <row r="32800" spans="8:8">
      <c r="H32800" t="s">
        <v>31376</v>
      </c>
    </row>
    <row r="32801" spans="6:8">
      <c r="H32801" t="s">
        <v>31377</v>
      </c>
    </row>
    <row r="32802" spans="6:8">
      <c r="H32802" t="s">
        <v>31310</v>
      </c>
    </row>
    <row r="32803" spans="6:8">
      <c r="F32803" t="s">
        <v>13524</v>
      </c>
      <c r="G32803" t="s">
        <v>17639</v>
      </c>
      <c r="H32803" t="s">
        <v>18829</v>
      </c>
    </row>
    <row r="32804" spans="6:8">
      <c r="H32804" t="s">
        <v>19982</v>
      </c>
    </row>
    <row r="32805" spans="6:8">
      <c r="H32805" t="s">
        <v>31318</v>
      </c>
    </row>
    <row r="32806" spans="6:8">
      <c r="H32806" t="s">
        <v>31319</v>
      </c>
    </row>
    <row r="32807" spans="6:8">
      <c r="H32807" t="s">
        <v>31320</v>
      </c>
    </row>
    <row r="32808" spans="6:8">
      <c r="H32808" t="s">
        <v>31321</v>
      </c>
    </row>
    <row r="32809" spans="6:8">
      <c r="H32809" t="s">
        <v>31322</v>
      </c>
    </row>
    <row r="32810" spans="6:8">
      <c r="H32810" t="s">
        <v>31323</v>
      </c>
    </row>
    <row r="32811" spans="6:8">
      <c r="H32811" t="s">
        <v>31324</v>
      </c>
    </row>
    <row r="32812" spans="6:8">
      <c r="H32812" t="s">
        <v>18893</v>
      </c>
    </row>
    <row r="32813" spans="6:8">
      <c r="H32813" t="s">
        <v>28391</v>
      </c>
    </row>
    <row r="32814" spans="6:8">
      <c r="H32814" t="s">
        <v>31325</v>
      </c>
    </row>
    <row r="32815" spans="6:8">
      <c r="H32815" t="s">
        <v>31326</v>
      </c>
    </row>
    <row r="32816" spans="6:8">
      <c r="F32816" t="s">
        <v>13509</v>
      </c>
      <c r="G32816" t="s">
        <v>17626</v>
      </c>
      <c r="H32816" t="s">
        <v>18829</v>
      </c>
    </row>
    <row r="32817" spans="6:8">
      <c r="H32817" t="s">
        <v>30231</v>
      </c>
    </row>
    <row r="32818" spans="6:8">
      <c r="H32818" t="s">
        <v>30232</v>
      </c>
    </row>
    <row r="32819" spans="6:8">
      <c r="F32819" t="s">
        <v>13522</v>
      </c>
      <c r="G32819" t="s">
        <v>17637</v>
      </c>
      <c r="H32819" t="s">
        <v>31378</v>
      </c>
    </row>
    <row r="32820" spans="6:8">
      <c r="H32820" t="s">
        <v>31379</v>
      </c>
    </row>
    <row r="32821" spans="6:8">
      <c r="H32821" t="s">
        <v>19928</v>
      </c>
    </row>
    <row r="32822" spans="6:8">
      <c r="H32822" t="s">
        <v>30238</v>
      </c>
    </row>
    <row r="32823" spans="6:8">
      <c r="H32823" t="s">
        <v>27403</v>
      </c>
    </row>
    <row r="32824" spans="6:8">
      <c r="H32824" t="s">
        <v>31327</v>
      </c>
    </row>
    <row r="32825" spans="6:8">
      <c r="H32825" t="s">
        <v>31380</v>
      </c>
    </row>
    <row r="32826" spans="6:8">
      <c r="H32826" t="s">
        <v>31381</v>
      </c>
    </row>
    <row r="32827" spans="6:8">
      <c r="H32827" t="s">
        <v>30241</v>
      </c>
    </row>
    <row r="32828" spans="6:8">
      <c r="H32828" t="s">
        <v>30242</v>
      </c>
    </row>
    <row r="32829" spans="6:8">
      <c r="H32829" t="s">
        <v>19982</v>
      </c>
    </row>
    <row r="32830" spans="6:8">
      <c r="F32830" t="s">
        <v>13532</v>
      </c>
      <c r="G32830" t="s">
        <v>16863</v>
      </c>
      <c r="H32830" t="s">
        <v>31328</v>
      </c>
    </row>
    <row r="32831" spans="6:8">
      <c r="H32831" t="s">
        <v>31382</v>
      </c>
    </row>
    <row r="32832" spans="6:8">
      <c r="H32832" t="s">
        <v>31383</v>
      </c>
    </row>
    <row r="32833" spans="1:8">
      <c r="H32833" t="s">
        <v>31384</v>
      </c>
    </row>
    <row r="32834" spans="1:8">
      <c r="H32834" t="s">
        <v>31385</v>
      </c>
    </row>
    <row r="32835" spans="1:8">
      <c r="H32835" t="s">
        <v>31386</v>
      </c>
    </row>
    <row r="32836" spans="1:8">
      <c r="F32836" t="s">
        <v>13733</v>
      </c>
      <c r="G32836" t="s">
        <v>17794</v>
      </c>
      <c r="H32836" t="s">
        <v>19981</v>
      </c>
    </row>
    <row r="32837" spans="1:8">
      <c r="H32837" t="s">
        <v>18863</v>
      </c>
    </row>
    <row r="32838" spans="1:8">
      <c r="H32838" t="s">
        <v>22650</v>
      </c>
    </row>
    <row r="32839" spans="1:8">
      <c r="H32839" t="s">
        <v>31299</v>
      </c>
    </row>
    <row r="32840" spans="1:8">
      <c r="H32840" t="s">
        <v>18836</v>
      </c>
    </row>
    <row r="32841" spans="1:8">
      <c r="H32841" t="s">
        <v>31300</v>
      </c>
    </row>
    <row r="32842" spans="1:8">
      <c r="H32842" t="s">
        <v>31301</v>
      </c>
    </row>
    <row r="32843" spans="1:8">
      <c r="A32843" t="s">
        <v>2548</v>
      </c>
      <c r="B32843">
        <f>HYPERLINK("https://android.googlesource.com/platform/cts/+/93b46e5e42d6fc9d462e051e0f28bfa8c8c3cf2c", "93b46e5e42d6fc9d462e051e0f28bfa8c8c3cf2c")</f>
        <v>0</v>
      </c>
      <c r="C32843">
        <f>HYPERLINK("https://android.googlesource.com/platform/cts/+/340b6af4a1bf9ad00a3127cfc6bd3b97cf24efc9", "340b6af4a1bf9ad00a3127cfc6bd3b97cf24efc9")</f>
        <v>0</v>
      </c>
      <c r="D32843" t="s">
        <v>5411</v>
      </c>
      <c r="E32843" t="s">
        <v>8277</v>
      </c>
      <c r="F32843" t="s">
        <v>13912</v>
      </c>
      <c r="G32843" t="s">
        <v>17949</v>
      </c>
      <c r="H32843" t="s">
        <v>32252</v>
      </c>
    </row>
    <row r="32844" spans="1:8">
      <c r="A32844" t="s">
        <v>2549</v>
      </c>
      <c r="B32844">
        <f>HYPERLINK("https://android.googlesource.com/platform/cts/+/890fd9833ecb23084fef78d7b73ad6c9122f3c35", "890fd9833ecb23084fef78d7b73ad6c9122f3c35")</f>
        <v>0</v>
      </c>
      <c r="C32844">
        <f>HYPERLINK("https://android.googlesource.com/platform/cts/+/9cf74ae593f8f7216d66fccc63e8fae5456e2e19", "9cf74ae593f8f7216d66fccc63e8fae5456e2e19")</f>
        <v>0</v>
      </c>
      <c r="D32844" t="s">
        <v>4952</v>
      </c>
      <c r="E32844" t="s">
        <v>8278</v>
      </c>
      <c r="F32844" t="s">
        <v>13913</v>
      </c>
      <c r="G32844" t="s">
        <v>17950</v>
      </c>
      <c r="H32844" t="s">
        <v>32253</v>
      </c>
    </row>
    <row r="32845" spans="1:8">
      <c r="H32845" t="s">
        <v>32254</v>
      </c>
    </row>
    <row r="32846" spans="1:8">
      <c r="A32846" t="s">
        <v>2550</v>
      </c>
      <c r="B32846">
        <f>HYPERLINK("https://android.googlesource.com/platform/cts/+/c5bc9faf0bfd7ab70425c8f3fc84c5c8feb60b28", "c5bc9faf0bfd7ab70425c8f3fc84c5c8feb60b28")</f>
        <v>0</v>
      </c>
      <c r="C32846">
        <f>HYPERLINK("https://android.googlesource.com/platform/cts/+/4ce4f7ab922bee27aa5c598a3496ad4a3238ad08", "4ce4f7ab922bee27aa5c598a3496ad4a3238ad08")</f>
        <v>0</v>
      </c>
      <c r="D32846" t="s">
        <v>5040</v>
      </c>
      <c r="E32846" t="s">
        <v>8279</v>
      </c>
      <c r="F32846" t="s">
        <v>12344</v>
      </c>
      <c r="G32846" t="s">
        <v>16572</v>
      </c>
      <c r="H32846" t="s">
        <v>32255</v>
      </c>
    </row>
    <row r="32847" spans="1:8">
      <c r="H32847" t="s">
        <v>32256</v>
      </c>
    </row>
    <row r="32848" spans="1:8">
      <c r="H32848" t="s">
        <v>32257</v>
      </c>
    </row>
    <row r="32849" spans="1:8">
      <c r="H32849" t="s">
        <v>32258</v>
      </c>
    </row>
    <row r="32850" spans="1:8">
      <c r="A32850" t="s">
        <v>2551</v>
      </c>
      <c r="B32850">
        <f>HYPERLINK("https://android.googlesource.com/platform/cts/+/471bad76deadd2aca98740a6a592fa2b46ff0f40", "471bad76deadd2aca98740a6a592fa2b46ff0f40")</f>
        <v>0</v>
      </c>
      <c r="C32850">
        <f>HYPERLINK("https://android.googlesource.com/platform/cts/+/60258bbf6eb203e03d492d44a8997b331266a57d", "60258bbf6eb203e03d492d44a8997b331266a57d")</f>
        <v>0</v>
      </c>
      <c r="D32850" t="s">
        <v>5244</v>
      </c>
      <c r="E32850" t="s">
        <v>8280</v>
      </c>
      <c r="F32850" t="s">
        <v>13914</v>
      </c>
      <c r="G32850" t="s">
        <v>15170</v>
      </c>
      <c r="H32850" t="s">
        <v>18829</v>
      </c>
    </row>
    <row r="32851" spans="1:8">
      <c r="H32851" t="s">
        <v>18863</v>
      </c>
    </row>
    <row r="32852" spans="1:8">
      <c r="H32852" t="s">
        <v>32259</v>
      </c>
    </row>
    <row r="32853" spans="1:8">
      <c r="H32853" t="s">
        <v>32260</v>
      </c>
    </row>
    <row r="32854" spans="1:8">
      <c r="H32854" t="s">
        <v>32261</v>
      </c>
    </row>
    <row r="32855" spans="1:8">
      <c r="H32855" t="s">
        <v>32262</v>
      </c>
    </row>
    <row r="32856" spans="1:8">
      <c r="H32856" t="s">
        <v>31554</v>
      </c>
    </row>
    <row r="32857" spans="1:8">
      <c r="H32857" t="s">
        <v>32263</v>
      </c>
    </row>
    <row r="32858" spans="1:8">
      <c r="H32858" t="s">
        <v>32264</v>
      </c>
    </row>
    <row r="32859" spans="1:8">
      <c r="H32859" t="s">
        <v>32265</v>
      </c>
    </row>
    <row r="32860" spans="1:8">
      <c r="H32860" t="s">
        <v>32266</v>
      </c>
    </row>
    <row r="32861" spans="1:8">
      <c r="H32861" t="s">
        <v>32267</v>
      </c>
    </row>
    <row r="32862" spans="1:8">
      <c r="H32862" t="s">
        <v>32268</v>
      </c>
    </row>
    <row r="32863" spans="1:8">
      <c r="H32863" t="s">
        <v>32269</v>
      </c>
    </row>
    <row r="32864" spans="1:8">
      <c r="H32864" t="s">
        <v>19019</v>
      </c>
    </row>
    <row r="32865" spans="1:8">
      <c r="H32865" t="s">
        <v>32270</v>
      </c>
    </row>
    <row r="32866" spans="1:8">
      <c r="H32866" t="s">
        <v>32271</v>
      </c>
    </row>
    <row r="32867" spans="1:8">
      <c r="H32867" t="s">
        <v>32272</v>
      </c>
    </row>
    <row r="32868" spans="1:8">
      <c r="H32868" t="s">
        <v>32273</v>
      </c>
    </row>
    <row r="32869" spans="1:8">
      <c r="H32869" t="s">
        <v>32274</v>
      </c>
    </row>
    <row r="32870" spans="1:8">
      <c r="H32870" t="s">
        <v>32275</v>
      </c>
    </row>
    <row r="32871" spans="1:8">
      <c r="H32871" t="s">
        <v>32276</v>
      </c>
    </row>
    <row r="32872" spans="1:8">
      <c r="H32872" t="s">
        <v>32277</v>
      </c>
    </row>
    <row r="32873" spans="1:8">
      <c r="H32873" t="s">
        <v>32278</v>
      </c>
    </row>
    <row r="32874" spans="1:8">
      <c r="H32874" t="s">
        <v>32279</v>
      </c>
    </row>
    <row r="32875" spans="1:8">
      <c r="H32875" t="s">
        <v>32280</v>
      </c>
    </row>
    <row r="32876" spans="1:8">
      <c r="H32876" t="s">
        <v>32281</v>
      </c>
    </row>
    <row r="32877" spans="1:8">
      <c r="H32877" t="s">
        <v>32282</v>
      </c>
    </row>
    <row r="32878" spans="1:8">
      <c r="A32878" t="s">
        <v>2552</v>
      </c>
      <c r="B32878">
        <f>HYPERLINK("https://android.googlesource.com/platform/cts/+/3f3d2b75e610457e628d93597bded0be222b6969", "3f3d2b75e610457e628d93597bded0be222b6969")</f>
        <v>0</v>
      </c>
      <c r="C32878">
        <f>HYPERLINK("https://android.googlesource.com/platform/cts/+/8e725a668567ced8afa44549b1ac83ec7c3c9203", "8e725a668567ced8afa44549b1ac83ec7c3c9203")</f>
        <v>0</v>
      </c>
      <c r="D32878" t="s">
        <v>4952</v>
      </c>
      <c r="E32878" t="s">
        <v>8281</v>
      </c>
      <c r="F32878" t="s">
        <v>13915</v>
      </c>
      <c r="G32878" t="s">
        <v>17951</v>
      </c>
      <c r="H32878" t="s">
        <v>32283</v>
      </c>
    </row>
    <row r="32879" spans="1:8">
      <c r="H32879" t="s">
        <v>32284</v>
      </c>
    </row>
    <row r="32880" spans="1:8">
      <c r="H32880" t="s">
        <v>32285</v>
      </c>
    </row>
    <row r="32881" spans="8:8">
      <c r="H32881" t="s">
        <v>32286</v>
      </c>
    </row>
    <row r="32882" spans="8:8">
      <c r="H32882" t="s">
        <v>32287</v>
      </c>
    </row>
    <row r="32883" spans="8:8">
      <c r="H32883" t="s">
        <v>22686</v>
      </c>
    </row>
    <row r="32884" spans="8:8">
      <c r="H32884" t="s">
        <v>32288</v>
      </c>
    </row>
    <row r="32885" spans="8:8">
      <c r="H32885" t="s">
        <v>32289</v>
      </c>
    </row>
    <row r="32886" spans="8:8">
      <c r="H32886" t="s">
        <v>32290</v>
      </c>
    </row>
    <row r="32887" spans="8:8">
      <c r="H32887" t="s">
        <v>32291</v>
      </c>
    </row>
    <row r="32888" spans="8:8">
      <c r="H32888" t="s">
        <v>32292</v>
      </c>
    </row>
    <row r="32889" spans="8:8">
      <c r="H32889" t="s">
        <v>32293</v>
      </c>
    </row>
    <row r="32890" spans="8:8">
      <c r="H32890" t="s">
        <v>29667</v>
      </c>
    </row>
    <row r="32891" spans="8:8">
      <c r="H32891" t="s">
        <v>18927</v>
      </c>
    </row>
    <row r="32892" spans="8:8">
      <c r="H32892" t="s">
        <v>18954</v>
      </c>
    </row>
    <row r="32893" spans="8:8">
      <c r="H32893" t="s">
        <v>32294</v>
      </c>
    </row>
    <row r="32894" spans="8:8">
      <c r="H32894" t="s">
        <v>32295</v>
      </c>
    </row>
    <row r="32895" spans="8:8">
      <c r="H32895" t="s">
        <v>19743</v>
      </c>
    </row>
    <row r="32896" spans="8:8">
      <c r="H32896" t="s">
        <v>32288</v>
      </c>
    </row>
    <row r="32897" spans="1:8">
      <c r="H32897" t="s">
        <v>32289</v>
      </c>
    </row>
    <row r="32898" spans="1:8">
      <c r="H32898" t="s">
        <v>32290</v>
      </c>
    </row>
    <row r="32899" spans="1:8">
      <c r="H32899" t="s">
        <v>32291</v>
      </c>
    </row>
    <row r="32900" spans="1:8">
      <c r="H32900" t="s">
        <v>32292</v>
      </c>
    </row>
    <row r="32901" spans="1:8">
      <c r="H32901" t="s">
        <v>32296</v>
      </c>
    </row>
    <row r="32902" spans="1:8">
      <c r="H32902" t="s">
        <v>32297</v>
      </c>
    </row>
    <row r="32903" spans="1:8">
      <c r="H32903" t="s">
        <v>22686</v>
      </c>
    </row>
    <row r="32904" spans="1:8">
      <c r="A32904" t="s">
        <v>2553</v>
      </c>
      <c r="B32904">
        <f>HYPERLINK("https://android.googlesource.com/platform/cts/+/697dab10d5b3d45ac63e05cb5072122ab376af6a", "697dab10d5b3d45ac63e05cb5072122ab376af6a")</f>
        <v>0</v>
      </c>
      <c r="C32904">
        <f>HYPERLINK("https://android.googlesource.com/platform/cts/+/30bff89770bfb1efbccd5cc278b941790fb4899b", "30bff89770bfb1efbccd5cc278b941790fb4899b")</f>
        <v>0</v>
      </c>
      <c r="D32904" t="s">
        <v>5143</v>
      </c>
      <c r="E32904" t="s">
        <v>8282</v>
      </c>
      <c r="F32904" t="s">
        <v>12984</v>
      </c>
      <c r="G32904" t="s">
        <v>17148</v>
      </c>
      <c r="H32904" t="s">
        <v>32298</v>
      </c>
    </row>
    <row r="32905" spans="1:8">
      <c r="H32905" t="s">
        <v>32299</v>
      </c>
    </row>
    <row r="32906" spans="1:8">
      <c r="A32906" t="s">
        <v>2554</v>
      </c>
      <c r="B32906">
        <f>HYPERLINK("https://android.googlesource.com/platform/cts/+/548c91af088a4a5411ae011fba2bb6484f57066c", "548c91af088a4a5411ae011fba2bb6484f57066c")</f>
        <v>0</v>
      </c>
      <c r="C32906">
        <f>HYPERLINK("https://android.googlesource.com/platform/cts/+/cf9d6dbc211cab887c1c4d9df783ef0907e98fef", "cf9d6dbc211cab887c1c4d9df783ef0907e98fef")</f>
        <v>0</v>
      </c>
      <c r="D32906" t="s">
        <v>5147</v>
      </c>
      <c r="E32906" t="s">
        <v>8283</v>
      </c>
      <c r="F32906" t="s">
        <v>13916</v>
      </c>
      <c r="G32906" t="s">
        <v>17952</v>
      </c>
      <c r="H32906" t="s">
        <v>32300</v>
      </c>
    </row>
    <row r="32907" spans="1:8">
      <c r="A32907" t="s">
        <v>2555</v>
      </c>
      <c r="B32907">
        <f>HYPERLINK("https://android.googlesource.com/platform/cts/+/6dfeb5b45b0578eb92d3f06f2ca7949f5a80fb11", "6dfeb5b45b0578eb92d3f06f2ca7949f5a80fb11")</f>
        <v>0</v>
      </c>
      <c r="C32907">
        <f>HYPERLINK("https://android.googlesource.com/platform/cts/+/c910b565203b9bb4ad2efe98650c4ec3e5eee093", "c910b565203b9bb4ad2efe98650c4ec3e5eee093")</f>
        <v>0</v>
      </c>
      <c r="D32907" t="s">
        <v>5211</v>
      </c>
      <c r="E32907" t="s">
        <v>8284</v>
      </c>
      <c r="F32907" t="s">
        <v>13907</v>
      </c>
      <c r="G32907" t="s">
        <v>17944</v>
      </c>
      <c r="H32907" t="s">
        <v>32243</v>
      </c>
    </row>
    <row r="32908" spans="1:8">
      <c r="F32908" t="s">
        <v>13908</v>
      </c>
      <c r="G32908" t="s">
        <v>17945</v>
      </c>
      <c r="H32908" t="s">
        <v>32243</v>
      </c>
    </row>
    <row r="32909" spans="1:8">
      <c r="F32909" t="s">
        <v>13909</v>
      </c>
      <c r="G32909" t="s">
        <v>17946</v>
      </c>
      <c r="H32909" t="s">
        <v>32243</v>
      </c>
    </row>
    <row r="32910" spans="1:8">
      <c r="A32910" t="s">
        <v>2556</v>
      </c>
      <c r="B32910">
        <f>HYPERLINK("https://android.googlesource.com/platform/cts/+/080b2af8619eeb67dc4af42ecd672543a7dcb8c6", "080b2af8619eeb67dc4af42ecd672543a7dcb8c6")</f>
        <v>0</v>
      </c>
      <c r="C32910">
        <f>HYPERLINK("https://android.googlesource.com/platform/cts/+/ac44a36cbe6559c7862aba7c9d715b488a139cdb", "ac44a36cbe6559c7862aba7c9d715b488a139cdb")</f>
        <v>0</v>
      </c>
      <c r="D32910" t="s">
        <v>5140</v>
      </c>
      <c r="E32910" t="s">
        <v>8285</v>
      </c>
      <c r="F32910" t="s">
        <v>13912</v>
      </c>
      <c r="G32910" t="s">
        <v>17949</v>
      </c>
      <c r="H32910" t="s">
        <v>32301</v>
      </c>
    </row>
    <row r="32911" spans="1:8">
      <c r="H32911" t="s">
        <v>25475</v>
      </c>
    </row>
    <row r="32912" spans="1:8">
      <c r="H32912" t="s">
        <v>25475</v>
      </c>
    </row>
    <row r="32913" spans="1:8">
      <c r="A32913" t="s">
        <v>2557</v>
      </c>
      <c r="B32913">
        <f>HYPERLINK("https://android.googlesource.com/platform/cts/+/c8f9b8d963bfe2ba14260f32b957b981fdfa35bd", "c8f9b8d963bfe2ba14260f32b957b981fdfa35bd")</f>
        <v>0</v>
      </c>
      <c r="C32913">
        <f>HYPERLINK("https://android.googlesource.com/platform/cts/+/4a0305555464f394b7db6a5792e4681b6a8cae8f", "4a0305555464f394b7db6a5792e4681b6a8cae8f")</f>
        <v>0</v>
      </c>
      <c r="D32913" t="s">
        <v>5051</v>
      </c>
      <c r="E32913" t="s">
        <v>8286</v>
      </c>
      <c r="F32913" t="s">
        <v>12623</v>
      </c>
      <c r="G32913" t="s">
        <v>16833</v>
      </c>
      <c r="H32913" t="s">
        <v>32302</v>
      </c>
    </row>
    <row r="32914" spans="1:8">
      <c r="A32914" t="s">
        <v>2558</v>
      </c>
      <c r="B32914">
        <f>HYPERLINK("https://android.googlesource.com/platform/cts/+/757776f00a380930e921788488aa0f46e01baeab", "757776f00a380930e921788488aa0f46e01baeab")</f>
        <v>0</v>
      </c>
      <c r="C32914">
        <f>HYPERLINK("https://android.googlesource.com/platform/cts/+/5d260eb0283c64d64e24fe39476cc39824da4a40", "5d260eb0283c64d64e24fe39476cc39824da4a40")</f>
        <v>0</v>
      </c>
      <c r="D32914" t="s">
        <v>5412</v>
      </c>
      <c r="E32914" t="s">
        <v>8287</v>
      </c>
      <c r="F32914" t="s">
        <v>12904</v>
      </c>
      <c r="G32914" t="s">
        <v>17070</v>
      </c>
      <c r="H32914" t="s">
        <v>26905</v>
      </c>
    </row>
    <row r="32915" spans="1:8">
      <c r="H32915" t="s">
        <v>32303</v>
      </c>
    </row>
    <row r="32916" spans="1:8">
      <c r="H32916" t="s">
        <v>32304</v>
      </c>
    </row>
    <row r="32917" spans="1:8">
      <c r="A32917" t="s">
        <v>2559</v>
      </c>
      <c r="B32917">
        <f>HYPERLINK("https://android.googlesource.com/platform/cts/+/4b3eeb91cbf27483dbc1ef357fda136462221d15", "4b3eeb91cbf27483dbc1ef357fda136462221d15")</f>
        <v>0</v>
      </c>
      <c r="C32917">
        <f>HYPERLINK("https://android.googlesource.com/platform/cts/+/e480b345a1083e4aac801af7eec76fdaabd95a13", "e480b345a1083e4aac801af7eec76fdaabd95a13")</f>
        <v>0</v>
      </c>
      <c r="D32917" t="s">
        <v>5117</v>
      </c>
      <c r="E32917" t="s">
        <v>8288</v>
      </c>
      <c r="F32917" t="s">
        <v>13917</v>
      </c>
      <c r="G32917" t="s">
        <v>17953</v>
      </c>
      <c r="H32917" t="s">
        <v>32305</v>
      </c>
    </row>
    <row r="32918" spans="1:8">
      <c r="F32918" t="s">
        <v>13788</v>
      </c>
      <c r="G32918" t="s">
        <v>17841</v>
      </c>
      <c r="H32918" t="s">
        <v>26759</v>
      </c>
    </row>
    <row r="32919" spans="1:8">
      <c r="A32919" t="s">
        <v>2560</v>
      </c>
      <c r="B32919">
        <f>HYPERLINK("https://android.googlesource.com/platform/cts/+/e331478a03cdedbb9efd1fbef0c35ce89220dfcc", "e331478a03cdedbb9efd1fbef0c35ce89220dfcc")</f>
        <v>0</v>
      </c>
      <c r="C32919">
        <f>HYPERLINK("https://android.googlesource.com/platform/cts/+/f8d2c51dc701de9f5f91c8bbc434a2ed94ff1098", "f8d2c51dc701de9f5f91c8bbc434a2ed94ff1098")</f>
        <v>0</v>
      </c>
      <c r="D32919" t="s">
        <v>5265</v>
      </c>
      <c r="E32919" t="s">
        <v>8289</v>
      </c>
      <c r="F32919" t="s">
        <v>12788</v>
      </c>
      <c r="G32919" t="s">
        <v>15076</v>
      </c>
      <c r="H32919" t="s">
        <v>32306</v>
      </c>
    </row>
    <row r="32920" spans="1:8">
      <c r="A32920" t="s">
        <v>2561</v>
      </c>
      <c r="B32920">
        <f>HYPERLINK("https://android.googlesource.com/platform/cts/+/6c0ca5e26df724887b9d3a1d9ae6202b0d4da38c", "6c0ca5e26df724887b9d3a1d9ae6202b0d4da38c")</f>
        <v>0</v>
      </c>
      <c r="C32920">
        <f>HYPERLINK("https://android.googlesource.com/platform/cts/+/499d96d9cf33405f5a3cf968fb074388f64d1853", "499d96d9cf33405f5a3cf968fb074388f64d1853")</f>
        <v>0</v>
      </c>
      <c r="D32920" t="s">
        <v>4949</v>
      </c>
      <c r="E32920" t="s">
        <v>8290</v>
      </c>
      <c r="F32920" t="s">
        <v>13918</v>
      </c>
      <c r="G32920" t="s">
        <v>17954</v>
      </c>
      <c r="H32920" t="s">
        <v>32307</v>
      </c>
    </row>
    <row r="32921" spans="1:8">
      <c r="H32921" t="s">
        <v>32308</v>
      </c>
    </row>
    <row r="32922" spans="1:8">
      <c r="A32922" t="s">
        <v>2562</v>
      </c>
      <c r="B32922">
        <f>HYPERLINK("https://android.googlesource.com/platform/cts/+/e82cc0d8ca3191e69f81eeca7297281b72e860ad", "e82cc0d8ca3191e69f81eeca7297281b72e860ad")</f>
        <v>0</v>
      </c>
      <c r="C32922">
        <f>HYPERLINK("https://android.googlesource.com/platform/cts/+/30bff89770bfb1efbccd5cc278b941790fb4899b", "30bff89770bfb1efbccd5cc278b941790fb4899b")</f>
        <v>0</v>
      </c>
      <c r="D32922" t="s">
        <v>5344</v>
      </c>
      <c r="E32922" t="s">
        <v>8291</v>
      </c>
      <c r="F32922" t="s">
        <v>13919</v>
      </c>
      <c r="G32922" t="s">
        <v>17955</v>
      </c>
      <c r="H32922" t="s">
        <v>32309</v>
      </c>
    </row>
    <row r="32923" spans="1:8">
      <c r="F32923" t="s">
        <v>12743</v>
      </c>
      <c r="G32923" t="s">
        <v>16935</v>
      </c>
      <c r="H32923" t="s">
        <v>32310</v>
      </c>
    </row>
    <row r="32924" spans="1:8">
      <c r="A32924" t="s">
        <v>2563</v>
      </c>
      <c r="B32924">
        <f>HYPERLINK("https://android.googlesource.com/platform/cts/+/3569aa72c1fa74d43f9390ef143f7b2bc4e8e20a", "3569aa72c1fa74d43f9390ef143f7b2bc4e8e20a")</f>
        <v>0</v>
      </c>
      <c r="C32924">
        <f>HYPERLINK("https://android.googlesource.com/platform/cts/+/6aeef38aba04e72fb6dbae4b7960b950935bba36", "6aeef38aba04e72fb6dbae4b7960b950935bba36")</f>
        <v>0</v>
      </c>
      <c r="D32924" t="s">
        <v>5413</v>
      </c>
      <c r="E32924" t="s">
        <v>8292</v>
      </c>
      <c r="F32924" t="s">
        <v>12879</v>
      </c>
      <c r="G32924" t="s">
        <v>17046</v>
      </c>
      <c r="H32924" t="s">
        <v>32311</v>
      </c>
    </row>
    <row r="32925" spans="1:8">
      <c r="A32925" t="s">
        <v>2565</v>
      </c>
      <c r="B32925">
        <f>HYPERLINK("https://android.googlesource.com/platform/cts/+/683a0ddebdf9b13cf21144c185cab6796e1d664c", "683a0ddebdf9b13cf21144c185cab6796e1d664c")</f>
        <v>0</v>
      </c>
      <c r="C32925">
        <f>HYPERLINK("https://android.googlesource.com/platform/cts/+/07f96b173d96958c0e0abb853c4e472d47015c46", "07f96b173d96958c0e0abb853c4e472d47015c46")</f>
        <v>0</v>
      </c>
      <c r="D32925" t="s">
        <v>4952</v>
      </c>
      <c r="E32925" t="s">
        <v>8294</v>
      </c>
      <c r="F32925" t="s">
        <v>12342</v>
      </c>
      <c r="G32925" t="s">
        <v>16570</v>
      </c>
      <c r="H32925" t="s">
        <v>25011</v>
      </c>
    </row>
    <row r="32926" spans="1:8">
      <c r="H32926" t="s">
        <v>32312</v>
      </c>
    </row>
    <row r="32927" spans="1:8">
      <c r="H32927" t="s">
        <v>22836</v>
      </c>
    </row>
    <row r="32928" spans="1:8">
      <c r="A32928" t="s">
        <v>2566</v>
      </c>
      <c r="B32928">
        <f>HYPERLINK("https://android.googlesource.com/platform/cts/+/1adb31e3699f2b46be4a59ac83a37a5b89468ffe", "1adb31e3699f2b46be4a59ac83a37a5b89468ffe")</f>
        <v>0</v>
      </c>
      <c r="C32928">
        <f>HYPERLINK("https://android.googlesource.com/platform/cts/+/275bcfddb5a8f791b43d08221c6afee4f18dd39c", "275bcfddb5a8f791b43d08221c6afee4f18dd39c")</f>
        <v>0</v>
      </c>
      <c r="D32928" t="s">
        <v>5244</v>
      </c>
      <c r="E32928" t="s">
        <v>8295</v>
      </c>
      <c r="F32928" t="s">
        <v>13914</v>
      </c>
      <c r="G32928" t="s">
        <v>15170</v>
      </c>
      <c r="H32928" t="s">
        <v>32313</v>
      </c>
    </row>
    <row r="32929" spans="1:8">
      <c r="H32929" t="s">
        <v>32314</v>
      </c>
    </row>
    <row r="32930" spans="1:8">
      <c r="A32930" t="s">
        <v>2567</v>
      </c>
      <c r="B32930">
        <f>HYPERLINK("https://android.googlesource.com/platform/cts/+/d1eff3c5db371893fe75a910bbe7bf5b58511800", "d1eff3c5db371893fe75a910bbe7bf5b58511800")</f>
        <v>0</v>
      </c>
      <c r="C32930">
        <f>HYPERLINK("https://android.googlesource.com/platform/cts/+/cfb3a50480f183c9f583a766d31cd45189fac9b7", "cfb3a50480f183c9f583a766d31cd45189fac9b7")</f>
        <v>0</v>
      </c>
      <c r="D32930" t="s">
        <v>5374</v>
      </c>
      <c r="E32930" t="s">
        <v>8296</v>
      </c>
      <c r="F32930" t="s">
        <v>13165</v>
      </c>
      <c r="G32930" t="s">
        <v>17315</v>
      </c>
      <c r="H32930" t="s">
        <v>32315</v>
      </c>
    </row>
    <row r="32931" spans="1:8">
      <c r="A32931" t="s">
        <v>2568</v>
      </c>
      <c r="B32931">
        <f>HYPERLINK("https://android.googlesource.com/platform/cts/+/e4a570015b9db5999b991ae5768ac0247d0ecbf8", "e4a570015b9db5999b991ae5768ac0247d0ecbf8")</f>
        <v>0</v>
      </c>
      <c r="C32931">
        <f>HYPERLINK("https://android.googlesource.com/platform/cts/+/8518067e77c3f85dfd42219f9a24038343930271", "8518067e77c3f85dfd42219f9a24038343930271")</f>
        <v>0</v>
      </c>
      <c r="D32931" t="s">
        <v>5135</v>
      </c>
      <c r="E32931" t="s">
        <v>8297</v>
      </c>
      <c r="F32931" t="s">
        <v>13920</v>
      </c>
      <c r="G32931" t="s">
        <v>17956</v>
      </c>
      <c r="H32931" t="s">
        <v>32316</v>
      </c>
    </row>
    <row r="32932" spans="1:8">
      <c r="A32932" t="s">
        <v>2569</v>
      </c>
      <c r="B32932">
        <f>HYPERLINK("https://android.googlesource.com/platform/cts/+/d541da431f3826f09cf89bc010644bcc6474f326", "d541da431f3826f09cf89bc010644bcc6474f326")</f>
        <v>0</v>
      </c>
      <c r="C32932">
        <f>HYPERLINK("https://android.googlesource.com/platform/cts/+/cd3b2d14240e7b4f0c628b69abc74fa4baf42e42", "cd3b2d14240e7b4f0c628b69abc74fa4baf42e42")</f>
        <v>0</v>
      </c>
      <c r="D32932" t="s">
        <v>5134</v>
      </c>
      <c r="E32932" t="s">
        <v>8298</v>
      </c>
      <c r="F32932" t="s">
        <v>13921</v>
      </c>
      <c r="G32932" t="s">
        <v>17957</v>
      </c>
      <c r="H32932" t="s">
        <v>32317</v>
      </c>
    </row>
    <row r="32933" spans="1:8">
      <c r="F32933" t="s">
        <v>13922</v>
      </c>
      <c r="G32933" t="s">
        <v>17958</v>
      </c>
      <c r="H32933" t="s">
        <v>32318</v>
      </c>
    </row>
    <row r="32934" spans="1:8">
      <c r="A32934" t="s">
        <v>2571</v>
      </c>
      <c r="B32934">
        <f>HYPERLINK("https://android.googlesource.com/platform/cts/+/a303f786bdeecd27fe325aa0eb14e67bd599d205", "a303f786bdeecd27fe325aa0eb14e67bd599d205")</f>
        <v>0</v>
      </c>
      <c r="C32934">
        <f>HYPERLINK("https://android.googlesource.com/platform/cts/+/cd3b2d14240e7b4f0c628b69abc74fa4baf42e42", "cd3b2d14240e7b4f0c628b69abc74fa4baf42e42")</f>
        <v>0</v>
      </c>
      <c r="D32934" t="s">
        <v>5407</v>
      </c>
      <c r="E32934" t="s">
        <v>8300</v>
      </c>
      <c r="F32934" t="s">
        <v>13887</v>
      </c>
      <c r="G32934" t="s">
        <v>17319</v>
      </c>
      <c r="H32934" t="s">
        <v>32319</v>
      </c>
    </row>
    <row r="32935" spans="1:8">
      <c r="H32935" t="s">
        <v>32320</v>
      </c>
    </row>
    <row r="32936" spans="1:8">
      <c r="H32936" t="s">
        <v>32321</v>
      </c>
    </row>
    <row r="32937" spans="1:8">
      <c r="A32937" t="s">
        <v>2572</v>
      </c>
      <c r="B32937">
        <f>HYPERLINK("https://android.googlesource.com/platform/cts/+/214b9c7926442fd794c0742b233496896fff761f", "214b9c7926442fd794c0742b233496896fff761f")</f>
        <v>0</v>
      </c>
      <c r="C32937">
        <f>HYPERLINK("https://android.googlesource.com/platform/cts/+/62e481236d1bdac9bb0f44bf630ae68b292d8ba4", "62e481236d1bdac9bb0f44bf630ae68b292d8ba4")</f>
        <v>0</v>
      </c>
      <c r="D32937" t="s">
        <v>5414</v>
      </c>
      <c r="E32937" t="s">
        <v>8301</v>
      </c>
      <c r="F32937" t="s">
        <v>13923</v>
      </c>
      <c r="G32937" t="s">
        <v>17959</v>
      </c>
      <c r="H32937" t="s">
        <v>19981</v>
      </c>
    </row>
    <row r="32938" spans="1:8">
      <c r="A32938" t="s">
        <v>2573</v>
      </c>
      <c r="B32938">
        <f>HYPERLINK("https://android.googlesource.com/platform/cts/+/2ba1847ab2fe5c946685fececbd9d863060bbd57", "2ba1847ab2fe5c946685fececbd9d863060bbd57")</f>
        <v>0</v>
      </c>
      <c r="C32938">
        <f>HYPERLINK("https://android.googlesource.com/platform/cts/+/f1574544bd5a8cdd1af05dab1e9fa7ada1bf7b30", "f1574544bd5a8cdd1af05dab1e9fa7ada1bf7b30")</f>
        <v>0</v>
      </c>
      <c r="D32938" t="s">
        <v>5265</v>
      </c>
      <c r="E32938" t="s">
        <v>8302</v>
      </c>
      <c r="F32938" t="s">
        <v>10699</v>
      </c>
      <c r="G32938" t="s">
        <v>15099</v>
      </c>
      <c r="H32938" t="s">
        <v>18876</v>
      </c>
    </row>
    <row r="32939" spans="1:8">
      <c r="A32939" t="s">
        <v>2575</v>
      </c>
      <c r="B32939">
        <f>HYPERLINK("https://android.googlesource.com/platform/cts/+/f30f7a00b247b670890603b7a9a30d2b25d8aa52", "f30f7a00b247b670890603b7a9a30d2b25d8aa52")</f>
        <v>0</v>
      </c>
      <c r="C32939">
        <f>HYPERLINK("https://android.googlesource.com/platform/cts/+/c8e4f2dfda6322f49d70898ff826978020d6dc86", "c8e4f2dfda6322f49d70898ff826978020d6dc86")</f>
        <v>0</v>
      </c>
      <c r="D32939" t="s">
        <v>5117</v>
      </c>
      <c r="E32939" t="s">
        <v>8304</v>
      </c>
      <c r="F32939" t="s">
        <v>12732</v>
      </c>
      <c r="G32939" t="s">
        <v>16926</v>
      </c>
      <c r="H32939" t="s">
        <v>32322</v>
      </c>
    </row>
    <row r="32940" spans="1:8">
      <c r="A32940" t="s">
        <v>2578</v>
      </c>
      <c r="B32940">
        <f>HYPERLINK("https://android.googlesource.com/platform/cts/+/8bdd93caebf71c9683185b49475c6c725bb6ed6b", "8bdd93caebf71c9683185b49475c6c725bb6ed6b")</f>
        <v>0</v>
      </c>
      <c r="C32940">
        <f>HYPERLINK("https://android.googlesource.com/platform/cts/+/fc83f42ba9f61034397f47b578a83153d78ade86", "fc83f42ba9f61034397f47b578a83153d78ade86")</f>
        <v>0</v>
      </c>
      <c r="D32940" t="s">
        <v>4952</v>
      </c>
      <c r="E32940" t="s">
        <v>8307</v>
      </c>
      <c r="F32940" t="s">
        <v>12835</v>
      </c>
      <c r="G32940" t="s">
        <v>16417</v>
      </c>
      <c r="H32940" t="s">
        <v>18829</v>
      </c>
    </row>
    <row r="32941" spans="1:8">
      <c r="H32941" t="s">
        <v>18863</v>
      </c>
    </row>
    <row r="32942" spans="1:8">
      <c r="H32942" t="s">
        <v>32226</v>
      </c>
    </row>
    <row r="32943" spans="1:8">
      <c r="H32943" t="s">
        <v>32227</v>
      </c>
    </row>
    <row r="32944" spans="1:8">
      <c r="H32944" t="s">
        <v>32228</v>
      </c>
    </row>
    <row r="32945" spans="1:8">
      <c r="H32945" t="s">
        <v>32229</v>
      </c>
    </row>
    <row r="32946" spans="1:8">
      <c r="H32946" t="s">
        <v>32230</v>
      </c>
    </row>
    <row r="32947" spans="1:8">
      <c r="H32947" t="s">
        <v>32231</v>
      </c>
    </row>
    <row r="32948" spans="1:8">
      <c r="H32948" t="s">
        <v>32232</v>
      </c>
    </row>
    <row r="32949" spans="1:8">
      <c r="F32949" t="s">
        <v>12414</v>
      </c>
      <c r="G32949" t="s">
        <v>16636</v>
      </c>
      <c r="H32949" t="s">
        <v>32233</v>
      </c>
    </row>
    <row r="32950" spans="1:8">
      <c r="H32950" t="s">
        <v>32234</v>
      </c>
    </row>
    <row r="32951" spans="1:8">
      <c r="H32951" t="s">
        <v>32235</v>
      </c>
    </row>
    <row r="32952" spans="1:8">
      <c r="H32952" t="s">
        <v>32236</v>
      </c>
    </row>
    <row r="32953" spans="1:8">
      <c r="H32953" t="s">
        <v>32237</v>
      </c>
    </row>
    <row r="32954" spans="1:8">
      <c r="H32954" t="s">
        <v>32238</v>
      </c>
    </row>
    <row r="32955" spans="1:8">
      <c r="H32955" t="s">
        <v>32239</v>
      </c>
    </row>
    <row r="32956" spans="1:8">
      <c r="A32956" t="s">
        <v>2579</v>
      </c>
      <c r="B32956">
        <f>HYPERLINK("https://android.googlesource.com/platform/cts/+/d33ff3b2401dd2d5785effdf7a9b74688ec1e118", "d33ff3b2401dd2d5785effdf7a9b74688ec1e118")</f>
        <v>0</v>
      </c>
      <c r="C32956">
        <f>HYPERLINK("https://android.googlesource.com/platform/cts/+/8bdd93caebf71c9683185b49475c6c725bb6ed6b", "8bdd93caebf71c9683185b49475c6c725bb6ed6b")</f>
        <v>0</v>
      </c>
      <c r="D32956" t="s">
        <v>4952</v>
      </c>
      <c r="E32956" t="s">
        <v>8308</v>
      </c>
      <c r="F32956" t="s">
        <v>12222</v>
      </c>
      <c r="G32956" t="s">
        <v>16452</v>
      </c>
      <c r="H32956" t="s">
        <v>32251</v>
      </c>
    </row>
    <row r="32957" spans="1:8">
      <c r="A32957" t="s">
        <v>2580</v>
      </c>
      <c r="B32957">
        <f>HYPERLINK("https://android.googlesource.com/platform/cts/+/bff1465d3e2f9aa13667a09a1035fbd63a927ee4", "bff1465d3e2f9aa13667a09a1035fbd63a927ee4")</f>
        <v>0</v>
      </c>
      <c r="C32957">
        <f>HYPERLINK("https://android.googlesource.com/platform/cts/+/c38f0e6aea074601a1720af755429f2f5e335413", "c38f0e6aea074601a1720af755429f2f5e335413")</f>
        <v>0</v>
      </c>
      <c r="D32957" t="s">
        <v>4952</v>
      </c>
      <c r="E32957" t="s">
        <v>8309</v>
      </c>
      <c r="F32957" t="s">
        <v>13913</v>
      </c>
      <c r="G32957" t="s">
        <v>17950</v>
      </c>
      <c r="H32957" t="s">
        <v>32253</v>
      </c>
    </row>
    <row r="32958" spans="1:8">
      <c r="H32958" t="s">
        <v>32254</v>
      </c>
    </row>
    <row r="32959" spans="1:8">
      <c r="A32959" t="s">
        <v>2581</v>
      </c>
      <c r="B32959">
        <f>HYPERLINK("https://android.googlesource.com/platform/cts/+/7a95546c64d7db691905229f80934099047dde07", "7a95546c64d7db691905229f80934099047dde07")</f>
        <v>0</v>
      </c>
      <c r="C32959">
        <f>HYPERLINK("https://android.googlesource.com/platform/cts/+/bff1465d3e2f9aa13667a09a1035fbd63a927ee4", "bff1465d3e2f9aa13667a09a1035fbd63a927ee4")</f>
        <v>0</v>
      </c>
      <c r="D32959" t="s">
        <v>4952</v>
      </c>
      <c r="E32959" t="s">
        <v>8310</v>
      </c>
      <c r="F32959" t="s">
        <v>13915</v>
      </c>
      <c r="G32959" t="s">
        <v>17951</v>
      </c>
      <c r="H32959" t="s">
        <v>32283</v>
      </c>
    </row>
    <row r="32960" spans="1:8">
      <c r="H32960" t="s">
        <v>32284</v>
      </c>
    </row>
    <row r="32961" spans="8:8">
      <c r="H32961" t="s">
        <v>32285</v>
      </c>
    </row>
    <row r="32962" spans="8:8">
      <c r="H32962" t="s">
        <v>32286</v>
      </c>
    </row>
    <row r="32963" spans="8:8">
      <c r="H32963" t="s">
        <v>32287</v>
      </c>
    </row>
    <row r="32964" spans="8:8">
      <c r="H32964" t="s">
        <v>22686</v>
      </c>
    </row>
    <row r="32965" spans="8:8">
      <c r="H32965" t="s">
        <v>32288</v>
      </c>
    </row>
    <row r="32966" spans="8:8">
      <c r="H32966" t="s">
        <v>32289</v>
      </c>
    </row>
    <row r="32967" spans="8:8">
      <c r="H32967" t="s">
        <v>32290</v>
      </c>
    </row>
    <row r="32968" spans="8:8">
      <c r="H32968" t="s">
        <v>32291</v>
      </c>
    </row>
    <row r="32969" spans="8:8">
      <c r="H32969" t="s">
        <v>32292</v>
      </c>
    </row>
    <row r="32970" spans="8:8">
      <c r="H32970" t="s">
        <v>32293</v>
      </c>
    </row>
    <row r="32971" spans="8:8">
      <c r="H32971" t="s">
        <v>29667</v>
      </c>
    </row>
    <row r="32972" spans="8:8">
      <c r="H32972" t="s">
        <v>18927</v>
      </c>
    </row>
    <row r="32973" spans="8:8">
      <c r="H32973" t="s">
        <v>18954</v>
      </c>
    </row>
    <row r="32974" spans="8:8">
      <c r="H32974" t="s">
        <v>32294</v>
      </c>
    </row>
    <row r="32975" spans="8:8">
      <c r="H32975" t="s">
        <v>32295</v>
      </c>
    </row>
    <row r="32976" spans="8:8">
      <c r="H32976" t="s">
        <v>19743</v>
      </c>
    </row>
    <row r="32977" spans="1:8">
      <c r="H32977" t="s">
        <v>32288</v>
      </c>
    </row>
    <row r="32978" spans="1:8">
      <c r="H32978" t="s">
        <v>32289</v>
      </c>
    </row>
    <row r="32979" spans="1:8">
      <c r="H32979" t="s">
        <v>32290</v>
      </c>
    </row>
    <row r="32980" spans="1:8">
      <c r="H32980" t="s">
        <v>32291</v>
      </c>
    </row>
    <row r="32981" spans="1:8">
      <c r="H32981" t="s">
        <v>32292</v>
      </c>
    </row>
    <row r="32982" spans="1:8">
      <c r="H32982" t="s">
        <v>32296</v>
      </c>
    </row>
    <row r="32983" spans="1:8">
      <c r="H32983" t="s">
        <v>32297</v>
      </c>
    </row>
    <row r="32984" spans="1:8">
      <c r="H32984" t="s">
        <v>22686</v>
      </c>
    </row>
    <row r="32985" spans="1:8">
      <c r="A32985" t="s">
        <v>2582</v>
      </c>
      <c r="B32985">
        <f>HYPERLINK("https://android.googlesource.com/platform/cts/+/2670baebb26f633ebbc567363897b67e32c43e38", "2670baebb26f633ebbc567363897b67e32c43e38")</f>
        <v>0</v>
      </c>
      <c r="C32985">
        <f>HYPERLINK("https://android.googlesource.com/platform/cts/+/7a95546c64d7db691905229f80934099047dde07", "7a95546c64d7db691905229f80934099047dde07")</f>
        <v>0</v>
      </c>
      <c r="D32985" t="s">
        <v>4952</v>
      </c>
      <c r="E32985" t="s">
        <v>8311</v>
      </c>
      <c r="F32985" t="s">
        <v>12342</v>
      </c>
      <c r="G32985" t="s">
        <v>16570</v>
      </c>
      <c r="H32985" t="s">
        <v>25011</v>
      </c>
    </row>
    <row r="32986" spans="1:8">
      <c r="H32986" t="s">
        <v>32312</v>
      </c>
    </row>
    <row r="32987" spans="1:8">
      <c r="H32987" t="s">
        <v>22836</v>
      </c>
    </row>
    <row r="32988" spans="1:8">
      <c r="A32988" t="s">
        <v>2583</v>
      </c>
      <c r="B32988">
        <f>HYPERLINK("https://android.googlesource.com/platform/cts/+/477a2e99c547a8157656fe2fa4a48ad4b46c65c6", "477a2e99c547a8157656fe2fa4a48ad4b46c65c6")</f>
        <v>0</v>
      </c>
      <c r="C32988">
        <f>HYPERLINK("https://android.googlesource.com/platform/cts/+/c570083e974b4dfd66b1d8149f1d7690d387a1da", "c570083e974b4dfd66b1d8149f1d7690d387a1da")</f>
        <v>0</v>
      </c>
      <c r="D32988" t="s">
        <v>5153</v>
      </c>
      <c r="E32988" t="s">
        <v>8312</v>
      </c>
      <c r="F32988" t="s">
        <v>10608</v>
      </c>
      <c r="G32988" t="s">
        <v>15011</v>
      </c>
      <c r="H32988" t="s">
        <v>18829</v>
      </c>
    </row>
    <row r="32989" spans="1:8">
      <c r="A32989" t="s">
        <v>2584</v>
      </c>
      <c r="B32989">
        <f>HYPERLINK("https://android.googlesource.com/platform/cts/+/1c29f9d16d33536aaf3a9dd4e467147675f6623a", "1c29f9d16d33536aaf3a9dd4e467147675f6623a")</f>
        <v>0</v>
      </c>
      <c r="C32989">
        <f>HYPERLINK("https://android.googlesource.com/platform/cts/+/68689f69afbcccad48be9da4deaf83cb30b726a0", "68689f69afbcccad48be9da4deaf83cb30b726a0")</f>
        <v>0</v>
      </c>
      <c r="D32989" t="s">
        <v>5021</v>
      </c>
      <c r="E32989" t="s">
        <v>8313</v>
      </c>
      <c r="F32989" t="s">
        <v>13806</v>
      </c>
      <c r="G32989" t="s">
        <v>17843</v>
      </c>
      <c r="H32989" t="s">
        <v>25644</v>
      </c>
    </row>
    <row r="32990" spans="1:8">
      <c r="F32990" t="s">
        <v>13794</v>
      </c>
      <c r="G32990" t="s">
        <v>17846</v>
      </c>
      <c r="H32990" t="s">
        <v>25644</v>
      </c>
    </row>
    <row r="32991" spans="1:8">
      <c r="A32991" t="s">
        <v>2585</v>
      </c>
      <c r="B32991">
        <f>HYPERLINK("https://android.googlesource.com/platform/cts/+/743ae41431e32eeeb333138cdb8ae2730249bf52", "743ae41431e32eeeb333138cdb8ae2730249bf52")</f>
        <v>0</v>
      </c>
      <c r="C32991">
        <f>HYPERLINK("https://android.googlesource.com/platform/cts/+/efacff51f07478f2469083807369bbbbd1de4558", "efacff51f07478f2469083807369bbbbd1de4558")</f>
        <v>0</v>
      </c>
      <c r="D32991" t="s">
        <v>4949</v>
      </c>
      <c r="E32991" t="s">
        <v>8314</v>
      </c>
      <c r="F32991" t="s">
        <v>13905</v>
      </c>
      <c r="G32991" t="s">
        <v>17942</v>
      </c>
      <c r="H32991" t="s">
        <v>32323</v>
      </c>
    </row>
    <row r="32992" spans="1:8">
      <c r="H32992" t="s">
        <v>32324</v>
      </c>
    </row>
    <row r="32993" spans="1:8">
      <c r="H32993" t="s">
        <v>32325</v>
      </c>
    </row>
    <row r="32994" spans="1:8">
      <c r="A32994" t="s">
        <v>2586</v>
      </c>
      <c r="B32994">
        <f>HYPERLINK("https://android.googlesource.com/platform/cts/+/f587758d2187cf7f5c0bbd5dd92d27474afa023a", "f587758d2187cf7f5c0bbd5dd92d27474afa023a")</f>
        <v>0</v>
      </c>
      <c r="C32994">
        <f>HYPERLINK("https://android.googlesource.com/platform/cts/+/f5eddf6575cecbb34c3ebac1e8324e6d44d4e496", "f5eddf6575cecbb34c3ebac1e8324e6d44d4e496")</f>
        <v>0</v>
      </c>
      <c r="D32994" t="s">
        <v>5383</v>
      </c>
      <c r="E32994" t="s">
        <v>8315</v>
      </c>
      <c r="F32994" t="s">
        <v>13924</v>
      </c>
      <c r="G32994" t="s">
        <v>17960</v>
      </c>
      <c r="H32994" t="s">
        <v>32326</v>
      </c>
    </row>
    <row r="32995" spans="1:8">
      <c r="H32995" t="s">
        <v>32327</v>
      </c>
    </row>
    <row r="32996" spans="1:8">
      <c r="A32996" t="s">
        <v>2587</v>
      </c>
      <c r="B32996">
        <f>HYPERLINK("https://android.googlesource.com/platform/cts/+/e3c13fd5c8207052ec8a422934f452b03282a0a2", "e3c13fd5c8207052ec8a422934f452b03282a0a2")</f>
        <v>0</v>
      </c>
      <c r="C32996">
        <f>HYPERLINK("https://android.googlesource.com/platform/cts/+/3dc07ab8c46cd2f975cc7b1c72b1aaf568d6945f", "3dc07ab8c46cd2f975cc7b1c72b1aaf568d6945f")</f>
        <v>0</v>
      </c>
      <c r="D32996" t="s">
        <v>5416</v>
      </c>
      <c r="E32996" t="s">
        <v>8316</v>
      </c>
      <c r="F32996" t="s">
        <v>13925</v>
      </c>
      <c r="G32996" t="s">
        <v>17961</v>
      </c>
      <c r="H32996" t="s">
        <v>32328</v>
      </c>
    </row>
    <row r="32997" spans="1:8">
      <c r="H32997" t="s">
        <v>32329</v>
      </c>
    </row>
    <row r="32998" spans="1:8">
      <c r="A32998" t="s">
        <v>2588</v>
      </c>
      <c r="B32998">
        <f>HYPERLINK("https://android.googlesource.com/platform/cts/+/7f304eb5a9d0aea8f62622bd94c9b855db7611c8", "7f304eb5a9d0aea8f62622bd94c9b855db7611c8")</f>
        <v>0</v>
      </c>
      <c r="C32998">
        <f>HYPERLINK("https://android.googlesource.com/platform/cts/+/149d7e6346f7d9445b9f97464ee7e07905160f93", "149d7e6346f7d9445b9f97464ee7e07905160f93")</f>
        <v>0</v>
      </c>
      <c r="D32998" t="s">
        <v>5134</v>
      </c>
      <c r="E32998" t="s">
        <v>8317</v>
      </c>
      <c r="F32998" t="s">
        <v>13814</v>
      </c>
      <c r="G32998" t="s">
        <v>17936</v>
      </c>
      <c r="H32998" t="s">
        <v>32181</v>
      </c>
    </row>
    <row r="32999" spans="1:8">
      <c r="H32999" t="s">
        <v>32182</v>
      </c>
    </row>
    <row r="33000" spans="1:8">
      <c r="H33000" t="s">
        <v>32183</v>
      </c>
    </row>
    <row r="33001" spans="1:8">
      <c r="H33001" t="s">
        <v>32184</v>
      </c>
    </row>
    <row r="33002" spans="1:8">
      <c r="H33002" t="s">
        <v>32185</v>
      </c>
    </row>
    <row r="33003" spans="1:8">
      <c r="H33003" t="s">
        <v>32186</v>
      </c>
    </row>
    <row r="33004" spans="1:8">
      <c r="H33004" t="s">
        <v>32187</v>
      </c>
    </row>
    <row r="33005" spans="1:8">
      <c r="H33005" t="s">
        <v>32188</v>
      </c>
    </row>
    <row r="33006" spans="1:8">
      <c r="H33006" t="s">
        <v>32189</v>
      </c>
    </row>
    <row r="33007" spans="1:8">
      <c r="H33007" t="s">
        <v>32190</v>
      </c>
    </row>
    <row r="33008" spans="1:8">
      <c r="H33008" t="s">
        <v>32191</v>
      </c>
    </row>
    <row r="33009" spans="1:8">
      <c r="H33009" t="s">
        <v>32192</v>
      </c>
    </row>
    <row r="33010" spans="1:8">
      <c r="H33010" t="s">
        <v>32193</v>
      </c>
    </row>
    <row r="33011" spans="1:8">
      <c r="H33011" t="s">
        <v>32194</v>
      </c>
    </row>
    <row r="33012" spans="1:8">
      <c r="H33012" t="s">
        <v>32195</v>
      </c>
    </row>
    <row r="33013" spans="1:8">
      <c r="A33013" t="s">
        <v>2589</v>
      </c>
      <c r="B33013">
        <f>HYPERLINK("https://android.googlesource.com/platform/cts/+/edebba8429b14345c7682cc0b2879951f831e6c5", "edebba8429b14345c7682cc0b2879951f831e6c5")</f>
        <v>0</v>
      </c>
      <c r="C33013">
        <f>HYPERLINK("https://android.googlesource.com/platform/cts/+/022f74bffbd48b025bde4f3c1a572ce64c9a8989", "022f74bffbd48b025bde4f3c1a572ce64c9a8989")</f>
        <v>0</v>
      </c>
      <c r="D33013" t="s">
        <v>5389</v>
      </c>
      <c r="E33013" t="s">
        <v>8318</v>
      </c>
      <c r="F33013" t="s">
        <v>13926</v>
      </c>
      <c r="G33013" t="s">
        <v>17962</v>
      </c>
      <c r="H33013" t="s">
        <v>32330</v>
      </c>
    </row>
    <row r="33014" spans="1:8">
      <c r="A33014" t="s">
        <v>2590</v>
      </c>
      <c r="B33014">
        <f>HYPERLINK("https://android.googlesource.com/platform/cts/+/1c24b13dc85732074324b3c0fbe6dbd342a1cffe", "1c24b13dc85732074324b3c0fbe6dbd342a1cffe")</f>
        <v>0</v>
      </c>
      <c r="C33014">
        <f>HYPERLINK("https://android.googlesource.com/platform/cts/+/c8ead1b742441b58124543e3962d65b58b37fad8", "c8ead1b742441b58124543e3962d65b58b37fad8")</f>
        <v>0</v>
      </c>
      <c r="D33014" t="s">
        <v>5244</v>
      </c>
      <c r="E33014" t="s">
        <v>8319</v>
      </c>
      <c r="F33014" t="s">
        <v>13914</v>
      </c>
      <c r="G33014" t="s">
        <v>15170</v>
      </c>
      <c r="H33014" t="s">
        <v>32331</v>
      </c>
    </row>
    <row r="33015" spans="1:8">
      <c r="A33015" t="s">
        <v>2591</v>
      </c>
      <c r="B33015">
        <f>HYPERLINK("https://android.googlesource.com/platform/cts/+/abd338c23c91adbe7304bbbe62187f116e55bdc8", "abd338c23c91adbe7304bbbe62187f116e55bdc8")</f>
        <v>0</v>
      </c>
      <c r="C33015">
        <f>HYPERLINK("https://android.googlesource.com/platform/cts/+/35d0d356814009491ca3925a9bc0eac204fe0511", "35d0d356814009491ca3925a9bc0eac204fe0511")</f>
        <v>0</v>
      </c>
      <c r="D33015" t="s">
        <v>5417</v>
      </c>
      <c r="E33015" t="s">
        <v>8320</v>
      </c>
      <c r="F33015" t="s">
        <v>13927</v>
      </c>
      <c r="G33015" t="s">
        <v>17963</v>
      </c>
      <c r="H33015" t="s">
        <v>32332</v>
      </c>
    </row>
    <row r="33016" spans="1:8">
      <c r="A33016" t="s">
        <v>2592</v>
      </c>
      <c r="B33016">
        <f>HYPERLINK("https://android.googlesource.com/platform/cts/+/0e4743d56553d698ac45ae548f31019ea6e91541", "0e4743d56553d698ac45ae548f31019ea6e91541")</f>
        <v>0</v>
      </c>
      <c r="C33016">
        <f>HYPERLINK("https://android.googlesource.com/platform/cts/+/2f07cd8551d755a4076e94b9e620bc446a66bf54", "2f07cd8551d755a4076e94b9e620bc446a66bf54")</f>
        <v>0</v>
      </c>
      <c r="D33016" t="s">
        <v>5271</v>
      </c>
      <c r="E33016" t="s">
        <v>8321</v>
      </c>
      <c r="F33016" t="s">
        <v>13309</v>
      </c>
      <c r="G33016" t="s">
        <v>17442</v>
      </c>
      <c r="H33016" t="s">
        <v>32333</v>
      </c>
    </row>
    <row r="33017" spans="1:8">
      <c r="A33017" t="s">
        <v>2593</v>
      </c>
      <c r="B33017">
        <f>HYPERLINK("https://android.googlesource.com/platform/cts/+/d708a4c217f13c9028427d98031394f0933482bf", "d708a4c217f13c9028427d98031394f0933482bf")</f>
        <v>0</v>
      </c>
      <c r="C33017">
        <f>HYPERLINK("https://android.googlesource.com/platform/cts/+/0e4743d56553d698ac45ae548f31019ea6e91541", "0e4743d56553d698ac45ae548f31019ea6e91541")</f>
        <v>0</v>
      </c>
      <c r="D33017" t="s">
        <v>5271</v>
      </c>
      <c r="E33017" t="s">
        <v>8322</v>
      </c>
      <c r="F33017" t="s">
        <v>13928</v>
      </c>
      <c r="G33017" t="s">
        <v>17964</v>
      </c>
      <c r="H33017" t="s">
        <v>18863</v>
      </c>
    </row>
    <row r="33018" spans="1:8">
      <c r="H33018" t="s">
        <v>32334</v>
      </c>
    </row>
    <row r="33019" spans="1:8">
      <c r="H33019" t="s">
        <v>32335</v>
      </c>
    </row>
    <row r="33020" spans="1:8">
      <c r="A33020" t="s">
        <v>2594</v>
      </c>
      <c r="B33020">
        <f>HYPERLINK("https://android.googlesource.com/platform/cts/+/a6343a75fb6c8a4dee41dce4064114a9422e5d75", "a6343a75fb6c8a4dee41dce4064114a9422e5d75")</f>
        <v>0</v>
      </c>
      <c r="C33020">
        <f>HYPERLINK("https://android.googlesource.com/platform/cts/+/831d17a139678f05598a08e007205ae6cd080cbe", "831d17a139678f05598a08e007205ae6cd080cbe")</f>
        <v>0</v>
      </c>
      <c r="D33020" t="s">
        <v>5269</v>
      </c>
      <c r="E33020" t="s">
        <v>8323</v>
      </c>
      <c r="F33020" t="s">
        <v>13758</v>
      </c>
      <c r="G33020" t="s">
        <v>17817</v>
      </c>
      <c r="H33020" t="s">
        <v>32336</v>
      </c>
    </row>
    <row r="33021" spans="1:8">
      <c r="A33021" t="s">
        <v>2596</v>
      </c>
      <c r="B33021">
        <f>HYPERLINK("https://android.googlesource.com/platform/cts/+/fb37b760488b3efdbbbd74ad54fbcf571bfce47e", "fb37b760488b3efdbbbd74ad54fbcf571bfce47e")</f>
        <v>0</v>
      </c>
      <c r="C33021">
        <f>HYPERLINK("https://android.googlesource.com/platform/cts/+/ea2dd05ce758d31850bae8378d006ac29bca9fe1", "ea2dd05ce758d31850bae8378d006ac29bca9fe1")</f>
        <v>0</v>
      </c>
      <c r="D33021" t="s">
        <v>5051</v>
      </c>
      <c r="E33021" t="s">
        <v>8326</v>
      </c>
      <c r="F33021" t="s">
        <v>13864</v>
      </c>
      <c r="G33021" t="s">
        <v>17904</v>
      </c>
      <c r="H33021" t="s">
        <v>32337</v>
      </c>
    </row>
    <row r="33022" spans="1:8">
      <c r="A33022" t="s">
        <v>2597</v>
      </c>
      <c r="B33022">
        <f>HYPERLINK("https://android.googlesource.com/platform/cts/+/8601b14b9bc5c8cbe7c2405457e23add390c3055", "8601b14b9bc5c8cbe7c2405457e23add390c3055")</f>
        <v>0</v>
      </c>
      <c r="C33022">
        <f>HYPERLINK("https://android.googlesource.com/platform/cts/+/ebcbf988b6795422ae24ec5f79af578c873cfa70", "ebcbf988b6795422ae24ec5f79af578c873cfa70")</f>
        <v>0</v>
      </c>
      <c r="D33022" t="s">
        <v>5418</v>
      </c>
      <c r="E33022" t="s">
        <v>8327</v>
      </c>
      <c r="F33022" t="s">
        <v>13566</v>
      </c>
      <c r="G33022" t="s">
        <v>16863</v>
      </c>
      <c r="H33022" t="s">
        <v>32338</v>
      </c>
    </row>
    <row r="33023" spans="1:8">
      <c r="A33023" t="s">
        <v>2598</v>
      </c>
      <c r="B33023">
        <f>HYPERLINK("https://android.googlesource.com/platform/cts/+/85bba9826d574c754edb2c9e9d8af3a631b905f6", "85bba9826d574c754edb2c9e9d8af3a631b905f6")</f>
        <v>0</v>
      </c>
      <c r="C33023">
        <f>HYPERLINK("https://android.googlesource.com/platform/cts/+/b4b58f21ff36e24dd2713df3efac724ecf341833", "b4b58f21ff36e24dd2713df3efac724ecf341833")</f>
        <v>0</v>
      </c>
      <c r="D33023" t="s">
        <v>5412</v>
      </c>
      <c r="E33023" t="s">
        <v>8328</v>
      </c>
      <c r="F33023" t="s">
        <v>12904</v>
      </c>
      <c r="G33023" t="s">
        <v>17070</v>
      </c>
      <c r="H33023" t="s">
        <v>32339</v>
      </c>
    </row>
    <row r="33024" spans="1:8">
      <c r="A33024" t="s">
        <v>2600</v>
      </c>
      <c r="B33024">
        <f>HYPERLINK("https://android.googlesource.com/platform/cts/+/c77eadce6e0857c5fc43f52c187ef2c8888d2858", "c77eadce6e0857c5fc43f52c187ef2c8888d2858")</f>
        <v>0</v>
      </c>
      <c r="C33024">
        <f>HYPERLINK("https://android.googlesource.com/platform/cts/+/1b6669025b4f99bf0e2092949a3ce846ea668a18", "1b6669025b4f99bf0e2092949a3ce846ea668a18")</f>
        <v>0</v>
      </c>
      <c r="D33024" t="s">
        <v>5326</v>
      </c>
      <c r="E33024" t="s">
        <v>8330</v>
      </c>
      <c r="F33024" t="s">
        <v>13929</v>
      </c>
      <c r="G33024" t="s">
        <v>17670</v>
      </c>
      <c r="H33024" t="s">
        <v>21400</v>
      </c>
    </row>
    <row r="33025" spans="1:8">
      <c r="F33025" t="s">
        <v>13930</v>
      </c>
      <c r="G33025" t="s">
        <v>17671</v>
      </c>
      <c r="H33025" t="s">
        <v>21400</v>
      </c>
    </row>
    <row r="33026" spans="1:8">
      <c r="A33026" t="s">
        <v>2601</v>
      </c>
      <c r="B33026">
        <f>HYPERLINK("https://android.googlesource.com/platform/cts/+/0fee332598739d6260ff97997ce2d0de41d900ab", "0fee332598739d6260ff97997ce2d0de41d900ab")</f>
        <v>0</v>
      </c>
      <c r="C33026">
        <f>HYPERLINK("https://android.googlesource.com/platform/cts/+/0b10b15a839426320f7a7585586c41344272b4de", "0b10b15a839426320f7a7585586c41344272b4de")</f>
        <v>0</v>
      </c>
      <c r="D33026" t="s">
        <v>5134</v>
      </c>
      <c r="E33026" t="s">
        <v>8331</v>
      </c>
      <c r="F33026" t="s">
        <v>13918</v>
      </c>
      <c r="G33026" t="s">
        <v>17954</v>
      </c>
      <c r="H33026" t="s">
        <v>29213</v>
      </c>
    </row>
    <row r="33027" spans="1:8">
      <c r="A33027" t="s">
        <v>2602</v>
      </c>
      <c r="B33027">
        <f>HYPERLINK("https://android.googlesource.com/platform/cts/+/a2436841c693cea94f0dbe4cae4265eb04e7f574", "a2436841c693cea94f0dbe4cae4265eb04e7f574")</f>
        <v>0</v>
      </c>
      <c r="C33027">
        <f>HYPERLINK("https://android.googlesource.com/platform/cts/+/3c371f85e66cb6e36bf77e74b3cd1fc04f2a8174", "3c371f85e66cb6e36bf77e74b3cd1fc04f2a8174")</f>
        <v>0</v>
      </c>
      <c r="D33027" t="s">
        <v>5419</v>
      </c>
      <c r="E33027" t="s">
        <v>8332</v>
      </c>
      <c r="F33027" t="s">
        <v>10700</v>
      </c>
      <c r="G33027" t="s">
        <v>15100</v>
      </c>
      <c r="H33027" t="s">
        <v>32340</v>
      </c>
    </row>
    <row r="33028" spans="1:8">
      <c r="H33028" t="s">
        <v>32341</v>
      </c>
    </row>
    <row r="33029" spans="1:8">
      <c r="H33029" t="s">
        <v>32342</v>
      </c>
    </row>
    <row r="33030" spans="1:8">
      <c r="H33030" t="s">
        <v>32343</v>
      </c>
    </row>
    <row r="33031" spans="1:8">
      <c r="H33031" t="s">
        <v>32344</v>
      </c>
    </row>
    <row r="33032" spans="1:8">
      <c r="A33032" t="s">
        <v>2603</v>
      </c>
      <c r="B33032">
        <f>HYPERLINK("https://android.googlesource.com/platform/cts/+/e131a1997a2124a437ac40cf647e265b863d0ce0", "e131a1997a2124a437ac40cf647e265b863d0ce0")</f>
        <v>0</v>
      </c>
      <c r="C33032">
        <f>HYPERLINK("https://android.googlesource.com/platform/cts/+/9fa79ea7136dc3e49b7ddfa01b78f3b4401e9a42", "9fa79ea7136dc3e49b7ddfa01b78f3b4401e9a42")</f>
        <v>0</v>
      </c>
      <c r="D33032" t="s">
        <v>5263</v>
      </c>
      <c r="E33032" t="s">
        <v>8333</v>
      </c>
      <c r="F33032" t="s">
        <v>13735</v>
      </c>
      <c r="G33032" t="s">
        <v>16637</v>
      </c>
      <c r="H33032" t="s">
        <v>32345</v>
      </c>
    </row>
    <row r="33033" spans="1:8">
      <c r="H33033" t="s">
        <v>32346</v>
      </c>
    </row>
    <row r="33034" spans="1:8">
      <c r="H33034" t="s">
        <v>25625</v>
      </c>
    </row>
    <row r="33035" spans="1:8">
      <c r="H33035" t="s">
        <v>32347</v>
      </c>
    </row>
    <row r="33036" spans="1:8">
      <c r="H33036" t="s">
        <v>32348</v>
      </c>
    </row>
    <row r="33037" spans="1:8">
      <c r="H33037" t="s">
        <v>32349</v>
      </c>
    </row>
    <row r="33038" spans="1:8">
      <c r="H33038" t="s">
        <v>32350</v>
      </c>
    </row>
    <row r="33039" spans="1:8">
      <c r="H33039" t="s">
        <v>32351</v>
      </c>
    </row>
    <row r="33040" spans="1:8">
      <c r="H33040" t="s">
        <v>32352</v>
      </c>
    </row>
    <row r="33041" spans="1:8">
      <c r="A33041" t="s">
        <v>2604</v>
      </c>
      <c r="B33041">
        <f>HYPERLINK("https://android.googlesource.com/platform/cts/+/8bfb890849acfdc71ef18f00309e1a4e34bf0b7a", "8bfb890849acfdc71ef18f00309e1a4e34bf0b7a")</f>
        <v>0</v>
      </c>
      <c r="C33041">
        <f>HYPERLINK("https://android.googlesource.com/platform/cts/+/d876ef139495d99fe98db2dc57ac1a5a2d8632cd", "d876ef139495d99fe98db2dc57ac1a5a2d8632cd")</f>
        <v>0</v>
      </c>
      <c r="D33041" t="s">
        <v>5293</v>
      </c>
      <c r="E33041" t="s">
        <v>8334</v>
      </c>
      <c r="F33041" t="s">
        <v>13931</v>
      </c>
      <c r="G33041" t="s">
        <v>17965</v>
      </c>
      <c r="H33041" t="s">
        <v>32353</v>
      </c>
    </row>
    <row r="33042" spans="1:8">
      <c r="H33042" t="s">
        <v>19981</v>
      </c>
    </row>
    <row r="33043" spans="1:8">
      <c r="H33043" t="s">
        <v>32354</v>
      </c>
    </row>
    <row r="33044" spans="1:8">
      <c r="H33044" t="s">
        <v>32355</v>
      </c>
    </row>
    <row r="33045" spans="1:8">
      <c r="H33045" t="s">
        <v>32356</v>
      </c>
    </row>
    <row r="33046" spans="1:8">
      <c r="A33046" t="s">
        <v>2605</v>
      </c>
      <c r="B33046">
        <f>HYPERLINK("https://android.googlesource.com/platform/cts/+/d65ec2fa4b524563ab339d64a621e9136b1bca3a", "d65ec2fa4b524563ab339d64a621e9136b1bca3a")</f>
        <v>0</v>
      </c>
      <c r="C33046">
        <f>HYPERLINK("https://android.googlesource.com/platform/cts/+/b256c48d9bac57d1a160b415d01cbd2cdcb28686", "b256c48d9bac57d1a160b415d01cbd2cdcb28686")</f>
        <v>0</v>
      </c>
      <c r="D33046" t="s">
        <v>5134</v>
      </c>
      <c r="E33046" t="s">
        <v>8335</v>
      </c>
      <c r="F33046" t="s">
        <v>12674</v>
      </c>
      <c r="G33046" t="s">
        <v>16878</v>
      </c>
      <c r="H33046" t="s">
        <v>32357</v>
      </c>
    </row>
    <row r="33047" spans="1:8">
      <c r="A33047" t="s">
        <v>2607</v>
      </c>
      <c r="B33047">
        <f>HYPERLINK("https://android.googlesource.com/platform/cts/+/abd03c4c77c815859f419075b0281256ba3f1f71", "abd03c4c77c815859f419075b0281256ba3f1f71")</f>
        <v>0</v>
      </c>
      <c r="C33047">
        <f>HYPERLINK("https://android.googlesource.com/platform/cts/+/732767e5a99905480f9756a5dc7d12e8439782d5", "732767e5a99905480f9756a5dc7d12e8439782d5")</f>
        <v>0</v>
      </c>
      <c r="D33047" t="s">
        <v>5116</v>
      </c>
      <c r="E33047" t="s">
        <v>8337</v>
      </c>
      <c r="F33047" t="s">
        <v>13932</v>
      </c>
      <c r="G33047" t="s">
        <v>17966</v>
      </c>
      <c r="H33047" t="s">
        <v>32358</v>
      </c>
    </row>
    <row r="33048" spans="1:8">
      <c r="A33048" t="s">
        <v>2608</v>
      </c>
      <c r="B33048">
        <f>HYPERLINK("https://android.googlesource.com/platform/cts/+/2984cfdd25672e265fb7afe7914c880d8f7c414a", "2984cfdd25672e265fb7afe7914c880d8f7c414a")</f>
        <v>0</v>
      </c>
      <c r="C33048">
        <f>HYPERLINK("https://android.googlesource.com/platform/cts/+/7cd243c7b1cc9584fba9c22ef4c794e7ee0e3b73", "7cd243c7b1cc9584fba9c22ef4c794e7ee0e3b73")</f>
        <v>0</v>
      </c>
      <c r="D33048" t="s">
        <v>5412</v>
      </c>
      <c r="E33048" t="s">
        <v>8338</v>
      </c>
      <c r="F33048" t="s">
        <v>12904</v>
      </c>
      <c r="G33048" t="s">
        <v>17070</v>
      </c>
      <c r="H33048" t="s">
        <v>30522</v>
      </c>
    </row>
    <row r="33049" spans="1:8">
      <c r="A33049" t="s">
        <v>2610</v>
      </c>
      <c r="B33049">
        <f>HYPERLINK("https://android.googlesource.com/platform/cts/+/161af4df4052f7c9221cda627f12e1f481569df3", "161af4df4052f7c9221cda627f12e1f481569df3")</f>
        <v>0</v>
      </c>
      <c r="C33049">
        <f>HYPERLINK("https://android.googlesource.com/platform/cts/+/d5d4cdb731aced9e2cbee2d9fd8a85e4e5b28180", "d5d4cdb731aced9e2cbee2d9fd8a85e4e5b28180")</f>
        <v>0</v>
      </c>
      <c r="D33049" t="s">
        <v>5117</v>
      </c>
      <c r="E33049" t="s">
        <v>8340</v>
      </c>
      <c r="F33049" t="s">
        <v>13905</v>
      </c>
      <c r="G33049" t="s">
        <v>17942</v>
      </c>
      <c r="H33049" t="s">
        <v>32359</v>
      </c>
    </row>
    <row r="33050" spans="1:8">
      <c r="A33050" t="s">
        <v>2611</v>
      </c>
      <c r="B33050">
        <f>HYPERLINK("https://android.googlesource.com/platform/cts/+/6f76fec521227197065fb7e3878eb2bcee1ff496", "6f76fec521227197065fb7e3878eb2bcee1ff496")</f>
        <v>0</v>
      </c>
      <c r="C33050">
        <f>HYPERLINK("https://android.googlesource.com/platform/cts/+/161af4df4052f7c9221cda627f12e1f481569df3", "161af4df4052f7c9221cda627f12e1f481569df3")</f>
        <v>0</v>
      </c>
      <c r="D33050" t="s">
        <v>5117</v>
      </c>
      <c r="E33050" t="s">
        <v>8341</v>
      </c>
      <c r="F33050" t="s">
        <v>13905</v>
      </c>
      <c r="G33050" t="s">
        <v>17942</v>
      </c>
      <c r="H33050" t="s">
        <v>18927</v>
      </c>
    </row>
    <row r="33051" spans="1:8">
      <c r="A33051" t="s">
        <v>2612</v>
      </c>
      <c r="B33051">
        <f>HYPERLINK("https://android.googlesource.com/platform/cts/+/920960d7c38663c0fafb6e58127c2dc7ec013c78", "920960d7c38663c0fafb6e58127c2dc7ec013c78")</f>
        <v>0</v>
      </c>
      <c r="C33051">
        <f>HYPERLINK("https://android.googlesource.com/platform/cts/+/af978c6fe12a5cc5361607e56d42da09eb709653", "af978c6fe12a5cc5361607e56d42da09eb709653")</f>
        <v>0</v>
      </c>
      <c r="D33051" t="s">
        <v>5341</v>
      </c>
      <c r="E33051" t="s">
        <v>8342</v>
      </c>
      <c r="F33051" t="s">
        <v>10602</v>
      </c>
      <c r="G33051" t="s">
        <v>15005</v>
      </c>
      <c r="H33051" t="s">
        <v>32360</v>
      </c>
    </row>
    <row r="33052" spans="1:8">
      <c r="A33052" t="s">
        <v>2613</v>
      </c>
      <c r="B33052">
        <f>HYPERLINK("https://android.googlesource.com/platform/cts/+/2c2b12ad1eb27b2f9ac43a421e4105ad3b1ec631", "2c2b12ad1eb27b2f9ac43a421e4105ad3b1ec631")</f>
        <v>0</v>
      </c>
      <c r="C33052">
        <f>HYPERLINK("https://android.googlesource.com/platform/cts/+/8ea1fd27c643ba12f16ee5d9ffd12590954061a1", "8ea1fd27c643ba12f16ee5d9ffd12590954061a1")</f>
        <v>0</v>
      </c>
      <c r="D33052" t="s">
        <v>5364</v>
      </c>
      <c r="E33052" t="s">
        <v>8343</v>
      </c>
      <c r="F33052" t="s">
        <v>12821</v>
      </c>
      <c r="G33052" t="s">
        <v>17000</v>
      </c>
      <c r="H33052" t="s">
        <v>32361</v>
      </c>
    </row>
    <row r="33053" spans="1:8">
      <c r="A33053" t="s">
        <v>2614</v>
      </c>
      <c r="B33053">
        <f>HYPERLINK("https://android.googlesource.com/platform/cts/+/bb78a6d3dc8629379eb388ca764102798ce865bd", "bb78a6d3dc8629379eb388ca764102798ce865bd")</f>
        <v>0</v>
      </c>
      <c r="C33053">
        <f>HYPERLINK("https://android.googlesource.com/platform/cts/+/aac8bb9ca616f70d4675c05e6cc3a96100152593", "aac8bb9ca616f70d4675c05e6cc3a96100152593")</f>
        <v>0</v>
      </c>
      <c r="D33053" t="s">
        <v>5352</v>
      </c>
      <c r="E33053" t="s">
        <v>8344</v>
      </c>
      <c r="F33053" t="s">
        <v>13933</v>
      </c>
      <c r="G33053" t="s">
        <v>17967</v>
      </c>
      <c r="H33053" t="s">
        <v>32362</v>
      </c>
    </row>
    <row r="33054" spans="1:8">
      <c r="A33054" t="s">
        <v>2615</v>
      </c>
      <c r="B33054">
        <f>HYPERLINK("https://android.googlesource.com/platform/cts/+/57f8b2623ee0d9acf0ac9b29dbfbd9fec515acb8", "57f8b2623ee0d9acf0ac9b29dbfbd9fec515acb8")</f>
        <v>0</v>
      </c>
      <c r="C33054">
        <f>HYPERLINK("https://android.googlesource.com/platform/cts/+/62b4aedb262eaf0e685bddc26d7e1da3259bdf38", "62b4aedb262eaf0e685bddc26d7e1da3259bdf38")</f>
        <v>0</v>
      </c>
      <c r="D33054" t="s">
        <v>5134</v>
      </c>
      <c r="E33054" t="s">
        <v>8345</v>
      </c>
      <c r="F33054" t="s">
        <v>13918</v>
      </c>
      <c r="G33054" t="s">
        <v>17954</v>
      </c>
      <c r="H33054" t="s">
        <v>32363</v>
      </c>
    </row>
    <row r="33055" spans="1:8">
      <c r="A33055" t="s">
        <v>2616</v>
      </c>
      <c r="B33055">
        <f>HYPERLINK("https://android.googlesource.com/platform/cts/+/144937f3df37ee0b1d5484f10e8c86a8a70a9cb5", "144937f3df37ee0b1d5484f10e8c86a8a70a9cb5")</f>
        <v>0</v>
      </c>
      <c r="C33055">
        <f>HYPERLINK("https://android.googlesource.com/platform/cts/+/946a336317518ce2d9ed20bec782d55c313a7da8", "946a336317518ce2d9ed20bec782d55c313a7da8")</f>
        <v>0</v>
      </c>
      <c r="D33055" t="s">
        <v>5271</v>
      </c>
      <c r="E33055" t="s">
        <v>8346</v>
      </c>
      <c r="F33055" t="s">
        <v>13928</v>
      </c>
      <c r="G33055" t="s">
        <v>17964</v>
      </c>
      <c r="H33055" t="s">
        <v>32364</v>
      </c>
    </row>
    <row r="33056" spans="1:8">
      <c r="H33056" t="s">
        <v>32364</v>
      </c>
    </row>
    <row r="33057" spans="1:8">
      <c r="H33057" t="s">
        <v>32365</v>
      </c>
    </row>
    <row r="33058" spans="1:8">
      <c r="A33058" t="s">
        <v>2616</v>
      </c>
      <c r="B33058">
        <f>HYPERLINK("https://android.googlesource.com/platform/cts/+/946a336317518ce2d9ed20bec782d55c313a7da8", "946a336317518ce2d9ed20bec782d55c313a7da8")</f>
        <v>0</v>
      </c>
      <c r="C33058">
        <f>HYPERLINK("https://android.googlesource.com/platform/cts/+/169a50921b995659a0f67033767fb2c93c30aab0", "169a50921b995659a0f67033767fb2c93c30aab0")</f>
        <v>0</v>
      </c>
      <c r="D33058" t="s">
        <v>5271</v>
      </c>
      <c r="E33058" t="s">
        <v>8347</v>
      </c>
      <c r="F33058" t="s">
        <v>13309</v>
      </c>
      <c r="G33058" t="s">
        <v>17442</v>
      </c>
      <c r="H33058" t="s">
        <v>18829</v>
      </c>
    </row>
    <row r="33059" spans="1:8">
      <c r="A33059" t="s">
        <v>2617</v>
      </c>
      <c r="B33059">
        <f>HYPERLINK("https://android.googlesource.com/platform/cts/+/803c66713c202cae7fc3401aed6ea6662c728bf7", "803c66713c202cae7fc3401aed6ea6662c728bf7")</f>
        <v>0</v>
      </c>
      <c r="C33059">
        <f>HYPERLINK("https://android.googlesource.com/platform/cts/+/1be932db7cc9c2b6b9492be83b66fcbad7de0f13", "1be932db7cc9c2b6b9492be83b66fcbad7de0f13")</f>
        <v>0</v>
      </c>
      <c r="D33059" t="s">
        <v>5420</v>
      </c>
      <c r="E33059" t="s">
        <v>8348</v>
      </c>
      <c r="F33059" t="s">
        <v>12710</v>
      </c>
      <c r="G33059" t="s">
        <v>16911</v>
      </c>
      <c r="H33059" t="s">
        <v>32366</v>
      </c>
    </row>
    <row r="33060" spans="1:8">
      <c r="A33060" t="s">
        <v>2618</v>
      </c>
      <c r="B33060">
        <f>HYPERLINK("https://android.googlesource.com/platform/cts/+/adb88381429207937236a58e29c608331a1f62ad", "adb88381429207937236a58e29c608331a1f62ad")</f>
        <v>0</v>
      </c>
      <c r="C33060">
        <f>HYPERLINK("https://android.googlesource.com/platform/cts/+/19dc485629b25ed86198c0d9d8fccae1b092e6ae", "19dc485629b25ed86198c0d9d8fccae1b092e6ae")</f>
        <v>0</v>
      </c>
      <c r="D33060" t="s">
        <v>5134</v>
      </c>
      <c r="E33060" t="s">
        <v>8349</v>
      </c>
      <c r="F33060" t="s">
        <v>12673</v>
      </c>
      <c r="G33060" t="s">
        <v>16877</v>
      </c>
      <c r="H33060" t="s">
        <v>32367</v>
      </c>
    </row>
    <row r="33061" spans="1:8">
      <c r="F33061" t="s">
        <v>13934</v>
      </c>
      <c r="G33061" t="s">
        <v>17968</v>
      </c>
      <c r="H33061" t="s">
        <v>32368</v>
      </c>
    </row>
    <row r="33062" spans="1:8">
      <c r="F33062" t="s">
        <v>13935</v>
      </c>
      <c r="G33062" t="s">
        <v>17969</v>
      </c>
      <c r="H33062" t="s">
        <v>32369</v>
      </c>
    </row>
    <row r="33063" spans="1:8">
      <c r="F33063" t="s">
        <v>13936</v>
      </c>
      <c r="G33063" t="s">
        <v>17970</v>
      </c>
      <c r="H33063" t="s">
        <v>32370</v>
      </c>
    </row>
    <row r="33064" spans="1:8">
      <c r="F33064" t="s">
        <v>13937</v>
      </c>
      <c r="G33064" t="s">
        <v>17971</v>
      </c>
      <c r="H33064" t="s">
        <v>32371</v>
      </c>
    </row>
    <row r="33065" spans="1:8">
      <c r="F33065" t="s">
        <v>13938</v>
      </c>
      <c r="G33065" t="s">
        <v>17870</v>
      </c>
      <c r="H33065" t="s">
        <v>32372</v>
      </c>
    </row>
    <row r="33066" spans="1:8">
      <c r="F33066" t="s">
        <v>13939</v>
      </c>
      <c r="G33066" t="s">
        <v>15189</v>
      </c>
      <c r="H33066" t="s">
        <v>27350</v>
      </c>
    </row>
    <row r="33067" spans="1:8">
      <c r="F33067" t="s">
        <v>13940</v>
      </c>
      <c r="G33067" t="s">
        <v>15087</v>
      </c>
      <c r="H33067" t="s">
        <v>32373</v>
      </c>
    </row>
    <row r="33068" spans="1:8">
      <c r="A33068" t="s">
        <v>2620</v>
      </c>
      <c r="B33068">
        <f>HYPERLINK("https://android.googlesource.com/platform/cts/+/5f68f3e4a61830ecaa50c2aacd917fb663032901", "5f68f3e4a61830ecaa50c2aacd917fb663032901")</f>
        <v>0</v>
      </c>
      <c r="C33068">
        <f>HYPERLINK("https://android.googlesource.com/platform/cts/+/e6e7c3621e8f831a9f673fd90a60b666c4a77272", "e6e7c3621e8f831a9f673fd90a60b666c4a77272")</f>
        <v>0</v>
      </c>
      <c r="D33068" t="s">
        <v>5235</v>
      </c>
      <c r="E33068" t="s">
        <v>8351</v>
      </c>
      <c r="F33068" t="s">
        <v>13165</v>
      </c>
      <c r="G33068" t="s">
        <v>17315</v>
      </c>
      <c r="H33068" t="s">
        <v>32374</v>
      </c>
    </row>
    <row r="33069" spans="1:8">
      <c r="H33069" t="s">
        <v>32375</v>
      </c>
    </row>
    <row r="33070" spans="1:8">
      <c r="H33070" t="s">
        <v>32376</v>
      </c>
    </row>
    <row r="33071" spans="1:8">
      <c r="H33071" t="s">
        <v>32377</v>
      </c>
    </row>
    <row r="33072" spans="1:8">
      <c r="H33072" t="s">
        <v>32378</v>
      </c>
    </row>
    <row r="33073" spans="1:8">
      <c r="A33073" t="s">
        <v>2623</v>
      </c>
      <c r="B33073">
        <f>HYPERLINK("https://android.googlesource.com/platform/cts/+/408719bc937d75d0def7a484efd2956de9121089", "408719bc937d75d0def7a484efd2956de9121089")</f>
        <v>0</v>
      </c>
      <c r="C33073">
        <f>HYPERLINK("https://android.googlesource.com/platform/cts/+/9556a7a191a9429eab6804769d9bd3e1e9303f77", "9556a7a191a9429eab6804769d9bd3e1e9303f77")</f>
        <v>0</v>
      </c>
      <c r="D33073" t="s">
        <v>5401</v>
      </c>
      <c r="E33073" t="s">
        <v>8354</v>
      </c>
      <c r="F33073" t="s">
        <v>10700</v>
      </c>
      <c r="G33073" t="s">
        <v>15100</v>
      </c>
      <c r="H33073" t="s">
        <v>32379</v>
      </c>
    </row>
    <row r="33074" spans="1:8">
      <c r="A33074" t="s">
        <v>2624</v>
      </c>
      <c r="B33074">
        <f>HYPERLINK("https://android.googlesource.com/platform/cts/+/1ff1f248d02454337314e4f70ef3bfe5acbe944c", "1ff1f248d02454337314e4f70ef3bfe5acbe944c")</f>
        <v>0</v>
      </c>
      <c r="C33074">
        <f>HYPERLINK("https://android.googlesource.com/platform/cts/+/e585f4076c038a3565714b6ec897f785a1338d24", "e585f4076c038a3565714b6ec897f785a1338d24")</f>
        <v>0</v>
      </c>
      <c r="D33074" t="s">
        <v>5419</v>
      </c>
      <c r="E33074" t="s">
        <v>8355</v>
      </c>
      <c r="F33074" t="s">
        <v>13941</v>
      </c>
      <c r="G33074" t="s">
        <v>17972</v>
      </c>
      <c r="H33074" t="s">
        <v>32344</v>
      </c>
    </row>
    <row r="33075" spans="1:8">
      <c r="H33075" t="s">
        <v>32380</v>
      </c>
    </row>
    <row r="33076" spans="1:8">
      <c r="H33076" t="s">
        <v>32381</v>
      </c>
    </row>
    <row r="33077" spans="1:8">
      <c r="H33077" t="s">
        <v>25620</v>
      </c>
    </row>
    <row r="33078" spans="1:8">
      <c r="H33078" t="s">
        <v>32382</v>
      </c>
    </row>
    <row r="33079" spans="1:8">
      <c r="H33079" t="s">
        <v>32383</v>
      </c>
    </row>
    <row r="33080" spans="1:8">
      <c r="H33080" t="s">
        <v>32384</v>
      </c>
    </row>
    <row r="33081" spans="1:8">
      <c r="H33081" t="s">
        <v>25622</v>
      </c>
    </row>
    <row r="33082" spans="1:8">
      <c r="H33082" t="s">
        <v>19019</v>
      </c>
    </row>
    <row r="33083" spans="1:8">
      <c r="H33083" t="s">
        <v>22150</v>
      </c>
    </row>
    <row r="33084" spans="1:8">
      <c r="H33084" t="s">
        <v>31668</v>
      </c>
    </row>
    <row r="33085" spans="1:8">
      <c r="H33085" t="s">
        <v>32385</v>
      </c>
    </row>
    <row r="33086" spans="1:8">
      <c r="H33086" t="s">
        <v>32386</v>
      </c>
    </row>
    <row r="33087" spans="1:8">
      <c r="H33087" t="s">
        <v>31669</v>
      </c>
    </row>
    <row r="33088" spans="1:8">
      <c r="H33088" t="s">
        <v>32387</v>
      </c>
    </row>
    <row r="33089" spans="6:8">
      <c r="H33089" t="s">
        <v>32388</v>
      </c>
    </row>
    <row r="33090" spans="6:8">
      <c r="F33090" t="s">
        <v>10700</v>
      </c>
      <c r="G33090" t="s">
        <v>15100</v>
      </c>
      <c r="H33090" t="s">
        <v>32389</v>
      </c>
    </row>
    <row r="33091" spans="6:8">
      <c r="H33091" t="s">
        <v>32390</v>
      </c>
    </row>
    <row r="33092" spans="6:8">
      <c r="H33092" t="s">
        <v>32391</v>
      </c>
    </row>
    <row r="33093" spans="6:8">
      <c r="H33093" t="s">
        <v>25620</v>
      </c>
    </row>
    <row r="33094" spans="6:8">
      <c r="H33094" t="s">
        <v>32384</v>
      </c>
    </row>
    <row r="33095" spans="6:8">
      <c r="H33095" t="s">
        <v>32383</v>
      </c>
    </row>
    <row r="33096" spans="6:8">
      <c r="H33096" t="s">
        <v>32381</v>
      </c>
    </row>
    <row r="33097" spans="6:8">
      <c r="H33097" t="s">
        <v>25622</v>
      </c>
    </row>
    <row r="33098" spans="6:8">
      <c r="H33098" t="s">
        <v>19019</v>
      </c>
    </row>
    <row r="33099" spans="6:8">
      <c r="H33099" t="s">
        <v>22150</v>
      </c>
    </row>
    <row r="33100" spans="6:8">
      <c r="H33100" t="s">
        <v>31668</v>
      </c>
    </row>
    <row r="33101" spans="6:8">
      <c r="H33101" t="s">
        <v>32385</v>
      </c>
    </row>
    <row r="33102" spans="6:8">
      <c r="H33102" t="s">
        <v>32386</v>
      </c>
    </row>
    <row r="33103" spans="6:8">
      <c r="H33103" t="s">
        <v>31669</v>
      </c>
    </row>
    <row r="33104" spans="6:8">
      <c r="H33104" t="s">
        <v>32387</v>
      </c>
    </row>
    <row r="33105" spans="1:8">
      <c r="H33105" t="s">
        <v>32388</v>
      </c>
    </row>
    <row r="33106" spans="1:8">
      <c r="H33106" t="s">
        <v>32380</v>
      </c>
    </row>
    <row r="33107" spans="1:8">
      <c r="A33107" t="s">
        <v>2625</v>
      </c>
      <c r="B33107">
        <f>HYPERLINK("https://android.googlesource.com/platform/cts/+/764d3ee7b04cd1ed1b36862f23d6132e8d82c450", "764d3ee7b04cd1ed1b36862f23d6132e8d82c450")</f>
        <v>0</v>
      </c>
      <c r="C33107">
        <f>HYPERLINK("https://android.googlesource.com/platform/cts/+/151a61c4001355fb956a14d67363595c6e171c09", "151a61c4001355fb956a14d67363595c6e171c09")</f>
        <v>0</v>
      </c>
      <c r="D33107" t="s">
        <v>4981</v>
      </c>
      <c r="E33107" t="s">
        <v>8356</v>
      </c>
      <c r="F33107" t="s">
        <v>13887</v>
      </c>
      <c r="G33107" t="s">
        <v>17319</v>
      </c>
      <c r="H33107" t="s">
        <v>32392</v>
      </c>
    </row>
    <row r="33108" spans="1:8">
      <c r="A33108" t="s">
        <v>2626</v>
      </c>
      <c r="B33108">
        <f>HYPERLINK("https://android.googlesource.com/platform/cts/+/471282a9d3e48d011b74336573c4d5c0dd13e71f", "471282a9d3e48d011b74336573c4d5c0dd13e71f")</f>
        <v>0</v>
      </c>
      <c r="C33108">
        <f>HYPERLINK("https://android.googlesource.com/platform/cts/+/85262fae07b3a74e85e6f4bdf75ab7050c7d376a", "85262fae07b3a74e85e6f4bdf75ab7050c7d376a")</f>
        <v>0</v>
      </c>
      <c r="D33108" t="s">
        <v>5407</v>
      </c>
      <c r="E33108" t="s">
        <v>8357</v>
      </c>
      <c r="F33108" t="s">
        <v>13887</v>
      </c>
      <c r="G33108" t="s">
        <v>17319</v>
      </c>
      <c r="H33108" t="s">
        <v>32393</v>
      </c>
    </row>
    <row r="33109" spans="1:8">
      <c r="H33109" t="s">
        <v>32394</v>
      </c>
    </row>
    <row r="33110" spans="1:8">
      <c r="H33110" t="s">
        <v>32395</v>
      </c>
    </row>
    <row r="33111" spans="1:8">
      <c r="A33111" t="s">
        <v>2628</v>
      </c>
      <c r="B33111">
        <f>HYPERLINK("https://android.googlesource.com/platform/cts/+/492fa53e7644d00754cc18646063bdb4ca42aaa2", "492fa53e7644d00754cc18646063bdb4ca42aaa2")</f>
        <v>0</v>
      </c>
      <c r="C33111">
        <f>HYPERLINK("https://android.googlesource.com/platform/cts/+/2f120fd0bdb073f4989821163f1ad189e6132923", "2f120fd0bdb073f4989821163f1ad189e6132923")</f>
        <v>0</v>
      </c>
      <c r="D33111" t="s">
        <v>5401</v>
      </c>
      <c r="E33111" t="s">
        <v>8359</v>
      </c>
      <c r="F33111" t="s">
        <v>10700</v>
      </c>
      <c r="G33111" t="s">
        <v>15100</v>
      </c>
      <c r="H33111" t="s">
        <v>32379</v>
      </c>
    </row>
    <row r="33112" spans="1:8">
      <c r="A33112" t="s">
        <v>2629</v>
      </c>
      <c r="B33112">
        <f>HYPERLINK("https://android.googlesource.com/platform/cts/+/4f387bea3034bc93a78767d282101135363e2531", "4f387bea3034bc93a78767d282101135363e2531")</f>
        <v>0</v>
      </c>
      <c r="C33112">
        <f>HYPERLINK("https://android.googlesource.com/platform/cts/+/d2a0d577f0b102530b5024969498de77a87a932c", "d2a0d577f0b102530b5024969498de77a87a932c")</f>
        <v>0</v>
      </c>
      <c r="D33112" t="s">
        <v>5411</v>
      </c>
      <c r="E33112" t="s">
        <v>8360</v>
      </c>
      <c r="F33112" t="s">
        <v>11435</v>
      </c>
      <c r="G33112" t="s">
        <v>15093</v>
      </c>
      <c r="H33112" t="s">
        <v>32396</v>
      </c>
    </row>
    <row r="33113" spans="1:8">
      <c r="H33113" t="s">
        <v>32397</v>
      </c>
    </row>
    <row r="33114" spans="1:8">
      <c r="H33114" t="s">
        <v>19140</v>
      </c>
    </row>
    <row r="33115" spans="1:8">
      <c r="H33115" t="s">
        <v>19141</v>
      </c>
    </row>
    <row r="33116" spans="1:8">
      <c r="H33116" t="s">
        <v>19142</v>
      </c>
    </row>
    <row r="33117" spans="1:8">
      <c r="H33117" t="s">
        <v>19143</v>
      </c>
    </row>
    <row r="33118" spans="1:8">
      <c r="H33118" t="s">
        <v>32398</v>
      </c>
    </row>
    <row r="33119" spans="1:8">
      <c r="H33119" t="s">
        <v>32399</v>
      </c>
    </row>
    <row r="33120" spans="1:8">
      <c r="A33120" t="s">
        <v>2630</v>
      </c>
      <c r="B33120">
        <f>HYPERLINK("https://android.googlesource.com/platform/cts/+/fa70a7a24855a629c9a811c7902ab680079f6c4d", "fa70a7a24855a629c9a811c7902ab680079f6c4d")</f>
        <v>0</v>
      </c>
      <c r="C33120">
        <f>HYPERLINK("https://android.googlesource.com/platform/cts/+/d2a0d577f0b102530b5024969498de77a87a932c", "d2a0d577f0b102530b5024969498de77a87a932c")</f>
        <v>0</v>
      </c>
      <c r="D33120" t="s">
        <v>5411</v>
      </c>
      <c r="E33120" t="s">
        <v>8361</v>
      </c>
      <c r="F33120" t="s">
        <v>13912</v>
      </c>
      <c r="G33120" t="s">
        <v>17949</v>
      </c>
      <c r="H33120" t="s">
        <v>32400</v>
      </c>
    </row>
    <row r="33121" spans="1:8">
      <c r="A33121" t="s">
        <v>2631</v>
      </c>
      <c r="B33121">
        <f>HYPERLINK("https://android.googlesource.com/platform/cts/+/13a88896eda7c2c7a5439c560f0fdab6b240a5d2", "13a88896eda7c2c7a5439c560f0fdab6b240a5d2")</f>
        <v>0</v>
      </c>
      <c r="C33121">
        <f>HYPERLINK("https://android.googlesource.com/platform/cts/+/6742fc43fff2d34a682dce3c17f0daf745a00b5e", "6742fc43fff2d34a682dce3c17f0daf745a00b5e")</f>
        <v>0</v>
      </c>
      <c r="D33121" t="s">
        <v>4930</v>
      </c>
      <c r="E33121" t="s">
        <v>8362</v>
      </c>
      <c r="F33121" t="s">
        <v>13942</v>
      </c>
      <c r="G33121" t="s">
        <v>17848</v>
      </c>
      <c r="H33121" t="s">
        <v>31618</v>
      </c>
    </row>
    <row r="33122" spans="1:8">
      <c r="H33122" t="s">
        <v>31619</v>
      </c>
    </row>
    <row r="33123" spans="1:8">
      <c r="H33123" t="s">
        <v>31620</v>
      </c>
    </row>
    <row r="33124" spans="1:8">
      <c r="H33124" t="s">
        <v>31621</v>
      </c>
    </row>
    <row r="33125" spans="1:8">
      <c r="H33125" t="s">
        <v>32401</v>
      </c>
    </row>
    <row r="33126" spans="1:8">
      <c r="F33126" t="s">
        <v>13943</v>
      </c>
      <c r="G33126" t="s">
        <v>16613</v>
      </c>
      <c r="H33126" t="s">
        <v>22511</v>
      </c>
    </row>
    <row r="33127" spans="1:8">
      <c r="H33127" t="s">
        <v>18927</v>
      </c>
    </row>
    <row r="33128" spans="1:8">
      <c r="H33128" t="s">
        <v>18929</v>
      </c>
    </row>
    <row r="33129" spans="1:8">
      <c r="H33129" t="s">
        <v>22512</v>
      </c>
    </row>
    <row r="33130" spans="1:8">
      <c r="H33130" t="s">
        <v>22513</v>
      </c>
    </row>
    <row r="33131" spans="1:8">
      <c r="H33131" t="s">
        <v>22514</v>
      </c>
    </row>
    <row r="33132" spans="1:8">
      <c r="H33132" t="s">
        <v>22515</v>
      </c>
    </row>
    <row r="33133" spans="1:8">
      <c r="F33133" t="s">
        <v>13944</v>
      </c>
      <c r="G33133" t="s">
        <v>16863</v>
      </c>
      <c r="H33133" t="s">
        <v>32402</v>
      </c>
    </row>
    <row r="33134" spans="1:8">
      <c r="H33134" t="s">
        <v>32403</v>
      </c>
    </row>
    <row r="33135" spans="1:8">
      <c r="H33135" t="s">
        <v>32404</v>
      </c>
    </row>
    <row r="33136" spans="1:8">
      <c r="H33136" t="s">
        <v>32404</v>
      </c>
    </row>
    <row r="33137" spans="6:8">
      <c r="H33137" t="s">
        <v>32405</v>
      </c>
    </row>
    <row r="33138" spans="6:8">
      <c r="H33138" t="s">
        <v>19916</v>
      </c>
    </row>
    <row r="33139" spans="6:8">
      <c r="F33139" t="s">
        <v>13945</v>
      </c>
      <c r="G33139" t="s">
        <v>17973</v>
      </c>
      <c r="H33139" t="s">
        <v>32406</v>
      </c>
    </row>
    <row r="33140" spans="6:8">
      <c r="H33140" t="s">
        <v>32407</v>
      </c>
    </row>
    <row r="33141" spans="6:8">
      <c r="H33141" t="s">
        <v>32408</v>
      </c>
    </row>
    <row r="33142" spans="6:8">
      <c r="H33142" t="s">
        <v>32409</v>
      </c>
    </row>
    <row r="33143" spans="6:8">
      <c r="F33143" t="s">
        <v>13946</v>
      </c>
      <c r="G33143" t="s">
        <v>17974</v>
      </c>
      <c r="H33143" t="s">
        <v>18829</v>
      </c>
    </row>
    <row r="33144" spans="6:8">
      <c r="H33144" t="s">
        <v>30752</v>
      </c>
    </row>
    <row r="33145" spans="6:8">
      <c r="H33145" t="s">
        <v>30753</v>
      </c>
    </row>
    <row r="33146" spans="6:8">
      <c r="H33146" t="s">
        <v>30754</v>
      </c>
    </row>
    <row r="33147" spans="6:8">
      <c r="H33147" t="s">
        <v>32410</v>
      </c>
    </row>
    <row r="33148" spans="6:8">
      <c r="H33148" t="s">
        <v>32411</v>
      </c>
    </row>
    <row r="33149" spans="6:8">
      <c r="H33149" t="s">
        <v>30757</v>
      </c>
    </row>
    <row r="33150" spans="6:8">
      <c r="H33150" t="s">
        <v>30758</v>
      </c>
    </row>
    <row r="33151" spans="6:8">
      <c r="H33151" t="s">
        <v>30759</v>
      </c>
    </row>
    <row r="33152" spans="6:8">
      <c r="H33152" t="s">
        <v>30760</v>
      </c>
    </row>
    <row r="33153" spans="8:8">
      <c r="H33153" t="s">
        <v>30761</v>
      </c>
    </row>
    <row r="33154" spans="8:8">
      <c r="H33154" t="s">
        <v>30762</v>
      </c>
    </row>
    <row r="33155" spans="8:8">
      <c r="H33155" t="s">
        <v>30763</v>
      </c>
    </row>
    <row r="33156" spans="8:8">
      <c r="H33156" t="s">
        <v>30764</v>
      </c>
    </row>
    <row r="33157" spans="8:8">
      <c r="H33157" t="s">
        <v>30765</v>
      </c>
    </row>
    <row r="33158" spans="8:8">
      <c r="H33158" t="s">
        <v>30766</v>
      </c>
    </row>
    <row r="33159" spans="8:8">
      <c r="H33159" t="s">
        <v>30767</v>
      </c>
    </row>
    <row r="33160" spans="8:8">
      <c r="H33160" t="s">
        <v>30768</v>
      </c>
    </row>
    <row r="33161" spans="8:8">
      <c r="H33161" t="s">
        <v>30769</v>
      </c>
    </row>
    <row r="33162" spans="8:8">
      <c r="H33162" t="s">
        <v>30770</v>
      </c>
    </row>
    <row r="33163" spans="8:8">
      <c r="H33163" t="s">
        <v>30771</v>
      </c>
    </row>
    <row r="33164" spans="8:8">
      <c r="H33164" t="s">
        <v>30772</v>
      </c>
    </row>
    <row r="33165" spans="8:8">
      <c r="H33165" t="s">
        <v>30772</v>
      </c>
    </row>
    <row r="33166" spans="8:8">
      <c r="H33166" t="s">
        <v>30772</v>
      </c>
    </row>
    <row r="33167" spans="8:8">
      <c r="H33167" t="s">
        <v>30773</v>
      </c>
    </row>
    <row r="33168" spans="8:8">
      <c r="H33168" t="s">
        <v>30774</v>
      </c>
    </row>
    <row r="33169" spans="6:8">
      <c r="H33169" t="s">
        <v>30775</v>
      </c>
    </row>
    <row r="33170" spans="6:8">
      <c r="H33170" t="s">
        <v>30776</v>
      </c>
    </row>
    <row r="33171" spans="6:8">
      <c r="H33171" t="s">
        <v>30777</v>
      </c>
    </row>
    <row r="33172" spans="6:8">
      <c r="H33172" t="s">
        <v>30778</v>
      </c>
    </row>
    <row r="33173" spans="6:8">
      <c r="H33173" t="s">
        <v>30779</v>
      </c>
    </row>
    <row r="33174" spans="6:8">
      <c r="H33174" t="s">
        <v>30780</v>
      </c>
    </row>
    <row r="33175" spans="6:8">
      <c r="H33175" t="s">
        <v>30781</v>
      </c>
    </row>
    <row r="33176" spans="6:8">
      <c r="H33176" t="s">
        <v>30772</v>
      </c>
    </row>
    <row r="33177" spans="6:8">
      <c r="F33177" t="s">
        <v>13947</v>
      </c>
      <c r="G33177" t="s">
        <v>17975</v>
      </c>
      <c r="H33177" t="s">
        <v>18829</v>
      </c>
    </row>
    <row r="33178" spans="6:8">
      <c r="H33178" t="s">
        <v>32412</v>
      </c>
    </row>
    <row r="33179" spans="6:8">
      <c r="H33179" t="s">
        <v>32413</v>
      </c>
    </row>
    <row r="33180" spans="6:8">
      <c r="F33180" t="s">
        <v>13948</v>
      </c>
      <c r="G33180" t="s">
        <v>17976</v>
      </c>
      <c r="H33180" t="s">
        <v>26305</v>
      </c>
    </row>
    <row r="33181" spans="6:8">
      <c r="H33181" t="s">
        <v>19566</v>
      </c>
    </row>
    <row r="33182" spans="6:8">
      <c r="H33182" t="s">
        <v>32414</v>
      </c>
    </row>
    <row r="33183" spans="6:8">
      <c r="F33183" t="s">
        <v>13949</v>
      </c>
      <c r="G33183" t="s">
        <v>17470</v>
      </c>
      <c r="H33183" t="s">
        <v>32415</v>
      </c>
    </row>
    <row r="33184" spans="6:8">
      <c r="H33184" t="s">
        <v>32416</v>
      </c>
    </row>
    <row r="33185" spans="6:8">
      <c r="H33185" t="s">
        <v>18930</v>
      </c>
    </row>
    <row r="33186" spans="6:8">
      <c r="H33186" t="s">
        <v>32417</v>
      </c>
    </row>
    <row r="33187" spans="6:8">
      <c r="H33187" t="s">
        <v>32418</v>
      </c>
    </row>
    <row r="33188" spans="6:8">
      <c r="H33188" t="s">
        <v>32419</v>
      </c>
    </row>
    <row r="33189" spans="6:8">
      <c r="H33189" t="s">
        <v>32420</v>
      </c>
    </row>
    <row r="33190" spans="6:8">
      <c r="H33190" t="s">
        <v>32421</v>
      </c>
    </row>
    <row r="33191" spans="6:8">
      <c r="H33191" t="s">
        <v>32422</v>
      </c>
    </row>
    <row r="33192" spans="6:8">
      <c r="H33192" t="s">
        <v>32423</v>
      </c>
    </row>
    <row r="33193" spans="6:8">
      <c r="F33193" t="s">
        <v>13950</v>
      </c>
      <c r="G33193" t="s">
        <v>17977</v>
      </c>
      <c r="H33193" t="s">
        <v>32424</v>
      </c>
    </row>
    <row r="33194" spans="6:8">
      <c r="H33194" t="s">
        <v>32416</v>
      </c>
    </row>
    <row r="33195" spans="6:8">
      <c r="H33195" t="s">
        <v>32425</v>
      </c>
    </row>
    <row r="33196" spans="6:8">
      <c r="H33196" t="s">
        <v>32426</v>
      </c>
    </row>
    <row r="33197" spans="6:8">
      <c r="H33197" t="s">
        <v>32427</v>
      </c>
    </row>
    <row r="33198" spans="6:8">
      <c r="H33198" t="s">
        <v>32428</v>
      </c>
    </row>
    <row r="33199" spans="6:8">
      <c r="H33199" t="s">
        <v>32429</v>
      </c>
    </row>
    <row r="33200" spans="6:8">
      <c r="H33200" t="s">
        <v>32430</v>
      </c>
    </row>
    <row r="33201" spans="6:8">
      <c r="H33201" t="s">
        <v>32431</v>
      </c>
    </row>
    <row r="33202" spans="6:8">
      <c r="H33202" t="s">
        <v>32432</v>
      </c>
    </row>
    <row r="33203" spans="6:8">
      <c r="H33203" t="s">
        <v>32433</v>
      </c>
    </row>
    <row r="33204" spans="6:8">
      <c r="H33204" t="s">
        <v>32434</v>
      </c>
    </row>
    <row r="33205" spans="6:8">
      <c r="H33205" t="s">
        <v>32435</v>
      </c>
    </row>
    <row r="33206" spans="6:8">
      <c r="H33206" t="s">
        <v>32436</v>
      </c>
    </row>
    <row r="33207" spans="6:8">
      <c r="H33207" t="s">
        <v>32437</v>
      </c>
    </row>
    <row r="33208" spans="6:8">
      <c r="F33208" t="s">
        <v>13951</v>
      </c>
      <c r="G33208" t="s">
        <v>17978</v>
      </c>
      <c r="H33208" t="s">
        <v>32417</v>
      </c>
    </row>
    <row r="33209" spans="6:8">
      <c r="H33209" t="s">
        <v>32438</v>
      </c>
    </row>
    <row r="33210" spans="6:8">
      <c r="H33210" t="s">
        <v>32439</v>
      </c>
    </row>
    <row r="33211" spans="6:8">
      <c r="H33211" t="s">
        <v>32440</v>
      </c>
    </row>
    <row r="33212" spans="6:8">
      <c r="H33212" t="s">
        <v>32441</v>
      </c>
    </row>
    <row r="33213" spans="6:8">
      <c r="H33213" t="s">
        <v>32442</v>
      </c>
    </row>
    <row r="33214" spans="6:8">
      <c r="H33214" t="s">
        <v>32443</v>
      </c>
    </row>
    <row r="33215" spans="6:8">
      <c r="H33215" t="s">
        <v>32444</v>
      </c>
    </row>
    <row r="33216" spans="6:8">
      <c r="H33216" t="s">
        <v>32445</v>
      </c>
    </row>
    <row r="33217" spans="6:8">
      <c r="F33217" t="s">
        <v>13952</v>
      </c>
      <c r="G33217" t="s">
        <v>17979</v>
      </c>
      <c r="H33217" t="s">
        <v>32417</v>
      </c>
    </row>
    <row r="33218" spans="6:8">
      <c r="H33218" t="s">
        <v>32446</v>
      </c>
    </row>
    <row r="33219" spans="6:8">
      <c r="H33219" t="s">
        <v>32447</v>
      </c>
    </row>
    <row r="33220" spans="6:8">
      <c r="H33220" t="s">
        <v>32448</v>
      </c>
    </row>
    <row r="33221" spans="6:8">
      <c r="H33221" t="s">
        <v>32449</v>
      </c>
    </row>
    <row r="33222" spans="6:8">
      <c r="F33222" t="s">
        <v>13953</v>
      </c>
      <c r="G33222" t="s">
        <v>17980</v>
      </c>
      <c r="H33222" t="s">
        <v>32417</v>
      </c>
    </row>
    <row r="33223" spans="6:8">
      <c r="H33223" t="s">
        <v>32450</v>
      </c>
    </row>
    <row r="33224" spans="6:8">
      <c r="H33224" t="s">
        <v>32451</v>
      </c>
    </row>
    <row r="33225" spans="6:8">
      <c r="H33225" t="s">
        <v>32452</v>
      </c>
    </row>
    <row r="33226" spans="6:8">
      <c r="H33226" t="s">
        <v>32453</v>
      </c>
    </row>
    <row r="33227" spans="6:8">
      <c r="H33227" t="s">
        <v>32454</v>
      </c>
    </row>
    <row r="33228" spans="6:8">
      <c r="H33228" t="s">
        <v>32455</v>
      </c>
    </row>
    <row r="33229" spans="6:8">
      <c r="H33229" t="s">
        <v>18896</v>
      </c>
    </row>
    <row r="33230" spans="6:8">
      <c r="H33230" t="s">
        <v>32456</v>
      </c>
    </row>
    <row r="33231" spans="6:8">
      <c r="F33231" t="s">
        <v>13954</v>
      </c>
      <c r="G33231" t="s">
        <v>17981</v>
      </c>
      <c r="H33231" t="s">
        <v>32457</v>
      </c>
    </row>
    <row r="33232" spans="6:8">
      <c r="H33232" t="s">
        <v>26510</v>
      </c>
    </row>
    <row r="33233" spans="1:8">
      <c r="H33233" t="s">
        <v>18964</v>
      </c>
    </row>
    <row r="33234" spans="1:8">
      <c r="H33234" t="s">
        <v>28171</v>
      </c>
    </row>
    <row r="33235" spans="1:8">
      <c r="H33235" t="s">
        <v>18927</v>
      </c>
    </row>
    <row r="33236" spans="1:8">
      <c r="H33236" t="s">
        <v>32458</v>
      </c>
    </row>
    <row r="33237" spans="1:8">
      <c r="H33237" t="s">
        <v>32459</v>
      </c>
    </row>
    <row r="33238" spans="1:8">
      <c r="H33238" t="s">
        <v>32460</v>
      </c>
    </row>
    <row r="33239" spans="1:8">
      <c r="H33239" t="s">
        <v>32461</v>
      </c>
    </row>
    <row r="33240" spans="1:8">
      <c r="F33240" t="s">
        <v>13126</v>
      </c>
      <c r="G33240" t="s">
        <v>17286</v>
      </c>
      <c r="H33240" t="s">
        <v>32462</v>
      </c>
    </row>
    <row r="33241" spans="1:8">
      <c r="H33241" t="s">
        <v>29501</v>
      </c>
    </row>
    <row r="33242" spans="1:8">
      <c r="A33242" t="s">
        <v>2632</v>
      </c>
      <c r="B33242">
        <f>HYPERLINK("https://android.googlesource.com/platform/cts/+/0e167f79314cb0bb3cedb06591c6352b520e4640", "0e167f79314cb0bb3cedb06591c6352b520e4640")</f>
        <v>0</v>
      </c>
      <c r="C33242">
        <f>HYPERLINK("https://android.googlesource.com/platform/cts/+/c1cca80827fe859a66fb9c69baef72ac2f11753f", "c1cca80827fe859a66fb9c69baef72ac2f11753f")</f>
        <v>0</v>
      </c>
      <c r="D33242" t="s">
        <v>5421</v>
      </c>
      <c r="E33242" t="s">
        <v>8363</v>
      </c>
      <c r="F33242" t="s">
        <v>10593</v>
      </c>
      <c r="G33242" t="s">
        <v>14996</v>
      </c>
      <c r="H33242" t="s">
        <v>32463</v>
      </c>
    </row>
    <row r="33243" spans="1:8">
      <c r="A33243" t="s">
        <v>2635</v>
      </c>
      <c r="B33243">
        <f>HYPERLINK("https://android.googlesource.com/platform/cts/+/975c55325673fcfd2b53973fac3d9229d26695eb", "975c55325673fcfd2b53973fac3d9229d26695eb")</f>
        <v>0</v>
      </c>
      <c r="C33243">
        <f>HYPERLINK("https://android.googlesource.com/platform/cts/+/d19ea5c45d5ba6e7e7ddac1d83595758cc4284d2", "d19ea5c45d5ba6e7e7ddac1d83595758cc4284d2")</f>
        <v>0</v>
      </c>
      <c r="D33243" t="s">
        <v>5320</v>
      </c>
      <c r="E33243" t="s">
        <v>8366</v>
      </c>
      <c r="F33243" t="s">
        <v>13846</v>
      </c>
      <c r="G33243" t="s">
        <v>17889</v>
      </c>
      <c r="H33243" t="s">
        <v>32464</v>
      </c>
    </row>
    <row r="33244" spans="1:8">
      <c r="A33244" t="s">
        <v>2636</v>
      </c>
      <c r="B33244">
        <f>HYPERLINK("https://android.googlesource.com/platform/cts/+/1c3ffc1ab9f7c24bb01aab59b2bf098867d102cd", "1c3ffc1ab9f7c24bb01aab59b2bf098867d102cd")</f>
        <v>0</v>
      </c>
      <c r="C33244">
        <f>HYPERLINK("https://android.googlesource.com/platform/cts/+/e556f8234d386b4c90e38c9bb0db1cae3640a3bf", "e556f8234d386b4c90e38c9bb0db1cae3640a3bf")</f>
        <v>0</v>
      </c>
      <c r="D33244" t="s">
        <v>5117</v>
      </c>
      <c r="E33244" t="s">
        <v>8367</v>
      </c>
      <c r="F33244" t="s">
        <v>13905</v>
      </c>
      <c r="G33244" t="s">
        <v>17942</v>
      </c>
      <c r="H33244" t="s">
        <v>32465</v>
      </c>
    </row>
    <row r="33245" spans="1:8">
      <c r="H33245" t="s">
        <v>32466</v>
      </c>
    </row>
    <row r="33246" spans="1:8">
      <c r="A33246" t="s">
        <v>2637</v>
      </c>
      <c r="B33246">
        <f>HYPERLINK("https://android.googlesource.com/platform/cts/+/6c540e9b8835617a130c2db685549b05816b4fd7", "6c540e9b8835617a130c2db685549b05816b4fd7")</f>
        <v>0</v>
      </c>
      <c r="C33246">
        <f>HYPERLINK("https://android.googlesource.com/platform/cts/+/e9a17683478f9c95b4b781c1c1732baa409c6dce", "e9a17683478f9c95b4b781c1c1732baa409c6dce")</f>
        <v>0</v>
      </c>
      <c r="D33246" t="s">
        <v>5269</v>
      </c>
      <c r="E33246" t="s">
        <v>8368</v>
      </c>
      <c r="F33246" t="s">
        <v>13827</v>
      </c>
      <c r="G33246" t="s">
        <v>17871</v>
      </c>
      <c r="H33246" t="s">
        <v>32467</v>
      </c>
    </row>
    <row r="33247" spans="1:8">
      <c r="A33247" t="s">
        <v>2638</v>
      </c>
      <c r="B33247">
        <f>HYPERLINK("https://android.googlesource.com/platform/cts/+/ad5eacc572c13ac6f53011ebc96fac474840f709", "ad5eacc572c13ac6f53011ebc96fac474840f709")</f>
        <v>0</v>
      </c>
      <c r="C33247">
        <f>HYPERLINK("https://android.googlesource.com/platform/cts/+/c9e3f4ee0f8cf3e77ea4717aed4c26e4986777a9", "c9e3f4ee0f8cf3e77ea4717aed4c26e4986777a9")</f>
        <v>0</v>
      </c>
      <c r="D33247" t="s">
        <v>5396</v>
      </c>
      <c r="E33247" t="s">
        <v>8369</v>
      </c>
      <c r="F33247" t="s">
        <v>13846</v>
      </c>
      <c r="G33247" t="s">
        <v>17889</v>
      </c>
      <c r="H33247" t="s">
        <v>32468</v>
      </c>
    </row>
    <row r="33248" spans="1:8">
      <c r="F33248" t="s">
        <v>13899</v>
      </c>
      <c r="G33248" t="s">
        <v>17889</v>
      </c>
      <c r="H33248" t="s">
        <v>32468</v>
      </c>
    </row>
    <row r="33249" spans="1:8">
      <c r="A33249" t="s">
        <v>2639</v>
      </c>
      <c r="B33249">
        <f>HYPERLINK("https://android.googlesource.com/platform/cts/+/c0f8161ccdc707df45b28a3d3a83641bb196fa9f", "c0f8161ccdc707df45b28a3d3a83641bb196fa9f")</f>
        <v>0</v>
      </c>
      <c r="C33249">
        <f>HYPERLINK("https://android.googlesource.com/platform/cts/+/6723e5a136c6be20de749e80893d3627de3099e5", "6723e5a136c6be20de749e80893d3627de3099e5")</f>
        <v>0</v>
      </c>
      <c r="D33249" t="s">
        <v>5307</v>
      </c>
      <c r="E33249" t="s">
        <v>8370</v>
      </c>
      <c r="F33249" t="s">
        <v>11435</v>
      </c>
      <c r="G33249" t="s">
        <v>15093</v>
      </c>
      <c r="H33249" t="s">
        <v>18863</v>
      </c>
    </row>
    <row r="33250" spans="1:8">
      <c r="H33250" t="s">
        <v>32469</v>
      </c>
    </row>
    <row r="33251" spans="1:8">
      <c r="H33251" t="s">
        <v>32470</v>
      </c>
    </row>
    <row r="33252" spans="1:8">
      <c r="H33252" t="s">
        <v>32471</v>
      </c>
    </row>
    <row r="33253" spans="1:8">
      <c r="H33253" t="s">
        <v>32471</v>
      </c>
    </row>
    <row r="33254" spans="1:8">
      <c r="H33254" t="s">
        <v>32472</v>
      </c>
    </row>
    <row r="33255" spans="1:8">
      <c r="H33255" t="s">
        <v>32473</v>
      </c>
    </row>
    <row r="33256" spans="1:8">
      <c r="H33256" t="s">
        <v>32474</v>
      </c>
    </row>
    <row r="33257" spans="1:8">
      <c r="H33257" t="s">
        <v>32475</v>
      </c>
    </row>
    <row r="33258" spans="1:8">
      <c r="H33258" t="s">
        <v>32476</v>
      </c>
    </row>
    <row r="33259" spans="1:8">
      <c r="H33259" t="s">
        <v>32477</v>
      </c>
    </row>
    <row r="33260" spans="1:8">
      <c r="H33260" t="s">
        <v>32477</v>
      </c>
    </row>
    <row r="33261" spans="1:8">
      <c r="H33261" t="s">
        <v>32478</v>
      </c>
    </row>
    <row r="33262" spans="1:8">
      <c r="H33262" t="s">
        <v>32479</v>
      </c>
    </row>
    <row r="33263" spans="1:8">
      <c r="H33263" t="s">
        <v>32480</v>
      </c>
    </row>
    <row r="33264" spans="1:8">
      <c r="H33264" t="s">
        <v>32480</v>
      </c>
    </row>
    <row r="33265" spans="8:8">
      <c r="H33265" t="s">
        <v>32481</v>
      </c>
    </row>
    <row r="33266" spans="8:8">
      <c r="H33266" t="s">
        <v>32482</v>
      </c>
    </row>
    <row r="33267" spans="8:8">
      <c r="H33267" t="s">
        <v>32483</v>
      </c>
    </row>
    <row r="33268" spans="8:8">
      <c r="H33268" t="s">
        <v>32484</v>
      </c>
    </row>
    <row r="33269" spans="8:8">
      <c r="H33269" t="s">
        <v>32485</v>
      </c>
    </row>
    <row r="33270" spans="8:8">
      <c r="H33270" t="s">
        <v>32486</v>
      </c>
    </row>
    <row r="33271" spans="8:8">
      <c r="H33271" t="s">
        <v>32487</v>
      </c>
    </row>
    <row r="33272" spans="8:8">
      <c r="H33272" t="s">
        <v>32488</v>
      </c>
    </row>
    <row r="33273" spans="8:8">
      <c r="H33273" t="s">
        <v>32489</v>
      </c>
    </row>
    <row r="33274" spans="8:8">
      <c r="H33274" t="s">
        <v>32490</v>
      </c>
    </row>
    <row r="33275" spans="8:8">
      <c r="H33275" t="s">
        <v>32491</v>
      </c>
    </row>
    <row r="33276" spans="8:8">
      <c r="H33276" t="s">
        <v>32492</v>
      </c>
    </row>
    <row r="33277" spans="8:8">
      <c r="H33277" t="s">
        <v>32493</v>
      </c>
    </row>
    <row r="33278" spans="8:8">
      <c r="H33278" t="s">
        <v>32494</v>
      </c>
    </row>
    <row r="33279" spans="8:8">
      <c r="H33279" t="s">
        <v>32495</v>
      </c>
    </row>
    <row r="33280" spans="8:8">
      <c r="H33280" t="s">
        <v>32496</v>
      </c>
    </row>
    <row r="33281" spans="8:8">
      <c r="H33281" t="s">
        <v>32497</v>
      </c>
    </row>
    <row r="33282" spans="8:8">
      <c r="H33282" t="s">
        <v>21518</v>
      </c>
    </row>
    <row r="33283" spans="8:8">
      <c r="H33283" t="s">
        <v>32498</v>
      </c>
    </row>
    <row r="33284" spans="8:8">
      <c r="H33284" t="s">
        <v>32499</v>
      </c>
    </row>
    <row r="33285" spans="8:8">
      <c r="H33285" t="s">
        <v>32500</v>
      </c>
    </row>
    <row r="33286" spans="8:8">
      <c r="H33286" t="s">
        <v>32501</v>
      </c>
    </row>
    <row r="33287" spans="8:8">
      <c r="H33287" t="s">
        <v>32502</v>
      </c>
    </row>
    <row r="33288" spans="8:8">
      <c r="H33288" t="s">
        <v>32503</v>
      </c>
    </row>
    <row r="33289" spans="8:8">
      <c r="H33289" t="s">
        <v>32396</v>
      </c>
    </row>
    <row r="33290" spans="8:8">
      <c r="H33290" t="s">
        <v>32504</v>
      </c>
    </row>
    <row r="33291" spans="8:8">
      <c r="H33291" t="s">
        <v>32397</v>
      </c>
    </row>
    <row r="33292" spans="8:8">
      <c r="H33292" t="s">
        <v>19140</v>
      </c>
    </row>
    <row r="33293" spans="8:8">
      <c r="H33293" t="s">
        <v>19141</v>
      </c>
    </row>
    <row r="33294" spans="8:8">
      <c r="H33294" t="s">
        <v>19142</v>
      </c>
    </row>
    <row r="33295" spans="8:8">
      <c r="H33295" t="s">
        <v>19143</v>
      </c>
    </row>
    <row r="33296" spans="8:8">
      <c r="H33296" t="s">
        <v>32505</v>
      </c>
    </row>
    <row r="33297" spans="8:8">
      <c r="H33297" t="s">
        <v>32506</v>
      </c>
    </row>
    <row r="33298" spans="8:8">
      <c r="H33298" t="s">
        <v>32507</v>
      </c>
    </row>
    <row r="33299" spans="8:8">
      <c r="H33299" t="s">
        <v>32508</v>
      </c>
    </row>
    <row r="33300" spans="8:8">
      <c r="H33300" t="s">
        <v>32509</v>
      </c>
    </row>
    <row r="33301" spans="8:8">
      <c r="H33301" t="s">
        <v>32510</v>
      </c>
    </row>
    <row r="33302" spans="8:8">
      <c r="H33302" t="s">
        <v>32511</v>
      </c>
    </row>
    <row r="33303" spans="8:8">
      <c r="H33303" t="s">
        <v>32512</v>
      </c>
    </row>
    <row r="33304" spans="8:8">
      <c r="H33304" t="s">
        <v>32513</v>
      </c>
    </row>
    <row r="33305" spans="8:8">
      <c r="H33305" t="s">
        <v>32514</v>
      </c>
    </row>
    <row r="33306" spans="8:8">
      <c r="H33306" t="s">
        <v>32398</v>
      </c>
    </row>
    <row r="33307" spans="8:8">
      <c r="H33307" t="s">
        <v>32399</v>
      </c>
    </row>
    <row r="33308" spans="8:8">
      <c r="H33308" t="s">
        <v>32515</v>
      </c>
    </row>
    <row r="33309" spans="8:8">
      <c r="H33309" t="s">
        <v>32516</v>
      </c>
    </row>
    <row r="33310" spans="8:8">
      <c r="H33310" t="s">
        <v>32517</v>
      </c>
    </row>
    <row r="33311" spans="8:8">
      <c r="H33311" t="s">
        <v>32518</v>
      </c>
    </row>
    <row r="33312" spans="8:8">
      <c r="H33312" t="s">
        <v>32519</v>
      </c>
    </row>
    <row r="33313" spans="1:8">
      <c r="H33313" t="s">
        <v>32520</v>
      </c>
    </row>
    <row r="33314" spans="1:8">
      <c r="H33314" t="s">
        <v>32521</v>
      </c>
    </row>
    <row r="33315" spans="1:8">
      <c r="H33315" t="s">
        <v>32522</v>
      </c>
    </row>
    <row r="33316" spans="1:8">
      <c r="H33316" t="s">
        <v>32523</v>
      </c>
    </row>
    <row r="33317" spans="1:8">
      <c r="H33317" t="s">
        <v>32524</v>
      </c>
    </row>
    <row r="33318" spans="1:8">
      <c r="H33318" t="s">
        <v>32525</v>
      </c>
    </row>
    <row r="33319" spans="1:8">
      <c r="H33319" t="s">
        <v>32526</v>
      </c>
    </row>
    <row r="33320" spans="1:8">
      <c r="A33320" t="s">
        <v>2640</v>
      </c>
      <c r="B33320">
        <f>HYPERLINK("https://android.googlesource.com/platform/cts/+/e77e2f9452b57fa8e5e3239ca365cb0e7fa98384", "e77e2f9452b57fa8e5e3239ca365cb0e7fa98384")</f>
        <v>0</v>
      </c>
      <c r="C33320">
        <f>HYPERLINK("https://android.googlesource.com/platform/cts/+/d714faf21b9a5f87dd0d9c8cfc6919512a4f0d25", "d714faf21b9a5f87dd0d9c8cfc6919512a4f0d25")</f>
        <v>0</v>
      </c>
      <c r="D33320" t="s">
        <v>4949</v>
      </c>
      <c r="E33320" t="s">
        <v>8371</v>
      </c>
      <c r="F33320" t="s">
        <v>13955</v>
      </c>
      <c r="G33320" t="s">
        <v>17564</v>
      </c>
      <c r="H33320" t="s">
        <v>32527</v>
      </c>
    </row>
    <row r="33321" spans="1:8">
      <c r="A33321" t="s">
        <v>2641</v>
      </c>
      <c r="B33321">
        <f>HYPERLINK("https://android.googlesource.com/platform/cts/+/47d540c5e584106bf0bb2df1a272aa94c91551a8", "47d540c5e584106bf0bb2df1a272aa94c91551a8")</f>
        <v>0</v>
      </c>
      <c r="C33321">
        <f>HYPERLINK("https://android.googlesource.com/platform/cts/+/7e4a852689bfa56f6ccaa215aabab4bcf65a7a33", "7e4a852689bfa56f6ccaa215aabab4bcf65a7a33")</f>
        <v>0</v>
      </c>
      <c r="D33321" t="s">
        <v>5021</v>
      </c>
      <c r="E33321" t="s">
        <v>8372</v>
      </c>
      <c r="F33321" t="s">
        <v>13794</v>
      </c>
      <c r="G33321" t="s">
        <v>17846</v>
      </c>
      <c r="H33321" t="s">
        <v>31670</v>
      </c>
    </row>
    <row r="33322" spans="1:8">
      <c r="A33322" t="s">
        <v>2642</v>
      </c>
      <c r="B33322">
        <f>HYPERLINK("https://android.googlesource.com/platform/cts/+/8cea3f3923a6eaf21c945c45bc6b5111310ede7e", "8cea3f3923a6eaf21c945c45bc6b5111310ede7e")</f>
        <v>0</v>
      </c>
      <c r="C33322">
        <f>HYPERLINK("https://android.googlesource.com/platform/cts/+/3f0601fe713a623bf1834d9cf092440fe3e9481d", "3f0601fe713a623bf1834d9cf092440fe3e9481d")</f>
        <v>0</v>
      </c>
      <c r="D33322" t="s">
        <v>5021</v>
      </c>
      <c r="E33322" t="s">
        <v>8373</v>
      </c>
      <c r="F33322" t="s">
        <v>13794</v>
      </c>
      <c r="G33322" t="s">
        <v>17846</v>
      </c>
      <c r="H33322" t="s">
        <v>32528</v>
      </c>
    </row>
    <row r="33323" spans="1:8">
      <c r="F33323" t="s">
        <v>13514</v>
      </c>
      <c r="G33323" t="s">
        <v>17631</v>
      </c>
      <c r="H33323" t="s">
        <v>32529</v>
      </c>
    </row>
    <row r="33324" spans="1:8">
      <c r="A33324" t="s">
        <v>2643</v>
      </c>
      <c r="B33324">
        <f>HYPERLINK("https://android.googlesource.com/platform/cts/+/d4caef94e7b0737d84506c42b47f63b7560bc773", "d4caef94e7b0737d84506c42b47f63b7560bc773")</f>
        <v>0</v>
      </c>
      <c r="C33324">
        <f>HYPERLINK("https://android.googlesource.com/platform/cts/+/0db9c1e7f36c1275073b5f5106343a854fd78814", "0db9c1e7f36c1275073b5f5106343a854fd78814")</f>
        <v>0</v>
      </c>
      <c r="D33324" t="s">
        <v>5397</v>
      </c>
      <c r="E33324" t="s">
        <v>8374</v>
      </c>
      <c r="F33324" t="s">
        <v>13846</v>
      </c>
      <c r="G33324" t="s">
        <v>17889</v>
      </c>
      <c r="H33324" t="s">
        <v>32530</v>
      </c>
    </row>
    <row r="33325" spans="1:8">
      <c r="A33325" t="s">
        <v>2645</v>
      </c>
      <c r="B33325">
        <f>HYPERLINK("https://android.googlesource.com/platform/cts/+/2b79d377de6d4367efde61576aaea5a6fc3fa83a", "2b79d377de6d4367efde61576aaea5a6fc3fa83a")</f>
        <v>0</v>
      </c>
      <c r="C33325">
        <f>HYPERLINK("https://android.googlesource.com/platform/cts/+/1dbf70803c76de4b7151bdc870d65c3f402c749a", "1dbf70803c76de4b7151bdc870d65c3f402c749a")</f>
        <v>0</v>
      </c>
      <c r="D33325" t="s">
        <v>5269</v>
      </c>
      <c r="E33325" t="s">
        <v>8376</v>
      </c>
      <c r="F33325" t="s">
        <v>13758</v>
      </c>
      <c r="G33325" t="s">
        <v>17817</v>
      </c>
      <c r="H33325" t="s">
        <v>32531</v>
      </c>
    </row>
    <row r="33326" spans="1:8">
      <c r="H33326" t="s">
        <v>32532</v>
      </c>
    </row>
    <row r="33327" spans="1:8">
      <c r="F33327" t="s">
        <v>13827</v>
      </c>
      <c r="G33327" t="s">
        <v>17871</v>
      </c>
      <c r="H33327" t="s">
        <v>32533</v>
      </c>
    </row>
    <row r="33328" spans="1:8">
      <c r="A33328" t="s">
        <v>2646</v>
      </c>
      <c r="B33328">
        <f>HYPERLINK("https://android.googlesource.com/platform/cts/+/7b6605a7fa3ab2665ee78df0cf6098a14faf6f25", "7b6605a7fa3ab2665ee78df0cf6098a14faf6f25")</f>
        <v>0</v>
      </c>
      <c r="C33328">
        <f>HYPERLINK("https://android.googlesource.com/platform/cts/+/4d36726bf87433116255204ebae2655a5939d8c0", "4d36726bf87433116255204ebae2655a5939d8c0")</f>
        <v>0</v>
      </c>
      <c r="D33328" t="s">
        <v>4949</v>
      </c>
      <c r="E33328" t="s">
        <v>8377</v>
      </c>
      <c r="F33328" t="s">
        <v>13905</v>
      </c>
      <c r="G33328" t="s">
        <v>17942</v>
      </c>
      <c r="H33328" t="s">
        <v>32534</v>
      </c>
    </row>
    <row r="33329" spans="1:8">
      <c r="A33329" t="s">
        <v>2647</v>
      </c>
      <c r="B33329">
        <f>HYPERLINK("https://android.googlesource.com/platform/cts/+/d350f9bbe52445d1bc157c50b2fc220e3f89f209", "d350f9bbe52445d1bc157c50b2fc220e3f89f209")</f>
        <v>0</v>
      </c>
      <c r="C33329">
        <f>HYPERLINK("https://android.googlesource.com/platform/cts/+/96fc42b67fdd7d0c5540d5548bc4da6f7ce78f57", "96fc42b67fdd7d0c5540d5548bc4da6f7ce78f57")</f>
        <v>0</v>
      </c>
      <c r="D33329" t="s">
        <v>5118</v>
      </c>
      <c r="E33329" t="s">
        <v>8378</v>
      </c>
      <c r="F33329" t="s">
        <v>13165</v>
      </c>
      <c r="G33329" t="s">
        <v>17315</v>
      </c>
      <c r="H33329" t="s">
        <v>32535</v>
      </c>
    </row>
    <row r="33330" spans="1:8">
      <c r="H33330" t="s">
        <v>32536</v>
      </c>
    </row>
    <row r="33331" spans="1:8">
      <c r="H33331" t="s">
        <v>32537</v>
      </c>
    </row>
    <row r="33332" spans="1:8">
      <c r="H33332" t="s">
        <v>32538</v>
      </c>
    </row>
    <row r="33333" spans="1:8">
      <c r="H33333" t="s">
        <v>32539</v>
      </c>
    </row>
    <row r="33334" spans="1:8">
      <c r="A33334" t="s">
        <v>2648</v>
      </c>
      <c r="B33334">
        <f>HYPERLINK("https://android.googlesource.com/platform/cts/+/e3ff8857fdb44c59447fb8a4bed090b559ce8464", "e3ff8857fdb44c59447fb8a4bed090b559ce8464")</f>
        <v>0</v>
      </c>
      <c r="C33334">
        <f>HYPERLINK("https://android.googlesource.com/platform/cts/+/195e46acbb61ca7295ed93011a8b0e7757f520e5", "195e46acbb61ca7295ed93011a8b0e7757f520e5")</f>
        <v>0</v>
      </c>
      <c r="D33334" t="s">
        <v>5117</v>
      </c>
      <c r="E33334" t="s">
        <v>8379</v>
      </c>
      <c r="F33334" t="s">
        <v>13905</v>
      </c>
      <c r="G33334" t="s">
        <v>17942</v>
      </c>
      <c r="H33334" t="s">
        <v>32540</v>
      </c>
    </row>
    <row r="33335" spans="1:8">
      <c r="H33335" t="s">
        <v>32541</v>
      </c>
    </row>
    <row r="33336" spans="1:8">
      <c r="H33336" t="s">
        <v>32542</v>
      </c>
    </row>
    <row r="33337" spans="1:8">
      <c r="A33337" t="s">
        <v>2649</v>
      </c>
      <c r="B33337">
        <f>HYPERLINK("https://android.googlesource.com/platform/cts/+/614097a9f7fe72525baf04c7b35c1d0a0a7ada9f", "614097a9f7fe72525baf04c7b35c1d0a0a7ada9f")</f>
        <v>0</v>
      </c>
      <c r="C33337">
        <f>HYPERLINK("https://android.googlesource.com/platform/cts/+/d43ffffafce8f627e31b2ad99c40b75006fa6247", "d43ffffafce8f627e31b2ad99c40b75006fa6247")</f>
        <v>0</v>
      </c>
      <c r="D33337" t="s">
        <v>4949</v>
      </c>
      <c r="E33337" t="s">
        <v>8380</v>
      </c>
      <c r="F33337" t="s">
        <v>12673</v>
      </c>
      <c r="G33337" t="s">
        <v>16877</v>
      </c>
      <c r="H33337" t="s">
        <v>18863</v>
      </c>
    </row>
    <row r="33338" spans="1:8">
      <c r="H33338" t="s">
        <v>28711</v>
      </c>
    </row>
    <row r="33339" spans="1:8">
      <c r="H33339" t="s">
        <v>32543</v>
      </c>
    </row>
    <row r="33340" spans="1:8">
      <c r="H33340" t="s">
        <v>19019</v>
      </c>
    </row>
    <row r="33341" spans="1:8">
      <c r="F33341" t="s">
        <v>13956</v>
      </c>
      <c r="G33341" t="s">
        <v>17982</v>
      </c>
      <c r="H33341" t="s">
        <v>28711</v>
      </c>
    </row>
    <row r="33342" spans="1:8">
      <c r="H33342" t="s">
        <v>19019</v>
      </c>
    </row>
    <row r="33343" spans="1:8">
      <c r="F33343" t="s">
        <v>12674</v>
      </c>
      <c r="G33343" t="s">
        <v>16878</v>
      </c>
      <c r="H33343" t="s">
        <v>32544</v>
      </c>
    </row>
    <row r="33344" spans="1:8">
      <c r="H33344" t="s">
        <v>32545</v>
      </c>
    </row>
    <row r="33345" spans="6:8">
      <c r="F33345" t="s">
        <v>13934</v>
      </c>
      <c r="G33345" t="s">
        <v>17968</v>
      </c>
      <c r="H33345" t="s">
        <v>18863</v>
      </c>
    </row>
    <row r="33346" spans="6:8">
      <c r="H33346" t="s">
        <v>28711</v>
      </c>
    </row>
    <row r="33347" spans="6:8">
      <c r="H33347" t="s">
        <v>32543</v>
      </c>
    </row>
    <row r="33348" spans="6:8">
      <c r="H33348" t="s">
        <v>19019</v>
      </c>
    </row>
    <row r="33349" spans="6:8">
      <c r="F33349" t="s">
        <v>13935</v>
      </c>
      <c r="G33349" t="s">
        <v>17969</v>
      </c>
      <c r="H33349" t="s">
        <v>18863</v>
      </c>
    </row>
    <row r="33350" spans="6:8">
      <c r="H33350" t="s">
        <v>28711</v>
      </c>
    </row>
    <row r="33351" spans="6:8">
      <c r="H33351" t="s">
        <v>32543</v>
      </c>
    </row>
    <row r="33352" spans="6:8">
      <c r="H33352" t="s">
        <v>19019</v>
      </c>
    </row>
    <row r="33353" spans="6:8">
      <c r="F33353" t="s">
        <v>13957</v>
      </c>
      <c r="G33353" t="s">
        <v>17983</v>
      </c>
      <c r="H33353" t="s">
        <v>18863</v>
      </c>
    </row>
    <row r="33354" spans="6:8">
      <c r="H33354" t="s">
        <v>28711</v>
      </c>
    </row>
    <row r="33355" spans="6:8">
      <c r="H33355" t="s">
        <v>19019</v>
      </c>
    </row>
    <row r="33356" spans="6:8">
      <c r="F33356" t="s">
        <v>13936</v>
      </c>
      <c r="G33356" t="s">
        <v>17970</v>
      </c>
      <c r="H33356" t="s">
        <v>18863</v>
      </c>
    </row>
    <row r="33357" spans="6:8">
      <c r="H33357" t="s">
        <v>28711</v>
      </c>
    </row>
    <row r="33358" spans="6:8">
      <c r="H33358" t="s">
        <v>32543</v>
      </c>
    </row>
    <row r="33359" spans="6:8">
      <c r="H33359" t="s">
        <v>19019</v>
      </c>
    </row>
    <row r="33360" spans="6:8">
      <c r="F33360" t="s">
        <v>13231</v>
      </c>
      <c r="G33360" t="s">
        <v>15081</v>
      </c>
      <c r="H33360" t="s">
        <v>18863</v>
      </c>
    </row>
    <row r="33361" spans="6:8">
      <c r="H33361" t="s">
        <v>32543</v>
      </c>
    </row>
    <row r="33362" spans="6:8">
      <c r="H33362" t="s">
        <v>19019</v>
      </c>
    </row>
    <row r="33363" spans="6:8">
      <c r="F33363" t="s">
        <v>13937</v>
      </c>
      <c r="G33363" t="s">
        <v>17971</v>
      </c>
      <c r="H33363" t="s">
        <v>18863</v>
      </c>
    </row>
    <row r="33364" spans="6:8">
      <c r="H33364" t="s">
        <v>32546</v>
      </c>
    </row>
    <row r="33365" spans="6:8">
      <c r="H33365" t="s">
        <v>19019</v>
      </c>
    </row>
    <row r="33366" spans="6:8">
      <c r="F33366" t="s">
        <v>13938</v>
      </c>
      <c r="G33366" t="s">
        <v>17870</v>
      </c>
      <c r="H33366" t="s">
        <v>18953</v>
      </c>
    </row>
    <row r="33367" spans="6:8">
      <c r="H33367" t="s">
        <v>32547</v>
      </c>
    </row>
    <row r="33368" spans="6:8">
      <c r="F33368" t="s">
        <v>13939</v>
      </c>
      <c r="G33368" t="s">
        <v>15189</v>
      </c>
      <c r="H33368" t="s">
        <v>18863</v>
      </c>
    </row>
    <row r="33369" spans="6:8">
      <c r="H33369" t="s">
        <v>28711</v>
      </c>
    </row>
    <row r="33370" spans="6:8">
      <c r="H33370" t="s">
        <v>32543</v>
      </c>
    </row>
    <row r="33371" spans="6:8">
      <c r="H33371" t="s">
        <v>19019</v>
      </c>
    </row>
    <row r="33372" spans="6:8">
      <c r="F33372" t="s">
        <v>13940</v>
      </c>
      <c r="G33372" t="s">
        <v>15087</v>
      </c>
      <c r="H33372" t="s">
        <v>18863</v>
      </c>
    </row>
    <row r="33373" spans="6:8">
      <c r="H33373" t="s">
        <v>28711</v>
      </c>
    </row>
    <row r="33374" spans="6:8">
      <c r="H33374" t="s">
        <v>32543</v>
      </c>
    </row>
    <row r="33375" spans="6:8">
      <c r="H33375" t="s">
        <v>19019</v>
      </c>
    </row>
    <row r="33376" spans="6:8">
      <c r="F33376" t="s">
        <v>13958</v>
      </c>
      <c r="G33376" t="s">
        <v>17984</v>
      </c>
      <c r="H33376" t="s">
        <v>29835</v>
      </c>
    </row>
    <row r="33377" spans="1:8">
      <c r="A33377" t="s">
        <v>2651</v>
      </c>
      <c r="B33377">
        <f>HYPERLINK("https://android.googlesource.com/platform/cts/+/7176d662baf2a4d9648af6f8c33305bfe18089c3", "7176d662baf2a4d9648af6f8c33305bfe18089c3")</f>
        <v>0</v>
      </c>
      <c r="C33377">
        <f>HYPERLINK("https://android.googlesource.com/platform/cts/+/3e18b410e40da69cad59141be8890efa0b975f74", "3e18b410e40da69cad59141be8890efa0b975f74")</f>
        <v>0</v>
      </c>
      <c r="D33377" t="s">
        <v>5401</v>
      </c>
      <c r="E33377" t="s">
        <v>8382</v>
      </c>
      <c r="F33377" t="s">
        <v>10700</v>
      </c>
      <c r="G33377" t="s">
        <v>15100</v>
      </c>
      <c r="H33377" t="s">
        <v>32548</v>
      </c>
    </row>
    <row r="33378" spans="1:8">
      <c r="H33378" t="s">
        <v>32549</v>
      </c>
    </row>
    <row r="33379" spans="1:8">
      <c r="H33379" t="s">
        <v>32550</v>
      </c>
    </row>
    <row r="33380" spans="1:8">
      <c r="A33380" t="s">
        <v>2652</v>
      </c>
      <c r="B33380">
        <f>HYPERLINK("https://android.googlesource.com/platform/cts/+/35de32cfcdb0723b638c946ead9a150f69268bc2", "35de32cfcdb0723b638c946ead9a150f69268bc2")</f>
        <v>0</v>
      </c>
      <c r="C33380">
        <f>HYPERLINK("https://android.googlesource.com/platform/cts/+/64e9f5500752e8df16fe2cc3dedac53bdf364942", "64e9f5500752e8df16fe2cc3dedac53bdf364942")</f>
        <v>0</v>
      </c>
      <c r="D33380" t="s">
        <v>5401</v>
      </c>
      <c r="E33380" t="s">
        <v>8383</v>
      </c>
      <c r="F33380" t="s">
        <v>10700</v>
      </c>
      <c r="G33380" t="s">
        <v>15100</v>
      </c>
      <c r="H33380" t="s">
        <v>32548</v>
      </c>
    </row>
    <row r="33381" spans="1:8">
      <c r="H33381" t="s">
        <v>32549</v>
      </c>
    </row>
    <row r="33382" spans="1:8">
      <c r="H33382" t="s">
        <v>32550</v>
      </c>
    </row>
    <row r="33383" spans="1:8">
      <c r="A33383" t="s">
        <v>2653</v>
      </c>
      <c r="B33383">
        <f>HYPERLINK("https://android.googlesource.com/platform/cts/+/8480da8bf3684442dd7404f6e4e9431d610348b2", "8480da8bf3684442dd7404f6e4e9431d610348b2")</f>
        <v>0</v>
      </c>
      <c r="C33383">
        <f>HYPERLINK("https://android.googlesource.com/platform/cts/+/9dd7778dd32c4e4d27d009a2288484c64cb3b686", "9dd7778dd32c4e4d27d009a2288484c64cb3b686")</f>
        <v>0</v>
      </c>
      <c r="D33383" t="s">
        <v>5422</v>
      </c>
      <c r="E33383" t="s">
        <v>8384</v>
      </c>
      <c r="F33383" t="s">
        <v>12792</v>
      </c>
      <c r="G33383" t="s">
        <v>16975</v>
      </c>
      <c r="H33383" t="s">
        <v>32551</v>
      </c>
    </row>
    <row r="33384" spans="1:8">
      <c r="A33384" t="s">
        <v>2655</v>
      </c>
      <c r="B33384">
        <f>HYPERLINK("https://android.googlesource.com/platform/cts/+/e5ffde0ef126f112431805cff0a2a8a2f17a45a4", "e5ffde0ef126f112431805cff0a2a8a2f17a45a4")</f>
        <v>0</v>
      </c>
      <c r="C33384">
        <f>HYPERLINK("https://android.googlesource.com/platform/cts/+/5af7db015fc2ac1a1499684cde3ebeb8491e093c", "5af7db015fc2ac1a1499684cde3ebeb8491e093c")</f>
        <v>0</v>
      </c>
      <c r="D33384" t="s">
        <v>5180</v>
      </c>
      <c r="E33384" t="s">
        <v>8386</v>
      </c>
      <c r="F33384" t="s">
        <v>13506</v>
      </c>
      <c r="G33384" t="s">
        <v>17623</v>
      </c>
      <c r="H33384" t="s">
        <v>30030</v>
      </c>
    </row>
    <row r="33385" spans="1:8">
      <c r="F33385" t="s">
        <v>13508</v>
      </c>
      <c r="G33385" t="s">
        <v>17625</v>
      </c>
      <c r="H33385" t="s">
        <v>32552</v>
      </c>
    </row>
    <row r="33386" spans="1:8">
      <c r="A33386" t="s">
        <v>2656</v>
      </c>
      <c r="B33386">
        <f>HYPERLINK("https://android.googlesource.com/platform/cts/+/70d4f1e1be3bd5839a23d71fb2e4342842ad21d1", "70d4f1e1be3bd5839a23d71fb2e4342842ad21d1")</f>
        <v>0</v>
      </c>
      <c r="C33386">
        <f>HYPERLINK("https://android.googlesource.com/platform/cts/+/2acd0cf5b13aaa50dc5db084c6904c69335e8c0c", "2acd0cf5b13aaa50dc5db084c6904c69335e8c0c")</f>
        <v>0</v>
      </c>
      <c r="D33386" t="s">
        <v>5135</v>
      </c>
      <c r="E33386" t="s">
        <v>8387</v>
      </c>
      <c r="F33386" t="s">
        <v>13959</v>
      </c>
      <c r="G33386" t="s">
        <v>17985</v>
      </c>
      <c r="H33386" t="s">
        <v>32553</v>
      </c>
    </row>
    <row r="33387" spans="1:8">
      <c r="A33387" t="s">
        <v>2657</v>
      </c>
      <c r="B33387">
        <f>HYPERLINK("https://android.googlesource.com/platform/cts/+/60effdd180c8a2fbd0f47c4d5a27b69de1fc893c", "60effdd180c8a2fbd0f47c4d5a27b69de1fc893c")</f>
        <v>0</v>
      </c>
      <c r="C33387">
        <f>HYPERLINK("https://android.googlesource.com/platform/cts/+/e90d5a3190f688e8906acd61547b416d4b69389f", "e90d5a3190f688e8906acd61547b416d4b69389f")</f>
        <v>0</v>
      </c>
      <c r="D33387" t="s">
        <v>5423</v>
      </c>
      <c r="E33387" t="s">
        <v>8388</v>
      </c>
      <c r="F33387" t="s">
        <v>13960</v>
      </c>
      <c r="G33387" t="s">
        <v>17986</v>
      </c>
      <c r="H33387" t="s">
        <v>32554</v>
      </c>
    </row>
    <row r="33388" spans="1:8">
      <c r="H33388" t="s">
        <v>32555</v>
      </c>
    </row>
    <row r="33389" spans="1:8">
      <c r="H33389" t="s">
        <v>32556</v>
      </c>
    </row>
    <row r="33390" spans="1:8">
      <c r="H33390" t="s">
        <v>32557</v>
      </c>
    </row>
    <row r="33391" spans="1:8">
      <c r="A33391" t="s">
        <v>2658</v>
      </c>
      <c r="B33391">
        <f>HYPERLINK("https://android.googlesource.com/platform/cts/+/aa64520329ab16ed7a223bc79ebff367401cb234", "aa64520329ab16ed7a223bc79ebff367401cb234")</f>
        <v>0</v>
      </c>
      <c r="C33391">
        <f>HYPERLINK("https://android.googlesource.com/platform/cts/+/eb51256a001838343d1e22b5ce810fb043584afd", "eb51256a001838343d1e22b5ce810fb043584afd")</f>
        <v>0</v>
      </c>
      <c r="D33391" t="s">
        <v>5360</v>
      </c>
      <c r="E33391" t="s">
        <v>8389</v>
      </c>
      <c r="F33391" t="s">
        <v>13961</v>
      </c>
      <c r="G33391" t="s">
        <v>17987</v>
      </c>
      <c r="H33391" t="s">
        <v>32558</v>
      </c>
    </row>
    <row r="33392" spans="1:8">
      <c r="A33392" t="s">
        <v>2659</v>
      </c>
      <c r="B33392">
        <f>HYPERLINK("https://android.googlesource.com/platform/cts/+/a9460ac4994ebc6e7bd4c50777555aa60bb7d2d4", "a9460ac4994ebc6e7bd4c50777555aa60bb7d2d4")</f>
        <v>0</v>
      </c>
      <c r="C33392">
        <f>HYPERLINK("https://android.googlesource.com/platform/cts/+/1c02bcf586e76579da59edfcf9aab5d5111c67fb", "1c02bcf586e76579da59edfcf9aab5d5111c67fb")</f>
        <v>0</v>
      </c>
      <c r="D33392" t="s">
        <v>5424</v>
      </c>
      <c r="E33392" t="s">
        <v>8390</v>
      </c>
      <c r="F33392" t="s">
        <v>13962</v>
      </c>
      <c r="G33392" t="s">
        <v>17988</v>
      </c>
      <c r="H33392" t="s">
        <v>32559</v>
      </c>
    </row>
    <row r="33393" spans="1:8">
      <c r="A33393" t="s">
        <v>2660</v>
      </c>
      <c r="B33393">
        <f>HYPERLINK("https://android.googlesource.com/platform/cts/+/e46f6dbede5c2b328d3edbc53fecb8f880e45eee", "e46f6dbede5c2b328d3edbc53fecb8f880e45eee")</f>
        <v>0</v>
      </c>
      <c r="C33393">
        <f>HYPERLINK("https://android.googlesource.com/platform/cts/+/aa64520329ab16ed7a223bc79ebff367401cb234", "aa64520329ab16ed7a223bc79ebff367401cb234")</f>
        <v>0</v>
      </c>
      <c r="D33393" t="s">
        <v>5425</v>
      </c>
      <c r="E33393" t="s">
        <v>8391</v>
      </c>
      <c r="F33393" t="s">
        <v>13961</v>
      </c>
      <c r="G33393" t="s">
        <v>17987</v>
      </c>
      <c r="H33393" t="s">
        <v>32560</v>
      </c>
    </row>
    <row r="33394" spans="1:8">
      <c r="A33394" t="s">
        <v>2662</v>
      </c>
      <c r="B33394">
        <f>HYPERLINK("https://android.googlesource.com/platform/cts/+/fbc3f35b755c750a3990ff041bfefccf021d1b4b", "fbc3f35b755c750a3990ff041bfefccf021d1b4b")</f>
        <v>0</v>
      </c>
      <c r="C33394">
        <f>HYPERLINK("https://android.googlesource.com/platform/cts/+/823eaf3b7a4158e5181ec34aafecb0b5af11e0fc", "823eaf3b7a4158e5181ec34aafecb0b5af11e0fc")</f>
        <v>0</v>
      </c>
      <c r="D33394" t="s">
        <v>5427</v>
      </c>
      <c r="E33394" t="s">
        <v>8392</v>
      </c>
      <c r="F33394" t="s">
        <v>12821</v>
      </c>
      <c r="G33394" t="s">
        <v>17000</v>
      </c>
      <c r="H33394" t="s">
        <v>32561</v>
      </c>
    </row>
    <row r="33395" spans="1:8">
      <c r="H33395" t="s">
        <v>32562</v>
      </c>
    </row>
    <row r="33396" spans="1:8">
      <c r="H33396" t="s">
        <v>22272</v>
      </c>
    </row>
    <row r="33397" spans="1:8">
      <c r="H33397" t="s">
        <v>32563</v>
      </c>
    </row>
    <row r="33398" spans="1:8">
      <c r="H33398" t="s">
        <v>32563</v>
      </c>
    </row>
    <row r="33399" spans="1:8">
      <c r="A33399" t="s">
        <v>2663</v>
      </c>
      <c r="B33399">
        <f>HYPERLINK("https://android.googlesource.com/platform/cts/+/ea90509e1fbf5b2d98c5d2466a041b7709fe9972", "ea90509e1fbf5b2d98c5d2466a041b7709fe9972")</f>
        <v>0</v>
      </c>
      <c r="C33399">
        <f>HYPERLINK("https://android.googlesource.com/platform/cts/+/2486a1bae89ba333aba01744952f07f65e7b4ad7", "2486a1bae89ba333aba01744952f07f65e7b4ad7")</f>
        <v>0</v>
      </c>
      <c r="D33399" t="s">
        <v>5364</v>
      </c>
      <c r="E33399" t="s">
        <v>8393</v>
      </c>
      <c r="F33399" t="s">
        <v>13277</v>
      </c>
      <c r="G33399" t="s">
        <v>17414</v>
      </c>
      <c r="H33399" t="s">
        <v>18863</v>
      </c>
    </row>
    <row r="33400" spans="1:8">
      <c r="F33400" t="s">
        <v>13963</v>
      </c>
      <c r="G33400" t="s">
        <v>16440</v>
      </c>
      <c r="H33400" t="s">
        <v>18829</v>
      </c>
    </row>
    <row r="33401" spans="1:8">
      <c r="H33401" t="s">
        <v>18863</v>
      </c>
    </row>
    <row r="33402" spans="1:8">
      <c r="F33402" t="s">
        <v>13964</v>
      </c>
      <c r="G33402" t="s">
        <v>17989</v>
      </c>
      <c r="H33402" t="s">
        <v>18863</v>
      </c>
    </row>
    <row r="33403" spans="1:8">
      <c r="F33403" t="s">
        <v>13318</v>
      </c>
      <c r="G33403" t="s">
        <v>17449</v>
      </c>
      <c r="H33403" t="s">
        <v>18863</v>
      </c>
    </row>
    <row r="33404" spans="1:8">
      <c r="F33404" t="s">
        <v>13800</v>
      </c>
      <c r="G33404" t="s">
        <v>17851</v>
      </c>
      <c r="H33404" t="s">
        <v>18863</v>
      </c>
    </row>
    <row r="33405" spans="1:8">
      <c r="F33405" t="s">
        <v>12821</v>
      </c>
      <c r="G33405" t="s">
        <v>17000</v>
      </c>
      <c r="H33405" t="s">
        <v>18863</v>
      </c>
    </row>
    <row r="33406" spans="1:8">
      <c r="F33406" t="s">
        <v>13965</v>
      </c>
      <c r="G33406" t="s">
        <v>17990</v>
      </c>
      <c r="H33406" t="s">
        <v>18863</v>
      </c>
    </row>
    <row r="33407" spans="1:8">
      <c r="F33407" t="s">
        <v>13966</v>
      </c>
      <c r="G33407" t="s">
        <v>17991</v>
      </c>
      <c r="H33407" t="s">
        <v>18863</v>
      </c>
    </row>
    <row r="33408" spans="1:8">
      <c r="F33408" t="s">
        <v>12839</v>
      </c>
      <c r="G33408" t="s">
        <v>17014</v>
      </c>
      <c r="H33408" t="s">
        <v>18863</v>
      </c>
    </row>
    <row r="33409" spans="1:8">
      <c r="F33409" t="s">
        <v>13924</v>
      </c>
      <c r="G33409" t="s">
        <v>17960</v>
      </c>
      <c r="H33409" t="s">
        <v>18863</v>
      </c>
    </row>
    <row r="33410" spans="1:8">
      <c r="A33410" t="s">
        <v>2664</v>
      </c>
      <c r="B33410">
        <f>HYPERLINK("https://android.googlesource.com/platform/cts/+/fc3b51264a555a380a1991a876ab8765db8fe2fb", "fc3b51264a555a380a1991a876ab8765db8fe2fb")</f>
        <v>0</v>
      </c>
      <c r="C33410">
        <f>HYPERLINK("https://android.googlesource.com/platform/cts/+/f52a40c520c29a2cc63df5bf74e1df47c0bca679", "f52a40c520c29a2cc63df5bf74e1df47c0bca679")</f>
        <v>0</v>
      </c>
      <c r="D33410" t="s">
        <v>5360</v>
      </c>
      <c r="E33410" t="s">
        <v>8394</v>
      </c>
      <c r="F33410" t="s">
        <v>13961</v>
      </c>
      <c r="G33410" t="s">
        <v>17987</v>
      </c>
      <c r="H33410" t="s">
        <v>32558</v>
      </c>
    </row>
    <row r="33411" spans="1:8">
      <c r="A33411" t="s">
        <v>2665</v>
      </c>
      <c r="B33411">
        <f>HYPERLINK("https://android.googlesource.com/platform/cts/+/f03888ea13c53951d19cc2ac8fb1e41213cb010c", "f03888ea13c53951d19cc2ac8fb1e41213cb010c")</f>
        <v>0</v>
      </c>
      <c r="C33411">
        <f>HYPERLINK("https://android.googlesource.com/platform/cts/+/427983fa237d38afae6138137bc9f38762ef1fbb", "427983fa237d38afae6138137bc9f38762ef1fbb")</f>
        <v>0</v>
      </c>
      <c r="D33411" t="s">
        <v>5310</v>
      </c>
      <c r="E33411" t="s">
        <v>8395</v>
      </c>
      <c r="F33411" t="s">
        <v>13967</v>
      </c>
      <c r="G33411" t="s">
        <v>17992</v>
      </c>
      <c r="H33411" t="s">
        <v>32564</v>
      </c>
    </row>
    <row r="33412" spans="1:8">
      <c r="A33412" t="s">
        <v>2666</v>
      </c>
      <c r="B33412">
        <f>HYPERLINK("https://android.googlesource.com/platform/cts/+/43b9b35b191186be7eeaac1ad058385cb16174e4", "43b9b35b191186be7eeaac1ad058385cb16174e4")</f>
        <v>0</v>
      </c>
      <c r="C33412">
        <f>HYPERLINK("https://android.googlesource.com/platform/cts/+/8a224c44a762aec10c3a78bb0e7840cc38c6aca0", "8a224c44a762aec10c3a78bb0e7840cc38c6aca0")</f>
        <v>0</v>
      </c>
      <c r="D33412" t="s">
        <v>5189</v>
      </c>
      <c r="E33412" t="s">
        <v>8396</v>
      </c>
      <c r="F33412" t="s">
        <v>12419</v>
      </c>
      <c r="G33412" t="s">
        <v>16641</v>
      </c>
      <c r="H33412" t="s">
        <v>18829</v>
      </c>
    </row>
    <row r="33413" spans="1:8">
      <c r="H33413" t="s">
        <v>32565</v>
      </c>
    </row>
    <row r="33414" spans="1:8">
      <c r="H33414" t="s">
        <v>18863</v>
      </c>
    </row>
    <row r="33415" spans="1:8">
      <c r="H33415" t="s">
        <v>32566</v>
      </c>
    </row>
    <row r="33416" spans="1:8">
      <c r="H33416" t="s">
        <v>32567</v>
      </c>
    </row>
    <row r="33417" spans="1:8">
      <c r="H33417" t="s">
        <v>32568</v>
      </c>
    </row>
    <row r="33418" spans="1:8">
      <c r="H33418" t="s">
        <v>22581</v>
      </c>
    </row>
    <row r="33419" spans="1:8">
      <c r="H33419" t="s">
        <v>32569</v>
      </c>
    </row>
    <row r="33420" spans="1:8">
      <c r="H33420" t="s">
        <v>30867</v>
      </c>
    </row>
    <row r="33421" spans="1:8">
      <c r="H33421" t="s">
        <v>32570</v>
      </c>
    </row>
    <row r="33422" spans="1:8">
      <c r="H33422" t="s">
        <v>32571</v>
      </c>
    </row>
    <row r="33423" spans="1:8">
      <c r="H33423" t="s">
        <v>32572</v>
      </c>
    </row>
    <row r="33424" spans="1:8">
      <c r="H33424" t="s">
        <v>32573</v>
      </c>
    </row>
    <row r="33425" spans="8:8">
      <c r="H33425" t="s">
        <v>32574</v>
      </c>
    </row>
    <row r="33426" spans="8:8">
      <c r="H33426" t="s">
        <v>32575</v>
      </c>
    </row>
    <row r="33427" spans="8:8">
      <c r="H33427" t="s">
        <v>32576</v>
      </c>
    </row>
    <row r="33428" spans="8:8">
      <c r="H33428" t="s">
        <v>32577</v>
      </c>
    </row>
    <row r="33429" spans="8:8">
      <c r="H33429" t="s">
        <v>32578</v>
      </c>
    </row>
    <row r="33430" spans="8:8">
      <c r="H33430" t="s">
        <v>32579</v>
      </c>
    </row>
    <row r="33431" spans="8:8">
      <c r="H33431" t="s">
        <v>32580</v>
      </c>
    </row>
    <row r="33432" spans="8:8">
      <c r="H33432" t="s">
        <v>22583</v>
      </c>
    </row>
    <row r="33433" spans="8:8">
      <c r="H33433" t="s">
        <v>32581</v>
      </c>
    </row>
    <row r="33434" spans="8:8">
      <c r="H33434" t="s">
        <v>32582</v>
      </c>
    </row>
    <row r="33435" spans="8:8">
      <c r="H33435" t="s">
        <v>32583</v>
      </c>
    </row>
    <row r="33436" spans="8:8">
      <c r="H33436" t="s">
        <v>32584</v>
      </c>
    </row>
    <row r="33437" spans="8:8">
      <c r="H33437" t="s">
        <v>32585</v>
      </c>
    </row>
    <row r="33438" spans="8:8">
      <c r="H33438" t="s">
        <v>32586</v>
      </c>
    </row>
    <row r="33439" spans="8:8">
      <c r="H33439" t="s">
        <v>32587</v>
      </c>
    </row>
    <row r="33440" spans="8:8">
      <c r="H33440" t="s">
        <v>32588</v>
      </c>
    </row>
    <row r="33441" spans="8:8">
      <c r="H33441" t="s">
        <v>32589</v>
      </c>
    </row>
    <row r="33442" spans="8:8">
      <c r="H33442" t="s">
        <v>32590</v>
      </c>
    </row>
    <row r="33443" spans="8:8">
      <c r="H33443" t="s">
        <v>32591</v>
      </c>
    </row>
    <row r="33444" spans="8:8">
      <c r="H33444" t="s">
        <v>32592</v>
      </c>
    </row>
    <row r="33445" spans="8:8">
      <c r="H33445" t="s">
        <v>32593</v>
      </c>
    </row>
    <row r="33446" spans="8:8">
      <c r="H33446" t="s">
        <v>32594</v>
      </c>
    </row>
    <row r="33447" spans="8:8">
      <c r="H33447" t="s">
        <v>32595</v>
      </c>
    </row>
    <row r="33448" spans="8:8">
      <c r="H33448" t="s">
        <v>32596</v>
      </c>
    </row>
    <row r="33449" spans="8:8">
      <c r="H33449" t="s">
        <v>32597</v>
      </c>
    </row>
    <row r="33450" spans="8:8">
      <c r="H33450" t="s">
        <v>32598</v>
      </c>
    </row>
    <row r="33451" spans="8:8">
      <c r="H33451" t="s">
        <v>32599</v>
      </c>
    </row>
    <row r="33452" spans="8:8">
      <c r="H33452" t="s">
        <v>32600</v>
      </c>
    </row>
    <row r="33453" spans="8:8">
      <c r="H33453" t="s">
        <v>32601</v>
      </c>
    </row>
    <row r="33454" spans="8:8">
      <c r="H33454" t="s">
        <v>32602</v>
      </c>
    </row>
    <row r="33455" spans="8:8">
      <c r="H33455" t="s">
        <v>32603</v>
      </c>
    </row>
    <row r="33456" spans="8:8">
      <c r="H33456" t="s">
        <v>32604</v>
      </c>
    </row>
    <row r="33457" spans="8:8">
      <c r="H33457" t="s">
        <v>32605</v>
      </c>
    </row>
    <row r="33458" spans="8:8">
      <c r="H33458" t="s">
        <v>32606</v>
      </c>
    </row>
    <row r="33459" spans="8:8">
      <c r="H33459" t="s">
        <v>32607</v>
      </c>
    </row>
    <row r="33460" spans="8:8">
      <c r="H33460" t="s">
        <v>32608</v>
      </c>
    </row>
    <row r="33461" spans="8:8">
      <c r="H33461" t="s">
        <v>32609</v>
      </c>
    </row>
    <row r="33462" spans="8:8">
      <c r="H33462" t="s">
        <v>32610</v>
      </c>
    </row>
    <row r="33463" spans="8:8">
      <c r="H33463" t="s">
        <v>32611</v>
      </c>
    </row>
    <row r="33464" spans="8:8">
      <c r="H33464" t="s">
        <v>32612</v>
      </c>
    </row>
    <row r="33465" spans="8:8">
      <c r="H33465" t="s">
        <v>32613</v>
      </c>
    </row>
    <row r="33466" spans="8:8">
      <c r="H33466" t="s">
        <v>32614</v>
      </c>
    </row>
    <row r="33467" spans="8:8">
      <c r="H33467" t="s">
        <v>32615</v>
      </c>
    </row>
    <row r="33468" spans="8:8">
      <c r="H33468" t="s">
        <v>32616</v>
      </c>
    </row>
    <row r="33469" spans="8:8">
      <c r="H33469" t="s">
        <v>22584</v>
      </c>
    </row>
    <row r="33470" spans="8:8">
      <c r="H33470" t="s">
        <v>32617</v>
      </c>
    </row>
    <row r="33471" spans="8:8">
      <c r="H33471" t="s">
        <v>32618</v>
      </c>
    </row>
    <row r="33472" spans="8:8">
      <c r="H33472" t="s">
        <v>32619</v>
      </c>
    </row>
    <row r="33473" spans="1:8">
      <c r="H33473" t="s">
        <v>32620</v>
      </c>
    </row>
    <row r="33474" spans="1:8">
      <c r="H33474" t="s">
        <v>32621</v>
      </c>
    </row>
    <row r="33475" spans="1:8">
      <c r="H33475" t="s">
        <v>22591</v>
      </c>
    </row>
    <row r="33476" spans="1:8">
      <c r="H33476" t="s">
        <v>32622</v>
      </c>
    </row>
    <row r="33477" spans="1:8">
      <c r="H33477" t="s">
        <v>32623</v>
      </c>
    </row>
    <row r="33478" spans="1:8">
      <c r="H33478" t="s">
        <v>32624</v>
      </c>
    </row>
    <row r="33479" spans="1:8">
      <c r="H33479" t="s">
        <v>32625</v>
      </c>
    </row>
    <row r="33480" spans="1:8">
      <c r="H33480" t="s">
        <v>32626</v>
      </c>
    </row>
    <row r="33481" spans="1:8">
      <c r="H33481" t="s">
        <v>32627</v>
      </c>
    </row>
    <row r="33482" spans="1:8">
      <c r="A33482" t="s">
        <v>2667</v>
      </c>
      <c r="B33482">
        <f>HYPERLINK("https://android.googlesource.com/platform/cts/+/8053390dee6b5e422628c63943ca71c944af248a", "8053390dee6b5e422628c63943ca71c944af248a")</f>
        <v>0</v>
      </c>
      <c r="C33482">
        <f>HYPERLINK("https://android.googlesource.com/platform/cts/+/d7e6432474cbf27d521fd1e0634d0054ac02cf1f", "d7e6432474cbf27d521fd1e0634d0054ac02cf1f")</f>
        <v>0</v>
      </c>
      <c r="D33482" t="s">
        <v>5350</v>
      </c>
      <c r="E33482" t="s">
        <v>8397</v>
      </c>
      <c r="F33482" t="s">
        <v>13711</v>
      </c>
      <c r="G33482" t="s">
        <v>17779</v>
      </c>
      <c r="H33482" t="s">
        <v>19233</v>
      </c>
    </row>
    <row r="33483" spans="1:8">
      <c r="H33483" t="s">
        <v>19232</v>
      </c>
    </row>
    <row r="33484" spans="1:8">
      <c r="A33484" t="s">
        <v>2668</v>
      </c>
      <c r="B33484">
        <f>HYPERLINK("https://android.googlesource.com/platform/cts/+/756988f11c10eff5db6cb3f73890f38df29de9a6", "756988f11c10eff5db6cb3f73890f38df29de9a6")</f>
        <v>0</v>
      </c>
      <c r="C33484">
        <f>HYPERLINK("https://android.googlesource.com/platform/cts/+/1cee75d960368f15fa11f0a298ff1fec87d2623f", "1cee75d960368f15fa11f0a298ff1fec87d2623f")</f>
        <v>0</v>
      </c>
      <c r="D33484" t="s">
        <v>5375</v>
      </c>
      <c r="E33484" t="s">
        <v>8398</v>
      </c>
      <c r="F33484" t="s">
        <v>10664</v>
      </c>
      <c r="G33484" t="s">
        <v>15065</v>
      </c>
      <c r="H33484" t="s">
        <v>32628</v>
      </c>
    </row>
    <row r="33485" spans="1:8">
      <c r="A33485" t="s">
        <v>2669</v>
      </c>
      <c r="B33485">
        <f>HYPERLINK("https://android.googlesource.com/platform/cts/+/10f682a8362d0207d15b96f774977f6a66787388", "10f682a8362d0207d15b96f774977f6a66787388")</f>
        <v>0</v>
      </c>
      <c r="C33485">
        <f>HYPERLINK("https://android.googlesource.com/platform/cts/+/860de6a8cd06d919b12baa761fb05a43e93545df", "860de6a8cd06d919b12baa761fb05a43e93545df")</f>
        <v>0</v>
      </c>
      <c r="D33485" t="s">
        <v>5428</v>
      </c>
      <c r="E33485" t="s">
        <v>8399</v>
      </c>
      <c r="F33485" t="s">
        <v>13968</v>
      </c>
      <c r="G33485" t="s">
        <v>17993</v>
      </c>
      <c r="H33485" t="s">
        <v>32629</v>
      </c>
    </row>
    <row r="33486" spans="1:8">
      <c r="A33486" t="s">
        <v>2670</v>
      </c>
      <c r="B33486">
        <f>HYPERLINK("https://android.googlesource.com/platform/cts/+/920e05bd533c99805c9b216da78adaaba239689b", "920e05bd533c99805c9b216da78adaaba239689b")</f>
        <v>0</v>
      </c>
      <c r="C33486">
        <f>HYPERLINK("https://android.googlesource.com/platform/cts/+/c7dd9e5bcf31767b3f5db3bac8e006945dce8d10", "c7dd9e5bcf31767b3f5db3bac8e006945dce8d10")</f>
        <v>0</v>
      </c>
      <c r="D33486" t="s">
        <v>5429</v>
      </c>
      <c r="E33486" t="s">
        <v>8400</v>
      </c>
      <c r="F33486" t="s">
        <v>13865</v>
      </c>
      <c r="G33486" t="s">
        <v>17905</v>
      </c>
      <c r="H33486" t="s">
        <v>32630</v>
      </c>
    </row>
    <row r="33487" spans="1:8">
      <c r="H33487" t="s">
        <v>32631</v>
      </c>
    </row>
    <row r="33488" spans="1:8">
      <c r="H33488" t="s">
        <v>32632</v>
      </c>
    </row>
    <row r="33489" spans="1:8">
      <c r="H33489" t="s">
        <v>32633</v>
      </c>
    </row>
    <row r="33490" spans="1:8">
      <c r="H33490" t="s">
        <v>32634</v>
      </c>
    </row>
    <row r="33491" spans="1:8">
      <c r="H33491" t="s">
        <v>32635</v>
      </c>
    </row>
    <row r="33492" spans="1:8">
      <c r="H33492" t="s">
        <v>32636</v>
      </c>
    </row>
    <row r="33493" spans="1:8">
      <c r="H33493" t="s">
        <v>32637</v>
      </c>
    </row>
    <row r="33494" spans="1:8">
      <c r="H33494" t="s">
        <v>19972</v>
      </c>
    </row>
    <row r="33495" spans="1:8">
      <c r="A33495" t="s">
        <v>2671</v>
      </c>
      <c r="B33495">
        <f>HYPERLINK("https://android.googlesource.com/platform/cts/+/c027c3457e58ae1f954613c6f1918ab87139c5b0", "c027c3457e58ae1f954613c6f1918ab87139c5b0")</f>
        <v>0</v>
      </c>
      <c r="C33495">
        <f>HYPERLINK("https://android.googlesource.com/platform/cts/+/ef192a79f3ef7002a999aa0e4d630dff44c27b36", "ef192a79f3ef7002a999aa0e4d630dff44c27b36")</f>
        <v>0</v>
      </c>
      <c r="D33495" t="s">
        <v>5430</v>
      </c>
      <c r="E33495" t="s">
        <v>8401</v>
      </c>
      <c r="F33495" t="s">
        <v>13969</v>
      </c>
      <c r="G33495" t="s">
        <v>17994</v>
      </c>
      <c r="H33495" t="s">
        <v>18863</v>
      </c>
    </row>
    <row r="33496" spans="1:8">
      <c r="A33496" t="s">
        <v>2672</v>
      </c>
      <c r="B33496">
        <f>HYPERLINK("https://android.googlesource.com/platform/cts/+/7bd0b59309e66f363434226dca7a85eaab457f38", "7bd0b59309e66f363434226dca7a85eaab457f38")</f>
        <v>0</v>
      </c>
      <c r="C33496">
        <f>HYPERLINK("https://android.googlesource.com/platform/cts/+/9a25299173fae21e52e3d49e7a00c2d1ea56a2c9", "9a25299173fae21e52e3d49e7a00c2d1ea56a2c9")</f>
        <v>0</v>
      </c>
      <c r="D33496" t="s">
        <v>5148</v>
      </c>
      <c r="E33496" t="s">
        <v>8402</v>
      </c>
      <c r="F33496" t="s">
        <v>13718</v>
      </c>
      <c r="G33496" t="s">
        <v>17785</v>
      </c>
      <c r="H33496" t="s">
        <v>32638</v>
      </c>
    </row>
    <row r="33497" spans="1:8">
      <c r="A33497" t="s">
        <v>2673</v>
      </c>
      <c r="B33497">
        <f>HYPERLINK("https://android.googlesource.com/platform/cts/+/de9187f01aaeae8b9ca15f699fed78252efd6a8c", "de9187f01aaeae8b9ca15f699fed78252efd6a8c")</f>
        <v>0</v>
      </c>
      <c r="C33497">
        <f>HYPERLINK("https://android.googlesource.com/platform/cts/+/0e1a4781f1b4304ce994540738b5d2585d66218c", "0e1a4781f1b4304ce994540738b5d2585d66218c")</f>
        <v>0</v>
      </c>
      <c r="D33497" t="s">
        <v>5429</v>
      </c>
      <c r="E33497" t="s">
        <v>8403</v>
      </c>
      <c r="F33497" t="s">
        <v>13970</v>
      </c>
      <c r="G33497" t="s">
        <v>17995</v>
      </c>
      <c r="H33497" t="s">
        <v>32639</v>
      </c>
    </row>
    <row r="33498" spans="1:8">
      <c r="H33498" t="s">
        <v>32630</v>
      </c>
    </row>
    <row r="33499" spans="1:8">
      <c r="H33499" t="s">
        <v>32640</v>
      </c>
    </row>
    <row r="33500" spans="1:8">
      <c r="H33500" t="s">
        <v>32636</v>
      </c>
    </row>
    <row r="33501" spans="1:8">
      <c r="F33501" t="s">
        <v>13846</v>
      </c>
      <c r="G33501" t="s">
        <v>17889</v>
      </c>
      <c r="H33501" t="s">
        <v>32639</v>
      </c>
    </row>
    <row r="33502" spans="1:8">
      <c r="H33502" t="s">
        <v>32641</v>
      </c>
    </row>
    <row r="33503" spans="1:8">
      <c r="H33503" t="s">
        <v>32641</v>
      </c>
    </row>
    <row r="33504" spans="1:8">
      <c r="H33504" t="s">
        <v>32642</v>
      </c>
    </row>
    <row r="33505" spans="1:8">
      <c r="H33505" t="s">
        <v>19972</v>
      </c>
    </row>
    <row r="33506" spans="1:8">
      <c r="A33506" t="s">
        <v>2675</v>
      </c>
      <c r="B33506">
        <f>HYPERLINK("https://android.googlesource.com/platform/cts/+/8bdd176fd50c6eba80893170a428f2fb945409d4", "8bdd176fd50c6eba80893170a428f2fb945409d4")</f>
        <v>0</v>
      </c>
      <c r="C33506">
        <f>HYPERLINK("https://android.googlesource.com/platform/cts/+/1ce66e2fe809eda44013fc3aabfe48ca7af3c170", "1ce66e2fe809eda44013fc3aabfe48ca7af3c170")</f>
        <v>0</v>
      </c>
      <c r="D33506" t="s">
        <v>5134</v>
      </c>
      <c r="E33506" t="s">
        <v>8405</v>
      </c>
      <c r="F33506" t="s">
        <v>12673</v>
      </c>
      <c r="G33506" t="s">
        <v>16877</v>
      </c>
      <c r="H33506" t="s">
        <v>18829</v>
      </c>
    </row>
    <row r="33507" spans="1:8">
      <c r="F33507" t="s">
        <v>13956</v>
      </c>
      <c r="G33507" t="s">
        <v>17982</v>
      </c>
      <c r="H33507" t="s">
        <v>18829</v>
      </c>
    </row>
    <row r="33508" spans="1:8">
      <c r="H33508" t="s">
        <v>18863</v>
      </c>
    </row>
    <row r="33509" spans="1:8">
      <c r="F33509" t="s">
        <v>12674</v>
      </c>
      <c r="G33509" t="s">
        <v>16878</v>
      </c>
      <c r="H33509" t="s">
        <v>18829</v>
      </c>
    </row>
    <row r="33510" spans="1:8">
      <c r="H33510" t="s">
        <v>18863</v>
      </c>
    </row>
    <row r="33511" spans="1:8">
      <c r="F33511" t="s">
        <v>13934</v>
      </c>
      <c r="G33511" t="s">
        <v>17968</v>
      </c>
      <c r="H33511" t="s">
        <v>18829</v>
      </c>
    </row>
    <row r="33512" spans="1:8">
      <c r="F33512" t="s">
        <v>13935</v>
      </c>
      <c r="G33512" t="s">
        <v>17969</v>
      </c>
      <c r="H33512" t="s">
        <v>18829</v>
      </c>
    </row>
    <row r="33513" spans="1:8">
      <c r="F33513" t="s">
        <v>13957</v>
      </c>
      <c r="G33513" t="s">
        <v>17983</v>
      </c>
      <c r="H33513" t="s">
        <v>18829</v>
      </c>
    </row>
    <row r="33514" spans="1:8">
      <c r="F33514" t="s">
        <v>13936</v>
      </c>
      <c r="G33514" t="s">
        <v>17970</v>
      </c>
      <c r="H33514" t="s">
        <v>18829</v>
      </c>
    </row>
    <row r="33515" spans="1:8">
      <c r="F33515" t="s">
        <v>13231</v>
      </c>
      <c r="G33515" t="s">
        <v>15081</v>
      </c>
      <c r="H33515" t="s">
        <v>18829</v>
      </c>
    </row>
    <row r="33516" spans="1:8">
      <c r="F33516" t="s">
        <v>13937</v>
      </c>
      <c r="G33516" t="s">
        <v>17971</v>
      </c>
      <c r="H33516" t="s">
        <v>18829</v>
      </c>
    </row>
    <row r="33517" spans="1:8">
      <c r="F33517" t="s">
        <v>13939</v>
      </c>
      <c r="G33517" t="s">
        <v>15189</v>
      </c>
      <c r="H33517" t="s">
        <v>18829</v>
      </c>
    </row>
    <row r="33518" spans="1:8">
      <c r="F33518" t="s">
        <v>13940</v>
      </c>
      <c r="G33518" t="s">
        <v>15087</v>
      </c>
      <c r="H33518" t="s">
        <v>18829</v>
      </c>
    </row>
    <row r="33519" spans="1:8">
      <c r="A33519" t="s">
        <v>2676</v>
      </c>
      <c r="B33519">
        <f>HYPERLINK("https://android.googlesource.com/platform/cts/+/61fff8c371dba843aaa870a36478603b3985b720", "61fff8c371dba843aaa870a36478603b3985b720")</f>
        <v>0</v>
      </c>
      <c r="C33519">
        <f>HYPERLINK("https://android.googlesource.com/platform/cts/+/4b7a0d79a6b8d8af33a8586d77d16ae3dc7adf3c", "4b7a0d79a6b8d8af33a8586d77d16ae3dc7adf3c")</f>
        <v>0</v>
      </c>
      <c r="D33519" t="s">
        <v>5431</v>
      </c>
      <c r="E33519" t="s">
        <v>8406</v>
      </c>
      <c r="F33519" t="s">
        <v>13228</v>
      </c>
      <c r="G33519" t="s">
        <v>17369</v>
      </c>
      <c r="H33519" t="s">
        <v>32643</v>
      </c>
    </row>
    <row r="33520" spans="1:8">
      <c r="H33520" t="s">
        <v>32644</v>
      </c>
    </row>
    <row r="33521" spans="1:8">
      <c r="H33521" t="s">
        <v>32645</v>
      </c>
    </row>
    <row r="33522" spans="1:8">
      <c r="F33522" t="s">
        <v>12629</v>
      </c>
      <c r="G33522" t="s">
        <v>16838</v>
      </c>
      <c r="H33522" t="s">
        <v>32646</v>
      </c>
    </row>
    <row r="33523" spans="1:8">
      <c r="H33523" t="s">
        <v>32647</v>
      </c>
    </row>
    <row r="33524" spans="1:8">
      <c r="H33524" t="s">
        <v>32648</v>
      </c>
    </row>
    <row r="33525" spans="1:8">
      <c r="H33525" t="s">
        <v>32649</v>
      </c>
    </row>
    <row r="33526" spans="1:8">
      <c r="H33526" t="s">
        <v>32650</v>
      </c>
    </row>
    <row r="33527" spans="1:8">
      <c r="H33527" t="s">
        <v>32651</v>
      </c>
    </row>
    <row r="33528" spans="1:8">
      <c r="A33528" t="s">
        <v>2677</v>
      </c>
      <c r="B33528">
        <f>HYPERLINK("https://android.googlesource.com/platform/cts/+/630d0622333ff2e38fbab46540673c575b30daf1", "630d0622333ff2e38fbab46540673c575b30daf1")</f>
        <v>0</v>
      </c>
      <c r="C33528">
        <f>HYPERLINK("https://android.googlesource.com/platform/cts/+/c5ac8d75931f1dca637909939db546a058c3153a", "c5ac8d75931f1dca637909939db546a058c3153a")</f>
        <v>0</v>
      </c>
      <c r="D33528" t="s">
        <v>5431</v>
      </c>
      <c r="E33528" t="s">
        <v>8407</v>
      </c>
      <c r="F33528" t="s">
        <v>13228</v>
      </c>
      <c r="G33528" t="s">
        <v>17369</v>
      </c>
      <c r="H33528" t="s">
        <v>32643</v>
      </c>
    </row>
    <row r="33529" spans="1:8">
      <c r="H33529" t="s">
        <v>32644</v>
      </c>
    </row>
    <row r="33530" spans="1:8">
      <c r="H33530" t="s">
        <v>32645</v>
      </c>
    </row>
    <row r="33531" spans="1:8">
      <c r="F33531" t="s">
        <v>12629</v>
      </c>
      <c r="G33531" t="s">
        <v>16838</v>
      </c>
      <c r="H33531" t="s">
        <v>32646</v>
      </c>
    </row>
    <row r="33532" spans="1:8">
      <c r="H33532" t="s">
        <v>32647</v>
      </c>
    </row>
    <row r="33533" spans="1:8">
      <c r="H33533" t="s">
        <v>32648</v>
      </c>
    </row>
    <row r="33534" spans="1:8">
      <c r="H33534" t="s">
        <v>32649</v>
      </c>
    </row>
    <row r="33535" spans="1:8">
      <c r="H33535" t="s">
        <v>32650</v>
      </c>
    </row>
    <row r="33536" spans="1:8">
      <c r="H33536" t="s">
        <v>32651</v>
      </c>
    </row>
    <row r="33537" spans="1:8">
      <c r="A33537" t="s">
        <v>2678</v>
      </c>
      <c r="B33537">
        <f>HYPERLINK("https://android.googlesource.com/platform/cts/+/2f6b09906c06f2d3f8419e23e616429834bea2a2", "2f6b09906c06f2d3f8419e23e616429834bea2a2")</f>
        <v>0</v>
      </c>
      <c r="C33537">
        <f>HYPERLINK("https://android.googlesource.com/platform/cts/+/f91ff6015ef226629d8bd0033ce5d97f94705383", "f91ff6015ef226629d8bd0033ce5d97f94705383")</f>
        <v>0</v>
      </c>
      <c r="D33537" t="s">
        <v>5407</v>
      </c>
      <c r="E33537" t="s">
        <v>8408</v>
      </c>
      <c r="F33537" t="s">
        <v>12772</v>
      </c>
      <c r="G33537" t="s">
        <v>16543</v>
      </c>
      <c r="H33537" t="s">
        <v>32652</v>
      </c>
    </row>
    <row r="33538" spans="1:8">
      <c r="A33538" t="s">
        <v>2679</v>
      </c>
      <c r="B33538">
        <f>HYPERLINK("https://android.googlesource.com/platform/cts/+/3906e04b846df21f05214922ba058ad889df4d77", "3906e04b846df21f05214922ba058ad889df4d77")</f>
        <v>0</v>
      </c>
      <c r="C33538">
        <f>HYPERLINK("https://android.googlesource.com/platform/cts/+/fb4ce374935e5288201cfea6d5f3fa813346ffb6", "fb4ce374935e5288201cfea6d5f3fa813346ffb6")</f>
        <v>0</v>
      </c>
      <c r="D33538" t="s">
        <v>5431</v>
      </c>
      <c r="E33538" t="s">
        <v>8409</v>
      </c>
      <c r="F33538" t="s">
        <v>13971</v>
      </c>
      <c r="G33538" t="s">
        <v>17996</v>
      </c>
      <c r="H33538" t="s">
        <v>22678</v>
      </c>
    </row>
    <row r="33539" spans="1:8">
      <c r="H33539" t="s">
        <v>18863</v>
      </c>
    </row>
    <row r="33540" spans="1:8">
      <c r="H33540" t="s">
        <v>32653</v>
      </c>
    </row>
    <row r="33541" spans="1:8">
      <c r="H33541" t="s">
        <v>32654</v>
      </c>
    </row>
    <row r="33542" spans="1:8">
      <c r="A33542" t="s">
        <v>2681</v>
      </c>
      <c r="B33542">
        <f>HYPERLINK("https://android.googlesource.com/platform/cts/+/d01e46d45b7f7887a93fc5040b44e89eadfef79f", "d01e46d45b7f7887a93fc5040b44e89eadfef79f")</f>
        <v>0</v>
      </c>
      <c r="C33542">
        <f>HYPERLINK("https://android.googlesource.com/platform/cts/+/dc5509b3ab6fc59ffe470dff4ea8be22c61ba6f0", "dc5509b3ab6fc59ffe470dff4ea8be22c61ba6f0")</f>
        <v>0</v>
      </c>
      <c r="D33542" t="s">
        <v>5432</v>
      </c>
      <c r="E33542" t="s">
        <v>8411</v>
      </c>
      <c r="F33542" t="s">
        <v>13716</v>
      </c>
      <c r="G33542" t="s">
        <v>17783</v>
      </c>
      <c r="H33542" t="s">
        <v>32655</v>
      </c>
    </row>
    <row r="33543" spans="1:8">
      <c r="A33543" t="s">
        <v>2682</v>
      </c>
      <c r="B33543">
        <f>HYPERLINK("https://android.googlesource.com/platform/cts/+/5a41cd43634c8964ac962cd60a5d01ba0d2f3d83", "5a41cd43634c8964ac962cd60a5d01ba0d2f3d83")</f>
        <v>0</v>
      </c>
      <c r="C33543">
        <f>HYPERLINK("https://android.googlesource.com/platform/cts/+/2b513ac5528482f74af06d43f636b5cc2a4cd237", "2b513ac5528482f74af06d43f636b5cc2a4cd237")</f>
        <v>0</v>
      </c>
      <c r="D33543" t="s">
        <v>5341</v>
      </c>
      <c r="E33543" t="s">
        <v>8412</v>
      </c>
      <c r="F33543" t="s">
        <v>13917</v>
      </c>
      <c r="G33543" t="s">
        <v>17953</v>
      </c>
      <c r="H33543" t="s">
        <v>32656</v>
      </c>
    </row>
    <row r="33544" spans="1:8">
      <c r="H33544" t="s">
        <v>32657</v>
      </c>
    </row>
    <row r="33545" spans="1:8">
      <c r="A33545" t="s">
        <v>2683</v>
      </c>
      <c r="B33545">
        <f>HYPERLINK("https://android.googlesource.com/platform/cts/+/e4b9d27d1f9d2da9e8cace3f023fc11de4fddfef", "e4b9d27d1f9d2da9e8cace3f023fc11de4fddfef")</f>
        <v>0</v>
      </c>
      <c r="C33545">
        <f>HYPERLINK("https://android.googlesource.com/platform/cts/+/a35f8169ababb9f61ba44527e19f9d19917a4559", "a35f8169ababb9f61ba44527e19f9d19917a4559")</f>
        <v>0</v>
      </c>
      <c r="D33545" t="s">
        <v>5189</v>
      </c>
      <c r="E33545" t="s">
        <v>8413</v>
      </c>
      <c r="F33545" t="s">
        <v>13136</v>
      </c>
      <c r="G33545" t="s">
        <v>17293</v>
      </c>
      <c r="H33545" t="s">
        <v>32658</v>
      </c>
    </row>
    <row r="33546" spans="1:8">
      <c r="H33546" t="s">
        <v>32659</v>
      </c>
    </row>
    <row r="33547" spans="1:8">
      <c r="A33547" t="s">
        <v>2684</v>
      </c>
      <c r="B33547">
        <f>HYPERLINK("https://android.googlesource.com/platform/cts/+/65dfd51a7d9e2eddff1ead639290eabfa328ec8f", "65dfd51a7d9e2eddff1ead639290eabfa328ec8f")</f>
        <v>0</v>
      </c>
      <c r="C33547">
        <f>HYPERLINK("https://android.googlesource.com/platform/cts/+/7d5622ac64fc555363c7bdbe19400499f5c6ee48", "7d5622ac64fc555363c7bdbe19400499f5c6ee48")</f>
        <v>0</v>
      </c>
      <c r="D33547" t="s">
        <v>5433</v>
      </c>
      <c r="E33547" t="s">
        <v>8414</v>
      </c>
      <c r="F33547" t="s">
        <v>13514</v>
      </c>
      <c r="G33547" t="s">
        <v>17631</v>
      </c>
      <c r="H33547" t="s">
        <v>32660</v>
      </c>
    </row>
    <row r="33548" spans="1:8">
      <c r="H33548" t="s">
        <v>32661</v>
      </c>
    </row>
    <row r="33549" spans="1:8">
      <c r="A33549" t="s">
        <v>2687</v>
      </c>
      <c r="B33549">
        <f>HYPERLINK("https://android.googlesource.com/platform/cts/+/c2a37aedc82815efd368e362fd878d6989090593", "c2a37aedc82815efd368e362fd878d6989090593")</f>
        <v>0</v>
      </c>
      <c r="C33549">
        <f>HYPERLINK("https://android.googlesource.com/platform/cts/+/6779289675e20733c0304141963748d2740bf823", "6779289675e20733c0304141963748d2740bf823")</f>
        <v>0</v>
      </c>
      <c r="D33549" t="s">
        <v>5434</v>
      </c>
      <c r="E33549" t="s">
        <v>8417</v>
      </c>
      <c r="F33549" t="s">
        <v>13972</v>
      </c>
      <c r="G33549" t="s">
        <v>17997</v>
      </c>
      <c r="H33549" t="s">
        <v>32662</v>
      </c>
    </row>
    <row r="33550" spans="1:8">
      <c r="H33550" t="s">
        <v>32663</v>
      </c>
    </row>
    <row r="33551" spans="1:8">
      <c r="H33551" t="s">
        <v>32664</v>
      </c>
    </row>
    <row r="33552" spans="1:8">
      <c r="H33552" t="s">
        <v>32665</v>
      </c>
    </row>
    <row r="33553" spans="1:8">
      <c r="A33553" t="s">
        <v>2688</v>
      </c>
      <c r="B33553">
        <f>HYPERLINK("https://android.googlesource.com/platform/cts/+/50b3e8d0c74d57e225e74e934e84298f0e09f640", "50b3e8d0c74d57e225e74e934e84298f0e09f640")</f>
        <v>0</v>
      </c>
      <c r="C33553">
        <f>HYPERLINK("https://android.googlesource.com/platform/cts/+/c0550250bf892f20acdd89a82f56a50484360d50", "c0550250bf892f20acdd89a82f56a50484360d50")</f>
        <v>0</v>
      </c>
      <c r="D33553" t="s">
        <v>5359</v>
      </c>
      <c r="E33553" t="s">
        <v>8418</v>
      </c>
      <c r="F33553" t="s">
        <v>13973</v>
      </c>
      <c r="G33553" t="s">
        <v>17998</v>
      </c>
      <c r="H33553" t="s">
        <v>32666</v>
      </c>
    </row>
    <row r="33554" spans="1:8">
      <c r="H33554" t="s">
        <v>32667</v>
      </c>
    </row>
    <row r="33555" spans="1:8">
      <c r="A33555" t="s">
        <v>2689</v>
      </c>
      <c r="B33555">
        <f>HYPERLINK("https://android.googlesource.com/platform/cts/+/09f52fd775b1a442cc5eb4b0afb42d83e99d887a", "09f52fd775b1a442cc5eb4b0afb42d83e99d887a")</f>
        <v>0</v>
      </c>
      <c r="C33555">
        <f>HYPERLINK("https://android.googlesource.com/platform/cts/+/5129fd24cb1ddb735521defc00494784f202c330", "5129fd24cb1ddb735521defc00494784f202c330")</f>
        <v>0</v>
      </c>
      <c r="D33555" t="s">
        <v>5108</v>
      </c>
      <c r="E33555" t="s">
        <v>8419</v>
      </c>
      <c r="F33555" t="s">
        <v>13974</v>
      </c>
      <c r="G33555" t="s">
        <v>17999</v>
      </c>
      <c r="H33555" t="s">
        <v>32668</v>
      </c>
    </row>
    <row r="33556" spans="1:8">
      <c r="A33556" t="s">
        <v>2690</v>
      </c>
      <c r="B33556">
        <f>HYPERLINK("https://android.googlesource.com/platform/cts/+/b3f2fbcb42f8d4f7067efeee074f9bac40b6293e", "b3f2fbcb42f8d4f7067efeee074f9bac40b6293e")</f>
        <v>0</v>
      </c>
      <c r="C33556">
        <f>HYPERLINK("https://android.googlesource.com/platform/cts/+/ae348e91e67a626337a9ba257fdd769c5ca90a8e", "ae348e91e67a626337a9ba257fdd769c5ca90a8e")</f>
        <v>0</v>
      </c>
      <c r="D33556" t="s">
        <v>4981</v>
      </c>
      <c r="E33556" t="s">
        <v>8420</v>
      </c>
      <c r="F33556" t="s">
        <v>13975</v>
      </c>
      <c r="G33556" t="s">
        <v>18000</v>
      </c>
      <c r="H33556" t="s">
        <v>19753</v>
      </c>
    </row>
    <row r="33557" spans="1:8">
      <c r="H33557" t="s">
        <v>19754</v>
      </c>
    </row>
    <row r="33558" spans="1:8">
      <c r="A33558" t="s">
        <v>2691</v>
      </c>
      <c r="B33558">
        <f>HYPERLINK("https://android.googlesource.com/platform/cts/+/09d755d4ee3d06f50886073de3f9f5787f3b09f6", "09d755d4ee3d06f50886073de3f9f5787f3b09f6")</f>
        <v>0</v>
      </c>
      <c r="C33558">
        <f>HYPERLINK("https://android.googlesource.com/platform/cts/+/c2dbc645ffc40457cd9d085a5f751df5c32594cb", "c2dbc645ffc40457cd9d085a5f751df5c32594cb")</f>
        <v>0</v>
      </c>
      <c r="D33558" t="s">
        <v>5244</v>
      </c>
      <c r="E33558" t="s">
        <v>8421</v>
      </c>
      <c r="F33558" t="s">
        <v>13182</v>
      </c>
      <c r="G33558" t="s">
        <v>17326</v>
      </c>
      <c r="H33558" t="s">
        <v>32669</v>
      </c>
    </row>
    <row r="33559" spans="1:8">
      <c r="H33559" t="s">
        <v>32670</v>
      </c>
    </row>
    <row r="33560" spans="1:8">
      <c r="F33560" t="s">
        <v>13183</v>
      </c>
      <c r="G33560" t="s">
        <v>17327</v>
      </c>
      <c r="H33560" t="s">
        <v>32669</v>
      </c>
    </row>
    <row r="33561" spans="1:8">
      <c r="F33561" t="s">
        <v>13184</v>
      </c>
      <c r="G33561" t="s">
        <v>17328</v>
      </c>
      <c r="H33561" t="s">
        <v>32669</v>
      </c>
    </row>
    <row r="33562" spans="1:8">
      <c r="H33562" t="s">
        <v>32670</v>
      </c>
    </row>
    <row r="33563" spans="1:8">
      <c r="F33563" t="s">
        <v>12893</v>
      </c>
      <c r="G33563" t="s">
        <v>17060</v>
      </c>
      <c r="H33563" t="s">
        <v>32669</v>
      </c>
    </row>
    <row r="33564" spans="1:8">
      <c r="F33564" t="s">
        <v>13857</v>
      </c>
      <c r="G33564" t="s">
        <v>17899</v>
      </c>
      <c r="H33564" t="s">
        <v>32669</v>
      </c>
    </row>
    <row r="33565" spans="1:8">
      <c r="H33565" t="s">
        <v>32671</v>
      </c>
    </row>
    <row r="33566" spans="1:8">
      <c r="F33566" t="s">
        <v>13185</v>
      </c>
      <c r="G33566" t="s">
        <v>17329</v>
      </c>
      <c r="H33566" t="s">
        <v>32669</v>
      </c>
    </row>
    <row r="33567" spans="1:8">
      <c r="H33567" t="s">
        <v>32670</v>
      </c>
    </row>
    <row r="33568" spans="1:8">
      <c r="F33568" t="s">
        <v>13186</v>
      </c>
      <c r="G33568" t="s">
        <v>17330</v>
      </c>
      <c r="H33568" t="s">
        <v>32669</v>
      </c>
    </row>
    <row r="33569" spans="1:8">
      <c r="F33569" t="s">
        <v>13976</v>
      </c>
      <c r="G33569" t="s">
        <v>18001</v>
      </c>
      <c r="H33569" t="s">
        <v>32671</v>
      </c>
    </row>
    <row r="33570" spans="1:8">
      <c r="F33570" t="s">
        <v>13977</v>
      </c>
      <c r="G33570" t="s">
        <v>18002</v>
      </c>
      <c r="H33570" t="s">
        <v>32672</v>
      </c>
    </row>
    <row r="33571" spans="1:8">
      <c r="H33571" t="s">
        <v>32673</v>
      </c>
    </row>
    <row r="33572" spans="1:8">
      <c r="A33572" t="s">
        <v>2693</v>
      </c>
      <c r="B33572">
        <f>HYPERLINK("https://android.googlesource.com/platform/cts/+/9cbd418f98243f0922ca1bfe509dd7bbe9c9ddc3", "9cbd418f98243f0922ca1bfe509dd7bbe9c9ddc3")</f>
        <v>0</v>
      </c>
      <c r="C33572">
        <f>HYPERLINK("https://android.googlesource.com/platform/cts/+/e405144243856ba6310682b960e19232144da05f", "e405144243856ba6310682b960e19232144da05f")</f>
        <v>0</v>
      </c>
      <c r="D33572" t="s">
        <v>5435</v>
      </c>
      <c r="E33572" t="s">
        <v>8423</v>
      </c>
      <c r="F33572" t="s">
        <v>12710</v>
      </c>
      <c r="G33572" t="s">
        <v>16911</v>
      </c>
      <c r="H33572" t="s">
        <v>31252</v>
      </c>
    </row>
    <row r="33573" spans="1:8">
      <c r="A33573" t="s">
        <v>2694</v>
      </c>
      <c r="B33573">
        <f>HYPERLINK("https://android.googlesource.com/platform/cts/+/acc2b1f85f173315e3bb25d3a1f8474ec2635e31", "acc2b1f85f173315e3bb25d3a1f8474ec2635e31")</f>
        <v>0</v>
      </c>
      <c r="C33573">
        <f>HYPERLINK("https://android.googlesource.com/platform/cts/+/de89b8884c5a369d9e34626d0e8fc08e8a6b827d", "de89b8884c5a369d9e34626d0e8fc08e8a6b827d")</f>
        <v>0</v>
      </c>
      <c r="D33573" t="s">
        <v>5435</v>
      </c>
      <c r="E33573" t="s">
        <v>8424</v>
      </c>
      <c r="F33573" t="s">
        <v>12710</v>
      </c>
      <c r="G33573" t="s">
        <v>16911</v>
      </c>
      <c r="H33573" t="s">
        <v>31252</v>
      </c>
    </row>
    <row r="33574" spans="1:8">
      <c r="A33574" t="s">
        <v>2695</v>
      </c>
      <c r="B33574">
        <f>HYPERLINK("https://android.googlesource.com/platform/cts/+/9713f158bf74d261043e11eebe38519dcd416c6f", "9713f158bf74d261043e11eebe38519dcd416c6f")</f>
        <v>0</v>
      </c>
      <c r="C33574">
        <f>HYPERLINK("https://android.googlesource.com/platform/cts/+/4811ae9c9d63dd5ecae1a00938bd22d00ef84d41", "4811ae9c9d63dd5ecae1a00938bd22d00ef84d41")</f>
        <v>0</v>
      </c>
      <c r="D33574" t="s">
        <v>5167</v>
      </c>
      <c r="E33574" t="s">
        <v>8425</v>
      </c>
      <c r="F33574" t="s">
        <v>13978</v>
      </c>
      <c r="G33574" t="s">
        <v>18003</v>
      </c>
      <c r="H33574" t="s">
        <v>18829</v>
      </c>
    </row>
    <row r="33575" spans="1:8">
      <c r="H33575" t="s">
        <v>32674</v>
      </c>
    </row>
    <row r="33576" spans="1:8">
      <c r="H33576" t="s">
        <v>32675</v>
      </c>
    </row>
    <row r="33577" spans="1:8">
      <c r="H33577" t="s">
        <v>32676</v>
      </c>
    </row>
    <row r="33578" spans="1:8">
      <c r="H33578" t="s">
        <v>32677</v>
      </c>
    </row>
    <row r="33579" spans="1:8">
      <c r="H33579" t="s">
        <v>32678</v>
      </c>
    </row>
    <row r="33580" spans="1:8">
      <c r="H33580" t="s">
        <v>32679</v>
      </c>
    </row>
    <row r="33581" spans="1:8">
      <c r="H33581" t="s">
        <v>32680</v>
      </c>
    </row>
    <row r="33582" spans="1:8">
      <c r="H33582" t="s">
        <v>32681</v>
      </c>
    </row>
    <row r="33583" spans="1:8">
      <c r="H33583" t="s">
        <v>32682</v>
      </c>
    </row>
    <row r="33584" spans="1:8">
      <c r="H33584" t="s">
        <v>32683</v>
      </c>
    </row>
    <row r="33585" spans="8:8">
      <c r="H33585" t="s">
        <v>32684</v>
      </c>
    </row>
    <row r="33586" spans="8:8">
      <c r="H33586" t="s">
        <v>32685</v>
      </c>
    </row>
    <row r="33587" spans="8:8">
      <c r="H33587" t="s">
        <v>32686</v>
      </c>
    </row>
    <row r="33588" spans="8:8">
      <c r="H33588" t="s">
        <v>32687</v>
      </c>
    </row>
    <row r="33589" spans="8:8">
      <c r="H33589" t="s">
        <v>32688</v>
      </c>
    </row>
    <row r="33590" spans="8:8">
      <c r="H33590" t="s">
        <v>32689</v>
      </c>
    </row>
    <row r="33591" spans="8:8">
      <c r="H33591" t="s">
        <v>32690</v>
      </c>
    </row>
    <row r="33592" spans="8:8">
      <c r="H33592" t="s">
        <v>32691</v>
      </c>
    </row>
    <row r="33593" spans="8:8">
      <c r="H33593" t="s">
        <v>32692</v>
      </c>
    </row>
    <row r="33594" spans="8:8">
      <c r="H33594" t="s">
        <v>32693</v>
      </c>
    </row>
    <row r="33595" spans="8:8">
      <c r="H33595" t="s">
        <v>32694</v>
      </c>
    </row>
    <row r="33596" spans="8:8">
      <c r="H33596" t="s">
        <v>32695</v>
      </c>
    </row>
    <row r="33597" spans="8:8">
      <c r="H33597" t="s">
        <v>32696</v>
      </c>
    </row>
    <row r="33598" spans="8:8">
      <c r="H33598" t="s">
        <v>32697</v>
      </c>
    </row>
    <row r="33599" spans="8:8">
      <c r="H33599" t="s">
        <v>32698</v>
      </c>
    </row>
    <row r="33600" spans="8:8">
      <c r="H33600" t="s">
        <v>32699</v>
      </c>
    </row>
    <row r="33601" spans="1:8">
      <c r="A33601" t="s">
        <v>2696</v>
      </c>
      <c r="B33601">
        <f>HYPERLINK("https://android.googlesource.com/platform/cts/+/26581cfbba29192e651169b827fe689af8bf41a4", "26581cfbba29192e651169b827fe689af8bf41a4")</f>
        <v>0</v>
      </c>
      <c r="C33601">
        <f>HYPERLINK("https://android.googlesource.com/platform/cts/+/62cdbd17062bbaca41ebb6899a85fb49e5e1a723", "62cdbd17062bbaca41ebb6899a85fb49e5e1a723")</f>
        <v>0</v>
      </c>
      <c r="D33601" t="s">
        <v>5436</v>
      </c>
      <c r="E33601" t="s">
        <v>8426</v>
      </c>
      <c r="F33601" t="s">
        <v>12570</v>
      </c>
      <c r="G33601" t="s">
        <v>16786</v>
      </c>
      <c r="H33601" t="s">
        <v>32700</v>
      </c>
    </row>
    <row r="33602" spans="1:8">
      <c r="A33602" t="s">
        <v>2697</v>
      </c>
      <c r="B33602">
        <f>HYPERLINK("https://android.googlesource.com/platform/cts/+/9182cd2d62bacc0b7509a723d099aaceb88647fd", "9182cd2d62bacc0b7509a723d099aaceb88647fd")</f>
        <v>0</v>
      </c>
      <c r="C33602">
        <f>HYPERLINK("https://android.googlesource.com/platform/cts/+/d53fe1733ae343368a1ac72bf3e97f48f2a0f873", "d53fe1733ae343368a1ac72bf3e97f48f2a0f873")</f>
        <v>0</v>
      </c>
      <c r="D33602" t="s">
        <v>5437</v>
      </c>
      <c r="E33602" t="s">
        <v>8427</v>
      </c>
      <c r="F33602" t="s">
        <v>13979</v>
      </c>
      <c r="G33602" t="s">
        <v>18004</v>
      </c>
      <c r="H33602" t="s">
        <v>32701</v>
      </c>
    </row>
    <row r="33603" spans="1:8">
      <c r="H33603" t="s">
        <v>32702</v>
      </c>
    </row>
    <row r="33604" spans="1:8">
      <c r="H33604" t="s">
        <v>19013</v>
      </c>
    </row>
    <row r="33605" spans="1:8">
      <c r="H33605" t="s">
        <v>32703</v>
      </c>
    </row>
    <row r="33606" spans="1:8">
      <c r="A33606" t="s">
        <v>2698</v>
      </c>
      <c r="B33606">
        <f>HYPERLINK("https://android.googlesource.com/platform/cts/+/1fe9d641dad4a1df0c22ec15be0260e5e58a07d0", "1fe9d641dad4a1df0c22ec15be0260e5e58a07d0")</f>
        <v>0</v>
      </c>
      <c r="C33606">
        <f>HYPERLINK("https://android.googlesource.com/platform/cts/+/03c291a212dd412bbfe44de07e7256b91bdf568e", "03c291a212dd412bbfe44de07e7256b91bdf568e")</f>
        <v>0</v>
      </c>
      <c r="D33606" t="s">
        <v>5438</v>
      </c>
      <c r="E33606" t="s">
        <v>8428</v>
      </c>
      <c r="F33606" t="s">
        <v>13980</v>
      </c>
      <c r="G33606" t="s">
        <v>18005</v>
      </c>
      <c r="H33606" t="s">
        <v>18829</v>
      </c>
    </row>
    <row r="33607" spans="1:8">
      <c r="H33607" t="s">
        <v>32704</v>
      </c>
    </row>
    <row r="33608" spans="1:8">
      <c r="F33608" t="s">
        <v>13981</v>
      </c>
      <c r="G33608" t="s">
        <v>18006</v>
      </c>
      <c r="H33608" t="s">
        <v>32705</v>
      </c>
    </row>
    <row r="33609" spans="1:8">
      <c r="H33609" t="s">
        <v>18829</v>
      </c>
    </row>
    <row r="33610" spans="1:8">
      <c r="F33610" t="s">
        <v>13982</v>
      </c>
      <c r="G33610" t="s">
        <v>18007</v>
      </c>
      <c r="H33610" t="s">
        <v>18829</v>
      </c>
    </row>
    <row r="33611" spans="1:8">
      <c r="H33611" t="s">
        <v>32706</v>
      </c>
    </row>
    <row r="33612" spans="1:8">
      <c r="A33612" t="s">
        <v>2699</v>
      </c>
      <c r="B33612">
        <f>HYPERLINK("https://android.googlesource.com/platform/cts/+/7592acdbf80cec572530bb1fd0711151af63952a", "7592acdbf80cec572530bb1fd0711151af63952a")</f>
        <v>0</v>
      </c>
      <c r="C33612">
        <f>HYPERLINK("https://android.googlesource.com/platform/cts/+/1ead01ba65983808908dc2deb513b460475520c4", "1ead01ba65983808908dc2deb513b460475520c4")</f>
        <v>0</v>
      </c>
      <c r="D33612" t="s">
        <v>5409</v>
      </c>
      <c r="E33612" t="s">
        <v>8429</v>
      </c>
      <c r="F33612" t="s">
        <v>13752</v>
      </c>
      <c r="G33612" t="s">
        <v>17812</v>
      </c>
      <c r="H33612" t="s">
        <v>32707</v>
      </c>
    </row>
    <row r="33613" spans="1:8">
      <c r="A33613" t="s">
        <v>2700</v>
      </c>
      <c r="B33613">
        <f>HYPERLINK("https://android.googlesource.com/platform/cts/+/5e75b98446b8d8b0677a77118d3aaab12a93a711", "5e75b98446b8d8b0677a77118d3aaab12a93a711")</f>
        <v>0</v>
      </c>
      <c r="C33613">
        <f>HYPERLINK("https://android.googlesource.com/platform/cts/+/c7315d35182d1993d4dc194bd8405cb3b4a60516", "c7315d35182d1993d4dc194bd8405cb3b4a60516")</f>
        <v>0</v>
      </c>
      <c r="D33613" t="s">
        <v>5439</v>
      </c>
      <c r="E33613" t="s">
        <v>8430</v>
      </c>
      <c r="F33613" t="s">
        <v>13228</v>
      </c>
      <c r="G33613" t="s">
        <v>17369</v>
      </c>
      <c r="H33613" t="s">
        <v>32643</v>
      </c>
    </row>
    <row r="33614" spans="1:8">
      <c r="H33614" t="s">
        <v>32644</v>
      </c>
    </row>
    <row r="33615" spans="1:8">
      <c r="H33615" t="s">
        <v>32645</v>
      </c>
    </row>
    <row r="33616" spans="1:8">
      <c r="F33616" t="s">
        <v>12629</v>
      </c>
      <c r="G33616" t="s">
        <v>16838</v>
      </c>
      <c r="H33616" t="s">
        <v>32646</v>
      </c>
    </row>
    <row r="33617" spans="1:8">
      <c r="H33617" t="s">
        <v>32647</v>
      </c>
    </row>
    <row r="33618" spans="1:8">
      <c r="H33618" t="s">
        <v>32648</v>
      </c>
    </row>
    <row r="33619" spans="1:8">
      <c r="H33619" t="s">
        <v>32649</v>
      </c>
    </row>
    <row r="33620" spans="1:8">
      <c r="H33620" t="s">
        <v>32650</v>
      </c>
    </row>
    <row r="33621" spans="1:8">
      <c r="H33621" t="s">
        <v>32651</v>
      </c>
    </row>
    <row r="33622" spans="1:8">
      <c r="F33622" t="s">
        <v>12772</v>
      </c>
      <c r="G33622" t="s">
        <v>16543</v>
      </c>
      <c r="H33622" t="s">
        <v>32652</v>
      </c>
    </row>
    <row r="33623" spans="1:8">
      <c r="F33623" t="s">
        <v>13514</v>
      </c>
      <c r="G33623" t="s">
        <v>17631</v>
      </c>
      <c r="H33623" t="s">
        <v>32529</v>
      </c>
    </row>
    <row r="33624" spans="1:8">
      <c r="F33624" t="s">
        <v>13718</v>
      </c>
      <c r="G33624" t="s">
        <v>17785</v>
      </c>
      <c r="H33624" t="s">
        <v>32638</v>
      </c>
    </row>
    <row r="33625" spans="1:8">
      <c r="F33625" t="s">
        <v>13917</v>
      </c>
      <c r="G33625" t="s">
        <v>17953</v>
      </c>
      <c r="H33625" t="s">
        <v>32656</v>
      </c>
    </row>
    <row r="33626" spans="1:8">
      <c r="H33626" t="s">
        <v>32657</v>
      </c>
    </row>
    <row r="33627" spans="1:8">
      <c r="F33627" t="s">
        <v>13972</v>
      </c>
      <c r="G33627" t="s">
        <v>17997</v>
      </c>
      <c r="H33627" t="s">
        <v>32662</v>
      </c>
    </row>
    <row r="33628" spans="1:8">
      <c r="H33628" t="s">
        <v>32663</v>
      </c>
    </row>
    <row r="33629" spans="1:8">
      <c r="H33629" t="s">
        <v>32664</v>
      </c>
    </row>
    <row r="33630" spans="1:8">
      <c r="H33630" t="s">
        <v>32665</v>
      </c>
    </row>
    <row r="33631" spans="1:8">
      <c r="A33631" t="s">
        <v>2701</v>
      </c>
      <c r="B33631">
        <f>HYPERLINK("https://android.googlesource.com/platform/cts/+/053d37f4d7208d138004edc61b17febadee18a99", "053d37f4d7208d138004edc61b17febadee18a99")</f>
        <v>0</v>
      </c>
      <c r="C33631">
        <f>HYPERLINK("https://android.googlesource.com/platform/cts/+/6353016ab885acd5b7e42428f2330f69178d8e52", "6353016ab885acd5b7e42428f2330f69178d8e52")</f>
        <v>0</v>
      </c>
      <c r="D33631" t="s">
        <v>5440</v>
      </c>
      <c r="E33631" t="s">
        <v>8431</v>
      </c>
      <c r="F33631" t="s">
        <v>13983</v>
      </c>
      <c r="G33631" t="s">
        <v>17520</v>
      </c>
      <c r="H33631" t="s">
        <v>19017</v>
      </c>
    </row>
    <row r="33632" spans="1:8">
      <c r="A33632" t="s">
        <v>2702</v>
      </c>
      <c r="B33632">
        <f>HYPERLINK("https://android.googlesource.com/platform/cts/+/1c3ba04157725f0f9fd1189a271d0a0213f18ee5", "1c3ba04157725f0f9fd1189a271d0a0213f18ee5")</f>
        <v>0</v>
      </c>
      <c r="C33632">
        <f>HYPERLINK("https://android.googlesource.com/platform/cts/+/2a09ad488536629a2142ac575f9e38a488597fca", "2a09ad488536629a2142ac575f9e38a488597fca")</f>
        <v>0</v>
      </c>
      <c r="D33632" t="s">
        <v>5140</v>
      </c>
      <c r="E33632" t="s">
        <v>8432</v>
      </c>
      <c r="F33632" t="s">
        <v>13847</v>
      </c>
      <c r="G33632" t="s">
        <v>17890</v>
      </c>
      <c r="H33632" t="s">
        <v>32708</v>
      </c>
    </row>
    <row r="33633" spans="1:8">
      <c r="H33633" t="s">
        <v>32709</v>
      </c>
    </row>
    <row r="33634" spans="1:8">
      <c r="A33634" t="s">
        <v>2704</v>
      </c>
      <c r="B33634">
        <f>HYPERLINK("https://android.googlesource.com/platform/cts/+/52d8f384333269901d56802eaa16171005de286f", "52d8f384333269901d56802eaa16171005de286f")</f>
        <v>0</v>
      </c>
      <c r="C33634">
        <f>HYPERLINK("https://android.googlesource.com/platform/cts/+/69935fcea3d82c35d5e37f074729cfd54ae44298", "69935fcea3d82c35d5e37f074729cfd54ae44298")</f>
        <v>0</v>
      </c>
      <c r="D33634" t="s">
        <v>5441</v>
      </c>
      <c r="E33634" t="s">
        <v>8433</v>
      </c>
      <c r="F33634" t="s">
        <v>13984</v>
      </c>
      <c r="G33634" t="s">
        <v>18008</v>
      </c>
      <c r="H33634" t="s">
        <v>32710</v>
      </c>
    </row>
    <row r="33635" spans="1:8">
      <c r="H33635" t="s">
        <v>32711</v>
      </c>
    </row>
    <row r="33636" spans="1:8">
      <c r="H33636" t="s">
        <v>32712</v>
      </c>
    </row>
    <row r="33637" spans="1:8">
      <c r="H33637" t="s">
        <v>32713</v>
      </c>
    </row>
    <row r="33638" spans="1:8">
      <c r="H33638" t="s">
        <v>32714</v>
      </c>
    </row>
    <row r="33639" spans="1:8">
      <c r="H33639" t="s">
        <v>32715</v>
      </c>
    </row>
    <row r="33640" spans="1:8">
      <c r="H33640" t="s">
        <v>32716</v>
      </c>
    </row>
    <row r="33641" spans="1:8">
      <c r="H33641" t="s">
        <v>32717</v>
      </c>
    </row>
    <row r="33642" spans="1:8">
      <c r="H33642" t="s">
        <v>32718</v>
      </c>
    </row>
    <row r="33643" spans="1:8">
      <c r="H33643" t="s">
        <v>32719</v>
      </c>
    </row>
    <row r="33644" spans="1:8">
      <c r="H33644" t="s">
        <v>32720</v>
      </c>
    </row>
    <row r="33645" spans="1:8">
      <c r="H33645" t="s">
        <v>32721</v>
      </c>
    </row>
    <row r="33646" spans="1:8">
      <c r="H33646" t="s">
        <v>32722</v>
      </c>
    </row>
    <row r="33647" spans="1:8">
      <c r="H33647" t="s">
        <v>32723</v>
      </c>
    </row>
    <row r="33648" spans="1:8">
      <c r="H33648" t="s">
        <v>32724</v>
      </c>
    </row>
    <row r="33649" spans="1:8">
      <c r="H33649" t="s">
        <v>32725</v>
      </c>
    </row>
    <row r="33650" spans="1:8">
      <c r="H33650" t="s">
        <v>32726</v>
      </c>
    </row>
    <row r="33651" spans="1:8">
      <c r="H33651" t="s">
        <v>32727</v>
      </c>
    </row>
    <row r="33652" spans="1:8">
      <c r="H33652" t="s">
        <v>32728</v>
      </c>
    </row>
    <row r="33653" spans="1:8">
      <c r="H33653" t="s">
        <v>32729</v>
      </c>
    </row>
    <row r="33654" spans="1:8">
      <c r="H33654" t="s">
        <v>32730</v>
      </c>
    </row>
    <row r="33655" spans="1:8">
      <c r="H33655" t="s">
        <v>32731</v>
      </c>
    </row>
    <row r="33656" spans="1:8">
      <c r="A33656" t="s">
        <v>2705</v>
      </c>
      <c r="B33656">
        <f>HYPERLINK("https://android.googlesource.com/platform/cts/+/a7555c40487469f0d26b9bbe6c1f394e361de7eb", "a7555c40487469f0d26b9bbe6c1f394e361de7eb")</f>
        <v>0</v>
      </c>
      <c r="C33656">
        <f>HYPERLINK("https://android.googlesource.com/platform/cts/+/d3968871af475eceaa21c6393e076a65429e503a", "d3968871af475eceaa21c6393e076a65429e503a")</f>
        <v>0</v>
      </c>
      <c r="D33656" t="s">
        <v>5116</v>
      </c>
      <c r="E33656" t="s">
        <v>8434</v>
      </c>
      <c r="F33656" t="s">
        <v>13412</v>
      </c>
      <c r="G33656" t="s">
        <v>17538</v>
      </c>
      <c r="H33656" t="s">
        <v>32732</v>
      </c>
    </row>
    <row r="33657" spans="1:8">
      <c r="H33657" t="s">
        <v>32733</v>
      </c>
    </row>
    <row r="33658" spans="1:8">
      <c r="H33658" t="s">
        <v>32734</v>
      </c>
    </row>
    <row r="33659" spans="1:8">
      <c r="H33659" t="s">
        <v>32735</v>
      </c>
    </row>
    <row r="33660" spans="1:8">
      <c r="H33660" t="s">
        <v>32736</v>
      </c>
    </row>
    <row r="33661" spans="1:8">
      <c r="H33661" t="s">
        <v>32737</v>
      </c>
    </row>
    <row r="33662" spans="1:8">
      <c r="H33662" t="s">
        <v>32738</v>
      </c>
    </row>
    <row r="33663" spans="1:8">
      <c r="A33663" t="s">
        <v>2706</v>
      </c>
      <c r="B33663">
        <f>HYPERLINK("https://android.googlesource.com/platform/cts/+/bd3720d9e17e4fb98538064b360ae7a95a46c26b", "bd3720d9e17e4fb98538064b360ae7a95a46c26b")</f>
        <v>0</v>
      </c>
      <c r="C33663">
        <f>HYPERLINK("https://android.googlesource.com/platform/cts/+/69935fcea3d82c35d5e37f074729cfd54ae44298", "69935fcea3d82c35d5e37f074729cfd54ae44298")</f>
        <v>0</v>
      </c>
      <c r="D33663" t="s">
        <v>5441</v>
      </c>
      <c r="E33663" t="s">
        <v>8435</v>
      </c>
      <c r="F33663" t="s">
        <v>13755</v>
      </c>
      <c r="G33663" t="s">
        <v>17815</v>
      </c>
      <c r="H33663" t="s">
        <v>32739</v>
      </c>
    </row>
    <row r="33664" spans="1:8">
      <c r="A33664" t="s">
        <v>2707</v>
      </c>
      <c r="B33664">
        <f>HYPERLINK("https://android.googlesource.com/platform/cts/+/d4820eea2384fba751213251fa6d2d2cbe09a4d6", "d4820eea2384fba751213251fa6d2d2cbe09a4d6")</f>
        <v>0</v>
      </c>
      <c r="C33664">
        <f>HYPERLINK("https://android.googlesource.com/platform/cts/+/44515b8236e5e1b8aae7d8f8ad1c2941bb389216", "44515b8236e5e1b8aae7d8f8ad1c2941bb389216")</f>
        <v>0</v>
      </c>
      <c r="D33664" t="s">
        <v>5320</v>
      </c>
      <c r="E33664" t="s">
        <v>8436</v>
      </c>
      <c r="F33664" t="s">
        <v>13865</v>
      </c>
      <c r="G33664" t="s">
        <v>17905</v>
      </c>
      <c r="H33664" t="s">
        <v>32740</v>
      </c>
    </row>
    <row r="33665" spans="1:8">
      <c r="A33665" t="s">
        <v>2708</v>
      </c>
      <c r="B33665">
        <f>HYPERLINK("https://android.googlesource.com/platform/cts/+/b6510d35399fb5b439f84caaea4fa172e97e2d16", "b6510d35399fb5b439f84caaea4fa172e97e2d16")</f>
        <v>0</v>
      </c>
      <c r="C33665">
        <f>HYPERLINK("https://android.googlesource.com/platform/cts/+/c3466412c6a7b401270b870e0b30c13a0e61d00a", "c3466412c6a7b401270b870e0b30c13a0e61d00a")</f>
        <v>0</v>
      </c>
      <c r="D33665" t="s">
        <v>5442</v>
      </c>
      <c r="E33665" t="s">
        <v>8437</v>
      </c>
      <c r="F33665" t="s">
        <v>13227</v>
      </c>
      <c r="G33665" t="s">
        <v>17368</v>
      </c>
      <c r="H33665" t="s">
        <v>31023</v>
      </c>
    </row>
    <row r="33666" spans="1:8">
      <c r="A33666" t="s">
        <v>2710</v>
      </c>
      <c r="B33666">
        <f>HYPERLINK("https://android.googlesource.com/platform/cts/+/cdaa22d765ff7775ce38185432e8f901d3dd0eb4", "cdaa22d765ff7775ce38185432e8f901d3dd0eb4")</f>
        <v>0</v>
      </c>
      <c r="C33666">
        <f>HYPERLINK("https://android.googlesource.com/platform/cts/+/d22c16f1cc23b0878663a1669580caf9fc93a62d", "d22c16f1cc23b0878663a1669580caf9fc93a62d")</f>
        <v>0</v>
      </c>
      <c r="D33666" t="s">
        <v>4965</v>
      </c>
      <c r="E33666" t="s">
        <v>8439</v>
      </c>
      <c r="F33666" t="s">
        <v>10606</v>
      </c>
      <c r="G33666" t="s">
        <v>15009</v>
      </c>
      <c r="H33666" t="s">
        <v>32741</v>
      </c>
    </row>
    <row r="33667" spans="1:8">
      <c r="A33667" t="s">
        <v>2711</v>
      </c>
      <c r="B33667">
        <f>HYPERLINK("https://android.googlesource.com/platform/cts/+/551f6d232714e5904773edb2dea73332423e4601", "551f6d232714e5904773edb2dea73332423e4601")</f>
        <v>0</v>
      </c>
      <c r="C33667">
        <f>HYPERLINK("https://android.googlesource.com/platform/cts/+/84cf26c233021941a3d6d74eaf22c72020e32a20", "84cf26c233021941a3d6d74eaf22c72020e32a20")</f>
        <v>0</v>
      </c>
      <c r="D33667" t="s">
        <v>5383</v>
      </c>
      <c r="E33667" t="s">
        <v>8440</v>
      </c>
      <c r="F33667" t="s">
        <v>13924</v>
      </c>
      <c r="G33667" t="s">
        <v>17960</v>
      </c>
      <c r="H33667" t="s">
        <v>32742</v>
      </c>
    </row>
    <row r="33668" spans="1:8">
      <c r="H33668" t="s">
        <v>32743</v>
      </c>
    </row>
    <row r="33669" spans="1:8">
      <c r="H33669" t="s">
        <v>32744</v>
      </c>
    </row>
    <row r="33670" spans="1:8">
      <c r="H33670" t="s">
        <v>32745</v>
      </c>
    </row>
    <row r="33671" spans="1:8">
      <c r="H33671" t="s">
        <v>32746</v>
      </c>
    </row>
    <row r="33672" spans="1:8">
      <c r="H33672" t="s">
        <v>32747</v>
      </c>
    </row>
    <row r="33673" spans="1:8">
      <c r="H33673" t="s">
        <v>32748</v>
      </c>
    </row>
    <row r="33674" spans="1:8">
      <c r="H33674" t="s">
        <v>32749</v>
      </c>
    </row>
    <row r="33675" spans="1:8">
      <c r="A33675" t="s">
        <v>2712</v>
      </c>
      <c r="B33675">
        <f>HYPERLINK("https://android.googlesource.com/platform/cts/+/d92c062c01e3edd3661b831c51620ddbd33bf4ef", "d92c062c01e3edd3661b831c51620ddbd33bf4ef")</f>
        <v>0</v>
      </c>
      <c r="C33675">
        <f>HYPERLINK("https://android.googlesource.com/platform/cts/+/9e86e28d530a344af3dc69682e75c523eee40f83", "9e86e28d530a344af3dc69682e75c523eee40f83")</f>
        <v>0</v>
      </c>
      <c r="D33675" t="s">
        <v>5438</v>
      </c>
      <c r="E33675" t="s">
        <v>8441</v>
      </c>
      <c r="F33675" t="s">
        <v>13980</v>
      </c>
      <c r="G33675" t="s">
        <v>18005</v>
      </c>
      <c r="H33675" t="s">
        <v>18829</v>
      </c>
    </row>
    <row r="33676" spans="1:8">
      <c r="H33676" t="s">
        <v>32704</v>
      </c>
    </row>
    <row r="33677" spans="1:8">
      <c r="F33677" t="s">
        <v>13981</v>
      </c>
      <c r="G33677" t="s">
        <v>18006</v>
      </c>
      <c r="H33677" t="s">
        <v>32705</v>
      </c>
    </row>
    <row r="33678" spans="1:8">
      <c r="H33678" t="s">
        <v>18829</v>
      </c>
    </row>
    <row r="33679" spans="1:8">
      <c r="F33679" t="s">
        <v>13982</v>
      </c>
      <c r="G33679" t="s">
        <v>18007</v>
      </c>
      <c r="H33679" t="s">
        <v>18829</v>
      </c>
    </row>
    <row r="33680" spans="1:8">
      <c r="H33680" t="s">
        <v>32706</v>
      </c>
    </row>
    <row r="33681" spans="1:8">
      <c r="A33681" t="s">
        <v>2713</v>
      </c>
      <c r="B33681">
        <f>HYPERLINK("https://android.googlesource.com/platform/cts/+/39848643d7dd065b9c947f947e03d85f7e84d4b0", "39848643d7dd065b9c947f947e03d85f7e84d4b0")</f>
        <v>0</v>
      </c>
      <c r="C33681">
        <f>HYPERLINK("https://android.googlesource.com/platform/cts/+/cbb7f01781e835b2457373e3434c205fd2f18124", "cbb7f01781e835b2457373e3434c205fd2f18124")</f>
        <v>0</v>
      </c>
      <c r="D33681" t="s">
        <v>5407</v>
      </c>
      <c r="E33681" t="s">
        <v>8442</v>
      </c>
      <c r="F33681" t="s">
        <v>13985</v>
      </c>
      <c r="G33681" t="s">
        <v>15148</v>
      </c>
      <c r="H33681" t="s">
        <v>19034</v>
      </c>
    </row>
    <row r="33682" spans="1:8">
      <c r="F33682" t="s">
        <v>13253</v>
      </c>
      <c r="G33682" t="s">
        <v>16455</v>
      </c>
      <c r="H33682" t="s">
        <v>19034</v>
      </c>
    </row>
    <row r="33683" spans="1:8">
      <c r="F33683" t="s">
        <v>13986</v>
      </c>
      <c r="G33683" t="s">
        <v>16459</v>
      </c>
      <c r="H33683" t="s">
        <v>19034</v>
      </c>
    </row>
    <row r="33684" spans="1:8">
      <c r="F33684" t="s">
        <v>13987</v>
      </c>
      <c r="G33684" t="s">
        <v>16544</v>
      </c>
      <c r="H33684" t="s">
        <v>19034</v>
      </c>
    </row>
    <row r="33685" spans="1:8">
      <c r="F33685" t="s">
        <v>13988</v>
      </c>
      <c r="G33685" t="s">
        <v>16776</v>
      </c>
      <c r="H33685" t="s">
        <v>19034</v>
      </c>
    </row>
    <row r="33686" spans="1:8">
      <c r="F33686" t="s">
        <v>13989</v>
      </c>
      <c r="G33686" t="s">
        <v>16451</v>
      </c>
      <c r="H33686" t="s">
        <v>19034</v>
      </c>
    </row>
    <row r="33687" spans="1:8">
      <c r="A33687" t="s">
        <v>2714</v>
      </c>
      <c r="B33687">
        <f>HYPERLINK("https://android.googlesource.com/platform/cts/+/aef2ebc054ee3b5d7fdfa23cf12d3aa9e0f62d2e", "aef2ebc054ee3b5d7fdfa23cf12d3aa9e0f62d2e")</f>
        <v>0</v>
      </c>
      <c r="C33687">
        <f>HYPERLINK("https://android.googlesource.com/platform/cts/+/6c6fe7516032a04776b722fc1a2e66895d0fe582", "6c6fe7516032a04776b722fc1a2e66895d0fe582")</f>
        <v>0</v>
      </c>
      <c r="D33687" t="s">
        <v>5443</v>
      </c>
      <c r="E33687" t="s">
        <v>8443</v>
      </c>
      <c r="F33687" t="s">
        <v>13990</v>
      </c>
      <c r="G33687" t="s">
        <v>18009</v>
      </c>
      <c r="H33687" t="s">
        <v>31226</v>
      </c>
    </row>
    <row r="33688" spans="1:8">
      <c r="H33688" t="s">
        <v>32750</v>
      </c>
    </row>
    <row r="33689" spans="1:8">
      <c r="F33689" t="s">
        <v>13716</v>
      </c>
      <c r="G33689" t="s">
        <v>17783</v>
      </c>
      <c r="H33689" t="s">
        <v>31226</v>
      </c>
    </row>
    <row r="33690" spans="1:8">
      <c r="H33690" t="s">
        <v>31227</v>
      </c>
    </row>
    <row r="33691" spans="1:8">
      <c r="A33691" t="s">
        <v>2716</v>
      </c>
      <c r="B33691">
        <f>HYPERLINK("https://android.googlesource.com/platform/cts/+/f225711c83129ec3ee0626bd978fdadb2878ebef", "f225711c83129ec3ee0626bd978fdadb2878ebef")</f>
        <v>0</v>
      </c>
      <c r="C33691">
        <f>HYPERLINK("https://android.googlesource.com/platform/cts/+/7dcbf385591acd6ebdf4b66732227bd457ef4a7f", "7dcbf385591acd6ebdf4b66732227bd457ef4a7f")</f>
        <v>0</v>
      </c>
      <c r="D33691" t="s">
        <v>5344</v>
      </c>
      <c r="E33691" t="s">
        <v>8445</v>
      </c>
      <c r="F33691" t="s">
        <v>13991</v>
      </c>
      <c r="G33691" t="s">
        <v>18010</v>
      </c>
      <c r="H33691" t="s">
        <v>32751</v>
      </c>
    </row>
    <row r="33692" spans="1:8">
      <c r="A33692" t="s">
        <v>2717</v>
      </c>
      <c r="B33692">
        <f>HYPERLINK("https://android.googlesource.com/platform/cts/+/4367de4b7ab5b783388ae182ecaf17e92d23585a", "4367de4b7ab5b783388ae182ecaf17e92d23585a")</f>
        <v>0</v>
      </c>
      <c r="C33692">
        <f>HYPERLINK("https://android.googlesource.com/platform/cts/+/7dcbf385591acd6ebdf4b66732227bd457ef4a7f", "7dcbf385591acd6ebdf4b66732227bd457ef4a7f")</f>
        <v>0</v>
      </c>
      <c r="D33692" t="s">
        <v>5374</v>
      </c>
      <c r="E33692" t="s">
        <v>8446</v>
      </c>
      <c r="F33692" t="s">
        <v>13165</v>
      </c>
      <c r="G33692" t="s">
        <v>17315</v>
      </c>
      <c r="H33692" t="s">
        <v>32752</v>
      </c>
    </row>
    <row r="33693" spans="1:8">
      <c r="H33693" t="s">
        <v>32753</v>
      </c>
    </row>
    <row r="33694" spans="1:8">
      <c r="H33694" t="s">
        <v>32754</v>
      </c>
    </row>
    <row r="33695" spans="1:8">
      <c r="A33695" t="s">
        <v>2718</v>
      </c>
      <c r="B33695">
        <f>HYPERLINK("https://android.googlesource.com/platform/cts/+/671b32aae87a8a7e6250542111a4cb57280fb4da", "671b32aae87a8a7e6250542111a4cb57280fb4da")</f>
        <v>0</v>
      </c>
      <c r="C33695">
        <f>HYPERLINK("https://android.googlesource.com/platform/cts/+/e25f8e3565b5c35044a2eea265fedc8fc294b9e5", "e25f8e3565b5c35044a2eea265fedc8fc294b9e5")</f>
        <v>0</v>
      </c>
      <c r="D33695" t="s">
        <v>5389</v>
      </c>
      <c r="E33695" t="s">
        <v>8447</v>
      </c>
      <c r="F33695" t="s">
        <v>13992</v>
      </c>
      <c r="G33695" t="s">
        <v>16620</v>
      </c>
      <c r="H33695" t="s">
        <v>32755</v>
      </c>
    </row>
    <row r="33696" spans="1:8">
      <c r="A33696" t="s">
        <v>2719</v>
      </c>
      <c r="B33696">
        <f>HYPERLINK("https://android.googlesource.com/platform/cts/+/198e0238f2a91bd7ab5dfd6eb33095a7a37b517f", "198e0238f2a91bd7ab5dfd6eb33095a7a37b517f")</f>
        <v>0</v>
      </c>
      <c r="C33696">
        <f>HYPERLINK("https://android.googlesource.com/platform/cts/+/b7212be2b36d072b118ea5fefb35aea3d0ce9592", "b7212be2b36d072b118ea5fefb35aea3d0ce9592")</f>
        <v>0</v>
      </c>
      <c r="D33696" t="s">
        <v>5293</v>
      </c>
      <c r="E33696" t="s">
        <v>8448</v>
      </c>
      <c r="F33696" t="s">
        <v>13468</v>
      </c>
      <c r="G33696" t="s">
        <v>17587</v>
      </c>
      <c r="H33696" t="s">
        <v>19981</v>
      </c>
    </row>
    <row r="33697" spans="1:8">
      <c r="A33697" t="s">
        <v>2720</v>
      </c>
      <c r="B33697">
        <f>HYPERLINK("https://android.googlesource.com/platform/cts/+/932a4b6eaa0822b5017595c9e91c58603a20a4d5", "932a4b6eaa0822b5017595c9e91c58603a20a4d5")</f>
        <v>0</v>
      </c>
      <c r="C33697">
        <f>HYPERLINK("https://android.googlesource.com/platform/cts/+/77f7f5739c8a8f90fa8f6c241a2d2d9a28010b35", "77f7f5739c8a8f90fa8f6c241a2d2d9a28010b35")</f>
        <v>0</v>
      </c>
      <c r="D33697" t="s">
        <v>5167</v>
      </c>
      <c r="E33697" t="s">
        <v>8449</v>
      </c>
      <c r="F33697" t="s">
        <v>13978</v>
      </c>
      <c r="G33697" t="s">
        <v>18003</v>
      </c>
      <c r="H33697" t="s">
        <v>32675</v>
      </c>
    </row>
    <row r="33698" spans="1:8">
      <c r="H33698" t="s">
        <v>32676</v>
      </c>
    </row>
    <row r="33699" spans="1:8">
      <c r="H33699" t="s">
        <v>32678</v>
      </c>
    </row>
    <row r="33700" spans="1:8">
      <c r="H33700" t="s">
        <v>32679</v>
      </c>
    </row>
    <row r="33701" spans="1:8">
      <c r="H33701" t="s">
        <v>32680</v>
      </c>
    </row>
    <row r="33702" spans="1:8">
      <c r="H33702" t="s">
        <v>32681</v>
      </c>
    </row>
    <row r="33703" spans="1:8">
      <c r="H33703" t="s">
        <v>32682</v>
      </c>
    </row>
    <row r="33704" spans="1:8">
      <c r="H33704" t="s">
        <v>32683</v>
      </c>
    </row>
    <row r="33705" spans="1:8">
      <c r="H33705" t="s">
        <v>32684</v>
      </c>
    </row>
    <row r="33706" spans="1:8">
      <c r="H33706" t="s">
        <v>32685</v>
      </c>
    </row>
    <row r="33707" spans="1:8">
      <c r="H33707" t="s">
        <v>32686</v>
      </c>
    </row>
    <row r="33708" spans="1:8">
      <c r="H33708" t="s">
        <v>32687</v>
      </c>
    </row>
    <row r="33709" spans="1:8">
      <c r="H33709" t="s">
        <v>32688</v>
      </c>
    </row>
    <row r="33710" spans="1:8">
      <c r="H33710" t="s">
        <v>32689</v>
      </c>
    </row>
    <row r="33711" spans="1:8">
      <c r="H33711" t="s">
        <v>32690</v>
      </c>
    </row>
    <row r="33712" spans="1:8">
      <c r="H33712" t="s">
        <v>32691</v>
      </c>
    </row>
    <row r="33713" spans="1:8">
      <c r="H33713" t="s">
        <v>32692</v>
      </c>
    </row>
    <row r="33714" spans="1:8">
      <c r="H33714" t="s">
        <v>32693</v>
      </c>
    </row>
    <row r="33715" spans="1:8">
      <c r="H33715" t="s">
        <v>32694</v>
      </c>
    </row>
    <row r="33716" spans="1:8">
      <c r="H33716" t="s">
        <v>32756</v>
      </c>
    </row>
    <row r="33717" spans="1:8">
      <c r="H33717" t="s">
        <v>32757</v>
      </c>
    </row>
    <row r="33718" spans="1:8">
      <c r="H33718" t="s">
        <v>32758</v>
      </c>
    </row>
    <row r="33719" spans="1:8">
      <c r="A33719" t="s">
        <v>2721</v>
      </c>
      <c r="B33719">
        <f>HYPERLINK("https://android.googlesource.com/platform/cts/+/e41a5e82ae4f93f782ab85647fa7f5e83ee7bcf1", "e41a5e82ae4f93f782ab85647fa7f5e83ee7bcf1")</f>
        <v>0</v>
      </c>
      <c r="C33719">
        <f>HYPERLINK("https://android.googlesource.com/platform/cts/+/7155e75b2244286e8c0f34684155da95dddead73", "7155e75b2244286e8c0f34684155da95dddead73")</f>
        <v>0</v>
      </c>
      <c r="D33719" t="s">
        <v>5304</v>
      </c>
      <c r="E33719" t="s">
        <v>8450</v>
      </c>
      <c r="F33719" t="s">
        <v>13242</v>
      </c>
      <c r="G33719" t="s">
        <v>17382</v>
      </c>
      <c r="H33719" t="s">
        <v>28992</v>
      </c>
    </row>
    <row r="33720" spans="1:8">
      <c r="F33720" t="s">
        <v>13993</v>
      </c>
      <c r="G33720" t="s">
        <v>16600</v>
      </c>
      <c r="H33720" t="s">
        <v>32759</v>
      </c>
    </row>
    <row r="33721" spans="1:8">
      <c r="F33721" t="s">
        <v>13994</v>
      </c>
      <c r="G33721" t="s">
        <v>16863</v>
      </c>
      <c r="H33721" t="s">
        <v>32760</v>
      </c>
    </row>
    <row r="33722" spans="1:8">
      <c r="A33722" t="s">
        <v>2722</v>
      </c>
      <c r="B33722">
        <f>HYPERLINK("https://android.googlesource.com/platform/cts/+/79c77e0913aff043c1812fa913579511f78f336d", "79c77e0913aff043c1812fa913579511f78f336d")</f>
        <v>0</v>
      </c>
      <c r="C33722">
        <f>HYPERLINK("https://android.googlesource.com/platform/cts/+/8f55c89b62de7f2582ddf901b3e1060ff7d59d92", "8f55c89b62de7f2582ddf901b3e1060ff7d59d92")</f>
        <v>0</v>
      </c>
      <c r="D33722" t="s">
        <v>5444</v>
      </c>
      <c r="E33722" t="s">
        <v>8451</v>
      </c>
      <c r="F33722" t="s">
        <v>13912</v>
      </c>
      <c r="G33722" t="s">
        <v>17949</v>
      </c>
      <c r="H33722" t="s">
        <v>32761</v>
      </c>
    </row>
    <row r="33723" spans="1:8">
      <c r="A33723" t="s">
        <v>2723</v>
      </c>
      <c r="B33723">
        <f>HYPERLINK("https://android.googlesource.com/platform/cts/+/580eea86e7dcbe3b49395aaa538f8d0a3496d397", "580eea86e7dcbe3b49395aaa538f8d0a3496d397")</f>
        <v>0</v>
      </c>
      <c r="C33723">
        <f>HYPERLINK("https://android.googlesource.com/platform/cts/+/f10219d23247577000454d4eee7d229fc62a889d", "f10219d23247577000454d4eee7d229fc62a889d")</f>
        <v>0</v>
      </c>
      <c r="D33723" t="s">
        <v>5445</v>
      </c>
      <c r="E33723" t="s">
        <v>8452</v>
      </c>
      <c r="F33723" t="s">
        <v>12642</v>
      </c>
      <c r="G33723" t="s">
        <v>16850</v>
      </c>
      <c r="H33723" t="s">
        <v>32762</v>
      </c>
    </row>
    <row r="33724" spans="1:8">
      <c r="A33724" t="s">
        <v>2725</v>
      </c>
      <c r="B33724">
        <f>HYPERLINK("https://android.googlesource.com/platform/cts/+/2743b624a783a896a54be4753097a920251b37c5", "2743b624a783a896a54be4753097a920251b37c5")</f>
        <v>0</v>
      </c>
      <c r="C33724">
        <f>HYPERLINK("https://android.googlesource.com/platform/cts/+/bbaf1c3f0ab65235772a503dc8b64faaf7c3fe29", "bbaf1c3f0ab65235772a503dc8b64faaf7c3fe29")</f>
        <v>0</v>
      </c>
      <c r="D33724" t="s">
        <v>5363</v>
      </c>
      <c r="E33724" t="s">
        <v>8454</v>
      </c>
      <c r="F33724" t="s">
        <v>10605</v>
      </c>
      <c r="G33724" t="s">
        <v>15008</v>
      </c>
      <c r="H33724" t="s">
        <v>21377</v>
      </c>
    </row>
    <row r="33725" spans="1:8">
      <c r="H33725" t="s">
        <v>32763</v>
      </c>
    </row>
    <row r="33726" spans="1:8">
      <c r="H33726" t="s">
        <v>32764</v>
      </c>
    </row>
    <row r="33727" spans="1:8">
      <c r="H33727" t="s">
        <v>32765</v>
      </c>
    </row>
    <row r="33728" spans="1:8">
      <c r="H33728" t="s">
        <v>32766</v>
      </c>
    </row>
    <row r="33729" spans="8:8">
      <c r="H33729" t="s">
        <v>32767</v>
      </c>
    </row>
    <row r="33730" spans="8:8">
      <c r="H33730" t="s">
        <v>32768</v>
      </c>
    </row>
    <row r="33731" spans="8:8">
      <c r="H33731" t="s">
        <v>32769</v>
      </c>
    </row>
    <row r="33732" spans="8:8">
      <c r="H33732" t="s">
        <v>32770</v>
      </c>
    </row>
    <row r="33733" spans="8:8">
      <c r="H33733" t="s">
        <v>32771</v>
      </c>
    </row>
    <row r="33734" spans="8:8">
      <c r="H33734" t="s">
        <v>32772</v>
      </c>
    </row>
    <row r="33735" spans="8:8">
      <c r="H33735" t="s">
        <v>32773</v>
      </c>
    </row>
    <row r="33736" spans="8:8">
      <c r="H33736" t="s">
        <v>32774</v>
      </c>
    </row>
    <row r="33737" spans="8:8">
      <c r="H33737" t="s">
        <v>32775</v>
      </c>
    </row>
    <row r="33738" spans="8:8">
      <c r="H33738" t="s">
        <v>32776</v>
      </c>
    </row>
    <row r="33739" spans="8:8">
      <c r="H33739" t="s">
        <v>32777</v>
      </c>
    </row>
    <row r="33740" spans="8:8">
      <c r="H33740" t="s">
        <v>32778</v>
      </c>
    </row>
    <row r="33741" spans="8:8">
      <c r="H33741" t="s">
        <v>32779</v>
      </c>
    </row>
    <row r="33742" spans="8:8">
      <c r="H33742" t="s">
        <v>32780</v>
      </c>
    </row>
    <row r="33743" spans="8:8">
      <c r="H33743" t="s">
        <v>32781</v>
      </c>
    </row>
    <row r="33744" spans="8:8">
      <c r="H33744" t="s">
        <v>32782</v>
      </c>
    </row>
    <row r="33745" spans="8:8">
      <c r="H33745" t="s">
        <v>32783</v>
      </c>
    </row>
    <row r="33746" spans="8:8">
      <c r="H33746" t="s">
        <v>32784</v>
      </c>
    </row>
    <row r="33747" spans="8:8">
      <c r="H33747" t="s">
        <v>32785</v>
      </c>
    </row>
    <row r="33748" spans="8:8">
      <c r="H33748" t="s">
        <v>32786</v>
      </c>
    </row>
    <row r="33749" spans="8:8">
      <c r="H33749" t="s">
        <v>32787</v>
      </c>
    </row>
    <row r="33750" spans="8:8">
      <c r="H33750" t="s">
        <v>32788</v>
      </c>
    </row>
    <row r="33751" spans="8:8">
      <c r="H33751" t="s">
        <v>32788</v>
      </c>
    </row>
    <row r="33752" spans="8:8">
      <c r="H33752" t="s">
        <v>32789</v>
      </c>
    </row>
    <row r="33753" spans="8:8">
      <c r="H33753" t="s">
        <v>32790</v>
      </c>
    </row>
    <row r="33754" spans="8:8">
      <c r="H33754" t="s">
        <v>32791</v>
      </c>
    </row>
    <row r="33755" spans="8:8">
      <c r="H33755" t="s">
        <v>32792</v>
      </c>
    </row>
    <row r="33756" spans="8:8">
      <c r="H33756" t="s">
        <v>32793</v>
      </c>
    </row>
    <row r="33757" spans="8:8">
      <c r="H33757" t="s">
        <v>32793</v>
      </c>
    </row>
    <row r="33758" spans="8:8">
      <c r="H33758" t="s">
        <v>32793</v>
      </c>
    </row>
    <row r="33759" spans="8:8">
      <c r="H33759" t="s">
        <v>32794</v>
      </c>
    </row>
    <row r="33760" spans="8:8">
      <c r="H33760" t="s">
        <v>32795</v>
      </c>
    </row>
    <row r="33761" spans="8:8">
      <c r="H33761" t="s">
        <v>32796</v>
      </c>
    </row>
    <row r="33762" spans="8:8">
      <c r="H33762" t="s">
        <v>32797</v>
      </c>
    </row>
    <row r="33763" spans="8:8">
      <c r="H33763" t="s">
        <v>32798</v>
      </c>
    </row>
    <row r="33764" spans="8:8">
      <c r="H33764" t="s">
        <v>32799</v>
      </c>
    </row>
    <row r="33765" spans="8:8">
      <c r="H33765" t="s">
        <v>19019</v>
      </c>
    </row>
    <row r="33766" spans="8:8">
      <c r="H33766" t="s">
        <v>32800</v>
      </c>
    </row>
    <row r="33767" spans="8:8">
      <c r="H33767" t="s">
        <v>32801</v>
      </c>
    </row>
    <row r="33768" spans="8:8">
      <c r="H33768" t="s">
        <v>18893</v>
      </c>
    </row>
    <row r="33769" spans="8:8">
      <c r="H33769" t="s">
        <v>32802</v>
      </c>
    </row>
    <row r="33770" spans="8:8">
      <c r="H33770" t="s">
        <v>32803</v>
      </c>
    </row>
    <row r="33771" spans="8:8">
      <c r="H33771" t="s">
        <v>32804</v>
      </c>
    </row>
    <row r="33772" spans="8:8">
      <c r="H33772" t="s">
        <v>32805</v>
      </c>
    </row>
    <row r="33773" spans="8:8">
      <c r="H33773" t="s">
        <v>32806</v>
      </c>
    </row>
    <row r="33774" spans="8:8">
      <c r="H33774" t="s">
        <v>32807</v>
      </c>
    </row>
    <row r="33775" spans="8:8">
      <c r="H33775" t="s">
        <v>32808</v>
      </c>
    </row>
    <row r="33776" spans="8:8">
      <c r="H33776" t="s">
        <v>32809</v>
      </c>
    </row>
    <row r="33777" spans="1:8">
      <c r="H33777" t="s">
        <v>32810</v>
      </c>
    </row>
    <row r="33778" spans="1:8">
      <c r="H33778" t="s">
        <v>32811</v>
      </c>
    </row>
    <row r="33779" spans="1:8">
      <c r="H33779" t="s">
        <v>32812</v>
      </c>
    </row>
    <row r="33780" spans="1:8">
      <c r="H33780" t="s">
        <v>19909</v>
      </c>
    </row>
    <row r="33781" spans="1:8">
      <c r="H33781" t="s">
        <v>20326</v>
      </c>
    </row>
    <row r="33782" spans="1:8">
      <c r="H33782" t="s">
        <v>32813</v>
      </c>
    </row>
    <row r="33783" spans="1:8">
      <c r="H33783" t="s">
        <v>31735</v>
      </c>
    </row>
    <row r="33784" spans="1:8">
      <c r="H33784" t="s">
        <v>18893</v>
      </c>
    </row>
    <row r="33785" spans="1:8">
      <c r="H33785" t="s">
        <v>32814</v>
      </c>
    </row>
    <row r="33786" spans="1:8">
      <c r="H33786" t="s">
        <v>32815</v>
      </c>
    </row>
    <row r="33787" spans="1:8">
      <c r="A33787" t="s">
        <v>2726</v>
      </c>
      <c r="B33787">
        <f>HYPERLINK("https://android.googlesource.com/platform/cts/+/b59450ee69b8d6225c8b62947502e4da14f9faab", "b59450ee69b8d6225c8b62947502e4da14f9faab")</f>
        <v>0</v>
      </c>
      <c r="C33787">
        <f>HYPERLINK("https://android.googlesource.com/platform/cts/+/ecfef337c47b6c99540c74ccfe6afd7b9ad4d2a3", "ecfef337c47b6c99540c74ccfe6afd7b9ad4d2a3")</f>
        <v>0</v>
      </c>
      <c r="D33787" t="s">
        <v>5247</v>
      </c>
      <c r="E33787" t="s">
        <v>8455</v>
      </c>
      <c r="F33787" t="s">
        <v>13892</v>
      </c>
      <c r="G33787" t="s">
        <v>17929</v>
      </c>
      <c r="H33787" t="s">
        <v>18829</v>
      </c>
    </row>
    <row r="33788" spans="1:8">
      <c r="A33788" t="s">
        <v>2727</v>
      </c>
      <c r="B33788">
        <f>HYPERLINK("https://android.googlesource.com/platform/cts/+/3271f68bcf02830dc98cbc20832aae9bc332bc4a", "3271f68bcf02830dc98cbc20832aae9bc332bc4a")</f>
        <v>0</v>
      </c>
      <c r="C33788">
        <f>HYPERLINK("https://android.googlesource.com/platform/cts/+/812517bd43d3699ef9f31af1a3ba73c6a8c48f6a", "812517bd43d3699ef9f31af1a3ba73c6a8c48f6a")</f>
        <v>0</v>
      </c>
      <c r="D33788" t="s">
        <v>5182</v>
      </c>
      <c r="E33788" t="s">
        <v>8456</v>
      </c>
      <c r="F33788" t="s">
        <v>12820</v>
      </c>
      <c r="G33788" t="s">
        <v>16999</v>
      </c>
      <c r="H33788" t="s">
        <v>32816</v>
      </c>
    </row>
    <row r="33789" spans="1:8">
      <c r="A33789" t="s">
        <v>2728</v>
      </c>
      <c r="B33789">
        <f>HYPERLINK("https://android.googlesource.com/platform/cts/+/2e39dd1f774e1e75ffb3c6e60f5f533462eb2a01", "2e39dd1f774e1e75ffb3c6e60f5f533462eb2a01")</f>
        <v>0</v>
      </c>
      <c r="C33789">
        <f>HYPERLINK("https://android.googlesource.com/platform/cts/+/bbaf1c3f0ab65235772a503dc8b64faaf7c3fe29", "bbaf1c3f0ab65235772a503dc8b64faaf7c3fe29")</f>
        <v>0</v>
      </c>
      <c r="D33789" t="s">
        <v>5363</v>
      </c>
      <c r="E33789" t="s">
        <v>8457</v>
      </c>
      <c r="F33789" t="s">
        <v>12171</v>
      </c>
      <c r="G33789" t="s">
        <v>15008</v>
      </c>
      <c r="H33789" t="s">
        <v>18829</v>
      </c>
    </row>
    <row r="33790" spans="1:8">
      <c r="H33790" t="s">
        <v>18863</v>
      </c>
    </row>
    <row r="33791" spans="1:8">
      <c r="H33791" t="s">
        <v>32817</v>
      </c>
    </row>
    <row r="33792" spans="1:8">
      <c r="H33792" t="s">
        <v>32818</v>
      </c>
    </row>
    <row r="33793" spans="8:8">
      <c r="H33793" t="s">
        <v>32819</v>
      </c>
    </row>
    <row r="33794" spans="8:8">
      <c r="H33794" t="s">
        <v>21992</v>
      </c>
    </row>
    <row r="33795" spans="8:8">
      <c r="H33795" t="s">
        <v>32820</v>
      </c>
    </row>
    <row r="33796" spans="8:8">
      <c r="H33796" t="s">
        <v>32821</v>
      </c>
    </row>
    <row r="33797" spans="8:8">
      <c r="H33797" t="s">
        <v>32822</v>
      </c>
    </row>
    <row r="33798" spans="8:8">
      <c r="H33798" t="s">
        <v>32823</v>
      </c>
    </row>
    <row r="33799" spans="8:8">
      <c r="H33799" t="s">
        <v>32824</v>
      </c>
    </row>
    <row r="33800" spans="8:8">
      <c r="H33800" t="s">
        <v>32825</v>
      </c>
    </row>
    <row r="33801" spans="8:8">
      <c r="H33801" t="s">
        <v>32826</v>
      </c>
    </row>
    <row r="33802" spans="8:8">
      <c r="H33802" t="s">
        <v>32827</v>
      </c>
    </row>
    <row r="33803" spans="8:8">
      <c r="H33803" t="s">
        <v>32828</v>
      </c>
    </row>
    <row r="33804" spans="8:8">
      <c r="H33804" t="s">
        <v>32829</v>
      </c>
    </row>
    <row r="33805" spans="8:8">
      <c r="H33805" t="s">
        <v>21377</v>
      </c>
    </row>
    <row r="33806" spans="8:8">
      <c r="H33806" t="s">
        <v>32830</v>
      </c>
    </row>
    <row r="33807" spans="8:8">
      <c r="H33807" t="s">
        <v>32765</v>
      </c>
    </row>
    <row r="33808" spans="8:8">
      <c r="H33808" t="s">
        <v>31476</v>
      </c>
    </row>
    <row r="33809" spans="8:8">
      <c r="H33809" t="s">
        <v>32789</v>
      </c>
    </row>
    <row r="33810" spans="8:8">
      <c r="H33810" t="s">
        <v>32791</v>
      </c>
    </row>
    <row r="33811" spans="8:8">
      <c r="H33811" t="s">
        <v>32793</v>
      </c>
    </row>
    <row r="33812" spans="8:8">
      <c r="H33812" t="s">
        <v>25961</v>
      </c>
    </row>
    <row r="33813" spans="8:8">
      <c r="H33813" t="s">
        <v>32798</v>
      </c>
    </row>
    <row r="33814" spans="8:8">
      <c r="H33814" t="s">
        <v>32799</v>
      </c>
    </row>
    <row r="33815" spans="8:8">
      <c r="H33815" t="s">
        <v>19019</v>
      </c>
    </row>
    <row r="33816" spans="8:8">
      <c r="H33816" t="s">
        <v>32800</v>
      </c>
    </row>
    <row r="33817" spans="8:8">
      <c r="H33817" t="s">
        <v>32801</v>
      </c>
    </row>
    <row r="33818" spans="8:8">
      <c r="H33818" t="s">
        <v>18893</v>
      </c>
    </row>
    <row r="33819" spans="8:8">
      <c r="H33819" t="s">
        <v>32802</v>
      </c>
    </row>
    <row r="33820" spans="8:8">
      <c r="H33820" t="s">
        <v>32803</v>
      </c>
    </row>
    <row r="33821" spans="8:8">
      <c r="H33821" t="s">
        <v>32804</v>
      </c>
    </row>
    <row r="33822" spans="8:8">
      <c r="H33822" t="s">
        <v>32805</v>
      </c>
    </row>
    <row r="33823" spans="8:8">
      <c r="H33823" t="s">
        <v>32806</v>
      </c>
    </row>
    <row r="33824" spans="8:8">
      <c r="H33824" t="s">
        <v>32807</v>
      </c>
    </row>
    <row r="33825" spans="1:8">
      <c r="H33825" t="s">
        <v>32808</v>
      </c>
    </row>
    <row r="33826" spans="1:8">
      <c r="H33826" t="s">
        <v>32809</v>
      </c>
    </row>
    <row r="33827" spans="1:8">
      <c r="H33827" t="s">
        <v>32810</v>
      </c>
    </row>
    <row r="33828" spans="1:8">
      <c r="H33828" t="s">
        <v>32811</v>
      </c>
    </row>
    <row r="33829" spans="1:8">
      <c r="H33829" t="s">
        <v>32812</v>
      </c>
    </row>
    <row r="33830" spans="1:8">
      <c r="H33830" t="s">
        <v>19909</v>
      </c>
    </row>
    <row r="33831" spans="1:8">
      <c r="H33831" t="s">
        <v>20326</v>
      </c>
    </row>
    <row r="33832" spans="1:8">
      <c r="A33832" t="s">
        <v>2729</v>
      </c>
      <c r="B33832">
        <f>HYPERLINK("https://android.googlesource.com/platform/cts/+/73afb9ab3dcfd20564e1d447e78e8fd8ebcb46a6", "73afb9ab3dcfd20564e1d447e78e8fd8ebcb46a6")</f>
        <v>0</v>
      </c>
      <c r="C33832">
        <f>HYPERLINK("https://android.googlesource.com/platform/cts/+/c167922860f4403524699fe65a0f3b585158d844", "c167922860f4403524699fe65a0f3b585158d844")</f>
        <v>0</v>
      </c>
      <c r="D33832" t="s">
        <v>5341</v>
      </c>
      <c r="E33832" t="s">
        <v>8458</v>
      </c>
      <c r="F33832" t="s">
        <v>13812</v>
      </c>
      <c r="G33832" t="s">
        <v>17859</v>
      </c>
      <c r="H33832" t="s">
        <v>32831</v>
      </c>
    </row>
    <row r="33833" spans="1:8">
      <c r="A33833" t="s">
        <v>2730</v>
      </c>
      <c r="B33833">
        <f>HYPERLINK("https://android.googlesource.com/platform/cts/+/36bc5587198ffdd12152b73e7e9a753d64f22c7b", "36bc5587198ffdd12152b73e7e9a753d64f22c7b")</f>
        <v>0</v>
      </c>
      <c r="C33833">
        <f>HYPERLINK("https://android.googlesource.com/platform/cts/+/edefd4b9faffc7f9aa7b9abdf6dcf942ba8d9ccc", "edefd4b9faffc7f9aa7b9abdf6dcf942ba8d9ccc")</f>
        <v>0</v>
      </c>
      <c r="D33833" t="s">
        <v>5293</v>
      </c>
      <c r="E33833" t="s">
        <v>8459</v>
      </c>
      <c r="F33833" t="s">
        <v>13123</v>
      </c>
      <c r="G33833" t="s">
        <v>17285</v>
      </c>
      <c r="H33833" t="s">
        <v>22237</v>
      </c>
    </row>
    <row r="33834" spans="1:8">
      <c r="H33834" t="s">
        <v>32832</v>
      </c>
    </row>
    <row r="33835" spans="1:8">
      <c r="A33835" t="s">
        <v>2731</v>
      </c>
      <c r="B33835">
        <f>HYPERLINK("https://android.googlesource.com/platform/cts/+/30a5662508fca0d8dbce59719483853dc503f2de", "30a5662508fca0d8dbce59719483853dc503f2de")</f>
        <v>0</v>
      </c>
      <c r="C33835">
        <f>HYPERLINK("https://android.googlesource.com/platform/cts/+/c76f6af0f8fbba617bffb9a653c815fe09e6c072", "c76f6af0f8fbba617bffb9a653c815fe09e6c072")</f>
        <v>0</v>
      </c>
      <c r="D33835" t="s">
        <v>5231</v>
      </c>
      <c r="E33835" t="s">
        <v>8460</v>
      </c>
      <c r="F33835" t="s">
        <v>13995</v>
      </c>
      <c r="G33835" t="s">
        <v>18011</v>
      </c>
      <c r="H33835" t="s">
        <v>32833</v>
      </c>
    </row>
    <row r="33836" spans="1:8">
      <c r="H33836" t="s">
        <v>32834</v>
      </c>
    </row>
    <row r="33837" spans="1:8">
      <c r="F33837" t="s">
        <v>13996</v>
      </c>
      <c r="G33837" t="s">
        <v>16863</v>
      </c>
      <c r="H33837" t="s">
        <v>32835</v>
      </c>
    </row>
    <row r="33838" spans="1:8">
      <c r="H33838" t="s">
        <v>32836</v>
      </c>
    </row>
    <row r="33839" spans="1:8">
      <c r="A33839" t="s">
        <v>2732</v>
      </c>
      <c r="B33839">
        <f>HYPERLINK("https://android.googlesource.com/platform/cts/+/9985c02c581520059fd7de70030411b5c2be9325", "9985c02c581520059fd7de70030411b5c2be9325")</f>
        <v>0</v>
      </c>
      <c r="C33839">
        <f>HYPERLINK("https://android.googlesource.com/platform/cts/+/d100e043d90f1cf8f4f15a0df4e6e45ba1022aaf", "d100e043d90f1cf8f4f15a0df4e6e45ba1022aaf")</f>
        <v>0</v>
      </c>
      <c r="D33839" t="s">
        <v>5446</v>
      </c>
      <c r="E33839" t="s">
        <v>8461</v>
      </c>
      <c r="F33839" t="s">
        <v>13997</v>
      </c>
      <c r="G33839" t="s">
        <v>16947</v>
      </c>
      <c r="H33839" t="s">
        <v>18829</v>
      </c>
    </row>
    <row r="33840" spans="1:8">
      <c r="H33840" t="s">
        <v>18863</v>
      </c>
    </row>
    <row r="33841" spans="1:8">
      <c r="H33841" t="s">
        <v>32837</v>
      </c>
    </row>
    <row r="33842" spans="1:8">
      <c r="H33842" t="s">
        <v>32838</v>
      </c>
    </row>
    <row r="33843" spans="1:8">
      <c r="H33843" t="s">
        <v>31775</v>
      </c>
    </row>
    <row r="33844" spans="1:8">
      <c r="H33844" t="s">
        <v>32839</v>
      </c>
    </row>
    <row r="33845" spans="1:8">
      <c r="A33845" t="s">
        <v>2733</v>
      </c>
      <c r="B33845">
        <f>HYPERLINK("https://android.googlesource.com/platform/cts/+/19f9b20e25a762e6cc6e4def3d53dba976bfada9", "19f9b20e25a762e6cc6e4def3d53dba976bfada9")</f>
        <v>0</v>
      </c>
      <c r="C33845">
        <f>HYPERLINK("https://android.googlesource.com/platform/cts/+/46e2b45a3082918d8cafe22fd0e69c7cd21cb713", "46e2b45a3082918d8cafe22fd0e69c7cd21cb713")</f>
        <v>0</v>
      </c>
      <c r="D33845" t="s">
        <v>5410</v>
      </c>
      <c r="E33845" t="s">
        <v>8462</v>
      </c>
      <c r="F33845" t="s">
        <v>13896</v>
      </c>
      <c r="G33845" t="s">
        <v>17933</v>
      </c>
      <c r="H33845" t="s">
        <v>18829</v>
      </c>
    </row>
    <row r="33846" spans="1:8">
      <c r="H33846" t="s">
        <v>18863</v>
      </c>
    </row>
    <row r="33847" spans="1:8">
      <c r="H33847" t="s">
        <v>31995</v>
      </c>
    </row>
    <row r="33848" spans="1:8">
      <c r="H33848" t="s">
        <v>31996</v>
      </c>
    </row>
    <row r="33849" spans="1:8">
      <c r="H33849" t="s">
        <v>31997</v>
      </c>
    </row>
    <row r="33850" spans="1:8">
      <c r="H33850" t="s">
        <v>31998</v>
      </c>
    </row>
    <row r="33851" spans="1:8">
      <c r="H33851" t="s">
        <v>31999</v>
      </c>
    </row>
    <row r="33852" spans="1:8">
      <c r="H33852" t="s">
        <v>32000</v>
      </c>
    </row>
    <row r="33853" spans="1:8">
      <c r="H33853" t="s">
        <v>32001</v>
      </c>
    </row>
    <row r="33854" spans="1:8">
      <c r="H33854" t="s">
        <v>32002</v>
      </c>
    </row>
    <row r="33855" spans="1:8">
      <c r="H33855" t="s">
        <v>32006</v>
      </c>
    </row>
    <row r="33856" spans="1:8">
      <c r="H33856" t="s">
        <v>32007</v>
      </c>
    </row>
    <row r="33857" spans="6:8">
      <c r="F33857" t="s">
        <v>13739</v>
      </c>
      <c r="G33857" t="s">
        <v>17799</v>
      </c>
      <c r="H33857" t="s">
        <v>18829</v>
      </c>
    </row>
    <row r="33858" spans="6:8">
      <c r="H33858" t="s">
        <v>18863</v>
      </c>
    </row>
    <row r="33859" spans="6:8">
      <c r="H33859" t="s">
        <v>32008</v>
      </c>
    </row>
    <row r="33860" spans="6:8">
      <c r="H33860" t="s">
        <v>32009</v>
      </c>
    </row>
    <row r="33861" spans="6:8">
      <c r="H33861" t="s">
        <v>32010</v>
      </c>
    </row>
    <row r="33862" spans="6:8">
      <c r="H33862" t="s">
        <v>32011</v>
      </c>
    </row>
    <row r="33863" spans="6:8">
      <c r="H33863" t="s">
        <v>32012</v>
      </c>
    </row>
    <row r="33864" spans="6:8">
      <c r="H33864" t="s">
        <v>32013</v>
      </c>
    </row>
    <row r="33865" spans="6:8">
      <c r="H33865" t="s">
        <v>32014</v>
      </c>
    </row>
    <row r="33866" spans="6:8">
      <c r="H33866" t="s">
        <v>32015</v>
      </c>
    </row>
    <row r="33867" spans="6:8">
      <c r="H33867" t="s">
        <v>18893</v>
      </c>
    </row>
    <row r="33868" spans="6:8">
      <c r="H33868" t="s">
        <v>32016</v>
      </c>
    </row>
    <row r="33869" spans="6:8">
      <c r="H33869" t="s">
        <v>32017</v>
      </c>
    </row>
    <row r="33870" spans="6:8">
      <c r="H33870" t="s">
        <v>32018</v>
      </c>
    </row>
    <row r="33871" spans="6:8">
      <c r="H33871" t="s">
        <v>31300</v>
      </c>
    </row>
    <row r="33872" spans="6:8">
      <c r="H33872" t="s">
        <v>32020</v>
      </c>
    </row>
    <row r="33873" spans="8:8">
      <c r="H33873" t="s">
        <v>32021</v>
      </c>
    </row>
    <row r="33874" spans="8:8">
      <c r="H33874" t="s">
        <v>32022</v>
      </c>
    </row>
    <row r="33875" spans="8:8">
      <c r="H33875" t="s">
        <v>32023</v>
      </c>
    </row>
    <row r="33876" spans="8:8">
      <c r="H33876" t="s">
        <v>32024</v>
      </c>
    </row>
    <row r="33877" spans="8:8">
      <c r="H33877" t="s">
        <v>32025</v>
      </c>
    </row>
    <row r="33878" spans="8:8">
      <c r="H33878" t="s">
        <v>32026</v>
      </c>
    </row>
    <row r="33879" spans="8:8">
      <c r="H33879" t="s">
        <v>32027</v>
      </c>
    </row>
    <row r="33880" spans="8:8">
      <c r="H33880" t="s">
        <v>32028</v>
      </c>
    </row>
    <row r="33881" spans="8:8">
      <c r="H33881" t="s">
        <v>32029</v>
      </c>
    </row>
    <row r="33882" spans="8:8">
      <c r="H33882" t="s">
        <v>32030</v>
      </c>
    </row>
    <row r="33883" spans="8:8">
      <c r="H33883" t="s">
        <v>32031</v>
      </c>
    </row>
    <row r="33884" spans="8:8">
      <c r="H33884" t="s">
        <v>32034</v>
      </c>
    </row>
    <row r="33885" spans="8:8">
      <c r="H33885" t="s">
        <v>32035</v>
      </c>
    </row>
    <row r="33886" spans="8:8">
      <c r="H33886" t="s">
        <v>32036</v>
      </c>
    </row>
    <row r="33887" spans="8:8">
      <c r="H33887" t="s">
        <v>32037</v>
      </c>
    </row>
    <row r="33888" spans="8:8">
      <c r="H33888" t="s">
        <v>32038</v>
      </c>
    </row>
    <row r="33889" spans="8:8">
      <c r="H33889" t="s">
        <v>32039</v>
      </c>
    </row>
    <row r="33890" spans="8:8">
      <c r="H33890" t="s">
        <v>32040</v>
      </c>
    </row>
    <row r="33891" spans="8:8">
      <c r="H33891" t="s">
        <v>32041</v>
      </c>
    </row>
    <row r="33892" spans="8:8">
      <c r="H33892" t="s">
        <v>32042</v>
      </c>
    </row>
    <row r="33893" spans="8:8">
      <c r="H33893" t="s">
        <v>32043</v>
      </c>
    </row>
    <row r="33894" spans="8:8">
      <c r="H33894" t="s">
        <v>32044</v>
      </c>
    </row>
    <row r="33895" spans="8:8">
      <c r="H33895" t="s">
        <v>32045</v>
      </c>
    </row>
    <row r="33896" spans="8:8">
      <c r="H33896" t="s">
        <v>32046</v>
      </c>
    </row>
    <row r="33897" spans="8:8">
      <c r="H33897" t="s">
        <v>32047</v>
      </c>
    </row>
    <row r="33898" spans="8:8">
      <c r="H33898" t="s">
        <v>32048</v>
      </c>
    </row>
    <row r="33899" spans="8:8">
      <c r="H33899" t="s">
        <v>32049</v>
      </c>
    </row>
    <row r="33900" spans="8:8">
      <c r="H33900" t="s">
        <v>32050</v>
      </c>
    </row>
    <row r="33901" spans="8:8">
      <c r="H33901" t="s">
        <v>32051</v>
      </c>
    </row>
    <row r="33902" spans="8:8">
      <c r="H33902" t="s">
        <v>32052</v>
      </c>
    </row>
    <row r="33903" spans="8:8">
      <c r="H33903" t="s">
        <v>32053</v>
      </c>
    </row>
    <row r="33904" spans="8:8">
      <c r="H33904" t="s">
        <v>32054</v>
      </c>
    </row>
    <row r="33905" spans="8:8">
      <c r="H33905" t="s">
        <v>32055</v>
      </c>
    </row>
    <row r="33906" spans="8:8">
      <c r="H33906" t="s">
        <v>32056</v>
      </c>
    </row>
    <row r="33907" spans="8:8">
      <c r="H33907" t="s">
        <v>32057</v>
      </c>
    </row>
    <row r="33908" spans="8:8">
      <c r="H33908" t="s">
        <v>32058</v>
      </c>
    </row>
    <row r="33909" spans="8:8">
      <c r="H33909" t="s">
        <v>32059</v>
      </c>
    </row>
    <row r="33910" spans="8:8">
      <c r="H33910" t="s">
        <v>32060</v>
      </c>
    </row>
    <row r="33911" spans="8:8">
      <c r="H33911" t="s">
        <v>32061</v>
      </c>
    </row>
    <row r="33912" spans="8:8">
      <c r="H33912" t="s">
        <v>32062</v>
      </c>
    </row>
    <row r="33913" spans="8:8">
      <c r="H33913" t="s">
        <v>32063</v>
      </c>
    </row>
    <row r="33914" spans="8:8">
      <c r="H33914" t="s">
        <v>32064</v>
      </c>
    </row>
    <row r="33915" spans="8:8">
      <c r="H33915" t="s">
        <v>32065</v>
      </c>
    </row>
    <row r="33916" spans="8:8">
      <c r="H33916" t="s">
        <v>32066</v>
      </c>
    </row>
    <row r="33917" spans="8:8">
      <c r="H33917" t="s">
        <v>32067</v>
      </c>
    </row>
    <row r="33918" spans="8:8">
      <c r="H33918" t="s">
        <v>32068</v>
      </c>
    </row>
    <row r="33919" spans="8:8">
      <c r="H33919" t="s">
        <v>32069</v>
      </c>
    </row>
    <row r="33920" spans="8:8">
      <c r="H33920" t="s">
        <v>32070</v>
      </c>
    </row>
    <row r="33921" spans="8:8">
      <c r="H33921" t="s">
        <v>32071</v>
      </c>
    </row>
    <row r="33922" spans="8:8">
      <c r="H33922" t="s">
        <v>32073</v>
      </c>
    </row>
    <row r="33923" spans="8:8">
      <c r="H33923" t="s">
        <v>32074</v>
      </c>
    </row>
    <row r="33924" spans="8:8">
      <c r="H33924" t="s">
        <v>32075</v>
      </c>
    </row>
    <row r="33925" spans="8:8">
      <c r="H33925" t="s">
        <v>32076</v>
      </c>
    </row>
    <row r="33926" spans="8:8">
      <c r="H33926" t="s">
        <v>32077</v>
      </c>
    </row>
    <row r="33927" spans="8:8">
      <c r="H33927" t="s">
        <v>32078</v>
      </c>
    </row>
    <row r="33928" spans="8:8">
      <c r="H33928" t="s">
        <v>32078</v>
      </c>
    </row>
    <row r="33929" spans="8:8">
      <c r="H33929" t="s">
        <v>32079</v>
      </c>
    </row>
    <row r="33930" spans="8:8">
      <c r="H33930" t="s">
        <v>32079</v>
      </c>
    </row>
    <row r="33931" spans="8:8">
      <c r="H33931" t="s">
        <v>26401</v>
      </c>
    </row>
    <row r="33932" spans="8:8">
      <c r="H33932" t="s">
        <v>32080</v>
      </c>
    </row>
    <row r="33933" spans="8:8">
      <c r="H33933" t="s">
        <v>32081</v>
      </c>
    </row>
    <row r="33934" spans="8:8">
      <c r="H33934" t="s">
        <v>32082</v>
      </c>
    </row>
    <row r="33935" spans="8:8">
      <c r="H33935" t="s">
        <v>25729</v>
      </c>
    </row>
    <row r="33936" spans="8:8">
      <c r="H33936" t="s">
        <v>31396</v>
      </c>
    </row>
    <row r="33937" spans="6:8">
      <c r="H33937" t="s">
        <v>31397</v>
      </c>
    </row>
    <row r="33938" spans="6:8">
      <c r="H33938" t="s">
        <v>31398</v>
      </c>
    </row>
    <row r="33939" spans="6:8">
      <c r="H33939" t="s">
        <v>31399</v>
      </c>
    </row>
    <row r="33940" spans="6:8">
      <c r="H33940" t="s">
        <v>31400</v>
      </c>
    </row>
    <row r="33941" spans="6:8">
      <c r="F33941" t="s">
        <v>13732</v>
      </c>
      <c r="G33941" t="s">
        <v>17793</v>
      </c>
      <c r="H33941" t="s">
        <v>18829</v>
      </c>
    </row>
    <row r="33942" spans="6:8">
      <c r="H33942" t="s">
        <v>20304</v>
      </c>
    </row>
    <row r="33943" spans="6:8">
      <c r="H33943" t="s">
        <v>20305</v>
      </c>
    </row>
    <row r="33944" spans="6:8">
      <c r="H33944" t="s">
        <v>20306</v>
      </c>
    </row>
    <row r="33945" spans="6:8">
      <c r="H33945" t="s">
        <v>20307</v>
      </c>
    </row>
    <row r="33946" spans="6:8">
      <c r="H33946" t="s">
        <v>20308</v>
      </c>
    </row>
    <row r="33947" spans="6:8">
      <c r="H33947" t="s">
        <v>20309</v>
      </c>
    </row>
    <row r="33948" spans="6:8">
      <c r="H33948" t="s">
        <v>20310</v>
      </c>
    </row>
    <row r="33949" spans="6:8">
      <c r="H33949" t="s">
        <v>32100</v>
      </c>
    </row>
    <row r="33950" spans="6:8">
      <c r="H33950" t="s">
        <v>32101</v>
      </c>
    </row>
    <row r="33951" spans="6:8">
      <c r="H33951" t="s">
        <v>32102</v>
      </c>
    </row>
    <row r="33952" spans="6:8">
      <c r="H33952" t="s">
        <v>19646</v>
      </c>
    </row>
    <row r="33953" spans="8:8">
      <c r="H33953" t="s">
        <v>19647</v>
      </c>
    </row>
    <row r="33954" spans="8:8">
      <c r="H33954" t="s">
        <v>19648</v>
      </c>
    </row>
    <row r="33955" spans="8:8">
      <c r="H33955" t="s">
        <v>19649</v>
      </c>
    </row>
    <row r="33956" spans="8:8">
      <c r="H33956" t="s">
        <v>19650</v>
      </c>
    </row>
    <row r="33957" spans="8:8">
      <c r="H33957" t="s">
        <v>19651</v>
      </c>
    </row>
    <row r="33958" spans="8:8">
      <c r="H33958" t="s">
        <v>19652</v>
      </c>
    </row>
    <row r="33959" spans="8:8">
      <c r="H33959" t="s">
        <v>32103</v>
      </c>
    </row>
    <row r="33960" spans="8:8">
      <c r="H33960" t="s">
        <v>20311</v>
      </c>
    </row>
    <row r="33961" spans="8:8">
      <c r="H33961" t="s">
        <v>32104</v>
      </c>
    </row>
    <row r="33962" spans="8:8">
      <c r="H33962" t="s">
        <v>31290</v>
      </c>
    </row>
    <row r="33963" spans="8:8">
      <c r="H33963" t="s">
        <v>32105</v>
      </c>
    </row>
    <row r="33964" spans="8:8">
      <c r="H33964" t="s">
        <v>32106</v>
      </c>
    </row>
    <row r="33965" spans="8:8">
      <c r="H33965" t="s">
        <v>32107</v>
      </c>
    </row>
    <row r="33966" spans="8:8">
      <c r="H33966" t="s">
        <v>32108</v>
      </c>
    </row>
    <row r="33967" spans="8:8">
      <c r="H33967" t="s">
        <v>32109</v>
      </c>
    </row>
    <row r="33968" spans="8:8">
      <c r="H33968" t="s">
        <v>32110</v>
      </c>
    </row>
    <row r="33969" spans="1:8">
      <c r="H33969" t="s">
        <v>18927</v>
      </c>
    </row>
    <row r="33970" spans="1:8">
      <c r="H33970" t="s">
        <v>19264</v>
      </c>
    </row>
    <row r="33971" spans="1:8">
      <c r="H33971" t="s">
        <v>32111</v>
      </c>
    </row>
    <row r="33972" spans="1:8">
      <c r="H33972" t="s">
        <v>32112</v>
      </c>
    </row>
    <row r="33973" spans="1:8">
      <c r="A33973" t="s">
        <v>2734</v>
      </c>
      <c r="B33973">
        <f>HYPERLINK("https://android.googlesource.com/platform/cts/+/0f07198cd7776099b3ac1191688d2244419b7e1c", "0f07198cd7776099b3ac1191688d2244419b7e1c")</f>
        <v>0</v>
      </c>
      <c r="C33973">
        <f>HYPERLINK("https://android.googlesource.com/platform/cts/+/480f1c3335d778eaff0d60ba9b84f4f978aff571", "480f1c3335d778eaff0d60ba9b84f4f978aff571")</f>
        <v>0</v>
      </c>
      <c r="D33973" t="s">
        <v>5297</v>
      </c>
      <c r="E33973" t="s">
        <v>8463</v>
      </c>
      <c r="F33973" t="s">
        <v>13998</v>
      </c>
      <c r="G33973" t="s">
        <v>18012</v>
      </c>
      <c r="H33973" t="s">
        <v>32840</v>
      </c>
    </row>
    <row r="33974" spans="1:8">
      <c r="H33974" t="s">
        <v>18829</v>
      </c>
    </row>
    <row r="33975" spans="1:8">
      <c r="H33975" t="s">
        <v>32841</v>
      </c>
    </row>
    <row r="33976" spans="1:8">
      <c r="H33976" t="s">
        <v>32842</v>
      </c>
    </row>
    <row r="33977" spans="1:8">
      <c r="A33977" t="s">
        <v>2735</v>
      </c>
      <c r="B33977">
        <f>HYPERLINK("https://android.googlesource.com/platform/cts/+/7905c0e1dd59a5639deec3538e6bac3ef9ef984d", "7905c0e1dd59a5639deec3538e6bac3ef9ef984d")</f>
        <v>0</v>
      </c>
      <c r="C33977">
        <f>HYPERLINK("https://android.googlesource.com/platform/cts/+/1df1f8329261cc653d2f9cb457bb390874e24a4c", "1df1f8329261cc653d2f9cb457bb390874e24a4c")</f>
        <v>0</v>
      </c>
      <c r="D33977" t="s">
        <v>5085</v>
      </c>
      <c r="E33977" t="s">
        <v>8464</v>
      </c>
      <c r="F33977" t="s">
        <v>13999</v>
      </c>
      <c r="G33977" t="s">
        <v>15330</v>
      </c>
      <c r="H33977" t="s">
        <v>27192</v>
      </c>
    </row>
    <row r="33978" spans="1:8">
      <c r="H33978" t="s">
        <v>20012</v>
      </c>
    </row>
    <row r="33979" spans="1:8">
      <c r="A33979" t="s">
        <v>2736</v>
      </c>
      <c r="B33979">
        <f>HYPERLINK("https://android.googlesource.com/platform/cts/+/d4a57d45ffb22cd149877e9ac550b68c1485a94b", "d4a57d45ffb22cd149877e9ac550b68c1485a94b")</f>
        <v>0</v>
      </c>
      <c r="C33979">
        <f>HYPERLINK("https://android.googlesource.com/platform/cts/+/40e93f5ebd523b7523661cd55e4f991357026d45", "40e93f5ebd523b7523661cd55e4f991357026d45")</f>
        <v>0</v>
      </c>
      <c r="D33979" t="s">
        <v>5134</v>
      </c>
      <c r="E33979" t="s">
        <v>8465</v>
      </c>
      <c r="F33979" t="s">
        <v>13091</v>
      </c>
      <c r="G33979" t="s">
        <v>17253</v>
      </c>
      <c r="H33979" t="s">
        <v>32843</v>
      </c>
    </row>
    <row r="33980" spans="1:8">
      <c r="A33980" t="s">
        <v>2737</v>
      </c>
      <c r="B33980">
        <f>HYPERLINK("https://android.googlesource.com/platform/cts/+/188a16c7022af87a3fa5a8fe68e31d789a4beea5", "188a16c7022af87a3fa5a8fe68e31d789a4beea5")</f>
        <v>0</v>
      </c>
      <c r="C33980">
        <f>HYPERLINK("https://android.googlesource.com/platform/cts/+/c501b7791cc44bc0b890c4a3ef11dccd34b0a7b8", "c501b7791cc44bc0b890c4a3ef11dccd34b0a7b8")</f>
        <v>0</v>
      </c>
      <c r="D33980" t="s">
        <v>5293</v>
      </c>
      <c r="E33980" t="s">
        <v>8466</v>
      </c>
      <c r="F33980" t="s">
        <v>10606</v>
      </c>
      <c r="G33980" t="s">
        <v>15009</v>
      </c>
      <c r="H33980" t="s">
        <v>22237</v>
      </c>
    </row>
    <row r="33981" spans="1:8">
      <c r="H33981" t="s">
        <v>32844</v>
      </c>
    </row>
    <row r="33982" spans="1:8">
      <c r="H33982" t="s">
        <v>32832</v>
      </c>
    </row>
    <row r="33983" spans="1:8">
      <c r="F33983" t="s">
        <v>10785</v>
      </c>
      <c r="G33983" t="s">
        <v>15181</v>
      </c>
      <c r="H33983" t="s">
        <v>22237</v>
      </c>
    </row>
    <row r="33984" spans="1:8">
      <c r="H33984" t="s">
        <v>32832</v>
      </c>
    </row>
    <row r="33985" spans="1:8">
      <c r="A33985" t="s">
        <v>2738</v>
      </c>
      <c r="B33985">
        <f>HYPERLINK("https://android.googlesource.com/platform/cts/+/6c44a40754d53b5979aa31efe986f416add98e5a", "6c44a40754d53b5979aa31efe986f416add98e5a")</f>
        <v>0</v>
      </c>
      <c r="C33985">
        <f>HYPERLINK("https://android.googlesource.com/platform/cts/+/aaf63c33bf9795bda8a88651288f8efacb65da0d", "aaf63c33bf9795bda8a88651288f8efacb65da0d")</f>
        <v>0</v>
      </c>
      <c r="D33985" t="s">
        <v>5197</v>
      </c>
      <c r="E33985" t="s">
        <v>8467</v>
      </c>
      <c r="F33985" t="s">
        <v>14000</v>
      </c>
      <c r="G33985" t="s">
        <v>18013</v>
      </c>
      <c r="H33985" t="s">
        <v>32845</v>
      </c>
    </row>
    <row r="33986" spans="1:8">
      <c r="H33986" t="s">
        <v>32846</v>
      </c>
    </row>
    <row r="33987" spans="1:8">
      <c r="H33987" t="s">
        <v>32847</v>
      </c>
    </row>
    <row r="33988" spans="1:8">
      <c r="F33988" t="s">
        <v>14001</v>
      </c>
      <c r="G33988" t="s">
        <v>18014</v>
      </c>
      <c r="H33988" t="s">
        <v>32848</v>
      </c>
    </row>
    <row r="33989" spans="1:8">
      <c r="H33989" t="s">
        <v>32847</v>
      </c>
    </row>
    <row r="33990" spans="1:8">
      <c r="F33990" t="s">
        <v>14002</v>
      </c>
      <c r="G33990" t="s">
        <v>18015</v>
      </c>
      <c r="H33990" t="s">
        <v>32849</v>
      </c>
    </row>
    <row r="33991" spans="1:8">
      <c r="H33991" t="s">
        <v>32846</v>
      </c>
    </row>
    <row r="33992" spans="1:8">
      <c r="H33992" t="s">
        <v>32847</v>
      </c>
    </row>
    <row r="33993" spans="1:8">
      <c r="A33993" t="s">
        <v>2740</v>
      </c>
      <c r="B33993">
        <f>HYPERLINK("https://android.googlesource.com/platform/cts/+/a5abed5dc8b00eeec5a272a034c6bd5238f6891c", "a5abed5dc8b00eeec5a272a034c6bd5238f6891c")</f>
        <v>0</v>
      </c>
      <c r="C33993">
        <f>HYPERLINK("https://android.googlesource.com/platform/cts/+/f20b0efcb401db778d66894f5f5578b1d3cb769a", "f20b0efcb401db778d66894f5f5578b1d3cb769a")</f>
        <v>0</v>
      </c>
      <c r="D33993" t="s">
        <v>5363</v>
      </c>
      <c r="E33993" t="s">
        <v>8469</v>
      </c>
      <c r="F33993" t="s">
        <v>13770</v>
      </c>
      <c r="G33993" t="s">
        <v>14997</v>
      </c>
      <c r="H33993" t="s">
        <v>18829</v>
      </c>
    </row>
    <row r="33994" spans="1:8">
      <c r="H33994" t="s">
        <v>32850</v>
      </c>
    </row>
    <row r="33995" spans="1:8">
      <c r="H33995" t="s">
        <v>32851</v>
      </c>
    </row>
    <row r="33996" spans="1:8">
      <c r="H33996" t="s">
        <v>32852</v>
      </c>
    </row>
    <row r="33997" spans="1:8">
      <c r="H33997" t="s">
        <v>32853</v>
      </c>
    </row>
    <row r="33998" spans="1:8">
      <c r="H33998" t="s">
        <v>32854</v>
      </c>
    </row>
    <row r="33999" spans="1:8">
      <c r="H33999" t="s">
        <v>32855</v>
      </c>
    </row>
    <row r="34000" spans="1:8">
      <c r="H34000" t="s">
        <v>32856</v>
      </c>
    </row>
    <row r="34001" spans="8:8">
      <c r="H34001" t="s">
        <v>32857</v>
      </c>
    </row>
    <row r="34002" spans="8:8">
      <c r="H34002" t="s">
        <v>32858</v>
      </c>
    </row>
    <row r="34003" spans="8:8">
      <c r="H34003" t="s">
        <v>32859</v>
      </c>
    </row>
    <row r="34004" spans="8:8">
      <c r="H34004" t="s">
        <v>32860</v>
      </c>
    </row>
    <row r="34005" spans="8:8">
      <c r="H34005" t="s">
        <v>32861</v>
      </c>
    </row>
    <row r="34006" spans="8:8">
      <c r="H34006" t="s">
        <v>32862</v>
      </c>
    </row>
    <row r="34007" spans="8:8">
      <c r="H34007" t="s">
        <v>32863</v>
      </c>
    </row>
    <row r="34008" spans="8:8">
      <c r="H34008" t="s">
        <v>32864</v>
      </c>
    </row>
    <row r="34009" spans="8:8">
      <c r="H34009" t="s">
        <v>32865</v>
      </c>
    </row>
    <row r="34010" spans="8:8">
      <c r="H34010" t="s">
        <v>18969</v>
      </c>
    </row>
    <row r="34011" spans="8:8">
      <c r="H34011" t="s">
        <v>32866</v>
      </c>
    </row>
    <row r="34012" spans="8:8">
      <c r="H34012" t="s">
        <v>18971</v>
      </c>
    </row>
    <row r="34013" spans="8:8">
      <c r="H34013" t="s">
        <v>18970</v>
      </c>
    </row>
    <row r="34014" spans="8:8">
      <c r="H34014" t="s">
        <v>18972</v>
      </c>
    </row>
    <row r="34015" spans="8:8">
      <c r="H34015" t="s">
        <v>32808</v>
      </c>
    </row>
    <row r="34016" spans="8:8">
      <c r="H34016" t="s">
        <v>32809</v>
      </c>
    </row>
    <row r="34017" spans="1:8">
      <c r="H34017" t="s">
        <v>32810</v>
      </c>
    </row>
    <row r="34018" spans="1:8">
      <c r="H34018" t="s">
        <v>32811</v>
      </c>
    </row>
    <row r="34019" spans="1:8">
      <c r="A34019" t="s">
        <v>2741</v>
      </c>
      <c r="B34019">
        <f>HYPERLINK("https://android.googlesource.com/platform/cts/+/88ecda5915816eb764d65152583a877b941b4ed4", "88ecda5915816eb764d65152583a877b941b4ed4")</f>
        <v>0</v>
      </c>
      <c r="C34019">
        <f>HYPERLINK("https://android.googlesource.com/platform/cts/+/78d31f5b93ef17637136ebff62c1cf4df3d518f8", "78d31f5b93ef17637136ebff62c1cf4df3d518f8")</f>
        <v>0</v>
      </c>
      <c r="D34019" t="s">
        <v>5182</v>
      </c>
      <c r="E34019" t="s">
        <v>8470</v>
      </c>
      <c r="F34019" t="s">
        <v>12820</v>
      </c>
      <c r="G34019" t="s">
        <v>16999</v>
      </c>
      <c r="H34019" t="s">
        <v>32867</v>
      </c>
    </row>
    <row r="34020" spans="1:8">
      <c r="H34020" t="s">
        <v>26549</v>
      </c>
    </row>
    <row r="34021" spans="1:8">
      <c r="H34021" t="s">
        <v>32868</v>
      </c>
    </row>
    <row r="34022" spans="1:8">
      <c r="H34022" t="s">
        <v>32869</v>
      </c>
    </row>
    <row r="34023" spans="1:8">
      <c r="H34023" t="s">
        <v>32870</v>
      </c>
    </row>
    <row r="34024" spans="1:8">
      <c r="A34024" t="s">
        <v>2742</v>
      </c>
      <c r="B34024">
        <f>HYPERLINK("https://android.googlesource.com/platform/cts/+/f2f21285baae1f7967d96eace38ced7dc5c14f36", "f2f21285baae1f7967d96eace38ced7dc5c14f36")</f>
        <v>0</v>
      </c>
      <c r="C34024">
        <f>HYPERLINK("https://android.googlesource.com/platform/cts/+/edc8492c8ebd7e134a5d968a36cf44e9ee764498", "edc8492c8ebd7e134a5d968a36cf44e9ee764498")</f>
        <v>0</v>
      </c>
      <c r="D34024" t="s">
        <v>5400</v>
      </c>
      <c r="E34024" t="s">
        <v>8471</v>
      </c>
      <c r="F34024" t="s">
        <v>13892</v>
      </c>
      <c r="G34024" t="s">
        <v>17929</v>
      </c>
      <c r="H34024" t="s">
        <v>32871</v>
      </c>
    </row>
    <row r="34025" spans="1:8">
      <c r="H34025" t="s">
        <v>31838</v>
      </c>
    </row>
    <row r="34026" spans="1:8">
      <c r="A34026" t="s">
        <v>2744</v>
      </c>
      <c r="B34026">
        <f>HYPERLINK("https://android.googlesource.com/platform/cts/+/b02cec797ab269b69b9ed832af5e683d10a84bdf", "b02cec797ab269b69b9ed832af5e683d10a84bdf")</f>
        <v>0</v>
      </c>
      <c r="C34026">
        <f>HYPERLINK("https://android.googlesource.com/platform/cts/+/1c6f1b6750287bdcd26954d31182a319a5b99de0", "1c6f1b6750287bdcd26954d31182a319a5b99de0")</f>
        <v>0</v>
      </c>
      <c r="D34026" t="s">
        <v>5447</v>
      </c>
      <c r="E34026" t="s">
        <v>8473</v>
      </c>
      <c r="F34026" t="s">
        <v>13968</v>
      </c>
      <c r="G34026" t="s">
        <v>17993</v>
      </c>
      <c r="H34026" t="s">
        <v>32872</v>
      </c>
    </row>
    <row r="34027" spans="1:8">
      <c r="A34027" t="s">
        <v>2745</v>
      </c>
      <c r="B34027">
        <f>HYPERLINK("https://android.googlesource.com/platform/cts/+/299da86a2aeae763ccd30b90ef4fdf77b19d5a2c", "299da86a2aeae763ccd30b90ef4fdf77b19d5a2c")</f>
        <v>0</v>
      </c>
      <c r="C34027">
        <f>HYPERLINK("https://android.googlesource.com/platform/cts/+/6b4ff559910efe8648ea438c184459586f943144", "6b4ff559910efe8648ea438c184459586f943144")</f>
        <v>0</v>
      </c>
      <c r="D34027" t="s">
        <v>5374</v>
      </c>
      <c r="E34027" t="s">
        <v>8474</v>
      </c>
      <c r="F34027" t="s">
        <v>12733</v>
      </c>
      <c r="G34027" t="s">
        <v>16854</v>
      </c>
      <c r="H34027" t="s">
        <v>32873</v>
      </c>
    </row>
    <row r="34028" spans="1:8">
      <c r="A34028" t="s">
        <v>2746</v>
      </c>
      <c r="B34028">
        <f>HYPERLINK("https://android.googlesource.com/platform/cts/+/a775c8c0dd05ee0095a0a198f60b7a19eafbe9c4", "a775c8c0dd05ee0095a0a198f60b7a19eafbe9c4")</f>
        <v>0</v>
      </c>
      <c r="C34028">
        <f>HYPERLINK("https://android.googlesource.com/platform/cts/+/92130edc486f5d63def65dcb47d55dde7bd8eca0", "92130edc486f5d63def65dcb47d55dde7bd8eca0")</f>
        <v>0</v>
      </c>
      <c r="D34028" t="s">
        <v>5448</v>
      </c>
      <c r="E34028" t="s">
        <v>8475</v>
      </c>
      <c r="F34028" t="s">
        <v>14003</v>
      </c>
      <c r="G34028" t="s">
        <v>18016</v>
      </c>
      <c r="H34028" t="s">
        <v>26642</v>
      </c>
    </row>
    <row r="34029" spans="1:8">
      <c r="F34029" t="s">
        <v>14004</v>
      </c>
      <c r="G34029" t="s">
        <v>17023</v>
      </c>
      <c r="H34029" t="s">
        <v>26642</v>
      </c>
    </row>
    <row r="34030" spans="1:8">
      <c r="F34030" t="s">
        <v>14005</v>
      </c>
      <c r="G34030" t="s">
        <v>18017</v>
      </c>
      <c r="H34030" t="s">
        <v>26642</v>
      </c>
    </row>
    <row r="34031" spans="1:8">
      <c r="A34031" t="s">
        <v>2747</v>
      </c>
      <c r="B34031">
        <f>HYPERLINK("https://android.googlesource.com/platform/cts/+/5f4a28a356ca2bc29ee2478db32a0818b16fe438", "5f4a28a356ca2bc29ee2478db32a0818b16fe438")</f>
        <v>0</v>
      </c>
      <c r="C34031">
        <f>HYPERLINK("https://android.googlesource.com/platform/cts/+/23b4ab34b38bf8e2052679da18ddcd3391898652", "23b4ab34b38bf8e2052679da18ddcd3391898652")</f>
        <v>0</v>
      </c>
      <c r="D34031" t="s">
        <v>5449</v>
      </c>
      <c r="E34031" t="s">
        <v>8476</v>
      </c>
      <c r="F34031" t="s">
        <v>14006</v>
      </c>
      <c r="G34031" t="s">
        <v>18018</v>
      </c>
      <c r="H34031" t="s">
        <v>32874</v>
      </c>
    </row>
    <row r="34032" spans="1:8">
      <c r="F34032" t="s">
        <v>14007</v>
      </c>
      <c r="G34032" t="s">
        <v>18019</v>
      </c>
      <c r="H34032" t="s">
        <v>32875</v>
      </c>
    </row>
    <row r="34033" spans="1:8">
      <c r="F34033" t="s">
        <v>14008</v>
      </c>
      <c r="G34033" t="s">
        <v>18020</v>
      </c>
      <c r="H34033" t="s">
        <v>32876</v>
      </c>
    </row>
    <row r="34034" spans="1:8">
      <c r="F34034" t="s">
        <v>14009</v>
      </c>
      <c r="G34034" t="s">
        <v>18021</v>
      </c>
      <c r="H34034" t="s">
        <v>32877</v>
      </c>
    </row>
    <row r="34035" spans="1:8">
      <c r="H34035" t="s">
        <v>32878</v>
      </c>
    </row>
    <row r="34036" spans="1:8">
      <c r="F34036" t="s">
        <v>14010</v>
      </c>
      <c r="G34036" t="s">
        <v>18022</v>
      </c>
      <c r="H34036" t="s">
        <v>32879</v>
      </c>
    </row>
    <row r="34037" spans="1:8">
      <c r="H34037" t="s">
        <v>32880</v>
      </c>
    </row>
    <row r="34038" spans="1:8">
      <c r="H34038" t="s">
        <v>32881</v>
      </c>
    </row>
    <row r="34039" spans="1:8">
      <c r="H34039" t="s">
        <v>32882</v>
      </c>
    </row>
    <row r="34040" spans="1:8">
      <c r="A34040" t="s">
        <v>2748</v>
      </c>
      <c r="B34040">
        <f>HYPERLINK("https://android.googlesource.com/platform/cts/+/fef7584fa028047d5aa222adb3f3c7d3e1916c57", "fef7584fa028047d5aa222adb3f3c7d3e1916c57")</f>
        <v>0</v>
      </c>
      <c r="C34040">
        <f>HYPERLINK("https://android.googlesource.com/platform/cts/+/761bf2d6da2b94d4df27f48550dbdb22be1228c4", "761bf2d6da2b94d4df27f48550dbdb22be1228c4")</f>
        <v>0</v>
      </c>
      <c r="D34040" t="s">
        <v>5450</v>
      </c>
      <c r="E34040" t="s">
        <v>8477</v>
      </c>
      <c r="F34040" t="s">
        <v>14011</v>
      </c>
      <c r="G34040" t="s">
        <v>18023</v>
      </c>
      <c r="H34040" t="s">
        <v>32883</v>
      </c>
    </row>
    <row r="34041" spans="1:8">
      <c r="A34041" t="s">
        <v>2750</v>
      </c>
      <c r="B34041">
        <f>HYPERLINK("https://android.googlesource.com/platform/cts/+/01f3e21125c00adf0dfe32546818cea55f9c00a0", "01f3e21125c00adf0dfe32546818cea55f9c00a0")</f>
        <v>0</v>
      </c>
      <c r="C34041">
        <f>HYPERLINK("https://android.googlesource.com/platform/cts/+/185857f1d80ac8b92b0b7578cab700b4ab3eb07b", "185857f1d80ac8b92b0b7578cab700b4ab3eb07b")</f>
        <v>0</v>
      </c>
      <c r="D34041" t="s">
        <v>5451</v>
      </c>
      <c r="E34041" t="s">
        <v>8479</v>
      </c>
      <c r="F34041" t="s">
        <v>13371</v>
      </c>
      <c r="G34041" t="s">
        <v>17498</v>
      </c>
      <c r="H34041" t="s">
        <v>32884</v>
      </c>
    </row>
    <row r="34042" spans="1:8">
      <c r="A34042" t="s">
        <v>2751</v>
      </c>
      <c r="B34042">
        <f>HYPERLINK("https://android.googlesource.com/platform/cts/+/72a2f058675973c14e637927aaabe63e4ae57bb3", "72a2f058675973c14e637927aaabe63e4ae57bb3")</f>
        <v>0</v>
      </c>
      <c r="C34042">
        <f>HYPERLINK("https://android.googlesource.com/platform/cts/+/93f872f20ea88a36f0de5ef6f0fe4b7ada3aa3f3", "93f872f20ea88a36f0de5ef6f0fe4b7ada3aa3f3")</f>
        <v>0</v>
      </c>
      <c r="D34042" t="s">
        <v>5452</v>
      </c>
      <c r="E34042" t="s">
        <v>8480</v>
      </c>
      <c r="F34042" t="s">
        <v>14012</v>
      </c>
      <c r="G34042" t="s">
        <v>18024</v>
      </c>
      <c r="H34042" t="s">
        <v>32885</v>
      </c>
    </row>
    <row r="34043" spans="1:8">
      <c r="H34043" t="s">
        <v>32885</v>
      </c>
    </row>
    <row r="34044" spans="1:8">
      <c r="H34044" t="s">
        <v>32886</v>
      </c>
    </row>
    <row r="34045" spans="1:8">
      <c r="H34045" t="s">
        <v>32887</v>
      </c>
    </row>
    <row r="34046" spans="1:8">
      <c r="H34046" t="s">
        <v>28427</v>
      </c>
    </row>
    <row r="34047" spans="1:8">
      <c r="H34047" t="s">
        <v>32888</v>
      </c>
    </row>
    <row r="34048" spans="1:8">
      <c r="H34048" t="s">
        <v>32889</v>
      </c>
    </row>
    <row r="34049" spans="1:8">
      <c r="H34049" t="s">
        <v>32890</v>
      </c>
    </row>
    <row r="34050" spans="1:8">
      <c r="A34050" t="s">
        <v>2752</v>
      </c>
      <c r="B34050">
        <f>HYPERLINK("https://android.googlesource.com/platform/cts/+/279f26e78dc11f05c591f8bbc1f6f1bee5554429", "279f26e78dc11f05c591f8bbc1f6f1bee5554429")</f>
        <v>0</v>
      </c>
      <c r="C34050">
        <f>HYPERLINK("https://android.googlesource.com/platform/cts/+/f85b67b60ad157d1d09801834f33f3692e48d7a9", "f85b67b60ad157d1d09801834f33f3692e48d7a9")</f>
        <v>0</v>
      </c>
      <c r="D34050" t="s">
        <v>5449</v>
      </c>
      <c r="E34050" t="s">
        <v>8481</v>
      </c>
      <c r="F34050" t="s">
        <v>14006</v>
      </c>
      <c r="G34050" t="s">
        <v>18018</v>
      </c>
      <c r="H34050" t="s">
        <v>19233</v>
      </c>
    </row>
    <row r="34051" spans="1:8">
      <c r="H34051" t="s">
        <v>19232</v>
      </c>
    </row>
    <row r="34052" spans="1:8">
      <c r="H34052" t="s">
        <v>32891</v>
      </c>
    </row>
    <row r="34053" spans="1:8">
      <c r="F34053" t="s">
        <v>14007</v>
      </c>
      <c r="G34053" t="s">
        <v>18019</v>
      </c>
      <c r="H34053" t="s">
        <v>19233</v>
      </c>
    </row>
    <row r="34054" spans="1:8">
      <c r="H34054" t="s">
        <v>19232</v>
      </c>
    </row>
    <row r="34055" spans="1:8">
      <c r="H34055" t="s">
        <v>32891</v>
      </c>
    </row>
    <row r="34056" spans="1:8">
      <c r="F34056" t="s">
        <v>14008</v>
      </c>
      <c r="G34056" t="s">
        <v>18020</v>
      </c>
      <c r="H34056" t="s">
        <v>19233</v>
      </c>
    </row>
    <row r="34057" spans="1:8">
      <c r="H34057" t="s">
        <v>19232</v>
      </c>
    </row>
    <row r="34058" spans="1:8">
      <c r="H34058" t="s">
        <v>32891</v>
      </c>
    </row>
    <row r="34059" spans="1:8">
      <c r="F34059" t="s">
        <v>14013</v>
      </c>
      <c r="G34059" t="s">
        <v>18025</v>
      </c>
      <c r="H34059" t="s">
        <v>19233</v>
      </c>
    </row>
    <row r="34060" spans="1:8">
      <c r="H34060" t="s">
        <v>19232</v>
      </c>
    </row>
    <row r="34061" spans="1:8">
      <c r="H34061" t="s">
        <v>32891</v>
      </c>
    </row>
    <row r="34062" spans="1:8">
      <c r="F34062" t="s">
        <v>14009</v>
      </c>
      <c r="G34062" t="s">
        <v>18021</v>
      </c>
      <c r="H34062" t="s">
        <v>19233</v>
      </c>
    </row>
    <row r="34063" spans="1:8">
      <c r="H34063" t="s">
        <v>19232</v>
      </c>
    </row>
    <row r="34064" spans="1:8">
      <c r="H34064" t="s">
        <v>32891</v>
      </c>
    </row>
    <row r="34065" spans="1:8">
      <c r="F34065" t="s">
        <v>14010</v>
      </c>
      <c r="G34065" t="s">
        <v>18022</v>
      </c>
      <c r="H34065" t="s">
        <v>19233</v>
      </c>
    </row>
    <row r="34066" spans="1:8">
      <c r="H34066" t="s">
        <v>19232</v>
      </c>
    </row>
    <row r="34067" spans="1:8">
      <c r="H34067" t="s">
        <v>32891</v>
      </c>
    </row>
    <row r="34068" spans="1:8">
      <c r="A34068" t="s">
        <v>2755</v>
      </c>
      <c r="B34068">
        <f>HYPERLINK("https://android.googlesource.com/platform/cts/+/0da7aa9941bb3368ec3c5d5bf3e6bcd11de57f0a", "0da7aa9941bb3368ec3c5d5bf3e6bcd11de57f0a")</f>
        <v>0</v>
      </c>
      <c r="C34068">
        <f>HYPERLINK("https://android.googlesource.com/platform/cts/+/74bf542d086ffe30c341359d9e3069fa0cf98e3f", "74bf542d086ffe30c341359d9e3069fa0cf98e3f")</f>
        <v>0</v>
      </c>
      <c r="D34068" t="s">
        <v>5453</v>
      </c>
      <c r="E34068" t="s">
        <v>8483</v>
      </c>
      <c r="F34068" t="s">
        <v>13457</v>
      </c>
      <c r="G34068" t="s">
        <v>17483</v>
      </c>
      <c r="H34068" t="s">
        <v>29465</v>
      </c>
    </row>
    <row r="34069" spans="1:8">
      <c r="A34069" t="s">
        <v>2756</v>
      </c>
      <c r="B34069">
        <f>HYPERLINK("https://android.googlesource.com/platform/cts/+/b93070dc19a50eae5170eabd579d970d2ba7526e", "b93070dc19a50eae5170eabd579d970d2ba7526e")</f>
        <v>0</v>
      </c>
      <c r="C34069">
        <f>HYPERLINK("https://android.googlesource.com/platform/cts/+/f2fcdeedaece4c14efa64ecba6f6a115bd17b217", "f2fcdeedaece4c14efa64ecba6f6a115bd17b217")</f>
        <v>0</v>
      </c>
      <c r="D34069" t="s">
        <v>5269</v>
      </c>
      <c r="E34069" t="s">
        <v>8484</v>
      </c>
      <c r="F34069" t="s">
        <v>13758</v>
      </c>
      <c r="G34069" t="s">
        <v>17817</v>
      </c>
      <c r="H34069" t="s">
        <v>32336</v>
      </c>
    </row>
    <row r="34070" spans="1:8">
      <c r="A34070" t="s">
        <v>2757</v>
      </c>
      <c r="B34070">
        <f>HYPERLINK("https://android.googlesource.com/platform/cts/+/e11e176a8cbb5fb95c47a19df70b92aa7c31f93f", "e11e176a8cbb5fb95c47a19df70b92aa7c31f93f")</f>
        <v>0</v>
      </c>
      <c r="C34070">
        <f>HYPERLINK("https://android.googlesource.com/platform/cts/+/c89b5965fafb45ec17730d875f9a9f4bce806900", "c89b5965fafb45ec17730d875f9a9f4bce806900")</f>
        <v>0</v>
      </c>
      <c r="D34070" t="s">
        <v>5445</v>
      </c>
      <c r="E34070" t="s">
        <v>8485</v>
      </c>
      <c r="F34070" t="s">
        <v>13864</v>
      </c>
      <c r="G34070" t="s">
        <v>17904</v>
      </c>
      <c r="H34070" t="s">
        <v>32892</v>
      </c>
    </row>
    <row r="34071" spans="1:8">
      <c r="A34071" t="s">
        <v>2758</v>
      </c>
      <c r="B34071">
        <f>HYPERLINK("https://android.googlesource.com/platform/cts/+/907c4c0cf32f4b52f019be7e838c4ff9888e38ed", "907c4c0cf32f4b52f019be7e838c4ff9888e38ed")</f>
        <v>0</v>
      </c>
      <c r="C34071">
        <f>HYPERLINK("https://android.googlesource.com/platform/cts/+/7222b7aaf658f3a4246832e6a0eef965197c30ba", "7222b7aaf658f3a4246832e6a0eef965197c30ba")</f>
        <v>0</v>
      </c>
      <c r="D34071" t="s">
        <v>5341</v>
      </c>
      <c r="E34071" t="s">
        <v>8486</v>
      </c>
      <c r="F34071" t="s">
        <v>13827</v>
      </c>
      <c r="G34071" t="s">
        <v>17871</v>
      </c>
      <c r="H34071" t="s">
        <v>32893</v>
      </c>
    </row>
    <row r="34072" spans="1:8">
      <c r="A34072" t="s">
        <v>2759</v>
      </c>
      <c r="B34072">
        <f>HYPERLINK("https://android.googlesource.com/platform/cts/+/7e9b78c0ebb5444e42ec708d0c95cd82c8576f51", "7e9b78c0ebb5444e42ec708d0c95cd82c8576f51")</f>
        <v>0</v>
      </c>
      <c r="C34072">
        <f>HYPERLINK("https://android.googlesource.com/platform/cts/+/5c80241489e0569cad360cd48912f5024f262dda", "5c80241489e0569cad360cd48912f5024f262dda")</f>
        <v>0</v>
      </c>
      <c r="D34072" t="s">
        <v>5454</v>
      </c>
      <c r="E34072" t="s">
        <v>8487</v>
      </c>
      <c r="F34072" t="s">
        <v>14014</v>
      </c>
      <c r="G34072" t="s">
        <v>18026</v>
      </c>
      <c r="H34072" t="s">
        <v>19981</v>
      </c>
    </row>
    <row r="34073" spans="1:8">
      <c r="H34073" t="s">
        <v>32894</v>
      </c>
    </row>
    <row r="34074" spans="1:8">
      <c r="A34074" t="s">
        <v>2760</v>
      </c>
      <c r="B34074">
        <f>HYPERLINK("https://android.googlesource.com/platform/cts/+/f685f12977e5592dbe5240231901b58cf2defe01", "f685f12977e5592dbe5240231901b58cf2defe01")</f>
        <v>0</v>
      </c>
      <c r="C34074">
        <f>HYPERLINK("https://android.googlesource.com/platform/cts/+/9075ef4ed2ab57df6b703603007a52fe5a9e5e5c", "9075ef4ed2ab57df6b703603007a52fe5a9e5e5c")</f>
        <v>0</v>
      </c>
      <c r="D34074" t="s">
        <v>5448</v>
      </c>
      <c r="E34074" t="s">
        <v>8488</v>
      </c>
      <c r="F34074" t="s">
        <v>14003</v>
      </c>
      <c r="G34074" t="s">
        <v>18016</v>
      </c>
      <c r="H34074" t="s">
        <v>26642</v>
      </c>
    </row>
    <row r="34075" spans="1:8">
      <c r="F34075" t="s">
        <v>14004</v>
      </c>
      <c r="G34075" t="s">
        <v>17023</v>
      </c>
      <c r="H34075" t="s">
        <v>26642</v>
      </c>
    </row>
    <row r="34076" spans="1:8">
      <c r="F34076" t="s">
        <v>14005</v>
      </c>
      <c r="G34076" t="s">
        <v>18017</v>
      </c>
      <c r="H34076" t="s">
        <v>26642</v>
      </c>
    </row>
    <row r="34077" spans="1:8">
      <c r="A34077" t="s">
        <v>2761</v>
      </c>
      <c r="B34077">
        <f>HYPERLINK("https://android.googlesource.com/platform/cts/+/ce892aaa4d83d250a5eedbd119a15aff73be2377", "ce892aaa4d83d250a5eedbd119a15aff73be2377")</f>
        <v>0</v>
      </c>
      <c r="C34077">
        <f>HYPERLINK("https://android.googlesource.com/platform/cts/+/e8184b2136de41c44b12742ff7a8aa597c75050b", "e8184b2136de41c44b12742ff7a8aa597c75050b")</f>
        <v>0</v>
      </c>
      <c r="D34077" t="s">
        <v>5363</v>
      </c>
      <c r="E34077" t="s">
        <v>8489</v>
      </c>
      <c r="F34077" t="s">
        <v>14015</v>
      </c>
      <c r="G34077" t="s">
        <v>16895</v>
      </c>
      <c r="H34077" t="s">
        <v>18829</v>
      </c>
    </row>
    <row r="34078" spans="1:8">
      <c r="H34078" t="s">
        <v>18863</v>
      </c>
    </row>
    <row r="34079" spans="1:8">
      <c r="F34079" t="s">
        <v>14016</v>
      </c>
      <c r="G34079" t="s">
        <v>17963</v>
      </c>
      <c r="H34079" t="s">
        <v>18829</v>
      </c>
    </row>
    <row r="34080" spans="1:8">
      <c r="H34080" t="s">
        <v>32895</v>
      </c>
    </row>
    <row r="34081" spans="6:8">
      <c r="F34081" t="s">
        <v>14017</v>
      </c>
      <c r="G34081" t="s">
        <v>18027</v>
      </c>
      <c r="H34081" t="s">
        <v>19013</v>
      </c>
    </row>
    <row r="34082" spans="6:8">
      <c r="H34082" t="s">
        <v>18835</v>
      </c>
    </row>
    <row r="34083" spans="6:8">
      <c r="H34083" t="s">
        <v>32896</v>
      </c>
    </row>
    <row r="34084" spans="6:8">
      <c r="H34084" t="s">
        <v>32897</v>
      </c>
    </row>
    <row r="34085" spans="6:8">
      <c r="H34085" t="s">
        <v>32898</v>
      </c>
    </row>
    <row r="34086" spans="6:8">
      <c r="H34086" t="s">
        <v>32899</v>
      </c>
    </row>
    <row r="34087" spans="6:8">
      <c r="F34087" t="s">
        <v>14018</v>
      </c>
      <c r="G34087" t="s">
        <v>18028</v>
      </c>
      <c r="H34087" t="s">
        <v>19013</v>
      </c>
    </row>
    <row r="34088" spans="6:8">
      <c r="H34088" t="s">
        <v>18835</v>
      </c>
    </row>
    <row r="34089" spans="6:8">
      <c r="H34089" t="s">
        <v>32896</v>
      </c>
    </row>
    <row r="34090" spans="6:8">
      <c r="H34090" t="s">
        <v>32897</v>
      </c>
    </row>
    <row r="34091" spans="6:8">
      <c r="H34091" t="s">
        <v>32899</v>
      </c>
    </row>
    <row r="34092" spans="6:8">
      <c r="F34092" t="s">
        <v>14019</v>
      </c>
      <c r="G34092" t="s">
        <v>18029</v>
      </c>
      <c r="H34092" t="s">
        <v>19013</v>
      </c>
    </row>
    <row r="34093" spans="6:8">
      <c r="H34093" t="s">
        <v>18835</v>
      </c>
    </row>
    <row r="34094" spans="6:8">
      <c r="H34094" t="s">
        <v>32896</v>
      </c>
    </row>
    <row r="34095" spans="6:8">
      <c r="H34095" t="s">
        <v>32897</v>
      </c>
    </row>
    <row r="34096" spans="6:8">
      <c r="H34096" t="s">
        <v>32898</v>
      </c>
    </row>
    <row r="34097" spans="6:8">
      <c r="F34097" t="s">
        <v>14020</v>
      </c>
      <c r="G34097" t="s">
        <v>18030</v>
      </c>
      <c r="H34097" t="s">
        <v>32900</v>
      </c>
    </row>
    <row r="34098" spans="6:8">
      <c r="H34098" t="s">
        <v>32901</v>
      </c>
    </row>
    <row r="34099" spans="6:8">
      <c r="H34099" t="s">
        <v>32902</v>
      </c>
    </row>
    <row r="34100" spans="6:8">
      <c r="H34100" t="s">
        <v>18829</v>
      </c>
    </row>
    <row r="34101" spans="6:8">
      <c r="H34101" t="s">
        <v>18863</v>
      </c>
    </row>
    <row r="34102" spans="6:8">
      <c r="H34102" t="s">
        <v>32903</v>
      </c>
    </row>
    <row r="34103" spans="6:8">
      <c r="H34103" t="s">
        <v>32904</v>
      </c>
    </row>
    <row r="34104" spans="6:8">
      <c r="H34104" t="s">
        <v>32905</v>
      </c>
    </row>
    <row r="34105" spans="6:8">
      <c r="H34105" t="s">
        <v>32906</v>
      </c>
    </row>
    <row r="34106" spans="6:8">
      <c r="H34106" t="s">
        <v>32907</v>
      </c>
    </row>
    <row r="34107" spans="6:8">
      <c r="H34107" t="s">
        <v>32908</v>
      </c>
    </row>
    <row r="34108" spans="6:8">
      <c r="H34108" t="s">
        <v>32909</v>
      </c>
    </row>
    <row r="34109" spans="6:8">
      <c r="H34109" t="s">
        <v>32910</v>
      </c>
    </row>
    <row r="34110" spans="6:8">
      <c r="H34110" t="s">
        <v>32911</v>
      </c>
    </row>
    <row r="34111" spans="6:8">
      <c r="H34111" t="s">
        <v>32912</v>
      </c>
    </row>
    <row r="34112" spans="6:8">
      <c r="H34112" t="s">
        <v>32913</v>
      </c>
    </row>
    <row r="34113" spans="8:8">
      <c r="H34113" t="s">
        <v>32914</v>
      </c>
    </row>
    <row r="34114" spans="8:8">
      <c r="H34114" t="s">
        <v>32915</v>
      </c>
    </row>
    <row r="34115" spans="8:8">
      <c r="H34115" t="s">
        <v>32916</v>
      </c>
    </row>
    <row r="34116" spans="8:8">
      <c r="H34116" t="s">
        <v>32917</v>
      </c>
    </row>
    <row r="34117" spans="8:8">
      <c r="H34117" t="s">
        <v>32918</v>
      </c>
    </row>
    <row r="34118" spans="8:8">
      <c r="H34118" t="s">
        <v>32919</v>
      </c>
    </row>
    <row r="34119" spans="8:8">
      <c r="H34119" t="s">
        <v>32830</v>
      </c>
    </row>
    <row r="34120" spans="8:8">
      <c r="H34120" t="s">
        <v>32920</v>
      </c>
    </row>
    <row r="34121" spans="8:8">
      <c r="H34121" t="s">
        <v>32921</v>
      </c>
    </row>
    <row r="34122" spans="8:8">
      <c r="H34122" t="s">
        <v>32922</v>
      </c>
    </row>
    <row r="34123" spans="8:8">
      <c r="H34123" t="s">
        <v>31476</v>
      </c>
    </row>
    <row r="34124" spans="8:8">
      <c r="H34124" t="s">
        <v>18969</v>
      </c>
    </row>
    <row r="34125" spans="8:8">
      <c r="H34125" t="s">
        <v>18971</v>
      </c>
    </row>
    <row r="34126" spans="8:8">
      <c r="H34126" t="s">
        <v>32923</v>
      </c>
    </row>
    <row r="34127" spans="8:8">
      <c r="H34127" t="s">
        <v>32866</v>
      </c>
    </row>
    <row r="34128" spans="8:8">
      <c r="H34128" t="s">
        <v>32856</v>
      </c>
    </row>
    <row r="34129" spans="8:8">
      <c r="H34129" t="s">
        <v>32924</v>
      </c>
    </row>
    <row r="34130" spans="8:8">
      <c r="H34130" t="s">
        <v>32925</v>
      </c>
    </row>
    <row r="34131" spans="8:8">
      <c r="H34131" t="s">
        <v>32926</v>
      </c>
    </row>
    <row r="34132" spans="8:8">
      <c r="H34132" t="s">
        <v>32927</v>
      </c>
    </row>
    <row r="34133" spans="8:8">
      <c r="H34133" t="s">
        <v>32928</v>
      </c>
    </row>
    <row r="34134" spans="8:8">
      <c r="H34134" t="s">
        <v>32929</v>
      </c>
    </row>
    <row r="34135" spans="8:8">
      <c r="H34135" t="s">
        <v>32930</v>
      </c>
    </row>
    <row r="34136" spans="8:8">
      <c r="H34136" t="s">
        <v>32931</v>
      </c>
    </row>
    <row r="34137" spans="8:8">
      <c r="H34137" t="s">
        <v>32932</v>
      </c>
    </row>
    <row r="34138" spans="8:8">
      <c r="H34138" t="s">
        <v>32933</v>
      </c>
    </row>
    <row r="34139" spans="8:8">
      <c r="H34139" t="s">
        <v>32934</v>
      </c>
    </row>
    <row r="34140" spans="8:8">
      <c r="H34140" t="s">
        <v>32935</v>
      </c>
    </row>
    <row r="34141" spans="8:8">
      <c r="H34141" t="s">
        <v>32936</v>
      </c>
    </row>
    <row r="34142" spans="8:8">
      <c r="H34142" t="s">
        <v>32808</v>
      </c>
    </row>
    <row r="34143" spans="8:8">
      <c r="H34143" t="s">
        <v>32811</v>
      </c>
    </row>
    <row r="34144" spans="8:8">
      <c r="H34144" t="s">
        <v>32810</v>
      </c>
    </row>
    <row r="34145" spans="8:8">
      <c r="H34145" t="s">
        <v>32809</v>
      </c>
    </row>
    <row r="34146" spans="8:8">
      <c r="H34146" t="s">
        <v>25704</v>
      </c>
    </row>
    <row r="34147" spans="8:8">
      <c r="H34147" t="s">
        <v>32937</v>
      </c>
    </row>
    <row r="34148" spans="8:8">
      <c r="H34148" t="s">
        <v>32938</v>
      </c>
    </row>
    <row r="34149" spans="8:8">
      <c r="H34149" t="s">
        <v>32935</v>
      </c>
    </row>
    <row r="34150" spans="8:8">
      <c r="H34150" t="s">
        <v>32936</v>
      </c>
    </row>
    <row r="34151" spans="8:8">
      <c r="H34151" t="s">
        <v>25704</v>
      </c>
    </row>
    <row r="34152" spans="8:8">
      <c r="H34152" t="s">
        <v>19019</v>
      </c>
    </row>
    <row r="34153" spans="8:8">
      <c r="H34153" t="s">
        <v>32939</v>
      </c>
    </row>
    <row r="34154" spans="8:8">
      <c r="H34154" t="s">
        <v>32938</v>
      </c>
    </row>
    <row r="34155" spans="8:8">
      <c r="H34155" t="s">
        <v>32940</v>
      </c>
    </row>
    <row r="34156" spans="8:8">
      <c r="H34156" t="s">
        <v>25704</v>
      </c>
    </row>
    <row r="34157" spans="8:8">
      <c r="H34157" t="s">
        <v>19019</v>
      </c>
    </row>
    <row r="34158" spans="8:8">
      <c r="H34158" t="s">
        <v>32941</v>
      </c>
    </row>
    <row r="34159" spans="8:8">
      <c r="H34159" t="s">
        <v>32942</v>
      </c>
    </row>
    <row r="34160" spans="8:8">
      <c r="H34160" t="s">
        <v>32935</v>
      </c>
    </row>
    <row r="34161" spans="6:8">
      <c r="H34161" t="s">
        <v>19743</v>
      </c>
    </row>
    <row r="34162" spans="6:8">
      <c r="H34162" t="s">
        <v>25704</v>
      </c>
    </row>
    <row r="34163" spans="6:8">
      <c r="F34163" t="s">
        <v>14021</v>
      </c>
      <c r="G34163" t="s">
        <v>18031</v>
      </c>
      <c r="H34163" t="s">
        <v>18829</v>
      </c>
    </row>
    <row r="34164" spans="6:8">
      <c r="H34164" t="s">
        <v>18863</v>
      </c>
    </row>
    <row r="34165" spans="6:8">
      <c r="H34165" t="s">
        <v>21377</v>
      </c>
    </row>
    <row r="34166" spans="6:8">
      <c r="H34166" t="s">
        <v>32943</v>
      </c>
    </row>
    <row r="34167" spans="6:8">
      <c r="H34167" t="s">
        <v>32944</v>
      </c>
    </row>
    <row r="34168" spans="6:8">
      <c r="F34168" t="s">
        <v>14022</v>
      </c>
      <c r="G34168" t="s">
        <v>17876</v>
      </c>
      <c r="H34168" t="s">
        <v>32945</v>
      </c>
    </row>
    <row r="34169" spans="6:8">
      <c r="H34169" t="s">
        <v>32946</v>
      </c>
    </row>
    <row r="34170" spans="6:8">
      <c r="H34170" t="s">
        <v>19496</v>
      </c>
    </row>
    <row r="34171" spans="6:8">
      <c r="H34171" t="s">
        <v>32947</v>
      </c>
    </row>
    <row r="34172" spans="6:8">
      <c r="H34172" t="s">
        <v>32948</v>
      </c>
    </row>
    <row r="34173" spans="6:8">
      <c r="H34173" t="s">
        <v>32949</v>
      </c>
    </row>
    <row r="34174" spans="6:8">
      <c r="H34174" t="s">
        <v>32950</v>
      </c>
    </row>
    <row r="34175" spans="6:8">
      <c r="H34175" t="s">
        <v>32951</v>
      </c>
    </row>
    <row r="34176" spans="6:8">
      <c r="H34176" t="s">
        <v>32952</v>
      </c>
    </row>
    <row r="34177" spans="1:8">
      <c r="H34177" t="s">
        <v>30501</v>
      </c>
    </row>
    <row r="34178" spans="1:8">
      <c r="H34178" t="s">
        <v>32953</v>
      </c>
    </row>
    <row r="34179" spans="1:8">
      <c r="H34179" t="s">
        <v>32954</v>
      </c>
    </row>
    <row r="34180" spans="1:8">
      <c r="H34180" t="s">
        <v>32955</v>
      </c>
    </row>
    <row r="34181" spans="1:8">
      <c r="A34181" t="s">
        <v>2762</v>
      </c>
      <c r="B34181">
        <f>HYPERLINK("https://android.googlesource.com/platform/cts/+/5dd3e1f25bd36ddea9d161f9bdf3abd78d5c1388", "5dd3e1f25bd36ddea9d161f9bdf3abd78d5c1388")</f>
        <v>0</v>
      </c>
      <c r="C34181">
        <f>HYPERLINK("https://android.googlesource.com/platform/cts/+/323fe31dc07256484e257ef15841ef5d3f62b137", "323fe31dc07256484e257ef15841ef5d3f62b137")</f>
        <v>0</v>
      </c>
      <c r="D34181" t="s">
        <v>5455</v>
      </c>
      <c r="E34181" t="s">
        <v>8490</v>
      </c>
      <c r="F34181" t="s">
        <v>14023</v>
      </c>
      <c r="G34181" t="s">
        <v>18032</v>
      </c>
      <c r="H34181" t="s">
        <v>18863</v>
      </c>
    </row>
    <row r="34182" spans="1:8">
      <c r="A34182" t="s">
        <v>2763</v>
      </c>
      <c r="B34182">
        <f>HYPERLINK("https://android.googlesource.com/platform/cts/+/481371941b6825838ec97fd48e5f1ddfb501f10a", "481371941b6825838ec97fd48e5f1ddfb501f10a")</f>
        <v>0</v>
      </c>
      <c r="C34182">
        <f>HYPERLINK("https://android.googlesource.com/platform/cts/+/57598c9ad6fbeac43796726c9b146f089b2d78d5", "57598c9ad6fbeac43796726c9b146f089b2d78d5")</f>
        <v>0</v>
      </c>
      <c r="D34182" t="s">
        <v>5189</v>
      </c>
      <c r="E34182" t="s">
        <v>8491</v>
      </c>
      <c r="F34182" t="s">
        <v>12428</v>
      </c>
      <c r="G34182" t="s">
        <v>16619</v>
      </c>
      <c r="H34182" t="s">
        <v>20244</v>
      </c>
    </row>
    <row r="34183" spans="1:8">
      <c r="H34183" t="s">
        <v>22590</v>
      </c>
    </row>
    <row r="34184" spans="1:8">
      <c r="H34184" t="s">
        <v>29223</v>
      </c>
    </row>
    <row r="34185" spans="1:8">
      <c r="A34185" t="s">
        <v>2764</v>
      </c>
      <c r="B34185">
        <f>HYPERLINK("https://android.googlesource.com/platform/cts/+/368c7a56f927a6e1e33845d1f728893ab094f4b9", "368c7a56f927a6e1e33845d1f728893ab094f4b9")</f>
        <v>0</v>
      </c>
      <c r="C34185">
        <f>HYPERLINK("https://android.googlesource.com/platform/cts/+/7e9b78c0ebb5444e42ec708d0c95cd82c8576f51", "7e9b78c0ebb5444e42ec708d0c95cd82c8576f51")</f>
        <v>0</v>
      </c>
      <c r="D34185" t="s">
        <v>5320</v>
      </c>
      <c r="E34185" t="s">
        <v>8492</v>
      </c>
      <c r="F34185" t="s">
        <v>14014</v>
      </c>
      <c r="G34185" t="s">
        <v>18026</v>
      </c>
      <c r="H34185" t="s">
        <v>32956</v>
      </c>
    </row>
    <row r="34186" spans="1:8">
      <c r="H34186" t="s">
        <v>32957</v>
      </c>
    </row>
    <row r="34187" spans="1:8">
      <c r="H34187" t="s">
        <v>32958</v>
      </c>
    </row>
    <row r="34188" spans="1:8">
      <c r="H34188" t="s">
        <v>32959</v>
      </c>
    </row>
    <row r="34189" spans="1:8">
      <c r="H34189" t="s">
        <v>32960</v>
      </c>
    </row>
    <row r="34190" spans="1:8">
      <c r="H34190" t="s">
        <v>19933</v>
      </c>
    </row>
    <row r="34191" spans="1:8">
      <c r="H34191" t="s">
        <v>32961</v>
      </c>
    </row>
    <row r="34192" spans="1:8">
      <c r="H34192" t="s">
        <v>32962</v>
      </c>
    </row>
    <row r="34193" spans="1:8">
      <c r="H34193" t="s">
        <v>32963</v>
      </c>
    </row>
    <row r="34194" spans="1:8">
      <c r="H34194" t="s">
        <v>32964</v>
      </c>
    </row>
    <row r="34195" spans="1:8">
      <c r="H34195" t="s">
        <v>32965</v>
      </c>
    </row>
    <row r="34196" spans="1:8">
      <c r="H34196" t="s">
        <v>32966</v>
      </c>
    </row>
    <row r="34197" spans="1:8">
      <c r="A34197" t="s">
        <v>2765</v>
      </c>
      <c r="B34197">
        <f>HYPERLINK("https://android.googlesource.com/platform/cts/+/4540ec7024bb8f78eea794aed3479b5b2ce570a1", "4540ec7024bb8f78eea794aed3479b5b2ce570a1")</f>
        <v>0</v>
      </c>
      <c r="C34197">
        <f>HYPERLINK("https://android.googlesource.com/platform/cts/+/a90feddf8960947e26694eaaa5e40abb296b52cf", "a90feddf8960947e26694eaaa5e40abb296b52cf")</f>
        <v>0</v>
      </c>
      <c r="D34197" t="s">
        <v>5195</v>
      </c>
      <c r="E34197" t="s">
        <v>8493</v>
      </c>
      <c r="F34197" t="s">
        <v>14024</v>
      </c>
      <c r="G34197" t="s">
        <v>16875</v>
      </c>
      <c r="H34197" t="s">
        <v>32967</v>
      </c>
    </row>
    <row r="34198" spans="1:8">
      <c r="H34198" t="s">
        <v>32968</v>
      </c>
    </row>
    <row r="34199" spans="1:8">
      <c r="H34199" t="s">
        <v>32969</v>
      </c>
    </row>
    <row r="34200" spans="1:8">
      <c r="A34200" t="s">
        <v>2766</v>
      </c>
      <c r="B34200">
        <f>HYPERLINK("https://android.googlesource.com/platform/cts/+/93ed14bc14f4762e6d4c357a8db653d0bbc602f4", "93ed14bc14f4762e6d4c357a8db653d0bbc602f4")</f>
        <v>0</v>
      </c>
      <c r="C34200">
        <f>HYPERLINK("https://android.googlesource.com/platform/cts/+/4540ec7024bb8f78eea794aed3479b5b2ce570a1", "4540ec7024bb8f78eea794aed3479b5b2ce570a1")</f>
        <v>0</v>
      </c>
      <c r="D34200" t="s">
        <v>5195</v>
      </c>
      <c r="E34200" t="s">
        <v>8494</v>
      </c>
      <c r="F34200" t="s">
        <v>14024</v>
      </c>
      <c r="G34200" t="s">
        <v>16875</v>
      </c>
      <c r="H34200" t="s">
        <v>32970</v>
      </c>
    </row>
    <row r="34201" spans="1:8">
      <c r="H34201" t="s">
        <v>32971</v>
      </c>
    </row>
    <row r="34202" spans="1:8">
      <c r="A34202" t="s">
        <v>2766</v>
      </c>
      <c r="B34202">
        <f>HYPERLINK("https://android.googlesource.com/platform/cts/+/5f5dd1661e0c6beb1f169513fa230cc37c59b200", "5f5dd1661e0c6beb1f169513fa230cc37c59b200")</f>
        <v>0</v>
      </c>
      <c r="C34202">
        <f>HYPERLINK("https://android.googlesource.com/platform/cts/+/93ed14bc14f4762e6d4c357a8db653d0bbc602f4", "93ed14bc14f4762e6d4c357a8db653d0bbc602f4")</f>
        <v>0</v>
      </c>
      <c r="D34202" t="s">
        <v>5195</v>
      </c>
      <c r="E34202" t="s">
        <v>8495</v>
      </c>
      <c r="F34202" t="s">
        <v>14024</v>
      </c>
      <c r="G34202" t="s">
        <v>16875</v>
      </c>
      <c r="H34202" t="s">
        <v>32972</v>
      </c>
    </row>
    <row r="34203" spans="1:8">
      <c r="A34203" t="s">
        <v>2767</v>
      </c>
      <c r="B34203">
        <f>HYPERLINK("https://android.googlesource.com/platform/cts/+/2fd585f6e9bb310180c774eede5fc3d5726e63f9", "2fd585f6e9bb310180c774eede5fc3d5726e63f9")</f>
        <v>0</v>
      </c>
      <c r="C34203">
        <f>HYPERLINK("https://android.googlesource.com/platform/cts/+/1f2a2f92bdd8899b333806cd5725e38ede72cfd3", "1f2a2f92bdd8899b333806cd5725e38ede72cfd3")</f>
        <v>0</v>
      </c>
      <c r="D34203" t="s">
        <v>5195</v>
      </c>
      <c r="E34203" t="s">
        <v>8496</v>
      </c>
      <c r="F34203" t="s">
        <v>14025</v>
      </c>
      <c r="G34203" t="s">
        <v>18033</v>
      </c>
      <c r="H34203" t="s">
        <v>32973</v>
      </c>
    </row>
    <row r="34204" spans="1:8">
      <c r="A34204" t="s">
        <v>2769</v>
      </c>
      <c r="B34204">
        <f>HYPERLINK("https://android.googlesource.com/platform/cts/+/164b864e6c367c434c3d3e0c1ae888d199f42d43", "164b864e6c367c434c3d3e0c1ae888d199f42d43")</f>
        <v>0</v>
      </c>
      <c r="C34204">
        <f>HYPERLINK("https://android.googlesource.com/platform/cts/+/2210f52e0614cc1bc6c345998589d929d4e56a9c", "2210f52e0614cc1bc6c345998589d929d4e56a9c")</f>
        <v>0</v>
      </c>
      <c r="D34204" t="s">
        <v>5454</v>
      </c>
      <c r="E34204" t="s">
        <v>8497</v>
      </c>
      <c r="F34204" t="s">
        <v>14014</v>
      </c>
      <c r="G34204" t="s">
        <v>18026</v>
      </c>
      <c r="H34204" t="s">
        <v>19981</v>
      </c>
    </row>
    <row r="34205" spans="1:8">
      <c r="H34205" t="s">
        <v>32894</v>
      </c>
    </row>
    <row r="34206" spans="1:8">
      <c r="A34206" t="s">
        <v>2770</v>
      </c>
      <c r="B34206">
        <f>HYPERLINK("https://android.googlesource.com/platform/cts/+/433b9ce6f82b723b4cf764879872015ba65da821", "433b9ce6f82b723b4cf764879872015ba65da821")</f>
        <v>0</v>
      </c>
      <c r="C34206">
        <f>HYPERLINK("https://android.googlesource.com/platform/cts/+/09e5ed81aa072d22b98d340fbd267432d7511343", "09e5ed81aa072d22b98d340fbd267432d7511343")</f>
        <v>0</v>
      </c>
      <c r="D34206" t="s">
        <v>5304</v>
      </c>
      <c r="E34206" t="s">
        <v>8498</v>
      </c>
      <c r="F34206" t="s">
        <v>13242</v>
      </c>
      <c r="G34206" t="s">
        <v>17382</v>
      </c>
      <c r="H34206" t="s">
        <v>28992</v>
      </c>
    </row>
    <row r="34207" spans="1:8">
      <c r="A34207" t="s">
        <v>2771</v>
      </c>
      <c r="B34207">
        <f>HYPERLINK("https://android.googlesource.com/platform/cts/+/96a08228dfe44ae0a2f57bdb2fffdd66bd6ff2c1", "96a08228dfe44ae0a2f57bdb2fffdd66bd6ff2c1")</f>
        <v>0</v>
      </c>
      <c r="C34207">
        <f>HYPERLINK("https://android.googlesource.com/platform/cts/+/0e5404856409e0c482f988fb7a1e3dedc2c66ef2", "0e5404856409e0c482f988fb7a1e3dedc2c66ef2")</f>
        <v>0</v>
      </c>
      <c r="D34207" t="s">
        <v>5341</v>
      </c>
      <c r="E34207" t="s">
        <v>8499</v>
      </c>
      <c r="F34207" t="s">
        <v>13827</v>
      </c>
      <c r="G34207" t="s">
        <v>17871</v>
      </c>
      <c r="H34207" t="s">
        <v>32974</v>
      </c>
    </row>
    <row r="34208" spans="1:8">
      <c r="A34208" t="s">
        <v>2772</v>
      </c>
      <c r="B34208">
        <f>HYPERLINK("https://android.googlesource.com/platform/cts/+/99b84f74d05300d895f8d883112e8174b7a0d248", "99b84f74d05300d895f8d883112e8174b7a0d248")</f>
        <v>0</v>
      </c>
      <c r="C34208">
        <f>HYPERLINK("https://android.googlesource.com/platform/cts/+/a5316ebe504e7daf2a06e4060f2498e5915e7e6e", "a5316ebe504e7daf2a06e4060f2498e5915e7e6e")</f>
        <v>0</v>
      </c>
      <c r="D34208" t="s">
        <v>5368</v>
      </c>
      <c r="E34208" t="s">
        <v>8500</v>
      </c>
      <c r="F34208" t="s">
        <v>13758</v>
      </c>
      <c r="G34208" t="s">
        <v>17817</v>
      </c>
      <c r="H34208" t="s">
        <v>32975</v>
      </c>
    </row>
    <row r="34209" spans="1:8">
      <c r="A34209" t="s">
        <v>2773</v>
      </c>
      <c r="B34209">
        <f>HYPERLINK("https://android.googlesource.com/platform/cts/+/f5bdd8a3b5e3dd8e6edf436339de2d52bfccfafa", "f5bdd8a3b5e3dd8e6edf436339de2d52bfccfafa")</f>
        <v>0</v>
      </c>
      <c r="C34209">
        <f>HYPERLINK("https://android.googlesource.com/platform/cts/+/3086fe22a436579d3c3afb110df556f371402344", "3086fe22a436579d3c3afb110df556f371402344")</f>
        <v>0</v>
      </c>
      <c r="D34209" t="s">
        <v>5431</v>
      </c>
      <c r="E34209" t="s">
        <v>8501</v>
      </c>
      <c r="F34209" t="s">
        <v>13229</v>
      </c>
      <c r="G34209" t="s">
        <v>17370</v>
      </c>
      <c r="H34209" t="s">
        <v>32976</v>
      </c>
    </row>
    <row r="34210" spans="1:8">
      <c r="F34210" t="s">
        <v>12745</v>
      </c>
      <c r="G34210" t="s">
        <v>16937</v>
      </c>
      <c r="H34210" t="s">
        <v>32976</v>
      </c>
    </row>
    <row r="34211" spans="1:8">
      <c r="A34211" t="s">
        <v>2774</v>
      </c>
      <c r="B34211">
        <f>HYPERLINK("https://android.googlesource.com/platform/cts/+/c4e84de7d118ee1600dbbc8421237553938d8a55", "c4e84de7d118ee1600dbbc8421237553938d8a55")</f>
        <v>0</v>
      </c>
      <c r="C34211">
        <f>HYPERLINK("https://android.googlesource.com/platform/cts/+/201ad6d6154b91fb4ae6daf0c231474f10b30f4c", "201ad6d6154b91fb4ae6daf0c231474f10b30f4c")</f>
        <v>0</v>
      </c>
      <c r="D34211" t="s">
        <v>5456</v>
      </c>
      <c r="E34211" t="s">
        <v>8502</v>
      </c>
      <c r="F34211" t="s">
        <v>13846</v>
      </c>
      <c r="G34211" t="s">
        <v>17889</v>
      </c>
      <c r="H34211" t="s">
        <v>32977</v>
      </c>
    </row>
    <row r="34212" spans="1:8">
      <c r="H34212" t="s">
        <v>32978</v>
      </c>
    </row>
    <row r="34213" spans="1:8">
      <c r="H34213" t="s">
        <v>32979</v>
      </c>
    </row>
    <row r="34214" spans="1:8">
      <c r="H34214" t="s">
        <v>32980</v>
      </c>
    </row>
    <row r="34215" spans="1:8">
      <c r="H34215" t="s">
        <v>32981</v>
      </c>
    </row>
    <row r="34216" spans="1:8">
      <c r="H34216" t="s">
        <v>32982</v>
      </c>
    </row>
    <row r="34217" spans="1:8">
      <c r="H34217" t="s">
        <v>32983</v>
      </c>
    </row>
    <row r="34218" spans="1:8">
      <c r="F34218" t="s">
        <v>13899</v>
      </c>
      <c r="G34218" t="s">
        <v>17889</v>
      </c>
      <c r="H34218" t="s">
        <v>32977</v>
      </c>
    </row>
    <row r="34219" spans="1:8">
      <c r="H34219" t="s">
        <v>32978</v>
      </c>
    </row>
    <row r="34220" spans="1:8">
      <c r="H34220" t="s">
        <v>32979</v>
      </c>
    </row>
    <row r="34221" spans="1:8">
      <c r="H34221" t="s">
        <v>32980</v>
      </c>
    </row>
    <row r="34222" spans="1:8">
      <c r="H34222" t="s">
        <v>32981</v>
      </c>
    </row>
    <row r="34223" spans="1:8">
      <c r="H34223" t="s">
        <v>32982</v>
      </c>
    </row>
    <row r="34224" spans="1:8">
      <c r="H34224" t="s">
        <v>32984</v>
      </c>
    </row>
    <row r="34225" spans="1:8">
      <c r="A34225" t="s">
        <v>2775</v>
      </c>
      <c r="B34225">
        <f>HYPERLINK("https://android.googlesource.com/platform/cts/+/ab905edb0d24b91a0f5da2cd5a39d3e11e1a2613", "ab905edb0d24b91a0f5da2cd5a39d3e11e1a2613")</f>
        <v>0</v>
      </c>
      <c r="C34225">
        <f>HYPERLINK("https://android.googlesource.com/platform/cts/+/99b84f74d05300d895f8d883112e8174b7a0d248", "99b84f74d05300d895f8d883112e8174b7a0d248")</f>
        <v>0</v>
      </c>
      <c r="D34225" t="s">
        <v>5368</v>
      </c>
      <c r="E34225" t="s">
        <v>8503</v>
      </c>
      <c r="F34225" t="s">
        <v>13758</v>
      </c>
      <c r="G34225" t="s">
        <v>17817</v>
      </c>
      <c r="H34225" t="s">
        <v>32985</v>
      </c>
    </row>
    <row r="34226" spans="1:8">
      <c r="A34226" t="s">
        <v>2776</v>
      </c>
      <c r="B34226">
        <f>HYPERLINK("https://android.googlesource.com/platform/cts/+/0caeae2baf969a32e8cafc469170ea4388869767", "0caeae2baf969a32e8cafc469170ea4388869767")</f>
        <v>0</v>
      </c>
      <c r="C34226">
        <f>HYPERLINK("https://android.googlesource.com/platform/cts/+/29b8e9b36d1ebdc9255f0511d18c06d6d65ccc28", "29b8e9b36d1ebdc9255f0511d18c06d6d65ccc28")</f>
        <v>0</v>
      </c>
      <c r="D34226" t="s">
        <v>5448</v>
      </c>
      <c r="E34226" t="s">
        <v>8504</v>
      </c>
      <c r="F34226" t="s">
        <v>14026</v>
      </c>
      <c r="G34226" t="s">
        <v>17766</v>
      </c>
      <c r="H34226" t="s">
        <v>18829</v>
      </c>
    </row>
    <row r="34227" spans="1:8">
      <c r="H34227" t="s">
        <v>32986</v>
      </c>
    </row>
    <row r="34228" spans="1:8">
      <c r="H34228" t="s">
        <v>32987</v>
      </c>
    </row>
    <row r="34229" spans="1:8">
      <c r="H34229" t="s">
        <v>19873</v>
      </c>
    </row>
    <row r="34230" spans="1:8">
      <c r="H34230" t="s">
        <v>32988</v>
      </c>
    </row>
    <row r="34231" spans="1:8">
      <c r="H34231" t="s">
        <v>32989</v>
      </c>
    </row>
    <row r="34232" spans="1:8">
      <c r="F34232" t="s">
        <v>14027</v>
      </c>
      <c r="G34232" t="s">
        <v>18034</v>
      </c>
      <c r="H34232" t="s">
        <v>18829</v>
      </c>
    </row>
    <row r="34233" spans="1:8">
      <c r="H34233" t="s">
        <v>29754</v>
      </c>
    </row>
    <row r="34234" spans="1:8">
      <c r="H34234" t="s">
        <v>32990</v>
      </c>
    </row>
    <row r="34235" spans="1:8">
      <c r="H34235" t="s">
        <v>32991</v>
      </c>
    </row>
    <row r="34236" spans="1:8">
      <c r="H34236" t="s">
        <v>19019</v>
      </c>
    </row>
    <row r="34237" spans="1:8">
      <c r="A34237" t="s">
        <v>2777</v>
      </c>
      <c r="B34237">
        <f>HYPERLINK("https://android.googlesource.com/platform/cts/+/dc11e35a2483c8ab85b1b5921afa3b0e9d991069", "dc11e35a2483c8ab85b1b5921afa3b0e9d991069")</f>
        <v>0</v>
      </c>
      <c r="C34237">
        <f>HYPERLINK("https://android.googlesource.com/platform/cts/+/ccaa844b42e6918858ea4cbdb7c1831a9c5d6903", "ccaa844b42e6918858ea4cbdb7c1831a9c5d6903")</f>
        <v>0</v>
      </c>
      <c r="D34237" t="s">
        <v>5456</v>
      </c>
      <c r="E34237" t="s">
        <v>8505</v>
      </c>
      <c r="F34237" t="s">
        <v>13846</v>
      </c>
      <c r="G34237" t="s">
        <v>17889</v>
      </c>
      <c r="H34237" t="s">
        <v>32992</v>
      </c>
    </row>
    <row r="34238" spans="1:8">
      <c r="F34238" t="s">
        <v>13899</v>
      </c>
      <c r="G34238" t="s">
        <v>17889</v>
      </c>
      <c r="H34238" t="s">
        <v>32992</v>
      </c>
    </row>
    <row r="34239" spans="1:8">
      <c r="A34239" t="s">
        <v>2778</v>
      </c>
      <c r="B34239">
        <f>HYPERLINK("https://android.googlesource.com/platform/cts/+/d6aad38dcaefe19cb7aabf088b46066d344bcf0d", "d6aad38dcaefe19cb7aabf088b46066d344bcf0d")</f>
        <v>0</v>
      </c>
      <c r="C34239">
        <f>HYPERLINK("https://android.googlesource.com/platform/cts/+/3b67695cca8d4769c2b88506fdb236e292bb859f", "3b67695cca8d4769c2b88506fdb236e292bb859f")</f>
        <v>0</v>
      </c>
      <c r="D34239" t="s">
        <v>5277</v>
      </c>
      <c r="E34239" t="s">
        <v>8506</v>
      </c>
      <c r="F34239" t="s">
        <v>14028</v>
      </c>
      <c r="G34239" t="s">
        <v>17148</v>
      </c>
      <c r="H34239" t="s">
        <v>32993</v>
      </c>
    </row>
    <row r="34240" spans="1:8">
      <c r="A34240" t="s">
        <v>2779</v>
      </c>
      <c r="B34240">
        <f>HYPERLINK("https://android.googlesource.com/platform/cts/+/932edc74743224a0b0d497c090bab1627c97354b", "932edc74743224a0b0d497c090bab1627c97354b")</f>
        <v>0</v>
      </c>
      <c r="C34240">
        <f>HYPERLINK("https://android.googlesource.com/platform/cts/+/7a1a25f0045749eedb47e13620cd900c4809a4de", "7a1a25f0045749eedb47e13620cd900c4809a4de")</f>
        <v>0</v>
      </c>
      <c r="D34240" t="s">
        <v>5117</v>
      </c>
      <c r="E34240" t="s">
        <v>8507</v>
      </c>
      <c r="F34240" t="s">
        <v>14029</v>
      </c>
      <c r="G34240" t="s">
        <v>18035</v>
      </c>
      <c r="H34240" t="s">
        <v>18829</v>
      </c>
    </row>
    <row r="34241" spans="1:8">
      <c r="H34241" t="s">
        <v>18863</v>
      </c>
    </row>
    <row r="34242" spans="1:8">
      <c r="A34242" t="s">
        <v>2780</v>
      </c>
      <c r="B34242">
        <f>HYPERLINK("https://android.googlesource.com/platform/cts/+/17bdd48a5d36b1f81236d75a5363778bb53ee9a5", "17bdd48a5d36b1f81236d75a5363778bb53ee9a5")</f>
        <v>0</v>
      </c>
      <c r="C34242">
        <f>HYPERLINK("https://android.googlesource.com/platform/cts/+/ea84409e64a54d365480e7045d5243505b76ada0", "ea84409e64a54d365480e7045d5243505b76ada0")</f>
        <v>0</v>
      </c>
      <c r="D34242" t="s">
        <v>5457</v>
      </c>
      <c r="E34242" t="s">
        <v>8508</v>
      </c>
      <c r="F34242" t="s">
        <v>14030</v>
      </c>
      <c r="G34242" t="s">
        <v>17256</v>
      </c>
      <c r="H34242" t="s">
        <v>32994</v>
      </c>
    </row>
    <row r="34243" spans="1:8">
      <c r="H34243" t="s">
        <v>32995</v>
      </c>
    </row>
    <row r="34244" spans="1:8">
      <c r="A34244" t="s">
        <v>2781</v>
      </c>
      <c r="B34244">
        <f>HYPERLINK("https://android.googlesource.com/platform/cts/+/166e1a2718382651b91f10ce3cb0f75a56ff9d47", "166e1a2718382651b91f10ce3cb0f75a56ff9d47")</f>
        <v>0</v>
      </c>
      <c r="C34244">
        <f>HYPERLINK("https://android.googlesource.com/platform/cts/+/86153378cd8dd2bb286789d7112d8560f178f17d", "86153378cd8dd2bb286789d7112d8560f178f17d")</f>
        <v>0</v>
      </c>
      <c r="D34244" t="s">
        <v>5458</v>
      </c>
      <c r="E34244" t="s">
        <v>8509</v>
      </c>
      <c r="F34244" t="s">
        <v>13816</v>
      </c>
      <c r="G34244" t="s">
        <v>15089</v>
      </c>
      <c r="H34244" t="s">
        <v>32996</v>
      </c>
    </row>
    <row r="34245" spans="1:8">
      <c r="A34245" t="s">
        <v>2782</v>
      </c>
      <c r="B34245">
        <f>HYPERLINK("https://android.googlesource.com/platform/cts/+/e4829313d1cb6928486b39fd7e9244ba95515d67", "e4829313d1cb6928486b39fd7e9244ba95515d67")</f>
        <v>0</v>
      </c>
      <c r="C34245">
        <f>HYPERLINK("https://android.googlesource.com/platform/cts/+/074cbd5c0b442fcb96d330cf70c0428a3ed1e6cc", "074cbd5c0b442fcb96d330cf70c0428a3ed1e6cc")</f>
        <v>0</v>
      </c>
      <c r="D34245" t="s">
        <v>5456</v>
      </c>
      <c r="E34245" t="s">
        <v>8510</v>
      </c>
      <c r="F34245" t="s">
        <v>13846</v>
      </c>
      <c r="G34245" t="s">
        <v>17889</v>
      </c>
      <c r="H34245" t="s">
        <v>32997</v>
      </c>
    </row>
    <row r="34246" spans="1:8">
      <c r="F34246" t="s">
        <v>13899</v>
      </c>
      <c r="G34246" t="s">
        <v>17889</v>
      </c>
      <c r="H34246" t="s">
        <v>32998</v>
      </c>
    </row>
    <row r="34247" spans="1:8">
      <c r="H34247" t="s">
        <v>32997</v>
      </c>
    </row>
    <row r="34248" spans="1:8">
      <c r="A34248" t="s">
        <v>2784</v>
      </c>
      <c r="B34248">
        <f>HYPERLINK("https://android.googlesource.com/platform/cts/+/41c756a99a6ecd52c1f60e36d7858bef64c2572c", "41c756a99a6ecd52c1f60e36d7858bef64c2572c")</f>
        <v>0</v>
      </c>
      <c r="C34248">
        <f>HYPERLINK("https://android.googlesource.com/platform/cts/+/ae17b48e58f64dbe19d1761d5c40bd3861c61a0f", "ae17b48e58f64dbe19d1761d5c40bd3861c61a0f")</f>
        <v>0</v>
      </c>
      <c r="D34248" t="s">
        <v>5363</v>
      </c>
      <c r="E34248" t="s">
        <v>8511</v>
      </c>
      <c r="F34248" t="s">
        <v>14031</v>
      </c>
      <c r="G34248" t="s">
        <v>18036</v>
      </c>
      <c r="H34248" t="s">
        <v>19013</v>
      </c>
    </row>
    <row r="34249" spans="1:8">
      <c r="H34249" t="s">
        <v>18990</v>
      </c>
    </row>
    <row r="34250" spans="1:8">
      <c r="H34250" t="s">
        <v>18991</v>
      </c>
    </row>
    <row r="34251" spans="1:8">
      <c r="F34251" t="s">
        <v>14032</v>
      </c>
      <c r="G34251" t="s">
        <v>18037</v>
      </c>
      <c r="H34251" t="s">
        <v>19013</v>
      </c>
    </row>
    <row r="34252" spans="1:8">
      <c r="F34252" t="s">
        <v>14033</v>
      </c>
      <c r="G34252" t="s">
        <v>18030</v>
      </c>
      <c r="H34252" t="s">
        <v>32934</v>
      </c>
    </row>
    <row r="34253" spans="1:8">
      <c r="H34253" t="s">
        <v>32935</v>
      </c>
    </row>
    <row r="34254" spans="1:8">
      <c r="H34254" t="s">
        <v>32936</v>
      </c>
    </row>
    <row r="34255" spans="1:8">
      <c r="H34255" t="s">
        <v>32808</v>
      </c>
    </row>
    <row r="34256" spans="1:8">
      <c r="H34256" t="s">
        <v>32811</v>
      </c>
    </row>
    <row r="34257" spans="8:8">
      <c r="H34257" t="s">
        <v>32810</v>
      </c>
    </row>
    <row r="34258" spans="8:8">
      <c r="H34258" t="s">
        <v>32809</v>
      </c>
    </row>
    <row r="34259" spans="8:8">
      <c r="H34259" t="s">
        <v>25704</v>
      </c>
    </row>
    <row r="34260" spans="8:8">
      <c r="H34260" t="s">
        <v>32937</v>
      </c>
    </row>
    <row r="34261" spans="8:8">
      <c r="H34261" t="s">
        <v>32938</v>
      </c>
    </row>
    <row r="34262" spans="8:8">
      <c r="H34262" t="s">
        <v>32935</v>
      </c>
    </row>
    <row r="34263" spans="8:8">
      <c r="H34263" t="s">
        <v>32936</v>
      </c>
    </row>
    <row r="34264" spans="8:8">
      <c r="H34264" t="s">
        <v>25704</v>
      </c>
    </row>
    <row r="34265" spans="8:8">
      <c r="H34265" t="s">
        <v>19019</v>
      </c>
    </row>
    <row r="34266" spans="8:8">
      <c r="H34266" t="s">
        <v>32939</v>
      </c>
    </row>
    <row r="34267" spans="8:8">
      <c r="H34267" t="s">
        <v>32938</v>
      </c>
    </row>
    <row r="34268" spans="8:8">
      <c r="H34268" t="s">
        <v>32940</v>
      </c>
    </row>
    <row r="34269" spans="8:8">
      <c r="H34269" t="s">
        <v>25704</v>
      </c>
    </row>
    <row r="34270" spans="8:8">
      <c r="H34270" t="s">
        <v>19019</v>
      </c>
    </row>
    <row r="34271" spans="8:8">
      <c r="H34271" t="s">
        <v>32941</v>
      </c>
    </row>
    <row r="34272" spans="8:8">
      <c r="H34272" t="s">
        <v>32942</v>
      </c>
    </row>
    <row r="34273" spans="1:8">
      <c r="H34273" t="s">
        <v>32935</v>
      </c>
    </row>
    <row r="34274" spans="1:8">
      <c r="H34274" t="s">
        <v>19743</v>
      </c>
    </row>
    <row r="34275" spans="1:8">
      <c r="H34275" t="s">
        <v>25704</v>
      </c>
    </row>
    <row r="34276" spans="1:8">
      <c r="A34276" t="s">
        <v>2785</v>
      </c>
      <c r="B34276">
        <f>HYPERLINK("https://android.googlesource.com/platform/cts/+/74b2daa72febac6a0f3f82fba7bcabbdca4f1e72", "74b2daa72febac6a0f3f82fba7bcabbdca4f1e72")</f>
        <v>0</v>
      </c>
      <c r="C34276">
        <f>HYPERLINK("https://android.googlesource.com/platform/cts/+/ef99850743859934f6d78af7cf526704619a0231", "ef99850743859934f6d78af7cf526704619a0231")</f>
        <v>0</v>
      </c>
      <c r="D34276" t="s">
        <v>5459</v>
      </c>
      <c r="E34276" t="s">
        <v>8512</v>
      </c>
      <c r="F34276" t="s">
        <v>13865</v>
      </c>
      <c r="G34276" t="s">
        <v>17905</v>
      </c>
      <c r="H34276" t="s">
        <v>32630</v>
      </c>
    </row>
    <row r="34277" spans="1:8">
      <c r="H34277" t="s">
        <v>32631</v>
      </c>
    </row>
    <row r="34278" spans="1:8">
      <c r="H34278" t="s">
        <v>32632</v>
      </c>
    </row>
    <row r="34279" spans="1:8">
      <c r="H34279" t="s">
        <v>32633</v>
      </c>
    </row>
    <row r="34280" spans="1:8">
      <c r="H34280" t="s">
        <v>32634</v>
      </c>
    </row>
    <row r="34281" spans="1:8">
      <c r="H34281" t="s">
        <v>32635</v>
      </c>
    </row>
    <row r="34282" spans="1:8">
      <c r="H34282" t="s">
        <v>32636</v>
      </c>
    </row>
    <row r="34283" spans="1:8">
      <c r="H34283" t="s">
        <v>32637</v>
      </c>
    </row>
    <row r="34284" spans="1:8">
      <c r="H34284" t="s">
        <v>19972</v>
      </c>
    </row>
    <row r="34285" spans="1:8">
      <c r="A34285" t="s">
        <v>2785</v>
      </c>
      <c r="B34285">
        <f>HYPERLINK("https://android.googlesource.com/platform/cts/+/e03652520841ceb75cd5efe9cd1afd105b8d29ae", "e03652520841ceb75cd5efe9cd1afd105b8d29ae")</f>
        <v>0</v>
      </c>
      <c r="C34285">
        <f>HYPERLINK("https://android.googlesource.com/platform/cts/+/74b2daa72febac6a0f3f82fba7bcabbdca4f1e72", "74b2daa72febac6a0f3f82fba7bcabbdca4f1e72")</f>
        <v>0</v>
      </c>
      <c r="D34285" t="s">
        <v>5459</v>
      </c>
      <c r="E34285" t="s">
        <v>8513</v>
      </c>
      <c r="F34285" t="s">
        <v>13970</v>
      </c>
      <c r="G34285" t="s">
        <v>17995</v>
      </c>
      <c r="H34285" t="s">
        <v>32639</v>
      </c>
    </row>
    <row r="34286" spans="1:8">
      <c r="H34286" t="s">
        <v>32630</v>
      </c>
    </row>
    <row r="34287" spans="1:8">
      <c r="H34287" t="s">
        <v>32640</v>
      </c>
    </row>
    <row r="34288" spans="1:8">
      <c r="H34288" t="s">
        <v>32636</v>
      </c>
    </row>
    <row r="34289" spans="1:8">
      <c r="F34289" t="s">
        <v>13846</v>
      </c>
      <c r="G34289" t="s">
        <v>17889</v>
      </c>
      <c r="H34289" t="s">
        <v>32639</v>
      </c>
    </row>
    <row r="34290" spans="1:8">
      <c r="H34290" t="s">
        <v>32641</v>
      </c>
    </row>
    <row r="34291" spans="1:8">
      <c r="H34291" t="s">
        <v>32641</v>
      </c>
    </row>
    <row r="34292" spans="1:8">
      <c r="H34292" t="s">
        <v>32642</v>
      </c>
    </row>
    <row r="34293" spans="1:8">
      <c r="H34293" t="s">
        <v>19972</v>
      </c>
    </row>
    <row r="34294" spans="1:8">
      <c r="A34294" t="s">
        <v>2786</v>
      </c>
      <c r="B34294">
        <f>HYPERLINK("https://android.googlesource.com/platform/cts/+/7d7808eb646ec81ad15fc78eaaf0131489137ce6", "7d7808eb646ec81ad15fc78eaaf0131489137ce6")</f>
        <v>0</v>
      </c>
      <c r="C34294">
        <f>HYPERLINK("https://android.googlesource.com/platform/cts/+/449d9e9397a24df40e4501e310cfd53c730b243c", "449d9e9397a24df40e4501e310cfd53c730b243c")</f>
        <v>0</v>
      </c>
      <c r="D34294" t="s">
        <v>5460</v>
      </c>
      <c r="E34294" t="s">
        <v>8514</v>
      </c>
      <c r="F34294" t="s">
        <v>13417</v>
      </c>
      <c r="G34294" t="s">
        <v>17543</v>
      </c>
      <c r="H34294" t="s">
        <v>32999</v>
      </c>
    </row>
    <row r="34295" spans="1:8">
      <c r="H34295" t="s">
        <v>33000</v>
      </c>
    </row>
    <row r="34296" spans="1:8">
      <c r="H34296" t="s">
        <v>33001</v>
      </c>
    </row>
    <row r="34297" spans="1:8">
      <c r="H34297" t="s">
        <v>33002</v>
      </c>
    </row>
    <row r="34298" spans="1:8">
      <c r="A34298" t="s">
        <v>2788</v>
      </c>
      <c r="B34298">
        <f>HYPERLINK("https://android.googlesource.com/platform/cts/+/aec7bef0d2532f80e5c82750e4b2f986a9d8666c", "aec7bef0d2532f80e5c82750e4b2f986a9d8666c")</f>
        <v>0</v>
      </c>
      <c r="C34298">
        <f>HYPERLINK("https://android.googlesource.com/platform/cts/+/e9129d64dbee513d0b003065c698f464a240b24e", "e9129d64dbee513d0b003065c698f464a240b24e")</f>
        <v>0</v>
      </c>
      <c r="D34298" t="s">
        <v>5452</v>
      </c>
      <c r="E34298" t="s">
        <v>8515</v>
      </c>
      <c r="F34298" t="s">
        <v>14034</v>
      </c>
      <c r="G34298" t="s">
        <v>16770</v>
      </c>
      <c r="H34298" t="s">
        <v>33003</v>
      </c>
    </row>
    <row r="34299" spans="1:8">
      <c r="H34299" t="s">
        <v>33003</v>
      </c>
    </row>
    <row r="34300" spans="1:8">
      <c r="H34300" t="s">
        <v>32886</v>
      </c>
    </row>
    <row r="34301" spans="1:8">
      <c r="H34301" t="s">
        <v>32887</v>
      </c>
    </row>
    <row r="34302" spans="1:8">
      <c r="H34302" t="s">
        <v>33004</v>
      </c>
    </row>
    <row r="34303" spans="1:8">
      <c r="H34303" t="s">
        <v>33005</v>
      </c>
    </row>
    <row r="34304" spans="1:8">
      <c r="H34304" t="s">
        <v>32888</v>
      </c>
    </row>
    <row r="34305" spans="1:8">
      <c r="H34305" t="s">
        <v>33006</v>
      </c>
    </row>
    <row r="34306" spans="1:8">
      <c r="A34306" t="s">
        <v>2789</v>
      </c>
      <c r="B34306">
        <f>HYPERLINK("https://android.googlesource.com/platform/cts/+/36c703373f8c0014e9879822e98054e84997fdee", "36c703373f8c0014e9879822e98054e84997fdee")</f>
        <v>0</v>
      </c>
      <c r="C34306">
        <f>HYPERLINK("https://android.googlesource.com/platform/cts/+/d62d7dbf1d6dc51625810678f04267f4988103f1", "d62d7dbf1d6dc51625810678f04267f4988103f1")</f>
        <v>0</v>
      </c>
      <c r="D34306" t="s">
        <v>5452</v>
      </c>
      <c r="E34306" t="s">
        <v>8516</v>
      </c>
      <c r="F34306" t="s">
        <v>14035</v>
      </c>
      <c r="G34306" t="s">
        <v>18038</v>
      </c>
      <c r="H34306" t="s">
        <v>33007</v>
      </c>
    </row>
    <row r="34307" spans="1:8">
      <c r="H34307" t="s">
        <v>19017</v>
      </c>
    </row>
    <row r="34308" spans="1:8">
      <c r="H34308" t="s">
        <v>33008</v>
      </c>
    </row>
    <row r="34309" spans="1:8">
      <c r="F34309" t="s">
        <v>14012</v>
      </c>
      <c r="G34309" t="s">
        <v>16770</v>
      </c>
      <c r="H34309" t="s">
        <v>32885</v>
      </c>
    </row>
    <row r="34310" spans="1:8">
      <c r="H34310" t="s">
        <v>32886</v>
      </c>
    </row>
    <row r="34311" spans="1:8">
      <c r="H34311" t="s">
        <v>32887</v>
      </c>
    </row>
    <row r="34312" spans="1:8">
      <c r="H34312" t="s">
        <v>28427</v>
      </c>
    </row>
    <row r="34313" spans="1:8">
      <c r="H34313" t="s">
        <v>32888</v>
      </c>
    </row>
    <row r="34314" spans="1:8">
      <c r="H34314" t="s">
        <v>32889</v>
      </c>
    </row>
    <row r="34315" spans="1:8">
      <c r="H34315" t="s">
        <v>32890</v>
      </c>
    </row>
    <row r="34316" spans="1:8">
      <c r="A34316" t="s">
        <v>2790</v>
      </c>
      <c r="B34316">
        <f>HYPERLINK("https://android.googlesource.com/platform/cts/+/5bffff7bf21bb197ac31b21b1db84337618ca107", "5bffff7bf21bb197ac31b21b1db84337618ca107")</f>
        <v>0</v>
      </c>
      <c r="C34316">
        <f>HYPERLINK("https://android.googlesource.com/platform/cts/+/9ef7dadffc938caa1bbcc08887ca8ec3e74d6d64", "9ef7dadffc938caa1bbcc08887ca8ec3e74d6d64")</f>
        <v>0</v>
      </c>
      <c r="D34316" t="s">
        <v>5390</v>
      </c>
      <c r="E34316" t="s">
        <v>8517</v>
      </c>
      <c r="F34316" t="s">
        <v>13837</v>
      </c>
      <c r="G34316" t="s">
        <v>17880</v>
      </c>
      <c r="H34316" t="s">
        <v>33009</v>
      </c>
    </row>
    <row r="34317" spans="1:8">
      <c r="A34317" t="s">
        <v>2791</v>
      </c>
      <c r="B34317">
        <f>HYPERLINK("https://android.googlesource.com/platform/cts/+/f8d9c6359b716f098044a50aff2d00fc836e8a95", "f8d9c6359b716f098044a50aff2d00fc836e8a95")</f>
        <v>0</v>
      </c>
      <c r="C34317">
        <f>HYPERLINK("https://android.googlesource.com/platform/cts/+/b2ad9f76da71737f2e983d6b2b64eaf96fc9ff39", "b2ad9f76da71737f2e983d6b2b64eaf96fc9ff39")</f>
        <v>0</v>
      </c>
      <c r="D34317" t="s">
        <v>5290</v>
      </c>
      <c r="E34317" t="s">
        <v>8518</v>
      </c>
      <c r="F34317" t="s">
        <v>13136</v>
      </c>
      <c r="G34317" t="s">
        <v>17293</v>
      </c>
      <c r="H34317" t="s">
        <v>33010</v>
      </c>
    </row>
    <row r="34318" spans="1:8">
      <c r="A34318" t="s">
        <v>2792</v>
      </c>
      <c r="B34318">
        <f>HYPERLINK("https://android.googlesource.com/platform/cts/+/40621887f3929c82c46735101a43651d127d1421", "40621887f3929c82c46735101a43651d127d1421")</f>
        <v>0</v>
      </c>
      <c r="C34318">
        <f>HYPERLINK("https://android.googlesource.com/platform/cts/+/a34b7f8d89ab991ecf9b628f2c71b9eb37a93b22", "a34b7f8d89ab991ecf9b628f2c71b9eb37a93b22")</f>
        <v>0</v>
      </c>
      <c r="D34318" t="s">
        <v>5108</v>
      </c>
      <c r="E34318" t="s">
        <v>8519</v>
      </c>
      <c r="F34318" t="s">
        <v>14036</v>
      </c>
      <c r="G34318" t="s">
        <v>18039</v>
      </c>
      <c r="H34318" t="s">
        <v>33011</v>
      </c>
    </row>
    <row r="34319" spans="1:8">
      <c r="F34319" t="s">
        <v>12767</v>
      </c>
      <c r="G34319" t="s">
        <v>16955</v>
      </c>
      <c r="H34319" t="s">
        <v>18829</v>
      </c>
    </row>
    <row r="34320" spans="1:8">
      <c r="H34320" t="s">
        <v>33012</v>
      </c>
    </row>
    <row r="34321" spans="6:8">
      <c r="F34321" t="s">
        <v>13974</v>
      </c>
      <c r="G34321" t="s">
        <v>17999</v>
      </c>
      <c r="H34321" t="s">
        <v>26328</v>
      </c>
    </row>
    <row r="34322" spans="6:8">
      <c r="H34322" t="s">
        <v>26329</v>
      </c>
    </row>
    <row r="34323" spans="6:8">
      <c r="H34323" t="s">
        <v>26330</v>
      </c>
    </row>
    <row r="34324" spans="6:8">
      <c r="H34324" t="s">
        <v>33013</v>
      </c>
    </row>
    <row r="34325" spans="6:8">
      <c r="H34325" t="s">
        <v>26325</v>
      </c>
    </row>
    <row r="34326" spans="6:8">
      <c r="H34326" t="s">
        <v>26326</v>
      </c>
    </row>
    <row r="34327" spans="6:8">
      <c r="H34327" t="s">
        <v>26331</v>
      </c>
    </row>
    <row r="34328" spans="6:8">
      <c r="F34328" t="s">
        <v>14037</v>
      </c>
      <c r="G34328" t="s">
        <v>18040</v>
      </c>
      <c r="H34328" t="s">
        <v>18829</v>
      </c>
    </row>
    <row r="34329" spans="6:8">
      <c r="H34329" t="s">
        <v>18863</v>
      </c>
    </row>
    <row r="34330" spans="6:8">
      <c r="H34330" t="s">
        <v>26335</v>
      </c>
    </row>
    <row r="34331" spans="6:8">
      <c r="H34331" t="s">
        <v>26336</v>
      </c>
    </row>
    <row r="34332" spans="6:8">
      <c r="H34332" t="s">
        <v>26337</v>
      </c>
    </row>
    <row r="34333" spans="6:8">
      <c r="H34333" t="s">
        <v>26338</v>
      </c>
    </row>
    <row r="34334" spans="6:8">
      <c r="H34334" t="s">
        <v>26339</v>
      </c>
    </row>
    <row r="34335" spans="6:8">
      <c r="H34335" t="s">
        <v>26340</v>
      </c>
    </row>
    <row r="34336" spans="6:8">
      <c r="H34336" t="s">
        <v>26341</v>
      </c>
    </row>
    <row r="34337" spans="1:8">
      <c r="H34337" t="s">
        <v>26342</v>
      </c>
    </row>
    <row r="34338" spans="1:8">
      <c r="H34338" t="s">
        <v>26343</v>
      </c>
    </row>
    <row r="34339" spans="1:8">
      <c r="H34339" t="s">
        <v>26344</v>
      </c>
    </row>
    <row r="34340" spans="1:8">
      <c r="H34340" t="s">
        <v>26348</v>
      </c>
    </row>
    <row r="34341" spans="1:8">
      <c r="H34341" t="s">
        <v>26349</v>
      </c>
    </row>
    <row r="34342" spans="1:8">
      <c r="H34342" t="s">
        <v>29577</v>
      </c>
    </row>
    <row r="34343" spans="1:8">
      <c r="F34343" t="s">
        <v>14038</v>
      </c>
      <c r="G34343" t="s">
        <v>18041</v>
      </c>
      <c r="H34343" t="s">
        <v>26296</v>
      </c>
    </row>
    <row r="34344" spans="1:8">
      <c r="H34344" t="s">
        <v>33014</v>
      </c>
    </row>
    <row r="34345" spans="1:8">
      <c r="H34345" t="s">
        <v>33015</v>
      </c>
    </row>
    <row r="34346" spans="1:8">
      <c r="H34346" t="s">
        <v>33016</v>
      </c>
    </row>
    <row r="34347" spans="1:8">
      <c r="H34347" t="s">
        <v>33017</v>
      </c>
    </row>
    <row r="34348" spans="1:8">
      <c r="F34348" t="s">
        <v>12762</v>
      </c>
      <c r="G34348" t="s">
        <v>16953</v>
      </c>
      <c r="H34348" t="s">
        <v>26331</v>
      </c>
    </row>
    <row r="34349" spans="1:8">
      <c r="H34349" t="s">
        <v>33018</v>
      </c>
    </row>
    <row r="34350" spans="1:8">
      <c r="H34350" t="s">
        <v>33019</v>
      </c>
    </row>
    <row r="34351" spans="1:8">
      <c r="A34351" t="s">
        <v>2793</v>
      </c>
      <c r="B34351">
        <f>HYPERLINK("https://android.googlesource.com/platform/cts/+/4e2e4014e4bd6da0adda621fa5c9defc5d56d8e1", "4e2e4014e4bd6da0adda621fa5c9defc5d56d8e1")</f>
        <v>0</v>
      </c>
      <c r="C34351">
        <f>HYPERLINK("https://android.googlesource.com/platform/cts/+/7088885815f70b13b3306a2182572feb6d5a767f", "7088885815f70b13b3306a2182572feb6d5a767f")</f>
        <v>0</v>
      </c>
      <c r="D34351" t="s">
        <v>5120</v>
      </c>
      <c r="E34351" t="s">
        <v>8520</v>
      </c>
      <c r="F34351" t="s">
        <v>12176</v>
      </c>
      <c r="G34351" t="s">
        <v>16415</v>
      </c>
      <c r="H34351" t="s">
        <v>33020</v>
      </c>
    </row>
    <row r="34352" spans="1:8">
      <c r="H34352" t="s">
        <v>33021</v>
      </c>
    </row>
    <row r="34353" spans="1:8">
      <c r="A34353" t="s">
        <v>2794</v>
      </c>
      <c r="B34353">
        <f>HYPERLINK("https://android.googlesource.com/platform/cts/+/b68cce730fe9770411d6b5226888d740913710d8", "b68cce730fe9770411d6b5226888d740913710d8")</f>
        <v>0</v>
      </c>
      <c r="C34353">
        <f>HYPERLINK("https://android.googlesource.com/platform/cts/+/02b7700529acd83455faf20589d454e7dc2a88f1", "02b7700529acd83455faf20589d454e7dc2a88f1")</f>
        <v>0</v>
      </c>
      <c r="D34353" t="s">
        <v>5051</v>
      </c>
      <c r="E34353" t="s">
        <v>8521</v>
      </c>
      <c r="F34353" t="s">
        <v>13868</v>
      </c>
      <c r="G34353" t="s">
        <v>17907</v>
      </c>
      <c r="H34353" t="s">
        <v>33022</v>
      </c>
    </row>
    <row r="34354" spans="1:8">
      <c r="A34354" t="s">
        <v>2796</v>
      </c>
      <c r="B34354">
        <f>HYPERLINK("https://android.googlesource.com/platform/cts/+/8b0c41cf0de8aff8fe8c15b681958f098a92f579", "8b0c41cf0de8aff8fe8c15b681958f098a92f579")</f>
        <v>0</v>
      </c>
      <c r="C34354">
        <f>HYPERLINK("https://android.googlesource.com/platform/cts/+/0fad437a1be1d5063d80e4e57f2aa9c787e8813d", "0fad437a1be1d5063d80e4e57f2aa9c787e8813d")</f>
        <v>0</v>
      </c>
      <c r="D34354" t="s">
        <v>5390</v>
      </c>
      <c r="E34354" t="s">
        <v>8523</v>
      </c>
      <c r="F34354" t="s">
        <v>13837</v>
      </c>
      <c r="G34354" t="s">
        <v>17880</v>
      </c>
      <c r="H34354" t="s">
        <v>33009</v>
      </c>
    </row>
    <row r="34355" spans="1:8">
      <c r="A34355" t="s">
        <v>2797</v>
      </c>
      <c r="B34355">
        <f>HYPERLINK("https://android.googlesource.com/platform/cts/+/56586558555142d50f6920867f5a6e24bcdbfe05", "56586558555142d50f6920867f5a6e24bcdbfe05")</f>
        <v>0</v>
      </c>
      <c r="C34355">
        <f>HYPERLINK("https://android.googlesource.com/platform/cts/+/62691563f939938cceace69fe0a0e8aeb159e7e1", "62691563f939938cceace69fe0a0e8aeb159e7e1")</f>
        <v>0</v>
      </c>
      <c r="D34355" t="s">
        <v>5290</v>
      </c>
      <c r="E34355" t="s">
        <v>8524</v>
      </c>
      <c r="F34355" t="s">
        <v>12629</v>
      </c>
      <c r="G34355" t="s">
        <v>16838</v>
      </c>
      <c r="H34355" t="s">
        <v>33023</v>
      </c>
    </row>
    <row r="34356" spans="1:8">
      <c r="A34356" t="s">
        <v>2798</v>
      </c>
      <c r="B34356">
        <f>HYPERLINK("https://android.googlesource.com/platform/cts/+/829fa71e109920ea7fdf23372f2c811fab897d80", "829fa71e109920ea7fdf23372f2c811fab897d80")</f>
        <v>0</v>
      </c>
      <c r="C34356">
        <f>HYPERLINK("https://android.googlesource.com/platform/cts/+/a34b7f8d89ab991ecf9b628f2c71b9eb37a93b22", "a34b7f8d89ab991ecf9b628f2c71b9eb37a93b22")</f>
        <v>0</v>
      </c>
      <c r="D34356" t="s">
        <v>5357</v>
      </c>
      <c r="E34356" t="s">
        <v>8525</v>
      </c>
      <c r="F34356" t="s">
        <v>13277</v>
      </c>
      <c r="G34356" t="s">
        <v>17414</v>
      </c>
      <c r="H34356" t="s">
        <v>33024</v>
      </c>
    </row>
    <row r="34357" spans="1:8">
      <c r="H34357" t="s">
        <v>33025</v>
      </c>
    </row>
    <row r="34358" spans="1:8">
      <c r="H34358" t="s">
        <v>33026</v>
      </c>
    </row>
    <row r="34359" spans="1:8">
      <c r="A34359" t="s">
        <v>2799</v>
      </c>
      <c r="B34359">
        <f>HYPERLINK("https://android.googlesource.com/platform/cts/+/53ed839db89c7884084e9e9f07702ee343cc3125", "53ed839db89c7884084e9e9f07702ee343cc3125")</f>
        <v>0</v>
      </c>
      <c r="C34359">
        <f>HYPERLINK("https://android.googlesource.com/platform/cts/+/15c5de98e63b714fe276e9f9a3c2b7c98963a92a", "15c5de98e63b714fe276e9f9a3c2b7c98963a92a")</f>
        <v>0</v>
      </c>
      <c r="D34359" t="s">
        <v>5438</v>
      </c>
      <c r="E34359" t="s">
        <v>8526</v>
      </c>
      <c r="F34359" t="s">
        <v>14039</v>
      </c>
      <c r="G34359" t="s">
        <v>18042</v>
      </c>
      <c r="H34359" t="s">
        <v>19981</v>
      </c>
    </row>
    <row r="34360" spans="1:8">
      <c r="H34360" t="s">
        <v>18863</v>
      </c>
    </row>
    <row r="34361" spans="1:8">
      <c r="H34361" t="s">
        <v>33027</v>
      </c>
    </row>
    <row r="34362" spans="1:8">
      <c r="H34362" t="s">
        <v>32363</v>
      </c>
    </row>
    <row r="34363" spans="1:8">
      <c r="H34363" t="s">
        <v>33028</v>
      </c>
    </row>
    <row r="34364" spans="1:8">
      <c r="H34364" t="s">
        <v>33029</v>
      </c>
    </row>
    <row r="34365" spans="1:8">
      <c r="H34365" t="s">
        <v>31415</v>
      </c>
    </row>
    <row r="34366" spans="1:8">
      <c r="H34366" t="s">
        <v>33030</v>
      </c>
    </row>
    <row r="34367" spans="1:8">
      <c r="H34367" t="s">
        <v>33031</v>
      </c>
    </row>
    <row r="34368" spans="1:8">
      <c r="H34368" t="s">
        <v>33032</v>
      </c>
    </row>
    <row r="34369" spans="1:8">
      <c r="H34369" t="s">
        <v>21400</v>
      </c>
    </row>
    <row r="34370" spans="1:8">
      <c r="A34370" t="s">
        <v>2800</v>
      </c>
      <c r="B34370">
        <f>HYPERLINK("https://android.googlesource.com/platform/cts/+/e5d93c355ae9e7b357b2964884096c79b593149c", "e5d93c355ae9e7b357b2964884096c79b593149c")</f>
        <v>0</v>
      </c>
      <c r="C34370">
        <f>HYPERLINK("https://android.googlesource.com/platform/cts/+/3e399ab06481bfd431d3db09d10ed2199c7a6797", "3e399ab06481bfd431d3db09d10ed2199c7a6797")</f>
        <v>0</v>
      </c>
      <c r="D34370" t="s">
        <v>5452</v>
      </c>
      <c r="E34370" t="s">
        <v>8527</v>
      </c>
      <c r="F34370" t="s">
        <v>14034</v>
      </c>
      <c r="G34370" t="s">
        <v>18024</v>
      </c>
      <c r="H34370" t="s">
        <v>33006</v>
      </c>
    </row>
    <row r="34371" spans="1:8">
      <c r="A34371" t="s">
        <v>2801</v>
      </c>
      <c r="B34371">
        <f>HYPERLINK("https://android.googlesource.com/platform/cts/+/76fce8ddd2f38f5f454112a22495814ebf58474f", "76fce8ddd2f38f5f454112a22495814ebf58474f")</f>
        <v>0</v>
      </c>
      <c r="C34371">
        <f>HYPERLINK("https://android.googlesource.com/platform/cts/+/c008b834f0cad6f87f98123098aaa8594dfbf1ed", "c008b834f0cad6f87f98123098aaa8594dfbf1ed")</f>
        <v>0</v>
      </c>
      <c r="D34371" t="s">
        <v>5265</v>
      </c>
      <c r="E34371" t="s">
        <v>8528</v>
      </c>
      <c r="F34371" t="s">
        <v>14000</v>
      </c>
      <c r="G34371" t="s">
        <v>18013</v>
      </c>
      <c r="H34371" t="s">
        <v>32845</v>
      </c>
    </row>
    <row r="34372" spans="1:8">
      <c r="H34372" t="s">
        <v>32846</v>
      </c>
    </row>
    <row r="34373" spans="1:8">
      <c r="H34373" t="s">
        <v>32847</v>
      </c>
    </row>
    <row r="34374" spans="1:8">
      <c r="F34374" t="s">
        <v>14040</v>
      </c>
      <c r="G34374" t="s">
        <v>18043</v>
      </c>
      <c r="H34374" t="s">
        <v>33033</v>
      </c>
    </row>
    <row r="34375" spans="1:8">
      <c r="H34375" t="s">
        <v>32846</v>
      </c>
    </row>
    <row r="34376" spans="1:8">
      <c r="H34376" t="s">
        <v>32847</v>
      </c>
    </row>
    <row r="34377" spans="1:8">
      <c r="F34377" t="s">
        <v>14002</v>
      </c>
      <c r="G34377" t="s">
        <v>18015</v>
      </c>
      <c r="H34377" t="s">
        <v>32849</v>
      </c>
    </row>
    <row r="34378" spans="1:8">
      <c r="H34378" t="s">
        <v>32846</v>
      </c>
    </row>
    <row r="34379" spans="1:8">
      <c r="H34379" t="s">
        <v>32847</v>
      </c>
    </row>
    <row r="34380" spans="1:8">
      <c r="A34380" t="s">
        <v>2802</v>
      </c>
      <c r="B34380">
        <f>HYPERLINK("https://android.googlesource.com/platform/cts/+/780ca4f965997af3c376100c9389e355f26e3abe", "780ca4f965997af3c376100c9389e355f26e3abe")</f>
        <v>0</v>
      </c>
      <c r="C34380">
        <f>HYPERLINK("https://android.googlesource.com/platform/cts/+/50fa1a3f9268c8b49c795696e1d9a1d9eadeef1d", "50fa1a3f9268c8b49c795696e1d9a1d9eadeef1d")</f>
        <v>0</v>
      </c>
      <c r="D34380" t="s">
        <v>5277</v>
      </c>
      <c r="E34380" t="s">
        <v>8529</v>
      </c>
      <c r="F34380" t="s">
        <v>14041</v>
      </c>
      <c r="G34380" t="s">
        <v>18044</v>
      </c>
      <c r="H34380" t="s">
        <v>33034</v>
      </c>
    </row>
    <row r="34381" spans="1:8">
      <c r="A34381" t="s">
        <v>2803</v>
      </c>
      <c r="B34381">
        <f>HYPERLINK("https://android.googlesource.com/platform/cts/+/03580703032b422ef8ad8e3027e7906fcfd50396", "03580703032b422ef8ad8e3027e7906fcfd50396")</f>
        <v>0</v>
      </c>
      <c r="C34381">
        <f>HYPERLINK("https://android.googlesource.com/platform/cts/+/5be9a1f3bc6bc2d15034b61609a4ed03abc812e3", "5be9a1f3bc6bc2d15034b61609a4ed03abc812e3")</f>
        <v>0</v>
      </c>
      <c r="D34381" t="s">
        <v>5461</v>
      </c>
      <c r="E34381" t="s">
        <v>8530</v>
      </c>
      <c r="F34381" t="s">
        <v>14042</v>
      </c>
      <c r="G34381" t="s">
        <v>17514</v>
      </c>
      <c r="H34381" t="s">
        <v>33035</v>
      </c>
    </row>
    <row r="34382" spans="1:8">
      <c r="A34382" t="s">
        <v>2804</v>
      </c>
      <c r="B34382">
        <f>HYPERLINK("https://android.googlesource.com/platform/cts/+/799a5677300adb8ad53240d8f25004e8395dceed", "799a5677300adb8ad53240d8f25004e8395dceed")</f>
        <v>0</v>
      </c>
      <c r="C34382">
        <f>HYPERLINK("https://android.googlesource.com/platform/cts/+/5be9a1f3bc6bc2d15034b61609a4ed03abc812e3", "5be9a1f3bc6bc2d15034b61609a4ed03abc812e3")</f>
        <v>0</v>
      </c>
      <c r="D34382" t="s">
        <v>5374</v>
      </c>
      <c r="E34382" t="s">
        <v>8531</v>
      </c>
      <c r="F34382" t="s">
        <v>13165</v>
      </c>
      <c r="G34382" t="s">
        <v>17315</v>
      </c>
      <c r="H34382" t="s">
        <v>33036</v>
      </c>
    </row>
    <row r="34383" spans="1:8">
      <c r="H34383" t="s">
        <v>33037</v>
      </c>
    </row>
    <row r="34384" spans="1:8">
      <c r="H34384" t="s">
        <v>25704</v>
      </c>
    </row>
    <row r="34385" spans="1:8">
      <c r="A34385" t="s">
        <v>2805</v>
      </c>
      <c r="B34385">
        <f>HYPERLINK("https://android.googlesource.com/platform/cts/+/5f83fb34250ad0fa130f4262ad8667b2bdebdd28", "5f83fb34250ad0fa130f4262ad8667b2bdebdd28")</f>
        <v>0</v>
      </c>
      <c r="C34385">
        <f>HYPERLINK("https://android.googlesource.com/platform/cts/+/56586558555142d50f6920867f5a6e24bcdbfe05", "56586558555142d50f6920867f5a6e24bcdbfe05")</f>
        <v>0</v>
      </c>
      <c r="D34385" t="s">
        <v>5290</v>
      </c>
      <c r="E34385" t="s">
        <v>8532</v>
      </c>
      <c r="F34385" t="s">
        <v>13714</v>
      </c>
      <c r="G34385" t="s">
        <v>17781</v>
      </c>
      <c r="H34385" t="s">
        <v>33038</v>
      </c>
    </row>
    <row r="34386" spans="1:8">
      <c r="H34386" t="s">
        <v>33039</v>
      </c>
    </row>
    <row r="34387" spans="1:8">
      <c r="F34387" t="s">
        <v>12419</v>
      </c>
      <c r="G34387" t="s">
        <v>16641</v>
      </c>
      <c r="H34387" t="s">
        <v>31218</v>
      </c>
    </row>
    <row r="34388" spans="1:8">
      <c r="H34388" t="s">
        <v>33039</v>
      </c>
    </row>
    <row r="34389" spans="1:8">
      <c r="A34389" t="s">
        <v>2806</v>
      </c>
      <c r="B34389">
        <f>HYPERLINK("https://android.googlesource.com/platform/cts/+/d0f23ef3cc259bc62b0c6909e3b6fce6384e748f", "d0f23ef3cc259bc62b0c6909e3b6fce6384e748f")</f>
        <v>0</v>
      </c>
      <c r="C34389">
        <f>HYPERLINK("https://android.googlesource.com/platform/cts/+/799a5677300adb8ad53240d8f25004e8395dceed", "799a5677300adb8ad53240d8f25004e8395dceed")</f>
        <v>0</v>
      </c>
      <c r="D34389" t="s">
        <v>5374</v>
      </c>
      <c r="E34389" t="s">
        <v>8533</v>
      </c>
      <c r="F34389" t="s">
        <v>13165</v>
      </c>
      <c r="G34389" t="s">
        <v>17315</v>
      </c>
      <c r="H34389" t="s">
        <v>33037</v>
      </c>
    </row>
    <row r="34390" spans="1:8">
      <c r="A34390" t="s">
        <v>2807</v>
      </c>
      <c r="B34390">
        <f>HYPERLINK("https://android.googlesource.com/platform/cts/+/fcae258101cea3273e90524bc31eb102f2879fde", "fcae258101cea3273e90524bc31eb102f2879fde")</f>
        <v>0</v>
      </c>
      <c r="C34390">
        <f>HYPERLINK("https://android.googlesource.com/platform/cts/+/c53683b66a27a7ce4a2bbc1910e9bffa9b472dcc", "c53683b66a27a7ce4a2bbc1910e9bffa9b472dcc")</f>
        <v>0</v>
      </c>
      <c r="D34390" t="s">
        <v>5065</v>
      </c>
      <c r="E34390" t="s">
        <v>8534</v>
      </c>
      <c r="F34390" t="s">
        <v>10700</v>
      </c>
      <c r="G34390" t="s">
        <v>15100</v>
      </c>
      <c r="H34390" t="s">
        <v>32671</v>
      </c>
    </row>
    <row r="34391" spans="1:8">
      <c r="A34391" t="s">
        <v>2809</v>
      </c>
      <c r="B34391">
        <f>HYPERLINK("https://android.googlesource.com/platform/cts/+/184cfd98d73701881a32740763b1c1a70e4ee30b", "184cfd98d73701881a32740763b1c1a70e4ee30b")</f>
        <v>0</v>
      </c>
      <c r="C34391">
        <f>HYPERLINK("https://android.googlesource.com/platform/cts/+/f07a53f57dde99b333dde200a2611a64d400a6f3", "f07a53f57dde99b333dde200a2611a64d400a6f3")</f>
        <v>0</v>
      </c>
      <c r="D34391" t="s">
        <v>5290</v>
      </c>
      <c r="E34391" t="s">
        <v>8536</v>
      </c>
      <c r="F34391" t="s">
        <v>13199</v>
      </c>
      <c r="G34391" t="s">
        <v>17341</v>
      </c>
      <c r="H34391" t="s">
        <v>33040</v>
      </c>
    </row>
    <row r="34392" spans="1:8">
      <c r="F34392" t="s">
        <v>12629</v>
      </c>
      <c r="G34392" t="s">
        <v>16838</v>
      </c>
      <c r="H34392" t="s">
        <v>28068</v>
      </c>
    </row>
    <row r="34393" spans="1:8">
      <c r="F34393" t="s">
        <v>12419</v>
      </c>
      <c r="G34393" t="s">
        <v>16641</v>
      </c>
      <c r="H34393" t="s">
        <v>33041</v>
      </c>
    </row>
    <row r="34394" spans="1:8">
      <c r="A34394" t="s">
        <v>2810</v>
      </c>
      <c r="B34394">
        <f>HYPERLINK("https://android.googlesource.com/platform/cts/+/1fde417e2c6f9914e40d17b2cfdb10e71beeeb29", "1fde417e2c6f9914e40d17b2cfdb10e71beeeb29")</f>
        <v>0</v>
      </c>
      <c r="C34394">
        <f>HYPERLINK("https://android.googlesource.com/platform/cts/+/66678c8ac1fca19ea4a82af561de9e0d5e74a6d5", "66678c8ac1fca19ea4a82af561de9e0d5e74a6d5")</f>
        <v>0</v>
      </c>
      <c r="D34394" t="s">
        <v>5444</v>
      </c>
      <c r="E34394" t="s">
        <v>8537</v>
      </c>
      <c r="F34394" t="s">
        <v>13165</v>
      </c>
      <c r="G34394" t="s">
        <v>17315</v>
      </c>
      <c r="H34394" t="s">
        <v>33036</v>
      </c>
    </row>
    <row r="34395" spans="1:8">
      <c r="H34395" t="s">
        <v>33037</v>
      </c>
    </row>
    <row r="34396" spans="1:8">
      <c r="H34396" t="s">
        <v>25704</v>
      </c>
    </row>
    <row r="34397" spans="1:8">
      <c r="A34397" t="s">
        <v>2812</v>
      </c>
      <c r="B34397">
        <f>HYPERLINK("https://android.googlesource.com/platform/cts/+/82aa2e71504ad1459dae3f123de8c4eda5b3b26a", "82aa2e71504ad1459dae3f123de8c4eda5b3b26a")</f>
        <v>0</v>
      </c>
      <c r="C34397">
        <f>HYPERLINK("https://android.googlesource.com/platform/cts/+/e0715a47d25e9e887e612c6631ba4f543695ddbb", "e0715a47d25e9e887e612c6631ba4f543695ddbb")</f>
        <v>0</v>
      </c>
      <c r="D34397" t="s">
        <v>5268</v>
      </c>
      <c r="E34397" t="s">
        <v>8539</v>
      </c>
      <c r="F34397" t="s">
        <v>12176</v>
      </c>
      <c r="G34397" t="s">
        <v>16415</v>
      </c>
      <c r="H34397" t="s">
        <v>33042</v>
      </c>
    </row>
    <row r="34398" spans="1:8">
      <c r="H34398" t="s">
        <v>33043</v>
      </c>
    </row>
    <row r="34399" spans="1:8">
      <c r="A34399" t="s">
        <v>2814</v>
      </c>
      <c r="B34399">
        <f>HYPERLINK("https://android.googlesource.com/platform/cts/+/1e1a31e7f0bc67fabb53dc5d9341c7eda190e787", "1e1a31e7f0bc67fabb53dc5d9341c7eda190e787")</f>
        <v>0</v>
      </c>
      <c r="C34399">
        <f>HYPERLINK("https://android.googlesource.com/platform/cts/+/47eafda86a3375a81e2a63b322bd90ecdde092d5", "47eafda86a3375a81e2a63b322bd90ecdde092d5")</f>
        <v>0</v>
      </c>
      <c r="D34399" t="s">
        <v>5288</v>
      </c>
      <c r="E34399" t="s">
        <v>8541</v>
      </c>
      <c r="F34399" t="s">
        <v>13489</v>
      </c>
      <c r="G34399" t="s">
        <v>17608</v>
      </c>
      <c r="H34399" t="s">
        <v>20083</v>
      </c>
    </row>
    <row r="34400" spans="1:8">
      <c r="H34400" t="s">
        <v>33044</v>
      </c>
    </row>
    <row r="34401" spans="1:8">
      <c r="A34401" t="s">
        <v>2815</v>
      </c>
      <c r="B34401">
        <f>HYPERLINK("https://android.googlesource.com/platform/cts/+/f8b30819712efaa487cad7327476d6b938bec752", "f8b30819712efaa487cad7327476d6b938bec752")</f>
        <v>0</v>
      </c>
      <c r="C34401">
        <f>HYPERLINK("https://android.googlesource.com/platform/cts/+/cc4048d7de8ca59f5d6ab5fe4530b078e5ef46f9", "cc4048d7de8ca59f5d6ab5fe4530b078e5ef46f9")</f>
        <v>0</v>
      </c>
      <c r="D34401" t="s">
        <v>5415</v>
      </c>
      <c r="E34401" t="s">
        <v>8542</v>
      </c>
      <c r="F34401" t="s">
        <v>14043</v>
      </c>
      <c r="G34401" t="s">
        <v>18045</v>
      </c>
      <c r="H34401" t="s">
        <v>26751</v>
      </c>
    </row>
    <row r="34402" spans="1:8">
      <c r="A34402" t="s">
        <v>2816</v>
      </c>
      <c r="B34402">
        <f>HYPERLINK("https://android.googlesource.com/platform/cts/+/9bad31458ed7cb58e2d71278d31523bd3ae74ecd", "9bad31458ed7cb58e2d71278d31523bd3ae74ecd")</f>
        <v>0</v>
      </c>
      <c r="C34402">
        <f>HYPERLINK("https://android.googlesource.com/platform/cts/+/065b522a42a06ae6be08139987de46d7bd90eacd", "065b522a42a06ae6be08139987de46d7bd90eacd")</f>
        <v>0</v>
      </c>
      <c r="D34402" t="s">
        <v>4974</v>
      </c>
      <c r="E34402" t="s">
        <v>8543</v>
      </c>
      <c r="F34402" t="s">
        <v>10778</v>
      </c>
      <c r="G34402" t="s">
        <v>15174</v>
      </c>
      <c r="H34402" t="s">
        <v>33045</v>
      </c>
    </row>
    <row r="34403" spans="1:8">
      <c r="A34403" t="s">
        <v>2817</v>
      </c>
      <c r="B34403">
        <f>HYPERLINK("https://android.googlesource.com/platform/cts/+/b3a63b7b0c18a577b4fcd3f126b1fc38c339ea9b", "b3a63b7b0c18a577b4fcd3f126b1fc38c339ea9b")</f>
        <v>0</v>
      </c>
      <c r="C34403">
        <f>HYPERLINK("https://android.googlesource.com/platform/cts/+/ce86bdf2f644be3fdc9c3b2fb824cea1bc86e2e7", "ce86bdf2f644be3fdc9c3b2fb824cea1bc86e2e7")</f>
        <v>0</v>
      </c>
      <c r="D34403" t="s">
        <v>5293</v>
      </c>
      <c r="E34403" t="s">
        <v>8544</v>
      </c>
      <c r="F34403" t="s">
        <v>13468</v>
      </c>
      <c r="G34403" t="s">
        <v>17587</v>
      </c>
      <c r="H34403" t="s">
        <v>33046</v>
      </c>
    </row>
    <row r="34404" spans="1:8">
      <c r="H34404" t="s">
        <v>33047</v>
      </c>
    </row>
    <row r="34405" spans="1:8">
      <c r="H34405" t="s">
        <v>33048</v>
      </c>
    </row>
    <row r="34406" spans="1:8">
      <c r="H34406" t="s">
        <v>33049</v>
      </c>
    </row>
    <row r="34407" spans="1:8">
      <c r="A34407" t="s">
        <v>2818</v>
      </c>
      <c r="B34407">
        <f>HYPERLINK("https://android.googlesource.com/platform/cts/+/ba449f4bdd03eab5052a937712c19a8f40af3c03", "ba449f4bdd03eab5052a937712c19a8f40af3c03")</f>
        <v>0</v>
      </c>
      <c r="C34407">
        <f>HYPERLINK("https://android.googlesource.com/platform/cts/+/c9f3c69c796c2bef5d0d96fc810c35855152a969", "c9f3c69c796c2bef5d0d96fc810c35855152a969")</f>
        <v>0</v>
      </c>
      <c r="D34407" t="s">
        <v>5260</v>
      </c>
      <c r="E34407" t="s">
        <v>8545</v>
      </c>
      <c r="F34407" t="s">
        <v>10666</v>
      </c>
      <c r="G34407" t="s">
        <v>15067</v>
      </c>
      <c r="H34407" t="s">
        <v>33050</v>
      </c>
    </row>
    <row r="34408" spans="1:8">
      <c r="H34408" t="s">
        <v>33051</v>
      </c>
    </row>
    <row r="34409" spans="1:8">
      <c r="H34409" t="s">
        <v>33052</v>
      </c>
    </row>
    <row r="34410" spans="1:8">
      <c r="H34410" t="s">
        <v>33053</v>
      </c>
    </row>
    <row r="34411" spans="1:8">
      <c r="H34411" t="s">
        <v>33054</v>
      </c>
    </row>
    <row r="34412" spans="1:8">
      <c r="H34412" t="s">
        <v>33055</v>
      </c>
    </row>
    <row r="34413" spans="1:8">
      <c r="A34413" t="s">
        <v>2823</v>
      </c>
      <c r="B34413">
        <f>HYPERLINK("https://android.googlesource.com/platform/cts/+/0e0fd9ab54808180ef9ebe64f099b8713e425a72", "0e0fd9ab54808180ef9ebe64f099b8713e425a72")</f>
        <v>0</v>
      </c>
      <c r="C34413">
        <f>HYPERLINK("https://android.googlesource.com/platform/cts/+/bd13fb76325d0d6a40daf4b096888da74b229118", "bd13fb76325d0d6a40daf4b096888da74b229118")</f>
        <v>0</v>
      </c>
      <c r="D34413" t="s">
        <v>5462</v>
      </c>
      <c r="E34413" t="s">
        <v>8548</v>
      </c>
      <c r="F34413" t="s">
        <v>14044</v>
      </c>
      <c r="G34413" t="s">
        <v>16815</v>
      </c>
      <c r="H34413" t="s">
        <v>18829</v>
      </c>
    </row>
    <row r="34414" spans="1:8">
      <c r="H34414" t="s">
        <v>18863</v>
      </c>
    </row>
    <row r="34415" spans="1:8">
      <c r="A34415" t="s">
        <v>2824</v>
      </c>
      <c r="B34415">
        <f>HYPERLINK("https://android.googlesource.com/platform/cts/+/079ddf59a66f120524c2a995a3054e40dc1a7ddb", "079ddf59a66f120524c2a995a3054e40dc1a7ddb")</f>
        <v>0</v>
      </c>
      <c r="C34415">
        <f>HYPERLINK("https://android.googlesource.com/platform/cts/+/1df3ed083ed11ef4804e24bdba1f7ce331e5d694", "1df3ed083ed11ef4804e24bdba1f7ce331e5d694")</f>
        <v>0</v>
      </c>
      <c r="D34415" t="s">
        <v>5195</v>
      </c>
      <c r="E34415" t="s">
        <v>8549</v>
      </c>
      <c r="F34415" t="s">
        <v>13888</v>
      </c>
      <c r="G34415" t="s">
        <v>15054</v>
      </c>
      <c r="H34415" t="s">
        <v>33056</v>
      </c>
    </row>
    <row r="34416" spans="1:8">
      <c r="A34416" t="s">
        <v>2825</v>
      </c>
      <c r="B34416">
        <f>HYPERLINK("https://android.googlesource.com/platform/cts/+/f5ec9af0578dc20aa93d5c097e6a8f777704ec53", "f5ec9af0578dc20aa93d5c097e6a8f777704ec53")</f>
        <v>0</v>
      </c>
      <c r="C34416">
        <f>HYPERLINK("https://android.googlesource.com/platform/cts/+/243ea273039caa809d83fbf53220cc4e6779f65d", "243ea273039caa809d83fbf53220cc4e6779f65d")</f>
        <v>0</v>
      </c>
      <c r="D34416" t="s">
        <v>5389</v>
      </c>
      <c r="E34416" t="s">
        <v>8550</v>
      </c>
      <c r="F34416" t="s">
        <v>14045</v>
      </c>
      <c r="G34416" t="s">
        <v>15089</v>
      </c>
      <c r="H34416" t="s">
        <v>33057</v>
      </c>
    </row>
    <row r="34417" spans="1:8">
      <c r="A34417" t="s">
        <v>2828</v>
      </c>
      <c r="B34417">
        <f>HYPERLINK("https://android.googlesource.com/platform/cts/+/97ba1fd294dc10243bab961a86d8797776e3df07", "97ba1fd294dc10243bab961a86d8797776e3df07")</f>
        <v>0</v>
      </c>
      <c r="C34417">
        <f>HYPERLINK("https://android.googlesource.com/platform/cts/+/9b80b4d375bd8413fd6a8a398de2c6f560654f81", "9b80b4d375bd8413fd6a8a398de2c6f560654f81")</f>
        <v>0</v>
      </c>
      <c r="D34417" t="s">
        <v>5347</v>
      </c>
      <c r="E34417" t="s">
        <v>8552</v>
      </c>
      <c r="F34417" t="s">
        <v>10645</v>
      </c>
      <c r="G34417" t="s">
        <v>15046</v>
      </c>
      <c r="H34417" t="s">
        <v>33058</v>
      </c>
    </row>
    <row r="34418" spans="1:8">
      <c r="A34418" t="s">
        <v>2829</v>
      </c>
      <c r="B34418">
        <f>HYPERLINK("https://android.googlesource.com/platform/cts/+/f1d56c965d717710a927c2cad9231d7b1757a1e0", "f1d56c965d717710a927c2cad9231d7b1757a1e0")</f>
        <v>0</v>
      </c>
      <c r="C34418">
        <f>HYPERLINK("https://android.googlesource.com/platform/cts/+/0019895272bf9405e7f99f696fe7bedb1b7c07cb", "0019895272bf9405e7f99f696fe7bedb1b7c07cb")</f>
        <v>0</v>
      </c>
      <c r="D34418" t="s">
        <v>5443</v>
      </c>
      <c r="E34418" t="s">
        <v>8553</v>
      </c>
      <c r="F34418" t="s">
        <v>13716</v>
      </c>
      <c r="G34418" t="s">
        <v>17783</v>
      </c>
      <c r="H34418" t="s">
        <v>33059</v>
      </c>
    </row>
    <row r="34419" spans="1:8">
      <c r="A34419" t="s">
        <v>2830</v>
      </c>
      <c r="B34419">
        <f>HYPERLINK("https://android.googlesource.com/platform/cts/+/b442b5177076b711de4f61c385716fc7f79a02cf", "b442b5177076b711de4f61c385716fc7f79a02cf")</f>
        <v>0</v>
      </c>
      <c r="C34419">
        <f>HYPERLINK("https://android.googlesource.com/platform/cts/+/5d2448c6ecfc797dbdff7ed46ab9b67ace020309", "5d2448c6ecfc797dbdff7ed46ab9b67ace020309")</f>
        <v>0</v>
      </c>
      <c r="D34419" t="s">
        <v>4981</v>
      </c>
      <c r="E34419" t="s">
        <v>8554</v>
      </c>
      <c r="F34419" t="s">
        <v>14046</v>
      </c>
      <c r="G34419" t="s">
        <v>17789</v>
      </c>
      <c r="H34419" t="s">
        <v>33060</v>
      </c>
    </row>
    <row r="34420" spans="1:8">
      <c r="H34420" t="s">
        <v>33061</v>
      </c>
    </row>
    <row r="34421" spans="1:8">
      <c r="H34421" t="s">
        <v>33062</v>
      </c>
    </row>
    <row r="34422" spans="1:8">
      <c r="H34422" t="s">
        <v>33063</v>
      </c>
    </row>
    <row r="34423" spans="1:8">
      <c r="H34423" t="s">
        <v>31647</v>
      </c>
    </row>
    <row r="34424" spans="1:8">
      <c r="A34424" t="s">
        <v>2832</v>
      </c>
      <c r="B34424">
        <f>HYPERLINK("https://android.googlesource.com/platform/cts/+/da41599d04f49e2d429e125bd4d2da7efbfafd12", "da41599d04f49e2d429e125bd4d2da7efbfafd12")</f>
        <v>0</v>
      </c>
      <c r="C34424">
        <f>HYPERLINK("https://android.googlesource.com/platform/cts/+/b5c493ea726fb3291537b7e5ed2eaaac4c9bdeec", "b5c493ea726fb3291537b7e5ed2eaaac4c9bdeec")</f>
        <v>0</v>
      </c>
      <c r="D34424" t="s">
        <v>5134</v>
      </c>
      <c r="E34424" t="s">
        <v>8556</v>
      </c>
      <c r="F34424" t="s">
        <v>12808</v>
      </c>
      <c r="G34424" t="s">
        <v>16989</v>
      </c>
      <c r="H34424" t="s">
        <v>33064</v>
      </c>
    </row>
    <row r="34425" spans="1:8">
      <c r="A34425" t="s">
        <v>2833</v>
      </c>
      <c r="B34425">
        <f>HYPERLINK("https://android.googlesource.com/platform/cts/+/7113a5a574bc50b389d7726c51c4808b877d28b5", "7113a5a574bc50b389d7726c51c4808b877d28b5")</f>
        <v>0</v>
      </c>
      <c r="C34425">
        <f>HYPERLINK("https://android.googlesource.com/platform/cts/+/ceab31c36b8b494ca0d289b5c71fd1ca423afd12", "ceab31c36b8b494ca0d289b5c71fd1ca423afd12")</f>
        <v>0</v>
      </c>
      <c r="D34425" t="s">
        <v>5290</v>
      </c>
      <c r="E34425" t="s">
        <v>8557</v>
      </c>
      <c r="F34425" t="s">
        <v>14047</v>
      </c>
      <c r="G34425" t="s">
        <v>18046</v>
      </c>
      <c r="H34425" t="s">
        <v>33065</v>
      </c>
    </row>
    <row r="34426" spans="1:8">
      <c r="H34426" t="s">
        <v>33066</v>
      </c>
    </row>
    <row r="34427" spans="1:8">
      <c r="H34427" t="s">
        <v>33067</v>
      </c>
    </row>
    <row r="34428" spans="1:8">
      <c r="H34428" t="s">
        <v>33068</v>
      </c>
    </row>
    <row r="34429" spans="1:8">
      <c r="F34429" t="s">
        <v>13451</v>
      </c>
      <c r="G34429" t="s">
        <v>17573</v>
      </c>
      <c r="H34429" t="s">
        <v>33066</v>
      </c>
    </row>
    <row r="34430" spans="1:8">
      <c r="H34430" t="s">
        <v>33065</v>
      </c>
    </row>
    <row r="34431" spans="1:8">
      <c r="F34431" t="s">
        <v>13531</v>
      </c>
      <c r="G34431" t="s">
        <v>17574</v>
      </c>
      <c r="H34431" t="s">
        <v>28680</v>
      </c>
    </row>
    <row r="34432" spans="1:8">
      <c r="H34432" t="s">
        <v>28681</v>
      </c>
    </row>
    <row r="34433" spans="1:8">
      <c r="F34433" t="s">
        <v>14048</v>
      </c>
      <c r="G34433" t="s">
        <v>17363</v>
      </c>
      <c r="H34433" t="s">
        <v>28666</v>
      </c>
    </row>
    <row r="34434" spans="1:8">
      <c r="H34434" t="s">
        <v>28680</v>
      </c>
    </row>
    <row r="34435" spans="1:8">
      <c r="H34435" t="s">
        <v>28681</v>
      </c>
    </row>
    <row r="34436" spans="1:8">
      <c r="H34436" t="s">
        <v>28682</v>
      </c>
    </row>
    <row r="34437" spans="1:8">
      <c r="H34437" t="s">
        <v>28683</v>
      </c>
    </row>
    <row r="34438" spans="1:8">
      <c r="A34438" t="s">
        <v>2834</v>
      </c>
      <c r="B34438">
        <f>HYPERLINK("https://android.googlesource.com/platform/cts/+/60ff6571a54ada05cd62d9884cf43fda61e75ef0", "60ff6571a54ada05cd62d9884cf43fda61e75ef0")</f>
        <v>0</v>
      </c>
      <c r="C34438">
        <f>HYPERLINK("https://android.googlesource.com/platform/cts/+/20c9e2881d1b191b19456de420ea9772c504168f", "20c9e2881d1b191b19456de420ea9772c504168f")</f>
        <v>0</v>
      </c>
      <c r="D34438" t="s">
        <v>5463</v>
      </c>
      <c r="E34438" t="s">
        <v>8558</v>
      </c>
      <c r="F34438" t="s">
        <v>13348</v>
      </c>
      <c r="G34438" t="s">
        <v>17475</v>
      </c>
      <c r="H34438" t="s">
        <v>33069</v>
      </c>
    </row>
    <row r="34439" spans="1:8">
      <c r="A34439" t="s">
        <v>2837</v>
      </c>
      <c r="B34439">
        <f>HYPERLINK("https://android.googlesource.com/platform/cts/+/0ead14408b373ea9d9b476cf9f5398b415b6272b", "0ead14408b373ea9d9b476cf9f5398b415b6272b")</f>
        <v>0</v>
      </c>
      <c r="C34439">
        <f>HYPERLINK("https://android.googlesource.com/platform/cts/+/5cbeaec84d81e9a65af3556dbf9c443efee6b22e", "5cbeaec84d81e9a65af3556dbf9c443efee6b22e")</f>
        <v>0</v>
      </c>
      <c r="D34439" t="s">
        <v>5307</v>
      </c>
      <c r="E34439" t="s">
        <v>8561</v>
      </c>
      <c r="F34439" t="s">
        <v>14046</v>
      </c>
      <c r="G34439" t="s">
        <v>17789</v>
      </c>
      <c r="H34439" t="s">
        <v>33070</v>
      </c>
    </row>
    <row r="34440" spans="1:8">
      <c r="F34440" t="s">
        <v>14049</v>
      </c>
      <c r="G34440" t="s">
        <v>18047</v>
      </c>
      <c r="H34440" t="s">
        <v>26522</v>
      </c>
    </row>
    <row r="34441" spans="1:8">
      <c r="H34441" t="s">
        <v>18829</v>
      </c>
    </row>
    <row r="34442" spans="1:8">
      <c r="H34442" t="s">
        <v>33071</v>
      </c>
    </row>
    <row r="34443" spans="1:8">
      <c r="A34443" t="s">
        <v>2838</v>
      </c>
      <c r="B34443">
        <f>HYPERLINK("https://android.googlesource.com/platform/cts/+/c66463fbc5a450a0d444b927de5844e811dcde33", "c66463fbc5a450a0d444b927de5844e811dcde33")</f>
        <v>0</v>
      </c>
      <c r="C34443">
        <f>HYPERLINK("https://android.googlesource.com/platform/cts/+/d0bad5fb70a6a90c447566db813ebe76ca290d98", "d0bad5fb70a6a90c447566db813ebe76ca290d98")</f>
        <v>0</v>
      </c>
      <c r="D34443" t="s">
        <v>5108</v>
      </c>
      <c r="E34443" t="s">
        <v>8562</v>
      </c>
      <c r="F34443" t="s">
        <v>12394</v>
      </c>
      <c r="G34443" t="s">
        <v>17294</v>
      </c>
      <c r="H34443" t="s">
        <v>28068</v>
      </c>
    </row>
    <row r="34444" spans="1:8">
      <c r="A34444" t="s">
        <v>2839</v>
      </c>
      <c r="B34444">
        <f>HYPERLINK("https://android.googlesource.com/platform/cts/+/583517f6e7390969be99e293330574dc392aa2f9", "583517f6e7390969be99e293330574dc392aa2f9")</f>
        <v>0</v>
      </c>
      <c r="C34444">
        <f>HYPERLINK("https://android.googlesource.com/platform/cts/+/68c21b521b58108132cea593d6dec7d9a304cc71", "68c21b521b58108132cea593d6dec7d9a304cc71")</f>
        <v>0</v>
      </c>
      <c r="D34444" t="s">
        <v>5427</v>
      </c>
      <c r="E34444" t="s">
        <v>8563</v>
      </c>
      <c r="F34444" t="s">
        <v>12839</v>
      </c>
      <c r="G34444" t="s">
        <v>18048</v>
      </c>
      <c r="H34444" t="s">
        <v>33072</v>
      </c>
    </row>
    <row r="34445" spans="1:8">
      <c r="H34445" t="s">
        <v>18829</v>
      </c>
    </row>
    <row r="34446" spans="1:8">
      <c r="H34446" t="s">
        <v>33073</v>
      </c>
    </row>
    <row r="34447" spans="1:8">
      <c r="H34447" t="s">
        <v>33074</v>
      </c>
    </row>
    <row r="34448" spans="1:8">
      <c r="H34448" t="s">
        <v>33075</v>
      </c>
    </row>
    <row r="34449" spans="1:8">
      <c r="H34449" t="s">
        <v>33076</v>
      </c>
    </row>
    <row r="34450" spans="1:8">
      <c r="H34450" t="s">
        <v>33077</v>
      </c>
    </row>
    <row r="34451" spans="1:8">
      <c r="H34451" t="s">
        <v>20083</v>
      </c>
    </row>
    <row r="34452" spans="1:8">
      <c r="A34452" t="s">
        <v>2840</v>
      </c>
      <c r="B34452">
        <f>HYPERLINK("https://android.googlesource.com/platform/cts/+/129e808f3b114c54af27cad05459443a2e161462", "129e808f3b114c54af27cad05459443a2e161462")</f>
        <v>0</v>
      </c>
      <c r="C34452">
        <f>HYPERLINK("https://android.googlesource.com/platform/cts/+/2bb95ca95e28dbd1c13d2e16ab4b51499a2cb670", "2bb95ca95e28dbd1c13d2e16ab4b51499a2cb670")</f>
        <v>0</v>
      </c>
      <c r="D34452" t="s">
        <v>5464</v>
      </c>
      <c r="E34452" t="s">
        <v>8564</v>
      </c>
      <c r="F34452" t="s">
        <v>14050</v>
      </c>
      <c r="G34452" t="s">
        <v>18049</v>
      </c>
      <c r="H34452" t="s">
        <v>33078</v>
      </c>
    </row>
    <row r="34453" spans="1:8">
      <c r="H34453" t="s">
        <v>33079</v>
      </c>
    </row>
    <row r="34454" spans="1:8">
      <c r="H34454" t="s">
        <v>33080</v>
      </c>
    </row>
    <row r="34455" spans="1:8">
      <c r="A34455" t="s">
        <v>2841</v>
      </c>
      <c r="B34455">
        <f>HYPERLINK("https://android.googlesource.com/platform/cts/+/777906536381a4fc177700b62f8f404e589f7998", "777906536381a4fc177700b62f8f404e589f7998")</f>
        <v>0</v>
      </c>
      <c r="C34455">
        <f>HYPERLINK("https://android.googlesource.com/platform/cts/+/4464c05337a7522467a3c7d66bf9f4a62b773791", "4464c05337a7522467a3c7d66bf9f4a62b773791")</f>
        <v>0</v>
      </c>
      <c r="D34455" t="s">
        <v>5396</v>
      </c>
      <c r="E34455" t="s">
        <v>8565</v>
      </c>
      <c r="F34455" t="s">
        <v>14051</v>
      </c>
      <c r="G34455" t="s">
        <v>18050</v>
      </c>
      <c r="H34455" t="s">
        <v>33081</v>
      </c>
    </row>
    <row r="34456" spans="1:8">
      <c r="A34456" t="s">
        <v>2842</v>
      </c>
      <c r="B34456">
        <f>HYPERLINK("https://android.googlesource.com/platform/cts/+/907e30cf70da2fb28517917ff4df37328e6d4513", "907e30cf70da2fb28517917ff4df37328e6d4513")</f>
        <v>0</v>
      </c>
      <c r="C34456">
        <f>HYPERLINK("https://android.googlesource.com/platform/cts/+/e4cd5172f9636fa35a22932f389159487c68519c", "e4cd5172f9636fa35a22932f389159487c68519c")</f>
        <v>0</v>
      </c>
      <c r="D34456" t="s">
        <v>5465</v>
      </c>
      <c r="E34456" t="s">
        <v>8566</v>
      </c>
      <c r="F34456" t="s">
        <v>13905</v>
      </c>
      <c r="G34456" t="s">
        <v>17942</v>
      </c>
      <c r="H34456" t="s">
        <v>33082</v>
      </c>
    </row>
    <row r="34457" spans="1:8">
      <c r="A34457" t="s">
        <v>2843</v>
      </c>
      <c r="B34457">
        <f>HYPERLINK("https://android.googlesource.com/platform/cts/+/1c539bf510c9aa9fe80eadce3dfac5e88c517bfd", "1c539bf510c9aa9fe80eadce3dfac5e88c517bfd")</f>
        <v>0</v>
      </c>
      <c r="C34457">
        <f>HYPERLINK("https://android.googlesource.com/platform/cts/+/ea3bfafe844e5b9a857e43a4e261427fa4195e4b", "ea3bfafe844e5b9a857e43a4e261427fa4195e4b")</f>
        <v>0</v>
      </c>
      <c r="D34457" t="s">
        <v>5466</v>
      </c>
      <c r="E34457" t="s">
        <v>8567</v>
      </c>
      <c r="F34457" t="s">
        <v>13887</v>
      </c>
      <c r="G34457" t="s">
        <v>17319</v>
      </c>
      <c r="H34457" t="s">
        <v>33083</v>
      </c>
    </row>
    <row r="34458" spans="1:8">
      <c r="H34458" t="s">
        <v>33083</v>
      </c>
    </row>
    <row r="34459" spans="1:8">
      <c r="H34459" t="s">
        <v>33084</v>
      </c>
    </row>
    <row r="34460" spans="1:8">
      <c r="H34460" t="s">
        <v>33085</v>
      </c>
    </row>
    <row r="34461" spans="1:8">
      <c r="H34461" t="s">
        <v>33086</v>
      </c>
    </row>
    <row r="34462" spans="1:8">
      <c r="H34462" t="s">
        <v>33087</v>
      </c>
    </row>
    <row r="34463" spans="1:8">
      <c r="H34463" t="s">
        <v>33088</v>
      </c>
    </row>
    <row r="34464" spans="1:8">
      <c r="H34464" t="s">
        <v>33089</v>
      </c>
    </row>
    <row r="34465" spans="1:8">
      <c r="A34465" t="s">
        <v>2844</v>
      </c>
      <c r="B34465">
        <f>HYPERLINK("https://android.googlesource.com/platform/cts/+/6ed1c7c08f04eeaa16945dca6e85e12bf91ed76e", "6ed1c7c08f04eeaa16945dca6e85e12bf91ed76e")</f>
        <v>0</v>
      </c>
      <c r="C34465">
        <f>HYPERLINK("https://android.googlesource.com/platform/cts/+/bb983be89b60d7d3fce24ca075a5ccc87afa32b4", "bb983be89b60d7d3fce24ca075a5ccc87afa32b4")</f>
        <v>0</v>
      </c>
      <c r="D34465" t="s">
        <v>5374</v>
      </c>
      <c r="E34465" t="s">
        <v>8568</v>
      </c>
      <c r="F34465" t="s">
        <v>13165</v>
      </c>
      <c r="G34465" t="s">
        <v>17315</v>
      </c>
      <c r="H34465" t="s">
        <v>33090</v>
      </c>
    </row>
    <row r="34466" spans="1:8">
      <c r="H34466" t="s">
        <v>32378</v>
      </c>
    </row>
    <row r="34467" spans="1:8">
      <c r="A34467" t="s">
        <v>2845</v>
      </c>
      <c r="B34467">
        <f>HYPERLINK("https://android.googlesource.com/platform/cts/+/a02ee93e6f70973931d3f26920e815079aa45125", "a02ee93e6f70973931d3f26920e815079aa45125")</f>
        <v>0</v>
      </c>
      <c r="C34467">
        <f>HYPERLINK("https://android.googlesource.com/platform/cts/+/d30f60148bc8504c0c0cee4f6a19fe9282c8ee58", "d30f60148bc8504c0c0cee4f6a19fe9282c8ee58")</f>
        <v>0</v>
      </c>
      <c r="D34467" t="s">
        <v>5467</v>
      </c>
      <c r="E34467" t="s">
        <v>8569</v>
      </c>
      <c r="F34467" t="s">
        <v>14052</v>
      </c>
      <c r="G34467" t="s">
        <v>18051</v>
      </c>
      <c r="H34467" t="s">
        <v>33091</v>
      </c>
    </row>
    <row r="34468" spans="1:8">
      <c r="A34468" t="s">
        <v>2846</v>
      </c>
      <c r="B34468">
        <f>HYPERLINK("https://android.googlesource.com/platform/cts/+/56be017f121bf1985e9a4bf6adc1a08d83ed9240", "56be017f121bf1985e9a4bf6adc1a08d83ed9240")</f>
        <v>0</v>
      </c>
      <c r="C34468">
        <f>HYPERLINK("https://android.googlesource.com/platform/cts/+/ee523ea0fc37e906907a607c9b97969df7282001", "ee523ea0fc37e906907a607c9b97969df7282001")</f>
        <v>0</v>
      </c>
      <c r="D34468" t="s">
        <v>5344</v>
      </c>
      <c r="E34468" t="s">
        <v>8570</v>
      </c>
      <c r="F34468" t="s">
        <v>13402</v>
      </c>
      <c r="G34468" t="s">
        <v>17528</v>
      </c>
      <c r="H34468" t="s">
        <v>33092</v>
      </c>
    </row>
    <row r="34469" spans="1:8">
      <c r="H34469" t="s">
        <v>33093</v>
      </c>
    </row>
    <row r="34470" spans="1:8">
      <c r="A34470" t="s">
        <v>2847</v>
      </c>
      <c r="B34470">
        <f>HYPERLINK("https://android.googlesource.com/platform/cts/+/d61c6c40bfe3b4a32814e83e509c134c1bb1ff45", "d61c6c40bfe3b4a32814e83e509c134c1bb1ff45")</f>
        <v>0</v>
      </c>
      <c r="C34470">
        <f>HYPERLINK("https://android.googlesource.com/platform/cts/+/8489df4dcd3c91cf48468181cc19795688c78d3d", "8489df4dcd3c91cf48468181cc19795688c78d3d")</f>
        <v>0</v>
      </c>
      <c r="D34470" t="s">
        <v>5468</v>
      </c>
      <c r="E34470" t="s">
        <v>8571</v>
      </c>
      <c r="F34470" t="s">
        <v>13766</v>
      </c>
      <c r="G34470" t="s">
        <v>17823</v>
      </c>
      <c r="H34470" t="s">
        <v>31498</v>
      </c>
    </row>
    <row r="34471" spans="1:8">
      <c r="A34471" t="s">
        <v>2848</v>
      </c>
      <c r="B34471">
        <f>HYPERLINK("https://android.googlesource.com/platform/cts/+/490f1e17865dbf33b4666d7ce4628d57b985d76c", "490f1e17865dbf33b4666d7ce4628d57b985d76c")</f>
        <v>0</v>
      </c>
      <c r="C34471">
        <f>HYPERLINK("https://android.googlesource.com/platform/cts/+/a110fc1a0a347fabe5b5b11e47be1c0fd1b14a16", "a110fc1a0a347fabe5b5b11e47be1c0fd1b14a16")</f>
        <v>0</v>
      </c>
      <c r="D34471" t="s">
        <v>5293</v>
      </c>
      <c r="E34471" t="s">
        <v>8572</v>
      </c>
      <c r="F34471" t="s">
        <v>13468</v>
      </c>
      <c r="G34471" t="s">
        <v>17587</v>
      </c>
      <c r="H34471" t="s">
        <v>33094</v>
      </c>
    </row>
    <row r="34472" spans="1:8">
      <c r="A34472" t="s">
        <v>2849</v>
      </c>
      <c r="B34472">
        <f>HYPERLINK("https://android.googlesource.com/platform/cts/+/8042a15c17912f868e3cf93b0db0ebbe849762c6", "8042a15c17912f868e3cf93b0db0ebbe849762c6")</f>
        <v>0</v>
      </c>
      <c r="C34472">
        <f>HYPERLINK("https://android.googlesource.com/platform/cts/+/0b4d3e4e1d581f3c95e3499e22972bf1d3a7672f", "0b4d3e4e1d581f3c95e3499e22972bf1d3a7672f")</f>
        <v>0</v>
      </c>
      <c r="D34472" t="s">
        <v>5465</v>
      </c>
      <c r="E34472" t="s">
        <v>8573</v>
      </c>
      <c r="F34472" t="s">
        <v>14053</v>
      </c>
      <c r="G34472" t="s">
        <v>18052</v>
      </c>
      <c r="H34472" t="s">
        <v>18863</v>
      </c>
    </row>
    <row r="34473" spans="1:8">
      <c r="H34473" t="s">
        <v>33095</v>
      </c>
    </row>
    <row r="34474" spans="1:8">
      <c r="H34474" t="s">
        <v>33096</v>
      </c>
    </row>
    <row r="34475" spans="1:8">
      <c r="H34475" t="s">
        <v>33097</v>
      </c>
    </row>
    <row r="34476" spans="1:8">
      <c r="H34476" t="s">
        <v>33098</v>
      </c>
    </row>
    <row r="34477" spans="1:8">
      <c r="H34477" t="s">
        <v>33099</v>
      </c>
    </row>
    <row r="34478" spans="1:8">
      <c r="H34478" t="s">
        <v>33100</v>
      </c>
    </row>
    <row r="34479" spans="1:8">
      <c r="H34479" t="s">
        <v>33101</v>
      </c>
    </row>
    <row r="34480" spans="1:8">
      <c r="H34480" t="s">
        <v>33102</v>
      </c>
    </row>
    <row r="34481" spans="1:8">
      <c r="A34481" t="s">
        <v>2850</v>
      </c>
      <c r="B34481">
        <f>HYPERLINK("https://android.googlesource.com/platform/cts/+/a0fb8d04c0ba11434d911e230e07346ea730ff81", "a0fb8d04c0ba11434d911e230e07346ea730ff81")</f>
        <v>0</v>
      </c>
      <c r="C34481">
        <f>HYPERLINK("https://android.googlesource.com/platform/cts/+/28474f6a61348d5017b7d2f0e9f23396d2e3bbf9", "28474f6a61348d5017b7d2f0e9f23396d2e3bbf9")</f>
        <v>0</v>
      </c>
      <c r="D34481" t="s">
        <v>5272</v>
      </c>
      <c r="E34481" t="s">
        <v>8574</v>
      </c>
      <c r="F34481" t="s">
        <v>10625</v>
      </c>
      <c r="G34481" t="s">
        <v>15028</v>
      </c>
      <c r="H34481" t="s">
        <v>33103</v>
      </c>
    </row>
    <row r="34482" spans="1:8">
      <c r="H34482" t="s">
        <v>33104</v>
      </c>
    </row>
    <row r="34483" spans="1:8">
      <c r="H34483" t="s">
        <v>33105</v>
      </c>
    </row>
    <row r="34484" spans="1:8">
      <c r="H34484" t="s">
        <v>33106</v>
      </c>
    </row>
    <row r="34485" spans="1:8">
      <c r="H34485" t="s">
        <v>33107</v>
      </c>
    </row>
    <row r="34486" spans="1:8">
      <c r="H34486" t="s">
        <v>33108</v>
      </c>
    </row>
    <row r="34487" spans="1:8">
      <c r="A34487" t="s">
        <v>2851</v>
      </c>
      <c r="B34487">
        <f>HYPERLINK("https://android.googlesource.com/platform/cts/+/12e6aedb65150ece64c6228fb492a8b1908ee0a0", "12e6aedb65150ece64c6228fb492a8b1908ee0a0")</f>
        <v>0</v>
      </c>
      <c r="C34487">
        <f>HYPERLINK("https://android.googlesource.com/platform/cts/+/96b7bac3c10df6fd38d9fcd674b270c8bc153498", "96b7bac3c10df6fd38d9fcd674b270c8bc153498")</f>
        <v>0</v>
      </c>
      <c r="D34487" t="s">
        <v>5469</v>
      </c>
      <c r="E34487" t="s">
        <v>8575</v>
      </c>
      <c r="F34487" t="s">
        <v>13834</v>
      </c>
      <c r="G34487" t="s">
        <v>17877</v>
      </c>
      <c r="H34487" t="s">
        <v>31768</v>
      </c>
    </row>
    <row r="34488" spans="1:8">
      <c r="A34488" t="s">
        <v>2852</v>
      </c>
      <c r="B34488">
        <f>HYPERLINK("https://android.googlesource.com/platform/cts/+/58c185be4ba83eea62ab6a1ea442caf0fb762f85", "58c185be4ba83eea62ab6a1ea442caf0fb762f85")</f>
        <v>0</v>
      </c>
      <c r="C34488">
        <f>HYPERLINK("https://android.googlesource.com/platform/cts/+/27e0d1266cce760662ed251d9686452b76e79a3b", "27e0d1266cce760662ed251d9686452b76e79a3b")</f>
        <v>0</v>
      </c>
      <c r="D34488" t="s">
        <v>5272</v>
      </c>
      <c r="E34488" t="s">
        <v>8576</v>
      </c>
      <c r="F34488" t="s">
        <v>14054</v>
      </c>
      <c r="G34488" t="s">
        <v>18053</v>
      </c>
      <c r="H34488" t="s">
        <v>33109</v>
      </c>
    </row>
    <row r="34489" spans="1:8">
      <c r="H34489" t="s">
        <v>29213</v>
      </c>
    </row>
    <row r="34490" spans="1:8">
      <c r="H34490" t="s">
        <v>18829</v>
      </c>
    </row>
    <row r="34491" spans="1:8">
      <c r="H34491" t="s">
        <v>18863</v>
      </c>
    </row>
    <row r="34492" spans="1:8">
      <c r="H34492" t="s">
        <v>33110</v>
      </c>
    </row>
    <row r="34493" spans="1:8">
      <c r="H34493" t="s">
        <v>33111</v>
      </c>
    </row>
    <row r="34494" spans="1:8">
      <c r="H34494" t="s">
        <v>29012</v>
      </c>
    </row>
    <row r="34495" spans="1:8">
      <c r="H34495" t="s">
        <v>29011</v>
      </c>
    </row>
    <row r="34496" spans="1:8">
      <c r="H34496" t="s">
        <v>33112</v>
      </c>
    </row>
    <row r="34497" spans="1:8">
      <c r="H34497" t="s">
        <v>33113</v>
      </c>
    </row>
    <row r="34498" spans="1:8">
      <c r="H34498" t="s">
        <v>33114</v>
      </c>
    </row>
    <row r="34499" spans="1:8">
      <c r="H34499" t="s">
        <v>33115</v>
      </c>
    </row>
    <row r="34500" spans="1:8">
      <c r="A34500" t="s">
        <v>2853</v>
      </c>
      <c r="B34500">
        <f>HYPERLINK("https://android.googlesource.com/platform/cts/+/622c2d7709b8228df220c2630ca253767df0ec11", "622c2d7709b8228df220c2630ca253767df0ec11")</f>
        <v>0</v>
      </c>
      <c r="C34500">
        <f>HYPERLINK("https://android.googlesource.com/platform/cts/+/fa00be64e3a021371f40c318319bfc320660dda4", "fa00be64e3a021371f40c318319bfc320660dda4")</f>
        <v>0</v>
      </c>
      <c r="D34500" t="s">
        <v>5443</v>
      </c>
      <c r="E34500" t="s">
        <v>8577</v>
      </c>
      <c r="F34500" t="s">
        <v>13990</v>
      </c>
      <c r="G34500" t="s">
        <v>18009</v>
      </c>
      <c r="H34500" t="s">
        <v>33116</v>
      </c>
    </row>
    <row r="34501" spans="1:8">
      <c r="F34501" t="s">
        <v>13716</v>
      </c>
      <c r="G34501" t="s">
        <v>17783</v>
      </c>
      <c r="H34501" t="s">
        <v>31228</v>
      </c>
    </row>
    <row r="34502" spans="1:8">
      <c r="A34502" t="s">
        <v>2857</v>
      </c>
      <c r="B34502">
        <f>HYPERLINK("https://android.googlesource.com/platform/cts/+/a1703bb6ff4eb189447d3abd106d249aaa9327de", "a1703bb6ff4eb189447d3abd106d249aaa9327de")</f>
        <v>0</v>
      </c>
      <c r="C34502">
        <f>HYPERLINK("https://android.googlesource.com/platform/cts/+/098707012c87e1f02871ebf1dd162002383a281d", "098707012c87e1f02871ebf1dd162002383a281d")</f>
        <v>0</v>
      </c>
      <c r="D34502" t="s">
        <v>5470</v>
      </c>
      <c r="E34502" t="s">
        <v>8580</v>
      </c>
      <c r="F34502" t="s">
        <v>13220</v>
      </c>
      <c r="G34502" t="s">
        <v>17361</v>
      </c>
      <c r="H34502" t="s">
        <v>33117</v>
      </c>
    </row>
    <row r="34503" spans="1:8">
      <c r="H34503" t="s">
        <v>33118</v>
      </c>
    </row>
    <row r="34504" spans="1:8">
      <c r="A34504" t="s">
        <v>2858</v>
      </c>
      <c r="B34504">
        <f>HYPERLINK("https://android.googlesource.com/platform/cts/+/f324654eb885e1c0477b2b9e4538d659b72eae4e", "f324654eb885e1c0477b2b9e4538d659b72eae4e")</f>
        <v>0</v>
      </c>
      <c r="C34504">
        <f>HYPERLINK("https://android.googlesource.com/platform/cts/+/1e840292ac51d2ebc761bf7050dbef985277f0ca", "1e840292ac51d2ebc761bf7050dbef985277f0ca")</f>
        <v>0</v>
      </c>
      <c r="D34504" t="s">
        <v>5290</v>
      </c>
      <c r="E34504" t="s">
        <v>8581</v>
      </c>
      <c r="F34504" t="s">
        <v>14055</v>
      </c>
      <c r="G34504" t="s">
        <v>17339</v>
      </c>
      <c r="H34504" t="s">
        <v>33119</v>
      </c>
    </row>
    <row r="34505" spans="1:8">
      <c r="H34505" t="s">
        <v>33120</v>
      </c>
    </row>
    <row r="34506" spans="1:8">
      <c r="H34506" t="s">
        <v>33121</v>
      </c>
    </row>
    <row r="34507" spans="1:8">
      <c r="H34507" t="s">
        <v>33122</v>
      </c>
    </row>
    <row r="34508" spans="1:8">
      <c r="H34508" t="s">
        <v>33123</v>
      </c>
    </row>
    <row r="34509" spans="1:8">
      <c r="F34509" t="s">
        <v>14056</v>
      </c>
      <c r="G34509" t="s">
        <v>18054</v>
      </c>
      <c r="H34509" t="s">
        <v>33124</v>
      </c>
    </row>
    <row r="34510" spans="1:8">
      <c r="F34510" t="s">
        <v>13157</v>
      </c>
      <c r="G34510" t="s">
        <v>17308</v>
      </c>
      <c r="H34510" t="s">
        <v>33125</v>
      </c>
    </row>
    <row r="34511" spans="1:8">
      <c r="F34511" t="s">
        <v>14048</v>
      </c>
      <c r="G34511" t="s">
        <v>17363</v>
      </c>
      <c r="H34511" t="s">
        <v>28661</v>
      </c>
    </row>
    <row r="34512" spans="1:8">
      <c r="H34512" t="s">
        <v>28662</v>
      </c>
    </row>
    <row r="34513" spans="6:8">
      <c r="H34513" t="s">
        <v>33126</v>
      </c>
    </row>
    <row r="34514" spans="6:8">
      <c r="H34514" t="s">
        <v>33127</v>
      </c>
    </row>
    <row r="34515" spans="6:8">
      <c r="H34515" t="s">
        <v>33128</v>
      </c>
    </row>
    <row r="34516" spans="6:8">
      <c r="H34516" t="s">
        <v>28667</v>
      </c>
    </row>
    <row r="34517" spans="6:8">
      <c r="H34517" t="s">
        <v>28668</v>
      </c>
    </row>
    <row r="34518" spans="6:8">
      <c r="H34518" t="s">
        <v>28497</v>
      </c>
    </row>
    <row r="34519" spans="6:8">
      <c r="H34519" t="s">
        <v>33129</v>
      </c>
    </row>
    <row r="34520" spans="6:8">
      <c r="H34520" t="s">
        <v>33130</v>
      </c>
    </row>
    <row r="34521" spans="6:8">
      <c r="H34521" t="s">
        <v>33121</v>
      </c>
    </row>
    <row r="34522" spans="6:8">
      <c r="H34522" t="s">
        <v>33122</v>
      </c>
    </row>
    <row r="34523" spans="6:8">
      <c r="H34523" t="s">
        <v>33123</v>
      </c>
    </row>
    <row r="34524" spans="6:8">
      <c r="H34524" t="s">
        <v>28675</v>
      </c>
    </row>
    <row r="34525" spans="6:8">
      <c r="F34525" t="s">
        <v>14057</v>
      </c>
      <c r="G34525" t="s">
        <v>18055</v>
      </c>
      <c r="H34525" t="s">
        <v>18829</v>
      </c>
    </row>
    <row r="34526" spans="6:8">
      <c r="F34526" t="s">
        <v>13664</v>
      </c>
      <c r="G34526" t="s">
        <v>17575</v>
      </c>
      <c r="H34526" t="s">
        <v>18829</v>
      </c>
    </row>
    <row r="34527" spans="6:8">
      <c r="H34527" t="s">
        <v>33131</v>
      </c>
    </row>
    <row r="34528" spans="6:8">
      <c r="H34528" t="s">
        <v>33132</v>
      </c>
    </row>
    <row r="34529" spans="1:8">
      <c r="A34529" t="s">
        <v>2859</v>
      </c>
      <c r="B34529">
        <f>HYPERLINK("https://android.googlesource.com/platform/cts/+/319577bfface1d3db77673161dd1fc2fb749cf5f", "319577bfface1d3db77673161dd1fc2fb749cf5f")</f>
        <v>0</v>
      </c>
      <c r="C34529">
        <f>HYPERLINK("https://android.googlesource.com/platform/cts/+/9cc0586921a9d7e6edb4f413892776dd06822962", "9cc0586921a9d7e6edb4f413892776dd06822962")</f>
        <v>0</v>
      </c>
      <c r="D34529" t="s">
        <v>5374</v>
      </c>
      <c r="E34529" t="s">
        <v>8582</v>
      </c>
      <c r="F34529" t="s">
        <v>12733</v>
      </c>
      <c r="G34529" t="s">
        <v>16854</v>
      </c>
      <c r="H34529" t="s">
        <v>33133</v>
      </c>
    </row>
    <row r="34530" spans="1:8">
      <c r="H34530" t="s">
        <v>33134</v>
      </c>
    </row>
    <row r="34531" spans="1:8">
      <c r="A34531" t="s">
        <v>2860</v>
      </c>
      <c r="B34531">
        <f>HYPERLINK("https://android.googlesource.com/platform/cts/+/d0fe55983f57515ea031294a00ca8c69bca37b18", "d0fe55983f57515ea031294a00ca8c69bca37b18")</f>
        <v>0</v>
      </c>
      <c r="C34531">
        <f>HYPERLINK("https://android.googlesource.com/platform/cts/+/75d02973ceca3ed943fa695d9edb9c3f29f9cea7", "75d02973ceca3ed943fa695d9edb9c3f29f9cea7")</f>
        <v>0</v>
      </c>
      <c r="D34531" t="s">
        <v>5122</v>
      </c>
      <c r="E34531" t="s">
        <v>8583</v>
      </c>
      <c r="F34531" t="s">
        <v>14058</v>
      </c>
      <c r="G34531" t="s">
        <v>18056</v>
      </c>
      <c r="H34531" t="s">
        <v>33135</v>
      </c>
    </row>
    <row r="34532" spans="1:8">
      <c r="A34532" t="s">
        <v>2861</v>
      </c>
      <c r="B34532">
        <f>HYPERLINK("https://android.googlesource.com/platform/cts/+/3d575e04cd9d937002d3ce6911debbf801fef7a8", "3d575e04cd9d937002d3ce6911debbf801fef7a8")</f>
        <v>0</v>
      </c>
      <c r="C34532">
        <f>HYPERLINK("https://android.googlesource.com/platform/cts/+/e72e33fb685e502f5deaa43cfec8d8130dff1fb6", "e72e33fb685e502f5deaa43cfec8d8130dff1fb6")</f>
        <v>0</v>
      </c>
      <c r="D34532" t="s">
        <v>4973</v>
      </c>
      <c r="E34532" t="s">
        <v>8584</v>
      </c>
      <c r="F34532" t="s">
        <v>13811</v>
      </c>
      <c r="G34532" t="s">
        <v>17858</v>
      </c>
      <c r="H34532" t="s">
        <v>19753</v>
      </c>
    </row>
    <row r="34533" spans="1:8">
      <c r="H34533" t="s">
        <v>19754</v>
      </c>
    </row>
    <row r="34534" spans="1:8">
      <c r="H34534" t="s">
        <v>31686</v>
      </c>
    </row>
    <row r="34535" spans="1:8">
      <c r="H34535" t="s">
        <v>31687</v>
      </c>
    </row>
    <row r="34536" spans="1:8">
      <c r="H34536" t="s">
        <v>31688</v>
      </c>
    </row>
    <row r="34537" spans="1:8">
      <c r="H34537" t="s">
        <v>18829</v>
      </c>
    </row>
    <row r="34538" spans="1:8">
      <c r="H34538" t="s">
        <v>18863</v>
      </c>
    </row>
    <row r="34539" spans="1:8">
      <c r="H34539" t="s">
        <v>31689</v>
      </c>
    </row>
    <row r="34540" spans="1:8">
      <c r="F34540" t="s">
        <v>14059</v>
      </c>
      <c r="G34540" t="s">
        <v>18057</v>
      </c>
      <c r="H34540" t="s">
        <v>18829</v>
      </c>
    </row>
    <row r="34541" spans="1:8">
      <c r="H34541" t="s">
        <v>33136</v>
      </c>
    </row>
    <row r="34542" spans="1:8">
      <c r="A34542" t="s">
        <v>2862</v>
      </c>
      <c r="B34542">
        <f>HYPERLINK("https://android.googlesource.com/platform/cts/+/cda66e9b3574ab62c40b1dd063fc7df1d93447e3", "cda66e9b3574ab62c40b1dd063fc7df1d93447e3")</f>
        <v>0</v>
      </c>
      <c r="C34542">
        <f>HYPERLINK("https://android.googlesource.com/platform/cts/+/4e9de76f5f4ae1aa22dcd8c89ce9d540044e85a8", "4e9de76f5f4ae1aa22dcd8c89ce9d540044e85a8")</f>
        <v>0</v>
      </c>
      <c r="D34542" t="s">
        <v>5293</v>
      </c>
      <c r="E34542" t="s">
        <v>8585</v>
      </c>
      <c r="F34542" t="s">
        <v>14060</v>
      </c>
      <c r="G34542" t="s">
        <v>18058</v>
      </c>
      <c r="H34542" t="s">
        <v>18981</v>
      </c>
    </row>
    <row r="34543" spans="1:8">
      <c r="H34543" t="s">
        <v>33137</v>
      </c>
    </row>
    <row r="34544" spans="1:8">
      <c r="A34544" t="s">
        <v>2863</v>
      </c>
      <c r="B34544">
        <f>HYPERLINK("https://android.googlesource.com/platform/cts/+/0a3951325ebe194f289f42f65eb8ed7651619523", "0a3951325ebe194f289f42f65eb8ed7651619523")</f>
        <v>0</v>
      </c>
      <c r="C34544">
        <f>HYPERLINK("https://android.googlesource.com/platform/cts/+/42844157294f69e2d75da208dec1e87550dbb6fa", "42844157294f69e2d75da208dec1e87550dbb6fa")</f>
        <v>0</v>
      </c>
      <c r="D34544" t="s">
        <v>5471</v>
      </c>
      <c r="E34544" t="s">
        <v>8586</v>
      </c>
      <c r="F34544" t="s">
        <v>14061</v>
      </c>
      <c r="G34544" t="s">
        <v>18059</v>
      </c>
      <c r="H34544" t="s">
        <v>18829</v>
      </c>
    </row>
    <row r="34545" spans="1:8">
      <c r="A34545" t="s">
        <v>2864</v>
      </c>
      <c r="B34545">
        <f>HYPERLINK("https://android.googlesource.com/platform/cts/+/8e6d05b45acafaba85eb4a562cbc2d00af17d494", "8e6d05b45acafaba85eb4a562cbc2d00af17d494")</f>
        <v>0</v>
      </c>
      <c r="C34545">
        <f>HYPERLINK("https://android.googlesource.com/platform/cts/+/eeb59f0634ee82f2bab322ad16f18a650cb5872c", "eeb59f0634ee82f2bab322ad16f18a650cb5872c")</f>
        <v>0</v>
      </c>
      <c r="D34545" t="s">
        <v>5472</v>
      </c>
      <c r="E34545" t="s">
        <v>8587</v>
      </c>
      <c r="F34545" t="s">
        <v>14062</v>
      </c>
      <c r="G34545" t="s">
        <v>18060</v>
      </c>
      <c r="H34545" t="s">
        <v>33138</v>
      </c>
    </row>
    <row r="34546" spans="1:8">
      <c r="H34546" t="s">
        <v>33139</v>
      </c>
    </row>
    <row r="34547" spans="1:8">
      <c r="H34547" t="s">
        <v>33140</v>
      </c>
    </row>
    <row r="34548" spans="1:8">
      <c r="A34548" t="s">
        <v>2865</v>
      </c>
      <c r="B34548">
        <f>HYPERLINK("https://android.googlesource.com/platform/cts/+/b77f5b557613614000dc3256f38f6d5a1d6ed5e7", "b77f5b557613614000dc3256f38f6d5a1d6ed5e7")</f>
        <v>0</v>
      </c>
      <c r="C34548">
        <f>HYPERLINK("https://android.googlesource.com/platform/cts/+/8b33b80367480c96441901f314a4db1904b5aa98", "8b33b80367480c96441901f314a4db1904b5aa98")</f>
        <v>0</v>
      </c>
      <c r="D34548" t="s">
        <v>5396</v>
      </c>
      <c r="E34548" t="s">
        <v>8588</v>
      </c>
      <c r="F34548" t="s">
        <v>14051</v>
      </c>
      <c r="G34548" t="s">
        <v>18050</v>
      </c>
      <c r="H34548" t="s">
        <v>18829</v>
      </c>
    </row>
    <row r="34549" spans="1:8">
      <c r="H34549" t="s">
        <v>18863</v>
      </c>
    </row>
    <row r="34550" spans="1:8">
      <c r="A34550" t="s">
        <v>2867</v>
      </c>
      <c r="B34550">
        <f>HYPERLINK("https://android.googlesource.com/platform/cts/+/769cf27900a1c6e1124b56d17adb0e1327694daa", "769cf27900a1c6e1124b56d17adb0e1327694daa")</f>
        <v>0</v>
      </c>
      <c r="C34550">
        <f>HYPERLINK("https://android.googlesource.com/platform/cts/+/4e9de76f5f4ae1aa22dcd8c89ce9d540044e85a8", "4e9de76f5f4ae1aa22dcd8c89ce9d540044e85a8")</f>
        <v>0</v>
      </c>
      <c r="D34550" t="s">
        <v>5293</v>
      </c>
      <c r="E34550" t="s">
        <v>8590</v>
      </c>
      <c r="F34550" t="s">
        <v>14060</v>
      </c>
      <c r="G34550" t="s">
        <v>18058</v>
      </c>
      <c r="H34550" t="s">
        <v>33141</v>
      </c>
    </row>
    <row r="34551" spans="1:8">
      <c r="A34551" t="s">
        <v>2868</v>
      </c>
      <c r="B34551">
        <f>HYPERLINK("https://android.googlesource.com/platform/cts/+/d6def2942307eb21103ef337daa3d8937cda95d1", "d6def2942307eb21103ef337daa3d8937cda95d1")</f>
        <v>0</v>
      </c>
      <c r="C34551">
        <f>HYPERLINK("https://android.googlesource.com/platform/cts/+/0b99f1a1994ea34bea1d97e84d332c8eba35a94c", "0b99f1a1994ea34bea1d97e84d332c8eba35a94c")</f>
        <v>0</v>
      </c>
      <c r="D34551" t="s">
        <v>4931</v>
      </c>
      <c r="E34551" t="s">
        <v>8591</v>
      </c>
      <c r="F34551" t="s">
        <v>12569</v>
      </c>
      <c r="G34551" t="s">
        <v>16785</v>
      </c>
      <c r="H34551" t="s">
        <v>33142</v>
      </c>
    </row>
    <row r="34552" spans="1:8">
      <c r="A34552" t="s">
        <v>2869</v>
      </c>
      <c r="B34552">
        <f>HYPERLINK("https://android.googlesource.com/platform/cts/+/484bab49535d9e7a8f5cf3d171472bafe353e9cb", "484bab49535d9e7a8f5cf3d171472bafe353e9cb")</f>
        <v>0</v>
      </c>
      <c r="C34552">
        <f>HYPERLINK("https://android.googlesource.com/platform/cts/+/c37cf3dc8d775bee6cc193b84dbd41113bc7dd53", "c37cf3dc8d775bee6cc193b84dbd41113bc7dd53")</f>
        <v>0</v>
      </c>
      <c r="D34552" t="s">
        <v>5293</v>
      </c>
      <c r="E34552" t="s">
        <v>8592</v>
      </c>
      <c r="F34552" t="s">
        <v>10625</v>
      </c>
      <c r="G34552" t="s">
        <v>15028</v>
      </c>
      <c r="H34552" t="s">
        <v>33103</v>
      </c>
    </row>
    <row r="34553" spans="1:8">
      <c r="A34553" t="s">
        <v>2870</v>
      </c>
      <c r="B34553">
        <f>HYPERLINK("https://android.googlesource.com/platform/cts/+/0f2f187b768f0ee09ed52fd476d0c0df80ab9bef", "0f2f187b768f0ee09ed52fd476d0c0df80ab9bef")</f>
        <v>0</v>
      </c>
      <c r="C34553">
        <f>HYPERLINK("https://android.googlesource.com/platform/cts/+/e3711822cc6e11d7ac71b048d68404e5ade2f413", "e3711822cc6e11d7ac71b048d68404e5ade2f413")</f>
        <v>0</v>
      </c>
      <c r="D34553" t="s">
        <v>5454</v>
      </c>
      <c r="E34553" t="s">
        <v>8593</v>
      </c>
      <c r="F34553" t="s">
        <v>14014</v>
      </c>
      <c r="G34553" t="s">
        <v>18026</v>
      </c>
      <c r="H34553" t="s">
        <v>33143</v>
      </c>
    </row>
    <row r="34554" spans="1:8">
      <c r="H34554" t="s">
        <v>30948</v>
      </c>
    </row>
    <row r="34555" spans="1:8">
      <c r="A34555" t="s">
        <v>2871</v>
      </c>
      <c r="B34555">
        <f>HYPERLINK("https://android.googlesource.com/platform/cts/+/d290e49c138e0d94fc998af673f586c7b45abf3c", "d290e49c138e0d94fc998af673f586c7b45abf3c")</f>
        <v>0</v>
      </c>
      <c r="C34555">
        <f>HYPERLINK("https://android.googlesource.com/platform/cts/+/128e5c07f8bd86b0734e0aaa0c9cabb1cfb3681b", "128e5c07f8bd86b0734e0aaa0c9cabb1cfb3681b")</f>
        <v>0</v>
      </c>
      <c r="D34555" t="s">
        <v>5296</v>
      </c>
      <c r="E34555" t="s">
        <v>8594</v>
      </c>
      <c r="F34555" t="s">
        <v>10740</v>
      </c>
      <c r="G34555" t="s">
        <v>15139</v>
      </c>
      <c r="H34555" t="s">
        <v>33144</v>
      </c>
    </row>
    <row r="34556" spans="1:8">
      <c r="A34556" t="s">
        <v>2872</v>
      </c>
      <c r="B34556">
        <f>HYPERLINK("https://android.googlesource.com/platform/cts/+/8f57754505be631e3df357595897551e7377b89a", "8f57754505be631e3df357595897551e7377b89a")</f>
        <v>0</v>
      </c>
      <c r="C34556">
        <f>HYPERLINK("https://android.googlesource.com/platform/cts/+/c71c0ccd8a0f8c9e742645e4956ec5cc4a66f1e6", "c71c0ccd8a0f8c9e742645e4956ec5cc4a66f1e6")</f>
        <v>0</v>
      </c>
      <c r="D34556" t="s">
        <v>5277</v>
      </c>
      <c r="E34556" t="s">
        <v>8595</v>
      </c>
      <c r="F34556" t="s">
        <v>12984</v>
      </c>
      <c r="G34556" t="s">
        <v>17148</v>
      </c>
      <c r="H34556" t="s">
        <v>18856</v>
      </c>
    </row>
    <row r="34557" spans="1:8">
      <c r="H34557" t="s">
        <v>19195</v>
      </c>
    </row>
    <row r="34558" spans="1:8">
      <c r="H34558" t="s">
        <v>33145</v>
      </c>
    </row>
    <row r="34559" spans="1:8">
      <c r="H34559" t="s">
        <v>33146</v>
      </c>
    </row>
    <row r="34560" spans="1:8">
      <c r="H34560" t="s">
        <v>33147</v>
      </c>
    </row>
    <row r="34561" spans="1:8">
      <c r="H34561" t="s">
        <v>33148</v>
      </c>
    </row>
    <row r="34562" spans="1:8">
      <c r="H34562" t="s">
        <v>33149</v>
      </c>
    </row>
    <row r="34563" spans="1:8">
      <c r="A34563" t="s">
        <v>2873</v>
      </c>
      <c r="B34563">
        <f>HYPERLINK("https://android.googlesource.com/platform/cts/+/595f546e78a917c9a10989e64d943f4e538fd6d6", "595f546e78a917c9a10989e64d943f4e538fd6d6")</f>
        <v>0</v>
      </c>
      <c r="C34563">
        <f>HYPERLINK("https://android.googlesource.com/platform/cts/+/0b4d3e4e1d581f3c95e3499e22972bf1d3a7672f", "0b4d3e4e1d581f3c95e3499e22972bf1d3a7672f")</f>
        <v>0</v>
      </c>
      <c r="D34563" t="s">
        <v>5409</v>
      </c>
      <c r="E34563" t="s">
        <v>8596</v>
      </c>
      <c r="F34563" t="s">
        <v>14063</v>
      </c>
      <c r="G34563" t="s">
        <v>18061</v>
      </c>
      <c r="H34563" t="s">
        <v>33150</v>
      </c>
    </row>
    <row r="34564" spans="1:8">
      <c r="H34564" t="s">
        <v>33151</v>
      </c>
    </row>
    <row r="34565" spans="1:8">
      <c r="H34565" t="s">
        <v>33152</v>
      </c>
    </row>
    <row r="34566" spans="1:8">
      <c r="H34566" t="s">
        <v>33153</v>
      </c>
    </row>
    <row r="34567" spans="1:8">
      <c r="F34567" t="s">
        <v>14064</v>
      </c>
      <c r="G34567" t="s">
        <v>18062</v>
      </c>
      <c r="H34567" t="s">
        <v>26292</v>
      </c>
    </row>
    <row r="34568" spans="1:8">
      <c r="A34568" t="s">
        <v>2874</v>
      </c>
      <c r="B34568">
        <f>HYPERLINK("https://android.googlesource.com/platform/cts/+/6eb3ae715717928ec29de7704998d3af3d9332c1", "6eb3ae715717928ec29de7704998d3af3d9332c1")</f>
        <v>0</v>
      </c>
      <c r="C34568">
        <f>HYPERLINK("https://android.googlesource.com/platform/cts/+/8bc34ca8c9db7ff1cc30184067b36e92e3541176", "8bc34ca8c9db7ff1cc30184067b36e92e3541176")</f>
        <v>0</v>
      </c>
      <c r="D34568" t="s">
        <v>5244</v>
      </c>
      <c r="E34568" t="s">
        <v>8597</v>
      </c>
      <c r="F34568" t="s">
        <v>14065</v>
      </c>
      <c r="G34568" t="s">
        <v>18063</v>
      </c>
      <c r="H34568" t="s">
        <v>33154</v>
      </c>
    </row>
    <row r="34569" spans="1:8">
      <c r="A34569" t="s">
        <v>2875</v>
      </c>
      <c r="B34569">
        <f>HYPERLINK("https://android.googlesource.com/platform/cts/+/ebdf7fcfbc405932525bd0b5fc5ba5eeebb1b953", "ebdf7fcfbc405932525bd0b5fc5ba5eeebb1b953")</f>
        <v>0</v>
      </c>
      <c r="C34569">
        <f>HYPERLINK("https://android.googlesource.com/platform/cts/+/2fb3ed9386d70f0616da751eadae2823b02d4121", "2fb3ed9386d70f0616da751eadae2823b02d4121")</f>
        <v>0</v>
      </c>
      <c r="D34569" t="s">
        <v>5473</v>
      </c>
      <c r="E34569" t="s">
        <v>8598</v>
      </c>
      <c r="F34569" t="s">
        <v>13724</v>
      </c>
      <c r="G34569" t="s">
        <v>17580</v>
      </c>
      <c r="H34569" t="s">
        <v>33155</v>
      </c>
    </row>
    <row r="34570" spans="1:8">
      <c r="A34570" t="s">
        <v>2876</v>
      </c>
      <c r="B34570">
        <f>HYPERLINK("https://android.googlesource.com/platform/cts/+/dd89d32571ea347ad4fbab5bb8c7f2b7d5cec040", "dd89d32571ea347ad4fbab5bb8c7f2b7d5cec040")</f>
        <v>0</v>
      </c>
      <c r="C34570">
        <f>HYPERLINK("https://android.googlesource.com/platform/cts/+/3760f759907e3b137837e3b9fa8f2c86cc202292", "3760f759907e3b137837e3b9fa8f2c86cc202292")</f>
        <v>0</v>
      </c>
      <c r="D34570" t="s">
        <v>5112</v>
      </c>
      <c r="E34570" t="s">
        <v>8599</v>
      </c>
      <c r="F34570" t="s">
        <v>14066</v>
      </c>
      <c r="G34570" t="s">
        <v>18064</v>
      </c>
      <c r="H34570" t="s">
        <v>33156</v>
      </c>
    </row>
    <row r="34571" spans="1:8">
      <c r="H34571" t="s">
        <v>31438</v>
      </c>
    </row>
    <row r="34572" spans="1:8">
      <c r="H34572" t="s">
        <v>29719</v>
      </c>
    </row>
    <row r="34573" spans="1:8">
      <c r="A34573" t="s">
        <v>2878</v>
      </c>
      <c r="B34573">
        <f>HYPERLINK("https://android.googlesource.com/platform/cts/+/3d1a8262f2fac4f8b0b26c221f55a5d35cb37a0e", "3d1a8262f2fac4f8b0b26c221f55a5d35cb37a0e")</f>
        <v>0</v>
      </c>
      <c r="C34573">
        <f>HYPERLINK("https://android.googlesource.com/platform/cts/+/6733f3e3d05c1bffa9b61b40d4d1497ccf02242d", "6733f3e3d05c1bffa9b61b40d4d1497ccf02242d")</f>
        <v>0</v>
      </c>
      <c r="D34573" t="s">
        <v>5465</v>
      </c>
      <c r="E34573" t="s">
        <v>8601</v>
      </c>
      <c r="F34573" t="s">
        <v>14067</v>
      </c>
      <c r="G34573" t="s">
        <v>18065</v>
      </c>
      <c r="H34573" t="s">
        <v>33157</v>
      </c>
    </row>
    <row r="34574" spans="1:8">
      <c r="H34574" t="s">
        <v>33158</v>
      </c>
    </row>
    <row r="34575" spans="1:8">
      <c r="H34575" t="s">
        <v>33159</v>
      </c>
    </row>
    <row r="34576" spans="1:8">
      <c r="F34576" t="s">
        <v>14068</v>
      </c>
      <c r="G34576" t="s">
        <v>18066</v>
      </c>
      <c r="H34576" t="s">
        <v>33157</v>
      </c>
    </row>
    <row r="34577" spans="1:8">
      <c r="H34577" t="s">
        <v>33158</v>
      </c>
    </row>
    <row r="34578" spans="1:8">
      <c r="H34578" t="s">
        <v>33159</v>
      </c>
    </row>
    <row r="34579" spans="1:8">
      <c r="A34579" t="s">
        <v>2879</v>
      </c>
      <c r="B34579">
        <f>HYPERLINK("https://android.googlesource.com/platform/cts/+/8671683f5d7864764c626323290244bb5bd1272b", "8671683f5d7864764c626323290244bb5bd1272b")</f>
        <v>0</v>
      </c>
      <c r="C34579">
        <f>HYPERLINK("https://android.googlesource.com/platform/cts/+/88c3ef1e5f6f218025434008489549f76c19444e", "88c3ef1e5f6f218025434008489549f76c19444e")</f>
        <v>0</v>
      </c>
      <c r="D34579" t="s">
        <v>5474</v>
      </c>
      <c r="E34579" t="s">
        <v>8602</v>
      </c>
      <c r="F34579" t="s">
        <v>13333</v>
      </c>
      <c r="G34579" t="s">
        <v>17463</v>
      </c>
      <c r="H34579" t="s">
        <v>33160</v>
      </c>
    </row>
    <row r="34580" spans="1:8">
      <c r="H34580" t="s">
        <v>33161</v>
      </c>
    </row>
    <row r="34581" spans="1:8">
      <c r="H34581" t="s">
        <v>33162</v>
      </c>
    </row>
    <row r="34582" spans="1:8">
      <c r="H34582" t="s">
        <v>33163</v>
      </c>
    </row>
    <row r="34583" spans="1:8">
      <c r="H34583" t="s">
        <v>33164</v>
      </c>
    </row>
    <row r="34584" spans="1:8">
      <c r="A34584" t="s">
        <v>2880</v>
      </c>
      <c r="B34584">
        <f>HYPERLINK("https://android.googlesource.com/platform/cts/+/ddae4a147e12fb0ca0101e85159c5535529e1fed", "ddae4a147e12fb0ca0101e85159c5535529e1fed")</f>
        <v>0</v>
      </c>
      <c r="C34584">
        <f>HYPERLINK("https://android.googlesource.com/platform/cts/+/9ba35d6edb621663571d7e44e72c68fa179fe7e6", "9ba35d6edb621663571d7e44e72c68fa179fe7e6")</f>
        <v>0</v>
      </c>
      <c r="D34584" t="s">
        <v>5272</v>
      </c>
      <c r="E34584" t="s">
        <v>8603</v>
      </c>
      <c r="F34584" t="s">
        <v>13757</v>
      </c>
      <c r="G34584" t="s">
        <v>17816</v>
      </c>
      <c r="H34584" t="s">
        <v>25622</v>
      </c>
    </row>
    <row r="34585" spans="1:8">
      <c r="H34585" t="s">
        <v>19019</v>
      </c>
    </row>
    <row r="34586" spans="1:8">
      <c r="H34586" t="s">
        <v>22505</v>
      </c>
    </row>
    <row r="34587" spans="1:8">
      <c r="H34587" t="s">
        <v>25623</v>
      </c>
    </row>
    <row r="34588" spans="1:8">
      <c r="A34588" t="s">
        <v>2881</v>
      </c>
      <c r="B34588">
        <f>HYPERLINK("https://android.googlesource.com/platform/cts/+/24a7ca8feaed53d487c7b873fcbf3f919d466dd4", "24a7ca8feaed53d487c7b873fcbf3f919d466dd4")</f>
        <v>0</v>
      </c>
      <c r="C34588">
        <f>HYPERLINK("https://android.googlesource.com/platform/cts/+/5e16a4f4f9eb3d5228bf6b56b985eedda5395fe5", "5e16a4f4f9eb3d5228bf6b56b985eedda5395fe5")</f>
        <v>0</v>
      </c>
      <c r="D34588" t="s">
        <v>5277</v>
      </c>
      <c r="E34588" t="s">
        <v>8604</v>
      </c>
      <c r="F34588" t="s">
        <v>12984</v>
      </c>
      <c r="G34588" t="s">
        <v>17148</v>
      </c>
      <c r="H34588" t="s">
        <v>33165</v>
      </c>
    </row>
    <row r="34589" spans="1:8">
      <c r="A34589" t="s">
        <v>2882</v>
      </c>
      <c r="B34589">
        <f>HYPERLINK("https://android.googlesource.com/platform/cts/+/fae0789252ad9c1c770258256025b6988467bd5d", "fae0789252ad9c1c770258256025b6988467bd5d")</f>
        <v>0</v>
      </c>
      <c r="C34589">
        <f>HYPERLINK("https://android.googlesource.com/platform/cts/+/f0595df22523474b3186b180994e4de2aebfcd77", "f0595df22523474b3186b180994e4de2aebfcd77")</f>
        <v>0</v>
      </c>
      <c r="D34589" t="s">
        <v>5108</v>
      </c>
      <c r="E34589" t="s">
        <v>8605</v>
      </c>
      <c r="F34589" t="s">
        <v>12629</v>
      </c>
      <c r="G34589" t="s">
        <v>16838</v>
      </c>
      <c r="H34589" t="s">
        <v>33166</v>
      </c>
    </row>
    <row r="34590" spans="1:8">
      <c r="H34590" t="s">
        <v>33167</v>
      </c>
    </row>
    <row r="34591" spans="1:8">
      <c r="H34591" t="s">
        <v>33168</v>
      </c>
    </row>
    <row r="34592" spans="1:8">
      <c r="H34592" t="s">
        <v>33169</v>
      </c>
    </row>
    <row r="34593" spans="1:8">
      <c r="H34593" t="s">
        <v>33170</v>
      </c>
    </row>
    <row r="34594" spans="1:8">
      <c r="F34594" t="s">
        <v>12768</v>
      </c>
      <c r="G34594" t="s">
        <v>15710</v>
      </c>
      <c r="H34594" t="s">
        <v>33171</v>
      </c>
    </row>
    <row r="34595" spans="1:8">
      <c r="A34595" t="s">
        <v>2883</v>
      </c>
      <c r="B34595">
        <f>HYPERLINK("https://android.googlesource.com/platform/cts/+/177ace16233f77340e025dba9d7db9a33d384cc5", "177ace16233f77340e025dba9d7db9a33d384cc5")</f>
        <v>0</v>
      </c>
      <c r="C34595">
        <f>HYPERLINK("https://android.googlesource.com/platform/cts/+/6de9f8ea2ccd90dfa281ff0167c39bed0e7c208a", "6de9f8ea2ccd90dfa281ff0167c39bed0e7c208a")</f>
        <v>0</v>
      </c>
      <c r="D34595" t="s">
        <v>5293</v>
      </c>
      <c r="E34595" t="s">
        <v>8606</v>
      </c>
      <c r="F34595" t="s">
        <v>13468</v>
      </c>
      <c r="G34595" t="s">
        <v>17587</v>
      </c>
      <c r="H34595" t="s">
        <v>33172</v>
      </c>
    </row>
    <row r="34596" spans="1:8">
      <c r="A34596" t="s">
        <v>2884</v>
      </c>
      <c r="B34596">
        <f>HYPERLINK("https://android.googlesource.com/platform/cts/+/e0dae6becd8b6b28335328b33f42d94bd2ca936d", "e0dae6becd8b6b28335328b33f42d94bd2ca936d")</f>
        <v>0</v>
      </c>
      <c r="C34596">
        <f>HYPERLINK("https://android.googlesource.com/platform/cts/+/177ace16233f77340e025dba9d7db9a33d384cc5", "177ace16233f77340e025dba9d7db9a33d384cc5")</f>
        <v>0</v>
      </c>
      <c r="D34596" t="s">
        <v>5293</v>
      </c>
      <c r="E34596" t="s">
        <v>8607</v>
      </c>
      <c r="F34596" t="s">
        <v>13249</v>
      </c>
      <c r="G34596" t="s">
        <v>17389</v>
      </c>
      <c r="H34596" t="s">
        <v>33173</v>
      </c>
    </row>
    <row r="34597" spans="1:8">
      <c r="H34597" t="s">
        <v>33174</v>
      </c>
    </row>
    <row r="34598" spans="1:8">
      <c r="A34598" t="s">
        <v>2885</v>
      </c>
      <c r="B34598">
        <f>HYPERLINK("https://android.googlesource.com/platform/cts/+/f0f07254b887dbf7c69d723b4ec2ca3e504ad700", "f0f07254b887dbf7c69d723b4ec2ca3e504ad700")</f>
        <v>0</v>
      </c>
      <c r="C34598">
        <f>HYPERLINK("https://android.googlesource.com/platform/cts/+/357eb1497ce743b08ef0fe8569f279fe6e7920b8", "357eb1497ce743b08ef0fe8569f279fe6e7920b8")</f>
        <v>0</v>
      </c>
      <c r="D34598" t="s">
        <v>5304</v>
      </c>
      <c r="E34598" t="s">
        <v>8608</v>
      </c>
      <c r="F34598" t="s">
        <v>14052</v>
      </c>
      <c r="G34598" t="s">
        <v>18051</v>
      </c>
      <c r="H34598" t="s">
        <v>33175</v>
      </c>
    </row>
    <row r="34599" spans="1:8">
      <c r="H34599" t="s">
        <v>33176</v>
      </c>
    </row>
    <row r="34600" spans="1:8">
      <c r="H34600" t="s">
        <v>33177</v>
      </c>
    </row>
    <row r="34601" spans="1:8">
      <c r="H34601" t="s">
        <v>33178</v>
      </c>
    </row>
    <row r="34602" spans="1:8">
      <c r="H34602" t="s">
        <v>33179</v>
      </c>
    </row>
    <row r="34603" spans="1:8">
      <c r="H34603" t="s">
        <v>33180</v>
      </c>
    </row>
    <row r="34604" spans="1:8">
      <c r="H34604" t="s">
        <v>33181</v>
      </c>
    </row>
    <row r="34605" spans="1:8">
      <c r="H34605" t="s">
        <v>33182</v>
      </c>
    </row>
    <row r="34606" spans="1:8">
      <c r="F34606" t="s">
        <v>14069</v>
      </c>
      <c r="G34606" t="s">
        <v>18067</v>
      </c>
      <c r="H34606" t="s">
        <v>33183</v>
      </c>
    </row>
    <row r="34607" spans="1:8">
      <c r="A34607" t="s">
        <v>2886</v>
      </c>
      <c r="B34607">
        <f>HYPERLINK("https://android.googlesource.com/platform/cts/+/54caf9c435735cb654b74119cb44fe706e9bf515", "54caf9c435735cb654b74119cb44fe706e9bf515")</f>
        <v>0</v>
      </c>
      <c r="C34607">
        <f>HYPERLINK("https://android.googlesource.com/platform/cts/+/8248d9f7aee17faf44928fc894fb80a6ac3cc91c", "8248d9f7aee17faf44928fc894fb80a6ac3cc91c")</f>
        <v>0</v>
      </c>
      <c r="D34607" t="s">
        <v>5148</v>
      </c>
      <c r="E34607" t="s">
        <v>8609</v>
      </c>
      <c r="F34607" t="s">
        <v>14070</v>
      </c>
      <c r="G34607" t="s">
        <v>18068</v>
      </c>
      <c r="H34607" t="s">
        <v>33184</v>
      </c>
    </row>
    <row r="34608" spans="1:8">
      <c r="H34608" t="s">
        <v>33185</v>
      </c>
    </row>
    <row r="34609" spans="6:8">
      <c r="H34609" t="s">
        <v>31527</v>
      </c>
    </row>
    <row r="34610" spans="6:8">
      <c r="H34610" t="s">
        <v>33186</v>
      </c>
    </row>
    <row r="34611" spans="6:8">
      <c r="H34611" t="s">
        <v>33187</v>
      </c>
    </row>
    <row r="34612" spans="6:8">
      <c r="F34612" t="s">
        <v>14071</v>
      </c>
      <c r="G34612" t="s">
        <v>18069</v>
      </c>
      <c r="H34612" t="s">
        <v>33184</v>
      </c>
    </row>
    <row r="34613" spans="6:8">
      <c r="H34613" t="s">
        <v>33185</v>
      </c>
    </row>
    <row r="34614" spans="6:8">
      <c r="H34614" t="s">
        <v>31527</v>
      </c>
    </row>
    <row r="34615" spans="6:8">
      <c r="H34615" t="s">
        <v>33188</v>
      </c>
    </row>
    <row r="34616" spans="6:8">
      <c r="H34616" t="s">
        <v>33189</v>
      </c>
    </row>
    <row r="34617" spans="6:8">
      <c r="H34617" t="s">
        <v>33190</v>
      </c>
    </row>
    <row r="34618" spans="6:8">
      <c r="H34618" t="s">
        <v>33191</v>
      </c>
    </row>
    <row r="34619" spans="6:8">
      <c r="H34619" t="s">
        <v>33192</v>
      </c>
    </row>
    <row r="34620" spans="6:8">
      <c r="H34620" t="s">
        <v>33193</v>
      </c>
    </row>
    <row r="34621" spans="6:8">
      <c r="H34621" t="s">
        <v>22005</v>
      </c>
    </row>
    <row r="34622" spans="6:8">
      <c r="H34622" t="s">
        <v>22005</v>
      </c>
    </row>
    <row r="34623" spans="6:8">
      <c r="H34623" t="s">
        <v>22005</v>
      </c>
    </row>
    <row r="34624" spans="6:8">
      <c r="H34624" t="s">
        <v>22005</v>
      </c>
    </row>
    <row r="34625" spans="1:8">
      <c r="H34625" t="s">
        <v>33194</v>
      </c>
    </row>
    <row r="34626" spans="1:8">
      <c r="H34626" t="s">
        <v>22005</v>
      </c>
    </row>
    <row r="34627" spans="1:8">
      <c r="H34627" t="s">
        <v>33195</v>
      </c>
    </row>
    <row r="34628" spans="1:8">
      <c r="F34628" t="s">
        <v>14072</v>
      </c>
      <c r="G34628" t="s">
        <v>18070</v>
      </c>
      <c r="H34628" t="s">
        <v>33184</v>
      </c>
    </row>
    <row r="34629" spans="1:8">
      <c r="H34629" t="s">
        <v>33185</v>
      </c>
    </row>
    <row r="34630" spans="1:8">
      <c r="H34630" t="s">
        <v>31527</v>
      </c>
    </row>
    <row r="34631" spans="1:8">
      <c r="H34631" t="s">
        <v>33196</v>
      </c>
    </row>
    <row r="34632" spans="1:8">
      <c r="H34632" t="s">
        <v>33197</v>
      </c>
    </row>
    <row r="34633" spans="1:8">
      <c r="H34633" t="s">
        <v>33198</v>
      </c>
    </row>
    <row r="34634" spans="1:8">
      <c r="F34634" t="s">
        <v>14073</v>
      </c>
      <c r="G34634" t="s">
        <v>18071</v>
      </c>
      <c r="H34634" t="s">
        <v>33184</v>
      </c>
    </row>
    <row r="34635" spans="1:8">
      <c r="H34635" t="s">
        <v>33185</v>
      </c>
    </row>
    <row r="34636" spans="1:8">
      <c r="H34636" t="s">
        <v>33199</v>
      </c>
    </row>
    <row r="34637" spans="1:8">
      <c r="A34637" t="s">
        <v>2887</v>
      </c>
      <c r="B34637">
        <f>HYPERLINK("https://android.googlesource.com/platform/cts/+/09e44ce61061ff87c2a1f978f23c80edab8dc36a", "09e44ce61061ff87c2a1f978f23c80edab8dc36a")</f>
        <v>0</v>
      </c>
      <c r="C34637">
        <f>HYPERLINK("https://android.googlesource.com/platform/cts/+/d7d71b18e9a386c07fd4768608dfa492f8a0d78b", "d7d71b18e9a386c07fd4768608dfa492f8a0d78b")</f>
        <v>0</v>
      </c>
      <c r="D34637" t="s">
        <v>5244</v>
      </c>
      <c r="E34637" t="s">
        <v>8610</v>
      </c>
      <c r="F34637" t="s">
        <v>14065</v>
      </c>
      <c r="G34637" t="s">
        <v>18063</v>
      </c>
      <c r="H34637" t="s">
        <v>33200</v>
      </c>
    </row>
    <row r="34638" spans="1:8">
      <c r="H34638" t="s">
        <v>33200</v>
      </c>
    </row>
    <row r="34639" spans="1:8">
      <c r="H34639" t="s">
        <v>33201</v>
      </c>
    </row>
    <row r="34640" spans="1:8">
      <c r="H34640" t="s">
        <v>33202</v>
      </c>
    </row>
    <row r="34641" spans="1:8">
      <c r="H34641" t="s">
        <v>33203</v>
      </c>
    </row>
    <row r="34642" spans="1:8">
      <c r="H34642" t="s">
        <v>33204</v>
      </c>
    </row>
    <row r="34643" spans="1:8">
      <c r="H34643" t="s">
        <v>33204</v>
      </c>
    </row>
    <row r="34644" spans="1:8">
      <c r="H34644" t="s">
        <v>33205</v>
      </c>
    </row>
    <row r="34645" spans="1:8">
      <c r="H34645" t="s">
        <v>33206</v>
      </c>
    </row>
    <row r="34646" spans="1:8">
      <c r="H34646" t="s">
        <v>33207</v>
      </c>
    </row>
    <row r="34647" spans="1:8">
      <c r="H34647" t="s">
        <v>32296</v>
      </c>
    </row>
    <row r="34648" spans="1:8">
      <c r="H34648" t="s">
        <v>33208</v>
      </c>
    </row>
    <row r="34649" spans="1:8">
      <c r="H34649" t="s">
        <v>33208</v>
      </c>
    </row>
    <row r="34650" spans="1:8">
      <c r="H34650" t="s">
        <v>33209</v>
      </c>
    </row>
    <row r="34651" spans="1:8">
      <c r="H34651" t="s">
        <v>33210</v>
      </c>
    </row>
    <row r="34652" spans="1:8">
      <c r="H34652" t="s">
        <v>33210</v>
      </c>
    </row>
    <row r="34653" spans="1:8">
      <c r="H34653" t="s">
        <v>33211</v>
      </c>
    </row>
    <row r="34654" spans="1:8">
      <c r="A34654" t="s">
        <v>2888</v>
      </c>
      <c r="B34654">
        <f>HYPERLINK("https://android.googlesource.com/platform/cts/+/7dee094e9d62ef987ef283f1d81d07ee692dbcc4", "7dee094e9d62ef987ef283f1d81d07ee692dbcc4")</f>
        <v>0</v>
      </c>
      <c r="C34654">
        <f>HYPERLINK("https://android.googlesource.com/platform/cts/+/cb556cc044128c7b593df64a8449710e118b379a", "cb556cc044128c7b593df64a8449710e118b379a")</f>
        <v>0</v>
      </c>
      <c r="D34654" t="s">
        <v>5352</v>
      </c>
      <c r="E34654" t="s">
        <v>8611</v>
      </c>
      <c r="F34654" t="s">
        <v>13971</v>
      </c>
      <c r="G34654" t="s">
        <v>17996</v>
      </c>
      <c r="H34654" t="s">
        <v>33212</v>
      </c>
    </row>
    <row r="34655" spans="1:8">
      <c r="H34655" t="s">
        <v>33213</v>
      </c>
    </row>
    <row r="34656" spans="1:8">
      <c r="A34656" t="s">
        <v>2889</v>
      </c>
      <c r="B34656">
        <f>HYPERLINK("https://android.googlesource.com/platform/cts/+/527e059d203a45d5939b340b8cb6b118de9ac64b", "527e059d203a45d5939b340b8cb6b118de9ac64b")</f>
        <v>0</v>
      </c>
      <c r="C34656">
        <f>HYPERLINK("https://android.googlesource.com/platform/cts/+/e2d84f914161c116e357a01cc754a60297adcea6", "e2d84f914161c116e357a01cc754a60297adcea6")</f>
        <v>0</v>
      </c>
      <c r="D34656" t="s">
        <v>5475</v>
      </c>
      <c r="E34656" t="s">
        <v>8612</v>
      </c>
      <c r="F34656" t="s">
        <v>14074</v>
      </c>
      <c r="G34656" t="s">
        <v>18072</v>
      </c>
      <c r="H34656" t="s">
        <v>33214</v>
      </c>
    </row>
    <row r="34657" spans="1:8">
      <c r="A34657" t="s">
        <v>2890</v>
      </c>
      <c r="B34657">
        <f>HYPERLINK("https://android.googlesource.com/platform/cts/+/0e59e1013f480419b40afb2ecad36fa32ef72e56", "0e59e1013f480419b40afb2ecad36fa32ef72e56")</f>
        <v>0</v>
      </c>
      <c r="C34657">
        <f>HYPERLINK("https://android.googlesource.com/platform/cts/+/c630863a03e215f4d6751c7bdc101367b6733a32", "c630863a03e215f4d6751c7bdc101367b6733a32")</f>
        <v>0</v>
      </c>
      <c r="D34657" t="s">
        <v>5435</v>
      </c>
      <c r="E34657" t="s">
        <v>8613</v>
      </c>
      <c r="F34657" t="s">
        <v>12710</v>
      </c>
      <c r="G34657" t="s">
        <v>16911</v>
      </c>
      <c r="H34657" t="s">
        <v>33215</v>
      </c>
    </row>
    <row r="34658" spans="1:8">
      <c r="A34658" t="s">
        <v>2891</v>
      </c>
      <c r="B34658">
        <f>HYPERLINK("https://android.googlesource.com/platform/cts/+/5163180bffab8c62e24d26b6689a75f3e1f6156f", "5163180bffab8c62e24d26b6689a75f3e1f6156f")</f>
        <v>0</v>
      </c>
      <c r="C34658">
        <f>HYPERLINK("https://android.googlesource.com/platform/cts/+/a0344c4d8be7c7b9670f732aeef0ea279d0c4989", "a0344c4d8be7c7b9670f732aeef0ea279d0c4989")</f>
        <v>0</v>
      </c>
      <c r="D34658" t="s">
        <v>5244</v>
      </c>
      <c r="E34658" t="s">
        <v>8614</v>
      </c>
      <c r="F34658" t="s">
        <v>14075</v>
      </c>
      <c r="G34658" t="s">
        <v>18073</v>
      </c>
      <c r="H34658" t="s">
        <v>33216</v>
      </c>
    </row>
    <row r="34659" spans="1:8">
      <c r="A34659" t="s">
        <v>2892</v>
      </c>
      <c r="B34659">
        <f>HYPERLINK("https://android.googlesource.com/platform/cts/+/675172470197009d6b935f5ca564b9c66365ade8", "675172470197009d6b935f5ca564b9c66365ade8")</f>
        <v>0</v>
      </c>
      <c r="C34659">
        <f>HYPERLINK("https://android.googlesource.com/platform/cts/+/270f9c3ec0d43ccfc037e86f946a5fe5b669914a", "270f9c3ec0d43ccfc037e86f946a5fe5b669914a")</f>
        <v>0</v>
      </c>
      <c r="D34659" t="s">
        <v>5476</v>
      </c>
      <c r="E34659" t="s">
        <v>8615</v>
      </c>
      <c r="F34659" t="s">
        <v>14076</v>
      </c>
      <c r="G34659" t="s">
        <v>18074</v>
      </c>
      <c r="H34659" t="s">
        <v>33217</v>
      </c>
    </row>
    <row r="34660" spans="1:8">
      <c r="A34660" t="s">
        <v>2893</v>
      </c>
      <c r="B34660">
        <f>HYPERLINK("https://android.googlesource.com/platform/cts/+/78ef9bf1553c5dec9117e28c3831cc843c9f93fb", "78ef9bf1553c5dec9117e28c3831cc843c9f93fb")</f>
        <v>0</v>
      </c>
      <c r="C34660">
        <f>HYPERLINK("https://android.googlesource.com/platform/cts/+/26aecb49bfb88c417d3fd7758598f489fe4d42a1", "26aecb49bfb88c417d3fd7758598f489fe4d42a1")</f>
        <v>0</v>
      </c>
      <c r="D34660" t="s">
        <v>5411</v>
      </c>
      <c r="E34660" t="s">
        <v>8616</v>
      </c>
      <c r="F34660" t="s">
        <v>13502</v>
      </c>
      <c r="G34660" t="s">
        <v>17620</v>
      </c>
      <c r="H34660" t="s">
        <v>33218</v>
      </c>
    </row>
    <row r="34661" spans="1:8">
      <c r="A34661" t="s">
        <v>2895</v>
      </c>
      <c r="B34661">
        <f>HYPERLINK("https://android.googlesource.com/platform/cts/+/79111ee1dde0339a6660e7e2d69b3ba24524e3aa", "79111ee1dde0339a6660e7e2d69b3ba24524e3aa")</f>
        <v>0</v>
      </c>
      <c r="C34661">
        <f>HYPERLINK("https://android.googlesource.com/platform/cts/+/025186ed8d11a32f9a5822a7ac2701f60f30e370", "025186ed8d11a32f9a5822a7ac2701f60f30e370")</f>
        <v>0</v>
      </c>
      <c r="D34661" t="s">
        <v>5460</v>
      </c>
      <c r="E34661" t="s">
        <v>8618</v>
      </c>
      <c r="F34661" t="s">
        <v>13417</v>
      </c>
      <c r="G34661" t="s">
        <v>17543</v>
      </c>
      <c r="H34661" t="s">
        <v>33219</v>
      </c>
    </row>
    <row r="34662" spans="1:8">
      <c r="A34662" t="s">
        <v>2896</v>
      </c>
      <c r="B34662">
        <f>HYPERLINK("https://android.googlesource.com/platform/cts/+/a0f735cd2a89476ff219fae483ec758703c31de3", "a0f735cd2a89476ff219fae483ec758703c31de3")</f>
        <v>0</v>
      </c>
      <c r="C34662">
        <f>HYPERLINK("https://android.googlesource.com/platform/cts/+/8cc09a51f7d3bf20da186345ff214ec23fb6f479", "8cc09a51f7d3bf20da186345ff214ec23fb6f479")</f>
        <v>0</v>
      </c>
      <c r="D34662" t="s">
        <v>5477</v>
      </c>
      <c r="E34662" t="s">
        <v>8619</v>
      </c>
      <c r="F34662" t="s">
        <v>13440</v>
      </c>
      <c r="G34662" t="s">
        <v>17562</v>
      </c>
      <c r="H34662" t="s">
        <v>18896</v>
      </c>
    </row>
    <row r="34663" spans="1:8">
      <c r="H34663" t="s">
        <v>33220</v>
      </c>
    </row>
    <row r="34664" spans="1:8">
      <c r="A34664" t="s">
        <v>2897</v>
      </c>
      <c r="B34664">
        <f>HYPERLINK("https://android.googlesource.com/platform/cts/+/d9aef5b83621bf1831624fb7d91f8e59f0e4bf33", "d9aef5b83621bf1831624fb7d91f8e59f0e4bf33")</f>
        <v>0</v>
      </c>
      <c r="C34664">
        <f>HYPERLINK("https://android.googlesource.com/platform/cts/+/c630863a03e215f4d6751c7bdc101367b6733a32", "c630863a03e215f4d6751c7bdc101367b6733a32")</f>
        <v>0</v>
      </c>
      <c r="D34664" t="s">
        <v>5435</v>
      </c>
      <c r="E34664" t="s">
        <v>8620</v>
      </c>
      <c r="F34664" t="s">
        <v>12710</v>
      </c>
      <c r="G34664" t="s">
        <v>16911</v>
      </c>
      <c r="H34664" t="s">
        <v>33221</v>
      </c>
    </row>
    <row r="34665" spans="1:8">
      <c r="A34665" t="s">
        <v>2898</v>
      </c>
      <c r="B34665">
        <f>HYPERLINK("https://android.googlesource.com/platform/cts/+/0e149d2d34b28191bd20c31db311a0c4c9389c9a", "0e149d2d34b28191bd20c31db311a0c4c9389c9a")</f>
        <v>0</v>
      </c>
      <c r="C34665">
        <f>HYPERLINK("https://android.googlesource.com/platform/cts/+/62680fd53fe1499a3fd40758c21a2d33cfad1820", "62680fd53fe1499a3fd40758c21a2d33cfad1820")</f>
        <v>0</v>
      </c>
      <c r="D34665" t="s">
        <v>5275</v>
      </c>
      <c r="E34665" t="s">
        <v>8621</v>
      </c>
      <c r="F34665" t="s">
        <v>12984</v>
      </c>
      <c r="G34665" t="s">
        <v>17148</v>
      </c>
      <c r="H34665" t="s">
        <v>33222</v>
      </c>
    </row>
    <row r="34666" spans="1:8">
      <c r="A34666" t="s">
        <v>2900</v>
      </c>
      <c r="B34666">
        <f>HYPERLINK("https://android.googlesource.com/platform/cts/+/35361573b6b096d1bad1bc1698ca1719feb5f539", "35361573b6b096d1bad1bc1698ca1719feb5f539")</f>
        <v>0</v>
      </c>
      <c r="C34666">
        <f>HYPERLINK("https://android.googlesource.com/platform/cts/+/26aecb49bfb88c417d3fd7758598f489fe4d42a1", "26aecb49bfb88c417d3fd7758598f489fe4d42a1")</f>
        <v>0</v>
      </c>
      <c r="D34666" t="s">
        <v>5108</v>
      </c>
      <c r="E34666" t="s">
        <v>8623</v>
      </c>
      <c r="F34666" t="s">
        <v>14077</v>
      </c>
      <c r="G34666" t="s">
        <v>18075</v>
      </c>
      <c r="H34666" t="s">
        <v>33223</v>
      </c>
    </row>
    <row r="34667" spans="1:8">
      <c r="A34667" t="s">
        <v>2901</v>
      </c>
      <c r="B34667">
        <f>HYPERLINK("https://android.googlesource.com/platform/cts/+/02438ec41001d781686c00b1a3562aaaf3deadfb", "02438ec41001d781686c00b1a3562aaaf3deadfb")</f>
        <v>0</v>
      </c>
      <c r="C34667">
        <f>HYPERLINK("https://android.googlesource.com/platform/cts/+/6b11b07da971d2f1164b6306f4e215d774318abf", "6b11b07da971d2f1164b6306f4e215d774318abf")</f>
        <v>0</v>
      </c>
      <c r="D34667" t="s">
        <v>5180</v>
      </c>
      <c r="E34667" t="s">
        <v>8624</v>
      </c>
      <c r="F34667" t="s">
        <v>14078</v>
      </c>
      <c r="G34667" t="s">
        <v>18076</v>
      </c>
      <c r="H34667" t="s">
        <v>18829</v>
      </c>
    </row>
    <row r="34668" spans="1:8">
      <c r="H34668" t="s">
        <v>18863</v>
      </c>
    </row>
    <row r="34669" spans="1:8">
      <c r="H34669" t="s">
        <v>33224</v>
      </c>
    </row>
    <row r="34670" spans="1:8">
      <c r="H34670" t="s">
        <v>33225</v>
      </c>
    </row>
    <row r="34671" spans="1:8">
      <c r="H34671" t="s">
        <v>33226</v>
      </c>
    </row>
    <row r="34672" spans="1:8">
      <c r="H34672" t="s">
        <v>33227</v>
      </c>
    </row>
    <row r="34673" spans="1:8">
      <c r="H34673" t="s">
        <v>33228</v>
      </c>
    </row>
    <row r="34674" spans="1:8">
      <c r="H34674" t="s">
        <v>33229</v>
      </c>
    </row>
    <row r="34675" spans="1:8">
      <c r="H34675" t="s">
        <v>33230</v>
      </c>
    </row>
    <row r="34676" spans="1:8">
      <c r="H34676" t="s">
        <v>33231</v>
      </c>
    </row>
    <row r="34677" spans="1:8">
      <c r="H34677" t="s">
        <v>33232</v>
      </c>
    </row>
    <row r="34678" spans="1:8">
      <c r="H34678" t="s">
        <v>33233</v>
      </c>
    </row>
    <row r="34679" spans="1:8">
      <c r="H34679" t="s">
        <v>33234</v>
      </c>
    </row>
    <row r="34680" spans="1:8">
      <c r="H34680" t="s">
        <v>33235</v>
      </c>
    </row>
    <row r="34681" spans="1:8">
      <c r="H34681" t="s">
        <v>33236</v>
      </c>
    </row>
    <row r="34682" spans="1:8">
      <c r="H34682" t="s">
        <v>33237</v>
      </c>
    </row>
    <row r="34683" spans="1:8">
      <c r="H34683" t="s">
        <v>33238</v>
      </c>
    </row>
    <row r="34684" spans="1:8">
      <c r="H34684" t="s">
        <v>33239</v>
      </c>
    </row>
    <row r="34685" spans="1:8">
      <c r="A34685" t="s">
        <v>2902</v>
      </c>
      <c r="B34685">
        <f>HYPERLINK("https://android.googlesource.com/platform/cts/+/85dd96c68efb9cfd37ec2d747d832213d89cd520", "85dd96c68efb9cfd37ec2d747d832213d89cd520")</f>
        <v>0</v>
      </c>
      <c r="C34685">
        <f>HYPERLINK("https://android.googlesource.com/platform/cts/+/cbee36fd9f7b4a37f211869edcaa29768d71ca57", "cbee36fd9f7b4a37f211869edcaa29768d71ca57")</f>
        <v>0</v>
      </c>
      <c r="D34685" t="s">
        <v>5296</v>
      </c>
      <c r="E34685" t="s">
        <v>8625</v>
      </c>
      <c r="F34685" t="s">
        <v>14079</v>
      </c>
      <c r="G34685" t="s">
        <v>15084</v>
      </c>
      <c r="H34685" t="s">
        <v>33240</v>
      </c>
    </row>
    <row r="34686" spans="1:8">
      <c r="H34686" t="s">
        <v>33241</v>
      </c>
    </row>
    <row r="34687" spans="1:8">
      <c r="H34687" t="s">
        <v>33242</v>
      </c>
    </row>
    <row r="34688" spans="1:8">
      <c r="H34688" t="s">
        <v>33243</v>
      </c>
    </row>
    <row r="34689" spans="1:8">
      <c r="H34689" t="s">
        <v>33244</v>
      </c>
    </row>
    <row r="34690" spans="1:8">
      <c r="A34690" t="s">
        <v>2903</v>
      </c>
      <c r="B34690">
        <f>HYPERLINK("https://android.googlesource.com/platform/cts/+/1332c81947aef831f7ce0c6d517df30039ecda2a", "1332c81947aef831f7ce0c6d517df30039ecda2a")</f>
        <v>0</v>
      </c>
      <c r="C34690">
        <f>HYPERLINK("https://android.googlesource.com/platform/cts/+/b3f23678a9b5fa5af1108edc3d5f5313c2d9e004", "b3f23678a9b5fa5af1108edc3d5f5313c2d9e004")</f>
        <v>0</v>
      </c>
      <c r="D34690" t="s">
        <v>5399</v>
      </c>
      <c r="E34690" t="s">
        <v>8626</v>
      </c>
      <c r="F34690" t="s">
        <v>13850</v>
      </c>
      <c r="G34690" t="s">
        <v>16816</v>
      </c>
      <c r="H34690" t="s">
        <v>33245</v>
      </c>
    </row>
    <row r="34691" spans="1:8">
      <c r="A34691" t="s">
        <v>2904</v>
      </c>
      <c r="B34691">
        <f>HYPERLINK("https://android.googlesource.com/platform/cts/+/ca6733ac413674e291bed44b9303514fd0d797d8", "ca6733ac413674e291bed44b9303514fd0d797d8")</f>
        <v>0</v>
      </c>
      <c r="C34691">
        <f>HYPERLINK("https://android.googlesource.com/platform/cts/+/6b11b07da971d2f1164b6306f4e215d774318abf", "6b11b07da971d2f1164b6306f4e215d774318abf")</f>
        <v>0</v>
      </c>
      <c r="D34691" t="s">
        <v>5042</v>
      </c>
      <c r="E34691" t="s">
        <v>8627</v>
      </c>
      <c r="F34691" t="s">
        <v>14080</v>
      </c>
      <c r="G34691" t="s">
        <v>18077</v>
      </c>
      <c r="H34691" t="s">
        <v>33246</v>
      </c>
    </row>
    <row r="34692" spans="1:8">
      <c r="H34692" t="s">
        <v>33247</v>
      </c>
    </row>
    <row r="34693" spans="1:8">
      <c r="A34693" t="s">
        <v>2905</v>
      </c>
      <c r="B34693">
        <f>HYPERLINK("https://android.googlesource.com/platform/cts/+/642a2d405c6165aa3934c00d789a21848bf09dcb", "642a2d405c6165aa3934c00d789a21848bf09dcb")</f>
        <v>0</v>
      </c>
      <c r="C34693">
        <f>HYPERLINK("https://android.googlesource.com/platform/cts/+/472edaefb84a362e2e94db984d6045972971abd2", "472edaefb84a362e2e94db984d6045972971abd2")</f>
        <v>0</v>
      </c>
      <c r="D34693" t="s">
        <v>5180</v>
      </c>
      <c r="E34693" t="s">
        <v>8628</v>
      </c>
      <c r="F34693" t="s">
        <v>14081</v>
      </c>
      <c r="G34693" t="s">
        <v>18078</v>
      </c>
      <c r="H34693" t="s">
        <v>33248</v>
      </c>
    </row>
    <row r="34694" spans="1:8">
      <c r="H34694" t="s">
        <v>33249</v>
      </c>
    </row>
    <row r="34695" spans="1:8">
      <c r="A34695" t="s">
        <v>2906</v>
      </c>
      <c r="B34695">
        <f>HYPERLINK("https://android.googlesource.com/platform/cts/+/edad9239f1fd407c86d799b3450d16c8a42b8e53", "edad9239f1fd407c86d799b3450d16c8a42b8e53")</f>
        <v>0</v>
      </c>
      <c r="C34695">
        <f>HYPERLINK("https://android.googlesource.com/platform/cts/+/26aecb49bfb88c417d3fd7758598f489fe4d42a1", "26aecb49bfb88c417d3fd7758598f489fe4d42a1")</f>
        <v>0</v>
      </c>
      <c r="D34695" t="s">
        <v>5478</v>
      </c>
      <c r="E34695" t="s">
        <v>8629</v>
      </c>
      <c r="F34695" t="s">
        <v>12227</v>
      </c>
      <c r="G34695" t="s">
        <v>16457</v>
      </c>
      <c r="H34695" t="s">
        <v>33250</v>
      </c>
    </row>
    <row r="34696" spans="1:8">
      <c r="A34696" t="s">
        <v>2907</v>
      </c>
      <c r="B34696">
        <f>HYPERLINK("https://android.googlesource.com/platform/cts/+/d3c38bf0fb2dc752902bb5a7e4b7f42a1451c9e0", "d3c38bf0fb2dc752902bb5a7e4b7f42a1451c9e0")</f>
        <v>0</v>
      </c>
      <c r="C34696">
        <f>HYPERLINK("https://android.googlesource.com/platform/cts/+/77171461072d83ca852bda4f4dfc371b6c250c17", "77171461072d83ca852bda4f4dfc371b6c250c17")</f>
        <v>0</v>
      </c>
      <c r="D34696" t="s">
        <v>5293</v>
      </c>
      <c r="E34696" t="s">
        <v>8630</v>
      </c>
      <c r="F34696" t="s">
        <v>14082</v>
      </c>
      <c r="G34696" t="s">
        <v>18079</v>
      </c>
      <c r="H34696" t="s">
        <v>33251</v>
      </c>
    </row>
    <row r="34697" spans="1:8">
      <c r="H34697" t="s">
        <v>33252</v>
      </c>
    </row>
    <row r="34698" spans="1:8">
      <c r="A34698" t="s">
        <v>2908</v>
      </c>
      <c r="B34698">
        <f>HYPERLINK("https://android.googlesource.com/platform/cts/+/ca2cf25ac7757dab2327818a07b984f5cfa495c4", "ca2cf25ac7757dab2327818a07b984f5cfa495c4")</f>
        <v>0</v>
      </c>
      <c r="C34698">
        <f>HYPERLINK("https://android.googlesource.com/platform/cts/+/118dd985ce679a70148a903206418a7231733cb0", "118dd985ce679a70148a903206418a7231733cb0")</f>
        <v>0</v>
      </c>
      <c r="D34698" t="s">
        <v>5298</v>
      </c>
      <c r="E34698" t="s">
        <v>8631</v>
      </c>
      <c r="F34698" t="s">
        <v>13709</v>
      </c>
      <c r="G34698" t="s">
        <v>17777</v>
      </c>
      <c r="H34698" t="s">
        <v>33253</v>
      </c>
    </row>
    <row r="34699" spans="1:8">
      <c r="H34699" t="s">
        <v>20083</v>
      </c>
    </row>
    <row r="34700" spans="1:8">
      <c r="H34700" t="s">
        <v>33254</v>
      </c>
    </row>
    <row r="34701" spans="1:8">
      <c r="H34701" t="s">
        <v>18953</v>
      </c>
    </row>
    <row r="34702" spans="1:8">
      <c r="H34702" t="s">
        <v>33255</v>
      </c>
    </row>
    <row r="34703" spans="1:8">
      <c r="H34703" t="s">
        <v>33255</v>
      </c>
    </row>
    <row r="34704" spans="1:8">
      <c r="H34704" t="s">
        <v>33256</v>
      </c>
    </row>
    <row r="34705" spans="1:8">
      <c r="H34705" t="s">
        <v>33257</v>
      </c>
    </row>
    <row r="34706" spans="1:8">
      <c r="H34706" t="s">
        <v>33258</v>
      </c>
    </row>
    <row r="34707" spans="1:8">
      <c r="A34707" t="s">
        <v>2909</v>
      </c>
      <c r="B34707">
        <f>HYPERLINK("https://android.googlesource.com/platform/cts/+/b8440cd5c109da38e4f447190c455f84cb16a385", "b8440cd5c109da38e4f447190c455f84cb16a385")</f>
        <v>0</v>
      </c>
      <c r="C34707">
        <f>HYPERLINK("https://android.googlesource.com/platform/cts/+/ca2cf25ac7757dab2327818a07b984f5cfa495c4", "ca2cf25ac7757dab2327818a07b984f5cfa495c4")</f>
        <v>0</v>
      </c>
      <c r="D34707" t="s">
        <v>5298</v>
      </c>
      <c r="E34707" t="s">
        <v>8632</v>
      </c>
      <c r="F34707" t="s">
        <v>14083</v>
      </c>
      <c r="G34707" t="s">
        <v>17662</v>
      </c>
      <c r="H34707" t="s">
        <v>29973</v>
      </c>
    </row>
    <row r="34708" spans="1:8">
      <c r="H34708" t="s">
        <v>29976</v>
      </c>
    </row>
    <row r="34709" spans="1:8">
      <c r="H34709" t="s">
        <v>33259</v>
      </c>
    </row>
    <row r="34710" spans="1:8">
      <c r="H34710" t="s">
        <v>30397</v>
      </c>
    </row>
    <row r="34711" spans="1:8">
      <c r="H34711" t="s">
        <v>33260</v>
      </c>
    </row>
    <row r="34712" spans="1:8">
      <c r="H34712" t="s">
        <v>33261</v>
      </c>
    </row>
    <row r="34713" spans="1:8">
      <c r="A34713" t="s">
        <v>2910</v>
      </c>
      <c r="B34713">
        <f>HYPERLINK("https://android.googlesource.com/platform/cts/+/3a4108e7cccd1d648de6ede25b190fd634164da6", "3a4108e7cccd1d648de6ede25b190fd634164da6")</f>
        <v>0</v>
      </c>
      <c r="C34713">
        <f>HYPERLINK("https://android.googlesource.com/platform/cts/+/84fbda84945556e04bda78cfe58014a5ce718209", "84fbda84945556e04bda78cfe58014a5ce718209")</f>
        <v>0</v>
      </c>
      <c r="D34713" t="s">
        <v>5180</v>
      </c>
      <c r="E34713" t="s">
        <v>8633</v>
      </c>
      <c r="F34713" t="s">
        <v>14081</v>
      </c>
      <c r="G34713" t="s">
        <v>18078</v>
      </c>
      <c r="H34713" t="s">
        <v>33262</v>
      </c>
    </row>
    <row r="34714" spans="1:8">
      <c r="H34714" t="s">
        <v>33263</v>
      </c>
    </row>
    <row r="34715" spans="1:8">
      <c r="A34715" t="s">
        <v>2911</v>
      </c>
      <c r="B34715">
        <f>HYPERLINK("https://android.googlesource.com/platform/cts/+/eb384fc0879fe57791f97dde5505b06c917be3fe", "eb384fc0879fe57791f97dde5505b06c917be3fe")</f>
        <v>0</v>
      </c>
      <c r="C34715">
        <f>HYPERLINK("https://android.googlesource.com/platform/cts/+/6b11b07da971d2f1164b6306f4e215d774318abf", "6b11b07da971d2f1164b6306f4e215d774318abf")</f>
        <v>0</v>
      </c>
      <c r="D34715" t="s">
        <v>5042</v>
      </c>
      <c r="E34715" t="s">
        <v>8634</v>
      </c>
      <c r="F34715" t="s">
        <v>12319</v>
      </c>
      <c r="G34715" t="s">
        <v>16549</v>
      </c>
      <c r="H34715" t="s">
        <v>33264</v>
      </c>
    </row>
    <row r="34716" spans="1:8">
      <c r="H34716" t="s">
        <v>33265</v>
      </c>
    </row>
    <row r="34717" spans="1:8">
      <c r="H34717" t="s">
        <v>33266</v>
      </c>
    </row>
    <row r="34718" spans="1:8">
      <c r="H34718" t="s">
        <v>33267</v>
      </c>
    </row>
    <row r="34719" spans="1:8">
      <c r="A34719" t="s">
        <v>2912</v>
      </c>
      <c r="B34719">
        <f>HYPERLINK("https://android.googlesource.com/platform/cts/+/e2f256395bda208abfe94e2c66a848e42d84895f", "e2f256395bda208abfe94e2c66a848e42d84895f")</f>
        <v>0</v>
      </c>
      <c r="C34719">
        <f>HYPERLINK("https://android.googlesource.com/platform/cts/+/133c47f94ca6ee23825b4545a95a71763a85238e", "133c47f94ca6ee23825b4545a95a71763a85238e")</f>
        <v>0</v>
      </c>
      <c r="D34719" t="s">
        <v>5118</v>
      </c>
      <c r="E34719" t="s">
        <v>8635</v>
      </c>
      <c r="F34719" t="s">
        <v>12768</v>
      </c>
      <c r="G34719" t="s">
        <v>15710</v>
      </c>
      <c r="H34719" t="s">
        <v>33268</v>
      </c>
    </row>
    <row r="34720" spans="1:8">
      <c r="A34720" t="s">
        <v>2914</v>
      </c>
      <c r="B34720">
        <f>HYPERLINK("https://android.googlesource.com/platform/cts/+/0778505b25c01e972f3a2be4352f9fefe6f1125d", "0778505b25c01e972f3a2be4352f9fefe6f1125d")</f>
        <v>0</v>
      </c>
      <c r="C34720">
        <f>HYPERLINK("https://android.googlesource.com/platform/cts/+/eb384fc0879fe57791f97dde5505b06c917be3fe", "eb384fc0879fe57791f97dde5505b06c917be3fe")</f>
        <v>0</v>
      </c>
      <c r="D34720" t="s">
        <v>5042</v>
      </c>
      <c r="E34720" t="s">
        <v>8637</v>
      </c>
      <c r="F34720" t="s">
        <v>12319</v>
      </c>
      <c r="G34720" t="s">
        <v>16549</v>
      </c>
      <c r="H34720" t="s">
        <v>33269</v>
      </c>
    </row>
    <row r="34721" spans="8:8">
      <c r="H34721" t="s">
        <v>33270</v>
      </c>
    </row>
    <row r="34722" spans="8:8">
      <c r="H34722" t="s">
        <v>33271</v>
      </c>
    </row>
    <row r="34723" spans="8:8">
      <c r="H34723" t="s">
        <v>33272</v>
      </c>
    </row>
    <row r="34724" spans="8:8">
      <c r="H34724" t="s">
        <v>33273</v>
      </c>
    </row>
    <row r="34725" spans="8:8">
      <c r="H34725" t="s">
        <v>33274</v>
      </c>
    </row>
    <row r="34726" spans="8:8">
      <c r="H34726" t="s">
        <v>33275</v>
      </c>
    </row>
    <row r="34727" spans="8:8">
      <c r="H34727" t="s">
        <v>33276</v>
      </c>
    </row>
    <row r="34728" spans="8:8">
      <c r="H34728" t="s">
        <v>33277</v>
      </c>
    </row>
    <row r="34729" spans="8:8">
      <c r="H34729" t="s">
        <v>33278</v>
      </c>
    </row>
    <row r="34730" spans="8:8">
      <c r="H34730" t="s">
        <v>33279</v>
      </c>
    </row>
    <row r="34731" spans="8:8">
      <c r="H34731" t="s">
        <v>33280</v>
      </c>
    </row>
    <row r="34732" spans="8:8">
      <c r="H34732" t="s">
        <v>33281</v>
      </c>
    </row>
    <row r="34733" spans="8:8">
      <c r="H34733" t="s">
        <v>33282</v>
      </c>
    </row>
    <row r="34734" spans="8:8">
      <c r="H34734" t="s">
        <v>33283</v>
      </c>
    </row>
    <row r="34735" spans="8:8">
      <c r="H34735" t="s">
        <v>33284</v>
      </c>
    </row>
    <row r="34736" spans="8:8">
      <c r="H34736" t="s">
        <v>33285</v>
      </c>
    </row>
    <row r="34737" spans="8:8">
      <c r="H34737" t="s">
        <v>33286</v>
      </c>
    </row>
    <row r="34738" spans="8:8">
      <c r="H34738" t="s">
        <v>33287</v>
      </c>
    </row>
    <row r="34739" spans="8:8">
      <c r="H34739" t="s">
        <v>33288</v>
      </c>
    </row>
    <row r="34740" spans="8:8">
      <c r="H34740" t="s">
        <v>33289</v>
      </c>
    </row>
    <row r="34741" spans="8:8">
      <c r="H34741" t="s">
        <v>33290</v>
      </c>
    </row>
    <row r="34742" spans="8:8">
      <c r="H34742" t="s">
        <v>33291</v>
      </c>
    </row>
    <row r="34743" spans="8:8">
      <c r="H34743" t="s">
        <v>33292</v>
      </c>
    </row>
    <row r="34744" spans="8:8">
      <c r="H34744" t="s">
        <v>33292</v>
      </c>
    </row>
    <row r="34745" spans="8:8">
      <c r="H34745" t="s">
        <v>33293</v>
      </c>
    </row>
    <row r="34746" spans="8:8">
      <c r="H34746" t="s">
        <v>33294</v>
      </c>
    </row>
    <row r="34747" spans="8:8">
      <c r="H34747" t="s">
        <v>33295</v>
      </c>
    </row>
    <row r="34748" spans="8:8">
      <c r="H34748" t="s">
        <v>33296</v>
      </c>
    </row>
    <row r="34749" spans="8:8">
      <c r="H34749" t="s">
        <v>33297</v>
      </c>
    </row>
    <row r="34750" spans="8:8">
      <c r="H34750" t="s">
        <v>33298</v>
      </c>
    </row>
    <row r="34751" spans="8:8">
      <c r="H34751" t="s">
        <v>33299</v>
      </c>
    </row>
    <row r="34752" spans="8:8">
      <c r="H34752" t="s">
        <v>33300</v>
      </c>
    </row>
    <row r="34753" spans="8:8">
      <c r="H34753" t="s">
        <v>33301</v>
      </c>
    </row>
    <row r="34754" spans="8:8">
      <c r="H34754" t="s">
        <v>33302</v>
      </c>
    </row>
    <row r="34755" spans="8:8">
      <c r="H34755" t="s">
        <v>33303</v>
      </c>
    </row>
    <row r="34756" spans="8:8">
      <c r="H34756" t="s">
        <v>33304</v>
      </c>
    </row>
    <row r="34757" spans="8:8">
      <c r="H34757" t="s">
        <v>33305</v>
      </c>
    </row>
    <row r="34758" spans="8:8">
      <c r="H34758" t="s">
        <v>33306</v>
      </c>
    </row>
    <row r="34759" spans="8:8">
      <c r="H34759" t="s">
        <v>21216</v>
      </c>
    </row>
    <row r="34760" spans="8:8">
      <c r="H34760" t="s">
        <v>33307</v>
      </c>
    </row>
    <row r="34761" spans="8:8">
      <c r="H34761" t="s">
        <v>21192</v>
      </c>
    </row>
    <row r="34762" spans="8:8">
      <c r="H34762" t="s">
        <v>21193</v>
      </c>
    </row>
    <row r="34763" spans="8:8">
      <c r="H34763" t="s">
        <v>33308</v>
      </c>
    </row>
    <row r="34764" spans="8:8">
      <c r="H34764" t="s">
        <v>33309</v>
      </c>
    </row>
    <row r="34765" spans="8:8">
      <c r="H34765" t="s">
        <v>33310</v>
      </c>
    </row>
    <row r="34766" spans="8:8">
      <c r="H34766" t="s">
        <v>33311</v>
      </c>
    </row>
    <row r="34767" spans="8:8">
      <c r="H34767" t="s">
        <v>33312</v>
      </c>
    </row>
    <row r="34768" spans="8:8">
      <c r="H34768" t="s">
        <v>33313</v>
      </c>
    </row>
    <row r="34769" spans="8:8">
      <c r="H34769" t="s">
        <v>18927</v>
      </c>
    </row>
    <row r="34770" spans="8:8">
      <c r="H34770" t="s">
        <v>19496</v>
      </c>
    </row>
    <row r="34771" spans="8:8">
      <c r="H34771" t="s">
        <v>33314</v>
      </c>
    </row>
    <row r="34772" spans="8:8">
      <c r="H34772" t="s">
        <v>19017</v>
      </c>
    </row>
    <row r="34773" spans="8:8">
      <c r="H34773" t="s">
        <v>31527</v>
      </c>
    </row>
    <row r="34774" spans="8:8">
      <c r="H34774" t="s">
        <v>33315</v>
      </c>
    </row>
    <row r="34775" spans="8:8">
      <c r="H34775" t="s">
        <v>33316</v>
      </c>
    </row>
    <row r="34776" spans="8:8">
      <c r="H34776" t="s">
        <v>18882</v>
      </c>
    </row>
    <row r="34777" spans="8:8">
      <c r="H34777" t="s">
        <v>33317</v>
      </c>
    </row>
    <row r="34778" spans="8:8">
      <c r="H34778" t="s">
        <v>21214</v>
      </c>
    </row>
    <row r="34779" spans="8:8">
      <c r="H34779" t="s">
        <v>21194</v>
      </c>
    </row>
    <row r="34780" spans="8:8">
      <c r="H34780" t="s">
        <v>33318</v>
      </c>
    </row>
    <row r="34781" spans="8:8">
      <c r="H34781" t="s">
        <v>33319</v>
      </c>
    </row>
    <row r="34782" spans="8:8">
      <c r="H34782" t="s">
        <v>33320</v>
      </c>
    </row>
    <row r="34783" spans="8:8">
      <c r="H34783" t="s">
        <v>33321</v>
      </c>
    </row>
    <row r="34784" spans="8:8">
      <c r="H34784" t="s">
        <v>33322</v>
      </c>
    </row>
    <row r="34785" spans="8:8">
      <c r="H34785" t="s">
        <v>33323</v>
      </c>
    </row>
    <row r="34786" spans="8:8">
      <c r="H34786" t="s">
        <v>33324</v>
      </c>
    </row>
    <row r="34787" spans="8:8">
      <c r="H34787" t="s">
        <v>33320</v>
      </c>
    </row>
    <row r="34788" spans="8:8">
      <c r="H34788" t="s">
        <v>33325</v>
      </c>
    </row>
    <row r="34789" spans="8:8">
      <c r="H34789" t="s">
        <v>33326</v>
      </c>
    </row>
    <row r="34790" spans="8:8">
      <c r="H34790" t="s">
        <v>22043</v>
      </c>
    </row>
    <row r="34791" spans="8:8">
      <c r="H34791" t="s">
        <v>33327</v>
      </c>
    </row>
    <row r="34792" spans="8:8">
      <c r="H34792" t="s">
        <v>22043</v>
      </c>
    </row>
    <row r="34793" spans="8:8">
      <c r="H34793" t="s">
        <v>22042</v>
      </c>
    </row>
    <row r="34794" spans="8:8">
      <c r="H34794" t="s">
        <v>20083</v>
      </c>
    </row>
    <row r="34795" spans="8:8">
      <c r="H34795" t="s">
        <v>22043</v>
      </c>
    </row>
    <row r="34796" spans="8:8">
      <c r="H34796" t="s">
        <v>33328</v>
      </c>
    </row>
    <row r="34797" spans="8:8">
      <c r="H34797" t="s">
        <v>20083</v>
      </c>
    </row>
    <row r="34798" spans="8:8">
      <c r="H34798" t="s">
        <v>22043</v>
      </c>
    </row>
    <row r="34799" spans="8:8">
      <c r="H34799" t="s">
        <v>33329</v>
      </c>
    </row>
    <row r="34800" spans="8:8">
      <c r="H34800" t="s">
        <v>20083</v>
      </c>
    </row>
    <row r="34801" spans="8:8">
      <c r="H34801" t="s">
        <v>33330</v>
      </c>
    </row>
    <row r="34802" spans="8:8">
      <c r="H34802" t="s">
        <v>33331</v>
      </c>
    </row>
    <row r="34803" spans="8:8">
      <c r="H34803" t="s">
        <v>21214</v>
      </c>
    </row>
    <row r="34804" spans="8:8">
      <c r="H34804" t="s">
        <v>33332</v>
      </c>
    </row>
    <row r="34805" spans="8:8">
      <c r="H34805" t="s">
        <v>33331</v>
      </c>
    </row>
    <row r="34806" spans="8:8">
      <c r="H34806" t="s">
        <v>21214</v>
      </c>
    </row>
    <row r="34807" spans="8:8">
      <c r="H34807" t="s">
        <v>33320</v>
      </c>
    </row>
    <row r="34808" spans="8:8">
      <c r="H34808" t="s">
        <v>19267</v>
      </c>
    </row>
    <row r="34809" spans="8:8">
      <c r="H34809" t="s">
        <v>33333</v>
      </c>
    </row>
    <row r="34810" spans="8:8">
      <c r="H34810" t="s">
        <v>33334</v>
      </c>
    </row>
    <row r="34811" spans="8:8">
      <c r="H34811" t="s">
        <v>33335</v>
      </c>
    </row>
    <row r="34812" spans="8:8">
      <c r="H34812" t="s">
        <v>19426</v>
      </c>
    </row>
    <row r="34813" spans="8:8">
      <c r="H34813" t="s">
        <v>22043</v>
      </c>
    </row>
    <row r="34814" spans="8:8">
      <c r="H34814" t="s">
        <v>33336</v>
      </c>
    </row>
    <row r="34815" spans="8:8">
      <c r="H34815" t="s">
        <v>33337</v>
      </c>
    </row>
    <row r="34816" spans="8:8">
      <c r="H34816" t="s">
        <v>33338</v>
      </c>
    </row>
    <row r="34817" spans="1:8">
      <c r="H34817" t="s">
        <v>33339</v>
      </c>
    </row>
    <row r="34818" spans="1:8">
      <c r="H34818" t="s">
        <v>33340</v>
      </c>
    </row>
    <row r="34819" spans="1:8">
      <c r="H34819" t="s">
        <v>33341</v>
      </c>
    </row>
    <row r="34820" spans="1:8">
      <c r="H34820" t="s">
        <v>18927</v>
      </c>
    </row>
    <row r="34821" spans="1:8">
      <c r="H34821" t="s">
        <v>19464</v>
      </c>
    </row>
    <row r="34822" spans="1:8">
      <c r="A34822" t="s">
        <v>2915</v>
      </c>
      <c r="B34822">
        <f>HYPERLINK("https://android.googlesource.com/platform/cts/+/cdf8a582f74b17beacb7d203781b57fba0e5769b", "cdf8a582f74b17beacb7d203781b57fba0e5769b")</f>
        <v>0</v>
      </c>
      <c r="C34822">
        <f>HYPERLINK("https://android.googlesource.com/platform/cts/+/b33d82bf9ec2391538986a92175d89e8e1c484bf", "b33d82bf9ec2391538986a92175d89e8e1c484bf")</f>
        <v>0</v>
      </c>
      <c r="D34822" t="s">
        <v>5298</v>
      </c>
      <c r="E34822" t="s">
        <v>8638</v>
      </c>
      <c r="F34822" t="s">
        <v>14084</v>
      </c>
      <c r="G34822" t="s">
        <v>18080</v>
      </c>
      <c r="H34822" t="s">
        <v>33342</v>
      </c>
    </row>
    <row r="34823" spans="1:8">
      <c r="A34823" t="s">
        <v>2916</v>
      </c>
      <c r="B34823">
        <f>HYPERLINK("https://android.googlesource.com/platform/cts/+/2844d78ce5e82bcb5752a248fac15925117a5894", "2844d78ce5e82bcb5752a248fac15925117a5894")</f>
        <v>0</v>
      </c>
      <c r="C34823">
        <f>HYPERLINK("https://android.googlesource.com/platform/cts/+/6287fd1e561993b4fe8e74b0b232a86ae1899c00", "6287fd1e561993b4fe8e74b0b232a86ae1899c00")</f>
        <v>0</v>
      </c>
      <c r="D34823" t="s">
        <v>5240</v>
      </c>
      <c r="E34823" t="s">
        <v>8639</v>
      </c>
      <c r="F34823" t="s">
        <v>14085</v>
      </c>
      <c r="G34823" t="s">
        <v>18081</v>
      </c>
      <c r="H34823" t="s">
        <v>31277</v>
      </c>
    </row>
    <row r="34824" spans="1:8">
      <c r="H34824" t="s">
        <v>20083</v>
      </c>
    </row>
    <row r="34825" spans="1:8">
      <c r="H34825" t="s">
        <v>19753</v>
      </c>
    </row>
    <row r="34826" spans="1:8">
      <c r="H34826" t="s">
        <v>19754</v>
      </c>
    </row>
    <row r="34827" spans="1:8">
      <c r="H34827" t="s">
        <v>24966</v>
      </c>
    </row>
    <row r="34828" spans="1:8">
      <c r="H34828" t="s">
        <v>33343</v>
      </c>
    </row>
    <row r="34829" spans="1:8">
      <c r="A34829" t="s">
        <v>2917</v>
      </c>
      <c r="B34829">
        <f>HYPERLINK("https://android.googlesource.com/platform/cts/+/feffaaa6972f16c64f0657f572a23b7689ea9aaa", "feffaaa6972f16c64f0657f572a23b7689ea9aaa")</f>
        <v>0</v>
      </c>
      <c r="C34829">
        <f>HYPERLINK("https://android.googlesource.com/platform/cts/+/2844d78ce5e82bcb5752a248fac15925117a5894", "2844d78ce5e82bcb5752a248fac15925117a5894")</f>
        <v>0</v>
      </c>
      <c r="D34829" t="s">
        <v>5240</v>
      </c>
      <c r="E34829" t="s">
        <v>8640</v>
      </c>
      <c r="F34829" t="s">
        <v>14085</v>
      </c>
      <c r="G34829" t="s">
        <v>18081</v>
      </c>
      <c r="H34829" t="s">
        <v>19753</v>
      </c>
    </row>
    <row r="34830" spans="1:8">
      <c r="H34830" t="s">
        <v>19754</v>
      </c>
    </row>
    <row r="34831" spans="1:8">
      <c r="H34831" t="s">
        <v>24966</v>
      </c>
    </row>
    <row r="34832" spans="1:8">
      <c r="H34832" t="s">
        <v>33344</v>
      </c>
    </row>
    <row r="34833" spans="1:8">
      <c r="A34833" t="s">
        <v>2918</v>
      </c>
      <c r="B34833">
        <f>HYPERLINK("https://android.googlesource.com/platform/cts/+/b1a907ebb9b7a1063f1c3377bc3182286c65b5de", "b1a907ebb9b7a1063f1c3377bc3182286c65b5de")</f>
        <v>0</v>
      </c>
      <c r="C34833">
        <f>HYPERLINK("https://android.googlesource.com/platform/cts/+/04d920d475744600250cc8d5f899251c3235eb8c", "04d920d475744600250cc8d5f899251c3235eb8c")</f>
        <v>0</v>
      </c>
      <c r="D34833" t="s">
        <v>5240</v>
      </c>
      <c r="E34833" t="s">
        <v>8641</v>
      </c>
      <c r="F34833" t="s">
        <v>14085</v>
      </c>
      <c r="G34833" t="s">
        <v>18081</v>
      </c>
      <c r="H34833" t="s">
        <v>31277</v>
      </c>
    </row>
    <row r="34834" spans="1:8">
      <c r="H34834" t="s">
        <v>20083</v>
      </c>
    </row>
    <row r="34835" spans="1:8">
      <c r="H34835" t="s">
        <v>19753</v>
      </c>
    </row>
    <row r="34836" spans="1:8">
      <c r="H34836" t="s">
        <v>19754</v>
      </c>
    </row>
    <row r="34837" spans="1:8">
      <c r="H34837" t="s">
        <v>24966</v>
      </c>
    </row>
    <row r="34838" spans="1:8">
      <c r="H34838" t="s">
        <v>33343</v>
      </c>
    </row>
    <row r="34839" spans="1:8">
      <c r="A34839" t="s">
        <v>2919</v>
      </c>
      <c r="B34839">
        <f>HYPERLINK("https://android.googlesource.com/platform/cts/+/f37afc38ccd380beb8a6f68c00204818aa499e24", "f37afc38ccd380beb8a6f68c00204818aa499e24")</f>
        <v>0</v>
      </c>
      <c r="C34839">
        <f>HYPERLINK("https://android.googlesource.com/platform/cts/+/b1a907ebb9b7a1063f1c3377bc3182286c65b5de", "b1a907ebb9b7a1063f1c3377bc3182286c65b5de")</f>
        <v>0</v>
      </c>
      <c r="D34839" t="s">
        <v>5240</v>
      </c>
      <c r="E34839" t="s">
        <v>8642</v>
      </c>
      <c r="F34839" t="s">
        <v>14085</v>
      </c>
      <c r="G34839" t="s">
        <v>18081</v>
      </c>
      <c r="H34839" t="s">
        <v>19753</v>
      </c>
    </row>
    <row r="34840" spans="1:8">
      <c r="H34840" t="s">
        <v>19754</v>
      </c>
    </row>
    <row r="34841" spans="1:8">
      <c r="H34841" t="s">
        <v>24966</v>
      </c>
    </row>
    <row r="34842" spans="1:8">
      <c r="H34842" t="s">
        <v>33344</v>
      </c>
    </row>
    <row r="34843" spans="1:8">
      <c r="A34843" t="s">
        <v>2920</v>
      </c>
      <c r="B34843">
        <f>HYPERLINK("https://android.googlesource.com/platform/cts/+/d548c2ffaeb5164a55900a6e3686cf8e12b68294", "d548c2ffaeb5164a55900a6e3686cf8e12b68294")</f>
        <v>0</v>
      </c>
      <c r="C34843">
        <f>HYPERLINK("https://android.googlesource.com/platform/cts/+/79171cc7aa8d4fe981dc8e1c4f8daf39c8e4fe51", "79171cc7aa8d4fe981dc8e1c4f8daf39c8e4fe51")</f>
        <v>0</v>
      </c>
      <c r="D34843" t="s">
        <v>5447</v>
      </c>
      <c r="E34843" t="s">
        <v>8643</v>
      </c>
      <c r="F34843" t="s">
        <v>14086</v>
      </c>
      <c r="G34843" t="s">
        <v>18082</v>
      </c>
      <c r="H34843" t="s">
        <v>33345</v>
      </c>
    </row>
    <row r="34844" spans="1:8">
      <c r="H34844" t="s">
        <v>33346</v>
      </c>
    </row>
    <row r="34845" spans="1:8">
      <c r="H34845" t="s">
        <v>18863</v>
      </c>
    </row>
    <row r="34846" spans="1:8">
      <c r="H34846" t="s">
        <v>33347</v>
      </c>
    </row>
    <row r="34847" spans="1:8">
      <c r="H34847" t="s">
        <v>33348</v>
      </c>
    </row>
    <row r="34848" spans="1:8">
      <c r="H34848" t="s">
        <v>33349</v>
      </c>
    </row>
    <row r="34849" spans="1:8">
      <c r="H34849" t="s">
        <v>33350</v>
      </c>
    </row>
    <row r="34850" spans="1:8">
      <c r="H34850" t="s">
        <v>33351</v>
      </c>
    </row>
    <row r="34851" spans="1:8">
      <c r="H34851" t="s">
        <v>33352</v>
      </c>
    </row>
    <row r="34852" spans="1:8">
      <c r="H34852" t="s">
        <v>33353</v>
      </c>
    </row>
    <row r="34853" spans="1:8">
      <c r="A34853" t="s">
        <v>2921</v>
      </c>
      <c r="B34853">
        <f>HYPERLINK("https://android.googlesource.com/platform/cts/+/fcaf276d89ba041bc7bac157315719a512dafa49", "fcaf276d89ba041bc7bac157315719a512dafa49")</f>
        <v>0</v>
      </c>
      <c r="C34853">
        <f>HYPERLINK("https://android.googlesource.com/platform/cts/+/eca0a6906c148be7a06619f545a148cbe826d511", "eca0a6906c148be7a06619f545a148cbe826d511")</f>
        <v>0</v>
      </c>
      <c r="D34853" t="s">
        <v>5014</v>
      </c>
      <c r="E34853" t="s">
        <v>8644</v>
      </c>
      <c r="F34853" t="s">
        <v>14087</v>
      </c>
      <c r="G34853" t="s">
        <v>17883</v>
      </c>
      <c r="H34853" t="s">
        <v>33354</v>
      </c>
    </row>
    <row r="34854" spans="1:8">
      <c r="H34854" t="s">
        <v>33355</v>
      </c>
    </row>
    <row r="34855" spans="1:8">
      <c r="H34855" t="s">
        <v>33356</v>
      </c>
    </row>
    <row r="34856" spans="1:8">
      <c r="F34856" t="s">
        <v>14088</v>
      </c>
      <c r="G34856" t="s">
        <v>17884</v>
      </c>
      <c r="H34856" t="s">
        <v>33357</v>
      </c>
    </row>
    <row r="34857" spans="1:8">
      <c r="A34857" t="s">
        <v>2922</v>
      </c>
      <c r="B34857">
        <f>HYPERLINK("https://android.googlesource.com/platform/cts/+/259cece4f0507187806ad0e406a68e8c8901c3a8", "259cece4f0507187806ad0e406a68e8c8901c3a8")</f>
        <v>0</v>
      </c>
      <c r="C34857">
        <f>HYPERLINK("https://android.googlesource.com/platform/cts/+/b33d82bf9ec2391538986a92175d89e8e1c484bf", "b33d82bf9ec2391538986a92175d89e8e1c484bf")</f>
        <v>0</v>
      </c>
      <c r="D34857" t="s">
        <v>5478</v>
      </c>
      <c r="E34857" t="s">
        <v>8645</v>
      </c>
      <c r="F34857" t="s">
        <v>12166</v>
      </c>
      <c r="G34857" t="s">
        <v>16406</v>
      </c>
      <c r="H34857" t="s">
        <v>33358</v>
      </c>
    </row>
    <row r="34858" spans="1:8">
      <c r="H34858" t="s">
        <v>33359</v>
      </c>
    </row>
    <row r="34859" spans="1:8">
      <c r="A34859" t="s">
        <v>2923</v>
      </c>
      <c r="B34859">
        <f>HYPERLINK("https://android.googlesource.com/platform/cts/+/c37e6af210acd4c4e6f96b078cfebf5341130ad4", "c37e6af210acd4c4e6f96b078cfebf5341130ad4")</f>
        <v>0</v>
      </c>
      <c r="C34859">
        <f>HYPERLINK("https://android.googlesource.com/platform/cts/+/b33d82bf9ec2391538986a92175d89e8e1c484bf", "b33d82bf9ec2391538986a92175d89e8e1c484bf")</f>
        <v>0</v>
      </c>
      <c r="D34859" t="s">
        <v>5478</v>
      </c>
      <c r="E34859" t="s">
        <v>8646</v>
      </c>
      <c r="F34859" t="s">
        <v>14089</v>
      </c>
      <c r="G34859" t="s">
        <v>18083</v>
      </c>
      <c r="H34859" t="s">
        <v>33360</v>
      </c>
    </row>
    <row r="34860" spans="1:8">
      <c r="F34860" t="s">
        <v>14090</v>
      </c>
      <c r="G34860" t="s">
        <v>18084</v>
      </c>
      <c r="H34860" t="s">
        <v>33361</v>
      </c>
    </row>
    <row r="34861" spans="1:8">
      <c r="H34861" t="s">
        <v>33362</v>
      </c>
    </row>
    <row r="34862" spans="1:8">
      <c r="A34862" t="s">
        <v>2924</v>
      </c>
      <c r="B34862">
        <f>HYPERLINK("https://android.googlesource.com/platform/cts/+/8e95d5425443b2cae4fdeebdedd9d691f1883bf1", "8e95d5425443b2cae4fdeebdedd9d691f1883bf1")</f>
        <v>0</v>
      </c>
      <c r="C34862">
        <f>HYPERLINK("https://android.googlesource.com/platform/cts/+/b4a946ad1dc885282d578face728f4321e80ca23", "b4a946ad1dc885282d578face728f4321e80ca23")</f>
        <v>0</v>
      </c>
      <c r="D34862" t="s">
        <v>5122</v>
      </c>
      <c r="E34862" t="s">
        <v>8647</v>
      </c>
      <c r="F34862" t="s">
        <v>14091</v>
      </c>
      <c r="G34862" t="s">
        <v>17434</v>
      </c>
      <c r="H34862" t="s">
        <v>33363</v>
      </c>
    </row>
    <row r="34863" spans="1:8">
      <c r="A34863" t="s">
        <v>2925</v>
      </c>
      <c r="B34863">
        <f>HYPERLINK("https://android.googlesource.com/platform/cts/+/bd0538ddfd56ab437d3c7a950559de93a4a12aaf", "bd0538ddfd56ab437d3c7a950559de93a4a12aaf")</f>
        <v>0</v>
      </c>
      <c r="C34863">
        <f>HYPERLINK("https://android.googlesource.com/platform/cts/+/2025419bdcbc488e348a4122d463ab8b1e351e9f", "2025419bdcbc488e348a4122d463ab8b1e351e9f")</f>
        <v>0</v>
      </c>
      <c r="D34863" t="s">
        <v>5407</v>
      </c>
      <c r="E34863" t="s">
        <v>8648</v>
      </c>
      <c r="F34863" t="s">
        <v>13735</v>
      </c>
      <c r="G34863" t="s">
        <v>16637</v>
      </c>
      <c r="H34863" t="s">
        <v>33364</v>
      </c>
    </row>
    <row r="34864" spans="1:8">
      <c r="A34864" t="s">
        <v>2926</v>
      </c>
      <c r="B34864">
        <f>HYPERLINK("https://android.googlesource.com/platform/cts/+/1dfa5793dc162bc258c5195d28e1bad59d0fe9fa", "1dfa5793dc162bc258c5195d28e1bad59d0fe9fa")</f>
        <v>0</v>
      </c>
      <c r="C34864">
        <f>HYPERLINK("https://android.googlesource.com/platform/cts/+/2025419bdcbc488e348a4122d463ab8b1e351e9f", "2025419bdcbc488e348a4122d463ab8b1e351e9f")</f>
        <v>0</v>
      </c>
      <c r="D34864" t="s">
        <v>5180</v>
      </c>
      <c r="E34864" t="s">
        <v>8649</v>
      </c>
      <c r="F34864" t="s">
        <v>14092</v>
      </c>
      <c r="G34864" t="s">
        <v>18085</v>
      </c>
      <c r="H34864" t="s">
        <v>18829</v>
      </c>
    </row>
    <row r="34865" spans="1:8">
      <c r="H34865" t="s">
        <v>18863</v>
      </c>
    </row>
    <row r="34866" spans="1:8">
      <c r="H34866" t="s">
        <v>33365</v>
      </c>
    </row>
    <row r="34867" spans="1:8">
      <c r="H34867" t="s">
        <v>33366</v>
      </c>
    </row>
    <row r="34868" spans="1:8">
      <c r="A34868" t="s">
        <v>2927</v>
      </c>
      <c r="B34868">
        <f>HYPERLINK("https://android.googlesource.com/platform/cts/+/ab20fd90d03d5a788dc2b3d1f2a8612a80f90cf7", "ab20fd90d03d5a788dc2b3d1f2a8612a80f90cf7")</f>
        <v>0</v>
      </c>
      <c r="C34868">
        <f>HYPERLINK("https://android.googlesource.com/platform/cts/+/50b5446d9eb1a1eab2dc96392ad9a78dcec22dde", "50b5446d9eb1a1eab2dc96392ad9a78dcec22dde")</f>
        <v>0</v>
      </c>
      <c r="D34868" t="s">
        <v>5242</v>
      </c>
      <c r="E34868" t="s">
        <v>8650</v>
      </c>
      <c r="F34868" t="s">
        <v>13992</v>
      </c>
      <c r="G34868" t="s">
        <v>16620</v>
      </c>
      <c r="H34868" t="s">
        <v>33367</v>
      </c>
    </row>
    <row r="34869" spans="1:8">
      <c r="H34869" t="s">
        <v>33368</v>
      </c>
    </row>
    <row r="34870" spans="1:8">
      <c r="H34870" t="s">
        <v>33369</v>
      </c>
    </row>
    <row r="34871" spans="1:8">
      <c r="A34871" t="s">
        <v>2928</v>
      </c>
      <c r="B34871">
        <f>HYPERLINK("https://android.googlesource.com/platform/cts/+/520f1992ccc619171dd351009567b027ef438e06", "520f1992ccc619171dd351009567b027ef438e06")</f>
        <v>0</v>
      </c>
      <c r="C34871">
        <f>HYPERLINK("https://android.googlesource.com/platform/cts/+/18fb7fc6aa4ad85b6376959599173f49be817d0d", "18fb7fc6aa4ad85b6376959599173f49be817d0d")</f>
        <v>0</v>
      </c>
      <c r="D34871" t="s">
        <v>5180</v>
      </c>
      <c r="E34871" t="s">
        <v>8651</v>
      </c>
      <c r="F34871" t="s">
        <v>14081</v>
      </c>
      <c r="G34871" t="s">
        <v>18078</v>
      </c>
      <c r="H34871" t="s">
        <v>33370</v>
      </c>
    </row>
    <row r="34872" spans="1:8">
      <c r="A34872" t="s">
        <v>2929</v>
      </c>
      <c r="B34872">
        <f>HYPERLINK("https://android.googlesource.com/platform/cts/+/ab709cf6cd9b61a4f446bafa4e6ab068cccb2d33", "ab709cf6cd9b61a4f446bafa4e6ab068cccb2d33")</f>
        <v>0</v>
      </c>
      <c r="C34872">
        <f>HYPERLINK("https://android.googlesource.com/platform/cts/+/2113a53894ecab8e5dfe11aee8d0dfb9a668b664", "2113a53894ecab8e5dfe11aee8d0dfb9a668b664")</f>
        <v>0</v>
      </c>
      <c r="D34872" t="s">
        <v>5338</v>
      </c>
      <c r="E34872" t="s">
        <v>8652</v>
      </c>
      <c r="F34872" t="s">
        <v>13905</v>
      </c>
      <c r="G34872" t="s">
        <v>17942</v>
      </c>
      <c r="H34872" t="s">
        <v>33371</v>
      </c>
    </row>
    <row r="34873" spans="1:8">
      <c r="H34873" t="s">
        <v>33372</v>
      </c>
    </row>
    <row r="34874" spans="1:8">
      <c r="H34874" t="s">
        <v>33373</v>
      </c>
    </row>
    <row r="34875" spans="1:8">
      <c r="H34875" t="s">
        <v>33374</v>
      </c>
    </row>
    <row r="34876" spans="1:8">
      <c r="A34876" t="s">
        <v>2930</v>
      </c>
      <c r="B34876">
        <f>HYPERLINK("https://android.googlesource.com/platform/cts/+/ef0c2b9a077883f17b5c2390b7db37d25b73f735", "ef0c2b9a077883f17b5c2390b7db37d25b73f735")</f>
        <v>0</v>
      </c>
      <c r="C34876">
        <f>HYPERLINK("https://android.googlesource.com/platform/cts/+/d5730f64bbcbedf104ba69c108f4cb3aee945ba1", "d5730f64bbcbedf104ba69c108f4cb3aee945ba1")</f>
        <v>0</v>
      </c>
      <c r="D34876" t="s">
        <v>5290</v>
      </c>
      <c r="E34876" t="s">
        <v>8653</v>
      </c>
      <c r="F34876" t="s">
        <v>13815</v>
      </c>
      <c r="G34876" t="s">
        <v>17862</v>
      </c>
      <c r="H34876" t="s">
        <v>33375</v>
      </c>
    </row>
    <row r="34877" spans="1:8">
      <c r="H34877" t="s">
        <v>33376</v>
      </c>
    </row>
    <row r="34878" spans="1:8">
      <c r="F34878" t="s">
        <v>12743</v>
      </c>
      <c r="G34878" t="s">
        <v>16935</v>
      </c>
      <c r="H34878" t="s">
        <v>33377</v>
      </c>
    </row>
    <row r="34879" spans="1:8">
      <c r="A34879" t="s">
        <v>2931</v>
      </c>
      <c r="B34879">
        <f>HYPERLINK("https://android.googlesource.com/platform/cts/+/a94ef9c538400857aa3077afcb071fb012262604", "a94ef9c538400857aa3077afcb071fb012262604")</f>
        <v>0</v>
      </c>
      <c r="C34879">
        <f>HYPERLINK("https://android.googlesource.com/platform/cts/+/23c1a0d6c34f4e3f8112d365cb5ec7b587727380", "23c1a0d6c34f4e3f8112d365cb5ec7b587727380")</f>
        <v>0</v>
      </c>
      <c r="D34879" t="s">
        <v>5396</v>
      </c>
      <c r="E34879" t="s">
        <v>8654</v>
      </c>
      <c r="F34879" t="s">
        <v>14093</v>
      </c>
      <c r="G34879" t="s">
        <v>18086</v>
      </c>
      <c r="H34879" t="s">
        <v>33378</v>
      </c>
    </row>
    <row r="34880" spans="1:8">
      <c r="H34880" t="s">
        <v>33379</v>
      </c>
    </row>
    <row r="34881" spans="1:8">
      <c r="A34881" t="s">
        <v>2932</v>
      </c>
      <c r="B34881">
        <f>HYPERLINK("https://android.googlesource.com/platform/cts/+/5e66c6e4dbdf532961c5a407eed5960a4fe2bd92", "5e66c6e4dbdf532961c5a407eed5960a4fe2bd92")</f>
        <v>0</v>
      </c>
      <c r="C34881">
        <f>HYPERLINK("https://android.googlesource.com/platform/cts/+/289ff4ab29a264d8291744a0f950b2828e5dd9d5", "289ff4ab29a264d8291744a0f950b2828e5dd9d5")</f>
        <v>0</v>
      </c>
      <c r="D34881" t="s">
        <v>5472</v>
      </c>
      <c r="E34881" t="s">
        <v>8655</v>
      </c>
      <c r="F34881" t="s">
        <v>14094</v>
      </c>
      <c r="G34881" t="s">
        <v>18087</v>
      </c>
      <c r="H34881" t="s">
        <v>33380</v>
      </c>
    </row>
    <row r="34882" spans="1:8">
      <c r="F34882" t="s">
        <v>12428</v>
      </c>
      <c r="G34882" t="s">
        <v>16619</v>
      </c>
      <c r="H34882" t="s">
        <v>33381</v>
      </c>
    </row>
    <row r="34883" spans="1:8">
      <c r="A34883" t="s">
        <v>2933</v>
      </c>
      <c r="B34883">
        <f>HYPERLINK("https://android.googlesource.com/platform/cts/+/7c938c4e986306ba76d220a3ead9183078ca87c6", "7c938c4e986306ba76d220a3ead9183078ca87c6")</f>
        <v>0</v>
      </c>
      <c r="C34883">
        <f>HYPERLINK("https://android.googlesource.com/platform/cts/+/cdef6b12a36a4d423ea29457d47be44e55bfbbb2", "cdef6b12a36a4d423ea29457d47be44e55bfbbb2")</f>
        <v>0</v>
      </c>
      <c r="D34883" t="s">
        <v>5304</v>
      </c>
      <c r="E34883" t="s">
        <v>8656</v>
      </c>
      <c r="F34883" t="s">
        <v>14095</v>
      </c>
      <c r="G34883" t="s">
        <v>18088</v>
      </c>
      <c r="H34883" t="s">
        <v>33382</v>
      </c>
    </row>
    <row r="34884" spans="1:8">
      <c r="H34884" t="s">
        <v>33383</v>
      </c>
    </row>
    <row r="34885" spans="1:8">
      <c r="A34885" t="s">
        <v>2934</v>
      </c>
      <c r="B34885">
        <f>HYPERLINK("https://android.googlesource.com/platform/cts/+/b24bbd5b2145d658fb5ba48f3815ffc4de5d5209", "b24bbd5b2145d658fb5ba48f3815ffc4de5d5209")</f>
        <v>0</v>
      </c>
      <c r="C34885">
        <f>HYPERLINK("https://android.googlesource.com/platform/cts/+/d4d523686429f0bbe2484d8d24652f671c53f310", "d4d523686429f0bbe2484d8d24652f671c53f310")</f>
        <v>0</v>
      </c>
      <c r="D34885" t="s">
        <v>5240</v>
      </c>
      <c r="E34885" t="s">
        <v>8657</v>
      </c>
      <c r="F34885" t="s">
        <v>13671</v>
      </c>
      <c r="G34885" t="s">
        <v>17743</v>
      </c>
      <c r="H34885" t="s">
        <v>33384</v>
      </c>
    </row>
    <row r="34886" spans="1:8">
      <c r="H34886" t="s">
        <v>33385</v>
      </c>
    </row>
    <row r="34887" spans="1:8">
      <c r="H34887" t="s">
        <v>33386</v>
      </c>
    </row>
    <row r="34888" spans="1:8">
      <c r="H34888" t="s">
        <v>33387</v>
      </c>
    </row>
    <row r="34889" spans="1:8">
      <c r="H34889" t="s">
        <v>33388</v>
      </c>
    </row>
    <row r="34890" spans="1:8">
      <c r="H34890" t="s">
        <v>33389</v>
      </c>
    </row>
    <row r="34891" spans="1:8">
      <c r="H34891" t="s">
        <v>33390</v>
      </c>
    </row>
    <row r="34892" spans="1:8">
      <c r="H34892" t="s">
        <v>33391</v>
      </c>
    </row>
    <row r="34893" spans="1:8">
      <c r="H34893" t="s">
        <v>33392</v>
      </c>
    </row>
    <row r="34894" spans="1:8">
      <c r="H34894" t="s">
        <v>33393</v>
      </c>
    </row>
    <row r="34895" spans="1:8">
      <c r="A34895" t="s">
        <v>2935</v>
      </c>
      <c r="B34895">
        <f>HYPERLINK("https://android.googlesource.com/platform/cts/+/8b68f3d8ec44b131c9ddc99ad04f1e9ee2a3aa9a", "8b68f3d8ec44b131c9ddc99ad04f1e9ee2a3aa9a")</f>
        <v>0</v>
      </c>
      <c r="C34895">
        <f>HYPERLINK("https://android.googlesource.com/platform/cts/+/b24bbd5b2145d658fb5ba48f3815ffc4de5d5209", "b24bbd5b2145d658fb5ba48f3815ffc4de5d5209")</f>
        <v>0</v>
      </c>
      <c r="D34895" t="s">
        <v>5240</v>
      </c>
      <c r="E34895" t="s">
        <v>8658</v>
      </c>
      <c r="F34895" t="s">
        <v>14096</v>
      </c>
      <c r="G34895" t="s">
        <v>18089</v>
      </c>
      <c r="H34895" t="s">
        <v>18829</v>
      </c>
    </row>
    <row r="34896" spans="1:8">
      <c r="H34896" t="s">
        <v>33394</v>
      </c>
    </row>
    <row r="34897" spans="1:8">
      <c r="H34897" t="s">
        <v>33395</v>
      </c>
    </row>
    <row r="34898" spans="1:8">
      <c r="H34898" t="s">
        <v>33396</v>
      </c>
    </row>
    <row r="34899" spans="1:8">
      <c r="A34899" t="s">
        <v>2936</v>
      </c>
      <c r="B34899">
        <f>HYPERLINK("https://android.googlesource.com/platform/cts/+/b08673c860b5d606b94c56519686eca44e396323", "b08673c860b5d606b94c56519686eca44e396323")</f>
        <v>0</v>
      </c>
      <c r="C34899">
        <f>HYPERLINK("https://android.googlesource.com/platform/cts/+/f6273f59c5cab98bdc17d6657d38d76500432244", "f6273f59c5cab98bdc17d6657d38d76500432244")</f>
        <v>0</v>
      </c>
      <c r="D34899" t="s">
        <v>4974</v>
      </c>
      <c r="E34899" t="s">
        <v>8659</v>
      </c>
      <c r="F34899" t="s">
        <v>12710</v>
      </c>
      <c r="G34899" t="s">
        <v>16911</v>
      </c>
      <c r="H34899" t="s">
        <v>33397</v>
      </c>
    </row>
    <row r="34900" spans="1:8">
      <c r="A34900" t="s">
        <v>2937</v>
      </c>
      <c r="B34900">
        <f>HYPERLINK("https://android.googlesource.com/platform/cts/+/4b345f0bcd931f989f3d37703c14d7dfd8450e26", "4b345f0bcd931f989f3d37703c14d7dfd8450e26")</f>
        <v>0</v>
      </c>
      <c r="C34900">
        <f>HYPERLINK("https://android.googlesource.com/platform/cts/+/406223ac325fd15dc5d435c2ae0426d67bea0f95", "406223ac325fd15dc5d435c2ae0426d67bea0f95")</f>
        <v>0</v>
      </c>
      <c r="D34900" t="s">
        <v>5478</v>
      </c>
      <c r="E34900" t="s">
        <v>8660</v>
      </c>
      <c r="F34900" t="s">
        <v>13333</v>
      </c>
      <c r="G34900" t="s">
        <v>17463</v>
      </c>
      <c r="H34900" t="s">
        <v>33398</v>
      </c>
    </row>
    <row r="34901" spans="1:8">
      <c r="A34901" t="s">
        <v>2938</v>
      </c>
      <c r="B34901">
        <f>HYPERLINK("https://android.googlesource.com/platform/cts/+/c3931621feaa87ba2faf5b03eb06e526b6602275", "c3931621feaa87ba2faf5b03eb06e526b6602275")</f>
        <v>0</v>
      </c>
      <c r="C34901">
        <f>HYPERLINK("https://android.googlesource.com/platform/cts/+/406223ac325fd15dc5d435c2ae0426d67bea0f95", "406223ac325fd15dc5d435c2ae0426d67bea0f95")</f>
        <v>0</v>
      </c>
      <c r="D34901" t="s">
        <v>5478</v>
      </c>
      <c r="E34901" t="s">
        <v>8661</v>
      </c>
      <c r="F34901" t="s">
        <v>13333</v>
      </c>
      <c r="G34901" t="s">
        <v>17463</v>
      </c>
      <c r="H34901" t="s">
        <v>33399</v>
      </c>
    </row>
    <row r="34902" spans="1:8">
      <c r="A34902" t="s">
        <v>2939</v>
      </c>
      <c r="B34902">
        <f>HYPERLINK("https://android.googlesource.com/platform/cts/+/eefa272dae568708e4bec411af705975a40e5e30", "eefa272dae568708e4bec411af705975a40e5e30")</f>
        <v>0</v>
      </c>
      <c r="C34902">
        <f>HYPERLINK("https://android.googlesource.com/platform/cts/+/6be026441473468658fe33367e1cfea99432be4b", "6be026441473468658fe33367e1cfea99432be4b")</f>
        <v>0</v>
      </c>
      <c r="D34902" t="s">
        <v>5240</v>
      </c>
      <c r="E34902" t="s">
        <v>8662</v>
      </c>
      <c r="F34902" t="s">
        <v>13671</v>
      </c>
      <c r="G34902" t="s">
        <v>17743</v>
      </c>
      <c r="H34902" t="s">
        <v>33384</v>
      </c>
    </row>
    <row r="34903" spans="1:8">
      <c r="H34903" t="s">
        <v>33385</v>
      </c>
    </row>
    <row r="34904" spans="1:8">
      <c r="H34904" t="s">
        <v>33386</v>
      </c>
    </row>
    <row r="34905" spans="1:8">
      <c r="H34905" t="s">
        <v>33387</v>
      </c>
    </row>
    <row r="34906" spans="1:8">
      <c r="H34906" t="s">
        <v>33388</v>
      </c>
    </row>
    <row r="34907" spans="1:8">
      <c r="H34907" t="s">
        <v>33389</v>
      </c>
    </row>
    <row r="34908" spans="1:8">
      <c r="H34908" t="s">
        <v>33390</v>
      </c>
    </row>
    <row r="34909" spans="1:8">
      <c r="H34909" t="s">
        <v>33391</v>
      </c>
    </row>
    <row r="34910" spans="1:8">
      <c r="H34910" t="s">
        <v>33392</v>
      </c>
    </row>
    <row r="34911" spans="1:8">
      <c r="H34911" t="s">
        <v>33393</v>
      </c>
    </row>
    <row r="34912" spans="1:8">
      <c r="A34912" t="s">
        <v>2940</v>
      </c>
      <c r="B34912">
        <f>HYPERLINK("https://android.googlesource.com/platform/cts/+/017b729f5700e2bf607ab356021118d9a241984c", "017b729f5700e2bf607ab356021118d9a241984c")</f>
        <v>0</v>
      </c>
      <c r="C34912">
        <f>HYPERLINK("https://android.googlesource.com/platform/cts/+/d6830da127772478ec2feeb562d9f4a26d7fe0f5", "d6830da127772478ec2feeb562d9f4a26d7fe0f5")</f>
        <v>0</v>
      </c>
      <c r="D34912" t="s">
        <v>5417</v>
      </c>
      <c r="E34912" t="s">
        <v>8663</v>
      </c>
      <c r="F34912" t="s">
        <v>14097</v>
      </c>
      <c r="G34912" t="s">
        <v>18090</v>
      </c>
      <c r="H34912" t="s">
        <v>18829</v>
      </c>
    </row>
    <row r="34913" spans="1:8">
      <c r="H34913" t="s">
        <v>18863</v>
      </c>
    </row>
    <row r="34914" spans="1:8">
      <c r="H34914" t="s">
        <v>33400</v>
      </c>
    </row>
    <row r="34915" spans="1:8">
      <c r="H34915" t="s">
        <v>33401</v>
      </c>
    </row>
    <row r="34916" spans="1:8">
      <c r="H34916" t="s">
        <v>32811</v>
      </c>
    </row>
    <row r="34917" spans="1:8">
      <c r="H34917" t="s">
        <v>33402</v>
      </c>
    </row>
    <row r="34918" spans="1:8">
      <c r="H34918" t="s">
        <v>33403</v>
      </c>
    </row>
    <row r="34919" spans="1:8">
      <c r="F34919" t="s">
        <v>14098</v>
      </c>
      <c r="G34919" t="s">
        <v>18091</v>
      </c>
      <c r="H34919" t="s">
        <v>19013</v>
      </c>
    </row>
    <row r="34920" spans="1:8">
      <c r="H34920" t="s">
        <v>18835</v>
      </c>
    </row>
    <row r="34921" spans="1:8">
      <c r="H34921" t="s">
        <v>33404</v>
      </c>
    </row>
    <row r="34922" spans="1:8">
      <c r="H34922" t="s">
        <v>33405</v>
      </c>
    </row>
    <row r="34923" spans="1:8">
      <c r="H34923" t="s">
        <v>33406</v>
      </c>
    </row>
    <row r="34924" spans="1:8">
      <c r="F34924" t="s">
        <v>14033</v>
      </c>
      <c r="G34924" t="s">
        <v>18030</v>
      </c>
      <c r="H34924" t="s">
        <v>33407</v>
      </c>
    </row>
    <row r="34925" spans="1:8">
      <c r="A34925" t="s">
        <v>2941</v>
      </c>
      <c r="B34925">
        <f>HYPERLINK("https://android.googlesource.com/platform/cts/+/296e7e5abdda5550b8b9c4775241abe5bb0e1282", "296e7e5abdda5550b8b9c4775241abe5bb0e1282")</f>
        <v>0</v>
      </c>
      <c r="C34925">
        <f>HYPERLINK("https://android.googlesource.com/platform/cts/+/39179f9fe9525673d9f8cf7894359d499791a337", "39179f9fe9525673d9f8cf7894359d499791a337")</f>
        <v>0</v>
      </c>
      <c r="D34925" t="s">
        <v>5479</v>
      </c>
      <c r="E34925" t="s">
        <v>8664</v>
      </c>
      <c r="F34925" t="s">
        <v>13905</v>
      </c>
      <c r="G34925" t="s">
        <v>17942</v>
      </c>
      <c r="H34925" t="s">
        <v>33408</v>
      </c>
    </row>
    <row r="34926" spans="1:8">
      <c r="H34926" t="s">
        <v>33409</v>
      </c>
    </row>
    <row r="34927" spans="1:8">
      <c r="H34927" t="s">
        <v>33410</v>
      </c>
    </row>
    <row r="34928" spans="1:8">
      <c r="H34928" t="s">
        <v>33411</v>
      </c>
    </row>
    <row r="34929" spans="8:8">
      <c r="H34929" t="s">
        <v>33412</v>
      </c>
    </row>
    <row r="34930" spans="8:8">
      <c r="H34930" t="s">
        <v>33413</v>
      </c>
    </row>
    <row r="34931" spans="8:8">
      <c r="H34931" t="s">
        <v>33414</v>
      </c>
    </row>
    <row r="34932" spans="8:8">
      <c r="H34932" t="s">
        <v>33415</v>
      </c>
    </row>
    <row r="34933" spans="8:8">
      <c r="H34933" t="s">
        <v>33416</v>
      </c>
    </row>
    <row r="34934" spans="8:8">
      <c r="H34934" t="s">
        <v>33417</v>
      </c>
    </row>
    <row r="34935" spans="8:8">
      <c r="H34935" t="s">
        <v>33082</v>
      </c>
    </row>
    <row r="34936" spans="8:8">
      <c r="H34936" t="s">
        <v>33418</v>
      </c>
    </row>
    <row r="34937" spans="8:8">
      <c r="H34937" t="s">
        <v>33419</v>
      </c>
    </row>
    <row r="34938" spans="8:8">
      <c r="H34938" t="s">
        <v>33420</v>
      </c>
    </row>
    <row r="34939" spans="8:8">
      <c r="H34939" t="s">
        <v>33421</v>
      </c>
    </row>
    <row r="34940" spans="8:8">
      <c r="H34940" t="s">
        <v>33422</v>
      </c>
    </row>
    <row r="34941" spans="8:8">
      <c r="H34941" t="s">
        <v>33423</v>
      </c>
    </row>
    <row r="34942" spans="8:8">
      <c r="H34942" t="s">
        <v>33424</v>
      </c>
    </row>
    <row r="34943" spans="8:8">
      <c r="H34943" t="s">
        <v>33425</v>
      </c>
    </row>
    <row r="34944" spans="8:8">
      <c r="H34944" t="s">
        <v>33426</v>
      </c>
    </row>
    <row r="34945" spans="8:8">
      <c r="H34945" t="s">
        <v>33427</v>
      </c>
    </row>
    <row r="34946" spans="8:8">
      <c r="H34946" t="s">
        <v>33428</v>
      </c>
    </row>
    <row r="34947" spans="8:8">
      <c r="H34947" t="s">
        <v>33429</v>
      </c>
    </row>
    <row r="34948" spans="8:8">
      <c r="H34948" t="s">
        <v>33430</v>
      </c>
    </row>
    <row r="34949" spans="8:8">
      <c r="H34949" t="s">
        <v>33431</v>
      </c>
    </row>
    <row r="34950" spans="8:8">
      <c r="H34950" t="s">
        <v>33432</v>
      </c>
    </row>
    <row r="34951" spans="8:8">
      <c r="H34951" t="s">
        <v>33433</v>
      </c>
    </row>
    <row r="34952" spans="8:8">
      <c r="H34952" t="s">
        <v>33434</v>
      </c>
    </row>
    <row r="34953" spans="8:8">
      <c r="H34953" t="s">
        <v>33435</v>
      </c>
    </row>
    <row r="34954" spans="8:8">
      <c r="H34954" t="s">
        <v>33436</v>
      </c>
    </row>
    <row r="34955" spans="8:8">
      <c r="H34955" t="s">
        <v>33437</v>
      </c>
    </row>
    <row r="34956" spans="8:8">
      <c r="H34956" t="s">
        <v>33438</v>
      </c>
    </row>
    <row r="34957" spans="8:8">
      <c r="H34957" t="s">
        <v>33439</v>
      </c>
    </row>
    <row r="34958" spans="8:8">
      <c r="H34958" t="s">
        <v>33440</v>
      </c>
    </row>
    <row r="34959" spans="8:8">
      <c r="H34959" t="s">
        <v>33441</v>
      </c>
    </row>
    <row r="34960" spans="8:8">
      <c r="H34960" t="s">
        <v>33442</v>
      </c>
    </row>
    <row r="34961" spans="1:8">
      <c r="H34961" t="s">
        <v>33443</v>
      </c>
    </row>
    <row r="34962" spans="1:8">
      <c r="H34962" t="s">
        <v>33444</v>
      </c>
    </row>
    <row r="34963" spans="1:8">
      <c r="H34963" t="s">
        <v>33445</v>
      </c>
    </row>
    <row r="34964" spans="1:8">
      <c r="A34964" t="s">
        <v>2942</v>
      </c>
      <c r="B34964">
        <f>HYPERLINK("https://android.googlesource.com/platform/cts/+/31e4b3cd939bd20031054c8dce2319eccbb773dd", "31e4b3cd939bd20031054c8dce2319eccbb773dd")</f>
        <v>0</v>
      </c>
      <c r="C34964">
        <f>HYPERLINK("https://android.googlesource.com/platform/cts/+/d0c36a387b664cfcbdefb8f8190d93b499ebd591", "d0c36a387b664cfcbdefb8f8190d93b499ebd591")</f>
        <v>0</v>
      </c>
      <c r="D34964" t="s">
        <v>5472</v>
      </c>
      <c r="E34964" t="s">
        <v>8665</v>
      </c>
      <c r="F34964" t="s">
        <v>14099</v>
      </c>
      <c r="G34964" t="s">
        <v>18092</v>
      </c>
      <c r="H34964" t="s">
        <v>33446</v>
      </c>
    </row>
    <row r="34965" spans="1:8">
      <c r="A34965" t="s">
        <v>2947</v>
      </c>
      <c r="B34965">
        <f>HYPERLINK("https://android.googlesource.com/platform/cts/+/aecdd4554625022277deee46dfe377840f013329", "aecdd4554625022277deee46dfe377840f013329")</f>
        <v>0</v>
      </c>
      <c r="C34965">
        <f>HYPERLINK("https://android.googlesource.com/platform/cts/+/9765deeb315ec9aa36eb0c0a4a5918e3334e4f72", "9765deeb315ec9aa36eb0c0a4a5918e3334e4f72")</f>
        <v>0</v>
      </c>
      <c r="D34965" t="s">
        <v>5481</v>
      </c>
      <c r="E34965" t="s">
        <v>8669</v>
      </c>
      <c r="F34965" t="s">
        <v>14014</v>
      </c>
      <c r="G34965" t="s">
        <v>18026</v>
      </c>
      <c r="H34965" t="s">
        <v>33447</v>
      </c>
    </row>
    <row r="34966" spans="1:8">
      <c r="H34966" t="s">
        <v>19972</v>
      </c>
    </row>
    <row r="34967" spans="1:8">
      <c r="A34967" t="s">
        <v>2948</v>
      </c>
      <c r="B34967">
        <f>HYPERLINK("https://android.googlesource.com/platform/cts/+/b921d0cf4244c8d928c6f0ed0d666c1351e456d2", "b921d0cf4244c8d928c6f0ed0d666c1351e456d2")</f>
        <v>0</v>
      </c>
      <c r="C34967">
        <f>HYPERLINK("https://android.googlesource.com/platform/cts/+/59cff3646ce9d47e58b70bef0fe08d171041291c", "59cff3646ce9d47e58b70bef0fe08d171041291c")</f>
        <v>0</v>
      </c>
      <c r="D34967" t="s">
        <v>5359</v>
      </c>
      <c r="E34967" t="s">
        <v>8670</v>
      </c>
      <c r="F34967" t="s">
        <v>13398</v>
      </c>
      <c r="G34967" t="s">
        <v>17524</v>
      </c>
      <c r="H34967" t="s">
        <v>33448</v>
      </c>
    </row>
    <row r="34968" spans="1:8">
      <c r="H34968" t="s">
        <v>33449</v>
      </c>
    </row>
    <row r="34969" spans="1:8">
      <c r="A34969" t="s">
        <v>2949</v>
      </c>
      <c r="B34969">
        <f>HYPERLINK("https://android.googlesource.com/platform/cts/+/810aa6c6a05af74625caf94fb2636a828ff92968", "810aa6c6a05af74625caf94fb2636a828ff92968")</f>
        <v>0</v>
      </c>
      <c r="C34969">
        <f>HYPERLINK("https://android.googlesource.com/platform/cts/+/9ce8b4db0fb808fd509932777cdefc9be30b13aa", "9ce8b4db0fb808fd509932777cdefc9be30b13aa")</f>
        <v>0</v>
      </c>
      <c r="D34969" t="s">
        <v>5368</v>
      </c>
      <c r="E34969" t="s">
        <v>8671</v>
      </c>
      <c r="F34969" t="s">
        <v>14100</v>
      </c>
      <c r="G34969" t="s">
        <v>18093</v>
      </c>
      <c r="H34969" t="s">
        <v>33450</v>
      </c>
    </row>
    <row r="34970" spans="1:8">
      <c r="A34970" t="s">
        <v>2950</v>
      </c>
      <c r="B34970">
        <f>HYPERLINK("https://android.googlesource.com/platform/cts/+/aa82206e806bb4cb9dbbf4b5216c99f3756fd56e", "aa82206e806bb4cb9dbbf4b5216c99f3756fd56e")</f>
        <v>0</v>
      </c>
      <c r="C34970">
        <f>HYPERLINK("https://android.googlesource.com/platform/cts/+/7a52b8ad86fa0d0a5c18e3ced30aaf901bb54274", "7a52b8ad86fa0d0a5c18e3ced30aaf901bb54274")</f>
        <v>0</v>
      </c>
      <c r="D34970" t="s">
        <v>5265</v>
      </c>
      <c r="E34970" t="s">
        <v>8672</v>
      </c>
      <c r="F34970" t="s">
        <v>14101</v>
      </c>
      <c r="G34970" t="s">
        <v>18094</v>
      </c>
      <c r="H34970" t="s">
        <v>33451</v>
      </c>
    </row>
    <row r="34971" spans="1:8">
      <c r="H34971" t="s">
        <v>32846</v>
      </c>
    </row>
    <row r="34972" spans="1:8">
      <c r="H34972" t="s">
        <v>32847</v>
      </c>
    </row>
    <row r="34973" spans="1:8">
      <c r="A34973" t="s">
        <v>2951</v>
      </c>
      <c r="B34973">
        <f>HYPERLINK("https://android.googlesource.com/platform/cts/+/d4d90fbf34d66c26950684558cddf0136a47097c", "d4d90fbf34d66c26950684558cddf0136a47097c")</f>
        <v>0</v>
      </c>
      <c r="C34973">
        <f>HYPERLINK("https://android.googlesource.com/platform/cts/+/6f6e377486a63ebae64d2388ca802ca411f2cd35", "6f6e377486a63ebae64d2388ca802ca411f2cd35")</f>
        <v>0</v>
      </c>
      <c r="D34973" t="s">
        <v>5482</v>
      </c>
      <c r="E34973" t="s">
        <v>8673</v>
      </c>
      <c r="F34973" t="s">
        <v>14102</v>
      </c>
      <c r="G34973" t="s">
        <v>18095</v>
      </c>
      <c r="H34973" t="s">
        <v>33452</v>
      </c>
    </row>
    <row r="34974" spans="1:8">
      <c r="H34974" t="s">
        <v>33453</v>
      </c>
    </row>
    <row r="34975" spans="1:8">
      <c r="A34975" t="s">
        <v>2952</v>
      </c>
      <c r="B34975">
        <f>HYPERLINK("https://android.googlesource.com/platform/cts/+/62d18834ab13a1bc7961c96629b229a0e9f92c66", "62d18834ab13a1bc7961c96629b229a0e9f92c66")</f>
        <v>0</v>
      </c>
      <c r="C34975">
        <f>HYPERLINK("https://android.googlesource.com/platform/cts/+/9765deeb315ec9aa36eb0c0a4a5918e3334e4f72", "9765deeb315ec9aa36eb0c0a4a5918e3334e4f72")</f>
        <v>0</v>
      </c>
      <c r="D34975" t="s">
        <v>5478</v>
      </c>
      <c r="E34975" t="s">
        <v>8674</v>
      </c>
      <c r="F34975" t="s">
        <v>13333</v>
      </c>
      <c r="G34975" t="s">
        <v>17463</v>
      </c>
      <c r="H34975" t="s">
        <v>33454</v>
      </c>
    </row>
    <row r="34976" spans="1:8">
      <c r="H34976" t="s">
        <v>33455</v>
      </c>
    </row>
    <row r="34977" spans="1:8">
      <c r="F34977" t="s">
        <v>12232</v>
      </c>
      <c r="G34977" t="s">
        <v>16462</v>
      </c>
      <c r="H34977" t="s">
        <v>33456</v>
      </c>
    </row>
    <row r="34978" spans="1:8">
      <c r="F34978" t="s">
        <v>14103</v>
      </c>
      <c r="G34978" t="s">
        <v>18096</v>
      </c>
      <c r="H34978" t="s">
        <v>33457</v>
      </c>
    </row>
    <row r="34979" spans="1:8">
      <c r="F34979" t="s">
        <v>14104</v>
      </c>
      <c r="G34979" t="s">
        <v>18097</v>
      </c>
      <c r="H34979" t="s">
        <v>33457</v>
      </c>
    </row>
    <row r="34980" spans="1:8">
      <c r="F34980" t="s">
        <v>14105</v>
      </c>
      <c r="G34980" t="s">
        <v>18098</v>
      </c>
      <c r="H34980" t="s">
        <v>33457</v>
      </c>
    </row>
    <row r="34981" spans="1:8">
      <c r="A34981" t="s">
        <v>2953</v>
      </c>
      <c r="B34981">
        <f>HYPERLINK("https://android.googlesource.com/platform/cts/+/e87f56d4afe5b9a429b337ebb916ea3eed9f00e5", "e87f56d4afe5b9a429b337ebb916ea3eed9f00e5")</f>
        <v>0</v>
      </c>
      <c r="C34981">
        <f>HYPERLINK("https://android.googlesource.com/platform/cts/+/8294b2b33f5b9d6030b030a3751bb2cd2f2fac31", "8294b2b33f5b9d6030b030a3751bb2cd2f2fac31")</f>
        <v>0</v>
      </c>
      <c r="D34981" t="s">
        <v>5359</v>
      </c>
      <c r="E34981" t="s">
        <v>8675</v>
      </c>
      <c r="F34981" t="s">
        <v>13398</v>
      </c>
      <c r="G34981" t="s">
        <v>17524</v>
      </c>
      <c r="H34981" t="s">
        <v>33458</v>
      </c>
    </row>
    <row r="34982" spans="1:8">
      <c r="H34982" t="s">
        <v>33459</v>
      </c>
    </row>
    <row r="34983" spans="1:8">
      <c r="A34983" t="s">
        <v>2954</v>
      </c>
      <c r="B34983">
        <f>HYPERLINK("https://android.googlesource.com/platform/cts/+/dc839870f59061496be9802300e66571a24b5f36", "dc839870f59061496be9802300e66571a24b5f36")</f>
        <v>0</v>
      </c>
      <c r="C34983">
        <f>HYPERLINK("https://android.googlesource.com/platform/cts/+/4c8c74ec344f9954e39141f1652074e12ab9db96", "4c8c74ec344f9954e39141f1652074e12ab9db96")</f>
        <v>0</v>
      </c>
      <c r="D34983" t="s">
        <v>5483</v>
      </c>
      <c r="E34983" t="s">
        <v>8676</v>
      </c>
      <c r="F34983" t="s">
        <v>14106</v>
      </c>
      <c r="G34983" t="s">
        <v>18099</v>
      </c>
      <c r="H34983" t="s">
        <v>33460</v>
      </c>
    </row>
    <row r="34984" spans="1:8">
      <c r="H34984" t="s">
        <v>33461</v>
      </c>
    </row>
    <row r="34985" spans="1:8">
      <c r="H34985" t="s">
        <v>33462</v>
      </c>
    </row>
    <row r="34986" spans="1:8">
      <c r="F34986" t="s">
        <v>14107</v>
      </c>
      <c r="G34986" t="s">
        <v>18100</v>
      </c>
      <c r="H34986" t="s">
        <v>33460</v>
      </c>
    </row>
    <row r="34987" spans="1:8">
      <c r="F34987" t="s">
        <v>14108</v>
      </c>
      <c r="G34987" t="s">
        <v>18101</v>
      </c>
      <c r="H34987" t="s">
        <v>33460</v>
      </c>
    </row>
    <row r="34988" spans="1:8">
      <c r="F34988" t="s">
        <v>14109</v>
      </c>
      <c r="G34988" t="s">
        <v>18102</v>
      </c>
      <c r="H34988" t="s">
        <v>33463</v>
      </c>
    </row>
    <row r="34989" spans="1:8">
      <c r="F34989" t="s">
        <v>14110</v>
      </c>
      <c r="G34989" t="s">
        <v>18103</v>
      </c>
      <c r="H34989" t="s">
        <v>33460</v>
      </c>
    </row>
    <row r="34990" spans="1:8">
      <c r="F34990" t="s">
        <v>14111</v>
      </c>
      <c r="G34990" t="s">
        <v>18104</v>
      </c>
      <c r="H34990" t="s">
        <v>33460</v>
      </c>
    </row>
    <row r="34991" spans="1:8">
      <c r="H34991" t="s">
        <v>33464</v>
      </c>
    </row>
    <row r="34992" spans="1:8">
      <c r="F34992" t="s">
        <v>14112</v>
      </c>
      <c r="G34992" t="s">
        <v>18105</v>
      </c>
      <c r="H34992" t="s">
        <v>33460</v>
      </c>
    </row>
    <row r="34993" spans="1:8">
      <c r="A34993" t="s">
        <v>2955</v>
      </c>
      <c r="B34993">
        <f>HYPERLINK("https://android.googlesource.com/platform/cts/+/98f45dc43ca07e9148c8d0347a0c184cefef58c2", "98f45dc43ca07e9148c8d0347a0c184cefef58c2")</f>
        <v>0</v>
      </c>
      <c r="C34993">
        <f>HYPERLINK("https://android.googlesource.com/platform/cts/+/98d64ba9b3747aadf9f9fda4bd68f83bc1dc40ff", "98d64ba9b3747aadf9f9fda4bd68f83bc1dc40ff")</f>
        <v>0</v>
      </c>
      <c r="D34993" t="s">
        <v>5484</v>
      </c>
      <c r="E34993" t="s">
        <v>8677</v>
      </c>
      <c r="F34993" t="s">
        <v>14113</v>
      </c>
      <c r="G34993" t="s">
        <v>18106</v>
      </c>
      <c r="H34993" t="s">
        <v>33465</v>
      </c>
    </row>
    <row r="34994" spans="1:8">
      <c r="H34994" t="s">
        <v>33466</v>
      </c>
    </row>
    <row r="34995" spans="1:8">
      <c r="H34995" t="s">
        <v>33467</v>
      </c>
    </row>
    <row r="34996" spans="1:8">
      <c r="A34996" t="s">
        <v>2956</v>
      </c>
      <c r="B34996">
        <f>HYPERLINK("https://android.googlesource.com/platform/cts/+/d1e678a508bfd277817b96de954347a6b0ed9cc2", "d1e678a508bfd277817b96de954347a6b0ed9cc2")</f>
        <v>0</v>
      </c>
      <c r="C34996">
        <f>HYPERLINK("https://android.googlesource.com/platform/cts/+/6d91d96d725faa054b623a0ec9ab1bcbed91dfba", "6d91d96d725faa054b623a0ec9ab1bcbed91dfba")</f>
        <v>0</v>
      </c>
      <c r="D34996" t="s">
        <v>5485</v>
      </c>
      <c r="E34996" t="s">
        <v>8678</v>
      </c>
      <c r="F34996" t="s">
        <v>14081</v>
      </c>
      <c r="G34996" t="s">
        <v>18078</v>
      </c>
      <c r="H34996" t="s">
        <v>33468</v>
      </c>
    </row>
    <row r="34997" spans="1:8">
      <c r="H34997" t="s">
        <v>33469</v>
      </c>
    </row>
    <row r="34998" spans="1:8">
      <c r="H34998" t="s">
        <v>33470</v>
      </c>
    </row>
    <row r="34999" spans="1:8">
      <c r="H34999" t="s">
        <v>33471</v>
      </c>
    </row>
    <row r="35000" spans="1:8">
      <c r="H35000" t="s">
        <v>33472</v>
      </c>
    </row>
    <row r="35001" spans="1:8">
      <c r="H35001" t="s">
        <v>33473</v>
      </c>
    </row>
    <row r="35002" spans="1:8">
      <c r="H35002" t="s">
        <v>33474</v>
      </c>
    </row>
    <row r="35003" spans="1:8">
      <c r="H35003" t="s">
        <v>33475</v>
      </c>
    </row>
    <row r="35004" spans="1:8">
      <c r="A35004" t="s">
        <v>2957</v>
      </c>
      <c r="B35004">
        <f>HYPERLINK("https://android.googlesource.com/platform/cts/+/d8a47d7f13e902a3665d41d9cd6165184253cfc7", "d8a47d7f13e902a3665d41d9cd6165184253cfc7")</f>
        <v>0</v>
      </c>
      <c r="C35004">
        <f>HYPERLINK("https://android.googlesource.com/platform/cts/+/9845b344cb75efed7581c4d36151e63daa0fd98a", "9845b344cb75efed7581c4d36151e63daa0fd98a")</f>
        <v>0</v>
      </c>
      <c r="D35004" t="s">
        <v>5472</v>
      </c>
      <c r="E35004" t="s">
        <v>8679</v>
      </c>
      <c r="F35004" t="s">
        <v>14114</v>
      </c>
      <c r="G35004" t="s">
        <v>18107</v>
      </c>
      <c r="H35004" t="s">
        <v>33476</v>
      </c>
    </row>
    <row r="35005" spans="1:8">
      <c r="A35005" t="s">
        <v>2958</v>
      </c>
      <c r="B35005">
        <f>HYPERLINK("https://android.googlesource.com/platform/cts/+/77bb6a034231dc21763e6e837dd4109758f8cbf9", "77bb6a034231dc21763e6e837dd4109758f8cbf9")</f>
        <v>0</v>
      </c>
      <c r="C35005">
        <f>HYPERLINK("https://android.googlesource.com/platform/cts/+/d6e2f783813c04c1a4a15a5b0f8a35ee994fd448", "d6e2f783813c04c1a4a15a5b0f8a35ee994fd448")</f>
        <v>0</v>
      </c>
      <c r="D35005" t="s">
        <v>5352</v>
      </c>
      <c r="E35005" t="s">
        <v>8680</v>
      </c>
      <c r="F35005" t="s">
        <v>14115</v>
      </c>
      <c r="G35005" t="s">
        <v>18108</v>
      </c>
      <c r="H35005" t="s">
        <v>33477</v>
      </c>
    </row>
    <row r="35006" spans="1:8">
      <c r="H35006" t="s">
        <v>18829</v>
      </c>
    </row>
    <row r="35007" spans="1:8">
      <c r="H35007" t="s">
        <v>18863</v>
      </c>
    </row>
    <row r="35008" spans="1:8">
      <c r="H35008" t="s">
        <v>33478</v>
      </c>
    </row>
    <row r="35009" spans="1:8">
      <c r="H35009" t="s">
        <v>33479</v>
      </c>
    </row>
    <row r="35010" spans="1:8">
      <c r="H35010" t="s">
        <v>33480</v>
      </c>
    </row>
    <row r="35011" spans="1:8">
      <c r="H35011" t="s">
        <v>33481</v>
      </c>
    </row>
    <row r="35012" spans="1:8">
      <c r="A35012" t="s">
        <v>2959</v>
      </c>
      <c r="B35012">
        <f>HYPERLINK("https://android.googlesource.com/platform/cts/+/1e43b6cce2f2ef858ff629ef4257ef63806f282b", "1e43b6cce2f2ef858ff629ef4257ef63806f282b")</f>
        <v>0</v>
      </c>
      <c r="C35012">
        <f>HYPERLINK("https://android.googlesource.com/platform/cts/+/9712816484bf3d3d0a1fb04e92d7b71fe3a13b99", "9712816484bf3d3d0a1fb04e92d7b71fe3a13b99")</f>
        <v>0</v>
      </c>
      <c r="D35012" t="s">
        <v>5486</v>
      </c>
      <c r="E35012" t="s">
        <v>8681</v>
      </c>
      <c r="F35012" t="s">
        <v>13722</v>
      </c>
      <c r="G35012" t="s">
        <v>17580</v>
      </c>
      <c r="H35012" t="s">
        <v>33482</v>
      </c>
    </row>
    <row r="35013" spans="1:8">
      <c r="F35013" t="s">
        <v>14116</v>
      </c>
      <c r="G35013" t="s">
        <v>17580</v>
      </c>
      <c r="H35013" t="s">
        <v>33482</v>
      </c>
    </row>
    <row r="35014" spans="1:8">
      <c r="F35014" t="s">
        <v>13723</v>
      </c>
      <c r="G35014" t="s">
        <v>17580</v>
      </c>
      <c r="H35014" t="s">
        <v>33482</v>
      </c>
    </row>
    <row r="35015" spans="1:8">
      <c r="A35015" t="s">
        <v>2960</v>
      </c>
      <c r="B35015">
        <f>HYPERLINK("https://android.googlesource.com/platform/cts/+/034fed62cb1bd03ea006df3f51eb4174a4226d05", "034fed62cb1bd03ea006df3f51eb4174a4226d05")</f>
        <v>0</v>
      </c>
      <c r="C35015">
        <f>HYPERLINK("https://android.googlesource.com/platform/cts/+/c7018b1e9c95dc9b08646bba270c243bc9f84d69", "c7018b1e9c95dc9b08646bba270c243bc9f84d69")</f>
        <v>0</v>
      </c>
      <c r="D35015" t="s">
        <v>5471</v>
      </c>
      <c r="E35015" t="s">
        <v>8682</v>
      </c>
      <c r="F35015" t="s">
        <v>14117</v>
      </c>
      <c r="G35015" t="s">
        <v>18109</v>
      </c>
      <c r="H35015" t="s">
        <v>33483</v>
      </c>
    </row>
    <row r="35016" spans="1:8">
      <c r="H35016" t="s">
        <v>33484</v>
      </c>
    </row>
    <row r="35017" spans="1:8">
      <c r="H35017" t="s">
        <v>19905</v>
      </c>
    </row>
    <row r="35018" spans="1:8">
      <c r="H35018" t="s">
        <v>26493</v>
      </c>
    </row>
    <row r="35019" spans="1:8">
      <c r="A35019" t="s">
        <v>2961</v>
      </c>
      <c r="B35019">
        <f>HYPERLINK("https://android.googlesource.com/platform/cts/+/bfac18abf24c353ae41b095261715417c1f16355", "bfac18abf24c353ae41b095261715417c1f16355")</f>
        <v>0</v>
      </c>
      <c r="C35019">
        <f>HYPERLINK("https://android.googlesource.com/platform/cts/+/d6e2f783813c04c1a4a15a5b0f8a35ee994fd448", "d6e2f783813c04c1a4a15a5b0f8a35ee994fd448")</f>
        <v>0</v>
      </c>
      <c r="D35019" t="s">
        <v>5293</v>
      </c>
      <c r="E35019" t="s">
        <v>8683</v>
      </c>
      <c r="F35019" t="s">
        <v>13513</v>
      </c>
      <c r="G35019" t="s">
        <v>17630</v>
      </c>
      <c r="H35019" t="s">
        <v>33094</v>
      </c>
    </row>
    <row r="35020" spans="1:8">
      <c r="H35020" t="s">
        <v>19981</v>
      </c>
    </row>
    <row r="35021" spans="1:8">
      <c r="H35021" t="s">
        <v>33485</v>
      </c>
    </row>
    <row r="35022" spans="1:8">
      <c r="A35022" t="s">
        <v>2962</v>
      </c>
      <c r="B35022">
        <f>HYPERLINK("https://android.googlesource.com/platform/cts/+/4b581c65323408e72fbf9f792f18c55f1b649cbd", "4b581c65323408e72fbf9f792f18c55f1b649cbd")</f>
        <v>0</v>
      </c>
      <c r="C35022">
        <f>HYPERLINK("https://android.googlesource.com/platform/cts/+/90339eda3754d3911490d3803017d47a5f878201", "90339eda3754d3911490d3803017d47a5f878201")</f>
        <v>0</v>
      </c>
      <c r="D35022" t="s">
        <v>5487</v>
      </c>
      <c r="E35022" t="s">
        <v>8684</v>
      </c>
      <c r="F35022" t="s">
        <v>14118</v>
      </c>
      <c r="G35022" t="s">
        <v>18110</v>
      </c>
      <c r="H35022" t="s">
        <v>33486</v>
      </c>
    </row>
    <row r="35023" spans="1:8">
      <c r="A35023" t="s">
        <v>2963</v>
      </c>
      <c r="B35023">
        <f>HYPERLINK("https://android.googlesource.com/platform/cts/+/66fa879db6446d8db03792c64a08e75d713579f1", "66fa879db6446d8db03792c64a08e75d713579f1")</f>
        <v>0</v>
      </c>
      <c r="C35023">
        <f>HYPERLINK("https://android.googlesource.com/platform/cts/+/c40a18b517c33888d1a19fff0fe32bd75d159bd2", "c40a18b517c33888d1a19fff0fe32bd75d159bd2")</f>
        <v>0</v>
      </c>
      <c r="D35023" t="s">
        <v>5448</v>
      </c>
      <c r="E35023" t="s">
        <v>8685</v>
      </c>
      <c r="F35023" t="s">
        <v>14097</v>
      </c>
      <c r="G35023" t="s">
        <v>18090</v>
      </c>
      <c r="H35023" t="s">
        <v>33401</v>
      </c>
    </row>
    <row r="35024" spans="1:8">
      <c r="H35024" t="s">
        <v>32811</v>
      </c>
    </row>
    <row r="35025" spans="1:8">
      <c r="H35025" t="s">
        <v>33402</v>
      </c>
    </row>
    <row r="35026" spans="1:8">
      <c r="H35026" t="s">
        <v>33403</v>
      </c>
    </row>
    <row r="35027" spans="1:8">
      <c r="F35027" t="s">
        <v>14098</v>
      </c>
      <c r="G35027" t="s">
        <v>18091</v>
      </c>
      <c r="H35027" t="s">
        <v>19013</v>
      </c>
    </row>
    <row r="35028" spans="1:8">
      <c r="H35028" t="s">
        <v>18835</v>
      </c>
    </row>
    <row r="35029" spans="1:8">
      <c r="H35029" t="s">
        <v>33404</v>
      </c>
    </row>
    <row r="35030" spans="1:8">
      <c r="H35030" t="s">
        <v>33405</v>
      </c>
    </row>
    <row r="35031" spans="1:8">
      <c r="H35031" t="s">
        <v>33406</v>
      </c>
    </row>
    <row r="35032" spans="1:8">
      <c r="A35032" t="s">
        <v>2964</v>
      </c>
      <c r="B35032">
        <f>HYPERLINK("https://android.googlesource.com/platform/cts/+/997327a7380e7c4ad20a727a90f46b17ad3a960e", "997327a7380e7c4ad20a727a90f46b17ad3a960e")</f>
        <v>0</v>
      </c>
      <c r="C35032">
        <f>HYPERLINK("https://android.googlesource.com/platform/cts/+/d6e2f783813c04c1a4a15a5b0f8a35ee994fd448", "d6e2f783813c04c1a4a15a5b0f8a35ee994fd448")</f>
        <v>0</v>
      </c>
      <c r="D35032" t="s">
        <v>5189</v>
      </c>
      <c r="E35032" t="s">
        <v>8686</v>
      </c>
      <c r="F35032" t="s">
        <v>14119</v>
      </c>
      <c r="G35032" t="s">
        <v>16617</v>
      </c>
      <c r="H35032" t="s">
        <v>32565</v>
      </c>
    </row>
    <row r="35033" spans="1:8">
      <c r="A35033" t="s">
        <v>2965</v>
      </c>
      <c r="B35033">
        <f>HYPERLINK("https://android.googlesource.com/platform/cts/+/f0e4bb61a298b6053848c6c3ac9827e303dc89a2", "f0e4bb61a298b6053848c6c3ac9827e303dc89a2")</f>
        <v>0</v>
      </c>
      <c r="C35033">
        <f>HYPERLINK("https://android.googlesource.com/platform/cts/+/67e157a2005c36f0b507dc97ae571274cb9d605e", "67e157a2005c36f0b507dc97ae571274cb9d605e")</f>
        <v>0</v>
      </c>
      <c r="D35033" t="s">
        <v>5363</v>
      </c>
      <c r="E35033" t="s">
        <v>8687</v>
      </c>
      <c r="F35033" t="s">
        <v>14120</v>
      </c>
      <c r="G35033" t="s">
        <v>18111</v>
      </c>
      <c r="H35033" t="s">
        <v>18829</v>
      </c>
    </row>
    <row r="35034" spans="1:8">
      <c r="H35034" t="s">
        <v>18863</v>
      </c>
    </row>
    <row r="35035" spans="1:8">
      <c r="H35035" t="s">
        <v>33487</v>
      </c>
    </row>
    <row r="35036" spans="1:8">
      <c r="H35036" t="s">
        <v>33488</v>
      </c>
    </row>
    <row r="35037" spans="1:8">
      <c r="H35037" t="s">
        <v>33489</v>
      </c>
    </row>
    <row r="35038" spans="1:8">
      <c r="F35038" t="s">
        <v>12629</v>
      </c>
      <c r="G35038" t="s">
        <v>16838</v>
      </c>
      <c r="H35038" t="s">
        <v>33490</v>
      </c>
    </row>
    <row r="35039" spans="1:8">
      <c r="F35039" t="s">
        <v>12768</v>
      </c>
      <c r="G35039" t="s">
        <v>15710</v>
      </c>
      <c r="H35039" t="s">
        <v>33491</v>
      </c>
    </row>
    <row r="35040" spans="1:8">
      <c r="A35040" t="s">
        <v>2966</v>
      </c>
      <c r="B35040">
        <f>HYPERLINK("https://android.googlesource.com/platform/cts/+/50735fc3da4b6bebfb37d80ae6f729864d88b79d", "50735fc3da4b6bebfb37d80ae6f729864d88b79d")</f>
        <v>0</v>
      </c>
      <c r="C35040">
        <f>HYPERLINK("https://android.googlesource.com/platform/cts/+/0054972299ca636598baa2d6b98f9db5dbea12f5", "0054972299ca636598baa2d6b98f9db5dbea12f5")</f>
        <v>0</v>
      </c>
      <c r="D35040" t="s">
        <v>5488</v>
      </c>
      <c r="E35040" t="s">
        <v>8688</v>
      </c>
      <c r="F35040" t="s">
        <v>14121</v>
      </c>
      <c r="G35040" t="s">
        <v>16426</v>
      </c>
      <c r="H35040" t="s">
        <v>33492</v>
      </c>
    </row>
    <row r="35041" spans="1:8">
      <c r="A35041" t="s">
        <v>2967</v>
      </c>
      <c r="B35041">
        <f>HYPERLINK("https://android.googlesource.com/platform/cts/+/da20dbe52d7259b027909eede924d3b9e400dbd9", "da20dbe52d7259b027909eede924d3b9e400dbd9")</f>
        <v>0</v>
      </c>
      <c r="C35041">
        <f>HYPERLINK("https://android.googlesource.com/platform/cts/+/fddfbf3850c18878fb46adbce0ef5f7e5412a842", "fddfbf3850c18878fb46adbce0ef5f7e5412a842")</f>
        <v>0</v>
      </c>
      <c r="D35041" t="s">
        <v>5108</v>
      </c>
      <c r="E35041" t="s">
        <v>8689</v>
      </c>
      <c r="F35041" t="s">
        <v>12743</v>
      </c>
      <c r="G35041" t="s">
        <v>16935</v>
      </c>
      <c r="H35041" t="s">
        <v>33493</v>
      </c>
    </row>
    <row r="35042" spans="1:8">
      <c r="F35042" t="s">
        <v>12629</v>
      </c>
      <c r="G35042" t="s">
        <v>16838</v>
      </c>
      <c r="H35042" t="s">
        <v>33494</v>
      </c>
    </row>
    <row r="35043" spans="1:8">
      <c r="H35043" t="s">
        <v>33495</v>
      </c>
    </row>
    <row r="35044" spans="1:8">
      <c r="H35044" t="s">
        <v>33496</v>
      </c>
    </row>
    <row r="35045" spans="1:8">
      <c r="H35045" t="s">
        <v>33497</v>
      </c>
    </row>
    <row r="35046" spans="1:8">
      <c r="F35046" t="s">
        <v>14122</v>
      </c>
      <c r="G35046" t="s">
        <v>18112</v>
      </c>
      <c r="H35046" t="s">
        <v>22587</v>
      </c>
    </row>
    <row r="35047" spans="1:8">
      <c r="H35047" t="s">
        <v>33498</v>
      </c>
    </row>
    <row r="35048" spans="1:8">
      <c r="H35048" t="s">
        <v>33499</v>
      </c>
    </row>
    <row r="35049" spans="1:8">
      <c r="H35049" t="s">
        <v>33493</v>
      </c>
    </row>
    <row r="35050" spans="1:8">
      <c r="F35050" t="s">
        <v>12768</v>
      </c>
      <c r="G35050" t="s">
        <v>15710</v>
      </c>
      <c r="H35050" t="s">
        <v>33500</v>
      </c>
    </row>
    <row r="35051" spans="1:8">
      <c r="H35051" t="s">
        <v>33501</v>
      </c>
    </row>
    <row r="35052" spans="1:8">
      <c r="H35052" t="s">
        <v>33502</v>
      </c>
    </row>
    <row r="35053" spans="1:8">
      <c r="H35053" t="s">
        <v>33503</v>
      </c>
    </row>
    <row r="35054" spans="1:8">
      <c r="A35054" t="s">
        <v>2968</v>
      </c>
      <c r="B35054">
        <f>HYPERLINK("https://android.googlesource.com/platform/cts/+/db3d3ea3deb6d3138f449ab04e65a7b159ad7309", "db3d3ea3deb6d3138f449ab04e65a7b159ad7309")</f>
        <v>0</v>
      </c>
      <c r="C35054">
        <f>HYPERLINK("https://android.googlesource.com/platform/cts/+/9999410ac1dd64618f4000121d0350e0dce2618c", "9999410ac1dd64618f4000121d0350e0dce2618c")</f>
        <v>0</v>
      </c>
      <c r="D35054" t="s">
        <v>5436</v>
      </c>
      <c r="E35054" t="s">
        <v>8690</v>
      </c>
      <c r="F35054" t="s">
        <v>12570</v>
      </c>
      <c r="G35054" t="s">
        <v>16786</v>
      </c>
      <c r="H35054" t="s">
        <v>32082</v>
      </c>
    </row>
    <row r="35055" spans="1:8">
      <c r="A35055" t="s">
        <v>2969</v>
      </c>
      <c r="B35055">
        <f>HYPERLINK("https://android.googlesource.com/platform/cts/+/47aa1ec835ef5990491a11cb769b6c3eca8c7b1f", "47aa1ec835ef5990491a11cb769b6c3eca8c7b1f")</f>
        <v>0</v>
      </c>
      <c r="C35055">
        <f>HYPERLINK("https://android.googlesource.com/platform/cts/+/6a78e6af0a65f6a5680f6ddd51597c0fdee926c4", "6a78e6af0a65f6a5680f6ddd51597c0fdee926c4")</f>
        <v>0</v>
      </c>
      <c r="D35055" t="s">
        <v>5344</v>
      </c>
      <c r="E35055" t="s">
        <v>8691</v>
      </c>
      <c r="F35055" t="s">
        <v>14123</v>
      </c>
      <c r="G35055" t="s">
        <v>18113</v>
      </c>
      <c r="H35055" t="s">
        <v>33504</v>
      </c>
    </row>
    <row r="35056" spans="1:8">
      <c r="A35056" t="s">
        <v>2970</v>
      </c>
      <c r="B35056">
        <f>HYPERLINK("https://android.googlesource.com/platform/cts/+/b27d482a2062842a679ff112425108e56d97ccff", "b27d482a2062842a679ff112425108e56d97ccff")</f>
        <v>0</v>
      </c>
      <c r="C35056">
        <f>HYPERLINK("https://android.googlesource.com/platform/cts/+/635af71dfef5a38f48d90af51bd1b087df7ed176", "635af71dfef5a38f48d90af51bd1b087df7ed176")</f>
        <v>0</v>
      </c>
      <c r="D35056" t="s">
        <v>5470</v>
      </c>
      <c r="E35056" t="s">
        <v>8692</v>
      </c>
      <c r="F35056" t="s">
        <v>13761</v>
      </c>
      <c r="G35056" t="s">
        <v>17819</v>
      </c>
      <c r="H35056" t="s">
        <v>18829</v>
      </c>
    </row>
    <row r="35057" spans="1:8">
      <c r="A35057" t="s">
        <v>2971</v>
      </c>
      <c r="B35057">
        <f>HYPERLINK("https://android.googlesource.com/platform/cts/+/71a57b7c6c8abec55c2b287d690dc93f68db5c7f", "71a57b7c6c8abec55c2b287d690dc93f68db5c7f")</f>
        <v>0</v>
      </c>
      <c r="C35057">
        <f>HYPERLINK("https://android.googlesource.com/platform/cts/+/25588b01bb0ecd945bdbe786c94f9504d905bbaf", "25588b01bb0ecd945bdbe786c94f9504d905bbaf")</f>
        <v>0</v>
      </c>
      <c r="D35057" t="s">
        <v>5481</v>
      </c>
      <c r="E35057" t="s">
        <v>8693</v>
      </c>
      <c r="F35057" t="s">
        <v>14124</v>
      </c>
      <c r="G35057" t="s">
        <v>18114</v>
      </c>
      <c r="H35057" t="s">
        <v>25959</v>
      </c>
    </row>
    <row r="35058" spans="1:8">
      <c r="A35058" t="s">
        <v>2972</v>
      </c>
      <c r="B35058">
        <f>HYPERLINK("https://android.googlesource.com/platform/cts/+/3b703a016df30ba7b69f97f573da845a12f91957", "3b703a016df30ba7b69f97f573da845a12f91957")</f>
        <v>0</v>
      </c>
      <c r="C35058">
        <f>HYPERLINK("https://android.googlesource.com/platform/cts/+/757d8245ce08887ae5d01efa3f5b5a945f4a60c3", "757d8245ce08887ae5d01efa3f5b5a945f4a60c3")</f>
        <v>0</v>
      </c>
      <c r="D35058" t="s">
        <v>5489</v>
      </c>
      <c r="E35058" t="s">
        <v>8694</v>
      </c>
      <c r="F35058" t="s">
        <v>13576</v>
      </c>
      <c r="G35058" t="s">
        <v>16477</v>
      </c>
      <c r="H35058" t="s">
        <v>21509</v>
      </c>
    </row>
    <row r="35059" spans="1:8">
      <c r="A35059" t="s">
        <v>2973</v>
      </c>
      <c r="B35059">
        <f>HYPERLINK("https://android.googlesource.com/platform/cts/+/4c367c7abf65bf844bce8ecb65275636e35887f8", "4c367c7abf65bf844bce8ecb65275636e35887f8")</f>
        <v>0</v>
      </c>
      <c r="C35059">
        <f>HYPERLINK("https://android.googlesource.com/platform/cts/+/1d4f251412ebf449fb42221e6d3c7153523efb5c", "1d4f251412ebf449fb42221e6d3c7153523efb5c")</f>
        <v>0</v>
      </c>
      <c r="D35059" t="s">
        <v>5490</v>
      </c>
      <c r="E35059" t="s">
        <v>8695</v>
      </c>
      <c r="F35059" t="s">
        <v>13963</v>
      </c>
      <c r="G35059" t="s">
        <v>16440</v>
      </c>
      <c r="H35059" t="s">
        <v>33505</v>
      </c>
    </row>
    <row r="35060" spans="1:8">
      <c r="H35060" t="s">
        <v>33506</v>
      </c>
    </row>
    <row r="35061" spans="1:8">
      <c r="A35061" t="s">
        <v>2975</v>
      </c>
      <c r="B35061">
        <f>HYPERLINK("https://android.googlesource.com/platform/cts/+/2a735485806d9a21180e8df0a7a561b4487f2700", "2a735485806d9a21180e8df0a7a561b4487f2700")</f>
        <v>0</v>
      </c>
      <c r="C35061">
        <f>HYPERLINK("https://android.googlesource.com/platform/cts/+/20e40673e104f1b78355b5b0b0fd1a46a8b9f208", "20e40673e104f1b78355b5b0b0fd1a46a8b9f208")</f>
        <v>0</v>
      </c>
      <c r="D35061" t="s">
        <v>5463</v>
      </c>
      <c r="E35061" t="s">
        <v>8697</v>
      </c>
      <c r="F35061" t="s">
        <v>14125</v>
      </c>
      <c r="G35061" t="s">
        <v>18115</v>
      </c>
      <c r="H35061" t="s">
        <v>33507</v>
      </c>
    </row>
    <row r="35062" spans="1:8">
      <c r="H35062" t="s">
        <v>33508</v>
      </c>
    </row>
    <row r="35063" spans="1:8">
      <c r="H35063" t="s">
        <v>33509</v>
      </c>
    </row>
    <row r="35064" spans="1:8">
      <c r="H35064" t="s">
        <v>33510</v>
      </c>
    </row>
    <row r="35065" spans="1:8">
      <c r="H35065" t="s">
        <v>33511</v>
      </c>
    </row>
    <row r="35066" spans="1:8">
      <c r="H35066" t="s">
        <v>33511</v>
      </c>
    </row>
    <row r="35067" spans="1:8">
      <c r="A35067" t="s">
        <v>2977</v>
      </c>
      <c r="B35067">
        <f>HYPERLINK("https://android.googlesource.com/platform/cts/+/723aeefad279f4f9013b3e3153c3f85b7d56a67a", "723aeefad279f4f9013b3e3153c3f85b7d56a67a")</f>
        <v>0</v>
      </c>
      <c r="C35067">
        <f>HYPERLINK("https://android.googlesource.com/platform/cts/+/0fb562077c998f1fa90b0e3be5436bb122bf9b3c", "0fb562077c998f1fa90b0e3be5436bb122bf9b3c")</f>
        <v>0</v>
      </c>
      <c r="D35067" t="s">
        <v>5476</v>
      </c>
      <c r="E35067" t="s">
        <v>8699</v>
      </c>
      <c r="F35067" t="s">
        <v>14076</v>
      </c>
      <c r="G35067" t="s">
        <v>18074</v>
      </c>
      <c r="H35067" t="s">
        <v>33154</v>
      </c>
    </row>
    <row r="35068" spans="1:8">
      <c r="H35068" t="s">
        <v>33512</v>
      </c>
    </row>
    <row r="35069" spans="1:8">
      <c r="H35069" t="s">
        <v>33513</v>
      </c>
    </row>
    <row r="35070" spans="1:8">
      <c r="A35070" t="s">
        <v>2978</v>
      </c>
      <c r="B35070">
        <f>HYPERLINK("https://android.googlesource.com/platform/cts/+/74c2210ef071f2d4158e5e5acccb51102fb392c4", "74c2210ef071f2d4158e5e5acccb51102fb392c4")</f>
        <v>0</v>
      </c>
      <c r="C35070">
        <f>HYPERLINK("https://android.googlesource.com/platform/cts/+/89c79f0513e51b2173748bb449fa4d80eb3f6545", "89c79f0513e51b2173748bb449fa4d80eb3f6545")</f>
        <v>0</v>
      </c>
      <c r="D35070" t="s">
        <v>5360</v>
      </c>
      <c r="E35070" t="s">
        <v>8700</v>
      </c>
      <c r="F35070" t="s">
        <v>14126</v>
      </c>
      <c r="G35070" t="s">
        <v>18116</v>
      </c>
      <c r="H35070" t="s">
        <v>18829</v>
      </c>
    </row>
    <row r="35071" spans="1:8">
      <c r="H35071" t="s">
        <v>33514</v>
      </c>
    </row>
    <row r="35072" spans="1:8">
      <c r="H35072" t="s">
        <v>33515</v>
      </c>
    </row>
    <row r="35073" spans="1:8">
      <c r="H35073" t="s">
        <v>33516</v>
      </c>
    </row>
    <row r="35074" spans="1:8">
      <c r="H35074" t="s">
        <v>33517</v>
      </c>
    </row>
    <row r="35075" spans="1:8">
      <c r="A35075" t="s">
        <v>2980</v>
      </c>
      <c r="B35075">
        <f>HYPERLINK("https://android.googlesource.com/platform/cts/+/dfe579944540b5800e9709f02fcca3a05cd22006", "dfe579944540b5800e9709f02fcca3a05cd22006")</f>
        <v>0</v>
      </c>
      <c r="C35075">
        <f>HYPERLINK("https://android.googlesource.com/platform/cts/+/6e6e01d31a6584b33a7fe4949a5d7210e58fea28", "6e6e01d31a6584b33a7fe4949a5d7210e58fea28")</f>
        <v>0</v>
      </c>
      <c r="D35075" t="s">
        <v>5491</v>
      </c>
      <c r="E35075" t="s">
        <v>8702</v>
      </c>
      <c r="F35075" t="s">
        <v>10696</v>
      </c>
      <c r="G35075" t="s">
        <v>15096</v>
      </c>
      <c r="H35075" t="s">
        <v>33518</v>
      </c>
    </row>
    <row r="35076" spans="1:8">
      <c r="A35076" t="s">
        <v>2982</v>
      </c>
      <c r="B35076">
        <f>HYPERLINK("https://android.googlesource.com/platform/cts/+/7bdc4f1f17dc0cec4a52d9d977529279ba6900d9", "7bdc4f1f17dc0cec4a52d9d977529279ba6900d9")</f>
        <v>0</v>
      </c>
      <c r="C35076">
        <f>HYPERLINK("https://android.googlesource.com/platform/cts/+/b7b4f065feb30478494a75fb3393c9db12092f66", "b7b4f065feb30478494a75fb3393c9db12092f66")</f>
        <v>0</v>
      </c>
      <c r="D35076" t="s">
        <v>5438</v>
      </c>
      <c r="E35076" t="s">
        <v>8704</v>
      </c>
      <c r="F35076" t="s">
        <v>14127</v>
      </c>
      <c r="G35076" t="s">
        <v>18117</v>
      </c>
      <c r="H35076" t="s">
        <v>30103</v>
      </c>
    </row>
    <row r="35077" spans="1:8">
      <c r="H35077" t="s">
        <v>30104</v>
      </c>
    </row>
    <row r="35078" spans="1:8">
      <c r="A35078" t="s">
        <v>2983</v>
      </c>
      <c r="B35078">
        <f>HYPERLINK("https://android.googlesource.com/platform/cts/+/78bdfc83733db1b4e0f5dd8a3e1f9a6190a0dc45", "78bdfc83733db1b4e0f5dd8a3e1f9a6190a0dc45")</f>
        <v>0</v>
      </c>
      <c r="C35078">
        <f>HYPERLINK("https://android.googlesource.com/platform/cts/+/b4c535f5c12d68c2b56717a8b2f94753f6def9ac", "b4c535f5c12d68c2b56717a8b2f94753f6def9ac")</f>
        <v>0</v>
      </c>
      <c r="D35078" t="s">
        <v>5492</v>
      </c>
      <c r="E35078" t="s">
        <v>8705</v>
      </c>
      <c r="F35078" t="s">
        <v>13816</v>
      </c>
      <c r="G35078" t="s">
        <v>15089</v>
      </c>
      <c r="H35078" t="s">
        <v>33519</v>
      </c>
    </row>
    <row r="35079" spans="1:8">
      <c r="A35079" t="s">
        <v>2984</v>
      </c>
      <c r="B35079">
        <f>HYPERLINK("https://android.googlesource.com/platform/cts/+/1be0f3e57d54ef978f6b43fa5dbf0ec9787ee372", "1be0f3e57d54ef978f6b43fa5dbf0ec9787ee372")</f>
        <v>0</v>
      </c>
      <c r="C35079">
        <f>HYPERLINK("https://android.googlesource.com/platform/cts/+/fa58f72d6a476e5be76513dba917a670b8d41539", "fa58f72d6a476e5be76513dba917a670b8d41539")</f>
        <v>0</v>
      </c>
      <c r="D35079" t="s">
        <v>5493</v>
      </c>
      <c r="E35079" t="s">
        <v>8706</v>
      </c>
      <c r="F35079" t="s">
        <v>13158</v>
      </c>
      <c r="G35079" t="s">
        <v>17309</v>
      </c>
      <c r="H35079" t="s">
        <v>33520</v>
      </c>
    </row>
    <row r="35080" spans="1:8">
      <c r="H35080" t="s">
        <v>18893</v>
      </c>
    </row>
    <row r="35081" spans="1:8">
      <c r="H35081" t="s">
        <v>33521</v>
      </c>
    </row>
    <row r="35082" spans="1:8">
      <c r="A35082" t="s">
        <v>2985</v>
      </c>
      <c r="B35082">
        <f>HYPERLINK("https://android.googlesource.com/platform/cts/+/6458cc123888ede66fd1cd76e4105e2cd572361c", "6458cc123888ede66fd1cd76e4105e2cd572361c")</f>
        <v>0</v>
      </c>
      <c r="C35082">
        <f>HYPERLINK("https://android.googlesource.com/platform/cts/+/0fb562077c998f1fa90b0e3be5436bb122bf9b3c", "0fb562077c998f1fa90b0e3be5436bb122bf9b3c")</f>
        <v>0</v>
      </c>
      <c r="D35082" t="s">
        <v>5408</v>
      </c>
      <c r="E35082" t="s">
        <v>8707</v>
      </c>
      <c r="F35082" t="s">
        <v>14128</v>
      </c>
      <c r="G35082" t="s">
        <v>18118</v>
      </c>
      <c r="H35082" t="s">
        <v>33522</v>
      </c>
    </row>
    <row r="35083" spans="1:8">
      <c r="A35083" t="s">
        <v>2987</v>
      </c>
      <c r="B35083">
        <f>HYPERLINK("https://android.googlesource.com/platform/cts/+/3d8b67318fff2d0a96f05b869fd0d4d0d28e66b3", "3d8b67318fff2d0a96f05b869fd0d4d0d28e66b3")</f>
        <v>0</v>
      </c>
      <c r="C35083">
        <f>HYPERLINK("https://android.googlesource.com/platform/cts/+/bbef078ae4465a713348c1536a813c0a66f3541b", "bbef078ae4465a713348c1536a813c0a66f3541b")</f>
        <v>0</v>
      </c>
      <c r="D35083" t="s">
        <v>5122</v>
      </c>
      <c r="E35083" t="s">
        <v>8709</v>
      </c>
      <c r="F35083" t="s">
        <v>14129</v>
      </c>
      <c r="G35083" t="s">
        <v>18119</v>
      </c>
      <c r="H35083" t="s">
        <v>33523</v>
      </c>
    </row>
    <row r="35084" spans="1:8">
      <c r="A35084" t="s">
        <v>2989</v>
      </c>
      <c r="B35084">
        <f>HYPERLINK("https://android.googlesource.com/platform/cts/+/8acfb016f012894bb7e7c1fa4d65a61f8417dffc", "8acfb016f012894bb7e7c1fa4d65a61f8417dffc")</f>
        <v>0</v>
      </c>
      <c r="C35084">
        <f>HYPERLINK("https://android.googlesource.com/platform/cts/+/82aa7590736664aca8cf2255ffd148006fa9f442", "82aa7590736664aca8cf2255ffd148006fa9f442")</f>
        <v>0</v>
      </c>
      <c r="D35084" t="s">
        <v>5096</v>
      </c>
      <c r="E35084" t="s">
        <v>8711</v>
      </c>
      <c r="F35084" t="s">
        <v>13220</v>
      </c>
      <c r="G35084" t="s">
        <v>17361</v>
      </c>
      <c r="H35084" t="s">
        <v>33524</v>
      </c>
    </row>
    <row r="35085" spans="1:8">
      <c r="A35085" t="s">
        <v>2990</v>
      </c>
      <c r="B35085">
        <f>HYPERLINK("https://android.googlesource.com/platform/cts/+/e6b660abc0148d556f18d25ec49a0eb91ce3386c", "e6b660abc0148d556f18d25ec49a0eb91ce3386c")</f>
        <v>0</v>
      </c>
      <c r="C35085">
        <f>HYPERLINK("https://android.googlesource.com/platform/cts/+/d687c4673aa37fc27c758f8fd4ef5e09b1ce6873", "d687c4673aa37fc27c758f8fd4ef5e09b1ce6873")</f>
        <v>0</v>
      </c>
      <c r="D35085" t="s">
        <v>5341</v>
      </c>
      <c r="E35085" t="s">
        <v>8712</v>
      </c>
      <c r="F35085" t="s">
        <v>12879</v>
      </c>
      <c r="G35085" t="s">
        <v>17046</v>
      </c>
      <c r="H35085" t="s">
        <v>25497</v>
      </c>
    </row>
    <row r="35086" spans="1:8">
      <c r="H35086" t="s">
        <v>20244</v>
      </c>
    </row>
    <row r="35087" spans="1:8">
      <c r="H35087" t="s">
        <v>33525</v>
      </c>
    </row>
    <row r="35088" spans="1:8">
      <c r="H35088" t="s">
        <v>18829</v>
      </c>
    </row>
    <row r="35089" spans="8:8">
      <c r="H35089" t="s">
        <v>18863</v>
      </c>
    </row>
    <row r="35090" spans="8:8">
      <c r="H35090" t="s">
        <v>20441</v>
      </c>
    </row>
    <row r="35091" spans="8:8">
      <c r="H35091" t="s">
        <v>26762</v>
      </c>
    </row>
    <row r="35092" spans="8:8">
      <c r="H35092" t="s">
        <v>33526</v>
      </c>
    </row>
    <row r="35093" spans="8:8">
      <c r="H35093" t="s">
        <v>33527</v>
      </c>
    </row>
    <row r="35094" spans="8:8">
      <c r="H35094" t="s">
        <v>33528</v>
      </c>
    </row>
    <row r="35095" spans="8:8">
      <c r="H35095" t="s">
        <v>33529</v>
      </c>
    </row>
    <row r="35096" spans="8:8">
      <c r="H35096" t="s">
        <v>33530</v>
      </c>
    </row>
    <row r="35097" spans="8:8">
      <c r="H35097" t="s">
        <v>33531</v>
      </c>
    </row>
    <row r="35098" spans="8:8">
      <c r="H35098" t="s">
        <v>33532</v>
      </c>
    </row>
    <row r="35099" spans="8:8">
      <c r="H35099" t="s">
        <v>33533</v>
      </c>
    </row>
    <row r="35100" spans="8:8">
      <c r="H35100" t="s">
        <v>33534</v>
      </c>
    </row>
    <row r="35101" spans="8:8">
      <c r="H35101" t="s">
        <v>33535</v>
      </c>
    </row>
    <row r="35102" spans="8:8">
      <c r="H35102" t="s">
        <v>33536</v>
      </c>
    </row>
    <row r="35103" spans="8:8">
      <c r="H35103" t="s">
        <v>33537</v>
      </c>
    </row>
    <row r="35104" spans="8:8">
      <c r="H35104" t="s">
        <v>33538</v>
      </c>
    </row>
    <row r="35105" spans="8:8">
      <c r="H35105" t="s">
        <v>33539</v>
      </c>
    </row>
    <row r="35106" spans="8:8">
      <c r="H35106" t="s">
        <v>33540</v>
      </c>
    </row>
    <row r="35107" spans="8:8">
      <c r="H35107" t="s">
        <v>33541</v>
      </c>
    </row>
    <row r="35108" spans="8:8">
      <c r="H35108" t="s">
        <v>33542</v>
      </c>
    </row>
    <row r="35109" spans="8:8">
      <c r="H35109" t="s">
        <v>33543</v>
      </c>
    </row>
    <row r="35110" spans="8:8">
      <c r="H35110" t="s">
        <v>33544</v>
      </c>
    </row>
    <row r="35111" spans="8:8">
      <c r="H35111" t="s">
        <v>33545</v>
      </c>
    </row>
    <row r="35112" spans="8:8">
      <c r="H35112" t="s">
        <v>33546</v>
      </c>
    </row>
    <row r="35113" spans="8:8">
      <c r="H35113" t="s">
        <v>33547</v>
      </c>
    </row>
    <row r="35114" spans="8:8">
      <c r="H35114" t="s">
        <v>33548</v>
      </c>
    </row>
    <row r="35115" spans="8:8">
      <c r="H35115" t="s">
        <v>33549</v>
      </c>
    </row>
    <row r="35116" spans="8:8">
      <c r="H35116" t="s">
        <v>28470</v>
      </c>
    </row>
    <row r="35117" spans="8:8">
      <c r="H35117" t="s">
        <v>33550</v>
      </c>
    </row>
    <row r="35118" spans="8:8">
      <c r="H35118" t="s">
        <v>33551</v>
      </c>
    </row>
    <row r="35119" spans="8:8">
      <c r="H35119" t="s">
        <v>33552</v>
      </c>
    </row>
    <row r="35120" spans="8:8">
      <c r="H35120" t="s">
        <v>33553</v>
      </c>
    </row>
    <row r="35121" spans="8:8">
      <c r="H35121" t="s">
        <v>33554</v>
      </c>
    </row>
    <row r="35122" spans="8:8">
      <c r="H35122" t="s">
        <v>33555</v>
      </c>
    </row>
    <row r="35123" spans="8:8">
      <c r="H35123" t="s">
        <v>33556</v>
      </c>
    </row>
    <row r="35124" spans="8:8">
      <c r="H35124" t="s">
        <v>33557</v>
      </c>
    </row>
    <row r="35125" spans="8:8">
      <c r="H35125" t="s">
        <v>33558</v>
      </c>
    </row>
    <row r="35126" spans="8:8">
      <c r="H35126" t="s">
        <v>33559</v>
      </c>
    </row>
    <row r="35127" spans="8:8">
      <c r="H35127" t="s">
        <v>33560</v>
      </c>
    </row>
    <row r="35128" spans="8:8">
      <c r="H35128" t="s">
        <v>33561</v>
      </c>
    </row>
    <row r="35129" spans="8:8">
      <c r="H35129" t="s">
        <v>33562</v>
      </c>
    </row>
    <row r="35130" spans="8:8">
      <c r="H35130" t="s">
        <v>33563</v>
      </c>
    </row>
    <row r="35131" spans="8:8">
      <c r="H35131" t="s">
        <v>33564</v>
      </c>
    </row>
    <row r="35132" spans="8:8">
      <c r="H35132" t="s">
        <v>33565</v>
      </c>
    </row>
    <row r="35133" spans="8:8">
      <c r="H35133" t="s">
        <v>33566</v>
      </c>
    </row>
    <row r="35134" spans="8:8">
      <c r="H35134" t="s">
        <v>33567</v>
      </c>
    </row>
    <row r="35135" spans="8:8">
      <c r="H35135" t="s">
        <v>33568</v>
      </c>
    </row>
    <row r="35136" spans="8:8">
      <c r="H35136" t="s">
        <v>33569</v>
      </c>
    </row>
    <row r="35137" spans="6:8">
      <c r="H35137" t="s">
        <v>22590</v>
      </c>
    </row>
    <row r="35138" spans="6:8">
      <c r="H35138" t="s">
        <v>33570</v>
      </c>
    </row>
    <row r="35139" spans="6:8">
      <c r="F35139" t="s">
        <v>14130</v>
      </c>
      <c r="G35139" t="s">
        <v>18120</v>
      </c>
      <c r="H35139" t="s">
        <v>33571</v>
      </c>
    </row>
    <row r="35140" spans="6:8">
      <c r="F35140" t="s">
        <v>13758</v>
      </c>
      <c r="G35140" t="s">
        <v>17817</v>
      </c>
      <c r="H35140" t="s">
        <v>30899</v>
      </c>
    </row>
    <row r="35141" spans="6:8">
      <c r="H35141" t="s">
        <v>33572</v>
      </c>
    </row>
    <row r="35142" spans="6:8">
      <c r="H35142" t="s">
        <v>19721</v>
      </c>
    </row>
    <row r="35143" spans="6:8">
      <c r="H35143" t="s">
        <v>33573</v>
      </c>
    </row>
    <row r="35144" spans="6:8">
      <c r="H35144" t="s">
        <v>33574</v>
      </c>
    </row>
    <row r="35145" spans="6:8">
      <c r="H35145" t="s">
        <v>33575</v>
      </c>
    </row>
    <row r="35146" spans="6:8">
      <c r="H35146" t="s">
        <v>33576</v>
      </c>
    </row>
    <row r="35147" spans="6:8">
      <c r="H35147" t="s">
        <v>33577</v>
      </c>
    </row>
    <row r="35148" spans="6:8">
      <c r="H35148" t="s">
        <v>33578</v>
      </c>
    </row>
    <row r="35149" spans="6:8">
      <c r="H35149" t="s">
        <v>33579</v>
      </c>
    </row>
    <row r="35150" spans="6:8">
      <c r="H35150" t="s">
        <v>33580</v>
      </c>
    </row>
    <row r="35151" spans="6:8">
      <c r="H35151" t="s">
        <v>33581</v>
      </c>
    </row>
    <row r="35152" spans="6:8">
      <c r="H35152" t="s">
        <v>33582</v>
      </c>
    </row>
    <row r="35153" spans="8:8">
      <c r="H35153" t="s">
        <v>33583</v>
      </c>
    </row>
    <row r="35154" spans="8:8">
      <c r="H35154" t="s">
        <v>33584</v>
      </c>
    </row>
    <row r="35155" spans="8:8">
      <c r="H35155" t="s">
        <v>33585</v>
      </c>
    </row>
    <row r="35156" spans="8:8">
      <c r="H35156" t="s">
        <v>33586</v>
      </c>
    </row>
    <row r="35157" spans="8:8">
      <c r="H35157" t="s">
        <v>26758</v>
      </c>
    </row>
    <row r="35158" spans="8:8">
      <c r="H35158" t="s">
        <v>33587</v>
      </c>
    </row>
    <row r="35159" spans="8:8">
      <c r="H35159" t="s">
        <v>26759</v>
      </c>
    </row>
    <row r="35160" spans="8:8">
      <c r="H35160" t="s">
        <v>33588</v>
      </c>
    </row>
    <row r="35161" spans="8:8">
      <c r="H35161" t="s">
        <v>33589</v>
      </c>
    </row>
    <row r="35162" spans="8:8">
      <c r="H35162" t="s">
        <v>33590</v>
      </c>
    </row>
    <row r="35163" spans="8:8">
      <c r="H35163" t="s">
        <v>33591</v>
      </c>
    </row>
    <row r="35164" spans="8:8">
      <c r="H35164" t="s">
        <v>33592</v>
      </c>
    </row>
    <row r="35165" spans="8:8">
      <c r="H35165" t="s">
        <v>33593</v>
      </c>
    </row>
    <row r="35166" spans="8:8">
      <c r="H35166" t="s">
        <v>33594</v>
      </c>
    </row>
    <row r="35167" spans="8:8">
      <c r="H35167" t="s">
        <v>33595</v>
      </c>
    </row>
    <row r="35168" spans="8:8">
      <c r="H35168" t="s">
        <v>21323</v>
      </c>
    </row>
    <row r="35169" spans="8:8">
      <c r="H35169" t="s">
        <v>33596</v>
      </c>
    </row>
    <row r="35170" spans="8:8">
      <c r="H35170" t="s">
        <v>33596</v>
      </c>
    </row>
    <row r="35171" spans="8:8">
      <c r="H35171" t="s">
        <v>33597</v>
      </c>
    </row>
    <row r="35172" spans="8:8">
      <c r="H35172" t="s">
        <v>33598</v>
      </c>
    </row>
    <row r="35173" spans="8:8">
      <c r="H35173" t="s">
        <v>33599</v>
      </c>
    </row>
    <row r="35174" spans="8:8">
      <c r="H35174" t="s">
        <v>33600</v>
      </c>
    </row>
    <row r="35175" spans="8:8">
      <c r="H35175" t="s">
        <v>33601</v>
      </c>
    </row>
    <row r="35176" spans="8:8">
      <c r="H35176" t="s">
        <v>33602</v>
      </c>
    </row>
    <row r="35177" spans="8:8">
      <c r="H35177" t="s">
        <v>33586</v>
      </c>
    </row>
    <row r="35178" spans="8:8">
      <c r="H35178" t="s">
        <v>33603</v>
      </c>
    </row>
    <row r="35179" spans="8:8">
      <c r="H35179" t="s">
        <v>33604</v>
      </c>
    </row>
    <row r="35180" spans="8:8">
      <c r="H35180" t="s">
        <v>33605</v>
      </c>
    </row>
    <row r="35181" spans="8:8">
      <c r="H35181" t="s">
        <v>21400</v>
      </c>
    </row>
    <row r="35182" spans="8:8">
      <c r="H35182" t="s">
        <v>33606</v>
      </c>
    </row>
    <row r="35183" spans="8:8">
      <c r="H35183" t="s">
        <v>33607</v>
      </c>
    </row>
    <row r="35184" spans="8:8">
      <c r="H35184" t="s">
        <v>33608</v>
      </c>
    </row>
    <row r="35185" spans="1:8">
      <c r="A35185" t="s">
        <v>2991</v>
      </c>
      <c r="B35185">
        <f>HYPERLINK("https://android.googlesource.com/platform/cts/+/fec2d1dfb5f1ddc103930f4a705f7dd966bf6b49", "fec2d1dfb5f1ddc103930f4a705f7dd966bf6b49")</f>
        <v>0</v>
      </c>
      <c r="C35185">
        <f>HYPERLINK("https://android.googlesource.com/platform/cts/+/33f6d5733bdf2042fe89ad965ad7e3825b854121", "33f6d5733bdf2042fe89ad965ad7e3825b854121")</f>
        <v>0</v>
      </c>
      <c r="D35185" t="s">
        <v>5195</v>
      </c>
      <c r="E35185" t="s">
        <v>8713</v>
      </c>
      <c r="F35185" t="s">
        <v>14024</v>
      </c>
      <c r="G35185" t="s">
        <v>16875</v>
      </c>
      <c r="H35185" t="s">
        <v>33609</v>
      </c>
    </row>
    <row r="35186" spans="1:8">
      <c r="A35186" t="s">
        <v>2992</v>
      </c>
      <c r="B35186">
        <f>HYPERLINK("https://android.googlesource.com/platform/cts/+/b5f559ea401d58812b7865fa8c36dd1e9174ffef", "b5f559ea401d58812b7865fa8c36dd1e9174ffef")</f>
        <v>0</v>
      </c>
      <c r="C35186">
        <f>HYPERLINK("https://android.googlesource.com/platform/cts/+/50b5c3681c8d40eca56f2beb9e215421b9a9a286", "50b5c3681c8d40eca56f2beb9e215421b9a9a286")</f>
        <v>0</v>
      </c>
      <c r="D35186" t="s">
        <v>5272</v>
      </c>
      <c r="E35186" t="s">
        <v>8714</v>
      </c>
      <c r="F35186" t="s">
        <v>14131</v>
      </c>
      <c r="G35186" t="s">
        <v>18053</v>
      </c>
      <c r="H35186" t="s">
        <v>33110</v>
      </c>
    </row>
    <row r="35187" spans="1:8">
      <c r="A35187" t="s">
        <v>2993</v>
      </c>
      <c r="B35187">
        <f>HYPERLINK("https://android.googlesource.com/platform/cts/+/40cbd3cbf81766b620cdb1600d88c11f1e700da8", "40cbd3cbf81766b620cdb1600d88c11f1e700da8")</f>
        <v>0</v>
      </c>
      <c r="C35187">
        <f>HYPERLINK("https://android.googlesource.com/platform/cts/+/d9b7d4f050eb5e015923bf263c3e117cdeaab57e", "d9b7d4f050eb5e015923bf263c3e117cdeaab57e")</f>
        <v>0</v>
      </c>
      <c r="D35187" t="s">
        <v>5096</v>
      </c>
      <c r="E35187" t="s">
        <v>8715</v>
      </c>
      <c r="F35187" t="s">
        <v>14132</v>
      </c>
      <c r="G35187" t="s">
        <v>18121</v>
      </c>
      <c r="H35187" t="s">
        <v>33610</v>
      </c>
    </row>
    <row r="35188" spans="1:8">
      <c r="A35188" t="s">
        <v>2994</v>
      </c>
      <c r="B35188">
        <f>HYPERLINK("https://android.googlesource.com/platform/cts/+/07ec0b1162c09a8adad532c897f044c0f43f70d9", "07ec0b1162c09a8adad532c897f044c0f43f70d9")</f>
        <v>0</v>
      </c>
      <c r="C35188">
        <f>HYPERLINK("https://android.googlesource.com/platform/cts/+/40cbd3cbf81766b620cdb1600d88c11f1e700da8", "40cbd3cbf81766b620cdb1600d88c11f1e700da8")</f>
        <v>0</v>
      </c>
      <c r="D35188" t="s">
        <v>5096</v>
      </c>
      <c r="E35188" t="s">
        <v>8716</v>
      </c>
      <c r="F35188" t="s">
        <v>14132</v>
      </c>
      <c r="G35188" t="s">
        <v>18121</v>
      </c>
      <c r="H35188" t="s">
        <v>33611</v>
      </c>
    </row>
    <row r="35189" spans="1:8">
      <c r="H35189" t="s">
        <v>33612</v>
      </c>
    </row>
    <row r="35190" spans="1:8">
      <c r="H35190" t="s">
        <v>33613</v>
      </c>
    </row>
    <row r="35191" spans="1:8">
      <c r="H35191" t="s">
        <v>33614</v>
      </c>
    </row>
    <row r="35192" spans="1:8">
      <c r="H35192" t="s">
        <v>33615</v>
      </c>
    </row>
    <row r="35193" spans="1:8">
      <c r="A35193" t="s">
        <v>2995</v>
      </c>
      <c r="B35193">
        <f>HYPERLINK("https://android.googlesource.com/platform/cts/+/ed7ce0b2f9bc903cb4cdd828edf365e486c65fc5", "ed7ce0b2f9bc903cb4cdd828edf365e486c65fc5")</f>
        <v>0</v>
      </c>
      <c r="C35193">
        <f>HYPERLINK("https://android.googlesource.com/platform/cts/+/4630d23d545e6cf9cf60ede4164831f5cbf7aac2", "4630d23d545e6cf9cf60ede4164831f5cbf7aac2")</f>
        <v>0</v>
      </c>
      <c r="D35193" t="s">
        <v>5494</v>
      </c>
      <c r="E35193" t="s">
        <v>8717</v>
      </c>
      <c r="F35193" t="s">
        <v>14133</v>
      </c>
      <c r="G35193" t="s">
        <v>18122</v>
      </c>
      <c r="H35193" t="s">
        <v>33616</v>
      </c>
    </row>
    <row r="35194" spans="1:8">
      <c r="A35194" t="s">
        <v>2996</v>
      </c>
      <c r="B35194">
        <f>HYPERLINK("https://android.googlesource.com/platform/cts/+/afe2cb7724238e7701217476b902476b31941b15", "afe2cb7724238e7701217476b902476b31941b15")</f>
        <v>0</v>
      </c>
      <c r="C35194">
        <f>HYPERLINK("https://android.googlesource.com/platform/cts/+/2eb0d988e136c3796b9eeb5aef28afac68818f99", "2eb0d988e136c3796b9eeb5aef28afac68818f99")</f>
        <v>0</v>
      </c>
      <c r="D35194" t="s">
        <v>4981</v>
      </c>
      <c r="E35194" t="s">
        <v>8718</v>
      </c>
      <c r="F35194" t="s">
        <v>13225</v>
      </c>
      <c r="G35194" t="s">
        <v>17366</v>
      </c>
      <c r="H35194" t="s">
        <v>33617</v>
      </c>
    </row>
    <row r="35195" spans="1:8">
      <c r="A35195" t="s">
        <v>2997</v>
      </c>
      <c r="B35195">
        <f>HYPERLINK("https://android.googlesource.com/platform/cts/+/3e8c11a192a30d364700f234fa5ae981ecd347f8", "3e8c11a192a30d364700f234fa5ae981ecd347f8")</f>
        <v>0</v>
      </c>
      <c r="C35195">
        <f>HYPERLINK("https://android.googlesource.com/platform/cts/+/ed1b8285b94dc68f7afd9918d69d0922c65e9c2b", "ed1b8285b94dc68f7afd9918d69d0922c65e9c2b")</f>
        <v>0</v>
      </c>
      <c r="D35195" t="s">
        <v>5096</v>
      </c>
      <c r="E35195" t="s">
        <v>8719</v>
      </c>
      <c r="F35195" t="s">
        <v>14134</v>
      </c>
      <c r="G35195" t="s">
        <v>16863</v>
      </c>
      <c r="H35195" t="s">
        <v>33618</v>
      </c>
    </row>
    <row r="35196" spans="1:8">
      <c r="A35196" t="s">
        <v>2998</v>
      </c>
      <c r="B35196">
        <f>HYPERLINK("https://android.googlesource.com/platform/cts/+/eb86f4a3e4df80ac8b08c6215dd9a2f1ece41b72", "eb86f4a3e4df80ac8b08c6215dd9a2f1ece41b72")</f>
        <v>0</v>
      </c>
      <c r="C35196">
        <f>HYPERLINK("https://android.googlesource.com/platform/cts/+/f5dac30b105ca9959784dcb1ad503bd22d298805", "f5dac30b105ca9959784dcb1ad503bd22d298805")</f>
        <v>0</v>
      </c>
      <c r="D35196" t="s">
        <v>5244</v>
      </c>
      <c r="E35196" t="s">
        <v>8720</v>
      </c>
      <c r="F35196" t="s">
        <v>14065</v>
      </c>
      <c r="G35196" t="s">
        <v>18063</v>
      </c>
      <c r="H35196" t="s">
        <v>18863</v>
      </c>
    </row>
    <row r="35197" spans="1:8">
      <c r="H35197" t="s">
        <v>33619</v>
      </c>
    </row>
    <row r="35198" spans="1:8">
      <c r="H35198" t="s">
        <v>19933</v>
      </c>
    </row>
    <row r="35199" spans="1:8">
      <c r="H35199" t="s">
        <v>33620</v>
      </c>
    </row>
    <row r="35200" spans="1:8">
      <c r="A35200" t="s">
        <v>2999</v>
      </c>
      <c r="B35200">
        <f>HYPERLINK("https://android.googlesource.com/platform/cts/+/c59a2981727e0193d4ba7582ee0457078dd5af75", "c59a2981727e0193d4ba7582ee0457078dd5af75")</f>
        <v>0</v>
      </c>
      <c r="C35200">
        <f>HYPERLINK("https://android.googlesource.com/platform/cts/+/c0db8660d95bf9a6e141066af5714327c09b94e4", "c0db8660d95bf9a6e141066af5714327c09b94e4")</f>
        <v>0</v>
      </c>
      <c r="D35200" t="s">
        <v>5485</v>
      </c>
      <c r="E35200" t="s">
        <v>8721</v>
      </c>
      <c r="F35200" t="s">
        <v>14135</v>
      </c>
      <c r="G35200" t="s">
        <v>18123</v>
      </c>
      <c r="H35200" t="s">
        <v>33621</v>
      </c>
    </row>
    <row r="35201" spans="1:8">
      <c r="H35201" t="s">
        <v>33622</v>
      </c>
    </row>
    <row r="35202" spans="1:8">
      <c r="A35202" t="s">
        <v>3000</v>
      </c>
      <c r="B35202">
        <f>HYPERLINK("https://android.googlesource.com/platform/cts/+/1c95db2e84448b7164068c4b401f17966f6945d1", "1c95db2e84448b7164068c4b401f17966f6945d1")</f>
        <v>0</v>
      </c>
      <c r="C35202">
        <f>HYPERLINK("https://android.googlesource.com/platform/cts/+/ff85d9614ee5b1350bad1d70d90fc844fe412030", "ff85d9614ee5b1350bad1d70d90fc844fe412030")</f>
        <v>0</v>
      </c>
      <c r="D35202" t="s">
        <v>5108</v>
      </c>
      <c r="E35202" t="s">
        <v>8722</v>
      </c>
      <c r="F35202" t="s">
        <v>14055</v>
      </c>
      <c r="G35202" t="s">
        <v>17339</v>
      </c>
      <c r="H35202" t="s">
        <v>22581</v>
      </c>
    </row>
    <row r="35203" spans="1:8">
      <c r="F35203" t="s">
        <v>12665</v>
      </c>
      <c r="G35203" t="s">
        <v>16870</v>
      </c>
      <c r="H35203" t="s">
        <v>18829</v>
      </c>
    </row>
    <row r="35204" spans="1:8">
      <c r="H35204" t="s">
        <v>22581</v>
      </c>
    </row>
    <row r="35205" spans="1:8">
      <c r="H35205" t="s">
        <v>32566</v>
      </c>
    </row>
    <row r="35206" spans="1:8">
      <c r="A35206" t="s">
        <v>3001</v>
      </c>
      <c r="B35206">
        <f>HYPERLINK("https://android.googlesource.com/platform/cts/+/01d03c50305edda1446d747463d972011467f1c9", "01d03c50305edda1446d747463d972011467f1c9")</f>
        <v>0</v>
      </c>
      <c r="C35206">
        <f>HYPERLINK("https://android.googlesource.com/platform/cts/+/ba449f4bdd03eab5052a937712c19a8f40af3c03", "ba449f4bdd03eab5052a937712c19a8f40af3c03")</f>
        <v>0</v>
      </c>
      <c r="D35206" t="s">
        <v>5260</v>
      </c>
      <c r="E35206" t="s">
        <v>8723</v>
      </c>
      <c r="F35206" t="s">
        <v>10666</v>
      </c>
      <c r="G35206" t="s">
        <v>15067</v>
      </c>
      <c r="H35206" t="s">
        <v>33050</v>
      </c>
    </row>
    <row r="35207" spans="1:8">
      <c r="H35207" t="s">
        <v>33051</v>
      </c>
    </row>
    <row r="35208" spans="1:8">
      <c r="H35208" t="s">
        <v>33052</v>
      </c>
    </row>
    <row r="35209" spans="1:8">
      <c r="H35209" t="s">
        <v>33053</v>
      </c>
    </row>
    <row r="35210" spans="1:8">
      <c r="H35210" t="s">
        <v>33054</v>
      </c>
    </row>
    <row r="35211" spans="1:8">
      <c r="H35211" t="s">
        <v>33055</v>
      </c>
    </row>
    <row r="35212" spans="1:8">
      <c r="A35212" t="s">
        <v>3002</v>
      </c>
      <c r="B35212">
        <f>HYPERLINK("https://android.googlesource.com/platform/cts/+/c59890980266031bde48cae0e52cb07ecc5a5319", "c59890980266031bde48cae0e52cb07ecc5a5319")</f>
        <v>0</v>
      </c>
      <c r="C35212">
        <f>HYPERLINK("https://android.googlesource.com/platform/cts/+/49dacb566e75c8fec3ca38453d549dd6b9e3f964", "49dacb566e75c8fec3ca38453d549dd6b9e3f964")</f>
        <v>0</v>
      </c>
      <c r="D35212" t="s">
        <v>5472</v>
      </c>
      <c r="E35212" t="s">
        <v>8724</v>
      </c>
      <c r="F35212" t="s">
        <v>14136</v>
      </c>
      <c r="G35212" t="s">
        <v>18124</v>
      </c>
      <c r="H35212" t="s">
        <v>33623</v>
      </c>
    </row>
    <row r="35213" spans="1:8">
      <c r="F35213" t="s">
        <v>14137</v>
      </c>
      <c r="G35213" t="s">
        <v>18125</v>
      </c>
      <c r="H35213" t="s">
        <v>33624</v>
      </c>
    </row>
    <row r="35214" spans="1:8">
      <c r="F35214" t="s">
        <v>12743</v>
      </c>
      <c r="G35214" t="s">
        <v>16935</v>
      </c>
      <c r="H35214" t="s">
        <v>33623</v>
      </c>
    </row>
    <row r="35215" spans="1:8">
      <c r="H35215" t="s">
        <v>33624</v>
      </c>
    </row>
    <row r="35216" spans="1:8">
      <c r="F35216" t="s">
        <v>13136</v>
      </c>
      <c r="G35216" t="s">
        <v>17293</v>
      </c>
      <c r="H35216" t="s">
        <v>33623</v>
      </c>
    </row>
    <row r="35217" spans="1:8">
      <c r="H35217" t="s">
        <v>33624</v>
      </c>
    </row>
    <row r="35218" spans="1:8">
      <c r="F35218" t="s">
        <v>12745</v>
      </c>
      <c r="G35218" t="s">
        <v>16937</v>
      </c>
      <c r="H35218" t="s">
        <v>33624</v>
      </c>
    </row>
    <row r="35219" spans="1:8">
      <c r="A35219" t="s">
        <v>3003</v>
      </c>
      <c r="B35219">
        <f>HYPERLINK("https://android.googlesource.com/platform/cts/+/0506f98267f5134fb7b95a87caf8c62b08aba3d4", "0506f98267f5134fb7b95a87caf8c62b08aba3d4")</f>
        <v>0</v>
      </c>
      <c r="C35219">
        <f>HYPERLINK("https://android.googlesource.com/platform/cts/+/99fea9e2f95d2335ed2e9defd8ad3fda94e5ff39", "99fea9e2f95d2335ed2e9defd8ad3fda94e5ff39")</f>
        <v>0</v>
      </c>
      <c r="D35219" t="s">
        <v>5244</v>
      </c>
      <c r="E35219" t="s">
        <v>8725</v>
      </c>
      <c r="F35219" t="s">
        <v>14065</v>
      </c>
      <c r="G35219" t="s">
        <v>18063</v>
      </c>
      <c r="H35219" t="s">
        <v>33625</v>
      </c>
    </row>
    <row r="35220" spans="1:8">
      <c r="H35220" t="s">
        <v>33626</v>
      </c>
    </row>
    <row r="35221" spans="1:8">
      <c r="A35221" t="s">
        <v>3005</v>
      </c>
      <c r="B35221">
        <f>HYPERLINK("https://android.googlesource.com/platform/cts/+/8acdac579558fa133dbb661ed001366b324774f8", "8acdac579558fa133dbb661ed001366b324774f8")</f>
        <v>0</v>
      </c>
      <c r="C35221">
        <f>HYPERLINK("https://android.googlesource.com/platform/cts/+/64e116df3192299b266289f1b235fcab29317c6a", "64e116df3192299b266289f1b235fcab29317c6a")</f>
        <v>0</v>
      </c>
      <c r="D35221" t="s">
        <v>5495</v>
      </c>
      <c r="E35221" t="s">
        <v>8727</v>
      </c>
      <c r="F35221" t="s">
        <v>14138</v>
      </c>
      <c r="G35221" t="s">
        <v>18126</v>
      </c>
      <c r="H35221" t="s">
        <v>33627</v>
      </c>
    </row>
    <row r="35222" spans="1:8">
      <c r="H35222" t="s">
        <v>33628</v>
      </c>
    </row>
    <row r="35223" spans="1:8">
      <c r="H35223" t="s">
        <v>33629</v>
      </c>
    </row>
    <row r="35224" spans="1:8">
      <c r="H35224" t="s">
        <v>33630</v>
      </c>
    </row>
    <row r="35225" spans="1:8">
      <c r="H35225" t="s">
        <v>33631</v>
      </c>
    </row>
    <row r="35226" spans="1:8">
      <c r="F35226" t="s">
        <v>12629</v>
      </c>
      <c r="G35226" t="s">
        <v>16838</v>
      </c>
      <c r="H35226" t="s">
        <v>33627</v>
      </c>
    </row>
    <row r="35227" spans="1:8">
      <c r="F35227" t="s">
        <v>12768</v>
      </c>
      <c r="G35227" t="s">
        <v>15710</v>
      </c>
      <c r="H35227" t="s">
        <v>33632</v>
      </c>
    </row>
    <row r="35228" spans="1:8">
      <c r="H35228" t="s">
        <v>33633</v>
      </c>
    </row>
    <row r="35229" spans="1:8">
      <c r="A35229" t="s">
        <v>3006</v>
      </c>
      <c r="B35229">
        <f>HYPERLINK("https://android.googlesource.com/platform/cts/+/cc2df551525d564950c4b0c74dc265efa2c03034", "cc2df551525d564950c4b0c74dc265efa2c03034")</f>
        <v>0</v>
      </c>
      <c r="C35229">
        <f>HYPERLINK("https://android.googlesource.com/platform/cts/+/fbbeba6bb9268d1666eb85b4bd16e9fe7a4db140", "fbbeba6bb9268d1666eb85b4bd16e9fe7a4db140")</f>
        <v>0</v>
      </c>
      <c r="D35229" t="s">
        <v>5148</v>
      </c>
      <c r="E35229" t="s">
        <v>8728</v>
      </c>
      <c r="F35229" t="s">
        <v>14139</v>
      </c>
      <c r="G35229" t="s">
        <v>18127</v>
      </c>
      <c r="H35229" t="s">
        <v>33634</v>
      </c>
    </row>
    <row r="35230" spans="1:8">
      <c r="A35230" t="s">
        <v>3007</v>
      </c>
      <c r="B35230">
        <f>HYPERLINK("https://android.googlesource.com/platform/cts/+/b82dca1add69f1c61444f027b40a540b25801dca", "b82dca1add69f1c61444f027b40a540b25801dca")</f>
        <v>0</v>
      </c>
      <c r="C35230">
        <f>HYPERLINK("https://android.googlesource.com/platform/cts/+/9746968f7fa01dca0b56ea0dc65e7f0a0d6ff2e1", "9746968f7fa01dca0b56ea0dc65e7f0a0d6ff2e1")</f>
        <v>0</v>
      </c>
      <c r="D35230" t="s">
        <v>5344</v>
      </c>
      <c r="E35230" t="s">
        <v>8729</v>
      </c>
      <c r="F35230" t="s">
        <v>13402</v>
      </c>
      <c r="G35230" t="s">
        <v>17528</v>
      </c>
      <c r="H35230" t="s">
        <v>33635</v>
      </c>
    </row>
    <row r="35231" spans="1:8">
      <c r="A35231" t="s">
        <v>3008</v>
      </c>
      <c r="B35231">
        <f>HYPERLINK("https://android.googlesource.com/platform/cts/+/97bf764630ad899ff7a179042dd9727117413bdc", "97bf764630ad899ff7a179042dd9727117413bdc")</f>
        <v>0</v>
      </c>
      <c r="C35231">
        <f>HYPERLINK("https://android.googlesource.com/platform/cts/+/0846894b0d4b1e6bcbc00d53a482279064843dc7", "0846894b0d4b1e6bcbc00d53a482279064843dc7")</f>
        <v>0</v>
      </c>
      <c r="D35231" t="s">
        <v>5263</v>
      </c>
      <c r="E35231" t="s">
        <v>8730</v>
      </c>
      <c r="F35231" t="s">
        <v>14140</v>
      </c>
      <c r="G35231" t="s">
        <v>18128</v>
      </c>
      <c r="H35231" t="s">
        <v>33636</v>
      </c>
    </row>
    <row r="35232" spans="1:8">
      <c r="A35232" t="s">
        <v>3009</v>
      </c>
      <c r="B35232">
        <f>HYPERLINK("https://android.googlesource.com/platform/cts/+/8fee40a9bd3333c1db63a55abb5b692ae59b9a90", "8fee40a9bd3333c1db63a55abb5b692ae59b9a90")</f>
        <v>0</v>
      </c>
      <c r="C35232">
        <f>HYPERLINK("https://android.googlesource.com/platform/cts/+/daa081af3c6243d1e7a65abe1c729f33da26b028", "daa081af3c6243d1e7a65abe1c729f33da26b028")</f>
        <v>0</v>
      </c>
      <c r="D35232" t="s">
        <v>5353</v>
      </c>
      <c r="E35232" t="s">
        <v>8731</v>
      </c>
      <c r="F35232" t="s">
        <v>12809</v>
      </c>
      <c r="G35232" t="s">
        <v>16990</v>
      </c>
      <c r="H35232" t="s">
        <v>33637</v>
      </c>
    </row>
    <row r="35233" spans="1:8">
      <c r="F35233" t="s">
        <v>12771</v>
      </c>
      <c r="G35233" t="s">
        <v>16958</v>
      </c>
      <c r="H35233" t="s">
        <v>33637</v>
      </c>
    </row>
    <row r="35234" spans="1:8">
      <c r="A35234" t="s">
        <v>3011</v>
      </c>
      <c r="B35234">
        <f>HYPERLINK("https://android.googlesource.com/platform/cts/+/5b8ca384dcf6af547fd90c907ec9cabe90acd9dc", "5b8ca384dcf6af547fd90c907ec9cabe90acd9dc")</f>
        <v>0</v>
      </c>
      <c r="C35234">
        <f>HYPERLINK("https://android.googlesource.com/platform/cts/+/a02c4a8a6a9327903b95bb2072d7cee70e4b4650", "a02c4a8a6a9327903b95bb2072d7cee70e4b4650")</f>
        <v>0</v>
      </c>
      <c r="D35234" t="s">
        <v>5492</v>
      </c>
      <c r="E35234" t="s">
        <v>8733</v>
      </c>
      <c r="F35234" t="s">
        <v>13816</v>
      </c>
      <c r="G35234" t="s">
        <v>15089</v>
      </c>
      <c r="H35234" t="s">
        <v>33638</v>
      </c>
    </row>
    <row r="35235" spans="1:8">
      <c r="A35235" t="s">
        <v>3012</v>
      </c>
      <c r="B35235">
        <f>HYPERLINK("https://android.googlesource.com/platform/cts/+/431a17c36b6a49c9c815f1b41a908f2c03df97d6", "431a17c36b6a49c9c815f1b41a908f2c03df97d6")</f>
        <v>0</v>
      </c>
      <c r="C35235">
        <f>HYPERLINK("https://android.googlesource.com/platform/cts/+/d72c8d258a3494c49ab03be456e15aca65d893a2", "d72c8d258a3494c49ab03be456e15aca65d893a2")</f>
        <v>0</v>
      </c>
      <c r="D35235" t="s">
        <v>5298</v>
      </c>
      <c r="E35235" t="s">
        <v>8734</v>
      </c>
      <c r="F35235" t="s">
        <v>14141</v>
      </c>
      <c r="G35235" t="s">
        <v>18129</v>
      </c>
      <c r="H35235" t="s">
        <v>20083</v>
      </c>
    </row>
    <row r="35236" spans="1:8">
      <c r="H35236" t="s">
        <v>29082</v>
      </c>
    </row>
    <row r="35237" spans="1:8">
      <c r="H35237" t="s">
        <v>33639</v>
      </c>
    </row>
    <row r="35238" spans="1:8">
      <c r="H35238" t="s">
        <v>33640</v>
      </c>
    </row>
    <row r="35239" spans="1:8">
      <c r="H35239" t="s">
        <v>33641</v>
      </c>
    </row>
    <row r="35240" spans="1:8">
      <c r="H35240" t="s">
        <v>33256</v>
      </c>
    </row>
    <row r="35241" spans="1:8">
      <c r="F35241" t="s">
        <v>14142</v>
      </c>
      <c r="G35241" t="s">
        <v>18130</v>
      </c>
      <c r="H35241" t="s">
        <v>33642</v>
      </c>
    </row>
    <row r="35242" spans="1:8">
      <c r="H35242" t="s">
        <v>33643</v>
      </c>
    </row>
    <row r="35243" spans="1:8">
      <c r="H35243" t="s">
        <v>33644</v>
      </c>
    </row>
    <row r="35244" spans="1:8">
      <c r="A35244" t="s">
        <v>3013</v>
      </c>
      <c r="B35244">
        <f>HYPERLINK("https://android.googlesource.com/platform/cts/+/8b3e3b39a1311c8934cc694498f5c853671f8039", "8b3e3b39a1311c8934cc694498f5c853671f8039")</f>
        <v>0</v>
      </c>
      <c r="C35244">
        <f>HYPERLINK("https://android.googlesource.com/platform/cts/+/79a22b0f5a7cbfd439918824b05197a19ce2ac62", "79a22b0f5a7cbfd439918824b05197a19ce2ac62")</f>
        <v>0</v>
      </c>
      <c r="D35244" t="s">
        <v>5374</v>
      </c>
      <c r="E35244" t="s">
        <v>8735</v>
      </c>
      <c r="F35244" t="s">
        <v>13165</v>
      </c>
      <c r="G35244" t="s">
        <v>17315</v>
      </c>
      <c r="H35244" t="s">
        <v>33645</v>
      </c>
    </row>
    <row r="35245" spans="1:8">
      <c r="H35245" t="s">
        <v>33646</v>
      </c>
    </row>
    <row r="35246" spans="1:8">
      <c r="A35246" t="s">
        <v>3015</v>
      </c>
      <c r="B35246">
        <f>HYPERLINK("https://android.googlesource.com/platform/cts/+/d21fb436ed0a5b65715f57f6858b03db6dd5cd42", "d21fb436ed0a5b65715f57f6858b03db6dd5cd42")</f>
        <v>0</v>
      </c>
      <c r="C35246">
        <f>HYPERLINK("https://android.googlesource.com/platform/cts/+/6513f90f1830a14c3206d7fef00e2ea74092b327", "6513f90f1830a14c3206d7fef00e2ea74092b327")</f>
        <v>0</v>
      </c>
      <c r="D35246" t="s">
        <v>5096</v>
      </c>
      <c r="E35246" t="s">
        <v>8737</v>
      </c>
      <c r="F35246" t="s">
        <v>14143</v>
      </c>
      <c r="G35246" t="s">
        <v>18131</v>
      </c>
      <c r="H35246" t="s">
        <v>33647</v>
      </c>
    </row>
    <row r="35247" spans="1:8">
      <c r="A35247" t="s">
        <v>3016</v>
      </c>
      <c r="B35247">
        <f>HYPERLINK("https://android.googlesource.com/platform/cts/+/742d846d447c0cbe14b7ec23ef9a6b4a1937c2db", "742d846d447c0cbe14b7ec23ef9a6b4a1937c2db")</f>
        <v>0</v>
      </c>
      <c r="C35247">
        <f>HYPERLINK("https://android.googlesource.com/platform/cts/+/4b78bcd343e24277b30b90ae0fbabc01ecd38c60", "4b78bcd343e24277b30b90ae0fbabc01ecd38c60")</f>
        <v>0</v>
      </c>
      <c r="D35247" t="s">
        <v>5389</v>
      </c>
      <c r="E35247" t="s">
        <v>8738</v>
      </c>
      <c r="F35247" t="s">
        <v>12897</v>
      </c>
      <c r="G35247" t="s">
        <v>16824</v>
      </c>
      <c r="H35247" t="s">
        <v>33648</v>
      </c>
    </row>
    <row r="35248" spans="1:8">
      <c r="H35248" t="s">
        <v>33649</v>
      </c>
    </row>
    <row r="35249" spans="1:8">
      <c r="F35249" t="s">
        <v>13992</v>
      </c>
      <c r="G35249" t="s">
        <v>16620</v>
      </c>
      <c r="H35249" t="s">
        <v>33650</v>
      </c>
    </row>
    <row r="35250" spans="1:8">
      <c r="H35250" t="s">
        <v>33651</v>
      </c>
    </row>
    <row r="35251" spans="1:8">
      <c r="F35251" t="s">
        <v>13816</v>
      </c>
      <c r="G35251" t="s">
        <v>15089</v>
      </c>
      <c r="H35251" t="s">
        <v>33652</v>
      </c>
    </row>
    <row r="35252" spans="1:8">
      <c r="H35252" t="s">
        <v>33653</v>
      </c>
    </row>
    <row r="35253" spans="1:8">
      <c r="H35253" t="s">
        <v>33654</v>
      </c>
    </row>
    <row r="35254" spans="1:8">
      <c r="H35254" t="s">
        <v>33655</v>
      </c>
    </row>
    <row r="35255" spans="1:8">
      <c r="A35255" t="s">
        <v>3017</v>
      </c>
      <c r="B35255">
        <f>HYPERLINK("https://android.googlesource.com/platform/cts/+/10c0c6699cdabec767a07c80962ab1f6def98ec7", "10c0c6699cdabec767a07c80962ab1f6def98ec7")</f>
        <v>0</v>
      </c>
      <c r="C35255">
        <f>HYPERLINK("https://android.googlesource.com/platform/cts/+/c09f046a08ac7e71f927aab69a6c33443ae8358f", "c09f046a08ac7e71f927aab69a6c33443ae8358f")</f>
        <v>0</v>
      </c>
      <c r="D35255" t="s">
        <v>5496</v>
      </c>
      <c r="E35255" t="s">
        <v>8739</v>
      </c>
      <c r="F35255" t="s">
        <v>14144</v>
      </c>
      <c r="G35255" t="s">
        <v>18132</v>
      </c>
      <c r="H35255" t="s">
        <v>19930</v>
      </c>
    </row>
    <row r="35256" spans="1:8">
      <c r="H35256" t="s">
        <v>33656</v>
      </c>
    </row>
    <row r="35257" spans="1:8">
      <c r="H35257" t="s">
        <v>33657</v>
      </c>
    </row>
    <row r="35258" spans="1:8">
      <c r="H35258" t="s">
        <v>33658</v>
      </c>
    </row>
    <row r="35259" spans="1:8">
      <c r="H35259" t="s">
        <v>33659</v>
      </c>
    </row>
    <row r="35260" spans="1:8">
      <c r="A35260" t="s">
        <v>3018</v>
      </c>
      <c r="B35260">
        <f>HYPERLINK("https://android.googlesource.com/platform/cts/+/28f717b227f801799dabcb1b105fd77fde32b5da", "28f717b227f801799dabcb1b105fd77fde32b5da")</f>
        <v>0</v>
      </c>
      <c r="C35260">
        <f>HYPERLINK("https://android.googlesource.com/platform/cts/+/46cfea1d50b9b8fd085e99b7e73188856e955a5e", "46cfea1d50b9b8fd085e99b7e73188856e955a5e")</f>
        <v>0</v>
      </c>
      <c r="D35260" t="s">
        <v>5497</v>
      </c>
      <c r="E35260" t="s">
        <v>8740</v>
      </c>
      <c r="F35260" t="s">
        <v>14145</v>
      </c>
      <c r="G35260" t="s">
        <v>18133</v>
      </c>
      <c r="H35260" t="s">
        <v>33660</v>
      </c>
    </row>
    <row r="35261" spans="1:8">
      <c r="A35261" t="s">
        <v>3019</v>
      </c>
      <c r="B35261">
        <f>HYPERLINK("https://android.googlesource.com/platform/cts/+/0348914459ba54f9b059ffde5e8c7e3924f86a65", "0348914459ba54f9b059ffde5e8c7e3924f86a65")</f>
        <v>0</v>
      </c>
      <c r="C35261">
        <f>HYPERLINK("https://android.googlesource.com/platform/cts/+/4eb5b9ddd2499d93aed357b53313d611915ca49b", "4eb5b9ddd2499d93aed357b53313d611915ca49b")</f>
        <v>0</v>
      </c>
      <c r="D35261" t="s">
        <v>5363</v>
      </c>
      <c r="E35261" t="s">
        <v>8741</v>
      </c>
      <c r="F35261" t="s">
        <v>14146</v>
      </c>
      <c r="G35261" t="s">
        <v>18134</v>
      </c>
      <c r="H35261" t="s">
        <v>32901</v>
      </c>
    </row>
    <row r="35262" spans="1:8">
      <c r="A35262" t="s">
        <v>3020</v>
      </c>
      <c r="B35262">
        <f>HYPERLINK("https://android.googlesource.com/platform/cts/+/387842de5107d186619035483e89b40e97c49757", "387842de5107d186619035483e89b40e97c49757")</f>
        <v>0</v>
      </c>
      <c r="C35262">
        <f>HYPERLINK("https://android.googlesource.com/platform/cts/+/56a12fbf6b7362c8801ae7d58b253ffa1fd30ef0", "56a12fbf6b7362c8801ae7d58b253ffa1fd30ef0")</f>
        <v>0</v>
      </c>
      <c r="D35262" t="s">
        <v>5374</v>
      </c>
      <c r="E35262" t="s">
        <v>8742</v>
      </c>
      <c r="F35262" t="s">
        <v>12733</v>
      </c>
      <c r="G35262" t="s">
        <v>16854</v>
      </c>
      <c r="H35262" t="s">
        <v>33661</v>
      </c>
    </row>
    <row r="35263" spans="1:8">
      <c r="H35263" t="s">
        <v>33662</v>
      </c>
    </row>
    <row r="35264" spans="1:8">
      <c r="A35264" t="s">
        <v>3021</v>
      </c>
      <c r="B35264">
        <f>HYPERLINK("https://android.googlesource.com/platform/cts/+/edacbc2d13ac5ba68863a10f1e7cd2b331d7ed0c", "edacbc2d13ac5ba68863a10f1e7cd2b331d7ed0c")</f>
        <v>0</v>
      </c>
      <c r="C35264">
        <f>HYPERLINK("https://android.googlesource.com/platform/cts/+/4517d6673ca6fb5f335ecfc2df0a5ff34a5c1cf1", "4517d6673ca6fb5f335ecfc2df0a5ff34a5c1cf1")</f>
        <v>0</v>
      </c>
      <c r="D35264" t="s">
        <v>5498</v>
      </c>
      <c r="E35264" t="s">
        <v>8743</v>
      </c>
      <c r="F35264" t="s">
        <v>14147</v>
      </c>
      <c r="G35264" t="s">
        <v>18135</v>
      </c>
      <c r="H35264" t="s">
        <v>19175</v>
      </c>
    </row>
    <row r="35265" spans="1:8">
      <c r="H35265" t="s">
        <v>33663</v>
      </c>
    </row>
    <row r="35266" spans="1:8">
      <c r="A35266" t="s">
        <v>3022</v>
      </c>
      <c r="B35266">
        <f>HYPERLINK("https://android.googlesource.com/platform/cts/+/31f7fe5296db62c4c4fe6a63a6d02937c738f981", "31f7fe5296db62c4c4fe6a63a6d02937c738f981")</f>
        <v>0</v>
      </c>
      <c r="C35266">
        <f>HYPERLINK("https://android.googlesource.com/platform/cts/+/aeb6702f8f752164577069cf54cd9b7196d5a6f8", "aeb6702f8f752164577069cf54cd9b7196d5a6f8")</f>
        <v>0</v>
      </c>
      <c r="D35266" t="s">
        <v>5263</v>
      </c>
      <c r="E35266" t="s">
        <v>8744</v>
      </c>
      <c r="F35266" t="s">
        <v>14140</v>
      </c>
      <c r="G35266" t="s">
        <v>18128</v>
      </c>
      <c r="H35266" t="s">
        <v>33664</v>
      </c>
    </row>
    <row r="35267" spans="1:8">
      <c r="A35267" t="s">
        <v>3023</v>
      </c>
      <c r="B35267">
        <f>HYPERLINK("https://android.googlesource.com/platform/cts/+/e5308a346c1f721ad4273a324d637c644d3f2848", "e5308a346c1f721ad4273a324d637c644d3f2848")</f>
        <v>0</v>
      </c>
      <c r="C35267">
        <f>HYPERLINK("https://android.googlesource.com/platform/cts/+/69a1926280355194514a78960c461f259516c998", "69a1926280355194514a78960c461f259516c998")</f>
        <v>0</v>
      </c>
      <c r="D35267" t="s">
        <v>5499</v>
      </c>
      <c r="E35267" t="s">
        <v>8745</v>
      </c>
      <c r="F35267" t="s">
        <v>12239</v>
      </c>
      <c r="G35267" t="s">
        <v>16469</v>
      </c>
      <c r="H35267" t="s">
        <v>33665</v>
      </c>
    </row>
    <row r="35268" spans="1:8">
      <c r="A35268" t="s">
        <v>3024</v>
      </c>
      <c r="B35268">
        <f>HYPERLINK("https://android.googlesource.com/platform/cts/+/f912225e90b6a2b605c0ee284575859fb800fb4e", "f912225e90b6a2b605c0ee284575859fb800fb4e")</f>
        <v>0</v>
      </c>
      <c r="C35268">
        <f>HYPERLINK("https://android.googlesource.com/platform/cts/+/69a1926280355194514a78960c461f259516c998", "69a1926280355194514a78960c461f259516c998")</f>
        <v>0</v>
      </c>
      <c r="D35268" t="s">
        <v>5396</v>
      </c>
      <c r="E35268" t="s">
        <v>8746</v>
      </c>
      <c r="F35268" t="s">
        <v>14051</v>
      </c>
      <c r="G35268" t="s">
        <v>18050</v>
      </c>
      <c r="H35268" t="s">
        <v>33666</v>
      </c>
    </row>
    <row r="35269" spans="1:8">
      <c r="H35269" t="s">
        <v>33667</v>
      </c>
    </row>
    <row r="35270" spans="1:8">
      <c r="A35270" t="s">
        <v>3026</v>
      </c>
      <c r="B35270">
        <f>HYPERLINK("https://android.googlesource.com/platform/cts/+/1dccf8810dbf5fc9e14a0a1f9f290bfe57da6a58", "1dccf8810dbf5fc9e14a0a1f9f290bfe57da6a58")</f>
        <v>0</v>
      </c>
      <c r="C35270">
        <f>HYPERLINK("https://android.googlesource.com/platform/cts/+/aa9cdd2beeeb2f44c0d299464a092f66b12a39b1", "aa9cdd2beeeb2f44c0d299464a092f66b12a39b1")</f>
        <v>0</v>
      </c>
      <c r="D35270" t="s">
        <v>5135</v>
      </c>
      <c r="E35270" t="s">
        <v>8748</v>
      </c>
      <c r="F35270" t="s">
        <v>12772</v>
      </c>
      <c r="G35270" t="s">
        <v>16543</v>
      </c>
      <c r="H35270" t="s">
        <v>33668</v>
      </c>
    </row>
    <row r="35271" spans="1:8">
      <c r="H35271" t="s">
        <v>33669</v>
      </c>
    </row>
    <row r="35272" spans="1:8">
      <c r="A35272" t="s">
        <v>3027</v>
      </c>
      <c r="B35272">
        <f>HYPERLINK("https://android.googlesource.com/platform/cts/+/945a2263bca8dd2b532cad8cdc6351ef9757cf51", "945a2263bca8dd2b532cad8cdc6351ef9757cf51")</f>
        <v>0</v>
      </c>
      <c r="C35272">
        <f>HYPERLINK("https://android.googlesource.com/platform/cts/+/29e416738d03780dfff3213eb6eadcf2e688732a", "29e416738d03780dfff3213eb6eadcf2e688732a")</f>
        <v>0</v>
      </c>
      <c r="D35272" t="s">
        <v>5438</v>
      </c>
      <c r="E35272" t="s">
        <v>8749</v>
      </c>
      <c r="F35272" t="s">
        <v>14148</v>
      </c>
      <c r="G35272" t="s">
        <v>18136</v>
      </c>
      <c r="H35272" t="s">
        <v>33670</v>
      </c>
    </row>
    <row r="35273" spans="1:8">
      <c r="A35273" t="s">
        <v>3028</v>
      </c>
      <c r="B35273">
        <f>HYPERLINK("https://android.googlesource.com/platform/cts/+/671791634ad0eecd56c6fed3bd3ed16257676267", "671791634ad0eecd56c6fed3bd3ed16257676267")</f>
        <v>0</v>
      </c>
      <c r="C35273">
        <f>HYPERLINK("https://android.googlesource.com/platform/cts/+/d87e04f2caa693daa3f1eeae9eb5f94b32278825", "d87e04f2caa693daa3f1eeae9eb5f94b32278825")</f>
        <v>0</v>
      </c>
      <c r="D35273" t="s">
        <v>5051</v>
      </c>
      <c r="E35273" t="s">
        <v>8750</v>
      </c>
      <c r="F35273" t="s">
        <v>14149</v>
      </c>
      <c r="G35273" t="s">
        <v>18137</v>
      </c>
      <c r="H35273" t="s">
        <v>19981</v>
      </c>
    </row>
    <row r="35274" spans="1:8">
      <c r="H35274" t="s">
        <v>33671</v>
      </c>
    </row>
    <row r="35275" spans="1:8">
      <c r="H35275" t="s">
        <v>33672</v>
      </c>
    </row>
    <row r="35276" spans="1:8">
      <c r="A35276" t="s">
        <v>3029</v>
      </c>
      <c r="B35276">
        <f>HYPERLINK("https://android.googlesource.com/platform/cts/+/010b529a32709ec87fe72ae0caaabe9457c914dc", "010b529a32709ec87fe72ae0caaabe9457c914dc")</f>
        <v>0</v>
      </c>
      <c r="C35276">
        <f>HYPERLINK("https://android.googlesource.com/platform/cts/+/b92708f85749d870b27ae8a96aac4110f557da80", "b92708f85749d870b27ae8a96aac4110f557da80")</f>
        <v>0</v>
      </c>
      <c r="D35276" t="s">
        <v>5363</v>
      </c>
      <c r="E35276" t="s">
        <v>8751</v>
      </c>
      <c r="F35276" t="s">
        <v>14150</v>
      </c>
      <c r="G35276" t="s">
        <v>18138</v>
      </c>
      <c r="H35276" t="s">
        <v>33673</v>
      </c>
    </row>
    <row r="35277" spans="1:8">
      <c r="A35277" t="s">
        <v>3030</v>
      </c>
      <c r="B35277">
        <f>HYPERLINK("https://android.googlesource.com/platform/cts/+/8e992996bdc78bcc7479e04c376b97e1bc3f0061", "8e992996bdc78bcc7479e04c376b97e1bc3f0061")</f>
        <v>0</v>
      </c>
      <c r="C35277">
        <f>HYPERLINK("https://android.googlesource.com/platform/cts/+/7c8104b2ea854ce1aa5d7940723d8c5eeab03589", "7c8104b2ea854ce1aa5d7940723d8c5eeab03589")</f>
        <v>0</v>
      </c>
      <c r="D35277" t="s">
        <v>5500</v>
      </c>
      <c r="E35277" t="s">
        <v>8752</v>
      </c>
      <c r="F35277" t="s">
        <v>14151</v>
      </c>
      <c r="G35277" t="s">
        <v>18139</v>
      </c>
      <c r="H35277" t="s">
        <v>33606</v>
      </c>
    </row>
    <row r="35278" spans="1:8">
      <c r="A35278" t="s">
        <v>3031</v>
      </c>
      <c r="B35278">
        <f>HYPERLINK("https://android.googlesource.com/platform/cts/+/d2e0b3bda26616429d5e3e6a5960cffa50950a35", "d2e0b3bda26616429d5e3e6a5960cffa50950a35")</f>
        <v>0</v>
      </c>
      <c r="C35278">
        <f>HYPERLINK("https://android.googlesource.com/platform/cts/+/69a1926280355194514a78960c461f259516c998", "69a1926280355194514a78960c461f259516c998")</f>
        <v>0</v>
      </c>
      <c r="D35278" t="s">
        <v>5465</v>
      </c>
      <c r="E35278" t="s">
        <v>8753</v>
      </c>
      <c r="F35278" t="s">
        <v>14152</v>
      </c>
      <c r="G35278" t="s">
        <v>18052</v>
      </c>
      <c r="H35278" t="s">
        <v>33674</v>
      </c>
    </row>
    <row r="35279" spans="1:8">
      <c r="F35279" t="s">
        <v>14153</v>
      </c>
      <c r="G35279" t="s">
        <v>18140</v>
      </c>
      <c r="H35279" t="s">
        <v>33674</v>
      </c>
    </row>
    <row r="35280" spans="1:8">
      <c r="A35280" t="s">
        <v>3032</v>
      </c>
      <c r="B35280">
        <f>HYPERLINK("https://android.googlesource.com/platform/cts/+/6425a32f2ca122e2c926e4c6e65a6ebe58e3ff1d", "6425a32f2ca122e2c926e4c6e65a6ebe58e3ff1d")</f>
        <v>0</v>
      </c>
      <c r="C35280">
        <f>HYPERLINK("https://android.googlesource.com/platform/cts/+/ac88cea396505f1ca96c9b80fc247fe96eaa0e5c", "ac88cea396505f1ca96c9b80fc247fe96eaa0e5c")</f>
        <v>0</v>
      </c>
      <c r="D35280" t="s">
        <v>4978</v>
      </c>
      <c r="E35280" t="s">
        <v>8754</v>
      </c>
      <c r="F35280" t="s">
        <v>13391</v>
      </c>
      <c r="G35280" t="s">
        <v>17517</v>
      </c>
      <c r="H35280" t="s">
        <v>33675</v>
      </c>
    </row>
    <row r="35281" spans="1:8">
      <c r="A35281" t="s">
        <v>3034</v>
      </c>
      <c r="B35281">
        <f>HYPERLINK("https://android.googlesource.com/platform/cts/+/f0fe8c545f920e93c5fe706b377223648c8b5ba8", "f0fe8c545f920e93c5fe706b377223648c8b5ba8")</f>
        <v>0</v>
      </c>
      <c r="C35281">
        <f>HYPERLINK("https://android.googlesource.com/platform/cts/+/56ee5b1ac4419952784fafd1baf1483f3c467494", "56ee5b1ac4419952784fafd1baf1483f3c467494")</f>
        <v>0</v>
      </c>
      <c r="D35281" t="s">
        <v>5447</v>
      </c>
      <c r="E35281" t="s">
        <v>8756</v>
      </c>
      <c r="F35281" t="s">
        <v>14086</v>
      </c>
      <c r="G35281" t="s">
        <v>18082</v>
      </c>
      <c r="H35281" t="s">
        <v>19743</v>
      </c>
    </row>
    <row r="35282" spans="1:8">
      <c r="A35282" t="s">
        <v>3036</v>
      </c>
      <c r="B35282">
        <f>HYPERLINK("https://android.googlesource.com/platform/cts/+/f87f3afff210800fb6e920309fd15885d751496c", "f87f3afff210800fb6e920309fd15885d751496c")</f>
        <v>0</v>
      </c>
      <c r="C35282">
        <f>HYPERLINK("https://android.googlesource.com/platform/cts/+/f4f834af0a88e2a4d6f1d3d8358ce00f98fea8b0", "f4f834af0a88e2a4d6f1d3d8358ce00f98fea8b0")</f>
        <v>0</v>
      </c>
      <c r="D35282" t="s">
        <v>5471</v>
      </c>
      <c r="E35282" t="s">
        <v>8758</v>
      </c>
      <c r="F35282" t="s">
        <v>14154</v>
      </c>
      <c r="G35282" t="s">
        <v>18141</v>
      </c>
      <c r="H35282" t="s">
        <v>33676</v>
      </c>
    </row>
    <row r="35283" spans="1:8">
      <c r="H35283" t="s">
        <v>33677</v>
      </c>
    </row>
    <row r="35284" spans="1:8">
      <c r="H35284" t="s">
        <v>33678</v>
      </c>
    </row>
    <row r="35285" spans="1:8">
      <c r="H35285" t="s">
        <v>33679</v>
      </c>
    </row>
    <row r="35286" spans="1:8">
      <c r="H35286" t="s">
        <v>33680</v>
      </c>
    </row>
    <row r="35287" spans="1:8">
      <c r="H35287" t="s">
        <v>33681</v>
      </c>
    </row>
    <row r="35288" spans="1:8">
      <c r="H35288" t="s">
        <v>33682</v>
      </c>
    </row>
    <row r="35289" spans="1:8">
      <c r="F35289" t="s">
        <v>14155</v>
      </c>
      <c r="G35289" t="s">
        <v>18142</v>
      </c>
      <c r="H35289" t="s">
        <v>33683</v>
      </c>
    </row>
    <row r="35290" spans="1:8">
      <c r="A35290" t="s">
        <v>3037</v>
      </c>
      <c r="B35290">
        <f>HYPERLINK("https://android.googlesource.com/platform/cts/+/7b39f6f8d89a910950362be2a6441f8eea026c56", "7b39f6f8d89a910950362be2a6441f8eea026c56")</f>
        <v>0</v>
      </c>
      <c r="C35290">
        <f>HYPERLINK("https://android.googlesource.com/platform/cts/+/c80f0cd09ac9a5d6d2f2920bf400a9e0f37c3b23", "c80f0cd09ac9a5d6d2f2920bf400a9e0f37c3b23")</f>
        <v>0</v>
      </c>
      <c r="D35290" t="s">
        <v>5489</v>
      </c>
      <c r="E35290" t="s">
        <v>8759</v>
      </c>
      <c r="F35290" t="s">
        <v>13576</v>
      </c>
      <c r="G35290" t="s">
        <v>16477</v>
      </c>
      <c r="H35290" t="s">
        <v>33684</v>
      </c>
    </row>
    <row r="35291" spans="1:8">
      <c r="A35291" t="s">
        <v>3038</v>
      </c>
      <c r="B35291">
        <f>HYPERLINK("https://android.googlesource.com/platform/cts/+/058149f4bd769f8360dea00453060a4c96958f5a", "058149f4bd769f8360dea00453060a4c96958f5a")</f>
        <v>0</v>
      </c>
      <c r="C35291">
        <f>HYPERLINK("https://android.googlesource.com/platform/cts/+/a1415c6288634c2f65c0dbfe021c57e08dc4a282", "a1415c6288634c2f65c0dbfe021c57e08dc4a282")</f>
        <v>0</v>
      </c>
      <c r="D35291" t="s">
        <v>5435</v>
      </c>
      <c r="E35291" t="s">
        <v>8760</v>
      </c>
      <c r="F35291" t="s">
        <v>13716</v>
      </c>
      <c r="G35291" t="s">
        <v>17783</v>
      </c>
      <c r="H35291" t="s">
        <v>33685</v>
      </c>
    </row>
    <row r="35292" spans="1:8">
      <c r="A35292" t="s">
        <v>3039</v>
      </c>
      <c r="B35292">
        <f>HYPERLINK("https://android.googlesource.com/platform/cts/+/8e8b5e7380f5f1828cdb0eace3cbac0069aff72a", "8e8b5e7380f5f1828cdb0eace3cbac0069aff72a")</f>
        <v>0</v>
      </c>
      <c r="C35292">
        <f>HYPERLINK("https://android.googlesource.com/platform/cts/+/a1415c6288634c2f65c0dbfe021c57e08dc4a282", "a1415c6288634c2f65c0dbfe021c57e08dc4a282")</f>
        <v>0</v>
      </c>
      <c r="D35292" t="s">
        <v>5435</v>
      </c>
      <c r="E35292" t="s">
        <v>8761</v>
      </c>
      <c r="F35292" t="s">
        <v>13716</v>
      </c>
      <c r="G35292" t="s">
        <v>17783</v>
      </c>
      <c r="H35292" t="s">
        <v>33686</v>
      </c>
    </row>
    <row r="35293" spans="1:8">
      <c r="A35293" t="s">
        <v>3040</v>
      </c>
      <c r="B35293">
        <f>HYPERLINK("https://android.googlesource.com/platform/cts/+/1d0b3013ec6dd410ffe595c5d3ac53c17ec982ec", "1d0b3013ec6dd410ffe595c5d3ac53c17ec982ec")</f>
        <v>0</v>
      </c>
      <c r="C35293">
        <f>HYPERLINK("https://android.googlesource.com/platform/cts/+/56ee5b1ac4419952784fafd1baf1483f3c467494", "56ee5b1ac4419952784fafd1baf1483f3c467494")</f>
        <v>0</v>
      </c>
      <c r="D35293" t="s">
        <v>5244</v>
      </c>
      <c r="E35293" t="s">
        <v>8762</v>
      </c>
      <c r="F35293" t="s">
        <v>14156</v>
      </c>
      <c r="G35293" t="s">
        <v>18073</v>
      </c>
      <c r="H35293" t="s">
        <v>18829</v>
      </c>
    </row>
    <row r="35294" spans="1:8">
      <c r="H35294" t="s">
        <v>19933</v>
      </c>
    </row>
    <row r="35295" spans="1:8">
      <c r="F35295" t="s">
        <v>14157</v>
      </c>
      <c r="G35295" t="s">
        <v>18143</v>
      </c>
      <c r="H35295" t="s">
        <v>18829</v>
      </c>
    </row>
    <row r="35296" spans="1:8">
      <c r="H35296" t="s">
        <v>19933</v>
      </c>
    </row>
    <row r="35297" spans="1:8">
      <c r="A35297" t="s">
        <v>3042</v>
      </c>
      <c r="B35297">
        <f>HYPERLINK("https://android.googlesource.com/platform/cts/+/15d09023ea6c8b610a5b339bc9ce2a0395685fe3", "15d09023ea6c8b610a5b339bc9ce2a0395685fe3")</f>
        <v>0</v>
      </c>
      <c r="C35297">
        <f>HYPERLINK("https://android.googlesource.com/platform/cts/+/d9a459d23f774df42fa238b1d7336d4803b45b88", "d9a459d23f774df42fa238b1d7336d4803b45b88")</f>
        <v>0</v>
      </c>
      <c r="D35297" t="s">
        <v>5501</v>
      </c>
      <c r="E35297" t="s">
        <v>8764</v>
      </c>
      <c r="F35297" t="s">
        <v>14158</v>
      </c>
      <c r="G35297" t="s">
        <v>18144</v>
      </c>
      <c r="H35297" t="s">
        <v>33606</v>
      </c>
    </row>
    <row r="35298" spans="1:8">
      <c r="H35298" t="s">
        <v>26622</v>
      </c>
    </row>
    <row r="35299" spans="1:8">
      <c r="A35299" t="s">
        <v>3043</v>
      </c>
      <c r="B35299">
        <f>HYPERLINK("https://android.googlesource.com/platform/cts/+/1d0deb55d1d0c3c38de5677425c8d1b7a1953959", "1d0deb55d1d0c3c38de5677425c8d1b7a1953959")</f>
        <v>0</v>
      </c>
      <c r="C35299">
        <f>HYPERLINK("https://android.googlesource.com/platform/cts/+/f6c39a268ce6e437000bd9533a0b528a8f926b40", "f6c39a268ce6e437000bd9533a0b528a8f926b40")</f>
        <v>0</v>
      </c>
      <c r="D35299" t="s">
        <v>5501</v>
      </c>
      <c r="E35299" t="s">
        <v>8765</v>
      </c>
      <c r="F35299" t="s">
        <v>14158</v>
      </c>
      <c r="G35299" t="s">
        <v>18144</v>
      </c>
      <c r="H35299" t="s">
        <v>33687</v>
      </c>
    </row>
    <row r="35300" spans="1:8">
      <c r="A35300" t="s">
        <v>3044</v>
      </c>
      <c r="B35300">
        <f>HYPERLINK("https://android.googlesource.com/platform/cts/+/d4db34f465c85f167865cf8b6ecdb3ecfd572a21", "d4db34f465c85f167865cf8b6ecdb3ecfd572a21")</f>
        <v>0</v>
      </c>
      <c r="C35300">
        <f>HYPERLINK("https://android.googlesource.com/platform/cts/+/af74220edc1e298281c848be5fc96f60ffe404d3", "af74220edc1e298281c848be5fc96f60ffe404d3")</f>
        <v>0</v>
      </c>
      <c r="D35300" t="s">
        <v>5465</v>
      </c>
      <c r="E35300" t="s">
        <v>8766</v>
      </c>
      <c r="F35300" t="s">
        <v>14153</v>
      </c>
      <c r="G35300" t="s">
        <v>18140</v>
      </c>
      <c r="H35300" t="s">
        <v>33688</v>
      </c>
    </row>
    <row r="35301" spans="1:8">
      <c r="A35301" t="s">
        <v>3046</v>
      </c>
      <c r="B35301">
        <f>HYPERLINK("https://android.googlesource.com/platform/cts/+/960944aeaf7f5b4f3ff624ea87c308e2058db675", "960944aeaf7f5b4f3ff624ea87c308e2058db675")</f>
        <v>0</v>
      </c>
      <c r="C35301">
        <f>HYPERLINK("https://android.googlesource.com/platform/cts/+/4fca2c3c3aa9b3b39b634f57b965388f047a3925", "4fca2c3c3aa9b3b39b634f57b965388f047a3925")</f>
        <v>0</v>
      </c>
      <c r="D35301" t="s">
        <v>5502</v>
      </c>
      <c r="E35301" t="s">
        <v>8768</v>
      </c>
      <c r="F35301" t="s">
        <v>14159</v>
      </c>
      <c r="G35301" t="s">
        <v>18145</v>
      </c>
      <c r="H35301" t="s">
        <v>33689</v>
      </c>
    </row>
    <row r="35302" spans="1:8">
      <c r="A35302" t="s">
        <v>3047</v>
      </c>
      <c r="B35302">
        <f>HYPERLINK("https://android.googlesource.com/platform/cts/+/ca9d3af9ccf2479eef230a6ef5ea84ee6455661e", "ca9d3af9ccf2479eef230a6ef5ea84ee6455661e")</f>
        <v>0</v>
      </c>
      <c r="C35302">
        <f>HYPERLINK("https://android.googlesource.com/platform/cts/+/18fffbf71aed8a1435b2bfd6ba5b08f0c9f9d6ae", "18fffbf71aed8a1435b2bfd6ba5b08f0c9f9d6ae")</f>
        <v>0</v>
      </c>
      <c r="D35302" t="s">
        <v>5447</v>
      </c>
      <c r="E35302" t="s">
        <v>8769</v>
      </c>
      <c r="F35302" t="s">
        <v>14086</v>
      </c>
      <c r="G35302" t="s">
        <v>18082</v>
      </c>
      <c r="H35302" t="s">
        <v>33690</v>
      </c>
    </row>
    <row r="35303" spans="1:8">
      <c r="A35303" t="s">
        <v>3048</v>
      </c>
      <c r="B35303">
        <f>HYPERLINK("https://android.googlesource.com/platform/cts/+/c06aeddcf97e2beb2f113e3df81e1def41ddeeeb", "c06aeddcf97e2beb2f113e3df81e1def41ddeeeb")</f>
        <v>0</v>
      </c>
      <c r="C35303">
        <f>HYPERLINK("https://android.googlesource.com/platform/cts/+/6968a6fb322d66626667f5731fe94253eeada3fe", "6968a6fb322d66626667f5731fe94253eeada3fe")</f>
        <v>0</v>
      </c>
      <c r="D35303" t="s">
        <v>5374</v>
      </c>
      <c r="E35303" t="s">
        <v>8770</v>
      </c>
      <c r="F35303" t="s">
        <v>13165</v>
      </c>
      <c r="G35303" t="s">
        <v>17315</v>
      </c>
      <c r="H35303" t="s">
        <v>33691</v>
      </c>
    </row>
    <row r="35304" spans="1:8">
      <c r="H35304" t="s">
        <v>33692</v>
      </c>
    </row>
    <row r="35305" spans="1:8">
      <c r="H35305" t="s">
        <v>33693</v>
      </c>
    </row>
    <row r="35306" spans="1:8">
      <c r="H35306" t="s">
        <v>33694</v>
      </c>
    </row>
    <row r="35307" spans="1:8">
      <c r="H35307" t="s">
        <v>33695</v>
      </c>
    </row>
    <row r="35308" spans="1:8">
      <c r="A35308" t="s">
        <v>3049</v>
      </c>
      <c r="B35308">
        <f>HYPERLINK("https://android.googlesource.com/platform/cts/+/853aaaf849d3c58a7d2e8532ec59004892c8d023", "853aaaf849d3c58a7d2e8532ec59004892c8d023")</f>
        <v>0</v>
      </c>
      <c r="C35308">
        <f>HYPERLINK("https://android.googlesource.com/platform/cts/+/18fffbf71aed8a1435b2bfd6ba5b08f0c9f9d6ae", "18fffbf71aed8a1435b2bfd6ba5b08f0c9f9d6ae")</f>
        <v>0</v>
      </c>
      <c r="D35308" t="s">
        <v>5454</v>
      </c>
      <c r="E35308" t="s">
        <v>8771</v>
      </c>
      <c r="F35308" t="s">
        <v>14124</v>
      </c>
      <c r="G35308" t="s">
        <v>18114</v>
      </c>
      <c r="H35308" t="s">
        <v>33696</v>
      </c>
    </row>
    <row r="35309" spans="1:8">
      <c r="A35309" t="s">
        <v>3050</v>
      </c>
      <c r="B35309">
        <f>HYPERLINK("https://android.googlesource.com/platform/cts/+/8e9d03a790a41afc0868c32dc423da01d62f7874", "8e9d03a790a41afc0868c32dc423da01d62f7874")</f>
        <v>0</v>
      </c>
      <c r="C35309">
        <f>HYPERLINK("https://android.googlesource.com/platform/cts/+/4fca2c3c3aa9b3b39b634f57b965388f047a3925", "4fca2c3c3aa9b3b39b634f57b965388f047a3925")</f>
        <v>0</v>
      </c>
      <c r="D35309" t="s">
        <v>5419</v>
      </c>
      <c r="E35309" t="s">
        <v>8772</v>
      </c>
      <c r="F35309" t="s">
        <v>10595</v>
      </c>
      <c r="G35309" t="s">
        <v>14998</v>
      </c>
      <c r="H35309" t="s">
        <v>33697</v>
      </c>
    </row>
    <row r="35310" spans="1:8">
      <c r="H35310" t="s">
        <v>33698</v>
      </c>
    </row>
    <row r="35311" spans="1:8">
      <c r="A35311" t="s">
        <v>3054</v>
      </c>
      <c r="B35311">
        <f>HYPERLINK("https://android.googlesource.com/platform/cts/+/d8dad41fd038dc63bf32b0b3f58cd8c6ff8bddcc", "d8dad41fd038dc63bf32b0b3f58cd8c6ff8bddcc")</f>
        <v>0</v>
      </c>
      <c r="C35311">
        <f>HYPERLINK("https://android.googlesource.com/platform/cts/+/f97071794ea4366287903f618051bf5a011a5d4e", "f97071794ea4366287903f618051bf5a011a5d4e")</f>
        <v>0</v>
      </c>
      <c r="D35311" t="s">
        <v>5474</v>
      </c>
      <c r="E35311" t="s">
        <v>8776</v>
      </c>
      <c r="F35311" t="s">
        <v>14160</v>
      </c>
      <c r="G35311" t="s">
        <v>18146</v>
      </c>
      <c r="H35311" t="s">
        <v>33699</v>
      </c>
    </row>
    <row r="35312" spans="1:8">
      <c r="H35312" t="s">
        <v>33700</v>
      </c>
    </row>
    <row r="35313" spans="1:8">
      <c r="H35313" t="s">
        <v>32314</v>
      </c>
    </row>
    <row r="35314" spans="1:8">
      <c r="A35314" t="s">
        <v>3055</v>
      </c>
      <c r="B35314">
        <f>HYPERLINK("https://android.googlesource.com/platform/cts/+/bf2025eede194a9d102cf52a415ed9db203d3ce9", "bf2025eede194a9d102cf52a415ed9db203d3ce9")</f>
        <v>0</v>
      </c>
      <c r="C35314">
        <f>HYPERLINK("https://android.googlesource.com/platform/cts/+/01f490b331cae169aaca5d8be8c0b664c80cfd89", "01f490b331cae169aaca5d8be8c0b664c80cfd89")</f>
        <v>0</v>
      </c>
      <c r="D35314" t="s">
        <v>5277</v>
      </c>
      <c r="E35314" t="s">
        <v>8777</v>
      </c>
      <c r="F35314" t="s">
        <v>12984</v>
      </c>
      <c r="G35314" t="s">
        <v>17148</v>
      </c>
      <c r="H35314" t="s">
        <v>33701</v>
      </c>
    </row>
    <row r="35315" spans="1:8">
      <c r="A35315" t="s">
        <v>3057</v>
      </c>
      <c r="B35315">
        <f>HYPERLINK("https://android.googlesource.com/platform/cts/+/76783f3cf9e19a900996c5156ea60076d5da2a06", "76783f3cf9e19a900996c5156ea60076d5da2a06")</f>
        <v>0</v>
      </c>
      <c r="C35315">
        <f>HYPERLINK("https://android.googlesource.com/platform/cts/+/018f7d5f8dbeb09f12217f65e3ec4b27484fb4ff", "018f7d5f8dbeb09f12217f65e3ec4b27484fb4ff")</f>
        <v>0</v>
      </c>
      <c r="D35315" t="s">
        <v>5368</v>
      </c>
      <c r="E35315" t="s">
        <v>8779</v>
      </c>
      <c r="F35315" t="s">
        <v>14162</v>
      </c>
      <c r="G35315" t="s">
        <v>17751</v>
      </c>
      <c r="H35315" t="s">
        <v>33702</v>
      </c>
    </row>
    <row r="35316" spans="1:8">
      <c r="H35316" t="s">
        <v>30861</v>
      </c>
    </row>
    <row r="35317" spans="1:8">
      <c r="A35317" t="s">
        <v>3059</v>
      </c>
      <c r="B35317">
        <f>HYPERLINK("https://android.googlesource.com/platform/cts/+/d670540224578c52d62d8459d7a997d52b2b4c62", "d670540224578c52d62d8459d7a997d52b2b4c62")</f>
        <v>0</v>
      </c>
      <c r="C35317">
        <f>HYPERLINK("https://android.googlesource.com/platform/cts/+/a71306e7a3f123317b0ac054f885050e58b9ca6a", "a71306e7a3f123317b0ac054f885050e58b9ca6a")</f>
        <v>0</v>
      </c>
      <c r="D35317" t="s">
        <v>5334</v>
      </c>
      <c r="E35317" t="s">
        <v>8781</v>
      </c>
      <c r="F35317" t="s">
        <v>14163</v>
      </c>
      <c r="G35317" t="s">
        <v>17781</v>
      </c>
      <c r="H35317" t="s">
        <v>33039</v>
      </c>
    </row>
    <row r="35318" spans="1:8">
      <c r="H35318" t="s">
        <v>33703</v>
      </c>
    </row>
    <row r="35319" spans="1:8">
      <c r="F35319" t="s">
        <v>13713</v>
      </c>
      <c r="G35319" t="s">
        <v>17781</v>
      </c>
      <c r="H35319" t="s">
        <v>33704</v>
      </c>
    </row>
    <row r="35320" spans="1:8">
      <c r="H35320" t="s">
        <v>33703</v>
      </c>
    </row>
    <row r="35321" spans="1:8">
      <c r="F35321" t="s">
        <v>12629</v>
      </c>
      <c r="G35321" t="s">
        <v>16838</v>
      </c>
      <c r="H35321" t="s">
        <v>33704</v>
      </c>
    </row>
    <row r="35322" spans="1:8">
      <c r="F35322" t="s">
        <v>14122</v>
      </c>
      <c r="G35322" t="s">
        <v>18112</v>
      </c>
      <c r="H35322" t="s">
        <v>33039</v>
      </c>
    </row>
    <row r="35323" spans="1:8">
      <c r="A35323" t="s">
        <v>3060</v>
      </c>
      <c r="B35323">
        <f>HYPERLINK("https://android.googlesource.com/platform/cts/+/4745d6930f24693c26011be5f0463cbe48be0816", "4745d6930f24693c26011be5f0463cbe48be0816")</f>
        <v>0</v>
      </c>
      <c r="C35323">
        <f>HYPERLINK("https://android.googlesource.com/platform/cts/+/8563ca4cde28aaf9b0415b4809ef3359f1eeee20", "8563ca4cde28aaf9b0415b4809ef3359f1eeee20")</f>
        <v>0</v>
      </c>
      <c r="D35323" t="s">
        <v>5481</v>
      </c>
      <c r="E35323" t="s">
        <v>8782</v>
      </c>
      <c r="F35323" t="s">
        <v>14124</v>
      </c>
      <c r="G35323" t="s">
        <v>18114</v>
      </c>
      <c r="H35323" t="s">
        <v>33705</v>
      </c>
    </row>
    <row r="35324" spans="1:8">
      <c r="H35324" t="s">
        <v>33706</v>
      </c>
    </row>
    <row r="35325" spans="1:8">
      <c r="H35325" t="s">
        <v>33707</v>
      </c>
    </row>
    <row r="35326" spans="1:8">
      <c r="A35326" t="s">
        <v>3063</v>
      </c>
      <c r="B35326">
        <f>HYPERLINK("https://android.googlesource.com/platform/cts/+/7a7df0c674444214063142513ff538c340cb9d01", "7a7df0c674444214063142513ff538c340cb9d01")</f>
        <v>0</v>
      </c>
      <c r="C35326">
        <f>HYPERLINK("https://android.googlesource.com/platform/cts/+/58f0bdb90ff6b9243e76f382e0cbadc0cb7e7657", "58f0bdb90ff6b9243e76f382e0cbadc0cb7e7657")</f>
        <v>0</v>
      </c>
      <c r="D35326" t="s">
        <v>5503</v>
      </c>
      <c r="E35326" t="s">
        <v>8785</v>
      </c>
      <c r="F35326" t="s">
        <v>14164</v>
      </c>
      <c r="G35326" t="s">
        <v>18147</v>
      </c>
      <c r="H35326" t="s">
        <v>33708</v>
      </c>
    </row>
    <row r="35327" spans="1:8">
      <c r="H35327" t="s">
        <v>33709</v>
      </c>
    </row>
    <row r="35328" spans="1:8">
      <c r="A35328" t="s">
        <v>3064</v>
      </c>
      <c r="B35328">
        <f>HYPERLINK("https://android.googlesource.com/platform/cts/+/d0a28fbfd2de7bfc45a5cc7c0f4f71638be383d6", "d0a28fbfd2de7bfc45a5cc7c0f4f71638be383d6")</f>
        <v>0</v>
      </c>
      <c r="C35328">
        <f>HYPERLINK("https://android.googlesource.com/platform/cts/+/fac88fb4fb1eb9812300d8ead9bfbbe24c968ba6", "fac88fb4fb1eb9812300d8ead9bfbbe24c968ba6")</f>
        <v>0</v>
      </c>
      <c r="D35328" t="s">
        <v>5096</v>
      </c>
      <c r="E35328" t="s">
        <v>8786</v>
      </c>
      <c r="F35328" t="s">
        <v>14165</v>
      </c>
      <c r="G35328" t="s">
        <v>17361</v>
      </c>
      <c r="H35328" t="s">
        <v>33710</v>
      </c>
    </row>
    <row r="35329" spans="1:8">
      <c r="A35329" t="s">
        <v>3065</v>
      </c>
      <c r="B35329">
        <f>HYPERLINK("https://android.googlesource.com/platform/cts/+/bc5777af3aeef2ee8186477061cb0469ecbb112a", "bc5777af3aeef2ee8186477061cb0469ecbb112a")</f>
        <v>0</v>
      </c>
      <c r="C35329">
        <f>HYPERLINK("https://android.googlesource.com/platform/cts/+/98adfc01a082dadbe9581e35ba471d6d06781450", "98adfc01a082dadbe9581e35ba471d6d06781450")</f>
        <v>0</v>
      </c>
      <c r="D35329" t="s">
        <v>5046</v>
      </c>
      <c r="E35329" t="s">
        <v>8787</v>
      </c>
      <c r="F35329" t="s">
        <v>14166</v>
      </c>
      <c r="G35329" t="s">
        <v>17357</v>
      </c>
      <c r="H35329" t="s">
        <v>28593</v>
      </c>
    </row>
    <row r="35330" spans="1:8">
      <c r="A35330" t="s">
        <v>3066</v>
      </c>
      <c r="B35330">
        <f>HYPERLINK("https://android.googlesource.com/platform/cts/+/80180cd678dc3f44d4f097b000bb0b3386065308", "80180cd678dc3f44d4f097b000bb0b3386065308")</f>
        <v>0</v>
      </c>
      <c r="C35330">
        <f>HYPERLINK("https://android.googlesource.com/platform/cts/+/11c53df7b56f63d76a28d995140c62e1a2c14093", "11c53df7b56f63d76a28d995140c62e1a2c14093")</f>
        <v>0</v>
      </c>
      <c r="D35330" t="s">
        <v>5219</v>
      </c>
      <c r="E35330" t="s">
        <v>8788</v>
      </c>
      <c r="F35330" t="s">
        <v>14167</v>
      </c>
      <c r="G35330" t="s">
        <v>18148</v>
      </c>
      <c r="H35330" t="s">
        <v>33711</v>
      </c>
    </row>
    <row r="35331" spans="1:8">
      <c r="H35331" t="s">
        <v>33712</v>
      </c>
    </row>
    <row r="35332" spans="1:8">
      <c r="H35332" t="s">
        <v>33713</v>
      </c>
    </row>
    <row r="35333" spans="1:8">
      <c r="H35333" t="s">
        <v>33714</v>
      </c>
    </row>
    <row r="35334" spans="1:8">
      <c r="H35334" t="s">
        <v>33715</v>
      </c>
    </row>
    <row r="35335" spans="1:8">
      <c r="H35335" t="s">
        <v>33716</v>
      </c>
    </row>
    <row r="35336" spans="1:8">
      <c r="H35336" t="s">
        <v>32999</v>
      </c>
    </row>
    <row r="35337" spans="1:8">
      <c r="H35337" t="s">
        <v>33717</v>
      </c>
    </row>
    <row r="35338" spans="1:8">
      <c r="H35338" t="s">
        <v>33718</v>
      </c>
    </row>
    <row r="35339" spans="1:8">
      <c r="H35339" t="s">
        <v>33719</v>
      </c>
    </row>
    <row r="35340" spans="1:8">
      <c r="H35340" t="s">
        <v>33720</v>
      </c>
    </row>
    <row r="35341" spans="1:8">
      <c r="H35341" t="s">
        <v>33721</v>
      </c>
    </row>
    <row r="35342" spans="1:8">
      <c r="H35342" t="s">
        <v>33722</v>
      </c>
    </row>
    <row r="35343" spans="1:8">
      <c r="H35343" t="s">
        <v>33723</v>
      </c>
    </row>
    <row r="35344" spans="1:8">
      <c r="H35344" t="s">
        <v>33724</v>
      </c>
    </row>
    <row r="35345" spans="1:8">
      <c r="H35345" t="s">
        <v>33725</v>
      </c>
    </row>
    <row r="35346" spans="1:8">
      <c r="H35346" t="s">
        <v>33726</v>
      </c>
    </row>
    <row r="35347" spans="1:8">
      <c r="H35347" t="s">
        <v>33727</v>
      </c>
    </row>
    <row r="35348" spans="1:8">
      <c r="H35348" t="s">
        <v>33728</v>
      </c>
    </row>
    <row r="35349" spans="1:8">
      <c r="H35349" t="s">
        <v>33729</v>
      </c>
    </row>
    <row r="35350" spans="1:8">
      <c r="A35350" t="s">
        <v>3067</v>
      </c>
      <c r="B35350">
        <f>HYPERLINK("https://android.googlesource.com/platform/cts/+/9a8db49662e50b40d3a21f951b6c9b0b5a2dfd93", "9a8db49662e50b40d3a21f951b6c9b0b5a2dfd93")</f>
        <v>0</v>
      </c>
      <c r="C35350">
        <f>HYPERLINK("https://android.googlesource.com/platform/cts/+/684bffdb0dc893d64ec8b47ef0c27bcc5dcb36ee", "684bffdb0dc893d64ec8b47ef0c27bcc5dcb36ee")</f>
        <v>0</v>
      </c>
      <c r="D35350" t="s">
        <v>5435</v>
      </c>
      <c r="E35350" t="s">
        <v>8789</v>
      </c>
      <c r="F35350" t="s">
        <v>12710</v>
      </c>
      <c r="G35350" t="s">
        <v>16911</v>
      </c>
      <c r="H35350" t="s">
        <v>33730</v>
      </c>
    </row>
    <row r="35351" spans="1:8">
      <c r="A35351" t="s">
        <v>3068</v>
      </c>
      <c r="B35351">
        <f>HYPERLINK("https://android.googlesource.com/platform/cts/+/80f993d0bc8a3d151b87bc0b2e89eedd6bb840f7", "80f993d0bc8a3d151b87bc0b2e89eedd6bb840f7")</f>
        <v>0</v>
      </c>
      <c r="C35351">
        <f>HYPERLINK("https://android.googlesource.com/platform/cts/+/2436078ec52d48155f114117f3e1e6c0ff32475b", "2436078ec52d48155f114117f3e1e6c0ff32475b")</f>
        <v>0</v>
      </c>
      <c r="D35351" t="s">
        <v>5096</v>
      </c>
      <c r="E35351" t="s">
        <v>8790</v>
      </c>
      <c r="F35351" t="s">
        <v>14168</v>
      </c>
      <c r="G35351" t="s">
        <v>18149</v>
      </c>
      <c r="H35351" t="s">
        <v>33731</v>
      </c>
    </row>
    <row r="35352" spans="1:8">
      <c r="A35352" t="s">
        <v>3069</v>
      </c>
      <c r="B35352">
        <f>HYPERLINK("https://android.googlesource.com/platform/cts/+/4bb872fcfe7b2649e385dc50b5cbcb005051d54e", "4bb872fcfe7b2649e385dc50b5cbcb005051d54e")</f>
        <v>0</v>
      </c>
      <c r="C35352">
        <f>HYPERLINK("https://android.googlesource.com/platform/cts/+/7b05b2df8931319e57eb3da2cdb4c57e1179dcdb", "7b05b2df8931319e57eb3da2cdb4c57e1179dcdb")</f>
        <v>0</v>
      </c>
      <c r="D35352" t="s">
        <v>5451</v>
      </c>
      <c r="E35352" t="s">
        <v>8791</v>
      </c>
      <c r="F35352" t="s">
        <v>13403</v>
      </c>
      <c r="G35352" t="s">
        <v>17529</v>
      </c>
      <c r="H35352" t="s">
        <v>33732</v>
      </c>
    </row>
    <row r="35353" spans="1:8">
      <c r="H35353" t="s">
        <v>33733</v>
      </c>
    </row>
    <row r="35354" spans="1:8">
      <c r="H35354" t="s">
        <v>33734</v>
      </c>
    </row>
    <row r="35355" spans="1:8">
      <c r="H35355" t="s">
        <v>33735</v>
      </c>
    </row>
    <row r="35356" spans="1:8">
      <c r="H35356" t="s">
        <v>33736</v>
      </c>
    </row>
    <row r="35357" spans="1:8">
      <c r="H35357" t="s">
        <v>33737</v>
      </c>
    </row>
    <row r="35358" spans="1:8">
      <c r="H35358" t="s">
        <v>29683</v>
      </c>
    </row>
    <row r="35359" spans="1:8">
      <c r="H35359" t="s">
        <v>33738</v>
      </c>
    </row>
    <row r="35360" spans="1:8">
      <c r="H35360" t="s">
        <v>33739</v>
      </c>
    </row>
    <row r="35361" spans="1:8">
      <c r="F35361" t="s">
        <v>13230</v>
      </c>
      <c r="G35361" t="s">
        <v>17371</v>
      </c>
      <c r="H35361" t="s">
        <v>33740</v>
      </c>
    </row>
    <row r="35362" spans="1:8">
      <c r="H35362" t="s">
        <v>33741</v>
      </c>
    </row>
    <row r="35363" spans="1:8">
      <c r="F35363" t="s">
        <v>14169</v>
      </c>
      <c r="G35363" t="s">
        <v>18150</v>
      </c>
      <c r="H35363" t="s">
        <v>33742</v>
      </c>
    </row>
    <row r="35364" spans="1:8">
      <c r="H35364" t="s">
        <v>33732</v>
      </c>
    </row>
    <row r="35365" spans="1:8">
      <c r="H35365" t="s">
        <v>33735</v>
      </c>
    </row>
    <row r="35366" spans="1:8">
      <c r="H35366" t="s">
        <v>33736</v>
      </c>
    </row>
    <row r="35367" spans="1:8">
      <c r="H35367" t="s">
        <v>33737</v>
      </c>
    </row>
    <row r="35368" spans="1:8">
      <c r="F35368" t="s">
        <v>14123</v>
      </c>
      <c r="G35368" t="s">
        <v>18113</v>
      </c>
      <c r="H35368" t="s">
        <v>33743</v>
      </c>
    </row>
    <row r="35369" spans="1:8">
      <c r="H35369" t="s">
        <v>33744</v>
      </c>
    </row>
    <row r="35370" spans="1:8">
      <c r="H35370" t="s">
        <v>33745</v>
      </c>
    </row>
    <row r="35371" spans="1:8">
      <c r="H35371" t="s">
        <v>33746</v>
      </c>
    </row>
    <row r="35372" spans="1:8">
      <c r="H35372" t="s">
        <v>33747</v>
      </c>
    </row>
    <row r="35373" spans="1:8">
      <c r="A35373" t="s">
        <v>3070</v>
      </c>
      <c r="B35373">
        <f>HYPERLINK("https://android.googlesource.com/platform/cts/+/3269a1c3196540588a3e32380f85da5f8ff4b8ce", "3269a1c3196540588a3e32380f85da5f8ff4b8ce")</f>
        <v>0</v>
      </c>
      <c r="C35373">
        <f>HYPERLINK("https://android.googlesource.com/platform/cts/+/4129ddfd7dc56b1dad09022d5ef192913e100a8e", "4129ddfd7dc56b1dad09022d5ef192913e100a8e")</f>
        <v>0</v>
      </c>
      <c r="D35373" t="s">
        <v>5504</v>
      </c>
      <c r="E35373" t="s">
        <v>8792</v>
      </c>
      <c r="F35373" t="s">
        <v>14170</v>
      </c>
      <c r="G35373" t="s">
        <v>18151</v>
      </c>
      <c r="H35373" t="s">
        <v>33748</v>
      </c>
    </row>
    <row r="35374" spans="1:8">
      <c r="H35374" t="s">
        <v>33749</v>
      </c>
    </row>
    <row r="35375" spans="1:8">
      <c r="H35375" t="s">
        <v>33750</v>
      </c>
    </row>
    <row r="35376" spans="1:8">
      <c r="H35376" t="s">
        <v>33751</v>
      </c>
    </row>
    <row r="35377" spans="1:8">
      <c r="H35377" t="s">
        <v>33752</v>
      </c>
    </row>
    <row r="35378" spans="1:8">
      <c r="H35378" t="s">
        <v>33753</v>
      </c>
    </row>
    <row r="35379" spans="1:8">
      <c r="A35379" t="s">
        <v>3071</v>
      </c>
      <c r="B35379">
        <f>HYPERLINK("https://android.googlesource.com/platform/cts/+/668291193b0cf7726c9cb163d3331b6102337314", "668291193b0cf7726c9cb163d3331b6102337314")</f>
        <v>0</v>
      </c>
      <c r="C35379">
        <f>HYPERLINK("https://android.googlesource.com/platform/cts/+/6f52092642bc21691e839d989ea80d78c39e127d", "6f52092642bc21691e839d989ea80d78c39e127d")</f>
        <v>0</v>
      </c>
      <c r="D35379" t="s">
        <v>5504</v>
      </c>
      <c r="E35379" t="s">
        <v>8793</v>
      </c>
      <c r="F35379" t="s">
        <v>14171</v>
      </c>
      <c r="G35379" t="s">
        <v>18151</v>
      </c>
      <c r="H35379" t="s">
        <v>33748</v>
      </c>
    </row>
    <row r="35380" spans="1:8">
      <c r="H35380" t="s">
        <v>33749</v>
      </c>
    </row>
    <row r="35381" spans="1:8">
      <c r="H35381" t="s">
        <v>33750</v>
      </c>
    </row>
    <row r="35382" spans="1:8">
      <c r="H35382" t="s">
        <v>33751</v>
      </c>
    </row>
    <row r="35383" spans="1:8">
      <c r="H35383" t="s">
        <v>33752</v>
      </c>
    </row>
    <row r="35384" spans="1:8">
      <c r="H35384" t="s">
        <v>33753</v>
      </c>
    </row>
    <row r="35385" spans="1:8">
      <c r="A35385" t="s">
        <v>3073</v>
      </c>
      <c r="B35385">
        <f>HYPERLINK("https://android.googlesource.com/platform/cts/+/1e9fe81c584f7a5c5ce2a0638408c348a42fca78", "1e9fe81c584f7a5c5ce2a0638408c348a42fca78")</f>
        <v>0</v>
      </c>
      <c r="C35385">
        <f>HYPERLINK("https://android.googlesource.com/platform/cts/+/339dfb440f4a686b34ec2167669292de0738dd43", "339dfb440f4a686b34ec2167669292de0738dd43")</f>
        <v>0</v>
      </c>
      <c r="D35385" t="s">
        <v>5439</v>
      </c>
      <c r="E35385" t="s">
        <v>8795</v>
      </c>
      <c r="F35385" t="s">
        <v>12741</v>
      </c>
      <c r="G35385" t="s">
        <v>16933</v>
      </c>
      <c r="H35385" t="s">
        <v>33754</v>
      </c>
    </row>
    <row r="35386" spans="1:8">
      <c r="H35386" t="s">
        <v>33755</v>
      </c>
    </row>
    <row r="35387" spans="1:8">
      <c r="H35387" t="s">
        <v>33756</v>
      </c>
    </row>
    <row r="35388" spans="1:8">
      <c r="A35388" t="s">
        <v>3074</v>
      </c>
      <c r="B35388">
        <f>HYPERLINK("https://android.googlesource.com/platform/cts/+/d1edeea21106ba1f8a8ca1efe6f4be46c68600a9", "d1edeea21106ba1f8a8ca1efe6f4be46c68600a9")</f>
        <v>0</v>
      </c>
      <c r="C35388">
        <f>HYPERLINK("https://android.googlesource.com/platform/cts/+/eeba8606c84d1e4243fcd52ab388770cafa2884b", "eeba8606c84d1e4243fcd52ab388770cafa2884b")</f>
        <v>0</v>
      </c>
      <c r="D35388" t="s">
        <v>5489</v>
      </c>
      <c r="E35388" t="s">
        <v>8796</v>
      </c>
      <c r="F35388" t="s">
        <v>13576</v>
      </c>
      <c r="G35388" t="s">
        <v>16477</v>
      </c>
      <c r="H35388" t="s">
        <v>32467</v>
      </c>
    </row>
    <row r="35389" spans="1:8">
      <c r="A35389" t="s">
        <v>3075</v>
      </c>
      <c r="B35389">
        <f>HYPERLINK("https://android.googlesource.com/platform/cts/+/457b8ad3ef02d0a3fe31623d301560870690b79a", "457b8ad3ef02d0a3fe31623d301560870690b79a")</f>
        <v>0</v>
      </c>
      <c r="C35389">
        <f>HYPERLINK("https://android.googlesource.com/platform/cts/+/d1bab0f9a3dbc3e88d0d02e46df08f817039ce20", "d1bab0f9a3dbc3e88d0d02e46df08f817039ce20")</f>
        <v>0</v>
      </c>
      <c r="D35389" t="s">
        <v>5505</v>
      </c>
      <c r="E35389" t="s">
        <v>8797</v>
      </c>
      <c r="F35389" t="s">
        <v>14172</v>
      </c>
      <c r="G35389" t="s">
        <v>18152</v>
      </c>
      <c r="H35389" t="s">
        <v>33757</v>
      </c>
    </row>
    <row r="35390" spans="1:8">
      <c r="A35390" t="s">
        <v>3076</v>
      </c>
      <c r="B35390">
        <f>HYPERLINK("https://android.googlesource.com/platform/cts/+/0c066b3b1d0fe0719bb8cd1b1689ddd363f70dc8", "0c066b3b1d0fe0719bb8cd1b1689ddd363f70dc8")</f>
        <v>0</v>
      </c>
      <c r="C35390">
        <f>HYPERLINK("https://android.googlesource.com/platform/cts/+/36aab9c27e4d0043a78be763979890b3df2b0224", "36aab9c27e4d0043a78be763979890b3df2b0224")</f>
        <v>0</v>
      </c>
      <c r="D35390" t="s">
        <v>5470</v>
      </c>
      <c r="E35390" t="s">
        <v>8798</v>
      </c>
      <c r="F35390" t="s">
        <v>14165</v>
      </c>
      <c r="G35390" t="s">
        <v>17361</v>
      </c>
      <c r="H35390" t="s">
        <v>33758</v>
      </c>
    </row>
    <row r="35391" spans="1:8">
      <c r="A35391" t="s">
        <v>3077</v>
      </c>
      <c r="B35391">
        <f>HYPERLINK("https://android.googlesource.com/platform/cts/+/828e0f66fb1cdbbda18d56fae49a0ef52aa8351c", "828e0f66fb1cdbbda18d56fae49a0ef52aa8351c")</f>
        <v>0</v>
      </c>
      <c r="C35391">
        <f>HYPERLINK("https://android.googlesource.com/platform/cts/+/32df2278d923ab6f2238595e80c3bacec5bce58b", "32df2278d923ab6f2238595e80c3bacec5bce58b")</f>
        <v>0</v>
      </c>
      <c r="D35391" t="s">
        <v>5443</v>
      </c>
      <c r="E35391" t="s">
        <v>8799</v>
      </c>
      <c r="F35391" t="s">
        <v>12710</v>
      </c>
      <c r="G35391" t="s">
        <v>16911</v>
      </c>
      <c r="H35391" t="s">
        <v>33759</v>
      </c>
    </row>
    <row r="35392" spans="1:8">
      <c r="A35392" t="s">
        <v>3081</v>
      </c>
      <c r="B35392">
        <f>HYPERLINK("https://android.googlesource.com/platform/cts/+/c010341da6ac2537ca3b106e4c5a881df3c7fa68", "c010341da6ac2537ca3b106e4c5a881df3c7fa68")</f>
        <v>0</v>
      </c>
      <c r="C35392">
        <f>HYPERLINK("https://android.googlesource.com/platform/cts/+/5bd5ac6f7e4179bbd548f0372f743b3f74f1692c", "5bd5ac6f7e4179bbd548f0372f743b3f74f1692c")</f>
        <v>0</v>
      </c>
      <c r="D35392" t="s">
        <v>5506</v>
      </c>
      <c r="E35392" t="s">
        <v>8802</v>
      </c>
      <c r="F35392" t="s">
        <v>12741</v>
      </c>
      <c r="G35392" t="s">
        <v>16933</v>
      </c>
      <c r="H35392" t="s">
        <v>33754</v>
      </c>
    </row>
    <row r="35393" spans="1:8">
      <c r="H35393" t="s">
        <v>33755</v>
      </c>
    </row>
    <row r="35394" spans="1:8">
      <c r="H35394" t="s">
        <v>33756</v>
      </c>
    </row>
    <row r="35395" spans="1:8">
      <c r="A35395" t="s">
        <v>3082</v>
      </c>
      <c r="B35395">
        <f>HYPERLINK("https://android.googlesource.com/platform/cts/+/00b3ff062b4606dacc8cb9802eed1616bb021c96", "00b3ff062b4606dacc8cb9802eed1616bb021c96")</f>
        <v>0</v>
      </c>
      <c r="C35395">
        <f>HYPERLINK("https://android.googlesource.com/platform/cts/+/0f0b828841a198a4948142051250d4b5f196c613", "0f0b828841a198a4948142051250d4b5f196c613")</f>
        <v>0</v>
      </c>
      <c r="D35395" t="s">
        <v>5223</v>
      </c>
      <c r="E35395" t="s">
        <v>8803</v>
      </c>
      <c r="F35395" t="s">
        <v>14173</v>
      </c>
      <c r="G35395" t="s">
        <v>18153</v>
      </c>
      <c r="H35395" t="s">
        <v>33760</v>
      </c>
    </row>
    <row r="35396" spans="1:8">
      <c r="H35396" t="s">
        <v>33761</v>
      </c>
    </row>
    <row r="35397" spans="1:8">
      <c r="F35397" t="s">
        <v>14174</v>
      </c>
      <c r="G35397" t="s">
        <v>18154</v>
      </c>
      <c r="H35397" t="s">
        <v>18829</v>
      </c>
    </row>
    <row r="35398" spans="1:8">
      <c r="H35398" t="s">
        <v>18836</v>
      </c>
    </row>
    <row r="35399" spans="1:8">
      <c r="H35399" t="s">
        <v>19013</v>
      </c>
    </row>
    <row r="35400" spans="1:8">
      <c r="H35400" t="s">
        <v>18835</v>
      </c>
    </row>
    <row r="35401" spans="1:8">
      <c r="H35401" t="s">
        <v>33762</v>
      </c>
    </row>
    <row r="35402" spans="1:8">
      <c r="F35402" t="s">
        <v>14175</v>
      </c>
      <c r="G35402" t="s">
        <v>18155</v>
      </c>
      <c r="H35402" t="s">
        <v>18829</v>
      </c>
    </row>
    <row r="35403" spans="1:8">
      <c r="H35403" t="s">
        <v>18836</v>
      </c>
    </row>
    <row r="35404" spans="1:8">
      <c r="H35404" t="s">
        <v>19013</v>
      </c>
    </row>
    <row r="35405" spans="1:8">
      <c r="H35405" t="s">
        <v>18835</v>
      </c>
    </row>
    <row r="35406" spans="1:8">
      <c r="H35406" t="s">
        <v>33762</v>
      </c>
    </row>
    <row r="35407" spans="1:8">
      <c r="A35407" t="s">
        <v>3083</v>
      </c>
      <c r="B35407">
        <f>HYPERLINK("https://android.googlesource.com/platform/cts/+/9be6d5fff80cbf6b98fd57d89c3af12bf344ba9c", "9be6d5fff80cbf6b98fd57d89c3af12bf344ba9c")</f>
        <v>0</v>
      </c>
      <c r="C35407">
        <f>HYPERLINK("https://android.googlesource.com/platform/cts/+/41de39170128cd48d87711cd04a38f686e8e27c6", "41de39170128cd48d87711cd04a38f686e8e27c6")</f>
        <v>0</v>
      </c>
      <c r="D35407" t="s">
        <v>5277</v>
      </c>
      <c r="E35407" t="s">
        <v>8804</v>
      </c>
      <c r="F35407" t="s">
        <v>14028</v>
      </c>
      <c r="G35407" t="s">
        <v>18156</v>
      </c>
      <c r="H35407" t="s">
        <v>22678</v>
      </c>
    </row>
    <row r="35408" spans="1:8">
      <c r="H35408" t="s">
        <v>18829</v>
      </c>
    </row>
    <row r="35409" spans="1:8">
      <c r="H35409" t="s">
        <v>18863</v>
      </c>
    </row>
    <row r="35410" spans="1:8">
      <c r="H35410" t="s">
        <v>33763</v>
      </c>
    </row>
    <row r="35411" spans="1:8">
      <c r="H35411" t="s">
        <v>33764</v>
      </c>
    </row>
    <row r="35412" spans="1:8">
      <c r="A35412" t="s">
        <v>3084</v>
      </c>
      <c r="B35412">
        <f>HYPERLINK("https://android.googlesource.com/platform/cts/+/0223410f99c32004961e92a3063c83c4334f1206", "0223410f99c32004961e92a3063c83c4334f1206")</f>
        <v>0</v>
      </c>
      <c r="C35412">
        <f>HYPERLINK("https://android.googlesource.com/platform/cts/+/10c0719be30d6035c8f0fe2fd9cd877cd0ee29cd", "10c0719be30d6035c8f0fe2fd9cd877cd0ee29cd")</f>
        <v>0</v>
      </c>
      <c r="D35412" t="s">
        <v>5342</v>
      </c>
      <c r="E35412" t="s">
        <v>8805</v>
      </c>
      <c r="F35412" t="s">
        <v>14176</v>
      </c>
      <c r="G35412" t="s">
        <v>18157</v>
      </c>
      <c r="H35412" t="s">
        <v>32569</v>
      </c>
    </row>
    <row r="35413" spans="1:8">
      <c r="A35413" t="s">
        <v>3086</v>
      </c>
      <c r="B35413">
        <f>HYPERLINK("https://android.googlesource.com/platform/cts/+/7429851405a82c9fac7b1540646331bc1da699c3", "7429851405a82c9fac7b1540646331bc1da699c3")</f>
        <v>0</v>
      </c>
      <c r="C35413">
        <f>HYPERLINK("https://android.googlesource.com/platform/cts/+/a14ae1101a7ef76ec9365f1098b2df25c4860974", "a14ae1101a7ef76ec9365f1098b2df25c4860974")</f>
        <v>0</v>
      </c>
      <c r="D35413" t="s">
        <v>5443</v>
      </c>
      <c r="E35413" t="s">
        <v>8807</v>
      </c>
      <c r="F35413" t="s">
        <v>12710</v>
      </c>
      <c r="G35413" t="s">
        <v>16911</v>
      </c>
      <c r="H35413" t="s">
        <v>33765</v>
      </c>
    </row>
    <row r="35414" spans="1:8">
      <c r="A35414" t="s">
        <v>3087</v>
      </c>
      <c r="B35414">
        <f>HYPERLINK("https://android.googlesource.com/platform/cts/+/ea9e366aa024b4f4a34a3070945de54ab8ab7c65", "ea9e366aa024b4f4a34a3070945de54ab8ab7c65")</f>
        <v>0</v>
      </c>
      <c r="C35414">
        <f>HYPERLINK("https://android.googlesource.com/platform/cts/+/7429851405a82c9fac7b1540646331bc1da699c3", "7429851405a82c9fac7b1540646331bc1da699c3")</f>
        <v>0</v>
      </c>
      <c r="D35414" t="s">
        <v>5443</v>
      </c>
      <c r="E35414" t="s">
        <v>8808</v>
      </c>
      <c r="F35414" t="s">
        <v>12710</v>
      </c>
      <c r="G35414" t="s">
        <v>16911</v>
      </c>
      <c r="H35414" t="s">
        <v>33766</v>
      </c>
    </row>
    <row r="35415" spans="1:8">
      <c r="H35415" t="s">
        <v>33767</v>
      </c>
    </row>
    <row r="35416" spans="1:8">
      <c r="A35416" t="s">
        <v>3093</v>
      </c>
      <c r="B35416">
        <f>HYPERLINK("https://android.googlesource.com/platform/cts/+/dc5b4413eefbbebdcba000ce05c1c4040316dabc", "dc5b4413eefbbebdcba000ce05c1c4040316dabc")</f>
        <v>0</v>
      </c>
      <c r="C35416">
        <f>HYPERLINK("https://android.googlesource.com/platform/cts/+/57e9da96af43593640a9fe9e2f1a3ae138869af4", "57e9da96af43593640a9fe9e2f1a3ae138869af4")</f>
        <v>0</v>
      </c>
      <c r="D35416" t="s">
        <v>5472</v>
      </c>
      <c r="E35416" t="s">
        <v>8814</v>
      </c>
      <c r="F35416" t="s">
        <v>13135</v>
      </c>
      <c r="G35416" t="s">
        <v>16874</v>
      </c>
      <c r="H35416" t="s">
        <v>33768</v>
      </c>
    </row>
    <row r="35417" spans="1:8">
      <c r="A35417" t="s">
        <v>3094</v>
      </c>
      <c r="B35417">
        <f>HYPERLINK("https://android.googlesource.com/platform/cts/+/621fd75805f987d290bc29c5c700f90be0ea162e", "621fd75805f987d290bc29c5c700f90be0ea162e")</f>
        <v>0</v>
      </c>
      <c r="C35417">
        <f>HYPERLINK("https://android.googlesource.com/platform/cts/+/2e1b5c1c74e4ff88f1ea354f3c8d5a20da528b34", "2e1b5c1c74e4ff88f1ea354f3c8d5a20da528b34")</f>
        <v>0</v>
      </c>
      <c r="D35417" t="s">
        <v>5304</v>
      </c>
      <c r="E35417" t="s">
        <v>8815</v>
      </c>
      <c r="F35417" t="s">
        <v>14177</v>
      </c>
      <c r="G35417" t="s">
        <v>18158</v>
      </c>
      <c r="H35417" t="s">
        <v>33769</v>
      </c>
    </row>
    <row r="35418" spans="1:8">
      <c r="A35418" t="s">
        <v>3096</v>
      </c>
      <c r="B35418">
        <f>HYPERLINK("https://android.googlesource.com/platform/cts/+/3967836210a52ec8d0f229edad0c8c27f26145ae", "3967836210a52ec8d0f229edad0c8c27f26145ae")</f>
        <v>0</v>
      </c>
      <c r="C35418">
        <f>HYPERLINK("https://android.googlesource.com/platform/cts/+/45d4a2a705eedc6971d07592d77aefc2f7f9765d", "45d4a2a705eedc6971d07592d77aefc2f7f9765d")</f>
        <v>0</v>
      </c>
      <c r="D35418" t="s">
        <v>5357</v>
      </c>
      <c r="E35418" t="s">
        <v>8817</v>
      </c>
      <c r="F35418" t="s">
        <v>14178</v>
      </c>
      <c r="G35418" t="s">
        <v>18159</v>
      </c>
      <c r="H35418" t="s">
        <v>33770</v>
      </c>
    </row>
    <row r="35419" spans="1:8">
      <c r="H35419" t="s">
        <v>33771</v>
      </c>
    </row>
    <row r="35420" spans="1:8">
      <c r="H35420" t="s">
        <v>33772</v>
      </c>
    </row>
    <row r="35421" spans="1:8">
      <c r="H35421" t="s">
        <v>33773</v>
      </c>
    </row>
    <row r="35422" spans="1:8">
      <c r="H35422" t="s">
        <v>33774</v>
      </c>
    </row>
    <row r="35423" spans="1:8">
      <c r="H35423" t="s">
        <v>33775</v>
      </c>
    </row>
    <row r="35424" spans="1:8">
      <c r="H35424" t="s">
        <v>33026</v>
      </c>
    </row>
    <row r="35425" spans="1:8">
      <c r="H35425" t="s">
        <v>33776</v>
      </c>
    </row>
    <row r="35426" spans="1:8">
      <c r="H35426" t="s">
        <v>33777</v>
      </c>
    </row>
    <row r="35427" spans="1:8">
      <c r="H35427" t="s">
        <v>33778</v>
      </c>
    </row>
    <row r="35428" spans="1:8">
      <c r="A35428" t="s">
        <v>3097</v>
      </c>
      <c r="B35428">
        <f>HYPERLINK("https://android.googlesource.com/platform/cts/+/9a7d62adc73ed23b499065704e7c5f2a8525089f", "9a7d62adc73ed23b499065704e7c5f2a8525089f")</f>
        <v>0</v>
      </c>
      <c r="C35428">
        <f>HYPERLINK("https://android.googlesource.com/platform/cts/+/6872d5d93a43a90557476ce439340abd1b8a7ad6", "6872d5d93a43a90557476ce439340abd1b8a7ad6")</f>
        <v>0</v>
      </c>
      <c r="D35428" t="s">
        <v>5507</v>
      </c>
      <c r="E35428" t="s">
        <v>8818</v>
      </c>
      <c r="F35428" t="s">
        <v>14121</v>
      </c>
      <c r="G35428" t="s">
        <v>16426</v>
      </c>
      <c r="H35428" t="s">
        <v>30392</v>
      </c>
    </row>
    <row r="35429" spans="1:8">
      <c r="H35429" t="s">
        <v>30393</v>
      </c>
    </row>
    <row r="35430" spans="1:8">
      <c r="A35430" t="s">
        <v>3098</v>
      </c>
      <c r="B35430">
        <f>HYPERLINK("https://android.googlesource.com/platform/cts/+/8d0d97929c3c0a2478111a35be5ec9b263e8944b", "8d0d97929c3c0a2478111a35be5ec9b263e8944b")</f>
        <v>0</v>
      </c>
      <c r="C35430">
        <f>HYPERLINK("https://android.googlesource.com/platform/cts/+/bda65c6c2c18a5b7536c87d742727c1640065b6f", "bda65c6c2c18a5b7536c87d742727c1640065b6f")</f>
        <v>0</v>
      </c>
      <c r="D35430" t="s">
        <v>5508</v>
      </c>
      <c r="E35430" t="s">
        <v>8819</v>
      </c>
      <c r="F35430" t="s">
        <v>14179</v>
      </c>
      <c r="G35430" t="s">
        <v>18160</v>
      </c>
      <c r="H35430" t="s">
        <v>33779</v>
      </c>
    </row>
    <row r="35431" spans="1:8">
      <c r="A35431" t="s">
        <v>3099</v>
      </c>
      <c r="B35431">
        <f>HYPERLINK("https://android.googlesource.com/platform/cts/+/cd6f0776d7f12dc927b008a692439611bea444de", "cd6f0776d7f12dc927b008a692439611bea444de")</f>
        <v>0</v>
      </c>
      <c r="C35431">
        <f>HYPERLINK("https://android.googlesource.com/platform/cts/+/30066abec0a07eb753a21f93048afcdf269737ac", "30066abec0a07eb753a21f93048afcdf269737ac")</f>
        <v>0</v>
      </c>
      <c r="D35431" t="s">
        <v>5509</v>
      </c>
      <c r="E35431" t="s">
        <v>8820</v>
      </c>
      <c r="F35431" t="s">
        <v>14180</v>
      </c>
      <c r="G35431" t="s">
        <v>18161</v>
      </c>
      <c r="H35431" t="s">
        <v>33780</v>
      </c>
    </row>
    <row r="35432" spans="1:8">
      <c r="A35432" t="s">
        <v>3100</v>
      </c>
      <c r="B35432">
        <f>HYPERLINK("https://android.googlesource.com/platform/cts/+/584873ad9f77dfbd694d0fa7a2cb52dc116b3006", "584873ad9f77dfbd694d0fa7a2cb52dc116b3006")</f>
        <v>0</v>
      </c>
      <c r="C35432">
        <f>HYPERLINK("https://android.googlesource.com/platform/cts/+/cd6f0776d7f12dc927b008a692439611bea444de", "cd6f0776d7f12dc927b008a692439611bea444de")</f>
        <v>0</v>
      </c>
      <c r="D35432" t="s">
        <v>5509</v>
      </c>
      <c r="E35432" t="s">
        <v>8821</v>
      </c>
      <c r="F35432" t="s">
        <v>14180</v>
      </c>
      <c r="G35432" t="s">
        <v>18161</v>
      </c>
      <c r="H35432" t="s">
        <v>33781</v>
      </c>
    </row>
    <row r="35433" spans="1:8">
      <c r="A35433" t="s">
        <v>3101</v>
      </c>
      <c r="B35433">
        <f>HYPERLINK("https://android.googlesource.com/platform/cts/+/c4387eebbbb31da5d56f10460d01b7c8fb903131", "c4387eebbbb31da5d56f10460d01b7c8fb903131")</f>
        <v>0</v>
      </c>
      <c r="C35433">
        <f>HYPERLINK("https://android.googlesource.com/platform/cts/+/584873ad9f77dfbd694d0fa7a2cb52dc116b3006", "584873ad9f77dfbd694d0fa7a2cb52dc116b3006")</f>
        <v>0</v>
      </c>
      <c r="D35433" t="s">
        <v>5509</v>
      </c>
      <c r="E35433" t="s">
        <v>8822</v>
      </c>
      <c r="F35433" t="s">
        <v>14180</v>
      </c>
      <c r="G35433" t="s">
        <v>18161</v>
      </c>
      <c r="H35433" t="s">
        <v>33782</v>
      </c>
    </row>
    <row r="35434" spans="1:8">
      <c r="A35434" t="s">
        <v>3103</v>
      </c>
      <c r="B35434">
        <f>HYPERLINK("https://android.googlesource.com/platform/cts/+/37c85e4fc4a17134ab6b8006fe3ee78faf34a4d7", "37c85e4fc4a17134ab6b8006fe3ee78faf34a4d7")</f>
        <v>0</v>
      </c>
      <c r="C35434">
        <f>HYPERLINK("https://android.googlesource.com/platform/cts/+/0112fc5b0f0836ea7e0bc4fddc84bc28f0adbcf8", "0112fc5b0f0836ea7e0bc4fddc84bc28f0adbcf8")</f>
        <v>0</v>
      </c>
      <c r="D35434" t="s">
        <v>5189</v>
      </c>
      <c r="E35434" t="s">
        <v>8823</v>
      </c>
      <c r="F35434" t="s">
        <v>14136</v>
      </c>
      <c r="G35434" t="s">
        <v>18124</v>
      </c>
      <c r="H35434" t="s">
        <v>33783</v>
      </c>
    </row>
    <row r="35435" spans="1:8">
      <c r="A35435" t="s">
        <v>3106</v>
      </c>
      <c r="B35435">
        <f>HYPERLINK("https://android.googlesource.com/platform/cts/+/43658873a0edf4693c78ea7408408075cfee14f4", "43658873a0edf4693c78ea7408408075cfee14f4")</f>
        <v>0</v>
      </c>
      <c r="C35435">
        <f>HYPERLINK("https://android.googlesource.com/platform/cts/+/02b53f420a31e33ad1bf282a9315ad66660c3278", "02b53f420a31e33ad1bf282a9315ad66660c3278")</f>
        <v>0</v>
      </c>
      <c r="D35435" t="s">
        <v>5510</v>
      </c>
      <c r="E35435" t="s">
        <v>8824</v>
      </c>
      <c r="F35435" t="s">
        <v>14181</v>
      </c>
      <c r="G35435" t="s">
        <v>18162</v>
      </c>
      <c r="H35435" t="s">
        <v>33784</v>
      </c>
    </row>
    <row r="35436" spans="1:8">
      <c r="H35436" t="s">
        <v>33785</v>
      </c>
    </row>
    <row r="35437" spans="1:8">
      <c r="F35437" t="s">
        <v>14182</v>
      </c>
      <c r="G35437" t="s">
        <v>18163</v>
      </c>
      <c r="H35437" t="s">
        <v>33786</v>
      </c>
    </row>
    <row r="35438" spans="1:8">
      <c r="A35438" t="s">
        <v>3107</v>
      </c>
      <c r="B35438">
        <f>HYPERLINK("https://android.googlesource.com/platform/cts/+/4158a9719c9f7fb834466f52fd094fb010ce47b6", "4158a9719c9f7fb834466f52fd094fb010ce47b6")</f>
        <v>0</v>
      </c>
      <c r="C35438">
        <f>HYPERLINK("https://android.googlesource.com/platform/cts/+/6224b64ebebaa0ff66571b54e586d4948674c935", "6224b64ebebaa0ff66571b54e586d4948674c935")</f>
        <v>0</v>
      </c>
      <c r="D35438" t="s">
        <v>5489</v>
      </c>
      <c r="E35438" t="s">
        <v>8825</v>
      </c>
      <c r="F35438" t="s">
        <v>13576</v>
      </c>
      <c r="G35438" t="s">
        <v>16477</v>
      </c>
      <c r="H35438" t="s">
        <v>32531</v>
      </c>
    </row>
    <row r="35439" spans="1:8">
      <c r="A35439" t="s">
        <v>3109</v>
      </c>
      <c r="B35439">
        <f>HYPERLINK("https://android.googlesource.com/platform/cts/+/fd490a4dbe0394b5eaa1d614267a60bf914f79bf", "fd490a4dbe0394b5eaa1d614267a60bf914f79bf")</f>
        <v>0</v>
      </c>
      <c r="C35439">
        <f>HYPERLINK("https://android.googlesource.com/platform/cts/+/ba947fb6d73a1f38c996090c50375d1c70bc9b16", "ba947fb6d73a1f38c996090c50375d1c70bc9b16")</f>
        <v>0</v>
      </c>
      <c r="D35439" t="s">
        <v>5511</v>
      </c>
      <c r="E35439" t="s">
        <v>8826</v>
      </c>
      <c r="F35439" t="s">
        <v>14164</v>
      </c>
      <c r="G35439" t="s">
        <v>18147</v>
      </c>
      <c r="H35439" t="s">
        <v>33787</v>
      </c>
    </row>
    <row r="35440" spans="1:8">
      <c r="A35440" t="s">
        <v>3110</v>
      </c>
      <c r="B35440">
        <f>HYPERLINK("https://android.googlesource.com/platform/cts/+/a540ba77f393df32eecca11089b76e614720ca29", "a540ba77f393df32eecca11089b76e614720ca29")</f>
        <v>0</v>
      </c>
      <c r="C35440">
        <f>HYPERLINK("https://android.googlesource.com/platform/cts/+/ec4187ee55b047fd129f01e2484ab739ce7d335f", "ec4187ee55b047fd129f01e2484ab739ce7d335f")</f>
        <v>0</v>
      </c>
      <c r="D35440" t="s">
        <v>5481</v>
      </c>
      <c r="E35440" t="s">
        <v>8827</v>
      </c>
      <c r="F35440" t="s">
        <v>14124</v>
      </c>
      <c r="G35440" t="s">
        <v>18114</v>
      </c>
      <c r="H35440" t="s">
        <v>33788</v>
      </c>
    </row>
    <row r="35441" spans="1:8">
      <c r="A35441" t="s">
        <v>3111</v>
      </c>
      <c r="B35441">
        <f>HYPERLINK("https://android.googlesource.com/platform/cts/+/5ed995f69f82a726267e137a2a613e31866ea851", "5ed995f69f82a726267e137a2a613e31866ea851")</f>
        <v>0</v>
      </c>
      <c r="C35441">
        <f>HYPERLINK("https://android.googlesource.com/platform/cts/+/ffc622eb79a00c0f2e167ade8977aece0c62ac8e", "ffc622eb79a00c0f2e167ade8977aece0c62ac8e")</f>
        <v>0</v>
      </c>
      <c r="D35441" t="s">
        <v>5374</v>
      </c>
      <c r="E35441" t="s">
        <v>8828</v>
      </c>
      <c r="F35441" t="s">
        <v>13165</v>
      </c>
      <c r="G35441" t="s">
        <v>17315</v>
      </c>
      <c r="H35441" t="s">
        <v>33789</v>
      </c>
    </row>
    <row r="35442" spans="1:8">
      <c r="H35442" t="s">
        <v>33790</v>
      </c>
    </row>
    <row r="35443" spans="1:8">
      <c r="H35443" t="s">
        <v>33791</v>
      </c>
    </row>
    <row r="35444" spans="1:8">
      <c r="H35444" t="s">
        <v>33792</v>
      </c>
    </row>
    <row r="35445" spans="1:8">
      <c r="H35445" t="s">
        <v>33793</v>
      </c>
    </row>
    <row r="35446" spans="1:8">
      <c r="H35446" t="s">
        <v>33794</v>
      </c>
    </row>
    <row r="35447" spans="1:8">
      <c r="H35447" t="s">
        <v>33795</v>
      </c>
    </row>
    <row r="35448" spans="1:8">
      <c r="H35448" t="s">
        <v>33796</v>
      </c>
    </row>
    <row r="35449" spans="1:8">
      <c r="H35449" t="s">
        <v>33797</v>
      </c>
    </row>
    <row r="35450" spans="1:8">
      <c r="H35450" t="s">
        <v>33798</v>
      </c>
    </row>
    <row r="35451" spans="1:8">
      <c r="H35451" t="s">
        <v>33799</v>
      </c>
    </row>
    <row r="35452" spans="1:8">
      <c r="A35452" t="s">
        <v>3112</v>
      </c>
      <c r="B35452">
        <f>HYPERLINK("https://android.googlesource.com/platform/cts/+/88b423ebe0a738fd6149a18309cdbfee96296e38", "88b423ebe0a738fd6149a18309cdbfee96296e38")</f>
        <v>0</v>
      </c>
      <c r="C35452">
        <f>HYPERLINK("https://android.googlesource.com/platform/cts/+/b3d3ab708e697af9bda641476478a9b4b482cb7a", "b3d3ab708e697af9bda641476478a9b4b482cb7a")</f>
        <v>0</v>
      </c>
      <c r="D35452" t="s">
        <v>5481</v>
      </c>
      <c r="E35452" t="s">
        <v>8829</v>
      </c>
      <c r="F35452" t="s">
        <v>13707</v>
      </c>
      <c r="G35452" t="s">
        <v>17775</v>
      </c>
      <c r="H35452" t="s">
        <v>33800</v>
      </c>
    </row>
    <row r="35453" spans="1:8">
      <c r="A35453" t="s">
        <v>3113</v>
      </c>
      <c r="B35453">
        <f>HYPERLINK("https://android.googlesource.com/platform/cts/+/a672b5751d99d8dd966645dc75195e85643deb60", "a672b5751d99d8dd966645dc75195e85643deb60")</f>
        <v>0</v>
      </c>
      <c r="C35453">
        <f>HYPERLINK("https://android.googlesource.com/platform/cts/+/fc80d4cc95536675f67f0b112e2ccd6d5e337152", "fc80d4cc95536675f67f0b112e2ccd6d5e337152")</f>
        <v>0</v>
      </c>
      <c r="D35453" t="s">
        <v>5512</v>
      </c>
      <c r="E35453" t="s">
        <v>8830</v>
      </c>
      <c r="F35453" t="s">
        <v>14183</v>
      </c>
      <c r="G35453" t="s">
        <v>18164</v>
      </c>
      <c r="H35453" t="s">
        <v>19267</v>
      </c>
    </row>
    <row r="35454" spans="1:8">
      <c r="H35454" t="s">
        <v>18829</v>
      </c>
    </row>
    <row r="35455" spans="1:8">
      <c r="H35455" t="s">
        <v>18863</v>
      </c>
    </row>
    <row r="35456" spans="1:8">
      <c r="H35456" t="s">
        <v>33801</v>
      </c>
    </row>
    <row r="35457" spans="8:8">
      <c r="H35457" t="s">
        <v>33802</v>
      </c>
    </row>
    <row r="35458" spans="8:8">
      <c r="H35458" t="s">
        <v>33803</v>
      </c>
    </row>
    <row r="35459" spans="8:8">
      <c r="H35459" t="s">
        <v>33804</v>
      </c>
    </row>
    <row r="35460" spans="8:8">
      <c r="H35460" t="s">
        <v>20083</v>
      </c>
    </row>
    <row r="35461" spans="8:8">
      <c r="H35461" t="s">
        <v>33805</v>
      </c>
    </row>
    <row r="35462" spans="8:8">
      <c r="H35462" t="s">
        <v>33806</v>
      </c>
    </row>
    <row r="35463" spans="8:8">
      <c r="H35463" t="s">
        <v>33807</v>
      </c>
    </row>
    <row r="35464" spans="8:8">
      <c r="H35464" t="s">
        <v>19655</v>
      </c>
    </row>
    <row r="35465" spans="8:8">
      <c r="H35465" t="s">
        <v>33808</v>
      </c>
    </row>
    <row r="35466" spans="8:8">
      <c r="H35466" t="s">
        <v>33809</v>
      </c>
    </row>
    <row r="35467" spans="8:8">
      <c r="H35467" t="s">
        <v>33810</v>
      </c>
    </row>
    <row r="35468" spans="8:8">
      <c r="H35468" t="s">
        <v>33811</v>
      </c>
    </row>
    <row r="35469" spans="8:8">
      <c r="H35469" t="s">
        <v>33812</v>
      </c>
    </row>
    <row r="35470" spans="8:8">
      <c r="H35470" t="s">
        <v>33813</v>
      </c>
    </row>
    <row r="35471" spans="8:8">
      <c r="H35471" t="s">
        <v>33814</v>
      </c>
    </row>
    <row r="35472" spans="8:8">
      <c r="H35472" t="s">
        <v>33815</v>
      </c>
    </row>
    <row r="35473" spans="1:8">
      <c r="H35473" t="s">
        <v>33816</v>
      </c>
    </row>
    <row r="35474" spans="1:8">
      <c r="H35474" t="s">
        <v>33817</v>
      </c>
    </row>
    <row r="35475" spans="1:8">
      <c r="H35475" t="s">
        <v>33818</v>
      </c>
    </row>
    <row r="35476" spans="1:8">
      <c r="H35476" t="s">
        <v>33819</v>
      </c>
    </row>
    <row r="35477" spans="1:8">
      <c r="H35477" t="s">
        <v>20083</v>
      </c>
    </row>
    <row r="35478" spans="1:8">
      <c r="H35478" t="s">
        <v>31277</v>
      </c>
    </row>
    <row r="35479" spans="1:8">
      <c r="H35479" t="s">
        <v>33820</v>
      </c>
    </row>
    <row r="35480" spans="1:8">
      <c r="H35480" t="s">
        <v>33821</v>
      </c>
    </row>
    <row r="35481" spans="1:8">
      <c r="A35481" t="s">
        <v>3114</v>
      </c>
      <c r="B35481">
        <f>HYPERLINK("https://android.googlesource.com/platform/cts/+/02afda6fcc15ee8c1b3b80ed09194baf96c84a3d", "02afda6fcc15ee8c1b3b80ed09194baf96c84a3d")</f>
        <v>0</v>
      </c>
      <c r="C35481">
        <f>HYPERLINK("https://android.googlesource.com/platform/cts/+/140ea4b8d2624656efb6f09c8546642bbcb13bfa", "140ea4b8d2624656efb6f09c8546642bbcb13bfa")</f>
        <v>0</v>
      </c>
      <c r="D35481" t="s">
        <v>5513</v>
      </c>
      <c r="E35481" t="s">
        <v>8831</v>
      </c>
      <c r="F35481" t="s">
        <v>14184</v>
      </c>
      <c r="G35481" t="s">
        <v>18165</v>
      </c>
      <c r="H35481" t="s">
        <v>33822</v>
      </c>
    </row>
    <row r="35482" spans="1:8">
      <c r="A35482" t="s">
        <v>3115</v>
      </c>
      <c r="B35482">
        <f>HYPERLINK("https://android.googlesource.com/platform/cts/+/da9158bba60ba74dc30fc379716c878a37cfc003", "da9158bba60ba74dc30fc379716c878a37cfc003")</f>
        <v>0</v>
      </c>
      <c r="C35482">
        <f>HYPERLINK("https://android.googlesource.com/platform/cts/+/b3d3ab708e697af9bda641476478a9b4b482cb7a", "b3d3ab708e697af9bda641476478a9b4b482cb7a")</f>
        <v>0</v>
      </c>
      <c r="D35482" t="s">
        <v>5514</v>
      </c>
      <c r="E35482" t="s">
        <v>8832</v>
      </c>
      <c r="F35482" t="s">
        <v>13311</v>
      </c>
      <c r="G35482" t="s">
        <v>16471</v>
      </c>
      <c r="H35482" t="s">
        <v>33823</v>
      </c>
    </row>
    <row r="35483" spans="1:8">
      <c r="A35483" t="s">
        <v>3116</v>
      </c>
      <c r="B35483">
        <f>HYPERLINK("https://android.googlesource.com/platform/cts/+/1a07a0226b918ceca94efa835b30f4c51eb26182", "1a07a0226b918ceca94efa835b30f4c51eb26182")</f>
        <v>0</v>
      </c>
      <c r="C35483">
        <f>HYPERLINK("https://android.googlesource.com/platform/cts/+/3047367b6eea6b2539bc2f106549999b7055f486", "3047367b6eea6b2539bc2f106549999b7055f486")</f>
        <v>0</v>
      </c>
      <c r="D35483" t="s">
        <v>5473</v>
      </c>
      <c r="E35483" t="s">
        <v>8833</v>
      </c>
      <c r="F35483" t="s">
        <v>14185</v>
      </c>
      <c r="G35483" t="s">
        <v>18166</v>
      </c>
      <c r="H35483" t="s">
        <v>33824</v>
      </c>
    </row>
    <row r="35484" spans="1:8">
      <c r="H35484" t="s">
        <v>33825</v>
      </c>
    </row>
    <row r="35485" spans="1:8">
      <c r="H35485" t="s">
        <v>33826</v>
      </c>
    </row>
    <row r="35486" spans="1:8">
      <c r="H35486" t="s">
        <v>33827</v>
      </c>
    </row>
    <row r="35487" spans="1:8">
      <c r="H35487" t="s">
        <v>33828</v>
      </c>
    </row>
    <row r="35488" spans="1:8">
      <c r="H35488" t="s">
        <v>33829</v>
      </c>
    </row>
    <row r="35489" spans="8:8">
      <c r="H35489" t="s">
        <v>33830</v>
      </c>
    </row>
    <row r="35490" spans="8:8">
      <c r="H35490" t="s">
        <v>33831</v>
      </c>
    </row>
    <row r="35491" spans="8:8">
      <c r="H35491" t="s">
        <v>33832</v>
      </c>
    </row>
    <row r="35492" spans="8:8">
      <c r="H35492" t="s">
        <v>33833</v>
      </c>
    </row>
    <row r="35493" spans="8:8">
      <c r="H35493" t="s">
        <v>33834</v>
      </c>
    </row>
    <row r="35494" spans="8:8">
      <c r="H35494" t="s">
        <v>33835</v>
      </c>
    </row>
    <row r="35495" spans="8:8">
      <c r="H35495" t="s">
        <v>33836</v>
      </c>
    </row>
    <row r="35496" spans="8:8">
      <c r="H35496" t="s">
        <v>33837</v>
      </c>
    </row>
    <row r="35497" spans="8:8">
      <c r="H35497" t="s">
        <v>33838</v>
      </c>
    </row>
    <row r="35498" spans="8:8">
      <c r="H35498" t="s">
        <v>33839</v>
      </c>
    </row>
    <row r="35499" spans="8:8">
      <c r="H35499" t="s">
        <v>33840</v>
      </c>
    </row>
    <row r="35500" spans="8:8">
      <c r="H35500" t="s">
        <v>33841</v>
      </c>
    </row>
    <row r="35501" spans="8:8">
      <c r="H35501" t="s">
        <v>33842</v>
      </c>
    </row>
    <row r="35502" spans="8:8">
      <c r="H35502" t="s">
        <v>33843</v>
      </c>
    </row>
    <row r="35503" spans="8:8">
      <c r="H35503" t="s">
        <v>33844</v>
      </c>
    </row>
    <row r="35504" spans="8:8">
      <c r="H35504" t="s">
        <v>33845</v>
      </c>
    </row>
    <row r="35505" spans="8:8">
      <c r="H35505" t="s">
        <v>33846</v>
      </c>
    </row>
    <row r="35506" spans="8:8">
      <c r="H35506" t="s">
        <v>33847</v>
      </c>
    </row>
    <row r="35507" spans="8:8">
      <c r="H35507" t="s">
        <v>33848</v>
      </c>
    </row>
    <row r="35508" spans="8:8">
      <c r="H35508" t="s">
        <v>33849</v>
      </c>
    </row>
    <row r="35509" spans="8:8">
      <c r="H35509" t="s">
        <v>33850</v>
      </c>
    </row>
    <row r="35510" spans="8:8">
      <c r="H35510" t="s">
        <v>33851</v>
      </c>
    </row>
    <row r="35511" spans="8:8">
      <c r="H35511" t="s">
        <v>33852</v>
      </c>
    </row>
    <row r="35512" spans="8:8">
      <c r="H35512" t="s">
        <v>33853</v>
      </c>
    </row>
    <row r="35513" spans="8:8">
      <c r="H35513" t="s">
        <v>33854</v>
      </c>
    </row>
    <row r="35514" spans="8:8">
      <c r="H35514" t="s">
        <v>33855</v>
      </c>
    </row>
    <row r="35515" spans="8:8">
      <c r="H35515" t="s">
        <v>33856</v>
      </c>
    </row>
    <row r="35516" spans="8:8">
      <c r="H35516" t="s">
        <v>33857</v>
      </c>
    </row>
    <row r="35517" spans="8:8">
      <c r="H35517" t="s">
        <v>33858</v>
      </c>
    </row>
    <row r="35518" spans="8:8">
      <c r="H35518" t="s">
        <v>33859</v>
      </c>
    </row>
    <row r="35519" spans="8:8">
      <c r="H35519" t="s">
        <v>33860</v>
      </c>
    </row>
    <row r="35520" spans="8:8">
      <c r="H35520" t="s">
        <v>33861</v>
      </c>
    </row>
    <row r="35521" spans="1:8">
      <c r="H35521" t="s">
        <v>33862</v>
      </c>
    </row>
    <row r="35522" spans="1:8">
      <c r="H35522" t="s">
        <v>33863</v>
      </c>
    </row>
    <row r="35523" spans="1:8">
      <c r="A35523" t="s">
        <v>3117</v>
      </c>
      <c r="B35523">
        <f>HYPERLINK("https://android.googlesource.com/platform/cts/+/91918926e8ab6411266e070e225e9f0fe5ab0b70", "91918926e8ab6411266e070e225e9f0fe5ab0b70")</f>
        <v>0</v>
      </c>
      <c r="C35523">
        <f>HYPERLINK("https://android.googlesource.com/platform/cts/+/2fb31579bfc425aec628dcbd5d72a719b17b0279", "2fb31579bfc425aec628dcbd5d72a719b17b0279")</f>
        <v>0</v>
      </c>
      <c r="D35523" t="s">
        <v>5507</v>
      </c>
      <c r="E35523" t="s">
        <v>8834</v>
      </c>
      <c r="F35523" t="s">
        <v>13357</v>
      </c>
      <c r="G35523" t="s">
        <v>17484</v>
      </c>
      <c r="H35523" t="s">
        <v>33864</v>
      </c>
    </row>
    <row r="35524" spans="1:8">
      <c r="H35524" t="s">
        <v>33865</v>
      </c>
    </row>
    <row r="35525" spans="1:8">
      <c r="H35525" t="s">
        <v>33866</v>
      </c>
    </row>
    <row r="35526" spans="1:8">
      <c r="H35526" t="s">
        <v>33867</v>
      </c>
    </row>
    <row r="35527" spans="1:8">
      <c r="H35527" t="s">
        <v>33868</v>
      </c>
    </row>
    <row r="35528" spans="1:8">
      <c r="H35528" t="s">
        <v>33869</v>
      </c>
    </row>
    <row r="35529" spans="1:8">
      <c r="H35529" t="s">
        <v>33870</v>
      </c>
    </row>
    <row r="35530" spans="1:8">
      <c r="H35530" t="s">
        <v>33871</v>
      </c>
    </row>
    <row r="35531" spans="1:8">
      <c r="H35531" t="s">
        <v>33872</v>
      </c>
    </row>
    <row r="35532" spans="1:8">
      <c r="H35532" t="s">
        <v>33873</v>
      </c>
    </row>
    <row r="35533" spans="1:8">
      <c r="H35533" t="s">
        <v>33874</v>
      </c>
    </row>
    <row r="35534" spans="1:8">
      <c r="H35534" t="s">
        <v>33875</v>
      </c>
    </row>
    <row r="35535" spans="1:8">
      <c r="H35535" t="s">
        <v>33876</v>
      </c>
    </row>
    <row r="35536" spans="1:8">
      <c r="H35536" t="s">
        <v>33877</v>
      </c>
    </row>
    <row r="35537" spans="1:8">
      <c r="H35537" t="s">
        <v>33878</v>
      </c>
    </row>
    <row r="35538" spans="1:8">
      <c r="H35538" t="s">
        <v>33879</v>
      </c>
    </row>
    <row r="35539" spans="1:8">
      <c r="H35539" t="s">
        <v>33880</v>
      </c>
    </row>
    <row r="35540" spans="1:8">
      <c r="H35540" t="s">
        <v>33881</v>
      </c>
    </row>
    <row r="35541" spans="1:8">
      <c r="H35541" t="s">
        <v>33882</v>
      </c>
    </row>
    <row r="35542" spans="1:8">
      <c r="A35542" t="s">
        <v>3118</v>
      </c>
      <c r="B35542">
        <f>HYPERLINK("https://android.googlesource.com/platform/cts/+/a157dc2cee95b5bdf2522ef9d94021cfece0a3ac", "a157dc2cee95b5bdf2522ef9d94021cfece0a3ac")</f>
        <v>0</v>
      </c>
      <c r="C35542">
        <f>HYPERLINK("https://android.googlesource.com/platform/cts/+/91918926e8ab6411266e070e225e9f0fe5ab0b70", "91918926e8ab6411266e070e225e9f0fe5ab0b70")</f>
        <v>0</v>
      </c>
      <c r="D35542" t="s">
        <v>5507</v>
      </c>
      <c r="E35542" t="s">
        <v>8835</v>
      </c>
      <c r="F35542" t="s">
        <v>14186</v>
      </c>
      <c r="G35542" t="s">
        <v>16552</v>
      </c>
      <c r="H35542" t="s">
        <v>33883</v>
      </c>
    </row>
    <row r="35543" spans="1:8">
      <c r="A35543" t="s">
        <v>3119</v>
      </c>
      <c r="B35543">
        <f>HYPERLINK("https://android.googlesource.com/platform/cts/+/35b59a4edc280ad4398c9d4bd8b51770d3cbc76f", "35b59a4edc280ad4398c9d4bd8b51770d3cbc76f")</f>
        <v>0</v>
      </c>
      <c r="C35543">
        <f>HYPERLINK("https://android.googlesource.com/platform/cts/+/3c69bc43a1a6a1195c32b2f2c9933ed28a62157e", "3c69bc43a1a6a1195c32b2f2c9933ed28a62157e")</f>
        <v>0</v>
      </c>
      <c r="D35543" t="s">
        <v>5272</v>
      </c>
      <c r="E35543" t="s">
        <v>8836</v>
      </c>
      <c r="F35543" t="s">
        <v>13284</v>
      </c>
      <c r="G35543" t="s">
        <v>17421</v>
      </c>
      <c r="H35543" t="s">
        <v>26282</v>
      </c>
    </row>
    <row r="35544" spans="1:8">
      <c r="F35544" t="s">
        <v>14187</v>
      </c>
      <c r="G35544" t="s">
        <v>18167</v>
      </c>
      <c r="H35544" t="s">
        <v>18829</v>
      </c>
    </row>
    <row r="35545" spans="1:8">
      <c r="H35545" t="s">
        <v>18863</v>
      </c>
    </row>
    <row r="35546" spans="1:8">
      <c r="H35546" t="s">
        <v>33113</v>
      </c>
    </row>
    <row r="35547" spans="1:8">
      <c r="H35547" t="s">
        <v>33114</v>
      </c>
    </row>
    <row r="35548" spans="1:8">
      <c r="H35548" t="s">
        <v>33115</v>
      </c>
    </row>
    <row r="35549" spans="1:8">
      <c r="H35549" t="s">
        <v>26282</v>
      </c>
    </row>
    <row r="35550" spans="1:8">
      <c r="H35550" t="s">
        <v>33884</v>
      </c>
    </row>
    <row r="35551" spans="1:8">
      <c r="H35551" t="s">
        <v>33885</v>
      </c>
    </row>
    <row r="35552" spans="1:8">
      <c r="H35552" t="s">
        <v>33886</v>
      </c>
    </row>
    <row r="35553" spans="1:8">
      <c r="H35553" t="s">
        <v>33887</v>
      </c>
    </row>
    <row r="35554" spans="1:8">
      <c r="H35554" t="s">
        <v>33888</v>
      </c>
    </row>
    <row r="35555" spans="1:8">
      <c r="H35555" t="s">
        <v>33889</v>
      </c>
    </row>
    <row r="35556" spans="1:8">
      <c r="H35556" t="s">
        <v>33890</v>
      </c>
    </row>
    <row r="35557" spans="1:8">
      <c r="H35557" t="s">
        <v>33891</v>
      </c>
    </row>
    <row r="35558" spans="1:8">
      <c r="H35558" t="s">
        <v>33892</v>
      </c>
    </row>
    <row r="35559" spans="1:8">
      <c r="A35559" t="s">
        <v>3122</v>
      </c>
      <c r="B35559">
        <f>HYPERLINK("https://android.googlesource.com/platform/cts/+/b7c9acf11a121291975f752b5fc1d1b3ad047c10", "b7c9acf11a121291975f752b5fc1d1b3ad047c10")</f>
        <v>0</v>
      </c>
      <c r="C35559">
        <f>HYPERLINK("https://android.googlesource.com/platform/cts/+/c0cf0eec37f17a156b43727c6fa2ce5ed32c4b40", "c0cf0eec37f17a156b43727c6fa2ce5ed32c4b40")</f>
        <v>0</v>
      </c>
      <c r="D35559" t="s">
        <v>5096</v>
      </c>
      <c r="E35559" t="s">
        <v>8839</v>
      </c>
      <c r="F35559" t="s">
        <v>14165</v>
      </c>
      <c r="G35559" t="s">
        <v>17361</v>
      </c>
      <c r="H35559" t="s">
        <v>33893</v>
      </c>
    </row>
    <row r="35560" spans="1:8">
      <c r="A35560" t="s">
        <v>3123</v>
      </c>
      <c r="B35560">
        <f>HYPERLINK("https://android.googlesource.com/platform/cts/+/1c14a93e39410c5a4515e0eff7d0e299ae014164", "1c14a93e39410c5a4515e0eff7d0e299ae014164")</f>
        <v>0</v>
      </c>
      <c r="C35560">
        <f>HYPERLINK("https://android.googlesource.com/platform/cts/+/8952224479769b4ba3557ac134d8c853f4c90c48", "8952224479769b4ba3557ac134d8c853f4c90c48")</f>
        <v>0</v>
      </c>
      <c r="D35560" t="s">
        <v>5363</v>
      </c>
      <c r="E35560" t="s">
        <v>8840</v>
      </c>
      <c r="F35560" t="s">
        <v>14033</v>
      </c>
      <c r="G35560" t="s">
        <v>18030</v>
      </c>
      <c r="H35560" t="s">
        <v>32856</v>
      </c>
    </row>
    <row r="35561" spans="1:8">
      <c r="H35561" t="s">
        <v>32924</v>
      </c>
    </row>
    <row r="35562" spans="1:8">
      <c r="H35562" t="s">
        <v>32925</v>
      </c>
    </row>
    <row r="35563" spans="1:8">
      <c r="H35563" t="s">
        <v>32933</v>
      </c>
    </row>
    <row r="35564" spans="1:8">
      <c r="H35564" t="s">
        <v>33894</v>
      </c>
    </row>
    <row r="35565" spans="1:8">
      <c r="A35565" t="s">
        <v>3124</v>
      </c>
      <c r="B35565">
        <f>HYPERLINK("https://android.googlesource.com/platform/cts/+/c5afdc881bc708bbe90409784bd4319e89b9c743", "c5afdc881bc708bbe90409784bd4319e89b9c743")</f>
        <v>0</v>
      </c>
      <c r="C35565">
        <f>HYPERLINK("https://android.googlesource.com/platform/cts/+/35074dc15f7fd18ad768292b1f6883a08b2f402b", "35074dc15f7fd18ad768292b1f6883a08b2f402b")</f>
        <v>0</v>
      </c>
      <c r="D35565" t="s">
        <v>5502</v>
      </c>
      <c r="E35565" t="s">
        <v>8841</v>
      </c>
      <c r="F35565" t="s">
        <v>14188</v>
      </c>
      <c r="G35565" t="s">
        <v>18168</v>
      </c>
      <c r="H35565" t="s">
        <v>33895</v>
      </c>
    </row>
    <row r="35566" spans="1:8">
      <c r="H35566" t="s">
        <v>33896</v>
      </c>
    </row>
    <row r="35567" spans="1:8">
      <c r="H35567" t="s">
        <v>18836</v>
      </c>
    </row>
    <row r="35568" spans="1:8">
      <c r="H35568" t="s">
        <v>19010</v>
      </c>
    </row>
    <row r="35569" spans="1:8">
      <c r="H35569" t="s">
        <v>33897</v>
      </c>
    </row>
    <row r="35570" spans="1:8">
      <c r="H35570" t="s">
        <v>33898</v>
      </c>
    </row>
    <row r="35571" spans="1:8">
      <c r="A35571" t="s">
        <v>3125</v>
      </c>
      <c r="B35571">
        <f>HYPERLINK("https://android.googlesource.com/platform/cts/+/0aa51fceeec7d72520571d9f1f1232511cbc1f6b", "0aa51fceeec7d72520571d9f1f1232511cbc1f6b")</f>
        <v>0</v>
      </c>
      <c r="C35571">
        <f>HYPERLINK("https://android.googlesource.com/platform/cts/+/9e2b08c2eefe8451af1f3c4760e524f0dbaf2074", "9e2b08c2eefe8451af1f3c4760e524f0dbaf2074")</f>
        <v>0</v>
      </c>
      <c r="D35571" t="s">
        <v>5515</v>
      </c>
      <c r="E35571" t="s">
        <v>8842</v>
      </c>
      <c r="F35571" t="s">
        <v>14084</v>
      </c>
      <c r="G35571" t="s">
        <v>18080</v>
      </c>
      <c r="H35571" t="s">
        <v>33899</v>
      </c>
    </row>
    <row r="35572" spans="1:8">
      <c r="H35572" t="s">
        <v>33900</v>
      </c>
    </row>
    <row r="35573" spans="1:8">
      <c r="A35573" t="s">
        <v>3126</v>
      </c>
      <c r="B35573">
        <f>HYPERLINK("https://android.googlesource.com/platform/cts/+/203b3c7cfc10ca0651aad8e75ebd5c573b303002", "203b3c7cfc10ca0651aad8e75ebd5c573b303002")</f>
        <v>0</v>
      </c>
      <c r="C35573">
        <f>HYPERLINK("https://android.googlesource.com/platform/cts/+/1f3dab8daf977436eb03c033e4985638dd567247", "1f3dab8daf977436eb03c033e4985638dd567247")</f>
        <v>0</v>
      </c>
      <c r="D35573" t="s">
        <v>5502</v>
      </c>
      <c r="E35573" t="s">
        <v>8843</v>
      </c>
      <c r="F35573" t="s">
        <v>14188</v>
      </c>
      <c r="G35573" t="s">
        <v>18168</v>
      </c>
      <c r="H35573" t="s">
        <v>33895</v>
      </c>
    </row>
    <row r="35574" spans="1:8">
      <c r="H35574" t="s">
        <v>33896</v>
      </c>
    </row>
    <row r="35575" spans="1:8">
      <c r="H35575" t="s">
        <v>18836</v>
      </c>
    </row>
    <row r="35576" spans="1:8">
      <c r="H35576" t="s">
        <v>19010</v>
      </c>
    </row>
    <row r="35577" spans="1:8">
      <c r="H35577" t="s">
        <v>33897</v>
      </c>
    </row>
    <row r="35578" spans="1:8">
      <c r="H35578" t="s">
        <v>33898</v>
      </c>
    </row>
    <row r="35579" spans="1:8">
      <c r="A35579" t="s">
        <v>3127</v>
      </c>
      <c r="B35579">
        <f>HYPERLINK("https://android.googlesource.com/platform/cts/+/7bac17e6ddb3c7fe0b47c1c5092a317ad14663c4", "7bac17e6ddb3c7fe0b47c1c5092a317ad14663c4")</f>
        <v>0</v>
      </c>
      <c r="C35579">
        <f>HYPERLINK("https://android.googlesource.com/platform/cts/+/4bf642bcd9796a67451e09adc55ec71c600c4764", "4bf642bcd9796a67451e09adc55ec71c600c4764")</f>
        <v>0</v>
      </c>
      <c r="D35579" t="s">
        <v>5482</v>
      </c>
      <c r="E35579" t="s">
        <v>8844</v>
      </c>
      <c r="F35579" t="s">
        <v>14102</v>
      </c>
      <c r="G35579" t="s">
        <v>18095</v>
      </c>
      <c r="H35579" t="s">
        <v>33901</v>
      </c>
    </row>
    <row r="35580" spans="1:8">
      <c r="A35580" t="s">
        <v>3128</v>
      </c>
      <c r="B35580">
        <f>HYPERLINK("https://android.googlesource.com/platform/cts/+/b58ec1c04ea66db742c97c9683ead4b87ddbd11b", "b58ec1c04ea66db742c97c9683ead4b87ddbd11b")</f>
        <v>0</v>
      </c>
      <c r="C35580">
        <f>HYPERLINK("https://android.googlesource.com/platform/cts/+/0b753940813981a0a4563b9c79e911547c8579a2", "0b753940813981a0a4563b9c79e911547c8579a2")</f>
        <v>0</v>
      </c>
      <c r="D35580" t="s">
        <v>5512</v>
      </c>
      <c r="E35580" t="s">
        <v>8845</v>
      </c>
      <c r="F35580" t="s">
        <v>13990</v>
      </c>
      <c r="G35580" t="s">
        <v>18009</v>
      </c>
      <c r="H35580" t="s">
        <v>33902</v>
      </c>
    </row>
    <row r="35581" spans="1:8">
      <c r="A35581" t="s">
        <v>3130</v>
      </c>
      <c r="B35581">
        <f>HYPERLINK("https://android.googlesource.com/platform/cts/+/1c5950a84a82647b0354464321d8fdff41abd0e0", "1c5950a84a82647b0354464321d8fdff41abd0e0")</f>
        <v>0</v>
      </c>
      <c r="C35581">
        <f>HYPERLINK("https://android.googlesource.com/platform/cts/+/86f97af41c9ab8096600961c1d5923616743e7c4", "86f97af41c9ab8096600961c1d5923616743e7c4")</f>
        <v>0</v>
      </c>
      <c r="D35581" t="s">
        <v>5507</v>
      </c>
      <c r="E35581" t="s">
        <v>8847</v>
      </c>
      <c r="F35581" t="s">
        <v>14121</v>
      </c>
      <c r="G35581" t="s">
        <v>16426</v>
      </c>
      <c r="H35581" t="s">
        <v>30392</v>
      </c>
    </row>
    <row r="35582" spans="1:8">
      <c r="H35582" t="s">
        <v>30393</v>
      </c>
    </row>
    <row r="35583" spans="1:8">
      <c r="A35583" t="s">
        <v>3131</v>
      </c>
      <c r="B35583">
        <f>HYPERLINK("https://android.googlesource.com/platform/cts/+/e1275aa1b3e35335f3c2dc72ef7c0088897f6804", "e1275aa1b3e35335f3c2dc72ef7c0088897f6804")</f>
        <v>0</v>
      </c>
      <c r="C35583">
        <f>HYPERLINK("https://android.googlesource.com/platform/cts/+/69d129d7d21a303b2da3ad5d8da38be22ed13f4c", "69d129d7d21a303b2da3ad5d8da38be22ed13f4c")</f>
        <v>0</v>
      </c>
      <c r="D35583" t="s">
        <v>5497</v>
      </c>
      <c r="E35583" t="s">
        <v>8848</v>
      </c>
      <c r="F35583" t="s">
        <v>14145</v>
      </c>
      <c r="G35583" t="s">
        <v>18133</v>
      </c>
      <c r="H35583" t="s">
        <v>33903</v>
      </c>
    </row>
    <row r="35584" spans="1:8">
      <c r="A35584" t="s">
        <v>3132</v>
      </c>
      <c r="B35584">
        <f>HYPERLINK("https://android.googlesource.com/platform/cts/+/3f140e8024bf5f283eb8577fb7572594bed9427d", "3f140e8024bf5f283eb8577fb7572594bed9427d")</f>
        <v>0</v>
      </c>
      <c r="C35584">
        <f>HYPERLINK("https://android.googlesource.com/platform/cts/+/7a1edbf498714ccd9d551e172ee7bf9a87a6e454", "7a1edbf498714ccd9d551e172ee7bf9a87a6e454")</f>
        <v>0</v>
      </c>
      <c r="D35584" t="s">
        <v>5494</v>
      </c>
      <c r="E35584" t="s">
        <v>8849</v>
      </c>
      <c r="F35584" t="s">
        <v>14133</v>
      </c>
      <c r="G35584" t="s">
        <v>18122</v>
      </c>
      <c r="H35584" t="s">
        <v>33904</v>
      </c>
    </row>
    <row r="35585" spans="1:8">
      <c r="A35585" t="s">
        <v>3134</v>
      </c>
      <c r="B35585">
        <f>HYPERLINK("https://android.googlesource.com/platform/cts/+/bd679fdac9eba1c5b8b64eed41ae968f93ac16bf", "bd679fdac9eba1c5b8b64eed41ae968f93ac16bf")</f>
        <v>0</v>
      </c>
      <c r="C35585">
        <f>HYPERLINK("https://android.googlesource.com/platform/cts/+/d719a72c716c906cdd47091237d2a7c189bf75b1", "d719a72c716c906cdd47091237d2a7c189bf75b1")</f>
        <v>0</v>
      </c>
      <c r="D35585" t="s">
        <v>5473</v>
      </c>
      <c r="E35585" t="s">
        <v>8851</v>
      </c>
      <c r="F35585" t="s">
        <v>14185</v>
      </c>
      <c r="G35585" t="s">
        <v>18166</v>
      </c>
      <c r="H35585" t="s">
        <v>33905</v>
      </c>
    </row>
    <row r="35586" spans="1:8">
      <c r="A35586" t="s">
        <v>3135</v>
      </c>
      <c r="B35586">
        <f>HYPERLINK("https://android.googlesource.com/platform/cts/+/2778a5c4258fe732b963838deee4cd1a4b2a3980", "2778a5c4258fe732b963838deee4cd1a4b2a3980")</f>
        <v>0</v>
      </c>
      <c r="C35586">
        <f>HYPERLINK("https://android.googlesource.com/platform/cts/+/ae621cb53ea14e430ec4a768e6bf9b4363931ccc", "ae621cb53ea14e430ec4a768e6bf9b4363931ccc")</f>
        <v>0</v>
      </c>
      <c r="D35586" t="s">
        <v>5443</v>
      </c>
      <c r="E35586" t="s">
        <v>8852</v>
      </c>
      <c r="F35586" t="s">
        <v>13550</v>
      </c>
      <c r="G35586" t="s">
        <v>17569</v>
      </c>
      <c r="H35586" t="s">
        <v>33906</v>
      </c>
    </row>
    <row r="35587" spans="1:8">
      <c r="A35587" t="s">
        <v>3136</v>
      </c>
      <c r="B35587">
        <f>HYPERLINK("https://android.googlesource.com/platform/cts/+/ac34967dba05fa78db298c5e500c387c3d2517e2", "ac34967dba05fa78db298c5e500c387c3d2517e2")</f>
        <v>0</v>
      </c>
      <c r="C35587">
        <f>HYPERLINK("https://android.googlesource.com/platform/cts/+/04e6fd7033732ca5fdf7039f038def121013dccb", "04e6fd7033732ca5fdf7039f038def121013dccb")</f>
        <v>0</v>
      </c>
      <c r="D35587" t="s">
        <v>5517</v>
      </c>
      <c r="E35587" t="s">
        <v>8853</v>
      </c>
      <c r="F35587" t="s">
        <v>13977</v>
      </c>
      <c r="G35587" t="s">
        <v>18002</v>
      </c>
      <c r="H35587" t="s">
        <v>33907</v>
      </c>
    </row>
    <row r="35588" spans="1:8">
      <c r="H35588" t="s">
        <v>33908</v>
      </c>
    </row>
    <row r="35589" spans="1:8">
      <c r="A35589" t="s">
        <v>3137</v>
      </c>
      <c r="B35589">
        <f>HYPERLINK("https://android.googlesource.com/platform/cts/+/423f3deece28096078a2555c0c6945a1b9d5799d", "423f3deece28096078a2555c0c6945a1b9d5799d")</f>
        <v>0</v>
      </c>
      <c r="C35589">
        <f>HYPERLINK("https://android.googlesource.com/platform/cts/+/a70f55909db3f19bf87eb223f6eb919d58c1b2ad", "a70f55909db3f19bf87eb223f6eb919d58c1b2ad")</f>
        <v>0</v>
      </c>
      <c r="D35589" t="s">
        <v>5518</v>
      </c>
      <c r="E35589" t="s">
        <v>8854</v>
      </c>
      <c r="F35589" t="s">
        <v>13371</v>
      </c>
      <c r="G35589" t="s">
        <v>17498</v>
      </c>
      <c r="H35589" t="s">
        <v>33909</v>
      </c>
    </row>
    <row r="35590" spans="1:8">
      <c r="H35590" t="s">
        <v>33910</v>
      </c>
    </row>
    <row r="35591" spans="1:8">
      <c r="H35591" t="s">
        <v>33911</v>
      </c>
    </row>
    <row r="35592" spans="1:8">
      <c r="H35592" t="s">
        <v>33912</v>
      </c>
    </row>
    <row r="35593" spans="1:8">
      <c r="A35593" t="s">
        <v>3138</v>
      </c>
      <c r="B35593">
        <f>HYPERLINK("https://android.googlesource.com/platform/cts/+/85b5246de15577b5462b9db1a18bb5db1d63cd74", "85b5246de15577b5462b9db1a18bb5db1d63cd74")</f>
        <v>0</v>
      </c>
      <c r="C35593">
        <f>HYPERLINK("https://android.googlesource.com/platform/cts/+/3eec0692c7ab8ed72723e2889aa747b5b44296f5", "3eec0692c7ab8ed72723e2889aa747b5b44296f5")</f>
        <v>0</v>
      </c>
      <c r="D35593" t="s">
        <v>5244</v>
      </c>
      <c r="E35593" t="s">
        <v>8855</v>
      </c>
      <c r="F35593" t="s">
        <v>14065</v>
      </c>
      <c r="G35593" t="s">
        <v>18063</v>
      </c>
      <c r="H35593" t="s">
        <v>33913</v>
      </c>
    </row>
    <row r="35594" spans="1:8">
      <c r="A35594" t="s">
        <v>3141</v>
      </c>
      <c r="B35594">
        <f>HYPERLINK("https://android.googlesource.com/platform/cts/+/a57cfc167fdc49c4cd91e7b4cf2f5f0b47e03e14", "a57cfc167fdc49c4cd91e7b4cf2f5f0b47e03e14")</f>
        <v>0</v>
      </c>
      <c r="C35594">
        <f>HYPERLINK("https://android.googlesource.com/platform/cts/+/b3705b190f03f63d6f6b9c296b770581af927477", "b3705b190f03f63d6f6b9c296b770581af927477")</f>
        <v>0</v>
      </c>
      <c r="D35594" t="s">
        <v>5244</v>
      </c>
      <c r="E35594" t="s">
        <v>8858</v>
      </c>
      <c r="F35594" t="s">
        <v>13182</v>
      </c>
      <c r="G35594" t="s">
        <v>17326</v>
      </c>
      <c r="H35594" t="s">
        <v>32669</v>
      </c>
    </row>
    <row r="35595" spans="1:8">
      <c r="H35595" t="s">
        <v>32670</v>
      </c>
    </row>
    <row r="35596" spans="1:8">
      <c r="F35596" t="s">
        <v>13183</v>
      </c>
      <c r="G35596" t="s">
        <v>17327</v>
      </c>
      <c r="H35596" t="s">
        <v>32669</v>
      </c>
    </row>
    <row r="35597" spans="1:8">
      <c r="F35597" t="s">
        <v>13184</v>
      </c>
      <c r="G35597" t="s">
        <v>17328</v>
      </c>
      <c r="H35597" t="s">
        <v>32669</v>
      </c>
    </row>
    <row r="35598" spans="1:8">
      <c r="H35598" t="s">
        <v>32670</v>
      </c>
    </row>
    <row r="35599" spans="1:8">
      <c r="F35599" t="s">
        <v>12893</v>
      </c>
      <c r="G35599" t="s">
        <v>17060</v>
      </c>
      <c r="H35599" t="s">
        <v>32669</v>
      </c>
    </row>
    <row r="35600" spans="1:8">
      <c r="F35600" t="s">
        <v>13857</v>
      </c>
      <c r="G35600" t="s">
        <v>17899</v>
      </c>
      <c r="H35600" t="s">
        <v>32669</v>
      </c>
    </row>
    <row r="35601" spans="1:8">
      <c r="H35601" t="s">
        <v>32671</v>
      </c>
    </row>
    <row r="35602" spans="1:8">
      <c r="F35602" t="s">
        <v>13185</v>
      </c>
      <c r="G35602" t="s">
        <v>17329</v>
      </c>
      <c r="H35602" t="s">
        <v>32669</v>
      </c>
    </row>
    <row r="35603" spans="1:8">
      <c r="H35603" t="s">
        <v>32670</v>
      </c>
    </row>
    <row r="35604" spans="1:8">
      <c r="F35604" t="s">
        <v>13186</v>
      </c>
      <c r="G35604" t="s">
        <v>17330</v>
      </c>
      <c r="H35604" t="s">
        <v>32669</v>
      </c>
    </row>
    <row r="35605" spans="1:8">
      <c r="F35605" t="s">
        <v>13976</v>
      </c>
      <c r="G35605" t="s">
        <v>18001</v>
      </c>
      <c r="H35605" t="s">
        <v>32671</v>
      </c>
    </row>
    <row r="35606" spans="1:8">
      <c r="F35606" t="s">
        <v>13977</v>
      </c>
      <c r="G35606" t="s">
        <v>18002</v>
      </c>
      <c r="H35606" t="s">
        <v>32672</v>
      </c>
    </row>
    <row r="35607" spans="1:8">
      <c r="H35607" t="s">
        <v>32673</v>
      </c>
    </row>
    <row r="35608" spans="1:8">
      <c r="A35608" t="s">
        <v>3142</v>
      </c>
      <c r="B35608">
        <f>HYPERLINK("https://android.googlesource.com/platform/cts/+/b83ae81876ce6f20557f33d7f2908852ea1648c4", "b83ae81876ce6f20557f33d7f2908852ea1648c4")</f>
        <v>0</v>
      </c>
      <c r="C35608">
        <f>HYPERLINK("https://android.googlesource.com/platform/cts/+/443be8a371182ce9c605164fbb1efad05880dfdf", "443be8a371182ce9c605164fbb1efad05880dfdf")</f>
        <v>0</v>
      </c>
      <c r="D35608" t="s">
        <v>5195</v>
      </c>
      <c r="E35608" t="s">
        <v>8859</v>
      </c>
      <c r="F35608" t="s">
        <v>14189</v>
      </c>
      <c r="G35608" t="s">
        <v>14997</v>
      </c>
      <c r="H35608" t="s">
        <v>18834</v>
      </c>
    </row>
    <row r="35609" spans="1:8">
      <c r="H35609" t="s">
        <v>33914</v>
      </c>
    </row>
    <row r="35610" spans="1:8">
      <c r="H35610" t="s">
        <v>32851</v>
      </c>
    </row>
    <row r="35611" spans="1:8">
      <c r="H35611" t="s">
        <v>33915</v>
      </c>
    </row>
    <row r="35612" spans="1:8">
      <c r="A35612" t="s">
        <v>3143</v>
      </c>
      <c r="B35612">
        <f>HYPERLINK("https://android.googlesource.com/platform/cts/+/7299e11c49ffb7f44924705c1a84291eade5f940", "7299e11c49ffb7f44924705c1a84291eade5f940")</f>
        <v>0</v>
      </c>
      <c r="C35612">
        <f>HYPERLINK("https://android.googlesource.com/platform/cts/+/c0452589756bd12a53efb6813f44fb395598833f", "c0452589756bd12a53efb6813f44fb395598833f")</f>
        <v>0</v>
      </c>
      <c r="D35612" t="s">
        <v>5396</v>
      </c>
      <c r="E35612" t="s">
        <v>8860</v>
      </c>
      <c r="F35612" t="s">
        <v>14190</v>
      </c>
      <c r="G35612" t="s">
        <v>18169</v>
      </c>
      <c r="H35612" t="s">
        <v>19019</v>
      </c>
    </row>
    <row r="35613" spans="1:8">
      <c r="A35613" t="s">
        <v>3146</v>
      </c>
      <c r="B35613">
        <f>HYPERLINK("https://android.googlesource.com/platform/cts/+/679fae2f7a5516002c0f74ecdbc380ca52fec0e3", "679fae2f7a5516002c0f74ecdbc380ca52fec0e3")</f>
        <v>0</v>
      </c>
      <c r="C35613">
        <f>HYPERLINK("https://android.googlesource.com/platform/cts/+/ab7673ec7e011eb2b1827a33ba93afefb7311258", "ab7673ec7e011eb2b1827a33ba93afefb7311258")</f>
        <v>0</v>
      </c>
      <c r="D35613" t="s">
        <v>5519</v>
      </c>
      <c r="E35613" t="s">
        <v>8863</v>
      </c>
      <c r="F35613" t="s">
        <v>13834</v>
      </c>
      <c r="G35613" t="s">
        <v>17877</v>
      </c>
      <c r="H35613" t="s">
        <v>33916</v>
      </c>
    </row>
    <row r="35614" spans="1:8">
      <c r="A35614" t="s">
        <v>3148</v>
      </c>
      <c r="B35614">
        <f>HYPERLINK("https://android.googlesource.com/platform/cts/+/05c9dc2d20d0b0231616a25d02ac8ecb6d678a24", "05c9dc2d20d0b0231616a25d02ac8ecb6d678a24")</f>
        <v>0</v>
      </c>
      <c r="C35614">
        <f>HYPERLINK("https://android.googlesource.com/platform/cts/+/f26a0c2541402aafad152b5d018c4413d463eb5b", "f26a0c2541402aafad152b5d018c4413d463eb5b")</f>
        <v>0</v>
      </c>
      <c r="D35614" t="s">
        <v>5520</v>
      </c>
      <c r="E35614" t="s">
        <v>8864</v>
      </c>
      <c r="F35614" t="s">
        <v>13650</v>
      </c>
      <c r="G35614" t="s">
        <v>17726</v>
      </c>
      <c r="H35614" t="s">
        <v>33917</v>
      </c>
    </row>
    <row r="35615" spans="1:8">
      <c r="H35615" t="s">
        <v>33918</v>
      </c>
    </row>
    <row r="35616" spans="1:8">
      <c r="H35616" t="s">
        <v>33919</v>
      </c>
    </row>
    <row r="35617" spans="1:8">
      <c r="A35617" t="s">
        <v>3149</v>
      </c>
      <c r="B35617">
        <f>HYPERLINK("https://android.googlesource.com/platform/cts/+/ed7e1b59b9480a2e15d0d192de32c5cbb88dc53f", "ed7e1b59b9480a2e15d0d192de32c5cbb88dc53f")</f>
        <v>0</v>
      </c>
      <c r="C35617">
        <f>HYPERLINK("https://android.googlesource.com/platform/cts/+/23ec81674a505fd4859e8d6524ac89a6fde6b16d", "23ec81674a505fd4859e8d6524ac89a6fde6b16d")</f>
        <v>0</v>
      </c>
      <c r="D35617" t="s">
        <v>5482</v>
      </c>
      <c r="E35617" t="s">
        <v>8865</v>
      </c>
      <c r="F35617" t="s">
        <v>14102</v>
      </c>
      <c r="G35617" t="s">
        <v>18095</v>
      </c>
      <c r="H35617" t="s">
        <v>33920</v>
      </c>
    </row>
    <row r="35618" spans="1:8">
      <c r="H35618" t="s">
        <v>33921</v>
      </c>
    </row>
    <row r="35619" spans="1:8">
      <c r="H35619" t="s">
        <v>33922</v>
      </c>
    </row>
    <row r="35620" spans="1:8">
      <c r="H35620" t="s">
        <v>33923</v>
      </c>
    </row>
    <row r="35621" spans="1:8">
      <c r="A35621" t="s">
        <v>3151</v>
      </c>
      <c r="B35621">
        <f>HYPERLINK("https://android.googlesource.com/platform/cts/+/f127baa4607e1f9905100c71ab93b5d0cc078f1a", "f127baa4607e1f9905100c71ab93b5d0cc078f1a")</f>
        <v>0</v>
      </c>
      <c r="C35621">
        <f>HYPERLINK("https://android.googlesource.com/platform/cts/+/93acf85d8bdb610b569ff3a857093195d4d65884", "93acf85d8bdb610b569ff3a857093195d4d65884")</f>
        <v>0</v>
      </c>
      <c r="D35621" t="s">
        <v>5513</v>
      </c>
      <c r="E35621" t="s">
        <v>8867</v>
      </c>
      <c r="F35621" t="s">
        <v>14191</v>
      </c>
      <c r="G35621" t="s">
        <v>18170</v>
      </c>
      <c r="H35621" t="s">
        <v>33924</v>
      </c>
    </row>
    <row r="35622" spans="1:8">
      <c r="A35622" t="s">
        <v>3152</v>
      </c>
      <c r="B35622">
        <f>HYPERLINK("https://android.googlesource.com/platform/cts/+/51d629daf1c85bf12a00eaaa3c45c641673fa6d8", "51d629daf1c85bf12a00eaaa3c45c641673fa6d8")</f>
        <v>0</v>
      </c>
      <c r="C35622">
        <f>HYPERLINK("https://android.googlesource.com/platform/cts/+/82661c7936457b3a8ef92349025dad9d8326fd0f", "82661c7936457b3a8ef92349025dad9d8326fd0f")</f>
        <v>0</v>
      </c>
      <c r="D35622" t="s">
        <v>5117</v>
      </c>
      <c r="E35622" t="s">
        <v>8868</v>
      </c>
      <c r="F35622" t="s">
        <v>13839</v>
      </c>
      <c r="G35622" t="s">
        <v>17882</v>
      </c>
      <c r="H35622" t="s">
        <v>19981</v>
      </c>
    </row>
    <row r="35623" spans="1:8">
      <c r="H35623" t="s">
        <v>33925</v>
      </c>
    </row>
    <row r="35624" spans="1:8">
      <c r="H35624" t="s">
        <v>33925</v>
      </c>
    </row>
    <row r="35625" spans="1:8">
      <c r="H35625" t="s">
        <v>33925</v>
      </c>
    </row>
    <row r="35626" spans="1:8">
      <c r="H35626" t="s">
        <v>33926</v>
      </c>
    </row>
    <row r="35627" spans="1:8">
      <c r="H35627" t="s">
        <v>33927</v>
      </c>
    </row>
    <row r="35628" spans="1:8">
      <c r="H35628" t="s">
        <v>33928</v>
      </c>
    </row>
    <row r="35629" spans="1:8">
      <c r="H35629" t="s">
        <v>33929</v>
      </c>
    </row>
    <row r="35630" spans="1:8">
      <c r="H35630" t="s">
        <v>33930</v>
      </c>
    </row>
    <row r="35631" spans="1:8">
      <c r="H35631" t="s">
        <v>33931</v>
      </c>
    </row>
    <row r="35632" spans="1:8">
      <c r="H35632" t="s">
        <v>33932</v>
      </c>
    </row>
    <row r="35633" spans="8:8">
      <c r="H35633" t="s">
        <v>33933</v>
      </c>
    </row>
    <row r="35634" spans="8:8">
      <c r="H35634" t="s">
        <v>33934</v>
      </c>
    </row>
    <row r="35635" spans="8:8">
      <c r="H35635" t="s">
        <v>33935</v>
      </c>
    </row>
    <row r="35636" spans="8:8">
      <c r="H35636" t="s">
        <v>33936</v>
      </c>
    </row>
    <row r="35637" spans="8:8">
      <c r="H35637" t="s">
        <v>33937</v>
      </c>
    </row>
    <row r="35638" spans="8:8">
      <c r="H35638" t="s">
        <v>33938</v>
      </c>
    </row>
    <row r="35639" spans="8:8">
      <c r="H35639" t="s">
        <v>33939</v>
      </c>
    </row>
    <row r="35640" spans="8:8">
      <c r="H35640" t="s">
        <v>33940</v>
      </c>
    </row>
    <row r="35641" spans="8:8">
      <c r="H35641" t="s">
        <v>33941</v>
      </c>
    </row>
    <row r="35642" spans="8:8">
      <c r="H35642" t="s">
        <v>33942</v>
      </c>
    </row>
    <row r="35643" spans="8:8">
      <c r="H35643" t="s">
        <v>33943</v>
      </c>
    </row>
    <row r="35644" spans="8:8">
      <c r="H35644" t="s">
        <v>33944</v>
      </c>
    </row>
    <row r="35645" spans="8:8">
      <c r="H35645" t="s">
        <v>33945</v>
      </c>
    </row>
    <row r="35646" spans="8:8">
      <c r="H35646" t="s">
        <v>33946</v>
      </c>
    </row>
    <row r="35647" spans="8:8">
      <c r="H35647" t="s">
        <v>33947</v>
      </c>
    </row>
    <row r="35648" spans="8:8">
      <c r="H35648" t="s">
        <v>33948</v>
      </c>
    </row>
    <row r="35649" spans="1:8">
      <c r="H35649" t="s">
        <v>33949</v>
      </c>
    </row>
    <row r="35650" spans="1:8">
      <c r="H35650" t="s">
        <v>33950</v>
      </c>
    </row>
    <row r="35651" spans="1:8">
      <c r="A35651" t="s">
        <v>3154</v>
      </c>
      <c r="B35651">
        <f>HYPERLINK("https://android.googlesource.com/platform/cts/+/5aa49c157e2f76cd7c3bc6b465fc6f8c91ecdca7", "5aa49c157e2f76cd7c3bc6b465fc6f8c91ecdca7")</f>
        <v>0</v>
      </c>
      <c r="C35651">
        <f>HYPERLINK("https://android.googlesource.com/platform/cts/+/14d0904234fb57d5c9612d8ed7468d8145d92ce8", "14d0904234fb57d5c9612d8ed7468d8145d92ce8")</f>
        <v>0</v>
      </c>
      <c r="D35651" t="s">
        <v>5521</v>
      </c>
      <c r="E35651" t="s">
        <v>8870</v>
      </c>
      <c r="F35651" t="s">
        <v>13757</v>
      </c>
      <c r="G35651" t="s">
        <v>17816</v>
      </c>
      <c r="H35651" t="s">
        <v>33951</v>
      </c>
    </row>
    <row r="35652" spans="1:8">
      <c r="H35652" t="s">
        <v>19496</v>
      </c>
    </row>
    <row r="35653" spans="1:8">
      <c r="H35653" t="s">
        <v>33952</v>
      </c>
    </row>
    <row r="35654" spans="1:8">
      <c r="H35654" t="s">
        <v>33953</v>
      </c>
    </row>
    <row r="35655" spans="1:8">
      <c r="A35655" t="s">
        <v>3155</v>
      </c>
      <c r="B35655">
        <f>HYPERLINK("https://android.googlesource.com/platform/cts/+/613609187fa3fec9ce09d49a7e241d4c6b8172d6", "613609187fa3fec9ce09d49a7e241d4c6b8172d6")</f>
        <v>0</v>
      </c>
      <c r="C35655">
        <f>HYPERLINK("https://android.googlesource.com/platform/cts/+/420c28d9fa7a1bac6f678f987bf5b79bab424e83", "420c28d9fa7a1bac6f678f987bf5b79bab424e83")</f>
        <v>0</v>
      </c>
      <c r="D35655" t="s">
        <v>4973</v>
      </c>
      <c r="E35655" t="s">
        <v>8871</v>
      </c>
      <c r="F35655" t="s">
        <v>14192</v>
      </c>
      <c r="G35655" t="s">
        <v>18171</v>
      </c>
      <c r="H35655" t="s">
        <v>31438</v>
      </c>
    </row>
    <row r="35656" spans="1:8">
      <c r="H35656" t="s">
        <v>29719</v>
      </c>
    </row>
    <row r="35657" spans="1:8">
      <c r="A35657" t="s">
        <v>3156</v>
      </c>
      <c r="B35657">
        <f>HYPERLINK("https://android.googlesource.com/platform/cts/+/9d83bb18bd41136dbd29ac3f5375dc361198742a", "9d83bb18bd41136dbd29ac3f5375dc361198742a")</f>
        <v>0</v>
      </c>
      <c r="C35657">
        <f>HYPERLINK("https://android.googlesource.com/platform/cts/+/4795216e44546d511fbdbd52ac0e86262f554607", "4795216e44546d511fbdbd52ac0e86262f554607")</f>
        <v>0</v>
      </c>
      <c r="D35657" t="s">
        <v>5443</v>
      </c>
      <c r="E35657" t="s">
        <v>8872</v>
      </c>
      <c r="F35657" t="s">
        <v>13990</v>
      </c>
      <c r="G35657" t="s">
        <v>18009</v>
      </c>
      <c r="H35657" t="s">
        <v>33954</v>
      </c>
    </row>
    <row r="35658" spans="1:8">
      <c r="A35658" t="s">
        <v>3157</v>
      </c>
      <c r="B35658">
        <f>HYPERLINK("https://android.googlesource.com/platform/cts/+/e15fef902f4bac20c71679822ec3cebb712cabab", "e15fef902f4bac20c71679822ec3cebb712cabab")</f>
        <v>0</v>
      </c>
      <c r="C35658">
        <f>HYPERLINK("https://android.googlesource.com/platform/cts/+/7af55189966e6a9fd1c3e41c454269bd2814b980", "7af55189966e6a9fd1c3e41c454269bd2814b980")</f>
        <v>0</v>
      </c>
      <c r="D35658" t="s">
        <v>5494</v>
      </c>
      <c r="E35658" t="s">
        <v>8873</v>
      </c>
      <c r="F35658" t="s">
        <v>14133</v>
      </c>
      <c r="G35658" t="s">
        <v>18122</v>
      </c>
      <c r="H35658" t="s">
        <v>33616</v>
      </c>
    </row>
    <row r="35659" spans="1:8">
      <c r="A35659" t="s">
        <v>3158</v>
      </c>
      <c r="B35659">
        <f>HYPERLINK("https://android.googlesource.com/platform/cts/+/a2e577aa547397cbe2ee961871147f1493bd36f0", "a2e577aa547397cbe2ee961871147f1493bd36f0")</f>
        <v>0</v>
      </c>
      <c r="C35659">
        <f>HYPERLINK("https://android.googlesource.com/platform/cts/+/ffb5d6546f8b6049ef0a6091cee26e027727194b", "ffb5d6546f8b6049ef0a6091cee26e027727194b")</f>
        <v>0</v>
      </c>
      <c r="D35659" t="s">
        <v>5483</v>
      </c>
      <c r="E35659" t="s">
        <v>8874</v>
      </c>
      <c r="F35659" t="s">
        <v>14193</v>
      </c>
      <c r="G35659" t="s">
        <v>18172</v>
      </c>
      <c r="H35659" t="s">
        <v>33955</v>
      </c>
    </row>
    <row r="35660" spans="1:8">
      <c r="A35660" t="s">
        <v>3161</v>
      </c>
      <c r="B35660">
        <f>HYPERLINK("https://android.googlesource.com/platform/cts/+/52983e2746ed6a149ccd7337e243a0fb71248519", "52983e2746ed6a149ccd7337e243a0fb71248519")</f>
        <v>0</v>
      </c>
      <c r="C35660">
        <f>HYPERLINK("https://android.googlesource.com/platform/cts/+/a7dcdb475eba403bc19f234157bd5a31656684b9", "a7dcdb475eba403bc19f234157bd5a31656684b9")</f>
        <v>0</v>
      </c>
      <c r="D35660" t="s">
        <v>5512</v>
      </c>
      <c r="E35660" t="s">
        <v>8877</v>
      </c>
      <c r="F35660" t="s">
        <v>12710</v>
      </c>
      <c r="G35660" t="s">
        <v>16911</v>
      </c>
      <c r="H35660" t="s">
        <v>33765</v>
      </c>
    </row>
    <row r="35661" spans="1:8">
      <c r="A35661" t="s">
        <v>3162</v>
      </c>
      <c r="B35661">
        <f>HYPERLINK("https://android.googlesource.com/platform/cts/+/4a2b7c15bf19a045187ae7b5c8c86641d8aa740f", "4a2b7c15bf19a045187ae7b5c8c86641d8aa740f")</f>
        <v>0</v>
      </c>
      <c r="C35661">
        <f>HYPERLINK("https://android.googlesource.com/platform/cts/+/3d1dda9e3cf179b8fb4d20610a2538178e7b64d1", "3d1dda9e3cf179b8fb4d20610a2538178e7b64d1")</f>
        <v>0</v>
      </c>
      <c r="D35661" t="s">
        <v>5512</v>
      </c>
      <c r="E35661" t="s">
        <v>8878</v>
      </c>
      <c r="F35661" t="s">
        <v>12710</v>
      </c>
      <c r="G35661" t="s">
        <v>16911</v>
      </c>
      <c r="H35661" t="s">
        <v>33765</v>
      </c>
    </row>
    <row r="35662" spans="1:8">
      <c r="A35662" t="s">
        <v>3163</v>
      </c>
      <c r="B35662">
        <f>HYPERLINK("https://android.googlesource.com/platform/cts/+/037e8a0a8bdecaf69b3933e9a40ad1b7fd93f205", "037e8a0a8bdecaf69b3933e9a40ad1b7fd93f205")</f>
        <v>0</v>
      </c>
      <c r="C35662">
        <f>HYPERLINK("https://android.googlesource.com/platform/cts/+/d61d5021ce81d829c4c2d57eb0d6db2b2976b725", "d61d5021ce81d829c4c2d57eb0d6db2b2976b725")</f>
        <v>0</v>
      </c>
      <c r="D35662" t="s">
        <v>5512</v>
      </c>
      <c r="E35662" t="s">
        <v>8879</v>
      </c>
      <c r="F35662" t="s">
        <v>13990</v>
      </c>
      <c r="G35662" t="s">
        <v>18009</v>
      </c>
      <c r="H35662" t="s">
        <v>33956</v>
      </c>
    </row>
    <row r="35663" spans="1:8">
      <c r="A35663" t="s">
        <v>3164</v>
      </c>
      <c r="B35663">
        <f>HYPERLINK("https://android.googlesource.com/platform/cts/+/8ae79c20a9dace79c7f9d35f811ac898ca33ea5a", "8ae79c20a9dace79c7f9d35f811ac898ca33ea5a")</f>
        <v>0</v>
      </c>
      <c r="C35663">
        <f>HYPERLINK("https://android.googlesource.com/platform/cts/+/8da7c240d47e1c1a5abb762c11f1bd50290b83fe", "8da7c240d47e1c1a5abb762c11f1bd50290b83fe")</f>
        <v>0</v>
      </c>
      <c r="D35663" t="s">
        <v>5522</v>
      </c>
      <c r="E35663" t="s">
        <v>8880</v>
      </c>
      <c r="F35663" t="s">
        <v>14194</v>
      </c>
      <c r="G35663" t="s">
        <v>18173</v>
      </c>
      <c r="H35663" t="s">
        <v>33957</v>
      </c>
    </row>
    <row r="35664" spans="1:8">
      <c r="H35664" t="s">
        <v>33958</v>
      </c>
    </row>
    <row r="35665" spans="1:8">
      <c r="H35665" t="s">
        <v>33959</v>
      </c>
    </row>
    <row r="35666" spans="1:8">
      <c r="H35666" t="s">
        <v>33960</v>
      </c>
    </row>
    <row r="35667" spans="1:8">
      <c r="H35667" t="s">
        <v>33961</v>
      </c>
    </row>
    <row r="35668" spans="1:8">
      <c r="H35668" t="s">
        <v>33962</v>
      </c>
    </row>
    <row r="35669" spans="1:8">
      <c r="H35669" t="s">
        <v>33963</v>
      </c>
    </row>
    <row r="35670" spans="1:8">
      <c r="H35670" t="s">
        <v>33964</v>
      </c>
    </row>
    <row r="35671" spans="1:8">
      <c r="H35671" t="s">
        <v>33965</v>
      </c>
    </row>
    <row r="35672" spans="1:8">
      <c r="H35672" t="s">
        <v>33966</v>
      </c>
    </row>
    <row r="35673" spans="1:8">
      <c r="H35673" t="s">
        <v>33967</v>
      </c>
    </row>
    <row r="35674" spans="1:8">
      <c r="H35674" t="s">
        <v>33968</v>
      </c>
    </row>
    <row r="35675" spans="1:8">
      <c r="A35675" t="s">
        <v>3165</v>
      </c>
      <c r="B35675">
        <f>HYPERLINK("https://android.googlesource.com/platform/cts/+/5794e172abbca64ce639deb29393f4e43fe99922", "5794e172abbca64ce639deb29393f4e43fe99922")</f>
        <v>0</v>
      </c>
      <c r="C35675">
        <f>HYPERLINK("https://android.googlesource.com/platform/cts/+/5704a410c2a76ebc3229bf660b03713fa4ec48c0", "5704a410c2a76ebc3229bf660b03713fa4ec48c0")</f>
        <v>0</v>
      </c>
      <c r="D35675" t="s">
        <v>4973</v>
      </c>
      <c r="E35675" t="s">
        <v>8881</v>
      </c>
      <c r="F35675" t="s">
        <v>13741</v>
      </c>
      <c r="G35675" t="s">
        <v>17801</v>
      </c>
      <c r="H35675" t="s">
        <v>18829</v>
      </c>
    </row>
    <row r="35676" spans="1:8">
      <c r="F35676" t="s">
        <v>13159</v>
      </c>
      <c r="G35676" t="s">
        <v>17310</v>
      </c>
      <c r="H35676" t="s">
        <v>18829</v>
      </c>
    </row>
    <row r="35677" spans="1:8">
      <c r="A35677" t="s">
        <v>3166</v>
      </c>
      <c r="B35677">
        <f>HYPERLINK("https://android.googlesource.com/platform/cts/+/3eb0939122d6d9de8e0edda6eb9c47b2190528a4", "3eb0939122d6d9de8e0edda6eb9c47b2190528a4")</f>
        <v>0</v>
      </c>
      <c r="C35677">
        <f>HYPERLINK("https://android.googlesource.com/platform/cts/+/15c34db7dbe3add0d3795e9e6b8a69633b39fefa", "15c34db7dbe3add0d3795e9e6b8a69633b39fefa")</f>
        <v>0</v>
      </c>
      <c r="D35677" t="s">
        <v>5501</v>
      </c>
      <c r="E35677" t="s">
        <v>8882</v>
      </c>
      <c r="F35677" t="s">
        <v>14195</v>
      </c>
      <c r="G35677" t="s">
        <v>18174</v>
      </c>
      <c r="H35677" t="s">
        <v>19372</v>
      </c>
    </row>
    <row r="35678" spans="1:8">
      <c r="A35678" t="s">
        <v>3167</v>
      </c>
      <c r="B35678">
        <f>HYPERLINK("https://android.googlesource.com/platform/cts/+/b46b97a4e7abc062800b51151701d165b59f0104", "b46b97a4e7abc062800b51151701d165b59f0104")</f>
        <v>0</v>
      </c>
      <c r="C35678">
        <f>HYPERLINK("https://android.googlesource.com/platform/cts/+/dacde15c5ce841d5efedfd71bbc6f0ed8a0d7d0b", "dacde15c5ce841d5efedfd71bbc6f0ed8a0d7d0b")</f>
        <v>0</v>
      </c>
      <c r="D35678" t="s">
        <v>5523</v>
      </c>
      <c r="E35678" t="s">
        <v>8883</v>
      </c>
      <c r="F35678" t="s">
        <v>14196</v>
      </c>
      <c r="G35678" t="s">
        <v>18175</v>
      </c>
      <c r="H35678" t="s">
        <v>33969</v>
      </c>
    </row>
    <row r="35679" spans="1:8">
      <c r="A35679" t="s">
        <v>3168</v>
      </c>
      <c r="B35679">
        <f>HYPERLINK("https://android.googlesource.com/platform/cts/+/e5a396ce501475fe3f7ba3caa8d5978da986b9db", "e5a396ce501475fe3f7ba3caa8d5978da986b9db")</f>
        <v>0</v>
      </c>
      <c r="C35679">
        <f>HYPERLINK("https://android.googlesource.com/platform/cts/+/db1c28346c86cda192d09b6d71a12210d3a9e063", "db1c28346c86cda192d09b6d71a12210d3a9e063")</f>
        <v>0</v>
      </c>
      <c r="D35679" t="s">
        <v>5134</v>
      </c>
      <c r="E35679" t="s">
        <v>8884</v>
      </c>
      <c r="F35679" t="s">
        <v>14197</v>
      </c>
      <c r="G35679" t="s">
        <v>18176</v>
      </c>
      <c r="H35679" t="s">
        <v>18829</v>
      </c>
    </row>
    <row r="35680" spans="1:8">
      <c r="H35680" t="s">
        <v>33970</v>
      </c>
    </row>
    <row r="35681" spans="8:8">
      <c r="H35681" t="s">
        <v>33971</v>
      </c>
    </row>
    <row r="35682" spans="8:8">
      <c r="H35682" t="s">
        <v>33972</v>
      </c>
    </row>
    <row r="35683" spans="8:8">
      <c r="H35683" t="s">
        <v>33973</v>
      </c>
    </row>
    <row r="35684" spans="8:8">
      <c r="H35684" t="s">
        <v>33974</v>
      </c>
    </row>
    <row r="35685" spans="8:8">
      <c r="H35685" t="s">
        <v>33975</v>
      </c>
    </row>
    <row r="35686" spans="8:8">
      <c r="H35686" t="s">
        <v>33976</v>
      </c>
    </row>
    <row r="35687" spans="8:8">
      <c r="H35687" t="s">
        <v>33977</v>
      </c>
    </row>
    <row r="35688" spans="8:8">
      <c r="H35688" t="s">
        <v>33978</v>
      </c>
    </row>
    <row r="35689" spans="8:8">
      <c r="H35689" t="s">
        <v>33979</v>
      </c>
    </row>
    <row r="35690" spans="8:8">
      <c r="H35690" t="s">
        <v>33980</v>
      </c>
    </row>
    <row r="35691" spans="8:8">
      <c r="H35691" t="s">
        <v>33498</v>
      </c>
    </row>
    <row r="35692" spans="8:8">
      <c r="H35692" t="s">
        <v>33981</v>
      </c>
    </row>
    <row r="35693" spans="8:8">
      <c r="H35693" t="s">
        <v>33982</v>
      </c>
    </row>
    <row r="35694" spans="8:8">
      <c r="H35694" t="s">
        <v>33983</v>
      </c>
    </row>
    <row r="35695" spans="8:8">
      <c r="H35695" t="s">
        <v>33984</v>
      </c>
    </row>
    <row r="35696" spans="8:8">
      <c r="H35696" t="s">
        <v>33985</v>
      </c>
    </row>
    <row r="35697" spans="1:8">
      <c r="H35697" t="s">
        <v>33986</v>
      </c>
    </row>
    <row r="35698" spans="1:8">
      <c r="H35698" t="s">
        <v>32404</v>
      </c>
    </row>
    <row r="35699" spans="1:8">
      <c r="H35699" t="s">
        <v>33987</v>
      </c>
    </row>
    <row r="35700" spans="1:8">
      <c r="A35700" t="s">
        <v>3169</v>
      </c>
      <c r="B35700">
        <f>HYPERLINK("https://android.googlesource.com/platform/cts/+/f9f74f9e2ece1c7eb766f9168e29d5b8ce13ad45", "f9f74f9e2ece1c7eb766f9168e29d5b8ce13ad45")</f>
        <v>0</v>
      </c>
      <c r="C35700">
        <f>HYPERLINK("https://android.googlesource.com/platform/cts/+/e7ec86069e04f93b91c49b9d56ae4c07e01a11d6", "e7ec86069e04f93b91c49b9d56ae4c07e01a11d6")</f>
        <v>0</v>
      </c>
      <c r="D35700" t="s">
        <v>5427</v>
      </c>
      <c r="E35700" t="s">
        <v>8885</v>
      </c>
      <c r="F35700" t="s">
        <v>13548</v>
      </c>
      <c r="G35700" t="s">
        <v>15171</v>
      </c>
      <c r="H35700" t="s">
        <v>20343</v>
      </c>
    </row>
    <row r="35701" spans="1:8">
      <c r="A35701" t="s">
        <v>3170</v>
      </c>
      <c r="B35701">
        <f>HYPERLINK("https://android.googlesource.com/platform/cts/+/db2a44e0d6ca616ea779f7ce8416576a6d6de65a", "db2a44e0d6ca616ea779f7ce8416576a6d6de65a")</f>
        <v>0</v>
      </c>
      <c r="C35701">
        <f>HYPERLINK("https://android.googlesource.com/platform/cts/+/02485f6c6f06b328f87643e1b1ff3412e29a4e9c", "02485f6c6f06b328f87643e1b1ff3412e29a4e9c")</f>
        <v>0</v>
      </c>
      <c r="D35701" t="s">
        <v>5524</v>
      </c>
      <c r="E35701" t="s">
        <v>8886</v>
      </c>
      <c r="F35701" t="s">
        <v>14198</v>
      </c>
      <c r="G35701" t="s">
        <v>18177</v>
      </c>
      <c r="H35701" t="s">
        <v>33988</v>
      </c>
    </row>
    <row r="35702" spans="1:8">
      <c r="A35702" t="s">
        <v>3171</v>
      </c>
      <c r="B35702">
        <f>HYPERLINK("https://android.googlesource.com/platform/cts/+/c58d612f2de930e3ff94a535cc6ba262a36b14a6", "c58d612f2de930e3ff94a535cc6ba262a36b14a6")</f>
        <v>0</v>
      </c>
      <c r="C35702">
        <f>HYPERLINK("https://android.googlesource.com/platform/cts/+/adae68c82b4c55bc1ab9a014a559d4bd7bfe3b94", "adae68c82b4c55bc1ab9a014a559d4bd7bfe3b94")</f>
        <v>0</v>
      </c>
      <c r="D35702" t="s">
        <v>5139</v>
      </c>
      <c r="E35702" t="s">
        <v>8887</v>
      </c>
      <c r="F35702" t="s">
        <v>13816</v>
      </c>
      <c r="G35702" t="s">
        <v>15089</v>
      </c>
      <c r="H35702" t="s">
        <v>33989</v>
      </c>
    </row>
    <row r="35703" spans="1:8">
      <c r="H35703" t="s">
        <v>33990</v>
      </c>
    </row>
    <row r="35704" spans="1:8">
      <c r="H35704" t="s">
        <v>33991</v>
      </c>
    </row>
    <row r="35705" spans="1:8">
      <c r="H35705" t="s">
        <v>33992</v>
      </c>
    </row>
    <row r="35706" spans="1:8">
      <c r="H35706" t="s">
        <v>20126</v>
      </c>
    </row>
    <row r="35707" spans="1:8">
      <c r="A35707" t="s">
        <v>3172</v>
      </c>
      <c r="B35707">
        <f>HYPERLINK("https://android.googlesource.com/platform/cts/+/4a0826f00fa3674858f223b05275a47d6056ab2e", "4a0826f00fa3674858f223b05275a47d6056ab2e")</f>
        <v>0</v>
      </c>
      <c r="C35707">
        <f>HYPERLINK("https://android.googlesource.com/platform/cts/+/28e757a78f29863c84ffef0ac3ac997b4a8f11f0", "28e757a78f29863c84ffef0ac3ac997b4a8f11f0")</f>
        <v>0</v>
      </c>
      <c r="D35707" t="s">
        <v>5117</v>
      </c>
      <c r="E35707" t="s">
        <v>8888</v>
      </c>
      <c r="F35707" t="s">
        <v>12243</v>
      </c>
      <c r="G35707" t="s">
        <v>16474</v>
      </c>
      <c r="H35707" t="s">
        <v>33993</v>
      </c>
    </row>
    <row r="35708" spans="1:8">
      <c r="H35708" t="s">
        <v>33994</v>
      </c>
    </row>
    <row r="35709" spans="1:8">
      <c r="A35709" t="s">
        <v>3173</v>
      </c>
      <c r="B35709">
        <f>HYPERLINK("https://android.googlesource.com/platform/cts/+/563dc74407adc595ba84021e09203971a7c71e28", "563dc74407adc595ba84021e09203971a7c71e28")</f>
        <v>0</v>
      </c>
      <c r="C35709">
        <f>HYPERLINK("https://android.googlesource.com/platform/cts/+/29ea696b682e3d22b040bcfafcad8ff04b36d260", "29ea696b682e3d22b040bcfafcad8ff04b36d260")</f>
        <v>0</v>
      </c>
      <c r="D35709" t="s">
        <v>5472</v>
      </c>
      <c r="E35709" t="s">
        <v>8889</v>
      </c>
      <c r="F35709" t="s">
        <v>14062</v>
      </c>
      <c r="G35709" t="s">
        <v>18060</v>
      </c>
      <c r="H35709" t="s">
        <v>33995</v>
      </c>
    </row>
    <row r="35710" spans="1:8">
      <c r="H35710" t="s">
        <v>33996</v>
      </c>
    </row>
    <row r="35711" spans="1:8">
      <c r="H35711" t="s">
        <v>33997</v>
      </c>
    </row>
    <row r="35712" spans="1:8">
      <c r="F35712" t="s">
        <v>14122</v>
      </c>
      <c r="G35712" t="s">
        <v>18112</v>
      </c>
      <c r="H35712" t="s">
        <v>33998</v>
      </c>
    </row>
    <row r="35713" spans="1:8">
      <c r="A35713" t="s">
        <v>3174</v>
      </c>
      <c r="B35713">
        <f>HYPERLINK("https://android.googlesource.com/platform/cts/+/7de87b4c8132b93f282268188e927875db360f6a", "7de87b4c8132b93f282268188e927875db360f6a")</f>
        <v>0</v>
      </c>
      <c r="C35713">
        <f>HYPERLINK("https://android.googlesource.com/platform/cts/+/23dd62631d9fe9213773d0fe39f6261544644011", "23dd62631d9fe9213773d0fe39f6261544644011")</f>
        <v>0</v>
      </c>
      <c r="D35713" t="s">
        <v>5525</v>
      </c>
      <c r="E35713" t="s">
        <v>8890</v>
      </c>
      <c r="F35713" t="s">
        <v>13703</v>
      </c>
      <c r="G35713" t="s">
        <v>17771</v>
      </c>
      <c r="H35713" t="s">
        <v>33999</v>
      </c>
    </row>
    <row r="35714" spans="1:8">
      <c r="H35714" t="s">
        <v>34000</v>
      </c>
    </row>
    <row r="35715" spans="1:8">
      <c r="A35715" t="s">
        <v>3175</v>
      </c>
      <c r="B35715">
        <f>HYPERLINK("https://android.googlesource.com/platform/cts/+/02a66d3355f399b83be12c724c1e3149af60cf7c", "02a66d3355f399b83be12c724c1e3149af60cf7c")</f>
        <v>0</v>
      </c>
      <c r="C35715">
        <f>HYPERLINK("https://android.googlesource.com/platform/cts/+/47618dd61cfb39d68b4a5341999917b1d96b1975", "47618dd61cfb39d68b4a5341999917b1d96b1975")</f>
        <v>0</v>
      </c>
      <c r="D35715" t="s">
        <v>5526</v>
      </c>
      <c r="E35715" t="s">
        <v>8891</v>
      </c>
      <c r="F35715" t="s">
        <v>13227</v>
      </c>
      <c r="G35715" t="s">
        <v>17368</v>
      </c>
      <c r="H35715" t="s">
        <v>29751</v>
      </c>
    </row>
    <row r="35716" spans="1:8">
      <c r="A35716" t="s">
        <v>3176</v>
      </c>
      <c r="B35716">
        <f>HYPERLINK("https://android.googlesource.com/platform/cts/+/fd75864da2796bcda58f036b0adf711a0854259f", "fd75864da2796bcda58f036b0adf711a0854259f")</f>
        <v>0</v>
      </c>
      <c r="C35716">
        <f>HYPERLINK("https://android.googlesource.com/platform/cts/+/47618dd61cfb39d68b4a5341999917b1d96b1975", "47618dd61cfb39d68b4a5341999917b1d96b1975")</f>
        <v>0</v>
      </c>
      <c r="D35716" t="s">
        <v>5526</v>
      </c>
      <c r="E35716" t="s">
        <v>8892</v>
      </c>
      <c r="F35716" t="s">
        <v>13223</v>
      </c>
      <c r="G35716" t="s">
        <v>17365</v>
      </c>
      <c r="H35716" t="s">
        <v>34001</v>
      </c>
    </row>
    <row r="35717" spans="1:8">
      <c r="H35717" t="s">
        <v>34002</v>
      </c>
    </row>
    <row r="35718" spans="1:8">
      <c r="H35718" t="s">
        <v>34003</v>
      </c>
    </row>
    <row r="35719" spans="1:8">
      <c r="F35719" t="s">
        <v>14199</v>
      </c>
      <c r="G35719" t="s">
        <v>18178</v>
      </c>
      <c r="H35719" t="s">
        <v>18863</v>
      </c>
    </row>
    <row r="35720" spans="1:8">
      <c r="H35720" t="s">
        <v>34004</v>
      </c>
    </row>
    <row r="35721" spans="1:8">
      <c r="H35721" t="s">
        <v>34005</v>
      </c>
    </row>
    <row r="35722" spans="1:8">
      <c r="H35722" t="s">
        <v>34006</v>
      </c>
    </row>
    <row r="35723" spans="1:8">
      <c r="H35723" t="s">
        <v>34007</v>
      </c>
    </row>
    <row r="35724" spans="1:8">
      <c r="H35724" t="s">
        <v>34008</v>
      </c>
    </row>
    <row r="35725" spans="1:8">
      <c r="H35725" t="s">
        <v>34008</v>
      </c>
    </row>
    <row r="35726" spans="1:8">
      <c r="H35726" t="s">
        <v>34009</v>
      </c>
    </row>
    <row r="35727" spans="1:8">
      <c r="H35727" t="s">
        <v>34010</v>
      </c>
    </row>
    <row r="35728" spans="1:8">
      <c r="H35728" t="s">
        <v>34011</v>
      </c>
    </row>
    <row r="35729" spans="1:8">
      <c r="H35729" t="s">
        <v>34012</v>
      </c>
    </row>
    <row r="35730" spans="1:8">
      <c r="H35730" t="s">
        <v>34013</v>
      </c>
    </row>
    <row r="35731" spans="1:8">
      <c r="A35731" t="s">
        <v>3177</v>
      </c>
      <c r="B35731">
        <f>HYPERLINK("https://android.googlesource.com/platform/cts/+/09bff236b7157684b4024a61edd68daa9ef7d074", "09bff236b7157684b4024a61edd68daa9ef7d074")</f>
        <v>0</v>
      </c>
      <c r="C35731">
        <f>HYPERLINK("https://android.googlesource.com/platform/cts/+/1802dfa0317fbcf986d401db6c8f81a339d1884d", "1802dfa0317fbcf986d401db6c8f81a339d1884d")</f>
        <v>0</v>
      </c>
      <c r="D35731" t="s">
        <v>5452</v>
      </c>
      <c r="E35731" t="s">
        <v>8893</v>
      </c>
      <c r="F35731" t="s">
        <v>14034</v>
      </c>
      <c r="G35731" t="s">
        <v>18024</v>
      </c>
      <c r="H35731" t="s">
        <v>33004</v>
      </c>
    </row>
    <row r="35732" spans="1:8">
      <c r="H35732" t="s">
        <v>33005</v>
      </c>
    </row>
    <row r="35733" spans="1:8">
      <c r="A35733" t="s">
        <v>3178</v>
      </c>
      <c r="B35733">
        <f>HYPERLINK("https://android.googlesource.com/platform/cts/+/11d02c8d75d35c2fd3b3c98c2773b5b25d015ce8", "11d02c8d75d35c2fd3b3c98c2773b5b25d015ce8")</f>
        <v>0</v>
      </c>
      <c r="C35733">
        <f>HYPERLINK("https://android.googlesource.com/platform/cts/+/49b2a2136961b9e348cf1a31aab6e698dfcf33f3", "49b2a2136961b9e348cf1a31aab6e698dfcf33f3")</f>
        <v>0</v>
      </c>
      <c r="D35733" t="s">
        <v>5334</v>
      </c>
      <c r="E35733" t="s">
        <v>8894</v>
      </c>
      <c r="F35733" t="s">
        <v>14200</v>
      </c>
      <c r="G35733" t="s">
        <v>18179</v>
      </c>
      <c r="H35733" t="s">
        <v>34014</v>
      </c>
    </row>
    <row r="35734" spans="1:8">
      <c r="H35734" t="s">
        <v>34015</v>
      </c>
    </row>
    <row r="35735" spans="1:8">
      <c r="A35735" t="s">
        <v>3179</v>
      </c>
      <c r="B35735">
        <f>HYPERLINK("https://android.googlesource.com/platform/cts/+/55de88314923bd2211aa640f510fab3f6aacaf7f", "55de88314923bd2211aa640f510fab3f6aacaf7f")</f>
        <v>0</v>
      </c>
      <c r="C35735">
        <f>HYPERLINK("https://android.googlesource.com/platform/cts/+/d5aa68c56a5ad76821980ed0cc01eb231057f4b0", "d5aa68c56a5ad76821980ed0cc01eb231057f4b0")</f>
        <v>0</v>
      </c>
      <c r="D35735" t="s">
        <v>5341</v>
      </c>
      <c r="E35735" t="s">
        <v>8895</v>
      </c>
      <c r="F35735" t="s">
        <v>13827</v>
      </c>
      <c r="G35735" t="s">
        <v>17871</v>
      </c>
      <c r="H35735" t="s">
        <v>34016</v>
      </c>
    </row>
    <row r="35736" spans="1:8">
      <c r="H35736" t="s">
        <v>34017</v>
      </c>
    </row>
    <row r="35737" spans="1:8">
      <c r="H35737" t="s">
        <v>34018</v>
      </c>
    </row>
    <row r="35738" spans="1:8">
      <c r="A35738" t="s">
        <v>3180</v>
      </c>
      <c r="B35738">
        <f>HYPERLINK("https://android.googlesource.com/platform/cts/+/166cb721441dcccbbe209d29709043e4bb75a8e9", "166cb721441dcccbbe209d29709043e4bb75a8e9")</f>
        <v>0</v>
      </c>
      <c r="C35738">
        <f>HYPERLINK("https://android.googlesource.com/platform/cts/+/1a159c86f74c110acebcefde8a357cb8f52287de", "1a159c86f74c110acebcefde8a357cb8f52287de")</f>
        <v>0</v>
      </c>
      <c r="D35738" t="s">
        <v>5516</v>
      </c>
      <c r="E35738" t="s">
        <v>8896</v>
      </c>
      <c r="F35738" t="s">
        <v>13977</v>
      </c>
      <c r="G35738" t="s">
        <v>18002</v>
      </c>
      <c r="H35738" t="s">
        <v>34019</v>
      </c>
    </row>
    <row r="35739" spans="1:8">
      <c r="H35739" t="s">
        <v>34020</v>
      </c>
    </row>
    <row r="35740" spans="1:8">
      <c r="A35740" t="s">
        <v>3182</v>
      </c>
      <c r="B35740">
        <f>HYPERLINK("https://android.googlesource.com/platform/cts/+/d0d9f7e9467ca8407f2254c3b16d7686950dc795", "d0d9f7e9467ca8407f2254c3b16d7686950dc795")</f>
        <v>0</v>
      </c>
      <c r="C35740">
        <f>HYPERLINK("https://android.googlesource.com/platform/cts/+/5d4b9941a1abbb2da6add1144be76d8c8f45aadf", "5d4b9941a1abbb2da6add1144be76d8c8f45aadf")</f>
        <v>0</v>
      </c>
      <c r="D35740" t="s">
        <v>5374</v>
      </c>
      <c r="E35740" t="s">
        <v>8898</v>
      </c>
      <c r="F35740" t="s">
        <v>13165</v>
      </c>
      <c r="G35740" t="s">
        <v>17315</v>
      </c>
      <c r="H35740" t="s">
        <v>34021</v>
      </c>
    </row>
    <row r="35741" spans="1:8">
      <c r="A35741" t="s">
        <v>3183</v>
      </c>
      <c r="B35741">
        <f>HYPERLINK("https://android.googlesource.com/platform/cts/+/11f49d2ec8cbfeee4e048c82910f5786665902f4", "11f49d2ec8cbfeee4e048c82910f5786665902f4")</f>
        <v>0</v>
      </c>
      <c r="C35741">
        <f>HYPERLINK("https://android.googlesource.com/platform/cts/+/bcd6370fc6bac1d96804479abc40093920cca5df", "bcd6370fc6bac1d96804479abc40093920cca5df")</f>
        <v>0</v>
      </c>
      <c r="D35741" t="s">
        <v>5494</v>
      </c>
      <c r="E35741" t="s">
        <v>8899</v>
      </c>
      <c r="F35741" t="s">
        <v>14133</v>
      </c>
      <c r="G35741" t="s">
        <v>18122</v>
      </c>
      <c r="H35741" t="s">
        <v>28425</v>
      </c>
    </row>
    <row r="35742" spans="1:8">
      <c r="H35742" t="s">
        <v>28427</v>
      </c>
    </row>
    <row r="35743" spans="1:8">
      <c r="F35743" t="s">
        <v>14201</v>
      </c>
      <c r="G35743" t="s">
        <v>18180</v>
      </c>
      <c r="H35743" t="s">
        <v>19019</v>
      </c>
    </row>
    <row r="35744" spans="1:8">
      <c r="H35744" t="s">
        <v>34022</v>
      </c>
    </row>
    <row r="35745" spans="1:8">
      <c r="H35745" t="s">
        <v>34023</v>
      </c>
    </row>
    <row r="35746" spans="1:8">
      <c r="A35746" t="s">
        <v>3185</v>
      </c>
      <c r="B35746">
        <f>HYPERLINK("https://android.googlesource.com/platform/cts/+/1aecd2cb09decf70f457f07a44ef1edf22bcf286", "1aecd2cb09decf70f457f07a44ef1edf22bcf286")</f>
        <v>0</v>
      </c>
      <c r="C35746">
        <f>HYPERLINK("https://android.googlesource.com/platform/cts/+/808520feac531864be1cbf9018b0ab7c641ae3c7", "808520feac531864be1cbf9018b0ab7c641ae3c7")</f>
        <v>0</v>
      </c>
      <c r="D35746" t="s">
        <v>5277</v>
      </c>
      <c r="E35746" t="s">
        <v>8901</v>
      </c>
      <c r="F35746" t="s">
        <v>13912</v>
      </c>
      <c r="G35746" t="s">
        <v>17949</v>
      </c>
      <c r="H35746" t="s">
        <v>34024</v>
      </c>
    </row>
    <row r="35747" spans="1:8">
      <c r="A35747" t="s">
        <v>3186</v>
      </c>
      <c r="B35747">
        <f>HYPERLINK("https://android.googlesource.com/platform/cts/+/c89ed95219a4235f78bab6289e80d5d02cb72398", "c89ed95219a4235f78bab6289e80d5d02cb72398")</f>
        <v>0</v>
      </c>
      <c r="C35747">
        <f>HYPERLINK("https://android.googlesource.com/platform/cts/+/b1d5e2b89cf58084fa2d33ac018da2ee3c3920af", "b1d5e2b89cf58084fa2d33ac018da2ee3c3920af")</f>
        <v>0</v>
      </c>
      <c r="D35747" t="s">
        <v>5357</v>
      </c>
      <c r="E35747" t="s">
        <v>8902</v>
      </c>
      <c r="F35747" t="s">
        <v>14202</v>
      </c>
      <c r="G35747" t="s">
        <v>17995</v>
      </c>
      <c r="H35747" t="s">
        <v>34025</v>
      </c>
    </row>
    <row r="35748" spans="1:8">
      <c r="A35748" t="s">
        <v>3187</v>
      </c>
      <c r="B35748">
        <f>HYPERLINK("https://android.googlesource.com/platform/cts/+/2fb5b154a346742aa2b09720722fa28e6f932248", "2fb5b154a346742aa2b09720722fa28e6f932248")</f>
        <v>0</v>
      </c>
      <c r="C35748">
        <f>HYPERLINK("https://android.googlesource.com/platform/cts/+/837699c3c44cd3f44e20510a46820b8fb1213401", "837699c3c44cd3f44e20510a46820b8fb1213401")</f>
        <v>0</v>
      </c>
      <c r="D35748" t="s">
        <v>5473</v>
      </c>
      <c r="E35748" t="s">
        <v>8903</v>
      </c>
      <c r="F35748" t="s">
        <v>14185</v>
      </c>
      <c r="G35748" t="s">
        <v>18166</v>
      </c>
      <c r="H35748" t="s">
        <v>34026</v>
      </c>
    </row>
    <row r="35749" spans="1:8">
      <c r="H35749" t="s">
        <v>34026</v>
      </c>
    </row>
    <row r="35750" spans="1:8">
      <c r="H35750" t="s">
        <v>34027</v>
      </c>
    </row>
    <row r="35751" spans="1:8">
      <c r="A35751" t="s">
        <v>3189</v>
      </c>
      <c r="B35751">
        <f>HYPERLINK("https://android.googlesource.com/platform/cts/+/686f2a1606e2fc1e204a543fd21c54af420a6f7d", "686f2a1606e2fc1e204a543fd21c54af420a6f7d")</f>
        <v>0</v>
      </c>
      <c r="C35751">
        <f>HYPERLINK("https://android.googlesource.com/platform/cts/+/60b56dc370eec169fbd47574d189cc1049a7d6ba", "60b56dc370eec169fbd47574d189cc1049a7d6ba")</f>
        <v>0</v>
      </c>
      <c r="D35751" t="s">
        <v>5117</v>
      </c>
      <c r="E35751" t="s">
        <v>8904</v>
      </c>
      <c r="F35751" t="s">
        <v>14203</v>
      </c>
      <c r="G35751" t="s">
        <v>16863</v>
      </c>
      <c r="H35751" t="s">
        <v>19019</v>
      </c>
    </row>
    <row r="35752" spans="1:8">
      <c r="H35752" t="s">
        <v>34022</v>
      </c>
    </row>
    <row r="35753" spans="1:8">
      <c r="H35753" t="s">
        <v>34023</v>
      </c>
    </row>
    <row r="35754" spans="1:8">
      <c r="H35754" t="s">
        <v>34028</v>
      </c>
    </row>
    <row r="35755" spans="1:8">
      <c r="A35755" t="s">
        <v>3190</v>
      </c>
      <c r="B35755">
        <f>HYPERLINK("https://android.googlesource.com/platform/cts/+/c61e6801ceac79cdedb9858b65e9c8ee9e9ee46d", "c61e6801ceac79cdedb9858b65e9c8ee9e9ee46d")</f>
        <v>0</v>
      </c>
      <c r="C35755">
        <f>HYPERLINK("https://android.googlesource.com/platform/cts/+/f40c6a371ae9371e8eaf47a65adfb651c7c79915", "f40c6a371ae9371e8eaf47a65adfb651c7c79915")</f>
        <v>0</v>
      </c>
      <c r="D35755" t="s">
        <v>5290</v>
      </c>
      <c r="E35755" t="s">
        <v>8905</v>
      </c>
      <c r="F35755" t="s">
        <v>14204</v>
      </c>
      <c r="G35755" t="s">
        <v>16848</v>
      </c>
      <c r="H35755" t="s">
        <v>34029</v>
      </c>
    </row>
    <row r="35756" spans="1:8">
      <c r="A35756" t="s">
        <v>3191</v>
      </c>
      <c r="B35756">
        <f>HYPERLINK("https://android.googlesource.com/platform/cts/+/beb49990df5d3a6304baab3531bb470f274edd2b", "beb49990df5d3a6304baab3531bb470f274edd2b")</f>
        <v>0</v>
      </c>
      <c r="C35756">
        <f>HYPERLINK("https://android.googlesource.com/platform/cts/+/bcd6370fc6bac1d96804479abc40093920cca5df", "bcd6370fc6bac1d96804479abc40093920cca5df")</f>
        <v>0</v>
      </c>
      <c r="D35756" t="s">
        <v>5463</v>
      </c>
      <c r="E35756" t="s">
        <v>8906</v>
      </c>
      <c r="F35756" t="s">
        <v>14205</v>
      </c>
      <c r="G35756" t="s">
        <v>18181</v>
      </c>
      <c r="H35756" t="s">
        <v>18829</v>
      </c>
    </row>
    <row r="35757" spans="1:8">
      <c r="H35757" t="s">
        <v>18863</v>
      </c>
    </row>
    <row r="35758" spans="1:8">
      <c r="H35758" t="s">
        <v>34030</v>
      </c>
    </row>
    <row r="35759" spans="1:8">
      <c r="H35759" t="s">
        <v>34031</v>
      </c>
    </row>
    <row r="35760" spans="1:8">
      <c r="H35760" t="s">
        <v>34032</v>
      </c>
    </row>
    <row r="35761" spans="1:8">
      <c r="F35761" t="s">
        <v>13348</v>
      </c>
      <c r="G35761" t="s">
        <v>17475</v>
      </c>
      <c r="H35761" t="s">
        <v>34033</v>
      </c>
    </row>
    <row r="35762" spans="1:8">
      <c r="A35762" t="s">
        <v>3192</v>
      </c>
      <c r="B35762">
        <f>HYPERLINK("https://android.googlesource.com/platform/cts/+/343e16244a21adcfe402e67b64a618dc8c48f81c", "343e16244a21adcfe402e67b64a618dc8c48f81c")</f>
        <v>0</v>
      </c>
      <c r="C35762">
        <f>HYPERLINK("https://android.googlesource.com/platform/cts/+/fec07ed43e59ecad51f87e11de2da8639e7d9b74", "fec07ed43e59ecad51f87e11de2da8639e7d9b74")</f>
        <v>0</v>
      </c>
      <c r="D35762" t="s">
        <v>5497</v>
      </c>
      <c r="E35762" t="s">
        <v>8907</v>
      </c>
      <c r="F35762" t="s">
        <v>14145</v>
      </c>
      <c r="G35762" t="s">
        <v>18133</v>
      </c>
      <c r="H35762" t="s">
        <v>34034</v>
      </c>
    </row>
    <row r="35763" spans="1:8">
      <c r="H35763" t="s">
        <v>34035</v>
      </c>
    </row>
    <row r="35764" spans="1:8">
      <c r="H35764" t="s">
        <v>34036</v>
      </c>
    </row>
    <row r="35765" spans="1:8">
      <c r="H35765" t="s">
        <v>34037</v>
      </c>
    </row>
    <row r="35766" spans="1:8">
      <c r="H35766" t="s">
        <v>34038</v>
      </c>
    </row>
    <row r="35767" spans="1:8">
      <c r="A35767" t="s">
        <v>3193</v>
      </c>
      <c r="B35767">
        <f>HYPERLINK("https://android.googlesource.com/platform/cts/+/8bd319eec6bf9325b7d7f95a379edd75d63daffd", "8bd319eec6bf9325b7d7f95a379edd75d63daffd")</f>
        <v>0</v>
      </c>
      <c r="C35767">
        <f>HYPERLINK("https://android.googlesource.com/platform/cts/+/f623437c5ed7c93062431a73ef59eed6e857367d", "f623437c5ed7c93062431a73ef59eed6e857367d")</f>
        <v>0</v>
      </c>
      <c r="D35767" t="s">
        <v>5527</v>
      </c>
      <c r="E35767" t="s">
        <v>8908</v>
      </c>
      <c r="F35767" t="s">
        <v>14206</v>
      </c>
      <c r="G35767" t="s">
        <v>18182</v>
      </c>
      <c r="H35767" t="s">
        <v>34039</v>
      </c>
    </row>
    <row r="35768" spans="1:8">
      <c r="H35768" t="s">
        <v>34040</v>
      </c>
    </row>
    <row r="35769" spans="1:8">
      <c r="H35769" t="s">
        <v>34041</v>
      </c>
    </row>
    <row r="35770" spans="1:8">
      <c r="H35770" t="s">
        <v>34042</v>
      </c>
    </row>
    <row r="35771" spans="1:8">
      <c r="F35771" t="s">
        <v>14158</v>
      </c>
      <c r="G35771" t="s">
        <v>18144</v>
      </c>
      <c r="H35771" t="s">
        <v>34039</v>
      </c>
    </row>
    <row r="35772" spans="1:8">
      <c r="H35772" t="s">
        <v>34043</v>
      </c>
    </row>
    <row r="35773" spans="1:8">
      <c r="H35773" t="s">
        <v>34040</v>
      </c>
    </row>
    <row r="35774" spans="1:8">
      <c r="H35774" t="s">
        <v>34042</v>
      </c>
    </row>
    <row r="35775" spans="1:8">
      <c r="H35775" t="s">
        <v>34042</v>
      </c>
    </row>
    <row r="35776" spans="1:8">
      <c r="H35776" t="s">
        <v>34044</v>
      </c>
    </row>
    <row r="35777" spans="1:8">
      <c r="H35777" t="s">
        <v>34045</v>
      </c>
    </row>
    <row r="35778" spans="1:8">
      <c r="H35778" t="s">
        <v>34041</v>
      </c>
    </row>
    <row r="35779" spans="1:8">
      <c r="H35779" t="s">
        <v>34046</v>
      </c>
    </row>
    <row r="35780" spans="1:8">
      <c r="H35780" t="s">
        <v>34047</v>
      </c>
    </row>
    <row r="35781" spans="1:8">
      <c r="F35781" t="s">
        <v>14207</v>
      </c>
      <c r="G35781" t="s">
        <v>18183</v>
      </c>
      <c r="H35781" t="s">
        <v>34039</v>
      </c>
    </row>
    <row r="35782" spans="1:8">
      <c r="H35782" t="s">
        <v>34048</v>
      </c>
    </row>
    <row r="35783" spans="1:8">
      <c r="H35783" t="s">
        <v>34049</v>
      </c>
    </row>
    <row r="35784" spans="1:8">
      <c r="H35784" t="s">
        <v>34042</v>
      </c>
    </row>
    <row r="35785" spans="1:8">
      <c r="H35785" t="s">
        <v>34047</v>
      </c>
    </row>
    <row r="35786" spans="1:8">
      <c r="F35786" t="s">
        <v>14208</v>
      </c>
      <c r="G35786" t="s">
        <v>18184</v>
      </c>
      <c r="H35786" t="s">
        <v>34042</v>
      </c>
    </row>
    <row r="35787" spans="1:8">
      <c r="H35787" t="s">
        <v>34044</v>
      </c>
    </row>
    <row r="35788" spans="1:8">
      <c r="A35788" t="s">
        <v>3194</v>
      </c>
      <c r="B35788">
        <f>HYPERLINK("https://android.googlesource.com/platform/cts/+/402f9aed16d5413003008334525720a695e47fda", "402f9aed16d5413003008334525720a695e47fda")</f>
        <v>0</v>
      </c>
      <c r="C35788">
        <f>HYPERLINK("https://android.googlesource.com/platform/cts/+/a84bc3ab2d1c30cf30da2a012aebaab09f9bcb32", "a84bc3ab2d1c30cf30da2a012aebaab09f9bcb32")</f>
        <v>0</v>
      </c>
      <c r="D35788" t="s">
        <v>5528</v>
      </c>
      <c r="E35788" t="s">
        <v>8909</v>
      </c>
      <c r="F35788" t="s">
        <v>14209</v>
      </c>
      <c r="G35788" t="s">
        <v>18185</v>
      </c>
      <c r="H35788" t="s">
        <v>34050</v>
      </c>
    </row>
    <row r="35789" spans="1:8">
      <c r="A35789" t="s">
        <v>3195</v>
      </c>
      <c r="B35789">
        <f>HYPERLINK("https://android.googlesource.com/platform/cts/+/dd9608b7d1147a4eaf36ea634b9fc2f0feca1145", "dd9608b7d1147a4eaf36ea634b9fc2f0feca1145")</f>
        <v>0</v>
      </c>
      <c r="C35789">
        <f>HYPERLINK("https://android.googlesource.com/platform/cts/+/cf657ee140543d30027ac4a252cc55185180f534", "cf657ee140543d30027ac4a252cc55185180f534")</f>
        <v>0</v>
      </c>
      <c r="D35789" t="s">
        <v>5390</v>
      </c>
      <c r="E35789" t="s">
        <v>8910</v>
      </c>
      <c r="F35789" t="s">
        <v>13837</v>
      </c>
      <c r="G35789" t="s">
        <v>17880</v>
      </c>
      <c r="H35789" t="s">
        <v>34051</v>
      </c>
    </row>
    <row r="35790" spans="1:8">
      <c r="H35790" t="s">
        <v>34052</v>
      </c>
    </row>
    <row r="35791" spans="1:8">
      <c r="F35791" t="s">
        <v>14210</v>
      </c>
      <c r="G35791" t="s">
        <v>18186</v>
      </c>
      <c r="H35791" t="s">
        <v>34051</v>
      </c>
    </row>
    <row r="35792" spans="1:8">
      <c r="H35792" t="s">
        <v>34052</v>
      </c>
    </row>
    <row r="35793" spans="1:8">
      <c r="A35793" t="s">
        <v>3198</v>
      </c>
      <c r="B35793">
        <f>HYPERLINK("https://android.googlesource.com/platform/cts/+/04745e831c97fa0e93510f00941718ccd7dad6d2", "04745e831c97fa0e93510f00941718ccd7dad6d2")</f>
        <v>0</v>
      </c>
      <c r="C35793">
        <f>HYPERLINK("https://android.googlesource.com/platform/cts/+/31fd3082c73ba1b2d62a9831a23dbfd1a41fe54e", "31fd3082c73ba1b2d62a9831a23dbfd1a41fe54e")</f>
        <v>0</v>
      </c>
      <c r="D35793" t="s">
        <v>5390</v>
      </c>
      <c r="E35793" t="s">
        <v>8912</v>
      </c>
      <c r="F35793" t="s">
        <v>13837</v>
      </c>
      <c r="G35793" t="s">
        <v>17880</v>
      </c>
      <c r="H35793" t="s">
        <v>34051</v>
      </c>
    </row>
    <row r="35794" spans="1:8">
      <c r="H35794" t="s">
        <v>34052</v>
      </c>
    </row>
    <row r="35795" spans="1:8">
      <c r="F35795" t="s">
        <v>14210</v>
      </c>
      <c r="G35795" t="s">
        <v>18186</v>
      </c>
      <c r="H35795" t="s">
        <v>34051</v>
      </c>
    </row>
    <row r="35796" spans="1:8">
      <c r="H35796" t="s">
        <v>34052</v>
      </c>
    </row>
    <row r="35797" spans="1:8">
      <c r="A35797" t="s">
        <v>3199</v>
      </c>
      <c r="B35797">
        <f>HYPERLINK("https://android.googlesource.com/platform/cts/+/02a9713829637145183cb9fa40d1367caab765c3", "02a9713829637145183cb9fa40d1367caab765c3")</f>
        <v>0</v>
      </c>
      <c r="C35797">
        <f>HYPERLINK("https://android.googlesource.com/platform/cts/+/f5f257256a57666bf35a6ce702e9e29358464975", "f5f257256a57666bf35a6ce702e9e29358464975")</f>
        <v>0</v>
      </c>
      <c r="D35797" t="s">
        <v>5529</v>
      </c>
      <c r="E35797" t="s">
        <v>8913</v>
      </c>
      <c r="F35797" t="s">
        <v>13236</v>
      </c>
      <c r="G35797" t="s">
        <v>17375</v>
      </c>
      <c r="H35797" t="s">
        <v>32339</v>
      </c>
    </row>
    <row r="35798" spans="1:8">
      <c r="A35798" t="s">
        <v>3200</v>
      </c>
      <c r="B35798">
        <f>HYPERLINK("https://android.googlesource.com/platform/cts/+/6600da32750b83d792b021ec4b086a5d59ae80b6", "6600da32750b83d792b021ec4b086a5d59ae80b6")</f>
        <v>0</v>
      </c>
      <c r="C35798">
        <f>HYPERLINK("https://android.googlesource.com/platform/cts/+/37a3c0dec2d85daed49ae120653638d7d596385d", "37a3c0dec2d85daed49ae120653638d7d596385d")</f>
        <v>0</v>
      </c>
      <c r="D35798" t="s">
        <v>4981</v>
      </c>
      <c r="E35798" t="s">
        <v>8914</v>
      </c>
      <c r="F35798" t="s">
        <v>14211</v>
      </c>
      <c r="G35798" t="s">
        <v>17748</v>
      </c>
      <c r="H35798" t="s">
        <v>34053</v>
      </c>
    </row>
    <row r="35799" spans="1:8">
      <c r="F35799" t="s">
        <v>14212</v>
      </c>
      <c r="G35799" t="s">
        <v>17807</v>
      </c>
      <c r="H35799" t="s">
        <v>34054</v>
      </c>
    </row>
    <row r="35800" spans="1:8">
      <c r="A35800" t="s">
        <v>3201</v>
      </c>
      <c r="B35800">
        <f>HYPERLINK("https://android.googlesource.com/platform/cts/+/f5357b5cfeac6f499600d3c02eac24120f286bc7", "f5357b5cfeac6f499600d3c02eac24120f286bc7")</f>
        <v>0</v>
      </c>
      <c r="C35800">
        <f>HYPERLINK("https://android.googlesource.com/platform/cts/+/7577513d022b125f5f55c67bbdcdb482c825ea91", "7577513d022b125f5f55c67bbdcdb482c825ea91")</f>
        <v>0</v>
      </c>
      <c r="D35800" t="s">
        <v>5530</v>
      </c>
      <c r="E35800" t="s">
        <v>8915</v>
      </c>
      <c r="F35800" t="s">
        <v>14213</v>
      </c>
      <c r="G35800" t="s">
        <v>18187</v>
      </c>
      <c r="H35800" t="s">
        <v>34055</v>
      </c>
    </row>
    <row r="35801" spans="1:8">
      <c r="H35801" t="s">
        <v>26282</v>
      </c>
    </row>
    <row r="35802" spans="1:8">
      <c r="H35802" t="s">
        <v>20012</v>
      </c>
    </row>
    <row r="35803" spans="1:8">
      <c r="H35803" t="s">
        <v>34056</v>
      </c>
    </row>
    <row r="35804" spans="1:8">
      <c r="H35804" t="s">
        <v>18927</v>
      </c>
    </row>
    <row r="35805" spans="1:8">
      <c r="A35805" t="s">
        <v>3202</v>
      </c>
      <c r="B35805">
        <f>HYPERLINK("https://android.googlesource.com/platform/cts/+/f44117f90b64bc06c76eb6dcc00250ebd8ac0fc2", "f44117f90b64bc06c76eb6dcc00250ebd8ac0fc2")</f>
        <v>0</v>
      </c>
      <c r="C35805">
        <f>HYPERLINK("https://android.googlesource.com/platform/cts/+/28e4db098fd898eb601066a15d20786f50c1ed4f", "28e4db098fd898eb601066a15d20786f50c1ed4f")</f>
        <v>0</v>
      </c>
      <c r="D35805" t="s">
        <v>5195</v>
      </c>
      <c r="E35805" t="s">
        <v>8916</v>
      </c>
      <c r="F35805" t="s">
        <v>13816</v>
      </c>
      <c r="G35805" t="s">
        <v>15089</v>
      </c>
      <c r="H35805" t="s">
        <v>34057</v>
      </c>
    </row>
    <row r="35806" spans="1:8">
      <c r="H35806" t="s">
        <v>34058</v>
      </c>
    </row>
    <row r="35807" spans="1:8">
      <c r="H35807" t="s">
        <v>34059</v>
      </c>
    </row>
    <row r="35808" spans="1:8">
      <c r="H35808" t="s">
        <v>34060</v>
      </c>
    </row>
    <row r="35809" spans="1:8">
      <c r="H35809" t="s">
        <v>34061</v>
      </c>
    </row>
    <row r="35810" spans="1:8">
      <c r="H35810" t="s">
        <v>34062</v>
      </c>
    </row>
    <row r="35811" spans="1:8">
      <c r="H35811" t="s">
        <v>34063</v>
      </c>
    </row>
    <row r="35812" spans="1:8">
      <c r="H35812" t="s">
        <v>34064</v>
      </c>
    </row>
    <row r="35813" spans="1:8">
      <c r="H35813" t="s">
        <v>34065</v>
      </c>
    </row>
    <row r="35814" spans="1:8">
      <c r="H35814" t="s">
        <v>34066</v>
      </c>
    </row>
    <row r="35815" spans="1:8">
      <c r="H35815" t="s">
        <v>34067</v>
      </c>
    </row>
    <row r="35816" spans="1:8">
      <c r="H35816" t="s">
        <v>34068</v>
      </c>
    </row>
    <row r="35817" spans="1:8">
      <c r="H35817" t="s">
        <v>34069</v>
      </c>
    </row>
    <row r="35818" spans="1:8">
      <c r="A35818" t="s">
        <v>3203</v>
      </c>
      <c r="B35818">
        <f>HYPERLINK("https://android.googlesource.com/platform/cts/+/d0449b2b17291658168090c234f9135923826ade", "d0449b2b17291658168090c234f9135923826ade")</f>
        <v>0</v>
      </c>
      <c r="C35818">
        <f>HYPERLINK("https://android.googlesource.com/platform/cts/+/018f1f77593bd2c1123b1edba93e762bf0178fea", "018f1f77593bd2c1123b1edba93e762bf0178fea")</f>
        <v>0</v>
      </c>
      <c r="D35818" t="s">
        <v>5513</v>
      </c>
      <c r="E35818" t="s">
        <v>8917</v>
      </c>
      <c r="F35818" t="s">
        <v>14214</v>
      </c>
      <c r="G35818" t="s">
        <v>18188</v>
      </c>
      <c r="H35818" t="s">
        <v>34070</v>
      </c>
    </row>
    <row r="35819" spans="1:8">
      <c r="H35819" t="s">
        <v>34071</v>
      </c>
    </row>
    <row r="35820" spans="1:8">
      <c r="A35820" t="s">
        <v>3204</v>
      </c>
      <c r="B35820">
        <f>HYPERLINK("https://android.googlesource.com/platform/cts/+/9780db52625073ddbe48c2e93bc32ecb0618f40d", "9780db52625073ddbe48c2e93bc32ecb0618f40d")</f>
        <v>0</v>
      </c>
      <c r="C35820">
        <f>HYPERLINK("https://android.googlesource.com/platform/cts/+/e6476ccb1093ad9d2e05184c4c761e5cd3119a1b", "e6476ccb1093ad9d2e05184c4c761e5cd3119a1b")</f>
        <v>0</v>
      </c>
      <c r="D35820" t="s">
        <v>5512</v>
      </c>
      <c r="E35820" t="s">
        <v>8918</v>
      </c>
      <c r="F35820" t="s">
        <v>13990</v>
      </c>
      <c r="G35820" t="s">
        <v>18009</v>
      </c>
      <c r="H35820" t="s">
        <v>34072</v>
      </c>
    </row>
    <row r="35821" spans="1:8">
      <c r="H35821" t="s">
        <v>34073</v>
      </c>
    </row>
    <row r="35822" spans="1:8">
      <c r="F35822" t="s">
        <v>13716</v>
      </c>
      <c r="G35822" t="s">
        <v>17783</v>
      </c>
      <c r="H35822" t="s">
        <v>34074</v>
      </c>
    </row>
    <row r="35823" spans="1:8">
      <c r="A35823" t="s">
        <v>3205</v>
      </c>
      <c r="B35823">
        <f>HYPERLINK("https://android.googlesource.com/platform/cts/+/fd2497b470d07329bfddc759c0710db0b4177f4f", "fd2497b470d07329bfddc759c0710db0b4177f4f")</f>
        <v>0</v>
      </c>
      <c r="C35823">
        <f>HYPERLINK("https://android.googlesource.com/platform/cts/+/21a8e036f423d83ab3a263ca0ec4cebc15ba7d44", "21a8e036f423d83ab3a263ca0ec4cebc15ba7d44")</f>
        <v>0</v>
      </c>
      <c r="D35823" t="s">
        <v>5390</v>
      </c>
      <c r="E35823" t="s">
        <v>8919</v>
      </c>
      <c r="F35823" t="s">
        <v>13837</v>
      </c>
      <c r="G35823" t="s">
        <v>17880</v>
      </c>
      <c r="H35823" t="s">
        <v>34051</v>
      </c>
    </row>
    <row r="35824" spans="1:8">
      <c r="H35824" t="s">
        <v>34052</v>
      </c>
    </row>
    <row r="35825" spans="1:8">
      <c r="F35825" t="s">
        <v>14210</v>
      </c>
      <c r="G35825" t="s">
        <v>18186</v>
      </c>
      <c r="H35825" t="s">
        <v>34051</v>
      </c>
    </row>
    <row r="35826" spans="1:8">
      <c r="H35826" t="s">
        <v>34052</v>
      </c>
    </row>
    <row r="35827" spans="1:8">
      <c r="A35827" t="s">
        <v>3206</v>
      </c>
      <c r="B35827">
        <f>HYPERLINK("https://android.googlesource.com/platform/cts/+/f77cfb9375575c4c995e7d0c9cfe005fe1200c42", "f77cfb9375575c4c995e7d0c9cfe005fe1200c42")</f>
        <v>0</v>
      </c>
      <c r="C35827">
        <f>HYPERLINK("https://android.googlesource.com/platform/cts/+/28e4db098fd898eb601066a15d20786f50c1ed4f", "28e4db098fd898eb601066a15d20786f50c1ed4f")</f>
        <v>0</v>
      </c>
      <c r="D35827" t="s">
        <v>5195</v>
      </c>
      <c r="E35827" t="s">
        <v>8920</v>
      </c>
      <c r="F35827" t="s">
        <v>14215</v>
      </c>
      <c r="G35827" t="s">
        <v>18189</v>
      </c>
      <c r="H35827" t="s">
        <v>34075</v>
      </c>
    </row>
    <row r="35828" spans="1:8">
      <c r="A35828" t="s">
        <v>3207</v>
      </c>
      <c r="B35828">
        <f>HYPERLINK("https://android.googlesource.com/platform/cts/+/161806066f237ec1bc45459ca7b3b959772ae790", "161806066f237ec1bc45459ca7b3b959772ae790")</f>
        <v>0</v>
      </c>
      <c r="C35828">
        <f>HYPERLINK("https://android.googlesource.com/platform/cts/+/d0449b2b17291658168090c234f9135923826ade", "d0449b2b17291658168090c234f9135923826ade")</f>
        <v>0</v>
      </c>
      <c r="D35828" t="s">
        <v>5513</v>
      </c>
      <c r="E35828" t="s">
        <v>8921</v>
      </c>
      <c r="F35828" t="s">
        <v>14214</v>
      </c>
      <c r="G35828" t="s">
        <v>18188</v>
      </c>
      <c r="H35828" t="s">
        <v>34076</v>
      </c>
    </row>
    <row r="35829" spans="1:8">
      <c r="H35829" t="s">
        <v>34077</v>
      </c>
    </row>
    <row r="35830" spans="1:8">
      <c r="A35830" t="s">
        <v>3209</v>
      </c>
      <c r="B35830">
        <f>HYPERLINK("https://android.googlesource.com/platform/cts/+/4a31c32381400815c5a76c391f1488a147272baa", "4a31c32381400815c5a76c391f1488a147272baa")</f>
        <v>0</v>
      </c>
      <c r="C35830">
        <f>HYPERLINK("https://android.googlesource.com/platform/cts/+/74675352b4c52bfc1f64af236595bc5f60f7d66b", "74675352b4c52bfc1f64af236595bc5f60f7d66b")</f>
        <v>0</v>
      </c>
      <c r="D35830" t="s">
        <v>5334</v>
      </c>
      <c r="E35830" t="s">
        <v>8923</v>
      </c>
      <c r="F35830" t="s">
        <v>14200</v>
      </c>
      <c r="G35830" t="s">
        <v>18179</v>
      </c>
      <c r="H35830" t="s">
        <v>34078</v>
      </c>
    </row>
    <row r="35831" spans="1:8">
      <c r="A35831" t="s">
        <v>3210</v>
      </c>
      <c r="B35831">
        <f>HYPERLINK("https://android.googlesource.com/platform/cts/+/c7f6f65340fd16ff5c00dd5cb15e5ba9b19a2f6b", "c7f6f65340fd16ff5c00dd5cb15e5ba9b19a2f6b")</f>
        <v>0</v>
      </c>
      <c r="C35831">
        <f>HYPERLINK("https://android.googlesource.com/platform/cts/+/95815add6db82c7a503fa28d64779ce51a9b6893", "95815add6db82c7a503fa28d64779ce51a9b6893")</f>
        <v>0</v>
      </c>
      <c r="D35831" t="s">
        <v>5531</v>
      </c>
      <c r="E35831" t="s">
        <v>8924</v>
      </c>
      <c r="F35831" t="s">
        <v>10700</v>
      </c>
      <c r="G35831" t="s">
        <v>15100</v>
      </c>
      <c r="H35831" t="s">
        <v>34079</v>
      </c>
    </row>
    <row r="35832" spans="1:8">
      <c r="H35832" t="s">
        <v>34080</v>
      </c>
    </row>
    <row r="35833" spans="1:8">
      <c r="A35833" t="s">
        <v>3211</v>
      </c>
      <c r="B35833">
        <f>HYPERLINK("https://android.googlesource.com/platform/cts/+/5093eeb3b7c8647e593030d8a4fd72705dbd1217", "5093eeb3b7c8647e593030d8a4fd72705dbd1217")</f>
        <v>0</v>
      </c>
      <c r="C35833">
        <f>HYPERLINK("https://android.googlesource.com/platform/cts/+/b951822b4955a16047b1d1a671cf7aa49164122e", "b951822b4955a16047b1d1a671cf7aa49164122e")</f>
        <v>0</v>
      </c>
      <c r="D35833" t="s">
        <v>5529</v>
      </c>
      <c r="E35833" t="s">
        <v>8925</v>
      </c>
      <c r="F35833" t="s">
        <v>13236</v>
      </c>
      <c r="G35833" t="s">
        <v>17375</v>
      </c>
      <c r="H35833" t="s">
        <v>32339</v>
      </c>
    </row>
    <row r="35834" spans="1:8">
      <c r="A35834" t="s">
        <v>3212</v>
      </c>
      <c r="B35834">
        <f>HYPERLINK("https://android.googlesource.com/platform/cts/+/9c92fa8c06077ce8a6bd4d19d6c86a9f314edc77", "9c92fa8c06077ce8a6bd4d19d6c86a9f314edc77")</f>
        <v>0</v>
      </c>
      <c r="C35834">
        <f>HYPERLINK("https://android.googlesource.com/platform/cts/+/f32b8eaa519577c47f33538c1487283335c4bb07", "f32b8eaa519577c47f33538c1487283335c4bb07")</f>
        <v>0</v>
      </c>
      <c r="D35834" t="s">
        <v>5512</v>
      </c>
      <c r="E35834" t="s">
        <v>8926</v>
      </c>
      <c r="F35834" t="s">
        <v>13716</v>
      </c>
      <c r="G35834" t="s">
        <v>17783</v>
      </c>
      <c r="H35834" t="s">
        <v>34081</v>
      </c>
    </row>
    <row r="35835" spans="1:8">
      <c r="A35835" t="s">
        <v>3214</v>
      </c>
      <c r="B35835">
        <f>HYPERLINK("https://android.googlesource.com/platform/cts/+/45f9d50325a648a22fd38671753216a934cdfb10", "45f9d50325a648a22fd38671753216a934cdfb10")</f>
        <v>0</v>
      </c>
      <c r="C35835">
        <f>HYPERLINK("https://android.googlesource.com/platform/cts/+/7906b85aeacf5e6529e110efa091f8adfe421367", "7906b85aeacf5e6529e110efa091f8adfe421367")</f>
        <v>0</v>
      </c>
      <c r="D35835" t="s">
        <v>5512</v>
      </c>
      <c r="E35835" t="s">
        <v>8928</v>
      </c>
      <c r="F35835" t="s">
        <v>13990</v>
      </c>
      <c r="G35835" t="s">
        <v>18009</v>
      </c>
      <c r="H35835" t="s">
        <v>34082</v>
      </c>
    </row>
    <row r="35836" spans="1:8">
      <c r="A35836" t="s">
        <v>3215</v>
      </c>
      <c r="B35836">
        <f>HYPERLINK("https://android.googlesource.com/platform/cts/+/85be141e0f506c52f0e0b1752c74db5190e42047", "85be141e0f506c52f0e0b1752c74db5190e42047")</f>
        <v>0</v>
      </c>
      <c r="C35836">
        <f>HYPERLINK("https://android.googlesource.com/platform/cts/+/312421a3578799fb9adeb86d0b06098ca13adfb4", "312421a3578799fb9adeb86d0b06098ca13adfb4")</f>
        <v>0</v>
      </c>
      <c r="D35836" t="s">
        <v>5390</v>
      </c>
      <c r="E35836" t="s">
        <v>8929</v>
      </c>
      <c r="F35836" t="s">
        <v>13837</v>
      </c>
      <c r="G35836" t="s">
        <v>17880</v>
      </c>
      <c r="H35836" t="s">
        <v>34051</v>
      </c>
    </row>
    <row r="35837" spans="1:8">
      <c r="H35837" t="s">
        <v>34052</v>
      </c>
    </row>
    <row r="35838" spans="1:8">
      <c r="F35838" t="s">
        <v>14210</v>
      </c>
      <c r="G35838" t="s">
        <v>18186</v>
      </c>
      <c r="H35838" t="s">
        <v>34051</v>
      </c>
    </row>
    <row r="35839" spans="1:8">
      <c r="H35839" t="s">
        <v>34052</v>
      </c>
    </row>
    <row r="35840" spans="1:8">
      <c r="A35840" t="s">
        <v>3218</v>
      </c>
      <c r="B35840">
        <f>HYPERLINK("https://android.googlesource.com/platform/cts/+/2e59a5e9b0f18c603dc8d8447c9fc56163fbb94e", "2e59a5e9b0f18c603dc8d8447c9fc56163fbb94e")</f>
        <v>0</v>
      </c>
      <c r="C35840">
        <f>HYPERLINK("https://android.googlesource.com/platform/cts/+/7c10b4dd03f25c0aee296f543b9a4acf7abd38af", "7c10b4dd03f25c0aee296f543b9a4acf7abd38af")</f>
        <v>0</v>
      </c>
      <c r="D35840" t="s">
        <v>5523</v>
      </c>
      <c r="E35840" t="s">
        <v>8932</v>
      </c>
      <c r="F35840" t="s">
        <v>14196</v>
      </c>
      <c r="G35840" t="s">
        <v>18175</v>
      </c>
      <c r="H35840" t="s">
        <v>34083</v>
      </c>
    </row>
    <row r="35841" spans="1:8">
      <c r="H35841" t="s">
        <v>34084</v>
      </c>
    </row>
    <row r="35842" spans="1:8">
      <c r="A35842" t="s">
        <v>3219</v>
      </c>
      <c r="B35842">
        <f>HYPERLINK("https://android.googlesource.com/platform/cts/+/022fe2a4112c5cee8cc24a70a679058edcc19842", "022fe2a4112c5cee8cc24a70a679058edcc19842")</f>
        <v>0</v>
      </c>
      <c r="C35842">
        <f>HYPERLINK("https://android.googlesource.com/platform/cts/+/b504fec6e151aebf1c14fbf642d7d37741f98da5", "b504fec6e151aebf1c14fbf642d7d37741f98da5")</f>
        <v>0</v>
      </c>
      <c r="D35842" t="s">
        <v>5523</v>
      </c>
      <c r="E35842" t="s">
        <v>8933</v>
      </c>
      <c r="F35842" t="s">
        <v>14196</v>
      </c>
      <c r="G35842" t="s">
        <v>18175</v>
      </c>
      <c r="H35842" t="s">
        <v>34085</v>
      </c>
    </row>
    <row r="35843" spans="1:8">
      <c r="H35843" t="s">
        <v>34086</v>
      </c>
    </row>
    <row r="35844" spans="1:8">
      <c r="H35844" t="s">
        <v>34087</v>
      </c>
    </row>
    <row r="35845" spans="1:8">
      <c r="H35845" t="s">
        <v>34088</v>
      </c>
    </row>
    <row r="35846" spans="1:8">
      <c r="H35846" t="s">
        <v>34089</v>
      </c>
    </row>
    <row r="35847" spans="1:8">
      <c r="A35847" t="s">
        <v>3220</v>
      </c>
      <c r="B35847">
        <f>HYPERLINK("https://android.googlesource.com/platform/cts/+/33e3811072bb5364252b0ddb4defe9715045fa8c", "33e3811072bb5364252b0ddb4defe9715045fa8c")</f>
        <v>0</v>
      </c>
      <c r="C35847">
        <f>HYPERLINK("https://android.googlesource.com/platform/cts/+/bf4dc1a6e1ce899451c3f1319b203d4b1da0ad81", "bf4dc1a6e1ce899451c3f1319b203d4b1da0ad81")</f>
        <v>0</v>
      </c>
      <c r="D35847" t="s">
        <v>5532</v>
      </c>
      <c r="E35847" t="s">
        <v>8934</v>
      </c>
      <c r="F35847" t="s">
        <v>14216</v>
      </c>
      <c r="G35847" t="s">
        <v>16863</v>
      </c>
      <c r="H35847" t="s">
        <v>32338</v>
      </c>
    </row>
    <row r="35848" spans="1:8">
      <c r="A35848" t="s">
        <v>3221</v>
      </c>
      <c r="B35848">
        <f>HYPERLINK("https://android.googlesource.com/platform/cts/+/bd967da6488f24043d1806176e2725b3bf85a12f", "bd967da6488f24043d1806176e2725b3bf85a12f")</f>
        <v>0</v>
      </c>
      <c r="C35848">
        <f>HYPERLINK("https://android.googlesource.com/platform/cts/+/1b4096625b07ac4f71e7e484e79b7796a6420f01", "1b4096625b07ac4f71e7e484e79b7796a6420f01")</f>
        <v>0</v>
      </c>
      <c r="D35848" t="s">
        <v>5533</v>
      </c>
      <c r="E35848" t="s">
        <v>8935</v>
      </c>
      <c r="F35848" t="s">
        <v>13977</v>
      </c>
      <c r="G35848" t="s">
        <v>18002</v>
      </c>
      <c r="H35848" t="s">
        <v>34090</v>
      </c>
    </row>
    <row r="35849" spans="1:8">
      <c r="A35849" t="s">
        <v>3222</v>
      </c>
      <c r="B35849">
        <f>HYPERLINK("https://android.googlesource.com/platform/cts/+/2716fc4f27b2f1905e7f1b504ccebe9128beadcd", "2716fc4f27b2f1905e7f1b504ccebe9128beadcd")</f>
        <v>0</v>
      </c>
      <c r="C35849">
        <f>HYPERLINK("https://android.googlesource.com/platform/cts/+/312421a3578799fb9adeb86d0b06098ca13adfb4", "312421a3578799fb9adeb86d0b06098ca13adfb4")</f>
        <v>0</v>
      </c>
      <c r="D35849" t="s">
        <v>5481</v>
      </c>
      <c r="E35849" t="s">
        <v>8936</v>
      </c>
      <c r="F35849" t="s">
        <v>14217</v>
      </c>
      <c r="G35849" t="s">
        <v>18190</v>
      </c>
      <c r="H35849" t="s">
        <v>34091</v>
      </c>
    </row>
    <row r="35850" spans="1:8">
      <c r="H35850" t="s">
        <v>34092</v>
      </c>
    </row>
    <row r="35851" spans="1:8">
      <c r="A35851" t="s">
        <v>3223</v>
      </c>
      <c r="B35851">
        <f>HYPERLINK("https://android.googlesource.com/platform/cts/+/b78a1eb7b8e5c7304f52d3e1a58555d839c906c2", "b78a1eb7b8e5c7304f52d3e1a58555d839c906c2")</f>
        <v>0</v>
      </c>
      <c r="C35851">
        <f>HYPERLINK("https://android.googlesource.com/platform/cts/+/357f3b0f3b5565e860122e0641bd7a591ef08fa6", "357f3b0f3b5565e860122e0641bd7a591ef08fa6")</f>
        <v>0</v>
      </c>
      <c r="D35851" t="s">
        <v>5472</v>
      </c>
      <c r="E35851" t="s">
        <v>8937</v>
      </c>
      <c r="F35851" t="s">
        <v>14218</v>
      </c>
      <c r="G35851" t="s">
        <v>18191</v>
      </c>
      <c r="H35851" t="s">
        <v>18863</v>
      </c>
    </row>
    <row r="35852" spans="1:8">
      <c r="H35852" t="s">
        <v>34093</v>
      </c>
    </row>
    <row r="35853" spans="1:8">
      <c r="H35853" t="s">
        <v>34094</v>
      </c>
    </row>
    <row r="35854" spans="1:8">
      <c r="H35854" t="s">
        <v>34095</v>
      </c>
    </row>
    <row r="35855" spans="1:8">
      <c r="H35855" t="s">
        <v>34096</v>
      </c>
    </row>
    <row r="35856" spans="1:8">
      <c r="F35856" t="s">
        <v>14122</v>
      </c>
      <c r="G35856" t="s">
        <v>18112</v>
      </c>
      <c r="H35856" t="s">
        <v>34097</v>
      </c>
    </row>
    <row r="35857" spans="1:8">
      <c r="A35857" t="s">
        <v>3224</v>
      </c>
      <c r="B35857">
        <f>HYPERLINK("https://android.googlesource.com/platform/cts/+/98fb26a2672810d40ef00be7ba9e27a6b4573b57", "98fb26a2672810d40ef00be7ba9e27a6b4573b57")</f>
        <v>0</v>
      </c>
      <c r="C35857">
        <f>HYPERLINK("https://android.googlesource.com/platform/cts/+/191d399685b8e3457fe98985a88655524da5cdb2", "191d399685b8e3457fe98985a88655524da5cdb2")</f>
        <v>0</v>
      </c>
      <c r="D35857" t="s">
        <v>5533</v>
      </c>
      <c r="E35857" t="s">
        <v>8938</v>
      </c>
      <c r="F35857" t="s">
        <v>13977</v>
      </c>
      <c r="G35857" t="s">
        <v>18002</v>
      </c>
      <c r="H35857" t="s">
        <v>34090</v>
      </c>
    </row>
    <row r="35858" spans="1:8">
      <c r="A35858" t="s">
        <v>3226</v>
      </c>
      <c r="B35858">
        <f>HYPERLINK("https://android.googlesource.com/platform/cts/+/03d8be54d0155d1858a778bd5444b1097599d3bb", "03d8be54d0155d1858a778bd5444b1097599d3bb")</f>
        <v>0</v>
      </c>
      <c r="C35858">
        <f>HYPERLINK("https://android.googlesource.com/platform/cts/+/c7b075695e3e93b1c516e3ebe6cb94678b6e5718", "c7b075695e3e93b1c516e3ebe6cb94678b6e5718")</f>
        <v>0</v>
      </c>
      <c r="D35858" t="s">
        <v>5534</v>
      </c>
      <c r="E35858" t="s">
        <v>8940</v>
      </c>
      <c r="F35858" t="s">
        <v>14219</v>
      </c>
      <c r="G35858" t="s">
        <v>18192</v>
      </c>
      <c r="H35858" t="s">
        <v>34098</v>
      </c>
    </row>
    <row r="35859" spans="1:8">
      <c r="A35859" t="s">
        <v>3226</v>
      </c>
      <c r="B35859">
        <f>HYPERLINK("https://android.googlesource.com/platform/cts/+/dd66be457327e826b965fd6619f313ab1cb731c0", "dd66be457327e826b965fd6619f313ab1cb731c0")</f>
        <v>0</v>
      </c>
      <c r="C35859">
        <f>HYPERLINK("https://android.googlesource.com/platform/cts/+/53f94070f82d30a68a5c6242a6e8f6481498df3a", "53f94070f82d30a68a5c6242a6e8f6481498df3a")</f>
        <v>0</v>
      </c>
      <c r="D35859" t="s">
        <v>5534</v>
      </c>
      <c r="E35859" t="s">
        <v>8941</v>
      </c>
      <c r="F35859" t="s">
        <v>14219</v>
      </c>
      <c r="G35859" t="s">
        <v>18192</v>
      </c>
      <c r="H35859" t="s">
        <v>34099</v>
      </c>
    </row>
    <row r="35860" spans="1:8">
      <c r="A35860" t="s">
        <v>3227</v>
      </c>
      <c r="B35860">
        <f>HYPERLINK("https://android.googlesource.com/platform/cts/+/4af7f62c031fc1cd6c9fd0bf24bebd8768d5d6d2", "4af7f62c031fc1cd6c9fd0bf24bebd8768d5d6d2")</f>
        <v>0</v>
      </c>
      <c r="C35860">
        <f>HYPERLINK("https://android.googlesource.com/platform/cts/+/afe84db29c7c22faec7dd5a182e2b0ba6b39f7d3", "afe84db29c7c22faec7dd5a182e2b0ba6b39f7d3")</f>
        <v>0</v>
      </c>
      <c r="D35860" t="s">
        <v>5512</v>
      </c>
      <c r="E35860" t="s">
        <v>8942</v>
      </c>
      <c r="F35860" t="s">
        <v>13990</v>
      </c>
      <c r="G35860" t="s">
        <v>18009</v>
      </c>
      <c r="H35860" t="s">
        <v>34072</v>
      </c>
    </row>
    <row r="35861" spans="1:8">
      <c r="A35861" t="s">
        <v>3228</v>
      </c>
      <c r="B35861">
        <f>HYPERLINK("https://android.googlesource.com/platform/cts/+/a8aba9454403f780b568e7b3444ef73117d517f8", "a8aba9454403f780b568e7b3444ef73117d517f8")</f>
        <v>0</v>
      </c>
      <c r="C35861">
        <f>HYPERLINK("https://android.googlesource.com/platform/cts/+/4af7f62c031fc1cd6c9fd0bf24bebd8768d5d6d2", "4af7f62c031fc1cd6c9fd0bf24bebd8768d5d6d2")</f>
        <v>0</v>
      </c>
      <c r="D35861" t="s">
        <v>5512</v>
      </c>
      <c r="E35861" t="s">
        <v>8943</v>
      </c>
      <c r="F35861" t="s">
        <v>13990</v>
      </c>
      <c r="G35861" t="s">
        <v>18009</v>
      </c>
      <c r="H35861" t="s">
        <v>34073</v>
      </c>
    </row>
    <row r="35862" spans="1:8">
      <c r="A35862" t="s">
        <v>3229</v>
      </c>
      <c r="B35862">
        <f>HYPERLINK("https://android.googlesource.com/platform/cts/+/5d583f0760f27a046e89a6d9c44239fbc6470b62", "5d583f0760f27a046e89a6d9c44239fbc6470b62")</f>
        <v>0</v>
      </c>
      <c r="C35862">
        <f>HYPERLINK("https://android.googlesource.com/platform/cts/+/a8aba9454403f780b568e7b3444ef73117d517f8", "a8aba9454403f780b568e7b3444ef73117d517f8")</f>
        <v>0</v>
      </c>
      <c r="D35862" t="s">
        <v>5512</v>
      </c>
      <c r="E35862" t="s">
        <v>8944</v>
      </c>
      <c r="F35862" t="s">
        <v>13990</v>
      </c>
      <c r="G35862" t="s">
        <v>18009</v>
      </c>
      <c r="H35862" t="s">
        <v>34100</v>
      </c>
    </row>
    <row r="35863" spans="1:8">
      <c r="A35863" t="s">
        <v>3230</v>
      </c>
      <c r="B35863">
        <f>HYPERLINK("https://android.googlesource.com/platform/cts/+/2dfcba1e4d4c9b825ec3cbe6478d3d394c9741f0", "2dfcba1e4d4c9b825ec3cbe6478d3d394c9741f0")</f>
        <v>0</v>
      </c>
      <c r="C35863">
        <f>HYPERLINK("https://android.googlesource.com/platform/cts/+/5d583f0760f27a046e89a6d9c44239fbc6470b62", "5d583f0760f27a046e89a6d9c44239fbc6470b62")</f>
        <v>0</v>
      </c>
      <c r="D35863" t="s">
        <v>5512</v>
      </c>
      <c r="E35863" t="s">
        <v>8945</v>
      </c>
      <c r="F35863" t="s">
        <v>13990</v>
      </c>
      <c r="G35863" t="s">
        <v>18009</v>
      </c>
      <c r="H35863" t="s">
        <v>34101</v>
      </c>
    </row>
    <row r="35864" spans="1:8">
      <c r="A35864" t="s">
        <v>3231</v>
      </c>
      <c r="B35864">
        <f>HYPERLINK("https://android.googlesource.com/platform/cts/+/91ef66a12b162e1afe470a0ac0c983efe2f7704c", "91ef66a12b162e1afe470a0ac0c983efe2f7704c")</f>
        <v>0</v>
      </c>
      <c r="C35864">
        <f>HYPERLINK("https://android.googlesource.com/platform/cts/+/2dfcba1e4d4c9b825ec3cbe6478d3d394c9741f0", "2dfcba1e4d4c9b825ec3cbe6478d3d394c9741f0")</f>
        <v>0</v>
      </c>
      <c r="D35864" t="s">
        <v>5512</v>
      </c>
      <c r="E35864" t="s">
        <v>8946</v>
      </c>
      <c r="F35864" t="s">
        <v>13990</v>
      </c>
      <c r="G35864" t="s">
        <v>18009</v>
      </c>
      <c r="H35864" t="s">
        <v>34102</v>
      </c>
    </row>
    <row r="35865" spans="1:8">
      <c r="A35865" t="s">
        <v>3232</v>
      </c>
      <c r="B35865">
        <f>HYPERLINK("https://android.googlesource.com/platform/cts/+/2cb23eedf80f26451b04a89f6173444f948126a9", "2cb23eedf80f26451b04a89f6173444f948126a9")</f>
        <v>0</v>
      </c>
      <c r="C35865">
        <f>HYPERLINK("https://android.googlesource.com/platform/cts/+/ce56f6595f19fde51648fb6acfbe96ad5741e4e5", "ce56f6595f19fde51648fb6acfbe96ad5741e4e5")</f>
        <v>0</v>
      </c>
      <c r="D35865" t="s">
        <v>5512</v>
      </c>
      <c r="E35865" t="s">
        <v>8947</v>
      </c>
      <c r="F35865" t="s">
        <v>13990</v>
      </c>
      <c r="G35865" t="s">
        <v>18009</v>
      </c>
      <c r="H35865" t="s">
        <v>34103</v>
      </c>
    </row>
    <row r="35866" spans="1:8">
      <c r="A35866" t="s">
        <v>3233</v>
      </c>
      <c r="B35866">
        <f>HYPERLINK("https://android.googlesource.com/platform/cts/+/9effb8f16ca25b588731a5c94a15c66058e34bcb", "9effb8f16ca25b588731a5c94a15c66058e34bcb")</f>
        <v>0</v>
      </c>
      <c r="C35866">
        <f>HYPERLINK("https://android.googlesource.com/platform/cts/+/d279ef85653c1110ca84409d849722bbce5de32d", "d279ef85653c1110ca84409d849722bbce5de32d")</f>
        <v>0</v>
      </c>
      <c r="D35866" t="s">
        <v>5288</v>
      </c>
      <c r="E35866" t="s">
        <v>8948</v>
      </c>
      <c r="F35866" t="s">
        <v>14220</v>
      </c>
      <c r="G35866" t="s">
        <v>18193</v>
      </c>
      <c r="H35866" t="s">
        <v>34104</v>
      </c>
    </row>
    <row r="35867" spans="1:8">
      <c r="A35867" t="s">
        <v>3234</v>
      </c>
      <c r="B35867">
        <f>HYPERLINK("https://android.googlesource.com/platform/cts/+/30432fa7640603c1e746b7d8c83e2e6052d8f967", "30432fa7640603c1e746b7d8c83e2e6052d8f967")</f>
        <v>0</v>
      </c>
      <c r="C35867">
        <f>HYPERLINK("https://android.googlesource.com/platform/cts/+/03553b723b72a878d90bbf9010108bdc997821c1", "03553b723b72a878d90bbf9010108bdc997821c1")</f>
        <v>0</v>
      </c>
      <c r="D35867" t="s">
        <v>5271</v>
      </c>
      <c r="E35867" t="s">
        <v>8949</v>
      </c>
      <c r="F35867" t="s">
        <v>13928</v>
      </c>
      <c r="G35867" t="s">
        <v>17964</v>
      </c>
      <c r="H35867" t="s">
        <v>34105</v>
      </c>
    </row>
    <row r="35868" spans="1:8">
      <c r="H35868" t="s">
        <v>34106</v>
      </c>
    </row>
    <row r="35869" spans="1:8">
      <c r="H35869" t="s">
        <v>34107</v>
      </c>
    </row>
    <row r="35870" spans="1:8">
      <c r="H35870" t="s">
        <v>31669</v>
      </c>
    </row>
    <row r="35871" spans="1:8">
      <c r="H35871" t="s">
        <v>34108</v>
      </c>
    </row>
    <row r="35872" spans="1:8">
      <c r="H35872" t="s">
        <v>34109</v>
      </c>
    </row>
    <row r="35873" spans="1:8">
      <c r="A35873" t="s">
        <v>3235</v>
      </c>
      <c r="B35873">
        <f>HYPERLINK("https://android.googlesource.com/platform/cts/+/5197494f6bfedb1d2d1ed60e7b41dab1177d0922", "5197494f6bfedb1d2d1ed60e7b41dab1177d0922")</f>
        <v>0</v>
      </c>
      <c r="C35873">
        <f>HYPERLINK("https://android.googlesource.com/platform/cts/+/b04678d72a6145a2dd25437d2ea8d4acb1982e0d", "b04678d72a6145a2dd25437d2ea8d4acb1982e0d")</f>
        <v>0</v>
      </c>
      <c r="D35873" t="s">
        <v>5108</v>
      </c>
      <c r="E35873" t="s">
        <v>8950</v>
      </c>
      <c r="F35873" t="s">
        <v>14221</v>
      </c>
      <c r="G35873" t="s">
        <v>18194</v>
      </c>
      <c r="H35873" t="s">
        <v>18829</v>
      </c>
    </row>
    <row r="35874" spans="1:8">
      <c r="H35874" t="s">
        <v>18863</v>
      </c>
    </row>
    <row r="35875" spans="1:8">
      <c r="H35875" t="s">
        <v>31746</v>
      </c>
    </row>
    <row r="35876" spans="1:8">
      <c r="F35876" t="s">
        <v>12743</v>
      </c>
      <c r="G35876" t="s">
        <v>16935</v>
      </c>
      <c r="H35876" t="s">
        <v>34110</v>
      </c>
    </row>
    <row r="35877" spans="1:8">
      <c r="A35877" t="s">
        <v>3236</v>
      </c>
      <c r="B35877">
        <f>HYPERLINK("https://android.googlesource.com/platform/cts/+/0f5ac24098056e0391db0cc244e25440948574f2", "0f5ac24098056e0391db0cc244e25440948574f2")</f>
        <v>0</v>
      </c>
      <c r="C35877">
        <f>HYPERLINK("https://android.googlesource.com/platform/cts/+/c05b74c3235be123060485cf2df4121faec2e355", "c05b74c3235be123060485cf2df4121faec2e355")</f>
        <v>0</v>
      </c>
      <c r="D35877" t="s">
        <v>5526</v>
      </c>
      <c r="E35877" t="s">
        <v>8951</v>
      </c>
      <c r="F35877" t="s">
        <v>13227</v>
      </c>
      <c r="G35877" t="s">
        <v>17368</v>
      </c>
      <c r="H35877" t="s">
        <v>34111</v>
      </c>
    </row>
    <row r="35878" spans="1:8">
      <c r="H35878" t="s">
        <v>34112</v>
      </c>
    </row>
    <row r="35879" spans="1:8">
      <c r="H35879" t="s">
        <v>34113</v>
      </c>
    </row>
    <row r="35880" spans="1:8">
      <c r="H35880" t="s">
        <v>29749</v>
      </c>
    </row>
    <row r="35881" spans="1:8">
      <c r="H35881" t="s">
        <v>34114</v>
      </c>
    </row>
    <row r="35882" spans="1:8">
      <c r="H35882" t="s">
        <v>34115</v>
      </c>
    </row>
    <row r="35883" spans="1:8">
      <c r="H35883" t="s">
        <v>34116</v>
      </c>
    </row>
    <row r="35884" spans="1:8">
      <c r="H35884" t="s">
        <v>34117</v>
      </c>
    </row>
    <row r="35885" spans="1:8">
      <c r="A35885" t="s">
        <v>3237</v>
      </c>
      <c r="B35885">
        <f>HYPERLINK("https://android.googlesource.com/platform/cts/+/e19a04da9d2ff0993af8884888bb4a327c546098", "e19a04da9d2ff0993af8884888bb4a327c546098")</f>
        <v>0</v>
      </c>
      <c r="C35885">
        <f>HYPERLINK("https://android.googlesource.com/platform/cts/+/0ef85ff5a391fe81fb7d06959566d869f805f8b5", "0ef85ff5a391fe81fb7d06959566d869f805f8b5")</f>
        <v>0</v>
      </c>
      <c r="D35885" t="s">
        <v>5271</v>
      </c>
      <c r="E35885" t="s">
        <v>8952</v>
      </c>
      <c r="F35885" t="s">
        <v>14222</v>
      </c>
      <c r="G35885" t="s">
        <v>18195</v>
      </c>
      <c r="H35885" t="s">
        <v>34118</v>
      </c>
    </row>
    <row r="35886" spans="1:8">
      <c r="A35886" t="s">
        <v>3238</v>
      </c>
      <c r="B35886">
        <f>HYPERLINK("https://android.googlesource.com/platform/cts/+/2e94b5aebb8462b1143cefccbb29138860eeb276", "2e94b5aebb8462b1143cefccbb29138860eeb276")</f>
        <v>0</v>
      </c>
      <c r="C35886">
        <f>HYPERLINK("https://android.googlesource.com/platform/cts/+/b504fec6e151aebf1c14fbf642d7d37741f98da5", "b504fec6e151aebf1c14fbf642d7d37741f98da5")</f>
        <v>0</v>
      </c>
      <c r="D35886" t="s">
        <v>5478</v>
      </c>
      <c r="E35886" t="s">
        <v>8953</v>
      </c>
      <c r="F35886" t="s">
        <v>13333</v>
      </c>
      <c r="G35886" t="s">
        <v>17463</v>
      </c>
      <c r="H35886" t="s">
        <v>34119</v>
      </c>
    </row>
    <row r="35887" spans="1:8">
      <c r="F35887" t="s">
        <v>12232</v>
      </c>
      <c r="G35887" t="s">
        <v>16462</v>
      </c>
      <c r="H35887" t="s">
        <v>34120</v>
      </c>
    </row>
    <row r="35888" spans="1:8">
      <c r="F35888" t="s">
        <v>14103</v>
      </c>
      <c r="G35888" t="s">
        <v>18096</v>
      </c>
      <c r="H35888" t="s">
        <v>34119</v>
      </c>
    </row>
    <row r="35889" spans="1:8">
      <c r="F35889" t="s">
        <v>14104</v>
      </c>
      <c r="G35889" t="s">
        <v>18097</v>
      </c>
      <c r="H35889" t="s">
        <v>34119</v>
      </c>
    </row>
    <row r="35890" spans="1:8">
      <c r="F35890" t="s">
        <v>14105</v>
      </c>
      <c r="G35890" t="s">
        <v>18098</v>
      </c>
      <c r="H35890" t="s">
        <v>34119</v>
      </c>
    </row>
    <row r="35891" spans="1:8">
      <c r="A35891" t="s">
        <v>3241</v>
      </c>
      <c r="B35891">
        <f>HYPERLINK("https://android.googlesource.com/platform/cts/+/c20af566d1cf995469cef87b3c74f000a3fb8f7a", "c20af566d1cf995469cef87b3c74f000a3fb8f7a")</f>
        <v>0</v>
      </c>
      <c r="C35891">
        <f>HYPERLINK("https://android.googlesource.com/platform/cts/+/dade1ce0207859d7bcb92d13df671bbfcb16c392", "dade1ce0207859d7bcb92d13df671bbfcb16c392")</f>
        <v>0</v>
      </c>
      <c r="D35891" t="s">
        <v>5481</v>
      </c>
      <c r="E35891" t="s">
        <v>8956</v>
      </c>
      <c r="F35891" t="s">
        <v>14217</v>
      </c>
      <c r="G35891" t="s">
        <v>18190</v>
      </c>
      <c r="H35891" t="s">
        <v>18829</v>
      </c>
    </row>
    <row r="35892" spans="1:8">
      <c r="H35892" t="s">
        <v>19982</v>
      </c>
    </row>
    <row r="35893" spans="1:8">
      <c r="H35893" t="s">
        <v>34121</v>
      </c>
    </row>
    <row r="35894" spans="1:8">
      <c r="H35894" t="s">
        <v>34122</v>
      </c>
    </row>
    <row r="35895" spans="1:8">
      <c r="H35895" t="s">
        <v>34123</v>
      </c>
    </row>
    <row r="35896" spans="1:8">
      <c r="H35896" t="s">
        <v>34124</v>
      </c>
    </row>
    <row r="35897" spans="1:8">
      <c r="H35897" t="s">
        <v>34125</v>
      </c>
    </row>
    <row r="35898" spans="1:8">
      <c r="H35898" t="s">
        <v>34126</v>
      </c>
    </row>
    <row r="35899" spans="1:8">
      <c r="H35899" t="s">
        <v>34127</v>
      </c>
    </row>
    <row r="35900" spans="1:8">
      <c r="H35900" t="s">
        <v>34128</v>
      </c>
    </row>
    <row r="35901" spans="1:8">
      <c r="H35901" t="s">
        <v>34129</v>
      </c>
    </row>
    <row r="35902" spans="1:8">
      <c r="H35902" t="s">
        <v>34130</v>
      </c>
    </row>
    <row r="35903" spans="1:8">
      <c r="A35903" t="s">
        <v>3242</v>
      </c>
      <c r="B35903">
        <f>HYPERLINK("https://android.googlesource.com/platform/cts/+/6e0254906b8cd1e296efb1dfaa76c48d78cbf35a", "6e0254906b8cd1e296efb1dfaa76c48d78cbf35a")</f>
        <v>0</v>
      </c>
      <c r="C35903">
        <f>HYPERLINK("https://android.googlesource.com/platform/cts/+/f9e5832511aa4c940f88bd5df61ee3571a545a97", "f9e5832511aa4c940f88bd5df61ee3571a545a97")</f>
        <v>0</v>
      </c>
      <c r="D35903" t="s">
        <v>5535</v>
      </c>
      <c r="E35903" t="s">
        <v>8957</v>
      </c>
      <c r="F35903" t="s">
        <v>14223</v>
      </c>
      <c r="G35903" t="s">
        <v>18196</v>
      </c>
      <c r="H35903" t="s">
        <v>34131</v>
      </c>
    </row>
    <row r="35904" spans="1:8">
      <c r="A35904" t="s">
        <v>3243</v>
      </c>
      <c r="B35904">
        <f>HYPERLINK("https://android.googlesource.com/platform/cts/+/da08a3e90af5a988cc4a4c83064b173270b2ce67", "da08a3e90af5a988cc4a4c83064b173270b2ce67")</f>
        <v>0</v>
      </c>
      <c r="C35904">
        <f>HYPERLINK("https://android.googlesource.com/platform/cts/+/92edd3c687e284bee408f128bbc91d1456d5a65d", "92edd3c687e284bee408f128bbc91d1456d5a65d")</f>
        <v>0</v>
      </c>
      <c r="D35904" t="s">
        <v>5429</v>
      </c>
      <c r="E35904" t="s">
        <v>8958</v>
      </c>
      <c r="F35904" t="s">
        <v>14224</v>
      </c>
      <c r="G35904" t="s">
        <v>18197</v>
      </c>
      <c r="H35904" t="s">
        <v>18829</v>
      </c>
    </row>
    <row r="35905" spans="1:8">
      <c r="A35905" t="s">
        <v>3244</v>
      </c>
      <c r="B35905">
        <f>HYPERLINK("https://android.googlesource.com/platform/cts/+/85df0868e65840adbb98dce68197d94ca5fae97f", "85df0868e65840adbb98dce68197d94ca5fae97f")</f>
        <v>0</v>
      </c>
      <c r="C35905">
        <f>HYPERLINK("https://android.googlesource.com/platform/cts/+/d8f1c821104ad894b9e1b3e85784a88b0169a851", "d8f1c821104ad894b9e1b3e85784a88b0169a851")</f>
        <v>0</v>
      </c>
      <c r="D35905" t="s">
        <v>5096</v>
      </c>
      <c r="E35905" t="s">
        <v>8959</v>
      </c>
      <c r="F35905" t="s">
        <v>14134</v>
      </c>
      <c r="G35905" t="s">
        <v>16863</v>
      </c>
      <c r="H35905" t="s">
        <v>33618</v>
      </c>
    </row>
    <row r="35906" spans="1:8">
      <c r="A35906" t="s">
        <v>3245</v>
      </c>
      <c r="B35906">
        <f>HYPERLINK("https://android.googlesource.com/platform/cts/+/f8fead4518047c9767d6cadce561026e4ec2ceb7", "f8fead4518047c9767d6cadce561026e4ec2ceb7")</f>
        <v>0</v>
      </c>
      <c r="C35906">
        <f>HYPERLINK("https://android.googlesource.com/platform/cts/+/d9f9f93f405eb836c6ed570d5d03c7c968ada2a5", "d9f9f93f405eb836c6ed570d5d03c7c968ada2a5")</f>
        <v>0</v>
      </c>
      <c r="D35906" t="s">
        <v>5536</v>
      </c>
      <c r="E35906" t="s">
        <v>8960</v>
      </c>
      <c r="F35906" t="s">
        <v>14225</v>
      </c>
      <c r="G35906" t="s">
        <v>15691</v>
      </c>
      <c r="H35906" t="s">
        <v>34132</v>
      </c>
    </row>
    <row r="35907" spans="1:8">
      <c r="A35907" t="s">
        <v>3247</v>
      </c>
      <c r="B35907">
        <f>HYPERLINK("https://android.googlesource.com/platform/cts/+/16a1d099f104cf9f808c7925dd3251c2cc806a22", "16a1d099f104cf9f808c7925dd3251c2cc806a22")</f>
        <v>0</v>
      </c>
      <c r="C35907">
        <f>HYPERLINK("https://android.googlesource.com/platform/cts/+/3efeb79582d9555e8c9e9f286c17bd405d4cd159", "3efeb79582d9555e8c9e9f286c17bd405d4cd159")</f>
        <v>0</v>
      </c>
      <c r="D35907" t="s">
        <v>5342</v>
      </c>
      <c r="E35907" t="s">
        <v>8961</v>
      </c>
      <c r="F35907" t="s">
        <v>12419</v>
      </c>
      <c r="G35907" t="s">
        <v>16641</v>
      </c>
      <c r="H35907" t="s">
        <v>34133</v>
      </c>
    </row>
    <row r="35908" spans="1:8">
      <c r="A35908" t="s">
        <v>3248</v>
      </c>
      <c r="B35908">
        <f>HYPERLINK("https://android.googlesource.com/platform/cts/+/aebd69814cf2cd71ed8a85d8bd1ba270d4588d7c", "aebd69814cf2cd71ed8a85d8bd1ba270d4588d7c")</f>
        <v>0</v>
      </c>
      <c r="C35908">
        <f>HYPERLINK("https://android.googlesource.com/platform/cts/+/89a5bba7ca54f7bf286030707333a91868783ed0", "89a5bba7ca54f7bf286030707333a91868783ed0")</f>
        <v>0</v>
      </c>
      <c r="D35908" t="s">
        <v>5272</v>
      </c>
      <c r="E35908" t="s">
        <v>8962</v>
      </c>
      <c r="F35908" t="s">
        <v>13398</v>
      </c>
      <c r="G35908" t="s">
        <v>17524</v>
      </c>
      <c r="H35908" t="s">
        <v>34134</v>
      </c>
    </row>
    <row r="35909" spans="1:8">
      <c r="A35909" t="s">
        <v>3249</v>
      </c>
      <c r="B35909">
        <f>HYPERLINK("https://android.googlesource.com/platform/cts/+/5fdff1d80882cc4c8b3e7fcd4882d9c81c222882", "5fdff1d80882cc4c8b3e7fcd4882d9c81c222882")</f>
        <v>0</v>
      </c>
      <c r="C35909">
        <f>HYPERLINK("https://android.googlesource.com/platform/cts/+/da5f3c62b1643cac3a35307f15c7aef74f937fea", "da5f3c62b1643cac3a35307f15c7aef74f937fea")</f>
        <v>0</v>
      </c>
      <c r="D35909" t="s">
        <v>5463</v>
      </c>
      <c r="E35909" t="s">
        <v>8963</v>
      </c>
      <c r="F35909" t="s">
        <v>12166</v>
      </c>
      <c r="G35909" t="s">
        <v>16406</v>
      </c>
      <c r="H35909" t="s">
        <v>34135</v>
      </c>
    </row>
    <row r="35910" spans="1:8">
      <c r="H35910" t="s">
        <v>34136</v>
      </c>
    </row>
    <row r="35911" spans="1:8">
      <c r="A35911" t="s">
        <v>3250</v>
      </c>
      <c r="B35911">
        <f>HYPERLINK("https://android.googlesource.com/platform/cts/+/a31cfcb5cd98c2d1ac67dec1998a396d11b6c325", "a31cfcb5cd98c2d1ac67dec1998a396d11b6c325")</f>
        <v>0</v>
      </c>
      <c r="C35911">
        <f>HYPERLINK("https://android.googlesource.com/platform/cts/+/5c291cbbd4a9f1577600ec74d4c957d0b9e619b6", "5c291cbbd4a9f1577600ec74d4c957d0b9e619b6")</f>
        <v>0</v>
      </c>
      <c r="D35911" t="s">
        <v>5537</v>
      </c>
      <c r="E35911" t="s">
        <v>8964</v>
      </c>
      <c r="F35911" t="s">
        <v>10691</v>
      </c>
      <c r="G35911" t="s">
        <v>15091</v>
      </c>
      <c r="H35911" t="s">
        <v>34137</v>
      </c>
    </row>
    <row r="35912" spans="1:8">
      <c r="A35912" t="s">
        <v>3251</v>
      </c>
      <c r="B35912">
        <f>HYPERLINK("https://android.googlesource.com/platform/cts/+/a863af090f3358a8c6d68a1d24b8ae7ff4c542b9", "a863af090f3358a8c6d68a1d24b8ae7ff4c542b9")</f>
        <v>0</v>
      </c>
      <c r="C35912">
        <f>HYPERLINK("https://android.googlesource.com/platform/cts/+/acdf727fc1dbd06cbdb82aba88d7fa502587f189", "acdf727fc1dbd06cbdb82aba88d7fa502587f189")</f>
        <v>0</v>
      </c>
      <c r="D35912" t="s">
        <v>5513</v>
      </c>
      <c r="E35912" t="s">
        <v>8965</v>
      </c>
      <c r="F35912" t="s">
        <v>14214</v>
      </c>
      <c r="G35912" t="s">
        <v>18188</v>
      </c>
      <c r="H35912" t="s">
        <v>34138</v>
      </c>
    </row>
    <row r="35913" spans="1:8">
      <c r="A35913" t="s">
        <v>3252</v>
      </c>
      <c r="B35913">
        <f>HYPERLINK("https://android.googlesource.com/platform/cts/+/db7a85b4389bfedecd728ea6c00e5c9a3eda4aad", "db7a85b4389bfedecd728ea6c00e5c9a3eda4aad")</f>
        <v>0</v>
      </c>
      <c r="C35913">
        <f>HYPERLINK("https://android.googlesource.com/platform/cts/+/f17f9dd519e8424956c52e02a856100e885f9f48", "f17f9dd519e8424956c52e02a856100e885f9f48")</f>
        <v>0</v>
      </c>
      <c r="D35913" t="s">
        <v>4963</v>
      </c>
      <c r="E35913" t="s">
        <v>8966</v>
      </c>
      <c r="F35913" t="s">
        <v>14226</v>
      </c>
      <c r="G35913" t="s">
        <v>18198</v>
      </c>
      <c r="H35913" t="s">
        <v>34139</v>
      </c>
    </row>
    <row r="35914" spans="1:8">
      <c r="A35914" t="s">
        <v>3257</v>
      </c>
      <c r="B35914">
        <f>HYPERLINK("https://android.googlesource.com/platform/cts/+/620ec9543fcc2e07953f099a4f63581c9c00816c", "620ec9543fcc2e07953f099a4f63581c9c00816c")</f>
        <v>0</v>
      </c>
      <c r="C35914">
        <f>HYPERLINK("https://android.googlesource.com/platform/cts/+/fdab0241b8a0444b9d5c1eddd73438cd7c2af667", "fdab0241b8a0444b9d5c1eddd73438cd7c2af667")</f>
        <v>0</v>
      </c>
      <c r="D35914" t="s">
        <v>5338</v>
      </c>
      <c r="E35914" t="s">
        <v>8970</v>
      </c>
      <c r="F35914" t="s">
        <v>14227</v>
      </c>
      <c r="G35914" t="s">
        <v>18199</v>
      </c>
      <c r="H35914" t="s">
        <v>34140</v>
      </c>
    </row>
    <row r="35915" spans="1:8">
      <c r="A35915" t="s">
        <v>3258</v>
      </c>
      <c r="B35915">
        <f>HYPERLINK("https://android.googlesource.com/platform/cts/+/0e89756ca48bde9538f6609658289d832667bc27", "0e89756ca48bde9538f6609658289d832667bc27")</f>
        <v>0</v>
      </c>
      <c r="C35915">
        <f>HYPERLINK("https://android.googlesource.com/platform/cts/+/dfc82330313cb711c607dc63e02e9f95c021e0fa", "dfc82330313cb711c607dc63e02e9f95c021e0fa")</f>
        <v>0</v>
      </c>
      <c r="D35915" t="s">
        <v>5478</v>
      </c>
      <c r="E35915" t="s">
        <v>8971</v>
      </c>
      <c r="F35915" t="s">
        <v>14228</v>
      </c>
      <c r="G35915" t="s">
        <v>18200</v>
      </c>
      <c r="H35915" t="s">
        <v>34141</v>
      </c>
    </row>
    <row r="35916" spans="1:8">
      <c r="F35916" t="s">
        <v>14229</v>
      </c>
      <c r="G35916" t="s">
        <v>18201</v>
      </c>
      <c r="H35916" t="s">
        <v>34141</v>
      </c>
    </row>
    <row r="35917" spans="1:8">
      <c r="A35917" t="s">
        <v>3259</v>
      </c>
      <c r="B35917">
        <f>HYPERLINK("https://android.googlesource.com/platform/cts/+/c0ce6574df7f69ef2edb923fc5ec0af4fb9266c9", "c0ce6574df7f69ef2edb923fc5ec0af4fb9266c9")</f>
        <v>0</v>
      </c>
      <c r="C35917">
        <f>HYPERLINK("https://android.googlesource.com/platform/cts/+/75b9a8634f166e9aa3bd3ea35d87738d71b999fb", "75b9a8634f166e9aa3bd3ea35d87738d71b999fb")</f>
        <v>0</v>
      </c>
      <c r="D35917" t="s">
        <v>5416</v>
      </c>
      <c r="E35917" t="s">
        <v>8972</v>
      </c>
      <c r="F35917" t="s">
        <v>13502</v>
      </c>
      <c r="G35917" t="s">
        <v>17620</v>
      </c>
      <c r="H35917" t="s">
        <v>18829</v>
      </c>
    </row>
    <row r="35918" spans="1:8">
      <c r="H35918" t="s">
        <v>34142</v>
      </c>
    </row>
    <row r="35919" spans="1:8">
      <c r="H35919" t="s">
        <v>34143</v>
      </c>
    </row>
    <row r="35920" spans="1:8">
      <c r="H35920" t="s">
        <v>34144</v>
      </c>
    </row>
    <row r="35921" spans="1:8">
      <c r="H35921" t="s">
        <v>34145</v>
      </c>
    </row>
    <row r="35922" spans="1:8">
      <c r="H35922" t="s">
        <v>34146</v>
      </c>
    </row>
    <row r="35923" spans="1:8">
      <c r="A35923" t="s">
        <v>3260</v>
      </c>
      <c r="B35923">
        <f>HYPERLINK("https://android.googlesource.com/platform/cts/+/eaad5e660303cce8eb334f09ecde5a2fb12f4db2", "eaad5e660303cce8eb334f09ecde5a2fb12f4db2")</f>
        <v>0</v>
      </c>
      <c r="C35923">
        <f>HYPERLINK("https://android.googlesource.com/platform/cts/+/357d7bc5725a9bdedea64d9c364c3c4f4dacc22c", "357d7bc5725a9bdedea64d9c364c3c4f4dacc22c")</f>
        <v>0</v>
      </c>
      <c r="D35923" t="s">
        <v>5447</v>
      </c>
      <c r="E35923" t="s">
        <v>8973</v>
      </c>
      <c r="F35923" t="s">
        <v>12844</v>
      </c>
      <c r="G35923" t="s">
        <v>17016</v>
      </c>
      <c r="H35923" t="s">
        <v>34147</v>
      </c>
    </row>
    <row r="35924" spans="1:8">
      <c r="H35924" t="s">
        <v>34148</v>
      </c>
    </row>
    <row r="35925" spans="1:8">
      <c r="A35925" t="s">
        <v>3262</v>
      </c>
      <c r="B35925">
        <f>HYPERLINK("https://android.googlesource.com/platform/cts/+/0b3382a1e134746074f3afc2593039a38c41ab12", "0b3382a1e134746074f3afc2593039a38c41ab12")</f>
        <v>0</v>
      </c>
      <c r="C35925">
        <f>HYPERLINK("https://android.googlesource.com/platform/cts/+/41959ad743b2803898713da1e2d0a3e40ece7520", "41959ad743b2803898713da1e2d0a3e40ece7520")</f>
        <v>0</v>
      </c>
      <c r="D35925" t="s">
        <v>5177</v>
      </c>
      <c r="E35925" t="s">
        <v>8975</v>
      </c>
      <c r="F35925" t="s">
        <v>14230</v>
      </c>
      <c r="G35925" t="s">
        <v>18202</v>
      </c>
      <c r="H35925" t="s">
        <v>34149</v>
      </c>
    </row>
    <row r="35926" spans="1:8">
      <c r="H35926" t="s">
        <v>34150</v>
      </c>
    </row>
    <row r="35927" spans="1:8">
      <c r="H35927" t="s">
        <v>34151</v>
      </c>
    </row>
    <row r="35928" spans="1:8">
      <c r="H35928" t="s">
        <v>34152</v>
      </c>
    </row>
    <row r="35929" spans="1:8">
      <c r="H35929" t="s">
        <v>27195</v>
      </c>
    </row>
    <row r="35930" spans="1:8">
      <c r="H35930" t="s">
        <v>31403</v>
      </c>
    </row>
    <row r="35931" spans="1:8">
      <c r="H35931" t="s">
        <v>25704</v>
      </c>
    </row>
    <row r="35932" spans="1:8">
      <c r="H35932" t="s">
        <v>34153</v>
      </c>
    </row>
    <row r="35933" spans="1:8">
      <c r="H35933" t="s">
        <v>34153</v>
      </c>
    </row>
    <row r="35934" spans="1:8">
      <c r="H35934" t="s">
        <v>32296</v>
      </c>
    </row>
    <row r="35935" spans="1:8">
      <c r="H35935" t="s">
        <v>25704</v>
      </c>
    </row>
    <row r="35936" spans="1:8">
      <c r="H35936" t="s">
        <v>18853</v>
      </c>
    </row>
    <row r="35937" spans="1:8">
      <c r="H35937" t="s">
        <v>34154</v>
      </c>
    </row>
    <row r="35938" spans="1:8">
      <c r="H35938" t="s">
        <v>34155</v>
      </c>
    </row>
    <row r="35939" spans="1:8">
      <c r="H35939" t="s">
        <v>34156</v>
      </c>
    </row>
    <row r="35940" spans="1:8">
      <c r="H35940" t="s">
        <v>34157</v>
      </c>
    </row>
    <row r="35941" spans="1:8">
      <c r="A35941" t="s">
        <v>3264</v>
      </c>
      <c r="B35941">
        <f>HYPERLINK("https://android.googlesource.com/platform/cts/+/9b02e0f6f48d1a07f635e54da4f98dd1a04d176c", "9b02e0f6f48d1a07f635e54da4f98dd1a04d176c")</f>
        <v>0</v>
      </c>
      <c r="C35941">
        <f>HYPERLINK("https://android.googlesource.com/platform/cts/+/903c413fd5f9513eda0eaceecd54a34463e24a5e", "903c413fd5f9513eda0eaceecd54a34463e24a5e")</f>
        <v>0</v>
      </c>
      <c r="D35941" t="s">
        <v>4976</v>
      </c>
      <c r="E35941" t="s">
        <v>8977</v>
      </c>
      <c r="F35941" t="s">
        <v>14230</v>
      </c>
      <c r="G35941" t="s">
        <v>18202</v>
      </c>
      <c r="H35941" t="s">
        <v>34158</v>
      </c>
    </row>
    <row r="35942" spans="1:8">
      <c r="H35942" t="s">
        <v>34158</v>
      </c>
    </row>
    <row r="35943" spans="1:8">
      <c r="H35943" t="s">
        <v>34149</v>
      </c>
    </row>
    <row r="35944" spans="1:8">
      <c r="H35944" t="s">
        <v>34150</v>
      </c>
    </row>
    <row r="35945" spans="1:8">
      <c r="H35945" t="s">
        <v>34151</v>
      </c>
    </row>
    <row r="35946" spans="1:8">
      <c r="H35946" t="s">
        <v>34152</v>
      </c>
    </row>
    <row r="35947" spans="1:8">
      <c r="H35947" t="s">
        <v>27195</v>
      </c>
    </row>
    <row r="35948" spans="1:8">
      <c r="H35948" t="s">
        <v>31403</v>
      </c>
    </row>
    <row r="35949" spans="1:8">
      <c r="H35949" t="s">
        <v>25704</v>
      </c>
    </row>
    <row r="35950" spans="1:8">
      <c r="H35950" t="s">
        <v>34153</v>
      </c>
    </row>
    <row r="35951" spans="1:8">
      <c r="H35951" t="s">
        <v>34153</v>
      </c>
    </row>
    <row r="35952" spans="1:8">
      <c r="H35952" t="s">
        <v>32296</v>
      </c>
    </row>
    <row r="35953" spans="1:8">
      <c r="H35953" t="s">
        <v>25704</v>
      </c>
    </row>
    <row r="35954" spans="1:8">
      <c r="H35954" t="s">
        <v>18853</v>
      </c>
    </row>
    <row r="35955" spans="1:8">
      <c r="H35955" t="s">
        <v>34154</v>
      </c>
    </row>
    <row r="35956" spans="1:8">
      <c r="H35956" t="s">
        <v>34155</v>
      </c>
    </row>
    <row r="35957" spans="1:8">
      <c r="H35957" t="s">
        <v>34156</v>
      </c>
    </row>
    <row r="35958" spans="1:8">
      <c r="H35958" t="s">
        <v>34157</v>
      </c>
    </row>
    <row r="35959" spans="1:8">
      <c r="A35959" t="s">
        <v>3265</v>
      </c>
      <c r="B35959">
        <f>HYPERLINK("https://android.googlesource.com/platform/cts/+/a8a90255d43845e307b6d133c710b802dbece622", "a8a90255d43845e307b6d133c710b802dbece622")</f>
        <v>0</v>
      </c>
      <c r="C35959">
        <f>HYPERLINK("https://android.googlesource.com/platform/cts/+/4c2a3f0d0f9dac9bea02d5a45901f89e24d6597c", "4c2a3f0d0f9dac9bea02d5a45901f89e24d6597c")</f>
        <v>0</v>
      </c>
      <c r="D35959" t="s">
        <v>5341</v>
      </c>
      <c r="E35959" t="s">
        <v>8978</v>
      </c>
      <c r="F35959" t="s">
        <v>13707</v>
      </c>
      <c r="G35959" t="s">
        <v>17775</v>
      </c>
      <c r="H35959" t="s">
        <v>31045</v>
      </c>
    </row>
    <row r="35960" spans="1:8">
      <c r="H35960" t="s">
        <v>34159</v>
      </c>
    </row>
    <row r="35961" spans="1:8">
      <c r="H35961" t="s">
        <v>34160</v>
      </c>
    </row>
    <row r="35962" spans="1:8">
      <c r="A35962" t="s">
        <v>3266</v>
      </c>
      <c r="B35962">
        <f>HYPERLINK("https://android.googlesource.com/platform/cts/+/b461df77cf8ba58562198967fac308bac77f6644", "b461df77cf8ba58562198967fac308bac77f6644")</f>
        <v>0</v>
      </c>
      <c r="C35962">
        <f>HYPERLINK("https://android.googlesource.com/platform/cts/+/761d30432b4b3b5e5b233140fa4d651cb0e89174", "761d30432b4b3b5e5b233140fa4d651cb0e89174")</f>
        <v>0</v>
      </c>
      <c r="D35962" t="s">
        <v>5415</v>
      </c>
      <c r="E35962" t="s">
        <v>8979</v>
      </c>
      <c r="F35962" t="s">
        <v>14231</v>
      </c>
      <c r="G35962" t="s">
        <v>17928</v>
      </c>
      <c r="H35962" t="s">
        <v>34161</v>
      </c>
    </row>
    <row r="35963" spans="1:8">
      <c r="A35963" t="s">
        <v>3269</v>
      </c>
      <c r="B35963">
        <f>HYPERLINK("https://android.googlesource.com/platform/cts/+/aba7075fea7a761b796240fcd6142f142e6819ab", "aba7075fea7a761b796240fcd6142f142e6819ab")</f>
        <v>0</v>
      </c>
      <c r="C35963">
        <f>HYPERLINK("https://android.googlesource.com/platform/cts/+/df8182e6332b1dfb0d35d81daf0d8ffc93b93ad5", "df8182e6332b1dfb0d35d81daf0d8ffc93b93ad5")</f>
        <v>0</v>
      </c>
      <c r="D35963" t="s">
        <v>5042</v>
      </c>
      <c r="E35963" t="s">
        <v>8981</v>
      </c>
      <c r="F35963" t="s">
        <v>14232</v>
      </c>
      <c r="G35963" t="s">
        <v>18203</v>
      </c>
      <c r="H35963" t="s">
        <v>18829</v>
      </c>
    </row>
    <row r="35964" spans="1:8">
      <c r="H35964" t="s">
        <v>34162</v>
      </c>
    </row>
    <row r="35965" spans="1:8">
      <c r="H35965" t="s">
        <v>34163</v>
      </c>
    </row>
    <row r="35966" spans="1:8">
      <c r="H35966" t="s">
        <v>34164</v>
      </c>
    </row>
    <row r="35967" spans="1:8">
      <c r="H35967" t="s">
        <v>34165</v>
      </c>
    </row>
    <row r="35968" spans="1:8">
      <c r="H35968" t="s">
        <v>34166</v>
      </c>
    </row>
    <row r="35969" spans="8:8">
      <c r="H35969" t="s">
        <v>34167</v>
      </c>
    </row>
    <row r="35970" spans="8:8">
      <c r="H35970" t="s">
        <v>34168</v>
      </c>
    </row>
    <row r="35971" spans="8:8">
      <c r="H35971" t="s">
        <v>34169</v>
      </c>
    </row>
    <row r="35972" spans="8:8">
      <c r="H35972" t="s">
        <v>34170</v>
      </c>
    </row>
    <row r="35973" spans="8:8">
      <c r="H35973" t="s">
        <v>34171</v>
      </c>
    </row>
    <row r="35974" spans="8:8">
      <c r="H35974" t="s">
        <v>34172</v>
      </c>
    </row>
    <row r="35975" spans="8:8">
      <c r="H35975" t="s">
        <v>34173</v>
      </c>
    </row>
    <row r="35976" spans="8:8">
      <c r="H35976" t="s">
        <v>34174</v>
      </c>
    </row>
    <row r="35977" spans="8:8">
      <c r="H35977" t="s">
        <v>34175</v>
      </c>
    </row>
    <row r="35978" spans="8:8">
      <c r="H35978" t="s">
        <v>34176</v>
      </c>
    </row>
    <row r="35979" spans="8:8">
      <c r="H35979" t="s">
        <v>34177</v>
      </c>
    </row>
    <row r="35980" spans="8:8">
      <c r="H35980" t="s">
        <v>34178</v>
      </c>
    </row>
    <row r="35981" spans="8:8">
      <c r="H35981" t="s">
        <v>34179</v>
      </c>
    </row>
    <row r="35982" spans="8:8">
      <c r="H35982" t="s">
        <v>34180</v>
      </c>
    </row>
    <row r="35983" spans="8:8">
      <c r="H35983" t="s">
        <v>34181</v>
      </c>
    </row>
    <row r="35984" spans="8:8">
      <c r="H35984" t="s">
        <v>34182</v>
      </c>
    </row>
    <row r="35985" spans="1:8">
      <c r="H35985" t="s">
        <v>34183</v>
      </c>
    </row>
    <row r="35986" spans="1:8">
      <c r="H35986" t="s">
        <v>34184</v>
      </c>
    </row>
    <row r="35987" spans="1:8">
      <c r="H35987" t="s">
        <v>34185</v>
      </c>
    </row>
    <row r="35988" spans="1:8">
      <c r="A35988" t="s">
        <v>3270</v>
      </c>
      <c r="B35988">
        <f>HYPERLINK("https://android.googlesource.com/platform/cts/+/07328404320381176c5003534bd76140e0e3be1f", "07328404320381176c5003534bd76140e0e3be1f")</f>
        <v>0</v>
      </c>
      <c r="C35988">
        <f>HYPERLINK("https://android.googlesource.com/platform/cts/+/ec7602654c204c441a3efcbc5cd2a39aaf143d74", "ec7602654c204c441a3efcbc5cd2a39aaf143d74")</f>
        <v>0</v>
      </c>
      <c r="D35988" t="s">
        <v>5244</v>
      </c>
      <c r="E35988" t="s">
        <v>8982</v>
      </c>
      <c r="F35988" t="s">
        <v>14065</v>
      </c>
      <c r="G35988" t="s">
        <v>18063</v>
      </c>
      <c r="H35988" t="s">
        <v>34186</v>
      </c>
    </row>
    <row r="35989" spans="1:8">
      <c r="A35989" t="s">
        <v>3271</v>
      </c>
      <c r="B35989">
        <f>HYPERLINK("https://android.googlesource.com/platform/cts/+/fadf88db914f8d32ce7ce76e2d669361ceeeebeb", "fadf88db914f8d32ce7ce76e2d669361ceeeebeb")</f>
        <v>0</v>
      </c>
      <c r="C35989">
        <f>HYPERLINK("https://android.googlesource.com/platform/cts/+/8556750c00b72cbc2c1a782f2139d1f9b0847b3b", "8556750c00b72cbc2c1a782f2139d1f9b0847b3b")</f>
        <v>0</v>
      </c>
      <c r="D35989" t="s">
        <v>4978</v>
      </c>
      <c r="E35989" t="s">
        <v>8983</v>
      </c>
      <c r="F35989" t="s">
        <v>13735</v>
      </c>
      <c r="G35989" t="s">
        <v>16637</v>
      </c>
      <c r="H35989" t="s">
        <v>32345</v>
      </c>
    </row>
    <row r="35990" spans="1:8">
      <c r="A35990" t="s">
        <v>3272</v>
      </c>
      <c r="B35990">
        <f>HYPERLINK("https://android.googlesource.com/platform/cts/+/b8c2f87127a50a517be88f0bf5bffc22b5854fa7", "b8c2f87127a50a517be88f0bf5bffc22b5854fa7")</f>
        <v>0</v>
      </c>
      <c r="C35990">
        <f>HYPERLINK("https://android.googlesource.com/platform/cts/+/de20b5f10992942b6d573463ed165442ce30615b", "de20b5f10992942b6d573463ed165442ce30615b")</f>
        <v>0</v>
      </c>
      <c r="D35990" t="s">
        <v>5478</v>
      </c>
      <c r="E35990" t="s">
        <v>8984</v>
      </c>
      <c r="F35990" t="s">
        <v>14233</v>
      </c>
      <c r="G35990" t="s">
        <v>16863</v>
      </c>
      <c r="H35990" t="s">
        <v>34187</v>
      </c>
    </row>
    <row r="35991" spans="1:8">
      <c r="A35991" t="s">
        <v>3273</v>
      </c>
      <c r="B35991">
        <f>HYPERLINK("https://android.googlesource.com/platform/cts/+/ddd855ca08293604d7a04b412391584979a83195", "ddd855ca08293604d7a04b412391584979a83195")</f>
        <v>0</v>
      </c>
      <c r="C35991">
        <f>HYPERLINK("https://android.googlesource.com/platform/cts/+/46c062a108656aaf7a9f29b05fba464c077a2e4c", "46c062a108656aaf7a9f29b05fba464c077a2e4c")</f>
        <v>0</v>
      </c>
      <c r="D35991" t="s">
        <v>5539</v>
      </c>
      <c r="E35991" t="s">
        <v>8985</v>
      </c>
      <c r="F35991" t="s">
        <v>12410</v>
      </c>
      <c r="G35991" t="s">
        <v>16632</v>
      </c>
      <c r="H35991" t="s">
        <v>34188</v>
      </c>
    </row>
    <row r="35992" spans="1:8">
      <c r="A35992" t="s">
        <v>3274</v>
      </c>
      <c r="B35992">
        <f>HYPERLINK("https://android.googlesource.com/platform/cts/+/5ac0171f917c8e8285554892b8d9d6f26aee40fd", "5ac0171f917c8e8285554892b8d9d6f26aee40fd")</f>
        <v>0</v>
      </c>
      <c r="C35992">
        <f>HYPERLINK("https://android.googlesource.com/platform/cts/+/67d907e12c036a0fb934b607798a69a97f0c7f61", "67d907e12c036a0fb934b607798a69a97f0c7f61")</f>
        <v>0</v>
      </c>
      <c r="D35992" t="s">
        <v>5400</v>
      </c>
      <c r="E35992" t="s">
        <v>8986</v>
      </c>
      <c r="F35992" t="s">
        <v>14234</v>
      </c>
      <c r="G35992" t="s">
        <v>18204</v>
      </c>
      <c r="H35992" t="s">
        <v>34189</v>
      </c>
    </row>
    <row r="35993" spans="1:8">
      <c r="A35993" t="s">
        <v>3275</v>
      </c>
      <c r="B35993">
        <f>HYPERLINK("https://android.googlesource.com/platform/cts/+/b247239cffdba7a9767a21ca6dc31755e782160c", "b247239cffdba7a9767a21ca6dc31755e782160c")</f>
        <v>0</v>
      </c>
      <c r="C35993">
        <f>HYPERLINK("https://android.googlesource.com/platform/cts/+/5f66384c4b5b90b642edc1be1d2f1eee2b705030", "5f66384c4b5b90b642edc1be1d2f1eee2b705030")</f>
        <v>0</v>
      </c>
      <c r="D35993" t="s">
        <v>5526</v>
      </c>
      <c r="E35993" t="s">
        <v>8987</v>
      </c>
      <c r="F35993" t="s">
        <v>13488</v>
      </c>
      <c r="G35993" t="s">
        <v>17607</v>
      </c>
      <c r="H35993" t="s">
        <v>34190</v>
      </c>
    </row>
    <row r="35994" spans="1:8">
      <c r="H35994" t="s">
        <v>34191</v>
      </c>
    </row>
    <row r="35995" spans="1:8">
      <c r="H35995" t="s">
        <v>34192</v>
      </c>
    </row>
    <row r="35996" spans="1:8">
      <c r="H35996" t="s">
        <v>34193</v>
      </c>
    </row>
    <row r="35997" spans="1:8">
      <c r="H35997" t="s">
        <v>34194</v>
      </c>
    </row>
    <row r="35998" spans="1:8">
      <c r="H35998" t="s">
        <v>34195</v>
      </c>
    </row>
    <row r="35999" spans="1:8">
      <c r="H35999" t="s">
        <v>34196</v>
      </c>
    </row>
    <row r="36000" spans="1:8">
      <c r="A36000" t="s">
        <v>3276</v>
      </c>
      <c r="B36000">
        <f>HYPERLINK("https://android.googlesource.com/platform/cts/+/3983b703d60c39cce415594902c796aff4fc575d", "3983b703d60c39cce415594902c796aff4fc575d")</f>
        <v>0</v>
      </c>
      <c r="C36000">
        <f>HYPERLINK("https://android.googlesource.com/platform/cts/+/d03c8da4cc9d4c08015d9c8d4b0328455141ca6a", "d03c8da4cc9d4c08015d9c8d4b0328455141ca6a")</f>
        <v>0</v>
      </c>
      <c r="D36000" t="s">
        <v>5383</v>
      </c>
      <c r="E36000" t="s">
        <v>8988</v>
      </c>
      <c r="F36000" t="s">
        <v>13924</v>
      </c>
      <c r="G36000" t="s">
        <v>17960</v>
      </c>
      <c r="H36000" t="s">
        <v>34197</v>
      </c>
    </row>
    <row r="36001" spans="1:8">
      <c r="H36001" t="s">
        <v>34198</v>
      </c>
    </row>
    <row r="36002" spans="1:8">
      <c r="A36002" t="s">
        <v>3278</v>
      </c>
      <c r="B36002">
        <f>HYPERLINK("https://android.googlesource.com/platform/cts/+/a46878acfe983999956aa2ab2ac5bc87405367a4", "a46878acfe983999956aa2ab2ac5bc87405367a4")</f>
        <v>0</v>
      </c>
      <c r="C36002">
        <f>HYPERLINK("https://android.googlesource.com/platform/cts/+/ec7602654c204c441a3efcbc5cd2a39aaf143d74", "ec7602654c204c441a3efcbc5cd2a39aaf143d74")</f>
        <v>0</v>
      </c>
      <c r="D36002" t="s">
        <v>5540</v>
      </c>
      <c r="E36002" t="s">
        <v>8990</v>
      </c>
      <c r="F36002" t="s">
        <v>14165</v>
      </c>
      <c r="G36002" t="s">
        <v>17361</v>
      </c>
      <c r="H36002" t="s">
        <v>34199</v>
      </c>
    </row>
    <row r="36003" spans="1:8">
      <c r="A36003" t="s">
        <v>3279</v>
      </c>
      <c r="B36003">
        <f>HYPERLINK("https://android.googlesource.com/platform/cts/+/fd06674a160ce7d0eb7e8c7e6495320a05fc65cc", "fd06674a160ce7d0eb7e8c7e6495320a05fc65cc")</f>
        <v>0</v>
      </c>
      <c r="C36003">
        <f>HYPERLINK("https://android.googlesource.com/platform/cts/+/44767fd020924d0cbf14972b6748feedf222c159", "44767fd020924d0cbf14972b6748feedf222c159")</f>
        <v>0</v>
      </c>
      <c r="D36003" t="s">
        <v>5541</v>
      </c>
      <c r="E36003" t="s">
        <v>8991</v>
      </c>
      <c r="F36003" t="s">
        <v>13335</v>
      </c>
      <c r="G36003" t="s">
        <v>17465</v>
      </c>
      <c r="H36003" t="s">
        <v>34200</v>
      </c>
    </row>
    <row r="36004" spans="1:8">
      <c r="A36004" t="s">
        <v>3280</v>
      </c>
      <c r="B36004">
        <f>HYPERLINK("https://android.googlesource.com/platform/cts/+/9c5e09e7512100b305c603f3ede5da4a1237ce81", "9c5e09e7512100b305c603f3ede5da4a1237ce81")</f>
        <v>0</v>
      </c>
      <c r="C36004">
        <f>HYPERLINK("https://android.googlesource.com/platform/cts/+/46c062a108656aaf7a9f29b05fba464c077a2e4c", "46c062a108656aaf7a9f29b05fba464c077a2e4c")</f>
        <v>0</v>
      </c>
      <c r="D36004" t="s">
        <v>5108</v>
      </c>
      <c r="E36004" t="s">
        <v>8992</v>
      </c>
      <c r="F36004" t="s">
        <v>13971</v>
      </c>
      <c r="G36004" t="s">
        <v>17996</v>
      </c>
      <c r="H36004" t="s">
        <v>34201</v>
      </c>
    </row>
    <row r="36005" spans="1:8">
      <c r="A36005" t="s">
        <v>3282</v>
      </c>
      <c r="B36005">
        <f>HYPERLINK("https://android.googlesource.com/platform/cts/+/bd1f1a2cdb8e11fd85d10a8ead341d49a2d0c8a6", "bd1f1a2cdb8e11fd85d10a8ead341d49a2d0c8a6")</f>
        <v>0</v>
      </c>
      <c r="C36005">
        <f>HYPERLINK("https://android.googlesource.com/platform/cts/+/e818b872a5e5317393cfe2d861f65bad4526cbcd", "e818b872a5e5317393cfe2d861f65bad4526cbcd")</f>
        <v>0</v>
      </c>
      <c r="D36005" t="s">
        <v>5108</v>
      </c>
      <c r="E36005" t="s">
        <v>8993</v>
      </c>
      <c r="F36005" t="s">
        <v>13971</v>
      </c>
      <c r="G36005" t="s">
        <v>17996</v>
      </c>
      <c r="H36005" t="s">
        <v>34201</v>
      </c>
    </row>
    <row r="36006" spans="1:8">
      <c r="A36006" t="s">
        <v>3283</v>
      </c>
      <c r="B36006">
        <f>HYPERLINK("https://android.googlesource.com/platform/cts/+/135d42f49f69524c08d7d4e8e30b25428797f177", "135d42f49f69524c08d7d4e8e30b25428797f177")</f>
        <v>0</v>
      </c>
      <c r="C36006">
        <f>HYPERLINK("https://android.googlesource.com/platform/cts/+/a5e0960ced01bfbb19e84a84e19c37ea1d32ce3b", "a5e0960ced01bfbb19e84a84e19c37ea1d32ce3b")</f>
        <v>0</v>
      </c>
      <c r="D36006" t="s">
        <v>5542</v>
      </c>
      <c r="E36006" t="s">
        <v>8994</v>
      </c>
      <c r="F36006" t="s">
        <v>14235</v>
      </c>
      <c r="G36006" t="s">
        <v>18205</v>
      </c>
      <c r="H36006" t="s">
        <v>34202</v>
      </c>
    </row>
    <row r="36007" spans="1:8">
      <c r="A36007" t="s">
        <v>3284</v>
      </c>
      <c r="B36007">
        <f>HYPERLINK("https://android.googlesource.com/platform/cts/+/28c6e7605a250c5bebbe3612647a832eac1e49b8", "28c6e7605a250c5bebbe3612647a832eac1e49b8")</f>
        <v>0</v>
      </c>
      <c r="C36007">
        <f>HYPERLINK("https://android.googlesource.com/platform/cts/+/fd06674a160ce7d0eb7e8c7e6495320a05fc65cc", "fd06674a160ce7d0eb7e8c7e6495320a05fc65cc")</f>
        <v>0</v>
      </c>
      <c r="D36007" t="s">
        <v>5543</v>
      </c>
      <c r="E36007" t="s">
        <v>8995</v>
      </c>
      <c r="F36007" t="s">
        <v>13335</v>
      </c>
      <c r="G36007" t="s">
        <v>17465</v>
      </c>
      <c r="H36007" t="s">
        <v>34203</v>
      </c>
    </row>
    <row r="36008" spans="1:8">
      <c r="H36008" t="s">
        <v>34204</v>
      </c>
    </row>
    <row r="36009" spans="1:8">
      <c r="A36009" t="s">
        <v>3286</v>
      </c>
      <c r="B36009">
        <f>HYPERLINK("https://android.googlesource.com/platform/cts/+/92969540b5c4564a904f3dc80ce129c2c879211b", "92969540b5c4564a904f3dc80ce129c2c879211b")</f>
        <v>0</v>
      </c>
      <c r="C36009">
        <f>HYPERLINK("https://android.googlesource.com/platform/cts/+/09247ab515e31fabe810cc10ecc93d9975aec511", "09247ab515e31fabe810cc10ecc93d9975aec511")</f>
        <v>0</v>
      </c>
      <c r="D36009" t="s">
        <v>5544</v>
      </c>
      <c r="E36009" t="s">
        <v>8997</v>
      </c>
      <c r="F36009" t="s">
        <v>14235</v>
      </c>
      <c r="G36009" t="s">
        <v>18205</v>
      </c>
      <c r="H36009" t="s">
        <v>34202</v>
      </c>
    </row>
    <row r="36010" spans="1:8">
      <c r="A36010" t="s">
        <v>3287</v>
      </c>
      <c r="B36010">
        <f>HYPERLINK("https://android.googlesource.com/platform/cts/+/9d8153a667d44deb0d5f021250112593988d2fd9", "9d8153a667d44deb0d5f021250112593988d2fd9")</f>
        <v>0</v>
      </c>
      <c r="C36010">
        <f>HYPERLINK("https://android.googlesource.com/platform/cts/+/63c138cb1c0867ddb693f87f801097f58e840dc1", "63c138cb1c0867ddb693f87f801097f58e840dc1")</f>
        <v>0</v>
      </c>
      <c r="D36010" t="s">
        <v>5545</v>
      </c>
      <c r="E36010" t="s">
        <v>8998</v>
      </c>
      <c r="F36010" t="s">
        <v>14236</v>
      </c>
      <c r="G36010" t="s">
        <v>18206</v>
      </c>
      <c r="H36010" t="s">
        <v>34205</v>
      </c>
    </row>
    <row r="36011" spans="1:8">
      <c r="H36011" t="s">
        <v>34206</v>
      </c>
    </row>
    <row r="36012" spans="1:8">
      <c r="H36012" t="s">
        <v>34207</v>
      </c>
    </row>
    <row r="36013" spans="1:8">
      <c r="H36013" t="s">
        <v>34208</v>
      </c>
    </row>
    <row r="36014" spans="1:8">
      <c r="H36014" t="s">
        <v>34209</v>
      </c>
    </row>
    <row r="36015" spans="1:8">
      <c r="H36015" t="s">
        <v>34210</v>
      </c>
    </row>
    <row r="36016" spans="1:8">
      <c r="H36016" t="s">
        <v>34211</v>
      </c>
    </row>
    <row r="36017" spans="8:8">
      <c r="H36017" t="s">
        <v>34212</v>
      </c>
    </row>
    <row r="36018" spans="8:8">
      <c r="H36018" t="s">
        <v>34213</v>
      </c>
    </row>
    <row r="36019" spans="8:8">
      <c r="H36019" t="s">
        <v>34214</v>
      </c>
    </row>
    <row r="36020" spans="8:8">
      <c r="H36020" t="s">
        <v>34215</v>
      </c>
    </row>
    <row r="36021" spans="8:8">
      <c r="H36021" t="s">
        <v>34216</v>
      </c>
    </row>
    <row r="36022" spans="8:8">
      <c r="H36022" t="s">
        <v>34217</v>
      </c>
    </row>
    <row r="36023" spans="8:8">
      <c r="H36023" t="s">
        <v>34218</v>
      </c>
    </row>
    <row r="36024" spans="8:8">
      <c r="H36024" t="s">
        <v>34219</v>
      </c>
    </row>
    <row r="36025" spans="8:8">
      <c r="H36025" t="s">
        <v>34220</v>
      </c>
    </row>
    <row r="36026" spans="8:8">
      <c r="H36026" t="s">
        <v>34221</v>
      </c>
    </row>
    <row r="36027" spans="8:8">
      <c r="H36027" t="s">
        <v>34222</v>
      </c>
    </row>
    <row r="36028" spans="8:8">
      <c r="H36028" t="s">
        <v>34223</v>
      </c>
    </row>
    <row r="36029" spans="8:8">
      <c r="H36029" t="s">
        <v>34224</v>
      </c>
    </row>
    <row r="36030" spans="8:8">
      <c r="H36030" t="s">
        <v>34225</v>
      </c>
    </row>
    <row r="36031" spans="8:8">
      <c r="H36031" t="s">
        <v>34226</v>
      </c>
    </row>
    <row r="36032" spans="8:8">
      <c r="H36032" t="s">
        <v>34227</v>
      </c>
    </row>
    <row r="36033" spans="1:8">
      <c r="H36033" t="s">
        <v>34228</v>
      </c>
    </row>
    <row r="36034" spans="1:8">
      <c r="H36034" t="s">
        <v>34229</v>
      </c>
    </row>
    <row r="36035" spans="1:8">
      <c r="H36035" t="s">
        <v>34230</v>
      </c>
    </row>
    <row r="36036" spans="1:8">
      <c r="H36036" t="s">
        <v>34231</v>
      </c>
    </row>
    <row r="36037" spans="1:8">
      <c r="A36037" t="s">
        <v>3288</v>
      </c>
      <c r="B36037">
        <f>HYPERLINK("https://android.googlesource.com/platform/cts/+/fceba2788d94937297abc9b24f0d7778ef24e6b0", "fceba2788d94937297abc9b24f0d7778ef24e6b0")</f>
        <v>0</v>
      </c>
      <c r="C36037">
        <f>HYPERLINK("https://android.googlesource.com/platform/cts/+/732e8c0a45377477346c270a2bc46ec3f0bd220f", "732e8c0a45377477346c270a2bc46ec3f0bd220f")</f>
        <v>0</v>
      </c>
      <c r="D36037" t="s">
        <v>5512</v>
      </c>
      <c r="E36037" t="s">
        <v>8999</v>
      </c>
      <c r="F36037" t="s">
        <v>13716</v>
      </c>
      <c r="G36037" t="s">
        <v>17783</v>
      </c>
      <c r="H36037" t="s">
        <v>34232</v>
      </c>
    </row>
    <row r="36038" spans="1:8">
      <c r="A36038" t="s">
        <v>3289</v>
      </c>
      <c r="B36038">
        <f>HYPERLINK("https://android.googlesource.com/platform/cts/+/7b408341bae581d6e7c42da9220c05192d47f9d4", "7b408341bae581d6e7c42da9220c05192d47f9d4")</f>
        <v>0</v>
      </c>
      <c r="C36038">
        <f>HYPERLINK("https://android.googlesource.com/platform/cts/+/b5f3746ea912fc0e96070d5f205e703ba2e24535", "b5f3746ea912fc0e96070d5f205e703ba2e24535")</f>
        <v>0</v>
      </c>
      <c r="D36038" t="s">
        <v>5512</v>
      </c>
      <c r="E36038" t="s">
        <v>9000</v>
      </c>
      <c r="F36038" t="s">
        <v>13716</v>
      </c>
      <c r="G36038" t="s">
        <v>17783</v>
      </c>
      <c r="H36038" t="s">
        <v>34232</v>
      </c>
    </row>
    <row r="36039" spans="1:8">
      <c r="A36039" t="s">
        <v>3290</v>
      </c>
      <c r="B36039">
        <f>HYPERLINK("https://android.googlesource.com/platform/cts/+/6821fbe308db9f18b9a70cc2f2a011b703cdc754", "6821fbe308db9f18b9a70cc2f2a011b703cdc754")</f>
        <v>0</v>
      </c>
      <c r="C36039">
        <f>HYPERLINK("https://android.googlesource.com/platform/cts/+/3413f284a5c3090c963ad2be81eac497d1bed564", "3413f284a5c3090c963ad2be81eac497d1bed564")</f>
        <v>0</v>
      </c>
      <c r="D36039" t="s">
        <v>5383</v>
      </c>
      <c r="E36039" t="s">
        <v>9001</v>
      </c>
      <c r="F36039" t="s">
        <v>13924</v>
      </c>
      <c r="G36039" t="s">
        <v>17960</v>
      </c>
      <c r="H36039" t="s">
        <v>34233</v>
      </c>
    </row>
    <row r="36040" spans="1:8">
      <c r="A36040" t="s">
        <v>3291</v>
      </c>
      <c r="B36040">
        <f>HYPERLINK("https://android.googlesource.com/platform/cts/+/fd069513059a6263ec30632df578b2025a678e35", "fd069513059a6263ec30632df578b2025a678e35")</f>
        <v>0</v>
      </c>
      <c r="C36040">
        <f>HYPERLINK("https://android.googlesource.com/platform/cts/+/dc5c2a4cf56e5327fecd30fe67e4e99987ce5356", "dc5c2a4cf56e5327fecd30fe67e4e99987ce5356")</f>
        <v>0</v>
      </c>
      <c r="D36040" t="s">
        <v>5546</v>
      </c>
      <c r="E36040" t="s">
        <v>9002</v>
      </c>
      <c r="F36040" t="s">
        <v>14237</v>
      </c>
      <c r="G36040" t="s">
        <v>18207</v>
      </c>
      <c r="H36040" t="s">
        <v>34234</v>
      </c>
    </row>
    <row r="36041" spans="1:8">
      <c r="F36041" t="s">
        <v>14233</v>
      </c>
      <c r="G36041" t="s">
        <v>16863</v>
      </c>
      <c r="H36041" t="s">
        <v>34235</v>
      </c>
    </row>
    <row r="36042" spans="1:8">
      <c r="F36042" t="s">
        <v>14227</v>
      </c>
      <c r="G36042" t="s">
        <v>18199</v>
      </c>
      <c r="H36042" t="s">
        <v>34234</v>
      </c>
    </row>
    <row r="36043" spans="1:8">
      <c r="A36043" t="s">
        <v>3292</v>
      </c>
      <c r="B36043">
        <f>HYPERLINK("https://android.googlesource.com/platform/cts/+/17614741c5eae4472e1b05377f5fc025b64a8dd4", "17614741c5eae4472e1b05377f5fc025b64a8dd4")</f>
        <v>0</v>
      </c>
      <c r="C36043">
        <f>HYPERLINK("https://android.googlesource.com/platform/cts/+/37132e1b58e52226afd30a3ec9397de97ffca21b", "37132e1b58e52226afd30a3ec9397de97ffca21b")</f>
        <v>0</v>
      </c>
      <c r="D36043" t="s">
        <v>5454</v>
      </c>
      <c r="E36043" t="s">
        <v>9003</v>
      </c>
      <c r="F36043" t="s">
        <v>14124</v>
      </c>
      <c r="G36043" t="s">
        <v>18114</v>
      </c>
      <c r="H36043" t="s">
        <v>34236</v>
      </c>
    </row>
    <row r="36044" spans="1:8">
      <c r="A36044" t="s">
        <v>3293</v>
      </c>
      <c r="B36044">
        <f>HYPERLINK("https://android.googlesource.com/platform/cts/+/9e66e02eb203137725cf13a528b7bc0d5f2a8573", "9e66e02eb203137725cf13a528b7bc0d5f2a8573")</f>
        <v>0</v>
      </c>
      <c r="C36044">
        <f>HYPERLINK("https://android.googlesource.com/platform/cts/+/d6ab2b01c13d327e427d5b8eb59eeada489f25ec", "d6ab2b01c13d327e427d5b8eb59eeada489f25ec")</f>
        <v>0</v>
      </c>
      <c r="D36044" t="s">
        <v>5455</v>
      </c>
      <c r="E36044" t="s">
        <v>9004</v>
      </c>
      <c r="F36044" t="s">
        <v>13846</v>
      </c>
      <c r="G36044" t="s">
        <v>17889</v>
      </c>
      <c r="H36044" t="s">
        <v>32630</v>
      </c>
    </row>
    <row r="36045" spans="1:8">
      <c r="H36045" t="s">
        <v>32636</v>
      </c>
    </row>
    <row r="36046" spans="1:8">
      <c r="A36046" t="s">
        <v>3294</v>
      </c>
      <c r="B36046">
        <f>HYPERLINK("https://android.googlesource.com/platform/cts/+/fdc78aff310afdf3bcc0a51f756276b29158a089", "fdc78aff310afdf3bcc0a51f756276b29158a089")</f>
        <v>0</v>
      </c>
      <c r="C36046">
        <f>HYPERLINK("https://android.googlesource.com/platform/cts/+/9e66e02eb203137725cf13a528b7bc0d5f2a8573", "9e66e02eb203137725cf13a528b7bc0d5f2a8573")</f>
        <v>0</v>
      </c>
      <c r="D36046" t="s">
        <v>5455</v>
      </c>
      <c r="E36046" t="s">
        <v>9005</v>
      </c>
      <c r="F36046" t="s">
        <v>13846</v>
      </c>
      <c r="G36046" t="s">
        <v>17889</v>
      </c>
      <c r="H36046" t="s">
        <v>29531</v>
      </c>
    </row>
    <row r="36047" spans="1:8">
      <c r="A36047" t="s">
        <v>3295</v>
      </c>
      <c r="B36047">
        <f>HYPERLINK("https://android.googlesource.com/platform/cts/+/32be7d8ab605c45f5bb7e61ba274dc461af98952", "32be7d8ab605c45f5bb7e61ba274dc461af98952")</f>
        <v>0</v>
      </c>
      <c r="C36047">
        <f>HYPERLINK("https://android.googlesource.com/platform/cts/+/fdc78aff310afdf3bcc0a51f756276b29158a089", "fdc78aff310afdf3bcc0a51f756276b29158a089")</f>
        <v>0</v>
      </c>
      <c r="D36047" t="s">
        <v>5455</v>
      </c>
      <c r="E36047" t="s">
        <v>9006</v>
      </c>
      <c r="F36047" t="s">
        <v>13970</v>
      </c>
      <c r="G36047" t="s">
        <v>17995</v>
      </c>
      <c r="H36047" t="s">
        <v>34237</v>
      </c>
    </row>
    <row r="36048" spans="1:8">
      <c r="A36048" t="s">
        <v>3296</v>
      </c>
      <c r="B36048">
        <f>HYPERLINK("https://android.googlesource.com/platform/cts/+/1ef9a451772c0920427012d640cf35058c839a42", "1ef9a451772c0920427012d640cf35058c839a42")</f>
        <v>0</v>
      </c>
      <c r="C36048">
        <f>HYPERLINK("https://android.googlesource.com/platform/cts/+/722f174e036e0205b9a136a7591500d8da619490", "722f174e036e0205b9a136a7591500d8da619490")</f>
        <v>0</v>
      </c>
      <c r="D36048" t="s">
        <v>5541</v>
      </c>
      <c r="E36048" t="s">
        <v>9007</v>
      </c>
      <c r="F36048" t="s">
        <v>13335</v>
      </c>
      <c r="G36048" t="s">
        <v>17465</v>
      </c>
      <c r="H36048" t="s">
        <v>34200</v>
      </c>
    </row>
    <row r="36049" spans="1:8">
      <c r="A36049" t="s">
        <v>3297</v>
      </c>
      <c r="B36049">
        <f>HYPERLINK("https://android.googlesource.com/platform/cts/+/ff63058131bcc0cc75f6148184f4143b41afdf17", "ff63058131bcc0cc75f6148184f4143b41afdf17")</f>
        <v>0</v>
      </c>
      <c r="C36049">
        <f>HYPERLINK("https://android.googlesource.com/platform/cts/+/722f174e036e0205b9a136a7591500d8da619490", "722f174e036e0205b9a136a7591500d8da619490")</f>
        <v>0</v>
      </c>
      <c r="D36049" t="s">
        <v>5458</v>
      </c>
      <c r="E36049" t="s">
        <v>9008</v>
      </c>
      <c r="F36049" t="s">
        <v>13718</v>
      </c>
      <c r="G36049" t="s">
        <v>17785</v>
      </c>
      <c r="H36049" t="s">
        <v>34238</v>
      </c>
    </row>
    <row r="36050" spans="1:8">
      <c r="F36050" t="s">
        <v>13816</v>
      </c>
      <c r="G36050" t="s">
        <v>15089</v>
      </c>
      <c r="H36050" t="s">
        <v>34238</v>
      </c>
    </row>
    <row r="36051" spans="1:8">
      <c r="A36051" t="s">
        <v>3299</v>
      </c>
      <c r="B36051">
        <f>HYPERLINK("https://android.googlesource.com/platform/cts/+/c31d5107f34bafad2e92d8cb32e0ae9b0feb5d2f", "c31d5107f34bafad2e92d8cb32e0ae9b0feb5d2f")</f>
        <v>0</v>
      </c>
      <c r="C36051">
        <f>HYPERLINK("https://android.googlesource.com/platform/cts/+/b9190706623d237ffbc9a1894c2400e541a4f7ce", "b9190706623d237ffbc9a1894c2400e541a4f7ce")</f>
        <v>0</v>
      </c>
      <c r="D36051" t="s">
        <v>5547</v>
      </c>
      <c r="E36051" t="s">
        <v>9010</v>
      </c>
      <c r="F36051" t="s">
        <v>14238</v>
      </c>
      <c r="G36051" t="s">
        <v>18208</v>
      </c>
      <c r="H36051" t="s">
        <v>34239</v>
      </c>
    </row>
    <row r="36052" spans="1:8">
      <c r="F36052" t="s">
        <v>14239</v>
      </c>
      <c r="G36052" t="s">
        <v>18209</v>
      </c>
      <c r="H36052" t="s">
        <v>33660</v>
      </c>
    </row>
    <row r="36053" spans="1:8">
      <c r="F36053" t="s">
        <v>14145</v>
      </c>
      <c r="G36053" t="s">
        <v>18133</v>
      </c>
      <c r="H36053" t="s">
        <v>34240</v>
      </c>
    </row>
    <row r="36054" spans="1:8">
      <c r="H36054" t="s">
        <v>34241</v>
      </c>
    </row>
    <row r="36055" spans="1:8">
      <c r="F36055" t="s">
        <v>14240</v>
      </c>
      <c r="G36055" t="s">
        <v>18209</v>
      </c>
      <c r="H36055" t="s">
        <v>33660</v>
      </c>
    </row>
    <row r="36056" spans="1:8">
      <c r="H36056" t="s">
        <v>33660</v>
      </c>
    </row>
    <row r="36057" spans="1:8">
      <c r="H36057" t="s">
        <v>34242</v>
      </c>
    </row>
    <row r="36058" spans="1:8">
      <c r="A36058" t="s">
        <v>3304</v>
      </c>
      <c r="B36058">
        <f>HYPERLINK("https://android.googlesource.com/platform/cts/+/ea82456484d16498013e98532a1d9ea774275e04", "ea82456484d16498013e98532a1d9ea774275e04")</f>
        <v>0</v>
      </c>
      <c r="C36058">
        <f>HYPERLINK("https://android.googlesource.com/platform/cts/+/8a94a9f06686322950728b90b36324672f7d44f8", "8a94a9f06686322950728b90b36324672f7d44f8")</f>
        <v>0</v>
      </c>
      <c r="D36058" t="s">
        <v>5548</v>
      </c>
      <c r="E36058" t="s">
        <v>9015</v>
      </c>
      <c r="F36058" t="s">
        <v>14241</v>
      </c>
      <c r="G36058" t="s">
        <v>18210</v>
      </c>
      <c r="H36058" t="s">
        <v>34243</v>
      </c>
    </row>
    <row r="36059" spans="1:8">
      <c r="H36059" t="s">
        <v>34244</v>
      </c>
    </row>
    <row r="36060" spans="1:8">
      <c r="H36060" t="s">
        <v>34245</v>
      </c>
    </row>
    <row r="36061" spans="1:8">
      <c r="F36061" t="s">
        <v>14242</v>
      </c>
      <c r="G36061" t="s">
        <v>18210</v>
      </c>
      <c r="H36061" t="s">
        <v>34246</v>
      </c>
    </row>
    <row r="36062" spans="1:8">
      <c r="H36062" t="s">
        <v>34247</v>
      </c>
    </row>
    <row r="36063" spans="1:8">
      <c r="A36063" t="s">
        <v>3305</v>
      </c>
      <c r="B36063">
        <f>HYPERLINK("https://android.googlesource.com/platform/cts/+/29b926598c74b9a7d84c93695be63c170c965fc1", "29b926598c74b9a7d84c93695be63c170c965fc1")</f>
        <v>0</v>
      </c>
      <c r="C36063">
        <f>HYPERLINK("https://android.googlesource.com/platform/cts/+/1b03792c75747be9bfba72b75674a1e10816c0ef", "1b03792c75747be9bfba72b75674a1e10816c0ef")</f>
        <v>0</v>
      </c>
      <c r="D36063" t="s">
        <v>5290</v>
      </c>
      <c r="E36063" t="s">
        <v>9016</v>
      </c>
      <c r="F36063" t="s">
        <v>14243</v>
      </c>
      <c r="G36063" t="s">
        <v>18211</v>
      </c>
      <c r="H36063" t="s">
        <v>34248</v>
      </c>
    </row>
    <row r="36064" spans="1:8">
      <c r="H36064" t="s">
        <v>34249</v>
      </c>
    </row>
    <row r="36065" spans="1:8">
      <c r="H36065" t="s">
        <v>34250</v>
      </c>
    </row>
    <row r="36066" spans="1:8">
      <c r="H36066" t="s">
        <v>34251</v>
      </c>
    </row>
    <row r="36067" spans="1:8">
      <c r="H36067" t="s">
        <v>34252</v>
      </c>
    </row>
    <row r="36068" spans="1:8">
      <c r="H36068" t="s">
        <v>34253</v>
      </c>
    </row>
    <row r="36069" spans="1:8">
      <c r="A36069" t="s">
        <v>3306</v>
      </c>
      <c r="B36069">
        <f>HYPERLINK("https://android.googlesource.com/platform/cts/+/e8d9df36f37c1d33abaee12f1904b1181010600c", "e8d9df36f37c1d33abaee12f1904b1181010600c")</f>
        <v>0</v>
      </c>
      <c r="C36069">
        <f>HYPERLINK("https://android.googlesource.com/platform/cts/+/96ff6febd236acdec81649bc883f081642ea5bce", "96ff6febd236acdec81649bc883f081642ea5bce")</f>
        <v>0</v>
      </c>
      <c r="D36069" t="s">
        <v>5455</v>
      </c>
      <c r="E36069" t="s">
        <v>9017</v>
      </c>
      <c r="F36069" t="s">
        <v>13846</v>
      </c>
      <c r="G36069" t="s">
        <v>17889</v>
      </c>
      <c r="H36069" t="s">
        <v>34237</v>
      </c>
    </row>
    <row r="36070" spans="1:8">
      <c r="H36070" t="s">
        <v>34254</v>
      </c>
    </row>
    <row r="36071" spans="1:8">
      <c r="H36071" t="s">
        <v>34255</v>
      </c>
    </row>
    <row r="36072" spans="1:8">
      <c r="A36072" t="s">
        <v>3308</v>
      </c>
      <c r="B36072">
        <f>HYPERLINK("https://android.googlesource.com/platform/cts/+/5d2c289a2be62a9e0a26a3409eb4ce2b2628f08d", "5d2c289a2be62a9e0a26a3409eb4ce2b2628f08d")</f>
        <v>0</v>
      </c>
      <c r="C36072">
        <f>HYPERLINK("https://android.googlesource.com/platform/cts/+/02640c450c01823937daed369927ea9c50d67359", "02640c450c01823937daed369927ea9c50d67359")</f>
        <v>0</v>
      </c>
      <c r="D36072" t="s">
        <v>5533</v>
      </c>
      <c r="E36072" t="s">
        <v>9019</v>
      </c>
      <c r="F36072" t="s">
        <v>13977</v>
      </c>
      <c r="G36072" t="s">
        <v>18002</v>
      </c>
      <c r="H36072" t="s">
        <v>34256</v>
      </c>
    </row>
    <row r="36073" spans="1:8">
      <c r="H36073" t="s">
        <v>34257</v>
      </c>
    </row>
    <row r="36074" spans="1:8">
      <c r="A36074" t="s">
        <v>3309</v>
      </c>
      <c r="B36074">
        <f>HYPERLINK("https://android.googlesource.com/platform/cts/+/64a21e976e04fd84b27081327add715559832e38", "64a21e976e04fd84b27081327add715559832e38")</f>
        <v>0</v>
      </c>
      <c r="C36074">
        <f>HYPERLINK("https://android.googlesource.com/platform/cts/+/b4fe936ea07cb2da95841d9c9ca94b7e53285b05", "b4fe936ea07cb2da95841d9c9ca94b7e53285b05")</f>
        <v>0</v>
      </c>
      <c r="D36074" t="s">
        <v>5471</v>
      </c>
      <c r="E36074" t="s">
        <v>9020</v>
      </c>
      <c r="F36074" t="s">
        <v>14244</v>
      </c>
      <c r="G36074" t="s">
        <v>18212</v>
      </c>
      <c r="H36074" t="s">
        <v>34258</v>
      </c>
    </row>
    <row r="36075" spans="1:8">
      <c r="A36075" t="s">
        <v>3311</v>
      </c>
      <c r="B36075">
        <f>HYPERLINK("https://android.googlesource.com/platform/cts/+/582c26bb3ce789edb9951b2e5d1483994abfd135", "582c26bb3ce789edb9951b2e5d1483994abfd135")</f>
        <v>0</v>
      </c>
      <c r="C36075">
        <f>HYPERLINK("https://android.googlesource.com/platform/cts/+/eb8705e62a64426d2f3946eee71d57a97d0d0e44", "eb8705e62a64426d2f3946eee71d57a97d0d0e44")</f>
        <v>0</v>
      </c>
      <c r="D36075" t="s">
        <v>5463</v>
      </c>
      <c r="E36075" t="s">
        <v>9022</v>
      </c>
      <c r="F36075" t="s">
        <v>14245</v>
      </c>
      <c r="G36075" t="s">
        <v>18213</v>
      </c>
      <c r="H36075" t="s">
        <v>34259</v>
      </c>
    </row>
    <row r="36076" spans="1:8">
      <c r="H36076" t="s">
        <v>34260</v>
      </c>
    </row>
    <row r="36077" spans="1:8">
      <c r="A36077" t="s">
        <v>3312</v>
      </c>
      <c r="B36077">
        <f>HYPERLINK("https://android.googlesource.com/platform/cts/+/6fa0df9701ea7f3fb9b5d4742e6b26afc702c8f9", "6fa0df9701ea7f3fb9b5d4742e6b26afc702c8f9")</f>
        <v>0</v>
      </c>
      <c r="C36077">
        <f>HYPERLINK("https://android.googlesource.com/platform/cts/+/87564f017b250700e13b9e39909b8406253d2533", "87564f017b250700e13b9e39909b8406253d2533")</f>
        <v>0</v>
      </c>
      <c r="D36077" t="s">
        <v>5288</v>
      </c>
      <c r="E36077" t="s">
        <v>9023</v>
      </c>
      <c r="F36077" t="s">
        <v>13752</v>
      </c>
      <c r="G36077" t="s">
        <v>17812</v>
      </c>
      <c r="H36077" t="s">
        <v>34261</v>
      </c>
    </row>
    <row r="36078" spans="1:8">
      <c r="H36078" t="s">
        <v>34262</v>
      </c>
    </row>
    <row r="36079" spans="1:8">
      <c r="H36079" t="s">
        <v>34263</v>
      </c>
    </row>
    <row r="36080" spans="1:8">
      <c r="H36080" t="s">
        <v>34264</v>
      </c>
    </row>
    <row r="36081" spans="8:8">
      <c r="H36081" t="s">
        <v>34265</v>
      </c>
    </row>
    <row r="36082" spans="8:8">
      <c r="H36082" t="s">
        <v>34266</v>
      </c>
    </row>
    <row r="36083" spans="8:8">
      <c r="H36083" t="s">
        <v>34267</v>
      </c>
    </row>
    <row r="36084" spans="8:8">
      <c r="H36084" t="s">
        <v>34268</v>
      </c>
    </row>
    <row r="36085" spans="8:8">
      <c r="H36085" t="s">
        <v>34269</v>
      </c>
    </row>
    <row r="36086" spans="8:8">
      <c r="H36086" t="s">
        <v>34270</v>
      </c>
    </row>
    <row r="36087" spans="8:8">
      <c r="H36087" t="s">
        <v>34271</v>
      </c>
    </row>
    <row r="36088" spans="8:8">
      <c r="H36088" t="s">
        <v>34272</v>
      </c>
    </row>
    <row r="36089" spans="8:8">
      <c r="H36089" t="s">
        <v>32707</v>
      </c>
    </row>
    <row r="36090" spans="8:8">
      <c r="H36090" t="s">
        <v>34273</v>
      </c>
    </row>
    <row r="36091" spans="8:8">
      <c r="H36091" t="s">
        <v>34274</v>
      </c>
    </row>
    <row r="36092" spans="8:8">
      <c r="H36092" t="s">
        <v>34275</v>
      </c>
    </row>
    <row r="36093" spans="8:8">
      <c r="H36093" t="s">
        <v>34276</v>
      </c>
    </row>
    <row r="36094" spans="8:8">
      <c r="H36094" t="s">
        <v>34277</v>
      </c>
    </row>
    <row r="36095" spans="8:8">
      <c r="H36095" t="s">
        <v>34278</v>
      </c>
    </row>
    <row r="36096" spans="8:8">
      <c r="H36096" t="s">
        <v>34279</v>
      </c>
    </row>
    <row r="36097" spans="1:8">
      <c r="H36097" t="s">
        <v>34280</v>
      </c>
    </row>
    <row r="36098" spans="1:8">
      <c r="H36098" t="s">
        <v>34281</v>
      </c>
    </row>
    <row r="36099" spans="1:8">
      <c r="H36099" t="s">
        <v>34282</v>
      </c>
    </row>
    <row r="36100" spans="1:8">
      <c r="H36100" t="s">
        <v>34283</v>
      </c>
    </row>
    <row r="36101" spans="1:8">
      <c r="H36101" t="s">
        <v>34284</v>
      </c>
    </row>
    <row r="36102" spans="1:8">
      <c r="H36102" t="s">
        <v>34285</v>
      </c>
    </row>
    <row r="36103" spans="1:8">
      <c r="H36103" t="s">
        <v>34286</v>
      </c>
    </row>
    <row r="36104" spans="1:8">
      <c r="H36104" t="s">
        <v>34287</v>
      </c>
    </row>
    <row r="36105" spans="1:8">
      <c r="H36105" t="s">
        <v>34288</v>
      </c>
    </row>
    <row r="36106" spans="1:8">
      <c r="H36106" t="s">
        <v>29582</v>
      </c>
    </row>
    <row r="36107" spans="1:8">
      <c r="F36107" t="s">
        <v>12419</v>
      </c>
      <c r="G36107" t="s">
        <v>16641</v>
      </c>
      <c r="H36107" t="s">
        <v>32610</v>
      </c>
    </row>
    <row r="36108" spans="1:8">
      <c r="H36108" t="s">
        <v>32611</v>
      </c>
    </row>
    <row r="36109" spans="1:8">
      <c r="H36109" t="s">
        <v>32612</v>
      </c>
    </row>
    <row r="36110" spans="1:8">
      <c r="H36110" t="s">
        <v>32613</v>
      </c>
    </row>
    <row r="36111" spans="1:8">
      <c r="H36111" t="s">
        <v>32614</v>
      </c>
    </row>
    <row r="36112" spans="1:8">
      <c r="A36112" t="s">
        <v>3315</v>
      </c>
      <c r="B36112">
        <f>HYPERLINK("https://android.googlesource.com/platform/cts/+/f440a29be1e8bf61650c806d0e4ebc1f4a26581e", "f440a29be1e8bf61650c806d0e4ebc1f4a26581e")</f>
        <v>0</v>
      </c>
      <c r="C36112">
        <f>HYPERLINK("https://android.googlesource.com/platform/cts/+/f7898a64351119ade7f24692264dcca05491028a", "f7898a64351119ade7f24692264dcca05491028a")</f>
        <v>0</v>
      </c>
      <c r="D36112" t="s">
        <v>4974</v>
      </c>
      <c r="E36112" t="s">
        <v>9025</v>
      </c>
      <c r="F36112" t="s">
        <v>12570</v>
      </c>
      <c r="G36112" t="s">
        <v>16786</v>
      </c>
      <c r="H36112" t="s">
        <v>34289</v>
      </c>
    </row>
    <row r="36113" spans="1:8">
      <c r="A36113" t="s">
        <v>3316</v>
      </c>
      <c r="B36113">
        <f>HYPERLINK("https://android.googlesource.com/platform/cts/+/ebf24a0c4fc2b236d7c585864fa1801ae9842eb1", "ebf24a0c4fc2b236d7c585864fa1801ae9842eb1")</f>
        <v>0</v>
      </c>
      <c r="C36113">
        <f>HYPERLINK("https://android.googlesource.com/platform/cts/+/217b7e16c91320c10064b31f38d91f12db86094a", "217b7e16c91320c10064b31f38d91f12db86094a")</f>
        <v>0</v>
      </c>
      <c r="D36113" t="s">
        <v>5512</v>
      </c>
      <c r="E36113" t="s">
        <v>9026</v>
      </c>
      <c r="F36113" t="s">
        <v>13990</v>
      </c>
      <c r="G36113" t="s">
        <v>18009</v>
      </c>
      <c r="H36113" t="s">
        <v>34290</v>
      </c>
    </row>
    <row r="36114" spans="1:8">
      <c r="A36114" t="s">
        <v>3317</v>
      </c>
      <c r="B36114">
        <f>HYPERLINK("https://android.googlesource.com/platform/cts/+/4bd03ac09dd13ea428c3a981530f49739ec1be37", "4bd03ac09dd13ea428c3a981530f49739ec1be37")</f>
        <v>0</v>
      </c>
      <c r="C36114">
        <f>HYPERLINK("https://android.googlesource.com/platform/cts/+/ebf24a0c4fc2b236d7c585864fa1801ae9842eb1", "ebf24a0c4fc2b236d7c585864fa1801ae9842eb1")</f>
        <v>0</v>
      </c>
      <c r="D36114" t="s">
        <v>5512</v>
      </c>
      <c r="E36114" t="s">
        <v>9027</v>
      </c>
      <c r="F36114" t="s">
        <v>13990</v>
      </c>
      <c r="G36114" t="s">
        <v>18009</v>
      </c>
      <c r="H36114" t="s">
        <v>34291</v>
      </c>
    </row>
    <row r="36115" spans="1:8">
      <c r="A36115" t="s">
        <v>3318</v>
      </c>
      <c r="B36115">
        <f>HYPERLINK("https://android.googlesource.com/platform/cts/+/a67bea89b81bdf1b035f2257184e9e83ecaab870", "a67bea89b81bdf1b035f2257184e9e83ecaab870")</f>
        <v>0</v>
      </c>
      <c r="C36115">
        <f>HYPERLINK("https://android.googlesource.com/platform/cts/+/4bd03ac09dd13ea428c3a981530f49739ec1be37", "4bd03ac09dd13ea428c3a981530f49739ec1be37")</f>
        <v>0</v>
      </c>
      <c r="D36115" t="s">
        <v>5512</v>
      </c>
      <c r="E36115" t="s">
        <v>9028</v>
      </c>
      <c r="F36115" t="s">
        <v>13990</v>
      </c>
      <c r="G36115" t="s">
        <v>18009</v>
      </c>
      <c r="H36115" t="s">
        <v>34292</v>
      </c>
    </row>
    <row r="36116" spans="1:8">
      <c r="A36116" t="s">
        <v>3319</v>
      </c>
      <c r="B36116">
        <f>HYPERLINK("https://android.googlesource.com/platform/cts/+/d901f6bf5f13ac505882dac6ed822be0871358e7", "d901f6bf5f13ac505882dac6ed822be0871358e7")</f>
        <v>0</v>
      </c>
      <c r="C36116">
        <f>HYPERLINK("https://android.googlesource.com/platform/cts/+/a67bea89b81bdf1b035f2257184e9e83ecaab870", "a67bea89b81bdf1b035f2257184e9e83ecaab870")</f>
        <v>0</v>
      </c>
      <c r="D36116" t="s">
        <v>5512</v>
      </c>
      <c r="E36116" t="s">
        <v>9029</v>
      </c>
      <c r="F36116" t="s">
        <v>13990</v>
      </c>
      <c r="G36116" t="s">
        <v>18009</v>
      </c>
      <c r="H36116" t="s">
        <v>34293</v>
      </c>
    </row>
    <row r="36117" spans="1:8">
      <c r="A36117" t="s">
        <v>3320</v>
      </c>
      <c r="B36117">
        <f>HYPERLINK("https://android.googlesource.com/platform/cts/+/70173f2aac2d1a3abb15fa592b8f5c7e8820b891", "70173f2aac2d1a3abb15fa592b8f5c7e8820b891")</f>
        <v>0</v>
      </c>
      <c r="C36117">
        <f>HYPERLINK("https://android.googlesource.com/platform/cts/+/d901f6bf5f13ac505882dac6ed822be0871358e7", "d901f6bf5f13ac505882dac6ed822be0871358e7")</f>
        <v>0</v>
      </c>
      <c r="D36117" t="s">
        <v>5512</v>
      </c>
      <c r="E36117" t="s">
        <v>9030</v>
      </c>
      <c r="F36117" t="s">
        <v>13990</v>
      </c>
      <c r="G36117" t="s">
        <v>18009</v>
      </c>
      <c r="H36117" t="s">
        <v>34294</v>
      </c>
    </row>
    <row r="36118" spans="1:8">
      <c r="A36118" t="s">
        <v>3321</v>
      </c>
      <c r="B36118">
        <f>HYPERLINK("https://android.googlesource.com/platform/cts/+/f190957b1691000803268f9d0a65b1786bfb19c7", "f190957b1691000803268f9d0a65b1786bfb19c7")</f>
        <v>0</v>
      </c>
      <c r="C36118">
        <f>HYPERLINK("https://android.googlesource.com/platform/cts/+/70173f2aac2d1a3abb15fa592b8f5c7e8820b891", "70173f2aac2d1a3abb15fa592b8f5c7e8820b891")</f>
        <v>0</v>
      </c>
      <c r="D36118" t="s">
        <v>5512</v>
      </c>
      <c r="E36118" t="s">
        <v>9031</v>
      </c>
      <c r="F36118" t="s">
        <v>13990</v>
      </c>
      <c r="G36118" t="s">
        <v>18009</v>
      </c>
      <c r="H36118" t="s">
        <v>34100</v>
      </c>
    </row>
    <row r="36119" spans="1:8">
      <c r="A36119" t="s">
        <v>3322</v>
      </c>
      <c r="B36119">
        <f>HYPERLINK("https://android.googlesource.com/platform/cts/+/4a1ee646ffb45f45f156e493edb0d8b9b74adcfe", "4a1ee646ffb45f45f156e493edb0d8b9b74adcfe")</f>
        <v>0</v>
      </c>
      <c r="C36119">
        <f>HYPERLINK("https://android.googlesource.com/platform/cts/+/76d04449a4ad03f99f48756d5752a609eaa2703e", "76d04449a4ad03f99f48756d5752a609eaa2703e")</f>
        <v>0</v>
      </c>
      <c r="D36119" t="s">
        <v>5383</v>
      </c>
      <c r="E36119" t="s">
        <v>9032</v>
      </c>
      <c r="F36119" t="s">
        <v>13924</v>
      </c>
      <c r="G36119" t="s">
        <v>17960</v>
      </c>
      <c r="H36119" t="s">
        <v>34197</v>
      </c>
    </row>
    <row r="36120" spans="1:8">
      <c r="H36120" t="s">
        <v>34233</v>
      </c>
    </row>
    <row r="36121" spans="1:8">
      <c r="H36121" t="s">
        <v>34198</v>
      </c>
    </row>
    <row r="36122" spans="1:8">
      <c r="A36122" t="s">
        <v>3323</v>
      </c>
      <c r="B36122">
        <f>HYPERLINK("https://android.googlesource.com/platform/cts/+/992ac029edc872fdcf14b0c75236dd3709b256ad", "992ac029edc872fdcf14b0c75236dd3709b256ad")</f>
        <v>0</v>
      </c>
      <c r="C36122">
        <f>HYPERLINK("https://android.googlesource.com/platform/cts/+/29dacb9d55431146b589ef800e5f0c83b7b41bf8", "29dacb9d55431146b589ef800e5f0c83b7b41bf8")</f>
        <v>0</v>
      </c>
      <c r="D36122" t="s">
        <v>5550</v>
      </c>
      <c r="E36122" t="s">
        <v>9033</v>
      </c>
      <c r="F36122" t="s">
        <v>14246</v>
      </c>
      <c r="G36122" t="s">
        <v>17814</v>
      </c>
      <c r="H36122" t="s">
        <v>34295</v>
      </c>
    </row>
    <row r="36123" spans="1:8">
      <c r="H36123" t="s">
        <v>34296</v>
      </c>
    </row>
    <row r="36124" spans="1:8">
      <c r="H36124" t="s">
        <v>34297</v>
      </c>
    </row>
    <row r="36125" spans="1:8">
      <c r="H36125" t="s">
        <v>34298</v>
      </c>
    </row>
    <row r="36126" spans="1:8">
      <c r="H36126" t="s">
        <v>34299</v>
      </c>
    </row>
    <row r="36127" spans="1:8">
      <c r="H36127" t="s">
        <v>34300</v>
      </c>
    </row>
    <row r="36128" spans="1:8">
      <c r="H36128" t="s">
        <v>34301</v>
      </c>
    </row>
    <row r="36129" spans="6:8">
      <c r="H36129" t="s">
        <v>34302</v>
      </c>
    </row>
    <row r="36130" spans="6:8">
      <c r="H36130" t="s">
        <v>34303</v>
      </c>
    </row>
    <row r="36131" spans="6:8">
      <c r="H36131" t="s">
        <v>34304</v>
      </c>
    </row>
    <row r="36132" spans="6:8">
      <c r="F36132" t="s">
        <v>14091</v>
      </c>
      <c r="G36132" t="s">
        <v>17434</v>
      </c>
      <c r="H36132" t="s">
        <v>34305</v>
      </c>
    </row>
    <row r="36133" spans="6:8">
      <c r="H36133" t="s">
        <v>18863</v>
      </c>
    </row>
    <row r="36134" spans="6:8">
      <c r="H36134" t="s">
        <v>34306</v>
      </c>
    </row>
    <row r="36135" spans="6:8">
      <c r="H36135" t="s">
        <v>34307</v>
      </c>
    </row>
    <row r="36136" spans="6:8">
      <c r="H36136" t="s">
        <v>29061</v>
      </c>
    </row>
    <row r="36137" spans="6:8">
      <c r="H36137" t="s">
        <v>34308</v>
      </c>
    </row>
    <row r="36138" spans="6:8">
      <c r="H36138" t="s">
        <v>34309</v>
      </c>
    </row>
    <row r="36139" spans="6:8">
      <c r="H36139" t="s">
        <v>34310</v>
      </c>
    </row>
    <row r="36140" spans="6:8">
      <c r="H36140" t="s">
        <v>34311</v>
      </c>
    </row>
    <row r="36141" spans="6:8">
      <c r="H36141" t="s">
        <v>34312</v>
      </c>
    </row>
    <row r="36142" spans="6:8">
      <c r="H36142" t="s">
        <v>34313</v>
      </c>
    </row>
    <row r="36143" spans="6:8">
      <c r="H36143" t="s">
        <v>34314</v>
      </c>
    </row>
    <row r="36144" spans="6:8">
      <c r="H36144" t="s">
        <v>34315</v>
      </c>
    </row>
    <row r="36145" spans="6:8">
      <c r="H36145" t="s">
        <v>34316</v>
      </c>
    </row>
    <row r="36146" spans="6:8">
      <c r="H36146" t="s">
        <v>34317</v>
      </c>
    </row>
    <row r="36147" spans="6:8">
      <c r="H36147" t="s">
        <v>29065</v>
      </c>
    </row>
    <row r="36148" spans="6:8">
      <c r="H36148" t="s">
        <v>34318</v>
      </c>
    </row>
    <row r="36149" spans="6:8">
      <c r="H36149" t="s">
        <v>34319</v>
      </c>
    </row>
    <row r="36150" spans="6:8">
      <c r="H36150" t="s">
        <v>34319</v>
      </c>
    </row>
    <row r="36151" spans="6:8">
      <c r="H36151" t="s">
        <v>34319</v>
      </c>
    </row>
    <row r="36152" spans="6:8">
      <c r="H36152" t="s">
        <v>34319</v>
      </c>
    </row>
    <row r="36153" spans="6:8">
      <c r="H36153" t="s">
        <v>34319</v>
      </c>
    </row>
    <row r="36154" spans="6:8">
      <c r="F36154" t="s">
        <v>14247</v>
      </c>
      <c r="G36154" t="s">
        <v>17656</v>
      </c>
      <c r="H36154" t="s">
        <v>34320</v>
      </c>
    </row>
    <row r="36155" spans="6:8">
      <c r="H36155" t="s">
        <v>34321</v>
      </c>
    </row>
    <row r="36156" spans="6:8">
      <c r="H36156" t="s">
        <v>34322</v>
      </c>
    </row>
    <row r="36157" spans="6:8">
      <c r="H36157" t="s">
        <v>34323</v>
      </c>
    </row>
    <row r="36158" spans="6:8">
      <c r="H36158" t="s">
        <v>34324</v>
      </c>
    </row>
    <row r="36159" spans="6:8">
      <c r="H36159" t="s">
        <v>34325</v>
      </c>
    </row>
    <row r="36160" spans="6:8">
      <c r="H36160" t="s">
        <v>34326</v>
      </c>
    </row>
    <row r="36161" spans="8:8">
      <c r="H36161" t="s">
        <v>34327</v>
      </c>
    </row>
    <row r="36162" spans="8:8">
      <c r="H36162" t="s">
        <v>34328</v>
      </c>
    </row>
    <row r="36163" spans="8:8">
      <c r="H36163" t="s">
        <v>34329</v>
      </c>
    </row>
    <row r="36164" spans="8:8">
      <c r="H36164" t="s">
        <v>34330</v>
      </c>
    </row>
    <row r="36165" spans="8:8">
      <c r="H36165" t="s">
        <v>34331</v>
      </c>
    </row>
    <row r="36166" spans="8:8">
      <c r="H36166" t="s">
        <v>34332</v>
      </c>
    </row>
    <row r="36167" spans="8:8">
      <c r="H36167" t="s">
        <v>34333</v>
      </c>
    </row>
    <row r="36168" spans="8:8">
      <c r="H36168" t="s">
        <v>34334</v>
      </c>
    </row>
    <row r="36169" spans="8:8">
      <c r="H36169" t="s">
        <v>34335</v>
      </c>
    </row>
    <row r="36170" spans="8:8">
      <c r="H36170" t="s">
        <v>34336</v>
      </c>
    </row>
    <row r="36171" spans="8:8">
      <c r="H36171" t="s">
        <v>34337</v>
      </c>
    </row>
    <row r="36172" spans="8:8">
      <c r="H36172" t="s">
        <v>34338</v>
      </c>
    </row>
    <row r="36173" spans="8:8">
      <c r="H36173" t="s">
        <v>34339</v>
      </c>
    </row>
    <row r="36174" spans="8:8">
      <c r="H36174" t="s">
        <v>34340</v>
      </c>
    </row>
    <row r="36175" spans="8:8">
      <c r="H36175" t="s">
        <v>34341</v>
      </c>
    </row>
    <row r="36176" spans="8:8">
      <c r="H36176" t="s">
        <v>34342</v>
      </c>
    </row>
    <row r="36177" spans="1:8">
      <c r="H36177" t="s">
        <v>34343</v>
      </c>
    </row>
    <row r="36178" spans="1:8">
      <c r="H36178" t="s">
        <v>34344</v>
      </c>
    </row>
    <row r="36179" spans="1:8">
      <c r="H36179" t="s">
        <v>34345</v>
      </c>
    </row>
    <row r="36180" spans="1:8">
      <c r="H36180" t="s">
        <v>34346</v>
      </c>
    </row>
    <row r="36181" spans="1:8">
      <c r="H36181" t="s">
        <v>34347</v>
      </c>
    </row>
    <row r="36182" spans="1:8">
      <c r="H36182" t="s">
        <v>34348</v>
      </c>
    </row>
    <row r="36183" spans="1:8">
      <c r="A36183" t="s">
        <v>3324</v>
      </c>
      <c r="B36183">
        <f>HYPERLINK("https://android.googlesource.com/platform/cts/+/6f8a90d74db448330779729330cafd84721eaddd", "6f8a90d74db448330779729330cafd84721eaddd")</f>
        <v>0</v>
      </c>
      <c r="C36183">
        <f>HYPERLINK("https://android.googlesource.com/platform/cts/+/b991fe5a03e9820ecb68faececb38f1b852366b3", "b991fe5a03e9820ecb68faececb38f1b852366b3")</f>
        <v>0</v>
      </c>
      <c r="D36183" t="s">
        <v>5447</v>
      </c>
      <c r="E36183" t="s">
        <v>9034</v>
      </c>
      <c r="F36183" t="s">
        <v>13968</v>
      </c>
      <c r="G36183" t="s">
        <v>17993</v>
      </c>
      <c r="H36183" t="s">
        <v>34349</v>
      </c>
    </row>
    <row r="36184" spans="1:8">
      <c r="A36184" t="s">
        <v>3325</v>
      </c>
      <c r="B36184">
        <f>HYPERLINK("https://android.googlesource.com/platform/cts/+/030a920e3219f26c2acf9cec2523b0d1b26f3fa9", "030a920e3219f26c2acf9cec2523b0d1b26f3fa9")</f>
        <v>0</v>
      </c>
      <c r="C36184">
        <f>HYPERLINK("https://android.googlesource.com/platform/cts/+/fb8ea5a6b4c8fce41108226343cf38bc643103e7", "fb8ea5a6b4c8fce41108226343cf38bc643103e7")</f>
        <v>0</v>
      </c>
      <c r="D36184" t="s">
        <v>5551</v>
      </c>
      <c r="E36184" t="s">
        <v>9035</v>
      </c>
      <c r="F36184" t="s">
        <v>14248</v>
      </c>
      <c r="G36184" t="s">
        <v>17675</v>
      </c>
      <c r="H36184" t="s">
        <v>34350</v>
      </c>
    </row>
    <row r="36185" spans="1:8">
      <c r="A36185" t="s">
        <v>3327</v>
      </c>
      <c r="B36185">
        <f>HYPERLINK("https://android.googlesource.com/platform/cts/+/5b19bc353a7bd9dfe5c485157ccff30f420f537c", "5b19bc353a7bd9dfe5c485157ccff30f420f537c")</f>
        <v>0</v>
      </c>
      <c r="C36185">
        <f>HYPERLINK("https://android.googlesource.com/platform/cts/+/596f5f731df684f7a3bec1a2a6e61c77bb647c6a", "596f5f731df684f7a3bec1a2a6e61c77bb647c6a")</f>
        <v>0</v>
      </c>
      <c r="D36185" t="s">
        <v>5541</v>
      </c>
      <c r="E36185" t="s">
        <v>9037</v>
      </c>
      <c r="F36185" t="s">
        <v>13335</v>
      </c>
      <c r="G36185" t="s">
        <v>17465</v>
      </c>
      <c r="H36185" t="s">
        <v>34203</v>
      </c>
    </row>
    <row r="36186" spans="1:8">
      <c r="H36186" t="s">
        <v>34204</v>
      </c>
    </row>
    <row r="36187" spans="1:8">
      <c r="A36187" t="s">
        <v>3329</v>
      </c>
      <c r="B36187">
        <f>HYPERLINK("https://android.googlesource.com/platform/cts/+/67d182168a0d6dac5ff0df061c8efd67f5091055", "67d182168a0d6dac5ff0df061c8efd67f5091055")</f>
        <v>0</v>
      </c>
      <c r="C36187">
        <f>HYPERLINK("https://android.googlesource.com/platform/cts/+/29224dee851591fac9e276f9b3254afdc82b6816", "29224dee851591fac9e276f9b3254afdc82b6816")</f>
        <v>0</v>
      </c>
      <c r="D36187" t="s">
        <v>5260</v>
      </c>
      <c r="E36187" t="s">
        <v>9039</v>
      </c>
      <c r="F36187" t="s">
        <v>10687</v>
      </c>
      <c r="G36187" t="s">
        <v>15087</v>
      </c>
      <c r="H36187" t="s">
        <v>34351</v>
      </c>
    </row>
    <row r="36188" spans="1:8">
      <c r="H36188" t="s">
        <v>34352</v>
      </c>
    </row>
    <row r="36189" spans="1:8">
      <c r="A36189" t="s">
        <v>3330</v>
      </c>
      <c r="B36189">
        <f>HYPERLINK("https://android.googlesource.com/platform/cts/+/19ff1b7dfea1ada771a20089824fc5f75866ea4f", "19ff1b7dfea1ada771a20089824fc5f75866ea4f")</f>
        <v>0</v>
      </c>
      <c r="C36189">
        <f>HYPERLINK("https://android.googlesource.com/platform/cts/+/2d07a845dd77abe581aa7c33786c1e4d2f3d95d4", "2d07a845dd77abe581aa7c33786c1e4d2f3d95d4")</f>
        <v>0</v>
      </c>
      <c r="D36189" t="s">
        <v>5553</v>
      </c>
      <c r="E36189" t="s">
        <v>9040</v>
      </c>
      <c r="F36189" t="s">
        <v>14250</v>
      </c>
      <c r="G36189" t="s">
        <v>18215</v>
      </c>
      <c r="H36189" t="s">
        <v>34353</v>
      </c>
    </row>
    <row r="36190" spans="1:8">
      <c r="H36190" t="s">
        <v>32846</v>
      </c>
    </row>
    <row r="36191" spans="1:8">
      <c r="H36191" t="s">
        <v>32847</v>
      </c>
    </row>
    <row r="36192" spans="1:8">
      <c r="A36192" t="s">
        <v>3331</v>
      </c>
      <c r="B36192">
        <f>HYPERLINK("https://android.googlesource.com/platform/cts/+/72377a35feb33febf4d6287c0d133f2114edf4e7", "72377a35feb33febf4d6287c0d133f2114edf4e7")</f>
        <v>0</v>
      </c>
      <c r="C36192">
        <f>HYPERLINK("https://android.googlesource.com/platform/cts/+/2c0b9cf698a9b33a68b401a968b1fb4bdaf162ba", "2c0b9cf698a9b33a68b401a968b1fb4bdaf162ba")</f>
        <v>0</v>
      </c>
      <c r="D36192" t="s">
        <v>5439</v>
      </c>
      <c r="E36192" t="s">
        <v>9041</v>
      </c>
      <c r="F36192" t="s">
        <v>14244</v>
      </c>
      <c r="G36192" t="s">
        <v>18212</v>
      </c>
      <c r="H36192" t="s">
        <v>34258</v>
      </c>
    </row>
    <row r="36193" spans="1:8">
      <c r="F36193" t="s">
        <v>13968</v>
      </c>
      <c r="G36193" t="s">
        <v>17993</v>
      </c>
      <c r="H36193" t="s">
        <v>34349</v>
      </c>
    </row>
    <row r="36194" spans="1:8">
      <c r="F36194" t="s">
        <v>10696</v>
      </c>
      <c r="G36194" t="s">
        <v>15096</v>
      </c>
      <c r="H36194" t="s">
        <v>33518</v>
      </c>
    </row>
    <row r="36195" spans="1:8">
      <c r="A36195" t="s">
        <v>3333</v>
      </c>
      <c r="B36195">
        <f>HYPERLINK("https://android.googlesource.com/platform/cts/+/3ae8a25e96f545e582fa924662aaf9baaf2a72cf", "3ae8a25e96f545e582fa924662aaf9baaf2a72cf")</f>
        <v>0</v>
      </c>
      <c r="C36195">
        <f>HYPERLINK("https://android.googlesource.com/platform/cts/+/7498c0fe87e19db804d0ac2c9b46b8b0256eed59", "7498c0fe87e19db804d0ac2c9b46b8b0256eed59")</f>
        <v>0</v>
      </c>
      <c r="D36195" t="s">
        <v>5439</v>
      </c>
      <c r="E36195" t="s">
        <v>9043</v>
      </c>
      <c r="F36195" t="s">
        <v>14244</v>
      </c>
      <c r="G36195" t="s">
        <v>18212</v>
      </c>
      <c r="H36195" t="s">
        <v>34258</v>
      </c>
    </row>
    <row r="36196" spans="1:8">
      <c r="F36196" t="s">
        <v>13968</v>
      </c>
      <c r="G36196" t="s">
        <v>17993</v>
      </c>
      <c r="H36196" t="s">
        <v>34349</v>
      </c>
    </row>
    <row r="36197" spans="1:8">
      <c r="A36197" t="s">
        <v>3335</v>
      </c>
      <c r="B36197">
        <f>HYPERLINK("https://android.googlesource.com/platform/cts/+/c759cb4ec47bf6c5540531da5b8f537a2e4ef319", "c759cb4ec47bf6c5540531da5b8f537a2e4ef319")</f>
        <v>0</v>
      </c>
      <c r="C36197">
        <f>HYPERLINK("https://android.googlesource.com/platform/cts/+/2716d0e067e5a11e6c304943dbe53c071c29ade1", "2716d0e067e5a11e6c304943dbe53c071c29ade1")</f>
        <v>0</v>
      </c>
      <c r="D36197" t="s">
        <v>5554</v>
      </c>
      <c r="E36197" t="s">
        <v>9045</v>
      </c>
      <c r="F36197" t="s">
        <v>14059</v>
      </c>
      <c r="G36197" t="s">
        <v>18057</v>
      </c>
      <c r="H36197" t="s">
        <v>18829</v>
      </c>
    </row>
    <row r="36198" spans="1:8">
      <c r="H36198" t="s">
        <v>33136</v>
      </c>
    </row>
    <row r="36199" spans="1:8">
      <c r="A36199" t="s">
        <v>3336</v>
      </c>
      <c r="B36199">
        <f>HYPERLINK("https://android.googlesource.com/platform/cts/+/6305774a70fd4fa91964fb803d19c55b3f505e02", "6305774a70fd4fa91964fb803d19c55b3f505e02")</f>
        <v>0</v>
      </c>
      <c r="C36199">
        <f>HYPERLINK("https://android.googlesource.com/platform/cts/+/5bbe179c89cf82f72e0bd7f90d70549c6abe1fc3", "5bbe179c89cf82f72e0bd7f90d70549c6abe1fc3")</f>
        <v>0</v>
      </c>
      <c r="D36199" t="s">
        <v>5182</v>
      </c>
      <c r="E36199" t="s">
        <v>9046</v>
      </c>
      <c r="F36199" t="s">
        <v>12820</v>
      </c>
      <c r="G36199" t="s">
        <v>16999</v>
      </c>
      <c r="H36199" t="s">
        <v>34354</v>
      </c>
    </row>
    <row r="36200" spans="1:8">
      <c r="H36200" t="s">
        <v>34355</v>
      </c>
    </row>
    <row r="36201" spans="1:8">
      <c r="H36201" t="s">
        <v>34356</v>
      </c>
    </row>
    <row r="36202" spans="1:8">
      <c r="H36202" t="s">
        <v>34357</v>
      </c>
    </row>
    <row r="36203" spans="1:8">
      <c r="H36203" t="s">
        <v>34358</v>
      </c>
    </row>
    <row r="36204" spans="1:8">
      <c r="H36204" t="s">
        <v>34359</v>
      </c>
    </row>
    <row r="36205" spans="1:8">
      <c r="H36205" t="s">
        <v>34360</v>
      </c>
    </row>
    <row r="36206" spans="1:8">
      <c r="H36206" t="s">
        <v>34361</v>
      </c>
    </row>
    <row r="36207" spans="1:8">
      <c r="A36207" t="s">
        <v>3337</v>
      </c>
      <c r="B36207">
        <f>HYPERLINK("https://android.googlesource.com/platform/cts/+/302b7d23f8535e426afc97f4079f3e4b1d18c093", "302b7d23f8535e426afc97f4079f3e4b1d18c093")</f>
        <v>0</v>
      </c>
      <c r="C36207">
        <f>HYPERLINK("https://android.googlesource.com/platform/cts/+/ce66cb541b016dbfbcd32b3f588ec47290b8bc78", "ce66cb541b016dbfbcd32b3f588ec47290b8bc78")</f>
        <v>0</v>
      </c>
      <c r="D36207" t="s">
        <v>5486</v>
      </c>
      <c r="E36207" t="s">
        <v>9047</v>
      </c>
      <c r="F36207" t="s">
        <v>13317</v>
      </c>
      <c r="G36207" t="s">
        <v>17448</v>
      </c>
      <c r="H36207" t="s">
        <v>34362</v>
      </c>
    </row>
    <row r="36208" spans="1:8">
      <c r="H36208" t="s">
        <v>34363</v>
      </c>
    </row>
    <row r="36209" spans="1:8">
      <c r="H36209" t="s">
        <v>34364</v>
      </c>
    </row>
    <row r="36210" spans="1:8">
      <c r="A36210" t="s">
        <v>3338</v>
      </c>
      <c r="B36210">
        <f>HYPERLINK("https://android.googlesource.com/platform/cts/+/38cee2c065bc21304fd4d562adc1773610530c00", "38cee2c065bc21304fd4d562adc1773610530c00")</f>
        <v>0</v>
      </c>
      <c r="C36210">
        <f>HYPERLINK("https://android.googlesource.com/platform/cts/+/768307da1038370c177ddb806accd898a2cd7a45", "768307da1038370c177ddb806accd898a2cd7a45")</f>
        <v>0</v>
      </c>
      <c r="D36210" t="s">
        <v>5555</v>
      </c>
      <c r="E36210" t="s">
        <v>9048</v>
      </c>
      <c r="F36210" t="s">
        <v>12232</v>
      </c>
      <c r="G36210" t="s">
        <v>16462</v>
      </c>
      <c r="H36210" t="s">
        <v>34365</v>
      </c>
    </row>
    <row r="36211" spans="1:8">
      <c r="H36211" t="s">
        <v>34366</v>
      </c>
    </row>
    <row r="36212" spans="1:8">
      <c r="A36212" t="s">
        <v>3340</v>
      </c>
      <c r="B36212">
        <f>HYPERLINK("https://android.googlesource.com/platform/cts/+/4e00c8d6d3c817040c738ded37b9997881ab8969", "4e00c8d6d3c817040c738ded37b9997881ab8969")</f>
        <v>0</v>
      </c>
      <c r="C36212">
        <f>HYPERLINK("https://android.googlesource.com/platform/cts/+/5b19bc353a7bd9dfe5c485157ccff30f420f537c", "5b19bc353a7bd9dfe5c485157ccff30f420f537c")</f>
        <v>0</v>
      </c>
      <c r="D36212" t="s">
        <v>5541</v>
      </c>
      <c r="E36212" t="s">
        <v>9049</v>
      </c>
      <c r="F36212" t="s">
        <v>14251</v>
      </c>
      <c r="G36212" t="s">
        <v>18216</v>
      </c>
      <c r="H36212" t="s">
        <v>34367</v>
      </c>
    </row>
    <row r="36213" spans="1:8">
      <c r="A36213" t="s">
        <v>3343</v>
      </c>
      <c r="B36213">
        <f>HYPERLINK("https://android.googlesource.com/platform/cts/+/9ee5ae231446a1d4643487248b63a0ff4cd2c362", "9ee5ae231446a1d4643487248b63a0ff4cd2c362")</f>
        <v>0</v>
      </c>
      <c r="C36213">
        <f>HYPERLINK("https://android.googlesource.com/platform/cts/+/912c1373399c66a75004889e6b554de91446ebb6", "912c1373399c66a75004889e6b554de91446ebb6")</f>
        <v>0</v>
      </c>
      <c r="D36213" t="s">
        <v>5315</v>
      </c>
      <c r="E36213" t="s">
        <v>9052</v>
      </c>
      <c r="F36213" t="s">
        <v>13412</v>
      </c>
      <c r="G36213" t="s">
        <v>17538</v>
      </c>
      <c r="H36213" t="s">
        <v>32732</v>
      </c>
    </row>
    <row r="36214" spans="1:8">
      <c r="H36214" t="s">
        <v>32733</v>
      </c>
    </row>
    <row r="36215" spans="1:8">
      <c r="H36215" t="s">
        <v>32734</v>
      </c>
    </row>
    <row r="36216" spans="1:8">
      <c r="H36216" t="s">
        <v>32735</v>
      </c>
    </row>
    <row r="36217" spans="1:8">
      <c r="H36217" t="s">
        <v>32736</v>
      </c>
    </row>
    <row r="36218" spans="1:8">
      <c r="H36218" t="s">
        <v>32737</v>
      </c>
    </row>
    <row r="36219" spans="1:8">
      <c r="H36219" t="s">
        <v>32738</v>
      </c>
    </row>
    <row r="36220" spans="1:8">
      <c r="A36220" t="s">
        <v>3344</v>
      </c>
      <c r="B36220">
        <f>HYPERLINK("https://android.googlesource.com/platform/cts/+/f1080f70698e587bda00315a67fa07abe845a3a5", "f1080f70698e587bda00315a67fa07abe845a3a5")</f>
        <v>0</v>
      </c>
      <c r="C36220">
        <f>HYPERLINK("https://android.googlesource.com/platform/cts/+/f7930883389b9b34143d4a8ed1b4fa9372ac2735", "f7930883389b9b34143d4a8ed1b4fa9372ac2735")</f>
        <v>0</v>
      </c>
      <c r="D36220" t="s">
        <v>5189</v>
      </c>
      <c r="E36220" t="s">
        <v>9053</v>
      </c>
      <c r="F36220" t="s">
        <v>14077</v>
      </c>
      <c r="G36220" t="s">
        <v>18075</v>
      </c>
      <c r="H36220" t="s">
        <v>34368</v>
      </c>
    </row>
    <row r="36221" spans="1:8">
      <c r="A36221" t="s">
        <v>3345</v>
      </c>
      <c r="B36221">
        <f>HYPERLINK("https://android.googlesource.com/platform/cts/+/cf1cb01100c635f57ee99db26010a0eccc64cc54", "cf1cb01100c635f57ee99db26010a0eccc64cc54")</f>
        <v>0</v>
      </c>
      <c r="C36221">
        <f>HYPERLINK("https://android.googlesource.com/platform/cts/+/01e2c05230532723125efbd9ad56ccaacf076191", "01e2c05230532723125efbd9ad56ccaacf076191")</f>
        <v>0</v>
      </c>
      <c r="D36221" t="s">
        <v>5051</v>
      </c>
      <c r="E36221" t="s">
        <v>9054</v>
      </c>
      <c r="F36221" t="s">
        <v>13850</v>
      </c>
      <c r="G36221" t="s">
        <v>16816</v>
      </c>
      <c r="H36221" t="s">
        <v>34369</v>
      </c>
    </row>
    <row r="36222" spans="1:8">
      <c r="A36222" t="s">
        <v>3346</v>
      </c>
      <c r="B36222">
        <f>HYPERLINK("https://android.googlesource.com/platform/cts/+/3cc0b52170518590009ae6aff6c887c49734fa2d", "3cc0b52170518590009ae6aff6c887c49734fa2d")</f>
        <v>0</v>
      </c>
      <c r="C36222">
        <f>HYPERLINK("https://android.googlesource.com/platform/cts/+/77a4c4378fb21731dc9acbd8b57b4455ec0b31f5", "77a4c4378fb21731dc9acbd8b57b4455ec0b31f5")</f>
        <v>0</v>
      </c>
      <c r="D36222" t="s">
        <v>5439</v>
      </c>
      <c r="E36222" t="s">
        <v>9055</v>
      </c>
      <c r="F36222" t="s">
        <v>14244</v>
      </c>
      <c r="G36222" t="s">
        <v>18212</v>
      </c>
      <c r="H36222" t="s">
        <v>34258</v>
      </c>
    </row>
    <row r="36223" spans="1:8">
      <c r="F36223" t="s">
        <v>13968</v>
      </c>
      <c r="G36223" t="s">
        <v>17993</v>
      </c>
      <c r="H36223" t="s">
        <v>34349</v>
      </c>
    </row>
    <row r="36224" spans="1:8">
      <c r="A36224" t="s">
        <v>3347</v>
      </c>
      <c r="B36224">
        <f>HYPERLINK("https://android.googlesource.com/platform/cts/+/1694ae40f8d5f07d7cd0035a6707421aa98eb138", "1694ae40f8d5f07d7cd0035a6707421aa98eb138")</f>
        <v>0</v>
      </c>
      <c r="C36224">
        <f>HYPERLINK("https://android.googlesource.com/platform/cts/+/cb8b808d3d1bf5ee012c38ca9270743fb5d7574f", "cb8b808d3d1bf5ee012c38ca9270743fb5d7574f")</f>
        <v>0</v>
      </c>
      <c r="D36224" t="s">
        <v>5416</v>
      </c>
      <c r="E36224" t="s">
        <v>9056</v>
      </c>
      <c r="F36224" t="s">
        <v>13502</v>
      </c>
      <c r="G36224" t="s">
        <v>17620</v>
      </c>
      <c r="H36224" t="s">
        <v>34142</v>
      </c>
    </row>
    <row r="36225" spans="1:8">
      <c r="H36225" t="s">
        <v>34146</v>
      </c>
    </row>
    <row r="36226" spans="1:8">
      <c r="A36226" t="s">
        <v>3351</v>
      </c>
      <c r="B36226">
        <f>HYPERLINK("https://android.googlesource.com/platform/cts/+/8df3d47f9a4a8bca764c2fbe00cb6163c611e931", "8df3d47f9a4a8bca764c2fbe00cb6163c611e931")</f>
        <v>0</v>
      </c>
      <c r="C36226">
        <f>HYPERLINK("https://android.googlesource.com/platform/cts/+/8614365e5c8f09b889497cc77584c30faa013707", "8614365e5c8f09b889497cc77584c30faa013707")</f>
        <v>0</v>
      </c>
      <c r="D36226" t="s">
        <v>5456</v>
      </c>
      <c r="E36226" t="s">
        <v>9058</v>
      </c>
      <c r="F36226" t="s">
        <v>14023</v>
      </c>
      <c r="G36226" t="s">
        <v>18032</v>
      </c>
      <c r="H36226" t="s">
        <v>34370</v>
      </c>
    </row>
    <row r="36227" spans="1:8">
      <c r="F36227" t="s">
        <v>13899</v>
      </c>
      <c r="G36227" t="s">
        <v>17889</v>
      </c>
      <c r="H36227" t="s">
        <v>34252</v>
      </c>
    </row>
    <row r="36228" spans="1:8">
      <c r="A36228" t="s">
        <v>3354</v>
      </c>
      <c r="B36228">
        <f>HYPERLINK("https://android.googlesource.com/platform/cts/+/c92a9a698d1ead08974ea30b9552747dbc5fdf1e", "c92a9a698d1ead08974ea30b9552747dbc5fdf1e")</f>
        <v>0</v>
      </c>
      <c r="C36228">
        <f>HYPERLINK("https://android.googlesource.com/platform/cts/+/b104b5d6e8c645c3e8c6d2288943106f00f309f2", "b104b5d6e8c645c3e8c6d2288943106f00f309f2")</f>
        <v>0</v>
      </c>
      <c r="D36228" t="s">
        <v>5350</v>
      </c>
      <c r="E36228" t="s">
        <v>9061</v>
      </c>
      <c r="F36228" t="s">
        <v>14252</v>
      </c>
      <c r="G36228" t="s">
        <v>18217</v>
      </c>
      <c r="H36228" t="s">
        <v>34371</v>
      </c>
    </row>
    <row r="36229" spans="1:8">
      <c r="A36229" t="s">
        <v>3357</v>
      </c>
      <c r="B36229">
        <f>HYPERLINK("https://android.googlesource.com/platform/cts/+/a87e239055a3b8a33122cf2ace4949c9b2f86c91", "a87e239055a3b8a33122cf2ace4949c9b2f86c91")</f>
        <v>0</v>
      </c>
      <c r="C36229">
        <f>HYPERLINK("https://android.googlesource.com/platform/cts/+/14da5ba226b461c0b91b25e0d45e589645871081", "14da5ba226b461c0b91b25e0d45e589645871081")</f>
        <v>0</v>
      </c>
      <c r="D36229" t="s">
        <v>5556</v>
      </c>
      <c r="E36229" t="s">
        <v>9063</v>
      </c>
      <c r="F36229" t="s">
        <v>14239</v>
      </c>
      <c r="G36229" t="s">
        <v>18209</v>
      </c>
      <c r="H36229" t="s">
        <v>33660</v>
      </c>
    </row>
    <row r="36230" spans="1:8">
      <c r="F36230" t="s">
        <v>14240</v>
      </c>
      <c r="G36230" t="s">
        <v>18209</v>
      </c>
      <c r="H36230" t="s">
        <v>33660</v>
      </c>
    </row>
    <row r="36231" spans="1:8">
      <c r="A36231" t="s">
        <v>3358</v>
      </c>
      <c r="B36231">
        <f>HYPERLINK("https://android.googlesource.com/platform/cts/+/13866a821de6427a8842d82786b71b4bcd75eea7", "13866a821de6427a8842d82786b71b4bcd75eea7")</f>
        <v>0</v>
      </c>
      <c r="C36231">
        <f>HYPERLINK("https://android.googlesource.com/platform/cts/+/1db7f8489674e70e1a9260a2be4143847532a38d", "1db7f8489674e70e1a9260a2be4143847532a38d")</f>
        <v>0</v>
      </c>
      <c r="D36231" t="s">
        <v>5456</v>
      </c>
      <c r="E36231" t="s">
        <v>9064</v>
      </c>
      <c r="F36231" t="s">
        <v>14023</v>
      </c>
      <c r="G36231" t="s">
        <v>18032</v>
      </c>
      <c r="H36231" t="s">
        <v>34372</v>
      </c>
    </row>
    <row r="36232" spans="1:8">
      <c r="F36232" t="s">
        <v>13846</v>
      </c>
      <c r="G36232" t="s">
        <v>17889</v>
      </c>
      <c r="H36232" t="s">
        <v>34372</v>
      </c>
    </row>
    <row r="36233" spans="1:8">
      <c r="F36233" t="s">
        <v>13899</v>
      </c>
      <c r="G36233" t="s">
        <v>17889</v>
      </c>
      <c r="H36233" t="s">
        <v>34372</v>
      </c>
    </row>
    <row r="36234" spans="1:8">
      <c r="A36234" t="s">
        <v>3359</v>
      </c>
      <c r="B36234">
        <f>HYPERLINK("https://android.googlesource.com/platform/cts/+/6e23bc5d0f20f4ff5fcd29234efd7f704ed6a168", "6e23bc5d0f20f4ff5fcd29234efd7f704ed6a168")</f>
        <v>0</v>
      </c>
      <c r="C36234">
        <f>HYPERLINK("https://android.googlesource.com/platform/cts/+/13866a821de6427a8842d82786b71b4bcd75eea7", "13866a821de6427a8842d82786b71b4bcd75eea7")</f>
        <v>0</v>
      </c>
      <c r="D36234" t="s">
        <v>5456</v>
      </c>
      <c r="E36234" t="s">
        <v>9065</v>
      </c>
      <c r="F36234" t="s">
        <v>14023</v>
      </c>
      <c r="G36234" t="s">
        <v>18032</v>
      </c>
      <c r="H36234" t="s">
        <v>34251</v>
      </c>
    </row>
    <row r="36235" spans="1:8">
      <c r="H36235" t="s">
        <v>34253</v>
      </c>
    </row>
    <row r="36236" spans="1:8">
      <c r="F36236" t="s">
        <v>13899</v>
      </c>
      <c r="G36236" t="s">
        <v>17889</v>
      </c>
      <c r="H36236" t="s">
        <v>34251</v>
      </c>
    </row>
    <row r="36237" spans="1:8">
      <c r="H36237" t="s">
        <v>34253</v>
      </c>
    </row>
    <row r="36238" spans="1:8">
      <c r="A36238" t="s">
        <v>3360</v>
      </c>
      <c r="B36238">
        <f>HYPERLINK("https://android.googlesource.com/platform/cts/+/0d73217be674017e156c3b426684d40cf13c1fce", "0d73217be674017e156c3b426684d40cf13c1fce")</f>
        <v>0</v>
      </c>
      <c r="C36238">
        <f>HYPERLINK("https://android.googlesource.com/platform/cts/+/490b78764cce77e9a12303ac1d3748fadb2068a6", "490b78764cce77e9a12303ac1d3748fadb2068a6")</f>
        <v>0</v>
      </c>
      <c r="D36238" t="s">
        <v>5456</v>
      </c>
      <c r="E36238" t="s">
        <v>9066</v>
      </c>
      <c r="F36238" t="s">
        <v>13846</v>
      </c>
      <c r="G36238" t="s">
        <v>17889</v>
      </c>
      <c r="H36238" t="s">
        <v>34373</v>
      </c>
    </row>
    <row r="36239" spans="1:8">
      <c r="A36239" t="s">
        <v>3361</v>
      </c>
      <c r="B36239">
        <f>HYPERLINK("https://android.googlesource.com/platform/cts/+/5961e8d5388d68a051e440dccfa95953b4018904", "5961e8d5388d68a051e440dccfa95953b4018904")</f>
        <v>0</v>
      </c>
      <c r="C36239">
        <f>HYPERLINK("https://android.googlesource.com/platform/cts/+/427a30db119ef92bf8d612de4f604d9e87862ce1", "427a30db119ef92bf8d612de4f604d9e87862ce1")</f>
        <v>0</v>
      </c>
      <c r="D36239" t="s">
        <v>5557</v>
      </c>
      <c r="E36239" t="s">
        <v>9067</v>
      </c>
      <c r="F36239" t="s">
        <v>13021</v>
      </c>
      <c r="G36239" t="s">
        <v>17185</v>
      </c>
      <c r="H36239" t="s">
        <v>34374</v>
      </c>
    </row>
    <row r="36240" spans="1:8">
      <c r="H36240" t="s">
        <v>34375</v>
      </c>
    </row>
    <row r="36241" spans="1:8">
      <c r="A36241" t="s">
        <v>3362</v>
      </c>
      <c r="B36241">
        <f>HYPERLINK("https://android.googlesource.com/platform/cts/+/02be782417ea1f646964c3c45e791c1773f4da6d", "02be782417ea1f646964c3c45e791c1773f4da6d")</f>
        <v>0</v>
      </c>
      <c r="C36241">
        <f>HYPERLINK("https://android.googlesource.com/platform/cts/+/f06316a937c8da1e129b45e7569ce5882d9e9795", "f06316a937c8da1e129b45e7569ce5882d9e9795")</f>
        <v>0</v>
      </c>
      <c r="D36241" t="s">
        <v>5472</v>
      </c>
      <c r="E36241" t="s">
        <v>9068</v>
      </c>
      <c r="F36241" t="s">
        <v>13815</v>
      </c>
      <c r="G36241" t="s">
        <v>17862</v>
      </c>
      <c r="H36241" t="s">
        <v>34376</v>
      </c>
    </row>
    <row r="36242" spans="1:8">
      <c r="H36242" t="s">
        <v>34377</v>
      </c>
    </row>
    <row r="36243" spans="1:8">
      <c r="H36243" t="s">
        <v>25779</v>
      </c>
    </row>
    <row r="36244" spans="1:8">
      <c r="H36244" t="s">
        <v>25780</v>
      </c>
    </row>
    <row r="36245" spans="1:8">
      <c r="H36245" t="s">
        <v>34378</v>
      </c>
    </row>
    <row r="36246" spans="1:8">
      <c r="H36246" t="s">
        <v>34379</v>
      </c>
    </row>
    <row r="36247" spans="1:8">
      <c r="H36247" t="s">
        <v>34380</v>
      </c>
    </row>
    <row r="36248" spans="1:8">
      <c r="H36248" t="s">
        <v>34381</v>
      </c>
    </row>
    <row r="36249" spans="1:8">
      <c r="H36249" t="s">
        <v>34382</v>
      </c>
    </row>
    <row r="36250" spans="1:8">
      <c r="H36250" t="s">
        <v>34383</v>
      </c>
    </row>
    <row r="36251" spans="1:8">
      <c r="H36251" t="s">
        <v>34384</v>
      </c>
    </row>
    <row r="36252" spans="1:8">
      <c r="H36252" t="s">
        <v>34385</v>
      </c>
    </row>
    <row r="36253" spans="1:8">
      <c r="H36253" t="s">
        <v>34386</v>
      </c>
    </row>
    <row r="36254" spans="1:8">
      <c r="H36254" t="s">
        <v>34387</v>
      </c>
    </row>
    <row r="36255" spans="1:8">
      <c r="H36255" t="s">
        <v>34388</v>
      </c>
    </row>
    <row r="36256" spans="1:8">
      <c r="H36256" t="s">
        <v>34389</v>
      </c>
    </row>
    <row r="36257" spans="1:8">
      <c r="H36257" t="s">
        <v>34389</v>
      </c>
    </row>
    <row r="36258" spans="1:8">
      <c r="H36258" t="s">
        <v>34389</v>
      </c>
    </row>
    <row r="36259" spans="1:8">
      <c r="H36259" t="s">
        <v>34390</v>
      </c>
    </row>
    <row r="36260" spans="1:8">
      <c r="H36260" t="s">
        <v>34391</v>
      </c>
    </row>
    <row r="36261" spans="1:8">
      <c r="H36261" t="s">
        <v>34392</v>
      </c>
    </row>
    <row r="36262" spans="1:8">
      <c r="H36262" t="s">
        <v>34389</v>
      </c>
    </row>
    <row r="36263" spans="1:8">
      <c r="H36263" t="s">
        <v>34393</v>
      </c>
    </row>
    <row r="36264" spans="1:8">
      <c r="H36264" t="s">
        <v>34390</v>
      </c>
    </row>
    <row r="36265" spans="1:8">
      <c r="H36265" t="s">
        <v>34394</v>
      </c>
    </row>
    <row r="36266" spans="1:8">
      <c r="H36266" t="s">
        <v>34391</v>
      </c>
    </row>
    <row r="36267" spans="1:8">
      <c r="H36267" t="s">
        <v>34392</v>
      </c>
    </row>
    <row r="36268" spans="1:8">
      <c r="H36268" t="s">
        <v>34395</v>
      </c>
    </row>
    <row r="36269" spans="1:8">
      <c r="H36269" t="s">
        <v>19019</v>
      </c>
    </row>
    <row r="36270" spans="1:8">
      <c r="H36270" t="s">
        <v>20237</v>
      </c>
    </row>
    <row r="36271" spans="1:8">
      <c r="H36271" t="s">
        <v>34396</v>
      </c>
    </row>
    <row r="36272" spans="1:8">
      <c r="A36272" t="s">
        <v>3363</v>
      </c>
      <c r="B36272">
        <f>HYPERLINK("https://android.googlesource.com/platform/cts/+/a8014f80e8fc3b62aaf51b7a84e78741c572ebc1", "a8014f80e8fc3b62aaf51b7a84e78741c572ebc1")</f>
        <v>0</v>
      </c>
      <c r="C36272">
        <f>HYPERLINK("https://android.googlesource.com/platform/cts/+/c2aa3f14b1c5a5f760d763e5ac9ca4f0e97073ff", "c2aa3f14b1c5a5f760d763e5ac9ca4f0e97073ff")</f>
        <v>0</v>
      </c>
      <c r="D36272" t="s">
        <v>5558</v>
      </c>
      <c r="E36272" t="s">
        <v>9069</v>
      </c>
      <c r="F36272" t="s">
        <v>13165</v>
      </c>
      <c r="G36272" t="s">
        <v>17315</v>
      </c>
      <c r="H36272" t="s">
        <v>34397</v>
      </c>
    </row>
    <row r="36273" spans="1:8">
      <c r="A36273" t="s">
        <v>3364</v>
      </c>
      <c r="B36273">
        <f>HYPERLINK("https://android.googlesource.com/platform/cts/+/cc244bf268572a652c93845affb64b77872bacc6", "cc244bf268572a652c93845affb64b77872bacc6")</f>
        <v>0</v>
      </c>
      <c r="C36273">
        <f>HYPERLINK("https://android.googlesource.com/platform/cts/+/8fe84d69a60cc7534351650c7dac6ad163a90ebf", "8fe84d69a60cc7534351650c7dac6ad163a90ebf")</f>
        <v>0</v>
      </c>
      <c r="D36273" t="s">
        <v>5501</v>
      </c>
      <c r="E36273" t="s">
        <v>9070</v>
      </c>
      <c r="F36273" t="s">
        <v>14158</v>
      </c>
      <c r="G36273" t="s">
        <v>18144</v>
      </c>
      <c r="H36273" t="s">
        <v>34398</v>
      </c>
    </row>
    <row r="36274" spans="1:8">
      <c r="A36274" t="s">
        <v>3365</v>
      </c>
      <c r="B36274">
        <f>HYPERLINK("https://android.googlesource.com/platform/cts/+/60290aea0a85715fb7f53ca5fb7066a717988617", "60290aea0a85715fb7f53ca5fb7066a717988617")</f>
        <v>0</v>
      </c>
      <c r="C36274">
        <f>HYPERLINK("https://android.googlesource.com/platform/cts/+/079ac4a79b7c086bcc81c2341f6539c90f014ad4", "079ac4a79b7c086bcc81c2341f6539c90f014ad4")</f>
        <v>0</v>
      </c>
      <c r="D36274" t="s">
        <v>5501</v>
      </c>
      <c r="E36274" t="s">
        <v>9071</v>
      </c>
      <c r="F36274" t="s">
        <v>14206</v>
      </c>
      <c r="G36274" t="s">
        <v>18182</v>
      </c>
      <c r="H36274" t="s">
        <v>34399</v>
      </c>
    </row>
    <row r="36275" spans="1:8">
      <c r="H36275" t="s">
        <v>34400</v>
      </c>
    </row>
    <row r="36276" spans="1:8">
      <c r="H36276" t="s">
        <v>34401</v>
      </c>
    </row>
    <row r="36277" spans="1:8">
      <c r="A36277" t="s">
        <v>3366</v>
      </c>
      <c r="B36277">
        <f>HYPERLINK("https://android.googlesource.com/platform/cts/+/13630ec861e76845615788fda572a972f3819f22", "13630ec861e76845615788fda572a972f3819f22")</f>
        <v>0</v>
      </c>
      <c r="C36277">
        <f>HYPERLINK("https://android.googlesource.com/platform/cts/+/abf1eccee4ea5f11613c3f4c5f52abe2035b054e", "abf1eccee4ea5f11613c3f4c5f52abe2035b054e")</f>
        <v>0</v>
      </c>
      <c r="D36277" t="s">
        <v>5559</v>
      </c>
      <c r="E36277" t="s">
        <v>9072</v>
      </c>
      <c r="F36277" t="s">
        <v>14195</v>
      </c>
      <c r="G36277" t="s">
        <v>18174</v>
      </c>
      <c r="H36277" t="s">
        <v>34402</v>
      </c>
    </row>
    <row r="36278" spans="1:8">
      <c r="A36278" t="s">
        <v>3367</v>
      </c>
      <c r="B36278">
        <f>HYPERLINK("https://android.googlesource.com/platform/cts/+/b5a87e7577bdf46b52814b31e981e5123a653bf0", "b5a87e7577bdf46b52814b31e981e5123a653bf0")</f>
        <v>0</v>
      </c>
      <c r="C36278">
        <f>HYPERLINK("https://android.googlesource.com/platform/cts/+/3269b24b39838538a3aeca24c59b5d4f1cacd8f3", "3269b24b39838538a3aeca24c59b5d4f1cacd8f3")</f>
        <v>0</v>
      </c>
      <c r="D36278" t="s">
        <v>5272</v>
      </c>
      <c r="E36278" t="s">
        <v>9073</v>
      </c>
      <c r="F36278" t="s">
        <v>14253</v>
      </c>
      <c r="G36278" t="s">
        <v>18218</v>
      </c>
      <c r="H36278" t="s">
        <v>34403</v>
      </c>
    </row>
    <row r="36279" spans="1:8">
      <c r="A36279" t="s">
        <v>3368</v>
      </c>
      <c r="B36279">
        <f>HYPERLINK("https://android.googlesource.com/platform/cts/+/0979278260ded623fe08a225cb3a72a85582ed59", "0979278260ded623fe08a225cb3a72a85582ed59")</f>
        <v>0</v>
      </c>
      <c r="C36279">
        <f>HYPERLINK("https://android.googlesource.com/platform/cts/+/3269b24b39838538a3aeca24c59b5d4f1cacd8f3", "3269b24b39838538a3aeca24c59b5d4f1cacd8f3")</f>
        <v>0</v>
      </c>
      <c r="D36279" t="s">
        <v>5272</v>
      </c>
      <c r="E36279" t="s">
        <v>9074</v>
      </c>
      <c r="F36279" t="s">
        <v>14254</v>
      </c>
      <c r="G36279" t="s">
        <v>18219</v>
      </c>
      <c r="H36279" t="s">
        <v>18829</v>
      </c>
    </row>
    <row r="36280" spans="1:8">
      <c r="A36280" t="s">
        <v>3369</v>
      </c>
      <c r="B36280">
        <f>HYPERLINK("https://android.googlesource.com/platform/cts/+/1aede175ccdf926b5c5bfb1d86685513ebfbb976", "1aede175ccdf926b5c5bfb1d86685513ebfbb976")</f>
        <v>0</v>
      </c>
      <c r="C36280">
        <f>HYPERLINK("https://android.googlesource.com/platform/cts/+/7e1e49cff5c66a005e4909c3c8bae42f5a4aeeb6", "7e1e49cff5c66a005e4909c3c8bae42f5a4aeeb6")</f>
        <v>0</v>
      </c>
      <c r="D36280" t="s">
        <v>5438</v>
      </c>
      <c r="E36280" t="s">
        <v>9075</v>
      </c>
      <c r="F36280" t="s">
        <v>13257</v>
      </c>
      <c r="G36280" t="s">
        <v>17395</v>
      </c>
      <c r="H36280" t="s">
        <v>34404</v>
      </c>
    </row>
    <row r="36281" spans="1:8">
      <c r="H36281" t="s">
        <v>34405</v>
      </c>
    </row>
    <row r="36282" spans="1:8">
      <c r="H36282" t="s">
        <v>34406</v>
      </c>
    </row>
    <row r="36283" spans="1:8">
      <c r="H36283" t="s">
        <v>34407</v>
      </c>
    </row>
    <row r="36284" spans="1:8">
      <c r="H36284" t="s">
        <v>34408</v>
      </c>
    </row>
    <row r="36285" spans="1:8">
      <c r="H36285" t="s">
        <v>34409</v>
      </c>
    </row>
    <row r="36286" spans="1:8">
      <c r="H36286" t="s">
        <v>34410</v>
      </c>
    </row>
    <row r="36287" spans="1:8">
      <c r="H36287" t="s">
        <v>34411</v>
      </c>
    </row>
    <row r="36288" spans="1:8">
      <c r="H36288" t="s">
        <v>34412</v>
      </c>
    </row>
    <row r="36289" spans="8:8">
      <c r="H36289" t="s">
        <v>34413</v>
      </c>
    </row>
    <row r="36290" spans="8:8">
      <c r="H36290" t="s">
        <v>34414</v>
      </c>
    </row>
    <row r="36291" spans="8:8">
      <c r="H36291" t="s">
        <v>34415</v>
      </c>
    </row>
    <row r="36292" spans="8:8">
      <c r="H36292" t="s">
        <v>34416</v>
      </c>
    </row>
    <row r="36293" spans="8:8">
      <c r="H36293" t="s">
        <v>34417</v>
      </c>
    </row>
    <row r="36294" spans="8:8">
      <c r="H36294" t="s">
        <v>34418</v>
      </c>
    </row>
    <row r="36295" spans="8:8">
      <c r="H36295" t="s">
        <v>34419</v>
      </c>
    </row>
    <row r="36296" spans="8:8">
      <c r="H36296" t="s">
        <v>34420</v>
      </c>
    </row>
    <row r="36297" spans="8:8">
      <c r="H36297" t="s">
        <v>34421</v>
      </c>
    </row>
    <row r="36298" spans="8:8">
      <c r="H36298" t="s">
        <v>34422</v>
      </c>
    </row>
    <row r="36299" spans="8:8">
      <c r="H36299" t="s">
        <v>34423</v>
      </c>
    </row>
    <row r="36300" spans="8:8">
      <c r="H36300" t="s">
        <v>34424</v>
      </c>
    </row>
    <row r="36301" spans="8:8">
      <c r="H36301" t="s">
        <v>34425</v>
      </c>
    </row>
    <row r="36302" spans="8:8">
      <c r="H36302" t="s">
        <v>34426</v>
      </c>
    </row>
    <row r="36303" spans="8:8">
      <c r="H36303" t="s">
        <v>34427</v>
      </c>
    </row>
    <row r="36304" spans="8:8">
      <c r="H36304" t="s">
        <v>34428</v>
      </c>
    </row>
    <row r="36305" spans="1:8">
      <c r="H36305" t="s">
        <v>34429</v>
      </c>
    </row>
    <row r="36306" spans="1:8">
      <c r="H36306" t="s">
        <v>34430</v>
      </c>
    </row>
    <row r="36307" spans="1:8">
      <c r="H36307" t="s">
        <v>34431</v>
      </c>
    </row>
    <row r="36308" spans="1:8">
      <c r="H36308" t="s">
        <v>34432</v>
      </c>
    </row>
    <row r="36309" spans="1:8">
      <c r="H36309" t="s">
        <v>34433</v>
      </c>
    </row>
    <row r="36310" spans="1:8">
      <c r="H36310" t="s">
        <v>34434</v>
      </c>
    </row>
    <row r="36311" spans="1:8">
      <c r="H36311" t="s">
        <v>34435</v>
      </c>
    </row>
    <row r="36312" spans="1:8">
      <c r="H36312" t="s">
        <v>34436</v>
      </c>
    </row>
    <row r="36313" spans="1:8">
      <c r="H36313" t="s">
        <v>34437</v>
      </c>
    </row>
    <row r="36314" spans="1:8">
      <c r="A36314" t="s">
        <v>3371</v>
      </c>
      <c r="B36314">
        <f>HYPERLINK("https://android.googlesource.com/platform/cts/+/7b9e760b3dbc5f256c68e663a7385729c3ad1312", "7b9e760b3dbc5f256c68e663a7385729c3ad1312")</f>
        <v>0</v>
      </c>
      <c r="C36314">
        <f>HYPERLINK("https://android.googlesource.com/platform/cts/+/1ea17f28ee6f06c67a1d1756f051344d64dc6776", "1ea17f28ee6f06c67a1d1756f051344d64dc6776")</f>
        <v>0</v>
      </c>
      <c r="D36314" t="s">
        <v>5497</v>
      </c>
      <c r="E36314" t="s">
        <v>9077</v>
      </c>
      <c r="F36314" t="s">
        <v>14145</v>
      </c>
      <c r="G36314" t="s">
        <v>18133</v>
      </c>
      <c r="H36314" t="s">
        <v>34438</v>
      </c>
    </row>
    <row r="36315" spans="1:8">
      <c r="A36315" t="s">
        <v>3372</v>
      </c>
      <c r="B36315">
        <f>HYPERLINK("https://android.googlesource.com/platform/cts/+/94eec46283fdfb081148c5c887bf0ad58691409f", "94eec46283fdfb081148c5c887bf0ad58691409f")</f>
        <v>0</v>
      </c>
      <c r="C36315">
        <f>HYPERLINK("https://android.googlesource.com/platform/cts/+/c6fee6c910b2feaec67d7477cc2b78d13d2e2c25", "c6fee6c910b2feaec67d7477cc2b78d13d2e2c25")</f>
        <v>0</v>
      </c>
      <c r="D36315" t="s">
        <v>5541</v>
      </c>
      <c r="E36315" t="s">
        <v>9078</v>
      </c>
      <c r="F36315" t="s">
        <v>14251</v>
      </c>
      <c r="G36315" t="s">
        <v>18216</v>
      </c>
      <c r="H36315" t="s">
        <v>34439</v>
      </c>
    </row>
    <row r="36316" spans="1:8">
      <c r="F36316" t="s">
        <v>13335</v>
      </c>
      <c r="G36316" t="s">
        <v>17465</v>
      </c>
      <c r="H36316" t="s">
        <v>34440</v>
      </c>
    </row>
    <row r="36317" spans="1:8">
      <c r="A36317" t="s">
        <v>3373</v>
      </c>
      <c r="B36317">
        <f>HYPERLINK("https://android.googlesource.com/platform/cts/+/cc69d23758981b5f6a11850106870199b46dcc12", "cc69d23758981b5f6a11850106870199b46dcc12")</f>
        <v>0</v>
      </c>
      <c r="C36317">
        <f>HYPERLINK("https://android.googlesource.com/platform/cts/+/78279bdf1484095e09a8a123f8109510733e9740", "78279bdf1484095e09a8a123f8109510733e9740")</f>
        <v>0</v>
      </c>
      <c r="D36317" t="s">
        <v>5355</v>
      </c>
      <c r="E36317" t="s">
        <v>9079</v>
      </c>
      <c r="F36317" t="s">
        <v>12817</v>
      </c>
      <c r="G36317" t="s">
        <v>16629</v>
      </c>
      <c r="H36317" t="s">
        <v>34441</v>
      </c>
    </row>
    <row r="36318" spans="1:8">
      <c r="A36318" t="s">
        <v>3374</v>
      </c>
      <c r="B36318">
        <f>HYPERLINK("https://android.googlesource.com/platform/cts/+/e7920a2b36a188d10bcb57ef6d74fd7baa42d6bc", "e7920a2b36a188d10bcb57ef6d74fd7baa42d6bc")</f>
        <v>0</v>
      </c>
      <c r="C36318">
        <f>HYPERLINK("https://android.googlesource.com/platform/cts/+/d698c9e71efb082613a2b110be98383baaa9d8ad", "d698c9e71efb082613a2b110be98383baaa9d8ad")</f>
        <v>0</v>
      </c>
      <c r="D36318" t="s">
        <v>5560</v>
      </c>
      <c r="E36318" t="s">
        <v>9080</v>
      </c>
      <c r="F36318" t="s">
        <v>14255</v>
      </c>
      <c r="G36318" t="s">
        <v>18220</v>
      </c>
      <c r="H36318" t="s">
        <v>34442</v>
      </c>
    </row>
    <row r="36319" spans="1:8">
      <c r="A36319" t="s">
        <v>3375</v>
      </c>
      <c r="B36319">
        <f>HYPERLINK("https://android.googlesource.com/platform/cts/+/1fa07cb0f0e1e88c0b12989f6b6da980973f8928", "1fa07cb0f0e1e88c0b12989f6b6da980973f8928")</f>
        <v>0</v>
      </c>
      <c r="C36319">
        <f>HYPERLINK("https://android.googlesource.com/platform/cts/+/ba6ebdbb9215d1f5666a72a7c9c2ec1135c27048", "ba6ebdbb9215d1f5666a72a7c9c2ec1135c27048")</f>
        <v>0</v>
      </c>
      <c r="D36319" t="s">
        <v>5561</v>
      </c>
      <c r="E36319" t="s">
        <v>9081</v>
      </c>
      <c r="F36319" t="s">
        <v>13924</v>
      </c>
      <c r="G36319" t="s">
        <v>17960</v>
      </c>
      <c r="H36319" t="s">
        <v>34443</v>
      </c>
    </row>
    <row r="36320" spans="1:8">
      <c r="H36320" t="s">
        <v>34444</v>
      </c>
    </row>
    <row r="36321" spans="1:8">
      <c r="H36321" t="s">
        <v>34445</v>
      </c>
    </row>
    <row r="36322" spans="1:8">
      <c r="A36322" t="s">
        <v>3376</v>
      </c>
      <c r="B36322">
        <f>HYPERLINK("https://android.googlesource.com/platform/cts/+/43e30fbdee1df93bbbf68cc753c20e14f8b4d02e", "43e30fbdee1df93bbbf68cc753c20e14f8b4d02e")</f>
        <v>0</v>
      </c>
      <c r="C36322">
        <f>HYPERLINK("https://android.googlesource.com/platform/cts/+/cdcd99836200940c93cf1ca64d83e1ce91f7ecf2", "cdcd99836200940c93cf1ca64d83e1ce91f7ecf2")</f>
        <v>0</v>
      </c>
      <c r="D36322" t="s">
        <v>5540</v>
      </c>
      <c r="E36322" t="s">
        <v>9082</v>
      </c>
      <c r="F36322" t="s">
        <v>14165</v>
      </c>
      <c r="G36322" t="s">
        <v>17361</v>
      </c>
      <c r="H36322" t="s">
        <v>34446</v>
      </c>
    </row>
    <row r="36323" spans="1:8">
      <c r="A36323" t="s">
        <v>3377</v>
      </c>
      <c r="B36323">
        <f>HYPERLINK("https://android.googlesource.com/platform/cts/+/53bfba03a740627df67063ba6efbfb83a3a796b0", "53bfba03a740627df67063ba6efbfb83a3a796b0")</f>
        <v>0</v>
      </c>
      <c r="C36323">
        <f>HYPERLINK("https://android.googlesource.com/platform/cts/+/76a1c3cbc7a45d489fbc7d5a910ef888ae33a559", "76a1c3cbc7a45d489fbc7d5a910ef888ae33a559")</f>
        <v>0</v>
      </c>
      <c r="D36323" t="s">
        <v>5363</v>
      </c>
      <c r="E36323" t="s">
        <v>9083</v>
      </c>
      <c r="F36323" t="s">
        <v>14033</v>
      </c>
      <c r="G36323" t="s">
        <v>18030</v>
      </c>
      <c r="H36323" t="s">
        <v>32917</v>
      </c>
    </row>
    <row r="36324" spans="1:8">
      <c r="H36324" t="s">
        <v>32918</v>
      </c>
    </row>
    <row r="36325" spans="1:8">
      <c r="A36325" t="s">
        <v>3378</v>
      </c>
      <c r="B36325">
        <f>HYPERLINK("https://android.googlesource.com/platform/cts/+/544368f38a9e303de42d6dffb7defd1e357f41ad", "544368f38a9e303de42d6dffb7defd1e357f41ad")</f>
        <v>0</v>
      </c>
      <c r="C36325">
        <f>HYPERLINK("https://android.googlesource.com/platform/cts/+/76a1c3cbc7a45d489fbc7d5a910ef888ae33a559", "76a1c3cbc7a45d489fbc7d5a910ef888ae33a559")</f>
        <v>0</v>
      </c>
      <c r="D36325" t="s">
        <v>5548</v>
      </c>
      <c r="E36325" t="s">
        <v>9084</v>
      </c>
      <c r="F36325" t="s">
        <v>14242</v>
      </c>
      <c r="G36325" t="s">
        <v>18210</v>
      </c>
      <c r="H36325" t="s">
        <v>34447</v>
      </c>
    </row>
    <row r="36326" spans="1:8">
      <c r="H36326" t="s">
        <v>34448</v>
      </c>
    </row>
    <row r="36327" spans="1:8">
      <c r="A36327" t="s">
        <v>3379</v>
      </c>
      <c r="B36327">
        <f>HYPERLINK("https://android.googlesource.com/platform/cts/+/da098759703aa1cec89c8de1247092e8c967bdbd", "da098759703aa1cec89c8de1247092e8c967bdbd")</f>
        <v>0</v>
      </c>
      <c r="C36327">
        <f>HYPERLINK("https://android.googlesource.com/platform/cts/+/76a1c3cbc7a45d489fbc7d5a910ef888ae33a559", "76a1c3cbc7a45d489fbc7d5a910ef888ae33a559")</f>
        <v>0</v>
      </c>
      <c r="D36327" t="s">
        <v>5562</v>
      </c>
      <c r="E36327" t="s">
        <v>9085</v>
      </c>
      <c r="F36327" t="s">
        <v>14256</v>
      </c>
      <c r="G36327" t="s">
        <v>18221</v>
      </c>
      <c r="H36327" t="s">
        <v>18829</v>
      </c>
    </row>
    <row r="36328" spans="1:8">
      <c r="A36328" t="s">
        <v>3381</v>
      </c>
      <c r="B36328">
        <f>HYPERLINK("https://android.googlesource.com/platform/cts/+/0dd816b6d16d9e7058064ca9825e248fcf8de08d", "0dd816b6d16d9e7058064ca9825e248fcf8de08d")</f>
        <v>0</v>
      </c>
      <c r="C36328">
        <f>HYPERLINK("https://android.googlesource.com/platform/cts/+/5ba29323c280ec242a44182a171741093fdf9daf", "5ba29323c280ec242a44182a171741093fdf9daf")</f>
        <v>0</v>
      </c>
      <c r="D36328" t="s">
        <v>5304</v>
      </c>
      <c r="E36328" t="s">
        <v>9087</v>
      </c>
      <c r="F36328" t="s">
        <v>13816</v>
      </c>
      <c r="G36328" t="s">
        <v>15089</v>
      </c>
      <c r="H36328" t="s">
        <v>34449</v>
      </c>
    </row>
    <row r="36329" spans="1:8">
      <c r="A36329" t="s">
        <v>3384</v>
      </c>
      <c r="B36329">
        <f>HYPERLINK("https://android.googlesource.com/platform/cts/+/59f947b6adfa108fd8a0922f0b01b31639992554", "59f947b6adfa108fd8a0922f0b01b31639992554")</f>
        <v>0</v>
      </c>
      <c r="C36329">
        <f>HYPERLINK("https://android.googlesource.com/platform/cts/+/9d9baf36e20e81515f01a62ff3e2977ed8671e6b", "9d9baf36e20e81515f01a62ff3e2977ed8671e6b")</f>
        <v>0</v>
      </c>
      <c r="D36329" t="s">
        <v>5452</v>
      </c>
      <c r="E36329" t="s">
        <v>9090</v>
      </c>
      <c r="F36329" t="s">
        <v>13171</v>
      </c>
      <c r="G36329" t="s">
        <v>16410</v>
      </c>
      <c r="H36329" t="s">
        <v>34450</v>
      </c>
    </row>
    <row r="36330" spans="1:8">
      <c r="A36330" t="s">
        <v>3385</v>
      </c>
      <c r="B36330">
        <f>HYPERLINK("https://android.googlesource.com/platform/cts/+/04b5f2ffd32f946e99f1c217f294c19647d54211", "04b5f2ffd32f946e99f1c217f294c19647d54211")</f>
        <v>0</v>
      </c>
      <c r="C36330">
        <f>HYPERLINK("https://android.googlesource.com/platform/cts/+/ad007c78c81b502c107ffa2569d907a8e29099b5", "ad007c78c81b502c107ffa2569d907a8e29099b5")</f>
        <v>0</v>
      </c>
      <c r="D36330" t="s">
        <v>5511</v>
      </c>
      <c r="E36330" t="s">
        <v>9091</v>
      </c>
      <c r="F36330" t="s">
        <v>14164</v>
      </c>
      <c r="G36330" t="s">
        <v>18147</v>
      </c>
      <c r="H36330" t="s">
        <v>33709</v>
      </c>
    </row>
    <row r="36331" spans="1:8">
      <c r="A36331" t="s">
        <v>3386</v>
      </c>
      <c r="B36331">
        <f>HYPERLINK("https://android.googlesource.com/platform/cts/+/3aca264e3ce49c6bb46bd371eb37b5aeec058938", "3aca264e3ce49c6bb46bd371eb37b5aeec058938")</f>
        <v>0</v>
      </c>
      <c r="C36331">
        <f>HYPERLINK("https://android.googlesource.com/platform/cts/+/9928da26c2ac82a69a4b707ff20d110ce37a4bf6", "9928da26c2ac82a69a4b707ff20d110ce37a4bf6")</f>
        <v>0</v>
      </c>
      <c r="D36331" t="s">
        <v>5511</v>
      </c>
      <c r="E36331" t="s">
        <v>9092</v>
      </c>
      <c r="F36331" t="s">
        <v>14257</v>
      </c>
      <c r="G36331" t="s">
        <v>18222</v>
      </c>
      <c r="H36331" t="s">
        <v>34451</v>
      </c>
    </row>
    <row r="36332" spans="1:8">
      <c r="F36332" t="s">
        <v>14258</v>
      </c>
      <c r="G36332" t="s">
        <v>18223</v>
      </c>
      <c r="H36332" t="s">
        <v>18829</v>
      </c>
    </row>
    <row r="36333" spans="1:8">
      <c r="H36333" t="s">
        <v>18863</v>
      </c>
    </row>
    <row r="36334" spans="1:8">
      <c r="H36334" t="s">
        <v>33708</v>
      </c>
    </row>
    <row r="36335" spans="1:8">
      <c r="H36335" t="s">
        <v>33709</v>
      </c>
    </row>
    <row r="36336" spans="1:8">
      <c r="F36336" t="s">
        <v>14259</v>
      </c>
      <c r="G36336" t="s">
        <v>18224</v>
      </c>
      <c r="H36336" t="s">
        <v>18829</v>
      </c>
    </row>
    <row r="36337" spans="1:8">
      <c r="H36337" t="s">
        <v>18863</v>
      </c>
    </row>
    <row r="36338" spans="1:8">
      <c r="H36338" t="s">
        <v>33708</v>
      </c>
    </row>
    <row r="36339" spans="1:8">
      <c r="H36339" t="s">
        <v>33709</v>
      </c>
    </row>
    <row r="36340" spans="1:8">
      <c r="F36340" t="s">
        <v>14164</v>
      </c>
      <c r="G36340" t="s">
        <v>18225</v>
      </c>
      <c r="H36340" t="s">
        <v>18829</v>
      </c>
    </row>
    <row r="36341" spans="1:8">
      <c r="H36341" t="s">
        <v>18863</v>
      </c>
    </row>
    <row r="36342" spans="1:8">
      <c r="H36342" t="s">
        <v>34452</v>
      </c>
    </row>
    <row r="36343" spans="1:8">
      <c r="H36343" t="s">
        <v>33787</v>
      </c>
    </row>
    <row r="36344" spans="1:8">
      <c r="H36344" t="s">
        <v>34453</v>
      </c>
    </row>
    <row r="36345" spans="1:8">
      <c r="H36345" t="s">
        <v>34454</v>
      </c>
    </row>
    <row r="36346" spans="1:8">
      <c r="A36346" t="s">
        <v>3387</v>
      </c>
      <c r="B36346">
        <f>HYPERLINK("https://android.googlesource.com/platform/cts/+/4f4511d942c610905dbdc873d8ea145ae7ff603b", "4f4511d942c610905dbdc873d8ea145ae7ff603b")</f>
        <v>0</v>
      </c>
      <c r="C36346">
        <f>HYPERLINK("https://android.googlesource.com/platform/cts/+/9d9baf36e20e81515f01a62ff3e2977ed8671e6b", "9d9baf36e20e81515f01a62ff3e2977ed8671e6b")</f>
        <v>0</v>
      </c>
      <c r="D36346" t="s">
        <v>5427</v>
      </c>
      <c r="E36346" t="s">
        <v>9093</v>
      </c>
      <c r="F36346" t="s">
        <v>12846</v>
      </c>
      <c r="G36346" t="s">
        <v>17017</v>
      </c>
      <c r="H36346" t="s">
        <v>34455</v>
      </c>
    </row>
    <row r="36347" spans="1:8">
      <c r="H36347" t="s">
        <v>34456</v>
      </c>
    </row>
    <row r="36348" spans="1:8">
      <c r="A36348" t="s">
        <v>3391</v>
      </c>
      <c r="B36348">
        <f>HYPERLINK("https://android.googlesource.com/platform/cts/+/fe4b36631513b0b7cb58fa1b5d5a8541878a75b1", "fe4b36631513b0b7cb58fa1b5d5a8541878a75b1")</f>
        <v>0</v>
      </c>
      <c r="C36348">
        <f>HYPERLINK("https://android.googlesource.com/platform/cts/+/a8388ccee7315f14e1d02ea3b4d540234fd94a31", "a8388ccee7315f14e1d02ea3b4d540234fd94a31")</f>
        <v>0</v>
      </c>
      <c r="D36348" t="s">
        <v>5563</v>
      </c>
      <c r="E36348" t="s">
        <v>9095</v>
      </c>
      <c r="F36348" t="s">
        <v>14260</v>
      </c>
      <c r="G36348" t="s">
        <v>18227</v>
      </c>
      <c r="H36348" t="s">
        <v>34457</v>
      </c>
    </row>
    <row r="36349" spans="1:8">
      <c r="A36349" t="s">
        <v>3392</v>
      </c>
      <c r="B36349">
        <f>HYPERLINK("https://android.googlesource.com/platform/cts/+/5d9710d5b72136b2face76b578ac120ad6ed931e", "5d9710d5b72136b2face76b578ac120ad6ed931e")</f>
        <v>0</v>
      </c>
      <c r="C36349">
        <f>HYPERLINK("https://android.googlesource.com/platform/cts/+/5600812cbeddd7ac16ba72c6322f4f30a8d66739", "5600812cbeddd7ac16ba72c6322f4f30a8d66739")</f>
        <v>0</v>
      </c>
      <c r="D36349" t="s">
        <v>5153</v>
      </c>
      <c r="E36349" t="s">
        <v>9096</v>
      </c>
      <c r="F36349" t="s">
        <v>14261</v>
      </c>
      <c r="G36349" t="s">
        <v>18228</v>
      </c>
      <c r="H36349" t="s">
        <v>32639</v>
      </c>
    </row>
    <row r="36350" spans="1:8">
      <c r="H36350" t="s">
        <v>34458</v>
      </c>
    </row>
    <row r="36351" spans="1:8">
      <c r="H36351" t="s">
        <v>34459</v>
      </c>
    </row>
    <row r="36352" spans="1:8">
      <c r="H36352" t="s">
        <v>34460</v>
      </c>
    </row>
    <row r="36353" spans="1:8">
      <c r="H36353" t="s">
        <v>34461</v>
      </c>
    </row>
    <row r="36354" spans="1:8">
      <c r="H36354" t="s">
        <v>34462</v>
      </c>
    </row>
    <row r="36355" spans="1:8">
      <c r="H36355" t="s">
        <v>34463</v>
      </c>
    </row>
    <row r="36356" spans="1:8">
      <c r="H36356" t="s">
        <v>34464</v>
      </c>
    </row>
    <row r="36357" spans="1:8">
      <c r="H36357" t="s">
        <v>34465</v>
      </c>
    </row>
    <row r="36358" spans="1:8">
      <c r="H36358" t="s">
        <v>34465</v>
      </c>
    </row>
    <row r="36359" spans="1:8">
      <c r="H36359" t="s">
        <v>34465</v>
      </c>
    </row>
    <row r="36360" spans="1:8">
      <c r="H36360" t="s">
        <v>34466</v>
      </c>
    </row>
    <row r="36361" spans="1:8">
      <c r="H36361" t="s">
        <v>34467</v>
      </c>
    </row>
    <row r="36362" spans="1:8">
      <c r="H36362" t="s">
        <v>34468</v>
      </c>
    </row>
    <row r="36363" spans="1:8">
      <c r="H36363" t="s">
        <v>34469</v>
      </c>
    </row>
    <row r="36364" spans="1:8">
      <c r="H36364" t="s">
        <v>19791</v>
      </c>
    </row>
    <row r="36365" spans="1:8">
      <c r="H36365" t="s">
        <v>34470</v>
      </c>
    </row>
    <row r="36366" spans="1:8">
      <c r="H36366" t="s">
        <v>34471</v>
      </c>
    </row>
    <row r="36367" spans="1:8">
      <c r="A36367" t="s">
        <v>3394</v>
      </c>
      <c r="B36367">
        <f>HYPERLINK("https://android.googlesource.com/platform/cts/+/ffc5993e18818edd1c8763c5f4bcf9c35508bb1e", "ffc5993e18818edd1c8763c5f4bcf9c35508bb1e")</f>
        <v>0</v>
      </c>
      <c r="C36367">
        <f>HYPERLINK("https://android.googlesource.com/platform/cts/+/89d35014d6dfa205544c480be1bd1da14ea0ee5c", "89d35014d6dfa205544c480be1bd1da14ea0ee5c")</f>
        <v>0</v>
      </c>
      <c r="D36367" t="s">
        <v>5438</v>
      </c>
      <c r="E36367" t="s">
        <v>9098</v>
      </c>
      <c r="F36367" t="s">
        <v>13428</v>
      </c>
      <c r="G36367" t="s">
        <v>17552</v>
      </c>
      <c r="H36367" t="s">
        <v>34472</v>
      </c>
    </row>
    <row r="36368" spans="1:8">
      <c r="A36368" t="s">
        <v>3395</v>
      </c>
      <c r="B36368">
        <f>HYPERLINK("https://android.googlesource.com/platform/cts/+/9e0978104b4068eaae059f743271a60d98ec8531", "9e0978104b4068eaae059f743271a60d98ec8531")</f>
        <v>0</v>
      </c>
      <c r="C36368">
        <f>HYPERLINK("https://android.googlesource.com/platform/cts/+/73bad6b1d1ce23bc811cccd04845db00d4d36d8c", "73bad6b1d1ce23bc811cccd04845db00d4d36d8c")</f>
        <v>0</v>
      </c>
      <c r="D36368" t="s">
        <v>5565</v>
      </c>
      <c r="E36368" t="s">
        <v>9099</v>
      </c>
      <c r="F36368" t="s">
        <v>13888</v>
      </c>
      <c r="G36368" t="s">
        <v>15054</v>
      </c>
      <c r="H36368" t="s">
        <v>34473</v>
      </c>
    </row>
    <row r="36369" spans="1:8">
      <c r="H36369" t="s">
        <v>34474</v>
      </c>
    </row>
    <row r="36370" spans="1:8">
      <c r="A36370" t="s">
        <v>3396</v>
      </c>
      <c r="B36370">
        <f>HYPERLINK("https://android.googlesource.com/platform/cts/+/93df1739893c4975e8b4ce1a67b9fab0cc34a505", "93df1739893c4975e8b4ce1a67b9fab0cc34a505")</f>
        <v>0</v>
      </c>
      <c r="C36370">
        <f>HYPERLINK("https://android.googlesource.com/platform/cts/+/1162accbb644c9acb3e127ba770a850e0675f0d5", "1162accbb644c9acb3e127ba770a850e0675f0d5")</f>
        <v>0</v>
      </c>
      <c r="D36370" t="s">
        <v>5012</v>
      </c>
      <c r="E36370" t="s">
        <v>9100</v>
      </c>
      <c r="F36370" t="s">
        <v>14262</v>
      </c>
      <c r="G36370" t="s">
        <v>18229</v>
      </c>
      <c r="H36370" t="s">
        <v>34475</v>
      </c>
    </row>
    <row r="36371" spans="1:8">
      <c r="H36371" t="s">
        <v>34476</v>
      </c>
    </row>
    <row r="36372" spans="1:8">
      <c r="A36372" t="s">
        <v>3398</v>
      </c>
      <c r="B36372">
        <f>HYPERLINK("https://android.googlesource.com/platform/cts/+/bd5fb8176a38d325f17dd93fe60f5c229b61a95d", "bd5fb8176a38d325f17dd93fe60f5c229b61a95d")</f>
        <v>0</v>
      </c>
      <c r="C36372">
        <f>HYPERLINK("https://android.googlesource.com/platform/cts/+/c437c54cc83ef5bf4ff1d7f354e2d32d7e2cc36f", "c437c54cc83ef5bf4ff1d7f354e2d32d7e2cc36f")</f>
        <v>0</v>
      </c>
      <c r="D36372" t="s">
        <v>5134</v>
      </c>
      <c r="E36372" t="s">
        <v>9102</v>
      </c>
      <c r="F36372" t="s">
        <v>14263</v>
      </c>
      <c r="G36372" t="s">
        <v>18230</v>
      </c>
      <c r="H36372" t="s">
        <v>18829</v>
      </c>
    </row>
    <row r="36373" spans="1:8">
      <c r="F36373" t="s">
        <v>14264</v>
      </c>
      <c r="G36373" t="s">
        <v>18231</v>
      </c>
      <c r="H36373" t="s">
        <v>19982</v>
      </c>
    </row>
    <row r="36374" spans="1:8">
      <c r="A36374" t="s">
        <v>3399</v>
      </c>
      <c r="B36374">
        <f>HYPERLINK("https://android.googlesource.com/platform/cts/+/fa57fadec7d0297ff967c22022de6dbc1d7c6d2b", "fa57fadec7d0297ff967c22022de6dbc1d7c6d2b")</f>
        <v>0</v>
      </c>
      <c r="C36374">
        <f>HYPERLINK("https://android.googlesource.com/platform/cts/+/4847ab67dba08f9d99bf4f86ea3eee99f3a31a1b", "4847ab67dba08f9d99bf4f86ea3eee99f3a31a1b")</f>
        <v>0</v>
      </c>
      <c r="D36374" t="s">
        <v>5409</v>
      </c>
      <c r="E36374" t="s">
        <v>9103</v>
      </c>
      <c r="F36374" t="s">
        <v>14265</v>
      </c>
      <c r="G36374" t="s">
        <v>18232</v>
      </c>
      <c r="H36374" t="s">
        <v>34477</v>
      </c>
    </row>
    <row r="36375" spans="1:8">
      <c r="H36375" t="s">
        <v>34478</v>
      </c>
    </row>
    <row r="36376" spans="1:8">
      <c r="A36376" t="s">
        <v>3400</v>
      </c>
      <c r="B36376">
        <f>HYPERLINK("https://android.googlesource.com/platform/cts/+/474ff831362ed2a758aebb044b87488489263b7c", "474ff831362ed2a758aebb044b87488489263b7c")</f>
        <v>0</v>
      </c>
      <c r="C36376">
        <f>HYPERLINK("https://android.googlesource.com/platform/cts/+/2bbbb818495f862d7cab22499294cdeb718f9a90", "2bbbb818495f862d7cab22499294cdeb718f9a90")</f>
        <v>0</v>
      </c>
      <c r="D36376" t="s">
        <v>5409</v>
      </c>
      <c r="E36376" t="s">
        <v>9104</v>
      </c>
      <c r="F36376" t="s">
        <v>14265</v>
      </c>
      <c r="G36376" t="s">
        <v>18232</v>
      </c>
      <c r="H36376" t="s">
        <v>34479</v>
      </c>
    </row>
    <row r="36377" spans="1:8">
      <c r="H36377" t="s">
        <v>34480</v>
      </c>
    </row>
    <row r="36378" spans="1:8">
      <c r="A36378" t="s">
        <v>3401</v>
      </c>
      <c r="B36378">
        <f>HYPERLINK("https://android.googlesource.com/platform/cts/+/afc6dbbd4d57bdc3092e786840a6076e695c1b40", "afc6dbbd4d57bdc3092e786840a6076e695c1b40")</f>
        <v>0</v>
      </c>
      <c r="C36378">
        <f>HYPERLINK("https://android.googlesource.com/platform/cts/+/8b062de7404af9af3d8d36a99c76dcbc213d8424", "8b062de7404af9af3d8d36a99c76dcbc213d8424")</f>
        <v>0</v>
      </c>
      <c r="D36378" t="s">
        <v>5182</v>
      </c>
      <c r="E36378" t="s">
        <v>9105</v>
      </c>
      <c r="F36378" t="s">
        <v>12820</v>
      </c>
      <c r="G36378" t="s">
        <v>16999</v>
      </c>
      <c r="H36378" t="s">
        <v>34481</v>
      </c>
    </row>
    <row r="36379" spans="1:8">
      <c r="A36379" t="s">
        <v>3402</v>
      </c>
      <c r="B36379">
        <f>HYPERLINK("https://android.googlesource.com/platform/cts/+/ef10ef25df679e0689bacf94e63820ddb70dd6a2", "ef10ef25df679e0689bacf94e63820ddb70dd6a2")</f>
        <v>0</v>
      </c>
      <c r="C36379">
        <f>HYPERLINK("https://android.googlesource.com/platform/cts/+/6bcfb542223ca5895b38a391d6dc70fc7b226e7e", "6bcfb542223ca5895b38a391d6dc70fc7b226e7e")</f>
        <v>0</v>
      </c>
      <c r="D36379" t="s">
        <v>5566</v>
      </c>
      <c r="E36379" t="s">
        <v>9106</v>
      </c>
      <c r="F36379" t="s">
        <v>13391</v>
      </c>
      <c r="G36379" t="s">
        <v>17517</v>
      </c>
      <c r="H36379" t="s">
        <v>34482</v>
      </c>
    </row>
    <row r="36380" spans="1:8">
      <c r="A36380" t="s">
        <v>3403</v>
      </c>
      <c r="B36380">
        <f>HYPERLINK("https://android.googlesource.com/platform/cts/+/a13c0b1772833350892ba94c12be832168514ea1", "a13c0b1772833350892ba94c12be832168514ea1")</f>
        <v>0</v>
      </c>
      <c r="C36380">
        <f>HYPERLINK("https://android.googlesource.com/platform/cts/+/58f1a042e14b93e6bedc0e796b5b181c6457643c", "58f1a042e14b93e6bedc0e796b5b181c6457643c")</f>
        <v>0</v>
      </c>
      <c r="D36380" t="s">
        <v>5476</v>
      </c>
      <c r="E36380" t="s">
        <v>9107</v>
      </c>
      <c r="F36380" t="s">
        <v>14076</v>
      </c>
      <c r="G36380" t="s">
        <v>18074</v>
      </c>
      <c r="H36380" t="s">
        <v>18863</v>
      </c>
    </row>
    <row r="36381" spans="1:8">
      <c r="H36381" t="s">
        <v>34483</v>
      </c>
    </row>
    <row r="36382" spans="1:8">
      <c r="A36382" t="s">
        <v>3404</v>
      </c>
      <c r="B36382">
        <f>HYPERLINK("https://android.googlesource.com/platform/cts/+/edf79a939516ccc6274f2ad69108a1ca9dcac07c", "edf79a939516ccc6274f2ad69108a1ca9dcac07c")</f>
        <v>0</v>
      </c>
      <c r="C36382">
        <f>HYPERLINK("https://android.googlesource.com/platform/cts/+/52ea97202c07e53e6168435350bef9bc5d607cf0", "52ea97202c07e53e6168435350bef9bc5d607cf0")</f>
        <v>0</v>
      </c>
      <c r="D36382" t="s">
        <v>5501</v>
      </c>
      <c r="E36382" t="s">
        <v>9108</v>
      </c>
      <c r="F36382" t="s">
        <v>14230</v>
      </c>
      <c r="G36382" t="s">
        <v>18202</v>
      </c>
      <c r="H36382" t="s">
        <v>34484</v>
      </c>
    </row>
    <row r="36383" spans="1:8">
      <c r="H36383" t="s">
        <v>34485</v>
      </c>
    </row>
    <row r="36384" spans="1:8">
      <c r="H36384" t="s">
        <v>34486</v>
      </c>
    </row>
    <row r="36385" spans="1:8">
      <c r="H36385" t="s">
        <v>34487</v>
      </c>
    </row>
    <row r="36386" spans="1:8">
      <c r="H36386" t="s">
        <v>34488</v>
      </c>
    </row>
    <row r="36387" spans="1:8">
      <c r="H36387" t="s">
        <v>34489</v>
      </c>
    </row>
    <row r="36388" spans="1:8">
      <c r="H36388" t="s">
        <v>34490</v>
      </c>
    </row>
    <row r="36389" spans="1:8">
      <c r="H36389" t="s">
        <v>34149</v>
      </c>
    </row>
    <row r="36390" spans="1:8">
      <c r="H36390" t="s">
        <v>34150</v>
      </c>
    </row>
    <row r="36391" spans="1:8">
      <c r="H36391" t="s">
        <v>34151</v>
      </c>
    </row>
    <row r="36392" spans="1:8">
      <c r="H36392" t="s">
        <v>34154</v>
      </c>
    </row>
    <row r="36393" spans="1:8">
      <c r="H36393" t="s">
        <v>34155</v>
      </c>
    </row>
    <row r="36394" spans="1:8">
      <c r="H36394" t="s">
        <v>34157</v>
      </c>
    </row>
    <row r="36395" spans="1:8">
      <c r="H36395" t="s">
        <v>34491</v>
      </c>
    </row>
    <row r="36396" spans="1:8">
      <c r="H36396" t="s">
        <v>34492</v>
      </c>
    </row>
    <row r="36397" spans="1:8">
      <c r="H36397" t="s">
        <v>34493</v>
      </c>
    </row>
    <row r="36398" spans="1:8">
      <c r="H36398" t="s">
        <v>34494</v>
      </c>
    </row>
    <row r="36399" spans="1:8">
      <c r="H36399" t="s">
        <v>34495</v>
      </c>
    </row>
    <row r="36400" spans="1:8">
      <c r="A36400" t="s">
        <v>3405</v>
      </c>
      <c r="B36400">
        <f>HYPERLINK("https://android.googlesource.com/platform/cts/+/ac1adbab4cae41154683a0f4d2211c630f142cf8", "ac1adbab4cae41154683a0f4d2211c630f142cf8")</f>
        <v>0</v>
      </c>
      <c r="C36400">
        <f>HYPERLINK("https://android.googlesource.com/platform/cts/+/9e465ae301aa6fdc0022c197e25b2ee40717e656", "9e465ae301aa6fdc0022c197e25b2ee40717e656")</f>
        <v>0</v>
      </c>
      <c r="D36400" t="s">
        <v>5134</v>
      </c>
      <c r="E36400" t="s">
        <v>9109</v>
      </c>
      <c r="F36400" t="s">
        <v>13463</v>
      </c>
      <c r="G36400" t="s">
        <v>17582</v>
      </c>
      <c r="H36400" t="s">
        <v>22587</v>
      </c>
    </row>
    <row r="36401" spans="1:8">
      <c r="H36401" t="s">
        <v>34496</v>
      </c>
    </row>
    <row r="36402" spans="1:8">
      <c r="H36402" t="s">
        <v>31593</v>
      </c>
    </row>
    <row r="36403" spans="1:8">
      <c r="F36403" t="s">
        <v>13932</v>
      </c>
      <c r="G36403" t="s">
        <v>17966</v>
      </c>
      <c r="H36403" t="s">
        <v>34497</v>
      </c>
    </row>
    <row r="36404" spans="1:8">
      <c r="A36404" t="s">
        <v>3406</v>
      </c>
      <c r="B36404">
        <f>HYPERLINK("https://android.googlesource.com/platform/cts/+/927ad37e0ac7d0a863d14f5beba3eb9a5b1d4db0", "927ad37e0ac7d0a863d14f5beba3eb9a5b1d4db0")</f>
        <v>0</v>
      </c>
      <c r="C36404">
        <f>HYPERLINK("https://android.googlesource.com/platform/cts/+/c9f205644f21db10904502c1c4117f6409f2a9c1", "c9f205644f21db10904502c1c4117f6409f2a9c1")</f>
        <v>0</v>
      </c>
      <c r="D36404" t="s">
        <v>5416</v>
      </c>
      <c r="E36404" t="s">
        <v>9110</v>
      </c>
      <c r="F36404" t="s">
        <v>13367</v>
      </c>
      <c r="G36404" t="s">
        <v>17493</v>
      </c>
      <c r="H36404" t="s">
        <v>19933</v>
      </c>
    </row>
    <row r="36405" spans="1:8">
      <c r="F36405" t="s">
        <v>13368</v>
      </c>
      <c r="G36405" t="s">
        <v>17494</v>
      </c>
      <c r="H36405" t="s">
        <v>19933</v>
      </c>
    </row>
    <row r="36406" spans="1:8">
      <c r="A36406" t="s">
        <v>3407</v>
      </c>
      <c r="B36406">
        <f>HYPERLINK("https://android.googlesource.com/platform/cts/+/83489ce9cdb2733949f135e323920890803130e3", "83489ce9cdb2733949f135e323920890803130e3")</f>
        <v>0</v>
      </c>
      <c r="C36406">
        <f>HYPERLINK("https://android.googlesource.com/platform/cts/+/068976f51a44a198dfb3ed67400d4f3fdd9a133a", "068976f51a44a198dfb3ed67400d4f3fdd9a133a")</f>
        <v>0</v>
      </c>
      <c r="D36406" t="s">
        <v>5268</v>
      </c>
      <c r="E36406" t="s">
        <v>9111</v>
      </c>
      <c r="F36406" t="s">
        <v>12398</v>
      </c>
      <c r="G36406" t="s">
        <v>16621</v>
      </c>
      <c r="H36406" t="s">
        <v>34498</v>
      </c>
    </row>
    <row r="36407" spans="1:8">
      <c r="A36407" t="s">
        <v>3408</v>
      </c>
      <c r="B36407">
        <f>HYPERLINK("https://android.googlesource.com/platform/cts/+/0ee356e8b2116932e9b4c2662e84e7ea388d1d2b", "0ee356e8b2116932e9b4c2662e84e7ea388d1d2b")</f>
        <v>0</v>
      </c>
      <c r="C36407">
        <f>HYPERLINK("https://android.googlesource.com/platform/cts/+/60f40c6bffc696ee28769b49caec7aaf76e13490", "60f40c6bffc696ee28769b49caec7aaf76e13490")</f>
        <v>0</v>
      </c>
      <c r="D36407" t="s">
        <v>5541</v>
      </c>
      <c r="E36407" t="s">
        <v>9112</v>
      </c>
      <c r="F36407" t="s">
        <v>13335</v>
      </c>
      <c r="G36407" t="s">
        <v>17465</v>
      </c>
      <c r="H36407" t="s">
        <v>34499</v>
      </c>
    </row>
    <row r="36408" spans="1:8">
      <c r="H36408" t="s">
        <v>34367</v>
      </c>
    </row>
    <row r="36409" spans="1:8">
      <c r="H36409" t="s">
        <v>34500</v>
      </c>
    </row>
    <row r="36410" spans="1:8">
      <c r="A36410" t="s">
        <v>3409</v>
      </c>
      <c r="B36410">
        <f>HYPERLINK("https://android.googlesource.com/platform/cts/+/72ca5ac7742ce1cd4c8441f321881fb1cf1c8e8b", "72ca5ac7742ce1cd4c8441f321881fb1cf1c8e8b")</f>
        <v>0</v>
      </c>
      <c r="C36410">
        <f>HYPERLINK("https://android.googlesource.com/platform/cts/+/6c88403737d3c34e4e5a1a8d1eeeefeadedb1b8f", "6c88403737d3c34e4e5a1a8d1eeeefeadedb1b8f")</f>
        <v>0</v>
      </c>
      <c r="D36410" t="s">
        <v>5474</v>
      </c>
      <c r="E36410" t="s">
        <v>9113</v>
      </c>
      <c r="F36410" t="s">
        <v>13333</v>
      </c>
      <c r="G36410" t="s">
        <v>17463</v>
      </c>
      <c r="H36410" t="s">
        <v>34501</v>
      </c>
    </row>
    <row r="36411" spans="1:8">
      <c r="H36411" t="s">
        <v>34502</v>
      </c>
    </row>
    <row r="36412" spans="1:8">
      <c r="H36412" t="s">
        <v>34503</v>
      </c>
    </row>
    <row r="36413" spans="1:8">
      <c r="H36413" t="s">
        <v>34504</v>
      </c>
    </row>
    <row r="36414" spans="1:8">
      <c r="F36414" t="s">
        <v>13902</v>
      </c>
      <c r="G36414" t="s">
        <v>17939</v>
      </c>
      <c r="H36414" t="s">
        <v>34505</v>
      </c>
    </row>
    <row r="36415" spans="1:8">
      <c r="H36415" t="s">
        <v>34506</v>
      </c>
    </row>
    <row r="36416" spans="1:8">
      <c r="H36416" t="s">
        <v>34507</v>
      </c>
    </row>
    <row r="36417" spans="1:8">
      <c r="A36417" t="s">
        <v>3410</v>
      </c>
      <c r="B36417">
        <f>HYPERLINK("https://android.googlesource.com/platform/cts/+/909349ea0bc42496d948445178cb587a3325172b", "909349ea0bc42496d948445178cb587a3325172b")</f>
        <v>0</v>
      </c>
      <c r="C36417">
        <f>HYPERLINK("https://android.googlesource.com/platform/cts/+/ec5a8216d3b95cad660dfe5754c4e2845ad022af", "ec5a8216d3b95cad660dfe5754c4e2845ad022af")</f>
        <v>0</v>
      </c>
      <c r="D36417" t="s">
        <v>5567</v>
      </c>
      <c r="E36417" t="s">
        <v>9114</v>
      </c>
      <c r="F36417" t="s">
        <v>14266</v>
      </c>
      <c r="G36417" t="s">
        <v>18233</v>
      </c>
      <c r="H36417" t="s">
        <v>34508</v>
      </c>
    </row>
    <row r="36418" spans="1:8">
      <c r="H36418" t="s">
        <v>34509</v>
      </c>
    </row>
    <row r="36419" spans="1:8">
      <c r="H36419" t="s">
        <v>34510</v>
      </c>
    </row>
    <row r="36420" spans="1:8">
      <c r="H36420" t="s">
        <v>34511</v>
      </c>
    </row>
    <row r="36421" spans="1:8">
      <c r="H36421" t="s">
        <v>34512</v>
      </c>
    </row>
    <row r="36422" spans="1:8">
      <c r="H36422" t="s">
        <v>34513</v>
      </c>
    </row>
    <row r="36423" spans="1:8">
      <c r="H36423" t="s">
        <v>34514</v>
      </c>
    </row>
    <row r="36424" spans="1:8">
      <c r="H36424" t="s">
        <v>18863</v>
      </c>
    </row>
    <row r="36425" spans="1:8">
      <c r="H36425" t="s">
        <v>34515</v>
      </c>
    </row>
    <row r="36426" spans="1:8">
      <c r="H36426" t="s">
        <v>34516</v>
      </c>
    </row>
    <row r="36427" spans="1:8">
      <c r="H36427" t="s">
        <v>34517</v>
      </c>
    </row>
    <row r="36428" spans="1:8">
      <c r="H36428" t="s">
        <v>34518</v>
      </c>
    </row>
    <row r="36429" spans="1:8">
      <c r="H36429" t="s">
        <v>34519</v>
      </c>
    </row>
    <row r="36430" spans="1:8">
      <c r="H36430" t="s">
        <v>34520</v>
      </c>
    </row>
    <row r="36431" spans="1:8">
      <c r="H36431" t="s">
        <v>34521</v>
      </c>
    </row>
    <row r="36432" spans="1:8">
      <c r="A36432" t="s">
        <v>3411</v>
      </c>
      <c r="B36432">
        <f>HYPERLINK("https://android.googlesource.com/platform/cts/+/e4acae7f8f02de9839f1b0b3545b254396777c2e", "e4acae7f8f02de9839f1b0b3545b254396777c2e")</f>
        <v>0</v>
      </c>
      <c r="C36432">
        <f>HYPERLINK("https://android.googlesource.com/platform/cts/+/10b200e9311d8631023a082a113d62cd9ae520cb", "10b200e9311d8631023a082a113d62cd9ae520cb")</f>
        <v>0</v>
      </c>
      <c r="D36432" t="s">
        <v>5354</v>
      </c>
      <c r="E36432" t="s">
        <v>9115</v>
      </c>
      <c r="F36432" t="s">
        <v>14267</v>
      </c>
      <c r="G36432" t="s">
        <v>18234</v>
      </c>
      <c r="H36432" t="s">
        <v>34522</v>
      </c>
    </row>
    <row r="36433" spans="1:8">
      <c r="A36433" t="s">
        <v>3412</v>
      </c>
      <c r="B36433">
        <f>HYPERLINK("https://android.googlesource.com/platform/cts/+/ccfd370f7c345a1e0da5d6c71903c0be81b66046", "ccfd370f7c345a1e0da5d6c71903c0be81b66046")</f>
        <v>0</v>
      </c>
      <c r="C36433">
        <f>HYPERLINK("https://android.googlesource.com/platform/cts/+/70a201393b990a0eb3ad5a7387c7b3d3a4c0951a", "70a201393b990a0eb3ad5a7387c7b3d3a4c0951a")</f>
        <v>0</v>
      </c>
      <c r="D36433" t="s">
        <v>5141</v>
      </c>
      <c r="E36433" t="s">
        <v>9116</v>
      </c>
      <c r="F36433" t="s">
        <v>14268</v>
      </c>
      <c r="G36433" t="s">
        <v>18235</v>
      </c>
      <c r="H36433" t="s">
        <v>34523</v>
      </c>
    </row>
    <row r="36434" spans="1:8">
      <c r="A36434" t="s">
        <v>3415</v>
      </c>
      <c r="B36434">
        <f>HYPERLINK("https://android.googlesource.com/platform/cts/+/0742137add9da14e28ad7c1ae49cfc28d4d55e76", "0742137add9da14e28ad7c1ae49cfc28d4d55e76")</f>
        <v>0</v>
      </c>
      <c r="C36434">
        <f>HYPERLINK("https://android.googlesource.com/platform/cts/+/3a5a6e793dcc76ca847942d2870b3f12a33b3513", "3a5a6e793dcc76ca847942d2870b3f12a33b3513")</f>
        <v>0</v>
      </c>
      <c r="D36434" t="s">
        <v>5565</v>
      </c>
      <c r="E36434" t="s">
        <v>9117</v>
      </c>
      <c r="F36434" t="s">
        <v>13888</v>
      </c>
      <c r="G36434" t="s">
        <v>15054</v>
      </c>
      <c r="H36434" t="s">
        <v>34524</v>
      </c>
    </row>
    <row r="36435" spans="1:8">
      <c r="A36435" t="s">
        <v>3416</v>
      </c>
      <c r="B36435">
        <f>HYPERLINK("https://android.googlesource.com/platform/cts/+/5fcdfbaef2997c2ce581439c44352fbe8ddbc2b3", "5fcdfbaef2997c2ce581439c44352fbe8ddbc2b3")</f>
        <v>0</v>
      </c>
      <c r="C36435">
        <f>HYPERLINK("https://android.googlesource.com/platform/cts/+/92a7060dda9433a4ecc39181bd20d0f718eac7c1", "92a7060dda9433a4ecc39181bd20d0f718eac7c1")</f>
        <v>0</v>
      </c>
      <c r="D36435" t="s">
        <v>5568</v>
      </c>
      <c r="E36435" t="s">
        <v>9118</v>
      </c>
      <c r="F36435" t="s">
        <v>14269</v>
      </c>
      <c r="G36435" t="s">
        <v>18236</v>
      </c>
      <c r="H36435" t="s">
        <v>34249</v>
      </c>
    </row>
    <row r="36436" spans="1:8">
      <c r="H36436" t="s">
        <v>34250</v>
      </c>
    </row>
    <row r="36437" spans="1:8">
      <c r="H36437" t="s">
        <v>34525</v>
      </c>
    </row>
    <row r="36438" spans="1:8">
      <c r="H36438" t="s">
        <v>34526</v>
      </c>
    </row>
    <row r="36439" spans="1:8">
      <c r="H36439" t="s">
        <v>34527</v>
      </c>
    </row>
    <row r="36440" spans="1:8">
      <c r="H36440" t="s">
        <v>34528</v>
      </c>
    </row>
    <row r="36441" spans="1:8">
      <c r="H36441" t="s">
        <v>34529</v>
      </c>
    </row>
    <row r="36442" spans="1:8">
      <c r="H36442" t="s">
        <v>34530</v>
      </c>
    </row>
    <row r="36443" spans="1:8">
      <c r="H36443" t="s">
        <v>34531</v>
      </c>
    </row>
    <row r="36444" spans="1:8">
      <c r="H36444" t="s">
        <v>34532</v>
      </c>
    </row>
    <row r="36445" spans="1:8">
      <c r="H36445" t="s">
        <v>34533</v>
      </c>
    </row>
    <row r="36446" spans="1:8">
      <c r="H36446" t="s">
        <v>34534</v>
      </c>
    </row>
    <row r="36447" spans="1:8">
      <c r="H36447" t="s">
        <v>34535</v>
      </c>
    </row>
    <row r="36448" spans="1:8">
      <c r="H36448" t="s">
        <v>34536</v>
      </c>
    </row>
    <row r="36449" spans="8:8">
      <c r="H36449" t="s">
        <v>34537</v>
      </c>
    </row>
    <row r="36450" spans="8:8">
      <c r="H36450" t="s">
        <v>34538</v>
      </c>
    </row>
    <row r="36451" spans="8:8">
      <c r="H36451" t="s">
        <v>34539</v>
      </c>
    </row>
    <row r="36452" spans="8:8">
      <c r="H36452" t="s">
        <v>34540</v>
      </c>
    </row>
    <row r="36453" spans="8:8">
      <c r="H36453" t="s">
        <v>34541</v>
      </c>
    </row>
    <row r="36454" spans="8:8">
      <c r="H36454" t="s">
        <v>34542</v>
      </c>
    </row>
    <row r="36455" spans="8:8">
      <c r="H36455" t="s">
        <v>34543</v>
      </c>
    </row>
    <row r="36456" spans="8:8">
      <c r="H36456" t="s">
        <v>34544</v>
      </c>
    </row>
    <row r="36457" spans="8:8">
      <c r="H36457" t="s">
        <v>34545</v>
      </c>
    </row>
    <row r="36458" spans="8:8">
      <c r="H36458" t="s">
        <v>34546</v>
      </c>
    </row>
    <row r="36459" spans="8:8">
      <c r="H36459" t="s">
        <v>34547</v>
      </c>
    </row>
    <row r="36460" spans="8:8">
      <c r="H36460" t="s">
        <v>34548</v>
      </c>
    </row>
    <row r="36461" spans="8:8">
      <c r="H36461" t="s">
        <v>34549</v>
      </c>
    </row>
    <row r="36462" spans="8:8">
      <c r="H36462" t="s">
        <v>34550</v>
      </c>
    </row>
    <row r="36463" spans="8:8">
      <c r="H36463" t="s">
        <v>34551</v>
      </c>
    </row>
    <row r="36464" spans="8:8">
      <c r="H36464" t="s">
        <v>34552</v>
      </c>
    </row>
    <row r="36465" spans="8:8">
      <c r="H36465" t="s">
        <v>34553</v>
      </c>
    </row>
    <row r="36466" spans="8:8">
      <c r="H36466" t="s">
        <v>34554</v>
      </c>
    </row>
    <row r="36467" spans="8:8">
      <c r="H36467" t="s">
        <v>34555</v>
      </c>
    </row>
    <row r="36468" spans="8:8">
      <c r="H36468" t="s">
        <v>34556</v>
      </c>
    </row>
    <row r="36469" spans="8:8">
      <c r="H36469" t="s">
        <v>34557</v>
      </c>
    </row>
    <row r="36470" spans="8:8">
      <c r="H36470" t="s">
        <v>34558</v>
      </c>
    </row>
    <row r="36471" spans="8:8">
      <c r="H36471" t="s">
        <v>34559</v>
      </c>
    </row>
    <row r="36472" spans="8:8">
      <c r="H36472" t="s">
        <v>34560</v>
      </c>
    </row>
    <row r="36473" spans="8:8">
      <c r="H36473" t="s">
        <v>34561</v>
      </c>
    </row>
    <row r="36474" spans="8:8">
      <c r="H36474" t="s">
        <v>34562</v>
      </c>
    </row>
    <row r="36475" spans="8:8">
      <c r="H36475" t="s">
        <v>34563</v>
      </c>
    </row>
    <row r="36476" spans="8:8">
      <c r="H36476" t="s">
        <v>19019</v>
      </c>
    </row>
    <row r="36477" spans="8:8">
      <c r="H36477" t="s">
        <v>34564</v>
      </c>
    </row>
    <row r="36478" spans="8:8">
      <c r="H36478" t="s">
        <v>34565</v>
      </c>
    </row>
    <row r="36479" spans="8:8">
      <c r="H36479" t="s">
        <v>34566</v>
      </c>
    </row>
    <row r="36480" spans="8:8">
      <c r="H36480" t="s">
        <v>34567</v>
      </c>
    </row>
    <row r="36481" spans="1:8">
      <c r="H36481" t="s">
        <v>34568</v>
      </c>
    </row>
    <row r="36482" spans="1:8">
      <c r="H36482" t="s">
        <v>19019</v>
      </c>
    </row>
    <row r="36483" spans="1:8">
      <c r="H36483" t="s">
        <v>34569</v>
      </c>
    </row>
    <row r="36484" spans="1:8">
      <c r="H36484" t="s">
        <v>34570</v>
      </c>
    </row>
    <row r="36485" spans="1:8">
      <c r="H36485" t="s">
        <v>34571</v>
      </c>
    </row>
    <row r="36486" spans="1:8">
      <c r="H36486" t="s">
        <v>34572</v>
      </c>
    </row>
    <row r="36487" spans="1:8">
      <c r="H36487" t="s">
        <v>34573</v>
      </c>
    </row>
    <row r="36488" spans="1:8">
      <c r="H36488" t="s">
        <v>34573</v>
      </c>
    </row>
    <row r="36489" spans="1:8">
      <c r="H36489" t="s">
        <v>34574</v>
      </c>
    </row>
    <row r="36490" spans="1:8">
      <c r="H36490" t="s">
        <v>34575</v>
      </c>
    </row>
    <row r="36491" spans="1:8">
      <c r="A36491" t="s">
        <v>3417</v>
      </c>
      <c r="B36491">
        <f>HYPERLINK("https://android.googlesource.com/platform/cts/+/a8343bab5fc0a62d6577eb8ea9ac6fd914c116e6", "a8343bab5fc0a62d6577eb8ea9ac6fd914c116e6")</f>
        <v>0</v>
      </c>
      <c r="C36491">
        <f>HYPERLINK("https://android.googlesource.com/platform/cts/+/cdea5c6fc36c5ca29ab60d11dd882b77b1274375", "cdea5c6fc36c5ca29ab60d11dd882b77b1274375")</f>
        <v>0</v>
      </c>
      <c r="D36491" t="s">
        <v>5134</v>
      </c>
      <c r="E36491" t="s">
        <v>9119</v>
      </c>
      <c r="F36491" t="s">
        <v>14270</v>
      </c>
      <c r="G36491" t="s">
        <v>18237</v>
      </c>
      <c r="H36491" t="s">
        <v>19905</v>
      </c>
    </row>
    <row r="36492" spans="1:8">
      <c r="F36492" t="s">
        <v>14271</v>
      </c>
      <c r="G36492" t="s">
        <v>18238</v>
      </c>
      <c r="H36492" t="s">
        <v>19905</v>
      </c>
    </row>
    <row r="36493" spans="1:8">
      <c r="F36493" t="s">
        <v>14237</v>
      </c>
      <c r="G36493" t="s">
        <v>18207</v>
      </c>
      <c r="H36493" t="s">
        <v>19905</v>
      </c>
    </row>
    <row r="36494" spans="1:8">
      <c r="A36494" t="s">
        <v>3418</v>
      </c>
      <c r="B36494">
        <f>HYPERLINK("https://android.googlesource.com/platform/cts/+/8423e8642efe7c93051c91e5ac26ef6956c7f464", "8423e8642efe7c93051c91e5ac26ef6956c7f464")</f>
        <v>0</v>
      </c>
      <c r="C36494">
        <f>HYPERLINK("https://android.googlesource.com/platform/cts/+/52e2d1e190f7e82d267140a82c8ea11f32464ed3", "52e2d1e190f7e82d267140a82c8ea11f32464ed3")</f>
        <v>0</v>
      </c>
      <c r="D36494" t="s">
        <v>5134</v>
      </c>
      <c r="E36494" t="s">
        <v>9120</v>
      </c>
      <c r="F36494" t="s">
        <v>13349</v>
      </c>
      <c r="G36494" t="s">
        <v>17476</v>
      </c>
      <c r="H36494" t="s">
        <v>18863</v>
      </c>
    </row>
    <row r="36495" spans="1:8">
      <c r="A36495" t="s">
        <v>3422</v>
      </c>
      <c r="B36495">
        <f>HYPERLINK("https://android.googlesource.com/platform/cts/+/ce6e9c1a82a71499e5ecb237eed74eb57e0f0488", "ce6e9c1a82a71499e5ecb237eed74eb57e0f0488")</f>
        <v>0</v>
      </c>
      <c r="C36495">
        <f>HYPERLINK("https://android.googlesource.com/platform/cts/+/6339e0434e1d38e2440e00e476350075c0e8a564", "6339e0434e1d38e2440e00e476350075c0e8a564")</f>
        <v>0</v>
      </c>
      <c r="D36495" t="s">
        <v>5134</v>
      </c>
      <c r="E36495" t="s">
        <v>9123</v>
      </c>
      <c r="F36495" t="s">
        <v>14272</v>
      </c>
      <c r="G36495" t="s">
        <v>18239</v>
      </c>
      <c r="H36495" t="s">
        <v>34576</v>
      </c>
    </row>
    <row r="36496" spans="1:8">
      <c r="H36496" t="s">
        <v>34577</v>
      </c>
    </row>
    <row r="36497" spans="1:8">
      <c r="H36497" t="s">
        <v>34578</v>
      </c>
    </row>
    <row r="36498" spans="1:8">
      <c r="A36498" t="s">
        <v>3426</v>
      </c>
      <c r="B36498">
        <f>HYPERLINK("https://android.googlesource.com/platform/cts/+/717e99b3bfcd9dcef442858c6d512b2422ae69c3", "717e99b3bfcd9dcef442858c6d512b2422ae69c3")</f>
        <v>0</v>
      </c>
      <c r="C36498">
        <f>HYPERLINK("https://android.googlesource.com/platform/cts/+/3d2478407493aa479f4a73bd37931423c6f2efe7", "3d2478407493aa479f4a73bd37931423c6f2efe7")</f>
        <v>0</v>
      </c>
      <c r="D36498" t="s">
        <v>5134</v>
      </c>
      <c r="E36498" t="s">
        <v>9127</v>
      </c>
      <c r="F36498" t="s">
        <v>14264</v>
      </c>
      <c r="G36498" t="s">
        <v>18231</v>
      </c>
      <c r="H36498" t="s">
        <v>18829</v>
      </c>
    </row>
    <row r="36499" spans="1:8">
      <c r="A36499" t="s">
        <v>3428</v>
      </c>
      <c r="B36499">
        <f>HYPERLINK("https://android.googlesource.com/platform/cts/+/00f8b9703f3161dc02106bb580abc776c4cd93a3", "00f8b9703f3161dc02106bb580abc776c4cd93a3")</f>
        <v>0</v>
      </c>
      <c r="C36499">
        <f>HYPERLINK("https://android.googlesource.com/platform/cts/+/3379691627c48ed350db72ad31fe538b44267703", "3379691627c48ed350db72ad31fe538b44267703")</f>
        <v>0</v>
      </c>
      <c r="D36499" t="s">
        <v>5559</v>
      </c>
      <c r="E36499" t="s">
        <v>9129</v>
      </c>
      <c r="F36499" t="s">
        <v>13755</v>
      </c>
      <c r="G36499" t="s">
        <v>17815</v>
      </c>
      <c r="H36499" t="s">
        <v>34579</v>
      </c>
    </row>
    <row r="36500" spans="1:8">
      <c r="H36500" t="s">
        <v>34580</v>
      </c>
    </row>
    <row r="36501" spans="1:8">
      <c r="H36501" t="s">
        <v>34581</v>
      </c>
    </row>
    <row r="36502" spans="1:8">
      <c r="H36502" t="s">
        <v>34582</v>
      </c>
    </row>
    <row r="36503" spans="1:8">
      <c r="H36503" t="s">
        <v>34583</v>
      </c>
    </row>
    <row r="36504" spans="1:8">
      <c r="H36504" t="s">
        <v>34584</v>
      </c>
    </row>
    <row r="36505" spans="1:8">
      <c r="H36505" t="s">
        <v>34585</v>
      </c>
    </row>
    <row r="36506" spans="1:8">
      <c r="H36506" t="s">
        <v>34586</v>
      </c>
    </row>
    <row r="36507" spans="1:8">
      <c r="H36507" t="s">
        <v>34587</v>
      </c>
    </row>
    <row r="36508" spans="1:8">
      <c r="H36508" t="s">
        <v>34588</v>
      </c>
    </row>
    <row r="36509" spans="1:8">
      <c r="H36509" t="s">
        <v>34589</v>
      </c>
    </row>
    <row r="36510" spans="1:8">
      <c r="A36510" t="s">
        <v>3429</v>
      </c>
      <c r="B36510">
        <f>HYPERLINK("https://android.googlesource.com/platform/cts/+/f022b071b5d30361b8f77ab28ba49dafbc896e1e", "f022b071b5d30361b8f77ab28ba49dafbc896e1e")</f>
        <v>0</v>
      </c>
      <c r="C36510">
        <f>HYPERLINK("https://android.googlesource.com/platform/cts/+/0faa1f0840f155958ab31735d18a1a7d9d7f1cc2", "0faa1f0840f155958ab31735d18a1a7d9d7f1cc2")</f>
        <v>0</v>
      </c>
      <c r="D36510" t="s">
        <v>5546</v>
      </c>
      <c r="E36510" t="s">
        <v>9130</v>
      </c>
      <c r="F36510" t="s">
        <v>14237</v>
      </c>
      <c r="G36510" t="s">
        <v>18207</v>
      </c>
      <c r="H36510" t="s">
        <v>34590</v>
      </c>
    </row>
    <row r="36511" spans="1:8">
      <c r="H36511" t="s">
        <v>34591</v>
      </c>
    </row>
    <row r="36512" spans="1:8">
      <c r="H36512" t="s">
        <v>34592</v>
      </c>
    </row>
    <row r="36513" spans="8:8">
      <c r="H36513" t="s">
        <v>34593</v>
      </c>
    </row>
    <row r="36514" spans="8:8">
      <c r="H36514" t="s">
        <v>34594</v>
      </c>
    </row>
    <row r="36515" spans="8:8">
      <c r="H36515" t="s">
        <v>34595</v>
      </c>
    </row>
    <row r="36516" spans="8:8">
      <c r="H36516" t="s">
        <v>34596</v>
      </c>
    </row>
    <row r="36517" spans="8:8">
      <c r="H36517" t="s">
        <v>34597</v>
      </c>
    </row>
    <row r="36518" spans="8:8">
      <c r="H36518" t="s">
        <v>34598</v>
      </c>
    </row>
    <row r="36519" spans="8:8">
      <c r="H36519" t="s">
        <v>34599</v>
      </c>
    </row>
    <row r="36520" spans="8:8">
      <c r="H36520" t="s">
        <v>34600</v>
      </c>
    </row>
    <row r="36521" spans="8:8">
      <c r="H36521" t="s">
        <v>34601</v>
      </c>
    </row>
    <row r="36522" spans="8:8">
      <c r="H36522" t="s">
        <v>34602</v>
      </c>
    </row>
    <row r="36523" spans="8:8">
      <c r="H36523" t="s">
        <v>34603</v>
      </c>
    </row>
    <row r="36524" spans="8:8">
      <c r="H36524" t="s">
        <v>34604</v>
      </c>
    </row>
    <row r="36525" spans="8:8">
      <c r="H36525" t="s">
        <v>34605</v>
      </c>
    </row>
    <row r="36526" spans="8:8">
      <c r="H36526" t="s">
        <v>34606</v>
      </c>
    </row>
    <row r="36527" spans="8:8">
      <c r="H36527" t="s">
        <v>34607</v>
      </c>
    </row>
    <row r="36528" spans="8:8">
      <c r="H36528" t="s">
        <v>34608</v>
      </c>
    </row>
    <row r="36529" spans="1:8">
      <c r="H36529" t="s">
        <v>34609</v>
      </c>
    </row>
    <row r="36530" spans="1:8">
      <c r="H36530" t="s">
        <v>34610</v>
      </c>
    </row>
    <row r="36531" spans="1:8">
      <c r="H36531" t="s">
        <v>34611</v>
      </c>
    </row>
    <row r="36532" spans="1:8">
      <c r="H36532" t="s">
        <v>34612</v>
      </c>
    </row>
    <row r="36533" spans="1:8">
      <c r="H36533" t="s">
        <v>34613</v>
      </c>
    </row>
    <row r="36534" spans="1:8">
      <c r="H36534" t="s">
        <v>34614</v>
      </c>
    </row>
    <row r="36535" spans="1:8">
      <c r="H36535" t="s">
        <v>34615</v>
      </c>
    </row>
    <row r="36536" spans="1:8">
      <c r="H36536" t="s">
        <v>34616</v>
      </c>
    </row>
    <row r="36537" spans="1:8">
      <c r="H36537" t="s">
        <v>34617</v>
      </c>
    </row>
    <row r="36538" spans="1:8">
      <c r="A36538" t="s">
        <v>3430</v>
      </c>
      <c r="B36538">
        <f>HYPERLINK("https://android.googlesource.com/platform/cts/+/4ecd0fbe8004fdccf975c0ed904a3a19ae621058", "4ecd0fbe8004fdccf975c0ed904a3a19ae621058")</f>
        <v>0</v>
      </c>
      <c r="C36538">
        <f>HYPERLINK("https://android.googlesource.com/platform/cts/+/3d2478407493aa479f4a73bd37931423c6f2efe7", "3d2478407493aa479f4a73bd37931423c6f2efe7")</f>
        <v>0</v>
      </c>
      <c r="D36538" t="s">
        <v>5569</v>
      </c>
      <c r="E36538" t="s">
        <v>9131</v>
      </c>
      <c r="F36538" t="s">
        <v>14273</v>
      </c>
      <c r="G36538" t="s">
        <v>18240</v>
      </c>
      <c r="H36538" t="s">
        <v>34618</v>
      </c>
    </row>
    <row r="36539" spans="1:8">
      <c r="A36539" t="s">
        <v>3431</v>
      </c>
      <c r="B36539">
        <f>HYPERLINK("https://android.googlesource.com/platform/cts/+/409293999541c73d493a83cfaa722363492509cc", "409293999541c73d493a83cfaa722363492509cc")</f>
        <v>0</v>
      </c>
      <c r="C36539">
        <f>HYPERLINK("https://android.googlesource.com/platform/cts/+/89cee0f19cc92cc64c416f099704f3b6d1eda52a", "89cee0f19cc92cc64c416f099704f3b6d1eda52a")</f>
        <v>0</v>
      </c>
      <c r="D36539" t="s">
        <v>5416</v>
      </c>
      <c r="E36539" t="s">
        <v>9132</v>
      </c>
      <c r="F36539" t="s">
        <v>13367</v>
      </c>
      <c r="G36539" t="s">
        <v>17493</v>
      </c>
      <c r="H36539" t="s">
        <v>34619</v>
      </c>
    </row>
    <row r="36540" spans="1:8">
      <c r="H36540" t="s">
        <v>34620</v>
      </c>
    </row>
    <row r="36541" spans="1:8">
      <c r="F36541" t="s">
        <v>13368</v>
      </c>
      <c r="G36541" t="s">
        <v>17494</v>
      </c>
      <c r="H36541" t="s">
        <v>34621</v>
      </c>
    </row>
    <row r="36542" spans="1:8">
      <c r="A36542" t="s">
        <v>3433</v>
      </c>
      <c r="B36542">
        <f>HYPERLINK("https://android.googlesource.com/platform/cts/+/09b9ea21d5d4545ea8cef21d714bc301021b5468", "09b9ea21d5d4545ea8cef21d714bc301021b5468")</f>
        <v>0</v>
      </c>
      <c r="C36542">
        <f>HYPERLINK("https://android.googlesource.com/platform/cts/+/f0076aeb585aa97e9cf3503a5935ac1095e989fc", "f0076aeb585aa97e9cf3503a5935ac1095e989fc")</f>
        <v>0</v>
      </c>
      <c r="D36542" t="s">
        <v>5511</v>
      </c>
      <c r="E36542" t="s">
        <v>9133</v>
      </c>
      <c r="F36542" t="s">
        <v>14274</v>
      </c>
      <c r="G36542" t="s">
        <v>18241</v>
      </c>
      <c r="H36542" t="s">
        <v>33709</v>
      </c>
    </row>
    <row r="36543" spans="1:8">
      <c r="F36543" t="s">
        <v>14275</v>
      </c>
      <c r="G36543" t="s">
        <v>18242</v>
      </c>
      <c r="H36543" t="s">
        <v>33709</v>
      </c>
    </row>
    <row r="36544" spans="1:8">
      <c r="F36544" t="s">
        <v>14276</v>
      </c>
      <c r="G36544" t="s">
        <v>18226</v>
      </c>
      <c r="H36544" t="s">
        <v>33709</v>
      </c>
    </row>
    <row r="36545" spans="1:8">
      <c r="F36545" t="s">
        <v>14277</v>
      </c>
      <c r="G36545" t="s">
        <v>18224</v>
      </c>
      <c r="H36545" t="s">
        <v>33709</v>
      </c>
    </row>
    <row r="36546" spans="1:8">
      <c r="F36546" t="s">
        <v>14278</v>
      </c>
      <c r="G36546" t="s">
        <v>18225</v>
      </c>
      <c r="H36546" t="s">
        <v>33787</v>
      </c>
    </row>
    <row r="36547" spans="1:8">
      <c r="A36547" t="s">
        <v>3439</v>
      </c>
      <c r="B36547">
        <f>HYPERLINK("https://android.googlesource.com/platform/cts/+/79f37757f831d0e2d007e5f96ac90fd191296fd5", "79f37757f831d0e2d007e5f96ac90fd191296fd5")</f>
        <v>0</v>
      </c>
      <c r="C36547">
        <f>HYPERLINK("https://android.googlesource.com/platform/cts/+/91c0cf70b4c1534da908f02ad541813303c9ed0b", "91c0cf70b4c1534da908f02ad541813303c9ed0b")</f>
        <v>0</v>
      </c>
      <c r="D36547" t="s">
        <v>5527</v>
      </c>
      <c r="E36547" t="s">
        <v>9137</v>
      </c>
      <c r="F36547" t="s">
        <v>12570</v>
      </c>
      <c r="G36547" t="s">
        <v>16786</v>
      </c>
      <c r="H36547" t="s">
        <v>34622</v>
      </c>
    </row>
    <row r="36548" spans="1:8">
      <c r="A36548" t="s">
        <v>3440</v>
      </c>
      <c r="B36548">
        <f>HYPERLINK("https://android.googlesource.com/platform/cts/+/be0683bc6a0057811480fc74d440db3749873dc3", "be0683bc6a0057811480fc74d440db3749873dc3")</f>
        <v>0</v>
      </c>
      <c r="C36548">
        <f>HYPERLINK("https://android.googlesource.com/platform/cts/+/1fa7a248d198aed79cd52b1a608d70784daeb3e3", "1fa7a248d198aed79cd52b1a608d70784daeb3e3")</f>
        <v>0</v>
      </c>
      <c r="D36548" t="s">
        <v>5363</v>
      </c>
      <c r="E36548" t="s">
        <v>9138</v>
      </c>
      <c r="F36548" t="s">
        <v>14033</v>
      </c>
      <c r="G36548" t="s">
        <v>18030</v>
      </c>
      <c r="H36548" t="s">
        <v>34623</v>
      </c>
    </row>
    <row r="36549" spans="1:8">
      <c r="F36549" t="s">
        <v>14150</v>
      </c>
      <c r="G36549" t="s">
        <v>18138</v>
      </c>
      <c r="H36549" t="s">
        <v>32808</v>
      </c>
    </row>
    <row r="36550" spans="1:8">
      <c r="H36550" t="s">
        <v>32811</v>
      </c>
    </row>
    <row r="36551" spans="1:8">
      <c r="H36551" t="s">
        <v>32810</v>
      </c>
    </row>
    <row r="36552" spans="1:8">
      <c r="H36552" t="s">
        <v>32809</v>
      </c>
    </row>
    <row r="36553" spans="1:8">
      <c r="H36553" t="s">
        <v>18829</v>
      </c>
    </row>
    <row r="36554" spans="1:8">
      <c r="H36554" t="s">
        <v>18863</v>
      </c>
    </row>
    <row r="36555" spans="1:8">
      <c r="H36555" t="s">
        <v>33673</v>
      </c>
    </row>
    <row r="36556" spans="1:8">
      <c r="H36556" t="s">
        <v>34624</v>
      </c>
    </row>
    <row r="36557" spans="1:8">
      <c r="H36557" t="s">
        <v>34625</v>
      </c>
    </row>
    <row r="36558" spans="1:8">
      <c r="H36558" t="s">
        <v>34626</v>
      </c>
    </row>
    <row r="36559" spans="1:8">
      <c r="H36559" t="s">
        <v>34627</v>
      </c>
    </row>
    <row r="36560" spans="1:8">
      <c r="H36560" t="s">
        <v>34628</v>
      </c>
    </row>
    <row r="36561" spans="1:8">
      <c r="H36561" t="s">
        <v>34629</v>
      </c>
    </row>
    <row r="36562" spans="1:8">
      <c r="A36562" t="s">
        <v>3443</v>
      </c>
      <c r="B36562">
        <f>HYPERLINK("https://android.googlesource.com/platform/cts/+/9499857dbaae0707092729e12cde66385247a18c", "9499857dbaae0707092729e12cde66385247a18c")</f>
        <v>0</v>
      </c>
      <c r="C36562">
        <f>HYPERLINK("https://android.googlesource.com/platform/cts/+/96f929ca5552eabbee91c60c50a4ce5ac464d071", "96f929ca5552eabbee91c60c50a4ce5ac464d071")</f>
        <v>0</v>
      </c>
      <c r="D36562" t="s">
        <v>5427</v>
      </c>
      <c r="E36562" t="s">
        <v>9140</v>
      </c>
      <c r="F36562" t="s">
        <v>13910</v>
      </c>
      <c r="G36562" t="s">
        <v>18243</v>
      </c>
      <c r="H36562" t="s">
        <v>18829</v>
      </c>
    </row>
    <row r="36563" spans="1:8">
      <c r="H36563" t="s">
        <v>18863</v>
      </c>
    </row>
    <row r="36564" spans="1:8">
      <c r="H36564" t="s">
        <v>34630</v>
      </c>
    </row>
    <row r="36565" spans="1:8">
      <c r="H36565" t="s">
        <v>34631</v>
      </c>
    </row>
    <row r="36566" spans="1:8">
      <c r="H36566" t="s">
        <v>34632</v>
      </c>
    </row>
    <row r="36567" spans="1:8">
      <c r="H36567" t="s">
        <v>34633</v>
      </c>
    </row>
    <row r="36568" spans="1:8">
      <c r="H36568" t="s">
        <v>34634</v>
      </c>
    </row>
    <row r="36569" spans="1:8">
      <c r="H36569" t="s">
        <v>34635</v>
      </c>
    </row>
    <row r="36570" spans="1:8">
      <c r="H36570" t="s">
        <v>34636</v>
      </c>
    </row>
    <row r="36571" spans="1:8">
      <c r="H36571" t="s">
        <v>34637</v>
      </c>
    </row>
    <row r="36572" spans="1:8">
      <c r="H36572" t="s">
        <v>34638</v>
      </c>
    </row>
    <row r="36573" spans="1:8">
      <c r="H36573" t="s">
        <v>34639</v>
      </c>
    </row>
    <row r="36574" spans="1:8">
      <c r="H36574" t="s">
        <v>34639</v>
      </c>
    </row>
    <row r="36575" spans="1:8">
      <c r="A36575" t="s">
        <v>3444</v>
      </c>
      <c r="B36575">
        <f>HYPERLINK("https://android.googlesource.com/platform/cts/+/23a1d5993e800abe65467e95b81377ee10e7c9cb", "23a1d5993e800abe65467e95b81377ee10e7c9cb")</f>
        <v>0</v>
      </c>
      <c r="C36575">
        <f>HYPERLINK("https://android.googlesource.com/platform/cts/+/fded564c3e8438c5d64d32f622da44d8e5bc6c17", "fded564c3e8438c5d64d32f622da44d8e5bc6c17")</f>
        <v>0</v>
      </c>
      <c r="D36575" t="s">
        <v>5541</v>
      </c>
      <c r="E36575" t="s">
        <v>9141</v>
      </c>
      <c r="F36575" t="s">
        <v>14171</v>
      </c>
      <c r="G36575" t="s">
        <v>18151</v>
      </c>
      <c r="H36575" t="s">
        <v>34640</v>
      </c>
    </row>
    <row r="36576" spans="1:8">
      <c r="H36576" t="s">
        <v>33752</v>
      </c>
    </row>
    <row r="36577" spans="1:8">
      <c r="A36577" t="s">
        <v>3447</v>
      </c>
      <c r="B36577">
        <f>HYPERLINK("https://android.googlesource.com/platform/cts/+/07f9b485cbd8a0c7bab1f2d5696af4e7a783de08", "07f9b485cbd8a0c7bab1f2d5696af4e7a783de08")</f>
        <v>0</v>
      </c>
      <c r="C36577">
        <f>HYPERLINK("https://android.googlesource.com/platform/cts/+/ce6ec74952adcba203e6d974711c5f913c6f57a1", "ce6ec74952adcba203e6d974711c5f913c6f57a1")</f>
        <v>0</v>
      </c>
      <c r="D36577" t="s">
        <v>5272</v>
      </c>
      <c r="E36577" t="s">
        <v>9143</v>
      </c>
      <c r="F36577" t="s">
        <v>13757</v>
      </c>
      <c r="G36577" t="s">
        <v>17816</v>
      </c>
      <c r="H36577" t="s">
        <v>34641</v>
      </c>
    </row>
    <row r="36578" spans="1:8">
      <c r="A36578" t="s">
        <v>3450</v>
      </c>
      <c r="B36578">
        <f>HYPERLINK("https://android.googlesource.com/platform/cts/+/ac352163e0660fe6344fac8d21583fbbe1bb511b", "ac352163e0660fe6344fac8d21583fbbe1bb511b")</f>
        <v>0</v>
      </c>
      <c r="C36578">
        <f>HYPERLINK("https://android.googlesource.com/platform/cts/+/519bc482080bb41fd29892305f9205ef1a042221", "519bc482080bb41fd29892305f9205ef1a042221")</f>
        <v>0</v>
      </c>
      <c r="D36578" t="s">
        <v>5180</v>
      </c>
      <c r="E36578" t="s">
        <v>9146</v>
      </c>
      <c r="F36578" t="s">
        <v>14279</v>
      </c>
      <c r="G36578" t="s">
        <v>18244</v>
      </c>
      <c r="H36578" t="s">
        <v>34642</v>
      </c>
    </row>
    <row r="36579" spans="1:8">
      <c r="A36579" t="s">
        <v>3451</v>
      </c>
      <c r="B36579">
        <f>HYPERLINK("https://android.googlesource.com/platform/cts/+/d08c53f2b5f8917816f44c227588a1fb14cb7612", "d08c53f2b5f8917816f44c227588a1fb14cb7612")</f>
        <v>0</v>
      </c>
      <c r="C36579">
        <f>HYPERLINK("https://android.googlesource.com/platform/cts/+/24224c0e36b7e6f202dfb477d875a768cc5605c8", "24224c0e36b7e6f202dfb477d875a768cc5605c8")</f>
        <v>0</v>
      </c>
      <c r="D36579" t="s">
        <v>5473</v>
      </c>
      <c r="E36579" t="s">
        <v>9147</v>
      </c>
      <c r="F36579" t="s">
        <v>14280</v>
      </c>
      <c r="G36579" t="s">
        <v>18245</v>
      </c>
      <c r="H36579" t="s">
        <v>34643</v>
      </c>
    </row>
    <row r="36580" spans="1:8">
      <c r="F36580" t="s">
        <v>12861</v>
      </c>
      <c r="G36580" t="s">
        <v>17030</v>
      </c>
      <c r="H36580" t="s">
        <v>34644</v>
      </c>
    </row>
    <row r="36581" spans="1:8">
      <c r="A36581" t="s">
        <v>3452</v>
      </c>
      <c r="B36581">
        <f>HYPERLINK("https://android.googlesource.com/platform/cts/+/0b75210d5360c9dd9fb838cf99f2ea5981fb0397", "0b75210d5360c9dd9fb838cf99f2ea5981fb0397")</f>
        <v>0</v>
      </c>
      <c r="C36581">
        <f>HYPERLINK("https://android.googlesource.com/platform/cts/+/95d24a74ce0c9879e51ea1aaea2d406d530bef34", "95d24a74ce0c9879e51ea1aaea2d406d530bef34")</f>
        <v>0</v>
      </c>
      <c r="D36581" t="s">
        <v>5012</v>
      </c>
      <c r="E36581" t="s">
        <v>9148</v>
      </c>
      <c r="F36581" t="s">
        <v>13817</v>
      </c>
      <c r="G36581" t="s">
        <v>17715</v>
      </c>
      <c r="H36581" t="s">
        <v>34645</v>
      </c>
    </row>
    <row r="36582" spans="1:8">
      <c r="A36582" t="s">
        <v>3455</v>
      </c>
      <c r="B36582">
        <f>HYPERLINK("https://android.googlesource.com/platform/cts/+/c9c3fde5d5ac014f093f03a9e698d37358747a62", "c9c3fde5d5ac014f093f03a9e698d37358747a62")</f>
        <v>0</v>
      </c>
      <c r="C36582">
        <f>HYPERLINK("https://android.googlesource.com/platform/cts/+/6ca342a0ef73285ae341771e6f95ce344cf811fd", "6ca342a0ef73285ae341771e6f95ce344cf811fd")</f>
        <v>0</v>
      </c>
      <c r="D36582" t="s">
        <v>5512</v>
      </c>
      <c r="E36582" t="s">
        <v>9151</v>
      </c>
      <c r="F36582" t="s">
        <v>13990</v>
      </c>
      <c r="G36582" t="s">
        <v>18009</v>
      </c>
      <c r="H36582" t="s">
        <v>34646</v>
      </c>
    </row>
    <row r="36583" spans="1:8">
      <c r="A36583" t="s">
        <v>3456</v>
      </c>
      <c r="B36583">
        <f>HYPERLINK("https://android.googlesource.com/platform/cts/+/32798d7c5eea72af2e5bca2aac3ecc4fc6a8bc1f", "32798d7c5eea72af2e5bca2aac3ecc4fc6a8bc1f")</f>
        <v>0</v>
      </c>
      <c r="C36583">
        <f>HYPERLINK("https://android.googlesource.com/platform/cts/+/c9c3fde5d5ac014f093f03a9e698d37358747a62", "c9c3fde5d5ac014f093f03a9e698d37358747a62")</f>
        <v>0</v>
      </c>
      <c r="D36583" t="s">
        <v>5512</v>
      </c>
      <c r="E36583" t="s">
        <v>9152</v>
      </c>
      <c r="F36583" t="s">
        <v>13990</v>
      </c>
      <c r="G36583" t="s">
        <v>18009</v>
      </c>
      <c r="H36583" t="s">
        <v>34647</v>
      </c>
    </row>
    <row r="36584" spans="1:8">
      <c r="A36584" t="s">
        <v>3457</v>
      </c>
      <c r="B36584">
        <f>HYPERLINK("https://android.googlesource.com/platform/cts/+/5ed2c3f8ea18c00eb564e785e58c3b47de553bf0", "5ed2c3f8ea18c00eb564e785e58c3b47de553bf0")</f>
        <v>0</v>
      </c>
      <c r="C36584">
        <f>HYPERLINK("https://android.googlesource.com/platform/cts/+/32798d7c5eea72af2e5bca2aac3ecc4fc6a8bc1f", "32798d7c5eea72af2e5bca2aac3ecc4fc6a8bc1f")</f>
        <v>0</v>
      </c>
      <c r="D36584" t="s">
        <v>5512</v>
      </c>
      <c r="E36584" t="s">
        <v>9153</v>
      </c>
      <c r="F36584" t="s">
        <v>13990</v>
      </c>
      <c r="G36584" t="s">
        <v>18009</v>
      </c>
      <c r="H36584" t="s">
        <v>34648</v>
      </c>
    </row>
    <row r="36585" spans="1:8">
      <c r="A36585" t="s">
        <v>3458</v>
      </c>
      <c r="B36585">
        <f>HYPERLINK("https://android.googlesource.com/platform/cts/+/83b1b45fbc7612152c7db87bb3ecfdd2ae65fc3d", "83b1b45fbc7612152c7db87bb3ecfdd2ae65fc3d")</f>
        <v>0</v>
      </c>
      <c r="C36585">
        <f>HYPERLINK("https://android.googlesource.com/platform/cts/+/918ddde8412416e35055e9a0fe9021dcc7744fd8", "918ddde8412416e35055e9a0fe9021dcc7744fd8")</f>
        <v>0</v>
      </c>
      <c r="D36585" t="s">
        <v>5571</v>
      </c>
      <c r="E36585" t="s">
        <v>9154</v>
      </c>
      <c r="F36585" t="s">
        <v>12845</v>
      </c>
      <c r="G36585" t="s">
        <v>16561</v>
      </c>
      <c r="H36585" t="s">
        <v>34649</v>
      </c>
    </row>
    <row r="36586" spans="1:8">
      <c r="H36586" t="s">
        <v>34650</v>
      </c>
    </row>
    <row r="36587" spans="1:8">
      <c r="A36587" t="s">
        <v>3461</v>
      </c>
      <c r="B36587">
        <f>HYPERLINK("https://android.googlesource.com/platform/cts/+/6af4bd7e7a4d60138b3e00de4c91592242449bb7", "6af4bd7e7a4d60138b3e00de4c91592242449bb7")</f>
        <v>0</v>
      </c>
      <c r="C36587">
        <f>HYPERLINK("https://android.googlesource.com/platform/cts/+/c1e9b69f502c2f5baed1662cf4814a8a06ceea50", "c1e9b69f502c2f5baed1662cf4814a8a06ceea50")</f>
        <v>0</v>
      </c>
      <c r="D36587" t="s">
        <v>5085</v>
      </c>
      <c r="E36587" t="s">
        <v>9157</v>
      </c>
      <c r="F36587" t="s">
        <v>12897</v>
      </c>
      <c r="G36587" t="s">
        <v>16824</v>
      </c>
      <c r="H36587" t="s">
        <v>34651</v>
      </c>
    </row>
    <row r="36588" spans="1:8">
      <c r="A36588" t="s">
        <v>3462</v>
      </c>
      <c r="B36588">
        <f>HYPERLINK("https://android.googlesource.com/platform/cts/+/0ec11d079d64601d6665c44afedba31ed05e6f73", "0ec11d079d64601d6665c44afedba31ed05e6f73")</f>
        <v>0</v>
      </c>
      <c r="C36588">
        <f>HYPERLINK("https://android.googlesource.com/platform/cts/+/24e02a40e26a4b0a885b9b71d70b24c2193a04a8", "24e02a40e26a4b0a885b9b71d70b24c2193a04a8")</f>
        <v>0</v>
      </c>
      <c r="D36588" t="s">
        <v>5527</v>
      </c>
      <c r="E36588" t="s">
        <v>9158</v>
      </c>
      <c r="F36588" t="s">
        <v>12820</v>
      </c>
      <c r="G36588" t="s">
        <v>16999</v>
      </c>
      <c r="H36588" t="s">
        <v>32229</v>
      </c>
    </row>
    <row r="36589" spans="1:8">
      <c r="A36589" t="s">
        <v>3464</v>
      </c>
      <c r="B36589">
        <f>HYPERLINK("https://android.googlesource.com/platform/cts/+/bcbcc9aee54941c6ee0ca82d13a4cbffbe38686b", "bcbcc9aee54941c6ee0ca82d13a4cbffbe38686b")</f>
        <v>0</v>
      </c>
      <c r="C36589">
        <f>HYPERLINK("https://android.googlesource.com/platform/cts/+/24e02a40e26a4b0a885b9b71d70b24c2193a04a8", "24e02a40e26a4b0a885b9b71d70b24c2193a04a8")</f>
        <v>0</v>
      </c>
      <c r="D36589" t="s">
        <v>5559</v>
      </c>
      <c r="E36589" t="s">
        <v>9160</v>
      </c>
      <c r="F36589" t="s">
        <v>12332</v>
      </c>
      <c r="G36589" t="s">
        <v>16560</v>
      </c>
      <c r="H36589" t="s">
        <v>34652</v>
      </c>
    </row>
    <row r="36590" spans="1:8">
      <c r="A36590" t="s">
        <v>3465</v>
      </c>
      <c r="B36590">
        <f>HYPERLINK("https://android.googlesource.com/platform/cts/+/e2064c34236d1b1be0458b4d3625052d8c39b060", "e2064c34236d1b1be0458b4d3625052d8c39b060")</f>
        <v>0</v>
      </c>
      <c r="C36590">
        <f>HYPERLINK("https://android.googlesource.com/platform/cts/+/d61e778eaf901bccadefe6c64054ff9754e895e8", "d61e778eaf901bccadefe6c64054ff9754e895e8")</f>
        <v>0</v>
      </c>
      <c r="D36590" t="s">
        <v>5141</v>
      </c>
      <c r="E36590" t="s">
        <v>9161</v>
      </c>
      <c r="F36590" t="s">
        <v>14281</v>
      </c>
      <c r="G36590" t="s">
        <v>18246</v>
      </c>
      <c r="H36590" t="s">
        <v>34653</v>
      </c>
    </row>
    <row r="36591" spans="1:8">
      <c r="H36591" t="s">
        <v>34654</v>
      </c>
    </row>
    <row r="36592" spans="1:8">
      <c r="H36592" t="s">
        <v>34655</v>
      </c>
    </row>
    <row r="36593" spans="1:8">
      <c r="H36593" t="s">
        <v>34656</v>
      </c>
    </row>
    <row r="36594" spans="1:8">
      <c r="H36594" t="s">
        <v>34657</v>
      </c>
    </row>
    <row r="36595" spans="1:8">
      <c r="F36595" t="s">
        <v>14282</v>
      </c>
      <c r="G36595" t="s">
        <v>18247</v>
      </c>
      <c r="H36595" t="s">
        <v>34658</v>
      </c>
    </row>
    <row r="36596" spans="1:8">
      <c r="H36596" t="s">
        <v>34659</v>
      </c>
    </row>
    <row r="36597" spans="1:8">
      <c r="H36597" t="s">
        <v>34660</v>
      </c>
    </row>
    <row r="36598" spans="1:8">
      <c r="H36598" t="s">
        <v>34661</v>
      </c>
    </row>
    <row r="36599" spans="1:8">
      <c r="H36599" t="s">
        <v>34662</v>
      </c>
    </row>
    <row r="36600" spans="1:8">
      <c r="H36600" t="s">
        <v>34663</v>
      </c>
    </row>
    <row r="36601" spans="1:8">
      <c r="H36601" t="s">
        <v>34664</v>
      </c>
    </row>
    <row r="36602" spans="1:8">
      <c r="H36602" t="s">
        <v>34665</v>
      </c>
    </row>
    <row r="36603" spans="1:8">
      <c r="H36603" t="s">
        <v>34666</v>
      </c>
    </row>
    <row r="36604" spans="1:8">
      <c r="H36604" t="s">
        <v>34667</v>
      </c>
    </row>
    <row r="36605" spans="1:8">
      <c r="H36605" t="s">
        <v>34668</v>
      </c>
    </row>
    <row r="36606" spans="1:8">
      <c r="F36606" t="s">
        <v>14283</v>
      </c>
      <c r="G36606" t="s">
        <v>18248</v>
      </c>
      <c r="H36606" t="s">
        <v>34669</v>
      </c>
    </row>
    <row r="36607" spans="1:8">
      <c r="H36607" t="s">
        <v>34670</v>
      </c>
    </row>
    <row r="36608" spans="1:8">
      <c r="A36608" t="s">
        <v>3466</v>
      </c>
      <c r="B36608">
        <f>HYPERLINK("https://android.googlesource.com/platform/cts/+/dd849f6358222818e01e280a2e449e930ed50b50", "dd849f6358222818e01e280a2e449e930ed50b50")</f>
        <v>0</v>
      </c>
      <c r="C36608">
        <f>HYPERLINK("https://android.googlesource.com/platform/cts/+/705c87f96cab36b43b8b51bdf076214cdbff0835", "705c87f96cab36b43b8b51bdf076214cdbff0835")</f>
        <v>0</v>
      </c>
      <c r="D36608" t="s">
        <v>5272</v>
      </c>
      <c r="E36608" t="s">
        <v>9162</v>
      </c>
      <c r="F36608" t="s">
        <v>14131</v>
      </c>
      <c r="G36608" t="s">
        <v>18053</v>
      </c>
      <c r="H36608" t="s">
        <v>34671</v>
      </c>
    </row>
    <row r="36609" spans="1:8">
      <c r="A36609" t="s">
        <v>3470</v>
      </c>
      <c r="B36609">
        <f>HYPERLINK("https://android.googlesource.com/platform/cts/+/f3d71794ed927fe38a874a33c2aa3ddc1d505a0d", "f3d71794ed927fe38a874a33c2aa3ddc1d505a0d")</f>
        <v>0</v>
      </c>
      <c r="C36609">
        <f>HYPERLINK("https://android.googlesource.com/platform/cts/+/99087367281b24f09c82830ff755ebb0e0f12df7", "99087367281b24f09c82830ff755ebb0e0f12df7")</f>
        <v>0</v>
      </c>
      <c r="D36609" t="s">
        <v>5482</v>
      </c>
      <c r="E36609" t="s">
        <v>9165</v>
      </c>
      <c r="F36609" t="s">
        <v>14102</v>
      </c>
      <c r="G36609" t="s">
        <v>18095</v>
      </c>
      <c r="H36609" t="s">
        <v>34672</v>
      </c>
    </row>
    <row r="36610" spans="1:8">
      <c r="H36610" t="s">
        <v>34673</v>
      </c>
    </row>
    <row r="36611" spans="1:8">
      <c r="H36611" t="s">
        <v>34674</v>
      </c>
    </row>
    <row r="36612" spans="1:8">
      <c r="H36612" t="s">
        <v>34675</v>
      </c>
    </row>
    <row r="36613" spans="1:8">
      <c r="H36613" t="s">
        <v>34676</v>
      </c>
    </row>
    <row r="36614" spans="1:8">
      <c r="H36614" t="s">
        <v>34677</v>
      </c>
    </row>
    <row r="36615" spans="1:8">
      <c r="H36615" t="s">
        <v>34678</v>
      </c>
    </row>
    <row r="36616" spans="1:8">
      <c r="H36616" t="s">
        <v>18930</v>
      </c>
    </row>
    <row r="36617" spans="1:8">
      <c r="H36617" t="s">
        <v>33452</v>
      </c>
    </row>
    <row r="36618" spans="1:8">
      <c r="H36618" t="s">
        <v>33453</v>
      </c>
    </row>
    <row r="36619" spans="1:8">
      <c r="H36619" t="s">
        <v>34679</v>
      </c>
    </row>
    <row r="36620" spans="1:8">
      <c r="H36620" t="s">
        <v>34680</v>
      </c>
    </row>
    <row r="36621" spans="1:8">
      <c r="H36621" t="s">
        <v>34681</v>
      </c>
    </row>
    <row r="36622" spans="1:8">
      <c r="H36622" t="s">
        <v>34681</v>
      </c>
    </row>
    <row r="36623" spans="1:8">
      <c r="H36623" t="s">
        <v>34676</v>
      </c>
    </row>
    <row r="36624" spans="1:8">
      <c r="H36624" t="s">
        <v>34682</v>
      </c>
    </row>
    <row r="36625" spans="8:8">
      <c r="H36625" t="s">
        <v>34683</v>
      </c>
    </row>
    <row r="36626" spans="8:8">
      <c r="H36626" t="s">
        <v>34684</v>
      </c>
    </row>
    <row r="36627" spans="8:8">
      <c r="H36627" t="s">
        <v>34685</v>
      </c>
    </row>
    <row r="36628" spans="8:8">
      <c r="H36628" t="s">
        <v>34686</v>
      </c>
    </row>
    <row r="36629" spans="8:8">
      <c r="H36629" t="s">
        <v>20177</v>
      </c>
    </row>
    <row r="36630" spans="8:8">
      <c r="H36630" t="s">
        <v>34687</v>
      </c>
    </row>
    <row r="36631" spans="8:8">
      <c r="H36631" t="s">
        <v>34688</v>
      </c>
    </row>
    <row r="36632" spans="8:8">
      <c r="H36632" t="s">
        <v>34689</v>
      </c>
    </row>
    <row r="36633" spans="8:8">
      <c r="H36633" t="s">
        <v>34690</v>
      </c>
    </row>
    <row r="36634" spans="8:8">
      <c r="H36634" t="s">
        <v>34691</v>
      </c>
    </row>
    <row r="36635" spans="8:8">
      <c r="H36635" t="s">
        <v>34692</v>
      </c>
    </row>
    <row r="36636" spans="8:8">
      <c r="H36636" t="s">
        <v>34693</v>
      </c>
    </row>
    <row r="36637" spans="8:8">
      <c r="H36637" t="s">
        <v>34694</v>
      </c>
    </row>
    <row r="36638" spans="8:8">
      <c r="H36638" t="s">
        <v>34695</v>
      </c>
    </row>
    <row r="36639" spans="8:8">
      <c r="H36639" t="s">
        <v>34696</v>
      </c>
    </row>
    <row r="36640" spans="8:8">
      <c r="H36640" t="s">
        <v>34697</v>
      </c>
    </row>
    <row r="36641" spans="1:8">
      <c r="H36641" t="s">
        <v>34698</v>
      </c>
    </row>
    <row r="36642" spans="1:8">
      <c r="H36642" t="s">
        <v>34699</v>
      </c>
    </row>
    <row r="36643" spans="1:8">
      <c r="H36643" t="s">
        <v>34700</v>
      </c>
    </row>
    <row r="36644" spans="1:8">
      <c r="H36644" t="s">
        <v>34701</v>
      </c>
    </row>
    <row r="36645" spans="1:8">
      <c r="H36645" t="s">
        <v>34702</v>
      </c>
    </row>
    <row r="36646" spans="1:8">
      <c r="H36646" t="s">
        <v>34703</v>
      </c>
    </row>
    <row r="36647" spans="1:8">
      <c r="H36647" t="s">
        <v>34704</v>
      </c>
    </row>
    <row r="36648" spans="1:8">
      <c r="A36648" t="s">
        <v>3471</v>
      </c>
      <c r="B36648">
        <f>HYPERLINK("https://android.googlesource.com/platform/cts/+/f339996b84571ed48e4f6f980a7e9ea73458e0ba", "f339996b84571ed48e4f6f980a7e9ea73458e0ba")</f>
        <v>0</v>
      </c>
      <c r="C36648">
        <f>HYPERLINK("https://android.googlesource.com/platform/cts/+/a3bb10ba80c603783f51d8f5ec5744b800e0c987", "a3bb10ba80c603783f51d8f5ec5744b800e0c987")</f>
        <v>0</v>
      </c>
      <c r="D36648" t="s">
        <v>5482</v>
      </c>
      <c r="E36648" t="s">
        <v>9166</v>
      </c>
      <c r="F36648" t="s">
        <v>14102</v>
      </c>
      <c r="G36648" t="s">
        <v>18095</v>
      </c>
      <c r="H36648" t="s">
        <v>34672</v>
      </c>
    </row>
    <row r="36649" spans="1:8">
      <c r="H36649" t="s">
        <v>34673</v>
      </c>
    </row>
    <row r="36650" spans="1:8">
      <c r="H36650" t="s">
        <v>34674</v>
      </c>
    </row>
    <row r="36651" spans="1:8">
      <c r="H36651" t="s">
        <v>34675</v>
      </c>
    </row>
    <row r="36652" spans="1:8">
      <c r="H36652" t="s">
        <v>34676</v>
      </c>
    </row>
    <row r="36653" spans="1:8">
      <c r="H36653" t="s">
        <v>34677</v>
      </c>
    </row>
    <row r="36654" spans="1:8">
      <c r="H36654" t="s">
        <v>34678</v>
      </c>
    </row>
    <row r="36655" spans="1:8">
      <c r="H36655" t="s">
        <v>18930</v>
      </c>
    </row>
    <row r="36656" spans="1:8">
      <c r="H36656" t="s">
        <v>33452</v>
      </c>
    </row>
    <row r="36657" spans="8:8">
      <c r="H36657" t="s">
        <v>33453</v>
      </c>
    </row>
    <row r="36658" spans="8:8">
      <c r="H36658" t="s">
        <v>34679</v>
      </c>
    </row>
    <row r="36659" spans="8:8">
      <c r="H36659" t="s">
        <v>34680</v>
      </c>
    </row>
    <row r="36660" spans="8:8">
      <c r="H36660" t="s">
        <v>34681</v>
      </c>
    </row>
    <row r="36661" spans="8:8">
      <c r="H36661" t="s">
        <v>34681</v>
      </c>
    </row>
    <row r="36662" spans="8:8">
      <c r="H36662" t="s">
        <v>34676</v>
      </c>
    </row>
    <row r="36663" spans="8:8">
      <c r="H36663" t="s">
        <v>34682</v>
      </c>
    </row>
    <row r="36664" spans="8:8">
      <c r="H36664" t="s">
        <v>34683</v>
      </c>
    </row>
    <row r="36665" spans="8:8">
      <c r="H36665" t="s">
        <v>34684</v>
      </c>
    </row>
    <row r="36666" spans="8:8">
      <c r="H36666" t="s">
        <v>34685</v>
      </c>
    </row>
    <row r="36667" spans="8:8">
      <c r="H36667" t="s">
        <v>34686</v>
      </c>
    </row>
    <row r="36668" spans="8:8">
      <c r="H36668" t="s">
        <v>20177</v>
      </c>
    </row>
    <row r="36669" spans="8:8">
      <c r="H36669" t="s">
        <v>34687</v>
      </c>
    </row>
    <row r="36670" spans="8:8">
      <c r="H36670" t="s">
        <v>34688</v>
      </c>
    </row>
    <row r="36671" spans="8:8">
      <c r="H36671" t="s">
        <v>34689</v>
      </c>
    </row>
    <row r="36672" spans="8:8">
      <c r="H36672" t="s">
        <v>34690</v>
      </c>
    </row>
    <row r="36673" spans="1:8">
      <c r="H36673" t="s">
        <v>34691</v>
      </c>
    </row>
    <row r="36674" spans="1:8">
      <c r="H36674" t="s">
        <v>34692</v>
      </c>
    </row>
    <row r="36675" spans="1:8">
      <c r="H36675" t="s">
        <v>34693</v>
      </c>
    </row>
    <row r="36676" spans="1:8">
      <c r="H36676" t="s">
        <v>34694</v>
      </c>
    </row>
    <row r="36677" spans="1:8">
      <c r="H36677" t="s">
        <v>34695</v>
      </c>
    </row>
    <row r="36678" spans="1:8">
      <c r="H36678" t="s">
        <v>34696</v>
      </c>
    </row>
    <row r="36679" spans="1:8">
      <c r="H36679" t="s">
        <v>34697</v>
      </c>
    </row>
    <row r="36680" spans="1:8">
      <c r="H36680" t="s">
        <v>34698</v>
      </c>
    </row>
    <row r="36681" spans="1:8">
      <c r="H36681" t="s">
        <v>34699</v>
      </c>
    </row>
    <row r="36682" spans="1:8">
      <c r="H36682" t="s">
        <v>34700</v>
      </c>
    </row>
    <row r="36683" spans="1:8">
      <c r="H36683" t="s">
        <v>34701</v>
      </c>
    </row>
    <row r="36684" spans="1:8">
      <c r="H36684" t="s">
        <v>34702</v>
      </c>
    </row>
    <row r="36685" spans="1:8">
      <c r="H36685" t="s">
        <v>34703</v>
      </c>
    </row>
    <row r="36686" spans="1:8">
      <c r="H36686" t="s">
        <v>34704</v>
      </c>
    </row>
    <row r="36687" spans="1:8">
      <c r="A36687" t="s">
        <v>3472</v>
      </c>
      <c r="B36687">
        <f>HYPERLINK("https://android.googlesource.com/platform/cts/+/01cb62ad5bc7a83eb46db2e81e6c646022e60940", "01cb62ad5bc7a83eb46db2e81e6c646022e60940")</f>
        <v>0</v>
      </c>
      <c r="C36687">
        <f>HYPERLINK("https://android.googlesource.com/platform/cts/+/c58c5ba8c2b21e539edacb909a75c4a973cd1747", "c58c5ba8c2b21e539edacb909a75c4a973cd1747")</f>
        <v>0</v>
      </c>
      <c r="D36687" t="s">
        <v>5572</v>
      </c>
      <c r="E36687" t="s">
        <v>9167</v>
      </c>
      <c r="F36687" t="s">
        <v>13728</v>
      </c>
      <c r="G36687" t="s">
        <v>17790</v>
      </c>
      <c r="H36687" t="s">
        <v>34705</v>
      </c>
    </row>
    <row r="36688" spans="1:8">
      <c r="H36688" t="s">
        <v>34706</v>
      </c>
    </row>
    <row r="36689" spans="1:8">
      <c r="F36689" t="s">
        <v>14284</v>
      </c>
      <c r="G36689" t="s">
        <v>18249</v>
      </c>
      <c r="H36689" t="s">
        <v>34705</v>
      </c>
    </row>
    <row r="36690" spans="1:8">
      <c r="H36690" t="s">
        <v>34706</v>
      </c>
    </row>
    <row r="36691" spans="1:8">
      <c r="H36691" t="s">
        <v>34707</v>
      </c>
    </row>
    <row r="36692" spans="1:8">
      <c r="H36692" t="s">
        <v>34708</v>
      </c>
    </row>
    <row r="36693" spans="1:8">
      <c r="A36693" t="s">
        <v>3473</v>
      </c>
      <c r="B36693">
        <f>HYPERLINK("https://android.googlesource.com/platform/cts/+/b181e8e20b9990042955896f77bc83d06db90ab5", "b181e8e20b9990042955896f77bc83d06db90ab5")</f>
        <v>0</v>
      </c>
      <c r="C36693">
        <f>HYPERLINK("https://android.googlesource.com/platform/cts/+/cc20f90675a7ea1ba8fa9a8868bfaddd8e572a96", "cc20f90675a7ea1ba8fa9a8868bfaddd8e572a96")</f>
        <v>0</v>
      </c>
      <c r="D36693" t="s">
        <v>5272</v>
      </c>
      <c r="E36693" t="s">
        <v>9168</v>
      </c>
      <c r="F36693" t="s">
        <v>14285</v>
      </c>
      <c r="G36693" t="s">
        <v>16898</v>
      </c>
      <c r="H36693" t="s">
        <v>34709</v>
      </c>
    </row>
    <row r="36694" spans="1:8">
      <c r="H36694" t="s">
        <v>34710</v>
      </c>
    </row>
    <row r="36695" spans="1:8">
      <c r="A36695" t="s">
        <v>3474</v>
      </c>
      <c r="B36695">
        <f>HYPERLINK("https://android.googlesource.com/platform/cts/+/5671bd99654d5ab6c7e2da098cb8036f8cfe4c3a", "5671bd99654d5ab6c7e2da098cb8036f8cfe4c3a")</f>
        <v>0</v>
      </c>
      <c r="C36695">
        <f>HYPERLINK("https://android.googlesource.com/platform/cts/+/6541395f9deb8201985d3cd63f10f294c58de2d8", "6541395f9deb8201985d3cd63f10f294c58de2d8")</f>
        <v>0</v>
      </c>
      <c r="D36695" t="s">
        <v>5275</v>
      </c>
      <c r="E36695" t="s">
        <v>9169</v>
      </c>
      <c r="F36695" t="s">
        <v>14171</v>
      </c>
      <c r="G36695" t="s">
        <v>18151</v>
      </c>
      <c r="H36695" t="s">
        <v>34711</v>
      </c>
    </row>
    <row r="36696" spans="1:8">
      <c r="H36696" t="s">
        <v>34712</v>
      </c>
    </row>
    <row r="36697" spans="1:8">
      <c r="A36697" t="s">
        <v>3476</v>
      </c>
      <c r="B36697">
        <f>HYPERLINK("https://android.googlesource.com/platform/cts/+/e76a4513861ff2d60f70eee769dcb784ab58b6d6", "e76a4513861ff2d60f70eee769dcb784ab58b6d6")</f>
        <v>0</v>
      </c>
      <c r="C36697">
        <f>HYPERLINK("https://android.googlesource.com/platform/cts/+/99bba807c9360ad876a52a08e84bc0bdc79c2623", "99bba807c9360ad876a52a08e84bc0bdc79c2623")</f>
        <v>0</v>
      </c>
      <c r="D36697" t="s">
        <v>5526</v>
      </c>
      <c r="E36697" t="s">
        <v>9170</v>
      </c>
      <c r="F36697" t="s">
        <v>14286</v>
      </c>
      <c r="G36697" t="s">
        <v>18250</v>
      </c>
      <c r="H36697" t="s">
        <v>34713</v>
      </c>
    </row>
    <row r="36698" spans="1:8">
      <c r="A36698" t="s">
        <v>3477</v>
      </c>
      <c r="B36698">
        <f>HYPERLINK("https://android.googlesource.com/platform/cts/+/d50aee07a82026fc7756145d51ac4e37640a86ac", "d50aee07a82026fc7756145d51ac4e37640a86ac")</f>
        <v>0</v>
      </c>
      <c r="C36698">
        <f>HYPERLINK("https://android.googlesource.com/platform/cts/+/d92d6fc90177f5180c3d01455df9eff36501ed49", "d92d6fc90177f5180c3d01455df9eff36501ed49")</f>
        <v>0</v>
      </c>
      <c r="D36698" t="s">
        <v>5357</v>
      </c>
      <c r="E36698" t="s">
        <v>9171</v>
      </c>
      <c r="F36698" t="s">
        <v>13203</v>
      </c>
      <c r="G36698" t="s">
        <v>17345</v>
      </c>
      <c r="H36698" t="s">
        <v>34714</v>
      </c>
    </row>
    <row r="36699" spans="1:8">
      <c r="H36699" t="s">
        <v>34715</v>
      </c>
    </row>
    <row r="36700" spans="1:8">
      <c r="F36700" t="s">
        <v>13191</v>
      </c>
      <c r="G36700" t="s">
        <v>17334</v>
      </c>
      <c r="H36700" t="s">
        <v>34714</v>
      </c>
    </row>
    <row r="36701" spans="1:8">
      <c r="H36701" t="s">
        <v>34715</v>
      </c>
    </row>
    <row r="36702" spans="1:8">
      <c r="H36702" t="s">
        <v>34716</v>
      </c>
    </row>
    <row r="36703" spans="1:8">
      <c r="H36703" t="s">
        <v>34717</v>
      </c>
    </row>
    <row r="36704" spans="1:8">
      <c r="A36704" t="s">
        <v>3478</v>
      </c>
      <c r="B36704">
        <f>HYPERLINK("https://android.googlesource.com/platform/cts/+/94f875844831a258cd87189a07d54a7e87bbcef6", "94f875844831a258cd87189a07d54a7e87bbcef6")</f>
        <v>0</v>
      </c>
      <c r="C36704">
        <f>HYPERLINK("https://android.googlesource.com/platform/cts/+/21b2e5d0302161f515f2a9cf720d3849c269fb49", "21b2e5d0302161f515f2a9cf720d3849c269fb49")</f>
        <v>0</v>
      </c>
      <c r="D36704" t="s">
        <v>5108</v>
      </c>
      <c r="E36704" t="s">
        <v>9172</v>
      </c>
      <c r="F36704" t="s">
        <v>14287</v>
      </c>
      <c r="G36704" t="s">
        <v>18251</v>
      </c>
      <c r="H36704" t="s">
        <v>34718</v>
      </c>
    </row>
    <row r="36705" spans="6:8">
      <c r="F36705" t="s">
        <v>12915</v>
      </c>
      <c r="G36705" t="s">
        <v>17080</v>
      </c>
      <c r="H36705" t="s">
        <v>34719</v>
      </c>
    </row>
    <row r="36706" spans="6:8">
      <c r="H36706" t="s">
        <v>34720</v>
      </c>
    </row>
    <row r="36707" spans="6:8">
      <c r="F36707" t="s">
        <v>13971</v>
      </c>
      <c r="G36707" t="s">
        <v>17996</v>
      </c>
      <c r="H36707" t="s">
        <v>34721</v>
      </c>
    </row>
    <row r="36708" spans="6:8">
      <c r="F36708" t="s">
        <v>14288</v>
      </c>
      <c r="G36708" t="s">
        <v>16823</v>
      </c>
      <c r="H36708" t="s">
        <v>34722</v>
      </c>
    </row>
    <row r="36709" spans="6:8">
      <c r="H36709" t="s">
        <v>34723</v>
      </c>
    </row>
    <row r="36710" spans="6:8">
      <c r="H36710" t="s">
        <v>34724</v>
      </c>
    </row>
    <row r="36711" spans="6:8">
      <c r="H36711" t="s">
        <v>34725</v>
      </c>
    </row>
    <row r="36712" spans="6:8">
      <c r="H36712" t="s">
        <v>34726</v>
      </c>
    </row>
    <row r="36713" spans="6:8">
      <c r="H36713" t="s">
        <v>34727</v>
      </c>
    </row>
    <row r="36714" spans="6:8">
      <c r="H36714" t="s">
        <v>34728</v>
      </c>
    </row>
    <row r="36715" spans="6:8">
      <c r="H36715" t="s">
        <v>34729</v>
      </c>
    </row>
    <row r="36716" spans="6:8">
      <c r="H36716" t="s">
        <v>34730</v>
      </c>
    </row>
    <row r="36717" spans="6:8">
      <c r="F36717" t="s">
        <v>14289</v>
      </c>
      <c r="G36717" t="s">
        <v>17655</v>
      </c>
      <c r="H36717" t="s">
        <v>30452</v>
      </c>
    </row>
    <row r="36718" spans="6:8">
      <c r="F36718" t="s">
        <v>13206</v>
      </c>
      <c r="G36718" t="s">
        <v>17348</v>
      </c>
      <c r="H36718" t="s">
        <v>34731</v>
      </c>
    </row>
    <row r="36719" spans="6:8">
      <c r="H36719" t="s">
        <v>34732</v>
      </c>
    </row>
    <row r="36720" spans="6:8">
      <c r="H36720" t="s">
        <v>34733</v>
      </c>
    </row>
    <row r="36721" spans="6:8">
      <c r="F36721" t="s">
        <v>14290</v>
      </c>
      <c r="G36721" t="s">
        <v>18252</v>
      </c>
      <c r="H36721" t="s">
        <v>19981</v>
      </c>
    </row>
    <row r="36722" spans="6:8">
      <c r="H36722" t="s">
        <v>34734</v>
      </c>
    </row>
    <row r="36723" spans="6:8">
      <c r="F36723" t="s">
        <v>13346</v>
      </c>
      <c r="G36723" t="s">
        <v>17474</v>
      </c>
      <c r="H36723" t="s">
        <v>34735</v>
      </c>
    </row>
    <row r="36724" spans="6:8">
      <c r="H36724" t="s">
        <v>34736</v>
      </c>
    </row>
    <row r="36725" spans="6:8">
      <c r="H36725" t="s">
        <v>34737</v>
      </c>
    </row>
    <row r="36726" spans="6:8">
      <c r="F36726" t="s">
        <v>13390</v>
      </c>
      <c r="G36726" t="s">
        <v>17513</v>
      </c>
      <c r="H36726" t="s">
        <v>19019</v>
      </c>
    </row>
    <row r="36727" spans="6:8">
      <c r="F36727" t="s">
        <v>14291</v>
      </c>
      <c r="G36727" t="s">
        <v>18253</v>
      </c>
      <c r="H36727" t="s">
        <v>34738</v>
      </c>
    </row>
    <row r="36728" spans="6:8">
      <c r="H36728" t="s">
        <v>34739</v>
      </c>
    </row>
    <row r="36729" spans="6:8">
      <c r="H36729" t="s">
        <v>34740</v>
      </c>
    </row>
    <row r="36730" spans="6:8">
      <c r="H36730" t="s">
        <v>34741</v>
      </c>
    </row>
    <row r="36731" spans="6:8">
      <c r="H36731" t="s">
        <v>34742</v>
      </c>
    </row>
    <row r="36732" spans="6:8">
      <c r="H36732" t="s">
        <v>31971</v>
      </c>
    </row>
    <row r="36733" spans="6:8">
      <c r="H36733" t="s">
        <v>31971</v>
      </c>
    </row>
    <row r="36734" spans="6:8">
      <c r="H36734" t="s">
        <v>34743</v>
      </c>
    </row>
    <row r="36735" spans="6:8">
      <c r="H36735" t="s">
        <v>34744</v>
      </c>
    </row>
    <row r="36736" spans="6:8">
      <c r="H36736" t="s">
        <v>34745</v>
      </c>
    </row>
    <row r="36737" spans="6:8">
      <c r="H36737" t="s">
        <v>26315</v>
      </c>
    </row>
    <row r="36738" spans="6:8">
      <c r="H36738" t="s">
        <v>34746</v>
      </c>
    </row>
    <row r="36739" spans="6:8">
      <c r="H36739" t="s">
        <v>34747</v>
      </c>
    </row>
    <row r="36740" spans="6:8">
      <c r="H36740" t="s">
        <v>34748</v>
      </c>
    </row>
    <row r="36741" spans="6:8">
      <c r="F36741" t="s">
        <v>14292</v>
      </c>
      <c r="G36741" t="s">
        <v>18254</v>
      </c>
      <c r="H36741" t="s">
        <v>20083</v>
      </c>
    </row>
    <row r="36742" spans="6:8">
      <c r="H36742" t="s">
        <v>27192</v>
      </c>
    </row>
    <row r="36743" spans="6:8">
      <c r="H36743" t="s">
        <v>34283</v>
      </c>
    </row>
    <row r="36744" spans="6:8">
      <c r="H36744" t="s">
        <v>34749</v>
      </c>
    </row>
    <row r="36745" spans="6:8">
      <c r="F36745" t="s">
        <v>14293</v>
      </c>
      <c r="G36745" t="s">
        <v>18255</v>
      </c>
      <c r="H36745" t="s">
        <v>34750</v>
      </c>
    </row>
    <row r="36746" spans="6:8">
      <c r="H36746" t="s">
        <v>34751</v>
      </c>
    </row>
    <row r="36747" spans="6:8">
      <c r="F36747" t="s">
        <v>14153</v>
      </c>
      <c r="G36747" t="s">
        <v>18140</v>
      </c>
      <c r="H36747" t="s">
        <v>34752</v>
      </c>
    </row>
    <row r="36748" spans="6:8">
      <c r="F36748" t="s">
        <v>12743</v>
      </c>
      <c r="G36748" t="s">
        <v>16935</v>
      </c>
      <c r="H36748" t="s">
        <v>34753</v>
      </c>
    </row>
    <row r="36749" spans="6:8">
      <c r="F36749" t="s">
        <v>14249</v>
      </c>
      <c r="G36749" t="s">
        <v>18214</v>
      </c>
      <c r="H36749" t="s">
        <v>32584</v>
      </c>
    </row>
    <row r="36750" spans="6:8">
      <c r="H36750" t="s">
        <v>32585</v>
      </c>
    </row>
    <row r="36751" spans="6:8">
      <c r="H36751" t="s">
        <v>32586</v>
      </c>
    </row>
    <row r="36752" spans="6:8">
      <c r="H36752" t="s">
        <v>34754</v>
      </c>
    </row>
    <row r="36753" spans="1:8">
      <c r="H36753" t="s">
        <v>34755</v>
      </c>
    </row>
    <row r="36754" spans="1:8">
      <c r="H36754" t="s">
        <v>34756</v>
      </c>
    </row>
    <row r="36755" spans="1:8">
      <c r="H36755" t="s">
        <v>34757</v>
      </c>
    </row>
    <row r="36756" spans="1:8">
      <c r="H36756" t="s">
        <v>34758</v>
      </c>
    </row>
    <row r="36757" spans="1:8">
      <c r="H36757" t="s">
        <v>32617</v>
      </c>
    </row>
    <row r="36758" spans="1:8">
      <c r="H36758" t="s">
        <v>34759</v>
      </c>
    </row>
    <row r="36759" spans="1:8">
      <c r="F36759" t="s">
        <v>12419</v>
      </c>
      <c r="G36759" t="s">
        <v>16641</v>
      </c>
      <c r="H36759" t="s">
        <v>34007</v>
      </c>
    </row>
    <row r="36760" spans="1:8">
      <c r="F36760" t="s">
        <v>14294</v>
      </c>
      <c r="G36760" t="s">
        <v>18256</v>
      </c>
      <c r="H36760" t="s">
        <v>32580</v>
      </c>
    </row>
    <row r="36761" spans="1:8">
      <c r="F36761" t="s">
        <v>13229</v>
      </c>
      <c r="G36761" t="s">
        <v>17370</v>
      </c>
      <c r="H36761" t="s">
        <v>33497</v>
      </c>
    </row>
    <row r="36762" spans="1:8">
      <c r="F36762" t="s">
        <v>13136</v>
      </c>
      <c r="G36762" t="s">
        <v>17293</v>
      </c>
      <c r="H36762" t="s">
        <v>34753</v>
      </c>
    </row>
    <row r="36763" spans="1:8">
      <c r="F36763" t="s">
        <v>12745</v>
      </c>
      <c r="G36763" t="s">
        <v>16937</v>
      </c>
      <c r="H36763" t="s">
        <v>34753</v>
      </c>
    </row>
    <row r="36764" spans="1:8">
      <c r="A36764" t="s">
        <v>3480</v>
      </c>
      <c r="B36764">
        <f>HYPERLINK("https://android.googlesource.com/platform/cts/+/1c9aafbbcf16a532935ebbf446309a0e9292d282", "1c9aafbbcf16a532935ebbf446309a0e9292d282")</f>
        <v>0</v>
      </c>
      <c r="C36764">
        <f>HYPERLINK("https://android.googlesource.com/platform/cts/+/8a1bac93f9bbb80e86539b4d50d290aa24198558", "8a1bac93f9bbb80e86539b4d50d290aa24198558")</f>
        <v>0</v>
      </c>
      <c r="D36764" t="s">
        <v>5573</v>
      </c>
      <c r="E36764" t="s">
        <v>9174</v>
      </c>
      <c r="F36764" t="s">
        <v>14295</v>
      </c>
      <c r="G36764" t="s">
        <v>18257</v>
      </c>
      <c r="H36764" t="s">
        <v>34760</v>
      </c>
    </row>
    <row r="36765" spans="1:8">
      <c r="H36765" t="s">
        <v>34761</v>
      </c>
    </row>
    <row r="36766" spans="1:8">
      <c r="A36766" t="s">
        <v>3481</v>
      </c>
      <c r="B36766">
        <f>HYPERLINK("https://android.googlesource.com/platform/cts/+/620aa837a5534311b645f206a2f69786e145bd25", "620aa837a5534311b645f206a2f69786e145bd25")</f>
        <v>0</v>
      </c>
      <c r="C36766">
        <f>HYPERLINK("https://android.googlesource.com/platform/cts/+/b639906399b24bbb9500f6f1b3b61b6e1b1ff215", "b639906399b24bbb9500f6f1b3b61b6e1b1ff215")</f>
        <v>0</v>
      </c>
      <c r="D36766" t="s">
        <v>5556</v>
      </c>
      <c r="E36766" t="s">
        <v>9175</v>
      </c>
      <c r="F36766" t="s">
        <v>14296</v>
      </c>
      <c r="G36766" t="s">
        <v>18022</v>
      </c>
      <c r="H36766" t="s">
        <v>34762</v>
      </c>
    </row>
    <row r="36767" spans="1:8">
      <c r="H36767" t="s">
        <v>34763</v>
      </c>
    </row>
    <row r="36768" spans="1:8">
      <c r="H36768" t="s">
        <v>34764</v>
      </c>
    </row>
    <row r="36769" spans="1:8">
      <c r="A36769" t="s">
        <v>3482</v>
      </c>
      <c r="B36769">
        <f>HYPERLINK("https://android.googlesource.com/platform/cts/+/ccca1ccda73da8b6289bacd6ffd0b9619470d8c3", "ccca1ccda73da8b6289bacd6ffd0b9619470d8c3")</f>
        <v>0</v>
      </c>
      <c r="C36769">
        <f>HYPERLINK("https://android.googlesource.com/platform/cts/+/6aa9a8cc64d788589c997be3d4f903f5352a13c0", "6aa9a8cc64d788589c997be3d4f903f5352a13c0")</f>
        <v>0</v>
      </c>
      <c r="D36769" t="s">
        <v>5574</v>
      </c>
      <c r="E36769" t="s">
        <v>9176</v>
      </c>
      <c r="F36769" t="s">
        <v>14272</v>
      </c>
      <c r="G36769" t="s">
        <v>18239</v>
      </c>
      <c r="H36769" t="s">
        <v>34765</v>
      </c>
    </row>
    <row r="36770" spans="1:8">
      <c r="A36770" t="s">
        <v>3483</v>
      </c>
      <c r="B36770">
        <f>HYPERLINK("https://android.googlesource.com/platform/cts/+/555514036c6465b61ca8f386c7871887698cc239", "555514036c6465b61ca8f386c7871887698cc239")</f>
        <v>0</v>
      </c>
      <c r="C36770">
        <f>HYPERLINK("https://android.googlesource.com/platform/cts/+/94f875844831a258cd87189a07d54a7e87bbcef6", "94f875844831a258cd87189a07d54a7e87bbcef6")</f>
        <v>0</v>
      </c>
      <c r="D36770" t="s">
        <v>5108</v>
      </c>
      <c r="E36770" t="s">
        <v>9177</v>
      </c>
      <c r="F36770" t="s">
        <v>13206</v>
      </c>
      <c r="G36770" t="s">
        <v>17348</v>
      </c>
      <c r="H36770" t="s">
        <v>34766</v>
      </c>
    </row>
    <row r="36771" spans="1:8">
      <c r="H36771" t="s">
        <v>34767</v>
      </c>
    </row>
    <row r="36772" spans="1:8">
      <c r="H36772" t="s">
        <v>34768</v>
      </c>
    </row>
    <row r="36773" spans="1:8">
      <c r="A36773" t="s">
        <v>3484</v>
      </c>
      <c r="B36773">
        <f>HYPERLINK("https://android.googlesource.com/platform/cts/+/f68e610a959eba1242392860ed648f8787ddd837", "f68e610a959eba1242392860ed648f8787ddd837")</f>
        <v>0</v>
      </c>
      <c r="C36773">
        <f>HYPERLINK("https://android.googlesource.com/platform/cts/+/009f442809e64ebd7747f3f9ffa78536396f7421", "009f442809e64ebd7747f3f9ffa78536396f7421")</f>
        <v>0</v>
      </c>
      <c r="D36773" t="s">
        <v>5556</v>
      </c>
      <c r="E36773" t="s">
        <v>9178</v>
      </c>
      <c r="F36773" t="s">
        <v>14297</v>
      </c>
      <c r="G36773" t="s">
        <v>18022</v>
      </c>
      <c r="H36773" t="s">
        <v>34769</v>
      </c>
    </row>
    <row r="36774" spans="1:8">
      <c r="A36774" t="s">
        <v>3485</v>
      </c>
      <c r="B36774">
        <f>HYPERLINK("https://android.googlesource.com/platform/cts/+/575d939f1225b5107a3100a69dbc2df99c20b749", "575d939f1225b5107a3100a69dbc2df99c20b749")</f>
        <v>0</v>
      </c>
      <c r="C36774">
        <f>HYPERLINK("https://android.googlesource.com/platform/cts/+/c28f44a3abb6da4f24f11670a7816f39abba914d", "c28f44a3abb6da4f24f11670a7816f39abba914d")</f>
        <v>0</v>
      </c>
      <c r="D36774" t="s">
        <v>5556</v>
      </c>
      <c r="E36774" t="s">
        <v>9179</v>
      </c>
      <c r="F36774" t="s">
        <v>14297</v>
      </c>
      <c r="G36774" t="s">
        <v>18022</v>
      </c>
      <c r="H36774" t="s">
        <v>34762</v>
      </c>
    </row>
    <row r="36775" spans="1:8">
      <c r="A36775" t="s">
        <v>3486</v>
      </c>
      <c r="B36775">
        <f>HYPERLINK("https://android.googlesource.com/platform/cts/+/8e3d022b648a99041364e598017383f92d731b6d", "8e3d022b648a99041364e598017383f92d731b6d")</f>
        <v>0</v>
      </c>
      <c r="C36775">
        <f>HYPERLINK("https://android.googlesource.com/platform/cts/+/7416bdea2796b42bd24bbfed09fbdcb0d63edd02", "7416bdea2796b42bd24bbfed09fbdcb0d63edd02")</f>
        <v>0</v>
      </c>
      <c r="D36775" t="s">
        <v>5568</v>
      </c>
      <c r="E36775" t="s">
        <v>9180</v>
      </c>
      <c r="F36775" t="s">
        <v>10699</v>
      </c>
      <c r="G36775" t="s">
        <v>15099</v>
      </c>
      <c r="H36775" t="s">
        <v>34770</v>
      </c>
    </row>
    <row r="36776" spans="1:8">
      <c r="F36776" t="s">
        <v>14298</v>
      </c>
      <c r="G36776" t="s">
        <v>18236</v>
      </c>
      <c r="H36776" t="s">
        <v>34771</v>
      </c>
    </row>
    <row r="36777" spans="1:8">
      <c r="H36777" t="s">
        <v>34533</v>
      </c>
    </row>
    <row r="36778" spans="1:8">
      <c r="H36778" t="s">
        <v>34568</v>
      </c>
    </row>
    <row r="36779" spans="1:8">
      <c r="H36779" t="s">
        <v>34569</v>
      </c>
    </row>
    <row r="36780" spans="1:8">
      <c r="A36780" t="s">
        <v>3487</v>
      </c>
      <c r="B36780">
        <f>HYPERLINK("https://android.googlesource.com/platform/cts/+/40bc18f8dcaa8c5d15a4283fbebd2832253b1ba4", "40bc18f8dcaa8c5d15a4283fbebd2832253b1ba4")</f>
        <v>0</v>
      </c>
      <c r="C36780">
        <f>HYPERLINK("https://android.googlesource.com/platform/cts/+/d694092800a1302b53a4339203450459a59ec197", "d694092800a1302b53a4339203450459a59ec197")</f>
        <v>0</v>
      </c>
      <c r="D36780" t="s">
        <v>5231</v>
      </c>
      <c r="E36780" t="s">
        <v>9181</v>
      </c>
      <c r="F36780" t="s">
        <v>14299</v>
      </c>
      <c r="G36780" t="s">
        <v>18258</v>
      </c>
      <c r="H36780" t="s">
        <v>18829</v>
      </c>
    </row>
    <row r="36781" spans="1:8">
      <c r="H36781" t="s">
        <v>34772</v>
      </c>
    </row>
    <row r="36782" spans="1:8">
      <c r="A36782" t="s">
        <v>3488</v>
      </c>
      <c r="B36782">
        <f>HYPERLINK("https://android.googlesource.com/platform/cts/+/5745fa902a8c319625e033f88678d6d021ec307b", "5745fa902a8c319625e033f88678d6d021ec307b")</f>
        <v>0</v>
      </c>
      <c r="C36782">
        <f>HYPERLINK("https://android.googlesource.com/platform/cts/+/a402925a5b33b57ca2452b2615c265556312f057", "a402925a5b33b57ca2452b2615c265556312f057")</f>
        <v>0</v>
      </c>
      <c r="D36782" t="s">
        <v>5277</v>
      </c>
      <c r="E36782" t="s">
        <v>9182</v>
      </c>
      <c r="F36782" t="s">
        <v>14300</v>
      </c>
      <c r="G36782" t="s">
        <v>18259</v>
      </c>
      <c r="H36782" t="s">
        <v>34773</v>
      </c>
    </row>
    <row r="36783" spans="1:8">
      <c r="H36783" t="s">
        <v>34774</v>
      </c>
    </row>
    <row r="36784" spans="1:8">
      <c r="H36784" t="s">
        <v>34775</v>
      </c>
    </row>
    <row r="36785" spans="1:8">
      <c r="A36785" t="s">
        <v>3489</v>
      </c>
      <c r="B36785">
        <f>HYPERLINK("https://android.googlesource.com/platform/cts/+/36de324a2f6758c90a838851fe528212b86327af", "36de324a2f6758c90a838851fe528212b86327af")</f>
        <v>0</v>
      </c>
      <c r="C36785">
        <f>HYPERLINK("https://android.googlesource.com/platform/cts/+/5745fa902a8c319625e033f88678d6d021ec307b", "5745fa902a8c319625e033f88678d6d021ec307b")</f>
        <v>0</v>
      </c>
      <c r="D36785" t="s">
        <v>5277</v>
      </c>
      <c r="E36785" t="s">
        <v>9183</v>
      </c>
      <c r="F36785" t="s">
        <v>14301</v>
      </c>
      <c r="G36785" t="s">
        <v>18260</v>
      </c>
      <c r="H36785" t="s">
        <v>19019</v>
      </c>
    </row>
    <row r="36786" spans="1:8">
      <c r="H36786" t="s">
        <v>34776</v>
      </c>
    </row>
    <row r="36787" spans="1:8">
      <c r="H36787" t="s">
        <v>34777</v>
      </c>
    </row>
    <row r="36788" spans="1:8">
      <c r="F36788" t="s">
        <v>14300</v>
      </c>
      <c r="G36788" t="s">
        <v>18259</v>
      </c>
      <c r="H36788" t="s">
        <v>34778</v>
      </c>
    </row>
    <row r="36789" spans="1:8">
      <c r="H36789" t="s">
        <v>34779</v>
      </c>
    </row>
    <row r="36790" spans="1:8">
      <c r="A36790" t="s">
        <v>3490</v>
      </c>
      <c r="B36790">
        <f>HYPERLINK("https://android.googlesource.com/platform/cts/+/ec307a85f6d288a683e5fd5e6bf02ea654cba967", "ec307a85f6d288a683e5fd5e6bf02ea654cba967")</f>
        <v>0</v>
      </c>
      <c r="C36790">
        <f>HYPERLINK("https://android.googlesource.com/platform/cts/+/499088a952ede861f386b233a96b76edcd4574cc", "499088a952ede861f386b233a96b76edcd4574cc")</f>
        <v>0</v>
      </c>
      <c r="D36790" t="s">
        <v>5568</v>
      </c>
      <c r="E36790" t="s">
        <v>9184</v>
      </c>
      <c r="F36790" t="s">
        <v>14298</v>
      </c>
      <c r="G36790" t="s">
        <v>18261</v>
      </c>
      <c r="H36790" t="s">
        <v>34249</v>
      </c>
    </row>
    <row r="36791" spans="1:8">
      <c r="H36791" t="s">
        <v>34250</v>
      </c>
    </row>
    <row r="36792" spans="1:8">
      <c r="H36792" t="s">
        <v>34526</v>
      </c>
    </row>
    <row r="36793" spans="1:8">
      <c r="H36793" t="s">
        <v>34780</v>
      </c>
    </row>
    <row r="36794" spans="1:8">
      <c r="H36794" t="s">
        <v>34529</v>
      </c>
    </row>
    <row r="36795" spans="1:8">
      <c r="H36795" t="s">
        <v>34781</v>
      </c>
    </row>
    <row r="36796" spans="1:8">
      <c r="H36796" t="s">
        <v>34782</v>
      </c>
    </row>
    <row r="36797" spans="1:8">
      <c r="H36797" t="s">
        <v>34531</v>
      </c>
    </row>
    <row r="36798" spans="1:8">
      <c r="H36798" t="s">
        <v>34783</v>
      </c>
    </row>
    <row r="36799" spans="1:8">
      <c r="H36799" t="s">
        <v>34534</v>
      </c>
    </row>
    <row r="36800" spans="1:8">
      <c r="H36800" t="s">
        <v>34535</v>
      </c>
    </row>
    <row r="36801" spans="8:8">
      <c r="H36801" t="s">
        <v>34536</v>
      </c>
    </row>
    <row r="36802" spans="8:8">
      <c r="H36802" t="s">
        <v>34537</v>
      </c>
    </row>
    <row r="36803" spans="8:8">
      <c r="H36803" t="s">
        <v>34538</v>
      </c>
    </row>
    <row r="36804" spans="8:8">
      <c r="H36804" t="s">
        <v>34539</v>
      </c>
    </row>
    <row r="36805" spans="8:8">
      <c r="H36805" t="s">
        <v>34540</v>
      </c>
    </row>
    <row r="36806" spans="8:8">
      <c r="H36806" t="s">
        <v>34541</v>
      </c>
    </row>
    <row r="36807" spans="8:8">
      <c r="H36807" t="s">
        <v>34542</v>
      </c>
    </row>
    <row r="36808" spans="8:8">
      <c r="H36808" t="s">
        <v>34543</v>
      </c>
    </row>
    <row r="36809" spans="8:8">
      <c r="H36809" t="s">
        <v>34544</v>
      </c>
    </row>
    <row r="36810" spans="8:8">
      <c r="H36810" t="s">
        <v>34784</v>
      </c>
    </row>
    <row r="36811" spans="8:8">
      <c r="H36811" t="s">
        <v>34546</v>
      </c>
    </row>
    <row r="36812" spans="8:8">
      <c r="H36812" t="s">
        <v>34547</v>
      </c>
    </row>
    <row r="36813" spans="8:8">
      <c r="H36813" t="s">
        <v>34785</v>
      </c>
    </row>
    <row r="36814" spans="8:8">
      <c r="H36814" t="s">
        <v>34549</v>
      </c>
    </row>
    <row r="36815" spans="8:8">
      <c r="H36815" t="s">
        <v>34786</v>
      </c>
    </row>
    <row r="36816" spans="8:8">
      <c r="H36816" t="s">
        <v>34551</v>
      </c>
    </row>
    <row r="36817" spans="8:8">
      <c r="H36817" t="s">
        <v>34552</v>
      </c>
    </row>
    <row r="36818" spans="8:8">
      <c r="H36818" t="s">
        <v>34787</v>
      </c>
    </row>
    <row r="36819" spans="8:8">
      <c r="H36819" t="s">
        <v>34788</v>
      </c>
    </row>
    <row r="36820" spans="8:8">
      <c r="H36820" t="s">
        <v>34789</v>
      </c>
    </row>
    <row r="36821" spans="8:8">
      <c r="H36821" t="s">
        <v>34790</v>
      </c>
    </row>
    <row r="36822" spans="8:8">
      <c r="H36822" t="s">
        <v>34791</v>
      </c>
    </row>
    <row r="36823" spans="8:8">
      <c r="H36823" t="s">
        <v>34555</v>
      </c>
    </row>
    <row r="36824" spans="8:8">
      <c r="H36824" t="s">
        <v>34556</v>
      </c>
    </row>
    <row r="36825" spans="8:8">
      <c r="H36825" t="s">
        <v>34792</v>
      </c>
    </row>
    <row r="36826" spans="8:8">
      <c r="H36826" t="s">
        <v>34558</v>
      </c>
    </row>
    <row r="36827" spans="8:8">
      <c r="H36827" t="s">
        <v>34559</v>
      </c>
    </row>
    <row r="36828" spans="8:8">
      <c r="H36828" t="s">
        <v>34560</v>
      </c>
    </row>
    <row r="36829" spans="8:8">
      <c r="H36829" t="s">
        <v>34793</v>
      </c>
    </row>
    <row r="36830" spans="8:8">
      <c r="H36830" t="s">
        <v>34794</v>
      </c>
    </row>
    <row r="36831" spans="8:8">
      <c r="H36831" t="s">
        <v>34561</v>
      </c>
    </row>
    <row r="36832" spans="8:8">
      <c r="H36832" t="s">
        <v>34562</v>
      </c>
    </row>
    <row r="36833" spans="8:8">
      <c r="H36833" t="s">
        <v>34563</v>
      </c>
    </row>
    <row r="36834" spans="8:8">
      <c r="H36834" t="s">
        <v>19019</v>
      </c>
    </row>
    <row r="36835" spans="8:8">
      <c r="H36835" t="s">
        <v>34564</v>
      </c>
    </row>
    <row r="36836" spans="8:8">
      <c r="H36836" t="s">
        <v>34565</v>
      </c>
    </row>
    <row r="36837" spans="8:8">
      <c r="H36837" t="s">
        <v>34566</v>
      </c>
    </row>
    <row r="36838" spans="8:8">
      <c r="H36838" t="s">
        <v>34567</v>
      </c>
    </row>
    <row r="36839" spans="8:8">
      <c r="H36839" t="s">
        <v>34795</v>
      </c>
    </row>
    <row r="36840" spans="8:8">
      <c r="H36840" t="s">
        <v>34570</v>
      </c>
    </row>
    <row r="36841" spans="8:8">
      <c r="H36841" t="s">
        <v>34571</v>
      </c>
    </row>
    <row r="36842" spans="8:8">
      <c r="H36842" t="s">
        <v>34572</v>
      </c>
    </row>
    <row r="36843" spans="8:8">
      <c r="H36843" t="s">
        <v>34572</v>
      </c>
    </row>
    <row r="36844" spans="8:8">
      <c r="H36844" t="s">
        <v>34573</v>
      </c>
    </row>
    <row r="36845" spans="8:8">
      <c r="H36845" t="s">
        <v>34573</v>
      </c>
    </row>
    <row r="36846" spans="8:8">
      <c r="H36846" t="s">
        <v>34574</v>
      </c>
    </row>
    <row r="36847" spans="8:8">
      <c r="H36847" t="s">
        <v>34575</v>
      </c>
    </row>
    <row r="36848" spans="8:8">
      <c r="H36848" t="s">
        <v>34796</v>
      </c>
    </row>
    <row r="36849" spans="1:8">
      <c r="H36849" t="s">
        <v>34797</v>
      </c>
    </row>
    <row r="36850" spans="1:8">
      <c r="H36850" t="s">
        <v>34797</v>
      </c>
    </row>
    <row r="36851" spans="1:8">
      <c r="H36851" t="s">
        <v>34798</v>
      </c>
    </row>
    <row r="36852" spans="1:8">
      <c r="H36852" t="s">
        <v>22005</v>
      </c>
    </row>
    <row r="36853" spans="1:8">
      <c r="H36853" t="s">
        <v>34799</v>
      </c>
    </row>
    <row r="36854" spans="1:8">
      <c r="A36854" t="s">
        <v>3491</v>
      </c>
      <c r="B36854">
        <f>HYPERLINK("https://android.googlesource.com/platform/cts/+/d2a8c14d06874a96da08a43d1c060ef6e5de8095", "d2a8c14d06874a96da08a43d1c060ef6e5de8095")</f>
        <v>0</v>
      </c>
      <c r="C36854">
        <f>HYPERLINK("https://android.googlesource.com/platform/cts/+/36de324a2f6758c90a838851fe528212b86327af", "36de324a2f6758c90a838851fe528212b86327af")</f>
        <v>0</v>
      </c>
      <c r="D36854" t="s">
        <v>5277</v>
      </c>
      <c r="E36854" t="s">
        <v>9185</v>
      </c>
      <c r="F36854" t="s">
        <v>14302</v>
      </c>
      <c r="G36854" t="s">
        <v>18260</v>
      </c>
      <c r="H36854" t="s">
        <v>34800</v>
      </c>
    </row>
    <row r="36855" spans="1:8">
      <c r="H36855" t="s">
        <v>34777</v>
      </c>
    </row>
    <row r="36856" spans="1:8">
      <c r="A36856" t="s">
        <v>3493</v>
      </c>
      <c r="B36856">
        <f>HYPERLINK("https://android.googlesource.com/platform/cts/+/c55056dd13bfb0e8b3d04c5b882e1b5049adfbf9", "c55056dd13bfb0e8b3d04c5b882e1b5049adfbf9")</f>
        <v>0</v>
      </c>
      <c r="C36856">
        <f>HYPERLINK("https://android.googlesource.com/platform/cts/+/e63ef94f984f46c37e2d4adb95f64309351b4cb7", "e63ef94f984f46c37e2d4adb95f64309351b4cb7")</f>
        <v>0</v>
      </c>
      <c r="D36856" t="s">
        <v>5355</v>
      </c>
      <c r="E36856" t="s">
        <v>9187</v>
      </c>
      <c r="F36856" t="s">
        <v>14303</v>
      </c>
      <c r="G36856" t="s">
        <v>17388</v>
      </c>
      <c r="H36856" t="s">
        <v>34801</v>
      </c>
    </row>
    <row r="36857" spans="1:8">
      <c r="H36857" t="s">
        <v>34802</v>
      </c>
    </row>
    <row r="36858" spans="1:8">
      <c r="A36858" t="s">
        <v>3494</v>
      </c>
      <c r="B36858">
        <f>HYPERLINK("https://android.googlesource.com/platform/cts/+/2507fe4f2804a387f1cfa9c35b79a64dd07f104d", "2507fe4f2804a387f1cfa9c35b79a64dd07f104d")</f>
        <v>0</v>
      </c>
      <c r="C36858">
        <f>HYPERLINK("https://android.googlesource.com/platform/cts/+/5f75fff523b3a66e8489a96bc1833d80ca3b4eaa", "5f75fff523b3a66e8489a96bc1833d80ca3b4eaa")</f>
        <v>0</v>
      </c>
      <c r="D36858" t="s">
        <v>5508</v>
      </c>
      <c r="E36858" t="s">
        <v>9188</v>
      </c>
      <c r="F36858" t="s">
        <v>13816</v>
      </c>
      <c r="G36858" t="s">
        <v>15089</v>
      </c>
      <c r="H36858" t="s">
        <v>34803</v>
      </c>
    </row>
    <row r="36859" spans="1:8">
      <c r="A36859" t="s">
        <v>3497</v>
      </c>
      <c r="B36859">
        <f>HYPERLINK("https://android.googlesource.com/platform/cts/+/c145703828cffc38301e13514bb9e766b49effbf", "c145703828cffc38301e13514bb9e766b49effbf")</f>
        <v>0</v>
      </c>
      <c r="C36859">
        <f>HYPERLINK("https://android.googlesource.com/platform/cts/+/270dd0ade1f14e1ad2ab331baef87f6a57e916a7", "270dd0ade1f14e1ad2ab331baef87f6a57e916a7")</f>
        <v>0</v>
      </c>
      <c r="D36859" t="s">
        <v>5354</v>
      </c>
      <c r="E36859" t="s">
        <v>9191</v>
      </c>
      <c r="F36859" t="s">
        <v>14267</v>
      </c>
      <c r="G36859" t="s">
        <v>18234</v>
      </c>
      <c r="H36859" t="s">
        <v>34804</v>
      </c>
    </row>
    <row r="36860" spans="1:8">
      <c r="A36860" t="s">
        <v>3498</v>
      </c>
      <c r="B36860">
        <f>HYPERLINK("https://android.googlesource.com/platform/cts/+/333b4a627bd9005d8f115a15e1938f3aec894ce7", "333b4a627bd9005d8f115a15e1938f3aec894ce7")</f>
        <v>0</v>
      </c>
      <c r="C36860">
        <f>HYPERLINK("https://android.googlesource.com/platform/cts/+/65dc0a4bba0749767e2746cea08a654e51699918", "65dc0a4bba0749767e2746cea08a654e51699918")</f>
        <v>0</v>
      </c>
      <c r="D36860" t="s">
        <v>5575</v>
      </c>
      <c r="E36860" t="s">
        <v>9192</v>
      </c>
      <c r="F36860" t="s">
        <v>14076</v>
      </c>
      <c r="G36860" t="s">
        <v>18074</v>
      </c>
      <c r="H36860" t="s">
        <v>34805</v>
      </c>
    </row>
    <row r="36861" spans="1:8">
      <c r="A36861" t="s">
        <v>3499</v>
      </c>
      <c r="B36861">
        <f>HYPERLINK("https://android.googlesource.com/platform/cts/+/cc8762514e9b4c0283554fe76693402b5001e4cb", "cc8762514e9b4c0283554fe76693402b5001e4cb")</f>
        <v>0</v>
      </c>
      <c r="C36861">
        <f>HYPERLINK("https://android.googlesource.com/platform/cts/+/92c4602f55c886e53f5b959832d03c84beda9cef", "92c4602f55c886e53f5b959832d03c84beda9cef")</f>
        <v>0</v>
      </c>
      <c r="D36861" t="s">
        <v>5473</v>
      </c>
      <c r="E36861" t="s">
        <v>9193</v>
      </c>
      <c r="F36861" t="s">
        <v>14185</v>
      </c>
      <c r="G36861" t="s">
        <v>18166</v>
      </c>
      <c r="H36861" t="s">
        <v>34806</v>
      </c>
    </row>
    <row r="36862" spans="1:8">
      <c r="A36862" t="s">
        <v>3500</v>
      </c>
      <c r="B36862">
        <f>HYPERLINK("https://android.googlesource.com/platform/cts/+/935d71a4a157f12a9907139bbc1b6178f541f1f6", "935d71a4a157f12a9907139bbc1b6178f541f1f6")</f>
        <v>0</v>
      </c>
      <c r="C36862">
        <f>HYPERLINK("https://android.googlesource.com/platform/cts/+/7168452074033d83d2767ebfa958331a0c50bbd6", "7168452074033d83d2767ebfa958331a0c50bbd6")</f>
        <v>0</v>
      </c>
      <c r="D36862" t="s">
        <v>5576</v>
      </c>
      <c r="E36862" t="s">
        <v>9194</v>
      </c>
      <c r="F36862" t="s">
        <v>13857</v>
      </c>
      <c r="G36862" t="s">
        <v>17899</v>
      </c>
      <c r="H36862" t="s">
        <v>18829</v>
      </c>
    </row>
    <row r="36863" spans="1:8">
      <c r="H36863" t="s">
        <v>18863</v>
      </c>
    </row>
    <row r="36864" spans="1:8">
      <c r="H36864" t="s">
        <v>34807</v>
      </c>
    </row>
    <row r="36865" spans="6:8">
      <c r="H36865" t="s">
        <v>34808</v>
      </c>
    </row>
    <row r="36866" spans="6:8">
      <c r="H36866" t="s">
        <v>34809</v>
      </c>
    </row>
    <row r="36867" spans="6:8">
      <c r="H36867" t="s">
        <v>34810</v>
      </c>
    </row>
    <row r="36868" spans="6:8">
      <c r="H36868" t="s">
        <v>34811</v>
      </c>
    </row>
    <row r="36869" spans="6:8">
      <c r="H36869" t="s">
        <v>34812</v>
      </c>
    </row>
    <row r="36870" spans="6:8">
      <c r="H36870" t="s">
        <v>34813</v>
      </c>
    </row>
    <row r="36871" spans="6:8">
      <c r="F36871" t="s">
        <v>13976</v>
      </c>
      <c r="G36871" t="s">
        <v>18001</v>
      </c>
      <c r="H36871" t="s">
        <v>18829</v>
      </c>
    </row>
    <row r="36872" spans="6:8">
      <c r="H36872" t="s">
        <v>18863</v>
      </c>
    </row>
    <row r="36873" spans="6:8">
      <c r="H36873" t="s">
        <v>34814</v>
      </c>
    </row>
    <row r="36874" spans="6:8">
      <c r="H36874" t="s">
        <v>34815</v>
      </c>
    </row>
    <row r="36875" spans="6:8">
      <c r="H36875" t="s">
        <v>34816</v>
      </c>
    </row>
    <row r="36876" spans="6:8">
      <c r="H36876" t="s">
        <v>34817</v>
      </c>
    </row>
    <row r="36877" spans="6:8">
      <c r="H36877" t="s">
        <v>34818</v>
      </c>
    </row>
    <row r="36878" spans="6:8">
      <c r="H36878" t="s">
        <v>34819</v>
      </c>
    </row>
    <row r="36879" spans="6:8">
      <c r="H36879" t="s">
        <v>34820</v>
      </c>
    </row>
    <row r="36880" spans="6:8">
      <c r="H36880" t="s">
        <v>34821</v>
      </c>
    </row>
    <row r="36881" spans="6:8">
      <c r="H36881" t="s">
        <v>34822</v>
      </c>
    </row>
    <row r="36882" spans="6:8">
      <c r="F36882" t="s">
        <v>13977</v>
      </c>
      <c r="G36882" t="s">
        <v>18002</v>
      </c>
      <c r="H36882" t="s">
        <v>34823</v>
      </c>
    </row>
    <row r="36883" spans="6:8">
      <c r="H36883" t="s">
        <v>18930</v>
      </c>
    </row>
    <row r="36884" spans="6:8">
      <c r="H36884" t="s">
        <v>19372</v>
      </c>
    </row>
    <row r="36885" spans="6:8">
      <c r="H36885" t="s">
        <v>34824</v>
      </c>
    </row>
    <row r="36886" spans="6:8">
      <c r="H36886" t="s">
        <v>34825</v>
      </c>
    </row>
    <row r="36887" spans="6:8">
      <c r="H36887" t="s">
        <v>34826</v>
      </c>
    </row>
    <row r="36888" spans="6:8">
      <c r="H36888" t="s">
        <v>34827</v>
      </c>
    </row>
    <row r="36889" spans="6:8">
      <c r="H36889" t="s">
        <v>31669</v>
      </c>
    </row>
    <row r="36890" spans="6:8">
      <c r="H36890" t="s">
        <v>32387</v>
      </c>
    </row>
    <row r="36891" spans="6:8">
      <c r="H36891" t="s">
        <v>34828</v>
      </c>
    </row>
    <row r="36892" spans="6:8">
      <c r="H36892" t="s">
        <v>31986</v>
      </c>
    </row>
    <row r="36893" spans="6:8">
      <c r="H36893" t="s">
        <v>34829</v>
      </c>
    </row>
    <row r="36894" spans="6:8">
      <c r="H36894" t="s">
        <v>34830</v>
      </c>
    </row>
    <row r="36895" spans="6:8">
      <c r="H36895" t="s">
        <v>34831</v>
      </c>
    </row>
    <row r="36896" spans="6:8">
      <c r="H36896" t="s">
        <v>34832</v>
      </c>
    </row>
    <row r="36897" spans="6:8">
      <c r="H36897" t="s">
        <v>18829</v>
      </c>
    </row>
    <row r="36898" spans="6:8">
      <c r="H36898" t="s">
        <v>18863</v>
      </c>
    </row>
    <row r="36899" spans="6:8">
      <c r="H36899" t="s">
        <v>33907</v>
      </c>
    </row>
    <row r="36900" spans="6:8">
      <c r="H36900" t="s">
        <v>33908</v>
      </c>
    </row>
    <row r="36901" spans="6:8">
      <c r="F36901" t="s">
        <v>12416</v>
      </c>
      <c r="G36901" t="s">
        <v>16638</v>
      </c>
      <c r="H36901" t="s">
        <v>26496</v>
      </c>
    </row>
    <row r="36902" spans="6:8">
      <c r="H36902" t="s">
        <v>18829</v>
      </c>
    </row>
    <row r="36903" spans="6:8">
      <c r="H36903" t="s">
        <v>18863</v>
      </c>
    </row>
    <row r="36904" spans="6:8">
      <c r="H36904" t="s">
        <v>34833</v>
      </c>
    </row>
    <row r="36905" spans="6:8">
      <c r="H36905" t="s">
        <v>34834</v>
      </c>
    </row>
    <row r="36906" spans="6:8">
      <c r="H36906" t="s">
        <v>34835</v>
      </c>
    </row>
    <row r="36907" spans="6:8">
      <c r="H36907" t="s">
        <v>29215</v>
      </c>
    </row>
    <row r="36908" spans="6:8">
      <c r="H36908" t="s">
        <v>27130</v>
      </c>
    </row>
    <row r="36909" spans="6:8">
      <c r="H36909" t="s">
        <v>34836</v>
      </c>
    </row>
    <row r="36910" spans="6:8">
      <c r="H36910" t="s">
        <v>34837</v>
      </c>
    </row>
    <row r="36911" spans="6:8">
      <c r="H36911" t="s">
        <v>34838</v>
      </c>
    </row>
    <row r="36912" spans="6:8">
      <c r="H36912" t="s">
        <v>34839</v>
      </c>
    </row>
    <row r="36913" spans="8:8">
      <c r="H36913" t="s">
        <v>34840</v>
      </c>
    </row>
    <row r="36914" spans="8:8">
      <c r="H36914" t="s">
        <v>34841</v>
      </c>
    </row>
    <row r="36915" spans="8:8">
      <c r="H36915" t="s">
        <v>34842</v>
      </c>
    </row>
    <row r="36916" spans="8:8">
      <c r="H36916" t="s">
        <v>34843</v>
      </c>
    </row>
    <row r="36917" spans="8:8">
      <c r="H36917" t="s">
        <v>34844</v>
      </c>
    </row>
    <row r="36918" spans="8:8">
      <c r="H36918" t="s">
        <v>34845</v>
      </c>
    </row>
    <row r="36919" spans="8:8">
      <c r="H36919" t="s">
        <v>34846</v>
      </c>
    </row>
    <row r="36920" spans="8:8">
      <c r="H36920" t="s">
        <v>34847</v>
      </c>
    </row>
    <row r="36921" spans="8:8">
      <c r="H36921" t="s">
        <v>31500</v>
      </c>
    </row>
    <row r="36922" spans="8:8">
      <c r="H36922" t="s">
        <v>34848</v>
      </c>
    </row>
    <row r="36923" spans="8:8">
      <c r="H36923" t="s">
        <v>34051</v>
      </c>
    </row>
    <row r="36924" spans="8:8">
      <c r="H36924" t="s">
        <v>34052</v>
      </c>
    </row>
    <row r="36925" spans="8:8">
      <c r="H36925" t="s">
        <v>34849</v>
      </c>
    </row>
    <row r="36926" spans="8:8">
      <c r="H36926" t="s">
        <v>34850</v>
      </c>
    </row>
    <row r="36927" spans="8:8">
      <c r="H36927" t="s">
        <v>34851</v>
      </c>
    </row>
    <row r="36928" spans="8:8">
      <c r="H36928" t="s">
        <v>26751</v>
      </c>
    </row>
    <row r="36929" spans="8:8">
      <c r="H36929" t="s">
        <v>34852</v>
      </c>
    </row>
    <row r="36930" spans="8:8">
      <c r="H36930" t="s">
        <v>34853</v>
      </c>
    </row>
    <row r="36931" spans="8:8">
      <c r="H36931" t="s">
        <v>34854</v>
      </c>
    </row>
    <row r="36932" spans="8:8">
      <c r="H36932" t="s">
        <v>34855</v>
      </c>
    </row>
    <row r="36933" spans="8:8">
      <c r="H36933" t="s">
        <v>34856</v>
      </c>
    </row>
    <row r="36934" spans="8:8">
      <c r="H36934" t="s">
        <v>34857</v>
      </c>
    </row>
    <row r="36935" spans="8:8">
      <c r="H36935" t="s">
        <v>34858</v>
      </c>
    </row>
    <row r="36936" spans="8:8">
      <c r="H36936" t="s">
        <v>34859</v>
      </c>
    </row>
    <row r="36937" spans="8:8">
      <c r="H36937" t="s">
        <v>34860</v>
      </c>
    </row>
    <row r="36938" spans="8:8">
      <c r="H36938" t="s">
        <v>34861</v>
      </c>
    </row>
    <row r="36939" spans="8:8">
      <c r="H36939" t="s">
        <v>34862</v>
      </c>
    </row>
    <row r="36940" spans="8:8">
      <c r="H36940" t="s">
        <v>34863</v>
      </c>
    </row>
    <row r="36941" spans="8:8">
      <c r="H36941" t="s">
        <v>34864</v>
      </c>
    </row>
    <row r="36942" spans="8:8">
      <c r="H36942" t="s">
        <v>34865</v>
      </c>
    </row>
    <row r="36943" spans="8:8">
      <c r="H36943" t="s">
        <v>34866</v>
      </c>
    </row>
    <row r="36944" spans="8:8">
      <c r="H36944" t="s">
        <v>34866</v>
      </c>
    </row>
    <row r="36945" spans="6:8">
      <c r="H36945" t="s">
        <v>34867</v>
      </c>
    </row>
    <row r="36946" spans="6:8">
      <c r="H36946" t="s">
        <v>34868</v>
      </c>
    </row>
    <row r="36947" spans="6:8">
      <c r="H36947" t="s">
        <v>34869</v>
      </c>
    </row>
    <row r="36948" spans="6:8">
      <c r="H36948" t="s">
        <v>19019</v>
      </c>
    </row>
    <row r="36949" spans="6:8">
      <c r="H36949" t="s">
        <v>34870</v>
      </c>
    </row>
    <row r="36950" spans="6:8">
      <c r="H36950" t="s">
        <v>32277</v>
      </c>
    </row>
    <row r="36951" spans="6:8">
      <c r="H36951" t="s">
        <v>19019</v>
      </c>
    </row>
    <row r="36952" spans="6:8">
      <c r="H36952" t="s">
        <v>24966</v>
      </c>
    </row>
    <row r="36953" spans="6:8">
      <c r="F36953" t="s">
        <v>14304</v>
      </c>
      <c r="G36953" t="s">
        <v>18262</v>
      </c>
      <c r="H36953" t="s">
        <v>20244</v>
      </c>
    </row>
    <row r="36954" spans="6:8">
      <c r="H36954" t="s">
        <v>19233</v>
      </c>
    </row>
    <row r="36955" spans="6:8">
      <c r="H36955" t="s">
        <v>18829</v>
      </c>
    </row>
    <row r="36956" spans="6:8">
      <c r="H36956" t="s">
        <v>34871</v>
      </c>
    </row>
    <row r="36957" spans="6:8">
      <c r="H36957" t="s">
        <v>25643</v>
      </c>
    </row>
    <row r="36958" spans="6:8">
      <c r="H36958" t="s">
        <v>31039</v>
      </c>
    </row>
    <row r="36959" spans="6:8">
      <c r="H36959" t="s">
        <v>34872</v>
      </c>
    </row>
    <row r="36960" spans="6:8">
      <c r="H36960" t="s">
        <v>34873</v>
      </c>
    </row>
    <row r="36961" spans="6:8">
      <c r="H36961" t="s">
        <v>34874</v>
      </c>
    </row>
    <row r="36962" spans="6:8">
      <c r="H36962" t="s">
        <v>34875</v>
      </c>
    </row>
    <row r="36963" spans="6:8">
      <c r="H36963" t="s">
        <v>31037</v>
      </c>
    </row>
    <row r="36964" spans="6:8">
      <c r="F36964" t="s">
        <v>13941</v>
      </c>
      <c r="G36964" t="s">
        <v>17972</v>
      </c>
      <c r="H36964" t="s">
        <v>18829</v>
      </c>
    </row>
    <row r="36965" spans="6:8">
      <c r="H36965" t="s">
        <v>32340</v>
      </c>
    </row>
    <row r="36966" spans="6:8">
      <c r="H36966" t="s">
        <v>32342</v>
      </c>
    </row>
    <row r="36967" spans="6:8">
      <c r="H36967" t="s">
        <v>32341</v>
      </c>
    </row>
    <row r="36968" spans="6:8">
      <c r="H36968" t="s">
        <v>32343</v>
      </c>
    </row>
    <row r="36969" spans="6:8">
      <c r="F36969" t="s">
        <v>14305</v>
      </c>
      <c r="G36969" t="s">
        <v>18005</v>
      </c>
      <c r="H36969" t="s">
        <v>19981</v>
      </c>
    </row>
    <row r="36970" spans="6:8">
      <c r="H36970" t="s">
        <v>34876</v>
      </c>
    </row>
    <row r="36971" spans="6:8">
      <c r="H36971" t="s">
        <v>34877</v>
      </c>
    </row>
    <row r="36972" spans="6:8">
      <c r="H36972" t="s">
        <v>34878</v>
      </c>
    </row>
    <row r="36973" spans="6:8">
      <c r="H36973" t="s">
        <v>34879</v>
      </c>
    </row>
    <row r="36974" spans="6:8">
      <c r="F36974" t="s">
        <v>14234</v>
      </c>
      <c r="G36974" t="s">
        <v>18204</v>
      </c>
      <c r="H36974" t="s">
        <v>18829</v>
      </c>
    </row>
    <row r="36975" spans="6:8">
      <c r="H36975" t="s">
        <v>18863</v>
      </c>
    </row>
    <row r="36976" spans="6:8">
      <c r="H36976" t="s">
        <v>34880</v>
      </c>
    </row>
    <row r="36977" spans="8:8">
      <c r="H36977" t="s">
        <v>34881</v>
      </c>
    </row>
    <row r="36978" spans="8:8">
      <c r="H36978" t="s">
        <v>34882</v>
      </c>
    </row>
    <row r="36979" spans="8:8">
      <c r="H36979" t="s">
        <v>34883</v>
      </c>
    </row>
    <row r="36980" spans="8:8">
      <c r="H36980" t="s">
        <v>34884</v>
      </c>
    </row>
    <row r="36981" spans="8:8">
      <c r="H36981" t="s">
        <v>34885</v>
      </c>
    </row>
    <row r="36982" spans="8:8">
      <c r="H36982" t="s">
        <v>34886</v>
      </c>
    </row>
    <row r="36983" spans="8:8">
      <c r="H36983" t="s">
        <v>34887</v>
      </c>
    </row>
    <row r="36984" spans="8:8">
      <c r="H36984" t="s">
        <v>34888</v>
      </c>
    </row>
    <row r="36985" spans="8:8">
      <c r="H36985" t="s">
        <v>34889</v>
      </c>
    </row>
    <row r="36986" spans="8:8">
      <c r="H36986" t="s">
        <v>34890</v>
      </c>
    </row>
    <row r="36987" spans="8:8">
      <c r="H36987" t="s">
        <v>34891</v>
      </c>
    </row>
    <row r="36988" spans="8:8">
      <c r="H36988" t="s">
        <v>34891</v>
      </c>
    </row>
    <row r="36989" spans="8:8">
      <c r="H36989" t="s">
        <v>34892</v>
      </c>
    </row>
    <row r="36990" spans="8:8">
      <c r="H36990" t="s">
        <v>34893</v>
      </c>
    </row>
    <row r="36991" spans="8:8">
      <c r="H36991" t="s">
        <v>34894</v>
      </c>
    </row>
    <row r="36992" spans="8:8">
      <c r="H36992" t="s">
        <v>34895</v>
      </c>
    </row>
    <row r="36993" spans="6:8">
      <c r="H36993" t="s">
        <v>34896</v>
      </c>
    </row>
    <row r="36994" spans="6:8">
      <c r="H36994" t="s">
        <v>34897</v>
      </c>
    </row>
    <row r="36995" spans="6:8">
      <c r="H36995" t="s">
        <v>34898</v>
      </c>
    </row>
    <row r="36996" spans="6:8">
      <c r="H36996" t="s">
        <v>34899</v>
      </c>
    </row>
    <row r="36997" spans="6:8">
      <c r="H36997" t="s">
        <v>34900</v>
      </c>
    </row>
    <row r="36998" spans="6:8">
      <c r="H36998" t="s">
        <v>34900</v>
      </c>
    </row>
    <row r="36999" spans="6:8">
      <c r="H36999" t="s">
        <v>34901</v>
      </c>
    </row>
    <row r="37000" spans="6:8">
      <c r="H37000" t="s">
        <v>34902</v>
      </c>
    </row>
    <row r="37001" spans="6:8">
      <c r="H37001" t="s">
        <v>34020</v>
      </c>
    </row>
    <row r="37002" spans="6:8">
      <c r="H37002" t="s">
        <v>34903</v>
      </c>
    </row>
    <row r="37003" spans="6:8">
      <c r="H37003" t="s">
        <v>19019</v>
      </c>
    </row>
    <row r="37004" spans="6:8">
      <c r="H37004" t="s">
        <v>34904</v>
      </c>
    </row>
    <row r="37005" spans="6:8">
      <c r="F37005" t="s">
        <v>10700</v>
      </c>
      <c r="G37005" t="s">
        <v>15100</v>
      </c>
      <c r="H37005" t="s">
        <v>18829</v>
      </c>
    </row>
    <row r="37006" spans="6:8">
      <c r="H37006" t="s">
        <v>18863</v>
      </c>
    </row>
    <row r="37007" spans="6:8">
      <c r="H37007" t="s">
        <v>34905</v>
      </c>
    </row>
    <row r="37008" spans="6:8">
      <c r="H37008" t="s">
        <v>34906</v>
      </c>
    </row>
    <row r="37009" spans="8:8">
      <c r="H37009" t="s">
        <v>22508</v>
      </c>
    </row>
    <row r="37010" spans="8:8">
      <c r="H37010" t="s">
        <v>34907</v>
      </c>
    </row>
    <row r="37011" spans="8:8">
      <c r="H37011" t="s">
        <v>34908</v>
      </c>
    </row>
    <row r="37012" spans="8:8">
      <c r="H37012" t="s">
        <v>34909</v>
      </c>
    </row>
    <row r="37013" spans="8:8">
      <c r="H37013" t="s">
        <v>34910</v>
      </c>
    </row>
    <row r="37014" spans="8:8">
      <c r="H37014" t="s">
        <v>34911</v>
      </c>
    </row>
    <row r="37015" spans="8:8">
      <c r="H37015" t="s">
        <v>34912</v>
      </c>
    </row>
    <row r="37016" spans="8:8">
      <c r="H37016" t="s">
        <v>34913</v>
      </c>
    </row>
    <row r="37017" spans="8:8">
      <c r="H37017" t="s">
        <v>34914</v>
      </c>
    </row>
    <row r="37018" spans="8:8">
      <c r="H37018" t="s">
        <v>34915</v>
      </c>
    </row>
    <row r="37019" spans="8:8">
      <c r="H37019" t="s">
        <v>34916</v>
      </c>
    </row>
    <row r="37020" spans="8:8">
      <c r="H37020" t="s">
        <v>34917</v>
      </c>
    </row>
    <row r="37021" spans="8:8">
      <c r="H37021" t="s">
        <v>25838</v>
      </c>
    </row>
    <row r="37022" spans="8:8">
      <c r="H37022" t="s">
        <v>34918</v>
      </c>
    </row>
    <row r="37023" spans="8:8">
      <c r="H37023" t="s">
        <v>34919</v>
      </c>
    </row>
    <row r="37024" spans="8:8">
      <c r="H37024" t="s">
        <v>34920</v>
      </c>
    </row>
    <row r="37025" spans="8:8">
      <c r="H37025" t="s">
        <v>25839</v>
      </c>
    </row>
    <row r="37026" spans="8:8">
      <c r="H37026" t="s">
        <v>27479</v>
      </c>
    </row>
    <row r="37027" spans="8:8">
      <c r="H37027" t="s">
        <v>32382</v>
      </c>
    </row>
    <row r="37028" spans="8:8">
      <c r="H37028" t="s">
        <v>34921</v>
      </c>
    </row>
    <row r="37029" spans="8:8">
      <c r="H37029" t="s">
        <v>34922</v>
      </c>
    </row>
    <row r="37030" spans="8:8">
      <c r="H37030" t="s">
        <v>34923</v>
      </c>
    </row>
    <row r="37031" spans="8:8">
      <c r="H37031" t="s">
        <v>34924</v>
      </c>
    </row>
    <row r="37032" spans="8:8">
      <c r="H37032" t="s">
        <v>34925</v>
      </c>
    </row>
    <row r="37033" spans="8:8">
      <c r="H37033" t="s">
        <v>34926</v>
      </c>
    </row>
    <row r="37034" spans="8:8">
      <c r="H37034" t="s">
        <v>34927</v>
      </c>
    </row>
    <row r="37035" spans="8:8">
      <c r="H37035" t="s">
        <v>34928</v>
      </c>
    </row>
    <row r="37036" spans="8:8">
      <c r="H37036" t="s">
        <v>34929</v>
      </c>
    </row>
    <row r="37037" spans="8:8">
      <c r="H37037" t="s">
        <v>34930</v>
      </c>
    </row>
    <row r="37038" spans="8:8">
      <c r="H37038" t="s">
        <v>34931</v>
      </c>
    </row>
    <row r="37039" spans="8:8">
      <c r="H37039" t="s">
        <v>34932</v>
      </c>
    </row>
    <row r="37040" spans="8:8">
      <c r="H37040" t="s">
        <v>34933</v>
      </c>
    </row>
    <row r="37041" spans="8:8">
      <c r="H37041" t="s">
        <v>34934</v>
      </c>
    </row>
    <row r="37042" spans="8:8">
      <c r="H37042" t="s">
        <v>34935</v>
      </c>
    </row>
    <row r="37043" spans="8:8">
      <c r="H37043" t="s">
        <v>34676</v>
      </c>
    </row>
    <row r="37044" spans="8:8">
      <c r="H37044" t="s">
        <v>34936</v>
      </c>
    </row>
    <row r="37045" spans="8:8">
      <c r="H37045" t="s">
        <v>34937</v>
      </c>
    </row>
    <row r="37046" spans="8:8">
      <c r="H37046" t="s">
        <v>34938</v>
      </c>
    </row>
    <row r="37047" spans="8:8">
      <c r="H37047" t="s">
        <v>19372</v>
      </c>
    </row>
    <row r="37048" spans="8:8">
      <c r="H37048" t="s">
        <v>18930</v>
      </c>
    </row>
    <row r="37049" spans="8:8">
      <c r="H37049" t="s">
        <v>34939</v>
      </c>
    </row>
    <row r="37050" spans="8:8">
      <c r="H37050" t="s">
        <v>34940</v>
      </c>
    </row>
    <row r="37051" spans="8:8">
      <c r="H37051" t="s">
        <v>20177</v>
      </c>
    </row>
    <row r="37052" spans="8:8">
      <c r="H37052" t="s">
        <v>33901</v>
      </c>
    </row>
    <row r="37053" spans="8:8">
      <c r="H37053" t="s">
        <v>34827</v>
      </c>
    </row>
    <row r="37054" spans="8:8">
      <c r="H37054" t="s">
        <v>34941</v>
      </c>
    </row>
    <row r="37055" spans="8:8">
      <c r="H37055" t="s">
        <v>34942</v>
      </c>
    </row>
    <row r="37056" spans="8:8">
      <c r="H37056" t="s">
        <v>34943</v>
      </c>
    </row>
    <row r="37057" spans="8:8">
      <c r="H37057" t="s">
        <v>34944</v>
      </c>
    </row>
    <row r="37058" spans="8:8">
      <c r="H37058" t="s">
        <v>34945</v>
      </c>
    </row>
    <row r="37059" spans="8:8">
      <c r="H37059" t="s">
        <v>34946</v>
      </c>
    </row>
    <row r="37060" spans="8:8">
      <c r="H37060" t="s">
        <v>34947</v>
      </c>
    </row>
    <row r="37061" spans="8:8">
      <c r="H37061" t="s">
        <v>34948</v>
      </c>
    </row>
    <row r="37062" spans="8:8">
      <c r="H37062" t="s">
        <v>34949</v>
      </c>
    </row>
    <row r="37063" spans="8:8">
      <c r="H37063" t="s">
        <v>34950</v>
      </c>
    </row>
    <row r="37064" spans="8:8">
      <c r="H37064" t="s">
        <v>34951</v>
      </c>
    </row>
    <row r="37065" spans="8:8">
      <c r="H37065" t="s">
        <v>34952</v>
      </c>
    </row>
    <row r="37066" spans="8:8">
      <c r="H37066" t="s">
        <v>34953</v>
      </c>
    </row>
    <row r="37067" spans="8:8">
      <c r="H37067" t="s">
        <v>34954</v>
      </c>
    </row>
    <row r="37068" spans="8:8">
      <c r="H37068" t="s">
        <v>34955</v>
      </c>
    </row>
    <row r="37069" spans="8:8">
      <c r="H37069" t="s">
        <v>34956</v>
      </c>
    </row>
    <row r="37070" spans="8:8">
      <c r="H37070" t="s">
        <v>34957</v>
      </c>
    </row>
    <row r="37071" spans="8:8">
      <c r="H37071" t="s">
        <v>34958</v>
      </c>
    </row>
    <row r="37072" spans="8:8">
      <c r="H37072" t="s">
        <v>34959</v>
      </c>
    </row>
    <row r="37073" spans="6:8">
      <c r="H37073" t="s">
        <v>34960</v>
      </c>
    </row>
    <row r="37074" spans="6:8">
      <c r="H37074" t="s">
        <v>34006</v>
      </c>
    </row>
    <row r="37075" spans="6:8">
      <c r="H37075" t="s">
        <v>34961</v>
      </c>
    </row>
    <row r="37076" spans="6:8">
      <c r="H37076" t="s">
        <v>34962</v>
      </c>
    </row>
    <row r="37077" spans="6:8">
      <c r="H37077" t="s">
        <v>34963</v>
      </c>
    </row>
    <row r="37078" spans="6:8">
      <c r="H37078" t="s">
        <v>31668</v>
      </c>
    </row>
    <row r="37079" spans="6:8">
      <c r="H37079" t="s">
        <v>32385</v>
      </c>
    </row>
    <row r="37080" spans="6:8">
      <c r="H37080" t="s">
        <v>34964</v>
      </c>
    </row>
    <row r="37081" spans="6:8">
      <c r="H37081" t="s">
        <v>34965</v>
      </c>
    </row>
    <row r="37082" spans="6:8">
      <c r="H37082" t="s">
        <v>34966</v>
      </c>
    </row>
    <row r="37083" spans="6:8">
      <c r="F37083" t="s">
        <v>14306</v>
      </c>
      <c r="G37083" t="s">
        <v>18263</v>
      </c>
      <c r="H37083" t="s">
        <v>34967</v>
      </c>
    </row>
    <row r="37084" spans="6:8">
      <c r="F37084" t="s">
        <v>13837</v>
      </c>
      <c r="G37084" t="s">
        <v>17880</v>
      </c>
      <c r="H37084" t="s">
        <v>18829</v>
      </c>
    </row>
    <row r="37085" spans="6:8">
      <c r="H37085" t="s">
        <v>18863</v>
      </c>
    </row>
    <row r="37086" spans="6:8">
      <c r="H37086" t="s">
        <v>34968</v>
      </c>
    </row>
    <row r="37087" spans="6:8">
      <c r="H37087" t="s">
        <v>34969</v>
      </c>
    </row>
    <row r="37088" spans="6:8">
      <c r="H37088" t="s">
        <v>27735</v>
      </c>
    </row>
    <row r="37089" spans="8:8">
      <c r="H37089" t="s">
        <v>34970</v>
      </c>
    </row>
    <row r="37090" spans="8:8">
      <c r="H37090" t="s">
        <v>34971</v>
      </c>
    </row>
    <row r="37091" spans="8:8">
      <c r="H37091" t="s">
        <v>34972</v>
      </c>
    </row>
    <row r="37092" spans="8:8">
      <c r="H37092" t="s">
        <v>34973</v>
      </c>
    </row>
    <row r="37093" spans="8:8">
      <c r="H37093" t="s">
        <v>34974</v>
      </c>
    </row>
    <row r="37094" spans="8:8">
      <c r="H37094" t="s">
        <v>34975</v>
      </c>
    </row>
    <row r="37095" spans="8:8">
      <c r="H37095" t="s">
        <v>34975</v>
      </c>
    </row>
    <row r="37096" spans="8:8">
      <c r="H37096" t="s">
        <v>31970</v>
      </c>
    </row>
    <row r="37097" spans="8:8">
      <c r="H37097" t="s">
        <v>31970</v>
      </c>
    </row>
    <row r="37098" spans="8:8">
      <c r="H37098" t="s">
        <v>34976</v>
      </c>
    </row>
    <row r="37099" spans="8:8">
      <c r="H37099" t="s">
        <v>31971</v>
      </c>
    </row>
    <row r="37100" spans="8:8">
      <c r="H37100" t="s">
        <v>20177</v>
      </c>
    </row>
    <row r="37101" spans="8:8">
      <c r="H37101" t="s">
        <v>31967</v>
      </c>
    </row>
    <row r="37102" spans="8:8">
      <c r="H37102" t="s">
        <v>34977</v>
      </c>
    </row>
    <row r="37103" spans="8:8">
      <c r="H37103" t="s">
        <v>34978</v>
      </c>
    </row>
    <row r="37104" spans="8:8">
      <c r="H37104" t="s">
        <v>34979</v>
      </c>
    </row>
    <row r="37105" spans="8:8">
      <c r="H37105" t="s">
        <v>31852</v>
      </c>
    </row>
    <row r="37106" spans="8:8">
      <c r="H37106" t="s">
        <v>34980</v>
      </c>
    </row>
    <row r="37107" spans="8:8">
      <c r="H37107" t="s">
        <v>34981</v>
      </c>
    </row>
    <row r="37108" spans="8:8">
      <c r="H37108" t="s">
        <v>34982</v>
      </c>
    </row>
    <row r="37109" spans="8:8">
      <c r="H37109" t="s">
        <v>34983</v>
      </c>
    </row>
    <row r="37110" spans="8:8">
      <c r="H37110" t="s">
        <v>34984</v>
      </c>
    </row>
    <row r="37111" spans="8:8">
      <c r="H37111" t="s">
        <v>34985</v>
      </c>
    </row>
    <row r="37112" spans="8:8">
      <c r="H37112" t="s">
        <v>34986</v>
      </c>
    </row>
    <row r="37113" spans="8:8">
      <c r="H37113" t="s">
        <v>34987</v>
      </c>
    </row>
    <row r="37114" spans="8:8">
      <c r="H37114" t="s">
        <v>34988</v>
      </c>
    </row>
    <row r="37115" spans="8:8">
      <c r="H37115" t="s">
        <v>34989</v>
      </c>
    </row>
    <row r="37116" spans="8:8">
      <c r="H37116" t="s">
        <v>34990</v>
      </c>
    </row>
    <row r="37117" spans="8:8">
      <c r="H37117" t="s">
        <v>34991</v>
      </c>
    </row>
    <row r="37118" spans="8:8">
      <c r="H37118" t="s">
        <v>34992</v>
      </c>
    </row>
    <row r="37119" spans="8:8">
      <c r="H37119" t="s">
        <v>34993</v>
      </c>
    </row>
    <row r="37120" spans="8:8">
      <c r="H37120" t="s">
        <v>34994</v>
      </c>
    </row>
    <row r="37121" spans="8:8">
      <c r="H37121" t="s">
        <v>34995</v>
      </c>
    </row>
    <row r="37122" spans="8:8">
      <c r="H37122" t="s">
        <v>34996</v>
      </c>
    </row>
    <row r="37123" spans="8:8">
      <c r="H37123" t="s">
        <v>34997</v>
      </c>
    </row>
    <row r="37124" spans="8:8">
      <c r="H37124" t="s">
        <v>31970</v>
      </c>
    </row>
    <row r="37125" spans="8:8">
      <c r="H37125" t="s">
        <v>34976</v>
      </c>
    </row>
    <row r="37126" spans="8:8">
      <c r="H37126" t="s">
        <v>34998</v>
      </c>
    </row>
    <row r="37127" spans="8:8">
      <c r="H37127" t="s">
        <v>34999</v>
      </c>
    </row>
    <row r="37128" spans="8:8">
      <c r="H37128" t="s">
        <v>35000</v>
      </c>
    </row>
    <row r="37129" spans="8:8">
      <c r="H37129" t="s">
        <v>35001</v>
      </c>
    </row>
    <row r="37130" spans="8:8">
      <c r="H37130" t="s">
        <v>31971</v>
      </c>
    </row>
    <row r="37131" spans="8:8">
      <c r="H37131" t="s">
        <v>20177</v>
      </c>
    </row>
    <row r="37132" spans="8:8">
      <c r="H37132" t="s">
        <v>35002</v>
      </c>
    </row>
    <row r="37133" spans="8:8">
      <c r="H37133" t="s">
        <v>35003</v>
      </c>
    </row>
    <row r="37134" spans="8:8">
      <c r="H37134" t="s">
        <v>35004</v>
      </c>
    </row>
    <row r="37135" spans="8:8">
      <c r="H37135" t="s">
        <v>35005</v>
      </c>
    </row>
    <row r="37136" spans="8:8">
      <c r="H37136" t="s">
        <v>35006</v>
      </c>
    </row>
    <row r="37137" spans="6:8">
      <c r="H37137" t="s">
        <v>35007</v>
      </c>
    </row>
    <row r="37138" spans="6:8">
      <c r="H37138" t="s">
        <v>35008</v>
      </c>
    </row>
    <row r="37139" spans="6:8">
      <c r="H37139" t="s">
        <v>35009</v>
      </c>
    </row>
    <row r="37140" spans="6:8">
      <c r="H37140" t="s">
        <v>35010</v>
      </c>
    </row>
    <row r="37141" spans="6:8">
      <c r="H37141" t="s">
        <v>35011</v>
      </c>
    </row>
    <row r="37142" spans="6:8">
      <c r="H37142" t="s">
        <v>35012</v>
      </c>
    </row>
    <row r="37143" spans="6:8">
      <c r="H37143" t="s">
        <v>35013</v>
      </c>
    </row>
    <row r="37144" spans="6:8">
      <c r="H37144" t="s">
        <v>35014</v>
      </c>
    </row>
    <row r="37145" spans="6:8">
      <c r="H37145" t="s">
        <v>35015</v>
      </c>
    </row>
    <row r="37146" spans="6:8">
      <c r="F37146" t="s">
        <v>12201</v>
      </c>
      <c r="G37146" t="s">
        <v>16439</v>
      </c>
      <c r="H37146" t="s">
        <v>18829</v>
      </c>
    </row>
    <row r="37147" spans="6:8">
      <c r="H37147" t="s">
        <v>21327</v>
      </c>
    </row>
    <row r="37148" spans="6:8">
      <c r="H37148" t="s">
        <v>21328</v>
      </c>
    </row>
    <row r="37149" spans="6:8">
      <c r="H37149" t="s">
        <v>35016</v>
      </c>
    </row>
    <row r="37150" spans="6:8">
      <c r="H37150" t="s">
        <v>35017</v>
      </c>
    </row>
    <row r="37151" spans="6:8">
      <c r="F37151" t="s">
        <v>14222</v>
      </c>
      <c r="G37151" t="s">
        <v>18195</v>
      </c>
      <c r="H37151" t="s">
        <v>35018</v>
      </c>
    </row>
    <row r="37152" spans="6:8">
      <c r="H37152" t="s">
        <v>18863</v>
      </c>
    </row>
    <row r="37153" spans="8:8">
      <c r="H37153" t="s">
        <v>34106</v>
      </c>
    </row>
    <row r="37154" spans="8:8">
      <c r="H37154" t="s">
        <v>35019</v>
      </c>
    </row>
    <row r="37155" spans="8:8">
      <c r="H37155" t="s">
        <v>35020</v>
      </c>
    </row>
    <row r="37156" spans="8:8">
      <c r="H37156" t="s">
        <v>35020</v>
      </c>
    </row>
    <row r="37157" spans="8:8">
      <c r="H37157" t="s">
        <v>35021</v>
      </c>
    </row>
    <row r="37158" spans="8:8">
      <c r="H37158" t="s">
        <v>35022</v>
      </c>
    </row>
    <row r="37159" spans="8:8">
      <c r="H37159" t="s">
        <v>35023</v>
      </c>
    </row>
    <row r="37160" spans="8:8">
      <c r="H37160" t="s">
        <v>35024</v>
      </c>
    </row>
    <row r="37161" spans="8:8">
      <c r="H37161" t="s">
        <v>35025</v>
      </c>
    </row>
    <row r="37162" spans="8:8">
      <c r="H37162" t="s">
        <v>35026</v>
      </c>
    </row>
    <row r="37163" spans="8:8">
      <c r="H37163" t="s">
        <v>35027</v>
      </c>
    </row>
    <row r="37164" spans="8:8">
      <c r="H37164" t="s">
        <v>35028</v>
      </c>
    </row>
    <row r="37165" spans="8:8">
      <c r="H37165" t="s">
        <v>35029</v>
      </c>
    </row>
    <row r="37166" spans="8:8">
      <c r="H37166" t="s">
        <v>35030</v>
      </c>
    </row>
    <row r="37167" spans="8:8">
      <c r="H37167" t="s">
        <v>35031</v>
      </c>
    </row>
    <row r="37168" spans="8:8">
      <c r="H37168" t="s">
        <v>35032</v>
      </c>
    </row>
    <row r="37169" spans="6:8">
      <c r="H37169" t="s">
        <v>35033</v>
      </c>
    </row>
    <row r="37170" spans="6:8">
      <c r="H37170" t="s">
        <v>35034</v>
      </c>
    </row>
    <row r="37171" spans="6:8">
      <c r="H37171" t="s">
        <v>35035</v>
      </c>
    </row>
    <row r="37172" spans="6:8">
      <c r="H37172" t="s">
        <v>35036</v>
      </c>
    </row>
    <row r="37173" spans="6:8">
      <c r="H37173" t="s">
        <v>35037</v>
      </c>
    </row>
    <row r="37174" spans="6:8">
      <c r="H37174" t="s">
        <v>35038</v>
      </c>
    </row>
    <row r="37175" spans="6:8">
      <c r="H37175" t="s">
        <v>35039</v>
      </c>
    </row>
    <row r="37176" spans="6:8">
      <c r="F37176" t="s">
        <v>14307</v>
      </c>
      <c r="G37176" t="s">
        <v>18264</v>
      </c>
      <c r="H37176" t="s">
        <v>35040</v>
      </c>
    </row>
    <row r="37177" spans="6:8">
      <c r="H37177" t="s">
        <v>35041</v>
      </c>
    </row>
    <row r="37178" spans="6:8">
      <c r="H37178" t="s">
        <v>35042</v>
      </c>
    </row>
    <row r="37179" spans="6:8">
      <c r="H37179" t="s">
        <v>35043</v>
      </c>
    </row>
    <row r="37180" spans="6:8">
      <c r="H37180" t="s">
        <v>35044</v>
      </c>
    </row>
    <row r="37181" spans="6:8">
      <c r="H37181" t="s">
        <v>35045</v>
      </c>
    </row>
    <row r="37182" spans="6:8">
      <c r="H37182" t="s">
        <v>35046</v>
      </c>
    </row>
    <row r="37183" spans="6:8">
      <c r="H37183" t="s">
        <v>35047</v>
      </c>
    </row>
    <row r="37184" spans="6:8">
      <c r="F37184" t="s">
        <v>14159</v>
      </c>
      <c r="G37184" t="s">
        <v>18145</v>
      </c>
      <c r="H37184" t="s">
        <v>18829</v>
      </c>
    </row>
    <row r="37185" spans="6:8">
      <c r="H37185" t="s">
        <v>18836</v>
      </c>
    </row>
    <row r="37186" spans="6:8">
      <c r="H37186" t="s">
        <v>35048</v>
      </c>
    </row>
    <row r="37187" spans="6:8">
      <c r="H37187" t="s">
        <v>35049</v>
      </c>
    </row>
    <row r="37188" spans="6:8">
      <c r="H37188" t="s">
        <v>35050</v>
      </c>
    </row>
    <row r="37189" spans="6:8">
      <c r="F37189" t="s">
        <v>14308</v>
      </c>
      <c r="G37189" t="s">
        <v>18265</v>
      </c>
      <c r="H37189" t="s">
        <v>18829</v>
      </c>
    </row>
    <row r="37190" spans="6:8">
      <c r="H37190" t="s">
        <v>26408</v>
      </c>
    </row>
    <row r="37191" spans="6:8">
      <c r="H37191" t="s">
        <v>30464</v>
      </c>
    </row>
    <row r="37192" spans="6:8">
      <c r="H37192" t="s">
        <v>30466</v>
      </c>
    </row>
    <row r="37193" spans="6:8">
      <c r="H37193" t="s">
        <v>35051</v>
      </c>
    </row>
    <row r="37194" spans="6:8">
      <c r="H37194" t="s">
        <v>35052</v>
      </c>
    </row>
    <row r="37195" spans="6:8">
      <c r="H37195" t="s">
        <v>35053</v>
      </c>
    </row>
    <row r="37196" spans="6:8">
      <c r="H37196" t="s">
        <v>30466</v>
      </c>
    </row>
    <row r="37197" spans="6:8">
      <c r="H37197" t="s">
        <v>25704</v>
      </c>
    </row>
    <row r="37198" spans="6:8">
      <c r="H37198" t="s">
        <v>35054</v>
      </c>
    </row>
    <row r="37199" spans="6:8">
      <c r="H37199" t="s">
        <v>35055</v>
      </c>
    </row>
    <row r="37200" spans="6:8">
      <c r="H37200" t="s">
        <v>35056</v>
      </c>
    </row>
    <row r="37201" spans="8:8">
      <c r="H37201" t="s">
        <v>35057</v>
      </c>
    </row>
    <row r="37202" spans="8:8">
      <c r="H37202" t="s">
        <v>35058</v>
      </c>
    </row>
    <row r="37203" spans="8:8">
      <c r="H37203" t="s">
        <v>35059</v>
      </c>
    </row>
    <row r="37204" spans="8:8">
      <c r="H37204" t="s">
        <v>35059</v>
      </c>
    </row>
    <row r="37205" spans="8:8">
      <c r="H37205" t="s">
        <v>35052</v>
      </c>
    </row>
    <row r="37206" spans="8:8">
      <c r="H37206" t="s">
        <v>35058</v>
      </c>
    </row>
    <row r="37207" spans="8:8">
      <c r="H37207" t="s">
        <v>30466</v>
      </c>
    </row>
    <row r="37208" spans="8:8">
      <c r="H37208" t="s">
        <v>25704</v>
      </c>
    </row>
    <row r="37209" spans="8:8">
      <c r="H37209" t="s">
        <v>35053</v>
      </c>
    </row>
    <row r="37210" spans="8:8">
      <c r="H37210" t="s">
        <v>35054</v>
      </c>
    </row>
    <row r="37211" spans="8:8">
      <c r="H37211" t="s">
        <v>35055</v>
      </c>
    </row>
    <row r="37212" spans="8:8">
      <c r="H37212" t="s">
        <v>35060</v>
      </c>
    </row>
    <row r="37213" spans="8:8">
      <c r="H37213" t="s">
        <v>35052</v>
      </c>
    </row>
    <row r="37214" spans="8:8">
      <c r="H37214" t="s">
        <v>35053</v>
      </c>
    </row>
    <row r="37215" spans="8:8">
      <c r="H37215" t="s">
        <v>30466</v>
      </c>
    </row>
    <row r="37216" spans="8:8">
      <c r="H37216" t="s">
        <v>25704</v>
      </c>
    </row>
    <row r="37217" spans="8:8">
      <c r="H37217" t="s">
        <v>35054</v>
      </c>
    </row>
    <row r="37218" spans="8:8">
      <c r="H37218" t="s">
        <v>35055</v>
      </c>
    </row>
    <row r="37219" spans="8:8">
      <c r="H37219" t="s">
        <v>35061</v>
      </c>
    </row>
    <row r="37220" spans="8:8">
      <c r="H37220" t="s">
        <v>35062</v>
      </c>
    </row>
    <row r="37221" spans="8:8">
      <c r="H37221" t="s">
        <v>35063</v>
      </c>
    </row>
    <row r="37222" spans="8:8">
      <c r="H37222" t="s">
        <v>35064</v>
      </c>
    </row>
    <row r="37223" spans="8:8">
      <c r="H37223" t="s">
        <v>35065</v>
      </c>
    </row>
    <row r="37224" spans="8:8">
      <c r="H37224" t="s">
        <v>35066</v>
      </c>
    </row>
    <row r="37225" spans="8:8">
      <c r="H37225" t="s">
        <v>35067</v>
      </c>
    </row>
    <row r="37226" spans="8:8">
      <c r="H37226" t="s">
        <v>35068</v>
      </c>
    </row>
    <row r="37227" spans="8:8">
      <c r="H37227" t="s">
        <v>30465</v>
      </c>
    </row>
    <row r="37228" spans="8:8">
      <c r="H37228" t="s">
        <v>35069</v>
      </c>
    </row>
    <row r="37229" spans="8:8">
      <c r="H37229" t="s">
        <v>35070</v>
      </c>
    </row>
    <row r="37230" spans="8:8">
      <c r="H37230" t="s">
        <v>35071</v>
      </c>
    </row>
    <row r="37231" spans="8:8">
      <c r="H37231" t="s">
        <v>35072</v>
      </c>
    </row>
    <row r="37232" spans="8:8">
      <c r="H37232" t="s">
        <v>35073</v>
      </c>
    </row>
    <row r="37233" spans="6:8">
      <c r="H37233" t="s">
        <v>35074</v>
      </c>
    </row>
    <row r="37234" spans="6:8">
      <c r="H37234" t="s">
        <v>35075</v>
      </c>
    </row>
    <row r="37235" spans="6:8">
      <c r="F37235" t="s">
        <v>13309</v>
      </c>
      <c r="G37235" t="s">
        <v>17442</v>
      </c>
      <c r="H37235" t="s">
        <v>29102</v>
      </c>
    </row>
    <row r="37236" spans="6:8">
      <c r="H37236" t="s">
        <v>35076</v>
      </c>
    </row>
    <row r="37237" spans="6:8">
      <c r="H37237" t="s">
        <v>35077</v>
      </c>
    </row>
    <row r="37238" spans="6:8">
      <c r="H37238" t="s">
        <v>35078</v>
      </c>
    </row>
    <row r="37239" spans="6:8">
      <c r="H37239" t="s">
        <v>35079</v>
      </c>
    </row>
    <row r="37240" spans="6:8">
      <c r="H37240" t="s">
        <v>29103</v>
      </c>
    </row>
    <row r="37241" spans="6:8">
      <c r="H37241" t="s">
        <v>35080</v>
      </c>
    </row>
    <row r="37242" spans="6:8">
      <c r="H37242" t="s">
        <v>35081</v>
      </c>
    </row>
    <row r="37243" spans="6:8">
      <c r="H37243" t="s">
        <v>35082</v>
      </c>
    </row>
    <row r="37244" spans="6:8">
      <c r="H37244" t="s">
        <v>35083</v>
      </c>
    </row>
    <row r="37245" spans="6:8">
      <c r="H37245" t="s">
        <v>35084</v>
      </c>
    </row>
    <row r="37246" spans="6:8">
      <c r="H37246" t="s">
        <v>35085</v>
      </c>
    </row>
    <row r="37247" spans="6:8">
      <c r="H37247" t="s">
        <v>35086</v>
      </c>
    </row>
    <row r="37248" spans="6:8">
      <c r="H37248" t="s">
        <v>35087</v>
      </c>
    </row>
    <row r="37249" spans="8:8">
      <c r="H37249" t="s">
        <v>35088</v>
      </c>
    </row>
    <row r="37250" spans="8:8">
      <c r="H37250" t="s">
        <v>35089</v>
      </c>
    </row>
    <row r="37251" spans="8:8">
      <c r="H37251" t="s">
        <v>35090</v>
      </c>
    </row>
    <row r="37252" spans="8:8">
      <c r="H37252" t="s">
        <v>35091</v>
      </c>
    </row>
    <row r="37253" spans="8:8">
      <c r="H37253" t="s">
        <v>35092</v>
      </c>
    </row>
    <row r="37254" spans="8:8">
      <c r="H37254" t="s">
        <v>35093</v>
      </c>
    </row>
    <row r="37255" spans="8:8">
      <c r="H37255" t="s">
        <v>35094</v>
      </c>
    </row>
    <row r="37256" spans="8:8">
      <c r="H37256" t="s">
        <v>35095</v>
      </c>
    </row>
    <row r="37257" spans="8:8">
      <c r="H37257" t="s">
        <v>35096</v>
      </c>
    </row>
    <row r="37258" spans="8:8">
      <c r="H37258" t="s">
        <v>35097</v>
      </c>
    </row>
    <row r="37259" spans="8:8">
      <c r="H37259" t="s">
        <v>35098</v>
      </c>
    </row>
    <row r="37260" spans="8:8">
      <c r="H37260" t="s">
        <v>35099</v>
      </c>
    </row>
    <row r="37261" spans="8:8">
      <c r="H37261" t="s">
        <v>35100</v>
      </c>
    </row>
    <row r="37262" spans="8:8">
      <c r="H37262" t="s">
        <v>35101</v>
      </c>
    </row>
    <row r="37263" spans="8:8">
      <c r="H37263" t="s">
        <v>35102</v>
      </c>
    </row>
    <row r="37264" spans="8:8">
      <c r="H37264" t="s">
        <v>35103</v>
      </c>
    </row>
    <row r="37265" spans="8:8">
      <c r="H37265" t="s">
        <v>35104</v>
      </c>
    </row>
    <row r="37266" spans="8:8">
      <c r="H37266" t="s">
        <v>35105</v>
      </c>
    </row>
    <row r="37267" spans="8:8">
      <c r="H37267" t="s">
        <v>35106</v>
      </c>
    </row>
    <row r="37268" spans="8:8">
      <c r="H37268" t="s">
        <v>35107</v>
      </c>
    </row>
    <row r="37269" spans="8:8">
      <c r="H37269" t="s">
        <v>35108</v>
      </c>
    </row>
    <row r="37270" spans="8:8">
      <c r="H37270" t="s">
        <v>35109</v>
      </c>
    </row>
    <row r="37271" spans="8:8">
      <c r="H37271" t="s">
        <v>35110</v>
      </c>
    </row>
    <row r="37272" spans="8:8">
      <c r="H37272" t="s">
        <v>35111</v>
      </c>
    </row>
    <row r="37273" spans="8:8">
      <c r="H37273" t="s">
        <v>35112</v>
      </c>
    </row>
    <row r="37274" spans="8:8">
      <c r="H37274" t="s">
        <v>35113</v>
      </c>
    </row>
    <row r="37275" spans="8:8">
      <c r="H37275" t="s">
        <v>35114</v>
      </c>
    </row>
    <row r="37276" spans="8:8">
      <c r="H37276" t="s">
        <v>35115</v>
      </c>
    </row>
    <row r="37277" spans="8:8">
      <c r="H37277" t="s">
        <v>35116</v>
      </c>
    </row>
    <row r="37278" spans="8:8">
      <c r="H37278" t="s">
        <v>35117</v>
      </c>
    </row>
    <row r="37279" spans="8:8">
      <c r="H37279" t="s">
        <v>35118</v>
      </c>
    </row>
    <row r="37280" spans="8:8">
      <c r="H37280" t="s">
        <v>35119</v>
      </c>
    </row>
    <row r="37281" spans="8:8">
      <c r="H37281" t="s">
        <v>35120</v>
      </c>
    </row>
    <row r="37282" spans="8:8">
      <c r="H37282" t="s">
        <v>35121</v>
      </c>
    </row>
    <row r="37283" spans="8:8">
      <c r="H37283" t="s">
        <v>35122</v>
      </c>
    </row>
    <row r="37284" spans="8:8">
      <c r="H37284" t="s">
        <v>35123</v>
      </c>
    </row>
    <row r="37285" spans="8:8">
      <c r="H37285" t="s">
        <v>35124</v>
      </c>
    </row>
    <row r="37286" spans="8:8">
      <c r="H37286" t="s">
        <v>35125</v>
      </c>
    </row>
    <row r="37287" spans="8:8">
      <c r="H37287" t="s">
        <v>35126</v>
      </c>
    </row>
    <row r="37288" spans="8:8">
      <c r="H37288" t="s">
        <v>35127</v>
      </c>
    </row>
    <row r="37289" spans="8:8">
      <c r="H37289" t="s">
        <v>35128</v>
      </c>
    </row>
    <row r="37290" spans="8:8">
      <c r="H37290" t="s">
        <v>35129</v>
      </c>
    </row>
    <row r="37291" spans="8:8">
      <c r="H37291" t="s">
        <v>35130</v>
      </c>
    </row>
    <row r="37292" spans="8:8">
      <c r="H37292" t="s">
        <v>35131</v>
      </c>
    </row>
    <row r="37293" spans="8:8">
      <c r="H37293" t="s">
        <v>35132</v>
      </c>
    </row>
    <row r="37294" spans="8:8">
      <c r="H37294" t="s">
        <v>35133</v>
      </c>
    </row>
    <row r="37295" spans="8:8">
      <c r="H37295" t="s">
        <v>35134</v>
      </c>
    </row>
    <row r="37296" spans="8:8">
      <c r="H37296" t="s">
        <v>35135</v>
      </c>
    </row>
    <row r="37297" spans="8:8">
      <c r="H37297" t="s">
        <v>35136</v>
      </c>
    </row>
    <row r="37298" spans="8:8">
      <c r="H37298" t="s">
        <v>35137</v>
      </c>
    </row>
    <row r="37299" spans="8:8">
      <c r="H37299" t="s">
        <v>35138</v>
      </c>
    </row>
    <row r="37300" spans="8:8">
      <c r="H37300" t="s">
        <v>35139</v>
      </c>
    </row>
    <row r="37301" spans="8:8">
      <c r="H37301" t="s">
        <v>35140</v>
      </c>
    </row>
    <row r="37302" spans="8:8">
      <c r="H37302" t="s">
        <v>35141</v>
      </c>
    </row>
    <row r="37303" spans="8:8">
      <c r="H37303" t="s">
        <v>35142</v>
      </c>
    </row>
    <row r="37304" spans="8:8">
      <c r="H37304" t="s">
        <v>35143</v>
      </c>
    </row>
    <row r="37305" spans="8:8">
      <c r="H37305" t="s">
        <v>35144</v>
      </c>
    </row>
    <row r="37306" spans="8:8">
      <c r="H37306" t="s">
        <v>35145</v>
      </c>
    </row>
    <row r="37307" spans="8:8">
      <c r="H37307" t="s">
        <v>35146</v>
      </c>
    </row>
    <row r="37308" spans="8:8">
      <c r="H37308" t="s">
        <v>35147</v>
      </c>
    </row>
    <row r="37309" spans="8:8">
      <c r="H37309" t="s">
        <v>35148</v>
      </c>
    </row>
    <row r="37310" spans="8:8">
      <c r="H37310" t="s">
        <v>35149</v>
      </c>
    </row>
    <row r="37311" spans="8:8">
      <c r="H37311" t="s">
        <v>35150</v>
      </c>
    </row>
    <row r="37312" spans="8:8">
      <c r="H37312" t="s">
        <v>35151</v>
      </c>
    </row>
    <row r="37313" spans="6:8">
      <c r="H37313" t="s">
        <v>35152</v>
      </c>
    </row>
    <row r="37314" spans="6:8">
      <c r="H37314" t="s">
        <v>35153</v>
      </c>
    </row>
    <row r="37315" spans="6:8">
      <c r="H37315" t="s">
        <v>35154</v>
      </c>
    </row>
    <row r="37316" spans="6:8">
      <c r="H37316" t="s">
        <v>35155</v>
      </c>
    </row>
    <row r="37317" spans="6:8">
      <c r="H37317" t="s">
        <v>35156</v>
      </c>
    </row>
    <row r="37318" spans="6:8">
      <c r="F37318" t="s">
        <v>13928</v>
      </c>
      <c r="G37318" t="s">
        <v>17964</v>
      </c>
      <c r="H37318" t="s">
        <v>35157</v>
      </c>
    </row>
    <row r="37319" spans="6:8">
      <c r="H37319" t="s">
        <v>18829</v>
      </c>
    </row>
    <row r="37320" spans="6:8">
      <c r="H37320" t="s">
        <v>35158</v>
      </c>
    </row>
    <row r="37321" spans="6:8">
      <c r="H37321" t="s">
        <v>35159</v>
      </c>
    </row>
    <row r="37322" spans="6:8">
      <c r="H37322" t="s">
        <v>35160</v>
      </c>
    </row>
    <row r="37323" spans="6:8">
      <c r="H37323" t="s">
        <v>35161</v>
      </c>
    </row>
    <row r="37324" spans="6:8">
      <c r="H37324" t="s">
        <v>35162</v>
      </c>
    </row>
    <row r="37325" spans="6:8">
      <c r="H37325" t="s">
        <v>35162</v>
      </c>
    </row>
    <row r="37326" spans="6:8">
      <c r="H37326" t="s">
        <v>35162</v>
      </c>
    </row>
    <row r="37327" spans="6:8">
      <c r="H37327" t="s">
        <v>35163</v>
      </c>
    </row>
    <row r="37328" spans="6:8">
      <c r="H37328" t="s">
        <v>35164</v>
      </c>
    </row>
    <row r="37329" spans="8:8">
      <c r="H37329" t="s">
        <v>35165</v>
      </c>
    </row>
    <row r="37330" spans="8:8">
      <c r="H37330" t="s">
        <v>35166</v>
      </c>
    </row>
    <row r="37331" spans="8:8">
      <c r="H37331" t="s">
        <v>35167</v>
      </c>
    </row>
    <row r="37332" spans="8:8">
      <c r="H37332" t="s">
        <v>35168</v>
      </c>
    </row>
    <row r="37333" spans="8:8">
      <c r="H37333" t="s">
        <v>35169</v>
      </c>
    </row>
    <row r="37334" spans="8:8">
      <c r="H37334" t="s">
        <v>35170</v>
      </c>
    </row>
    <row r="37335" spans="8:8">
      <c r="H37335" t="s">
        <v>35171</v>
      </c>
    </row>
    <row r="37336" spans="8:8">
      <c r="H37336" t="s">
        <v>35172</v>
      </c>
    </row>
    <row r="37337" spans="8:8">
      <c r="H37337" t="s">
        <v>35173</v>
      </c>
    </row>
    <row r="37338" spans="8:8">
      <c r="H37338" t="s">
        <v>35174</v>
      </c>
    </row>
    <row r="37339" spans="8:8">
      <c r="H37339" t="s">
        <v>35175</v>
      </c>
    </row>
    <row r="37340" spans="8:8">
      <c r="H37340" t="s">
        <v>35176</v>
      </c>
    </row>
    <row r="37341" spans="8:8">
      <c r="H37341" t="s">
        <v>35177</v>
      </c>
    </row>
    <row r="37342" spans="8:8">
      <c r="H37342" t="s">
        <v>35178</v>
      </c>
    </row>
    <row r="37343" spans="8:8">
      <c r="H37343" t="s">
        <v>35179</v>
      </c>
    </row>
    <row r="37344" spans="8:8">
      <c r="H37344" t="s">
        <v>35180</v>
      </c>
    </row>
    <row r="37345" spans="8:8">
      <c r="H37345" t="s">
        <v>35181</v>
      </c>
    </row>
    <row r="37346" spans="8:8">
      <c r="H37346" t="s">
        <v>35182</v>
      </c>
    </row>
    <row r="37347" spans="8:8">
      <c r="H37347" t="s">
        <v>35183</v>
      </c>
    </row>
    <row r="37348" spans="8:8">
      <c r="H37348" t="s">
        <v>35184</v>
      </c>
    </row>
    <row r="37349" spans="8:8">
      <c r="H37349" t="s">
        <v>35185</v>
      </c>
    </row>
    <row r="37350" spans="8:8">
      <c r="H37350" t="s">
        <v>35186</v>
      </c>
    </row>
    <row r="37351" spans="8:8">
      <c r="H37351" t="s">
        <v>35187</v>
      </c>
    </row>
    <row r="37352" spans="8:8">
      <c r="H37352" t="s">
        <v>35188</v>
      </c>
    </row>
    <row r="37353" spans="8:8">
      <c r="H37353" t="s">
        <v>35189</v>
      </c>
    </row>
    <row r="37354" spans="8:8">
      <c r="H37354" t="s">
        <v>35190</v>
      </c>
    </row>
    <row r="37355" spans="8:8">
      <c r="H37355" t="s">
        <v>35191</v>
      </c>
    </row>
    <row r="37356" spans="8:8">
      <c r="H37356" t="s">
        <v>35192</v>
      </c>
    </row>
    <row r="37357" spans="8:8">
      <c r="H37357" t="s">
        <v>35193</v>
      </c>
    </row>
    <row r="37358" spans="8:8">
      <c r="H37358" t="s">
        <v>35194</v>
      </c>
    </row>
    <row r="37359" spans="8:8">
      <c r="H37359" t="s">
        <v>35195</v>
      </c>
    </row>
    <row r="37360" spans="8:8">
      <c r="H37360" t="s">
        <v>35196</v>
      </c>
    </row>
    <row r="37361" spans="6:8">
      <c r="H37361" t="s">
        <v>35197</v>
      </c>
    </row>
    <row r="37362" spans="6:8">
      <c r="H37362" t="s">
        <v>35198</v>
      </c>
    </row>
    <row r="37363" spans="6:8">
      <c r="F37363" t="s">
        <v>12740</v>
      </c>
      <c r="G37363" t="s">
        <v>16932</v>
      </c>
      <c r="H37363" t="s">
        <v>35199</v>
      </c>
    </row>
    <row r="37364" spans="6:8">
      <c r="F37364" t="s">
        <v>10615</v>
      </c>
      <c r="G37364" t="s">
        <v>15018</v>
      </c>
      <c r="H37364" t="s">
        <v>35200</v>
      </c>
    </row>
    <row r="37365" spans="6:8">
      <c r="F37365" t="s">
        <v>10616</v>
      </c>
      <c r="G37365" t="s">
        <v>15019</v>
      </c>
      <c r="H37365" t="s">
        <v>19183</v>
      </c>
    </row>
    <row r="37366" spans="6:8">
      <c r="H37366" t="s">
        <v>19184</v>
      </c>
    </row>
    <row r="37367" spans="6:8">
      <c r="F37367" t="s">
        <v>13133</v>
      </c>
      <c r="G37367" t="s">
        <v>17291</v>
      </c>
      <c r="H37367" t="s">
        <v>35201</v>
      </c>
    </row>
    <row r="37368" spans="6:8">
      <c r="H37368" t="s">
        <v>25716</v>
      </c>
    </row>
    <row r="37369" spans="6:8">
      <c r="H37369" t="s">
        <v>28041</v>
      </c>
    </row>
    <row r="37370" spans="6:8">
      <c r="H37370" t="s">
        <v>28042</v>
      </c>
    </row>
    <row r="37371" spans="6:8">
      <c r="H37371" t="s">
        <v>35202</v>
      </c>
    </row>
    <row r="37372" spans="6:8">
      <c r="H37372" t="s">
        <v>35203</v>
      </c>
    </row>
    <row r="37373" spans="6:8">
      <c r="H37373" t="s">
        <v>35204</v>
      </c>
    </row>
    <row r="37374" spans="6:8">
      <c r="H37374" t="s">
        <v>35205</v>
      </c>
    </row>
    <row r="37375" spans="6:8">
      <c r="H37375" t="s">
        <v>35206</v>
      </c>
    </row>
    <row r="37376" spans="6:8">
      <c r="H37376" t="s">
        <v>18927</v>
      </c>
    </row>
    <row r="37377" spans="6:8">
      <c r="H37377" t="s">
        <v>35207</v>
      </c>
    </row>
    <row r="37378" spans="6:8">
      <c r="H37378" t="s">
        <v>35208</v>
      </c>
    </row>
    <row r="37379" spans="6:8">
      <c r="H37379" t="s">
        <v>25720</v>
      </c>
    </row>
    <row r="37380" spans="6:8">
      <c r="H37380" t="s">
        <v>28043</v>
      </c>
    </row>
    <row r="37381" spans="6:8">
      <c r="H37381" t="s">
        <v>28044</v>
      </c>
    </row>
    <row r="37382" spans="6:8">
      <c r="H37382" t="s">
        <v>28045</v>
      </c>
    </row>
    <row r="37383" spans="6:8">
      <c r="H37383" t="s">
        <v>28046</v>
      </c>
    </row>
    <row r="37384" spans="6:8">
      <c r="H37384" t="s">
        <v>28047</v>
      </c>
    </row>
    <row r="37385" spans="6:8">
      <c r="H37385" t="s">
        <v>28048</v>
      </c>
    </row>
    <row r="37386" spans="6:8">
      <c r="H37386" t="s">
        <v>25704</v>
      </c>
    </row>
    <row r="37387" spans="6:8">
      <c r="F37387" t="s">
        <v>14309</v>
      </c>
      <c r="G37387" t="s">
        <v>18266</v>
      </c>
      <c r="H37387" t="s">
        <v>18924</v>
      </c>
    </row>
    <row r="37388" spans="6:8">
      <c r="H37388" t="s">
        <v>35209</v>
      </c>
    </row>
    <row r="37389" spans="6:8">
      <c r="H37389" t="s">
        <v>35210</v>
      </c>
    </row>
    <row r="37390" spans="6:8">
      <c r="H37390" t="s">
        <v>35211</v>
      </c>
    </row>
    <row r="37391" spans="6:8">
      <c r="H37391" t="s">
        <v>35212</v>
      </c>
    </row>
    <row r="37392" spans="6:8">
      <c r="H37392" t="s">
        <v>35213</v>
      </c>
    </row>
    <row r="37393" spans="6:8">
      <c r="H37393" t="s">
        <v>35214</v>
      </c>
    </row>
    <row r="37394" spans="6:8">
      <c r="H37394" t="s">
        <v>35215</v>
      </c>
    </row>
    <row r="37395" spans="6:8">
      <c r="F37395" t="s">
        <v>14310</v>
      </c>
      <c r="G37395" t="s">
        <v>18267</v>
      </c>
      <c r="H37395" t="s">
        <v>18829</v>
      </c>
    </row>
    <row r="37396" spans="6:8">
      <c r="H37396" t="s">
        <v>35216</v>
      </c>
    </row>
    <row r="37397" spans="6:8">
      <c r="F37397" t="s">
        <v>14210</v>
      </c>
      <c r="G37397" t="s">
        <v>18186</v>
      </c>
      <c r="H37397" t="s">
        <v>18829</v>
      </c>
    </row>
    <row r="37398" spans="6:8">
      <c r="H37398" t="s">
        <v>18863</v>
      </c>
    </row>
    <row r="37399" spans="6:8">
      <c r="H37399" t="s">
        <v>34969</v>
      </c>
    </row>
    <row r="37400" spans="6:8">
      <c r="H37400" t="s">
        <v>35217</v>
      </c>
    </row>
    <row r="37401" spans="6:8">
      <c r="H37401" t="s">
        <v>35218</v>
      </c>
    </row>
    <row r="37402" spans="6:8">
      <c r="H37402" t="s">
        <v>35219</v>
      </c>
    </row>
    <row r="37403" spans="6:8">
      <c r="H37403" t="s">
        <v>35220</v>
      </c>
    </row>
    <row r="37404" spans="6:8">
      <c r="H37404" t="s">
        <v>35221</v>
      </c>
    </row>
    <row r="37405" spans="6:8">
      <c r="H37405" t="s">
        <v>35222</v>
      </c>
    </row>
    <row r="37406" spans="6:8">
      <c r="H37406" t="s">
        <v>35223</v>
      </c>
    </row>
    <row r="37407" spans="6:8">
      <c r="H37407" t="s">
        <v>35224</v>
      </c>
    </row>
    <row r="37408" spans="6:8">
      <c r="F37408" t="s">
        <v>10617</v>
      </c>
      <c r="G37408" t="s">
        <v>15020</v>
      </c>
      <c r="H37408" t="s">
        <v>19183</v>
      </c>
    </row>
    <row r="37409" spans="6:8">
      <c r="H37409" t="s">
        <v>19184</v>
      </c>
    </row>
    <row r="37410" spans="6:8">
      <c r="F37410" t="s">
        <v>10618</v>
      </c>
      <c r="G37410" t="s">
        <v>15021</v>
      </c>
      <c r="H37410" t="s">
        <v>19183</v>
      </c>
    </row>
    <row r="37411" spans="6:8">
      <c r="H37411" t="s">
        <v>19184</v>
      </c>
    </row>
    <row r="37412" spans="6:8">
      <c r="F37412" t="s">
        <v>13556</v>
      </c>
      <c r="G37412" t="s">
        <v>17663</v>
      </c>
      <c r="H37412" t="s">
        <v>35225</v>
      </c>
    </row>
    <row r="37413" spans="6:8">
      <c r="H37413" t="s">
        <v>35226</v>
      </c>
    </row>
    <row r="37414" spans="6:8">
      <c r="H37414" t="s">
        <v>35227</v>
      </c>
    </row>
    <row r="37415" spans="6:8">
      <c r="H37415" t="s">
        <v>35228</v>
      </c>
    </row>
    <row r="37416" spans="6:8">
      <c r="H37416" t="s">
        <v>35229</v>
      </c>
    </row>
    <row r="37417" spans="6:8">
      <c r="H37417" t="s">
        <v>35230</v>
      </c>
    </row>
    <row r="37418" spans="6:8">
      <c r="H37418" t="s">
        <v>35231</v>
      </c>
    </row>
    <row r="37419" spans="6:8">
      <c r="H37419" t="s">
        <v>35232</v>
      </c>
    </row>
    <row r="37420" spans="6:8">
      <c r="H37420" t="s">
        <v>35233</v>
      </c>
    </row>
    <row r="37421" spans="6:8">
      <c r="H37421" t="s">
        <v>35234</v>
      </c>
    </row>
    <row r="37422" spans="6:8">
      <c r="H37422" t="s">
        <v>35235</v>
      </c>
    </row>
    <row r="37423" spans="6:8">
      <c r="H37423" t="s">
        <v>35236</v>
      </c>
    </row>
    <row r="37424" spans="6:8">
      <c r="F37424" t="s">
        <v>14311</v>
      </c>
      <c r="G37424" t="s">
        <v>18268</v>
      </c>
      <c r="H37424" t="s">
        <v>18829</v>
      </c>
    </row>
    <row r="37425" spans="6:8">
      <c r="H37425" t="s">
        <v>35237</v>
      </c>
    </row>
    <row r="37426" spans="6:8">
      <c r="H37426" t="s">
        <v>35238</v>
      </c>
    </row>
    <row r="37427" spans="6:8">
      <c r="H37427" t="s">
        <v>35239</v>
      </c>
    </row>
    <row r="37428" spans="6:8">
      <c r="F37428" t="s">
        <v>14312</v>
      </c>
      <c r="G37428" t="s">
        <v>18269</v>
      </c>
      <c r="H37428" t="s">
        <v>18829</v>
      </c>
    </row>
    <row r="37429" spans="6:8">
      <c r="H37429" t="s">
        <v>18863</v>
      </c>
    </row>
    <row r="37430" spans="6:8">
      <c r="H37430" t="s">
        <v>31527</v>
      </c>
    </row>
    <row r="37431" spans="6:8">
      <c r="H37431" t="s">
        <v>35240</v>
      </c>
    </row>
    <row r="37432" spans="6:8">
      <c r="H37432" t="s">
        <v>35241</v>
      </c>
    </row>
    <row r="37433" spans="6:8">
      <c r="H37433" t="s">
        <v>34968</v>
      </c>
    </row>
    <row r="37434" spans="6:8">
      <c r="H37434" t="s">
        <v>35242</v>
      </c>
    </row>
    <row r="37435" spans="6:8">
      <c r="H37435" t="s">
        <v>35243</v>
      </c>
    </row>
    <row r="37436" spans="6:8">
      <c r="H37436" t="s">
        <v>35244</v>
      </c>
    </row>
    <row r="37437" spans="6:8">
      <c r="H37437" t="s">
        <v>31775</v>
      </c>
    </row>
    <row r="37438" spans="6:8">
      <c r="H37438" t="s">
        <v>35245</v>
      </c>
    </row>
    <row r="37439" spans="6:8">
      <c r="H37439" t="s">
        <v>35246</v>
      </c>
    </row>
    <row r="37440" spans="6:8">
      <c r="F37440" t="s">
        <v>14313</v>
      </c>
      <c r="G37440" t="s">
        <v>18270</v>
      </c>
      <c r="H37440" t="s">
        <v>18836</v>
      </c>
    </row>
    <row r="37441" spans="6:8">
      <c r="H37441" t="s">
        <v>35247</v>
      </c>
    </row>
    <row r="37442" spans="6:8">
      <c r="H37442" t="s">
        <v>35248</v>
      </c>
    </row>
    <row r="37443" spans="6:8">
      <c r="H37443" t="s">
        <v>35249</v>
      </c>
    </row>
    <row r="37444" spans="6:8">
      <c r="H37444" t="s">
        <v>35048</v>
      </c>
    </row>
    <row r="37445" spans="6:8">
      <c r="F37445" t="s">
        <v>10600</v>
      </c>
      <c r="G37445" t="s">
        <v>15003</v>
      </c>
      <c r="H37445" t="s">
        <v>18836</v>
      </c>
    </row>
    <row r="37446" spans="6:8">
      <c r="H37446" t="s">
        <v>35250</v>
      </c>
    </row>
    <row r="37447" spans="6:8">
      <c r="F37447" t="s">
        <v>14314</v>
      </c>
      <c r="G37447" t="s">
        <v>18271</v>
      </c>
      <c r="H37447" t="s">
        <v>35251</v>
      </c>
    </row>
    <row r="37448" spans="6:8">
      <c r="H37448" t="s">
        <v>35252</v>
      </c>
    </row>
    <row r="37449" spans="6:8">
      <c r="H37449" t="s">
        <v>35253</v>
      </c>
    </row>
    <row r="37450" spans="6:8">
      <c r="F37450" t="s">
        <v>13960</v>
      </c>
      <c r="G37450" t="s">
        <v>17986</v>
      </c>
      <c r="H37450" t="s">
        <v>18829</v>
      </c>
    </row>
    <row r="37451" spans="6:8">
      <c r="H37451" t="s">
        <v>35254</v>
      </c>
    </row>
    <row r="37452" spans="6:8">
      <c r="H37452" t="s">
        <v>35255</v>
      </c>
    </row>
    <row r="37453" spans="6:8">
      <c r="H37453" t="s">
        <v>35250</v>
      </c>
    </row>
    <row r="37454" spans="6:8">
      <c r="H37454" t="s">
        <v>35256</v>
      </c>
    </row>
    <row r="37455" spans="6:8">
      <c r="H37455" t="s">
        <v>35257</v>
      </c>
    </row>
    <row r="37456" spans="6:8">
      <c r="H37456" t="s">
        <v>35258</v>
      </c>
    </row>
    <row r="37457" spans="6:8">
      <c r="H37457" t="s">
        <v>35259</v>
      </c>
    </row>
    <row r="37458" spans="6:8">
      <c r="H37458" t="s">
        <v>35260</v>
      </c>
    </row>
    <row r="37459" spans="6:8">
      <c r="H37459" t="s">
        <v>35261</v>
      </c>
    </row>
    <row r="37460" spans="6:8">
      <c r="H37460" t="s">
        <v>35262</v>
      </c>
    </row>
    <row r="37461" spans="6:8">
      <c r="H37461" t="s">
        <v>20340</v>
      </c>
    </row>
    <row r="37462" spans="6:8">
      <c r="F37462" t="s">
        <v>14315</v>
      </c>
      <c r="G37462" t="s">
        <v>18272</v>
      </c>
      <c r="H37462" t="s">
        <v>19981</v>
      </c>
    </row>
    <row r="37463" spans="6:8">
      <c r="H37463" t="s">
        <v>35263</v>
      </c>
    </row>
    <row r="37464" spans="6:8">
      <c r="H37464" t="s">
        <v>34877</v>
      </c>
    </row>
    <row r="37465" spans="6:8">
      <c r="H37465" t="s">
        <v>35264</v>
      </c>
    </row>
    <row r="37466" spans="6:8">
      <c r="H37466" t="s">
        <v>35265</v>
      </c>
    </row>
    <row r="37467" spans="6:8">
      <c r="F37467" t="s">
        <v>10726</v>
      </c>
      <c r="G37467" t="s">
        <v>15125</v>
      </c>
      <c r="H37467" t="s">
        <v>22023</v>
      </c>
    </row>
    <row r="37468" spans="6:8">
      <c r="H37468" t="s">
        <v>35266</v>
      </c>
    </row>
    <row r="37469" spans="6:8">
      <c r="H37469" t="s">
        <v>35267</v>
      </c>
    </row>
    <row r="37470" spans="6:8">
      <c r="H37470" t="s">
        <v>35268</v>
      </c>
    </row>
    <row r="37471" spans="6:8">
      <c r="H37471" t="s">
        <v>35269</v>
      </c>
    </row>
    <row r="37472" spans="6:8">
      <c r="H37472" t="s">
        <v>35270</v>
      </c>
    </row>
    <row r="37473" spans="6:8">
      <c r="H37473" t="s">
        <v>35271</v>
      </c>
    </row>
    <row r="37474" spans="6:8">
      <c r="F37474" t="s">
        <v>11449</v>
      </c>
      <c r="G37474" t="s">
        <v>15689</v>
      </c>
      <c r="H37474" t="s">
        <v>31759</v>
      </c>
    </row>
    <row r="37475" spans="6:8">
      <c r="H37475" t="s">
        <v>35272</v>
      </c>
    </row>
    <row r="37476" spans="6:8">
      <c r="H37476" t="s">
        <v>35273</v>
      </c>
    </row>
    <row r="37477" spans="6:8">
      <c r="H37477" t="s">
        <v>35274</v>
      </c>
    </row>
    <row r="37478" spans="6:8">
      <c r="H37478" t="s">
        <v>35275</v>
      </c>
    </row>
    <row r="37479" spans="6:8">
      <c r="H37479" t="s">
        <v>35276</v>
      </c>
    </row>
    <row r="37480" spans="6:8">
      <c r="H37480" t="s">
        <v>35277</v>
      </c>
    </row>
    <row r="37481" spans="6:8">
      <c r="H37481" t="s">
        <v>35278</v>
      </c>
    </row>
    <row r="37482" spans="6:8">
      <c r="H37482" t="s">
        <v>35279</v>
      </c>
    </row>
    <row r="37483" spans="6:8">
      <c r="H37483" t="s">
        <v>35280</v>
      </c>
    </row>
    <row r="37484" spans="6:8">
      <c r="H37484" t="s">
        <v>35281</v>
      </c>
    </row>
    <row r="37485" spans="6:8">
      <c r="H37485" t="s">
        <v>35282</v>
      </c>
    </row>
    <row r="37486" spans="6:8">
      <c r="H37486" t="s">
        <v>35283</v>
      </c>
    </row>
    <row r="37487" spans="6:8">
      <c r="H37487" t="s">
        <v>35284</v>
      </c>
    </row>
    <row r="37488" spans="6:8">
      <c r="H37488" t="s">
        <v>35285</v>
      </c>
    </row>
    <row r="37489" spans="8:8">
      <c r="H37489" t="s">
        <v>35286</v>
      </c>
    </row>
    <row r="37490" spans="8:8">
      <c r="H37490" t="s">
        <v>35287</v>
      </c>
    </row>
    <row r="37491" spans="8:8">
      <c r="H37491" t="s">
        <v>35288</v>
      </c>
    </row>
    <row r="37492" spans="8:8">
      <c r="H37492" t="s">
        <v>35289</v>
      </c>
    </row>
    <row r="37493" spans="8:8">
      <c r="H37493" t="s">
        <v>35290</v>
      </c>
    </row>
    <row r="37494" spans="8:8">
      <c r="H37494" t="s">
        <v>35290</v>
      </c>
    </row>
    <row r="37495" spans="8:8">
      <c r="H37495" t="s">
        <v>35291</v>
      </c>
    </row>
    <row r="37496" spans="8:8">
      <c r="H37496" t="s">
        <v>35292</v>
      </c>
    </row>
    <row r="37497" spans="8:8">
      <c r="H37497" t="s">
        <v>35293</v>
      </c>
    </row>
    <row r="37498" spans="8:8">
      <c r="H37498" t="s">
        <v>35294</v>
      </c>
    </row>
    <row r="37499" spans="8:8">
      <c r="H37499" t="s">
        <v>35295</v>
      </c>
    </row>
    <row r="37500" spans="8:8">
      <c r="H37500" t="s">
        <v>35296</v>
      </c>
    </row>
    <row r="37501" spans="8:8">
      <c r="H37501" t="s">
        <v>35297</v>
      </c>
    </row>
    <row r="37502" spans="8:8">
      <c r="H37502" t="s">
        <v>35298</v>
      </c>
    </row>
    <row r="37503" spans="8:8">
      <c r="H37503" t="s">
        <v>35299</v>
      </c>
    </row>
    <row r="37504" spans="8:8">
      <c r="H37504" t="s">
        <v>35300</v>
      </c>
    </row>
    <row r="37505" spans="6:8">
      <c r="H37505" t="s">
        <v>35301</v>
      </c>
    </row>
    <row r="37506" spans="6:8">
      <c r="H37506" t="s">
        <v>35302</v>
      </c>
    </row>
    <row r="37507" spans="6:8">
      <c r="H37507" t="s">
        <v>35303</v>
      </c>
    </row>
    <row r="37508" spans="6:8">
      <c r="H37508" t="s">
        <v>35304</v>
      </c>
    </row>
    <row r="37509" spans="6:8">
      <c r="H37509" t="s">
        <v>35305</v>
      </c>
    </row>
    <row r="37510" spans="6:8">
      <c r="H37510" t="s">
        <v>35306</v>
      </c>
    </row>
    <row r="37511" spans="6:8">
      <c r="F37511" t="s">
        <v>14316</v>
      </c>
      <c r="G37511" t="s">
        <v>18273</v>
      </c>
      <c r="H37511" t="s">
        <v>35307</v>
      </c>
    </row>
    <row r="37512" spans="6:8">
      <c r="F37512" t="s">
        <v>14317</v>
      </c>
      <c r="G37512" t="s">
        <v>18274</v>
      </c>
      <c r="H37512" t="s">
        <v>35308</v>
      </c>
    </row>
    <row r="37513" spans="6:8">
      <c r="H37513" t="s">
        <v>35309</v>
      </c>
    </row>
    <row r="37514" spans="6:8">
      <c r="H37514" t="s">
        <v>35310</v>
      </c>
    </row>
    <row r="37515" spans="6:8">
      <c r="H37515" t="s">
        <v>35311</v>
      </c>
    </row>
    <row r="37516" spans="6:8">
      <c r="H37516" t="s">
        <v>35312</v>
      </c>
    </row>
    <row r="37517" spans="6:8">
      <c r="H37517" t="s">
        <v>35312</v>
      </c>
    </row>
    <row r="37518" spans="6:8">
      <c r="H37518" t="s">
        <v>35313</v>
      </c>
    </row>
    <row r="37519" spans="6:8">
      <c r="H37519" t="s">
        <v>19333</v>
      </c>
    </row>
    <row r="37520" spans="6:8">
      <c r="H37520" t="s">
        <v>35314</v>
      </c>
    </row>
    <row r="37521" spans="6:8">
      <c r="H37521" t="s">
        <v>35315</v>
      </c>
    </row>
    <row r="37522" spans="6:8">
      <c r="H37522" t="s">
        <v>35316</v>
      </c>
    </row>
    <row r="37523" spans="6:8">
      <c r="F37523" t="s">
        <v>14318</v>
      </c>
      <c r="G37523" t="s">
        <v>18275</v>
      </c>
      <c r="H37523" t="s">
        <v>35317</v>
      </c>
    </row>
    <row r="37524" spans="6:8">
      <c r="F37524" t="s">
        <v>14319</v>
      </c>
      <c r="G37524" t="s">
        <v>18276</v>
      </c>
      <c r="H37524" t="s">
        <v>18836</v>
      </c>
    </row>
    <row r="37525" spans="6:8">
      <c r="F37525" t="s">
        <v>14320</v>
      </c>
      <c r="G37525" t="s">
        <v>18277</v>
      </c>
      <c r="H37525" t="s">
        <v>30172</v>
      </c>
    </row>
    <row r="37526" spans="6:8">
      <c r="H37526" t="s">
        <v>35318</v>
      </c>
    </row>
    <row r="37527" spans="6:8">
      <c r="H37527" t="s">
        <v>35319</v>
      </c>
    </row>
    <row r="37528" spans="6:8">
      <c r="H37528" t="s">
        <v>35320</v>
      </c>
    </row>
    <row r="37529" spans="6:8">
      <c r="H37529" t="s">
        <v>35321</v>
      </c>
    </row>
    <row r="37530" spans="6:8">
      <c r="H37530" t="s">
        <v>35322</v>
      </c>
    </row>
    <row r="37531" spans="6:8">
      <c r="F37531" t="s">
        <v>14321</v>
      </c>
      <c r="G37531" t="s">
        <v>18278</v>
      </c>
      <c r="H37531" t="s">
        <v>35323</v>
      </c>
    </row>
    <row r="37532" spans="6:8">
      <c r="H37532" t="s">
        <v>35324</v>
      </c>
    </row>
    <row r="37533" spans="6:8">
      <c r="H37533" t="s">
        <v>35325</v>
      </c>
    </row>
    <row r="37534" spans="6:8">
      <c r="H37534" t="s">
        <v>35326</v>
      </c>
    </row>
    <row r="37535" spans="6:8">
      <c r="H37535" t="s">
        <v>35327</v>
      </c>
    </row>
    <row r="37536" spans="6:8">
      <c r="H37536" t="s">
        <v>35328</v>
      </c>
    </row>
    <row r="37537" spans="6:8">
      <c r="F37537" t="s">
        <v>14322</v>
      </c>
      <c r="G37537" t="s">
        <v>18279</v>
      </c>
      <c r="H37537" t="s">
        <v>27516</v>
      </c>
    </row>
    <row r="37538" spans="6:8">
      <c r="H37538" t="s">
        <v>22358</v>
      </c>
    </row>
    <row r="37539" spans="6:8">
      <c r="H37539" t="s">
        <v>35329</v>
      </c>
    </row>
    <row r="37540" spans="6:8">
      <c r="H37540" t="s">
        <v>35330</v>
      </c>
    </row>
    <row r="37541" spans="6:8">
      <c r="F37541" t="s">
        <v>14323</v>
      </c>
      <c r="G37541" t="s">
        <v>18280</v>
      </c>
      <c r="H37541" t="s">
        <v>18829</v>
      </c>
    </row>
    <row r="37542" spans="6:8">
      <c r="H37542" t="s">
        <v>18863</v>
      </c>
    </row>
    <row r="37543" spans="6:8">
      <c r="H37543" t="s">
        <v>35331</v>
      </c>
    </row>
    <row r="37544" spans="6:8">
      <c r="H37544" t="s">
        <v>35332</v>
      </c>
    </row>
    <row r="37545" spans="6:8">
      <c r="H37545" t="s">
        <v>35333</v>
      </c>
    </row>
    <row r="37546" spans="6:8">
      <c r="H37546" t="s">
        <v>29840</v>
      </c>
    </row>
    <row r="37547" spans="6:8">
      <c r="H37547" t="s">
        <v>35334</v>
      </c>
    </row>
    <row r="37548" spans="6:8">
      <c r="H37548" t="s">
        <v>35335</v>
      </c>
    </row>
    <row r="37549" spans="6:8">
      <c r="H37549" t="s">
        <v>19007</v>
      </c>
    </row>
    <row r="37550" spans="6:8">
      <c r="H37550" t="s">
        <v>35336</v>
      </c>
    </row>
    <row r="37551" spans="6:8">
      <c r="F37551" t="s">
        <v>14324</v>
      </c>
      <c r="G37551" t="s">
        <v>18281</v>
      </c>
      <c r="H37551" t="s">
        <v>35337</v>
      </c>
    </row>
    <row r="37552" spans="6:8">
      <c r="H37552" t="s">
        <v>35338</v>
      </c>
    </row>
    <row r="37553" spans="6:8">
      <c r="H37553" t="s">
        <v>35339</v>
      </c>
    </row>
    <row r="37554" spans="6:8">
      <c r="H37554" t="s">
        <v>35340</v>
      </c>
    </row>
    <row r="37555" spans="6:8">
      <c r="H37555" t="s">
        <v>35341</v>
      </c>
    </row>
    <row r="37556" spans="6:8">
      <c r="H37556" t="s">
        <v>35342</v>
      </c>
    </row>
    <row r="37557" spans="6:8">
      <c r="F37557" t="s">
        <v>14102</v>
      </c>
      <c r="G37557" t="s">
        <v>18095</v>
      </c>
      <c r="H37557" t="s">
        <v>34079</v>
      </c>
    </row>
    <row r="37558" spans="6:8">
      <c r="H37558" t="s">
        <v>34080</v>
      </c>
    </row>
    <row r="37559" spans="6:8">
      <c r="H37559" t="s">
        <v>18829</v>
      </c>
    </row>
    <row r="37560" spans="6:8">
      <c r="H37560" t="s">
        <v>18863</v>
      </c>
    </row>
    <row r="37561" spans="6:8">
      <c r="H37561" t="s">
        <v>35343</v>
      </c>
    </row>
    <row r="37562" spans="6:8">
      <c r="H37562" t="s">
        <v>19019</v>
      </c>
    </row>
    <row r="37563" spans="6:8">
      <c r="H37563" t="s">
        <v>35344</v>
      </c>
    </row>
    <row r="37564" spans="6:8">
      <c r="H37564" t="s">
        <v>35345</v>
      </c>
    </row>
    <row r="37565" spans="6:8">
      <c r="H37565" t="s">
        <v>35346</v>
      </c>
    </row>
    <row r="37566" spans="6:8">
      <c r="H37566" t="s">
        <v>35347</v>
      </c>
    </row>
    <row r="37567" spans="6:8">
      <c r="H37567" t="s">
        <v>35348</v>
      </c>
    </row>
    <row r="37568" spans="6:8">
      <c r="H37568" t="s">
        <v>35349</v>
      </c>
    </row>
    <row r="37569" spans="1:8">
      <c r="H37569" t="s">
        <v>35350</v>
      </c>
    </row>
    <row r="37570" spans="1:8">
      <c r="H37570" t="s">
        <v>35351</v>
      </c>
    </row>
    <row r="37571" spans="1:8">
      <c r="H37571" t="s">
        <v>35352</v>
      </c>
    </row>
    <row r="37572" spans="1:8">
      <c r="H37572" t="s">
        <v>35353</v>
      </c>
    </row>
    <row r="37573" spans="1:8">
      <c r="H37573" t="s">
        <v>35354</v>
      </c>
    </row>
    <row r="37574" spans="1:8">
      <c r="H37574" t="s">
        <v>35355</v>
      </c>
    </row>
    <row r="37575" spans="1:8">
      <c r="H37575" t="s">
        <v>24966</v>
      </c>
    </row>
    <row r="37576" spans="1:8">
      <c r="H37576" t="s">
        <v>35356</v>
      </c>
    </row>
    <row r="37577" spans="1:8">
      <c r="H37577" t="s">
        <v>35357</v>
      </c>
    </row>
    <row r="37578" spans="1:8">
      <c r="H37578" t="s">
        <v>35358</v>
      </c>
    </row>
    <row r="37579" spans="1:8">
      <c r="H37579" t="s">
        <v>35359</v>
      </c>
    </row>
    <row r="37580" spans="1:8">
      <c r="A37580" t="s">
        <v>3501</v>
      </c>
      <c r="B37580">
        <f>HYPERLINK("https://android.googlesource.com/platform/cts/+/bb3ff4198092ee8a4a95c2f4b900bb4fbc69a38a", "bb3ff4198092ee8a4a95c2f4b900bb4fbc69a38a")</f>
        <v>0</v>
      </c>
      <c r="C37580">
        <f>HYPERLINK("https://android.googlesource.com/platform/cts/+/29241a943a681670aa8b20f32e1f06171c553af9", "29241a943a681670aa8b20f32e1f06171c553af9")</f>
        <v>0</v>
      </c>
      <c r="D37580" t="s">
        <v>5576</v>
      </c>
      <c r="E37580" t="s">
        <v>9195</v>
      </c>
      <c r="F37580" t="s">
        <v>13857</v>
      </c>
      <c r="G37580" t="s">
        <v>17899</v>
      </c>
      <c r="H37580" t="s">
        <v>18829</v>
      </c>
    </row>
    <row r="37581" spans="1:8">
      <c r="H37581" t="s">
        <v>18863</v>
      </c>
    </row>
    <row r="37582" spans="1:8">
      <c r="H37582" t="s">
        <v>34807</v>
      </c>
    </row>
    <row r="37583" spans="1:8">
      <c r="H37583" t="s">
        <v>34808</v>
      </c>
    </row>
    <row r="37584" spans="1:8">
      <c r="H37584" t="s">
        <v>34809</v>
      </c>
    </row>
    <row r="37585" spans="6:8">
      <c r="H37585" t="s">
        <v>34810</v>
      </c>
    </row>
    <row r="37586" spans="6:8">
      <c r="H37586" t="s">
        <v>34811</v>
      </c>
    </row>
    <row r="37587" spans="6:8">
      <c r="H37587" t="s">
        <v>34812</v>
      </c>
    </row>
    <row r="37588" spans="6:8">
      <c r="H37588" t="s">
        <v>34813</v>
      </c>
    </row>
    <row r="37589" spans="6:8">
      <c r="F37589" t="s">
        <v>13976</v>
      </c>
      <c r="G37589" t="s">
        <v>18001</v>
      </c>
      <c r="H37589" t="s">
        <v>18829</v>
      </c>
    </row>
    <row r="37590" spans="6:8">
      <c r="H37590" t="s">
        <v>18863</v>
      </c>
    </row>
    <row r="37591" spans="6:8">
      <c r="H37591" t="s">
        <v>34814</v>
      </c>
    </row>
    <row r="37592" spans="6:8">
      <c r="H37592" t="s">
        <v>34815</v>
      </c>
    </row>
    <row r="37593" spans="6:8">
      <c r="H37593" t="s">
        <v>34816</v>
      </c>
    </row>
    <row r="37594" spans="6:8">
      <c r="H37594" t="s">
        <v>34817</v>
      </c>
    </row>
    <row r="37595" spans="6:8">
      <c r="H37595" t="s">
        <v>34818</v>
      </c>
    </row>
    <row r="37596" spans="6:8">
      <c r="H37596" t="s">
        <v>34819</v>
      </c>
    </row>
    <row r="37597" spans="6:8">
      <c r="H37597" t="s">
        <v>34820</v>
      </c>
    </row>
    <row r="37598" spans="6:8">
      <c r="H37598" t="s">
        <v>34821</v>
      </c>
    </row>
    <row r="37599" spans="6:8">
      <c r="H37599" t="s">
        <v>34822</v>
      </c>
    </row>
    <row r="37600" spans="6:8">
      <c r="F37600" t="s">
        <v>13977</v>
      </c>
      <c r="G37600" t="s">
        <v>18002</v>
      </c>
      <c r="H37600" t="s">
        <v>34823</v>
      </c>
    </row>
    <row r="37601" spans="8:8">
      <c r="H37601" t="s">
        <v>18930</v>
      </c>
    </row>
    <row r="37602" spans="8:8">
      <c r="H37602" t="s">
        <v>19372</v>
      </c>
    </row>
    <row r="37603" spans="8:8">
      <c r="H37603" t="s">
        <v>34824</v>
      </c>
    </row>
    <row r="37604" spans="8:8">
      <c r="H37604" t="s">
        <v>34825</v>
      </c>
    </row>
    <row r="37605" spans="8:8">
      <c r="H37605" t="s">
        <v>34826</v>
      </c>
    </row>
    <row r="37606" spans="8:8">
      <c r="H37606" t="s">
        <v>34827</v>
      </c>
    </row>
    <row r="37607" spans="8:8">
      <c r="H37607" t="s">
        <v>31669</v>
      </c>
    </row>
    <row r="37608" spans="8:8">
      <c r="H37608" t="s">
        <v>32387</v>
      </c>
    </row>
    <row r="37609" spans="8:8">
      <c r="H37609" t="s">
        <v>34828</v>
      </c>
    </row>
    <row r="37610" spans="8:8">
      <c r="H37610" t="s">
        <v>31986</v>
      </c>
    </row>
    <row r="37611" spans="8:8">
      <c r="H37611" t="s">
        <v>34829</v>
      </c>
    </row>
    <row r="37612" spans="8:8">
      <c r="H37612" t="s">
        <v>34830</v>
      </c>
    </row>
    <row r="37613" spans="8:8">
      <c r="H37613" t="s">
        <v>34831</v>
      </c>
    </row>
    <row r="37614" spans="8:8">
      <c r="H37614" t="s">
        <v>34832</v>
      </c>
    </row>
    <row r="37615" spans="8:8">
      <c r="H37615" t="s">
        <v>18829</v>
      </c>
    </row>
    <row r="37616" spans="8:8">
      <c r="H37616" t="s">
        <v>18863</v>
      </c>
    </row>
    <row r="37617" spans="6:8">
      <c r="H37617" t="s">
        <v>33907</v>
      </c>
    </row>
    <row r="37618" spans="6:8">
      <c r="H37618" t="s">
        <v>33908</v>
      </c>
    </row>
    <row r="37619" spans="6:8">
      <c r="F37619" t="s">
        <v>12416</v>
      </c>
      <c r="G37619" t="s">
        <v>16638</v>
      </c>
      <c r="H37619" t="s">
        <v>26496</v>
      </c>
    </row>
    <row r="37620" spans="6:8">
      <c r="H37620" t="s">
        <v>18829</v>
      </c>
    </row>
    <row r="37621" spans="6:8">
      <c r="H37621" t="s">
        <v>18863</v>
      </c>
    </row>
    <row r="37622" spans="6:8">
      <c r="H37622" t="s">
        <v>34833</v>
      </c>
    </row>
    <row r="37623" spans="6:8">
      <c r="H37623" t="s">
        <v>34834</v>
      </c>
    </row>
    <row r="37624" spans="6:8">
      <c r="H37624" t="s">
        <v>34835</v>
      </c>
    </row>
    <row r="37625" spans="6:8">
      <c r="H37625" t="s">
        <v>29215</v>
      </c>
    </row>
    <row r="37626" spans="6:8">
      <c r="H37626" t="s">
        <v>27130</v>
      </c>
    </row>
    <row r="37627" spans="6:8">
      <c r="H37627" t="s">
        <v>34836</v>
      </c>
    </row>
    <row r="37628" spans="6:8">
      <c r="H37628" t="s">
        <v>34837</v>
      </c>
    </row>
    <row r="37629" spans="6:8">
      <c r="H37629" t="s">
        <v>34838</v>
      </c>
    </row>
    <row r="37630" spans="6:8">
      <c r="H37630" t="s">
        <v>34839</v>
      </c>
    </row>
    <row r="37631" spans="6:8">
      <c r="H37631" t="s">
        <v>34840</v>
      </c>
    </row>
    <row r="37632" spans="6:8">
      <c r="H37632" t="s">
        <v>34841</v>
      </c>
    </row>
    <row r="37633" spans="8:8">
      <c r="H37633" t="s">
        <v>34842</v>
      </c>
    </row>
    <row r="37634" spans="8:8">
      <c r="H37634" t="s">
        <v>34843</v>
      </c>
    </row>
    <row r="37635" spans="8:8">
      <c r="H37635" t="s">
        <v>34844</v>
      </c>
    </row>
    <row r="37636" spans="8:8">
      <c r="H37636" t="s">
        <v>34845</v>
      </c>
    </row>
    <row r="37637" spans="8:8">
      <c r="H37637" t="s">
        <v>34846</v>
      </c>
    </row>
    <row r="37638" spans="8:8">
      <c r="H37638" t="s">
        <v>34847</v>
      </c>
    </row>
    <row r="37639" spans="8:8">
      <c r="H37639" t="s">
        <v>31500</v>
      </c>
    </row>
    <row r="37640" spans="8:8">
      <c r="H37640" t="s">
        <v>34848</v>
      </c>
    </row>
    <row r="37641" spans="8:8">
      <c r="H37641" t="s">
        <v>34051</v>
      </c>
    </row>
    <row r="37642" spans="8:8">
      <c r="H37642" t="s">
        <v>34052</v>
      </c>
    </row>
    <row r="37643" spans="8:8">
      <c r="H37643" t="s">
        <v>34849</v>
      </c>
    </row>
    <row r="37644" spans="8:8">
      <c r="H37644" t="s">
        <v>34850</v>
      </c>
    </row>
    <row r="37645" spans="8:8">
      <c r="H37645" t="s">
        <v>34851</v>
      </c>
    </row>
    <row r="37646" spans="8:8">
      <c r="H37646" t="s">
        <v>26751</v>
      </c>
    </row>
    <row r="37647" spans="8:8">
      <c r="H37647" t="s">
        <v>34852</v>
      </c>
    </row>
    <row r="37648" spans="8:8">
      <c r="H37648" t="s">
        <v>34853</v>
      </c>
    </row>
    <row r="37649" spans="8:8">
      <c r="H37649" t="s">
        <v>34854</v>
      </c>
    </row>
    <row r="37650" spans="8:8">
      <c r="H37650" t="s">
        <v>34855</v>
      </c>
    </row>
    <row r="37651" spans="8:8">
      <c r="H37651" t="s">
        <v>34856</v>
      </c>
    </row>
    <row r="37652" spans="8:8">
      <c r="H37652" t="s">
        <v>34857</v>
      </c>
    </row>
    <row r="37653" spans="8:8">
      <c r="H37653" t="s">
        <v>34858</v>
      </c>
    </row>
    <row r="37654" spans="8:8">
      <c r="H37654" t="s">
        <v>34859</v>
      </c>
    </row>
    <row r="37655" spans="8:8">
      <c r="H37655" t="s">
        <v>34860</v>
      </c>
    </row>
    <row r="37656" spans="8:8">
      <c r="H37656" t="s">
        <v>34861</v>
      </c>
    </row>
    <row r="37657" spans="8:8">
      <c r="H37657" t="s">
        <v>34862</v>
      </c>
    </row>
    <row r="37658" spans="8:8">
      <c r="H37658" t="s">
        <v>34863</v>
      </c>
    </row>
    <row r="37659" spans="8:8">
      <c r="H37659" t="s">
        <v>34864</v>
      </c>
    </row>
    <row r="37660" spans="8:8">
      <c r="H37660" t="s">
        <v>34865</v>
      </c>
    </row>
    <row r="37661" spans="8:8">
      <c r="H37661" t="s">
        <v>34866</v>
      </c>
    </row>
    <row r="37662" spans="8:8">
      <c r="H37662" t="s">
        <v>34866</v>
      </c>
    </row>
    <row r="37663" spans="8:8">
      <c r="H37663" t="s">
        <v>34867</v>
      </c>
    </row>
    <row r="37664" spans="8:8">
      <c r="H37664" t="s">
        <v>34868</v>
      </c>
    </row>
    <row r="37665" spans="6:8">
      <c r="H37665" t="s">
        <v>34869</v>
      </c>
    </row>
    <row r="37666" spans="6:8">
      <c r="H37666" t="s">
        <v>19019</v>
      </c>
    </row>
    <row r="37667" spans="6:8">
      <c r="H37667" t="s">
        <v>34870</v>
      </c>
    </row>
    <row r="37668" spans="6:8">
      <c r="H37668" t="s">
        <v>32277</v>
      </c>
    </row>
    <row r="37669" spans="6:8">
      <c r="H37669" t="s">
        <v>19019</v>
      </c>
    </row>
    <row r="37670" spans="6:8">
      <c r="H37670" t="s">
        <v>24966</v>
      </c>
    </row>
    <row r="37671" spans="6:8">
      <c r="F37671" t="s">
        <v>14304</v>
      </c>
      <c r="G37671" t="s">
        <v>18262</v>
      </c>
      <c r="H37671" t="s">
        <v>20244</v>
      </c>
    </row>
    <row r="37672" spans="6:8">
      <c r="H37672" t="s">
        <v>19233</v>
      </c>
    </row>
    <row r="37673" spans="6:8">
      <c r="H37673" t="s">
        <v>18829</v>
      </c>
    </row>
    <row r="37674" spans="6:8">
      <c r="H37674" t="s">
        <v>34871</v>
      </c>
    </row>
    <row r="37675" spans="6:8">
      <c r="H37675" t="s">
        <v>25643</v>
      </c>
    </row>
    <row r="37676" spans="6:8">
      <c r="H37676" t="s">
        <v>31039</v>
      </c>
    </row>
    <row r="37677" spans="6:8">
      <c r="H37677" t="s">
        <v>34872</v>
      </c>
    </row>
    <row r="37678" spans="6:8">
      <c r="H37678" t="s">
        <v>34873</v>
      </c>
    </row>
    <row r="37679" spans="6:8">
      <c r="H37679" t="s">
        <v>34874</v>
      </c>
    </row>
    <row r="37680" spans="6:8">
      <c r="H37680" t="s">
        <v>34875</v>
      </c>
    </row>
    <row r="37681" spans="6:8">
      <c r="H37681" t="s">
        <v>31037</v>
      </c>
    </row>
    <row r="37682" spans="6:8">
      <c r="F37682" t="s">
        <v>13941</v>
      </c>
      <c r="G37682" t="s">
        <v>17972</v>
      </c>
      <c r="H37682" t="s">
        <v>18829</v>
      </c>
    </row>
    <row r="37683" spans="6:8">
      <c r="H37683" t="s">
        <v>32340</v>
      </c>
    </row>
    <row r="37684" spans="6:8">
      <c r="H37684" t="s">
        <v>32342</v>
      </c>
    </row>
    <row r="37685" spans="6:8">
      <c r="H37685" t="s">
        <v>32341</v>
      </c>
    </row>
    <row r="37686" spans="6:8">
      <c r="H37686" t="s">
        <v>32343</v>
      </c>
    </row>
    <row r="37687" spans="6:8">
      <c r="F37687" t="s">
        <v>14305</v>
      </c>
      <c r="G37687" t="s">
        <v>18005</v>
      </c>
      <c r="H37687" t="s">
        <v>19981</v>
      </c>
    </row>
    <row r="37688" spans="6:8">
      <c r="H37688" t="s">
        <v>34876</v>
      </c>
    </row>
    <row r="37689" spans="6:8">
      <c r="H37689" t="s">
        <v>34877</v>
      </c>
    </row>
    <row r="37690" spans="6:8">
      <c r="H37690" t="s">
        <v>34878</v>
      </c>
    </row>
    <row r="37691" spans="6:8">
      <c r="H37691" t="s">
        <v>34879</v>
      </c>
    </row>
    <row r="37692" spans="6:8">
      <c r="F37692" t="s">
        <v>14234</v>
      </c>
      <c r="G37692" t="s">
        <v>18204</v>
      </c>
      <c r="H37692" t="s">
        <v>18829</v>
      </c>
    </row>
    <row r="37693" spans="6:8">
      <c r="H37693" t="s">
        <v>18863</v>
      </c>
    </row>
    <row r="37694" spans="6:8">
      <c r="H37694" t="s">
        <v>34880</v>
      </c>
    </row>
    <row r="37695" spans="6:8">
      <c r="H37695" t="s">
        <v>34881</v>
      </c>
    </row>
    <row r="37696" spans="6:8">
      <c r="H37696" t="s">
        <v>34882</v>
      </c>
    </row>
    <row r="37697" spans="8:8">
      <c r="H37697" t="s">
        <v>34883</v>
      </c>
    </row>
    <row r="37698" spans="8:8">
      <c r="H37698" t="s">
        <v>34884</v>
      </c>
    </row>
    <row r="37699" spans="8:8">
      <c r="H37699" t="s">
        <v>34885</v>
      </c>
    </row>
    <row r="37700" spans="8:8">
      <c r="H37700" t="s">
        <v>34886</v>
      </c>
    </row>
    <row r="37701" spans="8:8">
      <c r="H37701" t="s">
        <v>34887</v>
      </c>
    </row>
    <row r="37702" spans="8:8">
      <c r="H37702" t="s">
        <v>34888</v>
      </c>
    </row>
    <row r="37703" spans="8:8">
      <c r="H37703" t="s">
        <v>34889</v>
      </c>
    </row>
    <row r="37704" spans="8:8">
      <c r="H37704" t="s">
        <v>34890</v>
      </c>
    </row>
    <row r="37705" spans="8:8">
      <c r="H37705" t="s">
        <v>34891</v>
      </c>
    </row>
    <row r="37706" spans="8:8">
      <c r="H37706" t="s">
        <v>34891</v>
      </c>
    </row>
    <row r="37707" spans="8:8">
      <c r="H37707" t="s">
        <v>34892</v>
      </c>
    </row>
    <row r="37708" spans="8:8">
      <c r="H37708" t="s">
        <v>34893</v>
      </c>
    </row>
    <row r="37709" spans="8:8">
      <c r="H37709" t="s">
        <v>34894</v>
      </c>
    </row>
    <row r="37710" spans="8:8">
      <c r="H37710" t="s">
        <v>34895</v>
      </c>
    </row>
    <row r="37711" spans="8:8">
      <c r="H37711" t="s">
        <v>34896</v>
      </c>
    </row>
    <row r="37712" spans="8:8">
      <c r="H37712" t="s">
        <v>34897</v>
      </c>
    </row>
    <row r="37713" spans="6:8">
      <c r="H37713" t="s">
        <v>34898</v>
      </c>
    </row>
    <row r="37714" spans="6:8">
      <c r="H37714" t="s">
        <v>34899</v>
      </c>
    </row>
    <row r="37715" spans="6:8">
      <c r="H37715" t="s">
        <v>34900</v>
      </c>
    </row>
    <row r="37716" spans="6:8">
      <c r="H37716" t="s">
        <v>34900</v>
      </c>
    </row>
    <row r="37717" spans="6:8">
      <c r="H37717" t="s">
        <v>34901</v>
      </c>
    </row>
    <row r="37718" spans="6:8">
      <c r="H37718" t="s">
        <v>34902</v>
      </c>
    </row>
    <row r="37719" spans="6:8">
      <c r="H37719" t="s">
        <v>34020</v>
      </c>
    </row>
    <row r="37720" spans="6:8">
      <c r="H37720" t="s">
        <v>34903</v>
      </c>
    </row>
    <row r="37721" spans="6:8">
      <c r="H37721" t="s">
        <v>19019</v>
      </c>
    </row>
    <row r="37722" spans="6:8">
      <c r="H37722" t="s">
        <v>34904</v>
      </c>
    </row>
    <row r="37723" spans="6:8">
      <c r="F37723" t="s">
        <v>10700</v>
      </c>
      <c r="G37723" t="s">
        <v>15100</v>
      </c>
      <c r="H37723" t="s">
        <v>18829</v>
      </c>
    </row>
    <row r="37724" spans="6:8">
      <c r="H37724" t="s">
        <v>18863</v>
      </c>
    </row>
    <row r="37725" spans="6:8">
      <c r="H37725" t="s">
        <v>34905</v>
      </c>
    </row>
    <row r="37726" spans="6:8">
      <c r="H37726" t="s">
        <v>34906</v>
      </c>
    </row>
    <row r="37727" spans="6:8">
      <c r="H37727" t="s">
        <v>22508</v>
      </c>
    </row>
    <row r="37728" spans="6:8">
      <c r="H37728" t="s">
        <v>34907</v>
      </c>
    </row>
    <row r="37729" spans="8:8">
      <c r="H37729" t="s">
        <v>34908</v>
      </c>
    </row>
    <row r="37730" spans="8:8">
      <c r="H37730" t="s">
        <v>34909</v>
      </c>
    </row>
    <row r="37731" spans="8:8">
      <c r="H37731" t="s">
        <v>34910</v>
      </c>
    </row>
    <row r="37732" spans="8:8">
      <c r="H37732" t="s">
        <v>34911</v>
      </c>
    </row>
    <row r="37733" spans="8:8">
      <c r="H37733" t="s">
        <v>34912</v>
      </c>
    </row>
    <row r="37734" spans="8:8">
      <c r="H37734" t="s">
        <v>34913</v>
      </c>
    </row>
    <row r="37735" spans="8:8">
      <c r="H37735" t="s">
        <v>34914</v>
      </c>
    </row>
    <row r="37736" spans="8:8">
      <c r="H37736" t="s">
        <v>34915</v>
      </c>
    </row>
    <row r="37737" spans="8:8">
      <c r="H37737" t="s">
        <v>34916</v>
      </c>
    </row>
    <row r="37738" spans="8:8">
      <c r="H37738" t="s">
        <v>34917</v>
      </c>
    </row>
    <row r="37739" spans="8:8">
      <c r="H37739" t="s">
        <v>25838</v>
      </c>
    </row>
    <row r="37740" spans="8:8">
      <c r="H37740" t="s">
        <v>34918</v>
      </c>
    </row>
    <row r="37741" spans="8:8">
      <c r="H37741" t="s">
        <v>34919</v>
      </c>
    </row>
    <row r="37742" spans="8:8">
      <c r="H37742" t="s">
        <v>34920</v>
      </c>
    </row>
    <row r="37743" spans="8:8">
      <c r="H37743" t="s">
        <v>25839</v>
      </c>
    </row>
    <row r="37744" spans="8:8">
      <c r="H37744" t="s">
        <v>27479</v>
      </c>
    </row>
    <row r="37745" spans="8:8">
      <c r="H37745" t="s">
        <v>32382</v>
      </c>
    </row>
    <row r="37746" spans="8:8">
      <c r="H37746" t="s">
        <v>34921</v>
      </c>
    </row>
    <row r="37747" spans="8:8">
      <c r="H37747" t="s">
        <v>34922</v>
      </c>
    </row>
    <row r="37748" spans="8:8">
      <c r="H37748" t="s">
        <v>34923</v>
      </c>
    </row>
    <row r="37749" spans="8:8">
      <c r="H37749" t="s">
        <v>34924</v>
      </c>
    </row>
    <row r="37750" spans="8:8">
      <c r="H37750" t="s">
        <v>34925</v>
      </c>
    </row>
    <row r="37751" spans="8:8">
      <c r="H37751" t="s">
        <v>34926</v>
      </c>
    </row>
    <row r="37752" spans="8:8">
      <c r="H37752" t="s">
        <v>34927</v>
      </c>
    </row>
    <row r="37753" spans="8:8">
      <c r="H37753" t="s">
        <v>34928</v>
      </c>
    </row>
    <row r="37754" spans="8:8">
      <c r="H37754" t="s">
        <v>34929</v>
      </c>
    </row>
    <row r="37755" spans="8:8">
      <c r="H37755" t="s">
        <v>34930</v>
      </c>
    </row>
    <row r="37756" spans="8:8">
      <c r="H37756" t="s">
        <v>34931</v>
      </c>
    </row>
    <row r="37757" spans="8:8">
      <c r="H37757" t="s">
        <v>34932</v>
      </c>
    </row>
    <row r="37758" spans="8:8">
      <c r="H37758" t="s">
        <v>34933</v>
      </c>
    </row>
    <row r="37759" spans="8:8">
      <c r="H37759" t="s">
        <v>34934</v>
      </c>
    </row>
    <row r="37760" spans="8:8">
      <c r="H37760" t="s">
        <v>34935</v>
      </c>
    </row>
    <row r="37761" spans="8:8">
      <c r="H37761" t="s">
        <v>34676</v>
      </c>
    </row>
    <row r="37762" spans="8:8">
      <c r="H37762" t="s">
        <v>34936</v>
      </c>
    </row>
    <row r="37763" spans="8:8">
      <c r="H37763" t="s">
        <v>34937</v>
      </c>
    </row>
    <row r="37764" spans="8:8">
      <c r="H37764" t="s">
        <v>34938</v>
      </c>
    </row>
    <row r="37765" spans="8:8">
      <c r="H37765" t="s">
        <v>19372</v>
      </c>
    </row>
    <row r="37766" spans="8:8">
      <c r="H37766" t="s">
        <v>18930</v>
      </c>
    </row>
    <row r="37767" spans="8:8">
      <c r="H37767" t="s">
        <v>34939</v>
      </c>
    </row>
    <row r="37768" spans="8:8">
      <c r="H37768" t="s">
        <v>34940</v>
      </c>
    </row>
    <row r="37769" spans="8:8">
      <c r="H37769" t="s">
        <v>20177</v>
      </c>
    </row>
    <row r="37770" spans="8:8">
      <c r="H37770" t="s">
        <v>33901</v>
      </c>
    </row>
    <row r="37771" spans="8:8">
      <c r="H37771" t="s">
        <v>34827</v>
      </c>
    </row>
    <row r="37772" spans="8:8">
      <c r="H37772" t="s">
        <v>34941</v>
      </c>
    </row>
    <row r="37773" spans="8:8">
      <c r="H37773" t="s">
        <v>34942</v>
      </c>
    </row>
    <row r="37774" spans="8:8">
      <c r="H37774" t="s">
        <v>34943</v>
      </c>
    </row>
    <row r="37775" spans="8:8">
      <c r="H37775" t="s">
        <v>34944</v>
      </c>
    </row>
    <row r="37776" spans="8:8">
      <c r="H37776" t="s">
        <v>34945</v>
      </c>
    </row>
    <row r="37777" spans="8:8">
      <c r="H37777" t="s">
        <v>34946</v>
      </c>
    </row>
    <row r="37778" spans="8:8">
      <c r="H37778" t="s">
        <v>34947</v>
      </c>
    </row>
    <row r="37779" spans="8:8">
      <c r="H37779" t="s">
        <v>34948</v>
      </c>
    </row>
    <row r="37780" spans="8:8">
      <c r="H37780" t="s">
        <v>34949</v>
      </c>
    </row>
    <row r="37781" spans="8:8">
      <c r="H37781" t="s">
        <v>34950</v>
      </c>
    </row>
    <row r="37782" spans="8:8">
      <c r="H37782" t="s">
        <v>34951</v>
      </c>
    </row>
    <row r="37783" spans="8:8">
      <c r="H37783" t="s">
        <v>34952</v>
      </c>
    </row>
    <row r="37784" spans="8:8">
      <c r="H37784" t="s">
        <v>34953</v>
      </c>
    </row>
    <row r="37785" spans="8:8">
      <c r="H37785" t="s">
        <v>34954</v>
      </c>
    </row>
    <row r="37786" spans="8:8">
      <c r="H37786" t="s">
        <v>34955</v>
      </c>
    </row>
    <row r="37787" spans="8:8">
      <c r="H37787" t="s">
        <v>34956</v>
      </c>
    </row>
    <row r="37788" spans="8:8">
      <c r="H37788" t="s">
        <v>34957</v>
      </c>
    </row>
    <row r="37789" spans="8:8">
      <c r="H37789" t="s">
        <v>34958</v>
      </c>
    </row>
    <row r="37790" spans="8:8">
      <c r="H37790" t="s">
        <v>34959</v>
      </c>
    </row>
    <row r="37791" spans="8:8">
      <c r="H37791" t="s">
        <v>34960</v>
      </c>
    </row>
    <row r="37792" spans="8:8">
      <c r="H37792" t="s">
        <v>34006</v>
      </c>
    </row>
    <row r="37793" spans="6:8">
      <c r="H37793" t="s">
        <v>34961</v>
      </c>
    </row>
    <row r="37794" spans="6:8">
      <c r="H37794" t="s">
        <v>34962</v>
      </c>
    </row>
    <row r="37795" spans="6:8">
      <c r="H37795" t="s">
        <v>34963</v>
      </c>
    </row>
    <row r="37796" spans="6:8">
      <c r="H37796" t="s">
        <v>31668</v>
      </c>
    </row>
    <row r="37797" spans="6:8">
      <c r="H37797" t="s">
        <v>32385</v>
      </c>
    </row>
    <row r="37798" spans="6:8">
      <c r="H37798" t="s">
        <v>34964</v>
      </c>
    </row>
    <row r="37799" spans="6:8">
      <c r="H37799" t="s">
        <v>34965</v>
      </c>
    </row>
    <row r="37800" spans="6:8">
      <c r="H37800" t="s">
        <v>34966</v>
      </c>
    </row>
    <row r="37801" spans="6:8">
      <c r="F37801" t="s">
        <v>14306</v>
      </c>
      <c r="G37801" t="s">
        <v>18263</v>
      </c>
      <c r="H37801" t="s">
        <v>34967</v>
      </c>
    </row>
    <row r="37802" spans="6:8">
      <c r="F37802" t="s">
        <v>13837</v>
      </c>
      <c r="G37802" t="s">
        <v>17880</v>
      </c>
      <c r="H37802" t="s">
        <v>18829</v>
      </c>
    </row>
    <row r="37803" spans="6:8">
      <c r="H37803" t="s">
        <v>18863</v>
      </c>
    </row>
    <row r="37804" spans="6:8">
      <c r="H37804" t="s">
        <v>34968</v>
      </c>
    </row>
    <row r="37805" spans="6:8">
      <c r="H37805" t="s">
        <v>34969</v>
      </c>
    </row>
    <row r="37806" spans="6:8">
      <c r="H37806" t="s">
        <v>27735</v>
      </c>
    </row>
    <row r="37807" spans="6:8">
      <c r="H37807" t="s">
        <v>34970</v>
      </c>
    </row>
    <row r="37808" spans="6:8">
      <c r="H37808" t="s">
        <v>34971</v>
      </c>
    </row>
    <row r="37809" spans="8:8">
      <c r="H37809" t="s">
        <v>34972</v>
      </c>
    </row>
    <row r="37810" spans="8:8">
      <c r="H37810" t="s">
        <v>34973</v>
      </c>
    </row>
    <row r="37811" spans="8:8">
      <c r="H37811" t="s">
        <v>34974</v>
      </c>
    </row>
    <row r="37812" spans="8:8">
      <c r="H37812" t="s">
        <v>34975</v>
      </c>
    </row>
    <row r="37813" spans="8:8">
      <c r="H37813" t="s">
        <v>34975</v>
      </c>
    </row>
    <row r="37814" spans="8:8">
      <c r="H37814" t="s">
        <v>31970</v>
      </c>
    </row>
    <row r="37815" spans="8:8">
      <c r="H37815" t="s">
        <v>31970</v>
      </c>
    </row>
    <row r="37816" spans="8:8">
      <c r="H37816" t="s">
        <v>34976</v>
      </c>
    </row>
    <row r="37817" spans="8:8">
      <c r="H37817" t="s">
        <v>31971</v>
      </c>
    </row>
    <row r="37818" spans="8:8">
      <c r="H37818" t="s">
        <v>20177</v>
      </c>
    </row>
    <row r="37819" spans="8:8">
      <c r="H37819" t="s">
        <v>31967</v>
      </c>
    </row>
    <row r="37820" spans="8:8">
      <c r="H37820" t="s">
        <v>34977</v>
      </c>
    </row>
    <row r="37821" spans="8:8">
      <c r="H37821" t="s">
        <v>34978</v>
      </c>
    </row>
    <row r="37822" spans="8:8">
      <c r="H37822" t="s">
        <v>34979</v>
      </c>
    </row>
    <row r="37823" spans="8:8">
      <c r="H37823" t="s">
        <v>31852</v>
      </c>
    </row>
    <row r="37824" spans="8:8">
      <c r="H37824" t="s">
        <v>34980</v>
      </c>
    </row>
    <row r="37825" spans="8:8">
      <c r="H37825" t="s">
        <v>34981</v>
      </c>
    </row>
    <row r="37826" spans="8:8">
      <c r="H37826" t="s">
        <v>34982</v>
      </c>
    </row>
    <row r="37827" spans="8:8">
      <c r="H37827" t="s">
        <v>34983</v>
      </c>
    </row>
    <row r="37828" spans="8:8">
      <c r="H37828" t="s">
        <v>34984</v>
      </c>
    </row>
    <row r="37829" spans="8:8">
      <c r="H37829" t="s">
        <v>34985</v>
      </c>
    </row>
    <row r="37830" spans="8:8">
      <c r="H37830" t="s">
        <v>34986</v>
      </c>
    </row>
    <row r="37831" spans="8:8">
      <c r="H37831" t="s">
        <v>34987</v>
      </c>
    </row>
    <row r="37832" spans="8:8">
      <c r="H37832" t="s">
        <v>34988</v>
      </c>
    </row>
    <row r="37833" spans="8:8">
      <c r="H37833" t="s">
        <v>34989</v>
      </c>
    </row>
    <row r="37834" spans="8:8">
      <c r="H37834" t="s">
        <v>34990</v>
      </c>
    </row>
    <row r="37835" spans="8:8">
      <c r="H37835" t="s">
        <v>34991</v>
      </c>
    </row>
    <row r="37836" spans="8:8">
      <c r="H37836" t="s">
        <v>34992</v>
      </c>
    </row>
    <row r="37837" spans="8:8">
      <c r="H37837" t="s">
        <v>34993</v>
      </c>
    </row>
    <row r="37838" spans="8:8">
      <c r="H37838" t="s">
        <v>34994</v>
      </c>
    </row>
    <row r="37839" spans="8:8">
      <c r="H37839" t="s">
        <v>34995</v>
      </c>
    </row>
    <row r="37840" spans="8:8">
      <c r="H37840" t="s">
        <v>34996</v>
      </c>
    </row>
    <row r="37841" spans="8:8">
      <c r="H37841" t="s">
        <v>34997</v>
      </c>
    </row>
    <row r="37842" spans="8:8">
      <c r="H37842" t="s">
        <v>31970</v>
      </c>
    </row>
    <row r="37843" spans="8:8">
      <c r="H37843" t="s">
        <v>34976</v>
      </c>
    </row>
    <row r="37844" spans="8:8">
      <c r="H37844" t="s">
        <v>34998</v>
      </c>
    </row>
    <row r="37845" spans="8:8">
      <c r="H37845" t="s">
        <v>34999</v>
      </c>
    </row>
    <row r="37846" spans="8:8">
      <c r="H37846" t="s">
        <v>35000</v>
      </c>
    </row>
    <row r="37847" spans="8:8">
      <c r="H37847" t="s">
        <v>35001</v>
      </c>
    </row>
    <row r="37848" spans="8:8">
      <c r="H37848" t="s">
        <v>31971</v>
      </c>
    </row>
    <row r="37849" spans="8:8">
      <c r="H37849" t="s">
        <v>20177</v>
      </c>
    </row>
    <row r="37850" spans="8:8">
      <c r="H37850" t="s">
        <v>35002</v>
      </c>
    </row>
    <row r="37851" spans="8:8">
      <c r="H37851" t="s">
        <v>35003</v>
      </c>
    </row>
    <row r="37852" spans="8:8">
      <c r="H37852" t="s">
        <v>35004</v>
      </c>
    </row>
    <row r="37853" spans="8:8">
      <c r="H37853" t="s">
        <v>35005</v>
      </c>
    </row>
    <row r="37854" spans="8:8">
      <c r="H37854" t="s">
        <v>35006</v>
      </c>
    </row>
    <row r="37855" spans="8:8">
      <c r="H37855" t="s">
        <v>35007</v>
      </c>
    </row>
    <row r="37856" spans="8:8">
      <c r="H37856" t="s">
        <v>35008</v>
      </c>
    </row>
    <row r="37857" spans="6:8">
      <c r="H37857" t="s">
        <v>35009</v>
      </c>
    </row>
    <row r="37858" spans="6:8">
      <c r="H37858" t="s">
        <v>35010</v>
      </c>
    </row>
    <row r="37859" spans="6:8">
      <c r="H37859" t="s">
        <v>35011</v>
      </c>
    </row>
    <row r="37860" spans="6:8">
      <c r="H37860" t="s">
        <v>35012</v>
      </c>
    </row>
    <row r="37861" spans="6:8">
      <c r="H37861" t="s">
        <v>35013</v>
      </c>
    </row>
    <row r="37862" spans="6:8">
      <c r="H37862" t="s">
        <v>35014</v>
      </c>
    </row>
    <row r="37863" spans="6:8">
      <c r="H37863" t="s">
        <v>35015</v>
      </c>
    </row>
    <row r="37864" spans="6:8">
      <c r="F37864" t="s">
        <v>12201</v>
      </c>
      <c r="G37864" t="s">
        <v>16439</v>
      </c>
      <c r="H37864" t="s">
        <v>18829</v>
      </c>
    </row>
    <row r="37865" spans="6:8">
      <c r="H37865" t="s">
        <v>21327</v>
      </c>
    </row>
    <row r="37866" spans="6:8">
      <c r="H37866" t="s">
        <v>21328</v>
      </c>
    </row>
    <row r="37867" spans="6:8">
      <c r="H37867" t="s">
        <v>35016</v>
      </c>
    </row>
    <row r="37868" spans="6:8">
      <c r="H37868" t="s">
        <v>35017</v>
      </c>
    </row>
    <row r="37869" spans="6:8">
      <c r="F37869" t="s">
        <v>14222</v>
      </c>
      <c r="G37869" t="s">
        <v>18195</v>
      </c>
      <c r="H37869" t="s">
        <v>35018</v>
      </c>
    </row>
    <row r="37870" spans="6:8">
      <c r="H37870" t="s">
        <v>18863</v>
      </c>
    </row>
    <row r="37871" spans="6:8">
      <c r="H37871" t="s">
        <v>34106</v>
      </c>
    </row>
    <row r="37872" spans="6:8">
      <c r="H37872" t="s">
        <v>35019</v>
      </c>
    </row>
    <row r="37873" spans="8:8">
      <c r="H37873" t="s">
        <v>35020</v>
      </c>
    </row>
    <row r="37874" spans="8:8">
      <c r="H37874" t="s">
        <v>35020</v>
      </c>
    </row>
    <row r="37875" spans="8:8">
      <c r="H37875" t="s">
        <v>35021</v>
      </c>
    </row>
    <row r="37876" spans="8:8">
      <c r="H37876" t="s">
        <v>35022</v>
      </c>
    </row>
    <row r="37877" spans="8:8">
      <c r="H37877" t="s">
        <v>35023</v>
      </c>
    </row>
    <row r="37878" spans="8:8">
      <c r="H37878" t="s">
        <v>35024</v>
      </c>
    </row>
    <row r="37879" spans="8:8">
      <c r="H37879" t="s">
        <v>35025</v>
      </c>
    </row>
    <row r="37880" spans="8:8">
      <c r="H37880" t="s">
        <v>35026</v>
      </c>
    </row>
    <row r="37881" spans="8:8">
      <c r="H37881" t="s">
        <v>35027</v>
      </c>
    </row>
    <row r="37882" spans="8:8">
      <c r="H37882" t="s">
        <v>35028</v>
      </c>
    </row>
    <row r="37883" spans="8:8">
      <c r="H37883" t="s">
        <v>35029</v>
      </c>
    </row>
    <row r="37884" spans="8:8">
      <c r="H37884" t="s">
        <v>35030</v>
      </c>
    </row>
    <row r="37885" spans="8:8">
      <c r="H37885" t="s">
        <v>35031</v>
      </c>
    </row>
    <row r="37886" spans="8:8">
      <c r="H37886" t="s">
        <v>35032</v>
      </c>
    </row>
    <row r="37887" spans="8:8">
      <c r="H37887" t="s">
        <v>35033</v>
      </c>
    </row>
    <row r="37888" spans="8:8">
      <c r="H37888" t="s">
        <v>35034</v>
      </c>
    </row>
    <row r="37889" spans="6:8">
      <c r="H37889" t="s">
        <v>35035</v>
      </c>
    </row>
    <row r="37890" spans="6:8">
      <c r="H37890" t="s">
        <v>35036</v>
      </c>
    </row>
    <row r="37891" spans="6:8">
      <c r="H37891" t="s">
        <v>35037</v>
      </c>
    </row>
    <row r="37892" spans="6:8">
      <c r="H37892" t="s">
        <v>35038</v>
      </c>
    </row>
    <row r="37893" spans="6:8">
      <c r="H37893" t="s">
        <v>35039</v>
      </c>
    </row>
    <row r="37894" spans="6:8">
      <c r="F37894" t="s">
        <v>14307</v>
      </c>
      <c r="G37894" t="s">
        <v>18264</v>
      </c>
      <c r="H37894" t="s">
        <v>35040</v>
      </c>
    </row>
    <row r="37895" spans="6:8">
      <c r="H37895" t="s">
        <v>35041</v>
      </c>
    </row>
    <row r="37896" spans="6:8">
      <c r="H37896" t="s">
        <v>35042</v>
      </c>
    </row>
    <row r="37897" spans="6:8">
      <c r="H37897" t="s">
        <v>35043</v>
      </c>
    </row>
    <row r="37898" spans="6:8">
      <c r="H37898" t="s">
        <v>35044</v>
      </c>
    </row>
    <row r="37899" spans="6:8">
      <c r="H37899" t="s">
        <v>35045</v>
      </c>
    </row>
    <row r="37900" spans="6:8">
      <c r="H37900" t="s">
        <v>35046</v>
      </c>
    </row>
    <row r="37901" spans="6:8">
      <c r="H37901" t="s">
        <v>35047</v>
      </c>
    </row>
    <row r="37902" spans="6:8">
      <c r="F37902" t="s">
        <v>14159</v>
      </c>
      <c r="G37902" t="s">
        <v>18145</v>
      </c>
      <c r="H37902" t="s">
        <v>18829</v>
      </c>
    </row>
    <row r="37903" spans="6:8">
      <c r="H37903" t="s">
        <v>18836</v>
      </c>
    </row>
    <row r="37904" spans="6:8">
      <c r="H37904" t="s">
        <v>35048</v>
      </c>
    </row>
    <row r="37905" spans="6:8">
      <c r="H37905" t="s">
        <v>35049</v>
      </c>
    </row>
    <row r="37906" spans="6:8">
      <c r="H37906" t="s">
        <v>35050</v>
      </c>
    </row>
    <row r="37907" spans="6:8">
      <c r="F37907" t="s">
        <v>14308</v>
      </c>
      <c r="G37907" t="s">
        <v>18265</v>
      </c>
      <c r="H37907" t="s">
        <v>18829</v>
      </c>
    </row>
    <row r="37908" spans="6:8">
      <c r="H37908" t="s">
        <v>26408</v>
      </c>
    </row>
    <row r="37909" spans="6:8">
      <c r="H37909" t="s">
        <v>30464</v>
      </c>
    </row>
    <row r="37910" spans="6:8">
      <c r="H37910" t="s">
        <v>30466</v>
      </c>
    </row>
    <row r="37911" spans="6:8">
      <c r="H37911" t="s">
        <v>35051</v>
      </c>
    </row>
    <row r="37912" spans="6:8">
      <c r="H37912" t="s">
        <v>35052</v>
      </c>
    </row>
    <row r="37913" spans="6:8">
      <c r="H37913" t="s">
        <v>35053</v>
      </c>
    </row>
    <row r="37914" spans="6:8">
      <c r="H37914" t="s">
        <v>30466</v>
      </c>
    </row>
    <row r="37915" spans="6:8">
      <c r="H37915" t="s">
        <v>25704</v>
      </c>
    </row>
    <row r="37916" spans="6:8">
      <c r="H37916" t="s">
        <v>35054</v>
      </c>
    </row>
    <row r="37917" spans="6:8">
      <c r="H37917" t="s">
        <v>35055</v>
      </c>
    </row>
    <row r="37918" spans="6:8">
      <c r="H37918" t="s">
        <v>35056</v>
      </c>
    </row>
    <row r="37919" spans="6:8">
      <c r="H37919" t="s">
        <v>35057</v>
      </c>
    </row>
    <row r="37920" spans="6:8">
      <c r="H37920" t="s">
        <v>35058</v>
      </c>
    </row>
    <row r="37921" spans="8:8">
      <c r="H37921" t="s">
        <v>35059</v>
      </c>
    </row>
    <row r="37922" spans="8:8">
      <c r="H37922" t="s">
        <v>35059</v>
      </c>
    </row>
    <row r="37923" spans="8:8">
      <c r="H37923" t="s">
        <v>35052</v>
      </c>
    </row>
    <row r="37924" spans="8:8">
      <c r="H37924" t="s">
        <v>35058</v>
      </c>
    </row>
    <row r="37925" spans="8:8">
      <c r="H37925" t="s">
        <v>30466</v>
      </c>
    </row>
    <row r="37926" spans="8:8">
      <c r="H37926" t="s">
        <v>25704</v>
      </c>
    </row>
    <row r="37927" spans="8:8">
      <c r="H37927" t="s">
        <v>35053</v>
      </c>
    </row>
    <row r="37928" spans="8:8">
      <c r="H37928" t="s">
        <v>35054</v>
      </c>
    </row>
    <row r="37929" spans="8:8">
      <c r="H37929" t="s">
        <v>35055</v>
      </c>
    </row>
    <row r="37930" spans="8:8">
      <c r="H37930" t="s">
        <v>35060</v>
      </c>
    </row>
    <row r="37931" spans="8:8">
      <c r="H37931" t="s">
        <v>35052</v>
      </c>
    </row>
    <row r="37932" spans="8:8">
      <c r="H37932" t="s">
        <v>35053</v>
      </c>
    </row>
    <row r="37933" spans="8:8">
      <c r="H37933" t="s">
        <v>30466</v>
      </c>
    </row>
    <row r="37934" spans="8:8">
      <c r="H37934" t="s">
        <v>25704</v>
      </c>
    </row>
    <row r="37935" spans="8:8">
      <c r="H37935" t="s">
        <v>35054</v>
      </c>
    </row>
    <row r="37936" spans="8:8">
      <c r="H37936" t="s">
        <v>35055</v>
      </c>
    </row>
    <row r="37937" spans="8:8">
      <c r="H37937" t="s">
        <v>35061</v>
      </c>
    </row>
    <row r="37938" spans="8:8">
      <c r="H37938" t="s">
        <v>35062</v>
      </c>
    </row>
    <row r="37939" spans="8:8">
      <c r="H37939" t="s">
        <v>35063</v>
      </c>
    </row>
    <row r="37940" spans="8:8">
      <c r="H37940" t="s">
        <v>35064</v>
      </c>
    </row>
    <row r="37941" spans="8:8">
      <c r="H37941" t="s">
        <v>35065</v>
      </c>
    </row>
    <row r="37942" spans="8:8">
      <c r="H37942" t="s">
        <v>35066</v>
      </c>
    </row>
    <row r="37943" spans="8:8">
      <c r="H37943" t="s">
        <v>35067</v>
      </c>
    </row>
    <row r="37944" spans="8:8">
      <c r="H37944" t="s">
        <v>35068</v>
      </c>
    </row>
    <row r="37945" spans="8:8">
      <c r="H37945" t="s">
        <v>30465</v>
      </c>
    </row>
    <row r="37946" spans="8:8">
      <c r="H37946" t="s">
        <v>35069</v>
      </c>
    </row>
    <row r="37947" spans="8:8">
      <c r="H37947" t="s">
        <v>35070</v>
      </c>
    </row>
    <row r="37948" spans="8:8">
      <c r="H37948" t="s">
        <v>35071</v>
      </c>
    </row>
    <row r="37949" spans="8:8">
      <c r="H37949" t="s">
        <v>35072</v>
      </c>
    </row>
    <row r="37950" spans="8:8">
      <c r="H37950" t="s">
        <v>35073</v>
      </c>
    </row>
    <row r="37951" spans="8:8">
      <c r="H37951" t="s">
        <v>35074</v>
      </c>
    </row>
    <row r="37952" spans="8:8">
      <c r="H37952" t="s">
        <v>35075</v>
      </c>
    </row>
    <row r="37953" spans="6:8">
      <c r="F37953" t="s">
        <v>13309</v>
      </c>
      <c r="G37953" t="s">
        <v>17442</v>
      </c>
      <c r="H37953" t="s">
        <v>29102</v>
      </c>
    </row>
    <row r="37954" spans="6:8">
      <c r="H37954" t="s">
        <v>35076</v>
      </c>
    </row>
    <row r="37955" spans="6:8">
      <c r="H37955" t="s">
        <v>35077</v>
      </c>
    </row>
    <row r="37956" spans="6:8">
      <c r="H37956" t="s">
        <v>35078</v>
      </c>
    </row>
    <row r="37957" spans="6:8">
      <c r="H37957" t="s">
        <v>35079</v>
      </c>
    </row>
    <row r="37958" spans="6:8">
      <c r="H37958" t="s">
        <v>29103</v>
      </c>
    </row>
    <row r="37959" spans="6:8">
      <c r="H37959" t="s">
        <v>35080</v>
      </c>
    </row>
    <row r="37960" spans="6:8">
      <c r="H37960" t="s">
        <v>35081</v>
      </c>
    </row>
    <row r="37961" spans="6:8">
      <c r="H37961" t="s">
        <v>35082</v>
      </c>
    </row>
    <row r="37962" spans="6:8">
      <c r="H37962" t="s">
        <v>35083</v>
      </c>
    </row>
    <row r="37963" spans="6:8">
      <c r="H37963" t="s">
        <v>35084</v>
      </c>
    </row>
    <row r="37964" spans="6:8">
      <c r="H37964" t="s">
        <v>35085</v>
      </c>
    </row>
    <row r="37965" spans="6:8">
      <c r="H37965" t="s">
        <v>35086</v>
      </c>
    </row>
    <row r="37966" spans="6:8">
      <c r="H37966" t="s">
        <v>35087</v>
      </c>
    </row>
    <row r="37967" spans="6:8">
      <c r="H37967" t="s">
        <v>35088</v>
      </c>
    </row>
    <row r="37968" spans="6:8">
      <c r="H37968" t="s">
        <v>35089</v>
      </c>
    </row>
    <row r="37969" spans="8:8">
      <c r="H37969" t="s">
        <v>35090</v>
      </c>
    </row>
    <row r="37970" spans="8:8">
      <c r="H37970" t="s">
        <v>35091</v>
      </c>
    </row>
    <row r="37971" spans="8:8">
      <c r="H37971" t="s">
        <v>35092</v>
      </c>
    </row>
    <row r="37972" spans="8:8">
      <c r="H37972" t="s">
        <v>35093</v>
      </c>
    </row>
    <row r="37973" spans="8:8">
      <c r="H37973" t="s">
        <v>35094</v>
      </c>
    </row>
    <row r="37974" spans="8:8">
      <c r="H37974" t="s">
        <v>35095</v>
      </c>
    </row>
    <row r="37975" spans="8:8">
      <c r="H37975" t="s">
        <v>35096</v>
      </c>
    </row>
    <row r="37976" spans="8:8">
      <c r="H37976" t="s">
        <v>35097</v>
      </c>
    </row>
    <row r="37977" spans="8:8">
      <c r="H37977" t="s">
        <v>35098</v>
      </c>
    </row>
    <row r="37978" spans="8:8">
      <c r="H37978" t="s">
        <v>35099</v>
      </c>
    </row>
    <row r="37979" spans="8:8">
      <c r="H37979" t="s">
        <v>35100</v>
      </c>
    </row>
    <row r="37980" spans="8:8">
      <c r="H37980" t="s">
        <v>35101</v>
      </c>
    </row>
    <row r="37981" spans="8:8">
      <c r="H37981" t="s">
        <v>35102</v>
      </c>
    </row>
    <row r="37982" spans="8:8">
      <c r="H37982" t="s">
        <v>35103</v>
      </c>
    </row>
    <row r="37983" spans="8:8">
      <c r="H37983" t="s">
        <v>35104</v>
      </c>
    </row>
    <row r="37984" spans="8:8">
      <c r="H37984" t="s">
        <v>35105</v>
      </c>
    </row>
    <row r="37985" spans="8:8">
      <c r="H37985" t="s">
        <v>35106</v>
      </c>
    </row>
    <row r="37986" spans="8:8">
      <c r="H37986" t="s">
        <v>35107</v>
      </c>
    </row>
    <row r="37987" spans="8:8">
      <c r="H37987" t="s">
        <v>35108</v>
      </c>
    </row>
    <row r="37988" spans="8:8">
      <c r="H37988" t="s">
        <v>35109</v>
      </c>
    </row>
    <row r="37989" spans="8:8">
      <c r="H37989" t="s">
        <v>35110</v>
      </c>
    </row>
    <row r="37990" spans="8:8">
      <c r="H37990" t="s">
        <v>35111</v>
      </c>
    </row>
    <row r="37991" spans="8:8">
      <c r="H37991" t="s">
        <v>35112</v>
      </c>
    </row>
    <row r="37992" spans="8:8">
      <c r="H37992" t="s">
        <v>35113</v>
      </c>
    </row>
    <row r="37993" spans="8:8">
      <c r="H37993" t="s">
        <v>35114</v>
      </c>
    </row>
    <row r="37994" spans="8:8">
      <c r="H37994" t="s">
        <v>35115</v>
      </c>
    </row>
    <row r="37995" spans="8:8">
      <c r="H37995" t="s">
        <v>35116</v>
      </c>
    </row>
    <row r="37996" spans="8:8">
      <c r="H37996" t="s">
        <v>35117</v>
      </c>
    </row>
    <row r="37997" spans="8:8">
      <c r="H37997" t="s">
        <v>35118</v>
      </c>
    </row>
    <row r="37998" spans="8:8">
      <c r="H37998" t="s">
        <v>35119</v>
      </c>
    </row>
    <row r="37999" spans="8:8">
      <c r="H37999" t="s">
        <v>35120</v>
      </c>
    </row>
    <row r="38000" spans="8:8">
      <c r="H38000" t="s">
        <v>35121</v>
      </c>
    </row>
    <row r="38001" spans="8:8">
      <c r="H38001" t="s">
        <v>35122</v>
      </c>
    </row>
    <row r="38002" spans="8:8">
      <c r="H38002" t="s">
        <v>35123</v>
      </c>
    </row>
    <row r="38003" spans="8:8">
      <c r="H38003" t="s">
        <v>35124</v>
      </c>
    </row>
    <row r="38004" spans="8:8">
      <c r="H38004" t="s">
        <v>35125</v>
      </c>
    </row>
    <row r="38005" spans="8:8">
      <c r="H38005" t="s">
        <v>35126</v>
      </c>
    </row>
    <row r="38006" spans="8:8">
      <c r="H38006" t="s">
        <v>35127</v>
      </c>
    </row>
    <row r="38007" spans="8:8">
      <c r="H38007" t="s">
        <v>35128</v>
      </c>
    </row>
    <row r="38008" spans="8:8">
      <c r="H38008" t="s">
        <v>35129</v>
      </c>
    </row>
    <row r="38009" spans="8:8">
      <c r="H38009" t="s">
        <v>35130</v>
      </c>
    </row>
    <row r="38010" spans="8:8">
      <c r="H38010" t="s">
        <v>35131</v>
      </c>
    </row>
    <row r="38011" spans="8:8">
      <c r="H38011" t="s">
        <v>35132</v>
      </c>
    </row>
    <row r="38012" spans="8:8">
      <c r="H38012" t="s">
        <v>35133</v>
      </c>
    </row>
    <row r="38013" spans="8:8">
      <c r="H38013" t="s">
        <v>35134</v>
      </c>
    </row>
    <row r="38014" spans="8:8">
      <c r="H38014" t="s">
        <v>35135</v>
      </c>
    </row>
    <row r="38015" spans="8:8">
      <c r="H38015" t="s">
        <v>35136</v>
      </c>
    </row>
    <row r="38016" spans="8:8">
      <c r="H38016" t="s">
        <v>35137</v>
      </c>
    </row>
    <row r="38017" spans="8:8">
      <c r="H38017" t="s">
        <v>35138</v>
      </c>
    </row>
    <row r="38018" spans="8:8">
      <c r="H38018" t="s">
        <v>35139</v>
      </c>
    </row>
    <row r="38019" spans="8:8">
      <c r="H38019" t="s">
        <v>35140</v>
      </c>
    </row>
    <row r="38020" spans="8:8">
      <c r="H38020" t="s">
        <v>35141</v>
      </c>
    </row>
    <row r="38021" spans="8:8">
      <c r="H38021" t="s">
        <v>35142</v>
      </c>
    </row>
    <row r="38022" spans="8:8">
      <c r="H38022" t="s">
        <v>35143</v>
      </c>
    </row>
    <row r="38023" spans="8:8">
      <c r="H38023" t="s">
        <v>35144</v>
      </c>
    </row>
    <row r="38024" spans="8:8">
      <c r="H38024" t="s">
        <v>35145</v>
      </c>
    </row>
    <row r="38025" spans="8:8">
      <c r="H38025" t="s">
        <v>35146</v>
      </c>
    </row>
    <row r="38026" spans="8:8">
      <c r="H38026" t="s">
        <v>35147</v>
      </c>
    </row>
    <row r="38027" spans="8:8">
      <c r="H38027" t="s">
        <v>35148</v>
      </c>
    </row>
    <row r="38028" spans="8:8">
      <c r="H38028" t="s">
        <v>35149</v>
      </c>
    </row>
    <row r="38029" spans="8:8">
      <c r="H38029" t="s">
        <v>35150</v>
      </c>
    </row>
    <row r="38030" spans="8:8">
      <c r="H38030" t="s">
        <v>35151</v>
      </c>
    </row>
    <row r="38031" spans="8:8">
      <c r="H38031" t="s">
        <v>35152</v>
      </c>
    </row>
    <row r="38032" spans="8:8">
      <c r="H38032" t="s">
        <v>35153</v>
      </c>
    </row>
    <row r="38033" spans="6:8">
      <c r="H38033" t="s">
        <v>35154</v>
      </c>
    </row>
    <row r="38034" spans="6:8">
      <c r="H38034" t="s">
        <v>35155</v>
      </c>
    </row>
    <row r="38035" spans="6:8">
      <c r="H38035" t="s">
        <v>35156</v>
      </c>
    </row>
    <row r="38036" spans="6:8">
      <c r="F38036" t="s">
        <v>13928</v>
      </c>
      <c r="G38036" t="s">
        <v>17964</v>
      </c>
      <c r="H38036" t="s">
        <v>35157</v>
      </c>
    </row>
    <row r="38037" spans="6:8">
      <c r="H38037" t="s">
        <v>18829</v>
      </c>
    </row>
    <row r="38038" spans="6:8">
      <c r="H38038" t="s">
        <v>35158</v>
      </c>
    </row>
    <row r="38039" spans="6:8">
      <c r="H38039" t="s">
        <v>35159</v>
      </c>
    </row>
    <row r="38040" spans="6:8">
      <c r="H38040" t="s">
        <v>35160</v>
      </c>
    </row>
    <row r="38041" spans="6:8">
      <c r="H38041" t="s">
        <v>35161</v>
      </c>
    </row>
    <row r="38042" spans="6:8">
      <c r="H38042" t="s">
        <v>35162</v>
      </c>
    </row>
    <row r="38043" spans="6:8">
      <c r="H38043" t="s">
        <v>35162</v>
      </c>
    </row>
    <row r="38044" spans="6:8">
      <c r="H38044" t="s">
        <v>35162</v>
      </c>
    </row>
    <row r="38045" spans="6:8">
      <c r="H38045" t="s">
        <v>35163</v>
      </c>
    </row>
    <row r="38046" spans="6:8">
      <c r="H38046" t="s">
        <v>35164</v>
      </c>
    </row>
    <row r="38047" spans="6:8">
      <c r="H38047" t="s">
        <v>35165</v>
      </c>
    </row>
    <row r="38048" spans="6:8">
      <c r="H38048" t="s">
        <v>35166</v>
      </c>
    </row>
    <row r="38049" spans="8:8">
      <c r="H38049" t="s">
        <v>35167</v>
      </c>
    </row>
    <row r="38050" spans="8:8">
      <c r="H38050" t="s">
        <v>35168</v>
      </c>
    </row>
    <row r="38051" spans="8:8">
      <c r="H38051" t="s">
        <v>35169</v>
      </c>
    </row>
    <row r="38052" spans="8:8">
      <c r="H38052" t="s">
        <v>35170</v>
      </c>
    </row>
    <row r="38053" spans="8:8">
      <c r="H38053" t="s">
        <v>35171</v>
      </c>
    </row>
    <row r="38054" spans="8:8">
      <c r="H38054" t="s">
        <v>35172</v>
      </c>
    </row>
    <row r="38055" spans="8:8">
      <c r="H38055" t="s">
        <v>35173</v>
      </c>
    </row>
    <row r="38056" spans="8:8">
      <c r="H38056" t="s">
        <v>35174</v>
      </c>
    </row>
    <row r="38057" spans="8:8">
      <c r="H38057" t="s">
        <v>35175</v>
      </c>
    </row>
    <row r="38058" spans="8:8">
      <c r="H38058" t="s">
        <v>35176</v>
      </c>
    </row>
    <row r="38059" spans="8:8">
      <c r="H38059" t="s">
        <v>35177</v>
      </c>
    </row>
    <row r="38060" spans="8:8">
      <c r="H38060" t="s">
        <v>35178</v>
      </c>
    </row>
    <row r="38061" spans="8:8">
      <c r="H38061" t="s">
        <v>35179</v>
      </c>
    </row>
    <row r="38062" spans="8:8">
      <c r="H38062" t="s">
        <v>35180</v>
      </c>
    </row>
    <row r="38063" spans="8:8">
      <c r="H38063" t="s">
        <v>35181</v>
      </c>
    </row>
    <row r="38064" spans="8:8">
      <c r="H38064" t="s">
        <v>35182</v>
      </c>
    </row>
    <row r="38065" spans="8:8">
      <c r="H38065" t="s">
        <v>35183</v>
      </c>
    </row>
    <row r="38066" spans="8:8">
      <c r="H38066" t="s">
        <v>35184</v>
      </c>
    </row>
    <row r="38067" spans="8:8">
      <c r="H38067" t="s">
        <v>35185</v>
      </c>
    </row>
    <row r="38068" spans="8:8">
      <c r="H38068" t="s">
        <v>35186</v>
      </c>
    </row>
    <row r="38069" spans="8:8">
      <c r="H38069" t="s">
        <v>35187</v>
      </c>
    </row>
    <row r="38070" spans="8:8">
      <c r="H38070" t="s">
        <v>35188</v>
      </c>
    </row>
    <row r="38071" spans="8:8">
      <c r="H38071" t="s">
        <v>35189</v>
      </c>
    </row>
    <row r="38072" spans="8:8">
      <c r="H38072" t="s">
        <v>35190</v>
      </c>
    </row>
    <row r="38073" spans="8:8">
      <c r="H38073" t="s">
        <v>35191</v>
      </c>
    </row>
    <row r="38074" spans="8:8">
      <c r="H38074" t="s">
        <v>35192</v>
      </c>
    </row>
    <row r="38075" spans="8:8">
      <c r="H38075" t="s">
        <v>35193</v>
      </c>
    </row>
    <row r="38076" spans="8:8">
      <c r="H38076" t="s">
        <v>35194</v>
      </c>
    </row>
    <row r="38077" spans="8:8">
      <c r="H38077" t="s">
        <v>35195</v>
      </c>
    </row>
    <row r="38078" spans="8:8">
      <c r="H38078" t="s">
        <v>35196</v>
      </c>
    </row>
    <row r="38079" spans="8:8">
      <c r="H38079" t="s">
        <v>35197</v>
      </c>
    </row>
    <row r="38080" spans="8:8">
      <c r="H38080" t="s">
        <v>35198</v>
      </c>
    </row>
    <row r="38081" spans="6:8">
      <c r="F38081" t="s">
        <v>12740</v>
      </c>
      <c r="G38081" t="s">
        <v>16932</v>
      </c>
      <c r="H38081" t="s">
        <v>35199</v>
      </c>
    </row>
    <row r="38082" spans="6:8">
      <c r="F38082" t="s">
        <v>10615</v>
      </c>
      <c r="G38082" t="s">
        <v>15018</v>
      </c>
      <c r="H38082" t="s">
        <v>35200</v>
      </c>
    </row>
    <row r="38083" spans="6:8">
      <c r="F38083" t="s">
        <v>10616</v>
      </c>
      <c r="G38083" t="s">
        <v>15019</v>
      </c>
      <c r="H38083" t="s">
        <v>19183</v>
      </c>
    </row>
    <row r="38084" spans="6:8">
      <c r="H38084" t="s">
        <v>19184</v>
      </c>
    </row>
    <row r="38085" spans="6:8">
      <c r="F38085" t="s">
        <v>13133</v>
      </c>
      <c r="G38085" t="s">
        <v>17291</v>
      </c>
      <c r="H38085" t="s">
        <v>35201</v>
      </c>
    </row>
    <row r="38086" spans="6:8">
      <c r="H38086" t="s">
        <v>25716</v>
      </c>
    </row>
    <row r="38087" spans="6:8">
      <c r="H38087" t="s">
        <v>28041</v>
      </c>
    </row>
    <row r="38088" spans="6:8">
      <c r="H38088" t="s">
        <v>28042</v>
      </c>
    </row>
    <row r="38089" spans="6:8">
      <c r="H38089" t="s">
        <v>35202</v>
      </c>
    </row>
    <row r="38090" spans="6:8">
      <c r="H38090" t="s">
        <v>35203</v>
      </c>
    </row>
    <row r="38091" spans="6:8">
      <c r="H38091" t="s">
        <v>35204</v>
      </c>
    </row>
    <row r="38092" spans="6:8">
      <c r="H38092" t="s">
        <v>35205</v>
      </c>
    </row>
    <row r="38093" spans="6:8">
      <c r="H38093" t="s">
        <v>35206</v>
      </c>
    </row>
    <row r="38094" spans="6:8">
      <c r="H38094" t="s">
        <v>18927</v>
      </c>
    </row>
    <row r="38095" spans="6:8">
      <c r="H38095" t="s">
        <v>35207</v>
      </c>
    </row>
    <row r="38096" spans="6:8">
      <c r="H38096" t="s">
        <v>35208</v>
      </c>
    </row>
    <row r="38097" spans="6:8">
      <c r="H38097" t="s">
        <v>25720</v>
      </c>
    </row>
    <row r="38098" spans="6:8">
      <c r="H38098" t="s">
        <v>28043</v>
      </c>
    </row>
    <row r="38099" spans="6:8">
      <c r="H38099" t="s">
        <v>28044</v>
      </c>
    </row>
    <row r="38100" spans="6:8">
      <c r="H38100" t="s">
        <v>28045</v>
      </c>
    </row>
    <row r="38101" spans="6:8">
      <c r="H38101" t="s">
        <v>28046</v>
      </c>
    </row>
    <row r="38102" spans="6:8">
      <c r="H38102" t="s">
        <v>28047</v>
      </c>
    </row>
    <row r="38103" spans="6:8">
      <c r="H38103" t="s">
        <v>28048</v>
      </c>
    </row>
    <row r="38104" spans="6:8">
      <c r="H38104" t="s">
        <v>25704</v>
      </c>
    </row>
    <row r="38105" spans="6:8">
      <c r="F38105" t="s">
        <v>14309</v>
      </c>
      <c r="G38105" t="s">
        <v>18266</v>
      </c>
      <c r="H38105" t="s">
        <v>18924</v>
      </c>
    </row>
    <row r="38106" spans="6:8">
      <c r="H38106" t="s">
        <v>35209</v>
      </c>
    </row>
    <row r="38107" spans="6:8">
      <c r="H38107" t="s">
        <v>35210</v>
      </c>
    </row>
    <row r="38108" spans="6:8">
      <c r="H38108" t="s">
        <v>35211</v>
      </c>
    </row>
    <row r="38109" spans="6:8">
      <c r="H38109" t="s">
        <v>35212</v>
      </c>
    </row>
    <row r="38110" spans="6:8">
      <c r="H38110" t="s">
        <v>35213</v>
      </c>
    </row>
    <row r="38111" spans="6:8">
      <c r="H38111" t="s">
        <v>35214</v>
      </c>
    </row>
    <row r="38112" spans="6:8">
      <c r="H38112" t="s">
        <v>35215</v>
      </c>
    </row>
    <row r="38113" spans="6:8">
      <c r="F38113" t="s">
        <v>14310</v>
      </c>
      <c r="G38113" t="s">
        <v>18267</v>
      </c>
      <c r="H38113" t="s">
        <v>18829</v>
      </c>
    </row>
    <row r="38114" spans="6:8">
      <c r="H38114" t="s">
        <v>35216</v>
      </c>
    </row>
    <row r="38115" spans="6:8">
      <c r="F38115" t="s">
        <v>14210</v>
      </c>
      <c r="G38115" t="s">
        <v>18186</v>
      </c>
      <c r="H38115" t="s">
        <v>18829</v>
      </c>
    </row>
    <row r="38116" spans="6:8">
      <c r="H38116" t="s">
        <v>18863</v>
      </c>
    </row>
    <row r="38117" spans="6:8">
      <c r="H38117" t="s">
        <v>34969</v>
      </c>
    </row>
    <row r="38118" spans="6:8">
      <c r="H38118" t="s">
        <v>35217</v>
      </c>
    </row>
    <row r="38119" spans="6:8">
      <c r="H38119" t="s">
        <v>35218</v>
      </c>
    </row>
    <row r="38120" spans="6:8">
      <c r="H38120" t="s">
        <v>35219</v>
      </c>
    </row>
    <row r="38121" spans="6:8">
      <c r="H38121" t="s">
        <v>35220</v>
      </c>
    </row>
    <row r="38122" spans="6:8">
      <c r="H38122" t="s">
        <v>35221</v>
      </c>
    </row>
    <row r="38123" spans="6:8">
      <c r="H38123" t="s">
        <v>35222</v>
      </c>
    </row>
    <row r="38124" spans="6:8">
      <c r="H38124" t="s">
        <v>35223</v>
      </c>
    </row>
    <row r="38125" spans="6:8">
      <c r="H38125" t="s">
        <v>35224</v>
      </c>
    </row>
    <row r="38126" spans="6:8">
      <c r="F38126" t="s">
        <v>10617</v>
      </c>
      <c r="G38126" t="s">
        <v>15020</v>
      </c>
      <c r="H38126" t="s">
        <v>19183</v>
      </c>
    </row>
    <row r="38127" spans="6:8">
      <c r="H38127" t="s">
        <v>19184</v>
      </c>
    </row>
    <row r="38128" spans="6:8">
      <c r="F38128" t="s">
        <v>10618</v>
      </c>
      <c r="G38128" t="s">
        <v>15021</v>
      </c>
      <c r="H38128" t="s">
        <v>19183</v>
      </c>
    </row>
    <row r="38129" spans="6:8">
      <c r="H38129" t="s">
        <v>19184</v>
      </c>
    </row>
    <row r="38130" spans="6:8">
      <c r="F38130" t="s">
        <v>13556</v>
      </c>
      <c r="G38130" t="s">
        <v>17663</v>
      </c>
      <c r="H38130" t="s">
        <v>35225</v>
      </c>
    </row>
    <row r="38131" spans="6:8">
      <c r="H38131" t="s">
        <v>35226</v>
      </c>
    </row>
    <row r="38132" spans="6:8">
      <c r="H38132" t="s">
        <v>35227</v>
      </c>
    </row>
    <row r="38133" spans="6:8">
      <c r="H38133" t="s">
        <v>35228</v>
      </c>
    </row>
    <row r="38134" spans="6:8">
      <c r="H38134" t="s">
        <v>35229</v>
      </c>
    </row>
    <row r="38135" spans="6:8">
      <c r="H38135" t="s">
        <v>35230</v>
      </c>
    </row>
    <row r="38136" spans="6:8">
      <c r="H38136" t="s">
        <v>35231</v>
      </c>
    </row>
    <row r="38137" spans="6:8">
      <c r="H38137" t="s">
        <v>35232</v>
      </c>
    </row>
    <row r="38138" spans="6:8">
      <c r="H38138" t="s">
        <v>35233</v>
      </c>
    </row>
    <row r="38139" spans="6:8">
      <c r="H38139" t="s">
        <v>35234</v>
      </c>
    </row>
    <row r="38140" spans="6:8">
      <c r="H38140" t="s">
        <v>35235</v>
      </c>
    </row>
    <row r="38141" spans="6:8">
      <c r="H38141" t="s">
        <v>35236</v>
      </c>
    </row>
    <row r="38142" spans="6:8">
      <c r="F38142" t="s">
        <v>14311</v>
      </c>
      <c r="G38142" t="s">
        <v>18268</v>
      </c>
      <c r="H38142" t="s">
        <v>18829</v>
      </c>
    </row>
    <row r="38143" spans="6:8">
      <c r="H38143" t="s">
        <v>35237</v>
      </c>
    </row>
    <row r="38144" spans="6:8">
      <c r="H38144" t="s">
        <v>35238</v>
      </c>
    </row>
    <row r="38145" spans="6:8">
      <c r="H38145" t="s">
        <v>35239</v>
      </c>
    </row>
    <row r="38146" spans="6:8">
      <c r="F38146" t="s">
        <v>14312</v>
      </c>
      <c r="G38146" t="s">
        <v>18269</v>
      </c>
      <c r="H38146" t="s">
        <v>18829</v>
      </c>
    </row>
    <row r="38147" spans="6:8">
      <c r="H38147" t="s">
        <v>18863</v>
      </c>
    </row>
    <row r="38148" spans="6:8">
      <c r="H38148" t="s">
        <v>31527</v>
      </c>
    </row>
    <row r="38149" spans="6:8">
      <c r="H38149" t="s">
        <v>35240</v>
      </c>
    </row>
    <row r="38150" spans="6:8">
      <c r="H38150" t="s">
        <v>35241</v>
      </c>
    </row>
    <row r="38151" spans="6:8">
      <c r="H38151" t="s">
        <v>34968</v>
      </c>
    </row>
    <row r="38152" spans="6:8">
      <c r="H38152" t="s">
        <v>35242</v>
      </c>
    </row>
    <row r="38153" spans="6:8">
      <c r="H38153" t="s">
        <v>35243</v>
      </c>
    </row>
    <row r="38154" spans="6:8">
      <c r="H38154" t="s">
        <v>35244</v>
      </c>
    </row>
    <row r="38155" spans="6:8">
      <c r="H38155" t="s">
        <v>31775</v>
      </c>
    </row>
    <row r="38156" spans="6:8">
      <c r="H38156" t="s">
        <v>35245</v>
      </c>
    </row>
    <row r="38157" spans="6:8">
      <c r="H38157" t="s">
        <v>35246</v>
      </c>
    </row>
    <row r="38158" spans="6:8">
      <c r="F38158" t="s">
        <v>14313</v>
      </c>
      <c r="G38158" t="s">
        <v>18270</v>
      </c>
      <c r="H38158" t="s">
        <v>18836</v>
      </c>
    </row>
    <row r="38159" spans="6:8">
      <c r="H38159" t="s">
        <v>35247</v>
      </c>
    </row>
    <row r="38160" spans="6:8">
      <c r="H38160" t="s">
        <v>35248</v>
      </c>
    </row>
    <row r="38161" spans="6:8">
      <c r="H38161" t="s">
        <v>35249</v>
      </c>
    </row>
    <row r="38162" spans="6:8">
      <c r="H38162" t="s">
        <v>35048</v>
      </c>
    </row>
    <row r="38163" spans="6:8">
      <c r="F38163" t="s">
        <v>10600</v>
      </c>
      <c r="G38163" t="s">
        <v>15003</v>
      </c>
      <c r="H38163" t="s">
        <v>18836</v>
      </c>
    </row>
    <row r="38164" spans="6:8">
      <c r="H38164" t="s">
        <v>35250</v>
      </c>
    </row>
    <row r="38165" spans="6:8">
      <c r="F38165" t="s">
        <v>14314</v>
      </c>
      <c r="G38165" t="s">
        <v>18271</v>
      </c>
      <c r="H38165" t="s">
        <v>35251</v>
      </c>
    </row>
    <row r="38166" spans="6:8">
      <c r="H38166" t="s">
        <v>35252</v>
      </c>
    </row>
    <row r="38167" spans="6:8">
      <c r="H38167" t="s">
        <v>35253</v>
      </c>
    </row>
    <row r="38168" spans="6:8">
      <c r="F38168" t="s">
        <v>13960</v>
      </c>
      <c r="G38168" t="s">
        <v>17986</v>
      </c>
      <c r="H38168" t="s">
        <v>18829</v>
      </c>
    </row>
    <row r="38169" spans="6:8">
      <c r="H38169" t="s">
        <v>35254</v>
      </c>
    </row>
    <row r="38170" spans="6:8">
      <c r="H38170" t="s">
        <v>35255</v>
      </c>
    </row>
    <row r="38171" spans="6:8">
      <c r="H38171" t="s">
        <v>35250</v>
      </c>
    </row>
    <row r="38172" spans="6:8">
      <c r="H38172" t="s">
        <v>35256</v>
      </c>
    </row>
    <row r="38173" spans="6:8">
      <c r="H38173" t="s">
        <v>35257</v>
      </c>
    </row>
    <row r="38174" spans="6:8">
      <c r="H38174" t="s">
        <v>35258</v>
      </c>
    </row>
    <row r="38175" spans="6:8">
      <c r="H38175" t="s">
        <v>35259</v>
      </c>
    </row>
    <row r="38176" spans="6:8">
      <c r="H38176" t="s">
        <v>35260</v>
      </c>
    </row>
    <row r="38177" spans="6:8">
      <c r="H38177" t="s">
        <v>35261</v>
      </c>
    </row>
    <row r="38178" spans="6:8">
      <c r="H38178" t="s">
        <v>35262</v>
      </c>
    </row>
    <row r="38179" spans="6:8">
      <c r="H38179" t="s">
        <v>20340</v>
      </c>
    </row>
    <row r="38180" spans="6:8">
      <c r="F38180" t="s">
        <v>14315</v>
      </c>
      <c r="G38180" t="s">
        <v>18272</v>
      </c>
      <c r="H38180" t="s">
        <v>19981</v>
      </c>
    </row>
    <row r="38181" spans="6:8">
      <c r="H38181" t="s">
        <v>35263</v>
      </c>
    </row>
    <row r="38182" spans="6:8">
      <c r="H38182" t="s">
        <v>34877</v>
      </c>
    </row>
    <row r="38183" spans="6:8">
      <c r="H38183" t="s">
        <v>35264</v>
      </c>
    </row>
    <row r="38184" spans="6:8">
      <c r="H38184" t="s">
        <v>35265</v>
      </c>
    </row>
    <row r="38185" spans="6:8">
      <c r="F38185" t="s">
        <v>10726</v>
      </c>
      <c r="G38185" t="s">
        <v>15125</v>
      </c>
      <c r="H38185" t="s">
        <v>22023</v>
      </c>
    </row>
    <row r="38186" spans="6:8">
      <c r="H38186" t="s">
        <v>35266</v>
      </c>
    </row>
    <row r="38187" spans="6:8">
      <c r="H38187" t="s">
        <v>35267</v>
      </c>
    </row>
    <row r="38188" spans="6:8">
      <c r="H38188" t="s">
        <v>35268</v>
      </c>
    </row>
    <row r="38189" spans="6:8">
      <c r="H38189" t="s">
        <v>35269</v>
      </c>
    </row>
    <row r="38190" spans="6:8">
      <c r="H38190" t="s">
        <v>35270</v>
      </c>
    </row>
    <row r="38191" spans="6:8">
      <c r="H38191" t="s">
        <v>35271</v>
      </c>
    </row>
    <row r="38192" spans="6:8">
      <c r="F38192" t="s">
        <v>11449</v>
      </c>
      <c r="G38192" t="s">
        <v>15689</v>
      </c>
      <c r="H38192" t="s">
        <v>31759</v>
      </c>
    </row>
    <row r="38193" spans="8:8">
      <c r="H38193" t="s">
        <v>35272</v>
      </c>
    </row>
    <row r="38194" spans="8:8">
      <c r="H38194" t="s">
        <v>35273</v>
      </c>
    </row>
    <row r="38195" spans="8:8">
      <c r="H38195" t="s">
        <v>35274</v>
      </c>
    </row>
    <row r="38196" spans="8:8">
      <c r="H38196" t="s">
        <v>35275</v>
      </c>
    </row>
    <row r="38197" spans="8:8">
      <c r="H38197" t="s">
        <v>35276</v>
      </c>
    </row>
    <row r="38198" spans="8:8">
      <c r="H38198" t="s">
        <v>35277</v>
      </c>
    </row>
    <row r="38199" spans="8:8">
      <c r="H38199" t="s">
        <v>35278</v>
      </c>
    </row>
    <row r="38200" spans="8:8">
      <c r="H38200" t="s">
        <v>35279</v>
      </c>
    </row>
    <row r="38201" spans="8:8">
      <c r="H38201" t="s">
        <v>35280</v>
      </c>
    </row>
    <row r="38202" spans="8:8">
      <c r="H38202" t="s">
        <v>35281</v>
      </c>
    </row>
    <row r="38203" spans="8:8">
      <c r="H38203" t="s">
        <v>35282</v>
      </c>
    </row>
    <row r="38204" spans="8:8">
      <c r="H38204" t="s">
        <v>35283</v>
      </c>
    </row>
    <row r="38205" spans="8:8">
      <c r="H38205" t="s">
        <v>35284</v>
      </c>
    </row>
    <row r="38206" spans="8:8">
      <c r="H38206" t="s">
        <v>35285</v>
      </c>
    </row>
    <row r="38207" spans="8:8">
      <c r="H38207" t="s">
        <v>35286</v>
      </c>
    </row>
    <row r="38208" spans="8:8">
      <c r="H38208" t="s">
        <v>35287</v>
      </c>
    </row>
    <row r="38209" spans="8:8">
      <c r="H38209" t="s">
        <v>35288</v>
      </c>
    </row>
    <row r="38210" spans="8:8">
      <c r="H38210" t="s">
        <v>35289</v>
      </c>
    </row>
    <row r="38211" spans="8:8">
      <c r="H38211" t="s">
        <v>35290</v>
      </c>
    </row>
    <row r="38212" spans="8:8">
      <c r="H38212" t="s">
        <v>35290</v>
      </c>
    </row>
    <row r="38213" spans="8:8">
      <c r="H38213" t="s">
        <v>35291</v>
      </c>
    </row>
    <row r="38214" spans="8:8">
      <c r="H38214" t="s">
        <v>35292</v>
      </c>
    </row>
    <row r="38215" spans="8:8">
      <c r="H38215" t="s">
        <v>35293</v>
      </c>
    </row>
    <row r="38216" spans="8:8">
      <c r="H38216" t="s">
        <v>35294</v>
      </c>
    </row>
    <row r="38217" spans="8:8">
      <c r="H38217" t="s">
        <v>35295</v>
      </c>
    </row>
    <row r="38218" spans="8:8">
      <c r="H38218" t="s">
        <v>35296</v>
      </c>
    </row>
    <row r="38219" spans="8:8">
      <c r="H38219" t="s">
        <v>35297</v>
      </c>
    </row>
    <row r="38220" spans="8:8">
      <c r="H38220" t="s">
        <v>35298</v>
      </c>
    </row>
    <row r="38221" spans="8:8">
      <c r="H38221" t="s">
        <v>35299</v>
      </c>
    </row>
    <row r="38222" spans="8:8">
      <c r="H38222" t="s">
        <v>35300</v>
      </c>
    </row>
    <row r="38223" spans="8:8">
      <c r="H38223" t="s">
        <v>35301</v>
      </c>
    </row>
    <row r="38224" spans="8:8">
      <c r="H38224" t="s">
        <v>35302</v>
      </c>
    </row>
    <row r="38225" spans="6:8">
      <c r="H38225" t="s">
        <v>35303</v>
      </c>
    </row>
    <row r="38226" spans="6:8">
      <c r="H38226" t="s">
        <v>35304</v>
      </c>
    </row>
    <row r="38227" spans="6:8">
      <c r="H38227" t="s">
        <v>35305</v>
      </c>
    </row>
    <row r="38228" spans="6:8">
      <c r="H38228" t="s">
        <v>35306</v>
      </c>
    </row>
    <row r="38229" spans="6:8">
      <c r="F38229" t="s">
        <v>14316</v>
      </c>
      <c r="G38229" t="s">
        <v>18273</v>
      </c>
      <c r="H38229" t="s">
        <v>35307</v>
      </c>
    </row>
    <row r="38230" spans="6:8">
      <c r="F38230" t="s">
        <v>14317</v>
      </c>
      <c r="G38230" t="s">
        <v>18274</v>
      </c>
      <c r="H38230" t="s">
        <v>35308</v>
      </c>
    </row>
    <row r="38231" spans="6:8">
      <c r="H38231" t="s">
        <v>35309</v>
      </c>
    </row>
    <row r="38232" spans="6:8">
      <c r="H38232" t="s">
        <v>35310</v>
      </c>
    </row>
    <row r="38233" spans="6:8">
      <c r="H38233" t="s">
        <v>35311</v>
      </c>
    </row>
    <row r="38234" spans="6:8">
      <c r="H38234" t="s">
        <v>35312</v>
      </c>
    </row>
    <row r="38235" spans="6:8">
      <c r="H38235" t="s">
        <v>35312</v>
      </c>
    </row>
    <row r="38236" spans="6:8">
      <c r="H38236" t="s">
        <v>35313</v>
      </c>
    </row>
    <row r="38237" spans="6:8">
      <c r="H38237" t="s">
        <v>19333</v>
      </c>
    </row>
    <row r="38238" spans="6:8">
      <c r="H38238" t="s">
        <v>35314</v>
      </c>
    </row>
    <row r="38239" spans="6:8">
      <c r="H38239" t="s">
        <v>35315</v>
      </c>
    </row>
    <row r="38240" spans="6:8">
      <c r="H38240" t="s">
        <v>35316</v>
      </c>
    </row>
    <row r="38241" spans="6:8">
      <c r="F38241" t="s">
        <v>14318</v>
      </c>
      <c r="G38241" t="s">
        <v>18275</v>
      </c>
      <c r="H38241" t="s">
        <v>35317</v>
      </c>
    </row>
    <row r="38242" spans="6:8">
      <c r="F38242" t="s">
        <v>14319</v>
      </c>
      <c r="G38242" t="s">
        <v>18276</v>
      </c>
      <c r="H38242" t="s">
        <v>18836</v>
      </c>
    </row>
    <row r="38243" spans="6:8">
      <c r="F38243" t="s">
        <v>14320</v>
      </c>
      <c r="G38243" t="s">
        <v>18277</v>
      </c>
      <c r="H38243" t="s">
        <v>30172</v>
      </c>
    </row>
    <row r="38244" spans="6:8">
      <c r="H38244" t="s">
        <v>35318</v>
      </c>
    </row>
    <row r="38245" spans="6:8">
      <c r="H38245" t="s">
        <v>35319</v>
      </c>
    </row>
    <row r="38246" spans="6:8">
      <c r="H38246" t="s">
        <v>35320</v>
      </c>
    </row>
    <row r="38247" spans="6:8">
      <c r="H38247" t="s">
        <v>35321</v>
      </c>
    </row>
    <row r="38248" spans="6:8">
      <c r="H38248" t="s">
        <v>35322</v>
      </c>
    </row>
    <row r="38249" spans="6:8">
      <c r="F38249" t="s">
        <v>14321</v>
      </c>
      <c r="G38249" t="s">
        <v>18278</v>
      </c>
      <c r="H38249" t="s">
        <v>35323</v>
      </c>
    </row>
    <row r="38250" spans="6:8">
      <c r="H38250" t="s">
        <v>35324</v>
      </c>
    </row>
    <row r="38251" spans="6:8">
      <c r="H38251" t="s">
        <v>35325</v>
      </c>
    </row>
    <row r="38252" spans="6:8">
      <c r="H38252" t="s">
        <v>35326</v>
      </c>
    </row>
    <row r="38253" spans="6:8">
      <c r="H38253" t="s">
        <v>35327</v>
      </c>
    </row>
    <row r="38254" spans="6:8">
      <c r="H38254" t="s">
        <v>35328</v>
      </c>
    </row>
    <row r="38255" spans="6:8">
      <c r="F38255" t="s">
        <v>14322</v>
      </c>
      <c r="G38255" t="s">
        <v>18279</v>
      </c>
      <c r="H38255" t="s">
        <v>27516</v>
      </c>
    </row>
    <row r="38256" spans="6:8">
      <c r="H38256" t="s">
        <v>22358</v>
      </c>
    </row>
    <row r="38257" spans="6:8">
      <c r="H38257" t="s">
        <v>35329</v>
      </c>
    </row>
    <row r="38258" spans="6:8">
      <c r="H38258" t="s">
        <v>35330</v>
      </c>
    </row>
    <row r="38259" spans="6:8">
      <c r="F38259" t="s">
        <v>14323</v>
      </c>
      <c r="G38259" t="s">
        <v>18280</v>
      </c>
      <c r="H38259" t="s">
        <v>18829</v>
      </c>
    </row>
    <row r="38260" spans="6:8">
      <c r="H38260" t="s">
        <v>18863</v>
      </c>
    </row>
    <row r="38261" spans="6:8">
      <c r="H38261" t="s">
        <v>35331</v>
      </c>
    </row>
    <row r="38262" spans="6:8">
      <c r="H38262" t="s">
        <v>35332</v>
      </c>
    </row>
    <row r="38263" spans="6:8">
      <c r="H38263" t="s">
        <v>35333</v>
      </c>
    </row>
    <row r="38264" spans="6:8">
      <c r="H38264" t="s">
        <v>29840</v>
      </c>
    </row>
    <row r="38265" spans="6:8">
      <c r="H38265" t="s">
        <v>35334</v>
      </c>
    </row>
    <row r="38266" spans="6:8">
      <c r="H38266" t="s">
        <v>35335</v>
      </c>
    </row>
    <row r="38267" spans="6:8">
      <c r="H38267" t="s">
        <v>19007</v>
      </c>
    </row>
    <row r="38268" spans="6:8">
      <c r="H38268" t="s">
        <v>35336</v>
      </c>
    </row>
    <row r="38269" spans="6:8">
      <c r="F38269" t="s">
        <v>14324</v>
      </c>
      <c r="G38269" t="s">
        <v>18281</v>
      </c>
      <c r="H38269" t="s">
        <v>35337</v>
      </c>
    </row>
    <row r="38270" spans="6:8">
      <c r="H38270" t="s">
        <v>35338</v>
      </c>
    </row>
    <row r="38271" spans="6:8">
      <c r="H38271" t="s">
        <v>35339</v>
      </c>
    </row>
    <row r="38272" spans="6:8">
      <c r="H38272" t="s">
        <v>35340</v>
      </c>
    </row>
    <row r="38273" spans="6:8">
      <c r="H38273" t="s">
        <v>35341</v>
      </c>
    </row>
    <row r="38274" spans="6:8">
      <c r="H38274" t="s">
        <v>35342</v>
      </c>
    </row>
    <row r="38275" spans="6:8">
      <c r="F38275" t="s">
        <v>14102</v>
      </c>
      <c r="G38275" t="s">
        <v>18095</v>
      </c>
      <c r="H38275" t="s">
        <v>34079</v>
      </c>
    </row>
    <row r="38276" spans="6:8">
      <c r="H38276" t="s">
        <v>34080</v>
      </c>
    </row>
    <row r="38277" spans="6:8">
      <c r="H38277" t="s">
        <v>18829</v>
      </c>
    </row>
    <row r="38278" spans="6:8">
      <c r="H38278" t="s">
        <v>18863</v>
      </c>
    </row>
    <row r="38279" spans="6:8">
      <c r="H38279" t="s">
        <v>35343</v>
      </c>
    </row>
    <row r="38280" spans="6:8">
      <c r="H38280" t="s">
        <v>19019</v>
      </c>
    </row>
    <row r="38281" spans="6:8">
      <c r="H38281" t="s">
        <v>35344</v>
      </c>
    </row>
    <row r="38282" spans="6:8">
      <c r="H38282" t="s">
        <v>35345</v>
      </c>
    </row>
    <row r="38283" spans="6:8">
      <c r="H38283" t="s">
        <v>35346</v>
      </c>
    </row>
    <row r="38284" spans="6:8">
      <c r="H38284" t="s">
        <v>35347</v>
      </c>
    </row>
    <row r="38285" spans="6:8">
      <c r="H38285" t="s">
        <v>35348</v>
      </c>
    </row>
    <row r="38286" spans="6:8">
      <c r="H38286" t="s">
        <v>35349</v>
      </c>
    </row>
    <row r="38287" spans="6:8">
      <c r="H38287" t="s">
        <v>35350</v>
      </c>
    </row>
    <row r="38288" spans="6:8">
      <c r="H38288" t="s">
        <v>35351</v>
      </c>
    </row>
    <row r="38289" spans="1:8">
      <c r="H38289" t="s">
        <v>35352</v>
      </c>
    </row>
    <row r="38290" spans="1:8">
      <c r="H38290" t="s">
        <v>35353</v>
      </c>
    </row>
    <row r="38291" spans="1:8">
      <c r="H38291" t="s">
        <v>35354</v>
      </c>
    </row>
    <row r="38292" spans="1:8">
      <c r="H38292" t="s">
        <v>35355</v>
      </c>
    </row>
    <row r="38293" spans="1:8">
      <c r="H38293" t="s">
        <v>24966</v>
      </c>
    </row>
    <row r="38294" spans="1:8">
      <c r="H38294" t="s">
        <v>35356</v>
      </c>
    </row>
    <row r="38295" spans="1:8">
      <c r="H38295" t="s">
        <v>35357</v>
      </c>
    </row>
    <row r="38296" spans="1:8">
      <c r="H38296" t="s">
        <v>35358</v>
      </c>
    </row>
    <row r="38297" spans="1:8">
      <c r="H38297" t="s">
        <v>35359</v>
      </c>
    </row>
    <row r="38298" spans="1:8">
      <c r="A38298" t="s">
        <v>3503</v>
      </c>
      <c r="B38298">
        <f>HYPERLINK("https://android.googlesource.com/platform/cts/+/daf55da8c6be33c9421e0ff5d4f7e03c7c75c0bd", "daf55da8c6be33c9421e0ff5d4f7e03c7c75c0bd")</f>
        <v>0</v>
      </c>
      <c r="C38298">
        <f>HYPERLINK("https://android.googlesource.com/platform/cts/+/57a7572fe52032f6656b77decb0acb7846e62f36", "57a7572fe52032f6656b77decb0acb7846e62f36")</f>
        <v>0</v>
      </c>
      <c r="D38298" t="s">
        <v>5576</v>
      </c>
      <c r="E38298" t="s">
        <v>9197</v>
      </c>
      <c r="F38298" t="s">
        <v>13857</v>
      </c>
      <c r="G38298" t="s">
        <v>17899</v>
      </c>
      <c r="H38298" t="s">
        <v>18829</v>
      </c>
    </row>
    <row r="38299" spans="1:8">
      <c r="H38299" t="s">
        <v>18863</v>
      </c>
    </row>
    <row r="38300" spans="1:8">
      <c r="H38300" t="s">
        <v>34807</v>
      </c>
    </row>
    <row r="38301" spans="1:8">
      <c r="H38301" t="s">
        <v>34808</v>
      </c>
    </row>
    <row r="38302" spans="1:8">
      <c r="H38302" t="s">
        <v>34809</v>
      </c>
    </row>
    <row r="38303" spans="1:8">
      <c r="H38303" t="s">
        <v>34810</v>
      </c>
    </row>
    <row r="38304" spans="1:8">
      <c r="H38304" t="s">
        <v>34811</v>
      </c>
    </row>
    <row r="38305" spans="6:8">
      <c r="H38305" t="s">
        <v>34812</v>
      </c>
    </row>
    <row r="38306" spans="6:8">
      <c r="H38306" t="s">
        <v>34813</v>
      </c>
    </row>
    <row r="38307" spans="6:8">
      <c r="F38307" t="s">
        <v>13976</v>
      </c>
      <c r="G38307" t="s">
        <v>18001</v>
      </c>
      <c r="H38307" t="s">
        <v>18829</v>
      </c>
    </row>
    <row r="38308" spans="6:8">
      <c r="H38308" t="s">
        <v>18863</v>
      </c>
    </row>
    <row r="38309" spans="6:8">
      <c r="H38309" t="s">
        <v>34814</v>
      </c>
    </row>
    <row r="38310" spans="6:8">
      <c r="H38310" t="s">
        <v>34815</v>
      </c>
    </row>
    <row r="38311" spans="6:8">
      <c r="H38311" t="s">
        <v>34816</v>
      </c>
    </row>
    <row r="38312" spans="6:8">
      <c r="H38312" t="s">
        <v>34817</v>
      </c>
    </row>
    <row r="38313" spans="6:8">
      <c r="H38313" t="s">
        <v>34818</v>
      </c>
    </row>
    <row r="38314" spans="6:8">
      <c r="H38314" t="s">
        <v>34819</v>
      </c>
    </row>
    <row r="38315" spans="6:8">
      <c r="H38315" t="s">
        <v>34820</v>
      </c>
    </row>
    <row r="38316" spans="6:8">
      <c r="H38316" t="s">
        <v>34821</v>
      </c>
    </row>
    <row r="38317" spans="6:8">
      <c r="H38317" t="s">
        <v>34822</v>
      </c>
    </row>
    <row r="38318" spans="6:8">
      <c r="F38318" t="s">
        <v>13977</v>
      </c>
      <c r="G38318" t="s">
        <v>18002</v>
      </c>
      <c r="H38318" t="s">
        <v>34823</v>
      </c>
    </row>
    <row r="38319" spans="6:8">
      <c r="H38319" t="s">
        <v>18930</v>
      </c>
    </row>
    <row r="38320" spans="6:8">
      <c r="H38320" t="s">
        <v>19372</v>
      </c>
    </row>
    <row r="38321" spans="8:8">
      <c r="H38321" t="s">
        <v>34824</v>
      </c>
    </row>
    <row r="38322" spans="8:8">
      <c r="H38322" t="s">
        <v>34825</v>
      </c>
    </row>
    <row r="38323" spans="8:8">
      <c r="H38323" t="s">
        <v>34826</v>
      </c>
    </row>
    <row r="38324" spans="8:8">
      <c r="H38324" t="s">
        <v>34827</v>
      </c>
    </row>
    <row r="38325" spans="8:8">
      <c r="H38325" t="s">
        <v>31669</v>
      </c>
    </row>
    <row r="38326" spans="8:8">
      <c r="H38326" t="s">
        <v>32387</v>
      </c>
    </row>
    <row r="38327" spans="8:8">
      <c r="H38327" t="s">
        <v>34828</v>
      </c>
    </row>
    <row r="38328" spans="8:8">
      <c r="H38328" t="s">
        <v>31986</v>
      </c>
    </row>
    <row r="38329" spans="8:8">
      <c r="H38329" t="s">
        <v>34829</v>
      </c>
    </row>
    <row r="38330" spans="8:8">
      <c r="H38330" t="s">
        <v>34830</v>
      </c>
    </row>
    <row r="38331" spans="8:8">
      <c r="H38331" t="s">
        <v>34831</v>
      </c>
    </row>
    <row r="38332" spans="8:8">
      <c r="H38332" t="s">
        <v>34832</v>
      </c>
    </row>
    <row r="38333" spans="8:8">
      <c r="H38333" t="s">
        <v>18829</v>
      </c>
    </row>
    <row r="38334" spans="8:8">
      <c r="H38334" t="s">
        <v>18863</v>
      </c>
    </row>
    <row r="38335" spans="8:8">
      <c r="H38335" t="s">
        <v>33907</v>
      </c>
    </row>
    <row r="38336" spans="8:8">
      <c r="H38336" t="s">
        <v>33908</v>
      </c>
    </row>
    <row r="38337" spans="6:8">
      <c r="F38337" t="s">
        <v>12416</v>
      </c>
      <c r="G38337" t="s">
        <v>16638</v>
      </c>
      <c r="H38337" t="s">
        <v>26496</v>
      </c>
    </row>
    <row r="38338" spans="6:8">
      <c r="H38338" t="s">
        <v>18829</v>
      </c>
    </row>
    <row r="38339" spans="6:8">
      <c r="H38339" t="s">
        <v>18863</v>
      </c>
    </row>
    <row r="38340" spans="6:8">
      <c r="H38340" t="s">
        <v>34833</v>
      </c>
    </row>
    <row r="38341" spans="6:8">
      <c r="H38341" t="s">
        <v>34834</v>
      </c>
    </row>
    <row r="38342" spans="6:8">
      <c r="H38342" t="s">
        <v>34835</v>
      </c>
    </row>
    <row r="38343" spans="6:8">
      <c r="H38343" t="s">
        <v>29215</v>
      </c>
    </row>
    <row r="38344" spans="6:8">
      <c r="H38344" t="s">
        <v>27130</v>
      </c>
    </row>
    <row r="38345" spans="6:8">
      <c r="H38345" t="s">
        <v>34836</v>
      </c>
    </row>
    <row r="38346" spans="6:8">
      <c r="H38346" t="s">
        <v>34837</v>
      </c>
    </row>
    <row r="38347" spans="6:8">
      <c r="H38347" t="s">
        <v>34838</v>
      </c>
    </row>
    <row r="38348" spans="6:8">
      <c r="H38348" t="s">
        <v>34839</v>
      </c>
    </row>
    <row r="38349" spans="6:8">
      <c r="H38349" t="s">
        <v>34840</v>
      </c>
    </row>
    <row r="38350" spans="6:8">
      <c r="H38350" t="s">
        <v>34841</v>
      </c>
    </row>
    <row r="38351" spans="6:8">
      <c r="H38351" t="s">
        <v>34842</v>
      </c>
    </row>
    <row r="38352" spans="6:8">
      <c r="H38352" t="s">
        <v>34843</v>
      </c>
    </row>
    <row r="38353" spans="8:8">
      <c r="H38353" t="s">
        <v>34844</v>
      </c>
    </row>
    <row r="38354" spans="8:8">
      <c r="H38354" t="s">
        <v>34845</v>
      </c>
    </row>
    <row r="38355" spans="8:8">
      <c r="H38355" t="s">
        <v>34846</v>
      </c>
    </row>
    <row r="38356" spans="8:8">
      <c r="H38356" t="s">
        <v>34847</v>
      </c>
    </row>
    <row r="38357" spans="8:8">
      <c r="H38357" t="s">
        <v>31500</v>
      </c>
    </row>
    <row r="38358" spans="8:8">
      <c r="H38358" t="s">
        <v>34848</v>
      </c>
    </row>
    <row r="38359" spans="8:8">
      <c r="H38359" t="s">
        <v>34051</v>
      </c>
    </row>
    <row r="38360" spans="8:8">
      <c r="H38360" t="s">
        <v>34052</v>
      </c>
    </row>
    <row r="38361" spans="8:8">
      <c r="H38361" t="s">
        <v>34849</v>
      </c>
    </row>
    <row r="38362" spans="8:8">
      <c r="H38362" t="s">
        <v>34850</v>
      </c>
    </row>
    <row r="38363" spans="8:8">
      <c r="H38363" t="s">
        <v>34851</v>
      </c>
    </row>
    <row r="38364" spans="8:8">
      <c r="H38364" t="s">
        <v>26751</v>
      </c>
    </row>
    <row r="38365" spans="8:8">
      <c r="H38365" t="s">
        <v>34852</v>
      </c>
    </row>
    <row r="38366" spans="8:8">
      <c r="H38366" t="s">
        <v>34853</v>
      </c>
    </row>
    <row r="38367" spans="8:8">
      <c r="H38367" t="s">
        <v>34854</v>
      </c>
    </row>
    <row r="38368" spans="8:8">
      <c r="H38368" t="s">
        <v>34855</v>
      </c>
    </row>
    <row r="38369" spans="8:8">
      <c r="H38369" t="s">
        <v>34856</v>
      </c>
    </row>
    <row r="38370" spans="8:8">
      <c r="H38370" t="s">
        <v>34857</v>
      </c>
    </row>
    <row r="38371" spans="8:8">
      <c r="H38371" t="s">
        <v>34858</v>
      </c>
    </row>
    <row r="38372" spans="8:8">
      <c r="H38372" t="s">
        <v>34859</v>
      </c>
    </row>
    <row r="38373" spans="8:8">
      <c r="H38373" t="s">
        <v>34860</v>
      </c>
    </row>
    <row r="38374" spans="8:8">
      <c r="H38374" t="s">
        <v>34861</v>
      </c>
    </row>
    <row r="38375" spans="8:8">
      <c r="H38375" t="s">
        <v>34862</v>
      </c>
    </row>
    <row r="38376" spans="8:8">
      <c r="H38376" t="s">
        <v>34863</v>
      </c>
    </row>
    <row r="38377" spans="8:8">
      <c r="H38377" t="s">
        <v>34864</v>
      </c>
    </row>
    <row r="38378" spans="8:8">
      <c r="H38378" t="s">
        <v>34865</v>
      </c>
    </row>
    <row r="38379" spans="8:8">
      <c r="H38379" t="s">
        <v>34866</v>
      </c>
    </row>
    <row r="38380" spans="8:8">
      <c r="H38380" t="s">
        <v>34866</v>
      </c>
    </row>
    <row r="38381" spans="8:8">
      <c r="H38381" t="s">
        <v>34867</v>
      </c>
    </row>
    <row r="38382" spans="8:8">
      <c r="H38382" t="s">
        <v>34868</v>
      </c>
    </row>
    <row r="38383" spans="8:8">
      <c r="H38383" t="s">
        <v>34869</v>
      </c>
    </row>
    <row r="38384" spans="8:8">
      <c r="H38384" t="s">
        <v>19019</v>
      </c>
    </row>
    <row r="38385" spans="6:8">
      <c r="H38385" t="s">
        <v>34870</v>
      </c>
    </row>
    <row r="38386" spans="6:8">
      <c r="H38386" t="s">
        <v>32277</v>
      </c>
    </row>
    <row r="38387" spans="6:8">
      <c r="H38387" t="s">
        <v>19019</v>
      </c>
    </row>
    <row r="38388" spans="6:8">
      <c r="H38388" t="s">
        <v>24966</v>
      </c>
    </row>
    <row r="38389" spans="6:8">
      <c r="F38389" t="s">
        <v>14304</v>
      </c>
      <c r="G38389" t="s">
        <v>18262</v>
      </c>
      <c r="H38389" t="s">
        <v>20244</v>
      </c>
    </row>
    <row r="38390" spans="6:8">
      <c r="H38390" t="s">
        <v>19233</v>
      </c>
    </row>
    <row r="38391" spans="6:8">
      <c r="H38391" t="s">
        <v>18829</v>
      </c>
    </row>
    <row r="38392" spans="6:8">
      <c r="H38392" t="s">
        <v>34871</v>
      </c>
    </row>
    <row r="38393" spans="6:8">
      <c r="H38393" t="s">
        <v>25643</v>
      </c>
    </row>
    <row r="38394" spans="6:8">
      <c r="H38394" t="s">
        <v>31039</v>
      </c>
    </row>
    <row r="38395" spans="6:8">
      <c r="H38395" t="s">
        <v>34872</v>
      </c>
    </row>
    <row r="38396" spans="6:8">
      <c r="H38396" t="s">
        <v>34873</v>
      </c>
    </row>
    <row r="38397" spans="6:8">
      <c r="H38397" t="s">
        <v>34874</v>
      </c>
    </row>
    <row r="38398" spans="6:8">
      <c r="H38398" t="s">
        <v>34875</v>
      </c>
    </row>
    <row r="38399" spans="6:8">
      <c r="H38399" t="s">
        <v>31037</v>
      </c>
    </row>
    <row r="38400" spans="6:8">
      <c r="F38400" t="s">
        <v>13941</v>
      </c>
      <c r="G38400" t="s">
        <v>17972</v>
      </c>
      <c r="H38400" t="s">
        <v>18829</v>
      </c>
    </row>
    <row r="38401" spans="6:8">
      <c r="H38401" t="s">
        <v>32340</v>
      </c>
    </row>
    <row r="38402" spans="6:8">
      <c r="H38402" t="s">
        <v>32342</v>
      </c>
    </row>
    <row r="38403" spans="6:8">
      <c r="H38403" t="s">
        <v>32341</v>
      </c>
    </row>
    <row r="38404" spans="6:8">
      <c r="H38404" t="s">
        <v>32343</v>
      </c>
    </row>
    <row r="38405" spans="6:8">
      <c r="F38405" t="s">
        <v>14305</v>
      </c>
      <c r="G38405" t="s">
        <v>18005</v>
      </c>
      <c r="H38405" t="s">
        <v>19981</v>
      </c>
    </row>
    <row r="38406" spans="6:8">
      <c r="H38406" t="s">
        <v>34876</v>
      </c>
    </row>
    <row r="38407" spans="6:8">
      <c r="H38407" t="s">
        <v>34877</v>
      </c>
    </row>
    <row r="38408" spans="6:8">
      <c r="H38408" t="s">
        <v>34878</v>
      </c>
    </row>
    <row r="38409" spans="6:8">
      <c r="H38409" t="s">
        <v>34879</v>
      </c>
    </row>
    <row r="38410" spans="6:8">
      <c r="F38410" t="s">
        <v>14234</v>
      </c>
      <c r="G38410" t="s">
        <v>18204</v>
      </c>
      <c r="H38410" t="s">
        <v>18829</v>
      </c>
    </row>
    <row r="38411" spans="6:8">
      <c r="H38411" t="s">
        <v>18863</v>
      </c>
    </row>
    <row r="38412" spans="6:8">
      <c r="H38412" t="s">
        <v>34880</v>
      </c>
    </row>
    <row r="38413" spans="6:8">
      <c r="H38413" t="s">
        <v>34881</v>
      </c>
    </row>
    <row r="38414" spans="6:8">
      <c r="H38414" t="s">
        <v>34882</v>
      </c>
    </row>
    <row r="38415" spans="6:8">
      <c r="H38415" t="s">
        <v>34883</v>
      </c>
    </row>
    <row r="38416" spans="6:8">
      <c r="H38416" t="s">
        <v>34884</v>
      </c>
    </row>
    <row r="38417" spans="8:8">
      <c r="H38417" t="s">
        <v>34885</v>
      </c>
    </row>
    <row r="38418" spans="8:8">
      <c r="H38418" t="s">
        <v>34886</v>
      </c>
    </row>
    <row r="38419" spans="8:8">
      <c r="H38419" t="s">
        <v>34887</v>
      </c>
    </row>
    <row r="38420" spans="8:8">
      <c r="H38420" t="s">
        <v>34888</v>
      </c>
    </row>
    <row r="38421" spans="8:8">
      <c r="H38421" t="s">
        <v>34889</v>
      </c>
    </row>
    <row r="38422" spans="8:8">
      <c r="H38422" t="s">
        <v>34890</v>
      </c>
    </row>
    <row r="38423" spans="8:8">
      <c r="H38423" t="s">
        <v>34891</v>
      </c>
    </row>
    <row r="38424" spans="8:8">
      <c r="H38424" t="s">
        <v>34891</v>
      </c>
    </row>
    <row r="38425" spans="8:8">
      <c r="H38425" t="s">
        <v>34892</v>
      </c>
    </row>
    <row r="38426" spans="8:8">
      <c r="H38426" t="s">
        <v>34893</v>
      </c>
    </row>
    <row r="38427" spans="8:8">
      <c r="H38427" t="s">
        <v>34894</v>
      </c>
    </row>
    <row r="38428" spans="8:8">
      <c r="H38428" t="s">
        <v>34895</v>
      </c>
    </row>
    <row r="38429" spans="8:8">
      <c r="H38429" t="s">
        <v>34896</v>
      </c>
    </row>
    <row r="38430" spans="8:8">
      <c r="H38430" t="s">
        <v>34897</v>
      </c>
    </row>
    <row r="38431" spans="8:8">
      <c r="H38431" t="s">
        <v>34898</v>
      </c>
    </row>
    <row r="38432" spans="8:8">
      <c r="H38432" t="s">
        <v>34899</v>
      </c>
    </row>
    <row r="38433" spans="6:8">
      <c r="H38433" t="s">
        <v>34900</v>
      </c>
    </row>
    <row r="38434" spans="6:8">
      <c r="H38434" t="s">
        <v>34900</v>
      </c>
    </row>
    <row r="38435" spans="6:8">
      <c r="H38435" t="s">
        <v>34901</v>
      </c>
    </row>
    <row r="38436" spans="6:8">
      <c r="H38436" t="s">
        <v>34902</v>
      </c>
    </row>
    <row r="38437" spans="6:8">
      <c r="H38437" t="s">
        <v>34020</v>
      </c>
    </row>
    <row r="38438" spans="6:8">
      <c r="H38438" t="s">
        <v>34903</v>
      </c>
    </row>
    <row r="38439" spans="6:8">
      <c r="H38439" t="s">
        <v>19019</v>
      </c>
    </row>
    <row r="38440" spans="6:8">
      <c r="H38440" t="s">
        <v>34904</v>
      </c>
    </row>
    <row r="38441" spans="6:8">
      <c r="F38441" t="s">
        <v>10700</v>
      </c>
      <c r="G38441" t="s">
        <v>15100</v>
      </c>
      <c r="H38441" t="s">
        <v>18829</v>
      </c>
    </row>
    <row r="38442" spans="6:8">
      <c r="H38442" t="s">
        <v>18863</v>
      </c>
    </row>
    <row r="38443" spans="6:8">
      <c r="H38443" t="s">
        <v>34905</v>
      </c>
    </row>
    <row r="38444" spans="6:8">
      <c r="H38444" t="s">
        <v>34906</v>
      </c>
    </row>
    <row r="38445" spans="6:8">
      <c r="H38445" t="s">
        <v>22508</v>
      </c>
    </row>
    <row r="38446" spans="6:8">
      <c r="H38446" t="s">
        <v>34907</v>
      </c>
    </row>
    <row r="38447" spans="6:8">
      <c r="H38447" t="s">
        <v>34908</v>
      </c>
    </row>
    <row r="38448" spans="6:8">
      <c r="H38448" t="s">
        <v>34909</v>
      </c>
    </row>
    <row r="38449" spans="8:8">
      <c r="H38449" t="s">
        <v>34910</v>
      </c>
    </row>
    <row r="38450" spans="8:8">
      <c r="H38450" t="s">
        <v>34911</v>
      </c>
    </row>
    <row r="38451" spans="8:8">
      <c r="H38451" t="s">
        <v>34912</v>
      </c>
    </row>
    <row r="38452" spans="8:8">
      <c r="H38452" t="s">
        <v>34913</v>
      </c>
    </row>
    <row r="38453" spans="8:8">
      <c r="H38453" t="s">
        <v>34914</v>
      </c>
    </row>
    <row r="38454" spans="8:8">
      <c r="H38454" t="s">
        <v>34915</v>
      </c>
    </row>
    <row r="38455" spans="8:8">
      <c r="H38455" t="s">
        <v>34916</v>
      </c>
    </row>
    <row r="38456" spans="8:8">
      <c r="H38456" t="s">
        <v>34917</v>
      </c>
    </row>
    <row r="38457" spans="8:8">
      <c r="H38457" t="s">
        <v>25838</v>
      </c>
    </row>
    <row r="38458" spans="8:8">
      <c r="H38458" t="s">
        <v>34918</v>
      </c>
    </row>
    <row r="38459" spans="8:8">
      <c r="H38459" t="s">
        <v>34919</v>
      </c>
    </row>
    <row r="38460" spans="8:8">
      <c r="H38460" t="s">
        <v>34920</v>
      </c>
    </row>
    <row r="38461" spans="8:8">
      <c r="H38461" t="s">
        <v>25839</v>
      </c>
    </row>
    <row r="38462" spans="8:8">
      <c r="H38462" t="s">
        <v>27479</v>
      </c>
    </row>
    <row r="38463" spans="8:8">
      <c r="H38463" t="s">
        <v>32382</v>
      </c>
    </row>
    <row r="38464" spans="8:8">
      <c r="H38464" t="s">
        <v>34921</v>
      </c>
    </row>
    <row r="38465" spans="8:8">
      <c r="H38465" t="s">
        <v>34922</v>
      </c>
    </row>
    <row r="38466" spans="8:8">
      <c r="H38466" t="s">
        <v>34923</v>
      </c>
    </row>
    <row r="38467" spans="8:8">
      <c r="H38467" t="s">
        <v>34924</v>
      </c>
    </row>
    <row r="38468" spans="8:8">
      <c r="H38468" t="s">
        <v>34925</v>
      </c>
    </row>
    <row r="38469" spans="8:8">
      <c r="H38469" t="s">
        <v>34926</v>
      </c>
    </row>
    <row r="38470" spans="8:8">
      <c r="H38470" t="s">
        <v>34927</v>
      </c>
    </row>
    <row r="38471" spans="8:8">
      <c r="H38471" t="s">
        <v>34928</v>
      </c>
    </row>
    <row r="38472" spans="8:8">
      <c r="H38472" t="s">
        <v>34929</v>
      </c>
    </row>
    <row r="38473" spans="8:8">
      <c r="H38473" t="s">
        <v>34930</v>
      </c>
    </row>
    <row r="38474" spans="8:8">
      <c r="H38474" t="s">
        <v>34931</v>
      </c>
    </row>
    <row r="38475" spans="8:8">
      <c r="H38475" t="s">
        <v>34932</v>
      </c>
    </row>
    <row r="38476" spans="8:8">
      <c r="H38476" t="s">
        <v>34933</v>
      </c>
    </row>
    <row r="38477" spans="8:8">
      <c r="H38477" t="s">
        <v>34934</v>
      </c>
    </row>
    <row r="38478" spans="8:8">
      <c r="H38478" t="s">
        <v>34935</v>
      </c>
    </row>
    <row r="38479" spans="8:8">
      <c r="H38479" t="s">
        <v>34676</v>
      </c>
    </row>
    <row r="38480" spans="8:8">
      <c r="H38480" t="s">
        <v>34936</v>
      </c>
    </row>
    <row r="38481" spans="8:8">
      <c r="H38481" t="s">
        <v>34937</v>
      </c>
    </row>
    <row r="38482" spans="8:8">
      <c r="H38482" t="s">
        <v>34938</v>
      </c>
    </row>
    <row r="38483" spans="8:8">
      <c r="H38483" t="s">
        <v>19372</v>
      </c>
    </row>
    <row r="38484" spans="8:8">
      <c r="H38484" t="s">
        <v>18930</v>
      </c>
    </row>
    <row r="38485" spans="8:8">
      <c r="H38485" t="s">
        <v>34939</v>
      </c>
    </row>
    <row r="38486" spans="8:8">
      <c r="H38486" t="s">
        <v>34940</v>
      </c>
    </row>
    <row r="38487" spans="8:8">
      <c r="H38487" t="s">
        <v>20177</v>
      </c>
    </row>
    <row r="38488" spans="8:8">
      <c r="H38488" t="s">
        <v>33901</v>
      </c>
    </row>
    <row r="38489" spans="8:8">
      <c r="H38489" t="s">
        <v>34827</v>
      </c>
    </row>
    <row r="38490" spans="8:8">
      <c r="H38490" t="s">
        <v>34941</v>
      </c>
    </row>
    <row r="38491" spans="8:8">
      <c r="H38491" t="s">
        <v>34942</v>
      </c>
    </row>
    <row r="38492" spans="8:8">
      <c r="H38492" t="s">
        <v>34943</v>
      </c>
    </row>
    <row r="38493" spans="8:8">
      <c r="H38493" t="s">
        <v>34944</v>
      </c>
    </row>
    <row r="38494" spans="8:8">
      <c r="H38494" t="s">
        <v>34945</v>
      </c>
    </row>
    <row r="38495" spans="8:8">
      <c r="H38495" t="s">
        <v>34946</v>
      </c>
    </row>
    <row r="38496" spans="8:8">
      <c r="H38496" t="s">
        <v>34947</v>
      </c>
    </row>
    <row r="38497" spans="8:8">
      <c r="H38497" t="s">
        <v>34948</v>
      </c>
    </row>
    <row r="38498" spans="8:8">
      <c r="H38498" t="s">
        <v>34949</v>
      </c>
    </row>
    <row r="38499" spans="8:8">
      <c r="H38499" t="s">
        <v>34950</v>
      </c>
    </row>
    <row r="38500" spans="8:8">
      <c r="H38500" t="s">
        <v>34951</v>
      </c>
    </row>
    <row r="38501" spans="8:8">
      <c r="H38501" t="s">
        <v>34952</v>
      </c>
    </row>
    <row r="38502" spans="8:8">
      <c r="H38502" t="s">
        <v>34953</v>
      </c>
    </row>
    <row r="38503" spans="8:8">
      <c r="H38503" t="s">
        <v>34954</v>
      </c>
    </row>
    <row r="38504" spans="8:8">
      <c r="H38504" t="s">
        <v>34955</v>
      </c>
    </row>
    <row r="38505" spans="8:8">
      <c r="H38505" t="s">
        <v>34956</v>
      </c>
    </row>
    <row r="38506" spans="8:8">
      <c r="H38506" t="s">
        <v>34957</v>
      </c>
    </row>
    <row r="38507" spans="8:8">
      <c r="H38507" t="s">
        <v>34958</v>
      </c>
    </row>
    <row r="38508" spans="8:8">
      <c r="H38508" t="s">
        <v>34959</v>
      </c>
    </row>
    <row r="38509" spans="8:8">
      <c r="H38509" t="s">
        <v>34960</v>
      </c>
    </row>
    <row r="38510" spans="8:8">
      <c r="H38510" t="s">
        <v>34006</v>
      </c>
    </row>
    <row r="38511" spans="8:8">
      <c r="H38511" t="s">
        <v>34961</v>
      </c>
    </row>
    <row r="38512" spans="8:8">
      <c r="H38512" t="s">
        <v>34962</v>
      </c>
    </row>
    <row r="38513" spans="6:8">
      <c r="H38513" t="s">
        <v>34963</v>
      </c>
    </row>
    <row r="38514" spans="6:8">
      <c r="H38514" t="s">
        <v>31668</v>
      </c>
    </row>
    <row r="38515" spans="6:8">
      <c r="H38515" t="s">
        <v>32385</v>
      </c>
    </row>
    <row r="38516" spans="6:8">
      <c r="H38516" t="s">
        <v>34964</v>
      </c>
    </row>
    <row r="38517" spans="6:8">
      <c r="H38517" t="s">
        <v>34965</v>
      </c>
    </row>
    <row r="38518" spans="6:8">
      <c r="H38518" t="s">
        <v>34966</v>
      </c>
    </row>
    <row r="38519" spans="6:8">
      <c r="F38519" t="s">
        <v>14306</v>
      </c>
      <c r="G38519" t="s">
        <v>18263</v>
      </c>
      <c r="H38519" t="s">
        <v>34967</v>
      </c>
    </row>
    <row r="38520" spans="6:8">
      <c r="F38520" t="s">
        <v>13837</v>
      </c>
      <c r="G38520" t="s">
        <v>17880</v>
      </c>
      <c r="H38520" t="s">
        <v>18829</v>
      </c>
    </row>
    <row r="38521" spans="6:8">
      <c r="H38521" t="s">
        <v>18863</v>
      </c>
    </row>
    <row r="38522" spans="6:8">
      <c r="H38522" t="s">
        <v>34968</v>
      </c>
    </row>
    <row r="38523" spans="6:8">
      <c r="H38523" t="s">
        <v>34969</v>
      </c>
    </row>
    <row r="38524" spans="6:8">
      <c r="H38524" t="s">
        <v>27735</v>
      </c>
    </row>
    <row r="38525" spans="6:8">
      <c r="H38525" t="s">
        <v>34970</v>
      </c>
    </row>
    <row r="38526" spans="6:8">
      <c r="H38526" t="s">
        <v>34971</v>
      </c>
    </row>
    <row r="38527" spans="6:8">
      <c r="H38527" t="s">
        <v>34972</v>
      </c>
    </row>
    <row r="38528" spans="6:8">
      <c r="H38528" t="s">
        <v>34973</v>
      </c>
    </row>
    <row r="38529" spans="8:8">
      <c r="H38529" t="s">
        <v>34974</v>
      </c>
    </row>
    <row r="38530" spans="8:8">
      <c r="H38530" t="s">
        <v>34975</v>
      </c>
    </row>
    <row r="38531" spans="8:8">
      <c r="H38531" t="s">
        <v>34975</v>
      </c>
    </row>
    <row r="38532" spans="8:8">
      <c r="H38532" t="s">
        <v>31970</v>
      </c>
    </row>
    <row r="38533" spans="8:8">
      <c r="H38533" t="s">
        <v>31970</v>
      </c>
    </row>
    <row r="38534" spans="8:8">
      <c r="H38534" t="s">
        <v>34976</v>
      </c>
    </row>
    <row r="38535" spans="8:8">
      <c r="H38535" t="s">
        <v>31971</v>
      </c>
    </row>
    <row r="38536" spans="8:8">
      <c r="H38536" t="s">
        <v>20177</v>
      </c>
    </row>
    <row r="38537" spans="8:8">
      <c r="H38537" t="s">
        <v>31967</v>
      </c>
    </row>
    <row r="38538" spans="8:8">
      <c r="H38538" t="s">
        <v>34977</v>
      </c>
    </row>
    <row r="38539" spans="8:8">
      <c r="H38539" t="s">
        <v>34978</v>
      </c>
    </row>
    <row r="38540" spans="8:8">
      <c r="H38540" t="s">
        <v>34979</v>
      </c>
    </row>
    <row r="38541" spans="8:8">
      <c r="H38541" t="s">
        <v>31852</v>
      </c>
    </row>
    <row r="38542" spans="8:8">
      <c r="H38542" t="s">
        <v>34980</v>
      </c>
    </row>
    <row r="38543" spans="8:8">
      <c r="H38543" t="s">
        <v>34981</v>
      </c>
    </row>
    <row r="38544" spans="8:8">
      <c r="H38544" t="s">
        <v>34982</v>
      </c>
    </row>
    <row r="38545" spans="8:8">
      <c r="H38545" t="s">
        <v>34983</v>
      </c>
    </row>
    <row r="38546" spans="8:8">
      <c r="H38546" t="s">
        <v>34984</v>
      </c>
    </row>
    <row r="38547" spans="8:8">
      <c r="H38547" t="s">
        <v>34985</v>
      </c>
    </row>
    <row r="38548" spans="8:8">
      <c r="H38548" t="s">
        <v>34986</v>
      </c>
    </row>
    <row r="38549" spans="8:8">
      <c r="H38549" t="s">
        <v>34987</v>
      </c>
    </row>
    <row r="38550" spans="8:8">
      <c r="H38550" t="s">
        <v>34988</v>
      </c>
    </row>
    <row r="38551" spans="8:8">
      <c r="H38551" t="s">
        <v>34989</v>
      </c>
    </row>
    <row r="38552" spans="8:8">
      <c r="H38552" t="s">
        <v>34990</v>
      </c>
    </row>
    <row r="38553" spans="8:8">
      <c r="H38553" t="s">
        <v>34991</v>
      </c>
    </row>
    <row r="38554" spans="8:8">
      <c r="H38554" t="s">
        <v>34992</v>
      </c>
    </row>
    <row r="38555" spans="8:8">
      <c r="H38555" t="s">
        <v>34993</v>
      </c>
    </row>
    <row r="38556" spans="8:8">
      <c r="H38556" t="s">
        <v>34994</v>
      </c>
    </row>
    <row r="38557" spans="8:8">
      <c r="H38557" t="s">
        <v>34995</v>
      </c>
    </row>
    <row r="38558" spans="8:8">
      <c r="H38558" t="s">
        <v>34996</v>
      </c>
    </row>
    <row r="38559" spans="8:8">
      <c r="H38559" t="s">
        <v>34997</v>
      </c>
    </row>
    <row r="38560" spans="8:8">
      <c r="H38560" t="s">
        <v>31970</v>
      </c>
    </row>
    <row r="38561" spans="8:8">
      <c r="H38561" t="s">
        <v>34976</v>
      </c>
    </row>
    <row r="38562" spans="8:8">
      <c r="H38562" t="s">
        <v>34998</v>
      </c>
    </row>
    <row r="38563" spans="8:8">
      <c r="H38563" t="s">
        <v>34999</v>
      </c>
    </row>
    <row r="38564" spans="8:8">
      <c r="H38564" t="s">
        <v>35000</v>
      </c>
    </row>
    <row r="38565" spans="8:8">
      <c r="H38565" t="s">
        <v>35001</v>
      </c>
    </row>
    <row r="38566" spans="8:8">
      <c r="H38566" t="s">
        <v>31971</v>
      </c>
    </row>
    <row r="38567" spans="8:8">
      <c r="H38567" t="s">
        <v>20177</v>
      </c>
    </row>
    <row r="38568" spans="8:8">
      <c r="H38568" t="s">
        <v>35002</v>
      </c>
    </row>
    <row r="38569" spans="8:8">
      <c r="H38569" t="s">
        <v>35003</v>
      </c>
    </row>
    <row r="38570" spans="8:8">
      <c r="H38570" t="s">
        <v>35004</v>
      </c>
    </row>
    <row r="38571" spans="8:8">
      <c r="H38571" t="s">
        <v>35005</v>
      </c>
    </row>
    <row r="38572" spans="8:8">
      <c r="H38572" t="s">
        <v>35006</v>
      </c>
    </row>
    <row r="38573" spans="8:8">
      <c r="H38573" t="s">
        <v>35007</v>
      </c>
    </row>
    <row r="38574" spans="8:8">
      <c r="H38574" t="s">
        <v>35008</v>
      </c>
    </row>
    <row r="38575" spans="8:8">
      <c r="H38575" t="s">
        <v>35009</v>
      </c>
    </row>
    <row r="38576" spans="8:8">
      <c r="H38576" t="s">
        <v>35010</v>
      </c>
    </row>
    <row r="38577" spans="6:8">
      <c r="H38577" t="s">
        <v>35011</v>
      </c>
    </row>
    <row r="38578" spans="6:8">
      <c r="H38578" t="s">
        <v>35012</v>
      </c>
    </row>
    <row r="38579" spans="6:8">
      <c r="H38579" t="s">
        <v>35013</v>
      </c>
    </row>
    <row r="38580" spans="6:8">
      <c r="H38580" t="s">
        <v>35014</v>
      </c>
    </row>
    <row r="38581" spans="6:8">
      <c r="H38581" t="s">
        <v>35015</v>
      </c>
    </row>
    <row r="38582" spans="6:8">
      <c r="F38582" t="s">
        <v>12201</v>
      </c>
      <c r="G38582" t="s">
        <v>16439</v>
      </c>
      <c r="H38582" t="s">
        <v>18829</v>
      </c>
    </row>
    <row r="38583" spans="6:8">
      <c r="H38583" t="s">
        <v>21327</v>
      </c>
    </row>
    <row r="38584" spans="6:8">
      <c r="H38584" t="s">
        <v>21328</v>
      </c>
    </row>
    <row r="38585" spans="6:8">
      <c r="H38585" t="s">
        <v>35016</v>
      </c>
    </row>
    <row r="38586" spans="6:8">
      <c r="H38586" t="s">
        <v>35017</v>
      </c>
    </row>
    <row r="38587" spans="6:8">
      <c r="F38587" t="s">
        <v>14222</v>
      </c>
      <c r="G38587" t="s">
        <v>18195</v>
      </c>
      <c r="H38587" t="s">
        <v>35018</v>
      </c>
    </row>
    <row r="38588" spans="6:8">
      <c r="H38588" t="s">
        <v>18863</v>
      </c>
    </row>
    <row r="38589" spans="6:8">
      <c r="H38589" t="s">
        <v>34106</v>
      </c>
    </row>
    <row r="38590" spans="6:8">
      <c r="H38590" t="s">
        <v>35019</v>
      </c>
    </row>
    <row r="38591" spans="6:8">
      <c r="H38591" t="s">
        <v>35020</v>
      </c>
    </row>
    <row r="38592" spans="6:8">
      <c r="H38592" t="s">
        <v>35020</v>
      </c>
    </row>
    <row r="38593" spans="8:8">
      <c r="H38593" t="s">
        <v>35021</v>
      </c>
    </row>
    <row r="38594" spans="8:8">
      <c r="H38594" t="s">
        <v>35022</v>
      </c>
    </row>
    <row r="38595" spans="8:8">
      <c r="H38595" t="s">
        <v>35023</v>
      </c>
    </row>
    <row r="38596" spans="8:8">
      <c r="H38596" t="s">
        <v>35024</v>
      </c>
    </row>
    <row r="38597" spans="8:8">
      <c r="H38597" t="s">
        <v>35025</v>
      </c>
    </row>
    <row r="38598" spans="8:8">
      <c r="H38598" t="s">
        <v>35026</v>
      </c>
    </row>
    <row r="38599" spans="8:8">
      <c r="H38599" t="s">
        <v>35027</v>
      </c>
    </row>
    <row r="38600" spans="8:8">
      <c r="H38600" t="s">
        <v>35028</v>
      </c>
    </row>
    <row r="38601" spans="8:8">
      <c r="H38601" t="s">
        <v>35029</v>
      </c>
    </row>
    <row r="38602" spans="8:8">
      <c r="H38602" t="s">
        <v>35030</v>
      </c>
    </row>
    <row r="38603" spans="8:8">
      <c r="H38603" t="s">
        <v>35031</v>
      </c>
    </row>
    <row r="38604" spans="8:8">
      <c r="H38604" t="s">
        <v>35032</v>
      </c>
    </row>
    <row r="38605" spans="8:8">
      <c r="H38605" t="s">
        <v>35033</v>
      </c>
    </row>
    <row r="38606" spans="8:8">
      <c r="H38606" t="s">
        <v>35034</v>
      </c>
    </row>
    <row r="38607" spans="8:8">
      <c r="H38607" t="s">
        <v>35035</v>
      </c>
    </row>
    <row r="38608" spans="8:8">
      <c r="H38608" t="s">
        <v>35036</v>
      </c>
    </row>
    <row r="38609" spans="6:8">
      <c r="H38609" t="s">
        <v>35037</v>
      </c>
    </row>
    <row r="38610" spans="6:8">
      <c r="H38610" t="s">
        <v>35038</v>
      </c>
    </row>
    <row r="38611" spans="6:8">
      <c r="H38611" t="s">
        <v>35039</v>
      </c>
    </row>
    <row r="38612" spans="6:8">
      <c r="F38612" t="s">
        <v>14307</v>
      </c>
      <c r="G38612" t="s">
        <v>18264</v>
      </c>
      <c r="H38612" t="s">
        <v>35040</v>
      </c>
    </row>
    <row r="38613" spans="6:8">
      <c r="H38613" t="s">
        <v>35041</v>
      </c>
    </row>
    <row r="38614" spans="6:8">
      <c r="H38614" t="s">
        <v>35042</v>
      </c>
    </row>
    <row r="38615" spans="6:8">
      <c r="H38615" t="s">
        <v>35043</v>
      </c>
    </row>
    <row r="38616" spans="6:8">
      <c r="H38616" t="s">
        <v>35044</v>
      </c>
    </row>
    <row r="38617" spans="6:8">
      <c r="H38617" t="s">
        <v>35045</v>
      </c>
    </row>
    <row r="38618" spans="6:8">
      <c r="H38618" t="s">
        <v>35046</v>
      </c>
    </row>
    <row r="38619" spans="6:8">
      <c r="H38619" t="s">
        <v>35047</v>
      </c>
    </row>
    <row r="38620" spans="6:8">
      <c r="F38620" t="s">
        <v>14159</v>
      </c>
      <c r="G38620" t="s">
        <v>18145</v>
      </c>
      <c r="H38620" t="s">
        <v>18829</v>
      </c>
    </row>
    <row r="38621" spans="6:8">
      <c r="H38621" t="s">
        <v>18836</v>
      </c>
    </row>
    <row r="38622" spans="6:8">
      <c r="H38622" t="s">
        <v>35048</v>
      </c>
    </row>
    <row r="38623" spans="6:8">
      <c r="H38623" t="s">
        <v>35049</v>
      </c>
    </row>
    <row r="38624" spans="6:8">
      <c r="H38624" t="s">
        <v>35050</v>
      </c>
    </row>
    <row r="38625" spans="6:8">
      <c r="F38625" t="s">
        <v>14308</v>
      </c>
      <c r="G38625" t="s">
        <v>18265</v>
      </c>
      <c r="H38625" t="s">
        <v>18829</v>
      </c>
    </row>
    <row r="38626" spans="6:8">
      <c r="H38626" t="s">
        <v>26408</v>
      </c>
    </row>
    <row r="38627" spans="6:8">
      <c r="H38627" t="s">
        <v>30464</v>
      </c>
    </row>
    <row r="38628" spans="6:8">
      <c r="H38628" t="s">
        <v>30466</v>
      </c>
    </row>
    <row r="38629" spans="6:8">
      <c r="H38629" t="s">
        <v>35051</v>
      </c>
    </row>
    <row r="38630" spans="6:8">
      <c r="H38630" t="s">
        <v>35052</v>
      </c>
    </row>
    <row r="38631" spans="6:8">
      <c r="H38631" t="s">
        <v>35053</v>
      </c>
    </row>
    <row r="38632" spans="6:8">
      <c r="H38632" t="s">
        <v>30466</v>
      </c>
    </row>
    <row r="38633" spans="6:8">
      <c r="H38633" t="s">
        <v>25704</v>
      </c>
    </row>
    <row r="38634" spans="6:8">
      <c r="H38634" t="s">
        <v>35054</v>
      </c>
    </row>
    <row r="38635" spans="6:8">
      <c r="H38635" t="s">
        <v>35055</v>
      </c>
    </row>
    <row r="38636" spans="6:8">
      <c r="H38636" t="s">
        <v>35056</v>
      </c>
    </row>
    <row r="38637" spans="6:8">
      <c r="H38637" t="s">
        <v>35057</v>
      </c>
    </row>
    <row r="38638" spans="6:8">
      <c r="H38638" t="s">
        <v>35058</v>
      </c>
    </row>
    <row r="38639" spans="6:8">
      <c r="H38639" t="s">
        <v>35059</v>
      </c>
    </row>
    <row r="38640" spans="6:8">
      <c r="H38640" t="s">
        <v>35059</v>
      </c>
    </row>
    <row r="38641" spans="8:8">
      <c r="H38641" t="s">
        <v>35052</v>
      </c>
    </row>
    <row r="38642" spans="8:8">
      <c r="H38642" t="s">
        <v>35058</v>
      </c>
    </row>
    <row r="38643" spans="8:8">
      <c r="H38643" t="s">
        <v>30466</v>
      </c>
    </row>
    <row r="38644" spans="8:8">
      <c r="H38644" t="s">
        <v>25704</v>
      </c>
    </row>
    <row r="38645" spans="8:8">
      <c r="H38645" t="s">
        <v>35053</v>
      </c>
    </row>
    <row r="38646" spans="8:8">
      <c r="H38646" t="s">
        <v>35054</v>
      </c>
    </row>
    <row r="38647" spans="8:8">
      <c r="H38647" t="s">
        <v>35055</v>
      </c>
    </row>
    <row r="38648" spans="8:8">
      <c r="H38648" t="s">
        <v>35060</v>
      </c>
    </row>
    <row r="38649" spans="8:8">
      <c r="H38649" t="s">
        <v>35052</v>
      </c>
    </row>
    <row r="38650" spans="8:8">
      <c r="H38650" t="s">
        <v>35053</v>
      </c>
    </row>
    <row r="38651" spans="8:8">
      <c r="H38651" t="s">
        <v>30466</v>
      </c>
    </row>
    <row r="38652" spans="8:8">
      <c r="H38652" t="s">
        <v>25704</v>
      </c>
    </row>
    <row r="38653" spans="8:8">
      <c r="H38653" t="s">
        <v>35054</v>
      </c>
    </row>
    <row r="38654" spans="8:8">
      <c r="H38654" t="s">
        <v>35055</v>
      </c>
    </row>
    <row r="38655" spans="8:8">
      <c r="H38655" t="s">
        <v>35061</v>
      </c>
    </row>
    <row r="38656" spans="8:8">
      <c r="H38656" t="s">
        <v>35062</v>
      </c>
    </row>
    <row r="38657" spans="6:8">
      <c r="H38657" t="s">
        <v>35063</v>
      </c>
    </row>
    <row r="38658" spans="6:8">
      <c r="H38658" t="s">
        <v>35064</v>
      </c>
    </row>
    <row r="38659" spans="6:8">
      <c r="H38659" t="s">
        <v>35065</v>
      </c>
    </row>
    <row r="38660" spans="6:8">
      <c r="H38660" t="s">
        <v>35066</v>
      </c>
    </row>
    <row r="38661" spans="6:8">
      <c r="H38661" t="s">
        <v>35067</v>
      </c>
    </row>
    <row r="38662" spans="6:8">
      <c r="H38662" t="s">
        <v>35068</v>
      </c>
    </row>
    <row r="38663" spans="6:8">
      <c r="H38663" t="s">
        <v>30465</v>
      </c>
    </row>
    <row r="38664" spans="6:8">
      <c r="H38664" t="s">
        <v>35069</v>
      </c>
    </row>
    <row r="38665" spans="6:8">
      <c r="H38665" t="s">
        <v>35070</v>
      </c>
    </row>
    <row r="38666" spans="6:8">
      <c r="H38666" t="s">
        <v>35071</v>
      </c>
    </row>
    <row r="38667" spans="6:8">
      <c r="H38667" t="s">
        <v>35072</v>
      </c>
    </row>
    <row r="38668" spans="6:8">
      <c r="H38668" t="s">
        <v>35073</v>
      </c>
    </row>
    <row r="38669" spans="6:8">
      <c r="H38669" t="s">
        <v>35074</v>
      </c>
    </row>
    <row r="38670" spans="6:8">
      <c r="H38670" t="s">
        <v>35075</v>
      </c>
    </row>
    <row r="38671" spans="6:8">
      <c r="F38671" t="s">
        <v>13309</v>
      </c>
      <c r="G38671" t="s">
        <v>17442</v>
      </c>
      <c r="H38671" t="s">
        <v>29102</v>
      </c>
    </row>
    <row r="38672" spans="6:8">
      <c r="H38672" t="s">
        <v>35076</v>
      </c>
    </row>
    <row r="38673" spans="8:8">
      <c r="H38673" t="s">
        <v>35077</v>
      </c>
    </row>
    <row r="38674" spans="8:8">
      <c r="H38674" t="s">
        <v>35078</v>
      </c>
    </row>
    <row r="38675" spans="8:8">
      <c r="H38675" t="s">
        <v>35079</v>
      </c>
    </row>
    <row r="38676" spans="8:8">
      <c r="H38676" t="s">
        <v>29103</v>
      </c>
    </row>
    <row r="38677" spans="8:8">
      <c r="H38677" t="s">
        <v>35080</v>
      </c>
    </row>
    <row r="38678" spans="8:8">
      <c r="H38678" t="s">
        <v>35081</v>
      </c>
    </row>
    <row r="38679" spans="8:8">
      <c r="H38679" t="s">
        <v>35082</v>
      </c>
    </row>
    <row r="38680" spans="8:8">
      <c r="H38680" t="s">
        <v>35083</v>
      </c>
    </row>
    <row r="38681" spans="8:8">
      <c r="H38681" t="s">
        <v>35084</v>
      </c>
    </row>
    <row r="38682" spans="8:8">
      <c r="H38682" t="s">
        <v>35085</v>
      </c>
    </row>
    <row r="38683" spans="8:8">
      <c r="H38683" t="s">
        <v>35086</v>
      </c>
    </row>
    <row r="38684" spans="8:8">
      <c r="H38684" t="s">
        <v>35087</v>
      </c>
    </row>
    <row r="38685" spans="8:8">
      <c r="H38685" t="s">
        <v>35088</v>
      </c>
    </row>
    <row r="38686" spans="8:8">
      <c r="H38686" t="s">
        <v>35089</v>
      </c>
    </row>
    <row r="38687" spans="8:8">
      <c r="H38687" t="s">
        <v>35090</v>
      </c>
    </row>
    <row r="38688" spans="8:8">
      <c r="H38688" t="s">
        <v>35091</v>
      </c>
    </row>
    <row r="38689" spans="8:8">
      <c r="H38689" t="s">
        <v>35092</v>
      </c>
    </row>
    <row r="38690" spans="8:8">
      <c r="H38690" t="s">
        <v>35093</v>
      </c>
    </row>
    <row r="38691" spans="8:8">
      <c r="H38691" t="s">
        <v>35094</v>
      </c>
    </row>
    <row r="38692" spans="8:8">
      <c r="H38692" t="s">
        <v>35095</v>
      </c>
    </row>
    <row r="38693" spans="8:8">
      <c r="H38693" t="s">
        <v>35096</v>
      </c>
    </row>
    <row r="38694" spans="8:8">
      <c r="H38694" t="s">
        <v>35097</v>
      </c>
    </row>
    <row r="38695" spans="8:8">
      <c r="H38695" t="s">
        <v>35098</v>
      </c>
    </row>
    <row r="38696" spans="8:8">
      <c r="H38696" t="s">
        <v>35099</v>
      </c>
    </row>
    <row r="38697" spans="8:8">
      <c r="H38697" t="s">
        <v>35100</v>
      </c>
    </row>
    <row r="38698" spans="8:8">
      <c r="H38698" t="s">
        <v>35101</v>
      </c>
    </row>
    <row r="38699" spans="8:8">
      <c r="H38699" t="s">
        <v>35102</v>
      </c>
    </row>
    <row r="38700" spans="8:8">
      <c r="H38700" t="s">
        <v>35103</v>
      </c>
    </row>
    <row r="38701" spans="8:8">
      <c r="H38701" t="s">
        <v>35104</v>
      </c>
    </row>
    <row r="38702" spans="8:8">
      <c r="H38702" t="s">
        <v>35105</v>
      </c>
    </row>
    <row r="38703" spans="8:8">
      <c r="H38703" t="s">
        <v>35106</v>
      </c>
    </row>
    <row r="38704" spans="8:8">
      <c r="H38704" t="s">
        <v>35107</v>
      </c>
    </row>
    <row r="38705" spans="8:8">
      <c r="H38705" t="s">
        <v>35108</v>
      </c>
    </row>
    <row r="38706" spans="8:8">
      <c r="H38706" t="s">
        <v>35109</v>
      </c>
    </row>
    <row r="38707" spans="8:8">
      <c r="H38707" t="s">
        <v>35110</v>
      </c>
    </row>
    <row r="38708" spans="8:8">
      <c r="H38708" t="s">
        <v>35111</v>
      </c>
    </row>
    <row r="38709" spans="8:8">
      <c r="H38709" t="s">
        <v>35112</v>
      </c>
    </row>
    <row r="38710" spans="8:8">
      <c r="H38710" t="s">
        <v>35113</v>
      </c>
    </row>
    <row r="38711" spans="8:8">
      <c r="H38711" t="s">
        <v>35114</v>
      </c>
    </row>
    <row r="38712" spans="8:8">
      <c r="H38712" t="s">
        <v>35115</v>
      </c>
    </row>
    <row r="38713" spans="8:8">
      <c r="H38713" t="s">
        <v>35116</v>
      </c>
    </row>
    <row r="38714" spans="8:8">
      <c r="H38714" t="s">
        <v>35117</v>
      </c>
    </row>
    <row r="38715" spans="8:8">
      <c r="H38715" t="s">
        <v>35118</v>
      </c>
    </row>
    <row r="38716" spans="8:8">
      <c r="H38716" t="s">
        <v>35119</v>
      </c>
    </row>
    <row r="38717" spans="8:8">
      <c r="H38717" t="s">
        <v>35120</v>
      </c>
    </row>
    <row r="38718" spans="8:8">
      <c r="H38718" t="s">
        <v>35121</v>
      </c>
    </row>
    <row r="38719" spans="8:8">
      <c r="H38719" t="s">
        <v>35122</v>
      </c>
    </row>
    <row r="38720" spans="8:8">
      <c r="H38720" t="s">
        <v>35123</v>
      </c>
    </row>
    <row r="38721" spans="8:8">
      <c r="H38721" t="s">
        <v>35124</v>
      </c>
    </row>
    <row r="38722" spans="8:8">
      <c r="H38722" t="s">
        <v>35125</v>
      </c>
    </row>
    <row r="38723" spans="8:8">
      <c r="H38723" t="s">
        <v>35126</v>
      </c>
    </row>
    <row r="38724" spans="8:8">
      <c r="H38724" t="s">
        <v>35127</v>
      </c>
    </row>
    <row r="38725" spans="8:8">
      <c r="H38725" t="s">
        <v>35128</v>
      </c>
    </row>
    <row r="38726" spans="8:8">
      <c r="H38726" t="s">
        <v>35129</v>
      </c>
    </row>
    <row r="38727" spans="8:8">
      <c r="H38727" t="s">
        <v>35130</v>
      </c>
    </row>
    <row r="38728" spans="8:8">
      <c r="H38728" t="s">
        <v>35131</v>
      </c>
    </row>
    <row r="38729" spans="8:8">
      <c r="H38729" t="s">
        <v>35132</v>
      </c>
    </row>
    <row r="38730" spans="8:8">
      <c r="H38730" t="s">
        <v>35133</v>
      </c>
    </row>
    <row r="38731" spans="8:8">
      <c r="H38731" t="s">
        <v>35134</v>
      </c>
    </row>
    <row r="38732" spans="8:8">
      <c r="H38732" t="s">
        <v>35135</v>
      </c>
    </row>
    <row r="38733" spans="8:8">
      <c r="H38733" t="s">
        <v>35136</v>
      </c>
    </row>
    <row r="38734" spans="8:8">
      <c r="H38734" t="s">
        <v>35137</v>
      </c>
    </row>
    <row r="38735" spans="8:8">
      <c r="H38735" t="s">
        <v>35138</v>
      </c>
    </row>
    <row r="38736" spans="8:8">
      <c r="H38736" t="s">
        <v>35139</v>
      </c>
    </row>
    <row r="38737" spans="8:8">
      <c r="H38737" t="s">
        <v>35140</v>
      </c>
    </row>
    <row r="38738" spans="8:8">
      <c r="H38738" t="s">
        <v>35141</v>
      </c>
    </row>
    <row r="38739" spans="8:8">
      <c r="H38739" t="s">
        <v>35142</v>
      </c>
    </row>
    <row r="38740" spans="8:8">
      <c r="H38740" t="s">
        <v>35143</v>
      </c>
    </row>
    <row r="38741" spans="8:8">
      <c r="H38741" t="s">
        <v>35144</v>
      </c>
    </row>
    <row r="38742" spans="8:8">
      <c r="H38742" t="s">
        <v>35145</v>
      </c>
    </row>
    <row r="38743" spans="8:8">
      <c r="H38743" t="s">
        <v>35146</v>
      </c>
    </row>
    <row r="38744" spans="8:8">
      <c r="H38744" t="s">
        <v>35147</v>
      </c>
    </row>
    <row r="38745" spans="8:8">
      <c r="H38745" t="s">
        <v>35148</v>
      </c>
    </row>
    <row r="38746" spans="8:8">
      <c r="H38746" t="s">
        <v>35149</v>
      </c>
    </row>
    <row r="38747" spans="8:8">
      <c r="H38747" t="s">
        <v>35150</v>
      </c>
    </row>
    <row r="38748" spans="8:8">
      <c r="H38748" t="s">
        <v>35151</v>
      </c>
    </row>
    <row r="38749" spans="8:8">
      <c r="H38749" t="s">
        <v>35152</v>
      </c>
    </row>
    <row r="38750" spans="8:8">
      <c r="H38750" t="s">
        <v>35153</v>
      </c>
    </row>
    <row r="38751" spans="8:8">
      <c r="H38751" t="s">
        <v>35154</v>
      </c>
    </row>
    <row r="38752" spans="8:8">
      <c r="H38752" t="s">
        <v>35155</v>
      </c>
    </row>
    <row r="38753" spans="6:8">
      <c r="H38753" t="s">
        <v>35156</v>
      </c>
    </row>
    <row r="38754" spans="6:8">
      <c r="F38754" t="s">
        <v>13928</v>
      </c>
      <c r="G38754" t="s">
        <v>17964</v>
      </c>
      <c r="H38754" t="s">
        <v>35157</v>
      </c>
    </row>
    <row r="38755" spans="6:8">
      <c r="H38755" t="s">
        <v>18829</v>
      </c>
    </row>
    <row r="38756" spans="6:8">
      <c r="H38756" t="s">
        <v>35158</v>
      </c>
    </row>
    <row r="38757" spans="6:8">
      <c r="H38757" t="s">
        <v>35159</v>
      </c>
    </row>
    <row r="38758" spans="6:8">
      <c r="H38758" t="s">
        <v>35160</v>
      </c>
    </row>
    <row r="38759" spans="6:8">
      <c r="H38759" t="s">
        <v>35161</v>
      </c>
    </row>
    <row r="38760" spans="6:8">
      <c r="H38760" t="s">
        <v>35162</v>
      </c>
    </row>
    <row r="38761" spans="6:8">
      <c r="H38761" t="s">
        <v>35162</v>
      </c>
    </row>
    <row r="38762" spans="6:8">
      <c r="H38762" t="s">
        <v>35162</v>
      </c>
    </row>
    <row r="38763" spans="6:8">
      <c r="H38763" t="s">
        <v>35163</v>
      </c>
    </row>
    <row r="38764" spans="6:8">
      <c r="H38764" t="s">
        <v>35164</v>
      </c>
    </row>
    <row r="38765" spans="6:8">
      <c r="H38765" t="s">
        <v>35165</v>
      </c>
    </row>
    <row r="38766" spans="6:8">
      <c r="H38766" t="s">
        <v>35166</v>
      </c>
    </row>
    <row r="38767" spans="6:8">
      <c r="H38767" t="s">
        <v>35167</v>
      </c>
    </row>
    <row r="38768" spans="6:8">
      <c r="H38768" t="s">
        <v>35168</v>
      </c>
    </row>
    <row r="38769" spans="8:8">
      <c r="H38769" t="s">
        <v>35169</v>
      </c>
    </row>
    <row r="38770" spans="8:8">
      <c r="H38770" t="s">
        <v>35170</v>
      </c>
    </row>
    <row r="38771" spans="8:8">
      <c r="H38771" t="s">
        <v>35171</v>
      </c>
    </row>
    <row r="38772" spans="8:8">
      <c r="H38772" t="s">
        <v>35172</v>
      </c>
    </row>
    <row r="38773" spans="8:8">
      <c r="H38773" t="s">
        <v>35173</v>
      </c>
    </row>
    <row r="38774" spans="8:8">
      <c r="H38774" t="s">
        <v>35174</v>
      </c>
    </row>
    <row r="38775" spans="8:8">
      <c r="H38775" t="s">
        <v>35175</v>
      </c>
    </row>
    <row r="38776" spans="8:8">
      <c r="H38776" t="s">
        <v>35176</v>
      </c>
    </row>
    <row r="38777" spans="8:8">
      <c r="H38777" t="s">
        <v>35177</v>
      </c>
    </row>
    <row r="38778" spans="8:8">
      <c r="H38778" t="s">
        <v>35178</v>
      </c>
    </row>
    <row r="38779" spans="8:8">
      <c r="H38779" t="s">
        <v>35179</v>
      </c>
    </row>
    <row r="38780" spans="8:8">
      <c r="H38780" t="s">
        <v>35180</v>
      </c>
    </row>
    <row r="38781" spans="8:8">
      <c r="H38781" t="s">
        <v>35181</v>
      </c>
    </row>
    <row r="38782" spans="8:8">
      <c r="H38782" t="s">
        <v>35182</v>
      </c>
    </row>
    <row r="38783" spans="8:8">
      <c r="H38783" t="s">
        <v>35183</v>
      </c>
    </row>
    <row r="38784" spans="8:8">
      <c r="H38784" t="s">
        <v>35184</v>
      </c>
    </row>
    <row r="38785" spans="6:8">
      <c r="H38785" t="s">
        <v>35185</v>
      </c>
    </row>
    <row r="38786" spans="6:8">
      <c r="H38786" t="s">
        <v>35186</v>
      </c>
    </row>
    <row r="38787" spans="6:8">
      <c r="H38787" t="s">
        <v>35187</v>
      </c>
    </row>
    <row r="38788" spans="6:8">
      <c r="H38788" t="s">
        <v>35188</v>
      </c>
    </row>
    <row r="38789" spans="6:8">
      <c r="H38789" t="s">
        <v>35189</v>
      </c>
    </row>
    <row r="38790" spans="6:8">
      <c r="H38790" t="s">
        <v>35190</v>
      </c>
    </row>
    <row r="38791" spans="6:8">
      <c r="H38791" t="s">
        <v>35191</v>
      </c>
    </row>
    <row r="38792" spans="6:8">
      <c r="H38792" t="s">
        <v>35192</v>
      </c>
    </row>
    <row r="38793" spans="6:8">
      <c r="H38793" t="s">
        <v>35193</v>
      </c>
    </row>
    <row r="38794" spans="6:8">
      <c r="H38794" t="s">
        <v>35194</v>
      </c>
    </row>
    <row r="38795" spans="6:8">
      <c r="H38795" t="s">
        <v>35195</v>
      </c>
    </row>
    <row r="38796" spans="6:8">
      <c r="H38796" t="s">
        <v>35196</v>
      </c>
    </row>
    <row r="38797" spans="6:8">
      <c r="H38797" t="s">
        <v>35197</v>
      </c>
    </row>
    <row r="38798" spans="6:8">
      <c r="H38798" t="s">
        <v>35198</v>
      </c>
    </row>
    <row r="38799" spans="6:8">
      <c r="F38799" t="s">
        <v>12740</v>
      </c>
      <c r="G38799" t="s">
        <v>16932</v>
      </c>
      <c r="H38799" t="s">
        <v>35199</v>
      </c>
    </row>
    <row r="38800" spans="6:8">
      <c r="F38800" t="s">
        <v>10615</v>
      </c>
      <c r="G38800" t="s">
        <v>15018</v>
      </c>
      <c r="H38800" t="s">
        <v>35200</v>
      </c>
    </row>
    <row r="38801" spans="6:8">
      <c r="F38801" t="s">
        <v>10616</v>
      </c>
      <c r="G38801" t="s">
        <v>15019</v>
      </c>
      <c r="H38801" t="s">
        <v>19183</v>
      </c>
    </row>
    <row r="38802" spans="6:8">
      <c r="H38802" t="s">
        <v>19184</v>
      </c>
    </row>
    <row r="38803" spans="6:8">
      <c r="F38803" t="s">
        <v>13133</v>
      </c>
      <c r="G38803" t="s">
        <v>17291</v>
      </c>
      <c r="H38803" t="s">
        <v>35201</v>
      </c>
    </row>
    <row r="38804" spans="6:8">
      <c r="H38804" t="s">
        <v>25716</v>
      </c>
    </row>
    <row r="38805" spans="6:8">
      <c r="H38805" t="s">
        <v>28041</v>
      </c>
    </row>
    <row r="38806" spans="6:8">
      <c r="H38806" t="s">
        <v>28042</v>
      </c>
    </row>
    <row r="38807" spans="6:8">
      <c r="H38807" t="s">
        <v>35202</v>
      </c>
    </row>
    <row r="38808" spans="6:8">
      <c r="H38808" t="s">
        <v>35203</v>
      </c>
    </row>
    <row r="38809" spans="6:8">
      <c r="H38809" t="s">
        <v>35204</v>
      </c>
    </row>
    <row r="38810" spans="6:8">
      <c r="H38810" t="s">
        <v>35205</v>
      </c>
    </row>
    <row r="38811" spans="6:8">
      <c r="H38811" t="s">
        <v>35206</v>
      </c>
    </row>
    <row r="38812" spans="6:8">
      <c r="H38812" t="s">
        <v>18927</v>
      </c>
    </row>
    <row r="38813" spans="6:8">
      <c r="H38813" t="s">
        <v>35207</v>
      </c>
    </row>
    <row r="38814" spans="6:8">
      <c r="H38814" t="s">
        <v>35208</v>
      </c>
    </row>
    <row r="38815" spans="6:8">
      <c r="H38815" t="s">
        <v>25720</v>
      </c>
    </row>
    <row r="38816" spans="6:8">
      <c r="H38816" t="s">
        <v>28043</v>
      </c>
    </row>
    <row r="38817" spans="6:8">
      <c r="H38817" t="s">
        <v>28044</v>
      </c>
    </row>
    <row r="38818" spans="6:8">
      <c r="H38818" t="s">
        <v>28045</v>
      </c>
    </row>
    <row r="38819" spans="6:8">
      <c r="H38819" t="s">
        <v>28046</v>
      </c>
    </row>
    <row r="38820" spans="6:8">
      <c r="H38820" t="s">
        <v>28047</v>
      </c>
    </row>
    <row r="38821" spans="6:8">
      <c r="H38821" t="s">
        <v>28048</v>
      </c>
    </row>
    <row r="38822" spans="6:8">
      <c r="H38822" t="s">
        <v>25704</v>
      </c>
    </row>
    <row r="38823" spans="6:8">
      <c r="F38823" t="s">
        <v>14309</v>
      </c>
      <c r="G38823" t="s">
        <v>18266</v>
      </c>
      <c r="H38823" t="s">
        <v>18924</v>
      </c>
    </row>
    <row r="38824" spans="6:8">
      <c r="H38824" t="s">
        <v>35209</v>
      </c>
    </row>
    <row r="38825" spans="6:8">
      <c r="H38825" t="s">
        <v>35210</v>
      </c>
    </row>
    <row r="38826" spans="6:8">
      <c r="H38826" t="s">
        <v>35211</v>
      </c>
    </row>
    <row r="38827" spans="6:8">
      <c r="H38827" t="s">
        <v>35212</v>
      </c>
    </row>
    <row r="38828" spans="6:8">
      <c r="H38828" t="s">
        <v>35213</v>
      </c>
    </row>
    <row r="38829" spans="6:8">
      <c r="H38829" t="s">
        <v>35214</v>
      </c>
    </row>
    <row r="38830" spans="6:8">
      <c r="H38830" t="s">
        <v>35215</v>
      </c>
    </row>
    <row r="38831" spans="6:8">
      <c r="F38831" t="s">
        <v>14310</v>
      </c>
      <c r="G38831" t="s">
        <v>18267</v>
      </c>
      <c r="H38831" t="s">
        <v>18829</v>
      </c>
    </row>
    <row r="38832" spans="6:8">
      <c r="H38832" t="s">
        <v>35216</v>
      </c>
    </row>
    <row r="38833" spans="6:8">
      <c r="F38833" t="s">
        <v>14210</v>
      </c>
      <c r="G38833" t="s">
        <v>18186</v>
      </c>
      <c r="H38833" t="s">
        <v>18829</v>
      </c>
    </row>
    <row r="38834" spans="6:8">
      <c r="H38834" t="s">
        <v>18863</v>
      </c>
    </row>
    <row r="38835" spans="6:8">
      <c r="H38835" t="s">
        <v>34969</v>
      </c>
    </row>
    <row r="38836" spans="6:8">
      <c r="H38836" t="s">
        <v>35217</v>
      </c>
    </row>
    <row r="38837" spans="6:8">
      <c r="H38837" t="s">
        <v>35218</v>
      </c>
    </row>
    <row r="38838" spans="6:8">
      <c r="H38838" t="s">
        <v>35219</v>
      </c>
    </row>
    <row r="38839" spans="6:8">
      <c r="H38839" t="s">
        <v>35220</v>
      </c>
    </row>
    <row r="38840" spans="6:8">
      <c r="H38840" t="s">
        <v>35221</v>
      </c>
    </row>
    <row r="38841" spans="6:8">
      <c r="H38841" t="s">
        <v>35222</v>
      </c>
    </row>
    <row r="38842" spans="6:8">
      <c r="H38842" t="s">
        <v>35223</v>
      </c>
    </row>
    <row r="38843" spans="6:8">
      <c r="H38843" t="s">
        <v>35224</v>
      </c>
    </row>
    <row r="38844" spans="6:8">
      <c r="F38844" t="s">
        <v>10617</v>
      </c>
      <c r="G38844" t="s">
        <v>15020</v>
      </c>
      <c r="H38844" t="s">
        <v>19183</v>
      </c>
    </row>
    <row r="38845" spans="6:8">
      <c r="H38845" t="s">
        <v>19184</v>
      </c>
    </row>
    <row r="38846" spans="6:8">
      <c r="F38846" t="s">
        <v>10618</v>
      </c>
      <c r="G38846" t="s">
        <v>15021</v>
      </c>
      <c r="H38846" t="s">
        <v>19183</v>
      </c>
    </row>
    <row r="38847" spans="6:8">
      <c r="H38847" t="s">
        <v>19184</v>
      </c>
    </row>
    <row r="38848" spans="6:8">
      <c r="F38848" t="s">
        <v>13556</v>
      </c>
      <c r="G38848" t="s">
        <v>17663</v>
      </c>
      <c r="H38848" t="s">
        <v>35225</v>
      </c>
    </row>
    <row r="38849" spans="6:8">
      <c r="H38849" t="s">
        <v>35226</v>
      </c>
    </row>
    <row r="38850" spans="6:8">
      <c r="H38850" t="s">
        <v>35227</v>
      </c>
    </row>
    <row r="38851" spans="6:8">
      <c r="H38851" t="s">
        <v>35228</v>
      </c>
    </row>
    <row r="38852" spans="6:8">
      <c r="H38852" t="s">
        <v>35229</v>
      </c>
    </row>
    <row r="38853" spans="6:8">
      <c r="H38853" t="s">
        <v>35230</v>
      </c>
    </row>
    <row r="38854" spans="6:8">
      <c r="H38854" t="s">
        <v>35231</v>
      </c>
    </row>
    <row r="38855" spans="6:8">
      <c r="H38855" t="s">
        <v>35232</v>
      </c>
    </row>
    <row r="38856" spans="6:8">
      <c r="H38856" t="s">
        <v>35233</v>
      </c>
    </row>
    <row r="38857" spans="6:8">
      <c r="H38857" t="s">
        <v>35234</v>
      </c>
    </row>
    <row r="38858" spans="6:8">
      <c r="H38858" t="s">
        <v>35235</v>
      </c>
    </row>
    <row r="38859" spans="6:8">
      <c r="H38859" t="s">
        <v>35236</v>
      </c>
    </row>
    <row r="38860" spans="6:8">
      <c r="F38860" t="s">
        <v>14311</v>
      </c>
      <c r="G38860" t="s">
        <v>18268</v>
      </c>
      <c r="H38860" t="s">
        <v>18829</v>
      </c>
    </row>
    <row r="38861" spans="6:8">
      <c r="H38861" t="s">
        <v>35237</v>
      </c>
    </row>
    <row r="38862" spans="6:8">
      <c r="H38862" t="s">
        <v>35238</v>
      </c>
    </row>
    <row r="38863" spans="6:8">
      <c r="H38863" t="s">
        <v>35239</v>
      </c>
    </row>
    <row r="38864" spans="6:8">
      <c r="F38864" t="s">
        <v>14312</v>
      </c>
      <c r="G38864" t="s">
        <v>18269</v>
      </c>
      <c r="H38864" t="s">
        <v>18829</v>
      </c>
    </row>
    <row r="38865" spans="6:8">
      <c r="H38865" t="s">
        <v>18863</v>
      </c>
    </row>
    <row r="38866" spans="6:8">
      <c r="H38866" t="s">
        <v>31527</v>
      </c>
    </row>
    <row r="38867" spans="6:8">
      <c r="H38867" t="s">
        <v>35240</v>
      </c>
    </row>
    <row r="38868" spans="6:8">
      <c r="H38868" t="s">
        <v>35241</v>
      </c>
    </row>
    <row r="38869" spans="6:8">
      <c r="H38869" t="s">
        <v>34968</v>
      </c>
    </row>
    <row r="38870" spans="6:8">
      <c r="H38870" t="s">
        <v>35242</v>
      </c>
    </row>
    <row r="38871" spans="6:8">
      <c r="H38871" t="s">
        <v>35243</v>
      </c>
    </row>
    <row r="38872" spans="6:8">
      <c r="H38872" t="s">
        <v>35244</v>
      </c>
    </row>
    <row r="38873" spans="6:8">
      <c r="H38873" t="s">
        <v>31775</v>
      </c>
    </row>
    <row r="38874" spans="6:8">
      <c r="H38874" t="s">
        <v>35245</v>
      </c>
    </row>
    <row r="38875" spans="6:8">
      <c r="H38875" t="s">
        <v>35246</v>
      </c>
    </row>
    <row r="38876" spans="6:8">
      <c r="F38876" t="s">
        <v>14313</v>
      </c>
      <c r="G38876" t="s">
        <v>18270</v>
      </c>
      <c r="H38876" t="s">
        <v>18836</v>
      </c>
    </row>
    <row r="38877" spans="6:8">
      <c r="H38877" t="s">
        <v>35247</v>
      </c>
    </row>
    <row r="38878" spans="6:8">
      <c r="H38878" t="s">
        <v>35248</v>
      </c>
    </row>
    <row r="38879" spans="6:8">
      <c r="H38879" t="s">
        <v>35249</v>
      </c>
    </row>
    <row r="38880" spans="6:8">
      <c r="H38880" t="s">
        <v>35048</v>
      </c>
    </row>
    <row r="38881" spans="6:8">
      <c r="F38881" t="s">
        <v>10600</v>
      </c>
      <c r="G38881" t="s">
        <v>15003</v>
      </c>
      <c r="H38881" t="s">
        <v>18836</v>
      </c>
    </row>
    <row r="38882" spans="6:8">
      <c r="H38882" t="s">
        <v>35250</v>
      </c>
    </row>
    <row r="38883" spans="6:8">
      <c r="F38883" t="s">
        <v>14314</v>
      </c>
      <c r="G38883" t="s">
        <v>18271</v>
      </c>
      <c r="H38883" t="s">
        <v>35251</v>
      </c>
    </row>
    <row r="38884" spans="6:8">
      <c r="H38884" t="s">
        <v>35252</v>
      </c>
    </row>
    <row r="38885" spans="6:8">
      <c r="H38885" t="s">
        <v>35253</v>
      </c>
    </row>
    <row r="38886" spans="6:8">
      <c r="F38886" t="s">
        <v>13960</v>
      </c>
      <c r="G38886" t="s">
        <v>17986</v>
      </c>
      <c r="H38886" t="s">
        <v>18829</v>
      </c>
    </row>
    <row r="38887" spans="6:8">
      <c r="H38887" t="s">
        <v>35254</v>
      </c>
    </row>
    <row r="38888" spans="6:8">
      <c r="H38888" t="s">
        <v>35255</v>
      </c>
    </row>
    <row r="38889" spans="6:8">
      <c r="H38889" t="s">
        <v>35250</v>
      </c>
    </row>
    <row r="38890" spans="6:8">
      <c r="H38890" t="s">
        <v>35256</v>
      </c>
    </row>
    <row r="38891" spans="6:8">
      <c r="H38891" t="s">
        <v>35257</v>
      </c>
    </row>
    <row r="38892" spans="6:8">
      <c r="H38892" t="s">
        <v>35258</v>
      </c>
    </row>
    <row r="38893" spans="6:8">
      <c r="H38893" t="s">
        <v>35259</v>
      </c>
    </row>
    <row r="38894" spans="6:8">
      <c r="H38894" t="s">
        <v>35260</v>
      </c>
    </row>
    <row r="38895" spans="6:8">
      <c r="H38895" t="s">
        <v>35261</v>
      </c>
    </row>
    <row r="38896" spans="6:8">
      <c r="H38896" t="s">
        <v>35262</v>
      </c>
    </row>
    <row r="38897" spans="6:8">
      <c r="H38897" t="s">
        <v>20340</v>
      </c>
    </row>
    <row r="38898" spans="6:8">
      <c r="F38898" t="s">
        <v>14315</v>
      </c>
      <c r="G38898" t="s">
        <v>18272</v>
      </c>
      <c r="H38898" t="s">
        <v>19981</v>
      </c>
    </row>
    <row r="38899" spans="6:8">
      <c r="H38899" t="s">
        <v>35263</v>
      </c>
    </row>
    <row r="38900" spans="6:8">
      <c r="H38900" t="s">
        <v>34877</v>
      </c>
    </row>
    <row r="38901" spans="6:8">
      <c r="H38901" t="s">
        <v>35264</v>
      </c>
    </row>
    <row r="38902" spans="6:8">
      <c r="H38902" t="s">
        <v>35265</v>
      </c>
    </row>
    <row r="38903" spans="6:8">
      <c r="F38903" t="s">
        <v>10726</v>
      </c>
      <c r="G38903" t="s">
        <v>15125</v>
      </c>
      <c r="H38903" t="s">
        <v>22023</v>
      </c>
    </row>
    <row r="38904" spans="6:8">
      <c r="H38904" t="s">
        <v>35266</v>
      </c>
    </row>
    <row r="38905" spans="6:8">
      <c r="H38905" t="s">
        <v>35267</v>
      </c>
    </row>
    <row r="38906" spans="6:8">
      <c r="H38906" t="s">
        <v>35268</v>
      </c>
    </row>
    <row r="38907" spans="6:8">
      <c r="H38907" t="s">
        <v>35269</v>
      </c>
    </row>
    <row r="38908" spans="6:8">
      <c r="H38908" t="s">
        <v>35270</v>
      </c>
    </row>
    <row r="38909" spans="6:8">
      <c r="H38909" t="s">
        <v>35271</v>
      </c>
    </row>
    <row r="38910" spans="6:8">
      <c r="F38910" t="s">
        <v>11449</v>
      </c>
      <c r="G38910" t="s">
        <v>15689</v>
      </c>
      <c r="H38910" t="s">
        <v>31759</v>
      </c>
    </row>
    <row r="38911" spans="6:8">
      <c r="H38911" t="s">
        <v>35272</v>
      </c>
    </row>
    <row r="38912" spans="6:8">
      <c r="H38912" t="s">
        <v>35273</v>
      </c>
    </row>
    <row r="38913" spans="8:8">
      <c r="H38913" t="s">
        <v>35274</v>
      </c>
    </row>
    <row r="38914" spans="8:8">
      <c r="H38914" t="s">
        <v>35275</v>
      </c>
    </row>
    <row r="38915" spans="8:8">
      <c r="H38915" t="s">
        <v>35276</v>
      </c>
    </row>
    <row r="38916" spans="8:8">
      <c r="H38916" t="s">
        <v>35277</v>
      </c>
    </row>
    <row r="38917" spans="8:8">
      <c r="H38917" t="s">
        <v>35278</v>
      </c>
    </row>
    <row r="38918" spans="8:8">
      <c r="H38918" t="s">
        <v>35279</v>
      </c>
    </row>
    <row r="38919" spans="8:8">
      <c r="H38919" t="s">
        <v>35280</v>
      </c>
    </row>
    <row r="38920" spans="8:8">
      <c r="H38920" t="s">
        <v>35281</v>
      </c>
    </row>
    <row r="38921" spans="8:8">
      <c r="H38921" t="s">
        <v>35282</v>
      </c>
    </row>
    <row r="38922" spans="8:8">
      <c r="H38922" t="s">
        <v>35283</v>
      </c>
    </row>
    <row r="38923" spans="8:8">
      <c r="H38923" t="s">
        <v>35284</v>
      </c>
    </row>
    <row r="38924" spans="8:8">
      <c r="H38924" t="s">
        <v>35285</v>
      </c>
    </row>
    <row r="38925" spans="8:8">
      <c r="H38925" t="s">
        <v>35286</v>
      </c>
    </row>
    <row r="38926" spans="8:8">
      <c r="H38926" t="s">
        <v>35287</v>
      </c>
    </row>
    <row r="38927" spans="8:8">
      <c r="H38927" t="s">
        <v>35288</v>
      </c>
    </row>
    <row r="38928" spans="8:8">
      <c r="H38928" t="s">
        <v>35289</v>
      </c>
    </row>
    <row r="38929" spans="8:8">
      <c r="H38929" t="s">
        <v>35290</v>
      </c>
    </row>
    <row r="38930" spans="8:8">
      <c r="H38930" t="s">
        <v>35290</v>
      </c>
    </row>
    <row r="38931" spans="8:8">
      <c r="H38931" t="s">
        <v>35291</v>
      </c>
    </row>
    <row r="38932" spans="8:8">
      <c r="H38932" t="s">
        <v>35292</v>
      </c>
    </row>
    <row r="38933" spans="8:8">
      <c r="H38933" t="s">
        <v>35293</v>
      </c>
    </row>
    <row r="38934" spans="8:8">
      <c r="H38934" t="s">
        <v>35294</v>
      </c>
    </row>
    <row r="38935" spans="8:8">
      <c r="H38935" t="s">
        <v>35295</v>
      </c>
    </row>
    <row r="38936" spans="8:8">
      <c r="H38936" t="s">
        <v>35296</v>
      </c>
    </row>
    <row r="38937" spans="8:8">
      <c r="H38937" t="s">
        <v>35297</v>
      </c>
    </row>
    <row r="38938" spans="8:8">
      <c r="H38938" t="s">
        <v>35298</v>
      </c>
    </row>
    <row r="38939" spans="8:8">
      <c r="H38939" t="s">
        <v>35299</v>
      </c>
    </row>
    <row r="38940" spans="8:8">
      <c r="H38940" t="s">
        <v>35300</v>
      </c>
    </row>
    <row r="38941" spans="8:8">
      <c r="H38941" t="s">
        <v>35301</v>
      </c>
    </row>
    <row r="38942" spans="8:8">
      <c r="H38942" t="s">
        <v>35302</v>
      </c>
    </row>
    <row r="38943" spans="8:8">
      <c r="H38943" t="s">
        <v>35303</v>
      </c>
    </row>
    <row r="38944" spans="8:8">
      <c r="H38944" t="s">
        <v>35304</v>
      </c>
    </row>
    <row r="38945" spans="6:8">
      <c r="H38945" t="s">
        <v>35305</v>
      </c>
    </row>
    <row r="38946" spans="6:8">
      <c r="H38946" t="s">
        <v>35306</v>
      </c>
    </row>
    <row r="38947" spans="6:8">
      <c r="F38947" t="s">
        <v>14316</v>
      </c>
      <c r="G38947" t="s">
        <v>18273</v>
      </c>
      <c r="H38947" t="s">
        <v>35307</v>
      </c>
    </row>
    <row r="38948" spans="6:8">
      <c r="F38948" t="s">
        <v>14317</v>
      </c>
      <c r="G38948" t="s">
        <v>18274</v>
      </c>
      <c r="H38948" t="s">
        <v>35308</v>
      </c>
    </row>
    <row r="38949" spans="6:8">
      <c r="H38949" t="s">
        <v>35309</v>
      </c>
    </row>
    <row r="38950" spans="6:8">
      <c r="H38950" t="s">
        <v>35310</v>
      </c>
    </row>
    <row r="38951" spans="6:8">
      <c r="H38951" t="s">
        <v>35311</v>
      </c>
    </row>
    <row r="38952" spans="6:8">
      <c r="H38952" t="s">
        <v>35312</v>
      </c>
    </row>
    <row r="38953" spans="6:8">
      <c r="H38953" t="s">
        <v>35312</v>
      </c>
    </row>
    <row r="38954" spans="6:8">
      <c r="H38954" t="s">
        <v>35313</v>
      </c>
    </row>
    <row r="38955" spans="6:8">
      <c r="H38955" t="s">
        <v>19333</v>
      </c>
    </row>
    <row r="38956" spans="6:8">
      <c r="H38956" t="s">
        <v>35314</v>
      </c>
    </row>
    <row r="38957" spans="6:8">
      <c r="H38957" t="s">
        <v>35315</v>
      </c>
    </row>
    <row r="38958" spans="6:8">
      <c r="H38958" t="s">
        <v>35316</v>
      </c>
    </row>
    <row r="38959" spans="6:8">
      <c r="F38959" t="s">
        <v>14318</v>
      </c>
      <c r="G38959" t="s">
        <v>18275</v>
      </c>
      <c r="H38959" t="s">
        <v>35317</v>
      </c>
    </row>
    <row r="38960" spans="6:8">
      <c r="F38960" t="s">
        <v>14319</v>
      </c>
      <c r="G38960" t="s">
        <v>18276</v>
      </c>
      <c r="H38960" t="s">
        <v>18836</v>
      </c>
    </row>
    <row r="38961" spans="6:8">
      <c r="F38961" t="s">
        <v>14320</v>
      </c>
      <c r="G38961" t="s">
        <v>18277</v>
      </c>
      <c r="H38961" t="s">
        <v>30172</v>
      </c>
    </row>
    <row r="38962" spans="6:8">
      <c r="H38962" t="s">
        <v>35318</v>
      </c>
    </row>
    <row r="38963" spans="6:8">
      <c r="H38963" t="s">
        <v>35319</v>
      </c>
    </row>
    <row r="38964" spans="6:8">
      <c r="H38964" t="s">
        <v>35320</v>
      </c>
    </row>
    <row r="38965" spans="6:8">
      <c r="H38965" t="s">
        <v>35321</v>
      </c>
    </row>
    <row r="38966" spans="6:8">
      <c r="H38966" t="s">
        <v>35322</v>
      </c>
    </row>
    <row r="38967" spans="6:8">
      <c r="F38967" t="s">
        <v>14321</v>
      </c>
      <c r="G38967" t="s">
        <v>18278</v>
      </c>
      <c r="H38967" t="s">
        <v>35323</v>
      </c>
    </row>
    <row r="38968" spans="6:8">
      <c r="H38968" t="s">
        <v>35324</v>
      </c>
    </row>
    <row r="38969" spans="6:8">
      <c r="H38969" t="s">
        <v>35325</v>
      </c>
    </row>
    <row r="38970" spans="6:8">
      <c r="H38970" t="s">
        <v>35326</v>
      </c>
    </row>
    <row r="38971" spans="6:8">
      <c r="H38971" t="s">
        <v>35327</v>
      </c>
    </row>
    <row r="38972" spans="6:8">
      <c r="H38972" t="s">
        <v>35328</v>
      </c>
    </row>
    <row r="38973" spans="6:8">
      <c r="F38973" t="s">
        <v>14322</v>
      </c>
      <c r="G38973" t="s">
        <v>18279</v>
      </c>
      <c r="H38973" t="s">
        <v>27516</v>
      </c>
    </row>
    <row r="38974" spans="6:8">
      <c r="H38974" t="s">
        <v>22358</v>
      </c>
    </row>
    <row r="38975" spans="6:8">
      <c r="H38975" t="s">
        <v>35329</v>
      </c>
    </row>
    <row r="38976" spans="6:8">
      <c r="H38976" t="s">
        <v>35330</v>
      </c>
    </row>
    <row r="38977" spans="6:8">
      <c r="F38977" t="s">
        <v>14323</v>
      </c>
      <c r="G38977" t="s">
        <v>18280</v>
      </c>
      <c r="H38977" t="s">
        <v>18829</v>
      </c>
    </row>
    <row r="38978" spans="6:8">
      <c r="H38978" t="s">
        <v>18863</v>
      </c>
    </row>
    <row r="38979" spans="6:8">
      <c r="H38979" t="s">
        <v>35331</v>
      </c>
    </row>
    <row r="38980" spans="6:8">
      <c r="H38980" t="s">
        <v>35332</v>
      </c>
    </row>
    <row r="38981" spans="6:8">
      <c r="H38981" t="s">
        <v>35333</v>
      </c>
    </row>
    <row r="38982" spans="6:8">
      <c r="H38982" t="s">
        <v>29840</v>
      </c>
    </row>
    <row r="38983" spans="6:8">
      <c r="H38983" t="s">
        <v>35334</v>
      </c>
    </row>
    <row r="38984" spans="6:8">
      <c r="H38984" t="s">
        <v>35335</v>
      </c>
    </row>
    <row r="38985" spans="6:8">
      <c r="H38985" t="s">
        <v>19007</v>
      </c>
    </row>
    <row r="38986" spans="6:8">
      <c r="H38986" t="s">
        <v>35336</v>
      </c>
    </row>
    <row r="38987" spans="6:8">
      <c r="F38987" t="s">
        <v>14324</v>
      </c>
      <c r="G38987" t="s">
        <v>18281</v>
      </c>
      <c r="H38987" t="s">
        <v>35337</v>
      </c>
    </row>
    <row r="38988" spans="6:8">
      <c r="H38988" t="s">
        <v>35338</v>
      </c>
    </row>
    <row r="38989" spans="6:8">
      <c r="H38989" t="s">
        <v>35339</v>
      </c>
    </row>
    <row r="38990" spans="6:8">
      <c r="H38990" t="s">
        <v>35340</v>
      </c>
    </row>
    <row r="38991" spans="6:8">
      <c r="H38991" t="s">
        <v>35341</v>
      </c>
    </row>
    <row r="38992" spans="6:8">
      <c r="H38992" t="s">
        <v>35342</v>
      </c>
    </row>
    <row r="38993" spans="6:8">
      <c r="F38993" t="s">
        <v>14102</v>
      </c>
      <c r="G38993" t="s">
        <v>18095</v>
      </c>
      <c r="H38993" t="s">
        <v>34079</v>
      </c>
    </row>
    <row r="38994" spans="6:8">
      <c r="H38994" t="s">
        <v>34080</v>
      </c>
    </row>
    <row r="38995" spans="6:8">
      <c r="H38995" t="s">
        <v>18829</v>
      </c>
    </row>
    <row r="38996" spans="6:8">
      <c r="H38996" t="s">
        <v>18863</v>
      </c>
    </row>
    <row r="38997" spans="6:8">
      <c r="H38997" t="s">
        <v>35343</v>
      </c>
    </row>
    <row r="38998" spans="6:8">
      <c r="H38998" t="s">
        <v>19019</v>
      </c>
    </row>
    <row r="38999" spans="6:8">
      <c r="H38999" t="s">
        <v>35344</v>
      </c>
    </row>
    <row r="39000" spans="6:8">
      <c r="H39000" t="s">
        <v>35345</v>
      </c>
    </row>
    <row r="39001" spans="6:8">
      <c r="H39001" t="s">
        <v>35346</v>
      </c>
    </row>
    <row r="39002" spans="6:8">
      <c r="H39002" t="s">
        <v>35347</v>
      </c>
    </row>
    <row r="39003" spans="6:8">
      <c r="H39003" t="s">
        <v>35348</v>
      </c>
    </row>
    <row r="39004" spans="6:8">
      <c r="H39004" t="s">
        <v>35349</v>
      </c>
    </row>
    <row r="39005" spans="6:8">
      <c r="H39005" t="s">
        <v>35350</v>
      </c>
    </row>
    <row r="39006" spans="6:8">
      <c r="H39006" t="s">
        <v>35351</v>
      </c>
    </row>
    <row r="39007" spans="6:8">
      <c r="H39007" t="s">
        <v>35352</v>
      </c>
    </row>
    <row r="39008" spans="6:8">
      <c r="H39008" t="s">
        <v>35353</v>
      </c>
    </row>
    <row r="39009" spans="1:8">
      <c r="H39009" t="s">
        <v>35354</v>
      </c>
    </row>
    <row r="39010" spans="1:8">
      <c r="H39010" t="s">
        <v>35355</v>
      </c>
    </row>
    <row r="39011" spans="1:8">
      <c r="H39011" t="s">
        <v>24966</v>
      </c>
    </row>
    <row r="39012" spans="1:8">
      <c r="H39012" t="s">
        <v>35356</v>
      </c>
    </row>
    <row r="39013" spans="1:8">
      <c r="H39013" t="s">
        <v>35357</v>
      </c>
    </row>
    <row r="39014" spans="1:8">
      <c r="H39014" t="s">
        <v>35358</v>
      </c>
    </row>
    <row r="39015" spans="1:8">
      <c r="H39015" t="s">
        <v>35359</v>
      </c>
    </row>
    <row r="39016" spans="1:8">
      <c r="A39016" t="s">
        <v>3504</v>
      </c>
      <c r="B39016">
        <f>HYPERLINK("https://android.googlesource.com/platform/cts/+/11b7995d722e2365b1db426fadbeaac9e50d2f1e", "11b7995d722e2365b1db426fadbeaac9e50d2f1e")</f>
        <v>0</v>
      </c>
      <c r="C39016">
        <f>HYPERLINK("https://android.googlesource.com/platform/cts/+/ce5ac3c10780be2aab4f37342150eca46cc415d7", "ce5ac3c10780be2aab4f37342150eca46cc415d7")</f>
        <v>0</v>
      </c>
      <c r="D39016" t="s">
        <v>5485</v>
      </c>
      <c r="E39016" t="s">
        <v>9198</v>
      </c>
      <c r="F39016" t="s">
        <v>12617</v>
      </c>
      <c r="G39016" t="s">
        <v>15155</v>
      </c>
      <c r="H39016" t="s">
        <v>35360</v>
      </c>
    </row>
    <row r="39017" spans="1:8">
      <c r="A39017" t="s">
        <v>3505</v>
      </c>
      <c r="B39017">
        <f>HYPERLINK("https://android.googlesource.com/platform/cts/+/2bc5d17211e4bb9e9f60c08d3a82f7377c4080e5", "2bc5d17211e4bb9e9f60c08d3a82f7377c4080e5")</f>
        <v>0</v>
      </c>
      <c r="C39017">
        <f>HYPERLINK("https://android.googlesource.com/platform/cts/+/2cdb98fc16e2f854300adaa7a3b776a41ed40b77", "2cdb98fc16e2f854300adaa7a3b776a41ed40b77")</f>
        <v>0</v>
      </c>
      <c r="D39017" t="s">
        <v>5260</v>
      </c>
      <c r="E39017" t="s">
        <v>9199</v>
      </c>
      <c r="F39017" t="s">
        <v>14325</v>
      </c>
      <c r="G39017" t="s">
        <v>18282</v>
      </c>
      <c r="H39017" t="s">
        <v>18829</v>
      </c>
    </row>
    <row r="39018" spans="1:8">
      <c r="H39018" t="s">
        <v>35361</v>
      </c>
    </row>
    <row r="39019" spans="1:8">
      <c r="H39019" t="s">
        <v>35362</v>
      </c>
    </row>
    <row r="39020" spans="1:8">
      <c r="H39020" t="s">
        <v>35363</v>
      </c>
    </row>
    <row r="39021" spans="1:8">
      <c r="A39021" t="s">
        <v>3506</v>
      </c>
      <c r="B39021">
        <f>HYPERLINK("https://android.googlesource.com/platform/cts/+/5e5e6fab77295819ea83f742fba1a8ef5c147be8", "5e5e6fab77295819ea83f742fba1a8ef5c147be8")</f>
        <v>0</v>
      </c>
      <c r="C39021">
        <f>HYPERLINK("https://android.googlesource.com/platform/cts/+/c758cc645a3d0ff21ecdf8fcef5c43b8648e75ee", "c758cc645a3d0ff21ecdf8fcef5c43b8648e75ee")</f>
        <v>0</v>
      </c>
      <c r="D39021" t="s">
        <v>5576</v>
      </c>
      <c r="E39021" t="s">
        <v>9200</v>
      </c>
      <c r="F39021" t="s">
        <v>13857</v>
      </c>
      <c r="G39021" t="s">
        <v>17899</v>
      </c>
      <c r="H39021" t="s">
        <v>18829</v>
      </c>
    </row>
    <row r="39022" spans="1:8">
      <c r="H39022" t="s">
        <v>18863</v>
      </c>
    </row>
    <row r="39023" spans="1:8">
      <c r="H39023" t="s">
        <v>34807</v>
      </c>
    </row>
    <row r="39024" spans="1:8">
      <c r="H39024" t="s">
        <v>34808</v>
      </c>
    </row>
    <row r="39025" spans="6:8">
      <c r="H39025" t="s">
        <v>34809</v>
      </c>
    </row>
    <row r="39026" spans="6:8">
      <c r="H39026" t="s">
        <v>34810</v>
      </c>
    </row>
    <row r="39027" spans="6:8">
      <c r="H39027" t="s">
        <v>34811</v>
      </c>
    </row>
    <row r="39028" spans="6:8">
      <c r="H39028" t="s">
        <v>34812</v>
      </c>
    </row>
    <row r="39029" spans="6:8">
      <c r="H39029" t="s">
        <v>34813</v>
      </c>
    </row>
    <row r="39030" spans="6:8">
      <c r="F39030" t="s">
        <v>13976</v>
      </c>
      <c r="G39030" t="s">
        <v>18001</v>
      </c>
      <c r="H39030" t="s">
        <v>18829</v>
      </c>
    </row>
    <row r="39031" spans="6:8">
      <c r="H39031" t="s">
        <v>18863</v>
      </c>
    </row>
    <row r="39032" spans="6:8">
      <c r="H39032" t="s">
        <v>34814</v>
      </c>
    </row>
    <row r="39033" spans="6:8">
      <c r="H39033" t="s">
        <v>34815</v>
      </c>
    </row>
    <row r="39034" spans="6:8">
      <c r="H39034" t="s">
        <v>34816</v>
      </c>
    </row>
    <row r="39035" spans="6:8">
      <c r="H39035" t="s">
        <v>34817</v>
      </c>
    </row>
    <row r="39036" spans="6:8">
      <c r="H39036" t="s">
        <v>34818</v>
      </c>
    </row>
    <row r="39037" spans="6:8">
      <c r="H39037" t="s">
        <v>34819</v>
      </c>
    </row>
    <row r="39038" spans="6:8">
      <c r="H39038" t="s">
        <v>34820</v>
      </c>
    </row>
    <row r="39039" spans="6:8">
      <c r="H39039" t="s">
        <v>34821</v>
      </c>
    </row>
    <row r="39040" spans="6:8">
      <c r="H39040" t="s">
        <v>34822</v>
      </c>
    </row>
    <row r="39041" spans="6:8">
      <c r="F39041" t="s">
        <v>13977</v>
      </c>
      <c r="G39041" t="s">
        <v>18002</v>
      </c>
      <c r="H39041" t="s">
        <v>34823</v>
      </c>
    </row>
    <row r="39042" spans="6:8">
      <c r="H39042" t="s">
        <v>18930</v>
      </c>
    </row>
    <row r="39043" spans="6:8">
      <c r="H39043" t="s">
        <v>19372</v>
      </c>
    </row>
    <row r="39044" spans="6:8">
      <c r="H39044" t="s">
        <v>34824</v>
      </c>
    </row>
    <row r="39045" spans="6:8">
      <c r="H39045" t="s">
        <v>34825</v>
      </c>
    </row>
    <row r="39046" spans="6:8">
      <c r="H39046" t="s">
        <v>34826</v>
      </c>
    </row>
    <row r="39047" spans="6:8">
      <c r="H39047" t="s">
        <v>34827</v>
      </c>
    </row>
    <row r="39048" spans="6:8">
      <c r="H39048" t="s">
        <v>31669</v>
      </c>
    </row>
    <row r="39049" spans="6:8">
      <c r="H39049" t="s">
        <v>32387</v>
      </c>
    </row>
    <row r="39050" spans="6:8">
      <c r="H39050" t="s">
        <v>34828</v>
      </c>
    </row>
    <row r="39051" spans="6:8">
      <c r="H39051" t="s">
        <v>31986</v>
      </c>
    </row>
    <row r="39052" spans="6:8">
      <c r="H39052" t="s">
        <v>34829</v>
      </c>
    </row>
    <row r="39053" spans="6:8">
      <c r="H39053" t="s">
        <v>34830</v>
      </c>
    </row>
    <row r="39054" spans="6:8">
      <c r="H39054" t="s">
        <v>34831</v>
      </c>
    </row>
    <row r="39055" spans="6:8">
      <c r="H39055" t="s">
        <v>34832</v>
      </c>
    </row>
    <row r="39056" spans="6:8">
      <c r="H39056" t="s">
        <v>18829</v>
      </c>
    </row>
    <row r="39057" spans="6:8">
      <c r="H39057" t="s">
        <v>18863</v>
      </c>
    </row>
    <row r="39058" spans="6:8">
      <c r="H39058" t="s">
        <v>33907</v>
      </c>
    </row>
    <row r="39059" spans="6:8">
      <c r="H39059" t="s">
        <v>33908</v>
      </c>
    </row>
    <row r="39060" spans="6:8">
      <c r="F39060" t="s">
        <v>12416</v>
      </c>
      <c r="G39060" t="s">
        <v>16638</v>
      </c>
      <c r="H39060" t="s">
        <v>26496</v>
      </c>
    </row>
    <row r="39061" spans="6:8">
      <c r="H39061" t="s">
        <v>18829</v>
      </c>
    </row>
    <row r="39062" spans="6:8">
      <c r="H39062" t="s">
        <v>18863</v>
      </c>
    </row>
    <row r="39063" spans="6:8">
      <c r="H39063" t="s">
        <v>34833</v>
      </c>
    </row>
    <row r="39064" spans="6:8">
      <c r="H39064" t="s">
        <v>34834</v>
      </c>
    </row>
    <row r="39065" spans="6:8">
      <c r="H39065" t="s">
        <v>34835</v>
      </c>
    </row>
    <row r="39066" spans="6:8">
      <c r="H39066" t="s">
        <v>29215</v>
      </c>
    </row>
    <row r="39067" spans="6:8">
      <c r="H39067" t="s">
        <v>27130</v>
      </c>
    </row>
    <row r="39068" spans="6:8">
      <c r="H39068" t="s">
        <v>34836</v>
      </c>
    </row>
    <row r="39069" spans="6:8">
      <c r="H39069" t="s">
        <v>34837</v>
      </c>
    </row>
    <row r="39070" spans="6:8">
      <c r="H39070" t="s">
        <v>34838</v>
      </c>
    </row>
    <row r="39071" spans="6:8">
      <c r="H39071" t="s">
        <v>34839</v>
      </c>
    </row>
    <row r="39072" spans="6:8">
      <c r="H39072" t="s">
        <v>34840</v>
      </c>
    </row>
    <row r="39073" spans="8:8">
      <c r="H39073" t="s">
        <v>34841</v>
      </c>
    </row>
    <row r="39074" spans="8:8">
      <c r="H39074" t="s">
        <v>34842</v>
      </c>
    </row>
    <row r="39075" spans="8:8">
      <c r="H39075" t="s">
        <v>34843</v>
      </c>
    </row>
    <row r="39076" spans="8:8">
      <c r="H39076" t="s">
        <v>34844</v>
      </c>
    </row>
    <row r="39077" spans="8:8">
      <c r="H39077" t="s">
        <v>34845</v>
      </c>
    </row>
    <row r="39078" spans="8:8">
      <c r="H39078" t="s">
        <v>34846</v>
      </c>
    </row>
    <row r="39079" spans="8:8">
      <c r="H39079" t="s">
        <v>34847</v>
      </c>
    </row>
    <row r="39080" spans="8:8">
      <c r="H39080" t="s">
        <v>31500</v>
      </c>
    </row>
    <row r="39081" spans="8:8">
      <c r="H39081" t="s">
        <v>34848</v>
      </c>
    </row>
    <row r="39082" spans="8:8">
      <c r="H39082" t="s">
        <v>34051</v>
      </c>
    </row>
    <row r="39083" spans="8:8">
      <c r="H39083" t="s">
        <v>34052</v>
      </c>
    </row>
    <row r="39084" spans="8:8">
      <c r="H39084" t="s">
        <v>34849</v>
      </c>
    </row>
    <row r="39085" spans="8:8">
      <c r="H39085" t="s">
        <v>34850</v>
      </c>
    </row>
    <row r="39086" spans="8:8">
      <c r="H39086" t="s">
        <v>34851</v>
      </c>
    </row>
    <row r="39087" spans="8:8">
      <c r="H39087" t="s">
        <v>26751</v>
      </c>
    </row>
    <row r="39088" spans="8:8">
      <c r="H39088" t="s">
        <v>34852</v>
      </c>
    </row>
    <row r="39089" spans="8:8">
      <c r="H39089" t="s">
        <v>34853</v>
      </c>
    </row>
    <row r="39090" spans="8:8">
      <c r="H39090" t="s">
        <v>34854</v>
      </c>
    </row>
    <row r="39091" spans="8:8">
      <c r="H39091" t="s">
        <v>34855</v>
      </c>
    </row>
    <row r="39092" spans="8:8">
      <c r="H39092" t="s">
        <v>34856</v>
      </c>
    </row>
    <row r="39093" spans="8:8">
      <c r="H39093" t="s">
        <v>34857</v>
      </c>
    </row>
    <row r="39094" spans="8:8">
      <c r="H39094" t="s">
        <v>34858</v>
      </c>
    </row>
    <row r="39095" spans="8:8">
      <c r="H39095" t="s">
        <v>34859</v>
      </c>
    </row>
    <row r="39096" spans="8:8">
      <c r="H39096" t="s">
        <v>34860</v>
      </c>
    </row>
    <row r="39097" spans="8:8">
      <c r="H39097" t="s">
        <v>34861</v>
      </c>
    </row>
    <row r="39098" spans="8:8">
      <c r="H39098" t="s">
        <v>34862</v>
      </c>
    </row>
    <row r="39099" spans="8:8">
      <c r="H39099" t="s">
        <v>34863</v>
      </c>
    </row>
    <row r="39100" spans="8:8">
      <c r="H39100" t="s">
        <v>34864</v>
      </c>
    </row>
    <row r="39101" spans="8:8">
      <c r="H39101" t="s">
        <v>34865</v>
      </c>
    </row>
    <row r="39102" spans="8:8">
      <c r="H39102" t="s">
        <v>34866</v>
      </c>
    </row>
    <row r="39103" spans="8:8">
      <c r="H39103" t="s">
        <v>34866</v>
      </c>
    </row>
    <row r="39104" spans="8:8">
      <c r="H39104" t="s">
        <v>34867</v>
      </c>
    </row>
    <row r="39105" spans="6:8">
      <c r="H39105" t="s">
        <v>34868</v>
      </c>
    </row>
    <row r="39106" spans="6:8">
      <c r="H39106" t="s">
        <v>34869</v>
      </c>
    </row>
    <row r="39107" spans="6:8">
      <c r="H39107" t="s">
        <v>19019</v>
      </c>
    </row>
    <row r="39108" spans="6:8">
      <c r="F39108" t="s">
        <v>14304</v>
      </c>
      <c r="G39108" t="s">
        <v>18262</v>
      </c>
      <c r="H39108" t="s">
        <v>20244</v>
      </c>
    </row>
    <row r="39109" spans="6:8">
      <c r="H39109" t="s">
        <v>19233</v>
      </c>
    </row>
    <row r="39110" spans="6:8">
      <c r="H39110" t="s">
        <v>18829</v>
      </c>
    </row>
    <row r="39111" spans="6:8">
      <c r="H39111" t="s">
        <v>34871</v>
      </c>
    </row>
    <row r="39112" spans="6:8">
      <c r="H39112" t="s">
        <v>25643</v>
      </c>
    </row>
    <row r="39113" spans="6:8">
      <c r="H39113" t="s">
        <v>31039</v>
      </c>
    </row>
    <row r="39114" spans="6:8">
      <c r="H39114" t="s">
        <v>34872</v>
      </c>
    </row>
    <row r="39115" spans="6:8">
      <c r="H39115" t="s">
        <v>34873</v>
      </c>
    </row>
    <row r="39116" spans="6:8">
      <c r="H39116" t="s">
        <v>34874</v>
      </c>
    </row>
    <row r="39117" spans="6:8">
      <c r="H39117" t="s">
        <v>34875</v>
      </c>
    </row>
    <row r="39118" spans="6:8">
      <c r="H39118" t="s">
        <v>31037</v>
      </c>
    </row>
    <row r="39119" spans="6:8">
      <c r="F39119" t="s">
        <v>13941</v>
      </c>
      <c r="G39119" t="s">
        <v>17972</v>
      </c>
      <c r="H39119" t="s">
        <v>18829</v>
      </c>
    </row>
    <row r="39120" spans="6:8">
      <c r="H39120" t="s">
        <v>32340</v>
      </c>
    </row>
    <row r="39121" spans="6:8">
      <c r="H39121" t="s">
        <v>32342</v>
      </c>
    </row>
    <row r="39122" spans="6:8">
      <c r="H39122" t="s">
        <v>32341</v>
      </c>
    </row>
    <row r="39123" spans="6:8">
      <c r="H39123" t="s">
        <v>32343</v>
      </c>
    </row>
    <row r="39124" spans="6:8">
      <c r="F39124" t="s">
        <v>14305</v>
      </c>
      <c r="G39124" t="s">
        <v>18005</v>
      </c>
      <c r="H39124" t="s">
        <v>19981</v>
      </c>
    </row>
    <row r="39125" spans="6:8">
      <c r="H39125" t="s">
        <v>34876</v>
      </c>
    </row>
    <row r="39126" spans="6:8">
      <c r="H39126" t="s">
        <v>34877</v>
      </c>
    </row>
    <row r="39127" spans="6:8">
      <c r="H39127" t="s">
        <v>34878</v>
      </c>
    </row>
    <row r="39128" spans="6:8">
      <c r="H39128" t="s">
        <v>34879</v>
      </c>
    </row>
    <row r="39129" spans="6:8">
      <c r="F39129" t="s">
        <v>14234</v>
      </c>
      <c r="G39129" t="s">
        <v>18204</v>
      </c>
      <c r="H39129" t="s">
        <v>18829</v>
      </c>
    </row>
    <row r="39130" spans="6:8">
      <c r="H39130" t="s">
        <v>18863</v>
      </c>
    </row>
    <row r="39131" spans="6:8">
      <c r="H39131" t="s">
        <v>34880</v>
      </c>
    </row>
    <row r="39132" spans="6:8">
      <c r="H39132" t="s">
        <v>34881</v>
      </c>
    </row>
    <row r="39133" spans="6:8">
      <c r="H39133" t="s">
        <v>34882</v>
      </c>
    </row>
    <row r="39134" spans="6:8">
      <c r="H39134" t="s">
        <v>34883</v>
      </c>
    </row>
    <row r="39135" spans="6:8">
      <c r="H39135" t="s">
        <v>34884</v>
      </c>
    </row>
    <row r="39136" spans="6:8">
      <c r="H39136" t="s">
        <v>34885</v>
      </c>
    </row>
    <row r="39137" spans="8:8">
      <c r="H39137" t="s">
        <v>34886</v>
      </c>
    </row>
    <row r="39138" spans="8:8">
      <c r="H39138" t="s">
        <v>34887</v>
      </c>
    </row>
    <row r="39139" spans="8:8">
      <c r="H39139" t="s">
        <v>34888</v>
      </c>
    </row>
    <row r="39140" spans="8:8">
      <c r="H39140" t="s">
        <v>34889</v>
      </c>
    </row>
    <row r="39141" spans="8:8">
      <c r="H39141" t="s">
        <v>34890</v>
      </c>
    </row>
    <row r="39142" spans="8:8">
      <c r="H39142" t="s">
        <v>34891</v>
      </c>
    </row>
    <row r="39143" spans="8:8">
      <c r="H39143" t="s">
        <v>34891</v>
      </c>
    </row>
    <row r="39144" spans="8:8">
      <c r="H39144" t="s">
        <v>34892</v>
      </c>
    </row>
    <row r="39145" spans="8:8">
      <c r="H39145" t="s">
        <v>34893</v>
      </c>
    </row>
    <row r="39146" spans="8:8">
      <c r="H39146" t="s">
        <v>34894</v>
      </c>
    </row>
    <row r="39147" spans="8:8">
      <c r="H39147" t="s">
        <v>34895</v>
      </c>
    </row>
    <row r="39148" spans="8:8">
      <c r="H39148" t="s">
        <v>34896</v>
      </c>
    </row>
    <row r="39149" spans="8:8">
      <c r="H39149" t="s">
        <v>34897</v>
      </c>
    </row>
    <row r="39150" spans="8:8">
      <c r="H39150" t="s">
        <v>34898</v>
      </c>
    </row>
    <row r="39151" spans="8:8">
      <c r="H39151" t="s">
        <v>34899</v>
      </c>
    </row>
    <row r="39152" spans="8:8">
      <c r="H39152" t="s">
        <v>34900</v>
      </c>
    </row>
    <row r="39153" spans="6:8">
      <c r="H39153" t="s">
        <v>34900</v>
      </c>
    </row>
    <row r="39154" spans="6:8">
      <c r="H39154" t="s">
        <v>34901</v>
      </c>
    </row>
    <row r="39155" spans="6:8">
      <c r="H39155" t="s">
        <v>34902</v>
      </c>
    </row>
    <row r="39156" spans="6:8">
      <c r="H39156" t="s">
        <v>34020</v>
      </c>
    </row>
    <row r="39157" spans="6:8">
      <c r="H39157" t="s">
        <v>34903</v>
      </c>
    </row>
    <row r="39158" spans="6:8">
      <c r="H39158" t="s">
        <v>19019</v>
      </c>
    </row>
    <row r="39159" spans="6:8">
      <c r="H39159" t="s">
        <v>34904</v>
      </c>
    </row>
    <row r="39160" spans="6:8">
      <c r="F39160" t="s">
        <v>10700</v>
      </c>
      <c r="G39160" t="s">
        <v>15100</v>
      </c>
      <c r="H39160" t="s">
        <v>18829</v>
      </c>
    </row>
    <row r="39161" spans="6:8">
      <c r="H39161" t="s">
        <v>18863</v>
      </c>
    </row>
    <row r="39162" spans="6:8">
      <c r="H39162" t="s">
        <v>34905</v>
      </c>
    </row>
    <row r="39163" spans="6:8">
      <c r="H39163" t="s">
        <v>34906</v>
      </c>
    </row>
    <row r="39164" spans="6:8">
      <c r="H39164" t="s">
        <v>22508</v>
      </c>
    </row>
    <row r="39165" spans="6:8">
      <c r="H39165" t="s">
        <v>34907</v>
      </c>
    </row>
    <row r="39166" spans="6:8">
      <c r="H39166" t="s">
        <v>34908</v>
      </c>
    </row>
    <row r="39167" spans="6:8">
      <c r="H39167" t="s">
        <v>34909</v>
      </c>
    </row>
    <row r="39168" spans="6:8">
      <c r="H39168" t="s">
        <v>34910</v>
      </c>
    </row>
    <row r="39169" spans="8:8">
      <c r="H39169" t="s">
        <v>34911</v>
      </c>
    </row>
    <row r="39170" spans="8:8">
      <c r="H39170" t="s">
        <v>34912</v>
      </c>
    </row>
    <row r="39171" spans="8:8">
      <c r="H39171" t="s">
        <v>34913</v>
      </c>
    </row>
    <row r="39172" spans="8:8">
      <c r="H39172" t="s">
        <v>34914</v>
      </c>
    </row>
    <row r="39173" spans="8:8">
      <c r="H39173" t="s">
        <v>34915</v>
      </c>
    </row>
    <row r="39174" spans="8:8">
      <c r="H39174" t="s">
        <v>34916</v>
      </c>
    </row>
    <row r="39175" spans="8:8">
      <c r="H39175" t="s">
        <v>34917</v>
      </c>
    </row>
    <row r="39176" spans="8:8">
      <c r="H39176" t="s">
        <v>25838</v>
      </c>
    </row>
    <row r="39177" spans="8:8">
      <c r="H39177" t="s">
        <v>34918</v>
      </c>
    </row>
    <row r="39178" spans="8:8">
      <c r="H39178" t="s">
        <v>34919</v>
      </c>
    </row>
    <row r="39179" spans="8:8">
      <c r="H39179" t="s">
        <v>34920</v>
      </c>
    </row>
    <row r="39180" spans="8:8">
      <c r="H39180" t="s">
        <v>25839</v>
      </c>
    </row>
    <row r="39181" spans="8:8">
      <c r="H39181" t="s">
        <v>27479</v>
      </c>
    </row>
    <row r="39182" spans="8:8">
      <c r="H39182" t="s">
        <v>32382</v>
      </c>
    </row>
    <row r="39183" spans="8:8">
      <c r="H39183" t="s">
        <v>34922</v>
      </c>
    </row>
    <row r="39184" spans="8:8">
      <c r="H39184" t="s">
        <v>34923</v>
      </c>
    </row>
    <row r="39185" spans="8:8">
      <c r="H39185" t="s">
        <v>34924</v>
      </c>
    </row>
    <row r="39186" spans="8:8">
      <c r="H39186" t="s">
        <v>34925</v>
      </c>
    </row>
    <row r="39187" spans="8:8">
      <c r="H39187" t="s">
        <v>34926</v>
      </c>
    </row>
    <row r="39188" spans="8:8">
      <c r="H39188" t="s">
        <v>34927</v>
      </c>
    </row>
    <row r="39189" spans="8:8">
      <c r="H39189" t="s">
        <v>34928</v>
      </c>
    </row>
    <row r="39190" spans="8:8">
      <c r="H39190" t="s">
        <v>34929</v>
      </c>
    </row>
    <row r="39191" spans="8:8">
      <c r="H39191" t="s">
        <v>34930</v>
      </c>
    </row>
    <row r="39192" spans="8:8">
      <c r="H39192" t="s">
        <v>34931</v>
      </c>
    </row>
    <row r="39193" spans="8:8">
      <c r="H39193" t="s">
        <v>34932</v>
      </c>
    </row>
    <row r="39194" spans="8:8">
      <c r="H39194" t="s">
        <v>34933</v>
      </c>
    </row>
    <row r="39195" spans="8:8">
      <c r="H39195" t="s">
        <v>34934</v>
      </c>
    </row>
    <row r="39196" spans="8:8">
      <c r="H39196" t="s">
        <v>34935</v>
      </c>
    </row>
    <row r="39197" spans="8:8">
      <c r="H39197" t="s">
        <v>34676</v>
      </c>
    </row>
    <row r="39198" spans="8:8">
      <c r="H39198" t="s">
        <v>34936</v>
      </c>
    </row>
    <row r="39199" spans="8:8">
      <c r="H39199" t="s">
        <v>34937</v>
      </c>
    </row>
    <row r="39200" spans="8:8">
      <c r="H39200" t="s">
        <v>34938</v>
      </c>
    </row>
    <row r="39201" spans="8:8">
      <c r="H39201" t="s">
        <v>19372</v>
      </c>
    </row>
    <row r="39202" spans="8:8">
      <c r="H39202" t="s">
        <v>18930</v>
      </c>
    </row>
    <row r="39203" spans="8:8">
      <c r="H39203" t="s">
        <v>34939</v>
      </c>
    </row>
    <row r="39204" spans="8:8">
      <c r="H39204" t="s">
        <v>34940</v>
      </c>
    </row>
    <row r="39205" spans="8:8">
      <c r="H39205" t="s">
        <v>20177</v>
      </c>
    </row>
    <row r="39206" spans="8:8">
      <c r="H39206" t="s">
        <v>33901</v>
      </c>
    </row>
    <row r="39207" spans="8:8">
      <c r="H39207" t="s">
        <v>34827</v>
      </c>
    </row>
    <row r="39208" spans="8:8">
      <c r="H39208" t="s">
        <v>34941</v>
      </c>
    </row>
    <row r="39209" spans="8:8">
      <c r="H39209" t="s">
        <v>34942</v>
      </c>
    </row>
    <row r="39210" spans="8:8">
      <c r="H39210" t="s">
        <v>34943</v>
      </c>
    </row>
    <row r="39211" spans="8:8">
      <c r="H39211" t="s">
        <v>34944</v>
      </c>
    </row>
    <row r="39212" spans="8:8">
      <c r="H39212" t="s">
        <v>34945</v>
      </c>
    </row>
    <row r="39213" spans="8:8">
      <c r="H39213" t="s">
        <v>34946</v>
      </c>
    </row>
    <row r="39214" spans="8:8">
      <c r="H39214" t="s">
        <v>34947</v>
      </c>
    </row>
    <row r="39215" spans="8:8">
      <c r="H39215" t="s">
        <v>34948</v>
      </c>
    </row>
    <row r="39216" spans="8:8">
      <c r="H39216" t="s">
        <v>34949</v>
      </c>
    </row>
    <row r="39217" spans="6:8">
      <c r="H39217" t="s">
        <v>34950</v>
      </c>
    </row>
    <row r="39218" spans="6:8">
      <c r="H39218" t="s">
        <v>34951</v>
      </c>
    </row>
    <row r="39219" spans="6:8">
      <c r="H39219" t="s">
        <v>34952</v>
      </c>
    </row>
    <row r="39220" spans="6:8">
      <c r="H39220" t="s">
        <v>34953</v>
      </c>
    </row>
    <row r="39221" spans="6:8">
      <c r="H39221" t="s">
        <v>34954</v>
      </c>
    </row>
    <row r="39222" spans="6:8">
      <c r="H39222" t="s">
        <v>34955</v>
      </c>
    </row>
    <row r="39223" spans="6:8">
      <c r="H39223" t="s">
        <v>34956</v>
      </c>
    </row>
    <row r="39224" spans="6:8">
      <c r="H39224" t="s">
        <v>34957</v>
      </c>
    </row>
    <row r="39225" spans="6:8">
      <c r="H39225" t="s">
        <v>34958</v>
      </c>
    </row>
    <row r="39226" spans="6:8">
      <c r="H39226" t="s">
        <v>34959</v>
      </c>
    </row>
    <row r="39227" spans="6:8">
      <c r="H39227" t="s">
        <v>34960</v>
      </c>
    </row>
    <row r="39228" spans="6:8">
      <c r="H39228" t="s">
        <v>34006</v>
      </c>
    </row>
    <row r="39229" spans="6:8">
      <c r="H39229" t="s">
        <v>34961</v>
      </c>
    </row>
    <row r="39230" spans="6:8">
      <c r="F39230" t="s">
        <v>14306</v>
      </c>
      <c r="G39230" t="s">
        <v>18263</v>
      </c>
      <c r="H39230" t="s">
        <v>34967</v>
      </c>
    </row>
    <row r="39231" spans="6:8">
      <c r="F39231" t="s">
        <v>13837</v>
      </c>
      <c r="G39231" t="s">
        <v>17880</v>
      </c>
      <c r="H39231" t="s">
        <v>18829</v>
      </c>
    </row>
    <row r="39232" spans="6:8">
      <c r="H39232" t="s">
        <v>18863</v>
      </c>
    </row>
    <row r="39233" spans="8:8">
      <c r="H39233" t="s">
        <v>34968</v>
      </c>
    </row>
    <row r="39234" spans="8:8">
      <c r="H39234" t="s">
        <v>34969</v>
      </c>
    </row>
    <row r="39235" spans="8:8">
      <c r="H39235" t="s">
        <v>27735</v>
      </c>
    </row>
    <row r="39236" spans="8:8">
      <c r="H39236" t="s">
        <v>34970</v>
      </c>
    </row>
    <row r="39237" spans="8:8">
      <c r="H39237" t="s">
        <v>34971</v>
      </c>
    </row>
    <row r="39238" spans="8:8">
      <c r="H39238" t="s">
        <v>34972</v>
      </c>
    </row>
    <row r="39239" spans="8:8">
      <c r="H39239" t="s">
        <v>34973</v>
      </c>
    </row>
    <row r="39240" spans="8:8">
      <c r="H39240" t="s">
        <v>34974</v>
      </c>
    </row>
    <row r="39241" spans="8:8">
      <c r="H39241" t="s">
        <v>34975</v>
      </c>
    </row>
    <row r="39242" spans="8:8">
      <c r="H39242" t="s">
        <v>34975</v>
      </c>
    </row>
    <row r="39243" spans="8:8">
      <c r="H39243" t="s">
        <v>31970</v>
      </c>
    </row>
    <row r="39244" spans="8:8">
      <c r="H39244" t="s">
        <v>31970</v>
      </c>
    </row>
    <row r="39245" spans="8:8">
      <c r="H39245" t="s">
        <v>34976</v>
      </c>
    </row>
    <row r="39246" spans="8:8">
      <c r="H39246" t="s">
        <v>31971</v>
      </c>
    </row>
    <row r="39247" spans="8:8">
      <c r="H39247" t="s">
        <v>20177</v>
      </c>
    </row>
    <row r="39248" spans="8:8">
      <c r="H39248" t="s">
        <v>31967</v>
      </c>
    </row>
    <row r="39249" spans="8:8">
      <c r="H39249" t="s">
        <v>34977</v>
      </c>
    </row>
    <row r="39250" spans="8:8">
      <c r="H39250" t="s">
        <v>34978</v>
      </c>
    </row>
    <row r="39251" spans="8:8">
      <c r="H39251" t="s">
        <v>34979</v>
      </c>
    </row>
    <row r="39252" spans="8:8">
      <c r="H39252" t="s">
        <v>31852</v>
      </c>
    </row>
    <row r="39253" spans="8:8">
      <c r="H39253" t="s">
        <v>34980</v>
      </c>
    </row>
    <row r="39254" spans="8:8">
      <c r="H39254" t="s">
        <v>34981</v>
      </c>
    </row>
    <row r="39255" spans="8:8">
      <c r="H39255" t="s">
        <v>34982</v>
      </c>
    </row>
    <row r="39256" spans="8:8">
      <c r="H39256" t="s">
        <v>34983</v>
      </c>
    </row>
    <row r="39257" spans="8:8">
      <c r="H39257" t="s">
        <v>34984</v>
      </c>
    </row>
    <row r="39258" spans="8:8">
      <c r="H39258" t="s">
        <v>34985</v>
      </c>
    </row>
    <row r="39259" spans="8:8">
      <c r="H39259" t="s">
        <v>34986</v>
      </c>
    </row>
    <row r="39260" spans="8:8">
      <c r="H39260" t="s">
        <v>34987</v>
      </c>
    </row>
    <row r="39261" spans="8:8">
      <c r="H39261" t="s">
        <v>34988</v>
      </c>
    </row>
    <row r="39262" spans="8:8">
      <c r="H39262" t="s">
        <v>34989</v>
      </c>
    </row>
    <row r="39263" spans="8:8">
      <c r="H39263" t="s">
        <v>34990</v>
      </c>
    </row>
    <row r="39264" spans="8:8">
      <c r="H39264" t="s">
        <v>34991</v>
      </c>
    </row>
    <row r="39265" spans="8:8">
      <c r="H39265" t="s">
        <v>34992</v>
      </c>
    </row>
    <row r="39266" spans="8:8">
      <c r="H39266" t="s">
        <v>34993</v>
      </c>
    </row>
    <row r="39267" spans="8:8">
      <c r="H39267" t="s">
        <v>34994</v>
      </c>
    </row>
    <row r="39268" spans="8:8">
      <c r="H39268" t="s">
        <v>34995</v>
      </c>
    </row>
    <row r="39269" spans="8:8">
      <c r="H39269" t="s">
        <v>34996</v>
      </c>
    </row>
    <row r="39270" spans="8:8">
      <c r="H39270" t="s">
        <v>34997</v>
      </c>
    </row>
    <row r="39271" spans="8:8">
      <c r="H39271" t="s">
        <v>31970</v>
      </c>
    </row>
    <row r="39272" spans="8:8">
      <c r="H39272" t="s">
        <v>34976</v>
      </c>
    </row>
    <row r="39273" spans="8:8">
      <c r="H39273" t="s">
        <v>34998</v>
      </c>
    </row>
    <row r="39274" spans="8:8">
      <c r="H39274" t="s">
        <v>34999</v>
      </c>
    </row>
    <row r="39275" spans="8:8">
      <c r="H39275" t="s">
        <v>35000</v>
      </c>
    </row>
    <row r="39276" spans="8:8">
      <c r="H39276" t="s">
        <v>35001</v>
      </c>
    </row>
    <row r="39277" spans="8:8">
      <c r="H39277" t="s">
        <v>31971</v>
      </c>
    </row>
    <row r="39278" spans="8:8">
      <c r="H39278" t="s">
        <v>20177</v>
      </c>
    </row>
    <row r="39279" spans="8:8">
      <c r="H39279" t="s">
        <v>35002</v>
      </c>
    </row>
    <row r="39280" spans="8:8">
      <c r="H39280" t="s">
        <v>35003</v>
      </c>
    </row>
    <row r="39281" spans="6:8">
      <c r="H39281" t="s">
        <v>35004</v>
      </c>
    </row>
    <row r="39282" spans="6:8">
      <c r="H39282" t="s">
        <v>35005</v>
      </c>
    </row>
    <row r="39283" spans="6:8">
      <c r="H39283" t="s">
        <v>35006</v>
      </c>
    </row>
    <row r="39284" spans="6:8">
      <c r="H39284" t="s">
        <v>35007</v>
      </c>
    </row>
    <row r="39285" spans="6:8">
      <c r="H39285" t="s">
        <v>35008</v>
      </c>
    </row>
    <row r="39286" spans="6:8">
      <c r="H39286" t="s">
        <v>35009</v>
      </c>
    </row>
    <row r="39287" spans="6:8">
      <c r="H39287" t="s">
        <v>35010</v>
      </c>
    </row>
    <row r="39288" spans="6:8">
      <c r="H39288" t="s">
        <v>35011</v>
      </c>
    </row>
    <row r="39289" spans="6:8">
      <c r="H39289" t="s">
        <v>35012</v>
      </c>
    </row>
    <row r="39290" spans="6:8">
      <c r="H39290" t="s">
        <v>35013</v>
      </c>
    </row>
    <row r="39291" spans="6:8">
      <c r="H39291" t="s">
        <v>35014</v>
      </c>
    </row>
    <row r="39292" spans="6:8">
      <c r="H39292" t="s">
        <v>35015</v>
      </c>
    </row>
    <row r="39293" spans="6:8">
      <c r="F39293" t="s">
        <v>12201</v>
      </c>
      <c r="G39293" t="s">
        <v>16439</v>
      </c>
      <c r="H39293" t="s">
        <v>18829</v>
      </c>
    </row>
    <row r="39294" spans="6:8">
      <c r="H39294" t="s">
        <v>21327</v>
      </c>
    </row>
    <row r="39295" spans="6:8">
      <c r="H39295" t="s">
        <v>21328</v>
      </c>
    </row>
    <row r="39296" spans="6:8">
      <c r="H39296" t="s">
        <v>35016</v>
      </c>
    </row>
    <row r="39297" spans="6:8">
      <c r="H39297" t="s">
        <v>35017</v>
      </c>
    </row>
    <row r="39298" spans="6:8">
      <c r="F39298" t="s">
        <v>14222</v>
      </c>
      <c r="G39298" t="s">
        <v>18195</v>
      </c>
      <c r="H39298" t="s">
        <v>35018</v>
      </c>
    </row>
    <row r="39299" spans="6:8">
      <c r="H39299" t="s">
        <v>18863</v>
      </c>
    </row>
    <row r="39300" spans="6:8">
      <c r="H39300" t="s">
        <v>34106</v>
      </c>
    </row>
    <row r="39301" spans="6:8">
      <c r="H39301" t="s">
        <v>35019</v>
      </c>
    </row>
    <row r="39302" spans="6:8">
      <c r="H39302" t="s">
        <v>35020</v>
      </c>
    </row>
    <row r="39303" spans="6:8">
      <c r="H39303" t="s">
        <v>35020</v>
      </c>
    </row>
    <row r="39304" spans="6:8">
      <c r="H39304" t="s">
        <v>35021</v>
      </c>
    </row>
    <row r="39305" spans="6:8">
      <c r="H39305" t="s">
        <v>35022</v>
      </c>
    </row>
    <row r="39306" spans="6:8">
      <c r="H39306" t="s">
        <v>35023</v>
      </c>
    </row>
    <row r="39307" spans="6:8">
      <c r="H39307" t="s">
        <v>35024</v>
      </c>
    </row>
    <row r="39308" spans="6:8">
      <c r="H39308" t="s">
        <v>35025</v>
      </c>
    </row>
    <row r="39309" spans="6:8">
      <c r="H39309" t="s">
        <v>35026</v>
      </c>
    </row>
    <row r="39310" spans="6:8">
      <c r="H39310" t="s">
        <v>35027</v>
      </c>
    </row>
    <row r="39311" spans="6:8">
      <c r="H39311" t="s">
        <v>35028</v>
      </c>
    </row>
    <row r="39312" spans="6:8">
      <c r="H39312" t="s">
        <v>35029</v>
      </c>
    </row>
    <row r="39313" spans="6:8">
      <c r="H39313" t="s">
        <v>35030</v>
      </c>
    </row>
    <row r="39314" spans="6:8">
      <c r="H39314" t="s">
        <v>35031</v>
      </c>
    </row>
    <row r="39315" spans="6:8">
      <c r="H39315" t="s">
        <v>35032</v>
      </c>
    </row>
    <row r="39316" spans="6:8">
      <c r="H39316" t="s">
        <v>35033</v>
      </c>
    </row>
    <row r="39317" spans="6:8">
      <c r="H39317" t="s">
        <v>35034</v>
      </c>
    </row>
    <row r="39318" spans="6:8">
      <c r="H39318" t="s">
        <v>35035</v>
      </c>
    </row>
    <row r="39319" spans="6:8">
      <c r="H39319" t="s">
        <v>35036</v>
      </c>
    </row>
    <row r="39320" spans="6:8">
      <c r="H39320" t="s">
        <v>35037</v>
      </c>
    </row>
    <row r="39321" spans="6:8">
      <c r="H39321" t="s">
        <v>35038</v>
      </c>
    </row>
    <row r="39322" spans="6:8">
      <c r="H39322" t="s">
        <v>35039</v>
      </c>
    </row>
    <row r="39323" spans="6:8">
      <c r="F39323" t="s">
        <v>14307</v>
      </c>
      <c r="G39323" t="s">
        <v>18264</v>
      </c>
      <c r="H39323" t="s">
        <v>35040</v>
      </c>
    </row>
    <row r="39324" spans="6:8">
      <c r="H39324" t="s">
        <v>35041</v>
      </c>
    </row>
    <row r="39325" spans="6:8">
      <c r="H39325" t="s">
        <v>35042</v>
      </c>
    </row>
    <row r="39326" spans="6:8">
      <c r="H39326" t="s">
        <v>35043</v>
      </c>
    </row>
    <row r="39327" spans="6:8">
      <c r="H39327" t="s">
        <v>35044</v>
      </c>
    </row>
    <row r="39328" spans="6:8">
      <c r="H39328" t="s">
        <v>35045</v>
      </c>
    </row>
    <row r="39329" spans="6:8">
      <c r="H39329" t="s">
        <v>35046</v>
      </c>
    </row>
    <row r="39330" spans="6:8">
      <c r="H39330" t="s">
        <v>35047</v>
      </c>
    </row>
    <row r="39331" spans="6:8">
      <c r="F39331" t="s">
        <v>14159</v>
      </c>
      <c r="G39331" t="s">
        <v>18145</v>
      </c>
      <c r="H39331" t="s">
        <v>18829</v>
      </c>
    </row>
    <row r="39332" spans="6:8">
      <c r="H39332" t="s">
        <v>18836</v>
      </c>
    </row>
    <row r="39333" spans="6:8">
      <c r="H39333" t="s">
        <v>35048</v>
      </c>
    </row>
    <row r="39334" spans="6:8">
      <c r="H39334" t="s">
        <v>35049</v>
      </c>
    </row>
    <row r="39335" spans="6:8">
      <c r="H39335" t="s">
        <v>35050</v>
      </c>
    </row>
    <row r="39336" spans="6:8">
      <c r="F39336" t="s">
        <v>14308</v>
      </c>
      <c r="G39336" t="s">
        <v>18265</v>
      </c>
      <c r="H39336" t="s">
        <v>18829</v>
      </c>
    </row>
    <row r="39337" spans="6:8">
      <c r="H39337" t="s">
        <v>26408</v>
      </c>
    </row>
    <row r="39338" spans="6:8">
      <c r="H39338" t="s">
        <v>30464</v>
      </c>
    </row>
    <row r="39339" spans="6:8">
      <c r="H39339" t="s">
        <v>30466</v>
      </c>
    </row>
    <row r="39340" spans="6:8">
      <c r="H39340" t="s">
        <v>35051</v>
      </c>
    </row>
    <row r="39341" spans="6:8">
      <c r="H39341" t="s">
        <v>35052</v>
      </c>
    </row>
    <row r="39342" spans="6:8">
      <c r="H39342" t="s">
        <v>35053</v>
      </c>
    </row>
    <row r="39343" spans="6:8">
      <c r="H39343" t="s">
        <v>30466</v>
      </c>
    </row>
    <row r="39344" spans="6:8">
      <c r="H39344" t="s">
        <v>25704</v>
      </c>
    </row>
    <row r="39345" spans="8:8">
      <c r="H39345" t="s">
        <v>35054</v>
      </c>
    </row>
    <row r="39346" spans="8:8">
      <c r="H39346" t="s">
        <v>35055</v>
      </c>
    </row>
    <row r="39347" spans="8:8">
      <c r="H39347" t="s">
        <v>35056</v>
      </c>
    </row>
    <row r="39348" spans="8:8">
      <c r="H39348" t="s">
        <v>35057</v>
      </c>
    </row>
    <row r="39349" spans="8:8">
      <c r="H39349" t="s">
        <v>35058</v>
      </c>
    </row>
    <row r="39350" spans="8:8">
      <c r="H39350" t="s">
        <v>35059</v>
      </c>
    </row>
    <row r="39351" spans="8:8">
      <c r="H39351" t="s">
        <v>35059</v>
      </c>
    </row>
    <row r="39352" spans="8:8">
      <c r="H39352" t="s">
        <v>35052</v>
      </c>
    </row>
    <row r="39353" spans="8:8">
      <c r="H39353" t="s">
        <v>35058</v>
      </c>
    </row>
    <row r="39354" spans="8:8">
      <c r="H39354" t="s">
        <v>30466</v>
      </c>
    </row>
    <row r="39355" spans="8:8">
      <c r="H39355" t="s">
        <v>25704</v>
      </c>
    </row>
    <row r="39356" spans="8:8">
      <c r="H39356" t="s">
        <v>35053</v>
      </c>
    </row>
    <row r="39357" spans="8:8">
      <c r="H39357" t="s">
        <v>35054</v>
      </c>
    </row>
    <row r="39358" spans="8:8">
      <c r="H39358" t="s">
        <v>35055</v>
      </c>
    </row>
    <row r="39359" spans="8:8">
      <c r="H39359" t="s">
        <v>35060</v>
      </c>
    </row>
    <row r="39360" spans="8:8">
      <c r="H39360" t="s">
        <v>35052</v>
      </c>
    </row>
    <row r="39361" spans="8:8">
      <c r="H39361" t="s">
        <v>35053</v>
      </c>
    </row>
    <row r="39362" spans="8:8">
      <c r="H39362" t="s">
        <v>30466</v>
      </c>
    </row>
    <row r="39363" spans="8:8">
      <c r="H39363" t="s">
        <v>25704</v>
      </c>
    </row>
    <row r="39364" spans="8:8">
      <c r="H39364" t="s">
        <v>35054</v>
      </c>
    </row>
    <row r="39365" spans="8:8">
      <c r="H39365" t="s">
        <v>35055</v>
      </c>
    </row>
    <row r="39366" spans="8:8">
      <c r="H39366" t="s">
        <v>35061</v>
      </c>
    </row>
    <row r="39367" spans="8:8">
      <c r="H39367" t="s">
        <v>35062</v>
      </c>
    </row>
    <row r="39368" spans="8:8">
      <c r="H39368" t="s">
        <v>35063</v>
      </c>
    </row>
    <row r="39369" spans="8:8">
      <c r="H39369" t="s">
        <v>35064</v>
      </c>
    </row>
    <row r="39370" spans="8:8">
      <c r="H39370" t="s">
        <v>35065</v>
      </c>
    </row>
    <row r="39371" spans="8:8">
      <c r="H39371" t="s">
        <v>35066</v>
      </c>
    </row>
    <row r="39372" spans="8:8">
      <c r="H39372" t="s">
        <v>35067</v>
      </c>
    </row>
    <row r="39373" spans="8:8">
      <c r="H39373" t="s">
        <v>35068</v>
      </c>
    </row>
    <row r="39374" spans="8:8">
      <c r="H39374" t="s">
        <v>30465</v>
      </c>
    </row>
    <row r="39375" spans="8:8">
      <c r="H39375" t="s">
        <v>35069</v>
      </c>
    </row>
    <row r="39376" spans="8:8">
      <c r="H39376" t="s">
        <v>35070</v>
      </c>
    </row>
    <row r="39377" spans="6:8">
      <c r="H39377" t="s">
        <v>35071</v>
      </c>
    </row>
    <row r="39378" spans="6:8">
      <c r="H39378" t="s">
        <v>35072</v>
      </c>
    </row>
    <row r="39379" spans="6:8">
      <c r="H39379" t="s">
        <v>35073</v>
      </c>
    </row>
    <row r="39380" spans="6:8">
      <c r="H39380" t="s">
        <v>35074</v>
      </c>
    </row>
    <row r="39381" spans="6:8">
      <c r="H39381" t="s">
        <v>35075</v>
      </c>
    </row>
    <row r="39382" spans="6:8">
      <c r="F39382" t="s">
        <v>13309</v>
      </c>
      <c r="G39382" t="s">
        <v>17442</v>
      </c>
      <c r="H39382" t="s">
        <v>29102</v>
      </c>
    </row>
    <row r="39383" spans="6:8">
      <c r="H39383" t="s">
        <v>35076</v>
      </c>
    </row>
    <row r="39384" spans="6:8">
      <c r="H39384" t="s">
        <v>35077</v>
      </c>
    </row>
    <row r="39385" spans="6:8">
      <c r="H39385" t="s">
        <v>35078</v>
      </c>
    </row>
    <row r="39386" spans="6:8">
      <c r="H39386" t="s">
        <v>35079</v>
      </c>
    </row>
    <row r="39387" spans="6:8">
      <c r="H39387" t="s">
        <v>29103</v>
      </c>
    </row>
    <row r="39388" spans="6:8">
      <c r="H39388" t="s">
        <v>35080</v>
      </c>
    </row>
    <row r="39389" spans="6:8">
      <c r="H39389" t="s">
        <v>35081</v>
      </c>
    </row>
    <row r="39390" spans="6:8">
      <c r="H39390" t="s">
        <v>35082</v>
      </c>
    </row>
    <row r="39391" spans="6:8">
      <c r="H39391" t="s">
        <v>35083</v>
      </c>
    </row>
    <row r="39392" spans="6:8">
      <c r="H39392" t="s">
        <v>35084</v>
      </c>
    </row>
    <row r="39393" spans="8:8">
      <c r="H39393" t="s">
        <v>35085</v>
      </c>
    </row>
    <row r="39394" spans="8:8">
      <c r="H39394" t="s">
        <v>35086</v>
      </c>
    </row>
    <row r="39395" spans="8:8">
      <c r="H39395" t="s">
        <v>35087</v>
      </c>
    </row>
    <row r="39396" spans="8:8">
      <c r="H39396" t="s">
        <v>35088</v>
      </c>
    </row>
    <row r="39397" spans="8:8">
      <c r="H39397" t="s">
        <v>35089</v>
      </c>
    </row>
    <row r="39398" spans="8:8">
      <c r="H39398" t="s">
        <v>35090</v>
      </c>
    </row>
    <row r="39399" spans="8:8">
      <c r="H39399" t="s">
        <v>35091</v>
      </c>
    </row>
    <row r="39400" spans="8:8">
      <c r="H39400" t="s">
        <v>35092</v>
      </c>
    </row>
    <row r="39401" spans="8:8">
      <c r="H39401" t="s">
        <v>35093</v>
      </c>
    </row>
    <row r="39402" spans="8:8">
      <c r="H39402" t="s">
        <v>35094</v>
      </c>
    </row>
    <row r="39403" spans="8:8">
      <c r="H39403" t="s">
        <v>35095</v>
      </c>
    </row>
    <row r="39404" spans="8:8">
      <c r="H39404" t="s">
        <v>35096</v>
      </c>
    </row>
    <row r="39405" spans="8:8">
      <c r="H39405" t="s">
        <v>35097</v>
      </c>
    </row>
    <row r="39406" spans="8:8">
      <c r="H39406" t="s">
        <v>35098</v>
      </c>
    </row>
    <row r="39407" spans="8:8">
      <c r="H39407" t="s">
        <v>35099</v>
      </c>
    </row>
    <row r="39408" spans="8:8">
      <c r="H39408" t="s">
        <v>35100</v>
      </c>
    </row>
    <row r="39409" spans="8:8">
      <c r="H39409" t="s">
        <v>35101</v>
      </c>
    </row>
    <row r="39410" spans="8:8">
      <c r="H39410" t="s">
        <v>35102</v>
      </c>
    </row>
    <row r="39411" spans="8:8">
      <c r="H39411" t="s">
        <v>35103</v>
      </c>
    </row>
    <row r="39412" spans="8:8">
      <c r="H39412" t="s">
        <v>35104</v>
      </c>
    </row>
    <row r="39413" spans="8:8">
      <c r="H39413" t="s">
        <v>35105</v>
      </c>
    </row>
    <row r="39414" spans="8:8">
      <c r="H39414" t="s">
        <v>35106</v>
      </c>
    </row>
    <row r="39415" spans="8:8">
      <c r="H39415" t="s">
        <v>35107</v>
      </c>
    </row>
    <row r="39416" spans="8:8">
      <c r="H39416" t="s">
        <v>35108</v>
      </c>
    </row>
    <row r="39417" spans="8:8">
      <c r="H39417" t="s">
        <v>35109</v>
      </c>
    </row>
    <row r="39418" spans="8:8">
      <c r="H39418" t="s">
        <v>35110</v>
      </c>
    </row>
    <row r="39419" spans="8:8">
      <c r="H39419" t="s">
        <v>35111</v>
      </c>
    </row>
    <row r="39420" spans="8:8">
      <c r="H39420" t="s">
        <v>35112</v>
      </c>
    </row>
    <row r="39421" spans="8:8">
      <c r="H39421" t="s">
        <v>35113</v>
      </c>
    </row>
    <row r="39422" spans="8:8">
      <c r="H39422" t="s">
        <v>35114</v>
      </c>
    </row>
    <row r="39423" spans="8:8">
      <c r="H39423" t="s">
        <v>35115</v>
      </c>
    </row>
    <row r="39424" spans="8:8">
      <c r="H39424" t="s">
        <v>35116</v>
      </c>
    </row>
    <row r="39425" spans="8:8">
      <c r="H39425" t="s">
        <v>35117</v>
      </c>
    </row>
    <row r="39426" spans="8:8">
      <c r="H39426" t="s">
        <v>35118</v>
      </c>
    </row>
    <row r="39427" spans="8:8">
      <c r="H39427" t="s">
        <v>35119</v>
      </c>
    </row>
    <row r="39428" spans="8:8">
      <c r="H39428" t="s">
        <v>35120</v>
      </c>
    </row>
    <row r="39429" spans="8:8">
      <c r="H39429" t="s">
        <v>35121</v>
      </c>
    </row>
    <row r="39430" spans="8:8">
      <c r="H39430" t="s">
        <v>35122</v>
      </c>
    </row>
    <row r="39431" spans="8:8">
      <c r="H39431" t="s">
        <v>35123</v>
      </c>
    </row>
    <row r="39432" spans="8:8">
      <c r="H39432" t="s">
        <v>35124</v>
      </c>
    </row>
    <row r="39433" spans="8:8">
      <c r="H39433" t="s">
        <v>35125</v>
      </c>
    </row>
    <row r="39434" spans="8:8">
      <c r="H39434" t="s">
        <v>35126</v>
      </c>
    </row>
    <row r="39435" spans="8:8">
      <c r="H39435" t="s">
        <v>35127</v>
      </c>
    </row>
    <row r="39436" spans="8:8">
      <c r="H39436" t="s">
        <v>35128</v>
      </c>
    </row>
    <row r="39437" spans="8:8">
      <c r="H39437" t="s">
        <v>35129</v>
      </c>
    </row>
    <row r="39438" spans="8:8">
      <c r="H39438" t="s">
        <v>35130</v>
      </c>
    </row>
    <row r="39439" spans="8:8">
      <c r="H39439" t="s">
        <v>35131</v>
      </c>
    </row>
    <row r="39440" spans="8:8">
      <c r="H39440" t="s">
        <v>35132</v>
      </c>
    </row>
    <row r="39441" spans="8:8">
      <c r="H39441" t="s">
        <v>35133</v>
      </c>
    </row>
    <row r="39442" spans="8:8">
      <c r="H39442" t="s">
        <v>35134</v>
      </c>
    </row>
    <row r="39443" spans="8:8">
      <c r="H39443" t="s">
        <v>35135</v>
      </c>
    </row>
    <row r="39444" spans="8:8">
      <c r="H39444" t="s">
        <v>35136</v>
      </c>
    </row>
    <row r="39445" spans="8:8">
      <c r="H39445" t="s">
        <v>35137</v>
      </c>
    </row>
    <row r="39446" spans="8:8">
      <c r="H39446" t="s">
        <v>35138</v>
      </c>
    </row>
    <row r="39447" spans="8:8">
      <c r="H39447" t="s">
        <v>35139</v>
      </c>
    </row>
    <row r="39448" spans="8:8">
      <c r="H39448" t="s">
        <v>35140</v>
      </c>
    </row>
    <row r="39449" spans="8:8">
      <c r="H39449" t="s">
        <v>35141</v>
      </c>
    </row>
    <row r="39450" spans="8:8">
      <c r="H39450" t="s">
        <v>35142</v>
      </c>
    </row>
    <row r="39451" spans="8:8">
      <c r="H39451" t="s">
        <v>35143</v>
      </c>
    </row>
    <row r="39452" spans="8:8">
      <c r="H39452" t="s">
        <v>35144</v>
      </c>
    </row>
    <row r="39453" spans="8:8">
      <c r="H39453" t="s">
        <v>35145</v>
      </c>
    </row>
    <row r="39454" spans="8:8">
      <c r="H39454" t="s">
        <v>35146</v>
      </c>
    </row>
    <row r="39455" spans="8:8">
      <c r="H39455" t="s">
        <v>35147</v>
      </c>
    </row>
    <row r="39456" spans="8:8">
      <c r="H39456" t="s">
        <v>35148</v>
      </c>
    </row>
    <row r="39457" spans="6:8">
      <c r="H39457" t="s">
        <v>35149</v>
      </c>
    </row>
    <row r="39458" spans="6:8">
      <c r="H39458" t="s">
        <v>35150</v>
      </c>
    </row>
    <row r="39459" spans="6:8">
      <c r="H39459" t="s">
        <v>35151</v>
      </c>
    </row>
    <row r="39460" spans="6:8">
      <c r="H39460" t="s">
        <v>35152</v>
      </c>
    </row>
    <row r="39461" spans="6:8">
      <c r="H39461" t="s">
        <v>35153</v>
      </c>
    </row>
    <row r="39462" spans="6:8">
      <c r="H39462" t="s">
        <v>35154</v>
      </c>
    </row>
    <row r="39463" spans="6:8">
      <c r="H39463" t="s">
        <v>35155</v>
      </c>
    </row>
    <row r="39464" spans="6:8">
      <c r="H39464" t="s">
        <v>35156</v>
      </c>
    </row>
    <row r="39465" spans="6:8">
      <c r="F39465" t="s">
        <v>13928</v>
      </c>
      <c r="G39465" t="s">
        <v>17964</v>
      </c>
      <c r="H39465" t="s">
        <v>35157</v>
      </c>
    </row>
    <row r="39466" spans="6:8">
      <c r="H39466" t="s">
        <v>18829</v>
      </c>
    </row>
    <row r="39467" spans="6:8">
      <c r="H39467" t="s">
        <v>35158</v>
      </c>
    </row>
    <row r="39468" spans="6:8">
      <c r="H39468" t="s">
        <v>35159</v>
      </c>
    </row>
    <row r="39469" spans="6:8">
      <c r="H39469" t="s">
        <v>35160</v>
      </c>
    </row>
    <row r="39470" spans="6:8">
      <c r="H39470" t="s">
        <v>35161</v>
      </c>
    </row>
    <row r="39471" spans="6:8">
      <c r="H39471" t="s">
        <v>35162</v>
      </c>
    </row>
    <row r="39472" spans="6:8">
      <c r="H39472" t="s">
        <v>35162</v>
      </c>
    </row>
    <row r="39473" spans="8:8">
      <c r="H39473" t="s">
        <v>35162</v>
      </c>
    </row>
    <row r="39474" spans="8:8">
      <c r="H39474" t="s">
        <v>35163</v>
      </c>
    </row>
    <row r="39475" spans="8:8">
      <c r="H39475" t="s">
        <v>35164</v>
      </c>
    </row>
    <row r="39476" spans="8:8">
      <c r="H39476" t="s">
        <v>35165</v>
      </c>
    </row>
    <row r="39477" spans="8:8">
      <c r="H39477" t="s">
        <v>35166</v>
      </c>
    </row>
    <row r="39478" spans="8:8">
      <c r="H39478" t="s">
        <v>35167</v>
      </c>
    </row>
    <row r="39479" spans="8:8">
      <c r="H39479" t="s">
        <v>35168</v>
      </c>
    </row>
    <row r="39480" spans="8:8">
      <c r="H39480" t="s">
        <v>35169</v>
      </c>
    </row>
    <row r="39481" spans="8:8">
      <c r="H39481" t="s">
        <v>35170</v>
      </c>
    </row>
    <row r="39482" spans="8:8">
      <c r="H39482" t="s">
        <v>35171</v>
      </c>
    </row>
    <row r="39483" spans="8:8">
      <c r="H39483" t="s">
        <v>35172</v>
      </c>
    </row>
    <row r="39484" spans="8:8">
      <c r="H39484" t="s">
        <v>35173</v>
      </c>
    </row>
    <row r="39485" spans="8:8">
      <c r="H39485" t="s">
        <v>35174</v>
      </c>
    </row>
    <row r="39486" spans="8:8">
      <c r="H39486" t="s">
        <v>35175</v>
      </c>
    </row>
    <row r="39487" spans="8:8">
      <c r="H39487" t="s">
        <v>35176</v>
      </c>
    </row>
    <row r="39488" spans="8:8">
      <c r="H39488" t="s">
        <v>35177</v>
      </c>
    </row>
    <row r="39489" spans="8:8">
      <c r="H39489" t="s">
        <v>35178</v>
      </c>
    </row>
    <row r="39490" spans="8:8">
      <c r="H39490" t="s">
        <v>35179</v>
      </c>
    </row>
    <row r="39491" spans="8:8">
      <c r="H39491" t="s">
        <v>35180</v>
      </c>
    </row>
    <row r="39492" spans="8:8">
      <c r="H39492" t="s">
        <v>35181</v>
      </c>
    </row>
    <row r="39493" spans="8:8">
      <c r="H39493" t="s">
        <v>35182</v>
      </c>
    </row>
    <row r="39494" spans="8:8">
      <c r="H39494" t="s">
        <v>35183</v>
      </c>
    </row>
    <row r="39495" spans="8:8">
      <c r="H39495" t="s">
        <v>35184</v>
      </c>
    </row>
    <row r="39496" spans="8:8">
      <c r="H39496" t="s">
        <v>35185</v>
      </c>
    </row>
    <row r="39497" spans="8:8">
      <c r="H39497" t="s">
        <v>35186</v>
      </c>
    </row>
    <row r="39498" spans="8:8">
      <c r="H39498" t="s">
        <v>35187</v>
      </c>
    </row>
    <row r="39499" spans="8:8">
      <c r="H39499" t="s">
        <v>35188</v>
      </c>
    </row>
    <row r="39500" spans="8:8">
      <c r="H39500" t="s">
        <v>35189</v>
      </c>
    </row>
    <row r="39501" spans="8:8">
      <c r="H39501" t="s">
        <v>35190</v>
      </c>
    </row>
    <row r="39502" spans="8:8">
      <c r="H39502" t="s">
        <v>35191</v>
      </c>
    </row>
    <row r="39503" spans="8:8">
      <c r="H39503" t="s">
        <v>35192</v>
      </c>
    </row>
    <row r="39504" spans="8:8">
      <c r="H39504" t="s">
        <v>35193</v>
      </c>
    </row>
    <row r="39505" spans="6:8">
      <c r="H39505" t="s">
        <v>35194</v>
      </c>
    </row>
    <row r="39506" spans="6:8">
      <c r="H39506" t="s">
        <v>35195</v>
      </c>
    </row>
    <row r="39507" spans="6:8">
      <c r="H39507" t="s">
        <v>35196</v>
      </c>
    </row>
    <row r="39508" spans="6:8">
      <c r="H39508" t="s">
        <v>35197</v>
      </c>
    </row>
    <row r="39509" spans="6:8">
      <c r="H39509" t="s">
        <v>35198</v>
      </c>
    </row>
    <row r="39510" spans="6:8">
      <c r="F39510" t="s">
        <v>12740</v>
      </c>
      <c r="G39510" t="s">
        <v>16932</v>
      </c>
      <c r="H39510" t="s">
        <v>35199</v>
      </c>
    </row>
    <row r="39511" spans="6:8">
      <c r="F39511" t="s">
        <v>10615</v>
      </c>
      <c r="G39511" t="s">
        <v>15018</v>
      </c>
      <c r="H39511" t="s">
        <v>35200</v>
      </c>
    </row>
    <row r="39512" spans="6:8">
      <c r="F39512" t="s">
        <v>10616</v>
      </c>
      <c r="G39512" t="s">
        <v>15019</v>
      </c>
      <c r="H39512" t="s">
        <v>19183</v>
      </c>
    </row>
    <row r="39513" spans="6:8">
      <c r="H39513" t="s">
        <v>19184</v>
      </c>
    </row>
    <row r="39514" spans="6:8">
      <c r="F39514" t="s">
        <v>13133</v>
      </c>
      <c r="G39514" t="s">
        <v>17291</v>
      </c>
      <c r="H39514" t="s">
        <v>35201</v>
      </c>
    </row>
    <row r="39515" spans="6:8">
      <c r="H39515" t="s">
        <v>25716</v>
      </c>
    </row>
    <row r="39516" spans="6:8">
      <c r="H39516" t="s">
        <v>28041</v>
      </c>
    </row>
    <row r="39517" spans="6:8">
      <c r="H39517" t="s">
        <v>28042</v>
      </c>
    </row>
    <row r="39518" spans="6:8">
      <c r="H39518" t="s">
        <v>35202</v>
      </c>
    </row>
    <row r="39519" spans="6:8">
      <c r="H39519" t="s">
        <v>35203</v>
      </c>
    </row>
    <row r="39520" spans="6:8">
      <c r="H39520" t="s">
        <v>35204</v>
      </c>
    </row>
    <row r="39521" spans="6:8">
      <c r="H39521" t="s">
        <v>35205</v>
      </c>
    </row>
    <row r="39522" spans="6:8">
      <c r="H39522" t="s">
        <v>35206</v>
      </c>
    </row>
    <row r="39523" spans="6:8">
      <c r="H39523" t="s">
        <v>18927</v>
      </c>
    </row>
    <row r="39524" spans="6:8">
      <c r="H39524" t="s">
        <v>35207</v>
      </c>
    </row>
    <row r="39525" spans="6:8">
      <c r="H39525" t="s">
        <v>35208</v>
      </c>
    </row>
    <row r="39526" spans="6:8">
      <c r="H39526" t="s">
        <v>25720</v>
      </c>
    </row>
    <row r="39527" spans="6:8">
      <c r="H39527" t="s">
        <v>28043</v>
      </c>
    </row>
    <row r="39528" spans="6:8">
      <c r="H39528" t="s">
        <v>28044</v>
      </c>
    </row>
    <row r="39529" spans="6:8">
      <c r="H39529" t="s">
        <v>28045</v>
      </c>
    </row>
    <row r="39530" spans="6:8">
      <c r="H39530" t="s">
        <v>28046</v>
      </c>
    </row>
    <row r="39531" spans="6:8">
      <c r="H39531" t="s">
        <v>28047</v>
      </c>
    </row>
    <row r="39532" spans="6:8">
      <c r="H39532" t="s">
        <v>28048</v>
      </c>
    </row>
    <row r="39533" spans="6:8">
      <c r="H39533" t="s">
        <v>25704</v>
      </c>
    </row>
    <row r="39534" spans="6:8">
      <c r="F39534" t="s">
        <v>14309</v>
      </c>
      <c r="G39534" t="s">
        <v>18266</v>
      </c>
      <c r="H39534" t="s">
        <v>18924</v>
      </c>
    </row>
    <row r="39535" spans="6:8">
      <c r="H39535" t="s">
        <v>35209</v>
      </c>
    </row>
    <row r="39536" spans="6:8">
      <c r="H39536" t="s">
        <v>35210</v>
      </c>
    </row>
    <row r="39537" spans="6:8">
      <c r="H39537" t="s">
        <v>35211</v>
      </c>
    </row>
    <row r="39538" spans="6:8">
      <c r="H39538" t="s">
        <v>35212</v>
      </c>
    </row>
    <row r="39539" spans="6:8">
      <c r="H39539" t="s">
        <v>35213</v>
      </c>
    </row>
    <row r="39540" spans="6:8">
      <c r="H39540" t="s">
        <v>35214</v>
      </c>
    </row>
    <row r="39541" spans="6:8">
      <c r="H39541" t="s">
        <v>35215</v>
      </c>
    </row>
    <row r="39542" spans="6:8">
      <c r="F39542" t="s">
        <v>14310</v>
      </c>
      <c r="G39542" t="s">
        <v>18267</v>
      </c>
      <c r="H39542" t="s">
        <v>18829</v>
      </c>
    </row>
    <row r="39543" spans="6:8">
      <c r="H39543" t="s">
        <v>35216</v>
      </c>
    </row>
    <row r="39544" spans="6:8">
      <c r="F39544" t="s">
        <v>14210</v>
      </c>
      <c r="G39544" t="s">
        <v>18186</v>
      </c>
      <c r="H39544" t="s">
        <v>18829</v>
      </c>
    </row>
    <row r="39545" spans="6:8">
      <c r="H39545" t="s">
        <v>18863</v>
      </c>
    </row>
    <row r="39546" spans="6:8">
      <c r="H39546" t="s">
        <v>34969</v>
      </c>
    </row>
    <row r="39547" spans="6:8">
      <c r="H39547" t="s">
        <v>35217</v>
      </c>
    </row>
    <row r="39548" spans="6:8">
      <c r="H39548" t="s">
        <v>35218</v>
      </c>
    </row>
    <row r="39549" spans="6:8">
      <c r="H39549" t="s">
        <v>35219</v>
      </c>
    </row>
    <row r="39550" spans="6:8">
      <c r="H39550" t="s">
        <v>35220</v>
      </c>
    </row>
    <row r="39551" spans="6:8">
      <c r="H39551" t="s">
        <v>35221</v>
      </c>
    </row>
    <row r="39552" spans="6:8">
      <c r="H39552" t="s">
        <v>35222</v>
      </c>
    </row>
    <row r="39553" spans="6:8">
      <c r="H39553" t="s">
        <v>35223</v>
      </c>
    </row>
    <row r="39554" spans="6:8">
      <c r="H39554" t="s">
        <v>35224</v>
      </c>
    </row>
    <row r="39555" spans="6:8">
      <c r="F39555" t="s">
        <v>10617</v>
      </c>
      <c r="G39555" t="s">
        <v>15020</v>
      </c>
      <c r="H39555" t="s">
        <v>19183</v>
      </c>
    </row>
    <row r="39556" spans="6:8">
      <c r="H39556" t="s">
        <v>19184</v>
      </c>
    </row>
    <row r="39557" spans="6:8">
      <c r="F39557" t="s">
        <v>10618</v>
      </c>
      <c r="G39557" t="s">
        <v>15021</v>
      </c>
      <c r="H39557" t="s">
        <v>19183</v>
      </c>
    </row>
    <row r="39558" spans="6:8">
      <c r="H39558" t="s">
        <v>19184</v>
      </c>
    </row>
    <row r="39559" spans="6:8">
      <c r="F39559" t="s">
        <v>13556</v>
      </c>
      <c r="G39559" t="s">
        <v>17663</v>
      </c>
      <c r="H39559" t="s">
        <v>35225</v>
      </c>
    </row>
    <row r="39560" spans="6:8">
      <c r="H39560" t="s">
        <v>35226</v>
      </c>
    </row>
    <row r="39561" spans="6:8">
      <c r="H39561" t="s">
        <v>35227</v>
      </c>
    </row>
    <row r="39562" spans="6:8">
      <c r="H39562" t="s">
        <v>35228</v>
      </c>
    </row>
    <row r="39563" spans="6:8">
      <c r="H39563" t="s">
        <v>35229</v>
      </c>
    </row>
    <row r="39564" spans="6:8">
      <c r="H39564" t="s">
        <v>35230</v>
      </c>
    </row>
    <row r="39565" spans="6:8">
      <c r="H39565" t="s">
        <v>35231</v>
      </c>
    </row>
    <row r="39566" spans="6:8">
      <c r="H39566" t="s">
        <v>35232</v>
      </c>
    </row>
    <row r="39567" spans="6:8">
      <c r="H39567" t="s">
        <v>35233</v>
      </c>
    </row>
    <row r="39568" spans="6:8">
      <c r="H39568" t="s">
        <v>35234</v>
      </c>
    </row>
    <row r="39569" spans="6:8">
      <c r="H39569" t="s">
        <v>35235</v>
      </c>
    </row>
    <row r="39570" spans="6:8">
      <c r="H39570" t="s">
        <v>35236</v>
      </c>
    </row>
    <row r="39571" spans="6:8">
      <c r="F39571" t="s">
        <v>14311</v>
      </c>
      <c r="G39571" t="s">
        <v>18268</v>
      </c>
      <c r="H39571" t="s">
        <v>18829</v>
      </c>
    </row>
    <row r="39572" spans="6:8">
      <c r="H39572" t="s">
        <v>35237</v>
      </c>
    </row>
    <row r="39573" spans="6:8">
      <c r="H39573" t="s">
        <v>35238</v>
      </c>
    </row>
    <row r="39574" spans="6:8">
      <c r="H39574" t="s">
        <v>35239</v>
      </c>
    </row>
    <row r="39575" spans="6:8">
      <c r="F39575" t="s">
        <v>14312</v>
      </c>
      <c r="G39575" t="s">
        <v>18269</v>
      </c>
      <c r="H39575" t="s">
        <v>18829</v>
      </c>
    </row>
    <row r="39576" spans="6:8">
      <c r="H39576" t="s">
        <v>18863</v>
      </c>
    </row>
    <row r="39577" spans="6:8">
      <c r="H39577" t="s">
        <v>31527</v>
      </c>
    </row>
    <row r="39578" spans="6:8">
      <c r="H39578" t="s">
        <v>35240</v>
      </c>
    </row>
    <row r="39579" spans="6:8">
      <c r="H39579" t="s">
        <v>35241</v>
      </c>
    </row>
    <row r="39580" spans="6:8">
      <c r="H39580" t="s">
        <v>34968</v>
      </c>
    </row>
    <row r="39581" spans="6:8">
      <c r="H39581" t="s">
        <v>35242</v>
      </c>
    </row>
    <row r="39582" spans="6:8">
      <c r="H39582" t="s">
        <v>35243</v>
      </c>
    </row>
    <row r="39583" spans="6:8">
      <c r="H39583" t="s">
        <v>35244</v>
      </c>
    </row>
    <row r="39584" spans="6:8">
      <c r="H39584" t="s">
        <v>31775</v>
      </c>
    </row>
    <row r="39585" spans="6:8">
      <c r="H39585" t="s">
        <v>35245</v>
      </c>
    </row>
    <row r="39586" spans="6:8">
      <c r="H39586" t="s">
        <v>35246</v>
      </c>
    </row>
    <row r="39587" spans="6:8">
      <c r="F39587" t="s">
        <v>14313</v>
      </c>
      <c r="G39587" t="s">
        <v>18270</v>
      </c>
      <c r="H39587" t="s">
        <v>18836</v>
      </c>
    </row>
    <row r="39588" spans="6:8">
      <c r="H39588" t="s">
        <v>35247</v>
      </c>
    </row>
    <row r="39589" spans="6:8">
      <c r="H39589" t="s">
        <v>35248</v>
      </c>
    </row>
    <row r="39590" spans="6:8">
      <c r="H39590" t="s">
        <v>35249</v>
      </c>
    </row>
    <row r="39591" spans="6:8">
      <c r="H39591" t="s">
        <v>35048</v>
      </c>
    </row>
    <row r="39592" spans="6:8">
      <c r="F39592" t="s">
        <v>10600</v>
      </c>
      <c r="G39592" t="s">
        <v>15003</v>
      </c>
      <c r="H39592" t="s">
        <v>18836</v>
      </c>
    </row>
    <row r="39593" spans="6:8">
      <c r="H39593" t="s">
        <v>35250</v>
      </c>
    </row>
    <row r="39594" spans="6:8">
      <c r="F39594" t="s">
        <v>14314</v>
      </c>
      <c r="G39594" t="s">
        <v>18271</v>
      </c>
      <c r="H39594" t="s">
        <v>35251</v>
      </c>
    </row>
    <row r="39595" spans="6:8">
      <c r="H39595" t="s">
        <v>35252</v>
      </c>
    </row>
    <row r="39596" spans="6:8">
      <c r="H39596" t="s">
        <v>35253</v>
      </c>
    </row>
    <row r="39597" spans="6:8">
      <c r="F39597" t="s">
        <v>13960</v>
      </c>
      <c r="G39597" t="s">
        <v>17986</v>
      </c>
      <c r="H39597" t="s">
        <v>18829</v>
      </c>
    </row>
    <row r="39598" spans="6:8">
      <c r="H39598" t="s">
        <v>35254</v>
      </c>
    </row>
    <row r="39599" spans="6:8">
      <c r="H39599" t="s">
        <v>35255</v>
      </c>
    </row>
    <row r="39600" spans="6:8">
      <c r="H39600" t="s">
        <v>35250</v>
      </c>
    </row>
    <row r="39601" spans="6:8">
      <c r="H39601" t="s">
        <v>35256</v>
      </c>
    </row>
    <row r="39602" spans="6:8">
      <c r="H39602" t="s">
        <v>35257</v>
      </c>
    </row>
    <row r="39603" spans="6:8">
      <c r="H39603" t="s">
        <v>35258</v>
      </c>
    </row>
    <row r="39604" spans="6:8">
      <c r="H39604" t="s">
        <v>35259</v>
      </c>
    </row>
    <row r="39605" spans="6:8">
      <c r="H39605" t="s">
        <v>35260</v>
      </c>
    </row>
    <row r="39606" spans="6:8">
      <c r="H39606" t="s">
        <v>35261</v>
      </c>
    </row>
    <row r="39607" spans="6:8">
      <c r="H39607" t="s">
        <v>35262</v>
      </c>
    </row>
    <row r="39608" spans="6:8">
      <c r="H39608" t="s">
        <v>20340</v>
      </c>
    </row>
    <row r="39609" spans="6:8">
      <c r="F39609" t="s">
        <v>14315</v>
      </c>
      <c r="G39609" t="s">
        <v>18272</v>
      </c>
      <c r="H39609" t="s">
        <v>19981</v>
      </c>
    </row>
    <row r="39610" spans="6:8">
      <c r="H39610" t="s">
        <v>35263</v>
      </c>
    </row>
    <row r="39611" spans="6:8">
      <c r="H39611" t="s">
        <v>34877</v>
      </c>
    </row>
    <row r="39612" spans="6:8">
      <c r="H39612" t="s">
        <v>35264</v>
      </c>
    </row>
    <row r="39613" spans="6:8">
      <c r="H39613" t="s">
        <v>35265</v>
      </c>
    </row>
    <row r="39614" spans="6:8">
      <c r="F39614" t="s">
        <v>10726</v>
      </c>
      <c r="G39614" t="s">
        <v>15125</v>
      </c>
      <c r="H39614" t="s">
        <v>22023</v>
      </c>
    </row>
    <row r="39615" spans="6:8">
      <c r="H39615" t="s">
        <v>35266</v>
      </c>
    </row>
    <row r="39616" spans="6:8">
      <c r="H39616" t="s">
        <v>35267</v>
      </c>
    </row>
    <row r="39617" spans="6:8">
      <c r="H39617" t="s">
        <v>35268</v>
      </c>
    </row>
    <row r="39618" spans="6:8">
      <c r="H39618" t="s">
        <v>35269</v>
      </c>
    </row>
    <row r="39619" spans="6:8">
      <c r="H39619" t="s">
        <v>35270</v>
      </c>
    </row>
    <row r="39620" spans="6:8">
      <c r="H39620" t="s">
        <v>35271</v>
      </c>
    </row>
    <row r="39621" spans="6:8">
      <c r="F39621" t="s">
        <v>11449</v>
      </c>
      <c r="G39621" t="s">
        <v>15689</v>
      </c>
      <c r="H39621" t="s">
        <v>31759</v>
      </c>
    </row>
    <row r="39622" spans="6:8">
      <c r="H39622" t="s">
        <v>35272</v>
      </c>
    </row>
    <row r="39623" spans="6:8">
      <c r="H39623" t="s">
        <v>35273</v>
      </c>
    </row>
    <row r="39624" spans="6:8">
      <c r="H39624" t="s">
        <v>35274</v>
      </c>
    </row>
    <row r="39625" spans="6:8">
      <c r="H39625" t="s">
        <v>35275</v>
      </c>
    </row>
    <row r="39626" spans="6:8">
      <c r="H39626" t="s">
        <v>35276</v>
      </c>
    </row>
    <row r="39627" spans="6:8">
      <c r="H39627" t="s">
        <v>35277</v>
      </c>
    </row>
    <row r="39628" spans="6:8">
      <c r="H39628" t="s">
        <v>35278</v>
      </c>
    </row>
    <row r="39629" spans="6:8">
      <c r="H39629" t="s">
        <v>35279</v>
      </c>
    </row>
    <row r="39630" spans="6:8">
      <c r="H39630" t="s">
        <v>35280</v>
      </c>
    </row>
    <row r="39631" spans="6:8">
      <c r="H39631" t="s">
        <v>35281</v>
      </c>
    </row>
    <row r="39632" spans="6:8">
      <c r="H39632" t="s">
        <v>35282</v>
      </c>
    </row>
    <row r="39633" spans="8:8">
      <c r="H39633" t="s">
        <v>35283</v>
      </c>
    </row>
    <row r="39634" spans="8:8">
      <c r="H39634" t="s">
        <v>35284</v>
      </c>
    </row>
    <row r="39635" spans="8:8">
      <c r="H39635" t="s">
        <v>35285</v>
      </c>
    </row>
    <row r="39636" spans="8:8">
      <c r="H39636" t="s">
        <v>35286</v>
      </c>
    </row>
    <row r="39637" spans="8:8">
      <c r="H39637" t="s">
        <v>35287</v>
      </c>
    </row>
    <row r="39638" spans="8:8">
      <c r="H39638" t="s">
        <v>35288</v>
      </c>
    </row>
    <row r="39639" spans="8:8">
      <c r="H39639" t="s">
        <v>35289</v>
      </c>
    </row>
    <row r="39640" spans="8:8">
      <c r="H39640" t="s">
        <v>35290</v>
      </c>
    </row>
    <row r="39641" spans="8:8">
      <c r="H39641" t="s">
        <v>35290</v>
      </c>
    </row>
    <row r="39642" spans="8:8">
      <c r="H39642" t="s">
        <v>35291</v>
      </c>
    </row>
    <row r="39643" spans="8:8">
      <c r="H39643" t="s">
        <v>35292</v>
      </c>
    </row>
    <row r="39644" spans="8:8">
      <c r="H39644" t="s">
        <v>35293</v>
      </c>
    </row>
    <row r="39645" spans="8:8">
      <c r="H39645" t="s">
        <v>35294</v>
      </c>
    </row>
    <row r="39646" spans="8:8">
      <c r="H39646" t="s">
        <v>35295</v>
      </c>
    </row>
    <row r="39647" spans="8:8">
      <c r="H39647" t="s">
        <v>35296</v>
      </c>
    </row>
    <row r="39648" spans="8:8">
      <c r="H39648" t="s">
        <v>35297</v>
      </c>
    </row>
    <row r="39649" spans="6:8">
      <c r="H39649" t="s">
        <v>35298</v>
      </c>
    </row>
    <row r="39650" spans="6:8">
      <c r="H39650" t="s">
        <v>35299</v>
      </c>
    </row>
    <row r="39651" spans="6:8">
      <c r="H39651" t="s">
        <v>35300</v>
      </c>
    </row>
    <row r="39652" spans="6:8">
      <c r="H39652" t="s">
        <v>35301</v>
      </c>
    </row>
    <row r="39653" spans="6:8">
      <c r="H39653" t="s">
        <v>35302</v>
      </c>
    </row>
    <row r="39654" spans="6:8">
      <c r="H39654" t="s">
        <v>35303</v>
      </c>
    </row>
    <row r="39655" spans="6:8">
      <c r="H39655" t="s">
        <v>35304</v>
      </c>
    </row>
    <row r="39656" spans="6:8">
      <c r="H39656" t="s">
        <v>35305</v>
      </c>
    </row>
    <row r="39657" spans="6:8">
      <c r="H39657" t="s">
        <v>35306</v>
      </c>
    </row>
    <row r="39658" spans="6:8">
      <c r="F39658" t="s">
        <v>14316</v>
      </c>
      <c r="G39658" t="s">
        <v>18273</v>
      </c>
      <c r="H39658" t="s">
        <v>35307</v>
      </c>
    </row>
    <row r="39659" spans="6:8">
      <c r="F39659" t="s">
        <v>14317</v>
      </c>
      <c r="G39659" t="s">
        <v>18274</v>
      </c>
      <c r="H39659" t="s">
        <v>35308</v>
      </c>
    </row>
    <row r="39660" spans="6:8">
      <c r="H39660" t="s">
        <v>35309</v>
      </c>
    </row>
    <row r="39661" spans="6:8">
      <c r="H39661" t="s">
        <v>35310</v>
      </c>
    </row>
    <row r="39662" spans="6:8">
      <c r="H39662" t="s">
        <v>35311</v>
      </c>
    </row>
    <row r="39663" spans="6:8">
      <c r="H39663" t="s">
        <v>35312</v>
      </c>
    </row>
    <row r="39664" spans="6:8">
      <c r="H39664" t="s">
        <v>35312</v>
      </c>
    </row>
    <row r="39665" spans="6:8">
      <c r="H39665" t="s">
        <v>35313</v>
      </c>
    </row>
    <row r="39666" spans="6:8">
      <c r="H39666" t="s">
        <v>19333</v>
      </c>
    </row>
    <row r="39667" spans="6:8">
      <c r="H39667" t="s">
        <v>35314</v>
      </c>
    </row>
    <row r="39668" spans="6:8">
      <c r="H39668" t="s">
        <v>35315</v>
      </c>
    </row>
    <row r="39669" spans="6:8">
      <c r="H39669" t="s">
        <v>35316</v>
      </c>
    </row>
    <row r="39670" spans="6:8">
      <c r="F39670" t="s">
        <v>14318</v>
      </c>
      <c r="G39670" t="s">
        <v>18275</v>
      </c>
      <c r="H39670" t="s">
        <v>35317</v>
      </c>
    </row>
    <row r="39671" spans="6:8">
      <c r="F39671" t="s">
        <v>14319</v>
      </c>
      <c r="G39671" t="s">
        <v>18276</v>
      </c>
      <c r="H39671" t="s">
        <v>18836</v>
      </c>
    </row>
    <row r="39672" spans="6:8">
      <c r="F39672" t="s">
        <v>14320</v>
      </c>
      <c r="G39672" t="s">
        <v>18277</v>
      </c>
      <c r="H39672" t="s">
        <v>30172</v>
      </c>
    </row>
    <row r="39673" spans="6:8">
      <c r="H39673" t="s">
        <v>35318</v>
      </c>
    </row>
    <row r="39674" spans="6:8">
      <c r="H39674" t="s">
        <v>35319</v>
      </c>
    </row>
    <row r="39675" spans="6:8">
      <c r="H39675" t="s">
        <v>35320</v>
      </c>
    </row>
    <row r="39676" spans="6:8">
      <c r="H39676" t="s">
        <v>35321</v>
      </c>
    </row>
    <row r="39677" spans="6:8">
      <c r="H39677" t="s">
        <v>35322</v>
      </c>
    </row>
    <row r="39678" spans="6:8">
      <c r="F39678" t="s">
        <v>14321</v>
      </c>
      <c r="G39678" t="s">
        <v>18278</v>
      </c>
      <c r="H39678" t="s">
        <v>35323</v>
      </c>
    </row>
    <row r="39679" spans="6:8">
      <c r="H39679" t="s">
        <v>35324</v>
      </c>
    </row>
    <row r="39680" spans="6:8">
      <c r="H39680" t="s">
        <v>35325</v>
      </c>
    </row>
    <row r="39681" spans="6:8">
      <c r="H39681" t="s">
        <v>35326</v>
      </c>
    </row>
    <row r="39682" spans="6:8">
      <c r="H39682" t="s">
        <v>35327</v>
      </c>
    </row>
    <row r="39683" spans="6:8">
      <c r="H39683" t="s">
        <v>35328</v>
      </c>
    </row>
    <row r="39684" spans="6:8">
      <c r="F39684" t="s">
        <v>14322</v>
      </c>
      <c r="G39684" t="s">
        <v>18279</v>
      </c>
      <c r="H39684" t="s">
        <v>27516</v>
      </c>
    </row>
    <row r="39685" spans="6:8">
      <c r="H39685" t="s">
        <v>22358</v>
      </c>
    </row>
    <row r="39686" spans="6:8">
      <c r="H39686" t="s">
        <v>35329</v>
      </c>
    </row>
    <row r="39687" spans="6:8">
      <c r="H39687" t="s">
        <v>35330</v>
      </c>
    </row>
    <row r="39688" spans="6:8">
      <c r="F39688" t="s">
        <v>14323</v>
      </c>
      <c r="G39688" t="s">
        <v>18280</v>
      </c>
      <c r="H39688" t="s">
        <v>18829</v>
      </c>
    </row>
    <row r="39689" spans="6:8">
      <c r="H39689" t="s">
        <v>18863</v>
      </c>
    </row>
    <row r="39690" spans="6:8">
      <c r="H39690" t="s">
        <v>35331</v>
      </c>
    </row>
    <row r="39691" spans="6:8">
      <c r="H39691" t="s">
        <v>35332</v>
      </c>
    </row>
    <row r="39692" spans="6:8">
      <c r="H39692" t="s">
        <v>35333</v>
      </c>
    </row>
    <row r="39693" spans="6:8">
      <c r="H39693" t="s">
        <v>29840</v>
      </c>
    </row>
    <row r="39694" spans="6:8">
      <c r="H39694" t="s">
        <v>35334</v>
      </c>
    </row>
    <row r="39695" spans="6:8">
      <c r="H39695" t="s">
        <v>35335</v>
      </c>
    </row>
    <row r="39696" spans="6:8">
      <c r="H39696" t="s">
        <v>19007</v>
      </c>
    </row>
    <row r="39697" spans="6:8">
      <c r="H39697" t="s">
        <v>35336</v>
      </c>
    </row>
    <row r="39698" spans="6:8">
      <c r="F39698" t="s">
        <v>14324</v>
      </c>
      <c r="G39698" t="s">
        <v>18281</v>
      </c>
      <c r="H39698" t="s">
        <v>35337</v>
      </c>
    </row>
    <row r="39699" spans="6:8">
      <c r="H39699" t="s">
        <v>35338</v>
      </c>
    </row>
    <row r="39700" spans="6:8">
      <c r="H39700" t="s">
        <v>35339</v>
      </c>
    </row>
    <row r="39701" spans="6:8">
      <c r="H39701" t="s">
        <v>35340</v>
      </c>
    </row>
    <row r="39702" spans="6:8">
      <c r="H39702" t="s">
        <v>35341</v>
      </c>
    </row>
    <row r="39703" spans="6:8">
      <c r="H39703" t="s">
        <v>35342</v>
      </c>
    </row>
    <row r="39704" spans="6:8">
      <c r="F39704" t="s">
        <v>14102</v>
      </c>
      <c r="G39704" t="s">
        <v>18095</v>
      </c>
      <c r="H39704" t="s">
        <v>34079</v>
      </c>
    </row>
    <row r="39705" spans="6:8">
      <c r="H39705" t="s">
        <v>34080</v>
      </c>
    </row>
    <row r="39706" spans="6:8">
      <c r="H39706" t="s">
        <v>18829</v>
      </c>
    </row>
    <row r="39707" spans="6:8">
      <c r="H39707" t="s">
        <v>18863</v>
      </c>
    </row>
    <row r="39708" spans="6:8">
      <c r="H39708" t="s">
        <v>35343</v>
      </c>
    </row>
    <row r="39709" spans="6:8">
      <c r="H39709" t="s">
        <v>19019</v>
      </c>
    </row>
    <row r="39710" spans="6:8">
      <c r="H39710" t="s">
        <v>35344</v>
      </c>
    </row>
    <row r="39711" spans="6:8">
      <c r="H39711" t="s">
        <v>35345</v>
      </c>
    </row>
    <row r="39712" spans="6:8">
      <c r="H39712" t="s">
        <v>35346</v>
      </c>
    </row>
    <row r="39713" spans="1:8">
      <c r="H39713" t="s">
        <v>35347</v>
      </c>
    </row>
    <row r="39714" spans="1:8">
      <c r="H39714" t="s">
        <v>35348</v>
      </c>
    </row>
    <row r="39715" spans="1:8">
      <c r="H39715" t="s">
        <v>35349</v>
      </c>
    </row>
    <row r="39716" spans="1:8">
      <c r="H39716" t="s">
        <v>35350</v>
      </c>
    </row>
    <row r="39717" spans="1:8">
      <c r="H39717" t="s">
        <v>35351</v>
      </c>
    </row>
    <row r="39718" spans="1:8">
      <c r="H39718" t="s">
        <v>35352</v>
      </c>
    </row>
    <row r="39719" spans="1:8">
      <c r="H39719" t="s">
        <v>35353</v>
      </c>
    </row>
    <row r="39720" spans="1:8">
      <c r="H39720" t="s">
        <v>35354</v>
      </c>
    </row>
    <row r="39721" spans="1:8">
      <c r="H39721" t="s">
        <v>35355</v>
      </c>
    </row>
    <row r="39722" spans="1:8">
      <c r="H39722" t="s">
        <v>24966</v>
      </c>
    </row>
    <row r="39723" spans="1:8">
      <c r="H39723" t="s">
        <v>35356</v>
      </c>
    </row>
    <row r="39724" spans="1:8">
      <c r="H39724" t="s">
        <v>35357</v>
      </c>
    </row>
    <row r="39725" spans="1:8">
      <c r="H39725" t="s">
        <v>35358</v>
      </c>
    </row>
    <row r="39726" spans="1:8">
      <c r="H39726" t="s">
        <v>35359</v>
      </c>
    </row>
    <row r="39727" spans="1:8">
      <c r="A39727" t="s">
        <v>3507</v>
      </c>
      <c r="B39727">
        <f>HYPERLINK("https://android.googlesource.com/platform/cts/+/1e7db08346f5634967f8328fd48a265c6d7b001b", "1e7db08346f5634967f8328fd48a265c6d7b001b")</f>
        <v>0</v>
      </c>
      <c r="C39727">
        <f>HYPERLINK("https://android.googlesource.com/platform/cts/+/ce5ac3c10780be2aab4f37342150eca46cc415d7", "ce5ac3c10780be2aab4f37342150eca46cc415d7")</f>
        <v>0</v>
      </c>
      <c r="D39727" t="s">
        <v>5577</v>
      </c>
      <c r="E39727" t="s">
        <v>9201</v>
      </c>
      <c r="F39727" t="s">
        <v>13972</v>
      </c>
      <c r="G39727" t="s">
        <v>17997</v>
      </c>
      <c r="H39727" t="s">
        <v>35364</v>
      </c>
    </row>
    <row r="39728" spans="1:8">
      <c r="H39728" t="s">
        <v>35365</v>
      </c>
    </row>
    <row r="39729" spans="1:8">
      <c r="H39729" t="s">
        <v>35366</v>
      </c>
    </row>
    <row r="39730" spans="1:8">
      <c r="H39730" t="s">
        <v>35367</v>
      </c>
    </row>
    <row r="39731" spans="1:8">
      <c r="H39731" t="s">
        <v>35368</v>
      </c>
    </row>
    <row r="39732" spans="1:8">
      <c r="H39732" t="s">
        <v>35369</v>
      </c>
    </row>
    <row r="39733" spans="1:8">
      <c r="A39733" t="s">
        <v>3508</v>
      </c>
      <c r="B39733">
        <f>HYPERLINK("https://android.googlesource.com/platform/cts/+/6955d33cabced75ae1992638d0c2b7d2986ff53a", "6955d33cabced75ae1992638d0c2b7d2986ff53a")</f>
        <v>0</v>
      </c>
      <c r="C39733">
        <f>HYPERLINK("https://android.googlesource.com/platform/cts/+/0d43f7e9de7b3a689ec72a2db259160540f9a4f4", "0d43f7e9de7b3a689ec72a2db259160540f9a4f4")</f>
        <v>0</v>
      </c>
      <c r="D39733" t="s">
        <v>5576</v>
      </c>
      <c r="E39733" t="s">
        <v>9202</v>
      </c>
      <c r="F39733" t="s">
        <v>13857</v>
      </c>
      <c r="G39733" t="s">
        <v>17899</v>
      </c>
      <c r="H39733" t="s">
        <v>18829</v>
      </c>
    </row>
    <row r="39734" spans="1:8">
      <c r="H39734" t="s">
        <v>18863</v>
      </c>
    </row>
    <row r="39735" spans="1:8">
      <c r="H39735" t="s">
        <v>34807</v>
      </c>
    </row>
    <row r="39736" spans="1:8">
      <c r="H39736" t="s">
        <v>34808</v>
      </c>
    </row>
    <row r="39737" spans="1:8">
      <c r="H39737" t="s">
        <v>34809</v>
      </c>
    </row>
    <row r="39738" spans="1:8">
      <c r="H39738" t="s">
        <v>34810</v>
      </c>
    </row>
    <row r="39739" spans="1:8">
      <c r="H39739" t="s">
        <v>34811</v>
      </c>
    </row>
    <row r="39740" spans="1:8">
      <c r="H39740" t="s">
        <v>34812</v>
      </c>
    </row>
    <row r="39741" spans="1:8">
      <c r="H39741" t="s">
        <v>34813</v>
      </c>
    </row>
    <row r="39742" spans="1:8">
      <c r="F39742" t="s">
        <v>13976</v>
      </c>
      <c r="G39742" t="s">
        <v>18001</v>
      </c>
      <c r="H39742" t="s">
        <v>18829</v>
      </c>
    </row>
    <row r="39743" spans="1:8">
      <c r="H39743" t="s">
        <v>18863</v>
      </c>
    </row>
    <row r="39744" spans="1:8">
      <c r="H39744" t="s">
        <v>34814</v>
      </c>
    </row>
    <row r="39745" spans="6:8">
      <c r="H39745" t="s">
        <v>34815</v>
      </c>
    </row>
    <row r="39746" spans="6:8">
      <c r="H39746" t="s">
        <v>34816</v>
      </c>
    </row>
    <row r="39747" spans="6:8">
      <c r="H39747" t="s">
        <v>34817</v>
      </c>
    </row>
    <row r="39748" spans="6:8">
      <c r="H39748" t="s">
        <v>34818</v>
      </c>
    </row>
    <row r="39749" spans="6:8">
      <c r="H39749" t="s">
        <v>34819</v>
      </c>
    </row>
    <row r="39750" spans="6:8">
      <c r="H39750" t="s">
        <v>34820</v>
      </c>
    </row>
    <row r="39751" spans="6:8">
      <c r="H39751" t="s">
        <v>34821</v>
      </c>
    </row>
    <row r="39752" spans="6:8">
      <c r="H39752" t="s">
        <v>34822</v>
      </c>
    </row>
    <row r="39753" spans="6:8">
      <c r="F39753" t="s">
        <v>13977</v>
      </c>
      <c r="G39753" t="s">
        <v>18002</v>
      </c>
      <c r="H39753" t="s">
        <v>34823</v>
      </c>
    </row>
    <row r="39754" spans="6:8">
      <c r="H39754" t="s">
        <v>18930</v>
      </c>
    </row>
    <row r="39755" spans="6:8">
      <c r="H39755" t="s">
        <v>19372</v>
      </c>
    </row>
    <row r="39756" spans="6:8">
      <c r="H39756" t="s">
        <v>34824</v>
      </c>
    </row>
    <row r="39757" spans="6:8">
      <c r="H39757" t="s">
        <v>34825</v>
      </c>
    </row>
    <row r="39758" spans="6:8">
      <c r="H39758" t="s">
        <v>34826</v>
      </c>
    </row>
    <row r="39759" spans="6:8">
      <c r="H39759" t="s">
        <v>34827</v>
      </c>
    </row>
    <row r="39760" spans="6:8">
      <c r="H39760" t="s">
        <v>31669</v>
      </c>
    </row>
    <row r="39761" spans="6:8">
      <c r="H39761" t="s">
        <v>32387</v>
      </c>
    </row>
    <row r="39762" spans="6:8">
      <c r="H39762" t="s">
        <v>34828</v>
      </c>
    </row>
    <row r="39763" spans="6:8">
      <c r="H39763" t="s">
        <v>31986</v>
      </c>
    </row>
    <row r="39764" spans="6:8">
      <c r="H39764" t="s">
        <v>34829</v>
      </c>
    </row>
    <row r="39765" spans="6:8">
      <c r="H39765" t="s">
        <v>34830</v>
      </c>
    </row>
    <row r="39766" spans="6:8">
      <c r="H39766" t="s">
        <v>34831</v>
      </c>
    </row>
    <row r="39767" spans="6:8">
      <c r="H39767" t="s">
        <v>34832</v>
      </c>
    </row>
    <row r="39768" spans="6:8">
      <c r="H39768" t="s">
        <v>18829</v>
      </c>
    </row>
    <row r="39769" spans="6:8">
      <c r="H39769" t="s">
        <v>18863</v>
      </c>
    </row>
    <row r="39770" spans="6:8">
      <c r="H39770" t="s">
        <v>33907</v>
      </c>
    </row>
    <row r="39771" spans="6:8">
      <c r="H39771" t="s">
        <v>33908</v>
      </c>
    </row>
    <row r="39772" spans="6:8">
      <c r="F39772" t="s">
        <v>12416</v>
      </c>
      <c r="G39772" t="s">
        <v>16638</v>
      </c>
      <c r="H39772" t="s">
        <v>26496</v>
      </c>
    </row>
    <row r="39773" spans="6:8">
      <c r="H39773" t="s">
        <v>18829</v>
      </c>
    </row>
    <row r="39774" spans="6:8">
      <c r="H39774" t="s">
        <v>18863</v>
      </c>
    </row>
    <row r="39775" spans="6:8">
      <c r="H39775" t="s">
        <v>34833</v>
      </c>
    </row>
    <row r="39776" spans="6:8">
      <c r="H39776" t="s">
        <v>34834</v>
      </c>
    </row>
    <row r="39777" spans="8:8">
      <c r="H39777" t="s">
        <v>34835</v>
      </c>
    </row>
    <row r="39778" spans="8:8">
      <c r="H39778" t="s">
        <v>29215</v>
      </c>
    </row>
    <row r="39779" spans="8:8">
      <c r="H39779" t="s">
        <v>27130</v>
      </c>
    </row>
    <row r="39780" spans="8:8">
      <c r="H39780" t="s">
        <v>34836</v>
      </c>
    </row>
    <row r="39781" spans="8:8">
      <c r="H39781" t="s">
        <v>34837</v>
      </c>
    </row>
    <row r="39782" spans="8:8">
      <c r="H39782" t="s">
        <v>34838</v>
      </c>
    </row>
    <row r="39783" spans="8:8">
      <c r="H39783" t="s">
        <v>34839</v>
      </c>
    </row>
    <row r="39784" spans="8:8">
      <c r="H39784" t="s">
        <v>34840</v>
      </c>
    </row>
    <row r="39785" spans="8:8">
      <c r="H39785" t="s">
        <v>34841</v>
      </c>
    </row>
    <row r="39786" spans="8:8">
      <c r="H39786" t="s">
        <v>34842</v>
      </c>
    </row>
    <row r="39787" spans="8:8">
      <c r="H39787" t="s">
        <v>34843</v>
      </c>
    </row>
    <row r="39788" spans="8:8">
      <c r="H39788" t="s">
        <v>34844</v>
      </c>
    </row>
    <row r="39789" spans="8:8">
      <c r="H39789" t="s">
        <v>34845</v>
      </c>
    </row>
    <row r="39790" spans="8:8">
      <c r="H39790" t="s">
        <v>34846</v>
      </c>
    </row>
    <row r="39791" spans="8:8">
      <c r="H39791" t="s">
        <v>34847</v>
      </c>
    </row>
    <row r="39792" spans="8:8">
      <c r="H39792" t="s">
        <v>31500</v>
      </c>
    </row>
    <row r="39793" spans="8:8">
      <c r="H39793" t="s">
        <v>34848</v>
      </c>
    </row>
    <row r="39794" spans="8:8">
      <c r="H39794" t="s">
        <v>34051</v>
      </c>
    </row>
    <row r="39795" spans="8:8">
      <c r="H39795" t="s">
        <v>34052</v>
      </c>
    </row>
    <row r="39796" spans="8:8">
      <c r="H39796" t="s">
        <v>34849</v>
      </c>
    </row>
    <row r="39797" spans="8:8">
      <c r="H39797" t="s">
        <v>34850</v>
      </c>
    </row>
    <row r="39798" spans="8:8">
      <c r="H39798" t="s">
        <v>34851</v>
      </c>
    </row>
    <row r="39799" spans="8:8">
      <c r="H39799" t="s">
        <v>26751</v>
      </c>
    </row>
    <row r="39800" spans="8:8">
      <c r="H39800" t="s">
        <v>34852</v>
      </c>
    </row>
    <row r="39801" spans="8:8">
      <c r="H39801" t="s">
        <v>34853</v>
      </c>
    </row>
    <row r="39802" spans="8:8">
      <c r="H39802" t="s">
        <v>34854</v>
      </c>
    </row>
    <row r="39803" spans="8:8">
      <c r="H39803" t="s">
        <v>34855</v>
      </c>
    </row>
    <row r="39804" spans="8:8">
      <c r="H39804" t="s">
        <v>34856</v>
      </c>
    </row>
    <row r="39805" spans="8:8">
      <c r="H39805" t="s">
        <v>34857</v>
      </c>
    </row>
    <row r="39806" spans="8:8">
      <c r="H39806" t="s">
        <v>34858</v>
      </c>
    </row>
    <row r="39807" spans="8:8">
      <c r="H39807" t="s">
        <v>34859</v>
      </c>
    </row>
    <row r="39808" spans="8:8">
      <c r="H39808" t="s">
        <v>34860</v>
      </c>
    </row>
    <row r="39809" spans="6:8">
      <c r="H39809" t="s">
        <v>34861</v>
      </c>
    </row>
    <row r="39810" spans="6:8">
      <c r="H39810" t="s">
        <v>34862</v>
      </c>
    </row>
    <row r="39811" spans="6:8">
      <c r="H39811" t="s">
        <v>34863</v>
      </c>
    </row>
    <row r="39812" spans="6:8">
      <c r="H39812" t="s">
        <v>34864</v>
      </c>
    </row>
    <row r="39813" spans="6:8">
      <c r="H39813" t="s">
        <v>34865</v>
      </c>
    </row>
    <row r="39814" spans="6:8">
      <c r="H39814" t="s">
        <v>34866</v>
      </c>
    </row>
    <row r="39815" spans="6:8">
      <c r="H39815" t="s">
        <v>34866</v>
      </c>
    </row>
    <row r="39816" spans="6:8">
      <c r="H39816" t="s">
        <v>34867</v>
      </c>
    </row>
    <row r="39817" spans="6:8">
      <c r="H39817" t="s">
        <v>34868</v>
      </c>
    </row>
    <row r="39818" spans="6:8">
      <c r="H39818" t="s">
        <v>34869</v>
      </c>
    </row>
    <row r="39819" spans="6:8">
      <c r="H39819" t="s">
        <v>19019</v>
      </c>
    </row>
    <row r="39820" spans="6:8">
      <c r="H39820" t="s">
        <v>34870</v>
      </c>
    </row>
    <row r="39821" spans="6:8">
      <c r="H39821" t="s">
        <v>32277</v>
      </c>
    </row>
    <row r="39822" spans="6:8">
      <c r="H39822" t="s">
        <v>19019</v>
      </c>
    </row>
    <row r="39823" spans="6:8">
      <c r="H39823" t="s">
        <v>24966</v>
      </c>
    </row>
    <row r="39824" spans="6:8">
      <c r="F39824" t="s">
        <v>14304</v>
      </c>
      <c r="G39824" t="s">
        <v>18262</v>
      </c>
      <c r="H39824" t="s">
        <v>20244</v>
      </c>
    </row>
    <row r="39825" spans="6:8">
      <c r="H39825" t="s">
        <v>19233</v>
      </c>
    </row>
    <row r="39826" spans="6:8">
      <c r="H39826" t="s">
        <v>18829</v>
      </c>
    </row>
    <row r="39827" spans="6:8">
      <c r="H39827" t="s">
        <v>34871</v>
      </c>
    </row>
    <row r="39828" spans="6:8">
      <c r="H39828" t="s">
        <v>25643</v>
      </c>
    </row>
    <row r="39829" spans="6:8">
      <c r="H39829" t="s">
        <v>31039</v>
      </c>
    </row>
    <row r="39830" spans="6:8">
      <c r="H39830" t="s">
        <v>34872</v>
      </c>
    </row>
    <row r="39831" spans="6:8">
      <c r="H39831" t="s">
        <v>34873</v>
      </c>
    </row>
    <row r="39832" spans="6:8">
      <c r="H39832" t="s">
        <v>34874</v>
      </c>
    </row>
    <row r="39833" spans="6:8">
      <c r="H39833" t="s">
        <v>34875</v>
      </c>
    </row>
    <row r="39834" spans="6:8">
      <c r="H39834" t="s">
        <v>31037</v>
      </c>
    </row>
    <row r="39835" spans="6:8">
      <c r="F39835" t="s">
        <v>13941</v>
      </c>
      <c r="G39835" t="s">
        <v>17972</v>
      </c>
      <c r="H39835" t="s">
        <v>18829</v>
      </c>
    </row>
    <row r="39836" spans="6:8">
      <c r="H39836" t="s">
        <v>32340</v>
      </c>
    </row>
    <row r="39837" spans="6:8">
      <c r="H39837" t="s">
        <v>32342</v>
      </c>
    </row>
    <row r="39838" spans="6:8">
      <c r="H39838" t="s">
        <v>32341</v>
      </c>
    </row>
    <row r="39839" spans="6:8">
      <c r="H39839" t="s">
        <v>32343</v>
      </c>
    </row>
    <row r="39840" spans="6:8">
      <c r="F39840" t="s">
        <v>14305</v>
      </c>
      <c r="G39840" t="s">
        <v>18005</v>
      </c>
      <c r="H39840" t="s">
        <v>19981</v>
      </c>
    </row>
    <row r="39841" spans="6:8">
      <c r="H39841" t="s">
        <v>34876</v>
      </c>
    </row>
    <row r="39842" spans="6:8">
      <c r="H39842" t="s">
        <v>34877</v>
      </c>
    </row>
    <row r="39843" spans="6:8">
      <c r="H39843" t="s">
        <v>34878</v>
      </c>
    </row>
    <row r="39844" spans="6:8">
      <c r="H39844" t="s">
        <v>34879</v>
      </c>
    </row>
    <row r="39845" spans="6:8">
      <c r="F39845" t="s">
        <v>14234</v>
      </c>
      <c r="G39845" t="s">
        <v>18204</v>
      </c>
      <c r="H39845" t="s">
        <v>18829</v>
      </c>
    </row>
    <row r="39846" spans="6:8">
      <c r="H39846" t="s">
        <v>18863</v>
      </c>
    </row>
    <row r="39847" spans="6:8">
      <c r="H39847" t="s">
        <v>34880</v>
      </c>
    </row>
    <row r="39848" spans="6:8">
      <c r="H39848" t="s">
        <v>34881</v>
      </c>
    </row>
    <row r="39849" spans="6:8">
      <c r="H39849" t="s">
        <v>34882</v>
      </c>
    </row>
    <row r="39850" spans="6:8">
      <c r="H39850" t="s">
        <v>34883</v>
      </c>
    </row>
    <row r="39851" spans="6:8">
      <c r="H39851" t="s">
        <v>34884</v>
      </c>
    </row>
    <row r="39852" spans="6:8">
      <c r="H39852" t="s">
        <v>34885</v>
      </c>
    </row>
    <row r="39853" spans="6:8">
      <c r="H39853" t="s">
        <v>34886</v>
      </c>
    </row>
    <row r="39854" spans="6:8">
      <c r="H39854" t="s">
        <v>34887</v>
      </c>
    </row>
    <row r="39855" spans="6:8">
      <c r="H39855" t="s">
        <v>34888</v>
      </c>
    </row>
    <row r="39856" spans="6:8">
      <c r="H39856" t="s">
        <v>34889</v>
      </c>
    </row>
    <row r="39857" spans="8:8">
      <c r="H39857" t="s">
        <v>34890</v>
      </c>
    </row>
    <row r="39858" spans="8:8">
      <c r="H39858" t="s">
        <v>34891</v>
      </c>
    </row>
    <row r="39859" spans="8:8">
      <c r="H39859" t="s">
        <v>34891</v>
      </c>
    </row>
    <row r="39860" spans="8:8">
      <c r="H39860" t="s">
        <v>34892</v>
      </c>
    </row>
    <row r="39861" spans="8:8">
      <c r="H39861" t="s">
        <v>34893</v>
      </c>
    </row>
    <row r="39862" spans="8:8">
      <c r="H39862" t="s">
        <v>34894</v>
      </c>
    </row>
    <row r="39863" spans="8:8">
      <c r="H39863" t="s">
        <v>34895</v>
      </c>
    </row>
    <row r="39864" spans="8:8">
      <c r="H39864" t="s">
        <v>34896</v>
      </c>
    </row>
    <row r="39865" spans="8:8">
      <c r="H39865" t="s">
        <v>34897</v>
      </c>
    </row>
    <row r="39866" spans="8:8">
      <c r="H39866" t="s">
        <v>34898</v>
      </c>
    </row>
    <row r="39867" spans="8:8">
      <c r="H39867" t="s">
        <v>34899</v>
      </c>
    </row>
    <row r="39868" spans="8:8">
      <c r="H39868" t="s">
        <v>34900</v>
      </c>
    </row>
    <row r="39869" spans="8:8">
      <c r="H39869" t="s">
        <v>34900</v>
      </c>
    </row>
    <row r="39870" spans="8:8">
      <c r="H39870" t="s">
        <v>34901</v>
      </c>
    </row>
    <row r="39871" spans="8:8">
      <c r="H39871" t="s">
        <v>34902</v>
      </c>
    </row>
    <row r="39872" spans="8:8">
      <c r="H39872" t="s">
        <v>34020</v>
      </c>
    </row>
    <row r="39873" spans="6:8">
      <c r="H39873" t="s">
        <v>34903</v>
      </c>
    </row>
    <row r="39874" spans="6:8">
      <c r="H39874" t="s">
        <v>19019</v>
      </c>
    </row>
    <row r="39875" spans="6:8">
      <c r="H39875" t="s">
        <v>34904</v>
      </c>
    </row>
    <row r="39876" spans="6:8">
      <c r="F39876" t="s">
        <v>10700</v>
      </c>
      <c r="G39876" t="s">
        <v>15100</v>
      </c>
      <c r="H39876" t="s">
        <v>18829</v>
      </c>
    </row>
    <row r="39877" spans="6:8">
      <c r="H39877" t="s">
        <v>18863</v>
      </c>
    </row>
    <row r="39878" spans="6:8">
      <c r="H39878" t="s">
        <v>34905</v>
      </c>
    </row>
    <row r="39879" spans="6:8">
      <c r="H39879" t="s">
        <v>34906</v>
      </c>
    </row>
    <row r="39880" spans="6:8">
      <c r="H39880" t="s">
        <v>22508</v>
      </c>
    </row>
    <row r="39881" spans="6:8">
      <c r="H39881" t="s">
        <v>34907</v>
      </c>
    </row>
    <row r="39882" spans="6:8">
      <c r="H39882" t="s">
        <v>34908</v>
      </c>
    </row>
    <row r="39883" spans="6:8">
      <c r="H39883" t="s">
        <v>34909</v>
      </c>
    </row>
    <row r="39884" spans="6:8">
      <c r="H39884" t="s">
        <v>34910</v>
      </c>
    </row>
    <row r="39885" spans="6:8">
      <c r="H39885" t="s">
        <v>34911</v>
      </c>
    </row>
    <row r="39886" spans="6:8">
      <c r="H39886" t="s">
        <v>34912</v>
      </c>
    </row>
    <row r="39887" spans="6:8">
      <c r="H39887" t="s">
        <v>34913</v>
      </c>
    </row>
    <row r="39888" spans="6:8">
      <c r="H39888" t="s">
        <v>34914</v>
      </c>
    </row>
    <row r="39889" spans="8:8">
      <c r="H39889" t="s">
        <v>34915</v>
      </c>
    </row>
    <row r="39890" spans="8:8">
      <c r="H39890" t="s">
        <v>34916</v>
      </c>
    </row>
    <row r="39891" spans="8:8">
      <c r="H39891" t="s">
        <v>34917</v>
      </c>
    </row>
    <row r="39892" spans="8:8">
      <c r="H39892" t="s">
        <v>25838</v>
      </c>
    </row>
    <row r="39893" spans="8:8">
      <c r="H39893" t="s">
        <v>34918</v>
      </c>
    </row>
    <row r="39894" spans="8:8">
      <c r="H39894" t="s">
        <v>34919</v>
      </c>
    </row>
    <row r="39895" spans="8:8">
      <c r="H39895" t="s">
        <v>34920</v>
      </c>
    </row>
    <row r="39896" spans="8:8">
      <c r="H39896" t="s">
        <v>25839</v>
      </c>
    </row>
    <row r="39897" spans="8:8">
      <c r="H39897" t="s">
        <v>27479</v>
      </c>
    </row>
    <row r="39898" spans="8:8">
      <c r="H39898" t="s">
        <v>32382</v>
      </c>
    </row>
    <row r="39899" spans="8:8">
      <c r="H39899" t="s">
        <v>34921</v>
      </c>
    </row>
    <row r="39900" spans="8:8">
      <c r="H39900" t="s">
        <v>34922</v>
      </c>
    </row>
    <row r="39901" spans="8:8">
      <c r="H39901" t="s">
        <v>34923</v>
      </c>
    </row>
    <row r="39902" spans="8:8">
      <c r="H39902" t="s">
        <v>34924</v>
      </c>
    </row>
    <row r="39903" spans="8:8">
      <c r="H39903" t="s">
        <v>34925</v>
      </c>
    </row>
    <row r="39904" spans="8:8">
      <c r="H39904" t="s">
        <v>34926</v>
      </c>
    </row>
    <row r="39905" spans="8:8">
      <c r="H39905" t="s">
        <v>34927</v>
      </c>
    </row>
    <row r="39906" spans="8:8">
      <c r="H39906" t="s">
        <v>34928</v>
      </c>
    </row>
    <row r="39907" spans="8:8">
      <c r="H39907" t="s">
        <v>34929</v>
      </c>
    </row>
    <row r="39908" spans="8:8">
      <c r="H39908" t="s">
        <v>34930</v>
      </c>
    </row>
    <row r="39909" spans="8:8">
      <c r="H39909" t="s">
        <v>34931</v>
      </c>
    </row>
    <row r="39910" spans="8:8">
      <c r="H39910" t="s">
        <v>34932</v>
      </c>
    </row>
    <row r="39911" spans="8:8">
      <c r="H39911" t="s">
        <v>34933</v>
      </c>
    </row>
    <row r="39912" spans="8:8">
      <c r="H39912" t="s">
        <v>34934</v>
      </c>
    </row>
    <row r="39913" spans="8:8">
      <c r="H39913" t="s">
        <v>34935</v>
      </c>
    </row>
    <row r="39914" spans="8:8">
      <c r="H39914" t="s">
        <v>34676</v>
      </c>
    </row>
    <row r="39915" spans="8:8">
      <c r="H39915" t="s">
        <v>34936</v>
      </c>
    </row>
    <row r="39916" spans="8:8">
      <c r="H39916" t="s">
        <v>34937</v>
      </c>
    </row>
    <row r="39917" spans="8:8">
      <c r="H39917" t="s">
        <v>34938</v>
      </c>
    </row>
    <row r="39918" spans="8:8">
      <c r="H39918" t="s">
        <v>19372</v>
      </c>
    </row>
    <row r="39919" spans="8:8">
      <c r="H39919" t="s">
        <v>18930</v>
      </c>
    </row>
    <row r="39920" spans="8:8">
      <c r="H39920" t="s">
        <v>34939</v>
      </c>
    </row>
    <row r="39921" spans="8:8">
      <c r="H39921" t="s">
        <v>34940</v>
      </c>
    </row>
    <row r="39922" spans="8:8">
      <c r="H39922" t="s">
        <v>20177</v>
      </c>
    </row>
    <row r="39923" spans="8:8">
      <c r="H39923" t="s">
        <v>33901</v>
      </c>
    </row>
    <row r="39924" spans="8:8">
      <c r="H39924" t="s">
        <v>34827</v>
      </c>
    </row>
    <row r="39925" spans="8:8">
      <c r="H39925" t="s">
        <v>34941</v>
      </c>
    </row>
    <row r="39926" spans="8:8">
      <c r="H39926" t="s">
        <v>34942</v>
      </c>
    </row>
    <row r="39927" spans="8:8">
      <c r="H39927" t="s">
        <v>34943</v>
      </c>
    </row>
    <row r="39928" spans="8:8">
      <c r="H39928" t="s">
        <v>34944</v>
      </c>
    </row>
    <row r="39929" spans="8:8">
      <c r="H39929" t="s">
        <v>34945</v>
      </c>
    </row>
    <row r="39930" spans="8:8">
      <c r="H39930" t="s">
        <v>34946</v>
      </c>
    </row>
    <row r="39931" spans="8:8">
      <c r="H39931" t="s">
        <v>34947</v>
      </c>
    </row>
    <row r="39932" spans="8:8">
      <c r="H39932" t="s">
        <v>34948</v>
      </c>
    </row>
    <row r="39933" spans="8:8">
      <c r="H39933" t="s">
        <v>34949</v>
      </c>
    </row>
    <row r="39934" spans="8:8">
      <c r="H39934" t="s">
        <v>34950</v>
      </c>
    </row>
    <row r="39935" spans="8:8">
      <c r="H39935" t="s">
        <v>34951</v>
      </c>
    </row>
    <row r="39936" spans="8:8">
      <c r="H39936" t="s">
        <v>34952</v>
      </c>
    </row>
    <row r="39937" spans="8:8">
      <c r="H39937" t="s">
        <v>34953</v>
      </c>
    </row>
    <row r="39938" spans="8:8">
      <c r="H39938" t="s">
        <v>34954</v>
      </c>
    </row>
    <row r="39939" spans="8:8">
      <c r="H39939" t="s">
        <v>34955</v>
      </c>
    </row>
    <row r="39940" spans="8:8">
      <c r="H39940" t="s">
        <v>34956</v>
      </c>
    </row>
    <row r="39941" spans="8:8">
      <c r="H39941" t="s">
        <v>34957</v>
      </c>
    </row>
    <row r="39942" spans="8:8">
      <c r="H39942" t="s">
        <v>34958</v>
      </c>
    </row>
    <row r="39943" spans="8:8">
      <c r="H39943" t="s">
        <v>34959</v>
      </c>
    </row>
    <row r="39944" spans="8:8">
      <c r="H39944" t="s">
        <v>34960</v>
      </c>
    </row>
    <row r="39945" spans="8:8">
      <c r="H39945" t="s">
        <v>34006</v>
      </c>
    </row>
    <row r="39946" spans="8:8">
      <c r="H39946" t="s">
        <v>34961</v>
      </c>
    </row>
    <row r="39947" spans="8:8">
      <c r="H39947" t="s">
        <v>34962</v>
      </c>
    </row>
    <row r="39948" spans="8:8">
      <c r="H39948" t="s">
        <v>34963</v>
      </c>
    </row>
    <row r="39949" spans="8:8">
      <c r="H39949" t="s">
        <v>31668</v>
      </c>
    </row>
    <row r="39950" spans="8:8">
      <c r="H39950" t="s">
        <v>32385</v>
      </c>
    </row>
    <row r="39951" spans="8:8">
      <c r="H39951" t="s">
        <v>34964</v>
      </c>
    </row>
    <row r="39952" spans="8:8">
      <c r="H39952" t="s">
        <v>34965</v>
      </c>
    </row>
    <row r="39953" spans="6:8">
      <c r="H39953" t="s">
        <v>34966</v>
      </c>
    </row>
    <row r="39954" spans="6:8">
      <c r="F39954" t="s">
        <v>14306</v>
      </c>
      <c r="G39954" t="s">
        <v>18263</v>
      </c>
      <c r="H39954" t="s">
        <v>34967</v>
      </c>
    </row>
    <row r="39955" spans="6:8">
      <c r="F39955" t="s">
        <v>13837</v>
      </c>
      <c r="G39955" t="s">
        <v>17880</v>
      </c>
      <c r="H39955" t="s">
        <v>18829</v>
      </c>
    </row>
    <row r="39956" spans="6:8">
      <c r="H39956" t="s">
        <v>18863</v>
      </c>
    </row>
    <row r="39957" spans="6:8">
      <c r="H39957" t="s">
        <v>34968</v>
      </c>
    </row>
    <row r="39958" spans="6:8">
      <c r="H39958" t="s">
        <v>34969</v>
      </c>
    </row>
    <row r="39959" spans="6:8">
      <c r="H39959" t="s">
        <v>27735</v>
      </c>
    </row>
    <row r="39960" spans="6:8">
      <c r="H39960" t="s">
        <v>34970</v>
      </c>
    </row>
    <row r="39961" spans="6:8">
      <c r="H39961" t="s">
        <v>34971</v>
      </c>
    </row>
    <row r="39962" spans="6:8">
      <c r="H39962" t="s">
        <v>34972</v>
      </c>
    </row>
    <row r="39963" spans="6:8">
      <c r="H39963" t="s">
        <v>34973</v>
      </c>
    </row>
    <row r="39964" spans="6:8">
      <c r="H39964" t="s">
        <v>34974</v>
      </c>
    </row>
    <row r="39965" spans="6:8">
      <c r="H39965" t="s">
        <v>34975</v>
      </c>
    </row>
    <row r="39966" spans="6:8">
      <c r="H39966" t="s">
        <v>34975</v>
      </c>
    </row>
    <row r="39967" spans="6:8">
      <c r="H39967" t="s">
        <v>31970</v>
      </c>
    </row>
    <row r="39968" spans="6:8">
      <c r="H39968" t="s">
        <v>31970</v>
      </c>
    </row>
    <row r="39969" spans="8:8">
      <c r="H39969" t="s">
        <v>34976</v>
      </c>
    </row>
    <row r="39970" spans="8:8">
      <c r="H39970" t="s">
        <v>31971</v>
      </c>
    </row>
    <row r="39971" spans="8:8">
      <c r="H39971" t="s">
        <v>20177</v>
      </c>
    </row>
    <row r="39972" spans="8:8">
      <c r="H39972" t="s">
        <v>31967</v>
      </c>
    </row>
    <row r="39973" spans="8:8">
      <c r="H39973" t="s">
        <v>34977</v>
      </c>
    </row>
    <row r="39974" spans="8:8">
      <c r="H39974" t="s">
        <v>34978</v>
      </c>
    </row>
    <row r="39975" spans="8:8">
      <c r="H39975" t="s">
        <v>34979</v>
      </c>
    </row>
    <row r="39976" spans="8:8">
      <c r="H39976" t="s">
        <v>31852</v>
      </c>
    </row>
    <row r="39977" spans="8:8">
      <c r="H39977" t="s">
        <v>34980</v>
      </c>
    </row>
    <row r="39978" spans="8:8">
      <c r="H39978" t="s">
        <v>34981</v>
      </c>
    </row>
    <row r="39979" spans="8:8">
      <c r="H39979" t="s">
        <v>34982</v>
      </c>
    </row>
    <row r="39980" spans="8:8">
      <c r="H39980" t="s">
        <v>34983</v>
      </c>
    </row>
    <row r="39981" spans="8:8">
      <c r="H39981" t="s">
        <v>34984</v>
      </c>
    </row>
    <row r="39982" spans="8:8">
      <c r="H39982" t="s">
        <v>34985</v>
      </c>
    </row>
    <row r="39983" spans="8:8">
      <c r="H39983" t="s">
        <v>34986</v>
      </c>
    </row>
    <row r="39984" spans="8:8">
      <c r="H39984" t="s">
        <v>34987</v>
      </c>
    </row>
    <row r="39985" spans="8:8">
      <c r="H39985" t="s">
        <v>34988</v>
      </c>
    </row>
    <row r="39986" spans="8:8">
      <c r="H39986" t="s">
        <v>34989</v>
      </c>
    </row>
    <row r="39987" spans="8:8">
      <c r="H39987" t="s">
        <v>34990</v>
      </c>
    </row>
    <row r="39988" spans="8:8">
      <c r="H39988" t="s">
        <v>34991</v>
      </c>
    </row>
    <row r="39989" spans="8:8">
      <c r="H39989" t="s">
        <v>34992</v>
      </c>
    </row>
    <row r="39990" spans="8:8">
      <c r="H39990" t="s">
        <v>34993</v>
      </c>
    </row>
    <row r="39991" spans="8:8">
      <c r="H39991" t="s">
        <v>34994</v>
      </c>
    </row>
    <row r="39992" spans="8:8">
      <c r="H39992" t="s">
        <v>34995</v>
      </c>
    </row>
    <row r="39993" spans="8:8">
      <c r="H39993" t="s">
        <v>34996</v>
      </c>
    </row>
    <row r="39994" spans="8:8">
      <c r="H39994" t="s">
        <v>34997</v>
      </c>
    </row>
    <row r="39995" spans="8:8">
      <c r="H39995" t="s">
        <v>31970</v>
      </c>
    </row>
    <row r="39996" spans="8:8">
      <c r="H39996" t="s">
        <v>34976</v>
      </c>
    </row>
    <row r="39997" spans="8:8">
      <c r="H39997" t="s">
        <v>34998</v>
      </c>
    </row>
    <row r="39998" spans="8:8">
      <c r="H39998" t="s">
        <v>34999</v>
      </c>
    </row>
    <row r="39999" spans="8:8">
      <c r="H39999" t="s">
        <v>35000</v>
      </c>
    </row>
    <row r="40000" spans="8:8">
      <c r="H40000" t="s">
        <v>35001</v>
      </c>
    </row>
    <row r="40001" spans="8:8">
      <c r="H40001" t="s">
        <v>31971</v>
      </c>
    </row>
    <row r="40002" spans="8:8">
      <c r="H40002" t="s">
        <v>20177</v>
      </c>
    </row>
    <row r="40003" spans="8:8">
      <c r="H40003" t="s">
        <v>35002</v>
      </c>
    </row>
    <row r="40004" spans="8:8">
      <c r="H40004" t="s">
        <v>35003</v>
      </c>
    </row>
    <row r="40005" spans="8:8">
      <c r="H40005" t="s">
        <v>35004</v>
      </c>
    </row>
    <row r="40006" spans="8:8">
      <c r="H40006" t="s">
        <v>35005</v>
      </c>
    </row>
    <row r="40007" spans="8:8">
      <c r="H40007" t="s">
        <v>35006</v>
      </c>
    </row>
    <row r="40008" spans="8:8">
      <c r="H40008" t="s">
        <v>35007</v>
      </c>
    </row>
    <row r="40009" spans="8:8">
      <c r="H40009" t="s">
        <v>35008</v>
      </c>
    </row>
    <row r="40010" spans="8:8">
      <c r="H40010" t="s">
        <v>35009</v>
      </c>
    </row>
    <row r="40011" spans="8:8">
      <c r="H40011" t="s">
        <v>35010</v>
      </c>
    </row>
    <row r="40012" spans="8:8">
      <c r="H40012" t="s">
        <v>35011</v>
      </c>
    </row>
    <row r="40013" spans="8:8">
      <c r="H40013" t="s">
        <v>35012</v>
      </c>
    </row>
    <row r="40014" spans="8:8">
      <c r="H40014" t="s">
        <v>35013</v>
      </c>
    </row>
    <row r="40015" spans="8:8">
      <c r="H40015" t="s">
        <v>35014</v>
      </c>
    </row>
    <row r="40016" spans="8:8">
      <c r="H40016" t="s">
        <v>35015</v>
      </c>
    </row>
    <row r="40017" spans="6:8">
      <c r="F40017" t="s">
        <v>12201</v>
      </c>
      <c r="G40017" t="s">
        <v>16439</v>
      </c>
      <c r="H40017" t="s">
        <v>18829</v>
      </c>
    </row>
    <row r="40018" spans="6:8">
      <c r="H40018" t="s">
        <v>21327</v>
      </c>
    </row>
    <row r="40019" spans="6:8">
      <c r="H40019" t="s">
        <v>21328</v>
      </c>
    </row>
    <row r="40020" spans="6:8">
      <c r="H40020" t="s">
        <v>35016</v>
      </c>
    </row>
    <row r="40021" spans="6:8">
      <c r="H40021" t="s">
        <v>35017</v>
      </c>
    </row>
    <row r="40022" spans="6:8">
      <c r="F40022" t="s">
        <v>14222</v>
      </c>
      <c r="G40022" t="s">
        <v>18195</v>
      </c>
      <c r="H40022" t="s">
        <v>35018</v>
      </c>
    </row>
    <row r="40023" spans="6:8">
      <c r="H40023" t="s">
        <v>18863</v>
      </c>
    </row>
    <row r="40024" spans="6:8">
      <c r="H40024" t="s">
        <v>34106</v>
      </c>
    </row>
    <row r="40025" spans="6:8">
      <c r="H40025" t="s">
        <v>35019</v>
      </c>
    </row>
    <row r="40026" spans="6:8">
      <c r="H40026" t="s">
        <v>35020</v>
      </c>
    </row>
    <row r="40027" spans="6:8">
      <c r="H40027" t="s">
        <v>35020</v>
      </c>
    </row>
    <row r="40028" spans="6:8">
      <c r="H40028" t="s">
        <v>35021</v>
      </c>
    </row>
    <row r="40029" spans="6:8">
      <c r="H40029" t="s">
        <v>35022</v>
      </c>
    </row>
    <row r="40030" spans="6:8">
      <c r="H40030" t="s">
        <v>35023</v>
      </c>
    </row>
    <row r="40031" spans="6:8">
      <c r="H40031" t="s">
        <v>35024</v>
      </c>
    </row>
    <row r="40032" spans="6:8">
      <c r="H40032" t="s">
        <v>35025</v>
      </c>
    </row>
    <row r="40033" spans="6:8">
      <c r="H40033" t="s">
        <v>35026</v>
      </c>
    </row>
    <row r="40034" spans="6:8">
      <c r="H40034" t="s">
        <v>35027</v>
      </c>
    </row>
    <row r="40035" spans="6:8">
      <c r="H40035" t="s">
        <v>35028</v>
      </c>
    </row>
    <row r="40036" spans="6:8">
      <c r="H40036" t="s">
        <v>35029</v>
      </c>
    </row>
    <row r="40037" spans="6:8">
      <c r="H40037" t="s">
        <v>35030</v>
      </c>
    </row>
    <row r="40038" spans="6:8">
      <c r="H40038" t="s">
        <v>35031</v>
      </c>
    </row>
    <row r="40039" spans="6:8">
      <c r="H40039" t="s">
        <v>35032</v>
      </c>
    </row>
    <row r="40040" spans="6:8">
      <c r="H40040" t="s">
        <v>35033</v>
      </c>
    </row>
    <row r="40041" spans="6:8">
      <c r="H40041" t="s">
        <v>35034</v>
      </c>
    </row>
    <row r="40042" spans="6:8">
      <c r="H40042" t="s">
        <v>35035</v>
      </c>
    </row>
    <row r="40043" spans="6:8">
      <c r="H40043" t="s">
        <v>35036</v>
      </c>
    </row>
    <row r="40044" spans="6:8">
      <c r="H40044" t="s">
        <v>35037</v>
      </c>
    </row>
    <row r="40045" spans="6:8">
      <c r="H40045" t="s">
        <v>35038</v>
      </c>
    </row>
    <row r="40046" spans="6:8">
      <c r="H40046" t="s">
        <v>35039</v>
      </c>
    </row>
    <row r="40047" spans="6:8">
      <c r="F40047" t="s">
        <v>14307</v>
      </c>
      <c r="G40047" t="s">
        <v>18264</v>
      </c>
      <c r="H40047" t="s">
        <v>35040</v>
      </c>
    </row>
    <row r="40048" spans="6:8">
      <c r="H40048" t="s">
        <v>35041</v>
      </c>
    </row>
    <row r="40049" spans="6:8">
      <c r="H40049" t="s">
        <v>35042</v>
      </c>
    </row>
    <row r="40050" spans="6:8">
      <c r="H40050" t="s">
        <v>35043</v>
      </c>
    </row>
    <row r="40051" spans="6:8">
      <c r="H40051" t="s">
        <v>35044</v>
      </c>
    </row>
    <row r="40052" spans="6:8">
      <c r="H40052" t="s">
        <v>35045</v>
      </c>
    </row>
    <row r="40053" spans="6:8">
      <c r="H40053" t="s">
        <v>35046</v>
      </c>
    </row>
    <row r="40054" spans="6:8">
      <c r="H40054" t="s">
        <v>35047</v>
      </c>
    </row>
    <row r="40055" spans="6:8">
      <c r="F40055" t="s">
        <v>14159</v>
      </c>
      <c r="G40055" t="s">
        <v>18145</v>
      </c>
      <c r="H40055" t="s">
        <v>18829</v>
      </c>
    </row>
    <row r="40056" spans="6:8">
      <c r="H40056" t="s">
        <v>18836</v>
      </c>
    </row>
    <row r="40057" spans="6:8">
      <c r="H40057" t="s">
        <v>35048</v>
      </c>
    </row>
    <row r="40058" spans="6:8">
      <c r="H40058" t="s">
        <v>35049</v>
      </c>
    </row>
    <row r="40059" spans="6:8">
      <c r="H40059" t="s">
        <v>35050</v>
      </c>
    </row>
    <row r="40060" spans="6:8">
      <c r="F40060" t="s">
        <v>14308</v>
      </c>
      <c r="G40060" t="s">
        <v>18265</v>
      </c>
      <c r="H40060" t="s">
        <v>18829</v>
      </c>
    </row>
    <row r="40061" spans="6:8">
      <c r="H40061" t="s">
        <v>26408</v>
      </c>
    </row>
    <row r="40062" spans="6:8">
      <c r="H40062" t="s">
        <v>30464</v>
      </c>
    </row>
    <row r="40063" spans="6:8">
      <c r="H40063" t="s">
        <v>30466</v>
      </c>
    </row>
    <row r="40064" spans="6:8">
      <c r="H40064" t="s">
        <v>35051</v>
      </c>
    </row>
    <row r="40065" spans="8:8">
      <c r="H40065" t="s">
        <v>35052</v>
      </c>
    </row>
    <row r="40066" spans="8:8">
      <c r="H40066" t="s">
        <v>35053</v>
      </c>
    </row>
    <row r="40067" spans="8:8">
      <c r="H40067" t="s">
        <v>30466</v>
      </c>
    </row>
    <row r="40068" spans="8:8">
      <c r="H40068" t="s">
        <v>25704</v>
      </c>
    </row>
    <row r="40069" spans="8:8">
      <c r="H40069" t="s">
        <v>35054</v>
      </c>
    </row>
    <row r="40070" spans="8:8">
      <c r="H40070" t="s">
        <v>35055</v>
      </c>
    </row>
    <row r="40071" spans="8:8">
      <c r="H40071" t="s">
        <v>35056</v>
      </c>
    </row>
    <row r="40072" spans="8:8">
      <c r="H40072" t="s">
        <v>35057</v>
      </c>
    </row>
    <row r="40073" spans="8:8">
      <c r="H40073" t="s">
        <v>35058</v>
      </c>
    </row>
    <row r="40074" spans="8:8">
      <c r="H40074" t="s">
        <v>35059</v>
      </c>
    </row>
    <row r="40075" spans="8:8">
      <c r="H40075" t="s">
        <v>35059</v>
      </c>
    </row>
    <row r="40076" spans="8:8">
      <c r="H40076" t="s">
        <v>35052</v>
      </c>
    </row>
    <row r="40077" spans="8:8">
      <c r="H40077" t="s">
        <v>35058</v>
      </c>
    </row>
    <row r="40078" spans="8:8">
      <c r="H40078" t="s">
        <v>30466</v>
      </c>
    </row>
    <row r="40079" spans="8:8">
      <c r="H40079" t="s">
        <v>25704</v>
      </c>
    </row>
    <row r="40080" spans="8:8">
      <c r="H40080" t="s">
        <v>35053</v>
      </c>
    </row>
    <row r="40081" spans="8:8">
      <c r="H40081" t="s">
        <v>35054</v>
      </c>
    </row>
    <row r="40082" spans="8:8">
      <c r="H40082" t="s">
        <v>35055</v>
      </c>
    </row>
    <row r="40083" spans="8:8">
      <c r="H40083" t="s">
        <v>35060</v>
      </c>
    </row>
    <row r="40084" spans="8:8">
      <c r="H40084" t="s">
        <v>35052</v>
      </c>
    </row>
    <row r="40085" spans="8:8">
      <c r="H40085" t="s">
        <v>35053</v>
      </c>
    </row>
    <row r="40086" spans="8:8">
      <c r="H40086" t="s">
        <v>30466</v>
      </c>
    </row>
    <row r="40087" spans="8:8">
      <c r="H40087" t="s">
        <v>25704</v>
      </c>
    </row>
    <row r="40088" spans="8:8">
      <c r="H40088" t="s">
        <v>35054</v>
      </c>
    </row>
    <row r="40089" spans="8:8">
      <c r="H40089" t="s">
        <v>35055</v>
      </c>
    </row>
    <row r="40090" spans="8:8">
      <c r="H40090" t="s">
        <v>35061</v>
      </c>
    </row>
    <row r="40091" spans="8:8">
      <c r="H40091" t="s">
        <v>35062</v>
      </c>
    </row>
    <row r="40092" spans="8:8">
      <c r="H40092" t="s">
        <v>35063</v>
      </c>
    </row>
    <row r="40093" spans="8:8">
      <c r="H40093" t="s">
        <v>35064</v>
      </c>
    </row>
    <row r="40094" spans="8:8">
      <c r="H40094" t="s">
        <v>35065</v>
      </c>
    </row>
    <row r="40095" spans="8:8">
      <c r="H40095" t="s">
        <v>35066</v>
      </c>
    </row>
    <row r="40096" spans="8:8">
      <c r="H40096" t="s">
        <v>35067</v>
      </c>
    </row>
    <row r="40097" spans="6:8">
      <c r="H40097" t="s">
        <v>35068</v>
      </c>
    </row>
    <row r="40098" spans="6:8">
      <c r="H40098" t="s">
        <v>30465</v>
      </c>
    </row>
    <row r="40099" spans="6:8">
      <c r="H40099" t="s">
        <v>35069</v>
      </c>
    </row>
    <row r="40100" spans="6:8">
      <c r="H40100" t="s">
        <v>35070</v>
      </c>
    </row>
    <row r="40101" spans="6:8">
      <c r="H40101" t="s">
        <v>35071</v>
      </c>
    </row>
    <row r="40102" spans="6:8">
      <c r="H40102" t="s">
        <v>35072</v>
      </c>
    </row>
    <row r="40103" spans="6:8">
      <c r="H40103" t="s">
        <v>35073</v>
      </c>
    </row>
    <row r="40104" spans="6:8">
      <c r="H40104" t="s">
        <v>35074</v>
      </c>
    </row>
    <row r="40105" spans="6:8">
      <c r="H40105" t="s">
        <v>35075</v>
      </c>
    </row>
    <row r="40106" spans="6:8">
      <c r="F40106" t="s">
        <v>13309</v>
      </c>
      <c r="G40106" t="s">
        <v>17442</v>
      </c>
      <c r="H40106" t="s">
        <v>29102</v>
      </c>
    </row>
    <row r="40107" spans="6:8">
      <c r="H40107" t="s">
        <v>35076</v>
      </c>
    </row>
    <row r="40108" spans="6:8">
      <c r="H40108" t="s">
        <v>35077</v>
      </c>
    </row>
    <row r="40109" spans="6:8">
      <c r="H40109" t="s">
        <v>35078</v>
      </c>
    </row>
    <row r="40110" spans="6:8">
      <c r="H40110" t="s">
        <v>35079</v>
      </c>
    </row>
    <row r="40111" spans="6:8">
      <c r="H40111" t="s">
        <v>29103</v>
      </c>
    </row>
    <row r="40112" spans="6:8">
      <c r="H40112" t="s">
        <v>35080</v>
      </c>
    </row>
    <row r="40113" spans="8:8">
      <c r="H40113" t="s">
        <v>35081</v>
      </c>
    </row>
    <row r="40114" spans="8:8">
      <c r="H40114" t="s">
        <v>35082</v>
      </c>
    </row>
    <row r="40115" spans="8:8">
      <c r="H40115" t="s">
        <v>35083</v>
      </c>
    </row>
    <row r="40116" spans="8:8">
      <c r="H40116" t="s">
        <v>35084</v>
      </c>
    </row>
    <row r="40117" spans="8:8">
      <c r="H40117" t="s">
        <v>35085</v>
      </c>
    </row>
    <row r="40118" spans="8:8">
      <c r="H40118" t="s">
        <v>35086</v>
      </c>
    </row>
    <row r="40119" spans="8:8">
      <c r="H40119" t="s">
        <v>35087</v>
      </c>
    </row>
    <row r="40120" spans="8:8">
      <c r="H40120" t="s">
        <v>35088</v>
      </c>
    </row>
    <row r="40121" spans="8:8">
      <c r="H40121" t="s">
        <v>35089</v>
      </c>
    </row>
    <row r="40122" spans="8:8">
      <c r="H40122" t="s">
        <v>35090</v>
      </c>
    </row>
    <row r="40123" spans="8:8">
      <c r="H40123" t="s">
        <v>35091</v>
      </c>
    </row>
    <row r="40124" spans="8:8">
      <c r="H40124" t="s">
        <v>35092</v>
      </c>
    </row>
    <row r="40125" spans="8:8">
      <c r="H40125" t="s">
        <v>35093</v>
      </c>
    </row>
    <row r="40126" spans="8:8">
      <c r="H40126" t="s">
        <v>35094</v>
      </c>
    </row>
    <row r="40127" spans="8:8">
      <c r="H40127" t="s">
        <v>35095</v>
      </c>
    </row>
    <row r="40128" spans="8:8">
      <c r="H40128" t="s">
        <v>35096</v>
      </c>
    </row>
    <row r="40129" spans="8:8">
      <c r="H40129" t="s">
        <v>35097</v>
      </c>
    </row>
    <row r="40130" spans="8:8">
      <c r="H40130" t="s">
        <v>35098</v>
      </c>
    </row>
    <row r="40131" spans="8:8">
      <c r="H40131" t="s">
        <v>35099</v>
      </c>
    </row>
    <row r="40132" spans="8:8">
      <c r="H40132" t="s">
        <v>35100</v>
      </c>
    </row>
    <row r="40133" spans="8:8">
      <c r="H40133" t="s">
        <v>35101</v>
      </c>
    </row>
    <row r="40134" spans="8:8">
      <c r="H40134" t="s">
        <v>35102</v>
      </c>
    </row>
    <row r="40135" spans="8:8">
      <c r="H40135" t="s">
        <v>35103</v>
      </c>
    </row>
    <row r="40136" spans="8:8">
      <c r="H40136" t="s">
        <v>35104</v>
      </c>
    </row>
    <row r="40137" spans="8:8">
      <c r="H40137" t="s">
        <v>35105</v>
      </c>
    </row>
    <row r="40138" spans="8:8">
      <c r="H40138" t="s">
        <v>35106</v>
      </c>
    </row>
    <row r="40139" spans="8:8">
      <c r="H40139" t="s">
        <v>35107</v>
      </c>
    </row>
    <row r="40140" spans="8:8">
      <c r="H40140" t="s">
        <v>35108</v>
      </c>
    </row>
    <row r="40141" spans="8:8">
      <c r="H40141" t="s">
        <v>35109</v>
      </c>
    </row>
    <row r="40142" spans="8:8">
      <c r="H40142" t="s">
        <v>35110</v>
      </c>
    </row>
    <row r="40143" spans="8:8">
      <c r="H40143" t="s">
        <v>35111</v>
      </c>
    </row>
    <row r="40144" spans="8:8">
      <c r="H40144" t="s">
        <v>35112</v>
      </c>
    </row>
    <row r="40145" spans="8:8">
      <c r="H40145" t="s">
        <v>35113</v>
      </c>
    </row>
    <row r="40146" spans="8:8">
      <c r="H40146" t="s">
        <v>35114</v>
      </c>
    </row>
    <row r="40147" spans="8:8">
      <c r="H40147" t="s">
        <v>35115</v>
      </c>
    </row>
    <row r="40148" spans="8:8">
      <c r="H40148" t="s">
        <v>35116</v>
      </c>
    </row>
    <row r="40149" spans="8:8">
      <c r="H40149" t="s">
        <v>35117</v>
      </c>
    </row>
    <row r="40150" spans="8:8">
      <c r="H40150" t="s">
        <v>35118</v>
      </c>
    </row>
    <row r="40151" spans="8:8">
      <c r="H40151" t="s">
        <v>35119</v>
      </c>
    </row>
    <row r="40152" spans="8:8">
      <c r="H40152" t="s">
        <v>35120</v>
      </c>
    </row>
    <row r="40153" spans="8:8">
      <c r="H40153" t="s">
        <v>35121</v>
      </c>
    </row>
    <row r="40154" spans="8:8">
      <c r="H40154" t="s">
        <v>35122</v>
      </c>
    </row>
    <row r="40155" spans="8:8">
      <c r="H40155" t="s">
        <v>35123</v>
      </c>
    </row>
    <row r="40156" spans="8:8">
      <c r="H40156" t="s">
        <v>35124</v>
      </c>
    </row>
    <row r="40157" spans="8:8">
      <c r="H40157" t="s">
        <v>35125</v>
      </c>
    </row>
    <row r="40158" spans="8:8">
      <c r="H40158" t="s">
        <v>35126</v>
      </c>
    </row>
    <row r="40159" spans="8:8">
      <c r="H40159" t="s">
        <v>35127</v>
      </c>
    </row>
    <row r="40160" spans="8:8">
      <c r="H40160" t="s">
        <v>35128</v>
      </c>
    </row>
    <row r="40161" spans="8:8">
      <c r="H40161" t="s">
        <v>35129</v>
      </c>
    </row>
    <row r="40162" spans="8:8">
      <c r="H40162" t="s">
        <v>35130</v>
      </c>
    </row>
    <row r="40163" spans="8:8">
      <c r="H40163" t="s">
        <v>35131</v>
      </c>
    </row>
    <row r="40164" spans="8:8">
      <c r="H40164" t="s">
        <v>35132</v>
      </c>
    </row>
    <row r="40165" spans="8:8">
      <c r="H40165" t="s">
        <v>35133</v>
      </c>
    </row>
    <row r="40166" spans="8:8">
      <c r="H40166" t="s">
        <v>35134</v>
      </c>
    </row>
    <row r="40167" spans="8:8">
      <c r="H40167" t="s">
        <v>35135</v>
      </c>
    </row>
    <row r="40168" spans="8:8">
      <c r="H40168" t="s">
        <v>35136</v>
      </c>
    </row>
    <row r="40169" spans="8:8">
      <c r="H40169" t="s">
        <v>35137</v>
      </c>
    </row>
    <row r="40170" spans="8:8">
      <c r="H40170" t="s">
        <v>35138</v>
      </c>
    </row>
    <row r="40171" spans="8:8">
      <c r="H40171" t="s">
        <v>35139</v>
      </c>
    </row>
    <row r="40172" spans="8:8">
      <c r="H40172" t="s">
        <v>35140</v>
      </c>
    </row>
    <row r="40173" spans="8:8">
      <c r="H40173" t="s">
        <v>35141</v>
      </c>
    </row>
    <row r="40174" spans="8:8">
      <c r="H40174" t="s">
        <v>35142</v>
      </c>
    </row>
    <row r="40175" spans="8:8">
      <c r="H40175" t="s">
        <v>35143</v>
      </c>
    </row>
    <row r="40176" spans="8:8">
      <c r="H40176" t="s">
        <v>35144</v>
      </c>
    </row>
    <row r="40177" spans="6:8">
      <c r="H40177" t="s">
        <v>35145</v>
      </c>
    </row>
    <row r="40178" spans="6:8">
      <c r="H40178" t="s">
        <v>35146</v>
      </c>
    </row>
    <row r="40179" spans="6:8">
      <c r="H40179" t="s">
        <v>35147</v>
      </c>
    </row>
    <row r="40180" spans="6:8">
      <c r="H40180" t="s">
        <v>35148</v>
      </c>
    </row>
    <row r="40181" spans="6:8">
      <c r="H40181" t="s">
        <v>35149</v>
      </c>
    </row>
    <row r="40182" spans="6:8">
      <c r="H40182" t="s">
        <v>35150</v>
      </c>
    </row>
    <row r="40183" spans="6:8">
      <c r="H40183" t="s">
        <v>35151</v>
      </c>
    </row>
    <row r="40184" spans="6:8">
      <c r="H40184" t="s">
        <v>35152</v>
      </c>
    </row>
    <row r="40185" spans="6:8">
      <c r="H40185" t="s">
        <v>35153</v>
      </c>
    </row>
    <row r="40186" spans="6:8">
      <c r="H40186" t="s">
        <v>35154</v>
      </c>
    </row>
    <row r="40187" spans="6:8">
      <c r="H40187" t="s">
        <v>35155</v>
      </c>
    </row>
    <row r="40188" spans="6:8">
      <c r="H40188" t="s">
        <v>35156</v>
      </c>
    </row>
    <row r="40189" spans="6:8">
      <c r="F40189" t="s">
        <v>13928</v>
      </c>
      <c r="G40189" t="s">
        <v>17964</v>
      </c>
      <c r="H40189" t="s">
        <v>35157</v>
      </c>
    </row>
    <row r="40190" spans="6:8">
      <c r="H40190" t="s">
        <v>18829</v>
      </c>
    </row>
    <row r="40191" spans="6:8">
      <c r="H40191" t="s">
        <v>35158</v>
      </c>
    </row>
    <row r="40192" spans="6:8">
      <c r="H40192" t="s">
        <v>35159</v>
      </c>
    </row>
    <row r="40193" spans="8:8">
      <c r="H40193" t="s">
        <v>35160</v>
      </c>
    </row>
    <row r="40194" spans="8:8">
      <c r="H40194" t="s">
        <v>35161</v>
      </c>
    </row>
    <row r="40195" spans="8:8">
      <c r="H40195" t="s">
        <v>35162</v>
      </c>
    </row>
    <row r="40196" spans="8:8">
      <c r="H40196" t="s">
        <v>35162</v>
      </c>
    </row>
    <row r="40197" spans="8:8">
      <c r="H40197" t="s">
        <v>35162</v>
      </c>
    </row>
    <row r="40198" spans="8:8">
      <c r="H40198" t="s">
        <v>35163</v>
      </c>
    </row>
    <row r="40199" spans="8:8">
      <c r="H40199" t="s">
        <v>35164</v>
      </c>
    </row>
    <row r="40200" spans="8:8">
      <c r="H40200" t="s">
        <v>35165</v>
      </c>
    </row>
    <row r="40201" spans="8:8">
      <c r="H40201" t="s">
        <v>35166</v>
      </c>
    </row>
    <row r="40202" spans="8:8">
      <c r="H40202" t="s">
        <v>35167</v>
      </c>
    </row>
    <row r="40203" spans="8:8">
      <c r="H40203" t="s">
        <v>35168</v>
      </c>
    </row>
    <row r="40204" spans="8:8">
      <c r="H40204" t="s">
        <v>35169</v>
      </c>
    </row>
    <row r="40205" spans="8:8">
      <c r="H40205" t="s">
        <v>35170</v>
      </c>
    </row>
    <row r="40206" spans="8:8">
      <c r="H40206" t="s">
        <v>35171</v>
      </c>
    </row>
    <row r="40207" spans="8:8">
      <c r="H40207" t="s">
        <v>35172</v>
      </c>
    </row>
    <row r="40208" spans="8:8">
      <c r="H40208" t="s">
        <v>35173</v>
      </c>
    </row>
    <row r="40209" spans="8:8">
      <c r="H40209" t="s">
        <v>35174</v>
      </c>
    </row>
    <row r="40210" spans="8:8">
      <c r="H40210" t="s">
        <v>35175</v>
      </c>
    </row>
    <row r="40211" spans="8:8">
      <c r="H40211" t="s">
        <v>35176</v>
      </c>
    </row>
    <row r="40212" spans="8:8">
      <c r="H40212" t="s">
        <v>35177</v>
      </c>
    </row>
    <row r="40213" spans="8:8">
      <c r="H40213" t="s">
        <v>35178</v>
      </c>
    </row>
    <row r="40214" spans="8:8">
      <c r="H40214" t="s">
        <v>35179</v>
      </c>
    </row>
    <row r="40215" spans="8:8">
      <c r="H40215" t="s">
        <v>35180</v>
      </c>
    </row>
    <row r="40216" spans="8:8">
      <c r="H40216" t="s">
        <v>35181</v>
      </c>
    </row>
    <row r="40217" spans="8:8">
      <c r="H40217" t="s">
        <v>35182</v>
      </c>
    </row>
    <row r="40218" spans="8:8">
      <c r="H40218" t="s">
        <v>35183</v>
      </c>
    </row>
    <row r="40219" spans="8:8">
      <c r="H40219" t="s">
        <v>35184</v>
      </c>
    </row>
    <row r="40220" spans="8:8">
      <c r="H40220" t="s">
        <v>35185</v>
      </c>
    </row>
    <row r="40221" spans="8:8">
      <c r="H40221" t="s">
        <v>35186</v>
      </c>
    </row>
    <row r="40222" spans="8:8">
      <c r="H40222" t="s">
        <v>35187</v>
      </c>
    </row>
    <row r="40223" spans="8:8">
      <c r="H40223" t="s">
        <v>35188</v>
      </c>
    </row>
    <row r="40224" spans="8:8">
      <c r="H40224" t="s">
        <v>35189</v>
      </c>
    </row>
    <row r="40225" spans="6:8">
      <c r="H40225" t="s">
        <v>35190</v>
      </c>
    </row>
    <row r="40226" spans="6:8">
      <c r="H40226" t="s">
        <v>35191</v>
      </c>
    </row>
    <row r="40227" spans="6:8">
      <c r="H40227" t="s">
        <v>35192</v>
      </c>
    </row>
    <row r="40228" spans="6:8">
      <c r="H40228" t="s">
        <v>35193</v>
      </c>
    </row>
    <row r="40229" spans="6:8">
      <c r="H40229" t="s">
        <v>35194</v>
      </c>
    </row>
    <row r="40230" spans="6:8">
      <c r="H40230" t="s">
        <v>35195</v>
      </c>
    </row>
    <row r="40231" spans="6:8">
      <c r="H40231" t="s">
        <v>35196</v>
      </c>
    </row>
    <row r="40232" spans="6:8">
      <c r="H40232" t="s">
        <v>35197</v>
      </c>
    </row>
    <row r="40233" spans="6:8">
      <c r="H40233" t="s">
        <v>35198</v>
      </c>
    </row>
    <row r="40234" spans="6:8">
      <c r="F40234" t="s">
        <v>12740</v>
      </c>
      <c r="G40234" t="s">
        <v>16932</v>
      </c>
      <c r="H40234" t="s">
        <v>35199</v>
      </c>
    </row>
    <row r="40235" spans="6:8">
      <c r="F40235" t="s">
        <v>10615</v>
      </c>
      <c r="G40235" t="s">
        <v>15018</v>
      </c>
      <c r="H40235" t="s">
        <v>35200</v>
      </c>
    </row>
    <row r="40236" spans="6:8">
      <c r="F40236" t="s">
        <v>10616</v>
      </c>
      <c r="G40236" t="s">
        <v>15019</v>
      </c>
      <c r="H40236" t="s">
        <v>19183</v>
      </c>
    </row>
    <row r="40237" spans="6:8">
      <c r="H40237" t="s">
        <v>19184</v>
      </c>
    </row>
    <row r="40238" spans="6:8">
      <c r="F40238" t="s">
        <v>13133</v>
      </c>
      <c r="G40238" t="s">
        <v>17291</v>
      </c>
      <c r="H40238" t="s">
        <v>35201</v>
      </c>
    </row>
    <row r="40239" spans="6:8">
      <c r="H40239" t="s">
        <v>25716</v>
      </c>
    </row>
    <row r="40240" spans="6:8">
      <c r="H40240" t="s">
        <v>28041</v>
      </c>
    </row>
    <row r="40241" spans="8:8">
      <c r="H40241" t="s">
        <v>28042</v>
      </c>
    </row>
    <row r="40242" spans="8:8">
      <c r="H40242" t="s">
        <v>35202</v>
      </c>
    </row>
    <row r="40243" spans="8:8">
      <c r="H40243" t="s">
        <v>35203</v>
      </c>
    </row>
    <row r="40244" spans="8:8">
      <c r="H40244" t="s">
        <v>35204</v>
      </c>
    </row>
    <row r="40245" spans="8:8">
      <c r="H40245" t="s">
        <v>35205</v>
      </c>
    </row>
    <row r="40246" spans="8:8">
      <c r="H40246" t="s">
        <v>35206</v>
      </c>
    </row>
    <row r="40247" spans="8:8">
      <c r="H40247" t="s">
        <v>18927</v>
      </c>
    </row>
    <row r="40248" spans="8:8">
      <c r="H40248" t="s">
        <v>35207</v>
      </c>
    </row>
    <row r="40249" spans="8:8">
      <c r="H40249" t="s">
        <v>35208</v>
      </c>
    </row>
    <row r="40250" spans="8:8">
      <c r="H40250" t="s">
        <v>25720</v>
      </c>
    </row>
    <row r="40251" spans="8:8">
      <c r="H40251" t="s">
        <v>28043</v>
      </c>
    </row>
    <row r="40252" spans="8:8">
      <c r="H40252" t="s">
        <v>28044</v>
      </c>
    </row>
    <row r="40253" spans="8:8">
      <c r="H40253" t="s">
        <v>28045</v>
      </c>
    </row>
    <row r="40254" spans="8:8">
      <c r="H40254" t="s">
        <v>28046</v>
      </c>
    </row>
    <row r="40255" spans="8:8">
      <c r="H40255" t="s">
        <v>28047</v>
      </c>
    </row>
    <row r="40256" spans="8:8">
      <c r="H40256" t="s">
        <v>28048</v>
      </c>
    </row>
    <row r="40257" spans="6:8">
      <c r="H40257" t="s">
        <v>25704</v>
      </c>
    </row>
    <row r="40258" spans="6:8">
      <c r="F40258" t="s">
        <v>14309</v>
      </c>
      <c r="G40258" t="s">
        <v>18266</v>
      </c>
      <c r="H40258" t="s">
        <v>18924</v>
      </c>
    </row>
    <row r="40259" spans="6:8">
      <c r="H40259" t="s">
        <v>35209</v>
      </c>
    </row>
    <row r="40260" spans="6:8">
      <c r="H40260" t="s">
        <v>35210</v>
      </c>
    </row>
    <row r="40261" spans="6:8">
      <c r="H40261" t="s">
        <v>35211</v>
      </c>
    </row>
    <row r="40262" spans="6:8">
      <c r="H40262" t="s">
        <v>35212</v>
      </c>
    </row>
    <row r="40263" spans="6:8">
      <c r="H40263" t="s">
        <v>35213</v>
      </c>
    </row>
    <row r="40264" spans="6:8">
      <c r="H40264" t="s">
        <v>35214</v>
      </c>
    </row>
    <row r="40265" spans="6:8">
      <c r="H40265" t="s">
        <v>35215</v>
      </c>
    </row>
    <row r="40266" spans="6:8">
      <c r="F40266" t="s">
        <v>14310</v>
      </c>
      <c r="G40266" t="s">
        <v>18267</v>
      </c>
      <c r="H40266" t="s">
        <v>18829</v>
      </c>
    </row>
    <row r="40267" spans="6:8">
      <c r="H40267" t="s">
        <v>35216</v>
      </c>
    </row>
    <row r="40268" spans="6:8">
      <c r="F40268" t="s">
        <v>14210</v>
      </c>
      <c r="G40268" t="s">
        <v>18186</v>
      </c>
      <c r="H40268" t="s">
        <v>18829</v>
      </c>
    </row>
    <row r="40269" spans="6:8">
      <c r="H40269" t="s">
        <v>18863</v>
      </c>
    </row>
    <row r="40270" spans="6:8">
      <c r="H40270" t="s">
        <v>34969</v>
      </c>
    </row>
    <row r="40271" spans="6:8">
      <c r="H40271" t="s">
        <v>35217</v>
      </c>
    </row>
    <row r="40272" spans="6:8">
      <c r="H40272" t="s">
        <v>35218</v>
      </c>
    </row>
    <row r="40273" spans="6:8">
      <c r="H40273" t="s">
        <v>35219</v>
      </c>
    </row>
    <row r="40274" spans="6:8">
      <c r="H40274" t="s">
        <v>35220</v>
      </c>
    </row>
    <row r="40275" spans="6:8">
      <c r="H40275" t="s">
        <v>35221</v>
      </c>
    </row>
    <row r="40276" spans="6:8">
      <c r="H40276" t="s">
        <v>35222</v>
      </c>
    </row>
    <row r="40277" spans="6:8">
      <c r="H40277" t="s">
        <v>35223</v>
      </c>
    </row>
    <row r="40278" spans="6:8">
      <c r="H40278" t="s">
        <v>35224</v>
      </c>
    </row>
    <row r="40279" spans="6:8">
      <c r="F40279" t="s">
        <v>10617</v>
      </c>
      <c r="G40279" t="s">
        <v>15020</v>
      </c>
      <c r="H40279" t="s">
        <v>19183</v>
      </c>
    </row>
    <row r="40280" spans="6:8">
      <c r="H40280" t="s">
        <v>19184</v>
      </c>
    </row>
    <row r="40281" spans="6:8">
      <c r="F40281" t="s">
        <v>10618</v>
      </c>
      <c r="G40281" t="s">
        <v>15021</v>
      </c>
      <c r="H40281" t="s">
        <v>19183</v>
      </c>
    </row>
    <row r="40282" spans="6:8">
      <c r="H40282" t="s">
        <v>19184</v>
      </c>
    </row>
    <row r="40283" spans="6:8">
      <c r="F40283" t="s">
        <v>13556</v>
      </c>
      <c r="G40283" t="s">
        <v>17663</v>
      </c>
      <c r="H40283" t="s">
        <v>35225</v>
      </c>
    </row>
    <row r="40284" spans="6:8">
      <c r="H40284" t="s">
        <v>35226</v>
      </c>
    </row>
    <row r="40285" spans="6:8">
      <c r="H40285" t="s">
        <v>35227</v>
      </c>
    </row>
    <row r="40286" spans="6:8">
      <c r="H40286" t="s">
        <v>35228</v>
      </c>
    </row>
    <row r="40287" spans="6:8">
      <c r="H40287" t="s">
        <v>35229</v>
      </c>
    </row>
    <row r="40288" spans="6:8">
      <c r="H40288" t="s">
        <v>35230</v>
      </c>
    </row>
    <row r="40289" spans="6:8">
      <c r="H40289" t="s">
        <v>35231</v>
      </c>
    </row>
    <row r="40290" spans="6:8">
      <c r="H40290" t="s">
        <v>35232</v>
      </c>
    </row>
    <row r="40291" spans="6:8">
      <c r="H40291" t="s">
        <v>35233</v>
      </c>
    </row>
    <row r="40292" spans="6:8">
      <c r="H40292" t="s">
        <v>35234</v>
      </c>
    </row>
    <row r="40293" spans="6:8">
      <c r="H40293" t="s">
        <v>35235</v>
      </c>
    </row>
    <row r="40294" spans="6:8">
      <c r="H40294" t="s">
        <v>35236</v>
      </c>
    </row>
    <row r="40295" spans="6:8">
      <c r="F40295" t="s">
        <v>14311</v>
      </c>
      <c r="G40295" t="s">
        <v>18268</v>
      </c>
      <c r="H40295" t="s">
        <v>18829</v>
      </c>
    </row>
    <row r="40296" spans="6:8">
      <c r="H40296" t="s">
        <v>35237</v>
      </c>
    </row>
    <row r="40297" spans="6:8">
      <c r="H40297" t="s">
        <v>35238</v>
      </c>
    </row>
    <row r="40298" spans="6:8">
      <c r="H40298" t="s">
        <v>35239</v>
      </c>
    </row>
    <row r="40299" spans="6:8">
      <c r="F40299" t="s">
        <v>14312</v>
      </c>
      <c r="G40299" t="s">
        <v>18269</v>
      </c>
      <c r="H40299" t="s">
        <v>18829</v>
      </c>
    </row>
    <row r="40300" spans="6:8">
      <c r="H40300" t="s">
        <v>18863</v>
      </c>
    </row>
    <row r="40301" spans="6:8">
      <c r="H40301" t="s">
        <v>31527</v>
      </c>
    </row>
    <row r="40302" spans="6:8">
      <c r="H40302" t="s">
        <v>35240</v>
      </c>
    </row>
    <row r="40303" spans="6:8">
      <c r="H40303" t="s">
        <v>35241</v>
      </c>
    </row>
    <row r="40304" spans="6:8">
      <c r="H40304" t="s">
        <v>34968</v>
      </c>
    </row>
    <row r="40305" spans="6:8">
      <c r="H40305" t="s">
        <v>35242</v>
      </c>
    </row>
    <row r="40306" spans="6:8">
      <c r="H40306" t="s">
        <v>35243</v>
      </c>
    </row>
    <row r="40307" spans="6:8">
      <c r="H40307" t="s">
        <v>35244</v>
      </c>
    </row>
    <row r="40308" spans="6:8">
      <c r="H40308" t="s">
        <v>31775</v>
      </c>
    </row>
    <row r="40309" spans="6:8">
      <c r="H40309" t="s">
        <v>35245</v>
      </c>
    </row>
    <row r="40310" spans="6:8">
      <c r="H40310" t="s">
        <v>35246</v>
      </c>
    </row>
    <row r="40311" spans="6:8">
      <c r="F40311" t="s">
        <v>14313</v>
      </c>
      <c r="G40311" t="s">
        <v>18270</v>
      </c>
      <c r="H40311" t="s">
        <v>18836</v>
      </c>
    </row>
    <row r="40312" spans="6:8">
      <c r="H40312" t="s">
        <v>35247</v>
      </c>
    </row>
    <row r="40313" spans="6:8">
      <c r="H40313" t="s">
        <v>35248</v>
      </c>
    </row>
    <row r="40314" spans="6:8">
      <c r="H40314" t="s">
        <v>35249</v>
      </c>
    </row>
    <row r="40315" spans="6:8">
      <c r="H40315" t="s">
        <v>35048</v>
      </c>
    </row>
    <row r="40316" spans="6:8">
      <c r="F40316" t="s">
        <v>10600</v>
      </c>
      <c r="G40316" t="s">
        <v>15003</v>
      </c>
      <c r="H40316" t="s">
        <v>18836</v>
      </c>
    </row>
    <row r="40317" spans="6:8">
      <c r="H40317" t="s">
        <v>35250</v>
      </c>
    </row>
    <row r="40318" spans="6:8">
      <c r="F40318" t="s">
        <v>14314</v>
      </c>
      <c r="G40318" t="s">
        <v>18271</v>
      </c>
      <c r="H40318" t="s">
        <v>35251</v>
      </c>
    </row>
    <row r="40319" spans="6:8">
      <c r="H40319" t="s">
        <v>35252</v>
      </c>
    </row>
    <row r="40320" spans="6:8">
      <c r="H40320" t="s">
        <v>35253</v>
      </c>
    </row>
    <row r="40321" spans="6:8">
      <c r="F40321" t="s">
        <v>13960</v>
      </c>
      <c r="G40321" t="s">
        <v>17986</v>
      </c>
      <c r="H40321" t="s">
        <v>18829</v>
      </c>
    </row>
    <row r="40322" spans="6:8">
      <c r="H40322" t="s">
        <v>35254</v>
      </c>
    </row>
    <row r="40323" spans="6:8">
      <c r="H40323" t="s">
        <v>35255</v>
      </c>
    </row>
    <row r="40324" spans="6:8">
      <c r="H40324" t="s">
        <v>35250</v>
      </c>
    </row>
    <row r="40325" spans="6:8">
      <c r="H40325" t="s">
        <v>35256</v>
      </c>
    </row>
    <row r="40326" spans="6:8">
      <c r="H40326" t="s">
        <v>35257</v>
      </c>
    </row>
    <row r="40327" spans="6:8">
      <c r="H40327" t="s">
        <v>35258</v>
      </c>
    </row>
    <row r="40328" spans="6:8">
      <c r="H40328" t="s">
        <v>35259</v>
      </c>
    </row>
    <row r="40329" spans="6:8">
      <c r="H40329" t="s">
        <v>35260</v>
      </c>
    </row>
    <row r="40330" spans="6:8">
      <c r="H40330" t="s">
        <v>35261</v>
      </c>
    </row>
    <row r="40331" spans="6:8">
      <c r="H40331" t="s">
        <v>35262</v>
      </c>
    </row>
    <row r="40332" spans="6:8">
      <c r="H40332" t="s">
        <v>20340</v>
      </c>
    </row>
    <row r="40333" spans="6:8">
      <c r="F40333" t="s">
        <v>14315</v>
      </c>
      <c r="G40333" t="s">
        <v>18272</v>
      </c>
      <c r="H40333" t="s">
        <v>19981</v>
      </c>
    </row>
    <row r="40334" spans="6:8">
      <c r="H40334" t="s">
        <v>35263</v>
      </c>
    </row>
    <row r="40335" spans="6:8">
      <c r="H40335" t="s">
        <v>34877</v>
      </c>
    </row>
    <row r="40336" spans="6:8">
      <c r="H40336" t="s">
        <v>35264</v>
      </c>
    </row>
    <row r="40337" spans="6:8">
      <c r="H40337" t="s">
        <v>35265</v>
      </c>
    </row>
    <row r="40338" spans="6:8">
      <c r="F40338" t="s">
        <v>10726</v>
      </c>
      <c r="G40338" t="s">
        <v>15125</v>
      </c>
      <c r="H40338" t="s">
        <v>22023</v>
      </c>
    </row>
    <row r="40339" spans="6:8">
      <c r="H40339" t="s">
        <v>35266</v>
      </c>
    </row>
    <row r="40340" spans="6:8">
      <c r="H40340" t="s">
        <v>35267</v>
      </c>
    </row>
    <row r="40341" spans="6:8">
      <c r="H40341" t="s">
        <v>35268</v>
      </c>
    </row>
    <row r="40342" spans="6:8">
      <c r="H40342" t="s">
        <v>35269</v>
      </c>
    </row>
    <row r="40343" spans="6:8">
      <c r="H40343" t="s">
        <v>35270</v>
      </c>
    </row>
    <row r="40344" spans="6:8">
      <c r="H40344" t="s">
        <v>35271</v>
      </c>
    </row>
    <row r="40345" spans="6:8">
      <c r="F40345" t="s">
        <v>11449</v>
      </c>
      <c r="G40345" t="s">
        <v>15689</v>
      </c>
      <c r="H40345" t="s">
        <v>31759</v>
      </c>
    </row>
    <row r="40346" spans="6:8">
      <c r="H40346" t="s">
        <v>35272</v>
      </c>
    </row>
    <row r="40347" spans="6:8">
      <c r="H40347" t="s">
        <v>35273</v>
      </c>
    </row>
    <row r="40348" spans="6:8">
      <c r="H40348" t="s">
        <v>35274</v>
      </c>
    </row>
    <row r="40349" spans="6:8">
      <c r="H40349" t="s">
        <v>35275</v>
      </c>
    </row>
    <row r="40350" spans="6:8">
      <c r="H40350" t="s">
        <v>35276</v>
      </c>
    </row>
    <row r="40351" spans="6:8">
      <c r="H40351" t="s">
        <v>35277</v>
      </c>
    </row>
    <row r="40352" spans="6:8">
      <c r="H40352" t="s">
        <v>35278</v>
      </c>
    </row>
    <row r="40353" spans="8:8">
      <c r="H40353" t="s">
        <v>35279</v>
      </c>
    </row>
    <row r="40354" spans="8:8">
      <c r="H40354" t="s">
        <v>35280</v>
      </c>
    </row>
    <row r="40355" spans="8:8">
      <c r="H40355" t="s">
        <v>35281</v>
      </c>
    </row>
    <row r="40356" spans="8:8">
      <c r="H40356" t="s">
        <v>35282</v>
      </c>
    </row>
    <row r="40357" spans="8:8">
      <c r="H40357" t="s">
        <v>35283</v>
      </c>
    </row>
    <row r="40358" spans="8:8">
      <c r="H40358" t="s">
        <v>35284</v>
      </c>
    </row>
    <row r="40359" spans="8:8">
      <c r="H40359" t="s">
        <v>35285</v>
      </c>
    </row>
    <row r="40360" spans="8:8">
      <c r="H40360" t="s">
        <v>35286</v>
      </c>
    </row>
    <row r="40361" spans="8:8">
      <c r="H40361" t="s">
        <v>35287</v>
      </c>
    </row>
    <row r="40362" spans="8:8">
      <c r="H40362" t="s">
        <v>35288</v>
      </c>
    </row>
    <row r="40363" spans="8:8">
      <c r="H40363" t="s">
        <v>35289</v>
      </c>
    </row>
    <row r="40364" spans="8:8">
      <c r="H40364" t="s">
        <v>35290</v>
      </c>
    </row>
    <row r="40365" spans="8:8">
      <c r="H40365" t="s">
        <v>35290</v>
      </c>
    </row>
    <row r="40366" spans="8:8">
      <c r="H40366" t="s">
        <v>35291</v>
      </c>
    </row>
    <row r="40367" spans="8:8">
      <c r="H40367" t="s">
        <v>35292</v>
      </c>
    </row>
    <row r="40368" spans="8:8">
      <c r="H40368" t="s">
        <v>35293</v>
      </c>
    </row>
    <row r="40369" spans="6:8">
      <c r="H40369" t="s">
        <v>35294</v>
      </c>
    </row>
    <row r="40370" spans="6:8">
      <c r="H40370" t="s">
        <v>35295</v>
      </c>
    </row>
    <row r="40371" spans="6:8">
      <c r="H40371" t="s">
        <v>35296</v>
      </c>
    </row>
    <row r="40372" spans="6:8">
      <c r="H40372" t="s">
        <v>35297</v>
      </c>
    </row>
    <row r="40373" spans="6:8">
      <c r="H40373" t="s">
        <v>35298</v>
      </c>
    </row>
    <row r="40374" spans="6:8">
      <c r="H40374" t="s">
        <v>35299</v>
      </c>
    </row>
    <row r="40375" spans="6:8">
      <c r="H40375" t="s">
        <v>35300</v>
      </c>
    </row>
    <row r="40376" spans="6:8">
      <c r="H40376" t="s">
        <v>35301</v>
      </c>
    </row>
    <row r="40377" spans="6:8">
      <c r="H40377" t="s">
        <v>35302</v>
      </c>
    </row>
    <row r="40378" spans="6:8">
      <c r="H40378" t="s">
        <v>35303</v>
      </c>
    </row>
    <row r="40379" spans="6:8">
      <c r="H40379" t="s">
        <v>35304</v>
      </c>
    </row>
    <row r="40380" spans="6:8">
      <c r="H40380" t="s">
        <v>35305</v>
      </c>
    </row>
    <row r="40381" spans="6:8">
      <c r="H40381" t="s">
        <v>35306</v>
      </c>
    </row>
    <row r="40382" spans="6:8">
      <c r="F40382" t="s">
        <v>14316</v>
      </c>
      <c r="G40382" t="s">
        <v>18273</v>
      </c>
      <c r="H40382" t="s">
        <v>35307</v>
      </c>
    </row>
    <row r="40383" spans="6:8">
      <c r="F40383" t="s">
        <v>14317</v>
      </c>
      <c r="G40383" t="s">
        <v>18274</v>
      </c>
      <c r="H40383" t="s">
        <v>35308</v>
      </c>
    </row>
    <row r="40384" spans="6:8">
      <c r="H40384" t="s">
        <v>35309</v>
      </c>
    </row>
    <row r="40385" spans="6:8">
      <c r="H40385" t="s">
        <v>35310</v>
      </c>
    </row>
    <row r="40386" spans="6:8">
      <c r="H40386" t="s">
        <v>35311</v>
      </c>
    </row>
    <row r="40387" spans="6:8">
      <c r="H40387" t="s">
        <v>35312</v>
      </c>
    </row>
    <row r="40388" spans="6:8">
      <c r="H40388" t="s">
        <v>35312</v>
      </c>
    </row>
    <row r="40389" spans="6:8">
      <c r="H40389" t="s">
        <v>35313</v>
      </c>
    </row>
    <row r="40390" spans="6:8">
      <c r="H40390" t="s">
        <v>19333</v>
      </c>
    </row>
    <row r="40391" spans="6:8">
      <c r="H40391" t="s">
        <v>35314</v>
      </c>
    </row>
    <row r="40392" spans="6:8">
      <c r="H40392" t="s">
        <v>35315</v>
      </c>
    </row>
    <row r="40393" spans="6:8">
      <c r="H40393" t="s">
        <v>35316</v>
      </c>
    </row>
    <row r="40394" spans="6:8">
      <c r="F40394" t="s">
        <v>14318</v>
      </c>
      <c r="G40394" t="s">
        <v>18275</v>
      </c>
      <c r="H40394" t="s">
        <v>35317</v>
      </c>
    </row>
    <row r="40395" spans="6:8">
      <c r="F40395" t="s">
        <v>14319</v>
      </c>
      <c r="G40395" t="s">
        <v>18276</v>
      </c>
      <c r="H40395" t="s">
        <v>18836</v>
      </c>
    </row>
    <row r="40396" spans="6:8">
      <c r="F40396" t="s">
        <v>14320</v>
      </c>
      <c r="G40396" t="s">
        <v>18277</v>
      </c>
      <c r="H40396" t="s">
        <v>30172</v>
      </c>
    </row>
    <row r="40397" spans="6:8">
      <c r="H40397" t="s">
        <v>35318</v>
      </c>
    </row>
    <row r="40398" spans="6:8">
      <c r="H40398" t="s">
        <v>35319</v>
      </c>
    </row>
    <row r="40399" spans="6:8">
      <c r="H40399" t="s">
        <v>35320</v>
      </c>
    </row>
    <row r="40400" spans="6:8">
      <c r="H40400" t="s">
        <v>35321</v>
      </c>
    </row>
    <row r="40401" spans="6:8">
      <c r="H40401" t="s">
        <v>35322</v>
      </c>
    </row>
    <row r="40402" spans="6:8">
      <c r="F40402" t="s">
        <v>14321</v>
      </c>
      <c r="G40402" t="s">
        <v>18278</v>
      </c>
      <c r="H40402" t="s">
        <v>35323</v>
      </c>
    </row>
    <row r="40403" spans="6:8">
      <c r="H40403" t="s">
        <v>35324</v>
      </c>
    </row>
    <row r="40404" spans="6:8">
      <c r="H40404" t="s">
        <v>35325</v>
      </c>
    </row>
    <row r="40405" spans="6:8">
      <c r="H40405" t="s">
        <v>35326</v>
      </c>
    </row>
    <row r="40406" spans="6:8">
      <c r="H40406" t="s">
        <v>35327</v>
      </c>
    </row>
    <row r="40407" spans="6:8">
      <c r="H40407" t="s">
        <v>35328</v>
      </c>
    </row>
    <row r="40408" spans="6:8">
      <c r="F40408" t="s">
        <v>14322</v>
      </c>
      <c r="G40408" t="s">
        <v>18279</v>
      </c>
      <c r="H40408" t="s">
        <v>27516</v>
      </c>
    </row>
    <row r="40409" spans="6:8">
      <c r="H40409" t="s">
        <v>22358</v>
      </c>
    </row>
    <row r="40410" spans="6:8">
      <c r="H40410" t="s">
        <v>35329</v>
      </c>
    </row>
    <row r="40411" spans="6:8">
      <c r="H40411" t="s">
        <v>35330</v>
      </c>
    </row>
    <row r="40412" spans="6:8">
      <c r="F40412" t="s">
        <v>14323</v>
      </c>
      <c r="G40412" t="s">
        <v>18280</v>
      </c>
      <c r="H40412" t="s">
        <v>18829</v>
      </c>
    </row>
    <row r="40413" spans="6:8">
      <c r="H40413" t="s">
        <v>18863</v>
      </c>
    </row>
    <row r="40414" spans="6:8">
      <c r="H40414" t="s">
        <v>35331</v>
      </c>
    </row>
    <row r="40415" spans="6:8">
      <c r="H40415" t="s">
        <v>35332</v>
      </c>
    </row>
    <row r="40416" spans="6:8">
      <c r="H40416" t="s">
        <v>35333</v>
      </c>
    </row>
    <row r="40417" spans="6:8">
      <c r="H40417" t="s">
        <v>29840</v>
      </c>
    </row>
    <row r="40418" spans="6:8">
      <c r="H40418" t="s">
        <v>35334</v>
      </c>
    </row>
    <row r="40419" spans="6:8">
      <c r="H40419" t="s">
        <v>35335</v>
      </c>
    </row>
    <row r="40420" spans="6:8">
      <c r="H40420" t="s">
        <v>19007</v>
      </c>
    </row>
    <row r="40421" spans="6:8">
      <c r="H40421" t="s">
        <v>35336</v>
      </c>
    </row>
    <row r="40422" spans="6:8">
      <c r="F40422" t="s">
        <v>14324</v>
      </c>
      <c r="G40422" t="s">
        <v>18281</v>
      </c>
      <c r="H40422" t="s">
        <v>35337</v>
      </c>
    </row>
    <row r="40423" spans="6:8">
      <c r="H40423" t="s">
        <v>35338</v>
      </c>
    </row>
    <row r="40424" spans="6:8">
      <c r="H40424" t="s">
        <v>35339</v>
      </c>
    </row>
    <row r="40425" spans="6:8">
      <c r="H40425" t="s">
        <v>35340</v>
      </c>
    </row>
    <row r="40426" spans="6:8">
      <c r="H40426" t="s">
        <v>35341</v>
      </c>
    </row>
    <row r="40427" spans="6:8">
      <c r="H40427" t="s">
        <v>35342</v>
      </c>
    </row>
    <row r="40428" spans="6:8">
      <c r="F40428" t="s">
        <v>14102</v>
      </c>
      <c r="G40428" t="s">
        <v>18095</v>
      </c>
      <c r="H40428" t="s">
        <v>34079</v>
      </c>
    </row>
    <row r="40429" spans="6:8">
      <c r="H40429" t="s">
        <v>34080</v>
      </c>
    </row>
    <row r="40430" spans="6:8">
      <c r="H40430" t="s">
        <v>18829</v>
      </c>
    </row>
    <row r="40431" spans="6:8">
      <c r="H40431" t="s">
        <v>18863</v>
      </c>
    </row>
    <row r="40432" spans="6:8">
      <c r="H40432" t="s">
        <v>35343</v>
      </c>
    </row>
    <row r="40433" spans="8:8">
      <c r="H40433" t="s">
        <v>19019</v>
      </c>
    </row>
    <row r="40434" spans="8:8">
      <c r="H40434" t="s">
        <v>35344</v>
      </c>
    </row>
    <row r="40435" spans="8:8">
      <c r="H40435" t="s">
        <v>35345</v>
      </c>
    </row>
    <row r="40436" spans="8:8">
      <c r="H40436" t="s">
        <v>35346</v>
      </c>
    </row>
    <row r="40437" spans="8:8">
      <c r="H40437" t="s">
        <v>35347</v>
      </c>
    </row>
    <row r="40438" spans="8:8">
      <c r="H40438" t="s">
        <v>35348</v>
      </c>
    </row>
    <row r="40439" spans="8:8">
      <c r="H40439" t="s">
        <v>35349</v>
      </c>
    </row>
    <row r="40440" spans="8:8">
      <c r="H40440" t="s">
        <v>35350</v>
      </c>
    </row>
    <row r="40441" spans="8:8">
      <c r="H40441" t="s">
        <v>35351</v>
      </c>
    </row>
    <row r="40442" spans="8:8">
      <c r="H40442" t="s">
        <v>35352</v>
      </c>
    </row>
    <row r="40443" spans="8:8">
      <c r="H40443" t="s">
        <v>35353</v>
      </c>
    </row>
    <row r="40444" spans="8:8">
      <c r="H40444" t="s">
        <v>35354</v>
      </c>
    </row>
    <row r="40445" spans="8:8">
      <c r="H40445" t="s">
        <v>35355</v>
      </c>
    </row>
    <row r="40446" spans="8:8">
      <c r="H40446" t="s">
        <v>24966</v>
      </c>
    </row>
    <row r="40447" spans="8:8">
      <c r="H40447" t="s">
        <v>35356</v>
      </c>
    </row>
    <row r="40448" spans="8:8">
      <c r="H40448" t="s">
        <v>35357</v>
      </c>
    </row>
    <row r="40449" spans="1:8">
      <c r="H40449" t="s">
        <v>35358</v>
      </c>
    </row>
    <row r="40450" spans="1:8">
      <c r="H40450" t="s">
        <v>35359</v>
      </c>
    </row>
    <row r="40451" spans="1:8">
      <c r="A40451" t="s">
        <v>3509</v>
      </c>
      <c r="B40451">
        <f>HYPERLINK("https://android.googlesource.com/platform/cts/+/0422ee2cb32c900b3911f40c67f9dedb3f780da6", "0422ee2cb32c900b3911f40c67f9dedb3f780da6")</f>
        <v>0</v>
      </c>
      <c r="C40451">
        <f>HYPERLINK("https://android.googlesource.com/platform/cts/+/c29ffa3e5caa87117802312775d947a642d8798c", "c29ffa3e5caa87117802312775d947a642d8798c")</f>
        <v>0</v>
      </c>
      <c r="D40451" t="s">
        <v>5576</v>
      </c>
      <c r="E40451" t="s">
        <v>9203</v>
      </c>
      <c r="F40451" t="s">
        <v>13857</v>
      </c>
      <c r="G40451" t="s">
        <v>17899</v>
      </c>
      <c r="H40451" t="s">
        <v>18829</v>
      </c>
    </row>
    <row r="40452" spans="1:8">
      <c r="H40452" t="s">
        <v>18863</v>
      </c>
    </row>
    <row r="40453" spans="1:8">
      <c r="H40453" t="s">
        <v>34807</v>
      </c>
    </row>
    <row r="40454" spans="1:8">
      <c r="H40454" t="s">
        <v>34808</v>
      </c>
    </row>
    <row r="40455" spans="1:8">
      <c r="H40455" t="s">
        <v>34809</v>
      </c>
    </row>
    <row r="40456" spans="1:8">
      <c r="H40456" t="s">
        <v>34810</v>
      </c>
    </row>
    <row r="40457" spans="1:8">
      <c r="H40457" t="s">
        <v>34811</v>
      </c>
    </row>
    <row r="40458" spans="1:8">
      <c r="H40458" t="s">
        <v>34812</v>
      </c>
    </row>
    <row r="40459" spans="1:8">
      <c r="H40459" t="s">
        <v>34813</v>
      </c>
    </row>
    <row r="40460" spans="1:8">
      <c r="F40460" t="s">
        <v>13976</v>
      </c>
      <c r="G40460" t="s">
        <v>18001</v>
      </c>
      <c r="H40460" t="s">
        <v>18829</v>
      </c>
    </row>
    <row r="40461" spans="1:8">
      <c r="H40461" t="s">
        <v>18863</v>
      </c>
    </row>
    <row r="40462" spans="1:8">
      <c r="H40462" t="s">
        <v>34814</v>
      </c>
    </row>
    <row r="40463" spans="1:8">
      <c r="H40463" t="s">
        <v>34815</v>
      </c>
    </row>
    <row r="40464" spans="1:8">
      <c r="H40464" t="s">
        <v>34816</v>
      </c>
    </row>
    <row r="40465" spans="6:8">
      <c r="H40465" t="s">
        <v>34817</v>
      </c>
    </row>
    <row r="40466" spans="6:8">
      <c r="H40466" t="s">
        <v>34818</v>
      </c>
    </row>
    <row r="40467" spans="6:8">
      <c r="H40467" t="s">
        <v>34819</v>
      </c>
    </row>
    <row r="40468" spans="6:8">
      <c r="H40468" t="s">
        <v>34820</v>
      </c>
    </row>
    <row r="40469" spans="6:8">
      <c r="H40469" t="s">
        <v>34821</v>
      </c>
    </row>
    <row r="40470" spans="6:8">
      <c r="H40470" t="s">
        <v>34822</v>
      </c>
    </row>
    <row r="40471" spans="6:8">
      <c r="F40471" t="s">
        <v>13977</v>
      </c>
      <c r="G40471" t="s">
        <v>18002</v>
      </c>
      <c r="H40471" t="s">
        <v>34823</v>
      </c>
    </row>
    <row r="40472" spans="6:8">
      <c r="H40472" t="s">
        <v>18930</v>
      </c>
    </row>
    <row r="40473" spans="6:8">
      <c r="H40473" t="s">
        <v>19372</v>
      </c>
    </row>
    <row r="40474" spans="6:8">
      <c r="H40474" t="s">
        <v>34824</v>
      </c>
    </row>
    <row r="40475" spans="6:8">
      <c r="H40475" t="s">
        <v>34825</v>
      </c>
    </row>
    <row r="40476" spans="6:8">
      <c r="H40476" t="s">
        <v>34826</v>
      </c>
    </row>
    <row r="40477" spans="6:8">
      <c r="H40477" t="s">
        <v>34827</v>
      </c>
    </row>
    <row r="40478" spans="6:8">
      <c r="H40478" t="s">
        <v>31669</v>
      </c>
    </row>
    <row r="40479" spans="6:8">
      <c r="H40479" t="s">
        <v>32387</v>
      </c>
    </row>
    <row r="40480" spans="6:8">
      <c r="H40480" t="s">
        <v>34828</v>
      </c>
    </row>
    <row r="40481" spans="6:8">
      <c r="H40481" t="s">
        <v>31986</v>
      </c>
    </row>
    <row r="40482" spans="6:8">
      <c r="H40482" t="s">
        <v>34829</v>
      </c>
    </row>
    <row r="40483" spans="6:8">
      <c r="H40483" t="s">
        <v>34830</v>
      </c>
    </row>
    <row r="40484" spans="6:8">
      <c r="H40484" t="s">
        <v>34831</v>
      </c>
    </row>
    <row r="40485" spans="6:8">
      <c r="H40485" t="s">
        <v>34832</v>
      </c>
    </row>
    <row r="40486" spans="6:8">
      <c r="H40486" t="s">
        <v>18829</v>
      </c>
    </row>
    <row r="40487" spans="6:8">
      <c r="H40487" t="s">
        <v>18863</v>
      </c>
    </row>
    <row r="40488" spans="6:8">
      <c r="H40488" t="s">
        <v>33907</v>
      </c>
    </row>
    <row r="40489" spans="6:8">
      <c r="H40489" t="s">
        <v>33908</v>
      </c>
    </row>
    <row r="40490" spans="6:8">
      <c r="F40490" t="s">
        <v>12416</v>
      </c>
      <c r="G40490" t="s">
        <v>16638</v>
      </c>
      <c r="H40490" t="s">
        <v>26496</v>
      </c>
    </row>
    <row r="40491" spans="6:8">
      <c r="H40491" t="s">
        <v>18829</v>
      </c>
    </row>
    <row r="40492" spans="6:8">
      <c r="H40492" t="s">
        <v>18863</v>
      </c>
    </row>
    <row r="40493" spans="6:8">
      <c r="H40493" t="s">
        <v>34833</v>
      </c>
    </row>
    <row r="40494" spans="6:8">
      <c r="H40494" t="s">
        <v>34834</v>
      </c>
    </row>
    <row r="40495" spans="6:8">
      <c r="H40495" t="s">
        <v>34835</v>
      </c>
    </row>
    <row r="40496" spans="6:8">
      <c r="H40496" t="s">
        <v>29215</v>
      </c>
    </row>
    <row r="40497" spans="8:8">
      <c r="H40497" t="s">
        <v>27130</v>
      </c>
    </row>
    <row r="40498" spans="8:8">
      <c r="H40498" t="s">
        <v>34836</v>
      </c>
    </row>
    <row r="40499" spans="8:8">
      <c r="H40499" t="s">
        <v>34837</v>
      </c>
    </row>
    <row r="40500" spans="8:8">
      <c r="H40500" t="s">
        <v>34838</v>
      </c>
    </row>
    <row r="40501" spans="8:8">
      <c r="H40501" t="s">
        <v>34839</v>
      </c>
    </row>
    <row r="40502" spans="8:8">
      <c r="H40502" t="s">
        <v>34840</v>
      </c>
    </row>
    <row r="40503" spans="8:8">
      <c r="H40503" t="s">
        <v>34841</v>
      </c>
    </row>
    <row r="40504" spans="8:8">
      <c r="H40504" t="s">
        <v>34842</v>
      </c>
    </row>
    <row r="40505" spans="8:8">
      <c r="H40505" t="s">
        <v>34843</v>
      </c>
    </row>
    <row r="40506" spans="8:8">
      <c r="H40506" t="s">
        <v>34844</v>
      </c>
    </row>
    <row r="40507" spans="8:8">
      <c r="H40507" t="s">
        <v>34845</v>
      </c>
    </row>
    <row r="40508" spans="8:8">
      <c r="H40508" t="s">
        <v>34846</v>
      </c>
    </row>
    <row r="40509" spans="8:8">
      <c r="H40509" t="s">
        <v>34847</v>
      </c>
    </row>
    <row r="40510" spans="8:8">
      <c r="H40510" t="s">
        <v>31500</v>
      </c>
    </row>
    <row r="40511" spans="8:8">
      <c r="H40511" t="s">
        <v>34848</v>
      </c>
    </row>
    <row r="40512" spans="8:8">
      <c r="H40512" t="s">
        <v>34051</v>
      </c>
    </row>
    <row r="40513" spans="8:8">
      <c r="H40513" t="s">
        <v>34052</v>
      </c>
    </row>
    <row r="40514" spans="8:8">
      <c r="H40514" t="s">
        <v>34849</v>
      </c>
    </row>
    <row r="40515" spans="8:8">
      <c r="H40515" t="s">
        <v>34850</v>
      </c>
    </row>
    <row r="40516" spans="8:8">
      <c r="H40516" t="s">
        <v>34851</v>
      </c>
    </row>
    <row r="40517" spans="8:8">
      <c r="H40517" t="s">
        <v>26751</v>
      </c>
    </row>
    <row r="40518" spans="8:8">
      <c r="H40518" t="s">
        <v>34852</v>
      </c>
    </row>
    <row r="40519" spans="8:8">
      <c r="H40519" t="s">
        <v>34853</v>
      </c>
    </row>
    <row r="40520" spans="8:8">
      <c r="H40520" t="s">
        <v>34854</v>
      </c>
    </row>
    <row r="40521" spans="8:8">
      <c r="H40521" t="s">
        <v>34855</v>
      </c>
    </row>
    <row r="40522" spans="8:8">
      <c r="H40522" t="s">
        <v>34856</v>
      </c>
    </row>
    <row r="40523" spans="8:8">
      <c r="H40523" t="s">
        <v>34857</v>
      </c>
    </row>
    <row r="40524" spans="8:8">
      <c r="H40524" t="s">
        <v>34858</v>
      </c>
    </row>
    <row r="40525" spans="8:8">
      <c r="H40525" t="s">
        <v>34859</v>
      </c>
    </row>
    <row r="40526" spans="8:8">
      <c r="H40526" t="s">
        <v>34860</v>
      </c>
    </row>
    <row r="40527" spans="8:8">
      <c r="H40527" t="s">
        <v>34861</v>
      </c>
    </row>
    <row r="40528" spans="8:8">
      <c r="H40528" t="s">
        <v>34862</v>
      </c>
    </row>
    <row r="40529" spans="6:8">
      <c r="H40529" t="s">
        <v>34863</v>
      </c>
    </row>
    <row r="40530" spans="6:8">
      <c r="H40530" t="s">
        <v>34864</v>
      </c>
    </row>
    <row r="40531" spans="6:8">
      <c r="H40531" t="s">
        <v>34865</v>
      </c>
    </row>
    <row r="40532" spans="6:8">
      <c r="H40532" t="s">
        <v>34866</v>
      </c>
    </row>
    <row r="40533" spans="6:8">
      <c r="H40533" t="s">
        <v>34866</v>
      </c>
    </row>
    <row r="40534" spans="6:8">
      <c r="H40534" t="s">
        <v>34867</v>
      </c>
    </row>
    <row r="40535" spans="6:8">
      <c r="H40535" t="s">
        <v>34868</v>
      </c>
    </row>
    <row r="40536" spans="6:8">
      <c r="H40536" t="s">
        <v>34869</v>
      </c>
    </row>
    <row r="40537" spans="6:8">
      <c r="H40537" t="s">
        <v>19019</v>
      </c>
    </row>
    <row r="40538" spans="6:8">
      <c r="H40538" t="s">
        <v>34870</v>
      </c>
    </row>
    <row r="40539" spans="6:8">
      <c r="H40539" t="s">
        <v>32277</v>
      </c>
    </row>
    <row r="40540" spans="6:8">
      <c r="H40540" t="s">
        <v>19019</v>
      </c>
    </row>
    <row r="40541" spans="6:8">
      <c r="H40541" t="s">
        <v>24966</v>
      </c>
    </row>
    <row r="40542" spans="6:8">
      <c r="F40542" t="s">
        <v>14304</v>
      </c>
      <c r="G40542" t="s">
        <v>18262</v>
      </c>
      <c r="H40542" t="s">
        <v>20244</v>
      </c>
    </row>
    <row r="40543" spans="6:8">
      <c r="H40543" t="s">
        <v>19233</v>
      </c>
    </row>
    <row r="40544" spans="6:8">
      <c r="H40544" t="s">
        <v>18829</v>
      </c>
    </row>
    <row r="40545" spans="6:8">
      <c r="H40545" t="s">
        <v>34871</v>
      </c>
    </row>
    <row r="40546" spans="6:8">
      <c r="H40546" t="s">
        <v>25643</v>
      </c>
    </row>
    <row r="40547" spans="6:8">
      <c r="H40547" t="s">
        <v>31039</v>
      </c>
    </row>
    <row r="40548" spans="6:8">
      <c r="H40548" t="s">
        <v>34872</v>
      </c>
    </row>
    <row r="40549" spans="6:8">
      <c r="H40549" t="s">
        <v>34873</v>
      </c>
    </row>
    <row r="40550" spans="6:8">
      <c r="H40550" t="s">
        <v>34874</v>
      </c>
    </row>
    <row r="40551" spans="6:8">
      <c r="H40551" t="s">
        <v>34875</v>
      </c>
    </row>
    <row r="40552" spans="6:8">
      <c r="H40552" t="s">
        <v>31037</v>
      </c>
    </row>
    <row r="40553" spans="6:8">
      <c r="F40553" t="s">
        <v>13941</v>
      </c>
      <c r="G40553" t="s">
        <v>17972</v>
      </c>
      <c r="H40553" t="s">
        <v>18829</v>
      </c>
    </row>
    <row r="40554" spans="6:8">
      <c r="H40554" t="s">
        <v>32340</v>
      </c>
    </row>
    <row r="40555" spans="6:8">
      <c r="H40555" t="s">
        <v>32342</v>
      </c>
    </row>
    <row r="40556" spans="6:8">
      <c r="H40556" t="s">
        <v>32341</v>
      </c>
    </row>
    <row r="40557" spans="6:8">
      <c r="H40557" t="s">
        <v>32343</v>
      </c>
    </row>
    <row r="40558" spans="6:8">
      <c r="F40558" t="s">
        <v>14305</v>
      </c>
      <c r="G40558" t="s">
        <v>18005</v>
      </c>
      <c r="H40558" t="s">
        <v>19981</v>
      </c>
    </row>
    <row r="40559" spans="6:8">
      <c r="H40559" t="s">
        <v>34876</v>
      </c>
    </row>
    <row r="40560" spans="6:8">
      <c r="H40560" t="s">
        <v>34877</v>
      </c>
    </row>
    <row r="40561" spans="6:8">
      <c r="H40561" t="s">
        <v>34878</v>
      </c>
    </row>
    <row r="40562" spans="6:8">
      <c r="H40562" t="s">
        <v>34879</v>
      </c>
    </row>
    <row r="40563" spans="6:8">
      <c r="F40563" t="s">
        <v>14234</v>
      </c>
      <c r="G40563" t="s">
        <v>18204</v>
      </c>
      <c r="H40563" t="s">
        <v>18829</v>
      </c>
    </row>
    <row r="40564" spans="6:8">
      <c r="H40564" t="s">
        <v>18863</v>
      </c>
    </row>
    <row r="40565" spans="6:8">
      <c r="H40565" t="s">
        <v>34880</v>
      </c>
    </row>
    <row r="40566" spans="6:8">
      <c r="H40566" t="s">
        <v>34881</v>
      </c>
    </row>
    <row r="40567" spans="6:8">
      <c r="H40567" t="s">
        <v>34882</v>
      </c>
    </row>
    <row r="40568" spans="6:8">
      <c r="H40568" t="s">
        <v>34883</v>
      </c>
    </row>
    <row r="40569" spans="6:8">
      <c r="H40569" t="s">
        <v>34884</v>
      </c>
    </row>
    <row r="40570" spans="6:8">
      <c r="H40570" t="s">
        <v>34885</v>
      </c>
    </row>
    <row r="40571" spans="6:8">
      <c r="H40571" t="s">
        <v>34886</v>
      </c>
    </row>
    <row r="40572" spans="6:8">
      <c r="H40572" t="s">
        <v>34887</v>
      </c>
    </row>
    <row r="40573" spans="6:8">
      <c r="H40573" t="s">
        <v>34888</v>
      </c>
    </row>
    <row r="40574" spans="6:8">
      <c r="H40574" t="s">
        <v>34889</v>
      </c>
    </row>
    <row r="40575" spans="6:8">
      <c r="H40575" t="s">
        <v>34890</v>
      </c>
    </row>
    <row r="40576" spans="6:8">
      <c r="H40576" t="s">
        <v>34891</v>
      </c>
    </row>
    <row r="40577" spans="8:8">
      <c r="H40577" t="s">
        <v>34891</v>
      </c>
    </row>
    <row r="40578" spans="8:8">
      <c r="H40578" t="s">
        <v>34892</v>
      </c>
    </row>
    <row r="40579" spans="8:8">
      <c r="H40579" t="s">
        <v>34893</v>
      </c>
    </row>
    <row r="40580" spans="8:8">
      <c r="H40580" t="s">
        <v>34894</v>
      </c>
    </row>
    <row r="40581" spans="8:8">
      <c r="H40581" t="s">
        <v>34895</v>
      </c>
    </row>
    <row r="40582" spans="8:8">
      <c r="H40582" t="s">
        <v>34896</v>
      </c>
    </row>
    <row r="40583" spans="8:8">
      <c r="H40583" t="s">
        <v>34897</v>
      </c>
    </row>
    <row r="40584" spans="8:8">
      <c r="H40584" t="s">
        <v>34898</v>
      </c>
    </row>
    <row r="40585" spans="8:8">
      <c r="H40585" t="s">
        <v>34899</v>
      </c>
    </row>
    <row r="40586" spans="8:8">
      <c r="H40586" t="s">
        <v>34900</v>
      </c>
    </row>
    <row r="40587" spans="8:8">
      <c r="H40587" t="s">
        <v>34900</v>
      </c>
    </row>
    <row r="40588" spans="8:8">
      <c r="H40588" t="s">
        <v>34901</v>
      </c>
    </row>
    <row r="40589" spans="8:8">
      <c r="H40589" t="s">
        <v>34902</v>
      </c>
    </row>
    <row r="40590" spans="8:8">
      <c r="H40590" t="s">
        <v>34020</v>
      </c>
    </row>
    <row r="40591" spans="8:8">
      <c r="H40591" t="s">
        <v>34903</v>
      </c>
    </row>
    <row r="40592" spans="8:8">
      <c r="H40592" t="s">
        <v>19019</v>
      </c>
    </row>
    <row r="40593" spans="6:8">
      <c r="H40593" t="s">
        <v>34904</v>
      </c>
    </row>
    <row r="40594" spans="6:8">
      <c r="F40594" t="s">
        <v>10700</v>
      </c>
      <c r="G40594" t="s">
        <v>15100</v>
      </c>
      <c r="H40594" t="s">
        <v>18829</v>
      </c>
    </row>
    <row r="40595" spans="6:8">
      <c r="H40595" t="s">
        <v>18863</v>
      </c>
    </row>
    <row r="40596" spans="6:8">
      <c r="H40596" t="s">
        <v>34905</v>
      </c>
    </row>
    <row r="40597" spans="6:8">
      <c r="H40597" t="s">
        <v>34906</v>
      </c>
    </row>
    <row r="40598" spans="6:8">
      <c r="H40598" t="s">
        <v>22508</v>
      </c>
    </row>
    <row r="40599" spans="6:8">
      <c r="H40599" t="s">
        <v>34907</v>
      </c>
    </row>
    <row r="40600" spans="6:8">
      <c r="H40600" t="s">
        <v>34908</v>
      </c>
    </row>
    <row r="40601" spans="6:8">
      <c r="H40601" t="s">
        <v>34909</v>
      </c>
    </row>
    <row r="40602" spans="6:8">
      <c r="H40602" t="s">
        <v>34910</v>
      </c>
    </row>
    <row r="40603" spans="6:8">
      <c r="H40603" t="s">
        <v>34911</v>
      </c>
    </row>
    <row r="40604" spans="6:8">
      <c r="H40604" t="s">
        <v>34912</v>
      </c>
    </row>
    <row r="40605" spans="6:8">
      <c r="H40605" t="s">
        <v>34913</v>
      </c>
    </row>
    <row r="40606" spans="6:8">
      <c r="H40606" t="s">
        <v>34914</v>
      </c>
    </row>
    <row r="40607" spans="6:8">
      <c r="H40607" t="s">
        <v>34915</v>
      </c>
    </row>
    <row r="40608" spans="6:8">
      <c r="H40608" t="s">
        <v>34916</v>
      </c>
    </row>
    <row r="40609" spans="8:8">
      <c r="H40609" t="s">
        <v>34917</v>
      </c>
    </row>
    <row r="40610" spans="8:8">
      <c r="H40610" t="s">
        <v>25838</v>
      </c>
    </row>
    <row r="40611" spans="8:8">
      <c r="H40611" t="s">
        <v>34918</v>
      </c>
    </row>
    <row r="40612" spans="8:8">
      <c r="H40612" t="s">
        <v>34919</v>
      </c>
    </row>
    <row r="40613" spans="8:8">
      <c r="H40613" t="s">
        <v>34920</v>
      </c>
    </row>
    <row r="40614" spans="8:8">
      <c r="H40614" t="s">
        <v>25839</v>
      </c>
    </row>
    <row r="40615" spans="8:8">
      <c r="H40615" t="s">
        <v>27479</v>
      </c>
    </row>
    <row r="40616" spans="8:8">
      <c r="H40616" t="s">
        <v>32382</v>
      </c>
    </row>
    <row r="40617" spans="8:8">
      <c r="H40617" t="s">
        <v>34921</v>
      </c>
    </row>
    <row r="40618" spans="8:8">
      <c r="H40618" t="s">
        <v>34922</v>
      </c>
    </row>
    <row r="40619" spans="8:8">
      <c r="H40619" t="s">
        <v>34923</v>
      </c>
    </row>
    <row r="40620" spans="8:8">
      <c r="H40620" t="s">
        <v>34924</v>
      </c>
    </row>
    <row r="40621" spans="8:8">
      <c r="H40621" t="s">
        <v>34925</v>
      </c>
    </row>
    <row r="40622" spans="8:8">
      <c r="H40622" t="s">
        <v>34926</v>
      </c>
    </row>
    <row r="40623" spans="8:8">
      <c r="H40623" t="s">
        <v>34927</v>
      </c>
    </row>
    <row r="40624" spans="8:8">
      <c r="H40624" t="s">
        <v>34928</v>
      </c>
    </row>
    <row r="40625" spans="8:8">
      <c r="H40625" t="s">
        <v>34929</v>
      </c>
    </row>
    <row r="40626" spans="8:8">
      <c r="H40626" t="s">
        <v>34930</v>
      </c>
    </row>
    <row r="40627" spans="8:8">
      <c r="H40627" t="s">
        <v>34931</v>
      </c>
    </row>
    <row r="40628" spans="8:8">
      <c r="H40628" t="s">
        <v>34932</v>
      </c>
    </row>
    <row r="40629" spans="8:8">
      <c r="H40629" t="s">
        <v>34933</v>
      </c>
    </row>
    <row r="40630" spans="8:8">
      <c r="H40630" t="s">
        <v>34934</v>
      </c>
    </row>
    <row r="40631" spans="8:8">
      <c r="H40631" t="s">
        <v>34935</v>
      </c>
    </row>
    <row r="40632" spans="8:8">
      <c r="H40632" t="s">
        <v>34676</v>
      </c>
    </row>
    <row r="40633" spans="8:8">
      <c r="H40633" t="s">
        <v>34936</v>
      </c>
    </row>
    <row r="40634" spans="8:8">
      <c r="H40634" t="s">
        <v>34937</v>
      </c>
    </row>
    <row r="40635" spans="8:8">
      <c r="H40635" t="s">
        <v>34938</v>
      </c>
    </row>
    <row r="40636" spans="8:8">
      <c r="H40636" t="s">
        <v>19372</v>
      </c>
    </row>
    <row r="40637" spans="8:8">
      <c r="H40637" t="s">
        <v>18930</v>
      </c>
    </row>
    <row r="40638" spans="8:8">
      <c r="H40638" t="s">
        <v>34939</v>
      </c>
    </row>
    <row r="40639" spans="8:8">
      <c r="H40639" t="s">
        <v>34940</v>
      </c>
    </row>
    <row r="40640" spans="8:8">
      <c r="H40640" t="s">
        <v>20177</v>
      </c>
    </row>
    <row r="40641" spans="8:8">
      <c r="H40641" t="s">
        <v>33901</v>
      </c>
    </row>
    <row r="40642" spans="8:8">
      <c r="H40642" t="s">
        <v>34827</v>
      </c>
    </row>
    <row r="40643" spans="8:8">
      <c r="H40643" t="s">
        <v>34941</v>
      </c>
    </row>
    <row r="40644" spans="8:8">
      <c r="H40644" t="s">
        <v>34942</v>
      </c>
    </row>
    <row r="40645" spans="8:8">
      <c r="H40645" t="s">
        <v>34943</v>
      </c>
    </row>
    <row r="40646" spans="8:8">
      <c r="H40646" t="s">
        <v>34944</v>
      </c>
    </row>
    <row r="40647" spans="8:8">
      <c r="H40647" t="s">
        <v>34945</v>
      </c>
    </row>
    <row r="40648" spans="8:8">
      <c r="H40648" t="s">
        <v>34946</v>
      </c>
    </row>
    <row r="40649" spans="8:8">
      <c r="H40649" t="s">
        <v>34947</v>
      </c>
    </row>
    <row r="40650" spans="8:8">
      <c r="H40650" t="s">
        <v>34948</v>
      </c>
    </row>
    <row r="40651" spans="8:8">
      <c r="H40651" t="s">
        <v>34949</v>
      </c>
    </row>
    <row r="40652" spans="8:8">
      <c r="H40652" t="s">
        <v>34950</v>
      </c>
    </row>
    <row r="40653" spans="8:8">
      <c r="H40653" t="s">
        <v>34951</v>
      </c>
    </row>
    <row r="40654" spans="8:8">
      <c r="H40654" t="s">
        <v>34952</v>
      </c>
    </row>
    <row r="40655" spans="8:8">
      <c r="H40655" t="s">
        <v>34953</v>
      </c>
    </row>
    <row r="40656" spans="8:8">
      <c r="H40656" t="s">
        <v>34954</v>
      </c>
    </row>
    <row r="40657" spans="6:8">
      <c r="H40657" t="s">
        <v>34955</v>
      </c>
    </row>
    <row r="40658" spans="6:8">
      <c r="H40658" t="s">
        <v>34956</v>
      </c>
    </row>
    <row r="40659" spans="6:8">
      <c r="H40659" t="s">
        <v>34957</v>
      </c>
    </row>
    <row r="40660" spans="6:8">
      <c r="H40660" t="s">
        <v>34958</v>
      </c>
    </row>
    <row r="40661" spans="6:8">
      <c r="H40661" t="s">
        <v>34959</v>
      </c>
    </row>
    <row r="40662" spans="6:8">
      <c r="H40662" t="s">
        <v>34960</v>
      </c>
    </row>
    <row r="40663" spans="6:8">
      <c r="H40663" t="s">
        <v>34006</v>
      </c>
    </row>
    <row r="40664" spans="6:8">
      <c r="H40664" t="s">
        <v>34961</v>
      </c>
    </row>
    <row r="40665" spans="6:8">
      <c r="H40665" t="s">
        <v>34962</v>
      </c>
    </row>
    <row r="40666" spans="6:8">
      <c r="H40666" t="s">
        <v>34963</v>
      </c>
    </row>
    <row r="40667" spans="6:8">
      <c r="H40667" t="s">
        <v>31668</v>
      </c>
    </row>
    <row r="40668" spans="6:8">
      <c r="H40668" t="s">
        <v>32385</v>
      </c>
    </row>
    <row r="40669" spans="6:8">
      <c r="H40669" t="s">
        <v>34964</v>
      </c>
    </row>
    <row r="40670" spans="6:8">
      <c r="H40670" t="s">
        <v>34965</v>
      </c>
    </row>
    <row r="40671" spans="6:8">
      <c r="H40671" t="s">
        <v>34966</v>
      </c>
    </row>
    <row r="40672" spans="6:8">
      <c r="F40672" t="s">
        <v>14306</v>
      </c>
      <c r="G40672" t="s">
        <v>18263</v>
      </c>
      <c r="H40672" t="s">
        <v>34967</v>
      </c>
    </row>
    <row r="40673" spans="6:8">
      <c r="F40673" t="s">
        <v>13837</v>
      </c>
      <c r="G40673" t="s">
        <v>17880</v>
      </c>
      <c r="H40673" t="s">
        <v>18829</v>
      </c>
    </row>
    <row r="40674" spans="6:8">
      <c r="H40674" t="s">
        <v>18863</v>
      </c>
    </row>
    <row r="40675" spans="6:8">
      <c r="H40675" t="s">
        <v>34968</v>
      </c>
    </row>
    <row r="40676" spans="6:8">
      <c r="H40676" t="s">
        <v>34969</v>
      </c>
    </row>
    <row r="40677" spans="6:8">
      <c r="H40677" t="s">
        <v>27735</v>
      </c>
    </row>
    <row r="40678" spans="6:8">
      <c r="H40678" t="s">
        <v>34970</v>
      </c>
    </row>
    <row r="40679" spans="6:8">
      <c r="H40679" t="s">
        <v>34971</v>
      </c>
    </row>
    <row r="40680" spans="6:8">
      <c r="H40680" t="s">
        <v>34972</v>
      </c>
    </row>
    <row r="40681" spans="6:8">
      <c r="H40681" t="s">
        <v>34973</v>
      </c>
    </row>
    <row r="40682" spans="6:8">
      <c r="H40682" t="s">
        <v>34974</v>
      </c>
    </row>
    <row r="40683" spans="6:8">
      <c r="H40683" t="s">
        <v>34975</v>
      </c>
    </row>
    <row r="40684" spans="6:8">
      <c r="H40684" t="s">
        <v>34975</v>
      </c>
    </row>
    <row r="40685" spans="6:8">
      <c r="H40685" t="s">
        <v>31970</v>
      </c>
    </row>
    <row r="40686" spans="6:8">
      <c r="H40686" t="s">
        <v>31970</v>
      </c>
    </row>
    <row r="40687" spans="6:8">
      <c r="H40687" t="s">
        <v>34976</v>
      </c>
    </row>
    <row r="40688" spans="6:8">
      <c r="H40688" t="s">
        <v>31971</v>
      </c>
    </row>
    <row r="40689" spans="8:8">
      <c r="H40689" t="s">
        <v>20177</v>
      </c>
    </row>
    <row r="40690" spans="8:8">
      <c r="H40690" t="s">
        <v>31967</v>
      </c>
    </row>
    <row r="40691" spans="8:8">
      <c r="H40691" t="s">
        <v>34977</v>
      </c>
    </row>
    <row r="40692" spans="8:8">
      <c r="H40692" t="s">
        <v>34978</v>
      </c>
    </row>
    <row r="40693" spans="8:8">
      <c r="H40693" t="s">
        <v>34979</v>
      </c>
    </row>
    <row r="40694" spans="8:8">
      <c r="H40694" t="s">
        <v>31852</v>
      </c>
    </row>
    <row r="40695" spans="8:8">
      <c r="H40695" t="s">
        <v>34980</v>
      </c>
    </row>
    <row r="40696" spans="8:8">
      <c r="H40696" t="s">
        <v>34981</v>
      </c>
    </row>
    <row r="40697" spans="8:8">
      <c r="H40697" t="s">
        <v>34982</v>
      </c>
    </row>
    <row r="40698" spans="8:8">
      <c r="H40698" t="s">
        <v>34983</v>
      </c>
    </row>
    <row r="40699" spans="8:8">
      <c r="H40699" t="s">
        <v>34984</v>
      </c>
    </row>
    <row r="40700" spans="8:8">
      <c r="H40700" t="s">
        <v>34985</v>
      </c>
    </row>
    <row r="40701" spans="8:8">
      <c r="H40701" t="s">
        <v>34986</v>
      </c>
    </row>
    <row r="40702" spans="8:8">
      <c r="H40702" t="s">
        <v>34987</v>
      </c>
    </row>
    <row r="40703" spans="8:8">
      <c r="H40703" t="s">
        <v>34988</v>
      </c>
    </row>
    <row r="40704" spans="8:8">
      <c r="H40704" t="s">
        <v>34989</v>
      </c>
    </row>
    <row r="40705" spans="8:8">
      <c r="H40705" t="s">
        <v>34990</v>
      </c>
    </row>
    <row r="40706" spans="8:8">
      <c r="H40706" t="s">
        <v>34991</v>
      </c>
    </row>
    <row r="40707" spans="8:8">
      <c r="H40707" t="s">
        <v>34992</v>
      </c>
    </row>
    <row r="40708" spans="8:8">
      <c r="H40708" t="s">
        <v>34993</v>
      </c>
    </row>
    <row r="40709" spans="8:8">
      <c r="H40709" t="s">
        <v>34994</v>
      </c>
    </row>
    <row r="40710" spans="8:8">
      <c r="H40710" t="s">
        <v>34995</v>
      </c>
    </row>
    <row r="40711" spans="8:8">
      <c r="H40711" t="s">
        <v>34996</v>
      </c>
    </row>
    <row r="40712" spans="8:8">
      <c r="H40712" t="s">
        <v>34997</v>
      </c>
    </row>
    <row r="40713" spans="8:8">
      <c r="H40713" t="s">
        <v>31970</v>
      </c>
    </row>
    <row r="40714" spans="8:8">
      <c r="H40714" t="s">
        <v>34976</v>
      </c>
    </row>
    <row r="40715" spans="8:8">
      <c r="H40715" t="s">
        <v>34998</v>
      </c>
    </row>
    <row r="40716" spans="8:8">
      <c r="H40716" t="s">
        <v>34999</v>
      </c>
    </row>
    <row r="40717" spans="8:8">
      <c r="H40717" t="s">
        <v>35000</v>
      </c>
    </row>
    <row r="40718" spans="8:8">
      <c r="H40718" t="s">
        <v>35001</v>
      </c>
    </row>
    <row r="40719" spans="8:8">
      <c r="H40719" t="s">
        <v>31971</v>
      </c>
    </row>
    <row r="40720" spans="8:8">
      <c r="H40720" t="s">
        <v>20177</v>
      </c>
    </row>
    <row r="40721" spans="6:8">
      <c r="H40721" t="s">
        <v>35002</v>
      </c>
    </row>
    <row r="40722" spans="6:8">
      <c r="H40722" t="s">
        <v>35003</v>
      </c>
    </row>
    <row r="40723" spans="6:8">
      <c r="H40723" t="s">
        <v>35004</v>
      </c>
    </row>
    <row r="40724" spans="6:8">
      <c r="H40724" t="s">
        <v>35005</v>
      </c>
    </row>
    <row r="40725" spans="6:8">
      <c r="H40725" t="s">
        <v>35006</v>
      </c>
    </row>
    <row r="40726" spans="6:8">
      <c r="H40726" t="s">
        <v>35007</v>
      </c>
    </row>
    <row r="40727" spans="6:8">
      <c r="H40727" t="s">
        <v>35008</v>
      </c>
    </row>
    <row r="40728" spans="6:8">
      <c r="H40728" t="s">
        <v>35009</v>
      </c>
    </row>
    <row r="40729" spans="6:8">
      <c r="H40729" t="s">
        <v>35010</v>
      </c>
    </row>
    <row r="40730" spans="6:8">
      <c r="H40730" t="s">
        <v>35011</v>
      </c>
    </row>
    <row r="40731" spans="6:8">
      <c r="H40731" t="s">
        <v>35012</v>
      </c>
    </row>
    <row r="40732" spans="6:8">
      <c r="H40732" t="s">
        <v>35013</v>
      </c>
    </row>
    <row r="40733" spans="6:8">
      <c r="H40733" t="s">
        <v>35014</v>
      </c>
    </row>
    <row r="40734" spans="6:8">
      <c r="H40734" t="s">
        <v>35015</v>
      </c>
    </row>
    <row r="40735" spans="6:8">
      <c r="F40735" t="s">
        <v>12201</v>
      </c>
      <c r="G40735" t="s">
        <v>16439</v>
      </c>
      <c r="H40735" t="s">
        <v>18829</v>
      </c>
    </row>
    <row r="40736" spans="6:8">
      <c r="H40736" t="s">
        <v>21327</v>
      </c>
    </row>
    <row r="40737" spans="6:8">
      <c r="H40737" t="s">
        <v>21328</v>
      </c>
    </row>
    <row r="40738" spans="6:8">
      <c r="H40738" t="s">
        <v>35016</v>
      </c>
    </row>
    <row r="40739" spans="6:8">
      <c r="H40739" t="s">
        <v>35017</v>
      </c>
    </row>
    <row r="40740" spans="6:8">
      <c r="F40740" t="s">
        <v>14222</v>
      </c>
      <c r="G40740" t="s">
        <v>18195</v>
      </c>
      <c r="H40740" t="s">
        <v>35018</v>
      </c>
    </row>
    <row r="40741" spans="6:8">
      <c r="H40741" t="s">
        <v>18863</v>
      </c>
    </row>
    <row r="40742" spans="6:8">
      <c r="H40742" t="s">
        <v>34106</v>
      </c>
    </row>
    <row r="40743" spans="6:8">
      <c r="H40743" t="s">
        <v>35019</v>
      </c>
    </row>
    <row r="40744" spans="6:8">
      <c r="H40744" t="s">
        <v>35020</v>
      </c>
    </row>
    <row r="40745" spans="6:8">
      <c r="H40745" t="s">
        <v>35020</v>
      </c>
    </row>
    <row r="40746" spans="6:8">
      <c r="H40746" t="s">
        <v>35021</v>
      </c>
    </row>
    <row r="40747" spans="6:8">
      <c r="H40747" t="s">
        <v>35022</v>
      </c>
    </row>
    <row r="40748" spans="6:8">
      <c r="H40748" t="s">
        <v>35023</v>
      </c>
    </row>
    <row r="40749" spans="6:8">
      <c r="H40749" t="s">
        <v>35024</v>
      </c>
    </row>
    <row r="40750" spans="6:8">
      <c r="H40750" t="s">
        <v>35025</v>
      </c>
    </row>
    <row r="40751" spans="6:8">
      <c r="H40751" t="s">
        <v>35026</v>
      </c>
    </row>
    <row r="40752" spans="6:8">
      <c r="H40752" t="s">
        <v>35027</v>
      </c>
    </row>
    <row r="40753" spans="6:8">
      <c r="H40753" t="s">
        <v>35028</v>
      </c>
    </row>
    <row r="40754" spans="6:8">
      <c r="H40754" t="s">
        <v>35029</v>
      </c>
    </row>
    <row r="40755" spans="6:8">
      <c r="H40755" t="s">
        <v>35030</v>
      </c>
    </row>
    <row r="40756" spans="6:8">
      <c r="H40756" t="s">
        <v>35031</v>
      </c>
    </row>
    <row r="40757" spans="6:8">
      <c r="H40757" t="s">
        <v>35032</v>
      </c>
    </row>
    <row r="40758" spans="6:8">
      <c r="H40758" t="s">
        <v>35033</v>
      </c>
    </row>
    <row r="40759" spans="6:8">
      <c r="H40759" t="s">
        <v>35034</v>
      </c>
    </row>
    <row r="40760" spans="6:8">
      <c r="H40760" t="s">
        <v>35035</v>
      </c>
    </row>
    <row r="40761" spans="6:8">
      <c r="H40761" t="s">
        <v>35036</v>
      </c>
    </row>
    <row r="40762" spans="6:8">
      <c r="H40762" t="s">
        <v>35037</v>
      </c>
    </row>
    <row r="40763" spans="6:8">
      <c r="H40763" t="s">
        <v>35038</v>
      </c>
    </row>
    <row r="40764" spans="6:8">
      <c r="H40764" t="s">
        <v>35039</v>
      </c>
    </row>
    <row r="40765" spans="6:8">
      <c r="F40765" t="s">
        <v>14307</v>
      </c>
      <c r="G40765" t="s">
        <v>18264</v>
      </c>
      <c r="H40765" t="s">
        <v>35040</v>
      </c>
    </row>
    <row r="40766" spans="6:8">
      <c r="H40766" t="s">
        <v>35041</v>
      </c>
    </row>
    <row r="40767" spans="6:8">
      <c r="H40767" t="s">
        <v>35042</v>
      </c>
    </row>
    <row r="40768" spans="6:8">
      <c r="H40768" t="s">
        <v>35043</v>
      </c>
    </row>
    <row r="40769" spans="6:8">
      <c r="H40769" t="s">
        <v>35044</v>
      </c>
    </row>
    <row r="40770" spans="6:8">
      <c r="H40770" t="s">
        <v>35045</v>
      </c>
    </row>
    <row r="40771" spans="6:8">
      <c r="H40771" t="s">
        <v>35046</v>
      </c>
    </row>
    <row r="40772" spans="6:8">
      <c r="H40772" t="s">
        <v>35047</v>
      </c>
    </row>
    <row r="40773" spans="6:8">
      <c r="F40773" t="s">
        <v>14159</v>
      </c>
      <c r="G40773" t="s">
        <v>18145</v>
      </c>
      <c r="H40773" t="s">
        <v>18829</v>
      </c>
    </row>
    <row r="40774" spans="6:8">
      <c r="H40774" t="s">
        <v>18836</v>
      </c>
    </row>
    <row r="40775" spans="6:8">
      <c r="H40775" t="s">
        <v>35048</v>
      </c>
    </row>
    <row r="40776" spans="6:8">
      <c r="H40776" t="s">
        <v>35049</v>
      </c>
    </row>
    <row r="40777" spans="6:8">
      <c r="H40777" t="s">
        <v>35050</v>
      </c>
    </row>
    <row r="40778" spans="6:8">
      <c r="F40778" t="s">
        <v>14308</v>
      </c>
      <c r="G40778" t="s">
        <v>18265</v>
      </c>
      <c r="H40778" t="s">
        <v>18829</v>
      </c>
    </row>
    <row r="40779" spans="6:8">
      <c r="H40779" t="s">
        <v>26408</v>
      </c>
    </row>
    <row r="40780" spans="6:8">
      <c r="H40780" t="s">
        <v>30464</v>
      </c>
    </row>
    <row r="40781" spans="6:8">
      <c r="H40781" t="s">
        <v>30466</v>
      </c>
    </row>
    <row r="40782" spans="6:8">
      <c r="H40782" t="s">
        <v>35051</v>
      </c>
    </row>
    <row r="40783" spans="6:8">
      <c r="H40783" t="s">
        <v>35052</v>
      </c>
    </row>
    <row r="40784" spans="6:8">
      <c r="H40784" t="s">
        <v>35053</v>
      </c>
    </row>
    <row r="40785" spans="8:8">
      <c r="H40785" t="s">
        <v>30466</v>
      </c>
    </row>
    <row r="40786" spans="8:8">
      <c r="H40786" t="s">
        <v>25704</v>
      </c>
    </row>
    <row r="40787" spans="8:8">
      <c r="H40787" t="s">
        <v>35054</v>
      </c>
    </row>
    <row r="40788" spans="8:8">
      <c r="H40788" t="s">
        <v>35055</v>
      </c>
    </row>
    <row r="40789" spans="8:8">
      <c r="H40789" t="s">
        <v>35056</v>
      </c>
    </row>
    <row r="40790" spans="8:8">
      <c r="H40790" t="s">
        <v>35057</v>
      </c>
    </row>
    <row r="40791" spans="8:8">
      <c r="H40791" t="s">
        <v>35058</v>
      </c>
    </row>
    <row r="40792" spans="8:8">
      <c r="H40792" t="s">
        <v>35059</v>
      </c>
    </row>
    <row r="40793" spans="8:8">
      <c r="H40793" t="s">
        <v>35059</v>
      </c>
    </row>
    <row r="40794" spans="8:8">
      <c r="H40794" t="s">
        <v>35052</v>
      </c>
    </row>
    <row r="40795" spans="8:8">
      <c r="H40795" t="s">
        <v>35058</v>
      </c>
    </row>
    <row r="40796" spans="8:8">
      <c r="H40796" t="s">
        <v>30466</v>
      </c>
    </row>
    <row r="40797" spans="8:8">
      <c r="H40797" t="s">
        <v>25704</v>
      </c>
    </row>
    <row r="40798" spans="8:8">
      <c r="H40798" t="s">
        <v>35053</v>
      </c>
    </row>
    <row r="40799" spans="8:8">
      <c r="H40799" t="s">
        <v>35054</v>
      </c>
    </row>
    <row r="40800" spans="8:8">
      <c r="H40800" t="s">
        <v>35055</v>
      </c>
    </row>
    <row r="40801" spans="8:8">
      <c r="H40801" t="s">
        <v>35060</v>
      </c>
    </row>
    <row r="40802" spans="8:8">
      <c r="H40802" t="s">
        <v>35052</v>
      </c>
    </row>
    <row r="40803" spans="8:8">
      <c r="H40803" t="s">
        <v>35053</v>
      </c>
    </row>
    <row r="40804" spans="8:8">
      <c r="H40804" t="s">
        <v>30466</v>
      </c>
    </row>
    <row r="40805" spans="8:8">
      <c r="H40805" t="s">
        <v>25704</v>
      </c>
    </row>
    <row r="40806" spans="8:8">
      <c r="H40806" t="s">
        <v>35054</v>
      </c>
    </row>
    <row r="40807" spans="8:8">
      <c r="H40807" t="s">
        <v>35055</v>
      </c>
    </row>
    <row r="40808" spans="8:8">
      <c r="H40808" t="s">
        <v>35061</v>
      </c>
    </row>
    <row r="40809" spans="8:8">
      <c r="H40809" t="s">
        <v>35062</v>
      </c>
    </row>
    <row r="40810" spans="8:8">
      <c r="H40810" t="s">
        <v>35063</v>
      </c>
    </row>
    <row r="40811" spans="8:8">
      <c r="H40811" t="s">
        <v>35064</v>
      </c>
    </row>
    <row r="40812" spans="8:8">
      <c r="H40812" t="s">
        <v>35065</v>
      </c>
    </row>
    <row r="40813" spans="8:8">
      <c r="H40813" t="s">
        <v>35066</v>
      </c>
    </row>
    <row r="40814" spans="8:8">
      <c r="H40814" t="s">
        <v>35067</v>
      </c>
    </row>
    <row r="40815" spans="8:8">
      <c r="H40815" t="s">
        <v>35068</v>
      </c>
    </row>
    <row r="40816" spans="8:8">
      <c r="H40816" t="s">
        <v>30465</v>
      </c>
    </row>
    <row r="40817" spans="6:8">
      <c r="H40817" t="s">
        <v>35069</v>
      </c>
    </row>
    <row r="40818" spans="6:8">
      <c r="H40818" t="s">
        <v>35070</v>
      </c>
    </row>
    <row r="40819" spans="6:8">
      <c r="H40819" t="s">
        <v>35071</v>
      </c>
    </row>
    <row r="40820" spans="6:8">
      <c r="H40820" t="s">
        <v>35072</v>
      </c>
    </row>
    <row r="40821" spans="6:8">
      <c r="H40821" t="s">
        <v>35073</v>
      </c>
    </row>
    <row r="40822" spans="6:8">
      <c r="H40822" t="s">
        <v>35074</v>
      </c>
    </row>
    <row r="40823" spans="6:8">
      <c r="H40823" t="s">
        <v>35075</v>
      </c>
    </row>
    <row r="40824" spans="6:8">
      <c r="F40824" t="s">
        <v>13309</v>
      </c>
      <c r="G40824" t="s">
        <v>17442</v>
      </c>
      <c r="H40824" t="s">
        <v>29102</v>
      </c>
    </row>
    <row r="40825" spans="6:8">
      <c r="H40825" t="s">
        <v>35076</v>
      </c>
    </row>
    <row r="40826" spans="6:8">
      <c r="H40826" t="s">
        <v>35077</v>
      </c>
    </row>
    <row r="40827" spans="6:8">
      <c r="H40827" t="s">
        <v>35078</v>
      </c>
    </row>
    <row r="40828" spans="6:8">
      <c r="H40828" t="s">
        <v>35079</v>
      </c>
    </row>
    <row r="40829" spans="6:8">
      <c r="H40829" t="s">
        <v>29103</v>
      </c>
    </row>
    <row r="40830" spans="6:8">
      <c r="H40830" t="s">
        <v>35080</v>
      </c>
    </row>
    <row r="40831" spans="6:8">
      <c r="H40831" t="s">
        <v>35081</v>
      </c>
    </row>
    <row r="40832" spans="6:8">
      <c r="H40832" t="s">
        <v>35082</v>
      </c>
    </row>
    <row r="40833" spans="8:8">
      <c r="H40833" t="s">
        <v>35083</v>
      </c>
    </row>
    <row r="40834" spans="8:8">
      <c r="H40834" t="s">
        <v>35084</v>
      </c>
    </row>
    <row r="40835" spans="8:8">
      <c r="H40835" t="s">
        <v>35085</v>
      </c>
    </row>
    <row r="40836" spans="8:8">
      <c r="H40836" t="s">
        <v>35086</v>
      </c>
    </row>
    <row r="40837" spans="8:8">
      <c r="H40837" t="s">
        <v>35087</v>
      </c>
    </row>
    <row r="40838" spans="8:8">
      <c r="H40838" t="s">
        <v>35088</v>
      </c>
    </row>
    <row r="40839" spans="8:8">
      <c r="H40839" t="s">
        <v>35089</v>
      </c>
    </row>
    <row r="40840" spans="8:8">
      <c r="H40840" t="s">
        <v>35090</v>
      </c>
    </row>
    <row r="40841" spans="8:8">
      <c r="H40841" t="s">
        <v>35091</v>
      </c>
    </row>
    <row r="40842" spans="8:8">
      <c r="H40842" t="s">
        <v>35092</v>
      </c>
    </row>
    <row r="40843" spans="8:8">
      <c r="H40843" t="s">
        <v>35093</v>
      </c>
    </row>
    <row r="40844" spans="8:8">
      <c r="H40844" t="s">
        <v>35094</v>
      </c>
    </row>
    <row r="40845" spans="8:8">
      <c r="H40845" t="s">
        <v>35095</v>
      </c>
    </row>
    <row r="40846" spans="8:8">
      <c r="H40846" t="s">
        <v>35096</v>
      </c>
    </row>
    <row r="40847" spans="8:8">
      <c r="H40847" t="s">
        <v>35097</v>
      </c>
    </row>
    <row r="40848" spans="8:8">
      <c r="H40848" t="s">
        <v>35098</v>
      </c>
    </row>
    <row r="40849" spans="8:8">
      <c r="H40849" t="s">
        <v>35099</v>
      </c>
    </row>
    <row r="40850" spans="8:8">
      <c r="H40850" t="s">
        <v>35100</v>
      </c>
    </row>
    <row r="40851" spans="8:8">
      <c r="H40851" t="s">
        <v>35101</v>
      </c>
    </row>
    <row r="40852" spans="8:8">
      <c r="H40852" t="s">
        <v>35102</v>
      </c>
    </row>
    <row r="40853" spans="8:8">
      <c r="H40853" t="s">
        <v>35103</v>
      </c>
    </row>
    <row r="40854" spans="8:8">
      <c r="H40854" t="s">
        <v>35104</v>
      </c>
    </row>
    <row r="40855" spans="8:8">
      <c r="H40855" t="s">
        <v>35105</v>
      </c>
    </row>
    <row r="40856" spans="8:8">
      <c r="H40856" t="s">
        <v>35106</v>
      </c>
    </row>
    <row r="40857" spans="8:8">
      <c r="H40857" t="s">
        <v>35107</v>
      </c>
    </row>
    <row r="40858" spans="8:8">
      <c r="H40858" t="s">
        <v>35108</v>
      </c>
    </row>
    <row r="40859" spans="8:8">
      <c r="H40859" t="s">
        <v>35109</v>
      </c>
    </row>
    <row r="40860" spans="8:8">
      <c r="H40860" t="s">
        <v>35110</v>
      </c>
    </row>
    <row r="40861" spans="8:8">
      <c r="H40861" t="s">
        <v>35111</v>
      </c>
    </row>
    <row r="40862" spans="8:8">
      <c r="H40862" t="s">
        <v>35112</v>
      </c>
    </row>
    <row r="40863" spans="8:8">
      <c r="H40863" t="s">
        <v>35113</v>
      </c>
    </row>
    <row r="40864" spans="8:8">
      <c r="H40864" t="s">
        <v>35114</v>
      </c>
    </row>
    <row r="40865" spans="8:8">
      <c r="H40865" t="s">
        <v>35115</v>
      </c>
    </row>
    <row r="40866" spans="8:8">
      <c r="H40866" t="s">
        <v>35116</v>
      </c>
    </row>
    <row r="40867" spans="8:8">
      <c r="H40867" t="s">
        <v>35117</v>
      </c>
    </row>
    <row r="40868" spans="8:8">
      <c r="H40868" t="s">
        <v>35118</v>
      </c>
    </row>
    <row r="40869" spans="8:8">
      <c r="H40869" t="s">
        <v>35119</v>
      </c>
    </row>
    <row r="40870" spans="8:8">
      <c r="H40870" t="s">
        <v>35120</v>
      </c>
    </row>
    <row r="40871" spans="8:8">
      <c r="H40871" t="s">
        <v>35121</v>
      </c>
    </row>
    <row r="40872" spans="8:8">
      <c r="H40872" t="s">
        <v>35122</v>
      </c>
    </row>
    <row r="40873" spans="8:8">
      <c r="H40873" t="s">
        <v>35123</v>
      </c>
    </row>
    <row r="40874" spans="8:8">
      <c r="H40874" t="s">
        <v>35124</v>
      </c>
    </row>
    <row r="40875" spans="8:8">
      <c r="H40875" t="s">
        <v>35125</v>
      </c>
    </row>
    <row r="40876" spans="8:8">
      <c r="H40876" t="s">
        <v>35126</v>
      </c>
    </row>
    <row r="40877" spans="8:8">
      <c r="H40877" t="s">
        <v>35127</v>
      </c>
    </row>
    <row r="40878" spans="8:8">
      <c r="H40878" t="s">
        <v>35128</v>
      </c>
    </row>
    <row r="40879" spans="8:8">
      <c r="H40879" t="s">
        <v>35129</v>
      </c>
    </row>
    <row r="40880" spans="8:8">
      <c r="H40880" t="s">
        <v>35130</v>
      </c>
    </row>
    <row r="40881" spans="8:8">
      <c r="H40881" t="s">
        <v>35131</v>
      </c>
    </row>
    <row r="40882" spans="8:8">
      <c r="H40882" t="s">
        <v>35132</v>
      </c>
    </row>
    <row r="40883" spans="8:8">
      <c r="H40883" t="s">
        <v>35133</v>
      </c>
    </row>
    <row r="40884" spans="8:8">
      <c r="H40884" t="s">
        <v>35134</v>
      </c>
    </row>
    <row r="40885" spans="8:8">
      <c r="H40885" t="s">
        <v>35135</v>
      </c>
    </row>
    <row r="40886" spans="8:8">
      <c r="H40886" t="s">
        <v>35136</v>
      </c>
    </row>
    <row r="40887" spans="8:8">
      <c r="H40887" t="s">
        <v>35137</v>
      </c>
    </row>
    <row r="40888" spans="8:8">
      <c r="H40888" t="s">
        <v>35138</v>
      </c>
    </row>
    <row r="40889" spans="8:8">
      <c r="H40889" t="s">
        <v>35139</v>
      </c>
    </row>
    <row r="40890" spans="8:8">
      <c r="H40890" t="s">
        <v>35140</v>
      </c>
    </row>
    <row r="40891" spans="8:8">
      <c r="H40891" t="s">
        <v>35141</v>
      </c>
    </row>
    <row r="40892" spans="8:8">
      <c r="H40892" t="s">
        <v>35142</v>
      </c>
    </row>
    <row r="40893" spans="8:8">
      <c r="H40893" t="s">
        <v>35143</v>
      </c>
    </row>
    <row r="40894" spans="8:8">
      <c r="H40894" t="s">
        <v>35144</v>
      </c>
    </row>
    <row r="40895" spans="8:8">
      <c r="H40895" t="s">
        <v>35145</v>
      </c>
    </row>
    <row r="40896" spans="8:8">
      <c r="H40896" t="s">
        <v>35146</v>
      </c>
    </row>
    <row r="40897" spans="6:8">
      <c r="H40897" t="s">
        <v>35147</v>
      </c>
    </row>
    <row r="40898" spans="6:8">
      <c r="H40898" t="s">
        <v>35148</v>
      </c>
    </row>
    <row r="40899" spans="6:8">
      <c r="H40899" t="s">
        <v>35149</v>
      </c>
    </row>
    <row r="40900" spans="6:8">
      <c r="H40900" t="s">
        <v>35150</v>
      </c>
    </row>
    <row r="40901" spans="6:8">
      <c r="H40901" t="s">
        <v>35151</v>
      </c>
    </row>
    <row r="40902" spans="6:8">
      <c r="H40902" t="s">
        <v>35152</v>
      </c>
    </row>
    <row r="40903" spans="6:8">
      <c r="H40903" t="s">
        <v>35153</v>
      </c>
    </row>
    <row r="40904" spans="6:8">
      <c r="H40904" t="s">
        <v>35154</v>
      </c>
    </row>
    <row r="40905" spans="6:8">
      <c r="H40905" t="s">
        <v>35155</v>
      </c>
    </row>
    <row r="40906" spans="6:8">
      <c r="H40906" t="s">
        <v>35156</v>
      </c>
    </row>
    <row r="40907" spans="6:8">
      <c r="F40907" t="s">
        <v>13928</v>
      </c>
      <c r="G40907" t="s">
        <v>17964</v>
      </c>
      <c r="H40907" t="s">
        <v>35157</v>
      </c>
    </row>
    <row r="40908" spans="6:8">
      <c r="H40908" t="s">
        <v>18829</v>
      </c>
    </row>
    <row r="40909" spans="6:8">
      <c r="H40909" t="s">
        <v>35158</v>
      </c>
    </row>
    <row r="40910" spans="6:8">
      <c r="H40910" t="s">
        <v>35159</v>
      </c>
    </row>
    <row r="40911" spans="6:8">
      <c r="H40911" t="s">
        <v>35160</v>
      </c>
    </row>
    <row r="40912" spans="6:8">
      <c r="H40912" t="s">
        <v>35161</v>
      </c>
    </row>
    <row r="40913" spans="8:8">
      <c r="H40913" t="s">
        <v>35162</v>
      </c>
    </row>
    <row r="40914" spans="8:8">
      <c r="H40914" t="s">
        <v>35162</v>
      </c>
    </row>
    <row r="40915" spans="8:8">
      <c r="H40915" t="s">
        <v>35162</v>
      </c>
    </row>
    <row r="40916" spans="8:8">
      <c r="H40916" t="s">
        <v>35163</v>
      </c>
    </row>
    <row r="40917" spans="8:8">
      <c r="H40917" t="s">
        <v>35164</v>
      </c>
    </row>
    <row r="40918" spans="8:8">
      <c r="H40918" t="s">
        <v>35165</v>
      </c>
    </row>
    <row r="40919" spans="8:8">
      <c r="H40919" t="s">
        <v>35166</v>
      </c>
    </row>
    <row r="40920" spans="8:8">
      <c r="H40920" t="s">
        <v>35167</v>
      </c>
    </row>
    <row r="40921" spans="8:8">
      <c r="H40921" t="s">
        <v>35168</v>
      </c>
    </row>
    <row r="40922" spans="8:8">
      <c r="H40922" t="s">
        <v>35169</v>
      </c>
    </row>
    <row r="40923" spans="8:8">
      <c r="H40923" t="s">
        <v>35170</v>
      </c>
    </row>
    <row r="40924" spans="8:8">
      <c r="H40924" t="s">
        <v>35171</v>
      </c>
    </row>
    <row r="40925" spans="8:8">
      <c r="H40925" t="s">
        <v>35172</v>
      </c>
    </row>
    <row r="40926" spans="8:8">
      <c r="H40926" t="s">
        <v>35173</v>
      </c>
    </row>
    <row r="40927" spans="8:8">
      <c r="H40927" t="s">
        <v>35174</v>
      </c>
    </row>
    <row r="40928" spans="8:8">
      <c r="H40928" t="s">
        <v>35175</v>
      </c>
    </row>
    <row r="40929" spans="8:8">
      <c r="H40929" t="s">
        <v>35176</v>
      </c>
    </row>
    <row r="40930" spans="8:8">
      <c r="H40930" t="s">
        <v>35177</v>
      </c>
    </row>
    <row r="40931" spans="8:8">
      <c r="H40931" t="s">
        <v>35178</v>
      </c>
    </row>
    <row r="40932" spans="8:8">
      <c r="H40932" t="s">
        <v>35179</v>
      </c>
    </row>
    <row r="40933" spans="8:8">
      <c r="H40933" t="s">
        <v>35180</v>
      </c>
    </row>
    <row r="40934" spans="8:8">
      <c r="H40934" t="s">
        <v>35181</v>
      </c>
    </row>
    <row r="40935" spans="8:8">
      <c r="H40935" t="s">
        <v>35182</v>
      </c>
    </row>
    <row r="40936" spans="8:8">
      <c r="H40936" t="s">
        <v>35183</v>
      </c>
    </row>
    <row r="40937" spans="8:8">
      <c r="H40937" t="s">
        <v>35184</v>
      </c>
    </row>
    <row r="40938" spans="8:8">
      <c r="H40938" t="s">
        <v>35185</v>
      </c>
    </row>
    <row r="40939" spans="8:8">
      <c r="H40939" t="s">
        <v>35186</v>
      </c>
    </row>
    <row r="40940" spans="8:8">
      <c r="H40940" t="s">
        <v>35187</v>
      </c>
    </row>
    <row r="40941" spans="8:8">
      <c r="H40941" t="s">
        <v>35188</v>
      </c>
    </row>
    <row r="40942" spans="8:8">
      <c r="H40942" t="s">
        <v>35189</v>
      </c>
    </row>
    <row r="40943" spans="8:8">
      <c r="H40943" t="s">
        <v>35190</v>
      </c>
    </row>
    <row r="40944" spans="8:8">
      <c r="H40944" t="s">
        <v>35191</v>
      </c>
    </row>
    <row r="40945" spans="6:8">
      <c r="H40945" t="s">
        <v>35192</v>
      </c>
    </row>
    <row r="40946" spans="6:8">
      <c r="H40946" t="s">
        <v>35193</v>
      </c>
    </row>
    <row r="40947" spans="6:8">
      <c r="H40947" t="s">
        <v>35194</v>
      </c>
    </row>
    <row r="40948" spans="6:8">
      <c r="H40948" t="s">
        <v>35195</v>
      </c>
    </row>
    <row r="40949" spans="6:8">
      <c r="H40949" t="s">
        <v>35196</v>
      </c>
    </row>
    <row r="40950" spans="6:8">
      <c r="H40950" t="s">
        <v>35197</v>
      </c>
    </row>
    <row r="40951" spans="6:8">
      <c r="H40951" t="s">
        <v>35198</v>
      </c>
    </row>
    <row r="40952" spans="6:8">
      <c r="F40952" t="s">
        <v>12740</v>
      </c>
      <c r="G40952" t="s">
        <v>16932</v>
      </c>
      <c r="H40952" t="s">
        <v>35199</v>
      </c>
    </row>
    <row r="40953" spans="6:8">
      <c r="F40953" t="s">
        <v>10615</v>
      </c>
      <c r="G40953" t="s">
        <v>15018</v>
      </c>
      <c r="H40953" t="s">
        <v>35200</v>
      </c>
    </row>
    <row r="40954" spans="6:8">
      <c r="F40954" t="s">
        <v>10616</v>
      </c>
      <c r="G40954" t="s">
        <v>15019</v>
      </c>
      <c r="H40954" t="s">
        <v>19183</v>
      </c>
    </row>
    <row r="40955" spans="6:8">
      <c r="H40955" t="s">
        <v>19184</v>
      </c>
    </row>
    <row r="40956" spans="6:8">
      <c r="F40956" t="s">
        <v>13133</v>
      </c>
      <c r="G40956" t="s">
        <v>17291</v>
      </c>
      <c r="H40956" t="s">
        <v>35201</v>
      </c>
    </row>
    <row r="40957" spans="6:8">
      <c r="H40957" t="s">
        <v>25716</v>
      </c>
    </row>
    <row r="40958" spans="6:8">
      <c r="H40958" t="s">
        <v>28041</v>
      </c>
    </row>
    <row r="40959" spans="6:8">
      <c r="H40959" t="s">
        <v>28042</v>
      </c>
    </row>
    <row r="40960" spans="6:8">
      <c r="H40960" t="s">
        <v>35202</v>
      </c>
    </row>
    <row r="40961" spans="6:8">
      <c r="H40961" t="s">
        <v>35203</v>
      </c>
    </row>
    <row r="40962" spans="6:8">
      <c r="H40962" t="s">
        <v>35204</v>
      </c>
    </row>
    <row r="40963" spans="6:8">
      <c r="H40963" t="s">
        <v>35205</v>
      </c>
    </row>
    <row r="40964" spans="6:8">
      <c r="H40964" t="s">
        <v>35206</v>
      </c>
    </row>
    <row r="40965" spans="6:8">
      <c r="H40965" t="s">
        <v>18927</v>
      </c>
    </row>
    <row r="40966" spans="6:8">
      <c r="H40966" t="s">
        <v>35207</v>
      </c>
    </row>
    <row r="40967" spans="6:8">
      <c r="H40967" t="s">
        <v>35208</v>
      </c>
    </row>
    <row r="40968" spans="6:8">
      <c r="H40968" t="s">
        <v>25720</v>
      </c>
    </row>
    <row r="40969" spans="6:8">
      <c r="H40969" t="s">
        <v>28043</v>
      </c>
    </row>
    <row r="40970" spans="6:8">
      <c r="H40970" t="s">
        <v>28044</v>
      </c>
    </row>
    <row r="40971" spans="6:8">
      <c r="H40971" t="s">
        <v>28045</v>
      </c>
    </row>
    <row r="40972" spans="6:8">
      <c r="H40972" t="s">
        <v>28046</v>
      </c>
    </row>
    <row r="40973" spans="6:8">
      <c r="H40973" t="s">
        <v>28047</v>
      </c>
    </row>
    <row r="40974" spans="6:8">
      <c r="H40974" t="s">
        <v>28048</v>
      </c>
    </row>
    <row r="40975" spans="6:8">
      <c r="H40975" t="s">
        <v>25704</v>
      </c>
    </row>
    <row r="40976" spans="6:8">
      <c r="F40976" t="s">
        <v>14309</v>
      </c>
      <c r="G40976" t="s">
        <v>18266</v>
      </c>
      <c r="H40976" t="s">
        <v>18924</v>
      </c>
    </row>
    <row r="40977" spans="6:8">
      <c r="H40977" t="s">
        <v>35209</v>
      </c>
    </row>
    <row r="40978" spans="6:8">
      <c r="H40978" t="s">
        <v>35210</v>
      </c>
    </row>
    <row r="40979" spans="6:8">
      <c r="H40979" t="s">
        <v>35211</v>
      </c>
    </row>
    <row r="40980" spans="6:8">
      <c r="H40980" t="s">
        <v>35212</v>
      </c>
    </row>
    <row r="40981" spans="6:8">
      <c r="H40981" t="s">
        <v>35213</v>
      </c>
    </row>
    <row r="40982" spans="6:8">
      <c r="H40982" t="s">
        <v>35214</v>
      </c>
    </row>
    <row r="40983" spans="6:8">
      <c r="H40983" t="s">
        <v>35215</v>
      </c>
    </row>
    <row r="40984" spans="6:8">
      <c r="F40984" t="s">
        <v>14310</v>
      </c>
      <c r="G40984" t="s">
        <v>18267</v>
      </c>
      <c r="H40984" t="s">
        <v>18829</v>
      </c>
    </row>
    <row r="40985" spans="6:8">
      <c r="H40985" t="s">
        <v>35216</v>
      </c>
    </row>
    <row r="40986" spans="6:8">
      <c r="F40986" t="s">
        <v>14210</v>
      </c>
      <c r="G40986" t="s">
        <v>18186</v>
      </c>
      <c r="H40986" t="s">
        <v>18829</v>
      </c>
    </row>
    <row r="40987" spans="6:8">
      <c r="H40987" t="s">
        <v>18863</v>
      </c>
    </row>
    <row r="40988" spans="6:8">
      <c r="H40988" t="s">
        <v>34969</v>
      </c>
    </row>
    <row r="40989" spans="6:8">
      <c r="H40989" t="s">
        <v>35217</v>
      </c>
    </row>
    <row r="40990" spans="6:8">
      <c r="H40990" t="s">
        <v>35218</v>
      </c>
    </row>
    <row r="40991" spans="6:8">
      <c r="H40991" t="s">
        <v>35219</v>
      </c>
    </row>
    <row r="40992" spans="6:8">
      <c r="H40992" t="s">
        <v>35220</v>
      </c>
    </row>
    <row r="40993" spans="6:8">
      <c r="H40993" t="s">
        <v>35221</v>
      </c>
    </row>
    <row r="40994" spans="6:8">
      <c r="H40994" t="s">
        <v>35222</v>
      </c>
    </row>
    <row r="40995" spans="6:8">
      <c r="H40995" t="s">
        <v>35223</v>
      </c>
    </row>
    <row r="40996" spans="6:8">
      <c r="H40996" t="s">
        <v>35224</v>
      </c>
    </row>
    <row r="40997" spans="6:8">
      <c r="F40997" t="s">
        <v>10617</v>
      </c>
      <c r="G40997" t="s">
        <v>15020</v>
      </c>
      <c r="H40997" t="s">
        <v>19183</v>
      </c>
    </row>
    <row r="40998" spans="6:8">
      <c r="H40998" t="s">
        <v>19184</v>
      </c>
    </row>
    <row r="40999" spans="6:8">
      <c r="F40999" t="s">
        <v>10618</v>
      </c>
      <c r="G40999" t="s">
        <v>15021</v>
      </c>
      <c r="H40999" t="s">
        <v>19183</v>
      </c>
    </row>
    <row r="41000" spans="6:8">
      <c r="H41000" t="s">
        <v>19184</v>
      </c>
    </row>
    <row r="41001" spans="6:8">
      <c r="F41001" t="s">
        <v>13556</v>
      </c>
      <c r="G41001" t="s">
        <v>17663</v>
      </c>
      <c r="H41001" t="s">
        <v>35225</v>
      </c>
    </row>
    <row r="41002" spans="6:8">
      <c r="H41002" t="s">
        <v>35226</v>
      </c>
    </row>
    <row r="41003" spans="6:8">
      <c r="H41003" t="s">
        <v>35227</v>
      </c>
    </row>
    <row r="41004" spans="6:8">
      <c r="H41004" t="s">
        <v>35228</v>
      </c>
    </row>
    <row r="41005" spans="6:8">
      <c r="H41005" t="s">
        <v>35229</v>
      </c>
    </row>
    <row r="41006" spans="6:8">
      <c r="H41006" t="s">
        <v>35230</v>
      </c>
    </row>
    <row r="41007" spans="6:8">
      <c r="H41007" t="s">
        <v>35231</v>
      </c>
    </row>
    <row r="41008" spans="6:8">
      <c r="H41008" t="s">
        <v>35232</v>
      </c>
    </row>
    <row r="41009" spans="6:8">
      <c r="H41009" t="s">
        <v>35233</v>
      </c>
    </row>
    <row r="41010" spans="6:8">
      <c r="H41010" t="s">
        <v>35234</v>
      </c>
    </row>
    <row r="41011" spans="6:8">
      <c r="H41011" t="s">
        <v>35235</v>
      </c>
    </row>
    <row r="41012" spans="6:8">
      <c r="H41012" t="s">
        <v>35236</v>
      </c>
    </row>
    <row r="41013" spans="6:8">
      <c r="F41013" t="s">
        <v>14311</v>
      </c>
      <c r="G41013" t="s">
        <v>18268</v>
      </c>
      <c r="H41013" t="s">
        <v>18829</v>
      </c>
    </row>
    <row r="41014" spans="6:8">
      <c r="H41014" t="s">
        <v>35237</v>
      </c>
    </row>
    <row r="41015" spans="6:8">
      <c r="H41015" t="s">
        <v>35238</v>
      </c>
    </row>
    <row r="41016" spans="6:8">
      <c r="H41016" t="s">
        <v>35239</v>
      </c>
    </row>
    <row r="41017" spans="6:8">
      <c r="F41017" t="s">
        <v>14312</v>
      </c>
      <c r="G41017" t="s">
        <v>18269</v>
      </c>
      <c r="H41017" t="s">
        <v>18829</v>
      </c>
    </row>
    <row r="41018" spans="6:8">
      <c r="H41018" t="s">
        <v>18863</v>
      </c>
    </row>
    <row r="41019" spans="6:8">
      <c r="H41019" t="s">
        <v>31527</v>
      </c>
    </row>
    <row r="41020" spans="6:8">
      <c r="H41020" t="s">
        <v>35240</v>
      </c>
    </row>
    <row r="41021" spans="6:8">
      <c r="H41021" t="s">
        <v>35241</v>
      </c>
    </row>
    <row r="41022" spans="6:8">
      <c r="H41022" t="s">
        <v>34968</v>
      </c>
    </row>
    <row r="41023" spans="6:8">
      <c r="H41023" t="s">
        <v>35242</v>
      </c>
    </row>
    <row r="41024" spans="6:8">
      <c r="H41024" t="s">
        <v>35243</v>
      </c>
    </row>
    <row r="41025" spans="6:8">
      <c r="H41025" t="s">
        <v>35244</v>
      </c>
    </row>
    <row r="41026" spans="6:8">
      <c r="H41026" t="s">
        <v>31775</v>
      </c>
    </row>
    <row r="41027" spans="6:8">
      <c r="H41027" t="s">
        <v>35245</v>
      </c>
    </row>
    <row r="41028" spans="6:8">
      <c r="H41028" t="s">
        <v>35246</v>
      </c>
    </row>
    <row r="41029" spans="6:8">
      <c r="F41029" t="s">
        <v>14313</v>
      </c>
      <c r="G41029" t="s">
        <v>18270</v>
      </c>
      <c r="H41029" t="s">
        <v>18836</v>
      </c>
    </row>
    <row r="41030" spans="6:8">
      <c r="H41030" t="s">
        <v>35247</v>
      </c>
    </row>
    <row r="41031" spans="6:8">
      <c r="H41031" t="s">
        <v>35248</v>
      </c>
    </row>
    <row r="41032" spans="6:8">
      <c r="H41032" t="s">
        <v>35249</v>
      </c>
    </row>
    <row r="41033" spans="6:8">
      <c r="H41033" t="s">
        <v>35048</v>
      </c>
    </row>
    <row r="41034" spans="6:8">
      <c r="F41034" t="s">
        <v>10600</v>
      </c>
      <c r="G41034" t="s">
        <v>15003</v>
      </c>
      <c r="H41034" t="s">
        <v>18836</v>
      </c>
    </row>
    <row r="41035" spans="6:8">
      <c r="H41035" t="s">
        <v>35250</v>
      </c>
    </row>
    <row r="41036" spans="6:8">
      <c r="F41036" t="s">
        <v>14314</v>
      </c>
      <c r="G41036" t="s">
        <v>18271</v>
      </c>
      <c r="H41036" t="s">
        <v>35251</v>
      </c>
    </row>
    <row r="41037" spans="6:8">
      <c r="H41037" t="s">
        <v>35252</v>
      </c>
    </row>
    <row r="41038" spans="6:8">
      <c r="H41038" t="s">
        <v>35253</v>
      </c>
    </row>
    <row r="41039" spans="6:8">
      <c r="F41039" t="s">
        <v>13960</v>
      </c>
      <c r="G41039" t="s">
        <v>17986</v>
      </c>
      <c r="H41039" t="s">
        <v>18829</v>
      </c>
    </row>
    <row r="41040" spans="6:8">
      <c r="H41040" t="s">
        <v>35254</v>
      </c>
    </row>
    <row r="41041" spans="6:8">
      <c r="H41041" t="s">
        <v>35255</v>
      </c>
    </row>
    <row r="41042" spans="6:8">
      <c r="H41042" t="s">
        <v>35250</v>
      </c>
    </row>
    <row r="41043" spans="6:8">
      <c r="H41043" t="s">
        <v>35256</v>
      </c>
    </row>
    <row r="41044" spans="6:8">
      <c r="H41044" t="s">
        <v>35257</v>
      </c>
    </row>
    <row r="41045" spans="6:8">
      <c r="H41045" t="s">
        <v>35258</v>
      </c>
    </row>
    <row r="41046" spans="6:8">
      <c r="H41046" t="s">
        <v>35259</v>
      </c>
    </row>
    <row r="41047" spans="6:8">
      <c r="H41047" t="s">
        <v>35260</v>
      </c>
    </row>
    <row r="41048" spans="6:8">
      <c r="H41048" t="s">
        <v>35261</v>
      </c>
    </row>
    <row r="41049" spans="6:8">
      <c r="H41049" t="s">
        <v>35262</v>
      </c>
    </row>
    <row r="41050" spans="6:8">
      <c r="H41050" t="s">
        <v>20340</v>
      </c>
    </row>
    <row r="41051" spans="6:8">
      <c r="F41051" t="s">
        <v>14315</v>
      </c>
      <c r="G41051" t="s">
        <v>18272</v>
      </c>
      <c r="H41051" t="s">
        <v>19981</v>
      </c>
    </row>
    <row r="41052" spans="6:8">
      <c r="H41052" t="s">
        <v>35263</v>
      </c>
    </row>
    <row r="41053" spans="6:8">
      <c r="H41053" t="s">
        <v>34877</v>
      </c>
    </row>
    <row r="41054" spans="6:8">
      <c r="H41054" t="s">
        <v>35264</v>
      </c>
    </row>
    <row r="41055" spans="6:8">
      <c r="H41055" t="s">
        <v>35265</v>
      </c>
    </row>
    <row r="41056" spans="6:8">
      <c r="F41056" t="s">
        <v>10726</v>
      </c>
      <c r="G41056" t="s">
        <v>15125</v>
      </c>
      <c r="H41056" t="s">
        <v>22023</v>
      </c>
    </row>
    <row r="41057" spans="6:8">
      <c r="H41057" t="s">
        <v>35266</v>
      </c>
    </row>
    <row r="41058" spans="6:8">
      <c r="H41058" t="s">
        <v>35267</v>
      </c>
    </row>
    <row r="41059" spans="6:8">
      <c r="H41059" t="s">
        <v>35268</v>
      </c>
    </row>
    <row r="41060" spans="6:8">
      <c r="H41060" t="s">
        <v>35269</v>
      </c>
    </row>
    <row r="41061" spans="6:8">
      <c r="H41061" t="s">
        <v>35270</v>
      </c>
    </row>
    <row r="41062" spans="6:8">
      <c r="H41062" t="s">
        <v>35271</v>
      </c>
    </row>
    <row r="41063" spans="6:8">
      <c r="F41063" t="s">
        <v>11449</v>
      </c>
      <c r="G41063" t="s">
        <v>15689</v>
      </c>
      <c r="H41063" t="s">
        <v>31759</v>
      </c>
    </row>
    <row r="41064" spans="6:8">
      <c r="H41064" t="s">
        <v>35272</v>
      </c>
    </row>
    <row r="41065" spans="6:8">
      <c r="H41065" t="s">
        <v>35273</v>
      </c>
    </row>
    <row r="41066" spans="6:8">
      <c r="H41066" t="s">
        <v>35274</v>
      </c>
    </row>
    <row r="41067" spans="6:8">
      <c r="H41067" t="s">
        <v>35275</v>
      </c>
    </row>
    <row r="41068" spans="6:8">
      <c r="H41068" t="s">
        <v>35276</v>
      </c>
    </row>
    <row r="41069" spans="6:8">
      <c r="H41069" t="s">
        <v>35277</v>
      </c>
    </row>
    <row r="41070" spans="6:8">
      <c r="H41070" t="s">
        <v>35278</v>
      </c>
    </row>
    <row r="41071" spans="6:8">
      <c r="H41071" t="s">
        <v>35279</v>
      </c>
    </row>
    <row r="41072" spans="6:8">
      <c r="H41072" t="s">
        <v>35280</v>
      </c>
    </row>
    <row r="41073" spans="8:8">
      <c r="H41073" t="s">
        <v>35281</v>
      </c>
    </row>
    <row r="41074" spans="8:8">
      <c r="H41074" t="s">
        <v>35282</v>
      </c>
    </row>
    <row r="41075" spans="8:8">
      <c r="H41075" t="s">
        <v>35283</v>
      </c>
    </row>
    <row r="41076" spans="8:8">
      <c r="H41076" t="s">
        <v>35284</v>
      </c>
    </row>
    <row r="41077" spans="8:8">
      <c r="H41077" t="s">
        <v>35285</v>
      </c>
    </row>
    <row r="41078" spans="8:8">
      <c r="H41078" t="s">
        <v>35286</v>
      </c>
    </row>
    <row r="41079" spans="8:8">
      <c r="H41079" t="s">
        <v>35287</v>
      </c>
    </row>
    <row r="41080" spans="8:8">
      <c r="H41080" t="s">
        <v>35288</v>
      </c>
    </row>
    <row r="41081" spans="8:8">
      <c r="H41081" t="s">
        <v>35289</v>
      </c>
    </row>
    <row r="41082" spans="8:8">
      <c r="H41082" t="s">
        <v>35290</v>
      </c>
    </row>
    <row r="41083" spans="8:8">
      <c r="H41083" t="s">
        <v>35290</v>
      </c>
    </row>
    <row r="41084" spans="8:8">
      <c r="H41084" t="s">
        <v>35291</v>
      </c>
    </row>
    <row r="41085" spans="8:8">
      <c r="H41085" t="s">
        <v>35292</v>
      </c>
    </row>
    <row r="41086" spans="8:8">
      <c r="H41086" t="s">
        <v>35293</v>
      </c>
    </row>
    <row r="41087" spans="8:8">
      <c r="H41087" t="s">
        <v>35294</v>
      </c>
    </row>
    <row r="41088" spans="8:8">
      <c r="H41088" t="s">
        <v>35295</v>
      </c>
    </row>
    <row r="41089" spans="6:8">
      <c r="H41089" t="s">
        <v>35296</v>
      </c>
    </row>
    <row r="41090" spans="6:8">
      <c r="H41090" t="s">
        <v>35297</v>
      </c>
    </row>
    <row r="41091" spans="6:8">
      <c r="H41091" t="s">
        <v>35298</v>
      </c>
    </row>
    <row r="41092" spans="6:8">
      <c r="H41092" t="s">
        <v>35299</v>
      </c>
    </row>
    <row r="41093" spans="6:8">
      <c r="H41093" t="s">
        <v>35300</v>
      </c>
    </row>
    <row r="41094" spans="6:8">
      <c r="H41094" t="s">
        <v>35301</v>
      </c>
    </row>
    <row r="41095" spans="6:8">
      <c r="H41095" t="s">
        <v>35302</v>
      </c>
    </row>
    <row r="41096" spans="6:8">
      <c r="H41096" t="s">
        <v>35303</v>
      </c>
    </row>
    <row r="41097" spans="6:8">
      <c r="H41097" t="s">
        <v>35304</v>
      </c>
    </row>
    <row r="41098" spans="6:8">
      <c r="H41098" t="s">
        <v>35305</v>
      </c>
    </row>
    <row r="41099" spans="6:8">
      <c r="H41099" t="s">
        <v>35306</v>
      </c>
    </row>
    <row r="41100" spans="6:8">
      <c r="F41100" t="s">
        <v>14316</v>
      </c>
      <c r="G41100" t="s">
        <v>18273</v>
      </c>
      <c r="H41100" t="s">
        <v>35307</v>
      </c>
    </row>
    <row r="41101" spans="6:8">
      <c r="F41101" t="s">
        <v>14317</v>
      </c>
      <c r="G41101" t="s">
        <v>18274</v>
      </c>
      <c r="H41101" t="s">
        <v>35308</v>
      </c>
    </row>
    <row r="41102" spans="6:8">
      <c r="H41102" t="s">
        <v>35309</v>
      </c>
    </row>
    <row r="41103" spans="6:8">
      <c r="H41103" t="s">
        <v>35310</v>
      </c>
    </row>
    <row r="41104" spans="6:8">
      <c r="H41104" t="s">
        <v>35311</v>
      </c>
    </row>
    <row r="41105" spans="6:8">
      <c r="H41105" t="s">
        <v>35312</v>
      </c>
    </row>
    <row r="41106" spans="6:8">
      <c r="H41106" t="s">
        <v>35312</v>
      </c>
    </row>
    <row r="41107" spans="6:8">
      <c r="H41107" t="s">
        <v>35313</v>
      </c>
    </row>
    <row r="41108" spans="6:8">
      <c r="H41108" t="s">
        <v>19333</v>
      </c>
    </row>
    <row r="41109" spans="6:8">
      <c r="H41109" t="s">
        <v>35314</v>
      </c>
    </row>
    <row r="41110" spans="6:8">
      <c r="H41110" t="s">
        <v>35315</v>
      </c>
    </row>
    <row r="41111" spans="6:8">
      <c r="H41111" t="s">
        <v>35316</v>
      </c>
    </row>
    <row r="41112" spans="6:8">
      <c r="F41112" t="s">
        <v>14318</v>
      </c>
      <c r="G41112" t="s">
        <v>18275</v>
      </c>
      <c r="H41112" t="s">
        <v>35317</v>
      </c>
    </row>
    <row r="41113" spans="6:8">
      <c r="F41113" t="s">
        <v>14319</v>
      </c>
      <c r="G41113" t="s">
        <v>18276</v>
      </c>
      <c r="H41113" t="s">
        <v>18836</v>
      </c>
    </row>
    <row r="41114" spans="6:8">
      <c r="F41114" t="s">
        <v>14320</v>
      </c>
      <c r="G41114" t="s">
        <v>18277</v>
      </c>
      <c r="H41114" t="s">
        <v>30172</v>
      </c>
    </row>
    <row r="41115" spans="6:8">
      <c r="H41115" t="s">
        <v>35318</v>
      </c>
    </row>
    <row r="41116" spans="6:8">
      <c r="H41116" t="s">
        <v>35319</v>
      </c>
    </row>
    <row r="41117" spans="6:8">
      <c r="H41117" t="s">
        <v>35320</v>
      </c>
    </row>
    <row r="41118" spans="6:8">
      <c r="H41118" t="s">
        <v>35321</v>
      </c>
    </row>
    <row r="41119" spans="6:8">
      <c r="H41119" t="s">
        <v>35322</v>
      </c>
    </row>
    <row r="41120" spans="6:8">
      <c r="F41120" t="s">
        <v>14321</v>
      </c>
      <c r="G41120" t="s">
        <v>18278</v>
      </c>
      <c r="H41120" t="s">
        <v>35323</v>
      </c>
    </row>
    <row r="41121" spans="6:8">
      <c r="H41121" t="s">
        <v>35324</v>
      </c>
    </row>
    <row r="41122" spans="6:8">
      <c r="H41122" t="s">
        <v>35325</v>
      </c>
    </row>
    <row r="41123" spans="6:8">
      <c r="H41123" t="s">
        <v>35326</v>
      </c>
    </row>
    <row r="41124" spans="6:8">
      <c r="H41124" t="s">
        <v>35327</v>
      </c>
    </row>
    <row r="41125" spans="6:8">
      <c r="H41125" t="s">
        <v>35328</v>
      </c>
    </row>
    <row r="41126" spans="6:8">
      <c r="F41126" t="s">
        <v>14322</v>
      </c>
      <c r="G41126" t="s">
        <v>18279</v>
      </c>
      <c r="H41126" t="s">
        <v>27516</v>
      </c>
    </row>
    <row r="41127" spans="6:8">
      <c r="H41127" t="s">
        <v>22358</v>
      </c>
    </row>
    <row r="41128" spans="6:8">
      <c r="H41128" t="s">
        <v>35329</v>
      </c>
    </row>
    <row r="41129" spans="6:8">
      <c r="H41129" t="s">
        <v>35330</v>
      </c>
    </row>
    <row r="41130" spans="6:8">
      <c r="F41130" t="s">
        <v>14323</v>
      </c>
      <c r="G41130" t="s">
        <v>18280</v>
      </c>
      <c r="H41130" t="s">
        <v>18829</v>
      </c>
    </row>
    <row r="41131" spans="6:8">
      <c r="H41131" t="s">
        <v>18863</v>
      </c>
    </row>
    <row r="41132" spans="6:8">
      <c r="H41132" t="s">
        <v>35331</v>
      </c>
    </row>
    <row r="41133" spans="6:8">
      <c r="H41133" t="s">
        <v>35332</v>
      </c>
    </row>
    <row r="41134" spans="6:8">
      <c r="H41134" t="s">
        <v>35333</v>
      </c>
    </row>
    <row r="41135" spans="6:8">
      <c r="H41135" t="s">
        <v>29840</v>
      </c>
    </row>
    <row r="41136" spans="6:8">
      <c r="H41136" t="s">
        <v>35334</v>
      </c>
    </row>
    <row r="41137" spans="6:8">
      <c r="H41137" t="s">
        <v>35335</v>
      </c>
    </row>
    <row r="41138" spans="6:8">
      <c r="H41138" t="s">
        <v>19007</v>
      </c>
    </row>
    <row r="41139" spans="6:8">
      <c r="H41139" t="s">
        <v>35336</v>
      </c>
    </row>
    <row r="41140" spans="6:8">
      <c r="F41140" t="s">
        <v>14324</v>
      </c>
      <c r="G41140" t="s">
        <v>18281</v>
      </c>
      <c r="H41140" t="s">
        <v>35337</v>
      </c>
    </row>
    <row r="41141" spans="6:8">
      <c r="H41141" t="s">
        <v>35338</v>
      </c>
    </row>
    <row r="41142" spans="6:8">
      <c r="H41142" t="s">
        <v>35339</v>
      </c>
    </row>
    <row r="41143" spans="6:8">
      <c r="H41143" t="s">
        <v>35340</v>
      </c>
    </row>
    <row r="41144" spans="6:8">
      <c r="H41144" t="s">
        <v>35341</v>
      </c>
    </row>
    <row r="41145" spans="6:8">
      <c r="H41145" t="s">
        <v>35342</v>
      </c>
    </row>
    <row r="41146" spans="6:8">
      <c r="F41146" t="s">
        <v>14102</v>
      </c>
      <c r="G41146" t="s">
        <v>18095</v>
      </c>
      <c r="H41146" t="s">
        <v>34079</v>
      </c>
    </row>
    <row r="41147" spans="6:8">
      <c r="H41147" t="s">
        <v>34080</v>
      </c>
    </row>
    <row r="41148" spans="6:8">
      <c r="H41148" t="s">
        <v>18829</v>
      </c>
    </row>
    <row r="41149" spans="6:8">
      <c r="H41149" t="s">
        <v>18863</v>
      </c>
    </row>
    <row r="41150" spans="6:8">
      <c r="H41150" t="s">
        <v>35343</v>
      </c>
    </row>
    <row r="41151" spans="6:8">
      <c r="H41151" t="s">
        <v>19019</v>
      </c>
    </row>
    <row r="41152" spans="6:8">
      <c r="H41152" t="s">
        <v>35344</v>
      </c>
    </row>
    <row r="41153" spans="8:8">
      <c r="H41153" t="s">
        <v>35345</v>
      </c>
    </row>
    <row r="41154" spans="8:8">
      <c r="H41154" t="s">
        <v>35346</v>
      </c>
    </row>
    <row r="41155" spans="8:8">
      <c r="H41155" t="s">
        <v>35347</v>
      </c>
    </row>
    <row r="41156" spans="8:8">
      <c r="H41156" t="s">
        <v>35348</v>
      </c>
    </row>
    <row r="41157" spans="8:8">
      <c r="H41157" t="s">
        <v>35349</v>
      </c>
    </row>
    <row r="41158" spans="8:8">
      <c r="H41158" t="s">
        <v>35350</v>
      </c>
    </row>
    <row r="41159" spans="8:8">
      <c r="H41159" t="s">
        <v>35351</v>
      </c>
    </row>
    <row r="41160" spans="8:8">
      <c r="H41160" t="s">
        <v>35352</v>
      </c>
    </row>
    <row r="41161" spans="8:8">
      <c r="H41161" t="s">
        <v>35353</v>
      </c>
    </row>
    <row r="41162" spans="8:8">
      <c r="H41162" t="s">
        <v>35354</v>
      </c>
    </row>
    <row r="41163" spans="8:8">
      <c r="H41163" t="s">
        <v>35355</v>
      </c>
    </row>
    <row r="41164" spans="8:8">
      <c r="H41164" t="s">
        <v>24966</v>
      </c>
    </row>
    <row r="41165" spans="8:8">
      <c r="H41165" t="s">
        <v>35356</v>
      </c>
    </row>
    <row r="41166" spans="8:8">
      <c r="H41166" t="s">
        <v>35357</v>
      </c>
    </row>
    <row r="41167" spans="8:8">
      <c r="H41167" t="s">
        <v>35358</v>
      </c>
    </row>
    <row r="41168" spans="8:8">
      <c r="H41168" t="s">
        <v>35359</v>
      </c>
    </row>
    <row r="41169" spans="1:8">
      <c r="A41169" t="s">
        <v>3510</v>
      </c>
      <c r="B41169">
        <f>HYPERLINK("https://android.googlesource.com/platform/cts/+/cf680b3192a4664beff0eb0fe7402f6f356d9321", "cf680b3192a4664beff0eb0fe7402f6f356d9321")</f>
        <v>0</v>
      </c>
      <c r="C41169">
        <f>HYPERLINK("https://android.googlesource.com/platform/cts/+/9472c735e9f7b4a01116aaf76d9a28a0c173eb89", "9472c735e9f7b4a01116aaf76d9a28a0c173eb89")</f>
        <v>0</v>
      </c>
      <c r="D41169" t="s">
        <v>5479</v>
      </c>
      <c r="E41169" t="s">
        <v>9204</v>
      </c>
      <c r="F41169" t="s">
        <v>14326</v>
      </c>
      <c r="G41169" t="s">
        <v>17580</v>
      </c>
      <c r="H41169" t="s">
        <v>35370</v>
      </c>
    </row>
    <row r="41170" spans="1:8">
      <c r="H41170" t="s">
        <v>35371</v>
      </c>
    </row>
    <row r="41171" spans="1:8">
      <c r="A41171" t="s">
        <v>3511</v>
      </c>
      <c r="B41171">
        <f>HYPERLINK("https://android.googlesource.com/platform/cts/+/4aa01f128535516f59aad284fff4655a98be9141", "4aa01f128535516f59aad284fff4655a98be9141")</f>
        <v>0</v>
      </c>
      <c r="C41171">
        <f>HYPERLINK("https://android.googlesource.com/platform/cts/+/4e7afeea74381004a5241947c918e49235459813", "4e7afeea74381004a5241947c918e49235459813")</f>
        <v>0</v>
      </c>
      <c r="D41171" t="s">
        <v>5578</v>
      </c>
      <c r="E41171" t="s">
        <v>9205</v>
      </c>
      <c r="F41171" t="s">
        <v>14327</v>
      </c>
      <c r="G41171" t="s">
        <v>18283</v>
      </c>
      <c r="H41171" t="s">
        <v>18863</v>
      </c>
    </row>
    <row r="41172" spans="1:8">
      <c r="A41172" t="s">
        <v>3512</v>
      </c>
      <c r="B41172">
        <f>HYPERLINK("https://android.googlesource.com/platform/cts/+/5900ef04a2f091c50b0dc1e52c624bc51489311d", "5900ef04a2f091c50b0dc1e52c624bc51489311d")</f>
        <v>0</v>
      </c>
      <c r="C41172">
        <f>HYPERLINK("https://android.googlesource.com/platform/cts/+/62a42b9122cd623e94be84e850e76b64f4898a42", "62a42b9122cd623e94be84e850e76b64f4898a42")</f>
        <v>0</v>
      </c>
      <c r="D41172" t="s">
        <v>5578</v>
      </c>
      <c r="E41172" t="s">
        <v>9206</v>
      </c>
      <c r="F41172" t="s">
        <v>14327</v>
      </c>
      <c r="G41172" t="s">
        <v>18283</v>
      </c>
      <c r="H41172" t="s">
        <v>18863</v>
      </c>
    </row>
    <row r="41173" spans="1:8">
      <c r="A41173" t="s">
        <v>3513</v>
      </c>
      <c r="B41173">
        <f>HYPERLINK("https://android.googlesource.com/platform/cts/+/ddae370baeba47bf924c49ae819ed186aa0a309e", "ddae370baeba47bf924c49ae819ed186aa0a309e")</f>
        <v>0</v>
      </c>
      <c r="C41173">
        <f>HYPERLINK("https://android.googlesource.com/platform/cts/+/d20def7a68989bf98cae53df1c7f38801a5527e7", "d20def7a68989bf98cae53df1c7f38801a5527e7")</f>
        <v>0</v>
      </c>
      <c r="D41173" t="s">
        <v>5578</v>
      </c>
      <c r="E41173" t="s">
        <v>9207</v>
      </c>
      <c r="F41173" t="s">
        <v>14327</v>
      </c>
      <c r="G41173" t="s">
        <v>18283</v>
      </c>
      <c r="H41173" t="s">
        <v>18863</v>
      </c>
    </row>
    <row r="41174" spans="1:8">
      <c r="A41174" t="s">
        <v>3514</v>
      </c>
      <c r="B41174">
        <f>HYPERLINK("https://android.googlesource.com/platform/cts/+/b50578ed7ce9ed6be50be4bd7568948cf99888af", "b50578ed7ce9ed6be50be4bd7568948cf99888af")</f>
        <v>0</v>
      </c>
      <c r="C41174">
        <f>HYPERLINK("https://android.googlesource.com/platform/cts/+/5f42b0dbc3745b0f351ae0ab63dacefd105a903e", "5f42b0dbc3745b0f351ae0ab63dacefd105a903e")</f>
        <v>0</v>
      </c>
      <c r="D41174" t="s">
        <v>5180</v>
      </c>
      <c r="E41174" t="s">
        <v>9208</v>
      </c>
      <c r="F41174" t="s">
        <v>12610</v>
      </c>
      <c r="G41174" t="s">
        <v>16821</v>
      </c>
      <c r="H41174" t="s">
        <v>35372</v>
      </c>
    </row>
    <row r="41175" spans="1:8">
      <c r="A41175" t="s">
        <v>3515</v>
      </c>
      <c r="B41175">
        <f>HYPERLINK("https://android.googlesource.com/platform/cts/+/9beb020a9a174fbcc226a3802f1c5d5d22847024", "9beb020a9a174fbcc226a3802f1c5d5d22847024")</f>
        <v>0</v>
      </c>
      <c r="C41175">
        <f>HYPERLINK("https://android.googlesource.com/platform/cts/+/8c01d76146f53397207001a6e1bc2bc1c27b2b22", "8c01d76146f53397207001a6e1bc2bc1c27b2b22")</f>
        <v>0</v>
      </c>
      <c r="D41175" t="s">
        <v>5579</v>
      </c>
      <c r="E41175" t="s">
        <v>9209</v>
      </c>
      <c r="F41175" t="s">
        <v>14328</v>
      </c>
      <c r="G41175" t="s">
        <v>18167</v>
      </c>
      <c r="H41175" t="s">
        <v>35373</v>
      </c>
    </row>
    <row r="41176" spans="1:8">
      <c r="H41176" t="s">
        <v>35374</v>
      </c>
    </row>
    <row r="41177" spans="1:8">
      <c r="H41177" t="s">
        <v>35375</v>
      </c>
    </row>
    <row r="41178" spans="1:8">
      <c r="H41178" t="s">
        <v>35376</v>
      </c>
    </row>
    <row r="41179" spans="1:8">
      <c r="F41179" t="s">
        <v>13466</v>
      </c>
      <c r="G41179" t="s">
        <v>17585</v>
      </c>
      <c r="H41179" t="s">
        <v>35377</v>
      </c>
    </row>
    <row r="41180" spans="1:8">
      <c r="A41180" t="s">
        <v>3516</v>
      </c>
      <c r="B41180">
        <f>HYPERLINK("https://android.googlesource.com/platform/cts/+/d3849f67bde8088a8a4791717b0a12cdf0788e0b", "d3849f67bde8088a8a4791717b0a12cdf0788e0b")</f>
        <v>0</v>
      </c>
      <c r="C41180">
        <f>HYPERLINK("https://android.googlesource.com/platform/cts/+/0ea87acbf6d1bd5cdc5a4b4ed2a5d12410d8540f", "0ea87acbf6d1bd5cdc5a4b4ed2a5d12410d8540f")</f>
        <v>0</v>
      </c>
      <c r="D41180" t="s">
        <v>5580</v>
      </c>
      <c r="E41180" t="s">
        <v>9210</v>
      </c>
      <c r="F41180" t="s">
        <v>14329</v>
      </c>
      <c r="G41180" t="s">
        <v>18284</v>
      </c>
      <c r="H41180" t="s">
        <v>18829</v>
      </c>
    </row>
    <row r="41181" spans="1:8">
      <c r="H41181" t="s">
        <v>18863</v>
      </c>
    </row>
    <row r="41182" spans="1:8">
      <c r="H41182" t="s">
        <v>35378</v>
      </c>
    </row>
    <row r="41183" spans="1:8">
      <c r="H41183" t="s">
        <v>35379</v>
      </c>
    </row>
    <row r="41184" spans="1:8">
      <c r="H41184" t="s">
        <v>22057</v>
      </c>
    </row>
    <row r="41185" spans="1:8">
      <c r="H41185" t="s">
        <v>26870</v>
      </c>
    </row>
    <row r="41186" spans="1:8">
      <c r="H41186" t="s">
        <v>35380</v>
      </c>
    </row>
    <row r="41187" spans="1:8">
      <c r="H41187" t="s">
        <v>35381</v>
      </c>
    </row>
    <row r="41188" spans="1:8">
      <c r="A41188" t="s">
        <v>3517</v>
      </c>
      <c r="B41188">
        <f>HYPERLINK("https://android.googlesource.com/platform/cts/+/b6784f0204dfade00fcfa0f3688a44c8614f842a", "b6784f0204dfade00fcfa0f3688a44c8614f842a")</f>
        <v>0</v>
      </c>
      <c r="C41188">
        <f>HYPERLINK("https://android.googlesource.com/platform/cts/+/ac4a0506f05ab34b6fa75355cef5bf18aaef22f6", "ac4a0506f05ab34b6fa75355cef5bf18aaef22f6")</f>
        <v>0</v>
      </c>
      <c r="D41188" t="s">
        <v>5501</v>
      </c>
      <c r="E41188" t="s">
        <v>9211</v>
      </c>
      <c r="F41188" t="s">
        <v>14230</v>
      </c>
      <c r="G41188" t="s">
        <v>18202</v>
      </c>
      <c r="H41188" t="s">
        <v>34487</v>
      </c>
    </row>
    <row r="41189" spans="1:8">
      <c r="A41189" t="s">
        <v>3520</v>
      </c>
      <c r="B41189">
        <f>HYPERLINK("https://android.googlesource.com/platform/cts/+/42e049f49561e868640faa972618eaa1dfc124a9", "42e049f49561e868640faa972618eaa1dfc124a9")</f>
        <v>0</v>
      </c>
      <c r="C41189">
        <f>HYPERLINK("https://android.googlesource.com/platform/cts/+/c6fa98579501a4adadbb2f2607d869bbc7f0ee07", "c6fa98579501a4adadbb2f2607d869bbc7f0ee07")</f>
        <v>0</v>
      </c>
      <c r="D41189" t="s">
        <v>5581</v>
      </c>
      <c r="E41189" t="s">
        <v>9213</v>
      </c>
      <c r="F41189" t="s">
        <v>10794</v>
      </c>
      <c r="G41189" t="s">
        <v>15189</v>
      </c>
      <c r="H41189" t="s">
        <v>35382</v>
      </c>
    </row>
    <row r="41190" spans="1:8">
      <c r="H41190" t="s">
        <v>35383</v>
      </c>
    </row>
    <row r="41191" spans="1:8">
      <c r="H41191" t="s">
        <v>35384</v>
      </c>
    </row>
    <row r="41192" spans="1:8">
      <c r="H41192" t="s">
        <v>35385</v>
      </c>
    </row>
    <row r="41193" spans="1:8">
      <c r="H41193" t="s">
        <v>35386</v>
      </c>
    </row>
    <row r="41194" spans="1:8">
      <c r="A41194" t="s">
        <v>3522</v>
      </c>
      <c r="B41194">
        <f>HYPERLINK("https://android.googlesource.com/platform/cts/+/7bb543e2b767fc6856984980aab3a00d6299cdc6", "7bb543e2b767fc6856984980aab3a00d6299cdc6")</f>
        <v>0</v>
      </c>
      <c r="C41194">
        <f>HYPERLINK("https://android.googlesource.com/platform/cts/+/9971c5affac56ee76095f5aa38bad11719b1947c", "9971c5affac56ee76095f5aa38bad11719b1947c")</f>
        <v>0</v>
      </c>
      <c r="D41194" t="s">
        <v>5576</v>
      </c>
      <c r="E41194" t="s">
        <v>9215</v>
      </c>
      <c r="F41194" t="s">
        <v>14330</v>
      </c>
      <c r="G41194" t="s">
        <v>18285</v>
      </c>
      <c r="H41194" t="s">
        <v>35387</v>
      </c>
    </row>
    <row r="41195" spans="1:8">
      <c r="H41195" t="s">
        <v>35388</v>
      </c>
    </row>
    <row r="41196" spans="1:8">
      <c r="F41196" t="s">
        <v>14331</v>
      </c>
      <c r="G41196" t="s">
        <v>18286</v>
      </c>
      <c r="H41196" t="s">
        <v>35389</v>
      </c>
    </row>
    <row r="41197" spans="1:8">
      <c r="H41197" t="s">
        <v>35390</v>
      </c>
    </row>
    <row r="41198" spans="1:8">
      <c r="H41198" t="s">
        <v>35391</v>
      </c>
    </row>
    <row r="41199" spans="1:8">
      <c r="H41199" t="s">
        <v>35392</v>
      </c>
    </row>
    <row r="41200" spans="1:8">
      <c r="H41200" t="s">
        <v>35393</v>
      </c>
    </row>
    <row r="41201" spans="6:8">
      <c r="H41201" t="s">
        <v>35394</v>
      </c>
    </row>
    <row r="41202" spans="6:8">
      <c r="H41202" t="s">
        <v>35395</v>
      </c>
    </row>
    <row r="41203" spans="6:8">
      <c r="H41203" t="s">
        <v>35396</v>
      </c>
    </row>
    <row r="41204" spans="6:8">
      <c r="H41204" t="s">
        <v>35397</v>
      </c>
    </row>
    <row r="41205" spans="6:8">
      <c r="H41205" t="s">
        <v>35398</v>
      </c>
    </row>
    <row r="41206" spans="6:8">
      <c r="H41206" t="s">
        <v>35399</v>
      </c>
    </row>
    <row r="41207" spans="6:8">
      <c r="H41207" t="s">
        <v>35400</v>
      </c>
    </row>
    <row r="41208" spans="6:8">
      <c r="H41208" t="s">
        <v>35401</v>
      </c>
    </row>
    <row r="41209" spans="6:8">
      <c r="F41209" t="s">
        <v>14332</v>
      </c>
      <c r="G41209" t="s">
        <v>18287</v>
      </c>
      <c r="H41209" t="s">
        <v>35402</v>
      </c>
    </row>
    <row r="41210" spans="6:8">
      <c r="H41210" t="s">
        <v>35403</v>
      </c>
    </row>
    <row r="41211" spans="6:8">
      <c r="H41211" t="s">
        <v>35404</v>
      </c>
    </row>
    <row r="41212" spans="6:8">
      <c r="H41212" t="s">
        <v>35405</v>
      </c>
    </row>
    <row r="41213" spans="6:8">
      <c r="H41213" t="s">
        <v>35406</v>
      </c>
    </row>
    <row r="41214" spans="6:8">
      <c r="H41214" t="s">
        <v>35407</v>
      </c>
    </row>
    <row r="41215" spans="6:8">
      <c r="F41215" t="s">
        <v>14333</v>
      </c>
      <c r="G41215" t="s">
        <v>18288</v>
      </c>
      <c r="H41215" t="s">
        <v>35408</v>
      </c>
    </row>
    <row r="41216" spans="6:8">
      <c r="H41216" t="s">
        <v>34138</v>
      </c>
    </row>
    <row r="41217" spans="6:8">
      <c r="H41217" t="s">
        <v>35409</v>
      </c>
    </row>
    <row r="41218" spans="6:8">
      <c r="F41218" t="s">
        <v>14334</v>
      </c>
      <c r="G41218" t="s">
        <v>18289</v>
      </c>
      <c r="H41218" t="s">
        <v>35410</v>
      </c>
    </row>
    <row r="41219" spans="6:8">
      <c r="H41219" t="s">
        <v>34138</v>
      </c>
    </row>
    <row r="41220" spans="6:8">
      <c r="H41220" t="s">
        <v>35409</v>
      </c>
    </row>
    <row r="41221" spans="6:8">
      <c r="F41221" t="s">
        <v>14335</v>
      </c>
      <c r="G41221" t="s">
        <v>18170</v>
      </c>
      <c r="H41221" t="s">
        <v>18829</v>
      </c>
    </row>
    <row r="41222" spans="6:8">
      <c r="H41222" t="s">
        <v>18863</v>
      </c>
    </row>
    <row r="41223" spans="6:8">
      <c r="H41223" t="s">
        <v>35411</v>
      </c>
    </row>
    <row r="41224" spans="6:8">
      <c r="H41224" t="s">
        <v>35412</v>
      </c>
    </row>
    <row r="41225" spans="6:8">
      <c r="H41225" t="s">
        <v>35413</v>
      </c>
    </row>
    <row r="41226" spans="6:8">
      <c r="H41226" t="s">
        <v>35414</v>
      </c>
    </row>
    <row r="41227" spans="6:8">
      <c r="H41227" t="s">
        <v>35415</v>
      </c>
    </row>
    <row r="41228" spans="6:8">
      <c r="H41228" t="s">
        <v>35416</v>
      </c>
    </row>
    <row r="41229" spans="6:8">
      <c r="H41229" t="s">
        <v>35417</v>
      </c>
    </row>
    <row r="41230" spans="6:8">
      <c r="H41230" t="s">
        <v>35418</v>
      </c>
    </row>
    <row r="41231" spans="6:8">
      <c r="H41231" t="s">
        <v>35419</v>
      </c>
    </row>
    <row r="41232" spans="6:8">
      <c r="H41232" t="s">
        <v>35420</v>
      </c>
    </row>
    <row r="41233" spans="6:8">
      <c r="H41233" t="s">
        <v>35421</v>
      </c>
    </row>
    <row r="41234" spans="6:8">
      <c r="H41234" t="s">
        <v>35422</v>
      </c>
    </row>
    <row r="41235" spans="6:8">
      <c r="H41235" t="s">
        <v>35423</v>
      </c>
    </row>
    <row r="41236" spans="6:8">
      <c r="H41236" t="s">
        <v>35424</v>
      </c>
    </row>
    <row r="41237" spans="6:8">
      <c r="H41237" t="s">
        <v>35425</v>
      </c>
    </row>
    <row r="41238" spans="6:8">
      <c r="H41238" t="s">
        <v>35426</v>
      </c>
    </row>
    <row r="41239" spans="6:8">
      <c r="H41239" t="s">
        <v>35427</v>
      </c>
    </row>
    <row r="41240" spans="6:8">
      <c r="H41240" t="s">
        <v>35428</v>
      </c>
    </row>
    <row r="41241" spans="6:8">
      <c r="F41241" t="s">
        <v>14336</v>
      </c>
      <c r="G41241" t="s">
        <v>18188</v>
      </c>
      <c r="H41241" t="s">
        <v>35429</v>
      </c>
    </row>
    <row r="41242" spans="6:8">
      <c r="H41242" t="s">
        <v>35430</v>
      </c>
    </row>
    <row r="41243" spans="6:8">
      <c r="H41243" t="s">
        <v>34077</v>
      </c>
    </row>
    <row r="41244" spans="6:8">
      <c r="H41244" t="s">
        <v>35431</v>
      </c>
    </row>
    <row r="41245" spans="6:8">
      <c r="H41245" t="s">
        <v>35432</v>
      </c>
    </row>
    <row r="41246" spans="6:8">
      <c r="H41246" t="s">
        <v>35433</v>
      </c>
    </row>
    <row r="41247" spans="6:8">
      <c r="H41247" t="s">
        <v>35434</v>
      </c>
    </row>
    <row r="41248" spans="6:8">
      <c r="H41248" t="s">
        <v>35435</v>
      </c>
    </row>
    <row r="41249" spans="6:8">
      <c r="H41249" t="s">
        <v>35436</v>
      </c>
    </row>
    <row r="41250" spans="6:8">
      <c r="H41250" t="s">
        <v>35437</v>
      </c>
    </row>
    <row r="41251" spans="6:8">
      <c r="H41251" t="s">
        <v>35438</v>
      </c>
    </row>
    <row r="41252" spans="6:8">
      <c r="F41252" t="s">
        <v>14337</v>
      </c>
      <c r="G41252" t="s">
        <v>18290</v>
      </c>
      <c r="H41252" t="s">
        <v>34138</v>
      </c>
    </row>
    <row r="41253" spans="6:8">
      <c r="H41253" t="s">
        <v>35439</v>
      </c>
    </row>
    <row r="41254" spans="6:8">
      <c r="H41254" t="s">
        <v>35440</v>
      </c>
    </row>
    <row r="41255" spans="6:8">
      <c r="H41255" t="s">
        <v>35441</v>
      </c>
    </row>
    <row r="41256" spans="6:8">
      <c r="F41256" t="s">
        <v>14338</v>
      </c>
      <c r="G41256" t="s">
        <v>18165</v>
      </c>
      <c r="H41256" t="s">
        <v>35442</v>
      </c>
    </row>
    <row r="41257" spans="6:8">
      <c r="H41257" t="s">
        <v>35443</v>
      </c>
    </row>
    <row r="41258" spans="6:8">
      <c r="H41258" t="s">
        <v>35443</v>
      </c>
    </row>
    <row r="41259" spans="6:8">
      <c r="H41259" t="s">
        <v>35444</v>
      </c>
    </row>
    <row r="41260" spans="6:8">
      <c r="H41260" t="s">
        <v>35445</v>
      </c>
    </row>
    <row r="41261" spans="6:8">
      <c r="H41261" t="s">
        <v>35446</v>
      </c>
    </row>
    <row r="41262" spans="6:8">
      <c r="H41262" t="s">
        <v>35446</v>
      </c>
    </row>
    <row r="41263" spans="6:8">
      <c r="H41263" t="s">
        <v>35447</v>
      </c>
    </row>
    <row r="41264" spans="6:8">
      <c r="H41264" t="s">
        <v>35448</v>
      </c>
    </row>
    <row r="41265" spans="1:8">
      <c r="H41265" t="s">
        <v>35449</v>
      </c>
    </row>
    <row r="41266" spans="1:8">
      <c r="H41266" t="s">
        <v>35450</v>
      </c>
    </row>
    <row r="41267" spans="1:8">
      <c r="H41267" t="s">
        <v>35451</v>
      </c>
    </row>
    <row r="41268" spans="1:8">
      <c r="H41268" t="s">
        <v>35452</v>
      </c>
    </row>
    <row r="41269" spans="1:8">
      <c r="H41269" t="s">
        <v>35453</v>
      </c>
    </row>
    <row r="41270" spans="1:8">
      <c r="H41270" t="s">
        <v>35454</v>
      </c>
    </row>
    <row r="41271" spans="1:8">
      <c r="H41271" t="s">
        <v>35455</v>
      </c>
    </row>
    <row r="41272" spans="1:8">
      <c r="F41272" t="s">
        <v>14339</v>
      </c>
      <c r="G41272" t="s">
        <v>18291</v>
      </c>
      <c r="H41272" t="s">
        <v>31669</v>
      </c>
    </row>
    <row r="41273" spans="1:8">
      <c r="H41273" t="s">
        <v>34108</v>
      </c>
    </row>
    <row r="41274" spans="1:8">
      <c r="H41274" t="s">
        <v>34107</v>
      </c>
    </row>
    <row r="41275" spans="1:8">
      <c r="A41275" t="s">
        <v>3523</v>
      </c>
      <c r="B41275">
        <f>HYPERLINK("https://android.googlesource.com/platform/cts/+/5e5fc947a5dca78dd7f8e93cbca684f2b7c03d78", "5e5fc947a5dca78dd7f8e93cbca684f2b7c03d78")</f>
        <v>0</v>
      </c>
      <c r="C41275">
        <f>HYPERLINK("https://android.googlesource.com/platform/cts/+/19208093cf851e82a2b1a52db9b7ff8073a5bddb", "19208093cf851e82a2b1a52db9b7ff8073a5bddb")</f>
        <v>0</v>
      </c>
      <c r="D41275" t="s">
        <v>5478</v>
      </c>
      <c r="E41275" t="s">
        <v>9216</v>
      </c>
      <c r="F41275" t="s">
        <v>14340</v>
      </c>
      <c r="G41275" t="s">
        <v>18292</v>
      </c>
      <c r="H41275" t="s">
        <v>19905</v>
      </c>
    </row>
    <row r="41276" spans="1:8">
      <c r="A41276" t="s">
        <v>3524</v>
      </c>
      <c r="B41276">
        <f>HYPERLINK("https://android.googlesource.com/platform/cts/+/eee4e833098ec6c7799f5e5af71b61b85b20d7c5", "eee4e833098ec6c7799f5e5af71b61b85b20d7c5")</f>
        <v>0</v>
      </c>
      <c r="C41276">
        <f>HYPERLINK("https://android.googlesource.com/platform/cts/+/a4a325463e1d603f6c3060bd06507bd4422b0e82", "a4a325463e1d603f6c3060bd06507bd4422b0e82")</f>
        <v>0</v>
      </c>
      <c r="D41276" t="s">
        <v>5195</v>
      </c>
      <c r="E41276" t="s">
        <v>9217</v>
      </c>
      <c r="F41276" t="s">
        <v>14341</v>
      </c>
      <c r="G41276" t="s">
        <v>18293</v>
      </c>
      <c r="H41276" t="s">
        <v>35456</v>
      </c>
    </row>
    <row r="41277" spans="1:8">
      <c r="H41277" t="s">
        <v>35457</v>
      </c>
    </row>
    <row r="41278" spans="1:8">
      <c r="H41278" t="s">
        <v>35458</v>
      </c>
    </row>
    <row r="41279" spans="1:8">
      <c r="A41279" t="s">
        <v>3525</v>
      </c>
      <c r="B41279">
        <f>HYPERLINK("https://android.googlesource.com/platform/cts/+/73301c9be01ef39f5d7adb5796316e150539e706", "73301c9be01ef39f5d7adb5796316e150539e706")</f>
        <v>0</v>
      </c>
      <c r="C41279">
        <f>HYPERLINK("https://android.googlesource.com/platform/cts/+/6ac169cbdf4698002b807010562a216445e75cc2", "6ac169cbdf4698002b807010562a216445e75cc2")</f>
        <v>0</v>
      </c>
      <c r="D41279" t="s">
        <v>5576</v>
      </c>
      <c r="E41279" t="s">
        <v>9218</v>
      </c>
      <c r="F41279" t="s">
        <v>14330</v>
      </c>
      <c r="G41279" t="s">
        <v>18285</v>
      </c>
      <c r="H41279" t="s">
        <v>35387</v>
      </c>
    </row>
    <row r="41280" spans="1:8">
      <c r="H41280" t="s">
        <v>35388</v>
      </c>
    </row>
    <row r="41281" spans="6:8">
      <c r="F41281" t="s">
        <v>14331</v>
      </c>
      <c r="G41281" t="s">
        <v>18286</v>
      </c>
      <c r="H41281" t="s">
        <v>35389</v>
      </c>
    </row>
    <row r="41282" spans="6:8">
      <c r="H41282" t="s">
        <v>35390</v>
      </c>
    </row>
    <row r="41283" spans="6:8">
      <c r="H41283" t="s">
        <v>35391</v>
      </c>
    </row>
    <row r="41284" spans="6:8">
      <c r="H41284" t="s">
        <v>35392</v>
      </c>
    </row>
    <row r="41285" spans="6:8">
      <c r="H41285" t="s">
        <v>35393</v>
      </c>
    </row>
    <row r="41286" spans="6:8">
      <c r="H41286" t="s">
        <v>35394</v>
      </c>
    </row>
    <row r="41287" spans="6:8">
      <c r="H41287" t="s">
        <v>35395</v>
      </c>
    </row>
    <row r="41288" spans="6:8">
      <c r="H41288" t="s">
        <v>35396</v>
      </c>
    </row>
    <row r="41289" spans="6:8">
      <c r="H41289" t="s">
        <v>35397</v>
      </c>
    </row>
    <row r="41290" spans="6:8">
      <c r="H41290" t="s">
        <v>35398</v>
      </c>
    </row>
    <row r="41291" spans="6:8">
      <c r="H41291" t="s">
        <v>35399</v>
      </c>
    </row>
    <row r="41292" spans="6:8">
      <c r="H41292" t="s">
        <v>35400</v>
      </c>
    </row>
    <row r="41293" spans="6:8">
      <c r="H41293" t="s">
        <v>35401</v>
      </c>
    </row>
    <row r="41294" spans="6:8">
      <c r="F41294" t="s">
        <v>14332</v>
      </c>
      <c r="G41294" t="s">
        <v>18287</v>
      </c>
      <c r="H41294" t="s">
        <v>35402</v>
      </c>
    </row>
    <row r="41295" spans="6:8">
      <c r="H41295" t="s">
        <v>35403</v>
      </c>
    </row>
    <row r="41296" spans="6:8">
      <c r="H41296" t="s">
        <v>35404</v>
      </c>
    </row>
    <row r="41297" spans="6:8">
      <c r="H41297" t="s">
        <v>35405</v>
      </c>
    </row>
    <row r="41298" spans="6:8">
      <c r="H41298" t="s">
        <v>35406</v>
      </c>
    </row>
    <row r="41299" spans="6:8">
      <c r="H41299" t="s">
        <v>35407</v>
      </c>
    </row>
    <row r="41300" spans="6:8">
      <c r="F41300" t="s">
        <v>14333</v>
      </c>
      <c r="G41300" t="s">
        <v>18288</v>
      </c>
      <c r="H41300" t="s">
        <v>35408</v>
      </c>
    </row>
    <row r="41301" spans="6:8">
      <c r="H41301" t="s">
        <v>34138</v>
      </c>
    </row>
    <row r="41302" spans="6:8">
      <c r="H41302" t="s">
        <v>35409</v>
      </c>
    </row>
    <row r="41303" spans="6:8">
      <c r="F41303" t="s">
        <v>14334</v>
      </c>
      <c r="G41303" t="s">
        <v>18289</v>
      </c>
      <c r="H41303" t="s">
        <v>35410</v>
      </c>
    </row>
    <row r="41304" spans="6:8">
      <c r="H41304" t="s">
        <v>34138</v>
      </c>
    </row>
    <row r="41305" spans="6:8">
      <c r="H41305" t="s">
        <v>35409</v>
      </c>
    </row>
    <row r="41306" spans="6:8">
      <c r="F41306" t="s">
        <v>14335</v>
      </c>
      <c r="G41306" t="s">
        <v>18170</v>
      </c>
      <c r="H41306" t="s">
        <v>18829</v>
      </c>
    </row>
    <row r="41307" spans="6:8">
      <c r="H41307" t="s">
        <v>18863</v>
      </c>
    </row>
    <row r="41308" spans="6:8">
      <c r="H41308" t="s">
        <v>35411</v>
      </c>
    </row>
    <row r="41309" spans="6:8">
      <c r="H41309" t="s">
        <v>35412</v>
      </c>
    </row>
    <row r="41310" spans="6:8">
      <c r="H41310" t="s">
        <v>35413</v>
      </c>
    </row>
    <row r="41311" spans="6:8">
      <c r="H41311" t="s">
        <v>35414</v>
      </c>
    </row>
    <row r="41312" spans="6:8">
      <c r="H41312" t="s">
        <v>35415</v>
      </c>
    </row>
    <row r="41313" spans="6:8">
      <c r="H41313" t="s">
        <v>35416</v>
      </c>
    </row>
    <row r="41314" spans="6:8">
      <c r="H41314" t="s">
        <v>35417</v>
      </c>
    </row>
    <row r="41315" spans="6:8">
      <c r="H41315" t="s">
        <v>35418</v>
      </c>
    </row>
    <row r="41316" spans="6:8">
      <c r="H41316" t="s">
        <v>35419</v>
      </c>
    </row>
    <row r="41317" spans="6:8">
      <c r="H41317" t="s">
        <v>35420</v>
      </c>
    </row>
    <row r="41318" spans="6:8">
      <c r="H41318" t="s">
        <v>35421</v>
      </c>
    </row>
    <row r="41319" spans="6:8">
      <c r="H41319" t="s">
        <v>35422</v>
      </c>
    </row>
    <row r="41320" spans="6:8">
      <c r="H41320" t="s">
        <v>35423</v>
      </c>
    </row>
    <row r="41321" spans="6:8">
      <c r="H41321" t="s">
        <v>35424</v>
      </c>
    </row>
    <row r="41322" spans="6:8">
      <c r="H41322" t="s">
        <v>35425</v>
      </c>
    </row>
    <row r="41323" spans="6:8">
      <c r="H41323" t="s">
        <v>35426</v>
      </c>
    </row>
    <row r="41324" spans="6:8">
      <c r="H41324" t="s">
        <v>35427</v>
      </c>
    </row>
    <row r="41325" spans="6:8">
      <c r="H41325" t="s">
        <v>35428</v>
      </c>
    </row>
    <row r="41326" spans="6:8">
      <c r="F41326" t="s">
        <v>14336</v>
      </c>
      <c r="G41326" t="s">
        <v>18188</v>
      </c>
      <c r="H41326" t="s">
        <v>35429</v>
      </c>
    </row>
    <row r="41327" spans="6:8">
      <c r="H41327" t="s">
        <v>35430</v>
      </c>
    </row>
    <row r="41328" spans="6:8">
      <c r="H41328" t="s">
        <v>34077</v>
      </c>
    </row>
    <row r="41329" spans="6:8">
      <c r="H41329" t="s">
        <v>35431</v>
      </c>
    </row>
    <row r="41330" spans="6:8">
      <c r="H41330" t="s">
        <v>35432</v>
      </c>
    </row>
    <row r="41331" spans="6:8">
      <c r="H41331" t="s">
        <v>35433</v>
      </c>
    </row>
    <row r="41332" spans="6:8">
      <c r="H41332" t="s">
        <v>35434</v>
      </c>
    </row>
    <row r="41333" spans="6:8">
      <c r="H41333" t="s">
        <v>35435</v>
      </c>
    </row>
    <row r="41334" spans="6:8">
      <c r="H41334" t="s">
        <v>35436</v>
      </c>
    </row>
    <row r="41335" spans="6:8">
      <c r="H41335" t="s">
        <v>35437</v>
      </c>
    </row>
    <row r="41336" spans="6:8">
      <c r="H41336" t="s">
        <v>35438</v>
      </c>
    </row>
    <row r="41337" spans="6:8">
      <c r="F41337" t="s">
        <v>14337</v>
      </c>
      <c r="G41337" t="s">
        <v>18290</v>
      </c>
      <c r="H41337" t="s">
        <v>34138</v>
      </c>
    </row>
    <row r="41338" spans="6:8">
      <c r="H41338" t="s">
        <v>35439</v>
      </c>
    </row>
    <row r="41339" spans="6:8">
      <c r="H41339" t="s">
        <v>35440</v>
      </c>
    </row>
    <row r="41340" spans="6:8">
      <c r="H41340" t="s">
        <v>35441</v>
      </c>
    </row>
    <row r="41341" spans="6:8">
      <c r="F41341" t="s">
        <v>14338</v>
      </c>
      <c r="G41341" t="s">
        <v>18165</v>
      </c>
      <c r="H41341" t="s">
        <v>35442</v>
      </c>
    </row>
    <row r="41342" spans="6:8">
      <c r="H41342" t="s">
        <v>35443</v>
      </c>
    </row>
    <row r="41343" spans="6:8">
      <c r="H41343" t="s">
        <v>35443</v>
      </c>
    </row>
    <row r="41344" spans="6:8">
      <c r="H41344" t="s">
        <v>35444</v>
      </c>
    </row>
    <row r="41345" spans="1:8">
      <c r="H41345" t="s">
        <v>35445</v>
      </c>
    </row>
    <row r="41346" spans="1:8">
      <c r="H41346" t="s">
        <v>35446</v>
      </c>
    </row>
    <row r="41347" spans="1:8">
      <c r="H41347" t="s">
        <v>35446</v>
      </c>
    </row>
    <row r="41348" spans="1:8">
      <c r="H41348" t="s">
        <v>35447</v>
      </c>
    </row>
    <row r="41349" spans="1:8">
      <c r="H41349" t="s">
        <v>35448</v>
      </c>
    </row>
    <row r="41350" spans="1:8">
      <c r="H41350" t="s">
        <v>35449</v>
      </c>
    </row>
    <row r="41351" spans="1:8">
      <c r="H41351" t="s">
        <v>35450</v>
      </c>
    </row>
    <row r="41352" spans="1:8">
      <c r="H41352" t="s">
        <v>35451</v>
      </c>
    </row>
    <row r="41353" spans="1:8">
      <c r="H41353" t="s">
        <v>35452</v>
      </c>
    </row>
    <row r="41354" spans="1:8">
      <c r="H41354" t="s">
        <v>35453</v>
      </c>
    </row>
    <row r="41355" spans="1:8">
      <c r="H41355" t="s">
        <v>35454</v>
      </c>
    </row>
    <row r="41356" spans="1:8">
      <c r="H41356" t="s">
        <v>35455</v>
      </c>
    </row>
    <row r="41357" spans="1:8">
      <c r="F41357" t="s">
        <v>14339</v>
      </c>
      <c r="G41357" t="s">
        <v>18291</v>
      </c>
      <c r="H41357" t="s">
        <v>31669</v>
      </c>
    </row>
    <row r="41358" spans="1:8">
      <c r="H41358" t="s">
        <v>34108</v>
      </c>
    </row>
    <row r="41359" spans="1:8">
      <c r="H41359" t="s">
        <v>34107</v>
      </c>
    </row>
    <row r="41360" spans="1:8">
      <c r="A41360" t="s">
        <v>3526</v>
      </c>
      <c r="B41360">
        <f>HYPERLINK("https://android.googlesource.com/platform/cts/+/9d8fc44d75c7f1ee6020ce84d0ad41c834f37fda", "9d8fc44d75c7f1ee6020ce84d0ad41c834f37fda")</f>
        <v>0</v>
      </c>
      <c r="C41360">
        <f>HYPERLINK("https://android.googlesource.com/platform/cts/+/81009a9aed5f9a6c1d8c4aeb10a8e5f5018ac2b1", "81009a9aed5f9a6c1d8c4aeb10a8e5f5018ac2b1")</f>
        <v>0</v>
      </c>
      <c r="D41360" t="s">
        <v>5582</v>
      </c>
      <c r="E41360" t="s">
        <v>9219</v>
      </c>
      <c r="F41360" t="s">
        <v>12984</v>
      </c>
      <c r="G41360" t="s">
        <v>17148</v>
      </c>
      <c r="H41360" t="s">
        <v>35459</v>
      </c>
    </row>
    <row r="41361" spans="1:8">
      <c r="H41361" t="s">
        <v>35460</v>
      </c>
    </row>
    <row r="41362" spans="1:8">
      <c r="H41362" t="s">
        <v>35461</v>
      </c>
    </row>
    <row r="41363" spans="1:8">
      <c r="H41363" t="s">
        <v>35462</v>
      </c>
    </row>
    <row r="41364" spans="1:8">
      <c r="H41364" t="s">
        <v>35463</v>
      </c>
    </row>
    <row r="41365" spans="1:8">
      <c r="H41365" t="s">
        <v>35464</v>
      </c>
    </row>
    <row r="41366" spans="1:8">
      <c r="H41366" t="s">
        <v>35465</v>
      </c>
    </row>
    <row r="41367" spans="1:8">
      <c r="A41367" t="s">
        <v>3527</v>
      </c>
      <c r="B41367">
        <f>HYPERLINK("https://android.googlesource.com/platform/cts/+/8b78eb66a3d9e3eb66b5a1a57a14818b84a795b8", "8b78eb66a3d9e3eb66b5a1a57a14818b84a795b8")</f>
        <v>0</v>
      </c>
      <c r="C41367">
        <f>HYPERLINK("https://android.googlesource.com/platform/cts/+/cf680b3192a4664beff0eb0fe7402f6f356d9321", "cf680b3192a4664beff0eb0fe7402f6f356d9321")</f>
        <v>0</v>
      </c>
      <c r="D41367" t="s">
        <v>5583</v>
      </c>
      <c r="E41367" t="s">
        <v>9220</v>
      </c>
      <c r="F41367" t="s">
        <v>14326</v>
      </c>
      <c r="G41367" t="s">
        <v>17580</v>
      </c>
      <c r="H41367" t="s">
        <v>35466</v>
      </c>
    </row>
    <row r="41368" spans="1:8">
      <c r="H41368" t="s">
        <v>33155</v>
      </c>
    </row>
    <row r="41369" spans="1:8">
      <c r="A41369" t="s">
        <v>3530</v>
      </c>
      <c r="B41369">
        <f>HYPERLINK("https://android.googlesource.com/platform/cts/+/b66f71b48aa7156818d61877f3585ecfbe31092a", "b66f71b48aa7156818d61877f3585ecfbe31092a")</f>
        <v>0</v>
      </c>
      <c r="C41369">
        <f>HYPERLINK("https://android.googlesource.com/platform/cts/+/39824628c94b704a90939278d4be53f35065cc80", "39824628c94b704a90939278d4be53f35065cc80")</f>
        <v>0</v>
      </c>
      <c r="D41369" t="s">
        <v>5298</v>
      </c>
      <c r="E41369" t="s">
        <v>9222</v>
      </c>
      <c r="F41369" t="s">
        <v>14342</v>
      </c>
      <c r="G41369" t="s">
        <v>18294</v>
      </c>
      <c r="H41369" t="s">
        <v>26282</v>
      </c>
    </row>
    <row r="41370" spans="1:8">
      <c r="H41370" t="s">
        <v>35467</v>
      </c>
    </row>
    <row r="41371" spans="1:8">
      <c r="H41371" t="s">
        <v>35468</v>
      </c>
    </row>
    <row r="41372" spans="1:8">
      <c r="A41372" t="s">
        <v>3531</v>
      </c>
      <c r="B41372">
        <f>HYPERLINK("https://android.googlesource.com/platform/cts/+/5a258c2c1979205bf9c6dfc3f06039f300a605f5", "5a258c2c1979205bf9c6dfc3f06039f300a605f5")</f>
        <v>0</v>
      </c>
      <c r="C41372">
        <f>HYPERLINK("https://android.googlesource.com/platform/cts/+/8b78eb66a3d9e3eb66b5a1a57a14818b84a795b8", "8b78eb66a3d9e3eb66b5a1a57a14818b84a795b8")</f>
        <v>0</v>
      </c>
      <c r="D41372" t="s">
        <v>5479</v>
      </c>
      <c r="E41372" t="s">
        <v>9223</v>
      </c>
      <c r="F41372" t="s">
        <v>14326</v>
      </c>
      <c r="G41372" t="s">
        <v>17580</v>
      </c>
      <c r="H41372" t="s">
        <v>35370</v>
      </c>
    </row>
    <row r="41373" spans="1:8">
      <c r="H41373" t="s">
        <v>35371</v>
      </c>
    </row>
    <row r="41374" spans="1:8">
      <c r="A41374" t="s">
        <v>3532</v>
      </c>
      <c r="B41374">
        <f>HYPERLINK("https://android.googlesource.com/platform/cts/+/815968ef87a93460aadc18235c586a40a0536641", "815968ef87a93460aadc18235c586a40a0536641")</f>
        <v>0</v>
      </c>
      <c r="C41374">
        <f>HYPERLINK("https://android.googlesource.com/platform/cts/+/e0664c07eef8171686c6c4341d5443c95e43a5a2", "e0664c07eef8171686c6c4341d5443c95e43a5a2")</f>
        <v>0</v>
      </c>
      <c r="D41374" t="s">
        <v>5585</v>
      </c>
      <c r="E41374" t="s">
        <v>9224</v>
      </c>
      <c r="F41374" t="s">
        <v>13788</v>
      </c>
      <c r="G41374" t="s">
        <v>17841</v>
      </c>
      <c r="H41374" t="s">
        <v>35469</v>
      </c>
    </row>
    <row r="41375" spans="1:8">
      <c r="A41375" t="s">
        <v>3533</v>
      </c>
      <c r="B41375">
        <f>HYPERLINK("https://android.googlesource.com/platform/cts/+/fd74311a40b5fda4ec9aa3b538fbaa1c1a7d60ec", "fd74311a40b5fda4ec9aa3b538fbaa1c1a7d60ec")</f>
        <v>0</v>
      </c>
      <c r="C41375">
        <f>HYPERLINK("https://android.googlesource.com/platform/cts/+/e9f54bd852b327c8b1df443a4e69e47b7032304e", "e9f54bd852b327c8b1df443a4e69e47b7032304e")</f>
        <v>0</v>
      </c>
      <c r="D41375" t="s">
        <v>5586</v>
      </c>
      <c r="E41375" t="s">
        <v>9225</v>
      </c>
      <c r="F41375" t="s">
        <v>13992</v>
      </c>
      <c r="G41375" t="s">
        <v>16620</v>
      </c>
      <c r="H41375" t="s">
        <v>35470</v>
      </c>
    </row>
    <row r="41376" spans="1:8">
      <c r="A41376" t="s">
        <v>3534</v>
      </c>
      <c r="B41376">
        <f>HYPERLINK("https://android.googlesource.com/platform/cts/+/1105323a9a41ff790999be29c36d91612ca0e6a1", "1105323a9a41ff790999be29c36d91612ca0e6a1")</f>
        <v>0</v>
      </c>
      <c r="C41376">
        <f>HYPERLINK("https://android.googlesource.com/platform/cts/+/4fe939235d3abc21793a73d96644724f5b34e828", "4fe939235d3abc21793a73d96644724f5b34e828")</f>
        <v>0</v>
      </c>
      <c r="D41376" t="s">
        <v>5587</v>
      </c>
      <c r="E41376" t="s">
        <v>9226</v>
      </c>
      <c r="F41376" t="s">
        <v>12659</v>
      </c>
      <c r="G41376" t="s">
        <v>16864</v>
      </c>
      <c r="H41376" t="s">
        <v>30853</v>
      </c>
    </row>
    <row r="41377" spans="1:8">
      <c r="A41377" t="s">
        <v>3535</v>
      </c>
      <c r="B41377">
        <f>HYPERLINK("https://android.googlesource.com/platform/cts/+/602944c30c6f55595e07a26568a4086aa1a603cd", "602944c30c6f55595e07a26568a4086aa1a603cd")</f>
        <v>0</v>
      </c>
      <c r="C41377">
        <f>HYPERLINK("https://android.googlesource.com/platform/cts/+/4af542362317dfec074b8c013d54b26c6dae4af5", "4af542362317dfec074b8c013d54b26c6dae4af5")</f>
        <v>0</v>
      </c>
      <c r="D41377" t="s">
        <v>5562</v>
      </c>
      <c r="E41377" t="s">
        <v>9227</v>
      </c>
      <c r="F41377" t="s">
        <v>14343</v>
      </c>
      <c r="G41377" t="s">
        <v>18295</v>
      </c>
      <c r="H41377" t="s">
        <v>35471</v>
      </c>
    </row>
    <row r="41378" spans="1:8">
      <c r="A41378" t="s">
        <v>3536</v>
      </c>
      <c r="B41378">
        <f>HYPERLINK("https://android.googlesource.com/platform/cts/+/14c6b5553e853d6fb052c540c2f322c16d5f55bd", "14c6b5553e853d6fb052c540c2f322c16d5f55bd")</f>
        <v>0</v>
      </c>
      <c r="C41378">
        <f>HYPERLINK("https://android.googlesource.com/platform/cts/+/80c0f7669cd261d445050fb65261a3eac5288c73", "80c0f7669cd261d445050fb65261a3eac5288c73")</f>
        <v>0</v>
      </c>
      <c r="D41378" t="s">
        <v>5588</v>
      </c>
      <c r="E41378" t="s">
        <v>9228</v>
      </c>
      <c r="F41378" t="s">
        <v>12845</v>
      </c>
      <c r="G41378" t="s">
        <v>16561</v>
      </c>
      <c r="H41378" t="s">
        <v>35472</v>
      </c>
    </row>
    <row r="41379" spans="1:8">
      <c r="H41379" t="s">
        <v>35473</v>
      </c>
    </row>
    <row r="41380" spans="1:8">
      <c r="A41380" t="s">
        <v>3537</v>
      </c>
      <c r="B41380">
        <f>HYPERLINK("https://android.googlesource.com/platform/cts/+/45c59233628a428d4503b905e9c7804d871313e3", "45c59233628a428d4503b905e9c7804d871313e3")</f>
        <v>0</v>
      </c>
      <c r="C41380">
        <f>HYPERLINK("https://android.googlesource.com/platform/cts/+/e0d85459c1a03e9142ffb672e651b2e428ab4f34", "e0d85459c1a03e9142ffb672e651b2e428ab4f34")</f>
        <v>0</v>
      </c>
      <c r="D41380" t="s">
        <v>5541</v>
      </c>
      <c r="E41380" t="s">
        <v>9229</v>
      </c>
      <c r="F41380" t="s">
        <v>14344</v>
      </c>
      <c r="G41380" t="s">
        <v>18296</v>
      </c>
      <c r="H41380" t="s">
        <v>35474</v>
      </c>
    </row>
    <row r="41381" spans="1:8">
      <c r="H41381" t="s">
        <v>35475</v>
      </c>
    </row>
    <row r="41382" spans="1:8">
      <c r="H41382" t="s">
        <v>35476</v>
      </c>
    </row>
    <row r="41383" spans="1:8">
      <c r="H41383" t="s">
        <v>35477</v>
      </c>
    </row>
    <row r="41384" spans="1:8">
      <c r="H41384" t="s">
        <v>35478</v>
      </c>
    </row>
    <row r="41385" spans="1:8">
      <c r="H41385" t="s">
        <v>35479</v>
      </c>
    </row>
    <row r="41386" spans="1:8">
      <c r="H41386" t="s">
        <v>35480</v>
      </c>
    </row>
    <row r="41387" spans="1:8">
      <c r="H41387" t="s">
        <v>35481</v>
      </c>
    </row>
    <row r="41388" spans="1:8">
      <c r="H41388" t="s">
        <v>35482</v>
      </c>
    </row>
    <row r="41389" spans="1:8">
      <c r="H41389" t="s">
        <v>35483</v>
      </c>
    </row>
    <row r="41390" spans="1:8">
      <c r="H41390" t="s">
        <v>35484</v>
      </c>
    </row>
    <row r="41391" spans="1:8">
      <c r="H41391" t="s">
        <v>35485</v>
      </c>
    </row>
    <row r="41392" spans="1:8">
      <c r="H41392" t="s">
        <v>35486</v>
      </c>
    </row>
    <row r="41393" spans="1:8">
      <c r="A41393" t="s">
        <v>3540</v>
      </c>
      <c r="B41393">
        <f>HYPERLINK("https://android.googlesource.com/platform/cts/+/1c6308ce4831b5f8bb9995054c61f2d8ba024825", "1c6308ce4831b5f8bb9995054c61f2d8ba024825")</f>
        <v>0</v>
      </c>
      <c r="C41393">
        <f>HYPERLINK("https://android.googlesource.com/platform/cts/+/487dbf47f9ccc9edbff96c69e4a473e2d5f1c17c", "487dbf47f9ccc9edbff96c69e4a473e2d5f1c17c")</f>
        <v>0</v>
      </c>
      <c r="D41393" t="s">
        <v>5195</v>
      </c>
      <c r="E41393" t="s">
        <v>9232</v>
      </c>
      <c r="F41393" t="s">
        <v>13992</v>
      </c>
      <c r="G41393" t="s">
        <v>16620</v>
      </c>
      <c r="H41393" t="s">
        <v>35487</v>
      </c>
    </row>
    <row r="41394" spans="1:8">
      <c r="H41394" t="s">
        <v>35488</v>
      </c>
    </row>
    <row r="41395" spans="1:8">
      <c r="H41395" t="s">
        <v>35489</v>
      </c>
    </row>
    <row r="41396" spans="1:8">
      <c r="H41396" t="s">
        <v>35490</v>
      </c>
    </row>
    <row r="41397" spans="1:8">
      <c r="H41397" t="s">
        <v>35491</v>
      </c>
    </row>
    <row r="41398" spans="1:8">
      <c r="H41398" t="s">
        <v>35492</v>
      </c>
    </row>
    <row r="41399" spans="1:8">
      <c r="H41399" t="s">
        <v>35493</v>
      </c>
    </row>
    <row r="41400" spans="1:8">
      <c r="H41400" t="s">
        <v>35494</v>
      </c>
    </row>
    <row r="41401" spans="1:8">
      <c r="H41401" t="s">
        <v>35495</v>
      </c>
    </row>
    <row r="41402" spans="1:8">
      <c r="H41402" t="s">
        <v>35496</v>
      </c>
    </row>
    <row r="41403" spans="1:8">
      <c r="A41403" t="s">
        <v>3540</v>
      </c>
      <c r="B41403">
        <f>HYPERLINK("https://android.googlesource.com/platform/cts/+/53a00c03d57d69a1a33684c393996e6a6dba9da7", "53a00c03d57d69a1a33684c393996e6a6dba9da7")</f>
        <v>0</v>
      </c>
      <c r="C41403">
        <f>HYPERLINK("https://android.googlesource.com/platform/cts/+/1c6308ce4831b5f8bb9995054c61f2d8ba024825", "1c6308ce4831b5f8bb9995054c61f2d8ba024825")</f>
        <v>0</v>
      </c>
      <c r="D41403" t="s">
        <v>5195</v>
      </c>
      <c r="E41403" t="s">
        <v>9233</v>
      </c>
      <c r="F41403" t="s">
        <v>13992</v>
      </c>
      <c r="G41403" t="s">
        <v>16620</v>
      </c>
      <c r="H41403" t="s">
        <v>35497</v>
      </c>
    </row>
    <row r="41404" spans="1:8">
      <c r="H41404" t="s">
        <v>35498</v>
      </c>
    </row>
    <row r="41405" spans="1:8">
      <c r="H41405" t="s">
        <v>35499</v>
      </c>
    </row>
    <row r="41406" spans="1:8">
      <c r="H41406" t="s">
        <v>35500</v>
      </c>
    </row>
    <row r="41407" spans="1:8">
      <c r="H41407" t="s">
        <v>35501</v>
      </c>
    </row>
    <row r="41408" spans="1:8">
      <c r="H41408" t="s">
        <v>35501</v>
      </c>
    </row>
    <row r="41409" spans="1:8">
      <c r="H41409" t="s">
        <v>35502</v>
      </c>
    </row>
    <row r="41410" spans="1:8">
      <c r="H41410" t="s">
        <v>35503</v>
      </c>
    </row>
    <row r="41411" spans="1:8">
      <c r="H41411" t="s">
        <v>35504</v>
      </c>
    </row>
    <row r="41412" spans="1:8">
      <c r="H41412" t="s">
        <v>35505</v>
      </c>
    </row>
    <row r="41413" spans="1:8">
      <c r="H41413" t="s">
        <v>35506</v>
      </c>
    </row>
    <row r="41414" spans="1:8">
      <c r="H41414" t="s">
        <v>35507</v>
      </c>
    </row>
    <row r="41415" spans="1:8">
      <c r="H41415" t="s">
        <v>35508</v>
      </c>
    </row>
    <row r="41416" spans="1:8">
      <c r="A41416" t="s">
        <v>3540</v>
      </c>
      <c r="B41416">
        <f>HYPERLINK("https://android.googlesource.com/platform/cts/+/95f64e7951a5ba6c2ace333a8d51c4658e07cfcd", "95f64e7951a5ba6c2ace333a8d51c4658e07cfcd")</f>
        <v>0</v>
      </c>
      <c r="C41416">
        <f>HYPERLINK("https://android.googlesource.com/platform/cts/+/53a00c03d57d69a1a33684c393996e6a6dba9da7", "53a00c03d57d69a1a33684c393996e6a6dba9da7")</f>
        <v>0</v>
      </c>
      <c r="D41416" t="s">
        <v>5195</v>
      </c>
      <c r="E41416" t="s">
        <v>9234</v>
      </c>
      <c r="F41416" t="s">
        <v>13992</v>
      </c>
      <c r="G41416" t="s">
        <v>16620</v>
      </c>
      <c r="H41416" t="s">
        <v>35509</v>
      </c>
    </row>
    <row r="41417" spans="1:8">
      <c r="H41417" t="s">
        <v>35510</v>
      </c>
    </row>
    <row r="41418" spans="1:8">
      <c r="H41418" t="s">
        <v>35511</v>
      </c>
    </row>
    <row r="41419" spans="1:8">
      <c r="H41419" t="s">
        <v>35512</v>
      </c>
    </row>
    <row r="41420" spans="1:8">
      <c r="H41420" t="s">
        <v>35513</v>
      </c>
    </row>
    <row r="41421" spans="1:8">
      <c r="H41421" t="s">
        <v>35514</v>
      </c>
    </row>
    <row r="41422" spans="1:8">
      <c r="H41422" t="s">
        <v>35515</v>
      </c>
    </row>
    <row r="41423" spans="1:8">
      <c r="H41423" t="s">
        <v>35516</v>
      </c>
    </row>
    <row r="41424" spans="1:8">
      <c r="H41424" t="s">
        <v>35517</v>
      </c>
    </row>
    <row r="41425" spans="1:8">
      <c r="H41425" t="s">
        <v>35518</v>
      </c>
    </row>
    <row r="41426" spans="1:8">
      <c r="H41426" t="s">
        <v>35519</v>
      </c>
    </row>
    <row r="41427" spans="1:8">
      <c r="H41427" t="s">
        <v>35520</v>
      </c>
    </row>
    <row r="41428" spans="1:8">
      <c r="H41428" t="s">
        <v>35521</v>
      </c>
    </row>
    <row r="41429" spans="1:8">
      <c r="A41429" t="s">
        <v>3540</v>
      </c>
      <c r="B41429">
        <f>HYPERLINK("https://android.googlesource.com/platform/cts/+/91b4c4b4ad3954cbfc45fbe006796e9a294e4d08", "91b4c4b4ad3954cbfc45fbe006796e9a294e4d08")</f>
        <v>0</v>
      </c>
      <c r="C41429">
        <f>HYPERLINK("https://android.googlesource.com/platform/cts/+/95f64e7951a5ba6c2ace333a8d51c4658e07cfcd", "95f64e7951a5ba6c2ace333a8d51c4658e07cfcd")</f>
        <v>0</v>
      </c>
      <c r="D41429" t="s">
        <v>5195</v>
      </c>
      <c r="E41429" t="s">
        <v>9235</v>
      </c>
      <c r="F41429" t="s">
        <v>13992</v>
      </c>
      <c r="G41429" t="s">
        <v>16620</v>
      </c>
      <c r="H41429" t="s">
        <v>35522</v>
      </c>
    </row>
    <row r="41430" spans="1:8">
      <c r="H41430" t="s">
        <v>35523</v>
      </c>
    </row>
    <row r="41431" spans="1:8">
      <c r="H41431" t="s">
        <v>35524</v>
      </c>
    </row>
    <row r="41432" spans="1:8">
      <c r="H41432" t="s">
        <v>35525</v>
      </c>
    </row>
    <row r="41433" spans="1:8">
      <c r="H41433" t="s">
        <v>35526</v>
      </c>
    </row>
    <row r="41434" spans="1:8">
      <c r="H41434" t="s">
        <v>35527</v>
      </c>
    </row>
    <row r="41435" spans="1:8">
      <c r="H41435" t="s">
        <v>35528</v>
      </c>
    </row>
    <row r="41436" spans="1:8">
      <c r="H41436" t="s">
        <v>35529</v>
      </c>
    </row>
    <row r="41437" spans="1:8">
      <c r="H41437" t="s">
        <v>35530</v>
      </c>
    </row>
    <row r="41438" spans="1:8">
      <c r="H41438" t="s">
        <v>35531</v>
      </c>
    </row>
    <row r="41439" spans="1:8">
      <c r="H41439" t="s">
        <v>35532</v>
      </c>
    </row>
    <row r="41440" spans="1:8">
      <c r="H41440" t="s">
        <v>35533</v>
      </c>
    </row>
    <row r="41441" spans="1:8">
      <c r="H41441" t="s">
        <v>35534</v>
      </c>
    </row>
    <row r="41442" spans="1:8">
      <c r="H41442" t="s">
        <v>35535</v>
      </c>
    </row>
    <row r="41443" spans="1:8">
      <c r="H41443" t="s">
        <v>35536</v>
      </c>
    </row>
    <row r="41444" spans="1:8">
      <c r="H41444" t="s">
        <v>35537</v>
      </c>
    </row>
    <row r="41445" spans="1:8">
      <c r="A41445" t="s">
        <v>3540</v>
      </c>
      <c r="B41445">
        <f>HYPERLINK("https://android.googlesource.com/platform/cts/+/c92831a16175036bee5059fb34a754e0a6613df8", "c92831a16175036bee5059fb34a754e0a6613df8")</f>
        <v>0</v>
      </c>
      <c r="C41445">
        <f>HYPERLINK("https://android.googlesource.com/platform/cts/+/91b4c4b4ad3954cbfc45fbe006796e9a294e4d08", "91b4c4b4ad3954cbfc45fbe006796e9a294e4d08")</f>
        <v>0</v>
      </c>
      <c r="D41445" t="s">
        <v>5195</v>
      </c>
      <c r="E41445" t="s">
        <v>9236</v>
      </c>
      <c r="F41445" t="s">
        <v>13816</v>
      </c>
      <c r="G41445" t="s">
        <v>15089</v>
      </c>
      <c r="H41445" t="s">
        <v>35505</v>
      </c>
    </row>
    <row r="41446" spans="1:8">
      <c r="H41446" t="s">
        <v>35538</v>
      </c>
    </row>
    <row r="41447" spans="1:8">
      <c r="H41447" t="s">
        <v>35539</v>
      </c>
    </row>
    <row r="41448" spans="1:8">
      <c r="H41448" t="s">
        <v>35540</v>
      </c>
    </row>
    <row r="41449" spans="1:8">
      <c r="A41449" t="s">
        <v>3541</v>
      </c>
      <c r="B41449">
        <f>HYPERLINK("https://android.googlesource.com/platform/cts/+/ab1c3c8886231e2990e6685a1e2d64153bf64c02", "ab1c3c8886231e2990e6685a1e2d64153bf64c02")</f>
        <v>0</v>
      </c>
      <c r="C41449">
        <f>HYPERLINK("https://android.googlesource.com/platform/cts/+/f59f868aacad66140bd7a383b9c9db7164edb346", "f59f868aacad66140bd7a383b9c9db7164edb346")</f>
        <v>0</v>
      </c>
      <c r="D41449" t="s">
        <v>5298</v>
      </c>
      <c r="E41449" t="s">
        <v>9237</v>
      </c>
      <c r="F41449" t="s">
        <v>14345</v>
      </c>
      <c r="G41449" t="s">
        <v>18297</v>
      </c>
      <c r="H41449" t="s">
        <v>35541</v>
      </c>
    </row>
    <row r="41450" spans="1:8">
      <c r="A41450" t="s">
        <v>3544</v>
      </c>
      <c r="B41450">
        <f>HYPERLINK("https://android.googlesource.com/platform/cts/+/0b118dc1f075d60904eabbd2f9f40710c4597a4a", "0b118dc1f075d60904eabbd2f9f40710c4597a4a")</f>
        <v>0</v>
      </c>
      <c r="C41450">
        <f>HYPERLINK("https://android.googlesource.com/platform/cts/+/8a158ee730271017ec3852f85e38afbe58cdb766", "8a158ee730271017ec3852f85e38afbe58cdb766")</f>
        <v>0</v>
      </c>
      <c r="D41450" t="s">
        <v>5182</v>
      </c>
      <c r="E41450" t="s">
        <v>9240</v>
      </c>
      <c r="F41450" t="s">
        <v>12820</v>
      </c>
      <c r="G41450" t="s">
        <v>16999</v>
      </c>
      <c r="H41450" t="s">
        <v>35542</v>
      </c>
    </row>
    <row r="41451" spans="1:8">
      <c r="A41451" t="s">
        <v>3545</v>
      </c>
      <c r="B41451">
        <f>HYPERLINK("https://android.googlesource.com/platform/cts/+/0be144a10f415dc7d47916df1100cc3dce305360", "0be144a10f415dc7d47916df1100cc3dce305360")</f>
        <v>0</v>
      </c>
      <c r="C41451">
        <f>HYPERLINK("https://android.googlesource.com/platform/cts/+/8809e6eba385c95eab69009050fcc5e218a8d6ca", "8809e6eba385c95eab69009050fcc5e218a8d6ca")</f>
        <v>0</v>
      </c>
      <c r="D41451" t="s">
        <v>5415</v>
      </c>
      <c r="E41451" t="s">
        <v>9241</v>
      </c>
      <c r="F41451" t="s">
        <v>14346</v>
      </c>
      <c r="G41451" t="s">
        <v>18045</v>
      </c>
      <c r="H41451" t="s">
        <v>35543</v>
      </c>
    </row>
    <row r="41452" spans="1:8">
      <c r="H41452" t="s">
        <v>35544</v>
      </c>
    </row>
    <row r="41453" spans="1:8">
      <c r="A41453" t="s">
        <v>3547</v>
      </c>
      <c r="B41453">
        <f>HYPERLINK("https://android.googlesource.com/platform/cts/+/50054a0a35dd7a0866999644a16ddc5ac8cdf9ca", "50054a0a35dd7a0866999644a16ddc5ac8cdf9ca")</f>
        <v>0</v>
      </c>
      <c r="C41453">
        <f>HYPERLINK("https://android.googlesource.com/platform/cts/+/10721726f4477f534addc39b0291eacfab7734ed", "10721726f4477f534addc39b0291eacfab7734ed")</f>
        <v>0</v>
      </c>
      <c r="D41453" t="s">
        <v>5153</v>
      </c>
      <c r="E41453" t="s">
        <v>9243</v>
      </c>
      <c r="F41453" t="s">
        <v>14347</v>
      </c>
      <c r="G41453" t="s">
        <v>18298</v>
      </c>
      <c r="H41453" t="s">
        <v>35545</v>
      </c>
    </row>
    <row r="41454" spans="1:8">
      <c r="F41454" t="s">
        <v>14348</v>
      </c>
      <c r="G41454" t="s">
        <v>18299</v>
      </c>
      <c r="H41454" t="s">
        <v>35545</v>
      </c>
    </row>
    <row r="41455" spans="1:8">
      <c r="A41455" t="s">
        <v>3548</v>
      </c>
      <c r="B41455">
        <f>HYPERLINK("https://android.googlesource.com/platform/cts/+/6149b2845677bc88c4e27c35e633bcf2f6809401", "6149b2845677bc88c4e27c35e633bcf2f6809401")</f>
        <v>0</v>
      </c>
      <c r="C41455">
        <f>HYPERLINK("https://android.googlesource.com/platform/cts/+/10721726f4477f534addc39b0291eacfab7734ed", "10721726f4477f534addc39b0291eacfab7734ed")</f>
        <v>0</v>
      </c>
      <c r="D41455" t="s">
        <v>5438</v>
      </c>
      <c r="E41455" t="s">
        <v>9244</v>
      </c>
      <c r="F41455" t="s">
        <v>14349</v>
      </c>
      <c r="G41455" t="s">
        <v>18300</v>
      </c>
      <c r="H41455" t="s">
        <v>35546</v>
      </c>
    </row>
    <row r="41456" spans="1:8">
      <c r="H41456" t="s">
        <v>35547</v>
      </c>
    </row>
    <row r="41457" spans="1:8">
      <c r="H41457" t="s">
        <v>35548</v>
      </c>
    </row>
    <row r="41458" spans="1:8">
      <c r="A41458" t="s">
        <v>3549</v>
      </c>
      <c r="B41458">
        <f>HYPERLINK("https://android.googlesource.com/platform/cts/+/206f1b68df1fccaab547759338ff334d22616c6f", "206f1b68df1fccaab547759338ff334d22616c6f")</f>
        <v>0</v>
      </c>
      <c r="C41458">
        <f>HYPERLINK("https://android.googlesource.com/platform/cts/+/ac008bf0ff1714ffb37154567d7fa9aaade91d57", "ac008bf0ff1714ffb37154567d7fa9aaade91d57")</f>
        <v>0</v>
      </c>
      <c r="D41458" t="s">
        <v>5586</v>
      </c>
      <c r="E41458" t="s">
        <v>9245</v>
      </c>
      <c r="F41458" t="s">
        <v>13992</v>
      </c>
      <c r="G41458" t="s">
        <v>16620</v>
      </c>
      <c r="H41458" t="s">
        <v>35470</v>
      </c>
    </row>
    <row r="41459" spans="1:8">
      <c r="A41459" t="s">
        <v>3550</v>
      </c>
      <c r="B41459">
        <f>HYPERLINK("https://android.googlesource.com/platform/cts/+/33f78ee32e879f6a0ef271264b391c370770d914", "33f78ee32e879f6a0ef271264b391c370770d914")</f>
        <v>0</v>
      </c>
      <c r="C41459">
        <f>HYPERLINK("https://android.googlesource.com/platform/cts/+/10721726f4477f534addc39b0291eacfab7734ed", "10721726f4477f534addc39b0291eacfab7734ed")</f>
        <v>0</v>
      </c>
      <c r="D41459" t="s">
        <v>5290</v>
      </c>
      <c r="E41459" t="s">
        <v>9246</v>
      </c>
      <c r="F41459" t="s">
        <v>14350</v>
      </c>
      <c r="G41459" t="s">
        <v>18301</v>
      </c>
      <c r="H41459" t="s">
        <v>35549</v>
      </c>
    </row>
    <row r="41460" spans="1:8">
      <c r="A41460" t="s">
        <v>3551</v>
      </c>
      <c r="B41460">
        <f>HYPERLINK("https://android.googlesource.com/platform/cts/+/0c35cc2e801c0deaa00c84b2f3753a16e5d5000f", "0c35cc2e801c0deaa00c84b2f3753a16e5d5000f")</f>
        <v>0</v>
      </c>
      <c r="C41460">
        <f>HYPERLINK("https://android.googlesource.com/platform/cts/+/48ed8de64232d459d14bfd50614f985e5d4163c2", "48ed8de64232d459d14bfd50614f985e5d4163c2")</f>
        <v>0</v>
      </c>
      <c r="D41460" t="s">
        <v>5474</v>
      </c>
      <c r="E41460" t="s">
        <v>9247</v>
      </c>
      <c r="F41460" t="s">
        <v>14351</v>
      </c>
      <c r="G41460" t="s">
        <v>18302</v>
      </c>
      <c r="H41460" t="s">
        <v>18916</v>
      </c>
    </row>
    <row r="41461" spans="1:8">
      <c r="A41461" t="s">
        <v>3552</v>
      </c>
      <c r="B41461">
        <f>HYPERLINK("https://android.googlesource.com/platform/cts/+/2520a01d1392d6a19f4b2af6da137d4069e04e7e", "2520a01d1392d6a19f4b2af6da137d4069e04e7e")</f>
        <v>0</v>
      </c>
      <c r="C41461">
        <f>HYPERLINK("https://android.googlesource.com/platform/cts/+/825e54ed10d3dcd65a75e74c08eae3eabe59bae0", "825e54ed10d3dcd65a75e74c08eae3eabe59bae0")</f>
        <v>0</v>
      </c>
      <c r="D41461" t="s">
        <v>5568</v>
      </c>
      <c r="E41461" t="s">
        <v>9248</v>
      </c>
      <c r="F41461" t="s">
        <v>14352</v>
      </c>
      <c r="G41461" t="s">
        <v>18261</v>
      </c>
      <c r="H41461" t="s">
        <v>34567</v>
      </c>
    </row>
    <row r="41462" spans="1:8">
      <c r="H41462" t="s">
        <v>34795</v>
      </c>
    </row>
    <row r="41463" spans="1:8">
      <c r="H41463" t="s">
        <v>34797</v>
      </c>
    </row>
    <row r="41464" spans="1:8">
      <c r="H41464" t="s">
        <v>34797</v>
      </c>
    </row>
    <row r="41465" spans="1:8">
      <c r="H41465" t="s">
        <v>34798</v>
      </c>
    </row>
    <row r="41466" spans="1:8">
      <c r="H41466" t="s">
        <v>22005</v>
      </c>
    </row>
    <row r="41467" spans="1:8">
      <c r="H41467" t="s">
        <v>34799</v>
      </c>
    </row>
    <row r="41468" spans="1:8">
      <c r="A41468" t="s">
        <v>3553</v>
      </c>
      <c r="B41468">
        <f>HYPERLINK("https://android.googlesource.com/platform/cts/+/0138863190bbcf9572442132b155155dce02a367", "0138863190bbcf9572442132b155155dce02a367")</f>
        <v>0</v>
      </c>
      <c r="C41468">
        <f>HYPERLINK("https://android.googlesource.com/platform/cts/+/60dbc583890a78ed1945452520adc8610b0cd34d", "60dbc583890a78ed1945452520adc8610b0cd34d")</f>
        <v>0</v>
      </c>
      <c r="D41468" t="s">
        <v>5338</v>
      </c>
      <c r="E41468" t="s">
        <v>9249</v>
      </c>
      <c r="F41468" t="s">
        <v>14353</v>
      </c>
      <c r="G41468" t="s">
        <v>18303</v>
      </c>
      <c r="H41468" t="s">
        <v>35550</v>
      </c>
    </row>
    <row r="41469" spans="1:8">
      <c r="H41469" t="s">
        <v>35551</v>
      </c>
    </row>
    <row r="41470" spans="1:8">
      <c r="F41470" t="s">
        <v>14354</v>
      </c>
      <c r="G41470" t="s">
        <v>18304</v>
      </c>
      <c r="H41470" t="s">
        <v>35552</v>
      </c>
    </row>
    <row r="41471" spans="1:8">
      <c r="H41471" t="s">
        <v>35553</v>
      </c>
    </row>
    <row r="41472" spans="1:8">
      <c r="H41472" t="s">
        <v>35550</v>
      </c>
    </row>
    <row r="41473" spans="6:8">
      <c r="F41473" t="s">
        <v>14340</v>
      </c>
      <c r="G41473" t="s">
        <v>18292</v>
      </c>
      <c r="H41473" t="s">
        <v>34590</v>
      </c>
    </row>
    <row r="41474" spans="6:8">
      <c r="H41474" t="s">
        <v>34591</v>
      </c>
    </row>
    <row r="41475" spans="6:8">
      <c r="H41475" t="s">
        <v>34592</v>
      </c>
    </row>
    <row r="41476" spans="6:8">
      <c r="H41476" t="s">
        <v>34593</v>
      </c>
    </row>
    <row r="41477" spans="6:8">
      <c r="H41477" t="s">
        <v>34594</v>
      </c>
    </row>
    <row r="41478" spans="6:8">
      <c r="H41478" t="s">
        <v>34595</v>
      </c>
    </row>
    <row r="41479" spans="6:8">
      <c r="H41479" t="s">
        <v>34596</v>
      </c>
    </row>
    <row r="41480" spans="6:8">
      <c r="H41480" t="s">
        <v>34597</v>
      </c>
    </row>
    <row r="41481" spans="6:8">
      <c r="H41481" t="s">
        <v>34598</v>
      </c>
    </row>
    <row r="41482" spans="6:8">
      <c r="H41482" t="s">
        <v>34599</v>
      </c>
    </row>
    <row r="41483" spans="6:8">
      <c r="H41483" t="s">
        <v>34600</v>
      </c>
    </row>
    <row r="41484" spans="6:8">
      <c r="H41484" t="s">
        <v>34601</v>
      </c>
    </row>
    <row r="41485" spans="6:8">
      <c r="H41485" t="s">
        <v>34602</v>
      </c>
    </row>
    <row r="41486" spans="6:8">
      <c r="H41486" t="s">
        <v>34603</v>
      </c>
    </row>
    <row r="41487" spans="6:8">
      <c r="H41487" t="s">
        <v>34604</v>
      </c>
    </row>
    <row r="41488" spans="6:8">
      <c r="H41488" t="s">
        <v>34605</v>
      </c>
    </row>
    <row r="41489" spans="6:8">
      <c r="H41489" t="s">
        <v>34613</v>
      </c>
    </row>
    <row r="41490" spans="6:8">
      <c r="H41490" t="s">
        <v>35554</v>
      </c>
    </row>
    <row r="41491" spans="6:8">
      <c r="H41491" t="s">
        <v>34614</v>
      </c>
    </row>
    <row r="41492" spans="6:8">
      <c r="H41492" t="s">
        <v>34615</v>
      </c>
    </row>
    <row r="41493" spans="6:8">
      <c r="H41493" t="s">
        <v>34612</v>
      </c>
    </row>
    <row r="41494" spans="6:8">
      <c r="F41494" t="s">
        <v>14237</v>
      </c>
      <c r="G41494" t="s">
        <v>18207</v>
      </c>
      <c r="H41494" t="s">
        <v>35555</v>
      </c>
    </row>
    <row r="41495" spans="6:8">
      <c r="H41495" t="s">
        <v>35556</v>
      </c>
    </row>
    <row r="41496" spans="6:8">
      <c r="H41496" t="s">
        <v>35557</v>
      </c>
    </row>
    <row r="41497" spans="6:8">
      <c r="H41497" t="s">
        <v>35558</v>
      </c>
    </row>
    <row r="41498" spans="6:8">
      <c r="H41498" t="s">
        <v>35559</v>
      </c>
    </row>
    <row r="41499" spans="6:8">
      <c r="H41499" t="s">
        <v>35560</v>
      </c>
    </row>
    <row r="41500" spans="6:8">
      <c r="H41500" t="s">
        <v>35561</v>
      </c>
    </row>
    <row r="41501" spans="6:8">
      <c r="H41501" t="s">
        <v>35562</v>
      </c>
    </row>
    <row r="41502" spans="6:8">
      <c r="H41502" t="s">
        <v>35563</v>
      </c>
    </row>
    <row r="41503" spans="6:8">
      <c r="H41503" t="s">
        <v>35564</v>
      </c>
    </row>
    <row r="41504" spans="6:8">
      <c r="H41504" t="s">
        <v>35565</v>
      </c>
    </row>
    <row r="41505" spans="6:8">
      <c r="H41505" t="s">
        <v>35566</v>
      </c>
    </row>
    <row r="41506" spans="6:8">
      <c r="H41506" t="s">
        <v>34606</v>
      </c>
    </row>
    <row r="41507" spans="6:8">
      <c r="H41507" t="s">
        <v>35567</v>
      </c>
    </row>
    <row r="41508" spans="6:8">
      <c r="H41508" t="s">
        <v>35568</v>
      </c>
    </row>
    <row r="41509" spans="6:8">
      <c r="H41509" t="s">
        <v>35569</v>
      </c>
    </row>
    <row r="41510" spans="6:8">
      <c r="H41510" t="s">
        <v>35570</v>
      </c>
    </row>
    <row r="41511" spans="6:8">
      <c r="H41511" t="s">
        <v>35571</v>
      </c>
    </row>
    <row r="41512" spans="6:8">
      <c r="H41512" t="s">
        <v>35572</v>
      </c>
    </row>
    <row r="41513" spans="6:8">
      <c r="H41513" t="s">
        <v>35573</v>
      </c>
    </row>
    <row r="41514" spans="6:8">
      <c r="H41514" t="s">
        <v>35574</v>
      </c>
    </row>
    <row r="41515" spans="6:8">
      <c r="H41515" t="s">
        <v>35575</v>
      </c>
    </row>
    <row r="41516" spans="6:8">
      <c r="H41516" t="s">
        <v>35576</v>
      </c>
    </row>
    <row r="41517" spans="6:8">
      <c r="H41517" t="s">
        <v>34234</v>
      </c>
    </row>
    <row r="41518" spans="6:8">
      <c r="H41518" t="s">
        <v>35577</v>
      </c>
    </row>
    <row r="41519" spans="6:8">
      <c r="F41519" t="s">
        <v>14233</v>
      </c>
      <c r="G41519" t="s">
        <v>16863</v>
      </c>
      <c r="H41519" t="s">
        <v>35578</v>
      </c>
    </row>
    <row r="41520" spans="6:8">
      <c r="F41520" t="s">
        <v>14227</v>
      </c>
      <c r="G41520" t="s">
        <v>18199</v>
      </c>
      <c r="H41520" t="s">
        <v>34590</v>
      </c>
    </row>
    <row r="41521" spans="8:8">
      <c r="H41521" t="s">
        <v>34591</v>
      </c>
    </row>
    <row r="41522" spans="8:8">
      <c r="H41522" t="s">
        <v>34592</v>
      </c>
    </row>
    <row r="41523" spans="8:8">
      <c r="H41523" t="s">
        <v>35555</v>
      </c>
    </row>
    <row r="41524" spans="8:8">
      <c r="H41524" t="s">
        <v>34593</v>
      </c>
    </row>
    <row r="41525" spans="8:8">
      <c r="H41525" t="s">
        <v>34594</v>
      </c>
    </row>
    <row r="41526" spans="8:8">
      <c r="H41526" t="s">
        <v>35566</v>
      </c>
    </row>
    <row r="41527" spans="8:8">
      <c r="H41527" t="s">
        <v>35556</v>
      </c>
    </row>
    <row r="41528" spans="8:8">
      <c r="H41528" t="s">
        <v>35557</v>
      </c>
    </row>
    <row r="41529" spans="8:8">
      <c r="H41529" t="s">
        <v>34595</v>
      </c>
    </row>
    <row r="41530" spans="8:8">
      <c r="H41530" t="s">
        <v>34596</v>
      </c>
    </row>
    <row r="41531" spans="8:8">
      <c r="H41531" t="s">
        <v>34597</v>
      </c>
    </row>
    <row r="41532" spans="8:8">
      <c r="H41532" t="s">
        <v>35558</v>
      </c>
    </row>
    <row r="41533" spans="8:8">
      <c r="H41533" t="s">
        <v>35559</v>
      </c>
    </row>
    <row r="41534" spans="8:8">
      <c r="H41534" t="s">
        <v>34598</v>
      </c>
    </row>
    <row r="41535" spans="8:8">
      <c r="H41535" t="s">
        <v>34599</v>
      </c>
    </row>
    <row r="41536" spans="8:8">
      <c r="H41536" t="s">
        <v>35579</v>
      </c>
    </row>
    <row r="41537" spans="8:8">
      <c r="H41537" t="s">
        <v>35580</v>
      </c>
    </row>
    <row r="41538" spans="8:8">
      <c r="H41538" t="s">
        <v>35581</v>
      </c>
    </row>
    <row r="41539" spans="8:8">
      <c r="H41539" t="s">
        <v>35582</v>
      </c>
    </row>
    <row r="41540" spans="8:8">
      <c r="H41540" t="s">
        <v>35583</v>
      </c>
    </row>
    <row r="41541" spans="8:8">
      <c r="H41541" t="s">
        <v>35584</v>
      </c>
    </row>
    <row r="41542" spans="8:8">
      <c r="H41542" t="s">
        <v>35585</v>
      </c>
    </row>
    <row r="41543" spans="8:8">
      <c r="H41543" t="s">
        <v>35586</v>
      </c>
    </row>
    <row r="41544" spans="8:8">
      <c r="H41544" t="s">
        <v>35587</v>
      </c>
    </row>
    <row r="41545" spans="8:8">
      <c r="H41545" t="s">
        <v>35588</v>
      </c>
    </row>
    <row r="41546" spans="8:8">
      <c r="H41546" t="s">
        <v>35589</v>
      </c>
    </row>
    <row r="41547" spans="8:8">
      <c r="H41547" t="s">
        <v>35590</v>
      </c>
    </row>
    <row r="41548" spans="8:8">
      <c r="H41548" t="s">
        <v>35591</v>
      </c>
    </row>
    <row r="41549" spans="8:8">
      <c r="H41549" t="s">
        <v>35592</v>
      </c>
    </row>
    <row r="41550" spans="8:8">
      <c r="H41550" t="s">
        <v>35593</v>
      </c>
    </row>
    <row r="41551" spans="8:8">
      <c r="H41551" t="s">
        <v>35594</v>
      </c>
    </row>
    <row r="41552" spans="8:8">
      <c r="H41552" t="s">
        <v>35595</v>
      </c>
    </row>
    <row r="41553" spans="8:8">
      <c r="H41553" t="s">
        <v>35596</v>
      </c>
    </row>
    <row r="41554" spans="8:8">
      <c r="H41554" t="s">
        <v>35597</v>
      </c>
    </row>
    <row r="41555" spans="8:8">
      <c r="H41555" t="s">
        <v>35598</v>
      </c>
    </row>
    <row r="41556" spans="8:8">
      <c r="H41556" t="s">
        <v>35599</v>
      </c>
    </row>
    <row r="41557" spans="8:8">
      <c r="H41557" t="s">
        <v>35600</v>
      </c>
    </row>
    <row r="41558" spans="8:8">
      <c r="H41558" t="s">
        <v>35601</v>
      </c>
    </row>
    <row r="41559" spans="8:8">
      <c r="H41559" t="s">
        <v>35602</v>
      </c>
    </row>
    <row r="41560" spans="8:8">
      <c r="H41560" t="s">
        <v>35603</v>
      </c>
    </row>
    <row r="41561" spans="8:8">
      <c r="H41561" t="s">
        <v>34604</v>
      </c>
    </row>
    <row r="41562" spans="8:8">
      <c r="H41562" t="s">
        <v>34605</v>
      </c>
    </row>
    <row r="41563" spans="8:8">
      <c r="H41563" t="s">
        <v>34606</v>
      </c>
    </row>
    <row r="41564" spans="8:8">
      <c r="H41564" t="s">
        <v>35561</v>
      </c>
    </row>
    <row r="41565" spans="8:8">
      <c r="H41565" t="s">
        <v>35562</v>
      </c>
    </row>
    <row r="41566" spans="8:8">
      <c r="H41566" t="s">
        <v>34602</v>
      </c>
    </row>
    <row r="41567" spans="8:8">
      <c r="H41567" t="s">
        <v>35563</v>
      </c>
    </row>
    <row r="41568" spans="8:8">
      <c r="H41568" t="s">
        <v>34603</v>
      </c>
    </row>
    <row r="41569" spans="8:8">
      <c r="H41569" t="s">
        <v>35564</v>
      </c>
    </row>
    <row r="41570" spans="8:8">
      <c r="H41570" t="s">
        <v>35565</v>
      </c>
    </row>
    <row r="41571" spans="8:8">
      <c r="H41571" t="s">
        <v>35604</v>
      </c>
    </row>
    <row r="41572" spans="8:8">
      <c r="H41572" t="s">
        <v>34609</v>
      </c>
    </row>
    <row r="41573" spans="8:8">
      <c r="H41573" t="s">
        <v>34610</v>
      </c>
    </row>
    <row r="41574" spans="8:8">
      <c r="H41574" t="s">
        <v>34611</v>
      </c>
    </row>
    <row r="41575" spans="8:8">
      <c r="H41575" t="s">
        <v>35568</v>
      </c>
    </row>
    <row r="41576" spans="8:8">
      <c r="H41576" t="s">
        <v>35569</v>
      </c>
    </row>
    <row r="41577" spans="8:8">
      <c r="H41577" t="s">
        <v>35570</v>
      </c>
    </row>
    <row r="41578" spans="8:8">
      <c r="H41578" t="s">
        <v>35572</v>
      </c>
    </row>
    <row r="41579" spans="8:8">
      <c r="H41579" t="s">
        <v>35571</v>
      </c>
    </row>
    <row r="41580" spans="8:8">
      <c r="H41580" t="s">
        <v>34612</v>
      </c>
    </row>
    <row r="41581" spans="8:8">
      <c r="H41581" t="s">
        <v>35573</v>
      </c>
    </row>
    <row r="41582" spans="8:8">
      <c r="H41582" t="s">
        <v>34613</v>
      </c>
    </row>
    <row r="41583" spans="8:8">
      <c r="H41583" t="s">
        <v>34614</v>
      </c>
    </row>
    <row r="41584" spans="8:8">
      <c r="H41584" t="s">
        <v>34615</v>
      </c>
    </row>
    <row r="41585" spans="1:8">
      <c r="H41585" t="s">
        <v>35574</v>
      </c>
    </row>
    <row r="41586" spans="1:8">
      <c r="H41586" t="s">
        <v>35575</v>
      </c>
    </row>
    <row r="41587" spans="1:8">
      <c r="H41587" t="s">
        <v>35576</v>
      </c>
    </row>
    <row r="41588" spans="1:8">
      <c r="H41588" t="s">
        <v>34234</v>
      </c>
    </row>
    <row r="41589" spans="1:8">
      <c r="H41589" t="s">
        <v>35577</v>
      </c>
    </row>
    <row r="41590" spans="1:8">
      <c r="A41590" t="s">
        <v>3554</v>
      </c>
      <c r="B41590">
        <f>HYPERLINK("https://android.googlesource.com/platform/cts/+/6085f6e7b8b230f447a75ff444edb8f65ecc2162", "6085f6e7b8b230f447a75ff444edb8f65ecc2162")</f>
        <v>0</v>
      </c>
      <c r="C41590">
        <f>HYPERLINK("https://android.googlesource.com/platform/cts/+/c1daf4238e5d80c1f620de9c616958687a23c440", "c1daf4238e5d80c1f620de9c616958687a23c440")</f>
        <v>0</v>
      </c>
      <c r="D41590" t="s">
        <v>5352</v>
      </c>
      <c r="E41590" t="s">
        <v>9250</v>
      </c>
      <c r="F41590" t="s">
        <v>14355</v>
      </c>
      <c r="G41590" t="s">
        <v>18305</v>
      </c>
      <c r="H41590" t="s">
        <v>18829</v>
      </c>
    </row>
    <row r="41591" spans="1:8">
      <c r="H41591" t="s">
        <v>18863</v>
      </c>
    </row>
    <row r="41592" spans="1:8">
      <c r="H41592" t="s">
        <v>35605</v>
      </c>
    </row>
    <row r="41593" spans="1:8">
      <c r="A41593" t="s">
        <v>3555</v>
      </c>
      <c r="B41593">
        <f>HYPERLINK("https://android.googlesource.com/platform/cts/+/669ff082132104e42230b68eb54a9a9817ed5736", "669ff082132104e42230b68eb54a9a9817ed5736")</f>
        <v>0</v>
      </c>
      <c r="C41593">
        <f>HYPERLINK("https://android.googlesource.com/platform/cts/+/6d3b722efa61fab0a10ab857a5cc83bbe949fd6e", "6d3b722efa61fab0a10ab857a5cc83bbe949fd6e")</f>
        <v>0</v>
      </c>
      <c r="D41593" t="s">
        <v>5509</v>
      </c>
      <c r="E41593" t="s">
        <v>9251</v>
      </c>
      <c r="F41593" t="s">
        <v>12368</v>
      </c>
      <c r="G41593" t="s">
        <v>16595</v>
      </c>
      <c r="H41593" t="s">
        <v>35606</v>
      </c>
    </row>
    <row r="41594" spans="1:8">
      <c r="H41594" t="s">
        <v>35607</v>
      </c>
    </row>
    <row r="41595" spans="1:8">
      <c r="H41595" t="s">
        <v>35608</v>
      </c>
    </row>
    <row r="41596" spans="1:8">
      <c r="A41596" t="s">
        <v>3556</v>
      </c>
      <c r="B41596">
        <f>HYPERLINK("https://android.googlesource.com/platform/cts/+/57303b9f4deaee96e84bf700aa555e65ece45f35", "57303b9f4deaee96e84bf700aa555e65ece45f35")</f>
        <v>0</v>
      </c>
      <c r="C41596">
        <f>HYPERLINK("https://android.googlesource.com/platform/cts/+/669ff082132104e42230b68eb54a9a9817ed5736", "669ff082132104e42230b68eb54a9a9817ed5736")</f>
        <v>0</v>
      </c>
      <c r="D41596" t="s">
        <v>5509</v>
      </c>
      <c r="E41596" t="s">
        <v>9252</v>
      </c>
      <c r="F41596" t="s">
        <v>12368</v>
      </c>
      <c r="G41596" t="s">
        <v>16595</v>
      </c>
      <c r="H41596" t="s">
        <v>35609</v>
      </c>
    </row>
    <row r="41597" spans="1:8">
      <c r="A41597" t="s">
        <v>3557</v>
      </c>
      <c r="B41597">
        <f>HYPERLINK("https://android.googlesource.com/platform/cts/+/39b96926aad856dcbc67ae1c992d6dc01c9ff36a", "39b96926aad856dcbc67ae1c992d6dc01c9ff36a")</f>
        <v>0</v>
      </c>
      <c r="C41597">
        <f>HYPERLINK("https://android.googlesource.com/platform/cts/+/5a258c2c1979205bf9c6dfc3f06039f300a605f5", "5a258c2c1979205bf9c6dfc3f06039f300a605f5")</f>
        <v>0</v>
      </c>
      <c r="D41597" t="s">
        <v>5479</v>
      </c>
      <c r="E41597" t="s">
        <v>9253</v>
      </c>
      <c r="F41597" t="s">
        <v>14326</v>
      </c>
      <c r="G41597" t="s">
        <v>17580</v>
      </c>
      <c r="H41597" t="s">
        <v>35466</v>
      </c>
    </row>
    <row r="41598" spans="1:8">
      <c r="H41598" t="s">
        <v>33155</v>
      </c>
    </row>
    <row r="41599" spans="1:8">
      <c r="A41599" t="s">
        <v>3558</v>
      </c>
      <c r="B41599">
        <f>HYPERLINK("https://android.googlesource.com/platform/cts/+/5a4233f88af077ea9dc2672c004e3b57c9af425f", "5a4233f88af077ea9dc2672c004e3b57c9af425f")</f>
        <v>0</v>
      </c>
      <c r="C41599">
        <f>HYPERLINK("https://android.googlesource.com/platform/cts/+/752b518cd9a8399c1e498bbe28e48b287e1ad748", "752b518cd9a8399c1e498bbe28e48b287e1ad748")</f>
        <v>0</v>
      </c>
      <c r="D41599" t="s">
        <v>5509</v>
      </c>
      <c r="E41599" t="s">
        <v>9254</v>
      </c>
      <c r="F41599" t="s">
        <v>12368</v>
      </c>
      <c r="G41599" t="s">
        <v>16595</v>
      </c>
      <c r="H41599" t="s">
        <v>35610</v>
      </c>
    </row>
    <row r="41600" spans="1:8">
      <c r="A41600" t="s">
        <v>3561</v>
      </c>
      <c r="B41600">
        <f>HYPERLINK("https://android.googlesource.com/platform/cts/+/d6990872252d7c3a824bda6706fdbe5e4bc403c5", "d6990872252d7c3a824bda6706fdbe5e4bc403c5")</f>
        <v>0</v>
      </c>
      <c r="C41600">
        <f>HYPERLINK("https://android.googlesource.com/platform/cts/+/5a4233f88af077ea9dc2672c004e3b57c9af425f", "5a4233f88af077ea9dc2672c004e3b57c9af425f")</f>
        <v>0</v>
      </c>
      <c r="D41600" t="s">
        <v>5509</v>
      </c>
      <c r="E41600" t="s">
        <v>9257</v>
      </c>
      <c r="F41600" t="s">
        <v>12368</v>
      </c>
      <c r="G41600" t="s">
        <v>16595</v>
      </c>
      <c r="H41600" t="s">
        <v>35611</v>
      </c>
    </row>
    <row r="41601" spans="1:8">
      <c r="H41601" t="s">
        <v>35612</v>
      </c>
    </row>
    <row r="41602" spans="1:8">
      <c r="H41602" t="s">
        <v>35613</v>
      </c>
    </row>
    <row r="41603" spans="1:8">
      <c r="A41603" t="s">
        <v>3564</v>
      </c>
      <c r="B41603">
        <f>HYPERLINK("https://android.googlesource.com/platform/cts/+/c450167c7626def6b8168e405a6fafd9c459a35e", "c450167c7626def6b8168e405a6fafd9c459a35e")</f>
        <v>0</v>
      </c>
      <c r="C41603">
        <f>HYPERLINK("https://android.googlesource.com/platform/cts/+/ab1c0376c6d774a555e09fb68886b57d27ad77b0", "ab1c0376c6d774a555e09fb68886b57d27ad77b0")</f>
        <v>0</v>
      </c>
      <c r="D41603" t="s">
        <v>5452</v>
      </c>
      <c r="E41603" t="s">
        <v>9260</v>
      </c>
      <c r="F41603" t="s">
        <v>14118</v>
      </c>
      <c r="G41603" t="s">
        <v>18110</v>
      </c>
      <c r="H41603" t="s">
        <v>35614</v>
      </c>
    </row>
    <row r="41604" spans="1:8">
      <c r="H41604" t="s">
        <v>35615</v>
      </c>
    </row>
    <row r="41605" spans="1:8">
      <c r="A41605" t="s">
        <v>3565</v>
      </c>
      <c r="B41605">
        <f>HYPERLINK("https://android.googlesource.com/platform/cts/+/5ee2d13e4f2e07a2605e6959b5aa8ef484d26f83", "5ee2d13e4f2e07a2605e6959b5aa8ef484d26f83")</f>
        <v>0</v>
      </c>
      <c r="C41605">
        <f>HYPERLINK("https://android.googlesource.com/platform/cts/+/a68a229ed2b39165a2dc51590490d012bc66dc10", "a68a229ed2b39165a2dc51590490d012bc66dc10")</f>
        <v>0</v>
      </c>
      <c r="D41605" t="s">
        <v>5589</v>
      </c>
      <c r="E41605" t="s">
        <v>9261</v>
      </c>
      <c r="F41605" t="s">
        <v>14356</v>
      </c>
      <c r="G41605" t="s">
        <v>18306</v>
      </c>
      <c r="H41605" t="s">
        <v>32846</v>
      </c>
    </row>
    <row r="41606" spans="1:8">
      <c r="A41606" t="s">
        <v>3566</v>
      </c>
      <c r="B41606">
        <f>HYPERLINK("https://android.googlesource.com/platform/cts/+/8e7a043eed6919aa5f42a1c6545f44147a46e917", "8e7a043eed6919aa5f42a1c6545f44147a46e917")</f>
        <v>0</v>
      </c>
      <c r="C41606">
        <f>HYPERLINK("https://android.googlesource.com/platform/cts/+/11da39eb7d366565b5de3bf532f799cbaaa14778", "11da39eb7d366565b5de3bf532f799cbaaa14778")</f>
        <v>0</v>
      </c>
      <c r="D41606" t="s">
        <v>5399</v>
      </c>
      <c r="E41606" t="s">
        <v>9262</v>
      </c>
      <c r="F41606" t="s">
        <v>14357</v>
      </c>
      <c r="G41606" t="s">
        <v>15140</v>
      </c>
      <c r="H41606" t="s">
        <v>19289</v>
      </c>
    </row>
    <row r="41607" spans="1:8">
      <c r="H41607" t="s">
        <v>19290</v>
      </c>
    </row>
    <row r="41608" spans="1:8">
      <c r="H41608" t="s">
        <v>19291</v>
      </c>
    </row>
    <row r="41609" spans="1:8">
      <c r="A41609" t="s">
        <v>3567</v>
      </c>
      <c r="B41609">
        <f>HYPERLINK("https://android.googlesource.com/platform/cts/+/603232c8685fd1cdefe6649789882fabc9ae8208", "603232c8685fd1cdefe6649789882fabc9ae8208")</f>
        <v>0</v>
      </c>
      <c r="C41609">
        <f>HYPERLINK("https://android.googlesource.com/platform/cts/+/47b5f1e3a743b392cf329a8051dd1c24be9e5931", "47b5f1e3a743b392cf329a8051dd1c24be9e5931")</f>
        <v>0</v>
      </c>
      <c r="D41609" t="s">
        <v>5590</v>
      </c>
      <c r="E41609" t="s">
        <v>9263</v>
      </c>
      <c r="F41609" t="s">
        <v>12700</v>
      </c>
      <c r="G41609" t="s">
        <v>16903</v>
      </c>
      <c r="H41609" t="s">
        <v>18829</v>
      </c>
    </row>
    <row r="41610" spans="1:8">
      <c r="H41610" t="s">
        <v>18863</v>
      </c>
    </row>
    <row r="41611" spans="1:8">
      <c r="H41611" t="s">
        <v>30633</v>
      </c>
    </row>
    <row r="41612" spans="1:8">
      <c r="F41612" t="s">
        <v>14358</v>
      </c>
      <c r="G41612" t="s">
        <v>17681</v>
      </c>
      <c r="H41612" t="s">
        <v>25988</v>
      </c>
    </row>
    <row r="41613" spans="1:8">
      <c r="A41613" t="s">
        <v>3568</v>
      </c>
      <c r="B41613">
        <f>HYPERLINK("https://android.googlesource.com/platform/cts/+/94ea2cabb3eb6356287d2c3354cf894bd7cc6909", "94ea2cabb3eb6356287d2c3354cf894bd7cc6909")</f>
        <v>0</v>
      </c>
      <c r="C41613">
        <f>HYPERLINK("https://android.googlesource.com/platform/cts/+/1c6c7d1a81c513f20c04b1ad469370bf31d150c1", "1c6c7d1a81c513f20c04b1ad469370bf31d150c1")</f>
        <v>0</v>
      </c>
      <c r="D41613" t="s">
        <v>5591</v>
      </c>
      <c r="E41613" t="s">
        <v>9264</v>
      </c>
      <c r="F41613" t="s">
        <v>14359</v>
      </c>
      <c r="G41613" t="s">
        <v>17156</v>
      </c>
      <c r="H41613" t="s">
        <v>35616</v>
      </c>
    </row>
    <row r="41614" spans="1:8">
      <c r="H41614" t="s">
        <v>35617</v>
      </c>
    </row>
    <row r="41615" spans="1:8">
      <c r="A41615" t="s">
        <v>3569</v>
      </c>
      <c r="B41615">
        <f>HYPERLINK("https://android.googlesource.com/platform/cts/+/a6474fb67281488c36aa3907b7f5d31b3bddad71", "a6474fb67281488c36aa3907b7f5d31b3bddad71")</f>
        <v>0</v>
      </c>
      <c r="C41615">
        <f>HYPERLINK("https://android.googlesource.com/platform/cts/+/f16fbea05c3e8b27935970c5a294232f14e4f2fd", "f16fbea05c3e8b27935970c5a294232f14e4f2fd")</f>
        <v>0</v>
      </c>
      <c r="D41615" t="s">
        <v>5260</v>
      </c>
      <c r="E41615" t="s">
        <v>9265</v>
      </c>
      <c r="F41615" t="s">
        <v>14360</v>
      </c>
      <c r="G41615" t="s">
        <v>18307</v>
      </c>
      <c r="H41615" t="s">
        <v>35618</v>
      </c>
    </row>
    <row r="41616" spans="1:8">
      <c r="A41616" t="s">
        <v>3569</v>
      </c>
      <c r="B41616">
        <f>HYPERLINK("https://android.googlesource.com/platform/cts/+/dd34ab9bfe066898735c0d66345694084258c07e", "dd34ab9bfe066898735c0d66345694084258c07e")</f>
        <v>0</v>
      </c>
      <c r="C41616">
        <f>HYPERLINK("https://android.googlesource.com/platform/cts/+/a6474fb67281488c36aa3907b7f5d31b3bddad71", "a6474fb67281488c36aa3907b7f5d31b3bddad71")</f>
        <v>0</v>
      </c>
      <c r="D41616" t="s">
        <v>5260</v>
      </c>
      <c r="E41616" t="s">
        <v>9266</v>
      </c>
      <c r="F41616" t="s">
        <v>14360</v>
      </c>
      <c r="G41616" t="s">
        <v>18307</v>
      </c>
      <c r="H41616" t="s">
        <v>22212</v>
      </c>
    </row>
    <row r="41617" spans="1:8">
      <c r="H41617" t="s">
        <v>22218</v>
      </c>
    </row>
    <row r="41618" spans="1:8">
      <c r="A41618" t="s">
        <v>3570</v>
      </c>
      <c r="B41618">
        <f>HYPERLINK("https://android.googlesource.com/platform/cts/+/4629a0d02216300cccf54bbd117714b8816aeab7", "4629a0d02216300cccf54bbd117714b8816aeab7")</f>
        <v>0</v>
      </c>
      <c r="C41618">
        <f>HYPERLINK("https://android.googlesource.com/platform/cts/+/ab1c0376c6d774a555e09fb68886b57d27ad77b0", "ab1c0376c6d774a555e09fb68886b57d27ad77b0")</f>
        <v>0</v>
      </c>
      <c r="D41618" t="s">
        <v>5338</v>
      </c>
      <c r="E41618" t="s">
        <v>9267</v>
      </c>
      <c r="F41618" t="s">
        <v>14353</v>
      </c>
      <c r="G41618" t="s">
        <v>18303</v>
      </c>
      <c r="H41618" t="s">
        <v>35604</v>
      </c>
    </row>
    <row r="41619" spans="1:8">
      <c r="A41619" t="s">
        <v>3571</v>
      </c>
      <c r="B41619">
        <f>HYPERLINK("https://android.googlesource.com/platform/cts/+/8cffd0983c8722a4edfd8a0817bbf5dea9a879b4", "8cffd0983c8722a4edfd8a0817bbf5dea9a879b4")</f>
        <v>0</v>
      </c>
      <c r="C41619">
        <f>HYPERLINK("https://android.googlesource.com/platform/cts/+/e1f83e5e0d681c1f8ffd451342581afbd30727af", "e1f83e5e0d681c1f8ffd451342581afbd30727af")</f>
        <v>0</v>
      </c>
      <c r="D41619" t="s">
        <v>4965</v>
      </c>
      <c r="E41619" t="s">
        <v>9268</v>
      </c>
      <c r="F41619" t="s">
        <v>14361</v>
      </c>
      <c r="G41619" t="s">
        <v>18308</v>
      </c>
      <c r="H41619" t="s">
        <v>35619</v>
      </c>
    </row>
    <row r="41620" spans="1:8">
      <c r="A41620" t="s">
        <v>3572</v>
      </c>
      <c r="B41620">
        <f>HYPERLINK("https://android.googlesource.com/platform/cts/+/716d3968778d0cec3cdcf1d6f63f2e416cfbb3f2", "716d3968778d0cec3cdcf1d6f63f2e416cfbb3f2")</f>
        <v>0</v>
      </c>
      <c r="C41620">
        <f>HYPERLINK("https://android.googlesource.com/platform/cts/+/1b52f32fec75c7a352090de40099db51bca9bc9f", "1b52f32fec75c7a352090de40099db51bca9bc9f")</f>
        <v>0</v>
      </c>
      <c r="D41620" t="s">
        <v>5460</v>
      </c>
      <c r="E41620" t="s">
        <v>9269</v>
      </c>
      <c r="F41620" t="s">
        <v>14362</v>
      </c>
      <c r="G41620" t="s">
        <v>18309</v>
      </c>
      <c r="H41620" t="s">
        <v>35620</v>
      </c>
    </row>
    <row r="41621" spans="1:8">
      <c r="A41621" t="s">
        <v>3574</v>
      </c>
      <c r="B41621">
        <f>HYPERLINK("https://android.googlesource.com/platform/cts/+/3ca81c5c96a9c2429e7bb88e458336251b0e739c", "3ca81c5c96a9c2429e7bb88e458336251b0e739c")</f>
        <v>0</v>
      </c>
      <c r="C41621">
        <f>HYPERLINK("https://android.googlesource.com/platform/cts/+/d9660dd247f2b317b041c2f94d3191df0202ab10", "d9660dd247f2b317b041c2f94d3191df0202ab10")</f>
        <v>0</v>
      </c>
      <c r="D41621" t="s">
        <v>5479</v>
      </c>
      <c r="E41621" t="s">
        <v>9271</v>
      </c>
      <c r="F41621" t="s">
        <v>14326</v>
      </c>
      <c r="G41621" t="s">
        <v>17580</v>
      </c>
      <c r="H41621" t="s">
        <v>35371</v>
      </c>
    </row>
    <row r="41622" spans="1:8">
      <c r="A41622" t="s">
        <v>3575</v>
      </c>
      <c r="B41622">
        <f>HYPERLINK("https://android.googlesource.com/platform/cts/+/740f57d2a3988a3322a39968ff78f2d455dedfe0", "740f57d2a3988a3322a39968ff78f2d455dedfe0")</f>
        <v>0</v>
      </c>
      <c r="C41622">
        <f>HYPERLINK("https://android.googlesource.com/platform/cts/+/e92a808cfdb80a10930dbc32004482c2d4378f6c", "e92a808cfdb80a10930dbc32004482c2d4378f6c")</f>
        <v>0</v>
      </c>
      <c r="D41622" t="s">
        <v>5172</v>
      </c>
      <c r="E41622" t="s">
        <v>9272</v>
      </c>
      <c r="F41622" t="s">
        <v>14363</v>
      </c>
      <c r="G41622" t="s">
        <v>18310</v>
      </c>
      <c r="H41622" t="s">
        <v>35621</v>
      </c>
    </row>
    <row r="41623" spans="1:8">
      <c r="A41623" t="s">
        <v>3576</v>
      </c>
      <c r="B41623">
        <f>HYPERLINK("https://android.googlesource.com/platform/cts/+/ee29cbc0767ad2c555f020e007f64778d01f1635", "ee29cbc0767ad2c555f020e007f64778d01f1635")</f>
        <v>0</v>
      </c>
      <c r="C41623">
        <f>HYPERLINK("https://android.googlesource.com/platform/cts/+/86fbb4e1361cac525c71a630f6012c7c3cbe6eba", "86fbb4e1361cac525c71a630f6012c7c3cbe6eba")</f>
        <v>0</v>
      </c>
      <c r="D41623" t="s">
        <v>5582</v>
      </c>
      <c r="E41623" t="s">
        <v>9273</v>
      </c>
      <c r="F41623" t="s">
        <v>12984</v>
      </c>
      <c r="G41623" t="s">
        <v>17148</v>
      </c>
      <c r="H41623" t="s">
        <v>35622</v>
      </c>
    </row>
    <row r="41624" spans="1:8">
      <c r="A41624" t="s">
        <v>3577</v>
      </c>
      <c r="B41624">
        <f>HYPERLINK("https://android.googlesource.com/platform/cts/+/272a3dcd31e95978736040616d891ab02bc545b8", "272a3dcd31e95978736040616d891ab02bc545b8")</f>
        <v>0</v>
      </c>
      <c r="C41624">
        <f>HYPERLINK("https://android.googlesource.com/platform/cts/+/578efc8dc2444938788a8f38ed1c523209dd065e", "578efc8dc2444938788a8f38ed1c523209dd065e")</f>
        <v>0</v>
      </c>
      <c r="D41624" t="s">
        <v>5592</v>
      </c>
      <c r="E41624" t="s">
        <v>9274</v>
      </c>
      <c r="F41624" t="s">
        <v>13555</v>
      </c>
      <c r="G41624" t="s">
        <v>17362</v>
      </c>
      <c r="H41624" t="s">
        <v>28659</v>
      </c>
    </row>
    <row r="41625" spans="1:8">
      <c r="H41625" t="s">
        <v>28660</v>
      </c>
    </row>
    <row r="41626" spans="1:8">
      <c r="A41626" t="s">
        <v>3578</v>
      </c>
      <c r="B41626">
        <f>HYPERLINK("https://android.googlesource.com/platform/cts/+/b4a7eb92ac6ee989984dacb416a2e47acccd1e92", "b4a7eb92ac6ee989984dacb416a2e47acccd1e92")</f>
        <v>0</v>
      </c>
      <c r="C41626">
        <f>HYPERLINK("https://android.googlesource.com/platform/cts/+/812232f6956389fd99f3c6649351e43711d84732", "812232f6956389fd99f3c6649351e43711d84732")</f>
        <v>0</v>
      </c>
      <c r="D41626" t="s">
        <v>5460</v>
      </c>
      <c r="E41626" t="s">
        <v>9275</v>
      </c>
      <c r="F41626" t="s">
        <v>14362</v>
      </c>
      <c r="G41626" t="s">
        <v>18309</v>
      </c>
      <c r="H41626" t="s">
        <v>35623</v>
      </c>
    </row>
    <row r="41627" spans="1:8">
      <c r="A41627" t="s">
        <v>3579</v>
      </c>
      <c r="B41627">
        <f>HYPERLINK("https://android.googlesource.com/platform/cts/+/965d590a9553482458b51d95821898ded81cc3f7", "965d590a9553482458b51d95821898ded81cc3f7")</f>
        <v>0</v>
      </c>
      <c r="C41627">
        <f>HYPERLINK("https://android.googlesource.com/platform/cts/+/72539ebe4ee947ba91b8dd8997232533f3d89f57", "72539ebe4ee947ba91b8dd8997232533f3d89f57")</f>
        <v>0</v>
      </c>
      <c r="D41627" t="s">
        <v>5576</v>
      </c>
      <c r="E41627" t="s">
        <v>9276</v>
      </c>
      <c r="F41627" t="s">
        <v>14364</v>
      </c>
      <c r="G41627" t="s">
        <v>18311</v>
      </c>
      <c r="H41627" t="s">
        <v>18829</v>
      </c>
    </row>
    <row r="41628" spans="1:8">
      <c r="H41628" t="s">
        <v>35624</v>
      </c>
    </row>
    <row r="41629" spans="1:8">
      <c r="H41629" t="s">
        <v>35625</v>
      </c>
    </row>
    <row r="41630" spans="1:8">
      <c r="H41630" t="s">
        <v>35626</v>
      </c>
    </row>
    <row r="41631" spans="1:8">
      <c r="H41631" t="s">
        <v>30644</v>
      </c>
    </row>
    <row r="41632" spans="1:8">
      <c r="H41632" t="s">
        <v>35627</v>
      </c>
    </row>
    <row r="41633" spans="1:8">
      <c r="H41633" t="s">
        <v>35628</v>
      </c>
    </row>
    <row r="41634" spans="1:8">
      <c r="H41634" t="s">
        <v>35629</v>
      </c>
    </row>
    <row r="41635" spans="1:8">
      <c r="H41635" t="s">
        <v>35630</v>
      </c>
    </row>
    <row r="41636" spans="1:8">
      <c r="F41636" t="s">
        <v>14365</v>
      </c>
      <c r="G41636" t="s">
        <v>18312</v>
      </c>
      <c r="H41636" t="s">
        <v>35631</v>
      </c>
    </row>
    <row r="41637" spans="1:8">
      <c r="H41637" t="s">
        <v>35632</v>
      </c>
    </row>
    <row r="41638" spans="1:8">
      <c r="H41638" t="s">
        <v>35633</v>
      </c>
    </row>
    <row r="41639" spans="1:8">
      <c r="H41639" t="s">
        <v>35634</v>
      </c>
    </row>
    <row r="41640" spans="1:8">
      <c r="H41640" t="s">
        <v>35635</v>
      </c>
    </row>
    <row r="41641" spans="1:8">
      <c r="A41641" t="s">
        <v>3580</v>
      </c>
      <c r="B41641">
        <f>HYPERLINK("https://android.googlesource.com/platform/cts/+/d1f33a1d9c9a362c4c7fd413f98c9caf59d7ef5f", "d1f33a1d9c9a362c4c7fd413f98c9caf59d7ef5f")</f>
        <v>0</v>
      </c>
      <c r="C41641">
        <f>HYPERLINK("https://android.googlesource.com/platform/cts/+/1d23325c7c40ba1953c0e9a144760cc71bc5466c", "1d23325c7c40ba1953c0e9a144760cc71bc5466c")</f>
        <v>0</v>
      </c>
      <c r="D41641" t="s">
        <v>5593</v>
      </c>
      <c r="E41641" t="s">
        <v>9277</v>
      </c>
      <c r="F41641" t="s">
        <v>14325</v>
      </c>
      <c r="G41641" t="s">
        <v>18282</v>
      </c>
      <c r="H41641" t="s">
        <v>18829</v>
      </c>
    </row>
    <row r="41642" spans="1:8">
      <c r="H41642" t="s">
        <v>35361</v>
      </c>
    </row>
    <row r="41643" spans="1:8">
      <c r="H41643" t="s">
        <v>35362</v>
      </c>
    </row>
    <row r="41644" spans="1:8">
      <c r="H41644" t="s">
        <v>35363</v>
      </c>
    </row>
    <row r="41645" spans="1:8">
      <c r="A41645" t="s">
        <v>3581</v>
      </c>
      <c r="B41645">
        <f>HYPERLINK("https://android.googlesource.com/platform/cts/+/3d1fa3290dcb84e1eb11f7b7734cbbb5915e360a", "3d1fa3290dcb84e1eb11f7b7734cbbb5915e360a")</f>
        <v>0</v>
      </c>
      <c r="C41645">
        <f>HYPERLINK("https://android.googlesource.com/platform/cts/+/fc8049ad9e826ed40e4b263e71085e57e6c82c83", "fc8049ad9e826ed40e4b263e71085e57e6c82c83")</f>
        <v>0</v>
      </c>
      <c r="D41645" t="s">
        <v>5028</v>
      </c>
      <c r="E41645" t="s">
        <v>9278</v>
      </c>
      <c r="F41645" t="s">
        <v>14044</v>
      </c>
      <c r="G41645" t="s">
        <v>16815</v>
      </c>
      <c r="H41645" t="s">
        <v>35636</v>
      </c>
    </row>
    <row r="41646" spans="1:8">
      <c r="H41646" t="s">
        <v>35637</v>
      </c>
    </row>
    <row r="41647" spans="1:8">
      <c r="H41647" t="s">
        <v>21997</v>
      </c>
    </row>
    <row r="41648" spans="1:8">
      <c r="H41648" t="s">
        <v>35638</v>
      </c>
    </row>
    <row r="41649" spans="1:8">
      <c r="A41649" t="s">
        <v>3582</v>
      </c>
      <c r="B41649">
        <f>HYPERLINK("https://android.googlesource.com/platform/cts/+/137fe48ac871a5d7742c8d436cfd488499e33d02", "137fe48ac871a5d7742c8d436cfd488499e33d02")</f>
        <v>0</v>
      </c>
      <c r="C41649">
        <f>HYPERLINK("https://android.googlesource.com/platform/cts/+/29c178269ce848f702582b231b167c4a33a7b62f", "29c178269ce848f702582b231b167c4a33a7b62f")</f>
        <v>0</v>
      </c>
      <c r="D41649" t="s">
        <v>5576</v>
      </c>
      <c r="E41649" t="s">
        <v>9279</v>
      </c>
      <c r="F41649" t="s">
        <v>14364</v>
      </c>
      <c r="G41649" t="s">
        <v>18311</v>
      </c>
      <c r="H41649" t="s">
        <v>18829</v>
      </c>
    </row>
    <row r="41650" spans="1:8">
      <c r="H41650" t="s">
        <v>35624</v>
      </c>
    </row>
    <row r="41651" spans="1:8">
      <c r="H41651" t="s">
        <v>35625</v>
      </c>
    </row>
    <row r="41652" spans="1:8">
      <c r="H41652" t="s">
        <v>35626</v>
      </c>
    </row>
    <row r="41653" spans="1:8">
      <c r="H41653" t="s">
        <v>30644</v>
      </c>
    </row>
    <row r="41654" spans="1:8">
      <c r="H41654" t="s">
        <v>35627</v>
      </c>
    </row>
    <row r="41655" spans="1:8">
      <c r="H41655" t="s">
        <v>35628</v>
      </c>
    </row>
    <row r="41656" spans="1:8">
      <c r="H41656" t="s">
        <v>35629</v>
      </c>
    </row>
    <row r="41657" spans="1:8">
      <c r="H41657" t="s">
        <v>35630</v>
      </c>
    </row>
    <row r="41658" spans="1:8">
      <c r="F41658" t="s">
        <v>14365</v>
      </c>
      <c r="G41658" t="s">
        <v>18312</v>
      </c>
      <c r="H41658" t="s">
        <v>35631</v>
      </c>
    </row>
    <row r="41659" spans="1:8">
      <c r="H41659" t="s">
        <v>35632</v>
      </c>
    </row>
    <row r="41660" spans="1:8">
      <c r="H41660" t="s">
        <v>35633</v>
      </c>
    </row>
    <row r="41661" spans="1:8">
      <c r="H41661" t="s">
        <v>35634</v>
      </c>
    </row>
    <row r="41662" spans="1:8">
      <c r="H41662" t="s">
        <v>35635</v>
      </c>
    </row>
    <row r="41663" spans="1:8">
      <c r="A41663" t="s">
        <v>3583</v>
      </c>
      <c r="B41663">
        <f>HYPERLINK("https://android.googlesource.com/platform/cts/+/243c09441556d33d043498791e125ef23981aea8", "243c09441556d33d043498791e125ef23981aea8")</f>
        <v>0</v>
      </c>
      <c r="C41663">
        <f>HYPERLINK("https://android.googlesource.com/platform/cts/+/3492046a8020e91c6cc16af0dad9a03f06b60542", "3492046a8020e91c6cc16af0dad9a03f06b60542")</f>
        <v>0</v>
      </c>
      <c r="D41663" t="s">
        <v>5594</v>
      </c>
      <c r="E41663" t="s">
        <v>9280</v>
      </c>
      <c r="F41663" t="s">
        <v>14096</v>
      </c>
      <c r="G41663" t="s">
        <v>18089</v>
      </c>
      <c r="H41663" t="s">
        <v>18829</v>
      </c>
    </row>
    <row r="41664" spans="1:8">
      <c r="H41664" t="s">
        <v>33394</v>
      </c>
    </row>
    <row r="41665" spans="1:8">
      <c r="H41665" t="s">
        <v>33395</v>
      </c>
    </row>
    <row r="41666" spans="1:8">
      <c r="H41666" t="s">
        <v>33396</v>
      </c>
    </row>
    <row r="41667" spans="1:8">
      <c r="A41667" t="s">
        <v>3584</v>
      </c>
      <c r="B41667">
        <f>HYPERLINK("https://android.googlesource.com/platform/cts/+/518075bb2d2765a6dc909577ea2e4bfc2d32d752", "518075bb2d2765a6dc909577ea2e4bfc2d32d752")</f>
        <v>0</v>
      </c>
      <c r="C41667">
        <f>HYPERLINK("https://android.googlesource.com/platform/cts/+/2dfe0faf482d24553c66016598061e5c02d10a83", "2dfe0faf482d24553c66016598061e5c02d10a83")</f>
        <v>0</v>
      </c>
      <c r="D41667" t="s">
        <v>5594</v>
      </c>
      <c r="E41667" t="s">
        <v>9281</v>
      </c>
      <c r="F41667" t="s">
        <v>14096</v>
      </c>
      <c r="G41667" t="s">
        <v>18089</v>
      </c>
      <c r="H41667" t="s">
        <v>18829</v>
      </c>
    </row>
    <row r="41668" spans="1:8">
      <c r="H41668" t="s">
        <v>33394</v>
      </c>
    </row>
    <row r="41669" spans="1:8">
      <c r="H41669" t="s">
        <v>33395</v>
      </c>
    </row>
    <row r="41670" spans="1:8">
      <c r="H41670" t="s">
        <v>33396</v>
      </c>
    </row>
    <row r="41671" spans="1:8">
      <c r="A41671" t="s">
        <v>3585</v>
      </c>
      <c r="B41671">
        <f>HYPERLINK("https://android.googlesource.com/platform/cts/+/ac18702b07e2bd7f10b7670d768162524875ed88", "ac18702b07e2bd7f10b7670d768162524875ed88")</f>
        <v>0</v>
      </c>
      <c r="C41671">
        <f>HYPERLINK("https://android.googlesource.com/platform/cts/+/f4e8ac0fb21b1c376eb57dbe0fac8cdfe5ce2a63", "f4e8ac0fb21b1c376eb57dbe0fac8cdfe5ce2a63")</f>
        <v>0</v>
      </c>
      <c r="D41671" t="s">
        <v>5290</v>
      </c>
      <c r="E41671" t="s">
        <v>9282</v>
      </c>
      <c r="F41671" t="s">
        <v>14350</v>
      </c>
      <c r="G41671" t="s">
        <v>18301</v>
      </c>
      <c r="H41671" t="s">
        <v>35639</v>
      </c>
    </row>
    <row r="41672" spans="1:8">
      <c r="H41672" t="s">
        <v>35640</v>
      </c>
    </row>
    <row r="41673" spans="1:8">
      <c r="A41673" t="s">
        <v>3586</v>
      </c>
      <c r="B41673">
        <f>HYPERLINK("https://android.googlesource.com/platform/cts/+/8dbab4b1ebf95fb4115fb20712bb8be0725a3c6d", "8dbab4b1ebf95fb4115fb20712bb8be0725a3c6d")</f>
        <v>0</v>
      </c>
      <c r="C41673">
        <f>HYPERLINK("https://android.googlesource.com/platform/cts/+/ba62c613379fa1e1b05bb0cd234d50fe466fe14d", "ba62c613379fa1e1b05bb0cd234d50fe466fe14d")</f>
        <v>0</v>
      </c>
      <c r="D41673" t="s">
        <v>5189</v>
      </c>
      <c r="E41673" t="s">
        <v>9283</v>
      </c>
      <c r="F41673" t="s">
        <v>12768</v>
      </c>
      <c r="G41673" t="s">
        <v>15710</v>
      </c>
      <c r="H41673" t="s">
        <v>35641</v>
      </c>
    </row>
    <row r="41674" spans="1:8">
      <c r="H41674" t="s">
        <v>35642</v>
      </c>
    </row>
    <row r="41675" spans="1:8">
      <c r="A41675" t="s">
        <v>3587</v>
      </c>
      <c r="B41675">
        <f>HYPERLINK("https://android.googlesource.com/platform/cts/+/f7fba69af21ab9c6993215e6308c8cde11c43866", "f7fba69af21ab9c6993215e6308c8cde11c43866")</f>
        <v>0</v>
      </c>
      <c r="C41675">
        <f>HYPERLINK("https://android.googlesource.com/platform/cts/+/64cb5b554e879c06cd327c5798727ad187f0c1b6", "64cb5b554e879c06cd327c5798727ad187f0c1b6")</f>
        <v>0</v>
      </c>
      <c r="D41675" t="s">
        <v>5409</v>
      </c>
      <c r="E41675" t="s">
        <v>9284</v>
      </c>
      <c r="F41675" t="s">
        <v>14366</v>
      </c>
      <c r="G41675" t="s">
        <v>18313</v>
      </c>
      <c r="H41675" t="s">
        <v>35643</v>
      </c>
    </row>
    <row r="41676" spans="1:8">
      <c r="A41676" t="s">
        <v>3588</v>
      </c>
      <c r="B41676">
        <f>HYPERLINK("https://android.googlesource.com/platform/cts/+/d4e9864eefe0f85319b622aa131b7ed01c0ac549", "d4e9864eefe0f85319b622aa131b7ed01c0ac549")</f>
        <v>0</v>
      </c>
      <c r="C41676">
        <f>HYPERLINK("https://android.googlesource.com/platform/cts/+/497aa577f5f03992175b5b354f517224968f87f8", "497aa577f5f03992175b5b354f517224968f87f8")</f>
        <v>0</v>
      </c>
      <c r="D41676" t="s">
        <v>5576</v>
      </c>
      <c r="E41676" t="s">
        <v>9285</v>
      </c>
      <c r="F41676" t="s">
        <v>14364</v>
      </c>
      <c r="G41676" t="s">
        <v>18311</v>
      </c>
      <c r="H41676" t="s">
        <v>18829</v>
      </c>
    </row>
    <row r="41677" spans="1:8">
      <c r="H41677" t="s">
        <v>35624</v>
      </c>
    </row>
    <row r="41678" spans="1:8">
      <c r="H41678" t="s">
        <v>35625</v>
      </c>
    </row>
    <row r="41679" spans="1:8">
      <c r="H41679" t="s">
        <v>35626</v>
      </c>
    </row>
    <row r="41680" spans="1:8">
      <c r="H41680" t="s">
        <v>30644</v>
      </c>
    </row>
    <row r="41681" spans="1:8">
      <c r="H41681" t="s">
        <v>35627</v>
      </c>
    </row>
    <row r="41682" spans="1:8">
      <c r="H41682" t="s">
        <v>35628</v>
      </c>
    </row>
    <row r="41683" spans="1:8">
      <c r="H41683" t="s">
        <v>35629</v>
      </c>
    </row>
    <row r="41684" spans="1:8">
      <c r="H41684" t="s">
        <v>35630</v>
      </c>
    </row>
    <row r="41685" spans="1:8">
      <c r="F41685" t="s">
        <v>14365</v>
      </c>
      <c r="G41685" t="s">
        <v>18312</v>
      </c>
      <c r="H41685" t="s">
        <v>35631</v>
      </c>
    </row>
    <row r="41686" spans="1:8">
      <c r="H41686" t="s">
        <v>35632</v>
      </c>
    </row>
    <row r="41687" spans="1:8">
      <c r="H41687" t="s">
        <v>35633</v>
      </c>
    </row>
    <row r="41688" spans="1:8">
      <c r="H41688" t="s">
        <v>35634</v>
      </c>
    </row>
    <row r="41689" spans="1:8">
      <c r="H41689" t="s">
        <v>35635</v>
      </c>
    </row>
    <row r="41690" spans="1:8">
      <c r="A41690" t="s">
        <v>3589</v>
      </c>
      <c r="B41690">
        <f>HYPERLINK("https://android.googlesource.com/platform/cts/+/775dfac6979493ef28fd212f5d4402d3a676189c", "775dfac6979493ef28fd212f5d4402d3a676189c")</f>
        <v>0</v>
      </c>
      <c r="C41690">
        <f>HYPERLINK("https://android.googlesource.com/platform/cts/+/d1f9faf14717d527034d4ccee660f8e82f54487a", "d1f9faf14717d527034d4ccee660f8e82f54487a")</f>
        <v>0</v>
      </c>
      <c r="D41690" t="s">
        <v>5576</v>
      </c>
      <c r="E41690" t="s">
        <v>9286</v>
      </c>
      <c r="F41690" t="s">
        <v>14364</v>
      </c>
      <c r="G41690" t="s">
        <v>18311</v>
      </c>
      <c r="H41690" t="s">
        <v>18829</v>
      </c>
    </row>
    <row r="41691" spans="1:8">
      <c r="H41691" t="s">
        <v>35624</v>
      </c>
    </row>
    <row r="41692" spans="1:8">
      <c r="H41692" t="s">
        <v>35625</v>
      </c>
    </row>
    <row r="41693" spans="1:8">
      <c r="H41693" t="s">
        <v>35626</v>
      </c>
    </row>
    <row r="41694" spans="1:8">
      <c r="H41694" t="s">
        <v>30644</v>
      </c>
    </row>
    <row r="41695" spans="1:8">
      <c r="H41695" t="s">
        <v>35627</v>
      </c>
    </row>
    <row r="41696" spans="1:8">
      <c r="H41696" t="s">
        <v>35628</v>
      </c>
    </row>
    <row r="41697" spans="1:8">
      <c r="H41697" t="s">
        <v>35629</v>
      </c>
    </row>
    <row r="41698" spans="1:8">
      <c r="H41698" t="s">
        <v>35630</v>
      </c>
    </row>
    <row r="41699" spans="1:8">
      <c r="F41699" t="s">
        <v>14365</v>
      </c>
      <c r="G41699" t="s">
        <v>18312</v>
      </c>
      <c r="H41699" t="s">
        <v>35631</v>
      </c>
    </row>
    <row r="41700" spans="1:8">
      <c r="H41700" t="s">
        <v>35632</v>
      </c>
    </row>
    <row r="41701" spans="1:8">
      <c r="H41701" t="s">
        <v>35633</v>
      </c>
    </row>
    <row r="41702" spans="1:8">
      <c r="H41702" t="s">
        <v>35634</v>
      </c>
    </row>
    <row r="41703" spans="1:8">
      <c r="H41703" t="s">
        <v>35635</v>
      </c>
    </row>
    <row r="41704" spans="1:8">
      <c r="A41704" t="s">
        <v>3590</v>
      </c>
      <c r="B41704">
        <f>HYPERLINK("https://android.googlesource.com/platform/cts/+/bc993bf15fe67ee6a11ab083cb69fa77d9fc5157", "bc993bf15fe67ee6a11ab083cb69fa77d9fc5157")</f>
        <v>0</v>
      </c>
      <c r="C41704">
        <f>HYPERLINK("https://android.googlesource.com/platform/cts/+/27358bdf67dbdb345d9278f34b7859ed8fd55715", "27358bdf67dbdb345d9278f34b7859ed8fd55715")</f>
        <v>0</v>
      </c>
      <c r="D41704" t="s">
        <v>5576</v>
      </c>
      <c r="E41704" t="s">
        <v>9287</v>
      </c>
      <c r="F41704" t="s">
        <v>14364</v>
      </c>
      <c r="G41704" t="s">
        <v>18311</v>
      </c>
      <c r="H41704" t="s">
        <v>18829</v>
      </c>
    </row>
    <row r="41705" spans="1:8">
      <c r="H41705" t="s">
        <v>35624</v>
      </c>
    </row>
    <row r="41706" spans="1:8">
      <c r="H41706" t="s">
        <v>35625</v>
      </c>
    </row>
    <row r="41707" spans="1:8">
      <c r="H41707" t="s">
        <v>35626</v>
      </c>
    </row>
    <row r="41708" spans="1:8">
      <c r="H41708" t="s">
        <v>30644</v>
      </c>
    </row>
    <row r="41709" spans="1:8">
      <c r="H41709" t="s">
        <v>35627</v>
      </c>
    </row>
    <row r="41710" spans="1:8">
      <c r="H41710" t="s">
        <v>35628</v>
      </c>
    </row>
    <row r="41711" spans="1:8">
      <c r="H41711" t="s">
        <v>35629</v>
      </c>
    </row>
    <row r="41712" spans="1:8">
      <c r="H41712" t="s">
        <v>35630</v>
      </c>
    </row>
    <row r="41713" spans="1:8">
      <c r="F41713" t="s">
        <v>14365</v>
      </c>
      <c r="G41713" t="s">
        <v>18312</v>
      </c>
      <c r="H41713" t="s">
        <v>35631</v>
      </c>
    </row>
    <row r="41714" spans="1:8">
      <c r="H41714" t="s">
        <v>35632</v>
      </c>
    </row>
    <row r="41715" spans="1:8">
      <c r="H41715" t="s">
        <v>35633</v>
      </c>
    </row>
    <row r="41716" spans="1:8">
      <c r="H41716" t="s">
        <v>35634</v>
      </c>
    </row>
    <row r="41717" spans="1:8">
      <c r="H41717" t="s">
        <v>35635</v>
      </c>
    </row>
    <row r="41718" spans="1:8">
      <c r="A41718" t="s">
        <v>3591</v>
      </c>
      <c r="B41718">
        <f>HYPERLINK("https://android.googlesource.com/platform/cts/+/ad88fa35cdbf80e254a96a1c4d079e1cc0624ce8", "ad88fa35cdbf80e254a96a1c4d079e1cc0624ce8")</f>
        <v>0</v>
      </c>
      <c r="C41718">
        <f>HYPERLINK("https://android.googlesource.com/platform/cts/+/bba5db52cb663c6a29f980bca1649a714361d747", "bba5db52cb663c6a29f980bca1649a714361d747")</f>
        <v>0</v>
      </c>
      <c r="D41718" t="s">
        <v>5277</v>
      </c>
      <c r="E41718" t="s">
        <v>9288</v>
      </c>
      <c r="F41718" t="s">
        <v>13165</v>
      </c>
      <c r="G41718" t="s">
        <v>17315</v>
      </c>
      <c r="H41718" t="s">
        <v>24966</v>
      </c>
    </row>
    <row r="41719" spans="1:8">
      <c r="H41719" t="s">
        <v>19753</v>
      </c>
    </row>
    <row r="41720" spans="1:8">
      <c r="H41720" t="s">
        <v>19754</v>
      </c>
    </row>
    <row r="41721" spans="1:8">
      <c r="A41721" t="s">
        <v>3592</v>
      </c>
      <c r="B41721">
        <f>HYPERLINK("https://android.googlesource.com/platform/cts/+/e7e79cf75ee4c8b9faf4145098cae0a19aa59f9b", "e7e79cf75ee4c8b9faf4145098cae0a19aa59f9b")</f>
        <v>0</v>
      </c>
      <c r="C41721">
        <f>HYPERLINK("https://android.googlesource.com/platform/cts/+/a55fddd08b1db6c4668d593bb05f4b7954e74d6f", "a55fddd08b1db6c4668d593bb05f4b7954e74d6f")</f>
        <v>0</v>
      </c>
      <c r="D41721" t="s">
        <v>5473</v>
      </c>
      <c r="E41721" t="s">
        <v>9289</v>
      </c>
      <c r="F41721" t="s">
        <v>14367</v>
      </c>
      <c r="G41721" t="s">
        <v>17582</v>
      </c>
      <c r="H41721" t="s">
        <v>20244</v>
      </c>
    </row>
    <row r="41722" spans="1:8">
      <c r="H41722" t="s">
        <v>19905</v>
      </c>
    </row>
    <row r="41723" spans="1:8">
      <c r="H41723" t="s">
        <v>22591</v>
      </c>
    </row>
    <row r="41724" spans="1:8">
      <c r="F41724" t="s">
        <v>13352</v>
      </c>
      <c r="G41724" t="s">
        <v>17479</v>
      </c>
      <c r="H41724" t="s">
        <v>35644</v>
      </c>
    </row>
    <row r="41725" spans="1:8">
      <c r="A41725" t="s">
        <v>3593</v>
      </c>
      <c r="B41725">
        <f>HYPERLINK("https://android.googlesource.com/platform/cts/+/75e5ec51077cb16adbc3d99eebfb3148e5ea5a89", "75e5ec51077cb16adbc3d99eebfb3148e5ea5a89")</f>
        <v>0</v>
      </c>
      <c r="C41725">
        <f>HYPERLINK("https://android.googlesource.com/platform/cts/+/3ca81c5c96a9c2429e7bb88e458336251b0e739c", "3ca81c5c96a9c2429e7bb88e458336251b0e739c")</f>
        <v>0</v>
      </c>
      <c r="D41725" t="s">
        <v>5479</v>
      </c>
      <c r="E41725" t="s">
        <v>9290</v>
      </c>
      <c r="F41725" t="s">
        <v>14326</v>
      </c>
      <c r="G41725" t="s">
        <v>17580</v>
      </c>
      <c r="H41725" t="s">
        <v>33155</v>
      </c>
    </row>
    <row r="41726" spans="1:8">
      <c r="A41726" t="s">
        <v>3595</v>
      </c>
      <c r="B41726">
        <f>HYPERLINK("https://android.googlesource.com/platform/cts/+/e7ad4067ad14f26b68acd39076e5f155ca34bf5e", "e7ad4067ad14f26b68acd39076e5f155ca34bf5e")</f>
        <v>0</v>
      </c>
      <c r="C41726">
        <f>HYPERLINK("https://android.googlesource.com/platform/cts/+/f27d2c046ee12d481a876956b00f98eecb4f6a7d", "f27d2c046ee12d481a876956b00f98eecb4f6a7d")</f>
        <v>0</v>
      </c>
      <c r="D41726" t="s">
        <v>5479</v>
      </c>
      <c r="E41726" t="s">
        <v>9292</v>
      </c>
      <c r="F41726" t="s">
        <v>14326</v>
      </c>
      <c r="G41726" t="s">
        <v>17580</v>
      </c>
      <c r="H41726" t="s">
        <v>35371</v>
      </c>
    </row>
    <row r="41727" spans="1:8">
      <c r="A41727" t="s">
        <v>3596</v>
      </c>
      <c r="B41727">
        <f>HYPERLINK("https://android.googlesource.com/platform/cts/+/0c63ecd7ca015f5c15fad83aaacc234ef6fbedae", "0c63ecd7ca015f5c15fad83aaacc234ef6fbedae")</f>
        <v>0</v>
      </c>
      <c r="C41727">
        <f>HYPERLINK("https://android.googlesource.com/platform/cts/+/bba5db52cb663c6a29f980bca1649a714361d747", "bba5db52cb663c6a29f980bca1649a714361d747")</f>
        <v>0</v>
      </c>
      <c r="D41727" t="s">
        <v>5172</v>
      </c>
      <c r="E41727" t="s">
        <v>9293</v>
      </c>
      <c r="F41727" t="s">
        <v>14363</v>
      </c>
      <c r="G41727" t="s">
        <v>18310</v>
      </c>
      <c r="H41727" t="s">
        <v>35645</v>
      </c>
    </row>
    <row r="41728" spans="1:8">
      <c r="H41728" t="s">
        <v>35646</v>
      </c>
    </row>
    <row r="41729" spans="1:8">
      <c r="H41729" t="s">
        <v>35647</v>
      </c>
    </row>
    <row r="41730" spans="1:8">
      <c r="H41730" t="s">
        <v>35648</v>
      </c>
    </row>
    <row r="41731" spans="1:8">
      <c r="H41731" t="s">
        <v>35649</v>
      </c>
    </row>
    <row r="41732" spans="1:8">
      <c r="A41732" t="s">
        <v>3597</v>
      </c>
      <c r="B41732">
        <f>HYPERLINK("https://android.googlesource.com/platform/cts/+/c1b50cb8d55c2ea2c58c7408bad15e531cffccbb", "c1b50cb8d55c2ea2c58c7408bad15e531cffccbb")</f>
        <v>0</v>
      </c>
      <c r="C41732">
        <f>HYPERLINK("https://android.googlesource.com/platform/cts/+/0c63ecd7ca015f5c15fad83aaacc234ef6fbedae", "0c63ecd7ca015f5c15fad83aaacc234ef6fbedae")</f>
        <v>0</v>
      </c>
      <c r="D41732" t="s">
        <v>5172</v>
      </c>
      <c r="E41732" t="s">
        <v>9294</v>
      </c>
      <c r="F41732" t="s">
        <v>14363</v>
      </c>
      <c r="G41732" t="s">
        <v>18310</v>
      </c>
      <c r="H41732" t="s">
        <v>35650</v>
      </c>
    </row>
    <row r="41733" spans="1:8">
      <c r="A41733" t="s">
        <v>3599</v>
      </c>
      <c r="B41733">
        <f>HYPERLINK("https://android.googlesource.com/platform/cts/+/c9b135f36a162148e2af4da01fcc6f7cab793d1c", "c9b135f36a162148e2af4da01fcc6f7cab793d1c")</f>
        <v>0</v>
      </c>
      <c r="C41733">
        <f>HYPERLINK("https://android.googlesource.com/platform/cts/+/31d7f2b85fbdbef585330d0f1321c224d757cb96", "31d7f2b85fbdbef585330d0f1321c224d757cb96")</f>
        <v>0</v>
      </c>
      <c r="D41733" t="s">
        <v>5595</v>
      </c>
      <c r="E41733" t="s">
        <v>9296</v>
      </c>
      <c r="F41733" t="s">
        <v>14069</v>
      </c>
      <c r="G41733" t="s">
        <v>18067</v>
      </c>
      <c r="H41733" t="s">
        <v>35651</v>
      </c>
    </row>
    <row r="41734" spans="1:8">
      <c r="A41734" t="s">
        <v>3600</v>
      </c>
      <c r="B41734">
        <f>HYPERLINK("https://android.googlesource.com/platform/cts/+/e4f4f1f7b7cab3292cc5b25e7a372b03139dfb94", "e4f4f1f7b7cab3292cc5b25e7a372b03139dfb94")</f>
        <v>0</v>
      </c>
      <c r="C41734">
        <f>HYPERLINK("https://android.googlesource.com/platform/cts/+/102b80f2a97d19bd72064826b925d7a09fa207e3", "102b80f2a97d19bd72064826b925d7a09fa207e3")</f>
        <v>0</v>
      </c>
      <c r="D41734" t="s">
        <v>5449</v>
      </c>
      <c r="E41734" t="s">
        <v>9297</v>
      </c>
      <c r="F41734" t="s">
        <v>14368</v>
      </c>
      <c r="G41734" t="s">
        <v>18018</v>
      </c>
      <c r="H41734" t="s">
        <v>35652</v>
      </c>
    </row>
    <row r="41735" spans="1:8">
      <c r="H41735" t="s">
        <v>35653</v>
      </c>
    </row>
    <row r="41736" spans="1:8">
      <c r="A41736" t="s">
        <v>3601</v>
      </c>
      <c r="B41736">
        <f>HYPERLINK("https://android.googlesource.com/platform/cts/+/20abd7558ceffb2fa3a90f6e086fdc84809d4cf9", "20abd7558ceffb2fa3a90f6e086fdc84809d4cf9")</f>
        <v>0</v>
      </c>
      <c r="C41736">
        <f>HYPERLINK("https://android.googlesource.com/platform/cts/+/102b80f2a97d19bd72064826b925d7a09fa207e3", "102b80f2a97d19bd72064826b925d7a09fa207e3")</f>
        <v>0</v>
      </c>
      <c r="D41736" t="s">
        <v>5449</v>
      </c>
      <c r="E41736" t="s">
        <v>9298</v>
      </c>
      <c r="F41736" t="s">
        <v>14369</v>
      </c>
      <c r="G41736" t="s">
        <v>18314</v>
      </c>
      <c r="H41736" t="s">
        <v>35654</v>
      </c>
    </row>
    <row r="41737" spans="1:8">
      <c r="A41737" t="s">
        <v>3602</v>
      </c>
      <c r="B41737">
        <f>HYPERLINK("https://android.googlesource.com/platform/cts/+/1223d2a688dce02796dc820e77b7528ffe374ec3", "1223d2a688dce02796dc820e77b7528ffe374ec3")</f>
        <v>0</v>
      </c>
      <c r="C41737">
        <f>HYPERLINK("https://android.googlesource.com/platform/cts/+/102b80f2a97d19bd72064826b925d7a09fa207e3", "102b80f2a97d19bd72064826b925d7a09fa207e3")</f>
        <v>0</v>
      </c>
      <c r="D41737" t="s">
        <v>5449</v>
      </c>
      <c r="E41737" t="s">
        <v>9299</v>
      </c>
      <c r="F41737" t="s">
        <v>14370</v>
      </c>
      <c r="G41737" t="s">
        <v>18020</v>
      </c>
      <c r="H41737" t="s">
        <v>35655</v>
      </c>
    </row>
    <row r="41738" spans="1:8">
      <c r="A41738" t="s">
        <v>3604</v>
      </c>
      <c r="B41738">
        <f>HYPERLINK("https://android.googlesource.com/platform/cts/+/79008dedb3ab0d5fc07e6de06b79aaa1e539f856", "79008dedb3ab0d5fc07e6de06b79aaa1e539f856")</f>
        <v>0</v>
      </c>
      <c r="C41738">
        <f>HYPERLINK("https://android.googlesource.com/platform/cts/+/7876640469b31c9df8f24b018b75880d667640ba", "7876640469b31c9df8f24b018b75880d667640ba")</f>
        <v>0</v>
      </c>
      <c r="D41738" t="s">
        <v>5272</v>
      </c>
      <c r="E41738" t="s">
        <v>9301</v>
      </c>
      <c r="F41738" t="s">
        <v>14371</v>
      </c>
      <c r="G41738" t="s">
        <v>18315</v>
      </c>
      <c r="H41738" t="s">
        <v>35656</v>
      </c>
    </row>
    <row r="41739" spans="1:8">
      <c r="F41739" t="s">
        <v>14372</v>
      </c>
      <c r="G41739" t="s">
        <v>18316</v>
      </c>
      <c r="H41739" t="s">
        <v>35657</v>
      </c>
    </row>
    <row r="41740" spans="1:8">
      <c r="A41740" t="s">
        <v>3605</v>
      </c>
      <c r="B41740">
        <f>HYPERLINK("https://android.googlesource.com/platform/cts/+/2da34fba3cb892d7f44894967765d00327c2ede7", "2da34fba3cb892d7f44894967765d00327c2ede7")</f>
        <v>0</v>
      </c>
      <c r="C41740">
        <f>HYPERLINK("https://android.googlesource.com/platform/cts/+/98f55d32f99c90afc570fb68feb2b2d7df8bbe53", "98f55d32f99c90afc570fb68feb2b2d7df8bbe53")</f>
        <v>0</v>
      </c>
      <c r="D41740" t="s">
        <v>5172</v>
      </c>
      <c r="E41740" t="s">
        <v>9302</v>
      </c>
      <c r="F41740" t="s">
        <v>14363</v>
      </c>
      <c r="G41740" t="s">
        <v>18310</v>
      </c>
      <c r="H41740" t="s">
        <v>35658</v>
      </c>
    </row>
    <row r="41741" spans="1:8">
      <c r="H41741" t="s">
        <v>35659</v>
      </c>
    </row>
    <row r="41742" spans="1:8">
      <c r="A41742" t="s">
        <v>3607</v>
      </c>
      <c r="B41742">
        <f>HYPERLINK("https://android.googlesource.com/platform/cts/+/863aa55514471331042305af1d22fd061d1b7758", "863aa55514471331042305af1d22fd061d1b7758")</f>
        <v>0</v>
      </c>
      <c r="C41742">
        <f>HYPERLINK("https://android.googlesource.com/platform/cts/+/29b85fc36501627b66c40529b001c3e0d5c9db69", "29b85fc36501627b66c40529b001c3e0d5c9db69")</f>
        <v>0</v>
      </c>
      <c r="D41742" t="s">
        <v>5476</v>
      </c>
      <c r="E41742" t="s">
        <v>9303</v>
      </c>
      <c r="F41742" t="s">
        <v>14076</v>
      </c>
      <c r="G41742" t="s">
        <v>18074</v>
      </c>
      <c r="H41742" t="s">
        <v>18829</v>
      </c>
    </row>
    <row r="41743" spans="1:8">
      <c r="H41743" t="s">
        <v>33154</v>
      </c>
    </row>
    <row r="41744" spans="1:8">
      <c r="H41744" t="s">
        <v>33512</v>
      </c>
    </row>
    <row r="41745" spans="1:8">
      <c r="H41745" t="s">
        <v>33513</v>
      </c>
    </row>
    <row r="41746" spans="1:8">
      <c r="H41746" t="s">
        <v>33217</v>
      </c>
    </row>
    <row r="41747" spans="1:8">
      <c r="H41747" t="s">
        <v>35660</v>
      </c>
    </row>
    <row r="41748" spans="1:8">
      <c r="H41748" t="s">
        <v>35661</v>
      </c>
    </row>
    <row r="41749" spans="1:8">
      <c r="H41749" t="s">
        <v>35662</v>
      </c>
    </row>
    <row r="41750" spans="1:8">
      <c r="H41750" t="s">
        <v>35663</v>
      </c>
    </row>
    <row r="41751" spans="1:8">
      <c r="H41751" t="s">
        <v>33396</v>
      </c>
    </row>
    <row r="41752" spans="1:8">
      <c r="H41752" t="s">
        <v>35664</v>
      </c>
    </row>
    <row r="41753" spans="1:8">
      <c r="H41753" t="s">
        <v>35664</v>
      </c>
    </row>
    <row r="41754" spans="1:8">
      <c r="F41754" t="s">
        <v>14373</v>
      </c>
      <c r="G41754" t="s">
        <v>18317</v>
      </c>
      <c r="H41754" t="s">
        <v>18829</v>
      </c>
    </row>
    <row r="41755" spans="1:8">
      <c r="H41755" t="s">
        <v>33217</v>
      </c>
    </row>
    <row r="41756" spans="1:8">
      <c r="H41756" t="s">
        <v>35664</v>
      </c>
    </row>
    <row r="41757" spans="1:8">
      <c r="H41757" t="s">
        <v>35664</v>
      </c>
    </row>
    <row r="41758" spans="1:8">
      <c r="A41758" t="s">
        <v>3608</v>
      </c>
      <c r="B41758">
        <f>HYPERLINK("https://android.googlesource.com/platform/cts/+/a60a7b90e928bf6d4ef0252dae40cfb612638e61", "a60a7b90e928bf6d4ef0252dae40cfb612638e61")</f>
        <v>0</v>
      </c>
      <c r="C41758">
        <f>HYPERLINK("https://android.googlesource.com/platform/cts/+/f5f28b4b09bdb11fd94a26f5509afb0a0f9972f2", "f5f28b4b09bdb11fd94a26f5509afb0a0f9972f2")</f>
        <v>0</v>
      </c>
      <c r="D41758" t="s">
        <v>5497</v>
      </c>
      <c r="E41758" t="s">
        <v>9304</v>
      </c>
      <c r="F41758" t="s">
        <v>14374</v>
      </c>
      <c r="G41758" t="s">
        <v>18318</v>
      </c>
      <c r="H41758" t="s">
        <v>35665</v>
      </c>
    </row>
    <row r="41759" spans="1:8">
      <c r="H41759" t="s">
        <v>35666</v>
      </c>
    </row>
    <row r="41760" spans="1:8">
      <c r="H41760" t="s">
        <v>35667</v>
      </c>
    </row>
    <row r="41761" spans="1:8">
      <c r="H41761" t="s">
        <v>35668</v>
      </c>
    </row>
    <row r="41762" spans="1:8">
      <c r="H41762" t="s">
        <v>35669</v>
      </c>
    </row>
    <row r="41763" spans="1:8">
      <c r="H41763" t="s">
        <v>35670</v>
      </c>
    </row>
    <row r="41764" spans="1:8">
      <c r="A41764" t="s">
        <v>3609</v>
      </c>
      <c r="B41764">
        <f>HYPERLINK("https://android.googlesource.com/platform/cts/+/6ef52f01f25ae198973721b31b1513b525f4e356", "6ef52f01f25ae198973721b31b1513b525f4e356")</f>
        <v>0</v>
      </c>
      <c r="C41764">
        <f>HYPERLINK("https://android.googlesource.com/platform/cts/+/02bd4fff603ecb6b1fa01d986448dbdfa561ccfd", "02bd4fff603ecb6b1fa01d986448dbdfa561ccfd")</f>
        <v>0</v>
      </c>
      <c r="D41764" t="s">
        <v>5338</v>
      </c>
      <c r="E41764" t="s">
        <v>9305</v>
      </c>
      <c r="F41764" t="s">
        <v>14353</v>
      </c>
      <c r="G41764" t="s">
        <v>18303</v>
      </c>
      <c r="H41764" t="s">
        <v>35671</v>
      </c>
    </row>
    <row r="41765" spans="1:8">
      <c r="H41765" t="s">
        <v>19981</v>
      </c>
    </row>
    <row r="41766" spans="1:8">
      <c r="H41766" t="s">
        <v>35672</v>
      </c>
    </row>
    <row r="41767" spans="1:8">
      <c r="F41767" t="s">
        <v>14354</v>
      </c>
      <c r="G41767" t="s">
        <v>18304</v>
      </c>
      <c r="H41767" t="s">
        <v>19981</v>
      </c>
    </row>
    <row r="41768" spans="1:8">
      <c r="F41768" t="s">
        <v>14237</v>
      </c>
      <c r="G41768" t="s">
        <v>18207</v>
      </c>
      <c r="H41768" t="s">
        <v>35673</v>
      </c>
    </row>
    <row r="41769" spans="1:8">
      <c r="H41769" t="s">
        <v>35674</v>
      </c>
    </row>
    <row r="41770" spans="1:8">
      <c r="H41770" t="s">
        <v>35675</v>
      </c>
    </row>
    <row r="41771" spans="1:8">
      <c r="H41771" t="s">
        <v>35676</v>
      </c>
    </row>
    <row r="41772" spans="1:8">
      <c r="H41772" t="s">
        <v>35677</v>
      </c>
    </row>
    <row r="41773" spans="1:8">
      <c r="F41773" t="s">
        <v>14227</v>
      </c>
      <c r="G41773" t="s">
        <v>18199</v>
      </c>
      <c r="H41773" t="s">
        <v>35673</v>
      </c>
    </row>
    <row r="41774" spans="1:8">
      <c r="H41774" t="s">
        <v>35675</v>
      </c>
    </row>
    <row r="41775" spans="1:8">
      <c r="H41775" t="s">
        <v>35674</v>
      </c>
    </row>
    <row r="41776" spans="1:8">
      <c r="H41776" t="s">
        <v>35567</v>
      </c>
    </row>
    <row r="41777" spans="8:8">
      <c r="H41777" t="s">
        <v>35676</v>
      </c>
    </row>
    <row r="41778" spans="8:8">
      <c r="H41778" t="s">
        <v>35678</v>
      </c>
    </row>
    <row r="41779" spans="8:8">
      <c r="H41779" t="s">
        <v>35679</v>
      </c>
    </row>
    <row r="41780" spans="8:8">
      <c r="H41780" t="s">
        <v>35680</v>
      </c>
    </row>
    <row r="41781" spans="8:8">
      <c r="H41781" t="s">
        <v>35681</v>
      </c>
    </row>
    <row r="41782" spans="8:8">
      <c r="H41782" t="s">
        <v>35682</v>
      </c>
    </row>
    <row r="41783" spans="8:8">
      <c r="H41783" t="s">
        <v>35683</v>
      </c>
    </row>
    <row r="41784" spans="8:8">
      <c r="H41784" t="s">
        <v>35684</v>
      </c>
    </row>
    <row r="41785" spans="8:8">
      <c r="H41785" t="s">
        <v>35685</v>
      </c>
    </row>
    <row r="41786" spans="8:8">
      <c r="H41786" t="s">
        <v>35686</v>
      </c>
    </row>
    <row r="41787" spans="8:8">
      <c r="H41787" t="s">
        <v>35687</v>
      </c>
    </row>
    <row r="41788" spans="8:8">
      <c r="H41788" t="s">
        <v>35688</v>
      </c>
    </row>
    <row r="41789" spans="8:8">
      <c r="H41789" t="s">
        <v>35689</v>
      </c>
    </row>
    <row r="41790" spans="8:8">
      <c r="H41790" t="s">
        <v>35690</v>
      </c>
    </row>
    <row r="41791" spans="8:8">
      <c r="H41791" t="s">
        <v>35691</v>
      </c>
    </row>
    <row r="41792" spans="8:8">
      <c r="H41792" t="s">
        <v>35692</v>
      </c>
    </row>
    <row r="41793" spans="1:8">
      <c r="H41793" t="s">
        <v>35693</v>
      </c>
    </row>
    <row r="41794" spans="1:8">
      <c r="H41794" t="s">
        <v>35694</v>
      </c>
    </row>
    <row r="41795" spans="1:8">
      <c r="H41795" t="s">
        <v>35695</v>
      </c>
    </row>
    <row r="41796" spans="1:8">
      <c r="H41796" t="s">
        <v>35696</v>
      </c>
    </row>
    <row r="41797" spans="1:8">
      <c r="H41797" t="s">
        <v>35697</v>
      </c>
    </row>
    <row r="41798" spans="1:8">
      <c r="H41798" t="s">
        <v>35698</v>
      </c>
    </row>
    <row r="41799" spans="1:8">
      <c r="H41799" t="s">
        <v>35699</v>
      </c>
    </row>
    <row r="41800" spans="1:8">
      <c r="H41800" t="s">
        <v>35700</v>
      </c>
    </row>
    <row r="41801" spans="1:8">
      <c r="A41801" t="s">
        <v>3610</v>
      </c>
      <c r="B41801">
        <f>HYPERLINK("https://android.googlesource.com/platform/cts/+/2dfec23107b07ad604d67765ceb2e2db5996f6e0", "2dfec23107b07ad604d67765ceb2e2db5996f6e0")</f>
        <v>0</v>
      </c>
      <c r="C41801">
        <f>HYPERLINK("https://android.googlesource.com/platform/cts/+/02bd4fff603ecb6b1fa01d986448dbdfa561ccfd", "02bd4fff603ecb6b1fa01d986448dbdfa561ccfd")</f>
        <v>0</v>
      </c>
      <c r="D41801" t="s">
        <v>5447</v>
      </c>
      <c r="E41801" t="s">
        <v>9306</v>
      </c>
      <c r="F41801" t="s">
        <v>12842</v>
      </c>
      <c r="G41801" t="s">
        <v>15690</v>
      </c>
      <c r="H41801" t="s">
        <v>35701</v>
      </c>
    </row>
    <row r="41802" spans="1:8">
      <c r="A41802" t="s">
        <v>3613</v>
      </c>
      <c r="B41802">
        <f>HYPERLINK("https://android.googlesource.com/platform/cts/+/b5daf6c5c279bb53600c837ef70da138bffd0b58", "b5daf6c5c279bb53600c837ef70da138bffd0b58")</f>
        <v>0</v>
      </c>
      <c r="C41802">
        <f>HYPERLINK("https://android.googlesource.com/platform/cts/+/4b8cf2ed0b08d0fa468125f93d37bbf4ff169469", "4b8cf2ed0b08d0fa468125f93d37bbf4ff169469")</f>
        <v>0</v>
      </c>
      <c r="D41802" t="s">
        <v>5277</v>
      </c>
      <c r="E41802" t="s">
        <v>9309</v>
      </c>
      <c r="F41802" t="s">
        <v>14302</v>
      </c>
      <c r="G41802" t="s">
        <v>18260</v>
      </c>
      <c r="H41802" t="s">
        <v>20083</v>
      </c>
    </row>
    <row r="41803" spans="1:8">
      <c r="H41803" t="s">
        <v>31277</v>
      </c>
    </row>
    <row r="41804" spans="1:8">
      <c r="H41804" t="s">
        <v>26262</v>
      </c>
    </row>
    <row r="41805" spans="1:8">
      <c r="H41805" t="s">
        <v>35702</v>
      </c>
    </row>
    <row r="41806" spans="1:8">
      <c r="H41806" t="s">
        <v>35703</v>
      </c>
    </row>
    <row r="41807" spans="1:8">
      <c r="H41807" t="s">
        <v>35704</v>
      </c>
    </row>
    <row r="41808" spans="1:8">
      <c r="H41808" t="s">
        <v>35705</v>
      </c>
    </row>
    <row r="41809" spans="1:8">
      <c r="H41809" t="s">
        <v>19496</v>
      </c>
    </row>
    <row r="41810" spans="1:8">
      <c r="F41810" t="s">
        <v>14300</v>
      </c>
      <c r="G41810" t="s">
        <v>18259</v>
      </c>
      <c r="H41810" t="s">
        <v>35706</v>
      </c>
    </row>
    <row r="41811" spans="1:8">
      <c r="H41811" t="s">
        <v>35707</v>
      </c>
    </row>
    <row r="41812" spans="1:8">
      <c r="H41812" t="s">
        <v>35708</v>
      </c>
    </row>
    <row r="41813" spans="1:8">
      <c r="H41813" t="s">
        <v>35709</v>
      </c>
    </row>
    <row r="41814" spans="1:8">
      <c r="H41814" t="s">
        <v>35710</v>
      </c>
    </row>
    <row r="41815" spans="1:8">
      <c r="H41815" t="s">
        <v>35710</v>
      </c>
    </row>
    <row r="41816" spans="1:8">
      <c r="H41816" t="s">
        <v>20083</v>
      </c>
    </row>
    <row r="41817" spans="1:8">
      <c r="H41817" t="s">
        <v>24966</v>
      </c>
    </row>
    <row r="41818" spans="1:8">
      <c r="H41818" t="s">
        <v>19753</v>
      </c>
    </row>
    <row r="41819" spans="1:8">
      <c r="H41819" t="s">
        <v>19754</v>
      </c>
    </row>
    <row r="41820" spans="1:8">
      <c r="A41820" t="s">
        <v>3614</v>
      </c>
      <c r="B41820">
        <f>HYPERLINK("https://android.googlesource.com/platform/cts/+/1a3672e1c4b7054baeeec804e831aa5c1ef3260e", "1a3672e1c4b7054baeeec804e831aa5c1ef3260e")</f>
        <v>0</v>
      </c>
      <c r="C41820">
        <f>HYPERLINK("https://android.googlesource.com/platform/cts/+/ec7950d61a925e755a4edb7b70dea037347b8d4e", "ec7950d61a925e755a4edb7b70dea037347b8d4e")</f>
        <v>0</v>
      </c>
      <c r="D41820" t="s">
        <v>5481</v>
      </c>
      <c r="E41820" t="s">
        <v>9310</v>
      </c>
      <c r="F41820" t="s">
        <v>14375</v>
      </c>
      <c r="G41820" t="s">
        <v>18319</v>
      </c>
      <c r="H41820" t="s">
        <v>18863</v>
      </c>
    </row>
    <row r="41821" spans="1:8">
      <c r="H41821" t="s">
        <v>35711</v>
      </c>
    </row>
    <row r="41822" spans="1:8">
      <c r="H41822" t="s">
        <v>35712</v>
      </c>
    </row>
    <row r="41823" spans="1:8">
      <c r="H41823" t="s">
        <v>35713</v>
      </c>
    </row>
    <row r="41824" spans="1:8">
      <c r="H41824" t="s">
        <v>35714</v>
      </c>
    </row>
    <row r="41825" spans="1:8">
      <c r="A41825" t="s">
        <v>3616</v>
      </c>
      <c r="B41825">
        <f>HYPERLINK("https://android.googlesource.com/platform/cts/+/b6b97896499a38bd31848a8070a05da14c7fbdf4", "b6b97896499a38bd31848a8070a05da14c7fbdf4")</f>
        <v>0</v>
      </c>
      <c r="C41825">
        <f>HYPERLINK("https://android.googlesource.com/platform/cts/+/d2a024e36a85dac1f2d26a9e76ff6f9ebb8be96b", "d2a024e36a85dac1f2d26a9e76ff6f9ebb8be96b")</f>
        <v>0</v>
      </c>
      <c r="D41825" t="s">
        <v>5497</v>
      </c>
      <c r="E41825" t="s">
        <v>9311</v>
      </c>
      <c r="F41825" t="s">
        <v>14145</v>
      </c>
      <c r="G41825" t="s">
        <v>18133</v>
      </c>
      <c r="H41825" t="s">
        <v>35715</v>
      </c>
    </row>
    <row r="41826" spans="1:8">
      <c r="H41826" t="s">
        <v>35716</v>
      </c>
    </row>
    <row r="41827" spans="1:8">
      <c r="H41827" t="s">
        <v>35717</v>
      </c>
    </row>
    <row r="41828" spans="1:8">
      <c r="H41828" t="s">
        <v>35718</v>
      </c>
    </row>
    <row r="41829" spans="1:8">
      <c r="H41829" t="s">
        <v>35719</v>
      </c>
    </row>
    <row r="41830" spans="1:8">
      <c r="A41830" t="s">
        <v>3617</v>
      </c>
      <c r="B41830">
        <f>HYPERLINK("https://android.googlesource.com/platform/cts/+/77870f94a276516de7359248ad51187eaa87790b", "77870f94a276516de7359248ad51187eaa87790b")</f>
        <v>0</v>
      </c>
      <c r="C41830">
        <f>HYPERLINK("https://android.googlesource.com/platform/cts/+/5848a6cfe71845e0f8bf65e4431d310b40b10580", "5848a6cfe71845e0f8bf65e4431d310b40b10580")</f>
        <v>0</v>
      </c>
      <c r="D41830" t="s">
        <v>5497</v>
      </c>
      <c r="E41830" t="s">
        <v>9312</v>
      </c>
      <c r="F41830" t="s">
        <v>14376</v>
      </c>
      <c r="G41830" t="s">
        <v>18320</v>
      </c>
      <c r="H41830" t="s">
        <v>35720</v>
      </c>
    </row>
    <row r="41831" spans="1:8">
      <c r="H41831" t="s">
        <v>35721</v>
      </c>
    </row>
    <row r="41832" spans="1:8">
      <c r="H41832" t="s">
        <v>35722</v>
      </c>
    </row>
    <row r="41833" spans="1:8">
      <c r="H41833" t="s">
        <v>35723</v>
      </c>
    </row>
    <row r="41834" spans="1:8">
      <c r="A41834" t="s">
        <v>3618</v>
      </c>
      <c r="B41834">
        <f>HYPERLINK("https://android.googlesource.com/platform/cts/+/04f61b186f7df0868b4e6276cf0e2718b49cdb05", "04f61b186f7df0868b4e6276cf0e2718b49cdb05")</f>
        <v>0</v>
      </c>
      <c r="C41834">
        <f>HYPERLINK("https://android.googlesource.com/platform/cts/+/621d4ce1dce580d11f915c86381afa43fbc4f09e", "621d4ce1dce580d11f915c86381afa43fbc4f09e")</f>
        <v>0</v>
      </c>
      <c r="D41834" t="s">
        <v>5484</v>
      </c>
      <c r="E41834" t="s">
        <v>9313</v>
      </c>
      <c r="F41834" t="s">
        <v>14377</v>
      </c>
      <c r="G41834" t="s">
        <v>18321</v>
      </c>
      <c r="H41834" t="s">
        <v>35724</v>
      </c>
    </row>
    <row r="41835" spans="1:8">
      <c r="H41835" t="s">
        <v>35725</v>
      </c>
    </row>
    <row r="41836" spans="1:8">
      <c r="H41836" t="s">
        <v>35726</v>
      </c>
    </row>
    <row r="41837" spans="1:8">
      <c r="A41837" t="s">
        <v>3619</v>
      </c>
      <c r="B41837">
        <f>HYPERLINK("https://android.googlesource.com/platform/cts/+/2211125686a36a8a135cdd8ec27634e1241baeaf", "2211125686a36a8a135cdd8ec27634e1241baeaf")</f>
        <v>0</v>
      </c>
      <c r="C41837">
        <f>HYPERLINK("https://android.googlesource.com/platform/cts/+/ef67a136f7a111ea016e98e77e06e09f5de50dbf", "ef67a136f7a111ea016e98e77e06e09f5de50dbf")</f>
        <v>0</v>
      </c>
      <c r="D41837" t="s">
        <v>5449</v>
      </c>
      <c r="E41837" t="s">
        <v>9314</v>
      </c>
      <c r="F41837" t="s">
        <v>14238</v>
      </c>
      <c r="G41837" t="s">
        <v>18208</v>
      </c>
      <c r="H41837" t="s">
        <v>35727</v>
      </c>
    </row>
    <row r="41838" spans="1:8">
      <c r="H41838" t="s">
        <v>35728</v>
      </c>
    </row>
    <row r="41839" spans="1:8">
      <c r="H41839" t="s">
        <v>35729</v>
      </c>
    </row>
    <row r="41840" spans="1:8">
      <c r="H41840" t="s">
        <v>35730</v>
      </c>
    </row>
    <row r="41841" spans="1:8">
      <c r="H41841" t="s">
        <v>35731</v>
      </c>
    </row>
    <row r="41842" spans="1:8">
      <c r="H41842" t="s">
        <v>35732</v>
      </c>
    </row>
    <row r="41843" spans="1:8">
      <c r="H41843" t="s">
        <v>35733</v>
      </c>
    </row>
    <row r="41844" spans="1:8">
      <c r="A41844" t="s">
        <v>3620</v>
      </c>
      <c r="B41844">
        <f>HYPERLINK("https://android.googlesource.com/platform/cts/+/9e5b3e13c8d1c1b13b251d0def1c0e5fc38afce6", "9e5b3e13c8d1c1b13b251d0def1c0e5fc38afce6")</f>
        <v>0</v>
      </c>
      <c r="C41844">
        <f>HYPERLINK("https://android.googlesource.com/platform/cts/+/b3714499ee29dcfd3f54b2ec4b094b3e2224c10e", "b3714499ee29dcfd3f54b2ec4b094b3e2224c10e")</f>
        <v>0</v>
      </c>
      <c r="D41844" t="s">
        <v>5504</v>
      </c>
      <c r="E41844" t="s">
        <v>9315</v>
      </c>
      <c r="F41844" t="s">
        <v>14378</v>
      </c>
      <c r="G41844" t="s">
        <v>18322</v>
      </c>
      <c r="H41844" t="s">
        <v>35734</v>
      </c>
    </row>
    <row r="41845" spans="1:8">
      <c r="H41845" t="s">
        <v>35735</v>
      </c>
    </row>
    <row r="41846" spans="1:8">
      <c r="A41846" t="s">
        <v>3621</v>
      </c>
      <c r="B41846">
        <f>HYPERLINK("https://android.googlesource.com/platform/cts/+/40182c157d3d072a95b516c88011335d79a19879", "40182c157d3d072a95b516c88011335d79a19879")</f>
        <v>0</v>
      </c>
      <c r="C41846">
        <f>HYPERLINK("https://android.googlesource.com/platform/cts/+/a9f85dfd09fa049cb54f703841bbd02202ca571b", "a9f85dfd09fa049cb54f703841bbd02202ca571b")</f>
        <v>0</v>
      </c>
      <c r="D41846" t="s">
        <v>5562</v>
      </c>
      <c r="E41846" t="s">
        <v>9316</v>
      </c>
      <c r="F41846" t="s">
        <v>14379</v>
      </c>
      <c r="G41846" t="s">
        <v>18323</v>
      </c>
      <c r="H41846" t="s">
        <v>35736</v>
      </c>
    </row>
    <row r="41847" spans="1:8">
      <c r="H41847" t="s">
        <v>35737</v>
      </c>
    </row>
    <row r="41848" spans="1:8">
      <c r="H41848" t="s">
        <v>35738</v>
      </c>
    </row>
    <row r="41849" spans="1:8">
      <c r="H41849" t="s">
        <v>34824</v>
      </c>
    </row>
    <row r="41850" spans="1:8">
      <c r="H41850" t="s">
        <v>19372</v>
      </c>
    </row>
    <row r="41851" spans="1:8">
      <c r="H41851" t="s">
        <v>18930</v>
      </c>
    </row>
    <row r="41852" spans="1:8">
      <c r="H41852" t="s">
        <v>35739</v>
      </c>
    </row>
    <row r="41853" spans="1:8">
      <c r="A41853" t="s">
        <v>3622</v>
      </c>
      <c r="B41853">
        <f>HYPERLINK("https://android.googlesource.com/platform/cts/+/85c73c9b8703857367027ec7cf045db05cad3959", "85c73c9b8703857367027ec7cf045db05cad3959")</f>
        <v>0</v>
      </c>
      <c r="C41853">
        <f>HYPERLINK("https://android.googlesource.com/platform/cts/+/2327f3ef31c3b4517ab5cb1bb0ef910e673276b4", "2327f3ef31c3b4517ab5cb1bb0ef910e673276b4")</f>
        <v>0</v>
      </c>
      <c r="D41853" t="s">
        <v>5596</v>
      </c>
      <c r="E41853" t="s">
        <v>9317</v>
      </c>
      <c r="F41853" t="s">
        <v>14380</v>
      </c>
      <c r="G41853" t="s">
        <v>18324</v>
      </c>
      <c r="H41853" t="s">
        <v>35740</v>
      </c>
    </row>
    <row r="41854" spans="1:8">
      <c r="A41854" t="s">
        <v>3623</v>
      </c>
      <c r="B41854">
        <f>HYPERLINK("https://android.googlesource.com/platform/cts/+/8d65fd974abf0e9d7c010e7758da8a87914767a0", "8d65fd974abf0e9d7c010e7758da8a87914767a0")</f>
        <v>0</v>
      </c>
      <c r="C41854">
        <f>HYPERLINK("https://android.googlesource.com/platform/cts/+/daf833b5e400aacde5f312c0263c99230cfe145d", "daf833b5e400aacde5f312c0263c99230cfe145d")</f>
        <v>0</v>
      </c>
      <c r="D41854" t="s">
        <v>5355</v>
      </c>
      <c r="E41854" t="s">
        <v>9318</v>
      </c>
      <c r="F41854" t="s">
        <v>13728</v>
      </c>
      <c r="G41854" t="s">
        <v>17790</v>
      </c>
      <c r="H41854" t="s">
        <v>35741</v>
      </c>
    </row>
    <row r="41855" spans="1:8">
      <c r="A41855" t="s">
        <v>3624</v>
      </c>
      <c r="B41855">
        <f>HYPERLINK("https://android.googlesource.com/platform/cts/+/5f846dd44ec40e5118b0344c29a5cd823a577494", "5f846dd44ec40e5118b0344c29a5cd823a577494")</f>
        <v>0</v>
      </c>
      <c r="C41855">
        <f>HYPERLINK("https://android.googlesource.com/platform/cts/+/0d00b8fac45150d18f21ce25072fa65b9561d9b4", "0d00b8fac45150d18f21ce25072fa65b9561d9b4")</f>
        <v>0</v>
      </c>
      <c r="D41855" t="s">
        <v>5492</v>
      </c>
      <c r="E41855" t="s">
        <v>9319</v>
      </c>
      <c r="F41855" t="s">
        <v>14381</v>
      </c>
      <c r="G41855" t="s">
        <v>18325</v>
      </c>
      <c r="H41855" t="s">
        <v>35742</v>
      </c>
    </row>
    <row r="41856" spans="1:8">
      <c r="H41856" t="s">
        <v>28611</v>
      </c>
    </row>
    <row r="41857" spans="1:8">
      <c r="H41857" t="s">
        <v>35743</v>
      </c>
    </row>
    <row r="41858" spans="1:8">
      <c r="H41858" t="s">
        <v>35050</v>
      </c>
    </row>
    <row r="41859" spans="1:8">
      <c r="A41859" t="s">
        <v>3625</v>
      </c>
      <c r="B41859">
        <f>HYPERLINK("https://android.googlesource.com/platform/cts/+/f0110fcea425a1f615cc211df217447ef22d42a0", "f0110fcea425a1f615cc211df217447ef22d42a0")</f>
        <v>0</v>
      </c>
      <c r="C41859">
        <f>HYPERLINK("https://android.googlesource.com/platform/cts/+/84c4af3ae992b5f70664b5fbf331c7d9bdbb2459", "84c4af3ae992b5f70664b5fbf331c7d9bdbb2459")</f>
        <v>0</v>
      </c>
      <c r="D41859" t="s">
        <v>5409</v>
      </c>
      <c r="E41859" t="s">
        <v>9320</v>
      </c>
      <c r="F41859" t="s">
        <v>14382</v>
      </c>
      <c r="G41859" t="s">
        <v>18326</v>
      </c>
      <c r="H41859" t="s">
        <v>35744</v>
      </c>
    </row>
    <row r="41860" spans="1:8">
      <c r="A41860" t="s">
        <v>3626</v>
      </c>
      <c r="B41860">
        <f>HYPERLINK("https://android.googlesource.com/platform/cts/+/cb23e002948a8d4251e397ecafb2f8cbce9b1f9b", "cb23e002948a8d4251e397ecafb2f8cbce9b1f9b")</f>
        <v>0</v>
      </c>
      <c r="C41860">
        <f>HYPERLINK("https://android.googlesource.com/platform/cts/+/bfe1191ad843ade05656a0cc5437839918d02995", "bfe1191ad843ade05656a0cc5437839918d02995")</f>
        <v>0</v>
      </c>
      <c r="D41860" t="s">
        <v>5417</v>
      </c>
      <c r="E41860" t="s">
        <v>9321</v>
      </c>
      <c r="F41860" t="s">
        <v>14383</v>
      </c>
      <c r="G41860" t="s">
        <v>18327</v>
      </c>
      <c r="H41860" t="s">
        <v>35745</v>
      </c>
    </row>
    <row r="41861" spans="1:8">
      <c r="A41861" t="s">
        <v>3627</v>
      </c>
      <c r="B41861">
        <f>HYPERLINK("https://android.googlesource.com/platform/cts/+/f3df80250737314b0ae76ec1396a4604f91fdf85", "f3df80250737314b0ae76ec1396a4604f91fdf85")</f>
        <v>0</v>
      </c>
      <c r="C41861">
        <f>HYPERLINK("https://android.googlesource.com/platform/cts/+/14b8c6f04c32ee2aaa5871ffcf3573364c5229a6", "14b8c6f04c32ee2aaa5871ffcf3573364c5229a6")</f>
        <v>0</v>
      </c>
      <c r="D41861" t="s">
        <v>5363</v>
      </c>
      <c r="E41861" t="s">
        <v>9322</v>
      </c>
      <c r="F41861" t="s">
        <v>14097</v>
      </c>
      <c r="G41861" t="s">
        <v>18090</v>
      </c>
      <c r="H41861" t="s">
        <v>18829</v>
      </c>
    </row>
    <row r="41862" spans="1:8">
      <c r="H41862" t="s">
        <v>18863</v>
      </c>
    </row>
    <row r="41863" spans="1:8">
      <c r="H41863" t="s">
        <v>33400</v>
      </c>
    </row>
    <row r="41864" spans="1:8">
      <c r="H41864" t="s">
        <v>33401</v>
      </c>
    </row>
    <row r="41865" spans="1:8">
      <c r="H41865" t="s">
        <v>33403</v>
      </c>
    </row>
    <row r="41866" spans="1:8">
      <c r="F41866" t="s">
        <v>14033</v>
      </c>
      <c r="G41866" t="s">
        <v>18030</v>
      </c>
      <c r="H41866" t="s">
        <v>32932</v>
      </c>
    </row>
    <row r="41867" spans="1:8">
      <c r="F41867" t="s">
        <v>14189</v>
      </c>
      <c r="G41867" t="s">
        <v>14997</v>
      </c>
      <c r="H41867" t="s">
        <v>35746</v>
      </c>
    </row>
    <row r="41868" spans="1:8">
      <c r="H41868" t="s">
        <v>35747</v>
      </c>
    </row>
    <row r="41869" spans="1:8">
      <c r="H41869" t="s">
        <v>32922</v>
      </c>
    </row>
    <row r="41870" spans="1:8">
      <c r="H41870" t="s">
        <v>32904</v>
      </c>
    </row>
    <row r="41871" spans="1:8">
      <c r="A41871" t="s">
        <v>3629</v>
      </c>
      <c r="B41871">
        <f>HYPERLINK("https://android.googlesource.com/platform/cts/+/1986437989eb6d08436c7f2a88ebb90dd92e4243", "1986437989eb6d08436c7f2a88ebb90dd92e4243")</f>
        <v>0</v>
      </c>
      <c r="C41871">
        <f>HYPERLINK("https://android.googlesource.com/platform/cts/+/bba587afac2691d0375baf8a9dd96c9f077b6588", "bba587afac2691d0375baf8a9dd96c9f077b6588")</f>
        <v>0</v>
      </c>
      <c r="D41871" t="s">
        <v>5568</v>
      </c>
      <c r="E41871" t="s">
        <v>9323</v>
      </c>
      <c r="F41871" t="s">
        <v>14352</v>
      </c>
      <c r="G41871" t="s">
        <v>18261</v>
      </c>
      <c r="H41871" t="s">
        <v>34782</v>
      </c>
    </row>
    <row r="41872" spans="1:8">
      <c r="H41872" t="s">
        <v>34531</v>
      </c>
    </row>
    <row r="41873" spans="1:8">
      <c r="H41873" t="s">
        <v>34783</v>
      </c>
    </row>
    <row r="41874" spans="1:8">
      <c r="H41874" t="s">
        <v>34559</v>
      </c>
    </row>
    <row r="41875" spans="1:8">
      <c r="H41875" t="s">
        <v>34560</v>
      </c>
    </row>
    <row r="41876" spans="1:8">
      <c r="A41876" t="s">
        <v>3630</v>
      </c>
      <c r="B41876">
        <f>HYPERLINK("https://android.googlesource.com/platform/cts/+/4e8a6d367b6568614391b323a466f60b17d4ef01", "4e8a6d367b6568614391b323a466f60b17d4ef01")</f>
        <v>0</v>
      </c>
      <c r="C41876">
        <f>HYPERLINK("https://android.googlesource.com/platform/cts/+/9a6a60a64131de1fef055d296970d6a7fdd8f18a", "9a6a60a64131de1fef055d296970d6a7fdd8f18a")</f>
        <v>0</v>
      </c>
      <c r="D41876" t="s">
        <v>5563</v>
      </c>
      <c r="E41876" t="s">
        <v>9324</v>
      </c>
      <c r="F41876" t="s">
        <v>14260</v>
      </c>
      <c r="G41876" t="s">
        <v>18227</v>
      </c>
      <c r="H41876" t="s">
        <v>34457</v>
      </c>
    </row>
    <row r="41877" spans="1:8">
      <c r="A41877" t="s">
        <v>3631</v>
      </c>
      <c r="B41877">
        <f>HYPERLINK("https://android.googlesource.com/platform/cts/+/f59121f5d7963589fd6e424e91136fe17277205e", "f59121f5d7963589fd6e424e91136fe17277205e")</f>
        <v>0</v>
      </c>
      <c r="C41877">
        <f>HYPERLINK("https://android.googlesource.com/platform/cts/+/f4c7ae29646dde92d21c7353c3cc1a80063bb7e8", "f4c7ae29646dde92d21c7353c3cc1a80063bb7e8")</f>
        <v>0</v>
      </c>
      <c r="D41877" t="s">
        <v>5304</v>
      </c>
      <c r="E41877" t="s">
        <v>9325</v>
      </c>
      <c r="F41877" t="s">
        <v>14384</v>
      </c>
      <c r="G41877" t="s">
        <v>18328</v>
      </c>
      <c r="H41877" t="s">
        <v>35748</v>
      </c>
    </row>
    <row r="41878" spans="1:8">
      <c r="H41878" t="s">
        <v>35749</v>
      </c>
    </row>
    <row r="41879" spans="1:8">
      <c r="A41879" t="s">
        <v>3632</v>
      </c>
      <c r="B41879">
        <f>HYPERLINK("https://android.googlesource.com/platform/cts/+/915b5160fe62a193c3dd1fa8cf79a88f1507b01e", "915b5160fe62a193c3dd1fa8cf79a88f1507b01e")</f>
        <v>0</v>
      </c>
      <c r="C41879">
        <f>HYPERLINK("https://android.googlesource.com/platform/cts/+/f5a5e2fe5ba460bc729b012c5d82b59fc5dfc1bc", "f5a5e2fe5ba460bc729b012c5d82b59fc5dfc1bc")</f>
        <v>0</v>
      </c>
      <c r="D41879" t="s">
        <v>5597</v>
      </c>
      <c r="E41879" t="s">
        <v>9326</v>
      </c>
      <c r="F41879" t="s">
        <v>14385</v>
      </c>
      <c r="G41879" t="s">
        <v>18329</v>
      </c>
      <c r="H41879" t="s">
        <v>35750</v>
      </c>
    </row>
    <row r="41880" spans="1:8">
      <c r="A41880" t="s">
        <v>3633</v>
      </c>
      <c r="B41880">
        <f>HYPERLINK("https://android.googlesource.com/platform/cts/+/8ee63009c642a48c3390e0cba63ddda36ca61319", "8ee63009c642a48c3390e0cba63ddda36ca61319")</f>
        <v>0</v>
      </c>
      <c r="C41880">
        <f>HYPERLINK("https://android.googlesource.com/platform/cts/+/401c5cc503944e92e57f928523dfaaabe7712fd7", "401c5cc503944e92e57f928523dfaaabe7712fd7")</f>
        <v>0</v>
      </c>
      <c r="D41880" t="s">
        <v>5130</v>
      </c>
      <c r="E41880" t="s">
        <v>9327</v>
      </c>
      <c r="F41880" t="s">
        <v>14386</v>
      </c>
      <c r="G41880" t="s">
        <v>18330</v>
      </c>
      <c r="H41880" t="s">
        <v>35751</v>
      </c>
    </row>
    <row r="41881" spans="1:8">
      <c r="H41881" t="s">
        <v>35752</v>
      </c>
    </row>
    <row r="41882" spans="1:8">
      <c r="A41882" t="s">
        <v>3634</v>
      </c>
      <c r="B41882">
        <f>HYPERLINK("https://android.googlesource.com/platform/cts/+/3b6d77bc0ef3b2e4f4ac099f0f0bd8edba0c9f31", "3b6d77bc0ef3b2e4f4ac099f0f0bd8edba0c9f31")</f>
        <v>0</v>
      </c>
      <c r="C41882">
        <f>HYPERLINK("https://android.googlesource.com/platform/cts/+/85a8d740a7253e3e6adb0e9e68cefa48ca754e27", "85a8d740a7253e3e6adb0e9e68cefa48ca754e27")</f>
        <v>0</v>
      </c>
      <c r="D41882" t="s">
        <v>5598</v>
      </c>
      <c r="E41882" t="s">
        <v>9328</v>
      </c>
      <c r="F41882" t="s">
        <v>14387</v>
      </c>
      <c r="G41882" t="s">
        <v>17643</v>
      </c>
      <c r="H41882" t="s">
        <v>35753</v>
      </c>
    </row>
    <row r="41883" spans="1:8">
      <c r="F41883" t="s">
        <v>14388</v>
      </c>
      <c r="G41883" t="s">
        <v>17644</v>
      </c>
      <c r="H41883" t="s">
        <v>35754</v>
      </c>
    </row>
    <row r="41884" spans="1:8">
      <c r="A41884" t="s">
        <v>3635</v>
      </c>
      <c r="B41884">
        <f>HYPERLINK("https://android.googlesource.com/platform/cts/+/019d1addc5a94351ffb23ecbc8d38564a1006952", "019d1addc5a94351ffb23ecbc8d38564a1006952")</f>
        <v>0</v>
      </c>
      <c r="C41884">
        <f>HYPERLINK("https://android.googlesource.com/platform/cts/+/8861a1bbe79835c47fc94601716f94721d6d27f4", "8861a1bbe79835c47fc94601716f94721d6d27f4")</f>
        <v>0</v>
      </c>
      <c r="D41884" t="s">
        <v>5582</v>
      </c>
      <c r="E41884" t="s">
        <v>9329</v>
      </c>
      <c r="F41884" t="s">
        <v>12984</v>
      </c>
      <c r="G41884" t="s">
        <v>17148</v>
      </c>
      <c r="H41884" t="s">
        <v>35755</v>
      </c>
    </row>
    <row r="41885" spans="1:8">
      <c r="F41885" t="s">
        <v>14389</v>
      </c>
      <c r="G41885" t="s">
        <v>17148</v>
      </c>
      <c r="H41885" t="s">
        <v>35755</v>
      </c>
    </row>
    <row r="41886" spans="1:8">
      <c r="A41886" t="s">
        <v>3636</v>
      </c>
      <c r="B41886">
        <f>HYPERLINK("https://android.googlesource.com/platform/cts/+/ae7c11a66974c127bc3758d03b18bf8e0fb7782a", "ae7c11a66974c127bc3758d03b18bf8e0fb7782a")</f>
        <v>0</v>
      </c>
      <c r="C41886">
        <f>HYPERLINK("https://android.googlesource.com/platform/cts/+/ad91678eeeddc900ae09aa92ade770ecfb357b40", "ad91678eeeddc900ae09aa92ade770ecfb357b40")</f>
        <v>0</v>
      </c>
      <c r="D41886" t="s">
        <v>5290</v>
      </c>
      <c r="E41886" t="s">
        <v>9330</v>
      </c>
      <c r="F41886" t="s">
        <v>14390</v>
      </c>
      <c r="G41886" t="s">
        <v>18331</v>
      </c>
      <c r="H41886" t="s">
        <v>32593</v>
      </c>
    </row>
    <row r="41887" spans="1:8">
      <c r="H41887" t="s">
        <v>35756</v>
      </c>
    </row>
    <row r="41888" spans="1:8">
      <c r="H41888" t="s">
        <v>35757</v>
      </c>
    </row>
    <row r="41889" spans="1:8">
      <c r="A41889" t="s">
        <v>3637</v>
      </c>
      <c r="B41889">
        <f>HYPERLINK("https://android.googlesource.com/platform/cts/+/9e9e2aa88003e97ad566be85b70047799af0ee3a", "9e9e2aa88003e97ad566be85b70047799af0ee3a")</f>
        <v>0</v>
      </c>
      <c r="C41889">
        <f>HYPERLINK("https://android.googlesource.com/platform/cts/+/0b290d8c8e2fddfb0e5383e0c19d8df745e82849", "0b290d8c8e2fddfb0e5383e0c19d8df745e82849")</f>
        <v>0</v>
      </c>
      <c r="D41889" t="s">
        <v>5599</v>
      </c>
      <c r="E41889" t="s">
        <v>9331</v>
      </c>
      <c r="F41889" t="s">
        <v>14391</v>
      </c>
      <c r="G41889" t="s">
        <v>18332</v>
      </c>
      <c r="H41889" t="s">
        <v>18829</v>
      </c>
    </row>
    <row r="41890" spans="1:8">
      <c r="H41890" t="s">
        <v>35758</v>
      </c>
    </row>
    <row r="41891" spans="1:8">
      <c r="H41891" t="s">
        <v>35759</v>
      </c>
    </row>
    <row r="41892" spans="1:8">
      <c r="H41892" t="s">
        <v>35760</v>
      </c>
    </row>
    <row r="41893" spans="1:8">
      <c r="H41893" t="s">
        <v>35761</v>
      </c>
    </row>
    <row r="41894" spans="1:8">
      <c r="H41894" t="s">
        <v>35762</v>
      </c>
    </row>
    <row r="41895" spans="1:8">
      <c r="H41895" t="s">
        <v>35763</v>
      </c>
    </row>
    <row r="41896" spans="1:8">
      <c r="H41896" t="s">
        <v>35764</v>
      </c>
    </row>
    <row r="41897" spans="1:8">
      <c r="H41897" t="s">
        <v>35765</v>
      </c>
    </row>
    <row r="41898" spans="1:8">
      <c r="H41898" t="s">
        <v>35766</v>
      </c>
    </row>
    <row r="41899" spans="1:8">
      <c r="F41899" t="s">
        <v>14392</v>
      </c>
      <c r="G41899" t="s">
        <v>18333</v>
      </c>
      <c r="H41899" t="s">
        <v>18863</v>
      </c>
    </row>
    <row r="41900" spans="1:8">
      <c r="H41900" t="s">
        <v>35767</v>
      </c>
    </row>
    <row r="41901" spans="1:8">
      <c r="H41901" t="s">
        <v>35768</v>
      </c>
    </row>
    <row r="41902" spans="1:8">
      <c r="H41902" t="s">
        <v>35769</v>
      </c>
    </row>
    <row r="41903" spans="1:8">
      <c r="A41903" t="s">
        <v>3638</v>
      </c>
      <c r="B41903">
        <f>HYPERLINK("https://android.googlesource.com/platform/cts/+/c077873a2a067c9568b577581dd822dda900e3f6", "c077873a2a067c9568b577581dd822dda900e3f6")</f>
        <v>0</v>
      </c>
      <c r="C41903">
        <f>HYPERLINK("https://android.googlesource.com/platform/cts/+/ad91678eeeddc900ae09aa92ade770ecfb357b40", "ad91678eeeddc900ae09aa92ade770ecfb357b40")</f>
        <v>0</v>
      </c>
      <c r="D41903" t="s">
        <v>5569</v>
      </c>
      <c r="E41903" t="s">
        <v>9332</v>
      </c>
      <c r="F41903" t="s">
        <v>13511</v>
      </c>
      <c r="G41903" t="s">
        <v>17628</v>
      </c>
      <c r="H41903" t="s">
        <v>35770</v>
      </c>
    </row>
    <row r="41904" spans="1:8">
      <c r="H41904" t="s">
        <v>35771</v>
      </c>
    </row>
    <row r="41905" spans="1:8">
      <c r="A41905" t="s">
        <v>3639</v>
      </c>
      <c r="B41905">
        <f>HYPERLINK("https://android.googlesource.com/platform/cts/+/279970a27b5046fa0197956c22ab24cd5b7d9952", "279970a27b5046fa0197956c22ab24cd5b7d9952")</f>
        <v>0</v>
      </c>
      <c r="C41905">
        <f>HYPERLINK("https://android.googlesource.com/platform/cts/+/236b5678f31077a3261d2778784e8d6165a705f3", "236b5678f31077a3261d2778784e8d6165a705f3")</f>
        <v>0</v>
      </c>
      <c r="D41905" t="s">
        <v>5595</v>
      </c>
      <c r="E41905" t="s">
        <v>9333</v>
      </c>
      <c r="F41905" t="s">
        <v>14069</v>
      </c>
      <c r="G41905" t="s">
        <v>18067</v>
      </c>
      <c r="H41905" t="s">
        <v>35772</v>
      </c>
    </row>
    <row r="41906" spans="1:8">
      <c r="A41906" t="s">
        <v>3640</v>
      </c>
      <c r="B41906">
        <f>HYPERLINK("https://android.googlesource.com/platform/cts/+/56effbc14c6b181680d0a3667eddbced05e57116", "56effbc14c6b181680d0a3667eddbced05e57116")</f>
        <v>0</v>
      </c>
      <c r="C41906">
        <f>HYPERLINK("https://android.googlesource.com/platform/cts/+/401c5cc503944e92e57f928523dfaaabe7712fd7", "401c5cc503944e92e57f928523dfaaabe7712fd7")</f>
        <v>0</v>
      </c>
      <c r="D41906" t="s">
        <v>5556</v>
      </c>
      <c r="E41906" t="s">
        <v>9334</v>
      </c>
      <c r="F41906" t="s">
        <v>14393</v>
      </c>
      <c r="G41906" t="s">
        <v>18025</v>
      </c>
      <c r="H41906" t="s">
        <v>35773</v>
      </c>
    </row>
    <row r="41907" spans="1:8">
      <c r="H41907" t="s">
        <v>35774</v>
      </c>
    </row>
    <row r="41908" spans="1:8">
      <c r="H41908" t="s">
        <v>35775</v>
      </c>
    </row>
    <row r="41909" spans="1:8">
      <c r="A41909" t="s">
        <v>3642</v>
      </c>
      <c r="B41909">
        <f>HYPERLINK("https://android.googlesource.com/platform/cts/+/c72fee93e949c07233bfdb95a0f0db522a949afd", "c72fee93e949c07233bfdb95a0f0db522a949afd")</f>
        <v>0</v>
      </c>
      <c r="C41909">
        <f>HYPERLINK("https://android.googlesource.com/platform/cts/+/11463c4f840d7f2c467dda05d544e73a51960e3d", "11463c4f840d7f2c467dda05d544e73a51960e3d")</f>
        <v>0</v>
      </c>
      <c r="D41909" t="s">
        <v>5504</v>
      </c>
      <c r="E41909" t="s">
        <v>9336</v>
      </c>
      <c r="F41909" t="s">
        <v>14378</v>
      </c>
      <c r="G41909" t="s">
        <v>18322</v>
      </c>
      <c r="H41909" t="s">
        <v>20083</v>
      </c>
    </row>
    <row r="41910" spans="1:8">
      <c r="H41910" t="s">
        <v>26262</v>
      </c>
    </row>
    <row r="41911" spans="1:8">
      <c r="A41911" t="s">
        <v>3643</v>
      </c>
      <c r="B41911">
        <f>HYPERLINK("https://android.googlesource.com/platform/cts/+/9a6929cc1f3dd26e1cfcbc594bc9a9e8602b3c2e", "9a6929cc1f3dd26e1cfcbc594bc9a9e8602b3c2e")</f>
        <v>0</v>
      </c>
      <c r="C41911">
        <f>HYPERLINK("https://android.googlesource.com/platform/cts/+/2e24a4c03186a289c6ac4b5afc188c1f2e99237f", "2e24a4c03186a289c6ac4b5afc188c1f2e99237f")</f>
        <v>0</v>
      </c>
      <c r="D41911" t="s">
        <v>5470</v>
      </c>
      <c r="E41911" t="s">
        <v>9337</v>
      </c>
      <c r="F41911" t="s">
        <v>14394</v>
      </c>
      <c r="G41911" t="s">
        <v>17002</v>
      </c>
      <c r="H41911" t="s">
        <v>35776</v>
      </c>
    </row>
    <row r="41912" spans="1:8">
      <c r="H41912" t="s">
        <v>35777</v>
      </c>
    </row>
    <row r="41913" spans="1:8">
      <c r="H41913" t="s">
        <v>35778</v>
      </c>
    </row>
    <row r="41914" spans="1:8">
      <c r="H41914" t="s">
        <v>35779</v>
      </c>
    </row>
    <row r="41915" spans="1:8">
      <c r="H41915" t="s">
        <v>35780</v>
      </c>
    </row>
    <row r="41916" spans="1:8">
      <c r="H41916" t="s">
        <v>35780</v>
      </c>
    </row>
    <row r="41917" spans="1:8">
      <c r="H41917" t="s">
        <v>35781</v>
      </c>
    </row>
    <row r="41918" spans="1:8">
      <c r="H41918" t="s">
        <v>35781</v>
      </c>
    </row>
    <row r="41919" spans="1:8">
      <c r="H41919" t="s">
        <v>35782</v>
      </c>
    </row>
    <row r="41920" spans="1:8">
      <c r="H41920" t="s">
        <v>35783</v>
      </c>
    </row>
    <row r="41921" spans="1:8">
      <c r="H41921" t="s">
        <v>35784</v>
      </c>
    </row>
    <row r="41922" spans="1:8">
      <c r="H41922" t="s">
        <v>35785</v>
      </c>
    </row>
    <row r="41923" spans="1:8">
      <c r="H41923" t="s">
        <v>18829</v>
      </c>
    </row>
    <row r="41924" spans="1:8">
      <c r="H41924" t="s">
        <v>18863</v>
      </c>
    </row>
    <row r="41925" spans="1:8">
      <c r="H41925" t="s">
        <v>35786</v>
      </c>
    </row>
    <row r="41926" spans="1:8">
      <c r="H41926" t="s">
        <v>35787</v>
      </c>
    </row>
    <row r="41927" spans="1:8">
      <c r="H41927" t="s">
        <v>35788</v>
      </c>
    </row>
    <row r="41928" spans="1:8">
      <c r="A41928" t="s">
        <v>3644</v>
      </c>
      <c r="B41928">
        <f>HYPERLINK("https://android.googlesource.com/platform/cts/+/2b476735d744b485904994a26aa49e98a8fce80e", "2b476735d744b485904994a26aa49e98a8fce80e")</f>
        <v>0</v>
      </c>
      <c r="C41928">
        <f>HYPERLINK("https://android.googlesource.com/platform/cts/+/4082124096862b4d0fdd891f9aab2e9ee8e949b7", "4082124096862b4d0fdd891f9aab2e9ee8e949b7")</f>
        <v>0</v>
      </c>
      <c r="D41928" t="s">
        <v>5481</v>
      </c>
      <c r="E41928" t="s">
        <v>9338</v>
      </c>
      <c r="F41928" t="s">
        <v>14395</v>
      </c>
      <c r="G41928" t="s">
        <v>18334</v>
      </c>
      <c r="H41928" t="s">
        <v>18829</v>
      </c>
    </row>
    <row r="41929" spans="1:8">
      <c r="H41929" t="s">
        <v>18863</v>
      </c>
    </row>
    <row r="41930" spans="1:8">
      <c r="H41930" t="s">
        <v>35789</v>
      </c>
    </row>
    <row r="41931" spans="1:8">
      <c r="A41931" t="s">
        <v>3645</v>
      </c>
      <c r="B41931">
        <f>HYPERLINK("https://android.googlesource.com/platform/cts/+/4f6e1a29557fb11b8e81860266aa6233aeb0a730", "4f6e1a29557fb11b8e81860266aa6233aeb0a730")</f>
        <v>0</v>
      </c>
      <c r="C41931">
        <f>HYPERLINK("https://android.googlesource.com/platform/cts/+/9fc28c83dd068fae4229d06f62d3a50f58578881", "9fc28c83dd068fae4229d06f62d3a50f58578881")</f>
        <v>0</v>
      </c>
      <c r="D41931" t="s">
        <v>5357</v>
      </c>
      <c r="E41931" t="s">
        <v>9339</v>
      </c>
      <c r="F41931" t="s">
        <v>14396</v>
      </c>
      <c r="G41931" t="s">
        <v>18335</v>
      </c>
      <c r="H41931" t="s">
        <v>35790</v>
      </c>
    </row>
    <row r="41932" spans="1:8">
      <c r="H41932" t="s">
        <v>35791</v>
      </c>
    </row>
    <row r="41933" spans="1:8">
      <c r="H41933" t="s">
        <v>35792</v>
      </c>
    </row>
    <row r="41934" spans="1:8">
      <c r="H41934" t="s">
        <v>35793</v>
      </c>
    </row>
    <row r="41935" spans="1:8">
      <c r="H41935" t="s">
        <v>35794</v>
      </c>
    </row>
    <row r="41936" spans="1:8">
      <c r="H41936" t="s">
        <v>35795</v>
      </c>
    </row>
    <row r="41937" spans="1:8">
      <c r="H41937" t="s">
        <v>35796</v>
      </c>
    </row>
    <row r="41938" spans="1:8">
      <c r="H41938" t="s">
        <v>35797</v>
      </c>
    </row>
    <row r="41939" spans="1:8">
      <c r="H41939" t="s">
        <v>35798</v>
      </c>
    </row>
    <row r="41940" spans="1:8">
      <c r="H41940" t="s">
        <v>35799</v>
      </c>
    </row>
    <row r="41941" spans="1:8">
      <c r="F41941" t="s">
        <v>14397</v>
      </c>
      <c r="G41941" t="s">
        <v>18336</v>
      </c>
      <c r="H41941" t="s">
        <v>35800</v>
      </c>
    </row>
    <row r="41942" spans="1:8">
      <c r="H41942" t="s">
        <v>35801</v>
      </c>
    </row>
    <row r="41943" spans="1:8">
      <c r="H41943" t="s">
        <v>35802</v>
      </c>
    </row>
    <row r="41944" spans="1:8">
      <c r="H41944" t="s">
        <v>35803</v>
      </c>
    </row>
    <row r="41945" spans="1:8">
      <c r="A41945" t="s">
        <v>3646</v>
      </c>
      <c r="B41945">
        <f>HYPERLINK("https://android.googlesource.com/platform/cts/+/b548aac6081a6899e966d7a8d961f2a47147e244", "b548aac6081a6899e966d7a8d961f2a47147e244")</f>
        <v>0</v>
      </c>
      <c r="C41945">
        <f>HYPERLINK("https://android.googlesource.com/platform/cts/+/57fc44dcc189019aa2e7fa534087e8dcbc5e4b6f", "57fc44dcc189019aa2e7fa534087e8dcbc5e4b6f")</f>
        <v>0</v>
      </c>
      <c r="D41945" t="s">
        <v>5600</v>
      </c>
      <c r="E41945" t="s">
        <v>9340</v>
      </c>
      <c r="F41945" t="s">
        <v>14398</v>
      </c>
      <c r="G41945" t="s">
        <v>18337</v>
      </c>
      <c r="H41945" t="s">
        <v>35804</v>
      </c>
    </row>
    <row r="41946" spans="1:8">
      <c r="H41946" t="s">
        <v>35805</v>
      </c>
    </row>
    <row r="41947" spans="1:8">
      <c r="H41947" t="s">
        <v>35806</v>
      </c>
    </row>
    <row r="41948" spans="1:8">
      <c r="H41948" t="s">
        <v>35807</v>
      </c>
    </row>
    <row r="41949" spans="1:8">
      <c r="H41949" t="s">
        <v>35808</v>
      </c>
    </row>
    <row r="41950" spans="1:8">
      <c r="H41950" t="s">
        <v>35809</v>
      </c>
    </row>
    <row r="41951" spans="1:8">
      <c r="A41951" t="s">
        <v>3647</v>
      </c>
      <c r="B41951">
        <f>HYPERLINK("https://android.googlesource.com/platform/cts/+/a17420bd2bf72cbe35f95e190432bad039482cce", "a17420bd2bf72cbe35f95e190432bad039482cce")</f>
        <v>0</v>
      </c>
      <c r="C41951">
        <f>HYPERLINK("https://android.googlesource.com/platform/cts/+/e2fce9947573bd82c5486779c6fdaac5bfd41694", "e2fce9947573bd82c5486779c6fdaac5bfd41694")</f>
        <v>0</v>
      </c>
      <c r="D41951" t="s">
        <v>5290</v>
      </c>
      <c r="E41951" t="s">
        <v>9341</v>
      </c>
      <c r="F41951" t="s">
        <v>13136</v>
      </c>
      <c r="G41951" t="s">
        <v>17293</v>
      </c>
      <c r="H41951" t="s">
        <v>31218</v>
      </c>
    </row>
    <row r="41952" spans="1:8">
      <c r="A41952" t="s">
        <v>3649</v>
      </c>
      <c r="B41952">
        <f>HYPERLINK("https://android.googlesource.com/platform/cts/+/cc667a6e7c04a873fe9e93d2e7736f2dab9c5f51", "cc667a6e7c04a873fe9e93d2e7736f2dab9c5f51")</f>
        <v>0</v>
      </c>
      <c r="C41952">
        <f>HYPERLINK("https://android.googlesource.com/platform/cts/+/85a53b87aa9787f81e33a8d37ee973e259cd788e", "85a53b87aa9787f81e33a8d37ee973e259cd788e")</f>
        <v>0</v>
      </c>
      <c r="D41952" t="s">
        <v>5122</v>
      </c>
      <c r="E41952" t="s">
        <v>9343</v>
      </c>
      <c r="F41952" t="s">
        <v>14399</v>
      </c>
      <c r="G41952" t="s">
        <v>18042</v>
      </c>
      <c r="H41952" t="s">
        <v>35810</v>
      </c>
    </row>
    <row r="41953" spans="1:8">
      <c r="A41953" t="s">
        <v>3650</v>
      </c>
      <c r="B41953">
        <f>HYPERLINK("https://android.googlesource.com/platform/cts/+/700041392600676be14d21f1f8d6211795cf7ea2", "700041392600676be14d21f1f8d6211795cf7ea2")</f>
        <v>0</v>
      </c>
      <c r="C41953">
        <f>HYPERLINK("https://android.googlesource.com/platform/cts/+/1eeed57bd9d9716017397afd6cd690d41ca34d0a", "1eeed57bd9d9716017397afd6cd690d41ca34d0a")</f>
        <v>0</v>
      </c>
      <c r="D41953" t="s">
        <v>5601</v>
      </c>
      <c r="E41953" t="s">
        <v>9344</v>
      </c>
      <c r="F41953" t="s">
        <v>14400</v>
      </c>
      <c r="G41953" t="s">
        <v>18338</v>
      </c>
      <c r="H41953" t="s">
        <v>35811</v>
      </c>
    </row>
    <row r="41954" spans="1:8">
      <c r="A41954" t="s">
        <v>3651</v>
      </c>
      <c r="B41954">
        <f>HYPERLINK("https://android.googlesource.com/platform/cts/+/7c70195b2ff4cb36e4d5225eb923efc8c4f54383", "7c70195b2ff4cb36e4d5225eb923efc8c4f54383")</f>
        <v>0</v>
      </c>
      <c r="C41954">
        <f>HYPERLINK("https://android.googlesource.com/platform/cts/+/54fbb2308b789c8b75a9d3d7b10e2af12b5f9d09", "54fbb2308b789c8b75a9d3d7b10e2af12b5f9d09")</f>
        <v>0</v>
      </c>
      <c r="D41954" t="s">
        <v>5556</v>
      </c>
      <c r="E41954" t="s">
        <v>9345</v>
      </c>
      <c r="F41954" t="s">
        <v>14401</v>
      </c>
      <c r="G41954" t="s">
        <v>18339</v>
      </c>
      <c r="H41954" t="s">
        <v>18863</v>
      </c>
    </row>
    <row r="41955" spans="1:8">
      <c r="A41955" t="s">
        <v>3652</v>
      </c>
      <c r="B41955">
        <f>HYPERLINK("https://android.googlesource.com/platform/cts/+/4d223872913e38165da51f7c571696bdd5de79d3", "4d223872913e38165da51f7c571696bdd5de79d3")</f>
        <v>0</v>
      </c>
      <c r="C41955">
        <f>HYPERLINK("https://android.googlesource.com/platform/cts/+/08667c38ea97129cecec6c29a5e06f9555cfda72", "08667c38ea97129cecec6c29a5e06f9555cfda72")</f>
        <v>0</v>
      </c>
      <c r="D41955" t="s">
        <v>5562</v>
      </c>
      <c r="E41955" t="s">
        <v>9346</v>
      </c>
      <c r="F41955" t="s">
        <v>14402</v>
      </c>
      <c r="G41955" t="s">
        <v>18340</v>
      </c>
      <c r="H41955" t="s">
        <v>35812</v>
      </c>
    </row>
    <row r="41956" spans="1:8">
      <c r="A41956" t="s">
        <v>3653</v>
      </c>
      <c r="B41956">
        <f>HYPERLINK("https://android.googlesource.com/platform/cts/+/96b2c8b149bd7844f6aecc38062ffc84532ffc98", "96b2c8b149bd7844f6aecc38062ffc84532ffc98")</f>
        <v>0</v>
      </c>
      <c r="C41956">
        <f>HYPERLINK("https://android.googlesource.com/platform/cts/+/9bb281447a206f2744b7a5013ff2923b08879dd3", "9bb281447a206f2744b7a5013ff2923b08879dd3")</f>
        <v>0</v>
      </c>
      <c r="D41956" t="s">
        <v>5602</v>
      </c>
      <c r="E41956" t="s">
        <v>9347</v>
      </c>
      <c r="F41956" t="s">
        <v>12659</v>
      </c>
      <c r="G41956" t="s">
        <v>16864</v>
      </c>
      <c r="H41956" t="s">
        <v>26118</v>
      </c>
    </row>
    <row r="41957" spans="1:8">
      <c r="F41957" t="s">
        <v>12646</v>
      </c>
      <c r="G41957" t="s">
        <v>14989</v>
      </c>
      <c r="H41957" t="s">
        <v>26118</v>
      </c>
    </row>
    <row r="41958" spans="1:8">
      <c r="A41958" t="s">
        <v>3654</v>
      </c>
      <c r="B41958">
        <f>HYPERLINK("https://android.googlesource.com/platform/cts/+/05a3a55c88a6d7fa6f5ba201642ce35c9ccef964", "05a3a55c88a6d7fa6f5ba201642ce35c9ccef964")</f>
        <v>0</v>
      </c>
      <c r="C41958">
        <f>HYPERLINK("https://android.googlesource.com/platform/cts/+/dad3b9fde12c63d178280bf371cec2c023f8bcde", "dad3b9fde12c63d178280bf371cec2c023f8bcde")</f>
        <v>0</v>
      </c>
      <c r="D41958" t="s">
        <v>5277</v>
      </c>
      <c r="E41958" t="s">
        <v>9348</v>
      </c>
      <c r="F41958" t="s">
        <v>14300</v>
      </c>
      <c r="G41958" t="s">
        <v>18259</v>
      </c>
      <c r="H41958" t="s">
        <v>35813</v>
      </c>
    </row>
    <row r="41959" spans="1:8">
      <c r="H41959" t="s">
        <v>35814</v>
      </c>
    </row>
    <row r="41960" spans="1:8">
      <c r="A41960" t="s">
        <v>3655</v>
      </c>
      <c r="B41960">
        <f>HYPERLINK("https://android.googlesource.com/platform/cts/+/deb679b8f6c25eccf0ffcdcf19906cb108e526b0", "deb679b8f6c25eccf0ffcdcf19906cb108e526b0")</f>
        <v>0</v>
      </c>
      <c r="C41960">
        <f>HYPERLINK("https://android.googlesource.com/platform/cts/+/1ad342522f300c79503fe6c5e9f7be5e6e8a6ce8", "1ad342522f300c79503fe6c5e9f7be5e6e8a6ce8")</f>
        <v>0</v>
      </c>
      <c r="D41960" t="s">
        <v>5476</v>
      </c>
      <c r="E41960" t="s">
        <v>9349</v>
      </c>
      <c r="F41960" t="s">
        <v>14403</v>
      </c>
      <c r="G41960" t="s">
        <v>18341</v>
      </c>
      <c r="H41960" t="s">
        <v>35815</v>
      </c>
    </row>
    <row r="41961" spans="1:8">
      <c r="A41961" t="s">
        <v>3656</v>
      </c>
      <c r="B41961">
        <f>HYPERLINK("https://android.googlesource.com/platform/cts/+/66105c386ba0503ef3b6d6ef24b2e5420382d62d", "66105c386ba0503ef3b6d6ef24b2e5420382d62d")</f>
        <v>0</v>
      </c>
      <c r="C41961">
        <f>HYPERLINK("https://android.googlesource.com/platform/cts/+/bd4d419ab7ee040a7127faffb889d626a642c96c", "bd4d419ab7ee040a7127faffb889d626a642c96c")</f>
        <v>0</v>
      </c>
      <c r="D41961" t="s">
        <v>5172</v>
      </c>
      <c r="E41961" t="s">
        <v>9350</v>
      </c>
      <c r="F41961" t="s">
        <v>14404</v>
      </c>
      <c r="G41961" t="s">
        <v>18342</v>
      </c>
      <c r="H41961" t="s">
        <v>35816</v>
      </c>
    </row>
    <row r="41962" spans="1:8">
      <c r="A41962" t="s">
        <v>3657</v>
      </c>
      <c r="B41962">
        <f>HYPERLINK("https://android.googlesource.com/platform/cts/+/840728b25e4b5151a740d3ea022b9b5f5b974f29", "840728b25e4b5151a740d3ea022b9b5f5b974f29")</f>
        <v>0</v>
      </c>
      <c r="C41962">
        <f>HYPERLINK("https://android.googlesource.com/platform/cts/+/659cd92d3e2f52db91937af8bcec11f6256d21fb", "659cd92d3e2f52db91937af8bcec11f6256d21fb")</f>
        <v>0</v>
      </c>
      <c r="D41962" t="s">
        <v>5341</v>
      </c>
      <c r="E41962" t="s">
        <v>9351</v>
      </c>
      <c r="F41962" t="s">
        <v>13827</v>
      </c>
      <c r="G41962" t="s">
        <v>17871</v>
      </c>
      <c r="H41962" t="s">
        <v>35817</v>
      </c>
    </row>
    <row r="41963" spans="1:8">
      <c r="A41963" t="s">
        <v>3658</v>
      </c>
      <c r="B41963">
        <f>HYPERLINK("https://android.googlesource.com/platform/cts/+/7c6d5e5f21c3863f5b68715d297bee8d031edba0", "7c6d5e5f21c3863f5b68715d297bee8d031edba0")</f>
        <v>0</v>
      </c>
      <c r="C41963">
        <f>HYPERLINK("https://android.googlesource.com/platform/cts/+/45a4f985e46c5dfc7934b3d64a11ed0c31811b02", "45a4f985e46c5dfc7934b3d64a11ed0c31811b02")</f>
        <v>0</v>
      </c>
      <c r="D41963" t="s">
        <v>5134</v>
      </c>
      <c r="E41963" t="s">
        <v>9352</v>
      </c>
      <c r="F41963" t="s">
        <v>12428</v>
      </c>
      <c r="G41963" t="s">
        <v>16619</v>
      </c>
      <c r="H41963" t="s">
        <v>35818</v>
      </c>
    </row>
    <row r="41964" spans="1:8">
      <c r="F41964" t="s">
        <v>12629</v>
      </c>
      <c r="G41964" t="s">
        <v>16838</v>
      </c>
      <c r="H41964" t="s">
        <v>18829</v>
      </c>
    </row>
    <row r="41965" spans="1:8">
      <c r="H41965" t="s">
        <v>18863</v>
      </c>
    </row>
    <row r="41966" spans="1:8">
      <c r="H41966" t="s">
        <v>35819</v>
      </c>
    </row>
    <row r="41967" spans="1:8">
      <c r="F41967" t="s">
        <v>12746</v>
      </c>
      <c r="G41967" t="s">
        <v>16938</v>
      </c>
      <c r="H41967" t="s">
        <v>35820</v>
      </c>
    </row>
    <row r="41968" spans="1:8">
      <c r="A41968" t="s">
        <v>3659</v>
      </c>
      <c r="B41968">
        <f>HYPERLINK("https://android.googlesource.com/platform/cts/+/b9eadef62357268cb6ccbba6ddd50a7f461c0633", "b9eadef62357268cb6ccbba6ddd50a7f461c0633")</f>
        <v>0</v>
      </c>
      <c r="C41968">
        <f>HYPERLINK("https://android.googlesource.com/platform/cts/+/7c6d5e5f21c3863f5b68715d297bee8d031edba0", "7c6d5e5f21c3863f5b68715d297bee8d031edba0")</f>
        <v>0</v>
      </c>
      <c r="D41968" t="s">
        <v>5134</v>
      </c>
      <c r="E41968" t="s">
        <v>9353</v>
      </c>
      <c r="F41968" t="s">
        <v>14405</v>
      </c>
      <c r="G41968" t="s">
        <v>18343</v>
      </c>
      <c r="H41968" t="s">
        <v>18829</v>
      </c>
    </row>
    <row r="41969" spans="1:8">
      <c r="F41969" t="s">
        <v>12428</v>
      </c>
      <c r="G41969" t="s">
        <v>16619</v>
      </c>
      <c r="H41969" t="s">
        <v>35821</v>
      </c>
    </row>
    <row r="41970" spans="1:8">
      <c r="H41970" t="s">
        <v>33169</v>
      </c>
    </row>
    <row r="41971" spans="1:8">
      <c r="F41971" t="s">
        <v>14406</v>
      </c>
      <c r="G41971" t="s">
        <v>18344</v>
      </c>
      <c r="H41971" t="s">
        <v>35822</v>
      </c>
    </row>
    <row r="41972" spans="1:8">
      <c r="F41972" t="s">
        <v>14407</v>
      </c>
      <c r="G41972" t="s">
        <v>18345</v>
      </c>
      <c r="H41972" t="s">
        <v>18863</v>
      </c>
    </row>
    <row r="41973" spans="1:8">
      <c r="H41973" t="s">
        <v>35822</v>
      </c>
    </row>
    <row r="41974" spans="1:8">
      <c r="F41974" t="s">
        <v>12419</v>
      </c>
      <c r="G41974" t="s">
        <v>16641</v>
      </c>
      <c r="H41974" t="s">
        <v>35823</v>
      </c>
    </row>
    <row r="41975" spans="1:8">
      <c r="A41975" t="s">
        <v>3660</v>
      </c>
      <c r="B41975">
        <f>HYPERLINK("https://android.googlesource.com/platform/cts/+/1ca518c1ec75b8307126991ae2d253911b2be10c", "1ca518c1ec75b8307126991ae2d253911b2be10c")</f>
        <v>0</v>
      </c>
      <c r="C41975">
        <f>HYPERLINK("https://android.googlesource.com/platform/cts/+/be11279225d8e713d04a92fbb67f5ee6a579e8ae", "be11279225d8e713d04a92fbb67f5ee6a579e8ae")</f>
        <v>0</v>
      </c>
      <c r="D41975" t="s">
        <v>5153</v>
      </c>
      <c r="E41975" t="s">
        <v>9354</v>
      </c>
      <c r="F41975" t="s">
        <v>14408</v>
      </c>
      <c r="G41975" t="s">
        <v>18346</v>
      </c>
      <c r="H41975" t="s">
        <v>18829</v>
      </c>
    </row>
    <row r="41976" spans="1:8">
      <c r="H41976" t="s">
        <v>18863</v>
      </c>
    </row>
    <row r="41977" spans="1:8">
      <c r="H41977" t="s">
        <v>35824</v>
      </c>
    </row>
    <row r="41978" spans="1:8">
      <c r="H41978" t="s">
        <v>35825</v>
      </c>
    </row>
    <row r="41979" spans="1:8">
      <c r="H41979" t="s">
        <v>35826</v>
      </c>
    </row>
    <row r="41980" spans="1:8">
      <c r="H41980" t="s">
        <v>35827</v>
      </c>
    </row>
    <row r="41981" spans="1:8">
      <c r="H41981" t="s">
        <v>35828</v>
      </c>
    </row>
    <row r="41982" spans="1:8">
      <c r="H41982" t="s">
        <v>35829</v>
      </c>
    </row>
    <row r="41983" spans="1:8">
      <c r="F41983" t="s">
        <v>14409</v>
      </c>
      <c r="G41983" t="s">
        <v>18347</v>
      </c>
      <c r="H41983" t="s">
        <v>35824</v>
      </c>
    </row>
    <row r="41984" spans="1:8">
      <c r="H41984" t="s">
        <v>35825</v>
      </c>
    </row>
    <row r="41985" spans="1:8">
      <c r="H41985" t="s">
        <v>35826</v>
      </c>
    </row>
    <row r="41986" spans="1:8">
      <c r="H41986" t="s">
        <v>35830</v>
      </c>
    </row>
    <row r="41987" spans="1:8">
      <c r="H41987" t="s">
        <v>35827</v>
      </c>
    </row>
    <row r="41988" spans="1:8">
      <c r="H41988" t="s">
        <v>35828</v>
      </c>
    </row>
    <row r="41989" spans="1:8">
      <c r="H41989" t="s">
        <v>35829</v>
      </c>
    </row>
    <row r="41990" spans="1:8">
      <c r="A41990" t="s">
        <v>3661</v>
      </c>
      <c r="B41990">
        <f>HYPERLINK("https://android.googlesource.com/platform/cts/+/97bbf7b6d74aff307295c8c123d9d2ba680855aa", "97bbf7b6d74aff307295c8c123d9d2ba680855aa")</f>
        <v>0</v>
      </c>
      <c r="C41990">
        <f>HYPERLINK("https://android.googlesource.com/platform/cts/+/d0d06d44858609655636674d7521b63a5e8b4d29", "d0d06d44858609655636674d7521b63a5e8b4d29")</f>
        <v>0</v>
      </c>
      <c r="D41990" t="s">
        <v>5134</v>
      </c>
      <c r="E41990" t="s">
        <v>9355</v>
      </c>
      <c r="F41990" t="s">
        <v>12428</v>
      </c>
      <c r="G41990" t="s">
        <v>16619</v>
      </c>
      <c r="H41990" t="s">
        <v>35822</v>
      </c>
    </row>
    <row r="41991" spans="1:8">
      <c r="H41991" t="s">
        <v>35831</v>
      </c>
    </row>
    <row r="41992" spans="1:8">
      <c r="H41992" t="s">
        <v>35832</v>
      </c>
    </row>
    <row r="41993" spans="1:8">
      <c r="H41993" t="s">
        <v>35833</v>
      </c>
    </row>
    <row r="41994" spans="1:8">
      <c r="F41994" t="s">
        <v>14410</v>
      </c>
      <c r="G41994" t="s">
        <v>18348</v>
      </c>
      <c r="H41994" t="s">
        <v>18829</v>
      </c>
    </row>
    <row r="41995" spans="1:8">
      <c r="F41995" t="s">
        <v>12746</v>
      </c>
      <c r="G41995" t="s">
        <v>16938</v>
      </c>
      <c r="H41995" t="s">
        <v>18829</v>
      </c>
    </row>
    <row r="41996" spans="1:8">
      <c r="A41996" t="s">
        <v>3663</v>
      </c>
      <c r="B41996">
        <f>HYPERLINK("https://android.googlesource.com/platform/cts/+/c752d30b1b5ce680986f79ee5e3da80875bd0aaa", "c752d30b1b5ce680986f79ee5e3da80875bd0aaa")</f>
        <v>0</v>
      </c>
      <c r="C41996">
        <f>HYPERLINK("https://android.googlesource.com/platform/cts/+/7a4c4215fdc12ce3ee551dcc7c1d6356832aa8d2", "7a4c4215fdc12ce3ee551dcc7c1d6356832aa8d2")</f>
        <v>0</v>
      </c>
      <c r="D41996" t="s">
        <v>5454</v>
      </c>
      <c r="E41996" t="s">
        <v>9357</v>
      </c>
      <c r="F41996" t="s">
        <v>14261</v>
      </c>
      <c r="G41996" t="s">
        <v>18228</v>
      </c>
      <c r="H41996" t="s">
        <v>35834</v>
      </c>
    </row>
    <row r="41997" spans="1:8">
      <c r="A41997" t="s">
        <v>3664</v>
      </c>
      <c r="B41997">
        <f>HYPERLINK("https://android.googlesource.com/platform/cts/+/0771bbacb4333a6ffab8945864f81cc843edd75f", "0771bbacb4333a6ffab8945864f81cc843edd75f")</f>
        <v>0</v>
      </c>
      <c r="C41997">
        <f>HYPERLINK("https://android.googlesource.com/platform/cts/+/900c61ee2a2070e004a127a2284c4b9b9140db5a", "900c61ee2a2070e004a127a2284c4b9b9140db5a")</f>
        <v>0</v>
      </c>
      <c r="D41997" t="s">
        <v>5589</v>
      </c>
      <c r="E41997" t="s">
        <v>9358</v>
      </c>
      <c r="F41997" t="s">
        <v>14411</v>
      </c>
      <c r="G41997" t="s">
        <v>18349</v>
      </c>
      <c r="H41997" t="s">
        <v>35835</v>
      </c>
    </row>
    <row r="41998" spans="1:8">
      <c r="F41998" t="s">
        <v>14412</v>
      </c>
      <c r="G41998" t="s">
        <v>18350</v>
      </c>
      <c r="H41998" t="s">
        <v>35835</v>
      </c>
    </row>
    <row r="41999" spans="1:8">
      <c r="A41999" t="s">
        <v>3666</v>
      </c>
      <c r="B41999">
        <f>HYPERLINK("https://android.googlesource.com/platform/cts/+/00a2a679bb6c1bb425295ee68f88cfa74e664cba", "00a2a679bb6c1bb425295ee68f88cfa74e664cba")</f>
        <v>0</v>
      </c>
      <c r="C41999">
        <f>HYPERLINK("https://android.googlesource.com/platform/cts/+/e9d1e5ec15a4498e236d8ed555bf2a58c0b94e96", "e9d1e5ec15a4498e236d8ed555bf2a58c0b94e96")</f>
        <v>0</v>
      </c>
      <c r="D41999" t="s">
        <v>5467</v>
      </c>
      <c r="E41999" t="s">
        <v>9360</v>
      </c>
      <c r="F41999" t="s">
        <v>14413</v>
      </c>
      <c r="G41999" t="s">
        <v>18351</v>
      </c>
      <c r="H41999" t="s">
        <v>35836</v>
      </c>
    </row>
    <row r="42000" spans="1:8">
      <c r="A42000" t="s">
        <v>3667</v>
      </c>
      <c r="B42000">
        <f>HYPERLINK("https://android.googlesource.com/platform/cts/+/f08e6810e0fdf23d9789ad1487a3e1c3c4e21b89", "f08e6810e0fdf23d9789ad1487a3e1c3c4e21b89")</f>
        <v>0</v>
      </c>
      <c r="C42000">
        <f>HYPERLINK("https://android.googlesource.com/platform/cts/+/c7dbadf96d7e16180b7275146c9ad86e2700fd47", "c7dbadf96d7e16180b7275146c9ad86e2700fd47")</f>
        <v>0</v>
      </c>
      <c r="D42000" t="s">
        <v>5569</v>
      </c>
      <c r="E42000" t="s">
        <v>9361</v>
      </c>
      <c r="F42000" t="s">
        <v>14414</v>
      </c>
      <c r="G42000" t="s">
        <v>18352</v>
      </c>
      <c r="H42000" t="s">
        <v>35837</v>
      </c>
    </row>
    <row r="42001" spans="1:8">
      <c r="H42001" t="s">
        <v>18896</v>
      </c>
    </row>
    <row r="42002" spans="1:8">
      <c r="A42002" t="s">
        <v>3668</v>
      </c>
      <c r="B42002">
        <f>HYPERLINK("https://android.googlesource.com/platform/cts/+/fa59f3619cb53ca6dc028257425bf9fd732b80c5", "fa59f3619cb53ca6dc028257425bf9fd732b80c5")</f>
        <v>0</v>
      </c>
      <c r="C42002">
        <f>HYPERLINK("https://android.googlesource.com/platform/cts/+/fa136b4e17b354e7a5467c86ccdaeb91b9692b5b", "fa136b4e17b354e7a5467c86ccdaeb91b9692b5b")</f>
        <v>0</v>
      </c>
      <c r="D42002" t="s">
        <v>5603</v>
      </c>
      <c r="E42002" t="s">
        <v>9362</v>
      </c>
      <c r="F42002" t="s">
        <v>13812</v>
      </c>
      <c r="G42002" t="s">
        <v>17859</v>
      </c>
      <c r="H42002" t="s">
        <v>35838</v>
      </c>
    </row>
    <row r="42003" spans="1:8">
      <c r="A42003" t="s">
        <v>3670</v>
      </c>
      <c r="B42003">
        <f>HYPERLINK("https://android.googlesource.com/platform/cts/+/e61862fbf2ee482f7c6bf12c796e242f7292a544", "e61862fbf2ee482f7c6bf12c796e242f7292a544")</f>
        <v>0</v>
      </c>
      <c r="C42003">
        <f>HYPERLINK("https://android.googlesource.com/platform/cts/+/80add1aab6c2040bf283aa30d723bef3b90e7b17", "80add1aab6c2040bf283aa30d723bef3b90e7b17")</f>
        <v>0</v>
      </c>
      <c r="D42003" t="s">
        <v>5409</v>
      </c>
      <c r="E42003" t="s">
        <v>9364</v>
      </c>
      <c r="F42003" t="s">
        <v>14415</v>
      </c>
      <c r="G42003" t="s">
        <v>18353</v>
      </c>
      <c r="H42003" t="s">
        <v>35839</v>
      </c>
    </row>
    <row r="42004" spans="1:8">
      <c r="H42004" t="s">
        <v>35840</v>
      </c>
    </row>
    <row r="42005" spans="1:8">
      <c r="A42005" t="s">
        <v>3671</v>
      </c>
      <c r="B42005">
        <f>HYPERLINK("https://android.googlesource.com/platform/cts/+/b11ebfe78026accc1c92608cd2d3a28adb164654", "b11ebfe78026accc1c92608cd2d3a28adb164654")</f>
        <v>0</v>
      </c>
      <c r="C42005">
        <f>HYPERLINK("https://android.googlesource.com/platform/cts/+/63ce6e9ce701a1e7df3f43e2627bb624a437bd99", "63ce6e9ce701a1e7df3f43e2627bb624a437bd99")</f>
        <v>0</v>
      </c>
      <c r="D42005" t="s">
        <v>5478</v>
      </c>
      <c r="E42005" t="s">
        <v>9365</v>
      </c>
      <c r="F42005" t="s">
        <v>14353</v>
      </c>
      <c r="G42005" t="s">
        <v>18303</v>
      </c>
      <c r="H42005" t="s">
        <v>35841</v>
      </c>
    </row>
    <row r="42006" spans="1:8">
      <c r="H42006" t="s">
        <v>35842</v>
      </c>
    </row>
    <row r="42007" spans="1:8">
      <c r="H42007" t="s">
        <v>35843</v>
      </c>
    </row>
    <row r="42008" spans="1:8">
      <c r="F42008" t="s">
        <v>14354</v>
      </c>
      <c r="G42008" t="s">
        <v>18304</v>
      </c>
      <c r="H42008" t="s">
        <v>35842</v>
      </c>
    </row>
    <row r="42009" spans="1:8">
      <c r="H42009" t="s">
        <v>35844</v>
      </c>
    </row>
    <row r="42010" spans="1:8">
      <c r="H42010" t="s">
        <v>35845</v>
      </c>
    </row>
    <row r="42011" spans="1:8">
      <c r="H42011" t="s">
        <v>35843</v>
      </c>
    </row>
    <row r="42012" spans="1:8">
      <c r="A42012" t="s">
        <v>3672</v>
      </c>
      <c r="B42012">
        <f>HYPERLINK("https://android.googlesource.com/platform/cts/+/7a6ca152350aeec9089d44c1caa1296116f81df9", "7a6ca152350aeec9089d44c1caa1296116f81df9")</f>
        <v>0</v>
      </c>
      <c r="C42012">
        <f>HYPERLINK("https://android.googlesource.com/platform/cts/+/9183dd5673a6904d4f5fcb1792176799053f37d1", "9183dd5673a6904d4f5fcb1792176799053f37d1")</f>
        <v>0</v>
      </c>
      <c r="D42012" t="s">
        <v>5134</v>
      </c>
      <c r="E42012" t="s">
        <v>9366</v>
      </c>
      <c r="F42012" t="s">
        <v>14416</v>
      </c>
      <c r="G42012" t="s">
        <v>18354</v>
      </c>
      <c r="H42012" t="s">
        <v>35846</v>
      </c>
    </row>
    <row r="42013" spans="1:8">
      <c r="A42013" t="s">
        <v>3673</v>
      </c>
      <c r="B42013">
        <f>HYPERLINK("https://android.googlesource.com/platform/cts/+/1682aedd2fb21c28f1b6a1fb1b78d0627e6c5214", "1682aedd2fb21c28f1b6a1fb1b78d0627e6c5214")</f>
        <v>0</v>
      </c>
      <c r="C42013">
        <f>HYPERLINK("https://android.googlesource.com/platform/cts/+/b9a20510542359c8f2c1228b931742f0e51ecf6e", "b9a20510542359c8f2c1228b931742f0e51ecf6e")</f>
        <v>0</v>
      </c>
      <c r="D42013" t="s">
        <v>5604</v>
      </c>
      <c r="E42013" t="s">
        <v>9367</v>
      </c>
      <c r="F42013" t="s">
        <v>12931</v>
      </c>
      <c r="G42013" t="s">
        <v>17096</v>
      </c>
      <c r="H42013" t="s">
        <v>35847</v>
      </c>
    </row>
    <row r="42014" spans="1:8">
      <c r="H42014" t="s">
        <v>35848</v>
      </c>
    </row>
    <row r="42015" spans="1:8">
      <c r="A42015" t="s">
        <v>3676</v>
      </c>
      <c r="B42015">
        <f>HYPERLINK("https://android.googlesource.com/platform/cts/+/d581e577fe3d8145daf53fdd83b2e8e603849f70", "d581e577fe3d8145daf53fdd83b2e8e603849f70")</f>
        <v>0</v>
      </c>
      <c r="C42015">
        <f>HYPERLINK("https://android.googlesource.com/platform/cts/+/588107d402d2966ab58bb3695609c2ce7d4b2ab8", "588107d402d2966ab58bb3695609c2ce7d4b2ab8")</f>
        <v>0</v>
      </c>
      <c r="D42015" t="s">
        <v>5122</v>
      </c>
      <c r="E42015" t="s">
        <v>9369</v>
      </c>
      <c r="F42015" t="s">
        <v>14417</v>
      </c>
      <c r="G42015" t="s">
        <v>18355</v>
      </c>
      <c r="H42015" t="s">
        <v>35849</v>
      </c>
    </row>
    <row r="42016" spans="1:8">
      <c r="A42016" t="s">
        <v>3678</v>
      </c>
      <c r="B42016">
        <f>HYPERLINK("https://android.googlesource.com/platform/cts/+/caab6840b29fbb8eb58733b0cca2222a5c173419", "caab6840b29fbb8eb58733b0cca2222a5c173419")</f>
        <v>0</v>
      </c>
      <c r="C42016">
        <f>HYPERLINK("https://android.googlesource.com/platform/cts/+/0cf5d9aadb22ee2e77a801efac8fe34a61f92782", "0cf5d9aadb22ee2e77a801efac8fe34a61f92782")</f>
        <v>0</v>
      </c>
      <c r="D42016" t="s">
        <v>5298</v>
      </c>
      <c r="E42016" t="s">
        <v>9371</v>
      </c>
      <c r="F42016" t="s">
        <v>14342</v>
      </c>
      <c r="G42016" t="s">
        <v>18294</v>
      </c>
      <c r="H42016" t="s">
        <v>35850</v>
      </c>
    </row>
    <row r="42017" spans="1:8">
      <c r="A42017" t="s">
        <v>3679</v>
      </c>
      <c r="B42017">
        <f>HYPERLINK("https://android.googlesource.com/platform/cts/+/1c294a3235a9599c66070dd5d5edac445f5c3cfa", "1c294a3235a9599c66070dd5d5edac445f5c3cfa")</f>
        <v>0</v>
      </c>
      <c r="C42017">
        <f>HYPERLINK("https://android.googlesource.com/platform/cts/+/2f2414e92f9a2b3618dca223caff3adea1ab1e7b", "2f2414e92f9a2b3618dca223caff3adea1ab1e7b")</f>
        <v>0</v>
      </c>
      <c r="D42017" t="s">
        <v>5383</v>
      </c>
      <c r="E42017" t="s">
        <v>9372</v>
      </c>
      <c r="F42017" t="s">
        <v>13800</v>
      </c>
      <c r="G42017" t="s">
        <v>17851</v>
      </c>
      <c r="H42017" t="s">
        <v>35851</v>
      </c>
    </row>
    <row r="42018" spans="1:8">
      <c r="A42018" t="s">
        <v>3681</v>
      </c>
      <c r="B42018">
        <f>HYPERLINK("https://android.googlesource.com/platform/cts/+/9c45f4205f7275431f35df51dbf72fee53c5c43f", "9c45f4205f7275431f35df51dbf72fee53c5c43f")</f>
        <v>0</v>
      </c>
      <c r="C42018">
        <f>HYPERLINK("https://android.googlesource.com/platform/cts/+/8954e8567aaa8a7b2fb2ef2d3fe6b0dfdcc1d72b", "8954e8567aaa8a7b2fb2ef2d3fe6b0dfdcc1d72b")</f>
        <v>0</v>
      </c>
      <c r="D42018" t="s">
        <v>5409</v>
      </c>
      <c r="E42018" t="s">
        <v>9374</v>
      </c>
      <c r="F42018" t="s">
        <v>14418</v>
      </c>
      <c r="G42018" t="s">
        <v>18356</v>
      </c>
      <c r="H42018" t="s">
        <v>35852</v>
      </c>
    </row>
    <row r="42019" spans="1:8">
      <c r="H42019" t="s">
        <v>35853</v>
      </c>
    </row>
    <row r="42020" spans="1:8">
      <c r="H42020" t="s">
        <v>35854</v>
      </c>
    </row>
    <row r="42021" spans="1:8">
      <c r="H42021" t="s">
        <v>35855</v>
      </c>
    </row>
    <row r="42022" spans="1:8">
      <c r="F42022" t="s">
        <v>14419</v>
      </c>
      <c r="G42022" t="s">
        <v>18357</v>
      </c>
      <c r="H42022" t="s">
        <v>35856</v>
      </c>
    </row>
    <row r="42023" spans="1:8">
      <c r="H42023" t="s">
        <v>35857</v>
      </c>
    </row>
    <row r="42024" spans="1:8">
      <c r="H42024" t="s">
        <v>35858</v>
      </c>
    </row>
    <row r="42025" spans="1:8">
      <c r="H42025" t="s">
        <v>35859</v>
      </c>
    </row>
    <row r="42026" spans="1:8">
      <c r="H42026" t="s">
        <v>35860</v>
      </c>
    </row>
    <row r="42027" spans="1:8">
      <c r="H42027" t="s">
        <v>35861</v>
      </c>
    </row>
    <row r="42028" spans="1:8">
      <c r="H42028" t="s">
        <v>35862</v>
      </c>
    </row>
    <row r="42029" spans="1:8">
      <c r="A42029" t="s">
        <v>3682</v>
      </c>
      <c r="B42029">
        <f>HYPERLINK("https://android.googlesource.com/platform/cts/+/cf33928a7582908148e181754898d29a344177f0", "cf33928a7582908148e181754898d29a344177f0")</f>
        <v>0</v>
      </c>
      <c r="C42029">
        <f>HYPERLINK("https://android.googlesource.com/platform/cts/+/764aafbc1307c22dc77a60f11d12a6ac1cf148d4", "764aafbc1307c22dc77a60f11d12a6ac1cf148d4")</f>
        <v>0</v>
      </c>
      <c r="D42029" t="s">
        <v>5263</v>
      </c>
      <c r="E42029" t="s">
        <v>9375</v>
      </c>
      <c r="F42029" t="s">
        <v>14420</v>
      </c>
      <c r="G42029" t="s">
        <v>18358</v>
      </c>
      <c r="H42029" t="s">
        <v>35863</v>
      </c>
    </row>
    <row r="42030" spans="1:8">
      <c r="A42030" t="s">
        <v>3683</v>
      </c>
      <c r="B42030">
        <f>HYPERLINK("https://android.googlesource.com/platform/cts/+/24bcccc230dabfbaca82843ad91b887dad0a0a2e", "24bcccc230dabfbaca82843ad91b887dad0a0a2e")</f>
        <v>0</v>
      </c>
      <c r="C42030">
        <f>HYPERLINK("https://android.googlesource.com/platform/cts/+/7b3a54d3e7e54dcea549d309adebf67dc9ac4e7a", "7b3a54d3e7e54dcea549d309adebf67dc9ac4e7a")</f>
        <v>0</v>
      </c>
      <c r="D42030" t="s">
        <v>5605</v>
      </c>
      <c r="E42030" t="s">
        <v>9376</v>
      </c>
      <c r="F42030" t="s">
        <v>14165</v>
      </c>
      <c r="G42030" t="s">
        <v>17361</v>
      </c>
      <c r="H42030" t="s">
        <v>35864</v>
      </c>
    </row>
    <row r="42031" spans="1:8">
      <c r="A42031" t="s">
        <v>3684</v>
      </c>
      <c r="B42031">
        <f>HYPERLINK("https://android.googlesource.com/platform/cts/+/65d7e393944ad7754cb76b8cfff1148528094ad5", "65d7e393944ad7754cb76b8cfff1148528094ad5")</f>
        <v>0</v>
      </c>
      <c r="C42031">
        <f>HYPERLINK("https://android.googlesource.com/platform/cts/+/ff4749840999f59b24a3729f45d03f34f636d808", "ff4749840999f59b24a3729f45d03f34f636d808")</f>
        <v>0</v>
      </c>
      <c r="D42031" t="s">
        <v>5160</v>
      </c>
      <c r="E42031" t="s">
        <v>9377</v>
      </c>
      <c r="F42031" t="s">
        <v>14421</v>
      </c>
      <c r="G42031" t="s">
        <v>18359</v>
      </c>
      <c r="H42031" t="s">
        <v>35865</v>
      </c>
    </row>
    <row r="42032" spans="1:8">
      <c r="A42032" t="s">
        <v>3685</v>
      </c>
      <c r="B42032">
        <f>HYPERLINK("https://android.googlesource.com/platform/cts/+/597179087b65dbd5f4322a827d61ca370179580d", "597179087b65dbd5f4322a827d61ca370179580d")</f>
        <v>0</v>
      </c>
      <c r="C42032">
        <f>HYPERLINK("https://android.googlesource.com/platform/cts/+/cb6e391ab342f639e1b711ee4aa1c2957239feb7", "cb6e391ab342f639e1b711ee4aa1c2957239feb7")</f>
        <v>0</v>
      </c>
      <c r="D42032" t="s">
        <v>5606</v>
      </c>
      <c r="E42032" t="s">
        <v>9378</v>
      </c>
      <c r="F42032" t="s">
        <v>14422</v>
      </c>
      <c r="G42032" t="s">
        <v>18360</v>
      </c>
      <c r="H42032" t="s">
        <v>35866</v>
      </c>
    </row>
    <row r="42033" spans="1:8">
      <c r="F42033" t="s">
        <v>13858</v>
      </c>
      <c r="G42033" t="s">
        <v>17900</v>
      </c>
      <c r="H42033" t="s">
        <v>35867</v>
      </c>
    </row>
    <row r="42034" spans="1:8">
      <c r="A42034" t="s">
        <v>3687</v>
      </c>
      <c r="B42034">
        <f>HYPERLINK("https://android.googlesource.com/platform/cts/+/109b7ea3a8556f30eb060af8fd366f31c10e323e", "109b7ea3a8556f30eb060af8fd366f31c10e323e")</f>
        <v>0</v>
      </c>
      <c r="C42034">
        <f>HYPERLINK("https://android.googlesource.com/platform/cts/+/4842a395a29440ea5092eb675cee9e7ec7270506", "4842a395a29440ea5092eb675cee9e7ec7270506")</f>
        <v>0</v>
      </c>
      <c r="D42034" t="s">
        <v>5556</v>
      </c>
      <c r="E42034" t="s">
        <v>9380</v>
      </c>
      <c r="F42034" t="s">
        <v>14423</v>
      </c>
      <c r="G42034" t="s">
        <v>18361</v>
      </c>
      <c r="H42034" t="s">
        <v>18829</v>
      </c>
    </row>
    <row r="42035" spans="1:8">
      <c r="H42035" t="s">
        <v>18863</v>
      </c>
    </row>
    <row r="42036" spans="1:8">
      <c r="H42036" t="s">
        <v>35868</v>
      </c>
    </row>
    <row r="42037" spans="1:8">
      <c r="H42037" t="s">
        <v>35869</v>
      </c>
    </row>
    <row r="42038" spans="1:8">
      <c r="H42038" t="s">
        <v>35870</v>
      </c>
    </row>
    <row r="42039" spans="1:8">
      <c r="H42039" t="s">
        <v>35871</v>
      </c>
    </row>
    <row r="42040" spans="1:8">
      <c r="H42040" t="s">
        <v>35872</v>
      </c>
    </row>
    <row r="42041" spans="1:8">
      <c r="H42041" t="s">
        <v>35873</v>
      </c>
    </row>
    <row r="42042" spans="1:8">
      <c r="H42042" t="s">
        <v>35874</v>
      </c>
    </row>
    <row r="42043" spans="1:8">
      <c r="H42043" t="s">
        <v>35875</v>
      </c>
    </row>
    <row r="42044" spans="1:8">
      <c r="H42044" t="s">
        <v>35876</v>
      </c>
    </row>
    <row r="42045" spans="1:8">
      <c r="F42045" t="s">
        <v>14401</v>
      </c>
      <c r="G42045" t="s">
        <v>18339</v>
      </c>
      <c r="H42045" t="s">
        <v>18829</v>
      </c>
    </row>
    <row r="42046" spans="1:8">
      <c r="H42046" t="s">
        <v>18929</v>
      </c>
    </row>
    <row r="42047" spans="1:8">
      <c r="H42047" t="s">
        <v>18929</v>
      </c>
    </row>
    <row r="42048" spans="1:8">
      <c r="H42048" t="s">
        <v>35868</v>
      </c>
    </row>
    <row r="42049" spans="1:8">
      <c r="A42049" t="s">
        <v>3688</v>
      </c>
      <c r="B42049">
        <f>HYPERLINK("https://android.googlesource.com/platform/cts/+/d8742b9dfbb0aa7b38ba99cf2ed8ab50c41b3ed0", "d8742b9dfbb0aa7b38ba99cf2ed8ab50c41b3ed0")</f>
        <v>0</v>
      </c>
      <c r="C42049">
        <f>HYPERLINK("https://android.googlesource.com/platform/cts/+/902393b2a29573e16bdc6dc70741cbeff5a851dc", "902393b2a29573e16bdc6dc70741cbeff5a851dc")</f>
        <v>0</v>
      </c>
      <c r="D42049" t="s">
        <v>5454</v>
      </c>
      <c r="E42049" t="s">
        <v>9381</v>
      </c>
      <c r="F42049" t="s">
        <v>14261</v>
      </c>
      <c r="G42049" t="s">
        <v>18228</v>
      </c>
      <c r="H42049" t="s">
        <v>34468</v>
      </c>
    </row>
    <row r="42050" spans="1:8">
      <c r="H42050" t="s">
        <v>34469</v>
      </c>
    </row>
    <row r="42051" spans="1:8">
      <c r="H42051" t="s">
        <v>19791</v>
      </c>
    </row>
    <row r="42052" spans="1:8">
      <c r="A42052" t="s">
        <v>3689</v>
      </c>
      <c r="B42052">
        <f>HYPERLINK("https://android.googlesource.com/platform/cts/+/52523ea6f997e2e17c103f5a58a04c32903c5444", "52523ea6f997e2e17c103f5a58a04c32903c5444")</f>
        <v>0</v>
      </c>
      <c r="C42052">
        <f>HYPERLINK("https://android.googlesource.com/platform/cts/+/80e640446b498be1ab931f11b8e7b45621af3e05", "80e640446b498be1ab931f11b8e7b45621af3e05")</f>
        <v>0</v>
      </c>
      <c r="D42052" t="s">
        <v>5426</v>
      </c>
      <c r="E42052" t="s">
        <v>9382</v>
      </c>
      <c r="F42052" t="s">
        <v>14424</v>
      </c>
      <c r="G42052" t="s">
        <v>18362</v>
      </c>
      <c r="H42052" t="s">
        <v>35877</v>
      </c>
    </row>
    <row r="42053" spans="1:8">
      <c r="H42053" t="s">
        <v>35878</v>
      </c>
    </row>
    <row r="42054" spans="1:8">
      <c r="A42054" t="s">
        <v>3690</v>
      </c>
      <c r="B42054">
        <f>HYPERLINK("https://android.googlesource.com/platform/cts/+/8ac626d8c1bfe72bae4a2118f98287576768ef07", "8ac626d8c1bfe72bae4a2118f98287576768ef07")</f>
        <v>0</v>
      </c>
      <c r="C42054">
        <f>HYPERLINK("https://android.googlesource.com/platform/cts/+/254ce309f042650ee33d952d1c2fa6b30b879f92", "254ce309f042650ee33d952d1c2fa6b30b879f92")</f>
        <v>0</v>
      </c>
      <c r="D42054" t="s">
        <v>5591</v>
      </c>
      <c r="E42054" t="s">
        <v>9383</v>
      </c>
      <c r="F42054" t="s">
        <v>10794</v>
      </c>
      <c r="G42054" t="s">
        <v>15189</v>
      </c>
      <c r="H42054" t="s">
        <v>35879</v>
      </c>
    </row>
    <row r="42055" spans="1:8">
      <c r="A42055" t="s">
        <v>3691</v>
      </c>
      <c r="B42055">
        <f>HYPERLINK("https://android.googlesource.com/platform/cts/+/119b728e53bdda3042b9285cb9b9d2928221d68a", "119b728e53bdda3042b9285cb9b9d2928221d68a")</f>
        <v>0</v>
      </c>
      <c r="C42055">
        <f>HYPERLINK("https://android.googlesource.com/platform/cts/+/f6a2fb718b0b1e6ca3e6df81eb8b44d4beeee1a2", "f6a2fb718b0b1e6ca3e6df81eb8b44d4beeee1a2")</f>
        <v>0</v>
      </c>
      <c r="D42055" t="s">
        <v>5607</v>
      </c>
      <c r="E42055" t="s">
        <v>9384</v>
      </c>
      <c r="F42055" t="s">
        <v>13087</v>
      </c>
      <c r="G42055" t="s">
        <v>17249</v>
      </c>
      <c r="H42055" t="s">
        <v>35880</v>
      </c>
    </row>
    <row r="42056" spans="1:8">
      <c r="A42056" t="s">
        <v>3693</v>
      </c>
      <c r="B42056">
        <f>HYPERLINK("https://android.googlesource.com/platform/cts/+/e591a3a7fab090e387741a7a6a898d79a784adf0", "e591a3a7fab090e387741a7a6a898d79a784adf0")</f>
        <v>0</v>
      </c>
      <c r="C42056">
        <f>HYPERLINK("https://android.googlesource.com/platform/cts/+/66fcbbde6611cdac546e8128674526f4f1fad5ef", "66fcbbde6611cdac546e8128674526f4f1fad5ef")</f>
        <v>0</v>
      </c>
      <c r="D42056" t="s">
        <v>5608</v>
      </c>
      <c r="E42056" t="s">
        <v>9386</v>
      </c>
      <c r="F42056" t="s">
        <v>12787</v>
      </c>
      <c r="G42056" t="s">
        <v>16971</v>
      </c>
      <c r="H42056" t="s">
        <v>35881</v>
      </c>
    </row>
    <row r="42057" spans="1:8">
      <c r="A42057" t="s">
        <v>3696</v>
      </c>
      <c r="B42057">
        <f>HYPERLINK("https://android.googlesource.com/platform/cts/+/924b35c42d8ef5afbdde2b2d4976bd53b17637c9", "924b35c42d8ef5afbdde2b2d4976bd53b17637c9")</f>
        <v>0</v>
      </c>
      <c r="C42057">
        <f>HYPERLINK("https://android.googlesource.com/platform/cts/+/0c88e430f1a7f311eb81793342f91ae429bf3929", "0c88e430f1a7f311eb81793342f91ae429bf3929")</f>
        <v>0</v>
      </c>
      <c r="D42057" t="s">
        <v>5463</v>
      </c>
      <c r="E42057" t="s">
        <v>9389</v>
      </c>
      <c r="F42057" t="s">
        <v>13333</v>
      </c>
      <c r="G42057" t="s">
        <v>17463</v>
      </c>
      <c r="H42057" t="s">
        <v>35882</v>
      </c>
    </row>
    <row r="42058" spans="1:8">
      <c r="A42058" t="s">
        <v>3697</v>
      </c>
      <c r="B42058">
        <f>HYPERLINK("https://android.googlesource.com/platform/cts/+/7b5150898bdd0642eab54c6431631f1c1f679f43", "7b5150898bdd0642eab54c6431631f1c1f679f43")</f>
        <v>0</v>
      </c>
      <c r="C42058">
        <f>HYPERLINK("https://android.googlesource.com/platform/cts/+/c8b1ca170f766b388b8489be5086b7b5f92dceef", "c8b1ca170f766b388b8489be5086b7b5f92dceef")</f>
        <v>0</v>
      </c>
      <c r="D42058" t="s">
        <v>5609</v>
      </c>
      <c r="E42058" t="s">
        <v>9390</v>
      </c>
      <c r="F42058" t="s">
        <v>14425</v>
      </c>
      <c r="G42058" t="s">
        <v>18363</v>
      </c>
      <c r="H42058" t="s">
        <v>35883</v>
      </c>
    </row>
    <row r="42059" spans="1:8">
      <c r="F42059" t="s">
        <v>14278</v>
      </c>
      <c r="G42059" t="s">
        <v>18225</v>
      </c>
      <c r="H42059" t="s">
        <v>34453</v>
      </c>
    </row>
    <row r="42060" spans="1:8">
      <c r="A42060" t="s">
        <v>3698</v>
      </c>
      <c r="B42060">
        <f>HYPERLINK("https://android.googlesource.com/platform/cts/+/1a37c61c41b35893eff1f7244092d2605bda45df", "1a37c61c41b35893eff1f7244092d2605bda45df")</f>
        <v>0</v>
      </c>
      <c r="C42060">
        <f>HYPERLINK("https://android.googlesource.com/platform/cts/+/13b39244db81f182ceaf2c666183b8605db44a4b", "13b39244db81f182ceaf2c666183b8605db44a4b")</f>
        <v>0</v>
      </c>
      <c r="D42060" t="s">
        <v>5272</v>
      </c>
      <c r="E42060" t="s">
        <v>9391</v>
      </c>
      <c r="F42060" t="s">
        <v>13398</v>
      </c>
      <c r="G42060" t="s">
        <v>17524</v>
      </c>
      <c r="H42060" t="s">
        <v>35884</v>
      </c>
    </row>
    <row r="42061" spans="1:8">
      <c r="A42061" t="s">
        <v>3699</v>
      </c>
      <c r="B42061">
        <f>HYPERLINK("https://android.googlesource.com/platform/cts/+/60e04b9a45de3cee64d371af0f4664798f7862d1", "60e04b9a45de3cee64d371af0f4664798f7862d1")</f>
        <v>0</v>
      </c>
      <c r="C42061">
        <f>HYPERLINK("https://android.googlesource.com/platform/cts/+/7083ebff8c4476e4e2e527740348fb9734e56859", "7083ebff8c4476e4e2e527740348fb9734e56859")</f>
        <v>0</v>
      </c>
      <c r="D42061" t="s">
        <v>5409</v>
      </c>
      <c r="E42061" t="s">
        <v>9392</v>
      </c>
      <c r="F42061" t="s">
        <v>14415</v>
      </c>
      <c r="G42061" t="s">
        <v>18353</v>
      </c>
      <c r="H42061" t="s">
        <v>35885</v>
      </c>
    </row>
    <row r="42062" spans="1:8">
      <c r="H42062" t="s">
        <v>35886</v>
      </c>
    </row>
    <row r="42063" spans="1:8">
      <c r="H42063" t="s">
        <v>35887</v>
      </c>
    </row>
    <row r="42064" spans="1:8">
      <c r="H42064" t="s">
        <v>35888</v>
      </c>
    </row>
    <row r="42065" spans="1:8">
      <c r="H42065" t="s">
        <v>35889</v>
      </c>
    </row>
    <row r="42066" spans="1:8">
      <c r="H42066" t="s">
        <v>35890</v>
      </c>
    </row>
    <row r="42067" spans="1:8">
      <c r="F42067" t="s">
        <v>14426</v>
      </c>
      <c r="G42067" t="s">
        <v>18364</v>
      </c>
      <c r="H42067" t="s">
        <v>35891</v>
      </c>
    </row>
    <row r="42068" spans="1:8">
      <c r="H42068" t="s">
        <v>35892</v>
      </c>
    </row>
    <row r="42069" spans="1:8">
      <c r="H42069" t="s">
        <v>35893</v>
      </c>
    </row>
    <row r="42070" spans="1:8">
      <c r="H42070" t="s">
        <v>35894</v>
      </c>
    </row>
    <row r="42071" spans="1:8">
      <c r="H42071" t="s">
        <v>35895</v>
      </c>
    </row>
    <row r="42072" spans="1:8">
      <c r="H42072" t="s">
        <v>35896</v>
      </c>
    </row>
    <row r="42073" spans="1:8">
      <c r="H42073" t="s">
        <v>35897</v>
      </c>
    </row>
    <row r="42074" spans="1:8">
      <c r="A42074" t="s">
        <v>3700</v>
      </c>
      <c r="B42074">
        <f>HYPERLINK("https://android.googlesource.com/platform/cts/+/fb4fb361a882e74aa927d893838387dc7b28f27c", "fb4fb361a882e74aa927d893838387dc7b28f27c")</f>
        <v>0</v>
      </c>
      <c r="C42074">
        <f>HYPERLINK("https://android.googlesource.com/platform/cts/+/21d7bfaa0431b14bfd2354df5188e90fd71eb8d1", "21d7bfaa0431b14bfd2354df5188e90fd71eb8d1")</f>
        <v>0</v>
      </c>
      <c r="D42074" t="s">
        <v>5472</v>
      </c>
      <c r="E42074" t="s">
        <v>9393</v>
      </c>
      <c r="F42074" t="s">
        <v>14427</v>
      </c>
      <c r="G42074" t="s">
        <v>18365</v>
      </c>
      <c r="H42074" t="s">
        <v>28516</v>
      </c>
    </row>
    <row r="42075" spans="1:8">
      <c r="F42075" t="s">
        <v>14428</v>
      </c>
      <c r="G42075" t="s">
        <v>18366</v>
      </c>
      <c r="H42075" t="s">
        <v>35898</v>
      </c>
    </row>
    <row r="42076" spans="1:8">
      <c r="A42076" t="s">
        <v>3701</v>
      </c>
      <c r="B42076">
        <f>HYPERLINK("https://android.googlesource.com/platform/cts/+/3290c2a651bf9f2178c115b104474e2decd939cf", "3290c2a651bf9f2178c115b104474e2decd939cf")</f>
        <v>0</v>
      </c>
      <c r="C42076">
        <f>HYPERLINK("https://android.googlesource.com/platform/cts/+/74d190b89db8bcd7f24965af1e2238293e508f38", "74d190b89db8bcd7f24965af1e2238293e508f38")</f>
        <v>0</v>
      </c>
      <c r="D42076" t="s">
        <v>5389</v>
      </c>
      <c r="E42076" t="s">
        <v>9394</v>
      </c>
      <c r="F42076" t="s">
        <v>13993</v>
      </c>
      <c r="G42076" t="s">
        <v>16600</v>
      </c>
      <c r="H42076" t="s">
        <v>35899</v>
      </c>
    </row>
    <row r="42077" spans="1:8">
      <c r="A42077" t="s">
        <v>3702</v>
      </c>
      <c r="B42077">
        <f>HYPERLINK("https://android.googlesource.com/platform/cts/+/144ae7702574c3f3fa5405f8d82f26cdc7eeae22", "144ae7702574c3f3fa5405f8d82f26cdc7eeae22")</f>
        <v>0</v>
      </c>
      <c r="C42077">
        <f>HYPERLINK("https://android.googlesource.com/platform/cts/+/c8815838bb7d0115ed66afef9385af8e5963dbf7", "c8815838bb7d0115ed66afef9385af8e5963dbf7")</f>
        <v>0</v>
      </c>
      <c r="D42077" t="s">
        <v>5272</v>
      </c>
      <c r="E42077" t="s">
        <v>9395</v>
      </c>
      <c r="F42077" t="s">
        <v>14131</v>
      </c>
      <c r="G42077" t="s">
        <v>18053</v>
      </c>
      <c r="H42077" t="s">
        <v>29011</v>
      </c>
    </row>
    <row r="42078" spans="1:8">
      <c r="A42078" t="s">
        <v>3704</v>
      </c>
      <c r="B42078">
        <f>HYPERLINK("https://android.googlesource.com/platform/cts/+/0fba4ab4bd06798ffd29b25e7ee2e4e96e8e12df", "0fba4ab4bd06798ffd29b25e7ee2e4e96e8e12df")</f>
        <v>0</v>
      </c>
      <c r="C42078">
        <f>HYPERLINK("https://android.googlesource.com/platform/cts/+/66fa206e7be19ed5cf9b0a1c63ef13d3e4e36c2b", "66fa206e7be19ed5cf9b0a1c63ef13d3e4e36c2b")</f>
        <v>0</v>
      </c>
      <c r="D42078" t="s">
        <v>4947</v>
      </c>
      <c r="E42078" t="s">
        <v>9396</v>
      </c>
      <c r="F42078" t="s">
        <v>14429</v>
      </c>
      <c r="G42078" t="s">
        <v>15683</v>
      </c>
      <c r="H42078" t="s">
        <v>35900</v>
      </c>
    </row>
    <row r="42079" spans="1:8">
      <c r="H42079" t="s">
        <v>35901</v>
      </c>
    </row>
    <row r="42080" spans="1:8">
      <c r="H42080" t="s">
        <v>35902</v>
      </c>
    </row>
    <row r="42081" spans="1:8">
      <c r="H42081" t="s">
        <v>21518</v>
      </c>
    </row>
    <row r="42082" spans="1:8">
      <c r="A42082" t="s">
        <v>3705</v>
      </c>
      <c r="B42082">
        <f>HYPERLINK("https://android.googlesource.com/platform/cts/+/bb88afe42f859b88c1c2a8bf284917fc3502d886", "bb88afe42f859b88c1c2a8bf284917fc3502d886")</f>
        <v>0</v>
      </c>
      <c r="C42082">
        <f>HYPERLINK("https://android.googlesource.com/platform/cts/+/03104aae3963e395ab9681f2b540b7168fa52849", "03104aae3963e395ab9681f2b540b7168fa52849")</f>
        <v>0</v>
      </c>
      <c r="D42082" t="s">
        <v>5320</v>
      </c>
      <c r="E42082" t="s">
        <v>9397</v>
      </c>
      <c r="F42082" t="s">
        <v>14430</v>
      </c>
      <c r="G42082" t="s">
        <v>18367</v>
      </c>
      <c r="H42082" t="s">
        <v>35903</v>
      </c>
    </row>
    <row r="42083" spans="1:8">
      <c r="H42083" t="s">
        <v>35904</v>
      </c>
    </row>
    <row r="42084" spans="1:8">
      <c r="F42084" t="s">
        <v>14431</v>
      </c>
      <c r="G42084" t="s">
        <v>18368</v>
      </c>
      <c r="H42084" t="s">
        <v>35905</v>
      </c>
    </row>
    <row r="42085" spans="1:8">
      <c r="H42085" t="s">
        <v>35906</v>
      </c>
    </row>
    <row r="42086" spans="1:8">
      <c r="H42086" t="s">
        <v>35907</v>
      </c>
    </row>
    <row r="42087" spans="1:8">
      <c r="H42087" t="s">
        <v>35908</v>
      </c>
    </row>
    <row r="42088" spans="1:8">
      <c r="A42088" t="s">
        <v>3706</v>
      </c>
      <c r="B42088">
        <f>HYPERLINK("https://android.googlesource.com/platform/cts/+/7db64a057729da5408b43f50d64539364ecdf04b", "7db64a057729da5408b43f50d64539364ecdf04b")</f>
        <v>0</v>
      </c>
      <c r="C42088">
        <f>HYPERLINK("https://android.googlesource.com/platform/cts/+/88f60bd816fd82adf5cf7ebb8e03936b21f31481", "88f60bd816fd82adf5cf7ebb8e03936b21f31481")</f>
        <v>0</v>
      </c>
      <c r="D42088" t="s">
        <v>5334</v>
      </c>
      <c r="E42088" t="s">
        <v>9398</v>
      </c>
      <c r="F42088" t="s">
        <v>14200</v>
      </c>
      <c r="G42088" t="s">
        <v>18179</v>
      </c>
      <c r="H42088" t="s">
        <v>35909</v>
      </c>
    </row>
    <row r="42089" spans="1:8">
      <c r="H42089" t="s">
        <v>35910</v>
      </c>
    </row>
    <row r="42090" spans="1:8">
      <c r="A42090" t="s">
        <v>3707</v>
      </c>
      <c r="B42090">
        <f>HYPERLINK("https://android.googlesource.com/platform/cts/+/5f47892997e6f9ce2541d4fcfc8b0e0d4ad6ca88", "5f47892997e6f9ce2541d4fcfc8b0e0d4ad6ca88")</f>
        <v>0</v>
      </c>
      <c r="C42090">
        <f>HYPERLINK("https://android.googlesource.com/platform/cts/+/5abab3cfc29f8edd91b916a07d5d6ae031dc3166", "5abab3cfc29f8edd91b916a07d5d6ae031dc3166")</f>
        <v>0</v>
      </c>
      <c r="D42090" t="s">
        <v>5610</v>
      </c>
      <c r="E42090" t="s">
        <v>9399</v>
      </c>
      <c r="F42090" t="s">
        <v>14432</v>
      </c>
      <c r="G42090" t="s">
        <v>18369</v>
      </c>
      <c r="H42090" t="s">
        <v>35911</v>
      </c>
    </row>
    <row r="42091" spans="1:8">
      <c r="A42091" t="s">
        <v>3708</v>
      </c>
      <c r="B42091">
        <f>HYPERLINK("https://android.googlesource.com/platform/cts/+/4b3e082fc5c8e47a636e56acc3fbc7df506d3832", "4b3e082fc5c8e47a636e56acc3fbc7df506d3832")</f>
        <v>0</v>
      </c>
      <c r="C42091">
        <f>HYPERLINK("https://android.googlesource.com/platform/cts/+/eae64ad64ceaae11cd57eb06321ce1a0ae4594da", "eae64ad64ceaae11cd57eb06321ce1a0ae4594da")</f>
        <v>0</v>
      </c>
      <c r="D42091" t="s">
        <v>5409</v>
      </c>
      <c r="E42091" t="s">
        <v>9400</v>
      </c>
      <c r="F42091" t="s">
        <v>14426</v>
      </c>
      <c r="G42091" t="s">
        <v>18364</v>
      </c>
      <c r="H42091" t="s">
        <v>35912</v>
      </c>
    </row>
    <row r="42092" spans="1:8">
      <c r="H42092" t="s">
        <v>35913</v>
      </c>
    </row>
    <row r="42093" spans="1:8">
      <c r="H42093" t="s">
        <v>35914</v>
      </c>
    </row>
    <row r="42094" spans="1:8">
      <c r="A42094" t="s">
        <v>3709</v>
      </c>
      <c r="B42094">
        <f>HYPERLINK("https://android.googlesource.com/platform/cts/+/aa4a265aaf1ba92a3ca0ddc99366ac38f710b389", "aa4a265aaf1ba92a3ca0ddc99366ac38f710b389")</f>
        <v>0</v>
      </c>
      <c r="C42094">
        <f>HYPERLINK("https://android.googlesource.com/platform/cts/+/4e0dc3077e494f20cf249ecdc2aaf52e39c32462", "4e0dc3077e494f20cf249ecdc2aaf52e39c32462")</f>
        <v>0</v>
      </c>
      <c r="D42094" t="s">
        <v>5611</v>
      </c>
      <c r="E42094" t="s">
        <v>9401</v>
      </c>
      <c r="F42094" t="s">
        <v>14433</v>
      </c>
      <c r="G42094" t="s">
        <v>17405</v>
      </c>
      <c r="H42094" t="s">
        <v>35915</v>
      </c>
    </row>
    <row r="42095" spans="1:8">
      <c r="H42095" t="s">
        <v>35916</v>
      </c>
    </row>
    <row r="42096" spans="1:8">
      <c r="H42096" t="s">
        <v>35917</v>
      </c>
    </row>
    <row r="42097" spans="1:8">
      <c r="H42097" t="s">
        <v>35918</v>
      </c>
    </row>
    <row r="42098" spans="1:8">
      <c r="A42098" t="s">
        <v>3710</v>
      </c>
      <c r="B42098">
        <f>HYPERLINK("https://android.googlesource.com/platform/cts/+/20266a1b0495455fc7ffe2392981f5675df5cda7", "20266a1b0495455fc7ffe2392981f5675df5cda7")</f>
        <v>0</v>
      </c>
      <c r="C42098">
        <f>HYPERLINK("https://android.googlesource.com/platform/cts/+/a1cb34db8a66ae88f9d889781faf0195031553e5", "a1cb34db8a66ae88f9d889781faf0195031553e5")</f>
        <v>0</v>
      </c>
      <c r="D42098" t="s">
        <v>5610</v>
      </c>
      <c r="E42098" t="s">
        <v>9402</v>
      </c>
      <c r="F42098" t="s">
        <v>14434</v>
      </c>
      <c r="G42098" t="s">
        <v>18370</v>
      </c>
      <c r="H42098" t="s">
        <v>35919</v>
      </c>
    </row>
    <row r="42099" spans="1:8">
      <c r="H42099" t="s">
        <v>35920</v>
      </c>
    </row>
    <row r="42100" spans="1:8">
      <c r="H42100" t="s">
        <v>35921</v>
      </c>
    </row>
    <row r="42101" spans="1:8">
      <c r="H42101" t="s">
        <v>35922</v>
      </c>
    </row>
    <row r="42102" spans="1:8">
      <c r="H42102" t="s">
        <v>35923</v>
      </c>
    </row>
    <row r="42103" spans="1:8">
      <c r="A42103" t="s">
        <v>3711</v>
      </c>
      <c r="B42103">
        <f>HYPERLINK("https://android.googlesource.com/platform/cts/+/bab2c0ec57f1bcfdc85290789ff68edaa958aed6", "bab2c0ec57f1bcfdc85290789ff68edaa958aed6")</f>
        <v>0</v>
      </c>
      <c r="C42103">
        <f>HYPERLINK("https://android.googlesource.com/platform/cts/+/aa4a265aaf1ba92a3ca0ddc99366ac38f710b389", "aa4a265aaf1ba92a3ca0ddc99366ac38f710b389")</f>
        <v>0</v>
      </c>
      <c r="D42103" t="s">
        <v>5611</v>
      </c>
      <c r="E42103" t="s">
        <v>9403</v>
      </c>
      <c r="F42103" t="s">
        <v>14433</v>
      </c>
      <c r="G42103" t="s">
        <v>17405</v>
      </c>
      <c r="H42103" t="s">
        <v>35924</v>
      </c>
    </row>
    <row r="42104" spans="1:8">
      <c r="H42104" t="s">
        <v>35925</v>
      </c>
    </row>
    <row r="42105" spans="1:8">
      <c r="A42105" t="s">
        <v>3713</v>
      </c>
      <c r="B42105">
        <f>HYPERLINK("https://android.googlesource.com/platform/cts/+/2d323220882daff57ff3ac004d613f38825417db", "2d323220882daff57ff3ac004d613f38825417db")</f>
        <v>0</v>
      </c>
      <c r="C42105">
        <f>HYPERLINK("https://android.googlesource.com/platform/cts/+/a18b0c73c187d2332aa628864fd31ba126301972", "a18b0c73c187d2332aa628864fd31ba126301972")</f>
        <v>0</v>
      </c>
      <c r="D42105" t="s">
        <v>5409</v>
      </c>
      <c r="E42105" t="s">
        <v>9405</v>
      </c>
      <c r="F42105" t="s">
        <v>14435</v>
      </c>
      <c r="G42105" t="s">
        <v>18371</v>
      </c>
      <c r="H42105" t="s">
        <v>22587</v>
      </c>
    </row>
    <row r="42106" spans="1:8">
      <c r="F42106" t="s">
        <v>14426</v>
      </c>
      <c r="G42106" t="s">
        <v>18364</v>
      </c>
      <c r="H42106" t="s">
        <v>35926</v>
      </c>
    </row>
    <row r="42107" spans="1:8">
      <c r="A42107" t="s">
        <v>3714</v>
      </c>
      <c r="B42107">
        <f>HYPERLINK("https://android.googlesource.com/platform/cts/+/6be532e67610c4b55a98a56bd39ff14ee08176c5", "6be532e67610c4b55a98a56bd39ff14ee08176c5")</f>
        <v>0</v>
      </c>
      <c r="C42107">
        <f>HYPERLINK("https://android.googlesource.com/platform/cts/+/5e87fed73f13a0d6e9e74b6c9934307888260260", "5e87fed73f13a0d6e9e74b6c9934307888260260")</f>
        <v>0</v>
      </c>
      <c r="D42107" t="s">
        <v>5612</v>
      </c>
      <c r="E42107" t="s">
        <v>9406</v>
      </c>
      <c r="F42107" t="s">
        <v>14349</v>
      </c>
      <c r="G42107" t="s">
        <v>18300</v>
      </c>
      <c r="H42107" t="s">
        <v>35927</v>
      </c>
    </row>
    <row r="42108" spans="1:8">
      <c r="F42108" t="s">
        <v>14436</v>
      </c>
      <c r="G42108" t="s">
        <v>18372</v>
      </c>
      <c r="H42108" t="s">
        <v>19981</v>
      </c>
    </row>
    <row r="42109" spans="1:8">
      <c r="H42109" t="s">
        <v>35928</v>
      </c>
    </row>
    <row r="42110" spans="1:8">
      <c r="H42110" t="s">
        <v>35929</v>
      </c>
    </row>
    <row r="42111" spans="1:8">
      <c r="H42111" t="s">
        <v>32363</v>
      </c>
    </row>
    <row r="42112" spans="1:8">
      <c r="A42112" t="s">
        <v>3715</v>
      </c>
      <c r="B42112">
        <f>HYPERLINK("https://android.googlesource.com/platform/cts/+/e7eb2de25c5a2d18319472ee45e813f9eea9ff47", "e7eb2de25c5a2d18319472ee45e813f9eea9ff47")</f>
        <v>0</v>
      </c>
      <c r="C42112">
        <f>HYPERLINK("https://android.googlesource.com/platform/cts/+/43f3cc5d4707d1ca15d34167f4ee4e92d1b59b16", "43f3cc5d4707d1ca15d34167f4ee4e92d1b59b16")</f>
        <v>0</v>
      </c>
      <c r="D42112" t="s">
        <v>5219</v>
      </c>
      <c r="E42112" t="s">
        <v>9407</v>
      </c>
      <c r="F42112" t="s">
        <v>13501</v>
      </c>
      <c r="G42112" t="s">
        <v>17619</v>
      </c>
      <c r="H42112" t="s">
        <v>35930</v>
      </c>
    </row>
    <row r="42113" spans="1:8">
      <c r="H42113" t="s">
        <v>35931</v>
      </c>
    </row>
    <row r="42114" spans="1:8">
      <c r="H42114" t="s">
        <v>35932</v>
      </c>
    </row>
    <row r="42115" spans="1:8">
      <c r="H42115" t="s">
        <v>35933</v>
      </c>
    </row>
    <row r="42116" spans="1:8">
      <c r="H42116" t="s">
        <v>35934</v>
      </c>
    </row>
    <row r="42117" spans="1:8">
      <c r="H42117" t="s">
        <v>35935</v>
      </c>
    </row>
    <row r="42118" spans="1:8">
      <c r="A42118" t="s">
        <v>3716</v>
      </c>
      <c r="B42118">
        <f>HYPERLINK("https://android.googlesource.com/platform/cts/+/11b15822fffd3792082d0cfa71ba9b1196b122fa", "11b15822fffd3792082d0cfa71ba9b1196b122fa")</f>
        <v>0</v>
      </c>
      <c r="C42118">
        <f>HYPERLINK("https://android.googlesource.com/platform/cts/+/9e948cd4f3af46dc80ea9b95c0fcd76295df5ee1", "9e948cd4f3af46dc80ea9b95c0fcd76295df5ee1")</f>
        <v>0</v>
      </c>
      <c r="D42118" t="s">
        <v>5139</v>
      </c>
      <c r="E42118" t="s">
        <v>9408</v>
      </c>
      <c r="F42118" t="s">
        <v>14437</v>
      </c>
      <c r="G42118" t="s">
        <v>18373</v>
      </c>
      <c r="H42118" t="s">
        <v>18829</v>
      </c>
    </row>
    <row r="42119" spans="1:8">
      <c r="H42119" t="s">
        <v>18863</v>
      </c>
    </row>
    <row r="42120" spans="1:8">
      <c r="H42120" t="s">
        <v>35936</v>
      </c>
    </row>
    <row r="42121" spans="1:8">
      <c r="H42121" t="s">
        <v>35937</v>
      </c>
    </row>
    <row r="42122" spans="1:8">
      <c r="H42122" t="s">
        <v>35938</v>
      </c>
    </row>
    <row r="42123" spans="1:8">
      <c r="H42123" t="s">
        <v>35939</v>
      </c>
    </row>
    <row r="42124" spans="1:8">
      <c r="H42124" t="s">
        <v>35940</v>
      </c>
    </row>
    <row r="42125" spans="1:8">
      <c r="H42125" t="s">
        <v>26552</v>
      </c>
    </row>
    <row r="42126" spans="1:8">
      <c r="H42126" t="s">
        <v>35941</v>
      </c>
    </row>
    <row r="42127" spans="1:8">
      <c r="H42127" t="s">
        <v>35942</v>
      </c>
    </row>
    <row r="42128" spans="1:8">
      <c r="H42128" t="s">
        <v>35943</v>
      </c>
    </row>
    <row r="42129" spans="1:8">
      <c r="H42129" t="s">
        <v>19460</v>
      </c>
    </row>
    <row r="42130" spans="1:8">
      <c r="H42130" t="s">
        <v>35944</v>
      </c>
    </row>
    <row r="42131" spans="1:8">
      <c r="A42131" t="s">
        <v>3717</v>
      </c>
      <c r="B42131">
        <f>HYPERLINK("https://android.googlesource.com/platform/cts/+/38cddea524fb05c850c637ee2b84c7a837b3d4f2", "38cddea524fb05c850c637ee2b84c7a837b3d4f2")</f>
        <v>0</v>
      </c>
      <c r="C42131">
        <f>HYPERLINK("https://android.googlesource.com/platform/cts/+/2ab5921beeb521e3c03db6a0140f4c8c9d8cb6f4", "2ab5921beeb521e3c03db6a0140f4c8c9d8cb6f4")</f>
        <v>0</v>
      </c>
      <c r="D42131" t="s">
        <v>5313</v>
      </c>
      <c r="E42131" t="s">
        <v>9409</v>
      </c>
      <c r="F42131" t="s">
        <v>14165</v>
      </c>
      <c r="G42131" t="s">
        <v>17361</v>
      </c>
      <c r="H42131" t="s">
        <v>35945</v>
      </c>
    </row>
    <row r="42132" spans="1:8">
      <c r="A42132" t="s">
        <v>3718</v>
      </c>
      <c r="B42132">
        <f>HYPERLINK("https://android.googlesource.com/platform/cts/+/21e5c3b197c57ef4db5f85a587fab78e738eaab2", "21e5c3b197c57ef4db5f85a587fab78e738eaab2")</f>
        <v>0</v>
      </c>
      <c r="C42132">
        <f>HYPERLINK("https://android.googlesource.com/platform/cts/+/5034b1b9858fec36dda3ab5ba6039d6c69fe326d", "5034b1b9858fec36dda3ab5ba6039d6c69fe326d")</f>
        <v>0</v>
      </c>
      <c r="D42132" t="s">
        <v>5322</v>
      </c>
      <c r="E42132" t="s">
        <v>9410</v>
      </c>
      <c r="F42132" t="s">
        <v>14438</v>
      </c>
      <c r="G42132" t="s">
        <v>18374</v>
      </c>
      <c r="H42132" t="s">
        <v>35946</v>
      </c>
    </row>
    <row r="42133" spans="1:8">
      <c r="H42133" t="s">
        <v>35947</v>
      </c>
    </row>
    <row r="42134" spans="1:8">
      <c r="H42134" t="s">
        <v>35948</v>
      </c>
    </row>
    <row r="42135" spans="1:8">
      <c r="A42135" t="s">
        <v>3719</v>
      </c>
      <c r="B42135">
        <f>HYPERLINK("https://android.googlesource.com/platform/cts/+/e1e15921ecf7a35f367bc14640c2bf96eed0adaf", "e1e15921ecf7a35f367bc14640c2bf96eed0adaf")</f>
        <v>0</v>
      </c>
      <c r="C42135">
        <f>HYPERLINK("https://android.googlesource.com/platform/cts/+/fce9afd1a2c3500404fd05d27d794cefa19cdfad", "fce9afd1a2c3500404fd05d27d794cefa19cdfad")</f>
        <v>0</v>
      </c>
      <c r="D42135" t="s">
        <v>5272</v>
      </c>
      <c r="E42135" t="s">
        <v>9411</v>
      </c>
      <c r="F42135" t="s">
        <v>14253</v>
      </c>
      <c r="G42135" t="s">
        <v>18218</v>
      </c>
      <c r="H42135" t="s">
        <v>35949</v>
      </c>
    </row>
    <row r="42136" spans="1:8">
      <c r="A42136" t="s">
        <v>3720</v>
      </c>
      <c r="B42136">
        <f>HYPERLINK("https://android.googlesource.com/platform/cts/+/2c54e55c23c43c4e8ac1c229120b5915d70bd85f", "2c54e55c23c43c4e8ac1c229120b5915d70bd85f")</f>
        <v>0</v>
      </c>
      <c r="C42136">
        <f>HYPERLINK("https://android.googlesource.com/platform/cts/+/fda263aa96497860500874dfa569fe087a7bb292", "fda263aa96497860500874dfa569fe087a7bb292")</f>
        <v>0</v>
      </c>
      <c r="D42136" t="s">
        <v>5172</v>
      </c>
      <c r="E42136" t="s">
        <v>9412</v>
      </c>
      <c r="F42136" t="s">
        <v>14363</v>
      </c>
      <c r="G42136" t="s">
        <v>18310</v>
      </c>
      <c r="H42136" t="s">
        <v>35950</v>
      </c>
    </row>
    <row r="42137" spans="1:8">
      <c r="A42137" t="s">
        <v>3721</v>
      </c>
      <c r="B42137">
        <f>HYPERLINK("https://android.googlesource.com/platform/cts/+/9d769516486602a8b75b5e7ef62586d7743fff4c", "9d769516486602a8b75b5e7ef62586d7743fff4c")</f>
        <v>0</v>
      </c>
      <c r="C42137">
        <f>HYPERLINK("https://android.googlesource.com/platform/cts/+/fce9afd1a2c3500404fd05d27d794cefa19cdfad", "fce9afd1a2c3500404fd05d27d794cefa19cdfad")</f>
        <v>0</v>
      </c>
      <c r="D42137" t="s">
        <v>4971</v>
      </c>
      <c r="E42137" t="s">
        <v>9413</v>
      </c>
      <c r="F42137" t="s">
        <v>10946</v>
      </c>
      <c r="G42137" t="s">
        <v>15339</v>
      </c>
      <c r="H42137" t="s">
        <v>35951</v>
      </c>
    </row>
    <row r="42138" spans="1:8">
      <c r="H42138" t="s">
        <v>35952</v>
      </c>
    </row>
    <row r="42139" spans="1:8">
      <c r="H42139" t="s">
        <v>35953</v>
      </c>
    </row>
    <row r="42140" spans="1:8">
      <c r="H42140" t="s">
        <v>32356</v>
      </c>
    </row>
    <row r="42141" spans="1:8">
      <c r="F42141" t="s">
        <v>10947</v>
      </c>
      <c r="G42141" t="s">
        <v>15340</v>
      </c>
      <c r="H42141" t="s">
        <v>35954</v>
      </c>
    </row>
    <row r="42142" spans="1:8">
      <c r="H42142" t="s">
        <v>35955</v>
      </c>
    </row>
    <row r="42143" spans="1:8">
      <c r="H42143" t="s">
        <v>35953</v>
      </c>
    </row>
    <row r="42144" spans="1:8">
      <c r="H42144" t="s">
        <v>32356</v>
      </c>
    </row>
    <row r="42145" spans="1:8">
      <c r="A42145" t="s">
        <v>3722</v>
      </c>
      <c r="B42145">
        <f>HYPERLINK("https://android.googlesource.com/platform/cts/+/68da822a574af9474011cdb165ef8810bcd2b6ab", "68da822a574af9474011cdb165ef8810bcd2b6ab")</f>
        <v>0</v>
      </c>
      <c r="C42145">
        <f>HYPERLINK("https://android.googlesource.com/platform/cts/+/113217ea9581c5ed37c868d242fee4f8484f3f6c", "113217ea9581c5ed37c868d242fee4f8484f3f6c")</f>
        <v>0</v>
      </c>
      <c r="D42145" t="s">
        <v>5511</v>
      </c>
      <c r="E42145" t="s">
        <v>9414</v>
      </c>
      <c r="F42145" t="s">
        <v>14274</v>
      </c>
      <c r="G42145" t="s">
        <v>18241</v>
      </c>
      <c r="H42145" t="s">
        <v>26751</v>
      </c>
    </row>
    <row r="42146" spans="1:8">
      <c r="H42146" t="s">
        <v>33708</v>
      </c>
    </row>
    <row r="42147" spans="1:8">
      <c r="F42147" t="s">
        <v>14275</v>
      </c>
      <c r="G42147" t="s">
        <v>18242</v>
      </c>
      <c r="H42147" t="s">
        <v>26751</v>
      </c>
    </row>
    <row r="42148" spans="1:8">
      <c r="H42148" t="s">
        <v>33708</v>
      </c>
    </row>
    <row r="42149" spans="1:8">
      <c r="F42149" t="s">
        <v>14276</v>
      </c>
      <c r="G42149" t="s">
        <v>18226</v>
      </c>
      <c r="H42149" t="s">
        <v>26751</v>
      </c>
    </row>
    <row r="42150" spans="1:8">
      <c r="H42150" t="s">
        <v>33708</v>
      </c>
    </row>
    <row r="42151" spans="1:8">
      <c r="H42151" t="s">
        <v>35956</v>
      </c>
    </row>
    <row r="42152" spans="1:8">
      <c r="H42152" t="s">
        <v>35957</v>
      </c>
    </row>
    <row r="42153" spans="1:8">
      <c r="F42153" t="s">
        <v>14277</v>
      </c>
      <c r="G42153" t="s">
        <v>18224</v>
      </c>
      <c r="H42153" t="s">
        <v>26751</v>
      </c>
    </row>
    <row r="42154" spans="1:8">
      <c r="H42154" t="s">
        <v>33708</v>
      </c>
    </row>
    <row r="42155" spans="1:8">
      <c r="F42155" t="s">
        <v>14278</v>
      </c>
      <c r="G42155" t="s">
        <v>18225</v>
      </c>
      <c r="H42155" t="s">
        <v>35958</v>
      </c>
    </row>
    <row r="42156" spans="1:8">
      <c r="H42156" t="s">
        <v>35956</v>
      </c>
    </row>
    <row r="42157" spans="1:8">
      <c r="H42157" t="s">
        <v>35957</v>
      </c>
    </row>
    <row r="42158" spans="1:8">
      <c r="A42158" t="s">
        <v>3723</v>
      </c>
      <c r="B42158">
        <f>HYPERLINK("https://android.googlesource.com/platform/cts/+/ef6edecf268527442dd90fbcc63f77a6561373d3", "ef6edecf268527442dd90fbcc63f77a6561373d3")</f>
        <v>0</v>
      </c>
      <c r="C42158">
        <f>HYPERLINK("https://android.googlesource.com/platform/cts/+/5418b106a946d65f469cfd96ff9434eff3c0a173", "5418b106a946d65f469cfd96ff9434eff3c0a173")</f>
        <v>0</v>
      </c>
      <c r="D42158" t="s">
        <v>5134</v>
      </c>
      <c r="E42158" t="s">
        <v>9415</v>
      </c>
      <c r="F42158" t="s">
        <v>12629</v>
      </c>
      <c r="G42158" t="s">
        <v>16838</v>
      </c>
      <c r="H42158" t="s">
        <v>35959</v>
      </c>
    </row>
    <row r="42159" spans="1:8">
      <c r="F42159" t="s">
        <v>12394</v>
      </c>
      <c r="G42159" t="s">
        <v>17294</v>
      </c>
      <c r="H42159" t="s">
        <v>35959</v>
      </c>
    </row>
    <row r="42160" spans="1:8">
      <c r="A42160" t="s">
        <v>3726</v>
      </c>
      <c r="B42160">
        <f>HYPERLINK("https://android.googlesource.com/platform/cts/+/83d6781e60e445f82d7d46f2fe5177466bfa9889", "83d6781e60e445f82d7d46f2fe5177466bfa9889")</f>
        <v>0</v>
      </c>
      <c r="C42160">
        <f>HYPERLINK("https://android.googlesource.com/platform/cts/+/d55e9ed1871c2a81cbd3e8f8f53645b0fb6ba1e0", "d55e9ed1871c2a81cbd3e8f8f53645b0fb6ba1e0")</f>
        <v>0</v>
      </c>
      <c r="D42160" t="s">
        <v>5526</v>
      </c>
      <c r="E42160" t="s">
        <v>9418</v>
      </c>
      <c r="F42160" t="s">
        <v>14439</v>
      </c>
      <c r="G42160" t="s">
        <v>18375</v>
      </c>
      <c r="H42160" t="s">
        <v>18863</v>
      </c>
    </row>
    <row r="42161" spans="1:8">
      <c r="H42161" t="s">
        <v>35960</v>
      </c>
    </row>
    <row r="42162" spans="1:8">
      <c r="H42162" t="s">
        <v>35961</v>
      </c>
    </row>
    <row r="42163" spans="1:8">
      <c r="H42163" t="s">
        <v>35962</v>
      </c>
    </row>
    <row r="42164" spans="1:8">
      <c r="H42164" t="s">
        <v>35963</v>
      </c>
    </row>
    <row r="42165" spans="1:8">
      <c r="H42165" t="s">
        <v>35964</v>
      </c>
    </row>
    <row r="42166" spans="1:8">
      <c r="H42166" t="s">
        <v>35965</v>
      </c>
    </row>
    <row r="42167" spans="1:8">
      <c r="H42167" t="s">
        <v>35966</v>
      </c>
    </row>
    <row r="42168" spans="1:8">
      <c r="H42168" t="s">
        <v>35967</v>
      </c>
    </row>
    <row r="42169" spans="1:8">
      <c r="H42169" t="s">
        <v>35968</v>
      </c>
    </row>
    <row r="42170" spans="1:8">
      <c r="H42170" t="s">
        <v>35969</v>
      </c>
    </row>
    <row r="42171" spans="1:8">
      <c r="A42171" t="s">
        <v>3727</v>
      </c>
      <c r="B42171">
        <f>HYPERLINK("https://android.googlesource.com/platform/cts/+/c91d2447f2913ab3739308732d1379a62d7e4f94", "c91d2447f2913ab3739308732d1379a62d7e4f94")</f>
        <v>0</v>
      </c>
      <c r="C42171">
        <f>HYPERLINK("https://android.googlesource.com/platform/cts/+/c7c52424bfd75372369c1e86d504d76c2280f70e", "c7c52424bfd75372369c1e86d504d76c2280f70e")</f>
        <v>0</v>
      </c>
      <c r="D42171" t="s">
        <v>5134</v>
      </c>
      <c r="E42171" t="s">
        <v>9419</v>
      </c>
      <c r="F42171" t="s">
        <v>12901</v>
      </c>
      <c r="G42171" t="s">
        <v>17068</v>
      </c>
      <c r="H42171" t="s">
        <v>35970</v>
      </c>
    </row>
    <row r="42172" spans="1:8">
      <c r="H42172" t="s">
        <v>19019</v>
      </c>
    </row>
    <row r="42173" spans="1:8">
      <c r="H42173" t="s">
        <v>35971</v>
      </c>
    </row>
    <row r="42174" spans="1:8">
      <c r="A42174" t="s">
        <v>3728</v>
      </c>
      <c r="B42174">
        <f>HYPERLINK("https://android.googlesource.com/platform/cts/+/6fbcac0cdf2f256eb2811b931cc8a64af2654f35", "6fbcac0cdf2f256eb2811b931cc8a64af2654f35")</f>
        <v>0</v>
      </c>
      <c r="C42174">
        <f>HYPERLINK("https://android.googlesource.com/platform/cts/+/a069b5e6b7abbdae88b26c69845df0b8110e23d9", "a069b5e6b7abbdae88b26c69845df0b8110e23d9")</f>
        <v>0</v>
      </c>
      <c r="D42174" t="s">
        <v>5445</v>
      </c>
      <c r="E42174" t="s">
        <v>9420</v>
      </c>
      <c r="F42174" t="s">
        <v>14440</v>
      </c>
      <c r="G42174" t="s">
        <v>18376</v>
      </c>
      <c r="H42174" t="s">
        <v>35972</v>
      </c>
    </row>
    <row r="42175" spans="1:8">
      <c r="A42175" t="s">
        <v>3729</v>
      </c>
      <c r="B42175">
        <f>HYPERLINK("https://android.googlesource.com/platform/cts/+/31d8d8db847f3af3fe9418f801bd3299821c630d", "31d8d8db847f3af3fe9418f801bd3299821c630d")</f>
        <v>0</v>
      </c>
      <c r="C42175">
        <f>HYPERLINK("https://android.googlesource.com/platform/cts/+/0568efb5a632d0f67cc5614c96f4a62cc31ea71a", "0568efb5a632d0f67cc5614c96f4a62cc31ea71a")</f>
        <v>0</v>
      </c>
      <c r="D42175" t="s">
        <v>5096</v>
      </c>
      <c r="E42175" t="s">
        <v>9421</v>
      </c>
      <c r="F42175" t="s">
        <v>14441</v>
      </c>
      <c r="G42175" t="s">
        <v>18377</v>
      </c>
      <c r="H42175" t="s">
        <v>35973</v>
      </c>
    </row>
    <row r="42176" spans="1:8">
      <c r="H42176" t="s">
        <v>32999</v>
      </c>
    </row>
    <row r="42177" spans="8:8">
      <c r="H42177" t="s">
        <v>35974</v>
      </c>
    </row>
    <row r="42178" spans="8:8">
      <c r="H42178" t="s">
        <v>35975</v>
      </c>
    </row>
    <row r="42179" spans="8:8">
      <c r="H42179" t="s">
        <v>35976</v>
      </c>
    </row>
    <row r="42180" spans="8:8">
      <c r="H42180" t="s">
        <v>35977</v>
      </c>
    </row>
    <row r="42181" spans="8:8">
      <c r="H42181" t="s">
        <v>35978</v>
      </c>
    </row>
    <row r="42182" spans="8:8">
      <c r="H42182" t="s">
        <v>35979</v>
      </c>
    </row>
    <row r="42183" spans="8:8">
      <c r="H42183" t="s">
        <v>31669</v>
      </c>
    </row>
    <row r="42184" spans="8:8">
      <c r="H42184" t="s">
        <v>32388</v>
      </c>
    </row>
    <row r="42185" spans="8:8">
      <c r="H42185" t="s">
        <v>35980</v>
      </c>
    </row>
    <row r="42186" spans="8:8">
      <c r="H42186" t="s">
        <v>35981</v>
      </c>
    </row>
    <row r="42187" spans="8:8">
      <c r="H42187" t="s">
        <v>35982</v>
      </c>
    </row>
    <row r="42188" spans="8:8">
      <c r="H42188" t="s">
        <v>31788</v>
      </c>
    </row>
    <row r="42189" spans="8:8">
      <c r="H42189" t="s">
        <v>31789</v>
      </c>
    </row>
    <row r="42190" spans="8:8">
      <c r="H42190" t="s">
        <v>35983</v>
      </c>
    </row>
    <row r="42191" spans="8:8">
      <c r="H42191" t="s">
        <v>35984</v>
      </c>
    </row>
    <row r="42192" spans="8:8">
      <c r="H42192" t="s">
        <v>35985</v>
      </c>
    </row>
    <row r="42193" spans="6:8">
      <c r="F42193" t="s">
        <v>14442</v>
      </c>
      <c r="G42193" t="s">
        <v>18378</v>
      </c>
      <c r="H42193" t="s">
        <v>35973</v>
      </c>
    </row>
    <row r="42194" spans="6:8">
      <c r="H42194" t="s">
        <v>32999</v>
      </c>
    </row>
    <row r="42195" spans="6:8">
      <c r="H42195" t="s">
        <v>35974</v>
      </c>
    </row>
    <row r="42196" spans="6:8">
      <c r="H42196" t="s">
        <v>35975</v>
      </c>
    </row>
    <row r="42197" spans="6:8">
      <c r="H42197" t="s">
        <v>35976</v>
      </c>
    </row>
    <row r="42198" spans="6:8">
      <c r="H42198" t="s">
        <v>35977</v>
      </c>
    </row>
    <row r="42199" spans="6:8">
      <c r="H42199" t="s">
        <v>35978</v>
      </c>
    </row>
    <row r="42200" spans="6:8">
      <c r="H42200" t="s">
        <v>35979</v>
      </c>
    </row>
    <row r="42201" spans="6:8">
      <c r="H42201" t="s">
        <v>31669</v>
      </c>
    </row>
    <row r="42202" spans="6:8">
      <c r="H42202" t="s">
        <v>32388</v>
      </c>
    </row>
    <row r="42203" spans="6:8">
      <c r="H42203" t="s">
        <v>35986</v>
      </c>
    </row>
    <row r="42204" spans="6:8">
      <c r="H42204" t="s">
        <v>35987</v>
      </c>
    </row>
    <row r="42205" spans="6:8">
      <c r="H42205" t="s">
        <v>34746</v>
      </c>
    </row>
    <row r="42206" spans="6:8">
      <c r="H42206" t="s">
        <v>35988</v>
      </c>
    </row>
    <row r="42207" spans="6:8">
      <c r="H42207" t="s">
        <v>35989</v>
      </c>
    </row>
    <row r="42208" spans="6:8">
      <c r="H42208" t="s">
        <v>35990</v>
      </c>
    </row>
    <row r="42209" spans="6:8">
      <c r="H42209" t="s">
        <v>35991</v>
      </c>
    </row>
    <row r="42210" spans="6:8">
      <c r="H42210" t="s">
        <v>35992</v>
      </c>
    </row>
    <row r="42211" spans="6:8">
      <c r="H42211" t="s">
        <v>35981</v>
      </c>
    </row>
    <row r="42212" spans="6:8">
      <c r="H42212" t="s">
        <v>35982</v>
      </c>
    </row>
    <row r="42213" spans="6:8">
      <c r="H42213" t="s">
        <v>31788</v>
      </c>
    </row>
    <row r="42214" spans="6:8">
      <c r="H42214" t="s">
        <v>31789</v>
      </c>
    </row>
    <row r="42215" spans="6:8">
      <c r="H42215" t="s">
        <v>35983</v>
      </c>
    </row>
    <row r="42216" spans="6:8">
      <c r="H42216" t="s">
        <v>35993</v>
      </c>
    </row>
    <row r="42217" spans="6:8">
      <c r="H42217" t="s">
        <v>35985</v>
      </c>
    </row>
    <row r="42218" spans="6:8">
      <c r="F42218" t="s">
        <v>14443</v>
      </c>
      <c r="G42218" t="s">
        <v>18121</v>
      </c>
      <c r="H42218" t="s">
        <v>35973</v>
      </c>
    </row>
    <row r="42219" spans="6:8">
      <c r="H42219" t="s">
        <v>32999</v>
      </c>
    </row>
    <row r="42220" spans="6:8">
      <c r="H42220" t="s">
        <v>35974</v>
      </c>
    </row>
    <row r="42221" spans="6:8">
      <c r="H42221" t="s">
        <v>35979</v>
      </c>
    </row>
    <row r="42222" spans="6:8">
      <c r="H42222" t="s">
        <v>31669</v>
      </c>
    </row>
    <row r="42223" spans="6:8">
      <c r="H42223" t="s">
        <v>32388</v>
      </c>
    </row>
    <row r="42224" spans="6:8">
      <c r="H42224" t="s">
        <v>35986</v>
      </c>
    </row>
    <row r="42225" spans="6:8">
      <c r="H42225" t="s">
        <v>35987</v>
      </c>
    </row>
    <row r="42226" spans="6:8">
      <c r="H42226" t="s">
        <v>34746</v>
      </c>
    </row>
    <row r="42227" spans="6:8">
      <c r="H42227" t="s">
        <v>35988</v>
      </c>
    </row>
    <row r="42228" spans="6:8">
      <c r="H42228" t="s">
        <v>35989</v>
      </c>
    </row>
    <row r="42229" spans="6:8">
      <c r="H42229" t="s">
        <v>35990</v>
      </c>
    </row>
    <row r="42230" spans="6:8">
      <c r="H42230" t="s">
        <v>35991</v>
      </c>
    </row>
    <row r="42231" spans="6:8">
      <c r="H42231" t="s">
        <v>35992</v>
      </c>
    </row>
    <row r="42232" spans="6:8">
      <c r="H42232" t="s">
        <v>35981</v>
      </c>
    </row>
    <row r="42233" spans="6:8">
      <c r="H42233" t="s">
        <v>35994</v>
      </c>
    </row>
    <row r="42234" spans="6:8">
      <c r="H42234" t="s">
        <v>35975</v>
      </c>
    </row>
    <row r="42235" spans="6:8">
      <c r="H42235" t="s">
        <v>35976</v>
      </c>
    </row>
    <row r="42236" spans="6:8">
      <c r="H42236" t="s">
        <v>35995</v>
      </c>
    </row>
    <row r="42237" spans="6:8">
      <c r="F42237" t="s">
        <v>14295</v>
      </c>
      <c r="G42237" t="s">
        <v>18257</v>
      </c>
      <c r="H42237" t="s">
        <v>35973</v>
      </c>
    </row>
    <row r="42238" spans="6:8">
      <c r="H42238" t="s">
        <v>32999</v>
      </c>
    </row>
    <row r="42239" spans="6:8">
      <c r="H42239" t="s">
        <v>35974</v>
      </c>
    </row>
    <row r="42240" spans="6:8">
      <c r="H42240" t="s">
        <v>35984</v>
      </c>
    </row>
    <row r="42241" spans="1:8">
      <c r="H42241" t="s">
        <v>35979</v>
      </c>
    </row>
    <row r="42242" spans="1:8">
      <c r="H42242" t="s">
        <v>31669</v>
      </c>
    </row>
    <row r="42243" spans="1:8">
      <c r="H42243" t="s">
        <v>32388</v>
      </c>
    </row>
    <row r="42244" spans="1:8">
      <c r="H42244" t="s">
        <v>35978</v>
      </c>
    </row>
    <row r="42245" spans="1:8">
      <c r="H42245" t="s">
        <v>35996</v>
      </c>
    </row>
    <row r="42246" spans="1:8">
      <c r="A42246" t="s">
        <v>3730</v>
      </c>
      <c r="B42246">
        <f>HYPERLINK("https://android.googlesource.com/platform/cts/+/4b6a943d058ea5390ed5e21cd3db26727049df05", "4b6a943d058ea5390ed5e21cd3db26727049df05")</f>
        <v>0</v>
      </c>
      <c r="C42246">
        <f>HYPERLINK("https://android.googlesource.com/platform/cts/+/1cb88b8acd7abb57f3e86bdd70a3476dfb42d5c6", "1cb88b8acd7abb57f3e86bdd70a3476dfb42d5c6")</f>
        <v>0</v>
      </c>
      <c r="D42246" t="s">
        <v>5613</v>
      </c>
      <c r="E42246" t="s">
        <v>9422</v>
      </c>
      <c r="F42246" t="s">
        <v>14444</v>
      </c>
      <c r="G42246" t="s">
        <v>18379</v>
      </c>
      <c r="H42246" t="s">
        <v>35997</v>
      </c>
    </row>
    <row r="42247" spans="1:8">
      <c r="F42247" t="s">
        <v>14445</v>
      </c>
      <c r="G42247" t="s">
        <v>18380</v>
      </c>
      <c r="H42247" t="s">
        <v>35998</v>
      </c>
    </row>
    <row r="42248" spans="1:8">
      <c r="A42248" t="s">
        <v>3731</v>
      </c>
      <c r="B42248">
        <f>HYPERLINK("https://android.googlesource.com/platform/cts/+/8a6ab2481d75b63cf31620f6a30cd924f405988e", "8a6ab2481d75b63cf31620f6a30cd924f405988e")</f>
        <v>0</v>
      </c>
      <c r="C42248">
        <f>HYPERLINK("https://android.googlesource.com/platform/cts/+/74edde3fcdbe3c546c535fa8fcd6ad465b7f0e09", "74edde3fcdbe3c546c535fa8fcd6ad465b7f0e09")</f>
        <v>0</v>
      </c>
      <c r="D42248" t="s">
        <v>5569</v>
      </c>
      <c r="E42248" t="s">
        <v>9423</v>
      </c>
      <c r="F42248" t="s">
        <v>14446</v>
      </c>
      <c r="G42248" t="s">
        <v>18381</v>
      </c>
      <c r="H42248" t="s">
        <v>35999</v>
      </c>
    </row>
    <row r="42249" spans="1:8">
      <c r="H42249" t="s">
        <v>36000</v>
      </c>
    </row>
    <row r="42250" spans="1:8">
      <c r="F42250" t="s">
        <v>14414</v>
      </c>
      <c r="G42250" t="s">
        <v>18352</v>
      </c>
      <c r="H42250" t="s">
        <v>36001</v>
      </c>
    </row>
    <row r="42251" spans="1:8">
      <c r="H42251" t="s">
        <v>36002</v>
      </c>
    </row>
    <row r="42252" spans="1:8">
      <c r="A42252" t="s">
        <v>3732</v>
      </c>
      <c r="B42252">
        <f>HYPERLINK("https://android.googlesource.com/platform/cts/+/8fd8fdcc467953bcec65fddc8c0a237f2b3c6f31", "8fd8fdcc467953bcec65fddc8c0a237f2b3c6f31")</f>
        <v>0</v>
      </c>
      <c r="C42252">
        <f>HYPERLINK("https://android.googlesource.com/platform/cts/+/e5c823749a8cdd82b2d43997f1086fd424dd0e81", "e5c823749a8cdd82b2d43997f1086fd424dd0e81")</f>
        <v>0</v>
      </c>
      <c r="D42252" t="s">
        <v>5409</v>
      </c>
      <c r="E42252" t="s">
        <v>9424</v>
      </c>
      <c r="F42252" t="s">
        <v>14447</v>
      </c>
      <c r="G42252" t="s">
        <v>18382</v>
      </c>
      <c r="H42252" t="s">
        <v>36003</v>
      </c>
    </row>
    <row r="42253" spans="1:8">
      <c r="A42253" t="s">
        <v>3733</v>
      </c>
      <c r="B42253">
        <f>HYPERLINK("https://android.googlesource.com/platform/cts/+/b7cfa1e06a11b3c1a0f3ee3c29ab175e73200d13", "b7cfa1e06a11b3c1a0f3ee3c29ab175e73200d13")</f>
        <v>0</v>
      </c>
      <c r="C42253">
        <f>HYPERLINK("https://android.googlesource.com/platform/cts/+/8fd8fdcc467953bcec65fddc8c0a237f2b3c6f31", "8fd8fdcc467953bcec65fddc8c0a237f2b3c6f31")</f>
        <v>0</v>
      </c>
      <c r="D42253" t="s">
        <v>5409</v>
      </c>
      <c r="E42253" t="s">
        <v>9425</v>
      </c>
      <c r="F42253" t="s">
        <v>14448</v>
      </c>
      <c r="G42253" t="s">
        <v>18383</v>
      </c>
      <c r="H42253" t="s">
        <v>36004</v>
      </c>
    </row>
    <row r="42254" spans="1:8">
      <c r="H42254" t="s">
        <v>36005</v>
      </c>
    </row>
    <row r="42255" spans="1:8">
      <c r="A42255" t="s">
        <v>3734</v>
      </c>
      <c r="B42255">
        <f>HYPERLINK("https://android.googlesource.com/platform/cts/+/e4e67c08d245ccfb445fdf8e1ed1a44c1ee69322", "e4e67c08d245ccfb445fdf8e1ed1a44c1ee69322")</f>
        <v>0</v>
      </c>
      <c r="C42255">
        <f>HYPERLINK("https://android.googlesource.com/platform/cts/+/74edde3fcdbe3c546c535fa8fcd6ad465b7f0e09", "74edde3fcdbe3c546c535fa8fcd6ad465b7f0e09")</f>
        <v>0</v>
      </c>
      <c r="D42255" t="s">
        <v>5573</v>
      </c>
      <c r="E42255" t="s">
        <v>9426</v>
      </c>
      <c r="F42255" t="s">
        <v>14165</v>
      </c>
      <c r="G42255" t="s">
        <v>17361</v>
      </c>
      <c r="H42255" t="s">
        <v>36006</v>
      </c>
    </row>
    <row r="42256" spans="1:8">
      <c r="A42256" t="s">
        <v>3735</v>
      </c>
      <c r="B42256">
        <f>HYPERLINK("https://android.googlesource.com/platform/cts/+/af4876f720a1a3107e1eef2d8ae6a9a12cecdaec", "af4876f720a1a3107e1eef2d8ae6a9a12cecdaec")</f>
        <v>0</v>
      </c>
      <c r="C42256">
        <f>HYPERLINK("https://android.googlesource.com/platform/cts/+/571fec2537da2c7507d376de364938ca0001a8cd", "571fec2537da2c7507d376de364938ca0001a8cd")</f>
        <v>0</v>
      </c>
      <c r="D42256" t="s">
        <v>5614</v>
      </c>
      <c r="E42256" t="s">
        <v>9427</v>
      </c>
      <c r="F42256" t="s">
        <v>13171</v>
      </c>
      <c r="G42256" t="s">
        <v>16410</v>
      </c>
      <c r="H42256" t="s">
        <v>36007</v>
      </c>
    </row>
    <row r="42257" spans="1:8">
      <c r="A42257" t="s">
        <v>3736</v>
      </c>
      <c r="B42257">
        <f>HYPERLINK("https://android.googlesource.com/platform/cts/+/df8143501a2d0915714047e02e7035c292b49c6b", "df8143501a2d0915714047e02e7035c292b49c6b")</f>
        <v>0</v>
      </c>
      <c r="C42257">
        <f>HYPERLINK("https://android.googlesource.com/platform/cts/+/576ca5f604f7c35c7e3874f28b22d322fbca26de", "576ca5f604f7c35c7e3874f28b22d322fbca26de")</f>
        <v>0</v>
      </c>
      <c r="D42257" t="s">
        <v>5417</v>
      </c>
      <c r="E42257" t="s">
        <v>9428</v>
      </c>
      <c r="F42257" t="s">
        <v>14033</v>
      </c>
      <c r="G42257" t="s">
        <v>18030</v>
      </c>
      <c r="H42257" t="s">
        <v>36008</v>
      </c>
    </row>
    <row r="42258" spans="1:8">
      <c r="A42258" t="s">
        <v>3737</v>
      </c>
      <c r="B42258">
        <f>HYPERLINK("https://android.googlesource.com/platform/cts/+/db38189de799f2e5ea11db7f3c4db82ac2efbef6", "db38189de799f2e5ea11db7f3c4db82ac2efbef6")</f>
        <v>0</v>
      </c>
      <c r="C42258">
        <f>HYPERLINK("https://android.googlesource.com/platform/cts/+/6a446b36070a0063b94e1cbb0383316e1304ed18", "6a446b36070a0063b94e1cbb0383316e1304ed18")</f>
        <v>0</v>
      </c>
      <c r="D42258" t="s">
        <v>5406</v>
      </c>
      <c r="E42258" t="s">
        <v>9429</v>
      </c>
      <c r="F42258" t="s">
        <v>14449</v>
      </c>
      <c r="G42258" t="s">
        <v>18384</v>
      </c>
      <c r="H42258" t="s">
        <v>30030</v>
      </c>
    </row>
    <row r="42259" spans="1:8">
      <c r="H42259" t="s">
        <v>36009</v>
      </c>
    </row>
    <row r="42260" spans="1:8">
      <c r="F42260" t="s">
        <v>14450</v>
      </c>
      <c r="G42260" t="s">
        <v>18385</v>
      </c>
      <c r="H42260" t="s">
        <v>36010</v>
      </c>
    </row>
    <row r="42261" spans="1:8">
      <c r="A42261" t="s">
        <v>3738</v>
      </c>
      <c r="B42261">
        <f>HYPERLINK("https://android.googlesource.com/platform/cts/+/f0441482337ce61b0aea8b814a36f08b55c673b6", "f0441482337ce61b0aea8b814a36f08b55c673b6")</f>
        <v>0</v>
      </c>
      <c r="C42261">
        <f>HYPERLINK("https://android.googlesource.com/platform/cts/+/f264954af926255a3811a0b9d09a7a8db2f084a7", "f264954af926255a3811a0b9d09a7a8db2f084a7")</f>
        <v>0</v>
      </c>
      <c r="D42261" t="s">
        <v>5134</v>
      </c>
      <c r="E42261" t="s">
        <v>9430</v>
      </c>
      <c r="F42261" t="s">
        <v>12901</v>
      </c>
      <c r="G42261" t="s">
        <v>17068</v>
      </c>
      <c r="H42261" t="s">
        <v>33981</v>
      </c>
    </row>
    <row r="42262" spans="1:8">
      <c r="H42262" t="s">
        <v>33498</v>
      </c>
    </row>
    <row r="42263" spans="1:8">
      <c r="H42263" t="s">
        <v>36011</v>
      </c>
    </row>
    <row r="42264" spans="1:8">
      <c r="H42264" t="s">
        <v>36012</v>
      </c>
    </row>
    <row r="42265" spans="1:8">
      <c r="H42265" t="s">
        <v>36013</v>
      </c>
    </row>
    <row r="42266" spans="1:8">
      <c r="H42266" t="s">
        <v>36014</v>
      </c>
    </row>
    <row r="42267" spans="1:8">
      <c r="A42267" t="s">
        <v>3739</v>
      </c>
      <c r="B42267">
        <f>HYPERLINK("https://android.googlesource.com/platform/cts/+/3f29a3c391b7addf26bf4be28674b85f04ddca7a", "3f29a3c391b7addf26bf4be28674b85f04ddca7a")</f>
        <v>0</v>
      </c>
      <c r="C42267">
        <f>HYPERLINK("https://android.googlesource.com/platform/cts/+/e1d5ee1ea81a406a2d935574dc3f6888d1c23c51", "e1d5ee1ea81a406a2d935574dc3f6888d1c23c51")</f>
        <v>0</v>
      </c>
      <c r="D42267" t="s">
        <v>5051</v>
      </c>
      <c r="E42267" t="s">
        <v>9431</v>
      </c>
      <c r="F42267" t="s">
        <v>14440</v>
      </c>
      <c r="G42267" t="s">
        <v>18376</v>
      </c>
      <c r="H42267" t="s">
        <v>36015</v>
      </c>
    </row>
    <row r="42268" spans="1:8">
      <c r="H42268" t="s">
        <v>36016</v>
      </c>
    </row>
    <row r="42269" spans="1:8">
      <c r="H42269" t="s">
        <v>36017</v>
      </c>
    </row>
    <row r="42270" spans="1:8">
      <c r="A42270" t="s">
        <v>3740</v>
      </c>
      <c r="B42270">
        <f>HYPERLINK("https://android.googlesource.com/platform/cts/+/e6e62dc8404d042f071760f1335b35aa116d3236", "e6e62dc8404d042f071760f1335b35aa116d3236")</f>
        <v>0</v>
      </c>
      <c r="C42270">
        <f>HYPERLINK("https://android.googlesource.com/platform/cts/+/675d85d9a24003e0992475703249a98fed616496", "675d85d9a24003e0992475703249a98fed616496")</f>
        <v>0</v>
      </c>
      <c r="D42270" t="s">
        <v>5409</v>
      </c>
      <c r="E42270" t="s">
        <v>9432</v>
      </c>
      <c r="F42270" t="s">
        <v>14451</v>
      </c>
      <c r="G42270" t="s">
        <v>18386</v>
      </c>
      <c r="H42270" t="s">
        <v>30327</v>
      </c>
    </row>
    <row r="42271" spans="1:8">
      <c r="H42271" t="s">
        <v>36018</v>
      </c>
    </row>
    <row r="42272" spans="1:8">
      <c r="H42272" t="s">
        <v>36019</v>
      </c>
    </row>
    <row r="42273" spans="1:8">
      <c r="H42273" t="s">
        <v>36020</v>
      </c>
    </row>
    <row r="42274" spans="1:8">
      <c r="H42274" t="s">
        <v>36021</v>
      </c>
    </row>
    <row r="42275" spans="1:8">
      <c r="H42275" t="s">
        <v>36022</v>
      </c>
    </row>
    <row r="42276" spans="1:8">
      <c r="H42276" t="s">
        <v>36023</v>
      </c>
    </row>
    <row r="42277" spans="1:8">
      <c r="H42277" t="s">
        <v>36024</v>
      </c>
    </row>
    <row r="42278" spans="1:8">
      <c r="H42278" t="s">
        <v>36025</v>
      </c>
    </row>
    <row r="42279" spans="1:8">
      <c r="H42279" t="s">
        <v>36026</v>
      </c>
    </row>
    <row r="42280" spans="1:8">
      <c r="H42280" t="s">
        <v>36027</v>
      </c>
    </row>
    <row r="42281" spans="1:8">
      <c r="H42281" t="s">
        <v>36028</v>
      </c>
    </row>
    <row r="42282" spans="1:8">
      <c r="H42282" t="s">
        <v>36029</v>
      </c>
    </row>
    <row r="42283" spans="1:8">
      <c r="A42283" t="s">
        <v>3741</v>
      </c>
      <c r="B42283">
        <f>HYPERLINK("https://android.googlesource.com/platform/cts/+/274bbe081f3553cfca6f7206afde650b21092ae8", "274bbe081f3553cfca6f7206afde650b21092ae8")</f>
        <v>0</v>
      </c>
      <c r="C42283">
        <f>HYPERLINK("https://android.googlesource.com/platform/cts/+/8fa0a17c661617da954e06cfa888078de773dbd1", "8fa0a17c661617da954e06cfa888078de773dbd1")</f>
        <v>0</v>
      </c>
      <c r="D42283" t="s">
        <v>5409</v>
      </c>
      <c r="E42283" t="s">
        <v>9433</v>
      </c>
      <c r="F42283" t="s">
        <v>14415</v>
      </c>
      <c r="G42283" t="s">
        <v>18353</v>
      </c>
      <c r="H42283" t="s">
        <v>22587</v>
      </c>
    </row>
    <row r="42284" spans="1:8">
      <c r="F42284" t="s">
        <v>14426</v>
      </c>
      <c r="G42284" t="s">
        <v>18364</v>
      </c>
      <c r="H42284" t="s">
        <v>22587</v>
      </c>
    </row>
    <row r="42285" spans="1:8">
      <c r="H42285" t="s">
        <v>33498</v>
      </c>
    </row>
    <row r="42286" spans="1:8">
      <c r="A42286" t="s">
        <v>3742</v>
      </c>
      <c r="B42286">
        <f>HYPERLINK("https://android.googlesource.com/platform/cts/+/c8fbdf78ba45998832f137231d153d9b2fef05b3", "c8fbdf78ba45998832f137231d153d9b2fef05b3")</f>
        <v>0</v>
      </c>
      <c r="C42286">
        <f>HYPERLINK("https://android.googlesource.com/platform/cts/+/41ae130b6e11d90518dc4a7d2477352499bf237f", "41ae130b6e11d90518dc4a7d2477352499bf237f")</f>
        <v>0</v>
      </c>
      <c r="D42286" t="s">
        <v>5409</v>
      </c>
      <c r="E42286" t="s">
        <v>9434</v>
      </c>
      <c r="F42286" t="s">
        <v>14426</v>
      </c>
      <c r="G42286" t="s">
        <v>18364</v>
      </c>
      <c r="H42286" t="s">
        <v>36030</v>
      </c>
    </row>
    <row r="42287" spans="1:8">
      <c r="H42287" t="s">
        <v>36031</v>
      </c>
    </row>
    <row r="42288" spans="1:8">
      <c r="H42288" t="s">
        <v>36032</v>
      </c>
    </row>
    <row r="42289" spans="1:8">
      <c r="A42289" t="s">
        <v>3743</v>
      </c>
      <c r="B42289">
        <f>HYPERLINK("https://android.googlesource.com/platform/cts/+/4ecc10012f85911353b7f924f7cf7d6b0d4290d0", "4ecc10012f85911353b7f924f7cf7d6b0d4290d0")</f>
        <v>0</v>
      </c>
      <c r="C42289">
        <f>HYPERLINK("https://android.googlesource.com/platform/cts/+/3d87c3ae994ec7d4496cb0c62ae3c517a3aecc0c", "3d87c3ae994ec7d4496cb0c62ae3c517a3aecc0c")</f>
        <v>0</v>
      </c>
      <c r="D42289" t="s">
        <v>5409</v>
      </c>
      <c r="E42289" t="s">
        <v>9435</v>
      </c>
      <c r="F42289" t="s">
        <v>14451</v>
      </c>
      <c r="G42289" t="s">
        <v>18386</v>
      </c>
      <c r="H42289" t="s">
        <v>36033</v>
      </c>
    </row>
    <row r="42290" spans="1:8">
      <c r="A42290" t="s">
        <v>3745</v>
      </c>
      <c r="B42290">
        <f>HYPERLINK("https://android.googlesource.com/platform/cts/+/efee9aec2a652f3467d8da58ab9f70f673660c3c", "efee9aec2a652f3467d8da58ab9f70f673660c3c")</f>
        <v>0</v>
      </c>
      <c r="C42290">
        <f>HYPERLINK("https://android.googlesource.com/platform/cts/+/981000112934c5117c1d6e171dd85093e02a2086", "981000112934c5117c1d6e171dd85093e02a2086")</f>
        <v>0</v>
      </c>
      <c r="D42290" t="s">
        <v>5139</v>
      </c>
      <c r="E42290" t="s">
        <v>9437</v>
      </c>
      <c r="F42290" t="s">
        <v>13978</v>
      </c>
      <c r="G42290" t="s">
        <v>18003</v>
      </c>
      <c r="H42290" t="s">
        <v>36034</v>
      </c>
    </row>
    <row r="42291" spans="1:8">
      <c r="A42291" t="s">
        <v>3747</v>
      </c>
      <c r="B42291">
        <f>HYPERLINK("https://android.googlesource.com/platform/cts/+/206d8c16beeb10c6e074f9d11e912b08b7c9e334", "206d8c16beeb10c6e074f9d11e912b08b7c9e334")</f>
        <v>0</v>
      </c>
      <c r="C42291">
        <f>HYPERLINK("https://android.googlesource.com/platform/cts/+/bb6067542f038846f978ab964f226f8fd48f0012", "bb6067542f038846f978ab964f226f8fd48f0012")</f>
        <v>0</v>
      </c>
      <c r="D42291" t="s">
        <v>5408</v>
      </c>
      <c r="E42291" t="s">
        <v>9439</v>
      </c>
      <c r="F42291" t="s">
        <v>14128</v>
      </c>
      <c r="G42291" t="s">
        <v>18118</v>
      </c>
      <c r="H42291" t="s">
        <v>36035</v>
      </c>
    </row>
    <row r="42292" spans="1:8">
      <c r="A42292" t="s">
        <v>3748</v>
      </c>
      <c r="B42292">
        <f>HYPERLINK("https://android.googlesource.com/platform/cts/+/ffe16c9fc8cae179c6ac90cac988a5c6d5cf6f92", "ffe16c9fc8cae179c6ac90cac988a5c6d5cf6f92")</f>
        <v>0</v>
      </c>
      <c r="C42292">
        <f>HYPERLINK("https://android.googlesource.com/platform/cts/+/e25704d8305e8f7a556987f20a2bb869adb86e49", "e25704d8305e8f7a556987f20a2bb869adb86e49")</f>
        <v>0</v>
      </c>
      <c r="D42292" t="s">
        <v>5615</v>
      </c>
      <c r="E42292" t="s">
        <v>9440</v>
      </c>
      <c r="F42292" t="s">
        <v>14209</v>
      </c>
      <c r="G42292" t="s">
        <v>18185</v>
      </c>
      <c r="H42292" t="s">
        <v>36036</v>
      </c>
    </row>
    <row r="42293" spans="1:8">
      <c r="A42293" t="s">
        <v>3749</v>
      </c>
      <c r="B42293">
        <f>HYPERLINK("https://android.googlesource.com/platform/cts/+/f6d02a83a6410811118ef424c8d988a381c3c572", "f6d02a83a6410811118ef424c8d988a381c3c572")</f>
        <v>0</v>
      </c>
      <c r="C42293">
        <f>HYPERLINK("https://android.googlesource.com/platform/cts/+/9f07542f5fc80fc55d842ed88834750dd89e6e3e", "9f07542f5fc80fc55d842ed88834750dd89e6e3e")</f>
        <v>0</v>
      </c>
      <c r="D42293" t="s">
        <v>5244</v>
      </c>
      <c r="E42293" t="s">
        <v>9441</v>
      </c>
      <c r="F42293" t="s">
        <v>14452</v>
      </c>
      <c r="G42293" t="s">
        <v>18387</v>
      </c>
      <c r="H42293" t="s">
        <v>18893</v>
      </c>
    </row>
    <row r="42294" spans="1:8">
      <c r="A42294" t="s">
        <v>3750</v>
      </c>
      <c r="B42294">
        <f>HYPERLINK("https://android.googlesource.com/platform/cts/+/fac247161a6b4f5b449c3f41a76d7884aa623227", "fac247161a6b4f5b449c3f41a76d7884aa623227")</f>
        <v>0</v>
      </c>
      <c r="C42294">
        <f>HYPERLINK("https://android.googlesource.com/platform/cts/+/f264954af926255a3811a0b9d09a7a8db2f084a7", "f264954af926255a3811a0b9d09a7a8db2f084a7")</f>
        <v>0</v>
      </c>
      <c r="D42294" t="s">
        <v>5493</v>
      </c>
      <c r="E42294" t="s">
        <v>9442</v>
      </c>
      <c r="F42294" t="s">
        <v>13271</v>
      </c>
      <c r="G42294" t="s">
        <v>17408</v>
      </c>
      <c r="H42294" t="s">
        <v>36037</v>
      </c>
    </row>
    <row r="42295" spans="1:8">
      <c r="H42295" t="s">
        <v>36038</v>
      </c>
    </row>
    <row r="42296" spans="1:8">
      <c r="A42296" t="s">
        <v>3753</v>
      </c>
      <c r="B42296">
        <f>HYPERLINK("https://android.googlesource.com/platform/cts/+/1f5fef414ffbc411e4541538b8cd17f79c18f6b2", "1f5fef414ffbc411e4541538b8cd17f79c18f6b2")</f>
        <v>0</v>
      </c>
      <c r="C42296">
        <f>HYPERLINK("https://android.googlesource.com/platform/cts/+/a462bd99f5ef00f9649edfe47fe7dc417944c8c6", "a462bd99f5ef00f9649edfe47fe7dc417944c8c6")</f>
        <v>0</v>
      </c>
      <c r="D42296" t="s">
        <v>5134</v>
      </c>
      <c r="E42296" t="s">
        <v>9445</v>
      </c>
      <c r="F42296" t="s">
        <v>12901</v>
      </c>
      <c r="G42296" t="s">
        <v>17068</v>
      </c>
      <c r="H42296" t="s">
        <v>18829</v>
      </c>
    </row>
    <row r="42297" spans="1:8">
      <c r="A42297" t="s">
        <v>3754</v>
      </c>
      <c r="B42297">
        <f>HYPERLINK("https://android.googlesource.com/platform/cts/+/a22fe7140e2f5fe79e5ef72e61a8ef6a5d5e368f", "a22fe7140e2f5fe79e5ef72e61a8ef6a5d5e368f")</f>
        <v>0</v>
      </c>
      <c r="C42297">
        <f>HYPERLINK("https://android.googlesource.com/platform/cts/+/2ff6a90313bbf7c4e17b60b7445715f6ccf186b2", "2ff6a90313bbf7c4e17b60b7445715f6ccf186b2")</f>
        <v>0</v>
      </c>
      <c r="D42297" t="s">
        <v>5616</v>
      </c>
      <c r="E42297" t="s">
        <v>9446</v>
      </c>
      <c r="F42297" t="s">
        <v>14453</v>
      </c>
      <c r="G42297" t="s">
        <v>18388</v>
      </c>
      <c r="H42297" t="s">
        <v>36039</v>
      </c>
    </row>
    <row r="42298" spans="1:8">
      <c r="H42298" t="s">
        <v>36040</v>
      </c>
    </row>
    <row r="42299" spans="1:8">
      <c r="A42299" t="s">
        <v>3755</v>
      </c>
      <c r="B42299">
        <f>HYPERLINK("https://android.googlesource.com/platform/cts/+/4a06ed539bdb2ba461adfa4bfe3991e185a3070e", "4a06ed539bdb2ba461adfa4bfe3991e185a3070e")</f>
        <v>0</v>
      </c>
      <c r="C42299">
        <f>HYPERLINK("https://android.googlesource.com/platform/cts/+/ae698835be3bfb2092f558f8d810dc8ea3a7a0f1", "ae698835be3bfb2092f558f8d810dc8ea3a7a0f1")</f>
        <v>0</v>
      </c>
      <c r="D42299" t="s">
        <v>5595</v>
      </c>
      <c r="E42299" t="s">
        <v>9447</v>
      </c>
      <c r="F42299" t="s">
        <v>14069</v>
      </c>
      <c r="G42299" t="s">
        <v>18067</v>
      </c>
      <c r="H42299" t="s">
        <v>36041</v>
      </c>
    </row>
    <row r="42300" spans="1:8">
      <c r="H42300" t="s">
        <v>34904</v>
      </c>
    </row>
    <row r="42301" spans="1:8">
      <c r="F42301" t="s">
        <v>14454</v>
      </c>
      <c r="G42301" t="s">
        <v>18389</v>
      </c>
      <c r="H42301" t="s">
        <v>36042</v>
      </c>
    </row>
    <row r="42302" spans="1:8">
      <c r="A42302" t="s">
        <v>3756</v>
      </c>
      <c r="B42302">
        <f>HYPERLINK("https://android.googlesource.com/platform/cts/+/ab3f8b42c44441909df1ee36f1ffb555949cb4ef", "ab3f8b42c44441909df1ee36f1ffb555949cb4ef")</f>
        <v>0</v>
      </c>
      <c r="C42302">
        <f>HYPERLINK("https://android.googlesource.com/platform/cts/+/04dfa0ad01ed4ff3afd0547722f676bc4933b4f4", "04dfa0ad01ed4ff3afd0547722f676bc4933b4f4")</f>
        <v>0</v>
      </c>
      <c r="D42302" t="s">
        <v>5599</v>
      </c>
      <c r="E42302" t="s">
        <v>9448</v>
      </c>
      <c r="F42302" t="s">
        <v>14455</v>
      </c>
      <c r="G42302" t="s">
        <v>18390</v>
      </c>
      <c r="H42302" t="s">
        <v>36043</v>
      </c>
    </row>
    <row r="42303" spans="1:8">
      <c r="A42303" t="s">
        <v>3757</v>
      </c>
      <c r="B42303">
        <f>HYPERLINK("https://android.googlesource.com/platform/cts/+/885786e9032d921c4f01e4f0da8167ba33330c13", "885786e9032d921c4f01e4f0da8167ba33330c13")</f>
        <v>0</v>
      </c>
      <c r="C42303">
        <f>HYPERLINK("https://android.googlesource.com/platform/cts/+/61cb276ddcb5ab91bc8fcb0a525dd61e3391f8b9", "61cb276ddcb5ab91bc8fcb0a525dd61e3391f8b9")</f>
        <v>0</v>
      </c>
      <c r="D42303" t="s">
        <v>5444</v>
      </c>
      <c r="E42303" t="s">
        <v>9449</v>
      </c>
      <c r="F42303" t="s">
        <v>14456</v>
      </c>
      <c r="G42303" t="s">
        <v>16873</v>
      </c>
      <c r="H42303" t="s">
        <v>36044</v>
      </c>
    </row>
    <row r="42304" spans="1:8">
      <c r="A42304" t="s">
        <v>3758</v>
      </c>
      <c r="B42304">
        <f>HYPERLINK("https://android.googlesource.com/platform/cts/+/57d9b6ae3fe73b4277251da50631c7837565655e", "57d9b6ae3fe73b4277251da50631c7837565655e")</f>
        <v>0</v>
      </c>
      <c r="C42304">
        <f>HYPERLINK("https://android.googlesource.com/platform/cts/+/1a74341cd5e78f2eb02c3edf78d06fae961e641e", "1a74341cd5e78f2eb02c3edf78d06fae961e641e")</f>
        <v>0</v>
      </c>
      <c r="D42304" t="s">
        <v>5485</v>
      </c>
      <c r="E42304" t="s">
        <v>9450</v>
      </c>
      <c r="F42304" t="s">
        <v>14457</v>
      </c>
      <c r="G42304" t="s">
        <v>18391</v>
      </c>
      <c r="H42304" t="s">
        <v>30378</v>
      </c>
    </row>
    <row r="42305" spans="1:8">
      <c r="F42305" t="s">
        <v>13790</v>
      </c>
      <c r="G42305" t="s">
        <v>17519</v>
      </c>
      <c r="H42305" t="s">
        <v>36045</v>
      </c>
    </row>
    <row r="42306" spans="1:8">
      <c r="A42306" t="s">
        <v>3759</v>
      </c>
      <c r="B42306">
        <f>HYPERLINK("https://android.googlesource.com/platform/cts/+/242e5f715d5a1c260501fa6c1e92eb68bd65869e", "242e5f715d5a1c260501fa6c1e92eb68bd65869e")</f>
        <v>0</v>
      </c>
      <c r="C42306">
        <f>HYPERLINK("https://android.googlesource.com/platform/cts/+/df0a53b4f1df6ffe1969a8fd17399c11333943e7", "df0a53b4f1df6ffe1969a8fd17399c11333943e7")</f>
        <v>0</v>
      </c>
      <c r="D42306" t="s">
        <v>5096</v>
      </c>
      <c r="E42306" t="s">
        <v>9451</v>
      </c>
      <c r="F42306" t="s">
        <v>14441</v>
      </c>
      <c r="G42306" t="s">
        <v>18377</v>
      </c>
      <c r="H42306" t="s">
        <v>36046</v>
      </c>
    </row>
    <row r="42307" spans="1:8">
      <c r="A42307" t="s">
        <v>3760</v>
      </c>
      <c r="B42307">
        <f>HYPERLINK("https://android.googlesource.com/platform/cts/+/0d95ff431226ad9c44060b21464814f382123b0d", "0d95ff431226ad9c44060b21464814f382123b0d")</f>
        <v>0</v>
      </c>
      <c r="C42307">
        <f>HYPERLINK("https://android.googlesource.com/platform/cts/+/228e804a6f8f6a2e3b096a8120fcdcf42ab1c606", "228e804a6f8f6a2e3b096a8120fcdcf42ab1c606")</f>
        <v>0</v>
      </c>
      <c r="D42307" t="s">
        <v>4931</v>
      </c>
      <c r="E42307" t="s">
        <v>9452</v>
      </c>
      <c r="F42307" t="s">
        <v>14458</v>
      </c>
      <c r="G42307" t="s">
        <v>18392</v>
      </c>
      <c r="H42307" t="s">
        <v>36047</v>
      </c>
    </row>
    <row r="42308" spans="1:8">
      <c r="H42308" t="s">
        <v>36048</v>
      </c>
    </row>
    <row r="42309" spans="1:8">
      <c r="H42309" t="s">
        <v>36049</v>
      </c>
    </row>
    <row r="42310" spans="1:8">
      <c r="H42310" t="s">
        <v>36050</v>
      </c>
    </row>
    <row r="42311" spans="1:8">
      <c r="A42311" t="s">
        <v>3761</v>
      </c>
      <c r="B42311">
        <f>HYPERLINK("https://android.googlesource.com/platform/cts/+/d68e6af369d83ead7c67d6224ddaa88feefcdb19", "d68e6af369d83ead7c67d6224ddaa88feefcdb19")</f>
        <v>0</v>
      </c>
      <c r="C42311">
        <f>HYPERLINK("https://android.googlesource.com/platform/cts/+/655b2d4edc3ca285350ba44b3553e21024c5c841", "655b2d4edc3ca285350ba44b3553e21024c5c841")</f>
        <v>0</v>
      </c>
      <c r="D42311" t="s">
        <v>5610</v>
      </c>
      <c r="E42311" t="s">
        <v>9453</v>
      </c>
      <c r="F42311" t="s">
        <v>14459</v>
      </c>
      <c r="G42311" t="s">
        <v>18393</v>
      </c>
      <c r="H42311" t="s">
        <v>36051</v>
      </c>
    </row>
    <row r="42312" spans="1:8">
      <c r="A42312" t="s">
        <v>3762</v>
      </c>
      <c r="B42312">
        <f>HYPERLINK("https://android.googlesource.com/platform/cts/+/d4f6e6351acd502553b818af63aee91a5fc2a7e2", "d4f6e6351acd502553b818af63aee91a5fc2a7e2")</f>
        <v>0</v>
      </c>
      <c r="C42312">
        <f>HYPERLINK("https://android.googlesource.com/platform/cts/+/0f8ffe9f7c16c628cba8dd778566c6558666dd43", "0f8ffe9f7c16c628cba8dd778566c6558666dd43")</f>
        <v>0</v>
      </c>
      <c r="D42312" t="s">
        <v>5046</v>
      </c>
      <c r="E42312" t="s">
        <v>9454</v>
      </c>
      <c r="F42312" t="s">
        <v>13487</v>
      </c>
      <c r="G42312" t="s">
        <v>17044</v>
      </c>
      <c r="H42312" t="s">
        <v>36052</v>
      </c>
    </row>
    <row r="42313" spans="1:8">
      <c r="H42313" t="s">
        <v>35713</v>
      </c>
    </row>
    <row r="42314" spans="1:8">
      <c r="A42314" t="s">
        <v>3764</v>
      </c>
      <c r="B42314">
        <f>HYPERLINK("https://android.googlesource.com/platform/cts/+/308e143330eb08d91f584571049e53ba3f5c605a", "308e143330eb08d91f584571049e53ba3f5c605a")</f>
        <v>0</v>
      </c>
      <c r="C42314">
        <f>HYPERLINK("https://android.googlesource.com/platform/cts/+/9f49a7164a4f4ba8bc6c01bb7875425941f01e7a", "9f49a7164a4f4ba8bc6c01bb7875425941f01e7a")</f>
        <v>0</v>
      </c>
      <c r="D42314" t="s">
        <v>5421</v>
      </c>
      <c r="E42314" t="s">
        <v>9456</v>
      </c>
      <c r="F42314" t="s">
        <v>13480</v>
      </c>
      <c r="G42314" t="s">
        <v>17598</v>
      </c>
      <c r="H42314" t="s">
        <v>19982</v>
      </c>
    </row>
    <row r="42315" spans="1:8">
      <c r="H42315" t="s">
        <v>36053</v>
      </c>
    </row>
    <row r="42316" spans="1:8">
      <c r="H42316" t="s">
        <v>36054</v>
      </c>
    </row>
    <row r="42317" spans="1:8">
      <c r="H42317" t="s">
        <v>36055</v>
      </c>
    </row>
    <row r="42318" spans="1:8">
      <c r="H42318" t="s">
        <v>36056</v>
      </c>
    </row>
    <row r="42319" spans="1:8">
      <c r="H42319" t="s">
        <v>36057</v>
      </c>
    </row>
    <row r="42320" spans="1:8">
      <c r="H42320" t="s">
        <v>36058</v>
      </c>
    </row>
    <row r="42321" spans="1:8">
      <c r="H42321" t="s">
        <v>36059</v>
      </c>
    </row>
    <row r="42322" spans="1:8">
      <c r="H42322" t="s">
        <v>36060</v>
      </c>
    </row>
    <row r="42323" spans="1:8">
      <c r="H42323" t="s">
        <v>36061</v>
      </c>
    </row>
    <row r="42324" spans="1:8">
      <c r="H42324" t="s">
        <v>36062</v>
      </c>
    </row>
    <row r="42325" spans="1:8">
      <c r="H42325" t="s">
        <v>36063</v>
      </c>
    </row>
    <row r="42326" spans="1:8">
      <c r="A42326" t="s">
        <v>3767</v>
      </c>
      <c r="B42326">
        <f>HYPERLINK("https://android.googlesource.com/platform/cts/+/38deaf17b013c247c90537bb4ab3853be2d0a3e5", "38deaf17b013c247c90537bb4ab3853be2d0a3e5")</f>
        <v>0</v>
      </c>
      <c r="C42326">
        <f>HYPERLINK("https://android.googlesource.com/platform/cts/+/74edde3fcdbe3c546c535fa8fcd6ad465b7f0e09", "74edde3fcdbe3c546c535fa8fcd6ad465b7f0e09")</f>
        <v>0</v>
      </c>
      <c r="D42326" t="s">
        <v>5586</v>
      </c>
      <c r="E42326" t="s">
        <v>9459</v>
      </c>
      <c r="F42326" t="s">
        <v>13992</v>
      </c>
      <c r="G42326" t="s">
        <v>16620</v>
      </c>
      <c r="H42326" t="s">
        <v>35522</v>
      </c>
    </row>
    <row r="42327" spans="1:8">
      <c r="H42327" t="s">
        <v>35523</v>
      </c>
    </row>
    <row r="42328" spans="1:8">
      <c r="H42328" t="s">
        <v>36064</v>
      </c>
    </row>
    <row r="42329" spans="1:8">
      <c r="H42329" t="s">
        <v>35524</v>
      </c>
    </row>
    <row r="42330" spans="1:8">
      <c r="H42330" t="s">
        <v>35525</v>
      </c>
    </row>
    <row r="42331" spans="1:8">
      <c r="H42331" t="s">
        <v>35526</v>
      </c>
    </row>
    <row r="42332" spans="1:8">
      <c r="H42332" t="s">
        <v>35527</v>
      </c>
    </row>
    <row r="42333" spans="1:8">
      <c r="H42333" t="s">
        <v>35528</v>
      </c>
    </row>
    <row r="42334" spans="1:8">
      <c r="H42334" t="s">
        <v>35529</v>
      </c>
    </row>
    <row r="42335" spans="1:8">
      <c r="H42335" t="s">
        <v>35530</v>
      </c>
    </row>
    <row r="42336" spans="1:8">
      <c r="H42336" t="s">
        <v>35531</v>
      </c>
    </row>
    <row r="42337" spans="8:8">
      <c r="H42337" t="s">
        <v>35532</v>
      </c>
    </row>
    <row r="42338" spans="8:8">
      <c r="H42338" t="s">
        <v>35533</v>
      </c>
    </row>
    <row r="42339" spans="8:8">
      <c r="H42339" t="s">
        <v>35534</v>
      </c>
    </row>
    <row r="42340" spans="8:8">
      <c r="H42340" t="s">
        <v>35535</v>
      </c>
    </row>
    <row r="42341" spans="8:8">
      <c r="H42341" t="s">
        <v>35536</v>
      </c>
    </row>
    <row r="42342" spans="8:8">
      <c r="H42342" t="s">
        <v>35537</v>
      </c>
    </row>
    <row r="42343" spans="8:8">
      <c r="H42343" t="s">
        <v>35509</v>
      </c>
    </row>
    <row r="42344" spans="8:8">
      <c r="H42344" t="s">
        <v>35510</v>
      </c>
    </row>
    <row r="42345" spans="8:8">
      <c r="H42345" t="s">
        <v>35511</v>
      </c>
    </row>
    <row r="42346" spans="8:8">
      <c r="H42346" t="s">
        <v>35512</v>
      </c>
    </row>
    <row r="42347" spans="8:8">
      <c r="H42347" t="s">
        <v>35513</v>
      </c>
    </row>
    <row r="42348" spans="8:8">
      <c r="H42348" t="s">
        <v>35514</v>
      </c>
    </row>
    <row r="42349" spans="8:8">
      <c r="H42349" t="s">
        <v>35515</v>
      </c>
    </row>
    <row r="42350" spans="8:8">
      <c r="H42350" t="s">
        <v>35516</v>
      </c>
    </row>
    <row r="42351" spans="8:8">
      <c r="H42351" t="s">
        <v>35517</v>
      </c>
    </row>
    <row r="42352" spans="8:8">
      <c r="H42352" t="s">
        <v>35518</v>
      </c>
    </row>
    <row r="42353" spans="8:8">
      <c r="H42353" t="s">
        <v>35519</v>
      </c>
    </row>
    <row r="42354" spans="8:8">
      <c r="H42354" t="s">
        <v>35520</v>
      </c>
    </row>
    <row r="42355" spans="8:8">
      <c r="H42355" t="s">
        <v>35521</v>
      </c>
    </row>
    <row r="42356" spans="8:8">
      <c r="H42356" t="s">
        <v>35497</v>
      </c>
    </row>
    <row r="42357" spans="8:8">
      <c r="H42357" t="s">
        <v>35498</v>
      </c>
    </row>
    <row r="42358" spans="8:8">
      <c r="H42358" t="s">
        <v>35499</v>
      </c>
    </row>
    <row r="42359" spans="8:8">
      <c r="H42359" t="s">
        <v>35500</v>
      </c>
    </row>
    <row r="42360" spans="8:8">
      <c r="H42360" t="s">
        <v>35501</v>
      </c>
    </row>
    <row r="42361" spans="8:8">
      <c r="H42361" t="s">
        <v>35502</v>
      </c>
    </row>
    <row r="42362" spans="8:8">
      <c r="H42362" t="s">
        <v>35503</v>
      </c>
    </row>
    <row r="42363" spans="8:8">
      <c r="H42363" t="s">
        <v>35504</v>
      </c>
    </row>
    <row r="42364" spans="8:8">
      <c r="H42364" t="s">
        <v>35505</v>
      </c>
    </row>
    <row r="42365" spans="8:8">
      <c r="H42365" t="s">
        <v>35506</v>
      </c>
    </row>
    <row r="42366" spans="8:8">
      <c r="H42366" t="s">
        <v>35507</v>
      </c>
    </row>
    <row r="42367" spans="8:8">
      <c r="H42367" t="s">
        <v>35508</v>
      </c>
    </row>
    <row r="42368" spans="8:8">
      <c r="H42368" t="s">
        <v>35487</v>
      </c>
    </row>
    <row r="42369" spans="6:8">
      <c r="H42369" t="s">
        <v>35488</v>
      </c>
    </row>
    <row r="42370" spans="6:8">
      <c r="H42370" t="s">
        <v>35489</v>
      </c>
    </row>
    <row r="42371" spans="6:8">
      <c r="H42371" t="s">
        <v>35490</v>
      </c>
    </row>
    <row r="42372" spans="6:8">
      <c r="H42372" t="s">
        <v>35491</v>
      </c>
    </row>
    <row r="42373" spans="6:8">
      <c r="H42373" t="s">
        <v>35492</v>
      </c>
    </row>
    <row r="42374" spans="6:8">
      <c r="H42374" t="s">
        <v>35493</v>
      </c>
    </row>
    <row r="42375" spans="6:8">
      <c r="H42375" t="s">
        <v>35494</v>
      </c>
    </row>
    <row r="42376" spans="6:8">
      <c r="H42376" t="s">
        <v>35495</v>
      </c>
    </row>
    <row r="42377" spans="6:8">
      <c r="H42377" t="s">
        <v>35496</v>
      </c>
    </row>
    <row r="42378" spans="6:8">
      <c r="H42378" t="s">
        <v>36065</v>
      </c>
    </row>
    <row r="42379" spans="6:8">
      <c r="H42379" t="s">
        <v>36066</v>
      </c>
    </row>
    <row r="42380" spans="6:8">
      <c r="H42380" t="s">
        <v>36067</v>
      </c>
    </row>
    <row r="42381" spans="6:8">
      <c r="H42381" t="s">
        <v>36068</v>
      </c>
    </row>
    <row r="42382" spans="6:8">
      <c r="F42382" t="s">
        <v>13816</v>
      </c>
      <c r="G42382" t="s">
        <v>15089</v>
      </c>
      <c r="H42382" t="s">
        <v>36069</v>
      </c>
    </row>
    <row r="42383" spans="6:8">
      <c r="H42383" t="s">
        <v>36070</v>
      </c>
    </row>
    <row r="42384" spans="6:8">
      <c r="H42384" t="s">
        <v>35527</v>
      </c>
    </row>
    <row r="42385" spans="1:8">
      <c r="H42385" t="s">
        <v>36071</v>
      </c>
    </row>
    <row r="42386" spans="1:8">
      <c r="H42386" t="s">
        <v>35505</v>
      </c>
    </row>
    <row r="42387" spans="1:8">
      <c r="H42387" t="s">
        <v>35538</v>
      </c>
    </row>
    <row r="42388" spans="1:8">
      <c r="A42388" t="s">
        <v>3768</v>
      </c>
      <c r="B42388">
        <f>HYPERLINK("https://android.googlesource.com/platform/cts/+/20e3f9cd460947f6967fe34d7b1c4f14d84502e8", "20e3f9cd460947f6967fe34d7b1c4f14d84502e8")</f>
        <v>0</v>
      </c>
      <c r="C42388">
        <f>HYPERLINK("https://android.googlesource.com/platform/cts/+/426b88617c889d15a9b689e062095187af528213", "426b88617c889d15a9b689e062095187af528213")</f>
        <v>0</v>
      </c>
      <c r="D42388" t="s">
        <v>5617</v>
      </c>
      <c r="E42388" t="s">
        <v>9460</v>
      </c>
      <c r="F42388" t="s">
        <v>14460</v>
      </c>
      <c r="G42388" t="s">
        <v>18394</v>
      </c>
      <c r="H42388" t="s">
        <v>36072</v>
      </c>
    </row>
    <row r="42389" spans="1:8">
      <c r="H42389" t="s">
        <v>36073</v>
      </c>
    </row>
    <row r="42390" spans="1:8">
      <c r="H42390" t="s">
        <v>36074</v>
      </c>
    </row>
    <row r="42391" spans="1:8">
      <c r="A42391" t="s">
        <v>3769</v>
      </c>
      <c r="B42391">
        <f>HYPERLINK("https://android.googlesource.com/platform/cts/+/14c8d61ecaefa5c18ab02be789e018f522da64bc", "14c8d61ecaefa5c18ab02be789e018f522da64bc")</f>
        <v>0</v>
      </c>
      <c r="C42391">
        <f>HYPERLINK("https://android.googlesource.com/platform/cts/+/19835ead4b5423d48882dfcef9ae9f4d8d0735d9", "19835ead4b5423d48882dfcef9ae9f4d8d0735d9")</f>
        <v>0</v>
      </c>
      <c r="D42391" t="s">
        <v>5465</v>
      </c>
      <c r="E42391" t="s">
        <v>9461</v>
      </c>
      <c r="F42391" t="s">
        <v>14461</v>
      </c>
      <c r="G42391" t="s">
        <v>15710</v>
      </c>
      <c r="H42391" t="s">
        <v>36075</v>
      </c>
    </row>
    <row r="42392" spans="1:8">
      <c r="H42392" t="s">
        <v>36076</v>
      </c>
    </row>
    <row r="42393" spans="1:8">
      <c r="H42393" t="s">
        <v>36077</v>
      </c>
    </row>
    <row r="42394" spans="1:8">
      <c r="H42394" t="s">
        <v>36078</v>
      </c>
    </row>
    <row r="42395" spans="1:8">
      <c r="A42395" t="s">
        <v>3770</v>
      </c>
      <c r="B42395">
        <f>HYPERLINK("https://android.googlesource.com/platform/cts/+/507331e75a672ffd569b567664ace93f4ccd5aca", "507331e75a672ffd569b567664ace93f4ccd5aca")</f>
        <v>0</v>
      </c>
      <c r="C42395">
        <f>HYPERLINK("https://android.googlesource.com/platform/cts/+/14c8d61ecaefa5c18ab02be789e018f522da64bc", "14c8d61ecaefa5c18ab02be789e018f522da64bc")</f>
        <v>0</v>
      </c>
      <c r="D42395" t="s">
        <v>5465</v>
      </c>
      <c r="E42395" t="s">
        <v>9462</v>
      </c>
      <c r="F42395" t="s">
        <v>14461</v>
      </c>
      <c r="G42395" t="s">
        <v>15710</v>
      </c>
      <c r="H42395" t="s">
        <v>36079</v>
      </c>
    </row>
    <row r="42396" spans="1:8">
      <c r="H42396" t="s">
        <v>36080</v>
      </c>
    </row>
    <row r="42397" spans="1:8">
      <c r="H42397" t="s">
        <v>36081</v>
      </c>
    </row>
    <row r="42398" spans="1:8">
      <c r="H42398" t="s">
        <v>36082</v>
      </c>
    </row>
    <row r="42399" spans="1:8">
      <c r="H42399" t="s">
        <v>36083</v>
      </c>
    </row>
    <row r="42400" spans="1:8">
      <c r="H42400" t="s">
        <v>36083</v>
      </c>
    </row>
    <row r="42401" spans="1:8">
      <c r="A42401" t="s">
        <v>3771</v>
      </c>
      <c r="B42401">
        <f>HYPERLINK("https://android.googlesource.com/platform/cts/+/91ddf93d28ecb35f13ec398df0a7b2e9c830e1a0", "91ddf93d28ecb35f13ec398df0a7b2e9c830e1a0")</f>
        <v>0</v>
      </c>
      <c r="C42401">
        <f>HYPERLINK("https://android.googlesource.com/platform/cts/+/a0e4e03bd5e99e1718196b977f9dd87712ff851d", "a0e4e03bd5e99e1718196b977f9dd87712ff851d")</f>
        <v>0</v>
      </c>
      <c r="D42401" t="s">
        <v>5409</v>
      </c>
      <c r="E42401" t="s">
        <v>9463</v>
      </c>
      <c r="F42401" t="s">
        <v>14462</v>
      </c>
      <c r="G42401" t="s">
        <v>18326</v>
      </c>
      <c r="H42401" t="s">
        <v>36084</v>
      </c>
    </row>
    <row r="42402" spans="1:8">
      <c r="H42402" t="s">
        <v>36085</v>
      </c>
    </row>
    <row r="42403" spans="1:8">
      <c r="H42403" t="s">
        <v>36086</v>
      </c>
    </row>
    <row r="42404" spans="1:8">
      <c r="H42404" t="s">
        <v>33498</v>
      </c>
    </row>
    <row r="42405" spans="1:8">
      <c r="A42405" t="s">
        <v>3772</v>
      </c>
      <c r="B42405">
        <f>HYPERLINK("https://android.googlesource.com/platform/cts/+/e0bf90376a384064fcd28706caa018436b30c538", "e0bf90376a384064fcd28706caa018436b30c538")</f>
        <v>0</v>
      </c>
      <c r="C42405">
        <f>HYPERLINK("https://android.googlesource.com/platform/cts/+/a0e4e03bd5e99e1718196b977f9dd87712ff851d", "a0e4e03bd5e99e1718196b977f9dd87712ff851d")</f>
        <v>0</v>
      </c>
      <c r="D42405" t="s">
        <v>5409</v>
      </c>
      <c r="E42405" t="s">
        <v>9464</v>
      </c>
      <c r="F42405" t="s">
        <v>14451</v>
      </c>
      <c r="G42405" t="s">
        <v>18386</v>
      </c>
      <c r="H42405" t="s">
        <v>36087</v>
      </c>
    </row>
    <row r="42406" spans="1:8">
      <c r="A42406" t="s">
        <v>3773</v>
      </c>
      <c r="B42406">
        <f>HYPERLINK("https://android.googlesource.com/platform/cts/+/59bc219e12663ae8d63f7fcf23f6396acda4eb76", "59bc219e12663ae8d63f7fcf23f6396acda4eb76")</f>
        <v>0</v>
      </c>
      <c r="C42406">
        <f>HYPERLINK("https://android.googlesource.com/platform/cts/+/af11f658364615d5dfefed3c4f6dc96a458ed209", "af11f658364615d5dfefed3c4f6dc96a458ed209")</f>
        <v>0</v>
      </c>
      <c r="D42406" t="s">
        <v>5472</v>
      </c>
      <c r="E42406" t="s">
        <v>9465</v>
      </c>
      <c r="F42406" t="s">
        <v>14463</v>
      </c>
      <c r="G42406" t="s">
        <v>18395</v>
      </c>
      <c r="H42406" t="s">
        <v>36088</v>
      </c>
    </row>
    <row r="42407" spans="1:8">
      <c r="H42407" t="s">
        <v>36089</v>
      </c>
    </row>
    <row r="42408" spans="1:8">
      <c r="F42408" t="s">
        <v>14464</v>
      </c>
      <c r="G42408" t="s">
        <v>18396</v>
      </c>
      <c r="H42408" t="s">
        <v>36088</v>
      </c>
    </row>
    <row r="42409" spans="1:8">
      <c r="H42409" t="s">
        <v>36090</v>
      </c>
    </row>
    <row r="42410" spans="1:8">
      <c r="A42410" t="s">
        <v>3774</v>
      </c>
      <c r="B42410">
        <f>HYPERLINK("https://android.googlesource.com/platform/cts/+/a879dd563b4a32f4e4ff43529e90b73ecd4f7cda", "a879dd563b4a32f4e4ff43529e90b73ecd4f7cda")</f>
        <v>0</v>
      </c>
      <c r="C42410">
        <f>HYPERLINK("https://android.googlesource.com/platform/cts/+/29bb7918fcecdd907e5433d4083ca0872f516fda", "29bb7918fcecdd907e5433d4083ca0872f516fda")</f>
        <v>0</v>
      </c>
      <c r="D42410" t="s">
        <v>5443</v>
      </c>
      <c r="E42410" t="s">
        <v>9466</v>
      </c>
      <c r="F42410" t="s">
        <v>12710</v>
      </c>
      <c r="G42410" t="s">
        <v>16911</v>
      </c>
      <c r="H42410" t="s">
        <v>30890</v>
      </c>
    </row>
    <row r="42411" spans="1:8">
      <c r="A42411" t="s">
        <v>3776</v>
      </c>
      <c r="B42411">
        <f>HYPERLINK("https://android.googlesource.com/platform/cts/+/655d4e3764b8be23d8328548f0a096fe4ef0d01e", "655d4e3764b8be23d8328548f0a096fe4ef0d01e")</f>
        <v>0</v>
      </c>
      <c r="C42411">
        <f>HYPERLINK("https://android.googlesource.com/platform/cts/+/e90726f8742838f37634f68779d24d2f574dfe4e", "e90726f8742838f37634f68779d24d2f574dfe4e")</f>
        <v>0</v>
      </c>
      <c r="D42411" t="s">
        <v>5134</v>
      </c>
      <c r="E42411" t="s">
        <v>9468</v>
      </c>
      <c r="F42411" t="s">
        <v>14465</v>
      </c>
      <c r="G42411" t="s">
        <v>18397</v>
      </c>
      <c r="H42411" t="s">
        <v>36091</v>
      </c>
    </row>
    <row r="42412" spans="1:8">
      <c r="A42412" t="s">
        <v>3777</v>
      </c>
      <c r="B42412">
        <f>HYPERLINK("https://android.googlesource.com/platform/cts/+/b1a479baa4bc9cb00aab3e83db148f60b3cc1e15", "b1a479baa4bc9cb00aab3e83db148f60b3cc1e15")</f>
        <v>0</v>
      </c>
      <c r="C42412">
        <f>HYPERLINK("https://android.googlesource.com/platform/cts/+/a5d2e46a3c7ad04f05ff154859ee39bafdf9a64b", "a5d2e46a3c7ad04f05ff154859ee39bafdf9a64b")</f>
        <v>0</v>
      </c>
      <c r="D42412" t="s">
        <v>5618</v>
      </c>
      <c r="E42412" t="s">
        <v>9469</v>
      </c>
      <c r="F42412" t="s">
        <v>14466</v>
      </c>
      <c r="G42412" t="s">
        <v>18398</v>
      </c>
      <c r="H42412" t="s">
        <v>36092</v>
      </c>
    </row>
    <row r="42413" spans="1:8">
      <c r="A42413" t="s">
        <v>3778</v>
      </c>
      <c r="B42413">
        <f>HYPERLINK("https://android.googlesource.com/platform/cts/+/c86d5462ac806dd2500bb44bac671e5e7f09cfd2", "c86d5462ac806dd2500bb44bac671e5e7f09cfd2")</f>
        <v>0</v>
      </c>
      <c r="C42413">
        <f>HYPERLINK("https://android.googlesource.com/platform/cts/+/e971fb9e2e58b48b22ffc66493d57edd755f5821", "e971fb9e2e58b48b22ffc66493d57edd755f5821")</f>
        <v>0</v>
      </c>
      <c r="D42413" t="s">
        <v>5619</v>
      </c>
      <c r="E42413" t="s">
        <v>9470</v>
      </c>
      <c r="F42413" t="s">
        <v>14467</v>
      </c>
      <c r="G42413" t="s">
        <v>18399</v>
      </c>
      <c r="H42413" t="s">
        <v>36093</v>
      </c>
    </row>
    <row r="42414" spans="1:8">
      <c r="A42414" t="s">
        <v>3779</v>
      </c>
      <c r="B42414">
        <f>HYPERLINK("https://android.googlesource.com/platform/cts/+/b736905caa5c80fa2b927759d5328341cb831c23", "b736905caa5c80fa2b927759d5328341cb831c23")</f>
        <v>0</v>
      </c>
      <c r="C42414">
        <f>HYPERLINK("https://android.googlesource.com/platform/cts/+/13dfad89384b4254c83af6a6a5d7bfe7fc4c0baf", "13dfad89384b4254c83af6a6a5d7bfe7fc4c0baf")</f>
        <v>0</v>
      </c>
      <c r="D42414" t="s">
        <v>5589</v>
      </c>
      <c r="E42414" t="s">
        <v>9471</v>
      </c>
      <c r="F42414" t="s">
        <v>14468</v>
      </c>
      <c r="G42414" t="s">
        <v>18400</v>
      </c>
      <c r="H42414" t="s">
        <v>36094</v>
      </c>
    </row>
    <row r="42415" spans="1:8">
      <c r="A42415" t="s">
        <v>3780</v>
      </c>
      <c r="B42415">
        <f>HYPERLINK("https://android.googlesource.com/platform/cts/+/970b8706e4b0c3c08000027f76e174c042fb20c7", "970b8706e4b0c3c08000027f76e174c042fb20c7")</f>
        <v>0</v>
      </c>
      <c r="C42415">
        <f>HYPERLINK("https://android.googlesource.com/platform/cts/+/27377273576357da0e8e98541da1c98d0054a801", "27377273576357da0e8e98541da1c98d0054a801")</f>
        <v>0</v>
      </c>
      <c r="D42415" t="s">
        <v>5454</v>
      </c>
      <c r="E42415" t="s">
        <v>9472</v>
      </c>
      <c r="F42415" t="s">
        <v>14124</v>
      </c>
      <c r="G42415" t="s">
        <v>18114</v>
      </c>
      <c r="H42415" t="s">
        <v>36095</v>
      </c>
    </row>
    <row r="42416" spans="1:8">
      <c r="A42416" t="s">
        <v>3781</v>
      </c>
      <c r="B42416">
        <f>HYPERLINK("https://android.googlesource.com/platform/cts/+/e48216b9c1fb548510656d4b986460c51b428432", "e48216b9c1fb548510656d4b986460c51b428432")</f>
        <v>0</v>
      </c>
      <c r="C42416">
        <f>HYPERLINK("https://android.googlesource.com/platform/cts/+/e06c631f3b4161cb873d351a7a72f69fc0133ddb", "e06c631f3b4161cb873d351a7a72f69fc0133ddb")</f>
        <v>0</v>
      </c>
      <c r="D42416" t="s">
        <v>5602</v>
      </c>
      <c r="E42416" t="s">
        <v>9473</v>
      </c>
      <c r="F42416" t="s">
        <v>12599</v>
      </c>
      <c r="G42416" t="s">
        <v>16812</v>
      </c>
      <c r="H42416" t="s">
        <v>36096</v>
      </c>
    </row>
    <row r="42417" spans="1:8">
      <c r="A42417" t="s">
        <v>3782</v>
      </c>
      <c r="B42417">
        <f>HYPERLINK("https://android.googlesource.com/platform/cts/+/29d582d24158d7b9db2486a58d4802afa96cdce8", "29d582d24158d7b9db2486a58d4802afa96cdce8")</f>
        <v>0</v>
      </c>
      <c r="C42417">
        <f>HYPERLINK("https://android.googlesource.com/platform/cts/+/debcf497bfc7562d0d58ba09aaa5fd3de5bdfca8", "debcf497bfc7562d0d58ba09aaa5fd3de5bdfca8")</f>
        <v>0</v>
      </c>
      <c r="D42417" t="s">
        <v>5096</v>
      </c>
      <c r="E42417" t="s">
        <v>9474</v>
      </c>
      <c r="F42417" t="s">
        <v>14469</v>
      </c>
      <c r="G42417" t="s">
        <v>18401</v>
      </c>
      <c r="H42417" t="s">
        <v>35973</v>
      </c>
    </row>
    <row r="42418" spans="1:8">
      <c r="H42418" t="s">
        <v>32999</v>
      </c>
    </row>
    <row r="42419" spans="1:8">
      <c r="H42419" t="s">
        <v>35974</v>
      </c>
    </row>
    <row r="42420" spans="1:8">
      <c r="A42420" t="s">
        <v>3783</v>
      </c>
      <c r="B42420">
        <f>HYPERLINK("https://android.googlesource.com/platform/cts/+/3755bffaedf2a2824fd30fdbb24c7401ec2816e5", "3755bffaedf2a2824fd30fdbb24c7401ec2816e5")</f>
        <v>0</v>
      </c>
      <c r="C42420">
        <f>HYPERLINK("https://android.googlesource.com/platform/cts/+/2d7144b53f96b0eebb0f18130dc2cc64aeb97c3f", "2d7144b53f96b0eebb0f18130dc2cc64aeb97c3f")</f>
        <v>0</v>
      </c>
      <c r="D42420" t="s">
        <v>5454</v>
      </c>
      <c r="E42420" t="s">
        <v>9475</v>
      </c>
      <c r="F42420" t="s">
        <v>14124</v>
      </c>
      <c r="G42420" t="s">
        <v>18114</v>
      </c>
      <c r="H42420" t="s">
        <v>36097</v>
      </c>
    </row>
    <row r="42421" spans="1:8">
      <c r="A42421" t="s">
        <v>3786</v>
      </c>
      <c r="B42421">
        <f>HYPERLINK("https://android.googlesource.com/platform/cts/+/a82a746f44649b689f330c035bebfb13dab3d967", "a82a746f44649b689f330c035bebfb13dab3d967")</f>
        <v>0</v>
      </c>
      <c r="C42421">
        <f>HYPERLINK("https://android.googlesource.com/platform/cts/+/c9239353f9b933687cdfcfafc7b61d45cf94593e", "c9239353f9b933687cdfcfafc7b61d45cf94593e")</f>
        <v>0</v>
      </c>
      <c r="D42421" t="s">
        <v>5141</v>
      </c>
      <c r="E42421" t="s">
        <v>9478</v>
      </c>
      <c r="F42421" t="s">
        <v>14470</v>
      </c>
      <c r="G42421" t="s">
        <v>18402</v>
      </c>
      <c r="H42421" t="s">
        <v>36098</v>
      </c>
    </row>
    <row r="42422" spans="1:8">
      <c r="H42422" t="s">
        <v>36099</v>
      </c>
    </row>
    <row r="42423" spans="1:8">
      <c r="H42423" t="s">
        <v>36100</v>
      </c>
    </row>
    <row r="42424" spans="1:8">
      <c r="H42424" t="s">
        <v>36101</v>
      </c>
    </row>
    <row r="42425" spans="1:8">
      <c r="H42425" t="s">
        <v>36102</v>
      </c>
    </row>
    <row r="42426" spans="1:8">
      <c r="A42426" t="s">
        <v>3787</v>
      </c>
      <c r="B42426">
        <f>HYPERLINK("https://android.googlesource.com/platform/cts/+/31ead20c54016e43b1368756f4cd7ff96818cb2c", "31ead20c54016e43b1368756f4cd7ff96818cb2c")</f>
        <v>0</v>
      </c>
      <c r="C42426">
        <f>HYPERLINK("https://android.googlesource.com/platform/cts/+/c8bfbf423dd30d19097b84a18138194cf0e1c283", "c8bfbf423dd30d19097b84a18138194cf0e1c283")</f>
        <v>0</v>
      </c>
      <c r="D42426" t="s">
        <v>5344</v>
      </c>
      <c r="E42426" t="s">
        <v>9479</v>
      </c>
      <c r="F42426" t="s">
        <v>14471</v>
      </c>
      <c r="G42426" t="s">
        <v>18403</v>
      </c>
      <c r="H42426" t="s">
        <v>36103</v>
      </c>
    </row>
    <row r="42427" spans="1:8">
      <c r="H42427" t="s">
        <v>36104</v>
      </c>
    </row>
    <row r="42428" spans="1:8">
      <c r="H42428" t="s">
        <v>36105</v>
      </c>
    </row>
    <row r="42429" spans="1:8">
      <c r="H42429" t="s">
        <v>36106</v>
      </c>
    </row>
    <row r="42430" spans="1:8">
      <c r="H42430" t="s">
        <v>36107</v>
      </c>
    </row>
    <row r="42431" spans="1:8">
      <c r="F42431" t="s">
        <v>14472</v>
      </c>
      <c r="G42431" t="s">
        <v>18404</v>
      </c>
      <c r="H42431" t="s">
        <v>36108</v>
      </c>
    </row>
    <row r="42432" spans="1:8">
      <c r="H42432" t="s">
        <v>36107</v>
      </c>
    </row>
    <row r="42433" spans="1:8">
      <c r="F42433" t="s">
        <v>14473</v>
      </c>
      <c r="G42433" t="s">
        <v>18405</v>
      </c>
      <c r="H42433" t="s">
        <v>36109</v>
      </c>
    </row>
    <row r="42434" spans="1:8">
      <c r="H42434" t="s">
        <v>36110</v>
      </c>
    </row>
    <row r="42435" spans="1:8">
      <c r="H42435" t="s">
        <v>36111</v>
      </c>
    </row>
    <row r="42436" spans="1:8">
      <c r="H42436" t="s">
        <v>36106</v>
      </c>
    </row>
    <row r="42437" spans="1:8">
      <c r="H42437" t="s">
        <v>36112</v>
      </c>
    </row>
    <row r="42438" spans="1:8">
      <c r="H42438" t="s">
        <v>36113</v>
      </c>
    </row>
    <row r="42439" spans="1:8">
      <c r="A42439" t="s">
        <v>3789</v>
      </c>
      <c r="B42439">
        <f>HYPERLINK("https://android.googlesource.com/platform/cts/+/83e8e03d3b181d87d807341e94be32afe52cb300", "83e8e03d3b181d87d807341e94be32afe52cb300")</f>
        <v>0</v>
      </c>
      <c r="C42439">
        <f>HYPERLINK("https://android.googlesource.com/platform/cts/+/8e4050810ef02c4a6a384ac6165cb0d6c904e304", "8e4050810ef02c4a6a384ac6165cb0d6c904e304")</f>
        <v>0</v>
      </c>
      <c r="D42439" t="s">
        <v>5400</v>
      </c>
      <c r="E42439" t="s">
        <v>9481</v>
      </c>
      <c r="F42439" t="s">
        <v>14474</v>
      </c>
      <c r="G42439" t="s">
        <v>18406</v>
      </c>
      <c r="H42439" t="s">
        <v>36039</v>
      </c>
    </row>
    <row r="42440" spans="1:8">
      <c r="H42440" t="s">
        <v>36114</v>
      </c>
    </row>
    <row r="42441" spans="1:8">
      <c r="H42441" t="s">
        <v>36115</v>
      </c>
    </row>
    <row r="42442" spans="1:8">
      <c r="H42442" t="s">
        <v>36116</v>
      </c>
    </row>
    <row r="42443" spans="1:8">
      <c r="A42443" t="s">
        <v>3790</v>
      </c>
      <c r="B42443">
        <f>HYPERLINK("https://android.googlesource.com/platform/cts/+/66ccad22914e25dd88ee6e9812883a5fa7ebff1e", "66ccad22914e25dd88ee6e9812883a5fa7ebff1e")</f>
        <v>0</v>
      </c>
      <c r="C42443">
        <f>HYPERLINK("https://android.googlesource.com/platform/cts/+/2eac328180a72a7e6a68880c18679be3ed4c68f2", "2eac328180a72a7e6a68880c18679be3ed4c68f2")</f>
        <v>0</v>
      </c>
      <c r="D42443" t="s">
        <v>5620</v>
      </c>
      <c r="E42443" t="s">
        <v>9482</v>
      </c>
      <c r="F42443" t="s">
        <v>14475</v>
      </c>
      <c r="G42443" t="s">
        <v>18407</v>
      </c>
      <c r="H42443" t="s">
        <v>36117</v>
      </c>
    </row>
    <row r="42444" spans="1:8">
      <c r="H42444" t="s">
        <v>36118</v>
      </c>
    </row>
    <row r="42445" spans="1:8">
      <c r="H42445" t="s">
        <v>36119</v>
      </c>
    </row>
    <row r="42446" spans="1:8">
      <c r="A42446" t="s">
        <v>3791</v>
      </c>
      <c r="B42446">
        <f>HYPERLINK("https://android.googlesource.com/platform/cts/+/61cb11294e006a30c3f8c58c378622501dd62a1b", "61cb11294e006a30c3f8c58c378622501dd62a1b")</f>
        <v>0</v>
      </c>
      <c r="C42446">
        <f>HYPERLINK("https://android.googlesource.com/platform/cts/+/1594a7161e27f9e5ef3e0602f2230262d6530472", "1594a7161e27f9e5ef3e0602f2230262d6530472")</f>
        <v>0</v>
      </c>
      <c r="D42446" t="s">
        <v>5517</v>
      </c>
      <c r="E42446" t="s">
        <v>9483</v>
      </c>
      <c r="F42446" t="s">
        <v>13470</v>
      </c>
      <c r="G42446" t="s">
        <v>17589</v>
      </c>
      <c r="H42446" t="s">
        <v>36120</v>
      </c>
    </row>
    <row r="42447" spans="1:8">
      <c r="A42447" t="s">
        <v>3792</v>
      </c>
      <c r="B42447">
        <f>HYPERLINK("https://android.googlesource.com/platform/cts/+/c0e975a9eff62ff0f4c6ef725e29d79c08b65da1", "c0e975a9eff62ff0f4c6ef725e29d79c08b65da1")</f>
        <v>0</v>
      </c>
      <c r="C42447">
        <f>HYPERLINK("https://android.googlesource.com/platform/cts/+/1594a7161e27f9e5ef3e0602f2230262d6530472", "1594a7161e27f9e5ef3e0602f2230262d6530472")</f>
        <v>0</v>
      </c>
      <c r="D42447" t="s">
        <v>5438</v>
      </c>
      <c r="E42447" t="s">
        <v>9484</v>
      </c>
      <c r="F42447" t="s">
        <v>14476</v>
      </c>
      <c r="G42447" t="s">
        <v>18408</v>
      </c>
      <c r="H42447" t="s">
        <v>36121</v>
      </c>
    </row>
    <row r="42448" spans="1:8">
      <c r="H42448" t="s">
        <v>36122</v>
      </c>
    </row>
    <row r="42449" spans="1:8">
      <c r="A42449" t="s">
        <v>3793</v>
      </c>
      <c r="B42449">
        <f>HYPERLINK("https://android.googlesource.com/platform/cts/+/ea4c9fa12bdf09e16698c66c3b9f15b470baa67f", "ea4c9fa12bdf09e16698c66c3b9f15b470baa67f")</f>
        <v>0</v>
      </c>
      <c r="C42449">
        <f>HYPERLINK("https://android.googlesource.com/platform/cts/+/d472e426a7e093dae9172360c4e2ed0a5540fd5a", "d472e426a7e093dae9172360c4e2ed0a5540fd5a")</f>
        <v>0</v>
      </c>
      <c r="D42449" t="s">
        <v>5243</v>
      </c>
      <c r="E42449" t="s">
        <v>9485</v>
      </c>
      <c r="F42449" t="s">
        <v>13103</v>
      </c>
      <c r="G42449" t="s">
        <v>17265</v>
      </c>
      <c r="H42449" t="s">
        <v>36123</v>
      </c>
    </row>
    <row r="42450" spans="1:8">
      <c r="A42450" t="s">
        <v>3794</v>
      </c>
      <c r="B42450">
        <f>HYPERLINK("https://android.googlesource.com/platform/cts/+/c4c7f6b73dbe72f4dd02c65419e1f2dcdc890036", "c4c7f6b73dbe72f4dd02c65419e1f2dcdc890036")</f>
        <v>0</v>
      </c>
      <c r="C42450">
        <f>HYPERLINK("https://android.googlesource.com/platform/cts/+/42875b120b2568e530a53193d1ba42601ddb725f", "42875b120b2568e530a53193d1ba42601ddb725f")</f>
        <v>0</v>
      </c>
      <c r="D42450" t="s">
        <v>5520</v>
      </c>
      <c r="E42450" t="s">
        <v>9486</v>
      </c>
      <c r="F42450" t="s">
        <v>14477</v>
      </c>
      <c r="G42450" t="s">
        <v>18409</v>
      </c>
      <c r="H42450" t="s">
        <v>19981</v>
      </c>
    </row>
    <row r="42451" spans="1:8">
      <c r="H42451" t="s">
        <v>36124</v>
      </c>
    </row>
    <row r="42452" spans="1:8">
      <c r="F42452" t="s">
        <v>14478</v>
      </c>
      <c r="G42452" t="s">
        <v>18410</v>
      </c>
      <c r="H42452" t="s">
        <v>36125</v>
      </c>
    </row>
    <row r="42453" spans="1:8">
      <c r="A42453" t="s">
        <v>3796</v>
      </c>
      <c r="B42453">
        <f>HYPERLINK("https://android.googlesource.com/platform/cts/+/adaa33aeb593a7fb15f1fba98c4deff59c176649", "adaa33aeb593a7fb15f1fba98c4deff59c176649")</f>
        <v>0</v>
      </c>
      <c r="C42453">
        <f>HYPERLINK("https://android.googlesource.com/platform/cts/+/f456df86f911a1fd3b469ff362dd08c6e45635b6", "f456df86f911a1fd3b469ff362dd08c6e45635b6")</f>
        <v>0</v>
      </c>
      <c r="D42453" t="s">
        <v>5148</v>
      </c>
      <c r="E42453" t="s">
        <v>9488</v>
      </c>
      <c r="F42453" t="s">
        <v>14479</v>
      </c>
      <c r="G42453" t="s">
        <v>18411</v>
      </c>
      <c r="H42453" t="s">
        <v>30245</v>
      </c>
    </row>
    <row r="42454" spans="1:8">
      <c r="H42454" t="s">
        <v>30245</v>
      </c>
    </row>
    <row r="42455" spans="1:8">
      <c r="H42455" t="s">
        <v>36126</v>
      </c>
    </row>
    <row r="42456" spans="1:8">
      <c r="A42456" t="s">
        <v>3797</v>
      </c>
      <c r="B42456">
        <f>HYPERLINK("https://android.googlesource.com/platform/cts/+/756d82ce7d5f752c7fd55deaf7fd9c1ea2b5f464", "756d82ce7d5f752c7fd55deaf7fd9c1ea2b5f464")</f>
        <v>0</v>
      </c>
      <c r="C42456">
        <f>HYPERLINK("https://android.googlesource.com/platform/cts/+/e8fc1139cb4879052aeb4d9511b90f5c07defdbb", "e8fc1139cb4879052aeb4d9511b90f5c07defdbb")</f>
        <v>0</v>
      </c>
      <c r="D42456" t="s">
        <v>5400</v>
      </c>
      <c r="E42456" t="s">
        <v>9489</v>
      </c>
      <c r="F42456" t="s">
        <v>14474</v>
      </c>
      <c r="G42456" t="s">
        <v>18406</v>
      </c>
      <c r="H42456" t="s">
        <v>36127</v>
      </c>
    </row>
    <row r="42457" spans="1:8">
      <c r="H42457" t="s">
        <v>36128</v>
      </c>
    </row>
    <row r="42458" spans="1:8">
      <c r="A42458" t="s">
        <v>3798</v>
      </c>
      <c r="B42458">
        <f>HYPERLINK("https://android.googlesource.com/platform/cts/+/ee99c17a59eddd5e819118e29c9c08b08560a61e", "ee99c17a59eddd5e819118e29c9c08b08560a61e")</f>
        <v>0</v>
      </c>
      <c r="C42458">
        <f>HYPERLINK("https://android.googlesource.com/platform/cts/+/9168462b987d9fd220094009c75b548517f1bf28", "9168462b987d9fd220094009c75b548517f1bf28")</f>
        <v>0</v>
      </c>
      <c r="D42458" t="s">
        <v>5359</v>
      </c>
      <c r="E42458" t="s">
        <v>9490</v>
      </c>
      <c r="F42458" t="s">
        <v>14480</v>
      </c>
      <c r="G42458" t="s">
        <v>18412</v>
      </c>
      <c r="H42458" t="s">
        <v>36129</v>
      </c>
    </row>
    <row r="42459" spans="1:8">
      <c r="A42459" t="s">
        <v>3799</v>
      </c>
      <c r="B42459">
        <f>HYPERLINK("https://android.googlesource.com/platform/cts/+/3358e6bbc28405c65a2778649f2391d9d356bed3", "3358e6bbc28405c65a2778649f2391d9d356bed3")</f>
        <v>0</v>
      </c>
      <c r="C42459">
        <f>HYPERLINK("https://android.googlesource.com/platform/cts/+/23e5bd0b7a8fcc173f56b56daa96007b4be983f8", "23e5bd0b7a8fcc173f56b56daa96007b4be983f8")</f>
        <v>0</v>
      </c>
      <c r="D42459" t="s">
        <v>5046</v>
      </c>
      <c r="E42459" t="s">
        <v>9491</v>
      </c>
      <c r="F42459" t="s">
        <v>13487</v>
      </c>
      <c r="G42459" t="s">
        <v>17044</v>
      </c>
      <c r="H42459" t="s">
        <v>36052</v>
      </c>
    </row>
    <row r="42460" spans="1:8">
      <c r="H42460" t="s">
        <v>35713</v>
      </c>
    </row>
    <row r="42461" spans="1:8">
      <c r="H42461" t="s">
        <v>36130</v>
      </c>
    </row>
    <row r="42462" spans="1:8">
      <c r="H42462" t="s">
        <v>36131</v>
      </c>
    </row>
    <row r="42463" spans="1:8">
      <c r="A42463" t="s">
        <v>3800</v>
      </c>
      <c r="B42463">
        <f>HYPERLINK("https://android.googlesource.com/platform/cts/+/770558a62436b6ea5a035ee5961b8b0984b7338d", "770558a62436b6ea5a035ee5961b8b0984b7338d")</f>
        <v>0</v>
      </c>
      <c r="C42463">
        <f>HYPERLINK("https://android.googlesource.com/platform/cts/+/f7adba966f7997f90e90f1471e8d8b5440a57eea", "f7adba966f7997f90e90f1471e8d8b5440a57eea")</f>
        <v>0</v>
      </c>
      <c r="D42463" t="s">
        <v>5417</v>
      </c>
      <c r="E42463" t="s">
        <v>9492</v>
      </c>
      <c r="F42463" t="s">
        <v>14161</v>
      </c>
      <c r="G42463" t="s">
        <v>18139</v>
      </c>
      <c r="H42463" t="s">
        <v>36132</v>
      </c>
    </row>
    <row r="42464" spans="1:8">
      <c r="A42464" t="s">
        <v>3801</v>
      </c>
      <c r="B42464">
        <f>HYPERLINK("https://android.googlesource.com/platform/cts/+/712a07b43c1624643b2a482083d5cce0e09aaabc", "712a07b43c1624643b2a482083d5cce0e09aaabc")</f>
        <v>0</v>
      </c>
      <c r="C42464">
        <f>HYPERLINK("https://android.googlesource.com/platform/cts/+/38180946f4c2dfa7f126901524d62b0ce3942b2e", "38180946f4c2dfa7f126901524d62b0ce3942b2e")</f>
        <v>0</v>
      </c>
      <c r="D42464" t="s">
        <v>5621</v>
      </c>
      <c r="E42464" t="s">
        <v>9493</v>
      </c>
      <c r="F42464" t="s">
        <v>13816</v>
      </c>
      <c r="G42464" t="s">
        <v>15089</v>
      </c>
      <c r="H42464" t="s">
        <v>36133</v>
      </c>
    </row>
    <row r="42465" spans="1:8">
      <c r="A42465" t="s">
        <v>3802</v>
      </c>
      <c r="B42465">
        <f>HYPERLINK("https://android.googlesource.com/platform/cts/+/121c56fdc7045d578f5dd3a7309332b5c9a518b1", "121c56fdc7045d578f5dd3a7309332b5c9a518b1")</f>
        <v>0</v>
      </c>
      <c r="C42465">
        <f>HYPERLINK("https://android.googlesource.com/platform/cts/+/e54119d00f9bfd5b24b8eef836c59d0597513783", "e54119d00f9bfd5b24b8eef836c59d0597513783")</f>
        <v>0</v>
      </c>
      <c r="D42465" t="s">
        <v>5134</v>
      </c>
      <c r="E42465" t="s">
        <v>9494</v>
      </c>
      <c r="F42465" t="s">
        <v>14422</v>
      </c>
      <c r="G42465" t="s">
        <v>18360</v>
      </c>
      <c r="H42465" t="s">
        <v>36134</v>
      </c>
    </row>
    <row r="42466" spans="1:8">
      <c r="A42466" t="s">
        <v>3803</v>
      </c>
      <c r="B42466">
        <f>HYPERLINK("https://android.googlesource.com/platform/cts/+/14dd0dd325906b15198cea5271f40f18550bcf15", "14dd0dd325906b15198cea5271f40f18550bcf15")</f>
        <v>0</v>
      </c>
      <c r="C42466">
        <f>HYPERLINK("https://android.googlesource.com/platform/cts/+/f84f610a508b167db13c144bdd3c35c324e485f8", "f84f610a508b167db13c144bdd3c35c324e485f8")</f>
        <v>0</v>
      </c>
      <c r="D42466" t="s">
        <v>5622</v>
      </c>
      <c r="E42466" t="s">
        <v>9495</v>
      </c>
      <c r="F42466" t="s">
        <v>14469</v>
      </c>
      <c r="G42466" t="s">
        <v>18401</v>
      </c>
      <c r="H42466" t="s">
        <v>27192</v>
      </c>
    </row>
    <row r="42467" spans="1:8">
      <c r="A42467" t="s">
        <v>3804</v>
      </c>
      <c r="B42467">
        <f>HYPERLINK("https://android.googlesource.com/platform/cts/+/0509935f93e3f487a233d9777eb4a8cc42a6af65", "0509935f93e3f487a233d9777eb4a8cc42a6af65")</f>
        <v>0</v>
      </c>
      <c r="C42467">
        <f>HYPERLINK("https://android.googlesource.com/platform/cts/+/9dbed0abf489dfa3e889ce0202cca43747e8945d", "9dbed0abf489dfa3e889ce0202cca43747e8945d")</f>
        <v>0</v>
      </c>
      <c r="D42467" t="s">
        <v>5180</v>
      </c>
      <c r="E42467" t="s">
        <v>9496</v>
      </c>
      <c r="F42467" t="s">
        <v>14481</v>
      </c>
      <c r="G42467" t="s">
        <v>18413</v>
      </c>
      <c r="H42467" t="s">
        <v>36135</v>
      </c>
    </row>
    <row r="42468" spans="1:8">
      <c r="A42468" t="s">
        <v>3805</v>
      </c>
      <c r="B42468">
        <f>HYPERLINK("https://android.googlesource.com/platform/cts/+/82495fad66080319cd7301814ad94b2d29f6c51e", "82495fad66080319cd7301814ad94b2d29f6c51e")</f>
        <v>0</v>
      </c>
      <c r="C42468">
        <f>HYPERLINK("https://android.googlesource.com/platform/cts/+/75665417c4052b6addff92f1445bd14beac9bf73", "75665417c4052b6addff92f1445bd14beac9bf73")</f>
        <v>0</v>
      </c>
      <c r="D42468" t="s">
        <v>5219</v>
      </c>
      <c r="E42468" t="s">
        <v>9497</v>
      </c>
      <c r="F42468" t="s">
        <v>14482</v>
      </c>
      <c r="G42468" t="s">
        <v>18414</v>
      </c>
      <c r="H42468" t="s">
        <v>36136</v>
      </c>
    </row>
    <row r="42469" spans="1:8">
      <c r="H42469" t="s">
        <v>36137</v>
      </c>
    </row>
    <row r="42470" spans="1:8">
      <c r="H42470" t="s">
        <v>36138</v>
      </c>
    </row>
    <row r="42471" spans="1:8">
      <c r="H42471" t="s">
        <v>36139</v>
      </c>
    </row>
    <row r="42472" spans="1:8">
      <c r="H42472" t="s">
        <v>36140</v>
      </c>
    </row>
    <row r="42473" spans="1:8">
      <c r="H42473" t="s">
        <v>36141</v>
      </c>
    </row>
    <row r="42474" spans="1:8">
      <c r="H42474" t="s">
        <v>36142</v>
      </c>
    </row>
    <row r="42475" spans="1:8">
      <c r="H42475" t="s">
        <v>36143</v>
      </c>
    </row>
    <row r="42476" spans="1:8">
      <c r="H42476" t="s">
        <v>36144</v>
      </c>
    </row>
    <row r="42477" spans="1:8">
      <c r="H42477" t="s">
        <v>36145</v>
      </c>
    </row>
    <row r="42478" spans="1:8">
      <c r="H42478" t="s">
        <v>36146</v>
      </c>
    </row>
    <row r="42479" spans="1:8">
      <c r="H42479" t="s">
        <v>36147</v>
      </c>
    </row>
    <row r="42480" spans="1:8">
      <c r="H42480" t="s">
        <v>36148</v>
      </c>
    </row>
    <row r="42481" spans="1:8">
      <c r="H42481" t="s">
        <v>36149</v>
      </c>
    </row>
    <row r="42482" spans="1:8">
      <c r="H42482" t="s">
        <v>36150</v>
      </c>
    </row>
    <row r="42483" spans="1:8">
      <c r="H42483" t="s">
        <v>36151</v>
      </c>
    </row>
    <row r="42484" spans="1:8">
      <c r="H42484" t="s">
        <v>36152</v>
      </c>
    </row>
    <row r="42485" spans="1:8">
      <c r="H42485" t="s">
        <v>36153</v>
      </c>
    </row>
    <row r="42486" spans="1:8">
      <c r="H42486" t="s">
        <v>36154</v>
      </c>
    </row>
    <row r="42487" spans="1:8">
      <c r="H42487" t="s">
        <v>36155</v>
      </c>
    </row>
    <row r="42488" spans="1:8">
      <c r="H42488" t="s">
        <v>36156</v>
      </c>
    </row>
    <row r="42489" spans="1:8">
      <c r="H42489" t="s">
        <v>36157</v>
      </c>
    </row>
    <row r="42490" spans="1:8">
      <c r="H42490" t="s">
        <v>36158</v>
      </c>
    </row>
    <row r="42491" spans="1:8">
      <c r="H42491" t="s">
        <v>36159</v>
      </c>
    </row>
    <row r="42492" spans="1:8">
      <c r="H42492" t="s">
        <v>36160</v>
      </c>
    </row>
    <row r="42493" spans="1:8">
      <c r="H42493" t="s">
        <v>36161</v>
      </c>
    </row>
    <row r="42494" spans="1:8">
      <c r="H42494" t="s">
        <v>36162</v>
      </c>
    </row>
    <row r="42495" spans="1:8">
      <c r="H42495" t="s">
        <v>36163</v>
      </c>
    </row>
    <row r="42496" spans="1:8">
      <c r="A42496" t="s">
        <v>3806</v>
      </c>
      <c r="B42496">
        <f>HYPERLINK("https://android.googlesource.com/platform/cts/+/37e3cd4567aa37f49188f4675b8fb7513cea7f96", "37e3cd4567aa37f49188f4675b8fb7513cea7f96")</f>
        <v>0</v>
      </c>
      <c r="C42496">
        <f>HYPERLINK("https://android.googlesource.com/platform/cts/+/712a07b43c1624643b2a482083d5cce0e09aaabc", "712a07b43c1624643b2a482083d5cce0e09aaabc")</f>
        <v>0</v>
      </c>
      <c r="D42496" t="s">
        <v>5623</v>
      </c>
      <c r="E42496" t="s">
        <v>9498</v>
      </c>
      <c r="F42496" t="s">
        <v>14483</v>
      </c>
      <c r="G42496" t="s">
        <v>18415</v>
      </c>
      <c r="H42496" t="s">
        <v>36164</v>
      </c>
    </row>
    <row r="42497" spans="1:8">
      <c r="H42497" t="s">
        <v>36165</v>
      </c>
    </row>
    <row r="42498" spans="1:8">
      <c r="A42498" t="s">
        <v>3807</v>
      </c>
      <c r="B42498">
        <f>HYPERLINK("https://android.googlesource.com/platform/cts/+/5fc25d369ed05d9b8cd2fb3dbb5209926ac54923", "5fc25d369ed05d9b8cd2fb3dbb5209926ac54923")</f>
        <v>0</v>
      </c>
      <c r="C42498">
        <f>HYPERLINK("https://android.googlesource.com/platform/cts/+/d49a9a56d85eea82e7ea696183c2d564a3bd6eb3", "d49a9a56d85eea82e7ea696183c2d564a3bd6eb3")</f>
        <v>0</v>
      </c>
      <c r="D42498" t="s">
        <v>5180</v>
      </c>
      <c r="E42498" t="s">
        <v>9499</v>
      </c>
      <c r="F42498" t="s">
        <v>14481</v>
      </c>
      <c r="G42498" t="s">
        <v>18413</v>
      </c>
      <c r="H42498" t="s">
        <v>36166</v>
      </c>
    </row>
    <row r="42499" spans="1:8">
      <c r="H42499" t="s">
        <v>36167</v>
      </c>
    </row>
    <row r="42500" spans="1:8">
      <c r="H42500" t="s">
        <v>36168</v>
      </c>
    </row>
    <row r="42501" spans="1:8">
      <c r="A42501" t="s">
        <v>3808</v>
      </c>
      <c r="B42501">
        <f>HYPERLINK("https://android.googlesource.com/platform/cts/+/267489424548261ebf34db7c9938b07c1166c9cb", "267489424548261ebf34db7c9938b07c1166c9cb")</f>
        <v>0</v>
      </c>
      <c r="C42501">
        <f>HYPERLINK("https://android.googlesource.com/platform/cts/+/93d6d7aac39a81ab4b4e727cee3c8ea0a808c9b8", "93d6d7aac39a81ab4b4e727cee3c8ea0a808c9b8")</f>
        <v>0</v>
      </c>
      <c r="D42501" t="s">
        <v>5621</v>
      </c>
      <c r="E42501" t="s">
        <v>9500</v>
      </c>
      <c r="F42501" t="s">
        <v>13816</v>
      </c>
      <c r="G42501" t="s">
        <v>15089</v>
      </c>
      <c r="H42501" t="s">
        <v>36133</v>
      </c>
    </row>
    <row r="42502" spans="1:8">
      <c r="A42502" t="s">
        <v>3809</v>
      </c>
      <c r="B42502">
        <f>HYPERLINK("https://android.googlesource.com/platform/cts/+/92abe57f355a3f845b8bd100664766121f6c8f5c", "92abe57f355a3f845b8bd100664766121f6c8f5c")</f>
        <v>0</v>
      </c>
      <c r="C42502">
        <f>HYPERLINK("https://android.googlesource.com/platform/cts/+/ace4f4d8065734bc8e9d9ddd6af323331225c296", "ace4f4d8065734bc8e9d9ddd6af323331225c296")</f>
        <v>0</v>
      </c>
      <c r="D42502" t="s">
        <v>5624</v>
      </c>
      <c r="E42502" t="s">
        <v>9501</v>
      </c>
      <c r="F42502" t="s">
        <v>12176</v>
      </c>
      <c r="G42502" t="s">
        <v>16415</v>
      </c>
      <c r="H42502" t="s">
        <v>36169</v>
      </c>
    </row>
    <row r="42503" spans="1:8">
      <c r="A42503" t="s">
        <v>3810</v>
      </c>
      <c r="B42503">
        <f>HYPERLINK("https://android.googlesource.com/platform/cts/+/aefee4c9ff841ada03a631b13079d370dbcdb66f", "aefee4c9ff841ada03a631b13079d370dbcdb66f")</f>
        <v>0</v>
      </c>
      <c r="C42503">
        <f>HYPERLINK("https://android.googlesource.com/platform/cts/+/64687baae4d38761c49d6f1c274322e0e7cffd5f", "64687baae4d38761c49d6f1c274322e0e7cffd5f")</f>
        <v>0</v>
      </c>
      <c r="D42503" t="s">
        <v>5595</v>
      </c>
      <c r="E42503" t="s">
        <v>9502</v>
      </c>
      <c r="F42503" t="s">
        <v>14484</v>
      </c>
      <c r="G42503" t="s">
        <v>18416</v>
      </c>
      <c r="H42503" t="s">
        <v>36170</v>
      </c>
    </row>
    <row r="42504" spans="1:8">
      <c r="A42504" t="s">
        <v>3811</v>
      </c>
      <c r="B42504">
        <f>HYPERLINK("https://android.googlesource.com/platform/cts/+/5fb0d1f79d7265aa1ad014211905088f124b902a", "5fb0d1f79d7265aa1ad014211905088f124b902a")</f>
        <v>0</v>
      </c>
      <c r="C42504">
        <f>HYPERLINK("https://android.googlesource.com/platform/cts/+/9460d743902a1f8ba8943dc8c5ca1a92535feb9c", "9460d743902a1f8ba8943dc8c5ca1a92535feb9c")</f>
        <v>0</v>
      </c>
      <c r="D42504" t="s">
        <v>5574</v>
      </c>
      <c r="E42504" t="s">
        <v>9503</v>
      </c>
      <c r="F42504" t="s">
        <v>14485</v>
      </c>
      <c r="G42504" t="s">
        <v>17560</v>
      </c>
      <c r="H42504" t="s">
        <v>36171</v>
      </c>
    </row>
    <row r="42505" spans="1:8">
      <c r="H42505" t="s">
        <v>36172</v>
      </c>
    </row>
    <row r="42506" spans="1:8">
      <c r="A42506" t="s">
        <v>3812</v>
      </c>
      <c r="B42506">
        <f>HYPERLINK("https://android.googlesource.com/platform/cts/+/ade68bcb5882e6b78e8cb3e26a625a54ee612675", "ade68bcb5882e6b78e8cb3e26a625a54ee612675")</f>
        <v>0</v>
      </c>
      <c r="C42506">
        <f>HYPERLINK("https://android.googlesource.com/platform/cts/+/ef3cae7c99ea4adb3a561ea6a69f4a8cd023aac9", "ef3cae7c99ea4adb3a561ea6a69f4a8cd023aac9")</f>
        <v>0</v>
      </c>
      <c r="D42506" t="s">
        <v>5313</v>
      </c>
      <c r="E42506" t="s">
        <v>9504</v>
      </c>
      <c r="F42506" t="s">
        <v>14165</v>
      </c>
      <c r="G42506" t="s">
        <v>17361</v>
      </c>
      <c r="H42506" t="s">
        <v>36173</v>
      </c>
    </row>
    <row r="42507" spans="1:8">
      <c r="A42507" t="s">
        <v>3813</v>
      </c>
      <c r="B42507">
        <f>HYPERLINK("https://android.googlesource.com/platform/cts/+/415954122309dd40be8c34a954a2e900161ffe5d", "415954122309dd40be8c34a954a2e900161ffe5d")</f>
        <v>0</v>
      </c>
      <c r="C42507">
        <f>HYPERLINK("https://android.googlesource.com/platform/cts/+/f26efb19e329f3adc61b0cd567ce6263349cbf83", "f26efb19e329f3adc61b0cd567ce6263349cbf83")</f>
        <v>0</v>
      </c>
      <c r="D42507" t="s">
        <v>5625</v>
      </c>
      <c r="E42507" t="s">
        <v>9505</v>
      </c>
      <c r="F42507" t="s">
        <v>13816</v>
      </c>
      <c r="G42507" t="s">
        <v>15089</v>
      </c>
      <c r="H42507" t="s">
        <v>36174</v>
      </c>
    </row>
    <row r="42508" spans="1:8">
      <c r="A42508" t="s">
        <v>3814</v>
      </c>
      <c r="B42508">
        <f>HYPERLINK("https://android.googlesource.com/platform/cts/+/90e66e3ab0c4644aa2fcc602417272181dc2ef58", "90e66e3ab0c4644aa2fcc602417272181dc2ef58")</f>
        <v>0</v>
      </c>
      <c r="C42508">
        <f>HYPERLINK("https://android.googlesource.com/platform/cts/+/7aab706761435cf5393bbb56649491d8c35ae02d", "7aab706761435cf5393bbb56649491d8c35ae02d")</f>
        <v>0</v>
      </c>
      <c r="D42508" t="s">
        <v>5585</v>
      </c>
      <c r="E42508" t="s">
        <v>9506</v>
      </c>
      <c r="F42508" t="s">
        <v>13788</v>
      </c>
      <c r="G42508" t="s">
        <v>17841</v>
      </c>
      <c r="H42508" t="s">
        <v>35469</v>
      </c>
    </row>
    <row r="42509" spans="1:8">
      <c r="A42509" t="s">
        <v>3817</v>
      </c>
      <c r="B42509">
        <f>HYPERLINK("https://android.googlesource.com/platform/cts/+/cb0ce7b15bf0597c67a121fe498a7b9187c7b93a", "cb0ce7b15bf0597c67a121fe498a7b9187c7b93a")</f>
        <v>0</v>
      </c>
      <c r="C42509">
        <f>HYPERLINK("https://android.googlesource.com/platform/cts/+/01923684d0485d039317f879049a910106d53aec", "01923684d0485d039317f879049a910106d53aec")</f>
        <v>0</v>
      </c>
      <c r="D42509" t="s">
        <v>5469</v>
      </c>
      <c r="E42509" t="s">
        <v>9509</v>
      </c>
      <c r="F42509" t="s">
        <v>14486</v>
      </c>
      <c r="G42509" t="s">
        <v>18417</v>
      </c>
      <c r="H42509" t="s">
        <v>36175</v>
      </c>
    </row>
    <row r="42510" spans="1:8">
      <c r="H42510" t="s">
        <v>36176</v>
      </c>
    </row>
    <row r="42511" spans="1:8">
      <c r="A42511" t="s">
        <v>3818</v>
      </c>
      <c r="B42511">
        <f>HYPERLINK("https://android.googlesource.com/platform/cts/+/1b14ed81f9d84f93ce74f9104dfd05c1bb14fc8c", "1b14ed81f9d84f93ce74f9104dfd05c1bb14fc8c")</f>
        <v>0</v>
      </c>
      <c r="C42511">
        <f>HYPERLINK("https://android.googlesource.com/platform/cts/+/6d40d66e7ef35c61117eac9a67756448c38e322a", "6d40d66e7ef35c61117eac9a67756448c38e322a")</f>
        <v>0</v>
      </c>
      <c r="D42511" t="s">
        <v>5139</v>
      </c>
      <c r="E42511" t="s">
        <v>9510</v>
      </c>
      <c r="F42511" t="s">
        <v>14487</v>
      </c>
      <c r="G42511" t="s">
        <v>18418</v>
      </c>
      <c r="H42511" t="s">
        <v>36177</v>
      </c>
    </row>
    <row r="42512" spans="1:8">
      <c r="H42512" t="s">
        <v>36178</v>
      </c>
    </row>
    <row r="42513" spans="1:8">
      <c r="H42513" t="s">
        <v>36179</v>
      </c>
    </row>
    <row r="42514" spans="1:8">
      <c r="F42514" t="s">
        <v>12931</v>
      </c>
      <c r="G42514" t="s">
        <v>17096</v>
      </c>
      <c r="H42514" t="s">
        <v>36180</v>
      </c>
    </row>
    <row r="42515" spans="1:8">
      <c r="A42515" t="s">
        <v>3819</v>
      </c>
      <c r="B42515">
        <f>HYPERLINK("https://android.googlesource.com/platform/cts/+/3e7ff67f105be00b55411abc7d138413c8077405", "3e7ff67f105be00b55411abc7d138413c8077405")</f>
        <v>0</v>
      </c>
      <c r="C42515">
        <f>HYPERLINK("https://android.googlesource.com/platform/cts/+/93d6d7aac39a81ab4b4e727cee3c8ea0a808c9b8", "93d6d7aac39a81ab4b4e727cee3c8ea0a808c9b8")</f>
        <v>0</v>
      </c>
      <c r="D42515" t="s">
        <v>5272</v>
      </c>
      <c r="E42515" t="s">
        <v>9511</v>
      </c>
      <c r="F42515" t="s">
        <v>13757</v>
      </c>
      <c r="G42515" t="s">
        <v>17816</v>
      </c>
      <c r="H42515" t="s">
        <v>36181</v>
      </c>
    </row>
    <row r="42516" spans="1:8">
      <c r="A42516" t="s">
        <v>3820</v>
      </c>
      <c r="B42516">
        <f>HYPERLINK("https://android.googlesource.com/platform/cts/+/1773bd5a8578ad9f4deac92814d405940f1b0066", "1773bd5a8578ad9f4deac92814d405940f1b0066")</f>
        <v>0</v>
      </c>
      <c r="C42516">
        <f>HYPERLINK("https://android.googlesource.com/platform/cts/+/87a4f8487a7063b22a5caf67f8c82c3c9a5d0193", "87a4f8487a7063b22a5caf67f8c82c3c9a5d0193")</f>
        <v>0</v>
      </c>
      <c r="D42516" t="s">
        <v>5344</v>
      </c>
      <c r="E42516" t="s">
        <v>9512</v>
      </c>
      <c r="F42516" t="s">
        <v>14473</v>
      </c>
      <c r="G42516" t="s">
        <v>18405</v>
      </c>
      <c r="H42516" t="s">
        <v>36182</v>
      </c>
    </row>
    <row r="42517" spans="1:8">
      <c r="H42517" t="s">
        <v>36183</v>
      </c>
    </row>
    <row r="42518" spans="1:8">
      <c r="A42518" t="s">
        <v>3821</v>
      </c>
      <c r="B42518">
        <f>HYPERLINK("https://android.googlesource.com/platform/cts/+/322fb2ba83471676eadc04fef924a89e207c8454", "322fb2ba83471676eadc04fef924a89e207c8454")</f>
        <v>0</v>
      </c>
      <c r="C42518">
        <f>HYPERLINK("https://android.googlesource.com/platform/cts/+/8ab92a6edc6d558a0a01b9ffd2d45c958ea93bcc", "8ab92a6edc6d558a0a01b9ffd2d45c958ea93bcc")</f>
        <v>0</v>
      </c>
      <c r="D42518" t="s">
        <v>5344</v>
      </c>
      <c r="E42518" t="s">
        <v>9513</v>
      </c>
      <c r="F42518" t="s">
        <v>14476</v>
      </c>
      <c r="G42518" t="s">
        <v>18408</v>
      </c>
      <c r="H42518" t="s">
        <v>36184</v>
      </c>
    </row>
    <row r="42519" spans="1:8">
      <c r="A42519" t="s">
        <v>3822</v>
      </c>
      <c r="B42519">
        <f>HYPERLINK("https://android.googlesource.com/platform/cts/+/7f65c7bbc4049f4e4f9fed4bc977e6b75b01b67c", "7f65c7bbc4049f4e4f9fed4bc977e6b75b01b67c")</f>
        <v>0</v>
      </c>
      <c r="C42519">
        <f>HYPERLINK("https://android.googlesource.com/platform/cts/+/4db3203acb645ecca876b22f5789ddcc182c852d", "4db3203acb645ecca876b22f5789ddcc182c852d")</f>
        <v>0</v>
      </c>
      <c r="D42519" t="s">
        <v>5528</v>
      </c>
      <c r="E42519" t="s">
        <v>9514</v>
      </c>
      <c r="F42519" t="s">
        <v>14488</v>
      </c>
      <c r="G42519" t="s">
        <v>17893</v>
      </c>
      <c r="H42519" t="s">
        <v>33185</v>
      </c>
    </row>
    <row r="42520" spans="1:8">
      <c r="H42520" t="s">
        <v>36185</v>
      </c>
    </row>
    <row r="42521" spans="1:8">
      <c r="A42521" t="s">
        <v>3823</v>
      </c>
      <c r="B42521">
        <f>HYPERLINK("https://android.googlesource.com/platform/cts/+/129e1a3d4626f32043cc33a4aab24edd35cc5433", "129e1a3d4626f32043cc33a4aab24edd35cc5433")</f>
        <v>0</v>
      </c>
      <c r="C42521">
        <f>HYPERLINK("https://android.googlesource.com/platform/cts/+/87e381e1c22ef37bf0f4cb8de27ee68262d9c494", "87e381e1c22ef37bf0f4cb8de27ee68262d9c494")</f>
        <v>0</v>
      </c>
      <c r="D42521" t="s">
        <v>5626</v>
      </c>
      <c r="E42521" t="s">
        <v>9515</v>
      </c>
      <c r="F42521" t="s">
        <v>14489</v>
      </c>
      <c r="G42521" t="s">
        <v>18419</v>
      </c>
      <c r="H42521" t="s">
        <v>36186</v>
      </c>
    </row>
    <row r="42522" spans="1:8">
      <c r="A42522" t="s">
        <v>3824</v>
      </c>
      <c r="B42522">
        <f>HYPERLINK("https://android.googlesource.com/platform/cts/+/b78ef2fcd435330b5ed4ae8eea5be2b14c775534", "b78ef2fcd435330b5ed4ae8eea5be2b14c775534")</f>
        <v>0</v>
      </c>
      <c r="C42522">
        <f>HYPERLINK("https://android.googlesource.com/platform/cts/+/0e4961682815c4e940a6bdb243f948c3ff77ce12", "0e4961682815c4e940a6bdb243f948c3ff77ce12")</f>
        <v>0</v>
      </c>
      <c r="D42522" t="s">
        <v>5465</v>
      </c>
      <c r="E42522" t="s">
        <v>9516</v>
      </c>
      <c r="F42522" t="s">
        <v>14490</v>
      </c>
      <c r="G42522" t="s">
        <v>18420</v>
      </c>
      <c r="H42522" t="s">
        <v>18829</v>
      </c>
    </row>
    <row r="42523" spans="1:8">
      <c r="H42523" t="s">
        <v>18863</v>
      </c>
    </row>
    <row r="42524" spans="1:8">
      <c r="H42524" t="s">
        <v>36187</v>
      </c>
    </row>
    <row r="42525" spans="1:8">
      <c r="H42525" t="s">
        <v>36188</v>
      </c>
    </row>
    <row r="42526" spans="1:8">
      <c r="H42526" t="s">
        <v>36189</v>
      </c>
    </row>
    <row r="42527" spans="1:8">
      <c r="H42527" t="s">
        <v>36190</v>
      </c>
    </row>
    <row r="42528" spans="1:8">
      <c r="H42528" t="s">
        <v>36191</v>
      </c>
    </row>
    <row r="42529" spans="6:8">
      <c r="H42529" t="s">
        <v>36192</v>
      </c>
    </row>
    <row r="42530" spans="6:8">
      <c r="H42530" t="s">
        <v>36193</v>
      </c>
    </row>
    <row r="42531" spans="6:8">
      <c r="H42531" t="s">
        <v>36192</v>
      </c>
    </row>
    <row r="42532" spans="6:8">
      <c r="F42532" t="s">
        <v>13213</v>
      </c>
      <c r="G42532" t="s">
        <v>17354</v>
      </c>
      <c r="H42532" t="s">
        <v>36194</v>
      </c>
    </row>
    <row r="42533" spans="6:8">
      <c r="H42533" t="s">
        <v>18829</v>
      </c>
    </row>
    <row r="42534" spans="6:8">
      <c r="H42534" t="s">
        <v>36195</v>
      </c>
    </row>
    <row r="42535" spans="6:8">
      <c r="H42535" t="s">
        <v>36196</v>
      </c>
    </row>
    <row r="42536" spans="6:8">
      <c r="H42536" t="s">
        <v>36197</v>
      </c>
    </row>
    <row r="42537" spans="6:8">
      <c r="H42537" t="s">
        <v>36198</v>
      </c>
    </row>
    <row r="42538" spans="6:8">
      <c r="H42538" t="s">
        <v>36199</v>
      </c>
    </row>
    <row r="42539" spans="6:8">
      <c r="H42539" t="s">
        <v>36200</v>
      </c>
    </row>
    <row r="42540" spans="6:8">
      <c r="H42540" t="s">
        <v>36201</v>
      </c>
    </row>
    <row r="42541" spans="6:8">
      <c r="H42541" t="s">
        <v>36202</v>
      </c>
    </row>
    <row r="42542" spans="6:8">
      <c r="H42542" t="s">
        <v>36203</v>
      </c>
    </row>
    <row r="42543" spans="6:8">
      <c r="H42543" t="s">
        <v>36204</v>
      </c>
    </row>
    <row r="42544" spans="6:8">
      <c r="H42544" t="s">
        <v>36205</v>
      </c>
    </row>
    <row r="42545" spans="1:8">
      <c r="H42545" t="s">
        <v>36206</v>
      </c>
    </row>
    <row r="42546" spans="1:8">
      <c r="H42546" t="s">
        <v>36207</v>
      </c>
    </row>
    <row r="42547" spans="1:8">
      <c r="F42547" t="s">
        <v>12629</v>
      </c>
      <c r="G42547" t="s">
        <v>16838</v>
      </c>
      <c r="H42547" t="s">
        <v>36208</v>
      </c>
    </row>
    <row r="42548" spans="1:8">
      <c r="F42548" t="s">
        <v>14491</v>
      </c>
      <c r="G42548" t="s">
        <v>18054</v>
      </c>
      <c r="H42548" t="s">
        <v>18829</v>
      </c>
    </row>
    <row r="42549" spans="1:8">
      <c r="H42549" t="s">
        <v>18863</v>
      </c>
    </row>
    <row r="42550" spans="1:8">
      <c r="H42550" t="s">
        <v>36209</v>
      </c>
    </row>
    <row r="42551" spans="1:8">
      <c r="H42551" t="s">
        <v>36210</v>
      </c>
    </row>
    <row r="42552" spans="1:8">
      <c r="H42552" t="s">
        <v>36199</v>
      </c>
    </row>
    <row r="42553" spans="1:8">
      <c r="H42553" t="s">
        <v>36211</v>
      </c>
    </row>
    <row r="42554" spans="1:8">
      <c r="H42554" t="s">
        <v>36212</v>
      </c>
    </row>
    <row r="42555" spans="1:8">
      <c r="H42555" t="s">
        <v>36213</v>
      </c>
    </row>
    <row r="42556" spans="1:8">
      <c r="H42556" t="s">
        <v>36203</v>
      </c>
    </row>
    <row r="42557" spans="1:8">
      <c r="H42557" t="s">
        <v>36214</v>
      </c>
    </row>
    <row r="42558" spans="1:8">
      <c r="A42558" t="s">
        <v>3825</v>
      </c>
      <c r="B42558">
        <f>HYPERLINK("https://android.googlesource.com/platform/cts/+/ae719f7fa897c98b65e737352a095f24bc03689b", "ae719f7fa897c98b65e737352a095f24bc03689b")</f>
        <v>0</v>
      </c>
      <c r="C42558">
        <f>HYPERLINK("https://android.googlesource.com/platform/cts/+/88e78f0599b97b0a76f48b785ddca4306e8aeb32", "88e78f0599b97b0a76f48b785ddca4306e8aeb32")</f>
        <v>0</v>
      </c>
      <c r="D42558" t="s">
        <v>5594</v>
      </c>
      <c r="E42558" t="s">
        <v>9517</v>
      </c>
      <c r="F42558" t="s">
        <v>14492</v>
      </c>
      <c r="G42558" t="s">
        <v>18421</v>
      </c>
      <c r="H42558" t="s">
        <v>36215</v>
      </c>
    </row>
    <row r="42559" spans="1:8">
      <c r="H42559" t="s">
        <v>36216</v>
      </c>
    </row>
    <row r="42560" spans="1:8">
      <c r="H42560" t="s">
        <v>36217</v>
      </c>
    </row>
    <row r="42561" spans="1:8">
      <c r="H42561" t="s">
        <v>36218</v>
      </c>
    </row>
    <row r="42562" spans="1:8">
      <c r="A42562" t="s">
        <v>3826</v>
      </c>
      <c r="B42562">
        <f>HYPERLINK("https://android.googlesource.com/platform/cts/+/f3fec269d1d29a769ce3b1f88ac0a168ce1774f8", "f3fec269d1d29a769ce3b1f88ac0a168ce1774f8")</f>
        <v>0</v>
      </c>
      <c r="C42562">
        <f>HYPERLINK("https://android.googlesource.com/platform/cts/+/1223db40dc37175ef3bd92ea07df71c7775d7891", "1223db40dc37175ef3bd92ea07df71c7775d7891")</f>
        <v>0</v>
      </c>
      <c r="D42562" t="s">
        <v>5272</v>
      </c>
      <c r="E42562" t="s">
        <v>9518</v>
      </c>
      <c r="F42562" t="s">
        <v>13810</v>
      </c>
      <c r="G42562" t="s">
        <v>17734</v>
      </c>
      <c r="H42562" t="s">
        <v>29725</v>
      </c>
    </row>
    <row r="42563" spans="1:8">
      <c r="A42563" t="s">
        <v>3827</v>
      </c>
      <c r="B42563">
        <f>HYPERLINK("https://android.googlesource.com/platform/cts/+/2c97403b1cd8eab88a1040eb56b8c189ef26a18a", "2c97403b1cd8eab88a1040eb56b8c189ef26a18a")</f>
        <v>0</v>
      </c>
      <c r="C42563">
        <f>HYPERLINK("https://android.googlesource.com/platform/cts/+/3b004a9d735080674a304031cf798ce3250c6156", "3b004a9d735080674a304031cf798ce3250c6156")</f>
        <v>0</v>
      </c>
      <c r="D42563" t="s">
        <v>5409</v>
      </c>
      <c r="E42563" t="s">
        <v>9519</v>
      </c>
      <c r="F42563" t="s">
        <v>14448</v>
      </c>
      <c r="G42563" t="s">
        <v>18383</v>
      </c>
      <c r="H42563" t="s">
        <v>36219</v>
      </c>
    </row>
    <row r="42564" spans="1:8">
      <c r="H42564" t="s">
        <v>36220</v>
      </c>
    </row>
    <row r="42565" spans="1:8">
      <c r="A42565" t="s">
        <v>3828</v>
      </c>
      <c r="B42565">
        <f>HYPERLINK("https://android.googlesource.com/platform/cts/+/d92c21cc0f1d1ae1bbbd044f8aef1a8c0806e33d", "d92c21cc0f1d1ae1bbbd044f8aef1a8c0806e33d")</f>
        <v>0</v>
      </c>
      <c r="C42565">
        <f>HYPERLINK("https://android.googlesource.com/platform/cts/+/86d80e05f06f363b569c2c8944ca81df3d02f1ff", "86d80e05f06f363b569c2c8944ca81df3d02f1ff")</f>
        <v>0</v>
      </c>
      <c r="D42565" t="s">
        <v>5627</v>
      </c>
      <c r="E42565" t="s">
        <v>9520</v>
      </c>
      <c r="F42565" t="s">
        <v>14493</v>
      </c>
      <c r="G42565" t="s">
        <v>18422</v>
      </c>
      <c r="H42565" t="s">
        <v>18829</v>
      </c>
    </row>
    <row r="42566" spans="1:8">
      <c r="H42566" t="s">
        <v>36221</v>
      </c>
    </row>
    <row r="42567" spans="1:8">
      <c r="H42567" t="s">
        <v>36222</v>
      </c>
    </row>
    <row r="42568" spans="1:8">
      <c r="A42568" t="s">
        <v>3830</v>
      </c>
      <c r="B42568">
        <f>HYPERLINK("https://android.googlesource.com/platform/cts/+/df77d2ed74c46a61440ecc4678e53a1c5f2af9dc", "df77d2ed74c46a61440ecc4678e53a1c5f2af9dc")</f>
        <v>0</v>
      </c>
      <c r="C42568">
        <f>HYPERLINK("https://android.googlesource.com/platform/cts/+/4963dcfab9cbff7f76b45ab001eb22caad6857c5", "4963dcfab9cbff7f76b45ab001eb22caad6857c5")</f>
        <v>0</v>
      </c>
      <c r="D42568" t="s">
        <v>5389</v>
      </c>
      <c r="E42568" t="s">
        <v>9522</v>
      </c>
      <c r="F42568" t="s">
        <v>14136</v>
      </c>
      <c r="G42568" t="s">
        <v>18124</v>
      </c>
      <c r="H42568" t="s">
        <v>36223</v>
      </c>
    </row>
    <row r="42569" spans="1:8">
      <c r="F42569" t="s">
        <v>14494</v>
      </c>
      <c r="G42569" t="s">
        <v>18423</v>
      </c>
      <c r="H42569" t="s">
        <v>36224</v>
      </c>
    </row>
    <row r="42570" spans="1:8">
      <c r="F42570" t="s">
        <v>13136</v>
      </c>
      <c r="G42570" t="s">
        <v>17293</v>
      </c>
      <c r="H42570" t="s">
        <v>36225</v>
      </c>
    </row>
    <row r="42571" spans="1:8">
      <c r="H42571" t="s">
        <v>36226</v>
      </c>
    </row>
    <row r="42572" spans="1:8">
      <c r="F42572" t="s">
        <v>12768</v>
      </c>
      <c r="G42572" t="s">
        <v>15710</v>
      </c>
      <c r="H42572" t="s">
        <v>36227</v>
      </c>
    </row>
    <row r="42573" spans="1:8">
      <c r="A42573" t="s">
        <v>3831</v>
      </c>
      <c r="B42573">
        <f>HYPERLINK("https://android.googlesource.com/platform/cts/+/7f7daca8ee63267a33a2ae7e603be814d68db4d6", "7f7daca8ee63267a33a2ae7e603be814d68db4d6")</f>
        <v>0</v>
      </c>
      <c r="C42573">
        <f>HYPERLINK("https://android.googlesource.com/platform/cts/+/b347e16f08deefe77050035caf6b26436db8d779", "b347e16f08deefe77050035caf6b26436db8d779")</f>
        <v>0</v>
      </c>
      <c r="D42573" t="s">
        <v>5628</v>
      </c>
      <c r="E42573" t="s">
        <v>9523</v>
      </c>
      <c r="F42573" t="s">
        <v>13332</v>
      </c>
      <c r="G42573" t="s">
        <v>17462</v>
      </c>
      <c r="H42573" t="s">
        <v>36228</v>
      </c>
    </row>
    <row r="42574" spans="1:8">
      <c r="F42574" t="s">
        <v>14495</v>
      </c>
      <c r="G42574" t="s">
        <v>17952</v>
      </c>
      <c r="H42574" t="s">
        <v>20244</v>
      </c>
    </row>
    <row r="42575" spans="1:8">
      <c r="H42575" t="s">
        <v>19233</v>
      </c>
    </row>
    <row r="42576" spans="1:8">
      <c r="F42576" t="s">
        <v>14496</v>
      </c>
      <c r="G42576" t="s">
        <v>18424</v>
      </c>
      <c r="H42576" t="s">
        <v>19233</v>
      </c>
    </row>
    <row r="42577" spans="1:8">
      <c r="F42577" t="s">
        <v>12817</v>
      </c>
      <c r="G42577" t="s">
        <v>16629</v>
      </c>
      <c r="H42577" t="s">
        <v>20244</v>
      </c>
    </row>
    <row r="42578" spans="1:8">
      <c r="H42578" t="s">
        <v>19233</v>
      </c>
    </row>
    <row r="42579" spans="1:8">
      <c r="A42579" t="s">
        <v>3832</v>
      </c>
      <c r="B42579">
        <f>HYPERLINK("https://android.googlesource.com/platform/cts/+/476b198aa47a903c3b8290725bc9a20ec58f4f9c", "476b198aa47a903c3b8290725bc9a20ec58f4f9c")</f>
        <v>0</v>
      </c>
      <c r="C42579">
        <f>HYPERLINK("https://android.googlesource.com/platform/cts/+/f0439b19cf3a8475d70ac5d60567b3c011494662", "f0439b19cf3a8475d70ac5d60567b3c011494662")</f>
        <v>0</v>
      </c>
      <c r="D42579" t="s">
        <v>5313</v>
      </c>
      <c r="E42579" t="s">
        <v>9524</v>
      </c>
      <c r="F42579" t="s">
        <v>14165</v>
      </c>
      <c r="G42579" t="s">
        <v>17361</v>
      </c>
      <c r="H42579" t="s">
        <v>32811</v>
      </c>
    </row>
    <row r="42580" spans="1:8">
      <c r="A42580" t="s">
        <v>3833</v>
      </c>
      <c r="B42580">
        <f>HYPERLINK("https://android.googlesource.com/platform/cts/+/036a096e5b44895a3a640851143cf04784d0fc3d", "036a096e5b44895a3a640851143cf04784d0fc3d")</f>
        <v>0</v>
      </c>
      <c r="C42580">
        <f>HYPERLINK("https://android.googlesource.com/platform/cts/+/a653074e7458c1c5ce8303508da7392be4d9a98c", "a653074e7458c1c5ce8303508da7392be4d9a98c")</f>
        <v>0</v>
      </c>
      <c r="D42580" t="s">
        <v>5523</v>
      </c>
      <c r="E42580" t="s">
        <v>9525</v>
      </c>
      <c r="F42580" t="s">
        <v>14497</v>
      </c>
      <c r="G42580" t="s">
        <v>18425</v>
      </c>
      <c r="H42580" t="s">
        <v>36229</v>
      </c>
    </row>
    <row r="42581" spans="1:8">
      <c r="A42581" t="s">
        <v>3834</v>
      </c>
      <c r="B42581">
        <f>HYPERLINK("https://android.googlesource.com/platform/cts/+/137f731e1c8f3f558e70476792600cbbae3aeebe", "137f731e1c8f3f558e70476792600cbbae3aeebe")</f>
        <v>0</v>
      </c>
      <c r="C42581">
        <f>HYPERLINK("https://android.googlesource.com/platform/cts/+/e2a95e10930ff9d0365cf70a1e952545da7fef8e", "e2a95e10930ff9d0365cf70a1e952545da7fef8e")</f>
        <v>0</v>
      </c>
      <c r="D42581" t="s">
        <v>5476</v>
      </c>
      <c r="E42581" t="s">
        <v>9526</v>
      </c>
      <c r="F42581" t="s">
        <v>14403</v>
      </c>
      <c r="G42581" t="s">
        <v>18341</v>
      </c>
      <c r="H42581" t="s">
        <v>36230</v>
      </c>
    </row>
    <row r="42582" spans="1:8">
      <c r="A42582" t="s">
        <v>3835</v>
      </c>
      <c r="B42582">
        <f>HYPERLINK("https://android.googlesource.com/platform/cts/+/7dd6f5a6dae8793588df137d6f92b70fb8f22bec", "7dd6f5a6dae8793588df137d6f92b70fb8f22bec")</f>
        <v>0</v>
      </c>
      <c r="C42582">
        <f>HYPERLINK("https://android.googlesource.com/platform/cts/+/8ab92a6edc6d558a0a01b9ffd2d45c958ea93bcc", "8ab92a6edc6d558a0a01b9ffd2d45c958ea93bcc")</f>
        <v>0</v>
      </c>
      <c r="D42582" t="s">
        <v>5108</v>
      </c>
      <c r="E42582" t="s">
        <v>9527</v>
      </c>
      <c r="F42582" t="s">
        <v>14498</v>
      </c>
      <c r="G42582" t="s">
        <v>17341</v>
      </c>
      <c r="H42582" t="s">
        <v>18863</v>
      </c>
    </row>
    <row r="42583" spans="1:8">
      <c r="A42583" t="s">
        <v>3836</v>
      </c>
      <c r="B42583">
        <f>HYPERLINK("https://android.googlesource.com/platform/cts/+/9990f53dda0866488947e35845a089d97ca2ffc1", "9990f53dda0866488947e35845a089d97ca2ffc1")</f>
        <v>0</v>
      </c>
      <c r="C42583">
        <f>HYPERLINK("https://android.googlesource.com/platform/cts/+/bfb199d5bec35cdee8dc05efccbcc3739ab15672", "bfb199d5bec35cdee8dc05efccbcc3739ab15672")</f>
        <v>0</v>
      </c>
      <c r="D42583" t="s">
        <v>5441</v>
      </c>
      <c r="E42583" t="s">
        <v>9528</v>
      </c>
      <c r="F42583" t="s">
        <v>14499</v>
      </c>
      <c r="G42583" t="s">
        <v>18426</v>
      </c>
      <c r="H42583" t="s">
        <v>36231</v>
      </c>
    </row>
    <row r="42584" spans="1:8">
      <c r="H42584" t="s">
        <v>36232</v>
      </c>
    </row>
    <row r="42585" spans="1:8">
      <c r="F42585" t="s">
        <v>14195</v>
      </c>
      <c r="G42585" t="s">
        <v>18174</v>
      </c>
      <c r="H42585" t="s">
        <v>36233</v>
      </c>
    </row>
    <row r="42586" spans="1:8">
      <c r="H42586" t="s">
        <v>36234</v>
      </c>
    </row>
    <row r="42587" spans="1:8">
      <c r="H42587" t="s">
        <v>36235</v>
      </c>
    </row>
    <row r="42588" spans="1:8">
      <c r="H42588" t="s">
        <v>36236</v>
      </c>
    </row>
    <row r="42589" spans="1:8">
      <c r="H42589" t="s">
        <v>36237</v>
      </c>
    </row>
    <row r="42590" spans="1:8">
      <c r="H42590" t="s">
        <v>36073</v>
      </c>
    </row>
    <row r="42591" spans="1:8">
      <c r="H42591" t="s">
        <v>36238</v>
      </c>
    </row>
    <row r="42592" spans="1:8">
      <c r="H42592" t="s">
        <v>36239</v>
      </c>
    </row>
    <row r="42593" spans="1:8">
      <c r="H42593" t="s">
        <v>36240</v>
      </c>
    </row>
    <row r="42594" spans="1:8">
      <c r="H42594" t="s">
        <v>36241</v>
      </c>
    </row>
    <row r="42595" spans="1:8">
      <c r="H42595" t="s">
        <v>36242</v>
      </c>
    </row>
    <row r="42596" spans="1:8">
      <c r="A42596" t="s">
        <v>3837</v>
      </c>
      <c r="B42596">
        <f>HYPERLINK("https://android.googlesource.com/platform/cts/+/875484d7ec8caf990f36b847ba5bf8b5df9c3475", "875484d7ec8caf990f36b847ba5bf8b5df9c3475")</f>
        <v>0</v>
      </c>
      <c r="C42596">
        <f>HYPERLINK("https://android.googlesource.com/platform/cts/+/79c040eaa0551c44b4ddfc846941b5ef6260ea5e", "79c040eaa0551c44b4ddfc846941b5ef6260ea5e")</f>
        <v>0</v>
      </c>
      <c r="D42596" t="s">
        <v>5467</v>
      </c>
      <c r="E42596" t="s">
        <v>9529</v>
      </c>
      <c r="F42596" t="s">
        <v>14095</v>
      </c>
      <c r="G42596" t="s">
        <v>18088</v>
      </c>
      <c r="H42596" t="s">
        <v>36243</v>
      </c>
    </row>
    <row r="42597" spans="1:8">
      <c r="A42597" t="s">
        <v>3838</v>
      </c>
      <c r="B42597">
        <f>HYPERLINK("https://android.googlesource.com/platform/cts/+/71f86f9820055d60b9a65a842d519d061f47a935", "71f86f9820055d60b9a65a842d519d061f47a935")</f>
        <v>0</v>
      </c>
      <c r="C42597">
        <f>HYPERLINK("https://android.googlesource.com/platform/cts/+/e2a95e10930ff9d0365cf70a1e952545da7fef8e", "e2a95e10930ff9d0365cf70a1e952545da7fef8e")</f>
        <v>0</v>
      </c>
      <c r="D42597" t="s">
        <v>5134</v>
      </c>
      <c r="E42597" t="s">
        <v>9530</v>
      </c>
      <c r="F42597" t="s">
        <v>12428</v>
      </c>
      <c r="G42597" t="s">
        <v>16619</v>
      </c>
      <c r="H42597" t="s">
        <v>36244</v>
      </c>
    </row>
    <row r="42598" spans="1:8">
      <c r="F42598" t="s">
        <v>13229</v>
      </c>
      <c r="G42598" t="s">
        <v>17370</v>
      </c>
      <c r="H42598" t="s">
        <v>36245</v>
      </c>
    </row>
    <row r="42599" spans="1:8">
      <c r="A42599" t="s">
        <v>3839</v>
      </c>
      <c r="B42599">
        <f>HYPERLINK("https://android.googlesource.com/platform/cts/+/3eacc9bc5fea1d1e5870bbe3cc179de06b9b8afa", "3eacc9bc5fea1d1e5870bbe3cc179de06b9b8afa")</f>
        <v>0</v>
      </c>
      <c r="C42599">
        <f>HYPERLINK("https://android.googlesource.com/platform/cts/+/0db222e07e3366d729f43a72b12d3ac56b672ef0", "0db222e07e3366d729f43a72b12d3ac56b672ef0")</f>
        <v>0</v>
      </c>
      <c r="D42599" t="s">
        <v>5272</v>
      </c>
      <c r="E42599" t="s">
        <v>9531</v>
      </c>
      <c r="F42599" t="s">
        <v>13757</v>
      </c>
      <c r="G42599" t="s">
        <v>17816</v>
      </c>
      <c r="H42599" t="s">
        <v>36246</v>
      </c>
    </row>
    <row r="42600" spans="1:8">
      <c r="H42600" t="s">
        <v>36246</v>
      </c>
    </row>
    <row r="42601" spans="1:8">
      <c r="H42601" t="s">
        <v>36246</v>
      </c>
    </row>
    <row r="42602" spans="1:8">
      <c r="A42602" t="s">
        <v>3840</v>
      </c>
      <c r="B42602">
        <f>HYPERLINK("https://android.googlesource.com/platform/cts/+/5a2fbe8705fcdb0569dc3d15906bf3b81d6de1d3", "5a2fbe8705fcdb0569dc3d15906bf3b81d6de1d3")</f>
        <v>0</v>
      </c>
      <c r="C42602">
        <f>HYPERLINK("https://android.googlesource.com/platform/cts/+/4992324ec6dab3ac0d7ccf7ba1f5b9e3061b401c", "4992324ec6dab3ac0d7ccf7ba1f5b9e3061b401c")</f>
        <v>0</v>
      </c>
      <c r="D42602" t="s">
        <v>5512</v>
      </c>
      <c r="E42602" t="s">
        <v>9532</v>
      </c>
      <c r="F42602" t="s">
        <v>13716</v>
      </c>
      <c r="G42602" t="s">
        <v>17783</v>
      </c>
      <c r="H42602" t="s">
        <v>36247</v>
      </c>
    </row>
    <row r="42603" spans="1:8">
      <c r="A42603" t="s">
        <v>3841</v>
      </c>
      <c r="B42603">
        <f>HYPERLINK("https://android.googlesource.com/platform/cts/+/7e91f8d25623f323fee891b4adf3b57a391812e0", "7e91f8d25623f323fee891b4adf3b57a391812e0")</f>
        <v>0</v>
      </c>
      <c r="C42603">
        <f>HYPERLINK("https://android.googlesource.com/platform/cts/+/497968cea349588be5226ba17b9b7bc7ce63ada8", "497968cea349588be5226ba17b9b7bc7ce63ada8")</f>
        <v>0</v>
      </c>
      <c r="D42603" t="s">
        <v>5341</v>
      </c>
      <c r="E42603" t="s">
        <v>9533</v>
      </c>
      <c r="F42603" t="s">
        <v>13827</v>
      </c>
      <c r="G42603" t="s">
        <v>17871</v>
      </c>
      <c r="H42603" t="s">
        <v>36248</v>
      </c>
    </row>
    <row r="42604" spans="1:8">
      <c r="A42604" t="s">
        <v>3842</v>
      </c>
      <c r="B42604">
        <f>HYPERLINK("https://android.googlesource.com/platform/cts/+/e00bc51c4cf2d0b5085f8bae4d93cdf2babc54b3", "e00bc51c4cf2d0b5085f8bae4d93cdf2babc54b3")</f>
        <v>0</v>
      </c>
      <c r="C42604">
        <f>HYPERLINK("https://android.googlesource.com/platform/cts/+/22e3ccd1b4daf08bc39b26d162b6b122750bc1d7", "22e3ccd1b4daf08bc39b26d162b6b122750bc1d7")</f>
        <v>0</v>
      </c>
      <c r="D42604" t="s">
        <v>5568</v>
      </c>
      <c r="E42604" t="s">
        <v>9534</v>
      </c>
      <c r="F42604" t="s">
        <v>14500</v>
      </c>
      <c r="G42604" t="s">
        <v>18427</v>
      </c>
      <c r="H42604" t="s">
        <v>34249</v>
      </c>
    </row>
    <row r="42605" spans="1:8">
      <c r="H42605" t="s">
        <v>36249</v>
      </c>
    </row>
    <row r="42606" spans="1:8">
      <c r="H42606" t="s">
        <v>36250</v>
      </c>
    </row>
    <row r="42607" spans="1:8">
      <c r="H42607" t="s">
        <v>36251</v>
      </c>
    </row>
    <row r="42608" spans="1:8">
      <c r="H42608" t="s">
        <v>36252</v>
      </c>
    </row>
    <row r="42609" spans="6:8">
      <c r="H42609" t="s">
        <v>36253</v>
      </c>
    </row>
    <row r="42610" spans="6:8">
      <c r="H42610" t="s">
        <v>36254</v>
      </c>
    </row>
    <row r="42611" spans="6:8">
      <c r="H42611" t="s">
        <v>36255</v>
      </c>
    </row>
    <row r="42612" spans="6:8">
      <c r="H42612" t="s">
        <v>36256</v>
      </c>
    </row>
    <row r="42613" spans="6:8">
      <c r="H42613" t="s">
        <v>36257</v>
      </c>
    </row>
    <row r="42614" spans="6:8">
      <c r="H42614" t="s">
        <v>36258</v>
      </c>
    </row>
    <row r="42615" spans="6:8">
      <c r="H42615" t="s">
        <v>22005</v>
      </c>
    </row>
    <row r="42616" spans="6:8">
      <c r="F42616" t="s">
        <v>14352</v>
      </c>
      <c r="G42616" t="s">
        <v>18428</v>
      </c>
      <c r="H42616" t="s">
        <v>34249</v>
      </c>
    </row>
    <row r="42617" spans="6:8">
      <c r="H42617" t="s">
        <v>34250</v>
      </c>
    </row>
    <row r="42618" spans="6:8">
      <c r="H42618" t="s">
        <v>34526</v>
      </c>
    </row>
    <row r="42619" spans="6:8">
      <c r="H42619" t="s">
        <v>34780</v>
      </c>
    </row>
    <row r="42620" spans="6:8">
      <c r="H42620" t="s">
        <v>34529</v>
      </c>
    </row>
    <row r="42621" spans="6:8">
      <c r="H42621" t="s">
        <v>34781</v>
      </c>
    </row>
    <row r="42622" spans="6:8">
      <c r="H42622" t="s">
        <v>34534</v>
      </c>
    </row>
    <row r="42623" spans="6:8">
      <c r="H42623" t="s">
        <v>34535</v>
      </c>
    </row>
    <row r="42624" spans="6:8">
      <c r="H42624" t="s">
        <v>34536</v>
      </c>
    </row>
    <row r="42625" spans="8:8">
      <c r="H42625" t="s">
        <v>34537</v>
      </c>
    </row>
    <row r="42626" spans="8:8">
      <c r="H42626" t="s">
        <v>34538</v>
      </c>
    </row>
    <row r="42627" spans="8:8">
      <c r="H42627" t="s">
        <v>34539</v>
      </c>
    </row>
    <row r="42628" spans="8:8">
      <c r="H42628" t="s">
        <v>34540</v>
      </c>
    </row>
    <row r="42629" spans="8:8">
      <c r="H42629" t="s">
        <v>34541</v>
      </c>
    </row>
    <row r="42630" spans="8:8">
      <c r="H42630" t="s">
        <v>34542</v>
      </c>
    </row>
    <row r="42631" spans="8:8">
      <c r="H42631" t="s">
        <v>34543</v>
      </c>
    </row>
    <row r="42632" spans="8:8">
      <c r="H42632" t="s">
        <v>34544</v>
      </c>
    </row>
    <row r="42633" spans="8:8">
      <c r="H42633" t="s">
        <v>34784</v>
      </c>
    </row>
    <row r="42634" spans="8:8">
      <c r="H42634" t="s">
        <v>34546</v>
      </c>
    </row>
    <row r="42635" spans="8:8">
      <c r="H42635" t="s">
        <v>34547</v>
      </c>
    </row>
    <row r="42636" spans="8:8">
      <c r="H42636" t="s">
        <v>34785</v>
      </c>
    </row>
    <row r="42637" spans="8:8">
      <c r="H42637" t="s">
        <v>34549</v>
      </c>
    </row>
    <row r="42638" spans="8:8">
      <c r="H42638" t="s">
        <v>34786</v>
      </c>
    </row>
    <row r="42639" spans="8:8">
      <c r="H42639" t="s">
        <v>34551</v>
      </c>
    </row>
    <row r="42640" spans="8:8">
      <c r="H42640" t="s">
        <v>34552</v>
      </c>
    </row>
    <row r="42641" spans="8:8">
      <c r="H42641" t="s">
        <v>34787</v>
      </c>
    </row>
    <row r="42642" spans="8:8">
      <c r="H42642" t="s">
        <v>34788</v>
      </c>
    </row>
    <row r="42643" spans="8:8">
      <c r="H42643" t="s">
        <v>34789</v>
      </c>
    </row>
    <row r="42644" spans="8:8">
      <c r="H42644" t="s">
        <v>34790</v>
      </c>
    </row>
    <row r="42645" spans="8:8">
      <c r="H42645" t="s">
        <v>34791</v>
      </c>
    </row>
    <row r="42646" spans="8:8">
      <c r="H42646" t="s">
        <v>34555</v>
      </c>
    </row>
    <row r="42647" spans="8:8">
      <c r="H42647" t="s">
        <v>36259</v>
      </c>
    </row>
    <row r="42648" spans="8:8">
      <c r="H42648" t="s">
        <v>36260</v>
      </c>
    </row>
    <row r="42649" spans="8:8">
      <c r="H42649" t="s">
        <v>36261</v>
      </c>
    </row>
    <row r="42650" spans="8:8">
      <c r="H42650" t="s">
        <v>34556</v>
      </c>
    </row>
    <row r="42651" spans="8:8">
      <c r="H42651" t="s">
        <v>34792</v>
      </c>
    </row>
    <row r="42652" spans="8:8">
      <c r="H42652" t="s">
        <v>34558</v>
      </c>
    </row>
    <row r="42653" spans="8:8">
      <c r="H42653" t="s">
        <v>34793</v>
      </c>
    </row>
    <row r="42654" spans="8:8">
      <c r="H42654" t="s">
        <v>34794</v>
      </c>
    </row>
    <row r="42655" spans="8:8">
      <c r="H42655" t="s">
        <v>34561</v>
      </c>
    </row>
    <row r="42656" spans="8:8">
      <c r="H42656" t="s">
        <v>34562</v>
      </c>
    </row>
    <row r="42657" spans="8:8">
      <c r="H42657" t="s">
        <v>34563</v>
      </c>
    </row>
    <row r="42658" spans="8:8">
      <c r="H42658" t="s">
        <v>19019</v>
      </c>
    </row>
    <row r="42659" spans="8:8">
      <c r="H42659" t="s">
        <v>34564</v>
      </c>
    </row>
    <row r="42660" spans="8:8">
      <c r="H42660" t="s">
        <v>34565</v>
      </c>
    </row>
    <row r="42661" spans="8:8">
      <c r="H42661" t="s">
        <v>34566</v>
      </c>
    </row>
    <row r="42662" spans="8:8">
      <c r="H42662" t="s">
        <v>34570</v>
      </c>
    </row>
    <row r="42663" spans="8:8">
      <c r="H42663" t="s">
        <v>34571</v>
      </c>
    </row>
    <row r="42664" spans="8:8">
      <c r="H42664" t="s">
        <v>34572</v>
      </c>
    </row>
    <row r="42665" spans="8:8">
      <c r="H42665" t="s">
        <v>34572</v>
      </c>
    </row>
    <row r="42666" spans="8:8">
      <c r="H42666" t="s">
        <v>34573</v>
      </c>
    </row>
    <row r="42667" spans="8:8">
      <c r="H42667" t="s">
        <v>34574</v>
      </c>
    </row>
    <row r="42668" spans="8:8">
      <c r="H42668" t="s">
        <v>34575</v>
      </c>
    </row>
    <row r="42669" spans="8:8">
      <c r="H42669" t="s">
        <v>34796</v>
      </c>
    </row>
    <row r="42670" spans="8:8">
      <c r="H42670" t="s">
        <v>36257</v>
      </c>
    </row>
    <row r="42671" spans="8:8">
      <c r="H42671" t="s">
        <v>36257</v>
      </c>
    </row>
    <row r="42672" spans="8:8">
      <c r="H42672" t="s">
        <v>36258</v>
      </c>
    </row>
    <row r="42673" spans="1:8">
      <c r="H42673" t="s">
        <v>22005</v>
      </c>
    </row>
    <row r="42674" spans="1:8">
      <c r="H42674" t="s">
        <v>34799</v>
      </c>
    </row>
    <row r="42675" spans="1:8">
      <c r="A42675" t="s">
        <v>3843</v>
      </c>
      <c r="B42675">
        <f>HYPERLINK("https://android.googlesource.com/platform/cts/+/155b85d90141ed12f4077f804253ffaf79e95f45", "155b85d90141ed12f4077f804253ffaf79e95f45")</f>
        <v>0</v>
      </c>
      <c r="C42675">
        <f>HYPERLINK("https://android.googlesource.com/platform/cts/+/5dd49e680a905b6fb0acd556f892c47f08f3c34e", "5dd49e680a905b6fb0acd556f892c47f08f3c34e")</f>
        <v>0</v>
      </c>
      <c r="D42675" t="s">
        <v>5585</v>
      </c>
      <c r="E42675" t="s">
        <v>9535</v>
      </c>
      <c r="F42675" t="s">
        <v>14501</v>
      </c>
      <c r="G42675" t="s">
        <v>18429</v>
      </c>
      <c r="H42675" t="s">
        <v>22586</v>
      </c>
    </row>
    <row r="42676" spans="1:8">
      <c r="H42676" t="s">
        <v>36262</v>
      </c>
    </row>
    <row r="42677" spans="1:8">
      <c r="H42677" t="s">
        <v>36263</v>
      </c>
    </row>
    <row r="42678" spans="1:8">
      <c r="H42678" t="s">
        <v>18930</v>
      </c>
    </row>
    <row r="42679" spans="1:8">
      <c r="H42679" t="s">
        <v>36264</v>
      </c>
    </row>
    <row r="42680" spans="1:8">
      <c r="H42680" t="s">
        <v>36265</v>
      </c>
    </row>
    <row r="42681" spans="1:8">
      <c r="H42681" t="s">
        <v>36266</v>
      </c>
    </row>
    <row r="42682" spans="1:8">
      <c r="H42682" t="s">
        <v>36267</v>
      </c>
    </row>
    <row r="42683" spans="1:8">
      <c r="H42683" t="s">
        <v>36268</v>
      </c>
    </row>
    <row r="42684" spans="1:8">
      <c r="H42684" t="s">
        <v>36269</v>
      </c>
    </row>
    <row r="42685" spans="1:8">
      <c r="H42685" t="s">
        <v>36270</v>
      </c>
    </row>
    <row r="42686" spans="1:8">
      <c r="H42686" t="s">
        <v>36271</v>
      </c>
    </row>
    <row r="42687" spans="1:8">
      <c r="H42687" t="s">
        <v>36272</v>
      </c>
    </row>
    <row r="42688" spans="1:8">
      <c r="H42688" t="s">
        <v>36273</v>
      </c>
    </row>
    <row r="42689" spans="1:8">
      <c r="H42689" t="s">
        <v>36274</v>
      </c>
    </row>
    <row r="42690" spans="1:8">
      <c r="H42690" t="s">
        <v>36275</v>
      </c>
    </row>
    <row r="42691" spans="1:8">
      <c r="H42691" t="s">
        <v>36276</v>
      </c>
    </row>
    <row r="42692" spans="1:8">
      <c r="A42692" t="s">
        <v>3844</v>
      </c>
      <c r="B42692">
        <f>HYPERLINK("https://android.googlesource.com/platform/cts/+/85b976f5f69b0e94e1125f4ae4d649b3b798e369", "85b976f5f69b0e94e1125f4ae4d649b3b798e369")</f>
        <v>0</v>
      </c>
      <c r="C42692">
        <f>HYPERLINK("https://android.googlesource.com/platform/cts/+/6fbaf25a2647bcca3312c43199b67d007cf9ea5b", "6fbaf25a2647bcca3312c43199b67d007cf9ea5b")</f>
        <v>0</v>
      </c>
      <c r="D42692" t="s">
        <v>5629</v>
      </c>
      <c r="E42692" t="s">
        <v>9536</v>
      </c>
      <c r="F42692" t="s">
        <v>12771</v>
      </c>
      <c r="G42692" t="s">
        <v>16958</v>
      </c>
      <c r="H42692" t="s">
        <v>36277</v>
      </c>
    </row>
    <row r="42693" spans="1:8">
      <c r="A42693" t="s">
        <v>3845</v>
      </c>
      <c r="B42693">
        <f>HYPERLINK("https://android.googlesource.com/platform/cts/+/8e5161b9cebb8a05d3347d5faffce9a3cdbc2182", "8e5161b9cebb8a05d3347d5faffce9a3cdbc2182")</f>
        <v>0</v>
      </c>
      <c r="C42693">
        <f>HYPERLINK("https://android.googlesource.com/platform/cts/+/6873977dc86bf3e4877f57f33d3ee441c8542da6", "6873977dc86bf3e4877f57f33d3ee441c8542da6")</f>
        <v>0</v>
      </c>
      <c r="D42693" t="s">
        <v>5141</v>
      </c>
      <c r="E42693" t="s">
        <v>9537</v>
      </c>
      <c r="F42693" t="s">
        <v>14502</v>
      </c>
      <c r="G42693" t="s">
        <v>18430</v>
      </c>
      <c r="H42693" t="s">
        <v>36278</v>
      </c>
    </row>
    <row r="42694" spans="1:8">
      <c r="H42694" t="s">
        <v>36279</v>
      </c>
    </row>
    <row r="42695" spans="1:8">
      <c r="A42695" t="s">
        <v>3847</v>
      </c>
      <c r="B42695">
        <f>HYPERLINK("https://android.googlesource.com/platform/cts/+/6a1cd3ed58bad146080815f8caa7a4d5fec52c97", "6a1cd3ed58bad146080815f8caa7a4d5fec52c97")</f>
        <v>0</v>
      </c>
      <c r="C42695">
        <f>HYPERLINK("https://android.googlesource.com/platform/cts/+/b04db1866bfbdca48ecdc0afa8666167fa9ed6f7", "b04db1866bfbdca48ecdc0afa8666167fa9ed6f7")</f>
        <v>0</v>
      </c>
      <c r="D42695" t="s">
        <v>5266</v>
      </c>
      <c r="E42695" t="s">
        <v>9539</v>
      </c>
      <c r="F42695" t="s">
        <v>14503</v>
      </c>
      <c r="G42695" t="s">
        <v>18431</v>
      </c>
      <c r="H42695" t="s">
        <v>26522</v>
      </c>
    </row>
    <row r="42696" spans="1:8">
      <c r="A42696" t="s">
        <v>3848</v>
      </c>
      <c r="B42696">
        <f>HYPERLINK("https://android.googlesource.com/platform/cts/+/e6fea471de5dbf948364e2797609d13014b181dc", "e6fea471de5dbf948364e2797609d13014b181dc")</f>
        <v>0</v>
      </c>
      <c r="C42696">
        <f>HYPERLINK("https://android.googlesource.com/platform/cts/+/d3631b1d3dc8bee50d8a772133997e343a5d574a", "d3631b1d3dc8bee50d8a772133997e343a5d574a")</f>
        <v>0</v>
      </c>
      <c r="D42696" t="s">
        <v>5298</v>
      </c>
      <c r="E42696" t="s">
        <v>9540</v>
      </c>
      <c r="F42696" t="s">
        <v>14504</v>
      </c>
      <c r="G42696" t="s">
        <v>18432</v>
      </c>
      <c r="H42696" t="s">
        <v>27250</v>
      </c>
    </row>
    <row r="42697" spans="1:8">
      <c r="H42697" t="s">
        <v>36280</v>
      </c>
    </row>
    <row r="42698" spans="1:8">
      <c r="H42698" t="s">
        <v>20083</v>
      </c>
    </row>
    <row r="42699" spans="1:8">
      <c r="H42699" t="s">
        <v>36281</v>
      </c>
    </row>
    <row r="42700" spans="1:8">
      <c r="A42700" t="s">
        <v>3849</v>
      </c>
      <c r="B42700">
        <f>HYPERLINK("https://android.googlesource.com/platform/cts/+/9f2d51e0b9cc4f1963e2278f3aee10a69055dd1a", "9f2d51e0b9cc4f1963e2278f3aee10a69055dd1a")</f>
        <v>0</v>
      </c>
      <c r="C42700">
        <f>HYPERLINK("https://android.googlesource.com/platform/cts/+/84f8df939620f3adb32abce19eb92341b65da29c", "84f8df939620f3adb32abce19eb92341b65da29c")</f>
        <v>0</v>
      </c>
      <c r="D42700" t="s">
        <v>5498</v>
      </c>
      <c r="E42700" t="s">
        <v>9541</v>
      </c>
      <c r="F42700" t="s">
        <v>14147</v>
      </c>
      <c r="G42700" t="s">
        <v>18135</v>
      </c>
      <c r="H42700" t="s">
        <v>36282</v>
      </c>
    </row>
    <row r="42701" spans="1:8">
      <c r="A42701" t="s">
        <v>3850</v>
      </c>
      <c r="B42701">
        <f>HYPERLINK("https://android.googlesource.com/platform/cts/+/e8ac3c4991940ead8367e1f9552bb6dcc6a05ba5", "e8ac3c4991940ead8367e1f9552bb6dcc6a05ba5")</f>
        <v>0</v>
      </c>
      <c r="C42701">
        <f>HYPERLINK("https://android.googlesource.com/platform/cts/+/e6fea471de5dbf948364e2797609d13014b181dc", "e6fea471de5dbf948364e2797609d13014b181dc")</f>
        <v>0</v>
      </c>
      <c r="D42701" t="s">
        <v>5298</v>
      </c>
      <c r="E42701" t="s">
        <v>9542</v>
      </c>
      <c r="F42701" t="s">
        <v>14345</v>
      </c>
      <c r="G42701" t="s">
        <v>18297</v>
      </c>
      <c r="H42701" t="s">
        <v>36283</v>
      </c>
    </row>
    <row r="42702" spans="1:8">
      <c r="A42702" t="s">
        <v>3851</v>
      </c>
      <c r="B42702">
        <f>HYPERLINK("https://android.googlesource.com/platform/cts/+/dfc6a6893b051b716e8dec22e2411d9f3119c56f", "dfc6a6893b051b716e8dec22e2411d9f3119c56f")</f>
        <v>0</v>
      </c>
      <c r="C42702">
        <f>HYPERLINK("https://android.googlesource.com/platform/cts/+/ec3e618916929e3add7b0b1bb18b286ea8c74585", "ec3e618916929e3add7b0b1bb18b286ea8c74585")</f>
        <v>0</v>
      </c>
      <c r="D42702" t="s">
        <v>5389</v>
      </c>
      <c r="E42702" t="s">
        <v>9543</v>
      </c>
      <c r="F42702" t="s">
        <v>14494</v>
      </c>
      <c r="G42702" t="s">
        <v>18433</v>
      </c>
      <c r="H42702" t="s">
        <v>18829</v>
      </c>
    </row>
    <row r="42703" spans="1:8">
      <c r="H42703" t="s">
        <v>18863</v>
      </c>
    </row>
    <row r="42704" spans="1:8">
      <c r="H42704" t="s">
        <v>36284</v>
      </c>
    </row>
    <row r="42705" spans="1:8">
      <c r="A42705" t="s">
        <v>3852</v>
      </c>
      <c r="B42705">
        <f>HYPERLINK("https://android.googlesource.com/platform/cts/+/71085156d03e2cf50508b729c1c8e3ffe229905a", "71085156d03e2cf50508b729c1c8e3ffe229905a")</f>
        <v>0</v>
      </c>
      <c r="C42705">
        <f>HYPERLINK("https://android.googlesource.com/platform/cts/+/e0fd24d05f394fab17b9ea9922c3a54d8939ea3f", "e0fd24d05f394fab17b9ea9922c3a54d8939ea3f")</f>
        <v>0</v>
      </c>
      <c r="D42705" t="s">
        <v>5040</v>
      </c>
      <c r="E42705" t="s">
        <v>9544</v>
      </c>
      <c r="F42705" t="s">
        <v>14505</v>
      </c>
      <c r="G42705" t="s">
        <v>18434</v>
      </c>
      <c r="H42705" t="s">
        <v>18829</v>
      </c>
    </row>
    <row r="42706" spans="1:8">
      <c r="H42706" t="s">
        <v>18863</v>
      </c>
    </row>
    <row r="42707" spans="1:8">
      <c r="H42707" t="s">
        <v>36285</v>
      </c>
    </row>
    <row r="42708" spans="1:8">
      <c r="H42708" t="s">
        <v>36286</v>
      </c>
    </row>
    <row r="42709" spans="1:8">
      <c r="H42709" t="s">
        <v>36287</v>
      </c>
    </row>
    <row r="42710" spans="1:8">
      <c r="H42710" t="s">
        <v>36288</v>
      </c>
    </row>
    <row r="42711" spans="1:8">
      <c r="H42711" t="s">
        <v>36289</v>
      </c>
    </row>
    <row r="42712" spans="1:8">
      <c r="H42712" t="s">
        <v>36290</v>
      </c>
    </row>
    <row r="42713" spans="1:8">
      <c r="H42713" t="s">
        <v>36291</v>
      </c>
    </row>
    <row r="42714" spans="1:8">
      <c r="H42714" t="s">
        <v>36292</v>
      </c>
    </row>
    <row r="42715" spans="1:8">
      <c r="H42715" t="s">
        <v>36293</v>
      </c>
    </row>
    <row r="42716" spans="1:8">
      <c r="H42716" t="s">
        <v>36294</v>
      </c>
    </row>
    <row r="42717" spans="1:8">
      <c r="H42717" t="s">
        <v>36295</v>
      </c>
    </row>
    <row r="42718" spans="1:8">
      <c r="H42718" t="s">
        <v>36296</v>
      </c>
    </row>
    <row r="42719" spans="1:8">
      <c r="H42719" t="s">
        <v>36297</v>
      </c>
    </row>
    <row r="42720" spans="1:8">
      <c r="H42720" t="s">
        <v>36298</v>
      </c>
    </row>
    <row r="42721" spans="1:8">
      <c r="H42721" t="s">
        <v>36299</v>
      </c>
    </row>
    <row r="42722" spans="1:8">
      <c r="H42722" t="s">
        <v>36300</v>
      </c>
    </row>
    <row r="42723" spans="1:8">
      <c r="H42723" t="s">
        <v>36301</v>
      </c>
    </row>
    <row r="42724" spans="1:8">
      <c r="H42724" t="s">
        <v>36302</v>
      </c>
    </row>
    <row r="42725" spans="1:8">
      <c r="H42725" t="s">
        <v>36303</v>
      </c>
    </row>
    <row r="42726" spans="1:8">
      <c r="H42726" t="s">
        <v>36304</v>
      </c>
    </row>
    <row r="42727" spans="1:8">
      <c r="H42727" t="s">
        <v>36305</v>
      </c>
    </row>
    <row r="42728" spans="1:8">
      <c r="A42728" t="s">
        <v>3853</v>
      </c>
      <c r="B42728">
        <f>HYPERLINK("https://android.googlesource.com/platform/cts/+/4a06d3a2365c93d5c8687a6f87f5fccc67ddd8be", "4a06d3a2365c93d5c8687a6f87f5fccc67ddd8be")</f>
        <v>0</v>
      </c>
      <c r="C42728">
        <f>HYPERLINK("https://android.googlesource.com/platform/cts/+/617319a492cb64d548269743deecfd2a9ba0589f", "617319a492cb64d548269743deecfd2a9ba0589f")</f>
        <v>0</v>
      </c>
      <c r="D42728" t="s">
        <v>5298</v>
      </c>
      <c r="E42728" t="s">
        <v>9545</v>
      </c>
      <c r="F42728" t="s">
        <v>14345</v>
      </c>
      <c r="G42728" t="s">
        <v>18297</v>
      </c>
      <c r="H42728" t="s">
        <v>19721</v>
      </c>
    </row>
    <row r="42729" spans="1:8">
      <c r="H42729" t="s">
        <v>35850</v>
      </c>
    </row>
    <row r="42730" spans="1:8">
      <c r="H42730" t="s">
        <v>36306</v>
      </c>
    </row>
    <row r="42731" spans="1:8">
      <c r="H42731" t="s">
        <v>36307</v>
      </c>
    </row>
    <row r="42732" spans="1:8">
      <c r="H42732" t="s">
        <v>36308</v>
      </c>
    </row>
    <row r="42733" spans="1:8">
      <c r="H42733" t="s">
        <v>36309</v>
      </c>
    </row>
    <row r="42734" spans="1:8">
      <c r="H42734" t="s">
        <v>22150</v>
      </c>
    </row>
    <row r="42735" spans="1:8">
      <c r="H42735" t="s">
        <v>36310</v>
      </c>
    </row>
    <row r="42736" spans="1:8">
      <c r="H42736" t="s">
        <v>36311</v>
      </c>
    </row>
    <row r="42737" spans="8:8">
      <c r="H42737" t="s">
        <v>36312</v>
      </c>
    </row>
    <row r="42738" spans="8:8">
      <c r="H42738" t="s">
        <v>36313</v>
      </c>
    </row>
    <row r="42739" spans="8:8">
      <c r="H42739" t="s">
        <v>36314</v>
      </c>
    </row>
    <row r="42740" spans="8:8">
      <c r="H42740" t="s">
        <v>36315</v>
      </c>
    </row>
    <row r="42741" spans="8:8">
      <c r="H42741" t="s">
        <v>36316</v>
      </c>
    </row>
    <row r="42742" spans="8:8">
      <c r="H42742" t="s">
        <v>36317</v>
      </c>
    </row>
    <row r="42743" spans="8:8">
      <c r="H42743" t="s">
        <v>18829</v>
      </c>
    </row>
    <row r="42744" spans="8:8">
      <c r="H42744" t="s">
        <v>31527</v>
      </c>
    </row>
    <row r="42745" spans="8:8">
      <c r="H42745" t="s">
        <v>36318</v>
      </c>
    </row>
    <row r="42746" spans="8:8">
      <c r="H42746" t="s">
        <v>36319</v>
      </c>
    </row>
    <row r="42747" spans="8:8">
      <c r="H42747" t="s">
        <v>36320</v>
      </c>
    </row>
    <row r="42748" spans="8:8">
      <c r="H42748" t="s">
        <v>36321</v>
      </c>
    </row>
    <row r="42749" spans="8:8">
      <c r="H42749" t="s">
        <v>36322</v>
      </c>
    </row>
    <row r="42750" spans="8:8">
      <c r="H42750" t="s">
        <v>36323</v>
      </c>
    </row>
    <row r="42751" spans="8:8">
      <c r="H42751" t="s">
        <v>36324</v>
      </c>
    </row>
    <row r="42752" spans="8:8">
      <c r="H42752" t="s">
        <v>36325</v>
      </c>
    </row>
    <row r="42753" spans="8:8">
      <c r="H42753" t="s">
        <v>36326</v>
      </c>
    </row>
    <row r="42754" spans="8:8">
      <c r="H42754" t="s">
        <v>36327</v>
      </c>
    </row>
    <row r="42755" spans="8:8">
      <c r="H42755" t="s">
        <v>36328</v>
      </c>
    </row>
    <row r="42756" spans="8:8">
      <c r="H42756" t="s">
        <v>36329</v>
      </c>
    </row>
    <row r="42757" spans="8:8">
      <c r="H42757" t="s">
        <v>36330</v>
      </c>
    </row>
    <row r="42758" spans="8:8">
      <c r="H42758" t="s">
        <v>36331</v>
      </c>
    </row>
    <row r="42759" spans="8:8">
      <c r="H42759" t="s">
        <v>36332</v>
      </c>
    </row>
    <row r="42760" spans="8:8">
      <c r="H42760" t="s">
        <v>36333</v>
      </c>
    </row>
    <row r="42761" spans="8:8">
      <c r="H42761" t="s">
        <v>36334</v>
      </c>
    </row>
    <row r="42762" spans="8:8">
      <c r="H42762" t="s">
        <v>36335</v>
      </c>
    </row>
    <row r="42763" spans="8:8">
      <c r="H42763" t="s">
        <v>36336</v>
      </c>
    </row>
    <row r="42764" spans="8:8">
      <c r="H42764" t="s">
        <v>36337</v>
      </c>
    </row>
    <row r="42765" spans="8:8">
      <c r="H42765" t="s">
        <v>36338</v>
      </c>
    </row>
    <row r="42766" spans="8:8">
      <c r="H42766" t="s">
        <v>36339</v>
      </c>
    </row>
    <row r="42767" spans="8:8">
      <c r="H42767" t="s">
        <v>36340</v>
      </c>
    </row>
    <row r="42768" spans="8:8">
      <c r="H42768" t="s">
        <v>36341</v>
      </c>
    </row>
    <row r="42769" spans="1:8">
      <c r="H42769" t="s">
        <v>36342</v>
      </c>
    </row>
    <row r="42770" spans="1:8">
      <c r="H42770" t="s">
        <v>36343</v>
      </c>
    </row>
    <row r="42771" spans="1:8">
      <c r="A42771" t="s">
        <v>3854</v>
      </c>
      <c r="B42771">
        <f>HYPERLINK("https://android.googlesource.com/platform/cts/+/2485744cbe9766b086e1e620f12d69193821be1c", "2485744cbe9766b086e1e620f12d69193821be1c")</f>
        <v>0</v>
      </c>
      <c r="C42771">
        <f>HYPERLINK("https://android.googlesource.com/platform/cts/+/fe165bccc3dd7b623909137d9e796631fb2363f2", "fe165bccc3dd7b623909137d9e796631fb2363f2")</f>
        <v>0</v>
      </c>
      <c r="D42771" t="s">
        <v>5526</v>
      </c>
      <c r="E42771" t="s">
        <v>9546</v>
      </c>
      <c r="F42771" t="s">
        <v>13227</v>
      </c>
      <c r="G42771" t="s">
        <v>17368</v>
      </c>
      <c r="H42771" t="s">
        <v>36344</v>
      </c>
    </row>
    <row r="42772" spans="1:8">
      <c r="A42772" t="s">
        <v>3855</v>
      </c>
      <c r="B42772">
        <f>HYPERLINK("https://android.googlesource.com/platform/cts/+/b7c673f8986186279106945a59599712121cc18b", "b7c673f8986186279106945a59599712121cc18b")</f>
        <v>0</v>
      </c>
      <c r="C42772">
        <f>HYPERLINK("https://android.googlesource.com/platform/cts/+/2204a8616b54ff8af9c56acb8286be5eed11b683", "2204a8616b54ff8af9c56acb8286be5eed11b683")</f>
        <v>0</v>
      </c>
      <c r="D42772" t="s">
        <v>5030</v>
      </c>
      <c r="E42772" t="s">
        <v>9547</v>
      </c>
      <c r="F42772" t="s">
        <v>14506</v>
      </c>
      <c r="G42772" t="s">
        <v>18435</v>
      </c>
      <c r="H42772" t="s">
        <v>36345</v>
      </c>
    </row>
    <row r="42773" spans="1:8">
      <c r="H42773" t="s">
        <v>36346</v>
      </c>
    </row>
    <row r="42774" spans="1:8">
      <c r="A42774" t="s">
        <v>3856</v>
      </c>
      <c r="B42774">
        <f>HYPERLINK("https://android.googlesource.com/platform/cts/+/309d16407d5662cf50e6237d7addb3ac893f8f0a", "309d16407d5662cf50e6237d7addb3ac893f8f0a")</f>
        <v>0</v>
      </c>
      <c r="C42774">
        <f>HYPERLINK("https://android.googlesource.com/platform/cts/+/be3765ad318d61dcb6b79176ede73a243b96b5be", "be3765ad318d61dcb6b79176ede73a243b96b5be")</f>
        <v>0</v>
      </c>
      <c r="D42774" t="s">
        <v>5556</v>
      </c>
      <c r="E42774" t="s">
        <v>9548</v>
      </c>
      <c r="F42774" t="s">
        <v>14238</v>
      </c>
      <c r="G42774" t="s">
        <v>18208</v>
      </c>
      <c r="H42774" t="s">
        <v>36347</v>
      </c>
    </row>
    <row r="42775" spans="1:8">
      <c r="H42775" t="s">
        <v>36348</v>
      </c>
    </row>
    <row r="42776" spans="1:8">
      <c r="H42776" t="s">
        <v>36349</v>
      </c>
    </row>
    <row r="42777" spans="1:8">
      <c r="H42777" t="s">
        <v>36350</v>
      </c>
    </row>
    <row r="42778" spans="1:8">
      <c r="F42778" t="s">
        <v>14507</v>
      </c>
      <c r="G42778" t="s">
        <v>18208</v>
      </c>
      <c r="H42778" t="s">
        <v>36347</v>
      </c>
    </row>
    <row r="42779" spans="1:8">
      <c r="H42779" t="s">
        <v>36348</v>
      </c>
    </row>
    <row r="42780" spans="1:8">
      <c r="H42780" t="s">
        <v>36349</v>
      </c>
    </row>
    <row r="42781" spans="1:8">
      <c r="H42781" t="s">
        <v>36350</v>
      </c>
    </row>
    <row r="42782" spans="1:8">
      <c r="F42782" t="s">
        <v>14296</v>
      </c>
      <c r="G42782" t="s">
        <v>18022</v>
      </c>
      <c r="H42782" t="s">
        <v>36347</v>
      </c>
    </row>
    <row r="42783" spans="1:8">
      <c r="H42783" t="s">
        <v>36348</v>
      </c>
    </row>
    <row r="42784" spans="1:8">
      <c r="H42784" t="s">
        <v>36349</v>
      </c>
    </row>
    <row r="42785" spans="1:8">
      <c r="H42785" t="s">
        <v>36350</v>
      </c>
    </row>
    <row r="42786" spans="1:8">
      <c r="A42786" t="s">
        <v>3857</v>
      </c>
      <c r="B42786">
        <f>HYPERLINK("https://android.googlesource.com/platform/cts/+/bc244ae8d96eaf24a9b4a74a69d41ccbc5348271", "bc244ae8d96eaf24a9b4a74a69d41ccbc5348271")</f>
        <v>0</v>
      </c>
      <c r="C42786">
        <f>HYPERLINK("https://android.googlesource.com/platform/cts/+/2a831adebbadade6146b71e0fea8ad4284ecb67d", "2a831adebbadade6146b71e0fea8ad4284ecb67d")</f>
        <v>0</v>
      </c>
      <c r="D42786" t="s">
        <v>5630</v>
      </c>
      <c r="E42786" t="s">
        <v>9549</v>
      </c>
      <c r="F42786" t="s">
        <v>14353</v>
      </c>
      <c r="G42786" t="s">
        <v>18303</v>
      </c>
      <c r="H42786" t="s">
        <v>36351</v>
      </c>
    </row>
    <row r="42787" spans="1:8">
      <c r="H42787" t="s">
        <v>36352</v>
      </c>
    </row>
    <row r="42788" spans="1:8">
      <c r="H42788" t="s">
        <v>36353</v>
      </c>
    </row>
    <row r="42789" spans="1:8">
      <c r="H42789" t="s">
        <v>36354</v>
      </c>
    </row>
    <row r="42790" spans="1:8">
      <c r="A42790" t="s">
        <v>3858</v>
      </c>
      <c r="B42790">
        <f>HYPERLINK("https://android.googlesource.com/platform/cts/+/d15a5cee3c935541ef074efda87b0610f86b3efb", "d15a5cee3c935541ef074efda87b0610f86b3efb")</f>
        <v>0</v>
      </c>
      <c r="C42790">
        <f>HYPERLINK("https://android.googlesource.com/platform/cts/+/fd52dc0b5372b2ed6ce1b50f53331e774ffc31a6", "fd52dc0b5372b2ed6ce1b50f53331e774ffc31a6")</f>
        <v>0</v>
      </c>
      <c r="D42790" t="s">
        <v>5467</v>
      </c>
      <c r="E42790" t="s">
        <v>9550</v>
      </c>
      <c r="F42790" t="s">
        <v>14095</v>
      </c>
      <c r="G42790" t="s">
        <v>18088</v>
      </c>
      <c r="H42790" t="s">
        <v>36355</v>
      </c>
    </row>
    <row r="42791" spans="1:8">
      <c r="A42791" t="s">
        <v>3859</v>
      </c>
      <c r="B42791">
        <f>HYPERLINK("https://android.googlesource.com/platform/cts/+/36ad1c6050195a1f0d05117fcc439a96e1e070b1", "36ad1c6050195a1f0d05117fcc439a96e1e070b1")</f>
        <v>0</v>
      </c>
      <c r="C42791">
        <f>HYPERLINK("https://android.googlesource.com/platform/cts/+/849c933b77e09d0edd41b4a8988499f887d6f78a", "849c933b77e09d0edd41b4a8988499f887d6f78a")</f>
        <v>0</v>
      </c>
      <c r="D42791" t="s">
        <v>5594</v>
      </c>
      <c r="E42791" t="s">
        <v>9551</v>
      </c>
      <c r="F42791" t="s">
        <v>13275</v>
      </c>
      <c r="G42791" t="s">
        <v>17412</v>
      </c>
      <c r="H42791" t="s">
        <v>36356</v>
      </c>
    </row>
    <row r="42792" spans="1:8">
      <c r="A42792" t="s">
        <v>3860</v>
      </c>
      <c r="B42792">
        <f>HYPERLINK("https://android.googlesource.com/platform/cts/+/779e4cc83e18f6d66138c74080d00cda23a5681b", "779e4cc83e18f6d66138c74080d00cda23a5681b")</f>
        <v>0</v>
      </c>
      <c r="C42792">
        <f>HYPERLINK("https://android.googlesource.com/platform/cts/+/c76d3e01da6b792601f0cf9f0e71535461056cc6", "c76d3e01da6b792601f0cf9f0e71535461056cc6")</f>
        <v>0</v>
      </c>
      <c r="D42792" t="s">
        <v>5298</v>
      </c>
      <c r="E42792" t="s">
        <v>9552</v>
      </c>
      <c r="F42792" t="s">
        <v>14508</v>
      </c>
      <c r="G42792" t="s">
        <v>18436</v>
      </c>
      <c r="H42792" t="s">
        <v>36357</v>
      </c>
    </row>
    <row r="42793" spans="1:8">
      <c r="A42793" t="s">
        <v>3861</v>
      </c>
      <c r="B42793">
        <f>HYPERLINK("https://android.googlesource.com/platform/cts/+/9386dd76d122b5961825f3639b7d313f1f712001", "9386dd76d122b5961825f3639b7d313f1f712001")</f>
        <v>0</v>
      </c>
      <c r="C42793">
        <f>HYPERLINK("https://android.googlesource.com/platform/cts/+/02c4665500afe5594ba587a4a1549578c182fd75", "02c4665500afe5594ba587a4a1549578c182fd75")</f>
        <v>0</v>
      </c>
      <c r="D42793" t="s">
        <v>5272</v>
      </c>
      <c r="E42793" t="s">
        <v>9553</v>
      </c>
      <c r="F42793" t="s">
        <v>14328</v>
      </c>
      <c r="G42793" t="s">
        <v>18167</v>
      </c>
      <c r="H42793" t="s">
        <v>33885</v>
      </c>
    </row>
    <row r="42794" spans="1:8">
      <c r="A42794" t="s">
        <v>3862</v>
      </c>
      <c r="B42794">
        <f>HYPERLINK("https://android.googlesource.com/platform/cts/+/4f2c685242bd9de29389e86c4e62520ac996ac9f", "4f2c685242bd9de29389e86c4e62520ac996ac9f")</f>
        <v>0</v>
      </c>
      <c r="C42794">
        <f>HYPERLINK("https://android.googlesource.com/platform/cts/+/e602b1bd2cc223156ecbb3f75877e98bc5c575b1", "e602b1bd2cc223156ecbb3f75877e98bc5c575b1")</f>
        <v>0</v>
      </c>
      <c r="D42794" t="s">
        <v>5298</v>
      </c>
      <c r="E42794" t="s">
        <v>9554</v>
      </c>
      <c r="F42794" t="s">
        <v>14508</v>
      </c>
      <c r="G42794" t="s">
        <v>18436</v>
      </c>
      <c r="H42794" t="s">
        <v>36358</v>
      </c>
    </row>
    <row r="42795" spans="1:8">
      <c r="A42795" t="s">
        <v>3863</v>
      </c>
      <c r="B42795">
        <f>HYPERLINK("https://android.googlesource.com/platform/cts/+/0247d320c26ae0befd0a618e66ee3e8ee1bae574", "0247d320c26ae0befd0a618e66ee3e8ee1bae574")</f>
        <v>0</v>
      </c>
      <c r="C42795">
        <f>HYPERLINK("https://android.googlesource.com/platform/cts/+/535f72d8c9ce450b62b0d484f88d91f299299930", "535f72d8c9ce450b62b0d484f88d91f299299930")</f>
        <v>0</v>
      </c>
      <c r="D42795" t="s">
        <v>4949</v>
      </c>
      <c r="E42795" t="s">
        <v>9555</v>
      </c>
      <c r="F42795" t="s">
        <v>12808</v>
      </c>
      <c r="G42795" t="s">
        <v>16989</v>
      </c>
      <c r="H42795" t="s">
        <v>36359</v>
      </c>
    </row>
    <row r="42796" spans="1:8">
      <c r="A42796" t="s">
        <v>3864</v>
      </c>
      <c r="B42796">
        <f>HYPERLINK("https://android.googlesource.com/platform/cts/+/d51900afba884b8a0af1755c65809d7541594a5f", "d51900afba884b8a0af1755c65809d7541594a5f")</f>
        <v>0</v>
      </c>
      <c r="C42796">
        <f>HYPERLINK("https://android.googlesource.com/platform/cts/+/bb9fa03641a76d82701b1fa4ebf7ed4f124cf7ed", "bb9fa03641a76d82701b1fa4ebf7ed4f124cf7ed")</f>
        <v>0</v>
      </c>
      <c r="D42796" t="s">
        <v>5266</v>
      </c>
      <c r="E42796" t="s">
        <v>9556</v>
      </c>
      <c r="F42796" t="s">
        <v>14503</v>
      </c>
      <c r="G42796" t="s">
        <v>18431</v>
      </c>
      <c r="H42796" t="s">
        <v>27522</v>
      </c>
    </row>
    <row r="42797" spans="1:8">
      <c r="A42797" t="s">
        <v>3865</v>
      </c>
      <c r="B42797">
        <f>HYPERLINK("https://android.googlesource.com/platform/cts/+/23a30e752b64a391485cff67cf52ef1824b324bf", "23a30e752b64a391485cff67cf52ef1824b324bf")</f>
        <v>0</v>
      </c>
      <c r="C42797">
        <f>HYPERLINK("https://android.googlesource.com/platform/cts/+/2aa3e2cec3fedd0b12222737e503d6f37a7b9a68", "2aa3e2cec3fedd0b12222737e503d6f37a7b9a68")</f>
        <v>0</v>
      </c>
      <c r="D42797" t="s">
        <v>5207</v>
      </c>
      <c r="E42797" t="s">
        <v>9557</v>
      </c>
      <c r="F42797" t="s">
        <v>12345</v>
      </c>
      <c r="G42797" t="s">
        <v>16573</v>
      </c>
      <c r="H42797" t="s">
        <v>36360</v>
      </c>
    </row>
    <row r="42798" spans="1:8">
      <c r="A42798" t="s">
        <v>3866</v>
      </c>
      <c r="B42798">
        <f>HYPERLINK("https://android.googlesource.com/platform/cts/+/f26a0679bde669bb47e718683c159e86b2c80da4", "f26a0679bde669bb47e718683c159e86b2c80da4")</f>
        <v>0</v>
      </c>
      <c r="C42798">
        <f>HYPERLINK("https://android.googlesource.com/platform/cts/+/32cd41a8844ffa6d033286f93fea192f9c9ecfb8", "32cd41a8844ffa6d033286f93fea192f9c9ecfb8")</f>
        <v>0</v>
      </c>
      <c r="D42798" t="s">
        <v>5272</v>
      </c>
      <c r="E42798" t="s">
        <v>9558</v>
      </c>
      <c r="F42798" t="s">
        <v>13757</v>
      </c>
      <c r="G42798" t="s">
        <v>17816</v>
      </c>
      <c r="H42798" t="s">
        <v>36361</v>
      </c>
    </row>
    <row r="42799" spans="1:8">
      <c r="H42799" t="s">
        <v>36362</v>
      </c>
    </row>
    <row r="42800" spans="1:8">
      <c r="A42800" t="s">
        <v>3867</v>
      </c>
      <c r="B42800">
        <f>HYPERLINK("https://android.googlesource.com/platform/cts/+/286f6609c79437e4f0200b3a27ad740b847a6960", "286f6609c79437e4f0200b3a27ad740b847a6960")</f>
        <v>0</v>
      </c>
      <c r="C42800">
        <f>HYPERLINK("https://android.googlesource.com/platform/cts/+/e343c526a589a1deedb781e9e00adac1c6cfff92", "e343c526a589a1deedb781e9e00adac1c6cfff92")</f>
        <v>0</v>
      </c>
      <c r="D42800" t="s">
        <v>5298</v>
      </c>
      <c r="E42800" t="s">
        <v>9559</v>
      </c>
      <c r="F42800" t="s">
        <v>14508</v>
      </c>
      <c r="G42800" t="s">
        <v>18436</v>
      </c>
      <c r="H42800" t="s">
        <v>36363</v>
      </c>
    </row>
    <row r="42801" spans="1:8">
      <c r="H42801" t="s">
        <v>36364</v>
      </c>
    </row>
    <row r="42802" spans="1:8">
      <c r="H42802" t="s">
        <v>36365</v>
      </c>
    </row>
    <row r="42803" spans="1:8">
      <c r="H42803" t="s">
        <v>36366</v>
      </c>
    </row>
    <row r="42804" spans="1:8">
      <c r="A42804" t="s">
        <v>3868</v>
      </c>
      <c r="B42804">
        <f>HYPERLINK("https://android.googlesource.com/platform/cts/+/d961ff000457a9ff659bfe8863fd7ee0899df3d7", "d961ff000457a9ff659bfe8863fd7ee0899df3d7")</f>
        <v>0</v>
      </c>
      <c r="C42804">
        <f>HYPERLINK("https://android.googlesource.com/platform/cts/+/286f6609c79437e4f0200b3a27ad740b847a6960", "286f6609c79437e4f0200b3a27ad740b847a6960")</f>
        <v>0</v>
      </c>
      <c r="D42804" t="s">
        <v>5298</v>
      </c>
      <c r="E42804" t="s">
        <v>9560</v>
      </c>
      <c r="F42804" t="s">
        <v>14508</v>
      </c>
      <c r="G42804" t="s">
        <v>18436</v>
      </c>
      <c r="H42804" t="s">
        <v>36367</v>
      </c>
    </row>
    <row r="42805" spans="1:8">
      <c r="H42805" t="s">
        <v>36368</v>
      </c>
    </row>
    <row r="42806" spans="1:8">
      <c r="A42806" t="s">
        <v>3869</v>
      </c>
      <c r="B42806">
        <f>HYPERLINK("https://android.googlesource.com/platform/cts/+/35e5d2d987b43cea5059cb9dc040ab9873474305", "35e5d2d987b43cea5059cb9dc040ab9873474305")</f>
        <v>0</v>
      </c>
      <c r="C42806">
        <f>HYPERLINK("https://android.googlesource.com/platform/cts/+/d961ff000457a9ff659bfe8863fd7ee0899df3d7", "d961ff000457a9ff659bfe8863fd7ee0899df3d7")</f>
        <v>0</v>
      </c>
      <c r="D42806" t="s">
        <v>5298</v>
      </c>
      <c r="E42806" t="s">
        <v>9561</v>
      </c>
      <c r="F42806" t="s">
        <v>14508</v>
      </c>
      <c r="G42806" t="s">
        <v>18436</v>
      </c>
      <c r="H42806" t="s">
        <v>36369</v>
      </c>
    </row>
    <row r="42807" spans="1:8">
      <c r="A42807" t="s">
        <v>3870</v>
      </c>
      <c r="B42807">
        <f>HYPERLINK("https://android.googlesource.com/platform/cts/+/bfb3c50d70c57d9968714548163f9b681f1ad5ad", "bfb3c50d70c57d9968714548163f9b681f1ad5ad")</f>
        <v>0</v>
      </c>
      <c r="C42807">
        <f>HYPERLINK("https://android.googlesource.com/platform/cts/+/41ffc7cfe08e49aa053ad7a05f57253a70aed66e", "41ffc7cfe08e49aa053ad7a05f57253a70aed66e")</f>
        <v>0</v>
      </c>
      <c r="D42807" t="s">
        <v>5620</v>
      </c>
      <c r="E42807" t="s">
        <v>9562</v>
      </c>
      <c r="F42807" t="s">
        <v>14475</v>
      </c>
      <c r="G42807" t="s">
        <v>18407</v>
      </c>
      <c r="H42807" t="s">
        <v>36370</v>
      </c>
    </row>
    <row r="42808" spans="1:8">
      <c r="H42808" t="s">
        <v>36371</v>
      </c>
    </row>
    <row r="42809" spans="1:8">
      <c r="H42809" t="s">
        <v>36372</v>
      </c>
    </row>
    <row r="42810" spans="1:8">
      <c r="A42810" t="s">
        <v>3872</v>
      </c>
      <c r="B42810">
        <f>HYPERLINK("https://android.googlesource.com/platform/cts/+/fedeb4935776bc790830f0c8f7bd083b3e5156a8", "fedeb4935776bc790830f0c8f7bd083b3e5156a8")</f>
        <v>0</v>
      </c>
      <c r="C42810">
        <f>HYPERLINK("https://android.googlesource.com/platform/cts/+/75939e6100124670e5c17c9903695484807444cc", "75939e6100124670e5c17c9903695484807444cc")</f>
        <v>0</v>
      </c>
      <c r="D42810" t="s">
        <v>5040</v>
      </c>
      <c r="E42810" t="s">
        <v>9564</v>
      </c>
      <c r="F42810" t="s">
        <v>14509</v>
      </c>
      <c r="G42810" t="s">
        <v>18437</v>
      </c>
      <c r="H42810" t="s">
        <v>36298</v>
      </c>
    </row>
    <row r="42811" spans="1:8">
      <c r="F42811" t="s">
        <v>14510</v>
      </c>
      <c r="G42811" t="s">
        <v>18438</v>
      </c>
      <c r="H42811" t="s">
        <v>36373</v>
      </c>
    </row>
    <row r="42812" spans="1:8">
      <c r="A42812" t="s">
        <v>3873</v>
      </c>
      <c r="B42812">
        <f>HYPERLINK("https://android.googlesource.com/platform/cts/+/92fc57bfe3e17d8a84f7d0eab1d2b7797ef01c25", "92fc57bfe3e17d8a84f7d0eab1d2b7797ef01c25")</f>
        <v>0</v>
      </c>
      <c r="C42812">
        <f>HYPERLINK("https://android.googlesource.com/platform/cts/+/c653b31ee329e2d26400b3750f1ecf8363ab2e2e", "c653b31ee329e2d26400b3750f1ecf8363ab2e2e")</f>
        <v>0</v>
      </c>
      <c r="D42812" t="s">
        <v>5290</v>
      </c>
      <c r="E42812" t="s">
        <v>9565</v>
      </c>
      <c r="F42812" t="s">
        <v>14136</v>
      </c>
      <c r="G42812" t="s">
        <v>18124</v>
      </c>
      <c r="H42812" t="s">
        <v>36374</v>
      </c>
    </row>
    <row r="42813" spans="1:8">
      <c r="F42813" t="s">
        <v>14511</v>
      </c>
      <c r="G42813" t="s">
        <v>18439</v>
      </c>
      <c r="H42813" t="s">
        <v>18829</v>
      </c>
    </row>
    <row r="42814" spans="1:8">
      <c r="H42814" t="s">
        <v>18863</v>
      </c>
    </row>
    <row r="42815" spans="1:8">
      <c r="H42815" t="s">
        <v>36284</v>
      </c>
    </row>
    <row r="42816" spans="1:8">
      <c r="F42816" t="s">
        <v>13136</v>
      </c>
      <c r="G42816" t="s">
        <v>17293</v>
      </c>
      <c r="H42816" t="s">
        <v>36375</v>
      </c>
    </row>
    <row r="42817" spans="1:8">
      <c r="H42817" t="s">
        <v>36376</v>
      </c>
    </row>
    <row r="42818" spans="1:8">
      <c r="F42818" t="s">
        <v>12768</v>
      </c>
      <c r="G42818" t="s">
        <v>15710</v>
      </c>
      <c r="H42818" t="s">
        <v>36377</v>
      </c>
    </row>
    <row r="42819" spans="1:8">
      <c r="A42819" t="s">
        <v>3874</v>
      </c>
      <c r="B42819">
        <f>HYPERLINK("https://android.googlesource.com/platform/cts/+/0ce6ebc955bd89484985c77d45bdba9d997a48c3", "0ce6ebc955bd89484985c77d45bdba9d997a48c3")</f>
        <v>0</v>
      </c>
      <c r="C42819">
        <f>HYPERLINK("https://android.googlesource.com/platform/cts/+/e23c77cfcf5c8d8f64a00a511b39165f762f15f1", "e23c77cfcf5c8d8f64a00a511b39165f762f15f1")</f>
        <v>0</v>
      </c>
      <c r="D42819" t="s">
        <v>5631</v>
      </c>
      <c r="E42819" t="s">
        <v>9566</v>
      </c>
      <c r="F42819" t="s">
        <v>14437</v>
      </c>
      <c r="G42819" t="s">
        <v>18373</v>
      </c>
      <c r="H42819" t="s">
        <v>35939</v>
      </c>
    </row>
    <row r="42820" spans="1:8">
      <c r="A42820" t="s">
        <v>3875</v>
      </c>
      <c r="B42820">
        <f>HYPERLINK("https://android.googlesource.com/platform/cts/+/cb6630062f4e5a0c75257b7e9b7e10ca1f9eb60b", "cb6630062f4e5a0c75257b7e9b7e10ca1f9eb60b")</f>
        <v>0</v>
      </c>
      <c r="C42820">
        <f>HYPERLINK("https://android.googlesource.com/platform/cts/+/a5a7dbd10872f847887616679821ea469d7fdc09", "a5a7dbd10872f847887616679821ea469d7fdc09")</f>
        <v>0</v>
      </c>
      <c r="D42820" t="s">
        <v>5604</v>
      </c>
      <c r="E42820" t="s">
        <v>9567</v>
      </c>
      <c r="F42820" t="s">
        <v>12931</v>
      </c>
      <c r="G42820" t="s">
        <v>17096</v>
      </c>
      <c r="H42820" t="s">
        <v>36378</v>
      </c>
    </row>
    <row r="42821" spans="1:8">
      <c r="H42821" t="s">
        <v>36379</v>
      </c>
    </row>
    <row r="42822" spans="1:8">
      <c r="A42822" t="s">
        <v>3876</v>
      </c>
      <c r="B42822">
        <f>HYPERLINK("https://android.googlesource.com/platform/cts/+/8f1425ed98ece332e41e65ffbbd99e3692f4229b", "8f1425ed98ece332e41e65ffbbd99e3692f4229b")</f>
        <v>0</v>
      </c>
      <c r="C42822">
        <f>HYPERLINK("https://android.googlesource.com/platform/cts/+/7238bb700ba33c9e2229b23550d4d2911dc0b0cd", "7238bb700ba33c9e2229b23550d4d2911dc0b0cd")</f>
        <v>0</v>
      </c>
      <c r="D42822" t="s">
        <v>5219</v>
      </c>
      <c r="E42822" t="s">
        <v>9568</v>
      </c>
      <c r="F42822" t="s">
        <v>14512</v>
      </c>
      <c r="G42822" t="s">
        <v>18414</v>
      </c>
      <c r="H42822" t="s">
        <v>36136</v>
      </c>
    </row>
    <row r="42823" spans="1:8">
      <c r="A42823" t="s">
        <v>3877</v>
      </c>
      <c r="B42823">
        <f>HYPERLINK("https://android.googlesource.com/platform/cts/+/c54eb812bb73b0adb63e60b2c182bc9730861879", "c54eb812bb73b0adb63e60b2c182bc9730861879")</f>
        <v>0</v>
      </c>
      <c r="C42823">
        <f>HYPERLINK("https://android.googlesource.com/platform/cts/+/e7ad4067ad14f26b68acd39076e5f155ca34bf5e", "e7ad4067ad14f26b68acd39076e5f155ca34bf5e")</f>
        <v>0</v>
      </c>
      <c r="D42823" t="s">
        <v>5479</v>
      </c>
      <c r="E42823" t="s">
        <v>9569</v>
      </c>
      <c r="F42823" t="s">
        <v>14326</v>
      </c>
      <c r="G42823" t="s">
        <v>17580</v>
      </c>
      <c r="H42823" t="s">
        <v>33155</v>
      </c>
    </row>
    <row r="42824" spans="1:8">
      <c r="A42824" t="s">
        <v>3878</v>
      </c>
      <c r="B42824">
        <f>HYPERLINK("https://android.googlesource.com/platform/cts/+/0570c795f3475c66046784ec07465ab513e066f9", "0570c795f3475c66046784ec07465ab513e066f9")</f>
        <v>0</v>
      </c>
      <c r="C42824">
        <f>HYPERLINK("https://android.googlesource.com/platform/cts/+/1f9efadea92989fd9a65ca110fac23db440c8189", "1f9efadea92989fd9a65ca110fac23db440c8189")</f>
        <v>0</v>
      </c>
      <c r="D42824" t="s">
        <v>5040</v>
      </c>
      <c r="E42824" t="s">
        <v>9570</v>
      </c>
      <c r="F42824" t="s">
        <v>14509</v>
      </c>
      <c r="G42824" t="s">
        <v>18437</v>
      </c>
      <c r="H42824" t="s">
        <v>36380</v>
      </c>
    </row>
    <row r="42825" spans="1:8">
      <c r="H42825" t="s">
        <v>36381</v>
      </c>
    </row>
    <row r="42826" spans="1:8">
      <c r="H42826" t="s">
        <v>36382</v>
      </c>
    </row>
    <row r="42827" spans="1:8">
      <c r="A42827" t="s">
        <v>3879</v>
      </c>
      <c r="B42827">
        <f>HYPERLINK("https://android.googlesource.com/platform/cts/+/ed482fa972f4d2bc4ea81043c25b86e33d437ad0", "ed482fa972f4d2bc4ea81043c25b86e33d437ad0")</f>
        <v>0</v>
      </c>
      <c r="C42827">
        <f>HYPERLINK("https://android.googlesource.com/platform/cts/+/42848db93ccf88017f8b7154c09d29b4c5254448", "42848db93ccf88017f8b7154c09d29b4c5254448")</f>
        <v>0</v>
      </c>
      <c r="D42827" t="s">
        <v>5632</v>
      </c>
      <c r="E42827" t="s">
        <v>9571</v>
      </c>
      <c r="F42827" t="s">
        <v>12771</v>
      </c>
      <c r="G42827" t="s">
        <v>16958</v>
      </c>
      <c r="H42827" t="s">
        <v>36277</v>
      </c>
    </row>
    <row r="42828" spans="1:8">
      <c r="A42828" t="s">
        <v>3880</v>
      </c>
      <c r="B42828">
        <f>HYPERLINK("https://android.googlesource.com/platform/cts/+/10b09e0f6d041c770eca22b586752492b5dd4b55", "10b09e0f6d041c770eca22b586752492b5dd4b55")</f>
        <v>0</v>
      </c>
      <c r="C42828">
        <f>HYPERLINK("https://android.googlesource.com/platform/cts/+/0455d9d9931f79aca118aacbc6033a288d0cced0", "0455d9d9931f79aca118aacbc6033a288d0cced0")</f>
        <v>0</v>
      </c>
      <c r="D42828" t="s">
        <v>5633</v>
      </c>
      <c r="E42828" t="s">
        <v>9572</v>
      </c>
      <c r="F42828" t="s">
        <v>13398</v>
      </c>
      <c r="G42828" t="s">
        <v>17524</v>
      </c>
      <c r="H42828" t="s">
        <v>36383</v>
      </c>
    </row>
    <row r="42829" spans="1:8">
      <c r="H42829" t="s">
        <v>36384</v>
      </c>
    </row>
    <row r="42830" spans="1:8">
      <c r="A42830" t="s">
        <v>3881</v>
      </c>
      <c r="B42830">
        <f>HYPERLINK("https://android.googlesource.com/platform/cts/+/d177ed874400e7a0782310e97929039a6507e986", "d177ed874400e7a0782310e97929039a6507e986")</f>
        <v>0</v>
      </c>
      <c r="C42830">
        <f>HYPERLINK("https://android.googlesource.com/platform/cts/+/1f9efadea92989fd9a65ca110fac23db440c8189", "1f9efadea92989fd9a65ca110fac23db440c8189")</f>
        <v>0</v>
      </c>
      <c r="D42830" t="s">
        <v>5040</v>
      </c>
      <c r="E42830" t="s">
        <v>9573</v>
      </c>
      <c r="F42830" t="s">
        <v>14513</v>
      </c>
      <c r="G42830" t="s">
        <v>18440</v>
      </c>
      <c r="H42830" t="s">
        <v>36385</v>
      </c>
    </row>
    <row r="42831" spans="1:8">
      <c r="H42831" t="s">
        <v>36386</v>
      </c>
    </row>
    <row r="42832" spans="1:8">
      <c r="H42832" t="s">
        <v>36387</v>
      </c>
    </row>
    <row r="42833" spans="1:8">
      <c r="A42833" t="s">
        <v>3882</v>
      </c>
      <c r="B42833">
        <f>HYPERLINK("https://android.googlesource.com/platform/cts/+/ae313c4242e7566e1fe80ad0d10b176731cc81d3", "ae313c4242e7566e1fe80ad0d10b176731cc81d3")</f>
        <v>0</v>
      </c>
      <c r="C42833">
        <f>HYPERLINK("https://android.googlesource.com/platform/cts/+/28ba09b90f59916f88d390d53625bf10d69c06fb", "28ba09b90f59916f88d390d53625bf10d69c06fb")</f>
        <v>0</v>
      </c>
      <c r="D42833" t="s">
        <v>5304</v>
      </c>
      <c r="E42833" t="s">
        <v>9574</v>
      </c>
      <c r="F42833" t="s">
        <v>14514</v>
      </c>
      <c r="G42833" t="s">
        <v>18441</v>
      </c>
      <c r="H42833" t="s">
        <v>36388</v>
      </c>
    </row>
    <row r="42834" spans="1:8">
      <c r="H42834" t="s">
        <v>36389</v>
      </c>
    </row>
    <row r="42835" spans="1:8">
      <c r="F42835" t="s">
        <v>14515</v>
      </c>
      <c r="G42835" t="s">
        <v>18442</v>
      </c>
      <c r="H42835" t="s">
        <v>36390</v>
      </c>
    </row>
    <row r="42836" spans="1:8">
      <c r="A42836" t="s">
        <v>3883</v>
      </c>
      <c r="B42836">
        <f>HYPERLINK("https://android.googlesource.com/platform/cts/+/54d3e58cb122b5a08c137dc1c5dabfd6dadaa6af", "54d3e58cb122b5a08c137dc1c5dabfd6dadaa6af")</f>
        <v>0</v>
      </c>
      <c r="C42836">
        <f>HYPERLINK("https://android.googlesource.com/platform/cts/+/27232fa1daf12885d9edc772a5e62b921ad2711c", "27232fa1daf12885d9edc772a5e62b921ad2711c")</f>
        <v>0</v>
      </c>
      <c r="D42836" t="s">
        <v>5392</v>
      </c>
      <c r="E42836" t="s">
        <v>9575</v>
      </c>
      <c r="F42836" t="s">
        <v>14516</v>
      </c>
      <c r="G42836" t="s">
        <v>18443</v>
      </c>
      <c r="H42836" t="s">
        <v>36391</v>
      </c>
    </row>
    <row r="42837" spans="1:8">
      <c r="A42837" t="s">
        <v>3884</v>
      </c>
      <c r="B42837">
        <f>HYPERLINK("https://android.googlesource.com/platform/cts/+/6aac6b9c19968d1c9210d33d8019c863e301d210", "6aac6b9c19968d1c9210d33d8019c863e301d210")</f>
        <v>0</v>
      </c>
      <c r="C42837">
        <f>HYPERLINK("https://android.googlesource.com/platform/cts/+/88503a163dfc59507c4ce11df70e894ce26321e1", "88503a163dfc59507c4ce11df70e894ce26321e1")</f>
        <v>0</v>
      </c>
      <c r="D42837" t="s">
        <v>5569</v>
      </c>
      <c r="E42837" t="s">
        <v>9576</v>
      </c>
      <c r="F42837" t="s">
        <v>14517</v>
      </c>
      <c r="G42837" t="s">
        <v>18444</v>
      </c>
      <c r="H42837" t="s">
        <v>36392</v>
      </c>
    </row>
    <row r="42838" spans="1:8">
      <c r="H42838" t="s">
        <v>36393</v>
      </c>
    </row>
    <row r="42839" spans="1:8">
      <c r="H42839" t="s">
        <v>36394</v>
      </c>
    </row>
    <row r="42840" spans="1:8">
      <c r="H42840" t="s">
        <v>36395</v>
      </c>
    </row>
    <row r="42841" spans="1:8">
      <c r="H42841" t="s">
        <v>36396</v>
      </c>
    </row>
    <row r="42842" spans="1:8">
      <c r="H42842" t="s">
        <v>36397</v>
      </c>
    </row>
    <row r="42843" spans="1:8">
      <c r="H42843" t="s">
        <v>36398</v>
      </c>
    </row>
    <row r="42844" spans="1:8">
      <c r="H42844" t="s">
        <v>36399</v>
      </c>
    </row>
    <row r="42845" spans="1:8">
      <c r="H42845" t="s">
        <v>36400</v>
      </c>
    </row>
    <row r="42846" spans="1:8">
      <c r="H42846" t="s">
        <v>36401</v>
      </c>
    </row>
    <row r="42847" spans="1:8">
      <c r="H42847" t="s">
        <v>36402</v>
      </c>
    </row>
    <row r="42848" spans="1:8">
      <c r="H42848" t="s">
        <v>36403</v>
      </c>
    </row>
    <row r="42849" spans="1:8">
      <c r="H42849" t="s">
        <v>36404</v>
      </c>
    </row>
    <row r="42850" spans="1:8">
      <c r="H42850" t="s">
        <v>36405</v>
      </c>
    </row>
    <row r="42851" spans="1:8">
      <c r="H42851" t="s">
        <v>36406</v>
      </c>
    </row>
    <row r="42852" spans="1:8">
      <c r="H42852" t="s">
        <v>36407</v>
      </c>
    </row>
    <row r="42853" spans="1:8">
      <c r="H42853" t="s">
        <v>19013</v>
      </c>
    </row>
    <row r="42854" spans="1:8">
      <c r="H42854" t="s">
        <v>19010</v>
      </c>
    </row>
    <row r="42855" spans="1:8">
      <c r="H42855" t="s">
        <v>36408</v>
      </c>
    </row>
    <row r="42856" spans="1:8">
      <c r="H42856" t="s">
        <v>36409</v>
      </c>
    </row>
    <row r="42857" spans="1:8">
      <c r="H42857" t="s">
        <v>36410</v>
      </c>
    </row>
    <row r="42858" spans="1:8">
      <c r="H42858" t="s">
        <v>36411</v>
      </c>
    </row>
    <row r="42859" spans="1:8">
      <c r="H42859" t="s">
        <v>36412</v>
      </c>
    </row>
    <row r="42860" spans="1:8">
      <c r="H42860" t="s">
        <v>36413</v>
      </c>
    </row>
    <row r="42861" spans="1:8">
      <c r="H42861" t="s">
        <v>36414</v>
      </c>
    </row>
    <row r="42862" spans="1:8">
      <c r="F42862" t="s">
        <v>14518</v>
      </c>
      <c r="G42862" t="s">
        <v>18445</v>
      </c>
      <c r="H42862" t="s">
        <v>36415</v>
      </c>
    </row>
    <row r="42863" spans="1:8">
      <c r="A42863" t="s">
        <v>3885</v>
      </c>
      <c r="B42863">
        <f>HYPERLINK("https://android.googlesource.com/platform/cts/+/7b63032221d28bb59e87740e830d4cc368cb9004", "7b63032221d28bb59e87740e830d4cc368cb9004")</f>
        <v>0</v>
      </c>
      <c r="C42863">
        <f>HYPERLINK("https://android.googlesource.com/platform/cts/+/fa2710bf92e23044f01ffda29209f698c50250e5", "fa2710bf92e23044f01ffda29209f698c50250e5")</f>
        <v>0</v>
      </c>
      <c r="D42863" t="s">
        <v>5546</v>
      </c>
      <c r="E42863" t="s">
        <v>9577</v>
      </c>
      <c r="F42863" t="s">
        <v>10599</v>
      </c>
      <c r="G42863" t="s">
        <v>15002</v>
      </c>
      <c r="H42863" t="s">
        <v>36416</v>
      </c>
    </row>
    <row r="42864" spans="1:8">
      <c r="H42864" t="s">
        <v>36417</v>
      </c>
    </row>
    <row r="42865" spans="1:8">
      <c r="H42865" t="s">
        <v>36418</v>
      </c>
    </row>
    <row r="42866" spans="1:8">
      <c r="H42866" t="s">
        <v>36419</v>
      </c>
    </row>
    <row r="42867" spans="1:8">
      <c r="A42867" t="s">
        <v>3886</v>
      </c>
      <c r="B42867">
        <f>HYPERLINK("https://android.googlesource.com/platform/cts/+/9719c03cb1319dae2249c3416ea5e0332df78df8", "9719c03cb1319dae2249c3416ea5e0332df78df8")</f>
        <v>0</v>
      </c>
      <c r="C42867">
        <f>HYPERLINK("https://android.googlesource.com/platform/cts/+/d6b489634930762f47ef9b926b6573e4e14b2864", "d6b489634930762f47ef9b926b6573e4e14b2864")</f>
        <v>0</v>
      </c>
      <c r="D42867" t="s">
        <v>5481</v>
      </c>
      <c r="E42867" t="s">
        <v>9578</v>
      </c>
      <c r="F42867" t="s">
        <v>14124</v>
      </c>
      <c r="G42867" t="s">
        <v>18114</v>
      </c>
      <c r="H42867" t="s">
        <v>36420</v>
      </c>
    </row>
    <row r="42868" spans="1:8">
      <c r="A42868" t="s">
        <v>3887</v>
      </c>
      <c r="B42868">
        <f>HYPERLINK("https://android.googlesource.com/platform/cts/+/fb6a260625746fdab6212e8727674b77d9e60a8c", "fb6a260625746fdab6212e8727674b77d9e60a8c")</f>
        <v>0</v>
      </c>
      <c r="C42868">
        <f>HYPERLINK("https://android.googlesource.com/platform/cts/+/7ff5b8db4bc121578b666b39ca14b615eb3bbe6c", "7ff5b8db4bc121578b666b39ca14b615eb3bbe6c")</f>
        <v>0</v>
      </c>
      <c r="D42868" t="s">
        <v>5604</v>
      </c>
      <c r="E42868" t="s">
        <v>9579</v>
      </c>
      <c r="F42868" t="s">
        <v>12931</v>
      </c>
      <c r="G42868" t="s">
        <v>17096</v>
      </c>
      <c r="H42868" t="s">
        <v>36421</v>
      </c>
    </row>
    <row r="42869" spans="1:8">
      <c r="A42869" t="s">
        <v>3888</v>
      </c>
      <c r="B42869">
        <f>HYPERLINK("https://android.googlesource.com/platform/cts/+/ecc80d464730c9406dfeae4e582b921bef7a32fa", "ecc80d464730c9406dfeae4e582b921bef7a32fa")</f>
        <v>0</v>
      </c>
      <c r="C42869">
        <f>HYPERLINK("https://android.googlesource.com/platform/cts/+/e32af8ac1c2d231d9e2d7af595635f6d3a75da3b", "e32af8ac1c2d231d9e2d7af595635f6d3a75da3b")</f>
        <v>0</v>
      </c>
      <c r="D42869" t="s">
        <v>5575</v>
      </c>
      <c r="E42869" t="s">
        <v>9580</v>
      </c>
      <c r="F42869" t="s">
        <v>14519</v>
      </c>
      <c r="G42869" t="s">
        <v>18446</v>
      </c>
      <c r="H42869" t="s">
        <v>18829</v>
      </c>
    </row>
    <row r="42870" spans="1:8">
      <c r="H42870" t="s">
        <v>33513</v>
      </c>
    </row>
    <row r="42871" spans="1:8">
      <c r="H42871" t="s">
        <v>36422</v>
      </c>
    </row>
    <row r="42872" spans="1:8">
      <c r="H42872" t="s">
        <v>36423</v>
      </c>
    </row>
    <row r="42873" spans="1:8">
      <c r="H42873" t="s">
        <v>36424</v>
      </c>
    </row>
    <row r="42874" spans="1:8">
      <c r="A42874" t="s">
        <v>3889</v>
      </c>
      <c r="B42874">
        <f>HYPERLINK("https://android.googlesource.com/platform/cts/+/ebbe9219bfc3950da9e69f31619c4013b855e0a3", "ebbe9219bfc3950da9e69f31619c4013b855e0a3")</f>
        <v>0</v>
      </c>
      <c r="C42874">
        <f>HYPERLINK("https://android.googlesource.com/platform/cts/+/1f9efadea92989fd9a65ca110fac23db440c8189", "1f9efadea92989fd9a65ca110fac23db440c8189")</f>
        <v>0</v>
      </c>
      <c r="D42874" t="s">
        <v>5463</v>
      </c>
      <c r="E42874" t="s">
        <v>9581</v>
      </c>
      <c r="F42874" t="s">
        <v>14237</v>
      </c>
      <c r="G42874" t="s">
        <v>18207</v>
      </c>
      <c r="H42874" t="s">
        <v>36425</v>
      </c>
    </row>
    <row r="42875" spans="1:8">
      <c r="H42875" t="s">
        <v>36426</v>
      </c>
    </row>
    <row r="42876" spans="1:8">
      <c r="H42876" t="s">
        <v>36427</v>
      </c>
    </row>
    <row r="42877" spans="1:8">
      <c r="H42877" t="s">
        <v>36428</v>
      </c>
    </row>
    <row r="42878" spans="1:8">
      <c r="F42878" t="s">
        <v>14520</v>
      </c>
      <c r="G42878" t="s">
        <v>18447</v>
      </c>
      <c r="H42878" t="s">
        <v>36427</v>
      </c>
    </row>
    <row r="42879" spans="1:8">
      <c r="F42879" t="s">
        <v>14227</v>
      </c>
      <c r="G42879" t="s">
        <v>18199</v>
      </c>
      <c r="H42879" t="s">
        <v>36426</v>
      </c>
    </row>
    <row r="42880" spans="1:8">
      <c r="H42880" t="s">
        <v>36428</v>
      </c>
    </row>
    <row r="42881" spans="1:8">
      <c r="H42881" t="s">
        <v>36429</v>
      </c>
    </row>
    <row r="42882" spans="1:8">
      <c r="A42882" t="s">
        <v>3890</v>
      </c>
      <c r="B42882">
        <f>HYPERLINK("https://android.googlesource.com/platform/cts/+/51395fe94c356da5d782d2c52ce45ba8a60eadd4", "51395fe94c356da5d782d2c52ce45ba8a60eadd4")</f>
        <v>0</v>
      </c>
      <c r="C42882">
        <f>HYPERLINK("https://android.googlesource.com/platform/cts/+/1f9efadea92989fd9a65ca110fac23db440c8189", "1f9efadea92989fd9a65ca110fac23db440c8189")</f>
        <v>0</v>
      </c>
      <c r="D42882" t="s">
        <v>5463</v>
      </c>
      <c r="E42882" t="s">
        <v>9582</v>
      </c>
      <c r="F42882" t="s">
        <v>13887</v>
      </c>
      <c r="G42882" t="s">
        <v>17319</v>
      </c>
      <c r="H42882" t="s">
        <v>36430</v>
      </c>
    </row>
    <row r="42883" spans="1:8">
      <c r="A42883" t="s">
        <v>3891</v>
      </c>
      <c r="B42883">
        <f>HYPERLINK("https://android.googlesource.com/platform/cts/+/da0a4d8965039961eb3917c2aaf0ff2b7b101fb1", "da0a4d8965039961eb3917c2aaf0ff2b7b101fb1")</f>
        <v>0</v>
      </c>
      <c r="C42883">
        <f>HYPERLINK("https://android.googlesource.com/platform/cts/+/f8fa53406f9be9f737ae97ed09f3e08aa82765b7", "f8fa53406f9be9f737ae97ed09f3e08aa82765b7")</f>
        <v>0</v>
      </c>
      <c r="D42883" t="s">
        <v>5582</v>
      </c>
      <c r="E42883" t="s">
        <v>9583</v>
      </c>
      <c r="F42883" t="s">
        <v>12984</v>
      </c>
      <c r="G42883" t="s">
        <v>17148</v>
      </c>
      <c r="H42883" t="s">
        <v>36431</v>
      </c>
    </row>
    <row r="42884" spans="1:8">
      <c r="A42884" t="s">
        <v>3892</v>
      </c>
      <c r="B42884">
        <f>HYPERLINK("https://android.googlesource.com/platform/cts/+/e03dddfc786ce4889b5216a63344c83363b2cdf4", "e03dddfc786ce4889b5216a63344c83363b2cdf4")</f>
        <v>0</v>
      </c>
      <c r="C42884">
        <f>HYPERLINK("https://android.googlesource.com/platform/cts/+/f9e6392fb9738b91776c89897b665f493d927ef8", "f9e6392fb9738b91776c89897b665f493d927ef8")</f>
        <v>0</v>
      </c>
      <c r="D42884" t="s">
        <v>5634</v>
      </c>
      <c r="E42884" t="s">
        <v>9584</v>
      </c>
      <c r="F42884" t="s">
        <v>14521</v>
      </c>
      <c r="G42884" t="s">
        <v>18448</v>
      </c>
      <c r="H42884" t="s">
        <v>31841</v>
      </c>
    </row>
    <row r="42885" spans="1:8">
      <c r="F42885" t="s">
        <v>13718</v>
      </c>
      <c r="G42885" t="s">
        <v>17785</v>
      </c>
      <c r="H42885" t="s">
        <v>31838</v>
      </c>
    </row>
    <row r="42886" spans="1:8">
      <c r="H42886" t="s">
        <v>31839</v>
      </c>
    </row>
    <row r="42887" spans="1:8">
      <c r="H42887" t="s">
        <v>31840</v>
      </c>
    </row>
    <row r="42888" spans="1:8">
      <c r="H42888" t="s">
        <v>31841</v>
      </c>
    </row>
    <row r="42889" spans="1:8">
      <c r="F42889" t="s">
        <v>14522</v>
      </c>
      <c r="G42889" t="s">
        <v>18449</v>
      </c>
      <c r="H42889" t="s">
        <v>36432</v>
      </c>
    </row>
    <row r="42890" spans="1:8">
      <c r="H42890" t="s">
        <v>36433</v>
      </c>
    </row>
    <row r="42891" spans="1:8">
      <c r="H42891" t="s">
        <v>36434</v>
      </c>
    </row>
    <row r="42892" spans="1:8">
      <c r="H42892" t="s">
        <v>36435</v>
      </c>
    </row>
    <row r="42893" spans="1:8">
      <c r="A42893" t="s">
        <v>3893</v>
      </c>
      <c r="B42893">
        <f>HYPERLINK("https://android.googlesource.com/platform/cts/+/7def2ffd576dce4279f15b2469cbca68d9c9024c", "7def2ffd576dce4279f15b2469cbca68d9c9024c")</f>
        <v>0</v>
      </c>
      <c r="C42893">
        <f>HYPERLINK("https://android.googlesource.com/platform/cts/+/96233a1e3ed73a8ebeae228d84a082be28a1841d", "96233a1e3ed73a8ebeae228d84a082be28a1841d")</f>
        <v>0</v>
      </c>
      <c r="D42893" t="s">
        <v>5478</v>
      </c>
      <c r="E42893" t="s">
        <v>9585</v>
      </c>
      <c r="F42893" t="s">
        <v>14523</v>
      </c>
      <c r="G42893" t="s">
        <v>18450</v>
      </c>
      <c r="H42893" t="s">
        <v>36436</v>
      </c>
    </row>
    <row r="42894" spans="1:8">
      <c r="A42894" t="s">
        <v>3894</v>
      </c>
      <c r="B42894">
        <f>HYPERLINK("https://android.googlesource.com/platform/cts/+/13a8e822b3fe6c9ab29f3d271e6382e4078e69c2", "13a8e822b3fe6c9ab29f3d271e6382e4078e69c2")</f>
        <v>0</v>
      </c>
      <c r="C42894">
        <f>HYPERLINK("https://android.googlesource.com/platform/cts/+/aaf5749b7b609bd138fe96d7702279a4be8b49db", "aaf5749b7b609bd138fe96d7702279a4be8b49db")</f>
        <v>0</v>
      </c>
      <c r="D42894" t="s">
        <v>5635</v>
      </c>
      <c r="E42894" t="s">
        <v>9586</v>
      </c>
      <c r="F42894" t="s">
        <v>14524</v>
      </c>
      <c r="G42894" t="s">
        <v>18451</v>
      </c>
      <c r="H42894" t="s">
        <v>36437</v>
      </c>
    </row>
    <row r="42895" spans="1:8">
      <c r="H42895" t="s">
        <v>34672</v>
      </c>
    </row>
    <row r="42896" spans="1:8">
      <c r="A42896" t="s">
        <v>3895</v>
      </c>
      <c r="B42896">
        <f>HYPERLINK("https://android.googlesource.com/platform/cts/+/1792746833a333aa56d896d07bb72a0ca94e491c", "1792746833a333aa56d896d07bb72a0ca94e491c")</f>
        <v>0</v>
      </c>
      <c r="C42896">
        <f>HYPERLINK("https://android.googlesource.com/platform/cts/+/e00bc51c4cf2d0b5085f8bae4d93cdf2babc54b3", "e00bc51c4cf2d0b5085f8bae4d93cdf2babc54b3")</f>
        <v>0</v>
      </c>
      <c r="D42896" t="s">
        <v>5568</v>
      </c>
      <c r="E42896" t="s">
        <v>9587</v>
      </c>
      <c r="F42896" t="s">
        <v>14525</v>
      </c>
      <c r="G42896" t="s">
        <v>18452</v>
      </c>
      <c r="H42896" t="s">
        <v>36438</v>
      </c>
    </row>
    <row r="42897" spans="1:8">
      <c r="H42897" t="s">
        <v>36439</v>
      </c>
    </row>
    <row r="42898" spans="1:8">
      <c r="A42898" t="s">
        <v>3896</v>
      </c>
      <c r="B42898">
        <f>HYPERLINK("https://android.googlesource.com/platform/cts/+/21cd4133ed9852c8682b15c4f580eccb9f106ffb", "21cd4133ed9852c8682b15c4f580eccb9f106ffb")</f>
        <v>0</v>
      </c>
      <c r="C42898">
        <f>HYPERLINK("https://android.googlesource.com/platform/cts/+/ecc80d464730c9406dfeae4e582b921bef7a32fa", "ecc80d464730c9406dfeae4e582b921bef7a32fa")</f>
        <v>0</v>
      </c>
      <c r="D42898" t="s">
        <v>5623</v>
      </c>
      <c r="E42898" t="s">
        <v>9588</v>
      </c>
      <c r="F42898" t="s">
        <v>14526</v>
      </c>
      <c r="G42898" t="s">
        <v>18453</v>
      </c>
      <c r="H42898" t="s">
        <v>18829</v>
      </c>
    </row>
    <row r="42899" spans="1:8">
      <c r="H42899" t="s">
        <v>18863</v>
      </c>
    </row>
    <row r="42900" spans="1:8">
      <c r="H42900" t="s">
        <v>36440</v>
      </c>
    </row>
    <row r="42901" spans="1:8">
      <c r="F42901" t="s">
        <v>14527</v>
      </c>
      <c r="G42901" t="s">
        <v>17612</v>
      </c>
      <c r="H42901" t="s">
        <v>18829</v>
      </c>
    </row>
    <row r="42902" spans="1:8">
      <c r="H42902" t="s">
        <v>33513</v>
      </c>
    </row>
    <row r="42903" spans="1:8">
      <c r="H42903" t="s">
        <v>36422</v>
      </c>
    </row>
    <row r="42904" spans="1:8">
      <c r="H42904" t="s">
        <v>36423</v>
      </c>
    </row>
    <row r="42905" spans="1:8">
      <c r="H42905" t="s">
        <v>36424</v>
      </c>
    </row>
    <row r="42906" spans="1:8">
      <c r="F42906" t="s">
        <v>14528</v>
      </c>
      <c r="G42906" t="s">
        <v>18446</v>
      </c>
      <c r="H42906" t="s">
        <v>18829</v>
      </c>
    </row>
    <row r="42907" spans="1:8">
      <c r="H42907" t="s">
        <v>36441</v>
      </c>
    </row>
    <row r="42908" spans="1:8">
      <c r="H42908" t="s">
        <v>36442</v>
      </c>
    </row>
    <row r="42909" spans="1:8">
      <c r="A42909" t="s">
        <v>3897</v>
      </c>
      <c r="B42909">
        <f>HYPERLINK("https://android.googlesource.com/platform/cts/+/ed5b8ec3a245787e44d4c6ecfc34b72c45951f91", "ed5b8ec3a245787e44d4c6ecfc34b72c45951f91")</f>
        <v>0</v>
      </c>
      <c r="C42909">
        <f>HYPERLINK("https://android.googlesource.com/platform/cts/+/1e7dcda221f82941fdcf0655c452848b6d40a855", "1e7dcda221f82941fdcf0655c452848b6d40a855")</f>
        <v>0</v>
      </c>
      <c r="D42909" t="s">
        <v>5540</v>
      </c>
      <c r="E42909" t="s">
        <v>9589</v>
      </c>
      <c r="F42909" t="s">
        <v>14529</v>
      </c>
      <c r="G42909" t="s">
        <v>18454</v>
      </c>
      <c r="H42909" t="s">
        <v>26953</v>
      </c>
    </row>
    <row r="42910" spans="1:8">
      <c r="A42910" t="s">
        <v>3898</v>
      </c>
      <c r="B42910">
        <f>HYPERLINK("https://android.googlesource.com/platform/cts/+/bb7d1744d6e5ccf9818c23c747c4ff85f7cb62c5", "bb7d1744d6e5ccf9818c23c747c4ff85f7cb62c5")</f>
        <v>0</v>
      </c>
      <c r="C42910">
        <f>HYPERLINK("https://android.googlesource.com/platform/cts/+/a202e70364a0b518b61f733ee60622ddd9997f77", "a202e70364a0b518b61f733ee60622ddd9997f77")</f>
        <v>0</v>
      </c>
      <c r="D42910" t="s">
        <v>5141</v>
      </c>
      <c r="E42910" t="s">
        <v>9590</v>
      </c>
      <c r="F42910" t="s">
        <v>14530</v>
      </c>
      <c r="G42910" t="s">
        <v>18430</v>
      </c>
      <c r="H42910" t="s">
        <v>36443</v>
      </c>
    </row>
    <row r="42911" spans="1:8">
      <c r="A42911" t="s">
        <v>3899</v>
      </c>
      <c r="B42911">
        <f>HYPERLINK("https://android.googlesource.com/platform/cts/+/a7edc3660e332275bf88b98308f4589a4a88d48a", "a7edc3660e332275bf88b98308f4589a4a88d48a")</f>
        <v>0</v>
      </c>
      <c r="C42911">
        <f>HYPERLINK("https://android.googlesource.com/platform/cts/+/70bd9fda65698f0faf7e48e2677b91b991c24f66", "70bd9fda65698f0faf7e48e2677b91b991c24f66")</f>
        <v>0</v>
      </c>
      <c r="D42911" t="s">
        <v>5636</v>
      </c>
      <c r="E42911" t="s">
        <v>9591</v>
      </c>
      <c r="F42911" t="s">
        <v>14531</v>
      </c>
      <c r="G42911" t="s">
        <v>18455</v>
      </c>
      <c r="H42911" t="s">
        <v>36444</v>
      </c>
    </row>
    <row r="42912" spans="1:8">
      <c r="A42912" t="s">
        <v>3900</v>
      </c>
      <c r="B42912">
        <f>HYPERLINK("https://android.googlesource.com/platform/cts/+/1b8594e37d645fcc48eae9ccc4d6fc8c551c609e", "1b8594e37d645fcc48eae9ccc4d6fc8c551c609e")</f>
        <v>0</v>
      </c>
      <c r="C42912">
        <f>HYPERLINK("https://android.googlesource.com/platform/cts/+/8ee5ab6a8921ff930bcd6492bf18cf2f1c2bf856", "8ee5ab6a8921ff930bcd6492bf18cf2f1c2bf856")</f>
        <v>0</v>
      </c>
      <c r="D42912" t="s">
        <v>5012</v>
      </c>
      <c r="E42912" t="s">
        <v>9592</v>
      </c>
      <c r="F42912" t="s">
        <v>14532</v>
      </c>
      <c r="G42912" t="s">
        <v>18456</v>
      </c>
      <c r="H42912" t="s">
        <v>36445</v>
      </c>
    </row>
    <row r="42913" spans="1:8">
      <c r="H42913" t="s">
        <v>29883</v>
      </c>
    </row>
    <row r="42914" spans="1:8">
      <c r="H42914" t="s">
        <v>36446</v>
      </c>
    </row>
    <row r="42915" spans="1:8">
      <c r="H42915" t="s">
        <v>29882</v>
      </c>
    </row>
    <row r="42916" spans="1:8">
      <c r="H42916" t="s">
        <v>29882</v>
      </c>
    </row>
    <row r="42917" spans="1:8">
      <c r="H42917" t="s">
        <v>36447</v>
      </c>
    </row>
    <row r="42918" spans="1:8">
      <c r="H42918" t="s">
        <v>36448</v>
      </c>
    </row>
    <row r="42919" spans="1:8">
      <c r="H42919" t="s">
        <v>36449</v>
      </c>
    </row>
    <row r="42920" spans="1:8">
      <c r="H42920" t="s">
        <v>21486</v>
      </c>
    </row>
    <row r="42921" spans="1:8">
      <c r="H42921" t="s">
        <v>29435</v>
      </c>
    </row>
    <row r="42922" spans="1:8">
      <c r="H42922" t="s">
        <v>21486</v>
      </c>
    </row>
    <row r="42923" spans="1:8">
      <c r="H42923" t="s">
        <v>29436</v>
      </c>
    </row>
    <row r="42924" spans="1:8">
      <c r="A42924" t="s">
        <v>3902</v>
      </c>
      <c r="B42924">
        <f>HYPERLINK("https://android.googlesource.com/platform/cts/+/d6e85b08b71a74e4be91dabf61ace5bd59fd3c32", "d6e85b08b71a74e4be91dabf61ace5bd59fd3c32")</f>
        <v>0</v>
      </c>
      <c r="C42924">
        <f>HYPERLINK("https://android.googlesource.com/platform/cts/+/69d14fe9139bf919b895d05a27800fc0be24e611", "69d14fe9139bf919b895d05a27800fc0be24e611")</f>
        <v>0</v>
      </c>
      <c r="D42924" t="s">
        <v>5594</v>
      </c>
      <c r="E42924" t="s">
        <v>9593</v>
      </c>
      <c r="F42924" t="s">
        <v>13275</v>
      </c>
      <c r="G42924" t="s">
        <v>17412</v>
      </c>
      <c r="H42924" t="s">
        <v>36356</v>
      </c>
    </row>
    <row r="42925" spans="1:8">
      <c r="A42925" t="s">
        <v>3903</v>
      </c>
      <c r="B42925">
        <f>HYPERLINK("https://android.googlesource.com/platform/cts/+/3911d4c0e1ffd5e37b2bacab04ae8281be13c306", "3911d4c0e1ffd5e37b2bacab04ae8281be13c306")</f>
        <v>0</v>
      </c>
      <c r="C42925">
        <f>HYPERLINK("https://android.googlesource.com/platform/cts/+/904b58cbd4e8b8795ca5110f52f8e8e4e23b7263", "904b58cbd4e8b8795ca5110f52f8e8e4e23b7263")</f>
        <v>0</v>
      </c>
      <c r="D42925" t="s">
        <v>5637</v>
      </c>
      <c r="E42925" t="s">
        <v>9594</v>
      </c>
      <c r="F42925" t="s">
        <v>12931</v>
      </c>
      <c r="G42925" t="s">
        <v>17096</v>
      </c>
      <c r="H42925" t="s">
        <v>36450</v>
      </c>
    </row>
    <row r="42926" spans="1:8">
      <c r="A42926" t="s">
        <v>3904</v>
      </c>
      <c r="B42926">
        <f>HYPERLINK("https://android.googlesource.com/platform/cts/+/1b8506bb40b84757a95206100e26af9c046d9b19", "1b8506bb40b84757a95206100e26af9c046d9b19")</f>
        <v>0</v>
      </c>
      <c r="C42926">
        <f>HYPERLINK("https://android.googlesource.com/platform/cts/+/5e5ba0a487af4ba1e79e576e1579ac37a527eb7b", "5e5ba0a487af4ba1e79e576e1579ac37a527eb7b")</f>
        <v>0</v>
      </c>
      <c r="D42926" t="s">
        <v>5638</v>
      </c>
      <c r="E42926" t="s">
        <v>9595</v>
      </c>
      <c r="F42926" t="s">
        <v>14533</v>
      </c>
      <c r="G42926" t="s">
        <v>18457</v>
      </c>
      <c r="H42926" t="s">
        <v>18863</v>
      </c>
    </row>
    <row r="42927" spans="1:8">
      <c r="A42927" t="s">
        <v>3905</v>
      </c>
      <c r="B42927">
        <f>HYPERLINK("https://android.googlesource.com/platform/cts/+/3512568d1933372d924a86c2c6f0a2b1b12c6f0e", "3512568d1933372d924a86c2c6f0a2b1b12c6f0e")</f>
        <v>0</v>
      </c>
      <c r="C42927">
        <f>HYPERLINK("https://android.googlesource.com/platform/cts/+/a4a265875bd7edc97277f338360cd1865dca7ffa", "a4a265875bd7edc97277f338360cd1865dca7ffa")</f>
        <v>0</v>
      </c>
      <c r="D42927" t="s">
        <v>5564</v>
      </c>
      <c r="E42927" t="s">
        <v>9596</v>
      </c>
      <c r="F42927" t="s">
        <v>14534</v>
      </c>
      <c r="G42927" t="s">
        <v>18458</v>
      </c>
      <c r="H42927" t="s">
        <v>36451</v>
      </c>
    </row>
    <row r="42928" spans="1:8">
      <c r="A42928" t="s">
        <v>3906</v>
      </c>
      <c r="B42928">
        <f>HYPERLINK("https://android.googlesource.com/platform/cts/+/9f260ead83e7f4e05ffa15b9d6ea43dcd8317b7b", "9f260ead83e7f4e05ffa15b9d6ea43dcd8317b7b")</f>
        <v>0</v>
      </c>
      <c r="C42928">
        <f>HYPERLINK("https://android.googlesource.com/platform/cts/+/3ec279489fd11bf441131d9e1fd91d0e3f365d4a", "3ec279489fd11bf441131d9e1fd91d0e3f365d4a")</f>
        <v>0</v>
      </c>
      <c r="D42928" t="s">
        <v>4931</v>
      </c>
      <c r="E42928" t="s">
        <v>9597</v>
      </c>
      <c r="F42928" t="s">
        <v>12569</v>
      </c>
      <c r="G42928" t="s">
        <v>16785</v>
      </c>
      <c r="H42928" t="s">
        <v>36452</v>
      </c>
    </row>
    <row r="42929" spans="1:8">
      <c r="A42929" t="s">
        <v>3907</v>
      </c>
      <c r="B42929">
        <f>HYPERLINK("https://android.googlesource.com/platform/cts/+/c136e051a34aca1a0fc40b6867b38dc3c3167162", "c136e051a34aca1a0fc40b6867b38dc3c3167162")</f>
        <v>0</v>
      </c>
      <c r="C42929">
        <f>HYPERLINK("https://android.googlesource.com/platform/cts/+/05bfab14d70c8f8c575f25ac4269cb6d2d17a419", "05bfab14d70c8f8c575f25ac4269cb6d2d17a419")</f>
        <v>0</v>
      </c>
      <c r="D42929" t="s">
        <v>5476</v>
      </c>
      <c r="E42929" t="s">
        <v>9598</v>
      </c>
      <c r="F42929" t="s">
        <v>14403</v>
      </c>
      <c r="G42929" t="s">
        <v>18341</v>
      </c>
      <c r="H42929" t="s">
        <v>36453</v>
      </c>
    </row>
    <row r="42930" spans="1:8">
      <c r="F42930" t="s">
        <v>14535</v>
      </c>
      <c r="G42930" t="s">
        <v>18459</v>
      </c>
      <c r="H42930" t="s">
        <v>36454</v>
      </c>
    </row>
    <row r="42931" spans="1:8">
      <c r="A42931" t="s">
        <v>3908</v>
      </c>
      <c r="B42931">
        <f>HYPERLINK("https://android.googlesource.com/platform/cts/+/821c55cc9e5e26f6ddd684360b82fa4c009eb458", "821c55cc9e5e26f6ddd684360b82fa4c009eb458")</f>
        <v>0</v>
      </c>
      <c r="C42931">
        <f>HYPERLINK("https://android.googlesource.com/platform/cts/+/a06439cc4a47cc7592e6147a6dd3ad6d64bf6776", "a06439cc4a47cc7592e6147a6dd3ad6d64bf6776")</f>
        <v>0</v>
      </c>
      <c r="D42931" t="s">
        <v>5453</v>
      </c>
      <c r="E42931" t="s">
        <v>9599</v>
      </c>
      <c r="F42931" t="s">
        <v>14343</v>
      </c>
      <c r="G42931" t="s">
        <v>18295</v>
      </c>
      <c r="H42931" t="s">
        <v>36455</v>
      </c>
    </row>
    <row r="42932" spans="1:8">
      <c r="H42932" t="s">
        <v>36456</v>
      </c>
    </row>
    <row r="42933" spans="1:8">
      <c r="H42933" t="s">
        <v>36457</v>
      </c>
    </row>
    <row r="42934" spans="1:8">
      <c r="H42934" t="s">
        <v>36458</v>
      </c>
    </row>
    <row r="42935" spans="1:8">
      <c r="H42935" t="s">
        <v>36459</v>
      </c>
    </row>
    <row r="42936" spans="1:8">
      <c r="H42936" t="s">
        <v>36460</v>
      </c>
    </row>
    <row r="42937" spans="1:8">
      <c r="H42937" t="s">
        <v>36461</v>
      </c>
    </row>
    <row r="42938" spans="1:8">
      <c r="H42938" t="s">
        <v>36462</v>
      </c>
    </row>
    <row r="42939" spans="1:8">
      <c r="H42939" t="s">
        <v>36463</v>
      </c>
    </row>
    <row r="42940" spans="1:8">
      <c r="H42940" t="s">
        <v>36464</v>
      </c>
    </row>
    <row r="42941" spans="1:8">
      <c r="H42941" t="s">
        <v>36465</v>
      </c>
    </row>
    <row r="42942" spans="1:8">
      <c r="H42942" t="s">
        <v>19372</v>
      </c>
    </row>
    <row r="42943" spans="1:8">
      <c r="H42943" t="s">
        <v>34824</v>
      </c>
    </row>
    <row r="42944" spans="1:8">
      <c r="H42944" t="s">
        <v>18930</v>
      </c>
    </row>
    <row r="42945" spans="1:8">
      <c r="A42945" t="s">
        <v>3909</v>
      </c>
      <c r="B42945">
        <f>HYPERLINK("https://android.googlesource.com/platform/cts/+/13270cedb6841733ae0202f15c85361b9763b624", "13270cedb6841733ae0202f15c85361b9763b624")</f>
        <v>0</v>
      </c>
      <c r="C42945">
        <f>HYPERLINK("https://android.googlesource.com/platform/cts/+/70bd9fda65698f0faf7e48e2677b91b991c24f66", "70bd9fda65698f0faf7e48e2677b91b991c24f66")</f>
        <v>0</v>
      </c>
      <c r="D42945" t="s">
        <v>5304</v>
      </c>
      <c r="E42945" t="s">
        <v>9600</v>
      </c>
      <c r="F42945" t="s">
        <v>14177</v>
      </c>
      <c r="G42945" t="s">
        <v>18158</v>
      </c>
      <c r="H42945" t="s">
        <v>36466</v>
      </c>
    </row>
    <row r="42946" spans="1:8">
      <c r="H42946" t="s">
        <v>36467</v>
      </c>
    </row>
    <row r="42947" spans="1:8">
      <c r="A42947" t="s">
        <v>3911</v>
      </c>
      <c r="B42947">
        <f>HYPERLINK("https://android.googlesource.com/platform/cts/+/2d7798c3dfed44dffd01d651632f090801e3c946", "2d7798c3dfed44dffd01d651632f090801e3c946")</f>
        <v>0</v>
      </c>
      <c r="C42947">
        <f>HYPERLINK("https://android.googlesource.com/platform/cts/+/5d9b8c1988379b202a8f2677adadc0e8313024ab", "5d9b8c1988379b202a8f2677adadc0e8313024ab")</f>
        <v>0</v>
      </c>
      <c r="D42947" t="s">
        <v>5304</v>
      </c>
      <c r="E42947" t="s">
        <v>9602</v>
      </c>
      <c r="F42947" t="s">
        <v>14384</v>
      </c>
      <c r="G42947" t="s">
        <v>18328</v>
      </c>
      <c r="H42947" t="s">
        <v>36468</v>
      </c>
    </row>
    <row r="42948" spans="1:8">
      <c r="F42948" t="s">
        <v>14515</v>
      </c>
      <c r="G42948" t="s">
        <v>18442</v>
      </c>
      <c r="H42948" t="s">
        <v>36469</v>
      </c>
    </row>
    <row r="42949" spans="1:8">
      <c r="A42949" t="s">
        <v>3912</v>
      </c>
      <c r="B42949">
        <f>HYPERLINK("https://android.googlesource.com/platform/cts/+/0a750aac5b6ae122f330b09cfa3029b023f43bbe", "0a750aac5b6ae122f330b09cfa3029b023f43bbe")</f>
        <v>0</v>
      </c>
      <c r="C42949">
        <f>HYPERLINK("https://android.googlesource.com/platform/cts/+/3a6fd71158c4427ff1beff4787aed3d7efe05531", "3a6fd71158c4427ff1beff4787aed3d7efe05531")</f>
        <v>0</v>
      </c>
      <c r="D42949" t="s">
        <v>5485</v>
      </c>
      <c r="E42949" t="s">
        <v>9603</v>
      </c>
      <c r="F42949" t="s">
        <v>14457</v>
      </c>
      <c r="G42949" t="s">
        <v>18391</v>
      </c>
      <c r="H42949" t="s">
        <v>31591</v>
      </c>
    </row>
    <row r="42950" spans="1:8">
      <c r="A42950" t="s">
        <v>3913</v>
      </c>
      <c r="B42950">
        <f>HYPERLINK("https://android.googlesource.com/platform/cts/+/b424ed2794e6da17666a2a3820937e61ebf4a58f", "b424ed2794e6da17666a2a3820937e61ebf4a58f")</f>
        <v>0</v>
      </c>
      <c r="C42950">
        <f>HYPERLINK("https://android.googlesource.com/platform/cts/+/4551581bf692481b467415746d7b3da06bc73624", "4551581bf692481b467415746d7b3da06bc73624")</f>
        <v>0</v>
      </c>
      <c r="D42950" t="s">
        <v>5266</v>
      </c>
      <c r="E42950" t="s">
        <v>9604</v>
      </c>
      <c r="F42950" t="s">
        <v>14503</v>
      </c>
      <c r="G42950" t="s">
        <v>18431</v>
      </c>
      <c r="H42950" t="s">
        <v>36470</v>
      </c>
    </row>
    <row r="42951" spans="1:8">
      <c r="H42951" t="s">
        <v>36471</v>
      </c>
    </row>
    <row r="42952" spans="1:8">
      <c r="H42952" t="s">
        <v>18863</v>
      </c>
    </row>
    <row r="42953" spans="1:8">
      <c r="H42953" t="s">
        <v>36472</v>
      </c>
    </row>
    <row r="42954" spans="1:8">
      <c r="H42954" t="s">
        <v>36473</v>
      </c>
    </row>
    <row r="42955" spans="1:8">
      <c r="H42955" t="s">
        <v>18927</v>
      </c>
    </row>
    <row r="42956" spans="1:8">
      <c r="H42956" t="s">
        <v>36474</v>
      </c>
    </row>
    <row r="42957" spans="1:8">
      <c r="H42957" t="s">
        <v>36475</v>
      </c>
    </row>
    <row r="42958" spans="1:8">
      <c r="H42958" t="s">
        <v>36476</v>
      </c>
    </row>
    <row r="42959" spans="1:8">
      <c r="H42959" t="s">
        <v>36477</v>
      </c>
    </row>
    <row r="42960" spans="1:8">
      <c r="H42960" t="s">
        <v>36478</v>
      </c>
    </row>
    <row r="42961" spans="8:8">
      <c r="H42961" t="s">
        <v>36479</v>
      </c>
    </row>
    <row r="42962" spans="8:8">
      <c r="H42962" t="s">
        <v>36480</v>
      </c>
    </row>
    <row r="42963" spans="8:8">
      <c r="H42963" t="s">
        <v>36480</v>
      </c>
    </row>
    <row r="42964" spans="8:8">
      <c r="H42964" t="s">
        <v>36481</v>
      </c>
    </row>
    <row r="42965" spans="8:8">
      <c r="H42965" t="s">
        <v>36481</v>
      </c>
    </row>
    <row r="42966" spans="8:8">
      <c r="H42966" t="s">
        <v>36482</v>
      </c>
    </row>
    <row r="42967" spans="8:8">
      <c r="H42967" t="s">
        <v>36482</v>
      </c>
    </row>
    <row r="42968" spans="8:8">
      <c r="H42968" t="s">
        <v>36483</v>
      </c>
    </row>
    <row r="42969" spans="8:8">
      <c r="H42969" t="s">
        <v>36483</v>
      </c>
    </row>
    <row r="42970" spans="8:8">
      <c r="H42970" t="s">
        <v>36484</v>
      </c>
    </row>
    <row r="42971" spans="8:8">
      <c r="H42971" t="s">
        <v>36484</v>
      </c>
    </row>
    <row r="42972" spans="8:8">
      <c r="H42972" t="s">
        <v>36485</v>
      </c>
    </row>
    <row r="42973" spans="8:8">
      <c r="H42973" t="s">
        <v>36485</v>
      </c>
    </row>
    <row r="42974" spans="8:8">
      <c r="H42974" t="s">
        <v>36486</v>
      </c>
    </row>
    <row r="42975" spans="8:8">
      <c r="H42975" t="s">
        <v>36486</v>
      </c>
    </row>
    <row r="42976" spans="8:8">
      <c r="H42976" t="s">
        <v>36487</v>
      </c>
    </row>
    <row r="42977" spans="1:8">
      <c r="H42977" t="s">
        <v>36487</v>
      </c>
    </row>
    <row r="42978" spans="1:8">
      <c r="H42978" t="s">
        <v>36488</v>
      </c>
    </row>
    <row r="42979" spans="1:8">
      <c r="H42979" t="s">
        <v>36489</v>
      </c>
    </row>
    <row r="42980" spans="1:8">
      <c r="H42980" t="s">
        <v>36490</v>
      </c>
    </row>
    <row r="42981" spans="1:8">
      <c r="H42981" t="s">
        <v>36491</v>
      </c>
    </row>
    <row r="42982" spans="1:8">
      <c r="H42982" t="s">
        <v>36492</v>
      </c>
    </row>
    <row r="42983" spans="1:8">
      <c r="H42983" t="s">
        <v>36493</v>
      </c>
    </row>
    <row r="42984" spans="1:8">
      <c r="H42984" t="s">
        <v>36494</v>
      </c>
    </row>
    <row r="42985" spans="1:8">
      <c r="H42985" t="s">
        <v>36495</v>
      </c>
    </row>
    <row r="42986" spans="1:8">
      <c r="H42986" t="s">
        <v>36496</v>
      </c>
    </row>
    <row r="42987" spans="1:8">
      <c r="A42987" t="s">
        <v>3914</v>
      </c>
      <c r="B42987">
        <f>HYPERLINK("https://android.googlesource.com/platform/cts/+/8ecfdd5b6c59437fc53d7c0ed85fe4e9680770c8", "8ecfdd5b6c59437fc53d7c0ed85fe4e9680770c8")</f>
        <v>0</v>
      </c>
      <c r="C42987">
        <f>HYPERLINK("https://android.googlesource.com/platform/cts/+/bc3200842ce0ac40dc84ef8d8025615ed5c7be4c", "bc3200842ce0ac40dc84ef8d8025615ed5c7be4c")</f>
        <v>0</v>
      </c>
      <c r="D42987" t="s">
        <v>5096</v>
      </c>
      <c r="E42987" t="s">
        <v>9605</v>
      </c>
      <c r="F42987" t="s">
        <v>14536</v>
      </c>
      <c r="G42987" t="s">
        <v>18460</v>
      </c>
      <c r="H42987" t="s">
        <v>36497</v>
      </c>
    </row>
    <row r="42988" spans="1:8">
      <c r="A42988" t="s">
        <v>3915</v>
      </c>
      <c r="B42988">
        <f>HYPERLINK("https://android.googlesource.com/platform/cts/+/c60efa820a097ac13c0054f60b0689407fe9d06e", "c60efa820a097ac13c0054f60b0689407fe9d06e")</f>
        <v>0</v>
      </c>
      <c r="C42988">
        <f>HYPERLINK("https://android.googlesource.com/platform/cts/+/32d9ec12ff4847c9f1fdc18b6864d765bbb81def", "32d9ec12ff4847c9f1fdc18b6864d765bbb81def")</f>
        <v>0</v>
      </c>
      <c r="D42988" t="s">
        <v>5639</v>
      </c>
      <c r="E42988" t="s">
        <v>9606</v>
      </c>
      <c r="F42988" t="s">
        <v>14537</v>
      </c>
      <c r="G42988" t="s">
        <v>18461</v>
      </c>
      <c r="H42988" t="s">
        <v>36498</v>
      </c>
    </row>
    <row r="42989" spans="1:8">
      <c r="A42989" t="s">
        <v>3916</v>
      </c>
      <c r="B42989">
        <f>HYPERLINK("https://android.googlesource.com/platform/cts/+/7b07039d26e44c573a43f4673cd5be3ada726cc6", "7b07039d26e44c573a43f4673cd5be3ada726cc6")</f>
        <v>0</v>
      </c>
      <c r="C42989">
        <f>HYPERLINK("https://android.googlesource.com/platform/cts/+/aacd54a217f18d73880232520a022cc0519ef817", "aacd54a217f18d73880232520a022cc0519ef817")</f>
        <v>0</v>
      </c>
      <c r="D42989" t="s">
        <v>5191</v>
      </c>
      <c r="E42989" t="s">
        <v>9607</v>
      </c>
      <c r="F42989" t="s">
        <v>14538</v>
      </c>
      <c r="G42989" t="s">
        <v>18462</v>
      </c>
      <c r="H42989" t="s">
        <v>36499</v>
      </c>
    </row>
    <row r="42990" spans="1:8">
      <c r="H42990" t="s">
        <v>36500</v>
      </c>
    </row>
    <row r="42991" spans="1:8">
      <c r="H42991" t="s">
        <v>36501</v>
      </c>
    </row>
    <row r="42992" spans="1:8">
      <c r="H42992" t="s">
        <v>36502</v>
      </c>
    </row>
    <row r="42993" spans="1:8">
      <c r="H42993" t="s">
        <v>36503</v>
      </c>
    </row>
    <row r="42994" spans="1:8">
      <c r="A42994" t="s">
        <v>3917</v>
      </c>
      <c r="B42994">
        <f>HYPERLINK("https://android.googlesource.com/platform/cts/+/5c99b73f9fddac776336b03b325ed0e3d4fe1a67", "5c99b73f9fddac776336b03b325ed0e3d4fe1a67")</f>
        <v>0</v>
      </c>
      <c r="C42994">
        <f>HYPERLINK("https://android.googlesource.com/platform/cts/+/8e7e4c1fd3d14c6bcddda3b88585ca12a4514c5f", "8e7e4c1fd3d14c6bcddda3b88585ca12a4514c5f")</f>
        <v>0</v>
      </c>
      <c r="D42994" t="s">
        <v>5575</v>
      </c>
      <c r="E42994" t="s">
        <v>9608</v>
      </c>
      <c r="F42994" t="s">
        <v>14519</v>
      </c>
      <c r="G42994" t="s">
        <v>18446</v>
      </c>
      <c r="H42994" t="s">
        <v>18829</v>
      </c>
    </row>
    <row r="42995" spans="1:8">
      <c r="H42995" t="s">
        <v>33513</v>
      </c>
    </row>
    <row r="42996" spans="1:8">
      <c r="H42996" t="s">
        <v>36422</v>
      </c>
    </row>
    <row r="42997" spans="1:8">
      <c r="H42997" t="s">
        <v>36423</v>
      </c>
    </row>
    <row r="42998" spans="1:8">
      <c r="H42998" t="s">
        <v>36424</v>
      </c>
    </row>
    <row r="42999" spans="1:8">
      <c r="A42999" t="s">
        <v>3918</v>
      </c>
      <c r="B42999">
        <f>HYPERLINK("https://android.googlesource.com/platform/cts/+/0a16cd0c2a2cf0fa966d08e69bfe9a42de6934a8", "0a16cd0c2a2cf0fa966d08e69bfe9a42de6934a8")</f>
        <v>0</v>
      </c>
      <c r="C42999">
        <f>HYPERLINK("https://android.googlesource.com/platform/cts/+/cd5f8c0e722ad87783c8a5f182f98d0c67f2893d", "cd5f8c0e722ad87783c8a5f182f98d0c67f2893d")</f>
        <v>0</v>
      </c>
      <c r="D42999" t="s">
        <v>5640</v>
      </c>
      <c r="E42999" t="s">
        <v>9609</v>
      </c>
      <c r="F42999" t="s">
        <v>14539</v>
      </c>
      <c r="G42999" t="s">
        <v>18463</v>
      </c>
      <c r="H42999" t="s">
        <v>36504</v>
      </c>
    </row>
    <row r="43000" spans="1:8">
      <c r="H43000" t="s">
        <v>36505</v>
      </c>
    </row>
    <row r="43001" spans="1:8">
      <c r="F43001" t="s">
        <v>14540</v>
      </c>
      <c r="G43001" t="s">
        <v>18464</v>
      </c>
      <c r="H43001" t="s">
        <v>36506</v>
      </c>
    </row>
    <row r="43002" spans="1:8">
      <c r="H43002" t="s">
        <v>36507</v>
      </c>
    </row>
    <row r="43003" spans="1:8">
      <c r="F43003" t="s">
        <v>12743</v>
      </c>
      <c r="G43003" t="s">
        <v>16935</v>
      </c>
      <c r="H43003" t="s">
        <v>36508</v>
      </c>
    </row>
    <row r="43004" spans="1:8">
      <c r="H43004" t="s">
        <v>36509</v>
      </c>
    </row>
    <row r="43005" spans="1:8">
      <c r="H43005" t="s">
        <v>36510</v>
      </c>
    </row>
    <row r="43006" spans="1:8">
      <c r="H43006" t="s">
        <v>36511</v>
      </c>
    </row>
    <row r="43007" spans="1:8">
      <c r="A43007" t="s">
        <v>3919</v>
      </c>
      <c r="B43007">
        <f>HYPERLINK("https://android.googlesource.com/platform/cts/+/ec71320019d999cf3424f09f8dbece5f552b19d8", "ec71320019d999cf3424f09f8dbece5f552b19d8")</f>
        <v>0</v>
      </c>
      <c r="C43007">
        <f>HYPERLINK("https://android.googlesource.com/platform/cts/+/536f8e489877eda4f4a00a7f868cdd0838eaaa33", "536f8e489877eda4f4a00a7f868cdd0838eaaa33")</f>
        <v>0</v>
      </c>
      <c r="D43007" t="s">
        <v>5134</v>
      </c>
      <c r="E43007" t="s">
        <v>9610</v>
      </c>
      <c r="F43007" t="s">
        <v>14541</v>
      </c>
      <c r="G43007" t="s">
        <v>18465</v>
      </c>
      <c r="H43007" t="s">
        <v>36512</v>
      </c>
    </row>
    <row r="43008" spans="1:8">
      <c r="A43008" t="s">
        <v>3920</v>
      </c>
      <c r="B43008">
        <f>HYPERLINK("https://android.googlesource.com/platform/cts/+/fa6253e4aac9b96eb14a47e5068774f721a02177", "fa6253e4aac9b96eb14a47e5068774f721a02177")</f>
        <v>0</v>
      </c>
      <c r="C43008">
        <f>HYPERLINK("https://android.googlesource.com/platform/cts/+/c1c728bab71c2973d02edc05942e95bb19d6d268", "c1c728bab71c2973d02edc05942e95bb19d6d268")</f>
        <v>0</v>
      </c>
      <c r="D43008" t="s">
        <v>5409</v>
      </c>
      <c r="E43008" t="s">
        <v>9611</v>
      </c>
      <c r="F43008" t="s">
        <v>14451</v>
      </c>
      <c r="G43008" t="s">
        <v>18386</v>
      </c>
      <c r="H43008" t="s">
        <v>18863</v>
      </c>
    </row>
    <row r="43009" spans="1:8">
      <c r="A43009" t="s">
        <v>3921</v>
      </c>
      <c r="B43009">
        <f>HYPERLINK("https://android.googlesource.com/platform/cts/+/8ab862bcb5fd005034f79d45dfc8441cbd3db374", "8ab862bcb5fd005034f79d45dfc8441cbd3db374")</f>
        <v>0</v>
      </c>
      <c r="C43009">
        <f>HYPERLINK("https://android.googlesource.com/platform/cts/+/0d3b33bbbb2b0289db3226da6eb17f7b0dc9f62f", "0d3b33bbbb2b0289db3226da6eb17f7b0dc9f62f")</f>
        <v>0</v>
      </c>
      <c r="D43009" t="s">
        <v>5409</v>
      </c>
      <c r="E43009" t="s">
        <v>9612</v>
      </c>
      <c r="F43009" t="s">
        <v>14542</v>
      </c>
      <c r="G43009" t="s">
        <v>18466</v>
      </c>
      <c r="H43009" t="s">
        <v>36513</v>
      </c>
    </row>
    <row r="43010" spans="1:8">
      <c r="A43010" t="s">
        <v>3922</v>
      </c>
      <c r="B43010">
        <f>HYPERLINK("https://android.googlesource.com/platform/cts/+/778b4997f6e63136ed17e42533e252cd979c8d08", "778b4997f6e63136ed17e42533e252cd979c8d08")</f>
        <v>0</v>
      </c>
      <c r="C43010">
        <f>HYPERLINK("https://android.googlesource.com/platform/cts/+/80a9221f8114cfca5760e356e1a7a26d5d47eaba", "80a9221f8114cfca5760e356e1a7a26d5d47eaba")</f>
        <v>0</v>
      </c>
      <c r="D43010" t="s">
        <v>5574</v>
      </c>
      <c r="E43010" t="s">
        <v>9613</v>
      </c>
      <c r="F43010" t="s">
        <v>13229</v>
      </c>
      <c r="G43010" t="s">
        <v>17370</v>
      </c>
      <c r="H43010" t="s">
        <v>36514</v>
      </c>
    </row>
    <row r="43011" spans="1:8">
      <c r="A43011" t="s">
        <v>3923</v>
      </c>
      <c r="B43011">
        <f>HYPERLINK("https://android.googlesource.com/platform/cts/+/4e216176fc6af68d1168302f5ee74ca3c326b5df", "4e216176fc6af68d1168302f5ee74ca3c326b5df")</f>
        <v>0</v>
      </c>
      <c r="C43011">
        <f>HYPERLINK("https://android.googlesource.com/platform/cts/+/536f8e489877eda4f4a00a7f868cdd0838eaaa33", "536f8e489877eda4f4a00a7f868cdd0838eaaa33")</f>
        <v>0</v>
      </c>
      <c r="D43011" t="s">
        <v>5508</v>
      </c>
      <c r="E43011" t="s">
        <v>9614</v>
      </c>
      <c r="F43011" t="s">
        <v>13816</v>
      </c>
      <c r="G43011" t="s">
        <v>15089</v>
      </c>
      <c r="H43011" t="s">
        <v>36515</v>
      </c>
    </row>
    <row r="43012" spans="1:8">
      <c r="H43012" t="s">
        <v>36516</v>
      </c>
    </row>
    <row r="43013" spans="1:8">
      <c r="A43013" t="s">
        <v>3924</v>
      </c>
      <c r="B43013">
        <f>HYPERLINK("https://android.googlesource.com/platform/cts/+/98a24158d5d485cbc024668693fce88085679c97", "98a24158d5d485cbc024668693fce88085679c97")</f>
        <v>0</v>
      </c>
      <c r="C43013">
        <f>HYPERLINK("https://android.googlesource.com/platform/cts/+/dca1d50757c86b90e1ce97551c31b11f8e6d6b18", "dca1d50757c86b90e1ce97551c31b11f8e6d6b18")</f>
        <v>0</v>
      </c>
      <c r="D43013" t="s">
        <v>5546</v>
      </c>
      <c r="E43013" t="s">
        <v>9615</v>
      </c>
      <c r="F43013" t="s">
        <v>14353</v>
      </c>
      <c r="G43013" t="s">
        <v>18303</v>
      </c>
      <c r="H43013" t="s">
        <v>36517</v>
      </c>
    </row>
    <row r="43014" spans="1:8">
      <c r="H43014" t="s">
        <v>36518</v>
      </c>
    </row>
    <row r="43015" spans="1:8">
      <c r="H43015" t="s">
        <v>36519</v>
      </c>
    </row>
    <row r="43016" spans="1:8">
      <c r="H43016" t="s">
        <v>36520</v>
      </c>
    </row>
    <row r="43017" spans="1:8">
      <c r="H43017" t="s">
        <v>36521</v>
      </c>
    </row>
    <row r="43018" spans="1:8">
      <c r="H43018" t="s">
        <v>36522</v>
      </c>
    </row>
    <row r="43019" spans="1:8">
      <c r="H43019" t="s">
        <v>36523</v>
      </c>
    </row>
    <row r="43020" spans="1:8">
      <c r="H43020" t="s">
        <v>36524</v>
      </c>
    </row>
    <row r="43021" spans="1:8">
      <c r="H43021" t="s">
        <v>36525</v>
      </c>
    </row>
    <row r="43022" spans="1:8">
      <c r="H43022" t="s">
        <v>36526</v>
      </c>
    </row>
    <row r="43023" spans="1:8">
      <c r="H43023" t="s">
        <v>36527</v>
      </c>
    </row>
    <row r="43024" spans="1:8">
      <c r="H43024" t="s">
        <v>36528</v>
      </c>
    </row>
    <row r="43025" spans="1:8">
      <c r="H43025" t="s">
        <v>36529</v>
      </c>
    </row>
    <row r="43026" spans="1:8">
      <c r="H43026" t="s">
        <v>36530</v>
      </c>
    </row>
    <row r="43027" spans="1:8">
      <c r="H43027" t="s">
        <v>36531</v>
      </c>
    </row>
    <row r="43028" spans="1:8">
      <c r="H43028" t="s">
        <v>36532</v>
      </c>
    </row>
    <row r="43029" spans="1:8">
      <c r="H43029" t="s">
        <v>36533</v>
      </c>
    </row>
    <row r="43030" spans="1:8">
      <c r="H43030" t="s">
        <v>36534</v>
      </c>
    </row>
    <row r="43031" spans="1:8">
      <c r="H43031" t="s">
        <v>36535</v>
      </c>
    </row>
    <row r="43032" spans="1:8">
      <c r="H43032" t="s">
        <v>36536</v>
      </c>
    </row>
    <row r="43033" spans="1:8">
      <c r="H43033" t="s">
        <v>36537</v>
      </c>
    </row>
    <row r="43034" spans="1:8">
      <c r="H43034" t="s">
        <v>36538</v>
      </c>
    </row>
    <row r="43035" spans="1:8">
      <c r="H43035" t="s">
        <v>36539</v>
      </c>
    </row>
    <row r="43036" spans="1:8">
      <c r="H43036" t="s">
        <v>36540</v>
      </c>
    </row>
    <row r="43037" spans="1:8">
      <c r="H43037" t="s">
        <v>36541</v>
      </c>
    </row>
    <row r="43038" spans="1:8">
      <c r="A43038" t="s">
        <v>3925</v>
      </c>
      <c r="B43038">
        <f>HYPERLINK("https://android.googlesource.com/platform/cts/+/e3cb35b834a3546b31853a4f9331732282a2a9ad", "e3cb35b834a3546b31853a4f9331732282a2a9ad")</f>
        <v>0</v>
      </c>
      <c r="C43038">
        <f>HYPERLINK("https://android.googlesource.com/platform/cts/+/da3ec6cab03d2da7fb82d613c9546a1417d8c79e", "da3ec6cab03d2da7fb82d613c9546a1417d8c79e")</f>
        <v>0</v>
      </c>
      <c r="D43038" t="s">
        <v>5140</v>
      </c>
      <c r="E43038" t="s">
        <v>9616</v>
      </c>
      <c r="F43038" t="s">
        <v>12166</v>
      </c>
      <c r="G43038" t="s">
        <v>16406</v>
      </c>
      <c r="H43038" t="s">
        <v>36542</v>
      </c>
    </row>
    <row r="43039" spans="1:8">
      <c r="A43039" t="s">
        <v>3926</v>
      </c>
      <c r="B43039">
        <f>HYPERLINK("https://android.googlesource.com/platform/cts/+/633e4f4068f650b1f079912fe5ac6f3547d98fdc", "633e4f4068f650b1f079912fe5ac6f3547d98fdc")</f>
        <v>0</v>
      </c>
      <c r="C43039">
        <f>HYPERLINK("https://android.googlesource.com/platform/cts/+/560f05d709c76c92850ddbdb410835601be778b1", "560f05d709c76c92850ddbdb410835601be778b1")</f>
        <v>0</v>
      </c>
      <c r="D43039" t="s">
        <v>5526</v>
      </c>
      <c r="E43039" t="s">
        <v>9617</v>
      </c>
      <c r="F43039" t="s">
        <v>14543</v>
      </c>
      <c r="G43039" t="s">
        <v>18467</v>
      </c>
      <c r="H43039" t="s">
        <v>36543</v>
      </c>
    </row>
    <row r="43040" spans="1:8">
      <c r="H43040" t="s">
        <v>36544</v>
      </c>
    </row>
    <row r="43041" spans="6:8">
      <c r="H43041" t="s">
        <v>36545</v>
      </c>
    </row>
    <row r="43042" spans="6:8">
      <c r="H43042" t="s">
        <v>36546</v>
      </c>
    </row>
    <row r="43043" spans="6:8">
      <c r="H43043" t="s">
        <v>36547</v>
      </c>
    </row>
    <row r="43044" spans="6:8">
      <c r="H43044" t="s">
        <v>36548</v>
      </c>
    </row>
    <row r="43045" spans="6:8">
      <c r="H43045" t="s">
        <v>36549</v>
      </c>
    </row>
    <row r="43046" spans="6:8">
      <c r="H43046" t="s">
        <v>36550</v>
      </c>
    </row>
    <row r="43047" spans="6:8">
      <c r="H43047" t="s">
        <v>36551</v>
      </c>
    </row>
    <row r="43048" spans="6:8">
      <c r="H43048" t="s">
        <v>36552</v>
      </c>
    </row>
    <row r="43049" spans="6:8">
      <c r="H43049" t="s">
        <v>36553</v>
      </c>
    </row>
    <row r="43050" spans="6:8">
      <c r="F43050" t="s">
        <v>14544</v>
      </c>
      <c r="G43050" t="s">
        <v>17541</v>
      </c>
      <c r="H43050" t="s">
        <v>29731</v>
      </c>
    </row>
    <row r="43051" spans="6:8">
      <c r="H43051" t="s">
        <v>36554</v>
      </c>
    </row>
    <row r="43052" spans="6:8">
      <c r="H43052" t="s">
        <v>36555</v>
      </c>
    </row>
    <row r="43053" spans="6:8">
      <c r="H43053" t="s">
        <v>36556</v>
      </c>
    </row>
    <row r="43054" spans="6:8">
      <c r="H43054" t="s">
        <v>29732</v>
      </c>
    </row>
    <row r="43055" spans="6:8">
      <c r="H43055" t="s">
        <v>36557</v>
      </c>
    </row>
    <row r="43056" spans="6:8">
      <c r="H43056" t="s">
        <v>36558</v>
      </c>
    </row>
    <row r="43057" spans="1:8">
      <c r="H43057" t="s">
        <v>36559</v>
      </c>
    </row>
    <row r="43058" spans="1:8">
      <c r="H43058" t="s">
        <v>36560</v>
      </c>
    </row>
    <row r="43059" spans="1:8">
      <c r="A43059" t="s">
        <v>3927</v>
      </c>
      <c r="B43059">
        <f>HYPERLINK("https://android.googlesource.com/platform/cts/+/50c58445fa6f0fb634c145bc03e3cb6712136c4d", "50c58445fa6f0fb634c145bc03e3cb6712136c4d")</f>
        <v>0</v>
      </c>
      <c r="C43059">
        <f>HYPERLINK("https://android.googlesource.com/platform/cts/+/8752b0347330f4dc97ab3b5c2c7caf223b8cc5c4", "8752b0347330f4dc97ab3b5c2c7caf223b8cc5c4")</f>
        <v>0</v>
      </c>
      <c r="D43059" t="s">
        <v>5604</v>
      </c>
      <c r="E43059" t="s">
        <v>9618</v>
      </c>
      <c r="F43059" t="s">
        <v>12931</v>
      </c>
      <c r="G43059" t="s">
        <v>17096</v>
      </c>
      <c r="H43059" t="s">
        <v>19981</v>
      </c>
    </row>
    <row r="43060" spans="1:8">
      <c r="A43060" t="s">
        <v>3930</v>
      </c>
      <c r="B43060">
        <f>HYPERLINK("https://android.googlesource.com/platform/cts/+/82f14b2ada1c56a521e200334a03edd7340661a3", "82f14b2ada1c56a521e200334a03edd7340661a3")</f>
        <v>0</v>
      </c>
      <c r="C43060">
        <f>HYPERLINK("https://android.googlesource.com/platform/cts/+/d73492460a91a8c85a87d6182a7daeaadedeff85", "d73492460a91a8c85a87d6182a7daeaadedeff85")</f>
        <v>0</v>
      </c>
      <c r="D43060" t="s">
        <v>5304</v>
      </c>
      <c r="E43060" t="s">
        <v>9621</v>
      </c>
      <c r="F43060" t="s">
        <v>14514</v>
      </c>
      <c r="G43060" t="s">
        <v>18441</v>
      </c>
      <c r="H43060" t="s">
        <v>36561</v>
      </c>
    </row>
    <row r="43061" spans="1:8">
      <c r="F43061" t="s">
        <v>14515</v>
      </c>
      <c r="G43061" t="s">
        <v>18442</v>
      </c>
      <c r="H43061" t="s">
        <v>36562</v>
      </c>
    </row>
    <row r="43062" spans="1:8">
      <c r="A43062" t="s">
        <v>3931</v>
      </c>
      <c r="B43062">
        <f>HYPERLINK("https://android.googlesource.com/platform/cts/+/1fa47a182037b1c5e4ad81f867853595d4e98eed", "1fa47a182037b1c5e4ad81f867853595d4e98eed")</f>
        <v>0</v>
      </c>
      <c r="C43062">
        <f>HYPERLINK("https://android.googlesource.com/platform/cts/+/294d9a77864d2b810fa0bd3499cef11c461baf0b", "294d9a77864d2b810fa0bd3499cef11c461baf0b")</f>
        <v>0</v>
      </c>
      <c r="D43062" t="s">
        <v>5046</v>
      </c>
      <c r="E43062" t="s">
        <v>9622</v>
      </c>
      <c r="F43062" t="s">
        <v>13923</v>
      </c>
      <c r="G43062" t="s">
        <v>17959</v>
      </c>
      <c r="H43062" t="s">
        <v>36563</v>
      </c>
    </row>
    <row r="43063" spans="1:8">
      <c r="A43063" t="s">
        <v>3932</v>
      </c>
      <c r="B43063">
        <f>HYPERLINK("https://android.googlesource.com/platform/cts/+/2ca5d92c679ef6253c10c35a3013b4b19fa684cd", "2ca5d92c679ef6253c10c35a3013b4b19fa684cd")</f>
        <v>0</v>
      </c>
      <c r="C43063">
        <f>HYPERLINK("https://android.googlesource.com/platform/cts/+/603535b6926382c888035747b4cba60c76772cbd", "603535b6926382c888035747b4cba60c76772cbd")</f>
        <v>0</v>
      </c>
      <c r="D43063" t="s">
        <v>5473</v>
      </c>
      <c r="E43063" t="s">
        <v>9623</v>
      </c>
      <c r="F43063" t="s">
        <v>14545</v>
      </c>
      <c r="G43063" t="s">
        <v>18468</v>
      </c>
      <c r="H43063" t="s">
        <v>36564</v>
      </c>
    </row>
    <row r="43064" spans="1:8">
      <c r="H43064" t="s">
        <v>36565</v>
      </c>
    </row>
    <row r="43065" spans="1:8">
      <c r="A43065" t="s">
        <v>3933</v>
      </c>
      <c r="B43065">
        <f>HYPERLINK("https://android.googlesource.com/platform/cts/+/1a968eacfec8c49f1c12b2f20be62c533b834f79", "1a968eacfec8c49f1c12b2f20be62c533b834f79")</f>
        <v>0</v>
      </c>
      <c r="C43065">
        <f>HYPERLINK("https://android.googlesource.com/platform/cts/+/c0fe20267e36ef21007d4a9ebc4b8d3d07effe12", "c0fe20267e36ef21007d4a9ebc4b8d3d07effe12")</f>
        <v>0</v>
      </c>
      <c r="D43065" t="s">
        <v>5642</v>
      </c>
      <c r="E43065" t="s">
        <v>9624</v>
      </c>
      <c r="F43065" t="s">
        <v>14546</v>
      </c>
      <c r="G43065" t="s">
        <v>18469</v>
      </c>
      <c r="H43065" t="s">
        <v>36566</v>
      </c>
    </row>
    <row r="43066" spans="1:8">
      <c r="H43066" t="s">
        <v>36567</v>
      </c>
    </row>
    <row r="43067" spans="1:8">
      <c r="H43067" t="s">
        <v>36568</v>
      </c>
    </row>
    <row r="43068" spans="1:8">
      <c r="H43068" t="s">
        <v>36569</v>
      </c>
    </row>
    <row r="43069" spans="1:8">
      <c r="H43069" t="s">
        <v>36570</v>
      </c>
    </row>
    <row r="43070" spans="1:8">
      <c r="F43070" t="s">
        <v>14547</v>
      </c>
      <c r="G43070" t="s">
        <v>18470</v>
      </c>
      <c r="H43070" t="s">
        <v>36571</v>
      </c>
    </row>
    <row r="43071" spans="1:8">
      <c r="H43071" t="s">
        <v>36572</v>
      </c>
    </row>
    <row r="43072" spans="1:8">
      <c r="H43072" t="s">
        <v>36573</v>
      </c>
    </row>
    <row r="43073" spans="1:8">
      <c r="H43073" t="s">
        <v>36574</v>
      </c>
    </row>
    <row r="43074" spans="1:8">
      <c r="H43074" t="s">
        <v>36575</v>
      </c>
    </row>
    <row r="43075" spans="1:8">
      <c r="A43075" t="s">
        <v>3934</v>
      </c>
      <c r="B43075">
        <f>HYPERLINK("https://android.googlesource.com/platform/cts/+/ee14dc6439f0a3edf5bce8fc0785749ece3572ab", "ee14dc6439f0a3edf5bce8fc0785749ece3572ab")</f>
        <v>0</v>
      </c>
      <c r="C43075">
        <f>HYPERLINK("https://android.googlesource.com/platform/cts/+/130c66d22146fb1671f63c4f4e8ee588a867a84d", "130c66d22146fb1671f63c4f4e8ee588a867a84d")</f>
        <v>0</v>
      </c>
      <c r="D43075" t="s">
        <v>5643</v>
      </c>
      <c r="E43075" t="s">
        <v>9625</v>
      </c>
      <c r="F43075" t="s">
        <v>12817</v>
      </c>
      <c r="G43075" t="s">
        <v>16629</v>
      </c>
      <c r="H43075" t="s">
        <v>36576</v>
      </c>
    </row>
    <row r="43076" spans="1:8">
      <c r="A43076" t="s">
        <v>3935</v>
      </c>
      <c r="B43076">
        <f>HYPERLINK("https://android.googlesource.com/platform/cts/+/9a2293a03ab84bd20fa9ee56486d7cc89c76fb73", "9a2293a03ab84bd20fa9ee56486d7cc89c76fb73")</f>
        <v>0</v>
      </c>
      <c r="C43076">
        <f>HYPERLINK("https://android.googlesource.com/platform/cts/+/1b3cbec4fc74bd2da98e51c6dfd8ab24edee7d6d", "1b3cbec4fc74bd2da98e51c6dfd8ab24edee7d6d")</f>
        <v>0</v>
      </c>
      <c r="D43076" t="s">
        <v>5272</v>
      </c>
      <c r="E43076" t="s">
        <v>9626</v>
      </c>
      <c r="F43076" t="s">
        <v>13500</v>
      </c>
      <c r="G43076" t="s">
        <v>17618</v>
      </c>
      <c r="H43076" t="s">
        <v>32404</v>
      </c>
    </row>
    <row r="43077" spans="1:8">
      <c r="A43077" t="s">
        <v>3936</v>
      </c>
      <c r="B43077">
        <f>HYPERLINK("https://android.googlesource.com/platform/cts/+/bec8a4d86fb8af213c49bb8d7a76ce0c5b0546d1", "bec8a4d86fb8af213c49bb8d7a76ce0c5b0546d1")</f>
        <v>0</v>
      </c>
      <c r="C43077">
        <f>HYPERLINK("https://android.googlesource.com/platform/cts/+/349fdad3e5fae9bfdc2d3ba7b5582d4cce8d3927", "349fdad3e5fae9bfdc2d3ba7b5582d4cce8d3927")</f>
        <v>0</v>
      </c>
      <c r="D43077" t="s">
        <v>4971</v>
      </c>
      <c r="E43077" t="s">
        <v>9627</v>
      </c>
      <c r="F43077" t="s">
        <v>10946</v>
      </c>
      <c r="G43077" t="s">
        <v>15339</v>
      </c>
      <c r="H43077" t="s">
        <v>36577</v>
      </c>
    </row>
    <row r="43078" spans="1:8">
      <c r="F43078" t="s">
        <v>10604</v>
      </c>
      <c r="G43078" t="s">
        <v>15007</v>
      </c>
      <c r="H43078" t="s">
        <v>36577</v>
      </c>
    </row>
    <row r="43079" spans="1:8">
      <c r="F43079" t="s">
        <v>10947</v>
      </c>
      <c r="G43079" t="s">
        <v>15340</v>
      </c>
      <c r="H43079" t="s">
        <v>36577</v>
      </c>
    </row>
    <row r="43080" spans="1:8">
      <c r="A43080" t="s">
        <v>3937</v>
      </c>
      <c r="B43080">
        <f>HYPERLINK("https://android.googlesource.com/platform/cts/+/ea8f262f08a80ca81225623226dbc870281ee79c", "ea8f262f08a80ca81225623226dbc870281ee79c")</f>
        <v>0</v>
      </c>
      <c r="C43080">
        <f>HYPERLINK("https://android.googlesource.com/platform/cts/+/d692c46272011d89a403bc36720171cf02c131e1", "d692c46272011d89a403bc36720171cf02c131e1")</f>
        <v>0</v>
      </c>
      <c r="D43080" t="s">
        <v>5438</v>
      </c>
      <c r="E43080" t="s">
        <v>9628</v>
      </c>
      <c r="F43080" t="s">
        <v>14548</v>
      </c>
      <c r="G43080" t="s">
        <v>18471</v>
      </c>
      <c r="H43080" t="s">
        <v>36578</v>
      </c>
    </row>
    <row r="43081" spans="1:8">
      <c r="A43081" t="s">
        <v>3938</v>
      </c>
      <c r="B43081">
        <f>HYPERLINK("https://android.googlesource.com/platform/cts/+/0836ad1799b0943a327b28ded2ecbd753c4e4805", "0836ad1799b0943a327b28ded2ecbd753c4e4805")</f>
        <v>0</v>
      </c>
      <c r="C43081">
        <f>HYPERLINK("https://android.googlesource.com/platform/cts/+/6dfdbb1ab69462153c917408298e9e7d5c5233e7", "6dfdbb1ab69462153c917408298e9e7d5c5233e7")</f>
        <v>0</v>
      </c>
      <c r="D43081" t="s">
        <v>5644</v>
      </c>
      <c r="E43081" t="s">
        <v>9629</v>
      </c>
      <c r="F43081" t="s">
        <v>14549</v>
      </c>
      <c r="G43081" t="s">
        <v>18472</v>
      </c>
      <c r="H43081" t="s">
        <v>36579</v>
      </c>
    </row>
    <row r="43082" spans="1:8">
      <c r="H43082" t="s">
        <v>18829</v>
      </c>
    </row>
    <row r="43083" spans="1:8">
      <c r="H43083" t="s">
        <v>18863</v>
      </c>
    </row>
    <row r="43084" spans="1:8">
      <c r="H43084" t="s">
        <v>36580</v>
      </c>
    </row>
    <row r="43085" spans="1:8">
      <c r="H43085" t="s">
        <v>36581</v>
      </c>
    </row>
    <row r="43086" spans="1:8">
      <c r="H43086" t="s">
        <v>36582</v>
      </c>
    </row>
    <row r="43087" spans="1:8">
      <c r="H43087" t="s">
        <v>36583</v>
      </c>
    </row>
    <row r="43088" spans="1:8">
      <c r="H43088" t="s">
        <v>36584</v>
      </c>
    </row>
    <row r="43089" spans="1:8">
      <c r="H43089" t="s">
        <v>36585</v>
      </c>
    </row>
    <row r="43090" spans="1:8">
      <c r="H43090" t="s">
        <v>36586</v>
      </c>
    </row>
    <row r="43091" spans="1:8">
      <c r="H43091" t="s">
        <v>36587</v>
      </c>
    </row>
    <row r="43092" spans="1:8">
      <c r="H43092" t="s">
        <v>36588</v>
      </c>
    </row>
    <row r="43093" spans="1:8">
      <c r="H43093" t="s">
        <v>36589</v>
      </c>
    </row>
    <row r="43094" spans="1:8">
      <c r="H43094" t="s">
        <v>36590</v>
      </c>
    </row>
    <row r="43095" spans="1:8">
      <c r="H43095" t="s">
        <v>36591</v>
      </c>
    </row>
    <row r="43096" spans="1:8">
      <c r="H43096" t="s">
        <v>36592</v>
      </c>
    </row>
    <row r="43097" spans="1:8">
      <c r="H43097" t="s">
        <v>36593</v>
      </c>
    </row>
    <row r="43098" spans="1:8">
      <c r="A43098" t="s">
        <v>3939</v>
      </c>
      <c r="B43098">
        <f>HYPERLINK("https://android.googlesource.com/platform/cts/+/1a6dddbad00897cf6d326adc2b9257e016fb729c", "1a6dddbad00897cf6d326adc2b9257e016fb729c")</f>
        <v>0</v>
      </c>
      <c r="C43098">
        <f>HYPERLINK("https://android.googlesource.com/platform/cts/+/c95a016fa40b899ce9df434c47b15b2daad34411", "c95a016fa40b899ce9df434c47b15b2daad34411")</f>
        <v>0</v>
      </c>
      <c r="D43098" t="s">
        <v>5153</v>
      </c>
      <c r="E43098" t="s">
        <v>9630</v>
      </c>
      <c r="F43098" t="s">
        <v>13225</v>
      </c>
      <c r="G43098" t="s">
        <v>17366</v>
      </c>
      <c r="H43098" t="s">
        <v>36594</v>
      </c>
    </row>
    <row r="43099" spans="1:8">
      <c r="A43099" t="s">
        <v>3940</v>
      </c>
      <c r="B43099">
        <f>HYPERLINK("https://android.googlesource.com/platform/cts/+/ae5ed84067c663a76ed81de266c65044622e0f75", "ae5ed84067c663a76ed81de266c65044622e0f75")</f>
        <v>0</v>
      </c>
      <c r="C43099">
        <f>HYPERLINK("https://android.googlesource.com/platform/cts/+/4bbc4daccfe8e33503d935ce977829bab21a5487", "4bbc4daccfe8e33503d935ce977829bab21a5487")</f>
        <v>0</v>
      </c>
      <c r="D43099" t="s">
        <v>5645</v>
      </c>
      <c r="E43099" t="s">
        <v>9631</v>
      </c>
      <c r="F43099" t="s">
        <v>13171</v>
      </c>
      <c r="G43099" t="s">
        <v>16410</v>
      </c>
      <c r="H43099" t="s">
        <v>36595</v>
      </c>
    </row>
    <row r="43100" spans="1:8">
      <c r="A43100" t="s">
        <v>3941</v>
      </c>
      <c r="B43100">
        <f>HYPERLINK("https://android.googlesource.com/platform/cts/+/cb1cf40fe21fc865edc78a2938f49a5f66b08881", "cb1cf40fe21fc865edc78a2938f49a5f66b08881")</f>
        <v>0</v>
      </c>
      <c r="C43100">
        <f>HYPERLINK("https://android.googlesource.com/platform/cts/+/0353ae5f34f5f847ae18aad4644bbc700d554534", "0353ae5f34f5f847ae18aad4644bbc700d554534")</f>
        <v>0</v>
      </c>
      <c r="D43100" t="s">
        <v>5579</v>
      </c>
      <c r="E43100" t="s">
        <v>9632</v>
      </c>
      <c r="F43100" t="s">
        <v>12741</v>
      </c>
      <c r="G43100" t="s">
        <v>16933</v>
      </c>
      <c r="H43100" t="s">
        <v>36596</v>
      </c>
    </row>
    <row r="43101" spans="1:8">
      <c r="H43101" t="s">
        <v>36597</v>
      </c>
    </row>
    <row r="43102" spans="1:8">
      <c r="A43102" t="s">
        <v>3942</v>
      </c>
      <c r="B43102">
        <f>HYPERLINK("https://android.googlesource.com/platform/cts/+/6019f9b2987cc25aec3c28abb01dce6d89e33e9c", "6019f9b2987cc25aec3c28abb01dce6d89e33e9c")</f>
        <v>0</v>
      </c>
      <c r="C43102">
        <f>HYPERLINK("https://android.googlesource.com/platform/cts/+/63d06190e7e8b86ec1fb67e0cef78209adfdcd34", "63d06190e7e8b86ec1fb67e0cef78209adfdcd34")</f>
        <v>0</v>
      </c>
      <c r="D43102" t="s">
        <v>5134</v>
      </c>
      <c r="E43102" t="s">
        <v>9633</v>
      </c>
      <c r="F43102" t="s">
        <v>14550</v>
      </c>
      <c r="G43102" t="s">
        <v>18473</v>
      </c>
      <c r="H43102" t="s">
        <v>36598</v>
      </c>
    </row>
    <row r="43103" spans="1:8">
      <c r="A43103" t="s">
        <v>3943</v>
      </c>
      <c r="B43103">
        <f>HYPERLINK("https://android.googlesource.com/platform/cts/+/23c3466a65d1f023c1cabde0684c77defc38024f", "23c3466a65d1f023c1cabde0684c77defc38024f")</f>
        <v>0</v>
      </c>
      <c r="C43103">
        <f>HYPERLINK("https://android.googlesource.com/platform/cts/+/c1ae0e8fbf008d72fb5fb96288f1ffe06c4fd99d", "c1ae0e8fbf008d72fb5fb96288f1ffe06c4fd99d")</f>
        <v>0</v>
      </c>
      <c r="D43103" t="s">
        <v>5578</v>
      </c>
      <c r="E43103" t="s">
        <v>9634</v>
      </c>
      <c r="F43103" t="s">
        <v>14327</v>
      </c>
      <c r="G43103" t="s">
        <v>18283</v>
      </c>
      <c r="H43103" t="s">
        <v>18863</v>
      </c>
    </row>
    <row r="43104" spans="1:8">
      <c r="A43104" t="s">
        <v>3944</v>
      </c>
      <c r="B43104">
        <f>HYPERLINK("https://android.googlesource.com/platform/cts/+/65c15dcbeb754605a778f9cd5c908757fe966df7", "65c15dcbeb754605a778f9cd5c908757fe966df7")</f>
        <v>0</v>
      </c>
      <c r="C43104">
        <f>HYPERLINK("https://android.googlesource.com/platform/cts/+/98a24158d5d485cbc024668693fce88085679c97", "98a24158d5d485cbc024668693fce88085679c97")</f>
        <v>0</v>
      </c>
      <c r="D43104" t="s">
        <v>5546</v>
      </c>
      <c r="E43104" t="s">
        <v>9635</v>
      </c>
      <c r="F43104" t="s">
        <v>14551</v>
      </c>
      <c r="G43104" t="s">
        <v>18474</v>
      </c>
      <c r="H43104" t="s">
        <v>36599</v>
      </c>
    </row>
    <row r="43105" spans="1:8">
      <c r="A43105" t="s">
        <v>3945</v>
      </c>
      <c r="B43105">
        <f>HYPERLINK("https://android.googlesource.com/platform/cts/+/cdaa22a3a4b8a687c05f769b7900fee2d2f152bf", "cdaa22a3a4b8a687c05f769b7900fee2d2f152bf")</f>
        <v>0</v>
      </c>
      <c r="C43105">
        <f>HYPERLINK("https://android.googlesource.com/platform/cts/+/0486746ea9f27879151ccca58f104832db5f80c1", "0486746ea9f27879151ccca58f104832db5f80c1")</f>
        <v>0</v>
      </c>
      <c r="D43105" t="s">
        <v>5178</v>
      </c>
      <c r="E43105" t="s">
        <v>9636</v>
      </c>
      <c r="F43105" t="s">
        <v>14552</v>
      </c>
      <c r="G43105" t="s">
        <v>18475</v>
      </c>
      <c r="H43105" t="s">
        <v>27522</v>
      </c>
    </row>
    <row r="43106" spans="1:8">
      <c r="H43106" t="s">
        <v>36600</v>
      </c>
    </row>
    <row r="43107" spans="1:8">
      <c r="H43107" t="s">
        <v>25668</v>
      </c>
    </row>
    <row r="43108" spans="1:8">
      <c r="H43108" t="s">
        <v>26786</v>
      </c>
    </row>
    <row r="43109" spans="1:8">
      <c r="H43109" t="s">
        <v>18891</v>
      </c>
    </row>
    <row r="43110" spans="1:8">
      <c r="H43110" t="s">
        <v>18882</v>
      </c>
    </row>
    <row r="43111" spans="1:8">
      <c r="H43111" t="s">
        <v>19981</v>
      </c>
    </row>
    <row r="43112" spans="1:8">
      <c r="H43112" t="s">
        <v>18863</v>
      </c>
    </row>
    <row r="43113" spans="1:8">
      <c r="H43113" t="s">
        <v>29753</v>
      </c>
    </row>
    <row r="43114" spans="1:8">
      <c r="A43114" t="s">
        <v>3946</v>
      </c>
      <c r="B43114">
        <f>HYPERLINK("https://android.googlesource.com/platform/cts/+/de82e152a92fa025ed6ba79c82c9e80866329bff", "de82e152a92fa025ed6ba79c82c9e80866329bff")</f>
        <v>0</v>
      </c>
      <c r="C43114">
        <f>HYPERLINK("https://android.googlesource.com/platform/cts/+/267938a5061f8c5bb0c4fe585d1ab2b790d9b133", "267938a5061f8c5bb0c4fe585d1ab2b790d9b133")</f>
        <v>0</v>
      </c>
      <c r="D43114" t="s">
        <v>5501</v>
      </c>
      <c r="E43114" t="s">
        <v>9637</v>
      </c>
      <c r="F43114" t="s">
        <v>14553</v>
      </c>
      <c r="G43114" t="s">
        <v>18476</v>
      </c>
      <c r="H43114" t="s">
        <v>36601</v>
      </c>
    </row>
    <row r="43115" spans="1:8">
      <c r="H43115" t="s">
        <v>20340</v>
      </c>
    </row>
    <row r="43116" spans="1:8">
      <c r="A43116" t="s">
        <v>3947</v>
      </c>
      <c r="B43116">
        <f>HYPERLINK("https://android.googlesource.com/platform/cts/+/d76443927c8ab8b3a2fd230e8958f6b0c00b7450", "d76443927c8ab8b3a2fd230e8958f6b0c00b7450")</f>
        <v>0</v>
      </c>
      <c r="C43116">
        <f>HYPERLINK("https://android.googlesource.com/platform/cts/+/18964991d67521f07f9010d2a842cce7ed84b113", "18964991d67521f07f9010d2a842cce7ed84b113")</f>
        <v>0</v>
      </c>
      <c r="D43116" t="s">
        <v>5604</v>
      </c>
      <c r="E43116" t="s">
        <v>9638</v>
      </c>
      <c r="F43116" t="s">
        <v>14554</v>
      </c>
      <c r="G43116" t="s">
        <v>18477</v>
      </c>
      <c r="H43116" t="s">
        <v>36602</v>
      </c>
    </row>
    <row r="43117" spans="1:8">
      <c r="H43117" t="s">
        <v>36603</v>
      </c>
    </row>
    <row r="43118" spans="1:8">
      <c r="H43118" t="s">
        <v>36604</v>
      </c>
    </row>
    <row r="43119" spans="1:8">
      <c r="A43119" t="s">
        <v>3948</v>
      </c>
      <c r="B43119">
        <f>HYPERLINK("https://android.googlesource.com/platform/cts/+/bc709949f0cf55936bfc62e0ad308bb50d4d670f", "bc709949f0cf55936bfc62e0ad308bb50d4d670f")</f>
        <v>0</v>
      </c>
      <c r="C43119">
        <f>HYPERLINK("https://android.googlesource.com/platform/cts/+/72be712df18c0744797622aa06ef933f330d394e", "72be712df18c0744797622aa06ef933f330d394e")</f>
        <v>0</v>
      </c>
      <c r="D43119" t="s">
        <v>5409</v>
      </c>
      <c r="E43119" t="s">
        <v>9639</v>
      </c>
      <c r="F43119" t="s">
        <v>14461</v>
      </c>
      <c r="G43119" t="s">
        <v>15710</v>
      </c>
      <c r="H43119" t="s">
        <v>36605</v>
      </c>
    </row>
    <row r="43120" spans="1:8">
      <c r="A43120" t="s">
        <v>3949</v>
      </c>
      <c r="B43120">
        <f>HYPERLINK("https://android.googlesource.com/platform/cts/+/4cfcf23543adcf3f4d6a792e393d0ce5b100da80", "4cfcf23543adcf3f4d6a792e393d0ce5b100da80")</f>
        <v>0</v>
      </c>
      <c r="C43120">
        <f>HYPERLINK("https://android.googlesource.com/platform/cts/+/c22b81480078da56968ef0b80e2f41b256ddbd8b", "c22b81480078da56968ef0b80e2f41b256ddbd8b")</f>
        <v>0</v>
      </c>
      <c r="D43120" t="s">
        <v>5085</v>
      </c>
      <c r="E43120" t="s">
        <v>9640</v>
      </c>
      <c r="F43120" t="s">
        <v>13224</v>
      </c>
      <c r="G43120" t="s">
        <v>15138</v>
      </c>
      <c r="H43120" t="s">
        <v>36606</v>
      </c>
    </row>
    <row r="43121" spans="1:8">
      <c r="A43121" t="s">
        <v>3953</v>
      </c>
      <c r="B43121">
        <f>HYPERLINK("https://android.googlesource.com/platform/cts/+/a58a382bfa81b2a305fca935448bca96aac9b72a", "a58a382bfa81b2a305fca935448bca96aac9b72a")</f>
        <v>0</v>
      </c>
      <c r="C43121">
        <f>HYPERLINK("https://android.googlesource.com/platform/cts/+/44c1d0bdaf4605da55a68443d81210383558a166", "44c1d0bdaf4605da55a68443d81210383558a166")</f>
        <v>0</v>
      </c>
      <c r="D43121" t="s">
        <v>5153</v>
      </c>
      <c r="E43121" t="s">
        <v>9642</v>
      </c>
      <c r="F43121" t="s">
        <v>12808</v>
      </c>
      <c r="G43121" t="s">
        <v>16989</v>
      </c>
      <c r="H43121" t="s">
        <v>30338</v>
      </c>
    </row>
    <row r="43122" spans="1:8">
      <c r="A43122" t="s">
        <v>3954</v>
      </c>
      <c r="B43122">
        <f>HYPERLINK("https://android.googlesource.com/platform/cts/+/acf4c504675085d56a68a6cbca331ca0422f033d", "acf4c504675085d56a68a6cbca331ca0422f033d")</f>
        <v>0</v>
      </c>
      <c r="C43122">
        <f>HYPERLINK("https://android.googlesource.com/platform/cts/+/9b0fea5a45bc62a19126a6f0436d1be55a3ffb69", "9b0fea5a45bc62a19126a6f0436d1be55a3ffb69")</f>
        <v>0</v>
      </c>
      <c r="D43122" t="s">
        <v>5574</v>
      </c>
      <c r="E43122" t="s">
        <v>9643</v>
      </c>
      <c r="F43122" t="s">
        <v>12428</v>
      </c>
      <c r="G43122" t="s">
        <v>16619</v>
      </c>
      <c r="H43122" t="s">
        <v>36607</v>
      </c>
    </row>
    <row r="43123" spans="1:8">
      <c r="H43123" t="s">
        <v>36608</v>
      </c>
    </row>
    <row r="43124" spans="1:8">
      <c r="A43124" t="s">
        <v>3955</v>
      </c>
      <c r="B43124">
        <f>HYPERLINK("https://android.googlesource.com/platform/cts/+/c23b3a56e611367f37468a26bf5a3887521e3ae9", "c23b3a56e611367f37468a26bf5a3887521e3ae9")</f>
        <v>0</v>
      </c>
      <c r="C43124">
        <f>HYPERLINK("https://android.googlesource.com/platform/cts/+/890ceb1193784d3637714c259cf13218da76bd4c", "890ceb1193784d3637714c259cf13218da76bd4c")</f>
        <v>0</v>
      </c>
      <c r="D43124" t="s">
        <v>5428</v>
      </c>
      <c r="E43124" t="s">
        <v>9644</v>
      </c>
      <c r="F43124" t="s">
        <v>14430</v>
      </c>
      <c r="G43124" t="s">
        <v>18367</v>
      </c>
      <c r="H43124" t="s">
        <v>36609</v>
      </c>
    </row>
    <row r="43125" spans="1:8">
      <c r="H43125" t="s">
        <v>36610</v>
      </c>
    </row>
    <row r="43126" spans="1:8">
      <c r="H43126" t="s">
        <v>36611</v>
      </c>
    </row>
    <row r="43127" spans="1:8">
      <c r="H43127" t="s">
        <v>36612</v>
      </c>
    </row>
    <row r="43128" spans="1:8">
      <c r="F43128" t="s">
        <v>14431</v>
      </c>
      <c r="G43128" t="s">
        <v>18368</v>
      </c>
      <c r="H43128" t="s">
        <v>36613</v>
      </c>
    </row>
    <row r="43129" spans="1:8">
      <c r="H43129" t="s">
        <v>36614</v>
      </c>
    </row>
    <row r="43130" spans="1:8">
      <c r="H43130" t="s">
        <v>36615</v>
      </c>
    </row>
    <row r="43131" spans="1:8">
      <c r="H43131" t="s">
        <v>36616</v>
      </c>
    </row>
    <row r="43132" spans="1:8">
      <c r="H43132" t="s">
        <v>36617</v>
      </c>
    </row>
    <row r="43133" spans="1:8">
      <c r="H43133" t="s">
        <v>36618</v>
      </c>
    </row>
    <row r="43134" spans="1:8">
      <c r="A43134" t="s">
        <v>3956</v>
      </c>
      <c r="B43134">
        <f>HYPERLINK("https://android.googlesource.com/platform/cts/+/1b00016229ebdc000ab729b94d303ee2cf77a418", "1b00016229ebdc000ab729b94d303ee2cf77a418")</f>
        <v>0</v>
      </c>
      <c r="C43134">
        <f>HYPERLINK("https://android.googlesource.com/platform/cts/+/84598b17873446d0c422c638626e0717d5b3e396", "84598b17873446d0c422c638626e0717d5b3e396")</f>
        <v>0</v>
      </c>
      <c r="D43134" t="s">
        <v>5493</v>
      </c>
      <c r="E43134" t="s">
        <v>9645</v>
      </c>
      <c r="F43134" t="s">
        <v>13968</v>
      </c>
      <c r="G43134" t="s">
        <v>17993</v>
      </c>
      <c r="H43134" t="s">
        <v>33345</v>
      </c>
    </row>
    <row r="43135" spans="1:8">
      <c r="H43135" t="s">
        <v>36619</v>
      </c>
    </row>
    <row r="43136" spans="1:8">
      <c r="H43136" t="s">
        <v>18829</v>
      </c>
    </row>
    <row r="43137" spans="1:8">
      <c r="H43137" t="s">
        <v>18863</v>
      </c>
    </row>
    <row r="43138" spans="1:8">
      <c r="H43138" t="s">
        <v>36620</v>
      </c>
    </row>
    <row r="43139" spans="1:8">
      <c r="H43139" t="s">
        <v>36621</v>
      </c>
    </row>
    <row r="43140" spans="1:8">
      <c r="H43140" t="s">
        <v>36622</v>
      </c>
    </row>
    <row r="43141" spans="1:8">
      <c r="H43141" t="s">
        <v>36623</v>
      </c>
    </row>
    <row r="43142" spans="1:8">
      <c r="H43142" t="s">
        <v>36624</v>
      </c>
    </row>
    <row r="43143" spans="1:8">
      <c r="H43143" t="s">
        <v>36625</v>
      </c>
    </row>
    <row r="43144" spans="1:8">
      <c r="H43144" t="s">
        <v>20083</v>
      </c>
    </row>
    <row r="43145" spans="1:8">
      <c r="H43145" t="s">
        <v>36626</v>
      </c>
    </row>
    <row r="43146" spans="1:8">
      <c r="H43146" t="s">
        <v>20083</v>
      </c>
    </row>
    <row r="43147" spans="1:8">
      <c r="A43147" t="s">
        <v>3957</v>
      </c>
      <c r="B43147">
        <f>HYPERLINK("https://android.googlesource.com/platform/cts/+/30dfdb35aac627e18dbb05bf8c7a905b1e89df8b", "30dfdb35aac627e18dbb05bf8c7a905b1e89df8b")</f>
        <v>0</v>
      </c>
      <c r="C43147">
        <f>HYPERLINK("https://android.googlesource.com/platform/cts/+/e7b3c7a8f4e852361474eb682e3e3bc3f13eda86", "e7b3c7a8f4e852361474eb682e3e3bc3f13eda86")</f>
        <v>0</v>
      </c>
      <c r="D43147" t="s">
        <v>5409</v>
      </c>
      <c r="E43147" t="s">
        <v>9646</v>
      </c>
      <c r="F43147" t="s">
        <v>14555</v>
      </c>
      <c r="G43147" t="s">
        <v>17862</v>
      </c>
      <c r="H43147" t="s">
        <v>36627</v>
      </c>
    </row>
    <row r="43148" spans="1:8">
      <c r="A43148" t="s">
        <v>3958</v>
      </c>
      <c r="B43148">
        <f>HYPERLINK("https://android.googlesource.com/platform/cts/+/65eb9c316b5c0fe3f2b5a55909fa4cd9ef6839c8", "65eb9c316b5c0fe3f2b5a55909fa4cd9ef6839c8")</f>
        <v>0</v>
      </c>
      <c r="C43148">
        <f>HYPERLINK("https://android.googlesource.com/platform/cts/+/32ee9ae735281cabb2660f1247ac8a0a268d315e", "32ee9ae735281cabb2660f1247ac8a0a268d315e")</f>
        <v>0</v>
      </c>
      <c r="D43148" t="s">
        <v>5646</v>
      </c>
      <c r="E43148" t="s">
        <v>9647</v>
      </c>
      <c r="F43148" t="s">
        <v>14165</v>
      </c>
      <c r="G43148" t="s">
        <v>17361</v>
      </c>
      <c r="H43148" t="s">
        <v>36628</v>
      </c>
    </row>
    <row r="43149" spans="1:8">
      <c r="A43149" t="s">
        <v>3959</v>
      </c>
      <c r="B43149">
        <f>HYPERLINK("https://android.googlesource.com/platform/cts/+/51ba130cf8573a5d485d394486b5ac68fdbf520e", "51ba130cf8573a5d485d394486b5ac68fdbf520e")</f>
        <v>0</v>
      </c>
      <c r="C43149">
        <f>HYPERLINK("https://android.googlesource.com/platform/cts/+/c3e61ad03e7e0a7e87d757f3e0bf960559bc1a9a", "c3e61ad03e7e0a7e87d757f3e0bf960559bc1a9a")</f>
        <v>0</v>
      </c>
      <c r="D43149" t="s">
        <v>5493</v>
      </c>
      <c r="E43149" t="s">
        <v>9648</v>
      </c>
      <c r="F43149" t="s">
        <v>13923</v>
      </c>
      <c r="G43149" t="s">
        <v>17959</v>
      </c>
      <c r="H43149" t="s">
        <v>18829</v>
      </c>
    </row>
    <row r="43150" spans="1:8">
      <c r="H43150" t="s">
        <v>18863</v>
      </c>
    </row>
    <row r="43151" spans="1:8">
      <c r="H43151" t="s">
        <v>26292</v>
      </c>
    </row>
    <row r="43152" spans="1:8">
      <c r="H43152" t="s">
        <v>36629</v>
      </c>
    </row>
    <row r="43153" spans="1:8">
      <c r="H43153" t="s">
        <v>36630</v>
      </c>
    </row>
    <row r="43154" spans="1:8">
      <c r="H43154" t="s">
        <v>36631</v>
      </c>
    </row>
    <row r="43155" spans="1:8">
      <c r="H43155" t="s">
        <v>36632</v>
      </c>
    </row>
    <row r="43156" spans="1:8">
      <c r="H43156" t="s">
        <v>36633</v>
      </c>
    </row>
    <row r="43157" spans="1:8">
      <c r="H43157" t="s">
        <v>36625</v>
      </c>
    </row>
    <row r="43158" spans="1:8">
      <c r="H43158" t="s">
        <v>36634</v>
      </c>
    </row>
    <row r="43159" spans="1:8">
      <c r="H43159" t="s">
        <v>20083</v>
      </c>
    </row>
    <row r="43160" spans="1:8">
      <c r="H43160" t="s">
        <v>36626</v>
      </c>
    </row>
    <row r="43161" spans="1:8">
      <c r="A43161" t="s">
        <v>3960</v>
      </c>
      <c r="B43161">
        <f>HYPERLINK("https://android.googlesource.com/platform/cts/+/fe05e687e1631884e02681b1f21ae9cf67f386e5", "fe05e687e1631884e02681b1f21ae9cf67f386e5")</f>
        <v>0</v>
      </c>
      <c r="C43161">
        <f>HYPERLINK("https://android.googlesource.com/platform/cts/+/a8801b0d706b9476c802bb8888c5c20600bfe1f7", "a8801b0d706b9476c802bb8888c5c20600bfe1f7")</f>
        <v>0</v>
      </c>
      <c r="D43161" t="s">
        <v>5575</v>
      </c>
      <c r="E43161" t="s">
        <v>9649</v>
      </c>
      <c r="F43161" t="s">
        <v>14526</v>
      </c>
      <c r="G43161" t="s">
        <v>18453</v>
      </c>
      <c r="H43161" t="s">
        <v>18829</v>
      </c>
    </row>
    <row r="43162" spans="1:8">
      <c r="H43162" t="s">
        <v>18863</v>
      </c>
    </row>
    <row r="43163" spans="1:8">
      <c r="H43163" t="s">
        <v>36440</v>
      </c>
    </row>
    <row r="43164" spans="1:8">
      <c r="F43164" t="s">
        <v>14556</v>
      </c>
      <c r="G43164" t="s">
        <v>18478</v>
      </c>
      <c r="H43164" t="s">
        <v>18829</v>
      </c>
    </row>
    <row r="43165" spans="1:8">
      <c r="H43165" t="s">
        <v>36635</v>
      </c>
    </row>
    <row r="43166" spans="1:8">
      <c r="A43166" t="s">
        <v>3961</v>
      </c>
      <c r="B43166">
        <f>HYPERLINK("https://android.googlesource.com/platform/cts/+/f7e4b12a7fcff540895a4dd2978c4137e9915590", "f7e4b12a7fcff540895a4dd2978c4137e9915590")</f>
        <v>0</v>
      </c>
      <c r="C43166">
        <f>HYPERLINK("https://android.googlesource.com/platform/cts/+/a8801b0d706b9476c802bb8888c5c20600bfe1f7", "a8801b0d706b9476c802bb8888c5c20600bfe1f7")</f>
        <v>0</v>
      </c>
      <c r="D43166" t="s">
        <v>5465</v>
      </c>
      <c r="E43166" t="s">
        <v>9650</v>
      </c>
      <c r="F43166" t="s">
        <v>14557</v>
      </c>
      <c r="G43166" t="s">
        <v>18479</v>
      </c>
      <c r="H43166" t="s">
        <v>18896</v>
      </c>
    </row>
    <row r="43167" spans="1:8">
      <c r="A43167" t="s">
        <v>3962</v>
      </c>
      <c r="B43167">
        <f>HYPERLINK("https://android.googlesource.com/platform/cts/+/8dc77bbe5f999ab7f15bea7fc8b4cd67319ca96f", "8dc77bbe5f999ab7f15bea7fc8b4cd67319ca96f")</f>
        <v>0</v>
      </c>
      <c r="C43167">
        <f>HYPERLINK("https://android.googlesource.com/platform/cts/+/365ce401c9ba381ac95218cb0bf4dea04e12f5e2", "365ce401c9ba381ac95218cb0bf4dea04e12f5e2")</f>
        <v>0</v>
      </c>
      <c r="D43167" t="s">
        <v>4947</v>
      </c>
      <c r="E43167" t="s">
        <v>9651</v>
      </c>
      <c r="F43167" t="s">
        <v>13990</v>
      </c>
      <c r="G43167" t="s">
        <v>18009</v>
      </c>
      <c r="H43167" t="s">
        <v>36636</v>
      </c>
    </row>
    <row r="43168" spans="1:8">
      <c r="A43168" t="s">
        <v>3963</v>
      </c>
      <c r="B43168">
        <f>HYPERLINK("https://android.googlesource.com/platform/cts/+/ec14a9f47aa7932aa200145c801c2f5f5f96fe2a", "ec14a9f47aa7932aa200145c801c2f5f5f96fe2a")</f>
        <v>0</v>
      </c>
      <c r="C43168">
        <f>HYPERLINK("https://android.googlesource.com/platform/cts/+/62dd217e8e17bd661bee924d20ed22441ebd6ff3", "62dd217e8e17bd661bee924d20ed22441ebd6ff3")</f>
        <v>0</v>
      </c>
      <c r="D43168" t="s">
        <v>5647</v>
      </c>
      <c r="E43168" t="s">
        <v>9652</v>
      </c>
      <c r="F43168" t="s">
        <v>13911</v>
      </c>
      <c r="G43168" t="s">
        <v>17948</v>
      </c>
      <c r="H43168" t="s">
        <v>18863</v>
      </c>
    </row>
    <row r="43169" spans="1:8">
      <c r="A43169" t="s">
        <v>3966</v>
      </c>
      <c r="B43169">
        <f>HYPERLINK("https://android.googlesource.com/platform/cts/+/601ff87ae9d3b76a6130c2dafe87ce8f4e145b72", "601ff87ae9d3b76a6130c2dafe87ce8f4e145b72")</f>
        <v>0</v>
      </c>
      <c r="C43169">
        <f>HYPERLINK("https://android.googlesource.com/platform/cts/+/46d513312813702077d64dac05b0222c22d2c475", "46d513312813702077d64dac05b0222c22d2c475")</f>
        <v>0</v>
      </c>
      <c r="D43169" t="s">
        <v>5438</v>
      </c>
      <c r="E43169" t="s">
        <v>9655</v>
      </c>
      <c r="F43169" t="s">
        <v>14486</v>
      </c>
      <c r="G43169" t="s">
        <v>18417</v>
      </c>
      <c r="H43169" t="s">
        <v>36637</v>
      </c>
    </row>
    <row r="43170" spans="1:8">
      <c r="A43170" t="s">
        <v>3967</v>
      </c>
      <c r="B43170">
        <f>HYPERLINK("https://android.googlesource.com/platform/cts/+/7cc41fccbf3b949dc86fe9d24c799d13d690a24b", "7cc41fccbf3b949dc86fe9d24c799d13d690a24b")</f>
        <v>0</v>
      </c>
      <c r="C43170">
        <f>HYPERLINK("https://android.googlesource.com/platform/cts/+/cf5f2a4dc0361cd2c513104a473c3d336810a2b5", "cf5f2a4dc0361cd2c513104a473c3d336810a2b5")</f>
        <v>0</v>
      </c>
      <c r="D43170" t="s">
        <v>5454</v>
      </c>
      <c r="E43170" t="s">
        <v>9656</v>
      </c>
      <c r="F43170" t="s">
        <v>14438</v>
      </c>
      <c r="G43170" t="s">
        <v>18374</v>
      </c>
      <c r="H43170" t="s">
        <v>36638</v>
      </c>
    </row>
    <row r="43171" spans="1:8">
      <c r="H43171" t="s">
        <v>36639</v>
      </c>
    </row>
    <row r="43172" spans="1:8">
      <c r="H43172" t="s">
        <v>36640</v>
      </c>
    </row>
    <row r="43173" spans="1:8">
      <c r="H43173" t="s">
        <v>36641</v>
      </c>
    </row>
    <row r="43174" spans="1:8">
      <c r="A43174" t="s">
        <v>3968</v>
      </c>
      <c r="B43174">
        <f>HYPERLINK("https://android.googlesource.com/platform/cts/+/3dc0c7f09388d42590e8191c8ad1c4df831c9360", "3dc0c7f09388d42590e8191c8ad1c4df831c9360")</f>
        <v>0</v>
      </c>
      <c r="C43174">
        <f>HYPERLINK("https://android.googlesource.com/platform/cts/+/9137e98f795f9104efb261afc2cb8b5c4cd5923f", "9137e98f795f9104efb261afc2cb8b5c4cd5923f")</f>
        <v>0</v>
      </c>
      <c r="D43174" t="s">
        <v>5479</v>
      </c>
      <c r="E43174" t="s">
        <v>9657</v>
      </c>
      <c r="F43174" t="s">
        <v>14326</v>
      </c>
      <c r="G43174" t="s">
        <v>17580</v>
      </c>
      <c r="H43174" t="s">
        <v>35370</v>
      </c>
    </row>
    <row r="43175" spans="1:8">
      <c r="H43175" t="s">
        <v>35371</v>
      </c>
    </row>
    <row r="43176" spans="1:8">
      <c r="A43176" t="s">
        <v>3969</v>
      </c>
      <c r="B43176">
        <f>HYPERLINK("https://android.googlesource.com/platform/cts/+/512626d453eb2b7f1b2469ff2586a53be25738bd", "512626d453eb2b7f1b2469ff2586a53be25738bd")</f>
        <v>0</v>
      </c>
      <c r="C43176">
        <f>HYPERLINK("https://android.googlesource.com/platform/cts/+/64a74e69c7b246e522d98d489e5dd02a6e228a91", "64a74e69c7b246e522d98d489e5dd02a6e228a91")</f>
        <v>0</v>
      </c>
      <c r="D43176" t="s">
        <v>5409</v>
      </c>
      <c r="E43176" t="s">
        <v>9658</v>
      </c>
      <c r="F43176" t="s">
        <v>14558</v>
      </c>
      <c r="G43176" t="s">
        <v>18480</v>
      </c>
      <c r="H43176" t="s">
        <v>36642</v>
      </c>
    </row>
    <row r="43177" spans="1:8">
      <c r="A43177" t="s">
        <v>3970</v>
      </c>
      <c r="B43177">
        <f>HYPERLINK("https://android.googlesource.com/platform/cts/+/3050ab708df7c0c1b7e01bd6ca75733264b6416c", "3050ab708df7c0c1b7e01bd6ca75733264b6416c")</f>
        <v>0</v>
      </c>
      <c r="C43177">
        <f>HYPERLINK("https://android.googlesource.com/platform/cts/+/a8801b0d706b9476c802bb8888c5c20600bfe1f7", "a8801b0d706b9476c802bb8888c5c20600bfe1f7")</f>
        <v>0</v>
      </c>
      <c r="D43177" t="s">
        <v>5465</v>
      </c>
      <c r="E43177" t="s">
        <v>9659</v>
      </c>
      <c r="F43177" t="s">
        <v>14152</v>
      </c>
      <c r="G43177" t="s">
        <v>18052</v>
      </c>
      <c r="H43177" t="s">
        <v>33101</v>
      </c>
    </row>
    <row r="43178" spans="1:8">
      <c r="A43178" t="s">
        <v>3971</v>
      </c>
      <c r="B43178">
        <f>HYPERLINK("https://android.googlesource.com/platform/cts/+/79611f2de1db20d593dde7cdb49ca03f27fe18cc", "79611f2de1db20d593dde7cdb49ca03f27fe18cc")</f>
        <v>0</v>
      </c>
      <c r="C43178">
        <f>HYPERLINK("https://android.googlesource.com/platform/cts/+/47af8fc5358999ae557853ec066dcaf8495ec25a", "47af8fc5358999ae557853ec066dcaf8495ec25a")</f>
        <v>0</v>
      </c>
      <c r="D43178" t="s">
        <v>5197</v>
      </c>
      <c r="E43178" t="s">
        <v>9660</v>
      </c>
      <c r="F43178" t="s">
        <v>14386</v>
      </c>
      <c r="G43178" t="s">
        <v>18330</v>
      </c>
      <c r="H43178" t="s">
        <v>36643</v>
      </c>
    </row>
    <row r="43179" spans="1:8">
      <c r="H43179" t="s">
        <v>36643</v>
      </c>
    </row>
    <row r="43180" spans="1:8">
      <c r="A43180" t="s">
        <v>3972</v>
      </c>
      <c r="B43180">
        <f>HYPERLINK("https://android.googlesource.com/platform/cts/+/65697def09a14e381daa541a9660cd13032893d8", "65697def09a14e381daa541a9660cd13032893d8")</f>
        <v>0</v>
      </c>
      <c r="C43180">
        <f>HYPERLINK("https://android.googlesource.com/platform/cts/+/3c2c5e47381ad23db063ab7b7b765f554e90d3ff", "3c2c5e47381ad23db063ab7b7b765f554e90d3ff")</f>
        <v>0</v>
      </c>
      <c r="D43180" t="s">
        <v>5648</v>
      </c>
      <c r="E43180" t="s">
        <v>9661</v>
      </c>
      <c r="F43180" t="s">
        <v>14559</v>
      </c>
      <c r="G43180" t="s">
        <v>18481</v>
      </c>
      <c r="H43180" t="s">
        <v>36644</v>
      </c>
    </row>
    <row r="43181" spans="1:8">
      <c r="A43181" t="s">
        <v>3973</v>
      </c>
      <c r="B43181">
        <f>HYPERLINK("https://android.googlesource.com/platform/cts/+/e25ab39765a4aaad8199227c7356d6e0e94aa976", "e25ab39765a4aaad8199227c7356d6e0e94aa976")</f>
        <v>0</v>
      </c>
      <c r="C43181">
        <f>HYPERLINK("https://android.googlesource.com/platform/cts/+/7572eb0aa5ff5c36015189914bf79db3c6ec93af", "7572eb0aa5ff5c36015189914bf79db3c6ec93af")</f>
        <v>0</v>
      </c>
      <c r="D43181" t="s">
        <v>5649</v>
      </c>
      <c r="E43181" t="s">
        <v>9662</v>
      </c>
      <c r="F43181" t="s">
        <v>12629</v>
      </c>
      <c r="G43181" t="s">
        <v>16838</v>
      </c>
      <c r="H43181" t="s">
        <v>36645</v>
      </c>
    </row>
    <row r="43182" spans="1:8">
      <c r="A43182" t="s">
        <v>3974</v>
      </c>
      <c r="B43182">
        <f>HYPERLINK("https://android.googlesource.com/platform/cts/+/0a0678cfdb0374f1dffbe87e032636f4afaf00b6", "0a0678cfdb0374f1dffbe87e032636f4afaf00b6")</f>
        <v>0</v>
      </c>
      <c r="C43182">
        <f>HYPERLINK("https://android.googlesource.com/platform/cts/+/f07d11fad7e3d862a45019cbbca9a87e5e29f63f", "f07d11fad7e3d862a45019cbbca9a87e5e29f63f")</f>
        <v>0</v>
      </c>
      <c r="D43182" t="s">
        <v>5584</v>
      </c>
      <c r="E43182" t="s">
        <v>9663</v>
      </c>
      <c r="F43182" t="s">
        <v>14272</v>
      </c>
      <c r="G43182" t="s">
        <v>18239</v>
      </c>
      <c r="H43182" t="s">
        <v>36646</v>
      </c>
    </row>
    <row r="43183" spans="1:8">
      <c r="H43183" t="s">
        <v>36647</v>
      </c>
    </row>
    <row r="43184" spans="1:8">
      <c r="H43184" t="s">
        <v>36648</v>
      </c>
    </row>
    <row r="43185" spans="1:8">
      <c r="A43185" t="s">
        <v>3975</v>
      </c>
      <c r="B43185">
        <f>HYPERLINK("https://android.googlesource.com/platform/cts/+/3c0172e93399bf203ce3d37653b5dd5d76c773a7", "3c0172e93399bf203ce3d37653b5dd5d76c773a7")</f>
        <v>0</v>
      </c>
      <c r="C43185">
        <f>HYPERLINK("https://android.googlesource.com/platform/cts/+/f07d11fad7e3d862a45019cbbca9a87e5e29f63f", "f07d11fad7e3d862a45019cbbca9a87e5e29f63f")</f>
        <v>0</v>
      </c>
      <c r="D43185" t="s">
        <v>5344</v>
      </c>
      <c r="E43185" t="s">
        <v>9664</v>
      </c>
      <c r="F43185" t="s">
        <v>14476</v>
      </c>
      <c r="G43185" t="s">
        <v>18408</v>
      </c>
      <c r="H43185" t="s">
        <v>36649</v>
      </c>
    </row>
    <row r="43186" spans="1:8">
      <c r="A43186" t="s">
        <v>3976</v>
      </c>
      <c r="B43186">
        <f>HYPERLINK("https://android.googlesource.com/platform/cts/+/d8c020ac7eccb4274e94f17afb37e440e713234e", "d8c020ac7eccb4274e94f17afb37e440e713234e")</f>
        <v>0</v>
      </c>
      <c r="C43186">
        <f>HYPERLINK("https://android.googlesource.com/platform/cts/+/2527569bc27c71e0030433da6b714d97dca85460", "2527569bc27c71e0030433da6b714d97dca85460")</f>
        <v>0</v>
      </c>
      <c r="D43186" t="s">
        <v>5409</v>
      </c>
      <c r="E43186" t="s">
        <v>9665</v>
      </c>
      <c r="F43186" t="s">
        <v>14288</v>
      </c>
      <c r="G43186" t="s">
        <v>16823</v>
      </c>
      <c r="H43186" t="s">
        <v>36650</v>
      </c>
    </row>
    <row r="43187" spans="1:8">
      <c r="A43187" t="s">
        <v>3977</v>
      </c>
      <c r="B43187">
        <f>HYPERLINK("https://android.googlesource.com/platform/cts/+/3307dc96d60b1ccec4e7a66866e9a71fe3aced05", "3307dc96d60b1ccec4e7a66866e9a71fe3aced05")</f>
        <v>0</v>
      </c>
      <c r="C43187">
        <f>HYPERLINK("https://android.googlesource.com/platform/cts/+/cc4d2aeee47db733a28b20838518e21da895c38a", "cc4d2aeee47db733a28b20838518e21da895c38a")</f>
        <v>0</v>
      </c>
      <c r="D43187" t="s">
        <v>5467</v>
      </c>
      <c r="E43187" t="s">
        <v>9666</v>
      </c>
      <c r="F43187" t="s">
        <v>14177</v>
      </c>
      <c r="G43187" t="s">
        <v>18158</v>
      </c>
      <c r="H43187" t="s">
        <v>36651</v>
      </c>
    </row>
    <row r="43188" spans="1:8">
      <c r="A43188" t="s">
        <v>3978</v>
      </c>
      <c r="B43188">
        <f>HYPERLINK("https://android.googlesource.com/platform/cts/+/eaed0cdeee06f358e16ef7365ccc9616da08dc19", "eaed0cdeee06f358e16ef7365ccc9616da08dc19")</f>
        <v>0</v>
      </c>
      <c r="C43188">
        <f>HYPERLINK("https://android.googlesource.com/platform/cts/+/64a74e69c7b246e522d98d489e5dd02a6e228a91", "64a74e69c7b246e522d98d489e5dd02a6e228a91")</f>
        <v>0</v>
      </c>
      <c r="D43188" t="s">
        <v>5451</v>
      </c>
      <c r="E43188" t="s">
        <v>9667</v>
      </c>
      <c r="F43188" t="s">
        <v>14560</v>
      </c>
      <c r="G43188" t="s">
        <v>18482</v>
      </c>
      <c r="H43188" t="s">
        <v>36652</v>
      </c>
    </row>
    <row r="43189" spans="1:8">
      <c r="H43189" t="s">
        <v>36653</v>
      </c>
    </row>
    <row r="43190" spans="1:8">
      <c r="H43190" t="s">
        <v>36654</v>
      </c>
    </row>
    <row r="43191" spans="1:8">
      <c r="H43191" t="s">
        <v>36655</v>
      </c>
    </row>
    <row r="43192" spans="1:8">
      <c r="H43192" t="s">
        <v>36656</v>
      </c>
    </row>
    <row r="43193" spans="1:8">
      <c r="F43193" t="s">
        <v>14123</v>
      </c>
      <c r="G43193" t="s">
        <v>18113</v>
      </c>
      <c r="H43193" t="s">
        <v>36657</v>
      </c>
    </row>
    <row r="43194" spans="1:8">
      <c r="A43194" t="s">
        <v>3979</v>
      </c>
      <c r="B43194">
        <f>HYPERLINK("https://android.googlesource.com/platform/cts/+/cca9b202a3dd16fef484823d72a014c773e6342f", "cca9b202a3dd16fef484823d72a014c773e6342f")</f>
        <v>0</v>
      </c>
      <c r="C43194">
        <f>HYPERLINK("https://android.googlesource.com/platform/cts/+/60619110148c53629bbe5fefe44cd018ded529d7", "60619110148c53629bbe5fefe44cd018ded529d7")</f>
        <v>0</v>
      </c>
      <c r="D43194" t="s">
        <v>5642</v>
      </c>
      <c r="E43194" t="s">
        <v>9668</v>
      </c>
      <c r="F43194" t="s">
        <v>14546</v>
      </c>
      <c r="G43194" t="s">
        <v>18469</v>
      </c>
      <c r="H43194" t="s">
        <v>36658</v>
      </c>
    </row>
    <row r="43195" spans="1:8">
      <c r="H43195" t="s">
        <v>36659</v>
      </c>
    </row>
    <row r="43196" spans="1:8">
      <c r="H43196" t="s">
        <v>36660</v>
      </c>
    </row>
    <row r="43197" spans="1:8">
      <c r="H43197" t="s">
        <v>36661</v>
      </c>
    </row>
    <row r="43198" spans="1:8">
      <c r="H43198" t="s">
        <v>36662</v>
      </c>
    </row>
    <row r="43199" spans="1:8">
      <c r="H43199" t="s">
        <v>36663</v>
      </c>
    </row>
    <row r="43200" spans="1:8">
      <c r="H43200" t="s">
        <v>36664</v>
      </c>
    </row>
    <row r="43201" spans="1:8">
      <c r="H43201" t="s">
        <v>36665</v>
      </c>
    </row>
    <row r="43202" spans="1:8">
      <c r="H43202" t="s">
        <v>36666</v>
      </c>
    </row>
    <row r="43203" spans="1:8">
      <c r="F43203" t="s">
        <v>14547</v>
      </c>
      <c r="G43203" t="s">
        <v>18470</v>
      </c>
      <c r="H43203" t="s">
        <v>36667</v>
      </c>
    </row>
    <row r="43204" spans="1:8">
      <c r="H43204" t="s">
        <v>36668</v>
      </c>
    </row>
    <row r="43205" spans="1:8">
      <c r="H43205" t="s">
        <v>36669</v>
      </c>
    </row>
    <row r="43206" spans="1:8">
      <c r="H43206" t="s">
        <v>36670</v>
      </c>
    </row>
    <row r="43207" spans="1:8">
      <c r="H43207" t="s">
        <v>36671</v>
      </c>
    </row>
    <row r="43208" spans="1:8">
      <c r="H43208" t="s">
        <v>36672</v>
      </c>
    </row>
    <row r="43209" spans="1:8">
      <c r="H43209" t="s">
        <v>36673</v>
      </c>
    </row>
    <row r="43210" spans="1:8">
      <c r="H43210" t="s">
        <v>36674</v>
      </c>
    </row>
    <row r="43211" spans="1:8">
      <c r="H43211" t="s">
        <v>36675</v>
      </c>
    </row>
    <row r="43212" spans="1:8">
      <c r="A43212" t="s">
        <v>3981</v>
      </c>
      <c r="B43212">
        <f>HYPERLINK("https://android.googlesource.com/platform/cts/+/999e7f18512837d6b9442b692650f8302d1808c1", "999e7f18512837d6b9442b692650f8302d1808c1")</f>
        <v>0</v>
      </c>
      <c r="C43212">
        <f>HYPERLINK("https://android.googlesource.com/platform/cts/+/c0384579767bf4c9c004905b2f60943f45a69192", "c0384579767bf4c9c004905b2f60943f45a69192")</f>
        <v>0</v>
      </c>
      <c r="D43212" t="s">
        <v>5409</v>
      </c>
      <c r="E43212" t="s">
        <v>9670</v>
      </c>
      <c r="F43212" t="s">
        <v>14288</v>
      </c>
      <c r="G43212" t="s">
        <v>16823</v>
      </c>
      <c r="H43212" t="s">
        <v>36676</v>
      </c>
    </row>
    <row r="43213" spans="1:8">
      <c r="F43213" t="s">
        <v>13229</v>
      </c>
      <c r="G43213" t="s">
        <v>17370</v>
      </c>
      <c r="H43213" t="s">
        <v>36677</v>
      </c>
    </row>
    <row r="43214" spans="1:8">
      <c r="A43214" t="s">
        <v>3982</v>
      </c>
      <c r="B43214">
        <f>HYPERLINK("https://android.googlesource.com/platform/cts/+/c72e392a578ee108c35d810e58ba0d4a768fc5e4", "c72e392a578ee108c35d810e58ba0d4a768fc5e4")</f>
        <v>0</v>
      </c>
      <c r="C43214">
        <f>HYPERLINK("https://android.googlesource.com/platform/cts/+/b617825c0d3ae2dc4ddbffac91a8861fa6beaae1", "b617825c0d3ae2dc4ddbffac91a8861fa6beaae1")</f>
        <v>0</v>
      </c>
      <c r="D43214" t="s">
        <v>5409</v>
      </c>
      <c r="E43214" t="s">
        <v>9671</v>
      </c>
      <c r="F43214" t="s">
        <v>13229</v>
      </c>
      <c r="G43214" t="s">
        <v>17370</v>
      </c>
      <c r="H43214" t="s">
        <v>36678</v>
      </c>
    </row>
    <row r="43215" spans="1:8">
      <c r="A43215" t="s">
        <v>3983</v>
      </c>
      <c r="B43215">
        <f>HYPERLINK("https://android.googlesource.com/platform/cts/+/1c17d7aceb6de02d31f0e20ef1d479e524ebecb3", "1c17d7aceb6de02d31f0e20ef1d479e524ebecb3")</f>
        <v>0</v>
      </c>
      <c r="C43215">
        <f>HYPERLINK("https://android.googlesource.com/platform/cts/+/6836f03faf3287cbfb88dcb6cf6a77badb7cbdea", "6836f03faf3287cbfb88dcb6cf6a77badb7cbdea")</f>
        <v>0</v>
      </c>
      <c r="D43215" t="s">
        <v>5438</v>
      </c>
      <c r="E43215" t="s">
        <v>9672</v>
      </c>
      <c r="F43215" t="s">
        <v>14548</v>
      </c>
      <c r="G43215" t="s">
        <v>18471</v>
      </c>
      <c r="H43215" t="s">
        <v>32363</v>
      </c>
    </row>
    <row r="43216" spans="1:8">
      <c r="H43216" t="s">
        <v>36679</v>
      </c>
    </row>
    <row r="43217" spans="1:8">
      <c r="H43217" t="s">
        <v>33027</v>
      </c>
    </row>
    <row r="43218" spans="1:8">
      <c r="H43218" t="s">
        <v>36680</v>
      </c>
    </row>
    <row r="43219" spans="1:8">
      <c r="H43219" t="s">
        <v>36681</v>
      </c>
    </row>
    <row r="43220" spans="1:8">
      <c r="H43220" t="s">
        <v>36682</v>
      </c>
    </row>
    <row r="43221" spans="1:8">
      <c r="H43221" t="s">
        <v>36683</v>
      </c>
    </row>
    <row r="43222" spans="1:8">
      <c r="H43222" t="s">
        <v>36684</v>
      </c>
    </row>
    <row r="43223" spans="1:8">
      <c r="H43223" t="s">
        <v>34939</v>
      </c>
    </row>
    <row r="43224" spans="1:8">
      <c r="H43224" t="s">
        <v>36685</v>
      </c>
    </row>
    <row r="43225" spans="1:8">
      <c r="H43225" t="s">
        <v>36686</v>
      </c>
    </row>
    <row r="43226" spans="1:8">
      <c r="H43226" t="s">
        <v>19001</v>
      </c>
    </row>
    <row r="43227" spans="1:8">
      <c r="A43227" t="s">
        <v>3985</v>
      </c>
      <c r="B43227">
        <f>HYPERLINK("https://android.googlesource.com/platform/cts/+/73ef3fb7a0c675826b81ee2547cd860b1796b7e0", "73ef3fb7a0c675826b81ee2547cd860b1796b7e0")</f>
        <v>0</v>
      </c>
      <c r="C43227">
        <f>HYPERLINK("https://android.googlesource.com/platform/cts/+/bb207989733952563c83deec304be828b5b37e25", "bb207989733952563c83deec304be828b5b37e25")</f>
        <v>0</v>
      </c>
      <c r="D43227" t="s">
        <v>5409</v>
      </c>
      <c r="E43227" t="s">
        <v>9674</v>
      </c>
      <c r="F43227" t="s">
        <v>14288</v>
      </c>
      <c r="G43227" t="s">
        <v>16823</v>
      </c>
      <c r="H43227" t="s">
        <v>36687</v>
      </c>
    </row>
    <row r="43228" spans="1:8">
      <c r="H43228" t="s">
        <v>36688</v>
      </c>
    </row>
    <row r="43229" spans="1:8">
      <c r="A43229" t="s">
        <v>3986</v>
      </c>
      <c r="B43229">
        <f>HYPERLINK("https://android.googlesource.com/platform/cts/+/d44094511ef6abf261841c7380bafb610b01a5af", "d44094511ef6abf261841c7380bafb610b01a5af")</f>
        <v>0</v>
      </c>
      <c r="C43229">
        <f>HYPERLINK("https://android.googlesource.com/platform/cts/+/88e3aa3f95450120fc231f7ab3639a23620a2e49", "88e3aa3f95450120fc231f7ab3639a23620a2e49")</f>
        <v>0</v>
      </c>
      <c r="D43229" t="s">
        <v>5134</v>
      </c>
      <c r="E43229" t="s">
        <v>9675</v>
      </c>
      <c r="F43229" t="s">
        <v>12428</v>
      </c>
      <c r="G43229" t="s">
        <v>16619</v>
      </c>
      <c r="H43229" t="s">
        <v>36689</v>
      </c>
    </row>
    <row r="43230" spans="1:8">
      <c r="A43230" t="s">
        <v>3987</v>
      </c>
      <c r="B43230">
        <f>HYPERLINK("https://android.googlesource.com/platform/cts/+/0b61e8e11d8ce7f23ce194801abc84f0109106da", "0b61e8e11d8ce7f23ce194801abc84f0109106da")</f>
        <v>0</v>
      </c>
      <c r="C43230">
        <f>HYPERLINK("https://android.googlesource.com/platform/cts/+/bb207989733952563c83deec304be828b5b37e25", "bb207989733952563c83deec304be828b5b37e25")</f>
        <v>0</v>
      </c>
      <c r="D43230" t="s">
        <v>5189</v>
      </c>
      <c r="E43230" t="s">
        <v>9676</v>
      </c>
      <c r="F43230" t="s">
        <v>14561</v>
      </c>
      <c r="G43230" t="s">
        <v>18483</v>
      </c>
      <c r="H43230" t="s">
        <v>18829</v>
      </c>
    </row>
    <row r="43231" spans="1:8">
      <c r="H43231" t="s">
        <v>36690</v>
      </c>
    </row>
    <row r="43232" spans="1:8">
      <c r="H43232" t="s">
        <v>36691</v>
      </c>
    </row>
    <row r="43233" spans="1:8">
      <c r="H43233" t="s">
        <v>36692</v>
      </c>
    </row>
    <row r="43234" spans="1:8">
      <c r="H43234" t="s">
        <v>36693</v>
      </c>
    </row>
    <row r="43235" spans="1:8">
      <c r="H43235" t="s">
        <v>36694</v>
      </c>
    </row>
    <row r="43236" spans="1:8">
      <c r="H43236" t="s">
        <v>36695</v>
      </c>
    </row>
    <row r="43237" spans="1:8">
      <c r="F43237" t="s">
        <v>14122</v>
      </c>
      <c r="G43237" t="s">
        <v>18112</v>
      </c>
      <c r="H43237" t="s">
        <v>36696</v>
      </c>
    </row>
    <row r="43238" spans="1:8">
      <c r="A43238" t="s">
        <v>3988</v>
      </c>
      <c r="B43238">
        <f>HYPERLINK("https://android.googlesource.com/platform/cts/+/d8ea19ef288b216d10b2e9ecd4b5625a19965d27", "d8ea19ef288b216d10b2e9ecd4b5625a19965d27")</f>
        <v>0</v>
      </c>
      <c r="C43238">
        <f>HYPERLINK("https://android.googlesource.com/platform/cts/+/b74a2c82db4f3a30a8fc2e66ff743cbfbbe59ef2", "b74a2c82db4f3a30a8fc2e66ff743cbfbbe59ef2")</f>
        <v>0</v>
      </c>
      <c r="D43238" t="s">
        <v>5389</v>
      </c>
      <c r="E43238" t="s">
        <v>9677</v>
      </c>
      <c r="F43238" t="s">
        <v>14562</v>
      </c>
      <c r="G43238" t="s">
        <v>18484</v>
      </c>
      <c r="H43238" t="s">
        <v>36697</v>
      </c>
    </row>
    <row r="43239" spans="1:8">
      <c r="H43239" t="s">
        <v>36698</v>
      </c>
    </row>
    <row r="43240" spans="1:8">
      <c r="A43240" t="s">
        <v>3989</v>
      </c>
      <c r="B43240">
        <f>HYPERLINK("https://android.googlesource.com/platform/cts/+/8f869bdcbfbb654deca3922e59ee692c66746ad1", "8f869bdcbfbb654deca3922e59ee692c66746ad1")</f>
        <v>0</v>
      </c>
      <c r="C43240">
        <f>HYPERLINK("https://android.googlesource.com/platform/cts/+/8d9d2d19e0b77db9dfeb9d3dc0453be602fac546", "8d9d2d19e0b77db9dfeb9d3dc0453be602fac546")</f>
        <v>0</v>
      </c>
      <c r="D43240" t="s">
        <v>5277</v>
      </c>
      <c r="E43240" t="s">
        <v>9678</v>
      </c>
      <c r="F43240" t="s">
        <v>13912</v>
      </c>
      <c r="G43240" t="s">
        <v>17949</v>
      </c>
      <c r="H43240" t="s">
        <v>36699</v>
      </c>
    </row>
    <row r="43241" spans="1:8">
      <c r="A43241" t="s">
        <v>3990</v>
      </c>
      <c r="B43241">
        <f>HYPERLINK("https://android.googlesource.com/platform/cts/+/7c80c698f1db290fda5f79fb3b59fdbb5695397b", "7c80c698f1db290fda5f79fb3b59fdbb5695397b")</f>
        <v>0</v>
      </c>
      <c r="C43241">
        <f>HYPERLINK("https://android.googlesource.com/platform/cts/+/e8378ac231d78069d3642f1a62f8a1eb01b8afbe", "e8378ac231d78069d3642f1a62f8a1eb01b8afbe")</f>
        <v>0</v>
      </c>
      <c r="D43241" t="s">
        <v>5520</v>
      </c>
      <c r="E43241" t="s">
        <v>9679</v>
      </c>
      <c r="F43241" t="s">
        <v>14563</v>
      </c>
      <c r="G43241" t="s">
        <v>18409</v>
      </c>
      <c r="H43241" t="s">
        <v>36700</v>
      </c>
    </row>
    <row r="43242" spans="1:8">
      <c r="H43242" t="s">
        <v>36701</v>
      </c>
    </row>
    <row r="43243" spans="1:8">
      <c r="H43243" t="s">
        <v>36702</v>
      </c>
    </row>
    <row r="43244" spans="1:8">
      <c r="A43244" t="s">
        <v>3992</v>
      </c>
      <c r="B43244">
        <f>HYPERLINK("https://android.googlesource.com/platform/cts/+/f427ddbad01aee1673ed6544fe00d925c3a0a23b", "f427ddbad01aee1673ed6544fe00d925c3a0a23b")</f>
        <v>0</v>
      </c>
      <c r="C43244">
        <f>HYPERLINK("https://android.googlesource.com/platform/cts/+/00b9d2c21d7dc282db6f43954a615d9281f31b75", "00b9d2c21d7dc282db6f43954a615d9281f31b75")</f>
        <v>0</v>
      </c>
      <c r="D43244" t="s">
        <v>5344</v>
      </c>
      <c r="E43244" t="s">
        <v>9681</v>
      </c>
      <c r="F43244" t="s">
        <v>14472</v>
      </c>
      <c r="G43244" t="s">
        <v>18404</v>
      </c>
      <c r="H43244" t="s">
        <v>36703</v>
      </c>
    </row>
    <row r="43245" spans="1:8">
      <c r="A43245" t="s">
        <v>3993</v>
      </c>
      <c r="B43245">
        <f>HYPERLINK("https://android.googlesource.com/platform/cts/+/3c0aed7e969db154bca39582803623e6a0937427", "3c0aed7e969db154bca39582803623e6a0937427")</f>
        <v>0</v>
      </c>
      <c r="C43245">
        <f>HYPERLINK("https://android.googlesource.com/platform/cts/+/78d29f78bfb4ed2c1efa49a1d3d1993572a0cf5a", "78d29f78bfb4ed2c1efa49a1d3d1993572a0cf5a")</f>
        <v>0</v>
      </c>
      <c r="D43245" t="s">
        <v>5501</v>
      </c>
      <c r="E43245" t="s">
        <v>9682</v>
      </c>
      <c r="F43245" t="s">
        <v>14207</v>
      </c>
      <c r="G43245" t="s">
        <v>18183</v>
      </c>
      <c r="H43245" t="s">
        <v>36704</v>
      </c>
    </row>
    <row r="43246" spans="1:8">
      <c r="H43246" t="s">
        <v>36705</v>
      </c>
    </row>
    <row r="43247" spans="1:8">
      <c r="H43247" t="s">
        <v>36706</v>
      </c>
    </row>
    <row r="43248" spans="1:8">
      <c r="H43248" t="s">
        <v>36707</v>
      </c>
    </row>
    <row r="43249" spans="1:8">
      <c r="F43249" t="s">
        <v>14208</v>
      </c>
      <c r="G43249" t="s">
        <v>18184</v>
      </c>
      <c r="H43249" t="s">
        <v>34044</v>
      </c>
    </row>
    <row r="43250" spans="1:8">
      <c r="A43250" t="s">
        <v>3994</v>
      </c>
      <c r="B43250">
        <f>HYPERLINK("https://android.googlesource.com/platform/cts/+/3bc123cd9dbf8b6e05c6ef1e6d69b71bd982bfb6", "3bc123cd9dbf8b6e05c6ef1e6d69b71bd982bfb6")</f>
        <v>0</v>
      </c>
      <c r="C43250">
        <f>HYPERLINK("https://android.googlesource.com/platform/cts/+/5cc331ecf031cec9fb46eab8fca4bded3f459899", "5cc331ecf031cec9fb46eab8fca4bded3f459899")</f>
        <v>0</v>
      </c>
      <c r="D43250" t="s">
        <v>4981</v>
      </c>
      <c r="E43250" t="s">
        <v>9683</v>
      </c>
      <c r="F43250" t="s">
        <v>14384</v>
      </c>
      <c r="G43250" t="s">
        <v>18328</v>
      </c>
      <c r="H43250" t="s">
        <v>36708</v>
      </c>
    </row>
    <row r="43251" spans="1:8">
      <c r="H43251" t="s">
        <v>36709</v>
      </c>
    </row>
    <row r="43252" spans="1:8">
      <c r="H43252" t="s">
        <v>36710</v>
      </c>
    </row>
    <row r="43253" spans="1:8">
      <c r="F43253" t="s">
        <v>14514</v>
      </c>
      <c r="G43253" t="s">
        <v>18441</v>
      </c>
      <c r="H43253" t="s">
        <v>36711</v>
      </c>
    </row>
    <row r="43254" spans="1:8">
      <c r="A43254" t="s">
        <v>3995</v>
      </c>
      <c r="B43254">
        <f>HYPERLINK("https://android.googlesource.com/platform/cts/+/5a7ff81ae9667670ccb056540666e9a9cecaf63e", "5a7ff81ae9667670ccb056540666e9a9cecaf63e")</f>
        <v>0</v>
      </c>
      <c r="C43254">
        <f>HYPERLINK("https://android.googlesource.com/platform/cts/+/9e4fd04dbeebd9915f8c0c39c83e4c1b1b6f1f4c", "9e4fd04dbeebd9915f8c0c39c83e4c1b1b6f1f4c")</f>
        <v>0</v>
      </c>
      <c r="D43254" t="s">
        <v>5616</v>
      </c>
      <c r="E43254" t="s">
        <v>9684</v>
      </c>
      <c r="F43254" t="s">
        <v>14549</v>
      </c>
      <c r="G43254" t="s">
        <v>18472</v>
      </c>
      <c r="H43254" t="s">
        <v>36712</v>
      </c>
    </row>
    <row r="43255" spans="1:8">
      <c r="H43255" t="s">
        <v>36713</v>
      </c>
    </row>
    <row r="43256" spans="1:8">
      <c r="A43256" t="s">
        <v>3997</v>
      </c>
      <c r="B43256">
        <f>HYPERLINK("https://android.googlesource.com/platform/cts/+/1922998a79f2412d331cb3ae6395e9d8a85944d5", "1922998a79f2412d331cb3ae6395e9d8a85944d5")</f>
        <v>0</v>
      </c>
      <c r="C43256">
        <f>HYPERLINK("https://android.googlesource.com/platform/cts/+/8e66e6db44088ad90cf72f6dd3f86ab978112130", "8e66e6db44088ad90cf72f6dd3f86ab978112130")</f>
        <v>0</v>
      </c>
      <c r="D43256" t="s">
        <v>5404</v>
      </c>
      <c r="E43256" t="s">
        <v>9686</v>
      </c>
      <c r="F43256" t="s">
        <v>14564</v>
      </c>
      <c r="G43256" t="s">
        <v>18485</v>
      </c>
      <c r="H43256" t="s">
        <v>36714</v>
      </c>
    </row>
    <row r="43257" spans="1:8">
      <c r="H43257" t="s">
        <v>36715</v>
      </c>
    </row>
    <row r="43258" spans="1:8">
      <c r="H43258" t="s">
        <v>36716</v>
      </c>
    </row>
    <row r="43259" spans="1:8">
      <c r="H43259" t="s">
        <v>36717</v>
      </c>
    </row>
    <row r="43260" spans="1:8">
      <c r="H43260" t="s">
        <v>36718</v>
      </c>
    </row>
    <row r="43261" spans="1:8">
      <c r="H43261" t="s">
        <v>36719</v>
      </c>
    </row>
    <row r="43262" spans="1:8">
      <c r="H43262" t="s">
        <v>36719</v>
      </c>
    </row>
    <row r="43263" spans="1:8">
      <c r="H43263" t="s">
        <v>36719</v>
      </c>
    </row>
    <row r="43264" spans="1:8">
      <c r="A43264" t="s">
        <v>3998</v>
      </c>
      <c r="B43264">
        <f>HYPERLINK("https://android.googlesource.com/platform/cts/+/57cf825f0baa3d0e143f7fe5d5a804b0a23a1763", "57cf825f0baa3d0e143f7fe5d5a804b0a23a1763")</f>
        <v>0</v>
      </c>
      <c r="C43264">
        <f>HYPERLINK("https://android.googlesource.com/platform/cts/+/3a3f0b0def9c9fcc9c40bff93e649d06c2ff79ac", "3a3f0b0def9c9fcc9c40bff93e649d06c2ff79ac")</f>
        <v>0</v>
      </c>
      <c r="D43264" t="s">
        <v>5315</v>
      </c>
      <c r="E43264" t="s">
        <v>9687</v>
      </c>
      <c r="F43264" t="s">
        <v>13463</v>
      </c>
      <c r="G43264" t="s">
        <v>17582</v>
      </c>
      <c r="H43264" t="s">
        <v>19233</v>
      </c>
    </row>
    <row r="43265" spans="1:8">
      <c r="H43265" t="s">
        <v>19232</v>
      </c>
    </row>
    <row r="43266" spans="1:8">
      <c r="A43266" t="s">
        <v>3999</v>
      </c>
      <c r="B43266">
        <f>HYPERLINK("https://android.googlesource.com/platform/cts/+/d557b424d248d168184afa8ced9bba58925cd4c0", "d557b424d248d168184afa8ced9bba58925cd4c0")</f>
        <v>0</v>
      </c>
      <c r="C43266">
        <f>HYPERLINK("https://android.googlesource.com/platform/cts/+/b5e5a0112da5035900899a0baa6293c2aa50dff4", "b5e5a0112da5035900899a0baa6293c2aa50dff4")</f>
        <v>0</v>
      </c>
      <c r="D43266" t="s">
        <v>5134</v>
      </c>
      <c r="E43266" t="s">
        <v>9688</v>
      </c>
      <c r="F43266" t="s">
        <v>13135</v>
      </c>
      <c r="G43266" t="s">
        <v>16874</v>
      </c>
      <c r="H43266" t="s">
        <v>18829</v>
      </c>
    </row>
    <row r="43267" spans="1:8">
      <c r="A43267" t="s">
        <v>4000</v>
      </c>
      <c r="B43267">
        <f>HYPERLINK("https://android.googlesource.com/platform/cts/+/76c3da108770f272bc2e110298483e7cca29248f", "76c3da108770f272bc2e110298483e7cca29248f")</f>
        <v>0</v>
      </c>
      <c r="C43267">
        <f>HYPERLINK("https://android.googlesource.com/platform/cts/+/fc8af023273af221f96bd49b5b456f48529071bb", "fc8af023273af221f96bd49b5b456f48529071bb")</f>
        <v>0</v>
      </c>
      <c r="D43267" t="s">
        <v>5481</v>
      </c>
      <c r="E43267" t="s">
        <v>9689</v>
      </c>
      <c r="F43267" t="s">
        <v>14408</v>
      </c>
      <c r="G43267" t="s">
        <v>18346</v>
      </c>
      <c r="H43267" t="s">
        <v>35824</v>
      </c>
    </row>
    <row r="43268" spans="1:8">
      <c r="H43268" t="s">
        <v>35825</v>
      </c>
    </row>
    <row r="43269" spans="1:8">
      <c r="H43269" t="s">
        <v>35826</v>
      </c>
    </row>
    <row r="43270" spans="1:8">
      <c r="F43270" t="s">
        <v>14409</v>
      </c>
      <c r="G43270" t="s">
        <v>18347</v>
      </c>
      <c r="H43270" t="s">
        <v>35824</v>
      </c>
    </row>
    <row r="43271" spans="1:8">
      <c r="H43271" t="s">
        <v>35825</v>
      </c>
    </row>
    <row r="43272" spans="1:8">
      <c r="H43272" t="s">
        <v>35826</v>
      </c>
    </row>
    <row r="43273" spans="1:8">
      <c r="H43273" t="s">
        <v>36720</v>
      </c>
    </row>
    <row r="43274" spans="1:8">
      <c r="H43274" t="s">
        <v>35830</v>
      </c>
    </row>
    <row r="43275" spans="1:8">
      <c r="A43275" t="s">
        <v>4001</v>
      </c>
      <c r="B43275">
        <f>HYPERLINK("https://android.googlesource.com/platform/cts/+/d3eff39a6ca28394d66e917b4087c962f2c7d6a0", "d3eff39a6ca28394d66e917b4087c962f2c7d6a0")</f>
        <v>0</v>
      </c>
      <c r="C43275">
        <f>HYPERLINK("https://android.googlesource.com/platform/cts/+/03312c2012be9a8fe1f49a4148333bfb1ad43bc3", "03312c2012be9a8fe1f49a4148333bfb1ad43bc3")</f>
        <v>0</v>
      </c>
      <c r="D43275" t="s">
        <v>5520</v>
      </c>
      <c r="E43275" t="s">
        <v>9690</v>
      </c>
      <c r="F43275" t="s">
        <v>14563</v>
      </c>
      <c r="G43275" t="s">
        <v>18409</v>
      </c>
      <c r="H43275" t="s">
        <v>36721</v>
      </c>
    </row>
    <row r="43276" spans="1:8">
      <c r="A43276" t="s">
        <v>4002</v>
      </c>
      <c r="B43276">
        <f>HYPERLINK("https://android.googlesource.com/platform/cts/+/8277bbafcbea38acc4b788a941a8b0280fe48c45", "8277bbafcbea38acc4b788a941a8b0280fe48c45")</f>
        <v>0</v>
      </c>
      <c r="C43276">
        <f>HYPERLINK("https://android.googlesource.com/platform/cts/+/29172309bbf6435784e3b958a24f697f5136715a", "29172309bbf6435784e3b958a24f697f5136715a")</f>
        <v>0</v>
      </c>
      <c r="D43276" t="s">
        <v>5428</v>
      </c>
      <c r="E43276" t="s">
        <v>9691</v>
      </c>
      <c r="F43276" t="s">
        <v>14430</v>
      </c>
      <c r="G43276" t="s">
        <v>18367</v>
      </c>
      <c r="H43276" t="s">
        <v>36609</v>
      </c>
    </row>
    <row r="43277" spans="1:8">
      <c r="H43277" t="s">
        <v>36610</v>
      </c>
    </row>
    <row r="43278" spans="1:8">
      <c r="H43278" t="s">
        <v>36611</v>
      </c>
    </row>
    <row r="43279" spans="1:8">
      <c r="H43279" t="s">
        <v>36612</v>
      </c>
    </row>
    <row r="43280" spans="1:8">
      <c r="F43280" t="s">
        <v>14431</v>
      </c>
      <c r="G43280" t="s">
        <v>18368</v>
      </c>
      <c r="H43280" t="s">
        <v>36613</v>
      </c>
    </row>
    <row r="43281" spans="1:8">
      <c r="H43281" t="s">
        <v>36614</v>
      </c>
    </row>
    <row r="43282" spans="1:8">
      <c r="H43282" t="s">
        <v>36615</v>
      </c>
    </row>
    <row r="43283" spans="1:8">
      <c r="H43283" t="s">
        <v>36616</v>
      </c>
    </row>
    <row r="43284" spans="1:8">
      <c r="H43284" t="s">
        <v>36617</v>
      </c>
    </row>
    <row r="43285" spans="1:8">
      <c r="H43285" t="s">
        <v>36618</v>
      </c>
    </row>
    <row r="43286" spans="1:8">
      <c r="A43286" t="s">
        <v>4003</v>
      </c>
      <c r="B43286">
        <f>HYPERLINK("https://android.googlesource.com/platform/cts/+/90000c20030008d737f6ee65c81c8393e45194fe", "90000c20030008d737f6ee65c81c8393e45194fe")</f>
        <v>0</v>
      </c>
      <c r="C43286">
        <f>HYPERLINK("https://android.googlesource.com/platform/cts/+/e93a641857a9bb1fee90baa6cbba021807e53001", "e93a641857a9bb1fee90baa6cbba021807e53001")</f>
        <v>0</v>
      </c>
      <c r="D43286" t="s">
        <v>5409</v>
      </c>
      <c r="E43286" t="s">
        <v>9692</v>
      </c>
      <c r="F43286" t="s">
        <v>14462</v>
      </c>
      <c r="G43286" t="s">
        <v>18326</v>
      </c>
      <c r="H43286" t="s">
        <v>36722</v>
      </c>
    </row>
    <row r="43287" spans="1:8">
      <c r="H43287" t="s">
        <v>36723</v>
      </c>
    </row>
    <row r="43288" spans="1:8">
      <c r="H43288" t="s">
        <v>36724</v>
      </c>
    </row>
    <row r="43289" spans="1:8">
      <c r="H43289" t="s">
        <v>36725</v>
      </c>
    </row>
    <row r="43290" spans="1:8">
      <c r="H43290" t="s">
        <v>36726</v>
      </c>
    </row>
    <row r="43291" spans="1:8">
      <c r="H43291" t="s">
        <v>36727</v>
      </c>
    </row>
    <row r="43292" spans="1:8">
      <c r="H43292" t="s">
        <v>36728</v>
      </c>
    </row>
    <row r="43293" spans="1:8">
      <c r="H43293" t="s">
        <v>36729</v>
      </c>
    </row>
    <row r="43294" spans="1:8">
      <c r="A43294" t="s">
        <v>4004</v>
      </c>
      <c r="B43294">
        <f>HYPERLINK("https://android.googlesource.com/platform/cts/+/3e430f34b417a246fec3be79828f16d2947d5d96", "3e430f34b417a246fec3be79828f16d2947d5d96")</f>
        <v>0</v>
      </c>
      <c r="C43294">
        <f>HYPERLINK("https://android.googlesource.com/platform/cts/+/62ccea72b764ba0504c42f4c1af66ac341babee8", "62ccea72b764ba0504c42f4c1af66ac341babee8")</f>
        <v>0</v>
      </c>
      <c r="D43294" t="s">
        <v>5481</v>
      </c>
      <c r="E43294" t="s">
        <v>9693</v>
      </c>
      <c r="F43294" t="s">
        <v>14408</v>
      </c>
      <c r="G43294" t="s">
        <v>18346</v>
      </c>
      <c r="H43294" t="s">
        <v>36730</v>
      </c>
    </row>
    <row r="43295" spans="1:8">
      <c r="H43295" t="s">
        <v>36731</v>
      </c>
    </row>
    <row r="43296" spans="1:8">
      <c r="F43296" t="s">
        <v>14409</v>
      </c>
      <c r="G43296" t="s">
        <v>18347</v>
      </c>
      <c r="H43296" t="s">
        <v>36730</v>
      </c>
    </row>
    <row r="43297" spans="1:8">
      <c r="H43297" t="s">
        <v>36731</v>
      </c>
    </row>
    <row r="43298" spans="1:8">
      <c r="A43298" t="s">
        <v>4005</v>
      </c>
      <c r="B43298">
        <f>HYPERLINK("https://android.googlesource.com/platform/cts/+/d1cce47035b827bfa05746ab6d0c7cfed2812d67", "d1cce47035b827bfa05746ab6d0c7cfed2812d67")</f>
        <v>0</v>
      </c>
      <c r="C43298">
        <f>HYPERLINK("https://android.googlesource.com/platform/cts/+/b46e16b9dcb73ea672792315ca6a309fe82a591d", "b46e16b9dcb73ea672792315ca6a309fe82a591d")</f>
        <v>0</v>
      </c>
      <c r="D43298" t="s">
        <v>5650</v>
      </c>
      <c r="E43298" t="s">
        <v>9694</v>
      </c>
      <c r="F43298" t="s">
        <v>13026</v>
      </c>
      <c r="G43298" t="s">
        <v>17190</v>
      </c>
      <c r="H43298" t="s">
        <v>36732</v>
      </c>
    </row>
    <row r="43299" spans="1:8">
      <c r="A43299" t="s">
        <v>4006</v>
      </c>
      <c r="B43299">
        <f>HYPERLINK("https://android.googlesource.com/platform/cts/+/a04d6480062c773f3ec39059984e9fadfb085046", "a04d6480062c773f3ec39059984e9fadfb085046")</f>
        <v>0</v>
      </c>
      <c r="C43299">
        <f>HYPERLINK("https://android.googlesource.com/platform/cts/+/7664217338131316354a46ffe5f7591684f295f4", "7664217338131316354a46ffe5f7591684f295f4")</f>
        <v>0</v>
      </c>
      <c r="D43299" t="s">
        <v>5635</v>
      </c>
      <c r="E43299" t="s">
        <v>9695</v>
      </c>
      <c r="F43299" t="s">
        <v>14524</v>
      </c>
      <c r="G43299" t="s">
        <v>18451</v>
      </c>
      <c r="H43299" t="s">
        <v>36733</v>
      </c>
    </row>
    <row r="43300" spans="1:8">
      <c r="A43300" t="s">
        <v>4008</v>
      </c>
      <c r="B43300">
        <f>HYPERLINK("https://android.googlesource.com/platform/cts/+/3fa67914753253c5ab6f04b9e7d8392e3bebcbdd", "3fa67914753253c5ab6f04b9e7d8392e3bebcbdd")</f>
        <v>0</v>
      </c>
      <c r="C43300">
        <f>HYPERLINK("https://android.googlesource.com/platform/cts/+/377e15b74624e79e5047709d9a04c6f0185bdf61", "377e15b74624e79e5047709d9a04c6f0185bdf61")</f>
        <v>0</v>
      </c>
      <c r="D43300" t="s">
        <v>5244</v>
      </c>
      <c r="E43300" t="s">
        <v>9697</v>
      </c>
      <c r="F43300" t="s">
        <v>14565</v>
      </c>
      <c r="G43300" t="s">
        <v>18486</v>
      </c>
      <c r="H43300" t="s">
        <v>36734</v>
      </c>
    </row>
    <row r="43301" spans="1:8">
      <c r="A43301" t="s">
        <v>4009</v>
      </c>
      <c r="B43301">
        <f>HYPERLINK("https://android.googlesource.com/platform/cts/+/b202b84b19f4799a9acc7e2ff8bd8875ba52a4f2", "b202b84b19f4799a9acc7e2ff8bd8875ba52a4f2")</f>
        <v>0</v>
      </c>
      <c r="C43301">
        <f>HYPERLINK("https://android.googlesource.com/platform/cts/+/06f4ef2c067ae80b51db03ba2a3040202e6807fc", "06f4ef2c067ae80b51db03ba2a3040202e6807fc")</f>
        <v>0</v>
      </c>
      <c r="D43301" t="s">
        <v>5651</v>
      </c>
      <c r="E43301" t="s">
        <v>9698</v>
      </c>
      <c r="F43301" t="s">
        <v>14559</v>
      </c>
      <c r="G43301" t="s">
        <v>18481</v>
      </c>
      <c r="H43301" t="s">
        <v>36644</v>
      </c>
    </row>
    <row r="43302" spans="1:8">
      <c r="A43302" t="s">
        <v>4010</v>
      </c>
      <c r="B43302">
        <f>HYPERLINK("https://android.googlesource.com/platform/cts/+/65a4670def89b344da29c033e1009e3c24da03b9", "65a4670def89b344da29c033e1009e3c24da03b9")</f>
        <v>0</v>
      </c>
      <c r="C43302">
        <f>HYPERLINK("https://android.googlesource.com/platform/cts/+/da4e96bdb8887291d368ab1d652c663e4b97e156", "da4e96bdb8887291d368ab1d652c663e4b97e156")</f>
        <v>0</v>
      </c>
      <c r="D43302" t="s">
        <v>5626</v>
      </c>
      <c r="E43302" t="s">
        <v>9699</v>
      </c>
      <c r="F43302" t="s">
        <v>14566</v>
      </c>
      <c r="G43302" t="s">
        <v>18487</v>
      </c>
      <c r="H43302" t="s">
        <v>36735</v>
      </c>
    </row>
    <row r="43303" spans="1:8">
      <c r="H43303" t="s">
        <v>36735</v>
      </c>
    </row>
    <row r="43304" spans="1:8">
      <c r="A43304" t="s">
        <v>4011</v>
      </c>
      <c r="B43304">
        <f>HYPERLINK("https://android.googlesource.com/platform/cts/+/a8d94ba1a2cf834b4bf96f397008fa3328c31fa7", "a8d94ba1a2cf834b4bf96f397008fa3328c31fa7")</f>
        <v>0</v>
      </c>
      <c r="C43304">
        <f>HYPERLINK("https://android.googlesource.com/platform/cts/+/8a3a54d1a538619409c91bb8959e86066683a4d7", "8a3a54d1a538619409c91bb8959e86066683a4d7")</f>
        <v>0</v>
      </c>
      <c r="D43304" t="s">
        <v>5409</v>
      </c>
      <c r="E43304" t="s">
        <v>9700</v>
      </c>
      <c r="F43304" t="s">
        <v>14288</v>
      </c>
      <c r="G43304" t="s">
        <v>16823</v>
      </c>
      <c r="H43304" t="s">
        <v>36736</v>
      </c>
    </row>
    <row r="43305" spans="1:8">
      <c r="A43305" t="s">
        <v>4012</v>
      </c>
      <c r="B43305">
        <f>HYPERLINK("https://android.googlesource.com/platform/cts/+/622176141e62ba787df9c5454b76add2951884c5", "622176141e62ba787df9c5454b76add2951884c5")</f>
        <v>0</v>
      </c>
      <c r="C43305">
        <f>HYPERLINK("https://android.googlesource.com/platform/cts/+/73262980b72e39e7238dd088387f62d7d09b9654", "73262980b72e39e7238dd088387f62d7d09b9654")</f>
        <v>0</v>
      </c>
      <c r="D43305" t="s">
        <v>5051</v>
      </c>
      <c r="E43305" t="s">
        <v>9701</v>
      </c>
      <c r="F43305" t="s">
        <v>13868</v>
      </c>
      <c r="G43305" t="s">
        <v>17907</v>
      </c>
      <c r="H43305" t="s">
        <v>36737</v>
      </c>
    </row>
    <row r="43306" spans="1:8">
      <c r="H43306" t="s">
        <v>36738</v>
      </c>
    </row>
    <row r="43307" spans="1:8">
      <c r="H43307" t="s">
        <v>36739</v>
      </c>
    </row>
    <row r="43308" spans="1:8">
      <c r="H43308" t="s">
        <v>36740</v>
      </c>
    </row>
    <row r="43309" spans="1:8">
      <c r="H43309" t="s">
        <v>36741</v>
      </c>
    </row>
    <row r="43310" spans="1:8">
      <c r="H43310" t="s">
        <v>36742</v>
      </c>
    </row>
    <row r="43311" spans="1:8">
      <c r="A43311" t="s">
        <v>4013</v>
      </c>
      <c r="B43311">
        <f>HYPERLINK("https://android.googlesource.com/platform/cts/+/ace3af75c4e5518f17a42be6eb5362cd21b86bb0", "ace3af75c4e5518f17a42be6eb5362cd21b86bb0")</f>
        <v>0</v>
      </c>
      <c r="C43311">
        <f>HYPERLINK("https://android.googlesource.com/platform/cts/+/a50f90aeacf47dcc26698c17437efecc72ba5e79", "a50f90aeacf47dcc26698c17437efecc72ba5e79")</f>
        <v>0</v>
      </c>
      <c r="D43311" t="s">
        <v>5626</v>
      </c>
      <c r="E43311" t="s">
        <v>9702</v>
      </c>
      <c r="F43311" t="s">
        <v>14566</v>
      </c>
      <c r="G43311" t="s">
        <v>18487</v>
      </c>
      <c r="H43311" t="s">
        <v>36735</v>
      </c>
    </row>
    <row r="43312" spans="1:8">
      <c r="H43312" t="s">
        <v>36735</v>
      </c>
    </row>
    <row r="43313" spans="1:8">
      <c r="A43313" t="s">
        <v>4014</v>
      </c>
      <c r="B43313">
        <f>HYPERLINK("https://android.googlesource.com/platform/cts/+/6b73c6af729626ec4bb8faeb728f50c8081701ec", "6b73c6af729626ec4bb8faeb728f50c8081701ec")</f>
        <v>0</v>
      </c>
      <c r="C43313">
        <f>HYPERLINK("https://android.googlesource.com/platform/cts/+/1a40cd613a59dd5e324a17db317f1f7adcf7cdfd", "1a40cd613a59dd5e324a17db317f1f7adcf7cdfd")</f>
        <v>0</v>
      </c>
      <c r="D43313" t="s">
        <v>5648</v>
      </c>
      <c r="E43313" t="s">
        <v>9703</v>
      </c>
      <c r="F43313" t="s">
        <v>14559</v>
      </c>
      <c r="G43313" t="s">
        <v>18481</v>
      </c>
      <c r="H43313" t="s">
        <v>36743</v>
      </c>
    </row>
    <row r="43314" spans="1:8">
      <c r="H43314" t="s">
        <v>36744</v>
      </c>
    </row>
    <row r="43315" spans="1:8">
      <c r="H43315" t="s">
        <v>36745</v>
      </c>
    </row>
    <row r="43316" spans="1:8">
      <c r="A43316" t="s">
        <v>4015</v>
      </c>
      <c r="B43316">
        <f>HYPERLINK("https://android.googlesource.com/platform/cts/+/db7177e9e28e59b9071227c4820d5b674bcc01b1", "db7177e9e28e59b9071227c4820d5b674bcc01b1")</f>
        <v>0</v>
      </c>
      <c r="C43316">
        <f>HYPERLINK("https://android.googlesource.com/platform/cts/+/0b67602f96f5a58dd983524b14e17a32706b90a9", "0b67602f96f5a58dd983524b14e17a32706b90a9")</f>
        <v>0</v>
      </c>
      <c r="D43316" t="s">
        <v>5134</v>
      </c>
      <c r="E43316" t="s">
        <v>9704</v>
      </c>
      <c r="F43316" t="s">
        <v>14272</v>
      </c>
      <c r="G43316" t="s">
        <v>18239</v>
      </c>
      <c r="H43316" t="s">
        <v>31908</v>
      </c>
    </row>
    <row r="43317" spans="1:8">
      <c r="A43317" t="s">
        <v>4017</v>
      </c>
      <c r="B43317">
        <f>HYPERLINK("https://android.googlesource.com/platform/cts/+/9159227c1b3f99ac2ad85ba2ec60e87afcb32af2", "9159227c1b3f99ac2ad85ba2ec60e87afcb32af2")</f>
        <v>0</v>
      </c>
      <c r="C43317">
        <f>HYPERLINK("https://android.googlesource.com/platform/cts/+/b7e7421f7f4ee390df3ac527c54adbf6312bb2fe", "b7e7421f7f4ee390df3ac527c54adbf6312bb2fe")</f>
        <v>0</v>
      </c>
      <c r="D43317" t="s">
        <v>5648</v>
      </c>
      <c r="E43317" t="s">
        <v>9706</v>
      </c>
      <c r="F43317" t="s">
        <v>14559</v>
      </c>
      <c r="G43317" t="s">
        <v>18481</v>
      </c>
      <c r="H43317" t="s">
        <v>36743</v>
      </c>
    </row>
    <row r="43318" spans="1:8">
      <c r="H43318" t="s">
        <v>36744</v>
      </c>
    </row>
    <row r="43319" spans="1:8">
      <c r="H43319" t="s">
        <v>36745</v>
      </c>
    </row>
    <row r="43320" spans="1:8">
      <c r="A43320" t="s">
        <v>4018</v>
      </c>
      <c r="B43320">
        <f>HYPERLINK("https://android.googlesource.com/platform/cts/+/70b76ee18cd1594699a20bc1403fb521bfdd7eb4", "70b76ee18cd1594699a20bc1403fb521bfdd7eb4")</f>
        <v>0</v>
      </c>
      <c r="C43320">
        <f>HYPERLINK("https://android.googlesource.com/platform/cts/+/41c49c889a0a83c0cd90dc36c15df0f93aa16e87", "41c49c889a0a83c0cd90dc36c15df0f93aa16e87")</f>
        <v>0</v>
      </c>
      <c r="D43320" t="s">
        <v>5409</v>
      </c>
      <c r="E43320" t="s">
        <v>9707</v>
      </c>
      <c r="F43320" t="s">
        <v>14288</v>
      </c>
      <c r="G43320" t="s">
        <v>16823</v>
      </c>
      <c r="H43320" t="s">
        <v>36746</v>
      </c>
    </row>
    <row r="43321" spans="1:8">
      <c r="A43321" t="s">
        <v>4019</v>
      </c>
      <c r="B43321">
        <f>HYPERLINK("https://android.googlesource.com/platform/cts/+/978a4d0e86f0bd1408c11a7435a6bc0d9868875e", "978a4d0e86f0bd1408c11a7435a6bc0d9868875e")</f>
        <v>0</v>
      </c>
      <c r="C43321">
        <f>HYPERLINK("https://android.googlesource.com/platform/cts/+/70b76ee18cd1594699a20bc1403fb521bfdd7eb4", "70b76ee18cd1594699a20bc1403fb521bfdd7eb4")</f>
        <v>0</v>
      </c>
      <c r="D43321" t="s">
        <v>5409</v>
      </c>
      <c r="E43321" t="s">
        <v>9708</v>
      </c>
      <c r="F43321" t="s">
        <v>14288</v>
      </c>
      <c r="G43321" t="s">
        <v>16823</v>
      </c>
      <c r="H43321" t="s">
        <v>36747</v>
      </c>
    </row>
    <row r="43322" spans="1:8">
      <c r="A43322" t="s">
        <v>4020</v>
      </c>
      <c r="B43322">
        <f>HYPERLINK("https://android.googlesource.com/platform/cts/+/bdd3051da854cbc66ca0b27adcc956cdbb2674f5", "bdd3051da854cbc66ca0b27adcc956cdbb2674f5")</f>
        <v>0</v>
      </c>
      <c r="C43322">
        <f>HYPERLINK("https://android.googlesource.com/platform/cts/+/978a4d0e86f0bd1408c11a7435a6bc0d9868875e", "978a4d0e86f0bd1408c11a7435a6bc0d9868875e")</f>
        <v>0</v>
      </c>
      <c r="D43322" t="s">
        <v>5409</v>
      </c>
      <c r="E43322" t="s">
        <v>9709</v>
      </c>
      <c r="F43322" t="s">
        <v>14288</v>
      </c>
      <c r="G43322" t="s">
        <v>16823</v>
      </c>
      <c r="H43322" t="s">
        <v>36748</v>
      </c>
    </row>
    <row r="43323" spans="1:8">
      <c r="A43323" t="s">
        <v>4021</v>
      </c>
      <c r="B43323">
        <f>HYPERLINK("https://android.googlesource.com/platform/cts/+/28f302011235238e450b81d5cd2785b043048f66", "28f302011235238e450b81d5cd2785b043048f66")</f>
        <v>0</v>
      </c>
      <c r="C43323">
        <f>HYPERLINK("https://android.googlesource.com/platform/cts/+/6a2236a6376053d35773150f4adceaa1a7d5d814", "6a2236a6376053d35773150f4adceaa1a7d5d814")</f>
        <v>0</v>
      </c>
      <c r="D43323" t="s">
        <v>5485</v>
      </c>
      <c r="E43323" t="s">
        <v>9710</v>
      </c>
      <c r="F43323" t="s">
        <v>13790</v>
      </c>
      <c r="G43323" t="s">
        <v>17519</v>
      </c>
      <c r="H43323" t="s">
        <v>36749</v>
      </c>
    </row>
    <row r="43324" spans="1:8">
      <c r="A43324" t="s">
        <v>4023</v>
      </c>
      <c r="B43324">
        <f>HYPERLINK("https://android.googlesource.com/platform/cts/+/68e022fe0eb23b86f5524c88308e68575022a49b", "68e022fe0eb23b86f5524c88308e68575022a49b")</f>
        <v>0</v>
      </c>
      <c r="C43324">
        <f>HYPERLINK("https://android.googlesource.com/platform/cts/+/71eba730c1f634b455e008e6777a6083788fee72", "71eba730c1f634b455e008e6777a6083788fee72")</f>
        <v>0</v>
      </c>
      <c r="D43324" t="s">
        <v>5644</v>
      </c>
      <c r="E43324" t="s">
        <v>9712</v>
      </c>
      <c r="F43324" t="s">
        <v>14567</v>
      </c>
      <c r="G43324" t="s">
        <v>18488</v>
      </c>
      <c r="H43324" t="s">
        <v>36750</v>
      </c>
    </row>
    <row r="43325" spans="1:8">
      <c r="H43325" t="s">
        <v>19372</v>
      </c>
    </row>
    <row r="43326" spans="1:8">
      <c r="H43326" t="s">
        <v>34824</v>
      </c>
    </row>
    <row r="43327" spans="1:8">
      <c r="A43327" t="s">
        <v>4024</v>
      </c>
      <c r="B43327">
        <f>HYPERLINK("https://android.googlesource.com/platform/cts/+/f6c8f9156f57a8c7a7915965cd9221c038dc1848", "f6c8f9156f57a8c7a7915965cd9221c038dc1848")</f>
        <v>0</v>
      </c>
      <c r="C43327">
        <f>HYPERLINK("https://android.googlesource.com/platform/cts/+/88447a0721522681668c34a9adad9db2375f3ad3", "88447a0721522681668c34a9adad9db2375f3ad3")</f>
        <v>0</v>
      </c>
      <c r="D43327" t="s">
        <v>5652</v>
      </c>
      <c r="E43327" t="s">
        <v>9713</v>
      </c>
      <c r="F43327" t="s">
        <v>14568</v>
      </c>
      <c r="G43327" t="s">
        <v>18489</v>
      </c>
      <c r="H43327" t="s">
        <v>36751</v>
      </c>
    </row>
    <row r="43328" spans="1:8">
      <c r="H43328" t="s">
        <v>36752</v>
      </c>
    </row>
    <row r="43329" spans="1:8">
      <c r="A43329" t="s">
        <v>4025</v>
      </c>
      <c r="B43329">
        <f>HYPERLINK("https://android.googlesource.com/platform/cts/+/4083793ec0f20e3e9551f78cba8c71cfe91c167d", "4083793ec0f20e3e9551f78cba8c71cfe91c167d")</f>
        <v>0</v>
      </c>
      <c r="C43329">
        <f>HYPERLINK("https://android.googlesource.com/platform/cts/+/bdd3051da854cbc66ca0b27adcc956cdbb2674f5", "bdd3051da854cbc66ca0b27adcc956cdbb2674f5")</f>
        <v>0</v>
      </c>
      <c r="D43329" t="s">
        <v>5409</v>
      </c>
      <c r="E43329" t="s">
        <v>9714</v>
      </c>
      <c r="F43329" t="s">
        <v>14569</v>
      </c>
      <c r="G43329" t="s">
        <v>18490</v>
      </c>
      <c r="H43329" t="s">
        <v>19426</v>
      </c>
    </row>
    <row r="43330" spans="1:8">
      <c r="H43330" t="s">
        <v>36753</v>
      </c>
    </row>
    <row r="43331" spans="1:8">
      <c r="A43331" t="s">
        <v>4026</v>
      </c>
      <c r="B43331">
        <f>HYPERLINK("https://android.googlesource.com/platform/cts/+/e4e0046a1199b2bcb76b5ffe14af94ebd3671cf2", "e4e0046a1199b2bcb76b5ffe14af94ebd3671cf2")</f>
        <v>0</v>
      </c>
      <c r="C43331">
        <f>HYPERLINK("https://android.googlesource.com/platform/cts/+/bf2229b5b21f4dbedd53df9c4fdbfd9cf6894750", "bf2229b5b21f4dbedd53df9c4fdbfd9cf6894750")</f>
        <v>0</v>
      </c>
      <c r="D43331" t="s">
        <v>5546</v>
      </c>
      <c r="E43331" t="s">
        <v>9715</v>
      </c>
      <c r="F43331" t="s">
        <v>14353</v>
      </c>
      <c r="G43331" t="s">
        <v>18303</v>
      </c>
      <c r="H43331" t="s">
        <v>35571</v>
      </c>
    </row>
    <row r="43332" spans="1:8">
      <c r="A43332" t="s">
        <v>4027</v>
      </c>
      <c r="B43332">
        <f>HYPERLINK("https://android.googlesource.com/platform/cts/+/844415b0fbdd3ba69e67263a0d7f220c4d45aad8", "844415b0fbdd3ba69e67263a0d7f220c4d45aad8")</f>
        <v>0</v>
      </c>
      <c r="C43332">
        <f>HYPERLINK("https://android.googlesource.com/platform/cts/+/ec975bf3456b3e0c4a645dd4d3ba6e25a443f5ac", "ec975bf3456b3e0c4a645dd4d3ba6e25a443f5ac")</f>
        <v>0</v>
      </c>
      <c r="D43332" t="s">
        <v>5416</v>
      </c>
      <c r="E43332" t="s">
        <v>9716</v>
      </c>
      <c r="F43332" t="s">
        <v>12419</v>
      </c>
      <c r="G43332" t="s">
        <v>16641</v>
      </c>
      <c r="H43332" t="s">
        <v>36754</v>
      </c>
    </row>
    <row r="43333" spans="1:8">
      <c r="H43333" t="s">
        <v>36755</v>
      </c>
    </row>
    <row r="43334" spans="1:8">
      <c r="H43334" t="s">
        <v>36756</v>
      </c>
    </row>
    <row r="43335" spans="1:8">
      <c r="H43335" t="s">
        <v>36757</v>
      </c>
    </row>
    <row r="43336" spans="1:8">
      <c r="A43336" t="s">
        <v>4028</v>
      </c>
      <c r="B43336">
        <f>HYPERLINK("https://android.googlesource.com/platform/cts/+/8d95e8991dabdfe1bb93216919153e247a55973a", "8d95e8991dabdfe1bb93216919153e247a55973a")</f>
        <v>0</v>
      </c>
      <c r="C43336">
        <f>HYPERLINK("https://android.googlesource.com/platform/cts/+/344a96ab723acee8861f98b5a9cf182326636e91", "344a96ab723acee8861f98b5a9cf182326636e91")</f>
        <v>0</v>
      </c>
      <c r="D43336" t="s">
        <v>5219</v>
      </c>
      <c r="E43336" t="s">
        <v>9717</v>
      </c>
      <c r="F43336" t="s">
        <v>14512</v>
      </c>
      <c r="G43336" t="s">
        <v>18414</v>
      </c>
      <c r="H43336" t="s">
        <v>36758</v>
      </c>
    </row>
    <row r="43337" spans="1:8">
      <c r="A43337" t="s">
        <v>4029</v>
      </c>
      <c r="B43337">
        <f>HYPERLINK("https://android.googlesource.com/platform/cts/+/88b472f4643e91d6d35c44b1743f11ca266bb0b2", "88b472f4643e91d6d35c44b1743f11ca266bb0b2")</f>
        <v>0</v>
      </c>
      <c r="C43337">
        <f>HYPERLINK("https://android.googlesource.com/platform/cts/+/c374d7dae75b2f304d2f8c21911445830d69c48d", "c374d7dae75b2f304d2f8c21911445830d69c48d")</f>
        <v>0</v>
      </c>
      <c r="D43337" t="s">
        <v>5653</v>
      </c>
      <c r="E43337" t="s">
        <v>9718</v>
      </c>
      <c r="F43337" t="s">
        <v>12224</v>
      </c>
      <c r="G43337" t="s">
        <v>16454</v>
      </c>
      <c r="H43337" t="s">
        <v>36759</v>
      </c>
    </row>
    <row r="43338" spans="1:8">
      <c r="A43338" t="s">
        <v>4031</v>
      </c>
      <c r="B43338">
        <f>HYPERLINK("https://android.googlesource.com/platform/cts/+/c5da66ad93ecaf52420b8ff9667fe62e53fd71a5", "c5da66ad93ecaf52420b8ff9667fe62e53fd71a5")</f>
        <v>0</v>
      </c>
      <c r="C43338">
        <f>HYPERLINK("https://android.googlesource.com/platform/cts/+/8ebd21feea7d79325ce546f24d38cbd233704c37", "8ebd21feea7d79325ce546f24d38cbd233704c37")</f>
        <v>0</v>
      </c>
      <c r="D43338" t="s">
        <v>5479</v>
      </c>
      <c r="E43338" t="s">
        <v>9720</v>
      </c>
      <c r="F43338" t="s">
        <v>14570</v>
      </c>
      <c r="G43338" t="s">
        <v>17580</v>
      </c>
      <c r="H43338" t="s">
        <v>36760</v>
      </c>
    </row>
    <row r="43339" spans="1:8">
      <c r="A43339" t="s">
        <v>4032</v>
      </c>
      <c r="B43339">
        <f>HYPERLINK("https://android.googlesource.com/platform/cts/+/2bb4a2716deb778f5b0691835834cb06bec1741b", "2bb4a2716deb778f5b0691835834cb06bec1741b")</f>
        <v>0</v>
      </c>
      <c r="C43339">
        <f>HYPERLINK("https://android.googlesource.com/platform/cts/+/a36c458280fefbf2d5069bb125415539ee4f7b9d", "a36c458280fefbf2d5069bb125415539ee4f7b9d")</f>
        <v>0</v>
      </c>
      <c r="D43339" t="s">
        <v>5134</v>
      </c>
      <c r="E43339" t="s">
        <v>9721</v>
      </c>
      <c r="F43339" t="s">
        <v>14571</v>
      </c>
      <c r="G43339" t="s">
        <v>18491</v>
      </c>
      <c r="H43339" t="s">
        <v>18829</v>
      </c>
    </row>
    <row r="43340" spans="1:8">
      <c r="F43340" t="s">
        <v>14572</v>
      </c>
      <c r="G43340" t="s">
        <v>18492</v>
      </c>
      <c r="H43340" t="s">
        <v>18829</v>
      </c>
    </row>
    <row r="43341" spans="1:8">
      <c r="F43341" t="s">
        <v>14573</v>
      </c>
      <c r="G43341" t="s">
        <v>18493</v>
      </c>
      <c r="H43341" t="s">
        <v>18829</v>
      </c>
    </row>
    <row r="43342" spans="1:8">
      <c r="F43342" t="s">
        <v>14574</v>
      </c>
      <c r="G43342" t="s">
        <v>18494</v>
      </c>
      <c r="H43342" t="s">
        <v>18829</v>
      </c>
    </row>
    <row r="43343" spans="1:8">
      <c r="F43343" t="s">
        <v>14575</v>
      </c>
      <c r="G43343" t="s">
        <v>18495</v>
      </c>
      <c r="H43343" t="s">
        <v>18829</v>
      </c>
    </row>
    <row r="43344" spans="1:8">
      <c r="F43344" t="s">
        <v>14576</v>
      </c>
      <c r="G43344" t="s">
        <v>18496</v>
      </c>
      <c r="H43344" t="s">
        <v>18829</v>
      </c>
    </row>
    <row r="43345" spans="1:8">
      <c r="A43345" t="s">
        <v>4033</v>
      </c>
      <c r="B43345">
        <f>HYPERLINK("https://android.googlesource.com/platform/cts/+/b851ea539e61adbc9938f1047e807fbceaf383e1", "b851ea539e61adbc9938f1047e807fbceaf383e1")</f>
        <v>0</v>
      </c>
      <c r="C43345">
        <f>HYPERLINK("https://android.googlesource.com/platform/cts/+/de8f3f8ffd1738d6dea5b0eb2d456dcf6e41e2bd", "de8f3f8ffd1738d6dea5b0eb2d456dcf6e41e2bd")</f>
        <v>0</v>
      </c>
      <c r="D43345" t="s">
        <v>4973</v>
      </c>
      <c r="E43345" t="s">
        <v>9722</v>
      </c>
      <c r="F43345" t="s">
        <v>13480</v>
      </c>
      <c r="G43345" t="s">
        <v>17598</v>
      </c>
      <c r="H43345" t="s">
        <v>36055</v>
      </c>
    </row>
    <row r="43346" spans="1:8">
      <c r="H43346" t="s">
        <v>36062</v>
      </c>
    </row>
    <row r="43347" spans="1:8">
      <c r="A43347" t="s">
        <v>4034</v>
      </c>
      <c r="B43347">
        <f>HYPERLINK("https://android.googlesource.com/platform/cts/+/12f01cc3944a9735c9cab69ba952992ffaf481c6", "12f01cc3944a9735c9cab69ba952992ffaf481c6")</f>
        <v>0</v>
      </c>
      <c r="C43347">
        <f>HYPERLINK("https://android.googlesource.com/platform/cts/+/eb567c0eeb21ce7177028fda238e5a49bc1f6f2d", "eb567c0eeb21ce7177028fda238e5a49bc1f6f2d")</f>
        <v>0</v>
      </c>
      <c r="D43347" t="s">
        <v>5595</v>
      </c>
      <c r="E43347" t="s">
        <v>9723</v>
      </c>
      <c r="F43347" t="s">
        <v>13851</v>
      </c>
      <c r="G43347" t="s">
        <v>17893</v>
      </c>
      <c r="H43347" t="s">
        <v>36170</v>
      </c>
    </row>
    <row r="43348" spans="1:8">
      <c r="A43348" t="s">
        <v>4035</v>
      </c>
      <c r="B43348">
        <f>HYPERLINK("https://android.googlesource.com/platform/cts/+/be1698d1575fe1eba163444f250dd4c08abc643e", "be1698d1575fe1eba163444f250dd4c08abc643e")</f>
        <v>0</v>
      </c>
      <c r="C43348">
        <f>HYPERLINK("https://android.googlesource.com/platform/cts/+/7aa548bd03e5f4ec9268b674d46b1c9f159e3ece", "7aa548bd03e5f4ec9268b674d46b1c9f159e3ece")</f>
        <v>0</v>
      </c>
      <c r="D43348" t="s">
        <v>5595</v>
      </c>
      <c r="E43348" t="s">
        <v>9724</v>
      </c>
      <c r="F43348" t="s">
        <v>13851</v>
      </c>
      <c r="G43348" t="s">
        <v>17893</v>
      </c>
      <c r="H43348" t="s">
        <v>36170</v>
      </c>
    </row>
    <row r="43349" spans="1:8">
      <c r="A43349" t="s">
        <v>4036</v>
      </c>
      <c r="B43349">
        <f>HYPERLINK("https://android.googlesource.com/platform/cts/+/d3420a571f0ad9dd0bda47069694ed3ff21414e5", "d3420a571f0ad9dd0bda47069694ed3ff21414e5")</f>
        <v>0</v>
      </c>
      <c r="C43349">
        <f>HYPERLINK("https://android.googlesource.com/platform/cts/+/46d4255b981b1251033bf4dc7d523d6f05fc8adf", "46d4255b981b1251033bf4dc7d523d6f05fc8adf")</f>
        <v>0</v>
      </c>
      <c r="D43349" t="s">
        <v>5541</v>
      </c>
      <c r="E43349" t="s">
        <v>9725</v>
      </c>
      <c r="F43349" t="s">
        <v>14577</v>
      </c>
      <c r="G43349" t="s">
        <v>18497</v>
      </c>
      <c r="H43349" t="s">
        <v>36761</v>
      </c>
    </row>
    <row r="43350" spans="1:8">
      <c r="A43350" t="s">
        <v>4037</v>
      </c>
      <c r="B43350">
        <f>HYPERLINK("https://android.googlesource.com/platform/cts/+/1192a565a3c62ce9ce857632e6756c9db1ef6328", "1192a565a3c62ce9ce857632e6756c9db1ef6328")</f>
        <v>0</v>
      </c>
      <c r="C43350">
        <f>HYPERLINK("https://android.googlesource.com/platform/cts/+/a2003e4af530ff316924bd3d149e87b1c84bac8a", "a2003e4af530ff316924bd3d149e87b1c84bac8a")</f>
        <v>0</v>
      </c>
      <c r="D43350" t="s">
        <v>5409</v>
      </c>
      <c r="E43350" t="s">
        <v>9726</v>
      </c>
      <c r="F43350" t="s">
        <v>14569</v>
      </c>
      <c r="G43350" t="s">
        <v>18490</v>
      </c>
      <c r="H43350" t="s">
        <v>36762</v>
      </c>
    </row>
    <row r="43351" spans="1:8">
      <c r="F43351" t="s">
        <v>14578</v>
      </c>
      <c r="G43351" t="s">
        <v>16823</v>
      </c>
      <c r="H43351" t="s">
        <v>36763</v>
      </c>
    </row>
    <row r="43352" spans="1:8">
      <c r="H43352" t="s">
        <v>36764</v>
      </c>
    </row>
    <row r="43353" spans="1:8">
      <c r="A43353" t="s">
        <v>4038</v>
      </c>
      <c r="B43353">
        <f>HYPERLINK("https://android.googlesource.com/platform/cts/+/d21e4d043a67a278ff5c4a640f53fe4f9900c929", "d21e4d043a67a278ff5c4a640f53fe4f9900c929")</f>
        <v>0</v>
      </c>
      <c r="C43353">
        <f>HYPERLINK("https://android.googlesource.com/platform/cts/+/76b21a1a35b64496b837ceaf0a5d4040c4875180", "76b21a1a35b64496b837ceaf0a5d4040c4875180")</f>
        <v>0</v>
      </c>
      <c r="D43353" t="s">
        <v>5134</v>
      </c>
      <c r="E43353" t="s">
        <v>9727</v>
      </c>
      <c r="F43353" t="s">
        <v>13229</v>
      </c>
      <c r="G43353" t="s">
        <v>17370</v>
      </c>
      <c r="H43353" t="s">
        <v>30571</v>
      </c>
    </row>
    <row r="43354" spans="1:8">
      <c r="H43354" t="s">
        <v>36765</v>
      </c>
    </row>
    <row r="43355" spans="1:8">
      <c r="H43355" t="s">
        <v>36766</v>
      </c>
    </row>
    <row r="43356" spans="1:8">
      <c r="H43356" t="s">
        <v>36767</v>
      </c>
    </row>
    <row r="43357" spans="1:8">
      <c r="H43357" t="s">
        <v>36768</v>
      </c>
    </row>
    <row r="43358" spans="1:8">
      <c r="A43358" t="s">
        <v>4039</v>
      </c>
      <c r="B43358">
        <f>HYPERLINK("https://android.googlesource.com/platform/cts/+/cd2c57174f171f12274228663f107bf867671fef", "cd2c57174f171f12274228663f107bf867671fef")</f>
        <v>0</v>
      </c>
      <c r="C43358">
        <f>HYPERLINK("https://android.googlesource.com/platform/cts/+/c26dfa37666e07a9cb3cf2c236c4c814b0d634eb", "c26dfa37666e07a9cb3cf2c236c4c814b0d634eb")</f>
        <v>0</v>
      </c>
      <c r="D43358" t="s">
        <v>5460</v>
      </c>
      <c r="E43358" t="s">
        <v>9728</v>
      </c>
      <c r="F43358" t="s">
        <v>13417</v>
      </c>
      <c r="G43358" t="s">
        <v>17543</v>
      </c>
      <c r="H43358" t="s">
        <v>36769</v>
      </c>
    </row>
    <row r="43359" spans="1:8">
      <c r="A43359" t="s">
        <v>4040</v>
      </c>
      <c r="B43359">
        <f>HYPERLINK("https://android.googlesource.com/platform/cts/+/5ec64f5c564f9aeaab97766862c333181edeac44", "5ec64f5c564f9aeaab97766862c333181edeac44")</f>
        <v>0</v>
      </c>
      <c r="C43359">
        <f>HYPERLINK("https://android.googlesource.com/platform/cts/+/88fc0a0863c80320d29616186f6eaae47f71591e", "88fc0a0863c80320d29616186f6eaae47f71591e")</f>
        <v>0</v>
      </c>
      <c r="D43359" t="s">
        <v>5454</v>
      </c>
      <c r="E43359" t="s">
        <v>9729</v>
      </c>
      <c r="F43359" t="s">
        <v>14124</v>
      </c>
      <c r="G43359" t="s">
        <v>18114</v>
      </c>
      <c r="H43359" t="s">
        <v>36770</v>
      </c>
    </row>
    <row r="43360" spans="1:8">
      <c r="H43360" t="s">
        <v>36771</v>
      </c>
    </row>
    <row r="43361" spans="1:8">
      <c r="A43361" t="s">
        <v>4041</v>
      </c>
      <c r="B43361">
        <f>HYPERLINK("https://android.googlesource.com/platform/cts/+/5b85f69bddc904207f1ded385f1e69fb742be7a4", "5b85f69bddc904207f1ded385f1e69fb742be7a4")</f>
        <v>0</v>
      </c>
      <c r="C43361">
        <f>HYPERLINK("https://android.googlesource.com/platform/cts/+/a210002bee0d953bec7d6b45f4199cf8ed74ea3c", "a210002bee0d953bec7d6b45f4199cf8ed74ea3c")</f>
        <v>0</v>
      </c>
      <c r="D43361" t="s">
        <v>5409</v>
      </c>
      <c r="E43361" t="s">
        <v>9730</v>
      </c>
      <c r="F43361" t="s">
        <v>14579</v>
      </c>
      <c r="G43361" t="s">
        <v>18498</v>
      </c>
      <c r="H43361" t="s">
        <v>36772</v>
      </c>
    </row>
    <row r="43362" spans="1:8">
      <c r="H43362" t="s">
        <v>36773</v>
      </c>
    </row>
    <row r="43363" spans="1:8">
      <c r="H43363" t="s">
        <v>36774</v>
      </c>
    </row>
    <row r="43364" spans="1:8">
      <c r="H43364" t="s">
        <v>21184</v>
      </c>
    </row>
    <row r="43365" spans="1:8">
      <c r="F43365" t="s">
        <v>14580</v>
      </c>
      <c r="G43365" t="s">
        <v>18499</v>
      </c>
      <c r="H43365" t="s">
        <v>36775</v>
      </c>
    </row>
    <row r="43366" spans="1:8">
      <c r="H43366" t="s">
        <v>36776</v>
      </c>
    </row>
    <row r="43367" spans="1:8">
      <c r="H43367" t="s">
        <v>36777</v>
      </c>
    </row>
    <row r="43368" spans="1:8">
      <c r="A43368" t="s">
        <v>4042</v>
      </c>
      <c r="B43368">
        <f>HYPERLINK("https://android.googlesource.com/platform/cts/+/acb99ba1eaad4eb21d6e0a11f3f52c2937795faa", "acb99ba1eaad4eb21d6e0a11f3f52c2937795faa")</f>
        <v>0</v>
      </c>
      <c r="C43368">
        <f>HYPERLINK("https://android.googlesource.com/platform/cts/+/5b85f69bddc904207f1ded385f1e69fb742be7a4", "5b85f69bddc904207f1ded385f1e69fb742be7a4")</f>
        <v>0</v>
      </c>
      <c r="D43368" t="s">
        <v>5409</v>
      </c>
      <c r="E43368" t="s">
        <v>9731</v>
      </c>
      <c r="F43368" t="s">
        <v>14288</v>
      </c>
      <c r="G43368" t="s">
        <v>16823</v>
      </c>
      <c r="H43368" t="s">
        <v>36778</v>
      </c>
    </row>
    <row r="43369" spans="1:8">
      <c r="A43369" t="s">
        <v>4043</v>
      </c>
      <c r="B43369">
        <f>HYPERLINK("https://android.googlesource.com/platform/cts/+/b4bd34cb1be5a3c115b368514eba3dcbbb0b0587", "b4bd34cb1be5a3c115b368514eba3dcbbb0b0587")</f>
        <v>0</v>
      </c>
      <c r="C43369">
        <f>HYPERLINK("https://android.googlesource.com/platform/cts/+/54bbcfc447e18355dc03906a17d2b30b239d3fd8", "54bbcfc447e18355dc03906a17d2b30b239d3fd8")</f>
        <v>0</v>
      </c>
      <c r="D43369" t="s">
        <v>5409</v>
      </c>
      <c r="E43369" t="s">
        <v>9732</v>
      </c>
      <c r="F43369" t="s">
        <v>14288</v>
      </c>
      <c r="G43369" t="s">
        <v>16823</v>
      </c>
      <c r="H43369" t="s">
        <v>36779</v>
      </c>
    </row>
    <row r="43370" spans="1:8">
      <c r="A43370" t="s">
        <v>4044</v>
      </c>
      <c r="B43370">
        <f>HYPERLINK("https://android.googlesource.com/platform/cts/+/31ca1ab44160145a8b71e01dc5b39c8cfd109db3", "31ca1ab44160145a8b71e01dc5b39c8cfd109db3")</f>
        <v>0</v>
      </c>
      <c r="C43370">
        <f>HYPERLINK("https://android.googlesource.com/platform/cts/+/b4bd34cb1be5a3c115b368514eba3dcbbb0b0587", "b4bd34cb1be5a3c115b368514eba3dcbbb0b0587")</f>
        <v>0</v>
      </c>
      <c r="D43370" t="s">
        <v>5409</v>
      </c>
      <c r="E43370" t="s">
        <v>9733</v>
      </c>
      <c r="F43370" t="s">
        <v>14288</v>
      </c>
      <c r="G43370" t="s">
        <v>16823</v>
      </c>
      <c r="H43370" t="s">
        <v>36780</v>
      </c>
    </row>
    <row r="43371" spans="1:8">
      <c r="A43371" t="s">
        <v>4045</v>
      </c>
      <c r="B43371">
        <f>HYPERLINK("https://android.googlesource.com/platform/cts/+/8f3cb666377fd338c2cd38e6f3418b16c3a5d7d3", "8f3cb666377fd338c2cd38e6f3418b16c3a5d7d3")</f>
        <v>0</v>
      </c>
      <c r="C43371">
        <f>HYPERLINK("https://android.googlesource.com/platform/cts/+/31ca1ab44160145a8b71e01dc5b39c8cfd109db3", "31ca1ab44160145a8b71e01dc5b39c8cfd109db3")</f>
        <v>0</v>
      </c>
      <c r="D43371" t="s">
        <v>5409</v>
      </c>
      <c r="E43371" t="s">
        <v>9734</v>
      </c>
      <c r="F43371" t="s">
        <v>14288</v>
      </c>
      <c r="G43371" t="s">
        <v>16823</v>
      </c>
      <c r="H43371" t="s">
        <v>36781</v>
      </c>
    </row>
    <row r="43372" spans="1:8">
      <c r="A43372" t="s">
        <v>4046</v>
      </c>
      <c r="B43372">
        <f>HYPERLINK("https://android.googlesource.com/platform/cts/+/3982a5edc283cd9e120f82b7ef2a3896fc3b7aba", "3982a5edc283cd9e120f82b7ef2a3896fc3b7aba")</f>
        <v>0</v>
      </c>
      <c r="C43372">
        <f>HYPERLINK("https://android.googlesource.com/platform/cts/+/8f3cb666377fd338c2cd38e6f3418b16c3a5d7d3", "8f3cb666377fd338c2cd38e6f3418b16c3a5d7d3")</f>
        <v>0</v>
      </c>
      <c r="D43372" t="s">
        <v>5409</v>
      </c>
      <c r="E43372" t="s">
        <v>9735</v>
      </c>
      <c r="F43372" t="s">
        <v>14288</v>
      </c>
      <c r="G43372" t="s">
        <v>16823</v>
      </c>
      <c r="H43372" t="s">
        <v>36782</v>
      </c>
    </row>
    <row r="43373" spans="1:8">
      <c r="A43373" t="s">
        <v>4047</v>
      </c>
      <c r="B43373">
        <f>HYPERLINK("https://android.googlesource.com/platform/cts/+/d974bcee37beac80054aea9e74ccd3ee327a73fc", "d974bcee37beac80054aea9e74ccd3ee327a73fc")</f>
        <v>0</v>
      </c>
      <c r="C43373">
        <f>HYPERLINK("https://android.googlesource.com/platform/cts/+/3982a5edc283cd9e120f82b7ef2a3896fc3b7aba", "3982a5edc283cd9e120f82b7ef2a3896fc3b7aba")</f>
        <v>0</v>
      </c>
      <c r="D43373" t="s">
        <v>5409</v>
      </c>
      <c r="E43373" t="s">
        <v>9736</v>
      </c>
      <c r="F43373" t="s">
        <v>14288</v>
      </c>
      <c r="G43373" t="s">
        <v>16823</v>
      </c>
      <c r="H43373" t="s">
        <v>36783</v>
      </c>
    </row>
    <row r="43374" spans="1:8">
      <c r="H43374" t="s">
        <v>33212</v>
      </c>
    </row>
    <row r="43375" spans="1:8">
      <c r="A43375" t="s">
        <v>4048</v>
      </c>
      <c r="B43375">
        <f>HYPERLINK("https://android.googlesource.com/platform/cts/+/dc84de9046e300cb55d66bbdac65e5e09bd8d57e", "dc84de9046e300cb55d66bbdac65e5e09bd8d57e")</f>
        <v>0</v>
      </c>
      <c r="C43375">
        <f>HYPERLINK("https://android.googlesource.com/platform/cts/+/d974bcee37beac80054aea9e74ccd3ee327a73fc", "d974bcee37beac80054aea9e74ccd3ee327a73fc")</f>
        <v>0</v>
      </c>
      <c r="D43375" t="s">
        <v>5409</v>
      </c>
      <c r="E43375" t="s">
        <v>9737</v>
      </c>
      <c r="F43375" t="s">
        <v>14288</v>
      </c>
      <c r="G43375" t="s">
        <v>16823</v>
      </c>
      <c r="H43375" t="s">
        <v>36784</v>
      </c>
    </row>
    <row r="43376" spans="1:8">
      <c r="H43376" t="s">
        <v>36785</v>
      </c>
    </row>
    <row r="43377" spans="1:8">
      <c r="H43377" t="s">
        <v>36786</v>
      </c>
    </row>
    <row r="43378" spans="1:8">
      <c r="A43378" t="s">
        <v>4049</v>
      </c>
      <c r="B43378">
        <f>HYPERLINK("https://android.googlesource.com/platform/cts/+/74d03b55341050e0fbd7f398c4b013a79ae44f78", "74d03b55341050e0fbd7f398c4b013a79ae44f78")</f>
        <v>0</v>
      </c>
      <c r="C43378">
        <f>HYPERLINK("https://android.googlesource.com/platform/cts/+/82b92b436506bb7a814b2eb55e73fe1f9f7c58b6", "82b92b436506bb7a814b2eb55e73fe1f9f7c58b6")</f>
        <v>0</v>
      </c>
      <c r="D43378" t="s">
        <v>5633</v>
      </c>
      <c r="E43378" t="s">
        <v>9738</v>
      </c>
      <c r="F43378" t="s">
        <v>13398</v>
      </c>
      <c r="G43378" t="s">
        <v>17524</v>
      </c>
      <c r="H43378" t="s">
        <v>36787</v>
      </c>
    </row>
    <row r="43379" spans="1:8">
      <c r="H43379" t="s">
        <v>36788</v>
      </c>
    </row>
    <row r="43380" spans="1:8">
      <c r="A43380" t="s">
        <v>4050</v>
      </c>
      <c r="B43380">
        <f>HYPERLINK("https://android.googlesource.com/platform/cts/+/bd81f2228d771aac9808212899a600effc59ffc6", "bd81f2228d771aac9808212899a600effc59ffc6")</f>
        <v>0</v>
      </c>
      <c r="C43380">
        <f>HYPERLINK("https://android.googlesource.com/platform/cts/+/14aa702ef3f14ae40c56d77a0351e2713f15bd54", "14aa702ef3f14ae40c56d77a0351e2713f15bd54")</f>
        <v>0</v>
      </c>
      <c r="D43380" t="s">
        <v>5624</v>
      </c>
      <c r="E43380" t="s">
        <v>9739</v>
      </c>
      <c r="F43380" t="s">
        <v>12176</v>
      </c>
      <c r="G43380" t="s">
        <v>16415</v>
      </c>
      <c r="H43380" t="s">
        <v>36789</v>
      </c>
    </row>
    <row r="43381" spans="1:8">
      <c r="H43381" t="s">
        <v>36790</v>
      </c>
    </row>
    <row r="43382" spans="1:8">
      <c r="H43382" t="s">
        <v>36791</v>
      </c>
    </row>
    <row r="43383" spans="1:8">
      <c r="H43383" t="s">
        <v>36792</v>
      </c>
    </row>
    <row r="43384" spans="1:8">
      <c r="A43384" t="s">
        <v>4051</v>
      </c>
      <c r="B43384">
        <f>HYPERLINK("https://android.googlesource.com/platform/cts/+/f5066e1a1d349eb8ba7687117cd666695dedd65c", "f5066e1a1d349eb8ba7687117cd666695dedd65c")</f>
        <v>0</v>
      </c>
      <c r="C43384">
        <f>HYPERLINK("https://android.googlesource.com/platform/cts/+/c4742a3343b7ffff2408c760b1baee40d42d1ab0", "c4742a3343b7ffff2408c760b1baee40d42d1ab0")</f>
        <v>0</v>
      </c>
      <c r="D43384" t="s">
        <v>5135</v>
      </c>
      <c r="E43384" t="s">
        <v>9740</v>
      </c>
      <c r="F43384" t="s">
        <v>13391</v>
      </c>
      <c r="G43384" t="s">
        <v>17517</v>
      </c>
      <c r="H43384" t="s">
        <v>36793</v>
      </c>
    </row>
    <row r="43385" spans="1:8">
      <c r="A43385" t="s">
        <v>4052</v>
      </c>
      <c r="B43385">
        <f>HYPERLINK("https://android.googlesource.com/platform/cts/+/39c56015870b62a846660506d923f8c2f70099ac", "39c56015870b62a846660506d923f8c2f70099ac")</f>
        <v>0</v>
      </c>
      <c r="C43385">
        <f>HYPERLINK("https://android.googlesource.com/platform/cts/+/7850aadcf3ca1f987a42bf0f17c76a800c487f17", "7850aadcf3ca1f987a42bf0f17c76a800c487f17")</f>
        <v>0</v>
      </c>
      <c r="D43385" t="s">
        <v>5409</v>
      </c>
      <c r="E43385" t="s">
        <v>9741</v>
      </c>
      <c r="F43385" t="s">
        <v>14581</v>
      </c>
      <c r="G43385" t="s">
        <v>18500</v>
      </c>
      <c r="H43385" t="s">
        <v>36794</v>
      </c>
    </row>
    <row r="43386" spans="1:8">
      <c r="A43386" t="s">
        <v>4053</v>
      </c>
      <c r="B43386">
        <f>HYPERLINK("https://android.googlesource.com/platform/cts/+/4abe91d464e849cdee2ad325cfdd24a8ae48e446", "4abe91d464e849cdee2ad325cfdd24a8ae48e446")</f>
        <v>0</v>
      </c>
      <c r="C43386">
        <f>HYPERLINK("https://android.googlesource.com/platform/cts/+/9a7361602b746fb1bc7d0d17f88b7d503eaffb46", "9a7361602b746fb1bc7d0d17f88b7d503eaffb46")</f>
        <v>0</v>
      </c>
      <c r="D43386" t="s">
        <v>5476</v>
      </c>
      <c r="E43386" t="s">
        <v>9742</v>
      </c>
      <c r="F43386" t="s">
        <v>14582</v>
      </c>
      <c r="G43386" t="s">
        <v>18501</v>
      </c>
      <c r="H43386" t="s">
        <v>36795</v>
      </c>
    </row>
    <row r="43387" spans="1:8">
      <c r="A43387" t="s">
        <v>4054</v>
      </c>
      <c r="B43387">
        <f>HYPERLINK("https://android.googlesource.com/platform/cts/+/92af64b27b19c48e70a5ddbd7fb0b93f09304757", "92af64b27b19c48e70a5ddbd7fb0b93f09304757")</f>
        <v>0</v>
      </c>
      <c r="C43387">
        <f>HYPERLINK("https://android.googlesource.com/platform/cts/+/2a67ece590659ee406b90aadc160272cc0dabfc0", "2a67ece590659ee406b90aadc160272cc0dabfc0")</f>
        <v>0</v>
      </c>
      <c r="D43387" t="s">
        <v>5654</v>
      </c>
      <c r="E43387" t="s">
        <v>9743</v>
      </c>
      <c r="F43387" t="s">
        <v>14583</v>
      </c>
      <c r="G43387" t="s">
        <v>18502</v>
      </c>
      <c r="H43387" t="s">
        <v>36796</v>
      </c>
    </row>
    <row r="43388" spans="1:8">
      <c r="A43388" t="s">
        <v>4056</v>
      </c>
      <c r="B43388">
        <f>HYPERLINK("https://android.googlesource.com/platform/cts/+/25e29b0f9979ca7b2806491564f246376feb9e9f", "25e29b0f9979ca7b2806491564f246376feb9e9f")</f>
        <v>0</v>
      </c>
      <c r="C43388">
        <f>HYPERLINK("https://android.googlesource.com/platform/cts/+/33d78c89d164b033729f0ca17e87ab26afe9e423", "33d78c89d164b033729f0ca17e87ab26afe9e423")</f>
        <v>0</v>
      </c>
      <c r="D43388" t="s">
        <v>5409</v>
      </c>
      <c r="E43388" t="s">
        <v>9744</v>
      </c>
      <c r="F43388" t="s">
        <v>14584</v>
      </c>
      <c r="G43388" t="s">
        <v>18357</v>
      </c>
      <c r="H43388" t="s">
        <v>36797</v>
      </c>
    </row>
    <row r="43389" spans="1:8">
      <c r="H43389" t="s">
        <v>36798</v>
      </c>
    </row>
    <row r="43390" spans="1:8">
      <c r="H43390" t="s">
        <v>36799</v>
      </c>
    </row>
    <row r="43391" spans="1:8">
      <c r="H43391" t="s">
        <v>36800</v>
      </c>
    </row>
    <row r="43392" spans="1:8">
      <c r="F43392" t="s">
        <v>14585</v>
      </c>
      <c r="G43392" t="s">
        <v>18503</v>
      </c>
      <c r="H43392" t="s">
        <v>36797</v>
      </c>
    </row>
    <row r="43393" spans="6:8">
      <c r="H43393" t="s">
        <v>36798</v>
      </c>
    </row>
    <row r="43394" spans="6:8">
      <c r="H43394" t="s">
        <v>36799</v>
      </c>
    </row>
    <row r="43395" spans="6:8">
      <c r="H43395" t="s">
        <v>36800</v>
      </c>
    </row>
    <row r="43396" spans="6:8">
      <c r="F43396" t="s">
        <v>14586</v>
      </c>
      <c r="G43396" t="s">
        <v>18504</v>
      </c>
      <c r="H43396" t="s">
        <v>36797</v>
      </c>
    </row>
    <row r="43397" spans="6:8">
      <c r="H43397" t="s">
        <v>36798</v>
      </c>
    </row>
    <row r="43398" spans="6:8">
      <c r="H43398" t="s">
        <v>36799</v>
      </c>
    </row>
    <row r="43399" spans="6:8">
      <c r="H43399" t="s">
        <v>36800</v>
      </c>
    </row>
    <row r="43400" spans="6:8">
      <c r="F43400" t="s">
        <v>14587</v>
      </c>
      <c r="G43400" t="s">
        <v>18505</v>
      </c>
      <c r="H43400" t="s">
        <v>36797</v>
      </c>
    </row>
    <row r="43401" spans="6:8">
      <c r="H43401" t="s">
        <v>36798</v>
      </c>
    </row>
    <row r="43402" spans="6:8">
      <c r="H43402" t="s">
        <v>36799</v>
      </c>
    </row>
    <row r="43403" spans="6:8">
      <c r="H43403" t="s">
        <v>36800</v>
      </c>
    </row>
    <row r="43404" spans="6:8">
      <c r="F43404" t="s">
        <v>14588</v>
      </c>
      <c r="G43404" t="s">
        <v>18506</v>
      </c>
      <c r="H43404" t="s">
        <v>36797</v>
      </c>
    </row>
    <row r="43405" spans="6:8">
      <c r="H43405" t="s">
        <v>36798</v>
      </c>
    </row>
    <row r="43406" spans="6:8">
      <c r="H43406" t="s">
        <v>36799</v>
      </c>
    </row>
    <row r="43407" spans="6:8">
      <c r="H43407" t="s">
        <v>36800</v>
      </c>
    </row>
    <row r="43408" spans="6:8">
      <c r="F43408" t="s">
        <v>14589</v>
      </c>
      <c r="G43408" t="s">
        <v>18507</v>
      </c>
      <c r="H43408" t="s">
        <v>36797</v>
      </c>
    </row>
    <row r="43409" spans="1:8">
      <c r="H43409" t="s">
        <v>36798</v>
      </c>
    </row>
    <row r="43410" spans="1:8">
      <c r="H43410" t="s">
        <v>36799</v>
      </c>
    </row>
    <row r="43411" spans="1:8">
      <c r="H43411" t="s">
        <v>36800</v>
      </c>
    </row>
    <row r="43412" spans="1:8">
      <c r="F43412" t="s">
        <v>14590</v>
      </c>
      <c r="G43412" t="s">
        <v>18508</v>
      </c>
      <c r="H43412" t="s">
        <v>36797</v>
      </c>
    </row>
    <row r="43413" spans="1:8">
      <c r="H43413" t="s">
        <v>36798</v>
      </c>
    </row>
    <row r="43414" spans="1:8">
      <c r="H43414" t="s">
        <v>36799</v>
      </c>
    </row>
    <row r="43415" spans="1:8">
      <c r="H43415" t="s">
        <v>36800</v>
      </c>
    </row>
    <row r="43416" spans="1:8">
      <c r="F43416" t="s">
        <v>14591</v>
      </c>
      <c r="G43416" t="s">
        <v>15004</v>
      </c>
      <c r="H43416" t="s">
        <v>36801</v>
      </c>
    </row>
    <row r="43417" spans="1:8">
      <c r="H43417" t="s">
        <v>36802</v>
      </c>
    </row>
    <row r="43418" spans="1:8">
      <c r="H43418" t="s">
        <v>36803</v>
      </c>
    </row>
    <row r="43419" spans="1:8">
      <c r="H43419" t="s">
        <v>36804</v>
      </c>
    </row>
    <row r="43420" spans="1:8">
      <c r="A43420" t="s">
        <v>4057</v>
      </c>
      <c r="B43420">
        <f>HYPERLINK("https://android.googlesource.com/platform/cts/+/cfda91d6f75a354a484e9a44d80943016650280d", "cfda91d6f75a354a484e9a44d80943016650280d")</f>
        <v>0</v>
      </c>
      <c r="C43420">
        <f>HYPERLINK("https://android.googlesource.com/platform/cts/+/9e43735f96dc7b5f4107885469197498aa34c451", "9e43735f96dc7b5f4107885469197498aa34c451")</f>
        <v>0</v>
      </c>
      <c r="D43420" t="s">
        <v>5409</v>
      </c>
      <c r="E43420" t="s">
        <v>9745</v>
      </c>
      <c r="F43420" t="s">
        <v>14592</v>
      </c>
      <c r="G43420" t="s">
        <v>18509</v>
      </c>
      <c r="H43420" t="s">
        <v>36805</v>
      </c>
    </row>
    <row r="43421" spans="1:8">
      <c r="H43421" t="s">
        <v>36806</v>
      </c>
    </row>
    <row r="43422" spans="1:8">
      <c r="H43422" t="s">
        <v>36807</v>
      </c>
    </row>
    <row r="43423" spans="1:8">
      <c r="H43423" t="s">
        <v>36808</v>
      </c>
    </row>
    <row r="43424" spans="1:8">
      <c r="H43424" t="s">
        <v>36809</v>
      </c>
    </row>
    <row r="43425" spans="1:8">
      <c r="H43425" t="s">
        <v>36810</v>
      </c>
    </row>
    <row r="43426" spans="1:8">
      <c r="A43426" t="s">
        <v>4058</v>
      </c>
      <c r="B43426">
        <f>HYPERLINK("https://android.googlesource.com/platform/cts/+/339037a2fa3671bd5c2fbc65b40adeb062d43d9b", "339037a2fa3671bd5c2fbc65b40adeb062d43d9b")</f>
        <v>0</v>
      </c>
      <c r="C43426">
        <f>HYPERLINK("https://android.googlesource.com/platform/cts/+/cfda91d6f75a354a484e9a44d80943016650280d", "cfda91d6f75a354a484e9a44d80943016650280d")</f>
        <v>0</v>
      </c>
      <c r="D43426" t="s">
        <v>5409</v>
      </c>
      <c r="E43426" t="s">
        <v>9746</v>
      </c>
      <c r="F43426" t="s">
        <v>14593</v>
      </c>
      <c r="G43426" t="s">
        <v>18510</v>
      </c>
      <c r="H43426" t="s">
        <v>36811</v>
      </c>
    </row>
    <row r="43427" spans="1:8">
      <c r="A43427" t="s">
        <v>4059</v>
      </c>
      <c r="B43427">
        <f>HYPERLINK("https://android.googlesource.com/platform/cts/+/8ef187622ee31c14c2f1a4cfdcf9b77ba9cb3941", "8ef187622ee31c14c2f1a4cfdcf9b77ba9cb3941")</f>
        <v>0</v>
      </c>
      <c r="C43427">
        <f>HYPERLINK("https://android.googlesource.com/platform/cts/+/6a925b334338b231d2415243ac91a780332276fd", "6a925b334338b231d2415243ac91a780332276fd")</f>
        <v>0</v>
      </c>
      <c r="D43427" t="s">
        <v>5409</v>
      </c>
      <c r="E43427" t="s">
        <v>9747</v>
      </c>
      <c r="F43427" t="s">
        <v>14288</v>
      </c>
      <c r="G43427" t="s">
        <v>16823</v>
      </c>
      <c r="H43427" t="s">
        <v>36812</v>
      </c>
    </row>
    <row r="43428" spans="1:8">
      <c r="A43428" t="s">
        <v>4060</v>
      </c>
      <c r="B43428">
        <f>HYPERLINK("https://android.googlesource.com/platform/cts/+/53f6df771b69707424f6ef66511b1556d393c2b3", "53f6df771b69707424f6ef66511b1556d393c2b3")</f>
        <v>0</v>
      </c>
      <c r="C43428">
        <f>HYPERLINK("https://android.googlesource.com/platform/cts/+/8ef187622ee31c14c2f1a4cfdcf9b77ba9cb3941", "8ef187622ee31c14c2f1a4cfdcf9b77ba9cb3941")</f>
        <v>0</v>
      </c>
      <c r="D43428" t="s">
        <v>5409</v>
      </c>
      <c r="E43428" t="s">
        <v>9748</v>
      </c>
      <c r="F43428" t="s">
        <v>14288</v>
      </c>
      <c r="G43428" t="s">
        <v>16823</v>
      </c>
      <c r="H43428" t="s">
        <v>36813</v>
      </c>
    </row>
    <row r="43429" spans="1:8">
      <c r="A43429" t="s">
        <v>4061</v>
      </c>
      <c r="B43429">
        <f>HYPERLINK("https://android.googlesource.com/platform/cts/+/b6457332199d648e6e29c0d6d8747740e9a04ee9", "b6457332199d648e6e29c0d6d8747740e9a04ee9")</f>
        <v>0</v>
      </c>
      <c r="C43429">
        <f>HYPERLINK("https://android.googlesource.com/platform/cts/+/53f6df771b69707424f6ef66511b1556d393c2b3", "53f6df771b69707424f6ef66511b1556d393c2b3")</f>
        <v>0</v>
      </c>
      <c r="D43429" t="s">
        <v>5409</v>
      </c>
      <c r="E43429" t="s">
        <v>9749</v>
      </c>
      <c r="F43429" t="s">
        <v>14288</v>
      </c>
      <c r="G43429" t="s">
        <v>16823</v>
      </c>
      <c r="H43429" t="s">
        <v>36814</v>
      </c>
    </row>
    <row r="43430" spans="1:8">
      <c r="H43430" t="s">
        <v>36815</v>
      </c>
    </row>
    <row r="43431" spans="1:8">
      <c r="H43431" t="s">
        <v>36816</v>
      </c>
    </row>
    <row r="43432" spans="1:8">
      <c r="H43432" t="s">
        <v>36817</v>
      </c>
    </row>
    <row r="43433" spans="1:8">
      <c r="H43433" t="s">
        <v>36818</v>
      </c>
    </row>
    <row r="43434" spans="1:8">
      <c r="H43434" t="s">
        <v>20012</v>
      </c>
    </row>
    <row r="43435" spans="1:8">
      <c r="A43435" t="s">
        <v>4062</v>
      </c>
      <c r="B43435">
        <f>HYPERLINK("https://android.googlesource.com/platform/cts/+/a0193e8b64626f92c6a36cb0e0e2219fbcce0b4f", "a0193e8b64626f92c6a36cb0e0e2219fbcce0b4f")</f>
        <v>0</v>
      </c>
      <c r="C43435">
        <f>HYPERLINK("https://android.googlesource.com/platform/cts/+/b6457332199d648e6e29c0d6d8747740e9a04ee9", "b6457332199d648e6e29c0d6d8747740e9a04ee9")</f>
        <v>0</v>
      </c>
      <c r="D43435" t="s">
        <v>5409</v>
      </c>
      <c r="E43435" t="s">
        <v>9750</v>
      </c>
      <c r="F43435" t="s">
        <v>14288</v>
      </c>
      <c r="G43435" t="s">
        <v>16823</v>
      </c>
      <c r="H43435" t="s">
        <v>22678</v>
      </c>
    </row>
    <row r="43436" spans="1:8">
      <c r="H43436" t="s">
        <v>18829</v>
      </c>
    </row>
    <row r="43437" spans="1:8">
      <c r="H43437" t="s">
        <v>18863</v>
      </c>
    </row>
    <row r="43438" spans="1:8">
      <c r="H43438" t="s">
        <v>36819</v>
      </c>
    </row>
    <row r="43439" spans="1:8">
      <c r="H43439" t="s">
        <v>36820</v>
      </c>
    </row>
    <row r="43440" spans="1:8">
      <c r="H43440" t="s">
        <v>36821</v>
      </c>
    </row>
    <row r="43441" spans="1:8">
      <c r="H43441" t="s">
        <v>26259</v>
      </c>
    </row>
    <row r="43442" spans="1:8">
      <c r="H43442" t="s">
        <v>26259</v>
      </c>
    </row>
    <row r="43443" spans="1:8">
      <c r="H43443" t="s">
        <v>36822</v>
      </c>
    </row>
    <row r="43444" spans="1:8">
      <c r="F43444" t="s">
        <v>12743</v>
      </c>
      <c r="G43444" t="s">
        <v>16935</v>
      </c>
      <c r="H43444" t="s">
        <v>28698</v>
      </c>
    </row>
    <row r="43445" spans="1:8">
      <c r="F43445" t="s">
        <v>13229</v>
      </c>
      <c r="G43445" t="s">
        <v>17370</v>
      </c>
      <c r="H43445" t="s">
        <v>32650</v>
      </c>
    </row>
    <row r="43446" spans="1:8">
      <c r="A43446" t="s">
        <v>4063</v>
      </c>
      <c r="B43446">
        <f>HYPERLINK("https://android.googlesource.com/platform/cts/+/4465c1053e4c9d1b0fd47f79ab2fccef46cbfbc3", "4465c1053e4c9d1b0fd47f79ab2fccef46cbfbc3")</f>
        <v>0</v>
      </c>
      <c r="C43446">
        <f>HYPERLINK("https://android.googlesource.com/platform/cts/+/545ce33e994bc6d43612636f079859f9d0596986", "545ce33e994bc6d43612636f079859f9d0596986")</f>
        <v>0</v>
      </c>
      <c r="D43446" t="s">
        <v>5655</v>
      </c>
      <c r="E43446" t="s">
        <v>9751</v>
      </c>
      <c r="F43446" t="s">
        <v>13972</v>
      </c>
      <c r="G43446" t="s">
        <v>17997</v>
      </c>
      <c r="H43446" t="s">
        <v>36823</v>
      </c>
    </row>
    <row r="43447" spans="1:8">
      <c r="A43447" t="s">
        <v>4064</v>
      </c>
      <c r="B43447">
        <f>HYPERLINK("https://android.googlesource.com/platform/cts/+/829d5e4e7304464c4722555c3529fc6210df262f", "829d5e4e7304464c4722555c3529fc6210df262f")</f>
        <v>0</v>
      </c>
      <c r="C43447">
        <f>HYPERLINK("https://android.googlesource.com/platform/cts/+/bd81f2228d771aac9808212899a600effc59ffc6", "bd81f2228d771aac9808212899a600effc59ffc6")</f>
        <v>0</v>
      </c>
      <c r="D43447" t="s">
        <v>5656</v>
      </c>
      <c r="E43447" t="s">
        <v>9752</v>
      </c>
      <c r="F43447" t="s">
        <v>12176</v>
      </c>
      <c r="G43447" t="s">
        <v>16415</v>
      </c>
      <c r="H43447" t="s">
        <v>36824</v>
      </c>
    </row>
    <row r="43448" spans="1:8">
      <c r="H43448" t="s">
        <v>36825</v>
      </c>
    </row>
    <row r="43449" spans="1:8">
      <c r="H43449" t="s">
        <v>36826</v>
      </c>
    </row>
    <row r="43450" spans="1:8">
      <c r="H43450" t="s">
        <v>36827</v>
      </c>
    </row>
    <row r="43451" spans="1:8">
      <c r="H43451" t="s">
        <v>36828</v>
      </c>
    </row>
    <row r="43452" spans="1:8">
      <c r="H43452" t="s">
        <v>36829</v>
      </c>
    </row>
    <row r="43453" spans="1:8">
      <c r="H43453" t="s">
        <v>36830</v>
      </c>
    </row>
    <row r="43454" spans="1:8">
      <c r="H43454" t="s">
        <v>36831</v>
      </c>
    </row>
    <row r="43455" spans="1:8">
      <c r="A43455" t="s">
        <v>4065</v>
      </c>
      <c r="B43455">
        <f>HYPERLINK("https://android.googlesource.com/platform/cts/+/cb983479a294803844eed1b05d4cea08ed5b8546", "cb983479a294803844eed1b05d4cea08ed5b8546")</f>
        <v>0</v>
      </c>
      <c r="C43455">
        <f>HYPERLINK("https://android.googlesource.com/platform/cts/+/ef63312983f1770df44884684d8b2c7266eb1786", "ef63312983f1770df44884684d8b2c7266eb1786")</f>
        <v>0</v>
      </c>
      <c r="D43455" t="s">
        <v>5624</v>
      </c>
      <c r="E43455" t="s">
        <v>9753</v>
      </c>
      <c r="F43455" t="s">
        <v>12176</v>
      </c>
      <c r="G43455" t="s">
        <v>16415</v>
      </c>
      <c r="H43455" t="s">
        <v>36789</v>
      </c>
    </row>
    <row r="43456" spans="1:8">
      <c r="H43456" t="s">
        <v>36790</v>
      </c>
    </row>
    <row r="43457" spans="1:8">
      <c r="H43457" t="s">
        <v>36791</v>
      </c>
    </row>
    <row r="43458" spans="1:8">
      <c r="H43458" t="s">
        <v>36792</v>
      </c>
    </row>
    <row r="43459" spans="1:8">
      <c r="A43459" t="s">
        <v>4066</v>
      </c>
      <c r="B43459">
        <f>HYPERLINK("https://android.googlesource.com/platform/cts/+/f22c02928c1dbd70085f31d59da32d1f928a6469", "f22c02928c1dbd70085f31d59da32d1f928a6469")</f>
        <v>0</v>
      </c>
      <c r="C43459">
        <f>HYPERLINK("https://android.googlesource.com/platform/cts/+/fd59cf5951ea7faa766ff9d66dece20fba341965", "fd59cf5951ea7faa766ff9d66dece20fba341965")</f>
        <v>0</v>
      </c>
      <c r="D43459" t="s">
        <v>5366</v>
      </c>
      <c r="E43459" t="s">
        <v>9754</v>
      </c>
      <c r="F43459" t="s">
        <v>13753</v>
      </c>
      <c r="G43459" t="s">
        <v>17813</v>
      </c>
      <c r="H43459" t="s">
        <v>36832</v>
      </c>
    </row>
    <row r="43460" spans="1:8">
      <c r="H43460" t="s">
        <v>36833</v>
      </c>
    </row>
    <row r="43461" spans="1:8">
      <c r="H43461" t="s">
        <v>36834</v>
      </c>
    </row>
    <row r="43462" spans="1:8">
      <c r="H43462" t="s">
        <v>36835</v>
      </c>
    </row>
    <row r="43463" spans="1:8">
      <c r="F43463" t="s">
        <v>14252</v>
      </c>
      <c r="G43463" t="s">
        <v>18217</v>
      </c>
      <c r="H43463" t="s">
        <v>36836</v>
      </c>
    </row>
    <row r="43464" spans="1:8">
      <c r="H43464" t="s">
        <v>36837</v>
      </c>
    </row>
    <row r="43465" spans="1:8">
      <c r="H43465" t="s">
        <v>18829</v>
      </c>
    </row>
    <row r="43466" spans="1:8">
      <c r="H43466" t="s">
        <v>18863</v>
      </c>
    </row>
    <row r="43467" spans="1:8">
      <c r="H43467" t="s">
        <v>36838</v>
      </c>
    </row>
    <row r="43468" spans="1:8">
      <c r="H43468" t="s">
        <v>36839</v>
      </c>
    </row>
    <row r="43469" spans="1:8">
      <c r="A43469" t="s">
        <v>4067</v>
      </c>
      <c r="B43469">
        <f>HYPERLINK("https://android.googlesource.com/platform/cts/+/92236ff8b2cb5085333a6847e97fde12c2ed32d1", "92236ff8b2cb5085333a6847e97fde12c2ed32d1")</f>
        <v>0</v>
      </c>
      <c r="C43469">
        <f>HYPERLINK("https://android.googlesource.com/platform/cts/+/a22031ffe4e9c114edaf40f834602f42baf2e8ea", "a22031ffe4e9c114edaf40f834602f42baf2e8ea")</f>
        <v>0</v>
      </c>
      <c r="D43469" t="s">
        <v>5617</v>
      </c>
      <c r="E43469" t="s">
        <v>9755</v>
      </c>
      <c r="F43469" t="s">
        <v>14594</v>
      </c>
      <c r="G43469" t="s">
        <v>18511</v>
      </c>
      <c r="H43469" t="s">
        <v>36840</v>
      </c>
    </row>
    <row r="43470" spans="1:8">
      <c r="H43470" t="s">
        <v>36841</v>
      </c>
    </row>
    <row r="43471" spans="1:8">
      <c r="F43471" t="s">
        <v>14595</v>
      </c>
      <c r="G43471" t="s">
        <v>18512</v>
      </c>
      <c r="H43471" t="s">
        <v>36842</v>
      </c>
    </row>
    <row r="43472" spans="1:8">
      <c r="H43472" t="s">
        <v>36843</v>
      </c>
    </row>
    <row r="43473" spans="1:8">
      <c r="H43473" t="s">
        <v>34042</v>
      </c>
    </row>
    <row r="43474" spans="1:8">
      <c r="F43474" t="s">
        <v>14596</v>
      </c>
      <c r="G43474" t="s">
        <v>18513</v>
      </c>
      <c r="H43474" t="s">
        <v>36844</v>
      </c>
    </row>
    <row r="43475" spans="1:8">
      <c r="H43475" t="s">
        <v>36845</v>
      </c>
    </row>
    <row r="43476" spans="1:8">
      <c r="H43476" t="s">
        <v>36846</v>
      </c>
    </row>
    <row r="43477" spans="1:8">
      <c r="A43477" t="s">
        <v>4068</v>
      </c>
      <c r="B43477">
        <f>HYPERLINK("https://android.googlesource.com/platform/cts/+/84c0c1d5eeb90653da9b30c9d85f09b3571568b5", "84c0c1d5eeb90653da9b30c9d85f09b3571568b5")</f>
        <v>0</v>
      </c>
      <c r="C43477">
        <f>HYPERLINK("https://android.googlesource.com/platform/cts/+/571a8a110ff5c15281c7e448e5c5a1838205122b", "571a8a110ff5c15281c7e448e5c5a1838205122b")</f>
        <v>0</v>
      </c>
      <c r="D43477" t="s">
        <v>5040</v>
      </c>
      <c r="E43477" t="s">
        <v>9756</v>
      </c>
      <c r="F43477" t="s">
        <v>14597</v>
      </c>
      <c r="G43477" t="s">
        <v>18440</v>
      </c>
      <c r="H43477" t="s">
        <v>36847</v>
      </c>
    </row>
    <row r="43478" spans="1:8">
      <c r="A43478" t="s">
        <v>4069</v>
      </c>
      <c r="B43478">
        <f>HYPERLINK("https://android.googlesource.com/platform/cts/+/929e35c4a53453d4d71d240e23c4822e86b7c1fb", "929e35c4a53453d4d71d240e23c4822e86b7c1fb")</f>
        <v>0</v>
      </c>
      <c r="C43478">
        <f>HYPERLINK("https://android.googlesource.com/platform/cts/+/96985e3eb9c520e19c00f1354a8fe26cf318db47", "96985e3eb9c520e19c00f1354a8fe26cf318db47")</f>
        <v>0</v>
      </c>
      <c r="D43478" t="s">
        <v>5633</v>
      </c>
      <c r="E43478" t="s">
        <v>9757</v>
      </c>
      <c r="F43478" t="s">
        <v>13398</v>
      </c>
      <c r="G43478" t="s">
        <v>17524</v>
      </c>
      <c r="H43478" t="s">
        <v>36848</v>
      </c>
    </row>
    <row r="43479" spans="1:8">
      <c r="A43479" t="s">
        <v>4070</v>
      </c>
      <c r="B43479">
        <f>HYPERLINK("https://android.googlesource.com/platform/cts/+/a28785a14c67a24877f1d48aa0956fd122c82a05", "a28785a14c67a24877f1d48aa0956fd122c82a05")</f>
        <v>0</v>
      </c>
      <c r="C43479">
        <f>HYPERLINK("https://android.googlesource.com/platform/cts/+/2351a964deb1dc06db025e0c433a8d696b84596b", "2351a964deb1dc06db025e0c433a8d696b84596b")</f>
        <v>0</v>
      </c>
      <c r="D43479" t="s">
        <v>5481</v>
      </c>
      <c r="E43479" t="s">
        <v>9758</v>
      </c>
      <c r="F43479" t="s">
        <v>14598</v>
      </c>
      <c r="G43479" t="s">
        <v>18514</v>
      </c>
      <c r="H43479" t="s">
        <v>36849</v>
      </c>
    </row>
    <row r="43480" spans="1:8">
      <c r="H43480" t="s">
        <v>36850</v>
      </c>
    </row>
    <row r="43481" spans="1:8">
      <c r="A43481" t="s">
        <v>4071</v>
      </c>
      <c r="B43481">
        <f>HYPERLINK("https://android.googlesource.com/platform/cts/+/a794b7d78fa4e8398cf04db7e02a46cc97e8526d", "a794b7d78fa4e8398cf04db7e02a46cc97e8526d")</f>
        <v>0</v>
      </c>
      <c r="C43481">
        <f>HYPERLINK("https://android.googlesource.com/platform/cts/+/66baade6fdd2337e863569a9b3af6818f20e2d22", "66baade6fdd2337e863569a9b3af6818f20e2d22")</f>
        <v>0</v>
      </c>
      <c r="D43481" t="s">
        <v>5617</v>
      </c>
      <c r="E43481" t="s">
        <v>9759</v>
      </c>
      <c r="F43481" t="s">
        <v>14599</v>
      </c>
      <c r="G43481" t="s">
        <v>18515</v>
      </c>
      <c r="H43481" t="s">
        <v>36851</v>
      </c>
    </row>
    <row r="43482" spans="1:8">
      <c r="H43482" t="s">
        <v>34045</v>
      </c>
    </row>
    <row r="43483" spans="1:8">
      <c r="F43483" t="s">
        <v>14600</v>
      </c>
      <c r="G43483" t="s">
        <v>18516</v>
      </c>
      <c r="H43483" t="s">
        <v>36852</v>
      </c>
    </row>
    <row r="43484" spans="1:8">
      <c r="H43484" t="s">
        <v>36853</v>
      </c>
    </row>
    <row r="43485" spans="1:8">
      <c r="H43485" t="s">
        <v>36854</v>
      </c>
    </row>
    <row r="43486" spans="1:8">
      <c r="H43486" t="s">
        <v>36855</v>
      </c>
    </row>
    <row r="43487" spans="1:8">
      <c r="A43487" t="s">
        <v>4072</v>
      </c>
      <c r="B43487">
        <f>HYPERLINK("https://android.googlesource.com/platform/cts/+/fdbebcda510299f470617e8f4afab6f1096313f6", "fdbebcda510299f470617e8f4afab6f1096313f6")</f>
        <v>0</v>
      </c>
      <c r="C43487">
        <f>HYPERLINK("https://android.googlesource.com/platform/cts/+/c8e16608b19f82295bdb42ddad671139f05129ce", "c8e16608b19f82295bdb42ddad671139f05129ce")</f>
        <v>0</v>
      </c>
      <c r="D43487" t="s">
        <v>5244</v>
      </c>
      <c r="E43487" t="s">
        <v>9760</v>
      </c>
      <c r="F43487" t="s">
        <v>14565</v>
      </c>
      <c r="G43487" t="s">
        <v>18486</v>
      </c>
      <c r="H43487" t="s">
        <v>18863</v>
      </c>
    </row>
    <row r="43488" spans="1:8">
      <c r="A43488" t="s">
        <v>4073</v>
      </c>
      <c r="B43488">
        <f>HYPERLINK("https://android.googlesource.com/platform/cts/+/18c4bcfcce7baf85e56042e3ab77f5892d9019b9", "18c4bcfcce7baf85e56042e3ab77f5892d9019b9")</f>
        <v>0</v>
      </c>
      <c r="C43488">
        <f>HYPERLINK("https://android.googlesource.com/platform/cts/+/5c52652b7162ca308f05b35009f2d9d12ef96db9", "5c52652b7162ca308f05b35009f2d9d12ef96db9")</f>
        <v>0</v>
      </c>
      <c r="D43488" t="s">
        <v>5657</v>
      </c>
      <c r="E43488" t="s">
        <v>9761</v>
      </c>
      <c r="F43488" t="s">
        <v>14601</v>
      </c>
      <c r="G43488" t="s">
        <v>18517</v>
      </c>
      <c r="H43488" t="s">
        <v>36856</v>
      </c>
    </row>
    <row r="43489" spans="1:8">
      <c r="A43489" t="s">
        <v>4074</v>
      </c>
      <c r="B43489">
        <f>HYPERLINK("https://android.googlesource.com/platform/cts/+/11447fb800a6321d1137abd430f38ab9d28e0700", "11447fb800a6321d1137abd430f38ab9d28e0700")</f>
        <v>0</v>
      </c>
      <c r="C43489">
        <f>HYPERLINK("https://android.googlesource.com/platform/cts/+/89b6b7107cf2f788ada01b4cd37a43aee70ff471", "89b6b7107cf2f788ada01b4cd37a43aee70ff471")</f>
        <v>0</v>
      </c>
      <c r="D43489" t="s">
        <v>5607</v>
      </c>
      <c r="E43489" t="s">
        <v>9762</v>
      </c>
      <c r="F43489" t="s">
        <v>14563</v>
      </c>
      <c r="G43489" t="s">
        <v>18409</v>
      </c>
      <c r="H43489" t="s">
        <v>36857</v>
      </c>
    </row>
    <row r="43490" spans="1:8">
      <c r="A43490" t="s">
        <v>4075</v>
      </c>
      <c r="B43490">
        <f>HYPERLINK("https://android.googlesource.com/platform/cts/+/d6416f6c1ba1b29f1bee853bc72d67230ad195f5", "d6416f6c1ba1b29f1bee853bc72d67230ad195f5")</f>
        <v>0</v>
      </c>
      <c r="C43490">
        <f>HYPERLINK("https://android.googlesource.com/platform/cts/+/beb84403b653b73428da06c747fc182ce2bdaed5", "beb84403b653b73428da06c747fc182ce2bdaed5")</f>
        <v>0</v>
      </c>
      <c r="D43490" t="s">
        <v>5400</v>
      </c>
      <c r="E43490" t="s">
        <v>9763</v>
      </c>
      <c r="F43490" t="s">
        <v>14474</v>
      </c>
      <c r="G43490" t="s">
        <v>18406</v>
      </c>
      <c r="H43490" t="s">
        <v>36858</v>
      </c>
    </row>
    <row r="43491" spans="1:8">
      <c r="H43491" t="s">
        <v>36858</v>
      </c>
    </row>
    <row r="43492" spans="1:8">
      <c r="A43492" t="s">
        <v>4076</v>
      </c>
      <c r="B43492">
        <f>HYPERLINK("https://android.googlesource.com/platform/cts/+/a5f0800d7b43d8ad5d73ed5437a7adcec1a22358", "a5f0800d7b43d8ad5d73ed5437a7adcec1a22358")</f>
        <v>0</v>
      </c>
      <c r="C43492">
        <f>HYPERLINK("https://android.googlesource.com/platform/cts/+/eb555cdd4c41591dd4811c98316ce6e7c02f8779", "eb555cdd4c41591dd4811c98316ce6e7c02f8779")</f>
        <v>0</v>
      </c>
      <c r="D43492" t="s">
        <v>5219</v>
      </c>
      <c r="E43492" t="s">
        <v>9764</v>
      </c>
      <c r="F43492" t="s">
        <v>14512</v>
      </c>
      <c r="G43492" t="s">
        <v>18414</v>
      </c>
      <c r="H43492" t="s">
        <v>36859</v>
      </c>
    </row>
    <row r="43493" spans="1:8">
      <c r="A43493" t="s">
        <v>4077</v>
      </c>
      <c r="B43493">
        <f>HYPERLINK("https://android.googlesource.com/platform/cts/+/e0453ae822136b3ee591aefeaa3efd9c9e8b4217", "e0453ae822136b3ee591aefeaa3efd9c9e8b4217")</f>
        <v>0</v>
      </c>
      <c r="C43493">
        <f>HYPERLINK("https://android.googlesource.com/platform/cts/+/20687daf1bffe90dcfeaf6fe0fc281f2c38f3b6d", "20687daf1bffe90dcfeaf6fe0fc281f2c38f3b6d")</f>
        <v>0</v>
      </c>
      <c r="D43493" t="s">
        <v>5272</v>
      </c>
      <c r="E43493" t="s">
        <v>9765</v>
      </c>
      <c r="F43493" t="s">
        <v>14602</v>
      </c>
      <c r="G43493" t="s">
        <v>18518</v>
      </c>
      <c r="H43493" t="s">
        <v>36860</v>
      </c>
    </row>
    <row r="43494" spans="1:8">
      <c r="A43494" t="s">
        <v>4078</v>
      </c>
      <c r="B43494">
        <f>HYPERLINK("https://android.googlesource.com/platform/cts/+/399d918e8b920cda68d72c29b2edd2bb2bc80c89", "399d918e8b920cda68d72c29b2edd2bb2bc80c89")</f>
        <v>0</v>
      </c>
      <c r="C43494">
        <f>HYPERLINK("https://android.googlesource.com/platform/cts/+/84c0c1d5eeb90653da9b30c9d85f09b3571568b5", "84c0c1d5eeb90653da9b30c9d85f09b3571568b5")</f>
        <v>0</v>
      </c>
      <c r="D43494" t="s">
        <v>5040</v>
      </c>
      <c r="E43494" t="s">
        <v>9766</v>
      </c>
      <c r="F43494" t="s">
        <v>14509</v>
      </c>
      <c r="G43494" t="s">
        <v>18437</v>
      </c>
      <c r="H43494" t="s">
        <v>18829</v>
      </c>
    </row>
    <row r="43495" spans="1:8">
      <c r="H43495" t="s">
        <v>18863</v>
      </c>
    </row>
    <row r="43496" spans="1:8">
      <c r="H43496" t="s">
        <v>36285</v>
      </c>
    </row>
    <row r="43497" spans="1:8">
      <c r="H43497" t="s">
        <v>36286</v>
      </c>
    </row>
    <row r="43498" spans="1:8">
      <c r="H43498" t="s">
        <v>36296</v>
      </c>
    </row>
    <row r="43499" spans="1:8">
      <c r="H43499" t="s">
        <v>36297</v>
      </c>
    </row>
    <row r="43500" spans="1:8">
      <c r="H43500" t="s">
        <v>36861</v>
      </c>
    </row>
    <row r="43501" spans="1:8">
      <c r="H43501" t="s">
        <v>36299</v>
      </c>
    </row>
    <row r="43502" spans="1:8">
      <c r="H43502" t="s">
        <v>36300</v>
      </c>
    </row>
    <row r="43503" spans="1:8">
      <c r="H43503" t="s">
        <v>36301</v>
      </c>
    </row>
    <row r="43504" spans="1:8">
      <c r="H43504" t="s">
        <v>36303</v>
      </c>
    </row>
    <row r="43505" spans="1:8">
      <c r="F43505" t="s">
        <v>14597</v>
      </c>
      <c r="G43505" t="s">
        <v>18440</v>
      </c>
      <c r="H43505" t="s">
        <v>36862</v>
      </c>
    </row>
    <row r="43506" spans="1:8">
      <c r="H43506" t="s">
        <v>36863</v>
      </c>
    </row>
    <row r="43507" spans="1:8">
      <c r="H43507" t="s">
        <v>36864</v>
      </c>
    </row>
    <row r="43508" spans="1:8">
      <c r="H43508" t="s">
        <v>36865</v>
      </c>
    </row>
    <row r="43509" spans="1:8">
      <c r="H43509" t="s">
        <v>36866</v>
      </c>
    </row>
    <row r="43510" spans="1:8">
      <c r="A43510" t="s">
        <v>4079</v>
      </c>
      <c r="B43510">
        <f>HYPERLINK("https://android.googlesource.com/platform/cts/+/829386b620dde8170ae47533a3b6b7bd75bc7565", "829386b620dde8170ae47533a3b6b7bd75bc7565")</f>
        <v>0</v>
      </c>
      <c r="C43510">
        <f>HYPERLINK("https://android.googlesource.com/platform/cts/+/1355cadedc27797470a534de824c05beba313736", "1355cadedc27797470a534de824c05beba313736")</f>
        <v>0</v>
      </c>
      <c r="D43510" t="s">
        <v>5409</v>
      </c>
      <c r="E43510" t="s">
        <v>9767</v>
      </c>
      <c r="F43510" t="s">
        <v>14462</v>
      </c>
      <c r="G43510" t="s">
        <v>18326</v>
      </c>
      <c r="H43510" t="s">
        <v>36867</v>
      </c>
    </row>
    <row r="43511" spans="1:8">
      <c r="H43511" t="s">
        <v>36868</v>
      </c>
    </row>
    <row r="43512" spans="1:8">
      <c r="H43512" t="s">
        <v>36869</v>
      </c>
    </row>
    <row r="43513" spans="1:8">
      <c r="H43513" t="s">
        <v>36870</v>
      </c>
    </row>
    <row r="43514" spans="1:8">
      <c r="H43514" t="s">
        <v>36871</v>
      </c>
    </row>
    <row r="43515" spans="1:8">
      <c r="H43515" t="s">
        <v>36872</v>
      </c>
    </row>
    <row r="43516" spans="1:8">
      <c r="H43516" t="s">
        <v>36873</v>
      </c>
    </row>
    <row r="43517" spans="1:8">
      <c r="H43517" t="s">
        <v>36874</v>
      </c>
    </row>
    <row r="43518" spans="1:8">
      <c r="H43518" t="s">
        <v>36875</v>
      </c>
    </row>
    <row r="43519" spans="1:8">
      <c r="H43519" t="s">
        <v>36876</v>
      </c>
    </row>
    <row r="43520" spans="1:8">
      <c r="H43520" t="s">
        <v>36877</v>
      </c>
    </row>
    <row r="43521" spans="8:8">
      <c r="H43521" t="s">
        <v>36878</v>
      </c>
    </row>
    <row r="43522" spans="8:8">
      <c r="H43522" t="s">
        <v>36879</v>
      </c>
    </row>
    <row r="43523" spans="8:8">
      <c r="H43523" t="s">
        <v>36880</v>
      </c>
    </row>
    <row r="43524" spans="8:8">
      <c r="H43524" t="s">
        <v>36881</v>
      </c>
    </row>
    <row r="43525" spans="8:8">
      <c r="H43525" t="s">
        <v>36882</v>
      </c>
    </row>
    <row r="43526" spans="8:8">
      <c r="H43526" t="s">
        <v>36883</v>
      </c>
    </row>
    <row r="43527" spans="8:8">
      <c r="H43527" t="s">
        <v>36884</v>
      </c>
    </row>
    <row r="43528" spans="8:8">
      <c r="H43528" t="s">
        <v>36885</v>
      </c>
    </row>
    <row r="43529" spans="8:8">
      <c r="H43529" t="s">
        <v>36886</v>
      </c>
    </row>
    <row r="43530" spans="8:8">
      <c r="H43530" t="s">
        <v>36887</v>
      </c>
    </row>
    <row r="43531" spans="8:8">
      <c r="H43531" t="s">
        <v>36888</v>
      </c>
    </row>
    <row r="43532" spans="8:8">
      <c r="H43532" t="s">
        <v>36889</v>
      </c>
    </row>
    <row r="43533" spans="8:8">
      <c r="H43533" t="s">
        <v>36890</v>
      </c>
    </row>
    <row r="43534" spans="8:8">
      <c r="H43534" t="s">
        <v>36891</v>
      </c>
    </row>
    <row r="43535" spans="8:8">
      <c r="H43535" t="s">
        <v>36892</v>
      </c>
    </row>
    <row r="43536" spans="8:8">
      <c r="H43536" t="s">
        <v>36893</v>
      </c>
    </row>
    <row r="43537" spans="8:8">
      <c r="H43537" t="s">
        <v>36894</v>
      </c>
    </row>
    <row r="43538" spans="8:8">
      <c r="H43538" t="s">
        <v>36895</v>
      </c>
    </row>
    <row r="43539" spans="8:8">
      <c r="H43539" t="s">
        <v>36896</v>
      </c>
    </row>
    <row r="43540" spans="8:8">
      <c r="H43540" t="s">
        <v>36897</v>
      </c>
    </row>
    <row r="43541" spans="8:8">
      <c r="H43541" t="s">
        <v>36898</v>
      </c>
    </row>
    <row r="43542" spans="8:8">
      <c r="H43542" t="s">
        <v>36899</v>
      </c>
    </row>
    <row r="43543" spans="8:8">
      <c r="H43543" t="s">
        <v>36900</v>
      </c>
    </row>
    <row r="43544" spans="8:8">
      <c r="H43544" t="s">
        <v>36901</v>
      </c>
    </row>
    <row r="43545" spans="8:8">
      <c r="H43545" t="s">
        <v>36902</v>
      </c>
    </row>
    <row r="43546" spans="8:8">
      <c r="H43546" t="s">
        <v>36903</v>
      </c>
    </row>
    <row r="43547" spans="8:8">
      <c r="H43547" t="s">
        <v>36904</v>
      </c>
    </row>
    <row r="43548" spans="8:8">
      <c r="H43548" t="s">
        <v>36905</v>
      </c>
    </row>
    <row r="43549" spans="8:8">
      <c r="H43549" t="s">
        <v>36906</v>
      </c>
    </row>
    <row r="43550" spans="8:8">
      <c r="H43550" t="s">
        <v>36907</v>
      </c>
    </row>
    <row r="43551" spans="8:8">
      <c r="H43551" t="s">
        <v>36908</v>
      </c>
    </row>
    <row r="43552" spans="8:8">
      <c r="H43552" t="s">
        <v>36909</v>
      </c>
    </row>
    <row r="43553" spans="1:8">
      <c r="H43553" t="s">
        <v>36910</v>
      </c>
    </row>
    <row r="43554" spans="1:8">
      <c r="H43554" t="s">
        <v>36911</v>
      </c>
    </row>
    <row r="43555" spans="1:8">
      <c r="H43555" t="s">
        <v>36912</v>
      </c>
    </row>
    <row r="43556" spans="1:8">
      <c r="A43556" t="s">
        <v>4080</v>
      </c>
      <c r="B43556">
        <f>HYPERLINK("https://android.googlesource.com/platform/cts/+/177e833a9b25ec90501ee98f062177f2b57f2611", "177e833a9b25ec90501ee98f062177f2b57f2611")</f>
        <v>0</v>
      </c>
      <c r="C43556">
        <f>HYPERLINK("https://android.googlesource.com/platform/cts/+/a0193e8b64626f92c6a36cb0e0e2219fbcce0b4f", "a0193e8b64626f92c6a36cb0e0e2219fbcce0b4f")</f>
        <v>0</v>
      </c>
      <c r="D43556" t="s">
        <v>5409</v>
      </c>
      <c r="E43556" t="s">
        <v>9768</v>
      </c>
      <c r="F43556" t="s">
        <v>14603</v>
      </c>
      <c r="G43556" t="s">
        <v>18519</v>
      </c>
      <c r="H43556" t="s">
        <v>36913</v>
      </c>
    </row>
    <row r="43557" spans="1:8">
      <c r="H43557" t="s">
        <v>36914</v>
      </c>
    </row>
    <row r="43558" spans="1:8">
      <c r="F43558" t="s">
        <v>13136</v>
      </c>
      <c r="G43558" t="s">
        <v>17293</v>
      </c>
      <c r="H43558" t="s">
        <v>28698</v>
      </c>
    </row>
    <row r="43559" spans="1:8">
      <c r="A43559" t="s">
        <v>4081</v>
      </c>
      <c r="B43559">
        <f>HYPERLINK("https://android.googlesource.com/platform/cts/+/fc53507da74861adec8321847e7902418ff9a553", "fc53507da74861adec8321847e7902418ff9a553")</f>
        <v>0</v>
      </c>
      <c r="C43559">
        <f>HYPERLINK("https://android.googlesource.com/platform/cts/+/372cbf7570b4f701f9b9984d95586130d9de8e1c", "372cbf7570b4f701f9b9984d95586130d9de8e1c")</f>
        <v>0</v>
      </c>
      <c r="D43559" t="s">
        <v>5428</v>
      </c>
      <c r="E43559" t="s">
        <v>9769</v>
      </c>
      <c r="F43559" t="s">
        <v>14604</v>
      </c>
      <c r="G43559" t="s">
        <v>18520</v>
      </c>
      <c r="H43559" t="s">
        <v>18829</v>
      </c>
    </row>
    <row r="43560" spans="1:8">
      <c r="H43560" t="s">
        <v>18863</v>
      </c>
    </row>
    <row r="43561" spans="1:8">
      <c r="H43561" t="s">
        <v>36915</v>
      </c>
    </row>
    <row r="43562" spans="1:8">
      <c r="H43562" t="s">
        <v>36916</v>
      </c>
    </row>
    <row r="43563" spans="1:8">
      <c r="H43563" t="s">
        <v>29719</v>
      </c>
    </row>
    <row r="43564" spans="1:8">
      <c r="H43564" t="s">
        <v>31438</v>
      </c>
    </row>
    <row r="43565" spans="1:8">
      <c r="A43565" t="s">
        <v>4082</v>
      </c>
      <c r="B43565">
        <f>HYPERLINK("https://android.googlesource.com/platform/cts/+/d303182399bfc0d15f7687c9664521aacee236b0", "d303182399bfc0d15f7687c9664521aacee236b0")</f>
        <v>0</v>
      </c>
      <c r="C43565">
        <f>HYPERLINK("https://android.googlesource.com/platform/cts/+/2d04aecf20acc2f34db257d18ea37e8e10fe6590", "2d04aecf20acc2f34db257d18ea37e8e10fe6590")</f>
        <v>0</v>
      </c>
      <c r="D43565" t="s">
        <v>5658</v>
      </c>
      <c r="E43565" t="s">
        <v>9770</v>
      </c>
      <c r="F43565" t="s">
        <v>14605</v>
      </c>
      <c r="G43565" t="s">
        <v>18521</v>
      </c>
      <c r="H43565" t="s">
        <v>36917</v>
      </c>
    </row>
    <row r="43566" spans="1:8">
      <c r="H43566" t="s">
        <v>36918</v>
      </c>
    </row>
    <row r="43567" spans="1:8">
      <c r="H43567" t="s">
        <v>36919</v>
      </c>
    </row>
    <row r="43568" spans="1:8">
      <c r="H43568" t="s">
        <v>36920</v>
      </c>
    </row>
    <row r="43569" spans="1:8">
      <c r="H43569" t="s">
        <v>36921</v>
      </c>
    </row>
    <row r="43570" spans="1:8">
      <c r="H43570" t="s">
        <v>36922</v>
      </c>
    </row>
    <row r="43571" spans="1:8">
      <c r="H43571" t="s">
        <v>36923</v>
      </c>
    </row>
    <row r="43572" spans="1:8">
      <c r="H43572" t="s">
        <v>36924</v>
      </c>
    </row>
    <row r="43573" spans="1:8">
      <c r="A43573" t="s">
        <v>4084</v>
      </c>
      <c r="B43573">
        <f>HYPERLINK("https://android.googlesource.com/platform/cts/+/27aad09fd59b2d9395c2253b535de24753a801b5", "27aad09fd59b2d9395c2253b535de24753a801b5")</f>
        <v>0</v>
      </c>
      <c r="C43573">
        <f>HYPERLINK("https://android.googlesource.com/platform/cts/+/7f1a976ea7aff647838cd5552f26bce4d624b998", "7f1a976ea7aff647838cd5552f26bce4d624b998")</f>
        <v>0</v>
      </c>
      <c r="D43573" t="s">
        <v>5472</v>
      </c>
      <c r="E43573" t="s">
        <v>9772</v>
      </c>
      <c r="F43573" t="s">
        <v>12743</v>
      </c>
      <c r="G43573" t="s">
        <v>16935</v>
      </c>
      <c r="H43573" t="s">
        <v>36925</v>
      </c>
    </row>
    <row r="43574" spans="1:8">
      <c r="F43574" t="s">
        <v>13229</v>
      </c>
      <c r="G43574" t="s">
        <v>17370</v>
      </c>
      <c r="H43574" t="s">
        <v>36925</v>
      </c>
    </row>
    <row r="43575" spans="1:8">
      <c r="A43575" t="s">
        <v>4085</v>
      </c>
      <c r="B43575">
        <f>HYPERLINK("https://android.googlesource.com/platform/cts/+/bddb9a9d1df8b708ed8f1d7b0fd8a77bbdbed021", "bddb9a9d1df8b708ed8f1d7b0fd8a77bbdbed021")</f>
        <v>0</v>
      </c>
      <c r="C43575">
        <f>HYPERLINK("https://android.googlesource.com/platform/cts/+/2d04aecf20acc2f34db257d18ea37e8e10fe6590", "2d04aecf20acc2f34db257d18ea37e8e10fe6590")</f>
        <v>0</v>
      </c>
      <c r="D43575" t="s">
        <v>5657</v>
      </c>
      <c r="E43575" t="s">
        <v>9773</v>
      </c>
      <c r="F43575" t="s">
        <v>14023</v>
      </c>
      <c r="G43575" t="s">
        <v>18032</v>
      </c>
      <c r="H43575" t="s">
        <v>36926</v>
      </c>
    </row>
    <row r="43576" spans="1:8">
      <c r="A43576" t="s">
        <v>4086</v>
      </c>
      <c r="B43576">
        <f>HYPERLINK("https://android.googlesource.com/platform/cts/+/efe8ae86a745ca7c0382dc7a7abc12d160674a9c", "efe8ae86a745ca7c0382dc7a7abc12d160674a9c")</f>
        <v>0</v>
      </c>
      <c r="C43576">
        <f>HYPERLINK("https://android.googlesource.com/platform/cts/+/8d99d20d9310ff481ead5c64e436b2b4c7aae290", "8d99d20d9310ff481ead5c64e436b2b4c7aae290")</f>
        <v>0</v>
      </c>
      <c r="D43576" t="s">
        <v>5266</v>
      </c>
      <c r="E43576" t="s">
        <v>9774</v>
      </c>
      <c r="F43576" t="s">
        <v>13911</v>
      </c>
      <c r="G43576" t="s">
        <v>17948</v>
      </c>
      <c r="H43576" t="s">
        <v>36927</v>
      </c>
    </row>
    <row r="43577" spans="1:8">
      <c r="H43577" t="s">
        <v>19327</v>
      </c>
    </row>
    <row r="43578" spans="1:8">
      <c r="H43578" t="s">
        <v>36928</v>
      </c>
    </row>
    <row r="43579" spans="1:8">
      <c r="H43579" t="s">
        <v>36929</v>
      </c>
    </row>
    <row r="43580" spans="1:8">
      <c r="A43580" t="s">
        <v>4087</v>
      </c>
      <c r="B43580">
        <f>HYPERLINK("https://android.googlesource.com/platform/cts/+/f0a2e426ffc1515f72cafa4ddc809faeb53ed8d2", "f0a2e426ffc1515f72cafa4ddc809faeb53ed8d2")</f>
        <v>0</v>
      </c>
      <c r="C43580">
        <f>HYPERLINK("https://android.googlesource.com/platform/cts/+/63ca350d8a39ce08ad874e32ea0dda329658c600", "63ca350d8a39ce08ad874e32ea0dda329658c600")</f>
        <v>0</v>
      </c>
      <c r="D43580" t="s">
        <v>5520</v>
      </c>
      <c r="E43580" t="s">
        <v>9775</v>
      </c>
      <c r="F43580" t="s">
        <v>14606</v>
      </c>
      <c r="G43580" t="s">
        <v>18522</v>
      </c>
      <c r="H43580" t="s">
        <v>36930</v>
      </c>
    </row>
    <row r="43581" spans="1:8">
      <c r="A43581" t="s">
        <v>4089</v>
      </c>
      <c r="B43581">
        <f>HYPERLINK("https://android.googlesource.com/platform/cts/+/0a26a5032520d51b141dbfbe3cf6b89e427e5bab", "0a26a5032520d51b141dbfbe3cf6b89e427e5bab")</f>
        <v>0</v>
      </c>
      <c r="C43581">
        <f>HYPERLINK("https://android.googlesource.com/platform/cts/+/9cef16ad1103f1ba278413396156dfec07050808", "9cef16ad1103f1ba278413396156dfec07050808")</f>
        <v>0</v>
      </c>
      <c r="D43581" t="s">
        <v>5659</v>
      </c>
      <c r="E43581" t="s">
        <v>9777</v>
      </c>
      <c r="F43581" t="s">
        <v>14570</v>
      </c>
      <c r="G43581" t="s">
        <v>17580</v>
      </c>
      <c r="H43581" t="s">
        <v>36931</v>
      </c>
    </row>
    <row r="43582" spans="1:8">
      <c r="F43582" t="s">
        <v>14116</v>
      </c>
      <c r="G43582" t="s">
        <v>17580</v>
      </c>
      <c r="H43582" t="s">
        <v>36932</v>
      </c>
    </row>
    <row r="43583" spans="1:8">
      <c r="F43583" t="s">
        <v>13723</v>
      </c>
      <c r="G43583" t="s">
        <v>17580</v>
      </c>
      <c r="H43583" t="s">
        <v>36932</v>
      </c>
    </row>
    <row r="43584" spans="1:8">
      <c r="F43584" t="s">
        <v>14326</v>
      </c>
      <c r="G43584" t="s">
        <v>17580</v>
      </c>
      <c r="H43584" t="s">
        <v>36932</v>
      </c>
    </row>
    <row r="43585" spans="1:8">
      <c r="F43585" t="s">
        <v>14607</v>
      </c>
      <c r="G43585" t="s">
        <v>17580</v>
      </c>
      <c r="H43585" t="s">
        <v>29899</v>
      </c>
    </row>
    <row r="43586" spans="1:8">
      <c r="H43586" t="s">
        <v>35466</v>
      </c>
    </row>
    <row r="43587" spans="1:8">
      <c r="H43587" t="s">
        <v>33155</v>
      </c>
    </row>
    <row r="43588" spans="1:8">
      <c r="H43588" t="s">
        <v>36932</v>
      </c>
    </row>
    <row r="43589" spans="1:8">
      <c r="H43589" t="s">
        <v>31246</v>
      </c>
    </row>
    <row r="43590" spans="1:8">
      <c r="H43590" t="s">
        <v>31244</v>
      </c>
    </row>
    <row r="43591" spans="1:8">
      <c r="H43591" t="s">
        <v>31245</v>
      </c>
    </row>
    <row r="43592" spans="1:8">
      <c r="H43592" t="s">
        <v>36933</v>
      </c>
    </row>
    <row r="43593" spans="1:8">
      <c r="F43593" t="s">
        <v>13724</v>
      </c>
      <c r="G43593" t="s">
        <v>17580</v>
      </c>
      <c r="H43593" t="s">
        <v>36931</v>
      </c>
    </row>
    <row r="43594" spans="1:8">
      <c r="A43594" t="s">
        <v>4090</v>
      </c>
      <c r="B43594">
        <f>HYPERLINK("https://android.googlesource.com/platform/cts/+/7c7e57c1abe2e0c3f80a8ad843cf002b53fd66a7", "7c7e57c1abe2e0c3f80a8ad843cf002b53fd66a7")</f>
        <v>0</v>
      </c>
      <c r="C43594">
        <f>HYPERLINK("https://android.googlesource.com/platform/cts/+/aa3294977fed579b18471cf4aee1043b68f407d9", "aa3294977fed579b18471cf4aee1043b68f407d9")</f>
        <v>0</v>
      </c>
      <c r="D43594" t="s">
        <v>5648</v>
      </c>
      <c r="E43594" t="s">
        <v>9778</v>
      </c>
      <c r="F43594" t="s">
        <v>14559</v>
      </c>
      <c r="G43594" t="s">
        <v>18481</v>
      </c>
      <c r="H43594" t="s">
        <v>36934</v>
      </c>
    </row>
    <row r="43595" spans="1:8">
      <c r="A43595" t="s">
        <v>4091</v>
      </c>
      <c r="B43595">
        <f>HYPERLINK("https://android.googlesource.com/platform/cts/+/dd4802c1ebb0605928c073857b0646d0612fe279", "dd4802c1ebb0605928c073857b0646d0612fe279")</f>
        <v>0</v>
      </c>
      <c r="C43595">
        <f>HYPERLINK("https://android.googlesource.com/platform/cts/+/6aee871b0542de20c263403b79734d4c8167ee86", "6aee871b0542de20c263403b79734d4c8167ee86")</f>
        <v>0</v>
      </c>
      <c r="D43595" t="s">
        <v>5409</v>
      </c>
      <c r="E43595" t="s">
        <v>9779</v>
      </c>
      <c r="F43595" t="s">
        <v>13971</v>
      </c>
      <c r="G43595" t="s">
        <v>17996</v>
      </c>
      <c r="H43595" t="s">
        <v>36935</v>
      </c>
    </row>
    <row r="43596" spans="1:8">
      <c r="H43596" t="s">
        <v>36936</v>
      </c>
    </row>
    <row r="43597" spans="1:8">
      <c r="F43597" t="s">
        <v>12743</v>
      </c>
      <c r="G43597" t="s">
        <v>16935</v>
      </c>
      <c r="H43597" t="s">
        <v>32976</v>
      </c>
    </row>
    <row r="43598" spans="1:8">
      <c r="F43598" t="s">
        <v>13136</v>
      </c>
      <c r="G43598" t="s">
        <v>17293</v>
      </c>
      <c r="H43598" t="s">
        <v>32976</v>
      </c>
    </row>
    <row r="43599" spans="1:8">
      <c r="A43599" t="s">
        <v>4092</v>
      </c>
      <c r="B43599">
        <f>HYPERLINK("https://android.googlesource.com/platform/cts/+/bfa8cabea09e163e7eb3610147d92b4bc4ebd67e", "bfa8cabea09e163e7eb3610147d92b4bc4ebd67e")</f>
        <v>0</v>
      </c>
      <c r="C43599">
        <f>HYPERLINK("https://android.googlesource.com/platform/cts/+/dd4802c1ebb0605928c073857b0646d0612fe279", "dd4802c1ebb0605928c073857b0646d0612fe279")</f>
        <v>0</v>
      </c>
      <c r="D43599" t="s">
        <v>5409</v>
      </c>
      <c r="E43599" t="s">
        <v>9780</v>
      </c>
      <c r="F43599" t="s">
        <v>13971</v>
      </c>
      <c r="G43599" t="s">
        <v>17996</v>
      </c>
      <c r="H43599" t="s">
        <v>36937</v>
      </c>
    </row>
    <row r="43600" spans="1:8">
      <c r="H43600" t="s">
        <v>33672</v>
      </c>
    </row>
    <row r="43601" spans="1:8">
      <c r="H43601" t="s">
        <v>36938</v>
      </c>
    </row>
    <row r="43602" spans="1:8">
      <c r="H43602" t="s">
        <v>36939</v>
      </c>
    </row>
    <row r="43603" spans="1:8">
      <c r="F43603" t="s">
        <v>12743</v>
      </c>
      <c r="G43603" t="s">
        <v>16935</v>
      </c>
      <c r="H43603" t="s">
        <v>36940</v>
      </c>
    </row>
    <row r="43604" spans="1:8">
      <c r="F43604" t="s">
        <v>13136</v>
      </c>
      <c r="G43604" t="s">
        <v>17293</v>
      </c>
      <c r="H43604" t="s">
        <v>36940</v>
      </c>
    </row>
    <row r="43605" spans="1:8">
      <c r="A43605" t="s">
        <v>4093</v>
      </c>
      <c r="B43605">
        <f>HYPERLINK("https://android.googlesource.com/platform/cts/+/4eb9d1b5d7b5c4cb5841dd49944b5545e8ad1ccf", "4eb9d1b5d7b5c4cb5841dd49944b5545e8ad1ccf")</f>
        <v>0</v>
      </c>
      <c r="C43605">
        <f>HYPERLINK("https://android.googlesource.com/platform/cts/+/bfa8cabea09e163e7eb3610147d92b4bc4ebd67e", "bfa8cabea09e163e7eb3610147d92b4bc4ebd67e")</f>
        <v>0</v>
      </c>
      <c r="D43605" t="s">
        <v>5409</v>
      </c>
      <c r="E43605" t="s">
        <v>9781</v>
      </c>
      <c r="F43605" t="s">
        <v>13971</v>
      </c>
      <c r="G43605" t="s">
        <v>17996</v>
      </c>
      <c r="H43605" t="s">
        <v>36941</v>
      </c>
    </row>
    <row r="43606" spans="1:8">
      <c r="H43606" t="s">
        <v>36942</v>
      </c>
    </row>
    <row r="43607" spans="1:8">
      <c r="H43607" t="s">
        <v>36943</v>
      </c>
    </row>
    <row r="43608" spans="1:8">
      <c r="F43608" t="s">
        <v>12743</v>
      </c>
      <c r="G43608" t="s">
        <v>16935</v>
      </c>
      <c r="H43608" t="s">
        <v>36944</v>
      </c>
    </row>
    <row r="43609" spans="1:8">
      <c r="F43609" t="s">
        <v>13136</v>
      </c>
      <c r="G43609" t="s">
        <v>17293</v>
      </c>
      <c r="H43609" t="s">
        <v>36944</v>
      </c>
    </row>
    <row r="43610" spans="1:8">
      <c r="F43610" t="s">
        <v>12745</v>
      </c>
      <c r="G43610" t="s">
        <v>16937</v>
      </c>
      <c r="H43610" t="s">
        <v>36944</v>
      </c>
    </row>
    <row r="43611" spans="1:8">
      <c r="A43611" t="s">
        <v>4094</v>
      </c>
      <c r="B43611">
        <f>HYPERLINK("https://android.googlesource.com/platform/cts/+/877920ebde5a98978fd86f88161af4d9f88b21e9", "877920ebde5a98978fd86f88161af4d9f88b21e9")</f>
        <v>0</v>
      </c>
      <c r="C43611">
        <f>HYPERLINK("https://android.googlesource.com/platform/cts/+/864d21f0dba6319aa662d2a09d16dec6f0e09ab7", "864d21f0dba6319aa662d2a09d16dec6f0e09ab7")</f>
        <v>0</v>
      </c>
      <c r="D43611" t="s">
        <v>5357</v>
      </c>
      <c r="E43611" t="s">
        <v>9782</v>
      </c>
      <c r="F43611" t="s">
        <v>14608</v>
      </c>
      <c r="G43611" t="s">
        <v>16873</v>
      </c>
      <c r="H43611" t="s">
        <v>36945</v>
      </c>
    </row>
    <row r="43612" spans="1:8">
      <c r="A43612" t="s">
        <v>4095</v>
      </c>
      <c r="B43612">
        <f>HYPERLINK("https://android.googlesource.com/platform/cts/+/0fbf86c05b8f046debdba70d868c979e761b0bcd", "0fbf86c05b8f046debdba70d868c979e761b0bcd")</f>
        <v>0</v>
      </c>
      <c r="C43612">
        <f>HYPERLINK("https://android.googlesource.com/platform/cts/+/f4b2dee788d731bbe0546b6ae7c0e7510fc512f5", "f4b2dee788d731bbe0546b6ae7c0e7510fc512f5")</f>
        <v>0</v>
      </c>
      <c r="D43612" t="s">
        <v>5030</v>
      </c>
      <c r="E43612" t="s">
        <v>9783</v>
      </c>
      <c r="F43612" t="s">
        <v>12656</v>
      </c>
      <c r="G43612" t="s">
        <v>16861</v>
      </c>
      <c r="H43612" t="s">
        <v>36946</v>
      </c>
    </row>
    <row r="43613" spans="1:8">
      <c r="H43613" t="s">
        <v>29898</v>
      </c>
    </row>
    <row r="43614" spans="1:8">
      <c r="F43614" t="s">
        <v>12782</v>
      </c>
      <c r="G43614" t="s">
        <v>16420</v>
      </c>
      <c r="H43614" t="s">
        <v>36946</v>
      </c>
    </row>
    <row r="43615" spans="1:8">
      <c r="H43615" t="s">
        <v>29898</v>
      </c>
    </row>
    <row r="43616" spans="1:8">
      <c r="A43616" t="s">
        <v>4099</v>
      </c>
      <c r="B43616">
        <f>HYPERLINK("https://android.googlesource.com/platform/cts/+/e8a1d649357008d9ca0c3ffbe2e287e1f00a6401", "e8a1d649357008d9ca0c3ffbe2e287e1f00a6401")</f>
        <v>0</v>
      </c>
      <c r="C43616">
        <f>HYPERLINK("https://android.googlesource.com/platform/cts/+/224d5d9a67370c56651e9aa00c4ca73f168e3d65", "224d5d9a67370c56651e9aa00c4ca73f168e3d65")</f>
        <v>0</v>
      </c>
      <c r="D43616" t="s">
        <v>5409</v>
      </c>
      <c r="E43616" t="s">
        <v>9785</v>
      </c>
      <c r="F43616" t="s">
        <v>13971</v>
      </c>
      <c r="G43616" t="s">
        <v>17996</v>
      </c>
      <c r="H43616" t="s">
        <v>18829</v>
      </c>
    </row>
    <row r="43617" spans="6:8">
      <c r="H43617" t="s">
        <v>36947</v>
      </c>
    </row>
    <row r="43618" spans="6:8">
      <c r="H43618" t="s">
        <v>36948</v>
      </c>
    </row>
    <row r="43619" spans="6:8">
      <c r="H43619" t="s">
        <v>34201</v>
      </c>
    </row>
    <row r="43620" spans="6:8">
      <c r="H43620" t="s">
        <v>36949</v>
      </c>
    </row>
    <row r="43621" spans="6:8">
      <c r="H43621" t="s">
        <v>36950</v>
      </c>
    </row>
    <row r="43622" spans="6:8">
      <c r="H43622" t="s">
        <v>36951</v>
      </c>
    </row>
    <row r="43623" spans="6:8">
      <c r="H43623" t="s">
        <v>36952</v>
      </c>
    </row>
    <row r="43624" spans="6:8">
      <c r="H43624" t="s">
        <v>36953</v>
      </c>
    </row>
    <row r="43625" spans="6:8">
      <c r="H43625" t="s">
        <v>36954</v>
      </c>
    </row>
    <row r="43626" spans="6:8">
      <c r="H43626" t="s">
        <v>36955</v>
      </c>
    </row>
    <row r="43627" spans="6:8">
      <c r="H43627" t="s">
        <v>36956</v>
      </c>
    </row>
    <row r="43628" spans="6:8">
      <c r="F43628" t="s">
        <v>12743</v>
      </c>
      <c r="G43628" t="s">
        <v>16935</v>
      </c>
      <c r="H43628" t="s">
        <v>36957</v>
      </c>
    </row>
    <row r="43629" spans="6:8">
      <c r="H43629" t="s">
        <v>36958</v>
      </c>
    </row>
    <row r="43630" spans="6:8">
      <c r="F43630" t="s">
        <v>13136</v>
      </c>
      <c r="G43630" t="s">
        <v>17293</v>
      </c>
      <c r="H43630" t="s">
        <v>36957</v>
      </c>
    </row>
    <row r="43631" spans="6:8">
      <c r="H43631" t="s">
        <v>36958</v>
      </c>
    </row>
    <row r="43632" spans="6:8">
      <c r="F43632" t="s">
        <v>12745</v>
      </c>
      <c r="G43632" t="s">
        <v>16937</v>
      </c>
      <c r="H43632" t="s">
        <v>36957</v>
      </c>
    </row>
    <row r="43633" spans="1:8">
      <c r="H43633" t="s">
        <v>36958</v>
      </c>
    </row>
    <row r="43634" spans="1:8">
      <c r="A43634" t="s">
        <v>4104</v>
      </c>
      <c r="B43634">
        <f>HYPERLINK("https://android.googlesource.com/platform/cts/+/a869879d6a57993718f6ec598c592a462e285c52", "a869879d6a57993718f6ec598c592a462e285c52")</f>
        <v>0</v>
      </c>
      <c r="C43634">
        <f>HYPERLINK("https://android.googlesource.com/platform/cts/+/899ba622682001864b8499944152ca93538776f5", "899ba622682001864b8499944152ca93538776f5")</f>
        <v>0</v>
      </c>
      <c r="D43634" t="s">
        <v>5046</v>
      </c>
      <c r="E43634" t="s">
        <v>9787</v>
      </c>
      <c r="F43634" t="s">
        <v>14609</v>
      </c>
      <c r="G43634" t="s">
        <v>18523</v>
      </c>
      <c r="H43634" t="s">
        <v>36959</v>
      </c>
    </row>
    <row r="43635" spans="1:8">
      <c r="H43635" t="s">
        <v>36960</v>
      </c>
    </row>
    <row r="43636" spans="1:8">
      <c r="H43636" t="s">
        <v>36961</v>
      </c>
    </row>
    <row r="43637" spans="1:8">
      <c r="H43637" t="s">
        <v>25704</v>
      </c>
    </row>
    <row r="43638" spans="1:8">
      <c r="H43638" t="s">
        <v>36960</v>
      </c>
    </row>
    <row r="43639" spans="1:8">
      <c r="H43639" t="s">
        <v>36962</v>
      </c>
    </row>
    <row r="43640" spans="1:8">
      <c r="H43640" t="s">
        <v>36963</v>
      </c>
    </row>
    <row r="43641" spans="1:8">
      <c r="H43641" t="s">
        <v>36964</v>
      </c>
    </row>
    <row r="43642" spans="1:8">
      <c r="H43642" t="s">
        <v>36965</v>
      </c>
    </row>
    <row r="43643" spans="1:8">
      <c r="H43643" t="s">
        <v>36965</v>
      </c>
    </row>
    <row r="43644" spans="1:8">
      <c r="H43644" t="s">
        <v>36966</v>
      </c>
    </row>
    <row r="43645" spans="1:8">
      <c r="H43645" t="s">
        <v>36967</v>
      </c>
    </row>
    <row r="43646" spans="1:8">
      <c r="H43646" t="s">
        <v>36968</v>
      </c>
    </row>
    <row r="43647" spans="1:8">
      <c r="H43647" t="s">
        <v>36969</v>
      </c>
    </row>
    <row r="43648" spans="1:8">
      <c r="H43648" t="s">
        <v>36970</v>
      </c>
    </row>
    <row r="43649" spans="8:8">
      <c r="H43649" t="s">
        <v>36971</v>
      </c>
    </row>
    <row r="43650" spans="8:8">
      <c r="H43650" t="s">
        <v>36972</v>
      </c>
    </row>
    <row r="43651" spans="8:8">
      <c r="H43651" t="s">
        <v>36973</v>
      </c>
    </row>
    <row r="43652" spans="8:8">
      <c r="H43652" t="s">
        <v>36974</v>
      </c>
    </row>
    <row r="43653" spans="8:8">
      <c r="H43653" t="s">
        <v>36975</v>
      </c>
    </row>
    <row r="43654" spans="8:8">
      <c r="H43654" t="s">
        <v>36976</v>
      </c>
    </row>
    <row r="43655" spans="8:8">
      <c r="H43655" t="s">
        <v>36977</v>
      </c>
    </row>
    <row r="43656" spans="8:8">
      <c r="H43656" t="s">
        <v>36978</v>
      </c>
    </row>
    <row r="43657" spans="8:8">
      <c r="H43657" t="s">
        <v>36979</v>
      </c>
    </row>
    <row r="43658" spans="8:8">
      <c r="H43658" t="s">
        <v>36980</v>
      </c>
    </row>
    <row r="43659" spans="8:8">
      <c r="H43659" t="s">
        <v>36981</v>
      </c>
    </row>
    <row r="43660" spans="8:8">
      <c r="H43660" t="s">
        <v>36982</v>
      </c>
    </row>
    <row r="43661" spans="8:8">
      <c r="H43661" t="s">
        <v>36983</v>
      </c>
    </row>
    <row r="43662" spans="8:8">
      <c r="H43662" t="s">
        <v>36984</v>
      </c>
    </row>
    <row r="43663" spans="8:8">
      <c r="H43663" t="s">
        <v>36985</v>
      </c>
    </row>
    <row r="43664" spans="8:8">
      <c r="H43664" t="s">
        <v>36986</v>
      </c>
    </row>
    <row r="43665" spans="1:8">
      <c r="H43665" t="s">
        <v>36987</v>
      </c>
    </row>
    <row r="43666" spans="1:8">
      <c r="H43666" t="s">
        <v>36988</v>
      </c>
    </row>
    <row r="43667" spans="1:8">
      <c r="H43667" t="s">
        <v>36989</v>
      </c>
    </row>
    <row r="43668" spans="1:8">
      <c r="H43668" t="s">
        <v>28588</v>
      </c>
    </row>
    <row r="43669" spans="1:8">
      <c r="H43669" t="s">
        <v>36990</v>
      </c>
    </row>
    <row r="43670" spans="1:8">
      <c r="H43670" t="s">
        <v>36991</v>
      </c>
    </row>
    <row r="43671" spans="1:8">
      <c r="A43671" t="s">
        <v>4105</v>
      </c>
      <c r="B43671">
        <f>HYPERLINK("https://android.googlesource.com/platform/cts/+/e569085b6e96976583c6799ccd7969f902414c25", "e569085b6e96976583c6799ccd7969f902414c25")</f>
        <v>0</v>
      </c>
      <c r="C43671">
        <f>HYPERLINK("https://android.googlesource.com/platform/cts/+/f880cd9e6b085944fca390aba5f6ebf13e028b72", "f880cd9e6b085944fca390aba5f6ebf13e028b72")</f>
        <v>0</v>
      </c>
      <c r="D43671" t="s">
        <v>5541</v>
      </c>
      <c r="E43671" t="s">
        <v>9788</v>
      </c>
      <c r="F43671" t="s">
        <v>13335</v>
      </c>
      <c r="G43671" t="s">
        <v>17465</v>
      </c>
      <c r="H43671" t="s">
        <v>36992</v>
      </c>
    </row>
    <row r="43672" spans="1:8">
      <c r="A43672" t="s">
        <v>4106</v>
      </c>
      <c r="B43672">
        <f>HYPERLINK("https://android.googlesource.com/platform/cts/+/f4140de1cfd9ea4966f65adb2d2d40395abe8d61", "f4140de1cfd9ea4966f65adb2d2d40395abe8d61")</f>
        <v>0</v>
      </c>
      <c r="C43672">
        <f>HYPERLINK("https://android.googlesource.com/platform/cts/+/f9cdcaf4eff95f4ba1bff3d5156b6d65a337dac8", "f9cdcaf4eff95f4ba1bff3d5156b6d65a337dac8")</f>
        <v>0</v>
      </c>
      <c r="D43672" t="s">
        <v>5040</v>
      </c>
      <c r="E43672" t="s">
        <v>9789</v>
      </c>
      <c r="F43672" t="s">
        <v>14505</v>
      </c>
      <c r="G43672" t="s">
        <v>18434</v>
      </c>
      <c r="H43672" t="s">
        <v>36993</v>
      </c>
    </row>
    <row r="43673" spans="1:8">
      <c r="A43673" t="s">
        <v>4107</v>
      </c>
      <c r="B43673">
        <f>HYPERLINK("https://android.googlesource.com/platform/cts/+/4ed995d6bdbff2993c520c4c5a1688b609efaf9b", "4ed995d6bdbff2993c520c4c5a1688b609efaf9b")</f>
        <v>0</v>
      </c>
      <c r="C43673">
        <f>HYPERLINK("https://android.googlesource.com/platform/cts/+/f515ec334c221252336d55e38d3a16ee2bf30c78", "f515ec334c221252336d55e38d3a16ee2bf30c78")</f>
        <v>0</v>
      </c>
      <c r="D43673" t="s">
        <v>5189</v>
      </c>
      <c r="E43673" t="s">
        <v>9790</v>
      </c>
      <c r="F43673" t="s">
        <v>14350</v>
      </c>
      <c r="G43673" t="s">
        <v>18301</v>
      </c>
      <c r="H43673" t="s">
        <v>36994</v>
      </c>
    </row>
    <row r="43674" spans="1:8">
      <c r="A43674" t="s">
        <v>4108</v>
      </c>
      <c r="B43674">
        <f>HYPERLINK("https://android.googlesource.com/platform/cts/+/7b49e27c8e61c035c9fbd20ee7b2a5c1a9677fca", "7b49e27c8e61c035c9fbd20ee7b2a5c1a9677fca")</f>
        <v>0</v>
      </c>
      <c r="C43674">
        <f>HYPERLINK("https://android.googlesource.com/platform/cts/+/53dd2f62bb3cf70bb20b9a079e3345e4d01ea6e5", "53dd2f62bb3cf70bb20b9a079e3345e4d01ea6e5")</f>
        <v>0</v>
      </c>
      <c r="D43674" t="s">
        <v>5040</v>
      </c>
      <c r="E43674" t="s">
        <v>9791</v>
      </c>
      <c r="F43674" t="s">
        <v>14509</v>
      </c>
      <c r="G43674" t="s">
        <v>18437</v>
      </c>
      <c r="H43674" t="s">
        <v>36301</v>
      </c>
    </row>
    <row r="43675" spans="1:8">
      <c r="H43675" t="s">
        <v>36303</v>
      </c>
    </row>
    <row r="43676" spans="1:8">
      <c r="F43676" t="s">
        <v>14597</v>
      </c>
      <c r="G43676" t="s">
        <v>18440</v>
      </c>
      <c r="H43676" t="s">
        <v>36862</v>
      </c>
    </row>
    <row r="43677" spans="1:8">
      <c r="H43677" t="s">
        <v>36847</v>
      </c>
    </row>
    <row r="43678" spans="1:8">
      <c r="H43678" t="s">
        <v>36864</v>
      </c>
    </row>
    <row r="43679" spans="1:8">
      <c r="H43679" t="s">
        <v>36865</v>
      </c>
    </row>
    <row r="43680" spans="1:8">
      <c r="H43680" t="s">
        <v>36866</v>
      </c>
    </row>
    <row r="43681" spans="1:8">
      <c r="A43681" t="s">
        <v>4110</v>
      </c>
      <c r="B43681">
        <f>HYPERLINK("https://android.googlesource.com/platform/cts/+/e23eecc315c59ed901c4fffa4196cc318f516a05", "e23eecc315c59ed901c4fffa4196cc318f516a05")</f>
        <v>0</v>
      </c>
      <c r="C43681">
        <f>HYPERLINK("https://android.googlesource.com/platform/cts/+/52407596fe885875d6445dd12496f52c4c9537b4", "52407596fe885875d6445dd12496f52c4c9537b4")</f>
        <v>0</v>
      </c>
      <c r="D43681" t="s">
        <v>5661</v>
      </c>
      <c r="E43681" t="s">
        <v>9792</v>
      </c>
      <c r="F43681" t="s">
        <v>14128</v>
      </c>
      <c r="G43681" t="s">
        <v>18118</v>
      </c>
      <c r="H43681" t="s">
        <v>36995</v>
      </c>
    </row>
    <row r="43682" spans="1:8">
      <c r="H43682" t="s">
        <v>36996</v>
      </c>
    </row>
    <row r="43683" spans="1:8">
      <c r="H43683" t="s">
        <v>36997</v>
      </c>
    </row>
    <row r="43684" spans="1:8">
      <c r="H43684" t="s">
        <v>36998</v>
      </c>
    </row>
    <row r="43685" spans="1:8">
      <c r="A43685" t="s">
        <v>4111</v>
      </c>
      <c r="B43685">
        <f>HYPERLINK("https://android.googlesource.com/platform/cts/+/b3487623e041d0733844f439f83f7ba97c385a1b", "b3487623e041d0733844f439f83f7ba97c385a1b")</f>
        <v>0</v>
      </c>
      <c r="C43685">
        <f>HYPERLINK("https://android.googlesource.com/platform/cts/+/b7d69f1d798012834b0965fa4a1595aeda11ce5f", "b7d69f1d798012834b0965fa4a1595aeda11ce5f")</f>
        <v>0</v>
      </c>
      <c r="D43685" t="s">
        <v>5588</v>
      </c>
      <c r="E43685" t="s">
        <v>9793</v>
      </c>
      <c r="F43685" t="s">
        <v>13548</v>
      </c>
      <c r="G43685" t="s">
        <v>15171</v>
      </c>
      <c r="H43685" t="s">
        <v>36999</v>
      </c>
    </row>
    <row r="43686" spans="1:8">
      <c r="A43686" t="s">
        <v>4112</v>
      </c>
      <c r="B43686">
        <f>HYPERLINK("https://android.googlesource.com/platform/cts/+/c6ec277571d10682027a37194f6f7c4f41f8929b", "c6ec277571d10682027a37194f6f7c4f41f8929b")</f>
        <v>0</v>
      </c>
      <c r="C43686">
        <f>HYPERLINK("https://android.googlesource.com/platform/cts/+/dbfca04d79eb6b46f15ea3bc5c2112d21008e616", "dbfca04d79eb6b46f15ea3bc5c2112d21008e616")</f>
        <v>0</v>
      </c>
      <c r="D43686" t="s">
        <v>5586</v>
      </c>
      <c r="E43686" t="s">
        <v>9794</v>
      </c>
      <c r="F43686" t="s">
        <v>13972</v>
      </c>
      <c r="G43686" t="s">
        <v>17997</v>
      </c>
      <c r="H43686" t="s">
        <v>37000</v>
      </c>
    </row>
    <row r="43687" spans="1:8">
      <c r="H43687" t="s">
        <v>37001</v>
      </c>
    </row>
    <row r="43688" spans="1:8">
      <c r="H43688" t="s">
        <v>37002</v>
      </c>
    </row>
    <row r="43689" spans="1:8">
      <c r="A43689" t="s">
        <v>4113</v>
      </c>
      <c r="B43689">
        <f>HYPERLINK("https://android.googlesource.com/platform/cts/+/15c39ae7c0d7b43e799326b1d41767c2cec40771", "15c39ae7c0d7b43e799326b1d41767c2cec40771")</f>
        <v>0</v>
      </c>
      <c r="C43689">
        <f>HYPERLINK("https://android.googlesource.com/platform/cts/+/f438dd26f008117adbfeb5b41d5e929b715af86c", "f438dd26f008117adbfeb5b41d5e929b715af86c")</f>
        <v>0</v>
      </c>
      <c r="D43689" t="s">
        <v>5272</v>
      </c>
      <c r="E43689" t="s">
        <v>9795</v>
      </c>
      <c r="F43689" t="s">
        <v>13810</v>
      </c>
      <c r="G43689" t="s">
        <v>17734</v>
      </c>
      <c r="H43689" t="s">
        <v>37003</v>
      </c>
    </row>
    <row r="43690" spans="1:8">
      <c r="A43690" t="s">
        <v>4114</v>
      </c>
      <c r="B43690">
        <f>HYPERLINK("https://android.googlesource.com/platform/cts/+/30381cd9aaa8e3fb8a18e2160c242a1dd6b530e1", "30381cd9aaa8e3fb8a18e2160c242a1dd6b530e1")</f>
        <v>0</v>
      </c>
      <c r="C43690">
        <f>HYPERLINK("https://android.googlesource.com/platform/cts/+/8a46eff2d6e934eebe727f42c66d425870650f34", "8a46eff2d6e934eebe727f42c66d425870650f34")</f>
        <v>0</v>
      </c>
      <c r="D43690" t="s">
        <v>5134</v>
      </c>
      <c r="E43690" t="s">
        <v>9796</v>
      </c>
      <c r="F43690" t="s">
        <v>13229</v>
      </c>
      <c r="G43690" t="s">
        <v>17370</v>
      </c>
      <c r="H43690" t="s">
        <v>25795</v>
      </c>
    </row>
    <row r="43691" spans="1:8">
      <c r="A43691" t="s">
        <v>4115</v>
      </c>
      <c r="B43691">
        <f>HYPERLINK("https://android.googlesource.com/platform/cts/+/4e9be5a06fe5c6b92716f04b0bbb3bd82850d018", "4e9be5a06fe5c6b92716f04b0bbb3bd82850d018")</f>
        <v>0</v>
      </c>
      <c r="C43691">
        <f>HYPERLINK("https://android.googlesource.com/platform/cts/+/5357d91deeb60d0891f7a6a0011214d7edf30a76", "5357d91deeb60d0891f7a6a0011214d7edf30a76")</f>
        <v>0</v>
      </c>
      <c r="D43691" t="s">
        <v>5191</v>
      </c>
      <c r="E43691" t="s">
        <v>9797</v>
      </c>
      <c r="F43691" t="s">
        <v>14610</v>
      </c>
      <c r="G43691" t="s">
        <v>18524</v>
      </c>
      <c r="H43691" t="s">
        <v>25497</v>
      </c>
    </row>
    <row r="43692" spans="1:8">
      <c r="H43692" t="s">
        <v>20244</v>
      </c>
    </row>
    <row r="43693" spans="1:8">
      <c r="H43693" t="s">
        <v>18829</v>
      </c>
    </row>
    <row r="43694" spans="1:8">
      <c r="H43694" t="s">
        <v>37004</v>
      </c>
    </row>
    <row r="43695" spans="1:8">
      <c r="H43695" t="s">
        <v>37005</v>
      </c>
    </row>
    <row r="43696" spans="1:8">
      <c r="F43696" t="s">
        <v>12619</v>
      </c>
      <c r="G43696" t="s">
        <v>16829</v>
      </c>
      <c r="H43696" t="s">
        <v>27000</v>
      </c>
    </row>
    <row r="43697" spans="1:8">
      <c r="A43697" t="s">
        <v>4116</v>
      </c>
      <c r="B43697">
        <f>HYPERLINK("https://android.googlesource.com/platform/cts/+/1c01e23aed32b1032d93afd0e93b9e3b4ddf171c", "1c01e23aed32b1032d93afd0e93b9e3b4ddf171c")</f>
        <v>0</v>
      </c>
      <c r="C43697">
        <f>HYPERLINK("https://android.googlesource.com/platform/cts/+/4cf28275ac7f2098518f6d13d36628545aa547cd", "4cf28275ac7f2098518f6d13d36628545aa547cd")</f>
        <v>0</v>
      </c>
      <c r="D43697" t="s">
        <v>5046</v>
      </c>
      <c r="E43697" t="s">
        <v>9798</v>
      </c>
      <c r="F43697" t="s">
        <v>14611</v>
      </c>
      <c r="G43697" t="s">
        <v>18525</v>
      </c>
      <c r="H43697" t="s">
        <v>37006</v>
      </c>
    </row>
    <row r="43698" spans="1:8">
      <c r="A43698" t="s">
        <v>4117</v>
      </c>
      <c r="B43698">
        <f>HYPERLINK("https://android.googlesource.com/platform/cts/+/a559d3fd02134563fcecf2201ea77cfa36d6b617", "a559d3fd02134563fcecf2201ea77cfa36d6b617")</f>
        <v>0</v>
      </c>
      <c r="C43698">
        <f>HYPERLINK("https://android.googlesource.com/platform/cts/+/c3e42593ed2f7abe0b09a0f0f69c92ab5a935588", "c3e42593ed2f7abe0b09a0f0f69c92ab5a935588")</f>
        <v>0</v>
      </c>
      <c r="D43698" t="s">
        <v>5574</v>
      </c>
      <c r="E43698" t="s">
        <v>9799</v>
      </c>
      <c r="F43698" t="s">
        <v>14612</v>
      </c>
      <c r="G43698" t="s">
        <v>18360</v>
      </c>
      <c r="H43698" t="s">
        <v>37007</v>
      </c>
    </row>
    <row r="43699" spans="1:8">
      <c r="A43699" t="s">
        <v>4118</v>
      </c>
      <c r="B43699">
        <f>HYPERLINK("https://android.googlesource.com/platform/cts/+/641e7af30ebe486915a2bfe2c2f5016712e92833", "641e7af30ebe486915a2bfe2c2f5016712e92833")</f>
        <v>0</v>
      </c>
      <c r="C43699">
        <f>HYPERLINK("https://android.googlesource.com/platform/cts/+/add5ea10adafbbbd40efb51708a3a85491729a49", "add5ea10adafbbbd40efb51708a3a85491729a49")</f>
        <v>0</v>
      </c>
      <c r="D43699" t="s">
        <v>5662</v>
      </c>
      <c r="E43699" t="s">
        <v>9800</v>
      </c>
      <c r="F43699" t="s">
        <v>14613</v>
      </c>
      <c r="G43699" t="s">
        <v>18453</v>
      </c>
      <c r="H43699" t="s">
        <v>37008</v>
      </c>
    </row>
    <row r="43700" spans="1:8">
      <c r="F43700" t="s">
        <v>14527</v>
      </c>
      <c r="G43700" t="s">
        <v>18446</v>
      </c>
      <c r="H43700" t="s">
        <v>37009</v>
      </c>
    </row>
    <row r="43701" spans="1:8">
      <c r="A43701" t="s">
        <v>4119</v>
      </c>
      <c r="B43701">
        <f>HYPERLINK("https://android.googlesource.com/platform/cts/+/1f0a59bcff44d94eed97af80300081c2cbee1a94", "1f0a59bcff44d94eed97af80300081c2cbee1a94")</f>
        <v>0</v>
      </c>
      <c r="C43701">
        <f>HYPERLINK("https://android.googlesource.com/platform/cts/+/85ffe417e8a794c76b53d19ced86f54ab345f9d3", "85ffe417e8a794c76b53d19ced86f54ab345f9d3")</f>
        <v>0</v>
      </c>
      <c r="D43701" t="s">
        <v>5038</v>
      </c>
      <c r="E43701" t="s">
        <v>9801</v>
      </c>
      <c r="F43701" t="s">
        <v>14497</v>
      </c>
      <c r="G43701" t="s">
        <v>18425</v>
      </c>
      <c r="H43701" t="s">
        <v>37010</v>
      </c>
    </row>
    <row r="43702" spans="1:8">
      <c r="F43702" t="s">
        <v>14545</v>
      </c>
      <c r="G43702" t="s">
        <v>18468</v>
      </c>
      <c r="H43702" t="s">
        <v>37011</v>
      </c>
    </row>
    <row r="43703" spans="1:8">
      <c r="A43703" t="s">
        <v>4121</v>
      </c>
      <c r="B43703">
        <f>HYPERLINK("https://android.googlesource.com/platform/cts/+/9d6afd8a9d308b33f531a8930896f0a7bb56d32c", "9d6afd8a9d308b33f531a8930896f0a7bb56d32c")</f>
        <v>0</v>
      </c>
      <c r="C43703">
        <f>HYPERLINK("https://android.googlesource.com/platform/cts/+/7c72064c7a63c2e1f94b3739a8a3c69b8cf60467", "7c72064c7a63c2e1f94b3739a8a3c69b8cf60467")</f>
        <v>0</v>
      </c>
      <c r="D43703" t="s">
        <v>5180</v>
      </c>
      <c r="E43703" t="s">
        <v>9803</v>
      </c>
      <c r="F43703" t="s">
        <v>13187</v>
      </c>
      <c r="G43703" t="s">
        <v>17331</v>
      </c>
      <c r="H43703" t="s">
        <v>28459</v>
      </c>
    </row>
    <row r="43704" spans="1:8">
      <c r="A43704" t="s">
        <v>4123</v>
      </c>
      <c r="B43704">
        <f>HYPERLINK("https://android.googlesource.com/platform/cts/+/8d3874f74b0746a389b17b47d3e1a9a00a88e17a", "8d3874f74b0746a389b17b47d3e1a9a00a88e17a")</f>
        <v>0</v>
      </c>
      <c r="C43704">
        <f>HYPERLINK("https://android.googlesource.com/platform/cts/+/6fbeccd5047257d8ca3958fde1ca6c1ab3ccfdb3", "6fbeccd5047257d8ca3958fde1ca6c1ab3ccfdb3")</f>
        <v>0</v>
      </c>
      <c r="D43704" t="s">
        <v>5602</v>
      </c>
      <c r="E43704" t="s">
        <v>9805</v>
      </c>
      <c r="F43704" t="s">
        <v>14614</v>
      </c>
      <c r="G43704" t="s">
        <v>18526</v>
      </c>
      <c r="H43704" t="s">
        <v>37012</v>
      </c>
    </row>
    <row r="43705" spans="1:8">
      <c r="A43705" t="s">
        <v>4125</v>
      </c>
      <c r="B43705">
        <f>HYPERLINK("https://android.googlesource.com/platform/cts/+/2de3522f25bb7b053c195ac80140fd0a64458242", "2de3522f25bb7b053c195ac80140fd0a64458242")</f>
        <v>0</v>
      </c>
      <c r="C43705">
        <f>HYPERLINK("https://android.googlesource.com/platform/cts/+/24859ae71c0e72f55978e82a59065582b5f1c25d", "24859ae71c0e72f55978e82a59065582b5f1c25d")</f>
        <v>0</v>
      </c>
      <c r="D43705" t="s">
        <v>5219</v>
      </c>
      <c r="E43705" t="s">
        <v>9807</v>
      </c>
      <c r="F43705" t="s">
        <v>13478</v>
      </c>
      <c r="G43705" t="s">
        <v>17596</v>
      </c>
      <c r="H43705" t="s">
        <v>37013</v>
      </c>
    </row>
    <row r="43706" spans="1:8">
      <c r="H43706" t="s">
        <v>37014</v>
      </c>
    </row>
    <row r="43707" spans="1:8">
      <c r="F43707" t="s">
        <v>14512</v>
      </c>
      <c r="G43707" t="s">
        <v>18414</v>
      </c>
      <c r="H43707" t="s">
        <v>37015</v>
      </c>
    </row>
    <row r="43708" spans="1:8">
      <c r="A43708" t="s">
        <v>4128</v>
      </c>
      <c r="B43708">
        <f>HYPERLINK("https://android.googlesource.com/platform/cts/+/fdc0962018be0098285695cb4b756011e904417d", "fdc0962018be0098285695cb4b756011e904417d")</f>
        <v>0</v>
      </c>
      <c r="C43708">
        <f>HYPERLINK("https://android.googlesource.com/platform/cts/+/ebda9875c3b7c5c9c4ea277c3b43e4c1d4a7b58a", "ebda9875c3b7c5c9c4ea277c3b43e4c1d4a7b58a")</f>
        <v>0</v>
      </c>
      <c r="D43708" t="s">
        <v>5663</v>
      </c>
      <c r="E43708" t="s">
        <v>9809</v>
      </c>
      <c r="F43708" t="s">
        <v>14615</v>
      </c>
      <c r="G43708" t="s">
        <v>18527</v>
      </c>
      <c r="H43708" t="s">
        <v>37016</v>
      </c>
    </row>
    <row r="43709" spans="1:8">
      <c r="F43709" t="s">
        <v>14616</v>
      </c>
      <c r="G43709" t="s">
        <v>18528</v>
      </c>
      <c r="H43709" t="s">
        <v>18829</v>
      </c>
    </row>
    <row r="43710" spans="1:8">
      <c r="H43710" t="s">
        <v>18863</v>
      </c>
    </row>
    <row r="43711" spans="1:8">
      <c r="H43711" t="s">
        <v>37016</v>
      </c>
    </row>
    <row r="43712" spans="1:8">
      <c r="H43712" t="s">
        <v>37017</v>
      </c>
    </row>
    <row r="43713" spans="1:8">
      <c r="H43713" t="s">
        <v>37018</v>
      </c>
    </row>
    <row r="43714" spans="1:8">
      <c r="H43714" t="s">
        <v>37019</v>
      </c>
    </row>
    <row r="43715" spans="1:8">
      <c r="A43715" t="s">
        <v>4129</v>
      </c>
      <c r="B43715">
        <f>HYPERLINK("https://android.googlesource.com/platform/cts/+/0d43f1a5e2676518a662fc0d89baf95708bfe850", "0d43f1a5e2676518a662fc0d89baf95708bfe850")</f>
        <v>0</v>
      </c>
      <c r="C43715">
        <f>HYPERLINK("https://android.googlesource.com/platform/cts/+/4e516506764adf1e56c7e2df15beded450999089", "4e516506764adf1e56c7e2df15beded450999089")</f>
        <v>0</v>
      </c>
      <c r="D43715" t="s">
        <v>5445</v>
      </c>
      <c r="E43715" t="s">
        <v>9810</v>
      </c>
      <c r="F43715" t="s">
        <v>12864</v>
      </c>
      <c r="G43715" t="s">
        <v>17032</v>
      </c>
      <c r="H43715" t="s">
        <v>18829</v>
      </c>
    </row>
    <row r="43716" spans="1:8">
      <c r="A43716" t="s">
        <v>4130</v>
      </c>
      <c r="B43716">
        <f>HYPERLINK("https://android.googlesource.com/platform/cts/+/9ed23b903bd8d9b0196f5749c5a93a480f9733e0", "9ed23b903bd8d9b0196f5749c5a93a480f9733e0")</f>
        <v>0</v>
      </c>
      <c r="C43716">
        <f>HYPERLINK("https://android.googlesource.com/platform/cts/+/85ba0a083328904157d7029e5e2e6947377a94cc", "85ba0a083328904157d7029e5e2e6947377a94cc")</f>
        <v>0</v>
      </c>
      <c r="D43716" t="s">
        <v>5473</v>
      </c>
      <c r="E43716" t="s">
        <v>9811</v>
      </c>
      <c r="F43716" t="s">
        <v>14617</v>
      </c>
      <c r="G43716" t="s">
        <v>18529</v>
      </c>
      <c r="H43716" t="s">
        <v>37010</v>
      </c>
    </row>
    <row r="43717" spans="1:8">
      <c r="F43717" t="s">
        <v>14185</v>
      </c>
      <c r="G43717" t="s">
        <v>18166</v>
      </c>
      <c r="H43717" t="s">
        <v>37010</v>
      </c>
    </row>
    <row r="43718" spans="1:8">
      <c r="A43718" t="s">
        <v>4131</v>
      </c>
      <c r="B43718">
        <f>HYPERLINK("https://android.googlesource.com/platform/cts/+/06a84310f16c0aeaf323b1b2cbfb4c4e233c06ba", "06a84310f16c0aeaf323b1b2cbfb4c4e233c06ba")</f>
        <v>0</v>
      </c>
      <c r="C43718">
        <f>HYPERLINK("https://android.googlesource.com/platform/cts/+/d4b71441b44ccb6b687c1cf7b1bada503b60ad6b", "d4b71441b44ccb6b687c1cf7b1bada503b60ad6b")</f>
        <v>0</v>
      </c>
      <c r="D43718" t="s">
        <v>5409</v>
      </c>
      <c r="E43718" t="s">
        <v>9812</v>
      </c>
      <c r="F43718" t="s">
        <v>14618</v>
      </c>
      <c r="G43718" t="s">
        <v>18530</v>
      </c>
      <c r="H43718" t="s">
        <v>18829</v>
      </c>
    </row>
    <row r="43719" spans="1:8">
      <c r="H43719" t="s">
        <v>32598</v>
      </c>
    </row>
    <row r="43720" spans="1:8">
      <c r="H43720" t="s">
        <v>37020</v>
      </c>
    </row>
    <row r="43721" spans="1:8">
      <c r="H43721" t="s">
        <v>37021</v>
      </c>
    </row>
    <row r="43722" spans="1:8">
      <c r="H43722" t="s">
        <v>37022</v>
      </c>
    </row>
    <row r="43723" spans="1:8">
      <c r="H43723" t="s">
        <v>37023</v>
      </c>
    </row>
    <row r="43724" spans="1:8">
      <c r="H43724" t="s">
        <v>37024</v>
      </c>
    </row>
    <row r="43725" spans="1:8">
      <c r="F43725" t="s">
        <v>14619</v>
      </c>
      <c r="G43725" t="s">
        <v>18531</v>
      </c>
      <c r="H43725" t="s">
        <v>32598</v>
      </c>
    </row>
    <row r="43726" spans="1:8">
      <c r="H43726" t="s">
        <v>32599</v>
      </c>
    </row>
    <row r="43727" spans="1:8">
      <c r="H43727" t="s">
        <v>32600</v>
      </c>
    </row>
    <row r="43728" spans="1:8">
      <c r="H43728" t="s">
        <v>32601</v>
      </c>
    </row>
    <row r="43729" spans="1:8">
      <c r="H43729" t="s">
        <v>32597</v>
      </c>
    </row>
    <row r="43730" spans="1:8">
      <c r="A43730" t="s">
        <v>4132</v>
      </c>
      <c r="B43730">
        <f>HYPERLINK("https://android.googlesource.com/platform/cts/+/9adfa2d93b38785d0433065779cd7c4965fcc005", "9adfa2d93b38785d0433065779cd7c4965fcc005")</f>
        <v>0</v>
      </c>
      <c r="C43730">
        <f>HYPERLINK("https://android.googlesource.com/platform/cts/+/0ee905ad4b56b49066ae8e8596de2ecaa8b64072", "0ee905ad4b56b49066ae8e8596de2ecaa8b64072")</f>
        <v>0</v>
      </c>
      <c r="D43730" t="s">
        <v>5599</v>
      </c>
      <c r="E43730" t="s">
        <v>9813</v>
      </c>
      <c r="F43730" t="s">
        <v>14620</v>
      </c>
      <c r="G43730" t="s">
        <v>18532</v>
      </c>
      <c r="H43730" t="s">
        <v>37025</v>
      </c>
    </row>
    <row r="43731" spans="1:8">
      <c r="H43731" t="s">
        <v>37026</v>
      </c>
    </row>
    <row r="43732" spans="1:8">
      <c r="H43732" t="s">
        <v>37027</v>
      </c>
    </row>
    <row r="43733" spans="1:8">
      <c r="H43733" t="s">
        <v>37028</v>
      </c>
    </row>
    <row r="43734" spans="1:8">
      <c r="A43734" t="s">
        <v>4133</v>
      </c>
      <c r="B43734">
        <f>HYPERLINK("https://android.googlesource.com/platform/cts/+/7c5d2bc90886f36f7941698d2a4c766af1f07792", "7c5d2bc90886f36f7941698d2a4c766af1f07792")</f>
        <v>0</v>
      </c>
      <c r="C43734">
        <f>HYPERLINK("https://android.googlesource.com/platform/cts/+/dbedeae15ba8e966eb20bfbc5c0c0fb901567891", "dbedeae15ba8e966eb20bfbc5c0c0fb901567891")</f>
        <v>0</v>
      </c>
      <c r="D43734" t="s">
        <v>5313</v>
      </c>
      <c r="E43734" t="s">
        <v>9814</v>
      </c>
      <c r="F43734" t="s">
        <v>14165</v>
      </c>
      <c r="G43734" t="s">
        <v>17361</v>
      </c>
      <c r="H43734" t="s">
        <v>37029</v>
      </c>
    </row>
    <row r="43735" spans="1:8">
      <c r="A43735" t="s">
        <v>4134</v>
      </c>
      <c r="B43735">
        <f>HYPERLINK("https://android.googlesource.com/platform/cts/+/4ab8024b3c4dc967f3ac9c0addc917a76b19a13e", "4ab8024b3c4dc967f3ac9c0addc917a76b19a13e")</f>
        <v>0</v>
      </c>
      <c r="C43735">
        <f>HYPERLINK("https://android.googlesource.com/platform/cts/+/dbc6118981a8362b7cc671f4707a55a2f11978ec", "dbc6118981a8362b7cc671f4707a55a2f11978ec")</f>
        <v>0</v>
      </c>
      <c r="D43735" t="s">
        <v>5660</v>
      </c>
      <c r="E43735" t="s">
        <v>9815</v>
      </c>
      <c r="F43735" t="s">
        <v>13047</v>
      </c>
      <c r="G43735" t="s">
        <v>17211</v>
      </c>
      <c r="H43735" t="s">
        <v>37030</v>
      </c>
    </row>
    <row r="43736" spans="1:8">
      <c r="H43736" t="s">
        <v>27505</v>
      </c>
    </row>
    <row r="43737" spans="1:8">
      <c r="H43737" t="s">
        <v>37031</v>
      </c>
    </row>
    <row r="43738" spans="1:8">
      <c r="H43738" t="s">
        <v>37032</v>
      </c>
    </row>
    <row r="43739" spans="1:8">
      <c r="H43739" t="s">
        <v>37033</v>
      </c>
    </row>
    <row r="43740" spans="1:8">
      <c r="H43740" t="s">
        <v>37034</v>
      </c>
    </row>
    <row r="43741" spans="1:8">
      <c r="H43741" t="s">
        <v>37035</v>
      </c>
    </row>
    <row r="43742" spans="1:8">
      <c r="A43742" t="s">
        <v>4136</v>
      </c>
      <c r="B43742">
        <f>HYPERLINK("https://android.googlesource.com/platform/cts/+/5f675e32e1799da8aba8748c5fa940a72c5593a5", "5f675e32e1799da8aba8748c5fa940a72c5593a5")</f>
        <v>0</v>
      </c>
      <c r="C43742">
        <f>HYPERLINK("https://android.googlesource.com/platform/cts/+/ec9b4e3f6877383500abe0c5c60cba3435bf5948", "ec9b4e3f6877383500abe0c5c60cba3435bf5948")</f>
        <v>0</v>
      </c>
      <c r="D43742" t="s">
        <v>5180</v>
      </c>
      <c r="E43742" t="s">
        <v>9817</v>
      </c>
      <c r="F43742" t="s">
        <v>13790</v>
      </c>
      <c r="G43742" t="s">
        <v>17519</v>
      </c>
      <c r="H43742" t="s">
        <v>37036</v>
      </c>
    </row>
    <row r="43743" spans="1:8">
      <c r="H43743" t="s">
        <v>37037</v>
      </c>
    </row>
    <row r="43744" spans="1:8">
      <c r="H43744" t="s">
        <v>37038</v>
      </c>
    </row>
    <row r="43745" spans="1:8">
      <c r="H43745" t="s">
        <v>37039</v>
      </c>
    </row>
    <row r="43746" spans="1:8">
      <c r="H43746" t="s">
        <v>37040</v>
      </c>
    </row>
    <row r="43747" spans="1:8">
      <c r="H43747" t="s">
        <v>37041</v>
      </c>
    </row>
    <row r="43748" spans="1:8">
      <c r="A43748" t="s">
        <v>4138</v>
      </c>
      <c r="B43748">
        <f>HYPERLINK("https://android.googlesource.com/platform/cts/+/17738536724f3cbe14f5f8816f12d8f4e493cdd6", "17738536724f3cbe14f5f8816f12d8f4e493cdd6")</f>
        <v>0</v>
      </c>
      <c r="C43748">
        <f>HYPERLINK("https://android.googlesource.com/platform/cts/+/4665da0fe48cbbea93d22a0988a3abdb303bc4a5", "4665da0fe48cbbea93d22a0988a3abdb303bc4a5")</f>
        <v>0</v>
      </c>
      <c r="D43748" t="s">
        <v>5313</v>
      </c>
      <c r="E43748" t="s">
        <v>9819</v>
      </c>
      <c r="F43748" t="s">
        <v>14165</v>
      </c>
      <c r="G43748" t="s">
        <v>17361</v>
      </c>
      <c r="H43748" t="s">
        <v>37042</v>
      </c>
    </row>
    <row r="43749" spans="1:8">
      <c r="A43749" t="s">
        <v>4139</v>
      </c>
      <c r="B43749">
        <f>HYPERLINK("https://android.googlesource.com/platform/cts/+/e2dd9d95b57bc0406db3f3f80792cc9f9b2adfd6", "e2dd9d95b57bc0406db3f3f80792cc9f9b2adfd6")</f>
        <v>0</v>
      </c>
      <c r="C43749">
        <f>HYPERLINK("https://android.googlesource.com/platform/cts/+/13f45c03d5c447fc3db536128b8afff868f4c22e", "13f45c03d5c447fc3db536128b8afff868f4c22e")</f>
        <v>0</v>
      </c>
      <c r="D43749" t="s">
        <v>5415</v>
      </c>
      <c r="E43749" t="s">
        <v>9820</v>
      </c>
      <c r="F43749" t="s">
        <v>14363</v>
      </c>
      <c r="G43749" t="s">
        <v>18533</v>
      </c>
      <c r="H43749" t="s">
        <v>37043</v>
      </c>
    </row>
    <row r="43750" spans="1:8">
      <c r="H43750" t="s">
        <v>37044</v>
      </c>
    </row>
    <row r="43751" spans="1:8">
      <c r="H43751" t="s">
        <v>37045</v>
      </c>
    </row>
    <row r="43752" spans="1:8">
      <c r="H43752" t="s">
        <v>37046</v>
      </c>
    </row>
    <row r="43753" spans="1:8">
      <c r="H43753" t="s">
        <v>18829</v>
      </c>
    </row>
    <row r="43754" spans="1:8">
      <c r="H43754" t="s">
        <v>18863</v>
      </c>
    </row>
    <row r="43755" spans="1:8">
      <c r="H43755" t="s">
        <v>37047</v>
      </c>
    </row>
    <row r="43756" spans="1:8">
      <c r="H43756" t="s">
        <v>37048</v>
      </c>
    </row>
    <row r="43757" spans="1:8">
      <c r="H43757" t="s">
        <v>37049</v>
      </c>
    </row>
    <row r="43758" spans="1:8">
      <c r="H43758" t="s">
        <v>37050</v>
      </c>
    </row>
    <row r="43759" spans="1:8">
      <c r="H43759" t="s">
        <v>37051</v>
      </c>
    </row>
    <row r="43760" spans="1:8">
      <c r="H43760" t="s">
        <v>37052</v>
      </c>
    </row>
    <row r="43761" spans="8:8">
      <c r="H43761" t="s">
        <v>37053</v>
      </c>
    </row>
    <row r="43762" spans="8:8">
      <c r="H43762" t="s">
        <v>37054</v>
      </c>
    </row>
    <row r="43763" spans="8:8">
      <c r="H43763" t="s">
        <v>37055</v>
      </c>
    </row>
    <row r="43764" spans="8:8">
      <c r="H43764" t="s">
        <v>37056</v>
      </c>
    </row>
    <row r="43765" spans="8:8">
      <c r="H43765" t="s">
        <v>37057</v>
      </c>
    </row>
    <row r="43766" spans="8:8">
      <c r="H43766" t="s">
        <v>37058</v>
      </c>
    </row>
    <row r="43767" spans="8:8">
      <c r="H43767" t="s">
        <v>37059</v>
      </c>
    </row>
    <row r="43768" spans="8:8">
      <c r="H43768" t="s">
        <v>37060</v>
      </c>
    </row>
    <row r="43769" spans="8:8">
      <c r="H43769" t="s">
        <v>37061</v>
      </c>
    </row>
    <row r="43770" spans="8:8">
      <c r="H43770" t="s">
        <v>35650</v>
      </c>
    </row>
    <row r="43771" spans="8:8">
      <c r="H43771" t="s">
        <v>37062</v>
      </c>
    </row>
    <row r="43772" spans="8:8">
      <c r="H43772" t="s">
        <v>37063</v>
      </c>
    </row>
    <row r="43773" spans="8:8">
      <c r="H43773" t="s">
        <v>37064</v>
      </c>
    </row>
    <row r="43774" spans="8:8">
      <c r="H43774" t="s">
        <v>37065</v>
      </c>
    </row>
    <row r="43775" spans="8:8">
      <c r="H43775" t="s">
        <v>37066</v>
      </c>
    </row>
    <row r="43776" spans="8:8">
      <c r="H43776" t="s">
        <v>37067</v>
      </c>
    </row>
    <row r="43777" spans="1:8">
      <c r="H43777" t="s">
        <v>37068</v>
      </c>
    </row>
    <row r="43778" spans="1:8">
      <c r="H43778" t="s">
        <v>37069</v>
      </c>
    </row>
    <row r="43779" spans="1:8">
      <c r="H43779" t="s">
        <v>37070</v>
      </c>
    </row>
    <row r="43780" spans="1:8">
      <c r="A43780" t="s">
        <v>4143</v>
      </c>
      <c r="B43780">
        <f>HYPERLINK("https://android.googlesource.com/platform/cts/+/4d6b858e0f9a908d5503539d7f8093cce8272e05", "4d6b858e0f9a908d5503539d7f8093cce8272e05")</f>
        <v>0</v>
      </c>
      <c r="C43780">
        <f>HYPERLINK("https://android.googlesource.com/platform/cts/+/785f64789bf862a64d0ccab46a79e809e7ea5515", "785f64789bf862a64d0ccab46a79e809e7ea5515")</f>
        <v>0</v>
      </c>
      <c r="D43780" t="s">
        <v>5455</v>
      </c>
      <c r="E43780" t="s">
        <v>9822</v>
      </c>
      <c r="F43780" t="s">
        <v>14621</v>
      </c>
      <c r="G43780" t="s">
        <v>18534</v>
      </c>
      <c r="H43780" t="s">
        <v>37071</v>
      </c>
    </row>
    <row r="43781" spans="1:8">
      <c r="A43781" t="s">
        <v>4144</v>
      </c>
      <c r="B43781">
        <f>HYPERLINK("https://android.googlesource.com/platform/cts/+/b0db4cae905b93d9cf0169700483eda4f8314a70", "b0db4cae905b93d9cf0169700483eda4f8314a70")</f>
        <v>0</v>
      </c>
      <c r="C43781">
        <f>HYPERLINK("https://android.googlesource.com/platform/cts/+/e32bcbf69b0b915d6606fb403dc2110f926bc482", "e32bcbf69b0b915d6606fb403dc2110f926bc482")</f>
        <v>0</v>
      </c>
      <c r="D43781" t="s">
        <v>5021</v>
      </c>
      <c r="E43781" t="s">
        <v>9823</v>
      </c>
      <c r="F43781" t="s">
        <v>13794</v>
      </c>
      <c r="G43781" t="s">
        <v>17846</v>
      </c>
      <c r="H43781" t="s">
        <v>29881</v>
      </c>
    </row>
    <row r="43782" spans="1:8">
      <c r="A43782" t="s">
        <v>4148</v>
      </c>
      <c r="B43782">
        <f>HYPERLINK("https://android.googlesource.com/platform/cts/+/5675d5b40e6688b093a2d05afb5daab2a28a388e", "5675d5b40e6688b093a2d05afb5daab2a28a388e")</f>
        <v>0</v>
      </c>
      <c r="C43782">
        <f>HYPERLINK("https://android.googlesource.com/platform/cts/+/27cdd58435b1aaf80186e02dd280d4a373644916", "27cdd58435b1aaf80186e02dd280d4a373644916")</f>
        <v>0</v>
      </c>
      <c r="D43782" t="s">
        <v>5409</v>
      </c>
      <c r="E43782" t="s">
        <v>9827</v>
      </c>
      <c r="F43782" t="s">
        <v>14622</v>
      </c>
      <c r="G43782" t="s">
        <v>16942</v>
      </c>
      <c r="H43782" t="s">
        <v>37072</v>
      </c>
    </row>
    <row r="43783" spans="1:8">
      <c r="H43783" t="s">
        <v>37073</v>
      </c>
    </row>
    <row r="43784" spans="1:8">
      <c r="H43784" t="s">
        <v>37074</v>
      </c>
    </row>
    <row r="43785" spans="1:8">
      <c r="H43785" t="s">
        <v>28689</v>
      </c>
    </row>
    <row r="43786" spans="1:8">
      <c r="H43786" t="s">
        <v>28690</v>
      </c>
    </row>
    <row r="43787" spans="1:8">
      <c r="H43787" t="s">
        <v>28691</v>
      </c>
    </row>
    <row r="43788" spans="1:8">
      <c r="H43788" t="s">
        <v>28692</v>
      </c>
    </row>
    <row r="43789" spans="1:8">
      <c r="H43789" t="s">
        <v>37075</v>
      </c>
    </row>
    <row r="43790" spans="1:8">
      <c r="F43790" t="s">
        <v>14623</v>
      </c>
      <c r="G43790" t="s">
        <v>18359</v>
      </c>
      <c r="H43790" t="s">
        <v>37076</v>
      </c>
    </row>
    <row r="43791" spans="1:8">
      <c r="A43791" t="s">
        <v>4150</v>
      </c>
      <c r="B43791">
        <f>HYPERLINK("https://android.googlesource.com/platform/cts/+/a64d39359ba56a03afa4f0b52c95c1257d04dbb0", "a64d39359ba56a03afa4f0b52c95c1257d04dbb0")</f>
        <v>0</v>
      </c>
      <c r="C43791">
        <f>HYPERLINK("https://android.googlesource.com/platform/cts/+/17ab24f97308322e6cdf518fe85d5ab6b748d4d4", "17ab24f97308322e6cdf518fe85d5ab6b748d4d4")</f>
        <v>0</v>
      </c>
      <c r="D43791" t="s">
        <v>5444</v>
      </c>
      <c r="E43791" t="s">
        <v>9829</v>
      </c>
      <c r="F43791" t="s">
        <v>14079</v>
      </c>
      <c r="G43791" t="s">
        <v>15084</v>
      </c>
      <c r="H43791" t="s">
        <v>28618</v>
      </c>
    </row>
    <row r="43792" spans="1:8">
      <c r="A43792" t="s">
        <v>4151</v>
      </c>
      <c r="B43792">
        <f>HYPERLINK("https://android.googlesource.com/platform/cts/+/b68a484e6fa0b7992809ba583a0f5fe915c3b557", "b68a484e6fa0b7992809ba583a0f5fe915c3b557")</f>
        <v>0</v>
      </c>
      <c r="C43792">
        <f>HYPERLINK("https://android.googlesource.com/platform/cts/+/226041e349bd8b9bc6fd64e14ae1df7eeee8dff3", "226041e349bd8b9bc6fd64e14ae1df7eeee8dff3")</f>
        <v>0</v>
      </c>
      <c r="D43792" t="s">
        <v>5288</v>
      </c>
      <c r="E43792" t="s">
        <v>9830</v>
      </c>
      <c r="F43792" t="s">
        <v>14624</v>
      </c>
      <c r="G43792" t="s">
        <v>18535</v>
      </c>
      <c r="H43792" t="s">
        <v>18863</v>
      </c>
    </row>
    <row r="43793" spans="1:8">
      <c r="H43793" t="s">
        <v>37077</v>
      </c>
    </row>
    <row r="43794" spans="1:8">
      <c r="H43794" t="s">
        <v>37078</v>
      </c>
    </row>
    <row r="43795" spans="1:8">
      <c r="H43795" t="s">
        <v>37079</v>
      </c>
    </row>
    <row r="43796" spans="1:8">
      <c r="H43796" t="s">
        <v>37080</v>
      </c>
    </row>
    <row r="43797" spans="1:8">
      <c r="H43797" t="s">
        <v>37081</v>
      </c>
    </row>
    <row r="43798" spans="1:8">
      <c r="H43798" t="s">
        <v>37082</v>
      </c>
    </row>
    <row r="43799" spans="1:8">
      <c r="H43799" t="s">
        <v>37083</v>
      </c>
    </row>
    <row r="43800" spans="1:8">
      <c r="H43800" t="s">
        <v>37084</v>
      </c>
    </row>
    <row r="43801" spans="1:8">
      <c r="H43801" t="s">
        <v>37085</v>
      </c>
    </row>
    <row r="43802" spans="1:8">
      <c r="H43802" t="s">
        <v>37086</v>
      </c>
    </row>
    <row r="43803" spans="1:8">
      <c r="H43803" t="s">
        <v>37087</v>
      </c>
    </row>
    <row r="43804" spans="1:8">
      <c r="H43804" t="s">
        <v>37088</v>
      </c>
    </row>
    <row r="43805" spans="1:8">
      <c r="H43805" t="s">
        <v>37089</v>
      </c>
    </row>
    <row r="43806" spans="1:8">
      <c r="H43806" t="s">
        <v>35694</v>
      </c>
    </row>
    <row r="43807" spans="1:8">
      <c r="F43807" t="s">
        <v>12743</v>
      </c>
      <c r="G43807" t="s">
        <v>16935</v>
      </c>
      <c r="H43807" t="s">
        <v>37090</v>
      </c>
    </row>
    <row r="43808" spans="1:8">
      <c r="A43808" t="s">
        <v>4152</v>
      </c>
      <c r="B43808">
        <f>HYPERLINK("https://android.googlesource.com/platform/cts/+/f7af5281506efc2746cee102cc235f6506e15488", "f7af5281506efc2746cee102cc235f6506e15488")</f>
        <v>0</v>
      </c>
      <c r="C43808">
        <f>HYPERLINK("https://android.googlesource.com/platform/cts/+/b86ba94b24a7144e4e25f22fcc998862a3244323", "b86ba94b24a7144e4e25f22fcc998862a3244323")</f>
        <v>0</v>
      </c>
      <c r="D43808" t="s">
        <v>5665</v>
      </c>
      <c r="E43808" t="s">
        <v>9831</v>
      </c>
      <c r="F43808" t="s">
        <v>14386</v>
      </c>
      <c r="G43808" t="s">
        <v>18330</v>
      </c>
      <c r="H43808" t="s">
        <v>37091</v>
      </c>
    </row>
    <row r="43809" spans="1:8">
      <c r="A43809" t="s">
        <v>4153</v>
      </c>
      <c r="B43809">
        <f>HYPERLINK("https://android.googlesource.com/platform/cts/+/cf99bde7f7c31557d5d769480cbc6b6a66613918", "cf99bde7f7c31557d5d769480cbc6b6a66613918")</f>
        <v>0</v>
      </c>
      <c r="C43809">
        <f>HYPERLINK("https://android.googlesource.com/platform/cts/+/48ce4d71dec5b37a874ddbdf7a7301dc60ebc810", "48ce4d71dec5b37a874ddbdf7a7301dc60ebc810")</f>
        <v>0</v>
      </c>
      <c r="D43809" t="s">
        <v>5307</v>
      </c>
      <c r="E43809" t="s">
        <v>9832</v>
      </c>
      <c r="F43809" t="s">
        <v>14531</v>
      </c>
      <c r="G43809" t="s">
        <v>18455</v>
      </c>
      <c r="H43809" t="s">
        <v>37092</v>
      </c>
    </row>
    <row r="43810" spans="1:8">
      <c r="A43810" t="s">
        <v>4154</v>
      </c>
      <c r="B43810">
        <f>HYPERLINK("https://android.googlesource.com/platform/cts/+/b7ba487215c7fd96fae16253a2f8beb76d7aa46b", "b7ba487215c7fd96fae16253a2f8beb76d7aa46b")</f>
        <v>0</v>
      </c>
      <c r="C43810">
        <f>HYPERLINK("https://android.googlesource.com/platform/cts/+/13fc085cb3a8641213a0a78511522bd864e3a4de", "13fc085cb3a8641213a0a78511522bd864e3a4de")</f>
        <v>0</v>
      </c>
      <c r="D43810" t="s">
        <v>5473</v>
      </c>
      <c r="E43810" t="s">
        <v>9833</v>
      </c>
      <c r="F43810" t="s">
        <v>10778</v>
      </c>
      <c r="G43810" t="s">
        <v>15174</v>
      </c>
      <c r="H43810" t="s">
        <v>32011</v>
      </c>
    </row>
    <row r="43811" spans="1:8">
      <c r="A43811" t="s">
        <v>4155</v>
      </c>
      <c r="B43811">
        <f>HYPERLINK("https://android.googlesource.com/platform/cts/+/f2bbc36145aab1cce9f2901301ac177827fda3b9", "f2bbc36145aab1cce9f2901301ac177827fda3b9")</f>
        <v>0</v>
      </c>
      <c r="C43811">
        <f>HYPERLINK("https://android.googlesource.com/platform/cts/+/9f3690e0426c253f25d888d347e5058c9a9bf0f7", "9f3690e0426c253f25d888d347e5058c9a9bf0f7")</f>
        <v>0</v>
      </c>
      <c r="D43811" t="s">
        <v>5541</v>
      </c>
      <c r="E43811" t="s">
        <v>9834</v>
      </c>
      <c r="F43811" t="s">
        <v>14625</v>
      </c>
      <c r="G43811" t="s">
        <v>18536</v>
      </c>
      <c r="H43811" t="s">
        <v>37093</v>
      </c>
    </row>
    <row r="43812" spans="1:8">
      <c r="H43812" t="s">
        <v>37094</v>
      </c>
    </row>
    <row r="43813" spans="1:8">
      <c r="H43813" t="s">
        <v>37095</v>
      </c>
    </row>
    <row r="43814" spans="1:8">
      <c r="A43814" t="s">
        <v>4156</v>
      </c>
      <c r="B43814">
        <f>HYPERLINK("https://android.googlesource.com/platform/cts/+/f8b0e6ddd4a7e14ac23511da768d5930b868d6ba", "f8b0e6ddd4a7e14ac23511da768d5930b868d6ba")</f>
        <v>0</v>
      </c>
      <c r="C43814">
        <f>HYPERLINK("https://android.googlesource.com/platform/cts/+/1712c1bf1df20f4d3bed44ef98c2c69cbb56471e", "1712c1bf1df20f4d3bed44ef98c2c69cbb56471e")</f>
        <v>0</v>
      </c>
      <c r="D43814" t="s">
        <v>5265</v>
      </c>
      <c r="E43814" t="s">
        <v>9835</v>
      </c>
      <c r="F43814" t="s">
        <v>14626</v>
      </c>
      <c r="G43814" t="s">
        <v>18537</v>
      </c>
      <c r="H43814" t="s">
        <v>37096</v>
      </c>
    </row>
    <row r="43815" spans="1:8">
      <c r="H43815" t="s">
        <v>37097</v>
      </c>
    </row>
    <row r="43816" spans="1:8">
      <c r="A43816" t="s">
        <v>4157</v>
      </c>
      <c r="B43816">
        <f>HYPERLINK("https://android.googlesource.com/platform/cts/+/07f3063588719ff79a300753401b2f4a2b6e5b96", "07f3063588719ff79a300753401b2f4a2b6e5b96")</f>
        <v>0</v>
      </c>
      <c r="C43816">
        <f>HYPERLINK("https://android.googlesource.com/platform/cts/+/43fa93bdf1f6e22bf9dcaeca2a14b185f32a8c3a", "43fa93bdf1f6e22bf9dcaeca2a14b185f32a8c3a")</f>
        <v>0</v>
      </c>
      <c r="D43816" t="s">
        <v>5642</v>
      </c>
      <c r="E43816" t="s">
        <v>9836</v>
      </c>
      <c r="F43816" t="s">
        <v>14627</v>
      </c>
      <c r="G43816" t="s">
        <v>18538</v>
      </c>
      <c r="H43816" t="s">
        <v>37098</v>
      </c>
    </row>
    <row r="43817" spans="1:8">
      <c r="A43817" t="s">
        <v>4158</v>
      </c>
      <c r="B43817">
        <f>HYPERLINK("https://android.googlesource.com/platform/cts/+/69c74c5a51133f5d4bbc8e78b9447cc1eff5b816", "69c74c5a51133f5d4bbc8e78b9447cc1eff5b816")</f>
        <v>0</v>
      </c>
      <c r="C43817">
        <f>HYPERLINK("https://android.googlesource.com/platform/cts/+/8218922559bcb2b1e57f10d614cee4ea187fb511", "8218922559bcb2b1e57f10d614cee4ea187fb511")</f>
        <v>0</v>
      </c>
      <c r="D43817" t="s">
        <v>5570</v>
      </c>
      <c r="E43817" t="s">
        <v>9837</v>
      </c>
      <c r="F43817" t="s">
        <v>14628</v>
      </c>
      <c r="G43817" t="s">
        <v>18539</v>
      </c>
      <c r="H43817" t="s">
        <v>37099</v>
      </c>
    </row>
    <row r="43818" spans="1:8">
      <c r="H43818" t="s">
        <v>37100</v>
      </c>
    </row>
    <row r="43819" spans="1:8">
      <c r="H43819" t="s">
        <v>37101</v>
      </c>
    </row>
    <row r="43820" spans="1:8">
      <c r="H43820" t="s">
        <v>37102</v>
      </c>
    </row>
    <row r="43821" spans="1:8">
      <c r="H43821" t="s">
        <v>37103</v>
      </c>
    </row>
    <row r="43822" spans="1:8">
      <c r="H43822" t="s">
        <v>37104</v>
      </c>
    </row>
    <row r="43823" spans="1:8">
      <c r="H43823" t="s">
        <v>37105</v>
      </c>
    </row>
    <row r="43824" spans="1:8">
      <c r="H43824" t="s">
        <v>37106</v>
      </c>
    </row>
    <row r="43825" spans="1:8">
      <c r="H43825" t="s">
        <v>37107</v>
      </c>
    </row>
    <row r="43826" spans="1:8">
      <c r="H43826" t="s">
        <v>37108</v>
      </c>
    </row>
    <row r="43827" spans="1:8">
      <c r="H43827" t="s">
        <v>37109</v>
      </c>
    </row>
    <row r="43828" spans="1:8">
      <c r="A43828" t="s">
        <v>4159</v>
      </c>
      <c r="B43828">
        <f>HYPERLINK("https://android.googlesource.com/platform/cts/+/cdb1f81b32743836934373a12fcbcc4f8ce4a163", "cdb1f81b32743836934373a12fcbcc4f8ce4a163")</f>
        <v>0</v>
      </c>
      <c r="C43828">
        <f>HYPERLINK("https://android.googlesource.com/platform/cts/+/74c87b8ffe29d945a34738e48ac6e6b61aab6c44", "74c87b8ffe29d945a34738e48ac6e6b61aab6c44")</f>
        <v>0</v>
      </c>
      <c r="D43828" t="s">
        <v>5408</v>
      </c>
      <c r="E43828" t="s">
        <v>9838</v>
      </c>
      <c r="F43828" t="s">
        <v>14629</v>
      </c>
      <c r="G43828" t="s">
        <v>18540</v>
      </c>
      <c r="H43828" t="s">
        <v>37110</v>
      </c>
    </row>
    <row r="43829" spans="1:8">
      <c r="F43829" t="s">
        <v>14630</v>
      </c>
      <c r="G43829" t="s">
        <v>18541</v>
      </c>
      <c r="H43829" t="s">
        <v>37110</v>
      </c>
    </row>
    <row r="43830" spans="1:8">
      <c r="A43830" t="s">
        <v>4160</v>
      </c>
      <c r="B43830">
        <f>HYPERLINK("https://android.googlesource.com/platform/cts/+/aafedb0bd34b07854d8a84e9a3d35478cbf920f9", "aafedb0bd34b07854d8a84e9a3d35478cbf920f9")</f>
        <v>0</v>
      </c>
      <c r="C43830">
        <f>HYPERLINK("https://android.googlesource.com/platform/cts/+/0be33f80cc418d8ae84d136c44a5d4146f03d7d8", "0be33f80cc418d8ae84d136c44a5d4146f03d7d8")</f>
        <v>0</v>
      </c>
      <c r="D43830" t="s">
        <v>5258</v>
      </c>
      <c r="E43830" t="s">
        <v>9839</v>
      </c>
      <c r="F43830" t="s">
        <v>14080</v>
      </c>
      <c r="G43830" t="s">
        <v>18077</v>
      </c>
      <c r="H43830" t="s">
        <v>37111</v>
      </c>
    </row>
    <row r="43831" spans="1:8">
      <c r="H43831" t="s">
        <v>37112</v>
      </c>
    </row>
    <row r="43832" spans="1:8">
      <c r="H43832" t="s">
        <v>37113</v>
      </c>
    </row>
    <row r="43833" spans="1:8">
      <c r="H43833" t="s">
        <v>37114</v>
      </c>
    </row>
    <row r="43834" spans="1:8">
      <c r="H43834" t="s">
        <v>37115</v>
      </c>
    </row>
    <row r="43835" spans="1:8">
      <c r="H43835" t="s">
        <v>37116</v>
      </c>
    </row>
    <row r="43836" spans="1:8">
      <c r="H43836" t="s">
        <v>37117</v>
      </c>
    </row>
    <row r="43837" spans="1:8">
      <c r="H43837" t="s">
        <v>37118</v>
      </c>
    </row>
    <row r="43838" spans="1:8">
      <c r="H43838" t="s">
        <v>20014</v>
      </c>
    </row>
    <row r="43839" spans="1:8">
      <c r="H43839" t="s">
        <v>37119</v>
      </c>
    </row>
    <row r="43840" spans="1:8">
      <c r="H43840" t="s">
        <v>37120</v>
      </c>
    </row>
    <row r="43841" spans="1:8">
      <c r="H43841" t="s">
        <v>37121</v>
      </c>
    </row>
    <row r="43842" spans="1:8">
      <c r="H43842" t="s">
        <v>37122</v>
      </c>
    </row>
    <row r="43843" spans="1:8">
      <c r="H43843" t="s">
        <v>37123</v>
      </c>
    </row>
    <row r="43844" spans="1:8">
      <c r="H43844" t="s">
        <v>37122</v>
      </c>
    </row>
    <row r="43845" spans="1:8">
      <c r="H43845" t="s">
        <v>37124</v>
      </c>
    </row>
    <row r="43846" spans="1:8">
      <c r="H43846" t="s">
        <v>25954</v>
      </c>
    </row>
    <row r="43847" spans="1:8">
      <c r="H43847" t="s">
        <v>37125</v>
      </c>
    </row>
    <row r="43848" spans="1:8">
      <c r="H43848" t="s">
        <v>37126</v>
      </c>
    </row>
    <row r="43849" spans="1:8">
      <c r="H43849" t="s">
        <v>18930</v>
      </c>
    </row>
    <row r="43850" spans="1:8">
      <c r="H43850" t="s">
        <v>37127</v>
      </c>
    </row>
    <row r="43851" spans="1:8">
      <c r="H43851" t="s">
        <v>37128</v>
      </c>
    </row>
    <row r="43852" spans="1:8">
      <c r="F43852" t="s">
        <v>12185</v>
      </c>
      <c r="G43852" t="s">
        <v>16424</v>
      </c>
      <c r="H43852" t="s">
        <v>37129</v>
      </c>
    </row>
    <row r="43853" spans="1:8">
      <c r="H43853" t="s">
        <v>37130</v>
      </c>
    </row>
    <row r="43854" spans="1:8">
      <c r="F43854" t="s">
        <v>14230</v>
      </c>
      <c r="G43854" t="s">
        <v>18202</v>
      </c>
      <c r="H43854" t="s">
        <v>37131</v>
      </c>
    </row>
    <row r="43855" spans="1:8">
      <c r="A43855" t="s">
        <v>4161</v>
      </c>
      <c r="B43855">
        <f>HYPERLINK("https://android.googlesource.com/platform/cts/+/1437ae85303879984e2a258f06426f71adf5be65", "1437ae85303879984e2a258f06426f71adf5be65")</f>
        <v>0</v>
      </c>
      <c r="C43855">
        <f>HYPERLINK("https://android.googlesource.com/platform/cts/+/1d6e7f8245a145cc885cb829cedce204ebc066e3", "1d6e7f8245a145cc885cb829cedce204ebc066e3")</f>
        <v>0</v>
      </c>
      <c r="D43855" t="s">
        <v>5569</v>
      </c>
      <c r="E43855" t="s">
        <v>9840</v>
      </c>
      <c r="F43855" t="s">
        <v>14446</v>
      </c>
      <c r="G43855" t="s">
        <v>18381</v>
      </c>
      <c r="H43855" t="s">
        <v>37132</v>
      </c>
    </row>
    <row r="43856" spans="1:8">
      <c r="H43856" t="s">
        <v>37133</v>
      </c>
    </row>
    <row r="43857" spans="1:8">
      <c r="F43857" t="s">
        <v>14414</v>
      </c>
      <c r="G43857" t="s">
        <v>18352</v>
      </c>
      <c r="H43857" t="s">
        <v>37132</v>
      </c>
    </row>
    <row r="43858" spans="1:8">
      <c r="H43858" t="s">
        <v>37133</v>
      </c>
    </row>
    <row r="43859" spans="1:8">
      <c r="A43859" t="s">
        <v>4162</v>
      </c>
      <c r="B43859">
        <f>HYPERLINK("https://android.googlesource.com/platform/cts/+/ec2e9aaa0957ec773c2d37008ba2af98313d4d58", "ec2e9aaa0957ec773c2d37008ba2af98313d4d58")</f>
        <v>0</v>
      </c>
      <c r="C43859">
        <f>HYPERLINK("https://android.googlesource.com/platform/cts/+/5cd84dbaef140091606678509c7824d6734012b8", "5cd84dbaef140091606678509c7824d6734012b8")</f>
        <v>0</v>
      </c>
      <c r="D43859" t="s">
        <v>5363</v>
      </c>
      <c r="E43859" t="s">
        <v>9841</v>
      </c>
      <c r="F43859" t="s">
        <v>14631</v>
      </c>
      <c r="G43859" t="s">
        <v>17876</v>
      </c>
      <c r="H43859" t="s">
        <v>18836</v>
      </c>
    </row>
    <row r="43860" spans="1:8">
      <c r="H43860" t="s">
        <v>19013</v>
      </c>
    </row>
    <row r="43861" spans="1:8">
      <c r="H43861" t="s">
        <v>37134</v>
      </c>
    </row>
    <row r="43862" spans="1:8">
      <c r="H43862" t="s">
        <v>37135</v>
      </c>
    </row>
    <row r="43863" spans="1:8">
      <c r="H43863" t="s">
        <v>37136</v>
      </c>
    </row>
    <row r="43864" spans="1:8">
      <c r="H43864" t="s">
        <v>37137</v>
      </c>
    </row>
    <row r="43865" spans="1:8">
      <c r="H43865" t="s">
        <v>37138</v>
      </c>
    </row>
    <row r="43866" spans="1:8">
      <c r="H43866" t="s">
        <v>37139</v>
      </c>
    </row>
    <row r="43867" spans="1:8">
      <c r="H43867" t="s">
        <v>37140</v>
      </c>
    </row>
    <row r="43868" spans="1:8">
      <c r="H43868" t="s">
        <v>37141</v>
      </c>
    </row>
    <row r="43869" spans="1:8">
      <c r="H43869" t="s">
        <v>37142</v>
      </c>
    </row>
    <row r="43870" spans="1:8">
      <c r="H43870" t="s">
        <v>37143</v>
      </c>
    </row>
    <row r="43871" spans="1:8">
      <c r="H43871" t="s">
        <v>37144</v>
      </c>
    </row>
    <row r="43872" spans="1:8">
      <c r="H43872" t="s">
        <v>37145</v>
      </c>
    </row>
    <row r="43873" spans="1:8">
      <c r="H43873" t="s">
        <v>37146</v>
      </c>
    </row>
    <row r="43874" spans="1:8">
      <c r="H43874" t="s">
        <v>31753</v>
      </c>
    </row>
    <row r="43875" spans="1:8">
      <c r="H43875" t="s">
        <v>37147</v>
      </c>
    </row>
    <row r="43876" spans="1:8">
      <c r="H43876" t="s">
        <v>19010</v>
      </c>
    </row>
    <row r="43877" spans="1:8">
      <c r="H43877" t="s">
        <v>18835</v>
      </c>
    </row>
    <row r="43878" spans="1:8">
      <c r="H43878" t="s">
        <v>37148</v>
      </c>
    </row>
    <row r="43879" spans="1:8">
      <c r="H43879" t="s">
        <v>37149</v>
      </c>
    </row>
    <row r="43880" spans="1:8">
      <c r="H43880" t="s">
        <v>37150</v>
      </c>
    </row>
    <row r="43881" spans="1:8">
      <c r="A43881" t="s">
        <v>4163</v>
      </c>
      <c r="B43881">
        <f>HYPERLINK("https://android.googlesource.com/platform/cts/+/9857a2272768fcd95861bcfb4164c4f66699f534", "9857a2272768fcd95861bcfb4164c4f66699f534")</f>
        <v>0</v>
      </c>
      <c r="C43881">
        <f>HYPERLINK("https://android.googlesource.com/platform/cts/+/77afa7149e2df4b01705763ad14b526668d22851", "77afa7149e2df4b01705763ad14b526668d22851")</f>
        <v>0</v>
      </c>
      <c r="D43881" t="s">
        <v>5638</v>
      </c>
      <c r="E43881" t="s">
        <v>9842</v>
      </c>
      <c r="F43881" t="s">
        <v>12871</v>
      </c>
      <c r="G43881" t="s">
        <v>17039</v>
      </c>
      <c r="H43881" t="s">
        <v>37151</v>
      </c>
    </row>
    <row r="43882" spans="1:8">
      <c r="A43882" t="s">
        <v>4164</v>
      </c>
      <c r="B43882">
        <f>HYPERLINK("https://android.googlesource.com/platform/cts/+/5d39eece835c7b3f8afa474807b88b2ce0c86136", "5d39eece835c7b3f8afa474807b88b2ce0c86136")</f>
        <v>0</v>
      </c>
      <c r="C43882">
        <f>HYPERLINK("https://android.googlesource.com/platform/cts/+/01b5ce4de9ac67a8770f125e3b4f3fc601e090fa", "01b5ce4de9ac67a8770f125e3b4f3fc601e090fa")</f>
        <v>0</v>
      </c>
      <c r="D43882" t="s">
        <v>5460</v>
      </c>
      <c r="E43882" t="s">
        <v>9843</v>
      </c>
      <c r="F43882" t="s">
        <v>14362</v>
      </c>
      <c r="G43882" t="s">
        <v>18309</v>
      </c>
      <c r="H43882" t="s">
        <v>37152</v>
      </c>
    </row>
    <row r="43883" spans="1:8">
      <c r="H43883" t="s">
        <v>37153</v>
      </c>
    </row>
    <row r="43884" spans="1:8">
      <c r="H43884" t="s">
        <v>37154</v>
      </c>
    </row>
    <row r="43885" spans="1:8">
      <c r="A43885" t="s">
        <v>4165</v>
      </c>
      <c r="B43885">
        <f>HYPERLINK("https://android.googlesource.com/platform/cts/+/7eba48a7093a8e595cda21377d44f9419ee8815c", "7eba48a7093a8e595cda21377d44f9419ee8815c")</f>
        <v>0</v>
      </c>
      <c r="C43885">
        <f>HYPERLINK("https://android.googlesource.com/platform/cts/+/d2b6a605234e16ccf321e892d3dd961c3c546488", "d2b6a605234e16ccf321e892d3dd961c3c546488")</f>
        <v>0</v>
      </c>
      <c r="D43885" t="s">
        <v>5438</v>
      </c>
      <c r="E43885" t="s">
        <v>9844</v>
      </c>
      <c r="F43885" t="s">
        <v>14399</v>
      </c>
      <c r="G43885" t="s">
        <v>18042</v>
      </c>
      <c r="H43885" t="s">
        <v>37155</v>
      </c>
    </row>
    <row r="43886" spans="1:8">
      <c r="A43886" t="s">
        <v>4167</v>
      </c>
      <c r="B43886">
        <f>HYPERLINK("https://android.googlesource.com/platform/cts/+/3d2df9c448bea6fd762f047d9e86a5e32d2ee1c6", "3d2df9c448bea6fd762f047d9e86a5e32d2ee1c6")</f>
        <v>0</v>
      </c>
      <c r="C43886">
        <f>HYPERLINK("https://android.googlesource.com/platform/cts/+/0a911208cd0d0d1c6539d2fbcbe4bedea63a32e9", "0a911208cd0d0d1c6539d2fbcbe4bedea63a32e9")</f>
        <v>0</v>
      </c>
      <c r="D43886" t="s">
        <v>5160</v>
      </c>
      <c r="E43886" t="s">
        <v>9845</v>
      </c>
      <c r="F43886" t="s">
        <v>14632</v>
      </c>
      <c r="G43886" t="s">
        <v>18542</v>
      </c>
      <c r="H43886" t="s">
        <v>37156</v>
      </c>
    </row>
    <row r="43887" spans="1:8">
      <c r="A43887" t="s">
        <v>4169</v>
      </c>
      <c r="B43887">
        <f>HYPERLINK("https://android.googlesource.com/platform/cts/+/91ed2b25db00e87e364c62752aa40ea403bbe355", "91ed2b25db00e87e364c62752aa40ea403bbe355")</f>
        <v>0</v>
      </c>
      <c r="C43887">
        <f>HYPERLINK("https://android.googlesource.com/platform/cts/+/8396cdaec1617ea697c81dc4050b1e00e20b5e16", "8396cdaec1617ea697c81dc4050b1e00e20b5e16")</f>
        <v>0</v>
      </c>
      <c r="D43887" t="s">
        <v>5355</v>
      </c>
      <c r="E43887" t="s">
        <v>9847</v>
      </c>
      <c r="F43887" t="s">
        <v>13728</v>
      </c>
      <c r="G43887" t="s">
        <v>17790</v>
      </c>
      <c r="H43887" t="s">
        <v>34705</v>
      </c>
    </row>
    <row r="43888" spans="1:8">
      <c r="H43888" t="s">
        <v>34706</v>
      </c>
    </row>
    <row r="43889" spans="1:8">
      <c r="F43889" t="s">
        <v>14284</v>
      </c>
      <c r="G43889" t="s">
        <v>18249</v>
      </c>
      <c r="H43889" t="s">
        <v>34705</v>
      </c>
    </row>
    <row r="43890" spans="1:8">
      <c r="H43890" t="s">
        <v>34706</v>
      </c>
    </row>
    <row r="43891" spans="1:8">
      <c r="A43891" t="s">
        <v>4170</v>
      </c>
      <c r="B43891">
        <f>HYPERLINK("https://android.googlesource.com/platform/cts/+/a56685ab1011ac99d472adb3a09e2e44673b4541", "a56685ab1011ac99d472adb3a09e2e44673b4541")</f>
        <v>0</v>
      </c>
      <c r="C43891">
        <f>HYPERLINK("https://android.googlesource.com/platform/cts/+/b20f83c51ed2d026c3da66669d398987e63bd305", "b20f83c51ed2d026c3da66669d398987e63bd305")</f>
        <v>0</v>
      </c>
      <c r="D43891" t="s">
        <v>5575</v>
      </c>
      <c r="E43891" t="s">
        <v>9848</v>
      </c>
      <c r="F43891" t="s">
        <v>14613</v>
      </c>
      <c r="G43891" t="s">
        <v>18453</v>
      </c>
      <c r="H43891" t="s">
        <v>36440</v>
      </c>
    </row>
    <row r="43892" spans="1:8">
      <c r="A43892" t="s">
        <v>4171</v>
      </c>
      <c r="B43892">
        <f>HYPERLINK("https://android.googlesource.com/platform/cts/+/20a0807dd0664d383a7250d8448b9bb03718cac3", "20a0807dd0664d383a7250d8448b9bb03718cac3")</f>
        <v>0</v>
      </c>
      <c r="C43892">
        <f>HYPERLINK("https://android.googlesource.com/platform/cts/+/f99710efde7198d02d85e757808171d4135d4350", "f99710efde7198d02d85e757808171d4135d4350")</f>
        <v>0</v>
      </c>
      <c r="D43892" t="s">
        <v>5472</v>
      </c>
      <c r="E43892" t="s">
        <v>9849</v>
      </c>
      <c r="F43892" t="s">
        <v>14204</v>
      </c>
      <c r="G43892" t="s">
        <v>16848</v>
      </c>
      <c r="H43892" t="s">
        <v>37157</v>
      </c>
    </row>
    <row r="43893" spans="1:8">
      <c r="A43893" t="s">
        <v>4173</v>
      </c>
      <c r="B43893">
        <f>HYPERLINK("https://android.googlesource.com/platform/cts/+/58456bfeea410d2dcc44e9bdf96e0645b54d35fc", "58456bfeea410d2dcc44e9bdf96e0645b54d35fc")</f>
        <v>0</v>
      </c>
      <c r="C43893">
        <f>HYPERLINK("https://android.googlesource.com/platform/cts/+/5cd870fa497e364429757b1cc14fdc8f288ed83d", "5cd870fa497e364429757b1cc14fdc8f288ed83d")</f>
        <v>0</v>
      </c>
      <c r="D43893" t="s">
        <v>5353</v>
      </c>
      <c r="E43893" t="s">
        <v>9851</v>
      </c>
      <c r="F43893" t="s">
        <v>14633</v>
      </c>
      <c r="G43893" t="s">
        <v>18543</v>
      </c>
      <c r="H43893" t="s">
        <v>33071</v>
      </c>
    </row>
    <row r="43894" spans="1:8">
      <c r="A43894" t="s">
        <v>4174</v>
      </c>
      <c r="B43894">
        <f>HYPERLINK("https://android.googlesource.com/platform/cts/+/39e706334363df13acaac22185b92a45950d59d7", "39e706334363df13acaac22185b92a45950d59d7")</f>
        <v>0</v>
      </c>
      <c r="C43894">
        <f>HYPERLINK("https://android.googlesource.com/platform/cts/+/724a9cf12daf83c43f17a8a1a1b4ce65113adf58", "724a9cf12daf83c43f17a8a1a1b4ce65113adf58")</f>
        <v>0</v>
      </c>
      <c r="D43894" t="s">
        <v>5472</v>
      </c>
      <c r="E43894" t="s">
        <v>9852</v>
      </c>
      <c r="F43894" t="s">
        <v>14204</v>
      </c>
      <c r="G43894" t="s">
        <v>16848</v>
      </c>
      <c r="H43894" t="s">
        <v>37158</v>
      </c>
    </row>
    <row r="43895" spans="1:8">
      <c r="H43895" t="s">
        <v>37159</v>
      </c>
    </row>
    <row r="43896" spans="1:8">
      <c r="H43896" t="s">
        <v>37160</v>
      </c>
    </row>
    <row r="43897" spans="1:8">
      <c r="H43897" t="s">
        <v>37161</v>
      </c>
    </row>
    <row r="43898" spans="1:8">
      <c r="H43898" t="s">
        <v>37162</v>
      </c>
    </row>
    <row r="43899" spans="1:8">
      <c r="H43899" t="s">
        <v>37163</v>
      </c>
    </row>
    <row r="43900" spans="1:8">
      <c r="A43900" t="s">
        <v>4175</v>
      </c>
      <c r="B43900">
        <f>HYPERLINK("https://android.googlesource.com/platform/cts/+/132bc0d31ab56ca63a9fba2049885396bcb3e25e", "132bc0d31ab56ca63a9fba2049885396bcb3e25e")</f>
        <v>0</v>
      </c>
      <c r="C43900">
        <f>HYPERLINK("https://android.googlesource.com/platform/cts/+/724a9cf12daf83c43f17a8a1a1b4ce65113adf58", "724a9cf12daf83c43f17a8a1a1b4ce65113adf58")</f>
        <v>0</v>
      </c>
      <c r="D43900" t="s">
        <v>5472</v>
      </c>
      <c r="E43900" t="s">
        <v>9853</v>
      </c>
      <c r="F43900" t="s">
        <v>13386</v>
      </c>
      <c r="G43900" t="s">
        <v>17513</v>
      </c>
      <c r="H43900" t="s">
        <v>37164</v>
      </c>
    </row>
    <row r="43901" spans="1:8">
      <c r="H43901" t="s">
        <v>37165</v>
      </c>
    </row>
    <row r="43902" spans="1:8">
      <c r="H43902" t="s">
        <v>37166</v>
      </c>
    </row>
    <row r="43903" spans="1:8">
      <c r="H43903" t="s">
        <v>37167</v>
      </c>
    </row>
    <row r="43904" spans="1:8">
      <c r="H43904" t="s">
        <v>37168</v>
      </c>
    </row>
    <row r="43905" spans="1:8">
      <c r="H43905" t="s">
        <v>37169</v>
      </c>
    </row>
    <row r="43906" spans="1:8">
      <c r="A43906" t="s">
        <v>4176</v>
      </c>
      <c r="B43906">
        <f>HYPERLINK("https://android.googlesource.com/platform/cts/+/6c7a7c6f6199628b1d95b8789fb234bf4b1b319d", "6c7a7c6f6199628b1d95b8789fb234bf4b1b319d")</f>
        <v>0</v>
      </c>
      <c r="C43906">
        <f>HYPERLINK("https://android.googlesource.com/platform/cts/+/692d84644c93c20ba17cf97461fc13195bc4cfd9", "692d84644c93c20ba17cf97461fc13195bc4cfd9")</f>
        <v>0</v>
      </c>
      <c r="D43906" t="s">
        <v>5288</v>
      </c>
      <c r="E43906" t="s">
        <v>9854</v>
      </c>
      <c r="F43906" t="s">
        <v>14634</v>
      </c>
      <c r="G43906" t="s">
        <v>18544</v>
      </c>
      <c r="H43906" t="s">
        <v>37170</v>
      </c>
    </row>
    <row r="43907" spans="1:8">
      <c r="F43907" t="s">
        <v>12629</v>
      </c>
      <c r="G43907" t="s">
        <v>16838</v>
      </c>
      <c r="H43907" t="s">
        <v>37171</v>
      </c>
    </row>
    <row r="43908" spans="1:8">
      <c r="F43908" t="s">
        <v>12768</v>
      </c>
      <c r="G43908" t="s">
        <v>15710</v>
      </c>
      <c r="H43908" t="s">
        <v>37172</v>
      </c>
    </row>
    <row r="43909" spans="1:8">
      <c r="A43909" t="s">
        <v>4177</v>
      </c>
      <c r="B43909">
        <f>HYPERLINK("https://android.googlesource.com/platform/cts/+/a2b0a5c96fc226f23a932f50b8a308d381ed3f7c", "a2b0a5c96fc226f23a932f50b8a308d381ed3f7c")</f>
        <v>0</v>
      </c>
      <c r="C43909">
        <f>HYPERLINK("https://android.googlesource.com/platform/cts/+/013e31578044749c135e6cda48e1d62fae5fc7de", "013e31578044749c135e6cda48e1d62fae5fc7de")</f>
        <v>0</v>
      </c>
      <c r="D43909" t="s">
        <v>5666</v>
      </c>
      <c r="E43909" t="s">
        <v>9855</v>
      </c>
      <c r="F43909" t="s">
        <v>14635</v>
      </c>
      <c r="G43909" t="s">
        <v>18545</v>
      </c>
      <c r="H43909" t="s">
        <v>37173</v>
      </c>
    </row>
    <row r="43910" spans="1:8">
      <c r="H43910" t="s">
        <v>37174</v>
      </c>
    </row>
    <row r="43911" spans="1:8">
      <c r="A43911" t="s">
        <v>4178</v>
      </c>
      <c r="B43911">
        <f>HYPERLINK("https://android.googlesource.com/platform/cts/+/34b6954075b3d1f4486f031ad82bbb9972638903", "34b6954075b3d1f4486f031ad82bbb9972638903")</f>
        <v>0</v>
      </c>
      <c r="C43911">
        <f>HYPERLINK("https://android.googlesource.com/platform/cts/+/9a84d939ebc0533f9ee1ef49d164382e3408566f", "9a84d939ebc0533f9ee1ef49d164382e3408566f")</f>
        <v>0</v>
      </c>
      <c r="D43911" t="s">
        <v>5649</v>
      </c>
      <c r="E43911" t="s">
        <v>9856</v>
      </c>
      <c r="F43911" t="s">
        <v>12629</v>
      </c>
      <c r="G43911" t="s">
        <v>16838</v>
      </c>
      <c r="H43911" t="s">
        <v>37175</v>
      </c>
    </row>
    <row r="43912" spans="1:8">
      <c r="H43912" t="s">
        <v>37176</v>
      </c>
    </row>
    <row r="43913" spans="1:8">
      <c r="A43913" t="s">
        <v>4179</v>
      </c>
      <c r="B43913">
        <f>HYPERLINK("https://android.googlesource.com/platform/cts/+/333d93e6992584bc81f43c4ce1dcb338244abdff", "333d93e6992584bc81f43c4ce1dcb338244abdff")</f>
        <v>0</v>
      </c>
      <c r="C43913">
        <f>HYPERLINK("https://android.googlesource.com/platform/cts/+/692d84644c93c20ba17cf97461fc13195bc4cfd9", "692d84644c93c20ba17cf97461fc13195bc4cfd9")</f>
        <v>0</v>
      </c>
      <c r="D43913" t="s">
        <v>5189</v>
      </c>
      <c r="E43913" t="s">
        <v>9857</v>
      </c>
      <c r="F43913" t="s">
        <v>14636</v>
      </c>
      <c r="G43913" t="s">
        <v>18546</v>
      </c>
      <c r="H43913" t="s">
        <v>37177</v>
      </c>
    </row>
    <row r="43914" spans="1:8">
      <c r="F43914" t="s">
        <v>14249</v>
      </c>
      <c r="G43914" t="s">
        <v>18214</v>
      </c>
      <c r="H43914" t="s">
        <v>37178</v>
      </c>
    </row>
    <row r="43915" spans="1:8">
      <c r="A43915" t="s">
        <v>4180</v>
      </c>
      <c r="B43915">
        <f>HYPERLINK("https://android.googlesource.com/platform/cts/+/bb0aa86013029d702e36ca359368fc22d0902a35", "bb0aa86013029d702e36ca359368fc22d0902a35")</f>
        <v>0</v>
      </c>
      <c r="C43915">
        <f>HYPERLINK("https://android.googlesource.com/platform/cts/+/132bc0d31ab56ca63a9fba2049885396bcb3e25e", "132bc0d31ab56ca63a9fba2049885396bcb3e25e")</f>
        <v>0</v>
      </c>
      <c r="D43915" t="s">
        <v>5472</v>
      </c>
      <c r="E43915" t="s">
        <v>9858</v>
      </c>
      <c r="F43915" t="s">
        <v>13386</v>
      </c>
      <c r="G43915" t="s">
        <v>17513</v>
      </c>
      <c r="H43915" t="s">
        <v>18829</v>
      </c>
    </row>
    <row r="43916" spans="1:8">
      <c r="H43916" t="s">
        <v>18863</v>
      </c>
    </row>
    <row r="43917" spans="1:8">
      <c r="H43917" t="s">
        <v>26335</v>
      </c>
    </row>
    <row r="43918" spans="1:8">
      <c r="H43918" t="s">
        <v>26336</v>
      </c>
    </row>
    <row r="43919" spans="1:8">
      <c r="H43919" t="s">
        <v>26337</v>
      </c>
    </row>
    <row r="43920" spans="1:8">
      <c r="H43920" t="s">
        <v>26338</v>
      </c>
    </row>
    <row r="43921" spans="8:8">
      <c r="H43921" t="s">
        <v>26339</v>
      </c>
    </row>
    <row r="43922" spans="8:8">
      <c r="H43922" t="s">
        <v>26340</v>
      </c>
    </row>
    <row r="43923" spans="8:8">
      <c r="H43923" t="s">
        <v>26341</v>
      </c>
    </row>
    <row r="43924" spans="8:8">
      <c r="H43924" t="s">
        <v>26342</v>
      </c>
    </row>
    <row r="43925" spans="8:8">
      <c r="H43925" t="s">
        <v>37179</v>
      </c>
    </row>
    <row r="43926" spans="8:8">
      <c r="H43926" t="s">
        <v>37180</v>
      </c>
    </row>
    <row r="43927" spans="8:8">
      <c r="H43927" t="s">
        <v>37181</v>
      </c>
    </row>
    <row r="43928" spans="8:8">
      <c r="H43928" t="s">
        <v>37182</v>
      </c>
    </row>
    <row r="43929" spans="8:8">
      <c r="H43929" t="s">
        <v>37183</v>
      </c>
    </row>
    <row r="43930" spans="8:8">
      <c r="H43930" t="s">
        <v>26343</v>
      </c>
    </row>
    <row r="43931" spans="8:8">
      <c r="H43931" t="s">
        <v>26344</v>
      </c>
    </row>
    <row r="43932" spans="8:8">
      <c r="H43932" t="s">
        <v>37184</v>
      </c>
    </row>
    <row r="43933" spans="8:8">
      <c r="H43933" t="s">
        <v>37185</v>
      </c>
    </row>
    <row r="43934" spans="8:8">
      <c r="H43934" t="s">
        <v>26348</v>
      </c>
    </row>
    <row r="43935" spans="8:8">
      <c r="H43935" t="s">
        <v>26349</v>
      </c>
    </row>
    <row r="43936" spans="8:8">
      <c r="H43936" t="s">
        <v>26347</v>
      </c>
    </row>
    <row r="43937" spans="1:8">
      <c r="F43937" t="s">
        <v>12743</v>
      </c>
      <c r="G43937" t="s">
        <v>16935</v>
      </c>
      <c r="H43937" t="s">
        <v>29575</v>
      </c>
    </row>
    <row r="43938" spans="1:8">
      <c r="H43938" t="s">
        <v>37186</v>
      </c>
    </row>
    <row r="43939" spans="1:8">
      <c r="F43939" t="s">
        <v>13229</v>
      </c>
      <c r="G43939" t="s">
        <v>17370</v>
      </c>
      <c r="H43939" t="s">
        <v>29575</v>
      </c>
    </row>
    <row r="43940" spans="1:8">
      <c r="F43940" t="s">
        <v>13136</v>
      </c>
      <c r="G43940" t="s">
        <v>17293</v>
      </c>
      <c r="H43940" t="s">
        <v>29575</v>
      </c>
    </row>
    <row r="43941" spans="1:8">
      <c r="A43941" t="s">
        <v>4181</v>
      </c>
      <c r="B43941">
        <f>HYPERLINK("https://android.googlesource.com/platform/cts/+/a63c7ddc934b566430c6054099aae0abaf8f47fb", "a63c7ddc934b566430c6054099aae0abaf8f47fb")</f>
        <v>0</v>
      </c>
      <c r="C43941">
        <f>HYPERLINK("https://android.googlesource.com/platform/cts/+/724a9cf12daf83c43f17a8a1a1b4ce65113adf58", "724a9cf12daf83c43f17a8a1a1b4ce65113adf58")</f>
        <v>0</v>
      </c>
      <c r="D43941" t="s">
        <v>5472</v>
      </c>
      <c r="E43941" t="s">
        <v>9859</v>
      </c>
      <c r="F43941" t="s">
        <v>12901</v>
      </c>
      <c r="G43941" t="s">
        <v>17068</v>
      </c>
      <c r="H43941" t="s">
        <v>37187</v>
      </c>
    </row>
    <row r="43942" spans="1:8">
      <c r="F43942" t="s">
        <v>12629</v>
      </c>
      <c r="G43942" t="s">
        <v>16838</v>
      </c>
      <c r="H43942" t="s">
        <v>37187</v>
      </c>
    </row>
    <row r="43943" spans="1:8">
      <c r="A43943" t="s">
        <v>4183</v>
      </c>
      <c r="B43943">
        <f>HYPERLINK("https://android.googlesource.com/platform/cts/+/f3e93d9f4eedff735ad6b8c576c33bf858528d10", "f3e93d9f4eedff735ad6b8c576c33bf858528d10")</f>
        <v>0</v>
      </c>
      <c r="C43943">
        <f>HYPERLINK("https://android.googlesource.com/platform/cts/+/b078cd136995ee5288808165a590fd60979c46a2", "b078cd136995ee5288808165a590fd60979c46a2")</f>
        <v>0</v>
      </c>
      <c r="D43943" t="s">
        <v>5649</v>
      </c>
      <c r="E43943" t="s">
        <v>9861</v>
      </c>
      <c r="F43943" t="s">
        <v>12629</v>
      </c>
      <c r="G43943" t="s">
        <v>16838</v>
      </c>
      <c r="H43943" t="s">
        <v>37188</v>
      </c>
    </row>
    <row r="43944" spans="1:8">
      <c r="H43944" t="s">
        <v>37189</v>
      </c>
    </row>
    <row r="43945" spans="1:8">
      <c r="A43945" t="s">
        <v>4185</v>
      </c>
      <c r="B43945">
        <f>HYPERLINK("https://android.googlesource.com/platform/cts/+/d7e31245820ee86f49afa885098d7ab422201a1f", "d7e31245820ee86f49afa885098d7ab422201a1f")</f>
        <v>0</v>
      </c>
      <c r="C43945">
        <f>HYPERLINK("https://android.googlesource.com/platform/cts/+/692d84644c93c20ba17cf97461fc13195bc4cfd9", "692d84644c93c20ba17cf97461fc13195bc4cfd9")</f>
        <v>0</v>
      </c>
      <c r="D43945" t="s">
        <v>5663</v>
      </c>
      <c r="E43945" t="s">
        <v>9863</v>
      </c>
      <c r="F43945" t="s">
        <v>12743</v>
      </c>
      <c r="G43945" t="s">
        <v>16935</v>
      </c>
      <c r="H43945" t="s">
        <v>25800</v>
      </c>
    </row>
    <row r="43946" spans="1:8">
      <c r="H43946" t="s">
        <v>37190</v>
      </c>
    </row>
    <row r="43947" spans="1:8">
      <c r="F43947" t="s">
        <v>13136</v>
      </c>
      <c r="G43947" t="s">
        <v>17293</v>
      </c>
      <c r="H43947" t="s">
        <v>26248</v>
      </c>
    </row>
    <row r="43948" spans="1:8">
      <c r="A43948" t="s">
        <v>4186</v>
      </c>
      <c r="B43948">
        <f>HYPERLINK("https://android.googlesource.com/platform/cts/+/4e07b5c3f7685350445cdfb00ae282b3f21839af", "4e07b5c3f7685350445cdfb00ae282b3f21839af")</f>
        <v>0</v>
      </c>
      <c r="C43948">
        <f>HYPERLINK("https://android.googlesource.com/platform/cts/+/ccb3ed48d3083d615f4d1ec1d9a5771a0e45bf84", "ccb3ed48d3083d615f4d1ec1d9a5771a0e45bf84")</f>
        <v>0</v>
      </c>
      <c r="D43948" t="s">
        <v>5108</v>
      </c>
      <c r="E43948" t="s">
        <v>9864</v>
      </c>
      <c r="F43948" t="s">
        <v>12743</v>
      </c>
      <c r="G43948" t="s">
        <v>16935</v>
      </c>
      <c r="H43948" t="s">
        <v>37191</v>
      </c>
    </row>
    <row r="43949" spans="1:8">
      <c r="H43949" t="s">
        <v>37192</v>
      </c>
    </row>
    <row r="43950" spans="1:8">
      <c r="H43950" t="s">
        <v>37193</v>
      </c>
    </row>
    <row r="43951" spans="1:8">
      <c r="F43951" t="s">
        <v>14637</v>
      </c>
      <c r="G43951" t="s">
        <v>18547</v>
      </c>
      <c r="H43951" t="s">
        <v>18829</v>
      </c>
    </row>
    <row r="43952" spans="1:8">
      <c r="H43952" t="s">
        <v>37194</v>
      </c>
    </row>
    <row r="43953" spans="1:8">
      <c r="H43953" t="s">
        <v>37195</v>
      </c>
    </row>
    <row r="43954" spans="1:8">
      <c r="H43954" t="s">
        <v>37196</v>
      </c>
    </row>
    <row r="43955" spans="1:8">
      <c r="A43955" t="s">
        <v>4188</v>
      </c>
      <c r="B43955">
        <f>HYPERLINK("https://android.googlesource.com/platform/cts/+/a3570f7505395d5be9f9b4177396ff4118614026", "a3570f7505395d5be9f9b4177396ff4118614026")</f>
        <v>0</v>
      </c>
      <c r="C43955">
        <f>HYPERLINK("https://android.googlesource.com/platform/cts/+/6c7a7c6f6199628b1d95b8789fb234bf4b1b319d", "6c7a7c6f6199628b1d95b8789fb234bf4b1b319d")</f>
        <v>0</v>
      </c>
      <c r="D43955" t="s">
        <v>5288</v>
      </c>
      <c r="E43955" t="s">
        <v>9866</v>
      </c>
      <c r="F43955" t="s">
        <v>14638</v>
      </c>
      <c r="G43955" t="s">
        <v>17583</v>
      </c>
      <c r="H43955" t="s">
        <v>18829</v>
      </c>
    </row>
    <row r="43956" spans="1:8">
      <c r="H43956" t="s">
        <v>18863</v>
      </c>
    </row>
    <row r="43957" spans="1:8">
      <c r="H43957" t="s">
        <v>26176</v>
      </c>
    </row>
    <row r="43958" spans="1:8">
      <c r="H43958" t="s">
        <v>29900</v>
      </c>
    </row>
    <row r="43959" spans="1:8">
      <c r="H43959" t="s">
        <v>37197</v>
      </c>
    </row>
    <row r="43960" spans="1:8">
      <c r="H43960" t="s">
        <v>37198</v>
      </c>
    </row>
    <row r="43961" spans="1:8">
      <c r="H43961" t="s">
        <v>26181</v>
      </c>
    </row>
    <row r="43962" spans="1:8">
      <c r="F43962" t="s">
        <v>12743</v>
      </c>
      <c r="G43962" t="s">
        <v>16935</v>
      </c>
      <c r="H43962" t="s">
        <v>37199</v>
      </c>
    </row>
    <row r="43963" spans="1:8">
      <c r="A43963" t="s">
        <v>4189</v>
      </c>
      <c r="B43963">
        <f>HYPERLINK("https://android.googlesource.com/platform/cts/+/4c0687ea68916fe734c19755891e9b710f66cbca", "4c0687ea68916fe734c19755891e9b710f66cbca")</f>
        <v>0</v>
      </c>
      <c r="C43963">
        <f>HYPERLINK("https://android.googlesource.com/platform/cts/+/8004f3719018d2d594f34fd7eb057f22da3803f5", "8004f3719018d2d594f34fd7eb057f22da3803f5")</f>
        <v>0</v>
      </c>
      <c r="D43963" t="s">
        <v>5541</v>
      </c>
      <c r="E43963" t="s">
        <v>9867</v>
      </c>
      <c r="F43963" t="s">
        <v>14625</v>
      </c>
      <c r="G43963" t="s">
        <v>18536</v>
      </c>
      <c r="H43963" t="s">
        <v>18863</v>
      </c>
    </row>
    <row r="43964" spans="1:8">
      <c r="A43964" t="s">
        <v>4190</v>
      </c>
      <c r="B43964">
        <f>HYPERLINK("https://android.googlesource.com/platform/cts/+/5bdafc5dd23e9793aaed1a56d1806eb0205408a3", "5bdafc5dd23e9793aaed1a56d1806eb0205408a3")</f>
        <v>0</v>
      </c>
      <c r="C43964">
        <f>HYPERLINK("https://android.googlesource.com/platform/cts/+/ee6f4d3e44916542555311681c6716c8d1887550", "ee6f4d3e44916542555311681c6716c8d1887550")</f>
        <v>0</v>
      </c>
      <c r="D43964" t="s">
        <v>5649</v>
      </c>
      <c r="E43964" t="s">
        <v>9868</v>
      </c>
      <c r="F43964" t="s">
        <v>12768</v>
      </c>
      <c r="G43964" t="s">
        <v>15710</v>
      </c>
      <c r="H43964" t="s">
        <v>37200</v>
      </c>
    </row>
    <row r="43965" spans="1:8">
      <c r="H43965" t="s">
        <v>37201</v>
      </c>
    </row>
    <row r="43966" spans="1:8">
      <c r="A43966" t="s">
        <v>4192</v>
      </c>
      <c r="B43966">
        <f>HYPERLINK("https://android.googlesource.com/platform/cts/+/e99f8553bce8be74bd22516725ebb72c379e6c65", "e99f8553bce8be74bd22516725ebb72c379e6c65")</f>
        <v>0</v>
      </c>
      <c r="C43966">
        <f>HYPERLINK("https://android.googlesource.com/platform/cts/+/369712cd45cb8e0ef971df3e8a6fe352aefe5365", "369712cd45cb8e0ef971df3e8a6fe352aefe5365")</f>
        <v>0</v>
      </c>
      <c r="D43966" t="s">
        <v>5189</v>
      </c>
      <c r="E43966" t="s">
        <v>9870</v>
      </c>
      <c r="F43966" t="s">
        <v>14636</v>
      </c>
      <c r="G43966" t="s">
        <v>18546</v>
      </c>
      <c r="H43966" t="s">
        <v>18829</v>
      </c>
    </row>
    <row r="43967" spans="1:8">
      <c r="H43967" t="s">
        <v>19759</v>
      </c>
    </row>
    <row r="43968" spans="1:8">
      <c r="H43968" t="s">
        <v>37202</v>
      </c>
    </row>
    <row r="43969" spans="1:8">
      <c r="H43969" t="s">
        <v>37203</v>
      </c>
    </row>
    <row r="43970" spans="1:8">
      <c r="H43970" t="s">
        <v>37204</v>
      </c>
    </row>
    <row r="43971" spans="1:8">
      <c r="H43971" t="s">
        <v>37205</v>
      </c>
    </row>
    <row r="43972" spans="1:8">
      <c r="H43972" t="s">
        <v>37206</v>
      </c>
    </row>
    <row r="43973" spans="1:8">
      <c r="H43973" t="s">
        <v>37207</v>
      </c>
    </row>
    <row r="43974" spans="1:8">
      <c r="H43974" t="s">
        <v>37208</v>
      </c>
    </row>
    <row r="43975" spans="1:8">
      <c r="H43975" t="s">
        <v>37209</v>
      </c>
    </row>
    <row r="43976" spans="1:8">
      <c r="F43976" t="s">
        <v>14249</v>
      </c>
      <c r="G43976" t="s">
        <v>18214</v>
      </c>
      <c r="H43976" t="s">
        <v>32582</v>
      </c>
    </row>
    <row r="43977" spans="1:8">
      <c r="F43977" t="s">
        <v>14639</v>
      </c>
      <c r="G43977" t="s">
        <v>18193</v>
      </c>
      <c r="H43977" t="s">
        <v>37210</v>
      </c>
    </row>
    <row r="43978" spans="1:8">
      <c r="A43978" t="s">
        <v>4193</v>
      </c>
      <c r="B43978">
        <f>HYPERLINK("https://android.googlesource.com/platform/cts/+/2ec725eceae79fdef906e6f94aa167d1e6e2bb29", "2ec725eceae79fdef906e6f94aa167d1e6e2bb29")</f>
        <v>0</v>
      </c>
      <c r="C43978">
        <f>HYPERLINK("https://android.googlesource.com/platform/cts/+/b3aacd03d01e4933518ec68828af23f364545001", "b3aacd03d01e4933518ec68828af23f364545001")</f>
        <v>0</v>
      </c>
      <c r="D43978" t="s">
        <v>5667</v>
      </c>
      <c r="E43978" t="s">
        <v>9871</v>
      </c>
      <c r="F43978" t="s">
        <v>12768</v>
      </c>
      <c r="G43978" t="s">
        <v>15710</v>
      </c>
      <c r="H43978" t="s">
        <v>18863</v>
      </c>
    </row>
    <row r="43979" spans="1:8">
      <c r="A43979" t="s">
        <v>4208</v>
      </c>
      <c r="B43979">
        <f>HYPERLINK("https://android.googlesource.com/platform/cts/+/39a93cd2de0a607c065431f36fce66c1a0b998ad", "39a93cd2de0a607c065431f36fce66c1a0b998ad")</f>
        <v>0</v>
      </c>
      <c r="C43979">
        <f>HYPERLINK("https://android.googlesource.com/platform/cts/+/c52332283cde8061016dccc7491b744e52b30362", "c52332283cde8061016dccc7491b744e52b30362")</f>
        <v>0</v>
      </c>
      <c r="D43979" t="s">
        <v>5667</v>
      </c>
      <c r="E43979" t="s">
        <v>9886</v>
      </c>
      <c r="F43979" t="s">
        <v>12768</v>
      </c>
      <c r="G43979" t="s">
        <v>15710</v>
      </c>
      <c r="H43979" t="s">
        <v>18863</v>
      </c>
    </row>
    <row r="43980" spans="1:8">
      <c r="A43980" t="s">
        <v>4209</v>
      </c>
      <c r="B43980">
        <f>HYPERLINK("https://android.googlesource.com/platform/cts/+/d72f1a1a6f977a7e05fc96e24b4ecc6029e735f2", "d72f1a1a6f977a7e05fc96e24b4ecc6029e735f2")</f>
        <v>0</v>
      </c>
      <c r="C43980">
        <f>HYPERLINK("https://android.googlesource.com/platform/cts/+/9b7670cda1ca55700ecc1295d6b4a111594aeb56", "9b7670cda1ca55700ecc1295d6b4a111594aeb56")</f>
        <v>0</v>
      </c>
      <c r="D43980" t="s">
        <v>5396</v>
      </c>
      <c r="E43980" t="s">
        <v>9887</v>
      </c>
      <c r="F43980" t="s">
        <v>14051</v>
      </c>
      <c r="G43980" t="s">
        <v>18050</v>
      </c>
      <c r="H43980" t="s">
        <v>29587</v>
      </c>
    </row>
    <row r="43981" spans="1:8">
      <c r="H43981" t="s">
        <v>29587</v>
      </c>
    </row>
    <row r="43982" spans="1:8">
      <c r="H43982" t="s">
        <v>33483</v>
      </c>
    </row>
    <row r="43983" spans="1:8">
      <c r="H43983" t="s">
        <v>18829</v>
      </c>
    </row>
    <row r="43984" spans="1:8">
      <c r="H43984" t="s">
        <v>19982</v>
      </c>
    </row>
    <row r="43985" spans="8:8">
      <c r="H43985" t="s">
        <v>37211</v>
      </c>
    </row>
    <row r="43986" spans="8:8">
      <c r="H43986" t="s">
        <v>37212</v>
      </c>
    </row>
    <row r="43987" spans="8:8">
      <c r="H43987" t="s">
        <v>37213</v>
      </c>
    </row>
    <row r="43988" spans="8:8">
      <c r="H43988" t="s">
        <v>37214</v>
      </c>
    </row>
    <row r="43989" spans="8:8">
      <c r="H43989" t="s">
        <v>37215</v>
      </c>
    </row>
    <row r="43990" spans="8:8">
      <c r="H43990" t="s">
        <v>37216</v>
      </c>
    </row>
    <row r="43991" spans="8:8">
      <c r="H43991" t="s">
        <v>37217</v>
      </c>
    </row>
    <row r="43992" spans="8:8">
      <c r="H43992" t="s">
        <v>37218</v>
      </c>
    </row>
    <row r="43993" spans="8:8">
      <c r="H43993" t="s">
        <v>37219</v>
      </c>
    </row>
    <row r="43994" spans="8:8">
      <c r="H43994" t="s">
        <v>37220</v>
      </c>
    </row>
    <row r="43995" spans="8:8">
      <c r="H43995" t="s">
        <v>37221</v>
      </c>
    </row>
    <row r="43996" spans="8:8">
      <c r="H43996" t="s">
        <v>37222</v>
      </c>
    </row>
    <row r="43997" spans="8:8">
      <c r="H43997" t="s">
        <v>37223</v>
      </c>
    </row>
    <row r="43998" spans="8:8">
      <c r="H43998" t="s">
        <v>37224</v>
      </c>
    </row>
    <row r="43999" spans="8:8">
      <c r="H43999" t="s">
        <v>25960</v>
      </c>
    </row>
    <row r="44000" spans="8:8">
      <c r="H44000" t="s">
        <v>37225</v>
      </c>
    </row>
    <row r="44001" spans="6:8">
      <c r="H44001" t="s">
        <v>29898</v>
      </c>
    </row>
    <row r="44002" spans="6:8">
      <c r="F44002" t="s">
        <v>14640</v>
      </c>
      <c r="G44002" t="s">
        <v>18086</v>
      </c>
      <c r="H44002" t="s">
        <v>33378</v>
      </c>
    </row>
    <row r="44003" spans="6:8">
      <c r="H44003" t="s">
        <v>33379</v>
      </c>
    </row>
    <row r="44004" spans="6:8">
      <c r="H44004" t="s">
        <v>37226</v>
      </c>
    </row>
    <row r="44005" spans="6:8">
      <c r="H44005" t="s">
        <v>19019</v>
      </c>
    </row>
    <row r="44006" spans="6:8">
      <c r="H44006" t="s">
        <v>20083</v>
      </c>
    </row>
    <row r="44007" spans="6:8">
      <c r="H44007" t="s">
        <v>19538</v>
      </c>
    </row>
    <row r="44008" spans="6:8">
      <c r="H44008" t="s">
        <v>37227</v>
      </c>
    </row>
    <row r="44009" spans="6:8">
      <c r="H44009" t="s">
        <v>37228</v>
      </c>
    </row>
    <row r="44010" spans="6:8">
      <c r="H44010" t="s">
        <v>33203</v>
      </c>
    </row>
    <row r="44011" spans="6:8">
      <c r="H44011" t="s">
        <v>37229</v>
      </c>
    </row>
    <row r="44012" spans="6:8">
      <c r="F44012" t="s">
        <v>14190</v>
      </c>
      <c r="G44012" t="s">
        <v>18169</v>
      </c>
      <c r="H44012" t="s">
        <v>37226</v>
      </c>
    </row>
    <row r="44013" spans="6:8">
      <c r="H44013" t="s">
        <v>37230</v>
      </c>
    </row>
    <row r="44014" spans="6:8">
      <c r="H44014" t="s">
        <v>37231</v>
      </c>
    </row>
    <row r="44015" spans="6:8">
      <c r="H44015" t="s">
        <v>37232</v>
      </c>
    </row>
    <row r="44016" spans="6:8">
      <c r="H44016" t="s">
        <v>20237</v>
      </c>
    </row>
    <row r="44017" spans="1:8">
      <c r="H44017" t="s">
        <v>37233</v>
      </c>
    </row>
    <row r="44018" spans="1:8">
      <c r="A44018" t="s">
        <v>4210</v>
      </c>
      <c r="B44018">
        <f>HYPERLINK("https://android.googlesource.com/platform/cts/+/1d080b644c5937e431e97b9087a7315a5a922c31", "1d080b644c5937e431e97b9087a7315a5a922c31")</f>
        <v>0</v>
      </c>
      <c r="C44018">
        <f>HYPERLINK("https://android.googlesource.com/platform/cts/+/9b7670cda1ca55700ecc1295d6b4a111594aeb56", "9b7670cda1ca55700ecc1295d6b4a111594aeb56")</f>
        <v>0</v>
      </c>
      <c r="D44018" t="s">
        <v>5473</v>
      </c>
      <c r="E44018" t="s">
        <v>9888</v>
      </c>
      <c r="F44018" t="s">
        <v>14641</v>
      </c>
      <c r="G44018" t="s">
        <v>18548</v>
      </c>
      <c r="H44018" t="s">
        <v>37234</v>
      </c>
    </row>
    <row r="44019" spans="1:8">
      <c r="H44019" t="s">
        <v>18829</v>
      </c>
    </row>
    <row r="44020" spans="1:8">
      <c r="H44020" t="s">
        <v>18863</v>
      </c>
    </row>
    <row r="44021" spans="1:8">
      <c r="A44021" t="s">
        <v>4213</v>
      </c>
      <c r="B44021">
        <f>HYPERLINK("https://android.googlesource.com/platform/cts/+/e61e07e55b7911c66487f86937bf59928c9bbf52", "e61e07e55b7911c66487f86937bf59928c9bbf52")</f>
        <v>0</v>
      </c>
      <c r="C44021">
        <f>HYPERLINK("https://android.googlesource.com/platform/cts/+/07172db3746d097bc55315f211abb9d7195ab48e", "07172db3746d097bc55315f211abb9d7195ab48e")</f>
        <v>0</v>
      </c>
      <c r="D44021" t="s">
        <v>5654</v>
      </c>
      <c r="E44021" t="s">
        <v>9891</v>
      </c>
      <c r="F44021" t="s">
        <v>14583</v>
      </c>
      <c r="G44021" t="s">
        <v>18502</v>
      </c>
      <c r="H44021" t="s">
        <v>37235</v>
      </c>
    </row>
    <row r="44022" spans="1:8">
      <c r="H44022" t="s">
        <v>37236</v>
      </c>
    </row>
    <row r="44023" spans="1:8">
      <c r="H44023" t="s">
        <v>37237</v>
      </c>
    </row>
    <row r="44024" spans="1:8">
      <c r="H44024" t="s">
        <v>37238</v>
      </c>
    </row>
    <row r="44025" spans="1:8">
      <c r="H44025" t="s">
        <v>37239</v>
      </c>
    </row>
    <row r="44026" spans="1:8">
      <c r="H44026" t="s">
        <v>37240</v>
      </c>
    </row>
    <row r="44027" spans="1:8">
      <c r="A44027" t="s">
        <v>4214</v>
      </c>
      <c r="B44027">
        <f>HYPERLINK("https://android.googlesource.com/platform/cts/+/98cd83471ebb11791a8b10a74d9c3839b31a8dac", "98cd83471ebb11791a8b10a74d9c3839b31a8dac")</f>
        <v>0</v>
      </c>
      <c r="C44027">
        <f>HYPERLINK("https://android.googlesource.com/platform/cts/+/66fdb28b9da4e6bc0841ee3b30abe4f583d4e209", "66fdb28b9da4e6bc0841ee3b30abe4f583d4e209")</f>
        <v>0</v>
      </c>
      <c r="D44027" t="s">
        <v>5541</v>
      </c>
      <c r="E44027" t="s">
        <v>9892</v>
      </c>
      <c r="F44027" t="s">
        <v>14625</v>
      </c>
      <c r="G44027" t="s">
        <v>18536</v>
      </c>
      <c r="H44027" t="s">
        <v>37241</v>
      </c>
    </row>
    <row r="44028" spans="1:8">
      <c r="A44028" t="s">
        <v>4215</v>
      </c>
      <c r="B44028">
        <f>HYPERLINK("https://android.googlesource.com/platform/cts/+/99d1255bd10b24fa7bf3628d3f80540eab963f93", "99d1255bd10b24fa7bf3628d3f80540eab963f93")</f>
        <v>0</v>
      </c>
      <c r="C44028">
        <f>HYPERLINK("https://android.googlesource.com/platform/cts/+/ee6f4d3e44916542555311681c6716c8d1887550", "ee6f4d3e44916542555311681c6716c8d1887550")</f>
        <v>0</v>
      </c>
      <c r="D44028" t="s">
        <v>5649</v>
      </c>
      <c r="E44028" t="s">
        <v>9893</v>
      </c>
      <c r="F44028" t="s">
        <v>12629</v>
      </c>
      <c r="G44028" t="s">
        <v>16838</v>
      </c>
      <c r="H44028" t="s">
        <v>37242</v>
      </c>
    </row>
    <row r="44029" spans="1:8">
      <c r="H44029" t="s">
        <v>37243</v>
      </c>
    </row>
    <row r="44030" spans="1:8">
      <c r="A44030" t="s">
        <v>4216</v>
      </c>
      <c r="B44030">
        <f>HYPERLINK("https://android.googlesource.com/platform/cts/+/9d1a22116b0fe7b3ecab3292e0178cdfa5e45e21", "9d1a22116b0fe7b3ecab3292e0178cdfa5e45e21")</f>
        <v>0</v>
      </c>
      <c r="C44030">
        <f>HYPERLINK("https://android.googlesource.com/platform/cts/+/c81ff0cd772ecd93d5f719bdc2d165354b4d0f9d", "c81ff0cd772ecd93d5f719bdc2d165354b4d0f9d")</f>
        <v>0</v>
      </c>
      <c r="D44030" t="s">
        <v>5512</v>
      </c>
      <c r="E44030" t="s">
        <v>9894</v>
      </c>
      <c r="F44030" t="s">
        <v>13990</v>
      </c>
      <c r="G44030" t="s">
        <v>18009</v>
      </c>
      <c r="H44030" t="s">
        <v>37244</v>
      </c>
    </row>
    <row r="44031" spans="1:8">
      <c r="A44031" t="s">
        <v>4218</v>
      </c>
      <c r="B44031">
        <f>HYPERLINK("https://android.googlesource.com/platform/cts/+/faf808e57b15bee8ad8fa360a64cdcd8fb698aa3", "faf808e57b15bee8ad8fa360a64cdcd8fb698aa3")</f>
        <v>0</v>
      </c>
      <c r="C44031">
        <f>HYPERLINK("https://android.googlesource.com/platform/cts/+/0c44a9950f9b243ab36ed6aeb7caf3cc2ca3d3e3", "0c44a9950f9b243ab36ed6aeb7caf3cc2ca3d3e3")</f>
        <v>0</v>
      </c>
      <c r="D44031" t="s">
        <v>5215</v>
      </c>
      <c r="E44031" t="s">
        <v>9896</v>
      </c>
      <c r="F44031" t="s">
        <v>12846</v>
      </c>
      <c r="G44031" t="s">
        <v>17017</v>
      </c>
      <c r="H44031" t="s">
        <v>37245</v>
      </c>
    </row>
    <row r="44032" spans="1:8">
      <c r="H44032" t="s">
        <v>37246</v>
      </c>
    </row>
    <row r="44033" spans="1:8">
      <c r="H44033" t="s">
        <v>37247</v>
      </c>
    </row>
    <row r="44034" spans="1:8">
      <c r="A44034" t="s">
        <v>4220</v>
      </c>
      <c r="B44034">
        <f>HYPERLINK("https://android.googlesource.com/platform/cts/+/f280bb0d2d8babbe7951eab386f57fce8e605d75", "f280bb0d2d8babbe7951eab386f57fce8e605d75")</f>
        <v>0</v>
      </c>
      <c r="C44034">
        <f>HYPERLINK("https://android.googlesource.com/platform/cts/+/c81ff0cd772ecd93d5f719bdc2d165354b4d0f9d", "c81ff0cd772ecd93d5f719bdc2d165354b4d0f9d")</f>
        <v>0</v>
      </c>
      <c r="D44034" t="s">
        <v>5512</v>
      </c>
      <c r="E44034" t="s">
        <v>9898</v>
      </c>
      <c r="F44034" t="s">
        <v>13990</v>
      </c>
      <c r="G44034" t="s">
        <v>18009</v>
      </c>
      <c r="H44034" t="s">
        <v>37248</v>
      </c>
    </row>
    <row r="44035" spans="1:8">
      <c r="A44035" t="s">
        <v>4222</v>
      </c>
      <c r="B44035">
        <f>HYPERLINK("https://android.googlesource.com/platform/cts/+/b8422223e6f72f5a3fc62f58f94b12f428dc8156", "b8422223e6f72f5a3fc62f58f94b12f428dc8156")</f>
        <v>0</v>
      </c>
      <c r="C44035">
        <f>HYPERLINK("https://android.googlesource.com/platform/cts/+/247d317952f8604e64046a342af2406b8024eee0", "247d317952f8604e64046a342af2406b8024eee0")</f>
        <v>0</v>
      </c>
      <c r="D44035" t="s">
        <v>5512</v>
      </c>
      <c r="E44035" t="s">
        <v>9899</v>
      </c>
      <c r="F44035" t="s">
        <v>13990</v>
      </c>
      <c r="G44035" t="s">
        <v>18009</v>
      </c>
      <c r="H44035" t="s">
        <v>37248</v>
      </c>
    </row>
    <row r="44036" spans="1:8">
      <c r="A44036" t="s">
        <v>4224</v>
      </c>
      <c r="B44036">
        <f>HYPERLINK("https://android.googlesource.com/platform/cts/+/4559a26f1cebd203ac2d509a1c7b4f694256b332", "4559a26f1cebd203ac2d509a1c7b4f694256b332")</f>
        <v>0</v>
      </c>
      <c r="C44036">
        <f>HYPERLINK("https://android.googlesource.com/platform/cts/+/dad33f1bc67fa8cde11c210bc928392216f9fb05", "dad33f1bc67fa8cde11c210bc928392216f9fb05")</f>
        <v>0</v>
      </c>
      <c r="D44036" t="s">
        <v>5288</v>
      </c>
      <c r="E44036" t="s">
        <v>9900</v>
      </c>
      <c r="F44036" t="s">
        <v>14642</v>
      </c>
      <c r="G44036" t="s">
        <v>16934</v>
      </c>
      <c r="H44036" t="s">
        <v>18829</v>
      </c>
    </row>
    <row r="44037" spans="1:8">
      <c r="H44037" t="s">
        <v>37249</v>
      </c>
    </row>
    <row r="44038" spans="1:8">
      <c r="H44038" t="s">
        <v>37250</v>
      </c>
    </row>
    <row r="44039" spans="1:8">
      <c r="F44039" t="s">
        <v>12696</v>
      </c>
      <c r="G44039" t="s">
        <v>16900</v>
      </c>
      <c r="H44039" t="s">
        <v>37251</v>
      </c>
    </row>
    <row r="44040" spans="1:8">
      <c r="A44040" t="s">
        <v>4227</v>
      </c>
      <c r="B44040">
        <f>HYPERLINK("https://android.googlesource.com/platform/cts/+/559e728eceb473d530c7210f09b3016e3350cfb9", "559e728eceb473d530c7210f09b3016e3350cfb9")</f>
        <v>0</v>
      </c>
      <c r="C44040">
        <f>HYPERLINK("https://android.googlesource.com/platform/cts/+/49714aca592ebd6e22a1ae41ad45848719806ac3", "49714aca592ebd6e22a1ae41ad45848719806ac3")</f>
        <v>0</v>
      </c>
      <c r="D44040" t="s">
        <v>5512</v>
      </c>
      <c r="E44040" t="s">
        <v>9902</v>
      </c>
      <c r="F44040" t="s">
        <v>14643</v>
      </c>
      <c r="G44040" t="s">
        <v>18549</v>
      </c>
      <c r="H44040" t="s">
        <v>37252</v>
      </c>
    </row>
    <row r="44041" spans="1:8">
      <c r="H44041" t="s">
        <v>26273</v>
      </c>
    </row>
    <row r="44042" spans="1:8">
      <c r="A44042" t="s">
        <v>4231</v>
      </c>
      <c r="B44042">
        <f>HYPERLINK("https://android.googlesource.com/platform/cts/+/519db55088c7ef993a9e86e1d906637f7bcdc7b9", "519db55088c7ef993a9e86e1d906637f7bcdc7b9")</f>
        <v>0</v>
      </c>
      <c r="C44042">
        <f>HYPERLINK("https://android.googlesource.com/platform/cts/+/e3116af2351c9b70b9cebadbd79fe91a5fdaa072", "e3116af2351c9b70b9cebadbd79fe91a5fdaa072")</f>
        <v>0</v>
      </c>
      <c r="D44042" t="s">
        <v>5562</v>
      </c>
      <c r="E44042" t="s">
        <v>9906</v>
      </c>
      <c r="F44042" t="s">
        <v>14644</v>
      </c>
      <c r="G44042" t="s">
        <v>18550</v>
      </c>
      <c r="H44042" t="s">
        <v>34249</v>
      </c>
    </row>
    <row r="44043" spans="1:8">
      <c r="H44043" t="s">
        <v>34250</v>
      </c>
    </row>
    <row r="44044" spans="1:8">
      <c r="H44044" t="s">
        <v>37253</v>
      </c>
    </row>
    <row r="44045" spans="1:8">
      <c r="A44045" t="s">
        <v>4233</v>
      </c>
      <c r="B44045">
        <f>HYPERLINK("https://android.googlesource.com/platform/cts/+/bfc29adefdf45c0e53eae6ad6796fdb9ed5b26c3", "bfc29adefdf45c0e53eae6ad6796fdb9ed5b26c3")</f>
        <v>0</v>
      </c>
      <c r="C44045">
        <f>HYPERLINK("https://android.googlesource.com/platform/cts/+/07fba0c26d16a417e2f27f54e3e9c90a723bdf22", "07fba0c26d16a417e2f27f54e3e9c90a723bdf22")</f>
        <v>0</v>
      </c>
      <c r="D44045" t="s">
        <v>5452</v>
      </c>
      <c r="E44045" t="s">
        <v>9908</v>
      </c>
      <c r="F44045" t="s">
        <v>14645</v>
      </c>
      <c r="G44045" t="s">
        <v>18551</v>
      </c>
      <c r="H44045" t="s">
        <v>37254</v>
      </c>
    </row>
    <row r="44046" spans="1:8">
      <c r="A44046" t="s">
        <v>4235</v>
      </c>
      <c r="B44046">
        <f>HYPERLINK("https://android.googlesource.com/platform/cts/+/efb866daf8dedd01ddd5738f96d74cb1ed79b0fe", "efb866daf8dedd01ddd5738f96d74cb1ed79b0fe")</f>
        <v>0</v>
      </c>
      <c r="C44046">
        <f>HYPERLINK("https://android.googlesource.com/platform/cts/+/e3a4737b6971db40ebc94fc669c8fb88ee3adbf9", "e3a4737b6971db40ebc94fc669c8fb88ee3adbf9")</f>
        <v>0</v>
      </c>
      <c r="D44046" t="s">
        <v>5624</v>
      </c>
      <c r="E44046" t="s">
        <v>9909</v>
      </c>
      <c r="F44046" t="s">
        <v>12176</v>
      </c>
      <c r="G44046" t="s">
        <v>16415</v>
      </c>
      <c r="H44046" t="s">
        <v>36824</v>
      </c>
    </row>
    <row r="44047" spans="1:8">
      <c r="H44047" t="s">
        <v>36825</v>
      </c>
    </row>
    <row r="44048" spans="1:8">
      <c r="H44048" t="s">
        <v>36826</v>
      </c>
    </row>
    <row r="44049" spans="1:8">
      <c r="H44049" t="s">
        <v>36827</v>
      </c>
    </row>
    <row r="44050" spans="1:8">
      <c r="H44050" t="s">
        <v>36828</v>
      </c>
    </row>
    <row r="44051" spans="1:8">
      <c r="H44051" t="s">
        <v>36829</v>
      </c>
    </row>
    <row r="44052" spans="1:8">
      <c r="H44052" t="s">
        <v>36830</v>
      </c>
    </row>
    <row r="44053" spans="1:8">
      <c r="H44053" t="s">
        <v>36831</v>
      </c>
    </row>
    <row r="44054" spans="1:8">
      <c r="H44054" t="s">
        <v>37255</v>
      </c>
    </row>
    <row r="44055" spans="1:8">
      <c r="H44055" t="s">
        <v>37256</v>
      </c>
    </row>
    <row r="44056" spans="1:8">
      <c r="H44056" t="s">
        <v>37257</v>
      </c>
    </row>
    <row r="44057" spans="1:8">
      <c r="H44057" t="s">
        <v>37258</v>
      </c>
    </row>
    <row r="44058" spans="1:8">
      <c r="H44058" t="s">
        <v>37259</v>
      </c>
    </row>
    <row r="44059" spans="1:8">
      <c r="H44059" t="s">
        <v>37260</v>
      </c>
    </row>
    <row r="44060" spans="1:8">
      <c r="H44060" t="s">
        <v>37261</v>
      </c>
    </row>
    <row r="44061" spans="1:8">
      <c r="H44061" t="s">
        <v>37262</v>
      </c>
    </row>
    <row r="44062" spans="1:8">
      <c r="H44062" t="s">
        <v>37263</v>
      </c>
    </row>
    <row r="44063" spans="1:8">
      <c r="A44063" t="s">
        <v>4236</v>
      </c>
      <c r="B44063">
        <f>HYPERLINK("https://android.googlesource.com/platform/cts/+/e7e9836fe6538337de4030fd65924158da6e6e62", "e7e9836fe6538337de4030fd65924158da6e6e62")</f>
        <v>0</v>
      </c>
      <c r="C44063">
        <f>HYPERLINK("https://android.googlesource.com/platform/cts/+/341404f5c9cb1b87cc39e9d4b826310d8abc5cde", "341404f5c9cb1b87cc39e9d4b826310d8abc5cde")</f>
        <v>0</v>
      </c>
      <c r="D44063" t="s">
        <v>5626</v>
      </c>
      <c r="E44063" t="s">
        <v>9910</v>
      </c>
      <c r="F44063" t="s">
        <v>14646</v>
      </c>
      <c r="G44063" t="s">
        <v>18419</v>
      </c>
      <c r="H44063" t="s">
        <v>37264</v>
      </c>
    </row>
    <row r="44064" spans="1:8">
      <c r="H44064" t="s">
        <v>36186</v>
      </c>
    </row>
    <row r="44065" spans="1:8">
      <c r="A44065" t="s">
        <v>4237</v>
      </c>
      <c r="B44065">
        <f>HYPERLINK("https://android.googlesource.com/platform/cts/+/9bf2f6a87f59d9ce75edf3b81349772e82d37a13", "9bf2f6a87f59d9ce75edf3b81349772e82d37a13")</f>
        <v>0</v>
      </c>
      <c r="C44065">
        <f>HYPERLINK("https://android.googlesource.com/platform/cts/+/5a0e697f7dac86c2be46baf79293d8343690bf06", "5a0e697f7dac86c2be46baf79293d8343690bf06")</f>
        <v>0</v>
      </c>
      <c r="D44065" t="s">
        <v>5668</v>
      </c>
      <c r="E44065" t="s">
        <v>9911</v>
      </c>
      <c r="F44065" t="s">
        <v>14647</v>
      </c>
      <c r="G44065" t="s">
        <v>18552</v>
      </c>
      <c r="H44065" t="s">
        <v>20126</v>
      </c>
    </row>
    <row r="44066" spans="1:8">
      <c r="A44066" t="s">
        <v>4238</v>
      </c>
      <c r="B44066">
        <f>HYPERLINK("https://android.googlesource.com/platform/cts/+/aabd92ec8ad799a8d095e438d3db45b5282abbef", "aabd92ec8ad799a8d095e438d3db45b5282abbef")</f>
        <v>0</v>
      </c>
      <c r="C44066">
        <f>HYPERLINK("https://android.googlesource.com/platform/cts/+/a810711fa65845c9668d7e8353dafa9a8376dd66", "a810711fa65845c9668d7e8353dafa9a8376dd66")</f>
        <v>0</v>
      </c>
      <c r="D44066" t="s">
        <v>5407</v>
      </c>
      <c r="E44066" t="s">
        <v>9912</v>
      </c>
      <c r="F44066" t="s">
        <v>12772</v>
      </c>
      <c r="G44066" t="s">
        <v>16543</v>
      </c>
      <c r="H44066" t="s">
        <v>37265</v>
      </c>
    </row>
    <row r="44067" spans="1:8">
      <c r="H44067" t="s">
        <v>37266</v>
      </c>
    </row>
    <row r="44068" spans="1:8">
      <c r="A44068" t="s">
        <v>4239</v>
      </c>
      <c r="B44068">
        <f>HYPERLINK("https://android.googlesource.com/platform/cts/+/1fc2ea00f06deaee7c0c2081edc1950d9c352cba", "1fc2ea00f06deaee7c0c2081edc1950d9c352cba")</f>
        <v>0</v>
      </c>
      <c r="C44068">
        <f>HYPERLINK("https://android.googlesource.com/platform/cts/+/127eae47a7b9470a550ac958cb68734c41beda42", "127eae47a7b9470a550ac958cb68734c41beda42")</f>
        <v>0</v>
      </c>
      <c r="D44068" t="s">
        <v>5357</v>
      </c>
      <c r="E44068" t="s">
        <v>9913</v>
      </c>
      <c r="F44068" t="s">
        <v>14608</v>
      </c>
      <c r="G44068" t="s">
        <v>16873</v>
      </c>
      <c r="H44068" t="s">
        <v>37267</v>
      </c>
    </row>
    <row r="44069" spans="1:8">
      <c r="A44069" t="s">
        <v>4240</v>
      </c>
      <c r="B44069">
        <f>HYPERLINK("https://android.googlesource.com/platform/cts/+/a0e22c26d0c63153ee7bde4d675657d480f842ae", "a0e22c26d0c63153ee7bde4d675657d480f842ae")</f>
        <v>0</v>
      </c>
      <c r="C44069">
        <f>HYPERLINK("https://android.googlesource.com/platform/cts/+/127eae47a7b9470a550ac958cb68734c41beda42", "127eae47a7b9470a550ac958cb68734c41beda42")</f>
        <v>0</v>
      </c>
      <c r="D44069" t="s">
        <v>5353</v>
      </c>
      <c r="E44069" t="s">
        <v>9914</v>
      </c>
      <c r="F44069" t="s">
        <v>14633</v>
      </c>
      <c r="G44069" t="s">
        <v>18543</v>
      </c>
      <c r="H44069" t="s">
        <v>37268</v>
      </c>
    </row>
    <row r="44070" spans="1:8">
      <c r="H44070" t="s">
        <v>37269</v>
      </c>
    </row>
    <row r="44071" spans="1:8">
      <c r="A44071" t="s">
        <v>4241</v>
      </c>
      <c r="B44071">
        <f>HYPERLINK("https://android.googlesource.com/platform/cts/+/943ecd04422acc1a27ef41ba529a61dc45286bd5", "943ecd04422acc1a27ef41ba529a61dc45286bd5")</f>
        <v>0</v>
      </c>
      <c r="C44071">
        <f>HYPERLINK("https://android.googlesource.com/platform/cts/+/83eb845462d621bf17685893c4e9435cae1f0fca", "83eb845462d621bf17685893c4e9435cae1f0fca")</f>
        <v>0</v>
      </c>
      <c r="D44071" t="s">
        <v>5446</v>
      </c>
      <c r="E44071" t="s">
        <v>9915</v>
      </c>
      <c r="F44071" t="s">
        <v>14648</v>
      </c>
      <c r="G44071" t="s">
        <v>16944</v>
      </c>
      <c r="H44071" t="s">
        <v>19998</v>
      </c>
    </row>
    <row r="44072" spans="1:8">
      <c r="H44072" t="s">
        <v>20083</v>
      </c>
    </row>
    <row r="44073" spans="1:8">
      <c r="H44073" t="s">
        <v>19928</v>
      </c>
    </row>
    <row r="44074" spans="1:8">
      <c r="H44074" t="s">
        <v>37270</v>
      </c>
    </row>
    <row r="44075" spans="1:8">
      <c r="H44075" t="s">
        <v>37271</v>
      </c>
    </row>
    <row r="44076" spans="1:8">
      <c r="H44076" t="s">
        <v>37272</v>
      </c>
    </row>
    <row r="44077" spans="1:8">
      <c r="H44077" t="s">
        <v>37273</v>
      </c>
    </row>
    <row r="44078" spans="1:8">
      <c r="H44078" t="s">
        <v>26264</v>
      </c>
    </row>
    <row r="44079" spans="1:8">
      <c r="H44079" t="s">
        <v>26265</v>
      </c>
    </row>
    <row r="44080" spans="1:8">
      <c r="H44080" t="s">
        <v>26266</v>
      </c>
    </row>
    <row r="44081" spans="1:8">
      <c r="H44081" t="s">
        <v>26261</v>
      </c>
    </row>
    <row r="44082" spans="1:8">
      <c r="H44082" t="s">
        <v>26263</v>
      </c>
    </row>
    <row r="44083" spans="1:8">
      <c r="A44083" t="s">
        <v>4242</v>
      </c>
      <c r="B44083">
        <f>HYPERLINK("https://android.googlesource.com/platform/cts/+/6632de7d76ddeb8e3ad48bc74cdb7974b14066a1", "6632de7d76ddeb8e3ad48bc74cdb7974b14066a1")</f>
        <v>0</v>
      </c>
      <c r="C44083">
        <f>HYPERLINK("https://android.googlesource.com/platform/cts/+/e590eabc49344c620255782d278c3d1528daef4e", "e590eabc49344c620255782d278c3d1528daef4e")</f>
        <v>0</v>
      </c>
      <c r="D44083" t="s">
        <v>5653</v>
      </c>
      <c r="E44083" t="s">
        <v>9916</v>
      </c>
      <c r="F44083" t="s">
        <v>14649</v>
      </c>
      <c r="G44083" t="s">
        <v>18553</v>
      </c>
      <c r="H44083" t="s">
        <v>37274</v>
      </c>
    </row>
    <row r="44084" spans="1:8">
      <c r="H44084" t="s">
        <v>37275</v>
      </c>
    </row>
    <row r="44085" spans="1:8">
      <c r="H44085" t="s">
        <v>37276</v>
      </c>
    </row>
    <row r="44086" spans="1:8">
      <c r="H44086" t="s">
        <v>37277</v>
      </c>
    </row>
    <row r="44087" spans="1:8">
      <c r="H44087" t="s">
        <v>37278</v>
      </c>
    </row>
    <row r="44088" spans="1:8">
      <c r="H44088" t="s">
        <v>37279</v>
      </c>
    </row>
    <row r="44089" spans="1:8">
      <c r="H44089" t="s">
        <v>37280</v>
      </c>
    </row>
    <row r="44090" spans="1:8">
      <c r="A44090" t="s">
        <v>4243</v>
      </c>
      <c r="B44090">
        <f>HYPERLINK("https://android.googlesource.com/platform/cts/+/9910ca9737f8838f6dc3a3d9d318f50339ff7cd4", "9910ca9737f8838f6dc3a3d9d318f50339ff7cd4")</f>
        <v>0</v>
      </c>
      <c r="C44090">
        <f>HYPERLINK("https://android.googlesource.com/platform/cts/+/0da7a74dc6555357aad4937ee257d37debc4c33e", "0da7a74dc6555357aad4937ee257d37debc4c33e")</f>
        <v>0</v>
      </c>
      <c r="D44090" t="s">
        <v>5669</v>
      </c>
      <c r="E44090" t="s">
        <v>9917</v>
      </c>
      <c r="F44090" t="s">
        <v>13277</v>
      </c>
      <c r="G44090" t="s">
        <v>17414</v>
      </c>
      <c r="H44090" t="s">
        <v>37281</v>
      </c>
    </row>
    <row r="44091" spans="1:8">
      <c r="A44091" t="s">
        <v>4244</v>
      </c>
      <c r="B44091">
        <f>HYPERLINK("https://android.googlesource.com/platform/cts/+/9322240219477ca7c9e76776e8638caa383ec6bc", "9322240219477ca7c9e76776e8638caa383ec6bc")</f>
        <v>0</v>
      </c>
      <c r="C44091">
        <f>HYPERLINK("https://android.googlesource.com/platform/cts/+/37e84d3c66a3558278722720d9475f7df08778c0", "37e84d3c66a3558278722720d9475f7df08778c0")</f>
        <v>0</v>
      </c>
      <c r="D44091" t="s">
        <v>5581</v>
      </c>
      <c r="E44091" t="s">
        <v>9918</v>
      </c>
      <c r="F44091" t="s">
        <v>13277</v>
      </c>
      <c r="G44091" t="s">
        <v>17414</v>
      </c>
      <c r="H44091" t="s">
        <v>37282</v>
      </c>
    </row>
    <row r="44092" spans="1:8">
      <c r="A44092" t="s">
        <v>4245</v>
      </c>
      <c r="B44092">
        <f>HYPERLINK("https://android.googlesource.com/platform/cts/+/70649d9494a55051bd7d0ec8d76d0b46bc385680", "70649d9494a55051bd7d0ec8d76d0b46bc385680")</f>
        <v>0</v>
      </c>
      <c r="C44092">
        <f>HYPERLINK("https://android.googlesource.com/platform/cts/+/d15299ff4667d76dd3645a35828977554017e60c", "d15299ff4667d76dd3645a35828977554017e60c")</f>
        <v>0</v>
      </c>
      <c r="D44092" t="s">
        <v>5668</v>
      </c>
      <c r="E44092" t="s">
        <v>9919</v>
      </c>
      <c r="F44092" t="s">
        <v>14647</v>
      </c>
      <c r="G44092" t="s">
        <v>18552</v>
      </c>
      <c r="H44092" t="s">
        <v>37283</v>
      </c>
    </row>
    <row r="44093" spans="1:8">
      <c r="A44093" t="s">
        <v>4246</v>
      </c>
      <c r="B44093">
        <f>HYPERLINK("https://android.googlesource.com/platform/cts/+/3a9a1258915313d31abaec431d6ded972ec7a048", "3a9a1258915313d31abaec431d6ded972ec7a048")</f>
        <v>0</v>
      </c>
      <c r="C44093">
        <f>HYPERLINK("https://android.googlesource.com/platform/cts/+/d2bf4c1eece051c163c059f4f68e059a2ae04c4a", "d2bf4c1eece051c163c059f4f68e059a2ae04c4a")</f>
        <v>0</v>
      </c>
      <c r="D44093" t="s">
        <v>5463</v>
      </c>
      <c r="E44093" t="s">
        <v>9920</v>
      </c>
      <c r="F44093" t="s">
        <v>14633</v>
      </c>
      <c r="G44093" t="s">
        <v>18543</v>
      </c>
      <c r="H44093" t="s">
        <v>18829</v>
      </c>
    </row>
    <row r="44094" spans="1:8">
      <c r="H44094" t="s">
        <v>37284</v>
      </c>
    </row>
    <row r="44095" spans="1:8">
      <c r="H44095" t="s">
        <v>37285</v>
      </c>
    </row>
    <row r="44096" spans="1:8">
      <c r="H44096" t="s">
        <v>37286</v>
      </c>
    </row>
    <row r="44097" spans="1:8">
      <c r="H44097" t="s">
        <v>37287</v>
      </c>
    </row>
    <row r="44098" spans="1:8">
      <c r="H44098" t="s">
        <v>37288</v>
      </c>
    </row>
    <row r="44099" spans="1:8">
      <c r="H44099" t="s">
        <v>37289</v>
      </c>
    </row>
    <row r="44100" spans="1:8">
      <c r="H44100" t="s">
        <v>37290</v>
      </c>
    </row>
    <row r="44101" spans="1:8">
      <c r="H44101" t="s">
        <v>37291</v>
      </c>
    </row>
    <row r="44102" spans="1:8">
      <c r="H44102" t="s">
        <v>37292</v>
      </c>
    </row>
    <row r="44103" spans="1:8">
      <c r="H44103" t="s">
        <v>37293</v>
      </c>
    </row>
    <row r="44104" spans="1:8">
      <c r="H44104" t="s">
        <v>37294</v>
      </c>
    </row>
    <row r="44105" spans="1:8">
      <c r="H44105" t="s">
        <v>37295</v>
      </c>
    </row>
    <row r="44106" spans="1:8">
      <c r="H44106" t="s">
        <v>37296</v>
      </c>
    </row>
    <row r="44107" spans="1:8">
      <c r="H44107" t="s">
        <v>37297</v>
      </c>
    </row>
    <row r="44108" spans="1:8">
      <c r="H44108" t="s">
        <v>37298</v>
      </c>
    </row>
    <row r="44109" spans="1:8">
      <c r="A44109" t="s">
        <v>4249</v>
      </c>
      <c r="B44109">
        <f>HYPERLINK("https://android.googlesource.com/platform/cts/+/11fd0b4694174f7495830e11119df13700b88ca4", "11fd0b4694174f7495830e11119df13700b88ca4")</f>
        <v>0</v>
      </c>
      <c r="C44109">
        <f>HYPERLINK("https://android.googlesource.com/platform/cts/+/716a822d4b1324a802bf67ff7e2250ecdd99e176", "716a822d4b1324a802bf67ff7e2250ecdd99e176")</f>
        <v>0</v>
      </c>
      <c r="D44109" t="s">
        <v>5642</v>
      </c>
      <c r="E44109" t="s">
        <v>9922</v>
      </c>
      <c r="F44109" t="s">
        <v>14627</v>
      </c>
      <c r="G44109" t="s">
        <v>18538</v>
      </c>
      <c r="H44109" t="s">
        <v>37299</v>
      </c>
    </row>
    <row r="44110" spans="1:8">
      <c r="A44110" t="s">
        <v>4250</v>
      </c>
      <c r="B44110">
        <f>HYPERLINK("https://android.googlesource.com/platform/cts/+/06a952a180e17fd5688b845566dbecb6411aa2a9", "06a952a180e17fd5688b845566dbecb6411aa2a9")</f>
        <v>0</v>
      </c>
      <c r="C44110">
        <f>HYPERLINK("https://android.googlesource.com/platform/cts/+/b003794023c050821258f5acf3988935784255c5", "b003794023c050821258f5acf3988935784255c5")</f>
        <v>0</v>
      </c>
      <c r="D44110" t="s">
        <v>5409</v>
      </c>
      <c r="E44110" t="s">
        <v>9923</v>
      </c>
      <c r="F44110" t="s">
        <v>14650</v>
      </c>
      <c r="G44110" t="s">
        <v>18554</v>
      </c>
      <c r="H44110" t="s">
        <v>37300</v>
      </c>
    </row>
    <row r="44111" spans="1:8">
      <c r="A44111" t="s">
        <v>4251</v>
      </c>
      <c r="B44111">
        <f>HYPERLINK("https://android.googlesource.com/platform/cts/+/1390ca540e3cc916e4a877207b7cc1c7928aa801", "1390ca540e3cc916e4a877207b7cc1c7928aa801")</f>
        <v>0</v>
      </c>
      <c r="C44111">
        <f>HYPERLINK("https://android.googlesource.com/platform/cts/+/06a952a180e17fd5688b845566dbecb6411aa2a9", "06a952a180e17fd5688b845566dbecb6411aa2a9")</f>
        <v>0</v>
      </c>
      <c r="D44111" t="s">
        <v>5409</v>
      </c>
      <c r="E44111" t="s">
        <v>9924</v>
      </c>
      <c r="F44111" t="s">
        <v>14462</v>
      </c>
      <c r="G44111" t="s">
        <v>18326</v>
      </c>
      <c r="H44111" t="s">
        <v>37301</v>
      </c>
    </row>
    <row r="44112" spans="1:8">
      <c r="H44112" t="s">
        <v>35545</v>
      </c>
    </row>
    <row r="44113" spans="1:8">
      <c r="F44113" t="s">
        <v>14558</v>
      </c>
      <c r="G44113" t="s">
        <v>18480</v>
      </c>
      <c r="H44113" t="s">
        <v>37302</v>
      </c>
    </row>
    <row r="44114" spans="1:8">
      <c r="H44114" t="s">
        <v>37303</v>
      </c>
    </row>
    <row r="44115" spans="1:8">
      <c r="F44115" t="s">
        <v>14651</v>
      </c>
      <c r="G44115" t="s">
        <v>17294</v>
      </c>
      <c r="H44115" t="s">
        <v>37301</v>
      </c>
    </row>
    <row r="44116" spans="1:8">
      <c r="H44116" t="s">
        <v>35545</v>
      </c>
    </row>
    <row r="44117" spans="1:8">
      <c r="F44117" t="s">
        <v>14652</v>
      </c>
      <c r="G44117" t="s">
        <v>18466</v>
      </c>
      <c r="H44117" t="s">
        <v>37304</v>
      </c>
    </row>
    <row r="44118" spans="1:8">
      <c r="H44118" t="s">
        <v>37305</v>
      </c>
    </row>
    <row r="44119" spans="1:8">
      <c r="H44119" t="s">
        <v>37306</v>
      </c>
    </row>
    <row r="44120" spans="1:8">
      <c r="H44120" t="s">
        <v>37307</v>
      </c>
    </row>
    <row r="44121" spans="1:8">
      <c r="H44121" t="s">
        <v>37308</v>
      </c>
    </row>
    <row r="44122" spans="1:8">
      <c r="H44122" t="s">
        <v>37309</v>
      </c>
    </row>
    <row r="44123" spans="1:8">
      <c r="H44123" t="s">
        <v>37310</v>
      </c>
    </row>
    <row r="44124" spans="1:8">
      <c r="H44124" t="s">
        <v>37311</v>
      </c>
    </row>
    <row r="44125" spans="1:8">
      <c r="H44125" t="s">
        <v>37312</v>
      </c>
    </row>
    <row r="44126" spans="1:8">
      <c r="H44126" t="s">
        <v>37313</v>
      </c>
    </row>
    <row r="44127" spans="1:8">
      <c r="A44127" t="s">
        <v>4252</v>
      </c>
      <c r="B44127">
        <f>HYPERLINK("https://android.googlesource.com/platform/cts/+/a3e396589b6417944e218d2b9bb471b8b7775b77", "a3e396589b6417944e218d2b9bb471b8b7775b77")</f>
        <v>0</v>
      </c>
      <c r="C44127">
        <f>HYPERLINK("https://android.googlesource.com/platform/cts/+/36cd61b368da3eb8f740708e1f076e5e262bd3a1", "36cd61b368da3eb8f740708e1f076e5e262bd3a1")</f>
        <v>0</v>
      </c>
      <c r="D44127" t="s">
        <v>5277</v>
      </c>
      <c r="E44127" t="s">
        <v>9925</v>
      </c>
      <c r="F44127" t="s">
        <v>10582</v>
      </c>
      <c r="G44127" t="s">
        <v>14985</v>
      </c>
      <c r="H44127" t="s">
        <v>37314</v>
      </c>
    </row>
    <row r="44128" spans="1:8">
      <c r="A44128" t="s">
        <v>4254</v>
      </c>
      <c r="B44128">
        <f>HYPERLINK("https://android.googlesource.com/platform/cts/+/ba3984a30526bc115511fae47e71242385fdb70a", "ba3984a30526bc115511fae47e71242385fdb70a")</f>
        <v>0</v>
      </c>
      <c r="C44128">
        <f>HYPERLINK("https://android.googlesource.com/platform/cts/+/4808ec344564a33650b5ddfe091f407e190283d8", "4808ec344564a33650b5ddfe091f407e190283d8")</f>
        <v>0</v>
      </c>
      <c r="D44128" t="s">
        <v>5668</v>
      </c>
      <c r="E44128" t="s">
        <v>9927</v>
      </c>
      <c r="F44128" t="s">
        <v>14647</v>
      </c>
      <c r="G44128" t="s">
        <v>18552</v>
      </c>
      <c r="H44128" t="s">
        <v>37315</v>
      </c>
    </row>
    <row r="44129" spans="1:8">
      <c r="A44129" t="s">
        <v>4256</v>
      </c>
      <c r="B44129">
        <f>HYPERLINK("https://android.googlesource.com/platform/cts/+/88a268b3acbe34a3bfe13a61d73e01fa984b6f52", "88a268b3acbe34a3bfe13a61d73e01fa984b6f52")</f>
        <v>0</v>
      </c>
      <c r="C44129">
        <f>HYPERLINK("https://android.googlesource.com/platform/cts/+/5959a156158a3d405f43fd6eb5dea1b8d9efbcdd", "5959a156158a3d405f43fd6eb5dea1b8d9efbcdd")</f>
        <v>0</v>
      </c>
      <c r="D44129" t="s">
        <v>5610</v>
      </c>
      <c r="E44129" t="s">
        <v>9929</v>
      </c>
      <c r="F44129" t="s">
        <v>14653</v>
      </c>
      <c r="G44129" t="s">
        <v>17776</v>
      </c>
      <c r="H44129" t="s">
        <v>37316</v>
      </c>
    </row>
    <row r="44130" spans="1:8">
      <c r="H44130" t="s">
        <v>37317</v>
      </c>
    </row>
    <row r="44131" spans="1:8">
      <c r="A44131" t="s">
        <v>4257</v>
      </c>
      <c r="B44131">
        <f>HYPERLINK("https://android.googlesource.com/platform/cts/+/72ebd316fd5dd45fc12e5a53063a766ac4cac3cf", "72ebd316fd5dd45fc12e5a53063a766ac4cac3cf")</f>
        <v>0</v>
      </c>
      <c r="C44131">
        <f>HYPERLINK("https://android.googlesource.com/platform/cts/+/58eb065433fa353c76e5974827b8072cb37dd236", "58eb065433fa353c76e5974827b8072cb37dd236")</f>
        <v>0</v>
      </c>
      <c r="D44131" t="s">
        <v>5243</v>
      </c>
      <c r="E44131" t="s">
        <v>9930</v>
      </c>
      <c r="F44131" t="s">
        <v>14654</v>
      </c>
      <c r="G44131" t="s">
        <v>18555</v>
      </c>
      <c r="H44131" t="s">
        <v>37318</v>
      </c>
    </row>
    <row r="44132" spans="1:8">
      <c r="H44132" t="s">
        <v>37319</v>
      </c>
    </row>
    <row r="44133" spans="1:8">
      <c r="H44133" t="s">
        <v>37320</v>
      </c>
    </row>
    <row r="44134" spans="1:8">
      <c r="H44134" t="s">
        <v>37321</v>
      </c>
    </row>
    <row r="44135" spans="1:8">
      <c r="H44135" t="s">
        <v>37322</v>
      </c>
    </row>
    <row r="44136" spans="1:8">
      <c r="H44136" t="s">
        <v>37323</v>
      </c>
    </row>
    <row r="44137" spans="1:8">
      <c r="H44137" t="s">
        <v>27897</v>
      </c>
    </row>
    <row r="44138" spans="1:8">
      <c r="H44138" t="s">
        <v>37324</v>
      </c>
    </row>
    <row r="44139" spans="1:8">
      <c r="H44139" t="s">
        <v>37325</v>
      </c>
    </row>
    <row r="44140" spans="1:8">
      <c r="H44140" t="s">
        <v>37326</v>
      </c>
    </row>
    <row r="44141" spans="1:8">
      <c r="H44141" t="s">
        <v>37327</v>
      </c>
    </row>
    <row r="44142" spans="1:8">
      <c r="H44142" t="s">
        <v>37328</v>
      </c>
    </row>
    <row r="44143" spans="1:8">
      <c r="A44143" t="s">
        <v>4259</v>
      </c>
      <c r="B44143">
        <f>HYPERLINK("https://android.googlesource.com/platform/cts/+/6a5ca68bc2428959488f4a14d25cfa8d81398f6e", "6a5ca68bc2428959488f4a14d25cfa8d81398f6e")</f>
        <v>0</v>
      </c>
      <c r="C44143">
        <f>HYPERLINK("https://android.googlesource.com/platform/cts/+/edd1df745a2fb73ee7d4c87f0a8517c3b2edb57c", "edd1df745a2fb73ee7d4c87f0a8517c3b2edb57c")</f>
        <v>0</v>
      </c>
      <c r="D44143" t="s">
        <v>5626</v>
      </c>
      <c r="E44143" t="s">
        <v>9932</v>
      </c>
      <c r="F44143" t="s">
        <v>14655</v>
      </c>
      <c r="G44143" t="s">
        <v>18318</v>
      </c>
      <c r="H44143" t="s">
        <v>35667</v>
      </c>
    </row>
    <row r="44144" spans="1:8">
      <c r="A44144" t="s">
        <v>4260</v>
      </c>
      <c r="B44144">
        <f>HYPERLINK("https://android.googlesource.com/platform/cts/+/8c62a604f50b975c4a80ea0d4a0015a89d73c074", "8c62a604f50b975c4a80ea0d4a0015a89d73c074")</f>
        <v>0</v>
      </c>
      <c r="C44144">
        <f>HYPERLINK("https://android.googlesource.com/platform/cts/+/d69c7d3193f631796241195d7bf40d3beac4871e", "d69c7d3193f631796241195d7bf40d3beac4871e")</f>
        <v>0</v>
      </c>
      <c r="D44144" t="s">
        <v>5277</v>
      </c>
      <c r="E44144" t="s">
        <v>9933</v>
      </c>
      <c r="F44144" t="s">
        <v>10649</v>
      </c>
      <c r="G44144" t="s">
        <v>15050</v>
      </c>
      <c r="H44144" t="s">
        <v>37329</v>
      </c>
    </row>
    <row r="44145" spans="1:8">
      <c r="A44145" t="s">
        <v>4261</v>
      </c>
      <c r="B44145">
        <f>HYPERLINK("https://android.googlesource.com/platform/cts/+/b40b55f26a420205f380693ea3c84c67e4859e08", "b40b55f26a420205f380693ea3c84c67e4859e08")</f>
        <v>0</v>
      </c>
      <c r="C44145">
        <f>HYPERLINK("https://android.googlesource.com/platform/cts/+/7ae83970f045f404e66387ebe46be56f42ece9cf", "7ae83970f045f404e66387ebe46be56f42ece9cf")</f>
        <v>0</v>
      </c>
      <c r="D44145" t="s">
        <v>5456</v>
      </c>
      <c r="E44145" t="s">
        <v>9934</v>
      </c>
      <c r="F44145" t="s">
        <v>10608</v>
      </c>
      <c r="G44145" t="s">
        <v>15011</v>
      </c>
      <c r="H44145" t="s">
        <v>37330</v>
      </c>
    </row>
    <row r="44146" spans="1:8">
      <c r="A44146" t="s">
        <v>4262</v>
      </c>
      <c r="B44146">
        <f>HYPERLINK("https://android.googlesource.com/platform/cts/+/91b6c6ead2351220f97aef416f7a53dde3f81753", "91b6c6ead2351220f97aef416f7a53dde3f81753")</f>
        <v>0</v>
      </c>
      <c r="C44146">
        <f>HYPERLINK("https://android.googlesource.com/platform/cts/+/d573ace081783d694828d885c5ea30f1df08cdd9", "d573ace081783d694828d885c5ea30f1df08cdd9")</f>
        <v>0</v>
      </c>
      <c r="D44146" t="s">
        <v>5670</v>
      </c>
      <c r="E44146" t="s">
        <v>9935</v>
      </c>
      <c r="F44146" t="s">
        <v>13715</v>
      </c>
      <c r="G44146" t="s">
        <v>17782</v>
      </c>
      <c r="H44146" t="s">
        <v>18829</v>
      </c>
    </row>
    <row r="44147" spans="1:8">
      <c r="H44147" t="s">
        <v>18863</v>
      </c>
    </row>
    <row r="44148" spans="1:8">
      <c r="H44148" t="s">
        <v>37331</v>
      </c>
    </row>
    <row r="44149" spans="1:8">
      <c r="H44149" t="s">
        <v>37332</v>
      </c>
    </row>
    <row r="44150" spans="1:8">
      <c r="H44150" t="s">
        <v>34094</v>
      </c>
    </row>
    <row r="44151" spans="1:8">
      <c r="H44151" t="s">
        <v>34095</v>
      </c>
    </row>
    <row r="44152" spans="1:8">
      <c r="H44152" t="s">
        <v>34096</v>
      </c>
    </row>
    <row r="44153" spans="1:8">
      <c r="F44153" t="s">
        <v>12419</v>
      </c>
      <c r="G44153" t="s">
        <v>16641</v>
      </c>
      <c r="H44153" t="s">
        <v>37333</v>
      </c>
    </row>
    <row r="44154" spans="1:8">
      <c r="A44154" t="s">
        <v>4263</v>
      </c>
      <c r="B44154">
        <f>HYPERLINK("https://android.googlesource.com/platform/cts/+/c7336ca353c69877803ccd6620578117ce32796d", "c7336ca353c69877803ccd6620578117ce32796d")</f>
        <v>0</v>
      </c>
      <c r="C44154">
        <f>HYPERLINK("https://android.googlesource.com/platform/cts/+/d86b72df68c742ddafa0ba41e2fa1011f6445e6b", "d86b72df68c742ddafa0ba41e2fa1011f6445e6b")</f>
        <v>0</v>
      </c>
      <c r="D44154" t="s">
        <v>5046</v>
      </c>
      <c r="E44154" t="s">
        <v>9936</v>
      </c>
      <c r="F44154" t="s">
        <v>14267</v>
      </c>
      <c r="G44154" t="s">
        <v>18234</v>
      </c>
      <c r="H44154" t="s">
        <v>37334</v>
      </c>
    </row>
    <row r="44155" spans="1:8">
      <c r="H44155" t="s">
        <v>37335</v>
      </c>
    </row>
    <row r="44156" spans="1:8">
      <c r="H44156" t="s">
        <v>37336</v>
      </c>
    </row>
    <row r="44157" spans="1:8">
      <c r="F44157" t="s">
        <v>14656</v>
      </c>
      <c r="G44157" t="s">
        <v>17535</v>
      </c>
      <c r="H44157" t="s">
        <v>37335</v>
      </c>
    </row>
    <row r="44158" spans="1:8">
      <c r="H44158" t="s">
        <v>37335</v>
      </c>
    </row>
    <row r="44159" spans="1:8">
      <c r="H44159" t="s">
        <v>19475</v>
      </c>
    </row>
    <row r="44160" spans="1:8">
      <c r="A44160" t="s">
        <v>4264</v>
      </c>
      <c r="B44160">
        <f>HYPERLINK("https://android.googlesource.com/platform/cts/+/bcafea0a02586d7f1365d5da15176f0ad2be06f4", "bcafea0a02586d7f1365d5da15176f0ad2be06f4")</f>
        <v>0</v>
      </c>
      <c r="C44160">
        <f>HYPERLINK("https://android.googlesource.com/platform/cts/+/d629e29541de27451217980d665aaec21d3d4f1b", "d629e29541de27451217980d665aaec21d3d4f1b")</f>
        <v>0</v>
      </c>
      <c r="D44160" t="s">
        <v>5647</v>
      </c>
      <c r="E44160" t="s">
        <v>9937</v>
      </c>
      <c r="F44160" t="s">
        <v>14657</v>
      </c>
      <c r="G44160" t="s">
        <v>18556</v>
      </c>
      <c r="H44160" t="s">
        <v>37337</v>
      </c>
    </row>
    <row r="44161" spans="1:8">
      <c r="H44161" t="s">
        <v>37338</v>
      </c>
    </row>
    <row r="44162" spans="1:8">
      <c r="H44162" t="s">
        <v>37339</v>
      </c>
    </row>
    <row r="44163" spans="1:8">
      <c r="A44163" t="s">
        <v>4265</v>
      </c>
      <c r="B44163">
        <f>HYPERLINK("https://android.googlesource.com/platform/cts/+/308e79a056ce222fde9be4dc78a9fe378e98c106", "308e79a056ce222fde9be4dc78a9fe378e98c106")</f>
        <v>0</v>
      </c>
      <c r="C44163">
        <f>HYPERLINK("https://android.googlesource.com/platform/cts/+/ba9b476b4c2d8efe42f0d97fd81e6f06182a39c9", "ba9b476b4c2d8efe42f0d97fd81e6f06182a39c9")</f>
        <v>0</v>
      </c>
      <c r="D44163" t="s">
        <v>5478</v>
      </c>
      <c r="E44163" t="s">
        <v>9938</v>
      </c>
      <c r="F44163" t="s">
        <v>14353</v>
      </c>
      <c r="G44163" t="s">
        <v>18303</v>
      </c>
      <c r="H44163" t="s">
        <v>35682</v>
      </c>
    </row>
    <row r="44164" spans="1:8">
      <c r="A44164" t="s">
        <v>4266</v>
      </c>
      <c r="B44164">
        <f>HYPERLINK("https://android.googlesource.com/platform/cts/+/e08e076a9150b382f759c9ca106f964955484218", "e08e076a9150b382f759c9ca106f964955484218")</f>
        <v>0</v>
      </c>
      <c r="C44164">
        <f>HYPERLINK("https://android.googlesource.com/platform/cts/+/a5b1318612630ac196503a94d9c5148e4d6fcf3a", "a5b1318612630ac196503a94d9c5148e4d6fcf3a")</f>
        <v>0</v>
      </c>
      <c r="D44164" t="s">
        <v>5626</v>
      </c>
      <c r="E44164" t="s">
        <v>9939</v>
      </c>
      <c r="F44164" t="s">
        <v>14566</v>
      </c>
      <c r="G44164" t="s">
        <v>18487</v>
      </c>
      <c r="H44164" t="s">
        <v>37340</v>
      </c>
    </row>
    <row r="44165" spans="1:8">
      <c r="F44165" t="s">
        <v>14658</v>
      </c>
      <c r="G44165" t="s">
        <v>18019</v>
      </c>
      <c r="H44165" t="s">
        <v>37341</v>
      </c>
    </row>
    <row r="44166" spans="1:8">
      <c r="A44166" t="s">
        <v>4267</v>
      </c>
      <c r="B44166">
        <f>HYPERLINK("https://android.googlesource.com/platform/cts/+/9861f27c678073473f986370be6ab6f2b63285f8", "9861f27c678073473f986370be6ab6f2b63285f8")</f>
        <v>0</v>
      </c>
      <c r="C44166">
        <f>HYPERLINK("https://android.googlesource.com/platform/cts/+/1519127e03a0168602c2733204adfa46b027cf3e", "1519127e03a0168602c2733204adfa46b027cf3e")</f>
        <v>0</v>
      </c>
      <c r="D44166" t="s">
        <v>5046</v>
      </c>
      <c r="E44166" t="s">
        <v>9940</v>
      </c>
      <c r="F44166" t="s">
        <v>14267</v>
      </c>
      <c r="G44166" t="s">
        <v>18234</v>
      </c>
      <c r="H44166" t="s">
        <v>37334</v>
      </c>
    </row>
    <row r="44167" spans="1:8">
      <c r="H44167" t="s">
        <v>37335</v>
      </c>
    </row>
    <row r="44168" spans="1:8">
      <c r="H44168" t="s">
        <v>37336</v>
      </c>
    </row>
    <row r="44169" spans="1:8">
      <c r="F44169" t="s">
        <v>14656</v>
      </c>
      <c r="G44169" t="s">
        <v>17535</v>
      </c>
      <c r="H44169" t="s">
        <v>37335</v>
      </c>
    </row>
    <row r="44170" spans="1:8">
      <c r="H44170" t="s">
        <v>37335</v>
      </c>
    </row>
    <row r="44171" spans="1:8">
      <c r="H44171" t="s">
        <v>19475</v>
      </c>
    </row>
    <row r="44172" spans="1:8">
      <c r="A44172" t="s">
        <v>4269</v>
      </c>
      <c r="B44172">
        <f>HYPERLINK("https://android.googlesource.com/platform/cts/+/76f8c4d9779305a1347a5e5fa4c927791929516a", "76f8c4d9779305a1347a5e5fa4c927791929516a")</f>
        <v>0</v>
      </c>
      <c r="C44172">
        <f>HYPERLINK("https://android.googlesource.com/platform/cts/+/d1ae1a7b200bccfe5f7ece3eb3be38d0e142a035", "d1ae1a7b200bccfe5f7ece3eb3be38d0e142a035")</f>
        <v>0</v>
      </c>
      <c r="D44172" t="s">
        <v>5668</v>
      </c>
      <c r="E44172" t="s">
        <v>9942</v>
      </c>
      <c r="F44172" t="s">
        <v>14647</v>
      </c>
      <c r="G44172" t="s">
        <v>18552</v>
      </c>
      <c r="H44172" t="s">
        <v>37342</v>
      </c>
    </row>
    <row r="44173" spans="1:8">
      <c r="A44173" t="s">
        <v>4270</v>
      </c>
      <c r="B44173">
        <f>HYPERLINK("https://android.googlesource.com/platform/cts/+/8e820b7745f9bf2d587ed13de43a9938938ae52c", "8e820b7745f9bf2d587ed13de43a9938938ae52c")</f>
        <v>0</v>
      </c>
      <c r="C44173">
        <f>HYPERLINK("https://android.googlesource.com/platform/cts/+/e1132f4bc6047d438e45338fc8ff5feb41ec02d6", "e1132f4bc6047d438e45338fc8ff5feb41ec02d6")</f>
        <v>0</v>
      </c>
      <c r="D44173" t="s">
        <v>5671</v>
      </c>
      <c r="E44173" t="s">
        <v>9943</v>
      </c>
      <c r="F44173" t="s">
        <v>13165</v>
      </c>
      <c r="G44173" t="s">
        <v>17315</v>
      </c>
      <c r="H44173" t="s">
        <v>37343</v>
      </c>
    </row>
    <row r="44174" spans="1:8">
      <c r="A44174" t="s">
        <v>4276</v>
      </c>
      <c r="B44174">
        <f>HYPERLINK("https://android.googlesource.com/platform/cts/+/e0d3ae4b5e0c4224dcfb615d44f8b4ebe23edfbe", "e0d3ae4b5e0c4224dcfb615d44f8b4ebe23edfbe")</f>
        <v>0</v>
      </c>
      <c r="C44174">
        <f>HYPERLINK("https://android.googlesource.com/platform/cts/+/052c74c16c5c0a4ad0d857b3ad7401a8b4efa23a", "052c74c16c5c0a4ad0d857b3ad7401a8b4efa23a")</f>
        <v>0</v>
      </c>
      <c r="D44174" t="s">
        <v>5653</v>
      </c>
      <c r="E44174" t="s">
        <v>9949</v>
      </c>
      <c r="F44174" t="s">
        <v>14659</v>
      </c>
      <c r="G44174" t="s">
        <v>18557</v>
      </c>
      <c r="H44174" t="s">
        <v>37344</v>
      </c>
    </row>
    <row r="44175" spans="1:8">
      <c r="H44175" t="s">
        <v>37345</v>
      </c>
    </row>
    <row r="44176" spans="1:8">
      <c r="A44176" t="s">
        <v>4277</v>
      </c>
      <c r="B44176">
        <f>HYPERLINK("https://android.googlesource.com/platform/cts/+/48d3d5701c0a1cb56016e85295afb88480b7880e", "48d3d5701c0a1cb56016e85295afb88480b7880e")</f>
        <v>0</v>
      </c>
      <c r="C44176">
        <f>HYPERLINK("https://android.googlesource.com/platform/cts/+/0dfb3c3e065db6f5e6ac7dc61dcc964aec4474c3", "0dfb3c3e065db6f5e6ac7dc61dcc964aec4474c3")</f>
        <v>0</v>
      </c>
      <c r="D44176" t="s">
        <v>5266</v>
      </c>
      <c r="E44176" t="s">
        <v>9950</v>
      </c>
      <c r="F44176" t="s">
        <v>14503</v>
      </c>
      <c r="G44176" t="s">
        <v>18431</v>
      </c>
      <c r="H44176" t="s">
        <v>20168</v>
      </c>
    </row>
    <row r="44177" spans="1:8">
      <c r="A44177" t="s">
        <v>4278</v>
      </c>
      <c r="B44177">
        <f>HYPERLINK("https://android.googlesource.com/platform/cts/+/aa8eb177ed11b321be3581ad93ca356531e5fe19", "aa8eb177ed11b321be3581ad93ca356531e5fe19")</f>
        <v>0</v>
      </c>
      <c r="C44177">
        <f>HYPERLINK("https://android.googlesource.com/platform/cts/+/696ee033f29f135a22f16e8b0f8349314dda4244", "696ee033f29f135a22f16e8b0f8349314dda4244")</f>
        <v>0</v>
      </c>
      <c r="D44177" t="s">
        <v>5575</v>
      </c>
      <c r="E44177" t="s">
        <v>9951</v>
      </c>
      <c r="F44177" t="s">
        <v>14613</v>
      </c>
      <c r="G44177" t="s">
        <v>18453</v>
      </c>
      <c r="H44177" t="s">
        <v>37346</v>
      </c>
    </row>
    <row r="44178" spans="1:8">
      <c r="H44178" t="s">
        <v>37347</v>
      </c>
    </row>
    <row r="44179" spans="1:8">
      <c r="H44179" t="s">
        <v>37008</v>
      </c>
    </row>
    <row r="44180" spans="1:8">
      <c r="F44180" t="s">
        <v>14527</v>
      </c>
      <c r="G44180" t="s">
        <v>18446</v>
      </c>
      <c r="H44180" t="s">
        <v>37348</v>
      </c>
    </row>
    <row r="44181" spans="1:8">
      <c r="H44181" t="s">
        <v>37349</v>
      </c>
    </row>
    <row r="44182" spans="1:8">
      <c r="H44182" t="s">
        <v>37009</v>
      </c>
    </row>
    <row r="44183" spans="1:8">
      <c r="A44183" t="s">
        <v>4282</v>
      </c>
      <c r="B44183">
        <f>HYPERLINK("https://android.googlesource.com/platform/cts/+/e4aacccf55be1f03c5f65fd6f79f59729cbc948a", "e4aacccf55be1f03c5f65fd6f79f59729cbc948a")</f>
        <v>0</v>
      </c>
      <c r="C44183">
        <f>HYPERLINK("https://android.googlesource.com/platform/cts/+/cfa0265ccaa8a42b1be0fa3fe1ce1d19c0d94d65", "cfa0265ccaa8a42b1be0fa3fe1ce1d19c0d94d65")</f>
        <v>0</v>
      </c>
      <c r="D44183" t="s">
        <v>4947</v>
      </c>
      <c r="E44183" t="s">
        <v>9953</v>
      </c>
      <c r="F44183" t="s">
        <v>14660</v>
      </c>
      <c r="G44183" t="s">
        <v>18558</v>
      </c>
      <c r="H44183" t="s">
        <v>37350</v>
      </c>
    </row>
    <row r="44184" spans="1:8">
      <c r="H44184" t="s">
        <v>37351</v>
      </c>
    </row>
    <row r="44185" spans="1:8">
      <c r="A44185" t="s">
        <v>4283</v>
      </c>
      <c r="B44185">
        <f>HYPERLINK("https://android.googlesource.com/platform/cts/+/dce9826c8638ac0c60556b391e34114298e03424", "dce9826c8638ac0c60556b391e34114298e03424")</f>
        <v>0</v>
      </c>
      <c r="C44185">
        <f>HYPERLINK("https://android.googlesource.com/platform/cts/+/e31d5144fd8fca8795cf6e2c6aaa55af05f2c10f", "e31d5144fd8fca8795cf6e2c6aaa55af05f2c10f")</f>
        <v>0</v>
      </c>
      <c r="D44185" t="s">
        <v>5263</v>
      </c>
      <c r="E44185" t="s">
        <v>9954</v>
      </c>
      <c r="F44185" t="s">
        <v>13391</v>
      </c>
      <c r="G44185" t="s">
        <v>17517</v>
      </c>
      <c r="H44185" t="s">
        <v>37352</v>
      </c>
    </row>
    <row r="44186" spans="1:8">
      <c r="A44186" t="s">
        <v>4285</v>
      </c>
      <c r="B44186">
        <f>HYPERLINK("https://android.googlesource.com/platform/cts/+/d4db66b7d54735fa5cf301abd03e0193846ce44e", "d4db66b7d54735fa5cf301abd03e0193846ce44e")</f>
        <v>0</v>
      </c>
      <c r="C44186">
        <f>HYPERLINK("https://android.googlesource.com/platform/cts/+/2cf98282fb494bc4a44c479fe250fa1ac6b8c235", "2cf98282fb494bc4a44c479fe250fa1ac6b8c235")</f>
        <v>0</v>
      </c>
      <c r="D44186" t="s">
        <v>5672</v>
      </c>
      <c r="E44186" t="s">
        <v>9956</v>
      </c>
      <c r="F44186" t="s">
        <v>14661</v>
      </c>
      <c r="G44186" t="s">
        <v>18559</v>
      </c>
      <c r="H44186" t="s">
        <v>35666</v>
      </c>
    </row>
    <row r="44187" spans="1:8">
      <c r="A44187" t="s">
        <v>4286</v>
      </c>
      <c r="B44187">
        <f>HYPERLINK("https://android.googlesource.com/platform/cts/+/7b58bec9b75ca5e1ea3d7c23180f3506d57046ef", "7b58bec9b75ca5e1ea3d7c23180f3506d57046ef")</f>
        <v>0</v>
      </c>
      <c r="C44187">
        <f>HYPERLINK("https://android.googlesource.com/platform/cts/+/ba40891553de3d439408716f24f743625f72c09d", "ba40891553de3d439408716f24f743625f72c09d")</f>
        <v>0</v>
      </c>
      <c r="D44187" t="s">
        <v>5040</v>
      </c>
      <c r="E44187" t="s">
        <v>9957</v>
      </c>
      <c r="F44187" t="s">
        <v>14505</v>
      </c>
      <c r="G44187" t="s">
        <v>18434</v>
      </c>
      <c r="H44187" t="s">
        <v>37353</v>
      </c>
    </row>
    <row r="44188" spans="1:8">
      <c r="A44188" t="s">
        <v>4287</v>
      </c>
      <c r="B44188">
        <f>HYPERLINK("https://android.googlesource.com/platform/cts/+/8746cf43fc15e57145b0b0fe82023ed8fb942f82", "8746cf43fc15e57145b0b0fe82023ed8fb942f82")</f>
        <v>0</v>
      </c>
      <c r="C44188">
        <f>HYPERLINK("https://android.googlesource.com/platform/cts/+/d8c72027aacb89e8ab4a3e37b81c22044c2ef001", "d8c72027aacb89e8ab4a3e37b81c22044c2ef001")</f>
        <v>0</v>
      </c>
      <c r="D44188" t="s">
        <v>5409</v>
      </c>
      <c r="E44188" t="s">
        <v>9958</v>
      </c>
      <c r="F44188" t="s">
        <v>14448</v>
      </c>
      <c r="G44188" t="s">
        <v>18383</v>
      </c>
      <c r="H44188" t="s">
        <v>35545</v>
      </c>
    </row>
    <row r="44189" spans="1:8">
      <c r="H44189" t="s">
        <v>37354</v>
      </c>
    </row>
    <row r="44190" spans="1:8">
      <c r="H44190" t="s">
        <v>37355</v>
      </c>
    </row>
    <row r="44191" spans="1:8">
      <c r="H44191" t="s">
        <v>37356</v>
      </c>
    </row>
    <row r="44192" spans="1:8">
      <c r="H44192" t="s">
        <v>37357</v>
      </c>
    </row>
    <row r="44193" spans="8:8">
      <c r="H44193" t="s">
        <v>37358</v>
      </c>
    </row>
    <row r="44194" spans="8:8">
      <c r="H44194" t="s">
        <v>37359</v>
      </c>
    </row>
    <row r="44195" spans="8:8">
      <c r="H44195" t="s">
        <v>37360</v>
      </c>
    </row>
    <row r="44196" spans="8:8">
      <c r="H44196" t="s">
        <v>37361</v>
      </c>
    </row>
    <row r="44197" spans="8:8">
      <c r="H44197" t="s">
        <v>37362</v>
      </c>
    </row>
    <row r="44198" spans="8:8">
      <c r="H44198" t="s">
        <v>37363</v>
      </c>
    </row>
    <row r="44199" spans="8:8">
      <c r="H44199" t="s">
        <v>37364</v>
      </c>
    </row>
    <row r="44200" spans="8:8">
      <c r="H44200" t="s">
        <v>37365</v>
      </c>
    </row>
    <row r="44201" spans="8:8">
      <c r="H44201" t="s">
        <v>37366</v>
      </c>
    </row>
    <row r="44202" spans="8:8">
      <c r="H44202" t="s">
        <v>37367</v>
      </c>
    </row>
    <row r="44203" spans="8:8">
      <c r="H44203" t="s">
        <v>37368</v>
      </c>
    </row>
    <row r="44204" spans="8:8">
      <c r="H44204" t="s">
        <v>37369</v>
      </c>
    </row>
    <row r="44205" spans="8:8">
      <c r="H44205" t="s">
        <v>37370</v>
      </c>
    </row>
    <row r="44206" spans="8:8">
      <c r="H44206" t="s">
        <v>37371</v>
      </c>
    </row>
    <row r="44207" spans="8:8">
      <c r="H44207" t="s">
        <v>37372</v>
      </c>
    </row>
    <row r="44208" spans="8:8">
      <c r="H44208" t="s">
        <v>37373</v>
      </c>
    </row>
    <row r="44209" spans="6:8">
      <c r="H44209" t="s">
        <v>37374</v>
      </c>
    </row>
    <row r="44210" spans="6:8">
      <c r="H44210" t="s">
        <v>37375</v>
      </c>
    </row>
    <row r="44211" spans="6:8">
      <c r="H44211" t="s">
        <v>37376</v>
      </c>
    </row>
    <row r="44212" spans="6:8">
      <c r="H44212" t="s">
        <v>37377</v>
      </c>
    </row>
    <row r="44213" spans="6:8">
      <c r="H44213" t="s">
        <v>37378</v>
      </c>
    </row>
    <row r="44214" spans="6:8">
      <c r="H44214" t="s">
        <v>37379</v>
      </c>
    </row>
    <row r="44215" spans="6:8">
      <c r="F44215" t="s">
        <v>14650</v>
      </c>
      <c r="G44215" t="s">
        <v>18554</v>
      </c>
      <c r="H44215" t="s">
        <v>37380</v>
      </c>
    </row>
    <row r="44216" spans="6:8">
      <c r="H44216" t="s">
        <v>37381</v>
      </c>
    </row>
    <row r="44217" spans="6:8">
      <c r="H44217" t="s">
        <v>37382</v>
      </c>
    </row>
    <row r="44218" spans="6:8">
      <c r="H44218" t="s">
        <v>37383</v>
      </c>
    </row>
    <row r="44219" spans="6:8">
      <c r="H44219" t="s">
        <v>37384</v>
      </c>
    </row>
    <row r="44220" spans="6:8">
      <c r="F44220" t="s">
        <v>14662</v>
      </c>
      <c r="G44220" t="s">
        <v>17984</v>
      </c>
      <c r="H44220" t="s">
        <v>36762</v>
      </c>
    </row>
    <row r="44221" spans="6:8">
      <c r="H44221" t="s">
        <v>37385</v>
      </c>
    </row>
    <row r="44222" spans="6:8">
      <c r="F44222" t="s">
        <v>14663</v>
      </c>
      <c r="G44222" t="s">
        <v>18560</v>
      </c>
      <c r="H44222" t="s">
        <v>37386</v>
      </c>
    </row>
    <row r="44223" spans="6:8">
      <c r="F44223" t="s">
        <v>14464</v>
      </c>
      <c r="G44223" t="s">
        <v>18396</v>
      </c>
      <c r="H44223" t="s">
        <v>37387</v>
      </c>
    </row>
    <row r="44224" spans="6:8">
      <c r="H44224" t="s">
        <v>37388</v>
      </c>
    </row>
    <row r="44225" spans="1:8">
      <c r="F44225" t="s">
        <v>14664</v>
      </c>
      <c r="G44225" t="s">
        <v>18561</v>
      </c>
      <c r="H44225" t="s">
        <v>37389</v>
      </c>
    </row>
    <row r="44226" spans="1:8">
      <c r="F44226" t="s">
        <v>14665</v>
      </c>
      <c r="G44226" t="s">
        <v>18126</v>
      </c>
      <c r="H44226" t="s">
        <v>37390</v>
      </c>
    </row>
    <row r="44227" spans="1:8">
      <c r="A44227" t="s">
        <v>4288</v>
      </c>
      <c r="B44227">
        <f>HYPERLINK("https://android.googlesource.com/platform/cts/+/4a5478f1b121ee9c6652ea2370f10ed85ccf0652", "4a5478f1b121ee9c6652ea2370f10ed85ccf0652")</f>
        <v>0</v>
      </c>
      <c r="C44227">
        <f>HYPERLINK("https://android.googlesource.com/platform/cts/+/8746cf43fc15e57145b0b0fe82023ed8fb942f82", "8746cf43fc15e57145b0b0fe82023ed8fb942f82")</f>
        <v>0</v>
      </c>
      <c r="D44227" t="s">
        <v>5409</v>
      </c>
      <c r="E44227" t="s">
        <v>9959</v>
      </c>
      <c r="F44227" t="s">
        <v>14666</v>
      </c>
      <c r="G44227" t="s">
        <v>16838</v>
      </c>
      <c r="H44227" t="s">
        <v>37301</v>
      </c>
    </row>
    <row r="44228" spans="1:8">
      <c r="H44228" t="s">
        <v>35545</v>
      </c>
    </row>
    <row r="44229" spans="1:8">
      <c r="A44229" t="s">
        <v>4289</v>
      </c>
      <c r="B44229">
        <f>HYPERLINK("https://android.googlesource.com/platform/cts/+/c0bd8f59e55e1484d52cf2331fbbae9b344bce39", "c0bd8f59e55e1484d52cf2331fbbae9b344bce39")</f>
        <v>0</v>
      </c>
      <c r="C44229">
        <f>HYPERLINK("https://android.googlesource.com/platform/cts/+/fcefd7cc31eb8c7e66caea789ffc43531e9b4fcb", "fcefd7cc31eb8c7e66caea789ffc43531e9b4fcb")</f>
        <v>0</v>
      </c>
      <c r="D44229" t="s">
        <v>5610</v>
      </c>
      <c r="E44229" t="s">
        <v>9960</v>
      </c>
      <c r="F44229" t="s">
        <v>14434</v>
      </c>
      <c r="G44229" t="s">
        <v>18370</v>
      </c>
      <c r="H44229" t="s">
        <v>37391</v>
      </c>
    </row>
    <row r="44230" spans="1:8">
      <c r="H44230" t="s">
        <v>37392</v>
      </c>
    </row>
    <row r="44231" spans="1:8">
      <c r="H44231" t="s">
        <v>37393</v>
      </c>
    </row>
    <row r="44232" spans="1:8">
      <c r="H44232" t="s">
        <v>37394</v>
      </c>
    </row>
    <row r="44233" spans="1:8">
      <c r="A44233" t="s">
        <v>4290</v>
      </c>
      <c r="B44233">
        <f>HYPERLINK("https://android.googlesource.com/platform/cts/+/6891a89454eac3e86b7d7b09d8d8f48955e39e0d", "6891a89454eac3e86b7d7b09d8d8f48955e39e0d")</f>
        <v>0</v>
      </c>
      <c r="C44233">
        <f>HYPERLINK("https://android.googlesource.com/platform/cts/+/445a77d404624b63e4f3272c57cda1a8384b1d61", "445a77d404624b63e4f3272c57cda1a8384b1d61")</f>
        <v>0</v>
      </c>
      <c r="D44233" t="s">
        <v>5673</v>
      </c>
      <c r="E44233" t="s">
        <v>9961</v>
      </c>
      <c r="F44233" t="s">
        <v>14667</v>
      </c>
      <c r="G44233" t="s">
        <v>18562</v>
      </c>
      <c r="H44233" t="s">
        <v>18829</v>
      </c>
    </row>
    <row r="44234" spans="1:8">
      <c r="H44234" t="s">
        <v>37395</v>
      </c>
    </row>
    <row r="44235" spans="1:8">
      <c r="H44235" t="s">
        <v>37396</v>
      </c>
    </row>
    <row r="44236" spans="1:8">
      <c r="H44236" t="s">
        <v>37397</v>
      </c>
    </row>
    <row r="44237" spans="1:8">
      <c r="H44237" t="s">
        <v>37398</v>
      </c>
    </row>
    <row r="44238" spans="1:8">
      <c r="H44238" t="s">
        <v>37399</v>
      </c>
    </row>
    <row r="44239" spans="1:8">
      <c r="H44239" t="s">
        <v>37400</v>
      </c>
    </row>
    <row r="44240" spans="1:8">
      <c r="H44240" t="s">
        <v>37401</v>
      </c>
    </row>
    <row r="44241" spans="6:8">
      <c r="H44241" t="s">
        <v>37402</v>
      </c>
    </row>
    <row r="44242" spans="6:8">
      <c r="H44242" t="s">
        <v>37403</v>
      </c>
    </row>
    <row r="44243" spans="6:8">
      <c r="H44243" t="s">
        <v>37404</v>
      </c>
    </row>
    <row r="44244" spans="6:8">
      <c r="H44244" t="s">
        <v>37405</v>
      </c>
    </row>
    <row r="44245" spans="6:8">
      <c r="F44245" t="s">
        <v>14668</v>
      </c>
      <c r="G44245" t="s">
        <v>18563</v>
      </c>
      <c r="H44245" t="s">
        <v>20083</v>
      </c>
    </row>
    <row r="44246" spans="6:8">
      <c r="H44246" t="s">
        <v>26786</v>
      </c>
    </row>
    <row r="44247" spans="6:8">
      <c r="H44247" t="s">
        <v>29835</v>
      </c>
    </row>
    <row r="44248" spans="6:8">
      <c r="H44248" t="s">
        <v>37406</v>
      </c>
    </row>
    <row r="44249" spans="6:8">
      <c r="H44249" t="s">
        <v>26262</v>
      </c>
    </row>
    <row r="44250" spans="6:8">
      <c r="H44250" t="s">
        <v>37407</v>
      </c>
    </row>
    <row r="44251" spans="6:8">
      <c r="F44251" t="s">
        <v>14669</v>
      </c>
      <c r="G44251" t="s">
        <v>18564</v>
      </c>
      <c r="H44251" t="s">
        <v>30928</v>
      </c>
    </row>
    <row r="44252" spans="6:8">
      <c r="H44252" t="s">
        <v>37408</v>
      </c>
    </row>
    <row r="44253" spans="6:8">
      <c r="H44253" t="s">
        <v>37409</v>
      </c>
    </row>
    <row r="44254" spans="6:8">
      <c r="H44254" t="s">
        <v>37410</v>
      </c>
    </row>
    <row r="44255" spans="6:8">
      <c r="H44255" t="s">
        <v>37411</v>
      </c>
    </row>
    <row r="44256" spans="6:8">
      <c r="H44256" t="s">
        <v>37412</v>
      </c>
    </row>
    <row r="44257" spans="6:8">
      <c r="H44257" t="s">
        <v>37413</v>
      </c>
    </row>
    <row r="44258" spans="6:8">
      <c r="H44258" t="s">
        <v>37414</v>
      </c>
    </row>
    <row r="44259" spans="6:8">
      <c r="F44259" t="s">
        <v>14670</v>
      </c>
      <c r="G44259" t="s">
        <v>18565</v>
      </c>
      <c r="H44259" t="s">
        <v>30928</v>
      </c>
    </row>
    <row r="44260" spans="6:8">
      <c r="H44260" t="s">
        <v>37415</v>
      </c>
    </row>
    <row r="44261" spans="6:8">
      <c r="H44261" t="s">
        <v>37416</v>
      </c>
    </row>
    <row r="44262" spans="6:8">
      <c r="H44262" t="s">
        <v>18930</v>
      </c>
    </row>
    <row r="44263" spans="6:8">
      <c r="H44263" t="s">
        <v>19372</v>
      </c>
    </row>
    <row r="44264" spans="6:8">
      <c r="H44264" t="s">
        <v>34824</v>
      </c>
    </row>
    <row r="44265" spans="6:8">
      <c r="F44265" t="s">
        <v>14671</v>
      </c>
      <c r="G44265" t="s">
        <v>18566</v>
      </c>
      <c r="H44265" t="s">
        <v>30928</v>
      </c>
    </row>
    <row r="44266" spans="6:8">
      <c r="H44266" t="s">
        <v>37417</v>
      </c>
    </row>
    <row r="44267" spans="6:8">
      <c r="H44267" t="s">
        <v>37418</v>
      </c>
    </row>
    <row r="44268" spans="6:8">
      <c r="H44268" t="s">
        <v>19538</v>
      </c>
    </row>
    <row r="44269" spans="6:8">
      <c r="H44269" t="s">
        <v>18930</v>
      </c>
    </row>
    <row r="44270" spans="6:8">
      <c r="H44270" t="s">
        <v>19372</v>
      </c>
    </row>
    <row r="44271" spans="6:8">
      <c r="H44271" t="s">
        <v>34824</v>
      </c>
    </row>
    <row r="44272" spans="6:8">
      <c r="F44272" t="s">
        <v>14672</v>
      </c>
      <c r="G44272" t="s">
        <v>18567</v>
      </c>
      <c r="H44272" t="s">
        <v>30928</v>
      </c>
    </row>
    <row r="44273" spans="6:8">
      <c r="H44273" t="s">
        <v>37419</v>
      </c>
    </row>
    <row r="44274" spans="6:8">
      <c r="H44274" t="s">
        <v>37420</v>
      </c>
    </row>
    <row r="44275" spans="6:8">
      <c r="H44275" t="s">
        <v>18930</v>
      </c>
    </row>
    <row r="44276" spans="6:8">
      <c r="H44276" t="s">
        <v>19372</v>
      </c>
    </row>
    <row r="44277" spans="6:8">
      <c r="H44277" t="s">
        <v>34824</v>
      </c>
    </row>
    <row r="44278" spans="6:8">
      <c r="F44278" t="s">
        <v>14673</v>
      </c>
      <c r="G44278" t="s">
        <v>18568</v>
      </c>
      <c r="H44278" t="s">
        <v>30928</v>
      </c>
    </row>
    <row r="44279" spans="6:8">
      <c r="H44279" t="s">
        <v>37421</v>
      </c>
    </row>
    <row r="44280" spans="6:8">
      <c r="H44280" t="s">
        <v>37409</v>
      </c>
    </row>
    <row r="44281" spans="6:8">
      <c r="H44281" t="s">
        <v>37410</v>
      </c>
    </row>
    <row r="44282" spans="6:8">
      <c r="H44282" t="s">
        <v>37411</v>
      </c>
    </row>
    <row r="44283" spans="6:8">
      <c r="H44283" t="s">
        <v>37412</v>
      </c>
    </row>
    <row r="44284" spans="6:8">
      <c r="H44284" t="s">
        <v>37413</v>
      </c>
    </row>
    <row r="44285" spans="6:8">
      <c r="H44285" t="s">
        <v>37414</v>
      </c>
    </row>
    <row r="44286" spans="6:8">
      <c r="F44286" t="s">
        <v>14674</v>
      </c>
      <c r="G44286" t="s">
        <v>18569</v>
      </c>
      <c r="H44286" t="s">
        <v>30928</v>
      </c>
    </row>
    <row r="44287" spans="6:8">
      <c r="H44287" t="s">
        <v>37422</v>
      </c>
    </row>
    <row r="44288" spans="6:8">
      <c r="H44288" t="s">
        <v>37416</v>
      </c>
    </row>
    <row r="44289" spans="6:8">
      <c r="H44289" t="s">
        <v>18930</v>
      </c>
    </row>
    <row r="44290" spans="6:8">
      <c r="H44290" t="s">
        <v>19372</v>
      </c>
    </row>
    <row r="44291" spans="6:8">
      <c r="H44291" t="s">
        <v>34824</v>
      </c>
    </row>
    <row r="44292" spans="6:8">
      <c r="F44292" t="s">
        <v>14675</v>
      </c>
      <c r="G44292" t="s">
        <v>18570</v>
      </c>
      <c r="H44292" t="s">
        <v>30928</v>
      </c>
    </row>
    <row r="44293" spans="6:8">
      <c r="H44293" t="s">
        <v>37423</v>
      </c>
    </row>
    <row r="44294" spans="6:8">
      <c r="H44294" t="s">
        <v>37418</v>
      </c>
    </row>
    <row r="44295" spans="6:8">
      <c r="H44295" t="s">
        <v>19538</v>
      </c>
    </row>
    <row r="44296" spans="6:8">
      <c r="H44296" t="s">
        <v>18930</v>
      </c>
    </row>
    <row r="44297" spans="6:8">
      <c r="H44297" t="s">
        <v>19372</v>
      </c>
    </row>
    <row r="44298" spans="6:8">
      <c r="H44298" t="s">
        <v>34824</v>
      </c>
    </row>
    <row r="44299" spans="6:8">
      <c r="F44299" t="s">
        <v>14676</v>
      </c>
      <c r="G44299" t="s">
        <v>18571</v>
      </c>
      <c r="H44299" t="s">
        <v>30928</v>
      </c>
    </row>
    <row r="44300" spans="6:8">
      <c r="H44300" t="s">
        <v>37424</v>
      </c>
    </row>
    <row r="44301" spans="6:8">
      <c r="H44301" t="s">
        <v>37420</v>
      </c>
    </row>
    <row r="44302" spans="6:8">
      <c r="H44302" t="s">
        <v>18930</v>
      </c>
    </row>
    <row r="44303" spans="6:8">
      <c r="H44303" t="s">
        <v>19372</v>
      </c>
    </row>
    <row r="44304" spans="6:8">
      <c r="H44304" t="s">
        <v>34824</v>
      </c>
    </row>
    <row r="44305" spans="1:8">
      <c r="H44305" t="s">
        <v>37425</v>
      </c>
    </row>
    <row r="44306" spans="1:8">
      <c r="H44306" t="s">
        <v>37426</v>
      </c>
    </row>
    <row r="44307" spans="1:8">
      <c r="A44307" t="s">
        <v>4293</v>
      </c>
      <c r="B44307">
        <f>HYPERLINK("https://android.googlesource.com/platform/cts/+/3bb215dcaab08cc863eef5424b83f05c9f7ac402", "3bb215dcaab08cc863eef5424b83f05c9f7ac402")</f>
        <v>0</v>
      </c>
      <c r="C44307">
        <f>HYPERLINK("https://android.googlesource.com/platform/cts/+/f053fa4cf5d6b95d585745967f9fb4b564cd254a", "f053fa4cf5d6b95d585745967f9fb4b564cd254a")</f>
        <v>0</v>
      </c>
      <c r="D44307" t="s">
        <v>5674</v>
      </c>
      <c r="E44307" t="s">
        <v>9964</v>
      </c>
      <c r="F44307" t="s">
        <v>14677</v>
      </c>
      <c r="G44307" t="s">
        <v>18533</v>
      </c>
      <c r="H44307" t="s">
        <v>37427</v>
      </c>
    </row>
    <row r="44308" spans="1:8">
      <c r="A44308" t="s">
        <v>4294</v>
      </c>
      <c r="B44308">
        <f>HYPERLINK("https://android.googlesource.com/platform/cts/+/5c3ede8306be0aefe3a5651f4bf1b6af58b57c0c", "5c3ede8306be0aefe3a5651f4bf1b6af58b57c0c")</f>
        <v>0</v>
      </c>
      <c r="C44308">
        <f>HYPERLINK("https://android.googlesource.com/platform/cts/+/a78dabbdef44377ccdbed97981bd57bf1d00c347", "a78dabbdef44377ccdbed97981bd57bf1d00c347")</f>
        <v>0</v>
      </c>
      <c r="D44308" t="s">
        <v>5670</v>
      </c>
      <c r="E44308" t="s">
        <v>9965</v>
      </c>
      <c r="F44308" t="s">
        <v>14678</v>
      </c>
      <c r="G44308" t="s">
        <v>18572</v>
      </c>
      <c r="H44308" t="s">
        <v>37428</v>
      </c>
    </row>
    <row r="44309" spans="1:8">
      <c r="H44309" t="s">
        <v>37429</v>
      </c>
    </row>
    <row r="44310" spans="1:8">
      <c r="H44310" t="s">
        <v>37430</v>
      </c>
    </row>
    <row r="44311" spans="1:8">
      <c r="H44311" t="s">
        <v>37431</v>
      </c>
    </row>
    <row r="44312" spans="1:8">
      <c r="F44312" t="s">
        <v>14603</v>
      </c>
      <c r="G44312" t="s">
        <v>18519</v>
      </c>
      <c r="H44312" t="s">
        <v>37428</v>
      </c>
    </row>
    <row r="44313" spans="1:8">
      <c r="H44313" t="s">
        <v>37429</v>
      </c>
    </row>
    <row r="44314" spans="1:8">
      <c r="H44314" t="s">
        <v>37430</v>
      </c>
    </row>
    <row r="44315" spans="1:8">
      <c r="H44315" t="s">
        <v>37431</v>
      </c>
    </row>
    <row r="44316" spans="1:8">
      <c r="A44316" t="s">
        <v>4297</v>
      </c>
      <c r="B44316">
        <f>HYPERLINK("https://android.googlesource.com/platform/cts/+/f86a88f62bb8f22de60202cd2932d41da2974024", "f86a88f62bb8f22de60202cd2932d41da2974024")</f>
        <v>0</v>
      </c>
      <c r="C44316">
        <f>HYPERLINK("https://android.googlesource.com/platform/cts/+/33ad3e3be507eb5dc60d73acc006fc4cb73b58f7", "33ad3e3be507eb5dc60d73acc006fc4cb73b58f7")</f>
        <v>0</v>
      </c>
      <c r="D44316" t="s">
        <v>5675</v>
      </c>
      <c r="E44316" t="s">
        <v>9968</v>
      </c>
      <c r="F44316" t="s">
        <v>10715</v>
      </c>
      <c r="G44316" t="s">
        <v>15114</v>
      </c>
      <c r="H44316" t="s">
        <v>37432</v>
      </c>
    </row>
    <row r="44317" spans="1:8">
      <c r="A44317" t="s">
        <v>4300</v>
      </c>
      <c r="B44317">
        <f>HYPERLINK("https://android.googlesource.com/platform/cts/+/cda88f95929b2109437ab16e5a00142f784678fe", "cda88f95929b2109437ab16e5a00142f784678fe")</f>
        <v>0</v>
      </c>
      <c r="C44317">
        <f>HYPERLINK("https://android.googlesource.com/platform/cts/+/f1b0d10eb9fd0ba811e2730928c3167aaf1c180e", "f1b0d10eb9fd0ba811e2730928c3167aaf1c180e")</f>
        <v>0</v>
      </c>
      <c r="D44317" t="s">
        <v>5676</v>
      </c>
      <c r="E44317" t="s">
        <v>9971</v>
      </c>
      <c r="F44317" t="s">
        <v>14679</v>
      </c>
      <c r="G44317" t="s">
        <v>18573</v>
      </c>
      <c r="H44317" t="s">
        <v>37433</v>
      </c>
    </row>
    <row r="44318" spans="1:8">
      <c r="F44318" t="s">
        <v>14680</v>
      </c>
      <c r="G44318" t="s">
        <v>18574</v>
      </c>
      <c r="H44318" t="s">
        <v>37433</v>
      </c>
    </row>
    <row r="44319" spans="1:8">
      <c r="F44319" t="s">
        <v>13912</v>
      </c>
      <c r="G44319" t="s">
        <v>17949</v>
      </c>
      <c r="H44319" t="s">
        <v>37434</v>
      </c>
    </row>
    <row r="44320" spans="1:8">
      <c r="H44320" t="s">
        <v>37435</v>
      </c>
    </row>
    <row r="44321" spans="1:8">
      <c r="H44321" t="s">
        <v>37436</v>
      </c>
    </row>
    <row r="44322" spans="1:8">
      <c r="H44322" t="s">
        <v>37437</v>
      </c>
    </row>
    <row r="44323" spans="1:8">
      <c r="A44323" t="s">
        <v>4302</v>
      </c>
      <c r="B44323">
        <f>HYPERLINK("https://android.googlesource.com/platform/cts/+/1037d0c4ff94272e92163fe0a34c5d2d4e1df426", "1037d0c4ff94272e92163fe0a34c5d2d4e1df426")</f>
        <v>0</v>
      </c>
      <c r="C44323">
        <f>HYPERLINK("https://android.googlesource.com/platform/cts/+/24278a9a5563b694edeaf2714c0cb309048994dc", "24278a9a5563b694edeaf2714c0cb309048994dc")</f>
        <v>0</v>
      </c>
      <c r="D44323" t="s">
        <v>5409</v>
      </c>
      <c r="E44323" t="s">
        <v>9973</v>
      </c>
      <c r="F44323" t="s">
        <v>14435</v>
      </c>
      <c r="G44323" t="s">
        <v>18371</v>
      </c>
      <c r="H44323" t="s">
        <v>35886</v>
      </c>
    </row>
    <row r="44324" spans="1:8">
      <c r="H44324" t="s">
        <v>35887</v>
      </c>
    </row>
    <row r="44325" spans="1:8">
      <c r="H44325" t="s">
        <v>35888</v>
      </c>
    </row>
    <row r="44326" spans="1:8">
      <c r="H44326" t="s">
        <v>37438</v>
      </c>
    </row>
    <row r="44327" spans="1:8">
      <c r="H44327" t="s">
        <v>37439</v>
      </c>
    </row>
    <row r="44328" spans="1:8">
      <c r="F44328" t="s">
        <v>14415</v>
      </c>
      <c r="G44328" t="s">
        <v>18353</v>
      </c>
      <c r="H44328" t="s">
        <v>37440</v>
      </c>
    </row>
    <row r="44329" spans="1:8">
      <c r="H44329" t="s">
        <v>37441</v>
      </c>
    </row>
    <row r="44330" spans="1:8">
      <c r="H44330" t="s">
        <v>37442</v>
      </c>
    </row>
    <row r="44331" spans="1:8">
      <c r="H44331" t="s">
        <v>37443</v>
      </c>
    </row>
    <row r="44332" spans="1:8">
      <c r="H44332" t="s">
        <v>37444</v>
      </c>
    </row>
    <row r="44333" spans="1:8">
      <c r="H44333" t="s">
        <v>37445</v>
      </c>
    </row>
    <row r="44334" spans="1:8">
      <c r="H44334" t="s">
        <v>37446</v>
      </c>
    </row>
    <row r="44335" spans="1:8">
      <c r="H44335" t="s">
        <v>37447</v>
      </c>
    </row>
    <row r="44336" spans="1:8">
      <c r="H44336" t="s">
        <v>37448</v>
      </c>
    </row>
    <row r="44337" spans="1:8">
      <c r="H44337" t="s">
        <v>37449</v>
      </c>
    </row>
    <row r="44338" spans="1:8">
      <c r="H44338" t="s">
        <v>37450</v>
      </c>
    </row>
    <row r="44339" spans="1:8">
      <c r="H44339" t="s">
        <v>37451</v>
      </c>
    </row>
    <row r="44340" spans="1:8">
      <c r="H44340" t="s">
        <v>37452</v>
      </c>
    </row>
    <row r="44341" spans="1:8">
      <c r="H44341" t="s">
        <v>37453</v>
      </c>
    </row>
    <row r="44342" spans="1:8">
      <c r="H44342" t="s">
        <v>37454</v>
      </c>
    </row>
    <row r="44343" spans="1:8">
      <c r="H44343" t="s">
        <v>37455</v>
      </c>
    </row>
    <row r="44344" spans="1:8">
      <c r="H44344" t="s">
        <v>37456</v>
      </c>
    </row>
    <row r="44345" spans="1:8">
      <c r="H44345" t="s">
        <v>37457</v>
      </c>
    </row>
    <row r="44346" spans="1:8">
      <c r="A44346" t="s">
        <v>4303</v>
      </c>
      <c r="B44346">
        <f>HYPERLINK("https://android.googlesource.com/platform/cts/+/84ab05f64b378e5a62a3460717c92d8a22c3a2e6", "84ab05f64b378e5a62a3460717c92d8a22c3a2e6")</f>
        <v>0</v>
      </c>
      <c r="C44346">
        <f>HYPERLINK("https://android.googlesource.com/platform/cts/+/e50529eaa641eff2700a2190b7d4c6d2ba5232a0", "e50529eaa641eff2700a2190b7d4c6d2ba5232a0")</f>
        <v>0</v>
      </c>
      <c r="D44346" t="s">
        <v>5673</v>
      </c>
      <c r="E44346" t="s">
        <v>9974</v>
      </c>
      <c r="F44346" t="s">
        <v>14681</v>
      </c>
      <c r="G44346" t="s">
        <v>18575</v>
      </c>
      <c r="H44346" t="s">
        <v>37458</v>
      </c>
    </row>
    <row r="44347" spans="1:8">
      <c r="H44347" t="s">
        <v>19743</v>
      </c>
    </row>
    <row r="44348" spans="1:8">
      <c r="H44348" t="s">
        <v>37459</v>
      </c>
    </row>
    <row r="44349" spans="1:8">
      <c r="A44349" t="s">
        <v>4304</v>
      </c>
      <c r="B44349">
        <f>HYPERLINK("https://android.googlesource.com/platform/cts/+/a29fefe06bcc3fe0aa647a412baf862926916efb", "a29fefe06bcc3fe0aa647a412baf862926916efb")</f>
        <v>0</v>
      </c>
      <c r="C44349">
        <f>HYPERLINK("https://android.googlesource.com/platform/cts/+/1037d0c4ff94272e92163fe0a34c5d2d4e1df426", "1037d0c4ff94272e92163fe0a34c5d2d4e1df426")</f>
        <v>0</v>
      </c>
      <c r="D44349" t="s">
        <v>5409</v>
      </c>
      <c r="E44349" t="s">
        <v>9975</v>
      </c>
      <c r="F44349" t="s">
        <v>14682</v>
      </c>
      <c r="G44349" t="s">
        <v>18576</v>
      </c>
      <c r="H44349" t="s">
        <v>37460</v>
      </c>
    </row>
    <row r="44350" spans="1:8">
      <c r="F44350" t="s">
        <v>14683</v>
      </c>
      <c r="G44350" t="s">
        <v>18499</v>
      </c>
      <c r="H44350" t="s">
        <v>18954</v>
      </c>
    </row>
    <row r="44351" spans="1:8">
      <c r="A44351" t="s">
        <v>4305</v>
      </c>
      <c r="B44351">
        <f>HYPERLINK("https://android.googlesource.com/platform/cts/+/c8ad0bfd00b8af7da8ec21c9fffb8ac5067eca25", "c8ad0bfd00b8af7da8ec21c9fffb8ac5067eca25")</f>
        <v>0</v>
      </c>
      <c r="C44351">
        <f>HYPERLINK("https://android.googlesource.com/platform/cts/+/e9a90d4104c283c003086afec8f84f0ab93c41a0", "e9a90d4104c283c003086afec8f84f0ab93c41a0")</f>
        <v>0</v>
      </c>
      <c r="D44351" t="s">
        <v>5478</v>
      </c>
      <c r="E44351" t="s">
        <v>9976</v>
      </c>
      <c r="F44351" t="s">
        <v>14633</v>
      </c>
      <c r="G44351" t="s">
        <v>18543</v>
      </c>
      <c r="H44351" t="s">
        <v>37461</v>
      </c>
    </row>
    <row r="44352" spans="1:8">
      <c r="A44352" t="s">
        <v>4306</v>
      </c>
      <c r="B44352">
        <f>HYPERLINK("https://android.googlesource.com/platform/cts/+/a9ffe30f5c6e432bdac4024019f38a94478b1c21", "a9ffe30f5c6e432bdac4024019f38a94478b1c21")</f>
        <v>0</v>
      </c>
      <c r="C44352">
        <f>HYPERLINK("https://android.googlesource.com/platform/cts/+/e13770a599867f5e73ba059222880d418790f69a", "e13770a599867f5e73ba059222880d418790f69a")</f>
        <v>0</v>
      </c>
      <c r="D44352" t="s">
        <v>5409</v>
      </c>
      <c r="E44352" t="s">
        <v>9977</v>
      </c>
      <c r="F44352" t="s">
        <v>14684</v>
      </c>
      <c r="G44352" t="s">
        <v>18577</v>
      </c>
      <c r="H44352" t="s">
        <v>19981</v>
      </c>
    </row>
    <row r="44353" spans="1:8">
      <c r="A44353" t="s">
        <v>4307</v>
      </c>
      <c r="B44353">
        <f>HYPERLINK("https://android.googlesource.com/platform/cts/+/966f8171b9baef889ff9aef096174a42d7263348", "966f8171b9baef889ff9aef096174a42d7263348")</f>
        <v>0</v>
      </c>
      <c r="C44353">
        <f>HYPERLINK("https://android.googlesource.com/platform/cts/+/2412d99bff0623939582be5b8022d616307da6d8", "2412d99bff0623939582be5b8022d616307da6d8")</f>
        <v>0</v>
      </c>
      <c r="D44353" t="s">
        <v>5409</v>
      </c>
      <c r="E44353" t="s">
        <v>9978</v>
      </c>
      <c r="F44353" t="s">
        <v>13815</v>
      </c>
      <c r="G44353" t="s">
        <v>17862</v>
      </c>
      <c r="H44353" t="s">
        <v>37462</v>
      </c>
    </row>
    <row r="44354" spans="1:8">
      <c r="H44354" t="s">
        <v>37463</v>
      </c>
    </row>
    <row r="44355" spans="1:8">
      <c r="H44355" t="s">
        <v>37464</v>
      </c>
    </row>
    <row r="44356" spans="1:8">
      <c r="H44356" t="s">
        <v>37465</v>
      </c>
    </row>
    <row r="44357" spans="1:8">
      <c r="H44357" t="s">
        <v>37466</v>
      </c>
    </row>
    <row r="44358" spans="1:8">
      <c r="H44358" t="s">
        <v>37467</v>
      </c>
    </row>
    <row r="44359" spans="1:8">
      <c r="H44359" t="s">
        <v>37468</v>
      </c>
    </row>
    <row r="44360" spans="1:8">
      <c r="H44360" t="s">
        <v>37469</v>
      </c>
    </row>
    <row r="44361" spans="1:8">
      <c r="H44361" t="s">
        <v>33376</v>
      </c>
    </row>
    <row r="44362" spans="1:8">
      <c r="H44362" t="s">
        <v>37470</v>
      </c>
    </row>
    <row r="44363" spans="1:8">
      <c r="H44363" t="s">
        <v>37471</v>
      </c>
    </row>
    <row r="44364" spans="1:8">
      <c r="H44364" t="s">
        <v>37472</v>
      </c>
    </row>
    <row r="44365" spans="1:8">
      <c r="H44365" t="s">
        <v>37473</v>
      </c>
    </row>
    <row r="44366" spans="1:8">
      <c r="F44366" t="s">
        <v>12743</v>
      </c>
      <c r="G44366" t="s">
        <v>16935</v>
      </c>
      <c r="H44366" t="s">
        <v>25778</v>
      </c>
    </row>
    <row r="44367" spans="1:8">
      <c r="H44367" t="s">
        <v>37474</v>
      </c>
    </row>
    <row r="44368" spans="1:8">
      <c r="H44368" t="s">
        <v>37475</v>
      </c>
    </row>
    <row r="44369" spans="1:8">
      <c r="H44369" t="s">
        <v>37476</v>
      </c>
    </row>
    <row r="44370" spans="1:8">
      <c r="H44370" t="s">
        <v>37469</v>
      </c>
    </row>
    <row r="44371" spans="1:8">
      <c r="F44371" t="s">
        <v>13229</v>
      </c>
      <c r="G44371" t="s">
        <v>17370</v>
      </c>
      <c r="H44371" t="s">
        <v>37477</v>
      </c>
    </row>
    <row r="44372" spans="1:8">
      <c r="H44372" t="s">
        <v>37475</v>
      </c>
    </row>
    <row r="44373" spans="1:8">
      <c r="H44373" t="s">
        <v>37469</v>
      </c>
    </row>
    <row r="44374" spans="1:8">
      <c r="H44374" t="s">
        <v>25778</v>
      </c>
    </row>
    <row r="44375" spans="1:8">
      <c r="H44375" t="s">
        <v>37478</v>
      </c>
    </row>
    <row r="44376" spans="1:8">
      <c r="H44376" t="s">
        <v>37479</v>
      </c>
    </row>
    <row r="44377" spans="1:8">
      <c r="F44377" t="s">
        <v>13136</v>
      </c>
      <c r="G44377" t="s">
        <v>17293</v>
      </c>
      <c r="H44377" t="s">
        <v>25778</v>
      </c>
    </row>
    <row r="44378" spans="1:8">
      <c r="A44378" t="s">
        <v>4308</v>
      </c>
      <c r="B44378">
        <f>HYPERLINK("https://android.googlesource.com/platform/cts/+/4ff50ba3bd079f37026c946d862c306acd3728f9", "4ff50ba3bd079f37026c946d862c306acd3728f9")</f>
        <v>0</v>
      </c>
      <c r="C44378">
        <f>HYPERLINK("https://android.googlesource.com/platform/cts/+/ba9cff808100137c310be6800e63bfb2886c26c1", "ba9cff808100137c310be6800e63bfb2886c26c1")</f>
        <v>0</v>
      </c>
      <c r="D44378" t="s">
        <v>5673</v>
      </c>
      <c r="E44378" t="s">
        <v>9979</v>
      </c>
      <c r="F44378" t="s">
        <v>14685</v>
      </c>
      <c r="G44378" t="s">
        <v>18575</v>
      </c>
      <c r="H44378" t="s">
        <v>37480</v>
      </c>
    </row>
    <row r="44379" spans="1:8">
      <c r="H44379" t="s">
        <v>19743</v>
      </c>
    </row>
    <row r="44380" spans="1:8">
      <c r="H44380" t="s">
        <v>18893</v>
      </c>
    </row>
    <row r="44381" spans="1:8">
      <c r="H44381" t="s">
        <v>37459</v>
      </c>
    </row>
    <row r="44382" spans="1:8">
      <c r="A44382" t="s">
        <v>4310</v>
      </c>
      <c r="B44382">
        <f>HYPERLINK("https://android.googlesource.com/platform/cts/+/b4d225ea634b26347abc1337446f0ab6adbc4949", "b4d225ea634b26347abc1337446f0ab6adbc4949")</f>
        <v>0</v>
      </c>
      <c r="C44382">
        <f>HYPERLINK("https://android.googlesource.com/platform/cts/+/b0082c2ed4828ccd4313c5005f1f5da51b82e0c7", "b0082c2ed4828ccd4313c5005f1f5da51b82e0c7")</f>
        <v>0</v>
      </c>
      <c r="D44382" t="s">
        <v>5677</v>
      </c>
      <c r="E44382" t="s">
        <v>9981</v>
      </c>
      <c r="F44382" t="s">
        <v>13165</v>
      </c>
      <c r="G44382" t="s">
        <v>17315</v>
      </c>
      <c r="H44382" t="s">
        <v>37481</v>
      </c>
    </row>
    <row r="44383" spans="1:8">
      <c r="H44383" t="s">
        <v>37482</v>
      </c>
    </row>
    <row r="44384" spans="1:8">
      <c r="H44384" t="s">
        <v>37483</v>
      </c>
    </row>
    <row r="44385" spans="1:8">
      <c r="H44385" t="s">
        <v>37484</v>
      </c>
    </row>
    <row r="44386" spans="1:8">
      <c r="H44386" t="s">
        <v>37485</v>
      </c>
    </row>
    <row r="44387" spans="1:8">
      <c r="H44387" t="s">
        <v>37486</v>
      </c>
    </row>
    <row r="44388" spans="1:8">
      <c r="A44388" t="s">
        <v>4311</v>
      </c>
      <c r="B44388">
        <f>HYPERLINK("https://android.googlesource.com/platform/cts/+/4999a256fdaa0539b83f0a961b9c2cf1b10616d8", "4999a256fdaa0539b83f0a961b9c2cf1b10616d8")</f>
        <v>0</v>
      </c>
      <c r="C44388">
        <f>HYPERLINK("https://android.googlesource.com/platform/cts/+/224b0ea838b9995e1434f86eb87d2160f155799c", "224b0ea838b9995e1434f86eb87d2160f155799c")</f>
        <v>0</v>
      </c>
      <c r="D44388" t="s">
        <v>5366</v>
      </c>
      <c r="E44388" t="s">
        <v>9982</v>
      </c>
      <c r="F44388" t="s">
        <v>14686</v>
      </c>
      <c r="G44388" t="s">
        <v>16571</v>
      </c>
      <c r="H44388" t="s">
        <v>37487</v>
      </c>
    </row>
    <row r="44389" spans="1:8">
      <c r="A44389" t="s">
        <v>4312</v>
      </c>
      <c r="B44389">
        <f>HYPERLINK("https://android.googlesource.com/platform/cts/+/79511e16e638d5167d14b3b5585f7d69ef9264c9", "79511e16e638d5167d14b3b5585f7d69ef9264c9")</f>
        <v>0</v>
      </c>
      <c r="C44389">
        <f>HYPERLINK("https://android.googlesource.com/platform/cts/+/1aa123151cd9000ddcbd5dedf50526b412be91e3", "1aa123151cd9000ddcbd5dedf50526b412be91e3")</f>
        <v>0</v>
      </c>
      <c r="D44389" t="s">
        <v>5597</v>
      </c>
      <c r="E44389" t="s">
        <v>9983</v>
      </c>
      <c r="F44389" t="s">
        <v>14051</v>
      </c>
      <c r="G44389" t="s">
        <v>18050</v>
      </c>
      <c r="H44389" t="s">
        <v>29587</v>
      </c>
    </row>
    <row r="44390" spans="1:8">
      <c r="H44390" t="s">
        <v>29587</v>
      </c>
    </row>
    <row r="44391" spans="1:8">
      <c r="H44391" t="s">
        <v>33483</v>
      </c>
    </row>
    <row r="44392" spans="1:8">
      <c r="H44392" t="s">
        <v>18829</v>
      </c>
    </row>
    <row r="44393" spans="1:8">
      <c r="H44393" t="s">
        <v>19982</v>
      </c>
    </row>
    <row r="44394" spans="1:8">
      <c r="H44394" t="s">
        <v>37211</v>
      </c>
    </row>
    <row r="44395" spans="1:8">
      <c r="H44395" t="s">
        <v>37212</v>
      </c>
    </row>
    <row r="44396" spans="1:8">
      <c r="H44396" t="s">
        <v>37213</v>
      </c>
    </row>
    <row r="44397" spans="1:8">
      <c r="H44397" t="s">
        <v>37214</v>
      </c>
    </row>
    <row r="44398" spans="1:8">
      <c r="H44398" t="s">
        <v>37215</v>
      </c>
    </row>
    <row r="44399" spans="1:8">
      <c r="H44399" t="s">
        <v>37216</v>
      </c>
    </row>
    <row r="44400" spans="1:8">
      <c r="H44400" t="s">
        <v>37217</v>
      </c>
    </row>
    <row r="44401" spans="6:8">
      <c r="H44401" t="s">
        <v>37218</v>
      </c>
    </row>
    <row r="44402" spans="6:8">
      <c r="H44402" t="s">
        <v>37219</v>
      </c>
    </row>
    <row r="44403" spans="6:8">
      <c r="H44403" t="s">
        <v>37220</v>
      </c>
    </row>
    <row r="44404" spans="6:8">
      <c r="H44404" t="s">
        <v>37221</v>
      </c>
    </row>
    <row r="44405" spans="6:8">
      <c r="H44405" t="s">
        <v>37222</v>
      </c>
    </row>
    <row r="44406" spans="6:8">
      <c r="H44406" t="s">
        <v>37223</v>
      </c>
    </row>
    <row r="44407" spans="6:8">
      <c r="H44407" t="s">
        <v>37224</v>
      </c>
    </row>
    <row r="44408" spans="6:8">
      <c r="H44408" t="s">
        <v>25960</v>
      </c>
    </row>
    <row r="44409" spans="6:8">
      <c r="H44409" t="s">
        <v>37225</v>
      </c>
    </row>
    <row r="44410" spans="6:8">
      <c r="H44410" t="s">
        <v>29898</v>
      </c>
    </row>
    <row r="44411" spans="6:8">
      <c r="F44411" t="s">
        <v>14640</v>
      </c>
      <c r="G44411" t="s">
        <v>18086</v>
      </c>
      <c r="H44411" t="s">
        <v>33378</v>
      </c>
    </row>
    <row r="44412" spans="6:8">
      <c r="H44412" t="s">
        <v>33379</v>
      </c>
    </row>
    <row r="44413" spans="6:8">
      <c r="H44413" t="s">
        <v>37226</v>
      </c>
    </row>
    <row r="44414" spans="6:8">
      <c r="H44414" t="s">
        <v>19019</v>
      </c>
    </row>
    <row r="44415" spans="6:8">
      <c r="H44415" t="s">
        <v>20083</v>
      </c>
    </row>
    <row r="44416" spans="6:8">
      <c r="H44416" t="s">
        <v>19538</v>
      </c>
    </row>
    <row r="44417" spans="1:8">
      <c r="H44417" t="s">
        <v>37227</v>
      </c>
    </row>
    <row r="44418" spans="1:8">
      <c r="H44418" t="s">
        <v>37228</v>
      </c>
    </row>
    <row r="44419" spans="1:8">
      <c r="H44419" t="s">
        <v>33203</v>
      </c>
    </row>
    <row r="44420" spans="1:8">
      <c r="H44420" t="s">
        <v>37229</v>
      </c>
    </row>
    <row r="44421" spans="1:8">
      <c r="F44421" t="s">
        <v>14190</v>
      </c>
      <c r="G44421" t="s">
        <v>18169</v>
      </c>
      <c r="H44421" t="s">
        <v>37226</v>
      </c>
    </row>
    <row r="44422" spans="1:8">
      <c r="H44422" t="s">
        <v>37230</v>
      </c>
    </row>
    <row r="44423" spans="1:8">
      <c r="H44423" t="s">
        <v>37231</v>
      </c>
    </row>
    <row r="44424" spans="1:8">
      <c r="H44424" t="s">
        <v>37232</v>
      </c>
    </row>
    <row r="44425" spans="1:8">
      <c r="H44425" t="s">
        <v>20237</v>
      </c>
    </row>
    <row r="44426" spans="1:8">
      <c r="H44426" t="s">
        <v>37233</v>
      </c>
    </row>
    <row r="44427" spans="1:8">
      <c r="A44427" t="s">
        <v>4313</v>
      </c>
      <c r="B44427">
        <f>HYPERLINK("https://android.googlesource.com/platform/cts/+/aec4aff93ae52f1c07fc174f80dac5ccaf3d03fd", "aec4aff93ae52f1c07fc174f80dac5ccaf3d03fd")</f>
        <v>0</v>
      </c>
      <c r="C44427">
        <f>HYPERLINK("https://android.googlesource.com/platform/cts/+/63bc5529bbc07663daf38279eabd3b509916238c", "63bc5529bbc07663daf38279eabd3b509916238c")</f>
        <v>0</v>
      </c>
      <c r="D44427" t="s">
        <v>5272</v>
      </c>
      <c r="E44427" t="s">
        <v>9984</v>
      </c>
      <c r="F44427" t="s">
        <v>13284</v>
      </c>
      <c r="G44427" t="s">
        <v>17421</v>
      </c>
      <c r="H44427" t="s">
        <v>37488</v>
      </c>
    </row>
    <row r="44428" spans="1:8">
      <c r="A44428" t="s">
        <v>4314</v>
      </c>
      <c r="B44428">
        <f>HYPERLINK("https://android.googlesource.com/platform/cts/+/91b8ffcf84838a4ae86e49abbd9752557ccff82d", "91b8ffcf84838a4ae86e49abbd9752557ccff82d")</f>
        <v>0</v>
      </c>
      <c r="C44428">
        <f>HYPERLINK("https://android.googlesource.com/platform/cts/+/77964de8d5eda6eb18964bd9cfa9a7c239cb3e30", "77964de8d5eda6eb18964bd9cfa9a7c239cb3e30")</f>
        <v>0</v>
      </c>
      <c r="D44428" t="s">
        <v>5409</v>
      </c>
      <c r="E44428" t="s">
        <v>9985</v>
      </c>
      <c r="F44428" t="s">
        <v>14687</v>
      </c>
      <c r="G44428" t="s">
        <v>18578</v>
      </c>
      <c r="H44428" t="s">
        <v>26873</v>
      </c>
    </row>
    <row r="44429" spans="1:8">
      <c r="A44429" t="s">
        <v>4315</v>
      </c>
      <c r="B44429">
        <f>HYPERLINK("https://android.googlesource.com/platform/cts/+/efa04c02f21a2b6c0d6153c52966387daf58fc86", "efa04c02f21a2b6c0d6153c52966387daf58fc86")</f>
        <v>0</v>
      </c>
      <c r="C44429">
        <f>HYPERLINK("https://android.googlesource.com/platform/cts/+/91b8ffcf84838a4ae86e49abbd9752557ccff82d", "91b8ffcf84838a4ae86e49abbd9752557ccff82d")</f>
        <v>0</v>
      </c>
      <c r="D44429" t="s">
        <v>5409</v>
      </c>
      <c r="E44429" t="s">
        <v>9986</v>
      </c>
      <c r="F44429" t="s">
        <v>14683</v>
      </c>
      <c r="G44429" t="s">
        <v>18579</v>
      </c>
      <c r="H44429" t="s">
        <v>37489</v>
      </c>
    </row>
    <row r="44430" spans="1:8">
      <c r="H44430" t="s">
        <v>37490</v>
      </c>
    </row>
    <row r="44431" spans="1:8">
      <c r="H44431" t="s">
        <v>37491</v>
      </c>
    </row>
    <row r="44432" spans="1:8">
      <c r="H44432" t="s">
        <v>37492</v>
      </c>
    </row>
    <row r="44433" spans="8:8">
      <c r="H44433" t="s">
        <v>37493</v>
      </c>
    </row>
    <row r="44434" spans="8:8">
      <c r="H44434" t="s">
        <v>19972</v>
      </c>
    </row>
    <row r="44435" spans="8:8">
      <c r="H44435" t="s">
        <v>37494</v>
      </c>
    </row>
    <row r="44436" spans="8:8">
      <c r="H44436" t="s">
        <v>37494</v>
      </c>
    </row>
    <row r="44437" spans="8:8">
      <c r="H44437" t="s">
        <v>37495</v>
      </c>
    </row>
    <row r="44438" spans="8:8">
      <c r="H44438" t="s">
        <v>37496</v>
      </c>
    </row>
    <row r="44439" spans="8:8">
      <c r="H44439" t="s">
        <v>37496</v>
      </c>
    </row>
    <row r="44440" spans="8:8">
      <c r="H44440" t="s">
        <v>37497</v>
      </c>
    </row>
    <row r="44441" spans="8:8">
      <c r="H44441" t="s">
        <v>19382</v>
      </c>
    </row>
    <row r="44442" spans="8:8">
      <c r="H44442" t="s">
        <v>25704</v>
      </c>
    </row>
    <row r="44443" spans="8:8">
      <c r="H44443" t="s">
        <v>37498</v>
      </c>
    </row>
    <row r="44444" spans="8:8">
      <c r="H44444" t="s">
        <v>37499</v>
      </c>
    </row>
    <row r="44445" spans="8:8">
      <c r="H44445" t="s">
        <v>37500</v>
      </c>
    </row>
    <row r="44446" spans="8:8">
      <c r="H44446" t="s">
        <v>37501</v>
      </c>
    </row>
    <row r="44447" spans="8:8">
      <c r="H44447" t="s">
        <v>37502</v>
      </c>
    </row>
    <row r="44448" spans="8:8">
      <c r="H44448" t="s">
        <v>37503</v>
      </c>
    </row>
    <row r="44449" spans="6:8">
      <c r="H44449" t="s">
        <v>37504</v>
      </c>
    </row>
    <row r="44450" spans="6:8">
      <c r="H44450" t="s">
        <v>37505</v>
      </c>
    </row>
    <row r="44451" spans="6:8">
      <c r="H44451" t="s">
        <v>37506</v>
      </c>
    </row>
    <row r="44452" spans="6:8">
      <c r="H44452" t="s">
        <v>37507</v>
      </c>
    </row>
    <row r="44453" spans="6:8">
      <c r="H44453" t="s">
        <v>18930</v>
      </c>
    </row>
    <row r="44454" spans="6:8">
      <c r="F44454" t="s">
        <v>14684</v>
      </c>
      <c r="G44454" t="s">
        <v>18580</v>
      </c>
      <c r="H44454" t="s">
        <v>37508</v>
      </c>
    </row>
    <row r="44455" spans="6:8">
      <c r="H44455" t="s">
        <v>37509</v>
      </c>
    </row>
    <row r="44456" spans="6:8">
      <c r="H44456" t="s">
        <v>37510</v>
      </c>
    </row>
    <row r="44457" spans="6:8">
      <c r="H44457" t="s">
        <v>37511</v>
      </c>
    </row>
    <row r="44458" spans="6:8">
      <c r="H44458" t="s">
        <v>37512</v>
      </c>
    </row>
    <row r="44459" spans="6:8">
      <c r="H44459" t="s">
        <v>37513</v>
      </c>
    </row>
    <row r="44460" spans="6:8">
      <c r="H44460" t="s">
        <v>37514</v>
      </c>
    </row>
    <row r="44461" spans="6:8">
      <c r="H44461" t="s">
        <v>37515</v>
      </c>
    </row>
    <row r="44462" spans="6:8">
      <c r="H44462" t="s">
        <v>37516</v>
      </c>
    </row>
    <row r="44463" spans="6:8">
      <c r="H44463" t="s">
        <v>37517</v>
      </c>
    </row>
    <row r="44464" spans="6:8">
      <c r="H44464" t="s">
        <v>37518</v>
      </c>
    </row>
    <row r="44465" spans="8:8">
      <c r="H44465" t="s">
        <v>37519</v>
      </c>
    </row>
    <row r="44466" spans="8:8">
      <c r="H44466" t="s">
        <v>37520</v>
      </c>
    </row>
    <row r="44467" spans="8:8">
      <c r="H44467" t="s">
        <v>37521</v>
      </c>
    </row>
    <row r="44468" spans="8:8">
      <c r="H44468" t="s">
        <v>37522</v>
      </c>
    </row>
    <row r="44469" spans="8:8">
      <c r="H44469" t="s">
        <v>37523</v>
      </c>
    </row>
    <row r="44470" spans="8:8">
      <c r="H44470" t="s">
        <v>37524</v>
      </c>
    </row>
    <row r="44471" spans="8:8">
      <c r="H44471" t="s">
        <v>37525</v>
      </c>
    </row>
    <row r="44472" spans="8:8">
      <c r="H44472" t="s">
        <v>37526</v>
      </c>
    </row>
    <row r="44473" spans="8:8">
      <c r="H44473" t="s">
        <v>37527</v>
      </c>
    </row>
    <row r="44474" spans="8:8">
      <c r="H44474" t="s">
        <v>37528</v>
      </c>
    </row>
    <row r="44475" spans="8:8">
      <c r="H44475" t="s">
        <v>37529</v>
      </c>
    </row>
    <row r="44476" spans="8:8">
      <c r="H44476" t="s">
        <v>37530</v>
      </c>
    </row>
    <row r="44477" spans="8:8">
      <c r="H44477" t="s">
        <v>37531</v>
      </c>
    </row>
    <row r="44478" spans="8:8">
      <c r="H44478" t="s">
        <v>37532</v>
      </c>
    </row>
    <row r="44479" spans="8:8">
      <c r="H44479" t="s">
        <v>37533</v>
      </c>
    </row>
    <row r="44480" spans="8:8">
      <c r="H44480" t="s">
        <v>37534</v>
      </c>
    </row>
    <row r="44481" spans="1:8">
      <c r="A44481" t="s">
        <v>4316</v>
      </c>
      <c r="B44481">
        <f>HYPERLINK("https://android.googlesource.com/platform/cts/+/3de21b017a508d5a6e7ca39604842297bec69c18", "3de21b017a508d5a6e7ca39604842297bec69c18")</f>
        <v>0</v>
      </c>
      <c r="C44481">
        <f>HYPERLINK("https://android.googlesource.com/platform/cts/+/efa04c02f21a2b6c0d6153c52966387daf58fc86", "efa04c02f21a2b6c0d6153c52966387daf58fc86")</f>
        <v>0</v>
      </c>
      <c r="D44481" t="s">
        <v>5409</v>
      </c>
      <c r="E44481" t="s">
        <v>9987</v>
      </c>
      <c r="F44481" t="s">
        <v>14688</v>
      </c>
      <c r="G44481" t="s">
        <v>18581</v>
      </c>
      <c r="H44481" t="s">
        <v>37535</v>
      </c>
    </row>
    <row r="44482" spans="1:8">
      <c r="A44482" t="s">
        <v>4317</v>
      </c>
      <c r="B44482">
        <f>HYPERLINK("https://android.googlesource.com/platform/cts/+/f8ddcfd6b5f99ed55dd88abaac5837dc5fd06785", "f8ddcfd6b5f99ed55dd88abaac5837dc5fd06785")</f>
        <v>0</v>
      </c>
      <c r="C44482">
        <f>HYPERLINK("https://android.googlesource.com/platform/cts/+/760afcef9baa18c51a5455facd2df551a5c4c944", "760afcef9baa18c51a5455facd2df551a5c4c944")</f>
        <v>0</v>
      </c>
      <c r="D44482" t="s">
        <v>5409</v>
      </c>
      <c r="E44482" t="s">
        <v>9988</v>
      </c>
      <c r="F44482" t="s">
        <v>14688</v>
      </c>
      <c r="G44482" t="s">
        <v>18581</v>
      </c>
      <c r="H44482" t="s">
        <v>37536</v>
      </c>
    </row>
    <row r="44483" spans="1:8">
      <c r="A44483" t="s">
        <v>4318</v>
      </c>
      <c r="B44483">
        <f>HYPERLINK("https://android.googlesource.com/platform/cts/+/7c101de68f3f849470ecc6d75fbcd9c1278a03af", "7c101de68f3f849470ecc6d75fbcd9c1278a03af")</f>
        <v>0</v>
      </c>
      <c r="C44483">
        <f>HYPERLINK("https://android.googlesource.com/platform/cts/+/5dd890399e5b66dcc07ca449f031679512d95070", "5dd890399e5b66dcc07ca449f031679512d95070")</f>
        <v>0</v>
      </c>
      <c r="D44483" t="s">
        <v>5409</v>
      </c>
      <c r="E44483" t="s">
        <v>9989</v>
      </c>
      <c r="F44483" t="s">
        <v>14204</v>
      </c>
      <c r="G44483" t="s">
        <v>16848</v>
      </c>
      <c r="H44483" t="s">
        <v>37537</v>
      </c>
    </row>
    <row r="44484" spans="1:8">
      <c r="H44484" t="s">
        <v>37538</v>
      </c>
    </row>
    <row r="44485" spans="1:8">
      <c r="H44485" t="s">
        <v>37539</v>
      </c>
    </row>
    <row r="44486" spans="1:8">
      <c r="H44486" t="s">
        <v>37540</v>
      </c>
    </row>
    <row r="44487" spans="1:8">
      <c r="H44487" t="s">
        <v>37541</v>
      </c>
    </row>
    <row r="44488" spans="1:8">
      <c r="H44488" t="s">
        <v>37542</v>
      </c>
    </row>
    <row r="44489" spans="1:8">
      <c r="H44489" t="s">
        <v>37543</v>
      </c>
    </row>
    <row r="44490" spans="1:8">
      <c r="H44490" t="s">
        <v>37544</v>
      </c>
    </row>
    <row r="44491" spans="1:8">
      <c r="H44491" t="s">
        <v>37545</v>
      </c>
    </row>
    <row r="44492" spans="1:8">
      <c r="H44492" t="s">
        <v>37546</v>
      </c>
    </row>
    <row r="44493" spans="1:8">
      <c r="A44493" t="s">
        <v>4319</v>
      </c>
      <c r="B44493">
        <f>HYPERLINK("https://android.googlesource.com/platform/cts/+/0b68e70b5b975430b206336b27323d33ae3bb820", "0b68e70b5b975430b206336b27323d33ae3bb820")</f>
        <v>0</v>
      </c>
      <c r="C44493">
        <f>HYPERLINK("https://android.googlesource.com/platform/cts/+/77964de8d5eda6eb18964bd9cfa9a7c239cb3e30", "77964de8d5eda6eb18964bd9cfa9a7c239cb3e30")</f>
        <v>0</v>
      </c>
      <c r="D44493" t="s">
        <v>5409</v>
      </c>
      <c r="E44493" t="s">
        <v>9990</v>
      </c>
      <c r="F44493" t="s">
        <v>14689</v>
      </c>
      <c r="G44493" t="s">
        <v>16916</v>
      </c>
      <c r="H44493" t="s">
        <v>37547</v>
      </c>
    </row>
    <row r="44494" spans="1:8">
      <c r="H44494" t="s">
        <v>18829</v>
      </c>
    </row>
    <row r="44495" spans="1:8">
      <c r="H44495" t="s">
        <v>18863</v>
      </c>
    </row>
    <row r="44496" spans="1:8">
      <c r="H44496" t="s">
        <v>37548</v>
      </c>
    </row>
    <row r="44497" spans="6:8">
      <c r="H44497" t="s">
        <v>37549</v>
      </c>
    </row>
    <row r="44498" spans="6:8">
      <c r="H44498" t="s">
        <v>37550</v>
      </c>
    </row>
    <row r="44499" spans="6:8">
      <c r="H44499" t="s">
        <v>37551</v>
      </c>
    </row>
    <row r="44500" spans="6:8">
      <c r="H44500" t="s">
        <v>37552</v>
      </c>
    </row>
    <row r="44501" spans="6:8">
      <c r="H44501" t="s">
        <v>37553</v>
      </c>
    </row>
    <row r="44502" spans="6:8">
      <c r="H44502" t="s">
        <v>37554</v>
      </c>
    </row>
    <row r="44503" spans="6:8">
      <c r="H44503" t="s">
        <v>37555</v>
      </c>
    </row>
    <row r="44504" spans="6:8">
      <c r="H44504" t="s">
        <v>37556</v>
      </c>
    </row>
    <row r="44505" spans="6:8">
      <c r="H44505" t="s">
        <v>37557</v>
      </c>
    </row>
    <row r="44506" spans="6:8">
      <c r="H44506" t="s">
        <v>37558</v>
      </c>
    </row>
    <row r="44507" spans="6:8">
      <c r="F44507" t="s">
        <v>12743</v>
      </c>
      <c r="G44507" t="s">
        <v>16935</v>
      </c>
      <c r="H44507" t="s">
        <v>27107</v>
      </c>
    </row>
    <row r="44508" spans="6:8">
      <c r="H44508" t="s">
        <v>37559</v>
      </c>
    </row>
    <row r="44509" spans="6:8">
      <c r="F44509" t="s">
        <v>13229</v>
      </c>
      <c r="G44509" t="s">
        <v>17370</v>
      </c>
      <c r="H44509" t="s">
        <v>27107</v>
      </c>
    </row>
    <row r="44510" spans="6:8">
      <c r="H44510" t="s">
        <v>37559</v>
      </c>
    </row>
    <row r="44511" spans="6:8">
      <c r="F44511" t="s">
        <v>13136</v>
      </c>
      <c r="G44511" t="s">
        <v>17293</v>
      </c>
      <c r="H44511" t="s">
        <v>27107</v>
      </c>
    </row>
    <row r="44512" spans="6:8">
      <c r="F44512" t="s">
        <v>12745</v>
      </c>
      <c r="G44512" t="s">
        <v>16937</v>
      </c>
      <c r="H44512" t="s">
        <v>27107</v>
      </c>
    </row>
    <row r="44513" spans="1:8">
      <c r="H44513" t="s">
        <v>37559</v>
      </c>
    </row>
    <row r="44514" spans="1:8">
      <c r="F44514" t="s">
        <v>14690</v>
      </c>
      <c r="G44514" t="s">
        <v>16916</v>
      </c>
      <c r="H44514" t="s">
        <v>37560</v>
      </c>
    </row>
    <row r="44515" spans="1:8">
      <c r="H44515" t="s">
        <v>37561</v>
      </c>
    </row>
    <row r="44516" spans="1:8">
      <c r="H44516" t="s">
        <v>37562</v>
      </c>
    </row>
    <row r="44517" spans="1:8">
      <c r="H44517" t="s">
        <v>37563</v>
      </c>
    </row>
    <row r="44518" spans="1:8">
      <c r="H44518" t="s">
        <v>37564</v>
      </c>
    </row>
    <row r="44519" spans="1:8">
      <c r="H44519" t="s">
        <v>37565</v>
      </c>
    </row>
    <row r="44520" spans="1:8">
      <c r="H44520" t="s">
        <v>37566</v>
      </c>
    </row>
    <row r="44521" spans="1:8">
      <c r="H44521" t="s">
        <v>37567</v>
      </c>
    </row>
    <row r="44522" spans="1:8">
      <c r="H44522" t="s">
        <v>37568</v>
      </c>
    </row>
    <row r="44523" spans="1:8">
      <c r="A44523" t="s">
        <v>4320</v>
      </c>
      <c r="B44523">
        <f>HYPERLINK("https://android.googlesource.com/platform/cts/+/97f1e988c0958ac3fa878d980da3a1d62fdb2772", "97f1e988c0958ac3fa878d980da3a1d62fdb2772")</f>
        <v>0</v>
      </c>
      <c r="C44523">
        <f>HYPERLINK("https://android.googlesource.com/platform/cts/+/f7bbcd8b82329995948ad2d9dd0696df845f1fb6", "f7bbcd8b82329995948ad2d9dd0696df845f1fb6")</f>
        <v>0</v>
      </c>
      <c r="D44523" t="s">
        <v>5677</v>
      </c>
      <c r="E44523" t="s">
        <v>9991</v>
      </c>
      <c r="F44523" t="s">
        <v>14487</v>
      </c>
      <c r="G44523" t="s">
        <v>18418</v>
      </c>
      <c r="H44523" t="s">
        <v>37569</v>
      </c>
    </row>
    <row r="44524" spans="1:8">
      <c r="H44524" t="s">
        <v>37570</v>
      </c>
    </row>
    <row r="44525" spans="1:8">
      <c r="H44525" t="s">
        <v>37571</v>
      </c>
    </row>
    <row r="44526" spans="1:8">
      <c r="A44526" t="s">
        <v>4322</v>
      </c>
      <c r="B44526">
        <f>HYPERLINK("https://android.googlesource.com/platform/cts/+/9877a122d69add931a3329633212e33376c9c4d8", "9877a122d69add931a3329633212e33376c9c4d8")</f>
        <v>0</v>
      </c>
      <c r="C44526">
        <f>HYPERLINK("https://android.googlesource.com/platform/cts/+/2c5dba4cc56f6d7db151021c4cc307ca4ff44997", "2c5dba4cc56f6d7db151021c4cc307ca4ff44997")</f>
        <v>0</v>
      </c>
      <c r="D44526" t="s">
        <v>5678</v>
      </c>
      <c r="E44526" t="s">
        <v>9993</v>
      </c>
      <c r="F44526" t="s">
        <v>14635</v>
      </c>
      <c r="G44526" t="s">
        <v>18545</v>
      </c>
      <c r="H44526" t="s">
        <v>37572</v>
      </c>
    </row>
    <row r="44527" spans="1:8">
      <c r="H44527" t="s">
        <v>37573</v>
      </c>
    </row>
    <row r="44528" spans="1:8">
      <c r="A44528" t="s">
        <v>4323</v>
      </c>
      <c r="B44528">
        <f>HYPERLINK("https://android.googlesource.com/platform/cts/+/7c6fa74a61d3da48add4d787636dde4bd8e4bcb8", "7c6fa74a61d3da48add4d787636dde4bd8e4bcb8")</f>
        <v>0</v>
      </c>
      <c r="C44528">
        <f>HYPERLINK("https://android.googlesource.com/platform/cts/+/0458171720478d24085f5ee98616da8062f7169b", "0458171720478d24085f5ee98616da8062f7169b")</f>
        <v>0</v>
      </c>
      <c r="D44528" t="s">
        <v>5409</v>
      </c>
      <c r="E44528" t="s">
        <v>9994</v>
      </c>
      <c r="F44528" t="s">
        <v>14691</v>
      </c>
      <c r="G44528" t="s">
        <v>17364</v>
      </c>
      <c r="H44528" t="s">
        <v>22678</v>
      </c>
    </row>
    <row r="44529" spans="6:8">
      <c r="H44529" t="s">
        <v>18829</v>
      </c>
    </row>
    <row r="44530" spans="6:8">
      <c r="H44530" t="s">
        <v>18863</v>
      </c>
    </row>
    <row r="44531" spans="6:8">
      <c r="H44531" t="s">
        <v>36690</v>
      </c>
    </row>
    <row r="44532" spans="6:8">
      <c r="H44532" t="s">
        <v>37574</v>
      </c>
    </row>
    <row r="44533" spans="6:8">
      <c r="H44533" t="s">
        <v>28689</v>
      </c>
    </row>
    <row r="44534" spans="6:8">
      <c r="H44534" t="s">
        <v>28690</v>
      </c>
    </row>
    <row r="44535" spans="6:8">
      <c r="H44535" t="s">
        <v>28691</v>
      </c>
    </row>
    <row r="44536" spans="6:8">
      <c r="H44536" t="s">
        <v>28692</v>
      </c>
    </row>
    <row r="44537" spans="6:8">
      <c r="H44537" t="s">
        <v>28051</v>
      </c>
    </row>
    <row r="44538" spans="6:8">
      <c r="H44538" t="s">
        <v>26260</v>
      </c>
    </row>
    <row r="44539" spans="6:8">
      <c r="H44539" t="s">
        <v>37575</v>
      </c>
    </row>
    <row r="44540" spans="6:8">
      <c r="F44540" t="s">
        <v>12751</v>
      </c>
      <c r="G44540" t="s">
        <v>16942</v>
      </c>
      <c r="H44540" t="s">
        <v>22678</v>
      </c>
    </row>
    <row r="44541" spans="6:8">
      <c r="H44541" t="s">
        <v>18829</v>
      </c>
    </row>
    <row r="44542" spans="6:8">
      <c r="H44542" t="s">
        <v>18863</v>
      </c>
    </row>
    <row r="44543" spans="6:8">
      <c r="H44543" t="s">
        <v>37073</v>
      </c>
    </row>
    <row r="44544" spans="6:8">
      <c r="H44544" t="s">
        <v>37074</v>
      </c>
    </row>
    <row r="44545" spans="1:8">
      <c r="H44545" t="s">
        <v>37576</v>
      </c>
    </row>
    <row r="44546" spans="1:8">
      <c r="H44546" t="s">
        <v>37577</v>
      </c>
    </row>
    <row r="44547" spans="1:8">
      <c r="H44547" t="s">
        <v>37578</v>
      </c>
    </row>
    <row r="44548" spans="1:8">
      <c r="H44548" t="s">
        <v>37579</v>
      </c>
    </row>
    <row r="44549" spans="1:8">
      <c r="H44549" t="s">
        <v>28689</v>
      </c>
    </row>
    <row r="44550" spans="1:8">
      <c r="H44550" t="s">
        <v>28690</v>
      </c>
    </row>
    <row r="44551" spans="1:8">
      <c r="H44551" t="s">
        <v>28691</v>
      </c>
    </row>
    <row r="44552" spans="1:8">
      <c r="H44552" t="s">
        <v>28692</v>
      </c>
    </row>
    <row r="44553" spans="1:8">
      <c r="H44553" t="s">
        <v>28051</v>
      </c>
    </row>
    <row r="44554" spans="1:8">
      <c r="H44554" t="s">
        <v>37580</v>
      </c>
    </row>
    <row r="44555" spans="1:8">
      <c r="H44555" t="s">
        <v>37581</v>
      </c>
    </row>
    <row r="44556" spans="1:8">
      <c r="F44556" t="s">
        <v>12743</v>
      </c>
      <c r="G44556" t="s">
        <v>16935</v>
      </c>
      <c r="H44556" t="s">
        <v>25795</v>
      </c>
    </row>
    <row r="44557" spans="1:8">
      <c r="F44557" t="s">
        <v>13229</v>
      </c>
      <c r="G44557" t="s">
        <v>17370</v>
      </c>
      <c r="H44557" t="s">
        <v>25795</v>
      </c>
    </row>
    <row r="44558" spans="1:8">
      <c r="A44558" t="s">
        <v>4324</v>
      </c>
      <c r="B44558">
        <f>HYPERLINK("https://android.googlesource.com/platform/cts/+/b858732d7fe874bad9e7145fff66e11e4a1a2ba1", "b858732d7fe874bad9e7145fff66e11e4a1a2ba1")</f>
        <v>0</v>
      </c>
      <c r="C44558">
        <f>HYPERLINK("https://android.googlesource.com/platform/cts/+/fb95db167c44339730bde359cbeb5555f83f45ff", "fb95db167c44339730bde359cbeb5555f83f45ff")</f>
        <v>0</v>
      </c>
      <c r="D44558" t="s">
        <v>5409</v>
      </c>
      <c r="E44558" t="s">
        <v>9995</v>
      </c>
      <c r="F44558" t="s">
        <v>12768</v>
      </c>
      <c r="G44558" t="s">
        <v>15710</v>
      </c>
      <c r="H44558" t="s">
        <v>37582</v>
      </c>
    </row>
    <row r="44559" spans="1:8">
      <c r="H44559" t="s">
        <v>25019</v>
      </c>
    </row>
    <row r="44560" spans="1:8">
      <c r="A44560" t="s">
        <v>4325</v>
      </c>
      <c r="B44560">
        <f>HYPERLINK("https://android.googlesource.com/platform/cts/+/b03c1bdb0c5e0dd0d36a0fa1b0616dd92b2705ba", "b03c1bdb0c5e0dd0d36a0fa1b0616dd92b2705ba")</f>
        <v>0</v>
      </c>
      <c r="C44560">
        <f>HYPERLINK("https://android.googlesource.com/platform/cts/+/7f2735dd3157dcc98e8419296dcc8cab7e7467df", "7f2735dd3157dcc98e8419296dcc8cab7e7467df")</f>
        <v>0</v>
      </c>
      <c r="D44560" t="s">
        <v>5085</v>
      </c>
      <c r="E44560" t="s">
        <v>9996</v>
      </c>
      <c r="F44560" t="s">
        <v>14692</v>
      </c>
      <c r="G44560" t="s">
        <v>18582</v>
      </c>
      <c r="H44560" t="s">
        <v>37583</v>
      </c>
    </row>
    <row r="44561" spans="1:8">
      <c r="H44561" t="s">
        <v>37584</v>
      </c>
    </row>
    <row r="44562" spans="1:8">
      <c r="H44562" t="s">
        <v>37585</v>
      </c>
    </row>
    <row r="44563" spans="1:8">
      <c r="A44563" t="s">
        <v>4326</v>
      </c>
      <c r="B44563">
        <f>HYPERLINK("https://android.googlesource.com/platform/cts/+/4c3fb4564420b2437bf3e4cd69f32ef7c7ab0f38", "4c3fb4564420b2437bf3e4cd69f32ef7c7ab0f38")</f>
        <v>0</v>
      </c>
      <c r="C44563">
        <f>HYPERLINK("https://android.googlesource.com/platform/cts/+/efeb4c4858338c11217ba3d801f665e7a1806bc7", "efeb4c4858338c11217ba3d801f665e7a1806bc7")</f>
        <v>0</v>
      </c>
      <c r="D44563" t="s">
        <v>5570</v>
      </c>
      <c r="E44563" t="s">
        <v>9997</v>
      </c>
      <c r="F44563" t="s">
        <v>14196</v>
      </c>
      <c r="G44563" t="s">
        <v>18175</v>
      </c>
      <c r="H44563" t="s">
        <v>19019</v>
      </c>
    </row>
    <row r="44564" spans="1:8">
      <c r="H44564" t="s">
        <v>37586</v>
      </c>
    </row>
    <row r="44565" spans="1:8">
      <c r="H44565" t="s">
        <v>37587</v>
      </c>
    </row>
    <row r="44566" spans="1:8">
      <c r="H44566" t="s">
        <v>37588</v>
      </c>
    </row>
    <row r="44567" spans="1:8">
      <c r="H44567" t="s">
        <v>37589</v>
      </c>
    </row>
    <row r="44568" spans="1:8">
      <c r="A44568" t="s">
        <v>4327</v>
      </c>
      <c r="B44568">
        <f>HYPERLINK("https://android.googlesource.com/platform/cts/+/b11f1a49ca1a2e683873fbf21cf04edfb126a529", "b11f1a49ca1a2e683873fbf21cf04edfb126a529")</f>
        <v>0</v>
      </c>
      <c r="C44568">
        <f>HYPERLINK("https://android.googlesource.com/platform/cts/+/044e51cb2296f3adbbd854150ee9081674c7660a", "044e51cb2296f3adbbd854150ee9081674c7660a")</f>
        <v>0</v>
      </c>
      <c r="D44568" t="s">
        <v>5383</v>
      </c>
      <c r="E44568" t="s">
        <v>9998</v>
      </c>
      <c r="F44568" t="s">
        <v>14693</v>
      </c>
      <c r="G44568" t="s">
        <v>18583</v>
      </c>
      <c r="H44568" t="s">
        <v>37590</v>
      </c>
    </row>
    <row r="44569" spans="1:8">
      <c r="H44569" t="s">
        <v>34672</v>
      </c>
    </row>
    <row r="44570" spans="1:8">
      <c r="A44570" t="s">
        <v>4328</v>
      </c>
      <c r="B44570">
        <f>HYPERLINK("https://android.googlesource.com/platform/cts/+/662f7f4f2bb0af0eb2bcea218c496779489875dd", "662f7f4f2bb0af0eb2bcea218c496779489875dd")</f>
        <v>0</v>
      </c>
      <c r="C44570">
        <f>HYPERLINK("https://android.googlesource.com/platform/cts/+/853b613e7cc9470562fa875feab0fa22b7332220", "853b613e7cc9470562fa875feab0fa22b7332220")</f>
        <v>0</v>
      </c>
      <c r="D44570" t="s">
        <v>5352</v>
      </c>
      <c r="E44570" t="s">
        <v>9999</v>
      </c>
      <c r="F44570" t="s">
        <v>14428</v>
      </c>
      <c r="G44570" t="s">
        <v>18366</v>
      </c>
      <c r="H44570" t="s">
        <v>22678</v>
      </c>
    </row>
    <row r="44571" spans="1:8">
      <c r="H44571" t="s">
        <v>18829</v>
      </c>
    </row>
    <row r="44572" spans="1:8">
      <c r="H44572" t="s">
        <v>18863</v>
      </c>
    </row>
    <row r="44573" spans="1:8">
      <c r="H44573" t="s">
        <v>37591</v>
      </c>
    </row>
    <row r="44574" spans="1:8">
      <c r="H44574" t="s">
        <v>37592</v>
      </c>
    </row>
    <row r="44575" spans="1:8">
      <c r="H44575" t="s">
        <v>37593</v>
      </c>
    </row>
    <row r="44576" spans="1:8">
      <c r="H44576" t="s">
        <v>37594</v>
      </c>
    </row>
    <row r="44577" spans="1:8">
      <c r="H44577" t="s">
        <v>37595</v>
      </c>
    </row>
    <row r="44578" spans="1:8">
      <c r="H44578" t="s">
        <v>37596</v>
      </c>
    </row>
    <row r="44579" spans="1:8">
      <c r="H44579" t="s">
        <v>37597</v>
      </c>
    </row>
    <row r="44580" spans="1:8">
      <c r="H44580" t="s">
        <v>37598</v>
      </c>
    </row>
    <row r="44581" spans="1:8">
      <c r="H44581" t="s">
        <v>37599</v>
      </c>
    </row>
    <row r="44582" spans="1:8">
      <c r="H44582" t="s">
        <v>37600</v>
      </c>
    </row>
    <row r="44583" spans="1:8">
      <c r="A44583" t="s">
        <v>4330</v>
      </c>
      <c r="B44583">
        <f>HYPERLINK("https://android.googlesource.com/platform/cts/+/978ec3378fb379d9b62421a3206de6bbe08e839d", "978ec3378fb379d9b62421a3206de6bbe08e839d")</f>
        <v>0</v>
      </c>
      <c r="C44583">
        <f>HYPERLINK("https://android.googlesource.com/platform/cts/+/d205bb118373b8351dd0ed612ba1daf267533e36", "d205bb118373b8351dd0ed612ba1daf267533e36")</f>
        <v>0</v>
      </c>
      <c r="D44583" t="s">
        <v>5679</v>
      </c>
      <c r="E44583" t="s">
        <v>10001</v>
      </c>
      <c r="F44583" t="s">
        <v>14694</v>
      </c>
      <c r="G44583" t="s">
        <v>18584</v>
      </c>
      <c r="H44583" t="s">
        <v>37601</v>
      </c>
    </row>
    <row r="44584" spans="1:8">
      <c r="A44584" t="s">
        <v>4331</v>
      </c>
      <c r="B44584">
        <f>HYPERLINK("https://android.googlesource.com/platform/cts/+/554993ed26ae4b9cf68e2da9869fc6b7c0a1cb83", "554993ed26ae4b9cf68e2da9869fc6b7c0a1cb83")</f>
        <v>0</v>
      </c>
      <c r="C44584">
        <f>HYPERLINK("https://android.googlesource.com/platform/cts/+/8c465936942e70ac62e5f046d8238b9ec2b5ac14", "8c465936942e70ac62e5f046d8238b9ec2b5ac14")</f>
        <v>0</v>
      </c>
      <c r="D44584" t="s">
        <v>5096</v>
      </c>
      <c r="E44584" t="s">
        <v>10002</v>
      </c>
      <c r="F44584" t="s">
        <v>14695</v>
      </c>
      <c r="G44584" t="s">
        <v>18585</v>
      </c>
      <c r="H44584" t="s">
        <v>37602</v>
      </c>
    </row>
    <row r="44585" spans="1:8">
      <c r="A44585" t="s">
        <v>4332</v>
      </c>
      <c r="B44585">
        <f>HYPERLINK("https://android.googlesource.com/platform/cts/+/a7b051d008f68f9b7df271d7c47014333e0ba6d2", "a7b051d008f68f9b7df271d7c47014333e0ba6d2")</f>
        <v>0</v>
      </c>
      <c r="C44585">
        <f>HYPERLINK("https://android.googlesource.com/platform/cts/+/93ddd47863fc9b38ce77a61758f736f29f692f4e", "93ddd47863fc9b38ce77a61758f736f29f692f4e")</f>
        <v>0</v>
      </c>
      <c r="D44585" t="s">
        <v>5528</v>
      </c>
      <c r="E44585" t="s">
        <v>10003</v>
      </c>
      <c r="F44585" t="s">
        <v>13816</v>
      </c>
      <c r="G44585" t="s">
        <v>15089</v>
      </c>
      <c r="H44585" t="s">
        <v>37603</v>
      </c>
    </row>
    <row r="44586" spans="1:8">
      <c r="H44586" t="s">
        <v>37604</v>
      </c>
    </row>
    <row r="44587" spans="1:8">
      <c r="A44587" t="s">
        <v>4333</v>
      </c>
      <c r="B44587">
        <f>HYPERLINK("https://android.googlesource.com/platform/cts/+/2064493ecd95328c077d0ef91acaa8f0497f8227", "2064493ecd95328c077d0ef91acaa8f0497f8227")</f>
        <v>0</v>
      </c>
      <c r="C44587">
        <f>HYPERLINK("https://android.googlesource.com/platform/cts/+/68aa05329cc1c2bcb752a25e6021187f6bb0ef47", "68aa05329cc1c2bcb752a25e6021187f6bb0ef47")</f>
        <v>0</v>
      </c>
      <c r="D44587" t="s">
        <v>5443</v>
      </c>
      <c r="E44587" t="s">
        <v>10004</v>
      </c>
      <c r="F44587" t="s">
        <v>12710</v>
      </c>
      <c r="G44587" t="s">
        <v>16911</v>
      </c>
      <c r="H44587" t="s">
        <v>19981</v>
      </c>
    </row>
    <row r="44588" spans="1:8">
      <c r="H44588" t="s">
        <v>30899</v>
      </c>
    </row>
    <row r="44589" spans="1:8">
      <c r="A44589" t="s">
        <v>4334</v>
      </c>
      <c r="B44589">
        <f>HYPERLINK("https://android.googlesource.com/platform/cts/+/fa1c02c0dedd9fa842010a961765e62028bf693e", "fa1c02c0dedd9fa842010a961765e62028bf693e")</f>
        <v>0</v>
      </c>
      <c r="C44589">
        <f>HYPERLINK("https://android.googlesource.com/platform/cts/+/f045b9456f13353b4eaa8ab60bb5ae8feffc75e2", "f045b9456f13353b4eaa8ab60bb5ae8feffc75e2")</f>
        <v>0</v>
      </c>
      <c r="D44589" t="s">
        <v>5680</v>
      </c>
      <c r="E44589" t="s">
        <v>10005</v>
      </c>
      <c r="F44589" t="s">
        <v>14696</v>
      </c>
      <c r="G44589" t="s">
        <v>18555</v>
      </c>
      <c r="H44589" t="s">
        <v>37320</v>
      </c>
    </row>
    <row r="44590" spans="1:8">
      <c r="A44590" t="s">
        <v>4335</v>
      </c>
      <c r="B44590">
        <f>HYPERLINK("https://android.googlesource.com/platform/cts/+/d588c85553d5c78a9b80373548c0ee74d4798612", "d588c85553d5c78a9b80373548c0ee74d4798612")</f>
        <v>0</v>
      </c>
      <c r="C44590">
        <f>HYPERLINK("https://android.googlesource.com/platform/cts/+/bd23838f74942b108b04ba572d75b71a85b8a838", "bd23838f74942b108b04ba572d75b71a85b8a838")</f>
        <v>0</v>
      </c>
      <c r="D44590" t="s">
        <v>5575</v>
      </c>
      <c r="E44590" t="s">
        <v>10006</v>
      </c>
      <c r="F44590" t="s">
        <v>14613</v>
      </c>
      <c r="G44590" t="s">
        <v>18453</v>
      </c>
      <c r="H44590" t="s">
        <v>18863</v>
      </c>
    </row>
    <row r="44591" spans="1:8">
      <c r="A44591" t="s">
        <v>4337</v>
      </c>
      <c r="B44591">
        <f>HYPERLINK("https://android.googlesource.com/platform/cts/+/b739d8a9a3cef09e1ecc1655416d7fe1dbb3b252", "b739d8a9a3cef09e1ecc1655416d7fe1dbb3b252")</f>
        <v>0</v>
      </c>
      <c r="C44591">
        <f>HYPERLINK("https://android.googlesource.com/platform/cts/+/464610904b6cb7029e0b2c035af8524d7264df1d", "464610904b6cb7029e0b2c035af8524d7264df1d")</f>
        <v>0</v>
      </c>
      <c r="D44591" t="s">
        <v>5681</v>
      </c>
      <c r="E44591" t="s">
        <v>10008</v>
      </c>
      <c r="F44591" t="s">
        <v>14697</v>
      </c>
      <c r="G44591" t="s">
        <v>17316</v>
      </c>
      <c r="H44591" t="s">
        <v>37606</v>
      </c>
    </row>
    <row r="44592" spans="1:8">
      <c r="H44592" t="s">
        <v>37607</v>
      </c>
    </row>
    <row r="44593" spans="1:8">
      <c r="H44593" t="s">
        <v>37608</v>
      </c>
    </row>
    <row r="44594" spans="1:8">
      <c r="H44594" t="s">
        <v>37609</v>
      </c>
    </row>
    <row r="44595" spans="1:8">
      <c r="F44595" t="s">
        <v>13392</v>
      </c>
      <c r="G44595" t="s">
        <v>17518</v>
      </c>
      <c r="H44595" t="s">
        <v>37610</v>
      </c>
    </row>
    <row r="44596" spans="1:8">
      <c r="H44596" t="s">
        <v>37611</v>
      </c>
    </row>
    <row r="44597" spans="1:8">
      <c r="A44597" t="s">
        <v>4338</v>
      </c>
      <c r="B44597">
        <f>HYPERLINK("https://android.googlesource.com/platform/cts/+/bfea2b429a1c1d118a394be5078d3fc0be403477", "bfea2b429a1c1d118a394be5078d3fc0be403477")</f>
        <v>0</v>
      </c>
      <c r="C44597">
        <f>HYPERLINK("https://android.googlesource.com/platform/cts/+/e49c76f519bbd7f07828bb94296989de2fd03248", "e49c76f519bbd7f07828bb94296989de2fd03248")</f>
        <v>0</v>
      </c>
      <c r="D44597" t="s">
        <v>5682</v>
      </c>
      <c r="E44597" t="s">
        <v>10009</v>
      </c>
      <c r="F44597" t="s">
        <v>14461</v>
      </c>
      <c r="G44597" t="s">
        <v>15710</v>
      </c>
      <c r="H44597" t="s">
        <v>37612</v>
      </c>
    </row>
    <row r="44598" spans="1:8">
      <c r="H44598" t="s">
        <v>37613</v>
      </c>
    </row>
    <row r="44599" spans="1:8">
      <c r="A44599" t="s">
        <v>4339</v>
      </c>
      <c r="B44599">
        <f>HYPERLINK("https://android.googlesource.com/platform/cts/+/ae237429df71618f02da7358472003f425121293", "ae237429df71618f02da7358472003f425121293")</f>
        <v>0</v>
      </c>
      <c r="C44599">
        <f>HYPERLINK("https://android.googlesource.com/platform/cts/+/0a74769c26e3ba5b7a76b41fcd077700f031d6e3", "0a74769c26e3ba5b7a76b41fcd077700f031d6e3")</f>
        <v>0</v>
      </c>
      <c r="D44599" t="s">
        <v>5637</v>
      </c>
      <c r="E44599" t="s">
        <v>10010</v>
      </c>
      <c r="F44599" t="s">
        <v>14698</v>
      </c>
      <c r="G44599" t="s">
        <v>18586</v>
      </c>
      <c r="H44599" t="s">
        <v>37614</v>
      </c>
    </row>
    <row r="44600" spans="1:8">
      <c r="A44600" t="s">
        <v>4340</v>
      </c>
      <c r="B44600">
        <f>HYPERLINK("https://android.googlesource.com/platform/cts/+/166b9a17d04a0d4eca4b75c4159045c4b307ffa9", "166b9a17d04a0d4eca4b75c4159045c4b307ffa9")</f>
        <v>0</v>
      </c>
      <c r="C44600">
        <f>HYPERLINK("https://android.googlesource.com/platform/cts/+/2633a24605535448374e2085e561e656de8faac5", "2633a24605535448374e2085e561e656de8faac5")</f>
        <v>0</v>
      </c>
      <c r="D44600" t="s">
        <v>5683</v>
      </c>
      <c r="E44600" t="s">
        <v>10011</v>
      </c>
      <c r="F44600" t="s">
        <v>14699</v>
      </c>
      <c r="G44600" t="s">
        <v>18587</v>
      </c>
      <c r="H44600" t="s">
        <v>37615</v>
      </c>
    </row>
    <row r="44601" spans="1:8">
      <c r="A44601" t="s">
        <v>4341</v>
      </c>
      <c r="B44601">
        <f>HYPERLINK("https://android.googlesource.com/platform/cts/+/ba05217fc12909c72174fa440a18ce70eeaef992", "ba05217fc12909c72174fa440a18ce70eeaef992")</f>
        <v>0</v>
      </c>
      <c r="C44601">
        <f>HYPERLINK("https://android.googlesource.com/platform/cts/+/2edddf622f0d9376c1aace0221d9d4484a76b174", "2edddf622f0d9376c1aace0221d9d4484a76b174")</f>
        <v>0</v>
      </c>
      <c r="D44601" t="s">
        <v>5383</v>
      </c>
      <c r="E44601" t="s">
        <v>10012</v>
      </c>
      <c r="F44601" t="s">
        <v>13548</v>
      </c>
      <c r="G44601" t="s">
        <v>15171</v>
      </c>
      <c r="H44601" t="s">
        <v>31032</v>
      </c>
    </row>
    <row r="44602" spans="1:8">
      <c r="H44602" t="s">
        <v>31032</v>
      </c>
    </row>
    <row r="44603" spans="1:8">
      <c r="H44603" t="s">
        <v>37616</v>
      </c>
    </row>
    <row r="44604" spans="1:8">
      <c r="A44604" t="s">
        <v>4342</v>
      </c>
      <c r="B44604">
        <f>HYPERLINK("https://android.googlesource.com/platform/cts/+/2fe93dc2852aa065ba90382426ac19998c617f33", "2fe93dc2852aa065ba90382426ac19998c617f33")</f>
        <v>0</v>
      </c>
      <c r="C44604">
        <f>HYPERLINK("https://android.googlesource.com/platform/cts/+/8eb73846ca0f4d7132cec27ad4fa155c6c5a1ac0", "8eb73846ca0f4d7132cec27ad4fa155c6c5a1ac0")</f>
        <v>0</v>
      </c>
      <c r="D44604" t="s">
        <v>5439</v>
      </c>
      <c r="E44604" t="s">
        <v>10013</v>
      </c>
      <c r="F44604" t="s">
        <v>14677</v>
      </c>
      <c r="G44604" t="s">
        <v>18533</v>
      </c>
      <c r="H44604" t="s">
        <v>37427</v>
      </c>
    </row>
    <row r="44605" spans="1:8">
      <c r="A44605" t="s">
        <v>4343</v>
      </c>
      <c r="B44605">
        <f>HYPERLINK("https://android.googlesource.com/platform/cts/+/51d1e27002686c3271a10c3f3de48b8e75e19125", "51d1e27002686c3271a10c3f3de48b8e75e19125")</f>
        <v>0</v>
      </c>
      <c r="C44605">
        <f>HYPERLINK("https://android.googlesource.com/platform/cts/+/7734362ee7e3fe0fc1d5fe07b2ebdc17db3eb152", "7734362ee7e3fe0fc1d5fe07b2ebdc17db3eb152")</f>
        <v>0</v>
      </c>
      <c r="D44605" t="s">
        <v>5681</v>
      </c>
      <c r="E44605" t="s">
        <v>10014</v>
      </c>
      <c r="F44605" t="s">
        <v>14697</v>
      </c>
      <c r="G44605" t="s">
        <v>17316</v>
      </c>
      <c r="H44605" t="s">
        <v>37617</v>
      </c>
    </row>
    <row r="44606" spans="1:8">
      <c r="H44606" t="s">
        <v>37618</v>
      </c>
    </row>
    <row r="44607" spans="1:8">
      <c r="H44607" t="s">
        <v>37619</v>
      </c>
    </row>
    <row r="44608" spans="1:8">
      <c r="H44608" t="s">
        <v>37620</v>
      </c>
    </row>
    <row r="44609" spans="1:8">
      <c r="F44609" t="s">
        <v>13392</v>
      </c>
      <c r="G44609" t="s">
        <v>17518</v>
      </c>
      <c r="H44609" t="s">
        <v>37617</v>
      </c>
    </row>
    <row r="44610" spans="1:8">
      <c r="H44610" t="s">
        <v>37621</v>
      </c>
    </row>
    <row r="44611" spans="1:8">
      <c r="H44611" t="s">
        <v>37619</v>
      </c>
    </row>
    <row r="44612" spans="1:8">
      <c r="A44612" t="s">
        <v>4344</v>
      </c>
      <c r="B44612">
        <f>HYPERLINK("https://android.googlesource.com/platform/cts/+/3a55fbaba310a3bdf3cceaf47d1a32c92c9b77d7", "3a55fbaba310a3bdf3cceaf47d1a32c92c9b77d7")</f>
        <v>0</v>
      </c>
      <c r="C44612">
        <f>HYPERLINK("https://android.googlesource.com/platform/cts/+/2ae4fbe7178ad94ac015d5040de67aac1922f1a0", "2ae4fbe7178ad94ac015d5040de67aac1922f1a0")</f>
        <v>0</v>
      </c>
      <c r="D44612" t="s">
        <v>5021</v>
      </c>
      <c r="E44612" t="s">
        <v>10015</v>
      </c>
      <c r="F44612" t="s">
        <v>14700</v>
      </c>
      <c r="G44612" t="s">
        <v>18588</v>
      </c>
      <c r="H44612" t="s">
        <v>29884</v>
      </c>
    </row>
    <row r="44613" spans="1:8">
      <c r="H44613" t="s">
        <v>29885</v>
      </c>
    </row>
    <row r="44614" spans="1:8">
      <c r="H44614" t="s">
        <v>29886</v>
      </c>
    </row>
    <row r="44615" spans="1:8">
      <c r="A44615" t="s">
        <v>4345</v>
      </c>
      <c r="B44615">
        <f>HYPERLINK("https://android.googlesource.com/platform/cts/+/c920bd1963b0399fabbbbbff6b2f6fb51ecfc0c1", "c920bd1963b0399fabbbbbff6b2f6fb51ecfc0c1")</f>
        <v>0</v>
      </c>
      <c r="C44615">
        <f>HYPERLINK("https://android.googlesource.com/platform/cts/+/80deec92067ccf648b13fbd5e24de8ec640e8b09", "80deec92067ccf648b13fbd5e24de8ec640e8b09")</f>
        <v>0</v>
      </c>
      <c r="D44615" t="s">
        <v>5684</v>
      </c>
      <c r="E44615" t="s">
        <v>10016</v>
      </c>
      <c r="F44615" t="s">
        <v>14701</v>
      </c>
      <c r="G44615" t="s">
        <v>18589</v>
      </c>
      <c r="H44615" t="s">
        <v>19981</v>
      </c>
    </row>
    <row r="44616" spans="1:8">
      <c r="A44616" t="s">
        <v>4346</v>
      </c>
      <c r="B44616">
        <f>HYPERLINK("https://android.googlesource.com/platform/cts/+/c9168ca1af170451667da872bc6f041831841728", "c9168ca1af170451667da872bc6f041831841728")</f>
        <v>0</v>
      </c>
      <c r="C44616">
        <f>HYPERLINK("https://android.googlesource.com/platform/cts/+/07298ed28ee5051503d33afdc8b1343a6b57c4ee", "07298ed28ee5051503d33afdc8b1343a6b57c4ee")</f>
        <v>0</v>
      </c>
      <c r="D44616" t="s">
        <v>5645</v>
      </c>
      <c r="E44616" t="s">
        <v>10017</v>
      </c>
      <c r="F44616" t="s">
        <v>12176</v>
      </c>
      <c r="G44616" t="s">
        <v>16415</v>
      </c>
      <c r="H44616" t="s">
        <v>37622</v>
      </c>
    </row>
    <row r="44617" spans="1:8">
      <c r="A44617" t="s">
        <v>4347</v>
      </c>
      <c r="B44617">
        <f>HYPERLINK("https://android.googlesource.com/platform/cts/+/562583f26131f45b7db32c50d2d2ce1f1465c167", "562583f26131f45b7db32c50d2d2ce1f1465c167")</f>
        <v>0</v>
      </c>
      <c r="C44617">
        <f>HYPERLINK("https://android.googlesource.com/platform/cts/+/da2602313a3029c44df290b5c232b68052f7e806", "da2602313a3029c44df290b5c232b68052f7e806")</f>
        <v>0</v>
      </c>
      <c r="D44617" t="s">
        <v>5409</v>
      </c>
      <c r="E44617" t="s">
        <v>10018</v>
      </c>
      <c r="F44617" t="s">
        <v>14702</v>
      </c>
      <c r="G44617" t="s">
        <v>18590</v>
      </c>
      <c r="H44617" t="s">
        <v>18829</v>
      </c>
    </row>
    <row r="44618" spans="1:8">
      <c r="H44618" t="s">
        <v>37623</v>
      </c>
    </row>
    <row r="44619" spans="1:8">
      <c r="H44619" t="s">
        <v>37624</v>
      </c>
    </row>
    <row r="44620" spans="1:8">
      <c r="H44620" t="s">
        <v>37625</v>
      </c>
    </row>
    <row r="44621" spans="1:8">
      <c r="H44621" t="s">
        <v>37626</v>
      </c>
    </row>
    <row r="44622" spans="1:8">
      <c r="H44622" t="s">
        <v>37627</v>
      </c>
    </row>
    <row r="44623" spans="1:8">
      <c r="H44623" t="s">
        <v>37628</v>
      </c>
    </row>
    <row r="44624" spans="1:8">
      <c r="H44624" t="s">
        <v>37629</v>
      </c>
    </row>
    <row r="44625" spans="1:8">
      <c r="H44625" t="s">
        <v>37630</v>
      </c>
    </row>
    <row r="44626" spans="1:8">
      <c r="H44626" t="s">
        <v>37631</v>
      </c>
    </row>
    <row r="44627" spans="1:8">
      <c r="H44627" t="s">
        <v>37632</v>
      </c>
    </row>
    <row r="44628" spans="1:8">
      <c r="H44628" t="s">
        <v>37633</v>
      </c>
    </row>
    <row r="44629" spans="1:8">
      <c r="H44629" t="s">
        <v>37634</v>
      </c>
    </row>
    <row r="44630" spans="1:8">
      <c r="H44630" t="s">
        <v>37635</v>
      </c>
    </row>
    <row r="44631" spans="1:8">
      <c r="H44631" t="s">
        <v>37636</v>
      </c>
    </row>
    <row r="44632" spans="1:8">
      <c r="H44632" t="s">
        <v>37637</v>
      </c>
    </row>
    <row r="44633" spans="1:8">
      <c r="H44633" t="s">
        <v>37638</v>
      </c>
    </row>
    <row r="44634" spans="1:8">
      <c r="A44634" t="s">
        <v>4349</v>
      </c>
      <c r="B44634">
        <f>HYPERLINK("https://android.googlesource.com/platform/cts/+/3af98153ef190ab9c361f6ba4d3d5a26bebc8222", "3af98153ef190ab9c361f6ba4d3d5a26bebc8222")</f>
        <v>0</v>
      </c>
      <c r="C44634">
        <f>HYPERLINK("https://android.googlesource.com/platform/cts/+/74591bde48e5c7ade93c657e14aac80fed86a0eb", "74591bde48e5c7ade93c657e14aac80fed86a0eb")</f>
        <v>0</v>
      </c>
      <c r="D44634" t="s">
        <v>5685</v>
      </c>
      <c r="E44634" t="s">
        <v>10020</v>
      </c>
      <c r="F44634" t="s">
        <v>14540</v>
      </c>
      <c r="G44634" t="s">
        <v>18464</v>
      </c>
      <c r="H44634" t="s">
        <v>37639</v>
      </c>
    </row>
    <row r="44635" spans="1:8">
      <c r="F44635" t="s">
        <v>12743</v>
      </c>
      <c r="G44635" t="s">
        <v>16935</v>
      </c>
      <c r="H44635" t="s">
        <v>37639</v>
      </c>
    </row>
    <row r="44636" spans="1:8">
      <c r="A44636" t="s">
        <v>4351</v>
      </c>
      <c r="B44636">
        <f>HYPERLINK("https://android.googlesource.com/platform/cts/+/fac20484489a1521b93da8efb8afd7e9e181f3cd", "fac20484489a1521b93da8efb8afd7e9e181f3cd")</f>
        <v>0</v>
      </c>
      <c r="C44636">
        <f>HYPERLINK("https://android.googlesource.com/platform/cts/+/db86295685fb2d24a838b2b1ee3e56b0e3c358fc", "db86295685fb2d24a838b2b1ee3e56b0e3c358fc")</f>
        <v>0</v>
      </c>
      <c r="D44636" t="s">
        <v>5569</v>
      </c>
      <c r="E44636" t="s">
        <v>10022</v>
      </c>
      <c r="F44636" t="s">
        <v>14273</v>
      </c>
      <c r="G44636" t="s">
        <v>18240</v>
      </c>
      <c r="H44636" t="s">
        <v>22334</v>
      </c>
    </row>
    <row r="44637" spans="1:8">
      <c r="H44637" t="s">
        <v>37640</v>
      </c>
    </row>
    <row r="44638" spans="1:8">
      <c r="A44638" t="s">
        <v>4352</v>
      </c>
      <c r="B44638">
        <f>HYPERLINK("https://android.googlesource.com/platform/cts/+/f51224949188a760cf007302fc29640951a45e7d", "f51224949188a760cf007302fc29640951a45e7d")</f>
        <v>0</v>
      </c>
      <c r="C44638">
        <f>HYPERLINK("https://android.googlesource.com/platform/cts/+/93c0427f66b8918067e8f45f0ad62dcd21da52d0", "93c0427f66b8918067e8f45f0ad62dcd21da52d0")</f>
        <v>0</v>
      </c>
      <c r="D44638" t="s">
        <v>5670</v>
      </c>
      <c r="E44638" t="s">
        <v>10023</v>
      </c>
      <c r="F44638" t="s">
        <v>14703</v>
      </c>
      <c r="G44638" t="s">
        <v>18591</v>
      </c>
      <c r="H44638" t="s">
        <v>37641</v>
      </c>
    </row>
    <row r="44639" spans="1:8">
      <c r="F44639" t="s">
        <v>14704</v>
      </c>
      <c r="G44639" t="s">
        <v>18592</v>
      </c>
      <c r="H44639" t="s">
        <v>18829</v>
      </c>
    </row>
    <row r="44640" spans="1:8">
      <c r="H44640" t="s">
        <v>37642</v>
      </c>
    </row>
    <row r="44641" spans="1:8">
      <c r="H44641" t="s">
        <v>37643</v>
      </c>
    </row>
    <row r="44642" spans="1:8">
      <c r="F44642" t="s">
        <v>14705</v>
      </c>
      <c r="G44642" t="s">
        <v>18593</v>
      </c>
      <c r="H44642" t="s">
        <v>37644</v>
      </c>
    </row>
    <row r="44643" spans="1:8">
      <c r="H44643" t="s">
        <v>37645</v>
      </c>
    </row>
    <row r="44644" spans="1:8">
      <c r="H44644" t="s">
        <v>37646</v>
      </c>
    </row>
    <row r="44645" spans="1:8">
      <c r="H44645" t="s">
        <v>37647</v>
      </c>
    </row>
    <row r="44646" spans="1:8">
      <c r="H44646" t="s">
        <v>37648</v>
      </c>
    </row>
    <row r="44647" spans="1:8">
      <c r="F44647" t="s">
        <v>14706</v>
      </c>
      <c r="G44647" t="s">
        <v>18594</v>
      </c>
      <c r="H44647" t="s">
        <v>37641</v>
      </c>
    </row>
    <row r="44648" spans="1:8">
      <c r="A44648" t="s">
        <v>4353</v>
      </c>
      <c r="B44648">
        <f>HYPERLINK("https://android.googlesource.com/platform/cts/+/bc80a038f8de952f31ac9396f00b3908ccf134e7", "bc80a038f8de952f31ac9396f00b3908ccf134e7")</f>
        <v>0</v>
      </c>
      <c r="C44648">
        <f>HYPERLINK("https://android.googlesource.com/platform/cts/+/5cc0002148066a6bc92bc761e08e31a431667e71", "5cc0002148066a6bc92bc761e08e31a431667e71")</f>
        <v>0</v>
      </c>
      <c r="D44648" t="s">
        <v>5686</v>
      </c>
      <c r="E44648" t="s">
        <v>10024</v>
      </c>
      <c r="F44648" t="s">
        <v>13225</v>
      </c>
      <c r="G44648" t="s">
        <v>17366</v>
      </c>
      <c r="H44648" t="s">
        <v>37649</v>
      </c>
    </row>
    <row r="44649" spans="1:8">
      <c r="A44649" t="s">
        <v>4354</v>
      </c>
      <c r="B44649">
        <f>HYPERLINK("https://android.googlesource.com/platform/cts/+/2aa2323360365d6c236d9a98c1c82b9fbd22de2f", "2aa2323360365d6c236d9a98c1c82b9fbd22de2f")</f>
        <v>0</v>
      </c>
      <c r="C44649">
        <f>HYPERLINK("https://android.googlesource.com/platform/cts/+/a76dbc6c8d82e5d2e20662f14d943819749f3d57", "a76dbc6c8d82e5d2e20662f14d943819749f3d57")</f>
        <v>0</v>
      </c>
      <c r="D44649" t="s">
        <v>5687</v>
      </c>
      <c r="E44649" t="s">
        <v>10025</v>
      </c>
      <c r="F44649" t="s">
        <v>13827</v>
      </c>
      <c r="G44649" t="s">
        <v>17871</v>
      </c>
      <c r="H44649" t="s">
        <v>28404</v>
      </c>
    </row>
    <row r="44650" spans="1:8">
      <c r="A44650" t="s">
        <v>4355</v>
      </c>
      <c r="B44650">
        <f>HYPERLINK("https://android.googlesource.com/platform/cts/+/4b73d374ef778ffcaa4bfd141a2b675872f93b24", "4b73d374ef778ffcaa4bfd141a2b675872f93b24")</f>
        <v>0</v>
      </c>
      <c r="C44650">
        <f>HYPERLINK("https://android.googlesource.com/platform/cts/+/35648503dfd4e0662e876614f883be2803c6c75e", "35648503dfd4e0662e876614f883be2803c6c75e")</f>
        <v>0</v>
      </c>
      <c r="D44650" t="s">
        <v>5688</v>
      </c>
      <c r="E44650" t="s">
        <v>10026</v>
      </c>
      <c r="F44650" t="s">
        <v>14536</v>
      </c>
      <c r="G44650" t="s">
        <v>18460</v>
      </c>
      <c r="H44650" t="s">
        <v>37650</v>
      </c>
    </row>
    <row r="44651" spans="1:8">
      <c r="A44651" t="s">
        <v>4357</v>
      </c>
      <c r="B44651">
        <f>HYPERLINK("https://android.googlesource.com/platform/cts/+/3fe97654b19ddd310ee47d7ff3ab8a5fb6eb823c", "3fe97654b19ddd310ee47d7ff3ab8a5fb6eb823c")</f>
        <v>0</v>
      </c>
      <c r="C44651">
        <f>HYPERLINK("https://android.googlesource.com/platform/cts/+/19e702e9d30c8e2fe6eac7b1fd2c447af5a84af9", "19e702e9d30c8e2fe6eac7b1fd2c447af5a84af9")</f>
        <v>0</v>
      </c>
      <c r="D44651" t="s">
        <v>5437</v>
      </c>
      <c r="E44651" t="s">
        <v>10028</v>
      </c>
      <c r="F44651" t="s">
        <v>12845</v>
      </c>
      <c r="G44651" t="s">
        <v>16561</v>
      </c>
      <c r="H44651" t="s">
        <v>37651</v>
      </c>
    </row>
    <row r="44652" spans="1:8">
      <c r="A44652" t="s">
        <v>4359</v>
      </c>
      <c r="B44652">
        <f>HYPERLINK("https://android.googlesource.com/platform/cts/+/e116edd8fc9e01bde4156ba43210c14a4190c7a5", "e116edd8fc9e01bde4156ba43210c14a4190c7a5")</f>
        <v>0</v>
      </c>
      <c r="C44652">
        <f>HYPERLINK("https://android.googlesource.com/platform/cts/+/74fad4d53b3e34921de625a64ae6d9f0aa1c832d", "74fad4d53b3e34921de625a64ae6d9f0aa1c832d")</f>
        <v>0</v>
      </c>
      <c r="D44652" t="s">
        <v>5610</v>
      </c>
      <c r="E44652" t="s">
        <v>10029</v>
      </c>
      <c r="F44652" t="s">
        <v>14653</v>
      </c>
      <c r="G44652" t="s">
        <v>17776</v>
      </c>
      <c r="H44652" t="s">
        <v>37652</v>
      </c>
    </row>
    <row r="44653" spans="1:8">
      <c r="H44653" t="s">
        <v>37653</v>
      </c>
    </row>
    <row r="44654" spans="1:8">
      <c r="A44654" t="s">
        <v>4360</v>
      </c>
      <c r="B44654">
        <f>HYPERLINK("https://android.googlesource.com/platform/cts/+/3219937dfdc8fd5981e62b6bdb9e00f3f4958450", "3219937dfdc8fd5981e62b6bdb9e00f3f4958450")</f>
        <v>0</v>
      </c>
      <c r="C44654">
        <f>HYPERLINK("https://android.googlesource.com/platform/cts/+/257528a5a6bcd0fb898f686b92cdb627fe6523ae", "257528a5a6bcd0fb898f686b92cdb627fe6523ae")</f>
        <v>0</v>
      </c>
      <c r="D44654" t="s">
        <v>5564</v>
      </c>
      <c r="E44654" t="s">
        <v>10030</v>
      </c>
      <c r="F44654" t="s">
        <v>11473</v>
      </c>
      <c r="G44654" t="s">
        <v>15713</v>
      </c>
      <c r="H44654" t="s">
        <v>18829</v>
      </c>
    </row>
    <row r="44655" spans="1:8">
      <c r="H44655" t="s">
        <v>18863</v>
      </c>
    </row>
    <row r="44656" spans="1:8">
      <c r="H44656" t="s">
        <v>37654</v>
      </c>
    </row>
    <row r="44657" spans="1:8">
      <c r="H44657" t="s">
        <v>18927</v>
      </c>
    </row>
    <row r="44658" spans="1:8">
      <c r="H44658" t="s">
        <v>34778</v>
      </c>
    </row>
    <row r="44659" spans="1:8">
      <c r="H44659" t="s">
        <v>36474</v>
      </c>
    </row>
    <row r="44660" spans="1:8">
      <c r="H44660" t="s">
        <v>37655</v>
      </c>
    </row>
    <row r="44661" spans="1:8">
      <c r="H44661" t="s">
        <v>37656</v>
      </c>
    </row>
    <row r="44662" spans="1:8">
      <c r="H44662" t="s">
        <v>37657</v>
      </c>
    </row>
    <row r="44663" spans="1:8">
      <c r="H44663" t="s">
        <v>37658</v>
      </c>
    </row>
    <row r="44664" spans="1:8">
      <c r="H44664" t="s">
        <v>37659</v>
      </c>
    </row>
    <row r="44665" spans="1:8">
      <c r="H44665" t="s">
        <v>37660</v>
      </c>
    </row>
    <row r="44666" spans="1:8">
      <c r="H44666" t="s">
        <v>37661</v>
      </c>
    </row>
    <row r="44667" spans="1:8">
      <c r="H44667" t="s">
        <v>37662</v>
      </c>
    </row>
    <row r="44668" spans="1:8">
      <c r="A44668" t="s">
        <v>4361</v>
      </c>
      <c r="B44668">
        <f>HYPERLINK("https://android.googlesource.com/platform/cts/+/54c24e7f93c63b4c1ce46d153ae0e2fd8b4cfb59", "54c24e7f93c63b4c1ce46d153ae0e2fd8b4cfb59")</f>
        <v>0</v>
      </c>
      <c r="C44668">
        <f>HYPERLINK("https://android.googlesource.com/platform/cts/+/b9f9454b2bfb1363086625735253181b19c66843", "b9f9454b2bfb1363086625735253181b19c66843")</f>
        <v>0</v>
      </c>
      <c r="D44668" t="s">
        <v>5520</v>
      </c>
      <c r="E44668" t="s">
        <v>10031</v>
      </c>
      <c r="F44668" t="s">
        <v>13918</v>
      </c>
      <c r="G44668" t="s">
        <v>17954</v>
      </c>
      <c r="H44668" t="s">
        <v>37663</v>
      </c>
    </row>
    <row r="44669" spans="1:8">
      <c r="H44669" t="s">
        <v>19882</v>
      </c>
    </row>
    <row r="44670" spans="1:8">
      <c r="A44670" t="s">
        <v>4363</v>
      </c>
      <c r="B44670">
        <f>HYPERLINK("https://android.googlesource.com/platform/cts/+/295198846b3417033b8fa68dce92d2cacce20b89", "295198846b3417033b8fa68dce92d2cacce20b89")</f>
        <v>0</v>
      </c>
      <c r="C44670">
        <f>HYPERLINK("https://android.googlesource.com/platform/cts/+/e50790281b683df23f6dbb61f89ac708ddfad85b", "e50790281b683df23f6dbb61f89ac708ddfad85b")</f>
        <v>0</v>
      </c>
      <c r="D44670" t="s">
        <v>5690</v>
      </c>
      <c r="E44670" t="s">
        <v>10033</v>
      </c>
      <c r="F44670" t="s">
        <v>10784</v>
      </c>
      <c r="G44670" t="s">
        <v>15180</v>
      </c>
      <c r="H44670" t="s">
        <v>37664</v>
      </c>
    </row>
    <row r="44671" spans="1:8">
      <c r="A44671" t="s">
        <v>4365</v>
      </c>
      <c r="B44671">
        <f>HYPERLINK("https://android.googlesource.com/platform/cts/+/baa38e9e92e8ba45bd30c8f5e0f073eaef3c742f", "baa38e9e92e8ba45bd30c8f5e0f073eaef3c742f")</f>
        <v>0</v>
      </c>
      <c r="C44671">
        <f>HYPERLINK("https://android.googlesource.com/platform/cts/+/7b1866771425dc22d5bb463997995878e86340d4", "7b1866771425dc22d5bb463997995878e86340d4")</f>
        <v>0</v>
      </c>
      <c r="D44671" t="s">
        <v>5581</v>
      </c>
      <c r="E44671" t="s">
        <v>10035</v>
      </c>
      <c r="F44671" t="s">
        <v>14707</v>
      </c>
      <c r="G44671" t="s">
        <v>18595</v>
      </c>
      <c r="H44671" t="s">
        <v>37665</v>
      </c>
    </row>
    <row r="44672" spans="1:8">
      <c r="H44672" t="s">
        <v>28456</v>
      </c>
    </row>
    <row r="44673" spans="1:8">
      <c r="A44673" t="s">
        <v>4366</v>
      </c>
      <c r="B44673">
        <f>HYPERLINK("https://android.googlesource.com/platform/cts/+/0aa5ab6e3b6a123b703f9f27be35b37ae109490f", "0aa5ab6e3b6a123b703f9f27be35b37ae109490f")</f>
        <v>0</v>
      </c>
      <c r="C44673">
        <f>HYPERLINK("https://android.googlesource.com/platform/cts/+/690f5a954398087be51ea15c39dac0644973c2d7", "690f5a954398087be51ea15c39dac0644973c2d7")</f>
        <v>0</v>
      </c>
      <c r="D44673" t="s">
        <v>5465</v>
      </c>
      <c r="E44673" t="s">
        <v>10036</v>
      </c>
      <c r="F44673" t="s">
        <v>14461</v>
      </c>
      <c r="G44673" t="s">
        <v>15710</v>
      </c>
      <c r="H44673" t="s">
        <v>37666</v>
      </c>
    </row>
    <row r="44674" spans="1:8">
      <c r="H44674" t="s">
        <v>37667</v>
      </c>
    </row>
    <row r="44675" spans="1:8">
      <c r="A44675" t="s">
        <v>4367</v>
      </c>
      <c r="B44675">
        <f>HYPERLINK("https://android.googlesource.com/platform/cts/+/475c4e6c657ec1edcafb487de774260e4342cbe8", "475c4e6c657ec1edcafb487de774260e4342cbe8")</f>
        <v>0</v>
      </c>
      <c r="C44675">
        <f>HYPERLINK("https://android.googlesource.com/platform/cts/+/fa7c1ee6ab2344a1fbbc1cc4d2936e9445cc005b", "fa7c1ee6ab2344a1fbbc1cc4d2936e9445cc005b")</f>
        <v>0</v>
      </c>
      <c r="D44675" t="s">
        <v>5527</v>
      </c>
      <c r="E44675" t="s">
        <v>10037</v>
      </c>
      <c r="F44675" t="s">
        <v>12185</v>
      </c>
      <c r="G44675" t="s">
        <v>16424</v>
      </c>
      <c r="H44675" t="s">
        <v>37668</v>
      </c>
    </row>
    <row r="44676" spans="1:8">
      <c r="H44676" t="s">
        <v>37668</v>
      </c>
    </row>
    <row r="44677" spans="1:8">
      <c r="H44677" t="s">
        <v>37668</v>
      </c>
    </row>
    <row r="44678" spans="1:8">
      <c r="H44678" t="s">
        <v>37668</v>
      </c>
    </row>
    <row r="44679" spans="1:8">
      <c r="H44679" t="s">
        <v>32296</v>
      </c>
    </row>
    <row r="44680" spans="1:8">
      <c r="H44680" t="s">
        <v>25704</v>
      </c>
    </row>
    <row r="44681" spans="1:8">
      <c r="H44681" t="s">
        <v>18853</v>
      </c>
    </row>
    <row r="44682" spans="1:8">
      <c r="H44682" t="s">
        <v>37669</v>
      </c>
    </row>
    <row r="44683" spans="1:8">
      <c r="H44683" t="s">
        <v>32296</v>
      </c>
    </row>
    <row r="44684" spans="1:8">
      <c r="H44684" t="s">
        <v>37670</v>
      </c>
    </row>
    <row r="44685" spans="1:8">
      <c r="H44685" t="s">
        <v>37670</v>
      </c>
    </row>
    <row r="44686" spans="1:8">
      <c r="H44686" t="s">
        <v>37671</v>
      </c>
    </row>
    <row r="44687" spans="1:8">
      <c r="H44687" t="s">
        <v>32296</v>
      </c>
    </row>
    <row r="44688" spans="1:8">
      <c r="H44688" t="s">
        <v>37672</v>
      </c>
    </row>
    <row r="44689" spans="1:8">
      <c r="A44689" t="s">
        <v>4369</v>
      </c>
      <c r="B44689">
        <f>HYPERLINK("https://android.googlesource.com/platform/cts/+/9a30fca9f8f4c6da04af1c5a8895a18749acb094", "9a30fca9f8f4c6da04af1c5a8895a18749acb094")</f>
        <v>0</v>
      </c>
      <c r="C44689">
        <f>HYPERLINK("https://android.googlesource.com/platform/cts/+/0ddee11e4fef17db7d7e5538e8ffd80b4fd70b39", "0ddee11e4fef17db7d7e5538e8ffd80b4fd70b39")</f>
        <v>0</v>
      </c>
      <c r="D44689" t="s">
        <v>5409</v>
      </c>
      <c r="E44689" t="s">
        <v>10039</v>
      </c>
      <c r="F44689" t="s">
        <v>12743</v>
      </c>
      <c r="G44689" t="s">
        <v>16935</v>
      </c>
      <c r="H44689" t="s">
        <v>37673</v>
      </c>
    </row>
    <row r="44690" spans="1:8">
      <c r="H44690" t="s">
        <v>37674</v>
      </c>
    </row>
    <row r="44691" spans="1:8">
      <c r="H44691" t="s">
        <v>37675</v>
      </c>
    </row>
    <row r="44692" spans="1:8">
      <c r="H44692" t="s">
        <v>37676</v>
      </c>
    </row>
    <row r="44693" spans="1:8">
      <c r="F44693" t="s">
        <v>13229</v>
      </c>
      <c r="G44693" t="s">
        <v>17370</v>
      </c>
      <c r="H44693" t="s">
        <v>37673</v>
      </c>
    </row>
    <row r="44694" spans="1:8">
      <c r="H44694" t="s">
        <v>37674</v>
      </c>
    </row>
    <row r="44695" spans="1:8">
      <c r="A44695" t="s">
        <v>4370</v>
      </c>
      <c r="B44695">
        <f>HYPERLINK("https://android.googlesource.com/platform/cts/+/18087f6e41d5e6cc40d9f79ef4e0ff87a23c01af", "18087f6e41d5e6cc40d9f79ef4e0ff87a23c01af")</f>
        <v>0</v>
      </c>
      <c r="C44695">
        <f>HYPERLINK("https://android.googlesource.com/platform/cts/+/55e11d1cbf4812e764e1de79426a1dc27d225405", "55e11d1cbf4812e764e1de79426a1dc27d225405")</f>
        <v>0</v>
      </c>
      <c r="D44695" t="s">
        <v>5669</v>
      </c>
      <c r="E44695" t="s">
        <v>10040</v>
      </c>
      <c r="F44695" t="s">
        <v>13277</v>
      </c>
      <c r="G44695" t="s">
        <v>17414</v>
      </c>
      <c r="H44695" t="s">
        <v>37677</v>
      </c>
    </row>
    <row r="44696" spans="1:8">
      <c r="H44696" t="s">
        <v>37678</v>
      </c>
    </row>
    <row r="44697" spans="1:8">
      <c r="A44697" t="s">
        <v>4371</v>
      </c>
      <c r="B44697">
        <f>HYPERLINK("https://android.googlesource.com/platform/cts/+/51dfc93f1fc74b18f3fdd436ed86c90653fac446", "51dfc93f1fc74b18f3fdd436ed86c90653fac446")</f>
        <v>0</v>
      </c>
      <c r="C44697">
        <f>HYPERLINK("https://android.googlesource.com/platform/cts/+/08c9bda71c6c8dcd3c63794a23d07253f2953fff", "08c9bda71c6c8dcd3c63794a23d07253f2953fff")</f>
        <v>0</v>
      </c>
      <c r="D44697" t="s">
        <v>5453</v>
      </c>
      <c r="E44697" t="s">
        <v>10041</v>
      </c>
      <c r="F44697" t="s">
        <v>14343</v>
      </c>
      <c r="G44697" t="s">
        <v>18295</v>
      </c>
      <c r="H44697" t="s">
        <v>19981</v>
      </c>
    </row>
    <row r="44698" spans="1:8">
      <c r="A44698" t="s">
        <v>4375</v>
      </c>
      <c r="B44698">
        <f>HYPERLINK("https://android.googlesource.com/platform/cts/+/4d2e1d03ebe075af399c256ea998b8c84b33a406", "4d2e1d03ebe075af399c256ea998b8c84b33a406")</f>
        <v>0</v>
      </c>
      <c r="C44698">
        <f>HYPERLINK("https://android.googlesource.com/platform/cts/+/172b613630a350ada5db1deea6cca4df9f38597e", "172b613630a350ada5db1deea6cca4df9f38597e")</f>
        <v>0</v>
      </c>
      <c r="D44698" t="s">
        <v>4965</v>
      </c>
      <c r="E44698" t="s">
        <v>10045</v>
      </c>
      <c r="F44698" t="s">
        <v>14503</v>
      </c>
      <c r="G44698" t="s">
        <v>18431</v>
      </c>
      <c r="H44698" t="s">
        <v>37679</v>
      </c>
    </row>
    <row r="44699" spans="1:8">
      <c r="A44699" t="s">
        <v>4376</v>
      </c>
      <c r="B44699">
        <f>HYPERLINK("https://android.googlesource.com/platform/cts/+/6b74d5aeff94db009ed8bfe23dfa9ec6c3bceb14", "6b74d5aeff94db009ed8bfe23dfa9ec6c3bceb14")</f>
        <v>0</v>
      </c>
      <c r="C44699">
        <f>HYPERLINK("https://android.googlesource.com/platform/cts/+/f1e81a83b9900a2311d2402940fa0d98b5fd18f4", "f1e81a83b9900a2311d2402940fa0d98b5fd18f4")</f>
        <v>0</v>
      </c>
      <c r="D44699" t="s">
        <v>5409</v>
      </c>
      <c r="E44699" t="s">
        <v>10046</v>
      </c>
      <c r="F44699" t="s">
        <v>14578</v>
      </c>
      <c r="G44699" t="s">
        <v>16823</v>
      </c>
      <c r="H44699" t="s">
        <v>37680</v>
      </c>
    </row>
    <row r="44700" spans="1:8">
      <c r="A44700" t="s">
        <v>4378</v>
      </c>
      <c r="B44700">
        <f>HYPERLINK("https://android.googlesource.com/platform/cts/+/1f6856c65d27ec7adbbb54693bbd721e5e08a133", "1f6856c65d27ec7adbbb54693bbd721e5e08a133")</f>
        <v>0</v>
      </c>
      <c r="C44700">
        <f>HYPERLINK("https://android.googlesource.com/platform/cts/+/97d7d5f16429d09b8c23e66ff92c28074b491e14", "97d7d5f16429d09b8c23e66ff92c28074b491e14")</f>
        <v>0</v>
      </c>
      <c r="D44700" t="s">
        <v>5409</v>
      </c>
      <c r="E44700" t="s">
        <v>10048</v>
      </c>
      <c r="F44700" t="s">
        <v>14136</v>
      </c>
      <c r="G44700" t="s">
        <v>18124</v>
      </c>
      <c r="H44700" t="s">
        <v>37681</v>
      </c>
    </row>
    <row r="44701" spans="1:8">
      <c r="F44701" t="s">
        <v>14350</v>
      </c>
      <c r="G44701" t="s">
        <v>18301</v>
      </c>
      <c r="H44701" t="s">
        <v>37682</v>
      </c>
    </row>
    <row r="44702" spans="1:8">
      <c r="F44702" t="s">
        <v>12743</v>
      </c>
      <c r="G44702" t="s">
        <v>16935</v>
      </c>
      <c r="H44702" t="s">
        <v>37681</v>
      </c>
    </row>
    <row r="44703" spans="1:8">
      <c r="F44703" t="s">
        <v>14390</v>
      </c>
      <c r="G44703" t="s">
        <v>18331</v>
      </c>
      <c r="H44703" t="s">
        <v>30867</v>
      </c>
    </row>
    <row r="44704" spans="1:8">
      <c r="A44704" t="s">
        <v>4379</v>
      </c>
      <c r="B44704">
        <f>HYPERLINK("https://android.googlesource.com/platform/cts/+/aa572b329059d6ecda749bae1f32eaedad528d4e", "aa572b329059d6ecda749bae1f32eaedad528d4e")</f>
        <v>0</v>
      </c>
      <c r="C44704">
        <f>HYPERLINK("https://android.googlesource.com/platform/cts/+/4a8d8747786b23107a043cee0b1f8bd32215d949", "4a8d8747786b23107a043cee0b1f8bd32215d949")</f>
        <v>0</v>
      </c>
      <c r="D44704" t="s">
        <v>5547</v>
      </c>
      <c r="E44704" t="s">
        <v>10049</v>
      </c>
      <c r="F44704" t="s">
        <v>14658</v>
      </c>
      <c r="G44704" t="s">
        <v>18019</v>
      </c>
      <c r="H44704" t="s">
        <v>37683</v>
      </c>
    </row>
    <row r="44705" spans="1:8">
      <c r="A44705" t="s">
        <v>4380</v>
      </c>
      <c r="B44705">
        <f>HYPERLINK("https://android.googlesource.com/platform/cts/+/b85019552d10cf6576d1c84f1af0eb87ad595f63", "b85019552d10cf6576d1c84f1af0eb87ad595f63")</f>
        <v>0</v>
      </c>
      <c r="C44705">
        <f>HYPERLINK("https://android.googlesource.com/platform/cts/+/d938ad3a3883b4a8671006380a4525c5e50c5d2d", "d938ad3a3883b4a8671006380a4525c5e50c5d2d")</f>
        <v>0</v>
      </c>
      <c r="D44705" t="s">
        <v>5685</v>
      </c>
      <c r="E44705" t="s">
        <v>10050</v>
      </c>
      <c r="F44705" t="s">
        <v>14539</v>
      </c>
      <c r="G44705" t="s">
        <v>18463</v>
      </c>
      <c r="H44705" t="s">
        <v>37684</v>
      </c>
    </row>
    <row r="44706" spans="1:8">
      <c r="F44706" t="s">
        <v>12743</v>
      </c>
      <c r="G44706" t="s">
        <v>16935</v>
      </c>
      <c r="H44706" t="s">
        <v>37684</v>
      </c>
    </row>
    <row r="44707" spans="1:8">
      <c r="A44707" t="s">
        <v>4381</v>
      </c>
      <c r="B44707">
        <f>HYPERLINK("https://android.googlesource.com/platform/cts/+/52e1582c3ca0016f1f94b74b33b0a79e2b271723", "52e1582c3ca0016f1f94b74b33b0a79e2b271723")</f>
        <v>0</v>
      </c>
      <c r="C44707">
        <f>HYPERLINK("https://android.googlesource.com/platform/cts/+/06880e80e8163ce128d8bbd0f9ce7c88b7b04dd4", "06880e80e8163ce128d8bbd0f9ce7c88b7b04dd4")</f>
        <v>0</v>
      </c>
      <c r="D44707" t="s">
        <v>5690</v>
      </c>
      <c r="E44707" t="s">
        <v>10051</v>
      </c>
      <c r="F44707" t="s">
        <v>10784</v>
      </c>
      <c r="G44707" t="s">
        <v>15180</v>
      </c>
      <c r="H44707" t="s">
        <v>37664</v>
      </c>
    </row>
    <row r="44708" spans="1:8">
      <c r="A44708" t="s">
        <v>4382</v>
      </c>
      <c r="B44708">
        <f>HYPERLINK("https://android.googlesource.com/platform/cts/+/68df91e7deb4b34fb11d3a0c52476c9132e827f2", "68df91e7deb4b34fb11d3a0c52476c9132e827f2")</f>
        <v>0</v>
      </c>
      <c r="C44708">
        <f>HYPERLINK("https://android.googlesource.com/platform/cts/+/55e11d1cbf4812e764e1de79426a1dc27d225405", "55e11d1cbf4812e764e1de79426a1dc27d225405")</f>
        <v>0</v>
      </c>
      <c r="D44708" t="s">
        <v>5693</v>
      </c>
      <c r="E44708" t="s">
        <v>10052</v>
      </c>
      <c r="F44708" t="s">
        <v>13816</v>
      </c>
      <c r="G44708" t="s">
        <v>15089</v>
      </c>
      <c r="H44708" t="s">
        <v>37685</v>
      </c>
    </row>
    <row r="44709" spans="1:8">
      <c r="A44709" t="s">
        <v>4383</v>
      </c>
      <c r="B44709">
        <f>HYPERLINK("https://android.googlesource.com/platform/cts/+/8107a505b9872245ca145c76eff85151d5a44862", "8107a505b9872245ca145c76eff85151d5a44862")</f>
        <v>0</v>
      </c>
      <c r="C44709">
        <f>HYPERLINK("https://android.googlesource.com/platform/cts/+/d43140e13c389ef286ff90b66836281c93a3d90e", "d43140e13c389ef286ff90b66836281c93a3d90e")</f>
        <v>0</v>
      </c>
      <c r="D44709" t="s">
        <v>5653</v>
      </c>
      <c r="E44709" t="s">
        <v>10053</v>
      </c>
      <c r="F44709" t="s">
        <v>14614</v>
      </c>
      <c r="G44709" t="s">
        <v>18526</v>
      </c>
      <c r="H44709" t="s">
        <v>37686</v>
      </c>
    </row>
    <row r="44710" spans="1:8">
      <c r="A44710" t="s">
        <v>4384</v>
      </c>
      <c r="B44710">
        <f>HYPERLINK("https://android.googlesource.com/platform/cts/+/b4454b4ac95ea4076cc07152e288c78c0ebcb404", "b4454b4ac95ea4076cc07152e288c78c0ebcb404")</f>
        <v>0</v>
      </c>
      <c r="C44710">
        <f>HYPERLINK("https://android.googlesource.com/platform/cts/+/55e11d1cbf4812e764e1de79426a1dc27d225405", "55e11d1cbf4812e764e1de79426a1dc27d225405")</f>
        <v>0</v>
      </c>
      <c r="D44710" t="s">
        <v>5526</v>
      </c>
      <c r="E44710" t="s">
        <v>10054</v>
      </c>
      <c r="F44710" t="s">
        <v>14708</v>
      </c>
      <c r="G44710" t="s">
        <v>18596</v>
      </c>
      <c r="H44710" t="s">
        <v>18863</v>
      </c>
    </row>
    <row r="44711" spans="1:8">
      <c r="H44711" t="s">
        <v>34004</v>
      </c>
    </row>
    <row r="44712" spans="1:8">
      <c r="H44712" t="s">
        <v>34005</v>
      </c>
    </row>
    <row r="44713" spans="1:8">
      <c r="H44713" t="s">
        <v>37687</v>
      </c>
    </row>
    <row r="44714" spans="1:8">
      <c r="H44714" t="s">
        <v>37688</v>
      </c>
    </row>
    <row r="44715" spans="1:8">
      <c r="A44715" t="s">
        <v>4385</v>
      </c>
      <c r="B44715">
        <f>HYPERLINK("https://android.googlesource.com/platform/cts/+/50436356e25589a71583567a7bb64cce54eb9bcd", "50436356e25589a71583567a7bb64cce54eb9bcd")</f>
        <v>0</v>
      </c>
      <c r="C44715">
        <f>HYPERLINK("https://android.googlesource.com/platform/cts/+/cf2d1c32f349e8db998188126f43140dd5907985", "cf2d1c32f349e8db998188126f43140dd5907985")</f>
        <v>0</v>
      </c>
      <c r="D44715" t="s">
        <v>5605</v>
      </c>
      <c r="E44715" t="s">
        <v>10055</v>
      </c>
      <c r="F44715" t="s">
        <v>14295</v>
      </c>
      <c r="G44715" t="s">
        <v>18257</v>
      </c>
      <c r="H44715" t="s">
        <v>37689</v>
      </c>
    </row>
    <row r="44716" spans="1:8">
      <c r="A44716" t="s">
        <v>4387</v>
      </c>
      <c r="B44716">
        <f>HYPERLINK("https://android.googlesource.com/platform/cts/+/24bfdb150a0ebeafa1e465a899bc63ca61663d78", "24bfdb150a0ebeafa1e465a899bc63ca61663d78")</f>
        <v>0</v>
      </c>
      <c r="C44716">
        <f>HYPERLINK("https://android.googlesource.com/platform/cts/+/96332e458ab5c8be69cdd7afbc07879eeb437059", "96332e458ab5c8be69cdd7afbc07879eeb437059")</f>
        <v>0</v>
      </c>
      <c r="D44716" t="s">
        <v>5409</v>
      </c>
      <c r="E44716" t="s">
        <v>10057</v>
      </c>
      <c r="F44716" t="s">
        <v>13974</v>
      </c>
      <c r="G44716" t="s">
        <v>17999</v>
      </c>
      <c r="H44716" t="s">
        <v>18829</v>
      </c>
    </row>
    <row r="44717" spans="1:8">
      <c r="H44717" t="s">
        <v>37690</v>
      </c>
    </row>
    <row r="44718" spans="1:8">
      <c r="H44718" t="s">
        <v>37691</v>
      </c>
    </row>
    <row r="44719" spans="1:8">
      <c r="F44719" t="s">
        <v>14038</v>
      </c>
      <c r="G44719" t="s">
        <v>18041</v>
      </c>
      <c r="H44719" t="s">
        <v>37690</v>
      </c>
    </row>
    <row r="44720" spans="1:8">
      <c r="H44720" t="s">
        <v>37691</v>
      </c>
    </row>
    <row r="44721" spans="1:8">
      <c r="F44721" t="s">
        <v>12762</v>
      </c>
      <c r="G44721" t="s">
        <v>16953</v>
      </c>
      <c r="H44721" t="s">
        <v>37690</v>
      </c>
    </row>
    <row r="44722" spans="1:8">
      <c r="F44722" t="s">
        <v>12743</v>
      </c>
      <c r="G44722" t="s">
        <v>16935</v>
      </c>
      <c r="H44722" t="s">
        <v>37690</v>
      </c>
    </row>
    <row r="44723" spans="1:8">
      <c r="F44723" t="s">
        <v>13229</v>
      </c>
      <c r="G44723" t="s">
        <v>17370</v>
      </c>
      <c r="H44723" t="s">
        <v>37690</v>
      </c>
    </row>
    <row r="44724" spans="1:8">
      <c r="A44724" t="s">
        <v>4388</v>
      </c>
      <c r="B44724">
        <f>HYPERLINK("https://android.googlesource.com/platform/cts/+/c1ccff8706d0d97de5b8695876e4676e9affd5b9", "c1ccff8706d0d97de5b8695876e4676e9affd5b9")</f>
        <v>0</v>
      </c>
      <c r="C44724">
        <f>HYPERLINK("https://android.googlesource.com/platform/cts/+/fc27256c3e834b01d535c0a2ca50ba5909a757a6", "fc27256c3e834b01d535c0a2ca50ba5909a757a6")</f>
        <v>0</v>
      </c>
      <c r="D44724" t="s">
        <v>5417</v>
      </c>
      <c r="E44724" t="s">
        <v>10058</v>
      </c>
      <c r="F44724" t="s">
        <v>14709</v>
      </c>
      <c r="G44724" t="s">
        <v>18597</v>
      </c>
      <c r="H44724" t="s">
        <v>37692</v>
      </c>
    </row>
    <row r="44725" spans="1:8">
      <c r="A44725" t="s">
        <v>4391</v>
      </c>
      <c r="B44725">
        <f>HYPERLINK("https://android.googlesource.com/platform/cts/+/fa3a99538ff1124586f9bb889ab909a853d55d71", "fa3a99538ff1124586f9bb889ab909a853d55d71")</f>
        <v>0</v>
      </c>
      <c r="C44725">
        <f>HYPERLINK("https://android.googlesource.com/platform/cts/+/42df9fa626b9885f906594642591dc133c8ae506", "42df9fa626b9885f906594642591dc133c8ae506")</f>
        <v>0</v>
      </c>
      <c r="D44725" t="s">
        <v>5046</v>
      </c>
      <c r="E44725" t="s">
        <v>10061</v>
      </c>
      <c r="F44725" t="s">
        <v>14710</v>
      </c>
      <c r="G44725" t="s">
        <v>18598</v>
      </c>
      <c r="H44725" t="s">
        <v>37693</v>
      </c>
    </row>
    <row r="44726" spans="1:8">
      <c r="H44726" t="s">
        <v>37694</v>
      </c>
    </row>
    <row r="44727" spans="1:8">
      <c r="H44727" t="s">
        <v>37695</v>
      </c>
    </row>
    <row r="44728" spans="1:8">
      <c r="A44728" t="s">
        <v>4392</v>
      </c>
      <c r="B44728">
        <f>HYPERLINK("https://android.googlesource.com/platform/cts/+/473715dfebbe96a6b0b9bd4823a2402bbe81e537", "473715dfebbe96a6b0b9bd4823a2402bbe81e537")</f>
        <v>0</v>
      </c>
      <c r="C44728">
        <f>HYPERLINK("https://android.googlesource.com/platform/cts/+/15de4e73f16cd93cde6890fd05046ad445405f7f", "15de4e73f16cd93cde6890fd05046ad445405f7f")</f>
        <v>0</v>
      </c>
      <c r="D44728" t="s">
        <v>5341</v>
      </c>
      <c r="E44728" t="s">
        <v>10062</v>
      </c>
      <c r="F44728" t="s">
        <v>13827</v>
      </c>
      <c r="G44728" t="s">
        <v>17871</v>
      </c>
      <c r="H44728" t="s">
        <v>37696</v>
      </c>
    </row>
    <row r="44729" spans="1:8">
      <c r="A44729" t="s">
        <v>4393</v>
      </c>
      <c r="B44729">
        <f>HYPERLINK("https://android.googlesource.com/platform/cts/+/fe2c9e9fb070ee40ae223375ed9143a927b96bf2", "fe2c9e9fb070ee40ae223375ed9143a927b96bf2")</f>
        <v>0</v>
      </c>
      <c r="C44729">
        <f>HYPERLINK("https://android.googlesource.com/platform/cts/+/473715dfebbe96a6b0b9bd4823a2402bbe81e537", "473715dfebbe96a6b0b9bd4823a2402bbe81e537")</f>
        <v>0</v>
      </c>
      <c r="D44729" t="s">
        <v>5341</v>
      </c>
      <c r="E44729" t="s">
        <v>10063</v>
      </c>
      <c r="F44729" t="s">
        <v>13827</v>
      </c>
      <c r="G44729" t="s">
        <v>17871</v>
      </c>
      <c r="H44729" t="s">
        <v>37697</v>
      </c>
    </row>
    <row r="44730" spans="1:8">
      <c r="A44730" t="s">
        <v>4394</v>
      </c>
      <c r="B44730">
        <f>HYPERLINK("https://android.googlesource.com/platform/cts/+/405bb1a7521e9277267252955e39cc0871f1f3df", "405bb1a7521e9277267252955e39cc0871f1f3df")</f>
        <v>0</v>
      </c>
      <c r="C44730">
        <f>HYPERLINK("https://android.googlesource.com/platform/cts/+/3b17ede113e8fab8c74fbefdc78aefe5b327f6d1", "3b17ede113e8fab8c74fbefdc78aefe5b327f6d1")</f>
        <v>0</v>
      </c>
      <c r="D44730" t="s">
        <v>5657</v>
      </c>
      <c r="E44730" t="s">
        <v>10064</v>
      </c>
      <c r="F44730" t="s">
        <v>14711</v>
      </c>
      <c r="G44730" t="s">
        <v>18599</v>
      </c>
      <c r="H44730" t="s">
        <v>37698</v>
      </c>
    </row>
    <row r="44731" spans="1:8">
      <c r="A44731" t="s">
        <v>4395</v>
      </c>
      <c r="B44731">
        <f>HYPERLINK("https://android.googlesource.com/platform/cts/+/6c301aaf258a2d5b01643f2250b667f9bcd031fe", "6c301aaf258a2d5b01643f2250b667f9bcd031fe")</f>
        <v>0</v>
      </c>
      <c r="C44731">
        <f>HYPERLINK("https://android.googlesource.com/platform/cts/+/fbace87a4e6f67b3ba8b6dc42a7f2814bfd6b10e", "fbace87a4e6f67b3ba8b6dc42a7f2814bfd6b10e")</f>
        <v>0</v>
      </c>
      <c r="D44731" t="s">
        <v>5595</v>
      </c>
      <c r="E44731" t="s">
        <v>10065</v>
      </c>
      <c r="F44731" t="s">
        <v>13816</v>
      </c>
      <c r="G44731" t="s">
        <v>15089</v>
      </c>
      <c r="H44731" t="s">
        <v>31838</v>
      </c>
    </row>
    <row r="44732" spans="1:8">
      <c r="F44732" t="s">
        <v>14712</v>
      </c>
      <c r="G44732" t="s">
        <v>17455</v>
      </c>
      <c r="H44732" t="s">
        <v>37699</v>
      </c>
    </row>
    <row r="44733" spans="1:8">
      <c r="A44733" t="s">
        <v>4396</v>
      </c>
      <c r="B44733">
        <f>HYPERLINK("https://android.googlesource.com/platform/cts/+/a0bf8cf9e1790da51184fae8437f99e854023326", "a0bf8cf9e1790da51184fae8437f99e854023326")</f>
        <v>0</v>
      </c>
      <c r="C44733">
        <f>HYPERLINK("https://android.googlesource.com/platform/cts/+/9195f0d26350abece32a4beedc2bc24da688bc9a", "9195f0d26350abece32a4beedc2bc24da688bc9a")</f>
        <v>0</v>
      </c>
      <c r="D44733" t="s">
        <v>5244</v>
      </c>
      <c r="E44733" t="s">
        <v>10066</v>
      </c>
      <c r="F44733" t="s">
        <v>14157</v>
      </c>
      <c r="G44733" t="s">
        <v>18143</v>
      </c>
      <c r="H44733" t="s">
        <v>37700</v>
      </c>
    </row>
    <row r="44734" spans="1:8">
      <c r="A44734" t="s">
        <v>4397</v>
      </c>
      <c r="B44734">
        <f>HYPERLINK("https://android.googlesource.com/platform/cts/+/3032e244f6a01ae6f08bb2db478aca5183913d0e", "3032e244f6a01ae6f08bb2db478aca5183913d0e")</f>
        <v>0</v>
      </c>
      <c r="C44734">
        <f>HYPERLINK("https://android.googlesource.com/platform/cts/+/fa1f3fb50d73c7622294b3562f8d5e1d818d15ae", "fa1f3fb50d73c7622294b3562f8d5e1d818d15ae")</f>
        <v>0</v>
      </c>
      <c r="D44734" t="s">
        <v>5540</v>
      </c>
      <c r="E44734" t="s">
        <v>10067</v>
      </c>
      <c r="F44734" t="s">
        <v>14165</v>
      </c>
      <c r="G44734" t="s">
        <v>17361</v>
      </c>
      <c r="H44734" t="s">
        <v>37701</v>
      </c>
    </row>
    <row r="44735" spans="1:8">
      <c r="A44735" t="s">
        <v>4398</v>
      </c>
      <c r="B44735">
        <f>HYPERLINK("https://android.googlesource.com/platform/cts/+/e648b106f405f1b0db568f1044dbd8405cc32c60", "e648b106f405f1b0db568f1044dbd8405cc32c60")</f>
        <v>0</v>
      </c>
      <c r="C44735">
        <f>HYPERLINK("https://android.googlesource.com/platform/cts/+/55438cc39c70b8e2c1c7e53e248de8fed7a9f2d6", "55438cc39c70b8e2c1c7e53e248de8fed7a9f2d6")</f>
        <v>0</v>
      </c>
      <c r="D44735" t="s">
        <v>5427</v>
      </c>
      <c r="E44735" t="s">
        <v>10068</v>
      </c>
      <c r="F44735" t="s">
        <v>13965</v>
      </c>
      <c r="G44735" t="s">
        <v>17990</v>
      </c>
      <c r="H44735" t="s">
        <v>37702</v>
      </c>
    </row>
    <row r="44736" spans="1:8">
      <c r="A44736" t="s">
        <v>4399</v>
      </c>
      <c r="B44736">
        <f>HYPERLINK("https://android.googlesource.com/platform/cts/+/054e4d1da1b8ac7740231396f5a2d7d08cf24336", "054e4d1da1b8ac7740231396f5a2d7d08cf24336")</f>
        <v>0</v>
      </c>
      <c r="C44736">
        <f>HYPERLINK("https://android.googlesource.com/platform/cts/+/bbf5b82c21f2bd825ced4d95a0cb7947e6376939", "bbf5b82c21f2bd825ced4d95a0cb7947e6376939")</f>
        <v>0</v>
      </c>
      <c r="D44736" t="s">
        <v>5681</v>
      </c>
      <c r="E44736" t="s">
        <v>10069</v>
      </c>
      <c r="F44736" t="s">
        <v>14713</v>
      </c>
      <c r="G44736" t="s">
        <v>18600</v>
      </c>
      <c r="H44736" t="s">
        <v>37703</v>
      </c>
    </row>
    <row r="44737" spans="1:8">
      <c r="H44737" t="s">
        <v>19496</v>
      </c>
    </row>
    <row r="44738" spans="1:8">
      <c r="F44738" t="s">
        <v>14714</v>
      </c>
      <c r="G44738" t="s">
        <v>18601</v>
      </c>
      <c r="H44738" t="s">
        <v>37704</v>
      </c>
    </row>
    <row r="44739" spans="1:8">
      <c r="H44739" t="s">
        <v>19496</v>
      </c>
    </row>
    <row r="44740" spans="1:8">
      <c r="A44740" t="s">
        <v>4400</v>
      </c>
      <c r="B44740">
        <f>HYPERLINK("https://android.googlesource.com/platform/cts/+/7a60317b587417f071bc6ab0c670c66b488e35b9", "7a60317b587417f071bc6ab0c670c66b488e35b9")</f>
        <v>0</v>
      </c>
      <c r="C44740">
        <f>HYPERLINK("https://android.googlesource.com/platform/cts/+/17e848e89df07027c6a718bb33f24d06d2d15366", "17e848e89df07027c6a718bb33f24d06d2d15366")</f>
        <v>0</v>
      </c>
      <c r="D44740" t="s">
        <v>5182</v>
      </c>
      <c r="E44740" t="s">
        <v>10070</v>
      </c>
      <c r="F44740" t="s">
        <v>14715</v>
      </c>
      <c r="G44740" t="s">
        <v>18602</v>
      </c>
      <c r="H44740" t="s">
        <v>37705</v>
      </c>
    </row>
    <row r="44741" spans="1:8">
      <c r="H44741" t="s">
        <v>18829</v>
      </c>
    </row>
    <row r="44742" spans="1:8">
      <c r="H44742" t="s">
        <v>18863</v>
      </c>
    </row>
    <row r="44743" spans="1:8">
      <c r="H44743" t="s">
        <v>37706</v>
      </c>
    </row>
    <row r="44744" spans="1:8">
      <c r="H44744" t="s">
        <v>37707</v>
      </c>
    </row>
    <row r="44745" spans="1:8">
      <c r="H44745" t="s">
        <v>37708</v>
      </c>
    </row>
    <row r="44746" spans="1:8">
      <c r="H44746" t="s">
        <v>37709</v>
      </c>
    </row>
    <row r="44747" spans="1:8">
      <c r="H44747" t="s">
        <v>37710</v>
      </c>
    </row>
    <row r="44748" spans="1:8">
      <c r="H44748" t="s">
        <v>37711</v>
      </c>
    </row>
    <row r="44749" spans="1:8">
      <c r="H44749" t="s">
        <v>37712</v>
      </c>
    </row>
    <row r="44750" spans="1:8">
      <c r="H44750" t="s">
        <v>37713</v>
      </c>
    </row>
    <row r="44751" spans="1:8">
      <c r="H44751" t="s">
        <v>37714</v>
      </c>
    </row>
    <row r="44752" spans="1:8">
      <c r="H44752" t="s">
        <v>37715</v>
      </c>
    </row>
    <row r="44753" spans="1:8">
      <c r="H44753" t="s">
        <v>37716</v>
      </c>
    </row>
    <row r="44754" spans="1:8">
      <c r="H44754" t="s">
        <v>37717</v>
      </c>
    </row>
    <row r="44755" spans="1:8">
      <c r="H44755" t="s">
        <v>18893</v>
      </c>
    </row>
    <row r="44756" spans="1:8">
      <c r="A44756" t="s">
        <v>4401</v>
      </c>
      <c r="B44756">
        <f>HYPERLINK("https://android.googlesource.com/platform/cts/+/1455b08e43f78c20399e9fae64d91a92cb64e584", "1455b08e43f78c20399e9fae64d91a92cb64e584")</f>
        <v>0</v>
      </c>
      <c r="C44756">
        <f>HYPERLINK("https://android.googlesource.com/platform/cts/+/fb3e4e5a13220e05e6e7d90556ced0667f511bfa", "fb3e4e5a13220e05e6e7d90556ced0667f511bfa")</f>
        <v>0</v>
      </c>
      <c r="D44756" t="s">
        <v>5598</v>
      </c>
      <c r="E44756" t="s">
        <v>10071</v>
      </c>
      <c r="F44756" t="s">
        <v>14388</v>
      </c>
      <c r="G44756" t="s">
        <v>17644</v>
      </c>
      <c r="H44756" t="s">
        <v>37718</v>
      </c>
    </row>
    <row r="44757" spans="1:8">
      <c r="H44757" t="s">
        <v>37719</v>
      </c>
    </row>
    <row r="44758" spans="1:8">
      <c r="A44758" t="s">
        <v>4402</v>
      </c>
      <c r="B44758">
        <f>HYPERLINK("https://android.googlesource.com/platform/cts/+/54c31e41132932492fcccfe0336f405138bfa454", "54c31e41132932492fcccfe0336f405138bfa454")</f>
        <v>0</v>
      </c>
      <c r="C44758">
        <f>HYPERLINK("https://android.googlesource.com/platform/cts/+/1589ac3f1024c9db651b0288a86587035f940829", "1589ac3f1024c9db651b0288a86587035f940829")</f>
        <v>0</v>
      </c>
      <c r="D44758" t="s">
        <v>5473</v>
      </c>
      <c r="E44758" t="s">
        <v>10072</v>
      </c>
      <c r="F44758" t="s">
        <v>14185</v>
      </c>
      <c r="G44758" t="s">
        <v>18166</v>
      </c>
      <c r="H44758" t="s">
        <v>37720</v>
      </c>
    </row>
    <row r="44759" spans="1:8">
      <c r="A44759" t="s">
        <v>4403</v>
      </c>
      <c r="B44759">
        <f>HYPERLINK("https://android.googlesource.com/platform/cts/+/468c83915c8b97b819c2e3f7391a7632175b031b", "468c83915c8b97b819c2e3f7391a7632175b031b")</f>
        <v>0</v>
      </c>
      <c r="C44759">
        <f>HYPERLINK("https://android.googlesource.com/platform/cts/+/4165e3b459a27888a26f6d984d9b12221e6dad9f", "4165e3b459a27888a26f6d984d9b12221e6dad9f")</f>
        <v>0</v>
      </c>
      <c r="D44759" t="s">
        <v>5695</v>
      </c>
      <c r="E44759" t="s">
        <v>10073</v>
      </c>
      <c r="F44759" t="s">
        <v>14196</v>
      </c>
      <c r="G44759" t="s">
        <v>18175</v>
      </c>
      <c r="H44759" t="s">
        <v>37721</v>
      </c>
    </row>
    <row r="44760" spans="1:8">
      <c r="A44760" t="s">
        <v>4404</v>
      </c>
      <c r="B44760">
        <f>HYPERLINK("https://android.googlesource.com/platform/cts/+/93e479813b6564b179d42d91bb5aed61b393f0a8", "93e479813b6564b179d42d91bb5aed61b393f0a8")</f>
        <v>0</v>
      </c>
      <c r="C44760">
        <f>HYPERLINK("https://android.googlesource.com/platform/cts/+/e8c1b8e3a818f990c7d2898c8987363316590b63", "e8c1b8e3a818f990c7d2898c8987363316590b63")</f>
        <v>0</v>
      </c>
      <c r="D44760" t="s">
        <v>5696</v>
      </c>
      <c r="E44760" t="s">
        <v>10074</v>
      </c>
      <c r="F44760" t="s">
        <v>13548</v>
      </c>
      <c r="G44760" t="s">
        <v>15171</v>
      </c>
      <c r="H44760" t="s">
        <v>37722</v>
      </c>
    </row>
    <row r="44761" spans="1:8">
      <c r="F44761" t="s">
        <v>14225</v>
      </c>
      <c r="G44761" t="s">
        <v>15691</v>
      </c>
      <c r="H44761" t="s">
        <v>37722</v>
      </c>
    </row>
    <row r="44762" spans="1:8">
      <c r="A44762" t="s">
        <v>4405</v>
      </c>
      <c r="B44762">
        <f>HYPERLINK("https://android.googlesource.com/platform/cts/+/2e9c8bf61f9d61cb7bd137cd4fb4b36114621e1e", "2e9c8bf61f9d61cb7bd137cd4fb4b36114621e1e")</f>
        <v>0</v>
      </c>
      <c r="C44762">
        <f>HYPERLINK("https://android.googlesource.com/platform/cts/+/b107357451d28bb9be485368feef246c9b2c7949", "b107357451d28bb9be485368feef246c9b2c7949")</f>
        <v>0</v>
      </c>
      <c r="D44762" t="s">
        <v>5697</v>
      </c>
      <c r="E44762" t="s">
        <v>10075</v>
      </c>
      <c r="F44762" t="s">
        <v>14267</v>
      </c>
      <c r="G44762" t="s">
        <v>18234</v>
      </c>
      <c r="H44762" t="s">
        <v>37723</v>
      </c>
    </row>
    <row r="44763" spans="1:8">
      <c r="A44763" t="s">
        <v>4406</v>
      </c>
      <c r="B44763">
        <f>HYPERLINK("https://android.googlesource.com/platform/cts/+/27887a50ff11a1e4769ff39979870923ce7e0f25", "27887a50ff11a1e4769ff39979870923ce7e0f25")</f>
        <v>0</v>
      </c>
      <c r="C44763">
        <f>HYPERLINK("https://android.googlesource.com/platform/cts/+/c21ab94d0d1ed450f5a0881103cbd5da616bec96", "c21ab94d0d1ed450f5a0881103cbd5da616bec96")</f>
        <v>0</v>
      </c>
      <c r="D44763" t="s">
        <v>5481</v>
      </c>
      <c r="E44763" t="s">
        <v>10076</v>
      </c>
      <c r="F44763" t="s">
        <v>14408</v>
      </c>
      <c r="G44763" t="s">
        <v>18346</v>
      </c>
      <c r="H44763" t="s">
        <v>36730</v>
      </c>
    </row>
    <row r="44764" spans="1:8">
      <c r="H44764" t="s">
        <v>36731</v>
      </c>
    </row>
    <row r="44765" spans="1:8">
      <c r="F44765" t="s">
        <v>14409</v>
      </c>
      <c r="G44765" t="s">
        <v>18347</v>
      </c>
      <c r="H44765" t="s">
        <v>36730</v>
      </c>
    </row>
    <row r="44766" spans="1:8">
      <c r="H44766" t="s">
        <v>36731</v>
      </c>
    </row>
    <row r="44767" spans="1:8">
      <c r="A44767" t="s">
        <v>4407</v>
      </c>
      <c r="B44767">
        <f>HYPERLINK("https://android.googlesource.com/platform/cts/+/7da23f3b662b11d051f54dd946cab27600ddde25", "7da23f3b662b11d051f54dd946cab27600ddde25")</f>
        <v>0</v>
      </c>
      <c r="C44767">
        <f>HYPERLINK("https://android.googlesource.com/platform/cts/+/f3e1e5af4472d6d8953e95add8e67a631ee3471d", "f3e1e5af4472d6d8953e95add8e67a631ee3471d")</f>
        <v>0</v>
      </c>
      <c r="D44767" t="s">
        <v>5038</v>
      </c>
      <c r="E44767" t="s">
        <v>10077</v>
      </c>
      <c r="F44767" t="s">
        <v>14716</v>
      </c>
      <c r="G44767" t="s">
        <v>18106</v>
      </c>
      <c r="H44767" t="s">
        <v>37724</v>
      </c>
    </row>
    <row r="44768" spans="1:8">
      <c r="A44768" t="s">
        <v>4408</v>
      </c>
      <c r="B44768">
        <f>HYPERLINK("https://android.googlesource.com/platform/cts/+/f2b0346a3b40f64394abea4d4a28de12fbca4938", "f2b0346a3b40f64394abea4d4a28de12fbca4938")</f>
        <v>0</v>
      </c>
      <c r="C44768">
        <f>HYPERLINK("https://android.googlesource.com/platform/cts/+/f3e1e5af4472d6d8953e95add8e67a631ee3471d", "f3e1e5af4472d6d8953e95add8e67a631ee3471d")</f>
        <v>0</v>
      </c>
      <c r="D44768" t="s">
        <v>5038</v>
      </c>
      <c r="E44768" t="s">
        <v>10078</v>
      </c>
      <c r="F44768" t="s">
        <v>14717</v>
      </c>
      <c r="G44768" t="s">
        <v>15723</v>
      </c>
      <c r="H44768" t="s">
        <v>37725</v>
      </c>
    </row>
    <row r="44769" spans="1:8">
      <c r="A44769" t="s">
        <v>4409</v>
      </c>
      <c r="B44769">
        <f>HYPERLINK("https://android.googlesource.com/platform/cts/+/8549571aef0edf62ecd5aea350e61c3fa600779c", "8549571aef0edf62ecd5aea350e61c3fa600779c")</f>
        <v>0</v>
      </c>
      <c r="C44769">
        <f>HYPERLINK("https://android.googlesource.com/platform/cts/+/f3e1e5af4472d6d8953e95add8e67a631ee3471d", "f3e1e5af4472d6d8953e95add8e67a631ee3471d")</f>
        <v>0</v>
      </c>
      <c r="D44769" t="s">
        <v>5038</v>
      </c>
      <c r="E44769" t="s">
        <v>10079</v>
      </c>
      <c r="F44769" t="s">
        <v>14717</v>
      </c>
      <c r="G44769" t="s">
        <v>15723</v>
      </c>
      <c r="H44769" t="s">
        <v>37726</v>
      </c>
    </row>
    <row r="44770" spans="1:8">
      <c r="A44770" t="s">
        <v>4410</v>
      </c>
      <c r="B44770">
        <f>HYPERLINK("https://android.googlesource.com/platform/cts/+/58725f2d18d1e28dfba444069d44859807dc37f0", "58725f2d18d1e28dfba444069d44859807dc37f0")</f>
        <v>0</v>
      </c>
      <c r="C44770">
        <f>HYPERLINK("https://android.googlesource.com/platform/cts/+/423bd800cc56d3a607c7b38af8913341ed0967bd", "423bd800cc56d3a607c7b38af8913341ed0967bd")</f>
        <v>0</v>
      </c>
      <c r="D44770" t="s">
        <v>5038</v>
      </c>
      <c r="E44770" t="s">
        <v>10080</v>
      </c>
      <c r="F44770" t="s">
        <v>14718</v>
      </c>
      <c r="G44770" t="s">
        <v>17454</v>
      </c>
      <c r="H44770" t="s">
        <v>37727</v>
      </c>
    </row>
    <row r="44771" spans="1:8">
      <c r="A44771" t="s">
        <v>4411</v>
      </c>
      <c r="B44771">
        <f>HYPERLINK("https://android.googlesource.com/platform/cts/+/9b2feaf29a741c12c71fe54403becb3477240398", "9b2feaf29a741c12c71fe54403becb3477240398")</f>
        <v>0</v>
      </c>
      <c r="C44771">
        <f>HYPERLINK("https://android.googlesource.com/platform/cts/+/ea62039fdd710b4a51dfd82dc36a6b41610c68da", "ea62039fdd710b4a51dfd82dc36a6b41610c68da")</f>
        <v>0</v>
      </c>
      <c r="D44771" t="s">
        <v>5449</v>
      </c>
      <c r="E44771" t="s">
        <v>10081</v>
      </c>
      <c r="F44771" t="s">
        <v>14655</v>
      </c>
      <c r="G44771" t="s">
        <v>18318</v>
      </c>
      <c r="H44771" t="s">
        <v>37728</v>
      </c>
    </row>
    <row r="44772" spans="1:8">
      <c r="F44772" t="s">
        <v>14719</v>
      </c>
      <c r="G44772" t="s">
        <v>18021</v>
      </c>
      <c r="H44772" t="s">
        <v>37728</v>
      </c>
    </row>
    <row r="44773" spans="1:8">
      <c r="F44773" t="s">
        <v>14720</v>
      </c>
      <c r="G44773" t="s">
        <v>18603</v>
      </c>
      <c r="H44773" t="s">
        <v>37728</v>
      </c>
    </row>
    <row r="44774" spans="1:8">
      <c r="A44774" t="s">
        <v>4412</v>
      </c>
      <c r="B44774">
        <f>HYPERLINK("https://android.googlesource.com/platform/cts/+/a73789cc495c978e489ae83b0c34238cdbb1311c", "a73789cc495c978e489ae83b0c34238cdbb1311c")</f>
        <v>0</v>
      </c>
      <c r="C44774">
        <f>HYPERLINK("https://android.googlesource.com/platform/cts/+/17619b59af43e427250d81cc5db87e5a76b79cc5", "17619b59af43e427250d81cc5db87e5a76b79cc5")</f>
        <v>0</v>
      </c>
      <c r="D44774" t="s">
        <v>5473</v>
      </c>
      <c r="E44774" t="s">
        <v>10082</v>
      </c>
      <c r="F44774" t="s">
        <v>14721</v>
      </c>
      <c r="G44774" t="s">
        <v>17815</v>
      </c>
      <c r="H44774" t="s">
        <v>34579</v>
      </c>
    </row>
    <row r="44775" spans="1:8">
      <c r="H44775" t="s">
        <v>34580</v>
      </c>
    </row>
    <row r="44776" spans="1:8">
      <c r="H44776" t="s">
        <v>34581</v>
      </c>
    </row>
    <row r="44777" spans="1:8">
      <c r="H44777" t="s">
        <v>34582</v>
      </c>
    </row>
    <row r="44778" spans="1:8">
      <c r="H44778" t="s">
        <v>34583</v>
      </c>
    </row>
    <row r="44779" spans="1:8">
      <c r="H44779" t="s">
        <v>34584</v>
      </c>
    </row>
    <row r="44780" spans="1:8">
      <c r="H44780" t="s">
        <v>34585</v>
      </c>
    </row>
    <row r="44781" spans="1:8">
      <c r="H44781" t="s">
        <v>34586</v>
      </c>
    </row>
    <row r="44782" spans="1:8">
      <c r="H44782" t="s">
        <v>34587</v>
      </c>
    </row>
    <row r="44783" spans="1:8">
      <c r="H44783" t="s">
        <v>34588</v>
      </c>
    </row>
    <row r="44784" spans="1:8">
      <c r="H44784" t="s">
        <v>34589</v>
      </c>
    </row>
    <row r="44785" spans="1:8">
      <c r="A44785" t="s">
        <v>4414</v>
      </c>
      <c r="B44785">
        <f>HYPERLINK("https://android.googlesource.com/platform/cts/+/c7115b27815a37eeff102305ac1e283b21a38e5f", "c7115b27815a37eeff102305ac1e283b21a38e5f")</f>
        <v>0</v>
      </c>
      <c r="C44785">
        <f>HYPERLINK("https://android.googlesource.com/platform/cts/+/423bd800cc56d3a607c7b38af8913341ed0967bd", "423bd800cc56d3a607c7b38af8913341ed0967bd")</f>
        <v>0</v>
      </c>
      <c r="D44785" t="s">
        <v>5038</v>
      </c>
      <c r="E44785" t="s">
        <v>10084</v>
      </c>
      <c r="F44785" t="s">
        <v>14718</v>
      </c>
      <c r="G44785" t="s">
        <v>17454</v>
      </c>
      <c r="H44785" t="s">
        <v>37729</v>
      </c>
    </row>
    <row r="44786" spans="1:8">
      <c r="A44786" t="s">
        <v>4415</v>
      </c>
      <c r="B44786">
        <f>HYPERLINK("https://android.googlesource.com/platform/cts/+/ef27be1739b96d9264cb686b936f810beda9ed73", "ef27be1739b96d9264cb686b936f810beda9ed73")</f>
        <v>0</v>
      </c>
      <c r="C44786">
        <f>HYPERLINK("https://android.googlesource.com/platform/cts/+/423bd800cc56d3a607c7b38af8913341ed0967bd", "423bd800cc56d3a607c7b38af8913341ed0967bd")</f>
        <v>0</v>
      </c>
      <c r="D44786" t="s">
        <v>5038</v>
      </c>
      <c r="E44786" t="s">
        <v>10085</v>
      </c>
      <c r="F44786" t="s">
        <v>14718</v>
      </c>
      <c r="G44786" t="s">
        <v>17454</v>
      </c>
      <c r="H44786" t="s">
        <v>37730</v>
      </c>
    </row>
    <row r="44787" spans="1:8">
      <c r="A44787" t="s">
        <v>4416</v>
      </c>
      <c r="B44787">
        <f>HYPERLINK("https://android.googlesource.com/platform/cts/+/bab82993f314f56913e72b908bfe77d723da5c93", "bab82993f314f56913e72b908bfe77d723da5c93")</f>
        <v>0</v>
      </c>
      <c r="C44787">
        <f>HYPERLINK("https://android.googlesource.com/platform/cts/+/423bd800cc56d3a607c7b38af8913341ed0967bd", "423bd800cc56d3a607c7b38af8913341ed0967bd")</f>
        <v>0</v>
      </c>
      <c r="D44787" t="s">
        <v>5038</v>
      </c>
      <c r="E44787" t="s">
        <v>10086</v>
      </c>
      <c r="F44787" t="s">
        <v>14718</v>
      </c>
      <c r="G44787" t="s">
        <v>17454</v>
      </c>
      <c r="H44787" t="s">
        <v>37731</v>
      </c>
    </row>
    <row r="44788" spans="1:8">
      <c r="A44788" t="s">
        <v>4417</v>
      </c>
      <c r="B44788">
        <f>HYPERLINK("https://android.googlesource.com/platform/cts/+/c7d89845c1dbab4bda87f7679b8d6fa47708536d", "c7d89845c1dbab4bda87f7679b8d6fa47708536d")</f>
        <v>0</v>
      </c>
      <c r="C44788">
        <f>HYPERLINK("https://android.googlesource.com/platform/cts/+/5e3a4af9dd020a24b15c5b72d7e1daac295549f6", "5e3a4af9dd020a24b15c5b72d7e1daac295549f6")</f>
        <v>0</v>
      </c>
      <c r="D44788" t="s">
        <v>5134</v>
      </c>
      <c r="E44788" t="s">
        <v>10087</v>
      </c>
      <c r="F44788" t="s">
        <v>14722</v>
      </c>
      <c r="G44788" t="s">
        <v>16987</v>
      </c>
      <c r="H44788" t="s">
        <v>37732</v>
      </c>
    </row>
    <row r="44789" spans="1:8">
      <c r="A44789" t="s">
        <v>4418</v>
      </c>
      <c r="B44789">
        <f>HYPERLINK("https://android.googlesource.com/platform/cts/+/0640be0d2aeeedec6c53f4b4b6432982d8f3bf36", "0640be0d2aeeedec6c53f4b4b6432982d8f3bf36")</f>
        <v>0</v>
      </c>
      <c r="C44789">
        <f>HYPERLINK("https://android.googlesource.com/platform/cts/+/23f229f6696d5612318f32f846f1feb5cde39897", "23f229f6696d5612318f32f846f1feb5cde39897")</f>
        <v>0</v>
      </c>
      <c r="D44789" t="s">
        <v>5383</v>
      </c>
      <c r="E44789" t="s">
        <v>10088</v>
      </c>
      <c r="F44789" t="s">
        <v>13548</v>
      </c>
      <c r="G44789" t="s">
        <v>15171</v>
      </c>
      <c r="H44789" t="s">
        <v>31032</v>
      </c>
    </row>
    <row r="44790" spans="1:8">
      <c r="H44790" t="s">
        <v>31032</v>
      </c>
    </row>
    <row r="44791" spans="1:8">
      <c r="H44791" t="s">
        <v>37616</v>
      </c>
    </row>
    <row r="44792" spans="1:8">
      <c r="A44792" t="s">
        <v>4419</v>
      </c>
      <c r="B44792">
        <f>HYPERLINK("https://android.googlesource.com/platform/cts/+/fed08fea4f75261469e972ba03abf027055f6dba", "fed08fea4f75261469e972ba03abf027055f6dba")</f>
        <v>0</v>
      </c>
      <c r="C44792">
        <f>HYPERLINK("https://android.googlesource.com/platform/cts/+/1a6463c44989289bc0a755a978bfdd134a08338d", "1a6463c44989289bc0a755a978bfdd134a08338d")</f>
        <v>0</v>
      </c>
      <c r="D44792" t="s">
        <v>5698</v>
      </c>
      <c r="E44792" t="s">
        <v>10089</v>
      </c>
      <c r="F44792" t="s">
        <v>14723</v>
      </c>
      <c r="G44792" t="s">
        <v>18604</v>
      </c>
      <c r="H44792" t="s">
        <v>37733</v>
      </c>
    </row>
    <row r="44793" spans="1:8">
      <c r="H44793" t="s">
        <v>18829</v>
      </c>
    </row>
    <row r="44794" spans="1:8">
      <c r="H44794" t="s">
        <v>37734</v>
      </c>
    </row>
    <row r="44795" spans="1:8">
      <c r="H44795" t="s">
        <v>37735</v>
      </c>
    </row>
    <row r="44796" spans="1:8">
      <c r="H44796" t="s">
        <v>37736</v>
      </c>
    </row>
    <row r="44797" spans="1:8">
      <c r="H44797" t="s">
        <v>37737</v>
      </c>
    </row>
    <row r="44798" spans="1:8">
      <c r="H44798" t="s">
        <v>37738</v>
      </c>
    </row>
    <row r="44799" spans="1:8">
      <c r="H44799" t="s">
        <v>37739</v>
      </c>
    </row>
    <row r="44800" spans="1:8">
      <c r="H44800" t="s">
        <v>37740</v>
      </c>
    </row>
    <row r="44801" spans="1:8">
      <c r="A44801" t="s">
        <v>4420</v>
      </c>
      <c r="B44801">
        <f>HYPERLINK("https://android.googlesource.com/platform/cts/+/a538215827f029dcd43de8dd5f978d4211003219", "a538215827f029dcd43de8dd5f978d4211003219")</f>
        <v>0</v>
      </c>
      <c r="C44801">
        <f>HYPERLINK("https://android.googlesource.com/platform/cts/+/6a7835b7b0fbf1fb1fdbc6e395fb7a5db6a3ec63", "6a7835b7b0fbf1fb1fdbc6e395fb7a5db6a3ec63")</f>
        <v>0</v>
      </c>
      <c r="D44801" t="s">
        <v>5481</v>
      </c>
      <c r="E44801" t="s">
        <v>10090</v>
      </c>
      <c r="F44801" t="s">
        <v>14724</v>
      </c>
      <c r="G44801" t="s">
        <v>18605</v>
      </c>
      <c r="H44801" t="s">
        <v>19982</v>
      </c>
    </row>
    <row r="44802" spans="1:8">
      <c r="H44802" t="s">
        <v>37741</v>
      </c>
    </row>
    <row r="44803" spans="1:8">
      <c r="H44803" t="s">
        <v>37742</v>
      </c>
    </row>
    <row r="44804" spans="1:8">
      <c r="H44804" t="s">
        <v>29587</v>
      </c>
    </row>
    <row r="44805" spans="1:8">
      <c r="F44805" t="s">
        <v>14725</v>
      </c>
      <c r="G44805" t="s">
        <v>18606</v>
      </c>
      <c r="H44805" t="s">
        <v>37743</v>
      </c>
    </row>
    <row r="44806" spans="1:8">
      <c r="A44806" t="s">
        <v>4421</v>
      </c>
      <c r="B44806">
        <f>HYPERLINK("https://android.googlesource.com/platform/cts/+/7f49bd563bf2a5b7efaf2cb1971cb97cfc339690", "7f49bd563bf2a5b7efaf2cb1971cb97cfc339690")</f>
        <v>0</v>
      </c>
      <c r="C44806">
        <f>HYPERLINK("https://android.googlesource.com/platform/cts/+/8e6ee12a8056759fe28719fb0c335fe7320481d2", "8e6ee12a8056759fe28719fb0c335fe7320481d2")</f>
        <v>0</v>
      </c>
      <c r="D44806" t="s">
        <v>5699</v>
      </c>
      <c r="E44806" t="s">
        <v>10091</v>
      </c>
      <c r="F44806" t="s">
        <v>14726</v>
      </c>
      <c r="G44806" t="s">
        <v>18607</v>
      </c>
      <c r="H44806" t="s">
        <v>37744</v>
      </c>
    </row>
    <row r="44807" spans="1:8">
      <c r="A44807" t="s">
        <v>4422</v>
      </c>
      <c r="B44807">
        <f>HYPERLINK("https://android.googlesource.com/platform/cts/+/4f54a958350836f2ed080a9e926401d4471a4ceb", "4f54a958350836f2ed080a9e926401d4471a4ceb")</f>
        <v>0</v>
      </c>
      <c r="C44807">
        <f>HYPERLINK("https://android.googlesource.com/platform/cts/+/d8a0a4308bd39cbec9e3f6d96d14773143f48070", "d8a0a4308bd39cbec9e3f6d96d14773143f48070")</f>
        <v>0</v>
      </c>
      <c r="D44807" t="s">
        <v>5564</v>
      </c>
      <c r="E44807" t="s">
        <v>10092</v>
      </c>
      <c r="F44807" t="s">
        <v>12332</v>
      </c>
      <c r="G44807" t="s">
        <v>16560</v>
      </c>
      <c r="H44807" t="s">
        <v>37745</v>
      </c>
    </row>
    <row r="44808" spans="1:8">
      <c r="H44808" t="s">
        <v>37746</v>
      </c>
    </row>
    <row r="44809" spans="1:8">
      <c r="H44809" t="s">
        <v>37747</v>
      </c>
    </row>
    <row r="44810" spans="1:8">
      <c r="H44810" t="s">
        <v>37748</v>
      </c>
    </row>
    <row r="44811" spans="1:8">
      <c r="H44811" t="s">
        <v>37749</v>
      </c>
    </row>
    <row r="44812" spans="1:8">
      <c r="H44812" t="s">
        <v>37750</v>
      </c>
    </row>
    <row r="44813" spans="1:8">
      <c r="H44813" t="s">
        <v>37751</v>
      </c>
    </row>
    <row r="44814" spans="1:8">
      <c r="H44814" t="s">
        <v>26908</v>
      </c>
    </row>
    <row r="44815" spans="1:8">
      <c r="H44815" t="s">
        <v>37752</v>
      </c>
    </row>
    <row r="44816" spans="1:8">
      <c r="H44816" t="s">
        <v>37753</v>
      </c>
    </row>
    <row r="44817" spans="1:8">
      <c r="H44817" t="s">
        <v>37754</v>
      </c>
    </row>
    <row r="44818" spans="1:8">
      <c r="H44818" t="s">
        <v>37755</v>
      </c>
    </row>
    <row r="44819" spans="1:8">
      <c r="H44819" t="s">
        <v>37756</v>
      </c>
    </row>
    <row r="44820" spans="1:8">
      <c r="A44820" t="s">
        <v>4423</v>
      </c>
      <c r="B44820">
        <f>HYPERLINK("https://android.googlesource.com/platform/cts/+/c0ec3fa2f11f729621c49180e2181331b613a74b", "c0ec3fa2f11f729621c49180e2181331b613a74b")</f>
        <v>0</v>
      </c>
      <c r="C44820">
        <f>HYPERLINK("https://android.googlesource.com/platform/cts/+/2a77b6eeba9aab26f21b3eeb452b68f8f8f67e4f", "2a77b6eeba9aab26f21b3eeb452b68f8f8f67e4f")</f>
        <v>0</v>
      </c>
      <c r="D44820" t="s">
        <v>5038</v>
      </c>
      <c r="E44820" t="s">
        <v>10093</v>
      </c>
      <c r="F44820" t="s">
        <v>14718</v>
      </c>
      <c r="G44820" t="s">
        <v>17454</v>
      </c>
      <c r="H44820" t="s">
        <v>37757</v>
      </c>
    </row>
    <row r="44821" spans="1:8">
      <c r="A44821" t="s">
        <v>4424</v>
      </c>
      <c r="B44821">
        <f>HYPERLINK("https://android.googlesource.com/platform/cts/+/7f0dbcc6a79ca3db398cc7d3ac7bd596932f8917", "7f0dbcc6a79ca3db398cc7d3ac7bd596932f8917")</f>
        <v>0</v>
      </c>
      <c r="C44821">
        <f>HYPERLINK("https://android.googlesource.com/platform/cts/+/c0ec3fa2f11f729621c49180e2181331b613a74b", "c0ec3fa2f11f729621c49180e2181331b613a74b")</f>
        <v>0</v>
      </c>
      <c r="D44821" t="s">
        <v>5038</v>
      </c>
      <c r="E44821" t="s">
        <v>10094</v>
      </c>
      <c r="F44821" t="s">
        <v>14718</v>
      </c>
      <c r="G44821" t="s">
        <v>17454</v>
      </c>
      <c r="H44821" t="s">
        <v>37758</v>
      </c>
    </row>
    <row r="44822" spans="1:8">
      <c r="A44822" t="s">
        <v>4425</v>
      </c>
      <c r="B44822">
        <f>HYPERLINK("https://android.googlesource.com/platform/cts/+/77847af5fd63358fce91d9223a2fa410eb6ea74c", "77847af5fd63358fce91d9223a2fa410eb6ea74c")</f>
        <v>0</v>
      </c>
      <c r="C44822">
        <f>HYPERLINK("https://android.googlesource.com/platform/cts/+/a25121b8ed05d9395caceb2f777cd4f17b2e7409", "a25121b8ed05d9395caceb2f777cd4f17b2e7409")</f>
        <v>0</v>
      </c>
      <c r="D44822" t="s">
        <v>5191</v>
      </c>
      <c r="E44822" t="s">
        <v>10095</v>
      </c>
      <c r="F44822" t="s">
        <v>14727</v>
      </c>
      <c r="G44822" t="s">
        <v>18608</v>
      </c>
      <c r="H44822" t="s">
        <v>37759</v>
      </c>
    </row>
    <row r="44823" spans="1:8">
      <c r="A44823" t="s">
        <v>4426</v>
      </c>
      <c r="B44823">
        <f>HYPERLINK("https://android.googlesource.com/platform/cts/+/ed92b5d220fe0c2f4fcd34734e073c3fe9b48be8", "ed92b5d220fe0c2f4fcd34734e073c3fe9b48be8")</f>
        <v>0</v>
      </c>
      <c r="C44823">
        <f>HYPERLINK("https://android.googlesource.com/platform/cts/+/6f7f2e606bc096d2cac1da50b2c7b5b811bb7dbf", "6f7f2e606bc096d2cac1da50b2c7b5b811bb7dbf")</f>
        <v>0</v>
      </c>
      <c r="D44823" t="s">
        <v>5700</v>
      </c>
      <c r="E44823" t="s">
        <v>10096</v>
      </c>
      <c r="F44823" t="s">
        <v>14728</v>
      </c>
      <c r="G44823" t="s">
        <v>18609</v>
      </c>
      <c r="H44823" t="s">
        <v>37760</v>
      </c>
    </row>
    <row r="44824" spans="1:8">
      <c r="H44824" t="s">
        <v>37761</v>
      </c>
    </row>
    <row r="44825" spans="1:8">
      <c r="F44825" t="s">
        <v>14729</v>
      </c>
      <c r="G44825" t="s">
        <v>18610</v>
      </c>
      <c r="H44825" t="s">
        <v>37762</v>
      </c>
    </row>
    <row r="44826" spans="1:8">
      <c r="H44826" t="s">
        <v>27720</v>
      </c>
    </row>
    <row r="44827" spans="1:8">
      <c r="H44827" t="s">
        <v>37763</v>
      </c>
    </row>
    <row r="44828" spans="1:8">
      <c r="H44828" t="s">
        <v>37764</v>
      </c>
    </row>
    <row r="44829" spans="1:8">
      <c r="H44829" t="s">
        <v>37765</v>
      </c>
    </row>
    <row r="44830" spans="1:8">
      <c r="H44830" t="s">
        <v>37766</v>
      </c>
    </row>
    <row r="44831" spans="1:8">
      <c r="H44831" t="s">
        <v>37767</v>
      </c>
    </row>
    <row r="44832" spans="1:8">
      <c r="H44832" t="s">
        <v>37768</v>
      </c>
    </row>
    <row r="44833" spans="1:8">
      <c r="H44833" t="s">
        <v>37769</v>
      </c>
    </row>
    <row r="44834" spans="1:8">
      <c r="H44834" t="s">
        <v>37770</v>
      </c>
    </row>
    <row r="44835" spans="1:8">
      <c r="H44835" t="s">
        <v>37771</v>
      </c>
    </row>
    <row r="44836" spans="1:8">
      <c r="H44836" t="s">
        <v>37772</v>
      </c>
    </row>
    <row r="44837" spans="1:8">
      <c r="H44837" t="s">
        <v>37773</v>
      </c>
    </row>
    <row r="44838" spans="1:8">
      <c r="H44838" t="s">
        <v>37774</v>
      </c>
    </row>
    <row r="44839" spans="1:8">
      <c r="H44839" t="s">
        <v>37775</v>
      </c>
    </row>
    <row r="44840" spans="1:8">
      <c r="H44840" t="s">
        <v>37776</v>
      </c>
    </row>
    <row r="44841" spans="1:8">
      <c r="H44841" t="s">
        <v>37777</v>
      </c>
    </row>
    <row r="44842" spans="1:8">
      <c r="H44842" t="s">
        <v>37778</v>
      </c>
    </row>
    <row r="44843" spans="1:8">
      <c r="H44843" t="s">
        <v>37779</v>
      </c>
    </row>
    <row r="44844" spans="1:8">
      <c r="H44844" t="s">
        <v>37780</v>
      </c>
    </row>
    <row r="44845" spans="1:8">
      <c r="H44845" t="s">
        <v>37781</v>
      </c>
    </row>
    <row r="44846" spans="1:8">
      <c r="H44846" t="s">
        <v>37782</v>
      </c>
    </row>
    <row r="44847" spans="1:8">
      <c r="H44847" t="s">
        <v>37783</v>
      </c>
    </row>
    <row r="44848" spans="1:8">
      <c r="A44848" t="s">
        <v>4428</v>
      </c>
      <c r="B44848">
        <f>HYPERLINK("https://android.googlesource.com/platform/cts/+/e203b03010575fd87ae7dd2c575815d794b5af61", "e203b03010575fd87ae7dd2c575815d794b5af61")</f>
        <v>0</v>
      </c>
      <c r="C44848">
        <f>HYPERLINK("https://android.googlesource.com/platform/cts/+/4442e8a59cc21b34aaac4bfb7ca36c33ab4f8730", "4442e8a59cc21b34aaac4bfb7ca36c33ab4f8730")</f>
        <v>0</v>
      </c>
      <c r="D44848" t="s">
        <v>5564</v>
      </c>
      <c r="E44848" t="s">
        <v>10098</v>
      </c>
      <c r="F44848" t="s">
        <v>12332</v>
      </c>
      <c r="G44848" t="s">
        <v>16560</v>
      </c>
      <c r="H44848" t="s">
        <v>37784</v>
      </c>
    </row>
    <row r="44849" spans="1:8">
      <c r="H44849" t="s">
        <v>37785</v>
      </c>
    </row>
    <row r="44850" spans="1:8">
      <c r="H44850" t="s">
        <v>37786</v>
      </c>
    </row>
    <row r="44851" spans="1:8">
      <c r="H44851" t="s">
        <v>37787</v>
      </c>
    </row>
    <row r="44852" spans="1:8">
      <c r="H44852" t="s">
        <v>37784</v>
      </c>
    </row>
    <row r="44853" spans="1:8">
      <c r="H44853" t="s">
        <v>37784</v>
      </c>
    </row>
    <row r="44854" spans="1:8">
      <c r="H44854" t="s">
        <v>37788</v>
      </c>
    </row>
    <row r="44855" spans="1:8">
      <c r="H44855" t="s">
        <v>37788</v>
      </c>
    </row>
    <row r="44856" spans="1:8">
      <c r="H44856" t="s">
        <v>37789</v>
      </c>
    </row>
    <row r="44857" spans="1:8">
      <c r="H44857" t="s">
        <v>20174</v>
      </c>
    </row>
    <row r="44858" spans="1:8">
      <c r="H44858" t="s">
        <v>20174</v>
      </c>
    </row>
    <row r="44859" spans="1:8">
      <c r="A44859" t="s">
        <v>4429</v>
      </c>
      <c r="B44859">
        <f>HYPERLINK("https://android.googlesource.com/platform/cts/+/b3fa9adc1430ad7e716bbe046bc0a6c9dac67013", "b3fa9adc1430ad7e716bbe046bc0a6c9dac67013")</f>
        <v>0</v>
      </c>
      <c r="C44859">
        <f>HYPERLINK("https://android.googlesource.com/platform/cts/+/fb33ad5df17245fc69ac1527a2e6d4f8a41be551", "fb33ad5df17245fc69ac1527a2e6d4f8a41be551")</f>
        <v>0</v>
      </c>
      <c r="D44859" t="s">
        <v>5243</v>
      </c>
      <c r="E44859" t="s">
        <v>10099</v>
      </c>
      <c r="F44859" t="s">
        <v>14696</v>
      </c>
      <c r="G44859" t="s">
        <v>18555</v>
      </c>
      <c r="H44859" t="s">
        <v>37319</v>
      </c>
    </row>
    <row r="44860" spans="1:8">
      <c r="H44860" t="s">
        <v>37790</v>
      </c>
    </row>
    <row r="44861" spans="1:8">
      <c r="H44861" t="s">
        <v>37791</v>
      </c>
    </row>
    <row r="44862" spans="1:8">
      <c r="A44862" t="s">
        <v>4430</v>
      </c>
      <c r="B44862">
        <f>HYPERLINK("https://android.googlesource.com/platform/cts/+/493b8d7d3b4d43e483c03b155d38057e3eacd3c9", "493b8d7d3b4d43e483c03b155d38057e3eacd3c9")</f>
        <v>0</v>
      </c>
      <c r="C44862">
        <f>HYPERLINK("https://android.googlesource.com/platform/cts/+/245f97758f65d5446b0ca2c0ab08b9c72c73a428", "245f97758f65d5446b0ca2c0ab08b9c72c73a428")</f>
        <v>0</v>
      </c>
      <c r="D44862" t="s">
        <v>5700</v>
      </c>
      <c r="E44862" t="s">
        <v>10100</v>
      </c>
      <c r="F44862" t="s">
        <v>14730</v>
      </c>
      <c r="G44862" t="s">
        <v>18611</v>
      </c>
      <c r="H44862" t="s">
        <v>37792</v>
      </c>
    </row>
    <row r="44863" spans="1:8">
      <c r="H44863" t="s">
        <v>19475</v>
      </c>
    </row>
    <row r="44864" spans="1:8">
      <c r="H44864" t="s">
        <v>36959</v>
      </c>
    </row>
    <row r="44865" spans="1:8">
      <c r="H44865" t="s">
        <v>19475</v>
      </c>
    </row>
    <row r="44866" spans="1:8">
      <c r="A44866" t="s">
        <v>4431</v>
      </c>
      <c r="B44866">
        <f>HYPERLINK("https://android.googlesource.com/platform/cts/+/93f558b615626e4a6a2e63c046d303000ddb96ea", "93f558b615626e4a6a2e63c046d303000ddb96ea")</f>
        <v>0</v>
      </c>
      <c r="C44866">
        <f>HYPERLINK("https://android.googlesource.com/platform/cts/+/a79a4f33e63a9f6f24efdfd0b914b89c31e59ff7", "a79a4f33e63a9f6f24efdfd0b914b89c31e59ff7")</f>
        <v>0</v>
      </c>
      <c r="D44866" t="s">
        <v>5118</v>
      </c>
      <c r="E44866" t="s">
        <v>10101</v>
      </c>
      <c r="F44866" t="s">
        <v>13165</v>
      </c>
      <c r="G44866" t="s">
        <v>17315</v>
      </c>
      <c r="H44866" t="s">
        <v>37793</v>
      </c>
    </row>
    <row r="44867" spans="1:8">
      <c r="A44867" t="s">
        <v>4435</v>
      </c>
      <c r="B44867">
        <f>HYPERLINK("https://android.googlesource.com/platform/cts/+/e71f66ecc0dacc8e5d53afc2ef05112f1a19fe0c", "e71f66ecc0dacc8e5d53afc2ef05112f1a19fe0c")</f>
        <v>0</v>
      </c>
      <c r="C44867">
        <f>HYPERLINK("https://android.googlesource.com/platform/cts/+/6a7835b7b0fbf1fb1fdbc6e395fb7a5db6a3ec63", "6a7835b7b0fbf1fb1fdbc6e395fb7a5db6a3ec63")</f>
        <v>0</v>
      </c>
      <c r="D44867" t="s">
        <v>5363</v>
      </c>
      <c r="E44867" t="s">
        <v>10102</v>
      </c>
      <c r="F44867" t="s">
        <v>14731</v>
      </c>
      <c r="G44867" t="s">
        <v>18612</v>
      </c>
      <c r="H44867" t="s">
        <v>18836</v>
      </c>
    </row>
    <row r="44868" spans="1:8">
      <c r="H44868" t="s">
        <v>37794</v>
      </c>
    </row>
    <row r="44869" spans="1:8">
      <c r="A44869" t="s">
        <v>4436</v>
      </c>
      <c r="B44869">
        <f>HYPERLINK("https://android.googlesource.com/platform/cts/+/25dcb53a9f4aa687633997c5549e76d81ac7fe0d", "25dcb53a9f4aa687633997c5549e76d81ac7fe0d")</f>
        <v>0</v>
      </c>
      <c r="C44869">
        <f>HYPERLINK("https://android.googlesource.com/platform/cts/+/83eae417ee98b354f3b1291260e2d1622da2cb5a", "83eae417ee98b354f3b1291260e2d1622da2cb5a")</f>
        <v>0</v>
      </c>
      <c r="D44869" t="s">
        <v>5701</v>
      </c>
      <c r="E44869" t="s">
        <v>10103</v>
      </c>
      <c r="F44869" t="s">
        <v>14732</v>
      </c>
      <c r="G44869" t="s">
        <v>18613</v>
      </c>
      <c r="H44869" t="s">
        <v>37795</v>
      </c>
    </row>
    <row r="44870" spans="1:8">
      <c r="H44870" t="s">
        <v>37796</v>
      </c>
    </row>
    <row r="44871" spans="1:8">
      <c r="H44871" t="s">
        <v>37797</v>
      </c>
    </row>
    <row r="44872" spans="1:8">
      <c r="H44872" t="s">
        <v>37798</v>
      </c>
    </row>
    <row r="44873" spans="1:8">
      <c r="H44873" t="s">
        <v>37799</v>
      </c>
    </row>
    <row r="44874" spans="1:8">
      <c r="H44874" t="s">
        <v>37800</v>
      </c>
    </row>
    <row r="44875" spans="1:8">
      <c r="A44875" t="s">
        <v>4437</v>
      </c>
      <c r="B44875">
        <f>HYPERLINK("https://android.googlesource.com/platform/cts/+/54398272947bf56818ff304f57b8aa1781c78ac3", "54398272947bf56818ff304f57b8aa1781c78ac3")</f>
        <v>0</v>
      </c>
      <c r="C44875">
        <f>HYPERLINK("https://android.googlesource.com/platform/cts/+/ed7459d534cdc13be555b348ddcb25ecca4b3ab5", "ed7459d534cdc13be555b348ddcb25ecca4b3ab5")</f>
        <v>0</v>
      </c>
      <c r="D44875" t="s">
        <v>5523</v>
      </c>
      <c r="E44875" t="s">
        <v>10104</v>
      </c>
      <c r="F44875" t="s">
        <v>14733</v>
      </c>
      <c r="G44875" t="s">
        <v>18614</v>
      </c>
      <c r="H44875" t="s">
        <v>37801</v>
      </c>
    </row>
    <row r="44876" spans="1:8">
      <c r="H44876" t="s">
        <v>37802</v>
      </c>
    </row>
    <row r="44877" spans="1:8">
      <c r="H44877" t="s">
        <v>20206</v>
      </c>
    </row>
    <row r="44878" spans="1:8">
      <c r="H44878" t="s">
        <v>18829</v>
      </c>
    </row>
    <row r="44879" spans="1:8">
      <c r="H44879" t="s">
        <v>18863</v>
      </c>
    </row>
    <row r="44880" spans="1:8">
      <c r="H44880" t="s">
        <v>18836</v>
      </c>
    </row>
    <row r="44881" spans="1:8">
      <c r="H44881" t="s">
        <v>37803</v>
      </c>
    </row>
    <row r="44882" spans="1:8">
      <c r="A44882" t="s">
        <v>4439</v>
      </c>
      <c r="B44882">
        <f>HYPERLINK("https://android.googlesource.com/platform/cts/+/1fa4768a49a917fa1ebb69fa93f87b5e4ea0eca8", "1fa4768a49a917fa1ebb69fa93f87b5e4ea0eca8")</f>
        <v>0</v>
      </c>
      <c r="C44882">
        <f>HYPERLINK("https://android.googlesource.com/platform/cts/+/df0fca84b162d158537717eb8cb110a3e9b4894e", "df0fca84b162d158537717eb8cb110a3e9b4894e")</f>
        <v>0</v>
      </c>
      <c r="D44882" t="s">
        <v>5244</v>
      </c>
      <c r="E44882" t="s">
        <v>10106</v>
      </c>
      <c r="F44882" t="s">
        <v>14734</v>
      </c>
      <c r="G44882" t="s">
        <v>18615</v>
      </c>
      <c r="H44882" t="s">
        <v>37804</v>
      </c>
    </row>
    <row r="44883" spans="1:8">
      <c r="A44883" t="s">
        <v>4440</v>
      </c>
      <c r="B44883">
        <f>HYPERLINK("https://android.googlesource.com/platform/cts/+/7948d4ce0835e16530bdc6668539e6f63d33f4c8", "7948d4ce0835e16530bdc6668539e6f63d33f4c8")</f>
        <v>0</v>
      </c>
      <c r="C44883">
        <f>HYPERLINK("https://android.googlesource.com/platform/cts/+/6ff2a32012af035eedfed15dc9d746e9c542f1de", "6ff2a32012af035eedfed15dc9d746e9c542f1de")</f>
        <v>0</v>
      </c>
      <c r="D44883" t="s">
        <v>5584</v>
      </c>
      <c r="E44883" t="s">
        <v>10107</v>
      </c>
      <c r="F44883" t="s">
        <v>14735</v>
      </c>
      <c r="G44883" t="s">
        <v>17345</v>
      </c>
      <c r="H44883" t="s">
        <v>37805</v>
      </c>
    </row>
    <row r="44884" spans="1:8">
      <c r="H44884" t="s">
        <v>37806</v>
      </c>
    </row>
    <row r="44885" spans="1:8">
      <c r="H44885" t="s">
        <v>37807</v>
      </c>
    </row>
    <row r="44886" spans="1:8">
      <c r="H44886" t="s">
        <v>37808</v>
      </c>
    </row>
    <row r="44887" spans="1:8">
      <c r="A44887" t="s">
        <v>4441</v>
      </c>
      <c r="B44887">
        <f>HYPERLINK("https://android.googlesource.com/platform/cts/+/2deb3b31533ac7e8cfbd434ebf69548ca0ec8e19", "2deb3b31533ac7e8cfbd434ebf69548ca0ec8e19")</f>
        <v>0</v>
      </c>
      <c r="C44887">
        <f>HYPERLINK("https://android.googlesource.com/platform/cts/+/89228705d002b34f8e6a55f36a5ad8e36b9c9e00", "89228705d002b34f8e6a55f36a5ad8e36b9c9e00")</f>
        <v>0</v>
      </c>
      <c r="D44887" t="s">
        <v>5504</v>
      </c>
      <c r="E44887" t="s">
        <v>10108</v>
      </c>
      <c r="F44887" t="s">
        <v>14300</v>
      </c>
      <c r="G44887" t="s">
        <v>18259</v>
      </c>
      <c r="H44887" t="s">
        <v>37809</v>
      </c>
    </row>
    <row r="44888" spans="1:8">
      <c r="H44888" t="s">
        <v>37810</v>
      </c>
    </row>
    <row r="44889" spans="1:8">
      <c r="H44889" t="s">
        <v>37811</v>
      </c>
    </row>
    <row r="44890" spans="1:8">
      <c r="H44890" t="s">
        <v>37812</v>
      </c>
    </row>
    <row r="44891" spans="1:8">
      <c r="H44891" t="s">
        <v>37813</v>
      </c>
    </row>
    <row r="44892" spans="1:8">
      <c r="H44892" t="s">
        <v>37814</v>
      </c>
    </row>
    <row r="44893" spans="1:8">
      <c r="H44893" t="s">
        <v>37815</v>
      </c>
    </row>
    <row r="44894" spans="1:8">
      <c r="A44894" t="s">
        <v>4442</v>
      </c>
      <c r="B44894">
        <f>HYPERLINK("https://android.googlesource.com/platform/cts/+/565d1686c730c6dee24103914bb52b63a164e73d", "565d1686c730c6dee24103914bb52b63a164e73d")</f>
        <v>0</v>
      </c>
      <c r="C44894">
        <f>HYPERLINK("https://android.googlesource.com/platform/cts/+/c29cf3af5ef8681e6cb4e03d969bf57f5b69cc1f", "c29cf3af5ef8681e6cb4e03d969bf57f5b69cc1f")</f>
        <v>0</v>
      </c>
      <c r="D44894" t="s">
        <v>5059</v>
      </c>
      <c r="E44894" t="s">
        <v>10109</v>
      </c>
      <c r="F44894" t="s">
        <v>14736</v>
      </c>
      <c r="G44894" t="s">
        <v>18616</v>
      </c>
      <c r="H44894" t="s">
        <v>37816</v>
      </c>
    </row>
    <row r="44895" spans="1:8">
      <c r="A44895" t="s">
        <v>4443</v>
      </c>
      <c r="B44895">
        <f>HYPERLINK("https://android.googlesource.com/platform/cts/+/f1bcc087b46e032b03c0104251f0078df556c2a1", "f1bcc087b46e032b03c0104251f0078df556c2a1")</f>
        <v>0</v>
      </c>
      <c r="C44895">
        <f>HYPERLINK("https://android.googlesource.com/platform/cts/+/1bb09c3f4397efc243c094e79cd22d156532a986", "1bb09c3f4397efc243c094e79cd22d156532a986")</f>
        <v>0</v>
      </c>
      <c r="D44895" t="s">
        <v>5564</v>
      </c>
      <c r="E44895" t="s">
        <v>10110</v>
      </c>
      <c r="F44895" t="s">
        <v>14737</v>
      </c>
      <c r="G44895" t="s">
        <v>16621</v>
      </c>
      <c r="H44895" t="s">
        <v>34498</v>
      </c>
    </row>
    <row r="44896" spans="1:8">
      <c r="A44896" t="s">
        <v>4444</v>
      </c>
      <c r="B44896">
        <f>HYPERLINK("https://android.googlesource.com/platform/cts/+/3f146cc6e7c777bd9fd454ed7aaf8183ef2ad64c", "3f146cc6e7c777bd9fd454ed7aaf8183ef2ad64c")</f>
        <v>0</v>
      </c>
      <c r="C44896">
        <f>HYPERLINK("https://android.googlesource.com/platform/cts/+/f1bcc087b46e032b03c0104251f0078df556c2a1", "f1bcc087b46e032b03c0104251f0078df556c2a1")</f>
        <v>0</v>
      </c>
      <c r="D44896" t="s">
        <v>5564</v>
      </c>
      <c r="E44896" t="s">
        <v>10111</v>
      </c>
      <c r="F44896" t="s">
        <v>14737</v>
      </c>
      <c r="G44896" t="s">
        <v>16621</v>
      </c>
      <c r="H44896" t="s">
        <v>19034</v>
      </c>
    </row>
    <row r="44897" spans="1:8">
      <c r="A44897" t="s">
        <v>4445</v>
      </c>
      <c r="B44897">
        <f>HYPERLINK("https://android.googlesource.com/platform/cts/+/304ee81e08ef62d93f260ab298d9e3ed23bbcb03", "304ee81e08ef62d93f260ab298d9e3ed23bbcb03")</f>
        <v>0</v>
      </c>
      <c r="C44897">
        <f>HYPERLINK("https://android.googlesource.com/platform/cts/+/3f146cc6e7c777bd9fd454ed7aaf8183ef2ad64c", "3f146cc6e7c777bd9fd454ed7aaf8183ef2ad64c")</f>
        <v>0</v>
      </c>
      <c r="D44897" t="s">
        <v>5564</v>
      </c>
      <c r="E44897" t="s">
        <v>10112</v>
      </c>
      <c r="F44897" t="s">
        <v>14737</v>
      </c>
      <c r="G44897" t="s">
        <v>16621</v>
      </c>
      <c r="H44897" t="s">
        <v>37817</v>
      </c>
    </row>
    <row r="44898" spans="1:8">
      <c r="H44898" t="s">
        <v>37818</v>
      </c>
    </row>
    <row r="44899" spans="1:8">
      <c r="H44899" t="s">
        <v>37819</v>
      </c>
    </row>
    <row r="44900" spans="1:8">
      <c r="H44900" t="s">
        <v>37820</v>
      </c>
    </row>
    <row r="44901" spans="1:8">
      <c r="H44901" t="s">
        <v>37821</v>
      </c>
    </row>
    <row r="44902" spans="1:8">
      <c r="H44902" t="s">
        <v>37822</v>
      </c>
    </row>
    <row r="44903" spans="1:8">
      <c r="H44903" t="s">
        <v>37823</v>
      </c>
    </row>
    <row r="44904" spans="1:8">
      <c r="H44904" t="s">
        <v>37824</v>
      </c>
    </row>
    <row r="44905" spans="1:8">
      <c r="H44905" t="s">
        <v>37825</v>
      </c>
    </row>
    <row r="44906" spans="1:8">
      <c r="H44906" t="s">
        <v>37826</v>
      </c>
    </row>
    <row r="44907" spans="1:8">
      <c r="H44907" t="s">
        <v>37827</v>
      </c>
    </row>
    <row r="44908" spans="1:8">
      <c r="H44908" t="s">
        <v>37828</v>
      </c>
    </row>
    <row r="44909" spans="1:8">
      <c r="H44909" t="s">
        <v>37829</v>
      </c>
    </row>
    <row r="44910" spans="1:8">
      <c r="H44910" t="s">
        <v>37830</v>
      </c>
    </row>
    <row r="44911" spans="1:8">
      <c r="H44911" t="s">
        <v>37831</v>
      </c>
    </row>
    <row r="44912" spans="1:8">
      <c r="H44912" t="s">
        <v>37832</v>
      </c>
    </row>
    <row r="44913" spans="8:8">
      <c r="H44913" t="s">
        <v>37833</v>
      </c>
    </row>
    <row r="44914" spans="8:8">
      <c r="H44914" t="s">
        <v>37834</v>
      </c>
    </row>
    <row r="44915" spans="8:8">
      <c r="H44915" t="s">
        <v>37835</v>
      </c>
    </row>
    <row r="44916" spans="8:8">
      <c r="H44916" t="s">
        <v>37836</v>
      </c>
    </row>
    <row r="44917" spans="8:8">
      <c r="H44917" t="s">
        <v>37837</v>
      </c>
    </row>
    <row r="44918" spans="8:8">
      <c r="H44918" t="s">
        <v>37838</v>
      </c>
    </row>
    <row r="44919" spans="8:8">
      <c r="H44919" t="s">
        <v>37839</v>
      </c>
    </row>
    <row r="44920" spans="8:8">
      <c r="H44920" t="s">
        <v>37840</v>
      </c>
    </row>
    <row r="44921" spans="8:8">
      <c r="H44921" t="s">
        <v>37841</v>
      </c>
    </row>
    <row r="44922" spans="8:8">
      <c r="H44922" t="s">
        <v>37842</v>
      </c>
    </row>
    <row r="44923" spans="8:8">
      <c r="H44923" t="s">
        <v>37843</v>
      </c>
    </row>
    <row r="44924" spans="8:8">
      <c r="H44924" t="s">
        <v>37844</v>
      </c>
    </row>
    <row r="44925" spans="8:8">
      <c r="H44925" t="s">
        <v>37845</v>
      </c>
    </row>
    <row r="44926" spans="8:8">
      <c r="H44926" t="s">
        <v>37846</v>
      </c>
    </row>
    <row r="44927" spans="8:8">
      <c r="H44927" t="s">
        <v>37847</v>
      </c>
    </row>
    <row r="44928" spans="8:8">
      <c r="H44928" t="s">
        <v>37848</v>
      </c>
    </row>
    <row r="44929" spans="1:8">
      <c r="H44929" t="s">
        <v>37849</v>
      </c>
    </row>
    <row r="44930" spans="1:8">
      <c r="H44930" t="s">
        <v>37850</v>
      </c>
    </row>
    <row r="44931" spans="1:8">
      <c r="H44931" t="s">
        <v>37851</v>
      </c>
    </row>
    <row r="44932" spans="1:8">
      <c r="H44932" t="s">
        <v>37852</v>
      </c>
    </row>
    <row r="44933" spans="1:8">
      <c r="H44933" t="s">
        <v>37853</v>
      </c>
    </row>
    <row r="44934" spans="1:8">
      <c r="H44934" t="s">
        <v>37854</v>
      </c>
    </row>
    <row r="44935" spans="1:8">
      <c r="H44935" t="s">
        <v>37855</v>
      </c>
    </row>
    <row r="44936" spans="1:8">
      <c r="H44936" t="s">
        <v>37856</v>
      </c>
    </row>
    <row r="44937" spans="1:8">
      <c r="H44937" t="s">
        <v>37857</v>
      </c>
    </row>
    <row r="44938" spans="1:8">
      <c r="H44938" t="s">
        <v>37858</v>
      </c>
    </row>
    <row r="44939" spans="1:8">
      <c r="H44939" t="s">
        <v>37859</v>
      </c>
    </row>
    <row r="44940" spans="1:8">
      <c r="A44940" t="s">
        <v>4449</v>
      </c>
      <c r="B44940">
        <f>HYPERLINK("https://android.googlesource.com/platform/cts/+/da816eb1f661a6859d1ab89fffd49f04cf743ef2", "da816eb1f661a6859d1ab89fffd49f04cf743ef2")</f>
        <v>0</v>
      </c>
      <c r="C44940">
        <f>HYPERLINK("https://android.googlesource.com/platform/cts/+/de2d34fbe42917d2fccfc1b2e8f9fa13646ef0f7", "de2d34fbe42917d2fccfc1b2e8f9fa13646ef0f7")</f>
        <v>0</v>
      </c>
      <c r="D44940" t="s">
        <v>5660</v>
      </c>
      <c r="E44940" t="s">
        <v>10116</v>
      </c>
      <c r="F44940" t="s">
        <v>11433</v>
      </c>
      <c r="G44940" t="s">
        <v>15673</v>
      </c>
      <c r="H44940" t="s">
        <v>37860</v>
      </c>
    </row>
    <row r="44941" spans="1:8">
      <c r="H44941" t="s">
        <v>37861</v>
      </c>
    </row>
    <row r="44942" spans="1:8">
      <c r="H44942" t="s">
        <v>37862</v>
      </c>
    </row>
    <row r="44943" spans="1:8">
      <c r="H44943" t="s">
        <v>37863</v>
      </c>
    </row>
    <row r="44944" spans="1:8">
      <c r="H44944" t="s">
        <v>37864</v>
      </c>
    </row>
    <row r="44945" spans="1:8">
      <c r="H44945" t="s">
        <v>37865</v>
      </c>
    </row>
    <row r="44946" spans="1:8">
      <c r="A44946" t="s">
        <v>4451</v>
      </c>
      <c r="B44946">
        <f>HYPERLINK("https://android.googlesource.com/platform/cts/+/da70318e3d974aba9db05dcbaf77130e886134a1", "da70318e3d974aba9db05dcbaf77130e886134a1")</f>
        <v>0</v>
      </c>
      <c r="C44946">
        <f>HYPERLINK("https://android.googlesource.com/platform/cts/+/2deb3b31533ac7e8cfbd434ebf69548ca0ec8e19", "2deb3b31533ac7e8cfbd434ebf69548ca0ec8e19")</f>
        <v>0</v>
      </c>
      <c r="D44946" t="s">
        <v>5702</v>
      </c>
      <c r="E44946" t="s">
        <v>10117</v>
      </c>
      <c r="F44946" t="s">
        <v>14300</v>
      </c>
      <c r="G44946" t="s">
        <v>18259</v>
      </c>
      <c r="H44946" t="s">
        <v>37866</v>
      </c>
    </row>
    <row r="44947" spans="1:8">
      <c r="H44947" t="s">
        <v>37867</v>
      </c>
    </row>
    <row r="44948" spans="1:8">
      <c r="H44948" t="s">
        <v>37868</v>
      </c>
    </row>
    <row r="44949" spans="1:8">
      <c r="H44949" t="s">
        <v>37869</v>
      </c>
    </row>
    <row r="44950" spans="1:8">
      <c r="H44950" t="s">
        <v>37870</v>
      </c>
    </row>
    <row r="44951" spans="1:8">
      <c r="A44951" t="s">
        <v>4452</v>
      </c>
      <c r="B44951">
        <f>HYPERLINK("https://android.googlesource.com/platform/cts/+/9f48672fe8aefafc2bb544a5db923a95cfee61cd", "9f48672fe8aefafc2bb544a5db923a95cfee61cd")</f>
        <v>0</v>
      </c>
      <c r="C44951">
        <f>HYPERLINK("https://android.googlesource.com/platform/cts/+/79dac82f2c8826d01b0b228e42023568200ac911", "79dac82f2c8826d01b0b228e42023568200ac911")</f>
        <v>0</v>
      </c>
      <c r="D44951" t="s">
        <v>5504</v>
      </c>
      <c r="E44951" t="s">
        <v>10118</v>
      </c>
      <c r="F44951" t="s">
        <v>14300</v>
      </c>
      <c r="G44951" t="s">
        <v>18259</v>
      </c>
      <c r="H44951" t="s">
        <v>37809</v>
      </c>
    </row>
    <row r="44952" spans="1:8">
      <c r="H44952" t="s">
        <v>37810</v>
      </c>
    </row>
    <row r="44953" spans="1:8">
      <c r="H44953" t="s">
        <v>37811</v>
      </c>
    </row>
    <row r="44954" spans="1:8">
      <c r="H44954" t="s">
        <v>37812</v>
      </c>
    </row>
    <row r="44955" spans="1:8">
      <c r="H44955" t="s">
        <v>37813</v>
      </c>
    </row>
    <row r="44956" spans="1:8">
      <c r="H44956" t="s">
        <v>37814</v>
      </c>
    </row>
    <row r="44957" spans="1:8">
      <c r="H44957" t="s">
        <v>37815</v>
      </c>
    </row>
    <row r="44958" spans="1:8">
      <c r="A44958" t="s">
        <v>4453</v>
      </c>
      <c r="B44958">
        <f>HYPERLINK("https://android.googlesource.com/platform/cts/+/64ad0009d8e02a9b40c54e50092d7b87e7e38de8", "64ad0009d8e02a9b40c54e50092d7b87e7e38de8")</f>
        <v>0</v>
      </c>
      <c r="C44958">
        <f>HYPERLINK("https://android.googlesource.com/platform/cts/+/0af0ca796fa87eb06093341634a13ff57eafda4a", "0af0ca796fa87eb06093341634a13ff57eafda4a")</f>
        <v>0</v>
      </c>
      <c r="D44958" t="s">
        <v>5703</v>
      </c>
      <c r="E44958" t="s">
        <v>10119</v>
      </c>
      <c r="F44958" t="s">
        <v>12241</v>
      </c>
      <c r="G44958" t="s">
        <v>16472</v>
      </c>
      <c r="H44958" t="s">
        <v>37871</v>
      </c>
    </row>
    <row r="44959" spans="1:8">
      <c r="A44959" t="s">
        <v>4454</v>
      </c>
      <c r="B44959">
        <f>HYPERLINK("https://android.googlesource.com/platform/cts/+/a415f0739fccbe5407052b27a7de74965ae1c0e8", "a415f0739fccbe5407052b27a7de74965ae1c0e8")</f>
        <v>0</v>
      </c>
      <c r="C44959">
        <f>HYPERLINK("https://android.googlesource.com/platform/cts/+/c7f14c6cd2e17ab1908a1c3f3a42a50eda85ea82", "c7f14c6cd2e17ab1908a1c3f3a42a50eda85ea82")</f>
        <v>0</v>
      </c>
      <c r="D44959" t="s">
        <v>5704</v>
      </c>
      <c r="E44959" t="s">
        <v>10120</v>
      </c>
      <c r="F44959" t="s">
        <v>14738</v>
      </c>
      <c r="G44959" t="s">
        <v>18617</v>
      </c>
      <c r="H44959" t="s">
        <v>37872</v>
      </c>
    </row>
    <row r="44960" spans="1:8">
      <c r="H44960" t="s">
        <v>30514</v>
      </c>
    </row>
    <row r="44961" spans="1:8">
      <c r="H44961" t="s">
        <v>37873</v>
      </c>
    </row>
    <row r="44962" spans="1:8">
      <c r="H44962" t="s">
        <v>37874</v>
      </c>
    </row>
    <row r="44963" spans="1:8">
      <c r="A44963" t="s">
        <v>4459</v>
      </c>
      <c r="B44963">
        <f>HYPERLINK("https://android.googlesource.com/platform/cts/+/736bc60035915ba6b3613c2f685fa220d556b1b4", "736bc60035915ba6b3613c2f685fa220d556b1b4")</f>
        <v>0</v>
      </c>
      <c r="C44963">
        <f>HYPERLINK("https://android.googlesource.com/platform/cts/+/116d83e00060b1520cb36719a5e2fe78419e0843", "116d83e00060b1520cb36719a5e2fe78419e0843")</f>
        <v>0</v>
      </c>
      <c r="D44963" t="s">
        <v>5584</v>
      </c>
      <c r="E44963" t="s">
        <v>10122</v>
      </c>
      <c r="F44963" t="s">
        <v>14739</v>
      </c>
      <c r="G44963" t="s">
        <v>18618</v>
      </c>
      <c r="H44963" t="s">
        <v>37875</v>
      </c>
    </row>
    <row r="44964" spans="1:8">
      <c r="A44964" t="s">
        <v>4460</v>
      </c>
      <c r="B44964">
        <f>HYPERLINK("https://android.googlesource.com/platform/cts/+/ecd96cf01a5a3461749b167f849c669a889caebe", "ecd96cf01a5a3461749b167f849c669a889caebe")</f>
        <v>0</v>
      </c>
      <c r="C44964">
        <f>HYPERLINK("https://android.googlesource.com/platform/cts/+/83fd247f8b7357d064c8f809dd742db3238b79e3", "83fd247f8b7357d064c8f809dd742db3238b79e3")</f>
        <v>0</v>
      </c>
      <c r="D44964" t="s">
        <v>5315</v>
      </c>
      <c r="E44964" t="s">
        <v>10123</v>
      </c>
      <c r="F44964" t="s">
        <v>14067</v>
      </c>
      <c r="G44964" t="s">
        <v>18065</v>
      </c>
      <c r="H44964" t="s">
        <v>37876</v>
      </c>
    </row>
    <row r="44965" spans="1:8">
      <c r="F44965" t="s">
        <v>14068</v>
      </c>
      <c r="G44965" t="s">
        <v>18066</v>
      </c>
      <c r="H44965" t="s">
        <v>37876</v>
      </c>
    </row>
    <row r="44966" spans="1:8">
      <c r="A44966" t="s">
        <v>4462</v>
      </c>
      <c r="B44966">
        <f>HYPERLINK("https://android.googlesource.com/platform/cts/+/338ddca826ec519998afafcb40b3cd85883bdfc2", "338ddca826ec519998afafcb40b3cd85883bdfc2")</f>
        <v>0</v>
      </c>
      <c r="C44966">
        <f>HYPERLINK("https://android.googlesource.com/platform/cts/+/4b44c94295770b4898e61b320aaaf092ecdd3ab2", "4b44c94295770b4898e61b320aaaf092ecdd3ab2")</f>
        <v>0</v>
      </c>
      <c r="D44966" t="s">
        <v>5700</v>
      </c>
      <c r="E44966" t="s">
        <v>10124</v>
      </c>
      <c r="F44966" t="s">
        <v>14695</v>
      </c>
      <c r="G44966" t="s">
        <v>18585</v>
      </c>
      <c r="H44966" t="s">
        <v>37877</v>
      </c>
    </row>
    <row r="44967" spans="1:8">
      <c r="H44967" t="s">
        <v>37878</v>
      </c>
    </row>
    <row r="44968" spans="1:8">
      <c r="A44968" t="s">
        <v>4463</v>
      </c>
      <c r="B44968">
        <f>HYPERLINK("https://android.googlesource.com/platform/cts/+/7f576b769b901f7ab9e0d041fd78769a1a18a1c2", "7f576b769b901f7ab9e0d041fd78769a1a18a1c2")</f>
        <v>0</v>
      </c>
      <c r="C44968">
        <f>HYPERLINK("https://android.googlesource.com/platform/cts/+/3b542cabcf7f96cb90dfe137ed544644fafb5231", "3b542cabcf7f96cb90dfe137ed544644fafb5231")</f>
        <v>0</v>
      </c>
      <c r="D44968" t="s">
        <v>5705</v>
      </c>
      <c r="E44968" t="s">
        <v>10125</v>
      </c>
      <c r="F44968" t="s">
        <v>14740</v>
      </c>
      <c r="G44968" t="s">
        <v>18619</v>
      </c>
      <c r="H44968" t="s">
        <v>31042</v>
      </c>
    </row>
    <row r="44969" spans="1:8">
      <c r="H44969" t="s">
        <v>37879</v>
      </c>
    </row>
    <row r="44970" spans="1:8">
      <c r="H44970" t="s">
        <v>31044</v>
      </c>
    </row>
    <row r="44971" spans="1:8">
      <c r="H44971" t="s">
        <v>37880</v>
      </c>
    </row>
    <row r="44972" spans="1:8">
      <c r="H44972" t="s">
        <v>37881</v>
      </c>
    </row>
    <row r="44973" spans="1:8">
      <c r="H44973" t="s">
        <v>37882</v>
      </c>
    </row>
    <row r="44974" spans="1:8">
      <c r="H44974" t="s">
        <v>37883</v>
      </c>
    </row>
    <row r="44975" spans="1:8">
      <c r="H44975" t="s">
        <v>37884</v>
      </c>
    </row>
    <row r="44976" spans="1:8">
      <c r="H44976" t="s">
        <v>37885</v>
      </c>
    </row>
    <row r="44977" spans="1:8">
      <c r="H44977" t="s">
        <v>37886</v>
      </c>
    </row>
    <row r="44978" spans="1:8">
      <c r="H44978" t="s">
        <v>22586</v>
      </c>
    </row>
    <row r="44979" spans="1:8">
      <c r="H44979" t="s">
        <v>37887</v>
      </c>
    </row>
    <row r="44980" spans="1:8">
      <c r="H44980" t="s">
        <v>26759</v>
      </c>
    </row>
    <row r="44981" spans="1:8">
      <c r="H44981" t="s">
        <v>33588</v>
      </c>
    </row>
    <row r="44982" spans="1:8">
      <c r="H44982" t="s">
        <v>37888</v>
      </c>
    </row>
    <row r="44983" spans="1:8">
      <c r="H44983" t="s">
        <v>37889</v>
      </c>
    </row>
    <row r="44984" spans="1:8">
      <c r="H44984" t="s">
        <v>37890</v>
      </c>
    </row>
    <row r="44985" spans="1:8">
      <c r="H44985" t="s">
        <v>37891</v>
      </c>
    </row>
    <row r="44986" spans="1:8">
      <c r="H44986" t="s">
        <v>37892</v>
      </c>
    </row>
    <row r="44987" spans="1:8">
      <c r="A44987" t="s">
        <v>4464</v>
      </c>
      <c r="B44987">
        <f>HYPERLINK("https://android.googlesource.com/platform/cts/+/b1c02e1d0de3bf6e03075db0e35bfb441e679c0c", "b1c02e1d0de3bf6e03075db0e35bfb441e679c0c")</f>
        <v>0</v>
      </c>
      <c r="C44987">
        <f>HYPERLINK("https://android.googlesource.com/platform/cts/+/7f576b769b901f7ab9e0d041fd78769a1a18a1c2", "7f576b769b901f7ab9e0d041fd78769a1a18a1c2")</f>
        <v>0</v>
      </c>
      <c r="D44987" t="s">
        <v>5705</v>
      </c>
      <c r="E44987" t="s">
        <v>10126</v>
      </c>
      <c r="F44987" t="s">
        <v>14741</v>
      </c>
      <c r="G44987" t="s">
        <v>18619</v>
      </c>
      <c r="H44987" t="s">
        <v>37890</v>
      </c>
    </row>
    <row r="44988" spans="1:8">
      <c r="A44988" t="s">
        <v>4465</v>
      </c>
      <c r="B44988">
        <f>HYPERLINK("https://android.googlesource.com/platform/cts/+/9607c0a2309d280580cff32fcfeabb550b15ce21", "9607c0a2309d280580cff32fcfeabb550b15ce21")</f>
        <v>0</v>
      </c>
      <c r="C44988">
        <f>HYPERLINK("https://android.googlesource.com/platform/cts/+/a8790bee06d961a03ca34a17577596f44f60dbc4", "a8790bee06d961a03ca34a17577596f44f60dbc4")</f>
        <v>0</v>
      </c>
      <c r="D44988" t="s">
        <v>5706</v>
      </c>
      <c r="E44988" t="s">
        <v>10127</v>
      </c>
      <c r="F44988" t="s">
        <v>13307</v>
      </c>
      <c r="G44988" t="s">
        <v>16817</v>
      </c>
      <c r="H44988" t="s">
        <v>37893</v>
      </c>
    </row>
    <row r="44989" spans="1:8">
      <c r="A44989" t="s">
        <v>4466</v>
      </c>
      <c r="B44989">
        <f>HYPERLINK("https://android.googlesource.com/platform/cts/+/0f15462d7c484d485ee8093a192d306974ff876f", "0f15462d7c484d485ee8093a192d306974ff876f")</f>
        <v>0</v>
      </c>
      <c r="C44989">
        <f>HYPERLINK("https://android.googlesource.com/platform/cts/+/46bb5ebb24906e2e785bfd8dbf5ae5842abb6de3", "46bb5ebb24906e2e785bfd8dbf5ae5842abb6de3")</f>
        <v>0</v>
      </c>
      <c r="D44989" t="s">
        <v>5523</v>
      </c>
      <c r="E44989" t="s">
        <v>10128</v>
      </c>
      <c r="F44989" t="s">
        <v>14742</v>
      </c>
      <c r="G44989" t="s">
        <v>18614</v>
      </c>
      <c r="H44989" t="s">
        <v>37801</v>
      </c>
    </row>
    <row r="44990" spans="1:8">
      <c r="A44990" t="s">
        <v>4467</v>
      </c>
      <c r="B44990">
        <f>HYPERLINK("https://android.googlesource.com/platform/cts/+/9ca529aec0da8d804e80aab376e07a634e17a1ac", "9ca529aec0da8d804e80aab376e07a634e17a1ac")</f>
        <v>0</v>
      </c>
      <c r="C44990">
        <f>HYPERLINK("https://android.googlesource.com/platform/cts/+/f71c99c45dd3190e9e28c467c7a0d0b5366e1852", "f71c99c45dd3190e9e28c467c7a0d0b5366e1852")</f>
        <v>0</v>
      </c>
      <c r="D44990" t="s">
        <v>5584</v>
      </c>
      <c r="E44990" t="s">
        <v>10129</v>
      </c>
      <c r="F44990" t="s">
        <v>14743</v>
      </c>
      <c r="G44990" t="s">
        <v>18620</v>
      </c>
      <c r="H44990" t="s">
        <v>37894</v>
      </c>
    </row>
    <row r="44991" spans="1:8">
      <c r="A44991" t="s">
        <v>4468</v>
      </c>
      <c r="B44991">
        <f>HYPERLINK("https://android.googlesource.com/platform/cts/+/4eb7025c88ae3e293015c1a9ec6a6eb7325f187c", "4eb7025c88ae3e293015c1a9ec6a6eb7325f187c")</f>
        <v>0</v>
      </c>
      <c r="C44991">
        <f>HYPERLINK("https://android.googlesource.com/platform/cts/+/638dbaf891c2bee65860c7c4e51c847cfdf88990", "638dbaf891c2bee65860c7c4e51c847cfdf88990")</f>
        <v>0</v>
      </c>
      <c r="D44991" t="s">
        <v>5564</v>
      </c>
      <c r="E44991" t="s">
        <v>10130</v>
      </c>
      <c r="F44991" t="s">
        <v>14744</v>
      </c>
      <c r="G44991" t="s">
        <v>18202</v>
      </c>
      <c r="H44991" t="s">
        <v>34484</v>
      </c>
    </row>
    <row r="44992" spans="1:8">
      <c r="H44992" t="s">
        <v>34485</v>
      </c>
    </row>
    <row r="44993" spans="6:8">
      <c r="H44993" t="s">
        <v>34486</v>
      </c>
    </row>
    <row r="44994" spans="6:8">
      <c r="H44994" t="s">
        <v>34488</v>
      </c>
    </row>
    <row r="44995" spans="6:8">
      <c r="H44995" t="s">
        <v>34489</v>
      </c>
    </row>
    <row r="44996" spans="6:8">
      <c r="H44996" t="s">
        <v>34490</v>
      </c>
    </row>
    <row r="44997" spans="6:8">
      <c r="H44997" t="s">
        <v>34149</v>
      </c>
    </row>
    <row r="44998" spans="6:8">
      <c r="H44998" t="s">
        <v>34150</v>
      </c>
    </row>
    <row r="44999" spans="6:8">
      <c r="H44999" t="s">
        <v>34151</v>
      </c>
    </row>
    <row r="45000" spans="6:8">
      <c r="H45000" t="s">
        <v>34154</v>
      </c>
    </row>
    <row r="45001" spans="6:8">
      <c r="H45001" t="s">
        <v>34155</v>
      </c>
    </row>
    <row r="45002" spans="6:8">
      <c r="H45002" t="s">
        <v>34157</v>
      </c>
    </row>
    <row r="45003" spans="6:8">
      <c r="H45003" t="s">
        <v>34491</v>
      </c>
    </row>
    <row r="45004" spans="6:8">
      <c r="H45004" t="s">
        <v>34492</v>
      </c>
    </row>
    <row r="45005" spans="6:8">
      <c r="H45005" t="s">
        <v>34493</v>
      </c>
    </row>
    <row r="45006" spans="6:8">
      <c r="H45006" t="s">
        <v>34494</v>
      </c>
    </row>
    <row r="45007" spans="6:8">
      <c r="H45007" t="s">
        <v>34495</v>
      </c>
    </row>
    <row r="45008" spans="6:8">
      <c r="F45008" t="s">
        <v>12332</v>
      </c>
      <c r="G45008" t="s">
        <v>16560</v>
      </c>
      <c r="H45008" t="s">
        <v>37895</v>
      </c>
    </row>
    <row r="45009" spans="1:8">
      <c r="H45009" t="s">
        <v>37896</v>
      </c>
    </row>
    <row r="45010" spans="1:8">
      <c r="H45010" t="s">
        <v>37896</v>
      </c>
    </row>
    <row r="45011" spans="1:8">
      <c r="H45011" t="s">
        <v>37896</v>
      </c>
    </row>
    <row r="45012" spans="1:8">
      <c r="H45012" t="s">
        <v>37897</v>
      </c>
    </row>
    <row r="45013" spans="1:8">
      <c r="H45013" t="s">
        <v>37897</v>
      </c>
    </row>
    <row r="45014" spans="1:8">
      <c r="H45014" t="s">
        <v>37897</v>
      </c>
    </row>
    <row r="45015" spans="1:8">
      <c r="H45015" t="s">
        <v>37898</v>
      </c>
    </row>
    <row r="45016" spans="1:8">
      <c r="H45016" t="s">
        <v>37898</v>
      </c>
    </row>
    <row r="45017" spans="1:8">
      <c r="H45017" t="s">
        <v>34652</v>
      </c>
    </row>
    <row r="45018" spans="1:8">
      <c r="H45018" t="s">
        <v>37899</v>
      </c>
    </row>
    <row r="45019" spans="1:8">
      <c r="A45019" t="s">
        <v>4469</v>
      </c>
      <c r="B45019">
        <f>HYPERLINK("https://android.googlesource.com/platform/cts/+/fd2772894b2be84bda85735053ce99cf5eb73019", "fd2772894b2be84bda85735053ce99cf5eb73019")</f>
        <v>0</v>
      </c>
      <c r="C45019">
        <f>HYPERLINK("https://android.googlesource.com/platform/cts/+/3cd74e0c5ade6c71ad28d2f22a81e3d513da28d1", "3cd74e0c5ade6c71ad28d2f22a81e3d513da28d1")</f>
        <v>0</v>
      </c>
      <c r="D45019" t="s">
        <v>5005</v>
      </c>
      <c r="E45019" t="s">
        <v>10131</v>
      </c>
      <c r="F45019" t="s">
        <v>11193</v>
      </c>
      <c r="G45019" t="s">
        <v>15582</v>
      </c>
      <c r="H45019" t="s">
        <v>37900</v>
      </c>
    </row>
    <row r="45020" spans="1:8">
      <c r="H45020" t="s">
        <v>37901</v>
      </c>
    </row>
    <row r="45021" spans="1:8">
      <c r="H45021" t="s">
        <v>37902</v>
      </c>
    </row>
    <row r="45022" spans="1:8">
      <c r="H45022" t="s">
        <v>37903</v>
      </c>
    </row>
    <row r="45023" spans="1:8">
      <c r="A45023" t="s">
        <v>4470</v>
      </c>
      <c r="B45023">
        <f>HYPERLINK("https://android.googlesource.com/platform/cts/+/8e1825deb5bc45e2f846910a06c85f3796aca751", "8e1825deb5bc45e2f846910a06c85f3796aca751")</f>
        <v>0</v>
      </c>
      <c r="C45023">
        <f>HYPERLINK("https://android.googlesource.com/platform/cts/+/96d28299a08c549d7c7c29e0c5445a1db82753e9", "96d28299a08c549d7c7c29e0c5445a1db82753e9")</f>
        <v>0</v>
      </c>
      <c r="D45023" t="s">
        <v>5523</v>
      </c>
      <c r="E45023" t="s">
        <v>10132</v>
      </c>
      <c r="F45023" t="s">
        <v>14745</v>
      </c>
      <c r="G45023" t="s">
        <v>18621</v>
      </c>
      <c r="H45023" t="s">
        <v>25470</v>
      </c>
    </row>
    <row r="45024" spans="1:8">
      <c r="A45024" t="s">
        <v>4471</v>
      </c>
      <c r="B45024">
        <f>HYPERLINK("https://android.googlesource.com/platform/cts/+/2ed4675aa419b23a265af48f753b420942a6efc3", "2ed4675aa419b23a265af48f753b420942a6efc3")</f>
        <v>0</v>
      </c>
      <c r="C45024">
        <f>HYPERLINK("https://android.googlesource.com/platform/cts/+/1999665f21aaac8a8649c01b3c19c926b8aeffe7", "1999665f21aaac8a8649c01b3c19c926b8aeffe7")</f>
        <v>0</v>
      </c>
      <c r="D45024" t="s">
        <v>5707</v>
      </c>
      <c r="E45024" t="s">
        <v>10133</v>
      </c>
      <c r="F45024" t="s">
        <v>14568</v>
      </c>
      <c r="G45024" t="s">
        <v>18489</v>
      </c>
      <c r="H45024" t="s">
        <v>37904</v>
      </c>
    </row>
    <row r="45025" spans="1:8">
      <c r="H45025" t="s">
        <v>37905</v>
      </c>
    </row>
    <row r="45026" spans="1:8">
      <c r="H45026" t="s">
        <v>37906</v>
      </c>
    </row>
    <row r="45027" spans="1:8">
      <c r="A45027" t="s">
        <v>4472</v>
      </c>
      <c r="B45027">
        <f>HYPERLINK("https://android.googlesource.com/platform/cts/+/000baddf77a33fb83fbb689673db0612e0fcd4c3", "000baddf77a33fb83fbb689673db0612e0fcd4c3")</f>
        <v>0</v>
      </c>
      <c r="C45027">
        <f>HYPERLINK("https://android.googlesource.com/platform/cts/+/fdad79e5a4b15ff11a43404e3b1d78da33c0e947", "fdad79e5a4b15ff11a43404e3b1d78da33c0e947")</f>
        <v>0</v>
      </c>
      <c r="D45027" t="s">
        <v>5708</v>
      </c>
      <c r="E45027" t="s">
        <v>10134</v>
      </c>
      <c r="F45027" t="s">
        <v>13887</v>
      </c>
      <c r="G45027" t="s">
        <v>17319</v>
      </c>
      <c r="H45027" t="s">
        <v>37907</v>
      </c>
    </row>
    <row r="45028" spans="1:8">
      <c r="H45028" t="s">
        <v>37908</v>
      </c>
    </row>
    <row r="45029" spans="1:8">
      <c r="H45029" t="s">
        <v>37909</v>
      </c>
    </row>
    <row r="45030" spans="1:8">
      <c r="A45030" t="s">
        <v>4473</v>
      </c>
      <c r="B45030">
        <f>HYPERLINK("https://android.googlesource.com/platform/cts/+/6d92b65a98866b9804f6dfa750f43a1ce667ecd5", "6d92b65a98866b9804f6dfa750f43a1ce667ecd5")</f>
        <v>0</v>
      </c>
      <c r="C45030">
        <f>HYPERLINK("https://android.googlesource.com/platform/cts/+/4b9a3c7741e48f5dfaba63bcb2e8eb714147baa5", "4b9a3c7741e48f5dfaba63bcb2e8eb714147baa5")</f>
        <v>0</v>
      </c>
      <c r="D45030" t="s">
        <v>5569</v>
      </c>
      <c r="E45030" t="s">
        <v>10135</v>
      </c>
      <c r="F45030" t="s">
        <v>14446</v>
      </c>
      <c r="G45030" t="s">
        <v>18381</v>
      </c>
      <c r="H45030" t="s">
        <v>37910</v>
      </c>
    </row>
    <row r="45031" spans="1:8">
      <c r="A45031" t="s">
        <v>4474</v>
      </c>
      <c r="B45031">
        <f>HYPERLINK("https://android.googlesource.com/platform/cts/+/708e39e0abdfe1e975e39b17bd9ba5c525e16bd9", "708e39e0abdfe1e975e39b17bd9ba5c525e16bd9")</f>
        <v>0</v>
      </c>
      <c r="C45031">
        <f>HYPERLINK("https://android.googlesource.com/platform/cts/+/12fd1eb916b7dc15aad74d72b9d150d46b0db061", "12fd1eb916b7dc15aad74d72b9d150d46b0db061")</f>
        <v>0</v>
      </c>
      <c r="D45031" t="s">
        <v>5709</v>
      </c>
      <c r="E45031" t="s">
        <v>10136</v>
      </c>
      <c r="F45031" t="s">
        <v>13165</v>
      </c>
      <c r="G45031" t="s">
        <v>17315</v>
      </c>
      <c r="H45031" t="s">
        <v>37911</v>
      </c>
    </row>
    <row r="45032" spans="1:8">
      <c r="H45032" t="s">
        <v>31772</v>
      </c>
    </row>
    <row r="45033" spans="1:8">
      <c r="H45033" t="s">
        <v>31772</v>
      </c>
    </row>
    <row r="45034" spans="1:8">
      <c r="H45034" t="s">
        <v>31772</v>
      </c>
    </row>
    <row r="45035" spans="1:8">
      <c r="H45035" t="s">
        <v>37912</v>
      </c>
    </row>
    <row r="45036" spans="1:8">
      <c r="H45036" t="s">
        <v>37913</v>
      </c>
    </row>
    <row r="45037" spans="1:8">
      <c r="H45037" t="s">
        <v>37914</v>
      </c>
    </row>
    <row r="45038" spans="1:8">
      <c r="H45038" t="s">
        <v>37915</v>
      </c>
    </row>
    <row r="45039" spans="1:8">
      <c r="H45039" t="s">
        <v>37916</v>
      </c>
    </row>
    <row r="45040" spans="1:8">
      <c r="H45040" t="s">
        <v>37917</v>
      </c>
    </row>
    <row r="45041" spans="8:8">
      <c r="H45041" t="s">
        <v>37918</v>
      </c>
    </row>
    <row r="45042" spans="8:8">
      <c r="H45042" t="s">
        <v>31773</v>
      </c>
    </row>
    <row r="45043" spans="8:8">
      <c r="H45043" t="s">
        <v>31773</v>
      </c>
    </row>
    <row r="45044" spans="8:8">
      <c r="H45044" t="s">
        <v>37919</v>
      </c>
    </row>
    <row r="45045" spans="8:8">
      <c r="H45045" t="s">
        <v>37920</v>
      </c>
    </row>
    <row r="45046" spans="8:8">
      <c r="H45046" t="s">
        <v>37921</v>
      </c>
    </row>
    <row r="45047" spans="8:8">
      <c r="H45047" t="s">
        <v>31775</v>
      </c>
    </row>
    <row r="45048" spans="8:8">
      <c r="H45048" t="s">
        <v>37922</v>
      </c>
    </row>
    <row r="45049" spans="8:8">
      <c r="H45049" t="s">
        <v>37923</v>
      </c>
    </row>
    <row r="45050" spans="8:8">
      <c r="H45050" t="s">
        <v>37924</v>
      </c>
    </row>
    <row r="45051" spans="8:8">
      <c r="H45051" t="s">
        <v>37925</v>
      </c>
    </row>
    <row r="45052" spans="8:8">
      <c r="H45052" t="s">
        <v>37926</v>
      </c>
    </row>
    <row r="45053" spans="8:8">
      <c r="H45053" t="s">
        <v>37927</v>
      </c>
    </row>
    <row r="45054" spans="8:8">
      <c r="H45054" t="s">
        <v>37928</v>
      </c>
    </row>
    <row r="45055" spans="8:8">
      <c r="H45055" t="s">
        <v>37929</v>
      </c>
    </row>
    <row r="45056" spans="8:8">
      <c r="H45056" t="s">
        <v>37930</v>
      </c>
    </row>
    <row r="45057" spans="8:8">
      <c r="H45057" t="s">
        <v>37931</v>
      </c>
    </row>
    <row r="45058" spans="8:8">
      <c r="H45058" t="s">
        <v>37932</v>
      </c>
    </row>
    <row r="45059" spans="8:8">
      <c r="H45059" t="s">
        <v>37933</v>
      </c>
    </row>
    <row r="45060" spans="8:8">
      <c r="H45060" t="s">
        <v>37934</v>
      </c>
    </row>
    <row r="45061" spans="8:8">
      <c r="H45061" t="s">
        <v>37935</v>
      </c>
    </row>
    <row r="45062" spans="8:8">
      <c r="H45062" t="s">
        <v>37936</v>
      </c>
    </row>
    <row r="45063" spans="8:8">
      <c r="H45063" t="s">
        <v>37937</v>
      </c>
    </row>
    <row r="45064" spans="8:8">
      <c r="H45064" t="s">
        <v>37938</v>
      </c>
    </row>
    <row r="45065" spans="8:8">
      <c r="H45065" t="s">
        <v>37939</v>
      </c>
    </row>
    <row r="45066" spans="8:8">
      <c r="H45066" t="s">
        <v>37940</v>
      </c>
    </row>
    <row r="45067" spans="8:8">
      <c r="H45067" t="s">
        <v>37941</v>
      </c>
    </row>
    <row r="45068" spans="8:8">
      <c r="H45068" t="s">
        <v>37942</v>
      </c>
    </row>
    <row r="45069" spans="8:8">
      <c r="H45069" t="s">
        <v>37943</v>
      </c>
    </row>
    <row r="45070" spans="8:8">
      <c r="H45070" t="s">
        <v>37944</v>
      </c>
    </row>
    <row r="45071" spans="8:8">
      <c r="H45071" t="s">
        <v>37945</v>
      </c>
    </row>
    <row r="45072" spans="8:8">
      <c r="H45072" t="s">
        <v>37946</v>
      </c>
    </row>
    <row r="45073" spans="1:8">
      <c r="H45073" t="s">
        <v>37947</v>
      </c>
    </row>
    <row r="45074" spans="1:8">
      <c r="H45074" t="s">
        <v>37948</v>
      </c>
    </row>
    <row r="45075" spans="1:8">
      <c r="H45075" t="s">
        <v>37949</v>
      </c>
    </row>
    <row r="45076" spans="1:8">
      <c r="H45076" t="s">
        <v>37950</v>
      </c>
    </row>
    <row r="45077" spans="1:8">
      <c r="H45077" t="s">
        <v>37951</v>
      </c>
    </row>
    <row r="45078" spans="1:8">
      <c r="H45078" t="s">
        <v>37952</v>
      </c>
    </row>
    <row r="45079" spans="1:8">
      <c r="H45079" t="s">
        <v>37953</v>
      </c>
    </row>
    <row r="45080" spans="1:8">
      <c r="H45080" t="s">
        <v>37954</v>
      </c>
    </row>
    <row r="45081" spans="1:8">
      <c r="H45081" t="s">
        <v>37955</v>
      </c>
    </row>
    <row r="45082" spans="1:8">
      <c r="H45082" t="s">
        <v>37956</v>
      </c>
    </row>
    <row r="45083" spans="1:8">
      <c r="H45083" t="s">
        <v>37957</v>
      </c>
    </row>
    <row r="45084" spans="1:8">
      <c r="H45084" t="s">
        <v>37958</v>
      </c>
    </row>
    <row r="45085" spans="1:8">
      <c r="H45085" t="s">
        <v>37959</v>
      </c>
    </row>
    <row r="45086" spans="1:8">
      <c r="H45086" t="s">
        <v>37960</v>
      </c>
    </row>
    <row r="45087" spans="1:8">
      <c r="A45087" t="s">
        <v>4475</v>
      </c>
      <c r="B45087">
        <f>HYPERLINK("https://android.googlesource.com/platform/cts/+/8aa2ff2b46c82bdf1e91adc9c0eae65ccf1da82d", "8aa2ff2b46c82bdf1e91adc9c0eae65ccf1da82d")</f>
        <v>0</v>
      </c>
      <c r="C45087">
        <f>HYPERLINK("https://android.googlesource.com/platform/cts/+/0bb0c6886c962b347f657b852e986a4b58431607", "0bb0c6886c962b347f657b852e986a4b58431607")</f>
        <v>0</v>
      </c>
      <c r="D45087" t="s">
        <v>5392</v>
      </c>
      <c r="E45087" t="s">
        <v>10137</v>
      </c>
      <c r="F45087" t="s">
        <v>14746</v>
      </c>
      <c r="G45087" t="s">
        <v>18622</v>
      </c>
      <c r="H45087" t="s">
        <v>37961</v>
      </c>
    </row>
    <row r="45088" spans="1:8">
      <c r="H45088" t="s">
        <v>37962</v>
      </c>
    </row>
    <row r="45089" spans="1:8">
      <c r="H45089" t="s">
        <v>28611</v>
      </c>
    </row>
    <row r="45090" spans="1:8">
      <c r="A45090" t="s">
        <v>4476</v>
      </c>
      <c r="B45090">
        <f>HYPERLINK("https://android.googlesource.com/platform/cts/+/ecf6b37a9aec274f2185a2be7b3c665bd29c1e7e", "ecf6b37a9aec274f2185a2be7b3c665bd29c1e7e")</f>
        <v>0</v>
      </c>
      <c r="C45090">
        <f>HYPERLINK("https://android.googlesource.com/platform/cts/+/18e2b6f560b2e730a94e119a16a8a913704cbb6d", "18e2b6f560b2e730a94e119a16a8a913704cbb6d")</f>
        <v>0</v>
      </c>
      <c r="D45090" t="s">
        <v>5096</v>
      </c>
      <c r="E45090" t="s">
        <v>10138</v>
      </c>
      <c r="F45090" t="s">
        <v>14536</v>
      </c>
      <c r="G45090" t="s">
        <v>18460</v>
      </c>
      <c r="H45090" t="s">
        <v>37963</v>
      </c>
    </row>
    <row r="45091" spans="1:8">
      <c r="A45091" t="s">
        <v>4477</v>
      </c>
      <c r="B45091">
        <f>HYPERLINK("https://android.googlesource.com/platform/cts/+/13fa701c65c7bb3641a516bb174a184b6513c381", "13fa701c65c7bb3641a516bb174a184b6513c381")</f>
        <v>0</v>
      </c>
      <c r="C45091">
        <f>HYPERLINK("https://android.googlesource.com/platform/cts/+/6d92b65a98866b9804f6dfa750f43a1ce667ecd5", "6d92b65a98866b9804f6dfa750f43a1ce667ecd5")</f>
        <v>0</v>
      </c>
      <c r="D45091" t="s">
        <v>5569</v>
      </c>
      <c r="E45091" t="s">
        <v>10139</v>
      </c>
      <c r="F45091" t="s">
        <v>13511</v>
      </c>
      <c r="G45091" t="s">
        <v>17628</v>
      </c>
      <c r="H45091" t="s">
        <v>37964</v>
      </c>
    </row>
    <row r="45092" spans="1:8">
      <c r="H45092" t="s">
        <v>37965</v>
      </c>
    </row>
    <row r="45093" spans="1:8">
      <c r="A45093" t="s">
        <v>4479</v>
      </c>
      <c r="B45093">
        <f>HYPERLINK("https://android.googlesource.com/platform/cts/+/c474567ba3371af0a23c4b803f2d05c239d87132", "c474567ba3371af0a23c4b803f2d05c239d87132")</f>
        <v>0</v>
      </c>
      <c r="C45093">
        <f>HYPERLINK("https://android.googlesource.com/platform/cts/+/21ecd17d99fe87912a61dd6a0225d4f7f4a2e3fd", "21ecd17d99fe87912a61dd6a0225d4f7f4a2e3fd")</f>
        <v>0</v>
      </c>
      <c r="D45093" t="s">
        <v>5455</v>
      </c>
      <c r="E45093" t="s">
        <v>10141</v>
      </c>
      <c r="F45093" t="s">
        <v>13846</v>
      </c>
      <c r="G45093" t="s">
        <v>17889</v>
      </c>
      <c r="H45093" t="s">
        <v>37966</v>
      </c>
    </row>
    <row r="45094" spans="1:8">
      <c r="H45094" t="s">
        <v>37967</v>
      </c>
    </row>
    <row r="45095" spans="1:8">
      <c r="H45095" t="s">
        <v>20237</v>
      </c>
    </row>
    <row r="45096" spans="1:8">
      <c r="A45096" t="s">
        <v>4481</v>
      </c>
      <c r="B45096">
        <f>HYPERLINK("https://android.googlesource.com/platform/cts/+/b08465af689daa0734b70c23a1411212f4ed161c", "b08465af689daa0734b70c23a1411212f4ed161c")</f>
        <v>0</v>
      </c>
      <c r="C45096">
        <f>HYPERLINK("https://android.googlesource.com/platform/cts/+/92a6dcbe81c496a5f16854f8ab2d949155fbddb4", "92a6dcbe81c496a5f16854f8ab2d949155fbddb4")</f>
        <v>0</v>
      </c>
      <c r="D45096" t="s">
        <v>5021</v>
      </c>
      <c r="E45096" t="s">
        <v>10143</v>
      </c>
      <c r="F45096" t="s">
        <v>13391</v>
      </c>
      <c r="G45096" t="s">
        <v>17517</v>
      </c>
      <c r="H45096" t="s">
        <v>37968</v>
      </c>
    </row>
    <row r="45097" spans="1:8">
      <c r="H45097" t="s">
        <v>37968</v>
      </c>
    </row>
    <row r="45098" spans="1:8">
      <c r="A45098" t="s">
        <v>4482</v>
      </c>
      <c r="B45098">
        <f>HYPERLINK("https://android.googlesource.com/platform/cts/+/c6cb3f261cad3323f15c0c8dc848f11630baf62e", "c6cb3f261cad3323f15c0c8dc848f11630baf62e")</f>
        <v>0</v>
      </c>
      <c r="C45098">
        <f>HYPERLINK("https://android.googlesource.com/platform/cts/+/9aaf739ea6e18e54c61c24e8d4cba24e645d3225", "9aaf739ea6e18e54c61c24e8d4cba24e645d3225")</f>
        <v>0</v>
      </c>
      <c r="D45098" t="s">
        <v>5409</v>
      </c>
      <c r="E45098" t="s">
        <v>10144</v>
      </c>
      <c r="F45098" t="s">
        <v>14623</v>
      </c>
      <c r="G45098" t="s">
        <v>18359</v>
      </c>
      <c r="H45098" t="s">
        <v>37969</v>
      </c>
    </row>
    <row r="45099" spans="1:8">
      <c r="H45099" t="s">
        <v>37970</v>
      </c>
    </row>
    <row r="45100" spans="1:8">
      <c r="H45100" t="s">
        <v>37971</v>
      </c>
    </row>
    <row r="45101" spans="1:8">
      <c r="H45101" t="s">
        <v>37972</v>
      </c>
    </row>
    <row r="45102" spans="1:8">
      <c r="H45102" t="s">
        <v>37973</v>
      </c>
    </row>
    <row r="45103" spans="1:8">
      <c r="H45103" t="s">
        <v>37974</v>
      </c>
    </row>
    <row r="45104" spans="1:8">
      <c r="H45104" t="s">
        <v>37975</v>
      </c>
    </row>
    <row r="45105" spans="1:8">
      <c r="H45105" t="s">
        <v>37976</v>
      </c>
    </row>
    <row r="45106" spans="1:8">
      <c r="H45106" t="s">
        <v>37977</v>
      </c>
    </row>
    <row r="45107" spans="1:8">
      <c r="H45107" t="s">
        <v>37978</v>
      </c>
    </row>
    <row r="45108" spans="1:8">
      <c r="H45108" t="s">
        <v>37979</v>
      </c>
    </row>
    <row r="45109" spans="1:8">
      <c r="H45109" t="s">
        <v>37980</v>
      </c>
    </row>
    <row r="45110" spans="1:8">
      <c r="H45110" t="s">
        <v>37981</v>
      </c>
    </row>
    <row r="45111" spans="1:8">
      <c r="H45111" t="s">
        <v>37982</v>
      </c>
    </row>
    <row r="45112" spans="1:8">
      <c r="H45112" t="s">
        <v>37983</v>
      </c>
    </row>
    <row r="45113" spans="1:8">
      <c r="A45113" t="s">
        <v>4483</v>
      </c>
      <c r="B45113">
        <f>HYPERLINK("https://android.googlesource.com/platform/cts/+/0a5a256bb8e909e4085a117087aed92a49ddc5fe", "0a5a256bb8e909e4085a117087aed92a49ddc5fe")</f>
        <v>0</v>
      </c>
      <c r="C45113">
        <f>HYPERLINK("https://android.googlesource.com/platform/cts/+/062eadd2d34d9f4beb2a6eeea52e775f36735ad4", "062eadd2d34d9f4beb2a6eeea52e775f36735ad4")</f>
        <v>0</v>
      </c>
      <c r="D45113" t="s">
        <v>5313</v>
      </c>
      <c r="E45113" t="s">
        <v>10145</v>
      </c>
      <c r="F45113" t="s">
        <v>14165</v>
      </c>
      <c r="G45113" t="s">
        <v>17361</v>
      </c>
      <c r="H45113" t="s">
        <v>37984</v>
      </c>
    </row>
    <row r="45114" spans="1:8">
      <c r="A45114" t="s">
        <v>4484</v>
      </c>
      <c r="B45114">
        <f>HYPERLINK("https://android.googlesource.com/platform/cts/+/206f75cb972d6c216d3b2e79e14a689825b480cd", "206f75cb972d6c216d3b2e79e14a689825b480cd")</f>
        <v>0</v>
      </c>
      <c r="C45114">
        <f>HYPERLINK("https://android.googlesource.com/platform/cts/+/76ff53644c5ab373490dd6c0382f1e9193bbd2a2", "76ff53644c5ab373490dd6c0382f1e9193bbd2a2")</f>
        <v>0</v>
      </c>
      <c r="D45114" t="s">
        <v>5688</v>
      </c>
      <c r="E45114" t="s">
        <v>10146</v>
      </c>
      <c r="F45114" t="s">
        <v>14536</v>
      </c>
      <c r="G45114" t="s">
        <v>18460</v>
      </c>
      <c r="H45114" t="s">
        <v>37985</v>
      </c>
    </row>
    <row r="45115" spans="1:8">
      <c r="H45115" t="s">
        <v>37986</v>
      </c>
    </row>
    <row r="45116" spans="1:8">
      <c r="A45116" t="s">
        <v>4491</v>
      </c>
      <c r="B45116">
        <f>HYPERLINK("https://android.googlesource.com/platform/cts/+/d181132f6d33cad811464adef9070f5a2dfdbeb8", "d181132f6d33cad811464adef9070f5a2dfdbeb8")</f>
        <v>0</v>
      </c>
      <c r="C45116">
        <f>HYPERLINK("https://android.googlesource.com/platform/cts/+/7e192b98bc5795dc3ff05d7c0d9b70439873d224", "7e192b98bc5795dc3ff05d7c0d9b70439873d224")</f>
        <v>0</v>
      </c>
      <c r="D45116" t="s">
        <v>5244</v>
      </c>
      <c r="E45116" t="s">
        <v>10153</v>
      </c>
      <c r="F45116" t="s">
        <v>14747</v>
      </c>
      <c r="G45116" t="s">
        <v>18623</v>
      </c>
      <c r="H45116" t="s">
        <v>37987</v>
      </c>
    </row>
    <row r="45117" spans="1:8">
      <c r="A45117" t="s">
        <v>4492</v>
      </c>
      <c r="B45117">
        <f>HYPERLINK("https://android.googlesource.com/platform/cts/+/74b75168e112c73075076b902d2c2698f84719cf", "74b75168e112c73075076b902d2c2698f84719cf")</f>
        <v>0</v>
      </c>
      <c r="C45117">
        <f>HYPERLINK("https://android.googlesource.com/platform/cts/+/acefb3039399fdbda83c8bad3e0d239e30c66163", "acefb3039399fdbda83c8bad3e0d239e30c66163")</f>
        <v>0</v>
      </c>
      <c r="D45117" t="s">
        <v>5478</v>
      </c>
      <c r="E45117" t="s">
        <v>10154</v>
      </c>
      <c r="F45117" t="s">
        <v>14633</v>
      </c>
      <c r="G45117" t="s">
        <v>18543</v>
      </c>
      <c r="H45117" t="s">
        <v>37988</v>
      </c>
    </row>
    <row r="45118" spans="1:8">
      <c r="A45118" t="s">
        <v>4493</v>
      </c>
      <c r="B45118">
        <f>HYPERLINK("https://android.googlesource.com/platform/cts/+/449bf6037520ba672048764322f88ab607139348", "449bf6037520ba672048764322f88ab607139348")</f>
        <v>0</v>
      </c>
      <c r="C45118">
        <f>HYPERLINK("https://android.googlesource.com/platform/cts/+/7706876a3c8768b2ca2b0397bc97b4e93136f8e7", "7706876a3c8768b2ca2b0397bc97b4e93136f8e7")</f>
        <v>0</v>
      </c>
      <c r="D45118" t="s">
        <v>5667</v>
      </c>
      <c r="E45118" t="s">
        <v>10155</v>
      </c>
      <c r="F45118" t="s">
        <v>14539</v>
      </c>
      <c r="G45118" t="s">
        <v>18463</v>
      </c>
      <c r="H45118" t="s">
        <v>37989</v>
      </c>
    </row>
    <row r="45119" spans="1:8">
      <c r="H45119" t="s">
        <v>37990</v>
      </c>
    </row>
    <row r="45120" spans="1:8">
      <c r="F45120" t="s">
        <v>14540</v>
      </c>
      <c r="G45120" t="s">
        <v>18464</v>
      </c>
      <c r="H45120" t="s">
        <v>37991</v>
      </c>
    </row>
    <row r="45121" spans="1:8">
      <c r="H45121" t="s">
        <v>37992</v>
      </c>
    </row>
    <row r="45122" spans="1:8">
      <c r="F45122" t="s">
        <v>12743</v>
      </c>
      <c r="G45122" t="s">
        <v>16935</v>
      </c>
      <c r="H45122" t="s">
        <v>37991</v>
      </c>
    </row>
    <row r="45123" spans="1:8">
      <c r="H45123" t="s">
        <v>37992</v>
      </c>
    </row>
    <row r="45124" spans="1:8">
      <c r="H45124" t="s">
        <v>37989</v>
      </c>
    </row>
    <row r="45125" spans="1:8">
      <c r="H45125" t="s">
        <v>37990</v>
      </c>
    </row>
    <row r="45126" spans="1:8">
      <c r="A45126" t="s">
        <v>4495</v>
      </c>
      <c r="B45126">
        <f>HYPERLINK("https://android.googlesource.com/platform/cts/+/fd44c83195d5d2591540651f8b5dfb1c6173def3", "fd44c83195d5d2591540651f8b5dfb1c6173def3")</f>
        <v>0</v>
      </c>
      <c r="C45126">
        <f>HYPERLINK("https://android.googlesource.com/platform/cts/+/682210fa4f3fc16a6c651a303002c44d806f511d", "682210fa4f3fc16a6c651a303002c44d806f511d")</f>
        <v>0</v>
      </c>
      <c r="D45126" t="s">
        <v>5564</v>
      </c>
      <c r="E45126" t="s">
        <v>10157</v>
      </c>
      <c r="F45126" t="s">
        <v>14737</v>
      </c>
      <c r="G45126" t="s">
        <v>16621</v>
      </c>
      <c r="H45126" t="s">
        <v>37993</v>
      </c>
    </row>
    <row r="45127" spans="1:8">
      <c r="H45127" t="s">
        <v>37994</v>
      </c>
    </row>
    <row r="45128" spans="1:8">
      <c r="H45128" t="s">
        <v>37995</v>
      </c>
    </row>
    <row r="45129" spans="1:8">
      <c r="A45129" t="s">
        <v>4497</v>
      </c>
      <c r="B45129">
        <f>HYPERLINK("https://android.googlesource.com/platform/cts/+/3588aa80da491ff2ab097421e43f9802e97b139e", "3588aa80da491ff2ab097421e43f9802e97b139e")</f>
        <v>0</v>
      </c>
      <c r="C45129">
        <f>HYPERLINK("https://android.googlesource.com/platform/cts/+/30f754c624014836f63937f4753400847fdecc27", "30f754c624014836f63937f4753400847fdecc27")</f>
        <v>0</v>
      </c>
      <c r="D45129" t="s">
        <v>5477</v>
      </c>
      <c r="E45129" t="s">
        <v>10159</v>
      </c>
      <c r="F45129" t="s">
        <v>14748</v>
      </c>
      <c r="G45129" t="s">
        <v>18624</v>
      </c>
      <c r="H45129" t="s">
        <v>37996</v>
      </c>
    </row>
    <row r="45130" spans="1:8">
      <c r="H45130" t="s">
        <v>37997</v>
      </c>
    </row>
    <row r="45131" spans="1:8">
      <c r="H45131" t="s">
        <v>37998</v>
      </c>
    </row>
    <row r="45132" spans="1:8">
      <c r="H45132" t="s">
        <v>37999</v>
      </c>
    </row>
    <row r="45133" spans="1:8">
      <c r="A45133" t="s">
        <v>4498</v>
      </c>
      <c r="B45133">
        <f>HYPERLINK("https://android.googlesource.com/platform/cts/+/7ed13c7a408f402b90688ec455fac12139107775", "7ed13c7a408f402b90688ec455fac12139107775")</f>
        <v>0</v>
      </c>
      <c r="C45133">
        <f>HYPERLINK("https://android.googlesource.com/platform/cts/+/4c28a2b6672cafdfcbe0e934f61e41346a3f2c31", "4c28a2b6672cafdfcbe0e934f61e41346a3f2c31")</f>
        <v>0</v>
      </c>
      <c r="D45133" t="s">
        <v>5221</v>
      </c>
      <c r="E45133" t="s">
        <v>10160</v>
      </c>
      <c r="F45133" t="s">
        <v>14417</v>
      </c>
      <c r="G45133" t="s">
        <v>18355</v>
      </c>
      <c r="H45133" t="s">
        <v>38000</v>
      </c>
    </row>
    <row r="45134" spans="1:8">
      <c r="H45134" t="s">
        <v>38001</v>
      </c>
    </row>
    <row r="45135" spans="1:8">
      <c r="A45135" t="s">
        <v>4499</v>
      </c>
      <c r="B45135">
        <f>HYPERLINK("https://android.googlesource.com/platform/cts/+/5fe2fcc83c88f57dc47637036aac7ea9736f1626", "5fe2fcc83c88f57dc47637036aac7ea9736f1626")</f>
        <v>0</v>
      </c>
      <c r="C45135">
        <f>HYPERLINK("https://android.googlesource.com/platform/cts/+/18e736ac295613157a434975af0a5340d9e50a79", "18e736ac295613157a434975af0a5340d9e50a79")</f>
        <v>0</v>
      </c>
      <c r="D45135" t="s">
        <v>5605</v>
      </c>
      <c r="E45135" t="s">
        <v>10161</v>
      </c>
      <c r="F45135" t="s">
        <v>14303</v>
      </c>
      <c r="G45135" t="s">
        <v>17388</v>
      </c>
      <c r="H45135" t="s">
        <v>19019</v>
      </c>
    </row>
    <row r="45136" spans="1:8">
      <c r="H45136" t="s">
        <v>22505</v>
      </c>
    </row>
    <row r="45137" spans="1:8">
      <c r="A45137" t="s">
        <v>4500</v>
      </c>
      <c r="B45137">
        <f>HYPERLINK("https://android.googlesource.com/platform/cts/+/5f007964ab6c31e8efe235b8fa07a9879dfab22d", "5f007964ab6c31e8efe235b8fa07a9879dfab22d")</f>
        <v>0</v>
      </c>
      <c r="C45137">
        <f>HYPERLINK("https://android.googlesource.com/platform/cts/+/f40938b2bc37c42b601f6a974ad1060a72e50680", "f40938b2bc37c42b601f6a974ad1060a72e50680")</f>
        <v>0</v>
      </c>
      <c r="D45137" t="s">
        <v>5523</v>
      </c>
      <c r="E45137" t="s">
        <v>10162</v>
      </c>
      <c r="F45137" t="s">
        <v>12369</v>
      </c>
      <c r="G45137" t="s">
        <v>16596</v>
      </c>
      <c r="H45137" t="s">
        <v>38002</v>
      </c>
    </row>
    <row r="45138" spans="1:8">
      <c r="A45138" t="s">
        <v>4502</v>
      </c>
      <c r="B45138">
        <f>HYPERLINK("https://android.googlesource.com/platform/cts/+/780465c10641027cc5c7f216a7f733174696a6ae", "780465c10641027cc5c7f216a7f733174696a6ae")</f>
        <v>0</v>
      </c>
      <c r="C45138">
        <f>HYPERLINK("https://android.googlesource.com/platform/cts/+/f0103aea9b747f6fa2037307d2e33fa77501182d", "f0103aea9b747f6fa2037307d2e33fa77501182d")</f>
        <v>0</v>
      </c>
      <c r="D45138" t="s">
        <v>5710</v>
      </c>
      <c r="E45138" t="s">
        <v>10164</v>
      </c>
      <c r="F45138" t="s">
        <v>14749</v>
      </c>
      <c r="G45138" t="s">
        <v>18625</v>
      </c>
      <c r="H45138" t="s">
        <v>19981</v>
      </c>
    </row>
    <row r="45139" spans="1:8">
      <c r="H45139" t="s">
        <v>18863</v>
      </c>
    </row>
    <row r="45140" spans="1:8">
      <c r="H45140" t="s">
        <v>32956</v>
      </c>
    </row>
    <row r="45141" spans="1:8">
      <c r="H45141" t="s">
        <v>38003</v>
      </c>
    </row>
    <row r="45142" spans="1:8">
      <c r="H45142" t="s">
        <v>38004</v>
      </c>
    </row>
    <row r="45143" spans="1:8">
      <c r="H45143" t="s">
        <v>38005</v>
      </c>
    </row>
    <row r="45144" spans="1:8">
      <c r="H45144" t="s">
        <v>25568</v>
      </c>
    </row>
    <row r="45145" spans="1:8">
      <c r="H45145" t="s">
        <v>30948</v>
      </c>
    </row>
    <row r="45146" spans="1:8">
      <c r="H45146" t="s">
        <v>38006</v>
      </c>
    </row>
    <row r="45147" spans="1:8">
      <c r="H45147" t="s">
        <v>20340</v>
      </c>
    </row>
    <row r="45148" spans="1:8">
      <c r="H45148" t="s">
        <v>38007</v>
      </c>
    </row>
    <row r="45149" spans="1:8">
      <c r="A45149" t="s">
        <v>4503</v>
      </c>
      <c r="B45149">
        <f>HYPERLINK("https://android.googlesource.com/platform/cts/+/a7c355bc059a44a659ce286169c8a69527bbe743", "a7c355bc059a44a659ce286169c8a69527bbe743")</f>
        <v>0</v>
      </c>
      <c r="C45149">
        <f>HYPERLINK("https://android.googlesource.com/platform/cts/+/8b7a46434b7b9db766dd20b76ab4ff6581ad92ac", "8b7a46434b7b9db766dd20b76ab4ff6581ad92ac")</f>
        <v>0</v>
      </c>
      <c r="D45149" t="s">
        <v>5711</v>
      </c>
      <c r="E45149" t="s">
        <v>10165</v>
      </c>
      <c r="F45149" t="s">
        <v>14750</v>
      </c>
      <c r="G45149" t="s">
        <v>18626</v>
      </c>
      <c r="H45149" t="s">
        <v>38008</v>
      </c>
    </row>
    <row r="45150" spans="1:8">
      <c r="A45150" t="s">
        <v>4504</v>
      </c>
      <c r="B45150">
        <f>HYPERLINK("https://android.googlesource.com/platform/cts/+/bb5a368b603bed8c9485a8fad616635364c47d61", "bb5a368b603bed8c9485a8fad616635364c47d61")</f>
        <v>0</v>
      </c>
      <c r="C45150">
        <f>HYPERLINK("https://android.googlesource.com/platform/cts/+/ca6344ead38423a6348f0240ce98982621d2f11d", "ca6344ead38423a6348f0240ce98982621d2f11d")</f>
        <v>0</v>
      </c>
      <c r="D45150" t="s">
        <v>5666</v>
      </c>
      <c r="E45150" t="s">
        <v>10166</v>
      </c>
      <c r="F45150" t="s">
        <v>14635</v>
      </c>
      <c r="G45150" t="s">
        <v>18545</v>
      </c>
      <c r="H45150" t="s">
        <v>38009</v>
      </c>
    </row>
    <row r="45151" spans="1:8">
      <c r="H45151" t="s">
        <v>38010</v>
      </c>
    </row>
    <row r="45152" spans="1:8">
      <c r="A45152" t="s">
        <v>4505</v>
      </c>
      <c r="B45152">
        <f>HYPERLINK("https://android.googlesource.com/platform/cts/+/fc1374c481b6a8b4d32f16fadd60e56902b27714", "fc1374c481b6a8b4d32f16fadd60e56902b27714")</f>
        <v>0</v>
      </c>
      <c r="C45152">
        <f>HYPERLINK("https://android.googlesource.com/platform/cts/+/5f970b91e3982c640ce88c4a931b8d0bcf623383", "5f970b91e3982c640ce88c4a931b8d0bcf623383")</f>
        <v>0</v>
      </c>
      <c r="D45152" t="s">
        <v>5605</v>
      </c>
      <c r="E45152" t="s">
        <v>10167</v>
      </c>
      <c r="F45152" t="s">
        <v>14303</v>
      </c>
      <c r="G45152" t="s">
        <v>17388</v>
      </c>
      <c r="H45152" t="s">
        <v>38011</v>
      </c>
    </row>
    <row r="45153" spans="1:8">
      <c r="A45153" t="s">
        <v>4506</v>
      </c>
      <c r="B45153">
        <f>HYPERLINK("https://android.googlesource.com/platform/cts/+/2683d003443de436a50a86bdc3f6ab2049f31ef2", "2683d003443de436a50a86bdc3f6ab2049f31ef2")</f>
        <v>0</v>
      </c>
      <c r="C45153">
        <f>HYPERLINK("https://android.googlesource.com/platform/cts/+/f3a999b728f083276ae951a82b61a907092e2b81", "f3a999b728f083276ae951a82b61a907092e2b81")</f>
        <v>0</v>
      </c>
      <c r="D45153" t="s">
        <v>5065</v>
      </c>
      <c r="E45153" t="s">
        <v>10168</v>
      </c>
      <c r="F45153" t="s">
        <v>12626</v>
      </c>
      <c r="G45153" t="s">
        <v>16836</v>
      </c>
      <c r="H45153" t="s">
        <v>38012</v>
      </c>
    </row>
    <row r="45154" spans="1:8">
      <c r="H45154" t="s">
        <v>38013</v>
      </c>
    </row>
    <row r="45155" spans="1:8">
      <c r="H45155" t="s">
        <v>38014</v>
      </c>
    </row>
    <row r="45156" spans="1:8">
      <c r="H45156" t="s">
        <v>38015</v>
      </c>
    </row>
    <row r="45157" spans="1:8">
      <c r="H45157" t="s">
        <v>38016</v>
      </c>
    </row>
    <row r="45158" spans="1:8">
      <c r="H45158" t="s">
        <v>38016</v>
      </c>
    </row>
    <row r="45159" spans="1:8">
      <c r="H45159" t="s">
        <v>38017</v>
      </c>
    </row>
    <row r="45160" spans="1:8">
      <c r="H45160" t="s">
        <v>18829</v>
      </c>
    </row>
    <row r="45161" spans="1:8">
      <c r="H45161" t="s">
        <v>18863</v>
      </c>
    </row>
    <row r="45162" spans="1:8">
      <c r="H45162" t="s">
        <v>30861</v>
      </c>
    </row>
    <row r="45163" spans="1:8">
      <c r="H45163" t="s">
        <v>38018</v>
      </c>
    </row>
    <row r="45164" spans="1:8">
      <c r="H45164" t="s">
        <v>38019</v>
      </c>
    </row>
    <row r="45165" spans="1:8">
      <c r="H45165" t="s">
        <v>38020</v>
      </c>
    </row>
    <row r="45166" spans="1:8">
      <c r="H45166" t="s">
        <v>38021</v>
      </c>
    </row>
    <row r="45167" spans="1:8">
      <c r="H45167" t="s">
        <v>31669</v>
      </c>
    </row>
    <row r="45168" spans="1:8">
      <c r="H45168" t="s">
        <v>38022</v>
      </c>
    </row>
    <row r="45169" spans="8:8">
      <c r="H45169" t="s">
        <v>38023</v>
      </c>
    </row>
    <row r="45170" spans="8:8">
      <c r="H45170" t="s">
        <v>38024</v>
      </c>
    </row>
    <row r="45171" spans="8:8">
      <c r="H45171" t="s">
        <v>38025</v>
      </c>
    </row>
    <row r="45172" spans="8:8">
      <c r="H45172" t="s">
        <v>38026</v>
      </c>
    </row>
    <row r="45173" spans="8:8">
      <c r="H45173" t="s">
        <v>38027</v>
      </c>
    </row>
    <row r="45174" spans="8:8">
      <c r="H45174" t="s">
        <v>38028</v>
      </c>
    </row>
    <row r="45175" spans="8:8">
      <c r="H45175" t="s">
        <v>38029</v>
      </c>
    </row>
    <row r="45176" spans="8:8">
      <c r="H45176" t="s">
        <v>38030</v>
      </c>
    </row>
    <row r="45177" spans="8:8">
      <c r="H45177" t="s">
        <v>18930</v>
      </c>
    </row>
    <row r="45178" spans="8:8">
      <c r="H45178" t="s">
        <v>38031</v>
      </c>
    </row>
    <row r="45179" spans="8:8">
      <c r="H45179" t="s">
        <v>38032</v>
      </c>
    </row>
    <row r="45180" spans="8:8">
      <c r="H45180" t="s">
        <v>38033</v>
      </c>
    </row>
    <row r="45181" spans="8:8">
      <c r="H45181" t="s">
        <v>38034</v>
      </c>
    </row>
    <row r="45182" spans="8:8">
      <c r="H45182" t="s">
        <v>26401</v>
      </c>
    </row>
    <row r="45183" spans="8:8">
      <c r="H45183" t="s">
        <v>38035</v>
      </c>
    </row>
    <row r="45184" spans="8:8">
      <c r="H45184" t="s">
        <v>38036</v>
      </c>
    </row>
    <row r="45185" spans="1:8">
      <c r="H45185" t="s">
        <v>38037</v>
      </c>
    </row>
    <row r="45186" spans="1:8">
      <c r="H45186" t="s">
        <v>38037</v>
      </c>
    </row>
    <row r="45187" spans="1:8">
      <c r="H45187" t="s">
        <v>38038</v>
      </c>
    </row>
    <row r="45188" spans="1:8">
      <c r="H45188" t="s">
        <v>38039</v>
      </c>
    </row>
    <row r="45189" spans="1:8">
      <c r="A45189" t="s">
        <v>4507</v>
      </c>
      <c r="B45189">
        <f>HYPERLINK("https://android.googlesource.com/platform/cts/+/e1f077fb34dff46593bbe33d348d6d89481a87a8", "e1f077fb34dff46593bbe33d348d6d89481a87a8")</f>
        <v>0</v>
      </c>
      <c r="C45189">
        <f>HYPERLINK("https://android.googlesource.com/platform/cts/+/316503edb7aad4fff9a1214c10d7e45790555b83", "316503edb7aad4fff9a1214c10d7e45790555b83")</f>
        <v>0</v>
      </c>
      <c r="D45189" t="s">
        <v>5626</v>
      </c>
      <c r="E45189" t="s">
        <v>10169</v>
      </c>
      <c r="F45189" t="s">
        <v>14566</v>
      </c>
      <c r="G45189" t="s">
        <v>18487</v>
      </c>
      <c r="H45189" t="s">
        <v>38040</v>
      </c>
    </row>
    <row r="45190" spans="1:8">
      <c r="F45190" t="s">
        <v>14751</v>
      </c>
      <c r="G45190" t="s">
        <v>18627</v>
      </c>
      <c r="H45190" t="s">
        <v>38041</v>
      </c>
    </row>
    <row r="45191" spans="1:8">
      <c r="A45191" t="s">
        <v>4508</v>
      </c>
      <c r="B45191">
        <f>HYPERLINK("https://android.googlesource.com/platform/cts/+/f8c1a7f1445b1213b3331e1499cd5064c72df349", "f8c1a7f1445b1213b3331e1499cd5064c72df349")</f>
        <v>0</v>
      </c>
      <c r="C45191">
        <f>HYPERLINK("https://android.googlesource.com/platform/cts/+/a624659b79f1b6e1e5bf5cb9a33a54739adfd577", "a624659b79f1b6e1e5bf5cb9a33a54739adfd577")</f>
        <v>0</v>
      </c>
      <c r="D45191" t="s">
        <v>5672</v>
      </c>
      <c r="E45191" t="s">
        <v>10170</v>
      </c>
      <c r="F45191" t="s">
        <v>14296</v>
      </c>
      <c r="G45191" t="s">
        <v>18022</v>
      </c>
      <c r="H45191" t="s">
        <v>38042</v>
      </c>
    </row>
    <row r="45192" spans="1:8">
      <c r="H45192" t="s">
        <v>38043</v>
      </c>
    </row>
    <row r="45193" spans="1:8">
      <c r="A45193" t="s">
        <v>4509</v>
      </c>
      <c r="B45193">
        <f>HYPERLINK("https://android.googlesource.com/platform/cts/+/54237ccae2b0d4f268c69061b053a909ca2665d6", "54237ccae2b0d4f268c69061b053a909ca2665d6")</f>
        <v>0</v>
      </c>
      <c r="C45193">
        <f>HYPERLINK("https://android.googlesource.com/platform/cts/+/a624659b79f1b6e1e5bf5cb9a33a54739adfd577", "a624659b79f1b6e1e5bf5cb9a33a54739adfd577")</f>
        <v>0</v>
      </c>
      <c r="D45193" t="s">
        <v>5712</v>
      </c>
      <c r="E45193" t="s">
        <v>10171</v>
      </c>
      <c r="F45193" t="s">
        <v>14752</v>
      </c>
      <c r="G45193" t="s">
        <v>18628</v>
      </c>
      <c r="H45193" t="s">
        <v>38044</v>
      </c>
    </row>
    <row r="45194" spans="1:8">
      <c r="A45194" t="s">
        <v>4510</v>
      </c>
      <c r="B45194">
        <f>HYPERLINK("https://android.googlesource.com/platform/cts/+/cf386e92dde2422b966f7558c484d3eccb83ff29", "cf386e92dde2422b966f7558c484d3eccb83ff29")</f>
        <v>0</v>
      </c>
      <c r="C45194">
        <f>HYPERLINK("https://android.googlesource.com/platform/cts/+/c7d1e0f6a3842529f08d969ca4f14adfdef97657", "c7d1e0f6a3842529f08d969ca4f14adfdef97657")</f>
        <v>0</v>
      </c>
      <c r="D45194" t="s">
        <v>5713</v>
      </c>
      <c r="E45194" t="s">
        <v>10172</v>
      </c>
      <c r="F45194" t="s">
        <v>14745</v>
      </c>
      <c r="G45194" t="s">
        <v>18621</v>
      </c>
      <c r="H45194" t="s">
        <v>38045</v>
      </c>
    </row>
    <row r="45195" spans="1:8">
      <c r="H45195" t="s">
        <v>38046</v>
      </c>
    </row>
    <row r="45196" spans="1:8">
      <c r="A45196" t="s">
        <v>4511</v>
      </c>
      <c r="B45196">
        <f>HYPERLINK("https://android.googlesource.com/platform/cts/+/90b48f79dafb34362d0246d4d12f35809edf9fa9", "90b48f79dafb34362d0246d4d12f35809edf9fa9")</f>
        <v>0</v>
      </c>
      <c r="C45196">
        <f>HYPERLINK("https://android.googlesource.com/platform/cts/+/be3222476c2e57009310d16f0b43ef8177cb2f47", "be3222476c2e57009310d16f0b43ef8177cb2f47")</f>
        <v>0</v>
      </c>
      <c r="D45196" t="s">
        <v>5584</v>
      </c>
      <c r="E45196" t="s">
        <v>10173</v>
      </c>
      <c r="F45196" t="s">
        <v>14753</v>
      </c>
      <c r="G45196" t="s">
        <v>18629</v>
      </c>
      <c r="H45196" t="s">
        <v>38047</v>
      </c>
    </row>
    <row r="45197" spans="1:8">
      <c r="H45197" t="s">
        <v>38048</v>
      </c>
    </row>
    <row r="45198" spans="1:8">
      <c r="A45198" t="s">
        <v>4512</v>
      </c>
      <c r="B45198">
        <f>HYPERLINK("https://android.googlesource.com/platform/cts/+/1a952ef8154e021527efd6dbeba142afeddc4163", "1a952ef8154e021527efd6dbeba142afeddc4163")</f>
        <v>0</v>
      </c>
      <c r="C45198">
        <f>HYPERLINK("https://android.googlesource.com/platform/cts/+/50572c908bb498661d86874639f7660c69f127f3", "50572c908bb498661d86874639f7660c69f127f3")</f>
        <v>0</v>
      </c>
      <c r="D45198" t="s">
        <v>5409</v>
      </c>
      <c r="E45198" t="s">
        <v>10174</v>
      </c>
      <c r="F45198" t="s">
        <v>14754</v>
      </c>
      <c r="G45198" t="s">
        <v>18630</v>
      </c>
      <c r="H45198" t="s">
        <v>38049</v>
      </c>
    </row>
    <row r="45199" spans="1:8">
      <c r="H45199" t="s">
        <v>38050</v>
      </c>
    </row>
    <row r="45200" spans="1:8">
      <c r="H45200" t="s">
        <v>38051</v>
      </c>
    </row>
    <row r="45201" spans="6:8">
      <c r="H45201" t="s">
        <v>38052</v>
      </c>
    </row>
    <row r="45202" spans="6:8">
      <c r="H45202" t="s">
        <v>38053</v>
      </c>
    </row>
    <row r="45203" spans="6:8">
      <c r="H45203" t="s">
        <v>38054</v>
      </c>
    </row>
    <row r="45204" spans="6:8">
      <c r="F45204" t="s">
        <v>14063</v>
      </c>
      <c r="G45204" t="s">
        <v>18061</v>
      </c>
      <c r="H45204" t="s">
        <v>38049</v>
      </c>
    </row>
    <row r="45205" spans="6:8">
      <c r="H45205" t="s">
        <v>38055</v>
      </c>
    </row>
    <row r="45206" spans="6:8">
      <c r="H45206" t="s">
        <v>38050</v>
      </c>
    </row>
    <row r="45207" spans="6:8">
      <c r="H45207" t="s">
        <v>33450</v>
      </c>
    </row>
    <row r="45208" spans="6:8">
      <c r="H45208" t="s">
        <v>38056</v>
      </c>
    </row>
    <row r="45209" spans="6:8">
      <c r="H45209" t="s">
        <v>38057</v>
      </c>
    </row>
    <row r="45210" spans="6:8">
      <c r="H45210" t="s">
        <v>38058</v>
      </c>
    </row>
    <row r="45211" spans="6:8">
      <c r="H45211" t="s">
        <v>38059</v>
      </c>
    </row>
    <row r="45212" spans="6:8">
      <c r="H45212" t="s">
        <v>38060</v>
      </c>
    </row>
    <row r="45213" spans="6:8">
      <c r="H45213" t="s">
        <v>38061</v>
      </c>
    </row>
    <row r="45214" spans="6:8">
      <c r="H45214" t="s">
        <v>38062</v>
      </c>
    </row>
    <row r="45215" spans="6:8">
      <c r="H45215" t="s">
        <v>38063</v>
      </c>
    </row>
    <row r="45216" spans="6:8">
      <c r="H45216" t="s">
        <v>38064</v>
      </c>
    </row>
    <row r="45217" spans="6:8">
      <c r="H45217" t="s">
        <v>38065</v>
      </c>
    </row>
    <row r="45218" spans="6:8">
      <c r="H45218" t="s">
        <v>38066</v>
      </c>
    </row>
    <row r="45219" spans="6:8">
      <c r="H45219" t="s">
        <v>38067</v>
      </c>
    </row>
    <row r="45220" spans="6:8">
      <c r="H45220" t="s">
        <v>38068</v>
      </c>
    </row>
    <row r="45221" spans="6:8">
      <c r="H45221" t="s">
        <v>38069</v>
      </c>
    </row>
    <row r="45222" spans="6:8">
      <c r="H45222" t="s">
        <v>38070</v>
      </c>
    </row>
    <row r="45223" spans="6:8">
      <c r="H45223" t="s">
        <v>38071</v>
      </c>
    </row>
    <row r="45224" spans="6:8">
      <c r="H45224" t="s">
        <v>38072</v>
      </c>
    </row>
    <row r="45225" spans="6:8">
      <c r="H45225" t="s">
        <v>38073</v>
      </c>
    </row>
    <row r="45226" spans="6:8">
      <c r="H45226" t="s">
        <v>38074</v>
      </c>
    </row>
    <row r="45227" spans="6:8">
      <c r="H45227" t="s">
        <v>38075</v>
      </c>
    </row>
    <row r="45228" spans="6:8">
      <c r="F45228" t="s">
        <v>14755</v>
      </c>
      <c r="G45228" t="s">
        <v>18631</v>
      </c>
      <c r="H45228" t="s">
        <v>38049</v>
      </c>
    </row>
    <row r="45229" spans="6:8">
      <c r="H45229" t="s">
        <v>38055</v>
      </c>
    </row>
    <row r="45230" spans="6:8">
      <c r="H45230" t="s">
        <v>38050</v>
      </c>
    </row>
    <row r="45231" spans="6:8">
      <c r="H45231" t="s">
        <v>33450</v>
      </c>
    </row>
    <row r="45232" spans="6:8">
      <c r="H45232" t="s">
        <v>38076</v>
      </c>
    </row>
    <row r="45233" spans="6:8">
      <c r="H45233" t="s">
        <v>33150</v>
      </c>
    </row>
    <row r="45234" spans="6:8">
      <c r="H45234" t="s">
        <v>33152</v>
      </c>
    </row>
    <row r="45235" spans="6:8">
      <c r="H45235" t="s">
        <v>38077</v>
      </c>
    </row>
    <row r="45236" spans="6:8">
      <c r="H45236" t="s">
        <v>33153</v>
      </c>
    </row>
    <row r="45237" spans="6:8">
      <c r="H45237" t="s">
        <v>38078</v>
      </c>
    </row>
    <row r="45238" spans="6:8">
      <c r="H45238" t="s">
        <v>38079</v>
      </c>
    </row>
    <row r="45239" spans="6:8">
      <c r="H45239" t="s">
        <v>38080</v>
      </c>
    </row>
    <row r="45240" spans="6:8">
      <c r="H45240" t="s">
        <v>38081</v>
      </c>
    </row>
    <row r="45241" spans="6:8">
      <c r="F45241" t="s">
        <v>14064</v>
      </c>
      <c r="G45241" t="s">
        <v>18062</v>
      </c>
      <c r="H45241" t="s">
        <v>18829</v>
      </c>
    </row>
    <row r="45242" spans="6:8">
      <c r="H45242" t="s">
        <v>38082</v>
      </c>
    </row>
    <row r="45243" spans="6:8">
      <c r="H45243" t="s">
        <v>38083</v>
      </c>
    </row>
    <row r="45244" spans="6:8">
      <c r="H45244" t="s">
        <v>38084</v>
      </c>
    </row>
    <row r="45245" spans="6:8">
      <c r="H45245" t="s">
        <v>38085</v>
      </c>
    </row>
    <row r="45246" spans="6:8">
      <c r="H45246" t="s">
        <v>38086</v>
      </c>
    </row>
    <row r="45247" spans="6:8">
      <c r="H45247" t="s">
        <v>38087</v>
      </c>
    </row>
    <row r="45248" spans="6:8">
      <c r="H45248" t="s">
        <v>38088</v>
      </c>
    </row>
    <row r="45249" spans="6:8">
      <c r="H45249" t="s">
        <v>38089</v>
      </c>
    </row>
    <row r="45250" spans="6:8">
      <c r="H45250" t="s">
        <v>38065</v>
      </c>
    </row>
    <row r="45251" spans="6:8">
      <c r="H45251" t="s">
        <v>38090</v>
      </c>
    </row>
    <row r="45252" spans="6:8">
      <c r="H45252" t="s">
        <v>38066</v>
      </c>
    </row>
    <row r="45253" spans="6:8">
      <c r="H45253" t="s">
        <v>38091</v>
      </c>
    </row>
    <row r="45254" spans="6:8">
      <c r="H45254" t="s">
        <v>38092</v>
      </c>
    </row>
    <row r="45255" spans="6:8">
      <c r="H45255" t="s">
        <v>38093</v>
      </c>
    </row>
    <row r="45256" spans="6:8">
      <c r="H45256" t="s">
        <v>38094</v>
      </c>
    </row>
    <row r="45257" spans="6:8">
      <c r="H45257" t="s">
        <v>38095</v>
      </c>
    </row>
    <row r="45258" spans="6:8">
      <c r="H45258" t="s">
        <v>38096</v>
      </c>
    </row>
    <row r="45259" spans="6:8">
      <c r="H45259" t="s">
        <v>38096</v>
      </c>
    </row>
    <row r="45260" spans="6:8">
      <c r="H45260" t="s">
        <v>29587</v>
      </c>
    </row>
    <row r="45261" spans="6:8">
      <c r="H45261" t="s">
        <v>38097</v>
      </c>
    </row>
    <row r="45262" spans="6:8">
      <c r="H45262" t="s">
        <v>38098</v>
      </c>
    </row>
    <row r="45263" spans="6:8">
      <c r="H45263" t="s">
        <v>38099</v>
      </c>
    </row>
    <row r="45264" spans="6:8">
      <c r="F45264" t="s">
        <v>14265</v>
      </c>
      <c r="G45264" t="s">
        <v>18232</v>
      </c>
      <c r="H45264" t="s">
        <v>38100</v>
      </c>
    </row>
    <row r="45265" spans="1:8">
      <c r="A45265" t="s">
        <v>4513</v>
      </c>
      <c r="B45265">
        <f>HYPERLINK("https://android.googlesource.com/platform/cts/+/00dd15703fa064f995191ce3d26da83bbefde05a", "00dd15703fa064f995191ce3d26da83bbefde05a")</f>
        <v>0</v>
      </c>
      <c r="C45265">
        <f>HYPERLINK("https://android.googlesource.com/platform/cts/+/36ebe8a2852779afe05aad0b498d6e92faff9ca5", "36ebe8a2852779afe05aad0b498d6e92faff9ca5")</f>
        <v>0</v>
      </c>
      <c r="D45265" t="s">
        <v>5112</v>
      </c>
      <c r="E45265" t="s">
        <v>10175</v>
      </c>
      <c r="F45265" t="s">
        <v>13333</v>
      </c>
      <c r="G45265" t="s">
        <v>17463</v>
      </c>
      <c r="H45265" t="s">
        <v>38101</v>
      </c>
    </row>
    <row r="45266" spans="1:8">
      <c r="A45266" t="s">
        <v>4514</v>
      </c>
      <c r="B45266">
        <f>HYPERLINK("https://android.googlesource.com/platform/cts/+/36fcbef8e1a408e648137531483fde65a6416a59", "36fcbef8e1a408e648137531483fde65a6416a59")</f>
        <v>0</v>
      </c>
      <c r="C45266">
        <f>HYPERLINK("https://android.googlesource.com/platform/cts/+/8f719fae20fe4d8ea893a3f08ff1d22852486afc", "8f719fae20fe4d8ea893a3f08ff1d22852486afc")</f>
        <v>0</v>
      </c>
      <c r="D45266" t="s">
        <v>5134</v>
      </c>
      <c r="E45266" t="s">
        <v>10176</v>
      </c>
      <c r="F45266" t="s">
        <v>14756</v>
      </c>
      <c r="G45266" t="s">
        <v>18632</v>
      </c>
      <c r="H45266" t="s">
        <v>38102</v>
      </c>
    </row>
    <row r="45267" spans="1:8">
      <c r="A45267" t="s">
        <v>4516</v>
      </c>
      <c r="B45267">
        <f>HYPERLINK("https://android.googlesource.com/platform/cts/+/0a51306a54f22103f5bdce145cc3e4cbf1579de4", "0a51306a54f22103f5bdce145cc3e4cbf1579de4")</f>
        <v>0</v>
      </c>
      <c r="C45267">
        <f>HYPERLINK("https://android.googlesource.com/platform/cts/+/ec618a2ae77136e2c4dd0a7f6744aa310dfabb79", "ec618a2ae77136e2c4dd0a7f6744aa310dfabb79")</f>
        <v>0</v>
      </c>
      <c r="D45267" t="s">
        <v>5714</v>
      </c>
      <c r="E45267" t="s">
        <v>10178</v>
      </c>
      <c r="F45267" t="s">
        <v>14711</v>
      </c>
      <c r="G45267" t="s">
        <v>18599</v>
      </c>
      <c r="H45267" t="s">
        <v>38103</v>
      </c>
    </row>
    <row r="45268" spans="1:8">
      <c r="A45268" t="s">
        <v>4517</v>
      </c>
      <c r="B45268">
        <f>HYPERLINK("https://android.googlesource.com/platform/cts/+/5dc82ea03202d37ac2df21f1e3e1e15a70350686", "5dc82ea03202d37ac2df21f1e3e1e15a70350686")</f>
        <v>0</v>
      </c>
      <c r="C45268">
        <f>HYPERLINK("https://android.googlesource.com/platform/cts/+/1a952ef8154e021527efd6dbeba142afeddc4163", "1a952ef8154e021527efd6dbeba142afeddc4163")</f>
        <v>0</v>
      </c>
      <c r="D45268" t="s">
        <v>5409</v>
      </c>
      <c r="E45268" t="s">
        <v>10179</v>
      </c>
      <c r="F45268" t="s">
        <v>14152</v>
      </c>
      <c r="G45268" t="s">
        <v>18052</v>
      </c>
      <c r="H45268" t="s">
        <v>18863</v>
      </c>
    </row>
    <row r="45269" spans="1:8">
      <c r="H45269" t="s">
        <v>33095</v>
      </c>
    </row>
    <row r="45270" spans="1:8">
      <c r="H45270" t="s">
        <v>33096</v>
      </c>
    </row>
    <row r="45271" spans="1:8">
      <c r="H45271" t="s">
        <v>33097</v>
      </c>
    </row>
    <row r="45272" spans="1:8">
      <c r="H45272" t="s">
        <v>33098</v>
      </c>
    </row>
    <row r="45273" spans="1:8">
      <c r="H45273" t="s">
        <v>33099</v>
      </c>
    </row>
    <row r="45274" spans="1:8">
      <c r="H45274" t="s">
        <v>33100</v>
      </c>
    </row>
    <row r="45275" spans="1:8">
      <c r="H45275" t="s">
        <v>38104</v>
      </c>
    </row>
    <row r="45276" spans="1:8">
      <c r="H45276" t="s">
        <v>38105</v>
      </c>
    </row>
    <row r="45277" spans="1:8">
      <c r="H45277" t="s">
        <v>33102</v>
      </c>
    </row>
    <row r="45278" spans="1:8">
      <c r="H45278" t="s">
        <v>38106</v>
      </c>
    </row>
    <row r="45279" spans="1:8">
      <c r="H45279" t="s">
        <v>38107</v>
      </c>
    </row>
    <row r="45280" spans="1:8">
      <c r="H45280" t="s">
        <v>38108</v>
      </c>
    </row>
    <row r="45281" spans="6:8">
      <c r="H45281" t="s">
        <v>38109</v>
      </c>
    </row>
    <row r="45282" spans="6:8">
      <c r="H45282" t="s">
        <v>38110</v>
      </c>
    </row>
    <row r="45283" spans="6:8">
      <c r="H45283" t="s">
        <v>38111</v>
      </c>
    </row>
    <row r="45284" spans="6:8">
      <c r="H45284" t="s">
        <v>38112</v>
      </c>
    </row>
    <row r="45285" spans="6:8">
      <c r="H45285" t="s">
        <v>38112</v>
      </c>
    </row>
    <row r="45286" spans="6:8">
      <c r="F45286" t="s">
        <v>14153</v>
      </c>
      <c r="G45286" t="s">
        <v>18140</v>
      </c>
      <c r="H45286" t="s">
        <v>38113</v>
      </c>
    </row>
    <row r="45287" spans="6:8">
      <c r="H45287" t="s">
        <v>18829</v>
      </c>
    </row>
    <row r="45288" spans="6:8">
      <c r="H45288" t="s">
        <v>38114</v>
      </c>
    </row>
    <row r="45289" spans="6:8">
      <c r="H45289" t="s">
        <v>38115</v>
      </c>
    </row>
    <row r="45290" spans="6:8">
      <c r="H45290" t="s">
        <v>38116</v>
      </c>
    </row>
    <row r="45291" spans="6:8">
      <c r="H45291" t="s">
        <v>38117</v>
      </c>
    </row>
    <row r="45292" spans="6:8">
      <c r="H45292" t="s">
        <v>38118</v>
      </c>
    </row>
    <row r="45293" spans="6:8">
      <c r="H45293" t="s">
        <v>38119</v>
      </c>
    </row>
    <row r="45294" spans="6:8">
      <c r="H45294" t="s">
        <v>38120</v>
      </c>
    </row>
    <row r="45295" spans="6:8">
      <c r="H45295" t="s">
        <v>33097</v>
      </c>
    </row>
    <row r="45296" spans="6:8">
      <c r="H45296" t="s">
        <v>33098</v>
      </c>
    </row>
    <row r="45297" spans="1:8">
      <c r="H45297" t="s">
        <v>33099</v>
      </c>
    </row>
    <row r="45298" spans="1:8">
      <c r="H45298" t="s">
        <v>33100</v>
      </c>
    </row>
    <row r="45299" spans="1:8">
      <c r="H45299" t="s">
        <v>38121</v>
      </c>
    </row>
    <row r="45300" spans="1:8">
      <c r="H45300" t="s">
        <v>33101</v>
      </c>
    </row>
    <row r="45301" spans="1:8">
      <c r="H45301" t="s">
        <v>33102</v>
      </c>
    </row>
    <row r="45302" spans="1:8">
      <c r="H45302" t="s">
        <v>38104</v>
      </c>
    </row>
    <row r="45303" spans="1:8">
      <c r="H45303" t="s">
        <v>38105</v>
      </c>
    </row>
    <row r="45304" spans="1:8">
      <c r="H45304" t="s">
        <v>38106</v>
      </c>
    </row>
    <row r="45305" spans="1:8">
      <c r="H45305" t="s">
        <v>38122</v>
      </c>
    </row>
    <row r="45306" spans="1:8">
      <c r="H45306" t="s">
        <v>38107</v>
      </c>
    </row>
    <row r="45307" spans="1:8">
      <c r="H45307" t="s">
        <v>38123</v>
      </c>
    </row>
    <row r="45308" spans="1:8">
      <c r="H45308" t="s">
        <v>38124</v>
      </c>
    </row>
    <row r="45309" spans="1:8">
      <c r="H45309" t="s">
        <v>38125</v>
      </c>
    </row>
    <row r="45310" spans="1:8">
      <c r="A45310" t="s">
        <v>4518</v>
      </c>
      <c r="B45310">
        <f>HYPERLINK("https://android.googlesource.com/platform/cts/+/04c88d6db5fc9c5f9283e3912d2b8d05b8676b4b", "04c88d6db5fc9c5f9283e3912d2b8d05b8676b4b")</f>
        <v>0</v>
      </c>
      <c r="C45310">
        <f>HYPERLINK("https://android.googlesource.com/platform/cts/+/e24f1acfa4aa74e1de3211292988a1e5a5ed6db0", "e24f1acfa4aa74e1de3211292988a1e5a5ed6db0")</f>
        <v>0</v>
      </c>
      <c r="D45310" t="s">
        <v>5478</v>
      </c>
      <c r="E45310" t="s">
        <v>10180</v>
      </c>
      <c r="F45310" t="s">
        <v>14633</v>
      </c>
      <c r="G45310" t="s">
        <v>18543</v>
      </c>
      <c r="H45310" t="s">
        <v>38126</v>
      </c>
    </row>
    <row r="45311" spans="1:8">
      <c r="H45311" t="s">
        <v>38127</v>
      </c>
    </row>
    <row r="45312" spans="1:8">
      <c r="H45312" t="s">
        <v>38128</v>
      </c>
    </row>
    <row r="45313" spans="1:8">
      <c r="H45313" t="s">
        <v>38129</v>
      </c>
    </row>
    <row r="45314" spans="1:8">
      <c r="A45314" t="s">
        <v>4519</v>
      </c>
      <c r="B45314">
        <f>HYPERLINK("https://android.googlesource.com/platform/cts/+/53f1058e4f56fd7a38a354efb643568dd2423939", "53f1058e4f56fd7a38a354efb643568dd2423939")</f>
        <v>0</v>
      </c>
      <c r="C45314">
        <f>HYPERLINK("https://android.googlesource.com/platform/cts/+/2700ff9d2fb521999d26073d66136342e019e7c9", "2700ff9d2fb521999d26073d66136342e019e7c9")</f>
        <v>0</v>
      </c>
      <c r="D45314" t="s">
        <v>5705</v>
      </c>
      <c r="E45314" t="s">
        <v>10181</v>
      </c>
      <c r="F45314" t="s">
        <v>14741</v>
      </c>
      <c r="G45314" t="s">
        <v>18619</v>
      </c>
      <c r="H45314" t="s">
        <v>37885</v>
      </c>
    </row>
    <row r="45315" spans="1:8">
      <c r="A45315" t="s">
        <v>4520</v>
      </c>
      <c r="B45315">
        <f>HYPERLINK("https://android.googlesource.com/platform/cts/+/a5c7e7175f30ead1ecd0af37153a012f2140b569", "a5c7e7175f30ead1ecd0af37153a012f2140b569")</f>
        <v>0</v>
      </c>
      <c r="C45315">
        <f>HYPERLINK("https://android.googlesource.com/platform/cts/+/f5df5538418f9d873a71d518e9ed26429a68b4ec", "f5df5538418f9d873a71d518e9ed26429a68b4ec")</f>
        <v>0</v>
      </c>
      <c r="D45315" t="s">
        <v>5685</v>
      </c>
      <c r="E45315" t="s">
        <v>10182</v>
      </c>
      <c r="F45315" t="s">
        <v>14757</v>
      </c>
      <c r="G45315" t="s">
        <v>18633</v>
      </c>
      <c r="H45315" t="s">
        <v>38130</v>
      </c>
    </row>
    <row r="45316" spans="1:8">
      <c r="H45316" t="s">
        <v>38131</v>
      </c>
    </row>
    <row r="45317" spans="1:8">
      <c r="A45317" t="s">
        <v>4521</v>
      </c>
      <c r="B45317">
        <f>HYPERLINK("https://android.googlesource.com/platform/cts/+/c67fb38ca0b55e013644b1fa354a19e8ee019741", "c67fb38ca0b55e013644b1fa354a19e8ee019741")</f>
        <v>0</v>
      </c>
      <c r="C45317">
        <f>HYPERLINK("https://android.googlesource.com/platform/cts/+/206f54ea85c46c5495b0688515f6378609fdb9a3", "206f54ea85c46c5495b0688515f6378609fdb9a3")</f>
        <v>0</v>
      </c>
      <c r="D45317" t="s">
        <v>5409</v>
      </c>
      <c r="E45317" t="s">
        <v>10183</v>
      </c>
      <c r="F45317" t="s">
        <v>14265</v>
      </c>
      <c r="G45317" t="s">
        <v>18232</v>
      </c>
      <c r="H45317" t="s">
        <v>38132</v>
      </c>
    </row>
    <row r="45318" spans="1:8">
      <c r="H45318" t="s">
        <v>38133</v>
      </c>
    </row>
    <row r="45319" spans="1:8">
      <c r="H45319" t="s">
        <v>38134</v>
      </c>
    </row>
    <row r="45320" spans="1:8">
      <c r="H45320" t="s">
        <v>38135</v>
      </c>
    </row>
    <row r="45321" spans="1:8">
      <c r="H45321" t="s">
        <v>38136</v>
      </c>
    </row>
    <row r="45322" spans="1:8">
      <c r="H45322" t="s">
        <v>38137</v>
      </c>
    </row>
    <row r="45323" spans="1:8">
      <c r="H45323" t="s">
        <v>38138</v>
      </c>
    </row>
    <row r="45324" spans="1:8">
      <c r="H45324" t="s">
        <v>38139</v>
      </c>
    </row>
    <row r="45325" spans="1:8">
      <c r="H45325" t="s">
        <v>38140</v>
      </c>
    </row>
    <row r="45326" spans="1:8">
      <c r="H45326" t="s">
        <v>38141</v>
      </c>
    </row>
    <row r="45327" spans="1:8">
      <c r="H45327" t="s">
        <v>38142</v>
      </c>
    </row>
    <row r="45328" spans="1:8">
      <c r="H45328" t="s">
        <v>38143</v>
      </c>
    </row>
    <row r="45329" spans="1:8">
      <c r="H45329" t="s">
        <v>38144</v>
      </c>
    </row>
    <row r="45330" spans="1:8">
      <c r="H45330" t="s">
        <v>38145</v>
      </c>
    </row>
    <row r="45331" spans="1:8">
      <c r="H45331" t="s">
        <v>38146</v>
      </c>
    </row>
    <row r="45332" spans="1:8">
      <c r="H45332" t="s">
        <v>38147</v>
      </c>
    </row>
    <row r="45333" spans="1:8">
      <c r="H45333" t="s">
        <v>38148</v>
      </c>
    </row>
    <row r="45334" spans="1:8">
      <c r="H45334" t="s">
        <v>38149</v>
      </c>
    </row>
    <row r="45335" spans="1:8">
      <c r="H45335" t="s">
        <v>38150</v>
      </c>
    </row>
    <row r="45336" spans="1:8">
      <c r="H45336" t="s">
        <v>38151</v>
      </c>
    </row>
    <row r="45337" spans="1:8">
      <c r="H45337" t="s">
        <v>38152</v>
      </c>
    </row>
    <row r="45338" spans="1:8">
      <c r="H45338" t="s">
        <v>38153</v>
      </c>
    </row>
    <row r="45339" spans="1:8">
      <c r="H45339" t="s">
        <v>38154</v>
      </c>
    </row>
    <row r="45340" spans="1:8">
      <c r="H45340" t="s">
        <v>38155</v>
      </c>
    </row>
    <row r="45341" spans="1:8">
      <c r="H45341" t="s">
        <v>38156</v>
      </c>
    </row>
    <row r="45342" spans="1:8">
      <c r="H45342" t="s">
        <v>38157</v>
      </c>
    </row>
    <row r="45343" spans="1:8">
      <c r="H45343" t="s">
        <v>38158</v>
      </c>
    </row>
    <row r="45344" spans="1:8">
      <c r="A45344" t="s">
        <v>4522</v>
      </c>
      <c r="B45344">
        <f>HYPERLINK("https://android.googlesource.com/platform/cts/+/893c0e05e18d4eba2ce25b51bc0b9fc45e261ffd", "893c0e05e18d4eba2ce25b51bc0b9fc45e261ffd")</f>
        <v>0</v>
      </c>
      <c r="C45344">
        <f>HYPERLINK("https://android.googlesource.com/platform/cts/+/429bd018471287a008bb459c74d67a7af188649e", "429bd018471287a008bb459c74d67a7af188649e")</f>
        <v>0</v>
      </c>
      <c r="D45344" t="s">
        <v>5584</v>
      </c>
      <c r="E45344" t="s">
        <v>10184</v>
      </c>
      <c r="F45344" t="s">
        <v>14758</v>
      </c>
      <c r="G45344" t="s">
        <v>18634</v>
      </c>
      <c r="H45344" t="s">
        <v>38159</v>
      </c>
    </row>
    <row r="45345" spans="1:8">
      <c r="A45345" t="s">
        <v>4523</v>
      </c>
      <c r="B45345">
        <f>HYPERLINK("https://android.googlesource.com/platform/cts/+/0ec2c5fc64e8fa744a61ae51ffc180e608a6ec35", "0ec2c5fc64e8fa744a61ae51ffc180e608a6ec35")</f>
        <v>0</v>
      </c>
      <c r="C45345">
        <f>HYPERLINK("https://android.googlesource.com/platform/cts/+/bfe33c4986d5dd4f54a73759fb340f49ffd04ef8", "bfe33c4986d5dd4f54a73759fb340f49ffd04ef8")</f>
        <v>0</v>
      </c>
      <c r="D45345" t="s">
        <v>5499</v>
      </c>
      <c r="E45345" t="s">
        <v>10185</v>
      </c>
      <c r="F45345" t="s">
        <v>14759</v>
      </c>
      <c r="G45345" t="s">
        <v>18635</v>
      </c>
      <c r="H45345" t="s">
        <v>38160</v>
      </c>
    </row>
    <row r="45346" spans="1:8">
      <c r="A45346" t="s">
        <v>4524</v>
      </c>
      <c r="B45346">
        <f>HYPERLINK("https://android.googlesource.com/platform/cts/+/f35be3416b0d1476de0a10aece291c864b70e89e", "f35be3416b0d1476de0a10aece291c864b70e89e")</f>
        <v>0</v>
      </c>
      <c r="C45346">
        <f>HYPERLINK("https://android.googlesource.com/platform/cts/+/af8ce228c7e9c676906584b3d77196e93114fdc5", "af8ce228c7e9c676906584b3d77196e93114fdc5")</f>
        <v>0</v>
      </c>
      <c r="D45346" t="s">
        <v>5715</v>
      </c>
      <c r="E45346" t="s">
        <v>10186</v>
      </c>
      <c r="F45346" t="s">
        <v>14760</v>
      </c>
      <c r="G45346" t="s">
        <v>18636</v>
      </c>
      <c r="H45346" t="s">
        <v>38161</v>
      </c>
    </row>
    <row r="45347" spans="1:8">
      <c r="H45347" t="s">
        <v>38162</v>
      </c>
    </row>
    <row r="45348" spans="1:8">
      <c r="H45348" t="s">
        <v>38163</v>
      </c>
    </row>
    <row r="45349" spans="1:8">
      <c r="H45349" t="s">
        <v>20083</v>
      </c>
    </row>
    <row r="45350" spans="1:8">
      <c r="H45350" t="s">
        <v>26262</v>
      </c>
    </row>
    <row r="45351" spans="1:8">
      <c r="A45351" t="s">
        <v>4525</v>
      </c>
      <c r="B45351">
        <f>HYPERLINK("https://android.googlesource.com/platform/cts/+/04eb8ac828f62f81cf46d4534cd196525cfe8318", "04eb8ac828f62f81cf46d4534cd196525cfe8318")</f>
        <v>0</v>
      </c>
      <c r="C45351">
        <f>HYPERLINK("https://android.googlesource.com/platform/cts/+/35eadc722c7679ce8dfec80c9d302642fd2de4a5", "35eadc722c7679ce8dfec80c9d302642fd2de4a5")</f>
        <v>0</v>
      </c>
      <c r="D45351" t="s">
        <v>5700</v>
      </c>
      <c r="E45351" t="s">
        <v>10187</v>
      </c>
      <c r="F45351" t="s">
        <v>14761</v>
      </c>
      <c r="G45351" t="s">
        <v>18637</v>
      </c>
      <c r="H45351" t="s">
        <v>38164</v>
      </c>
    </row>
    <row r="45352" spans="1:8">
      <c r="A45352" t="s">
        <v>4526</v>
      </c>
      <c r="B45352">
        <f>HYPERLINK("https://android.googlesource.com/platform/cts/+/ea4037d772c2cfeb02fbe64fd05c77ff270b14be", "ea4037d772c2cfeb02fbe64fd05c77ff270b14be")</f>
        <v>0</v>
      </c>
      <c r="C45352">
        <f>HYPERLINK("https://android.googlesource.com/platform/cts/+/665dad20499f35cca567b6598053c5420fafa987", "665dad20499f35cca567b6598053c5420fafa987")</f>
        <v>0</v>
      </c>
      <c r="D45352" t="s">
        <v>5445</v>
      </c>
      <c r="E45352" t="s">
        <v>10188</v>
      </c>
      <c r="F45352" t="s">
        <v>12642</v>
      </c>
      <c r="G45352" t="s">
        <v>16850</v>
      </c>
      <c r="H45352" t="s">
        <v>18863</v>
      </c>
    </row>
    <row r="45353" spans="1:8">
      <c r="H45353" t="s">
        <v>38165</v>
      </c>
    </row>
    <row r="45354" spans="1:8">
      <c r="F45354" t="s">
        <v>14762</v>
      </c>
      <c r="G45354" t="s">
        <v>18638</v>
      </c>
      <c r="H45354" t="s">
        <v>18829</v>
      </c>
    </row>
    <row r="45355" spans="1:8">
      <c r="H45355" t="s">
        <v>18863</v>
      </c>
    </row>
    <row r="45356" spans="1:8">
      <c r="H45356" t="s">
        <v>38166</v>
      </c>
    </row>
    <row r="45357" spans="1:8">
      <c r="H45357" t="s">
        <v>38167</v>
      </c>
    </row>
    <row r="45358" spans="1:8">
      <c r="H45358" t="s">
        <v>38168</v>
      </c>
    </row>
    <row r="45359" spans="1:8">
      <c r="H45359" t="s">
        <v>38169</v>
      </c>
    </row>
    <row r="45360" spans="1:8">
      <c r="H45360" t="s">
        <v>38170</v>
      </c>
    </row>
    <row r="45361" spans="1:8">
      <c r="H45361" t="s">
        <v>38171</v>
      </c>
    </row>
    <row r="45362" spans="1:8">
      <c r="F45362" t="s">
        <v>13993</v>
      </c>
      <c r="G45362" t="s">
        <v>16600</v>
      </c>
      <c r="H45362" t="s">
        <v>38172</v>
      </c>
    </row>
    <row r="45363" spans="1:8">
      <c r="A45363" t="s">
        <v>4527</v>
      </c>
      <c r="B45363">
        <f>HYPERLINK("https://android.googlesource.com/platform/cts/+/dae05bad9c1b5764f8e3a7ce0b6b2df04a2bfb6f", "dae05bad9c1b5764f8e3a7ce0b6b2df04a2bfb6f")</f>
        <v>0</v>
      </c>
      <c r="C45363">
        <f>HYPERLINK("https://android.googlesource.com/platform/cts/+/1f355f22cd413e1391a9bb78a4a4bafb35262425", "1f355f22cd413e1391a9bb78a4a4bafb35262425")</f>
        <v>0</v>
      </c>
      <c r="D45363" t="s">
        <v>5528</v>
      </c>
      <c r="E45363" t="s">
        <v>10189</v>
      </c>
      <c r="F45363" t="s">
        <v>13892</v>
      </c>
      <c r="G45363" t="s">
        <v>17929</v>
      </c>
      <c r="H45363" t="s">
        <v>18829</v>
      </c>
    </row>
    <row r="45364" spans="1:8">
      <c r="H45364" t="s">
        <v>38173</v>
      </c>
    </row>
    <row r="45365" spans="1:8">
      <c r="H45365" t="s">
        <v>38174</v>
      </c>
    </row>
    <row r="45366" spans="1:8">
      <c r="A45366" t="s">
        <v>4529</v>
      </c>
      <c r="B45366">
        <f>HYPERLINK("https://android.googlesource.com/platform/cts/+/ebf22a6df73f85fd1ee9dcb69c0339272185d5ea", "ebf22a6df73f85fd1ee9dcb69c0339272185d5ea")</f>
        <v>0</v>
      </c>
      <c r="C45366">
        <f>HYPERLINK("https://android.googlesource.com/platform/cts/+/fd3e1c61479373172f884914dd72fb4507077db6", "fd3e1c61479373172f884914dd72fb4507077db6")</f>
        <v>0</v>
      </c>
      <c r="D45366" t="s">
        <v>5716</v>
      </c>
      <c r="E45366" t="s">
        <v>10191</v>
      </c>
      <c r="F45366" t="s">
        <v>14133</v>
      </c>
      <c r="G45366" t="s">
        <v>18122</v>
      </c>
      <c r="H45366" t="s">
        <v>18829</v>
      </c>
    </row>
    <row r="45367" spans="1:8">
      <c r="H45367" t="s">
        <v>38175</v>
      </c>
    </row>
    <row r="45368" spans="1:8">
      <c r="H45368" t="s">
        <v>38176</v>
      </c>
    </row>
    <row r="45369" spans="1:8">
      <c r="H45369" t="s">
        <v>38177</v>
      </c>
    </row>
    <row r="45370" spans="1:8">
      <c r="H45370" t="s">
        <v>38178</v>
      </c>
    </row>
    <row r="45371" spans="1:8">
      <c r="H45371" t="s">
        <v>33904</v>
      </c>
    </row>
    <row r="45372" spans="1:8">
      <c r="H45372" t="s">
        <v>38179</v>
      </c>
    </row>
    <row r="45373" spans="1:8">
      <c r="H45373" t="s">
        <v>38180</v>
      </c>
    </row>
    <row r="45374" spans="1:8">
      <c r="H45374" t="s">
        <v>38181</v>
      </c>
    </row>
    <row r="45375" spans="1:8">
      <c r="H45375" t="s">
        <v>38182</v>
      </c>
    </row>
    <row r="45376" spans="1:8">
      <c r="H45376" t="s">
        <v>38183</v>
      </c>
    </row>
    <row r="45377" spans="1:8">
      <c r="H45377" t="s">
        <v>38184</v>
      </c>
    </row>
    <row r="45378" spans="1:8">
      <c r="H45378" t="s">
        <v>38185</v>
      </c>
    </row>
    <row r="45379" spans="1:8">
      <c r="H45379" t="s">
        <v>38186</v>
      </c>
    </row>
    <row r="45380" spans="1:8">
      <c r="H45380" t="s">
        <v>38187</v>
      </c>
    </row>
    <row r="45381" spans="1:8">
      <c r="H45381" t="s">
        <v>18896</v>
      </c>
    </row>
    <row r="45382" spans="1:8">
      <c r="H45382" t="s">
        <v>38188</v>
      </c>
    </row>
    <row r="45383" spans="1:8">
      <c r="H45383" t="s">
        <v>22678</v>
      </c>
    </row>
    <row r="45384" spans="1:8">
      <c r="A45384" t="s">
        <v>4530</v>
      </c>
      <c r="B45384">
        <f>HYPERLINK("https://android.googlesource.com/platform/cts/+/c1128d61c8dd6723491a079967b117f79e6c883f", "c1128d61c8dd6723491a079967b117f79e6c883f")</f>
        <v>0</v>
      </c>
      <c r="C45384">
        <f>HYPERLINK("https://android.googlesource.com/platform/cts/+/80c03200acb18098f99cc336cc89284d411e40a1", "80c03200acb18098f99cc336cc89284d411e40a1")</f>
        <v>0</v>
      </c>
      <c r="D45384" t="s">
        <v>5021</v>
      </c>
      <c r="E45384" t="s">
        <v>10192</v>
      </c>
      <c r="F45384" t="s">
        <v>14763</v>
      </c>
      <c r="G45384" t="s">
        <v>18639</v>
      </c>
      <c r="H45384" t="s">
        <v>31592</v>
      </c>
    </row>
    <row r="45385" spans="1:8">
      <c r="F45385" t="s">
        <v>14764</v>
      </c>
      <c r="G45385" t="s">
        <v>18640</v>
      </c>
      <c r="H45385" t="s">
        <v>31592</v>
      </c>
    </row>
    <row r="45386" spans="1:8">
      <c r="A45386" t="s">
        <v>4531</v>
      </c>
      <c r="B45386">
        <f>HYPERLINK("https://android.googlesource.com/platform/cts/+/61adcea84181a6bed4a4f5375af0592bbc6a8d6a", "61adcea84181a6bed4a4f5375af0592bbc6a8d6a")</f>
        <v>0</v>
      </c>
      <c r="C45386">
        <f>HYPERLINK("https://android.googlesource.com/platform/cts/+/0735a71ae62bf21bab2025425864d9b9c1624ffd", "0735a71ae62bf21bab2025425864d9b9c1624ffd")</f>
        <v>0</v>
      </c>
      <c r="D45386" t="s">
        <v>5717</v>
      </c>
      <c r="E45386" t="s">
        <v>10193</v>
      </c>
      <c r="F45386" t="s">
        <v>14765</v>
      </c>
      <c r="G45386" t="s">
        <v>18641</v>
      </c>
      <c r="H45386" t="s">
        <v>38189</v>
      </c>
    </row>
    <row r="45387" spans="1:8">
      <c r="H45387" t="s">
        <v>38190</v>
      </c>
    </row>
    <row r="45388" spans="1:8">
      <c r="A45388" t="s">
        <v>4532</v>
      </c>
      <c r="B45388">
        <f>HYPERLINK("https://android.googlesource.com/platform/cts/+/087aafafb4d70519f101fd46785f1c31ec7572b1", "087aafafb4d70519f101fd46785f1c31ec7572b1")</f>
        <v>0</v>
      </c>
      <c r="C45388">
        <f>HYPERLINK("https://android.googlesource.com/platform/cts/+/161b17471862eeabcb3aab12bbf2ccbb333175d6", "161b17471862eeabcb3aab12bbf2ccbb333175d6")</f>
        <v>0</v>
      </c>
      <c r="D45388" t="s">
        <v>5477</v>
      </c>
      <c r="E45388" t="s">
        <v>10194</v>
      </c>
      <c r="F45388" t="s">
        <v>14748</v>
      </c>
      <c r="G45388" t="s">
        <v>18624</v>
      </c>
      <c r="H45388" t="s">
        <v>38191</v>
      </c>
    </row>
    <row r="45389" spans="1:8">
      <c r="H45389" t="s">
        <v>38192</v>
      </c>
    </row>
    <row r="45390" spans="1:8">
      <c r="A45390" t="s">
        <v>4535</v>
      </c>
      <c r="B45390">
        <f>HYPERLINK("https://android.googlesource.com/platform/cts/+/9be135ac5c50799a2868922f670d28776ffe9aba", "9be135ac5c50799a2868922f670d28776ffe9aba")</f>
        <v>0</v>
      </c>
      <c r="C45390">
        <f>HYPERLINK("https://android.googlesource.com/platform/cts/+/ddc4da83e860f987e86c2ac9e5a7c8027850a2e7", "ddc4da83e860f987e86c2ac9e5a7c8027850a2e7")</f>
        <v>0</v>
      </c>
      <c r="D45390" t="s">
        <v>5485</v>
      </c>
      <c r="E45390" t="s">
        <v>10197</v>
      </c>
      <c r="F45390" t="s">
        <v>14092</v>
      </c>
      <c r="G45390" t="s">
        <v>18085</v>
      </c>
      <c r="H45390" t="s">
        <v>38193</v>
      </c>
    </row>
    <row r="45391" spans="1:8">
      <c r="A45391" t="s">
        <v>4536</v>
      </c>
      <c r="B45391">
        <f>HYPERLINK("https://android.googlesource.com/platform/cts/+/35d66c03de9fdb986d40833f227e19b4e8806aa3", "35d66c03de9fdb986d40833f227e19b4e8806aa3")</f>
        <v>0</v>
      </c>
      <c r="C45391">
        <f>HYPERLINK("https://android.googlesource.com/platform/cts/+/390aca5068b41475519d9201220d9e0d48338a89", "390aca5068b41475519d9201220d9e0d48338a89")</f>
        <v>0</v>
      </c>
      <c r="D45391" t="s">
        <v>5409</v>
      </c>
      <c r="E45391" t="s">
        <v>10198</v>
      </c>
      <c r="F45391" t="s">
        <v>13561</v>
      </c>
      <c r="G45391" t="s">
        <v>17667</v>
      </c>
      <c r="H45391" t="s">
        <v>29902</v>
      </c>
    </row>
    <row r="45392" spans="1:8">
      <c r="F45392" t="s">
        <v>14766</v>
      </c>
      <c r="G45392" t="s">
        <v>18642</v>
      </c>
      <c r="H45392" t="s">
        <v>38194</v>
      </c>
    </row>
    <row r="45393" spans="1:8">
      <c r="F45393" t="s">
        <v>13780</v>
      </c>
      <c r="G45393" t="s">
        <v>17667</v>
      </c>
      <c r="H45393" t="s">
        <v>29902</v>
      </c>
    </row>
    <row r="45394" spans="1:8">
      <c r="F45394" t="s">
        <v>12629</v>
      </c>
      <c r="G45394" t="s">
        <v>16838</v>
      </c>
      <c r="H45394" t="s">
        <v>38195</v>
      </c>
    </row>
    <row r="45395" spans="1:8">
      <c r="H45395" t="s">
        <v>31544</v>
      </c>
    </row>
    <row r="45396" spans="1:8">
      <c r="F45396" t="s">
        <v>12394</v>
      </c>
      <c r="G45396" t="s">
        <v>17294</v>
      </c>
      <c r="H45396" t="s">
        <v>31544</v>
      </c>
    </row>
    <row r="45397" spans="1:8">
      <c r="F45397" t="s">
        <v>14664</v>
      </c>
      <c r="G45397" t="s">
        <v>16838</v>
      </c>
      <c r="H45397" t="s">
        <v>18829</v>
      </c>
    </row>
    <row r="45398" spans="1:8">
      <c r="H45398" t="s">
        <v>38196</v>
      </c>
    </row>
    <row r="45399" spans="1:8">
      <c r="H45399" t="s">
        <v>33813</v>
      </c>
    </row>
    <row r="45400" spans="1:8">
      <c r="H45400" t="s">
        <v>38197</v>
      </c>
    </row>
    <row r="45401" spans="1:8">
      <c r="A45401" t="s">
        <v>4537</v>
      </c>
      <c r="B45401">
        <f>HYPERLINK("https://android.googlesource.com/platform/cts/+/9e9a19b29298c5c59d310b098add614e6531551e", "9e9a19b29298c5c59d310b098add614e6531551e")</f>
        <v>0</v>
      </c>
      <c r="C45401">
        <f>HYPERLINK("https://android.googlesource.com/platform/cts/+/a82d7550bc9c256375ecf8872bdbdf805daba83c", "a82d7550bc9c256375ecf8872bdbdf805daba83c")</f>
        <v>0</v>
      </c>
      <c r="D45401" t="s">
        <v>5460</v>
      </c>
      <c r="E45401" t="s">
        <v>10199</v>
      </c>
      <c r="F45401" t="s">
        <v>14362</v>
      </c>
      <c r="G45401" t="s">
        <v>18309</v>
      </c>
      <c r="H45401" t="s">
        <v>37152</v>
      </c>
    </row>
    <row r="45402" spans="1:8">
      <c r="H45402" t="s">
        <v>37153</v>
      </c>
    </row>
    <row r="45403" spans="1:8">
      <c r="H45403" t="s">
        <v>37154</v>
      </c>
    </row>
    <row r="45404" spans="1:8">
      <c r="A45404" t="s">
        <v>4539</v>
      </c>
      <c r="B45404">
        <f>HYPERLINK("https://android.googlesource.com/platform/cts/+/47b9c978756257733d15167af229fb917e68af6e", "47b9c978756257733d15167af229fb917e68af6e")</f>
        <v>0</v>
      </c>
      <c r="C45404">
        <f>HYPERLINK("https://android.googlesource.com/platform/cts/+/38157b575ebd9b0caceaf1f7b43c20cb018ea2bd", "38157b575ebd9b0caceaf1f7b43c20cb018ea2bd")</f>
        <v>0</v>
      </c>
      <c r="D45404" t="s">
        <v>5718</v>
      </c>
      <c r="E45404" t="s">
        <v>10200</v>
      </c>
      <c r="F45404" t="s">
        <v>14767</v>
      </c>
      <c r="G45404" t="s">
        <v>18643</v>
      </c>
      <c r="H45404" t="s">
        <v>38198</v>
      </c>
    </row>
    <row r="45405" spans="1:8">
      <c r="A45405" t="s">
        <v>4540</v>
      </c>
      <c r="B45405">
        <f>HYPERLINK("https://android.googlesource.com/platform/cts/+/5564399aabe3121f80a65b29e1c15b7ab790cb1b", "5564399aabe3121f80a65b29e1c15b7ab790cb1b")</f>
        <v>0</v>
      </c>
      <c r="C45405">
        <f>HYPERLINK("https://android.googlesource.com/platform/cts/+/668fa92c6202239c41ad0a720e0bfb9caa3a955d", "668fa92c6202239c41ad0a720e0bfb9caa3a955d")</f>
        <v>0</v>
      </c>
      <c r="D45405" t="s">
        <v>5571</v>
      </c>
      <c r="E45405" t="s">
        <v>10201</v>
      </c>
      <c r="F45405" t="s">
        <v>13548</v>
      </c>
      <c r="G45405" t="s">
        <v>15171</v>
      </c>
      <c r="H45405" t="s">
        <v>38199</v>
      </c>
    </row>
    <row r="45406" spans="1:8">
      <c r="A45406" t="s">
        <v>4541</v>
      </c>
      <c r="B45406">
        <f>HYPERLINK("https://android.googlesource.com/platform/cts/+/0744d7aacb7cb454655796841e64f8f9d6786f1a", "0744d7aacb7cb454655796841e64f8f9d6786f1a")</f>
        <v>0</v>
      </c>
      <c r="C45406">
        <f>HYPERLINK("https://android.googlesource.com/platform/cts/+/760a4df405e8d32c2601289f013bc69f6da7da08", "760a4df405e8d32c2601289f013bc69f6da7da08")</f>
        <v>0</v>
      </c>
      <c r="D45406" t="s">
        <v>5719</v>
      </c>
      <c r="E45406" t="s">
        <v>10202</v>
      </c>
      <c r="F45406" t="s">
        <v>14768</v>
      </c>
      <c r="G45406" t="s">
        <v>18644</v>
      </c>
      <c r="H45406" t="s">
        <v>38200</v>
      </c>
    </row>
    <row r="45407" spans="1:8">
      <c r="A45407" t="s">
        <v>4542</v>
      </c>
      <c r="B45407">
        <f>HYPERLINK("https://android.googlesource.com/platform/cts/+/ea932a560c115735da9fea197c7ef0dbf63bef3b", "ea932a560c115735da9fea197c7ef0dbf63bef3b")</f>
        <v>0</v>
      </c>
      <c r="C45407">
        <f>HYPERLINK("https://android.googlesource.com/platform/cts/+/e3e830216821a750a108ef4bd7e5e46388423f4d", "e3e830216821a750a108ef4bd7e5e46388423f4d")</f>
        <v>0</v>
      </c>
      <c r="D45407" t="s">
        <v>5618</v>
      </c>
      <c r="E45407" t="s">
        <v>10203</v>
      </c>
      <c r="F45407" t="s">
        <v>14466</v>
      </c>
      <c r="G45407" t="s">
        <v>18398</v>
      </c>
      <c r="H45407" t="s">
        <v>38201</v>
      </c>
    </row>
    <row r="45408" spans="1:8">
      <c r="H45408" t="s">
        <v>36228</v>
      </c>
    </row>
    <row r="45409" spans="1:8">
      <c r="A45409" t="s">
        <v>4543</v>
      </c>
      <c r="B45409">
        <f>HYPERLINK("https://android.googlesource.com/platform/cts/+/5eec84deae56cff374a2de89ac2d44abc1f750d2", "5eec84deae56cff374a2de89ac2d44abc1f750d2")</f>
        <v>0</v>
      </c>
      <c r="C45409">
        <f>HYPERLINK("https://android.googlesource.com/platform/cts/+/b82cb7ca0aea7104e7f94c5ba673bea4389d688b", "b82cb7ca0aea7104e7f94c5ba673bea4389d688b")</f>
        <v>0</v>
      </c>
      <c r="D45409" t="s">
        <v>5626</v>
      </c>
      <c r="E45409" t="s">
        <v>10204</v>
      </c>
      <c r="F45409" t="s">
        <v>14296</v>
      </c>
      <c r="G45409" t="s">
        <v>18022</v>
      </c>
      <c r="H45409" t="s">
        <v>38202</v>
      </c>
    </row>
    <row r="45410" spans="1:8">
      <c r="A45410" t="s">
        <v>4544</v>
      </c>
      <c r="B45410">
        <f>HYPERLINK("https://android.googlesource.com/platform/cts/+/29eb58233cadd90bb3dde1fe1eece067cb0648cf", "29eb58233cadd90bb3dde1fe1eece067cb0648cf")</f>
        <v>0</v>
      </c>
      <c r="C45410">
        <f>HYPERLINK("https://android.googlesource.com/platform/cts/+/3d5f43c4e2d1668c25dd9644b5355ed90775767b", "3d5f43c4e2d1668c25dd9644b5355ed90775767b")</f>
        <v>0</v>
      </c>
      <c r="D45410" t="s">
        <v>5463</v>
      </c>
      <c r="E45410" t="s">
        <v>10205</v>
      </c>
      <c r="F45410" t="s">
        <v>14769</v>
      </c>
      <c r="G45410" t="s">
        <v>18645</v>
      </c>
      <c r="H45410" t="s">
        <v>38203</v>
      </c>
    </row>
    <row r="45411" spans="1:8">
      <c r="A45411" t="s">
        <v>4545</v>
      </c>
      <c r="B45411">
        <f>HYPERLINK("https://android.googlesource.com/platform/cts/+/55dd5ec4938a61d6a6e75a2b9b11b8129e70235a", "55dd5ec4938a61d6a6e75a2b9b11b8129e70235a")</f>
        <v>0</v>
      </c>
      <c r="C45411">
        <f>HYPERLINK("https://android.googlesource.com/platform/cts/+/3a5db353f240b980c1ed11871c9dac0e69899540", "3a5db353f240b980c1ed11871c9dac0e69899540")</f>
        <v>0</v>
      </c>
      <c r="D45411" t="s">
        <v>5564</v>
      </c>
      <c r="E45411" t="s">
        <v>10206</v>
      </c>
      <c r="F45411" t="s">
        <v>14770</v>
      </c>
      <c r="G45411" t="s">
        <v>17448</v>
      </c>
      <c r="H45411" t="s">
        <v>38204</v>
      </c>
    </row>
    <row r="45412" spans="1:8">
      <c r="H45412" t="s">
        <v>38205</v>
      </c>
    </row>
    <row r="45413" spans="1:8">
      <c r="H45413" t="s">
        <v>38206</v>
      </c>
    </row>
    <row r="45414" spans="1:8">
      <c r="H45414" t="s">
        <v>38207</v>
      </c>
    </row>
    <row r="45415" spans="1:8">
      <c r="H45415" t="s">
        <v>38208</v>
      </c>
    </row>
    <row r="45416" spans="1:8">
      <c r="H45416" t="s">
        <v>38209</v>
      </c>
    </row>
    <row r="45417" spans="1:8">
      <c r="H45417" t="s">
        <v>38210</v>
      </c>
    </row>
    <row r="45418" spans="1:8">
      <c r="H45418" t="s">
        <v>38211</v>
      </c>
    </row>
    <row r="45419" spans="1:8">
      <c r="H45419" t="s">
        <v>38212</v>
      </c>
    </row>
    <row r="45420" spans="1:8">
      <c r="H45420" t="s">
        <v>38213</v>
      </c>
    </row>
    <row r="45421" spans="1:8">
      <c r="H45421" t="s">
        <v>38214</v>
      </c>
    </row>
    <row r="45422" spans="1:8">
      <c r="H45422" t="s">
        <v>38215</v>
      </c>
    </row>
    <row r="45423" spans="1:8">
      <c r="H45423" t="s">
        <v>38216</v>
      </c>
    </row>
    <row r="45424" spans="1:8">
      <c r="H45424" t="s">
        <v>38217</v>
      </c>
    </row>
    <row r="45425" spans="8:8">
      <c r="H45425" t="s">
        <v>38218</v>
      </c>
    </row>
    <row r="45426" spans="8:8">
      <c r="H45426" t="s">
        <v>38219</v>
      </c>
    </row>
    <row r="45427" spans="8:8">
      <c r="H45427" t="s">
        <v>38220</v>
      </c>
    </row>
    <row r="45428" spans="8:8">
      <c r="H45428" t="s">
        <v>38221</v>
      </c>
    </row>
    <row r="45429" spans="8:8">
      <c r="H45429" t="s">
        <v>38222</v>
      </c>
    </row>
    <row r="45430" spans="8:8">
      <c r="H45430" t="s">
        <v>38223</v>
      </c>
    </row>
    <row r="45431" spans="8:8">
      <c r="H45431" t="s">
        <v>38224</v>
      </c>
    </row>
    <row r="45432" spans="8:8">
      <c r="H45432" t="s">
        <v>38225</v>
      </c>
    </row>
    <row r="45433" spans="8:8">
      <c r="H45433" t="s">
        <v>38226</v>
      </c>
    </row>
    <row r="45434" spans="8:8">
      <c r="H45434" t="s">
        <v>38227</v>
      </c>
    </row>
    <row r="45435" spans="8:8">
      <c r="H45435" t="s">
        <v>38228</v>
      </c>
    </row>
    <row r="45436" spans="8:8">
      <c r="H45436" t="s">
        <v>38229</v>
      </c>
    </row>
    <row r="45437" spans="8:8">
      <c r="H45437" t="s">
        <v>38230</v>
      </c>
    </row>
    <row r="45438" spans="8:8">
      <c r="H45438" t="s">
        <v>38231</v>
      </c>
    </row>
    <row r="45439" spans="8:8">
      <c r="H45439" t="s">
        <v>38232</v>
      </c>
    </row>
    <row r="45440" spans="8:8">
      <c r="H45440" t="s">
        <v>38233</v>
      </c>
    </row>
    <row r="45441" spans="8:8">
      <c r="H45441" t="s">
        <v>38234</v>
      </c>
    </row>
    <row r="45442" spans="8:8">
      <c r="H45442" t="s">
        <v>38235</v>
      </c>
    </row>
    <row r="45443" spans="8:8">
      <c r="H45443" t="s">
        <v>38236</v>
      </c>
    </row>
    <row r="45444" spans="8:8">
      <c r="H45444" t="s">
        <v>38237</v>
      </c>
    </row>
    <row r="45445" spans="8:8">
      <c r="H45445" t="s">
        <v>38238</v>
      </c>
    </row>
    <row r="45446" spans="8:8">
      <c r="H45446" t="s">
        <v>38239</v>
      </c>
    </row>
    <row r="45447" spans="8:8">
      <c r="H45447" t="s">
        <v>38240</v>
      </c>
    </row>
    <row r="45448" spans="8:8">
      <c r="H45448" t="s">
        <v>38241</v>
      </c>
    </row>
    <row r="45449" spans="8:8">
      <c r="H45449" t="s">
        <v>38242</v>
      </c>
    </row>
    <row r="45450" spans="8:8">
      <c r="H45450" t="s">
        <v>38243</v>
      </c>
    </row>
    <row r="45451" spans="8:8">
      <c r="H45451" t="s">
        <v>38244</v>
      </c>
    </row>
    <row r="45452" spans="8:8">
      <c r="H45452" t="s">
        <v>38245</v>
      </c>
    </row>
    <row r="45453" spans="8:8">
      <c r="H45453" t="s">
        <v>38246</v>
      </c>
    </row>
    <row r="45454" spans="8:8">
      <c r="H45454" t="s">
        <v>38247</v>
      </c>
    </row>
    <row r="45455" spans="8:8">
      <c r="H45455" t="s">
        <v>38248</v>
      </c>
    </row>
    <row r="45456" spans="8:8">
      <c r="H45456" t="s">
        <v>38249</v>
      </c>
    </row>
    <row r="45457" spans="8:8">
      <c r="H45457" t="s">
        <v>38250</v>
      </c>
    </row>
    <row r="45458" spans="8:8">
      <c r="H45458" t="s">
        <v>38251</v>
      </c>
    </row>
    <row r="45459" spans="8:8">
      <c r="H45459" t="s">
        <v>38252</v>
      </c>
    </row>
    <row r="45460" spans="8:8">
      <c r="H45460" t="s">
        <v>38253</v>
      </c>
    </row>
    <row r="45461" spans="8:8">
      <c r="H45461" t="s">
        <v>38254</v>
      </c>
    </row>
    <row r="45462" spans="8:8">
      <c r="H45462" t="s">
        <v>38255</v>
      </c>
    </row>
    <row r="45463" spans="8:8">
      <c r="H45463" t="s">
        <v>38256</v>
      </c>
    </row>
    <row r="45464" spans="8:8">
      <c r="H45464" t="s">
        <v>38257</v>
      </c>
    </row>
    <row r="45465" spans="8:8">
      <c r="H45465" t="s">
        <v>38258</v>
      </c>
    </row>
    <row r="45466" spans="8:8">
      <c r="H45466" t="s">
        <v>38259</v>
      </c>
    </row>
    <row r="45467" spans="8:8">
      <c r="H45467" t="s">
        <v>38260</v>
      </c>
    </row>
    <row r="45468" spans="8:8">
      <c r="H45468" t="s">
        <v>38261</v>
      </c>
    </row>
    <row r="45469" spans="8:8">
      <c r="H45469" t="s">
        <v>38262</v>
      </c>
    </row>
    <row r="45470" spans="8:8">
      <c r="H45470" t="s">
        <v>38263</v>
      </c>
    </row>
    <row r="45471" spans="8:8">
      <c r="H45471" t="s">
        <v>38264</v>
      </c>
    </row>
    <row r="45472" spans="8:8">
      <c r="H45472" t="s">
        <v>38265</v>
      </c>
    </row>
    <row r="45473" spans="8:8">
      <c r="H45473" t="s">
        <v>38266</v>
      </c>
    </row>
    <row r="45474" spans="8:8">
      <c r="H45474" t="s">
        <v>38267</v>
      </c>
    </row>
    <row r="45475" spans="8:8">
      <c r="H45475" t="s">
        <v>38268</v>
      </c>
    </row>
    <row r="45476" spans="8:8">
      <c r="H45476" t="s">
        <v>38269</v>
      </c>
    </row>
    <row r="45477" spans="8:8">
      <c r="H45477" t="s">
        <v>38270</v>
      </c>
    </row>
    <row r="45478" spans="8:8">
      <c r="H45478" t="s">
        <v>38271</v>
      </c>
    </row>
    <row r="45479" spans="8:8">
      <c r="H45479" t="s">
        <v>38272</v>
      </c>
    </row>
    <row r="45480" spans="8:8">
      <c r="H45480" t="s">
        <v>38273</v>
      </c>
    </row>
    <row r="45481" spans="8:8">
      <c r="H45481" t="s">
        <v>38274</v>
      </c>
    </row>
    <row r="45482" spans="8:8">
      <c r="H45482" t="s">
        <v>38275</v>
      </c>
    </row>
    <row r="45483" spans="8:8">
      <c r="H45483" t="s">
        <v>38276</v>
      </c>
    </row>
    <row r="45484" spans="8:8">
      <c r="H45484" t="s">
        <v>38277</v>
      </c>
    </row>
    <row r="45485" spans="8:8">
      <c r="H45485" t="s">
        <v>38278</v>
      </c>
    </row>
    <row r="45486" spans="8:8">
      <c r="H45486" t="s">
        <v>38279</v>
      </c>
    </row>
    <row r="45487" spans="8:8">
      <c r="H45487" t="s">
        <v>38280</v>
      </c>
    </row>
    <row r="45488" spans="8:8">
      <c r="H45488" t="s">
        <v>38281</v>
      </c>
    </row>
    <row r="45489" spans="8:8">
      <c r="H45489" t="s">
        <v>38282</v>
      </c>
    </row>
    <row r="45490" spans="8:8">
      <c r="H45490" t="s">
        <v>38283</v>
      </c>
    </row>
    <row r="45491" spans="8:8">
      <c r="H45491" t="s">
        <v>38284</v>
      </c>
    </row>
    <row r="45492" spans="8:8">
      <c r="H45492" t="s">
        <v>38285</v>
      </c>
    </row>
    <row r="45493" spans="8:8">
      <c r="H45493" t="s">
        <v>38286</v>
      </c>
    </row>
    <row r="45494" spans="8:8">
      <c r="H45494" t="s">
        <v>38287</v>
      </c>
    </row>
    <row r="45495" spans="8:8">
      <c r="H45495" t="s">
        <v>38288</v>
      </c>
    </row>
    <row r="45496" spans="8:8">
      <c r="H45496" t="s">
        <v>38289</v>
      </c>
    </row>
    <row r="45497" spans="8:8">
      <c r="H45497" t="s">
        <v>38290</v>
      </c>
    </row>
    <row r="45498" spans="8:8">
      <c r="H45498" t="s">
        <v>38291</v>
      </c>
    </row>
    <row r="45499" spans="8:8">
      <c r="H45499" t="s">
        <v>38292</v>
      </c>
    </row>
    <row r="45500" spans="8:8">
      <c r="H45500" t="s">
        <v>38293</v>
      </c>
    </row>
    <row r="45501" spans="8:8">
      <c r="H45501" t="s">
        <v>38294</v>
      </c>
    </row>
    <row r="45502" spans="8:8">
      <c r="H45502" t="s">
        <v>38295</v>
      </c>
    </row>
    <row r="45503" spans="8:8">
      <c r="H45503" t="s">
        <v>19364</v>
      </c>
    </row>
    <row r="45504" spans="8:8">
      <c r="H45504" t="s">
        <v>38296</v>
      </c>
    </row>
    <row r="45505" spans="1:8">
      <c r="H45505" t="s">
        <v>38297</v>
      </c>
    </row>
    <row r="45506" spans="1:8">
      <c r="H45506" t="s">
        <v>38298</v>
      </c>
    </row>
    <row r="45507" spans="1:8">
      <c r="H45507" t="s">
        <v>29155</v>
      </c>
    </row>
    <row r="45508" spans="1:8">
      <c r="H45508" t="s">
        <v>38299</v>
      </c>
    </row>
    <row r="45509" spans="1:8">
      <c r="H45509" t="s">
        <v>26393</v>
      </c>
    </row>
    <row r="45510" spans="1:8">
      <c r="H45510" t="s">
        <v>26393</v>
      </c>
    </row>
    <row r="45511" spans="1:8">
      <c r="H45511" t="s">
        <v>19814</v>
      </c>
    </row>
    <row r="45512" spans="1:8">
      <c r="A45512" t="s">
        <v>4546</v>
      </c>
      <c r="B45512">
        <f>HYPERLINK("https://android.googlesource.com/platform/cts/+/c5993a09d8ece9f95daf348cfe14108e4e90ccb9", "c5993a09d8ece9f95daf348cfe14108e4e90ccb9")</f>
        <v>0</v>
      </c>
      <c r="C45512">
        <f>HYPERLINK("https://android.googlesource.com/platform/cts/+/3a5db353f240b980c1ed11871c9dac0e69899540", "3a5db353f240b980c1ed11871c9dac0e69899540")</f>
        <v>0</v>
      </c>
      <c r="D45512" t="s">
        <v>5564</v>
      </c>
      <c r="E45512" t="s">
        <v>10207</v>
      </c>
      <c r="F45512" t="s">
        <v>14771</v>
      </c>
      <c r="G45512" t="s">
        <v>17076</v>
      </c>
      <c r="H45512" t="s">
        <v>19034</v>
      </c>
    </row>
    <row r="45513" spans="1:8">
      <c r="H45513" t="s">
        <v>38300</v>
      </c>
    </row>
    <row r="45514" spans="1:8">
      <c r="H45514" t="s">
        <v>38301</v>
      </c>
    </row>
    <row r="45515" spans="1:8">
      <c r="H45515" t="s">
        <v>38302</v>
      </c>
    </row>
    <row r="45516" spans="1:8">
      <c r="H45516" t="s">
        <v>38303</v>
      </c>
    </row>
    <row r="45517" spans="1:8">
      <c r="A45517" t="s">
        <v>4547</v>
      </c>
      <c r="B45517">
        <f>HYPERLINK("https://android.googlesource.com/platform/cts/+/d04911e7737437b0dcbf7535b7f287e38d2b599c", "d04911e7737437b0dcbf7535b7f287e38d2b599c")</f>
        <v>0</v>
      </c>
      <c r="C45517">
        <f>HYPERLINK("https://android.googlesource.com/platform/cts/+/3a5db353f240b980c1ed11871c9dac0e69899540", "3a5db353f240b980c1ed11871c9dac0e69899540")</f>
        <v>0</v>
      </c>
      <c r="D45517" t="s">
        <v>5564</v>
      </c>
      <c r="E45517" t="s">
        <v>10208</v>
      </c>
      <c r="F45517" t="s">
        <v>14772</v>
      </c>
      <c r="G45517" t="s">
        <v>16419</v>
      </c>
      <c r="H45517" t="s">
        <v>38304</v>
      </c>
    </row>
    <row r="45518" spans="1:8">
      <c r="H45518" t="s">
        <v>38305</v>
      </c>
    </row>
    <row r="45519" spans="1:8">
      <c r="H45519" t="s">
        <v>38306</v>
      </c>
    </row>
    <row r="45520" spans="1:8">
      <c r="H45520" t="s">
        <v>38307</v>
      </c>
    </row>
    <row r="45521" spans="8:8">
      <c r="H45521" t="s">
        <v>38308</v>
      </c>
    </row>
    <row r="45522" spans="8:8">
      <c r="H45522" t="s">
        <v>38309</v>
      </c>
    </row>
    <row r="45523" spans="8:8">
      <c r="H45523" t="s">
        <v>38310</v>
      </c>
    </row>
    <row r="45524" spans="8:8">
      <c r="H45524" t="s">
        <v>38311</v>
      </c>
    </row>
    <row r="45525" spans="8:8">
      <c r="H45525" t="s">
        <v>38312</v>
      </c>
    </row>
    <row r="45526" spans="8:8">
      <c r="H45526" t="s">
        <v>38313</v>
      </c>
    </row>
    <row r="45527" spans="8:8">
      <c r="H45527" t="s">
        <v>38314</v>
      </c>
    </row>
    <row r="45528" spans="8:8">
      <c r="H45528" t="s">
        <v>38315</v>
      </c>
    </row>
    <row r="45529" spans="8:8">
      <c r="H45529" t="s">
        <v>38316</v>
      </c>
    </row>
    <row r="45530" spans="8:8">
      <c r="H45530" t="s">
        <v>38317</v>
      </c>
    </row>
    <row r="45531" spans="8:8">
      <c r="H45531" t="s">
        <v>38318</v>
      </c>
    </row>
    <row r="45532" spans="8:8">
      <c r="H45532" t="s">
        <v>28847</v>
      </c>
    </row>
    <row r="45533" spans="8:8">
      <c r="H45533" t="s">
        <v>38319</v>
      </c>
    </row>
    <row r="45534" spans="8:8">
      <c r="H45534" t="s">
        <v>38320</v>
      </c>
    </row>
    <row r="45535" spans="8:8">
      <c r="H45535" t="s">
        <v>38321</v>
      </c>
    </row>
    <row r="45536" spans="8:8">
      <c r="H45536" t="s">
        <v>28848</v>
      </c>
    </row>
    <row r="45537" spans="1:8">
      <c r="H45537" t="s">
        <v>38322</v>
      </c>
    </row>
    <row r="45538" spans="1:8">
      <c r="H45538" t="s">
        <v>38323</v>
      </c>
    </row>
    <row r="45539" spans="1:8">
      <c r="H45539" t="s">
        <v>38324</v>
      </c>
    </row>
    <row r="45540" spans="1:8">
      <c r="H45540" t="s">
        <v>28849</v>
      </c>
    </row>
    <row r="45541" spans="1:8">
      <c r="H45541" t="s">
        <v>38325</v>
      </c>
    </row>
    <row r="45542" spans="1:8">
      <c r="H45542" t="s">
        <v>38326</v>
      </c>
    </row>
    <row r="45543" spans="1:8">
      <c r="H45543" t="s">
        <v>38327</v>
      </c>
    </row>
    <row r="45544" spans="1:8">
      <c r="H45544" t="s">
        <v>28850</v>
      </c>
    </row>
    <row r="45545" spans="1:8">
      <c r="H45545" t="s">
        <v>38328</v>
      </c>
    </row>
    <row r="45546" spans="1:8">
      <c r="A45546" t="s">
        <v>4548</v>
      </c>
      <c r="B45546">
        <f>HYPERLINK("https://android.googlesource.com/platform/cts/+/87cd8d2d4ba1c31de4070eaac2c674ed14c3ff9e", "87cd8d2d4ba1c31de4070eaac2c674ed14c3ff9e")</f>
        <v>0</v>
      </c>
      <c r="C45546">
        <f>HYPERLINK("https://android.googlesource.com/platform/cts/+/3a5db353f240b980c1ed11871c9dac0e69899540", "3a5db353f240b980c1ed11871c9dac0e69899540")</f>
        <v>0</v>
      </c>
      <c r="D45546" t="s">
        <v>5564</v>
      </c>
      <c r="E45546" t="s">
        <v>10209</v>
      </c>
      <c r="F45546" t="s">
        <v>14773</v>
      </c>
      <c r="G45546" t="s">
        <v>16648</v>
      </c>
      <c r="H45546" t="s">
        <v>37821</v>
      </c>
    </row>
    <row r="45547" spans="1:8">
      <c r="H45547" t="s">
        <v>37822</v>
      </c>
    </row>
    <row r="45548" spans="1:8">
      <c r="H45548" t="s">
        <v>37823</v>
      </c>
    </row>
    <row r="45549" spans="1:8">
      <c r="H45549" t="s">
        <v>37824</v>
      </c>
    </row>
    <row r="45550" spans="1:8">
      <c r="H45550" t="s">
        <v>37825</v>
      </c>
    </row>
    <row r="45551" spans="1:8">
      <c r="H45551" t="s">
        <v>37826</v>
      </c>
    </row>
    <row r="45552" spans="1:8">
      <c r="H45552" t="s">
        <v>37827</v>
      </c>
    </row>
    <row r="45553" spans="8:8">
      <c r="H45553" t="s">
        <v>37828</v>
      </c>
    </row>
    <row r="45554" spans="8:8">
      <c r="H45554" t="s">
        <v>37829</v>
      </c>
    </row>
    <row r="45555" spans="8:8">
      <c r="H45555" t="s">
        <v>37830</v>
      </c>
    </row>
    <row r="45556" spans="8:8">
      <c r="H45556" t="s">
        <v>37831</v>
      </c>
    </row>
    <row r="45557" spans="8:8">
      <c r="H45557" t="s">
        <v>37832</v>
      </c>
    </row>
    <row r="45558" spans="8:8">
      <c r="H45558" t="s">
        <v>37819</v>
      </c>
    </row>
    <row r="45559" spans="8:8">
      <c r="H45559" t="s">
        <v>37820</v>
      </c>
    </row>
    <row r="45560" spans="8:8">
      <c r="H45560" t="s">
        <v>38329</v>
      </c>
    </row>
    <row r="45561" spans="8:8">
      <c r="H45561" t="s">
        <v>38330</v>
      </c>
    </row>
    <row r="45562" spans="8:8">
      <c r="H45562" t="s">
        <v>38331</v>
      </c>
    </row>
    <row r="45563" spans="8:8">
      <c r="H45563" t="s">
        <v>38332</v>
      </c>
    </row>
    <row r="45564" spans="8:8">
      <c r="H45564" t="s">
        <v>38333</v>
      </c>
    </row>
    <row r="45565" spans="8:8">
      <c r="H45565" t="s">
        <v>38334</v>
      </c>
    </row>
    <row r="45566" spans="8:8">
      <c r="H45566" t="s">
        <v>38335</v>
      </c>
    </row>
    <row r="45567" spans="8:8">
      <c r="H45567" t="s">
        <v>38336</v>
      </c>
    </row>
    <row r="45568" spans="8:8">
      <c r="H45568" t="s">
        <v>38337</v>
      </c>
    </row>
    <row r="45569" spans="8:8">
      <c r="H45569" t="s">
        <v>38338</v>
      </c>
    </row>
    <row r="45570" spans="8:8">
      <c r="H45570" t="s">
        <v>38339</v>
      </c>
    </row>
    <row r="45571" spans="8:8">
      <c r="H45571" t="s">
        <v>38340</v>
      </c>
    </row>
    <row r="45572" spans="8:8">
      <c r="H45572" t="s">
        <v>38341</v>
      </c>
    </row>
    <row r="45573" spans="8:8">
      <c r="H45573" t="s">
        <v>38342</v>
      </c>
    </row>
    <row r="45574" spans="8:8">
      <c r="H45574" t="s">
        <v>38343</v>
      </c>
    </row>
    <row r="45575" spans="8:8">
      <c r="H45575" t="s">
        <v>38344</v>
      </c>
    </row>
    <row r="45576" spans="8:8">
      <c r="H45576" t="s">
        <v>38345</v>
      </c>
    </row>
    <row r="45577" spans="8:8">
      <c r="H45577" t="s">
        <v>38346</v>
      </c>
    </row>
    <row r="45578" spans="8:8">
      <c r="H45578" t="s">
        <v>38347</v>
      </c>
    </row>
    <row r="45579" spans="8:8">
      <c r="H45579" t="s">
        <v>38348</v>
      </c>
    </row>
    <row r="45580" spans="8:8">
      <c r="H45580" t="s">
        <v>38349</v>
      </c>
    </row>
    <row r="45581" spans="8:8">
      <c r="H45581" t="s">
        <v>38350</v>
      </c>
    </row>
    <row r="45582" spans="8:8">
      <c r="H45582" t="s">
        <v>38351</v>
      </c>
    </row>
    <row r="45583" spans="8:8">
      <c r="H45583" t="s">
        <v>38352</v>
      </c>
    </row>
    <row r="45584" spans="8:8">
      <c r="H45584" t="s">
        <v>38353</v>
      </c>
    </row>
    <row r="45585" spans="8:8">
      <c r="H45585" t="s">
        <v>38354</v>
      </c>
    </row>
    <row r="45586" spans="8:8">
      <c r="H45586" t="s">
        <v>38355</v>
      </c>
    </row>
    <row r="45587" spans="8:8">
      <c r="H45587" t="s">
        <v>38356</v>
      </c>
    </row>
    <row r="45588" spans="8:8">
      <c r="H45588" t="s">
        <v>38357</v>
      </c>
    </row>
    <row r="45589" spans="8:8">
      <c r="H45589" t="s">
        <v>38358</v>
      </c>
    </row>
    <row r="45590" spans="8:8">
      <c r="H45590" t="s">
        <v>38359</v>
      </c>
    </row>
    <row r="45591" spans="8:8">
      <c r="H45591" t="s">
        <v>38360</v>
      </c>
    </row>
    <row r="45592" spans="8:8">
      <c r="H45592" t="s">
        <v>38361</v>
      </c>
    </row>
    <row r="45593" spans="8:8">
      <c r="H45593" t="s">
        <v>38362</v>
      </c>
    </row>
    <row r="45594" spans="8:8">
      <c r="H45594" t="s">
        <v>38363</v>
      </c>
    </row>
    <row r="45595" spans="8:8">
      <c r="H45595" t="s">
        <v>38364</v>
      </c>
    </row>
    <row r="45596" spans="8:8">
      <c r="H45596" t="s">
        <v>38365</v>
      </c>
    </row>
    <row r="45597" spans="8:8">
      <c r="H45597" t="s">
        <v>38366</v>
      </c>
    </row>
    <row r="45598" spans="8:8">
      <c r="H45598" t="s">
        <v>38367</v>
      </c>
    </row>
    <row r="45599" spans="8:8">
      <c r="H45599" t="s">
        <v>38368</v>
      </c>
    </row>
    <row r="45600" spans="8:8">
      <c r="H45600" t="s">
        <v>38369</v>
      </c>
    </row>
    <row r="45601" spans="8:8">
      <c r="H45601" t="s">
        <v>38370</v>
      </c>
    </row>
    <row r="45602" spans="8:8">
      <c r="H45602" t="s">
        <v>38371</v>
      </c>
    </row>
    <row r="45603" spans="8:8">
      <c r="H45603" t="s">
        <v>38372</v>
      </c>
    </row>
    <row r="45604" spans="8:8">
      <c r="H45604" t="s">
        <v>38373</v>
      </c>
    </row>
    <row r="45605" spans="8:8">
      <c r="H45605" t="s">
        <v>38374</v>
      </c>
    </row>
    <row r="45606" spans="8:8">
      <c r="H45606" t="s">
        <v>38375</v>
      </c>
    </row>
    <row r="45607" spans="8:8">
      <c r="H45607" t="s">
        <v>38376</v>
      </c>
    </row>
    <row r="45608" spans="8:8">
      <c r="H45608" t="s">
        <v>38377</v>
      </c>
    </row>
    <row r="45609" spans="8:8">
      <c r="H45609" t="s">
        <v>38378</v>
      </c>
    </row>
    <row r="45610" spans="8:8">
      <c r="H45610" t="s">
        <v>38379</v>
      </c>
    </row>
    <row r="45611" spans="8:8">
      <c r="H45611" t="s">
        <v>38380</v>
      </c>
    </row>
    <row r="45612" spans="8:8">
      <c r="H45612" t="s">
        <v>38381</v>
      </c>
    </row>
    <row r="45613" spans="8:8">
      <c r="H45613" t="s">
        <v>38382</v>
      </c>
    </row>
    <row r="45614" spans="8:8">
      <c r="H45614" t="s">
        <v>38383</v>
      </c>
    </row>
    <row r="45615" spans="8:8">
      <c r="H45615" t="s">
        <v>38384</v>
      </c>
    </row>
    <row r="45616" spans="8:8">
      <c r="H45616" t="s">
        <v>38385</v>
      </c>
    </row>
    <row r="45617" spans="8:8">
      <c r="H45617" t="s">
        <v>38386</v>
      </c>
    </row>
    <row r="45618" spans="8:8">
      <c r="H45618" t="s">
        <v>38387</v>
      </c>
    </row>
    <row r="45619" spans="8:8">
      <c r="H45619" t="s">
        <v>38388</v>
      </c>
    </row>
    <row r="45620" spans="8:8">
      <c r="H45620" t="s">
        <v>38389</v>
      </c>
    </row>
    <row r="45621" spans="8:8">
      <c r="H45621" t="s">
        <v>38390</v>
      </c>
    </row>
    <row r="45622" spans="8:8">
      <c r="H45622" t="s">
        <v>38391</v>
      </c>
    </row>
    <row r="45623" spans="8:8">
      <c r="H45623" t="s">
        <v>38392</v>
      </c>
    </row>
    <row r="45624" spans="8:8">
      <c r="H45624" t="s">
        <v>38393</v>
      </c>
    </row>
    <row r="45625" spans="8:8">
      <c r="H45625" t="s">
        <v>38394</v>
      </c>
    </row>
    <row r="45626" spans="8:8">
      <c r="H45626" t="s">
        <v>38395</v>
      </c>
    </row>
    <row r="45627" spans="8:8">
      <c r="H45627" t="s">
        <v>38396</v>
      </c>
    </row>
    <row r="45628" spans="8:8">
      <c r="H45628" t="s">
        <v>38397</v>
      </c>
    </row>
    <row r="45629" spans="8:8">
      <c r="H45629" t="s">
        <v>38398</v>
      </c>
    </row>
    <row r="45630" spans="8:8">
      <c r="H45630" t="s">
        <v>38399</v>
      </c>
    </row>
    <row r="45631" spans="8:8">
      <c r="H45631" t="s">
        <v>38400</v>
      </c>
    </row>
    <row r="45632" spans="8:8">
      <c r="H45632" t="s">
        <v>38401</v>
      </c>
    </row>
    <row r="45633" spans="8:8">
      <c r="H45633" t="s">
        <v>38402</v>
      </c>
    </row>
    <row r="45634" spans="8:8">
      <c r="H45634" t="s">
        <v>38403</v>
      </c>
    </row>
    <row r="45635" spans="8:8">
      <c r="H45635" t="s">
        <v>38404</v>
      </c>
    </row>
    <row r="45636" spans="8:8">
      <c r="H45636" t="s">
        <v>38405</v>
      </c>
    </row>
    <row r="45637" spans="8:8">
      <c r="H45637" t="s">
        <v>38406</v>
      </c>
    </row>
    <row r="45638" spans="8:8">
      <c r="H45638" t="s">
        <v>38407</v>
      </c>
    </row>
    <row r="45639" spans="8:8">
      <c r="H45639" t="s">
        <v>38408</v>
      </c>
    </row>
    <row r="45640" spans="8:8">
      <c r="H45640" t="s">
        <v>38409</v>
      </c>
    </row>
    <row r="45641" spans="8:8">
      <c r="H45641" t="s">
        <v>38410</v>
      </c>
    </row>
    <row r="45642" spans="8:8">
      <c r="H45642" t="s">
        <v>38411</v>
      </c>
    </row>
    <row r="45643" spans="8:8">
      <c r="H45643" t="s">
        <v>38412</v>
      </c>
    </row>
    <row r="45644" spans="8:8">
      <c r="H45644" t="s">
        <v>38413</v>
      </c>
    </row>
    <row r="45645" spans="8:8">
      <c r="H45645" t="s">
        <v>38414</v>
      </c>
    </row>
    <row r="45646" spans="8:8">
      <c r="H45646" t="s">
        <v>38415</v>
      </c>
    </row>
    <row r="45647" spans="8:8">
      <c r="H45647" t="s">
        <v>38416</v>
      </c>
    </row>
    <row r="45648" spans="8:8">
      <c r="H45648" t="s">
        <v>38417</v>
      </c>
    </row>
    <row r="45649" spans="8:8">
      <c r="H45649" t="s">
        <v>38418</v>
      </c>
    </row>
    <row r="45650" spans="8:8">
      <c r="H45650" t="s">
        <v>38419</v>
      </c>
    </row>
    <row r="45651" spans="8:8">
      <c r="H45651" t="s">
        <v>38420</v>
      </c>
    </row>
    <row r="45652" spans="8:8">
      <c r="H45652" t="s">
        <v>38421</v>
      </c>
    </row>
    <row r="45653" spans="8:8">
      <c r="H45653" t="s">
        <v>38422</v>
      </c>
    </row>
    <row r="45654" spans="8:8">
      <c r="H45654" t="s">
        <v>38423</v>
      </c>
    </row>
    <row r="45655" spans="8:8">
      <c r="H45655" t="s">
        <v>38424</v>
      </c>
    </row>
    <row r="45656" spans="8:8">
      <c r="H45656" t="s">
        <v>38425</v>
      </c>
    </row>
    <row r="45657" spans="8:8">
      <c r="H45657" t="s">
        <v>38426</v>
      </c>
    </row>
    <row r="45658" spans="8:8">
      <c r="H45658" t="s">
        <v>38427</v>
      </c>
    </row>
    <row r="45659" spans="8:8">
      <c r="H45659" t="s">
        <v>38428</v>
      </c>
    </row>
    <row r="45660" spans="8:8">
      <c r="H45660" t="s">
        <v>38429</v>
      </c>
    </row>
    <row r="45661" spans="8:8">
      <c r="H45661" t="s">
        <v>38430</v>
      </c>
    </row>
    <row r="45662" spans="8:8">
      <c r="H45662" t="s">
        <v>38431</v>
      </c>
    </row>
    <row r="45663" spans="8:8">
      <c r="H45663" t="s">
        <v>38432</v>
      </c>
    </row>
    <row r="45664" spans="8:8">
      <c r="H45664" t="s">
        <v>38433</v>
      </c>
    </row>
    <row r="45665" spans="8:8">
      <c r="H45665" t="s">
        <v>38434</v>
      </c>
    </row>
    <row r="45666" spans="8:8">
      <c r="H45666" t="s">
        <v>38435</v>
      </c>
    </row>
    <row r="45667" spans="8:8">
      <c r="H45667" t="s">
        <v>38436</v>
      </c>
    </row>
    <row r="45668" spans="8:8">
      <c r="H45668" t="s">
        <v>38437</v>
      </c>
    </row>
    <row r="45669" spans="8:8">
      <c r="H45669" t="s">
        <v>38438</v>
      </c>
    </row>
    <row r="45670" spans="8:8">
      <c r="H45670" t="s">
        <v>38439</v>
      </c>
    </row>
    <row r="45671" spans="8:8">
      <c r="H45671" t="s">
        <v>38440</v>
      </c>
    </row>
    <row r="45672" spans="8:8">
      <c r="H45672" t="s">
        <v>38441</v>
      </c>
    </row>
    <row r="45673" spans="8:8">
      <c r="H45673" t="s">
        <v>38442</v>
      </c>
    </row>
    <row r="45674" spans="8:8">
      <c r="H45674" t="s">
        <v>38443</v>
      </c>
    </row>
    <row r="45675" spans="8:8">
      <c r="H45675" t="s">
        <v>38444</v>
      </c>
    </row>
    <row r="45676" spans="8:8">
      <c r="H45676" t="s">
        <v>38445</v>
      </c>
    </row>
    <row r="45677" spans="8:8">
      <c r="H45677" t="s">
        <v>38446</v>
      </c>
    </row>
    <row r="45678" spans="8:8">
      <c r="H45678" t="s">
        <v>38447</v>
      </c>
    </row>
    <row r="45679" spans="8:8">
      <c r="H45679" t="s">
        <v>38448</v>
      </c>
    </row>
    <row r="45680" spans="8:8">
      <c r="H45680" t="s">
        <v>38449</v>
      </c>
    </row>
    <row r="45681" spans="8:8">
      <c r="H45681" t="s">
        <v>38450</v>
      </c>
    </row>
    <row r="45682" spans="8:8">
      <c r="H45682" t="s">
        <v>38451</v>
      </c>
    </row>
    <row r="45683" spans="8:8">
      <c r="H45683" t="s">
        <v>38452</v>
      </c>
    </row>
    <row r="45684" spans="8:8">
      <c r="H45684" t="s">
        <v>38453</v>
      </c>
    </row>
    <row r="45685" spans="8:8">
      <c r="H45685" t="s">
        <v>38454</v>
      </c>
    </row>
    <row r="45686" spans="8:8">
      <c r="H45686" t="s">
        <v>38455</v>
      </c>
    </row>
    <row r="45687" spans="8:8">
      <c r="H45687" t="s">
        <v>38456</v>
      </c>
    </row>
    <row r="45688" spans="8:8">
      <c r="H45688" t="s">
        <v>38457</v>
      </c>
    </row>
    <row r="45689" spans="8:8">
      <c r="H45689" t="s">
        <v>38458</v>
      </c>
    </row>
    <row r="45690" spans="8:8">
      <c r="H45690" t="s">
        <v>38459</v>
      </c>
    </row>
    <row r="45691" spans="8:8">
      <c r="H45691" t="s">
        <v>38460</v>
      </c>
    </row>
    <row r="45692" spans="8:8">
      <c r="H45692" t="s">
        <v>38461</v>
      </c>
    </row>
    <row r="45693" spans="8:8">
      <c r="H45693" t="s">
        <v>38462</v>
      </c>
    </row>
    <row r="45694" spans="8:8">
      <c r="H45694" t="s">
        <v>38463</v>
      </c>
    </row>
    <row r="45695" spans="8:8">
      <c r="H45695" t="s">
        <v>38464</v>
      </c>
    </row>
    <row r="45696" spans="8:8">
      <c r="H45696" t="s">
        <v>38465</v>
      </c>
    </row>
    <row r="45697" spans="8:8">
      <c r="H45697" t="s">
        <v>38466</v>
      </c>
    </row>
    <row r="45698" spans="8:8">
      <c r="H45698" t="s">
        <v>38467</v>
      </c>
    </row>
    <row r="45699" spans="8:8">
      <c r="H45699" t="s">
        <v>38468</v>
      </c>
    </row>
    <row r="45700" spans="8:8">
      <c r="H45700" t="s">
        <v>38469</v>
      </c>
    </row>
    <row r="45701" spans="8:8">
      <c r="H45701" t="s">
        <v>38470</v>
      </c>
    </row>
    <row r="45702" spans="8:8">
      <c r="H45702" t="s">
        <v>38471</v>
      </c>
    </row>
    <row r="45703" spans="8:8">
      <c r="H45703" t="s">
        <v>38472</v>
      </c>
    </row>
    <row r="45704" spans="8:8">
      <c r="H45704" t="s">
        <v>38473</v>
      </c>
    </row>
    <row r="45705" spans="8:8">
      <c r="H45705" t="s">
        <v>38474</v>
      </c>
    </row>
    <row r="45706" spans="8:8">
      <c r="H45706" t="s">
        <v>38475</v>
      </c>
    </row>
    <row r="45707" spans="8:8">
      <c r="H45707" t="s">
        <v>38476</v>
      </c>
    </row>
    <row r="45708" spans="8:8">
      <c r="H45708" t="s">
        <v>38477</v>
      </c>
    </row>
    <row r="45709" spans="8:8">
      <c r="H45709" t="s">
        <v>38478</v>
      </c>
    </row>
    <row r="45710" spans="8:8">
      <c r="H45710" t="s">
        <v>38479</v>
      </c>
    </row>
    <row r="45711" spans="8:8">
      <c r="H45711" t="s">
        <v>38480</v>
      </c>
    </row>
    <row r="45712" spans="8:8">
      <c r="H45712" t="s">
        <v>38481</v>
      </c>
    </row>
    <row r="45713" spans="8:8">
      <c r="H45713" t="s">
        <v>38482</v>
      </c>
    </row>
    <row r="45714" spans="8:8">
      <c r="H45714" t="s">
        <v>38483</v>
      </c>
    </row>
    <row r="45715" spans="8:8">
      <c r="H45715" t="s">
        <v>38484</v>
      </c>
    </row>
    <row r="45716" spans="8:8">
      <c r="H45716" t="s">
        <v>38485</v>
      </c>
    </row>
    <row r="45717" spans="8:8">
      <c r="H45717" t="s">
        <v>38486</v>
      </c>
    </row>
    <row r="45718" spans="8:8">
      <c r="H45718" t="s">
        <v>38487</v>
      </c>
    </row>
    <row r="45719" spans="8:8">
      <c r="H45719" t="s">
        <v>38488</v>
      </c>
    </row>
    <row r="45720" spans="8:8">
      <c r="H45720" t="s">
        <v>38489</v>
      </c>
    </row>
    <row r="45721" spans="8:8">
      <c r="H45721" t="s">
        <v>38490</v>
      </c>
    </row>
    <row r="45722" spans="8:8">
      <c r="H45722" t="s">
        <v>38491</v>
      </c>
    </row>
    <row r="45723" spans="8:8">
      <c r="H45723" t="s">
        <v>38492</v>
      </c>
    </row>
    <row r="45724" spans="8:8">
      <c r="H45724" t="s">
        <v>38493</v>
      </c>
    </row>
    <row r="45725" spans="8:8">
      <c r="H45725" t="s">
        <v>38494</v>
      </c>
    </row>
    <row r="45726" spans="8:8">
      <c r="H45726" t="s">
        <v>38495</v>
      </c>
    </row>
    <row r="45727" spans="8:8">
      <c r="H45727" t="s">
        <v>38496</v>
      </c>
    </row>
    <row r="45728" spans="8:8">
      <c r="H45728" t="s">
        <v>38497</v>
      </c>
    </row>
    <row r="45729" spans="8:8">
      <c r="H45729" t="s">
        <v>38498</v>
      </c>
    </row>
    <row r="45730" spans="8:8">
      <c r="H45730" t="s">
        <v>38499</v>
      </c>
    </row>
    <row r="45731" spans="8:8">
      <c r="H45731" t="s">
        <v>38500</v>
      </c>
    </row>
    <row r="45732" spans="8:8">
      <c r="H45732" t="s">
        <v>38501</v>
      </c>
    </row>
    <row r="45733" spans="8:8">
      <c r="H45733" t="s">
        <v>38502</v>
      </c>
    </row>
    <row r="45734" spans="8:8">
      <c r="H45734" t="s">
        <v>38503</v>
      </c>
    </row>
    <row r="45735" spans="8:8">
      <c r="H45735" t="s">
        <v>38504</v>
      </c>
    </row>
    <row r="45736" spans="8:8">
      <c r="H45736" t="s">
        <v>38505</v>
      </c>
    </row>
    <row r="45737" spans="8:8">
      <c r="H45737" t="s">
        <v>38506</v>
      </c>
    </row>
    <row r="45738" spans="8:8">
      <c r="H45738" t="s">
        <v>38507</v>
      </c>
    </row>
    <row r="45739" spans="8:8">
      <c r="H45739" t="s">
        <v>38508</v>
      </c>
    </row>
    <row r="45740" spans="8:8">
      <c r="H45740" t="s">
        <v>38509</v>
      </c>
    </row>
    <row r="45741" spans="8:8">
      <c r="H45741" t="s">
        <v>38510</v>
      </c>
    </row>
    <row r="45742" spans="8:8">
      <c r="H45742" t="s">
        <v>38511</v>
      </c>
    </row>
    <row r="45743" spans="8:8">
      <c r="H45743" t="s">
        <v>38512</v>
      </c>
    </row>
    <row r="45744" spans="8:8">
      <c r="H45744" t="s">
        <v>38513</v>
      </c>
    </row>
    <row r="45745" spans="8:8">
      <c r="H45745" t="s">
        <v>38514</v>
      </c>
    </row>
    <row r="45746" spans="8:8">
      <c r="H45746" t="s">
        <v>38515</v>
      </c>
    </row>
    <row r="45747" spans="8:8">
      <c r="H45747" t="s">
        <v>38516</v>
      </c>
    </row>
    <row r="45748" spans="8:8">
      <c r="H45748" t="s">
        <v>38517</v>
      </c>
    </row>
    <row r="45749" spans="8:8">
      <c r="H45749" t="s">
        <v>38518</v>
      </c>
    </row>
    <row r="45750" spans="8:8">
      <c r="H45750" t="s">
        <v>38519</v>
      </c>
    </row>
    <row r="45751" spans="8:8">
      <c r="H45751" t="s">
        <v>38520</v>
      </c>
    </row>
    <row r="45752" spans="8:8">
      <c r="H45752" t="s">
        <v>38521</v>
      </c>
    </row>
    <row r="45753" spans="8:8">
      <c r="H45753" t="s">
        <v>38522</v>
      </c>
    </row>
    <row r="45754" spans="8:8">
      <c r="H45754" t="s">
        <v>38523</v>
      </c>
    </row>
    <row r="45755" spans="8:8">
      <c r="H45755" t="s">
        <v>38524</v>
      </c>
    </row>
    <row r="45756" spans="8:8">
      <c r="H45756" t="s">
        <v>38525</v>
      </c>
    </row>
    <row r="45757" spans="8:8">
      <c r="H45757" t="s">
        <v>38526</v>
      </c>
    </row>
    <row r="45758" spans="8:8">
      <c r="H45758" t="s">
        <v>38527</v>
      </c>
    </row>
    <row r="45759" spans="8:8">
      <c r="H45759" t="s">
        <v>38528</v>
      </c>
    </row>
    <row r="45760" spans="8:8">
      <c r="H45760" t="s">
        <v>38529</v>
      </c>
    </row>
    <row r="45761" spans="8:8">
      <c r="H45761" t="s">
        <v>38530</v>
      </c>
    </row>
    <row r="45762" spans="8:8">
      <c r="H45762" t="s">
        <v>38531</v>
      </c>
    </row>
    <row r="45763" spans="8:8">
      <c r="H45763" t="s">
        <v>38532</v>
      </c>
    </row>
    <row r="45764" spans="8:8">
      <c r="H45764" t="s">
        <v>38533</v>
      </c>
    </row>
    <row r="45765" spans="8:8">
      <c r="H45765" t="s">
        <v>38534</v>
      </c>
    </row>
    <row r="45766" spans="8:8">
      <c r="H45766" t="s">
        <v>38535</v>
      </c>
    </row>
    <row r="45767" spans="8:8">
      <c r="H45767" t="s">
        <v>38536</v>
      </c>
    </row>
    <row r="45768" spans="8:8">
      <c r="H45768" t="s">
        <v>38537</v>
      </c>
    </row>
    <row r="45769" spans="8:8">
      <c r="H45769" t="s">
        <v>38538</v>
      </c>
    </row>
    <row r="45770" spans="8:8">
      <c r="H45770" t="s">
        <v>38539</v>
      </c>
    </row>
    <row r="45771" spans="8:8">
      <c r="H45771" t="s">
        <v>38540</v>
      </c>
    </row>
    <row r="45772" spans="8:8">
      <c r="H45772" t="s">
        <v>38541</v>
      </c>
    </row>
    <row r="45773" spans="8:8">
      <c r="H45773" t="s">
        <v>38542</v>
      </c>
    </row>
    <row r="45774" spans="8:8">
      <c r="H45774" t="s">
        <v>38543</v>
      </c>
    </row>
    <row r="45775" spans="8:8">
      <c r="H45775" t="s">
        <v>38544</v>
      </c>
    </row>
    <row r="45776" spans="8:8">
      <c r="H45776" t="s">
        <v>38545</v>
      </c>
    </row>
    <row r="45777" spans="8:8">
      <c r="H45777" t="s">
        <v>38546</v>
      </c>
    </row>
    <row r="45778" spans="8:8">
      <c r="H45778" t="s">
        <v>38547</v>
      </c>
    </row>
    <row r="45779" spans="8:8">
      <c r="H45779" t="s">
        <v>38548</v>
      </c>
    </row>
    <row r="45780" spans="8:8">
      <c r="H45780" t="s">
        <v>38549</v>
      </c>
    </row>
    <row r="45781" spans="8:8">
      <c r="H45781" t="s">
        <v>38550</v>
      </c>
    </row>
    <row r="45782" spans="8:8">
      <c r="H45782" t="s">
        <v>38551</v>
      </c>
    </row>
    <row r="45783" spans="8:8">
      <c r="H45783" t="s">
        <v>38552</v>
      </c>
    </row>
    <row r="45784" spans="8:8">
      <c r="H45784" t="s">
        <v>38553</v>
      </c>
    </row>
    <row r="45785" spans="8:8">
      <c r="H45785" t="s">
        <v>38554</v>
      </c>
    </row>
    <row r="45786" spans="8:8">
      <c r="H45786" t="s">
        <v>38555</v>
      </c>
    </row>
    <row r="45787" spans="8:8">
      <c r="H45787" t="s">
        <v>38556</v>
      </c>
    </row>
    <row r="45788" spans="8:8">
      <c r="H45788" t="s">
        <v>38557</v>
      </c>
    </row>
    <row r="45789" spans="8:8">
      <c r="H45789" t="s">
        <v>38558</v>
      </c>
    </row>
    <row r="45790" spans="8:8">
      <c r="H45790" t="s">
        <v>38559</v>
      </c>
    </row>
    <row r="45791" spans="8:8">
      <c r="H45791" t="s">
        <v>38560</v>
      </c>
    </row>
    <row r="45792" spans="8:8">
      <c r="H45792" t="s">
        <v>38561</v>
      </c>
    </row>
    <row r="45793" spans="8:8">
      <c r="H45793" t="s">
        <v>38562</v>
      </c>
    </row>
    <row r="45794" spans="8:8">
      <c r="H45794" t="s">
        <v>38563</v>
      </c>
    </row>
    <row r="45795" spans="8:8">
      <c r="H45795" t="s">
        <v>38564</v>
      </c>
    </row>
    <row r="45796" spans="8:8">
      <c r="H45796" t="s">
        <v>38565</v>
      </c>
    </row>
    <row r="45797" spans="8:8">
      <c r="H45797" t="s">
        <v>38566</v>
      </c>
    </row>
    <row r="45798" spans="8:8">
      <c r="H45798" t="s">
        <v>38567</v>
      </c>
    </row>
    <row r="45799" spans="8:8">
      <c r="H45799" t="s">
        <v>38568</v>
      </c>
    </row>
    <row r="45800" spans="8:8">
      <c r="H45800" t="s">
        <v>38569</v>
      </c>
    </row>
    <row r="45801" spans="8:8">
      <c r="H45801" t="s">
        <v>38570</v>
      </c>
    </row>
    <row r="45802" spans="8:8">
      <c r="H45802" t="s">
        <v>38571</v>
      </c>
    </row>
    <row r="45803" spans="8:8">
      <c r="H45803" t="s">
        <v>38572</v>
      </c>
    </row>
    <row r="45804" spans="8:8">
      <c r="H45804" t="s">
        <v>38573</v>
      </c>
    </row>
    <row r="45805" spans="8:8">
      <c r="H45805" t="s">
        <v>38574</v>
      </c>
    </row>
    <row r="45806" spans="8:8">
      <c r="H45806" t="s">
        <v>38575</v>
      </c>
    </row>
    <row r="45807" spans="8:8">
      <c r="H45807" t="s">
        <v>38576</v>
      </c>
    </row>
    <row r="45808" spans="8:8">
      <c r="H45808" t="s">
        <v>38577</v>
      </c>
    </row>
    <row r="45809" spans="8:8">
      <c r="H45809" t="s">
        <v>38578</v>
      </c>
    </row>
    <row r="45810" spans="8:8">
      <c r="H45810" t="s">
        <v>38579</v>
      </c>
    </row>
    <row r="45811" spans="8:8">
      <c r="H45811" t="s">
        <v>38580</v>
      </c>
    </row>
    <row r="45812" spans="8:8">
      <c r="H45812" t="s">
        <v>38581</v>
      </c>
    </row>
    <row r="45813" spans="8:8">
      <c r="H45813" t="s">
        <v>38582</v>
      </c>
    </row>
    <row r="45814" spans="8:8">
      <c r="H45814" t="s">
        <v>38583</v>
      </c>
    </row>
    <row r="45815" spans="8:8">
      <c r="H45815" t="s">
        <v>38584</v>
      </c>
    </row>
    <row r="45816" spans="8:8">
      <c r="H45816" t="s">
        <v>38585</v>
      </c>
    </row>
    <row r="45817" spans="8:8">
      <c r="H45817" t="s">
        <v>38586</v>
      </c>
    </row>
    <row r="45818" spans="8:8">
      <c r="H45818" t="s">
        <v>38587</v>
      </c>
    </row>
    <row r="45819" spans="8:8">
      <c r="H45819" t="s">
        <v>38588</v>
      </c>
    </row>
    <row r="45820" spans="8:8">
      <c r="H45820" t="s">
        <v>38589</v>
      </c>
    </row>
    <row r="45821" spans="8:8">
      <c r="H45821" t="s">
        <v>38590</v>
      </c>
    </row>
    <row r="45822" spans="8:8">
      <c r="H45822" t="s">
        <v>38591</v>
      </c>
    </row>
    <row r="45823" spans="8:8">
      <c r="H45823" t="s">
        <v>38592</v>
      </c>
    </row>
    <row r="45824" spans="8:8">
      <c r="H45824" t="s">
        <v>38593</v>
      </c>
    </row>
    <row r="45825" spans="8:8">
      <c r="H45825" t="s">
        <v>38594</v>
      </c>
    </row>
    <row r="45826" spans="8:8">
      <c r="H45826" t="s">
        <v>38595</v>
      </c>
    </row>
    <row r="45827" spans="8:8">
      <c r="H45827" t="s">
        <v>38596</v>
      </c>
    </row>
    <row r="45828" spans="8:8">
      <c r="H45828" t="s">
        <v>38597</v>
      </c>
    </row>
    <row r="45829" spans="8:8">
      <c r="H45829" t="s">
        <v>38598</v>
      </c>
    </row>
    <row r="45830" spans="8:8">
      <c r="H45830" t="s">
        <v>38599</v>
      </c>
    </row>
    <row r="45831" spans="8:8">
      <c r="H45831" t="s">
        <v>38600</v>
      </c>
    </row>
    <row r="45832" spans="8:8">
      <c r="H45832" t="s">
        <v>38601</v>
      </c>
    </row>
    <row r="45833" spans="8:8">
      <c r="H45833" t="s">
        <v>38602</v>
      </c>
    </row>
    <row r="45834" spans="8:8">
      <c r="H45834" t="s">
        <v>38603</v>
      </c>
    </row>
    <row r="45835" spans="8:8">
      <c r="H45835" t="s">
        <v>38604</v>
      </c>
    </row>
    <row r="45836" spans="8:8">
      <c r="H45836" t="s">
        <v>38605</v>
      </c>
    </row>
    <row r="45837" spans="8:8">
      <c r="H45837" t="s">
        <v>38606</v>
      </c>
    </row>
    <row r="45838" spans="8:8">
      <c r="H45838" t="s">
        <v>38607</v>
      </c>
    </row>
    <row r="45839" spans="8:8">
      <c r="H45839" t="s">
        <v>38608</v>
      </c>
    </row>
    <row r="45840" spans="8:8">
      <c r="H45840" t="s">
        <v>38609</v>
      </c>
    </row>
    <row r="45841" spans="8:8">
      <c r="H45841" t="s">
        <v>38610</v>
      </c>
    </row>
    <row r="45842" spans="8:8">
      <c r="H45842" t="s">
        <v>38611</v>
      </c>
    </row>
    <row r="45843" spans="8:8">
      <c r="H45843" t="s">
        <v>38612</v>
      </c>
    </row>
    <row r="45844" spans="8:8">
      <c r="H45844" t="s">
        <v>38613</v>
      </c>
    </row>
    <row r="45845" spans="8:8">
      <c r="H45845" t="s">
        <v>38614</v>
      </c>
    </row>
    <row r="45846" spans="8:8">
      <c r="H45846" t="s">
        <v>38615</v>
      </c>
    </row>
    <row r="45847" spans="8:8">
      <c r="H45847" t="s">
        <v>38616</v>
      </c>
    </row>
    <row r="45848" spans="8:8">
      <c r="H45848" t="s">
        <v>38617</v>
      </c>
    </row>
    <row r="45849" spans="8:8">
      <c r="H45849" t="s">
        <v>38618</v>
      </c>
    </row>
    <row r="45850" spans="8:8">
      <c r="H45850" t="s">
        <v>38619</v>
      </c>
    </row>
    <row r="45851" spans="8:8">
      <c r="H45851" t="s">
        <v>38620</v>
      </c>
    </row>
    <row r="45852" spans="8:8">
      <c r="H45852" t="s">
        <v>38621</v>
      </c>
    </row>
    <row r="45853" spans="8:8">
      <c r="H45853" t="s">
        <v>38622</v>
      </c>
    </row>
    <row r="45854" spans="8:8">
      <c r="H45854" t="s">
        <v>38623</v>
      </c>
    </row>
    <row r="45855" spans="8:8">
      <c r="H45855" t="s">
        <v>38624</v>
      </c>
    </row>
    <row r="45856" spans="8:8">
      <c r="H45856" t="s">
        <v>38625</v>
      </c>
    </row>
    <row r="45857" spans="8:8">
      <c r="H45857" t="s">
        <v>38626</v>
      </c>
    </row>
    <row r="45858" spans="8:8">
      <c r="H45858" t="s">
        <v>38627</v>
      </c>
    </row>
    <row r="45859" spans="8:8">
      <c r="H45859" t="s">
        <v>38628</v>
      </c>
    </row>
    <row r="45860" spans="8:8">
      <c r="H45860" t="s">
        <v>38629</v>
      </c>
    </row>
    <row r="45861" spans="8:8">
      <c r="H45861" t="s">
        <v>38630</v>
      </c>
    </row>
    <row r="45862" spans="8:8">
      <c r="H45862" t="s">
        <v>38631</v>
      </c>
    </row>
    <row r="45863" spans="8:8">
      <c r="H45863" t="s">
        <v>38632</v>
      </c>
    </row>
    <row r="45864" spans="8:8">
      <c r="H45864" t="s">
        <v>38633</v>
      </c>
    </row>
    <row r="45865" spans="8:8">
      <c r="H45865" t="s">
        <v>38634</v>
      </c>
    </row>
    <row r="45866" spans="8:8">
      <c r="H45866" t="s">
        <v>38635</v>
      </c>
    </row>
    <row r="45867" spans="8:8">
      <c r="H45867" t="s">
        <v>38636</v>
      </c>
    </row>
    <row r="45868" spans="8:8">
      <c r="H45868" t="s">
        <v>38637</v>
      </c>
    </row>
    <row r="45869" spans="8:8">
      <c r="H45869" t="s">
        <v>38638</v>
      </c>
    </row>
    <row r="45870" spans="8:8">
      <c r="H45870" t="s">
        <v>38639</v>
      </c>
    </row>
    <row r="45871" spans="8:8">
      <c r="H45871" t="s">
        <v>38640</v>
      </c>
    </row>
    <row r="45872" spans="8:8">
      <c r="H45872" t="s">
        <v>38641</v>
      </c>
    </row>
    <row r="45873" spans="8:8">
      <c r="H45873" t="s">
        <v>38642</v>
      </c>
    </row>
    <row r="45874" spans="8:8">
      <c r="H45874" t="s">
        <v>38643</v>
      </c>
    </row>
    <row r="45875" spans="8:8">
      <c r="H45875" t="s">
        <v>38644</v>
      </c>
    </row>
    <row r="45876" spans="8:8">
      <c r="H45876" t="s">
        <v>38645</v>
      </c>
    </row>
    <row r="45877" spans="8:8">
      <c r="H45877" t="s">
        <v>38646</v>
      </c>
    </row>
    <row r="45878" spans="8:8">
      <c r="H45878" t="s">
        <v>38647</v>
      </c>
    </row>
    <row r="45879" spans="8:8">
      <c r="H45879" t="s">
        <v>38648</v>
      </c>
    </row>
    <row r="45880" spans="8:8">
      <c r="H45880" t="s">
        <v>38649</v>
      </c>
    </row>
    <row r="45881" spans="8:8">
      <c r="H45881" t="s">
        <v>38650</v>
      </c>
    </row>
    <row r="45882" spans="8:8">
      <c r="H45882" t="s">
        <v>38651</v>
      </c>
    </row>
    <row r="45883" spans="8:8">
      <c r="H45883" t="s">
        <v>38652</v>
      </c>
    </row>
    <row r="45884" spans="8:8">
      <c r="H45884" t="s">
        <v>38653</v>
      </c>
    </row>
    <row r="45885" spans="8:8">
      <c r="H45885" t="s">
        <v>38654</v>
      </c>
    </row>
    <row r="45886" spans="8:8">
      <c r="H45886" t="s">
        <v>38655</v>
      </c>
    </row>
    <row r="45887" spans="8:8">
      <c r="H45887" t="s">
        <v>38656</v>
      </c>
    </row>
    <row r="45888" spans="8:8">
      <c r="H45888" t="s">
        <v>38657</v>
      </c>
    </row>
    <row r="45889" spans="8:8">
      <c r="H45889" t="s">
        <v>38658</v>
      </c>
    </row>
    <row r="45890" spans="8:8">
      <c r="H45890" t="s">
        <v>38659</v>
      </c>
    </row>
    <row r="45891" spans="8:8">
      <c r="H45891" t="s">
        <v>38660</v>
      </c>
    </row>
    <row r="45892" spans="8:8">
      <c r="H45892" t="s">
        <v>38661</v>
      </c>
    </row>
    <row r="45893" spans="8:8">
      <c r="H45893" t="s">
        <v>38662</v>
      </c>
    </row>
    <row r="45894" spans="8:8">
      <c r="H45894" t="s">
        <v>38663</v>
      </c>
    </row>
    <row r="45895" spans="8:8">
      <c r="H45895" t="s">
        <v>38664</v>
      </c>
    </row>
    <row r="45896" spans="8:8">
      <c r="H45896" t="s">
        <v>38665</v>
      </c>
    </row>
    <row r="45897" spans="8:8">
      <c r="H45897" t="s">
        <v>38666</v>
      </c>
    </row>
    <row r="45898" spans="8:8">
      <c r="H45898" t="s">
        <v>38667</v>
      </c>
    </row>
    <row r="45899" spans="8:8">
      <c r="H45899" t="s">
        <v>38668</v>
      </c>
    </row>
    <row r="45900" spans="8:8">
      <c r="H45900" t="s">
        <v>38669</v>
      </c>
    </row>
    <row r="45901" spans="8:8">
      <c r="H45901" t="s">
        <v>38670</v>
      </c>
    </row>
    <row r="45902" spans="8:8">
      <c r="H45902" t="s">
        <v>38671</v>
      </c>
    </row>
    <row r="45903" spans="8:8">
      <c r="H45903" t="s">
        <v>38672</v>
      </c>
    </row>
    <row r="45904" spans="8:8">
      <c r="H45904" t="s">
        <v>38673</v>
      </c>
    </row>
    <row r="45905" spans="8:8">
      <c r="H45905" t="s">
        <v>38674</v>
      </c>
    </row>
    <row r="45906" spans="8:8">
      <c r="H45906" t="s">
        <v>38675</v>
      </c>
    </row>
    <row r="45907" spans="8:8">
      <c r="H45907" t="s">
        <v>38676</v>
      </c>
    </row>
    <row r="45908" spans="8:8">
      <c r="H45908" t="s">
        <v>38677</v>
      </c>
    </row>
    <row r="45909" spans="8:8">
      <c r="H45909" t="s">
        <v>38678</v>
      </c>
    </row>
    <row r="45910" spans="8:8">
      <c r="H45910" t="s">
        <v>38679</v>
      </c>
    </row>
    <row r="45911" spans="8:8">
      <c r="H45911" t="s">
        <v>38680</v>
      </c>
    </row>
    <row r="45912" spans="8:8">
      <c r="H45912" t="s">
        <v>38681</v>
      </c>
    </row>
    <row r="45913" spans="8:8">
      <c r="H45913" t="s">
        <v>38682</v>
      </c>
    </row>
    <row r="45914" spans="8:8">
      <c r="H45914" t="s">
        <v>38683</v>
      </c>
    </row>
    <row r="45915" spans="8:8">
      <c r="H45915" t="s">
        <v>38684</v>
      </c>
    </row>
    <row r="45916" spans="8:8">
      <c r="H45916" t="s">
        <v>38685</v>
      </c>
    </row>
    <row r="45917" spans="8:8">
      <c r="H45917" t="s">
        <v>38686</v>
      </c>
    </row>
    <row r="45918" spans="8:8">
      <c r="H45918" t="s">
        <v>38687</v>
      </c>
    </row>
    <row r="45919" spans="8:8">
      <c r="H45919" t="s">
        <v>38688</v>
      </c>
    </row>
    <row r="45920" spans="8:8">
      <c r="H45920" t="s">
        <v>38689</v>
      </c>
    </row>
    <row r="45921" spans="1:8">
      <c r="H45921" t="s">
        <v>38690</v>
      </c>
    </row>
    <row r="45922" spans="1:8">
      <c r="H45922" t="s">
        <v>38691</v>
      </c>
    </row>
    <row r="45923" spans="1:8">
      <c r="H45923" t="s">
        <v>38692</v>
      </c>
    </row>
    <row r="45924" spans="1:8">
      <c r="H45924" t="s">
        <v>38693</v>
      </c>
    </row>
    <row r="45925" spans="1:8">
      <c r="H45925" t="s">
        <v>38694</v>
      </c>
    </row>
    <row r="45926" spans="1:8">
      <c r="H45926" t="s">
        <v>38695</v>
      </c>
    </row>
    <row r="45927" spans="1:8">
      <c r="H45927" t="s">
        <v>38696</v>
      </c>
    </row>
    <row r="45928" spans="1:8">
      <c r="H45928" t="s">
        <v>38697</v>
      </c>
    </row>
    <row r="45929" spans="1:8">
      <c r="H45929" t="s">
        <v>38698</v>
      </c>
    </row>
    <row r="45930" spans="1:8">
      <c r="A45930" t="s">
        <v>4549</v>
      </c>
      <c r="B45930">
        <f>HYPERLINK("https://android.googlesource.com/platform/cts/+/b9642e074942f58947545180870dc26d0f54d642", "b9642e074942f58947545180870dc26d0f54d642")</f>
        <v>0</v>
      </c>
      <c r="C45930">
        <f>HYPERLINK("https://android.googlesource.com/platform/cts/+/457e773ef90b98c3fd0b765d9eef189a2177e8ef", "457e773ef90b98c3fd0b765d9eef189a2177e8ef")</f>
        <v>0</v>
      </c>
      <c r="D45930" t="s">
        <v>5720</v>
      </c>
      <c r="E45930" t="s">
        <v>10210</v>
      </c>
      <c r="F45930" t="s">
        <v>14774</v>
      </c>
      <c r="G45930" t="s">
        <v>18646</v>
      </c>
      <c r="H45930" t="s">
        <v>38699</v>
      </c>
    </row>
    <row r="45931" spans="1:8">
      <c r="F45931" t="s">
        <v>14775</v>
      </c>
      <c r="G45931" t="s">
        <v>18647</v>
      </c>
      <c r="H45931" t="s">
        <v>38700</v>
      </c>
    </row>
    <row r="45932" spans="1:8">
      <c r="H45932" t="s">
        <v>38701</v>
      </c>
    </row>
    <row r="45933" spans="1:8">
      <c r="F45933" t="s">
        <v>14776</v>
      </c>
      <c r="G45933" t="s">
        <v>18648</v>
      </c>
      <c r="H45933" t="s">
        <v>38702</v>
      </c>
    </row>
    <row r="45934" spans="1:8">
      <c r="H45934" t="s">
        <v>38703</v>
      </c>
    </row>
    <row r="45935" spans="1:8">
      <c r="F45935" t="s">
        <v>14777</v>
      </c>
      <c r="G45935" t="s">
        <v>17269</v>
      </c>
      <c r="H45935" t="s">
        <v>38704</v>
      </c>
    </row>
    <row r="45936" spans="1:8">
      <c r="F45936" t="s">
        <v>14778</v>
      </c>
      <c r="G45936" t="s">
        <v>18649</v>
      </c>
      <c r="H45936" t="s">
        <v>38705</v>
      </c>
    </row>
    <row r="45937" spans="1:8">
      <c r="F45937" t="s">
        <v>14779</v>
      </c>
      <c r="G45937" t="s">
        <v>18650</v>
      </c>
      <c r="H45937" t="s">
        <v>38706</v>
      </c>
    </row>
    <row r="45938" spans="1:8">
      <c r="H45938" t="s">
        <v>38707</v>
      </c>
    </row>
    <row r="45939" spans="1:8">
      <c r="F45939" t="s">
        <v>14780</v>
      </c>
      <c r="G45939" t="s">
        <v>18651</v>
      </c>
      <c r="H45939" t="s">
        <v>38708</v>
      </c>
    </row>
    <row r="45940" spans="1:8">
      <c r="F45940" t="s">
        <v>14781</v>
      </c>
      <c r="G45940" t="s">
        <v>18652</v>
      </c>
      <c r="H45940" t="s">
        <v>38709</v>
      </c>
    </row>
    <row r="45941" spans="1:8">
      <c r="F45941" t="s">
        <v>14782</v>
      </c>
      <c r="G45941" t="s">
        <v>18653</v>
      </c>
      <c r="H45941" t="s">
        <v>38710</v>
      </c>
    </row>
    <row r="45942" spans="1:8">
      <c r="F45942" t="s">
        <v>14783</v>
      </c>
      <c r="G45942" t="s">
        <v>18654</v>
      </c>
      <c r="H45942" t="s">
        <v>38711</v>
      </c>
    </row>
    <row r="45943" spans="1:8">
      <c r="A45943" t="s">
        <v>4550</v>
      </c>
      <c r="B45943">
        <f>HYPERLINK("https://android.googlesource.com/platform/cts/+/7aceb4d60a809655633bf50949221a089b8b6972", "7aceb4d60a809655633bf50949221a089b8b6972")</f>
        <v>0</v>
      </c>
      <c r="C45943">
        <f>HYPERLINK("https://android.googlesource.com/platform/cts/+/a5561f9ec42038a0003c41a022fdae152447c2fe", "a5561f9ec42038a0003c41a022fdae152447c2fe")</f>
        <v>0</v>
      </c>
      <c r="D45943" t="s">
        <v>5715</v>
      </c>
      <c r="E45943" t="s">
        <v>10211</v>
      </c>
      <c r="F45943" t="s">
        <v>14784</v>
      </c>
      <c r="G45943" t="s">
        <v>18655</v>
      </c>
      <c r="H45943" t="s">
        <v>38712</v>
      </c>
    </row>
    <row r="45944" spans="1:8">
      <c r="A45944" t="s">
        <v>4551</v>
      </c>
      <c r="B45944">
        <f>HYPERLINK("https://android.googlesource.com/platform/cts/+/293eab74a7c2629b792d066ab2132bb0715cf277", "293eab74a7c2629b792d066ab2132bb0715cf277")</f>
        <v>0</v>
      </c>
      <c r="C45944">
        <f>HYPERLINK("https://android.googlesource.com/platform/cts/+/986477aca9c5e38685c15d0a88507c8205a350be", "986477aca9c5e38685c15d0a88507c8205a350be")</f>
        <v>0</v>
      </c>
      <c r="D45944" t="s">
        <v>5638</v>
      </c>
      <c r="E45944" t="s">
        <v>10212</v>
      </c>
      <c r="F45944" t="s">
        <v>14785</v>
      </c>
      <c r="G45944" t="s">
        <v>18656</v>
      </c>
      <c r="H45944" t="s">
        <v>38713</v>
      </c>
    </row>
    <row r="45945" spans="1:8">
      <c r="A45945" t="s">
        <v>4552</v>
      </c>
      <c r="B45945">
        <f>HYPERLINK("https://android.googlesource.com/platform/cts/+/874c64cef5e9e933cd0f75b33cc6287ce347e751", "874c64cef5e9e933cd0f75b33cc6287ce347e751")</f>
        <v>0</v>
      </c>
      <c r="C45945">
        <f>HYPERLINK("https://android.googlesource.com/platform/cts/+/67898008d6f7d30d3e7b2dacb540e4032081cc44", "67898008d6f7d30d3e7b2dacb540e4032081cc44")</f>
        <v>0</v>
      </c>
      <c r="D45945" t="s">
        <v>5564</v>
      </c>
      <c r="E45945" t="s">
        <v>10213</v>
      </c>
      <c r="F45945" t="s">
        <v>14786</v>
      </c>
      <c r="G45945" t="s">
        <v>16560</v>
      </c>
      <c r="H45945" t="s">
        <v>37784</v>
      </c>
    </row>
    <row r="45946" spans="1:8">
      <c r="H45946" t="s">
        <v>20174</v>
      </c>
    </row>
    <row r="45947" spans="1:8">
      <c r="H45947" t="s">
        <v>20174</v>
      </c>
    </row>
    <row r="45948" spans="1:8">
      <c r="A45948" t="s">
        <v>4553</v>
      </c>
      <c r="B45948">
        <f>HYPERLINK("https://android.googlesource.com/platform/cts/+/222bfeac56e87058c387158f6144681000bfd0bb", "222bfeac56e87058c387158f6144681000bfd0bb")</f>
        <v>0</v>
      </c>
      <c r="C45948">
        <f>HYPERLINK("https://android.googlesource.com/platform/cts/+/d482480e7bdae5cf7754f1516e45225586b8109c", "d482480e7bdae5cf7754f1516e45225586b8109c")</f>
        <v>0</v>
      </c>
      <c r="D45948" t="s">
        <v>5721</v>
      </c>
      <c r="E45948" t="s">
        <v>10214</v>
      </c>
      <c r="F45948" t="s">
        <v>14748</v>
      </c>
      <c r="G45948" t="s">
        <v>18624</v>
      </c>
      <c r="H45948" t="s">
        <v>38714</v>
      </c>
    </row>
    <row r="45949" spans="1:8">
      <c r="H45949" t="s">
        <v>38715</v>
      </c>
    </row>
    <row r="45950" spans="1:8">
      <c r="H45950" t="s">
        <v>38716</v>
      </c>
    </row>
    <row r="45951" spans="1:8">
      <c r="H45951" t="s">
        <v>38717</v>
      </c>
    </row>
    <row r="45952" spans="1:8">
      <c r="H45952" t="s">
        <v>38718</v>
      </c>
    </row>
    <row r="45953" spans="1:8">
      <c r="A45953" t="s">
        <v>4554</v>
      </c>
      <c r="B45953">
        <f>HYPERLINK("https://android.googlesource.com/platform/cts/+/b44c75d3d0080ce44d8793e8e38f0a38b3e9d216", "b44c75d3d0080ce44d8793e8e38f0a38b3e9d216")</f>
        <v>0</v>
      </c>
      <c r="C45953">
        <f>HYPERLINK("https://android.googlesource.com/platform/cts/+/d482480e7bdae5cf7754f1516e45225586b8109c", "d482480e7bdae5cf7754f1516e45225586b8109c")</f>
        <v>0</v>
      </c>
      <c r="D45953" t="s">
        <v>5564</v>
      </c>
      <c r="E45953" t="s">
        <v>10215</v>
      </c>
      <c r="F45953" t="s">
        <v>14721</v>
      </c>
      <c r="G45953" t="s">
        <v>17815</v>
      </c>
      <c r="H45953" t="s">
        <v>38719</v>
      </c>
    </row>
    <row r="45954" spans="1:8">
      <c r="A45954" t="s">
        <v>4555</v>
      </c>
      <c r="B45954">
        <f>HYPERLINK("https://android.googlesource.com/platform/cts/+/aa3c29e49213b20536cde1e57b9e6cb98040dfb8", "aa3c29e49213b20536cde1e57b9e6cb98040dfb8")</f>
        <v>0</v>
      </c>
      <c r="C45954">
        <f>HYPERLINK("https://android.googlesource.com/platform/cts/+/3577baec09cb9252582f14296d9d19f7fe36bcb9", "3577baec09cb9252582f14296d9d19f7fe36bcb9")</f>
        <v>0</v>
      </c>
      <c r="D45954" t="s">
        <v>5407</v>
      </c>
      <c r="E45954" t="s">
        <v>10216</v>
      </c>
      <c r="F45954" t="s">
        <v>13735</v>
      </c>
      <c r="G45954" t="s">
        <v>16637</v>
      </c>
      <c r="H45954" t="s">
        <v>38720</v>
      </c>
    </row>
    <row r="45955" spans="1:8">
      <c r="A45955" t="s">
        <v>4557</v>
      </c>
      <c r="B45955">
        <f>HYPERLINK("https://android.googlesource.com/platform/cts/+/1e1e860e51a7bb8ce7919976ad1bc62ebd632069", "1e1e860e51a7bb8ce7919976ad1bc62ebd632069")</f>
        <v>0</v>
      </c>
      <c r="C45955">
        <f>HYPERLINK("https://android.googlesource.com/platform/cts/+/176cbd35008014a699e1626b128ea23b2c231187", "176cbd35008014a699e1626b128ea23b2c231187")</f>
        <v>0</v>
      </c>
      <c r="D45955" t="s">
        <v>5722</v>
      </c>
      <c r="E45955" t="s">
        <v>10218</v>
      </c>
      <c r="F45955" t="s">
        <v>14787</v>
      </c>
      <c r="G45955" t="s">
        <v>18657</v>
      </c>
      <c r="H45955" t="s">
        <v>38721</v>
      </c>
    </row>
    <row r="45956" spans="1:8">
      <c r="A45956" t="s">
        <v>4558</v>
      </c>
      <c r="B45956">
        <f>HYPERLINK("https://android.googlesource.com/platform/cts/+/63f614d357563fef83cd4b09127a1e13e005fe99", "63f614d357563fef83cd4b09127a1e13e005fe99")</f>
        <v>0</v>
      </c>
      <c r="C45956">
        <f>HYPERLINK("https://android.googlesource.com/platform/cts/+/35d66c03de9fdb986d40833f227e19b4e8806aa3", "35d66c03de9fdb986d40833f227e19b4e8806aa3")</f>
        <v>0</v>
      </c>
      <c r="D45956" t="s">
        <v>5409</v>
      </c>
      <c r="E45956" t="s">
        <v>10219</v>
      </c>
      <c r="F45956" t="s">
        <v>14557</v>
      </c>
      <c r="G45956" t="s">
        <v>18479</v>
      </c>
      <c r="H45956" t="s">
        <v>18829</v>
      </c>
    </row>
    <row r="45957" spans="1:8">
      <c r="H45957" t="s">
        <v>18863</v>
      </c>
    </row>
    <row r="45958" spans="1:8">
      <c r="H45958" t="s">
        <v>38722</v>
      </c>
    </row>
    <row r="45959" spans="1:8">
      <c r="H45959" t="s">
        <v>38723</v>
      </c>
    </row>
    <row r="45960" spans="1:8">
      <c r="H45960" t="s">
        <v>38724</v>
      </c>
    </row>
    <row r="45961" spans="1:8">
      <c r="H45961" t="s">
        <v>38725</v>
      </c>
    </row>
    <row r="45962" spans="1:8">
      <c r="H45962" t="s">
        <v>28425</v>
      </c>
    </row>
    <row r="45963" spans="1:8">
      <c r="H45963" t="s">
        <v>28427</v>
      </c>
    </row>
    <row r="45964" spans="1:8">
      <c r="H45964" t="s">
        <v>38726</v>
      </c>
    </row>
    <row r="45965" spans="1:8">
      <c r="H45965" t="s">
        <v>38727</v>
      </c>
    </row>
    <row r="45966" spans="1:8">
      <c r="F45966" t="s">
        <v>12419</v>
      </c>
      <c r="G45966" t="s">
        <v>16641</v>
      </c>
      <c r="H45966" t="s">
        <v>38728</v>
      </c>
    </row>
    <row r="45967" spans="1:8">
      <c r="A45967" t="s">
        <v>4559</v>
      </c>
      <c r="B45967">
        <f>HYPERLINK("https://android.googlesource.com/platform/cts/+/13cbaa3a425d69b262c5ce7bbe8bb5310ec44b37", "13cbaa3a425d69b262c5ce7bbe8bb5310ec44b37")</f>
        <v>0</v>
      </c>
      <c r="C45967">
        <f>HYPERLINK("https://android.googlesource.com/platform/cts/+/63f614d357563fef83cd4b09127a1e13e005fe99", "63f614d357563fef83cd4b09127a1e13e005fe99")</f>
        <v>0</v>
      </c>
      <c r="D45967" t="s">
        <v>5409</v>
      </c>
      <c r="E45967" t="s">
        <v>10220</v>
      </c>
      <c r="F45967" t="s">
        <v>14574</v>
      </c>
      <c r="G45967" t="s">
        <v>18494</v>
      </c>
      <c r="H45967" t="s">
        <v>38729</v>
      </c>
    </row>
    <row r="45968" spans="1:8">
      <c r="H45968" t="s">
        <v>38730</v>
      </c>
    </row>
    <row r="45969" spans="1:8">
      <c r="H45969" t="s">
        <v>37605</v>
      </c>
    </row>
    <row r="45970" spans="1:8">
      <c r="A45970" t="s">
        <v>4560</v>
      </c>
      <c r="B45970">
        <f>HYPERLINK("https://android.googlesource.com/platform/cts/+/ccbd6dea4d9f7abceac9174136849e45b9cbd339", "ccbd6dea4d9f7abceac9174136849e45b9cbd339")</f>
        <v>0</v>
      </c>
      <c r="C45970">
        <f>HYPERLINK("https://android.googlesource.com/platform/cts/+/13cbaa3a425d69b262c5ce7bbe8bb5310ec44b37", "13cbaa3a425d69b262c5ce7bbe8bb5310ec44b37")</f>
        <v>0</v>
      </c>
      <c r="D45970" t="s">
        <v>5409</v>
      </c>
      <c r="E45970" t="s">
        <v>10221</v>
      </c>
      <c r="F45970" t="s">
        <v>14572</v>
      </c>
      <c r="G45970" t="s">
        <v>18492</v>
      </c>
      <c r="H45970" t="s">
        <v>36690</v>
      </c>
    </row>
    <row r="45971" spans="1:8">
      <c r="H45971" t="s">
        <v>37574</v>
      </c>
    </row>
    <row r="45972" spans="1:8">
      <c r="H45972" t="s">
        <v>26067</v>
      </c>
    </row>
    <row r="45973" spans="1:8">
      <c r="H45973" t="s">
        <v>37555</v>
      </c>
    </row>
    <row r="45974" spans="1:8">
      <c r="H45974" t="s">
        <v>38731</v>
      </c>
    </row>
    <row r="45975" spans="1:8">
      <c r="A45975" t="s">
        <v>4561</v>
      </c>
      <c r="B45975">
        <f>HYPERLINK("https://android.googlesource.com/platform/cts/+/1a57b7732297aab94a0649aef40a09a6cfc3b843", "1a57b7732297aab94a0649aef40a09a6cfc3b843")</f>
        <v>0</v>
      </c>
      <c r="C45975">
        <f>HYPERLINK("https://android.googlesource.com/platform/cts/+/e92e2eca5efe7947dd2563b73609c902d0ee185a", "e92e2eca5efe7947dd2563b73609c902d0ee185a")</f>
        <v>0</v>
      </c>
      <c r="D45975" t="s">
        <v>5723</v>
      </c>
      <c r="E45975" t="s">
        <v>10222</v>
      </c>
      <c r="F45975" t="s">
        <v>14768</v>
      </c>
      <c r="G45975" t="s">
        <v>18644</v>
      </c>
      <c r="H45975" t="s">
        <v>38732</v>
      </c>
    </row>
    <row r="45976" spans="1:8">
      <c r="H45976" t="s">
        <v>38733</v>
      </c>
    </row>
    <row r="45977" spans="1:8">
      <c r="A45977" t="s">
        <v>4562</v>
      </c>
      <c r="B45977">
        <f>HYPERLINK("https://android.googlesource.com/platform/cts/+/fd6135bf77a5d44fa4704c2c7acb67ed93841b17", "fd6135bf77a5d44fa4704c2c7acb67ed93841b17")</f>
        <v>0</v>
      </c>
      <c r="C45977">
        <f>HYPERLINK("https://android.googlesource.com/platform/cts/+/d482480e7bdae5cf7754f1516e45225586b8109c", "d482480e7bdae5cf7754f1516e45225586b8109c")</f>
        <v>0</v>
      </c>
      <c r="D45977" t="s">
        <v>5564</v>
      </c>
      <c r="E45977" t="s">
        <v>10223</v>
      </c>
      <c r="F45977" t="s">
        <v>14788</v>
      </c>
      <c r="G45977" t="s">
        <v>18008</v>
      </c>
      <c r="H45977" t="s">
        <v>38734</v>
      </c>
    </row>
    <row r="45978" spans="1:8">
      <c r="H45978" t="s">
        <v>38735</v>
      </c>
    </row>
    <row r="45979" spans="1:8">
      <c r="H45979" t="s">
        <v>38736</v>
      </c>
    </row>
    <row r="45980" spans="1:8">
      <c r="H45980" t="s">
        <v>38737</v>
      </c>
    </row>
    <row r="45981" spans="1:8">
      <c r="H45981" t="s">
        <v>38738</v>
      </c>
    </row>
    <row r="45982" spans="1:8">
      <c r="H45982" t="s">
        <v>38739</v>
      </c>
    </row>
    <row r="45983" spans="1:8">
      <c r="H45983" t="s">
        <v>38740</v>
      </c>
    </row>
    <row r="45984" spans="1:8">
      <c r="H45984" t="s">
        <v>38741</v>
      </c>
    </row>
    <row r="45985" spans="8:8">
      <c r="H45985" t="s">
        <v>38742</v>
      </c>
    </row>
    <row r="45986" spans="8:8">
      <c r="H45986" t="s">
        <v>38743</v>
      </c>
    </row>
    <row r="45987" spans="8:8">
      <c r="H45987" t="s">
        <v>38744</v>
      </c>
    </row>
    <row r="45988" spans="8:8">
      <c r="H45988" t="s">
        <v>38745</v>
      </c>
    </row>
    <row r="45989" spans="8:8">
      <c r="H45989" t="s">
        <v>38746</v>
      </c>
    </row>
    <row r="45990" spans="8:8">
      <c r="H45990" t="s">
        <v>38747</v>
      </c>
    </row>
    <row r="45991" spans="8:8">
      <c r="H45991" t="s">
        <v>38748</v>
      </c>
    </row>
    <row r="45992" spans="8:8">
      <c r="H45992" t="s">
        <v>38749</v>
      </c>
    </row>
    <row r="45993" spans="8:8">
      <c r="H45993" t="s">
        <v>38750</v>
      </c>
    </row>
    <row r="45994" spans="8:8">
      <c r="H45994" t="s">
        <v>38751</v>
      </c>
    </row>
    <row r="45995" spans="8:8">
      <c r="H45995" t="s">
        <v>38752</v>
      </c>
    </row>
    <row r="45996" spans="8:8">
      <c r="H45996" t="s">
        <v>38753</v>
      </c>
    </row>
    <row r="45997" spans="8:8">
      <c r="H45997" t="s">
        <v>38754</v>
      </c>
    </row>
    <row r="45998" spans="8:8">
      <c r="H45998" t="s">
        <v>38755</v>
      </c>
    </row>
    <row r="45999" spans="8:8">
      <c r="H45999" t="s">
        <v>38756</v>
      </c>
    </row>
    <row r="46000" spans="8:8">
      <c r="H46000" t="s">
        <v>38757</v>
      </c>
    </row>
    <row r="46001" spans="8:8">
      <c r="H46001" t="s">
        <v>38758</v>
      </c>
    </row>
    <row r="46002" spans="8:8">
      <c r="H46002" t="s">
        <v>38759</v>
      </c>
    </row>
    <row r="46003" spans="8:8">
      <c r="H46003" t="s">
        <v>38760</v>
      </c>
    </row>
    <row r="46004" spans="8:8">
      <c r="H46004" t="s">
        <v>38761</v>
      </c>
    </row>
    <row r="46005" spans="8:8">
      <c r="H46005" t="s">
        <v>38762</v>
      </c>
    </row>
    <row r="46006" spans="8:8">
      <c r="H46006" t="s">
        <v>38763</v>
      </c>
    </row>
    <row r="46007" spans="8:8">
      <c r="H46007" t="s">
        <v>38764</v>
      </c>
    </row>
    <row r="46008" spans="8:8">
      <c r="H46008" t="s">
        <v>38765</v>
      </c>
    </row>
    <row r="46009" spans="8:8">
      <c r="H46009" t="s">
        <v>38766</v>
      </c>
    </row>
    <row r="46010" spans="8:8">
      <c r="H46010" t="s">
        <v>38767</v>
      </c>
    </row>
    <row r="46011" spans="8:8">
      <c r="H46011" t="s">
        <v>38768</v>
      </c>
    </row>
    <row r="46012" spans="8:8">
      <c r="H46012" t="s">
        <v>38769</v>
      </c>
    </row>
    <row r="46013" spans="8:8">
      <c r="H46013" t="s">
        <v>38770</v>
      </c>
    </row>
    <row r="46014" spans="8:8">
      <c r="H46014" t="s">
        <v>38771</v>
      </c>
    </row>
    <row r="46015" spans="8:8">
      <c r="H46015" t="s">
        <v>38772</v>
      </c>
    </row>
    <row r="46016" spans="8:8">
      <c r="H46016" t="s">
        <v>38773</v>
      </c>
    </row>
    <row r="46017" spans="8:8">
      <c r="H46017" t="s">
        <v>38774</v>
      </c>
    </row>
    <row r="46018" spans="8:8">
      <c r="H46018" t="s">
        <v>38775</v>
      </c>
    </row>
    <row r="46019" spans="8:8">
      <c r="H46019" t="s">
        <v>38776</v>
      </c>
    </row>
    <row r="46020" spans="8:8">
      <c r="H46020" t="s">
        <v>38777</v>
      </c>
    </row>
    <row r="46021" spans="8:8">
      <c r="H46021" t="s">
        <v>38778</v>
      </c>
    </row>
    <row r="46022" spans="8:8">
      <c r="H46022" t="s">
        <v>38779</v>
      </c>
    </row>
    <row r="46023" spans="8:8">
      <c r="H46023" t="s">
        <v>38780</v>
      </c>
    </row>
    <row r="46024" spans="8:8">
      <c r="H46024" t="s">
        <v>38781</v>
      </c>
    </row>
    <row r="46025" spans="8:8">
      <c r="H46025" t="s">
        <v>38782</v>
      </c>
    </row>
    <row r="46026" spans="8:8">
      <c r="H46026" t="s">
        <v>38783</v>
      </c>
    </row>
    <row r="46027" spans="8:8">
      <c r="H46027" t="s">
        <v>38784</v>
      </c>
    </row>
    <row r="46028" spans="8:8">
      <c r="H46028" t="s">
        <v>38785</v>
      </c>
    </row>
    <row r="46029" spans="8:8">
      <c r="H46029" t="s">
        <v>38786</v>
      </c>
    </row>
    <row r="46030" spans="8:8">
      <c r="H46030" t="s">
        <v>38787</v>
      </c>
    </row>
    <row r="46031" spans="8:8">
      <c r="H46031" t="s">
        <v>38788</v>
      </c>
    </row>
    <row r="46032" spans="8:8">
      <c r="H46032" t="s">
        <v>38789</v>
      </c>
    </row>
    <row r="46033" spans="1:8">
      <c r="H46033" t="s">
        <v>32728</v>
      </c>
    </row>
    <row r="46034" spans="1:8">
      <c r="H46034" t="s">
        <v>32729</v>
      </c>
    </row>
    <row r="46035" spans="1:8">
      <c r="H46035" t="s">
        <v>38790</v>
      </c>
    </row>
    <row r="46036" spans="1:8">
      <c r="H46036" t="s">
        <v>38791</v>
      </c>
    </row>
    <row r="46037" spans="1:8">
      <c r="A46037" t="s">
        <v>4563</v>
      </c>
      <c r="B46037">
        <f>HYPERLINK("https://android.googlesource.com/platform/cts/+/a89d6eb2b8b11fea4c7fad9b8d845c80103088b7", "a89d6eb2b8b11fea4c7fad9b8d845c80103088b7")</f>
        <v>0</v>
      </c>
      <c r="C46037">
        <f>HYPERLINK("https://android.googlesource.com/platform/cts/+/b5dea30a85c58f41b8fe46a364c8f16bdc46e310", "b5dea30a85c58f41b8fe46a364c8f16bdc46e310")</f>
        <v>0</v>
      </c>
      <c r="D46037" t="s">
        <v>5724</v>
      </c>
      <c r="E46037" t="s">
        <v>10224</v>
      </c>
      <c r="F46037" t="s">
        <v>11433</v>
      </c>
      <c r="G46037" t="s">
        <v>15673</v>
      </c>
      <c r="H46037" t="s">
        <v>37860</v>
      </c>
    </row>
    <row r="46038" spans="1:8">
      <c r="H46038" t="s">
        <v>37861</v>
      </c>
    </row>
    <row r="46039" spans="1:8">
      <c r="H46039" t="s">
        <v>37862</v>
      </c>
    </row>
    <row r="46040" spans="1:8">
      <c r="H46040" t="s">
        <v>37863</v>
      </c>
    </row>
    <row r="46041" spans="1:8">
      <c r="H46041" t="s">
        <v>37864</v>
      </c>
    </row>
    <row r="46042" spans="1:8">
      <c r="H46042" t="s">
        <v>37865</v>
      </c>
    </row>
    <row r="46043" spans="1:8">
      <c r="A46043" t="s">
        <v>4565</v>
      </c>
      <c r="B46043">
        <f>HYPERLINK("https://android.googlesource.com/platform/cts/+/89e7db85873382dc2de717d7f668a911ba4b72cd", "89e7db85873382dc2de717d7f668a911ba4b72cd")</f>
        <v>0</v>
      </c>
      <c r="C46043">
        <f>HYPERLINK("https://android.googlesource.com/platform/cts/+/5ddeee4e9361d38048185b32ceef05150649890f", "5ddeee4e9361d38048185b32ceef05150649890f")</f>
        <v>0</v>
      </c>
      <c r="D46043" t="s">
        <v>5725</v>
      </c>
      <c r="E46043" t="s">
        <v>10226</v>
      </c>
      <c r="F46043" t="s">
        <v>12837</v>
      </c>
      <c r="G46043" t="s">
        <v>17013</v>
      </c>
      <c r="H46043" t="s">
        <v>38792</v>
      </c>
    </row>
    <row r="46044" spans="1:8">
      <c r="F46044" t="s">
        <v>12620</v>
      </c>
      <c r="G46044" t="s">
        <v>16830</v>
      </c>
      <c r="H46044" t="s">
        <v>38793</v>
      </c>
    </row>
    <row r="46045" spans="1:8">
      <c r="F46045" t="s">
        <v>12697</v>
      </c>
      <c r="G46045" t="s">
        <v>16901</v>
      </c>
      <c r="H46045" t="s">
        <v>38794</v>
      </c>
    </row>
    <row r="46046" spans="1:8">
      <c r="H46046" t="s">
        <v>18829</v>
      </c>
    </row>
    <row r="46047" spans="1:8">
      <c r="H46047" t="s">
        <v>18863</v>
      </c>
    </row>
    <row r="46048" spans="1:8">
      <c r="F46048" t="s">
        <v>14789</v>
      </c>
      <c r="G46048" t="s">
        <v>18658</v>
      </c>
      <c r="H46048" t="s">
        <v>38795</v>
      </c>
    </row>
    <row r="46049" spans="1:8">
      <c r="A46049" t="s">
        <v>4566</v>
      </c>
      <c r="B46049">
        <f>HYPERLINK("https://android.googlesource.com/platform/cts/+/89d40c2c28f41229c06e2a944f36b93e19e4b0f0", "89d40c2c28f41229c06e2a944f36b93e19e4b0f0")</f>
        <v>0</v>
      </c>
      <c r="C46049">
        <f>HYPERLINK("https://android.googlesource.com/platform/cts/+/6890b4b940b8c63ff3c8a3fee8ebdc99de8f446b", "6890b4b940b8c63ff3c8a3fee8ebdc99de8f446b")</f>
        <v>0</v>
      </c>
      <c r="D46049" t="s">
        <v>5244</v>
      </c>
      <c r="E46049" t="s">
        <v>10227</v>
      </c>
      <c r="F46049" t="s">
        <v>13398</v>
      </c>
      <c r="G46049" t="s">
        <v>17524</v>
      </c>
      <c r="H46049" t="s">
        <v>38796</v>
      </c>
    </row>
    <row r="46050" spans="1:8">
      <c r="A46050" t="s">
        <v>4567</v>
      </c>
      <c r="B46050">
        <f>HYPERLINK("https://android.googlesource.com/platform/cts/+/f796b85d994467ef4e6d4eebabe5eedda55571e2", "f796b85d994467ef4e6d4eebabe5eedda55571e2")</f>
        <v>0</v>
      </c>
      <c r="C46050">
        <f>HYPERLINK("https://android.googlesource.com/platform/cts/+/d482480e7bdae5cf7754f1516e45225586b8109c", "d482480e7bdae5cf7754f1516e45225586b8109c")</f>
        <v>0</v>
      </c>
      <c r="D46050" t="s">
        <v>5564</v>
      </c>
      <c r="E46050" t="s">
        <v>10228</v>
      </c>
      <c r="F46050" t="s">
        <v>14790</v>
      </c>
      <c r="G46050" t="s">
        <v>16861</v>
      </c>
      <c r="H46050" t="s">
        <v>38797</v>
      </c>
    </row>
    <row r="46051" spans="1:8">
      <c r="H46051" t="s">
        <v>38798</v>
      </c>
    </row>
    <row r="46052" spans="1:8">
      <c r="H46052" t="s">
        <v>38799</v>
      </c>
    </row>
    <row r="46053" spans="1:8">
      <c r="H46053" t="s">
        <v>38800</v>
      </c>
    </row>
    <row r="46054" spans="1:8">
      <c r="H46054" t="s">
        <v>38801</v>
      </c>
    </row>
    <row r="46055" spans="1:8">
      <c r="H46055" t="s">
        <v>38802</v>
      </c>
    </row>
    <row r="46056" spans="1:8">
      <c r="H46056" t="s">
        <v>38803</v>
      </c>
    </row>
    <row r="46057" spans="1:8">
      <c r="H46057" t="s">
        <v>38804</v>
      </c>
    </row>
    <row r="46058" spans="1:8">
      <c r="H46058" t="s">
        <v>38805</v>
      </c>
    </row>
    <row r="46059" spans="1:8">
      <c r="H46059" t="s">
        <v>38806</v>
      </c>
    </row>
    <row r="46060" spans="1:8">
      <c r="H46060" t="s">
        <v>38807</v>
      </c>
    </row>
    <row r="46061" spans="1:8">
      <c r="H46061" t="s">
        <v>38808</v>
      </c>
    </row>
    <row r="46062" spans="1:8">
      <c r="H46062" t="s">
        <v>38809</v>
      </c>
    </row>
    <row r="46063" spans="1:8">
      <c r="H46063" t="s">
        <v>38810</v>
      </c>
    </row>
    <row r="46064" spans="1:8">
      <c r="H46064" t="s">
        <v>38811</v>
      </c>
    </row>
    <row r="46065" spans="8:8">
      <c r="H46065" t="s">
        <v>38812</v>
      </c>
    </row>
    <row r="46066" spans="8:8">
      <c r="H46066" t="s">
        <v>38813</v>
      </c>
    </row>
    <row r="46067" spans="8:8">
      <c r="H46067" t="s">
        <v>38814</v>
      </c>
    </row>
    <row r="46068" spans="8:8">
      <c r="H46068" t="s">
        <v>38815</v>
      </c>
    </row>
    <row r="46069" spans="8:8">
      <c r="H46069" t="s">
        <v>38816</v>
      </c>
    </row>
    <row r="46070" spans="8:8">
      <c r="H46070" t="s">
        <v>38817</v>
      </c>
    </row>
    <row r="46071" spans="8:8">
      <c r="H46071" t="s">
        <v>38818</v>
      </c>
    </row>
    <row r="46072" spans="8:8">
      <c r="H46072" t="s">
        <v>38819</v>
      </c>
    </row>
    <row r="46073" spans="8:8">
      <c r="H46073" t="s">
        <v>38820</v>
      </c>
    </row>
    <row r="46074" spans="8:8">
      <c r="H46074" t="s">
        <v>38821</v>
      </c>
    </row>
    <row r="46075" spans="8:8">
      <c r="H46075" t="s">
        <v>38822</v>
      </c>
    </row>
    <row r="46076" spans="8:8">
      <c r="H46076" t="s">
        <v>38823</v>
      </c>
    </row>
    <row r="46077" spans="8:8">
      <c r="H46077" t="s">
        <v>38824</v>
      </c>
    </row>
    <row r="46078" spans="8:8">
      <c r="H46078" t="s">
        <v>38825</v>
      </c>
    </row>
    <row r="46079" spans="8:8">
      <c r="H46079" t="s">
        <v>38826</v>
      </c>
    </row>
    <row r="46080" spans="8:8">
      <c r="H46080" t="s">
        <v>38827</v>
      </c>
    </row>
    <row r="46081" spans="8:8">
      <c r="H46081" t="s">
        <v>38828</v>
      </c>
    </row>
    <row r="46082" spans="8:8">
      <c r="H46082" t="s">
        <v>38829</v>
      </c>
    </row>
    <row r="46083" spans="8:8">
      <c r="H46083" t="s">
        <v>38830</v>
      </c>
    </row>
    <row r="46084" spans="8:8">
      <c r="H46084" t="s">
        <v>38831</v>
      </c>
    </row>
    <row r="46085" spans="8:8">
      <c r="H46085" t="s">
        <v>38832</v>
      </c>
    </row>
    <row r="46086" spans="8:8">
      <c r="H46086" t="s">
        <v>38833</v>
      </c>
    </row>
    <row r="46087" spans="8:8">
      <c r="H46087" t="s">
        <v>38834</v>
      </c>
    </row>
    <row r="46088" spans="8:8">
      <c r="H46088" t="s">
        <v>38835</v>
      </c>
    </row>
    <row r="46089" spans="8:8">
      <c r="H46089" t="s">
        <v>38836</v>
      </c>
    </row>
    <row r="46090" spans="8:8">
      <c r="H46090" t="s">
        <v>38837</v>
      </c>
    </row>
    <row r="46091" spans="8:8">
      <c r="H46091" t="s">
        <v>38838</v>
      </c>
    </row>
    <row r="46092" spans="8:8">
      <c r="H46092" t="s">
        <v>38839</v>
      </c>
    </row>
    <row r="46093" spans="8:8">
      <c r="H46093" t="s">
        <v>38840</v>
      </c>
    </row>
    <row r="46094" spans="8:8">
      <c r="H46094" t="s">
        <v>38841</v>
      </c>
    </row>
    <row r="46095" spans="8:8">
      <c r="H46095" t="s">
        <v>38842</v>
      </c>
    </row>
    <row r="46096" spans="8:8">
      <c r="H46096" t="s">
        <v>38843</v>
      </c>
    </row>
    <row r="46097" spans="8:8">
      <c r="H46097" t="s">
        <v>38844</v>
      </c>
    </row>
    <row r="46098" spans="8:8">
      <c r="H46098" t="s">
        <v>38845</v>
      </c>
    </row>
    <row r="46099" spans="8:8">
      <c r="H46099" t="s">
        <v>38846</v>
      </c>
    </row>
    <row r="46100" spans="8:8">
      <c r="H46100" t="s">
        <v>38847</v>
      </c>
    </row>
    <row r="46101" spans="8:8">
      <c r="H46101" t="s">
        <v>38848</v>
      </c>
    </row>
    <row r="46102" spans="8:8">
      <c r="H46102" t="s">
        <v>38849</v>
      </c>
    </row>
    <row r="46103" spans="8:8">
      <c r="H46103" t="s">
        <v>38850</v>
      </c>
    </row>
    <row r="46104" spans="8:8">
      <c r="H46104" t="s">
        <v>38851</v>
      </c>
    </row>
    <row r="46105" spans="8:8">
      <c r="H46105" t="s">
        <v>38852</v>
      </c>
    </row>
    <row r="46106" spans="8:8">
      <c r="H46106" t="s">
        <v>38853</v>
      </c>
    </row>
    <row r="46107" spans="8:8">
      <c r="H46107" t="s">
        <v>38854</v>
      </c>
    </row>
    <row r="46108" spans="8:8">
      <c r="H46108" t="s">
        <v>38855</v>
      </c>
    </row>
    <row r="46109" spans="8:8">
      <c r="H46109" t="s">
        <v>38856</v>
      </c>
    </row>
    <row r="46110" spans="8:8">
      <c r="H46110" t="s">
        <v>38857</v>
      </c>
    </row>
    <row r="46111" spans="8:8">
      <c r="H46111" t="s">
        <v>38858</v>
      </c>
    </row>
    <row r="46112" spans="8:8">
      <c r="H46112" t="s">
        <v>38859</v>
      </c>
    </row>
    <row r="46113" spans="8:8">
      <c r="H46113" t="s">
        <v>38860</v>
      </c>
    </row>
    <row r="46114" spans="8:8">
      <c r="H46114" t="s">
        <v>38861</v>
      </c>
    </row>
    <row r="46115" spans="8:8">
      <c r="H46115" t="s">
        <v>38862</v>
      </c>
    </row>
    <row r="46116" spans="8:8">
      <c r="H46116" t="s">
        <v>38863</v>
      </c>
    </row>
    <row r="46117" spans="8:8">
      <c r="H46117" t="s">
        <v>38864</v>
      </c>
    </row>
    <row r="46118" spans="8:8">
      <c r="H46118" t="s">
        <v>38865</v>
      </c>
    </row>
    <row r="46119" spans="8:8">
      <c r="H46119" t="s">
        <v>38866</v>
      </c>
    </row>
    <row r="46120" spans="8:8">
      <c r="H46120" t="s">
        <v>38867</v>
      </c>
    </row>
    <row r="46121" spans="8:8">
      <c r="H46121" t="s">
        <v>38868</v>
      </c>
    </row>
    <row r="46122" spans="8:8">
      <c r="H46122" t="s">
        <v>38869</v>
      </c>
    </row>
    <row r="46123" spans="8:8">
      <c r="H46123" t="s">
        <v>38870</v>
      </c>
    </row>
    <row r="46124" spans="8:8">
      <c r="H46124" t="s">
        <v>38871</v>
      </c>
    </row>
    <row r="46125" spans="8:8">
      <c r="H46125" t="s">
        <v>38872</v>
      </c>
    </row>
    <row r="46126" spans="8:8">
      <c r="H46126" t="s">
        <v>38873</v>
      </c>
    </row>
    <row r="46127" spans="8:8">
      <c r="H46127" t="s">
        <v>38874</v>
      </c>
    </row>
    <row r="46128" spans="8:8">
      <c r="H46128" t="s">
        <v>38875</v>
      </c>
    </row>
    <row r="46129" spans="8:8">
      <c r="H46129" t="s">
        <v>38876</v>
      </c>
    </row>
    <row r="46130" spans="8:8">
      <c r="H46130" t="s">
        <v>38877</v>
      </c>
    </row>
    <row r="46131" spans="8:8">
      <c r="H46131" t="s">
        <v>38878</v>
      </c>
    </row>
    <row r="46132" spans="8:8">
      <c r="H46132" t="s">
        <v>38879</v>
      </c>
    </row>
    <row r="46133" spans="8:8">
      <c r="H46133" t="s">
        <v>38880</v>
      </c>
    </row>
    <row r="46134" spans="8:8">
      <c r="H46134" t="s">
        <v>38881</v>
      </c>
    </row>
    <row r="46135" spans="8:8">
      <c r="H46135" t="s">
        <v>38882</v>
      </c>
    </row>
    <row r="46136" spans="8:8">
      <c r="H46136" t="s">
        <v>38883</v>
      </c>
    </row>
    <row r="46137" spans="8:8">
      <c r="H46137" t="s">
        <v>38884</v>
      </c>
    </row>
    <row r="46138" spans="8:8">
      <c r="H46138" t="s">
        <v>38885</v>
      </c>
    </row>
    <row r="46139" spans="8:8">
      <c r="H46139" t="s">
        <v>38886</v>
      </c>
    </row>
    <row r="46140" spans="8:8">
      <c r="H46140" t="s">
        <v>38887</v>
      </c>
    </row>
    <row r="46141" spans="8:8">
      <c r="H46141" t="s">
        <v>38888</v>
      </c>
    </row>
    <row r="46142" spans="8:8">
      <c r="H46142" t="s">
        <v>38889</v>
      </c>
    </row>
    <row r="46143" spans="8:8">
      <c r="H46143" t="s">
        <v>38890</v>
      </c>
    </row>
    <row r="46144" spans="8:8">
      <c r="H46144" t="s">
        <v>38891</v>
      </c>
    </row>
    <row r="46145" spans="8:8">
      <c r="H46145" t="s">
        <v>38892</v>
      </c>
    </row>
    <row r="46146" spans="8:8">
      <c r="H46146" t="s">
        <v>38893</v>
      </c>
    </row>
    <row r="46147" spans="8:8">
      <c r="H46147" t="s">
        <v>38894</v>
      </c>
    </row>
    <row r="46148" spans="8:8">
      <c r="H46148" t="s">
        <v>38895</v>
      </c>
    </row>
    <row r="46149" spans="8:8">
      <c r="H46149" t="s">
        <v>38896</v>
      </c>
    </row>
    <row r="46150" spans="8:8">
      <c r="H46150" t="s">
        <v>38897</v>
      </c>
    </row>
    <row r="46151" spans="8:8">
      <c r="H46151" t="s">
        <v>38898</v>
      </c>
    </row>
    <row r="46152" spans="8:8">
      <c r="H46152" t="s">
        <v>38899</v>
      </c>
    </row>
    <row r="46153" spans="8:8">
      <c r="H46153" t="s">
        <v>38900</v>
      </c>
    </row>
    <row r="46154" spans="8:8">
      <c r="H46154" t="s">
        <v>38901</v>
      </c>
    </row>
    <row r="46155" spans="8:8">
      <c r="H46155" t="s">
        <v>38902</v>
      </c>
    </row>
    <row r="46156" spans="8:8">
      <c r="H46156" t="s">
        <v>38903</v>
      </c>
    </row>
    <row r="46157" spans="8:8">
      <c r="H46157" t="s">
        <v>38904</v>
      </c>
    </row>
    <row r="46158" spans="8:8">
      <c r="H46158" t="s">
        <v>38905</v>
      </c>
    </row>
    <row r="46159" spans="8:8">
      <c r="H46159" t="s">
        <v>38906</v>
      </c>
    </row>
    <row r="46160" spans="8:8">
      <c r="H46160" t="s">
        <v>38907</v>
      </c>
    </row>
    <row r="46161" spans="8:8">
      <c r="H46161" t="s">
        <v>38908</v>
      </c>
    </row>
    <row r="46162" spans="8:8">
      <c r="H46162" t="s">
        <v>38909</v>
      </c>
    </row>
    <row r="46163" spans="8:8">
      <c r="H46163" t="s">
        <v>38910</v>
      </c>
    </row>
    <row r="46164" spans="8:8">
      <c r="H46164" t="s">
        <v>38911</v>
      </c>
    </row>
    <row r="46165" spans="8:8">
      <c r="H46165" t="s">
        <v>38912</v>
      </c>
    </row>
    <row r="46166" spans="8:8">
      <c r="H46166" t="s">
        <v>38913</v>
      </c>
    </row>
    <row r="46167" spans="8:8">
      <c r="H46167" t="s">
        <v>38914</v>
      </c>
    </row>
    <row r="46168" spans="8:8">
      <c r="H46168" t="s">
        <v>38915</v>
      </c>
    </row>
    <row r="46169" spans="8:8">
      <c r="H46169" t="s">
        <v>38916</v>
      </c>
    </row>
    <row r="46170" spans="8:8">
      <c r="H46170" t="s">
        <v>38917</v>
      </c>
    </row>
    <row r="46171" spans="8:8">
      <c r="H46171" t="s">
        <v>38918</v>
      </c>
    </row>
    <row r="46172" spans="8:8">
      <c r="H46172" t="s">
        <v>38919</v>
      </c>
    </row>
    <row r="46173" spans="8:8">
      <c r="H46173" t="s">
        <v>38920</v>
      </c>
    </row>
    <row r="46174" spans="8:8">
      <c r="H46174" t="s">
        <v>38921</v>
      </c>
    </row>
    <row r="46175" spans="8:8">
      <c r="H46175" t="s">
        <v>38922</v>
      </c>
    </row>
    <row r="46176" spans="8:8">
      <c r="H46176" t="s">
        <v>38923</v>
      </c>
    </row>
    <row r="46177" spans="8:8">
      <c r="H46177" t="s">
        <v>38924</v>
      </c>
    </row>
    <row r="46178" spans="8:8">
      <c r="H46178" t="s">
        <v>38925</v>
      </c>
    </row>
    <row r="46179" spans="8:8">
      <c r="H46179" t="s">
        <v>38926</v>
      </c>
    </row>
    <row r="46180" spans="8:8">
      <c r="H46180" t="s">
        <v>38927</v>
      </c>
    </row>
    <row r="46181" spans="8:8">
      <c r="H46181" t="s">
        <v>38928</v>
      </c>
    </row>
    <row r="46182" spans="8:8">
      <c r="H46182" t="s">
        <v>38929</v>
      </c>
    </row>
    <row r="46183" spans="8:8">
      <c r="H46183" t="s">
        <v>38930</v>
      </c>
    </row>
    <row r="46184" spans="8:8">
      <c r="H46184" t="s">
        <v>38931</v>
      </c>
    </row>
    <row r="46185" spans="8:8">
      <c r="H46185" t="s">
        <v>38932</v>
      </c>
    </row>
    <row r="46186" spans="8:8">
      <c r="H46186" t="s">
        <v>38933</v>
      </c>
    </row>
    <row r="46187" spans="8:8">
      <c r="H46187" t="s">
        <v>38934</v>
      </c>
    </row>
    <row r="46188" spans="8:8">
      <c r="H46188" t="s">
        <v>38935</v>
      </c>
    </row>
    <row r="46189" spans="8:8">
      <c r="H46189" t="s">
        <v>38936</v>
      </c>
    </row>
    <row r="46190" spans="8:8">
      <c r="H46190" t="s">
        <v>38937</v>
      </c>
    </row>
    <row r="46191" spans="8:8">
      <c r="H46191" t="s">
        <v>38938</v>
      </c>
    </row>
    <row r="46192" spans="8:8">
      <c r="H46192" t="s">
        <v>38939</v>
      </c>
    </row>
    <row r="46193" spans="1:8">
      <c r="H46193" t="s">
        <v>38940</v>
      </c>
    </row>
    <row r="46194" spans="1:8">
      <c r="H46194" t="s">
        <v>38941</v>
      </c>
    </row>
    <row r="46195" spans="1:8">
      <c r="H46195" t="s">
        <v>38942</v>
      </c>
    </row>
    <row r="46196" spans="1:8">
      <c r="H46196" t="s">
        <v>38943</v>
      </c>
    </row>
    <row r="46197" spans="1:8">
      <c r="H46197" t="s">
        <v>38944</v>
      </c>
    </row>
    <row r="46198" spans="1:8">
      <c r="H46198" t="s">
        <v>38945</v>
      </c>
    </row>
    <row r="46199" spans="1:8">
      <c r="H46199" t="s">
        <v>38946</v>
      </c>
    </row>
    <row r="46200" spans="1:8">
      <c r="H46200" t="s">
        <v>38947</v>
      </c>
    </row>
    <row r="46201" spans="1:8">
      <c r="H46201" t="s">
        <v>38948</v>
      </c>
    </row>
    <row r="46202" spans="1:8">
      <c r="H46202" t="s">
        <v>38949</v>
      </c>
    </row>
    <row r="46203" spans="1:8">
      <c r="H46203" t="s">
        <v>38950</v>
      </c>
    </row>
    <row r="46204" spans="1:8">
      <c r="H46204" t="s">
        <v>38951</v>
      </c>
    </row>
    <row r="46205" spans="1:8">
      <c r="H46205" t="s">
        <v>38952</v>
      </c>
    </row>
    <row r="46206" spans="1:8">
      <c r="H46206" t="s">
        <v>38953</v>
      </c>
    </row>
    <row r="46207" spans="1:8">
      <c r="A46207" t="s">
        <v>4568</v>
      </c>
      <c r="B46207">
        <f>HYPERLINK("https://android.googlesource.com/platform/cts/+/739d8048ce8023ef7b1815a800c56d362ebf4799", "739d8048ce8023ef7b1815a800c56d362ebf4799")</f>
        <v>0</v>
      </c>
      <c r="C46207">
        <f>HYPERLINK("https://android.googlesource.com/platform/cts/+/bd1808ed24a442996d92483e55a72ee7d1e9e7d3", "bd1808ed24a442996d92483e55a72ee7d1e9e7d3")</f>
        <v>0</v>
      </c>
      <c r="D46207" t="s">
        <v>5437</v>
      </c>
      <c r="E46207" t="s">
        <v>10229</v>
      </c>
      <c r="F46207" t="s">
        <v>13965</v>
      </c>
      <c r="G46207" t="s">
        <v>17990</v>
      </c>
      <c r="H46207" t="s">
        <v>38954</v>
      </c>
    </row>
    <row r="46208" spans="1:8">
      <c r="A46208" t="s">
        <v>4569</v>
      </c>
      <c r="B46208">
        <f>HYPERLINK("https://android.googlesource.com/platform/cts/+/550573a43a7db8c468fc21a5315198f597a49906", "550573a43a7db8c468fc21a5315198f597a49906")</f>
        <v>0</v>
      </c>
      <c r="C46208">
        <f>HYPERLINK("https://android.googlesource.com/platform/cts/+/864679fb921aa391e610064bf5746a026a785af7", "864679fb921aa391e610064bf5746a026a785af7")</f>
        <v>0</v>
      </c>
      <c r="D46208" t="s">
        <v>5046</v>
      </c>
      <c r="E46208" t="s">
        <v>10230</v>
      </c>
      <c r="F46208" t="s">
        <v>14791</v>
      </c>
      <c r="G46208" t="s">
        <v>18659</v>
      </c>
      <c r="H46208" t="s">
        <v>19475</v>
      </c>
    </row>
    <row r="46209" spans="1:8">
      <c r="A46209" t="s">
        <v>4570</v>
      </c>
      <c r="B46209">
        <f>HYPERLINK("https://android.googlesource.com/platform/cts/+/480ed49a29e7131f59b12591f1a8bb4304f8a004", "480ed49a29e7131f59b12591f1a8bb4304f8a004")</f>
        <v>0</v>
      </c>
      <c r="C46209">
        <f>HYPERLINK("https://android.googlesource.com/platform/cts/+/fbf9a864ae7b2e4034fff862eea16dba57c09624", "fbf9a864ae7b2e4034fff862eea16dba57c09624")</f>
        <v>0</v>
      </c>
      <c r="D46209" t="s">
        <v>5580</v>
      </c>
      <c r="E46209" t="s">
        <v>10231</v>
      </c>
      <c r="F46209" t="s">
        <v>12241</v>
      </c>
      <c r="G46209" t="s">
        <v>16472</v>
      </c>
      <c r="H46209" t="s">
        <v>38101</v>
      </c>
    </row>
    <row r="46210" spans="1:8">
      <c r="A46210" t="s">
        <v>4571</v>
      </c>
      <c r="B46210">
        <f>HYPERLINK("https://android.googlesource.com/platform/cts/+/da263dfbf808a7c38322e0b430e98521f40b31bc", "da263dfbf808a7c38322e0b430e98521f40b31bc")</f>
        <v>0</v>
      </c>
      <c r="C46210">
        <f>HYPERLINK("https://android.googlesource.com/platform/cts/+/1cf3cbe51d0f2f0fdb21ec613192d68ec77d6d36", "1cf3cbe51d0f2f0fdb21ec613192d68ec77d6d36")</f>
        <v>0</v>
      </c>
      <c r="D46210" t="s">
        <v>5575</v>
      </c>
      <c r="E46210" t="s">
        <v>10232</v>
      </c>
      <c r="F46210" t="s">
        <v>14792</v>
      </c>
      <c r="G46210" t="s">
        <v>18660</v>
      </c>
      <c r="H46210" t="s">
        <v>38955</v>
      </c>
    </row>
    <row r="46211" spans="1:8">
      <c r="F46211" t="s">
        <v>14793</v>
      </c>
      <c r="G46211" t="s">
        <v>18661</v>
      </c>
      <c r="H46211" t="s">
        <v>38956</v>
      </c>
    </row>
    <row r="46212" spans="1:8">
      <c r="A46212" t="s">
        <v>4572</v>
      </c>
      <c r="B46212">
        <f>HYPERLINK("https://android.googlesource.com/platform/cts/+/c1d6f603909a3bc6dc273da1636232324b3eb6ad", "c1d6f603909a3bc6dc273da1636232324b3eb6ad")</f>
        <v>0</v>
      </c>
      <c r="C46212">
        <f>HYPERLINK("https://android.googlesource.com/platform/cts/+/21200410f67a2cda0fd81a6582f8992fc6e8b1c7", "21200410f67a2cda0fd81a6582f8992fc6e8b1c7")</f>
        <v>0</v>
      </c>
      <c r="D46212" t="s">
        <v>5564</v>
      </c>
      <c r="E46212" t="s">
        <v>10233</v>
      </c>
      <c r="F46212" t="s">
        <v>14794</v>
      </c>
      <c r="G46212" t="s">
        <v>16630</v>
      </c>
      <c r="H46212" t="s">
        <v>38957</v>
      </c>
    </row>
    <row r="46213" spans="1:8">
      <c r="H46213" t="s">
        <v>38958</v>
      </c>
    </row>
    <row r="46214" spans="1:8">
      <c r="A46214" t="s">
        <v>4573</v>
      </c>
      <c r="B46214">
        <f>HYPERLINK("https://android.googlesource.com/platform/cts/+/d66107ddfaf1f02b4aff53522a29bdfc95d8d3ff", "d66107ddfaf1f02b4aff53522a29bdfc95d8d3ff")</f>
        <v>0</v>
      </c>
      <c r="C46214">
        <f>HYPERLINK("https://android.googlesource.com/platform/cts/+/80002ce9344238935804504482448046337cf8bb", "80002ce9344238935804504482448046337cf8bb")</f>
        <v>0</v>
      </c>
      <c r="D46214" t="s">
        <v>5720</v>
      </c>
      <c r="E46214" t="s">
        <v>10234</v>
      </c>
      <c r="F46214" t="s">
        <v>14795</v>
      </c>
      <c r="G46214" t="s">
        <v>18662</v>
      </c>
      <c r="H46214" t="s">
        <v>38959</v>
      </c>
    </row>
    <row r="46215" spans="1:8">
      <c r="H46215" t="s">
        <v>38960</v>
      </c>
    </row>
    <row r="46216" spans="1:8">
      <c r="H46216" t="s">
        <v>38961</v>
      </c>
    </row>
    <row r="46217" spans="1:8">
      <c r="A46217" t="s">
        <v>4574</v>
      </c>
      <c r="B46217">
        <f>HYPERLINK("https://android.googlesource.com/platform/cts/+/c7301281b2d25ea17449146264d9f6a6644f49a2", "c7301281b2d25ea17449146264d9f6a6644f49a2")</f>
        <v>0</v>
      </c>
      <c r="C46217">
        <f>HYPERLINK("https://android.googlesource.com/platform/cts/+/c5c50e8bd19eb11163df31ea87afddda179b1549", "c5c50e8bd19eb11163df31ea87afddda179b1549")</f>
        <v>0</v>
      </c>
      <c r="D46217" t="s">
        <v>5021</v>
      </c>
      <c r="E46217" t="s">
        <v>10235</v>
      </c>
      <c r="F46217" t="s">
        <v>13806</v>
      </c>
      <c r="G46217" t="s">
        <v>17843</v>
      </c>
      <c r="H46217" t="s">
        <v>31283</v>
      </c>
    </row>
    <row r="46218" spans="1:8">
      <c r="A46218" t="s">
        <v>4575</v>
      </c>
      <c r="B46218">
        <f>HYPERLINK("https://android.googlesource.com/platform/cts/+/544fdc824095b625b6fc0efecf7a6bd31e6fe92f", "544fdc824095b625b6fc0efecf7a6bd31e6fe92f")</f>
        <v>0</v>
      </c>
      <c r="C46218">
        <f>HYPERLINK("https://android.googlesource.com/platform/cts/+/5b2835f16dc6e21362ee52d99e3386239a3293b6", "5b2835f16dc6e21362ee52d99e3386239a3293b6")</f>
        <v>0</v>
      </c>
      <c r="D46218" t="s">
        <v>5118</v>
      </c>
      <c r="E46218" t="s">
        <v>10236</v>
      </c>
      <c r="F46218" t="s">
        <v>13165</v>
      </c>
      <c r="G46218" t="s">
        <v>17315</v>
      </c>
      <c r="H46218" t="s">
        <v>37793</v>
      </c>
    </row>
    <row r="46219" spans="1:8">
      <c r="A46219" t="s">
        <v>4576</v>
      </c>
      <c r="B46219">
        <f>HYPERLINK("https://android.googlesource.com/platform/cts/+/2948cd38ac8d82413ca2f9f890a32b6f6d2b8e9c", "2948cd38ac8d82413ca2f9f890a32b6f6d2b8e9c")</f>
        <v>0</v>
      </c>
      <c r="C46219">
        <f>HYPERLINK("https://android.googlesource.com/platform/cts/+/a2048601bb93881f5767655ea8647631f0a15588", "a2048601bb93881f5767655ea8647631f0a15588")</f>
        <v>0</v>
      </c>
      <c r="D46219" t="s">
        <v>5118</v>
      </c>
      <c r="E46219" t="s">
        <v>10237</v>
      </c>
      <c r="F46219" t="s">
        <v>13165</v>
      </c>
      <c r="G46219" t="s">
        <v>17315</v>
      </c>
      <c r="H46219" t="s">
        <v>37793</v>
      </c>
    </row>
    <row r="46220" spans="1:8">
      <c r="A46220" t="s">
        <v>4577</v>
      </c>
      <c r="B46220">
        <f>HYPERLINK("https://android.googlesource.com/platform/cts/+/8efd3bb91838d0d0a70ac367e9e17f890cb004bd", "8efd3bb91838d0d0a70ac367e9e17f890cb004bd")</f>
        <v>0</v>
      </c>
      <c r="C46220">
        <f>HYPERLINK("https://android.googlesource.com/platform/cts/+/2cccd985a8b973c9dc0af4e44f9ef4f11a7b5707", "2cccd985a8b973c9dc0af4e44f9ef4f11a7b5707")</f>
        <v>0</v>
      </c>
      <c r="D46220" t="s">
        <v>5118</v>
      </c>
      <c r="E46220" t="s">
        <v>10238</v>
      </c>
      <c r="F46220" t="s">
        <v>13165</v>
      </c>
      <c r="G46220" t="s">
        <v>17315</v>
      </c>
      <c r="H46220" t="s">
        <v>37793</v>
      </c>
    </row>
    <row r="46221" spans="1:8">
      <c r="A46221" t="s">
        <v>4578</v>
      </c>
      <c r="B46221">
        <f>HYPERLINK("https://android.googlesource.com/platform/cts/+/ee7337d0b74031bfde73b7806e742480f1c937c4", "ee7337d0b74031bfde73b7806e742480f1c937c4")</f>
        <v>0</v>
      </c>
      <c r="C46221">
        <f>HYPERLINK("https://android.googlesource.com/platform/cts/+/0362b495e55db29266e8dc4582cd8b1acd5074b8", "0362b495e55db29266e8dc4582cd8b1acd5074b8")</f>
        <v>0</v>
      </c>
      <c r="D46221" t="s">
        <v>5512</v>
      </c>
      <c r="E46221" t="s">
        <v>10239</v>
      </c>
      <c r="F46221" t="s">
        <v>14796</v>
      </c>
      <c r="G46221" t="s">
        <v>18663</v>
      </c>
      <c r="H46221" t="s">
        <v>18829</v>
      </c>
    </row>
    <row r="46222" spans="1:8">
      <c r="A46222" t="s">
        <v>4579</v>
      </c>
      <c r="B46222">
        <f>HYPERLINK("https://android.googlesource.com/platform/cts/+/de571f5409b8bcd5fc623a97b806f18ec322ff5c", "de571f5409b8bcd5fc623a97b806f18ec322ff5c")</f>
        <v>0</v>
      </c>
      <c r="C46222">
        <f>HYPERLINK("https://android.googlesource.com/platform/cts/+/39698c8626596ab0d3d512a1fb97a28c1d362c93", "39698c8626596ab0d3d512a1fb97a28c1d362c93")</f>
        <v>0</v>
      </c>
      <c r="D46222" t="s">
        <v>5726</v>
      </c>
      <c r="E46222" t="s">
        <v>10240</v>
      </c>
      <c r="F46222" t="s">
        <v>14797</v>
      </c>
      <c r="G46222" t="s">
        <v>16471</v>
      </c>
      <c r="H46222" t="s">
        <v>38962</v>
      </c>
    </row>
    <row r="46223" spans="1:8">
      <c r="A46223" t="s">
        <v>4580</v>
      </c>
      <c r="B46223">
        <f>HYPERLINK("https://android.googlesource.com/platform/cts/+/593c2f9052170f50c55647de89cfdcc92dca8e32", "593c2f9052170f50c55647de89cfdcc92dca8e32")</f>
        <v>0</v>
      </c>
      <c r="C46223">
        <f>HYPERLINK("https://android.googlesource.com/platform/cts/+/41be8f7274a2ecac18ed30e3d00a7a4d91988d8d", "41be8f7274a2ecac18ed30e3d00a7a4d91988d8d")</f>
        <v>0</v>
      </c>
      <c r="D46223" t="s">
        <v>5463</v>
      </c>
      <c r="E46223" t="s">
        <v>10241</v>
      </c>
      <c r="F46223" t="s">
        <v>14798</v>
      </c>
      <c r="G46223" t="s">
        <v>18664</v>
      </c>
      <c r="H46223" t="s">
        <v>38963</v>
      </c>
    </row>
    <row r="46224" spans="1:8">
      <c r="A46224" t="s">
        <v>4583</v>
      </c>
      <c r="B46224">
        <f>HYPERLINK("https://android.googlesource.com/platform/cts/+/beea8a3f8faa3d8103a233908dc9dffbfdec33c1", "beea8a3f8faa3d8103a233908dc9dffbfdec33c1")</f>
        <v>0</v>
      </c>
      <c r="C46224">
        <f>HYPERLINK("https://android.googlesource.com/platform/cts/+/b620e85d0c87d87891ae1809dba11bb360784bab", "b620e85d0c87d87891ae1809dba11bb360784bab")</f>
        <v>0</v>
      </c>
      <c r="D46224" t="s">
        <v>5727</v>
      </c>
      <c r="E46224" t="s">
        <v>10243</v>
      </c>
      <c r="F46224" t="s">
        <v>14679</v>
      </c>
      <c r="G46224" t="s">
        <v>18573</v>
      </c>
      <c r="H46224" t="s">
        <v>38964</v>
      </c>
    </row>
    <row r="46225" spans="1:8">
      <c r="A46225" t="s">
        <v>4584</v>
      </c>
      <c r="B46225">
        <f>HYPERLINK("https://android.googlesource.com/platform/cts/+/8c5bbe0d671ab4cd4dc0493618a20cd2acac7329", "8c5bbe0d671ab4cd4dc0493618a20cd2acac7329")</f>
        <v>0</v>
      </c>
      <c r="C46225">
        <f>HYPERLINK("https://android.googlesource.com/platform/cts/+/d5bb6a92e62600a9a3cf39230815443f40ea5299", "d5bb6a92e62600a9a3cf39230815443f40ea5299")</f>
        <v>0</v>
      </c>
      <c r="D46225" t="s">
        <v>5728</v>
      </c>
      <c r="E46225" t="s">
        <v>10244</v>
      </c>
      <c r="F46225" t="s">
        <v>14799</v>
      </c>
      <c r="G46225" t="s">
        <v>18665</v>
      </c>
      <c r="H46225" t="s">
        <v>19981</v>
      </c>
    </row>
    <row r="46226" spans="1:8">
      <c r="F46226" t="s">
        <v>14663</v>
      </c>
      <c r="G46226" t="s">
        <v>18560</v>
      </c>
      <c r="H46226" t="s">
        <v>19981</v>
      </c>
    </row>
    <row r="46227" spans="1:8">
      <c r="A46227" t="s">
        <v>4585</v>
      </c>
      <c r="B46227">
        <f>HYPERLINK("https://android.googlesource.com/platform/cts/+/60a8ffc4a7bc5663989bf6cfd5e6e6fe3b60d2ea", "60a8ffc4a7bc5663989bf6cfd5e6e6fe3b60d2ea")</f>
        <v>0</v>
      </c>
      <c r="C46227">
        <f>HYPERLINK("https://android.googlesource.com/platform/cts/+/18a748a535420aba5ef258d9362154e015ac8246", "18a748a535420aba5ef258d9362154e015ac8246")</f>
        <v>0</v>
      </c>
      <c r="D46227" t="s">
        <v>5728</v>
      </c>
      <c r="E46227" t="s">
        <v>10245</v>
      </c>
      <c r="F46227" t="s">
        <v>14800</v>
      </c>
      <c r="G46227" t="s">
        <v>18479</v>
      </c>
      <c r="H46227" t="s">
        <v>38965</v>
      </c>
    </row>
    <row r="46228" spans="1:8">
      <c r="H46228" t="s">
        <v>38966</v>
      </c>
    </row>
    <row r="46229" spans="1:8">
      <c r="A46229" t="s">
        <v>4586</v>
      </c>
      <c r="B46229">
        <f>HYPERLINK("https://android.googlesource.com/platform/cts/+/a56ba0f83f0bde017249b787a51e69c3deac7f74", "a56ba0f83f0bde017249b787a51e69c3deac7f74")</f>
        <v>0</v>
      </c>
      <c r="C46229">
        <f>HYPERLINK("https://android.googlesource.com/platform/cts/+/fe29dcef0dc47151ef90278e57e503607cfe66a8", "fe29dcef0dc47151ef90278e57e503607cfe66a8")</f>
        <v>0</v>
      </c>
      <c r="D46229" t="s">
        <v>5729</v>
      </c>
      <c r="E46229" t="s">
        <v>10246</v>
      </c>
      <c r="F46229" t="s">
        <v>14801</v>
      </c>
      <c r="G46229" t="s">
        <v>18666</v>
      </c>
      <c r="H46229" t="s">
        <v>38967</v>
      </c>
    </row>
    <row r="46230" spans="1:8">
      <c r="H46230" t="s">
        <v>38968</v>
      </c>
    </row>
    <row r="46231" spans="1:8">
      <c r="F46231" t="s">
        <v>14802</v>
      </c>
      <c r="G46231" t="s">
        <v>18667</v>
      </c>
      <c r="H46231" t="s">
        <v>38969</v>
      </c>
    </row>
    <row r="46232" spans="1:8">
      <c r="A46232" t="s">
        <v>4587</v>
      </c>
      <c r="B46232">
        <f>HYPERLINK("https://android.googlesource.com/platform/cts/+/36bcf9747069aee2915e4ec3f1071cef365620a5", "36bcf9747069aee2915e4ec3f1071cef365620a5")</f>
        <v>0</v>
      </c>
      <c r="C46232">
        <f>HYPERLINK("https://android.googlesource.com/platform/cts/+/41c0abe56b4e5a15087d5a9da7bc4755be8068dd", "41c0abe56b4e5a15087d5a9da7bc4755be8068dd")</f>
        <v>0</v>
      </c>
      <c r="D46232" t="s">
        <v>5730</v>
      </c>
      <c r="E46232" t="s">
        <v>10247</v>
      </c>
      <c r="F46232" t="s">
        <v>14768</v>
      </c>
      <c r="G46232" t="s">
        <v>18644</v>
      </c>
      <c r="H46232" t="s">
        <v>38970</v>
      </c>
    </row>
    <row r="46233" spans="1:8">
      <c r="A46233" t="s">
        <v>4588</v>
      </c>
      <c r="B46233">
        <f>HYPERLINK("https://android.googlesource.com/platform/cts/+/5dc1f4f6c6cfa65d6fe278ee88a2ba6a3b2dc4bf", "5dc1f4f6c6cfa65d6fe278ee88a2ba6a3b2dc4bf")</f>
        <v>0</v>
      </c>
      <c r="C46233">
        <f>HYPERLINK("https://android.googlesource.com/platform/cts/+/3b427a15fbdc3a63c1d70ae2cefc883236ac0c79", "3b427a15fbdc3a63c1d70ae2cefc883236ac0c79")</f>
        <v>0</v>
      </c>
      <c r="D46233" t="s">
        <v>5396</v>
      </c>
      <c r="E46233" t="s">
        <v>10248</v>
      </c>
      <c r="F46233" t="s">
        <v>14014</v>
      </c>
      <c r="G46233" t="s">
        <v>18026</v>
      </c>
      <c r="H46233" t="s">
        <v>38971</v>
      </c>
    </row>
    <row r="46234" spans="1:8">
      <c r="H46234" t="s">
        <v>38972</v>
      </c>
    </row>
    <row r="46235" spans="1:8">
      <c r="H46235" t="s">
        <v>38973</v>
      </c>
    </row>
    <row r="46236" spans="1:8">
      <c r="H46236" t="s">
        <v>38974</v>
      </c>
    </row>
    <row r="46237" spans="1:8">
      <c r="F46237" t="s">
        <v>14803</v>
      </c>
      <c r="G46237" t="s">
        <v>18668</v>
      </c>
      <c r="H46237" t="s">
        <v>38975</v>
      </c>
    </row>
    <row r="46238" spans="1:8">
      <c r="H46238" t="s">
        <v>38976</v>
      </c>
    </row>
    <row r="46239" spans="1:8">
      <c r="A46239" t="s">
        <v>4589</v>
      </c>
      <c r="B46239">
        <f>HYPERLINK("https://android.googlesource.com/platform/cts/+/74adc0f1015cc2fff71cddec9864c78bbca43dca", "74adc0f1015cc2fff71cddec9864c78bbca43dca")</f>
        <v>0</v>
      </c>
      <c r="C46239">
        <f>HYPERLINK("https://android.googlesource.com/platform/cts/+/245208bcbadcb38c91995dc6dc781c0bdd78a175", "245208bcbadcb38c91995dc6dc781c0bdd78a175")</f>
        <v>0</v>
      </c>
      <c r="D46239" t="s">
        <v>5731</v>
      </c>
      <c r="E46239" t="s">
        <v>10249</v>
      </c>
      <c r="F46239" t="s">
        <v>14804</v>
      </c>
      <c r="G46239" t="s">
        <v>18669</v>
      </c>
      <c r="H46239" t="s">
        <v>38977</v>
      </c>
    </row>
    <row r="46240" spans="1:8">
      <c r="H46240" t="s">
        <v>38978</v>
      </c>
    </row>
    <row r="46241" spans="1:8">
      <c r="H46241" t="s">
        <v>38979</v>
      </c>
    </row>
    <row r="46242" spans="1:8">
      <c r="A46242" t="s">
        <v>4590</v>
      </c>
      <c r="B46242">
        <f>HYPERLINK("https://android.googlesource.com/platform/cts/+/783ae4cf6a0146142090aa416e35df4bb176ffc5", "783ae4cf6a0146142090aa416e35df4bb176ffc5")</f>
        <v>0</v>
      </c>
      <c r="C46242">
        <f>HYPERLINK("https://android.googlesource.com/platform/cts/+/b84d9b2de9243f1f3ff673968aceedd3a7d23ad5", "b84d9b2de9243f1f3ff673968aceedd3a7d23ad5")</f>
        <v>0</v>
      </c>
      <c r="D46242" t="s">
        <v>5732</v>
      </c>
      <c r="E46242" t="s">
        <v>10250</v>
      </c>
      <c r="F46242" t="s">
        <v>13730</v>
      </c>
      <c r="G46242" t="s">
        <v>16824</v>
      </c>
      <c r="H46242" t="s">
        <v>18829</v>
      </c>
    </row>
    <row r="46243" spans="1:8">
      <c r="F46243" t="s">
        <v>14805</v>
      </c>
      <c r="G46243" t="s">
        <v>18670</v>
      </c>
      <c r="H46243" t="s">
        <v>18863</v>
      </c>
    </row>
    <row r="46244" spans="1:8">
      <c r="A46244" t="s">
        <v>4592</v>
      </c>
      <c r="B46244">
        <f>HYPERLINK("https://android.googlesource.com/platform/cts/+/45460391cd022462b9258a6d8e4029b6c8cbab7d", "45460391cd022462b9258a6d8e4029b6c8cbab7d")</f>
        <v>0</v>
      </c>
      <c r="C46244">
        <f>HYPERLINK("https://android.googlesource.com/platform/cts/+/39698c8626596ab0d3d512a1fb97a28c1d362c93", "39698c8626596ab0d3d512a1fb97a28c1d362c93")</f>
        <v>0</v>
      </c>
      <c r="D46244" t="s">
        <v>5096</v>
      </c>
      <c r="E46244" t="s">
        <v>10252</v>
      </c>
      <c r="F46244" t="s">
        <v>14536</v>
      </c>
      <c r="G46244" t="s">
        <v>18460</v>
      </c>
      <c r="H46244" t="s">
        <v>38980</v>
      </c>
    </row>
    <row r="46245" spans="1:8">
      <c r="A46245" t="s">
        <v>4593</v>
      </c>
      <c r="B46245">
        <f>HYPERLINK("https://android.googlesource.com/platform/cts/+/5c85318997239d29b94147943d289d0dbc90b75b", "5c85318997239d29b94147943d289d0dbc90b75b")</f>
        <v>0</v>
      </c>
      <c r="C46245">
        <f>HYPERLINK("https://android.googlesource.com/platform/cts/+/c6eda5ade898b4cba0eca530f84ecbf1afed4f8a", "c6eda5ade898b4cba0eca530f84ecbf1afed4f8a")</f>
        <v>0</v>
      </c>
      <c r="D46245" t="s">
        <v>5096</v>
      </c>
      <c r="E46245" t="s">
        <v>10253</v>
      </c>
      <c r="F46245" t="s">
        <v>14695</v>
      </c>
      <c r="G46245" t="s">
        <v>18585</v>
      </c>
      <c r="H46245" t="s">
        <v>38981</v>
      </c>
    </row>
    <row r="46246" spans="1:8">
      <c r="H46246" t="s">
        <v>37878</v>
      </c>
    </row>
    <row r="46247" spans="1:8">
      <c r="A46247" t="s">
        <v>4594</v>
      </c>
      <c r="B46247">
        <f>HYPERLINK("https://android.googlesource.com/platform/cts/+/e615f83e1b21bd74640cfc1f2bd60824c0dc2752", "e615f83e1b21bd74640cfc1f2bd60824c0dc2752")</f>
        <v>0</v>
      </c>
      <c r="C46247">
        <f>HYPERLINK("https://android.googlesource.com/platform/cts/+/bac8610cca30aeecb7e4428fcd77ff54897b1805", "bac8610cca30aeecb7e4428fcd77ff54897b1805")</f>
        <v>0</v>
      </c>
      <c r="D46247" t="s">
        <v>5733</v>
      </c>
      <c r="E46247" t="s">
        <v>10254</v>
      </c>
      <c r="F46247" t="s">
        <v>14806</v>
      </c>
      <c r="G46247" t="s">
        <v>18671</v>
      </c>
      <c r="H46247" t="s">
        <v>38982</v>
      </c>
    </row>
    <row r="46248" spans="1:8">
      <c r="A46248" t="s">
        <v>4595</v>
      </c>
      <c r="B46248">
        <f>HYPERLINK("https://android.googlesource.com/platform/cts/+/06a970b73b949dc413450c7ac465d270697544d3", "06a970b73b949dc413450c7ac465d270697544d3")</f>
        <v>0</v>
      </c>
      <c r="C46248">
        <f>HYPERLINK("https://android.googlesource.com/platform/cts/+/ef4c34a8b3ef5ed75649d3f8101dfab9f335b7c7", "ef4c34a8b3ef5ed75649d3f8101dfab9f335b7c7")</f>
        <v>0</v>
      </c>
      <c r="D46248" t="s">
        <v>5134</v>
      </c>
      <c r="E46248" t="s">
        <v>10255</v>
      </c>
      <c r="F46248" t="s">
        <v>13229</v>
      </c>
      <c r="G46248" t="s">
        <v>17370</v>
      </c>
      <c r="H46248" t="s">
        <v>30571</v>
      </c>
    </row>
    <row r="46249" spans="1:8">
      <c r="H46249" t="s">
        <v>36765</v>
      </c>
    </row>
    <row r="46250" spans="1:8">
      <c r="H46250" t="s">
        <v>36766</v>
      </c>
    </row>
    <row r="46251" spans="1:8">
      <c r="H46251" t="s">
        <v>36767</v>
      </c>
    </row>
    <row r="46252" spans="1:8">
      <c r="H46252" t="s">
        <v>36768</v>
      </c>
    </row>
    <row r="46253" spans="1:8">
      <c r="A46253" t="s">
        <v>4596</v>
      </c>
      <c r="B46253">
        <f>HYPERLINK("https://android.googlesource.com/platform/cts/+/f12ac476f00e90e804948617127f2af0a134c5b6", "f12ac476f00e90e804948617127f2af0a134c5b6")</f>
        <v>0</v>
      </c>
      <c r="C46253">
        <f>HYPERLINK("https://android.googlesource.com/platform/cts/+/c72b442cf7f9a6090d861fa2e40dfa06eaec46cf", "c72b442cf7f9a6090d861fa2e40dfa06eaec46cf")</f>
        <v>0</v>
      </c>
      <c r="D46253" t="s">
        <v>5734</v>
      </c>
      <c r="E46253" t="s">
        <v>10256</v>
      </c>
      <c r="F46253" t="s">
        <v>14807</v>
      </c>
      <c r="G46253" t="s">
        <v>18672</v>
      </c>
      <c r="H46253" t="s">
        <v>38983</v>
      </c>
    </row>
    <row r="46254" spans="1:8">
      <c r="A46254" t="s">
        <v>4598</v>
      </c>
      <c r="B46254">
        <f>HYPERLINK("https://android.googlesource.com/platform/cts/+/6ab10f6dde60edbf0b69c9fc91e0c347f6bfcf0e", "6ab10f6dde60edbf0b69c9fc91e0c347f6bfcf0e")</f>
        <v>0</v>
      </c>
      <c r="C46254">
        <f>HYPERLINK("https://android.googlesource.com/platform/cts/+/b8cf2c2c2811f179c5c6b4fe2168c31907a5c0be", "b8cf2c2c2811f179c5c6b4fe2168c31907a5c0be")</f>
        <v>0</v>
      </c>
      <c r="D46254" t="s">
        <v>5409</v>
      </c>
      <c r="E46254" t="s">
        <v>10258</v>
      </c>
      <c r="F46254" t="s">
        <v>14808</v>
      </c>
      <c r="G46254" t="s">
        <v>18673</v>
      </c>
      <c r="H46254" t="s">
        <v>38984</v>
      </c>
    </row>
    <row r="46255" spans="1:8">
      <c r="H46255" t="s">
        <v>38985</v>
      </c>
    </row>
    <row r="46256" spans="1:8">
      <c r="H46256" t="s">
        <v>38986</v>
      </c>
    </row>
    <row r="46257" spans="1:8">
      <c r="H46257" t="s">
        <v>38987</v>
      </c>
    </row>
    <row r="46258" spans="1:8">
      <c r="H46258" t="s">
        <v>38988</v>
      </c>
    </row>
    <row r="46259" spans="1:8">
      <c r="H46259" t="s">
        <v>38989</v>
      </c>
    </row>
    <row r="46260" spans="1:8">
      <c r="H46260" t="s">
        <v>38990</v>
      </c>
    </row>
    <row r="46261" spans="1:8">
      <c r="H46261" t="s">
        <v>38991</v>
      </c>
    </row>
    <row r="46262" spans="1:8">
      <c r="H46262" t="s">
        <v>38992</v>
      </c>
    </row>
    <row r="46263" spans="1:8">
      <c r="H46263" t="s">
        <v>38993</v>
      </c>
    </row>
    <row r="46264" spans="1:8">
      <c r="H46264" t="s">
        <v>38994</v>
      </c>
    </row>
    <row r="46265" spans="1:8">
      <c r="H46265" t="s">
        <v>38995</v>
      </c>
    </row>
    <row r="46266" spans="1:8">
      <c r="H46266" t="s">
        <v>38996</v>
      </c>
    </row>
    <row r="46267" spans="1:8">
      <c r="H46267" t="s">
        <v>38997</v>
      </c>
    </row>
    <row r="46268" spans="1:8">
      <c r="H46268" t="s">
        <v>38998</v>
      </c>
    </row>
    <row r="46269" spans="1:8">
      <c r="H46269" t="s">
        <v>38999</v>
      </c>
    </row>
    <row r="46270" spans="1:8">
      <c r="A46270" t="s">
        <v>4599</v>
      </c>
      <c r="B46270">
        <f>HYPERLINK("https://android.googlesource.com/platform/cts/+/bda932bd24875f53aa41309d8905398e3ca91d84", "bda932bd24875f53aa41309d8905398e3ca91d84")</f>
        <v>0</v>
      </c>
      <c r="C46270">
        <f>HYPERLINK("https://android.googlesource.com/platform/cts/+/dac827812f1f58322b9c5bf522b3d74cc20c1354", "dac827812f1f58322b9c5bf522b3d74cc20c1354")</f>
        <v>0</v>
      </c>
      <c r="D46270" t="s">
        <v>5645</v>
      </c>
      <c r="E46270" t="s">
        <v>10259</v>
      </c>
      <c r="F46270" t="s">
        <v>14809</v>
      </c>
      <c r="G46270" t="s">
        <v>18674</v>
      </c>
      <c r="H46270" t="s">
        <v>39000</v>
      </c>
    </row>
    <row r="46271" spans="1:8">
      <c r="H46271" t="s">
        <v>39001</v>
      </c>
    </row>
    <row r="46272" spans="1:8">
      <c r="H46272" t="s">
        <v>39002</v>
      </c>
    </row>
    <row r="46273" spans="1:8">
      <c r="H46273" t="s">
        <v>39003</v>
      </c>
    </row>
    <row r="46274" spans="1:8">
      <c r="H46274" t="s">
        <v>39004</v>
      </c>
    </row>
    <row r="46275" spans="1:8">
      <c r="A46275" t="s">
        <v>4600</v>
      </c>
      <c r="B46275">
        <f>HYPERLINK("https://android.googlesource.com/platform/cts/+/8ac744d2963513802750a2b24a6ebf38ee75fff0", "8ac744d2963513802750a2b24a6ebf38ee75fff0")</f>
        <v>0</v>
      </c>
      <c r="C46275">
        <f>HYPERLINK("https://android.googlesource.com/platform/cts/+/1eeb99c4568b177f45deca5c423bdc38ba629105", "1eeb99c4568b177f45deca5c423bdc38ba629105")</f>
        <v>0</v>
      </c>
      <c r="D46275" t="s">
        <v>5584</v>
      </c>
      <c r="E46275" t="s">
        <v>10260</v>
      </c>
      <c r="F46275" t="s">
        <v>14735</v>
      </c>
      <c r="G46275" t="s">
        <v>17345</v>
      </c>
      <c r="H46275" t="s">
        <v>39005</v>
      </c>
    </row>
    <row r="46276" spans="1:8">
      <c r="A46276" t="s">
        <v>4601</v>
      </c>
      <c r="B46276">
        <f>HYPERLINK("https://android.googlesource.com/platform/cts/+/f191f28ee627e479fa7cc2900a12700748288d9c", "f191f28ee627e479fa7cc2900a12700748288d9c")</f>
        <v>0</v>
      </c>
      <c r="C46276">
        <f>HYPERLINK("https://android.googlesource.com/platform/cts/+/1e1e0186888cca648ce23b0b939e353942a1fa7d", "1e1e0186888cca648ce23b0b939e353942a1fa7d")</f>
        <v>0</v>
      </c>
      <c r="D46276" t="s">
        <v>5484</v>
      </c>
      <c r="E46276" t="s">
        <v>10261</v>
      </c>
      <c r="F46276" t="s">
        <v>14810</v>
      </c>
      <c r="G46276" t="s">
        <v>18675</v>
      </c>
      <c r="H46276" t="s">
        <v>39006</v>
      </c>
    </row>
    <row r="46277" spans="1:8">
      <c r="A46277" t="s">
        <v>4602</v>
      </c>
      <c r="B46277">
        <f>HYPERLINK("https://android.googlesource.com/platform/cts/+/e03820bc47a455f3a3d54c47a43419285e36369f", "e03820bc47a455f3a3d54c47a43419285e36369f")</f>
        <v>0</v>
      </c>
      <c r="C46277">
        <f>HYPERLINK("https://android.googlesource.com/platform/cts/+/31c77e979172a1510c5d3fea58f7df42466703a6", "31c77e979172a1510c5d3fea58f7df42466703a6")</f>
        <v>0</v>
      </c>
      <c r="D46277" t="s">
        <v>5501</v>
      </c>
      <c r="E46277" t="s">
        <v>10262</v>
      </c>
      <c r="F46277" t="s">
        <v>14158</v>
      </c>
      <c r="G46277" t="s">
        <v>18144</v>
      </c>
      <c r="H46277" t="s">
        <v>36601</v>
      </c>
    </row>
    <row r="46278" spans="1:8">
      <c r="A46278" t="s">
        <v>4603</v>
      </c>
      <c r="B46278">
        <f>HYPERLINK("https://android.googlesource.com/platform/cts/+/5e1aadb605c0058dc29ce4f5f57b253d8f2c764b", "5e1aadb605c0058dc29ce4f5f57b253d8f2c764b")</f>
        <v>0</v>
      </c>
      <c r="C46278">
        <f>HYPERLINK("https://android.googlesource.com/platform/cts/+/e1d4136e4b0eba8b728cd1516c3e8f259a1d0fc6", "e1d4136e4b0eba8b728cd1516c3e8f259a1d0fc6")</f>
        <v>0</v>
      </c>
      <c r="D46278" t="s">
        <v>5445</v>
      </c>
      <c r="E46278" t="s">
        <v>10263</v>
      </c>
      <c r="F46278" t="s">
        <v>14811</v>
      </c>
      <c r="G46278" t="s">
        <v>18676</v>
      </c>
      <c r="H46278" t="s">
        <v>39007</v>
      </c>
    </row>
    <row r="46279" spans="1:8">
      <c r="A46279" t="s">
        <v>4604</v>
      </c>
      <c r="B46279">
        <f>HYPERLINK("https://android.googlesource.com/platform/cts/+/386c5d861912227141aaa294856a22ead49dafbc", "386c5d861912227141aaa294856a22ead49dafbc")</f>
        <v>0</v>
      </c>
      <c r="C46279">
        <f>HYPERLINK("https://android.googlesource.com/platform/cts/+/09470e491420e2f4863e76dbd3a5d4ee25dd5a8e", "09470e491420e2f4863e76dbd3a5d4ee25dd5a8e")</f>
        <v>0</v>
      </c>
      <c r="D46279" t="s">
        <v>5724</v>
      </c>
      <c r="E46279" t="s">
        <v>10264</v>
      </c>
      <c r="F46279" t="s">
        <v>13037</v>
      </c>
      <c r="G46279" t="s">
        <v>17201</v>
      </c>
      <c r="H46279" t="s">
        <v>39008</v>
      </c>
    </row>
    <row r="46280" spans="1:8">
      <c r="A46280" t="s">
        <v>4605</v>
      </c>
      <c r="B46280">
        <f>HYPERLINK("https://android.googlesource.com/platform/cts/+/484e81d3365f7c59bd19e041a97fd94776d2c67f", "484e81d3365f7c59bd19e041a97fd94776d2c67f")</f>
        <v>0</v>
      </c>
      <c r="C46280">
        <f>HYPERLINK("https://android.googlesource.com/platform/cts/+/cdb739f3f3411b6759791e86a7d2a1f6f37f34eb", "cdb739f3f3411b6759791e86a7d2a1f6f37f34eb")</f>
        <v>0</v>
      </c>
      <c r="D46280" t="s">
        <v>5478</v>
      </c>
      <c r="E46280" t="s">
        <v>10265</v>
      </c>
      <c r="F46280" t="s">
        <v>14633</v>
      </c>
      <c r="G46280" t="s">
        <v>18543</v>
      </c>
      <c r="H46280" t="s">
        <v>39009</v>
      </c>
    </row>
    <row r="46281" spans="1:8">
      <c r="A46281" t="s">
        <v>4606</v>
      </c>
      <c r="B46281">
        <f>HYPERLINK("https://android.googlesource.com/platform/cts/+/1babb54ac8a4d0bbd2264e230d7869ba425fdfa6", "1babb54ac8a4d0bbd2264e230d7869ba425fdfa6")</f>
        <v>0</v>
      </c>
      <c r="C46281">
        <f>HYPERLINK("https://android.googlesource.com/platform/cts/+/31c77e979172a1510c5d3fea58f7df42466703a6", "31c77e979172a1510c5d3fea58f7df42466703a6")</f>
        <v>0</v>
      </c>
      <c r="D46281" t="s">
        <v>5564</v>
      </c>
      <c r="E46281" t="s">
        <v>10266</v>
      </c>
      <c r="F46281" t="s">
        <v>14812</v>
      </c>
      <c r="G46281" t="s">
        <v>16423</v>
      </c>
      <c r="H46281" t="s">
        <v>39010</v>
      </c>
    </row>
    <row r="46282" spans="1:8">
      <c r="H46282" t="s">
        <v>39011</v>
      </c>
    </row>
    <row r="46283" spans="1:8">
      <c r="H46283" t="s">
        <v>39012</v>
      </c>
    </row>
    <row r="46284" spans="1:8">
      <c r="H46284" t="s">
        <v>38328</v>
      </c>
    </row>
    <row r="46285" spans="1:8">
      <c r="H46285" t="s">
        <v>22649</v>
      </c>
    </row>
    <row r="46286" spans="1:8">
      <c r="A46286" t="s">
        <v>4607</v>
      </c>
      <c r="B46286">
        <f>HYPERLINK("https://android.googlesource.com/platform/cts/+/125bbaf05c1228c7c75e529b2b379b79b82916ab", "125bbaf05c1228c7c75e529b2b379b79b82916ab")</f>
        <v>0</v>
      </c>
      <c r="C46286">
        <f>HYPERLINK("https://android.googlesource.com/platform/cts/+/130e2d1593374f335b3adcd804c234810d8d4a0c", "130e2d1593374f335b3adcd804c234810d8d4a0c")</f>
        <v>0</v>
      </c>
      <c r="D46286" t="s">
        <v>5284</v>
      </c>
      <c r="E46286" t="s">
        <v>10267</v>
      </c>
      <c r="F46286" t="s">
        <v>12984</v>
      </c>
      <c r="G46286" t="s">
        <v>17148</v>
      </c>
      <c r="H46286" t="s">
        <v>39013</v>
      </c>
    </row>
    <row r="46287" spans="1:8">
      <c r="A46287" t="s">
        <v>4608</v>
      </c>
      <c r="B46287">
        <f>HYPERLINK("https://android.googlesource.com/platform/cts/+/c4e5c8930716902464f25f929177ce27b9840651", "c4e5c8930716902464f25f929177ce27b9840651")</f>
        <v>0</v>
      </c>
      <c r="C46287">
        <f>HYPERLINK("https://android.googlesource.com/platform/cts/+/5e1411ed4474d19631643ac4b65be0be8d8f6bc4", "5e1411ed4474d19631643ac4b65be0be8d8f6bc4")</f>
        <v>0</v>
      </c>
      <c r="D46287" t="s">
        <v>5735</v>
      </c>
      <c r="E46287" t="s">
        <v>10268</v>
      </c>
      <c r="F46287" t="s">
        <v>14813</v>
      </c>
      <c r="G46287" t="s">
        <v>18677</v>
      </c>
      <c r="H46287" t="s">
        <v>39014</v>
      </c>
    </row>
    <row r="46288" spans="1:8">
      <c r="A46288" t="s">
        <v>4611</v>
      </c>
      <c r="B46288">
        <f>HYPERLINK("https://android.googlesource.com/platform/cts/+/8377dcd15f2d918595ceb2e611d5fa46a22ddbdc", "8377dcd15f2d918595ceb2e611d5fa46a22ddbdc")</f>
        <v>0</v>
      </c>
      <c r="C46288">
        <f>HYPERLINK("https://android.googlesource.com/platform/cts/+/58cdde78659e11a1b13350931e26a0384babdeb2", "58cdde78659e11a1b13350931e26a0384babdeb2")</f>
        <v>0</v>
      </c>
      <c r="D46288" t="s">
        <v>5639</v>
      </c>
      <c r="E46288" t="s">
        <v>10270</v>
      </c>
      <c r="F46288" t="s">
        <v>14769</v>
      </c>
      <c r="G46288" t="s">
        <v>18645</v>
      </c>
      <c r="H46288" t="s">
        <v>39015</v>
      </c>
    </row>
    <row r="46289" spans="1:8">
      <c r="A46289" t="s">
        <v>4613</v>
      </c>
      <c r="B46289">
        <f>HYPERLINK("https://android.googlesource.com/platform/cts/+/a42f3a21b3982df646450277a638967af7e6d5ea", "a42f3a21b3982df646450277a638967af7e6d5ea")</f>
        <v>0</v>
      </c>
      <c r="C46289">
        <f>HYPERLINK("https://android.googlesource.com/platform/cts/+/72ea194b440702db7fa250179e59ce4cf444a814", "72ea194b440702db7fa250179e59ce4cf444a814")</f>
        <v>0</v>
      </c>
      <c r="D46289" t="s">
        <v>5721</v>
      </c>
      <c r="E46289" t="s">
        <v>10271</v>
      </c>
      <c r="F46289" t="s">
        <v>14814</v>
      </c>
      <c r="G46289" t="s">
        <v>18678</v>
      </c>
      <c r="H46289" t="s">
        <v>39016</v>
      </c>
    </row>
    <row r="46290" spans="1:8">
      <c r="A46290" t="s">
        <v>4614</v>
      </c>
      <c r="B46290">
        <f>HYPERLINK("https://android.googlesource.com/platform/cts/+/ea4ecb4249f0ee1599255c2cf50d78e7617bb14b", "ea4ecb4249f0ee1599255c2cf50d78e7617bb14b")</f>
        <v>0</v>
      </c>
      <c r="C46290">
        <f>HYPERLINK("https://android.googlesource.com/platform/cts/+/85cae32e728162de0fe08a7e2dd52fdc22d5a75a", "85cae32e728162de0fe08a7e2dd52fdc22d5a75a")</f>
        <v>0</v>
      </c>
      <c r="D46290" t="s">
        <v>5736</v>
      </c>
      <c r="E46290" t="s">
        <v>10272</v>
      </c>
      <c r="F46290" t="s">
        <v>14815</v>
      </c>
      <c r="G46290" t="s">
        <v>18679</v>
      </c>
      <c r="H46290" t="s">
        <v>37227</v>
      </c>
    </row>
    <row r="46291" spans="1:8">
      <c r="H46291" t="s">
        <v>39017</v>
      </c>
    </row>
    <row r="46292" spans="1:8">
      <c r="H46292" t="s">
        <v>20340</v>
      </c>
    </row>
    <row r="46293" spans="1:8">
      <c r="H46293" t="s">
        <v>39018</v>
      </c>
    </row>
    <row r="46294" spans="1:8">
      <c r="H46294" t="s">
        <v>32737</v>
      </c>
    </row>
    <row r="46295" spans="1:8">
      <c r="H46295" t="s">
        <v>39019</v>
      </c>
    </row>
    <row r="46296" spans="1:8">
      <c r="H46296" t="s">
        <v>18863</v>
      </c>
    </row>
    <row r="46297" spans="1:8">
      <c r="H46297" t="s">
        <v>39020</v>
      </c>
    </row>
    <row r="46298" spans="1:8">
      <c r="H46298" t="s">
        <v>39021</v>
      </c>
    </row>
    <row r="46299" spans="1:8">
      <c r="H46299" t="s">
        <v>32737</v>
      </c>
    </row>
    <row r="46300" spans="1:8">
      <c r="H46300" t="s">
        <v>39022</v>
      </c>
    </row>
    <row r="46301" spans="1:8">
      <c r="H46301" t="s">
        <v>39023</v>
      </c>
    </row>
    <row r="46302" spans="1:8">
      <c r="H46302" t="s">
        <v>39023</v>
      </c>
    </row>
    <row r="46303" spans="1:8">
      <c r="H46303" t="s">
        <v>39023</v>
      </c>
    </row>
    <row r="46304" spans="1:8">
      <c r="H46304" t="s">
        <v>39022</v>
      </c>
    </row>
    <row r="46305" spans="1:8">
      <c r="H46305" t="s">
        <v>39024</v>
      </c>
    </row>
    <row r="46306" spans="1:8">
      <c r="H46306" t="s">
        <v>39025</v>
      </c>
    </row>
    <row r="46307" spans="1:8">
      <c r="H46307" t="s">
        <v>39026</v>
      </c>
    </row>
    <row r="46308" spans="1:8">
      <c r="H46308" t="s">
        <v>39027</v>
      </c>
    </row>
    <row r="46309" spans="1:8">
      <c r="H46309" t="s">
        <v>39028</v>
      </c>
    </row>
    <row r="46310" spans="1:8">
      <c r="A46310" t="s">
        <v>4615</v>
      </c>
      <c r="B46310">
        <f>HYPERLINK("https://android.googlesource.com/platform/cts/+/dc19e4de6b77cdcef67b5eec49eddbc0d896c963", "dc19e4de6b77cdcef67b5eec49eddbc0d896c963")</f>
        <v>0</v>
      </c>
      <c r="C46310">
        <f>HYPERLINK("https://android.googlesource.com/platform/cts/+/dda6933b8476190e4a8b4fdf63125dda5c7f0726", "dda6933b8476190e4a8b4fdf63125dda5c7f0726")</f>
        <v>0</v>
      </c>
      <c r="D46310" t="s">
        <v>5727</v>
      </c>
      <c r="E46310" t="s">
        <v>10273</v>
      </c>
      <c r="F46310" t="s">
        <v>14816</v>
      </c>
      <c r="G46310" t="s">
        <v>18680</v>
      </c>
      <c r="H46310" t="s">
        <v>19340</v>
      </c>
    </row>
    <row r="46311" spans="1:8">
      <c r="A46311" t="s">
        <v>4616</v>
      </c>
      <c r="B46311">
        <f>HYPERLINK("https://android.googlesource.com/platform/cts/+/f506f72ccb5e5d01e971b9b44adcf9703fed0c94", "f506f72ccb5e5d01e971b9b44adcf9703fed0c94")</f>
        <v>0</v>
      </c>
      <c r="C46311">
        <f>HYPERLINK("https://android.googlesource.com/platform/cts/+/1f266ef75f94d29551db2a59ecd7e36c447a21fe", "1f266ef75f94d29551db2a59ecd7e36c447a21fe")</f>
        <v>0</v>
      </c>
      <c r="D46311" t="s">
        <v>5723</v>
      </c>
      <c r="E46311" t="s">
        <v>10274</v>
      </c>
      <c r="F46311" t="s">
        <v>14784</v>
      </c>
      <c r="G46311" t="s">
        <v>18655</v>
      </c>
      <c r="H46311" t="s">
        <v>39029</v>
      </c>
    </row>
    <row r="46312" spans="1:8">
      <c r="A46312" t="s">
        <v>4617</v>
      </c>
      <c r="B46312">
        <f>HYPERLINK("https://android.googlesource.com/platform/cts/+/ea396918a4d920673ef8e38d724ddc80191933c4", "ea396918a4d920673ef8e38d724ddc80191933c4")</f>
        <v>0</v>
      </c>
      <c r="C46312">
        <f>HYPERLINK("https://android.googlesource.com/platform/cts/+/21200410f67a2cda0fd81a6582f8992fc6e8b1c7", "21200410f67a2cda0fd81a6582f8992fc6e8b1c7")</f>
        <v>0</v>
      </c>
      <c r="D46312" t="s">
        <v>5564</v>
      </c>
      <c r="E46312" t="s">
        <v>10275</v>
      </c>
      <c r="F46312" t="s">
        <v>14817</v>
      </c>
      <c r="G46312" t="s">
        <v>17457</v>
      </c>
      <c r="H46312" t="s">
        <v>39030</v>
      </c>
    </row>
    <row r="46313" spans="1:8">
      <c r="H46313" t="s">
        <v>39031</v>
      </c>
    </row>
    <row r="46314" spans="1:8">
      <c r="H46314" t="s">
        <v>39032</v>
      </c>
    </row>
    <row r="46315" spans="1:8">
      <c r="A46315" t="s">
        <v>4618</v>
      </c>
      <c r="B46315">
        <f>HYPERLINK("https://android.googlesource.com/platform/cts/+/de13962b6a4e62b67ed3f0e596828d38b6532381", "de13962b6a4e62b67ed3f0e596828d38b6532381")</f>
        <v>0</v>
      </c>
      <c r="C46315">
        <f>HYPERLINK("https://android.googlesource.com/platform/cts/+/3fc4fe890ca7abc65ebbef493c0bba30535e44ac", "3fc4fe890ca7abc65ebbef493c0bba30535e44ac")</f>
        <v>0</v>
      </c>
      <c r="D46315" t="s">
        <v>5737</v>
      </c>
      <c r="E46315" t="s">
        <v>10276</v>
      </c>
      <c r="F46315" t="s">
        <v>14818</v>
      </c>
      <c r="G46315" t="s">
        <v>18681</v>
      </c>
      <c r="H46315" t="s">
        <v>18829</v>
      </c>
    </row>
    <row r="46316" spans="1:8">
      <c r="F46316" t="s">
        <v>14625</v>
      </c>
      <c r="G46316" t="s">
        <v>18536</v>
      </c>
      <c r="H46316" t="s">
        <v>18829</v>
      </c>
    </row>
    <row r="46317" spans="1:8">
      <c r="H46317" t="s">
        <v>39033</v>
      </c>
    </row>
    <row r="46318" spans="1:8">
      <c r="H46318" t="s">
        <v>39034</v>
      </c>
    </row>
    <row r="46319" spans="1:8">
      <c r="A46319" t="s">
        <v>4619</v>
      </c>
      <c r="B46319">
        <f>HYPERLINK("https://android.googlesource.com/platform/cts/+/ff2f108af4fe6ad980d7d346f3785588f31e56f2", "ff2f108af4fe6ad980d7d346f3785588f31e56f2")</f>
        <v>0</v>
      </c>
      <c r="C46319">
        <f>HYPERLINK("https://android.googlesource.com/platform/cts/+/486b3ec36384521da9940f46905fa3e7cc3a7cbe", "486b3ec36384521da9940f46905fa3e7cc3a7cbe")</f>
        <v>0</v>
      </c>
      <c r="D46319" t="s">
        <v>5738</v>
      </c>
      <c r="E46319" t="s">
        <v>10277</v>
      </c>
      <c r="F46319" t="s">
        <v>14819</v>
      </c>
      <c r="G46319" t="s">
        <v>18682</v>
      </c>
      <c r="H46319" t="s">
        <v>39035</v>
      </c>
    </row>
    <row r="46320" spans="1:8">
      <c r="H46320" t="s">
        <v>39036</v>
      </c>
    </row>
    <row r="46321" spans="1:8">
      <c r="A46321" t="s">
        <v>4620</v>
      </c>
      <c r="B46321">
        <f>HYPERLINK("https://android.googlesource.com/platform/cts/+/19280cc401f1d6b45ea93083022de3d6358102d5", "19280cc401f1d6b45ea93083022de3d6358102d5")</f>
        <v>0</v>
      </c>
      <c r="C46321">
        <f>HYPERLINK("https://android.googlesource.com/platform/cts/+/fd429ce9a5a96b6d20e5d49b3760989b980b4d8a", "fd429ce9a5a96b6d20e5d49b3760989b980b4d8a")</f>
        <v>0</v>
      </c>
      <c r="D46321" t="s">
        <v>5739</v>
      </c>
      <c r="E46321" t="s">
        <v>10278</v>
      </c>
      <c r="F46321" t="s">
        <v>14165</v>
      </c>
      <c r="G46321" t="s">
        <v>17361</v>
      </c>
      <c r="H46321" t="s">
        <v>39037</v>
      </c>
    </row>
    <row r="46322" spans="1:8">
      <c r="A46322" t="s">
        <v>4621</v>
      </c>
      <c r="B46322">
        <f>HYPERLINK("https://android.googlesource.com/platform/cts/+/93f75fd085015dd14bb3ea50385ea5b02db93a73", "93f75fd085015dd14bb3ea50385ea5b02db93a73")</f>
        <v>0</v>
      </c>
      <c r="C46322">
        <f>HYPERLINK("https://android.googlesource.com/platform/cts/+/8c85f48c3c1e254b4edfc4813d3bb9772aa16a65", "8c85f48c3c1e254b4edfc4813d3bb9772aa16a65")</f>
        <v>0</v>
      </c>
      <c r="D46322" t="s">
        <v>5478</v>
      </c>
      <c r="E46322" t="s">
        <v>10279</v>
      </c>
      <c r="F46322" t="s">
        <v>14820</v>
      </c>
      <c r="G46322" t="s">
        <v>18683</v>
      </c>
      <c r="H46322" t="s">
        <v>39038</v>
      </c>
    </row>
    <row r="46323" spans="1:8">
      <c r="A46323" t="s">
        <v>4622</v>
      </c>
      <c r="B46323">
        <f>HYPERLINK("https://android.googlesource.com/platform/cts/+/c415858845f62ec0ab4d8bd51b95340f24aa9aef", "c415858845f62ec0ab4d8bd51b95340f24aa9aef")</f>
        <v>0</v>
      </c>
      <c r="C46323">
        <f>HYPERLINK("https://android.googlesource.com/platform/cts/+/46124d4b74141ba908658fd8decf7bfa77571da0", "46124d4b74141ba908658fd8decf7bfa77571da0")</f>
        <v>0</v>
      </c>
      <c r="D46323" t="s">
        <v>5610</v>
      </c>
      <c r="E46323" t="s">
        <v>10280</v>
      </c>
      <c r="F46323" t="s">
        <v>14821</v>
      </c>
      <c r="G46323" t="s">
        <v>18684</v>
      </c>
      <c r="H46323" t="s">
        <v>39039</v>
      </c>
    </row>
    <row r="46324" spans="1:8">
      <c r="H46324" t="s">
        <v>39040</v>
      </c>
    </row>
    <row r="46325" spans="1:8">
      <c r="A46325" t="s">
        <v>4623</v>
      </c>
      <c r="B46325">
        <f>HYPERLINK("https://android.googlesource.com/platform/cts/+/241e7bc1ebb77bcd158f7d23f56722c03125a5fa", "241e7bc1ebb77bcd158f7d23f56722c03125a5fa")</f>
        <v>0</v>
      </c>
      <c r="C46325">
        <f>HYPERLINK("https://android.googlesource.com/platform/cts/+/9aa5abe84f36637ec37d5900d84308b176ef4ee2", "9aa5abe84f36637ec37d5900d84308b176ef4ee2")</f>
        <v>0</v>
      </c>
      <c r="D46325" t="s">
        <v>5438</v>
      </c>
      <c r="E46325" t="s">
        <v>10281</v>
      </c>
      <c r="F46325" t="s">
        <v>14822</v>
      </c>
      <c r="G46325" t="s">
        <v>18685</v>
      </c>
      <c r="H46325" t="s">
        <v>39041</v>
      </c>
    </row>
    <row r="46326" spans="1:8">
      <c r="A46326" t="s">
        <v>4624</v>
      </c>
      <c r="B46326">
        <f>HYPERLINK("https://android.googlesource.com/platform/cts/+/a5c68d2a7c00dcef5970462df92404a9f8e8e233", "a5c68d2a7c00dcef5970462df92404a9f8e8e233")</f>
        <v>0</v>
      </c>
      <c r="C46326">
        <f>HYPERLINK("https://android.googlesource.com/platform/cts/+/01611e626999b312d3ad031e9452805424baab79", "01611e626999b312d3ad031e9452805424baab79")</f>
        <v>0</v>
      </c>
      <c r="D46326" t="s">
        <v>5474</v>
      </c>
      <c r="E46326" t="s">
        <v>10282</v>
      </c>
      <c r="F46326" t="s">
        <v>14823</v>
      </c>
      <c r="G46326" t="s">
        <v>18686</v>
      </c>
      <c r="H46326" t="s">
        <v>39042</v>
      </c>
    </row>
    <row r="46327" spans="1:8">
      <c r="A46327" t="s">
        <v>4626</v>
      </c>
      <c r="B46327">
        <f>HYPERLINK("https://android.googlesource.com/platform/cts/+/a8ba0474df932993db2898a6fce810411e6fcaa1", "a8ba0474df932993db2898a6fce810411e6fcaa1")</f>
        <v>0</v>
      </c>
      <c r="C46327">
        <f>HYPERLINK("https://android.googlesource.com/platform/cts/+/648d820065bacef57cee3015f01991fbc0ae7122", "648d820065bacef57cee3015f01991fbc0ae7122")</f>
        <v>0</v>
      </c>
      <c r="D46327" t="s">
        <v>5465</v>
      </c>
      <c r="E46327" t="s">
        <v>10284</v>
      </c>
      <c r="F46327" t="s">
        <v>14461</v>
      </c>
      <c r="G46327" t="s">
        <v>15710</v>
      </c>
      <c r="H46327" t="s">
        <v>39043</v>
      </c>
    </row>
    <row r="46328" spans="1:8">
      <c r="A46328" t="s">
        <v>4627</v>
      </c>
      <c r="B46328">
        <f>HYPERLINK("https://android.googlesource.com/platform/cts/+/a331b4799bba82d2daa223e0216e4ebec51c8ba2", "a331b4799bba82d2daa223e0216e4ebec51c8ba2")</f>
        <v>0</v>
      </c>
      <c r="C46328">
        <f>HYPERLINK("https://android.googlesource.com/platform/cts/+/77b01cebb0afaff49bd9a656a59d2652e5c7a6a6", "77b01cebb0afaff49bd9a656a59d2652e5c7a6a6")</f>
        <v>0</v>
      </c>
      <c r="D46328" t="s">
        <v>5564</v>
      </c>
      <c r="E46328" t="s">
        <v>10285</v>
      </c>
      <c r="F46328" t="s">
        <v>14824</v>
      </c>
      <c r="G46328" t="s">
        <v>17062</v>
      </c>
      <c r="H46328" t="s">
        <v>26522</v>
      </c>
    </row>
    <row r="46329" spans="1:8">
      <c r="A46329" t="s">
        <v>4628</v>
      </c>
      <c r="B46329">
        <f>HYPERLINK("https://android.googlesource.com/platform/cts/+/e114243e1991fc169f07bd6a3db815b21265e6de", "e114243e1991fc169f07bd6a3db815b21265e6de")</f>
        <v>0</v>
      </c>
      <c r="C46329">
        <f>HYPERLINK("https://android.googlesource.com/platform/cts/+/d52568d1d940cadf5d08b3e700210333e5d2d083", "d52568d1d940cadf5d08b3e700210333e5d2d083")</f>
        <v>0</v>
      </c>
      <c r="D46329" t="s">
        <v>5729</v>
      </c>
      <c r="E46329" t="s">
        <v>10286</v>
      </c>
      <c r="F46329" t="s">
        <v>14825</v>
      </c>
      <c r="G46329" t="s">
        <v>18687</v>
      </c>
      <c r="H46329" t="s">
        <v>39044</v>
      </c>
    </row>
    <row r="46330" spans="1:8">
      <c r="H46330" t="s">
        <v>39045</v>
      </c>
    </row>
    <row r="46331" spans="1:8">
      <c r="H46331" t="s">
        <v>39046</v>
      </c>
    </row>
    <row r="46332" spans="1:8">
      <c r="A46332" t="s">
        <v>4629</v>
      </c>
      <c r="B46332">
        <f>HYPERLINK("https://android.googlesource.com/platform/cts/+/5a408a8b37b9953a37a8b05e84cbe25ed77ef369", "5a408a8b37b9953a37a8b05e84cbe25ed77ef369")</f>
        <v>0</v>
      </c>
      <c r="C46332">
        <f>HYPERLINK("https://android.googlesource.com/platform/cts/+/5722906555bccd1f17f0e056ca26e413fa2fbbee", "5722906555bccd1f17f0e056ca26e413fa2fbbee")</f>
        <v>0</v>
      </c>
      <c r="D46332" t="s">
        <v>5445</v>
      </c>
      <c r="E46332" t="s">
        <v>10287</v>
      </c>
      <c r="F46332" t="s">
        <v>14826</v>
      </c>
      <c r="G46332" t="s">
        <v>18688</v>
      </c>
      <c r="H46332" t="s">
        <v>18829</v>
      </c>
    </row>
    <row r="46333" spans="1:8">
      <c r="H46333" t="s">
        <v>18863</v>
      </c>
    </row>
    <row r="46334" spans="1:8">
      <c r="H46334" t="s">
        <v>39047</v>
      </c>
    </row>
    <row r="46335" spans="1:8">
      <c r="A46335" t="s">
        <v>4630</v>
      </c>
      <c r="B46335">
        <f>HYPERLINK("https://android.googlesource.com/platform/cts/+/f53d93a09cfbcdce88aa9c3ae7d4bebbb9f12339", "f53d93a09cfbcdce88aa9c3ae7d4bebbb9f12339")</f>
        <v>0</v>
      </c>
      <c r="C46335">
        <f>HYPERLINK("https://android.googlesource.com/platform/cts/+/ec1f01c815081d785fb53f08db91c6cfc1d8bdcd", "ec1f01c815081d785fb53f08db91c6cfc1d8bdcd")</f>
        <v>0</v>
      </c>
      <c r="D46335" t="s">
        <v>5740</v>
      </c>
      <c r="E46335" t="s">
        <v>10288</v>
      </c>
      <c r="F46335" t="s">
        <v>14121</v>
      </c>
      <c r="G46335" t="s">
        <v>16426</v>
      </c>
      <c r="H46335" t="s">
        <v>39048</v>
      </c>
    </row>
    <row r="46336" spans="1:8">
      <c r="A46336" t="s">
        <v>4631</v>
      </c>
      <c r="B46336">
        <f>HYPERLINK("https://android.googlesource.com/platform/cts/+/87963bd9590b142e4f90bb0e3199f066e2d96308", "87963bd9590b142e4f90bb0e3199f066e2d96308")</f>
        <v>0</v>
      </c>
      <c r="C46336">
        <f>HYPERLINK("https://android.googlesource.com/platform/cts/+/4ad20d3a4fabcb292b90b24896120b83a9da8271", "4ad20d3a4fabcb292b90b24896120b83a9da8271")</f>
        <v>0</v>
      </c>
      <c r="D46336" t="s">
        <v>5528</v>
      </c>
      <c r="E46336" t="s">
        <v>10289</v>
      </c>
      <c r="F46336" t="s">
        <v>14827</v>
      </c>
      <c r="G46336" t="s">
        <v>18689</v>
      </c>
      <c r="H46336" t="s">
        <v>39049</v>
      </c>
    </row>
    <row r="46337" spans="1:8">
      <c r="A46337" t="s">
        <v>4632</v>
      </c>
      <c r="B46337">
        <f>HYPERLINK("https://android.googlesource.com/platform/cts/+/a96cb6f65c0ab75f9de6cc8b8338ef39e21976ad", "a96cb6f65c0ab75f9de6cc8b8338ef39e21976ad")</f>
        <v>0</v>
      </c>
      <c r="C46337">
        <f>HYPERLINK("https://android.googlesource.com/platform/cts/+/da086e42779f95f995bddcd6bf5f1677277dba56", "da086e42779f95f995bddcd6bf5f1677277dba56")</f>
        <v>0</v>
      </c>
      <c r="D46337" t="s">
        <v>5741</v>
      </c>
      <c r="E46337" t="s">
        <v>10290</v>
      </c>
      <c r="F46337" t="s">
        <v>14529</v>
      </c>
      <c r="G46337" t="s">
        <v>18454</v>
      </c>
      <c r="H46337" t="s">
        <v>39050</v>
      </c>
    </row>
    <row r="46338" spans="1:8">
      <c r="A46338" t="s">
        <v>4633</v>
      </c>
      <c r="B46338">
        <f>HYPERLINK("https://android.googlesource.com/platform/cts/+/882dd354ba260f9360e8e11cb02132db6efd76c9", "882dd354ba260f9360e8e11cb02132db6efd76c9")</f>
        <v>0</v>
      </c>
      <c r="C46338">
        <f>HYPERLINK("https://android.googlesource.com/platform/cts/+/59d1899ae7939c584e7d7bf1f4cac9e3478c087d", "59d1899ae7939c584e7d7bf1f4cac9e3478c087d")</f>
        <v>0</v>
      </c>
      <c r="D46338" t="s">
        <v>5549</v>
      </c>
      <c r="E46338" t="s">
        <v>10291</v>
      </c>
      <c r="F46338" t="s">
        <v>14818</v>
      </c>
      <c r="G46338" t="s">
        <v>18681</v>
      </c>
      <c r="H46338" t="s">
        <v>39051</v>
      </c>
    </row>
    <row r="46339" spans="1:8">
      <c r="H46339" t="s">
        <v>39052</v>
      </c>
    </row>
    <row r="46340" spans="1:8">
      <c r="H46340" t="s">
        <v>39053</v>
      </c>
    </row>
    <row r="46341" spans="1:8">
      <c r="F46341" t="s">
        <v>14828</v>
      </c>
      <c r="G46341" t="s">
        <v>18690</v>
      </c>
      <c r="H46341" t="s">
        <v>39054</v>
      </c>
    </row>
    <row r="46342" spans="1:8">
      <c r="F46342" t="s">
        <v>14625</v>
      </c>
      <c r="G46342" t="s">
        <v>18536</v>
      </c>
      <c r="H46342" t="s">
        <v>39055</v>
      </c>
    </row>
    <row r="46343" spans="1:8">
      <c r="A46343" t="s">
        <v>4634</v>
      </c>
      <c r="B46343">
        <f>HYPERLINK("https://android.googlesource.com/platform/cts/+/618aefa5bd1c134920f0d9257c32fde08c7a55d0", "618aefa5bd1c134920f0d9257c32fde08c7a55d0")</f>
        <v>0</v>
      </c>
      <c r="C46343">
        <f>HYPERLINK("https://android.googlesource.com/platform/cts/+/99ed4f7b604e5cd2efdd6f9ab1c4ce7748d57072", "99ed4f7b604e5cd2efdd6f9ab1c4ce7748d57072")</f>
        <v>0</v>
      </c>
      <c r="D46343" t="s">
        <v>5134</v>
      </c>
      <c r="E46343" t="s">
        <v>10292</v>
      </c>
      <c r="F46343" t="s">
        <v>14739</v>
      </c>
      <c r="G46343" t="s">
        <v>18618</v>
      </c>
      <c r="H46343" t="s">
        <v>22310</v>
      </c>
    </row>
    <row r="46344" spans="1:8">
      <c r="H46344" t="s">
        <v>39056</v>
      </c>
    </row>
    <row r="46345" spans="1:8">
      <c r="A46345" t="s">
        <v>4635</v>
      </c>
      <c r="B46345">
        <f>HYPERLINK("https://android.googlesource.com/platform/cts/+/e86d310074d3b853ac1c02906b82060b6c80a7f4", "e86d310074d3b853ac1c02906b82060b6c80a7f4")</f>
        <v>0</v>
      </c>
      <c r="C46345">
        <f>HYPERLINK("https://android.googlesource.com/platform/cts/+/618aefa5bd1c134920f0d9257c32fde08c7a55d0", "618aefa5bd1c134920f0d9257c32fde08c7a55d0")</f>
        <v>0</v>
      </c>
      <c r="D46345" t="s">
        <v>5134</v>
      </c>
      <c r="E46345" t="s">
        <v>10293</v>
      </c>
      <c r="F46345" t="s">
        <v>14739</v>
      </c>
      <c r="G46345" t="s">
        <v>18618</v>
      </c>
      <c r="H46345" t="s">
        <v>39057</v>
      </c>
    </row>
    <row r="46346" spans="1:8">
      <c r="A46346" t="s">
        <v>4636</v>
      </c>
      <c r="B46346">
        <f>HYPERLINK("https://android.googlesource.com/platform/cts/+/236ddb95248fff927dcdad6f900dcc0915179441", "236ddb95248fff927dcdad6f900dcc0915179441")</f>
        <v>0</v>
      </c>
      <c r="C46346">
        <f>HYPERLINK("https://android.googlesource.com/platform/cts/+/97ce2a65d7d5b128a998a334720170753d674cc2", "97ce2a65d7d5b128a998a334720170753d674cc2")</f>
        <v>0</v>
      </c>
      <c r="D46346" t="s">
        <v>5467</v>
      </c>
      <c r="E46346" t="s">
        <v>10294</v>
      </c>
      <c r="F46346" t="s">
        <v>10794</v>
      </c>
      <c r="G46346" t="s">
        <v>15189</v>
      </c>
      <c r="H46346" t="s">
        <v>39058</v>
      </c>
    </row>
    <row r="46347" spans="1:8">
      <c r="A46347" t="s">
        <v>4637</v>
      </c>
      <c r="B46347">
        <f>HYPERLINK("https://android.googlesource.com/platform/cts/+/46bc074a1a06f7949ece808769433d18eaba70ba", "46bc074a1a06f7949ece808769433d18eaba70ba")</f>
        <v>0</v>
      </c>
      <c r="C46347">
        <f>HYPERLINK("https://android.googlesource.com/platform/cts/+/c48a92b480d71692b81560bf0a94b2775e9755e7", "c48a92b480d71692b81560bf0a94b2775e9755e7")</f>
        <v>0</v>
      </c>
      <c r="D46347" t="s">
        <v>5742</v>
      </c>
      <c r="E46347" t="s">
        <v>10295</v>
      </c>
      <c r="F46347" t="s">
        <v>14829</v>
      </c>
      <c r="G46347" t="s">
        <v>18691</v>
      </c>
      <c r="H46347" t="s">
        <v>39059</v>
      </c>
    </row>
    <row r="46348" spans="1:8">
      <c r="A46348" t="s">
        <v>4638</v>
      </c>
      <c r="B46348">
        <f>HYPERLINK("https://android.googlesource.com/platform/cts/+/33b247ad1c09497662e68c0e6cba20bdfe1c31f5", "33b247ad1c09497662e68c0e6cba20bdfe1c31f5")</f>
        <v>0</v>
      </c>
      <c r="C46348">
        <f>HYPERLINK("https://android.googlesource.com/platform/cts/+/1fb1e1c4c6338713cb666bd6218f40e93ade6561", "1fb1e1c4c6338713cb666bd6218f40e93ade6561")</f>
        <v>0</v>
      </c>
      <c r="D46348" t="s">
        <v>5523</v>
      </c>
      <c r="E46348" t="s">
        <v>10296</v>
      </c>
      <c r="F46348" t="s">
        <v>14830</v>
      </c>
      <c r="G46348" t="s">
        <v>18692</v>
      </c>
      <c r="H46348" t="s">
        <v>39060</v>
      </c>
    </row>
    <row r="46349" spans="1:8">
      <c r="H46349" t="s">
        <v>39061</v>
      </c>
    </row>
    <row r="46350" spans="1:8">
      <c r="A46350" t="s">
        <v>4639</v>
      </c>
      <c r="B46350">
        <f>HYPERLINK("https://android.googlesource.com/platform/cts/+/6b11a30926a5b4da80f072305b6f6f154cc3e820", "6b11a30926a5b4da80f072305b6f6f154cc3e820")</f>
        <v>0</v>
      </c>
      <c r="C46350">
        <f>HYPERLINK("https://android.googlesource.com/platform/cts/+/ec6bcd7598550c138ba0dba4b3af36d9afd88469", "ec6bcd7598550c138ba0dba4b3af36d9afd88469")</f>
        <v>0</v>
      </c>
      <c r="D46350" t="s">
        <v>5478</v>
      </c>
      <c r="E46350" t="s">
        <v>10297</v>
      </c>
      <c r="F46350" t="s">
        <v>14633</v>
      </c>
      <c r="G46350" t="s">
        <v>18543</v>
      </c>
      <c r="H46350" t="s">
        <v>39062</v>
      </c>
    </row>
    <row r="46351" spans="1:8">
      <c r="H46351" t="s">
        <v>39063</v>
      </c>
    </row>
    <row r="46352" spans="1:8">
      <c r="H46352" t="s">
        <v>39064</v>
      </c>
    </row>
    <row r="46353" spans="1:8">
      <c r="A46353" t="s">
        <v>4640</v>
      </c>
      <c r="B46353">
        <f>HYPERLINK("https://android.googlesource.com/platform/cts/+/deaebcace87bf09c26e075a17fc5c0c96b3e6cd0", "deaebcace87bf09c26e075a17fc5c0c96b3e6cd0")</f>
        <v>0</v>
      </c>
      <c r="C46353">
        <f>HYPERLINK("https://android.googlesource.com/platform/cts/+/ecfb8a0dda9d97e262cf8edb4b4613ba06289141", "ecfb8a0dda9d97e262cf8edb4b4613ba06289141")</f>
        <v>0</v>
      </c>
      <c r="D46353" t="s">
        <v>5409</v>
      </c>
      <c r="E46353" t="s">
        <v>10298</v>
      </c>
      <c r="F46353" t="s">
        <v>14571</v>
      </c>
      <c r="G46353" t="s">
        <v>18491</v>
      </c>
      <c r="H46353" t="s">
        <v>36690</v>
      </c>
    </row>
    <row r="46354" spans="1:8">
      <c r="H46354" t="s">
        <v>37574</v>
      </c>
    </row>
    <row r="46355" spans="1:8">
      <c r="H46355" t="s">
        <v>39065</v>
      </c>
    </row>
    <row r="46356" spans="1:8">
      <c r="F46356" t="s">
        <v>14136</v>
      </c>
      <c r="G46356" t="s">
        <v>18124</v>
      </c>
      <c r="H46356" t="s">
        <v>39066</v>
      </c>
    </row>
    <row r="46357" spans="1:8">
      <c r="F46357" t="s">
        <v>12743</v>
      </c>
      <c r="G46357" t="s">
        <v>16935</v>
      </c>
      <c r="H46357" t="s">
        <v>39066</v>
      </c>
    </row>
    <row r="46358" spans="1:8">
      <c r="F46358" t="s">
        <v>12768</v>
      </c>
      <c r="G46358" t="s">
        <v>15710</v>
      </c>
      <c r="H46358" t="s">
        <v>39067</v>
      </c>
    </row>
    <row r="46359" spans="1:8">
      <c r="H46359" t="s">
        <v>39068</v>
      </c>
    </row>
    <row r="46360" spans="1:8">
      <c r="A46360" t="s">
        <v>4641</v>
      </c>
      <c r="B46360">
        <f>HYPERLINK("https://android.googlesource.com/platform/cts/+/c74278489ff0d2b488fef4740f17371b2ff02e7e", "c74278489ff0d2b488fef4740f17371b2ff02e7e")</f>
        <v>0</v>
      </c>
      <c r="C46360">
        <f>HYPERLINK("https://android.googlesource.com/platform/cts/+/deaebcace87bf09c26e075a17fc5c0c96b3e6cd0", "deaebcace87bf09c26e075a17fc5c0c96b3e6cd0")</f>
        <v>0</v>
      </c>
      <c r="D46360" t="s">
        <v>5409</v>
      </c>
      <c r="E46360" t="s">
        <v>10299</v>
      </c>
      <c r="F46360" t="s">
        <v>14576</v>
      </c>
      <c r="G46360" t="s">
        <v>18496</v>
      </c>
      <c r="H46360" t="s">
        <v>36690</v>
      </c>
    </row>
    <row r="46361" spans="1:8">
      <c r="H46361" t="s">
        <v>37574</v>
      </c>
    </row>
    <row r="46362" spans="1:8">
      <c r="H46362" t="s">
        <v>39069</v>
      </c>
    </row>
    <row r="46363" spans="1:8">
      <c r="F46363" t="s">
        <v>14831</v>
      </c>
      <c r="G46363" t="s">
        <v>18693</v>
      </c>
      <c r="H46363" t="s">
        <v>37301</v>
      </c>
    </row>
    <row r="46364" spans="1:8">
      <c r="A46364" t="s">
        <v>4642</v>
      </c>
      <c r="B46364">
        <f>HYPERLINK("https://android.googlesource.com/platform/cts/+/3bea4bfc427b1d5f5415bedec5ee05467c874da0", "3bea4bfc427b1d5f5415bedec5ee05467c874da0")</f>
        <v>0</v>
      </c>
      <c r="C46364">
        <f>HYPERLINK("https://android.googlesource.com/platform/cts/+/c74278489ff0d2b488fef4740f17371b2ff02e7e", "c74278489ff0d2b488fef4740f17371b2ff02e7e")</f>
        <v>0</v>
      </c>
      <c r="D46364" t="s">
        <v>5409</v>
      </c>
      <c r="E46364" t="s">
        <v>10300</v>
      </c>
      <c r="F46364" t="s">
        <v>14575</v>
      </c>
      <c r="G46364" t="s">
        <v>18495</v>
      </c>
      <c r="H46364" t="s">
        <v>36690</v>
      </c>
    </row>
    <row r="46365" spans="1:8">
      <c r="H46365" t="s">
        <v>37574</v>
      </c>
    </row>
    <row r="46366" spans="1:8">
      <c r="H46366" t="s">
        <v>39070</v>
      </c>
    </row>
    <row r="46367" spans="1:8">
      <c r="F46367" t="s">
        <v>12743</v>
      </c>
      <c r="G46367" t="s">
        <v>16935</v>
      </c>
      <c r="H46367" t="s">
        <v>39071</v>
      </c>
    </row>
    <row r="46368" spans="1:8">
      <c r="A46368" t="s">
        <v>4643</v>
      </c>
      <c r="B46368">
        <f>HYPERLINK("https://android.googlesource.com/platform/cts/+/98695cb8832a794f106c1a5523455fb9cbfe406b", "98695cb8832a794f106c1a5523455fb9cbfe406b")</f>
        <v>0</v>
      </c>
      <c r="C46368">
        <f>HYPERLINK("https://android.googlesource.com/platform/cts/+/3bea4bfc427b1d5f5415bedec5ee05467c874da0", "3bea4bfc427b1d5f5415bedec5ee05467c874da0")</f>
        <v>0</v>
      </c>
      <c r="D46368" t="s">
        <v>5409</v>
      </c>
      <c r="E46368" t="s">
        <v>10301</v>
      </c>
      <c r="F46368" t="s">
        <v>14573</v>
      </c>
      <c r="G46368" t="s">
        <v>18493</v>
      </c>
      <c r="H46368" t="s">
        <v>36690</v>
      </c>
    </row>
    <row r="46369" spans="1:8">
      <c r="H46369" t="s">
        <v>37574</v>
      </c>
    </row>
    <row r="46370" spans="1:8">
      <c r="H46370" t="s">
        <v>39072</v>
      </c>
    </row>
    <row r="46371" spans="1:8">
      <c r="F46371" t="s">
        <v>12743</v>
      </c>
      <c r="G46371" t="s">
        <v>16935</v>
      </c>
      <c r="H46371" t="s">
        <v>31826</v>
      </c>
    </row>
    <row r="46372" spans="1:8">
      <c r="A46372" t="s">
        <v>4644</v>
      </c>
      <c r="B46372">
        <f>HYPERLINK("https://android.googlesource.com/platform/cts/+/bf3d7b260019d78e1309ea83e83b7f3724b4480d", "bf3d7b260019d78e1309ea83e83b7f3724b4480d")</f>
        <v>0</v>
      </c>
      <c r="C46372">
        <f>HYPERLINK("https://android.googlesource.com/platform/cts/+/98695cb8832a794f106c1a5523455fb9cbfe406b", "98695cb8832a794f106c1a5523455fb9cbfe406b")</f>
        <v>0</v>
      </c>
      <c r="D46372" t="s">
        <v>5409</v>
      </c>
      <c r="E46372" t="s">
        <v>10302</v>
      </c>
      <c r="F46372" t="s">
        <v>14427</v>
      </c>
      <c r="G46372" t="s">
        <v>18365</v>
      </c>
      <c r="H46372" t="s">
        <v>18829</v>
      </c>
    </row>
    <row r="46373" spans="1:8">
      <c r="H46373" t="s">
        <v>18863</v>
      </c>
    </row>
    <row r="46374" spans="1:8">
      <c r="H46374" t="s">
        <v>37574</v>
      </c>
    </row>
    <row r="46375" spans="1:8">
      <c r="H46375" t="s">
        <v>36690</v>
      </c>
    </row>
    <row r="46376" spans="1:8">
      <c r="H46376" t="s">
        <v>39073</v>
      </c>
    </row>
    <row r="46377" spans="1:8">
      <c r="H46377" t="s">
        <v>39074</v>
      </c>
    </row>
    <row r="46378" spans="1:8">
      <c r="F46378" t="s">
        <v>12743</v>
      </c>
      <c r="G46378" t="s">
        <v>16935</v>
      </c>
      <c r="H46378" t="s">
        <v>39075</v>
      </c>
    </row>
    <row r="46379" spans="1:8">
      <c r="H46379" t="s">
        <v>31827</v>
      </c>
    </row>
    <row r="46380" spans="1:8">
      <c r="H46380" t="s">
        <v>39076</v>
      </c>
    </row>
    <row r="46381" spans="1:8">
      <c r="H46381" t="s">
        <v>39077</v>
      </c>
    </row>
    <row r="46382" spans="1:8">
      <c r="H46382" t="s">
        <v>39078</v>
      </c>
    </row>
    <row r="46383" spans="1:8">
      <c r="H46383" t="s">
        <v>39079</v>
      </c>
    </row>
    <row r="46384" spans="1:8">
      <c r="H46384" t="s">
        <v>39080</v>
      </c>
    </row>
    <row r="46385" spans="1:8">
      <c r="H46385" t="s">
        <v>39081</v>
      </c>
    </row>
    <row r="46386" spans="1:8">
      <c r="F46386" t="s">
        <v>13229</v>
      </c>
      <c r="G46386" t="s">
        <v>17370</v>
      </c>
      <c r="H46386" t="s">
        <v>39075</v>
      </c>
    </row>
    <row r="46387" spans="1:8">
      <c r="H46387" t="s">
        <v>39076</v>
      </c>
    </row>
    <row r="46388" spans="1:8">
      <c r="F46388" t="s">
        <v>13136</v>
      </c>
      <c r="G46388" t="s">
        <v>17293</v>
      </c>
      <c r="H46388" t="s">
        <v>39076</v>
      </c>
    </row>
    <row r="46389" spans="1:8">
      <c r="A46389" t="s">
        <v>4645</v>
      </c>
      <c r="B46389">
        <f>HYPERLINK("https://android.googlesource.com/platform/cts/+/0866559d5a6e6cb5aa2964eaeba7b441f4a7fa9d", "0866559d5a6e6cb5aa2964eaeba7b441f4a7fa9d")</f>
        <v>0</v>
      </c>
      <c r="C46389">
        <f>HYPERLINK("https://android.googlesource.com/platform/cts/+/4c06e6602e8374324a3d8e5fa384d761b553ebd3", "4c06e6602e8374324a3d8e5fa384d761b553ebd3")</f>
        <v>0</v>
      </c>
      <c r="D46389" t="s">
        <v>5501</v>
      </c>
      <c r="E46389" t="s">
        <v>10303</v>
      </c>
      <c r="F46389" t="s">
        <v>14207</v>
      </c>
      <c r="G46389" t="s">
        <v>18183</v>
      </c>
      <c r="H46389" t="s">
        <v>39082</v>
      </c>
    </row>
    <row r="46390" spans="1:8">
      <c r="H46390" t="s">
        <v>39083</v>
      </c>
    </row>
    <row r="46391" spans="1:8">
      <c r="A46391" t="s">
        <v>4646</v>
      </c>
      <c r="B46391">
        <f>HYPERLINK("https://android.googlesource.com/platform/cts/+/077307cf61560d36af5a33f21266e200c2a11ce3", "077307cf61560d36af5a33f21266e200c2a11ce3")</f>
        <v>0</v>
      </c>
      <c r="C46391">
        <f>HYPERLINK("https://android.googlesource.com/platform/cts/+/4ca35fc14aa818e21fa7a64d6be01cc2090b2b41", "4ca35fc14aa818e21fa7a64d6be01cc2090b2b41")</f>
        <v>0</v>
      </c>
      <c r="D46391" t="s">
        <v>5277</v>
      </c>
      <c r="E46391" t="s">
        <v>10304</v>
      </c>
      <c r="F46391" t="s">
        <v>14300</v>
      </c>
      <c r="G46391" t="s">
        <v>18259</v>
      </c>
      <c r="H46391" t="s">
        <v>39084</v>
      </c>
    </row>
    <row r="46392" spans="1:8">
      <c r="H46392" t="s">
        <v>39085</v>
      </c>
    </row>
    <row r="46393" spans="1:8">
      <c r="H46393" t="s">
        <v>39086</v>
      </c>
    </row>
    <row r="46394" spans="1:8">
      <c r="A46394" t="s">
        <v>4647</v>
      </c>
      <c r="B46394">
        <f>HYPERLINK("https://android.googlesource.com/platform/cts/+/757388264180d3aa1644d1b3ca85042b57e01a00", "757388264180d3aa1644d1b3ca85042b57e01a00")</f>
        <v>0</v>
      </c>
      <c r="C46394">
        <f>HYPERLINK("https://android.googlesource.com/platform/cts/+/2429645f9b99ab7c635a00d546c8764db9bc4a92", "2429645f9b99ab7c635a00d546c8764db9bc4a92")</f>
        <v>0</v>
      </c>
      <c r="D46394" t="s">
        <v>5409</v>
      </c>
      <c r="E46394" t="s">
        <v>10305</v>
      </c>
      <c r="F46394" t="s">
        <v>13229</v>
      </c>
      <c r="G46394" t="s">
        <v>17370</v>
      </c>
      <c r="H46394" t="s">
        <v>39077</v>
      </c>
    </row>
    <row r="46395" spans="1:8">
      <c r="F46395" t="s">
        <v>14832</v>
      </c>
      <c r="G46395" t="s">
        <v>18694</v>
      </c>
      <c r="H46395" t="s">
        <v>35641</v>
      </c>
    </row>
    <row r="46396" spans="1:8">
      <c r="H46396" t="s">
        <v>35642</v>
      </c>
    </row>
    <row r="46397" spans="1:8">
      <c r="F46397" t="s">
        <v>14833</v>
      </c>
      <c r="G46397" t="s">
        <v>17513</v>
      </c>
      <c r="H46397" t="s">
        <v>37625</v>
      </c>
    </row>
    <row r="46398" spans="1:8">
      <c r="H46398" t="s">
        <v>37627</v>
      </c>
    </row>
    <row r="46399" spans="1:8">
      <c r="H46399" t="s">
        <v>37629</v>
      </c>
    </row>
    <row r="46400" spans="1:8">
      <c r="H46400" t="s">
        <v>37631</v>
      </c>
    </row>
    <row r="46401" spans="1:8">
      <c r="H46401" t="s">
        <v>37633</v>
      </c>
    </row>
    <row r="46402" spans="1:8">
      <c r="H46402" t="s">
        <v>37635</v>
      </c>
    </row>
    <row r="46403" spans="1:8">
      <c r="H46403" t="s">
        <v>37637</v>
      </c>
    </row>
    <row r="46404" spans="1:8">
      <c r="A46404" t="s">
        <v>4648</v>
      </c>
      <c r="B46404">
        <f>HYPERLINK("https://android.googlesource.com/platform/cts/+/943f97b48c4c3111cd479216ea508af9f8763186", "943f97b48c4c3111cd479216ea508af9f8763186")</f>
        <v>0</v>
      </c>
      <c r="C46404">
        <f>HYPERLINK("https://android.googlesource.com/platform/cts/+/959a69e68c5842efc1ccdd923f2b8646695d15ac", "959a69e68c5842efc1ccdd923f2b8646695d15ac")</f>
        <v>0</v>
      </c>
      <c r="D46404" t="s">
        <v>5416</v>
      </c>
      <c r="E46404" t="s">
        <v>10306</v>
      </c>
      <c r="F46404" t="s">
        <v>14014</v>
      </c>
      <c r="G46404" t="s">
        <v>18026</v>
      </c>
      <c r="H46404" t="s">
        <v>39087</v>
      </c>
    </row>
    <row r="46405" spans="1:8">
      <c r="H46405" t="s">
        <v>39088</v>
      </c>
    </row>
    <row r="46406" spans="1:8">
      <c r="H46406" t="s">
        <v>39089</v>
      </c>
    </row>
    <row r="46407" spans="1:8">
      <c r="H46407" t="s">
        <v>39090</v>
      </c>
    </row>
    <row r="46408" spans="1:8">
      <c r="H46408" t="s">
        <v>39091</v>
      </c>
    </row>
    <row r="46409" spans="1:8">
      <c r="H46409" t="s">
        <v>39092</v>
      </c>
    </row>
    <row r="46410" spans="1:8">
      <c r="H46410" t="s">
        <v>39093</v>
      </c>
    </row>
    <row r="46411" spans="1:8">
      <c r="H46411" t="s">
        <v>36916</v>
      </c>
    </row>
    <row r="46412" spans="1:8">
      <c r="A46412" t="s">
        <v>4649</v>
      </c>
      <c r="B46412">
        <f>HYPERLINK("https://android.googlesource.com/platform/cts/+/f08cc892c4a84bc7b1e9850b0484be6c7643f3a3", "f08cc892c4a84bc7b1e9850b0484be6c7643f3a3")</f>
        <v>0</v>
      </c>
      <c r="C46412">
        <f>HYPERLINK("https://android.googlesource.com/platform/cts/+/77b01cebb0afaff49bd9a656a59d2652e5c7a6a6", "77b01cebb0afaff49bd9a656a59d2652e5c7a6a6")</f>
        <v>0</v>
      </c>
      <c r="D46412" t="s">
        <v>5743</v>
      </c>
      <c r="E46412" t="s">
        <v>10307</v>
      </c>
      <c r="F46412" t="s">
        <v>14721</v>
      </c>
      <c r="G46412" t="s">
        <v>17815</v>
      </c>
      <c r="H46412" t="s">
        <v>38719</v>
      </c>
    </row>
    <row r="46413" spans="1:8">
      <c r="A46413" t="s">
        <v>4650</v>
      </c>
      <c r="B46413">
        <f>HYPERLINK("https://android.googlesource.com/platform/cts/+/4adbe6c4ad7cb35259f0fc0d4d5956dc8a9c5ea8", "4adbe6c4ad7cb35259f0fc0d4d5956dc8a9c5ea8")</f>
        <v>0</v>
      </c>
      <c r="C46413">
        <f>HYPERLINK("https://android.googlesource.com/platform/cts/+/ac11e53be1100a0aece27ebb12dbf3bf3b9f8253", "ac11e53be1100a0aece27ebb12dbf3bf3b9f8253")</f>
        <v>0</v>
      </c>
      <c r="D46413" t="s">
        <v>5732</v>
      </c>
      <c r="E46413" t="s">
        <v>10308</v>
      </c>
      <c r="F46413" t="s">
        <v>14834</v>
      </c>
      <c r="G46413" t="s">
        <v>18549</v>
      </c>
      <c r="H46413" t="s">
        <v>39094</v>
      </c>
    </row>
    <row r="46414" spans="1:8">
      <c r="H46414" t="s">
        <v>39095</v>
      </c>
    </row>
    <row r="46415" spans="1:8">
      <c r="H46415" t="s">
        <v>39096</v>
      </c>
    </row>
    <row r="46416" spans="1:8">
      <c r="H46416" t="s">
        <v>39097</v>
      </c>
    </row>
    <row r="46417" spans="1:8">
      <c r="A46417" t="s">
        <v>4652</v>
      </c>
      <c r="B46417">
        <f>HYPERLINK("https://android.googlesource.com/platform/cts/+/a99fc8fdfee1535f1d4bd649a8d254d0828523f4", "a99fc8fdfee1535f1d4bd649a8d254d0828523f4")</f>
        <v>0</v>
      </c>
      <c r="C46417">
        <f>HYPERLINK("https://android.googlesource.com/platform/cts/+/b21f993a18adc928519ff0278a1b4c3bac9be5a4", "b21f993a18adc928519ff0278a1b4c3bac9be5a4")</f>
        <v>0</v>
      </c>
      <c r="D46417" t="s">
        <v>5744</v>
      </c>
      <c r="E46417" t="s">
        <v>10310</v>
      </c>
      <c r="F46417" t="s">
        <v>14835</v>
      </c>
      <c r="G46417" t="s">
        <v>18695</v>
      </c>
      <c r="H46417" t="s">
        <v>34249</v>
      </c>
    </row>
    <row r="46418" spans="1:8">
      <c r="H46418" t="s">
        <v>34250</v>
      </c>
    </row>
    <row r="46419" spans="1:8">
      <c r="H46419" t="s">
        <v>39098</v>
      </c>
    </row>
    <row r="46420" spans="1:8">
      <c r="H46420" t="s">
        <v>39099</v>
      </c>
    </row>
    <row r="46421" spans="1:8">
      <c r="A46421" t="s">
        <v>4653</v>
      </c>
      <c r="B46421">
        <f>HYPERLINK("https://android.googlesource.com/platform/cts/+/a662c6d3c59e720a792b79ec5467a52916bb2e63", "a662c6d3c59e720a792b79ec5467a52916bb2e63")</f>
        <v>0</v>
      </c>
      <c r="C46421">
        <f>HYPERLINK("https://android.googlesource.com/platform/cts/+/d1d6fcb4e70e2f3af797beebfb2682220a83799f", "d1d6fcb4e70e2f3af797beebfb2682220a83799f")</f>
        <v>0</v>
      </c>
      <c r="D46421" t="s">
        <v>5476</v>
      </c>
      <c r="E46421" t="s">
        <v>10311</v>
      </c>
      <c r="F46421" t="s">
        <v>14836</v>
      </c>
      <c r="G46421" t="s">
        <v>18696</v>
      </c>
      <c r="H46421" t="s">
        <v>39100</v>
      </c>
    </row>
    <row r="46422" spans="1:8">
      <c r="F46422" t="s">
        <v>14837</v>
      </c>
      <c r="G46422" t="s">
        <v>18697</v>
      </c>
      <c r="H46422" t="s">
        <v>39100</v>
      </c>
    </row>
    <row r="46423" spans="1:8">
      <c r="H46423" t="s">
        <v>39100</v>
      </c>
    </row>
    <row r="46424" spans="1:8">
      <c r="F46424" t="s">
        <v>14838</v>
      </c>
      <c r="G46424" t="s">
        <v>18698</v>
      </c>
      <c r="H46424" t="s">
        <v>39100</v>
      </c>
    </row>
    <row r="46425" spans="1:8">
      <c r="H46425" t="s">
        <v>39101</v>
      </c>
    </row>
    <row r="46426" spans="1:8">
      <c r="A46426" t="s">
        <v>4654</v>
      </c>
      <c r="B46426">
        <f>HYPERLINK("https://android.googlesource.com/platform/cts/+/3c8757cae1c5266a4194c9ea839fa00c0bba5eb0", "3c8757cae1c5266a4194c9ea839fa00c0bba5eb0")</f>
        <v>0</v>
      </c>
      <c r="C46426">
        <f>HYPERLINK("https://android.googlesource.com/platform/cts/+/317d8a73ec6a73721429309cc1093cbb904a959b", "317d8a73ec6a73721429309cc1093cbb904a959b")</f>
        <v>0</v>
      </c>
      <c r="D46426" t="s">
        <v>5738</v>
      </c>
      <c r="E46426" t="s">
        <v>10312</v>
      </c>
      <c r="F46426" t="s">
        <v>14839</v>
      </c>
      <c r="G46426" t="s">
        <v>17064</v>
      </c>
      <c r="H46426" t="s">
        <v>26847</v>
      </c>
    </row>
    <row r="46427" spans="1:8">
      <c r="H46427" t="s">
        <v>39102</v>
      </c>
    </row>
    <row r="46428" spans="1:8">
      <c r="H46428" t="s">
        <v>39103</v>
      </c>
    </row>
    <row r="46429" spans="1:8">
      <c r="H46429" t="s">
        <v>39104</v>
      </c>
    </row>
    <row r="46430" spans="1:8">
      <c r="H46430" t="s">
        <v>39104</v>
      </c>
    </row>
    <row r="46431" spans="1:8">
      <c r="H46431" t="s">
        <v>39105</v>
      </c>
    </row>
    <row r="46432" spans="1:8">
      <c r="H46432" t="s">
        <v>39106</v>
      </c>
    </row>
    <row r="46433" spans="1:8">
      <c r="H46433" t="s">
        <v>39107</v>
      </c>
    </row>
    <row r="46434" spans="1:8">
      <c r="H46434" t="s">
        <v>39108</v>
      </c>
    </row>
    <row r="46435" spans="1:8">
      <c r="H46435" t="s">
        <v>39109</v>
      </c>
    </row>
    <row r="46436" spans="1:8">
      <c r="A46436" t="s">
        <v>4655</v>
      </c>
      <c r="B46436">
        <f>HYPERLINK("https://android.googlesource.com/platform/cts/+/4f1fb1a13ed0626c0d474db66529bb8c7802ccc9", "4f1fb1a13ed0626c0d474db66529bb8c7802ccc9")</f>
        <v>0</v>
      </c>
      <c r="C46436">
        <f>HYPERLINK("https://android.googlesource.com/platform/cts/+/0d4194218598431217cb5bf2037115670039e2c6", "0d4194218598431217cb5bf2037115670039e2c6")</f>
        <v>0</v>
      </c>
      <c r="D46436" t="s">
        <v>5695</v>
      </c>
      <c r="E46436" t="s">
        <v>10313</v>
      </c>
      <c r="F46436" t="s">
        <v>14840</v>
      </c>
      <c r="G46436" t="s">
        <v>18699</v>
      </c>
      <c r="H46436" t="s">
        <v>39110</v>
      </c>
    </row>
    <row r="46437" spans="1:8">
      <c r="H46437" t="s">
        <v>39111</v>
      </c>
    </row>
    <row r="46438" spans="1:8">
      <c r="A46438" t="s">
        <v>4656</v>
      </c>
      <c r="B46438">
        <f>HYPERLINK("https://android.googlesource.com/platform/cts/+/d3decc0365d63779f9d37e2a1dfbd3e6644cc6b1", "d3decc0365d63779f9d37e2a1dfbd3e6644cc6b1")</f>
        <v>0</v>
      </c>
      <c r="C46438">
        <f>HYPERLINK("https://android.googlesource.com/platform/cts/+/418bad1a86c7ac887e26778cb141ffec6d321454", "418bad1a86c7ac887e26778cb141ffec6d321454")</f>
        <v>0</v>
      </c>
      <c r="D46438" t="s">
        <v>5745</v>
      </c>
      <c r="E46438" t="s">
        <v>10314</v>
      </c>
      <c r="F46438" t="s">
        <v>14841</v>
      </c>
      <c r="G46438" t="s">
        <v>18700</v>
      </c>
      <c r="H46438" t="s">
        <v>39112</v>
      </c>
    </row>
    <row r="46439" spans="1:8">
      <c r="A46439" t="s">
        <v>4657</v>
      </c>
      <c r="B46439">
        <f>HYPERLINK("https://android.googlesource.com/platform/cts/+/b11bb8226ac00742c2df05b86768549ac7464c7c", "b11bb8226ac00742c2df05b86768549ac7464c7c")</f>
        <v>0</v>
      </c>
      <c r="C46439">
        <f>HYPERLINK("https://android.googlesource.com/platform/cts/+/418bad1a86c7ac887e26778cb141ffec6d321454", "418bad1a86c7ac887e26778cb141ffec6d321454")</f>
        <v>0</v>
      </c>
      <c r="D46439" t="s">
        <v>5716</v>
      </c>
      <c r="E46439" t="s">
        <v>10315</v>
      </c>
      <c r="F46439" t="s">
        <v>14829</v>
      </c>
      <c r="G46439" t="s">
        <v>18691</v>
      </c>
      <c r="H46439" t="s">
        <v>39113</v>
      </c>
    </row>
    <row r="46440" spans="1:8">
      <c r="A46440" t="s">
        <v>4658</v>
      </c>
      <c r="B46440">
        <f>HYPERLINK("https://android.googlesource.com/platform/cts/+/83996185d176370dd02e1f3845e1b3ab5731a7a3", "83996185d176370dd02e1f3845e1b3ab5731a7a3")</f>
        <v>0</v>
      </c>
      <c r="C46440">
        <f>HYPERLINK("https://android.googlesource.com/platform/cts/+/948a007365ece4f8acd3bdb420d45a564f750ccf", "948a007365ece4f8acd3bdb420d45a564f750ccf")</f>
        <v>0</v>
      </c>
      <c r="D46440" t="s">
        <v>5477</v>
      </c>
      <c r="E46440" t="s">
        <v>10316</v>
      </c>
      <c r="F46440" t="s">
        <v>14801</v>
      </c>
      <c r="G46440" t="s">
        <v>18666</v>
      </c>
      <c r="H46440" t="s">
        <v>39114</v>
      </c>
    </row>
    <row r="46441" spans="1:8">
      <c r="H46441" t="s">
        <v>39115</v>
      </c>
    </row>
    <row r="46442" spans="1:8">
      <c r="H46442" t="s">
        <v>39116</v>
      </c>
    </row>
    <row r="46443" spans="1:8">
      <c r="H46443" t="s">
        <v>39117</v>
      </c>
    </row>
    <row r="46444" spans="1:8">
      <c r="F46444" t="s">
        <v>14802</v>
      </c>
      <c r="G46444" t="s">
        <v>18667</v>
      </c>
      <c r="H46444" t="s">
        <v>39118</v>
      </c>
    </row>
    <row r="46445" spans="1:8">
      <c r="A46445" t="s">
        <v>4659</v>
      </c>
      <c r="B46445">
        <f>HYPERLINK("https://android.googlesource.com/platform/cts/+/e12141907c88ff66936f592a30c6a533be7a28cc", "e12141907c88ff66936f592a30c6a533be7a28cc")</f>
        <v>0</v>
      </c>
      <c r="C46445">
        <f>HYPERLINK("https://android.googlesource.com/platform/cts/+/4ffd18c8d4ad0b964abfe26cde8e19a7182f1298", "4ffd18c8d4ad0b964abfe26cde8e19a7182f1298")</f>
        <v>0</v>
      </c>
      <c r="D46445" t="s">
        <v>5705</v>
      </c>
      <c r="E46445" t="s">
        <v>10317</v>
      </c>
      <c r="F46445" t="s">
        <v>14741</v>
      </c>
      <c r="G46445" t="s">
        <v>18701</v>
      </c>
      <c r="H46445" t="s">
        <v>31042</v>
      </c>
    </row>
    <row r="46446" spans="1:8">
      <c r="H46446" t="s">
        <v>37879</v>
      </c>
    </row>
    <row r="46447" spans="1:8">
      <c r="H46447" t="s">
        <v>31044</v>
      </c>
    </row>
    <row r="46448" spans="1:8">
      <c r="H46448" t="s">
        <v>37880</v>
      </c>
    </row>
    <row r="46449" spans="8:8">
      <c r="H46449" t="s">
        <v>37881</v>
      </c>
    </row>
    <row r="46450" spans="8:8">
      <c r="H46450" t="s">
        <v>37882</v>
      </c>
    </row>
    <row r="46451" spans="8:8">
      <c r="H46451" t="s">
        <v>37883</v>
      </c>
    </row>
    <row r="46452" spans="8:8">
      <c r="H46452" t="s">
        <v>37884</v>
      </c>
    </row>
    <row r="46453" spans="8:8">
      <c r="H46453" t="s">
        <v>39119</v>
      </c>
    </row>
    <row r="46454" spans="8:8">
      <c r="H46454" t="s">
        <v>37886</v>
      </c>
    </row>
    <row r="46455" spans="8:8">
      <c r="H46455" t="s">
        <v>22586</v>
      </c>
    </row>
    <row r="46456" spans="8:8">
      <c r="H46456" t="s">
        <v>39120</v>
      </c>
    </row>
    <row r="46457" spans="8:8">
      <c r="H46457" t="s">
        <v>37887</v>
      </c>
    </row>
    <row r="46458" spans="8:8">
      <c r="H46458" t="s">
        <v>26759</v>
      </c>
    </row>
    <row r="46459" spans="8:8">
      <c r="H46459" t="s">
        <v>33588</v>
      </c>
    </row>
    <row r="46460" spans="8:8">
      <c r="H46460" t="s">
        <v>37888</v>
      </c>
    </row>
    <row r="46461" spans="8:8">
      <c r="H46461" t="s">
        <v>37889</v>
      </c>
    </row>
    <row r="46462" spans="8:8">
      <c r="H46462" t="s">
        <v>37890</v>
      </c>
    </row>
    <row r="46463" spans="8:8">
      <c r="H46463" t="s">
        <v>37891</v>
      </c>
    </row>
    <row r="46464" spans="8:8">
      <c r="H46464" t="s">
        <v>37892</v>
      </c>
    </row>
    <row r="46465" spans="1:8">
      <c r="A46465" t="s">
        <v>4660</v>
      </c>
      <c r="B46465">
        <f>HYPERLINK("https://android.googlesource.com/platform/cts/+/ecb536c1f8de1fc6823e6249c6a3e374310dfd46", "ecb536c1f8de1fc6823e6249c6a3e374310dfd46")</f>
        <v>0</v>
      </c>
      <c r="C46465">
        <f>HYPERLINK("https://android.googlesource.com/platform/cts/+/75c79a7cfeb03fd38d71b316e5a3924b481a5d35", "75c79a7cfeb03fd38d71b316e5a3924b481a5d35")</f>
        <v>0</v>
      </c>
      <c r="D46465" t="s">
        <v>5586</v>
      </c>
      <c r="E46465" t="s">
        <v>10318</v>
      </c>
      <c r="F46465" t="s">
        <v>13972</v>
      </c>
      <c r="G46465" t="s">
        <v>17997</v>
      </c>
      <c r="H46465" t="s">
        <v>39121</v>
      </c>
    </row>
    <row r="46466" spans="1:8">
      <c r="H46466" t="s">
        <v>39122</v>
      </c>
    </row>
    <row r="46467" spans="1:8">
      <c r="H46467" t="s">
        <v>39123</v>
      </c>
    </row>
    <row r="46468" spans="1:8">
      <c r="A46468" t="s">
        <v>4665</v>
      </c>
      <c r="B46468">
        <f>HYPERLINK("https://android.googlesource.com/platform/cts/+/ab981d25a97180a4168e716ce2817ecdec8d24fa", "ab981d25a97180a4168e716ce2817ecdec8d24fa")</f>
        <v>0</v>
      </c>
      <c r="C46468">
        <f>HYPERLINK("https://android.googlesource.com/platform/cts/+/ab3b7ef400fdc7855f9c9a949a5f50e2daebb320", "ab3b7ef400fdc7855f9c9a949a5f50e2daebb320")</f>
        <v>0</v>
      </c>
      <c r="D46468" t="s">
        <v>5695</v>
      </c>
      <c r="E46468" t="s">
        <v>10322</v>
      </c>
      <c r="F46468" t="s">
        <v>14840</v>
      </c>
      <c r="G46468" t="s">
        <v>18699</v>
      </c>
      <c r="H46468" t="s">
        <v>39124</v>
      </c>
    </row>
    <row r="46469" spans="1:8">
      <c r="H46469" t="s">
        <v>39125</v>
      </c>
    </row>
    <row r="46470" spans="1:8">
      <c r="A46470" t="s">
        <v>4666</v>
      </c>
      <c r="B46470">
        <f>HYPERLINK("https://android.googlesource.com/platform/cts/+/e0b13262231e8451d6998436657cbc3861143bd9", "e0b13262231e8451d6998436657cbc3861143bd9")</f>
        <v>0</v>
      </c>
      <c r="C46470">
        <f>HYPERLINK("https://android.googlesource.com/platform/cts/+/fa1e42d8ad599f876da469cffcf3e2c9354d6d1c", "fa1e42d8ad599f876da469cffcf3e2c9354d6d1c")</f>
        <v>0</v>
      </c>
      <c r="D46470" t="s">
        <v>5715</v>
      </c>
      <c r="E46470" t="s">
        <v>10323</v>
      </c>
      <c r="F46470" t="s">
        <v>14842</v>
      </c>
      <c r="G46470" t="s">
        <v>18636</v>
      </c>
      <c r="H46470" t="s">
        <v>30977</v>
      </c>
    </row>
    <row r="46471" spans="1:8">
      <c r="A46471" t="s">
        <v>4667</v>
      </c>
      <c r="B46471">
        <f>HYPERLINK("https://android.googlesource.com/platform/cts/+/cad912720663f17b6cd7f355d111c93990d5a0b1", "cad912720663f17b6cd7f355d111c93990d5a0b1")</f>
        <v>0</v>
      </c>
      <c r="C46471">
        <f>HYPERLINK("https://android.googlesource.com/platform/cts/+/a6cb7ba3b7360f8399db3498149b1780862d1890", "a6cb7ba3b7360f8399db3498149b1780862d1890")</f>
        <v>0</v>
      </c>
      <c r="D46471" t="s">
        <v>5476</v>
      </c>
      <c r="E46471" t="s">
        <v>10324</v>
      </c>
      <c r="F46471" t="s">
        <v>14843</v>
      </c>
      <c r="G46471" t="s">
        <v>18702</v>
      </c>
      <c r="H46471" t="s">
        <v>39126</v>
      </c>
    </row>
    <row r="46472" spans="1:8">
      <c r="A46472" t="s">
        <v>4668</v>
      </c>
      <c r="B46472">
        <f>HYPERLINK("https://android.googlesource.com/platform/cts/+/e546c1f665cb344f3b9e9b0a2a3b861c1913f343", "e546c1f665cb344f3b9e9b0a2a3b861c1913f343")</f>
        <v>0</v>
      </c>
      <c r="C46472">
        <f>HYPERLINK("https://android.googlesource.com/platform/cts/+/ee956a7ac012a1633be7e7ef218d11fe37b6f6ca", "ee956a7ac012a1633be7e7ef218d11fe37b6f6ca")</f>
        <v>0</v>
      </c>
      <c r="D46472" t="s">
        <v>5523</v>
      </c>
      <c r="E46472" t="s">
        <v>10325</v>
      </c>
      <c r="F46472" t="s">
        <v>14745</v>
      </c>
      <c r="G46472" t="s">
        <v>18621</v>
      </c>
      <c r="H46472" t="s">
        <v>39127</v>
      </c>
    </row>
    <row r="46473" spans="1:8">
      <c r="A46473" t="s">
        <v>4669</v>
      </c>
      <c r="B46473">
        <f>HYPERLINK("https://android.googlesource.com/platform/cts/+/3907a2e40a113baab238f8ed89d102f5248c286a", "3907a2e40a113baab238f8ed89d102f5248c286a")</f>
        <v>0</v>
      </c>
      <c r="C46473">
        <f>HYPERLINK("https://android.googlesource.com/platform/cts/+/1255471170d3db25e2014e11a628304ae236c80f", "1255471170d3db25e2014e11a628304ae236c80f")</f>
        <v>0</v>
      </c>
      <c r="D46473" t="s">
        <v>5676</v>
      </c>
      <c r="E46473" t="s">
        <v>10326</v>
      </c>
      <c r="F46473" t="s">
        <v>14844</v>
      </c>
      <c r="G46473" t="s">
        <v>18703</v>
      </c>
      <c r="H46473" t="s">
        <v>39128</v>
      </c>
    </row>
    <row r="46474" spans="1:8">
      <c r="H46474" t="s">
        <v>39129</v>
      </c>
    </row>
    <row r="46475" spans="1:8">
      <c r="H46475" t="s">
        <v>39130</v>
      </c>
    </row>
    <row r="46476" spans="1:8">
      <c r="H46476" t="s">
        <v>39131</v>
      </c>
    </row>
    <row r="46477" spans="1:8">
      <c r="H46477" t="s">
        <v>39132</v>
      </c>
    </row>
    <row r="46478" spans="1:8">
      <c r="H46478" t="s">
        <v>39133</v>
      </c>
    </row>
    <row r="46479" spans="1:8">
      <c r="A46479" t="s">
        <v>4670</v>
      </c>
      <c r="B46479">
        <f>HYPERLINK("https://android.googlesource.com/platform/cts/+/63c4911e244060d55f15698ff9fef0de41402679", "63c4911e244060d55f15698ff9fef0de41402679")</f>
        <v>0</v>
      </c>
      <c r="C46479">
        <f>HYPERLINK("https://android.googlesource.com/platform/cts/+/714a64d3c1264fe3cf75a6ebc2930530a6acd21a", "714a64d3c1264fe3cf75a6ebc2930530a6acd21a")</f>
        <v>0</v>
      </c>
      <c r="D46479" t="s">
        <v>5008</v>
      </c>
      <c r="E46479" t="s">
        <v>10327</v>
      </c>
      <c r="F46479" t="s">
        <v>14845</v>
      </c>
      <c r="G46479" t="s">
        <v>18078</v>
      </c>
      <c r="H46479" t="s">
        <v>39134</v>
      </c>
    </row>
    <row r="46480" spans="1:8">
      <c r="H46480" t="s">
        <v>18829</v>
      </c>
    </row>
    <row r="46481" spans="6:8">
      <c r="H46481" t="s">
        <v>39135</v>
      </c>
    </row>
    <row r="46482" spans="6:8">
      <c r="H46482" t="s">
        <v>39136</v>
      </c>
    </row>
    <row r="46483" spans="6:8">
      <c r="H46483" t="s">
        <v>39137</v>
      </c>
    </row>
    <row r="46484" spans="6:8">
      <c r="H46484" t="s">
        <v>39138</v>
      </c>
    </row>
    <row r="46485" spans="6:8">
      <c r="H46485" t="s">
        <v>39139</v>
      </c>
    </row>
    <row r="46486" spans="6:8">
      <c r="H46486" t="s">
        <v>33234</v>
      </c>
    </row>
    <row r="46487" spans="6:8">
      <c r="H46487" t="s">
        <v>39140</v>
      </c>
    </row>
    <row r="46488" spans="6:8">
      <c r="F46488" t="s">
        <v>14846</v>
      </c>
      <c r="G46488" t="s">
        <v>18704</v>
      </c>
      <c r="H46488" t="s">
        <v>18829</v>
      </c>
    </row>
    <row r="46489" spans="6:8">
      <c r="H46489" t="s">
        <v>18863</v>
      </c>
    </row>
    <row r="46490" spans="6:8">
      <c r="H46490" t="s">
        <v>39141</v>
      </c>
    </row>
    <row r="46491" spans="6:8">
      <c r="H46491" t="s">
        <v>39142</v>
      </c>
    </row>
    <row r="46492" spans="6:8">
      <c r="H46492" t="s">
        <v>26401</v>
      </c>
    </row>
    <row r="46493" spans="6:8">
      <c r="F46493" t="s">
        <v>14847</v>
      </c>
      <c r="G46493" t="s">
        <v>18078</v>
      </c>
      <c r="H46493" t="s">
        <v>39143</v>
      </c>
    </row>
    <row r="46494" spans="6:8">
      <c r="H46494" t="s">
        <v>39144</v>
      </c>
    </row>
    <row r="46495" spans="6:8">
      <c r="F46495" t="s">
        <v>14848</v>
      </c>
      <c r="G46495" t="s">
        <v>18085</v>
      </c>
      <c r="H46495" t="s">
        <v>39145</v>
      </c>
    </row>
    <row r="46496" spans="6:8">
      <c r="H46496" t="s">
        <v>39146</v>
      </c>
    </row>
    <row r="46497" spans="1:8">
      <c r="A46497" t="s">
        <v>4671</v>
      </c>
      <c r="B46497">
        <f>HYPERLINK("https://android.googlesource.com/platform/cts/+/380166093d5c034b8ef611a4270d8a05b615511f", "380166093d5c034b8ef611a4270d8a05b615511f")</f>
        <v>0</v>
      </c>
      <c r="C46497">
        <f>HYPERLINK("https://android.googlesource.com/platform/cts/+/0482d3cf980bf113c58b421bdf7fd090a0d3000e", "0482d3cf980bf113c58b421bdf7fd090a0d3000e")</f>
        <v>0</v>
      </c>
      <c r="D46497" t="s">
        <v>5523</v>
      </c>
      <c r="E46497" t="s">
        <v>10328</v>
      </c>
      <c r="F46497" t="s">
        <v>14830</v>
      </c>
      <c r="G46497" t="s">
        <v>18692</v>
      </c>
      <c r="H46497" t="s">
        <v>30172</v>
      </c>
    </row>
    <row r="46498" spans="1:8">
      <c r="A46498" t="s">
        <v>4672</v>
      </c>
      <c r="B46498">
        <f>HYPERLINK("https://android.googlesource.com/platform/cts/+/339cf7a8ced71546acefe7e54069ef4b6bcc91f9", "339cf7a8ced71546acefe7e54069ef4b6bcc91f9")</f>
        <v>0</v>
      </c>
      <c r="C46498">
        <f>HYPERLINK("https://android.googlesource.com/platform/cts/+/b5fb62324b2daeab4e2437bff932d8d1e0caf277", "b5fb62324b2daeab4e2437bff932d8d1e0caf277")</f>
        <v>0</v>
      </c>
      <c r="D46498" t="s">
        <v>5736</v>
      </c>
      <c r="E46498" t="s">
        <v>10329</v>
      </c>
      <c r="F46498" t="s">
        <v>14849</v>
      </c>
      <c r="G46498" t="s">
        <v>18679</v>
      </c>
      <c r="H46498" t="s">
        <v>39028</v>
      </c>
    </row>
    <row r="46499" spans="1:8">
      <c r="A46499" t="s">
        <v>4673</v>
      </c>
      <c r="B46499">
        <f>HYPERLINK("https://android.googlesource.com/platform/cts/+/8af1bba717594aa77eaba29dc68fded93d542e6a", "8af1bba717594aa77eaba29dc68fded93d542e6a")</f>
        <v>0</v>
      </c>
      <c r="C46499">
        <f>HYPERLINK("https://android.googlesource.com/platform/cts/+/edc861f6b18df5ea068585660323b32668877a28", "edc861f6b18df5ea068585660323b32668877a28")</f>
        <v>0</v>
      </c>
      <c r="D46499" t="s">
        <v>5564</v>
      </c>
      <c r="E46499" t="s">
        <v>10330</v>
      </c>
      <c r="F46499" t="s">
        <v>14773</v>
      </c>
      <c r="G46499" t="s">
        <v>16648</v>
      </c>
      <c r="H46499" t="s">
        <v>39147</v>
      </c>
    </row>
    <row r="46500" spans="1:8">
      <c r="H46500" t="s">
        <v>39148</v>
      </c>
    </row>
    <row r="46501" spans="1:8">
      <c r="H46501" t="s">
        <v>39149</v>
      </c>
    </row>
    <row r="46502" spans="1:8">
      <c r="A46502" t="s">
        <v>4675</v>
      </c>
      <c r="B46502">
        <f>HYPERLINK("https://android.googlesource.com/platform/cts/+/28f4cb3894b6e5d3fe29debd3244bd3a35068cff", "28f4cb3894b6e5d3fe29debd3244bd3a35068cff")</f>
        <v>0</v>
      </c>
      <c r="C46502">
        <f>HYPERLINK("https://android.googlesource.com/platform/cts/+/d78faea11707a5bd305394fcb6bbceb37675d12f", "d78faea11707a5bd305394fcb6bbceb37675d12f")</f>
        <v>0</v>
      </c>
      <c r="D46502" t="s">
        <v>5737</v>
      </c>
      <c r="E46502" t="s">
        <v>10332</v>
      </c>
      <c r="F46502" t="s">
        <v>14625</v>
      </c>
      <c r="G46502" t="s">
        <v>18536</v>
      </c>
      <c r="H46502" t="s">
        <v>39150</v>
      </c>
    </row>
    <row r="46503" spans="1:8">
      <c r="H46503" t="s">
        <v>39151</v>
      </c>
    </row>
    <row r="46504" spans="1:8">
      <c r="H46504" t="s">
        <v>39152</v>
      </c>
    </row>
    <row r="46505" spans="1:8">
      <c r="A46505" t="s">
        <v>4677</v>
      </c>
      <c r="B46505">
        <f>HYPERLINK("https://android.googlesource.com/platform/cts/+/fd492231361be71063a560474b87aba72e3e6f3b", "fd492231361be71063a560474b87aba72e3e6f3b")</f>
        <v>0</v>
      </c>
      <c r="C46505">
        <f>HYPERLINK("https://android.googlesource.com/platform/cts/+/77b18fbec398d8e78090f4aa5ba12a34a63af0a2", "77b18fbec398d8e78090f4aa5ba12a34a63af0a2")</f>
        <v>0</v>
      </c>
      <c r="D46505" t="s">
        <v>5650</v>
      </c>
      <c r="E46505" t="s">
        <v>10334</v>
      </c>
      <c r="F46505" t="s">
        <v>14850</v>
      </c>
      <c r="G46505" t="s">
        <v>16863</v>
      </c>
      <c r="H46505" t="s">
        <v>39153</v>
      </c>
    </row>
    <row r="46506" spans="1:8">
      <c r="A46506" t="s">
        <v>4678</v>
      </c>
      <c r="B46506">
        <f>HYPERLINK("https://android.googlesource.com/platform/cts/+/6365c124538f7df310e05ba17baefe763ad70aa1", "6365c124538f7df310e05ba17baefe763ad70aa1")</f>
        <v>0</v>
      </c>
      <c r="C46506">
        <f>HYPERLINK("https://android.googlesource.com/platform/cts/+/2f3196bfeee07909c9ae636ce61703d072b827ca", "2f3196bfeee07909c9ae636ce61703d072b827ca")</f>
        <v>0</v>
      </c>
      <c r="D46506" t="s">
        <v>5746</v>
      </c>
      <c r="E46506" t="s">
        <v>10335</v>
      </c>
      <c r="F46506" t="s">
        <v>14566</v>
      </c>
      <c r="G46506" t="s">
        <v>18487</v>
      </c>
      <c r="H46506" t="s">
        <v>39154</v>
      </c>
    </row>
    <row r="46507" spans="1:8">
      <c r="A46507" t="s">
        <v>4682</v>
      </c>
      <c r="B46507">
        <f>HYPERLINK("https://android.googlesource.com/platform/cts/+/5336f74a012f2143a258b71ed40624fc142efd3d", "5336f74a012f2143a258b71ed40624fc142efd3d")</f>
        <v>0</v>
      </c>
      <c r="C46507">
        <f>HYPERLINK("https://android.googlesource.com/platform/cts/+/a249eac2a1cce84b757141b126937db55886f540", "a249eac2a1cce84b757141b126937db55886f540")</f>
        <v>0</v>
      </c>
      <c r="D46507" t="s">
        <v>5551</v>
      </c>
      <c r="E46507" t="s">
        <v>10339</v>
      </c>
      <c r="F46507" t="s">
        <v>14461</v>
      </c>
      <c r="G46507" t="s">
        <v>15710</v>
      </c>
      <c r="H46507" t="s">
        <v>39155</v>
      </c>
    </row>
    <row r="46508" spans="1:8">
      <c r="H46508" t="s">
        <v>39156</v>
      </c>
    </row>
    <row r="46509" spans="1:8">
      <c r="A46509" t="s">
        <v>4683</v>
      </c>
      <c r="B46509">
        <f>HYPERLINK("https://android.googlesource.com/platform/cts/+/5b0d7bf5f07b23fdbc4c321434846c198a989f7f", "5b0d7bf5f07b23fdbc4c321434846c198a989f7f")</f>
        <v>0</v>
      </c>
      <c r="C46509">
        <f>HYPERLINK("https://android.googlesource.com/platform/cts/+/2f3196bfeee07909c9ae636ce61703d072b827ca", "2f3196bfeee07909c9ae636ce61703d072b827ca")</f>
        <v>0</v>
      </c>
      <c r="D46509" t="s">
        <v>5645</v>
      </c>
      <c r="E46509" t="s">
        <v>10340</v>
      </c>
      <c r="F46509" t="s">
        <v>14809</v>
      </c>
      <c r="G46509" t="s">
        <v>18674</v>
      </c>
      <c r="H46509" t="s">
        <v>39157</v>
      </c>
    </row>
    <row r="46510" spans="1:8">
      <c r="H46510" t="s">
        <v>39158</v>
      </c>
    </row>
    <row r="46511" spans="1:8">
      <c r="H46511" t="s">
        <v>39159</v>
      </c>
    </row>
    <row r="46512" spans="1:8">
      <c r="H46512" t="s">
        <v>39160</v>
      </c>
    </row>
    <row r="46513" spans="1:8">
      <c r="H46513" t="s">
        <v>28391</v>
      </c>
    </row>
    <row r="46514" spans="1:8">
      <c r="A46514" t="s">
        <v>4684</v>
      </c>
      <c r="B46514">
        <f>HYPERLINK("https://android.googlesource.com/platform/cts/+/b655a486e66356a67ce7fd58bc2c2149e6fd4de8", "b655a486e66356a67ce7fd58bc2c2149e6fd4de8")</f>
        <v>0</v>
      </c>
      <c r="C46514">
        <f>HYPERLINK("https://android.googlesource.com/platform/cts/+/e9e634bbdd5f8eec7a7d2f936d124ed553766184", "e9e634bbdd5f8eec7a7d2f936d124ed553766184")</f>
        <v>0</v>
      </c>
      <c r="D46514" t="s">
        <v>5695</v>
      </c>
      <c r="E46514" t="s">
        <v>10341</v>
      </c>
      <c r="F46514" t="s">
        <v>14840</v>
      </c>
      <c r="G46514" t="s">
        <v>18699</v>
      </c>
      <c r="H46514" t="s">
        <v>39161</v>
      </c>
    </row>
    <row r="46515" spans="1:8">
      <c r="H46515" t="s">
        <v>39162</v>
      </c>
    </row>
    <row r="46516" spans="1:8">
      <c r="H46516" t="s">
        <v>39163</v>
      </c>
    </row>
    <row r="46517" spans="1:8">
      <c r="A46517" t="s">
        <v>4686</v>
      </c>
      <c r="B46517">
        <f>HYPERLINK("https://android.googlesource.com/platform/cts/+/8e09e0e1dfd2e88f6fcb2e68c01176c2bc36fa66", "8e09e0e1dfd2e88f6fcb2e68c01176c2bc36fa66")</f>
        <v>0</v>
      </c>
      <c r="C46517">
        <f>HYPERLINK("https://android.googlesource.com/platform/cts/+/54d3ae15b7dd72e2664dc928e98e8645b7eeab68", "54d3ae15b7dd72e2664dc928e98e8645b7eeab68")</f>
        <v>0</v>
      </c>
      <c r="D46517" t="s">
        <v>5747</v>
      </c>
      <c r="E46517" t="s">
        <v>10343</v>
      </c>
      <c r="F46517" t="s">
        <v>14851</v>
      </c>
      <c r="G46517" t="s">
        <v>18705</v>
      </c>
      <c r="H46517" t="s">
        <v>39164</v>
      </c>
    </row>
    <row r="46518" spans="1:8">
      <c r="H46518" t="s">
        <v>39165</v>
      </c>
    </row>
    <row r="46519" spans="1:8">
      <c r="H46519" t="s">
        <v>39166</v>
      </c>
    </row>
    <row r="46520" spans="1:8">
      <c r="H46520" t="s">
        <v>39167</v>
      </c>
    </row>
    <row r="46521" spans="1:8">
      <c r="H46521" t="s">
        <v>39168</v>
      </c>
    </row>
    <row r="46522" spans="1:8">
      <c r="H46522" t="s">
        <v>39169</v>
      </c>
    </row>
    <row r="46523" spans="1:8">
      <c r="A46523" t="s">
        <v>4687</v>
      </c>
      <c r="B46523">
        <f>HYPERLINK("https://android.googlesource.com/platform/cts/+/075ceb5eab44565c98f3c09133e9f3d6db15777e", "075ceb5eab44565c98f3c09133e9f3d6db15777e")</f>
        <v>0</v>
      </c>
      <c r="C46523">
        <f>HYPERLINK("https://android.googlesource.com/platform/cts/+/5277ce785b4cc2db3a4375349a97ad043105997a", "5277ce785b4cc2db3a4375349a97ad043105997a")</f>
        <v>0</v>
      </c>
      <c r="D46523" t="s">
        <v>5605</v>
      </c>
      <c r="E46523" t="s">
        <v>10344</v>
      </c>
      <c r="F46523" t="s">
        <v>14387</v>
      </c>
      <c r="G46523" t="s">
        <v>17643</v>
      </c>
      <c r="H46523" t="s">
        <v>39170</v>
      </c>
    </row>
    <row r="46524" spans="1:8">
      <c r="H46524" t="s">
        <v>39171</v>
      </c>
    </row>
    <row r="46525" spans="1:8">
      <c r="H46525" t="s">
        <v>18863</v>
      </c>
    </row>
    <row r="46526" spans="1:8">
      <c r="H46526" t="s">
        <v>39172</v>
      </c>
    </row>
    <row r="46527" spans="1:8">
      <c r="H46527" t="s">
        <v>39173</v>
      </c>
    </row>
    <row r="46528" spans="1:8">
      <c r="A46528" t="s">
        <v>4689</v>
      </c>
      <c r="B46528">
        <f>HYPERLINK("https://android.googlesource.com/platform/cts/+/ca5acfb7595b71194e3f90c00a20acb33f38d164", "ca5acfb7595b71194e3f90c00a20acb33f38d164")</f>
        <v>0</v>
      </c>
      <c r="C46528">
        <f>HYPERLINK("https://android.googlesource.com/platform/cts/+/cded2ba462252cf3cf822a2e4103989ddf8684e4", "cded2ba462252cf3cf822a2e4103989ddf8684e4")</f>
        <v>0</v>
      </c>
      <c r="D46528" t="s">
        <v>5564</v>
      </c>
      <c r="E46528" t="s">
        <v>10345</v>
      </c>
      <c r="F46528" t="s">
        <v>14534</v>
      </c>
      <c r="G46528" t="s">
        <v>18458</v>
      </c>
      <c r="H46528" t="s">
        <v>39174</v>
      </c>
    </row>
    <row r="46529" spans="1:8">
      <c r="A46529" t="s">
        <v>4690</v>
      </c>
      <c r="B46529">
        <f>HYPERLINK("https://android.googlesource.com/platform/cts/+/5b943ebfd9076841090a2fd54265118958d87ba4", "5b943ebfd9076841090a2fd54265118958d87ba4")</f>
        <v>0</v>
      </c>
      <c r="C46529">
        <f>HYPERLINK("https://android.googlesource.com/platform/cts/+/df075ecd70d6e9265e2b9cef04f1b1b343bddf0d", "df075ecd70d6e9265e2b9cef04f1b1b343bddf0d")</f>
        <v>0</v>
      </c>
      <c r="D46529" t="s">
        <v>5219</v>
      </c>
      <c r="E46529" t="s">
        <v>10346</v>
      </c>
      <c r="F46529" t="s">
        <v>14512</v>
      </c>
      <c r="G46529" t="s">
        <v>18414</v>
      </c>
      <c r="H46529" t="s">
        <v>39175</v>
      </c>
    </row>
    <row r="46530" spans="1:8">
      <c r="A46530" t="s">
        <v>4691</v>
      </c>
      <c r="B46530">
        <f>HYPERLINK("https://android.googlesource.com/platform/cts/+/04e0c21758d4d1f69401f12c436b712145ff7121", "04e0c21758d4d1f69401f12c436b712145ff7121")</f>
        <v>0</v>
      </c>
      <c r="C46530">
        <f>HYPERLINK("https://android.googlesource.com/platform/cts/+/23e636b9f2b4571123fdd6a3cc47c2c2869415ff", "23e636b9f2b4571123fdd6a3cc47c2c2869415ff")</f>
        <v>0</v>
      </c>
      <c r="D46530" t="s">
        <v>5704</v>
      </c>
      <c r="E46530" t="s">
        <v>10347</v>
      </c>
      <c r="F46530" t="s">
        <v>14852</v>
      </c>
      <c r="G46530" t="s">
        <v>18706</v>
      </c>
      <c r="H46530" t="s">
        <v>30514</v>
      </c>
    </row>
    <row r="46531" spans="1:8">
      <c r="A46531" t="s">
        <v>4692</v>
      </c>
      <c r="B46531">
        <f>HYPERLINK("https://android.googlesource.com/platform/cts/+/b716020f04956188cd4b7ba6c78c3e0ebca2710d", "b716020f04956188cd4b7ba6c78c3e0ebca2710d")</f>
        <v>0</v>
      </c>
      <c r="C46531">
        <f>HYPERLINK("https://android.googlesource.com/platform/cts/+/23e636b9f2b4571123fdd6a3cc47c2c2869415ff", "23e636b9f2b4571123fdd6a3cc47c2c2869415ff")</f>
        <v>0</v>
      </c>
      <c r="D46531" t="s">
        <v>5472</v>
      </c>
      <c r="E46531" t="s">
        <v>10348</v>
      </c>
      <c r="F46531" t="s">
        <v>14853</v>
      </c>
      <c r="G46531" t="s">
        <v>18707</v>
      </c>
      <c r="H46531" t="s">
        <v>39176</v>
      </c>
    </row>
    <row r="46532" spans="1:8">
      <c r="A46532" t="s">
        <v>4693</v>
      </c>
      <c r="B46532">
        <f>HYPERLINK("https://android.googlesource.com/platform/cts/+/e09750ae40b1b7c8597d58864c022ac1da18962c", "e09750ae40b1b7c8597d58864c022ac1da18962c")</f>
        <v>0</v>
      </c>
      <c r="C46532">
        <f>HYPERLINK("https://android.googlesource.com/platform/cts/+/e6e25c22acb95deb59b0dbd5408598871949788f", "e6e25c22acb95deb59b0dbd5408598871949788f")</f>
        <v>0</v>
      </c>
      <c r="D46532" t="s">
        <v>5051</v>
      </c>
      <c r="E46532" t="s">
        <v>10349</v>
      </c>
      <c r="F46532" t="s">
        <v>12897</v>
      </c>
      <c r="G46532" t="s">
        <v>16824</v>
      </c>
      <c r="H46532" t="s">
        <v>33649</v>
      </c>
    </row>
    <row r="46533" spans="1:8">
      <c r="A46533" t="s">
        <v>4694</v>
      </c>
      <c r="B46533">
        <f>HYPERLINK("https://android.googlesource.com/platform/cts/+/a4a7fee64da605c444c8c04be1bb0741747dcad1", "a4a7fee64da605c444c8c04be1bb0741747dcad1")</f>
        <v>0</v>
      </c>
      <c r="C46533">
        <f>HYPERLINK("https://android.googlesource.com/platform/cts/+/0de19f421200e80706e501bc09c780672eaaa507", "0de19f421200e80706e501bc09c780672eaaa507")</f>
        <v>0</v>
      </c>
      <c r="D46533" t="s">
        <v>5748</v>
      </c>
      <c r="E46533" t="s">
        <v>10350</v>
      </c>
      <c r="F46533" t="s">
        <v>14854</v>
      </c>
      <c r="G46533" t="s">
        <v>18708</v>
      </c>
      <c r="H46533" t="s">
        <v>39177</v>
      </c>
    </row>
    <row r="46534" spans="1:8">
      <c r="H46534" t="s">
        <v>39178</v>
      </c>
    </row>
    <row r="46535" spans="1:8">
      <c r="A46535" t="s">
        <v>4695</v>
      </c>
      <c r="B46535">
        <f>HYPERLINK("https://android.googlesource.com/platform/cts/+/b3dcbf4d50c20953c151393422ca37ad05b1168a", "b3dcbf4d50c20953c151393422ca37ad05b1168a")</f>
        <v>0</v>
      </c>
      <c r="C46535">
        <f>HYPERLINK("https://android.googlesource.com/platform/cts/+/f2c57f544dc83591e95d2938c59af93a3a837807", "f2c57f544dc83591e95d2938c59af93a3a837807")</f>
        <v>0</v>
      </c>
      <c r="D46535" t="s">
        <v>5747</v>
      </c>
      <c r="E46535" t="s">
        <v>10351</v>
      </c>
      <c r="F46535" t="s">
        <v>14855</v>
      </c>
      <c r="G46535" t="s">
        <v>18709</v>
      </c>
      <c r="H46535" t="s">
        <v>18829</v>
      </c>
    </row>
    <row r="46536" spans="1:8">
      <c r="H46536" t="s">
        <v>18863</v>
      </c>
    </row>
    <row r="46537" spans="1:8">
      <c r="H46537" t="s">
        <v>39179</v>
      </c>
    </row>
    <row r="46538" spans="1:8">
      <c r="H46538" t="s">
        <v>39180</v>
      </c>
    </row>
    <row r="46539" spans="1:8">
      <c r="H46539" t="s">
        <v>39181</v>
      </c>
    </row>
    <row r="46540" spans="1:8">
      <c r="H46540" t="s">
        <v>37712</v>
      </c>
    </row>
    <row r="46541" spans="1:8">
      <c r="H46541" t="s">
        <v>37713</v>
      </c>
    </row>
    <row r="46542" spans="1:8">
      <c r="H46542" t="s">
        <v>37717</v>
      </c>
    </row>
    <row r="46543" spans="1:8">
      <c r="A46543" t="s">
        <v>4696</v>
      </c>
      <c r="B46543">
        <f>HYPERLINK("https://android.googlesource.com/platform/cts/+/a74d9a6ed522c13eb9f30d96d3a81f2a329904aa", "a74d9a6ed522c13eb9f30d96d3a81f2a329904aa")</f>
        <v>0</v>
      </c>
      <c r="C46543">
        <f>HYPERLINK("https://android.googlesource.com/platform/cts/+/5ac0d9c03e7b3990e78b4fd57ed2133171b0b793", "5ac0d9c03e7b3990e78b4fd57ed2133171b0b793")</f>
        <v>0</v>
      </c>
      <c r="D46543" t="s">
        <v>5749</v>
      </c>
      <c r="E46543" t="s">
        <v>10352</v>
      </c>
      <c r="F46543" t="s">
        <v>14506</v>
      </c>
      <c r="G46543" t="s">
        <v>18435</v>
      </c>
      <c r="H46543" t="s">
        <v>39182</v>
      </c>
    </row>
    <row r="46544" spans="1:8">
      <c r="H46544" t="s">
        <v>39183</v>
      </c>
    </row>
    <row r="46545" spans="1:8">
      <c r="A46545" t="s">
        <v>4697</v>
      </c>
      <c r="B46545">
        <f>HYPERLINK("https://android.googlesource.com/platform/cts/+/7b5d3525f8fcd297f8ba207ea97b7b7a16624383", "7b5d3525f8fcd297f8ba207ea97b7b7a16624383")</f>
        <v>0</v>
      </c>
      <c r="C46545">
        <f>HYPERLINK("https://android.googlesource.com/platform/cts/+/b031a99c625f9e7bbef356acee98aedae018f44e", "b031a99c625f9e7bbef356acee98aedae018f44e")</f>
        <v>0</v>
      </c>
      <c r="D46545" t="s">
        <v>5750</v>
      </c>
      <c r="E46545" t="s">
        <v>10353</v>
      </c>
      <c r="F46545" t="s">
        <v>14193</v>
      </c>
      <c r="G46545" t="s">
        <v>18172</v>
      </c>
      <c r="H46545" t="s">
        <v>39184</v>
      </c>
    </row>
    <row r="46546" spans="1:8">
      <c r="H46546" t="s">
        <v>39185</v>
      </c>
    </row>
    <row r="46547" spans="1:8">
      <c r="A46547" t="s">
        <v>4698</v>
      </c>
      <c r="B46547">
        <f>HYPERLINK("https://android.googlesource.com/platform/cts/+/5ebe876c894dad92afb76271c1eb445dad053046", "5ebe876c894dad92afb76271c1eb445dad053046")</f>
        <v>0</v>
      </c>
      <c r="C46547">
        <f>HYPERLINK("https://android.googlesource.com/platform/cts/+/31b1b52a5bedadf1b295ac6b3c725abf6e4bd21c", "31b1b52a5bedadf1b295ac6b3c725abf6e4bd21c")</f>
        <v>0</v>
      </c>
      <c r="D46547" t="s">
        <v>5454</v>
      </c>
      <c r="E46547" t="s">
        <v>10354</v>
      </c>
      <c r="F46547" t="s">
        <v>14014</v>
      </c>
      <c r="G46547" t="s">
        <v>18026</v>
      </c>
      <c r="H46547" t="s">
        <v>39186</v>
      </c>
    </row>
    <row r="46548" spans="1:8">
      <c r="A46548" t="s">
        <v>4699</v>
      </c>
      <c r="B46548">
        <f>HYPERLINK("https://android.googlesource.com/platform/cts/+/de0a97c36be075761ec76c515a280463401aed67", "de0a97c36be075761ec76c515a280463401aed67")</f>
        <v>0</v>
      </c>
      <c r="C46548">
        <f>HYPERLINK("https://android.googlesource.com/platform/cts/+/e23125649087bfce9d75ba4ee52036d37e120628", "e23125649087bfce9d75ba4ee52036d37e120628")</f>
        <v>0</v>
      </c>
      <c r="D46548" t="s">
        <v>5751</v>
      </c>
      <c r="E46548" t="s">
        <v>10355</v>
      </c>
      <c r="F46548" t="s">
        <v>14856</v>
      </c>
      <c r="G46548" t="s">
        <v>18710</v>
      </c>
      <c r="H46548" t="s">
        <v>39187</v>
      </c>
    </row>
    <row r="46549" spans="1:8">
      <c r="H46549" t="s">
        <v>39188</v>
      </c>
    </row>
    <row r="46550" spans="1:8">
      <c r="H46550" t="s">
        <v>39189</v>
      </c>
    </row>
    <row r="46551" spans="1:8">
      <c r="H46551" t="s">
        <v>39190</v>
      </c>
    </row>
    <row r="46552" spans="1:8">
      <c r="H46552" t="s">
        <v>39191</v>
      </c>
    </row>
    <row r="46553" spans="1:8">
      <c r="H46553" t="s">
        <v>39192</v>
      </c>
    </row>
    <row r="46554" spans="1:8">
      <c r="H46554" t="s">
        <v>39193</v>
      </c>
    </row>
    <row r="46555" spans="1:8">
      <c r="A46555" t="s">
        <v>4700</v>
      </c>
      <c r="B46555">
        <f>HYPERLINK("https://android.googlesource.com/platform/cts/+/6198e4a545538eddea62402f7a9170183f221166", "6198e4a545538eddea62402f7a9170183f221166")</f>
        <v>0</v>
      </c>
      <c r="C46555">
        <f>HYPERLINK("https://android.googlesource.com/platform/cts/+/83365a493dfb2c4e10339aa30c92906e7ab7b8f0", "83365a493dfb2c4e10339aa30c92906e7ab7b8f0")</f>
        <v>0</v>
      </c>
      <c r="D46555" t="s">
        <v>5752</v>
      </c>
      <c r="E46555" t="s">
        <v>10356</v>
      </c>
      <c r="F46555" t="s">
        <v>14857</v>
      </c>
      <c r="G46555" t="s">
        <v>18711</v>
      </c>
      <c r="H46555" t="s">
        <v>18863</v>
      </c>
    </row>
    <row r="46556" spans="1:8">
      <c r="A46556" t="s">
        <v>4701</v>
      </c>
      <c r="B46556">
        <f>HYPERLINK("https://android.googlesource.com/platform/cts/+/af11911979d98ed1ec7023131e6335bf1e6f1f1f", "af11911979d98ed1ec7023131e6335bf1e6f1f1f")</f>
        <v>0</v>
      </c>
      <c r="C46556">
        <f>HYPERLINK("https://android.googlesource.com/platform/cts/+/202af6b7243956f93c9d52543fc61909351ef690", "202af6b7243956f93c9d52543fc61909351ef690")</f>
        <v>0</v>
      </c>
      <c r="D46556" t="s">
        <v>5753</v>
      </c>
      <c r="E46556" t="s">
        <v>10357</v>
      </c>
      <c r="F46556" t="s">
        <v>14858</v>
      </c>
      <c r="G46556" t="s">
        <v>18712</v>
      </c>
      <c r="H46556" t="s">
        <v>19981</v>
      </c>
    </row>
    <row r="46557" spans="1:8">
      <c r="H46557" t="s">
        <v>39194</v>
      </c>
    </row>
    <row r="46558" spans="1:8">
      <c r="A46558" t="s">
        <v>4702</v>
      </c>
      <c r="B46558">
        <f>HYPERLINK("https://android.googlesource.com/platform/cts/+/3b9ca0de773b43f742ebf7117f56cca779d1dad5", "3b9ca0de773b43f742ebf7117f56cca779d1dad5")</f>
        <v>0</v>
      </c>
      <c r="C46558">
        <f>HYPERLINK("https://android.googlesource.com/platform/cts/+/e647a87ab4b3518c9e1e602e6807913924b81345", "e647a87ab4b3518c9e1e602e6807913924b81345")</f>
        <v>0</v>
      </c>
      <c r="D46558" t="s">
        <v>5695</v>
      </c>
      <c r="E46558" t="s">
        <v>10358</v>
      </c>
      <c r="F46558" t="s">
        <v>14840</v>
      </c>
      <c r="G46558" t="s">
        <v>18699</v>
      </c>
      <c r="H46558" t="s">
        <v>39195</v>
      </c>
    </row>
    <row r="46559" spans="1:8">
      <c r="A46559" t="s">
        <v>4703</v>
      </c>
      <c r="B46559">
        <f>HYPERLINK("https://android.googlesource.com/platform/cts/+/b086d0ce101a703c9e7d37c2d4650327ad125619", "b086d0ce101a703c9e7d37c2d4650327ad125619")</f>
        <v>0</v>
      </c>
      <c r="C46559">
        <f>HYPERLINK("https://android.googlesource.com/platform/cts/+/b3c54c05d0b3aa00374644f8f389a562214dd09e", "b3c54c05d0b3aa00374644f8f389a562214dd09e")</f>
        <v>0</v>
      </c>
      <c r="D46559" t="s">
        <v>5644</v>
      </c>
      <c r="E46559" t="s">
        <v>10359</v>
      </c>
      <c r="F46559" t="s">
        <v>14859</v>
      </c>
      <c r="G46559" t="s">
        <v>18713</v>
      </c>
      <c r="H46559" t="s">
        <v>39196</v>
      </c>
    </row>
    <row r="46560" spans="1:8">
      <c r="H46560" t="s">
        <v>39197</v>
      </c>
    </row>
    <row r="46561" spans="1:8">
      <c r="H46561" t="s">
        <v>39198</v>
      </c>
    </row>
    <row r="46562" spans="1:8">
      <c r="A46562" t="s">
        <v>4704</v>
      </c>
      <c r="B46562">
        <f>HYPERLINK("https://android.googlesource.com/platform/cts/+/0c49b6f36afcfd2eeee924d03a88e90ed8e2793b", "0c49b6f36afcfd2eeee924d03a88e90ed8e2793b")</f>
        <v>0</v>
      </c>
      <c r="C46562">
        <f>HYPERLINK("https://android.googlesource.com/platform/cts/+/27596a017ce2c909198f68620cfa10e9fde9b9fe", "27596a017ce2c909198f68620cfa10e9fde9b9fe")</f>
        <v>0</v>
      </c>
      <c r="D46562" t="s">
        <v>5754</v>
      </c>
      <c r="E46562" t="s">
        <v>10360</v>
      </c>
      <c r="F46562" t="s">
        <v>14825</v>
      </c>
      <c r="G46562" t="s">
        <v>18687</v>
      </c>
      <c r="H46562" t="s">
        <v>39199</v>
      </c>
    </row>
    <row r="46563" spans="1:8">
      <c r="A46563" t="s">
        <v>4706</v>
      </c>
      <c r="B46563">
        <f>HYPERLINK("https://android.googlesource.com/platform/cts/+/606ebea17b54673c50ee7ef88e942c1661ff4743", "606ebea17b54673c50ee7ef88e942c1661ff4743")</f>
        <v>0</v>
      </c>
      <c r="C46563">
        <f>HYPERLINK("https://android.googlesource.com/platform/cts/+/46c031b7d8c22e66765e566558a3d633f81224c0", "46c031b7d8c22e66765e566558a3d633f81224c0")</f>
        <v>0</v>
      </c>
      <c r="D46563" t="s">
        <v>5755</v>
      </c>
      <c r="E46563" t="s">
        <v>10362</v>
      </c>
      <c r="F46563" t="s">
        <v>14203</v>
      </c>
      <c r="G46563" t="s">
        <v>16863</v>
      </c>
      <c r="H46563" t="s">
        <v>39200</v>
      </c>
    </row>
    <row r="46564" spans="1:8">
      <c r="H46564" t="s">
        <v>39201</v>
      </c>
    </row>
    <row r="46565" spans="1:8">
      <c r="A46565" t="s">
        <v>4707</v>
      </c>
      <c r="B46565">
        <f>HYPERLINK("https://android.googlesource.com/platform/cts/+/c3d1d1fede665eaaf736127aef9d6e4295244f31", "c3d1d1fede665eaaf736127aef9d6e4295244f31")</f>
        <v>0</v>
      </c>
      <c r="C46565">
        <f>HYPERLINK("https://android.googlesource.com/platform/cts/+/64ead08b13ecad35b1a074601d67ca9a52875167", "64ead08b13ecad35b1a074601d67ca9a52875167")</f>
        <v>0</v>
      </c>
      <c r="D46565" t="s">
        <v>5740</v>
      </c>
      <c r="E46565" t="s">
        <v>10363</v>
      </c>
      <c r="F46565" t="s">
        <v>14121</v>
      </c>
      <c r="G46565" t="s">
        <v>16426</v>
      </c>
      <c r="H46565" t="s">
        <v>39202</v>
      </c>
    </row>
    <row r="46566" spans="1:8">
      <c r="A46566" t="s">
        <v>4709</v>
      </c>
      <c r="B46566">
        <f>HYPERLINK("https://android.googlesource.com/platform/cts/+/adf1cabbb66bbb034ba81cae648b3939b23a328e", "adf1cabbb66bbb034ba81cae648b3939b23a328e")</f>
        <v>0</v>
      </c>
      <c r="C46566">
        <f>HYPERLINK("https://android.googlesource.com/platform/cts/+/b351226f3c3dd8a592eb4b9fadd7e3712611a65a", "b351226f3c3dd8a592eb4b9fadd7e3712611a65a")</f>
        <v>0</v>
      </c>
      <c r="D46566" t="s">
        <v>5419</v>
      </c>
      <c r="E46566" t="s">
        <v>10365</v>
      </c>
      <c r="F46566" t="s">
        <v>14860</v>
      </c>
      <c r="G46566" t="s">
        <v>18714</v>
      </c>
      <c r="H46566" t="s">
        <v>32554</v>
      </c>
    </row>
    <row r="46567" spans="1:8">
      <c r="F46567" t="s">
        <v>14861</v>
      </c>
      <c r="G46567" t="s">
        <v>18715</v>
      </c>
      <c r="H46567" t="s">
        <v>39203</v>
      </c>
    </row>
    <row r="46568" spans="1:8">
      <c r="H46568" t="s">
        <v>39204</v>
      </c>
    </row>
    <row r="46569" spans="1:8">
      <c r="A46569" t="s">
        <v>4710</v>
      </c>
      <c r="B46569">
        <f>HYPERLINK("https://android.googlesource.com/platform/cts/+/69953912ae107a510145f3668228ca88975b86d6", "69953912ae107a510145f3668228ca88975b86d6")</f>
        <v>0</v>
      </c>
      <c r="C46569">
        <f>HYPERLINK("https://android.googlesource.com/platform/cts/+/eb4a719122fcc05073102084212e8a151f8b7708", "eb4a719122fcc05073102084212e8a151f8b7708")</f>
        <v>0</v>
      </c>
      <c r="D46569" t="s">
        <v>5564</v>
      </c>
      <c r="E46569" t="s">
        <v>10366</v>
      </c>
      <c r="F46569" t="s">
        <v>14773</v>
      </c>
      <c r="G46569" t="s">
        <v>16648</v>
      </c>
      <c r="H46569" t="s">
        <v>39205</v>
      </c>
    </row>
    <row r="46570" spans="1:8">
      <c r="H46570" t="s">
        <v>39206</v>
      </c>
    </row>
    <row r="46571" spans="1:8">
      <c r="H46571" t="s">
        <v>39207</v>
      </c>
    </row>
    <row r="46572" spans="1:8">
      <c r="H46572" t="s">
        <v>39208</v>
      </c>
    </row>
    <row r="46573" spans="1:8">
      <c r="H46573" t="s">
        <v>39209</v>
      </c>
    </row>
    <row r="46574" spans="1:8">
      <c r="H46574" t="s">
        <v>39210</v>
      </c>
    </row>
    <row r="46575" spans="1:8">
      <c r="H46575" t="s">
        <v>39211</v>
      </c>
    </row>
    <row r="46576" spans="1:8">
      <c r="H46576" t="s">
        <v>39212</v>
      </c>
    </row>
    <row r="46577" spans="8:8">
      <c r="H46577" t="s">
        <v>39213</v>
      </c>
    </row>
    <row r="46578" spans="8:8">
      <c r="H46578" t="s">
        <v>39214</v>
      </c>
    </row>
    <row r="46579" spans="8:8">
      <c r="H46579" t="s">
        <v>39215</v>
      </c>
    </row>
    <row r="46580" spans="8:8">
      <c r="H46580" t="s">
        <v>39216</v>
      </c>
    </row>
    <row r="46581" spans="8:8">
      <c r="H46581" t="s">
        <v>39217</v>
      </c>
    </row>
    <row r="46582" spans="8:8">
      <c r="H46582" t="s">
        <v>39218</v>
      </c>
    </row>
    <row r="46583" spans="8:8">
      <c r="H46583" t="s">
        <v>39219</v>
      </c>
    </row>
    <row r="46584" spans="8:8">
      <c r="H46584" t="s">
        <v>39220</v>
      </c>
    </row>
    <row r="46585" spans="8:8">
      <c r="H46585" t="s">
        <v>39221</v>
      </c>
    </row>
    <row r="46586" spans="8:8">
      <c r="H46586" t="s">
        <v>39222</v>
      </c>
    </row>
    <row r="46587" spans="8:8">
      <c r="H46587" t="s">
        <v>39223</v>
      </c>
    </row>
    <row r="46588" spans="8:8">
      <c r="H46588" t="s">
        <v>39224</v>
      </c>
    </row>
    <row r="46589" spans="8:8">
      <c r="H46589" t="s">
        <v>39225</v>
      </c>
    </row>
    <row r="46590" spans="8:8">
      <c r="H46590" t="s">
        <v>39226</v>
      </c>
    </row>
    <row r="46591" spans="8:8">
      <c r="H46591" t="s">
        <v>39227</v>
      </c>
    </row>
    <row r="46592" spans="8:8">
      <c r="H46592" t="s">
        <v>39228</v>
      </c>
    </row>
    <row r="46593" spans="8:8">
      <c r="H46593" t="s">
        <v>39229</v>
      </c>
    </row>
    <row r="46594" spans="8:8">
      <c r="H46594" t="s">
        <v>39230</v>
      </c>
    </row>
    <row r="46595" spans="8:8">
      <c r="H46595" t="s">
        <v>39231</v>
      </c>
    </row>
    <row r="46596" spans="8:8">
      <c r="H46596" t="s">
        <v>39232</v>
      </c>
    </row>
    <row r="46597" spans="8:8">
      <c r="H46597" t="s">
        <v>39233</v>
      </c>
    </row>
    <row r="46598" spans="8:8">
      <c r="H46598" t="s">
        <v>39234</v>
      </c>
    </row>
    <row r="46599" spans="8:8">
      <c r="H46599" t="s">
        <v>39235</v>
      </c>
    </row>
    <row r="46600" spans="8:8">
      <c r="H46600" t="s">
        <v>39236</v>
      </c>
    </row>
    <row r="46601" spans="8:8">
      <c r="H46601" t="s">
        <v>39237</v>
      </c>
    </row>
    <row r="46602" spans="8:8">
      <c r="H46602" t="s">
        <v>39238</v>
      </c>
    </row>
    <row r="46603" spans="8:8">
      <c r="H46603" t="s">
        <v>39239</v>
      </c>
    </row>
    <row r="46604" spans="8:8">
      <c r="H46604" t="s">
        <v>39240</v>
      </c>
    </row>
    <row r="46605" spans="8:8">
      <c r="H46605" t="s">
        <v>39241</v>
      </c>
    </row>
    <row r="46606" spans="8:8">
      <c r="H46606" t="s">
        <v>39242</v>
      </c>
    </row>
    <row r="46607" spans="8:8">
      <c r="H46607" t="s">
        <v>39243</v>
      </c>
    </row>
    <row r="46608" spans="8:8">
      <c r="H46608" t="s">
        <v>39244</v>
      </c>
    </row>
    <row r="46609" spans="8:8">
      <c r="H46609" t="s">
        <v>39245</v>
      </c>
    </row>
    <row r="46610" spans="8:8">
      <c r="H46610" t="s">
        <v>39246</v>
      </c>
    </row>
    <row r="46611" spans="8:8">
      <c r="H46611" t="s">
        <v>39247</v>
      </c>
    </row>
    <row r="46612" spans="8:8">
      <c r="H46612" t="s">
        <v>39248</v>
      </c>
    </row>
    <row r="46613" spans="8:8">
      <c r="H46613" t="s">
        <v>39249</v>
      </c>
    </row>
    <row r="46614" spans="8:8">
      <c r="H46614" t="s">
        <v>39250</v>
      </c>
    </row>
    <row r="46615" spans="8:8">
      <c r="H46615" t="s">
        <v>39251</v>
      </c>
    </row>
    <row r="46616" spans="8:8">
      <c r="H46616" t="s">
        <v>39252</v>
      </c>
    </row>
    <row r="46617" spans="8:8">
      <c r="H46617" t="s">
        <v>39253</v>
      </c>
    </row>
    <row r="46618" spans="8:8">
      <c r="H46618" t="s">
        <v>39254</v>
      </c>
    </row>
    <row r="46619" spans="8:8">
      <c r="H46619" t="s">
        <v>39255</v>
      </c>
    </row>
    <row r="46620" spans="8:8">
      <c r="H46620" t="s">
        <v>39256</v>
      </c>
    </row>
    <row r="46621" spans="8:8">
      <c r="H46621" t="s">
        <v>39257</v>
      </c>
    </row>
    <row r="46622" spans="8:8">
      <c r="H46622" t="s">
        <v>39258</v>
      </c>
    </row>
    <row r="46623" spans="8:8">
      <c r="H46623" t="s">
        <v>39259</v>
      </c>
    </row>
    <row r="46624" spans="8:8">
      <c r="H46624" t="s">
        <v>39260</v>
      </c>
    </row>
    <row r="46625" spans="1:8">
      <c r="H46625" t="s">
        <v>39261</v>
      </c>
    </row>
    <row r="46626" spans="1:8">
      <c r="H46626" t="s">
        <v>39262</v>
      </c>
    </row>
    <row r="46627" spans="1:8">
      <c r="A46627" t="s">
        <v>4711</v>
      </c>
      <c r="B46627">
        <f>HYPERLINK("https://android.googlesource.com/platform/cts/+/fab06b5658edd4b4a4a1f571fc5267954ceba853", "fab06b5658edd4b4a4a1f571fc5267954ceba853")</f>
        <v>0</v>
      </c>
      <c r="C46627">
        <f>HYPERLINK("https://android.googlesource.com/platform/cts/+/5340edfe0915e02d2542795fba35b03b9dac372a", "5340edfe0915e02d2542795fba35b03b9dac372a")</f>
        <v>0</v>
      </c>
      <c r="D46627" t="s">
        <v>5219</v>
      </c>
      <c r="E46627" t="s">
        <v>10367</v>
      </c>
      <c r="F46627" t="s">
        <v>14512</v>
      </c>
      <c r="G46627" t="s">
        <v>18414</v>
      </c>
      <c r="H46627" t="s">
        <v>36147</v>
      </c>
    </row>
    <row r="46628" spans="1:8">
      <c r="H46628" t="s">
        <v>39263</v>
      </c>
    </row>
    <row r="46629" spans="1:8">
      <c r="H46629" t="s">
        <v>39264</v>
      </c>
    </row>
    <row r="46630" spans="1:8">
      <c r="A46630" t="s">
        <v>4712</v>
      </c>
      <c r="B46630">
        <f>HYPERLINK("https://android.googlesource.com/platform/cts/+/16e10b778bc7d7051286d40d322bd2f24aa4c79f", "16e10b778bc7d7051286d40d322bd2f24aa4c79f")</f>
        <v>0</v>
      </c>
      <c r="C46630">
        <f>HYPERLINK("https://android.googlesource.com/platform/cts/+/d7d1dccb99eac55f4650a144fe7567a893036fd2", "d7d1dccb99eac55f4650a144fe7567a893036fd2")</f>
        <v>0</v>
      </c>
      <c r="D46630" t="s">
        <v>5609</v>
      </c>
      <c r="E46630" t="s">
        <v>10368</v>
      </c>
      <c r="F46630" t="s">
        <v>14862</v>
      </c>
      <c r="G46630" t="s">
        <v>18363</v>
      </c>
      <c r="H46630" t="s">
        <v>39265</v>
      </c>
    </row>
    <row r="46631" spans="1:8">
      <c r="F46631" t="s">
        <v>14863</v>
      </c>
      <c r="G46631" t="s">
        <v>18716</v>
      </c>
      <c r="H46631" t="s">
        <v>39265</v>
      </c>
    </row>
    <row r="46632" spans="1:8">
      <c r="A46632" t="s">
        <v>4714</v>
      </c>
      <c r="B46632">
        <f>HYPERLINK("https://android.googlesource.com/platform/cts/+/065fc21c378291a3fd4e5576db0a125bb833dfa4", "065fc21c378291a3fd4e5576db0a125bb833dfa4")</f>
        <v>0</v>
      </c>
      <c r="C46632">
        <f>HYPERLINK("https://android.googlesource.com/platform/cts/+/e76d856a110960b2f7e2952ff97aadfd1342c5fb", "e76d856a110960b2f7e2952ff97aadfd1342c5fb")</f>
        <v>0</v>
      </c>
      <c r="D46632" t="s">
        <v>5463</v>
      </c>
      <c r="E46632" t="s">
        <v>10370</v>
      </c>
      <c r="F46632" t="s">
        <v>14633</v>
      </c>
      <c r="G46632" t="s">
        <v>18543</v>
      </c>
      <c r="H46632" t="s">
        <v>39266</v>
      </c>
    </row>
    <row r="46633" spans="1:8">
      <c r="H46633" t="s">
        <v>39267</v>
      </c>
    </row>
    <row r="46634" spans="1:8">
      <c r="H46634" t="s">
        <v>39268</v>
      </c>
    </row>
    <row r="46635" spans="1:8">
      <c r="H46635" t="s">
        <v>39269</v>
      </c>
    </row>
    <row r="46636" spans="1:8">
      <c r="H46636" t="s">
        <v>39270</v>
      </c>
    </row>
    <row r="46637" spans="1:8">
      <c r="A46637" t="s">
        <v>4715</v>
      </c>
      <c r="B46637">
        <f>HYPERLINK("https://android.googlesource.com/platform/cts/+/2e763a69f91f24e1d694d22b47e19be591a7a313", "2e763a69f91f24e1d694d22b47e19be591a7a313")</f>
        <v>0</v>
      </c>
      <c r="C46637">
        <f>HYPERLINK("https://android.googlesource.com/platform/cts/+/ed80e62fa5f9d3f4074235f6f7f0a78107f026d8", "ed80e62fa5f9d3f4074235f6f7f0a78107f026d8")</f>
        <v>0</v>
      </c>
      <c r="D46637" t="s">
        <v>5040</v>
      </c>
      <c r="E46637" t="s">
        <v>10371</v>
      </c>
      <c r="F46637" t="s">
        <v>14864</v>
      </c>
      <c r="G46637" t="s">
        <v>18717</v>
      </c>
      <c r="H46637" t="s">
        <v>18829</v>
      </c>
    </row>
    <row r="46638" spans="1:8">
      <c r="H46638" t="s">
        <v>18863</v>
      </c>
    </row>
    <row r="46639" spans="1:8">
      <c r="H46639" t="s">
        <v>39271</v>
      </c>
    </row>
    <row r="46640" spans="1:8">
      <c r="A46640" t="s">
        <v>4716</v>
      </c>
      <c r="B46640">
        <f>HYPERLINK("https://android.googlesource.com/platform/cts/+/6de3c1cfdb62119e61f0c7d56b32b2fad338eb84", "6de3c1cfdb62119e61f0c7d56b32b2fad338eb84")</f>
        <v>0</v>
      </c>
      <c r="C46640">
        <f>HYPERLINK("https://android.googlesource.com/platform/cts/+/13625dd2dcdcf7f6c6e9fa5041e920f288ecb94b", "13625dd2dcdcf7f6c6e9fa5041e920f288ecb94b")</f>
        <v>0</v>
      </c>
      <c r="D46640" t="s">
        <v>5751</v>
      </c>
      <c r="E46640" t="s">
        <v>10372</v>
      </c>
      <c r="F46640" t="s">
        <v>14856</v>
      </c>
      <c r="G46640" t="s">
        <v>18710</v>
      </c>
      <c r="H46640" t="s">
        <v>39272</v>
      </c>
    </row>
    <row r="46641" spans="8:8">
      <c r="H46641" t="s">
        <v>39273</v>
      </c>
    </row>
    <row r="46642" spans="8:8">
      <c r="H46642" t="s">
        <v>39274</v>
      </c>
    </row>
    <row r="46643" spans="8:8">
      <c r="H46643" t="s">
        <v>39275</v>
      </c>
    </row>
    <row r="46644" spans="8:8">
      <c r="H46644" t="s">
        <v>39276</v>
      </c>
    </row>
    <row r="46645" spans="8:8">
      <c r="H46645" t="s">
        <v>39277</v>
      </c>
    </row>
    <row r="46646" spans="8:8">
      <c r="H46646" t="s">
        <v>39278</v>
      </c>
    </row>
    <row r="46647" spans="8:8">
      <c r="H46647" t="s">
        <v>39279</v>
      </c>
    </row>
    <row r="46648" spans="8:8">
      <c r="H46648" t="s">
        <v>39280</v>
      </c>
    </row>
    <row r="46649" spans="8:8">
      <c r="H46649" t="s">
        <v>39281</v>
      </c>
    </row>
    <row r="46650" spans="8:8">
      <c r="H46650" t="s">
        <v>39282</v>
      </c>
    </row>
    <row r="46651" spans="8:8">
      <c r="H46651" t="s">
        <v>39283</v>
      </c>
    </row>
    <row r="46652" spans="8:8">
      <c r="H46652" t="s">
        <v>33645</v>
      </c>
    </row>
    <row r="46653" spans="8:8">
      <c r="H46653" t="s">
        <v>39284</v>
      </c>
    </row>
    <row r="46654" spans="8:8">
      <c r="H46654" t="s">
        <v>39285</v>
      </c>
    </row>
    <row r="46655" spans="8:8">
      <c r="H46655" t="s">
        <v>39286</v>
      </c>
    </row>
    <row r="46656" spans="8:8">
      <c r="H46656" t="s">
        <v>19981</v>
      </c>
    </row>
    <row r="46657" spans="1:8">
      <c r="H46657" t="s">
        <v>18863</v>
      </c>
    </row>
    <row r="46658" spans="1:8">
      <c r="H46658" t="s">
        <v>39287</v>
      </c>
    </row>
    <row r="46659" spans="1:8">
      <c r="H46659" t="s">
        <v>39288</v>
      </c>
    </row>
    <row r="46660" spans="1:8">
      <c r="H46660" t="s">
        <v>39289</v>
      </c>
    </row>
    <row r="46661" spans="1:8">
      <c r="H46661" t="s">
        <v>39290</v>
      </c>
    </row>
    <row r="46662" spans="1:8">
      <c r="H46662" t="s">
        <v>39291</v>
      </c>
    </row>
    <row r="46663" spans="1:8">
      <c r="H46663" t="s">
        <v>39292</v>
      </c>
    </row>
    <row r="46664" spans="1:8">
      <c r="H46664" t="s">
        <v>39293</v>
      </c>
    </row>
    <row r="46665" spans="1:8">
      <c r="H46665" t="s">
        <v>39294</v>
      </c>
    </row>
    <row r="46666" spans="1:8">
      <c r="H46666" t="s">
        <v>39295</v>
      </c>
    </row>
    <row r="46667" spans="1:8">
      <c r="H46667" t="s">
        <v>39296</v>
      </c>
    </row>
    <row r="46668" spans="1:8">
      <c r="H46668" t="s">
        <v>39297</v>
      </c>
    </row>
    <row r="46669" spans="1:8">
      <c r="H46669" t="s">
        <v>31962</v>
      </c>
    </row>
    <row r="46670" spans="1:8">
      <c r="H46670" t="s">
        <v>39298</v>
      </c>
    </row>
    <row r="46671" spans="1:8">
      <c r="H46671" t="s">
        <v>39299</v>
      </c>
    </row>
    <row r="46672" spans="1:8">
      <c r="A46672" t="s">
        <v>4717</v>
      </c>
      <c r="B46672">
        <f>HYPERLINK("https://android.googlesource.com/platform/cts/+/5d371b0d6c23b89516dcd4e2f0cc125dda9bacc1", "5d371b0d6c23b89516dcd4e2f0cc125dda9bacc1")</f>
        <v>0</v>
      </c>
      <c r="C46672">
        <f>HYPERLINK("https://android.googlesource.com/platform/cts/+/ac98faf604503a6a45228181ba2dc35b7123a1b5", "ac98faf604503a6a45228181ba2dc35b7123a1b5")</f>
        <v>0</v>
      </c>
      <c r="D46672" t="s">
        <v>5477</v>
      </c>
      <c r="E46672" t="s">
        <v>10373</v>
      </c>
      <c r="F46672" t="s">
        <v>14865</v>
      </c>
      <c r="G46672" t="s">
        <v>18718</v>
      </c>
      <c r="H46672" t="s">
        <v>39016</v>
      </c>
    </row>
    <row r="46673" spans="1:8">
      <c r="H46673" t="s">
        <v>39300</v>
      </c>
    </row>
    <row r="46674" spans="1:8">
      <c r="H46674" t="s">
        <v>39301</v>
      </c>
    </row>
    <row r="46675" spans="1:8">
      <c r="A46675" t="s">
        <v>4718</v>
      </c>
      <c r="B46675">
        <f>HYPERLINK("https://android.googlesource.com/platform/cts/+/6374c27aabc8dd0ca6eb2b23784e5adc26472ed9", "6374c27aabc8dd0ca6eb2b23784e5adc26472ed9")</f>
        <v>0</v>
      </c>
      <c r="C46675">
        <f>HYPERLINK("https://android.googlesource.com/platform/cts/+/c7f5a4d6eb95d6487771ed8230bca5ff62a0d3f3", "c7f5a4d6eb95d6487771ed8230bca5ff62a0d3f3")</f>
        <v>0</v>
      </c>
      <c r="D46675" t="s">
        <v>5440</v>
      </c>
      <c r="E46675" t="s">
        <v>10374</v>
      </c>
      <c r="F46675" t="s">
        <v>12734</v>
      </c>
      <c r="G46675" t="s">
        <v>16927</v>
      </c>
      <c r="H46675" t="s">
        <v>39302</v>
      </c>
    </row>
    <row r="46676" spans="1:8">
      <c r="A46676" t="s">
        <v>4719</v>
      </c>
      <c r="B46676">
        <f>HYPERLINK("https://android.googlesource.com/platform/cts/+/234029c5175acfb2b2ab045caee78a5544771137", "234029c5175acfb2b2ab045caee78a5544771137")</f>
        <v>0</v>
      </c>
      <c r="C46676">
        <f>HYPERLINK("https://android.googlesource.com/platform/cts/+/ef65d3f977cb301d11b01fd83de6516e4a7d8e54", "ef65d3f977cb301d11b01fd83de6516e4a7d8e54")</f>
        <v>0</v>
      </c>
      <c r="D46676" t="s">
        <v>5756</v>
      </c>
      <c r="E46676" t="s">
        <v>10375</v>
      </c>
      <c r="F46676" t="s">
        <v>10784</v>
      </c>
      <c r="G46676" t="s">
        <v>15180</v>
      </c>
      <c r="H46676" t="s">
        <v>39303</v>
      </c>
    </row>
    <row r="46677" spans="1:8">
      <c r="F46677" t="s">
        <v>14866</v>
      </c>
      <c r="G46677" t="s">
        <v>18719</v>
      </c>
      <c r="H46677" t="s">
        <v>39304</v>
      </c>
    </row>
    <row r="46678" spans="1:8">
      <c r="A46678" t="s">
        <v>4720</v>
      </c>
      <c r="B46678">
        <f>HYPERLINK("https://android.googlesource.com/platform/cts/+/e9faaf6094445df7b5d1da37619daead34831acd", "e9faaf6094445df7b5d1da37619daead34831acd")</f>
        <v>0</v>
      </c>
      <c r="C46678">
        <f>HYPERLINK("https://android.googlesource.com/platform/cts/+/3375e00adf501e6895ea6c617f2f7e68b43ffce8", "3375e00adf501e6895ea6c617f2f7e68b43ffce8")</f>
        <v>0</v>
      </c>
      <c r="D46678" t="s">
        <v>5723</v>
      </c>
      <c r="E46678" t="s">
        <v>10376</v>
      </c>
      <c r="F46678" t="s">
        <v>14563</v>
      </c>
      <c r="G46678" t="s">
        <v>18409</v>
      </c>
      <c r="H46678" t="s">
        <v>39305</v>
      </c>
    </row>
    <row r="46679" spans="1:8">
      <c r="A46679" t="s">
        <v>4721</v>
      </c>
      <c r="B46679">
        <f>HYPERLINK("https://android.googlesource.com/platform/cts/+/dbfd40ee807d00f7cfb8e7b3b0ad25c7e896c46d", "dbfd40ee807d00f7cfb8e7b3b0ad25c7e896c46d")</f>
        <v>0</v>
      </c>
      <c r="C46679">
        <f>HYPERLINK("https://android.googlesource.com/platform/cts/+/2f370eebf8ff6558c1587da304abf0e182f5f24e", "2f370eebf8ff6558c1587da304abf0e182f5f24e")</f>
        <v>0</v>
      </c>
      <c r="D46679" t="s">
        <v>5021</v>
      </c>
      <c r="E46679" t="s">
        <v>10377</v>
      </c>
      <c r="F46679" t="s">
        <v>14867</v>
      </c>
      <c r="G46679" t="s">
        <v>18456</v>
      </c>
      <c r="H46679" t="s">
        <v>21486</v>
      </c>
    </row>
    <row r="46680" spans="1:8">
      <c r="H46680" t="s">
        <v>21486</v>
      </c>
    </row>
    <row r="46681" spans="1:8">
      <c r="H46681" t="s">
        <v>25704</v>
      </c>
    </row>
    <row r="46682" spans="1:8">
      <c r="H46682" t="s">
        <v>29436</v>
      </c>
    </row>
    <row r="46683" spans="1:8">
      <c r="A46683" t="s">
        <v>4722</v>
      </c>
      <c r="B46683">
        <f>HYPERLINK("https://android.googlesource.com/platform/cts/+/d8c6e9914b3b7cdcfbbf9ec61c1c563dbb3c510c", "d8c6e9914b3b7cdcfbbf9ec61c1c563dbb3c510c")</f>
        <v>0</v>
      </c>
      <c r="C46683">
        <f>HYPERLINK("https://android.googlesource.com/platform/cts/+/1da5e15662eef5d8525972b6366b02cdb0633909", "1da5e15662eef5d8525972b6366b02cdb0633909")</f>
        <v>0</v>
      </c>
      <c r="D46683" t="s">
        <v>5757</v>
      </c>
      <c r="E46683" t="s">
        <v>10378</v>
      </c>
      <c r="F46683" t="s">
        <v>14868</v>
      </c>
      <c r="G46683" t="s">
        <v>18720</v>
      </c>
      <c r="H46683" t="s">
        <v>28618</v>
      </c>
    </row>
    <row r="46684" spans="1:8">
      <c r="A46684" t="s">
        <v>4723</v>
      </c>
      <c r="B46684">
        <f>HYPERLINK("https://android.googlesource.com/platform/cts/+/d99fb5fd95ed6b8ecb9af52eae6d06d4a1475df9", "d99fb5fd95ed6b8ecb9af52eae6d06d4a1475df9")</f>
        <v>0</v>
      </c>
      <c r="C46684">
        <f>HYPERLINK("https://android.googlesource.com/platform/cts/+/0400f1b841f61d16c6b0dae07253568f893e4440", "0400f1b841f61d16c6b0dae07253568f893e4440")</f>
        <v>0</v>
      </c>
      <c r="D46684" t="s">
        <v>5667</v>
      </c>
      <c r="E46684" t="s">
        <v>10379</v>
      </c>
      <c r="F46684" t="s">
        <v>14869</v>
      </c>
      <c r="G46684" t="s">
        <v>18464</v>
      </c>
      <c r="H46684" t="s">
        <v>39306</v>
      </c>
    </row>
    <row r="46685" spans="1:8">
      <c r="A46685" t="s">
        <v>4725</v>
      </c>
      <c r="B46685">
        <f>HYPERLINK("https://android.googlesource.com/platform/cts/+/981a84a72d7253aa71d4be0e7e544a04da3ee4a0", "981a84a72d7253aa71d4be0e7e544a04da3ee4a0")</f>
        <v>0</v>
      </c>
      <c r="C46685">
        <f>HYPERLINK("https://android.googlesource.com/platform/cts/+/fab06b5658edd4b4a4a1f571fc5267954ceba853", "fab06b5658edd4b4a4a1f571fc5267954ceba853")</f>
        <v>0</v>
      </c>
      <c r="D46685" t="s">
        <v>5219</v>
      </c>
      <c r="E46685" t="s">
        <v>10381</v>
      </c>
      <c r="F46685" t="s">
        <v>14870</v>
      </c>
      <c r="G46685" t="s">
        <v>18721</v>
      </c>
      <c r="H46685" t="s">
        <v>19019</v>
      </c>
    </row>
    <row r="46686" spans="1:8">
      <c r="F46686" t="s">
        <v>13478</v>
      </c>
      <c r="G46686" t="s">
        <v>17596</v>
      </c>
      <c r="H46686" t="s">
        <v>30861</v>
      </c>
    </row>
    <row r="46687" spans="1:8">
      <c r="F46687" t="s">
        <v>14512</v>
      </c>
      <c r="G46687" t="s">
        <v>18414</v>
      </c>
      <c r="H46687" t="s">
        <v>39307</v>
      </c>
    </row>
    <row r="46688" spans="1:8">
      <c r="H46688" t="s">
        <v>36140</v>
      </c>
    </row>
    <row r="46689" spans="1:8">
      <c r="H46689" t="s">
        <v>36137</v>
      </c>
    </row>
    <row r="46690" spans="1:8">
      <c r="H46690" t="s">
        <v>39308</v>
      </c>
    </row>
    <row r="46691" spans="1:8">
      <c r="H46691" t="s">
        <v>39309</v>
      </c>
    </row>
    <row r="46692" spans="1:8">
      <c r="H46692" t="s">
        <v>36150</v>
      </c>
    </row>
    <row r="46693" spans="1:8">
      <c r="H46693" t="s">
        <v>36152</v>
      </c>
    </row>
    <row r="46694" spans="1:8">
      <c r="H46694" t="s">
        <v>36155</v>
      </c>
    </row>
    <row r="46695" spans="1:8">
      <c r="A46695" t="s">
        <v>4726</v>
      </c>
      <c r="B46695">
        <f>HYPERLINK("https://android.googlesource.com/platform/cts/+/831f555de5e2abba453781d542de94312741a8d0", "831f555de5e2abba453781d542de94312741a8d0")</f>
        <v>0</v>
      </c>
      <c r="C46695">
        <f>HYPERLINK("https://android.googlesource.com/platform/cts/+/4d1415ff842fb41dae24a548f3650d920ffb176c", "4d1415ff842fb41dae24a548f3650d920ffb176c")</f>
        <v>0</v>
      </c>
      <c r="D46695" t="s">
        <v>5541</v>
      </c>
      <c r="E46695" t="s">
        <v>10382</v>
      </c>
      <c r="F46695" t="s">
        <v>11481</v>
      </c>
      <c r="G46695" t="s">
        <v>15722</v>
      </c>
      <c r="H46695" t="s">
        <v>19905</v>
      </c>
    </row>
    <row r="46696" spans="1:8">
      <c r="H46696" t="s">
        <v>39310</v>
      </c>
    </row>
    <row r="46697" spans="1:8">
      <c r="H46697" t="s">
        <v>25704</v>
      </c>
    </row>
    <row r="46698" spans="1:8">
      <c r="A46698" t="s">
        <v>4727</v>
      </c>
      <c r="B46698">
        <f>HYPERLINK("https://android.googlesource.com/platform/cts/+/b67456050cb55793f026ae5b5de42631b21b9f5d", "b67456050cb55793f026ae5b5de42631b21b9f5d")</f>
        <v>0</v>
      </c>
      <c r="C46698">
        <f>HYPERLINK("https://android.googlesource.com/platform/cts/+/ea0f4db4a70a6a21d13c00ce9f9c272311ec1b4d", "ea0f4db4a70a6a21d13c00ce9f9c272311ec1b4d")</f>
        <v>0</v>
      </c>
      <c r="D46698" t="s">
        <v>5265</v>
      </c>
      <c r="E46698" t="s">
        <v>10383</v>
      </c>
      <c r="F46698" t="s">
        <v>14871</v>
      </c>
      <c r="G46698" t="s">
        <v>18722</v>
      </c>
      <c r="H46698" t="s">
        <v>39311</v>
      </c>
    </row>
    <row r="46699" spans="1:8">
      <c r="H46699" t="s">
        <v>18829</v>
      </c>
    </row>
    <row r="46700" spans="1:8">
      <c r="H46700" t="s">
        <v>39312</v>
      </c>
    </row>
    <row r="46701" spans="1:8">
      <c r="H46701" t="s">
        <v>39313</v>
      </c>
    </row>
    <row r="46702" spans="1:8">
      <c r="A46702" t="s">
        <v>4728</v>
      </c>
      <c r="B46702">
        <f>HYPERLINK("https://android.googlesource.com/platform/cts/+/21bf885b11a965a77d785ece5ad89e7df65a4b6a", "21bf885b11a965a77d785ece5ad89e7df65a4b6a")</f>
        <v>0</v>
      </c>
      <c r="C46702">
        <f>HYPERLINK("https://android.googlesource.com/platform/cts/+/1ca6025678840c23093a69b475b50dd4ed2fca15", "1ca6025678840c23093a69b475b50dd4ed2fca15")</f>
        <v>0</v>
      </c>
      <c r="D46702" t="s">
        <v>5727</v>
      </c>
      <c r="E46702" t="s">
        <v>10384</v>
      </c>
      <c r="F46702" t="s">
        <v>14872</v>
      </c>
      <c r="G46702" t="s">
        <v>18723</v>
      </c>
      <c r="H46702" t="s">
        <v>19981</v>
      </c>
    </row>
    <row r="46703" spans="1:8">
      <c r="H46703" t="s">
        <v>28618</v>
      </c>
    </row>
    <row r="46704" spans="1:8">
      <c r="A46704" t="s">
        <v>4729</v>
      </c>
      <c r="B46704">
        <f>HYPERLINK("https://android.googlesource.com/platform/cts/+/f1f81112c4b9c79c44019d77a4095bd785feaadd", "f1f81112c4b9c79c44019d77a4095bd785feaadd")</f>
        <v>0</v>
      </c>
      <c r="C46704">
        <f>HYPERLINK("https://android.googlesource.com/platform/cts/+/f3c8c507b4659968a432adddd44b22d48d93ae8b", "f3c8c507b4659968a432adddd44b22d48d93ae8b")</f>
        <v>0</v>
      </c>
      <c r="D46704" t="s">
        <v>5277</v>
      </c>
      <c r="E46704" t="s">
        <v>10385</v>
      </c>
      <c r="F46704" t="s">
        <v>13165</v>
      </c>
      <c r="G46704" t="s">
        <v>17315</v>
      </c>
      <c r="H46704" t="s">
        <v>39314</v>
      </c>
    </row>
    <row r="46705" spans="1:8">
      <c r="H46705" t="s">
        <v>39315</v>
      </c>
    </row>
    <row r="46706" spans="1:8">
      <c r="A46706" t="s">
        <v>4731</v>
      </c>
      <c r="B46706">
        <f>HYPERLINK("https://android.googlesource.com/platform/cts/+/e261a36c97cefe31ff6a7b9055a2e1e321b696db", "e261a36c97cefe31ff6a7b9055a2e1e321b696db")</f>
        <v>0</v>
      </c>
      <c r="C46706">
        <f>HYPERLINK("https://android.googlesource.com/platform/cts/+/566b74f2a5a89675044cee37086ecc592a814326", "566b74f2a5a89675044cee37086ecc592a814326")</f>
        <v>0</v>
      </c>
      <c r="D46706" t="s">
        <v>5759</v>
      </c>
      <c r="E46706" t="s">
        <v>10387</v>
      </c>
      <c r="F46706" t="s">
        <v>14446</v>
      </c>
      <c r="G46706" t="s">
        <v>18381</v>
      </c>
      <c r="H46706" t="s">
        <v>39316</v>
      </c>
    </row>
    <row r="46707" spans="1:8">
      <c r="H46707" t="s">
        <v>39317</v>
      </c>
    </row>
    <row r="46708" spans="1:8">
      <c r="H46708" t="s">
        <v>39318</v>
      </c>
    </row>
    <row r="46709" spans="1:8">
      <c r="H46709" t="s">
        <v>39319</v>
      </c>
    </row>
    <row r="46710" spans="1:8">
      <c r="H46710" t="s">
        <v>39320</v>
      </c>
    </row>
    <row r="46711" spans="1:8">
      <c r="H46711" t="s">
        <v>39321</v>
      </c>
    </row>
    <row r="46712" spans="1:8">
      <c r="H46712" t="s">
        <v>39322</v>
      </c>
    </row>
    <row r="46713" spans="1:8">
      <c r="H46713" t="s">
        <v>39323</v>
      </c>
    </row>
    <row r="46714" spans="1:8">
      <c r="H46714" t="s">
        <v>39324</v>
      </c>
    </row>
    <row r="46715" spans="1:8">
      <c r="H46715" t="s">
        <v>39325</v>
      </c>
    </row>
    <row r="46716" spans="1:8">
      <c r="H46716" t="s">
        <v>39326</v>
      </c>
    </row>
    <row r="46717" spans="1:8">
      <c r="H46717" t="s">
        <v>39327</v>
      </c>
    </row>
    <row r="46718" spans="1:8">
      <c r="H46718" t="s">
        <v>39328</v>
      </c>
    </row>
    <row r="46719" spans="1:8">
      <c r="F46719" t="s">
        <v>14414</v>
      </c>
      <c r="G46719" t="s">
        <v>18352</v>
      </c>
      <c r="H46719" t="s">
        <v>39329</v>
      </c>
    </row>
    <row r="46720" spans="1:8">
      <c r="H46720" t="s">
        <v>39330</v>
      </c>
    </row>
    <row r="46721" spans="1:8">
      <c r="A46721" t="s">
        <v>4732</v>
      </c>
      <c r="B46721">
        <f>HYPERLINK("https://android.googlesource.com/platform/cts/+/1a285c32d1c7c3ced10eb59811517a963cf3d93e", "1a285c32d1c7c3ced10eb59811517a963cf3d93e")</f>
        <v>0</v>
      </c>
      <c r="C46721">
        <f>HYPERLINK("https://android.googlesource.com/platform/cts/+/0c6c2fd2333dc5b4d21e7b6f6d5518f4c1da9672", "0c6c2fd2333dc5b4d21e7b6f6d5518f4c1da9672")</f>
        <v>0</v>
      </c>
      <c r="D46721" t="s">
        <v>5021</v>
      </c>
      <c r="E46721" t="s">
        <v>10388</v>
      </c>
      <c r="F46721" t="s">
        <v>13806</v>
      </c>
      <c r="G46721" t="s">
        <v>17843</v>
      </c>
      <c r="H46721" t="s">
        <v>39331</v>
      </c>
    </row>
    <row r="46722" spans="1:8">
      <c r="A46722" t="s">
        <v>4733</v>
      </c>
      <c r="B46722">
        <f>HYPERLINK("https://android.googlesource.com/platform/cts/+/20bd6fe0d4ca377bc8d01c7ad4bf220642cfa337", "20bd6fe0d4ca377bc8d01c7ad4bf220642cfa337")</f>
        <v>0</v>
      </c>
      <c r="C46722">
        <f>HYPERLINK("https://android.googlesource.com/platform/cts/+/28d734f60a832e286e2cd1883e7dd336be728475", "28d734f60a832e286e2cd1883e7dd336be728475")</f>
        <v>0</v>
      </c>
      <c r="D46722" t="s">
        <v>5021</v>
      </c>
      <c r="E46722" t="s">
        <v>10389</v>
      </c>
      <c r="F46722" t="s">
        <v>13806</v>
      </c>
      <c r="G46722" t="s">
        <v>17843</v>
      </c>
      <c r="H46722" t="s">
        <v>39332</v>
      </c>
    </row>
    <row r="46723" spans="1:8">
      <c r="A46723" t="s">
        <v>4734</v>
      </c>
      <c r="B46723">
        <f>HYPERLINK("https://android.googlesource.com/platform/cts/+/ec57a60319c773cd46e43bccafa410ce01855222", "ec57a60319c773cd46e43bccafa410ce01855222")</f>
        <v>0</v>
      </c>
      <c r="C46723">
        <f>HYPERLINK("https://android.googlesource.com/platform/cts/+/20bd6fe0d4ca377bc8d01c7ad4bf220642cfa337", "20bd6fe0d4ca377bc8d01c7ad4bf220642cfa337")</f>
        <v>0</v>
      </c>
      <c r="D46723" t="s">
        <v>5021</v>
      </c>
      <c r="E46723" t="s">
        <v>10390</v>
      </c>
      <c r="F46723" t="s">
        <v>13806</v>
      </c>
      <c r="G46723" t="s">
        <v>17843</v>
      </c>
      <c r="H46723" t="s">
        <v>19536</v>
      </c>
    </row>
    <row r="46724" spans="1:8">
      <c r="H46724" t="s">
        <v>39333</v>
      </c>
    </row>
    <row r="46725" spans="1:8">
      <c r="F46725" t="s">
        <v>14873</v>
      </c>
      <c r="G46725" t="s">
        <v>14989</v>
      </c>
      <c r="H46725" t="s">
        <v>19536</v>
      </c>
    </row>
    <row r="46726" spans="1:8">
      <c r="A46726" t="s">
        <v>4735</v>
      </c>
      <c r="B46726">
        <f>HYPERLINK("https://android.googlesource.com/platform/cts/+/c3f1124f4e7775fce5cc2883ba6d888a30250892", "c3f1124f4e7775fce5cc2883ba6d888a30250892")</f>
        <v>0</v>
      </c>
      <c r="C46726">
        <f>HYPERLINK("https://android.googlesource.com/platform/cts/+/7fefb4cd3449e4e827a0ed89000148751a69829e", "7fefb4cd3449e4e827a0ed89000148751a69829e")</f>
        <v>0</v>
      </c>
      <c r="D46726" t="s">
        <v>5644</v>
      </c>
      <c r="E46726" t="s">
        <v>10391</v>
      </c>
      <c r="F46726" t="s">
        <v>14874</v>
      </c>
      <c r="G46726" t="s">
        <v>18724</v>
      </c>
      <c r="H46726" t="s">
        <v>29073</v>
      </c>
    </row>
    <row r="46727" spans="1:8">
      <c r="A46727" t="s">
        <v>4736</v>
      </c>
      <c r="B46727">
        <f>HYPERLINK("https://android.googlesource.com/platform/cts/+/01521071844ead5ee751f274d2acd561504fde12", "01521071844ead5ee751f274d2acd561504fde12")</f>
        <v>0</v>
      </c>
      <c r="C46727">
        <f>HYPERLINK("https://android.googlesource.com/platform/cts/+/a7d336f96f95ddf667aec094f4b9bc3effacded0", "a7d336f96f95ddf667aec094f4b9bc3effacded0")</f>
        <v>0</v>
      </c>
      <c r="D46727" t="s">
        <v>5760</v>
      </c>
      <c r="E46727" t="s">
        <v>10392</v>
      </c>
      <c r="F46727" t="s">
        <v>14875</v>
      </c>
      <c r="G46727" t="s">
        <v>18725</v>
      </c>
      <c r="H46727" t="s">
        <v>39334</v>
      </c>
    </row>
    <row r="46728" spans="1:8">
      <c r="H46728" t="s">
        <v>39334</v>
      </c>
    </row>
    <row r="46729" spans="1:8">
      <c r="A46729" t="s">
        <v>4737</v>
      </c>
      <c r="B46729">
        <f>HYPERLINK("https://android.googlesource.com/platform/cts/+/26884f2d333c2cbc622c8cd8de45acf9b4b889ce", "26884f2d333c2cbc622c8cd8de45acf9b4b889ce")</f>
        <v>0</v>
      </c>
      <c r="C46729">
        <f>HYPERLINK("https://android.googlesource.com/platform/cts/+/eda95c8b387d821dfdd92e6feccae6f77e3a5c75", "eda95c8b387d821dfdd92e6feccae6f77e3a5c75")</f>
        <v>0</v>
      </c>
      <c r="D46729" t="s">
        <v>5465</v>
      </c>
      <c r="E46729" t="s">
        <v>10393</v>
      </c>
      <c r="F46729" t="s">
        <v>14461</v>
      </c>
      <c r="G46729" t="s">
        <v>15710</v>
      </c>
      <c r="H46729" t="s">
        <v>39335</v>
      </c>
    </row>
    <row r="46730" spans="1:8">
      <c r="H46730" t="s">
        <v>39336</v>
      </c>
    </row>
    <row r="46731" spans="1:8">
      <c r="H46731" t="s">
        <v>39337</v>
      </c>
    </row>
    <row r="46732" spans="1:8">
      <c r="H46732" t="s">
        <v>39338</v>
      </c>
    </row>
    <row r="46733" spans="1:8">
      <c r="H46733" t="s">
        <v>39339</v>
      </c>
    </row>
    <row r="46734" spans="1:8">
      <c r="H46734" t="s">
        <v>33813</v>
      </c>
    </row>
    <row r="46735" spans="1:8">
      <c r="H46735" t="s">
        <v>38197</v>
      </c>
    </row>
    <row r="46736" spans="1:8">
      <c r="A46736" t="s">
        <v>4738</v>
      </c>
      <c r="B46736">
        <f>HYPERLINK("https://android.googlesource.com/platform/cts/+/e98c2545ce2db68e37228f6c9a6b8f03790982c5", "e98c2545ce2db68e37228f6c9a6b8f03790982c5")</f>
        <v>0</v>
      </c>
      <c r="C46736">
        <f>HYPERLINK("https://android.googlesource.com/platform/cts/+/2c1213ebe06a48876da62f75062800a96571d871", "2c1213ebe06a48876da62f75062800a96571d871")</f>
        <v>0</v>
      </c>
      <c r="D46736" t="s">
        <v>5477</v>
      </c>
      <c r="E46736" t="s">
        <v>10394</v>
      </c>
      <c r="F46736" t="s">
        <v>14876</v>
      </c>
      <c r="G46736" t="s">
        <v>18726</v>
      </c>
      <c r="H46736" t="s">
        <v>39340</v>
      </c>
    </row>
    <row r="46737" spans="1:8">
      <c r="H46737" t="s">
        <v>39341</v>
      </c>
    </row>
    <row r="46738" spans="1:8">
      <c r="H46738" t="s">
        <v>39342</v>
      </c>
    </row>
    <row r="46739" spans="1:8">
      <c r="H46739" t="s">
        <v>39343</v>
      </c>
    </row>
    <row r="46740" spans="1:8">
      <c r="H46740" t="s">
        <v>39344</v>
      </c>
    </row>
    <row r="46741" spans="1:8">
      <c r="H46741" t="s">
        <v>39345</v>
      </c>
    </row>
    <row r="46742" spans="1:8">
      <c r="H46742" t="s">
        <v>39346</v>
      </c>
    </row>
    <row r="46743" spans="1:8">
      <c r="H46743" t="s">
        <v>39347</v>
      </c>
    </row>
    <row r="46744" spans="1:8">
      <c r="A46744" t="s">
        <v>4739</v>
      </c>
      <c r="B46744">
        <f>HYPERLINK("https://android.googlesource.com/platform/cts/+/aeb446b8363c32fbb57fb01dfc28f923f37365fa", "aeb446b8363c32fbb57fb01dfc28f923f37365fa")</f>
        <v>0</v>
      </c>
      <c r="C46744">
        <f>HYPERLINK("https://android.googlesource.com/platform/cts/+/13ab9ca1faaef7ce514867a4872b7101d0ffffbb", "13ab9ca1faaef7ce514867a4872b7101d0ffffbb")</f>
        <v>0</v>
      </c>
      <c r="D46744" t="s">
        <v>5463</v>
      </c>
      <c r="E46744" t="s">
        <v>10395</v>
      </c>
      <c r="F46744" t="s">
        <v>14877</v>
      </c>
      <c r="G46744" t="s">
        <v>18727</v>
      </c>
      <c r="H46744" t="s">
        <v>18863</v>
      </c>
    </row>
    <row r="46745" spans="1:8">
      <c r="H46745" t="s">
        <v>39266</v>
      </c>
    </row>
    <row r="46746" spans="1:8">
      <c r="H46746" t="s">
        <v>39267</v>
      </c>
    </row>
    <row r="46747" spans="1:8">
      <c r="H46747" t="s">
        <v>39268</v>
      </c>
    </row>
    <row r="46748" spans="1:8">
      <c r="H46748" t="s">
        <v>39269</v>
      </c>
    </row>
    <row r="46749" spans="1:8">
      <c r="F46749" t="s">
        <v>14633</v>
      </c>
      <c r="G46749" t="s">
        <v>18543</v>
      </c>
      <c r="H46749" t="s">
        <v>26522</v>
      </c>
    </row>
    <row r="46750" spans="1:8">
      <c r="H46750" t="s">
        <v>18829</v>
      </c>
    </row>
    <row r="46751" spans="1:8">
      <c r="H46751" t="s">
        <v>39348</v>
      </c>
    </row>
    <row r="46752" spans="1:8">
      <c r="H46752" t="s">
        <v>39349</v>
      </c>
    </row>
    <row r="46753" spans="1:8">
      <c r="H46753" t="s">
        <v>39350</v>
      </c>
    </row>
    <row r="46754" spans="1:8">
      <c r="H46754" t="s">
        <v>39351</v>
      </c>
    </row>
    <row r="46755" spans="1:8">
      <c r="H46755" t="s">
        <v>39352</v>
      </c>
    </row>
    <row r="46756" spans="1:8">
      <c r="A46756" t="s">
        <v>4740</v>
      </c>
      <c r="B46756">
        <f>HYPERLINK("https://android.googlesource.com/platform/cts/+/0993a325f6510a0142d7aa726a96f58875304eeb", "0993a325f6510a0142d7aa726a96f58875304eeb")</f>
        <v>0</v>
      </c>
      <c r="C46756">
        <f>HYPERLINK("https://android.googlesource.com/platform/cts/+/26ceeba17a5f04cb8377c2099a35f2f547901f0c", "26ceeba17a5f04cb8377c2099a35f2f547901f0c")</f>
        <v>0</v>
      </c>
      <c r="D46756" t="s">
        <v>5021</v>
      </c>
      <c r="E46756" t="s">
        <v>10396</v>
      </c>
      <c r="F46756" t="s">
        <v>14873</v>
      </c>
      <c r="G46756" t="s">
        <v>14989</v>
      </c>
      <c r="H46756" t="s">
        <v>39353</v>
      </c>
    </row>
    <row r="46757" spans="1:8">
      <c r="A46757" t="s">
        <v>4741</v>
      </c>
      <c r="B46757">
        <f>HYPERLINK("https://android.googlesource.com/platform/cts/+/b8423f9fbe5b85cb5b4fee0df86ac657b3ebe0e9", "b8423f9fbe5b85cb5b4fee0df86ac657b3ebe0e9")</f>
        <v>0</v>
      </c>
      <c r="C46757">
        <f>HYPERLINK("https://android.googlesource.com/platform/cts/+/383c4a5da2d942293a0c5c469595f304fdd7fbe4", "383c4a5da2d942293a0c5c469595f304fdd7fbe4")</f>
        <v>0</v>
      </c>
      <c r="D46757" t="s">
        <v>5134</v>
      </c>
      <c r="E46757" t="s">
        <v>10397</v>
      </c>
      <c r="F46757" t="s">
        <v>14878</v>
      </c>
      <c r="G46757" t="s">
        <v>18728</v>
      </c>
      <c r="H46757" t="s">
        <v>39354</v>
      </c>
    </row>
    <row r="46758" spans="1:8">
      <c r="H46758" t="s">
        <v>39355</v>
      </c>
    </row>
    <row r="46759" spans="1:8">
      <c r="A46759" t="s">
        <v>4742</v>
      </c>
      <c r="B46759">
        <f>HYPERLINK("https://android.googlesource.com/platform/cts/+/ee7af471df4ee5d943e6de2c0d945631282cb3ff", "ee7af471df4ee5d943e6de2c0d945631282cb3ff")</f>
        <v>0</v>
      </c>
      <c r="C46759">
        <f>HYPERLINK("https://android.googlesource.com/platform/cts/+/e4513ece3e7b115c2729429beec363eec17b8d99", "e4513ece3e7b115c2729429beec363eec17b8d99")</f>
        <v>0</v>
      </c>
      <c r="D46759" t="s">
        <v>5564</v>
      </c>
      <c r="E46759" t="s">
        <v>10398</v>
      </c>
      <c r="F46759" t="s">
        <v>14879</v>
      </c>
      <c r="G46759" t="s">
        <v>18729</v>
      </c>
      <c r="H46759" t="s">
        <v>36451</v>
      </c>
    </row>
    <row r="46760" spans="1:8">
      <c r="H46760" t="s">
        <v>36451</v>
      </c>
    </row>
    <row r="46761" spans="1:8">
      <c r="H46761" t="s">
        <v>18829</v>
      </c>
    </row>
    <row r="46762" spans="1:8">
      <c r="H46762" t="s">
        <v>18863</v>
      </c>
    </row>
    <row r="46763" spans="1:8">
      <c r="H46763" t="s">
        <v>39356</v>
      </c>
    </row>
    <row r="46764" spans="1:8">
      <c r="H46764" t="s">
        <v>36852</v>
      </c>
    </row>
    <row r="46765" spans="1:8">
      <c r="H46765" t="s">
        <v>39357</v>
      </c>
    </row>
    <row r="46766" spans="1:8">
      <c r="H46766" t="s">
        <v>36845</v>
      </c>
    </row>
    <row r="46767" spans="1:8">
      <c r="H46767" t="s">
        <v>39358</v>
      </c>
    </row>
    <row r="46768" spans="1:8">
      <c r="H46768" t="s">
        <v>39359</v>
      </c>
    </row>
    <row r="46769" spans="1:8">
      <c r="H46769" t="s">
        <v>39360</v>
      </c>
    </row>
    <row r="46770" spans="1:8">
      <c r="H46770" t="s">
        <v>39361</v>
      </c>
    </row>
    <row r="46771" spans="1:8">
      <c r="H46771" t="s">
        <v>39362</v>
      </c>
    </row>
    <row r="46772" spans="1:8">
      <c r="H46772" t="s">
        <v>39363</v>
      </c>
    </row>
    <row r="46773" spans="1:8">
      <c r="A46773" t="s">
        <v>4743</v>
      </c>
      <c r="B46773">
        <f>HYPERLINK("https://android.googlesource.com/platform/cts/+/36bb40bf558dd34586fab0461ff4f55d7abf8234", "36bb40bf558dd34586fab0461ff4f55d7abf8234")</f>
        <v>0</v>
      </c>
      <c r="C46773">
        <f>HYPERLINK("https://android.googlesource.com/platform/cts/+/a77917c271d1245e4ed227f661a2eb3c401a153e", "a77917c271d1245e4ed227f661a2eb3c401a153e")</f>
        <v>0</v>
      </c>
      <c r="D46773" t="s">
        <v>5749</v>
      </c>
      <c r="E46773" t="s">
        <v>10399</v>
      </c>
      <c r="F46773" t="s">
        <v>14880</v>
      </c>
      <c r="G46773" t="s">
        <v>18730</v>
      </c>
      <c r="H46773" t="s">
        <v>39364</v>
      </c>
    </row>
    <row r="46774" spans="1:8">
      <c r="H46774" t="s">
        <v>39365</v>
      </c>
    </row>
    <row r="46775" spans="1:8">
      <c r="H46775" t="s">
        <v>39366</v>
      </c>
    </row>
    <row r="46776" spans="1:8">
      <c r="H46776" t="s">
        <v>39367</v>
      </c>
    </row>
    <row r="46777" spans="1:8">
      <c r="H46777" t="s">
        <v>39368</v>
      </c>
    </row>
    <row r="46778" spans="1:8">
      <c r="H46778" t="s">
        <v>39369</v>
      </c>
    </row>
    <row r="46779" spans="1:8">
      <c r="H46779" t="s">
        <v>39370</v>
      </c>
    </row>
    <row r="46780" spans="1:8">
      <c r="H46780" t="s">
        <v>39371</v>
      </c>
    </row>
    <row r="46781" spans="1:8">
      <c r="H46781" t="s">
        <v>39372</v>
      </c>
    </row>
    <row r="46782" spans="1:8">
      <c r="A46782" t="s">
        <v>4744</v>
      </c>
      <c r="B46782">
        <f>HYPERLINK("https://android.googlesource.com/platform/cts/+/06f370a2feca545f707092ca651ccdcdd7bd3728", "06f370a2feca545f707092ca651ccdcdd7bd3728")</f>
        <v>0</v>
      </c>
      <c r="C46782">
        <f>HYPERLINK("https://android.googlesource.com/platform/cts/+/bb608fbbd4ef61f29fd8334fd71d177b6ce1e588", "bb608fbbd4ef61f29fd8334fd71d177b6ce1e588")</f>
        <v>0</v>
      </c>
      <c r="D46782" t="s">
        <v>5761</v>
      </c>
      <c r="E46782" t="s">
        <v>10400</v>
      </c>
      <c r="F46782" t="s">
        <v>14881</v>
      </c>
      <c r="G46782" t="s">
        <v>18729</v>
      </c>
      <c r="H46782" t="s">
        <v>36852</v>
      </c>
    </row>
    <row r="46783" spans="1:8">
      <c r="H46783" t="s">
        <v>39357</v>
      </c>
    </row>
    <row r="46784" spans="1:8">
      <c r="H46784" t="s">
        <v>39373</v>
      </c>
    </row>
    <row r="46785" spans="1:8">
      <c r="H46785" t="s">
        <v>36851</v>
      </c>
    </row>
    <row r="46786" spans="1:8">
      <c r="H46786" t="s">
        <v>39374</v>
      </c>
    </row>
    <row r="46787" spans="1:8">
      <c r="A46787" t="s">
        <v>4745</v>
      </c>
      <c r="B46787">
        <f>HYPERLINK("https://android.googlesource.com/platform/cts/+/c3cccae390148dc42b03e76914b79d5a2eabe384", "c3cccae390148dc42b03e76914b79d5a2eabe384")</f>
        <v>0</v>
      </c>
      <c r="C46787">
        <f>HYPERLINK("https://android.googlesource.com/platform/cts/+/0993a325f6510a0142d7aa726a96f58875304eeb", "0993a325f6510a0142d7aa726a96f58875304eeb")</f>
        <v>0</v>
      </c>
      <c r="D46787" t="s">
        <v>5021</v>
      </c>
      <c r="E46787" t="s">
        <v>10401</v>
      </c>
      <c r="F46787" t="s">
        <v>13794</v>
      </c>
      <c r="G46787" t="s">
        <v>17846</v>
      </c>
      <c r="H46787" t="s">
        <v>29654</v>
      </c>
    </row>
    <row r="46788" spans="1:8">
      <c r="H46788" t="s">
        <v>39375</v>
      </c>
    </row>
    <row r="46789" spans="1:8">
      <c r="H46789" t="s">
        <v>39376</v>
      </c>
    </row>
    <row r="46790" spans="1:8">
      <c r="H46790" t="s">
        <v>39331</v>
      </c>
    </row>
    <row r="46791" spans="1:8">
      <c r="A46791" t="s">
        <v>4747</v>
      </c>
      <c r="B46791">
        <f>HYPERLINK("https://android.googlesource.com/platform/cts/+/1d8b53d24c4c7074c532b0c6ee94c43681460837", "1d8b53d24c4c7074c532b0c6ee94c43681460837")</f>
        <v>0</v>
      </c>
      <c r="C46791">
        <f>HYPERLINK("https://android.googlesource.com/platform/cts/+/ac4eece9f222516827f3de6c8a146f3ed51f9101", "ac4eece9f222516827f3de6c8a146f3ed51f9101")</f>
        <v>0</v>
      </c>
      <c r="D46791" t="s">
        <v>5762</v>
      </c>
      <c r="E46791" t="s">
        <v>10403</v>
      </c>
      <c r="F46791" t="s">
        <v>14738</v>
      </c>
      <c r="G46791" t="s">
        <v>18617</v>
      </c>
      <c r="H46791" t="s">
        <v>39377</v>
      </c>
    </row>
    <row r="46792" spans="1:8">
      <c r="H46792" t="s">
        <v>39378</v>
      </c>
    </row>
    <row r="46793" spans="1:8">
      <c r="H46793" t="s">
        <v>39379</v>
      </c>
    </row>
    <row r="46794" spans="1:8">
      <c r="A46794" t="s">
        <v>4748</v>
      </c>
      <c r="B46794">
        <f>HYPERLINK("https://android.googlesource.com/platform/cts/+/7962c461bd83209d3d8ad6752d189d22ecb424fc", "7962c461bd83209d3d8ad6752d189d22ecb424fc")</f>
        <v>0</v>
      </c>
      <c r="C46794">
        <f>HYPERLINK("https://android.googlesource.com/platform/cts/+/9c4a16c06b1185cafb390253c720f5254b377681", "9c4a16c06b1185cafb390253c720f5254b377681")</f>
        <v>0</v>
      </c>
      <c r="D46794" t="s">
        <v>5021</v>
      </c>
      <c r="E46794" t="s">
        <v>10404</v>
      </c>
      <c r="F46794" t="s">
        <v>13806</v>
      </c>
      <c r="G46794" t="s">
        <v>17843</v>
      </c>
      <c r="H46794" t="s">
        <v>31600</v>
      </c>
    </row>
    <row r="46795" spans="1:8">
      <c r="A46795" t="s">
        <v>4749</v>
      </c>
      <c r="B46795">
        <f>HYPERLINK("https://android.googlesource.com/platform/cts/+/1cd9fa0e941105b499fedf86eee249c74f085913", "1cd9fa0e941105b499fedf86eee249c74f085913")</f>
        <v>0</v>
      </c>
      <c r="C46795">
        <f>HYPERLINK("https://android.googlesource.com/platform/cts/+/837647810306f7b0da3ade0625922afe1141c03a", "837647810306f7b0da3ade0625922afe1141c03a")</f>
        <v>0</v>
      </c>
      <c r="D46795" t="s">
        <v>5727</v>
      </c>
      <c r="E46795" t="s">
        <v>10405</v>
      </c>
      <c r="F46795" t="s">
        <v>14816</v>
      </c>
      <c r="G46795" t="s">
        <v>18680</v>
      </c>
      <c r="H46795" t="s">
        <v>39380</v>
      </c>
    </row>
    <row r="46796" spans="1:8">
      <c r="H46796" t="s">
        <v>39381</v>
      </c>
    </row>
    <row r="46797" spans="1:8">
      <c r="H46797" t="s">
        <v>39382</v>
      </c>
    </row>
    <row r="46798" spans="1:8">
      <c r="A46798" t="s">
        <v>4750</v>
      </c>
      <c r="B46798">
        <f>HYPERLINK("https://android.googlesource.com/platform/cts/+/79444c01647dbd2ec5658216e5a68693933e0177", "79444c01647dbd2ec5658216e5a68693933e0177")</f>
        <v>0</v>
      </c>
      <c r="C46798">
        <f>HYPERLINK("https://android.googlesource.com/platform/cts/+/a420bbaba9f1283a67a1c3416c2d1cf231cf07fe", "a420bbaba9f1283a67a1c3416c2d1cf231cf07fe")</f>
        <v>0</v>
      </c>
      <c r="D46798" t="s">
        <v>5420</v>
      </c>
      <c r="E46798" t="s">
        <v>10406</v>
      </c>
      <c r="F46798" t="s">
        <v>14882</v>
      </c>
      <c r="G46798" t="s">
        <v>18731</v>
      </c>
      <c r="H46798" t="s">
        <v>34498</v>
      </c>
    </row>
    <row r="46799" spans="1:8">
      <c r="H46799" t="s">
        <v>39383</v>
      </c>
    </row>
    <row r="46800" spans="1:8">
      <c r="H46800" t="s">
        <v>39384</v>
      </c>
    </row>
    <row r="46801" spans="1:8">
      <c r="H46801" t="s">
        <v>39385</v>
      </c>
    </row>
    <row r="46802" spans="1:8">
      <c r="H46802" t="s">
        <v>39386</v>
      </c>
    </row>
    <row r="46803" spans="1:8">
      <c r="A46803" t="s">
        <v>4751</v>
      </c>
      <c r="B46803">
        <f>HYPERLINK("https://android.googlesource.com/platform/cts/+/b7b274b49fdfc8c40205bbfee3cd191015263a56", "b7b274b49fdfc8c40205bbfee3cd191015263a56")</f>
        <v>0</v>
      </c>
      <c r="C46803">
        <f>HYPERLINK("https://android.googlesource.com/platform/cts/+/f7679a054c594286f0b2692e69a2d7ebe2831685", "f7679a054c594286f0b2692e69a2d7ebe2831685")</f>
        <v>0</v>
      </c>
      <c r="D46803" t="s">
        <v>5118</v>
      </c>
      <c r="E46803" t="s">
        <v>10407</v>
      </c>
      <c r="F46803" t="s">
        <v>13197</v>
      </c>
      <c r="G46803" t="s">
        <v>17340</v>
      </c>
      <c r="H46803" t="s">
        <v>39387</v>
      </c>
    </row>
    <row r="46804" spans="1:8">
      <c r="A46804" t="s">
        <v>4752</v>
      </c>
      <c r="B46804">
        <f>HYPERLINK("https://android.googlesource.com/platform/cts/+/1c9dac4b9f5a8c63b7990959f5ed2989ee820296", "1c9dac4b9f5a8c63b7990959f5ed2989ee820296")</f>
        <v>0</v>
      </c>
      <c r="C46804">
        <f>HYPERLINK("https://android.googlesource.com/platform/cts/+/b0e250c06227f29315b0e2e1f92baa8897fcc60a", "b0e250c06227f29315b0e2e1f92baa8897fcc60a")</f>
        <v>0</v>
      </c>
      <c r="D46804" t="s">
        <v>5763</v>
      </c>
      <c r="E46804" t="s">
        <v>10408</v>
      </c>
      <c r="F46804" t="s">
        <v>14883</v>
      </c>
      <c r="G46804" t="s">
        <v>18732</v>
      </c>
      <c r="H46804" t="s">
        <v>39388</v>
      </c>
    </row>
    <row r="46805" spans="1:8">
      <c r="H46805" t="s">
        <v>33588</v>
      </c>
    </row>
    <row r="46806" spans="1:8">
      <c r="H46806" t="s">
        <v>39389</v>
      </c>
    </row>
    <row r="46807" spans="1:8">
      <c r="A46807" t="s">
        <v>4753</v>
      </c>
      <c r="B46807">
        <f>HYPERLINK("https://android.googlesource.com/platform/cts/+/3b5f633899c2081a800ee50342786905b7662c4c", "3b5f633899c2081a800ee50342786905b7662c4c")</f>
        <v>0</v>
      </c>
      <c r="C46807">
        <f>HYPERLINK("https://android.googlesource.com/platform/cts/+/f94afd8619ebfb6c77e3ba383c33cd775835b20c", "f94afd8619ebfb6c77e3ba383c33cd775835b20c")</f>
        <v>0</v>
      </c>
      <c r="D46807" t="s">
        <v>5650</v>
      </c>
      <c r="E46807" t="s">
        <v>10409</v>
      </c>
      <c r="F46807" t="s">
        <v>14884</v>
      </c>
      <c r="G46807" t="s">
        <v>18733</v>
      </c>
      <c r="H46807" t="s">
        <v>39390</v>
      </c>
    </row>
    <row r="46808" spans="1:8">
      <c r="A46808" t="s">
        <v>4758</v>
      </c>
      <c r="B46808">
        <f>HYPERLINK("https://android.googlesource.com/platform/cts/+/c9f95d3975115132df73b96c7370cb45efbe64c5", "c9f95d3975115132df73b96c7370cb45efbe64c5")</f>
        <v>0</v>
      </c>
      <c r="C46808">
        <f>HYPERLINK("https://android.googlesource.com/platform/cts/+/896dabb199ae349ddaa0a81acacb22913be1d301", "896dabb199ae349ddaa0a81acacb22913be1d301")</f>
        <v>0</v>
      </c>
      <c r="D46808" t="s">
        <v>5764</v>
      </c>
      <c r="E46808" t="s">
        <v>10415</v>
      </c>
      <c r="F46808" t="s">
        <v>13311</v>
      </c>
      <c r="G46808" t="s">
        <v>16471</v>
      </c>
      <c r="H46808" t="s">
        <v>39391</v>
      </c>
    </row>
    <row r="46809" spans="1:8">
      <c r="H46809" t="s">
        <v>39392</v>
      </c>
    </row>
    <row r="46810" spans="1:8">
      <c r="H46810" t="s">
        <v>39393</v>
      </c>
    </row>
    <row r="46811" spans="1:8">
      <c r="H46811" t="s">
        <v>39394</v>
      </c>
    </row>
    <row r="46812" spans="1:8">
      <c r="H46812" t="s">
        <v>39395</v>
      </c>
    </row>
    <row r="46813" spans="1:8">
      <c r="H46813" t="s">
        <v>39396</v>
      </c>
    </row>
    <row r="46814" spans="1:8">
      <c r="H46814" t="s">
        <v>39397</v>
      </c>
    </row>
    <row r="46815" spans="1:8">
      <c r="H46815" t="s">
        <v>39398</v>
      </c>
    </row>
    <row r="46816" spans="1:8">
      <c r="A46816" t="s">
        <v>4759</v>
      </c>
      <c r="B46816">
        <f>HYPERLINK("https://android.googlesource.com/platform/cts/+/e0e77cfc11e748dae78816942ef64b140fca8f91", "e0e77cfc11e748dae78816942ef64b140fca8f91")</f>
        <v>0</v>
      </c>
      <c r="C46816">
        <f>HYPERLINK("https://android.googlesource.com/platform/cts/+/1d65d64d19469ce35159aa7e9b2ecd793b50d3a9", "1d65d64d19469ce35159aa7e9b2ecd793b50d3a9")</f>
        <v>0</v>
      </c>
      <c r="D46816" t="s">
        <v>5509</v>
      </c>
      <c r="E46816" t="s">
        <v>10416</v>
      </c>
      <c r="F46816" t="s">
        <v>14880</v>
      </c>
      <c r="G46816" t="s">
        <v>18730</v>
      </c>
      <c r="H46816" t="s">
        <v>39364</v>
      </c>
    </row>
    <row r="46817" spans="1:8">
      <c r="H46817" t="s">
        <v>39365</v>
      </c>
    </row>
    <row r="46818" spans="1:8">
      <c r="H46818" t="s">
        <v>39366</v>
      </c>
    </row>
    <row r="46819" spans="1:8">
      <c r="H46819" t="s">
        <v>39367</v>
      </c>
    </row>
    <row r="46820" spans="1:8">
      <c r="H46820" t="s">
        <v>39368</v>
      </c>
    </row>
    <row r="46821" spans="1:8">
      <c r="H46821" t="s">
        <v>39369</v>
      </c>
    </row>
    <row r="46822" spans="1:8">
      <c r="H46822" t="s">
        <v>39370</v>
      </c>
    </row>
    <row r="46823" spans="1:8">
      <c r="H46823" t="s">
        <v>39371</v>
      </c>
    </row>
    <row r="46824" spans="1:8">
      <c r="H46824" t="s">
        <v>39372</v>
      </c>
    </row>
    <row r="46825" spans="1:8">
      <c r="A46825" t="s">
        <v>4760</v>
      </c>
      <c r="B46825">
        <f>HYPERLINK("https://android.googlesource.com/platform/cts/+/33b27055a5d318c7f330a3c6cab3c6f46dd82185", "33b27055a5d318c7f330a3c6cab3c6f46dd82185")</f>
        <v>0</v>
      </c>
      <c r="C46825">
        <f>HYPERLINK("https://android.googlesource.com/platform/cts/+/7f4cda2dfec21c62c439afa70f39d3331e39de92", "7f4cda2dfec21c62c439afa70f39d3331e39de92")</f>
        <v>0</v>
      </c>
      <c r="D46825" t="s">
        <v>5244</v>
      </c>
      <c r="E46825" t="s">
        <v>10417</v>
      </c>
      <c r="F46825" t="s">
        <v>13398</v>
      </c>
      <c r="G46825" t="s">
        <v>17524</v>
      </c>
      <c r="H46825" t="s">
        <v>39399</v>
      </c>
    </row>
    <row r="46826" spans="1:8">
      <c r="H46826" t="s">
        <v>39400</v>
      </c>
    </row>
    <row r="46827" spans="1:8">
      <c r="H46827" t="s">
        <v>39401</v>
      </c>
    </row>
    <row r="46828" spans="1:8">
      <c r="H46828" t="s">
        <v>39402</v>
      </c>
    </row>
    <row r="46829" spans="1:8">
      <c r="H46829" t="s">
        <v>39403</v>
      </c>
    </row>
    <row r="46830" spans="1:8">
      <c r="H46830" t="s">
        <v>39404</v>
      </c>
    </row>
    <row r="46831" spans="1:8">
      <c r="H46831" t="s">
        <v>39405</v>
      </c>
    </row>
    <row r="46832" spans="1:8">
      <c r="H46832" t="s">
        <v>39406</v>
      </c>
    </row>
    <row r="46833" spans="8:8">
      <c r="H46833" t="s">
        <v>39407</v>
      </c>
    </row>
    <row r="46834" spans="8:8">
      <c r="H46834" t="s">
        <v>39408</v>
      </c>
    </row>
    <row r="46835" spans="8:8">
      <c r="H46835" t="s">
        <v>39409</v>
      </c>
    </row>
    <row r="46836" spans="8:8">
      <c r="H46836" t="s">
        <v>39410</v>
      </c>
    </row>
    <row r="46837" spans="8:8">
      <c r="H46837" t="s">
        <v>39411</v>
      </c>
    </row>
    <row r="46838" spans="8:8">
      <c r="H46838" t="s">
        <v>39412</v>
      </c>
    </row>
    <row r="46839" spans="8:8">
      <c r="H46839" t="s">
        <v>39413</v>
      </c>
    </row>
    <row r="46840" spans="8:8">
      <c r="H46840" t="s">
        <v>39414</v>
      </c>
    </row>
    <row r="46841" spans="8:8">
      <c r="H46841" t="s">
        <v>39415</v>
      </c>
    </row>
    <row r="46842" spans="8:8">
      <c r="H46842" t="s">
        <v>39416</v>
      </c>
    </row>
    <row r="46843" spans="8:8">
      <c r="H46843" t="s">
        <v>39417</v>
      </c>
    </row>
    <row r="46844" spans="8:8">
      <c r="H46844" t="s">
        <v>39418</v>
      </c>
    </row>
    <row r="46845" spans="8:8">
      <c r="H46845" t="s">
        <v>39419</v>
      </c>
    </row>
    <row r="46846" spans="8:8">
      <c r="H46846" t="s">
        <v>39420</v>
      </c>
    </row>
    <row r="46847" spans="8:8">
      <c r="H46847" t="s">
        <v>39420</v>
      </c>
    </row>
    <row r="46848" spans="8:8">
      <c r="H46848" t="s">
        <v>39420</v>
      </c>
    </row>
    <row r="46849" spans="1:8">
      <c r="H46849" t="s">
        <v>39421</v>
      </c>
    </row>
    <row r="46850" spans="1:8">
      <c r="H46850" t="s">
        <v>39421</v>
      </c>
    </row>
    <row r="46851" spans="1:8">
      <c r="A46851" t="s">
        <v>4761</v>
      </c>
      <c r="B46851">
        <f>HYPERLINK("https://android.googlesource.com/platform/cts/+/68e276019e6387dbbe212a4d648323026277879e", "68e276019e6387dbbe212a4d648323026277879e")</f>
        <v>0</v>
      </c>
      <c r="C46851">
        <f>HYPERLINK("https://android.googlesource.com/platform/cts/+/c250a0e0a93028c64aecbd7af6fb5950235f0296", "c250a0e0a93028c64aecbd7af6fb5950235f0296")</f>
        <v>0</v>
      </c>
      <c r="D46851" t="s">
        <v>5219</v>
      </c>
      <c r="E46851" t="s">
        <v>10418</v>
      </c>
      <c r="F46851" t="s">
        <v>14512</v>
      </c>
      <c r="G46851" t="s">
        <v>18414</v>
      </c>
      <c r="H46851" t="s">
        <v>39422</v>
      </c>
    </row>
    <row r="46852" spans="1:8">
      <c r="A46852" t="s">
        <v>4762</v>
      </c>
      <c r="B46852">
        <f>HYPERLINK("https://android.googlesource.com/platform/cts/+/d4ad24c28412ee44ca55f5551d40e762f7ca0dce", "d4ad24c28412ee44ca55f5551d40e762f7ca0dce")</f>
        <v>0</v>
      </c>
      <c r="C46852">
        <f>HYPERLINK("https://android.googlesource.com/platform/cts/+/5ef5bec3a526337aa2a8e30b8b69737265d98439", "5ef5bec3a526337aa2a8e30b8b69737265d98439")</f>
        <v>0</v>
      </c>
      <c r="D46852" t="s">
        <v>5288</v>
      </c>
      <c r="E46852" t="s">
        <v>10419</v>
      </c>
      <c r="F46852" t="s">
        <v>14461</v>
      </c>
      <c r="G46852" t="s">
        <v>15710</v>
      </c>
      <c r="H46852" t="s">
        <v>39423</v>
      </c>
    </row>
    <row r="46853" spans="1:8">
      <c r="A46853" t="s">
        <v>4763</v>
      </c>
      <c r="B46853">
        <f>HYPERLINK("https://android.googlesource.com/platform/cts/+/137660f2e4ae703233bc44963dbe32746d5964b3", "137660f2e4ae703233bc44963dbe32746d5964b3")</f>
        <v>0</v>
      </c>
      <c r="C46853">
        <f>HYPERLINK("https://android.googlesource.com/platform/cts/+/c65930353babed6dd3ad6d47c9a584d27deeb72b", "c65930353babed6dd3ad6d47c9a584d27deeb72b")</f>
        <v>0</v>
      </c>
      <c r="D46853" t="s">
        <v>5706</v>
      </c>
      <c r="E46853" t="s">
        <v>10420</v>
      </c>
      <c r="F46853" t="s">
        <v>14885</v>
      </c>
      <c r="G46853" t="s">
        <v>17948</v>
      </c>
      <c r="H46853" t="s">
        <v>39424</v>
      </c>
    </row>
    <row r="46854" spans="1:8">
      <c r="A46854" t="s">
        <v>4764</v>
      </c>
      <c r="B46854">
        <f>HYPERLINK("https://android.googlesource.com/platform/cts/+/b8a56c5cfcae3d2b3c69d90b24e415f376eab614", "b8a56c5cfcae3d2b3c69d90b24e415f376eab614")</f>
        <v>0</v>
      </c>
      <c r="C46854">
        <f>HYPERLINK("https://android.googlesource.com/platform/cts/+/c8f6e9f8567e15de1e37c6b3b26ddac8c5e19916", "c8f6e9f8567e15de1e37c6b3b26ddac8c5e19916")</f>
        <v>0</v>
      </c>
      <c r="D46854" t="s">
        <v>5765</v>
      </c>
      <c r="E46854" t="s">
        <v>10421</v>
      </c>
      <c r="F46854" t="s">
        <v>14881</v>
      </c>
      <c r="G46854" t="s">
        <v>18729</v>
      </c>
      <c r="H46854" t="s">
        <v>36451</v>
      </c>
    </row>
    <row r="46855" spans="1:8">
      <c r="H46855" t="s">
        <v>36451</v>
      </c>
    </row>
    <row r="46856" spans="1:8">
      <c r="H46856" t="s">
        <v>36451</v>
      </c>
    </row>
    <row r="46857" spans="1:8">
      <c r="A46857" t="s">
        <v>4765</v>
      </c>
      <c r="B46857">
        <f>HYPERLINK("https://android.googlesource.com/platform/cts/+/3cb2b679dfaac6be75d9da32d465a21d24d9b7f0", "3cb2b679dfaac6be75d9da32d465a21d24d9b7f0")</f>
        <v>0</v>
      </c>
      <c r="C46857">
        <f>HYPERLINK("https://android.googlesource.com/platform/cts/+/8d07607f03e964070fe68f8c434963ceb09ac8f6", "8d07607f03e964070fe68f8c434963ceb09ac8f6")</f>
        <v>0</v>
      </c>
      <c r="D46857" t="s">
        <v>5766</v>
      </c>
      <c r="E46857" t="s">
        <v>10422</v>
      </c>
      <c r="F46857" t="s">
        <v>14886</v>
      </c>
      <c r="G46857" t="s">
        <v>18549</v>
      </c>
      <c r="H46857" t="s">
        <v>39425</v>
      </c>
    </row>
    <row r="46858" spans="1:8">
      <c r="A46858" t="s">
        <v>4768</v>
      </c>
      <c r="B46858">
        <f>HYPERLINK("https://android.googlesource.com/platform/cts/+/c5c74382772b592b17ad4648b1235fc7b6ef699b", "c5c74382772b592b17ad4648b1235fc7b6ef699b")</f>
        <v>0</v>
      </c>
      <c r="C46858">
        <f>HYPERLINK("https://android.googlesource.com/platform/cts/+/4123ca3d3422df5b3f7f3bbd43f0fab158cf251e", "4123ca3d3422df5b3f7f3bbd43f0fab158cf251e")</f>
        <v>0</v>
      </c>
      <c r="D46858" t="s">
        <v>5749</v>
      </c>
      <c r="E46858" t="s">
        <v>10425</v>
      </c>
      <c r="F46858" t="s">
        <v>14879</v>
      </c>
      <c r="G46858" t="s">
        <v>18729</v>
      </c>
      <c r="H46858" t="s">
        <v>36451</v>
      </c>
    </row>
    <row r="46859" spans="1:8">
      <c r="H46859" t="s">
        <v>36451</v>
      </c>
    </row>
    <row r="46860" spans="1:8">
      <c r="H46860" t="s">
        <v>18829</v>
      </c>
    </row>
    <row r="46861" spans="1:8">
      <c r="H46861" t="s">
        <v>18863</v>
      </c>
    </row>
    <row r="46862" spans="1:8">
      <c r="H46862" t="s">
        <v>39356</v>
      </c>
    </row>
    <row r="46863" spans="1:8">
      <c r="H46863" t="s">
        <v>36852</v>
      </c>
    </row>
    <row r="46864" spans="1:8">
      <c r="H46864" t="s">
        <v>39357</v>
      </c>
    </row>
    <row r="46865" spans="1:8">
      <c r="H46865" t="s">
        <v>36845</v>
      </c>
    </row>
    <row r="46866" spans="1:8">
      <c r="H46866" t="s">
        <v>39358</v>
      </c>
    </row>
    <row r="46867" spans="1:8">
      <c r="H46867" t="s">
        <v>39359</v>
      </c>
    </row>
    <row r="46868" spans="1:8">
      <c r="H46868" t="s">
        <v>39360</v>
      </c>
    </row>
    <row r="46869" spans="1:8">
      <c r="H46869" t="s">
        <v>39361</v>
      </c>
    </row>
    <row r="46870" spans="1:8">
      <c r="H46870" t="s">
        <v>39362</v>
      </c>
    </row>
    <row r="46871" spans="1:8">
      <c r="H46871" t="s">
        <v>39363</v>
      </c>
    </row>
    <row r="46872" spans="1:8">
      <c r="A46872" t="s">
        <v>4769</v>
      </c>
      <c r="B46872">
        <f>HYPERLINK("https://android.googlesource.com/platform/cts/+/a9d8686b1690086dd83d86a1fb23eb97cf6a07c1", "a9d8686b1690086dd83d86a1fb23eb97cf6a07c1")</f>
        <v>0</v>
      </c>
      <c r="C46872">
        <f>HYPERLINK("https://android.googlesource.com/platform/cts/+/6030f471e10b52ea427ab21ec247c7f2a863cda2", "6030f471e10b52ea427ab21ec247c7f2a863cda2")</f>
        <v>0</v>
      </c>
      <c r="D46872" t="s">
        <v>5749</v>
      </c>
      <c r="E46872" t="s">
        <v>10426</v>
      </c>
      <c r="F46872" t="s">
        <v>14881</v>
      </c>
      <c r="G46872" t="s">
        <v>18729</v>
      </c>
      <c r="H46872" t="s">
        <v>36852</v>
      </c>
    </row>
    <row r="46873" spans="1:8">
      <c r="H46873" t="s">
        <v>39357</v>
      </c>
    </row>
    <row r="46874" spans="1:8">
      <c r="H46874" t="s">
        <v>39373</v>
      </c>
    </row>
    <row r="46875" spans="1:8">
      <c r="H46875" t="s">
        <v>36851</v>
      </c>
    </row>
    <row r="46876" spans="1:8">
      <c r="H46876" t="s">
        <v>39374</v>
      </c>
    </row>
    <row r="46877" spans="1:8">
      <c r="A46877" t="s">
        <v>4770</v>
      </c>
      <c r="B46877">
        <f>HYPERLINK("https://android.googlesource.com/platform/cts/+/0df5e50fc4c5282c67ccfb1b514083e14baa4690", "0df5e50fc4c5282c67ccfb1b514083e14baa4690")</f>
        <v>0</v>
      </c>
      <c r="C46877">
        <f>HYPERLINK("https://android.googlesource.com/platform/cts/+/d8ae0754ff7ccb31328cfd554f607b118708388a", "d8ae0754ff7ccb31328cfd554f607b118708388a")</f>
        <v>0</v>
      </c>
      <c r="D46877" t="s">
        <v>5508</v>
      </c>
      <c r="E46877" t="s">
        <v>10427</v>
      </c>
      <c r="F46877" t="s">
        <v>13816</v>
      </c>
      <c r="G46877" t="s">
        <v>15089</v>
      </c>
      <c r="H46877" t="s">
        <v>33342</v>
      </c>
    </row>
    <row r="46878" spans="1:8">
      <c r="H46878" t="s">
        <v>39426</v>
      </c>
    </row>
    <row r="46879" spans="1:8">
      <c r="H46879" t="s">
        <v>35524</v>
      </c>
    </row>
    <row r="46880" spans="1:8">
      <c r="H46880" t="s">
        <v>39427</v>
      </c>
    </row>
    <row r="46881" spans="1:8">
      <c r="H46881" t="s">
        <v>39428</v>
      </c>
    </row>
    <row r="46882" spans="1:8">
      <c r="H46882" t="s">
        <v>39429</v>
      </c>
    </row>
    <row r="46883" spans="1:8">
      <c r="H46883" t="s">
        <v>35511</v>
      </c>
    </row>
    <row r="46884" spans="1:8">
      <c r="H46884" t="s">
        <v>39430</v>
      </c>
    </row>
    <row r="46885" spans="1:8">
      <c r="H46885" t="s">
        <v>39431</v>
      </c>
    </row>
    <row r="46886" spans="1:8">
      <c r="A46886" t="s">
        <v>4771</v>
      </c>
      <c r="B46886">
        <f>HYPERLINK("https://android.googlesource.com/platform/cts/+/97ec47e95030062c59a41cfc94c3876bb3b80892", "97ec47e95030062c59a41cfc94c3876bb3b80892")</f>
        <v>0</v>
      </c>
      <c r="C46886">
        <f>HYPERLINK("https://android.googlesource.com/platform/cts/+/66173380ca3e879679f90648adabfb7eb3279be8", "66173380ca3e879679f90648adabfb7eb3279be8")</f>
        <v>0</v>
      </c>
      <c r="D46886" t="s">
        <v>5268</v>
      </c>
      <c r="E46886" t="s">
        <v>10428</v>
      </c>
      <c r="F46886" t="s">
        <v>14887</v>
      </c>
      <c r="G46886" t="s">
        <v>18734</v>
      </c>
      <c r="H46886" t="s">
        <v>39432</v>
      </c>
    </row>
    <row r="46887" spans="1:8">
      <c r="A46887" t="s">
        <v>4773</v>
      </c>
      <c r="B46887">
        <f>HYPERLINK("https://android.googlesource.com/platform/cts/+/b6ef4e7df303c2fe540783d6341b4cd2d977a57f", "b6ef4e7df303c2fe540783d6341b4cd2d977a57f")</f>
        <v>0</v>
      </c>
      <c r="C46887">
        <f>HYPERLINK("https://android.googlesource.com/platform/cts/+/f8a585b599c38a3002eb8f190a74a09a8d18f2e7", "f8a585b599c38a3002eb8f190a74a09a8d18f2e7")</f>
        <v>0</v>
      </c>
      <c r="D46887" t="s">
        <v>5670</v>
      </c>
      <c r="E46887" t="s">
        <v>10430</v>
      </c>
      <c r="F46887" t="s">
        <v>14461</v>
      </c>
      <c r="G46887" t="s">
        <v>15710</v>
      </c>
      <c r="H46887" t="s">
        <v>39433</v>
      </c>
    </row>
    <row r="46888" spans="1:8">
      <c r="H46888" t="s">
        <v>39434</v>
      </c>
    </row>
    <row r="46889" spans="1:8">
      <c r="A46889" t="s">
        <v>4774</v>
      </c>
      <c r="B46889">
        <f>HYPERLINK("https://android.googlesource.com/platform/cts/+/8ae831bebba660d342c00a935918f0d38d8915ce", "8ae831bebba660d342c00a935918f0d38d8915ce")</f>
        <v>0</v>
      </c>
      <c r="C46889">
        <f>HYPERLINK("https://android.googlesource.com/platform/cts/+/4b7d8d4223eae0559866493a9cf74b727834d49f", "4b7d8d4223eae0559866493a9cf74b727834d49f")</f>
        <v>0</v>
      </c>
      <c r="D46889" t="s">
        <v>5675</v>
      </c>
      <c r="E46889" t="s">
        <v>10431</v>
      </c>
      <c r="F46889" t="s">
        <v>10715</v>
      </c>
      <c r="G46889" t="s">
        <v>15114</v>
      </c>
      <c r="H46889" t="s">
        <v>37432</v>
      </c>
    </row>
    <row r="46890" spans="1:8">
      <c r="A46890" t="s">
        <v>4775</v>
      </c>
      <c r="B46890">
        <f>HYPERLINK("https://android.googlesource.com/platform/cts/+/9faa232c53d8d726bfaea6c1ceff625f3e6db18b", "9faa232c53d8d726bfaea6c1ceff625f3e6db18b")</f>
        <v>0</v>
      </c>
      <c r="C46890">
        <f>HYPERLINK("https://android.googlesource.com/platform/cts/+/4ba61891e37d1f2f5b90d20aa4d8013321b8428f", "4ba61891e37d1f2f5b90d20aa4d8013321b8428f")</f>
        <v>0</v>
      </c>
      <c r="D46890" t="s">
        <v>5311</v>
      </c>
      <c r="E46890" t="s">
        <v>10432</v>
      </c>
      <c r="F46890" t="s">
        <v>12629</v>
      </c>
      <c r="G46890" t="s">
        <v>16838</v>
      </c>
      <c r="H46890" t="s">
        <v>39435</v>
      </c>
    </row>
    <row r="46891" spans="1:8">
      <c r="A46891" t="s">
        <v>4776</v>
      </c>
      <c r="B46891">
        <f>HYPERLINK("https://android.googlesource.com/platform/cts/+/b2d0bd152176509b2793f0ce9ab5c3f858b2a97b", "b2d0bd152176509b2793f0ce9ab5c3f858b2a97b")</f>
        <v>0</v>
      </c>
      <c r="C46891">
        <f>HYPERLINK("https://android.googlesource.com/platform/cts/+/4123ca3d3422df5b3f7f3bbd43f0fab158cf251e", "4123ca3d3422df5b3f7f3bbd43f0fab158cf251e")</f>
        <v>0</v>
      </c>
      <c r="D46891" t="s">
        <v>5504</v>
      </c>
      <c r="E46891" t="s">
        <v>10433</v>
      </c>
      <c r="F46891" t="s">
        <v>14300</v>
      </c>
      <c r="G46891" t="s">
        <v>18259</v>
      </c>
      <c r="H46891" t="s">
        <v>37866</v>
      </c>
    </row>
    <row r="46892" spans="1:8">
      <c r="H46892" t="s">
        <v>37867</v>
      </c>
    </row>
    <row r="46893" spans="1:8">
      <c r="H46893" t="s">
        <v>37868</v>
      </c>
    </row>
    <row r="46894" spans="1:8">
      <c r="H46894" t="s">
        <v>37869</v>
      </c>
    </row>
    <row r="46895" spans="1:8">
      <c r="H46895" t="s">
        <v>37870</v>
      </c>
    </row>
    <row r="46896" spans="1:8">
      <c r="A46896" t="s">
        <v>4778</v>
      </c>
      <c r="B46896">
        <f>HYPERLINK("https://android.googlesource.com/platform/cts/+/023b2fd7401bc56efd86f3af9cbeff0560e5577d", "023b2fd7401bc56efd86f3af9cbeff0560e5577d")</f>
        <v>0</v>
      </c>
      <c r="C46896">
        <f>HYPERLINK("https://android.googlesource.com/platform/cts/+/e49c4260fbe6de61e96343999e471b83347c50a5", "e49c4260fbe6de61e96343999e471b83347c50a5")</f>
        <v>0</v>
      </c>
      <c r="D46896" t="s">
        <v>5520</v>
      </c>
      <c r="E46896" t="s">
        <v>10435</v>
      </c>
      <c r="F46896" t="s">
        <v>14888</v>
      </c>
      <c r="G46896" t="s">
        <v>18735</v>
      </c>
      <c r="H46896" t="s">
        <v>39436</v>
      </c>
    </row>
    <row r="46897" spans="1:8">
      <c r="A46897" t="s">
        <v>4780</v>
      </c>
      <c r="B46897">
        <f>HYPERLINK("https://android.googlesource.com/platform/cts/+/c1d8d31a51a877ea62af10755b2dd22dc6d6185a", "c1d8d31a51a877ea62af10755b2dd22dc6d6185a")</f>
        <v>0</v>
      </c>
      <c r="C46897">
        <f>HYPERLINK("https://android.googlesource.com/platform/cts/+/2173edfae397abeef859bb1d01a84dcdcd3a41f3", "2173edfae397abeef859bb1d01a84dcdcd3a41f3")</f>
        <v>0</v>
      </c>
      <c r="D46897" t="s">
        <v>5768</v>
      </c>
      <c r="E46897" t="s">
        <v>10437</v>
      </c>
      <c r="F46897" t="s">
        <v>14069</v>
      </c>
      <c r="G46897" t="s">
        <v>18067</v>
      </c>
      <c r="H46897" t="s">
        <v>39437</v>
      </c>
    </row>
    <row r="46898" spans="1:8">
      <c r="A46898" t="s">
        <v>4781</v>
      </c>
      <c r="B46898">
        <f>HYPERLINK("https://android.googlesource.com/platform/cts/+/52748d3235182c1ea57fbd44db0af48b6defb5db", "52748d3235182c1ea57fbd44db0af48b6defb5db")</f>
        <v>0</v>
      </c>
      <c r="C46898">
        <f>HYPERLINK("https://android.googlesource.com/platform/cts/+/2242c7ab9561078f14f65347da5ce2b5718aaecf", "2242c7ab9561078f14f65347da5ce2b5718aaecf")</f>
        <v>0</v>
      </c>
      <c r="D46898" t="s">
        <v>5541</v>
      </c>
      <c r="E46898" t="s">
        <v>10438</v>
      </c>
      <c r="F46898" t="s">
        <v>11481</v>
      </c>
      <c r="G46898" t="s">
        <v>15722</v>
      </c>
      <c r="H46898" t="s">
        <v>39438</v>
      </c>
    </row>
    <row r="46899" spans="1:8">
      <c r="A46899" t="s">
        <v>4782</v>
      </c>
      <c r="B46899">
        <f>HYPERLINK("https://android.googlesource.com/platform/cts/+/0e4c191a2754eda8f961bed30bd97557b97f1461", "0e4c191a2754eda8f961bed30bd97557b97f1461")</f>
        <v>0</v>
      </c>
      <c r="C46899">
        <f>HYPERLINK("https://android.googlesource.com/platform/cts/+/44cbd31e8c928e2e052c31de103efa7777e062d6", "44cbd31e8c928e2e052c31de103efa7777e062d6")</f>
        <v>0</v>
      </c>
      <c r="D46899" t="s">
        <v>5454</v>
      </c>
      <c r="E46899" t="s">
        <v>10439</v>
      </c>
      <c r="F46899" t="s">
        <v>14261</v>
      </c>
      <c r="G46899" t="s">
        <v>18228</v>
      </c>
      <c r="H46899" t="s">
        <v>39439</v>
      </c>
    </row>
    <row r="46900" spans="1:8">
      <c r="A46900" t="s">
        <v>4783</v>
      </c>
      <c r="B46900">
        <f>HYPERLINK("https://android.googlesource.com/platform/cts/+/ed46c4eb87007c4e75fc6836cec64e990212b577", "ed46c4eb87007c4e75fc6836cec64e990212b577")</f>
        <v>0</v>
      </c>
      <c r="C46900">
        <f>HYPERLINK("https://android.googlesource.com/platform/cts/+/ba2f13d1a0b7fa21944c0d0f26cf22a86cf30c6f", "ba2f13d1a0b7fa21944c0d0f26cf22a86cf30c6f")</f>
        <v>0</v>
      </c>
      <c r="D46900" t="s">
        <v>5765</v>
      </c>
      <c r="E46900" t="s">
        <v>10440</v>
      </c>
      <c r="F46900" t="s">
        <v>14889</v>
      </c>
      <c r="G46900" t="s">
        <v>18736</v>
      </c>
      <c r="H46900" t="s">
        <v>39440</v>
      </c>
    </row>
    <row r="46901" spans="1:8">
      <c r="A46901" t="s">
        <v>4784</v>
      </c>
      <c r="B46901">
        <f>HYPERLINK("https://android.googlesource.com/platform/cts/+/60c3993e8cdc009d0d62f4616396384b9a4156ba", "60c3993e8cdc009d0d62f4616396384b9a4156ba")</f>
        <v>0</v>
      </c>
      <c r="C46901">
        <f>HYPERLINK("https://android.googlesource.com/platform/cts/+/35e8324d7b3f0e59444f7f0f3738772ca8df3c6f", "35e8324d7b3f0e59444f7f0f3738772ca8df3c6f")</f>
        <v>0</v>
      </c>
      <c r="D46901" t="s">
        <v>5749</v>
      </c>
      <c r="E46901" t="s">
        <v>10441</v>
      </c>
      <c r="F46901" t="s">
        <v>14881</v>
      </c>
      <c r="G46901" t="s">
        <v>18729</v>
      </c>
      <c r="H46901" t="s">
        <v>36451</v>
      </c>
    </row>
    <row r="46902" spans="1:8">
      <c r="H46902" t="s">
        <v>36451</v>
      </c>
    </row>
    <row r="46903" spans="1:8">
      <c r="H46903" t="s">
        <v>36451</v>
      </c>
    </row>
    <row r="46904" spans="1:8">
      <c r="A46904" t="s">
        <v>4785</v>
      </c>
      <c r="B46904">
        <f>HYPERLINK("https://android.googlesource.com/platform/cts/+/6c4bf59a8414840ac62028eaf53cb27ea1c24790", "6c4bf59a8414840ac62028eaf53cb27ea1c24790")</f>
        <v>0</v>
      </c>
      <c r="C46904">
        <f>HYPERLINK("https://android.googlesource.com/platform/cts/+/4b0ba934087aa23af4b1c911e79c7b296775c5c8", "4b0ba934087aa23af4b1c911e79c7b296775c5c8")</f>
        <v>0</v>
      </c>
      <c r="D46904" t="s">
        <v>5769</v>
      </c>
      <c r="E46904" t="s">
        <v>10442</v>
      </c>
      <c r="F46904" t="s">
        <v>14890</v>
      </c>
      <c r="G46904" t="s">
        <v>18737</v>
      </c>
      <c r="H46904" t="s">
        <v>39441</v>
      </c>
    </row>
    <row r="46905" spans="1:8">
      <c r="A46905" t="s">
        <v>4787</v>
      </c>
      <c r="B46905">
        <f>HYPERLINK("https://android.googlesource.com/platform/cts/+/9b41765b2b8c1cb38cb77645a3aa823df8a9638d", "9b41765b2b8c1cb38cb77645a3aa823df8a9638d")</f>
        <v>0</v>
      </c>
      <c r="C46905">
        <f>HYPERLINK("https://android.googlesource.com/platform/cts/+/13625dd2dcdcf7f6c6e9fa5041e920f288ecb94b", "13625dd2dcdcf7f6c6e9fa5041e920f288ecb94b")</f>
        <v>0</v>
      </c>
      <c r="D46905" t="s">
        <v>5770</v>
      </c>
      <c r="E46905" t="s">
        <v>10444</v>
      </c>
      <c r="F46905" t="s">
        <v>13816</v>
      </c>
      <c r="G46905" t="s">
        <v>15089</v>
      </c>
      <c r="H46905" t="s">
        <v>34903</v>
      </c>
    </row>
    <row r="46906" spans="1:8">
      <c r="H46906" t="s">
        <v>19019</v>
      </c>
    </row>
    <row r="46907" spans="1:8">
      <c r="H46907" t="s">
        <v>36041</v>
      </c>
    </row>
    <row r="46908" spans="1:8">
      <c r="H46908" t="s">
        <v>34904</v>
      </c>
    </row>
    <row r="46909" spans="1:8">
      <c r="A46909" t="s">
        <v>4788</v>
      </c>
      <c r="B46909">
        <f>HYPERLINK("https://android.googlesource.com/platform/cts/+/7ff453ae8feddc2b989301a7e428dcfcb5e8a17c", "7ff453ae8feddc2b989301a7e428dcfcb5e8a17c")</f>
        <v>0</v>
      </c>
      <c r="C46909">
        <f>HYPERLINK("https://android.googlesource.com/platform/cts/+/9d328bb1816862803ec81b61b65aa76990386994", "9d328bb1816862803ec81b61b65aa76990386994")</f>
        <v>0</v>
      </c>
      <c r="D46909" t="s">
        <v>5771</v>
      </c>
      <c r="E46909" t="s">
        <v>10445</v>
      </c>
      <c r="F46909" t="s">
        <v>13422</v>
      </c>
      <c r="G46909" t="s">
        <v>16418</v>
      </c>
      <c r="H46909" t="s">
        <v>28617</v>
      </c>
    </row>
    <row r="46910" spans="1:8">
      <c r="A46910" t="s">
        <v>4789</v>
      </c>
      <c r="B46910">
        <f>HYPERLINK("https://android.googlesource.com/platform/cts/+/37750818ead45b0e582f467142f5f5e24940efc6", "37750818ead45b0e582f467142f5f5e24940efc6")</f>
        <v>0</v>
      </c>
      <c r="C46910">
        <f>HYPERLINK("https://android.googlesource.com/platform/cts/+/7c5997f39c85e0e29443fe88c0fdbf30d210031b", "7c5997f39c85e0e29443fe88c0fdbf30d210031b")</f>
        <v>0</v>
      </c>
      <c r="D46910" t="s">
        <v>5494</v>
      </c>
      <c r="E46910" t="s">
        <v>10446</v>
      </c>
      <c r="F46910" t="s">
        <v>14825</v>
      </c>
      <c r="G46910" t="s">
        <v>18687</v>
      </c>
      <c r="H46910" t="s">
        <v>39442</v>
      </c>
    </row>
    <row r="46911" spans="1:8">
      <c r="H46911" t="s">
        <v>39443</v>
      </c>
    </row>
    <row r="46912" spans="1:8">
      <c r="H46912" t="s">
        <v>39444</v>
      </c>
    </row>
    <row r="46913" spans="1:8">
      <c r="H46913" t="s">
        <v>39445</v>
      </c>
    </row>
    <row r="46914" spans="1:8">
      <c r="H46914" t="s">
        <v>39446</v>
      </c>
    </row>
    <row r="46915" spans="1:8">
      <c r="H46915" t="s">
        <v>39447</v>
      </c>
    </row>
    <row r="46916" spans="1:8">
      <c r="H46916" t="s">
        <v>26401</v>
      </c>
    </row>
    <row r="46917" spans="1:8">
      <c r="H46917" t="s">
        <v>39448</v>
      </c>
    </row>
    <row r="46918" spans="1:8">
      <c r="A46918" t="s">
        <v>4790</v>
      </c>
      <c r="B46918">
        <f>HYPERLINK("https://android.googlesource.com/platform/cts/+/2b256dab0280ec8e13daf1872c239370365d0f70", "2b256dab0280ec8e13daf1872c239370365d0f70")</f>
        <v>0</v>
      </c>
      <c r="C46918">
        <f>HYPERLINK("https://android.googlesource.com/platform/cts/+/7f9716d28b0fe1aa7362b02a85c082af1b6b0cc9", "7f9716d28b0fe1aa7362b02a85c082af1b6b0cc9")</f>
        <v>0</v>
      </c>
      <c r="D46918" t="s">
        <v>5451</v>
      </c>
      <c r="E46918" t="s">
        <v>10447</v>
      </c>
      <c r="F46918" t="s">
        <v>14891</v>
      </c>
      <c r="G46918" t="s">
        <v>17498</v>
      </c>
      <c r="H46918" t="s">
        <v>39449</v>
      </c>
    </row>
    <row r="46919" spans="1:8">
      <c r="A46919" t="s">
        <v>4791</v>
      </c>
      <c r="B46919">
        <f>HYPERLINK("https://android.googlesource.com/platform/cts/+/28017f9f9eb5b764c9721cbc6e7136067fb87ce7", "28017f9f9eb5b764c9721cbc6e7136067fb87ce7")</f>
        <v>0</v>
      </c>
      <c r="C46919">
        <f>HYPERLINK("https://android.googlesource.com/platform/cts/+/6893eb7b8555f40670e71ed607ed3a3b692ca55a", "6893eb7b8555f40670e71ed607ed3a3b692ca55a")</f>
        <v>0</v>
      </c>
      <c r="D46919" t="s">
        <v>5753</v>
      </c>
      <c r="E46919" t="s">
        <v>10448</v>
      </c>
      <c r="F46919" t="s">
        <v>14892</v>
      </c>
      <c r="G46919" t="s">
        <v>16415</v>
      </c>
      <c r="H46919" t="s">
        <v>36824</v>
      </c>
    </row>
    <row r="46920" spans="1:8">
      <c r="H46920" t="s">
        <v>36825</v>
      </c>
    </row>
    <row r="46921" spans="1:8">
      <c r="H46921" t="s">
        <v>36826</v>
      </c>
    </row>
    <row r="46922" spans="1:8">
      <c r="H46922" t="s">
        <v>36827</v>
      </c>
    </row>
    <row r="46923" spans="1:8">
      <c r="A46923" t="s">
        <v>4792</v>
      </c>
      <c r="B46923">
        <f>HYPERLINK("https://android.googlesource.com/platform/cts/+/ba91da5cfc514a65eb4aeaf7b7e9219af5fb6d31", "ba91da5cfc514a65eb4aeaf7b7e9219af5fb6d31")</f>
        <v>0</v>
      </c>
      <c r="C46923">
        <f>HYPERLINK("https://android.googlesource.com/platform/cts/+/574da0a5945c088d345e17894c242faa9bccf66b", "574da0a5945c088d345e17894c242faa9bccf66b")</f>
        <v>0</v>
      </c>
      <c r="D46923" t="s">
        <v>5564</v>
      </c>
      <c r="E46923" t="s">
        <v>10449</v>
      </c>
      <c r="F46923" t="s">
        <v>14889</v>
      </c>
      <c r="G46923" t="s">
        <v>18736</v>
      </c>
      <c r="H46923" t="s">
        <v>39450</v>
      </c>
    </row>
    <row r="46924" spans="1:8">
      <c r="H46924" t="s">
        <v>39451</v>
      </c>
    </row>
    <row r="46925" spans="1:8">
      <c r="F46925" t="s">
        <v>14893</v>
      </c>
      <c r="G46925" t="s">
        <v>18738</v>
      </c>
      <c r="H46925" t="s">
        <v>39440</v>
      </c>
    </row>
    <row r="46926" spans="1:8">
      <c r="A46926" t="s">
        <v>4793</v>
      </c>
      <c r="B46926">
        <f>HYPERLINK("https://android.googlesource.com/platform/cts/+/0dc48269c65d4f42b682bdba05f31de1d6f54a9b", "0dc48269c65d4f42b682bdba05f31de1d6f54a9b")</f>
        <v>0</v>
      </c>
      <c r="C46926">
        <f>HYPERLINK("https://android.googlesource.com/platform/cts/+/3206df67be59e3254fd93cecf4c961bc5d546473", "3206df67be59e3254fd93cecf4c961bc5d546473")</f>
        <v>0</v>
      </c>
      <c r="D46926" t="s">
        <v>5772</v>
      </c>
      <c r="E46926" t="s">
        <v>10450</v>
      </c>
      <c r="F46926" t="s">
        <v>14894</v>
      </c>
      <c r="G46926" t="s">
        <v>16873</v>
      </c>
      <c r="H46926" t="s">
        <v>39452</v>
      </c>
    </row>
    <row r="46927" spans="1:8">
      <c r="A46927" t="s">
        <v>4794</v>
      </c>
      <c r="B46927">
        <f>HYPERLINK("https://android.googlesource.com/platform/cts/+/1aedebaa21449282ba559dac9becae26d90c6895", "1aedebaa21449282ba559dac9becae26d90c6895")</f>
        <v>0</v>
      </c>
      <c r="C46927">
        <f>HYPERLINK("https://android.googlesource.com/platform/cts/+/9d328bb1816862803ec81b61b65aa76990386994", "9d328bb1816862803ec81b61b65aa76990386994")</f>
        <v>0</v>
      </c>
      <c r="D46927" t="s">
        <v>5771</v>
      </c>
      <c r="E46927" t="s">
        <v>10451</v>
      </c>
      <c r="F46927" t="s">
        <v>13332</v>
      </c>
      <c r="G46927" t="s">
        <v>17462</v>
      </c>
      <c r="H46927" t="s">
        <v>39453</v>
      </c>
    </row>
    <row r="46928" spans="1:8">
      <c r="H46928" t="s">
        <v>39454</v>
      </c>
    </row>
    <row r="46929" spans="1:8">
      <c r="H46929" t="s">
        <v>39455</v>
      </c>
    </row>
    <row r="46930" spans="1:8">
      <c r="H46930" t="s">
        <v>39456</v>
      </c>
    </row>
    <row r="46931" spans="1:8">
      <c r="H46931" t="s">
        <v>28617</v>
      </c>
    </row>
    <row r="46932" spans="1:8">
      <c r="A46932" t="s">
        <v>4796</v>
      </c>
      <c r="B46932">
        <f>HYPERLINK("https://android.googlesource.com/platform/cts/+/bc8edd90fa0d3e43b2fe707b78940f8bd90a3336", "bc8edd90fa0d3e43b2fe707b78940f8bd90a3336")</f>
        <v>0</v>
      </c>
      <c r="C46932">
        <f>HYPERLINK("https://android.googlesource.com/platform/cts/+/ec7cd42ffa857c701267b6c3fd5eadf0eabef1b3", "ec7cd42ffa857c701267b6c3fd5eadf0eabef1b3")</f>
        <v>0</v>
      </c>
      <c r="D46932" t="s">
        <v>5454</v>
      </c>
      <c r="E46932" t="s">
        <v>10453</v>
      </c>
      <c r="F46932" t="s">
        <v>10599</v>
      </c>
      <c r="G46932" t="s">
        <v>15002</v>
      </c>
      <c r="H46932" t="s">
        <v>39457</v>
      </c>
    </row>
    <row r="46933" spans="1:8">
      <c r="H46933" t="s">
        <v>33203</v>
      </c>
    </row>
    <row r="46934" spans="1:8">
      <c r="H46934" t="s">
        <v>19538</v>
      </c>
    </row>
    <row r="46935" spans="1:8">
      <c r="H46935" t="s">
        <v>37228</v>
      </c>
    </row>
    <row r="46936" spans="1:8">
      <c r="H46936" t="s">
        <v>20083</v>
      </c>
    </row>
    <row r="46937" spans="1:8">
      <c r="H46937" t="s">
        <v>37227</v>
      </c>
    </row>
    <row r="46938" spans="1:8">
      <c r="H46938" t="s">
        <v>37229</v>
      </c>
    </row>
    <row r="46939" spans="1:8">
      <c r="H46939" t="s">
        <v>19374</v>
      </c>
    </row>
    <row r="46940" spans="1:8">
      <c r="A46940" t="s">
        <v>4797</v>
      </c>
      <c r="B46940">
        <f>HYPERLINK("https://android.googlesource.com/platform/cts/+/e3618725cc0e2639652f0058273d9bfc96d87329", "e3618725cc0e2639652f0058273d9bfc96d87329")</f>
        <v>0</v>
      </c>
      <c r="C46940">
        <f>HYPERLINK("https://android.googlesource.com/platform/cts/+/57677d95c4dff0c37126fa1c24ec43016facb607", "57677d95c4dff0c37126fa1c24ec43016facb607")</f>
        <v>0</v>
      </c>
      <c r="D46940" t="s">
        <v>5494</v>
      </c>
      <c r="E46940" t="s">
        <v>10454</v>
      </c>
      <c r="F46940" t="s">
        <v>14895</v>
      </c>
      <c r="G46940" t="s">
        <v>18739</v>
      </c>
      <c r="H46940" t="s">
        <v>39458</v>
      </c>
    </row>
    <row r="46941" spans="1:8">
      <c r="H46941" t="s">
        <v>39459</v>
      </c>
    </row>
    <row r="46942" spans="1:8">
      <c r="H46942" t="s">
        <v>39460</v>
      </c>
    </row>
    <row r="46943" spans="1:8">
      <c r="H46943" t="s">
        <v>39461</v>
      </c>
    </row>
    <row r="46944" spans="1:8">
      <c r="H46944" t="s">
        <v>39462</v>
      </c>
    </row>
    <row r="46945" spans="1:8">
      <c r="H46945" t="s">
        <v>39463</v>
      </c>
    </row>
    <row r="46946" spans="1:8">
      <c r="F46946" t="s">
        <v>14896</v>
      </c>
      <c r="G46946" t="s">
        <v>18740</v>
      </c>
      <c r="H46946" t="s">
        <v>39464</v>
      </c>
    </row>
    <row r="46947" spans="1:8">
      <c r="H46947" t="s">
        <v>39465</v>
      </c>
    </row>
    <row r="46948" spans="1:8">
      <c r="H46948" t="s">
        <v>39466</v>
      </c>
    </row>
    <row r="46949" spans="1:8">
      <c r="H46949" t="s">
        <v>39467</v>
      </c>
    </row>
    <row r="46950" spans="1:8">
      <c r="H46950" t="s">
        <v>39468</v>
      </c>
    </row>
    <row r="46951" spans="1:8">
      <c r="A46951" t="s">
        <v>4799</v>
      </c>
      <c r="B46951">
        <f>HYPERLINK("https://android.googlesource.com/platform/cts/+/638f10f4bd2c764cf1fc7d9f5a39368b22eda899", "638f10f4bd2c764cf1fc7d9f5a39368b22eda899")</f>
        <v>0</v>
      </c>
      <c r="C46951">
        <f>HYPERLINK("https://android.googlesource.com/platform/cts/+/96dfbbe5394345cd537f671e084a0d0041125e60", "96dfbbe5394345cd537f671e084a0d0041125e60")</f>
        <v>0</v>
      </c>
      <c r="D46951" t="s">
        <v>5564</v>
      </c>
      <c r="E46951" t="s">
        <v>10456</v>
      </c>
      <c r="F46951" t="s">
        <v>14506</v>
      </c>
      <c r="G46951" t="s">
        <v>18435</v>
      </c>
      <c r="H46951" t="s">
        <v>39469</v>
      </c>
    </row>
    <row r="46952" spans="1:8">
      <c r="A46952" t="s">
        <v>4801</v>
      </c>
      <c r="B46952">
        <f>HYPERLINK("https://android.googlesource.com/platform/cts/+/3b2d465d2eb76d5de4a6c90737af59c115daaa4f", "3b2d465d2eb76d5de4a6c90737af59c115daaa4f")</f>
        <v>0</v>
      </c>
      <c r="C46952">
        <f>HYPERLINK("https://android.googlesource.com/platform/cts/+/943e5939b77a1b7c6ebc80f887f89dfafbcf9f35", "943e5939b77a1b7c6ebc80f887f89dfafbcf9f35")</f>
        <v>0</v>
      </c>
      <c r="D46952" t="s">
        <v>5753</v>
      </c>
      <c r="E46952" t="s">
        <v>10458</v>
      </c>
      <c r="F46952" t="s">
        <v>14892</v>
      </c>
      <c r="G46952" t="s">
        <v>16415</v>
      </c>
      <c r="H46952" t="s">
        <v>39470</v>
      </c>
    </row>
    <row r="46953" spans="1:8">
      <c r="A46953" t="s">
        <v>4802</v>
      </c>
      <c r="B46953">
        <f>HYPERLINK("https://android.googlesource.com/platform/cts/+/25e472e906c6387fd0be74273e418c594010ddf4", "25e472e906c6387fd0be74273e418c594010ddf4")</f>
        <v>0</v>
      </c>
      <c r="C46953">
        <f>HYPERLINK("https://android.googlesource.com/platform/cts/+/41095a79333dc8bc163b8ade2289fc913396b9a1", "41095a79333dc8bc163b8ade2289fc913396b9a1")</f>
        <v>0</v>
      </c>
      <c r="D46953" t="s">
        <v>5773</v>
      </c>
      <c r="E46953" t="s">
        <v>10459</v>
      </c>
      <c r="F46953" t="s">
        <v>13495</v>
      </c>
      <c r="G46953" t="s">
        <v>17158</v>
      </c>
      <c r="H46953" t="s">
        <v>39471</v>
      </c>
    </row>
    <row r="46954" spans="1:8">
      <c r="H46954" t="s">
        <v>39472</v>
      </c>
    </row>
    <row r="46955" spans="1:8">
      <c r="A46955" t="s">
        <v>4803</v>
      </c>
      <c r="B46955">
        <f>HYPERLINK("https://android.googlesource.com/platform/cts/+/fe4217b822b3241017cb212273080e23c8f24783", "fe4217b822b3241017cb212273080e23c8f24783")</f>
        <v>0</v>
      </c>
      <c r="C46955">
        <f>HYPERLINK("https://android.googlesource.com/platform/cts/+/e2523757f289f625f21eeb58df03eb8e1eacb3fe", "e2523757f289f625f21eeb58df03eb8e1eacb3fe")</f>
        <v>0</v>
      </c>
      <c r="D46955" t="s">
        <v>5774</v>
      </c>
      <c r="E46955" t="s">
        <v>10460</v>
      </c>
      <c r="F46955" t="s">
        <v>14582</v>
      </c>
      <c r="G46955" t="s">
        <v>18501</v>
      </c>
      <c r="H46955" t="s">
        <v>39473</v>
      </c>
    </row>
    <row r="46956" spans="1:8">
      <c r="A46956" t="s">
        <v>4804</v>
      </c>
      <c r="B46956">
        <f>HYPERLINK("https://android.googlesource.com/platform/cts/+/ef22c6e20b3a700217894f16a64b4bd2e044adc0", "ef22c6e20b3a700217894f16a64b4bd2e044adc0")</f>
        <v>0</v>
      </c>
      <c r="C46956">
        <f>HYPERLINK("https://android.googlesource.com/platform/cts/+/4fd6c664fed49fea275cab0e1bb5995a94a48572", "4fd6c664fed49fea275cab0e1bb5995a94a48572")</f>
        <v>0</v>
      </c>
      <c r="D46956" t="s">
        <v>5775</v>
      </c>
      <c r="E46956" t="s">
        <v>10461</v>
      </c>
      <c r="F46956" t="s">
        <v>13850</v>
      </c>
      <c r="G46956" t="s">
        <v>16816</v>
      </c>
      <c r="H46956" t="s">
        <v>39474</v>
      </c>
    </row>
    <row r="46957" spans="1:8">
      <c r="A46957" t="s">
        <v>4805</v>
      </c>
      <c r="B46957">
        <f>HYPERLINK("https://android.googlesource.com/platform/cts/+/c545b1462bdfc584123c922ae3e5a78eb0196e2a", "c545b1462bdfc584123c922ae3e5a78eb0196e2a")</f>
        <v>0</v>
      </c>
      <c r="C46957">
        <f>HYPERLINK("https://android.googlesource.com/platform/cts/+/5367028c3aa5fa31daf892dac161cdbaae3883cf", "5367028c3aa5fa31daf892dac161cdbaae3883cf")</f>
        <v>0</v>
      </c>
      <c r="D46957" t="s">
        <v>5508</v>
      </c>
      <c r="E46957" t="s">
        <v>10462</v>
      </c>
      <c r="F46957" t="s">
        <v>14483</v>
      </c>
      <c r="G46957" t="s">
        <v>18415</v>
      </c>
      <c r="H46957" t="s">
        <v>33342</v>
      </c>
    </row>
    <row r="46958" spans="1:8">
      <c r="H46958" t="s">
        <v>39475</v>
      </c>
    </row>
    <row r="46959" spans="1:8">
      <c r="A46959" t="s">
        <v>4806</v>
      </c>
      <c r="B46959">
        <f>HYPERLINK("https://android.googlesource.com/platform/cts/+/f28ef499cb253b5d8dc8ad19a65429dfb77ab9e2", "f28ef499cb253b5d8dc8ad19a65429dfb77ab9e2")</f>
        <v>0</v>
      </c>
      <c r="C46959">
        <f>HYPERLINK("https://android.googlesource.com/platform/cts/+/285a633164ca873d857c87f7e87f8831428bd50a", "285a633164ca873d857c87f7e87f8831428bd50a")</f>
        <v>0</v>
      </c>
      <c r="D46959" t="s">
        <v>5290</v>
      </c>
      <c r="E46959" t="s">
        <v>10463</v>
      </c>
      <c r="F46959" t="s">
        <v>13236</v>
      </c>
      <c r="G46959" t="s">
        <v>17375</v>
      </c>
      <c r="H46959" t="s">
        <v>39476</v>
      </c>
    </row>
    <row r="46960" spans="1:8">
      <c r="A46960" t="s">
        <v>4807</v>
      </c>
      <c r="B46960">
        <f>HYPERLINK("https://android.googlesource.com/platform/cts/+/ff0ea53ffb5594d6ac35ed3c2a21c7c1c8549464", "ff0ea53ffb5594d6ac35ed3c2a21c7c1c8549464")</f>
        <v>0</v>
      </c>
      <c r="C46960">
        <f>HYPERLINK("https://android.googlesource.com/platform/cts/+/898083518b58493227278eab2a9b035c9fcff62f", "898083518b58493227278eab2a9b035c9fcff62f")</f>
        <v>0</v>
      </c>
      <c r="D46960" t="s">
        <v>5776</v>
      </c>
      <c r="E46960" t="s">
        <v>10464</v>
      </c>
      <c r="F46960" t="s">
        <v>14200</v>
      </c>
      <c r="G46960" t="s">
        <v>18179</v>
      </c>
      <c r="H46960" t="s">
        <v>39477</v>
      </c>
    </row>
    <row r="46961" spans="1:8">
      <c r="H46961" t="s">
        <v>39478</v>
      </c>
    </row>
    <row r="46962" spans="1:8">
      <c r="H46962" t="s">
        <v>39479</v>
      </c>
    </row>
    <row r="46963" spans="1:8">
      <c r="A46963" t="s">
        <v>4808</v>
      </c>
      <c r="B46963">
        <f>HYPERLINK("https://android.googlesource.com/platform/cts/+/6740e3ed7234d0a2723aaa350fd3f2413b564b0b", "6740e3ed7234d0a2723aaa350fd3f2413b564b0b")</f>
        <v>0</v>
      </c>
      <c r="C46963">
        <f>HYPERLINK("https://android.googlesource.com/platform/cts/+/b167775c551d0bd06452c5362d576a5e223312b5", "b167775c551d0bd06452c5362d576a5e223312b5")</f>
        <v>0</v>
      </c>
      <c r="D46963" t="s">
        <v>5777</v>
      </c>
      <c r="E46963" t="s">
        <v>10465</v>
      </c>
      <c r="F46963" t="s">
        <v>13738</v>
      </c>
      <c r="G46963" t="s">
        <v>17798</v>
      </c>
      <c r="H46963" t="s">
        <v>18829</v>
      </c>
    </row>
    <row r="46964" spans="1:8">
      <c r="H46964" t="s">
        <v>18863</v>
      </c>
    </row>
    <row r="46965" spans="1:8">
      <c r="H46965" t="s">
        <v>39480</v>
      </c>
    </row>
    <row r="46966" spans="1:8">
      <c r="H46966" t="s">
        <v>39481</v>
      </c>
    </row>
    <row r="46967" spans="1:8">
      <c r="H46967" t="s">
        <v>39482</v>
      </c>
    </row>
    <row r="46968" spans="1:8">
      <c r="H46968" t="s">
        <v>39483</v>
      </c>
    </row>
    <row r="46969" spans="1:8">
      <c r="H46969" t="s">
        <v>39484</v>
      </c>
    </row>
    <row r="46970" spans="1:8">
      <c r="H46970" t="s">
        <v>39485</v>
      </c>
    </row>
    <row r="46971" spans="1:8">
      <c r="H46971" t="s">
        <v>39486</v>
      </c>
    </row>
    <row r="46972" spans="1:8">
      <c r="H46972" t="s">
        <v>39487</v>
      </c>
    </row>
    <row r="46973" spans="1:8">
      <c r="H46973" t="s">
        <v>39488</v>
      </c>
    </row>
    <row r="46974" spans="1:8">
      <c r="H46974" t="s">
        <v>39489</v>
      </c>
    </row>
    <row r="46975" spans="1:8">
      <c r="H46975" t="s">
        <v>39490</v>
      </c>
    </row>
    <row r="46976" spans="1:8">
      <c r="H46976" t="s">
        <v>39491</v>
      </c>
    </row>
    <row r="46977" spans="8:8">
      <c r="H46977" t="s">
        <v>39492</v>
      </c>
    </row>
    <row r="46978" spans="8:8">
      <c r="H46978" t="s">
        <v>39493</v>
      </c>
    </row>
    <row r="46979" spans="8:8">
      <c r="H46979" t="s">
        <v>39494</v>
      </c>
    </row>
    <row r="46980" spans="8:8">
      <c r="H46980" t="s">
        <v>39495</v>
      </c>
    </row>
    <row r="46981" spans="8:8">
      <c r="H46981" t="s">
        <v>39496</v>
      </c>
    </row>
    <row r="46982" spans="8:8">
      <c r="H46982" t="s">
        <v>39497</v>
      </c>
    </row>
    <row r="46983" spans="8:8">
      <c r="H46983" t="s">
        <v>39498</v>
      </c>
    </row>
    <row r="46984" spans="8:8">
      <c r="H46984" t="s">
        <v>39499</v>
      </c>
    </row>
    <row r="46985" spans="8:8">
      <c r="H46985" t="s">
        <v>39500</v>
      </c>
    </row>
    <row r="46986" spans="8:8">
      <c r="H46986" t="s">
        <v>39501</v>
      </c>
    </row>
    <row r="46987" spans="8:8">
      <c r="H46987" t="s">
        <v>39502</v>
      </c>
    </row>
    <row r="46988" spans="8:8">
      <c r="H46988" t="s">
        <v>39503</v>
      </c>
    </row>
    <row r="46989" spans="8:8">
      <c r="H46989" t="s">
        <v>39504</v>
      </c>
    </row>
    <row r="46990" spans="8:8">
      <c r="H46990" t="s">
        <v>39505</v>
      </c>
    </row>
    <row r="46991" spans="8:8">
      <c r="H46991" t="s">
        <v>39506</v>
      </c>
    </row>
    <row r="46992" spans="8:8">
      <c r="H46992" t="s">
        <v>39507</v>
      </c>
    </row>
    <row r="46993" spans="8:8">
      <c r="H46993" t="s">
        <v>39508</v>
      </c>
    </row>
    <row r="46994" spans="8:8">
      <c r="H46994" t="s">
        <v>39509</v>
      </c>
    </row>
    <row r="46995" spans="8:8">
      <c r="H46995" t="s">
        <v>39510</v>
      </c>
    </row>
    <row r="46996" spans="8:8">
      <c r="H46996" t="s">
        <v>39511</v>
      </c>
    </row>
    <row r="46997" spans="8:8">
      <c r="H46997" t="s">
        <v>39512</v>
      </c>
    </row>
    <row r="46998" spans="8:8">
      <c r="H46998" t="s">
        <v>39513</v>
      </c>
    </row>
    <row r="46999" spans="8:8">
      <c r="H46999" t="s">
        <v>39514</v>
      </c>
    </row>
    <row r="47000" spans="8:8">
      <c r="H47000" t="s">
        <v>39515</v>
      </c>
    </row>
    <row r="47001" spans="8:8">
      <c r="H47001" t="s">
        <v>39516</v>
      </c>
    </row>
    <row r="47002" spans="8:8">
      <c r="H47002" t="s">
        <v>39517</v>
      </c>
    </row>
    <row r="47003" spans="8:8">
      <c r="H47003" t="s">
        <v>39518</v>
      </c>
    </row>
    <row r="47004" spans="8:8">
      <c r="H47004" t="s">
        <v>39519</v>
      </c>
    </row>
    <row r="47005" spans="8:8">
      <c r="H47005" t="s">
        <v>39520</v>
      </c>
    </row>
    <row r="47006" spans="8:8">
      <c r="H47006" t="s">
        <v>19880</v>
      </c>
    </row>
    <row r="47007" spans="8:8">
      <c r="H47007" t="s">
        <v>39521</v>
      </c>
    </row>
    <row r="47008" spans="8:8">
      <c r="H47008" t="s">
        <v>39522</v>
      </c>
    </row>
    <row r="47009" spans="1:8">
      <c r="H47009" t="s">
        <v>39523</v>
      </c>
    </row>
    <row r="47010" spans="1:8">
      <c r="H47010" t="s">
        <v>39524</v>
      </c>
    </row>
    <row r="47011" spans="1:8">
      <c r="H47011" t="s">
        <v>39525</v>
      </c>
    </row>
    <row r="47012" spans="1:8">
      <c r="H47012" t="s">
        <v>39526</v>
      </c>
    </row>
    <row r="47013" spans="1:8">
      <c r="H47013" t="s">
        <v>39527</v>
      </c>
    </row>
    <row r="47014" spans="1:8">
      <c r="H47014" t="s">
        <v>39528</v>
      </c>
    </row>
    <row r="47015" spans="1:8">
      <c r="H47015" t="s">
        <v>39529</v>
      </c>
    </row>
    <row r="47016" spans="1:8">
      <c r="H47016" t="s">
        <v>39530</v>
      </c>
    </row>
    <row r="47017" spans="1:8">
      <c r="H47017" t="s">
        <v>39531</v>
      </c>
    </row>
    <row r="47018" spans="1:8">
      <c r="H47018" t="s">
        <v>39532</v>
      </c>
    </row>
    <row r="47019" spans="1:8">
      <c r="H47019" t="s">
        <v>39533</v>
      </c>
    </row>
    <row r="47020" spans="1:8">
      <c r="H47020" t="s">
        <v>39534</v>
      </c>
    </row>
    <row r="47021" spans="1:8">
      <c r="A47021" t="s">
        <v>4809</v>
      </c>
      <c r="B47021">
        <f>HYPERLINK("https://android.googlesource.com/platform/cts/+/2fd4bbece7711c8aaae99dddefb57f7edc3c1e3b", "2fd4bbece7711c8aaae99dddefb57f7edc3c1e3b")</f>
        <v>0</v>
      </c>
      <c r="C47021">
        <f>HYPERLINK("https://android.googlesource.com/platform/cts/+/479d6c119fb70f18d4b4f31ac02446cf20b6c040", "479d6c119fb70f18d4b4f31ac02446cf20b6c040")</f>
        <v>0</v>
      </c>
      <c r="D47021" t="s">
        <v>5644</v>
      </c>
      <c r="E47021" t="s">
        <v>10466</v>
      </c>
      <c r="F47021" t="s">
        <v>14816</v>
      </c>
      <c r="G47021" t="s">
        <v>18680</v>
      </c>
      <c r="H47021" t="s">
        <v>39535</v>
      </c>
    </row>
    <row r="47022" spans="1:8">
      <c r="A47022" t="s">
        <v>4810</v>
      </c>
      <c r="B47022">
        <f>HYPERLINK("https://android.googlesource.com/platform/cts/+/568baf429ba31921666400fc43bbc57805c9d36d", "568baf429ba31921666400fc43bbc57805c9d36d")</f>
        <v>0</v>
      </c>
      <c r="C47022">
        <f>HYPERLINK("https://android.googlesource.com/platform/cts/+/ea06d6cfb2e0e2070cc3a4bc417c4a6bfb33af1c", "ea06d6cfb2e0e2070cc3a4bc417c4a6bfb33af1c")</f>
        <v>0</v>
      </c>
      <c r="D47022" t="s">
        <v>5564</v>
      </c>
      <c r="E47022" t="s">
        <v>10467</v>
      </c>
      <c r="F47022" t="s">
        <v>14897</v>
      </c>
      <c r="G47022" t="s">
        <v>16434</v>
      </c>
      <c r="H47022" t="s">
        <v>36451</v>
      </c>
    </row>
    <row r="47023" spans="1:8">
      <c r="F47023" t="s">
        <v>14898</v>
      </c>
      <c r="G47023" t="s">
        <v>15720</v>
      </c>
      <c r="H47023" t="s">
        <v>36451</v>
      </c>
    </row>
    <row r="47024" spans="1:8">
      <c r="A47024" t="s">
        <v>4811</v>
      </c>
      <c r="B47024">
        <f>HYPERLINK("https://android.googlesource.com/platform/cts/+/6980c602812510c8a0a61ebe520a604b8c48aa65", "6980c602812510c8a0a61ebe520a604b8c48aa65")</f>
        <v>0</v>
      </c>
      <c r="C47024">
        <f>HYPERLINK("https://android.googlesource.com/platform/cts/+/a69dc5dbed85b1da3bb150d5cdf207cf6cf1efc9", "a69dc5dbed85b1da3bb150d5cdf207cf6cf1efc9")</f>
        <v>0</v>
      </c>
      <c r="D47024" t="s">
        <v>5265</v>
      </c>
      <c r="E47024" t="s">
        <v>10468</v>
      </c>
      <c r="F47024" t="s">
        <v>14899</v>
      </c>
      <c r="G47024" t="s">
        <v>18741</v>
      </c>
      <c r="H47024" t="s">
        <v>18829</v>
      </c>
    </row>
    <row r="47025" spans="1:8">
      <c r="F47025" t="s">
        <v>14900</v>
      </c>
      <c r="G47025" t="s">
        <v>18742</v>
      </c>
      <c r="H47025" t="s">
        <v>18829</v>
      </c>
    </row>
    <row r="47026" spans="1:8">
      <c r="A47026" t="s">
        <v>4813</v>
      </c>
      <c r="B47026">
        <f>HYPERLINK("https://android.googlesource.com/platform/cts/+/2dc3ff45a5693fe0be99373289cdd7a4dda6734a", "2dc3ff45a5693fe0be99373289cdd7a4dda6734a")</f>
        <v>0</v>
      </c>
      <c r="C47026">
        <f>HYPERLINK("https://android.googlesource.com/platform/cts/+/64a586efd95fdefbc17ab9b48976b9705f177563", "64a586efd95fdefbc17ab9b48976b9705f177563")</f>
        <v>0</v>
      </c>
      <c r="D47026" t="s">
        <v>5728</v>
      </c>
      <c r="E47026" t="s">
        <v>10470</v>
      </c>
      <c r="F47026" t="s">
        <v>14901</v>
      </c>
      <c r="G47026" t="s">
        <v>15174</v>
      </c>
      <c r="H47026" t="s">
        <v>32012</v>
      </c>
    </row>
    <row r="47027" spans="1:8">
      <c r="A47027" t="s">
        <v>4814</v>
      </c>
      <c r="B47027">
        <f>HYPERLINK("https://android.googlesource.com/platform/cts/+/a7a959f780cfad1a516ae4e586eb65545d873c09", "a7a959f780cfad1a516ae4e586eb65545d873c09")</f>
        <v>0</v>
      </c>
      <c r="C47027">
        <f>HYPERLINK("https://android.googlesource.com/platform/cts/+/0af934d8b036620e2df481bf181fcb3228f6d1d9", "0af934d8b036620e2df481bf181fcb3228f6d1d9")</f>
        <v>0</v>
      </c>
      <c r="D47027" t="s">
        <v>5766</v>
      </c>
      <c r="E47027" t="s">
        <v>10471</v>
      </c>
      <c r="F47027" t="s">
        <v>14902</v>
      </c>
      <c r="G47027" t="s">
        <v>18549</v>
      </c>
      <c r="H47027" t="s">
        <v>39536</v>
      </c>
    </row>
    <row r="47028" spans="1:8">
      <c r="H47028" t="s">
        <v>39537</v>
      </c>
    </row>
    <row r="47029" spans="1:8">
      <c r="H47029" t="s">
        <v>18829</v>
      </c>
    </row>
    <row r="47030" spans="1:8">
      <c r="H47030" t="s">
        <v>39538</v>
      </c>
    </row>
    <row r="47031" spans="1:8">
      <c r="A47031" t="s">
        <v>4816</v>
      </c>
      <c r="B47031">
        <f>HYPERLINK("https://android.googlesource.com/platform/cts/+/941802f090caaed5f8e133ba5592c472a36262b5", "941802f090caaed5f8e133ba5592c472a36262b5")</f>
        <v>0</v>
      </c>
      <c r="C47031">
        <f>HYPERLINK("https://android.googlesource.com/platform/cts/+/509570b209623133796ee7818110816a95895d31", "509570b209623133796ee7818110816a95895d31")</f>
        <v>0</v>
      </c>
      <c r="D47031" t="s">
        <v>5778</v>
      </c>
      <c r="E47031" t="s">
        <v>10473</v>
      </c>
      <c r="F47031" t="s">
        <v>12618</v>
      </c>
      <c r="G47031" t="s">
        <v>16828</v>
      </c>
      <c r="H47031" t="s">
        <v>39539</v>
      </c>
    </row>
    <row r="47032" spans="1:8">
      <c r="A47032" t="s">
        <v>4817</v>
      </c>
      <c r="B47032">
        <f>HYPERLINK("https://android.googlesource.com/platform/cts/+/17c590b92beacd1b50fbe8d571e003003c819c52", "17c590b92beacd1b50fbe8d571e003003c819c52")</f>
        <v>0</v>
      </c>
      <c r="C47032">
        <f>HYPERLINK("https://android.googlesource.com/platform/cts/+/37452f5883d928446f949121374200820eb9e73d", "37452f5883d928446f949121374200820eb9e73d")</f>
        <v>0</v>
      </c>
      <c r="D47032" t="s">
        <v>5368</v>
      </c>
      <c r="E47032" t="s">
        <v>10474</v>
      </c>
      <c r="F47032" t="s">
        <v>14903</v>
      </c>
      <c r="G47032" t="s">
        <v>18743</v>
      </c>
      <c r="H47032" t="s">
        <v>18829</v>
      </c>
    </row>
    <row r="47033" spans="1:8">
      <c r="H47033" t="s">
        <v>39540</v>
      </c>
    </row>
    <row r="47034" spans="1:8">
      <c r="A47034" t="s">
        <v>4819</v>
      </c>
      <c r="B47034">
        <f>HYPERLINK("https://android.googlesource.com/platform/cts/+/1fa45128a730d71a7061e40c5422c25d57718af2", "1fa45128a730d71a7061e40c5422c25d57718af2")</f>
        <v>0</v>
      </c>
      <c r="C47034">
        <f>HYPERLINK("https://android.googlesource.com/platform/cts/+/45f8bdf33f822d71cd8f803ff753eb2de191a72f", "45f8bdf33f822d71cd8f803ff753eb2de191a72f")</f>
        <v>0</v>
      </c>
      <c r="D47034" t="s">
        <v>5564</v>
      </c>
      <c r="E47034" t="s">
        <v>10476</v>
      </c>
      <c r="F47034" t="s">
        <v>14817</v>
      </c>
      <c r="G47034" t="s">
        <v>17457</v>
      </c>
      <c r="H47034" t="s">
        <v>18829</v>
      </c>
    </row>
    <row r="47035" spans="1:8">
      <c r="H47035" t="s">
        <v>18863</v>
      </c>
    </row>
    <row r="47036" spans="1:8">
      <c r="A47036" t="s">
        <v>4820</v>
      </c>
      <c r="B47036">
        <f>HYPERLINK("https://android.googlesource.com/platform/cts/+/f0ba81a3e629921a2286c25f35c3efa3124f762c", "f0ba81a3e629921a2286c25f35c3efa3124f762c")</f>
        <v>0</v>
      </c>
      <c r="C47036">
        <f>HYPERLINK("https://android.googlesource.com/platform/cts/+/45f8bdf33f822d71cd8f803ff753eb2de191a72f", "45f8bdf33f822d71cd8f803ff753eb2de191a72f")</f>
        <v>0</v>
      </c>
      <c r="D47036" t="s">
        <v>5564</v>
      </c>
      <c r="E47036" t="s">
        <v>10477</v>
      </c>
      <c r="F47036" t="s">
        <v>14892</v>
      </c>
      <c r="G47036" t="s">
        <v>16415</v>
      </c>
      <c r="H47036" t="s">
        <v>39541</v>
      </c>
    </row>
    <row r="47037" spans="1:8">
      <c r="H47037" t="s">
        <v>39542</v>
      </c>
    </row>
    <row r="47038" spans="1:8">
      <c r="H47038" t="s">
        <v>39543</v>
      </c>
    </row>
    <row r="47039" spans="1:8">
      <c r="H47039" t="s">
        <v>39544</v>
      </c>
    </row>
    <row r="47040" spans="1:8">
      <c r="H47040" t="s">
        <v>39545</v>
      </c>
    </row>
    <row r="47041" spans="1:8">
      <c r="H47041" t="s">
        <v>39546</v>
      </c>
    </row>
    <row r="47042" spans="1:8">
      <c r="H47042" t="s">
        <v>39547</v>
      </c>
    </row>
    <row r="47043" spans="1:8">
      <c r="H47043" t="s">
        <v>39548</v>
      </c>
    </row>
    <row r="47044" spans="1:8">
      <c r="H47044" t="s">
        <v>39549</v>
      </c>
    </row>
    <row r="47045" spans="1:8">
      <c r="H47045" t="s">
        <v>39550</v>
      </c>
    </row>
    <row r="47046" spans="1:8">
      <c r="H47046" t="s">
        <v>39551</v>
      </c>
    </row>
    <row r="47047" spans="1:8">
      <c r="H47047" t="s">
        <v>39552</v>
      </c>
    </row>
    <row r="47048" spans="1:8">
      <c r="H47048" t="s">
        <v>39553</v>
      </c>
    </row>
    <row r="47049" spans="1:8">
      <c r="H47049" t="s">
        <v>39554</v>
      </c>
    </row>
    <row r="47050" spans="1:8">
      <c r="H47050" t="s">
        <v>39555</v>
      </c>
    </row>
    <row r="47051" spans="1:8">
      <c r="H47051" t="s">
        <v>39556</v>
      </c>
    </row>
    <row r="47052" spans="1:8">
      <c r="A47052" t="s">
        <v>4821</v>
      </c>
      <c r="B47052">
        <f>HYPERLINK("https://android.googlesource.com/platform/cts/+/af681422b7b760abc673fb5f41a43f2beb1f941b", "af681422b7b760abc673fb5f41a43f2beb1f941b")</f>
        <v>0</v>
      </c>
      <c r="C47052">
        <f>HYPERLINK("https://android.googlesource.com/platform/cts/+/5c8cd6404a683f690da0c799a8d070733fa9da11", "5c8cd6404a683f690da0c799a8d070733fa9da11")</f>
        <v>0</v>
      </c>
      <c r="D47052" t="s">
        <v>5564</v>
      </c>
      <c r="E47052" t="s">
        <v>10478</v>
      </c>
      <c r="F47052" t="s">
        <v>14786</v>
      </c>
      <c r="G47052" t="s">
        <v>16560</v>
      </c>
      <c r="H47052" t="s">
        <v>37897</v>
      </c>
    </row>
    <row r="47053" spans="1:8">
      <c r="H47053" t="s">
        <v>37897</v>
      </c>
    </row>
    <row r="47054" spans="1:8">
      <c r="H47054" t="s">
        <v>37897</v>
      </c>
    </row>
    <row r="47055" spans="1:8">
      <c r="A47055" t="s">
        <v>4822</v>
      </c>
      <c r="B47055">
        <f>HYPERLINK("https://android.googlesource.com/platform/cts/+/8485d9441f9e740a20921a7ec3045c4f8b4681de", "8485d9441f9e740a20921a7ec3045c4f8b4681de")</f>
        <v>0</v>
      </c>
      <c r="C47055">
        <f>HYPERLINK("https://android.googlesource.com/platform/cts/+/596b89538d3ad67cbfacc772c7a24ae3366e00db", "596b89538d3ad67cbfacc772c7a24ae3366e00db")</f>
        <v>0</v>
      </c>
      <c r="D47055" t="s">
        <v>5135</v>
      </c>
      <c r="E47055" t="s">
        <v>10479</v>
      </c>
      <c r="F47055" t="s">
        <v>13391</v>
      </c>
      <c r="G47055" t="s">
        <v>17517</v>
      </c>
      <c r="H47055" t="s">
        <v>37968</v>
      </c>
    </row>
    <row r="47056" spans="1:8">
      <c r="H47056" t="s">
        <v>39557</v>
      </c>
    </row>
    <row r="47057" spans="1:8">
      <c r="A47057" t="s">
        <v>4823</v>
      </c>
      <c r="B47057">
        <f>HYPERLINK("https://android.googlesource.com/platform/cts/+/58d8c869e84e9164e83641c6b167a3de5ca71282", "58d8c869e84e9164e83641c6b167a3de5ca71282")</f>
        <v>0</v>
      </c>
      <c r="C47057">
        <f>HYPERLINK("https://android.googlesource.com/platform/cts/+/b9ecc2bd51054fd7ae105340fb54ce6ff014b4dc", "b9ecc2bd51054fd7ae105340fb54ce6ff014b4dc")</f>
        <v>0</v>
      </c>
      <c r="D47057" t="s">
        <v>5027</v>
      </c>
      <c r="E47057" t="s">
        <v>10480</v>
      </c>
      <c r="F47057" t="s">
        <v>14825</v>
      </c>
      <c r="G47057" t="s">
        <v>18687</v>
      </c>
      <c r="H47057" t="s">
        <v>39442</v>
      </c>
    </row>
    <row r="47058" spans="1:8">
      <c r="H47058" t="s">
        <v>39443</v>
      </c>
    </row>
    <row r="47059" spans="1:8">
      <c r="H47059" t="s">
        <v>39444</v>
      </c>
    </row>
    <row r="47060" spans="1:8">
      <c r="H47060" t="s">
        <v>39445</v>
      </c>
    </row>
    <row r="47061" spans="1:8">
      <c r="H47061" t="s">
        <v>39446</v>
      </c>
    </row>
    <row r="47062" spans="1:8">
      <c r="H47062" t="s">
        <v>39447</v>
      </c>
    </row>
    <row r="47063" spans="1:8">
      <c r="H47063" t="s">
        <v>26401</v>
      </c>
    </row>
    <row r="47064" spans="1:8">
      <c r="H47064" t="s">
        <v>39448</v>
      </c>
    </row>
    <row r="47065" spans="1:8">
      <c r="A47065" t="s">
        <v>4824</v>
      </c>
      <c r="B47065">
        <f>HYPERLINK("https://android.googlesource.com/platform/cts/+/b7f7de15486afec8992ce2e5d6de58fd2a84ab57", "b7f7de15486afec8992ce2e5d6de58fd2a84ab57")</f>
        <v>0</v>
      </c>
      <c r="C47065">
        <f>HYPERLINK("https://android.googlesource.com/platform/cts/+/977215a54db16bde7d5b0803c47e84f99f2a39ec", "977215a54db16bde7d5b0803c47e84f99f2a39ec")</f>
        <v>0</v>
      </c>
      <c r="D47065" t="s">
        <v>5643</v>
      </c>
      <c r="E47065" t="s">
        <v>10481</v>
      </c>
      <c r="F47065" t="s">
        <v>12817</v>
      </c>
      <c r="G47065" t="s">
        <v>16629</v>
      </c>
      <c r="H47065" t="s">
        <v>39558</v>
      </c>
    </row>
    <row r="47066" spans="1:8">
      <c r="A47066" t="s">
        <v>4825</v>
      </c>
      <c r="B47066">
        <f>HYPERLINK("https://android.googlesource.com/platform/cts/+/06c709dddef8f5d21eff0a83117ab04a4be93aa0", "06c709dddef8f5d21eff0a83117ab04a4be93aa0")</f>
        <v>0</v>
      </c>
      <c r="C47066">
        <f>HYPERLINK("https://android.googlesource.com/platform/cts/+/83cc2c57e618247d676f1922a859888cadb2fcf5", "83cc2c57e618247d676f1922a859888cadb2fcf5")</f>
        <v>0</v>
      </c>
      <c r="D47066" t="s">
        <v>5753</v>
      </c>
      <c r="E47066" t="s">
        <v>10482</v>
      </c>
      <c r="F47066" t="s">
        <v>14892</v>
      </c>
      <c r="G47066" t="s">
        <v>16415</v>
      </c>
      <c r="H47066" t="s">
        <v>39559</v>
      </c>
    </row>
    <row r="47067" spans="1:8">
      <c r="H47067" t="s">
        <v>39560</v>
      </c>
    </row>
    <row r="47068" spans="1:8">
      <c r="H47068" t="s">
        <v>39561</v>
      </c>
    </row>
    <row r="47069" spans="1:8">
      <c r="H47069" t="s">
        <v>39562</v>
      </c>
    </row>
    <row r="47070" spans="1:8">
      <c r="H47070" t="s">
        <v>39563</v>
      </c>
    </row>
    <row r="47071" spans="1:8">
      <c r="H47071" t="s">
        <v>39564</v>
      </c>
    </row>
    <row r="47072" spans="1:8">
      <c r="H47072" t="s">
        <v>39565</v>
      </c>
    </row>
    <row r="47073" spans="1:8">
      <c r="H47073" t="s">
        <v>39566</v>
      </c>
    </row>
    <row r="47074" spans="1:8">
      <c r="H47074" t="s">
        <v>37259</v>
      </c>
    </row>
    <row r="47075" spans="1:8">
      <c r="H47075" t="s">
        <v>37260</v>
      </c>
    </row>
    <row r="47076" spans="1:8">
      <c r="H47076" t="s">
        <v>37261</v>
      </c>
    </row>
    <row r="47077" spans="1:8">
      <c r="H47077" t="s">
        <v>37262</v>
      </c>
    </row>
    <row r="47078" spans="1:8">
      <c r="A47078" t="s">
        <v>4826</v>
      </c>
      <c r="B47078">
        <f>HYPERLINK("https://android.googlesource.com/platform/cts/+/bb16c6856ab5b87c1292c01b70fffc158c515b72", "bb16c6856ab5b87c1292c01b70fffc158c515b72")</f>
        <v>0</v>
      </c>
      <c r="C47078">
        <f>HYPERLINK("https://android.googlesource.com/platform/cts/+/b9e4899889af5e08aba23c06506a5d14ef73c816", "b9e4899889af5e08aba23c06506a5d14ef73c816")</f>
        <v>0</v>
      </c>
      <c r="D47078" t="s">
        <v>5779</v>
      </c>
      <c r="E47078" t="s">
        <v>10483</v>
      </c>
      <c r="F47078" t="s">
        <v>14904</v>
      </c>
      <c r="G47078" t="s">
        <v>18744</v>
      </c>
      <c r="H47078" t="s">
        <v>18829</v>
      </c>
    </row>
    <row r="47079" spans="1:8">
      <c r="H47079" t="s">
        <v>39567</v>
      </c>
    </row>
    <row r="47080" spans="1:8">
      <c r="H47080" t="s">
        <v>32363</v>
      </c>
    </row>
    <row r="47081" spans="1:8">
      <c r="H47081" t="s">
        <v>39568</v>
      </c>
    </row>
    <row r="47082" spans="1:8">
      <c r="A47082" t="s">
        <v>4827</v>
      </c>
      <c r="B47082">
        <f>HYPERLINK("https://android.googlesource.com/platform/cts/+/317366ccb2e1d07d4d06a9233b2a68b3de8a162d", "317366ccb2e1d07d4d06a9233b2a68b3de8a162d")</f>
        <v>0</v>
      </c>
      <c r="C47082">
        <f>HYPERLINK("https://android.googlesource.com/platform/cts/+/31a1df8f15e4764b7534a0ef9128dab29c844908", "31a1df8f15e4764b7534a0ef9128dab29c844908")</f>
        <v>0</v>
      </c>
      <c r="D47082" t="s">
        <v>5508</v>
      </c>
      <c r="E47082" t="s">
        <v>10484</v>
      </c>
      <c r="F47082" t="s">
        <v>13816</v>
      </c>
      <c r="G47082" t="s">
        <v>15089</v>
      </c>
      <c r="H47082" t="s">
        <v>35831</v>
      </c>
    </row>
    <row r="47083" spans="1:8">
      <c r="F47083" t="s">
        <v>14712</v>
      </c>
      <c r="G47083" t="s">
        <v>17455</v>
      </c>
      <c r="H47083" t="s">
        <v>39569</v>
      </c>
    </row>
    <row r="47084" spans="1:8">
      <c r="A47084" t="s">
        <v>4829</v>
      </c>
      <c r="B47084">
        <f>HYPERLINK("https://android.googlesource.com/platform/cts/+/914f46b944a1dfc459d34e5a58b1913beb92222e", "914f46b944a1dfc459d34e5a58b1913beb92222e")</f>
        <v>0</v>
      </c>
      <c r="C47084">
        <f>HYPERLINK("https://android.googlesource.com/platform/cts/+/c158a4d258d9fd929ad7523f58780b1712d17695", "c158a4d258d9fd929ad7523f58780b1712d17695")</f>
        <v>0</v>
      </c>
      <c r="D47084" t="s">
        <v>5780</v>
      </c>
      <c r="E47084" t="s">
        <v>10486</v>
      </c>
      <c r="F47084" t="s">
        <v>14812</v>
      </c>
      <c r="G47084" t="s">
        <v>16423</v>
      </c>
      <c r="H47084" t="s">
        <v>39570</v>
      </c>
    </row>
    <row r="47085" spans="1:8">
      <c r="A47085" t="s">
        <v>4830</v>
      </c>
      <c r="B47085">
        <f>HYPERLINK("https://android.googlesource.com/platform/cts/+/1b5565481792cec88afc0cc62b9e042b1b533ec3", "1b5565481792cec88afc0cc62b9e042b1b533ec3")</f>
        <v>0</v>
      </c>
      <c r="C47085">
        <f>HYPERLINK("https://android.googlesource.com/platform/cts/+/f0ba81a3e629921a2286c25f35c3efa3124f762c", "f0ba81a3e629921a2286c25f35c3efa3124f762c")</f>
        <v>0</v>
      </c>
      <c r="D47085" t="s">
        <v>5564</v>
      </c>
      <c r="E47085" t="s">
        <v>10487</v>
      </c>
      <c r="F47085" t="s">
        <v>14905</v>
      </c>
      <c r="G47085" t="s">
        <v>18745</v>
      </c>
      <c r="H47085" t="s">
        <v>39541</v>
      </c>
    </row>
    <row r="47086" spans="1:8">
      <c r="H47086" t="s">
        <v>39542</v>
      </c>
    </row>
    <row r="47087" spans="1:8">
      <c r="H47087" t="s">
        <v>39543</v>
      </c>
    </row>
    <row r="47088" spans="1:8">
      <c r="H47088" t="s">
        <v>39544</v>
      </c>
    </row>
    <row r="47089" spans="1:8">
      <c r="H47089" t="s">
        <v>39545</v>
      </c>
    </row>
    <row r="47090" spans="1:8">
      <c r="H47090" t="s">
        <v>39546</v>
      </c>
    </row>
    <row r="47091" spans="1:8">
      <c r="H47091" t="s">
        <v>39551</v>
      </c>
    </row>
    <row r="47092" spans="1:8">
      <c r="H47092" t="s">
        <v>39552</v>
      </c>
    </row>
    <row r="47093" spans="1:8">
      <c r="H47093" t="s">
        <v>39553</v>
      </c>
    </row>
    <row r="47094" spans="1:8">
      <c r="H47094" t="s">
        <v>39554</v>
      </c>
    </row>
    <row r="47095" spans="1:8">
      <c r="H47095" t="s">
        <v>39555</v>
      </c>
    </row>
    <row r="47096" spans="1:8">
      <c r="A47096" t="s">
        <v>4831</v>
      </c>
      <c r="B47096">
        <f>HYPERLINK("https://android.googlesource.com/platform/cts/+/21df2b7e1a5b338dc0de421a09cd6c462ad76ac5", "21df2b7e1a5b338dc0de421a09cd6c462ad76ac5")</f>
        <v>0</v>
      </c>
      <c r="C47096">
        <f>HYPERLINK("https://android.googlesource.com/platform/cts/+/c8a8d5e01103bcdd2e675a02c5b2c56644bfbc85", "c8a8d5e01103bcdd2e675a02c5b2c56644bfbc85")</f>
        <v>0</v>
      </c>
      <c r="D47096" t="s">
        <v>5564</v>
      </c>
      <c r="E47096" t="s">
        <v>10488</v>
      </c>
      <c r="F47096" t="s">
        <v>14906</v>
      </c>
      <c r="G47096" t="s">
        <v>18746</v>
      </c>
      <c r="H47096" t="s">
        <v>39571</v>
      </c>
    </row>
    <row r="47097" spans="1:8">
      <c r="F47097" t="s">
        <v>14907</v>
      </c>
      <c r="G47097" t="s">
        <v>18747</v>
      </c>
      <c r="H47097" t="s">
        <v>34042</v>
      </c>
    </row>
    <row r="47098" spans="1:8">
      <c r="H47098" t="s">
        <v>34044</v>
      </c>
    </row>
    <row r="47099" spans="1:8">
      <c r="H47099" t="s">
        <v>39571</v>
      </c>
    </row>
    <row r="47100" spans="1:8">
      <c r="A47100" t="s">
        <v>4832</v>
      </c>
      <c r="B47100">
        <f>HYPERLINK("https://android.googlesource.com/platform/cts/+/07e99224cf6187bf78d9c17275b4f9245595a2f1", "07e99224cf6187bf78d9c17275b4f9245595a2f1")</f>
        <v>0</v>
      </c>
      <c r="C47100">
        <f>HYPERLINK("https://android.googlesource.com/platform/cts/+/cd7607669e3f8a7adc33e27e4e9ce1b171b5fc8a", "cd7607669e3f8a7adc33e27e4e9ce1b171b5fc8a")</f>
        <v>0</v>
      </c>
      <c r="D47100" t="s">
        <v>5564</v>
      </c>
      <c r="E47100" t="s">
        <v>10489</v>
      </c>
      <c r="F47100" t="s">
        <v>14908</v>
      </c>
      <c r="G47100" t="s">
        <v>16631</v>
      </c>
      <c r="H47100" t="s">
        <v>39572</v>
      </c>
    </row>
    <row r="47101" spans="1:8">
      <c r="A47101" t="s">
        <v>4833</v>
      </c>
      <c r="B47101">
        <f>HYPERLINK("https://android.googlesource.com/platform/cts/+/ab9c6ce3df5f7aa4865f6f6835ff2a32a36d734f", "ab9c6ce3df5f7aa4865f6f6835ff2a32a36d734f")</f>
        <v>0</v>
      </c>
      <c r="C47101">
        <f>HYPERLINK("https://android.googlesource.com/platform/cts/+/03a52d7ec45303cc44889a6bd3201ae0b34c6b79", "03a52d7ec45303cc44889a6bd3201ae0b34c6b79")</f>
        <v>0</v>
      </c>
      <c r="D47101" t="s">
        <v>5781</v>
      </c>
      <c r="E47101" t="s">
        <v>10490</v>
      </c>
      <c r="F47101" t="s">
        <v>14909</v>
      </c>
      <c r="G47101" t="s">
        <v>18748</v>
      </c>
      <c r="H47101" t="s">
        <v>18829</v>
      </c>
    </row>
    <row r="47102" spans="1:8">
      <c r="H47102" t="s">
        <v>39573</v>
      </c>
    </row>
    <row r="47103" spans="1:8">
      <c r="H47103" t="s">
        <v>39574</v>
      </c>
    </row>
    <row r="47104" spans="1:8">
      <c r="H47104" t="s">
        <v>39575</v>
      </c>
    </row>
    <row r="47105" spans="1:8">
      <c r="H47105" t="s">
        <v>39576</v>
      </c>
    </row>
    <row r="47106" spans="1:8">
      <c r="H47106" t="s">
        <v>39577</v>
      </c>
    </row>
    <row r="47107" spans="1:8">
      <c r="H47107" t="s">
        <v>39578</v>
      </c>
    </row>
    <row r="47108" spans="1:8">
      <c r="H47108" t="s">
        <v>39579</v>
      </c>
    </row>
    <row r="47109" spans="1:8">
      <c r="H47109" t="s">
        <v>39580</v>
      </c>
    </row>
    <row r="47110" spans="1:8">
      <c r="H47110" t="s">
        <v>39581</v>
      </c>
    </row>
    <row r="47111" spans="1:8">
      <c r="A47111" t="s">
        <v>4834</v>
      </c>
      <c r="B47111">
        <f>HYPERLINK("https://android.googlesource.com/platform/cts/+/f6b05034a5f778987a624189914d620e28556860", "f6b05034a5f778987a624189914d620e28556860")</f>
        <v>0</v>
      </c>
      <c r="C47111">
        <f>HYPERLINK("https://android.googlesource.com/platform/cts/+/4f7cfc2ed41ef5085e139faef60633485513d0f7", "4f7cfc2ed41ef5085e139faef60633485513d0f7")</f>
        <v>0</v>
      </c>
      <c r="D47111" t="s">
        <v>5134</v>
      </c>
      <c r="E47111" t="s">
        <v>10491</v>
      </c>
      <c r="F47111" t="s">
        <v>14910</v>
      </c>
      <c r="G47111" t="s">
        <v>18749</v>
      </c>
      <c r="H47111" t="s">
        <v>39582</v>
      </c>
    </row>
    <row r="47112" spans="1:8">
      <c r="A47112" t="s">
        <v>4836</v>
      </c>
      <c r="B47112">
        <f>HYPERLINK("https://android.googlesource.com/platform/cts/+/4fabed17e8be6fc8f3adc9a7083b78bffe6a2e82", "4fabed17e8be6fc8f3adc9a7083b78bffe6a2e82")</f>
        <v>0</v>
      </c>
      <c r="C47112">
        <f>HYPERLINK("https://android.googlesource.com/platform/cts/+/8847958b108d4214deeb9500ee2985edf52acd9d", "8847958b108d4214deeb9500ee2985edf52acd9d")</f>
        <v>0</v>
      </c>
      <c r="D47112" t="s">
        <v>5134</v>
      </c>
      <c r="E47112" t="s">
        <v>10493</v>
      </c>
      <c r="F47112" t="s">
        <v>14910</v>
      </c>
      <c r="G47112" t="s">
        <v>18750</v>
      </c>
      <c r="H47112" t="s">
        <v>39583</v>
      </c>
    </row>
    <row r="47113" spans="1:8">
      <c r="H47113" t="s">
        <v>39584</v>
      </c>
    </row>
    <row r="47114" spans="1:8">
      <c r="H47114" t="s">
        <v>19506</v>
      </c>
    </row>
    <row r="47115" spans="1:8">
      <c r="H47115" t="s">
        <v>39585</v>
      </c>
    </row>
    <row r="47116" spans="1:8">
      <c r="F47116" t="s">
        <v>14911</v>
      </c>
      <c r="G47116" t="s">
        <v>18751</v>
      </c>
      <c r="H47116" t="s">
        <v>39583</v>
      </c>
    </row>
    <row r="47117" spans="1:8">
      <c r="H47117" t="s">
        <v>39584</v>
      </c>
    </row>
    <row r="47118" spans="1:8">
      <c r="H47118" t="s">
        <v>19506</v>
      </c>
    </row>
    <row r="47119" spans="1:8">
      <c r="H47119" t="s">
        <v>39585</v>
      </c>
    </row>
    <row r="47120" spans="1:8">
      <c r="A47120" t="s">
        <v>4837</v>
      </c>
      <c r="B47120">
        <f>HYPERLINK("https://android.googlesource.com/platform/cts/+/33bafd9d53a96295496eef8a63eb564fa4ee0353", "33bafd9d53a96295496eef8a63eb564fa4ee0353")</f>
        <v>0</v>
      </c>
      <c r="C47120">
        <f>HYPERLINK("https://android.googlesource.com/platform/cts/+/95dafb97465bc371f94275976475941fee1121c9", "95dafb97465bc371f94275976475941fee1121c9")</f>
        <v>0</v>
      </c>
      <c r="D47120" t="s">
        <v>5782</v>
      </c>
      <c r="E47120" t="s">
        <v>10494</v>
      </c>
      <c r="F47120" t="s">
        <v>14417</v>
      </c>
      <c r="G47120" t="s">
        <v>18355</v>
      </c>
      <c r="H47120" t="s">
        <v>39586</v>
      </c>
    </row>
    <row r="47121" spans="1:8">
      <c r="A47121" t="s">
        <v>4838</v>
      </c>
      <c r="B47121">
        <f>HYPERLINK("https://android.googlesource.com/platform/cts/+/a1f4b37ef776e95fbde950bbc48c02de62f36c51", "a1f4b37ef776e95fbde950bbc48c02de62f36c51")</f>
        <v>0</v>
      </c>
      <c r="C47121">
        <f>HYPERLINK("https://android.googlesource.com/platform/cts/+/7ce04818178ed55626fb59474faf1fe43a362d2f", "7ce04818178ed55626fb59474faf1fe43a362d2f")</f>
        <v>0</v>
      </c>
      <c r="D47121" t="s">
        <v>5766</v>
      </c>
      <c r="E47121" t="s">
        <v>10495</v>
      </c>
      <c r="F47121" t="s">
        <v>14912</v>
      </c>
      <c r="G47121" t="s">
        <v>18549</v>
      </c>
      <c r="H47121" t="s">
        <v>39587</v>
      </c>
    </row>
    <row r="47122" spans="1:8">
      <c r="A47122" t="s">
        <v>4841</v>
      </c>
      <c r="B47122">
        <f>HYPERLINK("https://android.googlesource.com/platform/cts/+/5f996b4ee24b2eaf198cac41c36bd5182b84a75c", "5f996b4ee24b2eaf198cac41c36bd5182b84a75c")</f>
        <v>0</v>
      </c>
      <c r="C47122">
        <f>HYPERLINK("https://android.googlesource.com/platform/cts/+/27e627d64562b7030d776c53cff53ec40afa3fc0", "27e627d64562b7030d776c53cff53ec40afa3fc0")</f>
        <v>0</v>
      </c>
      <c r="D47122" t="s">
        <v>5718</v>
      </c>
      <c r="E47122" t="s">
        <v>10498</v>
      </c>
      <c r="F47122" t="s">
        <v>14563</v>
      </c>
      <c r="G47122" t="s">
        <v>18409</v>
      </c>
      <c r="H47122" t="s">
        <v>39588</v>
      </c>
    </row>
    <row r="47123" spans="1:8">
      <c r="H47123" t="s">
        <v>39589</v>
      </c>
    </row>
    <row r="47124" spans="1:8">
      <c r="H47124" t="s">
        <v>39590</v>
      </c>
    </row>
    <row r="47125" spans="1:8">
      <c r="A47125" t="s">
        <v>4842</v>
      </c>
      <c r="B47125">
        <f>HYPERLINK("https://android.googlesource.com/platform/cts/+/a1cf3404195b29470b42871775f7bcec15f035ff", "a1cf3404195b29470b42871775f7bcec15f035ff")</f>
        <v>0</v>
      </c>
      <c r="C47125">
        <f>HYPERLINK("https://android.googlesource.com/platform/cts/+/6b36abe11733cf295687b5f13ae0cef90fd46d66", "6b36abe11733cf295687b5f13ae0cef90fd46d66")</f>
        <v>0</v>
      </c>
      <c r="D47125" t="s">
        <v>5706</v>
      </c>
      <c r="E47125" t="s">
        <v>10499</v>
      </c>
      <c r="F47125" t="s">
        <v>14913</v>
      </c>
      <c r="G47125" t="s">
        <v>18752</v>
      </c>
      <c r="H47125" t="s">
        <v>39591</v>
      </c>
    </row>
    <row r="47126" spans="1:8">
      <c r="A47126" t="s">
        <v>4843</v>
      </c>
      <c r="B47126">
        <f>HYPERLINK("https://android.googlesource.com/platform/cts/+/44c9f0f12db2562add7653075f99ece7e4fc1ca3", "44c9f0f12db2562add7653075f99ece7e4fc1ca3")</f>
        <v>0</v>
      </c>
      <c r="C47126">
        <f>HYPERLINK("https://android.googlesource.com/platform/cts/+/933edf97996ad06e0d04df287bb96dedc0c65b1f", "933edf97996ad06e0d04df287bb96dedc0c65b1f")</f>
        <v>0</v>
      </c>
      <c r="D47126" t="s">
        <v>5783</v>
      </c>
      <c r="E47126" t="s">
        <v>10500</v>
      </c>
      <c r="F47126" t="s">
        <v>14914</v>
      </c>
      <c r="G47126" t="s">
        <v>18753</v>
      </c>
      <c r="H47126" t="s">
        <v>39592</v>
      </c>
    </row>
    <row r="47127" spans="1:8">
      <c r="A47127" t="s">
        <v>4844</v>
      </c>
      <c r="B47127">
        <f>HYPERLINK("https://android.googlesource.com/platform/cts/+/2b0be2ff69b93ec81830a17733cd2cf25aea7468", "2b0be2ff69b93ec81830a17733cd2cf25aea7468")</f>
        <v>0</v>
      </c>
      <c r="C47127">
        <f>HYPERLINK("https://android.googlesource.com/platform/cts/+/ebe211e9a280b5594d7f7a292f8077aa580f2ceb", "ebe211e9a280b5594d7f7a292f8077aa580f2ceb")</f>
        <v>0</v>
      </c>
      <c r="D47127" t="s">
        <v>5784</v>
      </c>
      <c r="E47127" t="s">
        <v>10501</v>
      </c>
      <c r="F47127" t="s">
        <v>14379</v>
      </c>
      <c r="G47127" t="s">
        <v>18323</v>
      </c>
      <c r="H47127" t="s">
        <v>39593</v>
      </c>
    </row>
    <row r="47128" spans="1:8">
      <c r="A47128" t="s">
        <v>4845</v>
      </c>
      <c r="B47128">
        <f>HYPERLINK("https://android.googlesource.com/platform/cts/+/8b4c71708e632e6090a4854e674e632473a2509b", "8b4c71708e632e6090a4854e674e632473a2509b")</f>
        <v>0</v>
      </c>
      <c r="C47128">
        <f>HYPERLINK("https://android.googlesource.com/platform/cts/+/a6777a357c49ccfa99db7309a1b7aeb60bee89a7", "a6777a357c49ccfa99db7309a1b7aeb60bee89a7")</f>
        <v>0</v>
      </c>
      <c r="D47128" t="s">
        <v>5782</v>
      </c>
      <c r="E47128" t="s">
        <v>10502</v>
      </c>
      <c r="F47128" t="s">
        <v>14417</v>
      </c>
      <c r="G47128" t="s">
        <v>18355</v>
      </c>
      <c r="H47128" t="s">
        <v>39586</v>
      </c>
    </row>
    <row r="47129" spans="1:8">
      <c r="A47129" t="s">
        <v>4846</v>
      </c>
      <c r="B47129">
        <f>HYPERLINK("https://android.googlesource.com/platform/cts/+/07b1a6131722546344a6c717aa51368787c6fb3f", "07b1a6131722546344a6c717aa51368787c6fb3f")</f>
        <v>0</v>
      </c>
      <c r="C47129">
        <f>HYPERLINK("https://android.googlesource.com/platform/cts/+/200e90060c6fbf0103a1f0c3e011a2ced49a9b40", "200e90060c6fbf0103a1f0c3e011a2ced49a9b40")</f>
        <v>0</v>
      </c>
      <c r="D47129" t="s">
        <v>5135</v>
      </c>
      <c r="E47129" t="s">
        <v>10503</v>
      </c>
      <c r="F47129" t="s">
        <v>13672</v>
      </c>
      <c r="G47129" t="s">
        <v>17744</v>
      </c>
      <c r="H47129" t="s">
        <v>39594</v>
      </c>
    </row>
    <row r="47130" spans="1:8">
      <c r="A47130" t="s">
        <v>4847</v>
      </c>
      <c r="B47130">
        <f>HYPERLINK("https://android.googlesource.com/platform/cts/+/ba23b6ac8ed33f470b1ecf4d97adf612c67ba9e5", "ba23b6ac8ed33f470b1ecf4d97adf612c67ba9e5")</f>
        <v>0</v>
      </c>
      <c r="C47130">
        <f>HYPERLINK("https://android.googlesource.com/platform/cts/+/aa9fd5ec03a8b237b9e45566dfd6a6d638faaee6", "aa9fd5ec03a8b237b9e45566dfd6a6d638faaee6")</f>
        <v>0</v>
      </c>
      <c r="D47130" t="s">
        <v>5785</v>
      </c>
      <c r="E47130" t="s">
        <v>10504</v>
      </c>
      <c r="F47130" t="s">
        <v>14758</v>
      </c>
      <c r="G47130" t="s">
        <v>18634</v>
      </c>
      <c r="H47130" t="s">
        <v>39595</v>
      </c>
    </row>
    <row r="47131" spans="1:8">
      <c r="A47131" t="s">
        <v>4849</v>
      </c>
      <c r="B47131">
        <f>HYPERLINK("https://android.googlesource.com/platform/cts/+/185d45a7784406393b1522c1231521b97eaf9ef6", "185d45a7784406393b1522c1231521b97eaf9ef6")</f>
        <v>0</v>
      </c>
      <c r="C47131">
        <f>HYPERLINK("https://android.googlesource.com/platform/cts/+/b46b1248d41e62f41f4206468ca0518ddae01af9", "b46b1248d41e62f41f4206468ca0518ddae01af9")</f>
        <v>0</v>
      </c>
      <c r="D47131" t="s">
        <v>5096</v>
      </c>
      <c r="E47131" t="s">
        <v>10506</v>
      </c>
      <c r="F47131" t="s">
        <v>14695</v>
      </c>
      <c r="G47131" t="s">
        <v>18585</v>
      </c>
      <c r="H47131" t="s">
        <v>39596</v>
      </c>
    </row>
    <row r="47132" spans="1:8">
      <c r="H47132" t="s">
        <v>39597</v>
      </c>
    </row>
    <row r="47133" spans="1:8">
      <c r="H47133" t="s">
        <v>39598</v>
      </c>
    </row>
    <row r="47134" spans="1:8">
      <c r="H47134" t="s">
        <v>39599</v>
      </c>
    </row>
    <row r="47135" spans="1:8">
      <c r="H47135" t="s">
        <v>39600</v>
      </c>
    </row>
    <row r="47136" spans="1:8">
      <c r="H47136" t="s">
        <v>39601</v>
      </c>
    </row>
    <row r="47137" spans="8:8">
      <c r="H47137" t="s">
        <v>39602</v>
      </c>
    </row>
    <row r="47138" spans="8:8">
      <c r="H47138" t="s">
        <v>39603</v>
      </c>
    </row>
    <row r="47139" spans="8:8">
      <c r="H47139" t="s">
        <v>39604</v>
      </c>
    </row>
    <row r="47140" spans="8:8">
      <c r="H47140" t="s">
        <v>39605</v>
      </c>
    </row>
    <row r="47141" spans="8:8">
      <c r="H47141" t="s">
        <v>39606</v>
      </c>
    </row>
    <row r="47142" spans="8:8">
      <c r="H47142" t="s">
        <v>39607</v>
      </c>
    </row>
    <row r="47143" spans="8:8">
      <c r="H47143" t="s">
        <v>39608</v>
      </c>
    </row>
    <row r="47144" spans="8:8">
      <c r="H47144" t="s">
        <v>39609</v>
      </c>
    </row>
    <row r="47145" spans="8:8">
      <c r="H47145" t="s">
        <v>39610</v>
      </c>
    </row>
    <row r="47146" spans="8:8">
      <c r="H47146" t="s">
        <v>39611</v>
      </c>
    </row>
    <row r="47147" spans="8:8">
      <c r="H47147" t="s">
        <v>39612</v>
      </c>
    </row>
    <row r="47148" spans="8:8">
      <c r="H47148" t="s">
        <v>39613</v>
      </c>
    </row>
    <row r="47149" spans="8:8">
      <c r="H47149" t="s">
        <v>39614</v>
      </c>
    </row>
    <row r="47150" spans="8:8">
      <c r="H47150" t="s">
        <v>37877</v>
      </c>
    </row>
    <row r="47151" spans="8:8">
      <c r="H47151" t="s">
        <v>37878</v>
      </c>
    </row>
    <row r="47152" spans="8:8">
      <c r="H47152" t="s">
        <v>39615</v>
      </c>
    </row>
    <row r="47153" spans="8:8">
      <c r="H47153" t="s">
        <v>37878</v>
      </c>
    </row>
    <row r="47154" spans="8:8">
      <c r="H47154" t="s">
        <v>39616</v>
      </c>
    </row>
    <row r="47155" spans="8:8">
      <c r="H47155" t="s">
        <v>37878</v>
      </c>
    </row>
    <row r="47156" spans="8:8">
      <c r="H47156" t="s">
        <v>39617</v>
      </c>
    </row>
    <row r="47157" spans="8:8">
      <c r="H47157" t="s">
        <v>37878</v>
      </c>
    </row>
    <row r="47158" spans="8:8">
      <c r="H47158" t="s">
        <v>39618</v>
      </c>
    </row>
    <row r="47159" spans="8:8">
      <c r="H47159" t="s">
        <v>37878</v>
      </c>
    </row>
    <row r="47160" spans="8:8">
      <c r="H47160" t="s">
        <v>39619</v>
      </c>
    </row>
    <row r="47161" spans="8:8">
      <c r="H47161" t="s">
        <v>37878</v>
      </c>
    </row>
    <row r="47162" spans="8:8">
      <c r="H47162" t="s">
        <v>39620</v>
      </c>
    </row>
    <row r="47163" spans="8:8">
      <c r="H47163" t="s">
        <v>37878</v>
      </c>
    </row>
    <row r="47164" spans="8:8">
      <c r="H47164" t="s">
        <v>39621</v>
      </c>
    </row>
    <row r="47165" spans="8:8">
      <c r="H47165" t="s">
        <v>37878</v>
      </c>
    </row>
    <row r="47166" spans="8:8">
      <c r="H47166" t="s">
        <v>39622</v>
      </c>
    </row>
    <row r="47167" spans="8:8">
      <c r="H47167" t="s">
        <v>37878</v>
      </c>
    </row>
    <row r="47168" spans="8:8">
      <c r="H47168" t="s">
        <v>39623</v>
      </c>
    </row>
    <row r="47169" spans="1:8">
      <c r="H47169" t="s">
        <v>37878</v>
      </c>
    </row>
    <row r="47170" spans="1:8">
      <c r="F47170" t="s">
        <v>14915</v>
      </c>
      <c r="G47170" t="s">
        <v>18754</v>
      </c>
      <c r="H47170" t="s">
        <v>26807</v>
      </c>
    </row>
    <row r="47171" spans="1:8">
      <c r="H47171" t="s">
        <v>35050</v>
      </c>
    </row>
    <row r="47172" spans="1:8">
      <c r="A47172" t="s">
        <v>4850</v>
      </c>
      <c r="B47172">
        <f>HYPERLINK("https://android.googlesource.com/platform/cts/+/809bbcb0de5e50b856016d379a500ff776149628", "809bbcb0de5e50b856016d379a500ff776149628")</f>
        <v>0</v>
      </c>
      <c r="C47172">
        <f>HYPERLINK("https://android.googlesource.com/platform/cts/+/f0c475a29f2ef8030b17601ba0eddcc94133ffc0", "f0c475a29f2ef8030b17601ba0eddcc94133ffc0")</f>
        <v>0</v>
      </c>
      <c r="D47172" t="s">
        <v>5786</v>
      </c>
      <c r="E47172" t="s">
        <v>10507</v>
      </c>
      <c r="F47172" t="s">
        <v>14791</v>
      </c>
      <c r="G47172" t="s">
        <v>18659</v>
      </c>
      <c r="H47172" t="s">
        <v>19475</v>
      </c>
    </row>
    <row r="47173" spans="1:8">
      <c r="A47173" t="s">
        <v>4851</v>
      </c>
      <c r="B47173">
        <f>HYPERLINK("https://android.googlesource.com/platform/cts/+/752cb7b2874195c9997eab3cb6797b2664a7073b", "752cb7b2874195c9997eab3cb6797b2664a7073b")</f>
        <v>0</v>
      </c>
      <c r="C47173">
        <f>HYPERLINK("https://android.googlesource.com/platform/cts/+/e9b482e3505c00147ce6ac53ce8fdc196c53d91b", "e9b482e3505c00147ce6ac53ce8fdc196c53d91b")</f>
        <v>0</v>
      </c>
      <c r="D47173" t="s">
        <v>5781</v>
      </c>
      <c r="E47173" t="s">
        <v>10508</v>
      </c>
      <c r="F47173" t="s">
        <v>14909</v>
      </c>
      <c r="G47173" t="s">
        <v>18748</v>
      </c>
      <c r="H47173" t="s">
        <v>39580</v>
      </c>
    </row>
    <row r="47174" spans="1:8">
      <c r="A47174" t="s">
        <v>4852</v>
      </c>
      <c r="B47174">
        <f>HYPERLINK("https://android.googlesource.com/platform/cts/+/eadd9425a182a586dfba43c7600c54134bf1e1f7", "eadd9425a182a586dfba43c7600c54134bf1e1f7")</f>
        <v>0</v>
      </c>
      <c r="C47174">
        <f>HYPERLINK("https://android.googlesource.com/platform/cts/+/591bf009797df5b28efd75a3b9dd5b71b19787fc", "591bf009797df5b28efd75a3b9dd5b71b19787fc")</f>
        <v>0</v>
      </c>
      <c r="D47174" t="s">
        <v>5454</v>
      </c>
      <c r="E47174" t="s">
        <v>10509</v>
      </c>
      <c r="F47174" t="s">
        <v>14261</v>
      </c>
      <c r="G47174" t="s">
        <v>18228</v>
      </c>
      <c r="H47174" t="s">
        <v>39624</v>
      </c>
    </row>
    <row r="47175" spans="1:8">
      <c r="A47175" t="s">
        <v>4856</v>
      </c>
      <c r="B47175">
        <f>HYPERLINK("https://android.googlesource.com/platform/cts/+/669de2ae2dfe1074c6fd3671e44c08c79d738654", "669de2ae2dfe1074c6fd3671e44c08c79d738654")</f>
        <v>0</v>
      </c>
      <c r="C47175">
        <f>HYPERLINK("https://android.googlesource.com/platform/cts/+/447c90745ab1d00a388e7179d1f7520159219a38", "447c90745ab1d00a388e7179d1f7520159219a38")</f>
        <v>0</v>
      </c>
      <c r="D47175" t="s">
        <v>5737</v>
      </c>
      <c r="E47175" t="s">
        <v>10512</v>
      </c>
      <c r="F47175" t="s">
        <v>14828</v>
      </c>
      <c r="G47175" t="s">
        <v>18690</v>
      </c>
      <c r="H47175" t="s">
        <v>39625</v>
      </c>
    </row>
    <row r="47176" spans="1:8">
      <c r="H47176" t="s">
        <v>39626</v>
      </c>
    </row>
    <row r="47177" spans="1:8">
      <c r="H47177" t="s">
        <v>39627</v>
      </c>
    </row>
    <row r="47178" spans="1:8">
      <c r="A47178" t="s">
        <v>4857</v>
      </c>
      <c r="B47178">
        <f>HYPERLINK("https://android.googlesource.com/platform/cts/+/aa24dbbc34a6303309633d26cbdd8a4c15cda538", "aa24dbbc34a6303309633d26cbdd8a4c15cda538")</f>
        <v>0</v>
      </c>
      <c r="C47178">
        <f>HYPERLINK("https://android.googlesource.com/platform/cts/+/dae05fd867e0b5f82a1d514a89f34ef1a6ca9f25", "dae05fd867e0b5f82a1d514a89f34ef1a6ca9f25")</f>
        <v>0</v>
      </c>
      <c r="D47178" t="s">
        <v>5754</v>
      </c>
      <c r="E47178" t="s">
        <v>10513</v>
      </c>
      <c r="F47178" t="s">
        <v>14829</v>
      </c>
      <c r="G47178" t="s">
        <v>18691</v>
      </c>
      <c r="H47178" t="s">
        <v>39628</v>
      </c>
    </row>
    <row r="47179" spans="1:8">
      <c r="A47179" t="s">
        <v>4859</v>
      </c>
      <c r="B47179">
        <f>HYPERLINK("https://android.googlesource.com/platform/cts/+/aa0f36df54524bc401a70622aaaa338a59e15442", "aa0f36df54524bc401a70622aaaa338a59e15442")</f>
        <v>0</v>
      </c>
      <c r="C47179">
        <f>HYPERLINK("https://android.googlesource.com/platform/cts/+/880ff5655a111ca411d085e588fe531acb95cab4", "880ff5655a111ca411d085e588fe531acb95cab4")</f>
        <v>0</v>
      </c>
      <c r="D47179" t="s">
        <v>5134</v>
      </c>
      <c r="E47179" t="s">
        <v>10515</v>
      </c>
      <c r="F47179" t="s">
        <v>14916</v>
      </c>
      <c r="G47179" t="s">
        <v>18755</v>
      </c>
      <c r="H47179" t="s">
        <v>39629</v>
      </c>
    </row>
    <row r="47180" spans="1:8">
      <c r="H47180" t="s">
        <v>39630</v>
      </c>
    </row>
    <row r="47181" spans="1:8">
      <c r="A47181" t="s">
        <v>4861</v>
      </c>
      <c r="B47181">
        <f>HYPERLINK("https://android.googlesource.com/platform/cts/+/ffffeb23be8f113263650fcffed6d30e163ef122", "ffffeb23be8f113263650fcffed6d30e163ef122")</f>
        <v>0</v>
      </c>
      <c r="C47181">
        <f>HYPERLINK("https://android.googlesource.com/platform/cts/+/af39c40ee5199c1eeb3dd94fcdb727d4ce2fcf45", "af39c40ee5199c1eeb3dd94fcdb727d4ce2fcf45")</f>
        <v>0</v>
      </c>
      <c r="D47181" t="s">
        <v>5787</v>
      </c>
      <c r="E47181" t="s">
        <v>10517</v>
      </c>
      <c r="F47181" t="s">
        <v>14917</v>
      </c>
      <c r="G47181" t="s">
        <v>17433</v>
      </c>
      <c r="H47181" t="s">
        <v>39631</v>
      </c>
    </row>
    <row r="47182" spans="1:8">
      <c r="H47182" t="s">
        <v>39632</v>
      </c>
    </row>
    <row r="47183" spans="1:8">
      <c r="H47183" t="s">
        <v>19029</v>
      </c>
    </row>
    <row r="47184" spans="1:8">
      <c r="A47184" t="s">
        <v>4862</v>
      </c>
      <c r="B47184">
        <f>HYPERLINK("https://android.googlesource.com/platform/cts/+/d82c8f7765ded157ed237e15a600e8740eb96bb1", "d82c8f7765ded157ed237e15a600e8740eb96bb1")</f>
        <v>0</v>
      </c>
      <c r="C47184">
        <f>HYPERLINK("https://android.googlesource.com/platform/cts/+/2d4fcdef4bdd2f2f98f98a36ddd1acfaf2938398", "2d4fcdef4bdd2f2f98f98a36ddd1acfaf2938398")</f>
        <v>0</v>
      </c>
      <c r="D47184" t="s">
        <v>5781</v>
      </c>
      <c r="E47184" t="s">
        <v>10518</v>
      </c>
      <c r="F47184" t="s">
        <v>14909</v>
      </c>
      <c r="G47184" t="s">
        <v>18748</v>
      </c>
      <c r="H47184" t="s">
        <v>39633</v>
      </c>
    </row>
    <row r="47185" spans="1:8">
      <c r="A47185" t="s">
        <v>4863</v>
      </c>
      <c r="B47185">
        <f>HYPERLINK("https://android.googlesource.com/platform/cts/+/553f235d852e023722ea87ded7667bfb662ff1d0", "553f235d852e023722ea87ded7667bfb662ff1d0")</f>
        <v>0</v>
      </c>
      <c r="C47185">
        <f>HYPERLINK("https://android.googlesource.com/platform/cts/+/beb3bb71fbab2fcce5c61a59bf191e88afe9434f", "beb3bb71fbab2fcce5c61a59bf191e88afe9434f")</f>
        <v>0</v>
      </c>
      <c r="D47185" t="s">
        <v>5788</v>
      </c>
      <c r="E47185" t="s">
        <v>10519</v>
      </c>
      <c r="F47185" t="s">
        <v>14918</v>
      </c>
      <c r="G47185" t="s">
        <v>18756</v>
      </c>
      <c r="H47185" t="s">
        <v>19981</v>
      </c>
    </row>
    <row r="47186" spans="1:8">
      <c r="H47186" t="s">
        <v>39634</v>
      </c>
    </row>
    <row r="47187" spans="1:8">
      <c r="A47187" t="s">
        <v>4864</v>
      </c>
      <c r="B47187">
        <f>HYPERLINK("https://android.googlesource.com/platform/cts/+/63d186ca77805675f77c1dfe9c962b16a8aa48f7", "63d186ca77805675f77c1dfe9c962b16a8aa48f7")</f>
        <v>0</v>
      </c>
      <c r="C47187">
        <f>HYPERLINK("https://android.googlesource.com/platform/cts/+/cd258637b1be3230174e0a52044898ff7ab0aa1a", "cd258637b1be3230174e0a52044898ff7ab0aa1a")</f>
        <v>0</v>
      </c>
      <c r="D47187" t="s">
        <v>5584</v>
      </c>
      <c r="E47187" t="s">
        <v>10520</v>
      </c>
      <c r="F47187" t="s">
        <v>14758</v>
      </c>
      <c r="G47187" t="s">
        <v>18634</v>
      </c>
      <c r="H47187" t="s">
        <v>39635</v>
      </c>
    </row>
    <row r="47188" spans="1:8">
      <c r="A47188" t="s">
        <v>4865</v>
      </c>
      <c r="B47188">
        <f>HYPERLINK("https://android.googlesource.com/platform/cts/+/4a23b0199cb0f34499905f60461dc836d2a49cce", "4a23b0199cb0f34499905f60461dc836d2a49cce")</f>
        <v>0</v>
      </c>
      <c r="C47188">
        <f>HYPERLINK("https://android.googlesource.com/platform/cts/+/7146a3d61add08da111df4d408f399bcbbb4b1d2", "7146a3d61add08da111df4d408f399bcbbb4b1d2")</f>
        <v>0</v>
      </c>
      <c r="D47188" t="s">
        <v>5789</v>
      </c>
      <c r="E47188" t="s">
        <v>10521</v>
      </c>
      <c r="F47188" t="s">
        <v>14919</v>
      </c>
      <c r="G47188" t="s">
        <v>18039</v>
      </c>
      <c r="H47188" t="s">
        <v>31202</v>
      </c>
    </row>
    <row r="47189" spans="1:8">
      <c r="H47189" t="s">
        <v>26872</v>
      </c>
    </row>
    <row r="47190" spans="1:8">
      <c r="H47190" t="s">
        <v>28511</v>
      </c>
    </row>
    <row r="47191" spans="1:8">
      <c r="H47191" t="s">
        <v>18829</v>
      </c>
    </row>
    <row r="47192" spans="1:8">
      <c r="F47192" t="s">
        <v>14920</v>
      </c>
      <c r="G47192" t="s">
        <v>16619</v>
      </c>
      <c r="H47192" t="s">
        <v>18829</v>
      </c>
    </row>
    <row r="47193" spans="1:8">
      <c r="H47193" t="s">
        <v>18863</v>
      </c>
    </row>
    <row r="47194" spans="1:8">
      <c r="H47194" t="s">
        <v>30514</v>
      </c>
    </row>
    <row r="47195" spans="1:8">
      <c r="H47195" t="s">
        <v>30514</v>
      </c>
    </row>
    <row r="47196" spans="1:8">
      <c r="H47196" t="s">
        <v>30514</v>
      </c>
    </row>
    <row r="47197" spans="1:8">
      <c r="H47197" t="s">
        <v>39636</v>
      </c>
    </row>
    <row r="47198" spans="1:8">
      <c r="H47198" t="s">
        <v>39637</v>
      </c>
    </row>
    <row r="47199" spans="1:8">
      <c r="H47199" t="s">
        <v>39638</v>
      </c>
    </row>
    <row r="47200" spans="1:8">
      <c r="H47200" t="s">
        <v>39639</v>
      </c>
    </row>
    <row r="47201" spans="8:8">
      <c r="H47201" t="s">
        <v>19905</v>
      </c>
    </row>
    <row r="47202" spans="8:8">
      <c r="H47202" t="s">
        <v>19905</v>
      </c>
    </row>
    <row r="47203" spans="8:8">
      <c r="H47203" t="s">
        <v>22588</v>
      </c>
    </row>
    <row r="47204" spans="8:8">
      <c r="H47204" t="s">
        <v>39640</v>
      </c>
    </row>
    <row r="47205" spans="8:8">
      <c r="H47205" t="s">
        <v>39641</v>
      </c>
    </row>
    <row r="47206" spans="8:8">
      <c r="H47206" t="s">
        <v>22591</v>
      </c>
    </row>
    <row r="47207" spans="8:8">
      <c r="H47207" t="s">
        <v>22591</v>
      </c>
    </row>
    <row r="47208" spans="8:8">
      <c r="H47208" t="s">
        <v>22591</v>
      </c>
    </row>
    <row r="47209" spans="8:8">
      <c r="H47209" t="s">
        <v>39642</v>
      </c>
    </row>
    <row r="47210" spans="8:8">
      <c r="H47210" t="s">
        <v>33983</v>
      </c>
    </row>
    <row r="47211" spans="8:8">
      <c r="H47211" t="s">
        <v>39643</v>
      </c>
    </row>
    <row r="47212" spans="8:8">
      <c r="H47212" t="s">
        <v>39644</v>
      </c>
    </row>
    <row r="47213" spans="8:8">
      <c r="H47213" t="s">
        <v>39645</v>
      </c>
    </row>
    <row r="47214" spans="8:8">
      <c r="H47214" t="s">
        <v>25777</v>
      </c>
    </row>
    <row r="47215" spans="8:8">
      <c r="H47215" t="s">
        <v>39646</v>
      </c>
    </row>
    <row r="47216" spans="8:8">
      <c r="H47216" t="s">
        <v>36172</v>
      </c>
    </row>
    <row r="47217" spans="6:8">
      <c r="H47217" t="s">
        <v>39647</v>
      </c>
    </row>
    <row r="47218" spans="6:8">
      <c r="H47218" t="s">
        <v>39648</v>
      </c>
    </row>
    <row r="47219" spans="6:8">
      <c r="H47219" t="s">
        <v>39649</v>
      </c>
    </row>
    <row r="47220" spans="6:8">
      <c r="H47220" t="s">
        <v>39650</v>
      </c>
    </row>
    <row r="47221" spans="6:8">
      <c r="H47221" t="s">
        <v>39651</v>
      </c>
    </row>
    <row r="47222" spans="6:8">
      <c r="H47222" t="s">
        <v>39651</v>
      </c>
    </row>
    <row r="47223" spans="6:8">
      <c r="H47223" t="s">
        <v>39652</v>
      </c>
    </row>
    <row r="47224" spans="6:8">
      <c r="F47224" t="s">
        <v>14921</v>
      </c>
      <c r="G47224" t="s">
        <v>16935</v>
      </c>
      <c r="H47224" t="s">
        <v>18863</v>
      </c>
    </row>
    <row r="47225" spans="6:8">
      <c r="H47225" t="s">
        <v>30571</v>
      </c>
    </row>
    <row r="47226" spans="6:8">
      <c r="H47226" t="s">
        <v>36514</v>
      </c>
    </row>
    <row r="47227" spans="6:8">
      <c r="H47227" t="s">
        <v>36514</v>
      </c>
    </row>
    <row r="47228" spans="6:8">
      <c r="H47228" t="s">
        <v>39653</v>
      </c>
    </row>
    <row r="47229" spans="6:8">
      <c r="H47229" t="s">
        <v>39653</v>
      </c>
    </row>
    <row r="47230" spans="6:8">
      <c r="H47230" t="s">
        <v>39653</v>
      </c>
    </row>
    <row r="47231" spans="6:8">
      <c r="H47231" t="s">
        <v>39653</v>
      </c>
    </row>
    <row r="47232" spans="6:8">
      <c r="F47232" t="s">
        <v>14922</v>
      </c>
      <c r="G47232" t="s">
        <v>17370</v>
      </c>
      <c r="H47232" t="s">
        <v>18829</v>
      </c>
    </row>
    <row r="47233" spans="6:8">
      <c r="H47233" t="s">
        <v>18863</v>
      </c>
    </row>
    <row r="47234" spans="6:8">
      <c r="H47234" t="s">
        <v>30571</v>
      </c>
    </row>
    <row r="47235" spans="6:8">
      <c r="H47235" t="s">
        <v>22591</v>
      </c>
    </row>
    <row r="47236" spans="6:8">
      <c r="H47236" t="s">
        <v>39653</v>
      </c>
    </row>
    <row r="47237" spans="6:8">
      <c r="F47237" t="s">
        <v>14923</v>
      </c>
      <c r="G47237" t="s">
        <v>18757</v>
      </c>
      <c r="H47237" t="s">
        <v>39654</v>
      </c>
    </row>
    <row r="47238" spans="6:8">
      <c r="H47238" t="s">
        <v>18829</v>
      </c>
    </row>
    <row r="47239" spans="6:8">
      <c r="H47239" t="s">
        <v>18863</v>
      </c>
    </row>
    <row r="47240" spans="6:8">
      <c r="H47240" t="s">
        <v>39655</v>
      </c>
    </row>
    <row r="47241" spans="6:8">
      <c r="H47241" t="s">
        <v>39656</v>
      </c>
    </row>
    <row r="47242" spans="6:8">
      <c r="H47242" t="s">
        <v>39657</v>
      </c>
    </row>
    <row r="47243" spans="6:8">
      <c r="H47243" t="s">
        <v>39658</v>
      </c>
    </row>
    <row r="47244" spans="6:8">
      <c r="H47244" t="s">
        <v>34029</v>
      </c>
    </row>
    <row r="47245" spans="6:8">
      <c r="H47245" t="s">
        <v>39659</v>
      </c>
    </row>
    <row r="47246" spans="6:8">
      <c r="H47246" t="s">
        <v>39660</v>
      </c>
    </row>
    <row r="47247" spans="6:8">
      <c r="H47247" t="s">
        <v>39661</v>
      </c>
    </row>
    <row r="47248" spans="6:8">
      <c r="H47248" t="s">
        <v>39662</v>
      </c>
    </row>
    <row r="47249" spans="1:8">
      <c r="H47249" t="s">
        <v>39662</v>
      </c>
    </row>
    <row r="47250" spans="1:8">
      <c r="H47250" t="s">
        <v>39663</v>
      </c>
    </row>
    <row r="47251" spans="1:8">
      <c r="H47251" t="s">
        <v>39664</v>
      </c>
    </row>
    <row r="47252" spans="1:8">
      <c r="H47252" t="s">
        <v>30511</v>
      </c>
    </row>
    <row r="47253" spans="1:8">
      <c r="H47253" t="s">
        <v>39665</v>
      </c>
    </row>
    <row r="47254" spans="1:8">
      <c r="A47254" t="s">
        <v>4866</v>
      </c>
      <c r="B47254">
        <f>HYPERLINK("https://android.googlesource.com/platform/cts/+/f6f3be5516a9cccb2d2a548cc2d74f969300cebc", "f6f3be5516a9cccb2d2a548cc2d74f969300cebc")</f>
        <v>0</v>
      </c>
      <c r="C47254">
        <f>HYPERLINK("https://android.googlesource.com/platform/cts/+/9c0666911e54e41013d17ae95bdea22e0c4c975f", "9c0666911e54e41013d17ae95bdea22e0c4c975f")</f>
        <v>0</v>
      </c>
      <c r="D47254" t="s">
        <v>5790</v>
      </c>
      <c r="E47254" t="s">
        <v>10522</v>
      </c>
      <c r="F47254" t="s">
        <v>14237</v>
      </c>
      <c r="G47254" t="s">
        <v>18207</v>
      </c>
      <c r="H47254" t="s">
        <v>39666</v>
      </c>
    </row>
    <row r="47255" spans="1:8">
      <c r="A47255" t="s">
        <v>4867</v>
      </c>
      <c r="B47255">
        <f>HYPERLINK("https://android.googlesource.com/platform/cts/+/9dc7cd0a2f189045a91a4a927110e57689a7c454", "9dc7cd0a2f189045a91a4a927110e57689a7c454")</f>
        <v>0</v>
      </c>
      <c r="C47255">
        <f>HYPERLINK("https://android.googlesource.com/platform/cts/+/062dc82b29aebceb052bfd81a40a10c617f2d3d1", "062dc82b29aebceb052bfd81a40a10c617f2d3d1")</f>
        <v>0</v>
      </c>
      <c r="D47255" t="s">
        <v>5791</v>
      </c>
      <c r="E47255" t="s">
        <v>10523</v>
      </c>
      <c r="F47255" t="s">
        <v>12959</v>
      </c>
      <c r="G47255" t="s">
        <v>17123</v>
      </c>
      <c r="H47255" t="s">
        <v>39667</v>
      </c>
    </row>
    <row r="47256" spans="1:8">
      <c r="A47256" t="s">
        <v>4868</v>
      </c>
      <c r="B47256">
        <f>HYPERLINK("https://android.googlesource.com/platform/cts/+/ef858765282cd4906706496e5c34897fa1fb35ff", "ef858765282cd4906706496e5c34897fa1fb35ff")</f>
        <v>0</v>
      </c>
      <c r="C47256">
        <f>HYPERLINK("https://android.googlesource.com/platform/cts/+/53638b6d0edf82657c538b693febbc52e5083cf8", "53638b6d0edf82657c538b693febbc52e5083cf8")</f>
        <v>0</v>
      </c>
      <c r="D47256" t="s">
        <v>5792</v>
      </c>
      <c r="E47256" t="s">
        <v>10524</v>
      </c>
      <c r="F47256" t="s">
        <v>14677</v>
      </c>
      <c r="G47256" t="s">
        <v>18533</v>
      </c>
      <c r="H47256" t="s">
        <v>37047</v>
      </c>
    </row>
    <row r="47257" spans="1:8">
      <c r="A47257" t="s">
        <v>4869</v>
      </c>
      <c r="B47257">
        <f>HYPERLINK("https://android.googlesource.com/platform/cts/+/2bdf737a3f697e394d5a5ee53c17180ac4d81ca5", "2bdf737a3f697e394d5a5ee53c17180ac4d81ca5")</f>
        <v>0</v>
      </c>
      <c r="C47257">
        <f>HYPERLINK("https://android.googlesource.com/platform/cts/+/12d861ce749ea2c78e7fbe3c9db756d04a1e0ae7", "12d861ce749ea2c78e7fbe3c9db756d04a1e0ae7")</f>
        <v>0</v>
      </c>
      <c r="D47257" t="s">
        <v>5635</v>
      </c>
      <c r="E47257" t="s">
        <v>10525</v>
      </c>
      <c r="F47257" t="s">
        <v>13990</v>
      </c>
      <c r="G47257" t="s">
        <v>18009</v>
      </c>
      <c r="H47257" t="s">
        <v>39668</v>
      </c>
    </row>
    <row r="47258" spans="1:8">
      <c r="H47258" t="s">
        <v>39669</v>
      </c>
    </row>
    <row r="47259" spans="1:8">
      <c r="A47259" t="s">
        <v>4870</v>
      </c>
      <c r="B47259">
        <f>HYPERLINK("https://android.googlesource.com/platform/cts/+/80adcadd6878586d857bec8922e2726be03a58f7", "80adcadd6878586d857bec8922e2726be03a58f7")</f>
        <v>0</v>
      </c>
      <c r="C47259">
        <f>HYPERLINK("https://android.googlesource.com/platform/cts/+/85477b89e9699cc28400621f39615fd9cbcbd848", "85477b89e9699cc28400621f39615fd9cbcbd848")</f>
        <v>0</v>
      </c>
      <c r="D47259" t="s">
        <v>5737</v>
      </c>
      <c r="E47259" t="s">
        <v>10526</v>
      </c>
      <c r="F47259" t="s">
        <v>14828</v>
      </c>
      <c r="G47259" t="s">
        <v>18690</v>
      </c>
      <c r="H47259" t="s">
        <v>39670</v>
      </c>
    </row>
    <row r="47260" spans="1:8">
      <c r="H47260" t="s">
        <v>39670</v>
      </c>
    </row>
    <row r="47261" spans="1:8">
      <c r="H47261" t="s">
        <v>39671</v>
      </c>
    </row>
    <row r="47262" spans="1:8">
      <c r="A47262" t="s">
        <v>4871</v>
      </c>
      <c r="B47262">
        <f>HYPERLINK("https://android.googlesource.com/platform/cts/+/26913bfa31a2ebd0a9ea90e2d778b46c95902afb", "26913bfa31a2ebd0a9ea90e2d778b46c95902afb")</f>
        <v>0</v>
      </c>
      <c r="C47262">
        <f>HYPERLINK("https://android.googlesource.com/platform/cts/+/d436c836c5fdf36bb93c0c6f7c225700d1db7c6e", "d436c836c5fdf36bb93c0c6f7c225700d1db7c6e")</f>
        <v>0</v>
      </c>
      <c r="D47262" t="s">
        <v>5793</v>
      </c>
      <c r="E47262" t="s">
        <v>10527</v>
      </c>
      <c r="F47262" t="s">
        <v>14908</v>
      </c>
      <c r="G47262" t="s">
        <v>16631</v>
      </c>
      <c r="H47262" t="s">
        <v>39672</v>
      </c>
    </row>
    <row r="47263" spans="1:8">
      <c r="A47263" t="s">
        <v>4872</v>
      </c>
      <c r="B47263">
        <f>HYPERLINK("https://android.googlesource.com/platform/cts/+/1975fdffb112c8e074f9cc2fa0cac6521d237f7f", "1975fdffb112c8e074f9cc2fa0cac6521d237f7f")</f>
        <v>0</v>
      </c>
      <c r="C47263">
        <f>HYPERLINK("https://android.googlesource.com/platform/cts/+/212b209bcbce8ab012d1734f283de74850a5ad9d", "212b209bcbce8ab012d1734f283de74850a5ad9d")</f>
        <v>0</v>
      </c>
      <c r="D47263" t="s">
        <v>5794</v>
      </c>
      <c r="E47263" t="s">
        <v>10528</v>
      </c>
      <c r="F47263" t="s">
        <v>14813</v>
      </c>
      <c r="G47263" t="s">
        <v>18677</v>
      </c>
      <c r="H47263" t="s">
        <v>18829</v>
      </c>
    </row>
    <row r="47264" spans="1:8">
      <c r="H47264" t="s">
        <v>18863</v>
      </c>
    </row>
    <row r="47265" spans="1:8">
      <c r="H47265" t="s">
        <v>39673</v>
      </c>
    </row>
    <row r="47266" spans="1:8">
      <c r="H47266" t="s">
        <v>39674</v>
      </c>
    </row>
    <row r="47267" spans="1:8">
      <c r="H47267" t="s">
        <v>39675</v>
      </c>
    </row>
    <row r="47268" spans="1:8">
      <c r="H47268" t="s">
        <v>39014</v>
      </c>
    </row>
    <row r="47269" spans="1:8">
      <c r="H47269" t="s">
        <v>39676</v>
      </c>
    </row>
    <row r="47270" spans="1:8">
      <c r="H47270" t="s">
        <v>39677</v>
      </c>
    </row>
    <row r="47271" spans="1:8">
      <c r="H47271" t="s">
        <v>31415</v>
      </c>
    </row>
    <row r="47272" spans="1:8">
      <c r="H47272" t="s">
        <v>28391</v>
      </c>
    </row>
    <row r="47273" spans="1:8">
      <c r="H47273" t="s">
        <v>21360</v>
      </c>
    </row>
    <row r="47274" spans="1:8">
      <c r="H47274" t="s">
        <v>39678</v>
      </c>
    </row>
    <row r="47275" spans="1:8">
      <c r="H47275" t="s">
        <v>39679</v>
      </c>
    </row>
    <row r="47276" spans="1:8">
      <c r="F47276" t="s">
        <v>14924</v>
      </c>
      <c r="G47276" t="s">
        <v>18758</v>
      </c>
      <c r="H47276" t="s">
        <v>39680</v>
      </c>
    </row>
    <row r="47277" spans="1:8">
      <c r="F47277" t="s">
        <v>14925</v>
      </c>
      <c r="G47277" t="s">
        <v>18759</v>
      </c>
      <c r="H47277" t="s">
        <v>39681</v>
      </c>
    </row>
    <row r="47278" spans="1:8">
      <c r="F47278" t="s">
        <v>14926</v>
      </c>
      <c r="G47278" t="s">
        <v>18760</v>
      </c>
      <c r="H47278" t="s">
        <v>39682</v>
      </c>
    </row>
    <row r="47279" spans="1:8">
      <c r="A47279" t="s">
        <v>4874</v>
      </c>
      <c r="B47279">
        <f>HYPERLINK("https://android.googlesource.com/platform/cts/+/8f87a4852892039e8aeb3e3d566e557a6efe56f9", "8f87a4852892039e8aeb3e3d566e557a6efe56f9")</f>
        <v>0</v>
      </c>
      <c r="C47279">
        <f>HYPERLINK("https://android.googlesource.com/platform/cts/+/149dfa71dc0a183b03453764e2b8f6bf988b7747", "149dfa71dc0a183b03453764e2b8f6bf988b7747")</f>
        <v>0</v>
      </c>
      <c r="D47279" t="s">
        <v>5781</v>
      </c>
      <c r="E47279" t="s">
        <v>10530</v>
      </c>
      <c r="F47279" t="s">
        <v>14909</v>
      </c>
      <c r="G47279" t="s">
        <v>18748</v>
      </c>
      <c r="H47279" t="s">
        <v>39633</v>
      </c>
    </row>
    <row r="47280" spans="1:8">
      <c r="A47280" t="s">
        <v>4875</v>
      </c>
      <c r="B47280">
        <f>HYPERLINK("https://android.googlesource.com/platform/cts/+/73980fea0b7accb51cda5f5b72521ab9c9a02086", "73980fea0b7accb51cda5f5b72521ab9c9a02086")</f>
        <v>0</v>
      </c>
      <c r="C47280">
        <f>HYPERLINK("https://android.googlesource.com/platform/cts/+/4a60e12c0d8e25b3933d31f4b90fc53538c63900", "4a60e12c0d8e25b3933d31f4b90fc53538c63900")</f>
        <v>0</v>
      </c>
      <c r="D47280" t="s">
        <v>5564</v>
      </c>
      <c r="E47280" t="s">
        <v>10531</v>
      </c>
      <c r="F47280" t="s">
        <v>14892</v>
      </c>
      <c r="G47280" t="s">
        <v>16415</v>
      </c>
      <c r="H47280" t="s">
        <v>18863</v>
      </c>
    </row>
    <row r="47281" spans="8:8">
      <c r="H47281" t="s">
        <v>39683</v>
      </c>
    </row>
    <row r="47282" spans="8:8">
      <c r="H47282" t="s">
        <v>39684</v>
      </c>
    </row>
    <row r="47283" spans="8:8">
      <c r="H47283" t="s">
        <v>39685</v>
      </c>
    </row>
    <row r="47284" spans="8:8">
      <c r="H47284" t="s">
        <v>39686</v>
      </c>
    </row>
    <row r="47285" spans="8:8">
      <c r="H47285" t="s">
        <v>39687</v>
      </c>
    </row>
    <row r="47286" spans="8:8">
      <c r="H47286" t="s">
        <v>39688</v>
      </c>
    </row>
    <row r="47287" spans="8:8">
      <c r="H47287" t="s">
        <v>39689</v>
      </c>
    </row>
    <row r="47288" spans="8:8">
      <c r="H47288" t="s">
        <v>39690</v>
      </c>
    </row>
    <row r="47289" spans="8:8">
      <c r="H47289" t="s">
        <v>39691</v>
      </c>
    </row>
    <row r="47290" spans="8:8">
      <c r="H47290" t="s">
        <v>39692</v>
      </c>
    </row>
    <row r="47291" spans="8:8">
      <c r="H47291" t="s">
        <v>39693</v>
      </c>
    </row>
    <row r="47292" spans="8:8">
      <c r="H47292" t="s">
        <v>39694</v>
      </c>
    </row>
    <row r="47293" spans="8:8">
      <c r="H47293" t="s">
        <v>39695</v>
      </c>
    </row>
    <row r="47294" spans="8:8">
      <c r="H47294" t="s">
        <v>36828</v>
      </c>
    </row>
    <row r="47295" spans="8:8">
      <c r="H47295" t="s">
        <v>36829</v>
      </c>
    </row>
    <row r="47296" spans="8:8">
      <c r="H47296" t="s">
        <v>36830</v>
      </c>
    </row>
    <row r="47297" spans="8:8">
      <c r="H47297" t="s">
        <v>36831</v>
      </c>
    </row>
    <row r="47298" spans="8:8">
      <c r="H47298" t="s">
        <v>39696</v>
      </c>
    </row>
    <row r="47299" spans="8:8">
      <c r="H47299" t="s">
        <v>39697</v>
      </c>
    </row>
    <row r="47300" spans="8:8">
      <c r="H47300" t="s">
        <v>39698</v>
      </c>
    </row>
    <row r="47301" spans="8:8">
      <c r="H47301" t="s">
        <v>39699</v>
      </c>
    </row>
    <row r="47302" spans="8:8">
      <c r="H47302" t="s">
        <v>39700</v>
      </c>
    </row>
    <row r="47303" spans="8:8">
      <c r="H47303" t="s">
        <v>39701</v>
      </c>
    </row>
    <row r="47304" spans="8:8">
      <c r="H47304" t="s">
        <v>39702</v>
      </c>
    </row>
    <row r="47305" spans="8:8">
      <c r="H47305" t="s">
        <v>39703</v>
      </c>
    </row>
    <row r="47306" spans="8:8">
      <c r="H47306" t="s">
        <v>37255</v>
      </c>
    </row>
    <row r="47307" spans="8:8">
      <c r="H47307" t="s">
        <v>37256</v>
      </c>
    </row>
    <row r="47308" spans="8:8">
      <c r="H47308" t="s">
        <v>37257</v>
      </c>
    </row>
    <row r="47309" spans="8:8">
      <c r="H47309" t="s">
        <v>37258</v>
      </c>
    </row>
    <row r="47310" spans="8:8">
      <c r="H47310" t="s">
        <v>39704</v>
      </c>
    </row>
    <row r="47311" spans="8:8">
      <c r="H47311" t="s">
        <v>39705</v>
      </c>
    </row>
    <row r="47312" spans="8:8">
      <c r="H47312" t="s">
        <v>39706</v>
      </c>
    </row>
    <row r="47313" spans="1:8">
      <c r="H47313" t="s">
        <v>39707</v>
      </c>
    </row>
    <row r="47314" spans="1:8">
      <c r="H47314" t="s">
        <v>39708</v>
      </c>
    </row>
    <row r="47315" spans="1:8">
      <c r="H47315" t="s">
        <v>39709</v>
      </c>
    </row>
    <row r="47316" spans="1:8">
      <c r="H47316" t="s">
        <v>39710</v>
      </c>
    </row>
    <row r="47317" spans="1:8">
      <c r="H47317" t="s">
        <v>39711</v>
      </c>
    </row>
    <row r="47318" spans="1:8">
      <c r="H47318" t="s">
        <v>37263</v>
      </c>
    </row>
    <row r="47319" spans="1:8">
      <c r="A47319" t="s">
        <v>4876</v>
      </c>
      <c r="B47319">
        <f>HYPERLINK("https://android.googlesource.com/platform/cts/+/59692afee25bb600ce2c1825ab8b87cde232d314", "59692afee25bb600ce2c1825ab8b87cde232d314")</f>
        <v>0</v>
      </c>
      <c r="C47319">
        <f>HYPERLINK("https://android.googlesource.com/platform/cts/+/4b57f8d6f02f05585c414285308144f52286a239", "4b57f8d6f02f05585c414285308144f52286a239")</f>
        <v>0</v>
      </c>
      <c r="D47319" t="s">
        <v>5795</v>
      </c>
      <c r="E47319" t="s">
        <v>10532</v>
      </c>
      <c r="F47319" t="s">
        <v>14927</v>
      </c>
      <c r="G47319" t="s">
        <v>18761</v>
      </c>
      <c r="H47319" t="s">
        <v>34405</v>
      </c>
    </row>
    <row r="47320" spans="1:8">
      <c r="H47320" t="s">
        <v>31879</v>
      </c>
    </row>
    <row r="47321" spans="1:8">
      <c r="H47321" t="s">
        <v>32363</v>
      </c>
    </row>
    <row r="47322" spans="1:8">
      <c r="H47322" t="s">
        <v>39712</v>
      </c>
    </row>
    <row r="47323" spans="1:8">
      <c r="H47323" t="s">
        <v>39713</v>
      </c>
    </row>
    <row r="47324" spans="1:8">
      <c r="H47324" t="s">
        <v>39714</v>
      </c>
    </row>
    <row r="47325" spans="1:8">
      <c r="H47325" t="s">
        <v>39715</v>
      </c>
    </row>
    <row r="47326" spans="1:8">
      <c r="H47326" t="s">
        <v>39716</v>
      </c>
    </row>
    <row r="47327" spans="1:8">
      <c r="H47327" t="s">
        <v>39717</v>
      </c>
    </row>
    <row r="47328" spans="1:8">
      <c r="H47328" t="s">
        <v>39718</v>
      </c>
    </row>
    <row r="47329" spans="1:8">
      <c r="A47329" t="s">
        <v>4877</v>
      </c>
      <c r="B47329">
        <f>HYPERLINK("https://android.googlesource.com/platform/cts/+/794d1bc77887216cc065ec56a23c6ce5075f09c4", "794d1bc77887216cc065ec56a23c6ce5075f09c4")</f>
        <v>0</v>
      </c>
      <c r="C47329">
        <f>HYPERLINK("https://android.googlesource.com/platform/cts/+/412589a65c830025ca0eb25be1082b4bedbc2d44", "412589a65c830025ca0eb25be1082b4bedbc2d44")</f>
        <v>0</v>
      </c>
      <c r="D47329" t="s">
        <v>5794</v>
      </c>
      <c r="E47329" t="s">
        <v>10533</v>
      </c>
      <c r="F47329" t="s">
        <v>14813</v>
      </c>
      <c r="G47329" t="s">
        <v>18677</v>
      </c>
      <c r="H47329" t="s">
        <v>18829</v>
      </c>
    </row>
    <row r="47330" spans="1:8">
      <c r="H47330" t="s">
        <v>18863</v>
      </c>
    </row>
    <row r="47331" spans="1:8">
      <c r="H47331" t="s">
        <v>39673</v>
      </c>
    </row>
    <row r="47332" spans="1:8">
      <c r="H47332" t="s">
        <v>39674</v>
      </c>
    </row>
    <row r="47333" spans="1:8">
      <c r="H47333" t="s">
        <v>39675</v>
      </c>
    </row>
    <row r="47334" spans="1:8">
      <c r="H47334" t="s">
        <v>39014</v>
      </c>
    </row>
    <row r="47335" spans="1:8">
      <c r="H47335" t="s">
        <v>39676</v>
      </c>
    </row>
    <row r="47336" spans="1:8">
      <c r="H47336" t="s">
        <v>39677</v>
      </c>
    </row>
    <row r="47337" spans="1:8">
      <c r="H47337" t="s">
        <v>31415</v>
      </c>
    </row>
    <row r="47338" spans="1:8">
      <c r="H47338" t="s">
        <v>28391</v>
      </c>
    </row>
    <row r="47339" spans="1:8">
      <c r="H47339" t="s">
        <v>21360</v>
      </c>
    </row>
    <row r="47340" spans="1:8">
      <c r="H47340" t="s">
        <v>39678</v>
      </c>
    </row>
    <row r="47341" spans="1:8">
      <c r="H47341" t="s">
        <v>39679</v>
      </c>
    </row>
    <row r="47342" spans="1:8">
      <c r="F47342" t="s">
        <v>14924</v>
      </c>
      <c r="G47342" t="s">
        <v>18758</v>
      </c>
      <c r="H47342" t="s">
        <v>39680</v>
      </c>
    </row>
    <row r="47343" spans="1:8">
      <c r="F47343" t="s">
        <v>14925</v>
      </c>
      <c r="G47343" t="s">
        <v>18759</v>
      </c>
      <c r="H47343" t="s">
        <v>39681</v>
      </c>
    </row>
    <row r="47344" spans="1:8">
      <c r="F47344" t="s">
        <v>14926</v>
      </c>
      <c r="G47344" t="s">
        <v>18760</v>
      </c>
      <c r="H47344" t="s">
        <v>39682</v>
      </c>
    </row>
    <row r="47345" spans="1:8">
      <c r="A47345" t="s">
        <v>4878</v>
      </c>
      <c r="B47345">
        <f>HYPERLINK("https://android.googlesource.com/platform/cts/+/24acbee2c3b460cfbd0de035eb46351d9307a583", "24acbee2c3b460cfbd0de035eb46351d9307a583")</f>
        <v>0</v>
      </c>
      <c r="C47345">
        <f>HYPERLINK("https://android.googlesource.com/platform/cts/+/73980fea0b7accb51cda5f5b72521ab9c9a02086", "73980fea0b7accb51cda5f5b72521ab9c9a02086")</f>
        <v>0</v>
      </c>
      <c r="D47345" t="s">
        <v>5753</v>
      </c>
      <c r="E47345" t="s">
        <v>10534</v>
      </c>
      <c r="F47345" t="s">
        <v>14928</v>
      </c>
      <c r="G47345" t="s">
        <v>18762</v>
      </c>
      <c r="H47345" t="s">
        <v>18829</v>
      </c>
    </row>
    <row r="47346" spans="1:8">
      <c r="H47346" t="s">
        <v>18863</v>
      </c>
    </row>
    <row r="47347" spans="1:8">
      <c r="H47347" t="s">
        <v>39683</v>
      </c>
    </row>
    <row r="47348" spans="1:8">
      <c r="H47348" t="s">
        <v>39684</v>
      </c>
    </row>
    <row r="47349" spans="1:8">
      <c r="H47349" t="s">
        <v>39685</v>
      </c>
    </row>
    <row r="47350" spans="1:8">
      <c r="H47350" t="s">
        <v>39686</v>
      </c>
    </row>
    <row r="47351" spans="1:8">
      <c r="H47351" t="s">
        <v>39687</v>
      </c>
    </row>
    <row r="47352" spans="1:8">
      <c r="H47352" t="s">
        <v>39688</v>
      </c>
    </row>
    <row r="47353" spans="1:8">
      <c r="H47353" t="s">
        <v>39689</v>
      </c>
    </row>
    <row r="47354" spans="1:8">
      <c r="H47354" t="s">
        <v>39690</v>
      </c>
    </row>
    <row r="47355" spans="1:8">
      <c r="H47355" t="s">
        <v>39691</v>
      </c>
    </row>
    <row r="47356" spans="1:8">
      <c r="H47356" t="s">
        <v>39692</v>
      </c>
    </row>
    <row r="47357" spans="1:8">
      <c r="H47357" t="s">
        <v>39693</v>
      </c>
    </row>
    <row r="47358" spans="1:8">
      <c r="H47358" t="s">
        <v>39694</v>
      </c>
    </row>
    <row r="47359" spans="1:8">
      <c r="H47359" t="s">
        <v>39695</v>
      </c>
    </row>
    <row r="47360" spans="1:8">
      <c r="H47360" t="s">
        <v>36828</v>
      </c>
    </row>
    <row r="47361" spans="8:8">
      <c r="H47361" t="s">
        <v>36829</v>
      </c>
    </row>
    <row r="47362" spans="8:8">
      <c r="H47362" t="s">
        <v>36830</v>
      </c>
    </row>
    <row r="47363" spans="8:8">
      <c r="H47363" t="s">
        <v>36831</v>
      </c>
    </row>
    <row r="47364" spans="8:8">
      <c r="H47364" t="s">
        <v>39696</v>
      </c>
    </row>
    <row r="47365" spans="8:8">
      <c r="H47365" t="s">
        <v>39697</v>
      </c>
    </row>
    <row r="47366" spans="8:8">
      <c r="H47366" t="s">
        <v>39698</v>
      </c>
    </row>
    <row r="47367" spans="8:8">
      <c r="H47367" t="s">
        <v>39699</v>
      </c>
    </row>
    <row r="47368" spans="8:8">
      <c r="H47368" t="s">
        <v>39700</v>
      </c>
    </row>
    <row r="47369" spans="8:8">
      <c r="H47369" t="s">
        <v>39701</v>
      </c>
    </row>
    <row r="47370" spans="8:8">
      <c r="H47370" t="s">
        <v>39702</v>
      </c>
    </row>
    <row r="47371" spans="8:8">
      <c r="H47371" t="s">
        <v>39703</v>
      </c>
    </row>
    <row r="47372" spans="8:8">
      <c r="H47372" t="s">
        <v>37255</v>
      </c>
    </row>
    <row r="47373" spans="8:8">
      <c r="H47373" t="s">
        <v>37256</v>
      </c>
    </row>
    <row r="47374" spans="8:8">
      <c r="H47374" t="s">
        <v>37257</v>
      </c>
    </row>
    <row r="47375" spans="8:8">
      <c r="H47375" t="s">
        <v>37258</v>
      </c>
    </row>
    <row r="47376" spans="8:8">
      <c r="H47376" t="s">
        <v>39704</v>
      </c>
    </row>
    <row r="47377" spans="1:8">
      <c r="H47377" t="s">
        <v>39705</v>
      </c>
    </row>
    <row r="47378" spans="1:8">
      <c r="H47378" t="s">
        <v>39706</v>
      </c>
    </row>
    <row r="47379" spans="1:8">
      <c r="H47379" t="s">
        <v>39707</v>
      </c>
    </row>
    <row r="47380" spans="1:8">
      <c r="H47380" t="s">
        <v>39708</v>
      </c>
    </row>
    <row r="47381" spans="1:8">
      <c r="H47381" t="s">
        <v>39709</v>
      </c>
    </row>
    <row r="47382" spans="1:8">
      <c r="H47382" t="s">
        <v>39710</v>
      </c>
    </row>
    <row r="47383" spans="1:8">
      <c r="H47383" t="s">
        <v>39711</v>
      </c>
    </row>
    <row r="47384" spans="1:8">
      <c r="H47384" t="s">
        <v>37263</v>
      </c>
    </row>
    <row r="47385" spans="1:8">
      <c r="A47385" t="s">
        <v>4879</v>
      </c>
      <c r="B47385">
        <f>HYPERLINK("https://android.googlesource.com/platform/cts/+/10e1aab497dfea73f91f158d406e83e125f4a3a3", "10e1aab497dfea73f91f158d406e83e125f4a3a3")</f>
        <v>0</v>
      </c>
      <c r="C47385">
        <f>HYPERLINK("https://android.googlesource.com/platform/cts/+/0fd43d503bf555e8965116d8a84d2958d533dbce", "0fd43d503bf555e8965116d8a84d2958d533dbce")</f>
        <v>0</v>
      </c>
      <c r="D47385" t="s">
        <v>5444</v>
      </c>
      <c r="E47385" t="s">
        <v>10535</v>
      </c>
      <c r="F47385" t="s">
        <v>13417</v>
      </c>
      <c r="G47385" t="s">
        <v>17543</v>
      </c>
      <c r="H47385" t="s">
        <v>39719</v>
      </c>
    </row>
    <row r="47386" spans="1:8">
      <c r="A47386" t="s">
        <v>4880</v>
      </c>
      <c r="B47386">
        <f>HYPERLINK("https://android.googlesource.com/platform/cts/+/58240e3fbe88a8a57299267c59a9da226b1ed807", "58240e3fbe88a8a57299267c59a9da226b1ed807")</f>
        <v>0</v>
      </c>
      <c r="C47386">
        <f>HYPERLINK("https://android.googlesource.com/platform/cts/+/0840af3ce6188fc72fa13d32984674a9e3ad054c", "0840af3ce6188fc72fa13d32984674a9e3ad054c")</f>
        <v>0</v>
      </c>
      <c r="D47386" t="s">
        <v>5564</v>
      </c>
      <c r="E47386" t="s">
        <v>10536</v>
      </c>
      <c r="F47386" t="s">
        <v>14721</v>
      </c>
      <c r="G47386" t="s">
        <v>17815</v>
      </c>
      <c r="H47386" t="s">
        <v>19034</v>
      </c>
    </row>
    <row r="47387" spans="1:8">
      <c r="A47387" t="s">
        <v>4881</v>
      </c>
      <c r="B47387">
        <f>HYPERLINK("https://android.googlesource.com/platform/cts/+/d3eff90c3a6044a05bd7b86efecb55248fe8072a", "d3eff90c3a6044a05bd7b86efecb55248fe8072a")</f>
        <v>0</v>
      </c>
      <c r="C47387">
        <f>HYPERLINK("https://android.googlesource.com/platform/cts/+/0840af3ce6188fc72fa13d32984674a9e3ad054c", "0840af3ce6188fc72fa13d32984674a9e3ad054c")</f>
        <v>0</v>
      </c>
      <c r="D47387" t="s">
        <v>5564</v>
      </c>
      <c r="E47387" t="s">
        <v>10537</v>
      </c>
      <c r="F47387" t="s">
        <v>14929</v>
      </c>
      <c r="G47387" t="s">
        <v>18763</v>
      </c>
      <c r="H47387" t="s">
        <v>39720</v>
      </c>
    </row>
    <row r="47388" spans="1:8">
      <c r="A47388" t="s">
        <v>4882</v>
      </c>
      <c r="B47388">
        <f>HYPERLINK("https://android.googlesource.com/platform/cts/+/041f9c2d2e8d94f435445f326166bee9c650b5e5", "041f9c2d2e8d94f435445f326166bee9c650b5e5")</f>
        <v>0</v>
      </c>
      <c r="C47388">
        <f>HYPERLINK("https://android.googlesource.com/platform/cts/+/0840af3ce6188fc72fa13d32984674a9e3ad054c", "0840af3ce6188fc72fa13d32984674a9e3ad054c")</f>
        <v>0</v>
      </c>
      <c r="D47388" t="s">
        <v>5564</v>
      </c>
      <c r="E47388" t="s">
        <v>10538</v>
      </c>
      <c r="F47388" t="s">
        <v>14930</v>
      </c>
      <c r="G47388" t="s">
        <v>18764</v>
      </c>
      <c r="H47388" t="s">
        <v>39721</v>
      </c>
    </row>
    <row r="47389" spans="1:8">
      <c r="A47389" t="s">
        <v>4883</v>
      </c>
      <c r="B47389">
        <f>HYPERLINK("https://android.googlesource.com/platform/cts/+/ea11c17ad7ffb0c424b8c7b38cb777654b98f180", "ea11c17ad7ffb0c424b8c7b38cb777654b98f180")</f>
        <v>0</v>
      </c>
      <c r="C47389">
        <f>HYPERLINK("https://android.googlesource.com/platform/cts/+/0840af3ce6188fc72fa13d32984674a9e3ad054c", "0840af3ce6188fc72fa13d32984674a9e3ad054c")</f>
        <v>0</v>
      </c>
      <c r="D47389" t="s">
        <v>5564</v>
      </c>
      <c r="E47389" t="s">
        <v>10539</v>
      </c>
      <c r="F47389" t="s">
        <v>14931</v>
      </c>
      <c r="G47389" t="s">
        <v>18765</v>
      </c>
      <c r="H47389" t="s">
        <v>39722</v>
      </c>
    </row>
    <row r="47390" spans="1:8">
      <c r="A47390" t="s">
        <v>4884</v>
      </c>
      <c r="B47390">
        <f>HYPERLINK("https://android.googlesource.com/platform/cts/+/6b326af2cf2415d213cdfcdcfa3f22c1d9c96344", "6b326af2cf2415d213cdfcdcfa3f22c1d9c96344")</f>
        <v>0</v>
      </c>
      <c r="C47390">
        <f>HYPERLINK("https://android.googlesource.com/platform/cts/+/08d386cb64f3dc23b5e3240261cdefa5060b1662", "08d386cb64f3dc23b5e3240261cdefa5060b1662")</f>
        <v>0</v>
      </c>
      <c r="D47390" t="s">
        <v>5738</v>
      </c>
      <c r="E47390" t="s">
        <v>10540</v>
      </c>
      <c r="F47390" t="s">
        <v>14932</v>
      </c>
      <c r="G47390" t="s">
        <v>17058</v>
      </c>
      <c r="H47390" t="s">
        <v>18829</v>
      </c>
    </row>
    <row r="47391" spans="1:8">
      <c r="H47391" t="s">
        <v>18863</v>
      </c>
    </row>
    <row r="47392" spans="1:8">
      <c r="H47392" t="s">
        <v>39723</v>
      </c>
    </row>
    <row r="47393" spans="1:8">
      <c r="H47393" t="s">
        <v>26851</v>
      </c>
    </row>
    <row r="47394" spans="1:8">
      <c r="A47394" t="s">
        <v>4886</v>
      </c>
      <c r="B47394">
        <f>HYPERLINK("https://android.googlesource.com/platform/cts/+/09f093e88f059e8b1c6a76b7caceb387a4e805f4", "09f093e88f059e8b1c6a76b7caceb387a4e805f4")</f>
        <v>0</v>
      </c>
      <c r="C47394">
        <f>HYPERLINK("https://android.googlesource.com/platform/cts/+/0b300e3e350d139306e5f84a4c3103ca7b2e58ad", "0b300e3e350d139306e5f84a4c3103ca7b2e58ad")</f>
        <v>0</v>
      </c>
      <c r="D47394" t="s">
        <v>5409</v>
      </c>
      <c r="E47394" t="s">
        <v>10542</v>
      </c>
      <c r="F47394" t="s">
        <v>14665</v>
      </c>
      <c r="G47394" t="s">
        <v>18126</v>
      </c>
      <c r="H47394" t="s">
        <v>33631</v>
      </c>
    </row>
    <row r="47395" spans="1:8">
      <c r="A47395" t="s">
        <v>4887</v>
      </c>
      <c r="B47395">
        <f>HYPERLINK("https://android.googlesource.com/platform/cts/+/211641656c26ea9576a5bb3c5a7ce4a6fd0a44e4", "211641656c26ea9576a5bb3c5a7ce4a6fd0a44e4")</f>
        <v>0</v>
      </c>
      <c r="C47395">
        <f>HYPERLINK("https://android.googlesource.com/platform/cts/+/381b557779fcecce0d7ce5e20a1c25ba093985bb", "381b557779fcecce0d7ce5e20a1c25ba093985bb")</f>
        <v>0</v>
      </c>
      <c r="D47395" t="s">
        <v>5796</v>
      </c>
      <c r="E47395" t="s">
        <v>10543</v>
      </c>
      <c r="F47395" t="s">
        <v>12817</v>
      </c>
      <c r="G47395" t="s">
        <v>16629</v>
      </c>
      <c r="H47395" t="s">
        <v>39724</v>
      </c>
    </row>
    <row r="47396" spans="1:8">
      <c r="H47396" t="s">
        <v>39725</v>
      </c>
    </row>
    <row r="47397" spans="1:8">
      <c r="A47397" t="s">
        <v>4888</v>
      </c>
      <c r="B47397">
        <f>HYPERLINK("https://android.googlesource.com/platform/cts/+/fc8ea55042eb95f116b5be31d7cfb6cf0d19f0fa", "fc8ea55042eb95f116b5be31d7cfb6cf0d19f0fa")</f>
        <v>0</v>
      </c>
      <c r="C47397">
        <f>HYPERLINK("https://android.googlesource.com/platform/cts/+/ad15d78d2462c8f3423cf6a34c929ab013215998", "ad15d78d2462c8f3423cf6a34c929ab013215998")</f>
        <v>0</v>
      </c>
      <c r="D47397" t="s">
        <v>5615</v>
      </c>
      <c r="E47397" t="s">
        <v>10544</v>
      </c>
      <c r="F47397" t="s">
        <v>14933</v>
      </c>
      <c r="G47397" t="s">
        <v>18766</v>
      </c>
      <c r="H47397" t="s">
        <v>18829</v>
      </c>
    </row>
    <row r="47398" spans="1:8">
      <c r="H47398" t="s">
        <v>39726</v>
      </c>
    </row>
    <row r="47399" spans="1:8">
      <c r="H47399" t="s">
        <v>39727</v>
      </c>
    </row>
    <row r="47400" spans="1:8">
      <c r="F47400" t="s">
        <v>13227</v>
      </c>
      <c r="G47400" t="s">
        <v>17368</v>
      </c>
      <c r="H47400" t="s">
        <v>39728</v>
      </c>
    </row>
    <row r="47401" spans="1:8">
      <c r="A47401" t="s">
        <v>4889</v>
      </c>
      <c r="B47401">
        <f>HYPERLINK("https://android.googlesource.com/platform/cts/+/f12eab095b9d319497e89220af4c535fa797aef1", "f12eab095b9d319497e89220af4c535fa797aef1")</f>
        <v>0</v>
      </c>
      <c r="C47401">
        <f>HYPERLINK("https://android.googlesource.com/platform/cts/+/5c62515d8009006e7b9b2938634fb06cb59aded0", "5c62515d8009006e7b9b2938634fb06cb59aded0")</f>
        <v>0</v>
      </c>
      <c r="D47401" t="s">
        <v>5775</v>
      </c>
      <c r="E47401" t="s">
        <v>10545</v>
      </c>
      <c r="F47401" t="s">
        <v>13850</v>
      </c>
      <c r="G47401" t="s">
        <v>16816</v>
      </c>
      <c r="H47401" t="s">
        <v>39474</v>
      </c>
    </row>
    <row r="47402" spans="1:8">
      <c r="A47402" t="s">
        <v>4890</v>
      </c>
      <c r="B47402">
        <f>HYPERLINK("https://android.googlesource.com/platform/cts/+/6fd1e141bc72cfa4f6c602fa7b0be484078357f6", "6fd1e141bc72cfa4f6c602fa7b0be484078357f6")</f>
        <v>0</v>
      </c>
      <c r="C47402">
        <f>HYPERLINK("https://android.googlesource.com/platform/cts/+/ab9646ee4baf88f12d9bca54af8803ac4b7d32e6", "ab9646ee4baf88f12d9bca54af8803ac4b7d32e6")</f>
        <v>0</v>
      </c>
      <c r="D47402" t="s">
        <v>5191</v>
      </c>
      <c r="E47402" t="s">
        <v>10546</v>
      </c>
      <c r="F47402" t="s">
        <v>14934</v>
      </c>
      <c r="G47402" t="s">
        <v>17685</v>
      </c>
      <c r="H47402" t="s">
        <v>39729</v>
      </c>
    </row>
    <row r="47403" spans="1:8">
      <c r="H47403" t="s">
        <v>39730</v>
      </c>
    </row>
    <row r="47404" spans="1:8">
      <c r="A47404" t="s">
        <v>4891</v>
      </c>
      <c r="B47404">
        <f>HYPERLINK("https://android.googlesource.com/platform/cts/+/443d2001aaeaae28a293b79e6260b98c88e3da17", "443d2001aaeaae28a293b79e6260b98c88e3da17")</f>
        <v>0</v>
      </c>
      <c r="C47404">
        <f>HYPERLINK("https://android.googlesource.com/platform/cts/+/86682abf2a60b5878cf3e7e1263dc77ab1145057", "86682abf2a60b5878cf3e7e1263dc77ab1145057")</f>
        <v>0</v>
      </c>
      <c r="D47404" t="s">
        <v>5660</v>
      </c>
      <c r="E47404" t="s">
        <v>10547</v>
      </c>
      <c r="F47404" t="s">
        <v>14935</v>
      </c>
      <c r="G47404" t="s">
        <v>18767</v>
      </c>
      <c r="H47404" t="s">
        <v>39731</v>
      </c>
    </row>
    <row r="47405" spans="1:8">
      <c r="H47405" t="s">
        <v>39732</v>
      </c>
    </row>
    <row r="47406" spans="1:8">
      <c r="F47406" t="s">
        <v>14936</v>
      </c>
      <c r="G47406" t="s">
        <v>18768</v>
      </c>
      <c r="H47406" t="s">
        <v>39731</v>
      </c>
    </row>
    <row r="47407" spans="1:8">
      <c r="H47407" t="s">
        <v>39732</v>
      </c>
    </row>
    <row r="47408" spans="1:8">
      <c r="F47408" t="s">
        <v>14937</v>
      </c>
      <c r="G47408" t="s">
        <v>18769</v>
      </c>
      <c r="H47408" t="s">
        <v>39733</v>
      </c>
    </row>
    <row r="47409" spans="6:8">
      <c r="H47409" t="s">
        <v>39732</v>
      </c>
    </row>
    <row r="47410" spans="6:8">
      <c r="F47410" t="s">
        <v>14748</v>
      </c>
      <c r="G47410" t="s">
        <v>18624</v>
      </c>
      <c r="H47410" t="s">
        <v>39731</v>
      </c>
    </row>
    <row r="47411" spans="6:8">
      <c r="H47411" t="s">
        <v>39732</v>
      </c>
    </row>
    <row r="47412" spans="6:8">
      <c r="F47412" t="s">
        <v>14938</v>
      </c>
      <c r="G47412" t="s">
        <v>18770</v>
      </c>
      <c r="H47412" t="s">
        <v>39731</v>
      </c>
    </row>
    <row r="47413" spans="6:8">
      <c r="H47413" t="s">
        <v>39732</v>
      </c>
    </row>
    <row r="47414" spans="6:8">
      <c r="F47414" t="s">
        <v>14939</v>
      </c>
      <c r="G47414" t="s">
        <v>18771</v>
      </c>
      <c r="H47414" t="s">
        <v>39731</v>
      </c>
    </row>
    <row r="47415" spans="6:8">
      <c r="H47415" t="s">
        <v>39732</v>
      </c>
    </row>
    <row r="47416" spans="6:8">
      <c r="F47416" t="s">
        <v>14940</v>
      </c>
      <c r="G47416" t="s">
        <v>18772</v>
      </c>
      <c r="H47416" t="s">
        <v>39731</v>
      </c>
    </row>
    <row r="47417" spans="6:8">
      <c r="H47417" t="s">
        <v>39732</v>
      </c>
    </row>
    <row r="47418" spans="6:8">
      <c r="F47418" t="s">
        <v>14941</v>
      </c>
      <c r="G47418" t="s">
        <v>18773</v>
      </c>
      <c r="H47418" t="s">
        <v>39731</v>
      </c>
    </row>
    <row r="47419" spans="6:8">
      <c r="H47419" t="s">
        <v>39732</v>
      </c>
    </row>
    <row r="47420" spans="6:8">
      <c r="F47420" t="s">
        <v>14825</v>
      </c>
      <c r="G47420" t="s">
        <v>18687</v>
      </c>
      <c r="H47420" t="s">
        <v>39731</v>
      </c>
    </row>
    <row r="47421" spans="6:8">
      <c r="H47421" t="s">
        <v>39732</v>
      </c>
    </row>
    <row r="47422" spans="6:8">
      <c r="F47422" t="s">
        <v>14876</v>
      </c>
      <c r="G47422" t="s">
        <v>18726</v>
      </c>
      <c r="H47422" t="s">
        <v>39733</v>
      </c>
    </row>
    <row r="47423" spans="6:8">
      <c r="H47423" t="s">
        <v>39732</v>
      </c>
    </row>
    <row r="47424" spans="6:8">
      <c r="F47424" t="s">
        <v>14942</v>
      </c>
      <c r="G47424" t="s">
        <v>18774</v>
      </c>
      <c r="H47424" t="s">
        <v>39733</v>
      </c>
    </row>
    <row r="47425" spans="6:8">
      <c r="H47425" t="s">
        <v>39732</v>
      </c>
    </row>
    <row r="47426" spans="6:8">
      <c r="F47426" t="s">
        <v>14943</v>
      </c>
      <c r="G47426" t="s">
        <v>18775</v>
      </c>
      <c r="H47426" t="s">
        <v>39731</v>
      </c>
    </row>
    <row r="47427" spans="6:8">
      <c r="H47427" t="s">
        <v>39732</v>
      </c>
    </row>
    <row r="47428" spans="6:8">
      <c r="F47428" t="s">
        <v>14944</v>
      </c>
      <c r="G47428" t="s">
        <v>18776</v>
      </c>
      <c r="H47428" t="s">
        <v>39731</v>
      </c>
    </row>
    <row r="47429" spans="6:8">
      <c r="H47429" t="s">
        <v>39732</v>
      </c>
    </row>
    <row r="47430" spans="6:8">
      <c r="F47430" t="s">
        <v>14945</v>
      </c>
      <c r="G47430" t="s">
        <v>18777</v>
      </c>
      <c r="H47430" t="s">
        <v>39731</v>
      </c>
    </row>
    <row r="47431" spans="6:8">
      <c r="H47431" t="s">
        <v>39732</v>
      </c>
    </row>
    <row r="47432" spans="6:8">
      <c r="F47432" t="s">
        <v>14946</v>
      </c>
      <c r="G47432" t="s">
        <v>18778</v>
      </c>
      <c r="H47432" t="s">
        <v>39731</v>
      </c>
    </row>
    <row r="47433" spans="6:8">
      <c r="H47433" t="s">
        <v>39732</v>
      </c>
    </row>
    <row r="47434" spans="6:8">
      <c r="F47434" t="s">
        <v>14947</v>
      </c>
      <c r="G47434" t="s">
        <v>18779</v>
      </c>
      <c r="H47434" t="s">
        <v>39731</v>
      </c>
    </row>
    <row r="47435" spans="6:8">
      <c r="H47435" t="s">
        <v>39732</v>
      </c>
    </row>
    <row r="47436" spans="6:8">
      <c r="F47436" t="s">
        <v>14948</v>
      </c>
      <c r="G47436" t="s">
        <v>18780</v>
      </c>
      <c r="H47436" t="s">
        <v>39731</v>
      </c>
    </row>
    <row r="47437" spans="6:8">
      <c r="H47437" t="s">
        <v>39732</v>
      </c>
    </row>
    <row r="47438" spans="6:8">
      <c r="F47438" t="s">
        <v>14949</v>
      </c>
      <c r="G47438" t="s">
        <v>18781</v>
      </c>
      <c r="H47438" t="s">
        <v>39733</v>
      </c>
    </row>
    <row r="47439" spans="6:8">
      <c r="H47439" t="s">
        <v>39732</v>
      </c>
    </row>
    <row r="47440" spans="6:8">
      <c r="F47440" t="s">
        <v>14201</v>
      </c>
      <c r="G47440" t="s">
        <v>18180</v>
      </c>
      <c r="H47440" t="s">
        <v>39731</v>
      </c>
    </row>
    <row r="47441" spans="1:8">
      <c r="H47441" t="s">
        <v>39732</v>
      </c>
    </row>
    <row r="47442" spans="1:8">
      <c r="A47442" t="s">
        <v>4892</v>
      </c>
      <c r="B47442">
        <f>HYPERLINK("https://android.googlesource.com/platform/cts/+/cb7a8edc9b545489b8e7ebeb895d857e2b1a267a", "cb7a8edc9b545489b8e7ebeb895d857e2b1a267a")</f>
        <v>0</v>
      </c>
      <c r="C47442">
        <f>HYPERLINK("https://android.googlesource.com/platform/cts/+/790fc53c20a5e453fff550a5298e2414812bdb49", "790fc53c20a5e453fff550a5298e2414812bdb49")</f>
        <v>0</v>
      </c>
      <c r="D47442" t="s">
        <v>5363</v>
      </c>
      <c r="E47442" t="s">
        <v>10548</v>
      </c>
      <c r="F47442" t="s">
        <v>14731</v>
      </c>
      <c r="G47442" t="s">
        <v>18612</v>
      </c>
      <c r="H47442" t="s">
        <v>39734</v>
      </c>
    </row>
    <row r="47443" spans="1:8">
      <c r="A47443" t="s">
        <v>4893</v>
      </c>
      <c r="B47443">
        <f>HYPERLINK("https://android.googlesource.com/platform/cts/+/cb981c7dd66fdcd3b6f2cc96cc34301c5d356ed0", "cb981c7dd66fdcd3b6f2cc96cc34301c5d356ed0")</f>
        <v>0</v>
      </c>
      <c r="C47443">
        <f>HYPERLINK("https://android.googlesource.com/platform/cts/+/b36ba2beb82b0f27b69eddc0ce6b2d3224c06246", "b36ba2beb82b0f27b69eddc0ce6b2d3224c06246")</f>
        <v>0</v>
      </c>
      <c r="D47443" t="s">
        <v>5363</v>
      </c>
      <c r="E47443" t="s">
        <v>10549</v>
      </c>
      <c r="F47443" t="s">
        <v>14731</v>
      </c>
      <c r="G47443" t="s">
        <v>18612</v>
      </c>
      <c r="H47443" t="s">
        <v>39734</v>
      </c>
    </row>
    <row r="47444" spans="1:8">
      <c r="H47444" t="s">
        <v>37794</v>
      </c>
    </row>
    <row r="47445" spans="1:8">
      <c r="A47445" t="s">
        <v>4894</v>
      </c>
      <c r="B47445">
        <f>HYPERLINK("https://android.googlesource.com/platform/cts/+/09ecd6a4f7e7b3fbcfb59a1b298766ad41987ac1", "09ecd6a4f7e7b3fbcfb59a1b298766ad41987ac1")</f>
        <v>0</v>
      </c>
      <c r="C47445">
        <f>HYPERLINK("https://android.googlesource.com/platform/cts/+/09b17d13eba22d7d3b8fc00c7f6c83324367975e", "09b17d13eba22d7d3b8fc00c7f6c83324367975e")</f>
        <v>0</v>
      </c>
      <c r="D47445" t="s">
        <v>5363</v>
      </c>
      <c r="E47445" t="s">
        <v>10550</v>
      </c>
      <c r="F47445" t="s">
        <v>14731</v>
      </c>
      <c r="G47445" t="s">
        <v>18612</v>
      </c>
      <c r="H47445" t="s">
        <v>39734</v>
      </c>
    </row>
    <row r="47446" spans="1:8">
      <c r="H47446" t="s">
        <v>37794</v>
      </c>
    </row>
    <row r="47447" spans="1:8">
      <c r="A47447" t="s">
        <v>4897</v>
      </c>
      <c r="B47447">
        <f>HYPERLINK("https://android.googlesource.com/platform/cts/+/2ad3512b597be6caa2eb4f6f51585538e5b33e83", "2ad3512b597be6caa2eb4f6f51585538e5b33e83")</f>
        <v>0</v>
      </c>
      <c r="C47447">
        <f>HYPERLINK("https://android.googlesource.com/platform/cts/+/7d07155e53cbe455b79bce3ce8dd01ed043476c4", "7d07155e53cbe455b79bce3ce8dd01ed043476c4")</f>
        <v>0</v>
      </c>
      <c r="D47447" t="s">
        <v>5798</v>
      </c>
      <c r="E47447" t="s">
        <v>10553</v>
      </c>
      <c r="F47447" t="s">
        <v>14207</v>
      </c>
      <c r="G47447" t="s">
        <v>18183</v>
      </c>
      <c r="H47447" t="s">
        <v>39735</v>
      </c>
    </row>
    <row r="47448" spans="1:8">
      <c r="H47448" t="s">
        <v>35204</v>
      </c>
    </row>
    <row r="47449" spans="1:8">
      <c r="H47449" t="s">
        <v>39736</v>
      </c>
    </row>
    <row r="47450" spans="1:8">
      <c r="A47450" t="s">
        <v>4898</v>
      </c>
      <c r="B47450">
        <f>HYPERLINK("https://android.googlesource.com/platform/cts/+/6e7dcd0862e931cab542fb097bc567bfc40f840b", "6e7dcd0862e931cab542fb097bc567bfc40f840b")</f>
        <v>0</v>
      </c>
      <c r="C47450">
        <f>HYPERLINK("https://android.googlesource.com/platform/cts/+/3b3581ec4f3acff221129319abf35bd46520e037", "3b3581ec4f3acff221129319abf35bd46520e037")</f>
        <v>0</v>
      </c>
      <c r="D47450" t="s">
        <v>5793</v>
      </c>
      <c r="E47450" t="s">
        <v>10554</v>
      </c>
      <c r="F47450" t="s">
        <v>12782</v>
      </c>
      <c r="G47450" t="s">
        <v>16420</v>
      </c>
      <c r="H47450" t="s">
        <v>38797</v>
      </c>
    </row>
    <row r="47451" spans="1:8">
      <c r="H47451" t="s">
        <v>38798</v>
      </c>
    </row>
    <row r="47452" spans="1:8">
      <c r="H47452" t="s">
        <v>39737</v>
      </c>
    </row>
    <row r="47453" spans="1:8">
      <c r="H47453" t="s">
        <v>38799</v>
      </c>
    </row>
    <row r="47454" spans="1:8">
      <c r="H47454" t="s">
        <v>39738</v>
      </c>
    </row>
    <row r="47455" spans="1:8">
      <c r="H47455" t="s">
        <v>38800</v>
      </c>
    </row>
    <row r="47456" spans="1:8">
      <c r="H47456" t="s">
        <v>39739</v>
      </c>
    </row>
    <row r="47457" spans="8:8">
      <c r="H47457" t="s">
        <v>38801</v>
      </c>
    </row>
    <row r="47458" spans="8:8">
      <c r="H47458" t="s">
        <v>39740</v>
      </c>
    </row>
    <row r="47459" spans="8:8">
      <c r="H47459" t="s">
        <v>38802</v>
      </c>
    </row>
    <row r="47460" spans="8:8">
      <c r="H47460" t="s">
        <v>39741</v>
      </c>
    </row>
    <row r="47461" spans="8:8">
      <c r="H47461" t="s">
        <v>38803</v>
      </c>
    </row>
    <row r="47462" spans="8:8">
      <c r="H47462" t="s">
        <v>39742</v>
      </c>
    </row>
    <row r="47463" spans="8:8">
      <c r="H47463" t="s">
        <v>38804</v>
      </c>
    </row>
    <row r="47464" spans="8:8">
      <c r="H47464" t="s">
        <v>38805</v>
      </c>
    </row>
    <row r="47465" spans="8:8">
      <c r="H47465" t="s">
        <v>39743</v>
      </c>
    </row>
    <row r="47466" spans="8:8">
      <c r="H47466" t="s">
        <v>38806</v>
      </c>
    </row>
    <row r="47467" spans="8:8">
      <c r="H47467" t="s">
        <v>39744</v>
      </c>
    </row>
    <row r="47468" spans="8:8">
      <c r="H47468" t="s">
        <v>38807</v>
      </c>
    </row>
    <row r="47469" spans="8:8">
      <c r="H47469" t="s">
        <v>39745</v>
      </c>
    </row>
    <row r="47470" spans="8:8">
      <c r="H47470" t="s">
        <v>38808</v>
      </c>
    </row>
    <row r="47471" spans="8:8">
      <c r="H47471" t="s">
        <v>39746</v>
      </c>
    </row>
    <row r="47472" spans="8:8">
      <c r="H47472" t="s">
        <v>38809</v>
      </c>
    </row>
    <row r="47473" spans="8:8">
      <c r="H47473" t="s">
        <v>39747</v>
      </c>
    </row>
    <row r="47474" spans="8:8">
      <c r="H47474" t="s">
        <v>38810</v>
      </c>
    </row>
    <row r="47475" spans="8:8">
      <c r="H47475" t="s">
        <v>39748</v>
      </c>
    </row>
    <row r="47476" spans="8:8">
      <c r="H47476" t="s">
        <v>38811</v>
      </c>
    </row>
    <row r="47477" spans="8:8">
      <c r="H47477" t="s">
        <v>38812</v>
      </c>
    </row>
    <row r="47478" spans="8:8">
      <c r="H47478" t="s">
        <v>39749</v>
      </c>
    </row>
    <row r="47479" spans="8:8">
      <c r="H47479" t="s">
        <v>38813</v>
      </c>
    </row>
    <row r="47480" spans="8:8">
      <c r="H47480" t="s">
        <v>39750</v>
      </c>
    </row>
    <row r="47481" spans="8:8">
      <c r="H47481" t="s">
        <v>38814</v>
      </c>
    </row>
    <row r="47482" spans="8:8">
      <c r="H47482" t="s">
        <v>39751</v>
      </c>
    </row>
    <row r="47483" spans="8:8">
      <c r="H47483" t="s">
        <v>38815</v>
      </c>
    </row>
    <row r="47484" spans="8:8">
      <c r="H47484" t="s">
        <v>39752</v>
      </c>
    </row>
    <row r="47485" spans="8:8">
      <c r="H47485" t="s">
        <v>38816</v>
      </c>
    </row>
    <row r="47486" spans="8:8">
      <c r="H47486" t="s">
        <v>39753</v>
      </c>
    </row>
    <row r="47487" spans="8:8">
      <c r="H47487" t="s">
        <v>38817</v>
      </c>
    </row>
    <row r="47488" spans="8:8">
      <c r="H47488" t="s">
        <v>39754</v>
      </c>
    </row>
    <row r="47489" spans="8:8">
      <c r="H47489" t="s">
        <v>38818</v>
      </c>
    </row>
    <row r="47490" spans="8:8">
      <c r="H47490" t="s">
        <v>38819</v>
      </c>
    </row>
    <row r="47491" spans="8:8">
      <c r="H47491" t="s">
        <v>39755</v>
      </c>
    </row>
    <row r="47492" spans="8:8">
      <c r="H47492" t="s">
        <v>38820</v>
      </c>
    </row>
    <row r="47493" spans="8:8">
      <c r="H47493" t="s">
        <v>39756</v>
      </c>
    </row>
    <row r="47494" spans="8:8">
      <c r="H47494" t="s">
        <v>38821</v>
      </c>
    </row>
    <row r="47495" spans="8:8">
      <c r="H47495" t="s">
        <v>39757</v>
      </c>
    </row>
    <row r="47496" spans="8:8">
      <c r="H47496" t="s">
        <v>38822</v>
      </c>
    </row>
    <row r="47497" spans="8:8">
      <c r="H47497" t="s">
        <v>39758</v>
      </c>
    </row>
    <row r="47498" spans="8:8">
      <c r="H47498" t="s">
        <v>38823</v>
      </c>
    </row>
    <row r="47499" spans="8:8">
      <c r="H47499" t="s">
        <v>39759</v>
      </c>
    </row>
    <row r="47500" spans="8:8">
      <c r="H47500" t="s">
        <v>38824</v>
      </c>
    </row>
    <row r="47501" spans="8:8">
      <c r="H47501" t="s">
        <v>39760</v>
      </c>
    </row>
    <row r="47502" spans="8:8">
      <c r="H47502" t="s">
        <v>38825</v>
      </c>
    </row>
    <row r="47503" spans="8:8">
      <c r="H47503" t="s">
        <v>38826</v>
      </c>
    </row>
    <row r="47504" spans="8:8">
      <c r="H47504" t="s">
        <v>39761</v>
      </c>
    </row>
    <row r="47505" spans="8:8">
      <c r="H47505" t="s">
        <v>38827</v>
      </c>
    </row>
    <row r="47506" spans="8:8">
      <c r="H47506" t="s">
        <v>39762</v>
      </c>
    </row>
    <row r="47507" spans="8:8">
      <c r="H47507" t="s">
        <v>38828</v>
      </c>
    </row>
    <row r="47508" spans="8:8">
      <c r="H47508" t="s">
        <v>39763</v>
      </c>
    </row>
    <row r="47509" spans="8:8">
      <c r="H47509" t="s">
        <v>38829</v>
      </c>
    </row>
    <row r="47510" spans="8:8">
      <c r="H47510" t="s">
        <v>39764</v>
      </c>
    </row>
    <row r="47511" spans="8:8">
      <c r="H47511" t="s">
        <v>38830</v>
      </c>
    </row>
    <row r="47512" spans="8:8">
      <c r="H47512" t="s">
        <v>38831</v>
      </c>
    </row>
    <row r="47513" spans="8:8">
      <c r="H47513" t="s">
        <v>39765</v>
      </c>
    </row>
    <row r="47514" spans="8:8">
      <c r="H47514" t="s">
        <v>38832</v>
      </c>
    </row>
    <row r="47515" spans="8:8">
      <c r="H47515" t="s">
        <v>39766</v>
      </c>
    </row>
    <row r="47516" spans="8:8">
      <c r="H47516" t="s">
        <v>38833</v>
      </c>
    </row>
    <row r="47517" spans="8:8">
      <c r="H47517" t="s">
        <v>39767</v>
      </c>
    </row>
    <row r="47518" spans="8:8">
      <c r="H47518" t="s">
        <v>38834</v>
      </c>
    </row>
    <row r="47519" spans="8:8">
      <c r="H47519" t="s">
        <v>39768</v>
      </c>
    </row>
    <row r="47520" spans="8:8">
      <c r="H47520" t="s">
        <v>38835</v>
      </c>
    </row>
    <row r="47521" spans="8:8">
      <c r="H47521" t="s">
        <v>39769</v>
      </c>
    </row>
    <row r="47522" spans="8:8">
      <c r="H47522" t="s">
        <v>39770</v>
      </c>
    </row>
    <row r="47523" spans="8:8">
      <c r="H47523" t="s">
        <v>39771</v>
      </c>
    </row>
    <row r="47524" spans="8:8">
      <c r="H47524" t="s">
        <v>39772</v>
      </c>
    </row>
    <row r="47525" spans="8:8">
      <c r="H47525" t="s">
        <v>39773</v>
      </c>
    </row>
    <row r="47526" spans="8:8">
      <c r="H47526" t="s">
        <v>39774</v>
      </c>
    </row>
    <row r="47527" spans="8:8">
      <c r="H47527" t="s">
        <v>39775</v>
      </c>
    </row>
    <row r="47528" spans="8:8">
      <c r="H47528" t="s">
        <v>39776</v>
      </c>
    </row>
    <row r="47529" spans="8:8">
      <c r="H47529" t="s">
        <v>39777</v>
      </c>
    </row>
    <row r="47530" spans="8:8">
      <c r="H47530" t="s">
        <v>39778</v>
      </c>
    </row>
    <row r="47531" spans="8:8">
      <c r="H47531" t="s">
        <v>39779</v>
      </c>
    </row>
    <row r="47532" spans="8:8">
      <c r="H47532" t="s">
        <v>39780</v>
      </c>
    </row>
    <row r="47533" spans="8:8">
      <c r="H47533" t="s">
        <v>39781</v>
      </c>
    </row>
    <row r="47534" spans="8:8">
      <c r="H47534" t="s">
        <v>39782</v>
      </c>
    </row>
    <row r="47535" spans="8:8">
      <c r="H47535" t="s">
        <v>39783</v>
      </c>
    </row>
    <row r="47536" spans="8:8">
      <c r="H47536" t="s">
        <v>39784</v>
      </c>
    </row>
    <row r="47537" spans="8:8">
      <c r="H47537" t="s">
        <v>39785</v>
      </c>
    </row>
    <row r="47538" spans="8:8">
      <c r="H47538" t="s">
        <v>39786</v>
      </c>
    </row>
    <row r="47539" spans="8:8">
      <c r="H47539" t="s">
        <v>39787</v>
      </c>
    </row>
    <row r="47540" spans="8:8">
      <c r="H47540" t="s">
        <v>39788</v>
      </c>
    </row>
    <row r="47541" spans="8:8">
      <c r="H47541" t="s">
        <v>39789</v>
      </c>
    </row>
    <row r="47542" spans="8:8">
      <c r="H47542" t="s">
        <v>39790</v>
      </c>
    </row>
    <row r="47543" spans="8:8">
      <c r="H47543" t="s">
        <v>39791</v>
      </c>
    </row>
    <row r="47544" spans="8:8">
      <c r="H47544" t="s">
        <v>39792</v>
      </c>
    </row>
    <row r="47545" spans="8:8">
      <c r="H47545" t="s">
        <v>39793</v>
      </c>
    </row>
    <row r="47546" spans="8:8">
      <c r="H47546" t="s">
        <v>39794</v>
      </c>
    </row>
    <row r="47547" spans="8:8">
      <c r="H47547" t="s">
        <v>39795</v>
      </c>
    </row>
    <row r="47548" spans="8:8">
      <c r="H47548" t="s">
        <v>38850</v>
      </c>
    </row>
    <row r="47549" spans="8:8">
      <c r="H47549" t="s">
        <v>39796</v>
      </c>
    </row>
    <row r="47550" spans="8:8">
      <c r="H47550" t="s">
        <v>38851</v>
      </c>
    </row>
    <row r="47551" spans="8:8">
      <c r="H47551" t="s">
        <v>39797</v>
      </c>
    </row>
    <row r="47552" spans="8:8">
      <c r="H47552" t="s">
        <v>38852</v>
      </c>
    </row>
    <row r="47553" spans="8:8">
      <c r="H47553" t="s">
        <v>39798</v>
      </c>
    </row>
    <row r="47554" spans="8:8">
      <c r="H47554" t="s">
        <v>38853</v>
      </c>
    </row>
    <row r="47555" spans="8:8">
      <c r="H47555" t="s">
        <v>39799</v>
      </c>
    </row>
    <row r="47556" spans="8:8">
      <c r="H47556" t="s">
        <v>38854</v>
      </c>
    </row>
    <row r="47557" spans="8:8">
      <c r="H47557" t="s">
        <v>39800</v>
      </c>
    </row>
    <row r="47558" spans="8:8">
      <c r="H47558" t="s">
        <v>38855</v>
      </c>
    </row>
    <row r="47559" spans="8:8">
      <c r="H47559" t="s">
        <v>39801</v>
      </c>
    </row>
    <row r="47560" spans="8:8">
      <c r="H47560" t="s">
        <v>38856</v>
      </c>
    </row>
    <row r="47561" spans="8:8">
      <c r="H47561" t="s">
        <v>38857</v>
      </c>
    </row>
    <row r="47562" spans="8:8">
      <c r="H47562" t="s">
        <v>39802</v>
      </c>
    </row>
    <row r="47563" spans="8:8">
      <c r="H47563" t="s">
        <v>38858</v>
      </c>
    </row>
    <row r="47564" spans="8:8">
      <c r="H47564" t="s">
        <v>39803</v>
      </c>
    </row>
    <row r="47565" spans="8:8">
      <c r="H47565" t="s">
        <v>38859</v>
      </c>
    </row>
    <row r="47566" spans="8:8">
      <c r="H47566" t="s">
        <v>39804</v>
      </c>
    </row>
    <row r="47567" spans="8:8">
      <c r="H47567" t="s">
        <v>38860</v>
      </c>
    </row>
    <row r="47568" spans="8:8">
      <c r="H47568" t="s">
        <v>39805</v>
      </c>
    </row>
    <row r="47569" spans="8:8">
      <c r="H47569" t="s">
        <v>38861</v>
      </c>
    </row>
    <row r="47570" spans="8:8">
      <c r="H47570" t="s">
        <v>39806</v>
      </c>
    </row>
    <row r="47571" spans="8:8">
      <c r="H47571" t="s">
        <v>38862</v>
      </c>
    </row>
    <row r="47572" spans="8:8">
      <c r="H47572" t="s">
        <v>39807</v>
      </c>
    </row>
    <row r="47573" spans="8:8">
      <c r="H47573" t="s">
        <v>38863</v>
      </c>
    </row>
    <row r="47574" spans="8:8">
      <c r="H47574" t="s">
        <v>38864</v>
      </c>
    </row>
    <row r="47575" spans="8:8">
      <c r="H47575" t="s">
        <v>39808</v>
      </c>
    </row>
    <row r="47576" spans="8:8">
      <c r="H47576" t="s">
        <v>38865</v>
      </c>
    </row>
    <row r="47577" spans="8:8">
      <c r="H47577" t="s">
        <v>39809</v>
      </c>
    </row>
    <row r="47578" spans="8:8">
      <c r="H47578" t="s">
        <v>38866</v>
      </c>
    </row>
    <row r="47579" spans="8:8">
      <c r="H47579" t="s">
        <v>39810</v>
      </c>
    </row>
    <row r="47580" spans="8:8">
      <c r="H47580" t="s">
        <v>38867</v>
      </c>
    </row>
    <row r="47581" spans="8:8">
      <c r="H47581" t="s">
        <v>39811</v>
      </c>
    </row>
    <row r="47582" spans="8:8">
      <c r="H47582" t="s">
        <v>38868</v>
      </c>
    </row>
    <row r="47583" spans="8:8">
      <c r="H47583" t="s">
        <v>39812</v>
      </c>
    </row>
    <row r="47584" spans="8:8">
      <c r="H47584" t="s">
        <v>38869</v>
      </c>
    </row>
    <row r="47585" spans="8:8">
      <c r="H47585" t="s">
        <v>39813</v>
      </c>
    </row>
    <row r="47586" spans="8:8">
      <c r="H47586" t="s">
        <v>38870</v>
      </c>
    </row>
    <row r="47587" spans="8:8">
      <c r="H47587" t="s">
        <v>38871</v>
      </c>
    </row>
    <row r="47588" spans="8:8">
      <c r="H47588" t="s">
        <v>39814</v>
      </c>
    </row>
    <row r="47589" spans="8:8">
      <c r="H47589" t="s">
        <v>38872</v>
      </c>
    </row>
    <row r="47590" spans="8:8">
      <c r="H47590" t="s">
        <v>39815</v>
      </c>
    </row>
    <row r="47591" spans="8:8">
      <c r="H47591" t="s">
        <v>38873</v>
      </c>
    </row>
    <row r="47592" spans="8:8">
      <c r="H47592" t="s">
        <v>39816</v>
      </c>
    </row>
    <row r="47593" spans="8:8">
      <c r="H47593" t="s">
        <v>38874</v>
      </c>
    </row>
    <row r="47594" spans="8:8">
      <c r="H47594" t="s">
        <v>39817</v>
      </c>
    </row>
    <row r="47595" spans="8:8">
      <c r="H47595" t="s">
        <v>38875</v>
      </c>
    </row>
    <row r="47596" spans="8:8">
      <c r="H47596" t="s">
        <v>39818</v>
      </c>
    </row>
    <row r="47597" spans="8:8">
      <c r="H47597" t="s">
        <v>38876</v>
      </c>
    </row>
    <row r="47598" spans="8:8">
      <c r="H47598" t="s">
        <v>39819</v>
      </c>
    </row>
    <row r="47599" spans="8:8">
      <c r="H47599" t="s">
        <v>38877</v>
      </c>
    </row>
    <row r="47600" spans="8:8">
      <c r="H47600" t="s">
        <v>39820</v>
      </c>
    </row>
    <row r="47601" spans="8:8">
      <c r="H47601" t="s">
        <v>39821</v>
      </c>
    </row>
    <row r="47602" spans="8:8">
      <c r="H47602" t="s">
        <v>39822</v>
      </c>
    </row>
    <row r="47603" spans="8:8">
      <c r="H47603" t="s">
        <v>39823</v>
      </c>
    </row>
    <row r="47604" spans="8:8">
      <c r="H47604" t="s">
        <v>39824</v>
      </c>
    </row>
    <row r="47605" spans="8:8">
      <c r="H47605" t="s">
        <v>39825</v>
      </c>
    </row>
    <row r="47606" spans="8:8">
      <c r="H47606" t="s">
        <v>39826</v>
      </c>
    </row>
    <row r="47607" spans="8:8">
      <c r="H47607" t="s">
        <v>39827</v>
      </c>
    </row>
    <row r="47608" spans="8:8">
      <c r="H47608" t="s">
        <v>39828</v>
      </c>
    </row>
    <row r="47609" spans="8:8">
      <c r="H47609" t="s">
        <v>39829</v>
      </c>
    </row>
    <row r="47610" spans="8:8">
      <c r="H47610" t="s">
        <v>39830</v>
      </c>
    </row>
    <row r="47611" spans="8:8">
      <c r="H47611" t="s">
        <v>39831</v>
      </c>
    </row>
    <row r="47612" spans="8:8">
      <c r="H47612" t="s">
        <v>39832</v>
      </c>
    </row>
    <row r="47613" spans="8:8">
      <c r="H47613" t="s">
        <v>39833</v>
      </c>
    </row>
    <row r="47614" spans="8:8">
      <c r="H47614" t="s">
        <v>39834</v>
      </c>
    </row>
    <row r="47615" spans="8:8">
      <c r="H47615" t="s">
        <v>39835</v>
      </c>
    </row>
    <row r="47616" spans="8:8">
      <c r="H47616" t="s">
        <v>39836</v>
      </c>
    </row>
    <row r="47617" spans="8:8">
      <c r="H47617" t="s">
        <v>39837</v>
      </c>
    </row>
    <row r="47618" spans="8:8">
      <c r="H47618" t="s">
        <v>39838</v>
      </c>
    </row>
    <row r="47619" spans="8:8">
      <c r="H47619" t="s">
        <v>39839</v>
      </c>
    </row>
    <row r="47620" spans="8:8">
      <c r="H47620" t="s">
        <v>39840</v>
      </c>
    </row>
    <row r="47621" spans="8:8">
      <c r="H47621" t="s">
        <v>39841</v>
      </c>
    </row>
    <row r="47622" spans="8:8">
      <c r="H47622" t="s">
        <v>39842</v>
      </c>
    </row>
    <row r="47623" spans="8:8">
      <c r="H47623" t="s">
        <v>39843</v>
      </c>
    </row>
    <row r="47624" spans="8:8">
      <c r="H47624" t="s">
        <v>39844</v>
      </c>
    </row>
    <row r="47625" spans="8:8">
      <c r="H47625" t="s">
        <v>39845</v>
      </c>
    </row>
    <row r="47626" spans="8:8">
      <c r="H47626" t="s">
        <v>39846</v>
      </c>
    </row>
    <row r="47627" spans="8:8">
      <c r="H47627" t="s">
        <v>39847</v>
      </c>
    </row>
    <row r="47628" spans="8:8">
      <c r="H47628" t="s">
        <v>39848</v>
      </c>
    </row>
    <row r="47629" spans="8:8">
      <c r="H47629" t="s">
        <v>39849</v>
      </c>
    </row>
    <row r="47630" spans="8:8">
      <c r="H47630" t="s">
        <v>39850</v>
      </c>
    </row>
    <row r="47631" spans="8:8">
      <c r="H47631" t="s">
        <v>39851</v>
      </c>
    </row>
    <row r="47632" spans="8:8">
      <c r="H47632" t="s">
        <v>39852</v>
      </c>
    </row>
    <row r="47633" spans="8:8">
      <c r="H47633" t="s">
        <v>39853</v>
      </c>
    </row>
    <row r="47634" spans="8:8">
      <c r="H47634" t="s">
        <v>39854</v>
      </c>
    </row>
    <row r="47635" spans="8:8">
      <c r="H47635" t="s">
        <v>39855</v>
      </c>
    </row>
    <row r="47636" spans="8:8">
      <c r="H47636" t="s">
        <v>39856</v>
      </c>
    </row>
    <row r="47637" spans="8:8">
      <c r="H47637" t="s">
        <v>39857</v>
      </c>
    </row>
    <row r="47638" spans="8:8">
      <c r="H47638" t="s">
        <v>39858</v>
      </c>
    </row>
    <row r="47639" spans="8:8">
      <c r="H47639" t="s">
        <v>39859</v>
      </c>
    </row>
    <row r="47640" spans="8:8">
      <c r="H47640" t="s">
        <v>39860</v>
      </c>
    </row>
    <row r="47641" spans="8:8">
      <c r="H47641" t="s">
        <v>39861</v>
      </c>
    </row>
    <row r="47642" spans="8:8">
      <c r="H47642" t="s">
        <v>39862</v>
      </c>
    </row>
    <row r="47643" spans="8:8">
      <c r="H47643" t="s">
        <v>39863</v>
      </c>
    </row>
    <row r="47644" spans="8:8">
      <c r="H47644" t="s">
        <v>39864</v>
      </c>
    </row>
    <row r="47645" spans="8:8">
      <c r="H47645" t="s">
        <v>39865</v>
      </c>
    </row>
    <row r="47646" spans="8:8">
      <c r="H47646" t="s">
        <v>39866</v>
      </c>
    </row>
    <row r="47647" spans="8:8">
      <c r="H47647" t="s">
        <v>39867</v>
      </c>
    </row>
    <row r="47648" spans="8:8">
      <c r="H47648" t="s">
        <v>39868</v>
      </c>
    </row>
    <row r="47649" spans="8:8">
      <c r="H47649" t="s">
        <v>39869</v>
      </c>
    </row>
    <row r="47650" spans="8:8">
      <c r="H47650" t="s">
        <v>39870</v>
      </c>
    </row>
    <row r="47651" spans="8:8">
      <c r="H47651" t="s">
        <v>39871</v>
      </c>
    </row>
    <row r="47652" spans="8:8">
      <c r="H47652" t="s">
        <v>39872</v>
      </c>
    </row>
    <row r="47653" spans="8:8">
      <c r="H47653" t="s">
        <v>39873</v>
      </c>
    </row>
    <row r="47654" spans="8:8">
      <c r="H47654" t="s">
        <v>39874</v>
      </c>
    </row>
    <row r="47655" spans="8:8">
      <c r="H47655" t="s">
        <v>39875</v>
      </c>
    </row>
    <row r="47656" spans="8:8">
      <c r="H47656" t="s">
        <v>39876</v>
      </c>
    </row>
    <row r="47657" spans="8:8">
      <c r="H47657" t="s">
        <v>39877</v>
      </c>
    </row>
    <row r="47658" spans="8:8">
      <c r="H47658" t="s">
        <v>39878</v>
      </c>
    </row>
    <row r="47659" spans="8:8">
      <c r="H47659" t="s">
        <v>39879</v>
      </c>
    </row>
    <row r="47660" spans="8:8">
      <c r="H47660" t="s">
        <v>39880</v>
      </c>
    </row>
    <row r="47661" spans="8:8">
      <c r="H47661" t="s">
        <v>39881</v>
      </c>
    </row>
    <row r="47662" spans="8:8">
      <c r="H47662" t="s">
        <v>39882</v>
      </c>
    </row>
    <row r="47663" spans="8:8">
      <c r="H47663" t="s">
        <v>39883</v>
      </c>
    </row>
    <row r="47664" spans="8:8">
      <c r="H47664" t="s">
        <v>39884</v>
      </c>
    </row>
    <row r="47665" spans="8:8">
      <c r="H47665" t="s">
        <v>38878</v>
      </c>
    </row>
    <row r="47666" spans="8:8">
      <c r="H47666" t="s">
        <v>39885</v>
      </c>
    </row>
    <row r="47667" spans="8:8">
      <c r="H47667" t="s">
        <v>38879</v>
      </c>
    </row>
    <row r="47668" spans="8:8">
      <c r="H47668" t="s">
        <v>39886</v>
      </c>
    </row>
    <row r="47669" spans="8:8">
      <c r="H47669" t="s">
        <v>38880</v>
      </c>
    </row>
    <row r="47670" spans="8:8">
      <c r="H47670" t="s">
        <v>39887</v>
      </c>
    </row>
    <row r="47671" spans="8:8">
      <c r="H47671" t="s">
        <v>38881</v>
      </c>
    </row>
    <row r="47672" spans="8:8">
      <c r="H47672" t="s">
        <v>39888</v>
      </c>
    </row>
    <row r="47673" spans="8:8">
      <c r="H47673" t="s">
        <v>38882</v>
      </c>
    </row>
    <row r="47674" spans="8:8">
      <c r="H47674" t="s">
        <v>39889</v>
      </c>
    </row>
    <row r="47675" spans="8:8">
      <c r="H47675" t="s">
        <v>38883</v>
      </c>
    </row>
    <row r="47676" spans="8:8">
      <c r="H47676" t="s">
        <v>39890</v>
      </c>
    </row>
    <row r="47677" spans="8:8">
      <c r="H47677" t="s">
        <v>38884</v>
      </c>
    </row>
    <row r="47678" spans="8:8">
      <c r="H47678" t="s">
        <v>39891</v>
      </c>
    </row>
    <row r="47679" spans="8:8">
      <c r="H47679" t="s">
        <v>39892</v>
      </c>
    </row>
    <row r="47680" spans="8:8">
      <c r="H47680" t="s">
        <v>39893</v>
      </c>
    </row>
    <row r="47681" spans="8:8">
      <c r="H47681" t="s">
        <v>39894</v>
      </c>
    </row>
    <row r="47682" spans="8:8">
      <c r="H47682" t="s">
        <v>39895</v>
      </c>
    </row>
    <row r="47683" spans="8:8">
      <c r="H47683" t="s">
        <v>39896</v>
      </c>
    </row>
    <row r="47684" spans="8:8">
      <c r="H47684" t="s">
        <v>39897</v>
      </c>
    </row>
    <row r="47685" spans="8:8">
      <c r="H47685" t="s">
        <v>39898</v>
      </c>
    </row>
    <row r="47686" spans="8:8">
      <c r="H47686" t="s">
        <v>39899</v>
      </c>
    </row>
    <row r="47687" spans="8:8">
      <c r="H47687" t="s">
        <v>39900</v>
      </c>
    </row>
    <row r="47688" spans="8:8">
      <c r="H47688" t="s">
        <v>39901</v>
      </c>
    </row>
    <row r="47689" spans="8:8">
      <c r="H47689" t="s">
        <v>39902</v>
      </c>
    </row>
    <row r="47690" spans="8:8">
      <c r="H47690" t="s">
        <v>39903</v>
      </c>
    </row>
    <row r="47691" spans="8:8">
      <c r="H47691" t="s">
        <v>39904</v>
      </c>
    </row>
    <row r="47692" spans="8:8">
      <c r="H47692" t="s">
        <v>39905</v>
      </c>
    </row>
    <row r="47693" spans="8:8">
      <c r="H47693" t="s">
        <v>39906</v>
      </c>
    </row>
    <row r="47694" spans="8:8">
      <c r="H47694" t="s">
        <v>39907</v>
      </c>
    </row>
    <row r="47695" spans="8:8">
      <c r="H47695" t="s">
        <v>39908</v>
      </c>
    </row>
    <row r="47696" spans="8:8">
      <c r="H47696" t="s">
        <v>39909</v>
      </c>
    </row>
    <row r="47697" spans="8:8">
      <c r="H47697" t="s">
        <v>39910</v>
      </c>
    </row>
    <row r="47698" spans="8:8">
      <c r="H47698" t="s">
        <v>39911</v>
      </c>
    </row>
    <row r="47699" spans="8:8">
      <c r="H47699" t="s">
        <v>39912</v>
      </c>
    </row>
    <row r="47700" spans="8:8">
      <c r="H47700" t="s">
        <v>39913</v>
      </c>
    </row>
    <row r="47701" spans="8:8">
      <c r="H47701" t="s">
        <v>39914</v>
      </c>
    </row>
    <row r="47702" spans="8:8">
      <c r="H47702" t="s">
        <v>39915</v>
      </c>
    </row>
    <row r="47703" spans="8:8">
      <c r="H47703" t="s">
        <v>39916</v>
      </c>
    </row>
    <row r="47704" spans="8:8">
      <c r="H47704" t="s">
        <v>38892</v>
      </c>
    </row>
    <row r="47705" spans="8:8">
      <c r="H47705" t="s">
        <v>39917</v>
      </c>
    </row>
    <row r="47706" spans="8:8">
      <c r="H47706" t="s">
        <v>38893</v>
      </c>
    </row>
    <row r="47707" spans="8:8">
      <c r="H47707" t="s">
        <v>39918</v>
      </c>
    </row>
    <row r="47708" spans="8:8">
      <c r="H47708" t="s">
        <v>38894</v>
      </c>
    </row>
    <row r="47709" spans="8:8">
      <c r="H47709" t="s">
        <v>39919</v>
      </c>
    </row>
    <row r="47710" spans="8:8">
      <c r="H47710" t="s">
        <v>38895</v>
      </c>
    </row>
    <row r="47711" spans="8:8">
      <c r="H47711" t="s">
        <v>39920</v>
      </c>
    </row>
    <row r="47712" spans="8:8">
      <c r="H47712" t="s">
        <v>38896</v>
      </c>
    </row>
    <row r="47713" spans="8:8">
      <c r="H47713" t="s">
        <v>39921</v>
      </c>
    </row>
    <row r="47714" spans="8:8">
      <c r="H47714" t="s">
        <v>38897</v>
      </c>
    </row>
    <row r="47715" spans="8:8">
      <c r="H47715" t="s">
        <v>39922</v>
      </c>
    </row>
    <row r="47716" spans="8:8">
      <c r="H47716" t="s">
        <v>38898</v>
      </c>
    </row>
    <row r="47717" spans="8:8">
      <c r="H47717" t="s">
        <v>38899</v>
      </c>
    </row>
    <row r="47718" spans="8:8">
      <c r="H47718" t="s">
        <v>39923</v>
      </c>
    </row>
    <row r="47719" spans="8:8">
      <c r="H47719" t="s">
        <v>38900</v>
      </c>
    </row>
    <row r="47720" spans="8:8">
      <c r="H47720" t="s">
        <v>39924</v>
      </c>
    </row>
    <row r="47721" spans="8:8">
      <c r="H47721" t="s">
        <v>38901</v>
      </c>
    </row>
    <row r="47722" spans="8:8">
      <c r="H47722" t="s">
        <v>39925</v>
      </c>
    </row>
    <row r="47723" spans="8:8">
      <c r="H47723" t="s">
        <v>38902</v>
      </c>
    </row>
    <row r="47724" spans="8:8">
      <c r="H47724" t="s">
        <v>39926</v>
      </c>
    </row>
    <row r="47725" spans="8:8">
      <c r="H47725" t="s">
        <v>38903</v>
      </c>
    </row>
    <row r="47726" spans="8:8">
      <c r="H47726" t="s">
        <v>38904</v>
      </c>
    </row>
    <row r="47727" spans="8:8">
      <c r="H47727" t="s">
        <v>39927</v>
      </c>
    </row>
    <row r="47728" spans="8:8">
      <c r="H47728" t="s">
        <v>38905</v>
      </c>
    </row>
    <row r="47729" spans="8:8">
      <c r="H47729" t="s">
        <v>39928</v>
      </c>
    </row>
    <row r="47730" spans="8:8">
      <c r="H47730" t="s">
        <v>38906</v>
      </c>
    </row>
    <row r="47731" spans="8:8">
      <c r="H47731" t="s">
        <v>39929</v>
      </c>
    </row>
    <row r="47732" spans="8:8">
      <c r="H47732" t="s">
        <v>38907</v>
      </c>
    </row>
    <row r="47733" spans="8:8">
      <c r="H47733" t="s">
        <v>39930</v>
      </c>
    </row>
    <row r="47734" spans="8:8">
      <c r="H47734" t="s">
        <v>38908</v>
      </c>
    </row>
    <row r="47735" spans="8:8">
      <c r="H47735" t="s">
        <v>38909</v>
      </c>
    </row>
    <row r="47736" spans="8:8">
      <c r="H47736" t="s">
        <v>39931</v>
      </c>
    </row>
    <row r="47737" spans="8:8">
      <c r="H47737" t="s">
        <v>38910</v>
      </c>
    </row>
    <row r="47738" spans="8:8">
      <c r="H47738" t="s">
        <v>39932</v>
      </c>
    </row>
    <row r="47739" spans="8:8">
      <c r="H47739" t="s">
        <v>38911</v>
      </c>
    </row>
    <row r="47740" spans="8:8">
      <c r="H47740" t="s">
        <v>39933</v>
      </c>
    </row>
    <row r="47741" spans="8:8">
      <c r="H47741" t="s">
        <v>38912</v>
      </c>
    </row>
    <row r="47742" spans="8:8">
      <c r="H47742" t="s">
        <v>39934</v>
      </c>
    </row>
    <row r="47743" spans="8:8">
      <c r="H47743" t="s">
        <v>38913</v>
      </c>
    </row>
    <row r="47744" spans="8:8">
      <c r="H47744" t="s">
        <v>38914</v>
      </c>
    </row>
    <row r="47745" spans="8:8">
      <c r="H47745" t="s">
        <v>39935</v>
      </c>
    </row>
    <row r="47746" spans="8:8">
      <c r="H47746" t="s">
        <v>38915</v>
      </c>
    </row>
    <row r="47747" spans="8:8">
      <c r="H47747" t="s">
        <v>39936</v>
      </c>
    </row>
    <row r="47748" spans="8:8">
      <c r="H47748" t="s">
        <v>38916</v>
      </c>
    </row>
    <row r="47749" spans="8:8">
      <c r="H47749" t="s">
        <v>39937</v>
      </c>
    </row>
    <row r="47750" spans="8:8">
      <c r="H47750" t="s">
        <v>38917</v>
      </c>
    </row>
    <row r="47751" spans="8:8">
      <c r="H47751" t="s">
        <v>39938</v>
      </c>
    </row>
    <row r="47752" spans="8:8">
      <c r="H47752" t="s">
        <v>38918</v>
      </c>
    </row>
    <row r="47753" spans="8:8">
      <c r="H47753" t="s">
        <v>38919</v>
      </c>
    </row>
    <row r="47754" spans="8:8">
      <c r="H47754" t="s">
        <v>39939</v>
      </c>
    </row>
    <row r="47755" spans="8:8">
      <c r="H47755" t="s">
        <v>38920</v>
      </c>
    </row>
    <row r="47756" spans="8:8">
      <c r="H47756" t="s">
        <v>39940</v>
      </c>
    </row>
    <row r="47757" spans="8:8">
      <c r="H47757" t="s">
        <v>38921</v>
      </c>
    </row>
    <row r="47758" spans="8:8">
      <c r="H47758" t="s">
        <v>39941</v>
      </c>
    </row>
    <row r="47759" spans="8:8">
      <c r="H47759" t="s">
        <v>38922</v>
      </c>
    </row>
    <row r="47760" spans="8:8">
      <c r="H47760" t="s">
        <v>39942</v>
      </c>
    </row>
    <row r="47761" spans="8:8">
      <c r="H47761" t="s">
        <v>38923</v>
      </c>
    </row>
    <row r="47762" spans="8:8">
      <c r="H47762" t="s">
        <v>39943</v>
      </c>
    </row>
    <row r="47763" spans="8:8">
      <c r="H47763" t="s">
        <v>38924</v>
      </c>
    </row>
    <row r="47764" spans="8:8">
      <c r="H47764" t="s">
        <v>39944</v>
      </c>
    </row>
    <row r="47765" spans="8:8">
      <c r="H47765" t="s">
        <v>38925</v>
      </c>
    </row>
    <row r="47766" spans="8:8">
      <c r="H47766" t="s">
        <v>38926</v>
      </c>
    </row>
    <row r="47767" spans="8:8">
      <c r="H47767" t="s">
        <v>39945</v>
      </c>
    </row>
    <row r="47768" spans="8:8">
      <c r="H47768" t="s">
        <v>38927</v>
      </c>
    </row>
    <row r="47769" spans="8:8">
      <c r="H47769" t="s">
        <v>39946</v>
      </c>
    </row>
    <row r="47770" spans="8:8">
      <c r="H47770" t="s">
        <v>38928</v>
      </c>
    </row>
    <row r="47771" spans="8:8">
      <c r="H47771" t="s">
        <v>39947</v>
      </c>
    </row>
    <row r="47772" spans="8:8">
      <c r="H47772" t="s">
        <v>38929</v>
      </c>
    </row>
    <row r="47773" spans="8:8">
      <c r="H47773" t="s">
        <v>39948</v>
      </c>
    </row>
    <row r="47774" spans="8:8">
      <c r="H47774" t="s">
        <v>38930</v>
      </c>
    </row>
    <row r="47775" spans="8:8">
      <c r="H47775" t="s">
        <v>39949</v>
      </c>
    </row>
    <row r="47776" spans="8:8">
      <c r="H47776" t="s">
        <v>38931</v>
      </c>
    </row>
    <row r="47777" spans="8:8">
      <c r="H47777" t="s">
        <v>39950</v>
      </c>
    </row>
    <row r="47778" spans="8:8">
      <c r="H47778" t="s">
        <v>38932</v>
      </c>
    </row>
    <row r="47779" spans="8:8">
      <c r="H47779" t="s">
        <v>38933</v>
      </c>
    </row>
    <row r="47780" spans="8:8">
      <c r="H47780" t="s">
        <v>39951</v>
      </c>
    </row>
    <row r="47781" spans="8:8">
      <c r="H47781" t="s">
        <v>38934</v>
      </c>
    </row>
    <row r="47782" spans="8:8">
      <c r="H47782" t="s">
        <v>39952</v>
      </c>
    </row>
    <row r="47783" spans="8:8">
      <c r="H47783" t="s">
        <v>38935</v>
      </c>
    </row>
    <row r="47784" spans="8:8">
      <c r="H47784" t="s">
        <v>39953</v>
      </c>
    </row>
    <row r="47785" spans="8:8">
      <c r="H47785" t="s">
        <v>38936</v>
      </c>
    </row>
    <row r="47786" spans="8:8">
      <c r="H47786" t="s">
        <v>39954</v>
      </c>
    </row>
    <row r="47787" spans="8:8">
      <c r="H47787" t="s">
        <v>38937</v>
      </c>
    </row>
    <row r="47788" spans="8:8">
      <c r="H47788" t="s">
        <v>39955</v>
      </c>
    </row>
    <row r="47789" spans="8:8">
      <c r="H47789" t="s">
        <v>38938</v>
      </c>
    </row>
    <row r="47790" spans="8:8">
      <c r="H47790" t="s">
        <v>39956</v>
      </c>
    </row>
    <row r="47791" spans="8:8">
      <c r="H47791" t="s">
        <v>38939</v>
      </c>
    </row>
    <row r="47792" spans="8:8">
      <c r="H47792" t="s">
        <v>38940</v>
      </c>
    </row>
    <row r="47793" spans="8:8">
      <c r="H47793" t="s">
        <v>39957</v>
      </c>
    </row>
    <row r="47794" spans="8:8">
      <c r="H47794" t="s">
        <v>38941</v>
      </c>
    </row>
    <row r="47795" spans="8:8">
      <c r="H47795" t="s">
        <v>39958</v>
      </c>
    </row>
    <row r="47796" spans="8:8">
      <c r="H47796" t="s">
        <v>38942</v>
      </c>
    </row>
    <row r="47797" spans="8:8">
      <c r="H47797" t="s">
        <v>39959</v>
      </c>
    </row>
    <row r="47798" spans="8:8">
      <c r="H47798" t="s">
        <v>38943</v>
      </c>
    </row>
    <row r="47799" spans="8:8">
      <c r="H47799" t="s">
        <v>39960</v>
      </c>
    </row>
    <row r="47800" spans="8:8">
      <c r="H47800" t="s">
        <v>38944</v>
      </c>
    </row>
    <row r="47801" spans="8:8">
      <c r="H47801" t="s">
        <v>39961</v>
      </c>
    </row>
    <row r="47802" spans="8:8">
      <c r="H47802" t="s">
        <v>38945</v>
      </c>
    </row>
    <row r="47803" spans="8:8">
      <c r="H47803" t="s">
        <v>39962</v>
      </c>
    </row>
    <row r="47804" spans="8:8">
      <c r="H47804" t="s">
        <v>38946</v>
      </c>
    </row>
    <row r="47805" spans="8:8">
      <c r="H47805" t="s">
        <v>38947</v>
      </c>
    </row>
    <row r="47806" spans="8:8">
      <c r="H47806" t="s">
        <v>39963</v>
      </c>
    </row>
    <row r="47807" spans="8:8">
      <c r="H47807" t="s">
        <v>38948</v>
      </c>
    </row>
    <row r="47808" spans="8:8">
      <c r="H47808" t="s">
        <v>39964</v>
      </c>
    </row>
    <row r="47809" spans="1:8">
      <c r="H47809" t="s">
        <v>38949</v>
      </c>
    </row>
    <row r="47810" spans="1:8">
      <c r="H47810" t="s">
        <v>39965</v>
      </c>
    </row>
    <row r="47811" spans="1:8">
      <c r="H47811" t="s">
        <v>38950</v>
      </c>
    </row>
    <row r="47812" spans="1:8">
      <c r="H47812" t="s">
        <v>39966</v>
      </c>
    </row>
    <row r="47813" spans="1:8">
      <c r="H47813" t="s">
        <v>38951</v>
      </c>
    </row>
    <row r="47814" spans="1:8">
      <c r="H47814" t="s">
        <v>39967</v>
      </c>
    </row>
    <row r="47815" spans="1:8">
      <c r="H47815" t="s">
        <v>38952</v>
      </c>
    </row>
    <row r="47816" spans="1:8">
      <c r="H47816" t="s">
        <v>39968</v>
      </c>
    </row>
    <row r="47817" spans="1:8">
      <c r="H47817" t="s">
        <v>38953</v>
      </c>
    </row>
    <row r="47818" spans="1:8">
      <c r="A47818" t="s">
        <v>4899</v>
      </c>
      <c r="B47818">
        <f>HYPERLINK("https://android.googlesource.com/platform/cts/+/21849f871d414d75426b33d2c790c8578032a17e", "21849f871d414d75426b33d2c790c8578032a17e")</f>
        <v>0</v>
      </c>
      <c r="C47818">
        <f>HYPERLINK("https://android.googlesource.com/platform/cts/+/befdfc5ae1214a6bf7e7390fb8fae57818d51310", "befdfc5ae1214a6bf7e7390fb8fae57818d51310")</f>
        <v>0</v>
      </c>
      <c r="D47818" t="s">
        <v>5576</v>
      </c>
      <c r="E47818" t="s">
        <v>10555</v>
      </c>
      <c r="F47818" t="s">
        <v>14449</v>
      </c>
      <c r="G47818" t="s">
        <v>18384</v>
      </c>
      <c r="H47818" t="s">
        <v>39969</v>
      </c>
    </row>
    <row r="47819" spans="1:8">
      <c r="H47819" t="s">
        <v>39970</v>
      </c>
    </row>
    <row r="47820" spans="1:8">
      <c r="H47820" t="s">
        <v>39971</v>
      </c>
    </row>
    <row r="47821" spans="1:8">
      <c r="H47821" t="s">
        <v>39972</v>
      </c>
    </row>
    <row r="47822" spans="1:8">
      <c r="H47822" t="s">
        <v>39973</v>
      </c>
    </row>
    <row r="47823" spans="1:8">
      <c r="H47823" t="s">
        <v>35050</v>
      </c>
    </row>
    <row r="47824" spans="1:8">
      <c r="F47824" t="s">
        <v>14450</v>
      </c>
      <c r="G47824" t="s">
        <v>18385</v>
      </c>
      <c r="H47824" t="s">
        <v>30030</v>
      </c>
    </row>
    <row r="47825" spans="6:8">
      <c r="H47825" t="s">
        <v>36009</v>
      </c>
    </row>
    <row r="47826" spans="6:8">
      <c r="H47826" t="s">
        <v>35050</v>
      </c>
    </row>
    <row r="47827" spans="6:8">
      <c r="F47827" t="s">
        <v>14950</v>
      </c>
      <c r="G47827" t="s">
        <v>18782</v>
      </c>
      <c r="H47827" t="s">
        <v>30030</v>
      </c>
    </row>
    <row r="47828" spans="6:8">
      <c r="H47828" t="s">
        <v>36009</v>
      </c>
    </row>
    <row r="47829" spans="6:8">
      <c r="H47829" t="s">
        <v>35050</v>
      </c>
    </row>
    <row r="47830" spans="6:8">
      <c r="F47830" t="s">
        <v>14951</v>
      </c>
      <c r="G47830" t="s">
        <v>18783</v>
      </c>
      <c r="H47830" t="s">
        <v>30030</v>
      </c>
    </row>
    <row r="47831" spans="6:8">
      <c r="H47831" t="s">
        <v>39974</v>
      </c>
    </row>
    <row r="47832" spans="6:8">
      <c r="H47832" t="s">
        <v>36009</v>
      </c>
    </row>
    <row r="47833" spans="6:8">
      <c r="H47833" t="s">
        <v>35050</v>
      </c>
    </row>
    <row r="47834" spans="6:8">
      <c r="F47834" t="s">
        <v>14952</v>
      </c>
      <c r="G47834" t="s">
        <v>18784</v>
      </c>
      <c r="H47834" t="s">
        <v>30030</v>
      </c>
    </row>
    <row r="47835" spans="6:8">
      <c r="H47835" t="s">
        <v>39975</v>
      </c>
    </row>
    <row r="47836" spans="6:8">
      <c r="H47836" t="s">
        <v>36009</v>
      </c>
    </row>
    <row r="47837" spans="6:8">
      <c r="H47837" t="s">
        <v>35050</v>
      </c>
    </row>
    <row r="47838" spans="6:8">
      <c r="F47838" t="s">
        <v>14953</v>
      </c>
      <c r="G47838" t="s">
        <v>18785</v>
      </c>
      <c r="H47838" t="s">
        <v>39976</v>
      </c>
    </row>
    <row r="47839" spans="6:8">
      <c r="H47839" t="s">
        <v>39977</v>
      </c>
    </row>
    <row r="47840" spans="6:8">
      <c r="H47840" t="s">
        <v>39978</v>
      </c>
    </row>
    <row r="47841" spans="6:8">
      <c r="H47841" t="s">
        <v>39979</v>
      </c>
    </row>
    <row r="47842" spans="6:8">
      <c r="H47842" t="s">
        <v>39980</v>
      </c>
    </row>
    <row r="47843" spans="6:8">
      <c r="H47843" t="s">
        <v>39981</v>
      </c>
    </row>
    <row r="47844" spans="6:8">
      <c r="H47844" t="s">
        <v>39982</v>
      </c>
    </row>
    <row r="47845" spans="6:8">
      <c r="F47845" t="s">
        <v>14954</v>
      </c>
      <c r="G47845" t="s">
        <v>18786</v>
      </c>
      <c r="H47845" t="s">
        <v>19981</v>
      </c>
    </row>
    <row r="47846" spans="6:8">
      <c r="H47846" t="s">
        <v>39983</v>
      </c>
    </row>
    <row r="47847" spans="6:8">
      <c r="F47847" t="s">
        <v>14536</v>
      </c>
      <c r="G47847" t="s">
        <v>18460</v>
      </c>
      <c r="H47847" t="s">
        <v>19981</v>
      </c>
    </row>
    <row r="47848" spans="6:8">
      <c r="H47848" t="s">
        <v>39984</v>
      </c>
    </row>
    <row r="47849" spans="6:8">
      <c r="H47849" t="s">
        <v>39985</v>
      </c>
    </row>
    <row r="47850" spans="6:8">
      <c r="H47850" t="s">
        <v>39986</v>
      </c>
    </row>
    <row r="47851" spans="6:8">
      <c r="H47851" t="s">
        <v>39987</v>
      </c>
    </row>
    <row r="47852" spans="6:8">
      <c r="H47852" t="s">
        <v>39988</v>
      </c>
    </row>
    <row r="47853" spans="6:8">
      <c r="H47853" t="s">
        <v>39989</v>
      </c>
    </row>
    <row r="47854" spans="6:8">
      <c r="H47854" t="s">
        <v>39990</v>
      </c>
    </row>
    <row r="47855" spans="6:8">
      <c r="H47855" t="s">
        <v>39991</v>
      </c>
    </row>
    <row r="47856" spans="6:8">
      <c r="H47856" t="s">
        <v>39992</v>
      </c>
    </row>
    <row r="47857" spans="8:8">
      <c r="H47857" t="s">
        <v>39993</v>
      </c>
    </row>
    <row r="47858" spans="8:8">
      <c r="H47858" t="s">
        <v>39994</v>
      </c>
    </row>
    <row r="47859" spans="8:8">
      <c r="H47859" t="s">
        <v>39995</v>
      </c>
    </row>
    <row r="47860" spans="8:8">
      <c r="H47860" t="s">
        <v>39996</v>
      </c>
    </row>
    <row r="47861" spans="8:8">
      <c r="H47861" t="s">
        <v>39997</v>
      </c>
    </row>
    <row r="47862" spans="8:8">
      <c r="H47862" t="s">
        <v>39998</v>
      </c>
    </row>
    <row r="47863" spans="8:8">
      <c r="H47863" t="s">
        <v>39999</v>
      </c>
    </row>
    <row r="47864" spans="8:8">
      <c r="H47864" t="s">
        <v>40000</v>
      </c>
    </row>
    <row r="47865" spans="8:8">
      <c r="H47865" t="s">
        <v>40001</v>
      </c>
    </row>
    <row r="47866" spans="8:8">
      <c r="H47866" t="s">
        <v>40002</v>
      </c>
    </row>
    <row r="47867" spans="8:8">
      <c r="H47867" t="s">
        <v>40003</v>
      </c>
    </row>
    <row r="47868" spans="8:8">
      <c r="H47868" t="s">
        <v>40004</v>
      </c>
    </row>
    <row r="47869" spans="8:8">
      <c r="H47869" t="s">
        <v>40005</v>
      </c>
    </row>
    <row r="47870" spans="8:8">
      <c r="H47870" t="s">
        <v>40006</v>
      </c>
    </row>
    <row r="47871" spans="8:8">
      <c r="H47871" t="s">
        <v>40007</v>
      </c>
    </row>
    <row r="47872" spans="8:8">
      <c r="H47872" t="s">
        <v>40008</v>
      </c>
    </row>
    <row r="47873" spans="8:8">
      <c r="H47873" t="s">
        <v>40009</v>
      </c>
    </row>
    <row r="47874" spans="8:8">
      <c r="H47874" t="s">
        <v>40010</v>
      </c>
    </row>
    <row r="47875" spans="8:8">
      <c r="H47875" t="s">
        <v>40011</v>
      </c>
    </row>
    <row r="47876" spans="8:8">
      <c r="H47876" t="s">
        <v>40012</v>
      </c>
    </row>
    <row r="47877" spans="8:8">
      <c r="H47877" t="s">
        <v>40013</v>
      </c>
    </row>
    <row r="47878" spans="8:8">
      <c r="H47878" t="s">
        <v>40014</v>
      </c>
    </row>
    <row r="47879" spans="8:8">
      <c r="H47879" t="s">
        <v>40014</v>
      </c>
    </row>
    <row r="47880" spans="8:8">
      <c r="H47880" t="s">
        <v>40015</v>
      </c>
    </row>
    <row r="47881" spans="8:8">
      <c r="H47881" t="s">
        <v>21463</v>
      </c>
    </row>
    <row r="47882" spans="8:8">
      <c r="H47882" t="s">
        <v>40016</v>
      </c>
    </row>
    <row r="47883" spans="8:8">
      <c r="H47883" t="s">
        <v>34939</v>
      </c>
    </row>
    <row r="47884" spans="8:8">
      <c r="H47884" t="s">
        <v>40017</v>
      </c>
    </row>
    <row r="47885" spans="8:8">
      <c r="H47885" t="s">
        <v>40018</v>
      </c>
    </row>
    <row r="47886" spans="8:8">
      <c r="H47886" t="s">
        <v>40019</v>
      </c>
    </row>
    <row r="47887" spans="8:8">
      <c r="H47887" t="s">
        <v>34940</v>
      </c>
    </row>
    <row r="47888" spans="8:8">
      <c r="H47888" t="s">
        <v>40020</v>
      </c>
    </row>
    <row r="47889" spans="8:8">
      <c r="H47889" t="s">
        <v>25975</v>
      </c>
    </row>
    <row r="47890" spans="8:8">
      <c r="H47890" t="s">
        <v>40021</v>
      </c>
    </row>
    <row r="47891" spans="8:8">
      <c r="H47891" t="s">
        <v>40022</v>
      </c>
    </row>
    <row r="47892" spans="8:8">
      <c r="H47892" t="s">
        <v>40023</v>
      </c>
    </row>
    <row r="47893" spans="8:8">
      <c r="H47893" t="s">
        <v>40024</v>
      </c>
    </row>
    <row r="47894" spans="8:8">
      <c r="H47894" t="s">
        <v>40025</v>
      </c>
    </row>
    <row r="47895" spans="8:8">
      <c r="H47895" t="s">
        <v>40026</v>
      </c>
    </row>
    <row r="47896" spans="8:8">
      <c r="H47896" t="s">
        <v>40027</v>
      </c>
    </row>
    <row r="47897" spans="8:8">
      <c r="H47897" t="s">
        <v>40028</v>
      </c>
    </row>
    <row r="47898" spans="8:8">
      <c r="H47898" t="s">
        <v>40029</v>
      </c>
    </row>
    <row r="47899" spans="8:8">
      <c r="H47899" t="s">
        <v>40030</v>
      </c>
    </row>
    <row r="47900" spans="8:8">
      <c r="H47900" t="s">
        <v>40031</v>
      </c>
    </row>
    <row r="47901" spans="8:8">
      <c r="H47901" t="s">
        <v>40032</v>
      </c>
    </row>
    <row r="47902" spans="8:8">
      <c r="H47902" t="s">
        <v>40033</v>
      </c>
    </row>
    <row r="47903" spans="8:8">
      <c r="H47903" t="s">
        <v>40034</v>
      </c>
    </row>
    <row r="47904" spans="8:8">
      <c r="H47904" t="s">
        <v>34672</v>
      </c>
    </row>
    <row r="47905" spans="1:8">
      <c r="H47905" t="s">
        <v>40035</v>
      </c>
    </row>
    <row r="47906" spans="1:8">
      <c r="H47906" t="s">
        <v>40036</v>
      </c>
    </row>
    <row r="47907" spans="1:8">
      <c r="H47907" t="s">
        <v>40037</v>
      </c>
    </row>
    <row r="47908" spans="1:8">
      <c r="A47908" t="s">
        <v>4900</v>
      </c>
      <c r="B47908">
        <f>HYPERLINK("https://android.googlesource.com/platform/cts/+/409e62101c9c22c18547efabffebe47a9e9adc5c", "409e62101c9c22c18547efabffebe47a9e9adc5c")</f>
        <v>0</v>
      </c>
      <c r="C47908">
        <f>HYPERLINK("https://android.googlesource.com/platform/cts/+/177d303cc438b6e3002120e163c43121bf93ea1b", "177d303cc438b6e3002120e163c43121bf93ea1b")</f>
        <v>0</v>
      </c>
      <c r="D47908" t="s">
        <v>5799</v>
      </c>
      <c r="E47908" t="s">
        <v>10556</v>
      </c>
      <c r="F47908" t="s">
        <v>14955</v>
      </c>
      <c r="G47908" t="s">
        <v>18787</v>
      </c>
      <c r="H47908" t="s">
        <v>40038</v>
      </c>
    </row>
    <row r="47909" spans="1:8">
      <c r="H47909" t="s">
        <v>40038</v>
      </c>
    </row>
    <row r="47910" spans="1:8">
      <c r="H47910" t="s">
        <v>40038</v>
      </c>
    </row>
    <row r="47911" spans="1:8">
      <c r="H47911" t="s">
        <v>40038</v>
      </c>
    </row>
    <row r="47912" spans="1:8">
      <c r="H47912" t="s">
        <v>40038</v>
      </c>
    </row>
    <row r="47913" spans="1:8">
      <c r="H47913" t="s">
        <v>40038</v>
      </c>
    </row>
    <row r="47914" spans="1:8">
      <c r="F47914" t="s">
        <v>14801</v>
      </c>
      <c r="G47914" t="s">
        <v>18666</v>
      </c>
      <c r="H47914" t="s">
        <v>40038</v>
      </c>
    </row>
    <row r="47915" spans="1:8">
      <c r="H47915" t="s">
        <v>40038</v>
      </c>
    </row>
    <row r="47916" spans="1:8">
      <c r="H47916" t="s">
        <v>40038</v>
      </c>
    </row>
    <row r="47917" spans="1:8">
      <c r="H47917" t="s">
        <v>40038</v>
      </c>
    </row>
    <row r="47918" spans="1:8">
      <c r="F47918" t="s">
        <v>14825</v>
      </c>
      <c r="G47918" t="s">
        <v>18687</v>
      </c>
      <c r="H47918" t="s">
        <v>40038</v>
      </c>
    </row>
    <row r="47919" spans="1:8">
      <c r="A47919" t="s">
        <v>4901</v>
      </c>
      <c r="B47919">
        <f>HYPERLINK("https://android.googlesource.com/platform/cts/+/77336345f9627ba2cdf61f10a64dd60d1cd108f7", "77336345f9627ba2cdf61f10a64dd60d1cd108f7")</f>
        <v>0</v>
      </c>
      <c r="C47919">
        <f>HYPERLINK("https://android.googlesource.com/platform/cts/+/644e066cc8e7f5798043b086169e8832dc3988b9", "644e066cc8e7f5798043b086169e8832dc3988b9")</f>
        <v>0</v>
      </c>
      <c r="D47919" t="s">
        <v>5800</v>
      </c>
      <c r="E47919" t="s">
        <v>10557</v>
      </c>
      <c r="F47919" t="s">
        <v>14162</v>
      </c>
      <c r="G47919" t="s">
        <v>17751</v>
      </c>
      <c r="H47919" t="s">
        <v>40039</v>
      </c>
    </row>
    <row r="47920" spans="1:8">
      <c r="H47920" t="s">
        <v>32737</v>
      </c>
    </row>
    <row r="47921" spans="1:8">
      <c r="A47921" t="s">
        <v>4902</v>
      </c>
      <c r="B47921">
        <f>HYPERLINK("https://android.googlesource.com/platform/cts/+/63b3bad30f521f072f7df019b0fda9be4453dd17", "63b3bad30f521f072f7df019b0fda9be4453dd17")</f>
        <v>0</v>
      </c>
      <c r="C47921">
        <f>HYPERLINK("https://android.googlesource.com/platform/cts/+/1f8e92222681bb647efe8d59d6e5dd8fdfb404f9", "1f8e92222681bb647efe8d59d6e5dd8fdfb404f9")</f>
        <v>0</v>
      </c>
      <c r="D47921" t="s">
        <v>5564</v>
      </c>
      <c r="E47921" t="s">
        <v>10558</v>
      </c>
      <c r="F47921" t="s">
        <v>14506</v>
      </c>
      <c r="G47921" t="s">
        <v>18435</v>
      </c>
      <c r="H47921" t="s">
        <v>40040</v>
      </c>
    </row>
    <row r="47922" spans="1:8">
      <c r="A47922" t="s">
        <v>4904</v>
      </c>
      <c r="B47922">
        <f>HYPERLINK("https://android.googlesource.com/platform/cts/+/6554b0ac78dc125b0163503df58449802a42f760", "6554b0ac78dc125b0163503df58449802a42f760")</f>
        <v>0</v>
      </c>
      <c r="C47922">
        <f>HYPERLINK("https://android.googlesource.com/platform/cts/+/40def1b6555b9d8583297a3ad77a6c77df9a0035", "40def1b6555b9d8583297a3ad77a6c77df9a0035")</f>
        <v>0</v>
      </c>
      <c r="D47922" t="s">
        <v>5687</v>
      </c>
      <c r="E47922" t="s">
        <v>10560</v>
      </c>
      <c r="F47922" t="s">
        <v>14804</v>
      </c>
      <c r="G47922" t="s">
        <v>18669</v>
      </c>
      <c r="H47922" t="s">
        <v>28404</v>
      </c>
    </row>
    <row r="47923" spans="1:8">
      <c r="A47923" t="s">
        <v>4905</v>
      </c>
      <c r="B47923">
        <f>HYPERLINK("https://android.googlesource.com/platform/cts/+/c91ed97f97f17ad4b71a9d3f881aec81ba382041", "c91ed97f97f17ad4b71a9d3f881aec81ba382041")</f>
        <v>0</v>
      </c>
      <c r="C47923">
        <f>HYPERLINK("https://android.googlesource.com/platform/cts/+/39cf718c5201ca6ac39c488d8c29f29abcd54137", "39cf718c5201ca6ac39c488d8c29f29abcd54137")</f>
        <v>0</v>
      </c>
      <c r="D47923" t="s">
        <v>5564</v>
      </c>
      <c r="E47923" t="s">
        <v>10561</v>
      </c>
      <c r="F47923" t="s">
        <v>14956</v>
      </c>
      <c r="G47923" t="s">
        <v>15676</v>
      </c>
      <c r="H47923" t="s">
        <v>40041</v>
      </c>
    </row>
    <row r="47924" spans="1:8">
      <c r="H47924" t="s">
        <v>40042</v>
      </c>
    </row>
    <row r="47925" spans="1:8">
      <c r="H47925" t="s">
        <v>40043</v>
      </c>
    </row>
    <row r="47926" spans="1:8">
      <c r="A47926" t="s">
        <v>4906</v>
      </c>
      <c r="B47926">
        <f>HYPERLINK("https://android.googlesource.com/platform/cts/+/615edc2898ee26f3583cb74a4a4ac5958f7e87a7", "615edc2898ee26f3583cb74a4a4ac5958f7e87a7")</f>
        <v>0</v>
      </c>
      <c r="C47926">
        <f>HYPERLINK("https://android.googlesource.com/platform/cts/+/ab4b09f0e3bb97d3ddef637317c4ad2da055748d", "ab4b09f0e3bb97d3ddef637317c4ad2da055748d")</f>
        <v>0</v>
      </c>
      <c r="D47926" t="s">
        <v>5409</v>
      </c>
      <c r="E47926" t="s">
        <v>10562</v>
      </c>
      <c r="F47926" t="s">
        <v>14435</v>
      </c>
      <c r="G47926" t="s">
        <v>18371</v>
      </c>
      <c r="H47926" t="s">
        <v>40044</v>
      </c>
    </row>
    <row r="47927" spans="1:8">
      <c r="H47927" t="s">
        <v>40045</v>
      </c>
    </row>
    <row r="47928" spans="1:8">
      <c r="F47928" t="s">
        <v>14957</v>
      </c>
      <c r="G47928" t="s">
        <v>18788</v>
      </c>
      <c r="H47928" t="s">
        <v>18829</v>
      </c>
    </row>
    <row r="47929" spans="1:8">
      <c r="H47929" t="s">
        <v>18863</v>
      </c>
    </row>
    <row r="47930" spans="1:8">
      <c r="H47930" t="s">
        <v>40046</v>
      </c>
    </row>
    <row r="47931" spans="1:8">
      <c r="H47931" t="s">
        <v>40047</v>
      </c>
    </row>
    <row r="47932" spans="1:8">
      <c r="H47932" t="s">
        <v>40048</v>
      </c>
    </row>
    <row r="47933" spans="1:8">
      <c r="F47933" t="s">
        <v>14958</v>
      </c>
      <c r="G47933" t="s">
        <v>18789</v>
      </c>
      <c r="H47933" t="s">
        <v>18829</v>
      </c>
    </row>
    <row r="47934" spans="1:8">
      <c r="H47934" t="s">
        <v>18863</v>
      </c>
    </row>
    <row r="47935" spans="1:8">
      <c r="H47935" t="s">
        <v>40049</v>
      </c>
    </row>
    <row r="47936" spans="1:8">
      <c r="H47936" t="s">
        <v>40050</v>
      </c>
    </row>
    <row r="47937" spans="6:8">
      <c r="H47937" t="s">
        <v>40051</v>
      </c>
    </row>
    <row r="47938" spans="6:8">
      <c r="H47938" t="s">
        <v>40052</v>
      </c>
    </row>
    <row r="47939" spans="6:8">
      <c r="H47939" t="s">
        <v>40053</v>
      </c>
    </row>
    <row r="47940" spans="6:8">
      <c r="H47940" t="s">
        <v>19019</v>
      </c>
    </row>
    <row r="47941" spans="6:8">
      <c r="H47941" t="s">
        <v>40054</v>
      </c>
    </row>
    <row r="47942" spans="6:8">
      <c r="H47942" t="s">
        <v>40055</v>
      </c>
    </row>
    <row r="47943" spans="6:8">
      <c r="H47943" t="s">
        <v>40056</v>
      </c>
    </row>
    <row r="47944" spans="6:8">
      <c r="F47944" t="s">
        <v>14136</v>
      </c>
      <c r="G47944" t="s">
        <v>18124</v>
      </c>
      <c r="H47944" t="s">
        <v>40057</v>
      </c>
    </row>
    <row r="47945" spans="6:8">
      <c r="H47945" t="s">
        <v>40058</v>
      </c>
    </row>
    <row r="47946" spans="6:8">
      <c r="F47946" t="s">
        <v>14137</v>
      </c>
      <c r="G47946" t="s">
        <v>18125</v>
      </c>
      <c r="H47946" t="s">
        <v>18829</v>
      </c>
    </row>
    <row r="47947" spans="6:8">
      <c r="H47947" t="s">
        <v>18863</v>
      </c>
    </row>
    <row r="47948" spans="6:8">
      <c r="H47948" t="s">
        <v>40059</v>
      </c>
    </row>
    <row r="47949" spans="6:8">
      <c r="H47949" t="s">
        <v>40060</v>
      </c>
    </row>
    <row r="47950" spans="6:8">
      <c r="H47950" t="s">
        <v>40061</v>
      </c>
    </row>
    <row r="47951" spans="6:8">
      <c r="H47951" t="s">
        <v>19266</v>
      </c>
    </row>
    <row r="47952" spans="6:8">
      <c r="H47952" t="s">
        <v>40062</v>
      </c>
    </row>
    <row r="47953" spans="6:8">
      <c r="H47953" t="s">
        <v>40063</v>
      </c>
    </row>
    <row r="47954" spans="6:8">
      <c r="H47954" t="s">
        <v>40064</v>
      </c>
    </row>
    <row r="47955" spans="6:8">
      <c r="F47955" t="s">
        <v>12901</v>
      </c>
      <c r="G47955" t="s">
        <v>17068</v>
      </c>
      <c r="H47955" t="s">
        <v>40065</v>
      </c>
    </row>
    <row r="47956" spans="6:8">
      <c r="H47956" t="s">
        <v>40066</v>
      </c>
    </row>
    <row r="47957" spans="6:8">
      <c r="F47957" t="s">
        <v>14959</v>
      </c>
      <c r="G47957" t="s">
        <v>18790</v>
      </c>
      <c r="H47957" t="s">
        <v>40067</v>
      </c>
    </row>
    <row r="47958" spans="6:8">
      <c r="F47958" t="s">
        <v>14960</v>
      </c>
      <c r="G47958" t="s">
        <v>18791</v>
      </c>
      <c r="H47958" t="s">
        <v>18829</v>
      </c>
    </row>
    <row r="47959" spans="6:8">
      <c r="H47959" t="s">
        <v>18863</v>
      </c>
    </row>
    <row r="47960" spans="6:8">
      <c r="H47960" t="s">
        <v>40068</v>
      </c>
    </row>
    <row r="47961" spans="6:8">
      <c r="H47961" t="s">
        <v>40069</v>
      </c>
    </row>
    <row r="47962" spans="6:8">
      <c r="H47962" t="s">
        <v>40070</v>
      </c>
    </row>
    <row r="47963" spans="6:8">
      <c r="H47963" t="s">
        <v>40071</v>
      </c>
    </row>
    <row r="47964" spans="6:8">
      <c r="H47964" t="s">
        <v>40072</v>
      </c>
    </row>
    <row r="47965" spans="6:8">
      <c r="H47965" t="s">
        <v>40073</v>
      </c>
    </row>
    <row r="47966" spans="6:8">
      <c r="H47966" t="s">
        <v>40074</v>
      </c>
    </row>
    <row r="47967" spans="6:8">
      <c r="H47967" t="s">
        <v>40075</v>
      </c>
    </row>
    <row r="47968" spans="6:8">
      <c r="H47968" t="s">
        <v>40076</v>
      </c>
    </row>
    <row r="47969" spans="6:8">
      <c r="H47969" t="s">
        <v>40077</v>
      </c>
    </row>
    <row r="47970" spans="6:8">
      <c r="H47970" t="s">
        <v>40078</v>
      </c>
    </row>
    <row r="47971" spans="6:8">
      <c r="H47971" t="s">
        <v>40079</v>
      </c>
    </row>
    <row r="47972" spans="6:8">
      <c r="H47972" t="s">
        <v>40080</v>
      </c>
    </row>
    <row r="47973" spans="6:8">
      <c r="H47973" t="s">
        <v>40081</v>
      </c>
    </row>
    <row r="47974" spans="6:8">
      <c r="H47974" t="s">
        <v>40082</v>
      </c>
    </row>
    <row r="47975" spans="6:8">
      <c r="H47975" t="s">
        <v>40083</v>
      </c>
    </row>
    <row r="47976" spans="6:8">
      <c r="H47976" t="s">
        <v>40084</v>
      </c>
    </row>
    <row r="47977" spans="6:8">
      <c r="H47977" t="s">
        <v>40085</v>
      </c>
    </row>
    <row r="47978" spans="6:8">
      <c r="H47978" t="s">
        <v>40086</v>
      </c>
    </row>
    <row r="47979" spans="6:8">
      <c r="F47979" t="s">
        <v>12743</v>
      </c>
      <c r="G47979" t="s">
        <v>16935</v>
      </c>
      <c r="H47979" t="s">
        <v>33499</v>
      </c>
    </row>
    <row r="47980" spans="6:8">
      <c r="H47980" t="s">
        <v>40087</v>
      </c>
    </row>
    <row r="47981" spans="6:8">
      <c r="H47981" t="s">
        <v>40057</v>
      </c>
    </row>
    <row r="47982" spans="6:8">
      <c r="H47982" t="s">
        <v>40058</v>
      </c>
    </row>
    <row r="47983" spans="6:8">
      <c r="H47983" t="s">
        <v>40059</v>
      </c>
    </row>
    <row r="47984" spans="6:8">
      <c r="F47984" t="s">
        <v>12629</v>
      </c>
      <c r="G47984" t="s">
        <v>16838</v>
      </c>
      <c r="H47984" t="s">
        <v>40065</v>
      </c>
    </row>
    <row r="47985" spans="6:8">
      <c r="H47985" t="s">
        <v>40088</v>
      </c>
    </row>
    <row r="47986" spans="6:8">
      <c r="F47986" t="s">
        <v>14961</v>
      </c>
      <c r="G47986" t="s">
        <v>18792</v>
      </c>
      <c r="H47986" t="s">
        <v>40089</v>
      </c>
    </row>
    <row r="47987" spans="6:8">
      <c r="F47987" t="s">
        <v>13847</v>
      </c>
      <c r="G47987" t="s">
        <v>17890</v>
      </c>
      <c r="H47987" t="s">
        <v>40090</v>
      </c>
    </row>
    <row r="47988" spans="6:8">
      <c r="H47988" t="s">
        <v>31837</v>
      </c>
    </row>
    <row r="47989" spans="6:8">
      <c r="F47989" t="s">
        <v>13229</v>
      </c>
      <c r="G47989" t="s">
        <v>17370</v>
      </c>
      <c r="H47989" t="s">
        <v>40060</v>
      </c>
    </row>
    <row r="47990" spans="6:8">
      <c r="H47990" t="s">
        <v>19266</v>
      </c>
    </row>
    <row r="47991" spans="6:8">
      <c r="H47991" t="s">
        <v>33499</v>
      </c>
    </row>
    <row r="47992" spans="6:8">
      <c r="F47992" t="s">
        <v>13136</v>
      </c>
      <c r="G47992" t="s">
        <v>17293</v>
      </c>
      <c r="H47992" t="s">
        <v>40057</v>
      </c>
    </row>
    <row r="47993" spans="6:8">
      <c r="H47993" t="s">
        <v>40058</v>
      </c>
    </row>
    <row r="47994" spans="6:8">
      <c r="H47994" t="s">
        <v>40059</v>
      </c>
    </row>
    <row r="47995" spans="6:8">
      <c r="H47995" t="s">
        <v>40091</v>
      </c>
    </row>
    <row r="47996" spans="6:8">
      <c r="F47996" t="s">
        <v>12745</v>
      </c>
      <c r="G47996" t="s">
        <v>16937</v>
      </c>
      <c r="H47996" t="s">
        <v>40059</v>
      </c>
    </row>
    <row r="47997" spans="6:8">
      <c r="H47997" t="s">
        <v>40058</v>
      </c>
    </row>
    <row r="47998" spans="6:8">
      <c r="F47998" t="s">
        <v>14122</v>
      </c>
      <c r="G47998" t="s">
        <v>18112</v>
      </c>
      <c r="H47998" t="s">
        <v>40060</v>
      </c>
    </row>
    <row r="47999" spans="6:8">
      <c r="H47999" t="s">
        <v>19266</v>
      </c>
    </row>
    <row r="48000" spans="6:8">
      <c r="H48000" t="s">
        <v>40092</v>
      </c>
    </row>
    <row r="48001" spans="6:8">
      <c r="F48001" t="s">
        <v>14962</v>
      </c>
      <c r="G48001" t="s">
        <v>18793</v>
      </c>
      <c r="H48001" t="s">
        <v>38113</v>
      </c>
    </row>
    <row r="48002" spans="6:8">
      <c r="H48002" t="s">
        <v>18829</v>
      </c>
    </row>
    <row r="48003" spans="6:8">
      <c r="H48003" t="s">
        <v>18863</v>
      </c>
    </row>
    <row r="48004" spans="6:8">
      <c r="H48004" t="s">
        <v>40093</v>
      </c>
    </row>
    <row r="48005" spans="6:8">
      <c r="F48005" t="s">
        <v>14963</v>
      </c>
      <c r="G48005" t="s">
        <v>18794</v>
      </c>
      <c r="H48005" t="s">
        <v>40094</v>
      </c>
    </row>
    <row r="48006" spans="6:8">
      <c r="H48006" t="s">
        <v>40095</v>
      </c>
    </row>
    <row r="48007" spans="6:8">
      <c r="H48007" t="s">
        <v>40096</v>
      </c>
    </row>
    <row r="48008" spans="6:8">
      <c r="H48008" t="s">
        <v>40096</v>
      </c>
    </row>
    <row r="48009" spans="6:8">
      <c r="F48009" t="s">
        <v>14964</v>
      </c>
      <c r="G48009" t="s">
        <v>17068</v>
      </c>
      <c r="H48009" t="s">
        <v>18829</v>
      </c>
    </row>
    <row r="48010" spans="6:8">
      <c r="H48010" t="s">
        <v>40097</v>
      </c>
    </row>
    <row r="48011" spans="6:8">
      <c r="H48011" t="s">
        <v>40098</v>
      </c>
    </row>
    <row r="48012" spans="6:8">
      <c r="H48012" t="s">
        <v>40098</v>
      </c>
    </row>
    <row r="48013" spans="6:8">
      <c r="H48013" t="s">
        <v>33498</v>
      </c>
    </row>
    <row r="48014" spans="6:8">
      <c r="F48014" t="s">
        <v>14265</v>
      </c>
      <c r="G48014" t="s">
        <v>18232</v>
      </c>
      <c r="H48014" t="s">
        <v>40099</v>
      </c>
    </row>
    <row r="48015" spans="6:8">
      <c r="F48015" t="s">
        <v>14965</v>
      </c>
      <c r="G48015" t="s">
        <v>18795</v>
      </c>
      <c r="H48015" t="s">
        <v>40100</v>
      </c>
    </row>
    <row r="48016" spans="6:8">
      <c r="F48016" t="s">
        <v>14966</v>
      </c>
      <c r="G48016" t="s">
        <v>18796</v>
      </c>
      <c r="H48016" t="s">
        <v>18863</v>
      </c>
    </row>
    <row r="48017" spans="8:8">
      <c r="H48017" t="s">
        <v>19981</v>
      </c>
    </row>
    <row r="48018" spans="8:8">
      <c r="H48018" t="s">
        <v>40101</v>
      </c>
    </row>
    <row r="48019" spans="8:8">
      <c r="H48019" t="s">
        <v>40102</v>
      </c>
    </row>
    <row r="48020" spans="8:8">
      <c r="H48020" t="s">
        <v>40103</v>
      </c>
    </row>
    <row r="48021" spans="8:8">
      <c r="H48021" t="s">
        <v>40104</v>
      </c>
    </row>
    <row r="48022" spans="8:8">
      <c r="H48022" t="s">
        <v>40105</v>
      </c>
    </row>
    <row r="48023" spans="8:8">
      <c r="H48023" t="s">
        <v>40106</v>
      </c>
    </row>
    <row r="48024" spans="8:8">
      <c r="H48024" t="s">
        <v>40107</v>
      </c>
    </row>
    <row r="48025" spans="8:8">
      <c r="H48025" t="s">
        <v>40108</v>
      </c>
    </row>
    <row r="48026" spans="8:8">
      <c r="H48026" t="s">
        <v>40109</v>
      </c>
    </row>
    <row r="48027" spans="8:8">
      <c r="H48027" t="s">
        <v>40110</v>
      </c>
    </row>
    <row r="48028" spans="8:8">
      <c r="H48028" t="s">
        <v>40111</v>
      </c>
    </row>
    <row r="48029" spans="8:8">
      <c r="H48029" t="s">
        <v>40112</v>
      </c>
    </row>
    <row r="48030" spans="8:8">
      <c r="H48030" t="s">
        <v>40113</v>
      </c>
    </row>
    <row r="48031" spans="8:8">
      <c r="H48031" t="s">
        <v>40114</v>
      </c>
    </row>
    <row r="48032" spans="8:8">
      <c r="H48032" t="s">
        <v>40115</v>
      </c>
    </row>
    <row r="48033" spans="8:8">
      <c r="H48033" t="s">
        <v>40116</v>
      </c>
    </row>
    <row r="48034" spans="8:8">
      <c r="H48034" t="s">
        <v>40117</v>
      </c>
    </row>
    <row r="48035" spans="8:8">
      <c r="H48035" t="s">
        <v>40118</v>
      </c>
    </row>
    <row r="48036" spans="8:8">
      <c r="H48036" t="s">
        <v>40119</v>
      </c>
    </row>
    <row r="48037" spans="8:8">
      <c r="H48037" t="s">
        <v>40120</v>
      </c>
    </row>
    <row r="48038" spans="8:8">
      <c r="H48038" t="s">
        <v>40121</v>
      </c>
    </row>
    <row r="48039" spans="8:8">
      <c r="H48039" t="s">
        <v>40122</v>
      </c>
    </row>
    <row r="48040" spans="8:8">
      <c r="H48040" t="s">
        <v>40123</v>
      </c>
    </row>
    <row r="48041" spans="8:8">
      <c r="H48041" t="s">
        <v>40124</v>
      </c>
    </row>
    <row r="48042" spans="8:8">
      <c r="H48042" t="s">
        <v>40125</v>
      </c>
    </row>
    <row r="48043" spans="8:8">
      <c r="H48043" t="s">
        <v>40126</v>
      </c>
    </row>
    <row r="48044" spans="8:8">
      <c r="H48044" t="s">
        <v>40127</v>
      </c>
    </row>
    <row r="48045" spans="8:8">
      <c r="H48045" t="s">
        <v>40128</v>
      </c>
    </row>
    <row r="48046" spans="8:8">
      <c r="H48046" t="s">
        <v>40129</v>
      </c>
    </row>
    <row r="48047" spans="8:8">
      <c r="H48047" t="s">
        <v>40130</v>
      </c>
    </row>
    <row r="48048" spans="8:8">
      <c r="H48048" t="s">
        <v>40131</v>
      </c>
    </row>
    <row r="48049" spans="8:8">
      <c r="H48049" t="s">
        <v>40132</v>
      </c>
    </row>
    <row r="48050" spans="8:8">
      <c r="H48050" t="s">
        <v>40133</v>
      </c>
    </row>
    <row r="48051" spans="8:8">
      <c r="H48051" t="s">
        <v>40134</v>
      </c>
    </row>
    <row r="48052" spans="8:8">
      <c r="H48052" t="s">
        <v>40135</v>
      </c>
    </row>
    <row r="48053" spans="8:8">
      <c r="H48053" t="s">
        <v>27184</v>
      </c>
    </row>
    <row r="48054" spans="8:8">
      <c r="H48054" t="s">
        <v>40136</v>
      </c>
    </row>
    <row r="48055" spans="8:8">
      <c r="H48055" t="s">
        <v>40137</v>
      </c>
    </row>
    <row r="48056" spans="8:8">
      <c r="H48056" t="s">
        <v>40138</v>
      </c>
    </row>
    <row r="48057" spans="8:8">
      <c r="H48057" t="s">
        <v>40139</v>
      </c>
    </row>
    <row r="48058" spans="8:8">
      <c r="H48058" t="s">
        <v>40140</v>
      </c>
    </row>
    <row r="48059" spans="8:8">
      <c r="H48059" t="s">
        <v>40141</v>
      </c>
    </row>
    <row r="48060" spans="8:8">
      <c r="H48060" t="s">
        <v>40142</v>
      </c>
    </row>
    <row r="48061" spans="8:8">
      <c r="H48061" t="s">
        <v>40143</v>
      </c>
    </row>
    <row r="48062" spans="8:8">
      <c r="H48062" t="s">
        <v>40144</v>
      </c>
    </row>
    <row r="48063" spans="8:8">
      <c r="H48063" t="s">
        <v>40145</v>
      </c>
    </row>
    <row r="48064" spans="8:8">
      <c r="H48064" t="s">
        <v>40146</v>
      </c>
    </row>
    <row r="48065" spans="6:8">
      <c r="H48065" t="s">
        <v>40147</v>
      </c>
    </row>
    <row r="48066" spans="6:8">
      <c r="H48066" t="s">
        <v>40148</v>
      </c>
    </row>
    <row r="48067" spans="6:8">
      <c r="H48067" t="s">
        <v>40149</v>
      </c>
    </row>
    <row r="48068" spans="6:8">
      <c r="H48068" t="s">
        <v>40150</v>
      </c>
    </row>
    <row r="48069" spans="6:8">
      <c r="H48069" t="s">
        <v>40151</v>
      </c>
    </row>
    <row r="48070" spans="6:8">
      <c r="H48070" t="s">
        <v>40152</v>
      </c>
    </row>
    <row r="48071" spans="6:8">
      <c r="H48071" t="s">
        <v>40153</v>
      </c>
    </row>
    <row r="48072" spans="6:8">
      <c r="H48072" t="s">
        <v>40154</v>
      </c>
    </row>
    <row r="48073" spans="6:8">
      <c r="H48073" t="s">
        <v>40155</v>
      </c>
    </row>
    <row r="48074" spans="6:8">
      <c r="H48074" t="s">
        <v>40156</v>
      </c>
    </row>
    <row r="48075" spans="6:8">
      <c r="H48075" t="s">
        <v>40157</v>
      </c>
    </row>
    <row r="48076" spans="6:8">
      <c r="H48076" t="s">
        <v>40158</v>
      </c>
    </row>
    <row r="48077" spans="6:8">
      <c r="H48077" t="s">
        <v>40159</v>
      </c>
    </row>
    <row r="48078" spans="6:8">
      <c r="H48078" t="s">
        <v>40160</v>
      </c>
    </row>
    <row r="48079" spans="6:8">
      <c r="H48079" t="s">
        <v>40161</v>
      </c>
    </row>
    <row r="48080" spans="6:8">
      <c r="F48080" t="s">
        <v>14967</v>
      </c>
      <c r="G48080" t="s">
        <v>18463</v>
      </c>
      <c r="H48080" t="s">
        <v>18829</v>
      </c>
    </row>
    <row r="48081" spans="6:8">
      <c r="F48081" t="s">
        <v>14869</v>
      </c>
      <c r="G48081" t="s">
        <v>18464</v>
      </c>
      <c r="H48081" t="s">
        <v>18829</v>
      </c>
    </row>
    <row r="48082" spans="6:8">
      <c r="F48082" t="s">
        <v>14808</v>
      </c>
      <c r="G48082" t="s">
        <v>18673</v>
      </c>
      <c r="H48082" t="s">
        <v>40162</v>
      </c>
    </row>
    <row r="48083" spans="6:8">
      <c r="H48083" t="s">
        <v>40163</v>
      </c>
    </row>
    <row r="48084" spans="6:8">
      <c r="H48084" t="s">
        <v>40164</v>
      </c>
    </row>
    <row r="48085" spans="6:8">
      <c r="H48085" t="s">
        <v>40165</v>
      </c>
    </row>
    <row r="48086" spans="6:8">
      <c r="H48086" t="s">
        <v>40166</v>
      </c>
    </row>
    <row r="48087" spans="6:8">
      <c r="H48087" t="s">
        <v>40167</v>
      </c>
    </row>
    <row r="48088" spans="6:8">
      <c r="H48088" t="s">
        <v>40168</v>
      </c>
    </row>
    <row r="48089" spans="6:8">
      <c r="H48089" t="s">
        <v>40169</v>
      </c>
    </row>
    <row r="48090" spans="6:8">
      <c r="H48090" t="s">
        <v>40170</v>
      </c>
    </row>
    <row r="48091" spans="6:8">
      <c r="H48091" t="s">
        <v>40171</v>
      </c>
    </row>
    <row r="48092" spans="6:8">
      <c r="H48092" t="s">
        <v>40172</v>
      </c>
    </row>
    <row r="48093" spans="6:8">
      <c r="H48093" t="s">
        <v>40173</v>
      </c>
    </row>
    <row r="48094" spans="6:8">
      <c r="H48094" t="s">
        <v>40174</v>
      </c>
    </row>
    <row r="48095" spans="6:8">
      <c r="H48095" t="s">
        <v>40175</v>
      </c>
    </row>
    <row r="48096" spans="6:8">
      <c r="H48096" t="s">
        <v>40176</v>
      </c>
    </row>
    <row r="48097" spans="1:8">
      <c r="H48097" t="s">
        <v>40177</v>
      </c>
    </row>
    <row r="48098" spans="1:8">
      <c r="F48098" t="s">
        <v>14968</v>
      </c>
      <c r="G48098" t="s">
        <v>16874</v>
      </c>
      <c r="H48098" t="s">
        <v>40178</v>
      </c>
    </row>
    <row r="48099" spans="1:8">
      <c r="H48099" t="s">
        <v>40179</v>
      </c>
    </row>
    <row r="48100" spans="1:8">
      <c r="H48100" t="s">
        <v>40180</v>
      </c>
    </row>
    <row r="48101" spans="1:8">
      <c r="H48101" t="s">
        <v>40181</v>
      </c>
    </row>
    <row r="48102" spans="1:8">
      <c r="H48102" t="s">
        <v>40182</v>
      </c>
    </row>
    <row r="48103" spans="1:8">
      <c r="A48103" t="s">
        <v>4907</v>
      </c>
      <c r="B48103">
        <f>HYPERLINK("https://android.googlesource.com/platform/cts/+/e4d0798fcc1c95d1ffd8fc96db88efe94e07e0a0", "e4d0798fcc1c95d1ffd8fc96db88efe94e07e0a0")</f>
        <v>0</v>
      </c>
      <c r="C48103">
        <f>HYPERLINK("https://android.googlesource.com/platform/cts/+/e19ac68f85aaf96287e126a9c858e47ea86e442a", "e19ac68f85aaf96287e126a9c858e47ea86e442a")</f>
        <v>0</v>
      </c>
      <c r="D48103" t="s">
        <v>5796</v>
      </c>
      <c r="E48103" t="s">
        <v>10563</v>
      </c>
      <c r="F48103" t="s">
        <v>12402</v>
      </c>
      <c r="G48103" t="s">
        <v>16624</v>
      </c>
      <c r="H48103" t="s">
        <v>40183</v>
      </c>
    </row>
    <row r="48104" spans="1:8">
      <c r="H48104" t="s">
        <v>40184</v>
      </c>
    </row>
    <row r="48105" spans="1:8">
      <c r="H48105" t="s">
        <v>40185</v>
      </c>
    </row>
    <row r="48106" spans="1:8">
      <c r="A48106" t="s">
        <v>4908</v>
      </c>
      <c r="B48106">
        <f>HYPERLINK("https://android.googlesource.com/platform/cts/+/1c8e8e759a5274b0bac9a14369cd0bb4f5d19dc6", "1c8e8e759a5274b0bac9a14369cd0bb4f5d19dc6")</f>
        <v>0</v>
      </c>
      <c r="C48106">
        <f>HYPERLINK("https://android.googlesource.com/platform/cts/+/1302d6abcee6f8b9510cedc38621b645cdbe848b", "1302d6abcee6f8b9510cedc38621b645cdbe848b")</f>
        <v>0</v>
      </c>
      <c r="D48106" t="s">
        <v>5501</v>
      </c>
      <c r="E48106" t="s">
        <v>10564</v>
      </c>
      <c r="F48106" t="s">
        <v>14195</v>
      </c>
      <c r="G48106" t="s">
        <v>18174</v>
      </c>
      <c r="H48106" t="s">
        <v>34402</v>
      </c>
    </row>
    <row r="48107" spans="1:8">
      <c r="A48107" t="s">
        <v>4909</v>
      </c>
      <c r="B48107">
        <f>HYPERLINK("https://android.googlesource.com/platform/cts/+/22dfbae5c5abf4979c39b1b6b1d081da635d4db9", "22dfbae5c5abf4979c39b1b6b1d081da635d4db9")</f>
        <v>0</v>
      </c>
      <c r="C48107">
        <f>HYPERLINK("https://android.googlesource.com/platform/cts/+/6ec225e65d165677efbc08a9323630f2f1371ee8", "6ec225e65d165677efbc08a9323630f2f1371ee8")</f>
        <v>0</v>
      </c>
      <c r="D48107" t="s">
        <v>5409</v>
      </c>
      <c r="E48107" t="s">
        <v>10565</v>
      </c>
      <c r="F48107" t="s">
        <v>14969</v>
      </c>
      <c r="G48107" t="s">
        <v>18108</v>
      </c>
      <c r="H48107" t="s">
        <v>40186</v>
      </c>
    </row>
    <row r="48108" spans="1:8">
      <c r="H48108" t="s">
        <v>18829</v>
      </c>
    </row>
    <row r="48109" spans="1:8">
      <c r="H48109" t="s">
        <v>18863</v>
      </c>
    </row>
    <row r="48110" spans="1:8">
      <c r="H48110" t="s">
        <v>33478</v>
      </c>
    </row>
    <row r="48111" spans="1:8">
      <c r="H48111" t="s">
        <v>33479</v>
      </c>
    </row>
    <row r="48112" spans="1:8">
      <c r="H48112" t="s">
        <v>33480</v>
      </c>
    </row>
    <row r="48113" spans="1:8">
      <c r="H48113" t="s">
        <v>40187</v>
      </c>
    </row>
    <row r="48114" spans="1:8">
      <c r="H48114" t="s">
        <v>40188</v>
      </c>
    </row>
    <row r="48115" spans="1:8">
      <c r="F48115" t="s">
        <v>14970</v>
      </c>
      <c r="G48115" t="s">
        <v>18797</v>
      </c>
      <c r="H48115" t="s">
        <v>40189</v>
      </c>
    </row>
    <row r="48116" spans="1:8">
      <c r="H48116" t="s">
        <v>18829</v>
      </c>
    </row>
    <row r="48117" spans="1:8">
      <c r="H48117" t="s">
        <v>33479</v>
      </c>
    </row>
    <row r="48118" spans="1:8">
      <c r="H48118" t="s">
        <v>33480</v>
      </c>
    </row>
    <row r="48119" spans="1:8">
      <c r="H48119" t="s">
        <v>33481</v>
      </c>
    </row>
    <row r="48120" spans="1:8">
      <c r="F48120" t="s">
        <v>14249</v>
      </c>
      <c r="G48120" t="s">
        <v>18214</v>
      </c>
      <c r="H48120" t="s">
        <v>22583</v>
      </c>
    </row>
    <row r="48121" spans="1:8">
      <c r="A48121" t="s">
        <v>4910</v>
      </c>
      <c r="B48121">
        <f>HYPERLINK("https://android.googlesource.com/platform/cts/+/cff600a984faf2795b2315ed356a770f56eb3458", "cff600a984faf2795b2315ed356a770f56eb3458")</f>
        <v>0</v>
      </c>
      <c r="C48121">
        <f>HYPERLINK("https://android.googlesource.com/platform/cts/+/4663f22b9ccb5f51400522897128a11e2b0350bf", "4663f22b9ccb5f51400522897128a11e2b0350bf")</f>
        <v>0</v>
      </c>
      <c r="D48121" t="s">
        <v>5801</v>
      </c>
      <c r="E48121" t="s">
        <v>10566</v>
      </c>
      <c r="F48121" t="s">
        <v>14971</v>
      </c>
      <c r="G48121" t="s">
        <v>17448</v>
      </c>
      <c r="H48121" t="s">
        <v>18863</v>
      </c>
    </row>
    <row r="48122" spans="1:8">
      <c r="F48122" t="s">
        <v>14206</v>
      </c>
      <c r="G48122" t="s">
        <v>18182</v>
      </c>
      <c r="H48122" t="s">
        <v>18863</v>
      </c>
    </row>
    <row r="48123" spans="1:8">
      <c r="F48123" t="s">
        <v>14972</v>
      </c>
      <c r="G48123" t="s">
        <v>18798</v>
      </c>
      <c r="H48123" t="s">
        <v>18863</v>
      </c>
    </row>
    <row r="48124" spans="1:8">
      <c r="A48124" t="s">
        <v>4911</v>
      </c>
      <c r="B48124">
        <f>HYPERLINK("https://android.googlesource.com/platform/cts/+/d91e017a3f22a07278a3059f1eb480065d550ea7", "d91e017a3f22a07278a3059f1eb480065d550ea7")</f>
        <v>0</v>
      </c>
      <c r="C48124">
        <f>HYPERLINK("https://android.googlesource.com/platform/cts/+/90eef34764ce0f253e509a3cd83dfcc2b2caab56", "90eef34764ce0f253e509a3cd83dfcc2b2caab56")</f>
        <v>0</v>
      </c>
      <c r="D48124" t="s">
        <v>5802</v>
      </c>
      <c r="E48124" t="s">
        <v>10567</v>
      </c>
      <c r="F48124" t="s">
        <v>14748</v>
      </c>
      <c r="G48124" t="s">
        <v>18624</v>
      </c>
      <c r="H48124" t="s">
        <v>40190</v>
      </c>
    </row>
    <row r="48125" spans="1:8">
      <c r="H48125" t="s">
        <v>40191</v>
      </c>
    </row>
    <row r="48126" spans="1:8">
      <c r="H48126" t="s">
        <v>40192</v>
      </c>
    </row>
    <row r="48127" spans="1:8">
      <c r="H48127" t="s">
        <v>40193</v>
      </c>
    </row>
    <row r="48128" spans="1:8">
      <c r="A48128" t="s">
        <v>4912</v>
      </c>
      <c r="B48128">
        <f>HYPERLINK("https://android.googlesource.com/platform/cts/+/8ab2b5824d677004da54383d594670bd81fc893d", "8ab2b5824d677004da54383d594670bd81fc893d")</f>
        <v>0</v>
      </c>
      <c r="C48128">
        <f>HYPERLINK("https://android.googlesource.com/platform/cts/+/b969fa39f543fc80e127a10fb29db1236782623d", "b969fa39f543fc80e127a10fb29db1236782623d")</f>
        <v>0</v>
      </c>
      <c r="D48128" t="s">
        <v>5501</v>
      </c>
      <c r="E48128" t="s">
        <v>10568</v>
      </c>
      <c r="F48128" t="s">
        <v>14973</v>
      </c>
      <c r="G48128" t="s">
        <v>18799</v>
      </c>
      <c r="H48128" t="s">
        <v>18863</v>
      </c>
    </row>
    <row r="48129" spans="1:8">
      <c r="H48129" t="s">
        <v>34044</v>
      </c>
    </row>
    <row r="48130" spans="1:8">
      <c r="F48130" t="s">
        <v>14974</v>
      </c>
      <c r="G48130" t="s">
        <v>18800</v>
      </c>
      <c r="H48130" t="s">
        <v>18863</v>
      </c>
    </row>
    <row r="48131" spans="1:8">
      <c r="H48131" t="s">
        <v>34044</v>
      </c>
    </row>
    <row r="48132" spans="1:8">
      <c r="A48132" t="s">
        <v>4913</v>
      </c>
      <c r="B48132">
        <f>HYPERLINK("https://android.googlesource.com/platform/cts/+/a703d7806a6b90a705fce5da33f5d898a51c62cc", "a703d7806a6b90a705fce5da33f5d898a51c62cc")</f>
        <v>0</v>
      </c>
      <c r="C48132">
        <f>HYPERLINK("https://android.googlesource.com/platform/cts/+/4663f22b9ccb5f51400522897128a11e2b0350bf", "4663f22b9ccb5f51400522897128a11e2b0350bf")</f>
        <v>0</v>
      </c>
      <c r="D48132" t="s">
        <v>5803</v>
      </c>
      <c r="E48132" t="s">
        <v>10569</v>
      </c>
      <c r="F48132" t="s">
        <v>13815</v>
      </c>
      <c r="G48132" t="s">
        <v>17862</v>
      </c>
      <c r="H48132" t="s">
        <v>40194</v>
      </c>
    </row>
    <row r="48133" spans="1:8">
      <c r="H48133" t="s">
        <v>40195</v>
      </c>
    </row>
    <row r="48134" spans="1:8">
      <c r="F48134" t="s">
        <v>12743</v>
      </c>
      <c r="G48134" t="s">
        <v>16935</v>
      </c>
      <c r="H48134" t="s">
        <v>25780</v>
      </c>
    </row>
    <row r="48135" spans="1:8">
      <c r="F48135" t="s">
        <v>13229</v>
      </c>
      <c r="G48135" t="s">
        <v>17370</v>
      </c>
      <c r="H48135" t="s">
        <v>25780</v>
      </c>
    </row>
    <row r="48136" spans="1:8">
      <c r="F48136" t="s">
        <v>13136</v>
      </c>
      <c r="G48136" t="s">
        <v>17293</v>
      </c>
      <c r="H48136" t="s">
        <v>25780</v>
      </c>
    </row>
    <row r="48137" spans="1:8">
      <c r="A48137" t="s">
        <v>4914</v>
      </c>
      <c r="B48137">
        <f>HYPERLINK("https://android.googlesource.com/platform/cts/+/2bd33e5be8866ee4076638a83e4dcf43c711645c", "2bd33e5be8866ee4076638a83e4dcf43c711645c")</f>
        <v>0</v>
      </c>
      <c r="C48137">
        <f>HYPERLINK("https://android.googlesource.com/platform/cts/+/f2fc2f2bde2d2a5de4a400c17a5cf8c725602520", "f2fc2f2bde2d2a5de4a400c17a5cf8c725602520")</f>
        <v>0</v>
      </c>
      <c r="D48137" t="s">
        <v>5804</v>
      </c>
      <c r="E48137" t="s">
        <v>10570</v>
      </c>
      <c r="F48137" t="s">
        <v>14839</v>
      </c>
      <c r="G48137" t="s">
        <v>17064</v>
      </c>
      <c r="H48137" t="s">
        <v>40196</v>
      </c>
    </row>
    <row r="48138" spans="1:8">
      <c r="H48138" t="s">
        <v>26853</v>
      </c>
    </row>
    <row r="48139" spans="1:8">
      <c r="F48139" t="s">
        <v>14559</v>
      </c>
      <c r="G48139" t="s">
        <v>18481</v>
      </c>
      <c r="H48139" t="s">
        <v>40197</v>
      </c>
    </row>
    <row r="48140" spans="1:8">
      <c r="A48140" t="s">
        <v>4915</v>
      </c>
      <c r="B48140">
        <f>HYPERLINK("https://android.googlesource.com/platform/cts/+/b7d521d45777af5ff813b5d4b1129e363c5da699", "b7d521d45777af5ff813b5d4b1129e363c5da699")</f>
        <v>0</v>
      </c>
      <c r="C48140">
        <f>HYPERLINK("https://android.googlesource.com/platform/cts/+/9ddd3ca491a7b13c0615e9c6b6d29aa40f878cca", "9ddd3ca491a7b13c0615e9c6b6d29aa40f878cca")</f>
        <v>0</v>
      </c>
      <c r="D48140" t="s">
        <v>5803</v>
      </c>
      <c r="E48140" t="s">
        <v>10571</v>
      </c>
      <c r="F48140" t="s">
        <v>14831</v>
      </c>
      <c r="G48140" t="s">
        <v>18693</v>
      </c>
      <c r="H48140" t="s">
        <v>40198</v>
      </c>
    </row>
    <row r="48141" spans="1:8">
      <c r="H48141" t="s">
        <v>40199</v>
      </c>
    </row>
    <row r="48142" spans="1:8">
      <c r="H48142" t="s">
        <v>40200</v>
      </c>
    </row>
    <row r="48143" spans="1:8">
      <c r="H48143" t="s">
        <v>40201</v>
      </c>
    </row>
    <row r="48144" spans="1:8">
      <c r="H48144" t="s">
        <v>40202</v>
      </c>
    </row>
    <row r="48145" spans="1:8">
      <c r="A48145" t="s">
        <v>4916</v>
      </c>
      <c r="B48145">
        <f>HYPERLINK("https://android.googlesource.com/platform/cts/+/cd6c3386d65284dd1925e0c006a64fa1f9a04c9e", "cd6c3386d65284dd1925e0c006a64fa1f9a04c9e")</f>
        <v>0</v>
      </c>
      <c r="C48145">
        <f>HYPERLINK("https://android.googlesource.com/platform/cts/+/47778069718167eda08dd2bc63e139f8106e2e97", "47778069718167eda08dd2bc63e139f8106e2e97")</f>
        <v>0</v>
      </c>
      <c r="D48145" t="s">
        <v>5670</v>
      </c>
      <c r="E48145" t="s">
        <v>10572</v>
      </c>
      <c r="F48145" t="s">
        <v>14975</v>
      </c>
      <c r="G48145" t="s">
        <v>16649</v>
      </c>
      <c r="H48145" t="s">
        <v>40203</v>
      </c>
    </row>
    <row r="48146" spans="1:8">
      <c r="A48146" t="s">
        <v>4917</v>
      </c>
      <c r="B48146">
        <f>HYPERLINK("https://android.googlesource.com/platform/cts/+/dacd1b0a20c62bf4de03634f89a5a4e387b5704e", "dacd1b0a20c62bf4de03634f89a5a4e387b5704e")</f>
        <v>0</v>
      </c>
      <c r="C48146">
        <f>HYPERLINK("https://android.googlesource.com/platform/cts/+/123d13a713497933e410a0dc23737534f3ac51ad", "123d13a713497933e410a0dc23737534f3ac51ad")</f>
        <v>0</v>
      </c>
      <c r="D48146" t="s">
        <v>5805</v>
      </c>
      <c r="E48146" t="s">
        <v>10573</v>
      </c>
      <c r="F48146" t="s">
        <v>14507</v>
      </c>
      <c r="G48146" t="s">
        <v>18208</v>
      </c>
      <c r="H48146" t="s">
        <v>19981</v>
      </c>
    </row>
    <row r="48147" spans="1:8">
      <c r="A48147" t="s">
        <v>4918</v>
      </c>
      <c r="B48147">
        <f>HYPERLINK("https://android.googlesource.com/platform/cts/+/5902dc69558ee2c7ff2a1361b78f5565a10370c2", "5902dc69558ee2c7ff2a1361b78f5565a10370c2")</f>
        <v>0</v>
      </c>
      <c r="C48147">
        <f>HYPERLINK("https://android.googlesource.com/platform/cts/+/70b2e1605dcf8603eae9c226538b7ef8ebf3f502", "70b2e1605dcf8603eae9c226538b7ef8ebf3f502")</f>
        <v>0</v>
      </c>
      <c r="D48147" t="s">
        <v>5801</v>
      </c>
      <c r="E48147" t="s">
        <v>10574</v>
      </c>
      <c r="F48147" t="s">
        <v>14976</v>
      </c>
      <c r="G48147" t="s">
        <v>18801</v>
      </c>
      <c r="H48147" t="s">
        <v>40204</v>
      </c>
    </row>
    <row r="48148" spans="1:8">
      <c r="H48148" t="s">
        <v>40205</v>
      </c>
    </row>
    <row r="48149" spans="1:8">
      <c r="H48149" t="s">
        <v>36073</v>
      </c>
    </row>
    <row r="48150" spans="1:8">
      <c r="H48150" t="s">
        <v>40206</v>
      </c>
    </row>
    <row r="48151" spans="1:8">
      <c r="H48151" t="s">
        <v>40207</v>
      </c>
    </row>
    <row r="48152" spans="1:8">
      <c r="F48152" t="s">
        <v>14977</v>
      </c>
      <c r="G48152" t="s">
        <v>18802</v>
      </c>
      <c r="H48152" t="s">
        <v>36853</v>
      </c>
    </row>
    <row r="48153" spans="1:8">
      <c r="F48153" t="s">
        <v>14978</v>
      </c>
      <c r="G48153" t="s">
        <v>18803</v>
      </c>
      <c r="H48153" t="s">
        <v>18863</v>
      </c>
    </row>
    <row r="48154" spans="1:8">
      <c r="H48154" t="s">
        <v>34044</v>
      </c>
    </row>
    <row r="48155" spans="1:8">
      <c r="F48155" t="s">
        <v>14208</v>
      </c>
      <c r="G48155" t="s">
        <v>18184</v>
      </c>
      <c r="H48155" t="s">
        <v>18863</v>
      </c>
    </row>
    <row r="48156" spans="1:8">
      <c r="A48156" t="s">
        <v>4919</v>
      </c>
      <c r="B48156">
        <f>HYPERLINK("https://android.googlesource.com/platform/cts/+/2469964083ad8e8801ba4205ae2c4cb1906bbd47", "2469964083ad8e8801ba4205ae2c4cb1906bbd47")</f>
        <v>0</v>
      </c>
      <c r="C48156">
        <f>HYPERLINK("https://android.googlesource.com/platform/cts/+/7a8820c80780b04e3bbb117be9b60b7cb43799e6", "7a8820c80780b04e3bbb117be9b60b7cb43799e6")</f>
        <v>0</v>
      </c>
      <c r="D48156" t="s">
        <v>5246</v>
      </c>
      <c r="E48156" t="s">
        <v>10575</v>
      </c>
      <c r="F48156" t="s">
        <v>14979</v>
      </c>
      <c r="G48156" t="s">
        <v>18804</v>
      </c>
      <c r="H48156" t="s">
        <v>40208</v>
      </c>
    </row>
    <row r="48157" spans="1:8">
      <c r="H48157" t="s">
        <v>18829</v>
      </c>
    </row>
    <row r="48158" spans="1:8">
      <c r="H48158" t="s">
        <v>18863</v>
      </c>
    </row>
    <row r="48159" spans="1:8">
      <c r="A48159" t="s">
        <v>4920</v>
      </c>
      <c r="B48159">
        <f>HYPERLINK("https://android.googlesource.com/platform/cts/+/2fe132ff8f318ee564ff611e052148f0f1a68555", "2fe132ff8f318ee564ff611e052148f0f1a68555")</f>
        <v>0</v>
      </c>
      <c r="C48159">
        <f>HYPERLINK("https://android.googlesource.com/platform/cts/+/fa540923ebffc8504157d436e15f3a605f453345", "fa540923ebffc8504157d436e15f3a605f453345")</f>
        <v>0</v>
      </c>
      <c r="D48159" t="s">
        <v>5564</v>
      </c>
      <c r="E48159" t="s">
        <v>10576</v>
      </c>
      <c r="F48159" t="s">
        <v>10744</v>
      </c>
      <c r="G48159" t="s">
        <v>15143</v>
      </c>
      <c r="H48159" t="s">
        <v>18829</v>
      </c>
    </row>
    <row r="48160" spans="1:8">
      <c r="H48160" t="s">
        <v>18863</v>
      </c>
    </row>
    <row r="48161" spans="8:8">
      <c r="H48161" t="s">
        <v>40209</v>
      </c>
    </row>
    <row r="48162" spans="8:8">
      <c r="H48162" t="s">
        <v>40210</v>
      </c>
    </row>
    <row r="48163" spans="8:8">
      <c r="H48163" t="s">
        <v>40211</v>
      </c>
    </row>
    <row r="48164" spans="8:8">
      <c r="H48164" t="s">
        <v>40212</v>
      </c>
    </row>
    <row r="48165" spans="8:8">
      <c r="H48165" t="s">
        <v>40213</v>
      </c>
    </row>
    <row r="48166" spans="8:8">
      <c r="H48166" t="s">
        <v>19019</v>
      </c>
    </row>
    <row r="48167" spans="8:8">
      <c r="H48167" t="s">
        <v>40214</v>
      </c>
    </row>
    <row r="48168" spans="8:8">
      <c r="H48168" t="s">
        <v>40215</v>
      </c>
    </row>
    <row r="48169" spans="8:8">
      <c r="H48169" t="s">
        <v>40216</v>
      </c>
    </row>
    <row r="48170" spans="8:8">
      <c r="H48170" t="s">
        <v>40217</v>
      </c>
    </row>
    <row r="48171" spans="8:8">
      <c r="H48171" t="s">
        <v>40218</v>
      </c>
    </row>
    <row r="48172" spans="8:8">
      <c r="H48172" t="s">
        <v>40219</v>
      </c>
    </row>
    <row r="48173" spans="8:8">
      <c r="H48173" t="s">
        <v>40220</v>
      </c>
    </row>
    <row r="48174" spans="8:8">
      <c r="H48174" t="s">
        <v>40221</v>
      </c>
    </row>
    <row r="48175" spans="8:8">
      <c r="H48175" t="s">
        <v>40222</v>
      </c>
    </row>
    <row r="48176" spans="8:8">
      <c r="H48176" t="s">
        <v>40223</v>
      </c>
    </row>
    <row r="48177" spans="8:8">
      <c r="H48177" t="s">
        <v>40224</v>
      </c>
    </row>
    <row r="48178" spans="8:8">
      <c r="H48178" t="s">
        <v>40225</v>
      </c>
    </row>
    <row r="48179" spans="8:8">
      <c r="H48179" t="s">
        <v>40226</v>
      </c>
    </row>
    <row r="48180" spans="8:8">
      <c r="H48180" t="s">
        <v>40227</v>
      </c>
    </row>
    <row r="48181" spans="8:8">
      <c r="H48181" t="s">
        <v>40228</v>
      </c>
    </row>
    <row r="48182" spans="8:8">
      <c r="H48182" t="s">
        <v>40229</v>
      </c>
    </row>
    <row r="48183" spans="8:8">
      <c r="H48183" t="s">
        <v>26477</v>
      </c>
    </row>
    <row r="48184" spans="8:8">
      <c r="H48184" t="s">
        <v>40230</v>
      </c>
    </row>
    <row r="48185" spans="8:8">
      <c r="H48185" t="s">
        <v>26479</v>
      </c>
    </row>
    <row r="48186" spans="8:8">
      <c r="H48186" t="s">
        <v>40231</v>
      </c>
    </row>
    <row r="48187" spans="8:8">
      <c r="H48187" t="s">
        <v>40232</v>
      </c>
    </row>
    <row r="48188" spans="8:8">
      <c r="H48188" t="s">
        <v>40233</v>
      </c>
    </row>
    <row r="48189" spans="8:8">
      <c r="H48189" t="s">
        <v>40234</v>
      </c>
    </row>
    <row r="48190" spans="8:8">
      <c r="H48190" t="s">
        <v>40235</v>
      </c>
    </row>
    <row r="48191" spans="8:8">
      <c r="H48191" t="s">
        <v>40236</v>
      </c>
    </row>
    <row r="48192" spans="8:8">
      <c r="H48192" t="s">
        <v>40237</v>
      </c>
    </row>
    <row r="48193" spans="8:8">
      <c r="H48193" t="s">
        <v>40238</v>
      </c>
    </row>
    <row r="48194" spans="8:8">
      <c r="H48194" t="s">
        <v>40239</v>
      </c>
    </row>
    <row r="48195" spans="8:8">
      <c r="H48195" t="s">
        <v>40240</v>
      </c>
    </row>
    <row r="48196" spans="8:8">
      <c r="H48196" t="s">
        <v>40241</v>
      </c>
    </row>
    <row r="48197" spans="8:8">
      <c r="H48197" t="s">
        <v>40242</v>
      </c>
    </row>
    <row r="48198" spans="8:8">
      <c r="H48198" t="s">
        <v>40243</v>
      </c>
    </row>
    <row r="48199" spans="8:8">
      <c r="H48199" t="s">
        <v>40244</v>
      </c>
    </row>
    <row r="48200" spans="8:8">
      <c r="H48200" t="s">
        <v>40245</v>
      </c>
    </row>
    <row r="48201" spans="8:8">
      <c r="H48201" t="s">
        <v>40246</v>
      </c>
    </row>
    <row r="48202" spans="8:8">
      <c r="H48202" t="s">
        <v>40247</v>
      </c>
    </row>
    <row r="48203" spans="8:8">
      <c r="H48203" t="s">
        <v>40248</v>
      </c>
    </row>
    <row r="48204" spans="8:8">
      <c r="H48204" t="s">
        <v>40249</v>
      </c>
    </row>
    <row r="48205" spans="8:8">
      <c r="H48205" t="s">
        <v>40250</v>
      </c>
    </row>
    <row r="48206" spans="8:8">
      <c r="H48206" t="s">
        <v>40251</v>
      </c>
    </row>
    <row r="48207" spans="8:8">
      <c r="H48207" t="s">
        <v>40252</v>
      </c>
    </row>
    <row r="48208" spans="8:8">
      <c r="H48208" t="s">
        <v>40253</v>
      </c>
    </row>
    <row r="48209" spans="8:8">
      <c r="H48209" t="s">
        <v>40254</v>
      </c>
    </row>
    <row r="48210" spans="8:8">
      <c r="H48210" t="s">
        <v>40255</v>
      </c>
    </row>
    <row r="48211" spans="8:8">
      <c r="H48211" t="s">
        <v>40256</v>
      </c>
    </row>
    <row r="48212" spans="8:8">
      <c r="H48212" t="s">
        <v>40257</v>
      </c>
    </row>
    <row r="48213" spans="8:8">
      <c r="H48213" t="s">
        <v>40258</v>
      </c>
    </row>
    <row r="48214" spans="8:8">
      <c r="H48214" t="s">
        <v>40259</v>
      </c>
    </row>
    <row r="48215" spans="8:8">
      <c r="H48215" t="s">
        <v>40260</v>
      </c>
    </row>
    <row r="48216" spans="8:8">
      <c r="H48216" t="s">
        <v>40261</v>
      </c>
    </row>
    <row r="48217" spans="8:8">
      <c r="H48217" t="s">
        <v>40262</v>
      </c>
    </row>
    <row r="48218" spans="8:8">
      <c r="H48218" t="s">
        <v>40263</v>
      </c>
    </row>
    <row r="48219" spans="8:8">
      <c r="H48219" t="s">
        <v>40264</v>
      </c>
    </row>
    <row r="48220" spans="8:8">
      <c r="H48220" t="s">
        <v>40265</v>
      </c>
    </row>
    <row r="48221" spans="8:8">
      <c r="H48221" t="s">
        <v>40266</v>
      </c>
    </row>
    <row r="48222" spans="8:8">
      <c r="H48222" t="s">
        <v>40266</v>
      </c>
    </row>
    <row r="48223" spans="8:8">
      <c r="H48223" t="s">
        <v>40267</v>
      </c>
    </row>
    <row r="48224" spans="8:8">
      <c r="H48224" t="s">
        <v>40268</v>
      </c>
    </row>
    <row r="48225" spans="1:8">
      <c r="H48225" t="s">
        <v>40269</v>
      </c>
    </row>
    <row r="48226" spans="1:8">
      <c r="A48226" t="s">
        <v>4921</v>
      </c>
      <c r="B48226">
        <f>HYPERLINK("https://android.googlesource.com/platform/cts/+/76e0beb961b23ae857aa98367f02639660773796", "76e0beb961b23ae857aa98367f02639660773796")</f>
        <v>0</v>
      </c>
      <c r="C48226">
        <f>HYPERLINK("https://android.googlesource.com/platform/cts/+/1f4eaa678d1a47532982da8b35b99aa53a81ef7a", "1f4eaa678d1a47532982da8b35b99aa53a81ef7a")</f>
        <v>0</v>
      </c>
      <c r="D48226" t="s">
        <v>4996</v>
      </c>
      <c r="E48226" t="s">
        <v>10577</v>
      </c>
      <c r="F48226" t="s">
        <v>14614</v>
      </c>
      <c r="G48226" t="s">
        <v>18526</v>
      </c>
      <c r="H48226" t="s">
        <v>40270</v>
      </c>
    </row>
    <row r="48227" spans="1:8">
      <c r="A48227" t="s">
        <v>4922</v>
      </c>
      <c r="B48227">
        <f>HYPERLINK("https://android.googlesource.com/platform/cts/+/dcc48895b3c1947e2764cd57b45214197f905913", "dcc48895b3c1947e2764cd57b45214197f905913")</f>
        <v>0</v>
      </c>
      <c r="C48227">
        <f>HYPERLINK("https://android.googlesource.com/platform/cts/+/7a8820c80780b04e3bbb117be9b60b7cb43799e6", "7a8820c80780b04e3bbb117be9b60b7cb43799e6")</f>
        <v>0</v>
      </c>
      <c r="D48227" t="s">
        <v>5246</v>
      </c>
      <c r="E48227" t="s">
        <v>10578</v>
      </c>
      <c r="F48227" t="s">
        <v>14980</v>
      </c>
      <c r="G48227" t="s">
        <v>16410</v>
      </c>
      <c r="H48227" t="s">
        <v>40271</v>
      </c>
    </row>
    <row r="48228" spans="1:8">
      <c r="H48228" t="s">
        <v>18829</v>
      </c>
    </row>
    <row r="48229" spans="1:8">
      <c r="A48229" t="s">
        <v>4923</v>
      </c>
      <c r="B48229">
        <f>HYPERLINK("https://android.googlesource.com/platform/cts/+/c353f6eeacf82bec373874e0d199bd680ee7ae91", "c353f6eeacf82bec373874e0d199bd680ee7ae91")</f>
        <v>0</v>
      </c>
      <c r="C48229">
        <f>HYPERLINK("https://android.googlesource.com/platform/cts/+/9d9166ea12d663ca60fa7d0a4a4ef5c5cb758f5b", "9d9166ea12d663ca60fa7d0a4a4ef5c5cb758f5b")</f>
        <v>0</v>
      </c>
      <c r="D48229" t="s">
        <v>5806</v>
      </c>
      <c r="E48229" t="s">
        <v>10579</v>
      </c>
      <c r="F48229" t="s">
        <v>14981</v>
      </c>
      <c r="G48229" t="s">
        <v>18805</v>
      </c>
      <c r="H48229" t="s">
        <v>40272</v>
      </c>
    </row>
    <row r="48230" spans="1:8">
      <c r="A48230" t="s">
        <v>4924</v>
      </c>
      <c r="B48230">
        <f>HYPERLINK("https://android.googlesource.com/platform/cts/+/90a783823e7ede91f486f760499c04fd7744b35f", "90a783823e7ede91f486f760499c04fd7744b35f")</f>
        <v>0</v>
      </c>
      <c r="C48230">
        <f>HYPERLINK("https://android.googlesource.com/platform/cts/+/ba912b1574ed9407132c69e18dcbbc57bc44dcc7", "ba912b1574ed9407132c69e18dcbbc57bc44dcc7")</f>
        <v>0</v>
      </c>
      <c r="D48230" t="s">
        <v>4996</v>
      </c>
      <c r="E48230" t="s">
        <v>10580</v>
      </c>
      <c r="F48230" t="s">
        <v>14982</v>
      </c>
      <c r="G48230" t="s">
        <v>18806</v>
      </c>
      <c r="H48230" t="s">
        <v>40273</v>
      </c>
    </row>
    <row r="48231" spans="1:8">
      <c r="H48231" t="s">
        <v>40274</v>
      </c>
    </row>
    <row r="48232" spans="1:8">
      <c r="H48232" t="s">
        <v>40275</v>
      </c>
    </row>
    <row r="48233" spans="1:8">
      <c r="H48233" t="s">
        <v>32846</v>
      </c>
    </row>
    <row r="48234" spans="1:8">
      <c r="H48234" t="s">
        <v>32847</v>
      </c>
    </row>
    <row r="48235" spans="1:8">
      <c r="H48235" t="s">
        <v>37910</v>
      </c>
    </row>
    <row r="48236" spans="1:8">
      <c r="F48236" t="s">
        <v>14983</v>
      </c>
      <c r="G48236" t="s">
        <v>18807</v>
      </c>
      <c r="H48236" t="s">
        <v>40276</v>
      </c>
    </row>
    <row r="48237" spans="1:8">
      <c r="H48237" t="s">
        <v>40274</v>
      </c>
    </row>
    <row r="48238" spans="1:8">
      <c r="H48238" t="s">
        <v>32846</v>
      </c>
    </row>
    <row r="48239" spans="1:8">
      <c r="H48239" t="s">
        <v>32847</v>
      </c>
    </row>
    <row r="48240" spans="1:8">
      <c r="H48240" t="s">
        <v>37910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22864"/>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8</v>
      </c>
      <c r="B2">
        <f>HYPERLINK("https://android.googlesource.com/platform/cts/+/7ca56dfb7d78d0050a3da3d87c040ca7910b3344", "7ca56dfb7d78d0050a3da3d87c040ca7910b3344")</f>
        <v>0</v>
      </c>
      <c r="C2">
        <f>HYPERLINK("https://android.googlesource.com/platform/cts/+/f8057104af9cae031b544e971a52adafa7c0d9e1", "f8057104af9cae031b544e971a52adafa7c0d9e1")</f>
        <v>0</v>
      </c>
      <c r="D2" t="s">
        <v>4926</v>
      </c>
      <c r="E2" t="s">
        <v>5808</v>
      </c>
      <c r="F2" t="s">
        <v>10582</v>
      </c>
      <c r="G2" t="s">
        <v>14985</v>
      </c>
      <c r="H2" t="s">
        <v>18808</v>
      </c>
    </row>
    <row r="3" spans="1:8">
      <c r="A3" t="s">
        <v>22</v>
      </c>
      <c r="B3">
        <f>HYPERLINK("https://android.googlesource.com/platform/cts/+/309d0e9b1af033a536fd208720fed9b98a1a605d", "309d0e9b1af033a536fd208720fed9b98a1a605d")</f>
        <v>0</v>
      </c>
      <c r="C3">
        <f>HYPERLINK("https://android.googlesource.com/platform/cts/+/2d8a0a39019939e66b412fa528007d666316686c", "2d8a0a39019939e66b412fa528007d666316686c")</f>
        <v>0</v>
      </c>
      <c r="D3" t="s">
        <v>4926</v>
      </c>
      <c r="E3" t="s">
        <v>5822</v>
      </c>
      <c r="F3" t="s">
        <v>10594</v>
      </c>
      <c r="G3" t="s">
        <v>14997</v>
      </c>
      <c r="H3" t="s">
        <v>18834</v>
      </c>
    </row>
    <row r="4" spans="1:8">
      <c r="A4" t="s">
        <v>25</v>
      </c>
      <c r="B4">
        <f>HYPERLINK("https://android.googlesource.com/platform/cts/+/77357827ec785b86132b4ee135189beb96595729", "77357827ec785b86132b4ee135189beb96595729")</f>
        <v>0</v>
      </c>
      <c r="C4">
        <f>HYPERLINK("https://android.googlesource.com/platform/cts/+/3b518328bf6595230c0cf460801d53406b1084b3", "3b518328bf6595230c0cf460801d53406b1084b3")</f>
        <v>0</v>
      </c>
      <c r="D4" t="s">
        <v>4926</v>
      </c>
      <c r="E4" t="s">
        <v>5825</v>
      </c>
      <c r="F4" t="s">
        <v>10594</v>
      </c>
      <c r="G4" t="s">
        <v>14997</v>
      </c>
      <c r="H4" t="s">
        <v>18834</v>
      </c>
    </row>
    <row r="5" spans="1:8">
      <c r="A5" t="s">
        <v>26</v>
      </c>
      <c r="B5">
        <f>HYPERLINK("https://android.googlesource.com/platform/cts/+/2ef9a889f8ecd5e543cde0f87163544a5bb9265e", "2ef9a889f8ecd5e543cde0f87163544a5bb9265e")</f>
        <v>0</v>
      </c>
      <c r="C5">
        <f>HYPERLINK("https://android.googlesource.com/platform/cts/+/cb2832b92dbe9c57f5d283cfb4bd596528eb3917", "cb2832b92dbe9c57f5d283cfb4bd596528eb3917")</f>
        <v>0</v>
      </c>
      <c r="D5" t="s">
        <v>4926</v>
      </c>
      <c r="E5" t="s">
        <v>5826</v>
      </c>
      <c r="F5" t="s">
        <v>10594</v>
      </c>
      <c r="G5" t="s">
        <v>14997</v>
      </c>
      <c r="H5" t="s">
        <v>18834</v>
      </c>
    </row>
    <row r="6" spans="1:8">
      <c r="A6" t="s">
        <v>27</v>
      </c>
      <c r="B6">
        <f>HYPERLINK("https://android.googlesource.com/platform/cts/+/7ae786780ba025c5f49bff98109882b222c3806a", "7ae786780ba025c5f49bff98109882b222c3806a")</f>
        <v>0</v>
      </c>
      <c r="C6">
        <f>HYPERLINK("https://android.googlesource.com/platform/cts/+/ba45315bb7ce4d2b420067f8e157760c266374f1", "ba45315bb7ce4d2b420067f8e157760c266374f1")</f>
        <v>0</v>
      </c>
      <c r="D6" t="s">
        <v>4926</v>
      </c>
      <c r="E6" t="s">
        <v>5827</v>
      </c>
      <c r="F6" t="s">
        <v>10595</v>
      </c>
      <c r="G6" t="s">
        <v>14998</v>
      </c>
      <c r="H6" t="s">
        <v>18835</v>
      </c>
    </row>
    <row r="7" spans="1:8">
      <c r="A7" t="s">
        <v>28</v>
      </c>
      <c r="B7">
        <f>HYPERLINK("https://android.googlesource.com/platform/cts/+/5bf9da14fdf3608fc801a060b0956bf4a152e135", "5bf9da14fdf3608fc801a060b0956bf4a152e135")</f>
        <v>0</v>
      </c>
      <c r="C7">
        <f>HYPERLINK("https://android.googlesource.com/platform/cts/+/58a3e998f87ababe32253c888c1fa83a84132e02", "58a3e998f87ababe32253c888c1fa83a84132e02")</f>
        <v>0</v>
      </c>
      <c r="D7" t="s">
        <v>4926</v>
      </c>
      <c r="E7" t="s">
        <v>5828</v>
      </c>
      <c r="F7" t="s">
        <v>10595</v>
      </c>
      <c r="G7" t="s">
        <v>14998</v>
      </c>
      <c r="H7" t="s">
        <v>18836</v>
      </c>
    </row>
    <row r="8" spans="1:8">
      <c r="A8" t="s">
        <v>29</v>
      </c>
      <c r="B8">
        <f>HYPERLINK("https://android.googlesource.com/platform/cts/+/ab14214fd9813884722925098f4c914a2e6f4632", "ab14214fd9813884722925098f4c914a2e6f4632")</f>
        <v>0</v>
      </c>
      <c r="C8">
        <f>HYPERLINK("https://android.googlesource.com/platform/cts/+/5164ae32d55870a2a47b650ea1f81fae3bd415ea", "5164ae32d55870a2a47b650ea1f81fae3bd415ea")</f>
        <v>0</v>
      </c>
      <c r="D8" t="s">
        <v>4926</v>
      </c>
      <c r="E8" t="s">
        <v>5829</v>
      </c>
      <c r="F8" t="s">
        <v>10595</v>
      </c>
      <c r="G8" t="s">
        <v>14998</v>
      </c>
      <c r="H8" t="s">
        <v>18835</v>
      </c>
    </row>
    <row r="9" spans="1:8">
      <c r="A9" t="s">
        <v>30</v>
      </c>
      <c r="B9">
        <f>HYPERLINK("https://android.googlesource.com/platform/cts/+/d57807eb896c462d3c52b69e9f3280179f35f1e0", "d57807eb896c462d3c52b69e9f3280179f35f1e0")</f>
        <v>0</v>
      </c>
      <c r="C9">
        <f>HYPERLINK("https://android.googlesource.com/platform/cts/+/863f7d8a3af9f8a31fc1de391457afc3682efaaf", "863f7d8a3af9f8a31fc1de391457afc3682efaaf")</f>
        <v>0</v>
      </c>
      <c r="D9" t="s">
        <v>4926</v>
      </c>
      <c r="E9" t="s">
        <v>5830</v>
      </c>
      <c r="F9" t="s">
        <v>10595</v>
      </c>
      <c r="G9" t="s">
        <v>14998</v>
      </c>
      <c r="H9" t="s">
        <v>18836</v>
      </c>
    </row>
    <row r="10" spans="1:8">
      <c r="A10" t="s">
        <v>31</v>
      </c>
      <c r="B10">
        <f>HYPERLINK("https://android.googlesource.com/platform/cts/+/2cc3145e1b66d5e759346240708fd4dcb712ec62", "2cc3145e1b66d5e759346240708fd4dcb712ec62")</f>
        <v>0</v>
      </c>
      <c r="C10">
        <f>HYPERLINK("https://android.googlesource.com/platform/cts/+/39ef24a4f32d952686ade6e64e92f76ebb268e58", "39ef24a4f32d952686ade6e64e92f76ebb268e58")</f>
        <v>0</v>
      </c>
      <c r="D10" t="s">
        <v>4926</v>
      </c>
      <c r="E10" t="s">
        <v>5831</v>
      </c>
      <c r="F10" t="s">
        <v>10595</v>
      </c>
      <c r="G10" t="s">
        <v>14998</v>
      </c>
      <c r="H10" t="s">
        <v>18835</v>
      </c>
    </row>
    <row r="11" spans="1:8">
      <c r="A11" t="s">
        <v>32</v>
      </c>
      <c r="B11">
        <f>HYPERLINK("https://android.googlesource.com/platform/cts/+/31fb751e85a60b168139dd8f986f68c5066474e9", "31fb751e85a60b168139dd8f986f68c5066474e9")</f>
        <v>0</v>
      </c>
      <c r="C11">
        <f>HYPERLINK("https://android.googlesource.com/platform/cts/+/da7d28e55d788988c699cef67d3ef18accf42aa1", "da7d28e55d788988c699cef67d3ef18accf42aa1")</f>
        <v>0</v>
      </c>
      <c r="D11" t="s">
        <v>4926</v>
      </c>
      <c r="E11" t="s">
        <v>5832</v>
      </c>
      <c r="F11" t="s">
        <v>10595</v>
      </c>
      <c r="G11" t="s">
        <v>14998</v>
      </c>
      <c r="H11" t="s">
        <v>18836</v>
      </c>
    </row>
    <row r="12" spans="1:8">
      <c r="A12" t="s">
        <v>36</v>
      </c>
      <c r="B12">
        <f>HYPERLINK("https://android.googlesource.com/platform/cts/+/5461caa9e82511581178730ff7d3913050e62d27", "5461caa9e82511581178730ff7d3913050e62d27")</f>
        <v>0</v>
      </c>
      <c r="C12">
        <f>HYPERLINK("https://android.googlesource.com/platform/cts/+/c8a5cde6a4f8f126d29fd48a9c76ca205e46d6fc", "c8a5cde6a4f8f126d29fd48a9c76ca205e46d6fc")</f>
        <v>0</v>
      </c>
      <c r="D12" t="s">
        <v>4926</v>
      </c>
      <c r="E12" t="s">
        <v>5836</v>
      </c>
      <c r="F12" t="s">
        <v>10596</v>
      </c>
      <c r="G12" t="s">
        <v>14999</v>
      </c>
      <c r="H12" t="s">
        <v>18838</v>
      </c>
    </row>
    <row r="13" spans="1:8">
      <c r="H13" t="s">
        <v>18839</v>
      </c>
    </row>
    <row r="14" spans="1:8">
      <c r="H14" t="s">
        <v>18840</v>
      </c>
    </row>
    <row r="15" spans="1:8">
      <c r="H15" t="s">
        <v>18841</v>
      </c>
    </row>
    <row r="16" spans="1:8">
      <c r="H16" t="s">
        <v>18842</v>
      </c>
    </row>
    <row r="17" spans="1:8">
      <c r="H17" t="s">
        <v>18843</v>
      </c>
    </row>
    <row r="18" spans="1:8">
      <c r="H18" t="s">
        <v>18844</v>
      </c>
    </row>
    <row r="19" spans="1:8">
      <c r="H19" t="s">
        <v>18845</v>
      </c>
    </row>
    <row r="20" spans="1:8">
      <c r="H20" t="s">
        <v>18846</v>
      </c>
    </row>
    <row r="21" spans="1:8">
      <c r="H21" t="s">
        <v>18847</v>
      </c>
    </row>
    <row r="22" spans="1:8">
      <c r="H22" t="s">
        <v>18848</v>
      </c>
    </row>
    <row r="23" spans="1:8">
      <c r="H23" t="s">
        <v>18849</v>
      </c>
    </row>
    <row r="24" spans="1:8">
      <c r="H24" t="s">
        <v>18850</v>
      </c>
    </row>
    <row r="25" spans="1:8">
      <c r="A25" t="s">
        <v>37</v>
      </c>
      <c r="B25">
        <f>HYPERLINK("https://android.googlesource.com/platform/cts/+/7bdb3e9acf6a4f8250a79b9d1d0d75899f6bd430", "7bdb3e9acf6a4f8250a79b9d1d0d75899f6bd430")</f>
        <v>0</v>
      </c>
      <c r="C25">
        <f>HYPERLINK("https://android.googlesource.com/platform/cts/+/e42765e10fbb0d480460b9a640f3130ffbd0f0e4", "e42765e10fbb0d480460b9a640f3130ffbd0f0e4")</f>
        <v>0</v>
      </c>
      <c r="D25" t="s">
        <v>4926</v>
      </c>
      <c r="E25" t="s">
        <v>5837</v>
      </c>
      <c r="F25" t="s">
        <v>10596</v>
      </c>
      <c r="G25" t="s">
        <v>14999</v>
      </c>
      <c r="H25" t="s">
        <v>18838</v>
      </c>
    </row>
    <row r="26" spans="1:8">
      <c r="H26" t="s">
        <v>18839</v>
      </c>
    </row>
    <row r="27" spans="1:8">
      <c r="H27" t="s">
        <v>18840</v>
      </c>
    </row>
    <row r="28" spans="1:8">
      <c r="H28" t="s">
        <v>18841</v>
      </c>
    </row>
    <row r="29" spans="1:8">
      <c r="H29" t="s">
        <v>18842</v>
      </c>
    </row>
    <row r="30" spans="1:8">
      <c r="H30" t="s">
        <v>18843</v>
      </c>
    </row>
    <row r="31" spans="1:8">
      <c r="H31" t="s">
        <v>18844</v>
      </c>
    </row>
    <row r="32" spans="1:8">
      <c r="H32" t="s">
        <v>18845</v>
      </c>
    </row>
    <row r="33" spans="1:8">
      <c r="H33" t="s">
        <v>18846</v>
      </c>
    </row>
    <row r="34" spans="1:8">
      <c r="H34" t="s">
        <v>18847</v>
      </c>
    </row>
    <row r="35" spans="1:8">
      <c r="H35" t="s">
        <v>18848</v>
      </c>
    </row>
    <row r="36" spans="1:8">
      <c r="H36" t="s">
        <v>18849</v>
      </c>
    </row>
    <row r="37" spans="1:8">
      <c r="H37" t="s">
        <v>18850</v>
      </c>
    </row>
    <row r="38" spans="1:8">
      <c r="A38" t="s">
        <v>38</v>
      </c>
      <c r="B38">
        <f>HYPERLINK("https://android.googlesource.com/platform/cts/+/23546ce4f79a5fbc4bb6efba0e537425e419366b", "23546ce4f79a5fbc4bb6efba0e537425e419366b")</f>
        <v>0</v>
      </c>
      <c r="C38">
        <f>HYPERLINK("https://android.googlesource.com/platform/cts/+/3058575c7c48aab21858e969e070466160e65ef1", "3058575c7c48aab21858e969e070466160e65ef1")</f>
        <v>0</v>
      </c>
      <c r="D38" t="s">
        <v>4926</v>
      </c>
      <c r="E38" t="s">
        <v>5838</v>
      </c>
      <c r="F38" t="s">
        <v>10596</v>
      </c>
      <c r="G38" t="s">
        <v>14999</v>
      </c>
      <c r="H38" t="s">
        <v>18838</v>
      </c>
    </row>
    <row r="39" spans="1:8">
      <c r="H39" t="s">
        <v>18839</v>
      </c>
    </row>
    <row r="40" spans="1:8">
      <c r="H40" t="s">
        <v>18840</v>
      </c>
    </row>
    <row r="41" spans="1:8">
      <c r="H41" t="s">
        <v>18841</v>
      </c>
    </row>
    <row r="42" spans="1:8">
      <c r="H42" t="s">
        <v>18842</v>
      </c>
    </row>
    <row r="43" spans="1:8">
      <c r="H43" t="s">
        <v>18843</v>
      </c>
    </row>
    <row r="44" spans="1:8">
      <c r="H44" t="s">
        <v>18844</v>
      </c>
    </row>
    <row r="45" spans="1:8">
      <c r="H45" t="s">
        <v>18845</v>
      </c>
    </row>
    <row r="46" spans="1:8">
      <c r="H46" t="s">
        <v>18846</v>
      </c>
    </row>
    <row r="47" spans="1:8">
      <c r="H47" t="s">
        <v>18847</v>
      </c>
    </row>
    <row r="48" spans="1:8">
      <c r="H48" t="s">
        <v>18848</v>
      </c>
    </row>
    <row r="49" spans="1:8">
      <c r="H49" t="s">
        <v>18849</v>
      </c>
    </row>
    <row r="50" spans="1:8">
      <c r="H50" t="s">
        <v>18850</v>
      </c>
    </row>
    <row r="51" spans="1:8">
      <c r="A51" t="s">
        <v>39</v>
      </c>
      <c r="B51">
        <f>HYPERLINK("https://android.googlesource.com/platform/cts/+/86ed74f939f577097fa1069965fa6268581d914f", "86ed74f939f577097fa1069965fa6268581d914f")</f>
        <v>0</v>
      </c>
      <c r="C51">
        <f>HYPERLINK("https://android.googlesource.com/platform/cts/+/2cc27de07eb0cbb9196cc8d23a23e313b0861390", "2cc27de07eb0cbb9196cc8d23a23e313b0861390")</f>
        <v>0</v>
      </c>
      <c r="D51" t="s">
        <v>4926</v>
      </c>
      <c r="E51" t="s">
        <v>5839</v>
      </c>
      <c r="F51" t="s">
        <v>10597</v>
      </c>
      <c r="G51" t="s">
        <v>15000</v>
      </c>
      <c r="H51" t="s">
        <v>18851</v>
      </c>
    </row>
    <row r="52" spans="1:8">
      <c r="A52" t="s">
        <v>40</v>
      </c>
      <c r="B52">
        <f>HYPERLINK("https://android.googlesource.com/platform/cts/+/60db5a8fec187a5533b574ea408dd235595d28c5", "60db5a8fec187a5533b574ea408dd235595d28c5")</f>
        <v>0</v>
      </c>
      <c r="C52">
        <f>HYPERLINK("https://android.googlesource.com/platform/cts/+/cdeeb5b288e9c6a250884b3a9f7974ea91c42d24", "cdeeb5b288e9c6a250884b3a9f7974ea91c42d24")</f>
        <v>0</v>
      </c>
      <c r="D52" t="s">
        <v>4926</v>
      </c>
      <c r="E52" t="s">
        <v>5840</v>
      </c>
      <c r="F52" t="s">
        <v>10598</v>
      </c>
      <c r="G52" t="s">
        <v>15001</v>
      </c>
      <c r="H52" t="s">
        <v>18855</v>
      </c>
    </row>
    <row r="53" spans="1:8">
      <c r="H53" t="s">
        <v>18856</v>
      </c>
    </row>
    <row r="54" spans="1:8">
      <c r="H54" t="s">
        <v>18857</v>
      </c>
    </row>
    <row r="55" spans="1:8">
      <c r="H55" t="s">
        <v>18858</v>
      </c>
    </row>
    <row r="56" spans="1:8">
      <c r="H56" t="s">
        <v>18859</v>
      </c>
    </row>
    <row r="57" spans="1:8">
      <c r="H57" t="s">
        <v>18860</v>
      </c>
    </row>
    <row r="58" spans="1:8">
      <c r="A58" t="s">
        <v>42</v>
      </c>
      <c r="B58">
        <f>HYPERLINK("https://android.googlesource.com/platform/cts/+/35074ac61cf15ed16fa1cb3cbcaa60d29db7f4c8", "35074ac61cf15ed16fa1cb3cbcaa60d29db7f4c8")</f>
        <v>0</v>
      </c>
      <c r="C58">
        <f>HYPERLINK("https://android.googlesource.com/platform/cts/+/ea0ecf0189315993a707aa7c3a807bf215536932", "ea0ecf0189315993a707aa7c3a807bf215536932")</f>
        <v>0</v>
      </c>
      <c r="D58" t="s">
        <v>4927</v>
      </c>
      <c r="E58" t="s">
        <v>5842</v>
      </c>
      <c r="F58" t="s">
        <v>10599</v>
      </c>
      <c r="G58" t="s">
        <v>15002</v>
      </c>
      <c r="H58" t="s">
        <v>18862</v>
      </c>
    </row>
    <row r="59" spans="1:8">
      <c r="A59" t="s">
        <v>48</v>
      </c>
      <c r="B59">
        <f>HYPERLINK("https://android.googlesource.com/platform/cts/+/707e13f29c58725e8cd8b2feae36c989bf78dabb", "707e13f29c58725e8cd8b2feae36c989bf78dabb")</f>
        <v>0</v>
      </c>
      <c r="C59">
        <f>HYPERLINK("https://android.googlesource.com/platform/cts/+/debd3ce7a51a51bafa414bca3dd63f98fb9d978c", "debd3ce7a51a51bafa414bca3dd63f98fb9d978c")</f>
        <v>0</v>
      </c>
      <c r="D59" t="s">
        <v>4926</v>
      </c>
      <c r="E59" t="s">
        <v>5848</v>
      </c>
      <c r="F59" t="s">
        <v>10607</v>
      </c>
      <c r="G59" t="s">
        <v>15010</v>
      </c>
      <c r="H59" t="s">
        <v>18851</v>
      </c>
    </row>
    <row r="60" spans="1:8">
      <c r="A60" t="s">
        <v>49</v>
      </c>
      <c r="B60">
        <f>HYPERLINK("https://android.googlesource.com/platform/cts/+/b99c55b1a4098b369496068399f5f9eb7664f8e1", "b99c55b1a4098b369496068399f5f9eb7664f8e1")</f>
        <v>0</v>
      </c>
      <c r="C60">
        <f>HYPERLINK("https://android.googlesource.com/platform/cts/+/9c8b7ebce1208a6b5b788199b8d5cab7f78221d9", "9c8b7ebce1208a6b5b788199b8d5cab7f78221d9")</f>
        <v>0</v>
      </c>
      <c r="D60" t="s">
        <v>4928</v>
      </c>
      <c r="E60" t="s">
        <v>5849</v>
      </c>
      <c r="F60" t="s">
        <v>10608</v>
      </c>
      <c r="G60" t="s">
        <v>15011</v>
      </c>
      <c r="H60" t="s">
        <v>18873</v>
      </c>
    </row>
    <row r="61" spans="1:8">
      <c r="F61" t="s">
        <v>10609</v>
      </c>
      <c r="G61" t="s">
        <v>15012</v>
      </c>
      <c r="H61" t="s">
        <v>18873</v>
      </c>
    </row>
    <row r="62" spans="1:8">
      <c r="H62" t="s">
        <v>18874</v>
      </c>
    </row>
    <row r="63" spans="1:8">
      <c r="A63" t="s">
        <v>51</v>
      </c>
      <c r="B63">
        <f>HYPERLINK("https://android.googlesource.com/platform/cts/+/72b705b4df314c5cb81a9db2347fb6a6f9384b9a", "72b705b4df314c5cb81a9db2347fb6a6f9384b9a")</f>
        <v>0</v>
      </c>
      <c r="C63">
        <f>HYPERLINK("https://android.googlesource.com/platform/cts/+/5d79c6fabf27d80d9373fd10e1d5dbbb58370c22", "5d79c6fabf27d80d9373fd10e1d5dbbb58370c22")</f>
        <v>0</v>
      </c>
      <c r="D63" t="s">
        <v>4929</v>
      </c>
      <c r="E63" t="s">
        <v>5851</v>
      </c>
      <c r="F63" t="s">
        <v>10610</v>
      </c>
      <c r="G63" t="s">
        <v>15013</v>
      </c>
      <c r="H63" t="s">
        <v>18876</v>
      </c>
    </row>
    <row r="64" spans="1:8">
      <c r="H64" t="s">
        <v>18877</v>
      </c>
    </row>
    <row r="65" spans="1:8">
      <c r="H65" t="s">
        <v>18878</v>
      </c>
    </row>
    <row r="66" spans="1:8">
      <c r="H66" t="s">
        <v>18879</v>
      </c>
    </row>
    <row r="67" spans="1:8">
      <c r="F67" t="s">
        <v>10611</v>
      </c>
      <c r="G67" t="s">
        <v>15014</v>
      </c>
      <c r="H67" t="s">
        <v>18888</v>
      </c>
    </row>
    <row r="68" spans="1:8">
      <c r="H68" t="s">
        <v>18889</v>
      </c>
    </row>
    <row r="69" spans="1:8">
      <c r="A69" t="s">
        <v>52</v>
      </c>
      <c r="B69">
        <f>HYPERLINK("https://android.googlesource.com/platform/cts/+/7c20b1b324c6d260d5476bc0f990b6727d8410fb", "7c20b1b324c6d260d5476bc0f990b6727d8410fb")</f>
        <v>0</v>
      </c>
      <c r="C69">
        <f>HYPERLINK("https://android.googlesource.com/platform/cts/+/b81b030d93725efd86709f6039d6da05402e0450", "b81b030d93725efd86709f6039d6da05402e0450")</f>
        <v>0</v>
      </c>
      <c r="D69" t="s">
        <v>4930</v>
      </c>
      <c r="E69" t="s">
        <v>5852</v>
      </c>
      <c r="F69" t="s">
        <v>10612</v>
      </c>
      <c r="G69" t="s">
        <v>15015</v>
      </c>
      <c r="H69" t="s">
        <v>18895</v>
      </c>
    </row>
    <row r="70" spans="1:8">
      <c r="A70" t="s">
        <v>57</v>
      </c>
      <c r="B70">
        <f>HYPERLINK("https://android.googlesource.com/platform/cts/+/ce5353465568cca84f2a0998cdc3eb27750aeaa0", "ce5353465568cca84f2a0998cdc3eb27750aeaa0")</f>
        <v>0</v>
      </c>
      <c r="C70">
        <f>HYPERLINK("https://android.googlesource.com/platform/cts/+/d9e4c123f8d24a1ae4395a0e649bf57c9d02a837", "d9e4c123f8d24a1ae4395a0e649bf57c9d02a837")</f>
        <v>0</v>
      </c>
      <c r="D70" t="s">
        <v>4930</v>
      </c>
      <c r="E70" t="s">
        <v>5857</v>
      </c>
      <c r="F70" t="s">
        <v>10623</v>
      </c>
      <c r="G70" t="s">
        <v>15026</v>
      </c>
      <c r="H70" t="s">
        <v>18906</v>
      </c>
    </row>
    <row r="71" spans="1:8">
      <c r="H71" t="s">
        <v>18907</v>
      </c>
    </row>
    <row r="72" spans="1:8">
      <c r="H72" t="s">
        <v>18908</v>
      </c>
    </row>
    <row r="73" spans="1:8">
      <c r="H73" t="s">
        <v>18909</v>
      </c>
    </row>
    <row r="74" spans="1:8">
      <c r="H74" t="s">
        <v>18910</v>
      </c>
    </row>
    <row r="75" spans="1:8">
      <c r="H75" t="s">
        <v>18911</v>
      </c>
    </row>
    <row r="76" spans="1:8">
      <c r="H76" t="s">
        <v>18912</v>
      </c>
    </row>
    <row r="77" spans="1:8">
      <c r="H77" t="s">
        <v>18913</v>
      </c>
    </row>
    <row r="78" spans="1:8">
      <c r="H78" t="s">
        <v>18914</v>
      </c>
    </row>
    <row r="79" spans="1:8">
      <c r="H79" t="s">
        <v>18915</v>
      </c>
    </row>
    <row r="80" spans="1:8">
      <c r="H80" t="s">
        <v>18916</v>
      </c>
    </row>
    <row r="81" spans="1:8">
      <c r="A81" t="s">
        <v>58</v>
      </c>
      <c r="B81">
        <f>HYPERLINK("https://android.googlesource.com/platform/cts/+/d507fc0c1d88c7e020f383d2bd73fb897b8aebc4", "d507fc0c1d88c7e020f383d2bd73fb897b8aebc4")</f>
        <v>0</v>
      </c>
      <c r="C81">
        <f>HYPERLINK("https://android.googlesource.com/platform/cts/+/ce5353465568cca84f2a0998cdc3eb27750aeaa0", "ce5353465568cca84f2a0998cdc3eb27750aeaa0")</f>
        <v>0</v>
      </c>
      <c r="D81" t="s">
        <v>4930</v>
      </c>
      <c r="E81" t="s">
        <v>5858</v>
      </c>
      <c r="F81" t="s">
        <v>10624</v>
      </c>
      <c r="G81" t="s">
        <v>15027</v>
      </c>
      <c r="H81" t="s">
        <v>18917</v>
      </c>
    </row>
    <row r="82" spans="1:8">
      <c r="A82" t="s">
        <v>59</v>
      </c>
      <c r="B82">
        <f>HYPERLINK("https://android.googlesource.com/platform/cts/+/3ba0b6150db73d97daedc177f99ed480778ecf41", "3ba0b6150db73d97daedc177f99ed480778ecf41")</f>
        <v>0</v>
      </c>
      <c r="C82">
        <f>HYPERLINK("https://android.googlesource.com/platform/cts/+/7facad782078e7787e96b3992222ad1ff75a4573", "7facad782078e7787e96b3992222ad1ff75a4573")</f>
        <v>0</v>
      </c>
      <c r="D82" t="s">
        <v>4929</v>
      </c>
      <c r="E82" t="s">
        <v>5859</v>
      </c>
      <c r="F82" t="s">
        <v>10625</v>
      </c>
      <c r="G82" t="s">
        <v>15028</v>
      </c>
      <c r="H82" t="s">
        <v>18851</v>
      </c>
    </row>
    <row r="83" spans="1:8">
      <c r="F83" t="s">
        <v>10626</v>
      </c>
      <c r="G83" t="s">
        <v>15029</v>
      </c>
      <c r="H83" t="s">
        <v>18851</v>
      </c>
    </row>
    <row r="84" spans="1:8">
      <c r="F84" t="s">
        <v>10627</v>
      </c>
      <c r="G84" t="s">
        <v>15030</v>
      </c>
      <c r="H84" t="s">
        <v>18918</v>
      </c>
    </row>
    <row r="85" spans="1:8">
      <c r="F85" t="s">
        <v>10583</v>
      </c>
      <c r="G85" t="s">
        <v>14986</v>
      </c>
      <c r="H85" t="s">
        <v>18851</v>
      </c>
    </row>
    <row r="86" spans="1:8">
      <c r="H86" t="s">
        <v>18921</v>
      </c>
    </row>
    <row r="87" spans="1:8">
      <c r="H87" t="s">
        <v>18922</v>
      </c>
    </row>
    <row r="88" spans="1:8">
      <c r="F88" t="s">
        <v>10633</v>
      </c>
      <c r="G88" t="s">
        <v>15036</v>
      </c>
      <c r="H88" t="s">
        <v>18851</v>
      </c>
    </row>
    <row r="89" spans="1:8">
      <c r="F89" t="s">
        <v>10634</v>
      </c>
      <c r="G89" t="s">
        <v>15037</v>
      </c>
      <c r="H89" t="s">
        <v>18851</v>
      </c>
    </row>
    <row r="90" spans="1:8">
      <c r="F90" t="s">
        <v>10639</v>
      </c>
      <c r="G90" t="s">
        <v>15042</v>
      </c>
      <c r="H90" t="s">
        <v>18851</v>
      </c>
    </row>
    <row r="91" spans="1:8">
      <c r="A91" t="s">
        <v>61</v>
      </c>
      <c r="B91">
        <f>HYPERLINK("https://android.googlesource.com/platform/cts/+/746033319bd79b766bd82fca4a13ed66ff4aadec", "746033319bd79b766bd82fca4a13ed66ff4aadec")</f>
        <v>0</v>
      </c>
      <c r="C91">
        <f>HYPERLINK("https://android.googlesource.com/platform/cts/+/703563d0016f3cf307920d24f5151b0cdbf862dd", "703563d0016f3cf307920d24f5151b0cdbf862dd")</f>
        <v>0</v>
      </c>
      <c r="D91" t="s">
        <v>4929</v>
      </c>
      <c r="E91" t="s">
        <v>5861</v>
      </c>
      <c r="F91" t="s">
        <v>10605</v>
      </c>
      <c r="G91" t="s">
        <v>15008</v>
      </c>
      <c r="H91" t="s">
        <v>18969</v>
      </c>
    </row>
    <row r="92" spans="1:8">
      <c r="H92" t="s">
        <v>18970</v>
      </c>
    </row>
    <row r="93" spans="1:8">
      <c r="H93" t="s">
        <v>18971</v>
      </c>
    </row>
    <row r="94" spans="1:8">
      <c r="H94" t="s">
        <v>18972</v>
      </c>
    </row>
    <row r="95" spans="1:8">
      <c r="H95" t="s">
        <v>18973</v>
      </c>
    </row>
    <row r="96" spans="1:8">
      <c r="H96" t="s">
        <v>18974</v>
      </c>
    </row>
    <row r="97" spans="1:8">
      <c r="A97" t="s">
        <v>62</v>
      </c>
      <c r="B97">
        <f>HYPERLINK("https://android.googlesource.com/platform/cts/+/80b2b0414cfb461c562d4133e242daa341ed3bcb", "80b2b0414cfb461c562d4133e242daa341ed3bcb")</f>
        <v>0</v>
      </c>
      <c r="C97">
        <f>HYPERLINK("https://android.googlesource.com/platform/cts/+/4dd61d245f7903f483a74c3ce0261b7355c9a3c9", "4dd61d245f7903f483a74c3ce0261b7355c9a3c9")</f>
        <v>0</v>
      </c>
      <c r="D97" t="s">
        <v>4929</v>
      </c>
      <c r="E97" t="s">
        <v>5862</v>
      </c>
      <c r="F97" t="s">
        <v>10644</v>
      </c>
      <c r="G97" t="s">
        <v>15045</v>
      </c>
      <c r="H97" t="s">
        <v>18979</v>
      </c>
    </row>
    <row r="98" spans="1:8">
      <c r="H98" t="s">
        <v>18980</v>
      </c>
    </row>
    <row r="99" spans="1:8">
      <c r="H99" t="s">
        <v>18981</v>
      </c>
    </row>
    <row r="100" spans="1:8">
      <c r="F100" t="s">
        <v>10645</v>
      </c>
      <c r="G100" t="s">
        <v>15046</v>
      </c>
      <c r="H100" t="s">
        <v>18982</v>
      </c>
    </row>
    <row r="101" spans="1:8">
      <c r="H101" t="s">
        <v>18983</v>
      </c>
    </row>
    <row r="102" spans="1:8">
      <c r="H102" t="s">
        <v>18984</v>
      </c>
    </row>
    <row r="103" spans="1:8">
      <c r="F103" t="s">
        <v>10646</v>
      </c>
      <c r="G103" t="s">
        <v>15047</v>
      </c>
      <c r="H103" t="s">
        <v>18987</v>
      </c>
    </row>
    <row r="104" spans="1:8">
      <c r="A104" t="s">
        <v>64</v>
      </c>
      <c r="B104">
        <f>HYPERLINK("https://android.googlesource.com/platform/cts/+/e1a07a3a6fdd90d85ce7347a5fad4e4996942c3d", "e1a07a3a6fdd90d85ce7347a5fad4e4996942c3d")</f>
        <v>0</v>
      </c>
      <c r="C104">
        <f>HYPERLINK("https://android.googlesource.com/platform/cts/+/253ba6235e47a4b5b62e548be22b360fde0d593f", "253ba6235e47a4b5b62e548be22b360fde0d593f")</f>
        <v>0</v>
      </c>
      <c r="D104" t="s">
        <v>4931</v>
      </c>
      <c r="E104" t="s">
        <v>5864</v>
      </c>
      <c r="F104" t="s">
        <v>10648</v>
      </c>
      <c r="G104" t="s">
        <v>15049</v>
      </c>
      <c r="H104" t="s">
        <v>18992</v>
      </c>
    </row>
    <row r="105" spans="1:8">
      <c r="A105" t="s">
        <v>65</v>
      </c>
      <c r="B105">
        <f>HYPERLINK("https://android.googlesource.com/platform/cts/+/e15a994531cd2f8db19ce0bdd8baed98ba2bfef3", "e15a994531cd2f8db19ce0bdd8baed98ba2bfef3")</f>
        <v>0</v>
      </c>
      <c r="C105">
        <f>HYPERLINK("https://android.googlesource.com/platform/cts/+/ae9efdf0063cf26d5d148dc9bee645d23d95edc0", "ae9efdf0063cf26d5d148dc9bee645d23d95edc0")</f>
        <v>0</v>
      </c>
      <c r="D105" t="s">
        <v>4930</v>
      </c>
      <c r="E105" t="s">
        <v>5865</v>
      </c>
      <c r="F105" t="s">
        <v>10649</v>
      </c>
      <c r="G105" t="s">
        <v>15050</v>
      </c>
      <c r="H105" t="s">
        <v>18994</v>
      </c>
    </row>
    <row r="106" spans="1:8">
      <c r="F106" t="s">
        <v>10650</v>
      </c>
      <c r="G106" t="s">
        <v>15051</v>
      </c>
      <c r="H106" t="s">
        <v>18836</v>
      </c>
    </row>
    <row r="107" spans="1:8">
      <c r="H107" t="s">
        <v>18996</v>
      </c>
    </row>
    <row r="108" spans="1:8">
      <c r="H108" t="s">
        <v>18997</v>
      </c>
    </row>
    <row r="109" spans="1:8">
      <c r="H109" t="s">
        <v>18998</v>
      </c>
    </row>
    <row r="110" spans="1:8">
      <c r="H110" t="s">
        <v>18999</v>
      </c>
    </row>
    <row r="111" spans="1:8">
      <c r="F111" t="s">
        <v>10651</v>
      </c>
      <c r="G111" t="s">
        <v>15052</v>
      </c>
      <c r="H111" t="s">
        <v>18836</v>
      </c>
    </row>
    <row r="112" spans="1:8">
      <c r="H112" t="s">
        <v>19006</v>
      </c>
    </row>
    <row r="113" spans="1:8">
      <c r="H113" t="s">
        <v>19007</v>
      </c>
    </row>
    <row r="114" spans="1:8">
      <c r="H114" t="s">
        <v>19008</v>
      </c>
    </row>
    <row r="115" spans="1:8">
      <c r="H115" t="s">
        <v>19009</v>
      </c>
    </row>
    <row r="116" spans="1:8">
      <c r="H116" t="s">
        <v>19010</v>
      </c>
    </row>
    <row r="117" spans="1:8">
      <c r="H117" t="s">
        <v>19011</v>
      </c>
    </row>
    <row r="118" spans="1:8">
      <c r="H118" t="s">
        <v>18835</v>
      </c>
    </row>
    <row r="119" spans="1:8">
      <c r="H119" t="s">
        <v>19012</v>
      </c>
    </row>
    <row r="120" spans="1:8">
      <c r="H120" t="s">
        <v>19013</v>
      </c>
    </row>
    <row r="121" spans="1:8">
      <c r="H121" t="s">
        <v>19014</v>
      </c>
    </row>
    <row r="122" spans="1:8">
      <c r="F122" t="s">
        <v>10652</v>
      </c>
      <c r="G122" t="s">
        <v>15053</v>
      </c>
      <c r="H122" t="s">
        <v>18836</v>
      </c>
    </row>
    <row r="123" spans="1:8">
      <c r="H123" t="s">
        <v>18835</v>
      </c>
    </row>
    <row r="124" spans="1:8">
      <c r="H124" t="s">
        <v>19007</v>
      </c>
    </row>
    <row r="125" spans="1:8">
      <c r="H125" t="s">
        <v>19010</v>
      </c>
    </row>
    <row r="126" spans="1:8">
      <c r="H126" t="s">
        <v>19013</v>
      </c>
    </row>
    <row r="127" spans="1:8">
      <c r="A127" t="s">
        <v>68</v>
      </c>
      <c r="B127">
        <f>HYPERLINK("https://android.googlesource.com/platform/cts/+/496aef40c77af81c19dc2dc8f902ccbfa346e19b", "496aef40c77af81c19dc2dc8f902ccbfa346e19b")</f>
        <v>0</v>
      </c>
      <c r="C127">
        <f>HYPERLINK("https://android.googlesource.com/platform/cts/+/925578cfcabfec40f10d833aace940bfb3325f31", "925578cfcabfec40f10d833aace940bfb3325f31")</f>
        <v>0</v>
      </c>
      <c r="D127" t="s">
        <v>4930</v>
      </c>
      <c r="E127" t="s">
        <v>5868</v>
      </c>
      <c r="F127" t="s">
        <v>10655</v>
      </c>
      <c r="G127" t="s">
        <v>15056</v>
      </c>
      <c r="H127" t="s">
        <v>18835</v>
      </c>
    </row>
    <row r="128" spans="1:8">
      <c r="A128" t="s">
        <v>69</v>
      </c>
      <c r="B128">
        <f>HYPERLINK("https://android.googlesource.com/platform/cts/+/c7ff2e61798abc3a9a99bdb4e26b54dae296de11", "c7ff2e61798abc3a9a99bdb4e26b54dae296de11")</f>
        <v>0</v>
      </c>
      <c r="C128">
        <f>HYPERLINK("https://android.googlesource.com/platform/cts/+/48a66ccf9d950b654fc2c401b3f912dc45e05564", "48a66ccf9d950b654fc2c401b3f912dc45e05564")</f>
        <v>0</v>
      </c>
      <c r="D128" t="s">
        <v>4932</v>
      </c>
      <c r="E128" t="s">
        <v>5869</v>
      </c>
      <c r="F128" t="s">
        <v>10656</v>
      </c>
      <c r="G128" t="s">
        <v>15057</v>
      </c>
      <c r="H128" t="s">
        <v>19022</v>
      </c>
    </row>
    <row r="129" spans="1:8">
      <c r="H129" t="s">
        <v>19023</v>
      </c>
    </row>
    <row r="130" spans="1:8">
      <c r="H130" t="s">
        <v>19024</v>
      </c>
    </row>
    <row r="131" spans="1:8">
      <c r="H131" t="s">
        <v>19025</v>
      </c>
    </row>
    <row r="132" spans="1:8">
      <c r="A132" t="s">
        <v>70</v>
      </c>
      <c r="B132">
        <f>HYPERLINK("https://android.googlesource.com/platform/cts/+/e091316b9f7e7c1dfffa80623188b8496769d398", "e091316b9f7e7c1dfffa80623188b8496769d398")</f>
        <v>0</v>
      </c>
      <c r="C132">
        <f>HYPERLINK("https://android.googlesource.com/platform/cts/+/93dbdba7785edccaac70679a2e67b510912db056", "93dbdba7785edccaac70679a2e67b510912db056")</f>
        <v>0</v>
      </c>
      <c r="D132" t="s">
        <v>4932</v>
      </c>
      <c r="E132" t="s">
        <v>5870</v>
      </c>
      <c r="F132" t="s">
        <v>10658</v>
      </c>
      <c r="G132" t="s">
        <v>15059</v>
      </c>
      <c r="H132" t="s">
        <v>19027</v>
      </c>
    </row>
    <row r="133" spans="1:8">
      <c r="A133" t="s">
        <v>71</v>
      </c>
      <c r="B133">
        <f>HYPERLINK("https://android.googlesource.com/platform/cts/+/9ef014ac8654972ee00d0292f736e59d8dd84cf4", "9ef014ac8654972ee00d0292f736e59d8dd84cf4")</f>
        <v>0</v>
      </c>
      <c r="C133">
        <f>HYPERLINK("https://android.googlesource.com/platform/cts/+/19d6ff3877366e09145ef1ee1809998fa1ab2a9a", "19d6ff3877366e09145ef1ee1809998fa1ab2a9a")</f>
        <v>0</v>
      </c>
      <c r="D133" t="s">
        <v>4933</v>
      </c>
      <c r="E133" t="s">
        <v>5871</v>
      </c>
      <c r="F133" t="s">
        <v>10659</v>
      </c>
      <c r="G133" t="s">
        <v>15060</v>
      </c>
      <c r="H133" t="s">
        <v>19028</v>
      </c>
    </row>
    <row r="134" spans="1:8">
      <c r="A134" t="s">
        <v>77</v>
      </c>
      <c r="B134">
        <f>HYPERLINK("https://android.googlesource.com/platform/cts/+/9fe411b2080259f227fbc90621bc2061572c8de4", "9fe411b2080259f227fbc90621bc2061572c8de4")</f>
        <v>0</v>
      </c>
      <c r="C134">
        <f>HYPERLINK("https://android.googlesource.com/platform/cts/+/455061f0b4c594e796084b7ee0afd7b98248d8aa", "455061f0b4c594e796084b7ee0afd7b98248d8aa")</f>
        <v>0</v>
      </c>
      <c r="D134" t="s">
        <v>4932</v>
      </c>
      <c r="E134" t="s">
        <v>5877</v>
      </c>
      <c r="F134" t="s">
        <v>10664</v>
      </c>
      <c r="G134" t="s">
        <v>15065</v>
      </c>
      <c r="H134" t="s">
        <v>19037</v>
      </c>
    </row>
    <row r="135" spans="1:8">
      <c r="H135" t="s">
        <v>19038</v>
      </c>
    </row>
    <row r="136" spans="1:8">
      <c r="A136" t="s">
        <v>78</v>
      </c>
      <c r="B136">
        <f>HYPERLINK("https://android.googlesource.com/platform/cts/+/199ed6a44ac161ab32cbab3f69c0fe5fdf3401c5", "199ed6a44ac161ab32cbab3f69c0fe5fdf3401c5")</f>
        <v>0</v>
      </c>
      <c r="C136">
        <f>HYPERLINK("https://android.googlesource.com/platform/cts/+/fb4736d7c9c802a16705843dfafd4c775a4f2226", "fb4736d7c9c802a16705843dfafd4c775a4f2226")</f>
        <v>0</v>
      </c>
      <c r="D136" t="s">
        <v>4934</v>
      </c>
      <c r="E136" t="s">
        <v>5878</v>
      </c>
      <c r="F136" t="s">
        <v>10665</v>
      </c>
      <c r="G136" t="s">
        <v>15066</v>
      </c>
      <c r="H136" t="s">
        <v>19039</v>
      </c>
    </row>
    <row r="137" spans="1:8">
      <c r="A137" t="s">
        <v>79</v>
      </c>
      <c r="B137">
        <f>HYPERLINK("https://android.googlesource.com/platform/cts/+/915bd6accb19cc43c295a313a556c0c9316a8259", "915bd6accb19cc43c295a313a556c0c9316a8259")</f>
        <v>0</v>
      </c>
      <c r="C137">
        <f>HYPERLINK("https://android.googlesource.com/platform/cts/+/b5e916bc4402ba3fa3411c4c52fc4af73ea61a43", "b5e916bc4402ba3fa3411c4c52fc4af73ea61a43")</f>
        <v>0</v>
      </c>
      <c r="D137" t="s">
        <v>4935</v>
      </c>
      <c r="E137" t="s">
        <v>5879</v>
      </c>
      <c r="F137" t="s">
        <v>10666</v>
      </c>
      <c r="G137" t="s">
        <v>15067</v>
      </c>
      <c r="H137" t="s">
        <v>19040</v>
      </c>
    </row>
    <row r="138" spans="1:8">
      <c r="A138" t="s">
        <v>80</v>
      </c>
      <c r="B138">
        <f>HYPERLINK("https://android.googlesource.com/platform/cts/+/d7af06ff44ee93a819dfa560fb6669e6c5e1d218", "d7af06ff44ee93a819dfa560fb6669e6c5e1d218")</f>
        <v>0</v>
      </c>
      <c r="C138">
        <f>HYPERLINK("https://android.googlesource.com/platform/cts/+/ec611467d3133d3c38af549a3cafa70567d5ec83", "ec611467d3133d3c38af549a3cafa70567d5ec83")</f>
        <v>0</v>
      </c>
      <c r="D138" t="s">
        <v>4932</v>
      </c>
      <c r="E138" t="s">
        <v>5880</v>
      </c>
      <c r="F138" t="s">
        <v>10667</v>
      </c>
      <c r="G138" t="s">
        <v>15068</v>
      </c>
      <c r="H138" t="s">
        <v>19043</v>
      </c>
    </row>
    <row r="139" spans="1:8">
      <c r="A139" t="s">
        <v>81</v>
      </c>
      <c r="B139">
        <f>HYPERLINK("https://android.googlesource.com/platform/cts/+/aecd08721007e2cb5c8ebff166d701799fba22b7", "aecd08721007e2cb5c8ebff166d701799fba22b7")</f>
        <v>0</v>
      </c>
      <c r="C139">
        <f>HYPERLINK("https://android.googlesource.com/platform/cts/+/ec611467d3133d3c38af549a3cafa70567d5ec83", "ec611467d3133d3c38af549a3cafa70567d5ec83")</f>
        <v>0</v>
      </c>
      <c r="D139" t="s">
        <v>4936</v>
      </c>
      <c r="E139" t="s">
        <v>5881</v>
      </c>
      <c r="F139" t="s">
        <v>10668</v>
      </c>
      <c r="G139" t="s">
        <v>15069</v>
      </c>
      <c r="H139" t="s">
        <v>19044</v>
      </c>
    </row>
    <row r="140" spans="1:8">
      <c r="A140" t="s">
        <v>82</v>
      </c>
      <c r="B140">
        <f>HYPERLINK("https://android.googlesource.com/platform/cts/+/11ef4caff62219aedb606c44183712ff2f5458ab", "11ef4caff62219aedb606c44183712ff2f5458ab")</f>
        <v>0</v>
      </c>
      <c r="C140">
        <f>HYPERLINK("https://android.googlesource.com/platform/cts/+/ac48191873770c2f2652e41bb176e88fced6ac9a", "ac48191873770c2f2652e41bb176e88fced6ac9a")</f>
        <v>0</v>
      </c>
      <c r="D140" t="s">
        <v>4937</v>
      </c>
      <c r="E140" t="s">
        <v>5882</v>
      </c>
      <c r="F140" t="s">
        <v>10669</v>
      </c>
      <c r="G140" t="s">
        <v>15070</v>
      </c>
      <c r="H140" t="s">
        <v>19045</v>
      </c>
    </row>
    <row r="141" spans="1:8">
      <c r="H141" t="s">
        <v>19046</v>
      </c>
    </row>
    <row r="142" spans="1:8">
      <c r="A142" t="s">
        <v>85</v>
      </c>
      <c r="B142">
        <f>HYPERLINK("https://android.googlesource.com/platform/cts/+/26d49be7708dae2d53f29ec5c166ef6c75566a84", "26d49be7708dae2d53f29ec5c166ef6c75566a84")</f>
        <v>0</v>
      </c>
      <c r="C142">
        <f>HYPERLINK("https://android.googlesource.com/platform/cts/+/dfb26176839bc0727c4eec422f7579d9af2df948", "dfb26176839bc0727c4eec422f7579d9af2df948")</f>
        <v>0</v>
      </c>
      <c r="D142" t="s">
        <v>4939</v>
      </c>
      <c r="E142" t="s">
        <v>5885</v>
      </c>
      <c r="F142" t="s">
        <v>10671</v>
      </c>
      <c r="G142" t="s">
        <v>15071</v>
      </c>
      <c r="H142" t="s">
        <v>19049</v>
      </c>
    </row>
    <row r="143" spans="1:8">
      <c r="A143" t="s">
        <v>87</v>
      </c>
      <c r="B143">
        <f>HYPERLINK("https://android.googlesource.com/platform/cts/+/f6e0aac2f1cfa1a6c56dd38bcbb1b0f8d767ed5d", "f6e0aac2f1cfa1a6c56dd38bcbb1b0f8d767ed5d")</f>
        <v>0</v>
      </c>
      <c r="C143">
        <f>HYPERLINK("https://android.googlesource.com/platform/cts/+/e458cce47ae52437ab2c476fe4b62d6146a4d5fe", "e458cce47ae52437ab2c476fe4b62d6146a4d5fe")</f>
        <v>0</v>
      </c>
      <c r="D143" t="s">
        <v>4941</v>
      </c>
      <c r="E143" t="s">
        <v>5887</v>
      </c>
      <c r="F143" t="s">
        <v>10672</v>
      </c>
      <c r="G143" t="s">
        <v>15072</v>
      </c>
      <c r="H143" t="s">
        <v>19051</v>
      </c>
    </row>
    <row r="144" spans="1:8">
      <c r="A144" t="s">
        <v>88</v>
      </c>
      <c r="B144">
        <f>HYPERLINK("https://android.googlesource.com/platform/cts/+/719bcd0dfdbe2c015746dc9738390c59c53f8268", "719bcd0dfdbe2c015746dc9738390c59c53f8268")</f>
        <v>0</v>
      </c>
      <c r="C144">
        <f>HYPERLINK("https://android.googlesource.com/platform/cts/+/e458cce47ae52437ab2c476fe4b62d6146a4d5fe", "e458cce47ae52437ab2c476fe4b62d6146a4d5fe")</f>
        <v>0</v>
      </c>
      <c r="D144" t="s">
        <v>4941</v>
      </c>
      <c r="E144" t="s">
        <v>5888</v>
      </c>
      <c r="F144" t="s">
        <v>10673</v>
      </c>
      <c r="G144" t="s">
        <v>15073</v>
      </c>
      <c r="H144" t="s">
        <v>18878</v>
      </c>
    </row>
    <row r="145" spans="1:8">
      <c r="A145" t="s">
        <v>89</v>
      </c>
      <c r="B145">
        <f>HYPERLINK("https://android.googlesource.com/platform/cts/+/ffa439bfca7d15ee4d9e203d39e87a1cc0432dd1", "ffa439bfca7d15ee4d9e203d39e87a1cc0432dd1")</f>
        <v>0</v>
      </c>
      <c r="C145">
        <f>HYPERLINK("https://android.googlesource.com/platform/cts/+/e458cce47ae52437ab2c476fe4b62d6146a4d5fe", "e458cce47ae52437ab2c476fe4b62d6146a4d5fe")</f>
        <v>0</v>
      </c>
      <c r="D145" t="s">
        <v>4941</v>
      </c>
      <c r="E145" t="s">
        <v>5889</v>
      </c>
      <c r="F145" t="s">
        <v>10674</v>
      </c>
      <c r="G145" t="s">
        <v>15074</v>
      </c>
      <c r="H145" t="s">
        <v>19052</v>
      </c>
    </row>
    <row r="146" spans="1:8">
      <c r="A146" t="s">
        <v>90</v>
      </c>
      <c r="B146">
        <f>HYPERLINK("https://android.googlesource.com/platform/cts/+/799b05108a00f86f3e05292972a2e308b2b19c84", "799b05108a00f86f3e05292972a2e308b2b19c84")</f>
        <v>0</v>
      </c>
      <c r="C146">
        <f>HYPERLINK("https://android.googlesource.com/platform/cts/+/8ac9cae79f735bef473520c4675e666eb99f6820", "8ac9cae79f735bef473520c4675e666eb99f6820")</f>
        <v>0</v>
      </c>
      <c r="D146" t="s">
        <v>4941</v>
      </c>
      <c r="E146" t="s">
        <v>5890</v>
      </c>
      <c r="F146" t="s">
        <v>10584</v>
      </c>
      <c r="G146" t="s">
        <v>14987</v>
      </c>
      <c r="H146" t="s">
        <v>19053</v>
      </c>
    </row>
    <row r="147" spans="1:8">
      <c r="A147" t="s">
        <v>91</v>
      </c>
      <c r="B147">
        <f>HYPERLINK("https://android.googlesource.com/platform/cts/+/171130b522afb7b2729c93a93d8e9978fb918cb8", "171130b522afb7b2729c93a93d8e9978fb918cb8")</f>
        <v>0</v>
      </c>
      <c r="C147">
        <f>HYPERLINK("https://android.googlesource.com/platform/cts/+/8ac9cae79f735bef473520c4675e666eb99f6820", "8ac9cae79f735bef473520c4675e666eb99f6820")</f>
        <v>0</v>
      </c>
      <c r="D147" t="s">
        <v>4941</v>
      </c>
      <c r="E147" t="s">
        <v>5891</v>
      </c>
      <c r="F147" t="s">
        <v>10675</v>
      </c>
      <c r="G147" t="s">
        <v>15075</v>
      </c>
      <c r="H147" t="s">
        <v>19055</v>
      </c>
    </row>
    <row r="148" spans="1:8">
      <c r="H148" t="s">
        <v>19056</v>
      </c>
    </row>
    <row r="149" spans="1:8">
      <c r="A149" t="s">
        <v>93</v>
      </c>
      <c r="B149">
        <f>HYPERLINK("https://android.googlesource.com/platform/cts/+/df56b8fd6e80dc2d9d487b86f5b71c54314ad475", "df56b8fd6e80dc2d9d487b86f5b71c54314ad475")</f>
        <v>0</v>
      </c>
      <c r="C149">
        <f>HYPERLINK("https://android.googlesource.com/platform/cts/+/33d66d69997986ee55b19ab216756e6df04b8fe1", "33d66d69997986ee55b19ab216756e6df04b8fe1")</f>
        <v>0</v>
      </c>
      <c r="D149" t="s">
        <v>4942</v>
      </c>
      <c r="E149" t="s">
        <v>5893</v>
      </c>
      <c r="F149" t="s">
        <v>10676</v>
      </c>
      <c r="G149" t="s">
        <v>15076</v>
      </c>
      <c r="H149" t="s">
        <v>19058</v>
      </c>
    </row>
    <row r="150" spans="1:8">
      <c r="H150" t="s">
        <v>19059</v>
      </c>
    </row>
    <row r="151" spans="1:8">
      <c r="H151" t="s">
        <v>19060</v>
      </c>
    </row>
    <row r="152" spans="1:8">
      <c r="H152" t="s">
        <v>19061</v>
      </c>
    </row>
    <row r="153" spans="1:8">
      <c r="H153" t="s">
        <v>19062</v>
      </c>
    </row>
    <row r="154" spans="1:8">
      <c r="A154" t="s">
        <v>94</v>
      </c>
      <c r="B154">
        <f>HYPERLINK("https://android.googlesource.com/platform/cts/+/0ad4bf40b2f105f372485b8fc5b83ed3c65b1ee7", "0ad4bf40b2f105f372485b8fc5b83ed3c65b1ee7")</f>
        <v>0</v>
      </c>
      <c r="C154">
        <f>HYPERLINK("https://android.googlesource.com/platform/cts/+/4bfdf82ee70de8e6fb674929cf973186d90a427c", "4bfdf82ee70de8e6fb674929cf973186d90a427c")</f>
        <v>0</v>
      </c>
      <c r="D154" t="s">
        <v>4932</v>
      </c>
      <c r="E154" t="s">
        <v>5894</v>
      </c>
      <c r="F154" t="s">
        <v>10608</v>
      </c>
      <c r="G154" t="s">
        <v>15011</v>
      </c>
      <c r="H154" t="s">
        <v>19063</v>
      </c>
    </row>
    <row r="155" spans="1:8">
      <c r="H155" t="s">
        <v>19064</v>
      </c>
    </row>
    <row r="156" spans="1:8">
      <c r="A156" t="s">
        <v>95</v>
      </c>
      <c r="B156">
        <f>HYPERLINK("https://android.googlesource.com/platform/cts/+/a202fccb97a003b35cf66f525d4963511614dae1", "a202fccb97a003b35cf66f525d4963511614dae1")</f>
        <v>0</v>
      </c>
      <c r="C156">
        <f>HYPERLINK("https://android.googlesource.com/platform/cts/+/a9629dbcc8eadddde0d4a2af6d9620bd293d2ec8", "a9629dbcc8eadddde0d4a2af6d9620bd293d2ec8")</f>
        <v>0</v>
      </c>
      <c r="D156" t="s">
        <v>4943</v>
      </c>
      <c r="E156" t="s">
        <v>5895</v>
      </c>
      <c r="F156" t="s">
        <v>10677</v>
      </c>
      <c r="G156" t="s">
        <v>15077</v>
      </c>
      <c r="H156" t="s">
        <v>19065</v>
      </c>
    </row>
    <row r="157" spans="1:8">
      <c r="H157" t="s">
        <v>19066</v>
      </c>
    </row>
    <row r="158" spans="1:8">
      <c r="H158" t="s">
        <v>19067</v>
      </c>
    </row>
    <row r="159" spans="1:8">
      <c r="H159" t="s">
        <v>19068</v>
      </c>
    </row>
    <row r="160" spans="1:8">
      <c r="H160" t="s">
        <v>19069</v>
      </c>
    </row>
    <row r="161" spans="1:8">
      <c r="H161" t="s">
        <v>19070</v>
      </c>
    </row>
    <row r="162" spans="1:8">
      <c r="H162" t="s">
        <v>19071</v>
      </c>
    </row>
    <row r="163" spans="1:8">
      <c r="H163" t="s">
        <v>19072</v>
      </c>
    </row>
    <row r="164" spans="1:8">
      <c r="H164" t="s">
        <v>19073</v>
      </c>
    </row>
    <row r="165" spans="1:8">
      <c r="H165" t="s">
        <v>19074</v>
      </c>
    </row>
    <row r="166" spans="1:8">
      <c r="A166" t="s">
        <v>97</v>
      </c>
      <c r="B166">
        <f>HYPERLINK("https://android.googlesource.com/platform/cts/+/2980da2061f1ae72280bcf5074888cbea4132fc1", "2980da2061f1ae72280bcf5074888cbea4132fc1")</f>
        <v>0</v>
      </c>
      <c r="C166">
        <f>HYPERLINK("https://android.googlesource.com/platform/cts/+/90c418e81f9deb7408f5927c39ca241685b2a2dd", "90c418e81f9deb7408f5927c39ca241685b2a2dd")</f>
        <v>0</v>
      </c>
      <c r="D166" t="s">
        <v>4938</v>
      </c>
      <c r="E166" t="s">
        <v>5897</v>
      </c>
      <c r="F166" t="s">
        <v>10670</v>
      </c>
      <c r="G166" t="s">
        <v>15029</v>
      </c>
      <c r="H166" t="s">
        <v>19086</v>
      </c>
    </row>
    <row r="167" spans="1:8">
      <c r="A167" t="s">
        <v>98</v>
      </c>
      <c r="B167">
        <f>HYPERLINK("https://android.googlesource.com/platform/cts/+/d97d17a43f5bb2cc383224bc5bd0dc04c406a010", "d97d17a43f5bb2cc383224bc5bd0dc04c406a010")</f>
        <v>0</v>
      </c>
      <c r="C167">
        <f>HYPERLINK("https://android.googlesource.com/platform/cts/+/c6384c5b383ba95bf39a360d2d480b0bc915c2a4", "c6384c5b383ba95bf39a360d2d480b0bc915c2a4")</f>
        <v>0</v>
      </c>
      <c r="D167" t="s">
        <v>4944</v>
      </c>
      <c r="E167" t="s">
        <v>5898</v>
      </c>
      <c r="F167" t="s">
        <v>10679</v>
      </c>
      <c r="G167" t="s">
        <v>15079</v>
      </c>
      <c r="H167" t="s">
        <v>19088</v>
      </c>
    </row>
    <row r="168" spans="1:8">
      <c r="A168" t="s">
        <v>99</v>
      </c>
      <c r="B168">
        <f>HYPERLINK("https://android.googlesource.com/platform/cts/+/89674de7bedbd28ae02a65ca7021f3c6be71a823", "89674de7bedbd28ae02a65ca7021f3c6be71a823")</f>
        <v>0</v>
      </c>
      <c r="C168">
        <f>HYPERLINK("https://android.googlesource.com/platform/cts/+/034fce8ab87890a3800fbf1c07fbc498132e5e54", "034fce8ab87890a3800fbf1c07fbc498132e5e54")</f>
        <v>0</v>
      </c>
      <c r="D168" t="s">
        <v>4942</v>
      </c>
      <c r="E168" t="s">
        <v>5899</v>
      </c>
      <c r="F168" t="s">
        <v>10680</v>
      </c>
      <c r="G168" t="s">
        <v>15080</v>
      </c>
      <c r="H168" t="s">
        <v>19089</v>
      </c>
    </row>
    <row r="169" spans="1:8">
      <c r="H169" t="s">
        <v>19090</v>
      </c>
    </row>
    <row r="170" spans="1:8">
      <c r="F170" t="s">
        <v>10681</v>
      </c>
      <c r="G170" t="s">
        <v>15081</v>
      </c>
      <c r="H170" t="s">
        <v>19090</v>
      </c>
    </row>
    <row r="171" spans="1:8">
      <c r="H171" t="s">
        <v>19091</v>
      </c>
    </row>
    <row r="172" spans="1:8">
      <c r="H172" t="s">
        <v>19089</v>
      </c>
    </row>
    <row r="173" spans="1:8">
      <c r="H173" t="s">
        <v>19092</v>
      </c>
    </row>
    <row r="174" spans="1:8">
      <c r="A174" t="s">
        <v>100</v>
      </c>
      <c r="B174">
        <f>HYPERLINK("https://android.googlesource.com/platform/cts/+/9f7f97f235dcd2cf279e7b7297d37e5547410953", "9f7f97f235dcd2cf279e7b7297d37e5547410953")</f>
        <v>0</v>
      </c>
      <c r="C174">
        <f>HYPERLINK("https://android.googlesource.com/platform/cts/+/41e034e1a57d3eaa7f50954d0831f4b2e2220502", "41e034e1a57d3eaa7f50954d0831f4b2e2220502")</f>
        <v>0</v>
      </c>
      <c r="D174" t="s">
        <v>4940</v>
      </c>
      <c r="E174" t="s">
        <v>5900</v>
      </c>
      <c r="F174" t="s">
        <v>10670</v>
      </c>
      <c r="G174" t="s">
        <v>15029</v>
      </c>
      <c r="H174" t="s">
        <v>19094</v>
      </c>
    </row>
    <row r="175" spans="1:8">
      <c r="A175" t="s">
        <v>101</v>
      </c>
      <c r="B175">
        <f>HYPERLINK("https://android.googlesource.com/platform/cts/+/22cf08bd0066ec45b9f49c2f3a3cdce04f88fbed", "22cf08bd0066ec45b9f49c2f3a3cdce04f88fbed")</f>
        <v>0</v>
      </c>
      <c r="C175">
        <f>HYPERLINK("https://android.googlesource.com/platform/cts/+/83a4a1c6a6afafeddb1b4e38a012dc66b09f3a53", "83a4a1c6a6afafeddb1b4e38a012dc66b09f3a53")</f>
        <v>0</v>
      </c>
      <c r="D175" t="s">
        <v>4932</v>
      </c>
      <c r="E175" t="s">
        <v>5901</v>
      </c>
      <c r="F175" t="s">
        <v>10609</v>
      </c>
      <c r="G175" t="s">
        <v>15012</v>
      </c>
      <c r="H175" t="s">
        <v>19095</v>
      </c>
    </row>
    <row r="176" spans="1:8">
      <c r="H176" t="s">
        <v>19096</v>
      </c>
    </row>
    <row r="177" spans="1:8">
      <c r="A177" t="s">
        <v>102</v>
      </c>
      <c r="B177">
        <f>HYPERLINK("https://android.googlesource.com/platform/cts/+/5330f43e4f8c4abd48c7f0144e80d891cb79b91a", "5330f43e4f8c4abd48c7f0144e80d891cb79b91a")</f>
        <v>0</v>
      </c>
      <c r="C177">
        <f>HYPERLINK("https://android.googlesource.com/platform/cts/+/f3d68730ed04f048ebd57a565f4a998c46aabb16", "f3d68730ed04f048ebd57a565f4a998c46aabb16")</f>
        <v>0</v>
      </c>
      <c r="D177" t="s">
        <v>4937</v>
      </c>
      <c r="E177" t="s">
        <v>5902</v>
      </c>
      <c r="F177" t="s">
        <v>10682</v>
      </c>
      <c r="G177" t="s">
        <v>15082</v>
      </c>
      <c r="H177" t="s">
        <v>19097</v>
      </c>
    </row>
    <row r="178" spans="1:8">
      <c r="A178" t="s">
        <v>104</v>
      </c>
      <c r="B178">
        <f>HYPERLINK("https://android.googlesource.com/platform/cts/+/3b3a92fec3aff9c20510b6e8703714164589ce26", "3b3a92fec3aff9c20510b6e8703714164589ce26")</f>
        <v>0</v>
      </c>
      <c r="C178">
        <f>HYPERLINK("https://android.googlesource.com/platform/cts/+/0f33a087b88c03b7b3f9fce146ae7251987936d2", "0f33a087b88c03b7b3f9fce146ae7251987936d2")</f>
        <v>0</v>
      </c>
      <c r="D178" t="s">
        <v>4937</v>
      </c>
      <c r="E178" t="s">
        <v>5904</v>
      </c>
      <c r="F178" t="s">
        <v>10685</v>
      </c>
      <c r="G178" t="s">
        <v>15085</v>
      </c>
      <c r="H178" t="s">
        <v>19099</v>
      </c>
    </row>
    <row r="179" spans="1:8">
      <c r="A179" t="s">
        <v>105</v>
      </c>
      <c r="B179">
        <f>HYPERLINK("https://android.googlesource.com/platform/cts/+/80b0625e9cf342c8bdc7eedb67cccc1f88131992", "80b0625e9cf342c8bdc7eedb67cccc1f88131992")</f>
        <v>0</v>
      </c>
      <c r="C179">
        <f>HYPERLINK("https://android.googlesource.com/platform/cts/+/213bcbfc082996cfd5096e6a67d3a160e0c46da1", "213bcbfc082996cfd5096e6a67d3a160e0c46da1")</f>
        <v>0</v>
      </c>
      <c r="D179" t="s">
        <v>4937</v>
      </c>
      <c r="E179" t="s">
        <v>5905</v>
      </c>
      <c r="F179" t="s">
        <v>10669</v>
      </c>
      <c r="G179" t="s">
        <v>15070</v>
      </c>
      <c r="H179" t="s">
        <v>19100</v>
      </c>
    </row>
    <row r="180" spans="1:8">
      <c r="H180" t="s">
        <v>19101</v>
      </c>
    </row>
    <row r="181" spans="1:8">
      <c r="H181" t="s">
        <v>19102</v>
      </c>
    </row>
    <row r="182" spans="1:8">
      <c r="H182" t="s">
        <v>19103</v>
      </c>
    </row>
    <row r="183" spans="1:8">
      <c r="A183" t="s">
        <v>106</v>
      </c>
      <c r="B183">
        <f>HYPERLINK("https://android.googlesource.com/platform/cts/+/622c658f450fa016b356756f90ab8911e6f2ab5d", "622c658f450fa016b356756f90ab8911e6f2ab5d")</f>
        <v>0</v>
      </c>
      <c r="C183">
        <f>HYPERLINK("https://android.googlesource.com/platform/cts/+/e9532898011d556124ec843b98fe8728f8e13fee", "e9532898011d556124ec843b98fe8728f8e13fee")</f>
        <v>0</v>
      </c>
      <c r="D183" t="s">
        <v>4942</v>
      </c>
      <c r="E183" t="s">
        <v>5906</v>
      </c>
      <c r="F183" t="s">
        <v>10608</v>
      </c>
      <c r="G183" t="s">
        <v>15011</v>
      </c>
      <c r="H183" t="s">
        <v>19095</v>
      </c>
    </row>
    <row r="184" spans="1:8">
      <c r="H184" t="s">
        <v>19096</v>
      </c>
    </row>
    <row r="185" spans="1:8">
      <c r="A185" t="s">
        <v>109</v>
      </c>
      <c r="B185">
        <f>HYPERLINK("https://android.googlesource.com/platform/cts/+/542d74c7677830fde06c2dc1e21397b241c5ca3c", "542d74c7677830fde06c2dc1e21397b241c5ca3c")</f>
        <v>0</v>
      </c>
      <c r="C185">
        <f>HYPERLINK("https://android.googlesource.com/platform/cts/+/1842a6238ce349ce5c610b43542cfc94cf6b078b", "1842a6238ce349ce5c610b43542cfc94cf6b078b")</f>
        <v>0</v>
      </c>
      <c r="D185" t="s">
        <v>4937</v>
      </c>
      <c r="E185" t="s">
        <v>5909</v>
      </c>
      <c r="F185" t="s">
        <v>10682</v>
      </c>
      <c r="G185" t="s">
        <v>15082</v>
      </c>
      <c r="H185" t="s">
        <v>19108</v>
      </c>
    </row>
    <row r="186" spans="1:8">
      <c r="H186" t="s">
        <v>19109</v>
      </c>
    </row>
    <row r="187" spans="1:8">
      <c r="A187" t="s">
        <v>110</v>
      </c>
      <c r="B187">
        <f>HYPERLINK("https://android.googlesource.com/platform/cts/+/f176eafe119e8065c29f6eb99d62d01274581174", "f176eafe119e8065c29f6eb99d62d01274581174")</f>
        <v>0</v>
      </c>
      <c r="C187">
        <f>HYPERLINK("https://android.googlesource.com/platform/cts/+/7ee6163b6a1a2cd0565f59b87c4b121df205443d", "7ee6163b6a1a2cd0565f59b87c4b121df205443d")</f>
        <v>0</v>
      </c>
      <c r="D187" t="s">
        <v>4945</v>
      </c>
      <c r="E187" t="s">
        <v>5910</v>
      </c>
      <c r="F187" t="s">
        <v>10680</v>
      </c>
      <c r="G187" t="s">
        <v>15080</v>
      </c>
      <c r="H187" t="s">
        <v>19089</v>
      </c>
    </row>
    <row r="188" spans="1:8">
      <c r="H188" t="s">
        <v>19090</v>
      </c>
    </row>
    <row r="189" spans="1:8">
      <c r="F189" t="s">
        <v>10676</v>
      </c>
      <c r="G189" t="s">
        <v>15076</v>
      </c>
      <c r="H189" t="s">
        <v>19058</v>
      </c>
    </row>
    <row r="190" spans="1:8">
      <c r="H190" t="s">
        <v>19059</v>
      </c>
    </row>
    <row r="191" spans="1:8">
      <c r="H191" t="s">
        <v>19060</v>
      </c>
    </row>
    <row r="192" spans="1:8">
      <c r="H192" t="s">
        <v>19061</v>
      </c>
    </row>
    <row r="193" spans="1:8">
      <c r="H193" t="s">
        <v>19062</v>
      </c>
    </row>
    <row r="194" spans="1:8">
      <c r="F194" t="s">
        <v>10681</v>
      </c>
      <c r="G194" t="s">
        <v>15081</v>
      </c>
      <c r="H194" t="s">
        <v>19090</v>
      </c>
    </row>
    <row r="195" spans="1:8">
      <c r="H195" t="s">
        <v>19091</v>
      </c>
    </row>
    <row r="196" spans="1:8">
      <c r="H196" t="s">
        <v>19089</v>
      </c>
    </row>
    <row r="197" spans="1:8">
      <c r="H197" t="s">
        <v>19092</v>
      </c>
    </row>
    <row r="198" spans="1:8">
      <c r="A198" t="s">
        <v>111</v>
      </c>
      <c r="B198">
        <f>HYPERLINK("https://android.googlesource.com/platform/cts/+/1de71445eac60f563f5098ba86b7a892be7d34cb", "1de71445eac60f563f5098ba86b7a892be7d34cb")</f>
        <v>0</v>
      </c>
      <c r="C198">
        <f>HYPERLINK("https://android.googlesource.com/platform/cts/+/dc92005f7fca6ee665d76bef2cf56d1e12cb5993", "dc92005f7fca6ee665d76bef2cf56d1e12cb5993")</f>
        <v>0</v>
      </c>
      <c r="D198" t="s">
        <v>4942</v>
      </c>
      <c r="E198" t="s">
        <v>5911</v>
      </c>
      <c r="F198" t="s">
        <v>10688</v>
      </c>
      <c r="G198" t="s">
        <v>15088</v>
      </c>
      <c r="H198" t="s">
        <v>19110</v>
      </c>
    </row>
    <row r="199" spans="1:8">
      <c r="F199" t="s">
        <v>10689</v>
      </c>
      <c r="G199" t="s">
        <v>15089</v>
      </c>
      <c r="H199" t="s">
        <v>19113</v>
      </c>
    </row>
    <row r="200" spans="1:8">
      <c r="A200" t="s">
        <v>112</v>
      </c>
      <c r="B200">
        <f>HYPERLINK("https://android.googlesource.com/platform/cts/+/eac6cf4a3984ac8503794d24f54eda6282f037a5", "eac6cf4a3984ac8503794d24f54eda6282f037a5")</f>
        <v>0</v>
      </c>
      <c r="C200">
        <f>HYPERLINK("https://android.googlesource.com/platform/cts/+/23ada699c007cca6183b86dba8d563cc6f35e8dd", "23ada699c007cca6183b86dba8d563cc6f35e8dd")</f>
        <v>0</v>
      </c>
      <c r="D200" t="s">
        <v>4946</v>
      </c>
      <c r="E200" t="s">
        <v>5912</v>
      </c>
      <c r="F200" t="s">
        <v>10627</v>
      </c>
      <c r="G200" t="s">
        <v>15030</v>
      </c>
      <c r="H200" t="s">
        <v>19115</v>
      </c>
    </row>
    <row r="201" spans="1:8">
      <c r="H201" t="s">
        <v>19116</v>
      </c>
    </row>
    <row r="202" spans="1:8">
      <c r="H202" t="s">
        <v>19117</v>
      </c>
    </row>
    <row r="203" spans="1:8">
      <c r="A203" t="s">
        <v>113</v>
      </c>
      <c r="B203">
        <f>HYPERLINK("https://android.googlesource.com/platform/cts/+/fa6eb9e0cfdb6e4af6aa1e47f271ec04162feb83", "fa6eb9e0cfdb6e4af6aa1e47f271ec04162feb83")</f>
        <v>0</v>
      </c>
      <c r="C203">
        <f>HYPERLINK("https://android.googlesource.com/platform/cts/+/4ac2b06c8cb4128d7d6d9d6464accbb90208161b", "4ac2b06c8cb4128d7d6d9d6464accbb90208161b")</f>
        <v>0</v>
      </c>
      <c r="D203" t="s">
        <v>4947</v>
      </c>
      <c r="E203" t="s">
        <v>5913</v>
      </c>
      <c r="F203" t="s">
        <v>10690</v>
      </c>
      <c r="G203" t="s">
        <v>15090</v>
      </c>
      <c r="H203" t="s">
        <v>19118</v>
      </c>
    </row>
    <row r="204" spans="1:8">
      <c r="A204" t="s">
        <v>114</v>
      </c>
      <c r="B204">
        <f>HYPERLINK("https://android.googlesource.com/platform/cts/+/ac0073708acb7a7f6060189a71c4343092a64229", "ac0073708acb7a7f6060189a71c4343092a64229")</f>
        <v>0</v>
      </c>
      <c r="C204">
        <f>HYPERLINK("https://android.googlesource.com/platform/cts/+/bd7116f6d8917718675b670e41a7e6d76cf67f1c", "bd7116f6d8917718675b670e41a7e6d76cf67f1c")</f>
        <v>0</v>
      </c>
      <c r="D204" t="s">
        <v>4942</v>
      </c>
      <c r="E204" t="s">
        <v>5914</v>
      </c>
      <c r="F204" t="s">
        <v>10692</v>
      </c>
      <c r="G204" t="s">
        <v>15092</v>
      </c>
      <c r="H204" t="s">
        <v>19137</v>
      </c>
    </row>
    <row r="205" spans="1:8">
      <c r="A205" t="s">
        <v>115</v>
      </c>
      <c r="B205">
        <f>HYPERLINK("https://android.googlesource.com/platform/cts/+/214bcdba0dd3fca2db5a69eebfd56bd453786f54", "214bcdba0dd3fca2db5a69eebfd56bd453786f54")</f>
        <v>0</v>
      </c>
      <c r="C205">
        <f>HYPERLINK("https://android.googlesource.com/platform/cts/+/d77ea9ba42095ac336fbef72f5f638a92a7bac9f", "d77ea9ba42095ac336fbef72f5f638a92a7bac9f")</f>
        <v>0</v>
      </c>
      <c r="D205" t="s">
        <v>4928</v>
      </c>
      <c r="E205" t="s">
        <v>5915</v>
      </c>
      <c r="F205" t="s">
        <v>10693</v>
      </c>
      <c r="G205" t="s">
        <v>15093</v>
      </c>
      <c r="H205" t="s">
        <v>19140</v>
      </c>
    </row>
    <row r="206" spans="1:8">
      <c r="H206" t="s">
        <v>19141</v>
      </c>
    </row>
    <row r="207" spans="1:8">
      <c r="H207" t="s">
        <v>19142</v>
      </c>
    </row>
    <row r="208" spans="1:8">
      <c r="H208" t="s">
        <v>19143</v>
      </c>
    </row>
    <row r="209" spans="1:8">
      <c r="A209" t="s">
        <v>118</v>
      </c>
      <c r="B209">
        <f>HYPERLINK("https://android.googlesource.com/platform/cts/+/1d653d3c3c1defe94263639d87a6d136288a7d17", "1d653d3c3c1defe94263639d87a6d136288a7d17")</f>
        <v>0</v>
      </c>
      <c r="C209">
        <f>HYPERLINK("https://android.googlesource.com/platform/cts/+/92b94fcea99b79afdb30abba068bd173d7fb2d35", "92b94fcea99b79afdb30abba068bd173d7fb2d35")</f>
        <v>0</v>
      </c>
      <c r="D209" t="s">
        <v>4942</v>
      </c>
      <c r="E209" t="s">
        <v>5918</v>
      </c>
      <c r="F209" t="s">
        <v>10695</v>
      </c>
      <c r="G209" t="s">
        <v>15095</v>
      </c>
      <c r="H209" t="s">
        <v>19147</v>
      </c>
    </row>
    <row r="210" spans="1:8">
      <c r="A210" t="s">
        <v>119</v>
      </c>
      <c r="B210">
        <f>HYPERLINK("https://android.googlesource.com/platform/cts/+/753fe8d8ad2e6b88ab26fe405097bb3c22acca4d", "753fe8d8ad2e6b88ab26fe405097bb3c22acca4d")</f>
        <v>0</v>
      </c>
      <c r="C210">
        <f>HYPERLINK("https://android.googlesource.com/platform/cts/+/00e9acdd8d3f360b43963d5deb509239dd6be3f6", "00e9acdd8d3f360b43963d5deb509239dd6be3f6")</f>
        <v>0</v>
      </c>
      <c r="D210" t="s">
        <v>4942</v>
      </c>
      <c r="E210" t="s">
        <v>5919</v>
      </c>
      <c r="F210" t="s">
        <v>10695</v>
      </c>
      <c r="G210" t="s">
        <v>15095</v>
      </c>
      <c r="H210" t="s">
        <v>19147</v>
      </c>
    </row>
    <row r="211" spans="1:8">
      <c r="A211" t="s">
        <v>120</v>
      </c>
      <c r="B211">
        <f>HYPERLINK("https://android.googlesource.com/platform/cts/+/3f0ef587c512b19900b4d2c74f845f46815f14e1", "3f0ef587c512b19900b4d2c74f845f46815f14e1")</f>
        <v>0</v>
      </c>
      <c r="C211">
        <f>HYPERLINK("https://android.googlesource.com/platform/cts/+/bc9f17789ed0b12892920646b642161cf2a279fc", "bc9f17789ed0b12892920646b642161cf2a279fc")</f>
        <v>0</v>
      </c>
      <c r="D211" t="s">
        <v>4937</v>
      </c>
      <c r="E211" t="s">
        <v>5920</v>
      </c>
      <c r="F211" t="s">
        <v>10682</v>
      </c>
      <c r="G211" t="s">
        <v>15082</v>
      </c>
      <c r="H211" t="s">
        <v>19148</v>
      </c>
    </row>
    <row r="212" spans="1:8">
      <c r="A212" t="s">
        <v>122</v>
      </c>
      <c r="B212">
        <f>HYPERLINK("https://android.googlesource.com/platform/cts/+/84310aad87a2a39ba1685ef2e57e0791423db2ce", "84310aad87a2a39ba1685ef2e57e0791423db2ce")</f>
        <v>0</v>
      </c>
      <c r="C212">
        <f>HYPERLINK("https://android.googlesource.com/platform/cts/+/c74cd3092397bbdc943ddc61cf2f67b6b4aee1e5", "c74cd3092397bbdc943ddc61cf2f67b6b4aee1e5")</f>
        <v>0</v>
      </c>
      <c r="D212" t="s">
        <v>4928</v>
      </c>
      <c r="E212" t="s">
        <v>5922</v>
      </c>
      <c r="F212" t="s">
        <v>10693</v>
      </c>
      <c r="G212" t="s">
        <v>15093</v>
      </c>
      <c r="H212" t="s">
        <v>19150</v>
      </c>
    </row>
    <row r="213" spans="1:8">
      <c r="H213" t="s">
        <v>19151</v>
      </c>
    </row>
    <row r="214" spans="1:8">
      <c r="H214" t="s">
        <v>19152</v>
      </c>
    </row>
    <row r="215" spans="1:8">
      <c r="H215" t="s">
        <v>19153</v>
      </c>
    </row>
    <row r="216" spans="1:8">
      <c r="H216" t="s">
        <v>19154</v>
      </c>
    </row>
    <row r="217" spans="1:8">
      <c r="H217" t="s">
        <v>19155</v>
      </c>
    </row>
    <row r="218" spans="1:8">
      <c r="H218" t="s">
        <v>19156</v>
      </c>
    </row>
    <row r="219" spans="1:8">
      <c r="H219" t="s">
        <v>19157</v>
      </c>
    </row>
    <row r="220" spans="1:8">
      <c r="A220" t="s">
        <v>124</v>
      </c>
      <c r="B220">
        <f>HYPERLINK("https://android.googlesource.com/platform/cts/+/8ff4fa9b074b6c3daec910079124857e6f070ff4", "8ff4fa9b074b6c3daec910079124857e6f070ff4")</f>
        <v>0</v>
      </c>
      <c r="C220">
        <f>HYPERLINK("https://android.googlesource.com/platform/cts/+/4d6abcf29caa73462ffcc49a3cdaa27e8943b2e9", "4d6abcf29caa73462ffcc49a3cdaa27e8943b2e9")</f>
        <v>0</v>
      </c>
      <c r="D220" t="s">
        <v>4940</v>
      </c>
      <c r="E220" t="s">
        <v>5924</v>
      </c>
      <c r="F220" t="s">
        <v>10670</v>
      </c>
      <c r="G220" t="s">
        <v>15029</v>
      </c>
      <c r="H220" t="s">
        <v>19158</v>
      </c>
    </row>
    <row r="221" spans="1:8">
      <c r="A221" t="s">
        <v>125</v>
      </c>
      <c r="B221">
        <f>HYPERLINK("https://android.googlesource.com/platform/cts/+/450e99ae682d860d25a178be72fa0abf53ddf3e6", "450e99ae682d860d25a178be72fa0abf53ddf3e6")</f>
        <v>0</v>
      </c>
      <c r="C221">
        <f>HYPERLINK("https://android.googlesource.com/platform/cts/+/5248dea95549ed3b7607c76e6c76185771ddda9d", "5248dea95549ed3b7607c76e6c76185771ddda9d")</f>
        <v>0</v>
      </c>
      <c r="D221" t="s">
        <v>4932</v>
      </c>
      <c r="E221" t="s">
        <v>5925</v>
      </c>
      <c r="F221" t="s">
        <v>10696</v>
      </c>
      <c r="G221" t="s">
        <v>15096</v>
      </c>
      <c r="H221" t="s">
        <v>19159</v>
      </c>
    </row>
    <row r="222" spans="1:8">
      <c r="A222" t="s">
        <v>126</v>
      </c>
      <c r="B222">
        <f>HYPERLINK("https://android.googlesource.com/platform/cts/+/deef330158a6e3a94bbc13a97f892ad08386091b", "deef330158a6e3a94bbc13a97f892ad08386091b")</f>
        <v>0</v>
      </c>
      <c r="C222">
        <f>HYPERLINK("https://android.googlesource.com/platform/cts/+/0bb0f8bcf30ee2915ea5f25c49912b382d1e44e5", "0bb0f8bcf30ee2915ea5f25c49912b382d1e44e5")</f>
        <v>0</v>
      </c>
      <c r="D222" t="s">
        <v>4932</v>
      </c>
      <c r="E222" t="s">
        <v>5926</v>
      </c>
      <c r="F222" t="s">
        <v>10697</v>
      </c>
      <c r="G222" t="s">
        <v>15097</v>
      </c>
      <c r="H222" t="s">
        <v>19160</v>
      </c>
    </row>
    <row r="223" spans="1:8">
      <c r="A223" t="s">
        <v>127</v>
      </c>
      <c r="B223">
        <f>HYPERLINK("https://android.googlesource.com/platform/cts/+/ac3a8afcf4292dd827c846c50f3bce0d2ee51a1c", "ac3a8afcf4292dd827c846c50f3bce0d2ee51a1c")</f>
        <v>0</v>
      </c>
      <c r="C223">
        <f>HYPERLINK("https://android.googlesource.com/platform/cts/+/119ca6e46ab088aeaeaee2f83605ab5b47169c62", "119ca6e46ab088aeaeaee2f83605ab5b47169c62")</f>
        <v>0</v>
      </c>
      <c r="D223" t="s">
        <v>4941</v>
      </c>
      <c r="E223" t="s">
        <v>5927</v>
      </c>
      <c r="F223" t="s">
        <v>10668</v>
      </c>
      <c r="G223" t="s">
        <v>15069</v>
      </c>
      <c r="H223" t="s">
        <v>19161</v>
      </c>
    </row>
    <row r="224" spans="1:8">
      <c r="A224" t="s">
        <v>128</v>
      </c>
      <c r="B224">
        <f>HYPERLINK("https://android.googlesource.com/platform/cts/+/1cb6e06af811b4d967c5dd08f19c8b8cdeedc9e8", "1cb6e06af811b4d967c5dd08f19c8b8cdeedc9e8")</f>
        <v>0</v>
      </c>
      <c r="C224">
        <f>HYPERLINK("https://android.googlesource.com/platform/cts/+/9518a7b53d9059de8f61614c88dac3eb8ed1cc52", "9518a7b53d9059de8f61614c88dac3eb8ed1cc52")</f>
        <v>0</v>
      </c>
      <c r="D224" t="s">
        <v>4941</v>
      </c>
      <c r="E224" t="s">
        <v>5928</v>
      </c>
      <c r="F224" t="s">
        <v>10687</v>
      </c>
      <c r="G224" t="s">
        <v>15087</v>
      </c>
      <c r="H224" t="s">
        <v>19162</v>
      </c>
    </row>
    <row r="225" spans="1:8">
      <c r="A225" t="s">
        <v>129</v>
      </c>
      <c r="B225">
        <f>HYPERLINK("https://android.googlesource.com/platform/cts/+/561e5e11c900b09b086bf8e40ba3d3bccc847758", "561e5e11c900b09b086bf8e40ba3d3bccc847758")</f>
        <v>0</v>
      </c>
      <c r="C225">
        <f>HYPERLINK("https://android.googlesource.com/platform/cts/+/41988d0a1ec52a13956b00df49a9a8e61ca8ebd9", "41988d0a1ec52a13956b00df49a9a8e61ca8ebd9")</f>
        <v>0</v>
      </c>
      <c r="D225" t="s">
        <v>4941</v>
      </c>
      <c r="E225" t="s">
        <v>5929</v>
      </c>
      <c r="F225" t="s">
        <v>10698</v>
      </c>
      <c r="G225" t="s">
        <v>15098</v>
      </c>
      <c r="H225" t="s">
        <v>19163</v>
      </c>
    </row>
    <row r="226" spans="1:8">
      <c r="F226" t="s">
        <v>10699</v>
      </c>
      <c r="G226" t="s">
        <v>15099</v>
      </c>
      <c r="H226" t="s">
        <v>19163</v>
      </c>
    </row>
    <row r="227" spans="1:8">
      <c r="A227" t="s">
        <v>130</v>
      </c>
      <c r="B227">
        <f>HYPERLINK("https://android.googlesource.com/platform/cts/+/d719cf92dfd46857dd90b83530b4c2f25c4f91c5", "d719cf92dfd46857dd90b83530b4c2f25c4f91c5")</f>
        <v>0</v>
      </c>
      <c r="C227">
        <f>HYPERLINK("https://android.googlesource.com/platform/cts/+/561e5e11c900b09b086bf8e40ba3d3bccc847758", "561e5e11c900b09b086bf8e40ba3d3bccc847758")</f>
        <v>0</v>
      </c>
      <c r="D227" t="s">
        <v>4941</v>
      </c>
      <c r="E227" t="s">
        <v>5930</v>
      </c>
      <c r="F227" t="s">
        <v>10699</v>
      </c>
      <c r="G227" t="s">
        <v>15099</v>
      </c>
      <c r="H227" t="s">
        <v>19164</v>
      </c>
    </row>
    <row r="228" spans="1:8">
      <c r="A228" t="s">
        <v>131</v>
      </c>
      <c r="B228">
        <f>HYPERLINK("https://android.googlesource.com/platform/cts/+/ef07f61a84dc70d668883edcbede50639038cb93", "ef07f61a84dc70d668883edcbede50639038cb93")</f>
        <v>0</v>
      </c>
      <c r="C228">
        <f>HYPERLINK("https://android.googlesource.com/platform/cts/+/61a7ca892ee196da93eb665b66622b60769da00c", "61a7ca892ee196da93eb665b66622b60769da00c")</f>
        <v>0</v>
      </c>
      <c r="D228" t="s">
        <v>4941</v>
      </c>
      <c r="E228" t="s">
        <v>5931</v>
      </c>
      <c r="F228" t="s">
        <v>10700</v>
      </c>
      <c r="G228" t="s">
        <v>15100</v>
      </c>
      <c r="H228" t="s">
        <v>19165</v>
      </c>
    </row>
    <row r="229" spans="1:8">
      <c r="A229" t="s">
        <v>135</v>
      </c>
      <c r="B229">
        <f>HYPERLINK("https://android.googlesource.com/platform/cts/+/7567b204d44b9b2d955effc1e941ea38236a9a03", "7567b204d44b9b2d955effc1e941ea38236a9a03")</f>
        <v>0</v>
      </c>
      <c r="C229">
        <f>HYPERLINK("https://android.googlesource.com/platform/cts/+/2f8435cd13a7f295d09e9e9372aff5b781b66bde", "2f8435cd13a7f295d09e9e9372aff5b781b66bde")</f>
        <v>0</v>
      </c>
      <c r="D229" t="s">
        <v>4942</v>
      </c>
      <c r="E229" t="s">
        <v>5935</v>
      </c>
      <c r="F229" t="s">
        <v>10705</v>
      </c>
      <c r="G229" t="s">
        <v>15105</v>
      </c>
      <c r="H229" t="s">
        <v>19176</v>
      </c>
    </row>
    <row r="230" spans="1:8">
      <c r="F230" t="s">
        <v>10706</v>
      </c>
      <c r="G230" t="s">
        <v>15106</v>
      </c>
      <c r="H230" t="s">
        <v>19176</v>
      </c>
    </row>
    <row r="231" spans="1:8">
      <c r="A231" t="s">
        <v>137</v>
      </c>
      <c r="B231">
        <f>HYPERLINK("https://android.googlesource.com/platform/cts/+/4005ea57a928432b803c268358fe9de709c65615", "4005ea57a928432b803c268358fe9de709c65615")</f>
        <v>0</v>
      </c>
      <c r="C231">
        <f>HYPERLINK("https://android.googlesource.com/platform/cts/+/48fa39dc596c026c182716675be5f4c613ee2190", "48fa39dc596c026c182716675be5f4c613ee2190")</f>
        <v>0</v>
      </c>
      <c r="D231" t="s">
        <v>4942</v>
      </c>
      <c r="E231" t="s">
        <v>5937</v>
      </c>
      <c r="F231" t="s">
        <v>10708</v>
      </c>
      <c r="G231" t="s">
        <v>15107</v>
      </c>
      <c r="H231" t="s">
        <v>19177</v>
      </c>
    </row>
    <row r="232" spans="1:8">
      <c r="F232" t="s">
        <v>10709</v>
      </c>
      <c r="G232" t="s">
        <v>15108</v>
      </c>
      <c r="H232" t="s">
        <v>19177</v>
      </c>
    </row>
    <row r="233" spans="1:8">
      <c r="F233" t="s">
        <v>10710</v>
      </c>
      <c r="G233" t="s">
        <v>15109</v>
      </c>
      <c r="H233" t="s">
        <v>19177</v>
      </c>
    </row>
    <row r="234" spans="1:8">
      <c r="F234" t="s">
        <v>10711</v>
      </c>
      <c r="G234" t="s">
        <v>15110</v>
      </c>
      <c r="H234" t="s">
        <v>19177</v>
      </c>
    </row>
    <row r="235" spans="1:8">
      <c r="A235" t="s">
        <v>138</v>
      </c>
      <c r="B235">
        <f>HYPERLINK("https://android.googlesource.com/platform/cts/+/f8c0a36cd3130cde3808790cfe5a1a31ff5807aa", "f8c0a36cd3130cde3808790cfe5a1a31ff5807aa")</f>
        <v>0</v>
      </c>
      <c r="C235">
        <f>HYPERLINK("https://android.googlesource.com/platform/cts/+/2bcf2450cc9c532a9416106565c75f10d46ecdf2", "2bcf2450cc9c532a9416106565c75f10d46ecdf2")</f>
        <v>0</v>
      </c>
      <c r="D235" t="s">
        <v>4942</v>
      </c>
      <c r="E235" t="s">
        <v>5938</v>
      </c>
      <c r="F235" t="s">
        <v>10712</v>
      </c>
      <c r="G235" t="s">
        <v>15111</v>
      </c>
      <c r="H235" t="s">
        <v>19178</v>
      </c>
    </row>
    <row r="236" spans="1:8">
      <c r="H236" t="s">
        <v>19179</v>
      </c>
    </row>
    <row r="237" spans="1:8">
      <c r="H237" t="s">
        <v>19180</v>
      </c>
    </row>
    <row r="238" spans="1:8">
      <c r="A238" t="s">
        <v>140</v>
      </c>
      <c r="B238">
        <f>HYPERLINK("https://android.googlesource.com/platform/cts/+/1e1ceaa036e58fa23148386bf7a32d02cfc66cdd", "1e1ceaa036e58fa23148386bf7a32d02cfc66cdd")</f>
        <v>0</v>
      </c>
      <c r="C238">
        <f>HYPERLINK("https://android.googlesource.com/platform/cts/+/9807ece9ab368c44f7519c320ca0e6a9930000e8", "9807ece9ab368c44f7519c320ca0e6a9930000e8")</f>
        <v>0</v>
      </c>
      <c r="D238" t="s">
        <v>4941</v>
      </c>
      <c r="E238" t="s">
        <v>5939</v>
      </c>
      <c r="F238" t="s">
        <v>10713</v>
      </c>
      <c r="G238" t="s">
        <v>15112</v>
      </c>
      <c r="H238" t="s">
        <v>19182</v>
      </c>
    </row>
    <row r="239" spans="1:8">
      <c r="A239" t="s">
        <v>141</v>
      </c>
      <c r="B239">
        <f>HYPERLINK("https://android.googlesource.com/platform/cts/+/498494b60da0c9f3ebef24af934c23bb8b3de3b3", "498494b60da0c9f3ebef24af934c23bb8b3de3b3")</f>
        <v>0</v>
      </c>
      <c r="C239">
        <f>HYPERLINK("https://android.googlesource.com/platform/cts/+/11a052eae5264365d8641e17c5ec2830c012a9ff", "11a052eae5264365d8641e17c5ec2830c012a9ff")</f>
        <v>0</v>
      </c>
      <c r="D239" t="s">
        <v>4941</v>
      </c>
      <c r="E239" t="s">
        <v>5940</v>
      </c>
      <c r="F239" t="s">
        <v>10637</v>
      </c>
      <c r="G239" t="s">
        <v>15040</v>
      </c>
      <c r="H239" t="s">
        <v>19183</v>
      </c>
    </row>
    <row r="240" spans="1:8">
      <c r="H240" t="s">
        <v>19184</v>
      </c>
    </row>
    <row r="241" spans="1:8">
      <c r="A241" t="s">
        <v>142</v>
      </c>
      <c r="B241">
        <f>HYPERLINK("https://android.googlesource.com/platform/cts/+/113cf67f683cba95e36af06e134511b363373abe", "113cf67f683cba95e36af06e134511b363373abe")</f>
        <v>0</v>
      </c>
      <c r="C241">
        <f>HYPERLINK("https://android.googlesource.com/platform/cts/+/d4edc186d4e8f69b4967f694dc8baf28534d566b", "d4edc186d4e8f69b4967f694dc8baf28534d566b")</f>
        <v>0</v>
      </c>
      <c r="D241" t="s">
        <v>4942</v>
      </c>
      <c r="E241" t="s">
        <v>5941</v>
      </c>
      <c r="F241" t="s">
        <v>10688</v>
      </c>
      <c r="G241" t="s">
        <v>15088</v>
      </c>
      <c r="H241" t="s">
        <v>19188</v>
      </c>
    </row>
    <row r="242" spans="1:8">
      <c r="H242" t="s">
        <v>19189</v>
      </c>
    </row>
    <row r="243" spans="1:8">
      <c r="A243" t="s">
        <v>144</v>
      </c>
      <c r="B243">
        <f>HYPERLINK("https://android.googlesource.com/platform/cts/+/8384c12edac19c20b8ffc115e2fb1c623d500e29", "8384c12edac19c20b8ffc115e2fb1c623d500e29")</f>
        <v>0</v>
      </c>
      <c r="C243">
        <f>HYPERLINK("https://android.googlesource.com/platform/cts/+/b9f9c181bbb3f0f00ca3e061560229f8a064cd8a", "b9f9c181bbb3f0f00ca3e061560229f8a064cd8a")</f>
        <v>0</v>
      </c>
      <c r="D243" t="s">
        <v>4941</v>
      </c>
      <c r="E243" t="s">
        <v>5943</v>
      </c>
      <c r="F243" t="s">
        <v>10698</v>
      </c>
      <c r="G243" t="s">
        <v>15098</v>
      </c>
      <c r="H243" t="s">
        <v>19193</v>
      </c>
    </row>
    <row r="244" spans="1:8">
      <c r="H244" t="s">
        <v>19194</v>
      </c>
    </row>
    <row r="245" spans="1:8">
      <c r="H245" t="s">
        <v>19195</v>
      </c>
    </row>
    <row r="246" spans="1:8">
      <c r="H246" t="s">
        <v>19196</v>
      </c>
    </row>
    <row r="247" spans="1:8">
      <c r="A247" t="s">
        <v>146</v>
      </c>
      <c r="B247">
        <f>HYPERLINK("https://android.googlesource.com/platform/cts/+/77cf8e683cfeb9a4c35c48a9ad62d9ffd48840d3", "77cf8e683cfeb9a4c35c48a9ad62d9ffd48840d3")</f>
        <v>0</v>
      </c>
      <c r="C247">
        <f>HYPERLINK("https://android.googlesource.com/platform/cts/+/8476626a9e9fd100a1238258250b7043927d9a1d", "8476626a9e9fd100a1238258250b7043927d9a1d")</f>
        <v>0</v>
      </c>
      <c r="D247" t="s">
        <v>4939</v>
      </c>
      <c r="E247" t="s">
        <v>5945</v>
      </c>
      <c r="F247" t="s">
        <v>10715</v>
      </c>
      <c r="G247" t="s">
        <v>15114</v>
      </c>
      <c r="H247" t="s">
        <v>19197</v>
      </c>
    </row>
    <row r="248" spans="1:8">
      <c r="A248" t="s">
        <v>147</v>
      </c>
      <c r="B248">
        <f>HYPERLINK("https://android.googlesource.com/platform/cts/+/0b9aac058d4f69e209c25a0ae382a62567c68ec7", "0b9aac058d4f69e209c25a0ae382a62567c68ec7")</f>
        <v>0</v>
      </c>
      <c r="C248">
        <f>HYPERLINK("https://android.googlesource.com/platform/cts/+/2ad4648a054aa57fd9092ab880be4c38850863d8", "2ad4648a054aa57fd9092ab880be4c38850863d8")</f>
        <v>0</v>
      </c>
      <c r="D248" t="s">
        <v>4942</v>
      </c>
      <c r="E248" t="s">
        <v>5946</v>
      </c>
      <c r="F248" t="s">
        <v>10716</v>
      </c>
      <c r="G248" t="s">
        <v>15115</v>
      </c>
      <c r="H248" t="s">
        <v>19199</v>
      </c>
    </row>
    <row r="249" spans="1:8">
      <c r="A249" t="s">
        <v>148</v>
      </c>
      <c r="B249">
        <f>HYPERLINK("https://android.googlesource.com/platform/cts/+/5c5c4c4625b08ff76d9369cb8faed9771cabe4ac", "5c5c4c4625b08ff76d9369cb8faed9771cabe4ac")</f>
        <v>0</v>
      </c>
      <c r="C249">
        <f>HYPERLINK("https://android.googlesource.com/platform/cts/+/2ad4648a054aa57fd9092ab880be4c38850863d8", "2ad4648a054aa57fd9092ab880be4c38850863d8")</f>
        <v>0</v>
      </c>
      <c r="D249" t="s">
        <v>4942</v>
      </c>
      <c r="E249" t="s">
        <v>5947</v>
      </c>
      <c r="F249" t="s">
        <v>10717</v>
      </c>
      <c r="G249" t="s">
        <v>15116</v>
      </c>
      <c r="H249" t="s">
        <v>19201</v>
      </c>
    </row>
    <row r="250" spans="1:8">
      <c r="A250" t="s">
        <v>149</v>
      </c>
      <c r="B250">
        <f>HYPERLINK("https://android.googlesource.com/platform/cts/+/f6ef098cd3a59a2f5af6f19278d0cf796f5b2f02", "f6ef098cd3a59a2f5af6f19278d0cf796f5b2f02")</f>
        <v>0</v>
      </c>
      <c r="C250">
        <f>HYPERLINK("https://android.googlesource.com/platform/cts/+/2ad4648a054aa57fd9092ab880be4c38850863d8", "2ad4648a054aa57fd9092ab880be4c38850863d8")</f>
        <v>0</v>
      </c>
      <c r="D250" t="s">
        <v>4942</v>
      </c>
      <c r="E250" t="s">
        <v>5948</v>
      </c>
      <c r="F250" t="s">
        <v>10679</v>
      </c>
      <c r="G250" t="s">
        <v>15079</v>
      </c>
      <c r="H250" t="s">
        <v>19202</v>
      </c>
    </row>
    <row r="251" spans="1:8">
      <c r="H251" t="s">
        <v>19203</v>
      </c>
    </row>
    <row r="252" spans="1:8">
      <c r="A252" t="s">
        <v>150</v>
      </c>
      <c r="B252">
        <f>HYPERLINK("https://android.googlesource.com/platform/cts/+/6aca89963bb79ca88941c79bd7d7316066eb8ec3", "6aca89963bb79ca88941c79bd7d7316066eb8ec3")</f>
        <v>0</v>
      </c>
      <c r="C252">
        <f>HYPERLINK("https://android.googlesource.com/platform/cts/+/2ad4648a054aa57fd9092ab880be4c38850863d8", "2ad4648a054aa57fd9092ab880be4c38850863d8")</f>
        <v>0</v>
      </c>
      <c r="D252" t="s">
        <v>4942</v>
      </c>
      <c r="E252" t="s">
        <v>5949</v>
      </c>
      <c r="F252" t="s">
        <v>10663</v>
      </c>
      <c r="G252" t="s">
        <v>15064</v>
      </c>
      <c r="H252" t="s">
        <v>19204</v>
      </c>
    </row>
    <row r="253" spans="1:8">
      <c r="A253" t="s">
        <v>151</v>
      </c>
      <c r="B253">
        <f>HYPERLINK("https://android.googlesource.com/platform/cts/+/8301a50347223c940cf4775497d92eac1935532f", "8301a50347223c940cf4775497d92eac1935532f")</f>
        <v>0</v>
      </c>
      <c r="C253">
        <f>HYPERLINK("https://android.googlesource.com/platform/cts/+/a59ff92b4dab5b9bfb301d0a49b5f6d0188b4389", "a59ff92b4dab5b9bfb301d0a49b5f6d0188b4389")</f>
        <v>0</v>
      </c>
      <c r="D253" t="s">
        <v>4942</v>
      </c>
      <c r="E253" t="s">
        <v>5950</v>
      </c>
      <c r="F253" t="s">
        <v>10718</v>
      </c>
      <c r="G253" t="s">
        <v>15117</v>
      </c>
      <c r="H253" t="s">
        <v>19207</v>
      </c>
    </row>
    <row r="254" spans="1:8">
      <c r="H254" t="s">
        <v>19208</v>
      </c>
    </row>
    <row r="255" spans="1:8">
      <c r="H255" t="s">
        <v>19209</v>
      </c>
    </row>
    <row r="256" spans="1:8">
      <c r="H256" t="s">
        <v>19210</v>
      </c>
    </row>
    <row r="257" spans="1:8">
      <c r="H257" t="s">
        <v>19211</v>
      </c>
    </row>
    <row r="258" spans="1:8">
      <c r="H258" t="s">
        <v>19212</v>
      </c>
    </row>
    <row r="259" spans="1:8">
      <c r="F259" t="s">
        <v>10719</v>
      </c>
      <c r="G259" t="s">
        <v>15118</v>
      </c>
      <c r="H259" t="s">
        <v>19207</v>
      </c>
    </row>
    <row r="260" spans="1:8">
      <c r="H260" t="s">
        <v>19208</v>
      </c>
    </row>
    <row r="261" spans="1:8">
      <c r="H261" t="s">
        <v>19209</v>
      </c>
    </row>
    <row r="262" spans="1:8">
      <c r="H262" t="s">
        <v>19210</v>
      </c>
    </row>
    <row r="263" spans="1:8">
      <c r="H263" t="s">
        <v>19211</v>
      </c>
    </row>
    <row r="264" spans="1:8">
      <c r="A264" t="s">
        <v>153</v>
      </c>
      <c r="B264">
        <f>HYPERLINK("https://android.googlesource.com/platform/cts/+/0dee316c165ec017d0456eb7fa041a839ef72190", "0dee316c165ec017d0456eb7fa041a839ef72190")</f>
        <v>0</v>
      </c>
      <c r="C264">
        <f>HYPERLINK("https://android.googlesource.com/platform/cts/+/b39a05306c3a46d9ca1cf434941c9bf44e3bf5dd", "b39a05306c3a46d9ca1cf434941c9bf44e3bf5dd")</f>
        <v>0</v>
      </c>
      <c r="D264" t="s">
        <v>4950</v>
      </c>
      <c r="E264" t="s">
        <v>5952</v>
      </c>
      <c r="F264" t="s">
        <v>10721</v>
      </c>
      <c r="G264" t="s">
        <v>15120</v>
      </c>
      <c r="H264" t="s">
        <v>19213</v>
      </c>
    </row>
    <row r="265" spans="1:8">
      <c r="A265" t="s">
        <v>154</v>
      </c>
      <c r="B265">
        <f>HYPERLINK("https://android.googlesource.com/platform/cts/+/91650b6e3daa5f9bd491f2c6e262818fbd51f501", "91650b6e3daa5f9bd491f2c6e262818fbd51f501")</f>
        <v>0</v>
      </c>
      <c r="C265">
        <f>HYPERLINK("https://android.googlesource.com/platform/cts/+/e53e24e46cefc8fd74bdc4899e2bf7712706c7f8", "e53e24e46cefc8fd74bdc4899e2bf7712706c7f8")</f>
        <v>0</v>
      </c>
      <c r="D265" t="s">
        <v>4951</v>
      </c>
      <c r="E265" t="s">
        <v>5953</v>
      </c>
      <c r="F265" t="s">
        <v>10687</v>
      </c>
      <c r="G265" t="s">
        <v>15087</v>
      </c>
      <c r="H265" t="s">
        <v>19214</v>
      </c>
    </row>
    <row r="266" spans="1:8">
      <c r="A266" t="s">
        <v>155</v>
      </c>
      <c r="B266">
        <f>HYPERLINK("https://android.googlesource.com/platform/cts/+/3dcf631658eb54e51aa60a682134f40ee3bf9ad5", "3dcf631658eb54e51aa60a682134f40ee3bf9ad5")</f>
        <v>0</v>
      </c>
      <c r="C266">
        <f>HYPERLINK("https://android.googlesource.com/platform/cts/+/e0550b02f42dfa086e9515ee0ab9909aefd68473", "e0550b02f42dfa086e9515ee0ab9909aefd68473")</f>
        <v>0</v>
      </c>
      <c r="D266" t="s">
        <v>4942</v>
      </c>
      <c r="E266" t="s">
        <v>5954</v>
      </c>
      <c r="F266" t="s">
        <v>10598</v>
      </c>
      <c r="G266" t="s">
        <v>15001</v>
      </c>
      <c r="H266" t="s">
        <v>19216</v>
      </c>
    </row>
    <row r="267" spans="1:8">
      <c r="H267" t="s">
        <v>19217</v>
      </c>
    </row>
    <row r="268" spans="1:8">
      <c r="A268" t="s">
        <v>156</v>
      </c>
      <c r="B268">
        <f>HYPERLINK("https://android.googlesource.com/platform/cts/+/f7f1742e301a825b10ff14d1f03b1c38fc696c04", "f7f1742e301a825b10ff14d1f03b1c38fc696c04")</f>
        <v>0</v>
      </c>
      <c r="C268">
        <f>HYPERLINK("https://android.googlesource.com/platform/cts/+/e0550b02f42dfa086e9515ee0ab9909aefd68473", "e0550b02f42dfa086e9515ee0ab9909aefd68473")</f>
        <v>0</v>
      </c>
      <c r="D268" t="s">
        <v>4942</v>
      </c>
      <c r="E268" t="s">
        <v>5955</v>
      </c>
      <c r="F268" t="s">
        <v>10722</v>
      </c>
      <c r="G268" t="s">
        <v>15121</v>
      </c>
      <c r="H268" t="s">
        <v>19219</v>
      </c>
    </row>
    <row r="269" spans="1:8">
      <c r="H269" t="s">
        <v>19220</v>
      </c>
    </row>
    <row r="270" spans="1:8">
      <c r="A270" t="s">
        <v>157</v>
      </c>
      <c r="B270">
        <f>HYPERLINK("https://android.googlesource.com/platform/cts/+/8dc2b80b06032addf4a93543c90c3603bb6be023", "8dc2b80b06032addf4a93543c90c3603bb6be023")</f>
        <v>0</v>
      </c>
      <c r="C270">
        <f>HYPERLINK("https://android.googlesource.com/platform/cts/+/ace35f36291fdfc0bc49b39a395b8bea71a6c67b", "ace35f36291fdfc0bc49b39a395b8bea71a6c67b")</f>
        <v>0</v>
      </c>
      <c r="D270" t="s">
        <v>4952</v>
      </c>
      <c r="E270" t="s">
        <v>5956</v>
      </c>
      <c r="F270" t="s">
        <v>10723</v>
      </c>
      <c r="G270" t="s">
        <v>15122</v>
      </c>
      <c r="H270" t="s">
        <v>19221</v>
      </c>
    </row>
    <row r="271" spans="1:8">
      <c r="A271" t="s">
        <v>158</v>
      </c>
      <c r="B271">
        <f>HYPERLINK("https://android.googlesource.com/platform/cts/+/2b724c769821d931e8ba1dd3e1861378194c46f5", "2b724c769821d931e8ba1dd3e1861378194c46f5")</f>
        <v>0</v>
      </c>
      <c r="C271">
        <f>HYPERLINK("https://android.googlesource.com/platform/cts/+/56129c167239bd7beeb2562ed088bc81d6a684df", "56129c167239bd7beeb2562ed088bc81d6a684df")</f>
        <v>0</v>
      </c>
      <c r="D271" t="s">
        <v>4941</v>
      </c>
      <c r="E271" t="s">
        <v>5957</v>
      </c>
      <c r="F271" t="s">
        <v>10677</v>
      </c>
      <c r="G271" t="s">
        <v>15077</v>
      </c>
      <c r="H271" t="s">
        <v>19065</v>
      </c>
    </row>
    <row r="272" spans="1:8">
      <c r="H272" t="s">
        <v>19066</v>
      </c>
    </row>
    <row r="273" spans="1:8">
      <c r="H273" t="s">
        <v>19067</v>
      </c>
    </row>
    <row r="274" spans="1:8">
      <c r="H274" t="s">
        <v>19068</v>
      </c>
    </row>
    <row r="275" spans="1:8">
      <c r="H275" t="s">
        <v>19069</v>
      </c>
    </row>
    <row r="276" spans="1:8">
      <c r="H276" t="s">
        <v>19070</v>
      </c>
    </row>
    <row r="277" spans="1:8">
      <c r="H277" t="s">
        <v>19071</v>
      </c>
    </row>
    <row r="278" spans="1:8">
      <c r="H278" t="s">
        <v>19072</v>
      </c>
    </row>
    <row r="279" spans="1:8">
      <c r="H279" t="s">
        <v>19073</v>
      </c>
    </row>
    <row r="280" spans="1:8">
      <c r="H280" t="s">
        <v>19074</v>
      </c>
    </row>
    <row r="281" spans="1:8">
      <c r="A281" t="s">
        <v>160</v>
      </c>
      <c r="B281">
        <f>HYPERLINK("https://android.googlesource.com/platform/cts/+/56d8ae53f99e13b8b1dae7fdc505897ece31759d", "56d8ae53f99e13b8b1dae7fdc505897ece31759d")</f>
        <v>0</v>
      </c>
      <c r="C281">
        <f>HYPERLINK("https://android.googlesource.com/platform/cts/+/e0550b02f42dfa086e9515ee0ab9909aefd68473", "e0550b02f42dfa086e9515ee0ab9909aefd68473")</f>
        <v>0</v>
      </c>
      <c r="D281" t="s">
        <v>4942</v>
      </c>
      <c r="E281" t="s">
        <v>5959</v>
      </c>
      <c r="F281" t="s">
        <v>10696</v>
      </c>
      <c r="G281" t="s">
        <v>15096</v>
      </c>
      <c r="H281" t="s">
        <v>19223</v>
      </c>
    </row>
    <row r="282" spans="1:8">
      <c r="A282" t="s">
        <v>161</v>
      </c>
      <c r="B282">
        <f>HYPERLINK("https://android.googlesource.com/platform/cts/+/977522004dcea20d5e45fafa8e20e5d8502fab9c", "977522004dcea20d5e45fafa8e20e5d8502fab9c")</f>
        <v>0</v>
      </c>
      <c r="C282">
        <f>HYPERLINK("https://android.googlesource.com/platform/cts/+/e0550b02f42dfa086e9515ee0ab9909aefd68473", "e0550b02f42dfa086e9515ee0ab9909aefd68473")</f>
        <v>0</v>
      </c>
      <c r="D282" t="s">
        <v>4942</v>
      </c>
      <c r="E282" t="s">
        <v>5960</v>
      </c>
      <c r="F282" t="s">
        <v>10659</v>
      </c>
      <c r="G282" t="s">
        <v>15060</v>
      </c>
      <c r="H282" t="s">
        <v>19225</v>
      </c>
    </row>
    <row r="283" spans="1:8">
      <c r="H283" t="s">
        <v>19226</v>
      </c>
    </row>
    <row r="284" spans="1:8">
      <c r="A284" t="s">
        <v>162</v>
      </c>
      <c r="B284">
        <f>HYPERLINK("https://android.googlesource.com/platform/cts/+/0a32c81efdde76a4c95be703edbec65cdeeb8381", "0a32c81efdde76a4c95be703edbec65cdeeb8381")</f>
        <v>0</v>
      </c>
      <c r="C284">
        <f>HYPERLINK("https://android.googlesource.com/platform/cts/+/25d543e4f28575bd9deebdc7ddb7b05e9848bcd3", "25d543e4f28575bd9deebdc7ddb7b05e9848bcd3")</f>
        <v>0</v>
      </c>
      <c r="D284" t="s">
        <v>4942</v>
      </c>
      <c r="E284" t="s">
        <v>5961</v>
      </c>
      <c r="F284" t="s">
        <v>10724</v>
      </c>
      <c r="G284" t="s">
        <v>15123</v>
      </c>
      <c r="H284" t="s">
        <v>19227</v>
      </c>
    </row>
    <row r="285" spans="1:8">
      <c r="A285" t="s">
        <v>163</v>
      </c>
      <c r="B285">
        <f>HYPERLINK("https://android.googlesource.com/platform/cts/+/9393f4891ee3642b6268ec009a8552ff567d35b5", "9393f4891ee3642b6268ec009a8552ff567d35b5")</f>
        <v>0</v>
      </c>
      <c r="C285">
        <f>HYPERLINK("https://android.googlesource.com/platform/cts/+/25d543e4f28575bd9deebdc7ddb7b05e9848bcd3", "25d543e4f28575bd9deebdc7ddb7b05e9848bcd3")</f>
        <v>0</v>
      </c>
      <c r="D285" t="s">
        <v>4942</v>
      </c>
      <c r="E285" t="s">
        <v>5962</v>
      </c>
      <c r="F285" t="s">
        <v>10725</v>
      </c>
      <c r="G285" t="s">
        <v>15124</v>
      </c>
      <c r="H285" t="s">
        <v>19228</v>
      </c>
    </row>
    <row r="286" spans="1:8">
      <c r="A286" t="s">
        <v>164</v>
      </c>
      <c r="B286">
        <f>HYPERLINK("https://android.googlesource.com/platform/cts/+/dc9b86b38e05bc12e20137540285316dc3835e26", "dc9b86b38e05bc12e20137540285316dc3835e26")</f>
        <v>0</v>
      </c>
      <c r="C286">
        <f>HYPERLINK("https://android.googlesource.com/platform/cts/+/25d543e4f28575bd9deebdc7ddb7b05e9848bcd3", "25d543e4f28575bd9deebdc7ddb7b05e9848bcd3")</f>
        <v>0</v>
      </c>
      <c r="D286" t="s">
        <v>4942</v>
      </c>
      <c r="E286" t="s">
        <v>5963</v>
      </c>
      <c r="F286" t="s">
        <v>10726</v>
      </c>
      <c r="G286" t="s">
        <v>15125</v>
      </c>
      <c r="H286" t="s">
        <v>19229</v>
      </c>
    </row>
    <row r="287" spans="1:8">
      <c r="A287" t="s">
        <v>165</v>
      </c>
      <c r="B287">
        <f>HYPERLINK("https://android.googlesource.com/platform/cts/+/41d2452e4163df531046bab552faceeae45243dc", "41d2452e4163df531046bab552faceeae45243dc")</f>
        <v>0</v>
      </c>
      <c r="C287">
        <f>HYPERLINK("https://android.googlesource.com/platform/cts/+/8326d122c51d9eff2c9e8b08463851c7c50f5f26", "8326d122c51d9eff2c9e8b08463851c7c50f5f26")</f>
        <v>0</v>
      </c>
      <c r="D287" t="s">
        <v>4942</v>
      </c>
      <c r="E287" t="s">
        <v>5964</v>
      </c>
      <c r="F287" t="s">
        <v>10727</v>
      </c>
      <c r="G287" t="s">
        <v>15126</v>
      </c>
      <c r="H287" t="s">
        <v>19074</v>
      </c>
    </row>
    <row r="288" spans="1:8">
      <c r="A288" t="s">
        <v>167</v>
      </c>
      <c r="B288">
        <f>HYPERLINK("https://android.googlesource.com/platform/cts/+/36b78c1a9a9da0f938fed721602f164834b66f4d", "36b78c1a9a9da0f938fed721602f164834b66f4d")</f>
        <v>0</v>
      </c>
      <c r="C288">
        <f>HYPERLINK("https://android.googlesource.com/platform/cts/+/7ca0842d074c7b165e2f6f6fa45da6219c9fe288", "7ca0842d074c7b165e2f6f6fa45da6219c9fe288")</f>
        <v>0</v>
      </c>
      <c r="D288" t="s">
        <v>4942</v>
      </c>
      <c r="E288" t="s">
        <v>5966</v>
      </c>
      <c r="F288" t="s">
        <v>10729</v>
      </c>
      <c r="G288" t="s">
        <v>15128</v>
      </c>
      <c r="H288" t="s">
        <v>19231</v>
      </c>
    </row>
    <row r="289" spans="1:8">
      <c r="A289" t="s">
        <v>168</v>
      </c>
      <c r="B289">
        <f>HYPERLINK("https://android.googlesource.com/platform/cts/+/0fb89bfc83fca93acc9ec0a67f04721c4d6225b6", "0fb89bfc83fca93acc9ec0a67f04721c4d6225b6")</f>
        <v>0</v>
      </c>
      <c r="C289">
        <f>HYPERLINK("https://android.googlesource.com/platform/cts/+/bb6db5edd3a9ef033291f4fb2cf03aa889e9314f", "bb6db5edd3a9ef033291f4fb2cf03aa889e9314f")</f>
        <v>0</v>
      </c>
      <c r="D289" t="s">
        <v>4932</v>
      </c>
      <c r="E289" t="s">
        <v>5967</v>
      </c>
      <c r="F289" t="s">
        <v>10731</v>
      </c>
      <c r="G289" t="s">
        <v>15130</v>
      </c>
      <c r="H289" t="s">
        <v>19241</v>
      </c>
    </row>
    <row r="290" spans="1:8">
      <c r="A290" t="s">
        <v>169</v>
      </c>
      <c r="B290">
        <f>HYPERLINK("https://android.googlesource.com/platform/cts/+/7a338e4eac14fd1b21c0d54a89c6ff9c3207f6c9", "7a338e4eac14fd1b21c0d54a89c6ff9c3207f6c9")</f>
        <v>0</v>
      </c>
      <c r="C290">
        <f>HYPERLINK("https://android.googlesource.com/platform/cts/+/17aa488bd56e5aeab5f28e3de5d95525c8694714", "17aa488bd56e5aeab5f28e3de5d95525c8694714")</f>
        <v>0</v>
      </c>
      <c r="D290" t="s">
        <v>4942</v>
      </c>
      <c r="E290" t="s">
        <v>5968</v>
      </c>
      <c r="F290" t="s">
        <v>10732</v>
      </c>
      <c r="G290" t="s">
        <v>15131</v>
      </c>
      <c r="H290" t="s">
        <v>19244</v>
      </c>
    </row>
    <row r="291" spans="1:8">
      <c r="A291" t="s">
        <v>170</v>
      </c>
      <c r="B291">
        <f>HYPERLINK("https://android.googlesource.com/platform/cts/+/2616419c0ddfd92b6ae9751ca4beef127bd16e7f", "2616419c0ddfd92b6ae9751ca4beef127bd16e7f")</f>
        <v>0</v>
      </c>
      <c r="C291">
        <f>HYPERLINK("https://android.googlesource.com/platform/cts/+/3e6372cabe2c3a5a7a7339bad98f7b9b8783bc04", "3e6372cabe2c3a5a7a7339bad98f7b9b8783bc04")</f>
        <v>0</v>
      </c>
      <c r="D291" t="s">
        <v>4942</v>
      </c>
      <c r="E291" t="s">
        <v>5969</v>
      </c>
      <c r="F291" t="s">
        <v>10696</v>
      </c>
      <c r="G291" t="s">
        <v>15096</v>
      </c>
      <c r="H291" t="s">
        <v>19159</v>
      </c>
    </row>
    <row r="292" spans="1:8">
      <c r="A292" t="s">
        <v>171</v>
      </c>
      <c r="B292">
        <f>HYPERLINK("https://android.googlesource.com/platform/cts/+/6cc97966e394e443fb65910766d8b3bd30ea2257", "6cc97966e394e443fb65910766d8b3bd30ea2257")</f>
        <v>0</v>
      </c>
      <c r="C292">
        <f>HYPERLINK("https://android.googlesource.com/platform/cts/+/e0973f3b254051cd7eaa3db843e1969c39019c48", "e0973f3b254051cd7eaa3db843e1969c39019c48")</f>
        <v>0</v>
      </c>
      <c r="D292" t="s">
        <v>4941</v>
      </c>
      <c r="E292" t="s">
        <v>5970</v>
      </c>
      <c r="F292" t="s">
        <v>10733</v>
      </c>
      <c r="G292" t="s">
        <v>15132</v>
      </c>
      <c r="H292" t="s">
        <v>19245</v>
      </c>
    </row>
    <row r="293" spans="1:8">
      <c r="A293" t="s">
        <v>172</v>
      </c>
      <c r="B293">
        <f>HYPERLINK("https://android.googlesource.com/platform/cts/+/ef5a60418773dfc6a51df24fbb5efd61e081b76c", "ef5a60418773dfc6a51df24fbb5efd61e081b76c")</f>
        <v>0</v>
      </c>
      <c r="C293">
        <f>HYPERLINK("https://android.googlesource.com/platform/cts/+/94af790975d2db2132eca5e3a7eda0febe081317", "94af790975d2db2132eca5e3a7eda0febe081317")</f>
        <v>0</v>
      </c>
      <c r="D293" t="s">
        <v>4932</v>
      </c>
      <c r="E293" t="s">
        <v>5971</v>
      </c>
      <c r="F293" t="s">
        <v>10735</v>
      </c>
      <c r="G293" t="s">
        <v>15134</v>
      </c>
      <c r="H293" t="s">
        <v>19247</v>
      </c>
    </row>
    <row r="294" spans="1:8">
      <c r="H294" t="s">
        <v>19248</v>
      </c>
    </row>
    <row r="295" spans="1:8">
      <c r="A295" t="s">
        <v>173</v>
      </c>
      <c r="B295">
        <f>HYPERLINK("https://android.googlesource.com/platform/cts/+/ad74169a2048f5e0a1de5c17ead65743f71293b8", "ad74169a2048f5e0a1de5c17ead65743f71293b8")</f>
        <v>0</v>
      </c>
      <c r="C295">
        <f>HYPERLINK("https://android.googlesource.com/platform/cts/+/7cd393e2a59c7e392b15c40861c1852c90781101", "7cd393e2a59c7e392b15c40861c1852c90781101")</f>
        <v>0</v>
      </c>
      <c r="D295" t="s">
        <v>4941</v>
      </c>
      <c r="E295" t="s">
        <v>5972</v>
      </c>
      <c r="F295" t="s">
        <v>10722</v>
      </c>
      <c r="G295" t="s">
        <v>15121</v>
      </c>
      <c r="H295" t="s">
        <v>19249</v>
      </c>
    </row>
    <row r="296" spans="1:8">
      <c r="H296" t="s">
        <v>19250</v>
      </c>
    </row>
    <row r="297" spans="1:8">
      <c r="H297" t="s">
        <v>19251</v>
      </c>
    </row>
    <row r="298" spans="1:8">
      <c r="H298" t="s">
        <v>19252</v>
      </c>
    </row>
    <row r="299" spans="1:8">
      <c r="H299" t="s">
        <v>19253</v>
      </c>
    </row>
    <row r="300" spans="1:8">
      <c r="H300" t="s">
        <v>19254</v>
      </c>
    </row>
    <row r="301" spans="1:8">
      <c r="H301" t="s">
        <v>19255</v>
      </c>
    </row>
    <row r="302" spans="1:8">
      <c r="H302" t="s">
        <v>19256</v>
      </c>
    </row>
    <row r="303" spans="1:8">
      <c r="H303" t="s">
        <v>19257</v>
      </c>
    </row>
    <row r="304" spans="1:8">
      <c r="H304" t="s">
        <v>19258</v>
      </c>
    </row>
    <row r="305" spans="1:8">
      <c r="H305" t="s">
        <v>19259</v>
      </c>
    </row>
    <row r="306" spans="1:8">
      <c r="A306" t="s">
        <v>175</v>
      </c>
      <c r="B306">
        <f>HYPERLINK("https://android.googlesource.com/platform/cts/+/c9a13f11de7b1dd08bc05c84810eb17ce051c8f3", "c9a13f11de7b1dd08bc05c84810eb17ce051c8f3")</f>
        <v>0</v>
      </c>
      <c r="C306">
        <f>HYPERLINK("https://android.googlesource.com/platform/cts/+/77b77e65ce4be5b4c60053f901d5f245447c86bc", "77b77e65ce4be5b4c60053f901d5f245447c86bc")</f>
        <v>0</v>
      </c>
      <c r="D306" t="s">
        <v>4942</v>
      </c>
      <c r="E306" t="s">
        <v>5974</v>
      </c>
      <c r="F306" t="s">
        <v>10737</v>
      </c>
      <c r="G306" t="s">
        <v>15136</v>
      </c>
      <c r="H306" t="s">
        <v>19265</v>
      </c>
    </row>
    <row r="307" spans="1:8">
      <c r="A307" t="s">
        <v>176</v>
      </c>
      <c r="B307">
        <f>HYPERLINK("https://android.googlesource.com/platform/cts/+/2c3bd2c8b7dd410e8e774d1a0d5516c66ea3aaa0", "2c3bd2c8b7dd410e8e774d1a0d5516c66ea3aaa0")</f>
        <v>0</v>
      </c>
      <c r="C307">
        <f>HYPERLINK("https://android.googlesource.com/platform/cts/+/77b77e65ce4be5b4c60053f901d5f245447c86bc", "77b77e65ce4be5b4c60053f901d5f245447c86bc")</f>
        <v>0</v>
      </c>
      <c r="D307" t="s">
        <v>4942</v>
      </c>
      <c r="E307" t="s">
        <v>5975</v>
      </c>
      <c r="F307" t="s">
        <v>10738</v>
      </c>
      <c r="G307" t="s">
        <v>15137</v>
      </c>
      <c r="H307" t="s">
        <v>19266</v>
      </c>
    </row>
    <row r="308" spans="1:8">
      <c r="A308" t="s">
        <v>177</v>
      </c>
      <c r="B308">
        <f>HYPERLINK("https://android.googlesource.com/platform/cts/+/e4d5a1b752a009e87e73f0cabe70a22330b89e8e", "e4d5a1b752a009e87e73f0cabe70a22330b89e8e")</f>
        <v>0</v>
      </c>
      <c r="C308">
        <f>HYPERLINK("https://android.googlesource.com/platform/cts/+/8efbbfcffd5b440d476b9aa52496a83b8db70e41", "8efbbfcffd5b440d476b9aa52496a83b8db70e41")</f>
        <v>0</v>
      </c>
      <c r="D308" t="s">
        <v>4941</v>
      </c>
      <c r="E308" t="s">
        <v>5976</v>
      </c>
      <c r="F308" t="s">
        <v>10739</v>
      </c>
      <c r="G308" t="s">
        <v>15138</v>
      </c>
      <c r="H308" t="s">
        <v>19268</v>
      </c>
    </row>
    <row r="309" spans="1:8">
      <c r="H309" t="s">
        <v>19269</v>
      </c>
    </row>
    <row r="310" spans="1:8">
      <c r="H310" t="s">
        <v>19270</v>
      </c>
    </row>
    <row r="311" spans="1:8">
      <c r="H311" t="s">
        <v>19271</v>
      </c>
    </row>
    <row r="312" spans="1:8">
      <c r="H312" t="s">
        <v>19272</v>
      </c>
    </row>
    <row r="313" spans="1:8">
      <c r="H313" t="s">
        <v>19273</v>
      </c>
    </row>
    <row r="314" spans="1:8">
      <c r="H314" t="s">
        <v>19274</v>
      </c>
    </row>
    <row r="315" spans="1:8">
      <c r="H315" t="s">
        <v>19275</v>
      </c>
    </row>
    <row r="316" spans="1:8">
      <c r="A316" t="s">
        <v>178</v>
      </c>
      <c r="B316">
        <f>HYPERLINK("https://android.googlesource.com/platform/cts/+/d74adf607816b5a0df3ab90fc578400a8129756a", "d74adf607816b5a0df3ab90fc578400a8129756a")</f>
        <v>0</v>
      </c>
      <c r="C316">
        <f>HYPERLINK("https://android.googlesource.com/platform/cts/+/8efbbfcffd5b440d476b9aa52496a83b8db70e41", "8efbbfcffd5b440d476b9aa52496a83b8db70e41")</f>
        <v>0</v>
      </c>
      <c r="D316" t="s">
        <v>4941</v>
      </c>
      <c r="E316" t="s">
        <v>5977</v>
      </c>
      <c r="F316" t="s">
        <v>10683</v>
      </c>
      <c r="G316" t="s">
        <v>15083</v>
      </c>
      <c r="H316" t="s">
        <v>19276</v>
      </c>
    </row>
    <row r="317" spans="1:8">
      <c r="A317" t="s">
        <v>179</v>
      </c>
      <c r="B317">
        <f>HYPERLINK("https://android.googlesource.com/platform/cts/+/2fc80bc5a8f0e3d053491f8547264f15d166eb7f", "2fc80bc5a8f0e3d053491f8547264f15d166eb7f")</f>
        <v>0</v>
      </c>
      <c r="C317">
        <f>HYPERLINK("https://android.googlesource.com/platform/cts/+/b881d63217ba5609879256dddf916e2f8f8b7131", "b881d63217ba5609879256dddf916e2f8f8b7131")</f>
        <v>0</v>
      </c>
      <c r="D317" t="s">
        <v>4941</v>
      </c>
      <c r="E317" t="s">
        <v>5978</v>
      </c>
      <c r="F317" t="s">
        <v>10740</v>
      </c>
      <c r="G317" t="s">
        <v>15139</v>
      </c>
      <c r="H317" t="s">
        <v>19277</v>
      </c>
    </row>
    <row r="318" spans="1:8">
      <c r="A318" t="s">
        <v>180</v>
      </c>
      <c r="B318">
        <f>HYPERLINK("https://android.googlesource.com/platform/cts/+/4348bffb5f262c6026a5abbe440ee97524d22fb0", "4348bffb5f262c6026a5abbe440ee97524d22fb0")</f>
        <v>0</v>
      </c>
      <c r="C318">
        <f>HYPERLINK("https://android.googlesource.com/platform/cts/+/b881d63217ba5609879256dddf916e2f8f8b7131", "b881d63217ba5609879256dddf916e2f8f8b7131")</f>
        <v>0</v>
      </c>
      <c r="D318" t="s">
        <v>4941</v>
      </c>
      <c r="E318" t="s">
        <v>5979</v>
      </c>
      <c r="F318" t="s">
        <v>10684</v>
      </c>
      <c r="G318" t="s">
        <v>15084</v>
      </c>
      <c r="H318" t="s">
        <v>19278</v>
      </c>
    </row>
    <row r="319" spans="1:8">
      <c r="H319" t="s">
        <v>19279</v>
      </c>
    </row>
    <row r="320" spans="1:8">
      <c r="H320" t="s">
        <v>19280</v>
      </c>
    </row>
    <row r="321" spans="1:8">
      <c r="H321" t="s">
        <v>19281</v>
      </c>
    </row>
    <row r="322" spans="1:8">
      <c r="A322" t="s">
        <v>181</v>
      </c>
      <c r="B322">
        <f>HYPERLINK("https://android.googlesource.com/platform/cts/+/5df58d9a4a0c7a01a7a54c09730ee800ea3a600f", "5df58d9a4a0c7a01a7a54c09730ee800ea3a600f")</f>
        <v>0</v>
      </c>
      <c r="C322">
        <f>HYPERLINK("https://android.googlesource.com/platform/cts/+/6e4e6839f9fc6558a905cdafa31ecdc001c6c33c", "6e4e6839f9fc6558a905cdafa31ecdc001c6c33c")</f>
        <v>0</v>
      </c>
      <c r="D322" t="s">
        <v>4941</v>
      </c>
      <c r="E322" t="s">
        <v>5980</v>
      </c>
      <c r="F322" t="s">
        <v>10698</v>
      </c>
      <c r="G322" t="s">
        <v>15098</v>
      </c>
      <c r="H322" t="s">
        <v>19282</v>
      </c>
    </row>
    <row r="323" spans="1:8">
      <c r="A323" t="s">
        <v>183</v>
      </c>
      <c r="B323">
        <f>HYPERLINK("https://android.googlesource.com/platform/cts/+/f0083a84622e04d05b1eaf4bfb6e4777f76fc05b", "f0083a84622e04d05b1eaf4bfb6e4777f76fc05b")</f>
        <v>0</v>
      </c>
      <c r="C323">
        <f>HYPERLINK("https://android.googlesource.com/platform/cts/+/acbf1acfbf0ca165981c301fbf1627392d911a97", "acbf1acfbf0ca165981c301fbf1627392d911a97")</f>
        <v>0</v>
      </c>
      <c r="D323" t="s">
        <v>4942</v>
      </c>
      <c r="E323" t="s">
        <v>5982</v>
      </c>
      <c r="F323" t="s">
        <v>10742</v>
      </c>
      <c r="G323" t="s">
        <v>15141</v>
      </c>
      <c r="H323" t="s">
        <v>19303</v>
      </c>
    </row>
    <row r="324" spans="1:8">
      <c r="A324" t="s">
        <v>184</v>
      </c>
      <c r="B324">
        <f>HYPERLINK("https://android.googlesource.com/platform/cts/+/a4a1b97d3ca31d493d66dd9e45720c320d7d0943", "a4a1b97d3ca31d493d66dd9e45720c320d7d0943")</f>
        <v>0</v>
      </c>
      <c r="C324">
        <f>HYPERLINK("https://android.googlesource.com/platform/cts/+/9a9e583f1e863b55c4a38409d0ee03827bdb4ff3", "9a9e583f1e863b55c4a38409d0ee03827bdb4ff3")</f>
        <v>0</v>
      </c>
      <c r="D324" t="s">
        <v>4942</v>
      </c>
      <c r="E324" t="s">
        <v>5983</v>
      </c>
      <c r="F324" t="s">
        <v>10743</v>
      </c>
      <c r="G324" t="s">
        <v>15142</v>
      </c>
      <c r="H324" t="s">
        <v>19304</v>
      </c>
    </row>
    <row r="325" spans="1:8">
      <c r="H325" t="s">
        <v>19305</v>
      </c>
    </row>
    <row r="326" spans="1:8">
      <c r="H326" t="s">
        <v>19306</v>
      </c>
    </row>
    <row r="327" spans="1:8">
      <c r="A327" t="s">
        <v>185</v>
      </c>
      <c r="B327">
        <f>HYPERLINK("https://android.googlesource.com/platform/cts/+/bf0a74c6616cec161cd2820c4de2e3f2b43d8c03", "bf0a74c6616cec161cd2820c4de2e3f2b43d8c03")</f>
        <v>0</v>
      </c>
      <c r="C327">
        <f>HYPERLINK("https://android.googlesource.com/platform/cts/+/9a9e583f1e863b55c4a38409d0ee03827bdb4ff3", "9a9e583f1e863b55c4a38409d0ee03827bdb4ff3")</f>
        <v>0</v>
      </c>
      <c r="D327" t="s">
        <v>4942</v>
      </c>
      <c r="E327" t="s">
        <v>5984</v>
      </c>
      <c r="F327" t="s">
        <v>10744</v>
      </c>
      <c r="G327" t="s">
        <v>15143</v>
      </c>
      <c r="H327" t="s">
        <v>19307</v>
      </c>
    </row>
    <row r="328" spans="1:8">
      <c r="A328" t="s">
        <v>189</v>
      </c>
      <c r="B328">
        <f>HYPERLINK("https://android.googlesource.com/platform/cts/+/3fc406b283b622a22fff58666e0a8d7936434fd9", "3fc406b283b622a22fff58666e0a8d7936434fd9")</f>
        <v>0</v>
      </c>
      <c r="C328">
        <f>HYPERLINK("https://android.googlesource.com/platform/cts/+/653f4c3d61b58419d10d15f88f0a7b47d25b50d3", "653f4c3d61b58419d10d15f88f0a7b47d25b50d3")</f>
        <v>0</v>
      </c>
      <c r="D328" t="s">
        <v>4932</v>
      </c>
      <c r="E328" t="s">
        <v>5988</v>
      </c>
      <c r="F328" t="s">
        <v>10748</v>
      </c>
      <c r="G328" t="s">
        <v>15146</v>
      </c>
      <c r="H328" t="s">
        <v>19311</v>
      </c>
    </row>
    <row r="329" spans="1:8">
      <c r="A329" t="s">
        <v>190</v>
      </c>
      <c r="B329">
        <f>HYPERLINK("https://android.googlesource.com/platform/cts/+/c2fcc332aa2b84e9aeb95a1819b92df67449ca3c", "c2fcc332aa2b84e9aeb95a1819b92df67449ca3c")</f>
        <v>0</v>
      </c>
      <c r="C329">
        <f>HYPERLINK("https://android.googlesource.com/platform/cts/+/60d865967ce492e25840458045a0f23f68e41aa7", "60d865967ce492e25840458045a0f23f68e41aa7")</f>
        <v>0</v>
      </c>
      <c r="D329" t="s">
        <v>4942</v>
      </c>
      <c r="E329" t="s">
        <v>5989</v>
      </c>
      <c r="F329" t="s">
        <v>10597</v>
      </c>
      <c r="G329" t="s">
        <v>15000</v>
      </c>
      <c r="H329" t="s">
        <v>19312</v>
      </c>
    </row>
    <row r="330" spans="1:8">
      <c r="A330" t="s">
        <v>191</v>
      </c>
      <c r="B330">
        <f>HYPERLINK("https://android.googlesource.com/platform/cts/+/4a6fd724e96fea039184fd74bde97d7f840f32d8", "4a6fd724e96fea039184fd74bde97d7f840f32d8")</f>
        <v>0</v>
      </c>
      <c r="C330">
        <f>HYPERLINK("https://android.googlesource.com/platform/cts/+/60d865967ce492e25840458045a0f23f68e41aa7", "60d865967ce492e25840458045a0f23f68e41aa7")</f>
        <v>0</v>
      </c>
      <c r="D330" t="s">
        <v>4942</v>
      </c>
      <c r="E330" t="s">
        <v>5990</v>
      </c>
      <c r="F330" t="s">
        <v>10686</v>
      </c>
      <c r="G330" t="s">
        <v>15086</v>
      </c>
      <c r="H330" t="s">
        <v>19314</v>
      </c>
    </row>
    <row r="331" spans="1:8">
      <c r="A331" t="s">
        <v>192</v>
      </c>
      <c r="B331">
        <f>HYPERLINK("https://android.googlesource.com/platform/cts/+/7254f1e86a40d67adda0bda99ef8457c40e09a80", "7254f1e86a40d67adda0bda99ef8457c40e09a80")</f>
        <v>0</v>
      </c>
      <c r="C331">
        <f>HYPERLINK("https://android.googlesource.com/platform/cts/+/cc475551e4b72cf5d653bb29ba286ec1de171689", "cc475551e4b72cf5d653bb29ba286ec1de171689")</f>
        <v>0</v>
      </c>
      <c r="D331" t="s">
        <v>4942</v>
      </c>
      <c r="E331" t="s">
        <v>5991</v>
      </c>
      <c r="F331" t="s">
        <v>10597</v>
      </c>
      <c r="G331" t="s">
        <v>15000</v>
      </c>
      <c r="H331" t="s">
        <v>19315</v>
      </c>
    </row>
    <row r="332" spans="1:8">
      <c r="H332" t="s">
        <v>19316</v>
      </c>
    </row>
    <row r="333" spans="1:8">
      <c r="H333" t="s">
        <v>19317</v>
      </c>
    </row>
    <row r="334" spans="1:8">
      <c r="H334" t="s">
        <v>19318</v>
      </c>
    </row>
    <row r="335" spans="1:8">
      <c r="A335" t="s">
        <v>193</v>
      </c>
      <c r="B335">
        <f>HYPERLINK("https://android.googlesource.com/platform/cts/+/192df10e3524fd90097c0386d24d89f58f510029", "192df10e3524fd90097c0386d24d89f58f510029")</f>
        <v>0</v>
      </c>
      <c r="C335">
        <f>HYPERLINK("https://android.googlesource.com/platform/cts/+/b5f49f11e36fda07b3db2088d6cfd78dc73d87fe", "b5f49f11e36fda07b3db2088d6cfd78dc73d87fe")</f>
        <v>0</v>
      </c>
      <c r="D335" t="s">
        <v>4942</v>
      </c>
      <c r="E335" t="s">
        <v>5992</v>
      </c>
      <c r="F335" t="s">
        <v>10663</v>
      </c>
      <c r="G335" t="s">
        <v>15064</v>
      </c>
      <c r="H335" t="s">
        <v>19319</v>
      </c>
    </row>
    <row r="336" spans="1:8">
      <c r="A336" t="s">
        <v>199</v>
      </c>
      <c r="B336">
        <f>HYPERLINK("https://android.googlesource.com/platform/cts/+/a8cd4da434335a265bfb4bca1f96fa44d65ab109", "a8cd4da434335a265bfb4bca1f96fa44d65ab109")</f>
        <v>0</v>
      </c>
      <c r="C336">
        <f>HYPERLINK("https://android.googlesource.com/platform/cts/+/394154b7ffa923facf69969c84b7425f56d4f005", "394154b7ffa923facf69969c84b7425f56d4f005")</f>
        <v>0</v>
      </c>
      <c r="D336" t="s">
        <v>4941</v>
      </c>
      <c r="E336" t="s">
        <v>5997</v>
      </c>
      <c r="F336" t="s">
        <v>10754</v>
      </c>
      <c r="G336" t="s">
        <v>15152</v>
      </c>
      <c r="H336" t="s">
        <v>19325</v>
      </c>
    </row>
    <row r="337" spans="1:8">
      <c r="H337" t="s">
        <v>19326</v>
      </c>
    </row>
    <row r="338" spans="1:8">
      <c r="A338" t="s">
        <v>201</v>
      </c>
      <c r="B338">
        <f>HYPERLINK("https://android.googlesource.com/platform/cts/+/03b5b3969ad30306d539e6fc6fd1c992099b1a3b", "03b5b3969ad30306d539e6fc6fd1c992099b1a3b")</f>
        <v>0</v>
      </c>
      <c r="C338">
        <f>HYPERLINK("https://android.googlesource.com/platform/cts/+/f776e7d14dd531a0b27baf6c3f8cdaebdd7820dd", "f776e7d14dd531a0b27baf6c3f8cdaebdd7820dd")</f>
        <v>0</v>
      </c>
      <c r="D338" t="s">
        <v>4954</v>
      </c>
      <c r="E338" t="s">
        <v>5999</v>
      </c>
      <c r="F338" t="s">
        <v>10755</v>
      </c>
      <c r="G338" t="s">
        <v>15153</v>
      </c>
      <c r="H338" t="s">
        <v>19329</v>
      </c>
    </row>
    <row r="339" spans="1:8">
      <c r="A339" t="s">
        <v>202</v>
      </c>
      <c r="B339">
        <f>HYPERLINK("https://android.googlesource.com/platform/cts/+/02e6f82ac5d07e52ef3a314eefb0b62dadcf4b4d", "02e6f82ac5d07e52ef3a314eefb0b62dadcf4b4d")</f>
        <v>0</v>
      </c>
      <c r="C339">
        <f>HYPERLINK("https://android.googlesource.com/platform/cts/+/d764b34d21f8d88421741d61bbe47c726dab089e", "d764b34d21f8d88421741d61bbe47c726dab089e")</f>
        <v>0</v>
      </c>
      <c r="D339" t="s">
        <v>4942</v>
      </c>
      <c r="E339" t="s">
        <v>6000</v>
      </c>
      <c r="F339" t="s">
        <v>10597</v>
      </c>
      <c r="G339" t="s">
        <v>15000</v>
      </c>
      <c r="H339" t="s">
        <v>19330</v>
      </c>
    </row>
    <row r="340" spans="1:8">
      <c r="H340" t="s">
        <v>19331</v>
      </c>
    </row>
    <row r="341" spans="1:8">
      <c r="H341" t="s">
        <v>19332</v>
      </c>
    </row>
    <row r="342" spans="1:8">
      <c r="A342" t="s">
        <v>203</v>
      </c>
      <c r="B342">
        <f>HYPERLINK("https://android.googlesource.com/platform/cts/+/e14b2966aa778de618898eb9cedc92b883868d91", "e14b2966aa778de618898eb9cedc92b883868d91")</f>
        <v>0</v>
      </c>
      <c r="C342">
        <f>HYPERLINK("https://android.googlesource.com/platform/cts/+/d764b34d21f8d88421741d61bbe47c726dab089e", "d764b34d21f8d88421741d61bbe47c726dab089e")</f>
        <v>0</v>
      </c>
      <c r="D342" t="s">
        <v>4942</v>
      </c>
      <c r="E342" t="s">
        <v>6001</v>
      </c>
      <c r="F342" t="s">
        <v>10756</v>
      </c>
      <c r="G342" t="s">
        <v>15154</v>
      </c>
      <c r="H342" t="s">
        <v>19334</v>
      </c>
    </row>
    <row r="343" spans="1:8">
      <c r="A343" t="s">
        <v>204</v>
      </c>
      <c r="B343">
        <f>HYPERLINK("https://android.googlesource.com/platform/cts/+/99718555204b181fdefc1af1fa5fbe7bb435d710", "99718555204b181fdefc1af1fa5fbe7bb435d710")</f>
        <v>0</v>
      </c>
      <c r="C343">
        <f>HYPERLINK("https://android.googlesource.com/platform/cts/+/d764b34d21f8d88421741d61bbe47c726dab089e", "d764b34d21f8d88421741d61bbe47c726dab089e")</f>
        <v>0</v>
      </c>
      <c r="D343" t="s">
        <v>4942</v>
      </c>
      <c r="E343" t="s">
        <v>6002</v>
      </c>
      <c r="F343" t="s">
        <v>10757</v>
      </c>
      <c r="G343" t="s">
        <v>15155</v>
      </c>
      <c r="H343" t="s">
        <v>18876</v>
      </c>
    </row>
    <row r="344" spans="1:8">
      <c r="H344" t="s">
        <v>19335</v>
      </c>
    </row>
    <row r="345" spans="1:8">
      <c r="A345" t="s">
        <v>206</v>
      </c>
      <c r="B345">
        <f>HYPERLINK("https://android.googlesource.com/platform/cts/+/ba6ba576280c6f9d0d8531be17a666415bdec5d9", "ba6ba576280c6f9d0d8531be17a666415bdec5d9")</f>
        <v>0</v>
      </c>
      <c r="C345">
        <f>HYPERLINK("https://android.googlesource.com/platform/cts/+/8fcbb1cee83ffa9b0c9146f59a5f265f086ef452", "8fcbb1cee83ffa9b0c9146f59a5f265f086ef452")</f>
        <v>0</v>
      </c>
      <c r="D345" t="s">
        <v>4942</v>
      </c>
      <c r="E345" t="s">
        <v>6004</v>
      </c>
      <c r="F345" t="s">
        <v>10729</v>
      </c>
      <c r="G345" t="s">
        <v>15128</v>
      </c>
      <c r="H345" t="s">
        <v>19337</v>
      </c>
    </row>
    <row r="346" spans="1:8">
      <c r="F346" t="s">
        <v>10759</v>
      </c>
      <c r="G346" t="s">
        <v>15157</v>
      </c>
      <c r="H346" t="s">
        <v>19339</v>
      </c>
    </row>
    <row r="347" spans="1:8">
      <c r="H347" t="s">
        <v>19340</v>
      </c>
    </row>
    <row r="348" spans="1:8">
      <c r="H348" t="s">
        <v>19341</v>
      </c>
    </row>
    <row r="349" spans="1:8">
      <c r="H349" t="s">
        <v>19342</v>
      </c>
    </row>
    <row r="350" spans="1:8">
      <c r="F350" t="s">
        <v>10687</v>
      </c>
      <c r="G350" t="s">
        <v>15087</v>
      </c>
      <c r="H350" t="s">
        <v>19350</v>
      </c>
    </row>
    <row r="351" spans="1:8">
      <c r="H351" t="s">
        <v>19351</v>
      </c>
    </row>
    <row r="352" spans="1:8">
      <c r="A352" t="s">
        <v>207</v>
      </c>
      <c r="B352">
        <f>HYPERLINK("https://android.googlesource.com/platform/cts/+/82c09945e8d6d7acdd65f505a3c0edcfa201537f", "82c09945e8d6d7acdd65f505a3c0edcfa201537f")</f>
        <v>0</v>
      </c>
      <c r="C352">
        <f>HYPERLINK("https://android.googlesource.com/platform/cts/+/8fcbb1cee83ffa9b0c9146f59a5f265f086ef452", "8fcbb1cee83ffa9b0c9146f59a5f265f086ef452")</f>
        <v>0</v>
      </c>
      <c r="D352" t="s">
        <v>4942</v>
      </c>
      <c r="E352" t="s">
        <v>6005</v>
      </c>
      <c r="F352" t="s">
        <v>10674</v>
      </c>
      <c r="G352" t="s">
        <v>15074</v>
      </c>
      <c r="H352" t="s">
        <v>19352</v>
      </c>
    </row>
    <row r="353" spans="1:8">
      <c r="F353" t="s">
        <v>10760</v>
      </c>
      <c r="G353" t="s">
        <v>15158</v>
      </c>
      <c r="H353" t="s">
        <v>19354</v>
      </c>
    </row>
    <row r="354" spans="1:8">
      <c r="F354" t="s">
        <v>10761</v>
      </c>
      <c r="G354" t="s">
        <v>15159</v>
      </c>
      <c r="H354" t="s">
        <v>19355</v>
      </c>
    </row>
    <row r="355" spans="1:8">
      <c r="A355" t="s">
        <v>208</v>
      </c>
      <c r="B355">
        <f>HYPERLINK("https://android.googlesource.com/platform/cts/+/40e62a6c4143d6312e2bf2e01d39c2bdf704949b", "40e62a6c4143d6312e2bf2e01d39c2bdf704949b")</f>
        <v>0</v>
      </c>
      <c r="C355">
        <f>HYPERLINK("https://android.googlesource.com/platform/cts/+/8fcbb1cee83ffa9b0c9146f59a5f265f086ef452", "8fcbb1cee83ffa9b0c9146f59a5f265f086ef452")</f>
        <v>0</v>
      </c>
      <c r="D355" t="s">
        <v>4942</v>
      </c>
      <c r="E355" t="s">
        <v>6006</v>
      </c>
      <c r="F355" t="s">
        <v>10597</v>
      </c>
      <c r="G355" t="s">
        <v>15000</v>
      </c>
      <c r="H355" t="s">
        <v>19356</v>
      </c>
    </row>
    <row r="356" spans="1:8">
      <c r="H356" t="s">
        <v>19357</v>
      </c>
    </row>
    <row r="357" spans="1:8">
      <c r="H357" t="s">
        <v>19358</v>
      </c>
    </row>
    <row r="358" spans="1:8">
      <c r="H358" t="s">
        <v>19359</v>
      </c>
    </row>
    <row r="359" spans="1:8">
      <c r="H359" t="s">
        <v>19360</v>
      </c>
    </row>
    <row r="360" spans="1:8">
      <c r="A360" t="s">
        <v>209</v>
      </c>
      <c r="B360">
        <f>HYPERLINK("https://android.googlesource.com/platform/cts/+/ad3337dad5c632e8eb55b7ac4b27f0cace622966", "ad3337dad5c632e8eb55b7ac4b27f0cace622966")</f>
        <v>0</v>
      </c>
      <c r="C360">
        <f>HYPERLINK("https://android.googlesource.com/platform/cts/+/88f05039c6b25935a7c6be796a7072df3821bc8f", "88f05039c6b25935a7c6be796a7072df3821bc8f")</f>
        <v>0</v>
      </c>
      <c r="D360" t="s">
        <v>4942</v>
      </c>
      <c r="E360" t="s">
        <v>6007</v>
      </c>
      <c r="F360" t="s">
        <v>10597</v>
      </c>
      <c r="G360" t="s">
        <v>15000</v>
      </c>
      <c r="H360" t="s">
        <v>19361</v>
      </c>
    </row>
    <row r="361" spans="1:8">
      <c r="A361" t="s">
        <v>210</v>
      </c>
      <c r="B361">
        <f>HYPERLINK("https://android.googlesource.com/platform/cts/+/014b13b2ddaf10beff931ee38c4396b1c06df3bd", "014b13b2ddaf10beff931ee38c4396b1c06df3bd")</f>
        <v>0</v>
      </c>
      <c r="C361">
        <f>HYPERLINK("https://android.googlesource.com/platform/cts/+/49bca3aafbcc877e4ea06bcdfab8dab060ef7244", "49bca3aafbcc877e4ea06bcdfab8dab060ef7244")</f>
        <v>0</v>
      </c>
      <c r="D361" t="s">
        <v>4942</v>
      </c>
      <c r="E361" t="s">
        <v>6008</v>
      </c>
      <c r="F361" t="s">
        <v>10761</v>
      </c>
      <c r="G361" t="s">
        <v>15159</v>
      </c>
      <c r="H361" t="s">
        <v>18876</v>
      </c>
    </row>
    <row r="362" spans="1:8">
      <c r="H362" t="s">
        <v>19362</v>
      </c>
    </row>
    <row r="363" spans="1:8">
      <c r="H363" t="s">
        <v>18878</v>
      </c>
    </row>
    <row r="364" spans="1:8">
      <c r="H364" t="s">
        <v>19363</v>
      </c>
    </row>
    <row r="365" spans="1:8">
      <c r="A365" t="s">
        <v>211</v>
      </c>
      <c r="B365">
        <f>HYPERLINK("https://android.googlesource.com/platform/cts/+/9cdd2ef81a52aac44660e10c97bf8d9d7e713a7e", "9cdd2ef81a52aac44660e10c97bf8d9d7e713a7e")</f>
        <v>0</v>
      </c>
      <c r="C365">
        <f>HYPERLINK("https://android.googlesource.com/platform/cts/+/49bca3aafbcc877e4ea06bcdfab8dab060ef7244", "49bca3aafbcc877e4ea06bcdfab8dab060ef7244")</f>
        <v>0</v>
      </c>
      <c r="D365" t="s">
        <v>4942</v>
      </c>
      <c r="E365" t="s">
        <v>6009</v>
      </c>
      <c r="F365" t="s">
        <v>10762</v>
      </c>
      <c r="G365" t="s">
        <v>14991</v>
      </c>
      <c r="H365" t="s">
        <v>19370</v>
      </c>
    </row>
    <row r="366" spans="1:8">
      <c r="A366" t="s">
        <v>212</v>
      </c>
      <c r="B366">
        <f>HYPERLINK("https://android.googlesource.com/platform/cts/+/e94b30f509953a7bc868a92ea03895129d33ed3e", "e94b30f509953a7bc868a92ea03895129d33ed3e")</f>
        <v>0</v>
      </c>
      <c r="C366">
        <f>HYPERLINK("https://android.googlesource.com/platform/cts/+/5491f0455b209e5fd9cc9f037b614a02dc2ddb5d", "5491f0455b209e5fd9cc9f037b614a02dc2ddb5d")</f>
        <v>0</v>
      </c>
      <c r="D366" t="s">
        <v>4941</v>
      </c>
      <c r="E366" t="s">
        <v>6010</v>
      </c>
      <c r="F366" t="s">
        <v>10767</v>
      </c>
      <c r="G366" t="s">
        <v>15163</v>
      </c>
      <c r="H366" t="s">
        <v>18836</v>
      </c>
    </row>
    <row r="367" spans="1:8">
      <c r="H367" t="s">
        <v>19454</v>
      </c>
    </row>
    <row r="368" spans="1:8">
      <c r="A368" t="s">
        <v>215</v>
      </c>
      <c r="B368">
        <f>HYPERLINK("https://android.googlesource.com/platform/cts/+/53ba7ba949b94d1e008f564897749eb62534f732", "53ba7ba949b94d1e008f564897749eb62534f732")</f>
        <v>0</v>
      </c>
      <c r="C368">
        <f>HYPERLINK("https://android.googlesource.com/platform/cts/+/438f5fec5e0bdbf1a7636a0a2196290226b0b1a1", "438f5fec5e0bdbf1a7636a0a2196290226b0b1a1")</f>
        <v>0</v>
      </c>
      <c r="D368" t="s">
        <v>4956</v>
      </c>
      <c r="E368" t="s">
        <v>6013</v>
      </c>
      <c r="F368" t="s">
        <v>10769</v>
      </c>
      <c r="G368" t="s">
        <v>15165</v>
      </c>
      <c r="H368" t="s">
        <v>19458</v>
      </c>
    </row>
    <row r="369" spans="1:8">
      <c r="A369" t="s">
        <v>218</v>
      </c>
      <c r="B369">
        <f>HYPERLINK("https://android.googlesource.com/platform/cts/+/31dffc44798a121cd86fe1aa9d45fa717c455405", "31dffc44798a121cd86fe1aa9d45fa717c455405")</f>
        <v>0</v>
      </c>
      <c r="C369">
        <f>HYPERLINK("https://android.googlesource.com/platform/cts/+/0c0b54c704610067ab706ce5b7bd570ec3d1676d", "0c0b54c704610067ab706ce5b7bd570ec3d1676d")</f>
        <v>0</v>
      </c>
      <c r="D369" t="s">
        <v>4942</v>
      </c>
      <c r="E369" t="s">
        <v>6016</v>
      </c>
      <c r="F369" t="s">
        <v>10771</v>
      </c>
      <c r="G369" t="s">
        <v>15167</v>
      </c>
      <c r="H369" t="s">
        <v>19468</v>
      </c>
    </row>
    <row r="370" spans="1:8">
      <c r="H370" t="s">
        <v>19469</v>
      </c>
    </row>
    <row r="371" spans="1:8">
      <c r="H371" t="s">
        <v>19470</v>
      </c>
    </row>
    <row r="372" spans="1:8">
      <c r="F372" t="s">
        <v>10692</v>
      </c>
      <c r="G372" t="s">
        <v>15092</v>
      </c>
      <c r="H372" t="s">
        <v>19472</v>
      </c>
    </row>
    <row r="373" spans="1:8">
      <c r="H373" t="s">
        <v>19473</v>
      </c>
    </row>
    <row r="374" spans="1:8">
      <c r="F374" t="s">
        <v>10772</v>
      </c>
      <c r="G374" t="s">
        <v>15168</v>
      </c>
      <c r="H374" t="s">
        <v>19478</v>
      </c>
    </row>
    <row r="375" spans="1:8">
      <c r="F375" t="s">
        <v>10773</v>
      </c>
      <c r="G375" t="s">
        <v>15169</v>
      </c>
      <c r="H375" t="s">
        <v>19479</v>
      </c>
    </row>
    <row r="376" spans="1:8">
      <c r="A376" t="s">
        <v>220</v>
      </c>
      <c r="B376">
        <f>HYPERLINK("https://android.googlesource.com/platform/cts/+/96209017c2d7664ca607aedc19ba87ff322c6368", "96209017c2d7664ca607aedc19ba87ff322c6368")</f>
        <v>0</v>
      </c>
      <c r="C376">
        <f>HYPERLINK("https://android.googlesource.com/platform/cts/+/cfc435a9f0ab0197897d7d68b9c02edd79a78083", "cfc435a9f0ab0197897d7d68b9c02edd79a78083")</f>
        <v>0</v>
      </c>
      <c r="D376" t="s">
        <v>4951</v>
      </c>
      <c r="E376" t="s">
        <v>6018</v>
      </c>
      <c r="F376" t="s">
        <v>10687</v>
      </c>
      <c r="G376" t="s">
        <v>15087</v>
      </c>
      <c r="H376" t="s">
        <v>19483</v>
      </c>
    </row>
    <row r="377" spans="1:8">
      <c r="A377" t="s">
        <v>229</v>
      </c>
      <c r="B377">
        <f>HYPERLINK("https://android.googlesource.com/platform/cts/+/f583fe9b174699df169b4311d79499071786ee5f", "f583fe9b174699df169b4311d79499071786ee5f")</f>
        <v>0</v>
      </c>
      <c r="C377">
        <f>HYPERLINK("https://android.googlesource.com/platform/cts/+/4a66ef4ace3d9518b519cd5a44b0ce6e6d116930", "4a66ef4ace3d9518b519cd5a44b0ce6e6d116930")</f>
        <v>0</v>
      </c>
      <c r="D377" t="s">
        <v>4928</v>
      </c>
      <c r="E377" t="s">
        <v>6027</v>
      </c>
      <c r="F377" t="s">
        <v>10664</v>
      </c>
      <c r="G377" t="s">
        <v>15065</v>
      </c>
      <c r="H377" t="s">
        <v>19501</v>
      </c>
    </row>
    <row r="378" spans="1:8">
      <c r="A378" t="s">
        <v>234</v>
      </c>
      <c r="B378">
        <f>HYPERLINK("https://android.googlesource.com/platform/cts/+/b1f8c239bca1d9230cbc325ecb59b84e42bc40bd", "b1f8c239bca1d9230cbc325ecb59b84e42bc40bd")</f>
        <v>0</v>
      </c>
      <c r="C378">
        <f>HYPERLINK("https://android.googlesource.com/platform/cts/+/ebb4aba50aec74ff030922531cbe0efd82e57356", "ebb4aba50aec74ff030922531cbe0efd82e57356")</f>
        <v>0</v>
      </c>
      <c r="D378" t="s">
        <v>4949</v>
      </c>
      <c r="E378" t="s">
        <v>6031</v>
      </c>
      <c r="F378" t="s">
        <v>10775</v>
      </c>
      <c r="G378" t="s">
        <v>15171</v>
      </c>
      <c r="H378" t="s">
        <v>19506</v>
      </c>
    </row>
    <row r="379" spans="1:8">
      <c r="A379" t="s">
        <v>235</v>
      </c>
      <c r="B379">
        <f>HYPERLINK("https://android.googlesource.com/platform/cts/+/544d272e5901ed193dd9c55a9ef791a38ffef91e", "544d272e5901ed193dd9c55a9ef791a38ffef91e")</f>
        <v>0</v>
      </c>
      <c r="C379">
        <f>HYPERLINK("https://android.googlesource.com/platform/cts/+/cdf059852ab11463f14b5432bfd4a5e6daaad012", "cdf059852ab11463f14b5432bfd4a5e6daaad012")</f>
        <v>0</v>
      </c>
      <c r="D379" t="s">
        <v>4928</v>
      </c>
      <c r="E379" t="s">
        <v>6032</v>
      </c>
      <c r="F379" t="s">
        <v>10776</v>
      </c>
      <c r="G379" t="s">
        <v>15172</v>
      </c>
      <c r="H379" t="s">
        <v>19507</v>
      </c>
    </row>
    <row r="380" spans="1:8">
      <c r="A380" t="s">
        <v>236</v>
      </c>
      <c r="B380">
        <f>HYPERLINK("https://android.googlesource.com/platform/cts/+/476bd99d8a0ec86071e41af96bf6e1d0f98aefa9", "476bd99d8a0ec86071e41af96bf6e1d0f98aefa9")</f>
        <v>0</v>
      </c>
      <c r="C380">
        <f>HYPERLINK("https://android.googlesource.com/platform/cts/+/d9f4846f8eba556b85de3beaa57118ebdb926d6b", "d9f4846f8eba556b85de3beaa57118ebdb926d6b")</f>
        <v>0</v>
      </c>
      <c r="D380" t="s">
        <v>4957</v>
      </c>
      <c r="E380" t="s">
        <v>6033</v>
      </c>
      <c r="F380" t="s">
        <v>10777</v>
      </c>
      <c r="G380" t="s">
        <v>15173</v>
      </c>
      <c r="H380" t="s">
        <v>19508</v>
      </c>
    </row>
    <row r="381" spans="1:8">
      <c r="A381" t="s">
        <v>237</v>
      </c>
      <c r="B381">
        <f>HYPERLINK("https://android.googlesource.com/platform/cts/+/09a875085da3bf2ebb70970b22c5886eb254ada3", "09a875085da3bf2ebb70970b22c5886eb254ada3")</f>
        <v>0</v>
      </c>
      <c r="C381">
        <f>HYPERLINK("https://android.googlesource.com/platform/cts/+/dce64eabacfec9e0159053d9bcc3293397ccc8db", "dce64eabacfec9e0159053d9bcc3293397ccc8db")</f>
        <v>0</v>
      </c>
      <c r="D381" t="s">
        <v>4942</v>
      </c>
      <c r="E381" t="s">
        <v>6034</v>
      </c>
      <c r="F381" t="s">
        <v>10778</v>
      </c>
      <c r="G381" t="s">
        <v>15174</v>
      </c>
      <c r="H381" t="s">
        <v>19509</v>
      </c>
    </row>
    <row r="382" spans="1:8">
      <c r="A382" t="s">
        <v>238</v>
      </c>
      <c r="B382">
        <f>HYPERLINK("https://android.googlesource.com/platform/cts/+/d05a0e34781c6b32624ef8eef98079e99a845283", "d05a0e34781c6b32624ef8eef98079e99a845283")</f>
        <v>0</v>
      </c>
      <c r="C382">
        <f>HYPERLINK("https://android.googlesource.com/platform/cts/+/81484bb31b4588198cbe6b01fd496d544a48f327", "81484bb31b4588198cbe6b01fd496d544a48f327")</f>
        <v>0</v>
      </c>
      <c r="D382" t="s">
        <v>4942</v>
      </c>
      <c r="E382" t="s">
        <v>6035</v>
      </c>
      <c r="F382" t="s">
        <v>10716</v>
      </c>
      <c r="G382" t="s">
        <v>15115</v>
      </c>
      <c r="H382" t="s">
        <v>19510</v>
      </c>
    </row>
    <row r="383" spans="1:8">
      <c r="A383" t="s">
        <v>239</v>
      </c>
      <c r="B383">
        <f>HYPERLINK("https://android.googlesource.com/platform/cts/+/a7051b0f252ddff0476af8f81f762d2a6c9df695", "a7051b0f252ddff0476af8f81f762d2a6c9df695")</f>
        <v>0</v>
      </c>
      <c r="C383">
        <f>HYPERLINK("https://android.googlesource.com/platform/cts/+/ffeab80c8e086e9c649cb26b7258e2d2aa42d5a4", "ffeab80c8e086e9c649cb26b7258e2d2aa42d5a4")</f>
        <v>0</v>
      </c>
      <c r="D383" t="s">
        <v>4936</v>
      </c>
      <c r="E383" t="s">
        <v>6036</v>
      </c>
      <c r="F383" t="s">
        <v>10699</v>
      </c>
      <c r="G383" t="s">
        <v>15099</v>
      </c>
      <c r="H383" t="s">
        <v>19511</v>
      </c>
    </row>
    <row r="384" spans="1:8">
      <c r="A384" t="s">
        <v>240</v>
      </c>
      <c r="B384">
        <f>HYPERLINK("https://android.googlesource.com/platform/cts/+/0866696a341f481adb1d07e9a92eb634b942e10b", "0866696a341f481adb1d07e9a92eb634b942e10b")</f>
        <v>0</v>
      </c>
      <c r="C384">
        <f>HYPERLINK("https://android.googlesource.com/platform/cts/+/7c2e6b1c889a298839ce793382e73256262c13a9", "7c2e6b1c889a298839ce793382e73256262c13a9")</f>
        <v>0</v>
      </c>
      <c r="D384" t="s">
        <v>4942</v>
      </c>
      <c r="E384" t="s">
        <v>6037</v>
      </c>
      <c r="F384" t="s">
        <v>10716</v>
      </c>
      <c r="G384" t="s">
        <v>15115</v>
      </c>
      <c r="H384" t="s">
        <v>19510</v>
      </c>
    </row>
    <row r="385" spans="1:8">
      <c r="A385" t="s">
        <v>242</v>
      </c>
      <c r="B385">
        <f>HYPERLINK("https://android.googlesource.com/platform/cts/+/62c72f97a4cc7f24f26c6d1a40282c02a0e6b662", "62c72f97a4cc7f24f26c6d1a40282c02a0e6b662")</f>
        <v>0</v>
      </c>
      <c r="C385">
        <f>HYPERLINK("https://android.googlesource.com/platform/cts/+/dc8744c9fd11eacff3275ebc140e564d5855bdfa", "dc8744c9fd11eacff3275ebc140e564d5855bdfa")</f>
        <v>0</v>
      </c>
      <c r="D385" t="s">
        <v>4936</v>
      </c>
      <c r="E385" t="s">
        <v>6039</v>
      </c>
      <c r="F385" t="s">
        <v>10644</v>
      </c>
      <c r="G385" t="s">
        <v>15045</v>
      </c>
      <c r="H385" t="s">
        <v>19513</v>
      </c>
    </row>
    <row r="386" spans="1:8">
      <c r="A386" t="s">
        <v>243</v>
      </c>
      <c r="B386">
        <f>HYPERLINK("https://android.googlesource.com/platform/cts/+/0e43235fd0e598993a9638136e2e205745f5ac12", "0e43235fd0e598993a9638136e2e205745f5ac12")</f>
        <v>0</v>
      </c>
      <c r="C386">
        <f>HYPERLINK("https://android.googlesource.com/platform/cts/+/5369278d6f5a755c40640b180f89cb2154a95398", "5369278d6f5a755c40640b180f89cb2154a95398")</f>
        <v>0</v>
      </c>
      <c r="D386" t="s">
        <v>4954</v>
      </c>
      <c r="E386" t="s">
        <v>6040</v>
      </c>
      <c r="F386" t="s">
        <v>10750</v>
      </c>
      <c r="G386" t="s">
        <v>15148</v>
      </c>
      <c r="H386" t="s">
        <v>19514</v>
      </c>
    </row>
    <row r="387" spans="1:8">
      <c r="A387" t="s">
        <v>245</v>
      </c>
      <c r="B387">
        <f>HYPERLINK("https://android.googlesource.com/platform/cts/+/bb47ff02d552e5920d82dcc4716fcec9b196d9f2", "bb47ff02d552e5920d82dcc4716fcec9b196d9f2")</f>
        <v>0</v>
      </c>
      <c r="C387">
        <f>HYPERLINK("https://android.googlesource.com/platform/cts/+/0aa52f6ad574949f38315213af2fea0c0fd70cd4", "0aa52f6ad574949f38315213af2fea0c0fd70cd4")</f>
        <v>0</v>
      </c>
      <c r="D387" t="s">
        <v>4940</v>
      </c>
      <c r="E387" t="s">
        <v>6042</v>
      </c>
      <c r="F387" t="s">
        <v>10670</v>
      </c>
      <c r="G387" t="s">
        <v>15029</v>
      </c>
      <c r="H387" t="s">
        <v>19520</v>
      </c>
    </row>
    <row r="388" spans="1:8">
      <c r="A388" t="s">
        <v>249</v>
      </c>
      <c r="B388">
        <f>HYPERLINK("https://android.googlesource.com/platform/cts/+/cf4dd1c99ec3dfdfb08e38b76d69fbb12c65861a", "cf4dd1c99ec3dfdfb08e38b76d69fbb12c65861a")</f>
        <v>0</v>
      </c>
      <c r="C388">
        <f>HYPERLINK("https://android.googlesource.com/platform/cts/+/4c567436d5e6e8fd9c52e6086d26d67223948a68", "4c567436d5e6e8fd9c52e6086d26d67223948a68")</f>
        <v>0</v>
      </c>
      <c r="D388" t="s">
        <v>4951</v>
      </c>
      <c r="E388" t="s">
        <v>6046</v>
      </c>
      <c r="F388" t="s">
        <v>10787</v>
      </c>
      <c r="G388" t="s">
        <v>15183</v>
      </c>
      <c r="H388" t="s">
        <v>19526</v>
      </c>
    </row>
    <row r="389" spans="1:8">
      <c r="A389" t="s">
        <v>250</v>
      </c>
      <c r="B389">
        <f>HYPERLINK("https://android.googlesource.com/platform/cts/+/abd17ae36aa7c115b156f7910bc765539f2dc004", "abd17ae36aa7c115b156f7910bc765539f2dc004")</f>
        <v>0</v>
      </c>
      <c r="C389">
        <f>HYPERLINK("https://android.googlesource.com/platform/cts/+/2bb244906e847897e7cdebc896c72019c9d2fe48", "2bb244906e847897e7cdebc896c72019c9d2fe48")</f>
        <v>0</v>
      </c>
      <c r="D389" t="s">
        <v>4960</v>
      </c>
      <c r="E389" t="s">
        <v>6047</v>
      </c>
      <c r="F389" t="s">
        <v>10788</v>
      </c>
      <c r="G389" t="s">
        <v>15184</v>
      </c>
      <c r="H389" t="s">
        <v>19527</v>
      </c>
    </row>
    <row r="390" spans="1:8">
      <c r="H390" t="s">
        <v>19528</v>
      </c>
    </row>
    <row r="391" spans="1:8">
      <c r="H391" t="s">
        <v>19529</v>
      </c>
    </row>
    <row r="392" spans="1:8">
      <c r="H392" t="s">
        <v>19530</v>
      </c>
    </row>
    <row r="393" spans="1:8">
      <c r="A393" t="s">
        <v>252</v>
      </c>
      <c r="B393">
        <f>HYPERLINK("https://android.googlesource.com/platform/cts/+/677fe3459b2facdf1da53f106688e5f5ec3924eb", "677fe3459b2facdf1da53f106688e5f5ec3924eb")</f>
        <v>0</v>
      </c>
      <c r="C393">
        <f>HYPERLINK("https://android.googlesource.com/platform/cts/+/d1a9ec6b670009c6597b7d45015b2181daac3d72", "d1a9ec6b670009c6597b7d45015b2181daac3d72")</f>
        <v>0</v>
      </c>
      <c r="D393" t="s">
        <v>4941</v>
      </c>
      <c r="E393" t="s">
        <v>6049</v>
      </c>
      <c r="F393" t="s">
        <v>10701</v>
      </c>
      <c r="G393" t="s">
        <v>15101</v>
      </c>
      <c r="H393" t="s">
        <v>19532</v>
      </c>
    </row>
    <row r="394" spans="1:8">
      <c r="A394" t="s">
        <v>253</v>
      </c>
      <c r="B394">
        <f>HYPERLINK("https://android.googlesource.com/platform/cts/+/399ffdacc357d863058baa8de926e57dbedc4fc8", "399ffdacc357d863058baa8de926e57dbedc4fc8")</f>
        <v>0</v>
      </c>
      <c r="C394">
        <f>HYPERLINK("https://android.googlesource.com/platform/cts/+/f5a36645c1ed3cb3087f76d9cbb20f6271ead68f", "f5a36645c1ed3cb3087f76d9cbb20f6271ead68f")</f>
        <v>0</v>
      </c>
      <c r="D394" t="s">
        <v>4961</v>
      </c>
      <c r="E394" t="s">
        <v>6050</v>
      </c>
      <c r="F394" t="s">
        <v>10789</v>
      </c>
      <c r="G394" t="s">
        <v>15185</v>
      </c>
      <c r="H394" t="s">
        <v>19533</v>
      </c>
    </row>
    <row r="395" spans="1:8">
      <c r="A395" t="s">
        <v>254</v>
      </c>
      <c r="B395">
        <f>HYPERLINK("https://android.googlesource.com/platform/cts/+/b9d1670d9885556385811f4e52b0bb4b9b0076dc", "b9d1670d9885556385811f4e52b0bb4b9b0076dc")</f>
        <v>0</v>
      </c>
      <c r="C395">
        <f>HYPERLINK("https://android.googlesource.com/platform/cts/+/48c39254eb518647711af34ccfc462bbfffbe66b", "48c39254eb518647711af34ccfc462bbfffbe66b")</f>
        <v>0</v>
      </c>
      <c r="D395" t="s">
        <v>4962</v>
      </c>
      <c r="E395" t="s">
        <v>6051</v>
      </c>
      <c r="F395" t="s">
        <v>10790</v>
      </c>
      <c r="G395" t="s">
        <v>15186</v>
      </c>
      <c r="H395" t="s">
        <v>19534</v>
      </c>
    </row>
    <row r="396" spans="1:8">
      <c r="H396" t="s">
        <v>19535</v>
      </c>
    </row>
    <row r="397" spans="1:8">
      <c r="A397" t="s">
        <v>255</v>
      </c>
      <c r="B397">
        <f>HYPERLINK("https://android.googlesource.com/platform/cts/+/b0f6ad65097a9082d756f8b2a62a730bb2e5718d", "b0f6ad65097a9082d756f8b2a62a730bb2e5718d")</f>
        <v>0</v>
      </c>
      <c r="C397">
        <f>HYPERLINK("https://android.googlesource.com/platform/cts/+/6430fe83da8e8e1f7392e6de0c35fb915fad9d1c", "6430fe83da8e8e1f7392e6de0c35fb915fad9d1c")</f>
        <v>0</v>
      </c>
      <c r="D397" t="s">
        <v>4963</v>
      </c>
      <c r="E397" t="s">
        <v>6052</v>
      </c>
      <c r="F397" t="s">
        <v>10791</v>
      </c>
      <c r="G397" t="s">
        <v>14989</v>
      </c>
      <c r="H397" t="s">
        <v>19536</v>
      </c>
    </row>
    <row r="398" spans="1:8">
      <c r="A398" t="s">
        <v>258</v>
      </c>
      <c r="B398">
        <f>HYPERLINK("https://android.googlesource.com/platform/cts/+/6adf2742b8fde0b80e9ae9b8891a18002cad72d0", "6adf2742b8fde0b80e9ae9b8891a18002cad72d0")</f>
        <v>0</v>
      </c>
      <c r="C398">
        <f>HYPERLINK("https://android.googlesource.com/platform/cts/+/d885c092aa25381fc060f4e825de7743f1aabe2c", "d885c092aa25381fc060f4e825de7743f1aabe2c")</f>
        <v>0</v>
      </c>
      <c r="D398" t="s">
        <v>4965</v>
      </c>
      <c r="E398" t="s">
        <v>6055</v>
      </c>
      <c r="F398" t="s">
        <v>10769</v>
      </c>
      <c r="G398" t="s">
        <v>15165</v>
      </c>
      <c r="H398" t="s">
        <v>19544</v>
      </c>
    </row>
    <row r="399" spans="1:8">
      <c r="H399" t="s">
        <v>19545</v>
      </c>
    </row>
    <row r="400" spans="1:8">
      <c r="H400" t="s">
        <v>19546</v>
      </c>
    </row>
    <row r="401" spans="8:8">
      <c r="H401" t="s">
        <v>19547</v>
      </c>
    </row>
    <row r="402" spans="8:8">
      <c r="H402" t="s">
        <v>19548</v>
      </c>
    </row>
    <row r="403" spans="8:8">
      <c r="H403" t="s">
        <v>19549</v>
      </c>
    </row>
    <row r="404" spans="8:8">
      <c r="H404" t="s">
        <v>19550</v>
      </c>
    </row>
    <row r="405" spans="8:8">
      <c r="H405" t="s">
        <v>19551</v>
      </c>
    </row>
    <row r="406" spans="8:8">
      <c r="H406" t="s">
        <v>19552</v>
      </c>
    </row>
    <row r="407" spans="8:8">
      <c r="H407" t="s">
        <v>19553</v>
      </c>
    </row>
    <row r="408" spans="8:8">
      <c r="H408" t="s">
        <v>19554</v>
      </c>
    </row>
    <row r="409" spans="8:8">
      <c r="H409" t="s">
        <v>19555</v>
      </c>
    </row>
    <row r="410" spans="8:8">
      <c r="H410" t="s">
        <v>19556</v>
      </c>
    </row>
    <row r="411" spans="8:8">
      <c r="H411" t="s">
        <v>19557</v>
      </c>
    </row>
    <row r="412" spans="8:8">
      <c r="H412" t="s">
        <v>19558</v>
      </c>
    </row>
    <row r="413" spans="8:8">
      <c r="H413" t="s">
        <v>19559</v>
      </c>
    </row>
    <row r="414" spans="8:8">
      <c r="H414" t="s">
        <v>19560</v>
      </c>
    </row>
    <row r="415" spans="8:8">
      <c r="H415" t="s">
        <v>19561</v>
      </c>
    </row>
    <row r="416" spans="8:8">
      <c r="H416" t="s">
        <v>19562</v>
      </c>
    </row>
    <row r="417" spans="8:8">
      <c r="H417" t="s">
        <v>19563</v>
      </c>
    </row>
    <row r="418" spans="8:8">
      <c r="H418" t="s">
        <v>19564</v>
      </c>
    </row>
    <row r="419" spans="8:8">
      <c r="H419" t="s">
        <v>19565</v>
      </c>
    </row>
    <row r="420" spans="8:8">
      <c r="H420" t="s">
        <v>19566</v>
      </c>
    </row>
    <row r="421" spans="8:8">
      <c r="H421" t="s">
        <v>19007</v>
      </c>
    </row>
    <row r="422" spans="8:8">
      <c r="H422" t="s">
        <v>19567</v>
      </c>
    </row>
    <row r="423" spans="8:8">
      <c r="H423" t="s">
        <v>19568</v>
      </c>
    </row>
    <row r="424" spans="8:8">
      <c r="H424" t="s">
        <v>19569</v>
      </c>
    </row>
    <row r="425" spans="8:8">
      <c r="H425" t="s">
        <v>19570</v>
      </c>
    </row>
    <row r="426" spans="8:8">
      <c r="H426" t="s">
        <v>19571</v>
      </c>
    </row>
    <row r="427" spans="8:8">
      <c r="H427" t="s">
        <v>19572</v>
      </c>
    </row>
    <row r="428" spans="8:8">
      <c r="H428" t="s">
        <v>19573</v>
      </c>
    </row>
    <row r="429" spans="8:8">
      <c r="H429" t="s">
        <v>19574</v>
      </c>
    </row>
    <row r="430" spans="8:8">
      <c r="H430" t="s">
        <v>19575</v>
      </c>
    </row>
    <row r="431" spans="8:8">
      <c r="H431" t="s">
        <v>19576</v>
      </c>
    </row>
    <row r="432" spans="8:8">
      <c r="H432" t="s">
        <v>19577</v>
      </c>
    </row>
    <row r="433" spans="8:8">
      <c r="H433" t="s">
        <v>19578</v>
      </c>
    </row>
    <row r="434" spans="8:8">
      <c r="H434" t="s">
        <v>19579</v>
      </c>
    </row>
    <row r="435" spans="8:8">
      <c r="H435" t="s">
        <v>19580</v>
      </c>
    </row>
    <row r="436" spans="8:8">
      <c r="H436" t="s">
        <v>19581</v>
      </c>
    </row>
    <row r="437" spans="8:8">
      <c r="H437" t="s">
        <v>19582</v>
      </c>
    </row>
    <row r="438" spans="8:8">
      <c r="H438" t="s">
        <v>19583</v>
      </c>
    </row>
    <row r="439" spans="8:8">
      <c r="H439" t="s">
        <v>19584</v>
      </c>
    </row>
    <row r="440" spans="8:8">
      <c r="H440" t="s">
        <v>19585</v>
      </c>
    </row>
    <row r="441" spans="8:8">
      <c r="H441" t="s">
        <v>19586</v>
      </c>
    </row>
    <row r="442" spans="8:8">
      <c r="H442" t="s">
        <v>19587</v>
      </c>
    </row>
    <row r="443" spans="8:8">
      <c r="H443" t="s">
        <v>19588</v>
      </c>
    </row>
    <row r="444" spans="8:8">
      <c r="H444" t="s">
        <v>19589</v>
      </c>
    </row>
    <row r="445" spans="8:8">
      <c r="H445" t="s">
        <v>19590</v>
      </c>
    </row>
    <row r="446" spans="8:8">
      <c r="H446" t="s">
        <v>19591</v>
      </c>
    </row>
    <row r="447" spans="8:8">
      <c r="H447" t="s">
        <v>19592</v>
      </c>
    </row>
    <row r="448" spans="8:8">
      <c r="H448" t="s">
        <v>19593</v>
      </c>
    </row>
    <row r="449" spans="8:8">
      <c r="H449" t="s">
        <v>19594</v>
      </c>
    </row>
    <row r="450" spans="8:8">
      <c r="H450" t="s">
        <v>19595</v>
      </c>
    </row>
    <row r="451" spans="8:8">
      <c r="H451" t="s">
        <v>19596</v>
      </c>
    </row>
    <row r="452" spans="8:8">
      <c r="H452" t="s">
        <v>19597</v>
      </c>
    </row>
    <row r="453" spans="8:8">
      <c r="H453" t="s">
        <v>19598</v>
      </c>
    </row>
    <row r="454" spans="8:8">
      <c r="H454" t="s">
        <v>19599</v>
      </c>
    </row>
    <row r="455" spans="8:8">
      <c r="H455" t="s">
        <v>19600</v>
      </c>
    </row>
    <row r="456" spans="8:8">
      <c r="H456" t="s">
        <v>19601</v>
      </c>
    </row>
    <row r="457" spans="8:8">
      <c r="H457" t="s">
        <v>19602</v>
      </c>
    </row>
    <row r="458" spans="8:8">
      <c r="H458" t="s">
        <v>19603</v>
      </c>
    </row>
    <row r="459" spans="8:8">
      <c r="H459" t="s">
        <v>19604</v>
      </c>
    </row>
    <row r="460" spans="8:8">
      <c r="H460" t="s">
        <v>19605</v>
      </c>
    </row>
    <row r="461" spans="8:8">
      <c r="H461" t="s">
        <v>19606</v>
      </c>
    </row>
    <row r="462" spans="8:8">
      <c r="H462" t="s">
        <v>19607</v>
      </c>
    </row>
    <row r="463" spans="8:8">
      <c r="H463" t="s">
        <v>19608</v>
      </c>
    </row>
    <row r="464" spans="8:8">
      <c r="H464" t="s">
        <v>19609</v>
      </c>
    </row>
    <row r="465" spans="8:8">
      <c r="H465" t="s">
        <v>19610</v>
      </c>
    </row>
    <row r="466" spans="8:8">
      <c r="H466" t="s">
        <v>19611</v>
      </c>
    </row>
    <row r="467" spans="8:8">
      <c r="H467" t="s">
        <v>19612</v>
      </c>
    </row>
    <row r="468" spans="8:8">
      <c r="H468" t="s">
        <v>19613</v>
      </c>
    </row>
    <row r="469" spans="8:8">
      <c r="H469" t="s">
        <v>19614</v>
      </c>
    </row>
    <row r="470" spans="8:8">
      <c r="H470" t="s">
        <v>19615</v>
      </c>
    </row>
    <row r="471" spans="8:8">
      <c r="H471" t="s">
        <v>19616</v>
      </c>
    </row>
    <row r="472" spans="8:8">
      <c r="H472" t="s">
        <v>19617</v>
      </c>
    </row>
    <row r="473" spans="8:8">
      <c r="H473" t="s">
        <v>19618</v>
      </c>
    </row>
    <row r="474" spans="8:8">
      <c r="H474" t="s">
        <v>19619</v>
      </c>
    </row>
    <row r="475" spans="8:8">
      <c r="H475" t="s">
        <v>19620</v>
      </c>
    </row>
    <row r="476" spans="8:8">
      <c r="H476" t="s">
        <v>19621</v>
      </c>
    </row>
    <row r="477" spans="8:8">
      <c r="H477" t="s">
        <v>19622</v>
      </c>
    </row>
    <row r="478" spans="8:8">
      <c r="H478" t="s">
        <v>19623</v>
      </c>
    </row>
    <row r="479" spans="8:8">
      <c r="H479" t="s">
        <v>19624</v>
      </c>
    </row>
    <row r="480" spans="8:8">
      <c r="H480" t="s">
        <v>19625</v>
      </c>
    </row>
    <row r="481" spans="1:8">
      <c r="H481" t="s">
        <v>19626</v>
      </c>
    </row>
    <row r="482" spans="1:8">
      <c r="H482" t="s">
        <v>19627</v>
      </c>
    </row>
    <row r="483" spans="1:8">
      <c r="H483" t="s">
        <v>19628</v>
      </c>
    </row>
    <row r="484" spans="1:8">
      <c r="H484" t="s">
        <v>19629</v>
      </c>
    </row>
    <row r="485" spans="1:8">
      <c r="H485" t="s">
        <v>19630</v>
      </c>
    </row>
    <row r="486" spans="1:8">
      <c r="H486" t="s">
        <v>19631</v>
      </c>
    </row>
    <row r="487" spans="1:8">
      <c r="H487" t="s">
        <v>19632</v>
      </c>
    </row>
    <row r="488" spans="1:8">
      <c r="H488" t="s">
        <v>19633</v>
      </c>
    </row>
    <row r="489" spans="1:8">
      <c r="H489" t="s">
        <v>19634</v>
      </c>
    </row>
    <row r="490" spans="1:8">
      <c r="H490" t="s">
        <v>19635</v>
      </c>
    </row>
    <row r="491" spans="1:8">
      <c r="H491" t="s">
        <v>19636</v>
      </c>
    </row>
    <row r="492" spans="1:8">
      <c r="H492" t="s">
        <v>19637</v>
      </c>
    </row>
    <row r="493" spans="1:8">
      <c r="H493" t="s">
        <v>19638</v>
      </c>
    </row>
    <row r="494" spans="1:8">
      <c r="H494" t="s">
        <v>19639</v>
      </c>
    </row>
    <row r="495" spans="1:8">
      <c r="H495" t="s">
        <v>19640</v>
      </c>
    </row>
    <row r="496" spans="1:8">
      <c r="A496" t="s">
        <v>259</v>
      </c>
      <c r="B496">
        <f>HYPERLINK("https://android.googlesource.com/platform/cts/+/45dd2f15092680526902b37d7118f039783fe893", "45dd2f15092680526902b37d7118f039783fe893")</f>
        <v>0</v>
      </c>
      <c r="C496">
        <f>HYPERLINK("https://android.googlesource.com/platform/cts/+/4c29d970b828238a25b4b708692bff0fe47d5449", "4c29d970b828238a25b4b708692bff0fe47d5449")</f>
        <v>0</v>
      </c>
      <c r="D496" t="s">
        <v>4964</v>
      </c>
      <c r="E496" t="s">
        <v>6056</v>
      </c>
      <c r="F496" t="s">
        <v>10778</v>
      </c>
      <c r="G496" t="s">
        <v>15174</v>
      </c>
      <c r="H496" t="s">
        <v>19643</v>
      </c>
    </row>
    <row r="497" spans="1:8">
      <c r="H497" t="s">
        <v>19646</v>
      </c>
    </row>
    <row r="498" spans="1:8">
      <c r="H498" t="s">
        <v>19647</v>
      </c>
    </row>
    <row r="499" spans="1:8">
      <c r="H499" t="s">
        <v>19648</v>
      </c>
    </row>
    <row r="500" spans="1:8">
      <c r="H500" t="s">
        <v>19649</v>
      </c>
    </row>
    <row r="501" spans="1:8">
      <c r="H501" t="s">
        <v>19650</v>
      </c>
    </row>
    <row r="502" spans="1:8">
      <c r="H502" t="s">
        <v>19651</v>
      </c>
    </row>
    <row r="503" spans="1:8">
      <c r="H503" t="s">
        <v>19652</v>
      </c>
    </row>
    <row r="504" spans="1:8">
      <c r="A504" t="s">
        <v>266</v>
      </c>
      <c r="B504">
        <f>HYPERLINK("https://android.googlesource.com/platform/cts/+/04b3c8e6f32aec2af720fee0e3a417b0433b5050", "04b3c8e6f32aec2af720fee0e3a417b0433b5050")</f>
        <v>0</v>
      </c>
      <c r="C504">
        <f>HYPERLINK("https://android.googlesource.com/platform/cts/+/9ea14d091071d56aef036237bf548998d62835b3", "9ea14d091071d56aef036237bf548998d62835b3")</f>
        <v>0</v>
      </c>
      <c r="D504" t="s">
        <v>4951</v>
      </c>
      <c r="E504" t="s">
        <v>6063</v>
      </c>
      <c r="F504" t="s">
        <v>10793</v>
      </c>
      <c r="G504" t="s">
        <v>15188</v>
      </c>
      <c r="H504" t="s">
        <v>19668</v>
      </c>
    </row>
    <row r="505" spans="1:8">
      <c r="F505" t="s">
        <v>10687</v>
      </c>
      <c r="G505" t="s">
        <v>15087</v>
      </c>
      <c r="H505" t="s">
        <v>19669</v>
      </c>
    </row>
    <row r="506" spans="1:8">
      <c r="A506" t="s">
        <v>269</v>
      </c>
      <c r="B506">
        <f>HYPERLINK("https://android.googlesource.com/platform/cts/+/4fda9ca3a281ea399282a3fb080c77dbdbb723bd", "4fda9ca3a281ea399282a3fb080c77dbdbb723bd")</f>
        <v>0</v>
      </c>
      <c r="C506">
        <f>HYPERLINK("https://android.googlesource.com/platform/cts/+/071f7991ee0ed8ffdaa0f29588a020a5c03364fe", "071f7991ee0ed8ffdaa0f29588a020a5c03364fe")</f>
        <v>0</v>
      </c>
      <c r="D506" t="s">
        <v>4966</v>
      </c>
      <c r="E506" t="s">
        <v>6066</v>
      </c>
      <c r="F506" t="s">
        <v>10795</v>
      </c>
      <c r="G506" t="s">
        <v>15190</v>
      </c>
      <c r="H506" t="s">
        <v>19706</v>
      </c>
    </row>
    <row r="507" spans="1:8">
      <c r="F507" t="s">
        <v>10796</v>
      </c>
      <c r="G507" t="s">
        <v>15191</v>
      </c>
      <c r="H507" t="s">
        <v>19706</v>
      </c>
    </row>
    <row r="508" spans="1:8">
      <c r="F508" t="s">
        <v>10797</v>
      </c>
      <c r="G508" t="s">
        <v>15192</v>
      </c>
      <c r="H508" t="s">
        <v>19707</v>
      </c>
    </row>
    <row r="509" spans="1:8">
      <c r="F509" t="s">
        <v>10798</v>
      </c>
      <c r="G509" t="s">
        <v>15193</v>
      </c>
      <c r="H509" t="s">
        <v>19707</v>
      </c>
    </row>
    <row r="510" spans="1:8">
      <c r="F510" t="s">
        <v>10799</v>
      </c>
      <c r="G510" t="s">
        <v>15194</v>
      </c>
      <c r="H510" t="s">
        <v>19708</v>
      </c>
    </row>
    <row r="511" spans="1:8">
      <c r="F511" t="s">
        <v>10800</v>
      </c>
      <c r="G511" t="s">
        <v>15195</v>
      </c>
      <c r="H511" t="s">
        <v>19708</v>
      </c>
    </row>
    <row r="512" spans="1:8">
      <c r="F512" t="s">
        <v>10801</v>
      </c>
      <c r="G512" t="s">
        <v>15196</v>
      </c>
      <c r="H512" t="s">
        <v>19708</v>
      </c>
    </row>
    <row r="513" spans="6:8">
      <c r="F513" t="s">
        <v>10802</v>
      </c>
      <c r="G513" t="s">
        <v>15197</v>
      </c>
      <c r="H513" t="s">
        <v>19708</v>
      </c>
    </row>
    <row r="514" spans="6:8">
      <c r="F514" t="s">
        <v>10803</v>
      </c>
      <c r="G514" t="s">
        <v>15198</v>
      </c>
      <c r="H514" t="s">
        <v>19706</v>
      </c>
    </row>
    <row r="515" spans="6:8">
      <c r="F515" t="s">
        <v>10804</v>
      </c>
      <c r="G515" t="s">
        <v>15199</v>
      </c>
      <c r="H515" t="s">
        <v>19706</v>
      </c>
    </row>
    <row r="516" spans="6:8">
      <c r="F516" t="s">
        <v>10805</v>
      </c>
      <c r="G516" t="s">
        <v>15200</v>
      </c>
      <c r="H516" t="s">
        <v>19709</v>
      </c>
    </row>
    <row r="517" spans="6:8">
      <c r="F517" t="s">
        <v>10806</v>
      </c>
      <c r="G517" t="s">
        <v>15201</v>
      </c>
      <c r="H517" t="s">
        <v>19709</v>
      </c>
    </row>
    <row r="518" spans="6:8">
      <c r="F518" t="s">
        <v>10807</v>
      </c>
      <c r="G518" t="s">
        <v>15202</v>
      </c>
      <c r="H518" t="s">
        <v>19709</v>
      </c>
    </row>
    <row r="519" spans="6:8">
      <c r="F519" t="s">
        <v>10808</v>
      </c>
      <c r="G519" t="s">
        <v>15203</v>
      </c>
      <c r="H519" t="s">
        <v>19709</v>
      </c>
    </row>
    <row r="520" spans="6:8">
      <c r="F520" t="s">
        <v>10809</v>
      </c>
      <c r="G520" t="s">
        <v>15204</v>
      </c>
      <c r="H520" t="s">
        <v>19709</v>
      </c>
    </row>
    <row r="521" spans="6:8">
      <c r="F521" t="s">
        <v>10810</v>
      </c>
      <c r="G521" t="s">
        <v>15205</v>
      </c>
      <c r="H521" t="s">
        <v>19709</v>
      </c>
    </row>
    <row r="522" spans="6:8">
      <c r="F522" t="s">
        <v>10811</v>
      </c>
      <c r="G522" t="s">
        <v>15206</v>
      </c>
      <c r="H522" t="s">
        <v>19706</v>
      </c>
    </row>
    <row r="523" spans="6:8">
      <c r="F523" t="s">
        <v>10812</v>
      </c>
      <c r="G523" t="s">
        <v>15207</v>
      </c>
      <c r="H523" t="s">
        <v>19706</v>
      </c>
    </row>
    <row r="524" spans="6:8">
      <c r="F524" t="s">
        <v>10813</v>
      </c>
      <c r="G524" t="s">
        <v>15208</v>
      </c>
      <c r="H524" t="s">
        <v>19706</v>
      </c>
    </row>
    <row r="525" spans="6:8">
      <c r="F525" t="s">
        <v>10814</v>
      </c>
      <c r="G525" t="s">
        <v>15209</v>
      </c>
      <c r="H525" t="s">
        <v>19706</v>
      </c>
    </row>
    <row r="526" spans="6:8">
      <c r="F526" t="s">
        <v>10815</v>
      </c>
      <c r="G526" t="s">
        <v>15210</v>
      </c>
      <c r="H526" t="s">
        <v>19706</v>
      </c>
    </row>
    <row r="527" spans="6:8">
      <c r="F527" t="s">
        <v>10816</v>
      </c>
      <c r="G527" t="s">
        <v>15211</v>
      </c>
      <c r="H527" t="s">
        <v>19706</v>
      </c>
    </row>
    <row r="528" spans="6:8">
      <c r="F528" t="s">
        <v>10817</v>
      </c>
      <c r="G528" t="s">
        <v>15212</v>
      </c>
      <c r="H528" t="s">
        <v>19706</v>
      </c>
    </row>
    <row r="529" spans="6:8">
      <c r="F529" t="s">
        <v>10818</v>
      </c>
      <c r="G529" t="s">
        <v>15213</v>
      </c>
      <c r="H529" t="s">
        <v>19709</v>
      </c>
    </row>
    <row r="530" spans="6:8">
      <c r="F530" t="s">
        <v>10819</v>
      </c>
      <c r="G530" t="s">
        <v>15214</v>
      </c>
      <c r="H530" t="s">
        <v>19709</v>
      </c>
    </row>
    <row r="531" spans="6:8">
      <c r="F531" t="s">
        <v>10820</v>
      </c>
      <c r="G531" t="s">
        <v>15215</v>
      </c>
      <c r="H531" t="s">
        <v>19709</v>
      </c>
    </row>
    <row r="532" spans="6:8">
      <c r="F532" t="s">
        <v>10821</v>
      </c>
      <c r="G532" t="s">
        <v>15216</v>
      </c>
      <c r="H532" t="s">
        <v>19709</v>
      </c>
    </row>
    <row r="533" spans="6:8">
      <c r="F533" t="s">
        <v>10822</v>
      </c>
      <c r="G533" t="s">
        <v>15217</v>
      </c>
      <c r="H533" t="s">
        <v>19707</v>
      </c>
    </row>
    <row r="534" spans="6:8">
      <c r="F534" t="s">
        <v>10823</v>
      </c>
      <c r="G534" t="s">
        <v>15218</v>
      </c>
      <c r="H534" t="s">
        <v>19709</v>
      </c>
    </row>
    <row r="535" spans="6:8">
      <c r="F535" t="s">
        <v>10824</v>
      </c>
      <c r="G535" t="s">
        <v>15219</v>
      </c>
      <c r="H535" t="s">
        <v>19706</v>
      </c>
    </row>
    <row r="536" spans="6:8">
      <c r="H536" t="s">
        <v>19707</v>
      </c>
    </row>
    <row r="537" spans="6:8">
      <c r="F537" t="s">
        <v>10825</v>
      </c>
      <c r="G537" t="s">
        <v>15220</v>
      </c>
      <c r="H537" t="s">
        <v>19706</v>
      </c>
    </row>
    <row r="538" spans="6:8">
      <c r="F538" t="s">
        <v>10826</v>
      </c>
      <c r="G538" t="s">
        <v>15221</v>
      </c>
      <c r="H538" t="s">
        <v>19706</v>
      </c>
    </row>
    <row r="539" spans="6:8">
      <c r="F539" t="s">
        <v>10827</v>
      </c>
      <c r="G539" t="s">
        <v>15222</v>
      </c>
      <c r="H539" t="s">
        <v>19706</v>
      </c>
    </row>
    <row r="540" spans="6:8">
      <c r="F540" t="s">
        <v>10828</v>
      </c>
      <c r="G540" t="s">
        <v>15223</v>
      </c>
      <c r="H540" t="s">
        <v>19706</v>
      </c>
    </row>
    <row r="541" spans="6:8">
      <c r="F541" t="s">
        <v>10829</v>
      </c>
      <c r="G541" t="s">
        <v>15224</v>
      </c>
      <c r="H541" t="s">
        <v>19706</v>
      </c>
    </row>
    <row r="542" spans="6:8">
      <c r="F542" t="s">
        <v>10830</v>
      </c>
      <c r="G542" t="s">
        <v>15225</v>
      </c>
      <c r="H542" t="s">
        <v>19707</v>
      </c>
    </row>
    <row r="543" spans="6:8">
      <c r="F543" t="s">
        <v>10831</v>
      </c>
      <c r="G543" t="s">
        <v>15226</v>
      </c>
      <c r="H543" t="s">
        <v>19707</v>
      </c>
    </row>
    <row r="544" spans="6:8">
      <c r="F544" t="s">
        <v>10832</v>
      </c>
      <c r="G544" t="s">
        <v>15227</v>
      </c>
      <c r="H544" t="s">
        <v>19706</v>
      </c>
    </row>
    <row r="545" spans="6:8">
      <c r="F545" t="s">
        <v>10833</v>
      </c>
      <c r="G545" t="s">
        <v>15228</v>
      </c>
      <c r="H545" t="s">
        <v>19706</v>
      </c>
    </row>
    <row r="546" spans="6:8">
      <c r="F546" t="s">
        <v>10834</v>
      </c>
      <c r="G546" t="s">
        <v>15229</v>
      </c>
      <c r="H546" t="s">
        <v>19708</v>
      </c>
    </row>
    <row r="547" spans="6:8">
      <c r="F547" t="s">
        <v>10835</v>
      </c>
      <c r="G547" t="s">
        <v>15230</v>
      </c>
      <c r="H547" t="s">
        <v>19708</v>
      </c>
    </row>
    <row r="548" spans="6:8">
      <c r="F548" t="s">
        <v>10836</v>
      </c>
      <c r="G548" t="s">
        <v>15231</v>
      </c>
      <c r="H548" t="s">
        <v>19708</v>
      </c>
    </row>
    <row r="549" spans="6:8">
      <c r="F549" t="s">
        <v>10837</v>
      </c>
      <c r="G549" t="s">
        <v>15232</v>
      </c>
      <c r="H549" t="s">
        <v>19708</v>
      </c>
    </row>
    <row r="550" spans="6:8">
      <c r="F550" t="s">
        <v>10838</v>
      </c>
      <c r="G550" t="s">
        <v>15233</v>
      </c>
      <c r="H550" t="s">
        <v>19708</v>
      </c>
    </row>
    <row r="551" spans="6:8">
      <c r="F551" t="s">
        <v>10839</v>
      </c>
      <c r="G551" t="s">
        <v>15234</v>
      </c>
      <c r="H551" t="s">
        <v>19708</v>
      </c>
    </row>
    <row r="552" spans="6:8">
      <c r="F552" t="s">
        <v>10840</v>
      </c>
      <c r="G552" t="s">
        <v>15235</v>
      </c>
      <c r="H552" t="s">
        <v>19706</v>
      </c>
    </row>
    <row r="553" spans="6:8">
      <c r="F553" t="s">
        <v>10841</v>
      </c>
      <c r="G553" t="s">
        <v>15236</v>
      </c>
      <c r="H553" t="s">
        <v>19706</v>
      </c>
    </row>
    <row r="554" spans="6:8">
      <c r="F554" t="s">
        <v>10842</v>
      </c>
      <c r="G554" t="s">
        <v>15237</v>
      </c>
      <c r="H554" t="s">
        <v>19706</v>
      </c>
    </row>
    <row r="555" spans="6:8">
      <c r="F555" t="s">
        <v>10843</v>
      </c>
      <c r="G555" t="s">
        <v>15238</v>
      </c>
      <c r="H555" t="s">
        <v>19706</v>
      </c>
    </row>
    <row r="556" spans="6:8">
      <c r="F556" t="s">
        <v>10844</v>
      </c>
      <c r="G556" t="s">
        <v>15239</v>
      </c>
      <c r="H556" t="s">
        <v>19706</v>
      </c>
    </row>
    <row r="557" spans="6:8">
      <c r="F557" t="s">
        <v>10845</v>
      </c>
      <c r="G557" t="s">
        <v>15240</v>
      </c>
      <c r="H557" t="s">
        <v>19706</v>
      </c>
    </row>
    <row r="558" spans="6:8">
      <c r="F558" t="s">
        <v>10846</v>
      </c>
      <c r="G558" t="s">
        <v>15241</v>
      </c>
      <c r="H558" t="s">
        <v>19708</v>
      </c>
    </row>
    <row r="559" spans="6:8">
      <c r="F559" t="s">
        <v>10847</v>
      </c>
      <c r="G559" t="s">
        <v>15242</v>
      </c>
      <c r="H559" t="s">
        <v>19709</v>
      </c>
    </row>
    <row r="560" spans="6:8">
      <c r="F560" t="s">
        <v>10848</v>
      </c>
      <c r="G560" t="s">
        <v>15243</v>
      </c>
      <c r="H560" t="s">
        <v>19706</v>
      </c>
    </row>
    <row r="561" spans="6:8">
      <c r="F561" t="s">
        <v>10849</v>
      </c>
      <c r="G561" t="s">
        <v>15244</v>
      </c>
      <c r="H561" t="s">
        <v>19709</v>
      </c>
    </row>
    <row r="562" spans="6:8">
      <c r="F562" t="s">
        <v>10850</v>
      </c>
      <c r="G562" t="s">
        <v>15245</v>
      </c>
      <c r="H562" t="s">
        <v>19706</v>
      </c>
    </row>
    <row r="563" spans="6:8">
      <c r="F563" t="s">
        <v>10851</v>
      </c>
      <c r="G563" t="s">
        <v>15246</v>
      </c>
      <c r="H563" t="s">
        <v>19709</v>
      </c>
    </row>
    <row r="564" spans="6:8">
      <c r="F564" t="s">
        <v>10852</v>
      </c>
      <c r="G564" t="s">
        <v>15247</v>
      </c>
      <c r="H564" t="s">
        <v>19706</v>
      </c>
    </row>
    <row r="565" spans="6:8">
      <c r="F565" t="s">
        <v>10853</v>
      </c>
      <c r="G565" t="s">
        <v>15248</v>
      </c>
      <c r="H565" t="s">
        <v>19709</v>
      </c>
    </row>
    <row r="566" spans="6:8">
      <c r="F566" t="s">
        <v>10854</v>
      </c>
      <c r="G566" t="s">
        <v>15249</v>
      </c>
      <c r="H566" t="s">
        <v>19706</v>
      </c>
    </row>
    <row r="567" spans="6:8">
      <c r="F567" t="s">
        <v>10855</v>
      </c>
      <c r="G567" t="s">
        <v>15250</v>
      </c>
      <c r="H567" t="s">
        <v>19709</v>
      </c>
    </row>
    <row r="568" spans="6:8">
      <c r="F568" t="s">
        <v>10856</v>
      </c>
      <c r="G568" t="s">
        <v>15251</v>
      </c>
      <c r="H568" t="s">
        <v>19708</v>
      </c>
    </row>
    <row r="569" spans="6:8">
      <c r="F569" t="s">
        <v>10857</v>
      </c>
      <c r="G569" t="s">
        <v>15252</v>
      </c>
      <c r="H569" t="s">
        <v>19706</v>
      </c>
    </row>
    <row r="570" spans="6:8">
      <c r="F570" t="s">
        <v>10858</v>
      </c>
      <c r="G570" t="s">
        <v>15253</v>
      </c>
      <c r="H570" t="s">
        <v>19708</v>
      </c>
    </row>
    <row r="571" spans="6:8">
      <c r="F571" t="s">
        <v>10859</v>
      </c>
      <c r="G571" t="s">
        <v>15254</v>
      </c>
      <c r="H571" t="s">
        <v>19707</v>
      </c>
    </row>
    <row r="572" spans="6:8">
      <c r="F572" t="s">
        <v>10860</v>
      </c>
      <c r="G572" t="s">
        <v>15255</v>
      </c>
      <c r="H572" t="s">
        <v>19710</v>
      </c>
    </row>
    <row r="573" spans="6:8">
      <c r="F573" t="s">
        <v>10861</v>
      </c>
      <c r="G573" t="s">
        <v>15256</v>
      </c>
      <c r="H573" t="s">
        <v>19707</v>
      </c>
    </row>
    <row r="574" spans="6:8">
      <c r="F574" t="s">
        <v>10862</v>
      </c>
      <c r="G574" t="s">
        <v>15257</v>
      </c>
      <c r="H574" t="s">
        <v>19710</v>
      </c>
    </row>
    <row r="575" spans="6:8">
      <c r="F575" t="s">
        <v>10863</v>
      </c>
      <c r="G575" t="s">
        <v>15258</v>
      </c>
      <c r="H575" t="s">
        <v>19710</v>
      </c>
    </row>
    <row r="576" spans="6:8">
      <c r="F576" t="s">
        <v>10864</v>
      </c>
      <c r="G576" t="s">
        <v>15259</v>
      </c>
      <c r="H576" t="s">
        <v>19711</v>
      </c>
    </row>
    <row r="577" spans="6:8">
      <c r="F577" t="s">
        <v>10865</v>
      </c>
      <c r="G577" t="s">
        <v>15260</v>
      </c>
      <c r="H577" t="s">
        <v>19706</v>
      </c>
    </row>
    <row r="578" spans="6:8">
      <c r="F578" t="s">
        <v>10866</v>
      </c>
      <c r="G578" t="s">
        <v>15261</v>
      </c>
      <c r="H578" t="s">
        <v>19706</v>
      </c>
    </row>
    <row r="579" spans="6:8">
      <c r="F579" t="s">
        <v>10867</v>
      </c>
      <c r="G579" t="s">
        <v>15262</v>
      </c>
      <c r="H579" t="s">
        <v>19707</v>
      </c>
    </row>
    <row r="580" spans="6:8">
      <c r="F580" t="s">
        <v>10868</v>
      </c>
      <c r="G580" t="s">
        <v>15263</v>
      </c>
      <c r="H580" t="s">
        <v>19706</v>
      </c>
    </row>
    <row r="581" spans="6:8">
      <c r="F581" t="s">
        <v>10869</v>
      </c>
      <c r="G581" t="s">
        <v>15264</v>
      </c>
      <c r="H581" t="s">
        <v>19706</v>
      </c>
    </row>
    <row r="582" spans="6:8">
      <c r="F582" t="s">
        <v>10870</v>
      </c>
      <c r="G582" t="s">
        <v>15265</v>
      </c>
      <c r="H582" t="s">
        <v>19706</v>
      </c>
    </row>
    <row r="583" spans="6:8">
      <c r="F583" t="s">
        <v>10871</v>
      </c>
      <c r="G583" t="s">
        <v>15266</v>
      </c>
      <c r="H583" t="s">
        <v>19706</v>
      </c>
    </row>
    <row r="584" spans="6:8">
      <c r="F584" t="s">
        <v>10872</v>
      </c>
      <c r="G584" t="s">
        <v>15267</v>
      </c>
      <c r="H584" t="s">
        <v>19707</v>
      </c>
    </row>
    <row r="585" spans="6:8">
      <c r="F585" t="s">
        <v>10873</v>
      </c>
      <c r="G585" t="s">
        <v>15268</v>
      </c>
      <c r="H585" t="s">
        <v>19707</v>
      </c>
    </row>
    <row r="586" spans="6:8">
      <c r="F586" t="s">
        <v>10874</v>
      </c>
      <c r="G586" t="s">
        <v>15269</v>
      </c>
      <c r="H586" t="s">
        <v>19707</v>
      </c>
    </row>
    <row r="587" spans="6:8">
      <c r="F587" t="s">
        <v>10875</v>
      </c>
      <c r="G587" t="s">
        <v>15270</v>
      </c>
      <c r="H587" t="s">
        <v>19707</v>
      </c>
    </row>
    <row r="588" spans="6:8">
      <c r="F588" t="s">
        <v>10876</v>
      </c>
      <c r="G588" t="s">
        <v>15271</v>
      </c>
      <c r="H588" t="s">
        <v>19706</v>
      </c>
    </row>
    <row r="589" spans="6:8">
      <c r="F589" t="s">
        <v>10877</v>
      </c>
      <c r="G589" t="s">
        <v>15272</v>
      </c>
      <c r="H589" t="s">
        <v>19706</v>
      </c>
    </row>
    <row r="590" spans="6:8">
      <c r="F590" t="s">
        <v>10878</v>
      </c>
      <c r="G590" t="s">
        <v>15273</v>
      </c>
      <c r="H590" t="s">
        <v>19707</v>
      </c>
    </row>
    <row r="591" spans="6:8">
      <c r="F591" t="s">
        <v>10879</v>
      </c>
      <c r="G591" t="s">
        <v>15274</v>
      </c>
      <c r="H591" t="s">
        <v>19707</v>
      </c>
    </row>
    <row r="592" spans="6:8">
      <c r="F592" t="s">
        <v>10880</v>
      </c>
      <c r="G592" t="s">
        <v>15275</v>
      </c>
      <c r="H592" t="s">
        <v>19711</v>
      </c>
    </row>
    <row r="593" spans="6:8">
      <c r="F593" t="s">
        <v>10881</v>
      </c>
      <c r="G593" t="s">
        <v>15276</v>
      </c>
      <c r="H593" t="s">
        <v>19707</v>
      </c>
    </row>
    <row r="594" spans="6:8">
      <c r="F594" t="s">
        <v>10882</v>
      </c>
      <c r="G594" t="s">
        <v>15277</v>
      </c>
      <c r="H594" t="s">
        <v>19706</v>
      </c>
    </row>
    <row r="595" spans="6:8">
      <c r="F595" t="s">
        <v>10883</v>
      </c>
      <c r="G595" t="s">
        <v>15278</v>
      </c>
      <c r="H595" t="s">
        <v>19706</v>
      </c>
    </row>
    <row r="596" spans="6:8">
      <c r="F596" t="s">
        <v>10884</v>
      </c>
      <c r="G596" t="s">
        <v>15279</v>
      </c>
      <c r="H596" t="s">
        <v>19706</v>
      </c>
    </row>
    <row r="597" spans="6:8">
      <c r="F597" t="s">
        <v>10885</v>
      </c>
      <c r="G597" t="s">
        <v>15280</v>
      </c>
      <c r="H597" t="s">
        <v>19706</v>
      </c>
    </row>
    <row r="598" spans="6:8">
      <c r="F598" t="s">
        <v>10886</v>
      </c>
      <c r="G598" t="s">
        <v>15281</v>
      </c>
      <c r="H598" t="s">
        <v>19706</v>
      </c>
    </row>
    <row r="599" spans="6:8">
      <c r="F599" t="s">
        <v>10887</v>
      </c>
      <c r="G599" t="s">
        <v>15282</v>
      </c>
      <c r="H599" t="s">
        <v>19706</v>
      </c>
    </row>
    <row r="600" spans="6:8">
      <c r="F600" t="s">
        <v>10888</v>
      </c>
      <c r="G600" t="s">
        <v>15283</v>
      </c>
      <c r="H600" t="s">
        <v>19706</v>
      </c>
    </row>
    <row r="601" spans="6:8">
      <c r="F601" t="s">
        <v>10889</v>
      </c>
      <c r="G601" t="s">
        <v>15284</v>
      </c>
      <c r="H601" t="s">
        <v>19706</v>
      </c>
    </row>
    <row r="602" spans="6:8">
      <c r="F602" t="s">
        <v>10890</v>
      </c>
      <c r="G602" t="s">
        <v>15285</v>
      </c>
      <c r="H602" t="s">
        <v>19712</v>
      </c>
    </row>
    <row r="603" spans="6:8">
      <c r="F603" t="s">
        <v>10891</v>
      </c>
      <c r="G603" t="s">
        <v>15286</v>
      </c>
      <c r="H603" t="s">
        <v>19706</v>
      </c>
    </row>
    <row r="604" spans="6:8">
      <c r="F604" t="s">
        <v>10892</v>
      </c>
      <c r="G604" t="s">
        <v>15287</v>
      </c>
      <c r="H604" t="s">
        <v>19706</v>
      </c>
    </row>
    <row r="605" spans="6:8">
      <c r="F605" t="s">
        <v>10893</v>
      </c>
      <c r="G605" t="s">
        <v>15288</v>
      </c>
      <c r="H605" t="s">
        <v>19706</v>
      </c>
    </row>
    <row r="606" spans="6:8">
      <c r="F606" t="s">
        <v>10894</v>
      </c>
      <c r="G606" t="s">
        <v>15289</v>
      </c>
      <c r="H606" t="s">
        <v>19706</v>
      </c>
    </row>
    <row r="607" spans="6:8">
      <c r="F607" t="s">
        <v>10895</v>
      </c>
      <c r="G607" t="s">
        <v>15290</v>
      </c>
      <c r="H607" t="s">
        <v>19708</v>
      </c>
    </row>
    <row r="608" spans="6:8">
      <c r="F608" t="s">
        <v>10896</v>
      </c>
      <c r="G608" t="s">
        <v>15291</v>
      </c>
      <c r="H608" t="s">
        <v>19708</v>
      </c>
    </row>
    <row r="609" spans="6:8">
      <c r="F609" t="s">
        <v>10897</v>
      </c>
      <c r="G609" t="s">
        <v>15292</v>
      </c>
      <c r="H609" t="s">
        <v>19708</v>
      </c>
    </row>
    <row r="610" spans="6:8">
      <c r="F610" t="s">
        <v>10898</v>
      </c>
      <c r="G610" t="s">
        <v>15293</v>
      </c>
      <c r="H610" t="s">
        <v>19708</v>
      </c>
    </row>
    <row r="611" spans="6:8">
      <c r="F611" t="s">
        <v>10899</v>
      </c>
      <c r="G611" t="s">
        <v>15294</v>
      </c>
      <c r="H611" t="s">
        <v>19708</v>
      </c>
    </row>
    <row r="612" spans="6:8">
      <c r="F612" t="s">
        <v>10900</v>
      </c>
      <c r="G612" t="s">
        <v>15295</v>
      </c>
      <c r="H612" t="s">
        <v>19708</v>
      </c>
    </row>
    <row r="613" spans="6:8">
      <c r="F613" t="s">
        <v>10901</v>
      </c>
      <c r="G613" t="s">
        <v>15296</v>
      </c>
      <c r="H613" t="s">
        <v>19709</v>
      </c>
    </row>
    <row r="614" spans="6:8">
      <c r="F614" t="s">
        <v>10902</v>
      </c>
      <c r="G614" t="s">
        <v>15297</v>
      </c>
      <c r="H614" t="s">
        <v>19709</v>
      </c>
    </row>
    <row r="615" spans="6:8">
      <c r="F615" t="s">
        <v>10903</v>
      </c>
      <c r="G615" t="s">
        <v>15298</v>
      </c>
      <c r="H615" t="s">
        <v>19711</v>
      </c>
    </row>
    <row r="616" spans="6:8">
      <c r="F616" t="s">
        <v>10904</v>
      </c>
      <c r="G616" t="s">
        <v>15299</v>
      </c>
      <c r="H616" t="s">
        <v>19711</v>
      </c>
    </row>
    <row r="617" spans="6:8">
      <c r="F617" t="s">
        <v>10905</v>
      </c>
      <c r="G617" t="s">
        <v>15300</v>
      </c>
      <c r="H617" t="s">
        <v>19711</v>
      </c>
    </row>
    <row r="618" spans="6:8">
      <c r="F618" t="s">
        <v>10906</v>
      </c>
      <c r="G618" t="s">
        <v>15301</v>
      </c>
      <c r="H618" t="s">
        <v>19711</v>
      </c>
    </row>
    <row r="619" spans="6:8">
      <c r="F619" t="s">
        <v>10907</v>
      </c>
      <c r="G619" t="s">
        <v>15302</v>
      </c>
      <c r="H619" t="s">
        <v>19711</v>
      </c>
    </row>
    <row r="620" spans="6:8">
      <c r="F620" t="s">
        <v>10908</v>
      </c>
      <c r="G620" t="s">
        <v>15303</v>
      </c>
      <c r="H620" t="s">
        <v>19711</v>
      </c>
    </row>
    <row r="621" spans="6:8">
      <c r="F621" t="s">
        <v>10909</v>
      </c>
      <c r="G621" t="s">
        <v>15304</v>
      </c>
      <c r="H621" t="s">
        <v>19711</v>
      </c>
    </row>
    <row r="622" spans="6:8">
      <c r="F622" t="s">
        <v>10910</v>
      </c>
      <c r="G622" t="s">
        <v>15305</v>
      </c>
      <c r="H622" t="s">
        <v>19711</v>
      </c>
    </row>
    <row r="623" spans="6:8">
      <c r="F623" t="s">
        <v>10911</v>
      </c>
      <c r="G623" t="s">
        <v>15306</v>
      </c>
      <c r="H623" t="s">
        <v>19711</v>
      </c>
    </row>
    <row r="624" spans="6:8">
      <c r="F624" t="s">
        <v>10912</v>
      </c>
      <c r="G624" t="s">
        <v>15307</v>
      </c>
      <c r="H624" t="s">
        <v>19711</v>
      </c>
    </row>
    <row r="625" spans="6:8">
      <c r="F625" t="s">
        <v>10913</v>
      </c>
      <c r="G625" t="s">
        <v>15308</v>
      </c>
      <c r="H625" t="s">
        <v>19712</v>
      </c>
    </row>
    <row r="626" spans="6:8">
      <c r="F626" t="s">
        <v>10914</v>
      </c>
      <c r="G626" t="s">
        <v>15309</v>
      </c>
      <c r="H626" t="s">
        <v>19711</v>
      </c>
    </row>
    <row r="627" spans="6:8">
      <c r="F627" t="s">
        <v>10915</v>
      </c>
      <c r="G627" t="s">
        <v>15310</v>
      </c>
      <c r="H627" t="s">
        <v>19706</v>
      </c>
    </row>
    <row r="628" spans="6:8">
      <c r="F628" t="s">
        <v>10916</v>
      </c>
      <c r="G628" t="s">
        <v>15311</v>
      </c>
      <c r="H628" t="s">
        <v>19706</v>
      </c>
    </row>
    <row r="629" spans="6:8">
      <c r="F629" t="s">
        <v>10917</v>
      </c>
      <c r="G629" t="s">
        <v>15312</v>
      </c>
      <c r="H629" t="s">
        <v>19706</v>
      </c>
    </row>
    <row r="630" spans="6:8">
      <c r="F630" t="s">
        <v>10918</v>
      </c>
      <c r="G630" t="s">
        <v>15313</v>
      </c>
      <c r="H630" t="s">
        <v>19706</v>
      </c>
    </row>
    <row r="631" spans="6:8">
      <c r="F631" t="s">
        <v>10919</v>
      </c>
      <c r="G631" t="s">
        <v>15314</v>
      </c>
      <c r="H631" t="s">
        <v>19707</v>
      </c>
    </row>
    <row r="632" spans="6:8">
      <c r="F632" t="s">
        <v>10920</v>
      </c>
      <c r="G632" t="s">
        <v>15315</v>
      </c>
      <c r="H632" t="s">
        <v>19707</v>
      </c>
    </row>
    <row r="633" spans="6:8">
      <c r="F633" t="s">
        <v>10921</v>
      </c>
      <c r="G633" t="s">
        <v>15316</v>
      </c>
      <c r="H633" t="s">
        <v>19706</v>
      </c>
    </row>
    <row r="634" spans="6:8">
      <c r="F634" t="s">
        <v>10922</v>
      </c>
      <c r="G634" t="s">
        <v>15317</v>
      </c>
      <c r="H634" t="s">
        <v>19706</v>
      </c>
    </row>
    <row r="635" spans="6:8">
      <c r="F635" t="s">
        <v>10923</v>
      </c>
      <c r="G635" t="s">
        <v>15318</v>
      </c>
      <c r="H635" t="s">
        <v>19711</v>
      </c>
    </row>
    <row r="636" spans="6:8">
      <c r="F636" t="s">
        <v>10924</v>
      </c>
      <c r="G636" t="s">
        <v>15319</v>
      </c>
      <c r="H636" t="s">
        <v>19711</v>
      </c>
    </row>
    <row r="637" spans="6:8">
      <c r="F637" t="s">
        <v>10925</v>
      </c>
      <c r="G637" t="s">
        <v>15320</v>
      </c>
      <c r="H637" t="s">
        <v>19711</v>
      </c>
    </row>
    <row r="638" spans="6:8">
      <c r="F638" t="s">
        <v>10926</v>
      </c>
      <c r="G638" t="s">
        <v>15321</v>
      </c>
      <c r="H638" t="s">
        <v>19708</v>
      </c>
    </row>
    <row r="639" spans="6:8">
      <c r="F639" t="s">
        <v>10927</v>
      </c>
      <c r="G639" t="s">
        <v>15322</v>
      </c>
      <c r="H639" t="s">
        <v>19708</v>
      </c>
    </row>
    <row r="640" spans="6:8">
      <c r="F640" t="s">
        <v>10928</v>
      </c>
      <c r="G640" t="s">
        <v>15323</v>
      </c>
      <c r="H640" t="s">
        <v>19706</v>
      </c>
    </row>
    <row r="641" spans="1:8">
      <c r="F641" t="s">
        <v>10929</v>
      </c>
      <c r="G641" t="s">
        <v>15324</v>
      </c>
      <c r="H641" t="s">
        <v>19706</v>
      </c>
    </row>
    <row r="642" spans="1:8">
      <c r="F642" t="s">
        <v>10930</v>
      </c>
      <c r="G642" t="s">
        <v>15325</v>
      </c>
      <c r="H642" t="s">
        <v>19709</v>
      </c>
    </row>
    <row r="643" spans="1:8">
      <c r="F643" t="s">
        <v>10931</v>
      </c>
      <c r="G643" t="s">
        <v>15326</v>
      </c>
      <c r="H643" t="s">
        <v>19709</v>
      </c>
    </row>
    <row r="644" spans="1:8">
      <c r="F644" t="s">
        <v>10932</v>
      </c>
      <c r="G644" t="s">
        <v>15327</v>
      </c>
      <c r="H644" t="s">
        <v>19706</v>
      </c>
    </row>
    <row r="645" spans="1:8">
      <c r="F645" t="s">
        <v>10933</v>
      </c>
      <c r="G645" t="s">
        <v>15328</v>
      </c>
      <c r="H645" t="s">
        <v>19706</v>
      </c>
    </row>
    <row r="646" spans="1:8">
      <c r="A646" t="s">
        <v>270</v>
      </c>
      <c r="B646">
        <f>HYPERLINK("https://android.googlesource.com/platform/cts/+/56f494ed9757c19bf9db6c608d66f9202b63a4ac", "56f494ed9757c19bf9db6c608d66f9202b63a4ac")</f>
        <v>0</v>
      </c>
      <c r="C646">
        <f>HYPERLINK("https://android.googlesource.com/platform/cts/+/4fda9ca3a281ea399282a3fb080c77dbdbb723bd", "4fda9ca3a281ea399282a3fb080c77dbdbb723bd")</f>
        <v>0</v>
      </c>
      <c r="D646" t="s">
        <v>4966</v>
      </c>
      <c r="E646" t="s">
        <v>6067</v>
      </c>
      <c r="F646" t="s">
        <v>10847</v>
      </c>
      <c r="G646" t="s">
        <v>15242</v>
      </c>
      <c r="H646" t="s">
        <v>19713</v>
      </c>
    </row>
    <row r="647" spans="1:8">
      <c r="H647" t="s">
        <v>19714</v>
      </c>
    </row>
    <row r="648" spans="1:8">
      <c r="A648" t="s">
        <v>271</v>
      </c>
      <c r="B648">
        <f>HYPERLINK("https://android.googlesource.com/platform/cts/+/40fbbf16e3e741950e337bcb3435de670dbe502d", "40fbbf16e3e741950e337bcb3435de670dbe502d")</f>
        <v>0</v>
      </c>
      <c r="C648">
        <f>HYPERLINK("https://android.googlesource.com/platform/cts/+/4081e7b9b8e3a522e1f5e99b7622b3afa3df083f", "4081e7b9b8e3a522e1f5e99b7622b3afa3df083f")</f>
        <v>0</v>
      </c>
      <c r="D648" t="s">
        <v>4967</v>
      </c>
      <c r="E648" t="s">
        <v>6068</v>
      </c>
      <c r="F648" t="s">
        <v>10679</v>
      </c>
      <c r="G648" t="s">
        <v>15079</v>
      </c>
      <c r="H648" t="s">
        <v>19715</v>
      </c>
    </row>
    <row r="649" spans="1:8">
      <c r="H649" t="s">
        <v>19716</v>
      </c>
    </row>
    <row r="650" spans="1:8">
      <c r="A650" t="s">
        <v>273</v>
      </c>
      <c r="B650">
        <f>HYPERLINK("https://android.googlesource.com/platform/cts/+/cf4b7436f9264b918abd49415de1c4eceb298bb3", "cf4b7436f9264b918abd49415de1c4eceb298bb3")</f>
        <v>0</v>
      </c>
      <c r="C650">
        <f>HYPERLINK("https://android.googlesource.com/platform/cts/+/5f5688987fe6049a7ac116fa588bbe8cd00c7858", "5f5688987fe6049a7ac116fa588bbe8cd00c7858")</f>
        <v>0</v>
      </c>
      <c r="D650" t="s">
        <v>4941</v>
      </c>
      <c r="E650" t="s">
        <v>6070</v>
      </c>
      <c r="F650" t="s">
        <v>10593</v>
      </c>
      <c r="G650" t="s">
        <v>14996</v>
      </c>
      <c r="H650" t="s">
        <v>19718</v>
      </c>
    </row>
    <row r="651" spans="1:8">
      <c r="A651" t="s">
        <v>274</v>
      </c>
      <c r="B651">
        <f>HYPERLINK("https://android.googlesource.com/platform/cts/+/fcfd502de1270c2d5565b386799240d9b68c2df5", "fcfd502de1270c2d5565b386799240d9b68c2df5")</f>
        <v>0</v>
      </c>
      <c r="C651">
        <f>HYPERLINK("https://android.googlesource.com/platform/cts/+/2c483d9492ac6014faea10f14b2f2743c081b75d", "2c483d9492ac6014faea10f14b2f2743c081b75d")</f>
        <v>0</v>
      </c>
      <c r="D651" t="s">
        <v>4967</v>
      </c>
      <c r="E651" t="s">
        <v>6071</v>
      </c>
      <c r="F651" t="s">
        <v>10678</v>
      </c>
      <c r="G651" t="s">
        <v>15078</v>
      </c>
      <c r="H651" t="s">
        <v>19719</v>
      </c>
    </row>
    <row r="652" spans="1:8">
      <c r="A652" t="s">
        <v>275</v>
      </c>
      <c r="B652">
        <f>HYPERLINK("https://android.googlesource.com/platform/cts/+/18dae332020a4123392230cac2ea609d4a895a01", "18dae332020a4123392230cac2ea609d4a895a01")</f>
        <v>0</v>
      </c>
      <c r="C652">
        <f>HYPERLINK("https://android.googlesource.com/platform/cts/+/33a1e5c6c64d246d27f4a8166586c7b846ad6784", "33a1e5c6c64d246d27f4a8166586c7b846ad6784")</f>
        <v>0</v>
      </c>
      <c r="D652" t="s">
        <v>4941</v>
      </c>
      <c r="E652" t="s">
        <v>6072</v>
      </c>
      <c r="F652" t="s">
        <v>10934</v>
      </c>
      <c r="G652" t="s">
        <v>15329</v>
      </c>
      <c r="H652" t="s">
        <v>19723</v>
      </c>
    </row>
    <row r="653" spans="1:8">
      <c r="A653" t="s">
        <v>285</v>
      </c>
      <c r="B653">
        <f>HYPERLINK("https://android.googlesource.com/platform/cts/+/358dc567fdf3b1d623659980f83c8085b702dc13", "358dc567fdf3b1d623659980f83c8085b702dc13")</f>
        <v>0</v>
      </c>
      <c r="C653">
        <f>HYPERLINK("https://android.googlesource.com/platform/cts/+/64011e7a0c6eb6945db3730652db792978ebfda0", "64011e7a0c6eb6945db3730652db792978ebfda0")</f>
        <v>0</v>
      </c>
      <c r="D653" t="s">
        <v>4932</v>
      </c>
      <c r="E653" t="s">
        <v>6081</v>
      </c>
      <c r="F653" t="s">
        <v>10748</v>
      </c>
      <c r="G653" t="s">
        <v>15146</v>
      </c>
      <c r="H653" t="s">
        <v>19758</v>
      </c>
    </row>
    <row r="654" spans="1:8">
      <c r="H654" t="s">
        <v>19759</v>
      </c>
    </row>
    <row r="655" spans="1:8">
      <c r="A655" t="s">
        <v>287</v>
      </c>
      <c r="B655">
        <f>HYPERLINK("https://android.googlesource.com/platform/cts/+/0953b3b17e715550651689f5256aaa60663812dc", "0953b3b17e715550651689f5256aaa60663812dc")</f>
        <v>0</v>
      </c>
      <c r="C655">
        <f>HYPERLINK("https://android.googlesource.com/platform/cts/+/8e88654143c3c8dacea2676d7cf8398b024aa136", "8e88654143c3c8dacea2676d7cf8398b024aa136")</f>
        <v>0</v>
      </c>
      <c r="D655" t="s">
        <v>4932</v>
      </c>
      <c r="E655" t="s">
        <v>6083</v>
      </c>
      <c r="F655" t="s">
        <v>10748</v>
      </c>
      <c r="G655" t="s">
        <v>15146</v>
      </c>
      <c r="H655" t="s">
        <v>19758</v>
      </c>
    </row>
    <row r="656" spans="1:8">
      <c r="H656" t="s">
        <v>19759</v>
      </c>
    </row>
    <row r="657" spans="1:8">
      <c r="A657" t="s">
        <v>292</v>
      </c>
      <c r="B657">
        <f>HYPERLINK("https://android.googlesource.com/platform/cts/+/e7cc8fd94d5bc32f5f70aa71aa8792376fd90b1f", "e7cc8fd94d5bc32f5f70aa71aa8792376fd90b1f")</f>
        <v>0</v>
      </c>
      <c r="C657">
        <f>HYPERLINK("https://android.googlesource.com/platform/cts/+/3e5a7ea50aa94819ca8defb2b6e7b4b78d94af2b", "3e5a7ea50aa94819ca8defb2b6e7b4b78d94af2b")</f>
        <v>0</v>
      </c>
      <c r="D657" t="s">
        <v>4941</v>
      </c>
      <c r="E657" t="s">
        <v>6088</v>
      </c>
      <c r="F657" t="s">
        <v>10956</v>
      </c>
      <c r="G657" t="s">
        <v>15348</v>
      </c>
      <c r="H657" t="s">
        <v>20045</v>
      </c>
    </row>
    <row r="658" spans="1:8">
      <c r="H658" t="s">
        <v>20046</v>
      </c>
    </row>
    <row r="659" spans="1:8">
      <c r="H659" t="s">
        <v>20047</v>
      </c>
    </row>
    <row r="660" spans="1:8">
      <c r="H660" t="s">
        <v>20048</v>
      </c>
    </row>
    <row r="661" spans="1:8">
      <c r="H661" t="s">
        <v>20049</v>
      </c>
    </row>
    <row r="662" spans="1:8">
      <c r="H662" t="s">
        <v>20050</v>
      </c>
    </row>
    <row r="663" spans="1:8">
      <c r="H663" t="s">
        <v>20051</v>
      </c>
    </row>
    <row r="664" spans="1:8">
      <c r="H664" t="s">
        <v>20052</v>
      </c>
    </row>
    <row r="665" spans="1:8">
      <c r="H665" t="s">
        <v>20053</v>
      </c>
    </row>
    <row r="666" spans="1:8">
      <c r="H666" t="s">
        <v>20054</v>
      </c>
    </row>
    <row r="667" spans="1:8">
      <c r="H667" t="s">
        <v>20055</v>
      </c>
    </row>
    <row r="668" spans="1:8">
      <c r="H668" t="s">
        <v>20056</v>
      </c>
    </row>
    <row r="669" spans="1:8">
      <c r="H669" t="s">
        <v>20057</v>
      </c>
    </row>
    <row r="670" spans="1:8">
      <c r="H670" t="s">
        <v>20058</v>
      </c>
    </row>
    <row r="671" spans="1:8">
      <c r="F671" t="s">
        <v>10957</v>
      </c>
      <c r="G671" t="s">
        <v>15349</v>
      </c>
      <c r="H671" t="s">
        <v>20059</v>
      </c>
    </row>
    <row r="672" spans="1:8">
      <c r="H672" t="s">
        <v>20060</v>
      </c>
    </row>
    <row r="673" spans="6:8">
      <c r="H673" t="s">
        <v>20061</v>
      </c>
    </row>
    <row r="674" spans="6:8">
      <c r="F674" t="s">
        <v>10958</v>
      </c>
      <c r="G674" t="s">
        <v>15350</v>
      </c>
      <c r="H674" t="s">
        <v>20062</v>
      </c>
    </row>
    <row r="675" spans="6:8">
      <c r="H675" t="s">
        <v>20063</v>
      </c>
    </row>
    <row r="676" spans="6:8">
      <c r="H676" t="s">
        <v>20064</v>
      </c>
    </row>
    <row r="677" spans="6:8">
      <c r="H677" t="s">
        <v>20065</v>
      </c>
    </row>
    <row r="678" spans="6:8">
      <c r="H678" t="s">
        <v>20066</v>
      </c>
    </row>
    <row r="679" spans="6:8">
      <c r="H679" t="s">
        <v>20067</v>
      </c>
    </row>
    <row r="680" spans="6:8">
      <c r="H680" t="s">
        <v>20068</v>
      </c>
    </row>
    <row r="681" spans="6:8">
      <c r="H681" t="s">
        <v>20069</v>
      </c>
    </row>
    <row r="682" spans="6:8">
      <c r="H682" t="s">
        <v>20070</v>
      </c>
    </row>
    <row r="683" spans="6:8">
      <c r="H683" t="s">
        <v>20071</v>
      </c>
    </row>
    <row r="684" spans="6:8">
      <c r="H684" t="s">
        <v>20072</v>
      </c>
    </row>
    <row r="685" spans="6:8">
      <c r="H685" t="s">
        <v>20073</v>
      </c>
    </row>
    <row r="686" spans="6:8">
      <c r="H686" t="s">
        <v>20074</v>
      </c>
    </row>
    <row r="687" spans="6:8">
      <c r="H687" t="s">
        <v>20075</v>
      </c>
    </row>
    <row r="688" spans="6:8">
      <c r="H688" t="s">
        <v>20076</v>
      </c>
    </row>
    <row r="689" spans="1:8">
      <c r="H689" t="s">
        <v>20077</v>
      </c>
    </row>
    <row r="690" spans="1:8">
      <c r="H690" t="s">
        <v>20078</v>
      </c>
    </row>
    <row r="691" spans="1:8">
      <c r="H691" t="s">
        <v>20079</v>
      </c>
    </row>
    <row r="692" spans="1:8">
      <c r="H692" t="s">
        <v>20080</v>
      </c>
    </row>
    <row r="693" spans="1:8">
      <c r="F693" t="s">
        <v>10959</v>
      </c>
      <c r="G693" t="s">
        <v>15351</v>
      </c>
      <c r="H693" t="s">
        <v>20081</v>
      </c>
    </row>
    <row r="694" spans="1:8">
      <c r="A694" t="s">
        <v>294</v>
      </c>
      <c r="B694">
        <f>HYPERLINK("https://android.googlesource.com/platform/cts/+/98b49198af2b7180b34d17378c0cee20a4f1ccaf", "98b49198af2b7180b34d17378c0cee20a4f1ccaf")</f>
        <v>0</v>
      </c>
      <c r="C694">
        <f>HYPERLINK("https://android.googlesource.com/platform/cts/+/36d4da20ca84a24d2d655b6b49bcca5ca973b73c", "36d4da20ca84a24d2d655b6b49bcca5ca973b73c")</f>
        <v>0</v>
      </c>
      <c r="D694" t="s">
        <v>4941</v>
      </c>
      <c r="E694" t="s">
        <v>6090</v>
      </c>
      <c r="F694" t="s">
        <v>10790</v>
      </c>
      <c r="G694" t="s">
        <v>15186</v>
      </c>
      <c r="H694" t="s">
        <v>20089</v>
      </c>
    </row>
    <row r="695" spans="1:8">
      <c r="A695" t="s">
        <v>295</v>
      </c>
      <c r="B695">
        <f>HYPERLINK("https://android.googlesource.com/platform/cts/+/9ba909f8ab7f3abd082bfdf7ffcdeba930ed1b9a", "9ba909f8ab7f3abd082bfdf7ffcdeba930ed1b9a")</f>
        <v>0</v>
      </c>
      <c r="C695">
        <f>HYPERLINK("https://android.googlesource.com/platform/cts/+/36d4da20ca84a24d2d655b6b49bcca5ca973b73c", "36d4da20ca84a24d2d655b6b49bcca5ca973b73c")</f>
        <v>0</v>
      </c>
      <c r="D695" t="s">
        <v>4941</v>
      </c>
      <c r="E695" t="s">
        <v>6091</v>
      </c>
      <c r="F695" t="s">
        <v>10963</v>
      </c>
      <c r="G695" t="s">
        <v>15354</v>
      </c>
      <c r="H695" t="s">
        <v>20091</v>
      </c>
    </row>
    <row r="696" spans="1:8">
      <c r="H696" t="s">
        <v>19712</v>
      </c>
    </row>
    <row r="697" spans="1:8">
      <c r="H697" t="s">
        <v>19709</v>
      </c>
    </row>
    <row r="698" spans="1:8">
      <c r="H698" t="s">
        <v>19706</v>
      </c>
    </row>
    <row r="699" spans="1:8">
      <c r="F699" t="s">
        <v>10964</v>
      </c>
      <c r="G699" t="s">
        <v>15355</v>
      </c>
      <c r="H699" t="s">
        <v>20091</v>
      </c>
    </row>
    <row r="700" spans="1:8">
      <c r="H700" t="s">
        <v>19712</v>
      </c>
    </row>
    <row r="701" spans="1:8">
      <c r="H701" t="s">
        <v>20092</v>
      </c>
    </row>
    <row r="702" spans="1:8">
      <c r="H702" t="s">
        <v>20093</v>
      </c>
    </row>
    <row r="703" spans="1:8">
      <c r="H703" t="s">
        <v>20094</v>
      </c>
    </row>
    <row r="704" spans="1:8">
      <c r="H704" t="s">
        <v>20095</v>
      </c>
    </row>
    <row r="705" spans="6:8">
      <c r="H705" t="s">
        <v>20096</v>
      </c>
    </row>
    <row r="706" spans="6:8">
      <c r="H706" t="s">
        <v>20097</v>
      </c>
    </row>
    <row r="707" spans="6:8">
      <c r="H707" t="s">
        <v>20098</v>
      </c>
    </row>
    <row r="708" spans="6:8">
      <c r="H708" t="s">
        <v>20099</v>
      </c>
    </row>
    <row r="709" spans="6:8">
      <c r="H709" t="s">
        <v>20100</v>
      </c>
    </row>
    <row r="710" spans="6:8">
      <c r="H710" t="s">
        <v>20101</v>
      </c>
    </row>
    <row r="711" spans="6:8">
      <c r="H711" t="s">
        <v>20102</v>
      </c>
    </row>
    <row r="712" spans="6:8">
      <c r="F712" t="s">
        <v>10965</v>
      </c>
      <c r="G712" t="s">
        <v>15356</v>
      </c>
      <c r="H712" t="s">
        <v>20091</v>
      </c>
    </row>
    <row r="713" spans="6:8">
      <c r="H713" t="s">
        <v>19712</v>
      </c>
    </row>
    <row r="714" spans="6:8">
      <c r="H714" t="s">
        <v>19709</v>
      </c>
    </row>
    <row r="715" spans="6:8">
      <c r="H715" t="s">
        <v>19706</v>
      </c>
    </row>
    <row r="716" spans="6:8">
      <c r="H716" t="s">
        <v>20092</v>
      </c>
    </row>
    <row r="717" spans="6:8">
      <c r="H717" t="s">
        <v>20093</v>
      </c>
    </row>
    <row r="718" spans="6:8">
      <c r="H718" t="s">
        <v>20094</v>
      </c>
    </row>
    <row r="719" spans="6:8">
      <c r="H719" t="s">
        <v>20103</v>
      </c>
    </row>
    <row r="720" spans="6:8">
      <c r="H720" t="s">
        <v>20095</v>
      </c>
    </row>
    <row r="721" spans="6:8">
      <c r="H721" t="s">
        <v>20096</v>
      </c>
    </row>
    <row r="722" spans="6:8">
      <c r="H722" t="s">
        <v>20097</v>
      </c>
    </row>
    <row r="723" spans="6:8">
      <c r="H723" t="s">
        <v>20098</v>
      </c>
    </row>
    <row r="724" spans="6:8">
      <c r="H724" t="s">
        <v>20099</v>
      </c>
    </row>
    <row r="725" spans="6:8">
      <c r="H725" t="s">
        <v>20100</v>
      </c>
    </row>
    <row r="726" spans="6:8">
      <c r="H726" t="s">
        <v>20101</v>
      </c>
    </row>
    <row r="727" spans="6:8">
      <c r="H727" t="s">
        <v>20102</v>
      </c>
    </row>
    <row r="728" spans="6:8">
      <c r="F728" t="s">
        <v>10966</v>
      </c>
      <c r="G728" t="s">
        <v>15357</v>
      </c>
      <c r="H728" t="s">
        <v>20091</v>
      </c>
    </row>
    <row r="729" spans="6:8">
      <c r="H729" t="s">
        <v>20095</v>
      </c>
    </row>
    <row r="730" spans="6:8">
      <c r="F730" t="s">
        <v>10967</v>
      </c>
      <c r="G730" t="s">
        <v>15358</v>
      </c>
      <c r="H730" t="s">
        <v>20091</v>
      </c>
    </row>
    <row r="731" spans="6:8">
      <c r="H731" t="s">
        <v>19712</v>
      </c>
    </row>
    <row r="732" spans="6:8">
      <c r="H732" t="s">
        <v>20095</v>
      </c>
    </row>
    <row r="733" spans="6:8">
      <c r="H733" t="s">
        <v>20096</v>
      </c>
    </row>
    <row r="734" spans="6:8">
      <c r="H734" t="s">
        <v>20097</v>
      </c>
    </row>
    <row r="735" spans="6:8">
      <c r="H735" t="s">
        <v>20098</v>
      </c>
    </row>
    <row r="736" spans="6:8">
      <c r="H736" t="s">
        <v>20099</v>
      </c>
    </row>
    <row r="737" spans="6:8">
      <c r="H737" t="s">
        <v>19709</v>
      </c>
    </row>
    <row r="738" spans="6:8">
      <c r="H738" t="s">
        <v>19706</v>
      </c>
    </row>
    <row r="739" spans="6:8">
      <c r="H739" t="s">
        <v>20100</v>
      </c>
    </row>
    <row r="740" spans="6:8">
      <c r="H740" t="s">
        <v>20101</v>
      </c>
    </row>
    <row r="741" spans="6:8">
      <c r="H741" t="s">
        <v>20102</v>
      </c>
    </row>
    <row r="742" spans="6:8">
      <c r="H742" t="s">
        <v>20104</v>
      </c>
    </row>
    <row r="743" spans="6:8">
      <c r="H743" t="s">
        <v>20105</v>
      </c>
    </row>
    <row r="744" spans="6:8">
      <c r="F744" t="s">
        <v>10968</v>
      </c>
      <c r="G744" t="s">
        <v>15359</v>
      </c>
      <c r="H744" t="s">
        <v>20091</v>
      </c>
    </row>
    <row r="745" spans="6:8">
      <c r="H745" t="s">
        <v>19712</v>
      </c>
    </row>
    <row r="746" spans="6:8">
      <c r="H746" t="s">
        <v>20095</v>
      </c>
    </row>
    <row r="747" spans="6:8">
      <c r="H747" t="s">
        <v>20096</v>
      </c>
    </row>
    <row r="748" spans="6:8">
      <c r="H748" t="s">
        <v>20097</v>
      </c>
    </row>
    <row r="749" spans="6:8">
      <c r="H749" t="s">
        <v>20098</v>
      </c>
    </row>
    <row r="750" spans="6:8">
      <c r="H750" t="s">
        <v>20099</v>
      </c>
    </row>
    <row r="751" spans="6:8">
      <c r="H751" t="s">
        <v>20100</v>
      </c>
    </row>
    <row r="752" spans="6:8">
      <c r="F752" t="s">
        <v>10969</v>
      </c>
      <c r="G752" t="s">
        <v>15360</v>
      </c>
      <c r="H752" t="s">
        <v>20091</v>
      </c>
    </row>
    <row r="753" spans="6:8">
      <c r="H753" t="s">
        <v>19712</v>
      </c>
    </row>
    <row r="754" spans="6:8">
      <c r="H754" t="s">
        <v>20095</v>
      </c>
    </row>
    <row r="755" spans="6:8">
      <c r="H755" t="s">
        <v>20096</v>
      </c>
    </row>
    <row r="756" spans="6:8">
      <c r="H756" t="s">
        <v>20097</v>
      </c>
    </row>
    <row r="757" spans="6:8">
      <c r="H757" t="s">
        <v>20098</v>
      </c>
    </row>
    <row r="758" spans="6:8">
      <c r="H758" t="s">
        <v>20099</v>
      </c>
    </row>
    <row r="759" spans="6:8">
      <c r="H759" t="s">
        <v>20100</v>
      </c>
    </row>
    <row r="760" spans="6:8">
      <c r="F760" t="s">
        <v>10970</v>
      </c>
      <c r="G760" t="s">
        <v>15361</v>
      </c>
      <c r="H760" t="s">
        <v>20091</v>
      </c>
    </row>
    <row r="761" spans="6:8">
      <c r="H761" t="s">
        <v>19712</v>
      </c>
    </row>
    <row r="762" spans="6:8">
      <c r="H762" t="s">
        <v>20095</v>
      </c>
    </row>
    <row r="763" spans="6:8">
      <c r="H763" t="s">
        <v>20096</v>
      </c>
    </row>
    <row r="764" spans="6:8">
      <c r="H764" t="s">
        <v>20097</v>
      </c>
    </row>
    <row r="765" spans="6:8">
      <c r="H765" t="s">
        <v>20098</v>
      </c>
    </row>
    <row r="766" spans="6:8">
      <c r="H766" t="s">
        <v>20099</v>
      </c>
    </row>
    <row r="767" spans="6:8">
      <c r="H767" t="s">
        <v>20100</v>
      </c>
    </row>
    <row r="768" spans="6:8">
      <c r="F768" t="s">
        <v>10971</v>
      </c>
      <c r="G768" t="s">
        <v>15362</v>
      </c>
      <c r="H768" t="s">
        <v>20091</v>
      </c>
    </row>
    <row r="769" spans="6:8">
      <c r="H769" t="s">
        <v>19712</v>
      </c>
    </row>
    <row r="770" spans="6:8">
      <c r="H770" t="s">
        <v>20095</v>
      </c>
    </row>
    <row r="771" spans="6:8">
      <c r="H771" t="s">
        <v>20096</v>
      </c>
    </row>
    <row r="772" spans="6:8">
      <c r="H772" t="s">
        <v>20097</v>
      </c>
    </row>
    <row r="773" spans="6:8">
      <c r="H773" t="s">
        <v>20098</v>
      </c>
    </row>
    <row r="774" spans="6:8">
      <c r="H774" t="s">
        <v>20099</v>
      </c>
    </row>
    <row r="775" spans="6:8">
      <c r="H775" t="s">
        <v>20100</v>
      </c>
    </row>
    <row r="776" spans="6:8">
      <c r="F776" t="s">
        <v>10972</v>
      </c>
      <c r="G776" t="s">
        <v>15363</v>
      </c>
      <c r="H776" t="s">
        <v>20091</v>
      </c>
    </row>
    <row r="777" spans="6:8">
      <c r="H777" t="s">
        <v>19712</v>
      </c>
    </row>
    <row r="778" spans="6:8">
      <c r="H778" t="s">
        <v>19709</v>
      </c>
    </row>
    <row r="779" spans="6:8">
      <c r="H779" t="s">
        <v>20092</v>
      </c>
    </row>
    <row r="780" spans="6:8">
      <c r="H780" t="s">
        <v>20093</v>
      </c>
    </row>
    <row r="781" spans="6:8">
      <c r="H781" t="s">
        <v>20094</v>
      </c>
    </row>
    <row r="782" spans="6:8">
      <c r="H782" t="s">
        <v>20103</v>
      </c>
    </row>
    <row r="783" spans="6:8">
      <c r="H783" t="s">
        <v>20095</v>
      </c>
    </row>
    <row r="784" spans="6:8">
      <c r="H784" t="s">
        <v>20096</v>
      </c>
    </row>
    <row r="785" spans="6:8">
      <c r="H785" t="s">
        <v>20097</v>
      </c>
    </row>
    <row r="786" spans="6:8">
      <c r="H786" t="s">
        <v>20098</v>
      </c>
    </row>
    <row r="787" spans="6:8">
      <c r="H787" t="s">
        <v>20099</v>
      </c>
    </row>
    <row r="788" spans="6:8">
      <c r="H788" t="s">
        <v>20100</v>
      </c>
    </row>
    <row r="789" spans="6:8">
      <c r="F789" t="s">
        <v>10973</v>
      </c>
      <c r="G789" t="s">
        <v>15364</v>
      </c>
      <c r="H789" t="s">
        <v>20091</v>
      </c>
    </row>
    <row r="790" spans="6:8">
      <c r="H790" t="s">
        <v>19712</v>
      </c>
    </row>
    <row r="791" spans="6:8">
      <c r="H791" t="s">
        <v>19709</v>
      </c>
    </row>
    <row r="792" spans="6:8">
      <c r="H792" t="s">
        <v>19706</v>
      </c>
    </row>
    <row r="793" spans="6:8">
      <c r="H793" t="s">
        <v>19707</v>
      </c>
    </row>
    <row r="794" spans="6:8">
      <c r="H794" t="s">
        <v>19711</v>
      </c>
    </row>
    <row r="795" spans="6:8">
      <c r="H795" t="s">
        <v>19708</v>
      </c>
    </row>
    <row r="796" spans="6:8">
      <c r="H796" t="s">
        <v>19710</v>
      </c>
    </row>
    <row r="797" spans="6:8">
      <c r="H797" t="s">
        <v>20092</v>
      </c>
    </row>
    <row r="798" spans="6:8">
      <c r="H798" t="s">
        <v>20093</v>
      </c>
    </row>
    <row r="799" spans="6:8">
      <c r="H799" t="s">
        <v>20095</v>
      </c>
    </row>
    <row r="800" spans="6:8">
      <c r="H800" t="s">
        <v>20096</v>
      </c>
    </row>
    <row r="801" spans="6:8">
      <c r="H801" t="s">
        <v>20097</v>
      </c>
    </row>
    <row r="802" spans="6:8">
      <c r="H802" t="s">
        <v>20098</v>
      </c>
    </row>
    <row r="803" spans="6:8">
      <c r="H803" t="s">
        <v>20099</v>
      </c>
    </row>
    <row r="804" spans="6:8">
      <c r="H804" t="s">
        <v>20100</v>
      </c>
    </row>
    <row r="805" spans="6:8">
      <c r="H805" t="s">
        <v>20101</v>
      </c>
    </row>
    <row r="806" spans="6:8">
      <c r="F806" t="s">
        <v>10974</v>
      </c>
      <c r="G806" t="s">
        <v>15365</v>
      </c>
      <c r="H806" t="s">
        <v>20091</v>
      </c>
    </row>
    <row r="807" spans="6:8">
      <c r="H807" t="s">
        <v>20106</v>
      </c>
    </row>
    <row r="808" spans="6:8">
      <c r="H808" t="s">
        <v>20096</v>
      </c>
    </row>
    <row r="809" spans="6:8">
      <c r="H809" t="s">
        <v>20095</v>
      </c>
    </row>
    <row r="810" spans="6:8">
      <c r="F810" t="s">
        <v>10975</v>
      </c>
      <c r="G810" t="s">
        <v>15366</v>
      </c>
      <c r="H810" t="s">
        <v>20091</v>
      </c>
    </row>
    <row r="811" spans="6:8">
      <c r="H811" t="s">
        <v>19712</v>
      </c>
    </row>
    <row r="812" spans="6:8">
      <c r="H812" t="s">
        <v>20095</v>
      </c>
    </row>
    <row r="813" spans="6:8">
      <c r="H813" t="s">
        <v>20096</v>
      </c>
    </row>
    <row r="814" spans="6:8">
      <c r="H814" t="s">
        <v>20097</v>
      </c>
    </row>
    <row r="815" spans="6:8">
      <c r="H815" t="s">
        <v>19709</v>
      </c>
    </row>
    <row r="816" spans="6:8">
      <c r="H816" t="s">
        <v>19706</v>
      </c>
    </row>
    <row r="817" spans="6:8">
      <c r="H817" t="s">
        <v>20098</v>
      </c>
    </row>
    <row r="818" spans="6:8">
      <c r="H818" t="s">
        <v>20099</v>
      </c>
    </row>
    <row r="819" spans="6:8">
      <c r="H819" t="s">
        <v>20100</v>
      </c>
    </row>
    <row r="820" spans="6:8">
      <c r="F820" t="s">
        <v>10976</v>
      </c>
      <c r="G820" t="s">
        <v>15367</v>
      </c>
      <c r="H820" t="s">
        <v>20091</v>
      </c>
    </row>
    <row r="821" spans="6:8">
      <c r="H821" t="s">
        <v>19712</v>
      </c>
    </row>
    <row r="822" spans="6:8">
      <c r="H822" t="s">
        <v>20095</v>
      </c>
    </row>
    <row r="823" spans="6:8">
      <c r="H823" t="s">
        <v>20096</v>
      </c>
    </row>
    <row r="824" spans="6:8">
      <c r="H824" t="s">
        <v>20097</v>
      </c>
    </row>
    <row r="825" spans="6:8">
      <c r="F825" t="s">
        <v>10977</v>
      </c>
      <c r="G825" t="s">
        <v>15368</v>
      </c>
      <c r="H825" t="s">
        <v>20091</v>
      </c>
    </row>
    <row r="826" spans="6:8">
      <c r="H826" t="s">
        <v>19712</v>
      </c>
    </row>
    <row r="827" spans="6:8">
      <c r="H827" t="s">
        <v>20095</v>
      </c>
    </row>
    <row r="828" spans="6:8">
      <c r="H828" t="s">
        <v>20096</v>
      </c>
    </row>
    <row r="829" spans="6:8">
      <c r="H829" t="s">
        <v>20097</v>
      </c>
    </row>
    <row r="830" spans="6:8">
      <c r="F830" t="s">
        <v>10978</v>
      </c>
      <c r="G830" t="s">
        <v>15369</v>
      </c>
      <c r="H830" t="s">
        <v>20091</v>
      </c>
    </row>
    <row r="831" spans="6:8">
      <c r="H831" t="s">
        <v>19712</v>
      </c>
    </row>
    <row r="832" spans="6:8">
      <c r="H832" t="s">
        <v>20095</v>
      </c>
    </row>
    <row r="833" spans="6:8">
      <c r="H833" t="s">
        <v>20096</v>
      </c>
    </row>
    <row r="834" spans="6:8">
      <c r="H834" t="s">
        <v>20097</v>
      </c>
    </row>
    <row r="835" spans="6:8">
      <c r="F835" t="s">
        <v>10979</v>
      </c>
      <c r="G835" t="s">
        <v>15370</v>
      </c>
      <c r="H835" t="s">
        <v>20091</v>
      </c>
    </row>
    <row r="836" spans="6:8">
      <c r="H836" t="s">
        <v>19712</v>
      </c>
    </row>
    <row r="837" spans="6:8">
      <c r="H837" t="s">
        <v>20095</v>
      </c>
    </row>
    <row r="838" spans="6:8">
      <c r="H838" t="s">
        <v>20096</v>
      </c>
    </row>
    <row r="839" spans="6:8">
      <c r="H839" t="s">
        <v>20097</v>
      </c>
    </row>
    <row r="840" spans="6:8">
      <c r="F840" t="s">
        <v>10980</v>
      </c>
      <c r="G840" t="s">
        <v>15371</v>
      </c>
      <c r="H840" t="s">
        <v>20091</v>
      </c>
    </row>
    <row r="841" spans="6:8">
      <c r="H841" t="s">
        <v>19712</v>
      </c>
    </row>
    <row r="842" spans="6:8">
      <c r="H842" t="s">
        <v>19709</v>
      </c>
    </row>
    <row r="843" spans="6:8">
      <c r="H843" t="s">
        <v>19706</v>
      </c>
    </row>
    <row r="844" spans="6:8">
      <c r="H844" t="s">
        <v>20092</v>
      </c>
    </row>
    <row r="845" spans="6:8">
      <c r="H845" t="s">
        <v>20093</v>
      </c>
    </row>
    <row r="846" spans="6:8">
      <c r="H846" t="s">
        <v>20094</v>
      </c>
    </row>
    <row r="847" spans="6:8">
      <c r="H847" t="s">
        <v>20095</v>
      </c>
    </row>
    <row r="848" spans="6:8">
      <c r="H848" t="s">
        <v>20096</v>
      </c>
    </row>
    <row r="849" spans="6:8">
      <c r="H849" t="s">
        <v>20097</v>
      </c>
    </row>
    <row r="850" spans="6:8">
      <c r="H850" t="s">
        <v>20098</v>
      </c>
    </row>
    <row r="851" spans="6:8">
      <c r="H851" t="s">
        <v>20099</v>
      </c>
    </row>
    <row r="852" spans="6:8">
      <c r="F852" t="s">
        <v>10981</v>
      </c>
      <c r="G852" t="s">
        <v>15372</v>
      </c>
      <c r="H852" t="s">
        <v>20091</v>
      </c>
    </row>
    <row r="853" spans="6:8">
      <c r="H853" t="s">
        <v>19712</v>
      </c>
    </row>
    <row r="854" spans="6:8">
      <c r="H854" t="s">
        <v>20092</v>
      </c>
    </row>
    <row r="855" spans="6:8">
      <c r="H855" t="s">
        <v>20093</v>
      </c>
    </row>
    <row r="856" spans="6:8">
      <c r="H856" t="s">
        <v>20094</v>
      </c>
    </row>
    <row r="857" spans="6:8">
      <c r="H857" t="s">
        <v>20095</v>
      </c>
    </row>
    <row r="858" spans="6:8">
      <c r="H858" t="s">
        <v>20096</v>
      </c>
    </row>
    <row r="859" spans="6:8">
      <c r="H859" t="s">
        <v>20097</v>
      </c>
    </row>
    <row r="860" spans="6:8">
      <c r="H860" t="s">
        <v>20098</v>
      </c>
    </row>
    <row r="861" spans="6:8">
      <c r="H861" t="s">
        <v>20099</v>
      </c>
    </row>
    <row r="862" spans="6:8">
      <c r="H862" t="s">
        <v>20100</v>
      </c>
    </row>
    <row r="863" spans="6:8">
      <c r="H863" t="s">
        <v>20101</v>
      </c>
    </row>
    <row r="864" spans="6:8">
      <c r="H864" t="s">
        <v>20102</v>
      </c>
    </row>
    <row r="865" spans="6:8">
      <c r="F865" t="s">
        <v>10982</v>
      </c>
      <c r="G865" t="s">
        <v>15373</v>
      </c>
      <c r="H865" t="s">
        <v>20091</v>
      </c>
    </row>
    <row r="866" spans="6:8">
      <c r="H866" t="s">
        <v>19712</v>
      </c>
    </row>
    <row r="867" spans="6:8">
      <c r="H867" t="s">
        <v>20092</v>
      </c>
    </row>
    <row r="868" spans="6:8">
      <c r="H868" t="s">
        <v>20093</v>
      </c>
    </row>
    <row r="869" spans="6:8">
      <c r="H869" t="s">
        <v>20094</v>
      </c>
    </row>
    <row r="870" spans="6:8">
      <c r="H870" t="s">
        <v>20095</v>
      </c>
    </row>
    <row r="871" spans="6:8">
      <c r="H871" t="s">
        <v>20096</v>
      </c>
    </row>
    <row r="872" spans="6:8">
      <c r="H872" t="s">
        <v>20097</v>
      </c>
    </row>
    <row r="873" spans="6:8">
      <c r="H873" t="s">
        <v>20098</v>
      </c>
    </row>
    <row r="874" spans="6:8">
      <c r="H874" t="s">
        <v>20099</v>
      </c>
    </row>
    <row r="875" spans="6:8">
      <c r="H875" t="s">
        <v>20100</v>
      </c>
    </row>
    <row r="876" spans="6:8">
      <c r="H876" t="s">
        <v>20101</v>
      </c>
    </row>
    <row r="877" spans="6:8">
      <c r="H877" t="s">
        <v>20102</v>
      </c>
    </row>
    <row r="878" spans="6:8">
      <c r="F878" t="s">
        <v>10983</v>
      </c>
      <c r="G878" t="s">
        <v>15374</v>
      </c>
      <c r="H878" t="s">
        <v>20091</v>
      </c>
    </row>
    <row r="879" spans="6:8">
      <c r="H879" t="s">
        <v>20107</v>
      </c>
    </row>
    <row r="880" spans="6:8">
      <c r="H880" t="s">
        <v>20108</v>
      </c>
    </row>
    <row r="881" spans="6:8">
      <c r="H881" t="s">
        <v>20095</v>
      </c>
    </row>
    <row r="882" spans="6:8">
      <c r="F882" t="s">
        <v>10984</v>
      </c>
      <c r="G882" t="s">
        <v>15375</v>
      </c>
      <c r="H882" t="s">
        <v>20091</v>
      </c>
    </row>
    <row r="883" spans="6:8">
      <c r="H883" t="s">
        <v>19712</v>
      </c>
    </row>
    <row r="884" spans="6:8">
      <c r="H884" t="s">
        <v>20092</v>
      </c>
    </row>
    <row r="885" spans="6:8">
      <c r="H885" t="s">
        <v>20093</v>
      </c>
    </row>
    <row r="886" spans="6:8">
      <c r="H886" t="s">
        <v>20094</v>
      </c>
    </row>
    <row r="887" spans="6:8">
      <c r="H887" t="s">
        <v>20095</v>
      </c>
    </row>
    <row r="888" spans="6:8">
      <c r="H888" t="s">
        <v>20096</v>
      </c>
    </row>
    <row r="889" spans="6:8">
      <c r="H889" t="s">
        <v>20097</v>
      </c>
    </row>
    <row r="890" spans="6:8">
      <c r="H890" t="s">
        <v>20098</v>
      </c>
    </row>
    <row r="891" spans="6:8">
      <c r="H891" t="s">
        <v>20099</v>
      </c>
    </row>
    <row r="892" spans="6:8">
      <c r="H892" t="s">
        <v>20100</v>
      </c>
    </row>
    <row r="893" spans="6:8">
      <c r="H893" t="s">
        <v>20101</v>
      </c>
    </row>
    <row r="894" spans="6:8">
      <c r="H894" t="s">
        <v>20102</v>
      </c>
    </row>
    <row r="895" spans="6:8">
      <c r="F895" t="s">
        <v>10985</v>
      </c>
      <c r="G895" t="s">
        <v>15376</v>
      </c>
      <c r="H895" t="s">
        <v>20091</v>
      </c>
    </row>
    <row r="896" spans="6:8">
      <c r="H896" t="s">
        <v>19712</v>
      </c>
    </row>
    <row r="897" spans="6:8">
      <c r="H897" t="s">
        <v>20092</v>
      </c>
    </row>
    <row r="898" spans="6:8">
      <c r="H898" t="s">
        <v>20093</v>
      </c>
    </row>
    <row r="899" spans="6:8">
      <c r="H899" t="s">
        <v>20094</v>
      </c>
    </row>
    <row r="900" spans="6:8">
      <c r="H900" t="s">
        <v>20095</v>
      </c>
    </row>
    <row r="901" spans="6:8">
      <c r="H901" t="s">
        <v>20096</v>
      </c>
    </row>
    <row r="902" spans="6:8">
      <c r="H902" t="s">
        <v>20097</v>
      </c>
    </row>
    <row r="903" spans="6:8">
      <c r="H903" t="s">
        <v>20098</v>
      </c>
    </row>
    <row r="904" spans="6:8">
      <c r="H904" t="s">
        <v>20099</v>
      </c>
    </row>
    <row r="905" spans="6:8">
      <c r="H905" t="s">
        <v>20100</v>
      </c>
    </row>
    <row r="906" spans="6:8">
      <c r="H906" t="s">
        <v>20101</v>
      </c>
    </row>
    <row r="907" spans="6:8">
      <c r="H907" t="s">
        <v>20102</v>
      </c>
    </row>
    <row r="908" spans="6:8">
      <c r="F908" t="s">
        <v>10986</v>
      </c>
      <c r="G908" t="s">
        <v>15377</v>
      </c>
      <c r="H908" t="s">
        <v>20091</v>
      </c>
    </row>
    <row r="909" spans="6:8">
      <c r="H909" t="s">
        <v>19712</v>
      </c>
    </row>
    <row r="910" spans="6:8">
      <c r="H910" t="s">
        <v>19706</v>
      </c>
    </row>
    <row r="911" spans="6:8">
      <c r="H911" t="s">
        <v>20092</v>
      </c>
    </row>
    <row r="912" spans="6:8">
      <c r="H912" t="s">
        <v>20093</v>
      </c>
    </row>
    <row r="913" spans="6:8">
      <c r="H913" t="s">
        <v>20094</v>
      </c>
    </row>
    <row r="914" spans="6:8">
      <c r="H914" t="s">
        <v>20095</v>
      </c>
    </row>
    <row r="915" spans="6:8">
      <c r="H915" t="s">
        <v>20096</v>
      </c>
    </row>
    <row r="916" spans="6:8">
      <c r="H916" t="s">
        <v>20097</v>
      </c>
    </row>
    <row r="917" spans="6:8">
      <c r="H917" t="s">
        <v>20098</v>
      </c>
    </row>
    <row r="918" spans="6:8">
      <c r="F918" t="s">
        <v>10987</v>
      </c>
      <c r="G918" t="s">
        <v>15378</v>
      </c>
      <c r="H918" t="s">
        <v>20091</v>
      </c>
    </row>
    <row r="919" spans="6:8">
      <c r="H919" t="s">
        <v>19712</v>
      </c>
    </row>
    <row r="920" spans="6:8">
      <c r="H920" t="s">
        <v>19709</v>
      </c>
    </row>
    <row r="921" spans="6:8">
      <c r="H921" t="s">
        <v>20107</v>
      </c>
    </row>
    <row r="922" spans="6:8">
      <c r="H922" t="s">
        <v>20108</v>
      </c>
    </row>
    <row r="923" spans="6:8">
      <c r="H923" t="s">
        <v>19713</v>
      </c>
    </row>
    <row r="924" spans="6:8">
      <c r="H924" t="s">
        <v>19714</v>
      </c>
    </row>
    <row r="925" spans="6:8">
      <c r="H925" t="s">
        <v>20109</v>
      </c>
    </row>
    <row r="926" spans="6:8">
      <c r="H926" t="s">
        <v>20110</v>
      </c>
    </row>
    <row r="927" spans="6:8">
      <c r="H927" t="s">
        <v>20111</v>
      </c>
    </row>
    <row r="928" spans="6:8">
      <c r="H928" t="s">
        <v>20095</v>
      </c>
    </row>
    <row r="929" spans="6:8">
      <c r="H929" t="s">
        <v>20096</v>
      </c>
    </row>
    <row r="930" spans="6:8">
      <c r="H930" t="s">
        <v>20097</v>
      </c>
    </row>
    <row r="931" spans="6:8">
      <c r="H931" t="s">
        <v>20098</v>
      </c>
    </row>
    <row r="932" spans="6:8">
      <c r="F932" t="s">
        <v>10988</v>
      </c>
      <c r="G932" t="s">
        <v>15379</v>
      </c>
      <c r="H932" t="s">
        <v>20091</v>
      </c>
    </row>
    <row r="933" spans="6:8">
      <c r="H933" t="s">
        <v>19712</v>
      </c>
    </row>
    <row r="934" spans="6:8">
      <c r="H934" t="s">
        <v>19709</v>
      </c>
    </row>
    <row r="935" spans="6:8">
      <c r="H935" t="s">
        <v>20107</v>
      </c>
    </row>
    <row r="936" spans="6:8">
      <c r="H936" t="s">
        <v>20108</v>
      </c>
    </row>
    <row r="937" spans="6:8">
      <c r="H937" t="s">
        <v>19713</v>
      </c>
    </row>
    <row r="938" spans="6:8">
      <c r="H938" t="s">
        <v>19714</v>
      </c>
    </row>
    <row r="939" spans="6:8">
      <c r="H939" t="s">
        <v>20109</v>
      </c>
    </row>
    <row r="940" spans="6:8">
      <c r="H940" t="s">
        <v>20110</v>
      </c>
    </row>
    <row r="941" spans="6:8">
      <c r="H941" t="s">
        <v>20095</v>
      </c>
    </row>
    <row r="942" spans="6:8">
      <c r="H942" t="s">
        <v>20096</v>
      </c>
    </row>
    <row r="943" spans="6:8">
      <c r="H943" t="s">
        <v>20097</v>
      </c>
    </row>
    <row r="944" spans="6:8">
      <c r="H944" t="s">
        <v>20098</v>
      </c>
    </row>
    <row r="945" spans="6:8">
      <c r="F945" t="s">
        <v>10989</v>
      </c>
      <c r="G945" t="s">
        <v>15380</v>
      </c>
      <c r="H945" t="s">
        <v>20091</v>
      </c>
    </row>
    <row r="946" spans="6:8">
      <c r="H946" t="s">
        <v>19712</v>
      </c>
    </row>
    <row r="947" spans="6:8">
      <c r="H947" t="s">
        <v>19709</v>
      </c>
    </row>
    <row r="948" spans="6:8">
      <c r="H948" t="s">
        <v>20107</v>
      </c>
    </row>
    <row r="949" spans="6:8">
      <c r="H949" t="s">
        <v>20108</v>
      </c>
    </row>
    <row r="950" spans="6:8">
      <c r="H950" t="s">
        <v>19713</v>
      </c>
    </row>
    <row r="951" spans="6:8">
      <c r="H951" t="s">
        <v>19714</v>
      </c>
    </row>
    <row r="952" spans="6:8">
      <c r="H952" t="s">
        <v>20109</v>
      </c>
    </row>
    <row r="953" spans="6:8">
      <c r="H953" t="s">
        <v>20110</v>
      </c>
    </row>
    <row r="954" spans="6:8">
      <c r="H954" t="s">
        <v>20095</v>
      </c>
    </row>
    <row r="955" spans="6:8">
      <c r="H955" t="s">
        <v>20096</v>
      </c>
    </row>
    <row r="956" spans="6:8">
      <c r="H956" t="s">
        <v>20097</v>
      </c>
    </row>
    <row r="957" spans="6:8">
      <c r="H957" t="s">
        <v>20098</v>
      </c>
    </row>
    <row r="958" spans="6:8">
      <c r="F958" t="s">
        <v>10990</v>
      </c>
      <c r="G958" t="s">
        <v>15381</v>
      </c>
      <c r="H958" t="s">
        <v>20091</v>
      </c>
    </row>
    <row r="959" spans="6:8">
      <c r="H959" t="s">
        <v>19712</v>
      </c>
    </row>
    <row r="960" spans="6:8">
      <c r="H960" t="s">
        <v>19709</v>
      </c>
    </row>
    <row r="961" spans="6:8">
      <c r="H961" t="s">
        <v>20107</v>
      </c>
    </row>
    <row r="962" spans="6:8">
      <c r="H962" t="s">
        <v>20108</v>
      </c>
    </row>
    <row r="963" spans="6:8">
      <c r="H963" t="s">
        <v>19713</v>
      </c>
    </row>
    <row r="964" spans="6:8">
      <c r="H964" t="s">
        <v>19714</v>
      </c>
    </row>
    <row r="965" spans="6:8">
      <c r="H965" t="s">
        <v>20109</v>
      </c>
    </row>
    <row r="966" spans="6:8">
      <c r="H966" t="s">
        <v>20110</v>
      </c>
    </row>
    <row r="967" spans="6:8">
      <c r="H967" t="s">
        <v>20111</v>
      </c>
    </row>
    <row r="968" spans="6:8">
      <c r="H968" t="s">
        <v>20112</v>
      </c>
    </row>
    <row r="969" spans="6:8">
      <c r="H969" t="s">
        <v>20113</v>
      </c>
    </row>
    <row r="970" spans="6:8">
      <c r="H970" t="s">
        <v>20095</v>
      </c>
    </row>
    <row r="971" spans="6:8">
      <c r="H971" t="s">
        <v>20096</v>
      </c>
    </row>
    <row r="972" spans="6:8">
      <c r="H972" t="s">
        <v>20097</v>
      </c>
    </row>
    <row r="973" spans="6:8">
      <c r="H973" t="s">
        <v>20098</v>
      </c>
    </row>
    <row r="974" spans="6:8">
      <c r="F974" t="s">
        <v>10991</v>
      </c>
      <c r="G974" t="s">
        <v>15382</v>
      </c>
      <c r="H974" t="s">
        <v>20091</v>
      </c>
    </row>
    <row r="975" spans="6:8">
      <c r="H975" t="s">
        <v>19712</v>
      </c>
    </row>
    <row r="976" spans="6:8">
      <c r="H976" t="s">
        <v>20092</v>
      </c>
    </row>
    <row r="977" spans="6:8">
      <c r="H977" t="s">
        <v>20093</v>
      </c>
    </row>
    <row r="978" spans="6:8">
      <c r="H978" t="s">
        <v>20094</v>
      </c>
    </row>
    <row r="979" spans="6:8">
      <c r="H979" t="s">
        <v>20095</v>
      </c>
    </row>
    <row r="980" spans="6:8">
      <c r="H980" t="s">
        <v>20096</v>
      </c>
    </row>
    <row r="981" spans="6:8">
      <c r="H981" t="s">
        <v>20097</v>
      </c>
    </row>
    <row r="982" spans="6:8">
      <c r="H982" t="s">
        <v>20098</v>
      </c>
    </row>
    <row r="983" spans="6:8">
      <c r="H983" t="s">
        <v>20099</v>
      </c>
    </row>
    <row r="984" spans="6:8">
      <c r="H984" t="s">
        <v>20100</v>
      </c>
    </row>
    <row r="985" spans="6:8">
      <c r="H985" t="s">
        <v>20101</v>
      </c>
    </row>
    <row r="986" spans="6:8">
      <c r="H986" t="s">
        <v>20102</v>
      </c>
    </row>
    <row r="987" spans="6:8">
      <c r="F987" t="s">
        <v>10992</v>
      </c>
      <c r="G987" t="s">
        <v>15383</v>
      </c>
      <c r="H987" t="s">
        <v>20091</v>
      </c>
    </row>
    <row r="988" spans="6:8">
      <c r="H988" t="s">
        <v>19712</v>
      </c>
    </row>
    <row r="989" spans="6:8">
      <c r="H989" t="s">
        <v>20092</v>
      </c>
    </row>
    <row r="990" spans="6:8">
      <c r="H990" t="s">
        <v>20093</v>
      </c>
    </row>
    <row r="991" spans="6:8">
      <c r="H991" t="s">
        <v>20094</v>
      </c>
    </row>
    <row r="992" spans="6:8">
      <c r="H992" t="s">
        <v>20095</v>
      </c>
    </row>
    <row r="993" spans="6:8">
      <c r="H993" t="s">
        <v>20096</v>
      </c>
    </row>
    <row r="994" spans="6:8">
      <c r="H994" t="s">
        <v>20097</v>
      </c>
    </row>
    <row r="995" spans="6:8">
      <c r="H995" t="s">
        <v>20098</v>
      </c>
    </row>
    <row r="996" spans="6:8">
      <c r="H996" t="s">
        <v>20099</v>
      </c>
    </row>
    <row r="997" spans="6:8">
      <c r="H997" t="s">
        <v>20100</v>
      </c>
    </row>
    <row r="998" spans="6:8">
      <c r="H998" t="s">
        <v>20101</v>
      </c>
    </row>
    <row r="999" spans="6:8">
      <c r="H999" t="s">
        <v>20102</v>
      </c>
    </row>
    <row r="1000" spans="6:8">
      <c r="F1000" t="s">
        <v>10993</v>
      </c>
      <c r="G1000" t="s">
        <v>15384</v>
      </c>
      <c r="H1000" t="s">
        <v>20091</v>
      </c>
    </row>
    <row r="1001" spans="6:8">
      <c r="H1001" t="s">
        <v>19712</v>
      </c>
    </row>
    <row r="1002" spans="6:8">
      <c r="H1002" t="s">
        <v>19709</v>
      </c>
    </row>
    <row r="1003" spans="6:8">
      <c r="H1003" t="s">
        <v>20107</v>
      </c>
    </row>
    <row r="1004" spans="6:8">
      <c r="H1004" t="s">
        <v>20108</v>
      </c>
    </row>
    <row r="1005" spans="6:8">
      <c r="H1005" t="s">
        <v>19713</v>
      </c>
    </row>
    <row r="1006" spans="6:8">
      <c r="H1006" t="s">
        <v>19714</v>
      </c>
    </row>
    <row r="1007" spans="6:8">
      <c r="H1007" t="s">
        <v>20109</v>
      </c>
    </row>
    <row r="1008" spans="6:8">
      <c r="H1008" t="s">
        <v>20095</v>
      </c>
    </row>
    <row r="1009" spans="6:8">
      <c r="H1009" t="s">
        <v>20096</v>
      </c>
    </row>
    <row r="1010" spans="6:8">
      <c r="H1010" t="s">
        <v>20097</v>
      </c>
    </row>
    <row r="1011" spans="6:8">
      <c r="H1011" t="s">
        <v>20098</v>
      </c>
    </row>
    <row r="1012" spans="6:8">
      <c r="F1012" t="s">
        <v>10994</v>
      </c>
      <c r="G1012" t="s">
        <v>15385</v>
      </c>
      <c r="H1012" t="s">
        <v>20091</v>
      </c>
    </row>
    <row r="1013" spans="6:8">
      <c r="H1013" t="s">
        <v>19712</v>
      </c>
    </row>
    <row r="1014" spans="6:8">
      <c r="H1014" t="s">
        <v>19709</v>
      </c>
    </row>
    <row r="1015" spans="6:8">
      <c r="H1015" t="s">
        <v>20107</v>
      </c>
    </row>
    <row r="1016" spans="6:8">
      <c r="H1016" t="s">
        <v>20108</v>
      </c>
    </row>
    <row r="1017" spans="6:8">
      <c r="H1017" t="s">
        <v>19713</v>
      </c>
    </row>
    <row r="1018" spans="6:8">
      <c r="H1018" t="s">
        <v>19714</v>
      </c>
    </row>
    <row r="1019" spans="6:8">
      <c r="H1019" t="s">
        <v>20109</v>
      </c>
    </row>
    <row r="1020" spans="6:8">
      <c r="H1020" t="s">
        <v>20095</v>
      </c>
    </row>
    <row r="1021" spans="6:8">
      <c r="H1021" t="s">
        <v>20096</v>
      </c>
    </row>
    <row r="1022" spans="6:8">
      <c r="H1022" t="s">
        <v>20097</v>
      </c>
    </row>
    <row r="1023" spans="6:8">
      <c r="H1023" t="s">
        <v>20098</v>
      </c>
    </row>
    <row r="1024" spans="6:8">
      <c r="F1024" t="s">
        <v>10995</v>
      </c>
      <c r="G1024" t="s">
        <v>15386</v>
      </c>
      <c r="H1024" t="s">
        <v>20091</v>
      </c>
    </row>
    <row r="1025" spans="6:8">
      <c r="H1025" t="s">
        <v>20095</v>
      </c>
    </row>
    <row r="1026" spans="6:8">
      <c r="F1026" t="s">
        <v>10996</v>
      </c>
      <c r="G1026" t="s">
        <v>15387</v>
      </c>
      <c r="H1026" t="s">
        <v>20091</v>
      </c>
    </row>
    <row r="1027" spans="6:8">
      <c r="H1027" t="s">
        <v>20095</v>
      </c>
    </row>
    <row r="1028" spans="6:8">
      <c r="F1028" t="s">
        <v>10997</v>
      </c>
      <c r="G1028" t="s">
        <v>15388</v>
      </c>
      <c r="H1028" t="s">
        <v>20091</v>
      </c>
    </row>
    <row r="1029" spans="6:8">
      <c r="H1029" t="s">
        <v>19712</v>
      </c>
    </row>
    <row r="1030" spans="6:8">
      <c r="H1030" t="s">
        <v>19709</v>
      </c>
    </row>
    <row r="1031" spans="6:8">
      <c r="H1031" t="s">
        <v>19706</v>
      </c>
    </row>
    <row r="1032" spans="6:8">
      <c r="H1032" t="s">
        <v>20108</v>
      </c>
    </row>
    <row r="1033" spans="6:8">
      <c r="H1033" t="s">
        <v>19713</v>
      </c>
    </row>
    <row r="1034" spans="6:8">
      <c r="H1034" t="s">
        <v>19714</v>
      </c>
    </row>
    <row r="1035" spans="6:8">
      <c r="H1035" t="s">
        <v>20109</v>
      </c>
    </row>
    <row r="1036" spans="6:8">
      <c r="H1036" t="s">
        <v>20110</v>
      </c>
    </row>
    <row r="1037" spans="6:8">
      <c r="H1037" t="s">
        <v>20111</v>
      </c>
    </row>
    <row r="1038" spans="6:8">
      <c r="H1038" t="s">
        <v>20112</v>
      </c>
    </row>
    <row r="1039" spans="6:8">
      <c r="H1039" t="s">
        <v>20113</v>
      </c>
    </row>
    <row r="1040" spans="6:8">
      <c r="H1040" t="s">
        <v>20095</v>
      </c>
    </row>
    <row r="1041" spans="6:8">
      <c r="H1041" t="s">
        <v>20096</v>
      </c>
    </row>
    <row r="1042" spans="6:8">
      <c r="H1042" t="s">
        <v>20097</v>
      </c>
    </row>
    <row r="1043" spans="6:8">
      <c r="H1043" t="s">
        <v>20098</v>
      </c>
    </row>
    <row r="1044" spans="6:8">
      <c r="F1044" t="s">
        <v>10998</v>
      </c>
      <c r="G1044" t="s">
        <v>15389</v>
      </c>
      <c r="H1044" t="s">
        <v>20091</v>
      </c>
    </row>
    <row r="1045" spans="6:8">
      <c r="H1045" t="s">
        <v>19712</v>
      </c>
    </row>
    <row r="1046" spans="6:8">
      <c r="H1046" t="s">
        <v>20095</v>
      </c>
    </row>
    <row r="1047" spans="6:8">
      <c r="H1047" t="s">
        <v>20096</v>
      </c>
    </row>
    <row r="1048" spans="6:8">
      <c r="H1048" t="s">
        <v>20097</v>
      </c>
    </row>
    <row r="1049" spans="6:8">
      <c r="H1049" t="s">
        <v>20098</v>
      </c>
    </row>
    <row r="1050" spans="6:8">
      <c r="H1050" t="s">
        <v>19709</v>
      </c>
    </row>
    <row r="1051" spans="6:8">
      <c r="H1051" t="s">
        <v>19706</v>
      </c>
    </row>
    <row r="1052" spans="6:8">
      <c r="H1052" t="s">
        <v>20099</v>
      </c>
    </row>
    <row r="1053" spans="6:8">
      <c r="H1053" t="s">
        <v>20100</v>
      </c>
    </row>
    <row r="1054" spans="6:8">
      <c r="H1054" t="s">
        <v>20101</v>
      </c>
    </row>
    <row r="1055" spans="6:8">
      <c r="H1055" t="s">
        <v>20102</v>
      </c>
    </row>
    <row r="1056" spans="6:8">
      <c r="F1056" t="s">
        <v>10999</v>
      </c>
      <c r="G1056" t="s">
        <v>15390</v>
      </c>
      <c r="H1056" t="s">
        <v>20091</v>
      </c>
    </row>
    <row r="1057" spans="6:8">
      <c r="H1057" t="s">
        <v>19712</v>
      </c>
    </row>
    <row r="1058" spans="6:8">
      <c r="H1058" t="s">
        <v>20095</v>
      </c>
    </row>
    <row r="1059" spans="6:8">
      <c r="H1059" t="s">
        <v>20096</v>
      </c>
    </row>
    <row r="1060" spans="6:8">
      <c r="H1060" t="s">
        <v>20097</v>
      </c>
    </row>
    <row r="1061" spans="6:8">
      <c r="H1061" t="s">
        <v>20098</v>
      </c>
    </row>
    <row r="1062" spans="6:8">
      <c r="F1062" t="s">
        <v>11000</v>
      </c>
      <c r="G1062" t="s">
        <v>15391</v>
      </c>
      <c r="H1062" t="s">
        <v>20091</v>
      </c>
    </row>
    <row r="1063" spans="6:8">
      <c r="H1063" t="s">
        <v>19712</v>
      </c>
    </row>
    <row r="1064" spans="6:8">
      <c r="H1064" t="s">
        <v>20095</v>
      </c>
    </row>
    <row r="1065" spans="6:8">
      <c r="H1065" t="s">
        <v>20096</v>
      </c>
    </row>
    <row r="1066" spans="6:8">
      <c r="H1066" t="s">
        <v>20097</v>
      </c>
    </row>
    <row r="1067" spans="6:8">
      <c r="H1067" t="s">
        <v>20098</v>
      </c>
    </row>
    <row r="1068" spans="6:8">
      <c r="F1068" t="s">
        <v>11001</v>
      </c>
      <c r="G1068" t="s">
        <v>15392</v>
      </c>
      <c r="H1068" t="s">
        <v>20091</v>
      </c>
    </row>
    <row r="1069" spans="6:8">
      <c r="H1069" t="s">
        <v>19712</v>
      </c>
    </row>
    <row r="1070" spans="6:8">
      <c r="H1070" t="s">
        <v>20095</v>
      </c>
    </row>
    <row r="1071" spans="6:8">
      <c r="H1071" t="s">
        <v>20096</v>
      </c>
    </row>
    <row r="1072" spans="6:8">
      <c r="H1072" t="s">
        <v>20097</v>
      </c>
    </row>
    <row r="1073" spans="6:8">
      <c r="H1073" t="s">
        <v>20098</v>
      </c>
    </row>
    <row r="1074" spans="6:8">
      <c r="F1074" t="s">
        <v>11002</v>
      </c>
      <c r="G1074" t="s">
        <v>15393</v>
      </c>
      <c r="H1074" t="s">
        <v>20091</v>
      </c>
    </row>
    <row r="1075" spans="6:8">
      <c r="H1075" t="s">
        <v>19712</v>
      </c>
    </row>
    <row r="1076" spans="6:8">
      <c r="H1076" t="s">
        <v>20095</v>
      </c>
    </row>
    <row r="1077" spans="6:8">
      <c r="H1077" t="s">
        <v>20096</v>
      </c>
    </row>
    <row r="1078" spans="6:8">
      <c r="H1078" t="s">
        <v>20097</v>
      </c>
    </row>
    <row r="1079" spans="6:8">
      <c r="H1079" t="s">
        <v>20098</v>
      </c>
    </row>
    <row r="1080" spans="6:8">
      <c r="F1080" t="s">
        <v>11003</v>
      </c>
      <c r="G1080" t="s">
        <v>15394</v>
      </c>
      <c r="H1080" t="s">
        <v>20091</v>
      </c>
    </row>
    <row r="1081" spans="6:8">
      <c r="H1081" t="s">
        <v>19712</v>
      </c>
    </row>
    <row r="1082" spans="6:8">
      <c r="H1082" t="s">
        <v>19709</v>
      </c>
    </row>
    <row r="1083" spans="6:8">
      <c r="H1083" t="s">
        <v>20107</v>
      </c>
    </row>
    <row r="1084" spans="6:8">
      <c r="H1084" t="s">
        <v>20108</v>
      </c>
    </row>
    <row r="1085" spans="6:8">
      <c r="H1085" t="s">
        <v>19713</v>
      </c>
    </row>
    <row r="1086" spans="6:8">
      <c r="H1086" t="s">
        <v>19714</v>
      </c>
    </row>
    <row r="1087" spans="6:8">
      <c r="H1087" t="s">
        <v>20109</v>
      </c>
    </row>
    <row r="1088" spans="6:8">
      <c r="H1088" t="s">
        <v>20110</v>
      </c>
    </row>
    <row r="1089" spans="6:8">
      <c r="H1089" t="s">
        <v>20111</v>
      </c>
    </row>
    <row r="1090" spans="6:8">
      <c r="H1090" t="s">
        <v>20112</v>
      </c>
    </row>
    <row r="1091" spans="6:8">
      <c r="H1091" t="s">
        <v>20095</v>
      </c>
    </row>
    <row r="1092" spans="6:8">
      <c r="H1092" t="s">
        <v>20096</v>
      </c>
    </row>
    <row r="1093" spans="6:8">
      <c r="H1093" t="s">
        <v>20097</v>
      </c>
    </row>
    <row r="1094" spans="6:8">
      <c r="H1094" t="s">
        <v>20098</v>
      </c>
    </row>
    <row r="1095" spans="6:8">
      <c r="F1095" t="s">
        <v>11004</v>
      </c>
      <c r="G1095" t="s">
        <v>15395</v>
      </c>
      <c r="H1095" t="s">
        <v>20091</v>
      </c>
    </row>
    <row r="1096" spans="6:8">
      <c r="H1096" t="s">
        <v>19712</v>
      </c>
    </row>
    <row r="1097" spans="6:8">
      <c r="H1097" t="s">
        <v>19709</v>
      </c>
    </row>
    <row r="1098" spans="6:8">
      <c r="H1098" t="s">
        <v>19706</v>
      </c>
    </row>
    <row r="1099" spans="6:8">
      <c r="H1099" t="s">
        <v>20107</v>
      </c>
    </row>
    <row r="1100" spans="6:8">
      <c r="H1100" t="s">
        <v>20108</v>
      </c>
    </row>
    <row r="1101" spans="6:8">
      <c r="H1101" t="s">
        <v>19713</v>
      </c>
    </row>
    <row r="1102" spans="6:8">
      <c r="H1102" t="s">
        <v>19714</v>
      </c>
    </row>
    <row r="1103" spans="6:8">
      <c r="H1103" t="s">
        <v>20109</v>
      </c>
    </row>
    <row r="1104" spans="6:8">
      <c r="H1104" t="s">
        <v>20095</v>
      </c>
    </row>
    <row r="1105" spans="6:8">
      <c r="H1105" t="s">
        <v>20096</v>
      </c>
    </row>
    <row r="1106" spans="6:8">
      <c r="H1106" t="s">
        <v>20097</v>
      </c>
    </row>
    <row r="1107" spans="6:8">
      <c r="H1107" t="s">
        <v>20098</v>
      </c>
    </row>
    <row r="1108" spans="6:8">
      <c r="F1108" t="s">
        <v>11005</v>
      </c>
      <c r="G1108" t="s">
        <v>15396</v>
      </c>
      <c r="H1108" t="s">
        <v>20091</v>
      </c>
    </row>
    <row r="1109" spans="6:8">
      <c r="H1109" t="s">
        <v>19712</v>
      </c>
    </row>
    <row r="1110" spans="6:8">
      <c r="H1110" t="s">
        <v>19709</v>
      </c>
    </row>
    <row r="1111" spans="6:8">
      <c r="H1111" t="s">
        <v>20107</v>
      </c>
    </row>
    <row r="1112" spans="6:8">
      <c r="H1112" t="s">
        <v>20108</v>
      </c>
    </row>
    <row r="1113" spans="6:8">
      <c r="H1113" t="s">
        <v>19713</v>
      </c>
    </row>
    <row r="1114" spans="6:8">
      <c r="H1114" t="s">
        <v>19714</v>
      </c>
    </row>
    <row r="1115" spans="6:8">
      <c r="H1115" t="s">
        <v>20109</v>
      </c>
    </row>
    <row r="1116" spans="6:8">
      <c r="H1116" t="s">
        <v>20110</v>
      </c>
    </row>
    <row r="1117" spans="6:8">
      <c r="H1117" t="s">
        <v>20111</v>
      </c>
    </row>
    <row r="1118" spans="6:8">
      <c r="H1118" t="s">
        <v>20112</v>
      </c>
    </row>
    <row r="1119" spans="6:8">
      <c r="H1119" t="s">
        <v>20113</v>
      </c>
    </row>
    <row r="1120" spans="6:8">
      <c r="H1120" t="s">
        <v>20095</v>
      </c>
    </row>
    <row r="1121" spans="6:8">
      <c r="H1121" t="s">
        <v>20096</v>
      </c>
    </row>
    <row r="1122" spans="6:8">
      <c r="H1122" t="s">
        <v>20097</v>
      </c>
    </row>
    <row r="1123" spans="6:8">
      <c r="H1123" t="s">
        <v>20098</v>
      </c>
    </row>
    <row r="1124" spans="6:8">
      <c r="F1124" t="s">
        <v>11006</v>
      </c>
      <c r="G1124" t="s">
        <v>15397</v>
      </c>
      <c r="H1124" t="s">
        <v>20091</v>
      </c>
    </row>
    <row r="1125" spans="6:8">
      <c r="H1125" t="s">
        <v>19712</v>
      </c>
    </row>
    <row r="1126" spans="6:8">
      <c r="H1126" t="s">
        <v>19709</v>
      </c>
    </row>
    <row r="1127" spans="6:8">
      <c r="H1127" t="s">
        <v>20092</v>
      </c>
    </row>
    <row r="1128" spans="6:8">
      <c r="H1128" t="s">
        <v>20093</v>
      </c>
    </row>
    <row r="1129" spans="6:8">
      <c r="H1129" t="s">
        <v>20095</v>
      </c>
    </row>
    <row r="1130" spans="6:8">
      <c r="H1130" t="s">
        <v>20096</v>
      </c>
    </row>
    <row r="1131" spans="6:8">
      <c r="H1131" t="s">
        <v>20097</v>
      </c>
    </row>
    <row r="1132" spans="6:8">
      <c r="H1132" t="s">
        <v>20098</v>
      </c>
    </row>
    <row r="1133" spans="6:8">
      <c r="H1133" t="s">
        <v>20099</v>
      </c>
    </row>
    <row r="1134" spans="6:8">
      <c r="H1134" t="s">
        <v>20100</v>
      </c>
    </row>
    <row r="1135" spans="6:8">
      <c r="F1135" t="s">
        <v>11007</v>
      </c>
      <c r="G1135" t="s">
        <v>15398</v>
      </c>
      <c r="H1135" t="s">
        <v>20091</v>
      </c>
    </row>
    <row r="1136" spans="6:8">
      <c r="H1136" t="s">
        <v>19712</v>
      </c>
    </row>
    <row r="1137" spans="6:8">
      <c r="H1137" t="s">
        <v>20095</v>
      </c>
    </row>
    <row r="1138" spans="6:8">
      <c r="H1138" t="s">
        <v>20096</v>
      </c>
    </row>
    <row r="1139" spans="6:8">
      <c r="H1139" t="s">
        <v>20097</v>
      </c>
    </row>
    <row r="1140" spans="6:8">
      <c r="H1140" t="s">
        <v>19709</v>
      </c>
    </row>
    <row r="1141" spans="6:8">
      <c r="H1141" t="s">
        <v>19706</v>
      </c>
    </row>
    <row r="1142" spans="6:8">
      <c r="H1142" t="s">
        <v>20098</v>
      </c>
    </row>
    <row r="1143" spans="6:8">
      <c r="H1143" t="s">
        <v>20099</v>
      </c>
    </row>
    <row r="1144" spans="6:8">
      <c r="H1144" t="s">
        <v>20100</v>
      </c>
    </row>
    <row r="1145" spans="6:8">
      <c r="F1145" t="s">
        <v>11008</v>
      </c>
      <c r="G1145" t="s">
        <v>15399</v>
      </c>
      <c r="H1145" t="s">
        <v>20091</v>
      </c>
    </row>
    <row r="1146" spans="6:8">
      <c r="H1146" t="s">
        <v>19712</v>
      </c>
    </row>
    <row r="1147" spans="6:8">
      <c r="H1147" t="s">
        <v>20095</v>
      </c>
    </row>
    <row r="1148" spans="6:8">
      <c r="H1148" t="s">
        <v>20096</v>
      </c>
    </row>
    <row r="1149" spans="6:8">
      <c r="H1149" t="s">
        <v>20097</v>
      </c>
    </row>
    <row r="1150" spans="6:8">
      <c r="F1150" t="s">
        <v>11009</v>
      </c>
      <c r="G1150" t="s">
        <v>15400</v>
      </c>
      <c r="H1150" t="s">
        <v>20091</v>
      </c>
    </row>
    <row r="1151" spans="6:8">
      <c r="H1151" t="s">
        <v>19712</v>
      </c>
    </row>
    <row r="1152" spans="6:8">
      <c r="H1152" t="s">
        <v>20095</v>
      </c>
    </row>
    <row r="1153" spans="6:8">
      <c r="H1153" t="s">
        <v>20096</v>
      </c>
    </row>
    <row r="1154" spans="6:8">
      <c r="H1154" t="s">
        <v>20097</v>
      </c>
    </row>
    <row r="1155" spans="6:8">
      <c r="F1155" t="s">
        <v>11010</v>
      </c>
      <c r="G1155" t="s">
        <v>15401</v>
      </c>
      <c r="H1155" t="s">
        <v>20091</v>
      </c>
    </row>
    <row r="1156" spans="6:8">
      <c r="H1156" t="s">
        <v>19712</v>
      </c>
    </row>
    <row r="1157" spans="6:8">
      <c r="H1157" t="s">
        <v>20095</v>
      </c>
    </row>
    <row r="1158" spans="6:8">
      <c r="H1158" t="s">
        <v>20096</v>
      </c>
    </row>
    <row r="1159" spans="6:8">
      <c r="H1159" t="s">
        <v>20097</v>
      </c>
    </row>
    <row r="1160" spans="6:8">
      <c r="F1160" t="s">
        <v>11011</v>
      </c>
      <c r="G1160" t="s">
        <v>15402</v>
      </c>
      <c r="H1160" t="s">
        <v>20091</v>
      </c>
    </row>
    <row r="1161" spans="6:8">
      <c r="H1161" t="s">
        <v>19712</v>
      </c>
    </row>
    <row r="1162" spans="6:8">
      <c r="H1162" t="s">
        <v>20095</v>
      </c>
    </row>
    <row r="1163" spans="6:8">
      <c r="H1163" t="s">
        <v>20096</v>
      </c>
    </row>
    <row r="1164" spans="6:8">
      <c r="H1164" t="s">
        <v>20097</v>
      </c>
    </row>
    <row r="1165" spans="6:8">
      <c r="F1165" t="s">
        <v>11012</v>
      </c>
      <c r="G1165" t="s">
        <v>15403</v>
      </c>
      <c r="H1165" t="s">
        <v>20091</v>
      </c>
    </row>
    <row r="1166" spans="6:8">
      <c r="H1166" t="s">
        <v>19712</v>
      </c>
    </row>
    <row r="1167" spans="6:8">
      <c r="H1167" t="s">
        <v>19709</v>
      </c>
    </row>
    <row r="1168" spans="6:8">
      <c r="H1168" t="s">
        <v>20107</v>
      </c>
    </row>
    <row r="1169" spans="6:8">
      <c r="H1169" t="s">
        <v>20108</v>
      </c>
    </row>
    <row r="1170" spans="6:8">
      <c r="H1170" t="s">
        <v>19713</v>
      </c>
    </row>
    <row r="1171" spans="6:8">
      <c r="H1171" t="s">
        <v>19714</v>
      </c>
    </row>
    <row r="1172" spans="6:8">
      <c r="H1172" t="s">
        <v>20109</v>
      </c>
    </row>
    <row r="1173" spans="6:8">
      <c r="H1173" t="s">
        <v>20110</v>
      </c>
    </row>
    <row r="1174" spans="6:8">
      <c r="H1174" t="s">
        <v>20111</v>
      </c>
    </row>
    <row r="1175" spans="6:8">
      <c r="H1175" t="s">
        <v>20112</v>
      </c>
    </row>
    <row r="1176" spans="6:8">
      <c r="H1176" t="s">
        <v>20113</v>
      </c>
    </row>
    <row r="1177" spans="6:8">
      <c r="H1177" t="s">
        <v>20114</v>
      </c>
    </row>
    <row r="1178" spans="6:8">
      <c r="H1178" t="s">
        <v>20095</v>
      </c>
    </row>
    <row r="1179" spans="6:8">
      <c r="H1179" t="s">
        <v>20096</v>
      </c>
    </row>
    <row r="1180" spans="6:8">
      <c r="H1180" t="s">
        <v>20097</v>
      </c>
    </row>
    <row r="1181" spans="6:8">
      <c r="H1181" t="s">
        <v>20098</v>
      </c>
    </row>
    <row r="1182" spans="6:8">
      <c r="F1182" t="s">
        <v>11013</v>
      </c>
      <c r="G1182" t="s">
        <v>15404</v>
      </c>
      <c r="H1182" t="s">
        <v>20091</v>
      </c>
    </row>
    <row r="1183" spans="6:8">
      <c r="H1183" t="s">
        <v>19712</v>
      </c>
    </row>
    <row r="1184" spans="6:8">
      <c r="H1184" t="s">
        <v>19709</v>
      </c>
    </row>
    <row r="1185" spans="6:8">
      <c r="H1185" t="s">
        <v>20095</v>
      </c>
    </row>
    <row r="1186" spans="6:8">
      <c r="H1186" t="s">
        <v>20096</v>
      </c>
    </row>
    <row r="1187" spans="6:8">
      <c r="H1187" t="s">
        <v>20097</v>
      </c>
    </row>
    <row r="1188" spans="6:8">
      <c r="H1188" t="s">
        <v>20098</v>
      </c>
    </row>
    <row r="1189" spans="6:8">
      <c r="F1189" t="s">
        <v>11014</v>
      </c>
      <c r="G1189" t="s">
        <v>15405</v>
      </c>
      <c r="H1189" t="s">
        <v>20091</v>
      </c>
    </row>
    <row r="1190" spans="6:8">
      <c r="H1190" t="s">
        <v>19712</v>
      </c>
    </row>
    <row r="1191" spans="6:8">
      <c r="H1191" t="s">
        <v>19709</v>
      </c>
    </row>
    <row r="1192" spans="6:8">
      <c r="H1192" t="s">
        <v>19706</v>
      </c>
    </row>
    <row r="1193" spans="6:8">
      <c r="H1193" t="s">
        <v>20095</v>
      </c>
    </row>
    <row r="1194" spans="6:8">
      <c r="H1194" t="s">
        <v>20098</v>
      </c>
    </row>
    <row r="1195" spans="6:8">
      <c r="F1195" t="s">
        <v>11015</v>
      </c>
      <c r="G1195" t="s">
        <v>15406</v>
      </c>
      <c r="H1195" t="s">
        <v>20091</v>
      </c>
    </row>
    <row r="1196" spans="6:8">
      <c r="H1196" t="s">
        <v>19712</v>
      </c>
    </row>
    <row r="1197" spans="6:8">
      <c r="H1197" t="s">
        <v>19709</v>
      </c>
    </row>
    <row r="1198" spans="6:8">
      <c r="H1198" t="s">
        <v>19706</v>
      </c>
    </row>
    <row r="1199" spans="6:8">
      <c r="H1199" t="s">
        <v>20095</v>
      </c>
    </row>
    <row r="1200" spans="6:8">
      <c r="H1200" t="s">
        <v>20098</v>
      </c>
    </row>
    <row r="1201" spans="6:8">
      <c r="F1201" t="s">
        <v>11016</v>
      </c>
      <c r="G1201" t="s">
        <v>15407</v>
      </c>
      <c r="H1201" t="s">
        <v>20091</v>
      </c>
    </row>
    <row r="1202" spans="6:8">
      <c r="H1202" t="s">
        <v>19712</v>
      </c>
    </row>
    <row r="1203" spans="6:8">
      <c r="H1203" t="s">
        <v>19709</v>
      </c>
    </row>
    <row r="1204" spans="6:8">
      <c r="H1204" t="s">
        <v>19706</v>
      </c>
    </row>
    <row r="1205" spans="6:8">
      <c r="H1205" t="s">
        <v>19707</v>
      </c>
    </row>
    <row r="1206" spans="6:8">
      <c r="H1206" t="s">
        <v>20095</v>
      </c>
    </row>
    <row r="1207" spans="6:8">
      <c r="H1207" t="s">
        <v>20098</v>
      </c>
    </row>
    <row r="1208" spans="6:8">
      <c r="F1208" t="s">
        <v>11017</v>
      </c>
      <c r="G1208" t="s">
        <v>15408</v>
      </c>
      <c r="H1208" t="s">
        <v>20091</v>
      </c>
    </row>
    <row r="1209" spans="6:8">
      <c r="H1209" t="s">
        <v>19712</v>
      </c>
    </row>
    <row r="1210" spans="6:8">
      <c r="H1210" t="s">
        <v>19709</v>
      </c>
    </row>
    <row r="1211" spans="6:8">
      <c r="H1211" t="s">
        <v>19706</v>
      </c>
    </row>
    <row r="1212" spans="6:8">
      <c r="H1212" t="s">
        <v>20095</v>
      </c>
    </row>
    <row r="1213" spans="6:8">
      <c r="H1213" t="s">
        <v>20096</v>
      </c>
    </row>
    <row r="1214" spans="6:8">
      <c r="H1214" t="s">
        <v>20097</v>
      </c>
    </row>
    <row r="1215" spans="6:8">
      <c r="H1215" t="s">
        <v>20098</v>
      </c>
    </row>
    <row r="1216" spans="6:8">
      <c r="F1216" t="s">
        <v>11018</v>
      </c>
      <c r="G1216" t="s">
        <v>15409</v>
      </c>
      <c r="H1216" t="s">
        <v>20091</v>
      </c>
    </row>
    <row r="1217" spans="6:8">
      <c r="H1217" t="s">
        <v>19712</v>
      </c>
    </row>
    <row r="1218" spans="6:8">
      <c r="H1218" t="s">
        <v>19709</v>
      </c>
    </row>
    <row r="1219" spans="6:8">
      <c r="H1219" t="s">
        <v>20095</v>
      </c>
    </row>
    <row r="1220" spans="6:8">
      <c r="H1220" t="s">
        <v>20096</v>
      </c>
    </row>
    <row r="1221" spans="6:8">
      <c r="H1221" t="s">
        <v>20097</v>
      </c>
    </row>
    <row r="1222" spans="6:8">
      <c r="H1222" t="s">
        <v>20098</v>
      </c>
    </row>
    <row r="1223" spans="6:8">
      <c r="F1223" t="s">
        <v>11019</v>
      </c>
      <c r="G1223" t="s">
        <v>15410</v>
      </c>
      <c r="H1223" t="s">
        <v>20091</v>
      </c>
    </row>
    <row r="1224" spans="6:8">
      <c r="H1224" t="s">
        <v>19712</v>
      </c>
    </row>
    <row r="1225" spans="6:8">
      <c r="H1225" t="s">
        <v>19709</v>
      </c>
    </row>
    <row r="1226" spans="6:8">
      <c r="H1226" t="s">
        <v>20107</v>
      </c>
    </row>
    <row r="1227" spans="6:8">
      <c r="H1227" t="s">
        <v>20108</v>
      </c>
    </row>
    <row r="1228" spans="6:8">
      <c r="H1228" t="s">
        <v>19713</v>
      </c>
    </row>
    <row r="1229" spans="6:8">
      <c r="H1229" t="s">
        <v>19714</v>
      </c>
    </row>
    <row r="1230" spans="6:8">
      <c r="H1230" t="s">
        <v>20109</v>
      </c>
    </row>
    <row r="1231" spans="6:8">
      <c r="H1231" t="s">
        <v>20110</v>
      </c>
    </row>
    <row r="1232" spans="6:8">
      <c r="H1232" t="s">
        <v>20095</v>
      </c>
    </row>
    <row r="1233" spans="6:8">
      <c r="H1233" t="s">
        <v>20096</v>
      </c>
    </row>
    <row r="1234" spans="6:8">
      <c r="H1234" t="s">
        <v>20097</v>
      </c>
    </row>
    <row r="1235" spans="6:8">
      <c r="H1235" t="s">
        <v>20098</v>
      </c>
    </row>
    <row r="1236" spans="6:8">
      <c r="H1236" t="s">
        <v>20099</v>
      </c>
    </row>
    <row r="1237" spans="6:8">
      <c r="F1237" t="s">
        <v>11020</v>
      </c>
      <c r="G1237" t="s">
        <v>15411</v>
      </c>
      <c r="H1237" t="s">
        <v>20091</v>
      </c>
    </row>
    <row r="1238" spans="6:8">
      <c r="H1238" t="s">
        <v>19712</v>
      </c>
    </row>
    <row r="1239" spans="6:8">
      <c r="H1239" t="s">
        <v>19709</v>
      </c>
    </row>
    <row r="1240" spans="6:8">
      <c r="H1240" t="s">
        <v>20107</v>
      </c>
    </row>
    <row r="1241" spans="6:8">
      <c r="H1241" t="s">
        <v>20108</v>
      </c>
    </row>
    <row r="1242" spans="6:8">
      <c r="H1242" t="s">
        <v>19713</v>
      </c>
    </row>
    <row r="1243" spans="6:8">
      <c r="H1243" t="s">
        <v>19714</v>
      </c>
    </row>
    <row r="1244" spans="6:8">
      <c r="H1244" t="s">
        <v>20109</v>
      </c>
    </row>
    <row r="1245" spans="6:8">
      <c r="H1245" t="s">
        <v>20110</v>
      </c>
    </row>
    <row r="1246" spans="6:8">
      <c r="H1246" t="s">
        <v>20095</v>
      </c>
    </row>
    <row r="1247" spans="6:8">
      <c r="H1247" t="s">
        <v>20096</v>
      </c>
    </row>
    <row r="1248" spans="6:8">
      <c r="H1248" t="s">
        <v>20097</v>
      </c>
    </row>
    <row r="1249" spans="6:8">
      <c r="H1249" t="s">
        <v>20098</v>
      </c>
    </row>
    <row r="1250" spans="6:8">
      <c r="F1250" t="s">
        <v>11021</v>
      </c>
      <c r="G1250" t="s">
        <v>15412</v>
      </c>
      <c r="H1250" t="s">
        <v>20091</v>
      </c>
    </row>
    <row r="1251" spans="6:8">
      <c r="H1251" t="s">
        <v>19712</v>
      </c>
    </row>
    <row r="1252" spans="6:8">
      <c r="H1252" t="s">
        <v>19709</v>
      </c>
    </row>
    <row r="1253" spans="6:8">
      <c r="H1253" t="s">
        <v>20107</v>
      </c>
    </row>
    <row r="1254" spans="6:8">
      <c r="H1254" t="s">
        <v>20108</v>
      </c>
    </row>
    <row r="1255" spans="6:8">
      <c r="H1255" t="s">
        <v>19713</v>
      </c>
    </row>
    <row r="1256" spans="6:8">
      <c r="H1256" t="s">
        <v>19714</v>
      </c>
    </row>
    <row r="1257" spans="6:8">
      <c r="H1257" t="s">
        <v>20109</v>
      </c>
    </row>
    <row r="1258" spans="6:8">
      <c r="H1258" t="s">
        <v>20110</v>
      </c>
    </row>
    <row r="1259" spans="6:8">
      <c r="H1259" t="s">
        <v>20095</v>
      </c>
    </row>
    <row r="1260" spans="6:8">
      <c r="H1260" t="s">
        <v>20096</v>
      </c>
    </row>
    <row r="1261" spans="6:8">
      <c r="H1261" t="s">
        <v>20097</v>
      </c>
    </row>
    <row r="1262" spans="6:8">
      <c r="H1262" t="s">
        <v>20098</v>
      </c>
    </row>
    <row r="1263" spans="6:8">
      <c r="H1263" t="s">
        <v>20099</v>
      </c>
    </row>
    <row r="1264" spans="6:8">
      <c r="F1264" t="s">
        <v>11022</v>
      </c>
      <c r="G1264" t="s">
        <v>15413</v>
      </c>
      <c r="H1264" t="s">
        <v>20091</v>
      </c>
    </row>
    <row r="1265" spans="6:8">
      <c r="H1265" t="s">
        <v>19712</v>
      </c>
    </row>
    <row r="1266" spans="6:8">
      <c r="H1266" t="s">
        <v>19709</v>
      </c>
    </row>
    <row r="1267" spans="6:8">
      <c r="H1267" t="s">
        <v>20107</v>
      </c>
    </row>
    <row r="1268" spans="6:8">
      <c r="H1268" t="s">
        <v>20108</v>
      </c>
    </row>
    <row r="1269" spans="6:8">
      <c r="H1269" t="s">
        <v>19713</v>
      </c>
    </row>
    <row r="1270" spans="6:8">
      <c r="H1270" t="s">
        <v>19714</v>
      </c>
    </row>
    <row r="1271" spans="6:8">
      <c r="H1271" t="s">
        <v>20109</v>
      </c>
    </row>
    <row r="1272" spans="6:8">
      <c r="H1272" t="s">
        <v>20110</v>
      </c>
    </row>
    <row r="1273" spans="6:8">
      <c r="H1273" t="s">
        <v>20111</v>
      </c>
    </row>
    <row r="1274" spans="6:8">
      <c r="H1274" t="s">
        <v>20112</v>
      </c>
    </row>
    <row r="1275" spans="6:8">
      <c r="H1275" t="s">
        <v>20113</v>
      </c>
    </row>
    <row r="1276" spans="6:8">
      <c r="H1276" t="s">
        <v>20095</v>
      </c>
    </row>
    <row r="1277" spans="6:8">
      <c r="H1277" t="s">
        <v>20096</v>
      </c>
    </row>
    <row r="1278" spans="6:8">
      <c r="H1278" t="s">
        <v>20097</v>
      </c>
    </row>
    <row r="1279" spans="6:8">
      <c r="H1279" t="s">
        <v>20098</v>
      </c>
    </row>
    <row r="1280" spans="6:8">
      <c r="F1280" t="s">
        <v>11023</v>
      </c>
      <c r="G1280" t="s">
        <v>15414</v>
      </c>
      <c r="H1280" t="s">
        <v>20091</v>
      </c>
    </row>
    <row r="1281" spans="6:8">
      <c r="H1281" t="s">
        <v>19712</v>
      </c>
    </row>
    <row r="1282" spans="6:8">
      <c r="H1282" t="s">
        <v>20092</v>
      </c>
    </row>
    <row r="1283" spans="6:8">
      <c r="H1283" t="s">
        <v>20093</v>
      </c>
    </row>
    <row r="1284" spans="6:8">
      <c r="H1284" t="s">
        <v>20094</v>
      </c>
    </row>
    <row r="1285" spans="6:8">
      <c r="H1285" t="s">
        <v>20095</v>
      </c>
    </row>
    <row r="1286" spans="6:8">
      <c r="H1286" t="s">
        <v>20096</v>
      </c>
    </row>
    <row r="1287" spans="6:8">
      <c r="H1287" t="s">
        <v>20097</v>
      </c>
    </row>
    <row r="1288" spans="6:8">
      <c r="H1288" t="s">
        <v>20098</v>
      </c>
    </row>
    <row r="1289" spans="6:8">
      <c r="H1289" t="s">
        <v>20099</v>
      </c>
    </row>
    <row r="1290" spans="6:8">
      <c r="H1290" t="s">
        <v>20100</v>
      </c>
    </row>
    <row r="1291" spans="6:8">
      <c r="H1291" t="s">
        <v>20101</v>
      </c>
    </row>
    <row r="1292" spans="6:8">
      <c r="H1292" t="s">
        <v>20102</v>
      </c>
    </row>
    <row r="1293" spans="6:8">
      <c r="F1293" t="s">
        <v>11024</v>
      </c>
      <c r="G1293" t="s">
        <v>15415</v>
      </c>
      <c r="H1293" t="s">
        <v>20091</v>
      </c>
    </row>
    <row r="1294" spans="6:8">
      <c r="H1294" t="s">
        <v>19712</v>
      </c>
    </row>
    <row r="1295" spans="6:8">
      <c r="H1295" t="s">
        <v>20092</v>
      </c>
    </row>
    <row r="1296" spans="6:8">
      <c r="H1296" t="s">
        <v>20093</v>
      </c>
    </row>
    <row r="1297" spans="6:8">
      <c r="H1297" t="s">
        <v>20094</v>
      </c>
    </row>
    <row r="1298" spans="6:8">
      <c r="H1298" t="s">
        <v>20095</v>
      </c>
    </row>
    <row r="1299" spans="6:8">
      <c r="H1299" t="s">
        <v>20096</v>
      </c>
    </row>
    <row r="1300" spans="6:8">
      <c r="H1300" t="s">
        <v>20097</v>
      </c>
    </row>
    <row r="1301" spans="6:8">
      <c r="H1301" t="s">
        <v>20098</v>
      </c>
    </row>
    <row r="1302" spans="6:8">
      <c r="H1302" t="s">
        <v>20099</v>
      </c>
    </row>
    <row r="1303" spans="6:8">
      <c r="H1303" t="s">
        <v>20100</v>
      </c>
    </row>
    <row r="1304" spans="6:8">
      <c r="H1304" t="s">
        <v>20101</v>
      </c>
    </row>
    <row r="1305" spans="6:8">
      <c r="H1305" t="s">
        <v>20102</v>
      </c>
    </row>
    <row r="1306" spans="6:8">
      <c r="F1306" t="s">
        <v>11025</v>
      </c>
      <c r="G1306" t="s">
        <v>15416</v>
      </c>
      <c r="H1306" t="s">
        <v>20091</v>
      </c>
    </row>
    <row r="1307" spans="6:8">
      <c r="H1307" t="s">
        <v>19712</v>
      </c>
    </row>
    <row r="1308" spans="6:8">
      <c r="H1308" t="s">
        <v>19709</v>
      </c>
    </row>
    <row r="1309" spans="6:8">
      <c r="H1309" t="s">
        <v>20107</v>
      </c>
    </row>
    <row r="1310" spans="6:8">
      <c r="H1310" t="s">
        <v>20108</v>
      </c>
    </row>
    <row r="1311" spans="6:8">
      <c r="H1311" t="s">
        <v>19713</v>
      </c>
    </row>
    <row r="1312" spans="6:8">
      <c r="H1312" t="s">
        <v>19714</v>
      </c>
    </row>
    <row r="1313" spans="6:8">
      <c r="H1313" t="s">
        <v>20109</v>
      </c>
    </row>
    <row r="1314" spans="6:8">
      <c r="H1314" t="s">
        <v>20095</v>
      </c>
    </row>
    <row r="1315" spans="6:8">
      <c r="H1315" t="s">
        <v>20096</v>
      </c>
    </row>
    <row r="1316" spans="6:8">
      <c r="H1316" t="s">
        <v>20097</v>
      </c>
    </row>
    <row r="1317" spans="6:8">
      <c r="H1317" t="s">
        <v>20098</v>
      </c>
    </row>
    <row r="1318" spans="6:8">
      <c r="F1318" t="s">
        <v>11026</v>
      </c>
      <c r="G1318" t="s">
        <v>15417</v>
      </c>
      <c r="H1318" t="s">
        <v>20091</v>
      </c>
    </row>
    <row r="1319" spans="6:8">
      <c r="H1319" t="s">
        <v>19712</v>
      </c>
    </row>
    <row r="1320" spans="6:8">
      <c r="H1320" t="s">
        <v>19709</v>
      </c>
    </row>
    <row r="1321" spans="6:8">
      <c r="H1321" t="s">
        <v>20107</v>
      </c>
    </row>
    <row r="1322" spans="6:8">
      <c r="H1322" t="s">
        <v>20108</v>
      </c>
    </row>
    <row r="1323" spans="6:8">
      <c r="H1323" t="s">
        <v>19713</v>
      </c>
    </row>
    <row r="1324" spans="6:8">
      <c r="H1324" t="s">
        <v>19714</v>
      </c>
    </row>
    <row r="1325" spans="6:8">
      <c r="H1325" t="s">
        <v>20109</v>
      </c>
    </row>
    <row r="1326" spans="6:8">
      <c r="H1326" t="s">
        <v>20095</v>
      </c>
    </row>
    <row r="1327" spans="6:8">
      <c r="H1327" t="s">
        <v>20096</v>
      </c>
    </row>
    <row r="1328" spans="6:8">
      <c r="H1328" t="s">
        <v>20097</v>
      </c>
    </row>
    <row r="1329" spans="6:8">
      <c r="H1329" t="s">
        <v>20098</v>
      </c>
    </row>
    <row r="1330" spans="6:8">
      <c r="F1330" t="s">
        <v>11027</v>
      </c>
      <c r="G1330" t="s">
        <v>15418</v>
      </c>
      <c r="H1330" t="s">
        <v>20091</v>
      </c>
    </row>
    <row r="1331" spans="6:8">
      <c r="H1331" t="s">
        <v>20095</v>
      </c>
    </row>
    <row r="1332" spans="6:8">
      <c r="F1332" t="s">
        <v>11028</v>
      </c>
      <c r="G1332" t="s">
        <v>15419</v>
      </c>
      <c r="H1332" t="s">
        <v>20091</v>
      </c>
    </row>
    <row r="1333" spans="6:8">
      <c r="H1333" t="s">
        <v>20095</v>
      </c>
    </row>
    <row r="1334" spans="6:8">
      <c r="F1334" t="s">
        <v>11029</v>
      </c>
      <c r="G1334" t="s">
        <v>15420</v>
      </c>
      <c r="H1334" t="s">
        <v>20091</v>
      </c>
    </row>
    <row r="1335" spans="6:8">
      <c r="H1335" t="s">
        <v>20095</v>
      </c>
    </row>
    <row r="1336" spans="6:8">
      <c r="F1336" t="s">
        <v>11030</v>
      </c>
      <c r="G1336" t="s">
        <v>15421</v>
      </c>
      <c r="H1336" t="s">
        <v>20091</v>
      </c>
    </row>
    <row r="1337" spans="6:8">
      <c r="H1337" t="s">
        <v>19712</v>
      </c>
    </row>
    <row r="1338" spans="6:8">
      <c r="H1338" t="s">
        <v>19709</v>
      </c>
    </row>
    <row r="1339" spans="6:8">
      <c r="H1339" t="s">
        <v>20107</v>
      </c>
    </row>
    <row r="1340" spans="6:8">
      <c r="H1340" t="s">
        <v>20108</v>
      </c>
    </row>
    <row r="1341" spans="6:8">
      <c r="H1341" t="s">
        <v>19713</v>
      </c>
    </row>
    <row r="1342" spans="6:8">
      <c r="H1342" t="s">
        <v>19714</v>
      </c>
    </row>
    <row r="1343" spans="6:8">
      <c r="H1343" t="s">
        <v>20109</v>
      </c>
    </row>
    <row r="1344" spans="6:8">
      <c r="H1344" t="s">
        <v>20110</v>
      </c>
    </row>
    <row r="1345" spans="6:8">
      <c r="H1345" t="s">
        <v>20111</v>
      </c>
    </row>
    <row r="1346" spans="6:8">
      <c r="H1346" t="s">
        <v>20112</v>
      </c>
    </row>
    <row r="1347" spans="6:8">
      <c r="H1347" t="s">
        <v>20113</v>
      </c>
    </row>
    <row r="1348" spans="6:8">
      <c r="H1348" t="s">
        <v>20095</v>
      </c>
    </row>
    <row r="1349" spans="6:8">
      <c r="H1349" t="s">
        <v>20096</v>
      </c>
    </row>
    <row r="1350" spans="6:8">
      <c r="H1350" t="s">
        <v>20097</v>
      </c>
    </row>
    <row r="1351" spans="6:8">
      <c r="H1351" t="s">
        <v>20098</v>
      </c>
    </row>
    <row r="1352" spans="6:8">
      <c r="F1352" t="s">
        <v>11031</v>
      </c>
      <c r="G1352" t="s">
        <v>15422</v>
      </c>
      <c r="H1352" t="s">
        <v>20091</v>
      </c>
    </row>
    <row r="1353" spans="6:8">
      <c r="H1353" t="s">
        <v>19712</v>
      </c>
    </row>
    <row r="1354" spans="6:8">
      <c r="H1354" t="s">
        <v>20095</v>
      </c>
    </row>
    <row r="1355" spans="6:8">
      <c r="H1355" t="s">
        <v>20096</v>
      </c>
    </row>
    <row r="1356" spans="6:8">
      <c r="H1356" t="s">
        <v>20097</v>
      </c>
    </row>
    <row r="1357" spans="6:8">
      <c r="H1357" t="s">
        <v>20098</v>
      </c>
    </row>
    <row r="1358" spans="6:8">
      <c r="H1358" t="s">
        <v>19709</v>
      </c>
    </row>
    <row r="1359" spans="6:8">
      <c r="H1359" t="s">
        <v>19706</v>
      </c>
    </row>
    <row r="1360" spans="6:8">
      <c r="H1360" t="s">
        <v>20099</v>
      </c>
    </row>
    <row r="1361" spans="6:8">
      <c r="H1361" t="s">
        <v>20100</v>
      </c>
    </row>
    <row r="1362" spans="6:8">
      <c r="H1362" t="s">
        <v>20101</v>
      </c>
    </row>
    <row r="1363" spans="6:8">
      <c r="H1363" t="s">
        <v>20102</v>
      </c>
    </row>
    <row r="1364" spans="6:8">
      <c r="F1364" t="s">
        <v>11032</v>
      </c>
      <c r="G1364" t="s">
        <v>15423</v>
      </c>
      <c r="H1364" t="s">
        <v>20091</v>
      </c>
    </row>
    <row r="1365" spans="6:8">
      <c r="H1365" t="s">
        <v>19712</v>
      </c>
    </row>
    <row r="1366" spans="6:8">
      <c r="H1366" t="s">
        <v>20095</v>
      </c>
    </row>
    <row r="1367" spans="6:8">
      <c r="H1367" t="s">
        <v>20096</v>
      </c>
    </row>
    <row r="1368" spans="6:8">
      <c r="H1368" t="s">
        <v>20097</v>
      </c>
    </row>
    <row r="1369" spans="6:8">
      <c r="H1369" t="s">
        <v>20098</v>
      </c>
    </row>
    <row r="1370" spans="6:8">
      <c r="F1370" t="s">
        <v>11033</v>
      </c>
      <c r="G1370" t="s">
        <v>15424</v>
      </c>
      <c r="H1370" t="s">
        <v>20091</v>
      </c>
    </row>
    <row r="1371" spans="6:8">
      <c r="H1371" t="s">
        <v>19712</v>
      </c>
    </row>
    <row r="1372" spans="6:8">
      <c r="H1372" t="s">
        <v>20095</v>
      </c>
    </row>
    <row r="1373" spans="6:8">
      <c r="H1373" t="s">
        <v>20096</v>
      </c>
    </row>
    <row r="1374" spans="6:8">
      <c r="H1374" t="s">
        <v>20097</v>
      </c>
    </row>
    <row r="1375" spans="6:8">
      <c r="H1375" t="s">
        <v>20098</v>
      </c>
    </row>
    <row r="1376" spans="6:8">
      <c r="F1376" t="s">
        <v>11034</v>
      </c>
      <c r="G1376" t="s">
        <v>15425</v>
      </c>
      <c r="H1376" t="s">
        <v>20091</v>
      </c>
    </row>
    <row r="1377" spans="6:8">
      <c r="H1377" t="s">
        <v>19712</v>
      </c>
    </row>
    <row r="1378" spans="6:8">
      <c r="H1378" t="s">
        <v>20095</v>
      </c>
    </row>
    <row r="1379" spans="6:8">
      <c r="H1379" t="s">
        <v>20096</v>
      </c>
    </row>
    <row r="1380" spans="6:8">
      <c r="H1380" t="s">
        <v>20097</v>
      </c>
    </row>
    <row r="1381" spans="6:8">
      <c r="H1381" t="s">
        <v>20098</v>
      </c>
    </row>
    <row r="1382" spans="6:8">
      <c r="F1382" t="s">
        <v>11035</v>
      </c>
      <c r="G1382" t="s">
        <v>15426</v>
      </c>
      <c r="H1382" t="s">
        <v>20091</v>
      </c>
    </row>
    <row r="1383" spans="6:8">
      <c r="H1383" t="s">
        <v>19712</v>
      </c>
    </row>
    <row r="1384" spans="6:8">
      <c r="H1384" t="s">
        <v>20095</v>
      </c>
    </row>
    <row r="1385" spans="6:8">
      <c r="H1385" t="s">
        <v>20096</v>
      </c>
    </row>
    <row r="1386" spans="6:8">
      <c r="H1386" t="s">
        <v>20097</v>
      </c>
    </row>
    <row r="1387" spans="6:8">
      <c r="H1387" t="s">
        <v>20098</v>
      </c>
    </row>
    <row r="1388" spans="6:8">
      <c r="F1388" t="s">
        <v>11036</v>
      </c>
      <c r="G1388" t="s">
        <v>15427</v>
      </c>
      <c r="H1388" t="s">
        <v>20091</v>
      </c>
    </row>
    <row r="1389" spans="6:8">
      <c r="H1389" t="s">
        <v>19712</v>
      </c>
    </row>
    <row r="1390" spans="6:8">
      <c r="H1390" t="s">
        <v>19709</v>
      </c>
    </row>
    <row r="1391" spans="6:8">
      <c r="H1391" t="s">
        <v>20107</v>
      </c>
    </row>
    <row r="1392" spans="6:8">
      <c r="H1392" t="s">
        <v>20108</v>
      </c>
    </row>
    <row r="1393" spans="6:8">
      <c r="H1393" t="s">
        <v>19713</v>
      </c>
    </row>
    <row r="1394" spans="6:8">
      <c r="H1394" t="s">
        <v>19714</v>
      </c>
    </row>
    <row r="1395" spans="6:8">
      <c r="H1395" t="s">
        <v>20109</v>
      </c>
    </row>
    <row r="1396" spans="6:8">
      <c r="H1396" t="s">
        <v>20110</v>
      </c>
    </row>
    <row r="1397" spans="6:8">
      <c r="H1397" t="s">
        <v>20111</v>
      </c>
    </row>
    <row r="1398" spans="6:8">
      <c r="H1398" t="s">
        <v>20112</v>
      </c>
    </row>
    <row r="1399" spans="6:8">
      <c r="H1399" t="s">
        <v>20095</v>
      </c>
    </row>
    <row r="1400" spans="6:8">
      <c r="H1400" t="s">
        <v>20096</v>
      </c>
    </row>
    <row r="1401" spans="6:8">
      <c r="H1401" t="s">
        <v>20097</v>
      </c>
    </row>
    <row r="1402" spans="6:8">
      <c r="H1402" t="s">
        <v>20098</v>
      </c>
    </row>
    <row r="1403" spans="6:8">
      <c r="F1403" t="s">
        <v>11037</v>
      </c>
      <c r="G1403" t="s">
        <v>15428</v>
      </c>
      <c r="H1403" t="s">
        <v>20091</v>
      </c>
    </row>
    <row r="1404" spans="6:8">
      <c r="H1404" t="s">
        <v>19712</v>
      </c>
    </row>
    <row r="1405" spans="6:8">
      <c r="H1405" t="s">
        <v>19709</v>
      </c>
    </row>
    <row r="1406" spans="6:8">
      <c r="H1406" t="s">
        <v>19706</v>
      </c>
    </row>
    <row r="1407" spans="6:8">
      <c r="H1407" t="s">
        <v>20107</v>
      </c>
    </row>
    <row r="1408" spans="6:8">
      <c r="H1408" t="s">
        <v>20108</v>
      </c>
    </row>
    <row r="1409" spans="6:8">
      <c r="H1409" t="s">
        <v>19713</v>
      </c>
    </row>
    <row r="1410" spans="6:8">
      <c r="H1410" t="s">
        <v>19714</v>
      </c>
    </row>
    <row r="1411" spans="6:8">
      <c r="H1411" t="s">
        <v>20109</v>
      </c>
    </row>
    <row r="1412" spans="6:8">
      <c r="H1412" t="s">
        <v>20095</v>
      </c>
    </row>
    <row r="1413" spans="6:8">
      <c r="H1413" t="s">
        <v>20096</v>
      </c>
    </row>
    <row r="1414" spans="6:8">
      <c r="H1414" t="s">
        <v>20097</v>
      </c>
    </row>
    <row r="1415" spans="6:8">
      <c r="H1415" t="s">
        <v>20098</v>
      </c>
    </row>
    <row r="1416" spans="6:8">
      <c r="F1416" t="s">
        <v>11038</v>
      </c>
      <c r="G1416" t="s">
        <v>15429</v>
      </c>
      <c r="H1416" t="s">
        <v>20091</v>
      </c>
    </row>
    <row r="1417" spans="6:8">
      <c r="H1417" t="s">
        <v>19712</v>
      </c>
    </row>
    <row r="1418" spans="6:8">
      <c r="H1418" t="s">
        <v>19709</v>
      </c>
    </row>
    <row r="1419" spans="6:8">
      <c r="H1419" t="s">
        <v>20107</v>
      </c>
    </row>
    <row r="1420" spans="6:8">
      <c r="H1420" t="s">
        <v>20108</v>
      </c>
    </row>
    <row r="1421" spans="6:8">
      <c r="H1421" t="s">
        <v>19713</v>
      </c>
    </row>
    <row r="1422" spans="6:8">
      <c r="H1422" t="s">
        <v>19714</v>
      </c>
    </row>
    <row r="1423" spans="6:8">
      <c r="H1423" t="s">
        <v>20109</v>
      </c>
    </row>
    <row r="1424" spans="6:8">
      <c r="H1424" t="s">
        <v>20110</v>
      </c>
    </row>
    <row r="1425" spans="6:8">
      <c r="H1425" t="s">
        <v>20111</v>
      </c>
    </row>
    <row r="1426" spans="6:8">
      <c r="H1426" t="s">
        <v>20112</v>
      </c>
    </row>
    <row r="1427" spans="6:8">
      <c r="H1427" t="s">
        <v>20113</v>
      </c>
    </row>
    <row r="1428" spans="6:8">
      <c r="H1428" t="s">
        <v>20095</v>
      </c>
    </row>
    <row r="1429" spans="6:8">
      <c r="H1429" t="s">
        <v>20096</v>
      </c>
    </row>
    <row r="1430" spans="6:8">
      <c r="H1430" t="s">
        <v>20097</v>
      </c>
    </row>
    <row r="1431" spans="6:8">
      <c r="H1431" t="s">
        <v>20098</v>
      </c>
    </row>
    <row r="1432" spans="6:8">
      <c r="F1432" t="s">
        <v>11039</v>
      </c>
      <c r="G1432" t="s">
        <v>15430</v>
      </c>
      <c r="H1432" t="s">
        <v>20091</v>
      </c>
    </row>
    <row r="1433" spans="6:8">
      <c r="H1433" t="s">
        <v>19712</v>
      </c>
    </row>
    <row r="1434" spans="6:8">
      <c r="H1434" t="s">
        <v>19709</v>
      </c>
    </row>
    <row r="1435" spans="6:8">
      <c r="H1435" t="s">
        <v>20092</v>
      </c>
    </row>
    <row r="1436" spans="6:8">
      <c r="H1436" t="s">
        <v>20093</v>
      </c>
    </row>
    <row r="1437" spans="6:8">
      <c r="H1437" t="s">
        <v>20095</v>
      </c>
    </row>
    <row r="1438" spans="6:8">
      <c r="H1438" t="s">
        <v>20096</v>
      </c>
    </row>
    <row r="1439" spans="6:8">
      <c r="H1439" t="s">
        <v>20097</v>
      </c>
    </row>
    <row r="1440" spans="6:8">
      <c r="H1440" t="s">
        <v>20098</v>
      </c>
    </row>
    <row r="1441" spans="6:8">
      <c r="H1441" t="s">
        <v>20099</v>
      </c>
    </row>
    <row r="1442" spans="6:8">
      <c r="H1442" t="s">
        <v>20100</v>
      </c>
    </row>
    <row r="1443" spans="6:8">
      <c r="F1443" t="s">
        <v>11040</v>
      </c>
      <c r="G1443" t="s">
        <v>15431</v>
      </c>
      <c r="H1443" t="s">
        <v>20091</v>
      </c>
    </row>
    <row r="1444" spans="6:8">
      <c r="H1444" t="s">
        <v>19712</v>
      </c>
    </row>
    <row r="1445" spans="6:8">
      <c r="H1445" t="s">
        <v>20095</v>
      </c>
    </row>
    <row r="1446" spans="6:8">
      <c r="H1446" t="s">
        <v>20096</v>
      </c>
    </row>
    <row r="1447" spans="6:8">
      <c r="H1447" t="s">
        <v>20097</v>
      </c>
    </row>
    <row r="1448" spans="6:8">
      <c r="H1448" t="s">
        <v>19709</v>
      </c>
    </row>
    <row r="1449" spans="6:8">
      <c r="H1449" t="s">
        <v>19706</v>
      </c>
    </row>
    <row r="1450" spans="6:8">
      <c r="H1450" t="s">
        <v>20098</v>
      </c>
    </row>
    <row r="1451" spans="6:8">
      <c r="H1451" t="s">
        <v>20099</v>
      </c>
    </row>
    <row r="1452" spans="6:8">
      <c r="H1452" t="s">
        <v>20100</v>
      </c>
    </row>
    <row r="1453" spans="6:8">
      <c r="F1453" t="s">
        <v>11041</v>
      </c>
      <c r="G1453" t="s">
        <v>15432</v>
      </c>
      <c r="H1453" t="s">
        <v>20091</v>
      </c>
    </row>
    <row r="1454" spans="6:8">
      <c r="H1454" t="s">
        <v>19712</v>
      </c>
    </row>
    <row r="1455" spans="6:8">
      <c r="H1455" t="s">
        <v>20095</v>
      </c>
    </row>
    <row r="1456" spans="6:8">
      <c r="H1456" t="s">
        <v>20096</v>
      </c>
    </row>
    <row r="1457" spans="6:8">
      <c r="H1457" t="s">
        <v>20097</v>
      </c>
    </row>
    <row r="1458" spans="6:8">
      <c r="F1458" t="s">
        <v>11042</v>
      </c>
      <c r="G1458" t="s">
        <v>15433</v>
      </c>
      <c r="H1458" t="s">
        <v>20091</v>
      </c>
    </row>
    <row r="1459" spans="6:8">
      <c r="H1459" t="s">
        <v>19712</v>
      </c>
    </row>
    <row r="1460" spans="6:8">
      <c r="H1460" t="s">
        <v>20095</v>
      </c>
    </row>
    <row r="1461" spans="6:8">
      <c r="H1461" t="s">
        <v>20096</v>
      </c>
    </row>
    <row r="1462" spans="6:8">
      <c r="H1462" t="s">
        <v>20097</v>
      </c>
    </row>
    <row r="1463" spans="6:8">
      <c r="F1463" t="s">
        <v>11043</v>
      </c>
      <c r="G1463" t="s">
        <v>15434</v>
      </c>
      <c r="H1463" t="s">
        <v>20091</v>
      </c>
    </row>
    <row r="1464" spans="6:8">
      <c r="H1464" t="s">
        <v>19712</v>
      </c>
    </row>
    <row r="1465" spans="6:8">
      <c r="H1465" t="s">
        <v>20095</v>
      </c>
    </row>
    <row r="1466" spans="6:8">
      <c r="H1466" t="s">
        <v>20096</v>
      </c>
    </row>
    <row r="1467" spans="6:8">
      <c r="H1467" t="s">
        <v>20097</v>
      </c>
    </row>
    <row r="1468" spans="6:8">
      <c r="F1468" t="s">
        <v>11044</v>
      </c>
      <c r="G1468" t="s">
        <v>15435</v>
      </c>
      <c r="H1468" t="s">
        <v>20091</v>
      </c>
    </row>
    <row r="1469" spans="6:8">
      <c r="H1469" t="s">
        <v>19712</v>
      </c>
    </row>
    <row r="1470" spans="6:8">
      <c r="H1470" t="s">
        <v>20095</v>
      </c>
    </row>
    <row r="1471" spans="6:8">
      <c r="H1471" t="s">
        <v>20096</v>
      </c>
    </row>
    <row r="1472" spans="6:8">
      <c r="H1472" t="s">
        <v>20097</v>
      </c>
    </row>
    <row r="1473" spans="6:8">
      <c r="F1473" t="s">
        <v>11045</v>
      </c>
      <c r="G1473" t="s">
        <v>15436</v>
      </c>
      <c r="H1473" t="s">
        <v>20091</v>
      </c>
    </row>
    <row r="1474" spans="6:8">
      <c r="H1474" t="s">
        <v>19712</v>
      </c>
    </row>
    <row r="1475" spans="6:8">
      <c r="H1475" t="s">
        <v>19709</v>
      </c>
    </row>
    <row r="1476" spans="6:8">
      <c r="H1476" t="s">
        <v>20107</v>
      </c>
    </row>
    <row r="1477" spans="6:8">
      <c r="H1477" t="s">
        <v>20108</v>
      </c>
    </row>
    <row r="1478" spans="6:8">
      <c r="H1478" t="s">
        <v>19713</v>
      </c>
    </row>
    <row r="1479" spans="6:8">
      <c r="H1479" t="s">
        <v>19714</v>
      </c>
    </row>
    <row r="1480" spans="6:8">
      <c r="H1480" t="s">
        <v>20109</v>
      </c>
    </row>
    <row r="1481" spans="6:8">
      <c r="H1481" t="s">
        <v>20110</v>
      </c>
    </row>
    <row r="1482" spans="6:8">
      <c r="H1482" t="s">
        <v>20111</v>
      </c>
    </row>
    <row r="1483" spans="6:8">
      <c r="H1483" t="s">
        <v>20112</v>
      </c>
    </row>
    <row r="1484" spans="6:8">
      <c r="H1484" t="s">
        <v>20113</v>
      </c>
    </row>
    <row r="1485" spans="6:8">
      <c r="H1485" t="s">
        <v>20114</v>
      </c>
    </row>
    <row r="1486" spans="6:8">
      <c r="H1486" t="s">
        <v>20115</v>
      </c>
    </row>
    <row r="1487" spans="6:8">
      <c r="H1487" t="s">
        <v>20095</v>
      </c>
    </row>
    <row r="1488" spans="6:8">
      <c r="H1488" t="s">
        <v>20096</v>
      </c>
    </row>
    <row r="1489" spans="6:8">
      <c r="H1489" t="s">
        <v>20097</v>
      </c>
    </row>
    <row r="1490" spans="6:8">
      <c r="H1490" t="s">
        <v>20098</v>
      </c>
    </row>
    <row r="1491" spans="6:8">
      <c r="F1491" t="s">
        <v>11046</v>
      </c>
      <c r="G1491" t="s">
        <v>15437</v>
      </c>
      <c r="H1491" t="s">
        <v>20091</v>
      </c>
    </row>
    <row r="1492" spans="6:8">
      <c r="H1492" t="s">
        <v>19712</v>
      </c>
    </row>
    <row r="1493" spans="6:8">
      <c r="H1493" t="s">
        <v>19709</v>
      </c>
    </row>
    <row r="1494" spans="6:8">
      <c r="H1494" t="s">
        <v>19706</v>
      </c>
    </row>
    <row r="1495" spans="6:8">
      <c r="H1495" t="s">
        <v>20092</v>
      </c>
    </row>
    <row r="1496" spans="6:8">
      <c r="H1496" t="s">
        <v>20093</v>
      </c>
    </row>
    <row r="1497" spans="6:8">
      <c r="H1497" t="s">
        <v>20094</v>
      </c>
    </row>
    <row r="1498" spans="6:8">
      <c r="H1498" t="s">
        <v>20103</v>
      </c>
    </row>
    <row r="1499" spans="6:8">
      <c r="H1499" t="s">
        <v>20116</v>
      </c>
    </row>
    <row r="1500" spans="6:8">
      <c r="H1500" t="s">
        <v>20117</v>
      </c>
    </row>
    <row r="1501" spans="6:8">
      <c r="H1501" t="s">
        <v>20118</v>
      </c>
    </row>
    <row r="1502" spans="6:8">
      <c r="H1502" t="s">
        <v>20119</v>
      </c>
    </row>
    <row r="1503" spans="6:8">
      <c r="H1503" t="s">
        <v>19176</v>
      </c>
    </row>
    <row r="1504" spans="6:8">
      <c r="H1504" t="s">
        <v>20095</v>
      </c>
    </row>
    <row r="1505" spans="6:8">
      <c r="H1505" t="s">
        <v>20096</v>
      </c>
    </row>
    <row r="1506" spans="6:8">
      <c r="H1506" t="s">
        <v>20097</v>
      </c>
    </row>
    <row r="1507" spans="6:8">
      <c r="H1507" t="s">
        <v>20098</v>
      </c>
    </row>
    <row r="1508" spans="6:8">
      <c r="F1508" t="s">
        <v>11047</v>
      </c>
      <c r="G1508" t="s">
        <v>15438</v>
      </c>
      <c r="H1508" t="s">
        <v>20091</v>
      </c>
    </row>
    <row r="1509" spans="6:8">
      <c r="H1509" t="s">
        <v>19712</v>
      </c>
    </row>
    <row r="1510" spans="6:8">
      <c r="H1510" t="s">
        <v>19709</v>
      </c>
    </row>
    <row r="1511" spans="6:8">
      <c r="H1511" t="s">
        <v>20092</v>
      </c>
    </row>
    <row r="1512" spans="6:8">
      <c r="H1512" t="s">
        <v>20093</v>
      </c>
    </row>
    <row r="1513" spans="6:8">
      <c r="H1513" t="s">
        <v>20094</v>
      </c>
    </row>
    <row r="1514" spans="6:8">
      <c r="H1514" t="s">
        <v>20103</v>
      </c>
    </row>
    <row r="1515" spans="6:8">
      <c r="H1515" t="s">
        <v>20116</v>
      </c>
    </row>
    <row r="1516" spans="6:8">
      <c r="H1516" t="s">
        <v>20117</v>
      </c>
    </row>
    <row r="1517" spans="6:8">
      <c r="H1517" t="s">
        <v>20118</v>
      </c>
    </row>
    <row r="1518" spans="6:8">
      <c r="H1518" t="s">
        <v>20095</v>
      </c>
    </row>
    <row r="1519" spans="6:8">
      <c r="H1519" t="s">
        <v>20096</v>
      </c>
    </row>
    <row r="1520" spans="6:8">
      <c r="H1520" t="s">
        <v>20097</v>
      </c>
    </row>
    <row r="1521" spans="6:8">
      <c r="F1521" t="s">
        <v>11048</v>
      </c>
      <c r="G1521" t="s">
        <v>15439</v>
      </c>
      <c r="H1521" t="s">
        <v>20091</v>
      </c>
    </row>
    <row r="1522" spans="6:8">
      <c r="H1522" t="s">
        <v>19712</v>
      </c>
    </row>
    <row r="1523" spans="6:8">
      <c r="H1523" t="s">
        <v>19709</v>
      </c>
    </row>
    <row r="1524" spans="6:8">
      <c r="H1524" t="s">
        <v>20095</v>
      </c>
    </row>
    <row r="1525" spans="6:8">
      <c r="H1525" t="s">
        <v>20096</v>
      </c>
    </row>
    <row r="1526" spans="6:8">
      <c r="H1526" t="s">
        <v>20097</v>
      </c>
    </row>
    <row r="1527" spans="6:8">
      <c r="F1527" t="s">
        <v>11049</v>
      </c>
      <c r="G1527" t="s">
        <v>15440</v>
      </c>
      <c r="H1527" t="s">
        <v>20091</v>
      </c>
    </row>
    <row r="1528" spans="6:8">
      <c r="H1528" t="s">
        <v>19712</v>
      </c>
    </row>
    <row r="1529" spans="6:8">
      <c r="H1529" t="s">
        <v>19709</v>
      </c>
    </row>
    <row r="1530" spans="6:8">
      <c r="H1530" t="s">
        <v>19706</v>
      </c>
    </row>
    <row r="1531" spans="6:8">
      <c r="H1531" t="s">
        <v>19707</v>
      </c>
    </row>
    <row r="1532" spans="6:8">
      <c r="H1532" t="s">
        <v>19711</v>
      </c>
    </row>
    <row r="1533" spans="6:8">
      <c r="H1533" t="s">
        <v>20107</v>
      </c>
    </row>
    <row r="1534" spans="6:8">
      <c r="H1534" t="s">
        <v>20108</v>
      </c>
    </row>
    <row r="1535" spans="6:8">
      <c r="H1535" t="s">
        <v>19713</v>
      </c>
    </row>
    <row r="1536" spans="6:8">
      <c r="H1536" t="s">
        <v>19714</v>
      </c>
    </row>
    <row r="1537" spans="6:8">
      <c r="H1537" t="s">
        <v>20109</v>
      </c>
    </row>
    <row r="1538" spans="6:8">
      <c r="H1538" t="s">
        <v>20110</v>
      </c>
    </row>
    <row r="1539" spans="6:8">
      <c r="H1539" t="s">
        <v>20111</v>
      </c>
    </row>
    <row r="1540" spans="6:8">
      <c r="H1540" t="s">
        <v>20095</v>
      </c>
    </row>
    <row r="1541" spans="6:8">
      <c r="H1541" t="s">
        <v>20096</v>
      </c>
    </row>
    <row r="1542" spans="6:8">
      <c r="H1542" t="s">
        <v>20097</v>
      </c>
    </row>
    <row r="1543" spans="6:8">
      <c r="H1543" t="s">
        <v>20098</v>
      </c>
    </row>
    <row r="1544" spans="6:8">
      <c r="F1544" t="s">
        <v>11050</v>
      </c>
      <c r="G1544" t="s">
        <v>15441</v>
      </c>
      <c r="H1544" t="s">
        <v>20091</v>
      </c>
    </row>
    <row r="1545" spans="6:8">
      <c r="H1545" t="s">
        <v>19712</v>
      </c>
    </row>
    <row r="1546" spans="6:8">
      <c r="H1546" t="s">
        <v>19709</v>
      </c>
    </row>
    <row r="1547" spans="6:8">
      <c r="H1547" t="s">
        <v>19706</v>
      </c>
    </row>
    <row r="1548" spans="6:8">
      <c r="H1548" t="s">
        <v>20107</v>
      </c>
    </row>
    <row r="1549" spans="6:8">
      <c r="H1549" t="s">
        <v>20108</v>
      </c>
    </row>
    <row r="1550" spans="6:8">
      <c r="H1550" t="s">
        <v>19713</v>
      </c>
    </row>
    <row r="1551" spans="6:8">
      <c r="H1551" t="s">
        <v>19714</v>
      </c>
    </row>
    <row r="1552" spans="6:8">
      <c r="H1552" t="s">
        <v>20095</v>
      </c>
    </row>
    <row r="1553" spans="6:8">
      <c r="H1553" t="s">
        <v>20096</v>
      </c>
    </row>
    <row r="1554" spans="6:8">
      <c r="H1554" t="s">
        <v>20097</v>
      </c>
    </row>
    <row r="1555" spans="6:8">
      <c r="H1555" t="s">
        <v>20098</v>
      </c>
    </row>
    <row r="1556" spans="6:8">
      <c r="F1556" t="s">
        <v>11051</v>
      </c>
      <c r="G1556" t="s">
        <v>15442</v>
      </c>
      <c r="H1556" t="s">
        <v>20091</v>
      </c>
    </row>
    <row r="1557" spans="6:8">
      <c r="H1557" t="s">
        <v>19712</v>
      </c>
    </row>
    <row r="1558" spans="6:8">
      <c r="H1558" t="s">
        <v>19709</v>
      </c>
    </row>
    <row r="1559" spans="6:8">
      <c r="H1559" t="s">
        <v>20107</v>
      </c>
    </row>
    <row r="1560" spans="6:8">
      <c r="H1560" t="s">
        <v>20108</v>
      </c>
    </row>
    <row r="1561" spans="6:8">
      <c r="H1561" t="s">
        <v>19713</v>
      </c>
    </row>
    <row r="1562" spans="6:8">
      <c r="H1562" t="s">
        <v>20095</v>
      </c>
    </row>
    <row r="1563" spans="6:8">
      <c r="H1563" t="s">
        <v>20096</v>
      </c>
    </row>
    <row r="1564" spans="6:8">
      <c r="H1564" t="s">
        <v>20097</v>
      </c>
    </row>
    <row r="1565" spans="6:8">
      <c r="H1565" t="s">
        <v>20098</v>
      </c>
    </row>
    <row r="1566" spans="6:8">
      <c r="H1566" t="s">
        <v>20099</v>
      </c>
    </row>
    <row r="1567" spans="6:8">
      <c r="F1567" t="s">
        <v>11052</v>
      </c>
      <c r="G1567" t="s">
        <v>15443</v>
      </c>
      <c r="H1567" t="s">
        <v>20091</v>
      </c>
    </row>
    <row r="1568" spans="6:8">
      <c r="H1568" t="s">
        <v>19712</v>
      </c>
    </row>
    <row r="1569" spans="6:8">
      <c r="H1569" t="s">
        <v>19709</v>
      </c>
    </row>
    <row r="1570" spans="6:8">
      <c r="H1570" t="s">
        <v>19706</v>
      </c>
    </row>
    <row r="1571" spans="6:8">
      <c r="H1571" t="s">
        <v>20107</v>
      </c>
    </row>
    <row r="1572" spans="6:8">
      <c r="H1572" t="s">
        <v>20108</v>
      </c>
    </row>
    <row r="1573" spans="6:8">
      <c r="H1573" t="s">
        <v>19713</v>
      </c>
    </row>
    <row r="1574" spans="6:8">
      <c r="H1574" t="s">
        <v>20095</v>
      </c>
    </row>
    <row r="1575" spans="6:8">
      <c r="H1575" t="s">
        <v>20096</v>
      </c>
    </row>
    <row r="1576" spans="6:8">
      <c r="H1576" t="s">
        <v>20097</v>
      </c>
    </row>
    <row r="1577" spans="6:8">
      <c r="H1577" t="s">
        <v>20098</v>
      </c>
    </row>
    <row r="1578" spans="6:8">
      <c r="F1578" t="s">
        <v>11053</v>
      </c>
      <c r="G1578" t="s">
        <v>15444</v>
      </c>
      <c r="H1578" t="s">
        <v>20091</v>
      </c>
    </row>
    <row r="1579" spans="6:8">
      <c r="H1579" t="s">
        <v>19712</v>
      </c>
    </row>
    <row r="1580" spans="6:8">
      <c r="H1580" t="s">
        <v>19709</v>
      </c>
    </row>
    <row r="1581" spans="6:8">
      <c r="H1581" t="s">
        <v>20107</v>
      </c>
    </row>
    <row r="1582" spans="6:8">
      <c r="H1582" t="s">
        <v>20108</v>
      </c>
    </row>
    <row r="1583" spans="6:8">
      <c r="H1583" t="s">
        <v>19713</v>
      </c>
    </row>
    <row r="1584" spans="6:8">
      <c r="H1584" t="s">
        <v>20095</v>
      </c>
    </row>
    <row r="1585" spans="6:8">
      <c r="H1585" t="s">
        <v>20096</v>
      </c>
    </row>
    <row r="1586" spans="6:8">
      <c r="H1586" t="s">
        <v>20097</v>
      </c>
    </row>
    <row r="1587" spans="6:8">
      <c r="H1587" t="s">
        <v>20098</v>
      </c>
    </row>
    <row r="1588" spans="6:8">
      <c r="H1588" t="s">
        <v>20099</v>
      </c>
    </row>
    <row r="1589" spans="6:8">
      <c r="F1589" t="s">
        <v>11054</v>
      </c>
      <c r="G1589" t="s">
        <v>15445</v>
      </c>
      <c r="H1589" t="s">
        <v>20091</v>
      </c>
    </row>
    <row r="1590" spans="6:8">
      <c r="H1590" t="s">
        <v>19712</v>
      </c>
    </row>
    <row r="1591" spans="6:8">
      <c r="H1591" t="s">
        <v>19709</v>
      </c>
    </row>
    <row r="1592" spans="6:8">
      <c r="H1592" t="s">
        <v>19706</v>
      </c>
    </row>
    <row r="1593" spans="6:8">
      <c r="H1593" t="s">
        <v>19707</v>
      </c>
    </row>
    <row r="1594" spans="6:8">
      <c r="H1594" t="s">
        <v>19711</v>
      </c>
    </row>
    <row r="1595" spans="6:8">
      <c r="H1595" t="s">
        <v>19708</v>
      </c>
    </row>
    <row r="1596" spans="6:8">
      <c r="H1596" t="s">
        <v>20107</v>
      </c>
    </row>
    <row r="1597" spans="6:8">
      <c r="H1597" t="s">
        <v>20108</v>
      </c>
    </row>
    <row r="1598" spans="6:8">
      <c r="H1598" t="s">
        <v>19713</v>
      </c>
    </row>
    <row r="1599" spans="6:8">
      <c r="H1599" t="s">
        <v>20095</v>
      </c>
    </row>
    <row r="1600" spans="6:8">
      <c r="H1600" t="s">
        <v>20096</v>
      </c>
    </row>
    <row r="1601" spans="6:8">
      <c r="H1601" t="s">
        <v>20097</v>
      </c>
    </row>
    <row r="1602" spans="6:8">
      <c r="H1602" t="s">
        <v>20098</v>
      </c>
    </row>
    <row r="1603" spans="6:8">
      <c r="F1603" t="s">
        <v>11055</v>
      </c>
      <c r="G1603" t="s">
        <v>15446</v>
      </c>
      <c r="H1603" t="s">
        <v>20091</v>
      </c>
    </row>
    <row r="1604" spans="6:8">
      <c r="H1604" t="s">
        <v>19712</v>
      </c>
    </row>
    <row r="1605" spans="6:8">
      <c r="H1605" t="s">
        <v>19709</v>
      </c>
    </row>
    <row r="1606" spans="6:8">
      <c r="H1606" t="s">
        <v>19706</v>
      </c>
    </row>
    <row r="1607" spans="6:8">
      <c r="H1607" t="s">
        <v>19707</v>
      </c>
    </row>
    <row r="1608" spans="6:8">
      <c r="H1608" t="s">
        <v>19711</v>
      </c>
    </row>
    <row r="1609" spans="6:8">
      <c r="H1609" t="s">
        <v>20107</v>
      </c>
    </row>
    <row r="1610" spans="6:8">
      <c r="H1610" t="s">
        <v>20108</v>
      </c>
    </row>
    <row r="1611" spans="6:8">
      <c r="H1611" t="s">
        <v>19713</v>
      </c>
    </row>
    <row r="1612" spans="6:8">
      <c r="H1612" t="s">
        <v>19714</v>
      </c>
    </row>
    <row r="1613" spans="6:8">
      <c r="H1613" t="s">
        <v>20109</v>
      </c>
    </row>
    <row r="1614" spans="6:8">
      <c r="H1614" t="s">
        <v>20110</v>
      </c>
    </row>
    <row r="1615" spans="6:8">
      <c r="H1615" t="s">
        <v>20095</v>
      </c>
    </row>
    <row r="1616" spans="6:8">
      <c r="H1616" t="s">
        <v>20096</v>
      </c>
    </row>
    <row r="1617" spans="6:8">
      <c r="H1617" t="s">
        <v>20097</v>
      </c>
    </row>
    <row r="1618" spans="6:8">
      <c r="H1618" t="s">
        <v>20098</v>
      </c>
    </row>
    <row r="1619" spans="6:8">
      <c r="F1619" t="s">
        <v>11056</v>
      </c>
      <c r="G1619" t="s">
        <v>15447</v>
      </c>
      <c r="H1619" t="s">
        <v>20091</v>
      </c>
    </row>
    <row r="1620" spans="6:8">
      <c r="H1620" t="s">
        <v>19712</v>
      </c>
    </row>
    <row r="1621" spans="6:8">
      <c r="H1621" t="s">
        <v>20092</v>
      </c>
    </row>
    <row r="1622" spans="6:8">
      <c r="H1622" t="s">
        <v>20093</v>
      </c>
    </row>
    <row r="1623" spans="6:8">
      <c r="H1623" t="s">
        <v>20094</v>
      </c>
    </row>
    <row r="1624" spans="6:8">
      <c r="H1624" t="s">
        <v>20095</v>
      </c>
    </row>
    <row r="1625" spans="6:8">
      <c r="H1625" t="s">
        <v>20096</v>
      </c>
    </row>
    <row r="1626" spans="6:8">
      <c r="H1626" t="s">
        <v>20097</v>
      </c>
    </row>
    <row r="1627" spans="6:8">
      <c r="H1627" t="s">
        <v>20098</v>
      </c>
    </row>
    <row r="1628" spans="6:8">
      <c r="H1628" t="s">
        <v>20099</v>
      </c>
    </row>
    <row r="1629" spans="6:8">
      <c r="H1629" t="s">
        <v>20100</v>
      </c>
    </row>
    <row r="1630" spans="6:8">
      <c r="H1630" t="s">
        <v>20101</v>
      </c>
    </row>
    <row r="1631" spans="6:8">
      <c r="H1631" t="s">
        <v>20102</v>
      </c>
    </row>
    <row r="1632" spans="6:8">
      <c r="F1632" t="s">
        <v>11057</v>
      </c>
      <c r="G1632" t="s">
        <v>15448</v>
      </c>
      <c r="H1632" t="s">
        <v>20091</v>
      </c>
    </row>
    <row r="1633" spans="6:8">
      <c r="H1633" t="s">
        <v>19712</v>
      </c>
    </row>
    <row r="1634" spans="6:8">
      <c r="H1634" t="s">
        <v>19709</v>
      </c>
    </row>
    <row r="1635" spans="6:8">
      <c r="H1635" t="s">
        <v>20107</v>
      </c>
    </row>
    <row r="1636" spans="6:8">
      <c r="H1636" t="s">
        <v>20108</v>
      </c>
    </row>
    <row r="1637" spans="6:8">
      <c r="H1637" t="s">
        <v>20095</v>
      </c>
    </row>
    <row r="1638" spans="6:8">
      <c r="H1638" t="s">
        <v>20096</v>
      </c>
    </row>
    <row r="1639" spans="6:8">
      <c r="H1639" t="s">
        <v>20097</v>
      </c>
    </row>
    <row r="1640" spans="6:8">
      <c r="H1640" t="s">
        <v>20098</v>
      </c>
    </row>
    <row r="1641" spans="6:8">
      <c r="F1641" t="s">
        <v>11058</v>
      </c>
      <c r="G1641" t="s">
        <v>15449</v>
      </c>
      <c r="H1641" t="s">
        <v>20091</v>
      </c>
    </row>
    <row r="1642" spans="6:8">
      <c r="H1642" t="s">
        <v>19712</v>
      </c>
    </row>
    <row r="1643" spans="6:8">
      <c r="H1643" t="s">
        <v>20092</v>
      </c>
    </row>
    <row r="1644" spans="6:8">
      <c r="H1644" t="s">
        <v>20093</v>
      </c>
    </row>
    <row r="1645" spans="6:8">
      <c r="H1645" t="s">
        <v>20094</v>
      </c>
    </row>
    <row r="1646" spans="6:8">
      <c r="H1646" t="s">
        <v>20095</v>
      </c>
    </row>
    <row r="1647" spans="6:8">
      <c r="H1647" t="s">
        <v>20096</v>
      </c>
    </row>
    <row r="1648" spans="6:8">
      <c r="H1648" t="s">
        <v>20097</v>
      </c>
    </row>
    <row r="1649" spans="6:8">
      <c r="H1649" t="s">
        <v>20098</v>
      </c>
    </row>
    <row r="1650" spans="6:8">
      <c r="H1650" t="s">
        <v>20099</v>
      </c>
    </row>
    <row r="1651" spans="6:8">
      <c r="H1651" t="s">
        <v>20100</v>
      </c>
    </row>
    <row r="1652" spans="6:8">
      <c r="H1652" t="s">
        <v>20101</v>
      </c>
    </row>
    <row r="1653" spans="6:8">
      <c r="H1653" t="s">
        <v>20102</v>
      </c>
    </row>
    <row r="1654" spans="6:8">
      <c r="F1654" t="s">
        <v>11059</v>
      </c>
      <c r="G1654" t="s">
        <v>15450</v>
      </c>
      <c r="H1654" t="s">
        <v>20091</v>
      </c>
    </row>
    <row r="1655" spans="6:8">
      <c r="H1655" t="s">
        <v>20095</v>
      </c>
    </row>
    <row r="1656" spans="6:8">
      <c r="F1656" t="s">
        <v>11060</v>
      </c>
      <c r="G1656" t="s">
        <v>15451</v>
      </c>
      <c r="H1656" t="s">
        <v>20091</v>
      </c>
    </row>
    <row r="1657" spans="6:8">
      <c r="H1657" t="s">
        <v>20095</v>
      </c>
    </row>
    <row r="1658" spans="6:8">
      <c r="F1658" t="s">
        <v>11061</v>
      </c>
      <c r="G1658" t="s">
        <v>15452</v>
      </c>
      <c r="H1658" t="s">
        <v>20091</v>
      </c>
    </row>
    <row r="1659" spans="6:8">
      <c r="H1659" t="s">
        <v>20095</v>
      </c>
    </row>
    <row r="1660" spans="6:8">
      <c r="F1660" t="s">
        <v>11062</v>
      </c>
      <c r="G1660" t="s">
        <v>15453</v>
      </c>
      <c r="H1660" t="s">
        <v>20091</v>
      </c>
    </row>
    <row r="1661" spans="6:8">
      <c r="H1661" t="s">
        <v>20095</v>
      </c>
    </row>
    <row r="1662" spans="6:8">
      <c r="F1662" t="s">
        <v>11063</v>
      </c>
      <c r="G1662" t="s">
        <v>15454</v>
      </c>
      <c r="H1662" t="s">
        <v>20091</v>
      </c>
    </row>
    <row r="1663" spans="6:8">
      <c r="H1663" t="s">
        <v>20095</v>
      </c>
    </row>
    <row r="1664" spans="6:8">
      <c r="F1664" t="s">
        <v>11064</v>
      </c>
      <c r="G1664" t="s">
        <v>15455</v>
      </c>
      <c r="H1664" t="s">
        <v>20091</v>
      </c>
    </row>
    <row r="1665" spans="6:8">
      <c r="H1665" t="s">
        <v>20095</v>
      </c>
    </row>
    <row r="1666" spans="6:8">
      <c r="F1666" t="s">
        <v>11065</v>
      </c>
      <c r="G1666" t="s">
        <v>15456</v>
      </c>
      <c r="H1666" t="s">
        <v>20091</v>
      </c>
    </row>
    <row r="1667" spans="6:8">
      <c r="H1667" t="s">
        <v>20095</v>
      </c>
    </row>
    <row r="1668" spans="6:8">
      <c r="F1668" t="s">
        <v>11066</v>
      </c>
      <c r="G1668" t="s">
        <v>15457</v>
      </c>
      <c r="H1668" t="s">
        <v>20091</v>
      </c>
    </row>
    <row r="1669" spans="6:8">
      <c r="H1669" t="s">
        <v>19712</v>
      </c>
    </row>
    <row r="1670" spans="6:8">
      <c r="H1670" t="s">
        <v>19709</v>
      </c>
    </row>
    <row r="1671" spans="6:8">
      <c r="H1671" t="s">
        <v>19706</v>
      </c>
    </row>
    <row r="1672" spans="6:8">
      <c r="H1672" t="s">
        <v>19707</v>
      </c>
    </row>
    <row r="1673" spans="6:8">
      <c r="H1673" t="s">
        <v>19711</v>
      </c>
    </row>
    <row r="1674" spans="6:8">
      <c r="H1674" t="s">
        <v>20107</v>
      </c>
    </row>
    <row r="1675" spans="6:8">
      <c r="H1675" t="s">
        <v>20108</v>
      </c>
    </row>
    <row r="1676" spans="6:8">
      <c r="H1676" t="s">
        <v>19713</v>
      </c>
    </row>
    <row r="1677" spans="6:8">
      <c r="H1677" t="s">
        <v>19714</v>
      </c>
    </row>
    <row r="1678" spans="6:8">
      <c r="H1678" t="s">
        <v>20109</v>
      </c>
    </row>
    <row r="1679" spans="6:8">
      <c r="H1679" t="s">
        <v>20110</v>
      </c>
    </row>
    <row r="1680" spans="6:8">
      <c r="H1680" t="s">
        <v>20092</v>
      </c>
    </row>
    <row r="1681" spans="6:8">
      <c r="H1681" t="s">
        <v>20095</v>
      </c>
    </row>
    <row r="1682" spans="6:8">
      <c r="H1682" t="s">
        <v>20096</v>
      </c>
    </row>
    <row r="1683" spans="6:8">
      <c r="H1683" t="s">
        <v>20097</v>
      </c>
    </row>
    <row r="1684" spans="6:8">
      <c r="H1684" t="s">
        <v>20098</v>
      </c>
    </row>
    <row r="1685" spans="6:8">
      <c r="F1685" t="s">
        <v>11067</v>
      </c>
      <c r="G1685" t="s">
        <v>15458</v>
      </c>
      <c r="H1685" t="s">
        <v>20091</v>
      </c>
    </row>
    <row r="1686" spans="6:8">
      <c r="H1686" t="s">
        <v>19712</v>
      </c>
    </row>
    <row r="1687" spans="6:8">
      <c r="H1687" t="s">
        <v>20107</v>
      </c>
    </row>
    <row r="1688" spans="6:8">
      <c r="H1688" t="s">
        <v>20095</v>
      </c>
    </row>
    <row r="1689" spans="6:8">
      <c r="H1689" t="s">
        <v>20096</v>
      </c>
    </row>
    <row r="1690" spans="6:8">
      <c r="H1690" t="s">
        <v>20097</v>
      </c>
    </row>
    <row r="1691" spans="6:8">
      <c r="H1691" t="s">
        <v>20098</v>
      </c>
    </row>
    <row r="1692" spans="6:8">
      <c r="H1692" t="s">
        <v>20099</v>
      </c>
    </row>
    <row r="1693" spans="6:8">
      <c r="F1693" t="s">
        <v>11068</v>
      </c>
      <c r="G1693" t="s">
        <v>15459</v>
      </c>
      <c r="H1693" t="s">
        <v>20091</v>
      </c>
    </row>
    <row r="1694" spans="6:8">
      <c r="H1694" t="s">
        <v>19712</v>
      </c>
    </row>
    <row r="1695" spans="6:8">
      <c r="H1695" t="s">
        <v>20107</v>
      </c>
    </row>
    <row r="1696" spans="6:8">
      <c r="H1696" t="s">
        <v>20095</v>
      </c>
    </row>
    <row r="1697" spans="6:8">
      <c r="H1697" t="s">
        <v>20096</v>
      </c>
    </row>
    <row r="1698" spans="6:8">
      <c r="H1698" t="s">
        <v>20097</v>
      </c>
    </row>
    <row r="1699" spans="6:8">
      <c r="H1699" t="s">
        <v>20098</v>
      </c>
    </row>
    <row r="1700" spans="6:8">
      <c r="H1700" t="s">
        <v>20099</v>
      </c>
    </row>
    <row r="1701" spans="6:8">
      <c r="F1701" t="s">
        <v>11069</v>
      </c>
      <c r="G1701" t="s">
        <v>15460</v>
      </c>
      <c r="H1701" t="s">
        <v>20091</v>
      </c>
    </row>
    <row r="1702" spans="6:8">
      <c r="H1702" t="s">
        <v>19712</v>
      </c>
    </row>
    <row r="1703" spans="6:8">
      <c r="H1703" t="s">
        <v>19709</v>
      </c>
    </row>
    <row r="1704" spans="6:8">
      <c r="H1704" t="s">
        <v>19706</v>
      </c>
    </row>
    <row r="1705" spans="6:8">
      <c r="H1705" t="s">
        <v>20107</v>
      </c>
    </row>
    <row r="1706" spans="6:8">
      <c r="H1706" t="s">
        <v>20108</v>
      </c>
    </row>
    <row r="1707" spans="6:8">
      <c r="H1707" t="s">
        <v>19713</v>
      </c>
    </row>
    <row r="1708" spans="6:8">
      <c r="H1708" t="s">
        <v>19714</v>
      </c>
    </row>
    <row r="1709" spans="6:8">
      <c r="H1709" t="s">
        <v>20095</v>
      </c>
    </row>
    <row r="1710" spans="6:8">
      <c r="H1710" t="s">
        <v>20096</v>
      </c>
    </row>
    <row r="1711" spans="6:8">
      <c r="H1711" t="s">
        <v>20097</v>
      </c>
    </row>
    <row r="1712" spans="6:8">
      <c r="H1712" t="s">
        <v>20098</v>
      </c>
    </row>
    <row r="1713" spans="6:8">
      <c r="H1713" t="s">
        <v>20099</v>
      </c>
    </row>
    <row r="1714" spans="6:8">
      <c r="H1714" t="s">
        <v>20100</v>
      </c>
    </row>
    <row r="1715" spans="6:8">
      <c r="F1715" t="s">
        <v>11070</v>
      </c>
      <c r="G1715" t="s">
        <v>15461</v>
      </c>
      <c r="H1715" t="s">
        <v>20091</v>
      </c>
    </row>
    <row r="1716" spans="6:8">
      <c r="H1716" t="s">
        <v>19712</v>
      </c>
    </row>
    <row r="1717" spans="6:8">
      <c r="H1717" t="s">
        <v>19709</v>
      </c>
    </row>
    <row r="1718" spans="6:8">
      <c r="H1718" t="s">
        <v>19706</v>
      </c>
    </row>
    <row r="1719" spans="6:8">
      <c r="H1719" t="s">
        <v>19707</v>
      </c>
    </row>
    <row r="1720" spans="6:8">
      <c r="H1720" t="s">
        <v>19711</v>
      </c>
    </row>
    <row r="1721" spans="6:8">
      <c r="H1721" t="s">
        <v>20107</v>
      </c>
    </row>
    <row r="1722" spans="6:8">
      <c r="H1722" t="s">
        <v>20108</v>
      </c>
    </row>
    <row r="1723" spans="6:8">
      <c r="H1723" t="s">
        <v>19713</v>
      </c>
    </row>
    <row r="1724" spans="6:8">
      <c r="H1724" t="s">
        <v>19714</v>
      </c>
    </row>
    <row r="1725" spans="6:8">
      <c r="H1725" t="s">
        <v>20109</v>
      </c>
    </row>
    <row r="1726" spans="6:8">
      <c r="H1726" t="s">
        <v>20095</v>
      </c>
    </row>
    <row r="1727" spans="6:8">
      <c r="H1727" t="s">
        <v>20096</v>
      </c>
    </row>
    <row r="1728" spans="6:8">
      <c r="H1728" t="s">
        <v>20097</v>
      </c>
    </row>
    <row r="1729" spans="6:8">
      <c r="H1729" t="s">
        <v>20098</v>
      </c>
    </row>
    <row r="1730" spans="6:8">
      <c r="H1730" t="s">
        <v>20099</v>
      </c>
    </row>
    <row r="1731" spans="6:8">
      <c r="H1731" t="s">
        <v>20100</v>
      </c>
    </row>
    <row r="1732" spans="6:8">
      <c r="F1732" t="s">
        <v>11071</v>
      </c>
      <c r="G1732" t="s">
        <v>15462</v>
      </c>
      <c r="H1732" t="s">
        <v>20091</v>
      </c>
    </row>
    <row r="1733" spans="6:8">
      <c r="H1733" t="s">
        <v>19712</v>
      </c>
    </row>
    <row r="1734" spans="6:8">
      <c r="H1734" t="s">
        <v>19709</v>
      </c>
    </row>
    <row r="1735" spans="6:8">
      <c r="H1735" t="s">
        <v>19706</v>
      </c>
    </row>
    <row r="1736" spans="6:8">
      <c r="H1736" t="s">
        <v>19707</v>
      </c>
    </row>
    <row r="1737" spans="6:8">
      <c r="H1737" t="s">
        <v>19711</v>
      </c>
    </row>
    <row r="1738" spans="6:8">
      <c r="H1738" t="s">
        <v>20107</v>
      </c>
    </row>
    <row r="1739" spans="6:8">
      <c r="H1739" t="s">
        <v>20108</v>
      </c>
    </row>
    <row r="1740" spans="6:8">
      <c r="H1740" t="s">
        <v>19713</v>
      </c>
    </row>
    <row r="1741" spans="6:8">
      <c r="H1741" t="s">
        <v>19714</v>
      </c>
    </row>
    <row r="1742" spans="6:8">
      <c r="H1742" t="s">
        <v>20109</v>
      </c>
    </row>
    <row r="1743" spans="6:8">
      <c r="H1743" t="s">
        <v>20095</v>
      </c>
    </row>
    <row r="1744" spans="6:8">
      <c r="H1744" t="s">
        <v>20096</v>
      </c>
    </row>
    <row r="1745" spans="6:8">
      <c r="H1745" t="s">
        <v>20097</v>
      </c>
    </row>
    <row r="1746" spans="6:8">
      <c r="H1746" t="s">
        <v>20098</v>
      </c>
    </row>
    <row r="1747" spans="6:8">
      <c r="H1747" t="s">
        <v>20099</v>
      </c>
    </row>
    <row r="1748" spans="6:8">
      <c r="H1748" t="s">
        <v>20100</v>
      </c>
    </row>
    <row r="1749" spans="6:8">
      <c r="F1749" t="s">
        <v>11072</v>
      </c>
      <c r="G1749" t="s">
        <v>15463</v>
      </c>
      <c r="H1749" t="s">
        <v>20091</v>
      </c>
    </row>
    <row r="1750" spans="6:8">
      <c r="H1750" t="s">
        <v>19712</v>
      </c>
    </row>
    <row r="1751" spans="6:8">
      <c r="H1751" t="s">
        <v>19709</v>
      </c>
    </row>
    <row r="1752" spans="6:8">
      <c r="H1752" t="s">
        <v>19706</v>
      </c>
    </row>
    <row r="1753" spans="6:8">
      <c r="H1753" t="s">
        <v>19707</v>
      </c>
    </row>
    <row r="1754" spans="6:8">
      <c r="H1754" t="s">
        <v>19711</v>
      </c>
    </row>
    <row r="1755" spans="6:8">
      <c r="H1755" t="s">
        <v>20107</v>
      </c>
    </row>
    <row r="1756" spans="6:8">
      <c r="H1756" t="s">
        <v>20108</v>
      </c>
    </row>
    <row r="1757" spans="6:8">
      <c r="H1757" t="s">
        <v>19713</v>
      </c>
    </row>
    <row r="1758" spans="6:8">
      <c r="H1758" t="s">
        <v>19714</v>
      </c>
    </row>
    <row r="1759" spans="6:8">
      <c r="H1759" t="s">
        <v>20109</v>
      </c>
    </row>
    <row r="1760" spans="6:8">
      <c r="H1760" t="s">
        <v>20095</v>
      </c>
    </row>
    <row r="1761" spans="6:8">
      <c r="H1761" t="s">
        <v>20096</v>
      </c>
    </row>
    <row r="1762" spans="6:8">
      <c r="H1762" t="s">
        <v>20097</v>
      </c>
    </row>
    <row r="1763" spans="6:8">
      <c r="H1763" t="s">
        <v>20098</v>
      </c>
    </row>
    <row r="1764" spans="6:8">
      <c r="H1764" t="s">
        <v>20099</v>
      </c>
    </row>
    <row r="1765" spans="6:8">
      <c r="H1765" t="s">
        <v>20100</v>
      </c>
    </row>
    <row r="1766" spans="6:8">
      <c r="F1766" t="s">
        <v>11073</v>
      </c>
      <c r="G1766" t="s">
        <v>15464</v>
      </c>
      <c r="H1766" t="s">
        <v>20091</v>
      </c>
    </row>
    <row r="1767" spans="6:8">
      <c r="H1767" t="s">
        <v>19712</v>
      </c>
    </row>
    <row r="1768" spans="6:8">
      <c r="H1768" t="s">
        <v>19709</v>
      </c>
    </row>
    <row r="1769" spans="6:8">
      <c r="H1769" t="s">
        <v>19706</v>
      </c>
    </row>
    <row r="1770" spans="6:8">
      <c r="H1770" t="s">
        <v>19707</v>
      </c>
    </row>
    <row r="1771" spans="6:8">
      <c r="H1771" t="s">
        <v>19711</v>
      </c>
    </row>
    <row r="1772" spans="6:8">
      <c r="H1772" t="s">
        <v>20107</v>
      </c>
    </row>
    <row r="1773" spans="6:8">
      <c r="H1773" t="s">
        <v>20108</v>
      </c>
    </row>
    <row r="1774" spans="6:8">
      <c r="H1774" t="s">
        <v>19713</v>
      </c>
    </row>
    <row r="1775" spans="6:8">
      <c r="H1775" t="s">
        <v>19714</v>
      </c>
    </row>
    <row r="1776" spans="6:8">
      <c r="H1776" t="s">
        <v>20109</v>
      </c>
    </row>
    <row r="1777" spans="6:8">
      <c r="H1777" t="s">
        <v>20095</v>
      </c>
    </row>
    <row r="1778" spans="6:8">
      <c r="H1778" t="s">
        <v>20096</v>
      </c>
    </row>
    <row r="1779" spans="6:8">
      <c r="H1779" t="s">
        <v>20097</v>
      </c>
    </row>
    <row r="1780" spans="6:8">
      <c r="H1780" t="s">
        <v>20098</v>
      </c>
    </row>
    <row r="1781" spans="6:8">
      <c r="H1781" t="s">
        <v>20099</v>
      </c>
    </row>
    <row r="1782" spans="6:8">
      <c r="H1782" t="s">
        <v>20100</v>
      </c>
    </row>
    <row r="1783" spans="6:8">
      <c r="F1783" t="s">
        <v>11074</v>
      </c>
      <c r="G1783" t="s">
        <v>15465</v>
      </c>
      <c r="H1783" t="s">
        <v>20091</v>
      </c>
    </row>
    <row r="1784" spans="6:8">
      <c r="H1784" t="s">
        <v>19712</v>
      </c>
    </row>
    <row r="1785" spans="6:8">
      <c r="H1785" t="s">
        <v>19709</v>
      </c>
    </row>
    <row r="1786" spans="6:8">
      <c r="H1786" t="s">
        <v>19706</v>
      </c>
    </row>
    <row r="1787" spans="6:8">
      <c r="H1787" t="s">
        <v>20107</v>
      </c>
    </row>
    <row r="1788" spans="6:8">
      <c r="H1788" t="s">
        <v>20108</v>
      </c>
    </row>
    <row r="1789" spans="6:8">
      <c r="H1789" t="s">
        <v>19713</v>
      </c>
    </row>
    <row r="1790" spans="6:8">
      <c r="H1790" t="s">
        <v>19714</v>
      </c>
    </row>
    <row r="1791" spans="6:8">
      <c r="H1791" t="s">
        <v>20095</v>
      </c>
    </row>
    <row r="1792" spans="6:8">
      <c r="H1792" t="s">
        <v>20096</v>
      </c>
    </row>
    <row r="1793" spans="6:8">
      <c r="H1793" t="s">
        <v>20097</v>
      </c>
    </row>
    <row r="1794" spans="6:8">
      <c r="H1794" t="s">
        <v>20098</v>
      </c>
    </row>
    <row r="1795" spans="6:8">
      <c r="H1795" t="s">
        <v>20099</v>
      </c>
    </row>
    <row r="1796" spans="6:8">
      <c r="H1796" t="s">
        <v>20100</v>
      </c>
    </row>
    <row r="1797" spans="6:8">
      <c r="F1797" t="s">
        <v>11075</v>
      </c>
      <c r="G1797" t="s">
        <v>15466</v>
      </c>
      <c r="H1797" t="s">
        <v>20091</v>
      </c>
    </row>
    <row r="1798" spans="6:8">
      <c r="H1798" t="s">
        <v>19712</v>
      </c>
    </row>
    <row r="1799" spans="6:8">
      <c r="H1799" t="s">
        <v>19709</v>
      </c>
    </row>
    <row r="1800" spans="6:8">
      <c r="H1800" t="s">
        <v>20107</v>
      </c>
    </row>
    <row r="1801" spans="6:8">
      <c r="H1801" t="s">
        <v>20108</v>
      </c>
    </row>
    <row r="1802" spans="6:8">
      <c r="H1802" t="s">
        <v>20095</v>
      </c>
    </row>
    <row r="1803" spans="6:8">
      <c r="H1803" t="s">
        <v>20096</v>
      </c>
    </row>
    <row r="1804" spans="6:8">
      <c r="H1804" t="s">
        <v>20097</v>
      </c>
    </row>
    <row r="1805" spans="6:8">
      <c r="H1805" t="s">
        <v>20098</v>
      </c>
    </row>
    <row r="1806" spans="6:8">
      <c r="H1806" t="s">
        <v>20099</v>
      </c>
    </row>
    <row r="1807" spans="6:8">
      <c r="H1807" t="s">
        <v>20100</v>
      </c>
    </row>
    <row r="1808" spans="6:8">
      <c r="F1808" t="s">
        <v>11076</v>
      </c>
      <c r="G1808" t="s">
        <v>15467</v>
      </c>
      <c r="H1808" t="s">
        <v>20091</v>
      </c>
    </row>
    <row r="1809" spans="6:8">
      <c r="H1809" t="s">
        <v>19712</v>
      </c>
    </row>
    <row r="1810" spans="6:8">
      <c r="H1810" t="s">
        <v>19709</v>
      </c>
    </row>
    <row r="1811" spans="6:8">
      <c r="H1811" t="s">
        <v>20107</v>
      </c>
    </row>
    <row r="1812" spans="6:8">
      <c r="H1812" t="s">
        <v>20108</v>
      </c>
    </row>
    <row r="1813" spans="6:8">
      <c r="H1813" t="s">
        <v>20095</v>
      </c>
    </row>
    <row r="1814" spans="6:8">
      <c r="H1814" t="s">
        <v>20096</v>
      </c>
    </row>
    <row r="1815" spans="6:8">
      <c r="H1815" t="s">
        <v>20097</v>
      </c>
    </row>
    <row r="1816" spans="6:8">
      <c r="H1816" t="s">
        <v>20098</v>
      </c>
    </row>
    <row r="1817" spans="6:8">
      <c r="H1817" t="s">
        <v>20099</v>
      </c>
    </row>
    <row r="1818" spans="6:8">
      <c r="H1818" t="s">
        <v>20100</v>
      </c>
    </row>
    <row r="1819" spans="6:8">
      <c r="F1819" t="s">
        <v>11077</v>
      </c>
      <c r="G1819" t="s">
        <v>15468</v>
      </c>
      <c r="H1819" t="s">
        <v>20091</v>
      </c>
    </row>
    <row r="1820" spans="6:8">
      <c r="H1820" t="s">
        <v>19712</v>
      </c>
    </row>
    <row r="1821" spans="6:8">
      <c r="H1821" t="s">
        <v>19709</v>
      </c>
    </row>
    <row r="1822" spans="6:8">
      <c r="H1822" t="s">
        <v>20107</v>
      </c>
    </row>
    <row r="1823" spans="6:8">
      <c r="H1823" t="s">
        <v>20108</v>
      </c>
    </row>
    <row r="1824" spans="6:8">
      <c r="H1824" t="s">
        <v>20095</v>
      </c>
    </row>
    <row r="1825" spans="6:8">
      <c r="H1825" t="s">
        <v>20096</v>
      </c>
    </row>
    <row r="1826" spans="6:8">
      <c r="H1826" t="s">
        <v>20097</v>
      </c>
    </row>
    <row r="1827" spans="6:8">
      <c r="H1827" t="s">
        <v>20098</v>
      </c>
    </row>
    <row r="1828" spans="6:8">
      <c r="H1828" t="s">
        <v>20099</v>
      </c>
    </row>
    <row r="1829" spans="6:8">
      <c r="H1829" t="s">
        <v>20100</v>
      </c>
    </row>
    <row r="1830" spans="6:8">
      <c r="F1830" t="s">
        <v>11078</v>
      </c>
      <c r="G1830" t="s">
        <v>15469</v>
      </c>
      <c r="H1830" t="s">
        <v>20091</v>
      </c>
    </row>
    <row r="1831" spans="6:8">
      <c r="H1831" t="s">
        <v>19712</v>
      </c>
    </row>
    <row r="1832" spans="6:8">
      <c r="H1832" t="s">
        <v>19709</v>
      </c>
    </row>
    <row r="1833" spans="6:8">
      <c r="H1833" t="s">
        <v>20107</v>
      </c>
    </row>
    <row r="1834" spans="6:8">
      <c r="H1834" t="s">
        <v>20108</v>
      </c>
    </row>
    <row r="1835" spans="6:8">
      <c r="H1835" t="s">
        <v>20095</v>
      </c>
    </row>
    <row r="1836" spans="6:8">
      <c r="H1836" t="s">
        <v>20096</v>
      </c>
    </row>
    <row r="1837" spans="6:8">
      <c r="H1837" t="s">
        <v>20097</v>
      </c>
    </row>
    <row r="1838" spans="6:8">
      <c r="H1838" t="s">
        <v>20098</v>
      </c>
    </row>
    <row r="1839" spans="6:8">
      <c r="H1839" t="s">
        <v>20099</v>
      </c>
    </row>
    <row r="1840" spans="6:8">
      <c r="H1840" t="s">
        <v>20100</v>
      </c>
    </row>
    <row r="1841" spans="6:8">
      <c r="F1841" t="s">
        <v>11079</v>
      </c>
      <c r="G1841" t="s">
        <v>15470</v>
      </c>
      <c r="H1841" t="s">
        <v>20091</v>
      </c>
    </row>
    <row r="1842" spans="6:8">
      <c r="H1842" t="s">
        <v>19712</v>
      </c>
    </row>
    <row r="1843" spans="6:8">
      <c r="H1843" t="s">
        <v>19709</v>
      </c>
    </row>
    <row r="1844" spans="6:8">
      <c r="H1844" t="s">
        <v>20107</v>
      </c>
    </row>
    <row r="1845" spans="6:8">
      <c r="H1845" t="s">
        <v>20108</v>
      </c>
    </row>
    <row r="1846" spans="6:8">
      <c r="H1846" t="s">
        <v>20095</v>
      </c>
    </row>
    <row r="1847" spans="6:8">
      <c r="H1847" t="s">
        <v>20096</v>
      </c>
    </row>
    <row r="1848" spans="6:8">
      <c r="H1848" t="s">
        <v>20097</v>
      </c>
    </row>
    <row r="1849" spans="6:8">
      <c r="H1849" t="s">
        <v>20098</v>
      </c>
    </row>
    <row r="1850" spans="6:8">
      <c r="H1850" t="s">
        <v>20099</v>
      </c>
    </row>
    <row r="1851" spans="6:8">
      <c r="H1851" t="s">
        <v>20100</v>
      </c>
    </row>
    <row r="1852" spans="6:8">
      <c r="F1852" t="s">
        <v>11080</v>
      </c>
      <c r="G1852" t="s">
        <v>15471</v>
      </c>
      <c r="H1852" t="s">
        <v>20091</v>
      </c>
    </row>
    <row r="1853" spans="6:8">
      <c r="H1853" t="s">
        <v>19712</v>
      </c>
    </row>
    <row r="1854" spans="6:8">
      <c r="H1854" t="s">
        <v>19709</v>
      </c>
    </row>
    <row r="1855" spans="6:8">
      <c r="H1855" t="s">
        <v>20107</v>
      </c>
    </row>
    <row r="1856" spans="6:8">
      <c r="H1856" t="s">
        <v>20108</v>
      </c>
    </row>
    <row r="1857" spans="6:8">
      <c r="H1857" t="s">
        <v>20095</v>
      </c>
    </row>
    <row r="1858" spans="6:8">
      <c r="H1858" t="s">
        <v>20096</v>
      </c>
    </row>
    <row r="1859" spans="6:8">
      <c r="H1859" t="s">
        <v>20097</v>
      </c>
    </row>
    <row r="1860" spans="6:8">
      <c r="H1860" t="s">
        <v>20098</v>
      </c>
    </row>
    <row r="1861" spans="6:8">
      <c r="H1861" t="s">
        <v>20099</v>
      </c>
    </row>
    <row r="1862" spans="6:8">
      <c r="H1862" t="s">
        <v>20100</v>
      </c>
    </row>
    <row r="1863" spans="6:8">
      <c r="F1863" t="s">
        <v>11081</v>
      </c>
      <c r="G1863" t="s">
        <v>15472</v>
      </c>
      <c r="H1863" t="s">
        <v>20091</v>
      </c>
    </row>
    <row r="1864" spans="6:8">
      <c r="H1864" t="s">
        <v>19712</v>
      </c>
    </row>
    <row r="1865" spans="6:8">
      <c r="H1865" t="s">
        <v>20095</v>
      </c>
    </row>
    <row r="1866" spans="6:8">
      <c r="H1866" t="s">
        <v>20096</v>
      </c>
    </row>
    <row r="1867" spans="6:8">
      <c r="H1867" t="s">
        <v>20097</v>
      </c>
    </row>
    <row r="1868" spans="6:8">
      <c r="H1868" t="s">
        <v>20098</v>
      </c>
    </row>
    <row r="1869" spans="6:8">
      <c r="H1869" t="s">
        <v>20099</v>
      </c>
    </row>
    <row r="1870" spans="6:8">
      <c r="F1870" t="s">
        <v>11082</v>
      </c>
      <c r="G1870" t="s">
        <v>15473</v>
      </c>
      <c r="H1870" t="s">
        <v>20091</v>
      </c>
    </row>
    <row r="1871" spans="6:8">
      <c r="H1871" t="s">
        <v>19712</v>
      </c>
    </row>
    <row r="1872" spans="6:8">
      <c r="H1872" t="s">
        <v>20095</v>
      </c>
    </row>
    <row r="1873" spans="6:8">
      <c r="H1873" t="s">
        <v>20096</v>
      </c>
    </row>
    <row r="1874" spans="6:8">
      <c r="H1874" t="s">
        <v>20097</v>
      </c>
    </row>
    <row r="1875" spans="6:8">
      <c r="H1875" t="s">
        <v>20098</v>
      </c>
    </row>
    <row r="1876" spans="6:8">
      <c r="H1876" t="s">
        <v>20099</v>
      </c>
    </row>
    <row r="1877" spans="6:8">
      <c r="F1877" t="s">
        <v>11083</v>
      </c>
      <c r="G1877" t="s">
        <v>15474</v>
      </c>
      <c r="H1877" t="s">
        <v>20091</v>
      </c>
    </row>
    <row r="1878" spans="6:8">
      <c r="H1878" t="s">
        <v>19712</v>
      </c>
    </row>
    <row r="1879" spans="6:8">
      <c r="H1879" t="s">
        <v>19709</v>
      </c>
    </row>
    <row r="1880" spans="6:8">
      <c r="H1880" t="s">
        <v>20107</v>
      </c>
    </row>
    <row r="1881" spans="6:8">
      <c r="H1881" t="s">
        <v>20108</v>
      </c>
    </row>
    <row r="1882" spans="6:8">
      <c r="H1882" t="s">
        <v>19713</v>
      </c>
    </row>
    <row r="1883" spans="6:8">
      <c r="H1883" t="s">
        <v>19714</v>
      </c>
    </row>
    <row r="1884" spans="6:8">
      <c r="H1884" t="s">
        <v>20109</v>
      </c>
    </row>
    <row r="1885" spans="6:8">
      <c r="H1885" t="s">
        <v>20110</v>
      </c>
    </row>
    <row r="1886" spans="6:8">
      <c r="H1886" t="s">
        <v>20111</v>
      </c>
    </row>
    <row r="1887" spans="6:8">
      <c r="H1887" t="s">
        <v>20095</v>
      </c>
    </row>
    <row r="1888" spans="6:8">
      <c r="H1888" t="s">
        <v>20096</v>
      </c>
    </row>
    <row r="1889" spans="8:8">
      <c r="H1889" t="s">
        <v>20097</v>
      </c>
    </row>
    <row r="1890" spans="8:8">
      <c r="H1890" t="s">
        <v>20098</v>
      </c>
    </row>
    <row r="1891" spans="8:8">
      <c r="H1891" t="s">
        <v>19706</v>
      </c>
    </row>
    <row r="1892" spans="8:8">
      <c r="H1892" t="s">
        <v>19707</v>
      </c>
    </row>
    <row r="1893" spans="8:8">
      <c r="H1893" t="s">
        <v>19711</v>
      </c>
    </row>
    <row r="1894" spans="8:8">
      <c r="H1894" t="s">
        <v>20112</v>
      </c>
    </row>
    <row r="1895" spans="8:8">
      <c r="H1895" t="s">
        <v>20113</v>
      </c>
    </row>
    <row r="1896" spans="8:8">
      <c r="H1896" t="s">
        <v>20114</v>
      </c>
    </row>
    <row r="1897" spans="8:8">
      <c r="H1897" t="s">
        <v>20115</v>
      </c>
    </row>
    <row r="1898" spans="8:8">
      <c r="H1898" t="s">
        <v>20120</v>
      </c>
    </row>
    <row r="1899" spans="8:8">
      <c r="H1899" t="s">
        <v>20121</v>
      </c>
    </row>
    <row r="1900" spans="8:8">
      <c r="H1900" t="s">
        <v>20122</v>
      </c>
    </row>
    <row r="1901" spans="8:8">
      <c r="H1901" t="s">
        <v>20099</v>
      </c>
    </row>
    <row r="1902" spans="8:8">
      <c r="H1902" t="s">
        <v>20100</v>
      </c>
    </row>
    <row r="1903" spans="8:8">
      <c r="H1903" t="s">
        <v>20101</v>
      </c>
    </row>
    <row r="1904" spans="8:8">
      <c r="H1904" t="s">
        <v>20102</v>
      </c>
    </row>
    <row r="1905" spans="6:8">
      <c r="F1905" t="s">
        <v>11084</v>
      </c>
      <c r="G1905" t="s">
        <v>15475</v>
      </c>
      <c r="H1905" t="s">
        <v>20091</v>
      </c>
    </row>
    <row r="1906" spans="6:8">
      <c r="H1906" t="s">
        <v>19712</v>
      </c>
    </row>
    <row r="1907" spans="6:8">
      <c r="H1907" t="s">
        <v>20095</v>
      </c>
    </row>
    <row r="1908" spans="6:8">
      <c r="H1908" t="s">
        <v>20096</v>
      </c>
    </row>
    <row r="1909" spans="6:8">
      <c r="H1909" t="s">
        <v>20097</v>
      </c>
    </row>
    <row r="1910" spans="6:8">
      <c r="H1910" t="s">
        <v>20098</v>
      </c>
    </row>
    <row r="1911" spans="6:8">
      <c r="H1911" t="s">
        <v>19709</v>
      </c>
    </row>
    <row r="1912" spans="6:8">
      <c r="H1912" t="s">
        <v>19706</v>
      </c>
    </row>
    <row r="1913" spans="6:8">
      <c r="H1913" t="s">
        <v>20099</v>
      </c>
    </row>
    <row r="1914" spans="6:8">
      <c r="H1914" t="s">
        <v>20100</v>
      </c>
    </row>
    <row r="1915" spans="6:8">
      <c r="H1915" t="s">
        <v>20101</v>
      </c>
    </row>
    <row r="1916" spans="6:8">
      <c r="H1916" t="s">
        <v>20102</v>
      </c>
    </row>
    <row r="1917" spans="6:8">
      <c r="F1917" t="s">
        <v>11085</v>
      </c>
      <c r="G1917" t="s">
        <v>15476</v>
      </c>
      <c r="H1917" t="s">
        <v>20091</v>
      </c>
    </row>
    <row r="1918" spans="6:8">
      <c r="H1918" t="s">
        <v>19712</v>
      </c>
    </row>
    <row r="1919" spans="6:8">
      <c r="H1919" t="s">
        <v>20095</v>
      </c>
    </row>
    <row r="1920" spans="6:8">
      <c r="H1920" t="s">
        <v>20096</v>
      </c>
    </row>
    <row r="1921" spans="6:8">
      <c r="H1921" t="s">
        <v>20097</v>
      </c>
    </row>
    <row r="1922" spans="6:8">
      <c r="H1922" t="s">
        <v>20098</v>
      </c>
    </row>
    <row r="1923" spans="6:8">
      <c r="F1923" t="s">
        <v>11086</v>
      </c>
      <c r="G1923" t="s">
        <v>15477</v>
      </c>
      <c r="H1923" t="s">
        <v>20091</v>
      </c>
    </row>
    <row r="1924" spans="6:8">
      <c r="H1924" t="s">
        <v>19712</v>
      </c>
    </row>
    <row r="1925" spans="6:8">
      <c r="H1925" t="s">
        <v>20095</v>
      </c>
    </row>
    <row r="1926" spans="6:8">
      <c r="H1926" t="s">
        <v>20096</v>
      </c>
    </row>
    <row r="1927" spans="6:8">
      <c r="H1927" t="s">
        <v>20097</v>
      </c>
    </row>
    <row r="1928" spans="6:8">
      <c r="H1928" t="s">
        <v>20098</v>
      </c>
    </row>
    <row r="1929" spans="6:8">
      <c r="F1929" t="s">
        <v>11087</v>
      </c>
      <c r="G1929" t="s">
        <v>15478</v>
      </c>
      <c r="H1929" t="s">
        <v>20091</v>
      </c>
    </row>
    <row r="1930" spans="6:8">
      <c r="H1930" t="s">
        <v>19712</v>
      </c>
    </row>
    <row r="1931" spans="6:8">
      <c r="H1931" t="s">
        <v>20095</v>
      </c>
    </row>
    <row r="1932" spans="6:8">
      <c r="H1932" t="s">
        <v>20096</v>
      </c>
    </row>
    <row r="1933" spans="6:8">
      <c r="H1933" t="s">
        <v>20097</v>
      </c>
    </row>
    <row r="1934" spans="6:8">
      <c r="H1934" t="s">
        <v>20098</v>
      </c>
    </row>
    <row r="1935" spans="6:8">
      <c r="F1935" t="s">
        <v>11088</v>
      </c>
      <c r="G1935" t="s">
        <v>15479</v>
      </c>
      <c r="H1935" t="s">
        <v>20091</v>
      </c>
    </row>
    <row r="1936" spans="6:8">
      <c r="H1936" t="s">
        <v>19712</v>
      </c>
    </row>
    <row r="1937" spans="6:8">
      <c r="H1937" t="s">
        <v>20095</v>
      </c>
    </row>
    <row r="1938" spans="6:8">
      <c r="H1938" t="s">
        <v>20096</v>
      </c>
    </row>
    <row r="1939" spans="6:8">
      <c r="H1939" t="s">
        <v>20097</v>
      </c>
    </row>
    <row r="1940" spans="6:8">
      <c r="H1940" t="s">
        <v>20098</v>
      </c>
    </row>
    <row r="1941" spans="6:8">
      <c r="F1941" t="s">
        <v>11089</v>
      </c>
      <c r="G1941" t="s">
        <v>15480</v>
      </c>
      <c r="H1941" t="s">
        <v>20091</v>
      </c>
    </row>
    <row r="1942" spans="6:8">
      <c r="H1942" t="s">
        <v>19712</v>
      </c>
    </row>
    <row r="1943" spans="6:8">
      <c r="H1943" t="s">
        <v>19709</v>
      </c>
    </row>
    <row r="1944" spans="6:8">
      <c r="H1944" t="s">
        <v>19706</v>
      </c>
    </row>
    <row r="1945" spans="6:8">
      <c r="H1945" t="s">
        <v>20107</v>
      </c>
    </row>
    <row r="1946" spans="6:8">
      <c r="H1946" t="s">
        <v>20108</v>
      </c>
    </row>
    <row r="1947" spans="6:8">
      <c r="H1947" t="s">
        <v>19713</v>
      </c>
    </row>
    <row r="1948" spans="6:8">
      <c r="H1948" t="s">
        <v>19714</v>
      </c>
    </row>
    <row r="1949" spans="6:8">
      <c r="H1949" t="s">
        <v>20109</v>
      </c>
    </row>
    <row r="1950" spans="6:8">
      <c r="H1950" t="s">
        <v>20095</v>
      </c>
    </row>
    <row r="1951" spans="6:8">
      <c r="H1951" t="s">
        <v>20096</v>
      </c>
    </row>
    <row r="1952" spans="6:8">
      <c r="H1952" t="s">
        <v>20097</v>
      </c>
    </row>
    <row r="1953" spans="6:8">
      <c r="H1953" t="s">
        <v>20098</v>
      </c>
    </row>
    <row r="1954" spans="6:8">
      <c r="F1954" t="s">
        <v>11090</v>
      </c>
      <c r="G1954" t="s">
        <v>15481</v>
      </c>
      <c r="H1954" t="s">
        <v>20091</v>
      </c>
    </row>
    <row r="1955" spans="6:8">
      <c r="H1955" t="s">
        <v>19712</v>
      </c>
    </row>
    <row r="1956" spans="6:8">
      <c r="H1956" t="s">
        <v>19709</v>
      </c>
    </row>
    <row r="1957" spans="6:8">
      <c r="H1957" t="s">
        <v>19706</v>
      </c>
    </row>
    <row r="1958" spans="6:8">
      <c r="H1958" t="s">
        <v>19707</v>
      </c>
    </row>
    <row r="1959" spans="6:8">
      <c r="H1959" t="s">
        <v>20107</v>
      </c>
    </row>
    <row r="1960" spans="6:8">
      <c r="H1960" t="s">
        <v>20108</v>
      </c>
    </row>
    <row r="1961" spans="6:8">
      <c r="H1961" t="s">
        <v>20095</v>
      </c>
    </row>
    <row r="1962" spans="6:8">
      <c r="H1962" t="s">
        <v>20096</v>
      </c>
    </row>
    <row r="1963" spans="6:8">
      <c r="H1963" t="s">
        <v>20097</v>
      </c>
    </row>
    <row r="1964" spans="6:8">
      <c r="H1964" t="s">
        <v>20098</v>
      </c>
    </row>
    <row r="1965" spans="6:8">
      <c r="F1965" t="s">
        <v>11091</v>
      </c>
      <c r="G1965" t="s">
        <v>15482</v>
      </c>
      <c r="H1965" t="s">
        <v>20091</v>
      </c>
    </row>
    <row r="1966" spans="6:8">
      <c r="H1966" t="s">
        <v>19712</v>
      </c>
    </row>
    <row r="1967" spans="6:8">
      <c r="H1967" t="s">
        <v>19709</v>
      </c>
    </row>
    <row r="1968" spans="6:8">
      <c r="H1968" t="s">
        <v>20092</v>
      </c>
    </row>
    <row r="1969" spans="8:8">
      <c r="H1969" t="s">
        <v>20093</v>
      </c>
    </row>
    <row r="1970" spans="8:8">
      <c r="H1970" t="s">
        <v>20094</v>
      </c>
    </row>
    <row r="1971" spans="8:8">
      <c r="H1971" t="s">
        <v>20103</v>
      </c>
    </row>
    <row r="1972" spans="8:8">
      <c r="H1972" t="s">
        <v>20116</v>
      </c>
    </row>
    <row r="1973" spans="8:8">
      <c r="H1973" t="s">
        <v>20117</v>
      </c>
    </row>
    <row r="1974" spans="8:8">
      <c r="H1974" t="s">
        <v>20118</v>
      </c>
    </row>
    <row r="1975" spans="8:8">
      <c r="H1975" t="s">
        <v>19176</v>
      </c>
    </row>
    <row r="1976" spans="8:8">
      <c r="H1976" t="s">
        <v>20095</v>
      </c>
    </row>
    <row r="1977" spans="8:8">
      <c r="H1977" t="s">
        <v>20096</v>
      </c>
    </row>
    <row r="1978" spans="8:8">
      <c r="H1978" t="s">
        <v>20099</v>
      </c>
    </row>
    <row r="1979" spans="8:8">
      <c r="H1979" t="s">
        <v>20100</v>
      </c>
    </row>
    <row r="1980" spans="8:8">
      <c r="H1980" t="s">
        <v>20101</v>
      </c>
    </row>
    <row r="1981" spans="8:8">
      <c r="H1981" t="s">
        <v>20102</v>
      </c>
    </row>
    <row r="1982" spans="8:8">
      <c r="H1982" t="s">
        <v>20104</v>
      </c>
    </row>
    <row r="1983" spans="8:8">
      <c r="H1983" t="s">
        <v>20105</v>
      </c>
    </row>
    <row r="1984" spans="8:8">
      <c r="H1984" t="s">
        <v>20123</v>
      </c>
    </row>
    <row r="1985" spans="6:8">
      <c r="H1985" t="s">
        <v>20124</v>
      </c>
    </row>
    <row r="1986" spans="6:8">
      <c r="F1986" t="s">
        <v>11092</v>
      </c>
      <c r="G1986" t="s">
        <v>15483</v>
      </c>
      <c r="H1986" t="s">
        <v>20091</v>
      </c>
    </row>
    <row r="1987" spans="6:8">
      <c r="H1987" t="s">
        <v>19712</v>
      </c>
    </row>
    <row r="1988" spans="6:8">
      <c r="H1988" t="s">
        <v>19709</v>
      </c>
    </row>
    <row r="1989" spans="6:8">
      <c r="H1989" t="s">
        <v>19706</v>
      </c>
    </row>
    <row r="1990" spans="6:8">
      <c r="H1990" t="s">
        <v>19707</v>
      </c>
    </row>
    <row r="1991" spans="6:8">
      <c r="H1991" t="s">
        <v>19711</v>
      </c>
    </row>
    <row r="1992" spans="6:8">
      <c r="H1992" t="s">
        <v>19708</v>
      </c>
    </row>
    <row r="1993" spans="6:8">
      <c r="H1993" t="s">
        <v>19710</v>
      </c>
    </row>
    <row r="1994" spans="6:8">
      <c r="H1994" t="s">
        <v>20092</v>
      </c>
    </row>
    <row r="1995" spans="6:8">
      <c r="H1995" t="s">
        <v>20093</v>
      </c>
    </row>
    <row r="1996" spans="6:8">
      <c r="H1996" t="s">
        <v>20094</v>
      </c>
    </row>
    <row r="1997" spans="6:8">
      <c r="H1997" t="s">
        <v>20103</v>
      </c>
    </row>
    <row r="1998" spans="6:8">
      <c r="H1998" t="s">
        <v>20116</v>
      </c>
    </row>
    <row r="1999" spans="6:8">
      <c r="H1999" t="s">
        <v>20117</v>
      </c>
    </row>
    <row r="2000" spans="6:8">
      <c r="H2000" t="s">
        <v>20118</v>
      </c>
    </row>
    <row r="2001" spans="6:8">
      <c r="H2001" t="s">
        <v>20095</v>
      </c>
    </row>
    <row r="2002" spans="6:8">
      <c r="H2002" t="s">
        <v>20096</v>
      </c>
    </row>
    <row r="2003" spans="6:8">
      <c r="H2003" t="s">
        <v>20097</v>
      </c>
    </row>
    <row r="2004" spans="6:8">
      <c r="H2004" t="s">
        <v>20098</v>
      </c>
    </row>
    <row r="2005" spans="6:8">
      <c r="H2005" t="s">
        <v>20099</v>
      </c>
    </row>
    <row r="2006" spans="6:8">
      <c r="H2006" t="s">
        <v>20100</v>
      </c>
    </row>
    <row r="2007" spans="6:8">
      <c r="H2007" t="s">
        <v>20101</v>
      </c>
    </row>
    <row r="2008" spans="6:8">
      <c r="H2008" t="s">
        <v>20102</v>
      </c>
    </row>
    <row r="2009" spans="6:8">
      <c r="H2009" t="s">
        <v>20104</v>
      </c>
    </row>
    <row r="2010" spans="6:8">
      <c r="H2010" t="s">
        <v>20105</v>
      </c>
    </row>
    <row r="2011" spans="6:8">
      <c r="H2011" t="s">
        <v>20123</v>
      </c>
    </row>
    <row r="2012" spans="6:8">
      <c r="F2012" t="s">
        <v>11094</v>
      </c>
      <c r="G2012" t="s">
        <v>15484</v>
      </c>
      <c r="H2012" t="s">
        <v>20091</v>
      </c>
    </row>
    <row r="2013" spans="6:8">
      <c r="H2013" t="s">
        <v>19712</v>
      </c>
    </row>
    <row r="2014" spans="6:8">
      <c r="H2014" t="s">
        <v>19709</v>
      </c>
    </row>
    <row r="2015" spans="6:8">
      <c r="H2015" t="s">
        <v>19706</v>
      </c>
    </row>
    <row r="2016" spans="6:8">
      <c r="H2016" t="s">
        <v>19707</v>
      </c>
    </row>
    <row r="2017" spans="6:8">
      <c r="H2017" t="s">
        <v>19711</v>
      </c>
    </row>
    <row r="2018" spans="6:8">
      <c r="H2018" t="s">
        <v>20092</v>
      </c>
    </row>
    <row r="2019" spans="6:8">
      <c r="H2019" t="s">
        <v>20093</v>
      </c>
    </row>
    <row r="2020" spans="6:8">
      <c r="H2020" t="s">
        <v>20094</v>
      </c>
    </row>
    <row r="2021" spans="6:8">
      <c r="H2021" t="s">
        <v>20116</v>
      </c>
    </row>
    <row r="2022" spans="6:8">
      <c r="H2022" t="s">
        <v>20117</v>
      </c>
    </row>
    <row r="2023" spans="6:8">
      <c r="H2023" t="s">
        <v>20118</v>
      </c>
    </row>
    <row r="2024" spans="6:8">
      <c r="H2024" t="s">
        <v>19176</v>
      </c>
    </row>
    <row r="2025" spans="6:8">
      <c r="H2025" t="s">
        <v>20119</v>
      </c>
    </row>
    <row r="2026" spans="6:8">
      <c r="H2026" t="s">
        <v>20095</v>
      </c>
    </row>
    <row r="2027" spans="6:8">
      <c r="H2027" t="s">
        <v>20096</v>
      </c>
    </row>
    <row r="2028" spans="6:8">
      <c r="H2028" t="s">
        <v>20097</v>
      </c>
    </row>
    <row r="2029" spans="6:8">
      <c r="H2029" t="s">
        <v>20098</v>
      </c>
    </row>
    <row r="2030" spans="6:8">
      <c r="H2030" t="s">
        <v>20099</v>
      </c>
    </row>
    <row r="2031" spans="6:8">
      <c r="H2031" t="s">
        <v>20100</v>
      </c>
    </row>
    <row r="2032" spans="6:8">
      <c r="F2032" t="s">
        <v>11097</v>
      </c>
      <c r="G2032" t="s">
        <v>15487</v>
      </c>
      <c r="H2032" t="s">
        <v>20091</v>
      </c>
    </row>
    <row r="2033" spans="8:8">
      <c r="H2033" t="s">
        <v>19712</v>
      </c>
    </row>
    <row r="2034" spans="8:8">
      <c r="H2034" t="s">
        <v>19709</v>
      </c>
    </row>
    <row r="2035" spans="8:8">
      <c r="H2035" t="s">
        <v>19706</v>
      </c>
    </row>
    <row r="2036" spans="8:8">
      <c r="H2036" t="s">
        <v>19707</v>
      </c>
    </row>
    <row r="2037" spans="8:8">
      <c r="H2037" t="s">
        <v>19711</v>
      </c>
    </row>
    <row r="2038" spans="8:8">
      <c r="H2038" t="s">
        <v>20092</v>
      </c>
    </row>
    <row r="2039" spans="8:8">
      <c r="H2039" t="s">
        <v>20093</v>
      </c>
    </row>
    <row r="2040" spans="8:8">
      <c r="H2040" t="s">
        <v>20094</v>
      </c>
    </row>
    <row r="2041" spans="8:8">
      <c r="H2041" t="s">
        <v>20103</v>
      </c>
    </row>
    <row r="2042" spans="8:8">
      <c r="H2042" t="s">
        <v>20116</v>
      </c>
    </row>
    <row r="2043" spans="8:8">
      <c r="H2043" t="s">
        <v>20117</v>
      </c>
    </row>
    <row r="2044" spans="8:8">
      <c r="H2044" t="s">
        <v>20118</v>
      </c>
    </row>
    <row r="2045" spans="8:8">
      <c r="H2045" t="s">
        <v>19176</v>
      </c>
    </row>
    <row r="2046" spans="8:8">
      <c r="H2046" t="s">
        <v>20095</v>
      </c>
    </row>
    <row r="2047" spans="8:8">
      <c r="H2047" t="s">
        <v>20096</v>
      </c>
    </row>
    <row r="2048" spans="8:8">
      <c r="H2048" t="s">
        <v>20097</v>
      </c>
    </row>
    <row r="2049" spans="6:8">
      <c r="H2049" t="s">
        <v>20098</v>
      </c>
    </row>
    <row r="2050" spans="6:8">
      <c r="H2050" t="s">
        <v>20099</v>
      </c>
    </row>
    <row r="2051" spans="6:8">
      <c r="H2051" t="s">
        <v>20100</v>
      </c>
    </row>
    <row r="2052" spans="6:8">
      <c r="H2052" t="s">
        <v>20101</v>
      </c>
    </row>
    <row r="2053" spans="6:8">
      <c r="H2053" t="s">
        <v>20102</v>
      </c>
    </row>
    <row r="2054" spans="6:8">
      <c r="H2054" t="s">
        <v>20104</v>
      </c>
    </row>
    <row r="2055" spans="6:8">
      <c r="F2055" t="s">
        <v>11098</v>
      </c>
      <c r="G2055" t="s">
        <v>15488</v>
      </c>
      <c r="H2055" t="s">
        <v>20091</v>
      </c>
    </row>
    <row r="2056" spans="6:8">
      <c r="H2056" t="s">
        <v>19712</v>
      </c>
    </row>
    <row r="2057" spans="6:8">
      <c r="H2057" t="s">
        <v>19709</v>
      </c>
    </row>
    <row r="2058" spans="6:8">
      <c r="H2058" t="s">
        <v>20107</v>
      </c>
    </row>
    <row r="2059" spans="6:8">
      <c r="H2059" t="s">
        <v>20108</v>
      </c>
    </row>
    <row r="2060" spans="6:8">
      <c r="H2060" t="s">
        <v>20095</v>
      </c>
    </row>
    <row r="2061" spans="6:8">
      <c r="H2061" t="s">
        <v>20096</v>
      </c>
    </row>
    <row r="2062" spans="6:8">
      <c r="H2062" t="s">
        <v>20097</v>
      </c>
    </row>
    <row r="2063" spans="6:8">
      <c r="H2063" t="s">
        <v>20098</v>
      </c>
    </row>
    <row r="2064" spans="6:8">
      <c r="F2064" t="s">
        <v>11099</v>
      </c>
      <c r="G2064" t="s">
        <v>15489</v>
      </c>
      <c r="H2064" t="s">
        <v>20091</v>
      </c>
    </row>
    <row r="2065" spans="8:8">
      <c r="H2065" t="s">
        <v>19712</v>
      </c>
    </row>
    <row r="2066" spans="8:8">
      <c r="H2066" t="s">
        <v>19709</v>
      </c>
    </row>
    <row r="2067" spans="8:8">
      <c r="H2067" t="s">
        <v>19706</v>
      </c>
    </row>
    <row r="2068" spans="8:8">
      <c r="H2068" t="s">
        <v>19707</v>
      </c>
    </row>
    <row r="2069" spans="8:8">
      <c r="H2069" t="s">
        <v>19711</v>
      </c>
    </row>
    <row r="2070" spans="8:8">
      <c r="H2070" t="s">
        <v>20107</v>
      </c>
    </row>
    <row r="2071" spans="8:8">
      <c r="H2071" t="s">
        <v>20108</v>
      </c>
    </row>
    <row r="2072" spans="8:8">
      <c r="H2072" t="s">
        <v>19713</v>
      </c>
    </row>
    <row r="2073" spans="8:8">
      <c r="H2073" t="s">
        <v>19714</v>
      </c>
    </row>
    <row r="2074" spans="8:8">
      <c r="H2074" t="s">
        <v>20109</v>
      </c>
    </row>
    <row r="2075" spans="8:8">
      <c r="H2075" t="s">
        <v>20110</v>
      </c>
    </row>
    <row r="2076" spans="8:8">
      <c r="H2076" t="s">
        <v>20092</v>
      </c>
    </row>
    <row r="2077" spans="8:8">
      <c r="H2077" t="s">
        <v>20095</v>
      </c>
    </row>
    <row r="2078" spans="8:8">
      <c r="H2078" t="s">
        <v>20096</v>
      </c>
    </row>
    <row r="2079" spans="8:8">
      <c r="H2079" t="s">
        <v>20097</v>
      </c>
    </row>
    <row r="2080" spans="8:8">
      <c r="H2080" t="s">
        <v>20098</v>
      </c>
    </row>
    <row r="2081" spans="6:8">
      <c r="F2081" t="s">
        <v>11100</v>
      </c>
      <c r="G2081" t="s">
        <v>15490</v>
      </c>
      <c r="H2081" t="s">
        <v>20091</v>
      </c>
    </row>
    <row r="2082" spans="6:8">
      <c r="H2082" t="s">
        <v>19712</v>
      </c>
    </row>
    <row r="2083" spans="6:8">
      <c r="H2083" t="s">
        <v>19709</v>
      </c>
    </row>
    <row r="2084" spans="6:8">
      <c r="H2084" t="s">
        <v>20092</v>
      </c>
    </row>
    <row r="2085" spans="6:8">
      <c r="H2085" t="s">
        <v>20093</v>
      </c>
    </row>
    <row r="2086" spans="6:8">
      <c r="H2086" t="s">
        <v>20095</v>
      </c>
    </row>
    <row r="2087" spans="6:8">
      <c r="H2087" t="s">
        <v>20096</v>
      </c>
    </row>
    <row r="2088" spans="6:8">
      <c r="H2088" t="s">
        <v>20097</v>
      </c>
    </row>
    <row r="2089" spans="6:8">
      <c r="H2089" t="s">
        <v>20098</v>
      </c>
    </row>
    <row r="2090" spans="6:8">
      <c r="H2090" t="s">
        <v>20099</v>
      </c>
    </row>
    <row r="2091" spans="6:8">
      <c r="H2091" t="s">
        <v>20100</v>
      </c>
    </row>
    <row r="2092" spans="6:8">
      <c r="F2092" t="s">
        <v>11101</v>
      </c>
      <c r="G2092" t="s">
        <v>15491</v>
      </c>
      <c r="H2092" t="s">
        <v>20091</v>
      </c>
    </row>
    <row r="2093" spans="6:8">
      <c r="H2093" t="s">
        <v>19712</v>
      </c>
    </row>
    <row r="2094" spans="6:8">
      <c r="H2094" t="s">
        <v>19709</v>
      </c>
    </row>
    <row r="2095" spans="6:8">
      <c r="H2095" t="s">
        <v>19706</v>
      </c>
    </row>
    <row r="2096" spans="6:8">
      <c r="H2096" t="s">
        <v>19707</v>
      </c>
    </row>
    <row r="2097" spans="6:8">
      <c r="H2097" t="s">
        <v>20107</v>
      </c>
    </row>
    <row r="2098" spans="6:8">
      <c r="H2098" t="s">
        <v>20108</v>
      </c>
    </row>
    <row r="2099" spans="6:8">
      <c r="H2099" t="s">
        <v>19713</v>
      </c>
    </row>
    <row r="2100" spans="6:8">
      <c r="H2100" t="s">
        <v>19714</v>
      </c>
    </row>
    <row r="2101" spans="6:8">
      <c r="H2101" t="s">
        <v>20095</v>
      </c>
    </row>
    <row r="2102" spans="6:8">
      <c r="H2102" t="s">
        <v>20096</v>
      </c>
    </row>
    <row r="2103" spans="6:8">
      <c r="H2103" t="s">
        <v>20097</v>
      </c>
    </row>
    <row r="2104" spans="6:8">
      <c r="H2104" t="s">
        <v>20098</v>
      </c>
    </row>
    <row r="2105" spans="6:8">
      <c r="F2105" t="s">
        <v>11102</v>
      </c>
      <c r="G2105" t="s">
        <v>15492</v>
      </c>
      <c r="H2105" t="s">
        <v>20091</v>
      </c>
    </row>
    <row r="2106" spans="6:8">
      <c r="H2106" t="s">
        <v>19712</v>
      </c>
    </row>
    <row r="2107" spans="6:8">
      <c r="H2107" t="s">
        <v>19709</v>
      </c>
    </row>
    <row r="2108" spans="6:8">
      <c r="H2108" t="s">
        <v>19706</v>
      </c>
    </row>
    <row r="2109" spans="6:8">
      <c r="H2109" t="s">
        <v>19707</v>
      </c>
    </row>
    <row r="2110" spans="6:8">
      <c r="H2110" t="s">
        <v>20107</v>
      </c>
    </row>
    <row r="2111" spans="6:8">
      <c r="H2111" t="s">
        <v>20108</v>
      </c>
    </row>
    <row r="2112" spans="6:8">
      <c r="H2112" t="s">
        <v>19713</v>
      </c>
    </row>
    <row r="2113" spans="6:8">
      <c r="H2113" t="s">
        <v>19714</v>
      </c>
    </row>
    <row r="2114" spans="6:8">
      <c r="H2114" t="s">
        <v>20095</v>
      </c>
    </row>
    <row r="2115" spans="6:8">
      <c r="H2115" t="s">
        <v>20096</v>
      </c>
    </row>
    <row r="2116" spans="6:8">
      <c r="H2116" t="s">
        <v>20097</v>
      </c>
    </row>
    <row r="2117" spans="6:8">
      <c r="H2117" t="s">
        <v>20098</v>
      </c>
    </row>
    <row r="2118" spans="6:8">
      <c r="F2118" t="s">
        <v>11103</v>
      </c>
      <c r="G2118" t="s">
        <v>15493</v>
      </c>
      <c r="H2118" t="s">
        <v>20091</v>
      </c>
    </row>
    <row r="2119" spans="6:8">
      <c r="H2119" t="s">
        <v>19712</v>
      </c>
    </row>
    <row r="2120" spans="6:8">
      <c r="H2120" t="s">
        <v>20095</v>
      </c>
    </row>
    <row r="2121" spans="6:8">
      <c r="H2121" t="s">
        <v>20096</v>
      </c>
    </row>
    <row r="2122" spans="6:8">
      <c r="H2122" t="s">
        <v>20097</v>
      </c>
    </row>
    <row r="2123" spans="6:8">
      <c r="H2123" t="s">
        <v>19709</v>
      </c>
    </row>
    <row r="2124" spans="6:8">
      <c r="H2124" t="s">
        <v>19706</v>
      </c>
    </row>
    <row r="2125" spans="6:8">
      <c r="H2125" t="s">
        <v>20098</v>
      </c>
    </row>
    <row r="2126" spans="6:8">
      <c r="H2126" t="s">
        <v>20099</v>
      </c>
    </row>
    <row r="2127" spans="6:8">
      <c r="H2127" t="s">
        <v>20100</v>
      </c>
    </row>
    <row r="2128" spans="6:8">
      <c r="F2128" t="s">
        <v>11104</v>
      </c>
      <c r="G2128" t="s">
        <v>15494</v>
      </c>
      <c r="H2128" t="s">
        <v>20091</v>
      </c>
    </row>
    <row r="2129" spans="6:8">
      <c r="H2129" t="s">
        <v>19712</v>
      </c>
    </row>
    <row r="2130" spans="6:8">
      <c r="H2130" t="s">
        <v>20095</v>
      </c>
    </row>
    <row r="2131" spans="6:8">
      <c r="H2131" t="s">
        <v>20096</v>
      </c>
    </row>
    <row r="2132" spans="6:8">
      <c r="H2132" t="s">
        <v>20097</v>
      </c>
    </row>
    <row r="2133" spans="6:8">
      <c r="F2133" t="s">
        <v>11105</v>
      </c>
      <c r="G2133" t="s">
        <v>15495</v>
      </c>
      <c r="H2133" t="s">
        <v>20091</v>
      </c>
    </row>
    <row r="2134" spans="6:8">
      <c r="H2134" t="s">
        <v>19712</v>
      </c>
    </row>
    <row r="2135" spans="6:8">
      <c r="H2135" t="s">
        <v>20095</v>
      </c>
    </row>
    <row r="2136" spans="6:8">
      <c r="H2136" t="s">
        <v>20096</v>
      </c>
    </row>
    <row r="2137" spans="6:8">
      <c r="H2137" t="s">
        <v>20097</v>
      </c>
    </row>
    <row r="2138" spans="6:8">
      <c r="F2138" t="s">
        <v>11106</v>
      </c>
      <c r="G2138" t="s">
        <v>15496</v>
      </c>
      <c r="H2138" t="s">
        <v>20091</v>
      </c>
    </row>
    <row r="2139" spans="6:8">
      <c r="H2139" t="s">
        <v>19712</v>
      </c>
    </row>
    <row r="2140" spans="6:8">
      <c r="H2140" t="s">
        <v>20095</v>
      </c>
    </row>
    <row r="2141" spans="6:8">
      <c r="H2141" t="s">
        <v>20096</v>
      </c>
    </row>
    <row r="2142" spans="6:8">
      <c r="H2142" t="s">
        <v>20097</v>
      </c>
    </row>
    <row r="2143" spans="6:8">
      <c r="F2143" t="s">
        <v>11107</v>
      </c>
      <c r="G2143" t="s">
        <v>15497</v>
      </c>
      <c r="H2143" t="s">
        <v>20091</v>
      </c>
    </row>
    <row r="2144" spans="6:8">
      <c r="H2144" t="s">
        <v>19712</v>
      </c>
    </row>
    <row r="2145" spans="6:8">
      <c r="H2145" t="s">
        <v>20095</v>
      </c>
    </row>
    <row r="2146" spans="6:8">
      <c r="H2146" t="s">
        <v>20096</v>
      </c>
    </row>
    <row r="2147" spans="6:8">
      <c r="H2147" t="s">
        <v>20097</v>
      </c>
    </row>
    <row r="2148" spans="6:8">
      <c r="F2148" t="s">
        <v>11108</v>
      </c>
      <c r="G2148" t="s">
        <v>15498</v>
      </c>
      <c r="H2148" t="s">
        <v>20091</v>
      </c>
    </row>
    <row r="2149" spans="6:8">
      <c r="H2149" t="s">
        <v>19712</v>
      </c>
    </row>
    <row r="2150" spans="6:8">
      <c r="H2150" t="s">
        <v>19709</v>
      </c>
    </row>
    <row r="2151" spans="6:8">
      <c r="H2151" t="s">
        <v>19706</v>
      </c>
    </row>
    <row r="2152" spans="6:8">
      <c r="H2152" t="s">
        <v>20107</v>
      </c>
    </row>
    <row r="2153" spans="6:8">
      <c r="H2153" t="s">
        <v>20108</v>
      </c>
    </row>
    <row r="2154" spans="6:8">
      <c r="H2154" t="s">
        <v>19713</v>
      </c>
    </row>
    <row r="2155" spans="6:8">
      <c r="H2155" t="s">
        <v>19714</v>
      </c>
    </row>
    <row r="2156" spans="6:8">
      <c r="H2156" t="s">
        <v>20109</v>
      </c>
    </row>
    <row r="2157" spans="6:8">
      <c r="H2157" t="s">
        <v>20110</v>
      </c>
    </row>
    <row r="2158" spans="6:8">
      <c r="H2158" t="s">
        <v>20111</v>
      </c>
    </row>
    <row r="2159" spans="6:8">
      <c r="H2159" t="s">
        <v>20112</v>
      </c>
    </row>
    <row r="2160" spans="6:8">
      <c r="H2160" t="s">
        <v>20113</v>
      </c>
    </row>
    <row r="2161" spans="6:8">
      <c r="H2161" t="s">
        <v>20095</v>
      </c>
    </row>
    <row r="2162" spans="6:8">
      <c r="H2162" t="s">
        <v>20096</v>
      </c>
    </row>
    <row r="2163" spans="6:8">
      <c r="H2163" t="s">
        <v>20097</v>
      </c>
    </row>
    <row r="2164" spans="6:8">
      <c r="H2164" t="s">
        <v>20098</v>
      </c>
    </row>
    <row r="2165" spans="6:8">
      <c r="F2165" t="s">
        <v>11109</v>
      </c>
      <c r="G2165" t="s">
        <v>15499</v>
      </c>
      <c r="H2165" t="s">
        <v>20091</v>
      </c>
    </row>
    <row r="2166" spans="6:8">
      <c r="H2166" t="s">
        <v>19712</v>
      </c>
    </row>
    <row r="2167" spans="6:8">
      <c r="H2167" t="s">
        <v>19709</v>
      </c>
    </row>
    <row r="2168" spans="6:8">
      <c r="H2168" t="s">
        <v>19706</v>
      </c>
    </row>
    <row r="2169" spans="6:8">
      <c r="H2169" t="s">
        <v>19707</v>
      </c>
    </row>
    <row r="2170" spans="6:8">
      <c r="H2170" t="s">
        <v>20107</v>
      </c>
    </row>
    <row r="2171" spans="6:8">
      <c r="H2171" t="s">
        <v>20108</v>
      </c>
    </row>
    <row r="2172" spans="6:8">
      <c r="H2172" t="s">
        <v>19713</v>
      </c>
    </row>
    <row r="2173" spans="6:8">
      <c r="H2173" t="s">
        <v>19714</v>
      </c>
    </row>
    <row r="2174" spans="6:8">
      <c r="H2174" t="s">
        <v>20095</v>
      </c>
    </row>
    <row r="2175" spans="6:8">
      <c r="H2175" t="s">
        <v>20096</v>
      </c>
    </row>
    <row r="2176" spans="6:8">
      <c r="H2176" t="s">
        <v>20097</v>
      </c>
    </row>
    <row r="2177" spans="6:8">
      <c r="H2177" t="s">
        <v>20098</v>
      </c>
    </row>
    <row r="2178" spans="6:8">
      <c r="F2178" t="s">
        <v>11110</v>
      </c>
      <c r="G2178" t="s">
        <v>15500</v>
      </c>
      <c r="H2178" t="s">
        <v>20091</v>
      </c>
    </row>
    <row r="2179" spans="6:8">
      <c r="H2179" t="s">
        <v>19712</v>
      </c>
    </row>
    <row r="2180" spans="6:8">
      <c r="H2180" t="s">
        <v>19709</v>
      </c>
    </row>
    <row r="2181" spans="6:8">
      <c r="H2181" t="s">
        <v>20107</v>
      </c>
    </row>
    <row r="2182" spans="6:8">
      <c r="H2182" t="s">
        <v>20108</v>
      </c>
    </row>
    <row r="2183" spans="6:8">
      <c r="H2183" t="s">
        <v>20095</v>
      </c>
    </row>
    <row r="2184" spans="6:8">
      <c r="H2184" t="s">
        <v>20096</v>
      </c>
    </row>
    <row r="2185" spans="6:8">
      <c r="H2185" t="s">
        <v>20097</v>
      </c>
    </row>
    <row r="2186" spans="6:8">
      <c r="H2186" t="s">
        <v>20098</v>
      </c>
    </row>
    <row r="2187" spans="6:8">
      <c r="F2187" t="s">
        <v>11111</v>
      </c>
      <c r="G2187" t="s">
        <v>15501</v>
      </c>
      <c r="H2187" t="s">
        <v>20091</v>
      </c>
    </row>
    <row r="2188" spans="6:8">
      <c r="H2188" t="s">
        <v>19712</v>
      </c>
    </row>
    <row r="2189" spans="6:8">
      <c r="H2189" t="s">
        <v>20095</v>
      </c>
    </row>
    <row r="2190" spans="6:8">
      <c r="H2190" t="s">
        <v>20096</v>
      </c>
    </row>
    <row r="2191" spans="6:8">
      <c r="H2191" t="s">
        <v>20097</v>
      </c>
    </row>
    <row r="2192" spans="6:8">
      <c r="F2192" t="s">
        <v>11112</v>
      </c>
      <c r="G2192" t="s">
        <v>15502</v>
      </c>
      <c r="H2192" t="s">
        <v>20091</v>
      </c>
    </row>
    <row r="2193" spans="6:8">
      <c r="H2193" t="s">
        <v>19712</v>
      </c>
    </row>
    <row r="2194" spans="6:8">
      <c r="H2194" t="s">
        <v>20095</v>
      </c>
    </row>
    <row r="2195" spans="6:8">
      <c r="H2195" t="s">
        <v>20096</v>
      </c>
    </row>
    <row r="2196" spans="6:8">
      <c r="H2196" t="s">
        <v>20097</v>
      </c>
    </row>
    <row r="2197" spans="6:8">
      <c r="F2197" t="s">
        <v>11113</v>
      </c>
      <c r="G2197" t="s">
        <v>15503</v>
      </c>
      <c r="H2197" t="s">
        <v>20091</v>
      </c>
    </row>
    <row r="2198" spans="6:8">
      <c r="H2198" t="s">
        <v>19712</v>
      </c>
    </row>
    <row r="2199" spans="6:8">
      <c r="H2199" t="s">
        <v>19709</v>
      </c>
    </row>
    <row r="2200" spans="6:8">
      <c r="H2200" t="s">
        <v>20107</v>
      </c>
    </row>
    <row r="2201" spans="6:8">
      <c r="H2201" t="s">
        <v>20108</v>
      </c>
    </row>
    <row r="2202" spans="6:8">
      <c r="H2202" t="s">
        <v>19713</v>
      </c>
    </row>
    <row r="2203" spans="6:8">
      <c r="H2203" t="s">
        <v>20095</v>
      </c>
    </row>
    <row r="2204" spans="6:8">
      <c r="H2204" t="s">
        <v>20096</v>
      </c>
    </row>
    <row r="2205" spans="6:8">
      <c r="H2205" t="s">
        <v>20097</v>
      </c>
    </row>
    <row r="2206" spans="6:8">
      <c r="H2206" t="s">
        <v>20098</v>
      </c>
    </row>
    <row r="2207" spans="6:8">
      <c r="F2207" t="s">
        <v>11114</v>
      </c>
      <c r="G2207" t="s">
        <v>15504</v>
      </c>
      <c r="H2207" t="s">
        <v>20091</v>
      </c>
    </row>
    <row r="2208" spans="6:8">
      <c r="H2208" t="s">
        <v>19712</v>
      </c>
    </row>
    <row r="2209" spans="6:8">
      <c r="H2209" t="s">
        <v>19709</v>
      </c>
    </row>
    <row r="2210" spans="6:8">
      <c r="H2210" t="s">
        <v>20107</v>
      </c>
    </row>
    <row r="2211" spans="6:8">
      <c r="H2211" t="s">
        <v>20108</v>
      </c>
    </row>
    <row r="2212" spans="6:8">
      <c r="H2212" t="s">
        <v>19713</v>
      </c>
    </row>
    <row r="2213" spans="6:8">
      <c r="H2213" t="s">
        <v>20095</v>
      </c>
    </row>
    <row r="2214" spans="6:8">
      <c r="H2214" t="s">
        <v>20096</v>
      </c>
    </row>
    <row r="2215" spans="6:8">
      <c r="H2215" t="s">
        <v>20097</v>
      </c>
    </row>
    <row r="2216" spans="6:8">
      <c r="H2216" t="s">
        <v>20098</v>
      </c>
    </row>
    <row r="2217" spans="6:8">
      <c r="F2217" t="s">
        <v>11115</v>
      </c>
      <c r="G2217" t="s">
        <v>15505</v>
      </c>
      <c r="H2217" t="s">
        <v>20091</v>
      </c>
    </row>
    <row r="2218" spans="6:8">
      <c r="H2218" t="s">
        <v>19712</v>
      </c>
    </row>
    <row r="2219" spans="6:8">
      <c r="H2219" t="s">
        <v>19709</v>
      </c>
    </row>
    <row r="2220" spans="6:8">
      <c r="H2220" t="s">
        <v>19706</v>
      </c>
    </row>
    <row r="2221" spans="6:8">
      <c r="H2221" t="s">
        <v>20107</v>
      </c>
    </row>
    <row r="2222" spans="6:8">
      <c r="H2222" t="s">
        <v>20108</v>
      </c>
    </row>
    <row r="2223" spans="6:8">
      <c r="H2223" t="s">
        <v>19713</v>
      </c>
    </row>
    <row r="2224" spans="6:8">
      <c r="H2224" t="s">
        <v>20095</v>
      </c>
    </row>
    <row r="2225" spans="6:8">
      <c r="H2225" t="s">
        <v>20096</v>
      </c>
    </row>
    <row r="2226" spans="6:8">
      <c r="H2226" t="s">
        <v>20097</v>
      </c>
    </row>
    <row r="2227" spans="6:8">
      <c r="H2227" t="s">
        <v>20098</v>
      </c>
    </row>
    <row r="2228" spans="6:8">
      <c r="F2228" t="s">
        <v>11116</v>
      </c>
      <c r="G2228" t="s">
        <v>15506</v>
      </c>
      <c r="H2228" t="s">
        <v>20091</v>
      </c>
    </row>
    <row r="2229" spans="6:8">
      <c r="H2229" t="s">
        <v>19712</v>
      </c>
    </row>
    <row r="2230" spans="6:8">
      <c r="H2230" t="s">
        <v>19709</v>
      </c>
    </row>
    <row r="2231" spans="6:8">
      <c r="H2231" t="s">
        <v>20107</v>
      </c>
    </row>
    <row r="2232" spans="6:8">
      <c r="H2232" t="s">
        <v>20108</v>
      </c>
    </row>
    <row r="2233" spans="6:8">
      <c r="H2233" t="s">
        <v>19713</v>
      </c>
    </row>
    <row r="2234" spans="6:8">
      <c r="H2234" t="s">
        <v>19714</v>
      </c>
    </row>
    <row r="2235" spans="6:8">
      <c r="H2235" t="s">
        <v>20109</v>
      </c>
    </row>
    <row r="2236" spans="6:8">
      <c r="H2236" t="s">
        <v>20110</v>
      </c>
    </row>
    <row r="2237" spans="6:8">
      <c r="H2237" t="s">
        <v>20111</v>
      </c>
    </row>
    <row r="2238" spans="6:8">
      <c r="H2238" t="s">
        <v>20112</v>
      </c>
    </row>
    <row r="2239" spans="6:8">
      <c r="H2239" t="s">
        <v>20095</v>
      </c>
    </row>
    <row r="2240" spans="6:8">
      <c r="H2240" t="s">
        <v>20096</v>
      </c>
    </row>
    <row r="2241" spans="6:8">
      <c r="H2241" t="s">
        <v>20097</v>
      </c>
    </row>
    <row r="2242" spans="6:8">
      <c r="H2242" t="s">
        <v>20098</v>
      </c>
    </row>
    <row r="2243" spans="6:8">
      <c r="H2243" t="s">
        <v>20099</v>
      </c>
    </row>
    <row r="2244" spans="6:8">
      <c r="F2244" t="s">
        <v>11117</v>
      </c>
      <c r="G2244" t="s">
        <v>15507</v>
      </c>
      <c r="H2244" t="s">
        <v>20091</v>
      </c>
    </row>
    <row r="2245" spans="6:8">
      <c r="H2245" t="s">
        <v>19712</v>
      </c>
    </row>
    <row r="2246" spans="6:8">
      <c r="H2246" t="s">
        <v>20092</v>
      </c>
    </row>
    <row r="2247" spans="6:8">
      <c r="H2247" t="s">
        <v>20093</v>
      </c>
    </row>
    <row r="2248" spans="6:8">
      <c r="H2248" t="s">
        <v>20094</v>
      </c>
    </row>
    <row r="2249" spans="6:8">
      <c r="H2249" t="s">
        <v>20095</v>
      </c>
    </row>
    <row r="2250" spans="6:8">
      <c r="H2250" t="s">
        <v>20096</v>
      </c>
    </row>
    <row r="2251" spans="6:8">
      <c r="H2251" t="s">
        <v>20097</v>
      </c>
    </row>
    <row r="2252" spans="6:8">
      <c r="H2252" t="s">
        <v>20098</v>
      </c>
    </row>
    <row r="2253" spans="6:8">
      <c r="H2253" t="s">
        <v>20099</v>
      </c>
    </row>
    <row r="2254" spans="6:8">
      <c r="H2254" t="s">
        <v>20100</v>
      </c>
    </row>
    <row r="2255" spans="6:8">
      <c r="H2255" t="s">
        <v>20101</v>
      </c>
    </row>
    <row r="2256" spans="6:8">
      <c r="H2256" t="s">
        <v>20102</v>
      </c>
    </row>
    <row r="2257" spans="6:8">
      <c r="H2257" t="s">
        <v>20104</v>
      </c>
    </row>
    <row r="2258" spans="6:8">
      <c r="F2258" t="s">
        <v>11118</v>
      </c>
      <c r="G2258" t="s">
        <v>15508</v>
      </c>
      <c r="H2258" t="s">
        <v>20091</v>
      </c>
    </row>
    <row r="2259" spans="6:8">
      <c r="H2259" t="s">
        <v>19712</v>
      </c>
    </row>
    <row r="2260" spans="6:8">
      <c r="H2260" t="s">
        <v>19709</v>
      </c>
    </row>
    <row r="2261" spans="6:8">
      <c r="H2261" t="s">
        <v>20107</v>
      </c>
    </row>
    <row r="2262" spans="6:8">
      <c r="H2262" t="s">
        <v>20108</v>
      </c>
    </row>
    <row r="2263" spans="6:8">
      <c r="H2263" t="s">
        <v>20095</v>
      </c>
    </row>
    <row r="2264" spans="6:8">
      <c r="H2264" t="s">
        <v>20096</v>
      </c>
    </row>
    <row r="2265" spans="6:8">
      <c r="H2265" t="s">
        <v>20097</v>
      </c>
    </row>
    <row r="2266" spans="6:8">
      <c r="H2266" t="s">
        <v>20098</v>
      </c>
    </row>
    <row r="2267" spans="6:8">
      <c r="F2267" t="s">
        <v>11119</v>
      </c>
      <c r="G2267" t="s">
        <v>15509</v>
      </c>
      <c r="H2267" t="s">
        <v>20091</v>
      </c>
    </row>
    <row r="2268" spans="6:8">
      <c r="H2268" t="s">
        <v>19712</v>
      </c>
    </row>
    <row r="2269" spans="6:8">
      <c r="H2269" t="s">
        <v>20092</v>
      </c>
    </row>
    <row r="2270" spans="6:8">
      <c r="H2270" t="s">
        <v>20093</v>
      </c>
    </row>
    <row r="2271" spans="6:8">
      <c r="H2271" t="s">
        <v>20094</v>
      </c>
    </row>
    <row r="2272" spans="6:8">
      <c r="H2272" t="s">
        <v>20095</v>
      </c>
    </row>
    <row r="2273" spans="6:8">
      <c r="H2273" t="s">
        <v>20096</v>
      </c>
    </row>
    <row r="2274" spans="6:8">
      <c r="H2274" t="s">
        <v>20097</v>
      </c>
    </row>
    <row r="2275" spans="6:8">
      <c r="H2275" t="s">
        <v>20098</v>
      </c>
    </row>
    <row r="2276" spans="6:8">
      <c r="H2276" t="s">
        <v>20099</v>
      </c>
    </row>
    <row r="2277" spans="6:8">
      <c r="H2277" t="s">
        <v>20100</v>
      </c>
    </row>
    <row r="2278" spans="6:8">
      <c r="H2278" t="s">
        <v>20101</v>
      </c>
    </row>
    <row r="2279" spans="6:8">
      <c r="H2279" t="s">
        <v>20102</v>
      </c>
    </row>
    <row r="2280" spans="6:8">
      <c r="F2280" t="s">
        <v>11120</v>
      </c>
      <c r="G2280" t="s">
        <v>15510</v>
      </c>
      <c r="H2280" t="s">
        <v>20091</v>
      </c>
    </row>
    <row r="2281" spans="6:8">
      <c r="H2281" t="s">
        <v>19712</v>
      </c>
    </row>
    <row r="2282" spans="6:8">
      <c r="H2282" t="s">
        <v>19709</v>
      </c>
    </row>
    <row r="2283" spans="6:8">
      <c r="H2283" t="s">
        <v>20107</v>
      </c>
    </row>
    <row r="2284" spans="6:8">
      <c r="H2284" t="s">
        <v>20108</v>
      </c>
    </row>
    <row r="2285" spans="6:8">
      <c r="H2285" t="s">
        <v>19713</v>
      </c>
    </row>
    <row r="2286" spans="6:8">
      <c r="H2286" t="s">
        <v>19714</v>
      </c>
    </row>
    <row r="2287" spans="6:8">
      <c r="H2287" t="s">
        <v>20109</v>
      </c>
    </row>
    <row r="2288" spans="6:8">
      <c r="H2288" t="s">
        <v>20110</v>
      </c>
    </row>
    <row r="2289" spans="6:8">
      <c r="H2289" t="s">
        <v>20095</v>
      </c>
    </row>
    <row r="2290" spans="6:8">
      <c r="H2290" t="s">
        <v>20096</v>
      </c>
    </row>
    <row r="2291" spans="6:8">
      <c r="H2291" t="s">
        <v>20097</v>
      </c>
    </row>
    <row r="2292" spans="6:8">
      <c r="H2292" t="s">
        <v>20098</v>
      </c>
    </row>
    <row r="2293" spans="6:8">
      <c r="H2293" t="s">
        <v>20099</v>
      </c>
    </row>
    <row r="2294" spans="6:8">
      <c r="F2294" t="s">
        <v>11121</v>
      </c>
      <c r="G2294" t="s">
        <v>15511</v>
      </c>
      <c r="H2294" t="s">
        <v>20091</v>
      </c>
    </row>
    <row r="2295" spans="6:8">
      <c r="H2295" t="s">
        <v>20095</v>
      </c>
    </row>
    <row r="2296" spans="6:8">
      <c r="F2296" t="s">
        <v>11122</v>
      </c>
      <c r="G2296" t="s">
        <v>15512</v>
      </c>
      <c r="H2296" t="s">
        <v>20091</v>
      </c>
    </row>
    <row r="2297" spans="6:8">
      <c r="H2297" t="s">
        <v>20095</v>
      </c>
    </row>
    <row r="2298" spans="6:8">
      <c r="F2298" t="s">
        <v>11123</v>
      </c>
      <c r="G2298" t="s">
        <v>15513</v>
      </c>
      <c r="H2298" t="s">
        <v>20091</v>
      </c>
    </row>
    <row r="2299" spans="6:8">
      <c r="H2299" t="s">
        <v>19712</v>
      </c>
    </row>
    <row r="2300" spans="6:8">
      <c r="H2300" t="s">
        <v>19709</v>
      </c>
    </row>
    <row r="2301" spans="6:8">
      <c r="H2301" t="s">
        <v>20095</v>
      </c>
    </row>
    <row r="2302" spans="6:8">
      <c r="H2302" t="s">
        <v>20096</v>
      </c>
    </row>
    <row r="2303" spans="6:8">
      <c r="F2303" t="s">
        <v>11124</v>
      </c>
      <c r="G2303" t="s">
        <v>15514</v>
      </c>
      <c r="H2303" t="s">
        <v>20091</v>
      </c>
    </row>
    <row r="2304" spans="6:8">
      <c r="H2304" t="s">
        <v>19712</v>
      </c>
    </row>
    <row r="2305" spans="6:8">
      <c r="H2305" t="s">
        <v>20095</v>
      </c>
    </row>
    <row r="2306" spans="6:8">
      <c r="H2306" t="s">
        <v>20096</v>
      </c>
    </row>
    <row r="2307" spans="6:8">
      <c r="F2307" t="s">
        <v>11125</v>
      </c>
      <c r="G2307" t="s">
        <v>15515</v>
      </c>
      <c r="H2307" t="s">
        <v>20091</v>
      </c>
    </row>
    <row r="2308" spans="6:8">
      <c r="H2308" t="s">
        <v>19712</v>
      </c>
    </row>
    <row r="2309" spans="6:8">
      <c r="H2309" t="s">
        <v>20095</v>
      </c>
    </row>
    <row r="2310" spans="6:8">
      <c r="H2310" t="s">
        <v>20096</v>
      </c>
    </row>
    <row r="2311" spans="6:8">
      <c r="F2311" t="s">
        <v>11126</v>
      </c>
      <c r="G2311" t="s">
        <v>15516</v>
      </c>
      <c r="H2311" t="s">
        <v>20091</v>
      </c>
    </row>
    <row r="2312" spans="6:8">
      <c r="H2312" t="s">
        <v>19712</v>
      </c>
    </row>
    <row r="2313" spans="6:8">
      <c r="H2313" t="s">
        <v>19709</v>
      </c>
    </row>
    <row r="2314" spans="6:8">
      <c r="H2314" t="s">
        <v>19706</v>
      </c>
    </row>
    <row r="2315" spans="6:8">
      <c r="H2315" t="s">
        <v>19707</v>
      </c>
    </row>
    <row r="2316" spans="6:8">
      <c r="H2316" t="s">
        <v>19711</v>
      </c>
    </row>
    <row r="2317" spans="6:8">
      <c r="H2317" t="s">
        <v>20107</v>
      </c>
    </row>
    <row r="2318" spans="6:8">
      <c r="H2318" t="s">
        <v>20108</v>
      </c>
    </row>
    <row r="2319" spans="6:8">
      <c r="H2319" t="s">
        <v>19713</v>
      </c>
    </row>
    <row r="2320" spans="6:8">
      <c r="H2320" t="s">
        <v>19714</v>
      </c>
    </row>
    <row r="2321" spans="6:8">
      <c r="H2321" t="s">
        <v>20109</v>
      </c>
    </row>
    <row r="2322" spans="6:8">
      <c r="H2322" t="s">
        <v>20110</v>
      </c>
    </row>
    <row r="2323" spans="6:8">
      <c r="H2323" t="s">
        <v>20092</v>
      </c>
    </row>
    <row r="2324" spans="6:8">
      <c r="H2324" t="s">
        <v>20095</v>
      </c>
    </row>
    <row r="2325" spans="6:8">
      <c r="H2325" t="s">
        <v>20096</v>
      </c>
    </row>
    <row r="2326" spans="6:8">
      <c r="H2326" t="s">
        <v>20097</v>
      </c>
    </row>
    <row r="2327" spans="6:8">
      <c r="H2327" t="s">
        <v>20098</v>
      </c>
    </row>
    <row r="2328" spans="6:8">
      <c r="H2328" t="s">
        <v>20099</v>
      </c>
    </row>
    <row r="2329" spans="6:8">
      <c r="H2329" t="s">
        <v>20100</v>
      </c>
    </row>
    <row r="2330" spans="6:8">
      <c r="F2330" t="s">
        <v>11127</v>
      </c>
      <c r="G2330" t="s">
        <v>15517</v>
      </c>
      <c r="H2330" t="s">
        <v>20091</v>
      </c>
    </row>
    <row r="2331" spans="6:8">
      <c r="H2331" t="s">
        <v>19712</v>
      </c>
    </row>
    <row r="2332" spans="6:8">
      <c r="H2332" t="s">
        <v>20095</v>
      </c>
    </row>
    <row r="2333" spans="6:8">
      <c r="H2333" t="s">
        <v>20096</v>
      </c>
    </row>
    <row r="2334" spans="6:8">
      <c r="H2334" t="s">
        <v>20097</v>
      </c>
    </row>
    <row r="2335" spans="6:8">
      <c r="H2335" t="s">
        <v>20098</v>
      </c>
    </row>
    <row r="2336" spans="6:8">
      <c r="H2336" t="s">
        <v>19709</v>
      </c>
    </row>
    <row r="2337" spans="6:8">
      <c r="H2337" t="s">
        <v>19706</v>
      </c>
    </row>
    <row r="2338" spans="6:8">
      <c r="H2338" t="s">
        <v>20099</v>
      </c>
    </row>
    <row r="2339" spans="6:8">
      <c r="H2339" t="s">
        <v>20100</v>
      </c>
    </row>
    <row r="2340" spans="6:8">
      <c r="H2340" t="s">
        <v>20101</v>
      </c>
    </row>
    <row r="2341" spans="6:8">
      <c r="H2341" t="s">
        <v>20102</v>
      </c>
    </row>
    <row r="2342" spans="6:8">
      <c r="F2342" t="s">
        <v>11128</v>
      </c>
      <c r="G2342" t="s">
        <v>15518</v>
      </c>
      <c r="H2342" t="s">
        <v>20091</v>
      </c>
    </row>
    <row r="2343" spans="6:8">
      <c r="H2343" t="s">
        <v>19712</v>
      </c>
    </row>
    <row r="2344" spans="6:8">
      <c r="H2344" t="s">
        <v>20095</v>
      </c>
    </row>
    <row r="2345" spans="6:8">
      <c r="H2345" t="s">
        <v>20096</v>
      </c>
    </row>
    <row r="2346" spans="6:8">
      <c r="H2346" t="s">
        <v>20097</v>
      </c>
    </row>
    <row r="2347" spans="6:8">
      <c r="H2347" t="s">
        <v>20098</v>
      </c>
    </row>
    <row r="2348" spans="6:8">
      <c r="F2348" t="s">
        <v>11129</v>
      </c>
      <c r="G2348" t="s">
        <v>15519</v>
      </c>
      <c r="H2348" t="s">
        <v>20091</v>
      </c>
    </row>
    <row r="2349" spans="6:8">
      <c r="H2349" t="s">
        <v>19712</v>
      </c>
    </row>
    <row r="2350" spans="6:8">
      <c r="H2350" t="s">
        <v>20095</v>
      </c>
    </row>
    <row r="2351" spans="6:8">
      <c r="H2351" t="s">
        <v>20096</v>
      </c>
    </row>
    <row r="2352" spans="6:8">
      <c r="H2352" t="s">
        <v>20097</v>
      </c>
    </row>
    <row r="2353" spans="6:8">
      <c r="H2353" t="s">
        <v>20098</v>
      </c>
    </row>
    <row r="2354" spans="6:8">
      <c r="F2354" t="s">
        <v>11130</v>
      </c>
      <c r="G2354" t="s">
        <v>15520</v>
      </c>
      <c r="H2354" t="s">
        <v>20091</v>
      </c>
    </row>
    <row r="2355" spans="6:8">
      <c r="H2355" t="s">
        <v>19712</v>
      </c>
    </row>
    <row r="2356" spans="6:8">
      <c r="H2356" t="s">
        <v>20095</v>
      </c>
    </row>
    <row r="2357" spans="6:8">
      <c r="H2357" t="s">
        <v>20096</v>
      </c>
    </row>
    <row r="2358" spans="6:8">
      <c r="H2358" t="s">
        <v>20097</v>
      </c>
    </row>
    <row r="2359" spans="6:8">
      <c r="H2359" t="s">
        <v>20098</v>
      </c>
    </row>
    <row r="2360" spans="6:8">
      <c r="F2360" t="s">
        <v>11131</v>
      </c>
      <c r="G2360" t="s">
        <v>15521</v>
      </c>
      <c r="H2360" t="s">
        <v>20091</v>
      </c>
    </row>
    <row r="2361" spans="6:8">
      <c r="H2361" t="s">
        <v>19712</v>
      </c>
    </row>
    <row r="2362" spans="6:8">
      <c r="H2362" t="s">
        <v>20095</v>
      </c>
    </row>
    <row r="2363" spans="6:8">
      <c r="H2363" t="s">
        <v>20096</v>
      </c>
    </row>
    <row r="2364" spans="6:8">
      <c r="H2364" t="s">
        <v>20097</v>
      </c>
    </row>
    <row r="2365" spans="6:8">
      <c r="H2365" t="s">
        <v>20098</v>
      </c>
    </row>
    <row r="2366" spans="6:8">
      <c r="F2366" t="s">
        <v>11132</v>
      </c>
      <c r="G2366" t="s">
        <v>15522</v>
      </c>
      <c r="H2366" t="s">
        <v>20091</v>
      </c>
    </row>
    <row r="2367" spans="6:8">
      <c r="H2367" t="s">
        <v>19712</v>
      </c>
    </row>
    <row r="2368" spans="6:8">
      <c r="H2368" t="s">
        <v>19709</v>
      </c>
    </row>
    <row r="2369" spans="6:8">
      <c r="H2369" t="s">
        <v>20107</v>
      </c>
    </row>
    <row r="2370" spans="6:8">
      <c r="H2370" t="s">
        <v>20108</v>
      </c>
    </row>
    <row r="2371" spans="6:8">
      <c r="H2371" t="s">
        <v>19713</v>
      </c>
    </row>
    <row r="2372" spans="6:8">
      <c r="H2372" t="s">
        <v>19714</v>
      </c>
    </row>
    <row r="2373" spans="6:8">
      <c r="H2373" t="s">
        <v>20109</v>
      </c>
    </row>
    <row r="2374" spans="6:8">
      <c r="H2374" t="s">
        <v>20110</v>
      </c>
    </row>
    <row r="2375" spans="6:8">
      <c r="H2375" t="s">
        <v>20111</v>
      </c>
    </row>
    <row r="2376" spans="6:8">
      <c r="H2376" t="s">
        <v>20095</v>
      </c>
    </row>
    <row r="2377" spans="6:8">
      <c r="H2377" t="s">
        <v>20096</v>
      </c>
    </row>
    <row r="2378" spans="6:8">
      <c r="H2378" t="s">
        <v>20097</v>
      </c>
    </row>
    <row r="2379" spans="6:8">
      <c r="H2379" t="s">
        <v>20098</v>
      </c>
    </row>
    <row r="2380" spans="6:8">
      <c r="H2380" t="s">
        <v>20099</v>
      </c>
    </row>
    <row r="2381" spans="6:8">
      <c r="H2381" t="s">
        <v>20100</v>
      </c>
    </row>
    <row r="2382" spans="6:8">
      <c r="F2382" t="s">
        <v>11133</v>
      </c>
      <c r="G2382" t="s">
        <v>15523</v>
      </c>
      <c r="H2382" t="s">
        <v>20091</v>
      </c>
    </row>
    <row r="2383" spans="6:8">
      <c r="H2383" t="s">
        <v>19712</v>
      </c>
    </row>
    <row r="2384" spans="6:8">
      <c r="H2384" t="s">
        <v>19709</v>
      </c>
    </row>
    <row r="2385" spans="6:8">
      <c r="H2385" t="s">
        <v>19706</v>
      </c>
    </row>
    <row r="2386" spans="6:8">
      <c r="H2386" t="s">
        <v>20107</v>
      </c>
    </row>
    <row r="2387" spans="6:8">
      <c r="H2387" t="s">
        <v>20108</v>
      </c>
    </row>
    <row r="2388" spans="6:8">
      <c r="H2388" t="s">
        <v>19713</v>
      </c>
    </row>
    <row r="2389" spans="6:8">
      <c r="H2389" t="s">
        <v>20095</v>
      </c>
    </row>
    <row r="2390" spans="6:8">
      <c r="H2390" t="s">
        <v>20096</v>
      </c>
    </row>
    <row r="2391" spans="6:8">
      <c r="H2391" t="s">
        <v>20097</v>
      </c>
    </row>
    <row r="2392" spans="6:8">
      <c r="H2392" t="s">
        <v>20098</v>
      </c>
    </row>
    <row r="2393" spans="6:8">
      <c r="H2393" t="s">
        <v>20099</v>
      </c>
    </row>
    <row r="2394" spans="6:8">
      <c r="F2394" t="s">
        <v>11134</v>
      </c>
      <c r="G2394" t="s">
        <v>15524</v>
      </c>
      <c r="H2394" t="s">
        <v>20091</v>
      </c>
    </row>
    <row r="2395" spans="6:8">
      <c r="H2395" t="s">
        <v>20107</v>
      </c>
    </row>
    <row r="2396" spans="6:8">
      <c r="H2396" t="s">
        <v>20108</v>
      </c>
    </row>
    <row r="2397" spans="6:8">
      <c r="H2397" t="s">
        <v>20095</v>
      </c>
    </row>
    <row r="2398" spans="6:8">
      <c r="H2398" t="s">
        <v>20096</v>
      </c>
    </row>
    <row r="2399" spans="6:8">
      <c r="H2399" t="s">
        <v>20097</v>
      </c>
    </row>
    <row r="2400" spans="6:8">
      <c r="H2400" t="s">
        <v>20098</v>
      </c>
    </row>
    <row r="2401" spans="6:8">
      <c r="H2401" t="s">
        <v>20099</v>
      </c>
    </row>
    <row r="2402" spans="6:8">
      <c r="H2402" t="s">
        <v>20100</v>
      </c>
    </row>
    <row r="2403" spans="6:8">
      <c r="H2403" t="s">
        <v>20101</v>
      </c>
    </row>
    <row r="2404" spans="6:8">
      <c r="H2404" t="s">
        <v>20102</v>
      </c>
    </row>
    <row r="2405" spans="6:8">
      <c r="H2405" t="s">
        <v>20104</v>
      </c>
    </row>
    <row r="2406" spans="6:8">
      <c r="F2406" t="s">
        <v>11135</v>
      </c>
      <c r="G2406" t="s">
        <v>15525</v>
      </c>
      <c r="H2406" t="s">
        <v>20091</v>
      </c>
    </row>
    <row r="2407" spans="6:8">
      <c r="H2407" t="s">
        <v>19712</v>
      </c>
    </row>
    <row r="2408" spans="6:8">
      <c r="H2408" t="s">
        <v>19709</v>
      </c>
    </row>
    <row r="2409" spans="6:8">
      <c r="H2409" t="s">
        <v>20107</v>
      </c>
    </row>
    <row r="2410" spans="6:8">
      <c r="H2410" t="s">
        <v>20108</v>
      </c>
    </row>
    <row r="2411" spans="6:8">
      <c r="H2411" t="s">
        <v>20095</v>
      </c>
    </row>
    <row r="2412" spans="6:8">
      <c r="H2412" t="s">
        <v>20096</v>
      </c>
    </row>
    <row r="2413" spans="6:8">
      <c r="H2413" t="s">
        <v>20097</v>
      </c>
    </row>
    <row r="2414" spans="6:8">
      <c r="H2414" t="s">
        <v>20098</v>
      </c>
    </row>
    <row r="2415" spans="6:8">
      <c r="H2415" t="s">
        <v>20099</v>
      </c>
    </row>
    <row r="2416" spans="6:8">
      <c r="F2416" t="s">
        <v>11136</v>
      </c>
      <c r="G2416" t="s">
        <v>15526</v>
      </c>
      <c r="H2416" t="s">
        <v>20091</v>
      </c>
    </row>
    <row r="2417" spans="8:8">
      <c r="H2417" t="s">
        <v>19712</v>
      </c>
    </row>
    <row r="2418" spans="8:8">
      <c r="H2418" t="s">
        <v>19709</v>
      </c>
    </row>
    <row r="2419" spans="8:8">
      <c r="H2419" t="s">
        <v>19706</v>
      </c>
    </row>
    <row r="2420" spans="8:8">
      <c r="H2420" t="s">
        <v>19707</v>
      </c>
    </row>
    <row r="2421" spans="8:8">
      <c r="H2421" t="s">
        <v>19711</v>
      </c>
    </row>
    <row r="2422" spans="8:8">
      <c r="H2422" t="s">
        <v>20107</v>
      </c>
    </row>
    <row r="2423" spans="8:8">
      <c r="H2423" t="s">
        <v>20108</v>
      </c>
    </row>
    <row r="2424" spans="8:8">
      <c r="H2424" t="s">
        <v>19713</v>
      </c>
    </row>
    <row r="2425" spans="8:8">
      <c r="H2425" t="s">
        <v>19714</v>
      </c>
    </row>
    <row r="2426" spans="8:8">
      <c r="H2426" t="s">
        <v>20109</v>
      </c>
    </row>
    <row r="2427" spans="8:8">
      <c r="H2427" t="s">
        <v>20110</v>
      </c>
    </row>
    <row r="2428" spans="8:8">
      <c r="H2428" t="s">
        <v>20092</v>
      </c>
    </row>
    <row r="2429" spans="8:8">
      <c r="H2429" t="s">
        <v>20095</v>
      </c>
    </row>
    <row r="2430" spans="8:8">
      <c r="H2430" t="s">
        <v>20096</v>
      </c>
    </row>
    <row r="2431" spans="8:8">
      <c r="H2431" t="s">
        <v>20097</v>
      </c>
    </row>
    <row r="2432" spans="8:8">
      <c r="H2432" t="s">
        <v>20098</v>
      </c>
    </row>
    <row r="2433" spans="6:8">
      <c r="H2433" t="s">
        <v>20099</v>
      </c>
    </row>
    <row r="2434" spans="6:8">
      <c r="F2434" t="s">
        <v>11137</v>
      </c>
      <c r="G2434" t="s">
        <v>15527</v>
      </c>
      <c r="H2434" t="s">
        <v>20091</v>
      </c>
    </row>
    <row r="2435" spans="6:8">
      <c r="H2435" t="s">
        <v>19712</v>
      </c>
    </row>
    <row r="2436" spans="6:8">
      <c r="H2436" t="s">
        <v>19709</v>
      </c>
    </row>
    <row r="2437" spans="6:8">
      <c r="H2437" t="s">
        <v>20092</v>
      </c>
    </row>
    <row r="2438" spans="6:8">
      <c r="H2438" t="s">
        <v>20095</v>
      </c>
    </row>
    <row r="2439" spans="6:8">
      <c r="H2439" t="s">
        <v>20096</v>
      </c>
    </row>
    <row r="2440" spans="6:8">
      <c r="H2440" t="s">
        <v>20097</v>
      </c>
    </row>
    <row r="2441" spans="6:8">
      <c r="H2441" t="s">
        <v>20098</v>
      </c>
    </row>
    <row r="2442" spans="6:8">
      <c r="H2442" t="s">
        <v>20099</v>
      </c>
    </row>
    <row r="2443" spans="6:8">
      <c r="H2443" t="s">
        <v>20100</v>
      </c>
    </row>
    <row r="2444" spans="6:8">
      <c r="F2444" t="s">
        <v>11138</v>
      </c>
      <c r="G2444" t="s">
        <v>15528</v>
      </c>
      <c r="H2444" t="s">
        <v>20091</v>
      </c>
    </row>
    <row r="2445" spans="6:8">
      <c r="H2445" t="s">
        <v>19712</v>
      </c>
    </row>
    <row r="2446" spans="6:8">
      <c r="H2446" t="s">
        <v>19709</v>
      </c>
    </row>
    <row r="2447" spans="6:8">
      <c r="H2447" t="s">
        <v>19706</v>
      </c>
    </row>
    <row r="2448" spans="6:8">
      <c r="H2448" t="s">
        <v>19707</v>
      </c>
    </row>
    <row r="2449" spans="6:8">
      <c r="H2449" t="s">
        <v>20107</v>
      </c>
    </row>
    <row r="2450" spans="6:8">
      <c r="H2450" t="s">
        <v>20108</v>
      </c>
    </row>
    <row r="2451" spans="6:8">
      <c r="H2451" t="s">
        <v>19713</v>
      </c>
    </row>
    <row r="2452" spans="6:8">
      <c r="H2452" t="s">
        <v>19714</v>
      </c>
    </row>
    <row r="2453" spans="6:8">
      <c r="H2453" t="s">
        <v>20095</v>
      </c>
    </row>
    <row r="2454" spans="6:8">
      <c r="H2454" t="s">
        <v>20096</v>
      </c>
    </row>
    <row r="2455" spans="6:8">
      <c r="H2455" t="s">
        <v>20097</v>
      </c>
    </row>
    <row r="2456" spans="6:8">
      <c r="H2456" t="s">
        <v>20098</v>
      </c>
    </row>
    <row r="2457" spans="6:8">
      <c r="H2457" t="s">
        <v>20099</v>
      </c>
    </row>
    <row r="2458" spans="6:8">
      <c r="F2458" t="s">
        <v>11139</v>
      </c>
      <c r="G2458" t="s">
        <v>15529</v>
      </c>
      <c r="H2458" t="s">
        <v>20091</v>
      </c>
    </row>
    <row r="2459" spans="6:8">
      <c r="H2459" t="s">
        <v>19712</v>
      </c>
    </row>
    <row r="2460" spans="6:8">
      <c r="H2460" t="s">
        <v>19709</v>
      </c>
    </row>
    <row r="2461" spans="6:8">
      <c r="H2461" t="s">
        <v>19706</v>
      </c>
    </row>
    <row r="2462" spans="6:8">
      <c r="H2462" t="s">
        <v>19707</v>
      </c>
    </row>
    <row r="2463" spans="6:8">
      <c r="H2463" t="s">
        <v>20107</v>
      </c>
    </row>
    <row r="2464" spans="6:8">
      <c r="H2464" t="s">
        <v>20108</v>
      </c>
    </row>
    <row r="2465" spans="6:8">
      <c r="H2465" t="s">
        <v>19713</v>
      </c>
    </row>
    <row r="2466" spans="6:8">
      <c r="H2466" t="s">
        <v>19714</v>
      </c>
    </row>
    <row r="2467" spans="6:8">
      <c r="H2467" t="s">
        <v>20095</v>
      </c>
    </row>
    <row r="2468" spans="6:8">
      <c r="H2468" t="s">
        <v>20096</v>
      </c>
    </row>
    <row r="2469" spans="6:8">
      <c r="H2469" t="s">
        <v>20097</v>
      </c>
    </row>
    <row r="2470" spans="6:8">
      <c r="H2470" t="s">
        <v>20098</v>
      </c>
    </row>
    <row r="2471" spans="6:8">
      <c r="H2471" t="s">
        <v>20099</v>
      </c>
    </row>
    <row r="2472" spans="6:8">
      <c r="F2472" t="s">
        <v>11140</v>
      </c>
      <c r="G2472" t="s">
        <v>15530</v>
      </c>
      <c r="H2472" t="s">
        <v>20091</v>
      </c>
    </row>
    <row r="2473" spans="6:8">
      <c r="H2473" t="s">
        <v>19712</v>
      </c>
    </row>
    <row r="2474" spans="6:8">
      <c r="H2474" t="s">
        <v>20095</v>
      </c>
    </row>
    <row r="2475" spans="6:8">
      <c r="H2475" t="s">
        <v>20096</v>
      </c>
    </row>
    <row r="2476" spans="6:8">
      <c r="H2476" t="s">
        <v>20097</v>
      </c>
    </row>
    <row r="2477" spans="6:8">
      <c r="H2477" t="s">
        <v>20098</v>
      </c>
    </row>
    <row r="2478" spans="6:8">
      <c r="H2478" t="s">
        <v>19709</v>
      </c>
    </row>
    <row r="2479" spans="6:8">
      <c r="H2479" t="s">
        <v>19706</v>
      </c>
    </row>
    <row r="2480" spans="6:8">
      <c r="H2480" t="s">
        <v>20099</v>
      </c>
    </row>
    <row r="2481" spans="6:8">
      <c r="H2481" t="s">
        <v>20100</v>
      </c>
    </row>
    <row r="2482" spans="6:8">
      <c r="H2482" t="s">
        <v>20101</v>
      </c>
    </row>
    <row r="2483" spans="6:8">
      <c r="H2483" t="s">
        <v>20102</v>
      </c>
    </row>
    <row r="2484" spans="6:8">
      <c r="F2484" t="s">
        <v>11141</v>
      </c>
      <c r="G2484" t="s">
        <v>15531</v>
      </c>
      <c r="H2484" t="s">
        <v>20091</v>
      </c>
    </row>
    <row r="2485" spans="6:8">
      <c r="H2485" t="s">
        <v>19712</v>
      </c>
    </row>
    <row r="2486" spans="6:8">
      <c r="H2486" t="s">
        <v>20095</v>
      </c>
    </row>
    <row r="2487" spans="6:8">
      <c r="H2487" t="s">
        <v>20096</v>
      </c>
    </row>
    <row r="2488" spans="6:8">
      <c r="H2488" t="s">
        <v>20097</v>
      </c>
    </row>
    <row r="2489" spans="6:8">
      <c r="H2489" t="s">
        <v>20098</v>
      </c>
    </row>
    <row r="2490" spans="6:8">
      <c r="F2490" t="s">
        <v>11142</v>
      </c>
      <c r="G2490" t="s">
        <v>15532</v>
      </c>
      <c r="H2490" t="s">
        <v>20091</v>
      </c>
    </row>
    <row r="2491" spans="6:8">
      <c r="H2491" t="s">
        <v>19712</v>
      </c>
    </row>
    <row r="2492" spans="6:8">
      <c r="H2492" t="s">
        <v>20095</v>
      </c>
    </row>
    <row r="2493" spans="6:8">
      <c r="H2493" t="s">
        <v>20096</v>
      </c>
    </row>
    <row r="2494" spans="6:8">
      <c r="H2494" t="s">
        <v>20097</v>
      </c>
    </row>
    <row r="2495" spans="6:8">
      <c r="H2495" t="s">
        <v>20098</v>
      </c>
    </row>
    <row r="2496" spans="6:8">
      <c r="F2496" t="s">
        <v>11143</v>
      </c>
      <c r="G2496" t="s">
        <v>15533</v>
      </c>
      <c r="H2496" t="s">
        <v>20091</v>
      </c>
    </row>
    <row r="2497" spans="6:8">
      <c r="H2497" t="s">
        <v>19712</v>
      </c>
    </row>
    <row r="2498" spans="6:8">
      <c r="H2498" t="s">
        <v>20095</v>
      </c>
    </row>
    <row r="2499" spans="6:8">
      <c r="H2499" t="s">
        <v>20096</v>
      </c>
    </row>
    <row r="2500" spans="6:8">
      <c r="H2500" t="s">
        <v>20097</v>
      </c>
    </row>
    <row r="2501" spans="6:8">
      <c r="H2501" t="s">
        <v>20098</v>
      </c>
    </row>
    <row r="2502" spans="6:8">
      <c r="F2502" t="s">
        <v>11144</v>
      </c>
      <c r="G2502" t="s">
        <v>15534</v>
      </c>
      <c r="H2502" t="s">
        <v>20091</v>
      </c>
    </row>
    <row r="2503" spans="6:8">
      <c r="H2503" t="s">
        <v>19712</v>
      </c>
    </row>
    <row r="2504" spans="6:8">
      <c r="H2504" t="s">
        <v>20095</v>
      </c>
    </row>
    <row r="2505" spans="6:8">
      <c r="H2505" t="s">
        <v>20096</v>
      </c>
    </row>
    <row r="2506" spans="6:8">
      <c r="H2506" t="s">
        <v>20097</v>
      </c>
    </row>
    <row r="2507" spans="6:8">
      <c r="H2507" t="s">
        <v>20098</v>
      </c>
    </row>
    <row r="2508" spans="6:8">
      <c r="F2508" t="s">
        <v>11145</v>
      </c>
      <c r="G2508" t="s">
        <v>15535</v>
      </c>
      <c r="H2508" t="s">
        <v>20091</v>
      </c>
    </row>
    <row r="2509" spans="6:8">
      <c r="H2509" t="s">
        <v>19712</v>
      </c>
    </row>
    <row r="2510" spans="6:8">
      <c r="H2510" t="s">
        <v>19709</v>
      </c>
    </row>
    <row r="2511" spans="6:8">
      <c r="H2511" t="s">
        <v>20107</v>
      </c>
    </row>
    <row r="2512" spans="6:8">
      <c r="H2512" t="s">
        <v>20108</v>
      </c>
    </row>
    <row r="2513" spans="6:8">
      <c r="H2513" t="s">
        <v>19713</v>
      </c>
    </row>
    <row r="2514" spans="6:8">
      <c r="H2514" t="s">
        <v>19714</v>
      </c>
    </row>
    <row r="2515" spans="6:8">
      <c r="H2515" t="s">
        <v>20109</v>
      </c>
    </row>
    <row r="2516" spans="6:8">
      <c r="H2516" t="s">
        <v>20110</v>
      </c>
    </row>
    <row r="2517" spans="6:8">
      <c r="H2517" t="s">
        <v>20095</v>
      </c>
    </row>
    <row r="2518" spans="6:8">
      <c r="H2518" t="s">
        <v>20096</v>
      </c>
    </row>
    <row r="2519" spans="6:8">
      <c r="H2519" t="s">
        <v>20097</v>
      </c>
    </row>
    <row r="2520" spans="6:8">
      <c r="H2520" t="s">
        <v>20098</v>
      </c>
    </row>
    <row r="2521" spans="6:8">
      <c r="H2521" t="s">
        <v>20099</v>
      </c>
    </row>
    <row r="2522" spans="6:8">
      <c r="F2522" t="s">
        <v>11146</v>
      </c>
      <c r="G2522" t="s">
        <v>15536</v>
      </c>
      <c r="H2522" t="s">
        <v>20091</v>
      </c>
    </row>
    <row r="2523" spans="6:8">
      <c r="H2523" t="s">
        <v>19712</v>
      </c>
    </row>
    <row r="2524" spans="6:8">
      <c r="H2524" t="s">
        <v>19709</v>
      </c>
    </row>
    <row r="2525" spans="6:8">
      <c r="H2525" t="s">
        <v>19706</v>
      </c>
    </row>
    <row r="2526" spans="6:8">
      <c r="H2526" t="s">
        <v>19707</v>
      </c>
    </row>
    <row r="2527" spans="6:8">
      <c r="H2527" t="s">
        <v>19711</v>
      </c>
    </row>
    <row r="2528" spans="6:8">
      <c r="H2528" t="s">
        <v>20107</v>
      </c>
    </row>
    <row r="2529" spans="6:8">
      <c r="H2529" t="s">
        <v>20108</v>
      </c>
    </row>
    <row r="2530" spans="6:8">
      <c r="H2530" t="s">
        <v>19713</v>
      </c>
    </row>
    <row r="2531" spans="6:8">
      <c r="H2531" t="s">
        <v>19714</v>
      </c>
    </row>
    <row r="2532" spans="6:8">
      <c r="H2532" t="s">
        <v>20095</v>
      </c>
    </row>
    <row r="2533" spans="6:8">
      <c r="H2533" t="s">
        <v>20096</v>
      </c>
    </row>
    <row r="2534" spans="6:8">
      <c r="H2534" t="s">
        <v>20097</v>
      </c>
    </row>
    <row r="2535" spans="6:8">
      <c r="H2535" t="s">
        <v>20098</v>
      </c>
    </row>
    <row r="2536" spans="6:8">
      <c r="H2536" t="s">
        <v>20099</v>
      </c>
    </row>
    <row r="2537" spans="6:8">
      <c r="F2537" t="s">
        <v>11147</v>
      </c>
      <c r="G2537" t="s">
        <v>15537</v>
      </c>
      <c r="H2537" t="s">
        <v>20091</v>
      </c>
    </row>
    <row r="2538" spans="6:8">
      <c r="H2538" t="s">
        <v>19712</v>
      </c>
    </row>
    <row r="2539" spans="6:8">
      <c r="H2539" t="s">
        <v>19709</v>
      </c>
    </row>
    <row r="2540" spans="6:8">
      <c r="H2540" t="s">
        <v>20107</v>
      </c>
    </row>
    <row r="2541" spans="6:8">
      <c r="H2541" t="s">
        <v>20108</v>
      </c>
    </row>
    <row r="2542" spans="6:8">
      <c r="H2542" t="s">
        <v>19713</v>
      </c>
    </row>
    <row r="2543" spans="6:8">
      <c r="H2543" t="s">
        <v>20095</v>
      </c>
    </row>
    <row r="2544" spans="6:8">
      <c r="H2544" t="s">
        <v>20096</v>
      </c>
    </row>
    <row r="2545" spans="6:8">
      <c r="H2545" t="s">
        <v>20097</v>
      </c>
    </row>
    <row r="2546" spans="6:8">
      <c r="H2546" t="s">
        <v>20098</v>
      </c>
    </row>
    <row r="2547" spans="6:8">
      <c r="H2547" t="s">
        <v>20099</v>
      </c>
    </row>
    <row r="2548" spans="6:8">
      <c r="F2548" t="s">
        <v>11148</v>
      </c>
      <c r="G2548" t="s">
        <v>15538</v>
      </c>
      <c r="H2548" t="s">
        <v>20091</v>
      </c>
    </row>
    <row r="2549" spans="6:8">
      <c r="H2549" t="s">
        <v>19712</v>
      </c>
    </row>
    <row r="2550" spans="6:8">
      <c r="H2550" t="s">
        <v>20092</v>
      </c>
    </row>
    <row r="2551" spans="6:8">
      <c r="H2551" t="s">
        <v>20095</v>
      </c>
    </row>
    <row r="2552" spans="6:8">
      <c r="H2552" t="s">
        <v>20096</v>
      </c>
    </row>
    <row r="2553" spans="6:8">
      <c r="F2553" t="s">
        <v>11149</v>
      </c>
      <c r="G2553" t="s">
        <v>15539</v>
      </c>
      <c r="H2553" t="s">
        <v>20092</v>
      </c>
    </row>
    <row r="2554" spans="6:8">
      <c r="H2554" t="s">
        <v>20093</v>
      </c>
    </row>
    <row r="2555" spans="6:8">
      <c r="H2555" t="s">
        <v>20094</v>
      </c>
    </row>
    <row r="2556" spans="6:8">
      <c r="H2556" t="s">
        <v>20095</v>
      </c>
    </row>
    <row r="2557" spans="6:8">
      <c r="H2557" t="s">
        <v>20096</v>
      </c>
    </row>
    <row r="2558" spans="6:8">
      <c r="F2558" t="s">
        <v>11150</v>
      </c>
      <c r="G2558" t="s">
        <v>15540</v>
      </c>
      <c r="H2558" t="s">
        <v>20091</v>
      </c>
    </row>
    <row r="2559" spans="6:8">
      <c r="H2559" t="s">
        <v>19712</v>
      </c>
    </row>
    <row r="2560" spans="6:8">
      <c r="H2560" t="s">
        <v>19709</v>
      </c>
    </row>
    <row r="2561" spans="6:8">
      <c r="H2561" t="s">
        <v>20092</v>
      </c>
    </row>
    <row r="2562" spans="6:8">
      <c r="H2562" t="s">
        <v>20093</v>
      </c>
    </row>
    <row r="2563" spans="6:8">
      <c r="H2563" t="s">
        <v>20094</v>
      </c>
    </row>
    <row r="2564" spans="6:8">
      <c r="H2564" t="s">
        <v>20095</v>
      </c>
    </row>
    <row r="2565" spans="6:8">
      <c r="H2565" t="s">
        <v>20096</v>
      </c>
    </row>
    <row r="2566" spans="6:8">
      <c r="H2566" t="s">
        <v>20097</v>
      </c>
    </row>
    <row r="2567" spans="6:8">
      <c r="H2567" t="s">
        <v>20098</v>
      </c>
    </row>
    <row r="2568" spans="6:8">
      <c r="H2568" t="s">
        <v>20099</v>
      </c>
    </row>
    <row r="2569" spans="6:8">
      <c r="H2569" t="s">
        <v>20100</v>
      </c>
    </row>
    <row r="2570" spans="6:8">
      <c r="F2570" t="s">
        <v>11151</v>
      </c>
      <c r="G2570" t="s">
        <v>15541</v>
      </c>
      <c r="H2570" t="s">
        <v>20091</v>
      </c>
    </row>
    <row r="2571" spans="6:8">
      <c r="H2571" t="s">
        <v>19712</v>
      </c>
    </row>
    <row r="2572" spans="6:8">
      <c r="H2572" t="s">
        <v>20092</v>
      </c>
    </row>
    <row r="2573" spans="6:8">
      <c r="H2573" t="s">
        <v>20107</v>
      </c>
    </row>
    <row r="2574" spans="6:8">
      <c r="H2574" t="s">
        <v>20095</v>
      </c>
    </row>
    <row r="2575" spans="6:8">
      <c r="H2575" t="s">
        <v>20096</v>
      </c>
    </row>
    <row r="2576" spans="6:8">
      <c r="H2576" t="s">
        <v>20097</v>
      </c>
    </row>
    <row r="2577" spans="6:8">
      <c r="H2577" t="s">
        <v>20098</v>
      </c>
    </row>
    <row r="2578" spans="6:8">
      <c r="F2578" t="s">
        <v>11152</v>
      </c>
      <c r="G2578" t="s">
        <v>15542</v>
      </c>
      <c r="H2578" t="s">
        <v>20091</v>
      </c>
    </row>
    <row r="2579" spans="6:8">
      <c r="F2579" t="s">
        <v>11153</v>
      </c>
      <c r="G2579" t="s">
        <v>15543</v>
      </c>
      <c r="H2579" t="s">
        <v>20091</v>
      </c>
    </row>
    <row r="2580" spans="6:8">
      <c r="H2580" t="s">
        <v>19712</v>
      </c>
    </row>
    <row r="2581" spans="6:8">
      <c r="H2581" t="s">
        <v>19709</v>
      </c>
    </row>
    <row r="2582" spans="6:8">
      <c r="H2582" t="s">
        <v>20095</v>
      </c>
    </row>
    <row r="2583" spans="6:8">
      <c r="H2583" t="s">
        <v>20096</v>
      </c>
    </row>
    <row r="2584" spans="6:8">
      <c r="H2584" t="s">
        <v>20097</v>
      </c>
    </row>
    <row r="2585" spans="6:8">
      <c r="F2585" t="s">
        <v>11154</v>
      </c>
      <c r="G2585" t="s">
        <v>15544</v>
      </c>
      <c r="H2585" t="s">
        <v>20091</v>
      </c>
    </row>
    <row r="2586" spans="6:8">
      <c r="H2586" t="s">
        <v>19712</v>
      </c>
    </row>
    <row r="2587" spans="6:8">
      <c r="H2587" t="s">
        <v>19709</v>
      </c>
    </row>
    <row r="2588" spans="6:8">
      <c r="H2588" t="s">
        <v>19706</v>
      </c>
    </row>
    <row r="2589" spans="6:8">
      <c r="H2589" t="s">
        <v>20092</v>
      </c>
    </row>
    <row r="2590" spans="6:8">
      <c r="H2590" t="s">
        <v>20093</v>
      </c>
    </row>
    <row r="2591" spans="6:8">
      <c r="H2591" t="s">
        <v>20095</v>
      </c>
    </row>
    <row r="2592" spans="6:8">
      <c r="H2592" t="s">
        <v>20096</v>
      </c>
    </row>
    <row r="2593" spans="6:8">
      <c r="H2593" t="s">
        <v>20097</v>
      </c>
    </row>
    <row r="2594" spans="6:8">
      <c r="H2594" t="s">
        <v>20098</v>
      </c>
    </row>
    <row r="2595" spans="6:8">
      <c r="F2595" t="s">
        <v>11155</v>
      </c>
      <c r="G2595" t="s">
        <v>15545</v>
      </c>
      <c r="H2595" t="s">
        <v>20091</v>
      </c>
    </row>
    <row r="2596" spans="6:8">
      <c r="H2596" t="s">
        <v>20092</v>
      </c>
    </row>
    <row r="2597" spans="6:8">
      <c r="H2597" t="s">
        <v>20093</v>
      </c>
    </row>
    <row r="2598" spans="6:8">
      <c r="H2598" t="s">
        <v>20094</v>
      </c>
    </row>
    <row r="2599" spans="6:8">
      <c r="H2599" t="s">
        <v>20103</v>
      </c>
    </row>
    <row r="2600" spans="6:8">
      <c r="H2600" t="s">
        <v>20116</v>
      </c>
    </row>
    <row r="2601" spans="6:8">
      <c r="H2601" t="s">
        <v>20095</v>
      </c>
    </row>
    <row r="2602" spans="6:8">
      <c r="H2602" t="s">
        <v>20096</v>
      </c>
    </row>
    <row r="2603" spans="6:8">
      <c r="H2603" t="s">
        <v>20097</v>
      </c>
    </row>
    <row r="2604" spans="6:8">
      <c r="H2604" t="s">
        <v>20098</v>
      </c>
    </row>
    <row r="2605" spans="6:8">
      <c r="F2605" t="s">
        <v>11157</v>
      </c>
      <c r="G2605" t="s">
        <v>15546</v>
      </c>
      <c r="H2605" t="s">
        <v>20091</v>
      </c>
    </row>
    <row r="2606" spans="6:8">
      <c r="H2606" t="s">
        <v>19712</v>
      </c>
    </row>
    <row r="2607" spans="6:8">
      <c r="H2607" t="s">
        <v>20092</v>
      </c>
    </row>
    <row r="2608" spans="6:8">
      <c r="H2608" t="s">
        <v>20093</v>
      </c>
    </row>
    <row r="2609" spans="6:8">
      <c r="H2609" t="s">
        <v>20095</v>
      </c>
    </row>
    <row r="2610" spans="6:8">
      <c r="H2610" t="s">
        <v>20096</v>
      </c>
    </row>
    <row r="2611" spans="6:8">
      <c r="F2611" t="s">
        <v>11158</v>
      </c>
      <c r="G2611" t="s">
        <v>15547</v>
      </c>
      <c r="H2611" t="s">
        <v>20091</v>
      </c>
    </row>
    <row r="2612" spans="6:8">
      <c r="H2612" t="s">
        <v>19712</v>
      </c>
    </row>
    <row r="2613" spans="6:8">
      <c r="H2613" t="s">
        <v>20095</v>
      </c>
    </row>
    <row r="2614" spans="6:8">
      <c r="H2614" t="s">
        <v>20096</v>
      </c>
    </row>
    <row r="2615" spans="6:8">
      <c r="F2615" t="s">
        <v>11159</v>
      </c>
      <c r="G2615" t="s">
        <v>15548</v>
      </c>
      <c r="H2615" t="s">
        <v>20091</v>
      </c>
    </row>
    <row r="2616" spans="6:8">
      <c r="H2616" t="s">
        <v>19712</v>
      </c>
    </row>
    <row r="2617" spans="6:8">
      <c r="H2617" t="s">
        <v>20095</v>
      </c>
    </row>
    <row r="2618" spans="6:8">
      <c r="H2618" t="s">
        <v>20096</v>
      </c>
    </row>
    <row r="2619" spans="6:8">
      <c r="F2619" t="s">
        <v>11160</v>
      </c>
      <c r="G2619" t="s">
        <v>15549</v>
      </c>
      <c r="H2619" t="s">
        <v>20091</v>
      </c>
    </row>
    <row r="2620" spans="6:8">
      <c r="H2620" t="s">
        <v>19712</v>
      </c>
    </row>
    <row r="2621" spans="6:8">
      <c r="H2621" t="s">
        <v>19709</v>
      </c>
    </row>
    <row r="2622" spans="6:8">
      <c r="H2622" t="s">
        <v>19706</v>
      </c>
    </row>
    <row r="2623" spans="6:8">
      <c r="H2623" t="s">
        <v>19707</v>
      </c>
    </row>
    <row r="2624" spans="6:8">
      <c r="H2624" t="s">
        <v>19711</v>
      </c>
    </row>
    <row r="2625" spans="6:8">
      <c r="H2625" t="s">
        <v>20092</v>
      </c>
    </row>
    <row r="2626" spans="6:8">
      <c r="H2626" t="s">
        <v>20093</v>
      </c>
    </row>
    <row r="2627" spans="6:8">
      <c r="H2627" t="s">
        <v>20094</v>
      </c>
    </row>
    <row r="2628" spans="6:8">
      <c r="H2628" t="s">
        <v>20103</v>
      </c>
    </row>
    <row r="2629" spans="6:8">
      <c r="H2629" t="s">
        <v>20116</v>
      </c>
    </row>
    <row r="2630" spans="6:8">
      <c r="H2630" t="s">
        <v>20117</v>
      </c>
    </row>
    <row r="2631" spans="6:8">
      <c r="H2631" t="s">
        <v>20118</v>
      </c>
    </row>
    <row r="2632" spans="6:8">
      <c r="H2632" t="s">
        <v>20095</v>
      </c>
    </row>
    <row r="2633" spans="6:8">
      <c r="H2633" t="s">
        <v>20096</v>
      </c>
    </row>
    <row r="2634" spans="6:8">
      <c r="H2634" t="s">
        <v>20097</v>
      </c>
    </row>
    <row r="2635" spans="6:8">
      <c r="H2635" t="s">
        <v>20098</v>
      </c>
    </row>
    <row r="2636" spans="6:8">
      <c r="H2636" t="s">
        <v>20099</v>
      </c>
    </row>
    <row r="2637" spans="6:8">
      <c r="H2637" t="s">
        <v>20100</v>
      </c>
    </row>
    <row r="2638" spans="6:8">
      <c r="F2638" t="s">
        <v>11161</v>
      </c>
      <c r="G2638" t="s">
        <v>15550</v>
      </c>
      <c r="H2638" t="s">
        <v>20091</v>
      </c>
    </row>
    <row r="2639" spans="6:8">
      <c r="H2639" t="s">
        <v>19712</v>
      </c>
    </row>
    <row r="2640" spans="6:8">
      <c r="H2640" t="s">
        <v>19709</v>
      </c>
    </row>
    <row r="2641" spans="6:8">
      <c r="H2641" t="s">
        <v>19706</v>
      </c>
    </row>
    <row r="2642" spans="6:8">
      <c r="H2642" t="s">
        <v>19707</v>
      </c>
    </row>
    <row r="2643" spans="6:8">
      <c r="H2643" t="s">
        <v>20092</v>
      </c>
    </row>
    <row r="2644" spans="6:8">
      <c r="H2644" t="s">
        <v>20093</v>
      </c>
    </row>
    <row r="2645" spans="6:8">
      <c r="H2645" t="s">
        <v>20094</v>
      </c>
    </row>
    <row r="2646" spans="6:8">
      <c r="H2646" t="s">
        <v>20103</v>
      </c>
    </row>
    <row r="2647" spans="6:8">
      <c r="H2647" t="s">
        <v>20116</v>
      </c>
    </row>
    <row r="2648" spans="6:8">
      <c r="H2648" t="s">
        <v>20117</v>
      </c>
    </row>
    <row r="2649" spans="6:8">
      <c r="H2649" t="s">
        <v>20118</v>
      </c>
    </row>
    <row r="2650" spans="6:8">
      <c r="H2650" t="s">
        <v>20095</v>
      </c>
    </row>
    <row r="2651" spans="6:8">
      <c r="H2651" t="s">
        <v>20096</v>
      </c>
    </row>
    <row r="2652" spans="6:8">
      <c r="H2652" t="s">
        <v>20097</v>
      </c>
    </row>
    <row r="2653" spans="6:8">
      <c r="H2653" t="s">
        <v>20098</v>
      </c>
    </row>
    <row r="2654" spans="6:8">
      <c r="H2654" t="s">
        <v>20099</v>
      </c>
    </row>
    <row r="2655" spans="6:8">
      <c r="H2655" t="s">
        <v>20100</v>
      </c>
    </row>
    <row r="2656" spans="6:8">
      <c r="F2656" t="s">
        <v>11162</v>
      </c>
      <c r="G2656" t="s">
        <v>15551</v>
      </c>
      <c r="H2656" t="s">
        <v>20091</v>
      </c>
    </row>
    <row r="2657" spans="6:8">
      <c r="H2657" t="s">
        <v>20095</v>
      </c>
    </row>
    <row r="2658" spans="6:8">
      <c r="H2658" t="s">
        <v>20096</v>
      </c>
    </row>
    <row r="2659" spans="6:8">
      <c r="H2659" t="s">
        <v>20099</v>
      </c>
    </row>
    <row r="2660" spans="6:8">
      <c r="H2660" t="s">
        <v>20101</v>
      </c>
    </row>
    <row r="2661" spans="6:8">
      <c r="H2661" t="s">
        <v>19712</v>
      </c>
    </row>
    <row r="2662" spans="6:8">
      <c r="H2662" t="s">
        <v>20097</v>
      </c>
    </row>
    <row r="2663" spans="6:8">
      <c r="H2663" t="s">
        <v>20098</v>
      </c>
    </row>
    <row r="2664" spans="6:8">
      <c r="H2664" t="s">
        <v>20100</v>
      </c>
    </row>
    <row r="2665" spans="6:8">
      <c r="H2665" t="s">
        <v>20102</v>
      </c>
    </row>
    <row r="2666" spans="6:8">
      <c r="F2666" t="s">
        <v>11163</v>
      </c>
      <c r="G2666" t="s">
        <v>15552</v>
      </c>
      <c r="H2666" t="s">
        <v>20091</v>
      </c>
    </row>
    <row r="2667" spans="6:8">
      <c r="H2667" t="s">
        <v>19712</v>
      </c>
    </row>
    <row r="2668" spans="6:8">
      <c r="H2668" t="s">
        <v>20092</v>
      </c>
    </row>
    <row r="2669" spans="6:8">
      <c r="H2669" t="s">
        <v>20093</v>
      </c>
    </row>
    <row r="2670" spans="6:8">
      <c r="H2670" t="s">
        <v>20094</v>
      </c>
    </row>
    <row r="2671" spans="6:8">
      <c r="H2671" t="s">
        <v>20095</v>
      </c>
    </row>
    <row r="2672" spans="6:8">
      <c r="H2672" t="s">
        <v>20096</v>
      </c>
    </row>
    <row r="2673" spans="6:8">
      <c r="H2673" t="s">
        <v>20097</v>
      </c>
    </row>
    <row r="2674" spans="6:8">
      <c r="H2674" t="s">
        <v>20098</v>
      </c>
    </row>
    <row r="2675" spans="6:8">
      <c r="H2675" t="s">
        <v>20099</v>
      </c>
    </row>
    <row r="2676" spans="6:8">
      <c r="H2676" t="s">
        <v>20100</v>
      </c>
    </row>
    <row r="2677" spans="6:8">
      <c r="H2677" t="s">
        <v>20101</v>
      </c>
    </row>
    <row r="2678" spans="6:8">
      <c r="H2678" t="s">
        <v>20102</v>
      </c>
    </row>
    <row r="2679" spans="6:8">
      <c r="F2679" t="s">
        <v>11164</v>
      </c>
      <c r="G2679" t="s">
        <v>15553</v>
      </c>
      <c r="H2679" t="s">
        <v>20091</v>
      </c>
    </row>
    <row r="2680" spans="6:8">
      <c r="H2680" t="s">
        <v>19712</v>
      </c>
    </row>
    <row r="2681" spans="6:8">
      <c r="H2681" t="s">
        <v>20092</v>
      </c>
    </row>
    <row r="2682" spans="6:8">
      <c r="H2682" t="s">
        <v>20093</v>
      </c>
    </row>
    <row r="2683" spans="6:8">
      <c r="H2683" t="s">
        <v>20094</v>
      </c>
    </row>
    <row r="2684" spans="6:8">
      <c r="H2684" t="s">
        <v>20095</v>
      </c>
    </row>
    <row r="2685" spans="6:8">
      <c r="H2685" t="s">
        <v>20096</v>
      </c>
    </row>
    <row r="2686" spans="6:8">
      <c r="H2686" t="s">
        <v>20097</v>
      </c>
    </row>
    <row r="2687" spans="6:8">
      <c r="H2687" t="s">
        <v>20098</v>
      </c>
    </row>
    <row r="2688" spans="6:8">
      <c r="H2688" t="s">
        <v>20099</v>
      </c>
    </row>
    <row r="2689" spans="6:8">
      <c r="H2689" t="s">
        <v>20100</v>
      </c>
    </row>
    <row r="2690" spans="6:8">
      <c r="H2690" t="s">
        <v>20101</v>
      </c>
    </row>
    <row r="2691" spans="6:8">
      <c r="H2691" t="s">
        <v>20102</v>
      </c>
    </row>
    <row r="2692" spans="6:8">
      <c r="F2692" t="s">
        <v>11165</v>
      </c>
      <c r="G2692" t="s">
        <v>15554</v>
      </c>
      <c r="H2692" t="s">
        <v>20091</v>
      </c>
    </row>
    <row r="2693" spans="6:8">
      <c r="H2693" t="s">
        <v>20107</v>
      </c>
    </row>
    <row r="2694" spans="6:8">
      <c r="H2694" t="s">
        <v>20108</v>
      </c>
    </row>
    <row r="2695" spans="6:8">
      <c r="H2695" t="s">
        <v>20095</v>
      </c>
    </row>
    <row r="2696" spans="6:8">
      <c r="F2696" t="s">
        <v>11166</v>
      </c>
      <c r="G2696" t="s">
        <v>15555</v>
      </c>
      <c r="H2696" t="s">
        <v>20091</v>
      </c>
    </row>
    <row r="2697" spans="6:8">
      <c r="H2697" t="s">
        <v>19712</v>
      </c>
    </row>
    <row r="2698" spans="6:8">
      <c r="H2698" t="s">
        <v>19709</v>
      </c>
    </row>
    <row r="2699" spans="6:8">
      <c r="H2699" t="s">
        <v>19706</v>
      </c>
    </row>
    <row r="2700" spans="6:8">
      <c r="H2700" t="s">
        <v>20095</v>
      </c>
    </row>
    <row r="2701" spans="6:8">
      <c r="H2701" t="s">
        <v>20096</v>
      </c>
    </row>
    <row r="2702" spans="6:8">
      <c r="H2702" t="s">
        <v>20097</v>
      </c>
    </row>
    <row r="2703" spans="6:8">
      <c r="H2703" t="s">
        <v>20098</v>
      </c>
    </row>
    <row r="2704" spans="6:8">
      <c r="F2704" t="s">
        <v>11167</v>
      </c>
      <c r="G2704" t="s">
        <v>15556</v>
      </c>
      <c r="H2704" t="s">
        <v>20091</v>
      </c>
    </row>
    <row r="2705" spans="6:8">
      <c r="H2705" t="s">
        <v>20107</v>
      </c>
    </row>
    <row r="2706" spans="6:8">
      <c r="H2706" t="s">
        <v>20108</v>
      </c>
    </row>
    <row r="2707" spans="6:8">
      <c r="H2707" t="s">
        <v>20095</v>
      </c>
    </row>
    <row r="2708" spans="6:8">
      <c r="H2708" t="s">
        <v>20096</v>
      </c>
    </row>
    <row r="2709" spans="6:8">
      <c r="H2709" t="s">
        <v>20097</v>
      </c>
    </row>
    <row r="2710" spans="6:8">
      <c r="H2710" t="s">
        <v>20098</v>
      </c>
    </row>
    <row r="2711" spans="6:8">
      <c r="H2711" t="s">
        <v>20099</v>
      </c>
    </row>
    <row r="2712" spans="6:8">
      <c r="H2712" t="s">
        <v>20100</v>
      </c>
    </row>
    <row r="2713" spans="6:8">
      <c r="H2713" t="s">
        <v>20101</v>
      </c>
    </row>
    <row r="2714" spans="6:8">
      <c r="H2714" t="s">
        <v>20102</v>
      </c>
    </row>
    <row r="2715" spans="6:8">
      <c r="F2715" t="s">
        <v>11168</v>
      </c>
      <c r="G2715" t="s">
        <v>15557</v>
      </c>
      <c r="H2715" t="s">
        <v>20095</v>
      </c>
    </row>
    <row r="2716" spans="6:8">
      <c r="H2716" t="s">
        <v>20096</v>
      </c>
    </row>
    <row r="2717" spans="6:8">
      <c r="F2717" t="s">
        <v>11169</v>
      </c>
      <c r="G2717" t="s">
        <v>15558</v>
      </c>
      <c r="H2717" t="s">
        <v>20095</v>
      </c>
    </row>
    <row r="2718" spans="6:8">
      <c r="F2718" t="s">
        <v>11170</v>
      </c>
      <c r="G2718" t="s">
        <v>15559</v>
      </c>
      <c r="H2718" t="s">
        <v>20095</v>
      </c>
    </row>
    <row r="2719" spans="6:8">
      <c r="F2719" t="s">
        <v>11171</v>
      </c>
      <c r="G2719" t="s">
        <v>15560</v>
      </c>
      <c r="H2719" t="s">
        <v>20095</v>
      </c>
    </row>
    <row r="2720" spans="6:8">
      <c r="F2720" t="s">
        <v>11172</v>
      </c>
      <c r="G2720" t="s">
        <v>15561</v>
      </c>
      <c r="H2720" t="s">
        <v>20095</v>
      </c>
    </row>
    <row r="2721" spans="6:8">
      <c r="H2721" t="s">
        <v>20096</v>
      </c>
    </row>
    <row r="2722" spans="6:8">
      <c r="H2722" t="s">
        <v>20097</v>
      </c>
    </row>
    <row r="2723" spans="6:8">
      <c r="H2723" t="s">
        <v>20098</v>
      </c>
    </row>
    <row r="2724" spans="6:8">
      <c r="F2724" t="s">
        <v>11173</v>
      </c>
      <c r="G2724" t="s">
        <v>15562</v>
      </c>
      <c r="H2724" t="s">
        <v>20095</v>
      </c>
    </row>
    <row r="2725" spans="6:8">
      <c r="F2725" t="s">
        <v>11174</v>
      </c>
      <c r="G2725" t="s">
        <v>15563</v>
      </c>
      <c r="H2725" t="s">
        <v>20095</v>
      </c>
    </row>
    <row r="2726" spans="6:8">
      <c r="H2726" t="s">
        <v>20096</v>
      </c>
    </row>
    <row r="2727" spans="6:8">
      <c r="F2727" t="s">
        <v>11175</v>
      </c>
      <c r="G2727" t="s">
        <v>15564</v>
      </c>
      <c r="H2727" t="s">
        <v>20091</v>
      </c>
    </row>
    <row r="2728" spans="6:8">
      <c r="H2728" t="s">
        <v>20095</v>
      </c>
    </row>
    <row r="2729" spans="6:8">
      <c r="H2729" t="s">
        <v>20096</v>
      </c>
    </row>
    <row r="2730" spans="6:8">
      <c r="F2730" t="s">
        <v>11176</v>
      </c>
      <c r="G2730" t="s">
        <v>15565</v>
      </c>
      <c r="H2730" t="s">
        <v>20095</v>
      </c>
    </row>
    <row r="2731" spans="6:8">
      <c r="H2731" t="s">
        <v>20096</v>
      </c>
    </row>
    <row r="2732" spans="6:8">
      <c r="F2732" t="s">
        <v>11177</v>
      </c>
      <c r="G2732" t="s">
        <v>15566</v>
      </c>
      <c r="H2732" t="s">
        <v>20095</v>
      </c>
    </row>
    <row r="2733" spans="6:8">
      <c r="F2733" t="s">
        <v>11178</v>
      </c>
      <c r="G2733" t="s">
        <v>15567</v>
      </c>
      <c r="H2733" t="s">
        <v>20095</v>
      </c>
    </row>
    <row r="2734" spans="6:8">
      <c r="F2734" t="s">
        <v>11179</v>
      </c>
      <c r="G2734" t="s">
        <v>15568</v>
      </c>
      <c r="H2734" t="s">
        <v>20095</v>
      </c>
    </row>
    <row r="2735" spans="6:8">
      <c r="H2735" t="s">
        <v>20096</v>
      </c>
    </row>
    <row r="2736" spans="6:8">
      <c r="F2736" t="s">
        <v>11180</v>
      </c>
      <c r="G2736" t="s">
        <v>15569</v>
      </c>
      <c r="H2736" t="s">
        <v>20095</v>
      </c>
    </row>
    <row r="2737" spans="1:8">
      <c r="H2737" t="s">
        <v>20096</v>
      </c>
    </row>
    <row r="2738" spans="1:8">
      <c r="H2738" t="s">
        <v>20097</v>
      </c>
    </row>
    <row r="2739" spans="1:8">
      <c r="F2739" t="s">
        <v>11181</v>
      </c>
      <c r="G2739" t="s">
        <v>15570</v>
      </c>
      <c r="H2739" t="s">
        <v>20095</v>
      </c>
    </row>
    <row r="2740" spans="1:8">
      <c r="H2740" t="s">
        <v>20096</v>
      </c>
    </row>
    <row r="2741" spans="1:8">
      <c r="F2741" t="s">
        <v>11182</v>
      </c>
      <c r="G2741" t="s">
        <v>15571</v>
      </c>
      <c r="H2741" t="s">
        <v>20095</v>
      </c>
    </row>
    <row r="2742" spans="1:8">
      <c r="H2742" t="s">
        <v>20096</v>
      </c>
    </row>
    <row r="2743" spans="1:8">
      <c r="A2743" t="s">
        <v>299</v>
      </c>
      <c r="B2743">
        <f>HYPERLINK("https://android.googlesource.com/platform/cts/+/66e57a3f34415ec36454bfafd405e8eafc934765", "66e57a3f34415ec36454bfafd405e8eafc934765")</f>
        <v>0</v>
      </c>
      <c r="C2743">
        <f>HYPERLINK("https://android.googlesource.com/platform/cts/+/c8ebe0c9f7868a84853148a30de456625f394ecb", "c8ebe0c9f7868a84853148a30de456625f394ecb")</f>
        <v>0</v>
      </c>
      <c r="D2743" t="s">
        <v>4941</v>
      </c>
      <c r="E2743" t="s">
        <v>6094</v>
      </c>
      <c r="F2743" t="s">
        <v>11187</v>
      </c>
      <c r="G2743" t="s">
        <v>15576</v>
      </c>
      <c r="H2743" t="s">
        <v>20174</v>
      </c>
    </row>
    <row r="2744" spans="1:8">
      <c r="F2744" t="s">
        <v>11188</v>
      </c>
      <c r="G2744" t="s">
        <v>15577</v>
      </c>
      <c r="H2744" t="s">
        <v>20178</v>
      </c>
    </row>
    <row r="2745" spans="1:8">
      <c r="H2745" t="s">
        <v>20179</v>
      </c>
    </row>
    <row r="2746" spans="1:8">
      <c r="H2746" t="s">
        <v>20180</v>
      </c>
    </row>
    <row r="2747" spans="1:8">
      <c r="H2747" t="s">
        <v>20183</v>
      </c>
    </row>
    <row r="2748" spans="1:8">
      <c r="A2748" t="s">
        <v>303</v>
      </c>
      <c r="B2748">
        <f>HYPERLINK("https://android.googlesource.com/platform/cts/+/354ed32eea151544f9f1d211c582f3553952cc4b", "354ed32eea151544f9f1d211c582f3553952cc4b")</f>
        <v>0</v>
      </c>
      <c r="C2748">
        <f>HYPERLINK("https://android.googlesource.com/platform/cts/+/1c7bf662162e865509122b68c0bf6fcf6f65fdc0", "1c7bf662162e865509122b68c0bf6fcf6f65fdc0")</f>
        <v>0</v>
      </c>
      <c r="D2748" t="s">
        <v>4964</v>
      </c>
      <c r="E2748" t="s">
        <v>6098</v>
      </c>
      <c r="F2748" t="s">
        <v>11194</v>
      </c>
      <c r="G2748" t="s">
        <v>15583</v>
      </c>
      <c r="H2748" t="s">
        <v>20186</v>
      </c>
    </row>
    <row r="2749" spans="1:8">
      <c r="H2749" t="s">
        <v>20187</v>
      </c>
    </row>
    <row r="2750" spans="1:8">
      <c r="H2750" t="s">
        <v>20188</v>
      </c>
    </row>
    <row r="2751" spans="1:8">
      <c r="H2751" t="s">
        <v>20189</v>
      </c>
    </row>
    <row r="2752" spans="1:8">
      <c r="H2752" t="s">
        <v>20190</v>
      </c>
    </row>
    <row r="2753" spans="1:8">
      <c r="H2753" t="s">
        <v>20191</v>
      </c>
    </row>
    <row r="2754" spans="1:8">
      <c r="A2754" t="s">
        <v>304</v>
      </c>
      <c r="B2754">
        <f>HYPERLINK("https://android.googlesource.com/platform/cts/+/9349ccb388ac3790315b87d7d5bf802cb0376560", "9349ccb388ac3790315b87d7d5bf802cb0376560")</f>
        <v>0</v>
      </c>
      <c r="C2754">
        <f>HYPERLINK("https://android.googlesource.com/platform/cts/+/611f9a02560d1726a82de9d4a0827ba49a4b682b", "611f9a02560d1726a82de9d4a0827ba49a4b682b")</f>
        <v>0</v>
      </c>
      <c r="D2754" t="s">
        <v>4941</v>
      </c>
      <c r="E2754" t="s">
        <v>6099</v>
      </c>
      <c r="F2754" t="s">
        <v>11195</v>
      </c>
      <c r="G2754" t="s">
        <v>15584</v>
      </c>
      <c r="H2754" t="s">
        <v>20095</v>
      </c>
    </row>
    <row r="2755" spans="1:8">
      <c r="H2755" t="s">
        <v>20096</v>
      </c>
    </row>
    <row r="2756" spans="1:8">
      <c r="H2756" t="s">
        <v>20097</v>
      </c>
    </row>
    <row r="2757" spans="1:8">
      <c r="H2757" t="s">
        <v>20098</v>
      </c>
    </row>
    <row r="2758" spans="1:8">
      <c r="H2758" t="s">
        <v>20099</v>
      </c>
    </row>
    <row r="2759" spans="1:8">
      <c r="H2759" t="s">
        <v>20100</v>
      </c>
    </row>
    <row r="2760" spans="1:8">
      <c r="H2760" t="s">
        <v>20101</v>
      </c>
    </row>
    <row r="2761" spans="1:8">
      <c r="H2761" t="s">
        <v>20102</v>
      </c>
    </row>
    <row r="2762" spans="1:8">
      <c r="H2762" t="s">
        <v>20104</v>
      </c>
    </row>
    <row r="2763" spans="1:8">
      <c r="H2763" t="s">
        <v>20123</v>
      </c>
    </row>
    <row r="2764" spans="1:8">
      <c r="H2764" t="s">
        <v>20124</v>
      </c>
    </row>
    <row r="2765" spans="1:8">
      <c r="F2765" t="s">
        <v>11196</v>
      </c>
      <c r="G2765" t="s">
        <v>15190</v>
      </c>
      <c r="H2765" t="s">
        <v>20091</v>
      </c>
    </row>
    <row r="2766" spans="1:8">
      <c r="H2766" t="s">
        <v>19712</v>
      </c>
    </row>
    <row r="2767" spans="1:8">
      <c r="H2767" t="s">
        <v>19709</v>
      </c>
    </row>
    <row r="2768" spans="1:8">
      <c r="H2768" t="s">
        <v>19706</v>
      </c>
    </row>
    <row r="2769" spans="6:8">
      <c r="H2769" t="s">
        <v>20107</v>
      </c>
    </row>
    <row r="2770" spans="6:8">
      <c r="H2770" t="s">
        <v>20108</v>
      </c>
    </row>
    <row r="2771" spans="6:8">
      <c r="H2771" t="s">
        <v>19713</v>
      </c>
    </row>
    <row r="2772" spans="6:8">
      <c r="H2772" t="s">
        <v>19714</v>
      </c>
    </row>
    <row r="2773" spans="6:8">
      <c r="H2773" t="s">
        <v>20109</v>
      </c>
    </row>
    <row r="2774" spans="6:8">
      <c r="H2774" t="s">
        <v>20110</v>
      </c>
    </row>
    <row r="2775" spans="6:8">
      <c r="H2775" t="s">
        <v>20111</v>
      </c>
    </row>
    <row r="2776" spans="6:8">
      <c r="H2776" t="s">
        <v>20112</v>
      </c>
    </row>
    <row r="2777" spans="6:8">
      <c r="H2777" t="s">
        <v>20113</v>
      </c>
    </row>
    <row r="2778" spans="6:8">
      <c r="H2778" t="s">
        <v>20095</v>
      </c>
    </row>
    <row r="2779" spans="6:8">
      <c r="H2779" t="s">
        <v>20096</v>
      </c>
    </row>
    <row r="2780" spans="6:8">
      <c r="H2780" t="s">
        <v>20097</v>
      </c>
    </row>
    <row r="2781" spans="6:8">
      <c r="H2781" t="s">
        <v>20098</v>
      </c>
    </row>
    <row r="2782" spans="6:8">
      <c r="F2782" t="s">
        <v>11197</v>
      </c>
      <c r="G2782" t="s">
        <v>15191</v>
      </c>
      <c r="H2782" t="s">
        <v>20091</v>
      </c>
    </row>
    <row r="2783" spans="6:8">
      <c r="H2783" t="s">
        <v>19712</v>
      </c>
    </row>
    <row r="2784" spans="6:8">
      <c r="H2784" t="s">
        <v>19709</v>
      </c>
    </row>
    <row r="2785" spans="6:8">
      <c r="H2785" t="s">
        <v>19706</v>
      </c>
    </row>
    <row r="2786" spans="6:8">
      <c r="H2786" t="s">
        <v>20107</v>
      </c>
    </row>
    <row r="2787" spans="6:8">
      <c r="H2787" t="s">
        <v>20108</v>
      </c>
    </row>
    <row r="2788" spans="6:8">
      <c r="H2788" t="s">
        <v>19713</v>
      </c>
    </row>
    <row r="2789" spans="6:8">
      <c r="H2789" t="s">
        <v>19714</v>
      </c>
    </row>
    <row r="2790" spans="6:8">
      <c r="H2790" t="s">
        <v>20109</v>
      </c>
    </row>
    <row r="2791" spans="6:8">
      <c r="H2791" t="s">
        <v>20110</v>
      </c>
    </row>
    <row r="2792" spans="6:8">
      <c r="H2792" t="s">
        <v>20111</v>
      </c>
    </row>
    <row r="2793" spans="6:8">
      <c r="H2793" t="s">
        <v>20112</v>
      </c>
    </row>
    <row r="2794" spans="6:8">
      <c r="H2794" t="s">
        <v>20113</v>
      </c>
    </row>
    <row r="2795" spans="6:8">
      <c r="H2795" t="s">
        <v>20095</v>
      </c>
    </row>
    <row r="2796" spans="6:8">
      <c r="H2796" t="s">
        <v>20096</v>
      </c>
    </row>
    <row r="2797" spans="6:8">
      <c r="H2797" t="s">
        <v>20097</v>
      </c>
    </row>
    <row r="2798" spans="6:8">
      <c r="H2798" t="s">
        <v>20098</v>
      </c>
    </row>
    <row r="2799" spans="6:8">
      <c r="F2799" t="s">
        <v>11198</v>
      </c>
      <c r="G2799" t="s">
        <v>15192</v>
      </c>
      <c r="H2799" t="s">
        <v>20091</v>
      </c>
    </row>
    <row r="2800" spans="6:8">
      <c r="H2800" t="s">
        <v>19712</v>
      </c>
    </row>
    <row r="2801" spans="6:8">
      <c r="H2801" t="s">
        <v>19709</v>
      </c>
    </row>
    <row r="2802" spans="6:8">
      <c r="H2802" t="s">
        <v>19707</v>
      </c>
    </row>
    <row r="2803" spans="6:8">
      <c r="H2803" t="s">
        <v>20107</v>
      </c>
    </row>
    <row r="2804" spans="6:8">
      <c r="H2804" t="s">
        <v>20108</v>
      </c>
    </row>
    <row r="2805" spans="6:8">
      <c r="H2805" t="s">
        <v>19713</v>
      </c>
    </row>
    <row r="2806" spans="6:8">
      <c r="H2806" t="s">
        <v>19714</v>
      </c>
    </row>
    <row r="2807" spans="6:8">
      <c r="H2807" t="s">
        <v>20109</v>
      </c>
    </row>
    <row r="2808" spans="6:8">
      <c r="H2808" t="s">
        <v>20110</v>
      </c>
    </row>
    <row r="2809" spans="6:8">
      <c r="H2809" t="s">
        <v>20111</v>
      </c>
    </row>
    <row r="2810" spans="6:8">
      <c r="H2810" t="s">
        <v>20112</v>
      </c>
    </row>
    <row r="2811" spans="6:8">
      <c r="H2811" t="s">
        <v>20113</v>
      </c>
    </row>
    <row r="2812" spans="6:8">
      <c r="H2812" t="s">
        <v>20095</v>
      </c>
    </row>
    <row r="2813" spans="6:8">
      <c r="H2813" t="s">
        <v>20096</v>
      </c>
    </row>
    <row r="2814" spans="6:8">
      <c r="H2814" t="s">
        <v>20097</v>
      </c>
    </row>
    <row r="2815" spans="6:8">
      <c r="H2815" t="s">
        <v>20098</v>
      </c>
    </row>
    <row r="2816" spans="6:8">
      <c r="F2816" t="s">
        <v>11199</v>
      </c>
      <c r="G2816" t="s">
        <v>15193</v>
      </c>
      <c r="H2816" t="s">
        <v>20091</v>
      </c>
    </row>
    <row r="2817" spans="8:8">
      <c r="H2817" t="s">
        <v>19712</v>
      </c>
    </row>
    <row r="2818" spans="8:8">
      <c r="H2818" t="s">
        <v>19709</v>
      </c>
    </row>
    <row r="2819" spans="8:8">
      <c r="H2819" t="s">
        <v>19707</v>
      </c>
    </row>
    <row r="2820" spans="8:8">
      <c r="H2820" t="s">
        <v>20107</v>
      </c>
    </row>
    <row r="2821" spans="8:8">
      <c r="H2821" t="s">
        <v>20108</v>
      </c>
    </row>
    <row r="2822" spans="8:8">
      <c r="H2822" t="s">
        <v>19713</v>
      </c>
    </row>
    <row r="2823" spans="8:8">
      <c r="H2823" t="s">
        <v>19714</v>
      </c>
    </row>
    <row r="2824" spans="8:8">
      <c r="H2824" t="s">
        <v>20109</v>
      </c>
    </row>
    <row r="2825" spans="8:8">
      <c r="H2825" t="s">
        <v>20110</v>
      </c>
    </row>
    <row r="2826" spans="8:8">
      <c r="H2826" t="s">
        <v>20111</v>
      </c>
    </row>
    <row r="2827" spans="8:8">
      <c r="H2827" t="s">
        <v>20112</v>
      </c>
    </row>
    <row r="2828" spans="8:8">
      <c r="H2828" t="s">
        <v>20113</v>
      </c>
    </row>
    <row r="2829" spans="8:8">
      <c r="H2829" t="s">
        <v>20095</v>
      </c>
    </row>
    <row r="2830" spans="8:8">
      <c r="H2830" t="s">
        <v>20096</v>
      </c>
    </row>
    <row r="2831" spans="8:8">
      <c r="H2831" t="s">
        <v>20097</v>
      </c>
    </row>
    <row r="2832" spans="8:8">
      <c r="H2832" t="s">
        <v>20098</v>
      </c>
    </row>
    <row r="2833" spans="6:8">
      <c r="F2833" t="s">
        <v>11200</v>
      </c>
      <c r="G2833" t="s">
        <v>15194</v>
      </c>
      <c r="H2833" t="s">
        <v>20091</v>
      </c>
    </row>
    <row r="2834" spans="6:8">
      <c r="H2834" t="s">
        <v>19712</v>
      </c>
    </row>
    <row r="2835" spans="6:8">
      <c r="H2835" t="s">
        <v>19709</v>
      </c>
    </row>
    <row r="2836" spans="6:8">
      <c r="H2836" t="s">
        <v>19706</v>
      </c>
    </row>
    <row r="2837" spans="6:8">
      <c r="H2837" t="s">
        <v>19707</v>
      </c>
    </row>
    <row r="2838" spans="6:8">
      <c r="H2838" t="s">
        <v>19711</v>
      </c>
    </row>
    <row r="2839" spans="6:8">
      <c r="H2839" t="s">
        <v>19708</v>
      </c>
    </row>
    <row r="2840" spans="6:8">
      <c r="H2840" t="s">
        <v>20107</v>
      </c>
    </row>
    <row r="2841" spans="6:8">
      <c r="H2841" t="s">
        <v>20108</v>
      </c>
    </row>
    <row r="2842" spans="6:8">
      <c r="H2842" t="s">
        <v>19713</v>
      </c>
    </row>
    <row r="2843" spans="6:8">
      <c r="H2843" t="s">
        <v>19714</v>
      </c>
    </row>
    <row r="2844" spans="6:8">
      <c r="H2844" t="s">
        <v>20109</v>
      </c>
    </row>
    <row r="2845" spans="6:8">
      <c r="H2845" t="s">
        <v>20110</v>
      </c>
    </row>
    <row r="2846" spans="6:8">
      <c r="H2846" t="s">
        <v>20095</v>
      </c>
    </row>
    <row r="2847" spans="6:8">
      <c r="H2847" t="s">
        <v>20096</v>
      </c>
    </row>
    <row r="2848" spans="6:8">
      <c r="H2848" t="s">
        <v>20097</v>
      </c>
    </row>
    <row r="2849" spans="6:8">
      <c r="H2849" t="s">
        <v>20098</v>
      </c>
    </row>
    <row r="2850" spans="6:8">
      <c r="F2850" t="s">
        <v>11201</v>
      </c>
      <c r="G2850" t="s">
        <v>15195</v>
      </c>
      <c r="H2850" t="s">
        <v>20091</v>
      </c>
    </row>
    <row r="2851" spans="6:8">
      <c r="H2851" t="s">
        <v>19712</v>
      </c>
    </row>
    <row r="2852" spans="6:8">
      <c r="H2852" t="s">
        <v>19709</v>
      </c>
    </row>
    <row r="2853" spans="6:8">
      <c r="H2853" t="s">
        <v>19706</v>
      </c>
    </row>
    <row r="2854" spans="6:8">
      <c r="H2854" t="s">
        <v>19707</v>
      </c>
    </row>
    <row r="2855" spans="6:8">
      <c r="H2855" t="s">
        <v>19711</v>
      </c>
    </row>
    <row r="2856" spans="6:8">
      <c r="H2856" t="s">
        <v>19708</v>
      </c>
    </row>
    <row r="2857" spans="6:8">
      <c r="H2857" t="s">
        <v>20107</v>
      </c>
    </row>
    <row r="2858" spans="6:8">
      <c r="H2858" t="s">
        <v>20108</v>
      </c>
    </row>
    <row r="2859" spans="6:8">
      <c r="H2859" t="s">
        <v>19713</v>
      </c>
    </row>
    <row r="2860" spans="6:8">
      <c r="H2860" t="s">
        <v>19714</v>
      </c>
    </row>
    <row r="2861" spans="6:8">
      <c r="H2861" t="s">
        <v>20109</v>
      </c>
    </row>
    <row r="2862" spans="6:8">
      <c r="H2862" t="s">
        <v>20110</v>
      </c>
    </row>
    <row r="2863" spans="6:8">
      <c r="H2863" t="s">
        <v>20095</v>
      </c>
    </row>
    <row r="2864" spans="6:8">
      <c r="H2864" t="s">
        <v>20096</v>
      </c>
    </row>
    <row r="2865" spans="6:8">
      <c r="H2865" t="s">
        <v>20097</v>
      </c>
    </row>
    <row r="2866" spans="6:8">
      <c r="H2866" t="s">
        <v>20098</v>
      </c>
    </row>
    <row r="2867" spans="6:8">
      <c r="F2867" t="s">
        <v>11202</v>
      </c>
      <c r="G2867" t="s">
        <v>15196</v>
      </c>
      <c r="H2867" t="s">
        <v>20091</v>
      </c>
    </row>
    <row r="2868" spans="6:8">
      <c r="H2868" t="s">
        <v>19712</v>
      </c>
    </row>
    <row r="2869" spans="6:8">
      <c r="H2869" t="s">
        <v>19709</v>
      </c>
    </row>
    <row r="2870" spans="6:8">
      <c r="H2870" t="s">
        <v>19706</v>
      </c>
    </row>
    <row r="2871" spans="6:8">
      <c r="H2871" t="s">
        <v>19707</v>
      </c>
    </row>
    <row r="2872" spans="6:8">
      <c r="H2872" t="s">
        <v>19711</v>
      </c>
    </row>
    <row r="2873" spans="6:8">
      <c r="H2873" t="s">
        <v>19708</v>
      </c>
    </row>
    <row r="2874" spans="6:8">
      <c r="H2874" t="s">
        <v>20107</v>
      </c>
    </row>
    <row r="2875" spans="6:8">
      <c r="H2875" t="s">
        <v>20108</v>
      </c>
    </row>
    <row r="2876" spans="6:8">
      <c r="H2876" t="s">
        <v>19713</v>
      </c>
    </row>
    <row r="2877" spans="6:8">
      <c r="H2877" t="s">
        <v>19714</v>
      </c>
    </row>
    <row r="2878" spans="6:8">
      <c r="H2878" t="s">
        <v>20109</v>
      </c>
    </row>
    <row r="2879" spans="6:8">
      <c r="H2879" t="s">
        <v>20110</v>
      </c>
    </row>
    <row r="2880" spans="6:8">
      <c r="H2880" t="s">
        <v>20095</v>
      </c>
    </row>
    <row r="2881" spans="6:8">
      <c r="H2881" t="s">
        <v>20096</v>
      </c>
    </row>
    <row r="2882" spans="6:8">
      <c r="H2882" t="s">
        <v>20097</v>
      </c>
    </row>
    <row r="2883" spans="6:8">
      <c r="H2883" t="s">
        <v>20098</v>
      </c>
    </row>
    <row r="2884" spans="6:8">
      <c r="F2884" t="s">
        <v>11203</v>
      </c>
      <c r="G2884" t="s">
        <v>15197</v>
      </c>
      <c r="H2884" t="s">
        <v>20091</v>
      </c>
    </row>
    <row r="2885" spans="6:8">
      <c r="H2885" t="s">
        <v>19712</v>
      </c>
    </row>
    <row r="2886" spans="6:8">
      <c r="H2886" t="s">
        <v>19709</v>
      </c>
    </row>
    <row r="2887" spans="6:8">
      <c r="H2887" t="s">
        <v>19706</v>
      </c>
    </row>
    <row r="2888" spans="6:8">
      <c r="H2888" t="s">
        <v>19707</v>
      </c>
    </row>
    <row r="2889" spans="6:8">
      <c r="H2889" t="s">
        <v>19711</v>
      </c>
    </row>
    <row r="2890" spans="6:8">
      <c r="H2890" t="s">
        <v>19708</v>
      </c>
    </row>
    <row r="2891" spans="6:8">
      <c r="H2891" t="s">
        <v>20107</v>
      </c>
    </row>
    <row r="2892" spans="6:8">
      <c r="H2892" t="s">
        <v>20108</v>
      </c>
    </row>
    <row r="2893" spans="6:8">
      <c r="H2893" t="s">
        <v>19713</v>
      </c>
    </row>
    <row r="2894" spans="6:8">
      <c r="H2894" t="s">
        <v>19714</v>
      </c>
    </row>
    <row r="2895" spans="6:8">
      <c r="H2895" t="s">
        <v>20109</v>
      </c>
    </row>
    <row r="2896" spans="6:8">
      <c r="H2896" t="s">
        <v>20110</v>
      </c>
    </row>
    <row r="2897" spans="6:8">
      <c r="H2897" t="s">
        <v>20095</v>
      </c>
    </row>
    <row r="2898" spans="6:8">
      <c r="H2898" t="s">
        <v>20096</v>
      </c>
    </row>
    <row r="2899" spans="6:8">
      <c r="H2899" t="s">
        <v>20097</v>
      </c>
    </row>
    <row r="2900" spans="6:8">
      <c r="H2900" t="s">
        <v>20098</v>
      </c>
    </row>
    <row r="2901" spans="6:8">
      <c r="F2901" t="s">
        <v>11204</v>
      </c>
      <c r="G2901" t="s">
        <v>15198</v>
      </c>
      <c r="H2901" t="s">
        <v>20091</v>
      </c>
    </row>
    <row r="2902" spans="6:8">
      <c r="H2902" t="s">
        <v>19712</v>
      </c>
    </row>
    <row r="2903" spans="6:8">
      <c r="H2903" t="s">
        <v>19709</v>
      </c>
    </row>
    <row r="2904" spans="6:8">
      <c r="H2904" t="s">
        <v>19706</v>
      </c>
    </row>
    <row r="2905" spans="6:8">
      <c r="H2905" t="s">
        <v>20107</v>
      </c>
    </row>
    <row r="2906" spans="6:8">
      <c r="H2906" t="s">
        <v>20108</v>
      </c>
    </row>
    <row r="2907" spans="6:8">
      <c r="H2907" t="s">
        <v>19713</v>
      </c>
    </row>
    <row r="2908" spans="6:8">
      <c r="H2908" t="s">
        <v>19714</v>
      </c>
    </row>
    <row r="2909" spans="6:8">
      <c r="H2909" t="s">
        <v>20109</v>
      </c>
    </row>
    <row r="2910" spans="6:8">
      <c r="H2910" t="s">
        <v>20110</v>
      </c>
    </row>
    <row r="2911" spans="6:8">
      <c r="H2911" t="s">
        <v>20111</v>
      </c>
    </row>
    <row r="2912" spans="6:8">
      <c r="H2912" t="s">
        <v>20112</v>
      </c>
    </row>
    <row r="2913" spans="6:8">
      <c r="H2913" t="s">
        <v>20095</v>
      </c>
    </row>
    <row r="2914" spans="6:8">
      <c r="H2914" t="s">
        <v>20096</v>
      </c>
    </row>
    <row r="2915" spans="6:8">
      <c r="H2915" t="s">
        <v>20097</v>
      </c>
    </row>
    <row r="2916" spans="6:8">
      <c r="H2916" t="s">
        <v>20098</v>
      </c>
    </row>
    <row r="2917" spans="6:8">
      <c r="F2917" t="s">
        <v>11205</v>
      </c>
      <c r="G2917" t="s">
        <v>15199</v>
      </c>
      <c r="H2917" t="s">
        <v>20091</v>
      </c>
    </row>
    <row r="2918" spans="6:8">
      <c r="H2918" t="s">
        <v>19712</v>
      </c>
    </row>
    <row r="2919" spans="6:8">
      <c r="H2919" t="s">
        <v>19709</v>
      </c>
    </row>
    <row r="2920" spans="6:8">
      <c r="H2920" t="s">
        <v>19706</v>
      </c>
    </row>
    <row r="2921" spans="6:8">
      <c r="H2921" t="s">
        <v>20107</v>
      </c>
    </row>
    <row r="2922" spans="6:8">
      <c r="H2922" t="s">
        <v>20108</v>
      </c>
    </row>
    <row r="2923" spans="6:8">
      <c r="H2923" t="s">
        <v>19713</v>
      </c>
    </row>
    <row r="2924" spans="6:8">
      <c r="H2924" t="s">
        <v>19714</v>
      </c>
    </row>
    <row r="2925" spans="6:8">
      <c r="H2925" t="s">
        <v>20109</v>
      </c>
    </row>
    <row r="2926" spans="6:8">
      <c r="H2926" t="s">
        <v>20110</v>
      </c>
    </row>
    <row r="2927" spans="6:8">
      <c r="H2927" t="s">
        <v>20111</v>
      </c>
    </row>
    <row r="2928" spans="6:8">
      <c r="H2928" t="s">
        <v>20112</v>
      </c>
    </row>
    <row r="2929" spans="6:8">
      <c r="H2929" t="s">
        <v>20096</v>
      </c>
    </row>
    <row r="2930" spans="6:8">
      <c r="H2930" t="s">
        <v>20097</v>
      </c>
    </row>
    <row r="2931" spans="6:8">
      <c r="H2931" t="s">
        <v>20098</v>
      </c>
    </row>
    <row r="2932" spans="6:8">
      <c r="H2932" t="s">
        <v>20099</v>
      </c>
    </row>
    <row r="2933" spans="6:8">
      <c r="F2933" t="s">
        <v>11206</v>
      </c>
      <c r="G2933" t="s">
        <v>15200</v>
      </c>
      <c r="H2933" t="s">
        <v>20091</v>
      </c>
    </row>
    <row r="2934" spans="6:8">
      <c r="H2934" t="s">
        <v>19712</v>
      </c>
    </row>
    <row r="2935" spans="6:8">
      <c r="H2935" t="s">
        <v>19709</v>
      </c>
    </row>
    <row r="2936" spans="6:8">
      <c r="H2936" t="s">
        <v>20092</v>
      </c>
    </row>
    <row r="2937" spans="6:8">
      <c r="H2937" t="s">
        <v>20093</v>
      </c>
    </row>
    <row r="2938" spans="6:8">
      <c r="H2938" t="s">
        <v>20094</v>
      </c>
    </row>
    <row r="2939" spans="6:8">
      <c r="H2939" t="s">
        <v>20095</v>
      </c>
    </row>
    <row r="2940" spans="6:8">
      <c r="H2940" t="s">
        <v>20096</v>
      </c>
    </row>
    <row r="2941" spans="6:8">
      <c r="H2941" t="s">
        <v>20097</v>
      </c>
    </row>
    <row r="2942" spans="6:8">
      <c r="H2942" t="s">
        <v>20098</v>
      </c>
    </row>
    <row r="2943" spans="6:8">
      <c r="H2943" t="s">
        <v>20099</v>
      </c>
    </row>
    <row r="2944" spans="6:8">
      <c r="H2944" t="s">
        <v>20100</v>
      </c>
    </row>
    <row r="2945" spans="6:8">
      <c r="H2945" t="s">
        <v>20101</v>
      </c>
    </row>
    <row r="2946" spans="6:8">
      <c r="F2946" t="s">
        <v>11207</v>
      </c>
      <c r="G2946" t="s">
        <v>15201</v>
      </c>
      <c r="H2946" t="s">
        <v>20091</v>
      </c>
    </row>
    <row r="2947" spans="6:8">
      <c r="H2947" t="s">
        <v>19712</v>
      </c>
    </row>
    <row r="2948" spans="6:8">
      <c r="H2948" t="s">
        <v>19709</v>
      </c>
    </row>
    <row r="2949" spans="6:8">
      <c r="H2949" t="s">
        <v>20092</v>
      </c>
    </row>
    <row r="2950" spans="6:8">
      <c r="H2950" t="s">
        <v>20093</v>
      </c>
    </row>
    <row r="2951" spans="6:8">
      <c r="H2951" t="s">
        <v>20094</v>
      </c>
    </row>
    <row r="2952" spans="6:8">
      <c r="H2952" t="s">
        <v>20095</v>
      </c>
    </row>
    <row r="2953" spans="6:8">
      <c r="H2953" t="s">
        <v>20096</v>
      </c>
    </row>
    <row r="2954" spans="6:8">
      <c r="H2954" t="s">
        <v>20097</v>
      </c>
    </row>
    <row r="2955" spans="6:8">
      <c r="H2955" t="s">
        <v>20098</v>
      </c>
    </row>
    <row r="2956" spans="6:8">
      <c r="H2956" t="s">
        <v>20099</v>
      </c>
    </row>
    <row r="2957" spans="6:8">
      <c r="H2957" t="s">
        <v>20100</v>
      </c>
    </row>
    <row r="2958" spans="6:8">
      <c r="H2958" t="s">
        <v>20101</v>
      </c>
    </row>
    <row r="2959" spans="6:8">
      <c r="F2959" t="s">
        <v>11208</v>
      </c>
      <c r="G2959" t="s">
        <v>15202</v>
      </c>
      <c r="H2959" t="s">
        <v>20091</v>
      </c>
    </row>
    <row r="2960" spans="6:8">
      <c r="H2960" t="s">
        <v>19712</v>
      </c>
    </row>
    <row r="2961" spans="6:8">
      <c r="H2961" t="s">
        <v>19709</v>
      </c>
    </row>
    <row r="2962" spans="6:8">
      <c r="H2962" t="s">
        <v>20092</v>
      </c>
    </row>
    <row r="2963" spans="6:8">
      <c r="H2963" t="s">
        <v>20093</v>
      </c>
    </row>
    <row r="2964" spans="6:8">
      <c r="H2964" t="s">
        <v>20094</v>
      </c>
    </row>
    <row r="2965" spans="6:8">
      <c r="H2965" t="s">
        <v>20095</v>
      </c>
    </row>
    <row r="2966" spans="6:8">
      <c r="H2966" t="s">
        <v>20096</v>
      </c>
    </row>
    <row r="2967" spans="6:8">
      <c r="H2967" t="s">
        <v>20097</v>
      </c>
    </row>
    <row r="2968" spans="6:8">
      <c r="H2968" t="s">
        <v>20098</v>
      </c>
    </row>
    <row r="2969" spans="6:8">
      <c r="H2969" t="s">
        <v>20099</v>
      </c>
    </row>
    <row r="2970" spans="6:8">
      <c r="H2970" t="s">
        <v>20100</v>
      </c>
    </row>
    <row r="2971" spans="6:8">
      <c r="H2971" t="s">
        <v>20101</v>
      </c>
    </row>
    <row r="2972" spans="6:8">
      <c r="F2972" t="s">
        <v>11209</v>
      </c>
      <c r="G2972" t="s">
        <v>15203</v>
      </c>
      <c r="H2972" t="s">
        <v>20091</v>
      </c>
    </row>
    <row r="2973" spans="6:8">
      <c r="H2973" t="s">
        <v>19712</v>
      </c>
    </row>
    <row r="2974" spans="6:8">
      <c r="H2974" t="s">
        <v>19709</v>
      </c>
    </row>
    <row r="2975" spans="6:8">
      <c r="H2975" t="s">
        <v>20092</v>
      </c>
    </row>
    <row r="2976" spans="6:8">
      <c r="H2976" t="s">
        <v>20093</v>
      </c>
    </row>
    <row r="2977" spans="6:8">
      <c r="H2977" t="s">
        <v>20094</v>
      </c>
    </row>
    <row r="2978" spans="6:8">
      <c r="H2978" t="s">
        <v>20095</v>
      </c>
    </row>
    <row r="2979" spans="6:8">
      <c r="H2979" t="s">
        <v>20096</v>
      </c>
    </row>
    <row r="2980" spans="6:8">
      <c r="H2980" t="s">
        <v>20097</v>
      </c>
    </row>
    <row r="2981" spans="6:8">
      <c r="H2981" t="s">
        <v>20098</v>
      </c>
    </row>
    <row r="2982" spans="6:8">
      <c r="H2982" t="s">
        <v>20099</v>
      </c>
    </row>
    <row r="2983" spans="6:8">
      <c r="H2983" t="s">
        <v>20100</v>
      </c>
    </row>
    <row r="2984" spans="6:8">
      <c r="H2984" t="s">
        <v>20101</v>
      </c>
    </row>
    <row r="2985" spans="6:8">
      <c r="F2985" t="s">
        <v>11210</v>
      </c>
      <c r="G2985" t="s">
        <v>15204</v>
      </c>
      <c r="H2985" t="s">
        <v>20091</v>
      </c>
    </row>
    <row r="2986" spans="6:8">
      <c r="H2986" t="s">
        <v>19712</v>
      </c>
    </row>
    <row r="2987" spans="6:8">
      <c r="H2987" t="s">
        <v>19709</v>
      </c>
    </row>
    <row r="2988" spans="6:8">
      <c r="H2988" t="s">
        <v>20092</v>
      </c>
    </row>
    <row r="2989" spans="6:8">
      <c r="H2989" t="s">
        <v>20093</v>
      </c>
    </row>
    <row r="2990" spans="6:8">
      <c r="H2990" t="s">
        <v>20094</v>
      </c>
    </row>
    <row r="2991" spans="6:8">
      <c r="H2991" t="s">
        <v>20095</v>
      </c>
    </row>
    <row r="2992" spans="6:8">
      <c r="H2992" t="s">
        <v>20096</v>
      </c>
    </row>
    <row r="2993" spans="6:8">
      <c r="H2993" t="s">
        <v>20097</v>
      </c>
    </row>
    <row r="2994" spans="6:8">
      <c r="H2994" t="s">
        <v>20098</v>
      </c>
    </row>
    <row r="2995" spans="6:8">
      <c r="H2995" t="s">
        <v>20099</v>
      </c>
    </row>
    <row r="2996" spans="6:8">
      <c r="H2996" t="s">
        <v>20100</v>
      </c>
    </row>
    <row r="2997" spans="6:8">
      <c r="H2997" t="s">
        <v>20101</v>
      </c>
    </row>
    <row r="2998" spans="6:8">
      <c r="F2998" t="s">
        <v>11211</v>
      </c>
      <c r="G2998" t="s">
        <v>15205</v>
      </c>
      <c r="H2998" t="s">
        <v>20091</v>
      </c>
    </row>
    <row r="2999" spans="6:8">
      <c r="H2999" t="s">
        <v>19712</v>
      </c>
    </row>
    <row r="3000" spans="6:8">
      <c r="H3000" t="s">
        <v>19709</v>
      </c>
    </row>
    <row r="3001" spans="6:8">
      <c r="H3001" t="s">
        <v>20092</v>
      </c>
    </row>
    <row r="3002" spans="6:8">
      <c r="H3002" t="s">
        <v>20093</v>
      </c>
    </row>
    <row r="3003" spans="6:8">
      <c r="H3003" t="s">
        <v>20094</v>
      </c>
    </row>
    <row r="3004" spans="6:8">
      <c r="H3004" t="s">
        <v>20095</v>
      </c>
    </row>
    <row r="3005" spans="6:8">
      <c r="H3005" t="s">
        <v>20096</v>
      </c>
    </row>
    <row r="3006" spans="6:8">
      <c r="H3006" t="s">
        <v>20097</v>
      </c>
    </row>
    <row r="3007" spans="6:8">
      <c r="H3007" t="s">
        <v>20098</v>
      </c>
    </row>
    <row r="3008" spans="6:8">
      <c r="H3008" t="s">
        <v>20099</v>
      </c>
    </row>
    <row r="3009" spans="6:8">
      <c r="H3009" t="s">
        <v>20100</v>
      </c>
    </row>
    <row r="3010" spans="6:8">
      <c r="H3010" t="s">
        <v>20101</v>
      </c>
    </row>
    <row r="3011" spans="6:8">
      <c r="F3011" t="s">
        <v>11212</v>
      </c>
      <c r="G3011" t="s">
        <v>15206</v>
      </c>
      <c r="H3011" t="s">
        <v>20091</v>
      </c>
    </row>
    <row r="3012" spans="6:8">
      <c r="H3012" t="s">
        <v>19712</v>
      </c>
    </row>
    <row r="3013" spans="6:8">
      <c r="H3013" t="s">
        <v>19709</v>
      </c>
    </row>
    <row r="3014" spans="6:8">
      <c r="H3014" t="s">
        <v>19706</v>
      </c>
    </row>
    <row r="3015" spans="6:8">
      <c r="H3015" t="s">
        <v>20092</v>
      </c>
    </row>
    <row r="3016" spans="6:8">
      <c r="H3016" t="s">
        <v>20093</v>
      </c>
    </row>
    <row r="3017" spans="6:8">
      <c r="H3017" t="s">
        <v>20094</v>
      </c>
    </row>
    <row r="3018" spans="6:8">
      <c r="H3018" t="s">
        <v>20095</v>
      </c>
    </row>
    <row r="3019" spans="6:8">
      <c r="H3019" t="s">
        <v>20096</v>
      </c>
    </row>
    <row r="3020" spans="6:8">
      <c r="H3020" t="s">
        <v>20097</v>
      </c>
    </row>
    <row r="3021" spans="6:8">
      <c r="H3021" t="s">
        <v>20098</v>
      </c>
    </row>
    <row r="3022" spans="6:8">
      <c r="H3022" t="s">
        <v>20099</v>
      </c>
    </row>
    <row r="3023" spans="6:8">
      <c r="H3023" t="s">
        <v>20100</v>
      </c>
    </row>
    <row r="3024" spans="6:8">
      <c r="H3024" t="s">
        <v>20101</v>
      </c>
    </row>
    <row r="3025" spans="6:8">
      <c r="F3025" t="s">
        <v>11213</v>
      </c>
      <c r="G3025" t="s">
        <v>15207</v>
      </c>
      <c r="H3025" t="s">
        <v>20091</v>
      </c>
    </row>
    <row r="3026" spans="6:8">
      <c r="H3026" t="s">
        <v>19712</v>
      </c>
    </row>
    <row r="3027" spans="6:8">
      <c r="H3027" t="s">
        <v>19709</v>
      </c>
    </row>
    <row r="3028" spans="6:8">
      <c r="H3028" t="s">
        <v>19706</v>
      </c>
    </row>
    <row r="3029" spans="6:8">
      <c r="H3029" t="s">
        <v>20107</v>
      </c>
    </row>
    <row r="3030" spans="6:8">
      <c r="H3030" t="s">
        <v>20108</v>
      </c>
    </row>
    <row r="3031" spans="6:8">
      <c r="H3031" t="s">
        <v>20096</v>
      </c>
    </row>
    <row r="3032" spans="6:8">
      <c r="H3032" t="s">
        <v>20097</v>
      </c>
    </row>
    <row r="3033" spans="6:8">
      <c r="H3033" t="s">
        <v>20098</v>
      </c>
    </row>
    <row r="3034" spans="6:8">
      <c r="H3034" t="s">
        <v>20099</v>
      </c>
    </row>
    <row r="3035" spans="6:8">
      <c r="F3035" t="s">
        <v>11214</v>
      </c>
      <c r="G3035" t="s">
        <v>15208</v>
      </c>
      <c r="H3035" t="s">
        <v>20091</v>
      </c>
    </row>
    <row r="3036" spans="6:8">
      <c r="H3036" t="s">
        <v>19712</v>
      </c>
    </row>
    <row r="3037" spans="6:8">
      <c r="H3037" t="s">
        <v>19709</v>
      </c>
    </row>
    <row r="3038" spans="6:8">
      <c r="H3038" t="s">
        <v>19706</v>
      </c>
    </row>
    <row r="3039" spans="6:8">
      <c r="H3039" t="s">
        <v>20107</v>
      </c>
    </row>
    <row r="3040" spans="6:8">
      <c r="H3040" t="s">
        <v>20108</v>
      </c>
    </row>
    <row r="3041" spans="6:8">
      <c r="H3041" t="s">
        <v>20096</v>
      </c>
    </row>
    <row r="3042" spans="6:8">
      <c r="H3042" t="s">
        <v>20097</v>
      </c>
    </row>
    <row r="3043" spans="6:8">
      <c r="H3043" t="s">
        <v>20098</v>
      </c>
    </row>
    <row r="3044" spans="6:8">
      <c r="H3044" t="s">
        <v>20099</v>
      </c>
    </row>
    <row r="3045" spans="6:8">
      <c r="F3045" t="s">
        <v>11215</v>
      </c>
      <c r="G3045" t="s">
        <v>15209</v>
      </c>
      <c r="H3045" t="s">
        <v>20091</v>
      </c>
    </row>
    <row r="3046" spans="6:8">
      <c r="H3046" t="s">
        <v>19712</v>
      </c>
    </row>
    <row r="3047" spans="6:8">
      <c r="H3047" t="s">
        <v>19709</v>
      </c>
    </row>
    <row r="3048" spans="6:8">
      <c r="H3048" t="s">
        <v>19706</v>
      </c>
    </row>
    <row r="3049" spans="6:8">
      <c r="H3049" t="s">
        <v>20107</v>
      </c>
    </row>
    <row r="3050" spans="6:8">
      <c r="H3050" t="s">
        <v>20108</v>
      </c>
    </row>
    <row r="3051" spans="6:8">
      <c r="H3051" t="s">
        <v>20095</v>
      </c>
    </row>
    <row r="3052" spans="6:8">
      <c r="H3052" t="s">
        <v>20096</v>
      </c>
    </row>
    <row r="3053" spans="6:8">
      <c r="H3053" t="s">
        <v>20097</v>
      </c>
    </row>
    <row r="3054" spans="6:8">
      <c r="H3054" t="s">
        <v>20099</v>
      </c>
    </row>
    <row r="3055" spans="6:8">
      <c r="F3055" t="s">
        <v>11216</v>
      </c>
      <c r="G3055" t="s">
        <v>15210</v>
      </c>
      <c r="H3055" t="s">
        <v>20091</v>
      </c>
    </row>
    <row r="3056" spans="6:8">
      <c r="H3056" t="s">
        <v>19712</v>
      </c>
    </row>
    <row r="3057" spans="6:8">
      <c r="H3057" t="s">
        <v>19709</v>
      </c>
    </row>
    <row r="3058" spans="6:8">
      <c r="H3058" t="s">
        <v>19706</v>
      </c>
    </row>
    <row r="3059" spans="6:8">
      <c r="H3059" t="s">
        <v>20107</v>
      </c>
    </row>
    <row r="3060" spans="6:8">
      <c r="H3060" t="s">
        <v>20108</v>
      </c>
    </row>
    <row r="3061" spans="6:8">
      <c r="H3061" t="s">
        <v>20095</v>
      </c>
    </row>
    <row r="3062" spans="6:8">
      <c r="H3062" t="s">
        <v>20096</v>
      </c>
    </row>
    <row r="3063" spans="6:8">
      <c r="H3063" t="s">
        <v>20097</v>
      </c>
    </row>
    <row r="3064" spans="6:8">
      <c r="H3064" t="s">
        <v>20099</v>
      </c>
    </row>
    <row r="3065" spans="6:8">
      <c r="F3065" t="s">
        <v>11217</v>
      </c>
      <c r="G3065" t="s">
        <v>15211</v>
      </c>
      <c r="H3065" t="s">
        <v>20091</v>
      </c>
    </row>
    <row r="3066" spans="6:8">
      <c r="H3066" t="s">
        <v>19712</v>
      </c>
    </row>
    <row r="3067" spans="6:8">
      <c r="H3067" t="s">
        <v>19709</v>
      </c>
    </row>
    <row r="3068" spans="6:8">
      <c r="H3068" t="s">
        <v>19706</v>
      </c>
    </row>
    <row r="3069" spans="6:8">
      <c r="H3069" t="s">
        <v>20107</v>
      </c>
    </row>
    <row r="3070" spans="6:8">
      <c r="H3070" t="s">
        <v>20108</v>
      </c>
    </row>
    <row r="3071" spans="6:8">
      <c r="H3071" t="s">
        <v>20095</v>
      </c>
    </row>
    <row r="3072" spans="6:8">
      <c r="H3072" t="s">
        <v>20096</v>
      </c>
    </row>
    <row r="3073" spans="6:8">
      <c r="H3073" t="s">
        <v>20097</v>
      </c>
    </row>
    <row r="3074" spans="6:8">
      <c r="H3074" t="s">
        <v>20098</v>
      </c>
    </row>
    <row r="3075" spans="6:8">
      <c r="F3075" t="s">
        <v>11218</v>
      </c>
      <c r="G3075" t="s">
        <v>15212</v>
      </c>
      <c r="H3075" t="s">
        <v>20091</v>
      </c>
    </row>
    <row r="3076" spans="6:8">
      <c r="H3076" t="s">
        <v>19712</v>
      </c>
    </row>
    <row r="3077" spans="6:8">
      <c r="H3077" t="s">
        <v>19709</v>
      </c>
    </row>
    <row r="3078" spans="6:8">
      <c r="H3078" t="s">
        <v>19706</v>
      </c>
    </row>
    <row r="3079" spans="6:8">
      <c r="H3079" t="s">
        <v>20107</v>
      </c>
    </row>
    <row r="3080" spans="6:8">
      <c r="H3080" t="s">
        <v>20108</v>
      </c>
    </row>
    <row r="3081" spans="6:8">
      <c r="H3081" t="s">
        <v>20095</v>
      </c>
    </row>
    <row r="3082" spans="6:8">
      <c r="H3082" t="s">
        <v>20096</v>
      </c>
    </row>
    <row r="3083" spans="6:8">
      <c r="H3083" t="s">
        <v>20097</v>
      </c>
    </row>
    <row r="3084" spans="6:8">
      <c r="H3084" t="s">
        <v>20098</v>
      </c>
    </row>
    <row r="3085" spans="6:8">
      <c r="F3085" t="s">
        <v>11219</v>
      </c>
      <c r="G3085" t="s">
        <v>15213</v>
      </c>
      <c r="H3085" t="s">
        <v>20091</v>
      </c>
    </row>
    <row r="3086" spans="6:8">
      <c r="H3086" t="s">
        <v>19712</v>
      </c>
    </row>
    <row r="3087" spans="6:8">
      <c r="H3087" t="s">
        <v>19709</v>
      </c>
    </row>
    <row r="3088" spans="6:8">
      <c r="H3088" t="s">
        <v>20092</v>
      </c>
    </row>
    <row r="3089" spans="6:8">
      <c r="H3089" t="s">
        <v>20093</v>
      </c>
    </row>
    <row r="3090" spans="6:8">
      <c r="H3090" t="s">
        <v>20094</v>
      </c>
    </row>
    <row r="3091" spans="6:8">
      <c r="H3091" t="s">
        <v>20095</v>
      </c>
    </row>
    <row r="3092" spans="6:8">
      <c r="H3092" t="s">
        <v>20096</v>
      </c>
    </row>
    <row r="3093" spans="6:8">
      <c r="H3093" t="s">
        <v>20097</v>
      </c>
    </row>
    <row r="3094" spans="6:8">
      <c r="H3094" t="s">
        <v>20098</v>
      </c>
    </row>
    <row r="3095" spans="6:8">
      <c r="H3095" t="s">
        <v>20099</v>
      </c>
    </row>
    <row r="3096" spans="6:8">
      <c r="H3096" t="s">
        <v>20100</v>
      </c>
    </row>
    <row r="3097" spans="6:8">
      <c r="H3097" t="s">
        <v>20101</v>
      </c>
    </row>
    <row r="3098" spans="6:8">
      <c r="F3098" t="s">
        <v>11220</v>
      </c>
      <c r="G3098" t="s">
        <v>15214</v>
      </c>
      <c r="H3098" t="s">
        <v>20091</v>
      </c>
    </row>
    <row r="3099" spans="6:8">
      <c r="H3099" t="s">
        <v>19712</v>
      </c>
    </row>
    <row r="3100" spans="6:8">
      <c r="H3100" t="s">
        <v>19709</v>
      </c>
    </row>
    <row r="3101" spans="6:8">
      <c r="H3101" t="s">
        <v>20092</v>
      </c>
    </row>
    <row r="3102" spans="6:8">
      <c r="H3102" t="s">
        <v>20093</v>
      </c>
    </row>
    <row r="3103" spans="6:8">
      <c r="H3103" t="s">
        <v>20094</v>
      </c>
    </row>
    <row r="3104" spans="6:8">
      <c r="H3104" t="s">
        <v>20095</v>
      </c>
    </row>
    <row r="3105" spans="6:8">
      <c r="H3105" t="s">
        <v>20096</v>
      </c>
    </row>
    <row r="3106" spans="6:8">
      <c r="H3106" t="s">
        <v>20097</v>
      </c>
    </row>
    <row r="3107" spans="6:8">
      <c r="H3107" t="s">
        <v>20098</v>
      </c>
    </row>
    <row r="3108" spans="6:8">
      <c r="H3108" t="s">
        <v>20099</v>
      </c>
    </row>
    <row r="3109" spans="6:8">
      <c r="H3109" t="s">
        <v>20100</v>
      </c>
    </row>
    <row r="3110" spans="6:8">
      <c r="H3110" t="s">
        <v>20101</v>
      </c>
    </row>
    <row r="3111" spans="6:8">
      <c r="H3111" t="s">
        <v>20104</v>
      </c>
    </row>
    <row r="3112" spans="6:8">
      <c r="F3112" t="s">
        <v>11221</v>
      </c>
      <c r="G3112" t="s">
        <v>15215</v>
      </c>
      <c r="H3112" t="s">
        <v>20091</v>
      </c>
    </row>
    <row r="3113" spans="6:8">
      <c r="H3113" t="s">
        <v>19712</v>
      </c>
    </row>
    <row r="3114" spans="6:8">
      <c r="H3114" t="s">
        <v>19709</v>
      </c>
    </row>
    <row r="3115" spans="6:8">
      <c r="H3115" t="s">
        <v>20092</v>
      </c>
    </row>
    <row r="3116" spans="6:8">
      <c r="H3116" t="s">
        <v>20093</v>
      </c>
    </row>
    <row r="3117" spans="6:8">
      <c r="H3117" t="s">
        <v>20094</v>
      </c>
    </row>
    <row r="3118" spans="6:8">
      <c r="H3118" t="s">
        <v>20095</v>
      </c>
    </row>
    <row r="3119" spans="6:8">
      <c r="H3119" t="s">
        <v>20096</v>
      </c>
    </row>
    <row r="3120" spans="6:8">
      <c r="H3120" t="s">
        <v>20097</v>
      </c>
    </row>
    <row r="3121" spans="6:8">
      <c r="H3121" t="s">
        <v>20098</v>
      </c>
    </row>
    <row r="3122" spans="6:8">
      <c r="H3122" t="s">
        <v>20099</v>
      </c>
    </row>
    <row r="3123" spans="6:8">
      <c r="H3123" t="s">
        <v>20100</v>
      </c>
    </row>
    <row r="3124" spans="6:8">
      <c r="H3124" t="s">
        <v>20101</v>
      </c>
    </row>
    <row r="3125" spans="6:8">
      <c r="H3125" t="s">
        <v>20102</v>
      </c>
    </row>
    <row r="3126" spans="6:8">
      <c r="F3126" t="s">
        <v>11222</v>
      </c>
      <c r="G3126" t="s">
        <v>15216</v>
      </c>
      <c r="H3126" t="s">
        <v>20091</v>
      </c>
    </row>
    <row r="3127" spans="6:8">
      <c r="H3127" t="s">
        <v>19712</v>
      </c>
    </row>
    <row r="3128" spans="6:8">
      <c r="H3128" t="s">
        <v>19709</v>
      </c>
    </row>
    <row r="3129" spans="6:8">
      <c r="H3129" t="s">
        <v>20092</v>
      </c>
    </row>
    <row r="3130" spans="6:8">
      <c r="H3130" t="s">
        <v>20093</v>
      </c>
    </row>
    <row r="3131" spans="6:8">
      <c r="H3131" t="s">
        <v>20094</v>
      </c>
    </row>
    <row r="3132" spans="6:8">
      <c r="H3132" t="s">
        <v>20095</v>
      </c>
    </row>
    <row r="3133" spans="6:8">
      <c r="H3133" t="s">
        <v>20096</v>
      </c>
    </row>
    <row r="3134" spans="6:8">
      <c r="H3134" t="s">
        <v>20097</v>
      </c>
    </row>
    <row r="3135" spans="6:8">
      <c r="H3135" t="s">
        <v>20098</v>
      </c>
    </row>
    <row r="3136" spans="6:8">
      <c r="H3136" t="s">
        <v>20099</v>
      </c>
    </row>
    <row r="3137" spans="6:8">
      <c r="H3137" t="s">
        <v>20100</v>
      </c>
    </row>
    <row r="3138" spans="6:8">
      <c r="H3138" t="s">
        <v>20101</v>
      </c>
    </row>
    <row r="3139" spans="6:8">
      <c r="H3139" t="s">
        <v>20104</v>
      </c>
    </row>
    <row r="3140" spans="6:8">
      <c r="F3140" t="s">
        <v>11223</v>
      </c>
      <c r="G3140" t="s">
        <v>15217</v>
      </c>
      <c r="H3140" t="s">
        <v>20091</v>
      </c>
    </row>
    <row r="3141" spans="6:8">
      <c r="H3141" t="s">
        <v>19712</v>
      </c>
    </row>
    <row r="3142" spans="6:8">
      <c r="H3142" t="s">
        <v>19709</v>
      </c>
    </row>
    <row r="3143" spans="6:8">
      <c r="H3143" t="s">
        <v>19706</v>
      </c>
    </row>
    <row r="3144" spans="6:8">
      <c r="H3144" t="s">
        <v>19707</v>
      </c>
    </row>
    <row r="3145" spans="6:8">
      <c r="H3145" t="s">
        <v>20092</v>
      </c>
    </row>
    <row r="3146" spans="6:8">
      <c r="H3146" t="s">
        <v>20093</v>
      </c>
    </row>
    <row r="3147" spans="6:8">
      <c r="H3147" t="s">
        <v>20094</v>
      </c>
    </row>
    <row r="3148" spans="6:8">
      <c r="H3148" t="s">
        <v>20103</v>
      </c>
    </row>
    <row r="3149" spans="6:8">
      <c r="H3149" t="s">
        <v>20095</v>
      </c>
    </row>
    <row r="3150" spans="6:8">
      <c r="H3150" t="s">
        <v>20096</v>
      </c>
    </row>
    <row r="3151" spans="6:8">
      <c r="H3151" t="s">
        <v>20097</v>
      </c>
    </row>
    <row r="3152" spans="6:8">
      <c r="H3152" t="s">
        <v>20098</v>
      </c>
    </row>
    <row r="3153" spans="6:8">
      <c r="H3153" t="s">
        <v>20099</v>
      </c>
    </row>
    <row r="3154" spans="6:8">
      <c r="H3154" t="s">
        <v>20100</v>
      </c>
    </row>
    <row r="3155" spans="6:8">
      <c r="H3155" t="s">
        <v>20101</v>
      </c>
    </row>
    <row r="3156" spans="6:8">
      <c r="H3156" t="s">
        <v>20102</v>
      </c>
    </row>
    <row r="3157" spans="6:8">
      <c r="F3157" t="s">
        <v>11224</v>
      </c>
      <c r="G3157" t="s">
        <v>15218</v>
      </c>
      <c r="H3157" t="s">
        <v>20091</v>
      </c>
    </row>
    <row r="3158" spans="6:8">
      <c r="H3158" t="s">
        <v>19712</v>
      </c>
    </row>
    <row r="3159" spans="6:8">
      <c r="H3159" t="s">
        <v>19709</v>
      </c>
    </row>
    <row r="3160" spans="6:8">
      <c r="H3160" t="s">
        <v>20092</v>
      </c>
    </row>
    <row r="3161" spans="6:8">
      <c r="H3161" t="s">
        <v>20093</v>
      </c>
    </row>
    <row r="3162" spans="6:8">
      <c r="H3162" t="s">
        <v>20094</v>
      </c>
    </row>
    <row r="3163" spans="6:8">
      <c r="H3163" t="s">
        <v>20095</v>
      </c>
    </row>
    <row r="3164" spans="6:8">
      <c r="H3164" t="s">
        <v>20096</v>
      </c>
    </row>
    <row r="3165" spans="6:8">
      <c r="H3165" t="s">
        <v>20097</v>
      </c>
    </row>
    <row r="3166" spans="6:8">
      <c r="H3166" t="s">
        <v>20098</v>
      </c>
    </row>
    <row r="3167" spans="6:8">
      <c r="H3167" t="s">
        <v>20099</v>
      </c>
    </row>
    <row r="3168" spans="6:8">
      <c r="H3168" t="s">
        <v>20100</v>
      </c>
    </row>
    <row r="3169" spans="6:8">
      <c r="H3169" t="s">
        <v>20101</v>
      </c>
    </row>
    <row r="3170" spans="6:8">
      <c r="H3170" t="s">
        <v>20102</v>
      </c>
    </row>
    <row r="3171" spans="6:8">
      <c r="F3171" t="s">
        <v>11225</v>
      </c>
      <c r="G3171" t="s">
        <v>15219</v>
      </c>
      <c r="H3171" t="s">
        <v>20091</v>
      </c>
    </row>
    <row r="3172" spans="6:8">
      <c r="H3172" t="s">
        <v>19712</v>
      </c>
    </row>
    <row r="3173" spans="6:8">
      <c r="H3173" t="s">
        <v>19709</v>
      </c>
    </row>
    <row r="3174" spans="6:8">
      <c r="H3174" t="s">
        <v>19706</v>
      </c>
    </row>
    <row r="3175" spans="6:8">
      <c r="H3175" t="s">
        <v>19707</v>
      </c>
    </row>
    <row r="3176" spans="6:8">
      <c r="H3176" t="s">
        <v>20092</v>
      </c>
    </row>
    <row r="3177" spans="6:8">
      <c r="H3177" t="s">
        <v>20093</v>
      </c>
    </row>
    <row r="3178" spans="6:8">
      <c r="H3178" t="s">
        <v>20094</v>
      </c>
    </row>
    <row r="3179" spans="6:8">
      <c r="H3179" t="s">
        <v>20095</v>
      </c>
    </row>
    <row r="3180" spans="6:8">
      <c r="H3180" t="s">
        <v>20096</v>
      </c>
    </row>
    <row r="3181" spans="6:8">
      <c r="H3181" t="s">
        <v>20097</v>
      </c>
    </row>
    <row r="3182" spans="6:8">
      <c r="H3182" t="s">
        <v>20099</v>
      </c>
    </row>
    <row r="3183" spans="6:8">
      <c r="H3183" t="s">
        <v>20100</v>
      </c>
    </row>
    <row r="3184" spans="6:8">
      <c r="H3184" t="s">
        <v>20101</v>
      </c>
    </row>
    <row r="3185" spans="6:8">
      <c r="F3185" t="s">
        <v>11226</v>
      </c>
      <c r="G3185" t="s">
        <v>15585</v>
      </c>
      <c r="H3185" t="s">
        <v>20091</v>
      </c>
    </row>
    <row r="3186" spans="6:8">
      <c r="H3186" t="s">
        <v>19712</v>
      </c>
    </row>
    <row r="3187" spans="6:8">
      <c r="H3187" t="s">
        <v>20106</v>
      </c>
    </row>
    <row r="3188" spans="6:8">
      <c r="H3188" t="s">
        <v>20095</v>
      </c>
    </row>
    <row r="3189" spans="6:8">
      <c r="H3189" t="s">
        <v>20096</v>
      </c>
    </row>
    <row r="3190" spans="6:8">
      <c r="H3190" t="s">
        <v>20097</v>
      </c>
    </row>
    <row r="3191" spans="6:8">
      <c r="F3191" t="s">
        <v>11227</v>
      </c>
      <c r="G3191" t="s">
        <v>15586</v>
      </c>
      <c r="H3191" t="s">
        <v>20091</v>
      </c>
    </row>
    <row r="3192" spans="6:8">
      <c r="H3192" t="s">
        <v>19712</v>
      </c>
    </row>
    <row r="3193" spans="6:8">
      <c r="H3193" t="s">
        <v>19706</v>
      </c>
    </row>
    <row r="3194" spans="6:8">
      <c r="H3194" t="s">
        <v>20092</v>
      </c>
    </row>
    <row r="3195" spans="6:8">
      <c r="H3195" t="s">
        <v>20095</v>
      </c>
    </row>
    <row r="3196" spans="6:8">
      <c r="H3196" t="s">
        <v>20096</v>
      </c>
    </row>
    <row r="3197" spans="6:8">
      <c r="H3197" t="s">
        <v>20097</v>
      </c>
    </row>
    <row r="3198" spans="6:8">
      <c r="H3198" t="s">
        <v>20098</v>
      </c>
    </row>
    <row r="3199" spans="6:8">
      <c r="H3199" t="s">
        <v>20099</v>
      </c>
    </row>
    <row r="3200" spans="6:8">
      <c r="H3200" t="s">
        <v>20100</v>
      </c>
    </row>
    <row r="3201" spans="6:8">
      <c r="H3201" t="s">
        <v>20101</v>
      </c>
    </row>
    <row r="3202" spans="6:8">
      <c r="F3202" t="s">
        <v>11228</v>
      </c>
      <c r="G3202" t="s">
        <v>15220</v>
      </c>
      <c r="H3202" t="s">
        <v>20091</v>
      </c>
    </row>
    <row r="3203" spans="6:8">
      <c r="H3203" t="s">
        <v>19712</v>
      </c>
    </row>
    <row r="3204" spans="6:8">
      <c r="H3204" t="s">
        <v>19709</v>
      </c>
    </row>
    <row r="3205" spans="6:8">
      <c r="H3205" t="s">
        <v>19706</v>
      </c>
    </row>
    <row r="3206" spans="6:8">
      <c r="H3206" t="s">
        <v>20107</v>
      </c>
    </row>
    <row r="3207" spans="6:8">
      <c r="H3207" t="s">
        <v>20108</v>
      </c>
    </row>
    <row r="3208" spans="6:8">
      <c r="H3208" t="s">
        <v>19713</v>
      </c>
    </row>
    <row r="3209" spans="6:8">
      <c r="H3209" t="s">
        <v>19714</v>
      </c>
    </row>
    <row r="3210" spans="6:8">
      <c r="H3210" t="s">
        <v>20109</v>
      </c>
    </row>
    <row r="3211" spans="6:8">
      <c r="H3211" t="s">
        <v>20110</v>
      </c>
    </row>
    <row r="3212" spans="6:8">
      <c r="H3212" t="s">
        <v>20095</v>
      </c>
    </row>
    <row r="3213" spans="6:8">
      <c r="H3213" t="s">
        <v>20096</v>
      </c>
    </row>
    <row r="3214" spans="6:8">
      <c r="H3214" t="s">
        <v>20097</v>
      </c>
    </row>
    <row r="3215" spans="6:8">
      <c r="H3215" t="s">
        <v>20098</v>
      </c>
    </row>
    <row r="3216" spans="6:8">
      <c r="F3216" t="s">
        <v>11229</v>
      </c>
      <c r="G3216" t="s">
        <v>15221</v>
      </c>
      <c r="H3216" t="s">
        <v>20091</v>
      </c>
    </row>
    <row r="3217" spans="6:8">
      <c r="H3217" t="s">
        <v>19712</v>
      </c>
    </row>
    <row r="3218" spans="6:8">
      <c r="H3218" t="s">
        <v>19709</v>
      </c>
    </row>
    <row r="3219" spans="6:8">
      <c r="H3219" t="s">
        <v>19706</v>
      </c>
    </row>
    <row r="3220" spans="6:8">
      <c r="H3220" t="s">
        <v>20107</v>
      </c>
    </row>
    <row r="3221" spans="6:8">
      <c r="H3221" t="s">
        <v>20108</v>
      </c>
    </row>
    <row r="3222" spans="6:8">
      <c r="H3222" t="s">
        <v>19713</v>
      </c>
    </row>
    <row r="3223" spans="6:8">
      <c r="H3223" t="s">
        <v>19714</v>
      </c>
    </row>
    <row r="3224" spans="6:8">
      <c r="H3224" t="s">
        <v>20109</v>
      </c>
    </row>
    <row r="3225" spans="6:8">
      <c r="H3225" t="s">
        <v>20095</v>
      </c>
    </row>
    <row r="3226" spans="6:8">
      <c r="H3226" t="s">
        <v>20096</v>
      </c>
    </row>
    <row r="3227" spans="6:8">
      <c r="H3227" t="s">
        <v>20097</v>
      </c>
    </row>
    <row r="3228" spans="6:8">
      <c r="H3228" t="s">
        <v>20098</v>
      </c>
    </row>
    <row r="3229" spans="6:8">
      <c r="F3229" t="s">
        <v>11230</v>
      </c>
      <c r="G3229" t="s">
        <v>15222</v>
      </c>
      <c r="H3229" t="s">
        <v>20091</v>
      </c>
    </row>
    <row r="3230" spans="6:8">
      <c r="H3230" t="s">
        <v>19712</v>
      </c>
    </row>
    <row r="3231" spans="6:8">
      <c r="H3231" t="s">
        <v>19709</v>
      </c>
    </row>
    <row r="3232" spans="6:8">
      <c r="H3232" t="s">
        <v>19706</v>
      </c>
    </row>
    <row r="3233" spans="6:8">
      <c r="H3233" t="s">
        <v>20107</v>
      </c>
    </row>
    <row r="3234" spans="6:8">
      <c r="H3234" t="s">
        <v>20108</v>
      </c>
    </row>
    <row r="3235" spans="6:8">
      <c r="H3235" t="s">
        <v>19713</v>
      </c>
    </row>
    <row r="3236" spans="6:8">
      <c r="H3236" t="s">
        <v>19714</v>
      </c>
    </row>
    <row r="3237" spans="6:8">
      <c r="H3237" t="s">
        <v>20109</v>
      </c>
    </row>
    <row r="3238" spans="6:8">
      <c r="H3238" t="s">
        <v>20095</v>
      </c>
    </row>
    <row r="3239" spans="6:8">
      <c r="H3239" t="s">
        <v>20096</v>
      </c>
    </row>
    <row r="3240" spans="6:8">
      <c r="H3240" t="s">
        <v>20097</v>
      </c>
    </row>
    <row r="3241" spans="6:8">
      <c r="H3241" t="s">
        <v>20098</v>
      </c>
    </row>
    <row r="3242" spans="6:8">
      <c r="F3242" t="s">
        <v>11231</v>
      </c>
      <c r="G3242" t="s">
        <v>15223</v>
      </c>
      <c r="H3242" t="s">
        <v>20091</v>
      </c>
    </row>
    <row r="3243" spans="6:8">
      <c r="H3243" t="s">
        <v>19712</v>
      </c>
    </row>
    <row r="3244" spans="6:8">
      <c r="H3244" t="s">
        <v>19709</v>
      </c>
    </row>
    <row r="3245" spans="6:8">
      <c r="H3245" t="s">
        <v>19706</v>
      </c>
    </row>
    <row r="3246" spans="6:8">
      <c r="H3246" t="s">
        <v>20107</v>
      </c>
    </row>
    <row r="3247" spans="6:8">
      <c r="H3247" t="s">
        <v>20108</v>
      </c>
    </row>
    <row r="3248" spans="6:8">
      <c r="H3248" t="s">
        <v>19713</v>
      </c>
    </row>
    <row r="3249" spans="6:8">
      <c r="H3249" t="s">
        <v>19714</v>
      </c>
    </row>
    <row r="3250" spans="6:8">
      <c r="H3250" t="s">
        <v>20109</v>
      </c>
    </row>
    <row r="3251" spans="6:8">
      <c r="H3251" t="s">
        <v>20095</v>
      </c>
    </row>
    <row r="3252" spans="6:8">
      <c r="H3252" t="s">
        <v>20096</v>
      </c>
    </row>
    <row r="3253" spans="6:8">
      <c r="H3253" t="s">
        <v>20097</v>
      </c>
    </row>
    <row r="3254" spans="6:8">
      <c r="H3254" t="s">
        <v>20098</v>
      </c>
    </row>
    <row r="3255" spans="6:8">
      <c r="F3255" t="s">
        <v>11232</v>
      </c>
      <c r="G3255" t="s">
        <v>15224</v>
      </c>
      <c r="H3255" t="s">
        <v>20091</v>
      </c>
    </row>
    <row r="3256" spans="6:8">
      <c r="H3256" t="s">
        <v>19712</v>
      </c>
    </row>
    <row r="3257" spans="6:8">
      <c r="H3257" t="s">
        <v>19709</v>
      </c>
    </row>
    <row r="3258" spans="6:8">
      <c r="H3258" t="s">
        <v>19706</v>
      </c>
    </row>
    <row r="3259" spans="6:8">
      <c r="H3259" t="s">
        <v>20107</v>
      </c>
    </row>
    <row r="3260" spans="6:8">
      <c r="H3260" t="s">
        <v>20108</v>
      </c>
    </row>
    <row r="3261" spans="6:8">
      <c r="H3261" t="s">
        <v>19713</v>
      </c>
    </row>
    <row r="3262" spans="6:8">
      <c r="H3262" t="s">
        <v>19714</v>
      </c>
    </row>
    <row r="3263" spans="6:8">
      <c r="H3263" t="s">
        <v>20109</v>
      </c>
    </row>
    <row r="3264" spans="6:8">
      <c r="H3264" t="s">
        <v>20095</v>
      </c>
    </row>
    <row r="3265" spans="6:8">
      <c r="H3265" t="s">
        <v>20096</v>
      </c>
    </row>
    <row r="3266" spans="6:8">
      <c r="H3266" t="s">
        <v>20097</v>
      </c>
    </row>
    <row r="3267" spans="6:8">
      <c r="H3267" t="s">
        <v>20098</v>
      </c>
    </row>
    <row r="3268" spans="6:8">
      <c r="F3268" t="s">
        <v>11233</v>
      </c>
      <c r="G3268" t="s">
        <v>15587</v>
      </c>
      <c r="H3268" t="s">
        <v>19712</v>
      </c>
    </row>
    <row r="3269" spans="6:8">
      <c r="H3269" t="s">
        <v>20095</v>
      </c>
    </row>
    <row r="3270" spans="6:8">
      <c r="H3270" t="s">
        <v>20096</v>
      </c>
    </row>
    <row r="3271" spans="6:8">
      <c r="F3271" t="s">
        <v>11234</v>
      </c>
      <c r="G3271" t="s">
        <v>15588</v>
      </c>
      <c r="H3271" t="s">
        <v>19712</v>
      </c>
    </row>
    <row r="3272" spans="6:8">
      <c r="H3272" t="s">
        <v>20095</v>
      </c>
    </row>
    <row r="3273" spans="6:8">
      <c r="H3273" t="s">
        <v>20096</v>
      </c>
    </row>
    <row r="3274" spans="6:8">
      <c r="F3274" t="s">
        <v>11235</v>
      </c>
      <c r="G3274" t="s">
        <v>15589</v>
      </c>
      <c r="H3274" t="s">
        <v>20091</v>
      </c>
    </row>
    <row r="3275" spans="6:8">
      <c r="H3275" t="s">
        <v>19712</v>
      </c>
    </row>
    <row r="3276" spans="6:8">
      <c r="H3276" t="s">
        <v>20092</v>
      </c>
    </row>
    <row r="3277" spans="6:8">
      <c r="H3277" t="s">
        <v>20093</v>
      </c>
    </row>
    <row r="3278" spans="6:8">
      <c r="H3278" t="s">
        <v>20095</v>
      </c>
    </row>
    <row r="3279" spans="6:8">
      <c r="H3279" t="s">
        <v>20096</v>
      </c>
    </row>
    <row r="3280" spans="6:8">
      <c r="H3280" t="s">
        <v>20097</v>
      </c>
    </row>
    <row r="3281" spans="6:8">
      <c r="F3281" t="s">
        <v>11236</v>
      </c>
      <c r="G3281" t="s">
        <v>15590</v>
      </c>
      <c r="H3281" t="s">
        <v>20091</v>
      </c>
    </row>
    <row r="3282" spans="6:8">
      <c r="H3282" t="s">
        <v>20095</v>
      </c>
    </row>
    <row r="3283" spans="6:8">
      <c r="H3283" t="s">
        <v>20096</v>
      </c>
    </row>
    <row r="3284" spans="6:8">
      <c r="F3284" t="s">
        <v>11237</v>
      </c>
      <c r="G3284" t="s">
        <v>15591</v>
      </c>
      <c r="H3284" t="s">
        <v>20091</v>
      </c>
    </row>
    <row r="3285" spans="6:8">
      <c r="H3285" t="s">
        <v>20095</v>
      </c>
    </row>
    <row r="3286" spans="6:8">
      <c r="H3286" t="s">
        <v>20096</v>
      </c>
    </row>
    <row r="3287" spans="6:8">
      <c r="H3287" t="s">
        <v>20097</v>
      </c>
    </row>
    <row r="3288" spans="6:8">
      <c r="F3288" t="s">
        <v>11238</v>
      </c>
      <c r="G3288" t="s">
        <v>15592</v>
      </c>
      <c r="H3288" t="s">
        <v>20091</v>
      </c>
    </row>
    <row r="3289" spans="6:8">
      <c r="H3289" t="s">
        <v>20095</v>
      </c>
    </row>
    <row r="3290" spans="6:8">
      <c r="H3290" t="s">
        <v>20096</v>
      </c>
    </row>
    <row r="3291" spans="6:8">
      <c r="H3291" t="s">
        <v>20097</v>
      </c>
    </row>
    <row r="3292" spans="6:8">
      <c r="F3292" t="s">
        <v>11239</v>
      </c>
      <c r="G3292" t="s">
        <v>15593</v>
      </c>
      <c r="H3292" t="s">
        <v>20091</v>
      </c>
    </row>
    <row r="3293" spans="6:8">
      <c r="H3293" t="s">
        <v>19712</v>
      </c>
    </row>
    <row r="3294" spans="6:8">
      <c r="H3294" t="s">
        <v>20095</v>
      </c>
    </row>
    <row r="3295" spans="6:8">
      <c r="H3295" t="s">
        <v>20096</v>
      </c>
    </row>
    <row r="3296" spans="6:8">
      <c r="F3296" t="s">
        <v>11240</v>
      </c>
      <c r="G3296" t="s">
        <v>15594</v>
      </c>
      <c r="H3296" t="s">
        <v>20091</v>
      </c>
    </row>
    <row r="3297" spans="6:8">
      <c r="H3297" t="s">
        <v>20095</v>
      </c>
    </row>
    <row r="3298" spans="6:8">
      <c r="H3298" t="s">
        <v>20096</v>
      </c>
    </row>
    <row r="3299" spans="6:8">
      <c r="F3299" t="s">
        <v>11241</v>
      </c>
      <c r="G3299" t="s">
        <v>15595</v>
      </c>
      <c r="H3299" t="s">
        <v>20091</v>
      </c>
    </row>
    <row r="3300" spans="6:8">
      <c r="H3300" t="s">
        <v>20095</v>
      </c>
    </row>
    <row r="3301" spans="6:8">
      <c r="H3301" t="s">
        <v>20096</v>
      </c>
    </row>
    <row r="3302" spans="6:8">
      <c r="F3302" t="s">
        <v>11242</v>
      </c>
      <c r="G3302" t="s">
        <v>15596</v>
      </c>
      <c r="H3302" t="s">
        <v>19712</v>
      </c>
    </row>
    <row r="3303" spans="6:8">
      <c r="H3303" t="s">
        <v>20095</v>
      </c>
    </row>
    <row r="3304" spans="6:8">
      <c r="H3304" t="s">
        <v>20096</v>
      </c>
    </row>
    <row r="3305" spans="6:8">
      <c r="F3305" t="s">
        <v>11243</v>
      </c>
      <c r="G3305" t="s">
        <v>15225</v>
      </c>
      <c r="H3305" t="s">
        <v>20091</v>
      </c>
    </row>
    <row r="3306" spans="6:8">
      <c r="H3306" t="s">
        <v>19712</v>
      </c>
    </row>
    <row r="3307" spans="6:8">
      <c r="H3307" t="s">
        <v>19709</v>
      </c>
    </row>
    <row r="3308" spans="6:8">
      <c r="H3308" t="s">
        <v>19706</v>
      </c>
    </row>
    <row r="3309" spans="6:8">
      <c r="H3309" t="s">
        <v>19707</v>
      </c>
    </row>
    <row r="3310" spans="6:8">
      <c r="H3310" t="s">
        <v>20108</v>
      </c>
    </row>
    <row r="3311" spans="6:8">
      <c r="H3311" t="s">
        <v>19713</v>
      </c>
    </row>
    <row r="3312" spans="6:8">
      <c r="H3312" t="s">
        <v>19714</v>
      </c>
    </row>
    <row r="3313" spans="6:8">
      <c r="H3313" t="s">
        <v>20109</v>
      </c>
    </row>
    <row r="3314" spans="6:8">
      <c r="H3314" t="s">
        <v>20110</v>
      </c>
    </row>
    <row r="3315" spans="6:8">
      <c r="H3315" t="s">
        <v>20111</v>
      </c>
    </row>
    <row r="3316" spans="6:8">
      <c r="H3316" t="s">
        <v>20112</v>
      </c>
    </row>
    <row r="3317" spans="6:8">
      <c r="H3317" t="s">
        <v>20113</v>
      </c>
    </row>
    <row r="3318" spans="6:8">
      <c r="H3318" t="s">
        <v>20095</v>
      </c>
    </row>
    <row r="3319" spans="6:8">
      <c r="H3319" t="s">
        <v>20096</v>
      </c>
    </row>
    <row r="3320" spans="6:8">
      <c r="H3320" t="s">
        <v>20097</v>
      </c>
    </row>
    <row r="3321" spans="6:8">
      <c r="H3321" t="s">
        <v>20098</v>
      </c>
    </row>
    <row r="3322" spans="6:8">
      <c r="F3322" t="s">
        <v>11244</v>
      </c>
      <c r="G3322" t="s">
        <v>15226</v>
      </c>
      <c r="H3322" t="s">
        <v>20091</v>
      </c>
    </row>
    <row r="3323" spans="6:8">
      <c r="H3323" t="s">
        <v>19712</v>
      </c>
    </row>
    <row r="3324" spans="6:8">
      <c r="H3324" t="s">
        <v>19709</v>
      </c>
    </row>
    <row r="3325" spans="6:8">
      <c r="H3325" t="s">
        <v>19706</v>
      </c>
    </row>
    <row r="3326" spans="6:8">
      <c r="H3326" t="s">
        <v>19707</v>
      </c>
    </row>
    <row r="3327" spans="6:8">
      <c r="H3327" t="s">
        <v>20108</v>
      </c>
    </row>
    <row r="3328" spans="6:8">
      <c r="H3328" t="s">
        <v>19713</v>
      </c>
    </row>
    <row r="3329" spans="6:8">
      <c r="H3329" t="s">
        <v>19714</v>
      </c>
    </row>
    <row r="3330" spans="6:8">
      <c r="H3330" t="s">
        <v>20109</v>
      </c>
    </row>
    <row r="3331" spans="6:8">
      <c r="H3331" t="s">
        <v>20110</v>
      </c>
    </row>
    <row r="3332" spans="6:8">
      <c r="H3332" t="s">
        <v>20111</v>
      </c>
    </row>
    <row r="3333" spans="6:8">
      <c r="H3333" t="s">
        <v>20112</v>
      </c>
    </row>
    <row r="3334" spans="6:8">
      <c r="H3334" t="s">
        <v>20113</v>
      </c>
    </row>
    <row r="3335" spans="6:8">
      <c r="H3335" t="s">
        <v>20095</v>
      </c>
    </row>
    <row r="3336" spans="6:8">
      <c r="H3336" t="s">
        <v>20096</v>
      </c>
    </row>
    <row r="3337" spans="6:8">
      <c r="H3337" t="s">
        <v>20097</v>
      </c>
    </row>
    <row r="3338" spans="6:8">
      <c r="H3338" t="s">
        <v>20098</v>
      </c>
    </row>
    <row r="3339" spans="6:8">
      <c r="F3339" t="s">
        <v>11245</v>
      </c>
      <c r="G3339" t="s">
        <v>15227</v>
      </c>
      <c r="H3339" t="s">
        <v>20091</v>
      </c>
    </row>
    <row r="3340" spans="6:8">
      <c r="H3340" t="s">
        <v>19712</v>
      </c>
    </row>
    <row r="3341" spans="6:8">
      <c r="H3341" t="s">
        <v>19709</v>
      </c>
    </row>
    <row r="3342" spans="6:8">
      <c r="H3342" t="s">
        <v>19706</v>
      </c>
    </row>
    <row r="3343" spans="6:8">
      <c r="H3343" t="s">
        <v>20107</v>
      </c>
    </row>
    <row r="3344" spans="6:8">
      <c r="H3344" t="s">
        <v>20108</v>
      </c>
    </row>
    <row r="3345" spans="6:8">
      <c r="H3345" t="s">
        <v>19713</v>
      </c>
    </row>
    <row r="3346" spans="6:8">
      <c r="H3346" t="s">
        <v>19714</v>
      </c>
    </row>
    <row r="3347" spans="6:8">
      <c r="H3347" t="s">
        <v>20109</v>
      </c>
    </row>
    <row r="3348" spans="6:8">
      <c r="H3348" t="s">
        <v>20110</v>
      </c>
    </row>
    <row r="3349" spans="6:8">
      <c r="H3349" t="s">
        <v>20111</v>
      </c>
    </row>
    <row r="3350" spans="6:8">
      <c r="H3350" t="s">
        <v>20112</v>
      </c>
    </row>
    <row r="3351" spans="6:8">
      <c r="H3351" t="s">
        <v>20113</v>
      </c>
    </row>
    <row r="3352" spans="6:8">
      <c r="H3352" t="s">
        <v>20095</v>
      </c>
    </row>
    <row r="3353" spans="6:8">
      <c r="H3353" t="s">
        <v>20096</v>
      </c>
    </row>
    <row r="3354" spans="6:8">
      <c r="H3354" t="s">
        <v>20097</v>
      </c>
    </row>
    <row r="3355" spans="6:8">
      <c r="H3355" t="s">
        <v>20098</v>
      </c>
    </row>
    <row r="3356" spans="6:8">
      <c r="F3356" t="s">
        <v>11246</v>
      </c>
      <c r="G3356" t="s">
        <v>15228</v>
      </c>
      <c r="H3356" t="s">
        <v>20091</v>
      </c>
    </row>
    <row r="3357" spans="6:8">
      <c r="H3357" t="s">
        <v>19712</v>
      </c>
    </row>
    <row r="3358" spans="6:8">
      <c r="H3358" t="s">
        <v>19709</v>
      </c>
    </row>
    <row r="3359" spans="6:8">
      <c r="H3359" t="s">
        <v>19706</v>
      </c>
    </row>
    <row r="3360" spans="6:8">
      <c r="H3360" t="s">
        <v>20107</v>
      </c>
    </row>
    <row r="3361" spans="6:8">
      <c r="H3361" t="s">
        <v>20108</v>
      </c>
    </row>
    <row r="3362" spans="6:8">
      <c r="H3362" t="s">
        <v>19713</v>
      </c>
    </row>
    <row r="3363" spans="6:8">
      <c r="H3363" t="s">
        <v>19714</v>
      </c>
    </row>
    <row r="3364" spans="6:8">
      <c r="H3364" t="s">
        <v>20109</v>
      </c>
    </row>
    <row r="3365" spans="6:8">
      <c r="H3365" t="s">
        <v>20110</v>
      </c>
    </row>
    <row r="3366" spans="6:8">
      <c r="H3366" t="s">
        <v>20111</v>
      </c>
    </row>
    <row r="3367" spans="6:8">
      <c r="H3367" t="s">
        <v>20112</v>
      </c>
    </row>
    <row r="3368" spans="6:8">
      <c r="H3368" t="s">
        <v>20113</v>
      </c>
    </row>
    <row r="3369" spans="6:8">
      <c r="H3369" t="s">
        <v>20095</v>
      </c>
    </row>
    <row r="3370" spans="6:8">
      <c r="H3370" t="s">
        <v>20096</v>
      </c>
    </row>
    <row r="3371" spans="6:8">
      <c r="H3371" t="s">
        <v>20097</v>
      </c>
    </row>
    <row r="3372" spans="6:8">
      <c r="H3372" t="s">
        <v>20098</v>
      </c>
    </row>
    <row r="3373" spans="6:8">
      <c r="F3373" t="s">
        <v>11247</v>
      </c>
      <c r="G3373" t="s">
        <v>15229</v>
      </c>
      <c r="H3373" t="s">
        <v>20091</v>
      </c>
    </row>
    <row r="3374" spans="6:8">
      <c r="H3374" t="s">
        <v>19712</v>
      </c>
    </row>
    <row r="3375" spans="6:8">
      <c r="H3375" t="s">
        <v>19709</v>
      </c>
    </row>
    <row r="3376" spans="6:8">
      <c r="H3376" t="s">
        <v>19706</v>
      </c>
    </row>
    <row r="3377" spans="6:8">
      <c r="H3377" t="s">
        <v>19707</v>
      </c>
    </row>
    <row r="3378" spans="6:8">
      <c r="H3378" t="s">
        <v>19711</v>
      </c>
    </row>
    <row r="3379" spans="6:8">
      <c r="H3379" t="s">
        <v>19708</v>
      </c>
    </row>
    <row r="3380" spans="6:8">
      <c r="H3380" t="s">
        <v>20107</v>
      </c>
    </row>
    <row r="3381" spans="6:8">
      <c r="H3381" t="s">
        <v>20108</v>
      </c>
    </row>
    <row r="3382" spans="6:8">
      <c r="H3382" t="s">
        <v>19713</v>
      </c>
    </row>
    <row r="3383" spans="6:8">
      <c r="H3383" t="s">
        <v>19714</v>
      </c>
    </row>
    <row r="3384" spans="6:8">
      <c r="H3384" t="s">
        <v>20109</v>
      </c>
    </row>
    <row r="3385" spans="6:8">
      <c r="H3385" t="s">
        <v>20110</v>
      </c>
    </row>
    <row r="3386" spans="6:8">
      <c r="H3386" t="s">
        <v>20092</v>
      </c>
    </row>
    <row r="3387" spans="6:8">
      <c r="H3387" t="s">
        <v>20095</v>
      </c>
    </row>
    <row r="3388" spans="6:8">
      <c r="H3388" t="s">
        <v>20096</v>
      </c>
    </row>
    <row r="3389" spans="6:8">
      <c r="H3389" t="s">
        <v>20097</v>
      </c>
    </row>
    <row r="3390" spans="6:8">
      <c r="H3390" t="s">
        <v>20098</v>
      </c>
    </row>
    <row r="3391" spans="6:8">
      <c r="F3391" t="s">
        <v>11248</v>
      </c>
      <c r="G3391" t="s">
        <v>15230</v>
      </c>
      <c r="H3391" t="s">
        <v>20091</v>
      </c>
    </row>
    <row r="3392" spans="6:8">
      <c r="H3392" t="s">
        <v>19712</v>
      </c>
    </row>
    <row r="3393" spans="8:8">
      <c r="H3393" t="s">
        <v>19709</v>
      </c>
    </row>
    <row r="3394" spans="8:8">
      <c r="H3394" t="s">
        <v>19706</v>
      </c>
    </row>
    <row r="3395" spans="8:8">
      <c r="H3395" t="s">
        <v>19707</v>
      </c>
    </row>
    <row r="3396" spans="8:8">
      <c r="H3396" t="s">
        <v>19711</v>
      </c>
    </row>
    <row r="3397" spans="8:8">
      <c r="H3397" t="s">
        <v>19708</v>
      </c>
    </row>
    <row r="3398" spans="8:8">
      <c r="H3398" t="s">
        <v>20107</v>
      </c>
    </row>
    <row r="3399" spans="8:8">
      <c r="H3399" t="s">
        <v>20108</v>
      </c>
    </row>
    <row r="3400" spans="8:8">
      <c r="H3400" t="s">
        <v>19713</v>
      </c>
    </row>
    <row r="3401" spans="8:8">
      <c r="H3401" t="s">
        <v>19714</v>
      </c>
    </row>
    <row r="3402" spans="8:8">
      <c r="H3402" t="s">
        <v>20109</v>
      </c>
    </row>
    <row r="3403" spans="8:8">
      <c r="H3403" t="s">
        <v>20110</v>
      </c>
    </row>
    <row r="3404" spans="8:8">
      <c r="H3404" t="s">
        <v>20092</v>
      </c>
    </row>
    <row r="3405" spans="8:8">
      <c r="H3405" t="s">
        <v>20095</v>
      </c>
    </row>
    <row r="3406" spans="8:8">
      <c r="H3406" t="s">
        <v>20096</v>
      </c>
    </row>
    <row r="3407" spans="8:8">
      <c r="H3407" t="s">
        <v>20097</v>
      </c>
    </row>
    <row r="3408" spans="8:8">
      <c r="H3408" t="s">
        <v>20098</v>
      </c>
    </row>
    <row r="3409" spans="6:8">
      <c r="F3409" t="s">
        <v>11249</v>
      </c>
      <c r="G3409" t="s">
        <v>15231</v>
      </c>
      <c r="H3409" t="s">
        <v>20091</v>
      </c>
    </row>
    <row r="3410" spans="6:8">
      <c r="H3410" t="s">
        <v>19712</v>
      </c>
    </row>
    <row r="3411" spans="6:8">
      <c r="H3411" t="s">
        <v>19709</v>
      </c>
    </row>
    <row r="3412" spans="6:8">
      <c r="H3412" t="s">
        <v>19706</v>
      </c>
    </row>
    <row r="3413" spans="6:8">
      <c r="H3413" t="s">
        <v>19707</v>
      </c>
    </row>
    <row r="3414" spans="6:8">
      <c r="H3414" t="s">
        <v>19711</v>
      </c>
    </row>
    <row r="3415" spans="6:8">
      <c r="H3415" t="s">
        <v>19708</v>
      </c>
    </row>
    <row r="3416" spans="6:8">
      <c r="H3416" t="s">
        <v>20107</v>
      </c>
    </row>
    <row r="3417" spans="6:8">
      <c r="H3417" t="s">
        <v>20108</v>
      </c>
    </row>
    <row r="3418" spans="6:8">
      <c r="H3418" t="s">
        <v>19713</v>
      </c>
    </row>
    <row r="3419" spans="6:8">
      <c r="H3419" t="s">
        <v>19714</v>
      </c>
    </row>
    <row r="3420" spans="6:8">
      <c r="H3420" t="s">
        <v>20109</v>
      </c>
    </row>
    <row r="3421" spans="6:8">
      <c r="H3421" t="s">
        <v>20110</v>
      </c>
    </row>
    <row r="3422" spans="6:8">
      <c r="H3422" t="s">
        <v>20092</v>
      </c>
    </row>
    <row r="3423" spans="6:8">
      <c r="H3423" t="s">
        <v>20095</v>
      </c>
    </row>
    <row r="3424" spans="6:8">
      <c r="H3424" t="s">
        <v>20096</v>
      </c>
    </row>
    <row r="3425" spans="6:8">
      <c r="H3425" t="s">
        <v>20097</v>
      </c>
    </row>
    <row r="3426" spans="6:8">
      <c r="H3426" t="s">
        <v>20098</v>
      </c>
    </row>
    <row r="3427" spans="6:8">
      <c r="F3427" t="s">
        <v>11250</v>
      </c>
      <c r="G3427" t="s">
        <v>15232</v>
      </c>
      <c r="H3427" t="s">
        <v>20091</v>
      </c>
    </row>
    <row r="3428" spans="6:8">
      <c r="H3428" t="s">
        <v>19712</v>
      </c>
    </row>
    <row r="3429" spans="6:8">
      <c r="H3429" t="s">
        <v>19709</v>
      </c>
    </row>
    <row r="3430" spans="6:8">
      <c r="H3430" t="s">
        <v>19706</v>
      </c>
    </row>
    <row r="3431" spans="6:8">
      <c r="H3431" t="s">
        <v>19707</v>
      </c>
    </row>
    <row r="3432" spans="6:8">
      <c r="H3432" t="s">
        <v>19711</v>
      </c>
    </row>
    <row r="3433" spans="6:8">
      <c r="H3433" t="s">
        <v>19708</v>
      </c>
    </row>
    <row r="3434" spans="6:8">
      <c r="H3434" t="s">
        <v>20107</v>
      </c>
    </row>
    <row r="3435" spans="6:8">
      <c r="H3435" t="s">
        <v>20108</v>
      </c>
    </row>
    <row r="3436" spans="6:8">
      <c r="H3436" t="s">
        <v>19713</v>
      </c>
    </row>
    <row r="3437" spans="6:8">
      <c r="H3437" t="s">
        <v>19714</v>
      </c>
    </row>
    <row r="3438" spans="6:8">
      <c r="H3438" t="s">
        <v>20109</v>
      </c>
    </row>
    <row r="3439" spans="6:8">
      <c r="H3439" t="s">
        <v>20110</v>
      </c>
    </row>
    <row r="3440" spans="6:8">
      <c r="H3440" t="s">
        <v>20092</v>
      </c>
    </row>
    <row r="3441" spans="6:8">
      <c r="H3441" t="s">
        <v>20095</v>
      </c>
    </row>
    <row r="3442" spans="6:8">
      <c r="H3442" t="s">
        <v>20096</v>
      </c>
    </row>
    <row r="3443" spans="6:8">
      <c r="H3443" t="s">
        <v>20097</v>
      </c>
    </row>
    <row r="3444" spans="6:8">
      <c r="H3444" t="s">
        <v>20098</v>
      </c>
    </row>
    <row r="3445" spans="6:8">
      <c r="F3445" t="s">
        <v>11251</v>
      </c>
      <c r="G3445" t="s">
        <v>15233</v>
      </c>
      <c r="H3445" t="s">
        <v>20091</v>
      </c>
    </row>
    <row r="3446" spans="6:8">
      <c r="H3446" t="s">
        <v>19712</v>
      </c>
    </row>
    <row r="3447" spans="6:8">
      <c r="H3447" t="s">
        <v>19709</v>
      </c>
    </row>
    <row r="3448" spans="6:8">
      <c r="H3448" t="s">
        <v>19706</v>
      </c>
    </row>
    <row r="3449" spans="6:8">
      <c r="H3449" t="s">
        <v>19707</v>
      </c>
    </row>
    <row r="3450" spans="6:8">
      <c r="H3450" t="s">
        <v>19711</v>
      </c>
    </row>
    <row r="3451" spans="6:8">
      <c r="H3451" t="s">
        <v>19708</v>
      </c>
    </row>
    <row r="3452" spans="6:8">
      <c r="H3452" t="s">
        <v>20107</v>
      </c>
    </row>
    <row r="3453" spans="6:8">
      <c r="H3453" t="s">
        <v>20108</v>
      </c>
    </row>
    <row r="3454" spans="6:8">
      <c r="H3454" t="s">
        <v>19713</v>
      </c>
    </row>
    <row r="3455" spans="6:8">
      <c r="H3455" t="s">
        <v>19714</v>
      </c>
    </row>
    <row r="3456" spans="6:8">
      <c r="H3456" t="s">
        <v>20109</v>
      </c>
    </row>
    <row r="3457" spans="6:8">
      <c r="H3457" t="s">
        <v>20110</v>
      </c>
    </row>
    <row r="3458" spans="6:8">
      <c r="H3458" t="s">
        <v>20092</v>
      </c>
    </row>
    <row r="3459" spans="6:8">
      <c r="H3459" t="s">
        <v>20095</v>
      </c>
    </row>
    <row r="3460" spans="6:8">
      <c r="H3460" t="s">
        <v>20096</v>
      </c>
    </row>
    <row r="3461" spans="6:8">
      <c r="H3461" t="s">
        <v>20097</v>
      </c>
    </row>
    <row r="3462" spans="6:8">
      <c r="H3462" t="s">
        <v>20098</v>
      </c>
    </row>
    <row r="3463" spans="6:8">
      <c r="F3463" t="s">
        <v>11252</v>
      </c>
      <c r="G3463" t="s">
        <v>15234</v>
      </c>
      <c r="H3463" t="s">
        <v>20091</v>
      </c>
    </row>
    <row r="3464" spans="6:8">
      <c r="H3464" t="s">
        <v>19712</v>
      </c>
    </row>
    <row r="3465" spans="6:8">
      <c r="H3465" t="s">
        <v>19709</v>
      </c>
    </row>
    <row r="3466" spans="6:8">
      <c r="H3466" t="s">
        <v>19706</v>
      </c>
    </row>
    <row r="3467" spans="6:8">
      <c r="H3467" t="s">
        <v>19707</v>
      </c>
    </row>
    <row r="3468" spans="6:8">
      <c r="H3468" t="s">
        <v>19711</v>
      </c>
    </row>
    <row r="3469" spans="6:8">
      <c r="H3469" t="s">
        <v>19708</v>
      </c>
    </row>
    <row r="3470" spans="6:8">
      <c r="H3470" t="s">
        <v>20107</v>
      </c>
    </row>
    <row r="3471" spans="6:8">
      <c r="H3471" t="s">
        <v>20108</v>
      </c>
    </row>
    <row r="3472" spans="6:8">
      <c r="H3472" t="s">
        <v>19713</v>
      </c>
    </row>
    <row r="3473" spans="6:8">
      <c r="H3473" t="s">
        <v>19714</v>
      </c>
    </row>
    <row r="3474" spans="6:8">
      <c r="H3474" t="s">
        <v>20109</v>
      </c>
    </row>
    <row r="3475" spans="6:8">
      <c r="H3475" t="s">
        <v>20110</v>
      </c>
    </row>
    <row r="3476" spans="6:8">
      <c r="H3476" t="s">
        <v>20092</v>
      </c>
    </row>
    <row r="3477" spans="6:8">
      <c r="H3477" t="s">
        <v>20095</v>
      </c>
    </row>
    <row r="3478" spans="6:8">
      <c r="H3478" t="s">
        <v>20096</v>
      </c>
    </row>
    <row r="3479" spans="6:8">
      <c r="H3479" t="s">
        <v>20097</v>
      </c>
    </row>
    <row r="3480" spans="6:8">
      <c r="H3480" t="s">
        <v>20098</v>
      </c>
    </row>
    <row r="3481" spans="6:8">
      <c r="F3481" t="s">
        <v>11253</v>
      </c>
      <c r="G3481" t="s">
        <v>15235</v>
      </c>
      <c r="H3481" t="s">
        <v>20091</v>
      </c>
    </row>
    <row r="3482" spans="6:8">
      <c r="H3482" t="s">
        <v>19712</v>
      </c>
    </row>
    <row r="3483" spans="6:8">
      <c r="H3483" t="s">
        <v>19709</v>
      </c>
    </row>
    <row r="3484" spans="6:8">
      <c r="H3484" t="s">
        <v>19706</v>
      </c>
    </row>
    <row r="3485" spans="6:8">
      <c r="H3485" t="s">
        <v>20107</v>
      </c>
    </row>
    <row r="3486" spans="6:8">
      <c r="H3486" t="s">
        <v>20108</v>
      </c>
    </row>
    <row r="3487" spans="6:8">
      <c r="H3487" t="s">
        <v>19713</v>
      </c>
    </row>
    <row r="3488" spans="6:8">
      <c r="H3488" t="s">
        <v>19714</v>
      </c>
    </row>
    <row r="3489" spans="6:8">
      <c r="H3489" t="s">
        <v>20109</v>
      </c>
    </row>
    <row r="3490" spans="6:8">
      <c r="H3490" t="s">
        <v>20110</v>
      </c>
    </row>
    <row r="3491" spans="6:8">
      <c r="H3491" t="s">
        <v>20111</v>
      </c>
    </row>
    <row r="3492" spans="6:8">
      <c r="H3492" t="s">
        <v>20096</v>
      </c>
    </row>
    <row r="3493" spans="6:8">
      <c r="H3493" t="s">
        <v>20097</v>
      </c>
    </row>
    <row r="3494" spans="6:8">
      <c r="H3494" t="s">
        <v>20098</v>
      </c>
    </row>
    <row r="3495" spans="6:8">
      <c r="H3495" t="s">
        <v>20099</v>
      </c>
    </row>
    <row r="3496" spans="6:8">
      <c r="F3496" t="s">
        <v>11254</v>
      </c>
      <c r="G3496" t="s">
        <v>15236</v>
      </c>
      <c r="H3496" t="s">
        <v>20091</v>
      </c>
    </row>
    <row r="3497" spans="6:8">
      <c r="H3497" t="s">
        <v>19712</v>
      </c>
    </row>
    <row r="3498" spans="6:8">
      <c r="H3498" t="s">
        <v>19709</v>
      </c>
    </row>
    <row r="3499" spans="6:8">
      <c r="H3499" t="s">
        <v>19706</v>
      </c>
    </row>
    <row r="3500" spans="6:8">
      <c r="H3500" t="s">
        <v>20107</v>
      </c>
    </row>
    <row r="3501" spans="6:8">
      <c r="H3501" t="s">
        <v>20108</v>
      </c>
    </row>
    <row r="3502" spans="6:8">
      <c r="H3502" t="s">
        <v>19713</v>
      </c>
    </row>
    <row r="3503" spans="6:8">
      <c r="H3503" t="s">
        <v>19714</v>
      </c>
    </row>
    <row r="3504" spans="6:8">
      <c r="H3504" t="s">
        <v>20109</v>
      </c>
    </row>
    <row r="3505" spans="6:8">
      <c r="H3505" t="s">
        <v>20110</v>
      </c>
    </row>
    <row r="3506" spans="6:8">
      <c r="H3506" t="s">
        <v>20096</v>
      </c>
    </row>
    <row r="3507" spans="6:8">
      <c r="H3507" t="s">
        <v>20097</v>
      </c>
    </row>
    <row r="3508" spans="6:8">
      <c r="H3508" t="s">
        <v>20098</v>
      </c>
    </row>
    <row r="3509" spans="6:8">
      <c r="H3509" t="s">
        <v>20099</v>
      </c>
    </row>
    <row r="3510" spans="6:8">
      <c r="F3510" t="s">
        <v>11255</v>
      </c>
      <c r="G3510" t="s">
        <v>15237</v>
      </c>
      <c r="H3510" t="s">
        <v>20091</v>
      </c>
    </row>
    <row r="3511" spans="6:8">
      <c r="H3511" t="s">
        <v>19712</v>
      </c>
    </row>
    <row r="3512" spans="6:8">
      <c r="H3512" t="s">
        <v>19709</v>
      </c>
    </row>
    <row r="3513" spans="6:8">
      <c r="H3513" t="s">
        <v>19706</v>
      </c>
    </row>
    <row r="3514" spans="6:8">
      <c r="H3514" t="s">
        <v>20107</v>
      </c>
    </row>
    <row r="3515" spans="6:8">
      <c r="H3515" t="s">
        <v>20108</v>
      </c>
    </row>
    <row r="3516" spans="6:8">
      <c r="H3516" t="s">
        <v>19713</v>
      </c>
    </row>
    <row r="3517" spans="6:8">
      <c r="H3517" t="s">
        <v>19714</v>
      </c>
    </row>
    <row r="3518" spans="6:8">
      <c r="H3518" t="s">
        <v>20109</v>
      </c>
    </row>
    <row r="3519" spans="6:8">
      <c r="H3519" t="s">
        <v>20110</v>
      </c>
    </row>
    <row r="3520" spans="6:8">
      <c r="H3520" t="s">
        <v>20095</v>
      </c>
    </row>
    <row r="3521" spans="6:8">
      <c r="H3521" t="s">
        <v>20096</v>
      </c>
    </row>
    <row r="3522" spans="6:8">
      <c r="H3522" t="s">
        <v>20097</v>
      </c>
    </row>
    <row r="3523" spans="6:8">
      <c r="H3523" t="s">
        <v>20098</v>
      </c>
    </row>
    <row r="3524" spans="6:8">
      <c r="F3524" t="s">
        <v>11256</v>
      </c>
      <c r="G3524" t="s">
        <v>15597</v>
      </c>
      <c r="H3524" t="s">
        <v>20091</v>
      </c>
    </row>
    <row r="3525" spans="6:8">
      <c r="H3525" t="s">
        <v>19712</v>
      </c>
    </row>
    <row r="3526" spans="6:8">
      <c r="H3526" t="s">
        <v>19709</v>
      </c>
    </row>
    <row r="3527" spans="6:8">
      <c r="H3527" t="s">
        <v>20092</v>
      </c>
    </row>
    <row r="3528" spans="6:8">
      <c r="H3528" t="s">
        <v>20093</v>
      </c>
    </row>
    <row r="3529" spans="6:8">
      <c r="H3529" t="s">
        <v>20095</v>
      </c>
    </row>
    <row r="3530" spans="6:8">
      <c r="H3530" t="s">
        <v>20096</v>
      </c>
    </row>
    <row r="3531" spans="6:8">
      <c r="H3531" t="s">
        <v>20097</v>
      </c>
    </row>
    <row r="3532" spans="6:8">
      <c r="H3532" t="s">
        <v>20098</v>
      </c>
    </row>
    <row r="3533" spans="6:8">
      <c r="H3533" t="s">
        <v>20099</v>
      </c>
    </row>
    <row r="3534" spans="6:8">
      <c r="H3534" t="s">
        <v>20100</v>
      </c>
    </row>
    <row r="3535" spans="6:8">
      <c r="H3535" t="s">
        <v>20101</v>
      </c>
    </row>
    <row r="3536" spans="6:8">
      <c r="H3536" t="s">
        <v>20104</v>
      </c>
    </row>
    <row r="3537" spans="6:8">
      <c r="H3537" t="s">
        <v>20105</v>
      </c>
    </row>
    <row r="3538" spans="6:8">
      <c r="H3538" t="s">
        <v>20123</v>
      </c>
    </row>
    <row r="3539" spans="6:8">
      <c r="F3539" t="s">
        <v>11257</v>
      </c>
      <c r="G3539" t="s">
        <v>15598</v>
      </c>
      <c r="H3539" t="s">
        <v>20091</v>
      </c>
    </row>
    <row r="3540" spans="6:8">
      <c r="H3540" t="s">
        <v>19712</v>
      </c>
    </row>
    <row r="3541" spans="6:8">
      <c r="H3541" t="s">
        <v>20095</v>
      </c>
    </row>
    <row r="3542" spans="6:8">
      <c r="H3542" t="s">
        <v>20096</v>
      </c>
    </row>
    <row r="3543" spans="6:8">
      <c r="H3543" t="s">
        <v>20097</v>
      </c>
    </row>
    <row r="3544" spans="6:8">
      <c r="H3544" t="s">
        <v>20098</v>
      </c>
    </row>
    <row r="3545" spans="6:8">
      <c r="H3545" t="s">
        <v>20099</v>
      </c>
    </row>
    <row r="3546" spans="6:8">
      <c r="H3546" t="s">
        <v>20100</v>
      </c>
    </row>
    <row r="3547" spans="6:8">
      <c r="H3547" t="s">
        <v>20101</v>
      </c>
    </row>
    <row r="3548" spans="6:8">
      <c r="H3548" t="s">
        <v>20102</v>
      </c>
    </row>
    <row r="3549" spans="6:8">
      <c r="H3549" t="s">
        <v>20104</v>
      </c>
    </row>
    <row r="3550" spans="6:8">
      <c r="F3550" t="s">
        <v>11258</v>
      </c>
      <c r="G3550" t="s">
        <v>15599</v>
      </c>
      <c r="H3550" t="s">
        <v>20091</v>
      </c>
    </row>
    <row r="3551" spans="6:8">
      <c r="H3551" t="s">
        <v>19712</v>
      </c>
    </row>
    <row r="3552" spans="6:8">
      <c r="H3552" t="s">
        <v>20095</v>
      </c>
    </row>
    <row r="3553" spans="6:8">
      <c r="H3553" t="s">
        <v>20096</v>
      </c>
    </row>
    <row r="3554" spans="6:8">
      <c r="H3554" t="s">
        <v>20097</v>
      </c>
    </row>
    <row r="3555" spans="6:8">
      <c r="H3555" t="s">
        <v>20098</v>
      </c>
    </row>
    <row r="3556" spans="6:8">
      <c r="H3556" t="s">
        <v>20099</v>
      </c>
    </row>
    <row r="3557" spans="6:8">
      <c r="H3557" t="s">
        <v>20100</v>
      </c>
    </row>
    <row r="3558" spans="6:8">
      <c r="H3558" t="s">
        <v>20101</v>
      </c>
    </row>
    <row r="3559" spans="6:8">
      <c r="H3559" t="s">
        <v>20102</v>
      </c>
    </row>
    <row r="3560" spans="6:8">
      <c r="H3560" t="s">
        <v>20104</v>
      </c>
    </row>
    <row r="3561" spans="6:8">
      <c r="F3561" t="s">
        <v>11259</v>
      </c>
      <c r="G3561" t="s">
        <v>15238</v>
      </c>
      <c r="H3561" t="s">
        <v>20091</v>
      </c>
    </row>
    <row r="3562" spans="6:8">
      <c r="H3562" t="s">
        <v>19712</v>
      </c>
    </row>
    <row r="3563" spans="6:8">
      <c r="H3563" t="s">
        <v>19709</v>
      </c>
    </row>
    <row r="3564" spans="6:8">
      <c r="H3564" t="s">
        <v>19706</v>
      </c>
    </row>
    <row r="3565" spans="6:8">
      <c r="H3565" t="s">
        <v>20107</v>
      </c>
    </row>
    <row r="3566" spans="6:8">
      <c r="H3566" t="s">
        <v>20108</v>
      </c>
    </row>
    <row r="3567" spans="6:8">
      <c r="H3567" t="s">
        <v>19713</v>
      </c>
    </row>
    <row r="3568" spans="6:8">
      <c r="H3568" t="s">
        <v>19714</v>
      </c>
    </row>
    <row r="3569" spans="6:8">
      <c r="H3569" t="s">
        <v>20109</v>
      </c>
    </row>
    <row r="3570" spans="6:8">
      <c r="H3570" t="s">
        <v>20110</v>
      </c>
    </row>
    <row r="3571" spans="6:8">
      <c r="H3571" t="s">
        <v>20095</v>
      </c>
    </row>
    <row r="3572" spans="6:8">
      <c r="H3572" t="s">
        <v>20096</v>
      </c>
    </row>
    <row r="3573" spans="6:8">
      <c r="H3573" t="s">
        <v>20097</v>
      </c>
    </row>
    <row r="3574" spans="6:8">
      <c r="H3574" t="s">
        <v>20098</v>
      </c>
    </row>
    <row r="3575" spans="6:8">
      <c r="H3575" t="s">
        <v>20099</v>
      </c>
    </row>
    <row r="3576" spans="6:8">
      <c r="F3576" t="s">
        <v>11260</v>
      </c>
      <c r="G3576" t="s">
        <v>15239</v>
      </c>
      <c r="H3576" t="s">
        <v>20091</v>
      </c>
    </row>
    <row r="3577" spans="6:8">
      <c r="H3577" t="s">
        <v>19712</v>
      </c>
    </row>
    <row r="3578" spans="6:8">
      <c r="H3578" t="s">
        <v>19709</v>
      </c>
    </row>
    <row r="3579" spans="6:8">
      <c r="H3579" t="s">
        <v>19706</v>
      </c>
    </row>
    <row r="3580" spans="6:8">
      <c r="H3580" t="s">
        <v>20107</v>
      </c>
    </row>
    <row r="3581" spans="6:8">
      <c r="H3581" t="s">
        <v>20108</v>
      </c>
    </row>
    <row r="3582" spans="6:8">
      <c r="H3582" t="s">
        <v>19713</v>
      </c>
    </row>
    <row r="3583" spans="6:8">
      <c r="H3583" t="s">
        <v>19714</v>
      </c>
    </row>
    <row r="3584" spans="6:8">
      <c r="H3584" t="s">
        <v>20109</v>
      </c>
    </row>
    <row r="3585" spans="6:8">
      <c r="H3585" t="s">
        <v>20110</v>
      </c>
    </row>
    <row r="3586" spans="6:8">
      <c r="H3586" t="s">
        <v>20096</v>
      </c>
    </row>
    <row r="3587" spans="6:8">
      <c r="H3587" t="s">
        <v>20097</v>
      </c>
    </row>
    <row r="3588" spans="6:8">
      <c r="H3588" t="s">
        <v>20098</v>
      </c>
    </row>
    <row r="3589" spans="6:8">
      <c r="H3589" t="s">
        <v>20099</v>
      </c>
    </row>
    <row r="3590" spans="6:8">
      <c r="F3590" t="s">
        <v>11261</v>
      </c>
      <c r="G3590" t="s">
        <v>15240</v>
      </c>
      <c r="H3590" t="s">
        <v>20091</v>
      </c>
    </row>
    <row r="3591" spans="6:8">
      <c r="H3591" t="s">
        <v>19712</v>
      </c>
    </row>
    <row r="3592" spans="6:8">
      <c r="H3592" t="s">
        <v>19709</v>
      </c>
    </row>
    <row r="3593" spans="6:8">
      <c r="H3593" t="s">
        <v>19706</v>
      </c>
    </row>
    <row r="3594" spans="6:8">
      <c r="H3594" t="s">
        <v>20107</v>
      </c>
    </row>
    <row r="3595" spans="6:8">
      <c r="H3595" t="s">
        <v>20108</v>
      </c>
    </row>
    <row r="3596" spans="6:8">
      <c r="H3596" t="s">
        <v>19713</v>
      </c>
    </row>
    <row r="3597" spans="6:8">
      <c r="H3597" t="s">
        <v>19714</v>
      </c>
    </row>
    <row r="3598" spans="6:8">
      <c r="H3598" t="s">
        <v>20109</v>
      </c>
    </row>
    <row r="3599" spans="6:8">
      <c r="H3599" t="s">
        <v>20110</v>
      </c>
    </row>
    <row r="3600" spans="6:8">
      <c r="H3600" t="s">
        <v>20095</v>
      </c>
    </row>
    <row r="3601" spans="6:8">
      <c r="H3601" t="s">
        <v>20096</v>
      </c>
    </row>
    <row r="3602" spans="6:8">
      <c r="H3602" t="s">
        <v>20097</v>
      </c>
    </row>
    <row r="3603" spans="6:8">
      <c r="H3603" t="s">
        <v>20098</v>
      </c>
    </row>
    <row r="3604" spans="6:8">
      <c r="H3604" t="s">
        <v>20099</v>
      </c>
    </row>
    <row r="3605" spans="6:8">
      <c r="H3605" t="s">
        <v>20100</v>
      </c>
    </row>
    <row r="3606" spans="6:8">
      <c r="F3606" t="s">
        <v>11262</v>
      </c>
      <c r="G3606" t="s">
        <v>15600</v>
      </c>
      <c r="H3606" t="s">
        <v>20091</v>
      </c>
    </row>
    <row r="3607" spans="6:8">
      <c r="H3607" t="s">
        <v>20095</v>
      </c>
    </row>
    <row r="3608" spans="6:8">
      <c r="H3608" t="s">
        <v>20096</v>
      </c>
    </row>
    <row r="3609" spans="6:8">
      <c r="H3609" t="s">
        <v>20097</v>
      </c>
    </row>
    <row r="3610" spans="6:8">
      <c r="F3610" t="s">
        <v>11263</v>
      </c>
      <c r="G3610" t="s">
        <v>15601</v>
      </c>
      <c r="H3610" t="s">
        <v>20091</v>
      </c>
    </row>
    <row r="3611" spans="6:8">
      <c r="H3611" t="s">
        <v>20095</v>
      </c>
    </row>
    <row r="3612" spans="6:8">
      <c r="H3612" t="s">
        <v>20096</v>
      </c>
    </row>
    <row r="3613" spans="6:8">
      <c r="H3613" t="s">
        <v>20097</v>
      </c>
    </row>
    <row r="3614" spans="6:8">
      <c r="F3614" t="s">
        <v>11264</v>
      </c>
      <c r="G3614" t="s">
        <v>15241</v>
      </c>
      <c r="H3614" t="s">
        <v>20091</v>
      </c>
    </row>
    <row r="3615" spans="6:8">
      <c r="H3615" t="s">
        <v>19712</v>
      </c>
    </row>
    <row r="3616" spans="6:8">
      <c r="H3616" t="s">
        <v>19709</v>
      </c>
    </row>
    <row r="3617" spans="8:8">
      <c r="H3617" t="s">
        <v>19706</v>
      </c>
    </row>
    <row r="3618" spans="8:8">
      <c r="H3618" t="s">
        <v>19707</v>
      </c>
    </row>
    <row r="3619" spans="8:8">
      <c r="H3619" t="s">
        <v>19711</v>
      </c>
    </row>
    <row r="3620" spans="8:8">
      <c r="H3620" t="s">
        <v>19708</v>
      </c>
    </row>
    <row r="3621" spans="8:8">
      <c r="H3621" t="s">
        <v>20107</v>
      </c>
    </row>
    <row r="3622" spans="8:8">
      <c r="H3622" t="s">
        <v>20108</v>
      </c>
    </row>
    <row r="3623" spans="8:8">
      <c r="H3623" t="s">
        <v>19713</v>
      </c>
    </row>
    <row r="3624" spans="8:8">
      <c r="H3624" t="s">
        <v>19714</v>
      </c>
    </row>
    <row r="3625" spans="8:8">
      <c r="H3625" t="s">
        <v>20109</v>
      </c>
    </row>
    <row r="3626" spans="8:8">
      <c r="H3626" t="s">
        <v>20095</v>
      </c>
    </row>
    <row r="3627" spans="8:8">
      <c r="H3627" t="s">
        <v>20096</v>
      </c>
    </row>
    <row r="3628" spans="8:8">
      <c r="H3628" t="s">
        <v>20097</v>
      </c>
    </row>
    <row r="3629" spans="8:8">
      <c r="H3629" t="s">
        <v>20098</v>
      </c>
    </row>
    <row r="3630" spans="8:8">
      <c r="H3630" t="s">
        <v>20099</v>
      </c>
    </row>
    <row r="3631" spans="8:8">
      <c r="H3631" t="s">
        <v>20100</v>
      </c>
    </row>
    <row r="3632" spans="8:8">
      <c r="H3632" t="s">
        <v>20101</v>
      </c>
    </row>
    <row r="3633" spans="6:8">
      <c r="F3633" t="s">
        <v>11265</v>
      </c>
      <c r="G3633" t="s">
        <v>15242</v>
      </c>
      <c r="H3633" t="s">
        <v>20091</v>
      </c>
    </row>
    <row r="3634" spans="6:8">
      <c r="H3634" t="s">
        <v>19712</v>
      </c>
    </row>
    <row r="3635" spans="6:8">
      <c r="H3635" t="s">
        <v>19709</v>
      </c>
    </row>
    <row r="3636" spans="6:8">
      <c r="H3636" t="s">
        <v>20107</v>
      </c>
    </row>
    <row r="3637" spans="6:8">
      <c r="H3637" t="s">
        <v>20108</v>
      </c>
    </row>
    <row r="3638" spans="6:8">
      <c r="H3638" t="s">
        <v>19713</v>
      </c>
    </row>
    <row r="3639" spans="6:8">
      <c r="H3639" t="s">
        <v>19714</v>
      </c>
    </row>
    <row r="3640" spans="6:8">
      <c r="H3640" t="s">
        <v>20109</v>
      </c>
    </row>
    <row r="3641" spans="6:8">
      <c r="H3641" t="s">
        <v>20110</v>
      </c>
    </row>
    <row r="3642" spans="6:8">
      <c r="H3642" t="s">
        <v>20095</v>
      </c>
    </row>
    <row r="3643" spans="6:8">
      <c r="H3643" t="s">
        <v>20096</v>
      </c>
    </row>
    <row r="3644" spans="6:8">
      <c r="H3644" t="s">
        <v>20097</v>
      </c>
    </row>
    <row r="3645" spans="6:8">
      <c r="H3645" t="s">
        <v>20098</v>
      </c>
    </row>
    <row r="3646" spans="6:8">
      <c r="H3646" t="s">
        <v>20099</v>
      </c>
    </row>
    <row r="3647" spans="6:8">
      <c r="H3647" t="s">
        <v>20100</v>
      </c>
    </row>
    <row r="3648" spans="6:8">
      <c r="F3648" t="s">
        <v>11266</v>
      </c>
      <c r="G3648" t="s">
        <v>15243</v>
      </c>
      <c r="H3648" t="s">
        <v>20091</v>
      </c>
    </row>
    <row r="3649" spans="6:8">
      <c r="H3649" t="s">
        <v>19712</v>
      </c>
    </row>
    <row r="3650" spans="6:8">
      <c r="H3650" t="s">
        <v>19709</v>
      </c>
    </row>
    <row r="3651" spans="6:8">
      <c r="H3651" t="s">
        <v>19706</v>
      </c>
    </row>
    <row r="3652" spans="6:8">
      <c r="H3652" t="s">
        <v>20107</v>
      </c>
    </row>
    <row r="3653" spans="6:8">
      <c r="H3653" t="s">
        <v>20108</v>
      </c>
    </row>
    <row r="3654" spans="6:8">
      <c r="H3654" t="s">
        <v>19713</v>
      </c>
    </row>
    <row r="3655" spans="6:8">
      <c r="H3655" t="s">
        <v>19714</v>
      </c>
    </row>
    <row r="3656" spans="6:8">
      <c r="H3656" t="s">
        <v>20109</v>
      </c>
    </row>
    <row r="3657" spans="6:8">
      <c r="H3657" t="s">
        <v>20095</v>
      </c>
    </row>
    <row r="3658" spans="6:8">
      <c r="H3658" t="s">
        <v>20096</v>
      </c>
    </row>
    <row r="3659" spans="6:8">
      <c r="H3659" t="s">
        <v>20097</v>
      </c>
    </row>
    <row r="3660" spans="6:8">
      <c r="H3660" t="s">
        <v>20098</v>
      </c>
    </row>
    <row r="3661" spans="6:8">
      <c r="H3661" t="s">
        <v>20100</v>
      </c>
    </row>
    <row r="3662" spans="6:8">
      <c r="H3662" t="s">
        <v>20101</v>
      </c>
    </row>
    <row r="3663" spans="6:8">
      <c r="H3663" t="s">
        <v>20102</v>
      </c>
    </row>
    <row r="3664" spans="6:8">
      <c r="F3664" t="s">
        <v>11267</v>
      </c>
      <c r="G3664" t="s">
        <v>15244</v>
      </c>
      <c r="H3664" t="s">
        <v>20091</v>
      </c>
    </row>
    <row r="3665" spans="6:8">
      <c r="H3665" t="s">
        <v>19712</v>
      </c>
    </row>
    <row r="3666" spans="6:8">
      <c r="H3666" t="s">
        <v>19709</v>
      </c>
    </row>
    <row r="3667" spans="6:8">
      <c r="H3667" t="s">
        <v>20107</v>
      </c>
    </row>
    <row r="3668" spans="6:8">
      <c r="H3668" t="s">
        <v>20108</v>
      </c>
    </row>
    <row r="3669" spans="6:8">
      <c r="H3669" t="s">
        <v>19713</v>
      </c>
    </row>
    <row r="3670" spans="6:8">
      <c r="H3670" t="s">
        <v>20095</v>
      </c>
    </row>
    <row r="3671" spans="6:8">
      <c r="H3671" t="s">
        <v>20096</v>
      </c>
    </row>
    <row r="3672" spans="6:8">
      <c r="H3672" t="s">
        <v>20097</v>
      </c>
    </row>
    <row r="3673" spans="6:8">
      <c r="H3673" t="s">
        <v>20098</v>
      </c>
    </row>
    <row r="3674" spans="6:8">
      <c r="H3674" t="s">
        <v>20099</v>
      </c>
    </row>
    <row r="3675" spans="6:8">
      <c r="H3675" t="s">
        <v>20100</v>
      </c>
    </row>
    <row r="3676" spans="6:8">
      <c r="H3676" t="s">
        <v>20101</v>
      </c>
    </row>
    <row r="3677" spans="6:8">
      <c r="F3677" t="s">
        <v>11268</v>
      </c>
      <c r="G3677" t="s">
        <v>15245</v>
      </c>
      <c r="H3677" t="s">
        <v>20091</v>
      </c>
    </row>
    <row r="3678" spans="6:8">
      <c r="H3678" t="s">
        <v>19712</v>
      </c>
    </row>
    <row r="3679" spans="6:8">
      <c r="H3679" t="s">
        <v>19709</v>
      </c>
    </row>
    <row r="3680" spans="6:8">
      <c r="H3680" t="s">
        <v>19706</v>
      </c>
    </row>
    <row r="3681" spans="6:8">
      <c r="H3681" t="s">
        <v>20107</v>
      </c>
    </row>
    <row r="3682" spans="6:8">
      <c r="H3682" t="s">
        <v>20108</v>
      </c>
    </row>
    <row r="3683" spans="6:8">
      <c r="H3683" t="s">
        <v>19713</v>
      </c>
    </row>
    <row r="3684" spans="6:8">
      <c r="H3684" t="s">
        <v>19714</v>
      </c>
    </row>
    <row r="3685" spans="6:8">
      <c r="H3685" t="s">
        <v>20109</v>
      </c>
    </row>
    <row r="3686" spans="6:8">
      <c r="H3686" t="s">
        <v>20095</v>
      </c>
    </row>
    <row r="3687" spans="6:8">
      <c r="H3687" t="s">
        <v>20096</v>
      </c>
    </row>
    <row r="3688" spans="6:8">
      <c r="H3688" t="s">
        <v>20097</v>
      </c>
    </row>
    <row r="3689" spans="6:8">
      <c r="H3689" t="s">
        <v>20098</v>
      </c>
    </row>
    <row r="3690" spans="6:8">
      <c r="H3690" t="s">
        <v>20099</v>
      </c>
    </row>
    <row r="3691" spans="6:8">
      <c r="H3691" t="s">
        <v>20100</v>
      </c>
    </row>
    <row r="3692" spans="6:8">
      <c r="H3692" t="s">
        <v>20101</v>
      </c>
    </row>
    <row r="3693" spans="6:8">
      <c r="F3693" t="s">
        <v>11269</v>
      </c>
      <c r="G3693" t="s">
        <v>15246</v>
      </c>
      <c r="H3693" t="s">
        <v>20091</v>
      </c>
    </row>
    <row r="3694" spans="6:8">
      <c r="H3694" t="s">
        <v>19712</v>
      </c>
    </row>
    <row r="3695" spans="6:8">
      <c r="H3695" t="s">
        <v>19709</v>
      </c>
    </row>
    <row r="3696" spans="6:8">
      <c r="H3696" t="s">
        <v>20107</v>
      </c>
    </row>
    <row r="3697" spans="6:8">
      <c r="H3697" t="s">
        <v>20108</v>
      </c>
    </row>
    <row r="3698" spans="6:8">
      <c r="H3698" t="s">
        <v>19713</v>
      </c>
    </row>
    <row r="3699" spans="6:8">
      <c r="H3699" t="s">
        <v>20095</v>
      </c>
    </row>
    <row r="3700" spans="6:8">
      <c r="H3700" t="s">
        <v>20096</v>
      </c>
    </row>
    <row r="3701" spans="6:8">
      <c r="H3701" t="s">
        <v>20097</v>
      </c>
    </row>
    <row r="3702" spans="6:8">
      <c r="H3702" t="s">
        <v>20098</v>
      </c>
    </row>
    <row r="3703" spans="6:8">
      <c r="H3703" t="s">
        <v>20099</v>
      </c>
    </row>
    <row r="3704" spans="6:8">
      <c r="H3704" t="s">
        <v>20100</v>
      </c>
    </row>
    <row r="3705" spans="6:8">
      <c r="H3705" t="s">
        <v>20101</v>
      </c>
    </row>
    <row r="3706" spans="6:8">
      <c r="F3706" t="s">
        <v>11270</v>
      </c>
      <c r="G3706" t="s">
        <v>15247</v>
      </c>
      <c r="H3706" t="s">
        <v>20091</v>
      </c>
    </row>
    <row r="3707" spans="6:8">
      <c r="H3707" t="s">
        <v>19712</v>
      </c>
    </row>
    <row r="3708" spans="6:8">
      <c r="H3708" t="s">
        <v>19709</v>
      </c>
    </row>
    <row r="3709" spans="6:8">
      <c r="H3709" t="s">
        <v>19706</v>
      </c>
    </row>
    <row r="3710" spans="6:8">
      <c r="H3710" t="s">
        <v>20107</v>
      </c>
    </row>
    <row r="3711" spans="6:8">
      <c r="H3711" t="s">
        <v>20108</v>
      </c>
    </row>
    <row r="3712" spans="6:8">
      <c r="H3712" t="s">
        <v>19713</v>
      </c>
    </row>
    <row r="3713" spans="6:8">
      <c r="H3713" t="s">
        <v>19714</v>
      </c>
    </row>
    <row r="3714" spans="6:8">
      <c r="H3714" t="s">
        <v>20109</v>
      </c>
    </row>
    <row r="3715" spans="6:8">
      <c r="H3715" t="s">
        <v>20095</v>
      </c>
    </row>
    <row r="3716" spans="6:8">
      <c r="H3716" t="s">
        <v>20096</v>
      </c>
    </row>
    <row r="3717" spans="6:8">
      <c r="H3717" t="s">
        <v>20097</v>
      </c>
    </row>
    <row r="3718" spans="6:8">
      <c r="H3718" t="s">
        <v>20098</v>
      </c>
    </row>
    <row r="3719" spans="6:8">
      <c r="H3719" t="s">
        <v>20099</v>
      </c>
    </row>
    <row r="3720" spans="6:8">
      <c r="H3720" t="s">
        <v>20100</v>
      </c>
    </row>
    <row r="3721" spans="6:8">
      <c r="H3721" t="s">
        <v>20101</v>
      </c>
    </row>
    <row r="3722" spans="6:8">
      <c r="F3722" t="s">
        <v>11271</v>
      </c>
      <c r="G3722" t="s">
        <v>15248</v>
      </c>
      <c r="H3722" t="s">
        <v>20091</v>
      </c>
    </row>
    <row r="3723" spans="6:8">
      <c r="H3723" t="s">
        <v>19712</v>
      </c>
    </row>
    <row r="3724" spans="6:8">
      <c r="H3724" t="s">
        <v>19709</v>
      </c>
    </row>
    <row r="3725" spans="6:8">
      <c r="H3725" t="s">
        <v>20107</v>
      </c>
    </row>
    <row r="3726" spans="6:8">
      <c r="H3726" t="s">
        <v>20108</v>
      </c>
    </row>
    <row r="3727" spans="6:8">
      <c r="H3727" t="s">
        <v>19713</v>
      </c>
    </row>
    <row r="3728" spans="6:8">
      <c r="H3728" t="s">
        <v>20095</v>
      </c>
    </row>
    <row r="3729" spans="6:8">
      <c r="H3729" t="s">
        <v>20096</v>
      </c>
    </row>
    <row r="3730" spans="6:8">
      <c r="H3730" t="s">
        <v>20097</v>
      </c>
    </row>
    <row r="3731" spans="6:8">
      <c r="H3731" t="s">
        <v>20098</v>
      </c>
    </row>
    <row r="3732" spans="6:8">
      <c r="H3732" t="s">
        <v>20099</v>
      </c>
    </row>
    <row r="3733" spans="6:8">
      <c r="H3733" t="s">
        <v>20100</v>
      </c>
    </row>
    <row r="3734" spans="6:8">
      <c r="H3734" t="s">
        <v>20101</v>
      </c>
    </row>
    <row r="3735" spans="6:8">
      <c r="F3735" t="s">
        <v>11272</v>
      </c>
      <c r="G3735" t="s">
        <v>15249</v>
      </c>
      <c r="H3735" t="s">
        <v>20091</v>
      </c>
    </row>
    <row r="3736" spans="6:8">
      <c r="H3736" t="s">
        <v>19712</v>
      </c>
    </row>
    <row r="3737" spans="6:8">
      <c r="H3737" t="s">
        <v>19709</v>
      </c>
    </row>
    <row r="3738" spans="6:8">
      <c r="H3738" t="s">
        <v>19706</v>
      </c>
    </row>
    <row r="3739" spans="6:8">
      <c r="H3739" t="s">
        <v>20107</v>
      </c>
    </row>
    <row r="3740" spans="6:8">
      <c r="H3740" t="s">
        <v>20108</v>
      </c>
    </row>
    <row r="3741" spans="6:8">
      <c r="H3741" t="s">
        <v>19713</v>
      </c>
    </row>
    <row r="3742" spans="6:8">
      <c r="H3742" t="s">
        <v>19714</v>
      </c>
    </row>
    <row r="3743" spans="6:8">
      <c r="H3743" t="s">
        <v>20109</v>
      </c>
    </row>
    <row r="3744" spans="6:8">
      <c r="H3744" t="s">
        <v>20095</v>
      </c>
    </row>
    <row r="3745" spans="6:8">
      <c r="H3745" t="s">
        <v>20096</v>
      </c>
    </row>
    <row r="3746" spans="6:8">
      <c r="H3746" t="s">
        <v>20097</v>
      </c>
    </row>
    <row r="3747" spans="6:8">
      <c r="H3747" t="s">
        <v>20098</v>
      </c>
    </row>
    <row r="3748" spans="6:8">
      <c r="H3748" t="s">
        <v>20099</v>
      </c>
    </row>
    <row r="3749" spans="6:8">
      <c r="H3749" t="s">
        <v>20100</v>
      </c>
    </row>
    <row r="3750" spans="6:8">
      <c r="H3750" t="s">
        <v>20101</v>
      </c>
    </row>
    <row r="3751" spans="6:8">
      <c r="F3751" t="s">
        <v>11273</v>
      </c>
      <c r="G3751" t="s">
        <v>15250</v>
      </c>
      <c r="H3751" t="s">
        <v>20091</v>
      </c>
    </row>
    <row r="3752" spans="6:8">
      <c r="H3752" t="s">
        <v>19712</v>
      </c>
    </row>
    <row r="3753" spans="6:8">
      <c r="H3753" t="s">
        <v>19709</v>
      </c>
    </row>
    <row r="3754" spans="6:8">
      <c r="H3754" t="s">
        <v>20107</v>
      </c>
    </row>
    <row r="3755" spans="6:8">
      <c r="H3755" t="s">
        <v>20108</v>
      </c>
    </row>
    <row r="3756" spans="6:8">
      <c r="H3756" t="s">
        <v>19713</v>
      </c>
    </row>
    <row r="3757" spans="6:8">
      <c r="H3757" t="s">
        <v>20095</v>
      </c>
    </row>
    <row r="3758" spans="6:8">
      <c r="H3758" t="s">
        <v>20096</v>
      </c>
    </row>
    <row r="3759" spans="6:8">
      <c r="H3759" t="s">
        <v>20097</v>
      </c>
    </row>
    <row r="3760" spans="6:8">
      <c r="H3760" t="s">
        <v>20098</v>
      </c>
    </row>
    <row r="3761" spans="6:8">
      <c r="H3761" t="s">
        <v>20099</v>
      </c>
    </row>
    <row r="3762" spans="6:8">
      <c r="H3762" t="s">
        <v>20100</v>
      </c>
    </row>
    <row r="3763" spans="6:8">
      <c r="H3763" t="s">
        <v>20101</v>
      </c>
    </row>
    <row r="3764" spans="6:8">
      <c r="F3764" t="s">
        <v>11274</v>
      </c>
      <c r="G3764" t="s">
        <v>15251</v>
      </c>
      <c r="H3764" t="s">
        <v>20091</v>
      </c>
    </row>
    <row r="3765" spans="6:8">
      <c r="H3765" t="s">
        <v>19712</v>
      </c>
    </row>
    <row r="3766" spans="6:8">
      <c r="H3766" t="s">
        <v>19709</v>
      </c>
    </row>
    <row r="3767" spans="6:8">
      <c r="H3767" t="s">
        <v>19706</v>
      </c>
    </row>
    <row r="3768" spans="6:8">
      <c r="H3768" t="s">
        <v>19707</v>
      </c>
    </row>
    <row r="3769" spans="6:8">
      <c r="H3769" t="s">
        <v>19711</v>
      </c>
    </row>
    <row r="3770" spans="6:8">
      <c r="H3770" t="s">
        <v>19708</v>
      </c>
    </row>
    <row r="3771" spans="6:8">
      <c r="H3771" t="s">
        <v>20107</v>
      </c>
    </row>
    <row r="3772" spans="6:8">
      <c r="H3772" t="s">
        <v>20108</v>
      </c>
    </row>
    <row r="3773" spans="6:8">
      <c r="H3773" t="s">
        <v>19713</v>
      </c>
    </row>
    <row r="3774" spans="6:8">
      <c r="H3774" t="s">
        <v>19714</v>
      </c>
    </row>
    <row r="3775" spans="6:8">
      <c r="H3775" t="s">
        <v>20109</v>
      </c>
    </row>
    <row r="3776" spans="6:8">
      <c r="H3776" t="s">
        <v>20095</v>
      </c>
    </row>
    <row r="3777" spans="6:8">
      <c r="H3777" t="s">
        <v>20096</v>
      </c>
    </row>
    <row r="3778" spans="6:8">
      <c r="H3778" t="s">
        <v>20097</v>
      </c>
    </row>
    <row r="3779" spans="6:8">
      <c r="H3779" t="s">
        <v>20098</v>
      </c>
    </row>
    <row r="3780" spans="6:8">
      <c r="H3780" t="s">
        <v>20099</v>
      </c>
    </row>
    <row r="3781" spans="6:8">
      <c r="H3781" t="s">
        <v>20100</v>
      </c>
    </row>
    <row r="3782" spans="6:8">
      <c r="H3782" t="s">
        <v>20101</v>
      </c>
    </row>
    <row r="3783" spans="6:8">
      <c r="F3783" t="s">
        <v>11275</v>
      </c>
      <c r="G3783" t="s">
        <v>15252</v>
      </c>
      <c r="H3783" t="s">
        <v>20091</v>
      </c>
    </row>
    <row r="3784" spans="6:8">
      <c r="H3784" t="s">
        <v>19712</v>
      </c>
    </row>
    <row r="3785" spans="6:8">
      <c r="H3785" t="s">
        <v>19709</v>
      </c>
    </row>
    <row r="3786" spans="6:8">
      <c r="H3786" t="s">
        <v>19706</v>
      </c>
    </row>
    <row r="3787" spans="6:8">
      <c r="H3787" t="s">
        <v>20107</v>
      </c>
    </row>
    <row r="3788" spans="6:8">
      <c r="H3788" t="s">
        <v>20108</v>
      </c>
    </row>
    <row r="3789" spans="6:8">
      <c r="H3789" t="s">
        <v>19713</v>
      </c>
    </row>
    <row r="3790" spans="6:8">
      <c r="H3790" t="s">
        <v>19714</v>
      </c>
    </row>
    <row r="3791" spans="6:8">
      <c r="H3791" t="s">
        <v>20095</v>
      </c>
    </row>
    <row r="3792" spans="6:8">
      <c r="H3792" t="s">
        <v>20096</v>
      </c>
    </row>
    <row r="3793" spans="6:8">
      <c r="H3793" t="s">
        <v>20097</v>
      </c>
    </row>
    <row r="3794" spans="6:8">
      <c r="H3794" t="s">
        <v>20099</v>
      </c>
    </row>
    <row r="3795" spans="6:8">
      <c r="H3795" t="s">
        <v>20100</v>
      </c>
    </row>
    <row r="3796" spans="6:8">
      <c r="H3796" t="s">
        <v>20101</v>
      </c>
    </row>
    <row r="3797" spans="6:8">
      <c r="F3797" t="s">
        <v>11276</v>
      </c>
      <c r="G3797" t="s">
        <v>15602</v>
      </c>
      <c r="H3797" t="s">
        <v>20091</v>
      </c>
    </row>
    <row r="3798" spans="6:8">
      <c r="H3798" t="s">
        <v>19712</v>
      </c>
    </row>
    <row r="3799" spans="6:8">
      <c r="H3799" t="s">
        <v>19709</v>
      </c>
    </row>
    <row r="3800" spans="6:8">
      <c r="H3800" t="s">
        <v>20093</v>
      </c>
    </row>
    <row r="3801" spans="6:8">
      <c r="H3801" t="s">
        <v>20095</v>
      </c>
    </row>
    <row r="3802" spans="6:8">
      <c r="H3802" t="s">
        <v>20096</v>
      </c>
    </row>
    <row r="3803" spans="6:8">
      <c r="H3803" t="s">
        <v>20097</v>
      </c>
    </row>
    <row r="3804" spans="6:8">
      <c r="H3804" t="s">
        <v>20098</v>
      </c>
    </row>
    <row r="3805" spans="6:8">
      <c r="H3805" t="s">
        <v>20099</v>
      </c>
    </row>
    <row r="3806" spans="6:8">
      <c r="H3806" t="s">
        <v>20100</v>
      </c>
    </row>
    <row r="3807" spans="6:8">
      <c r="H3807" t="s">
        <v>20101</v>
      </c>
    </row>
    <row r="3808" spans="6:8">
      <c r="H3808" t="s">
        <v>20102</v>
      </c>
    </row>
    <row r="3809" spans="6:8">
      <c r="H3809" t="s">
        <v>20104</v>
      </c>
    </row>
    <row r="3810" spans="6:8">
      <c r="H3810" t="s">
        <v>20105</v>
      </c>
    </row>
    <row r="3811" spans="6:8">
      <c r="H3811" t="s">
        <v>20123</v>
      </c>
    </row>
    <row r="3812" spans="6:8">
      <c r="H3812" t="s">
        <v>20124</v>
      </c>
    </row>
    <row r="3813" spans="6:8">
      <c r="H3813" t="s">
        <v>20192</v>
      </c>
    </row>
    <row r="3814" spans="6:8">
      <c r="H3814" t="s">
        <v>20193</v>
      </c>
    </row>
    <row r="3815" spans="6:8">
      <c r="H3815" t="s">
        <v>20194</v>
      </c>
    </row>
    <row r="3816" spans="6:8">
      <c r="H3816" t="s">
        <v>19177</v>
      </c>
    </row>
    <row r="3817" spans="6:8">
      <c r="H3817" t="s">
        <v>20195</v>
      </c>
    </row>
    <row r="3818" spans="6:8">
      <c r="F3818" t="s">
        <v>11277</v>
      </c>
      <c r="G3818" t="s">
        <v>15603</v>
      </c>
      <c r="H3818" t="s">
        <v>20091</v>
      </c>
    </row>
    <row r="3819" spans="6:8">
      <c r="H3819" t="s">
        <v>19709</v>
      </c>
    </row>
    <row r="3820" spans="6:8">
      <c r="H3820" t="s">
        <v>20093</v>
      </c>
    </row>
    <row r="3821" spans="6:8">
      <c r="H3821" t="s">
        <v>20095</v>
      </c>
    </row>
    <row r="3822" spans="6:8">
      <c r="H3822" t="s">
        <v>20096</v>
      </c>
    </row>
    <row r="3823" spans="6:8">
      <c r="H3823" t="s">
        <v>20097</v>
      </c>
    </row>
    <row r="3824" spans="6:8">
      <c r="H3824" t="s">
        <v>20098</v>
      </c>
    </row>
    <row r="3825" spans="6:8">
      <c r="H3825" t="s">
        <v>20099</v>
      </c>
    </row>
    <row r="3826" spans="6:8">
      <c r="H3826" t="s">
        <v>20100</v>
      </c>
    </row>
    <row r="3827" spans="6:8">
      <c r="H3827" t="s">
        <v>20101</v>
      </c>
    </row>
    <row r="3828" spans="6:8">
      <c r="H3828" t="s">
        <v>20102</v>
      </c>
    </row>
    <row r="3829" spans="6:8">
      <c r="H3829" t="s">
        <v>20104</v>
      </c>
    </row>
    <row r="3830" spans="6:8">
      <c r="H3830" t="s">
        <v>20105</v>
      </c>
    </row>
    <row r="3831" spans="6:8">
      <c r="H3831" t="s">
        <v>20123</v>
      </c>
    </row>
    <row r="3832" spans="6:8">
      <c r="H3832" t="s">
        <v>20124</v>
      </c>
    </row>
    <row r="3833" spans="6:8">
      <c r="H3833" t="s">
        <v>20192</v>
      </c>
    </row>
    <row r="3834" spans="6:8">
      <c r="H3834" t="s">
        <v>20193</v>
      </c>
    </row>
    <row r="3835" spans="6:8">
      <c r="H3835" t="s">
        <v>20194</v>
      </c>
    </row>
    <row r="3836" spans="6:8">
      <c r="H3836" t="s">
        <v>19177</v>
      </c>
    </row>
    <row r="3837" spans="6:8">
      <c r="H3837" t="s">
        <v>20195</v>
      </c>
    </row>
    <row r="3838" spans="6:8">
      <c r="F3838" t="s">
        <v>11278</v>
      </c>
      <c r="G3838" t="s">
        <v>15604</v>
      </c>
      <c r="H3838" t="s">
        <v>20091</v>
      </c>
    </row>
    <row r="3839" spans="6:8">
      <c r="H3839" t="s">
        <v>19709</v>
      </c>
    </row>
    <row r="3840" spans="6:8">
      <c r="H3840" t="s">
        <v>20093</v>
      </c>
    </row>
    <row r="3841" spans="8:8">
      <c r="H3841" t="s">
        <v>20095</v>
      </c>
    </row>
    <row r="3842" spans="8:8">
      <c r="H3842" t="s">
        <v>20096</v>
      </c>
    </row>
    <row r="3843" spans="8:8">
      <c r="H3843" t="s">
        <v>20097</v>
      </c>
    </row>
    <row r="3844" spans="8:8">
      <c r="H3844" t="s">
        <v>20098</v>
      </c>
    </row>
    <row r="3845" spans="8:8">
      <c r="H3845" t="s">
        <v>20099</v>
      </c>
    </row>
    <row r="3846" spans="8:8">
      <c r="H3846" t="s">
        <v>20100</v>
      </c>
    </row>
    <row r="3847" spans="8:8">
      <c r="H3847" t="s">
        <v>20101</v>
      </c>
    </row>
    <row r="3848" spans="8:8">
      <c r="H3848" t="s">
        <v>20102</v>
      </c>
    </row>
    <row r="3849" spans="8:8">
      <c r="H3849" t="s">
        <v>20104</v>
      </c>
    </row>
    <row r="3850" spans="8:8">
      <c r="H3850" t="s">
        <v>20105</v>
      </c>
    </row>
    <row r="3851" spans="8:8">
      <c r="H3851" t="s">
        <v>20123</v>
      </c>
    </row>
    <row r="3852" spans="8:8">
      <c r="H3852" t="s">
        <v>20124</v>
      </c>
    </row>
    <row r="3853" spans="8:8">
      <c r="H3853" t="s">
        <v>20192</v>
      </c>
    </row>
    <row r="3854" spans="8:8">
      <c r="H3854" t="s">
        <v>20193</v>
      </c>
    </row>
    <row r="3855" spans="8:8">
      <c r="H3855" t="s">
        <v>20194</v>
      </c>
    </row>
    <row r="3856" spans="8:8">
      <c r="H3856" t="s">
        <v>19177</v>
      </c>
    </row>
    <row r="3857" spans="6:8">
      <c r="H3857" t="s">
        <v>20195</v>
      </c>
    </row>
    <row r="3858" spans="6:8">
      <c r="F3858" t="s">
        <v>11279</v>
      </c>
      <c r="G3858" t="s">
        <v>15605</v>
      </c>
      <c r="H3858" t="s">
        <v>20091</v>
      </c>
    </row>
    <row r="3859" spans="6:8">
      <c r="H3859" t="s">
        <v>19709</v>
      </c>
    </row>
    <row r="3860" spans="6:8">
      <c r="H3860" t="s">
        <v>20093</v>
      </c>
    </row>
    <row r="3861" spans="6:8">
      <c r="H3861" t="s">
        <v>20095</v>
      </c>
    </row>
    <row r="3862" spans="6:8">
      <c r="H3862" t="s">
        <v>20096</v>
      </c>
    </row>
    <row r="3863" spans="6:8">
      <c r="H3863" t="s">
        <v>20097</v>
      </c>
    </row>
    <row r="3864" spans="6:8">
      <c r="H3864" t="s">
        <v>20098</v>
      </c>
    </row>
    <row r="3865" spans="6:8">
      <c r="H3865" t="s">
        <v>20099</v>
      </c>
    </row>
    <row r="3866" spans="6:8">
      <c r="H3866" t="s">
        <v>20100</v>
      </c>
    </row>
    <row r="3867" spans="6:8">
      <c r="H3867" t="s">
        <v>20101</v>
      </c>
    </row>
    <row r="3868" spans="6:8">
      <c r="H3868" t="s">
        <v>20102</v>
      </c>
    </row>
    <row r="3869" spans="6:8">
      <c r="H3869" t="s">
        <v>20104</v>
      </c>
    </row>
    <row r="3870" spans="6:8">
      <c r="H3870" t="s">
        <v>20105</v>
      </c>
    </row>
    <row r="3871" spans="6:8">
      <c r="H3871" t="s">
        <v>20123</v>
      </c>
    </row>
    <row r="3872" spans="6:8">
      <c r="H3872" t="s">
        <v>20124</v>
      </c>
    </row>
    <row r="3873" spans="6:8">
      <c r="H3873" t="s">
        <v>20192</v>
      </c>
    </row>
    <row r="3874" spans="6:8">
      <c r="H3874" t="s">
        <v>20193</v>
      </c>
    </row>
    <row r="3875" spans="6:8">
      <c r="H3875" t="s">
        <v>20194</v>
      </c>
    </row>
    <row r="3876" spans="6:8">
      <c r="H3876" t="s">
        <v>19177</v>
      </c>
    </row>
    <row r="3877" spans="6:8">
      <c r="H3877" t="s">
        <v>20195</v>
      </c>
    </row>
    <row r="3878" spans="6:8">
      <c r="F3878" t="s">
        <v>11280</v>
      </c>
      <c r="G3878" t="s">
        <v>15606</v>
      </c>
      <c r="H3878" t="s">
        <v>20091</v>
      </c>
    </row>
    <row r="3879" spans="6:8">
      <c r="H3879" t="s">
        <v>19709</v>
      </c>
    </row>
    <row r="3880" spans="6:8">
      <c r="H3880" t="s">
        <v>20093</v>
      </c>
    </row>
    <row r="3881" spans="6:8">
      <c r="H3881" t="s">
        <v>20095</v>
      </c>
    </row>
    <row r="3882" spans="6:8">
      <c r="H3882" t="s">
        <v>20096</v>
      </c>
    </row>
    <row r="3883" spans="6:8">
      <c r="H3883" t="s">
        <v>20097</v>
      </c>
    </row>
    <row r="3884" spans="6:8">
      <c r="H3884" t="s">
        <v>20098</v>
      </c>
    </row>
    <row r="3885" spans="6:8">
      <c r="H3885" t="s">
        <v>20099</v>
      </c>
    </row>
    <row r="3886" spans="6:8">
      <c r="H3886" t="s">
        <v>20100</v>
      </c>
    </row>
    <row r="3887" spans="6:8">
      <c r="H3887" t="s">
        <v>20101</v>
      </c>
    </row>
    <row r="3888" spans="6:8">
      <c r="H3888" t="s">
        <v>20102</v>
      </c>
    </row>
    <row r="3889" spans="6:8">
      <c r="H3889" t="s">
        <v>20104</v>
      </c>
    </row>
    <row r="3890" spans="6:8">
      <c r="H3890" t="s">
        <v>20105</v>
      </c>
    </row>
    <row r="3891" spans="6:8">
      <c r="H3891" t="s">
        <v>20123</v>
      </c>
    </row>
    <row r="3892" spans="6:8">
      <c r="H3892" t="s">
        <v>20124</v>
      </c>
    </row>
    <row r="3893" spans="6:8">
      <c r="H3893" t="s">
        <v>20192</v>
      </c>
    </row>
    <row r="3894" spans="6:8">
      <c r="H3894" t="s">
        <v>20193</v>
      </c>
    </row>
    <row r="3895" spans="6:8">
      <c r="H3895" t="s">
        <v>20194</v>
      </c>
    </row>
    <row r="3896" spans="6:8">
      <c r="H3896" t="s">
        <v>19177</v>
      </c>
    </row>
    <row r="3897" spans="6:8">
      <c r="H3897" t="s">
        <v>20196</v>
      </c>
    </row>
    <row r="3898" spans="6:8">
      <c r="H3898" t="s">
        <v>20195</v>
      </c>
    </row>
    <row r="3899" spans="6:8">
      <c r="F3899" t="s">
        <v>11281</v>
      </c>
      <c r="G3899" t="s">
        <v>15607</v>
      </c>
      <c r="H3899" t="s">
        <v>20091</v>
      </c>
    </row>
    <row r="3900" spans="6:8">
      <c r="H3900" t="s">
        <v>19709</v>
      </c>
    </row>
    <row r="3901" spans="6:8">
      <c r="H3901" t="s">
        <v>20093</v>
      </c>
    </row>
    <row r="3902" spans="6:8">
      <c r="H3902" t="s">
        <v>20095</v>
      </c>
    </row>
    <row r="3903" spans="6:8">
      <c r="H3903" t="s">
        <v>20096</v>
      </c>
    </row>
    <row r="3904" spans="6:8">
      <c r="H3904" t="s">
        <v>20097</v>
      </c>
    </row>
    <row r="3905" spans="6:8">
      <c r="H3905" t="s">
        <v>20098</v>
      </c>
    </row>
    <row r="3906" spans="6:8">
      <c r="H3906" t="s">
        <v>20099</v>
      </c>
    </row>
    <row r="3907" spans="6:8">
      <c r="H3907" t="s">
        <v>20100</v>
      </c>
    </row>
    <row r="3908" spans="6:8">
      <c r="H3908" t="s">
        <v>20101</v>
      </c>
    </row>
    <row r="3909" spans="6:8">
      <c r="H3909" t="s">
        <v>20102</v>
      </c>
    </row>
    <row r="3910" spans="6:8">
      <c r="H3910" t="s">
        <v>20104</v>
      </c>
    </row>
    <row r="3911" spans="6:8">
      <c r="H3911" t="s">
        <v>20105</v>
      </c>
    </row>
    <row r="3912" spans="6:8">
      <c r="H3912" t="s">
        <v>20123</v>
      </c>
    </row>
    <row r="3913" spans="6:8">
      <c r="H3913" t="s">
        <v>20124</v>
      </c>
    </row>
    <row r="3914" spans="6:8">
      <c r="H3914" t="s">
        <v>20192</v>
      </c>
    </row>
    <row r="3915" spans="6:8">
      <c r="H3915" t="s">
        <v>20193</v>
      </c>
    </row>
    <row r="3916" spans="6:8">
      <c r="H3916" t="s">
        <v>20194</v>
      </c>
    </row>
    <row r="3917" spans="6:8">
      <c r="H3917" t="s">
        <v>19177</v>
      </c>
    </row>
    <row r="3918" spans="6:8">
      <c r="H3918" t="s">
        <v>20195</v>
      </c>
    </row>
    <row r="3919" spans="6:8">
      <c r="F3919" t="s">
        <v>11282</v>
      </c>
      <c r="G3919" t="s">
        <v>15608</v>
      </c>
      <c r="H3919" t="s">
        <v>20091</v>
      </c>
    </row>
    <row r="3920" spans="6:8">
      <c r="H3920" t="s">
        <v>19712</v>
      </c>
    </row>
    <row r="3921" spans="8:8">
      <c r="H3921" t="s">
        <v>19709</v>
      </c>
    </row>
    <row r="3922" spans="8:8">
      <c r="H3922" t="s">
        <v>20093</v>
      </c>
    </row>
    <row r="3923" spans="8:8">
      <c r="H3923" t="s">
        <v>20095</v>
      </c>
    </row>
    <row r="3924" spans="8:8">
      <c r="H3924" t="s">
        <v>20096</v>
      </c>
    </row>
    <row r="3925" spans="8:8">
      <c r="H3925" t="s">
        <v>20097</v>
      </c>
    </row>
    <row r="3926" spans="8:8">
      <c r="H3926" t="s">
        <v>20098</v>
      </c>
    </row>
    <row r="3927" spans="8:8">
      <c r="H3927" t="s">
        <v>20099</v>
      </c>
    </row>
    <row r="3928" spans="8:8">
      <c r="H3928" t="s">
        <v>20100</v>
      </c>
    </row>
    <row r="3929" spans="8:8">
      <c r="H3929" t="s">
        <v>20101</v>
      </c>
    </row>
    <row r="3930" spans="8:8">
      <c r="H3930" t="s">
        <v>20102</v>
      </c>
    </row>
    <row r="3931" spans="8:8">
      <c r="H3931" t="s">
        <v>20104</v>
      </c>
    </row>
    <row r="3932" spans="8:8">
      <c r="H3932" t="s">
        <v>20105</v>
      </c>
    </row>
    <row r="3933" spans="8:8">
      <c r="H3933" t="s">
        <v>20123</v>
      </c>
    </row>
    <row r="3934" spans="8:8">
      <c r="H3934" t="s">
        <v>20124</v>
      </c>
    </row>
    <row r="3935" spans="8:8">
      <c r="H3935" t="s">
        <v>20192</v>
      </c>
    </row>
    <row r="3936" spans="8:8">
      <c r="H3936" t="s">
        <v>20193</v>
      </c>
    </row>
    <row r="3937" spans="6:8">
      <c r="H3937" t="s">
        <v>20194</v>
      </c>
    </row>
    <row r="3938" spans="6:8">
      <c r="H3938" t="s">
        <v>19177</v>
      </c>
    </row>
    <row r="3939" spans="6:8">
      <c r="H3939" t="s">
        <v>20195</v>
      </c>
    </row>
    <row r="3940" spans="6:8">
      <c r="F3940" t="s">
        <v>11283</v>
      </c>
      <c r="G3940" t="s">
        <v>15609</v>
      </c>
      <c r="H3940" t="s">
        <v>20091</v>
      </c>
    </row>
    <row r="3941" spans="6:8">
      <c r="H3941" t="s">
        <v>19712</v>
      </c>
    </row>
    <row r="3942" spans="6:8">
      <c r="H3942" t="s">
        <v>19706</v>
      </c>
    </row>
    <row r="3943" spans="6:8">
      <c r="H3943" t="s">
        <v>20092</v>
      </c>
    </row>
    <row r="3944" spans="6:8">
      <c r="H3944" t="s">
        <v>20093</v>
      </c>
    </row>
    <row r="3945" spans="6:8">
      <c r="H3945" t="s">
        <v>20094</v>
      </c>
    </row>
    <row r="3946" spans="6:8">
      <c r="H3946" t="s">
        <v>20095</v>
      </c>
    </row>
    <row r="3947" spans="6:8">
      <c r="H3947" t="s">
        <v>20096</v>
      </c>
    </row>
    <row r="3948" spans="6:8">
      <c r="H3948" t="s">
        <v>20097</v>
      </c>
    </row>
    <row r="3949" spans="6:8">
      <c r="H3949" t="s">
        <v>20098</v>
      </c>
    </row>
    <row r="3950" spans="6:8">
      <c r="F3950" t="s">
        <v>11284</v>
      </c>
      <c r="G3950" t="s">
        <v>15253</v>
      </c>
      <c r="H3950" t="s">
        <v>20091</v>
      </c>
    </row>
    <row r="3951" spans="6:8">
      <c r="H3951" t="s">
        <v>19712</v>
      </c>
    </row>
    <row r="3952" spans="6:8">
      <c r="H3952" t="s">
        <v>19709</v>
      </c>
    </row>
    <row r="3953" spans="6:8">
      <c r="H3953" t="s">
        <v>19706</v>
      </c>
    </row>
    <row r="3954" spans="6:8">
      <c r="H3954" t="s">
        <v>19707</v>
      </c>
    </row>
    <row r="3955" spans="6:8">
      <c r="H3955" t="s">
        <v>19711</v>
      </c>
    </row>
    <row r="3956" spans="6:8">
      <c r="H3956" t="s">
        <v>19708</v>
      </c>
    </row>
    <row r="3957" spans="6:8">
      <c r="H3957" t="s">
        <v>20107</v>
      </c>
    </row>
    <row r="3958" spans="6:8">
      <c r="H3958" t="s">
        <v>20108</v>
      </c>
    </row>
    <row r="3959" spans="6:8">
      <c r="H3959" t="s">
        <v>19713</v>
      </c>
    </row>
    <row r="3960" spans="6:8">
      <c r="H3960" t="s">
        <v>19714</v>
      </c>
    </row>
    <row r="3961" spans="6:8">
      <c r="H3961" t="s">
        <v>20109</v>
      </c>
    </row>
    <row r="3962" spans="6:8">
      <c r="H3962" t="s">
        <v>20110</v>
      </c>
    </row>
    <row r="3963" spans="6:8">
      <c r="H3963" t="s">
        <v>20111</v>
      </c>
    </row>
    <row r="3964" spans="6:8">
      <c r="H3964" t="s">
        <v>20095</v>
      </c>
    </row>
    <row r="3965" spans="6:8">
      <c r="H3965" t="s">
        <v>20096</v>
      </c>
    </row>
    <row r="3966" spans="6:8">
      <c r="H3966" t="s">
        <v>20097</v>
      </c>
    </row>
    <row r="3967" spans="6:8">
      <c r="H3967" t="s">
        <v>20098</v>
      </c>
    </row>
    <row r="3968" spans="6:8">
      <c r="F3968" t="s">
        <v>11285</v>
      </c>
      <c r="G3968" t="s">
        <v>15254</v>
      </c>
      <c r="H3968" t="s">
        <v>20091</v>
      </c>
    </row>
    <row r="3969" spans="6:8">
      <c r="H3969" t="s">
        <v>19712</v>
      </c>
    </row>
    <row r="3970" spans="6:8">
      <c r="H3970" t="s">
        <v>19709</v>
      </c>
    </row>
    <row r="3971" spans="6:8">
      <c r="H3971" t="s">
        <v>19706</v>
      </c>
    </row>
    <row r="3972" spans="6:8">
      <c r="H3972" t="s">
        <v>19707</v>
      </c>
    </row>
    <row r="3973" spans="6:8">
      <c r="H3973" t="s">
        <v>20107</v>
      </c>
    </row>
    <row r="3974" spans="6:8">
      <c r="H3974" t="s">
        <v>20108</v>
      </c>
    </row>
    <row r="3975" spans="6:8">
      <c r="H3975" t="s">
        <v>19713</v>
      </c>
    </row>
    <row r="3976" spans="6:8">
      <c r="H3976" t="s">
        <v>19714</v>
      </c>
    </row>
    <row r="3977" spans="6:8">
      <c r="H3977" t="s">
        <v>20096</v>
      </c>
    </row>
    <row r="3978" spans="6:8">
      <c r="H3978" t="s">
        <v>20097</v>
      </c>
    </row>
    <row r="3979" spans="6:8">
      <c r="H3979" t="s">
        <v>20098</v>
      </c>
    </row>
    <row r="3980" spans="6:8">
      <c r="H3980" t="s">
        <v>20099</v>
      </c>
    </row>
    <row r="3981" spans="6:8">
      <c r="F3981" t="s">
        <v>11286</v>
      </c>
      <c r="G3981" t="s">
        <v>15255</v>
      </c>
      <c r="H3981" t="s">
        <v>20091</v>
      </c>
    </row>
    <row r="3982" spans="6:8">
      <c r="H3982" t="s">
        <v>19712</v>
      </c>
    </row>
    <row r="3983" spans="6:8">
      <c r="H3983" t="s">
        <v>19709</v>
      </c>
    </row>
    <row r="3984" spans="6:8">
      <c r="H3984" t="s">
        <v>19710</v>
      </c>
    </row>
    <row r="3985" spans="6:8">
      <c r="H3985" t="s">
        <v>20107</v>
      </c>
    </row>
    <row r="3986" spans="6:8">
      <c r="H3986" t="s">
        <v>20108</v>
      </c>
    </row>
    <row r="3987" spans="6:8">
      <c r="H3987" t="s">
        <v>19713</v>
      </c>
    </row>
    <row r="3988" spans="6:8">
      <c r="H3988" t="s">
        <v>20095</v>
      </c>
    </row>
    <row r="3989" spans="6:8">
      <c r="H3989" t="s">
        <v>20096</v>
      </c>
    </row>
    <row r="3990" spans="6:8">
      <c r="H3990" t="s">
        <v>20097</v>
      </c>
    </row>
    <row r="3991" spans="6:8">
      <c r="H3991" t="s">
        <v>20098</v>
      </c>
    </row>
    <row r="3992" spans="6:8">
      <c r="F3992" t="s">
        <v>11287</v>
      </c>
      <c r="G3992" t="s">
        <v>15256</v>
      </c>
      <c r="H3992" t="s">
        <v>20091</v>
      </c>
    </row>
    <row r="3993" spans="6:8">
      <c r="H3993" t="s">
        <v>19712</v>
      </c>
    </row>
    <row r="3994" spans="6:8">
      <c r="H3994" t="s">
        <v>19709</v>
      </c>
    </row>
    <row r="3995" spans="6:8">
      <c r="H3995" t="s">
        <v>19706</v>
      </c>
    </row>
    <row r="3996" spans="6:8">
      <c r="H3996" t="s">
        <v>19707</v>
      </c>
    </row>
    <row r="3997" spans="6:8">
      <c r="H3997" t="s">
        <v>20107</v>
      </c>
    </row>
    <row r="3998" spans="6:8">
      <c r="H3998" t="s">
        <v>20108</v>
      </c>
    </row>
    <row r="3999" spans="6:8">
      <c r="H3999" t="s">
        <v>19713</v>
      </c>
    </row>
    <row r="4000" spans="6:8">
      <c r="H4000" t="s">
        <v>20095</v>
      </c>
    </row>
    <row r="4001" spans="6:8">
      <c r="H4001" t="s">
        <v>20096</v>
      </c>
    </row>
    <row r="4002" spans="6:8">
      <c r="H4002" t="s">
        <v>20097</v>
      </c>
    </row>
    <row r="4003" spans="6:8">
      <c r="H4003" t="s">
        <v>20098</v>
      </c>
    </row>
    <row r="4004" spans="6:8">
      <c r="F4004" t="s">
        <v>11288</v>
      </c>
      <c r="G4004" t="s">
        <v>15257</v>
      </c>
      <c r="H4004" t="s">
        <v>20091</v>
      </c>
    </row>
    <row r="4005" spans="6:8">
      <c r="H4005" t="s">
        <v>19712</v>
      </c>
    </row>
    <row r="4006" spans="6:8">
      <c r="H4006" t="s">
        <v>19709</v>
      </c>
    </row>
    <row r="4007" spans="6:8">
      <c r="H4007" t="s">
        <v>19710</v>
      </c>
    </row>
    <row r="4008" spans="6:8">
      <c r="H4008" t="s">
        <v>20107</v>
      </c>
    </row>
    <row r="4009" spans="6:8">
      <c r="H4009" t="s">
        <v>20108</v>
      </c>
    </row>
    <row r="4010" spans="6:8">
      <c r="H4010" t="s">
        <v>19713</v>
      </c>
    </row>
    <row r="4011" spans="6:8">
      <c r="H4011" t="s">
        <v>20095</v>
      </c>
    </row>
    <row r="4012" spans="6:8">
      <c r="H4012" t="s">
        <v>20096</v>
      </c>
    </row>
    <row r="4013" spans="6:8">
      <c r="H4013" t="s">
        <v>20097</v>
      </c>
    </row>
    <row r="4014" spans="6:8">
      <c r="H4014" t="s">
        <v>20098</v>
      </c>
    </row>
    <row r="4015" spans="6:8">
      <c r="H4015" t="s">
        <v>20099</v>
      </c>
    </row>
    <row r="4016" spans="6:8">
      <c r="F4016" t="s">
        <v>11289</v>
      </c>
      <c r="G4016" t="s">
        <v>15258</v>
      </c>
      <c r="H4016" t="s">
        <v>20091</v>
      </c>
    </row>
    <row r="4017" spans="6:8">
      <c r="H4017" t="s">
        <v>19712</v>
      </c>
    </row>
    <row r="4018" spans="6:8">
      <c r="H4018" t="s">
        <v>19709</v>
      </c>
    </row>
    <row r="4019" spans="6:8">
      <c r="H4019" t="s">
        <v>19706</v>
      </c>
    </row>
    <row r="4020" spans="6:8">
      <c r="H4020" t="s">
        <v>19707</v>
      </c>
    </row>
    <row r="4021" spans="6:8">
      <c r="H4021" t="s">
        <v>19711</v>
      </c>
    </row>
    <row r="4022" spans="6:8">
      <c r="H4022" t="s">
        <v>19708</v>
      </c>
    </row>
    <row r="4023" spans="6:8">
      <c r="H4023" t="s">
        <v>19710</v>
      </c>
    </row>
    <row r="4024" spans="6:8">
      <c r="H4024" t="s">
        <v>20107</v>
      </c>
    </row>
    <row r="4025" spans="6:8">
      <c r="H4025" t="s">
        <v>20108</v>
      </c>
    </row>
    <row r="4026" spans="6:8">
      <c r="H4026" t="s">
        <v>19713</v>
      </c>
    </row>
    <row r="4027" spans="6:8">
      <c r="H4027" t="s">
        <v>20095</v>
      </c>
    </row>
    <row r="4028" spans="6:8">
      <c r="H4028" t="s">
        <v>20096</v>
      </c>
    </row>
    <row r="4029" spans="6:8">
      <c r="H4029" t="s">
        <v>20097</v>
      </c>
    </row>
    <row r="4030" spans="6:8">
      <c r="H4030" t="s">
        <v>20098</v>
      </c>
    </row>
    <row r="4031" spans="6:8">
      <c r="F4031" t="s">
        <v>11290</v>
      </c>
      <c r="G4031" t="s">
        <v>15610</v>
      </c>
      <c r="H4031" t="s">
        <v>19712</v>
      </c>
    </row>
    <row r="4032" spans="6:8">
      <c r="H4032" t="s">
        <v>19708</v>
      </c>
    </row>
    <row r="4033" spans="8:8">
      <c r="H4033" t="s">
        <v>20094</v>
      </c>
    </row>
    <row r="4034" spans="8:8">
      <c r="H4034" t="s">
        <v>20116</v>
      </c>
    </row>
    <row r="4035" spans="8:8">
      <c r="H4035" t="s">
        <v>20095</v>
      </c>
    </row>
    <row r="4036" spans="8:8">
      <c r="H4036" t="s">
        <v>20097</v>
      </c>
    </row>
    <row r="4037" spans="8:8">
      <c r="H4037" t="s">
        <v>20098</v>
      </c>
    </row>
    <row r="4038" spans="8:8">
      <c r="H4038" t="s">
        <v>20099</v>
      </c>
    </row>
    <row r="4039" spans="8:8">
      <c r="H4039" t="s">
        <v>20100</v>
      </c>
    </row>
    <row r="4040" spans="8:8">
      <c r="H4040" t="s">
        <v>20102</v>
      </c>
    </row>
    <row r="4041" spans="8:8">
      <c r="H4041" t="s">
        <v>20104</v>
      </c>
    </row>
    <row r="4042" spans="8:8">
      <c r="H4042" t="s">
        <v>20105</v>
      </c>
    </row>
    <row r="4043" spans="8:8">
      <c r="H4043" t="s">
        <v>20123</v>
      </c>
    </row>
    <row r="4044" spans="8:8">
      <c r="H4044" t="s">
        <v>20124</v>
      </c>
    </row>
    <row r="4045" spans="8:8">
      <c r="H4045" t="s">
        <v>20192</v>
      </c>
    </row>
    <row r="4046" spans="8:8">
      <c r="H4046" t="s">
        <v>20193</v>
      </c>
    </row>
    <row r="4047" spans="8:8">
      <c r="H4047" t="s">
        <v>20194</v>
      </c>
    </row>
    <row r="4048" spans="8:8">
      <c r="H4048" t="s">
        <v>19177</v>
      </c>
    </row>
    <row r="4049" spans="6:8">
      <c r="H4049" t="s">
        <v>20196</v>
      </c>
    </row>
    <row r="4050" spans="6:8">
      <c r="H4050" t="s">
        <v>20197</v>
      </c>
    </row>
    <row r="4051" spans="6:8">
      <c r="H4051" t="s">
        <v>20198</v>
      </c>
    </row>
    <row r="4052" spans="6:8">
      <c r="H4052" t="s">
        <v>20199</v>
      </c>
    </row>
    <row r="4053" spans="6:8">
      <c r="H4053" t="s">
        <v>20200</v>
      </c>
    </row>
    <row r="4054" spans="6:8">
      <c r="F4054" t="s">
        <v>11291</v>
      </c>
      <c r="G4054" t="s">
        <v>15611</v>
      </c>
      <c r="H4054" t="s">
        <v>19712</v>
      </c>
    </row>
    <row r="4055" spans="6:8">
      <c r="H4055" t="s">
        <v>19708</v>
      </c>
    </row>
    <row r="4056" spans="6:8">
      <c r="H4056" t="s">
        <v>20094</v>
      </c>
    </row>
    <row r="4057" spans="6:8">
      <c r="H4057" t="s">
        <v>20116</v>
      </c>
    </row>
    <row r="4058" spans="6:8">
      <c r="H4058" t="s">
        <v>20095</v>
      </c>
    </row>
    <row r="4059" spans="6:8">
      <c r="H4059" t="s">
        <v>20097</v>
      </c>
    </row>
    <row r="4060" spans="6:8">
      <c r="H4060" t="s">
        <v>20098</v>
      </c>
    </row>
    <row r="4061" spans="6:8">
      <c r="H4061" t="s">
        <v>20099</v>
      </c>
    </row>
    <row r="4062" spans="6:8">
      <c r="H4062" t="s">
        <v>20100</v>
      </c>
    </row>
    <row r="4063" spans="6:8">
      <c r="H4063" t="s">
        <v>20102</v>
      </c>
    </row>
    <row r="4064" spans="6:8">
      <c r="H4064" t="s">
        <v>20104</v>
      </c>
    </row>
    <row r="4065" spans="6:8">
      <c r="H4065" t="s">
        <v>20105</v>
      </c>
    </row>
    <row r="4066" spans="6:8">
      <c r="H4066" t="s">
        <v>20123</v>
      </c>
    </row>
    <row r="4067" spans="6:8">
      <c r="H4067" t="s">
        <v>20124</v>
      </c>
    </row>
    <row r="4068" spans="6:8">
      <c r="H4068" t="s">
        <v>20192</v>
      </c>
    </row>
    <row r="4069" spans="6:8">
      <c r="H4069" t="s">
        <v>20193</v>
      </c>
    </row>
    <row r="4070" spans="6:8">
      <c r="H4070" t="s">
        <v>20194</v>
      </c>
    </row>
    <row r="4071" spans="6:8">
      <c r="H4071" t="s">
        <v>19177</v>
      </c>
    </row>
    <row r="4072" spans="6:8">
      <c r="H4072" t="s">
        <v>20196</v>
      </c>
    </row>
    <row r="4073" spans="6:8">
      <c r="H4073" t="s">
        <v>20197</v>
      </c>
    </row>
    <row r="4074" spans="6:8">
      <c r="H4074" t="s">
        <v>20198</v>
      </c>
    </row>
    <row r="4075" spans="6:8">
      <c r="H4075" t="s">
        <v>20199</v>
      </c>
    </row>
    <row r="4076" spans="6:8">
      <c r="H4076" t="s">
        <v>20200</v>
      </c>
    </row>
    <row r="4077" spans="6:8">
      <c r="F4077" t="s">
        <v>10705</v>
      </c>
      <c r="G4077" t="s">
        <v>15105</v>
      </c>
      <c r="H4077" t="s">
        <v>20091</v>
      </c>
    </row>
    <row r="4078" spans="6:8">
      <c r="H4078" t="s">
        <v>19712</v>
      </c>
    </row>
    <row r="4079" spans="6:8">
      <c r="H4079" t="s">
        <v>20094</v>
      </c>
    </row>
    <row r="4080" spans="6:8">
      <c r="H4080" t="s">
        <v>20103</v>
      </c>
    </row>
    <row r="4081" spans="6:8">
      <c r="H4081" t="s">
        <v>20116</v>
      </c>
    </row>
    <row r="4082" spans="6:8">
      <c r="H4082" t="s">
        <v>20117</v>
      </c>
    </row>
    <row r="4083" spans="6:8">
      <c r="H4083" t="s">
        <v>20095</v>
      </c>
    </row>
    <row r="4084" spans="6:8">
      <c r="H4084" t="s">
        <v>20096</v>
      </c>
    </row>
    <row r="4085" spans="6:8">
      <c r="H4085" t="s">
        <v>20099</v>
      </c>
    </row>
    <row r="4086" spans="6:8">
      <c r="H4086" t="s">
        <v>20100</v>
      </c>
    </row>
    <row r="4087" spans="6:8">
      <c r="H4087" t="s">
        <v>20104</v>
      </c>
    </row>
    <row r="4088" spans="6:8">
      <c r="H4088" t="s">
        <v>20105</v>
      </c>
    </row>
    <row r="4089" spans="6:8">
      <c r="H4089" t="s">
        <v>20123</v>
      </c>
    </row>
    <row r="4090" spans="6:8">
      <c r="H4090" t="s">
        <v>20124</v>
      </c>
    </row>
    <row r="4091" spans="6:8">
      <c r="H4091" t="s">
        <v>20192</v>
      </c>
    </row>
    <row r="4092" spans="6:8">
      <c r="H4092" t="s">
        <v>20193</v>
      </c>
    </row>
    <row r="4093" spans="6:8">
      <c r="H4093" t="s">
        <v>20194</v>
      </c>
    </row>
    <row r="4094" spans="6:8">
      <c r="H4094" t="s">
        <v>20200</v>
      </c>
    </row>
    <row r="4095" spans="6:8">
      <c r="F4095" t="s">
        <v>10706</v>
      </c>
      <c r="G4095" t="s">
        <v>15106</v>
      </c>
      <c r="H4095" t="s">
        <v>20091</v>
      </c>
    </row>
    <row r="4096" spans="6:8">
      <c r="H4096" t="s">
        <v>19712</v>
      </c>
    </row>
    <row r="4097" spans="8:8">
      <c r="H4097" t="s">
        <v>20094</v>
      </c>
    </row>
    <row r="4098" spans="8:8">
      <c r="H4098" t="s">
        <v>20103</v>
      </c>
    </row>
    <row r="4099" spans="8:8">
      <c r="H4099" t="s">
        <v>20116</v>
      </c>
    </row>
    <row r="4100" spans="8:8">
      <c r="H4100" t="s">
        <v>20117</v>
      </c>
    </row>
    <row r="4101" spans="8:8">
      <c r="H4101" t="s">
        <v>20095</v>
      </c>
    </row>
    <row r="4102" spans="8:8">
      <c r="H4102" t="s">
        <v>20096</v>
      </c>
    </row>
    <row r="4103" spans="8:8">
      <c r="H4103" t="s">
        <v>20099</v>
      </c>
    </row>
    <row r="4104" spans="8:8">
      <c r="H4104" t="s">
        <v>20100</v>
      </c>
    </row>
    <row r="4105" spans="8:8">
      <c r="H4105" t="s">
        <v>20104</v>
      </c>
    </row>
    <row r="4106" spans="8:8">
      <c r="H4106" t="s">
        <v>20105</v>
      </c>
    </row>
    <row r="4107" spans="8:8">
      <c r="H4107" t="s">
        <v>20123</v>
      </c>
    </row>
    <row r="4108" spans="8:8">
      <c r="H4108" t="s">
        <v>20124</v>
      </c>
    </row>
    <row r="4109" spans="8:8">
      <c r="H4109" t="s">
        <v>20192</v>
      </c>
    </row>
    <row r="4110" spans="8:8">
      <c r="H4110" t="s">
        <v>20193</v>
      </c>
    </row>
    <row r="4111" spans="8:8">
      <c r="H4111" t="s">
        <v>20194</v>
      </c>
    </row>
    <row r="4112" spans="8:8">
      <c r="H4112" t="s">
        <v>20200</v>
      </c>
    </row>
    <row r="4113" spans="6:8">
      <c r="F4113" t="s">
        <v>11293</v>
      </c>
      <c r="G4113" t="s">
        <v>15612</v>
      </c>
      <c r="H4113" t="s">
        <v>20091</v>
      </c>
    </row>
    <row r="4114" spans="6:8">
      <c r="H4114" t="s">
        <v>19712</v>
      </c>
    </row>
    <row r="4115" spans="6:8">
      <c r="H4115" t="s">
        <v>19709</v>
      </c>
    </row>
    <row r="4116" spans="6:8">
      <c r="H4116" t="s">
        <v>19707</v>
      </c>
    </row>
    <row r="4117" spans="6:8">
      <c r="H4117" t="s">
        <v>19711</v>
      </c>
    </row>
    <row r="4118" spans="6:8">
      <c r="H4118" t="s">
        <v>20093</v>
      </c>
    </row>
    <row r="4119" spans="6:8">
      <c r="H4119" t="s">
        <v>20118</v>
      </c>
    </row>
    <row r="4120" spans="6:8">
      <c r="H4120" t="s">
        <v>20095</v>
      </c>
    </row>
    <row r="4121" spans="6:8">
      <c r="H4121" t="s">
        <v>20097</v>
      </c>
    </row>
    <row r="4122" spans="6:8">
      <c r="H4122" t="s">
        <v>20098</v>
      </c>
    </row>
    <row r="4123" spans="6:8">
      <c r="H4123" t="s">
        <v>20099</v>
      </c>
    </row>
    <row r="4124" spans="6:8">
      <c r="H4124" t="s">
        <v>20100</v>
      </c>
    </row>
    <row r="4125" spans="6:8">
      <c r="H4125" t="s">
        <v>20101</v>
      </c>
    </row>
    <row r="4126" spans="6:8">
      <c r="H4126" t="s">
        <v>20102</v>
      </c>
    </row>
    <row r="4127" spans="6:8">
      <c r="H4127" t="s">
        <v>20104</v>
      </c>
    </row>
    <row r="4128" spans="6:8">
      <c r="H4128" t="s">
        <v>20105</v>
      </c>
    </row>
    <row r="4129" spans="6:8">
      <c r="H4129" t="s">
        <v>20124</v>
      </c>
    </row>
    <row r="4130" spans="6:8">
      <c r="H4130" t="s">
        <v>20192</v>
      </c>
    </row>
    <row r="4131" spans="6:8">
      <c r="H4131" t="s">
        <v>20197</v>
      </c>
    </row>
    <row r="4132" spans="6:8">
      <c r="F4132" t="s">
        <v>11295</v>
      </c>
      <c r="G4132" t="s">
        <v>15613</v>
      </c>
      <c r="H4132" t="s">
        <v>20091</v>
      </c>
    </row>
    <row r="4133" spans="6:8">
      <c r="H4133" t="s">
        <v>19712</v>
      </c>
    </row>
    <row r="4134" spans="6:8">
      <c r="H4134" t="s">
        <v>19709</v>
      </c>
    </row>
    <row r="4135" spans="6:8">
      <c r="H4135" t="s">
        <v>19707</v>
      </c>
    </row>
    <row r="4136" spans="6:8">
      <c r="H4136" t="s">
        <v>19711</v>
      </c>
    </row>
    <row r="4137" spans="6:8">
      <c r="H4137" t="s">
        <v>20093</v>
      </c>
    </row>
    <row r="4138" spans="6:8">
      <c r="H4138" t="s">
        <v>20118</v>
      </c>
    </row>
    <row r="4139" spans="6:8">
      <c r="H4139" t="s">
        <v>20095</v>
      </c>
    </row>
    <row r="4140" spans="6:8">
      <c r="H4140" t="s">
        <v>20097</v>
      </c>
    </row>
    <row r="4141" spans="6:8">
      <c r="H4141" t="s">
        <v>20098</v>
      </c>
    </row>
    <row r="4142" spans="6:8">
      <c r="H4142" t="s">
        <v>20099</v>
      </c>
    </row>
    <row r="4143" spans="6:8">
      <c r="H4143" t="s">
        <v>20100</v>
      </c>
    </row>
    <row r="4144" spans="6:8">
      <c r="H4144" t="s">
        <v>20101</v>
      </c>
    </row>
    <row r="4145" spans="6:8">
      <c r="H4145" t="s">
        <v>20102</v>
      </c>
    </row>
    <row r="4146" spans="6:8">
      <c r="H4146" t="s">
        <v>20104</v>
      </c>
    </row>
    <row r="4147" spans="6:8">
      <c r="H4147" t="s">
        <v>20105</v>
      </c>
    </row>
    <row r="4148" spans="6:8">
      <c r="H4148" t="s">
        <v>20124</v>
      </c>
    </row>
    <row r="4149" spans="6:8">
      <c r="H4149" t="s">
        <v>20192</v>
      </c>
    </row>
    <row r="4150" spans="6:8">
      <c r="H4150" t="s">
        <v>20197</v>
      </c>
    </row>
    <row r="4151" spans="6:8">
      <c r="F4151" t="s">
        <v>10708</v>
      </c>
      <c r="G4151" t="s">
        <v>15107</v>
      </c>
      <c r="H4151" t="s">
        <v>20091</v>
      </c>
    </row>
    <row r="4152" spans="6:8">
      <c r="H4152" t="s">
        <v>19709</v>
      </c>
    </row>
    <row r="4153" spans="6:8">
      <c r="H4153" t="s">
        <v>19707</v>
      </c>
    </row>
    <row r="4154" spans="6:8">
      <c r="H4154" t="s">
        <v>19711</v>
      </c>
    </row>
    <row r="4155" spans="6:8">
      <c r="H4155" t="s">
        <v>20092</v>
      </c>
    </row>
    <row r="4156" spans="6:8">
      <c r="H4156" t="s">
        <v>20093</v>
      </c>
    </row>
    <row r="4157" spans="6:8">
      <c r="H4157" t="s">
        <v>20103</v>
      </c>
    </row>
    <row r="4158" spans="6:8">
      <c r="H4158" t="s">
        <v>20095</v>
      </c>
    </row>
    <row r="4159" spans="6:8">
      <c r="H4159" t="s">
        <v>20097</v>
      </c>
    </row>
    <row r="4160" spans="6:8">
      <c r="H4160" t="s">
        <v>20098</v>
      </c>
    </row>
    <row r="4161" spans="6:8">
      <c r="H4161" t="s">
        <v>20099</v>
      </c>
    </row>
    <row r="4162" spans="6:8">
      <c r="H4162" t="s">
        <v>20100</v>
      </c>
    </row>
    <row r="4163" spans="6:8">
      <c r="H4163" t="s">
        <v>20102</v>
      </c>
    </row>
    <row r="4164" spans="6:8">
      <c r="H4164" t="s">
        <v>20104</v>
      </c>
    </row>
    <row r="4165" spans="6:8">
      <c r="H4165" t="s">
        <v>20105</v>
      </c>
    </row>
    <row r="4166" spans="6:8">
      <c r="H4166" t="s">
        <v>20124</v>
      </c>
    </row>
    <row r="4167" spans="6:8">
      <c r="H4167" t="s">
        <v>20192</v>
      </c>
    </row>
    <row r="4168" spans="6:8">
      <c r="H4168" t="s">
        <v>20193</v>
      </c>
    </row>
    <row r="4169" spans="6:8">
      <c r="H4169" t="s">
        <v>20194</v>
      </c>
    </row>
    <row r="4170" spans="6:8">
      <c r="H4170" t="s">
        <v>19177</v>
      </c>
    </row>
    <row r="4171" spans="6:8">
      <c r="H4171" t="s">
        <v>20196</v>
      </c>
    </row>
    <row r="4172" spans="6:8">
      <c r="H4172" t="s">
        <v>20197</v>
      </c>
    </row>
    <row r="4173" spans="6:8">
      <c r="H4173" t="s">
        <v>20198</v>
      </c>
    </row>
    <row r="4174" spans="6:8">
      <c r="F4174" t="s">
        <v>10709</v>
      </c>
      <c r="G4174" t="s">
        <v>15108</v>
      </c>
      <c r="H4174" t="s">
        <v>20091</v>
      </c>
    </row>
    <row r="4175" spans="6:8">
      <c r="H4175" t="s">
        <v>19709</v>
      </c>
    </row>
    <row r="4176" spans="6:8">
      <c r="H4176" t="s">
        <v>19707</v>
      </c>
    </row>
    <row r="4177" spans="8:8">
      <c r="H4177" t="s">
        <v>19711</v>
      </c>
    </row>
    <row r="4178" spans="8:8">
      <c r="H4178" t="s">
        <v>20092</v>
      </c>
    </row>
    <row r="4179" spans="8:8">
      <c r="H4179" t="s">
        <v>20093</v>
      </c>
    </row>
    <row r="4180" spans="8:8">
      <c r="H4180" t="s">
        <v>20103</v>
      </c>
    </row>
    <row r="4181" spans="8:8">
      <c r="H4181" t="s">
        <v>20095</v>
      </c>
    </row>
    <row r="4182" spans="8:8">
      <c r="H4182" t="s">
        <v>20097</v>
      </c>
    </row>
    <row r="4183" spans="8:8">
      <c r="H4183" t="s">
        <v>20098</v>
      </c>
    </row>
    <row r="4184" spans="8:8">
      <c r="H4184" t="s">
        <v>20099</v>
      </c>
    </row>
    <row r="4185" spans="8:8">
      <c r="H4185" t="s">
        <v>20100</v>
      </c>
    </row>
    <row r="4186" spans="8:8">
      <c r="H4186" t="s">
        <v>20102</v>
      </c>
    </row>
    <row r="4187" spans="8:8">
      <c r="H4187" t="s">
        <v>20104</v>
      </c>
    </row>
    <row r="4188" spans="8:8">
      <c r="H4188" t="s">
        <v>20105</v>
      </c>
    </row>
    <row r="4189" spans="8:8">
      <c r="H4189" t="s">
        <v>20124</v>
      </c>
    </row>
    <row r="4190" spans="8:8">
      <c r="H4190" t="s">
        <v>20192</v>
      </c>
    </row>
    <row r="4191" spans="8:8">
      <c r="H4191" t="s">
        <v>20193</v>
      </c>
    </row>
    <row r="4192" spans="8:8">
      <c r="H4192" t="s">
        <v>20194</v>
      </c>
    </row>
    <row r="4193" spans="6:8">
      <c r="H4193" t="s">
        <v>19177</v>
      </c>
    </row>
    <row r="4194" spans="6:8">
      <c r="H4194" t="s">
        <v>20196</v>
      </c>
    </row>
    <row r="4195" spans="6:8">
      <c r="H4195" t="s">
        <v>20197</v>
      </c>
    </row>
    <row r="4196" spans="6:8">
      <c r="H4196" t="s">
        <v>20198</v>
      </c>
    </row>
    <row r="4197" spans="6:8">
      <c r="F4197" t="s">
        <v>10710</v>
      </c>
      <c r="G4197" t="s">
        <v>15109</v>
      </c>
      <c r="H4197" t="s">
        <v>20091</v>
      </c>
    </row>
    <row r="4198" spans="6:8">
      <c r="H4198" t="s">
        <v>19709</v>
      </c>
    </row>
    <row r="4199" spans="6:8">
      <c r="H4199" t="s">
        <v>19707</v>
      </c>
    </row>
    <row r="4200" spans="6:8">
      <c r="H4200" t="s">
        <v>19711</v>
      </c>
    </row>
    <row r="4201" spans="6:8">
      <c r="H4201" t="s">
        <v>20092</v>
      </c>
    </row>
    <row r="4202" spans="6:8">
      <c r="H4202" t="s">
        <v>20093</v>
      </c>
    </row>
    <row r="4203" spans="6:8">
      <c r="H4203" t="s">
        <v>20103</v>
      </c>
    </row>
    <row r="4204" spans="6:8">
      <c r="H4204" t="s">
        <v>20095</v>
      </c>
    </row>
    <row r="4205" spans="6:8">
      <c r="H4205" t="s">
        <v>20097</v>
      </c>
    </row>
    <row r="4206" spans="6:8">
      <c r="H4206" t="s">
        <v>20098</v>
      </c>
    </row>
    <row r="4207" spans="6:8">
      <c r="H4207" t="s">
        <v>20099</v>
      </c>
    </row>
    <row r="4208" spans="6:8">
      <c r="H4208" t="s">
        <v>20100</v>
      </c>
    </row>
    <row r="4209" spans="6:8">
      <c r="H4209" t="s">
        <v>20102</v>
      </c>
    </row>
    <row r="4210" spans="6:8">
      <c r="H4210" t="s">
        <v>20104</v>
      </c>
    </row>
    <row r="4211" spans="6:8">
      <c r="H4211" t="s">
        <v>20105</v>
      </c>
    </row>
    <row r="4212" spans="6:8">
      <c r="H4212" t="s">
        <v>20124</v>
      </c>
    </row>
    <row r="4213" spans="6:8">
      <c r="H4213" t="s">
        <v>20192</v>
      </c>
    </row>
    <row r="4214" spans="6:8">
      <c r="H4214" t="s">
        <v>20193</v>
      </c>
    </row>
    <row r="4215" spans="6:8">
      <c r="H4215" t="s">
        <v>20194</v>
      </c>
    </row>
    <row r="4216" spans="6:8">
      <c r="H4216" t="s">
        <v>19177</v>
      </c>
    </row>
    <row r="4217" spans="6:8">
      <c r="H4217" t="s">
        <v>20196</v>
      </c>
    </row>
    <row r="4218" spans="6:8">
      <c r="H4218" t="s">
        <v>20197</v>
      </c>
    </row>
    <row r="4219" spans="6:8">
      <c r="H4219" t="s">
        <v>20198</v>
      </c>
    </row>
    <row r="4220" spans="6:8">
      <c r="F4220" t="s">
        <v>10711</v>
      </c>
      <c r="G4220" t="s">
        <v>15110</v>
      </c>
      <c r="H4220" t="s">
        <v>20091</v>
      </c>
    </row>
    <row r="4221" spans="6:8">
      <c r="H4221" t="s">
        <v>19709</v>
      </c>
    </row>
    <row r="4222" spans="6:8">
      <c r="H4222" t="s">
        <v>19707</v>
      </c>
    </row>
    <row r="4223" spans="6:8">
      <c r="H4223" t="s">
        <v>19711</v>
      </c>
    </row>
    <row r="4224" spans="6:8">
      <c r="H4224" t="s">
        <v>19708</v>
      </c>
    </row>
    <row r="4225" spans="8:8">
      <c r="H4225" t="s">
        <v>20092</v>
      </c>
    </row>
    <row r="4226" spans="8:8">
      <c r="H4226" t="s">
        <v>20093</v>
      </c>
    </row>
    <row r="4227" spans="8:8">
      <c r="H4227" t="s">
        <v>20103</v>
      </c>
    </row>
    <row r="4228" spans="8:8">
      <c r="H4228" t="s">
        <v>20095</v>
      </c>
    </row>
    <row r="4229" spans="8:8">
      <c r="H4229" t="s">
        <v>20097</v>
      </c>
    </row>
    <row r="4230" spans="8:8">
      <c r="H4230" t="s">
        <v>20098</v>
      </c>
    </row>
    <row r="4231" spans="8:8">
      <c r="H4231" t="s">
        <v>20099</v>
      </c>
    </row>
    <row r="4232" spans="8:8">
      <c r="H4232" t="s">
        <v>20100</v>
      </c>
    </row>
    <row r="4233" spans="8:8">
      <c r="H4233" t="s">
        <v>20102</v>
      </c>
    </row>
    <row r="4234" spans="8:8">
      <c r="H4234" t="s">
        <v>20104</v>
      </c>
    </row>
    <row r="4235" spans="8:8">
      <c r="H4235" t="s">
        <v>20105</v>
      </c>
    </row>
    <row r="4236" spans="8:8">
      <c r="H4236" t="s">
        <v>20124</v>
      </c>
    </row>
    <row r="4237" spans="8:8">
      <c r="H4237" t="s">
        <v>20192</v>
      </c>
    </row>
    <row r="4238" spans="8:8">
      <c r="H4238" t="s">
        <v>20193</v>
      </c>
    </row>
    <row r="4239" spans="8:8">
      <c r="H4239" t="s">
        <v>20194</v>
      </c>
    </row>
    <row r="4240" spans="8:8">
      <c r="H4240" t="s">
        <v>19177</v>
      </c>
    </row>
    <row r="4241" spans="6:8">
      <c r="H4241" t="s">
        <v>20196</v>
      </c>
    </row>
    <row r="4242" spans="6:8">
      <c r="H4242" t="s">
        <v>20197</v>
      </c>
    </row>
    <row r="4243" spans="6:8">
      <c r="H4243" t="s">
        <v>20198</v>
      </c>
    </row>
    <row r="4244" spans="6:8">
      <c r="F4244" t="s">
        <v>11300</v>
      </c>
      <c r="G4244" t="s">
        <v>15259</v>
      </c>
      <c r="H4244" t="s">
        <v>20091</v>
      </c>
    </row>
    <row r="4245" spans="6:8">
      <c r="H4245" t="s">
        <v>19712</v>
      </c>
    </row>
    <row r="4246" spans="6:8">
      <c r="H4246" t="s">
        <v>19709</v>
      </c>
    </row>
    <row r="4247" spans="6:8">
      <c r="H4247" t="s">
        <v>19706</v>
      </c>
    </row>
    <row r="4248" spans="6:8">
      <c r="H4248" t="s">
        <v>19711</v>
      </c>
    </row>
    <row r="4249" spans="6:8">
      <c r="H4249" t="s">
        <v>20093</v>
      </c>
    </row>
    <row r="4250" spans="6:8">
      <c r="H4250" t="s">
        <v>20095</v>
      </c>
    </row>
    <row r="4251" spans="6:8">
      <c r="H4251" t="s">
        <v>20096</v>
      </c>
    </row>
    <row r="4252" spans="6:8">
      <c r="H4252" t="s">
        <v>20099</v>
      </c>
    </row>
    <row r="4253" spans="6:8">
      <c r="H4253" t="s">
        <v>20101</v>
      </c>
    </row>
    <row r="4254" spans="6:8">
      <c r="H4254" t="s">
        <v>20102</v>
      </c>
    </row>
    <row r="4255" spans="6:8">
      <c r="H4255" t="s">
        <v>20104</v>
      </c>
    </row>
    <row r="4256" spans="6:8">
      <c r="H4256" t="s">
        <v>20105</v>
      </c>
    </row>
    <row r="4257" spans="6:8">
      <c r="H4257" t="s">
        <v>20123</v>
      </c>
    </row>
    <row r="4258" spans="6:8">
      <c r="H4258" t="s">
        <v>20124</v>
      </c>
    </row>
    <row r="4259" spans="6:8">
      <c r="H4259" t="s">
        <v>20192</v>
      </c>
    </row>
    <row r="4260" spans="6:8">
      <c r="H4260" t="s">
        <v>20193</v>
      </c>
    </row>
    <row r="4261" spans="6:8">
      <c r="H4261" t="s">
        <v>20194</v>
      </c>
    </row>
    <row r="4262" spans="6:8">
      <c r="H4262" t="s">
        <v>19177</v>
      </c>
    </row>
    <row r="4263" spans="6:8">
      <c r="H4263" t="s">
        <v>20196</v>
      </c>
    </row>
    <row r="4264" spans="6:8">
      <c r="H4264" t="s">
        <v>20197</v>
      </c>
    </row>
    <row r="4265" spans="6:8">
      <c r="H4265" t="s">
        <v>20195</v>
      </c>
    </row>
    <row r="4266" spans="6:8">
      <c r="H4266" t="s">
        <v>20116</v>
      </c>
    </row>
    <row r="4267" spans="6:8">
      <c r="F4267" t="s">
        <v>11301</v>
      </c>
      <c r="G4267" t="s">
        <v>15614</v>
      </c>
      <c r="H4267" t="s">
        <v>20091</v>
      </c>
    </row>
    <row r="4268" spans="6:8">
      <c r="H4268" t="s">
        <v>19712</v>
      </c>
    </row>
    <row r="4269" spans="6:8">
      <c r="H4269" t="s">
        <v>19706</v>
      </c>
    </row>
    <row r="4270" spans="6:8">
      <c r="H4270" t="s">
        <v>20093</v>
      </c>
    </row>
    <row r="4271" spans="6:8">
      <c r="H4271" t="s">
        <v>20095</v>
      </c>
    </row>
    <row r="4272" spans="6:8">
      <c r="H4272" t="s">
        <v>20096</v>
      </c>
    </row>
    <row r="4273" spans="8:8">
      <c r="H4273" t="s">
        <v>20099</v>
      </c>
    </row>
    <row r="4274" spans="8:8">
      <c r="H4274" t="s">
        <v>20100</v>
      </c>
    </row>
    <row r="4275" spans="8:8">
      <c r="H4275" t="s">
        <v>20101</v>
      </c>
    </row>
    <row r="4276" spans="8:8">
      <c r="H4276" t="s">
        <v>20102</v>
      </c>
    </row>
    <row r="4277" spans="8:8">
      <c r="H4277" t="s">
        <v>20104</v>
      </c>
    </row>
    <row r="4278" spans="8:8">
      <c r="H4278" t="s">
        <v>20105</v>
      </c>
    </row>
    <row r="4279" spans="8:8">
      <c r="H4279" t="s">
        <v>20123</v>
      </c>
    </row>
    <row r="4280" spans="8:8">
      <c r="H4280" t="s">
        <v>20124</v>
      </c>
    </row>
    <row r="4281" spans="8:8">
      <c r="H4281" t="s">
        <v>20192</v>
      </c>
    </row>
    <row r="4282" spans="8:8">
      <c r="H4282" t="s">
        <v>20193</v>
      </c>
    </row>
    <row r="4283" spans="8:8">
      <c r="H4283" t="s">
        <v>20194</v>
      </c>
    </row>
    <row r="4284" spans="8:8">
      <c r="H4284" t="s">
        <v>19177</v>
      </c>
    </row>
    <row r="4285" spans="8:8">
      <c r="H4285" t="s">
        <v>20196</v>
      </c>
    </row>
    <row r="4286" spans="8:8">
      <c r="H4286" t="s">
        <v>20197</v>
      </c>
    </row>
    <row r="4287" spans="8:8">
      <c r="H4287" t="s">
        <v>20195</v>
      </c>
    </row>
    <row r="4288" spans="8:8">
      <c r="H4288" t="s">
        <v>20198</v>
      </c>
    </row>
    <row r="4289" spans="6:8">
      <c r="F4289" t="s">
        <v>11302</v>
      </c>
      <c r="G4289" t="s">
        <v>15615</v>
      </c>
      <c r="H4289" t="s">
        <v>20091</v>
      </c>
    </row>
    <row r="4290" spans="6:8">
      <c r="H4290" t="s">
        <v>19712</v>
      </c>
    </row>
    <row r="4291" spans="6:8">
      <c r="H4291" t="s">
        <v>19706</v>
      </c>
    </row>
    <row r="4292" spans="6:8">
      <c r="H4292" t="s">
        <v>20093</v>
      </c>
    </row>
    <row r="4293" spans="6:8">
      <c r="H4293" t="s">
        <v>20095</v>
      </c>
    </row>
    <row r="4294" spans="6:8">
      <c r="H4294" t="s">
        <v>20096</v>
      </c>
    </row>
    <row r="4295" spans="6:8">
      <c r="H4295" t="s">
        <v>20099</v>
      </c>
    </row>
    <row r="4296" spans="6:8">
      <c r="H4296" t="s">
        <v>20100</v>
      </c>
    </row>
    <row r="4297" spans="6:8">
      <c r="H4297" t="s">
        <v>20101</v>
      </c>
    </row>
    <row r="4298" spans="6:8">
      <c r="H4298" t="s">
        <v>20102</v>
      </c>
    </row>
    <row r="4299" spans="6:8">
      <c r="H4299" t="s">
        <v>20104</v>
      </c>
    </row>
    <row r="4300" spans="6:8">
      <c r="H4300" t="s">
        <v>20105</v>
      </c>
    </row>
    <row r="4301" spans="6:8">
      <c r="H4301" t="s">
        <v>20123</v>
      </c>
    </row>
    <row r="4302" spans="6:8">
      <c r="H4302" t="s">
        <v>20124</v>
      </c>
    </row>
    <row r="4303" spans="6:8">
      <c r="H4303" t="s">
        <v>20192</v>
      </c>
    </row>
    <row r="4304" spans="6:8">
      <c r="H4304" t="s">
        <v>20193</v>
      </c>
    </row>
    <row r="4305" spans="6:8">
      <c r="H4305" t="s">
        <v>20194</v>
      </c>
    </row>
    <row r="4306" spans="6:8">
      <c r="H4306" t="s">
        <v>19177</v>
      </c>
    </row>
    <row r="4307" spans="6:8">
      <c r="H4307" t="s">
        <v>20196</v>
      </c>
    </row>
    <row r="4308" spans="6:8">
      <c r="H4308" t="s">
        <v>20197</v>
      </c>
    </row>
    <row r="4309" spans="6:8">
      <c r="H4309" t="s">
        <v>20195</v>
      </c>
    </row>
    <row r="4310" spans="6:8">
      <c r="H4310" t="s">
        <v>20198</v>
      </c>
    </row>
    <row r="4311" spans="6:8">
      <c r="F4311" t="s">
        <v>11303</v>
      </c>
      <c r="G4311" t="s">
        <v>15616</v>
      </c>
      <c r="H4311" t="s">
        <v>20091</v>
      </c>
    </row>
    <row r="4312" spans="6:8">
      <c r="H4312" t="s">
        <v>19712</v>
      </c>
    </row>
    <row r="4313" spans="6:8">
      <c r="H4313" t="s">
        <v>19706</v>
      </c>
    </row>
    <row r="4314" spans="6:8">
      <c r="H4314" t="s">
        <v>20093</v>
      </c>
    </row>
    <row r="4315" spans="6:8">
      <c r="H4315" t="s">
        <v>20095</v>
      </c>
    </row>
    <row r="4316" spans="6:8">
      <c r="H4316" t="s">
        <v>20096</v>
      </c>
    </row>
    <row r="4317" spans="6:8">
      <c r="H4317" t="s">
        <v>20099</v>
      </c>
    </row>
    <row r="4318" spans="6:8">
      <c r="H4318" t="s">
        <v>20100</v>
      </c>
    </row>
    <row r="4319" spans="6:8">
      <c r="H4319" t="s">
        <v>20101</v>
      </c>
    </row>
    <row r="4320" spans="6:8">
      <c r="H4320" t="s">
        <v>20102</v>
      </c>
    </row>
    <row r="4321" spans="6:8">
      <c r="H4321" t="s">
        <v>20104</v>
      </c>
    </row>
    <row r="4322" spans="6:8">
      <c r="H4322" t="s">
        <v>20105</v>
      </c>
    </row>
    <row r="4323" spans="6:8">
      <c r="H4323" t="s">
        <v>20123</v>
      </c>
    </row>
    <row r="4324" spans="6:8">
      <c r="H4324" t="s">
        <v>20124</v>
      </c>
    </row>
    <row r="4325" spans="6:8">
      <c r="H4325" t="s">
        <v>20192</v>
      </c>
    </row>
    <row r="4326" spans="6:8">
      <c r="H4326" t="s">
        <v>20193</v>
      </c>
    </row>
    <row r="4327" spans="6:8">
      <c r="H4327" t="s">
        <v>20194</v>
      </c>
    </row>
    <row r="4328" spans="6:8">
      <c r="H4328" t="s">
        <v>19177</v>
      </c>
    </row>
    <row r="4329" spans="6:8">
      <c r="H4329" t="s">
        <v>20196</v>
      </c>
    </row>
    <row r="4330" spans="6:8">
      <c r="H4330" t="s">
        <v>20197</v>
      </c>
    </row>
    <row r="4331" spans="6:8">
      <c r="H4331" t="s">
        <v>20195</v>
      </c>
    </row>
    <row r="4332" spans="6:8">
      <c r="H4332" t="s">
        <v>20198</v>
      </c>
    </row>
    <row r="4333" spans="6:8">
      <c r="F4333" t="s">
        <v>11304</v>
      </c>
      <c r="G4333" t="s">
        <v>15617</v>
      </c>
      <c r="H4333" t="s">
        <v>20091</v>
      </c>
    </row>
    <row r="4334" spans="6:8">
      <c r="H4334" t="s">
        <v>19712</v>
      </c>
    </row>
    <row r="4335" spans="6:8">
      <c r="H4335" t="s">
        <v>19706</v>
      </c>
    </row>
    <row r="4336" spans="6:8">
      <c r="H4336" t="s">
        <v>20093</v>
      </c>
    </row>
    <row r="4337" spans="8:8">
      <c r="H4337" t="s">
        <v>20095</v>
      </c>
    </row>
    <row r="4338" spans="8:8">
      <c r="H4338" t="s">
        <v>20096</v>
      </c>
    </row>
    <row r="4339" spans="8:8">
      <c r="H4339" t="s">
        <v>20099</v>
      </c>
    </row>
    <row r="4340" spans="8:8">
      <c r="H4340" t="s">
        <v>20101</v>
      </c>
    </row>
    <row r="4341" spans="8:8">
      <c r="H4341" t="s">
        <v>20102</v>
      </c>
    </row>
    <row r="4342" spans="8:8">
      <c r="H4342" t="s">
        <v>20104</v>
      </c>
    </row>
    <row r="4343" spans="8:8">
      <c r="H4343" t="s">
        <v>20105</v>
      </c>
    </row>
    <row r="4344" spans="8:8">
      <c r="H4344" t="s">
        <v>20123</v>
      </c>
    </row>
    <row r="4345" spans="8:8">
      <c r="H4345" t="s">
        <v>20124</v>
      </c>
    </row>
    <row r="4346" spans="8:8">
      <c r="H4346" t="s">
        <v>20192</v>
      </c>
    </row>
    <row r="4347" spans="8:8">
      <c r="H4347" t="s">
        <v>20193</v>
      </c>
    </row>
    <row r="4348" spans="8:8">
      <c r="H4348" t="s">
        <v>20194</v>
      </c>
    </row>
    <row r="4349" spans="8:8">
      <c r="H4349" t="s">
        <v>19177</v>
      </c>
    </row>
    <row r="4350" spans="8:8">
      <c r="H4350" t="s">
        <v>20196</v>
      </c>
    </row>
    <row r="4351" spans="8:8">
      <c r="H4351" t="s">
        <v>20197</v>
      </c>
    </row>
    <row r="4352" spans="8:8">
      <c r="H4352" t="s">
        <v>20100</v>
      </c>
    </row>
    <row r="4353" spans="6:8">
      <c r="H4353" t="s">
        <v>20195</v>
      </c>
    </row>
    <row r="4354" spans="6:8">
      <c r="H4354" t="s">
        <v>20198</v>
      </c>
    </row>
    <row r="4355" spans="6:8">
      <c r="F4355" t="s">
        <v>11305</v>
      </c>
      <c r="G4355" t="s">
        <v>15618</v>
      </c>
      <c r="H4355" t="s">
        <v>20091</v>
      </c>
    </row>
    <row r="4356" spans="6:8">
      <c r="H4356" t="s">
        <v>19712</v>
      </c>
    </row>
    <row r="4357" spans="6:8">
      <c r="H4357" t="s">
        <v>19706</v>
      </c>
    </row>
    <row r="4358" spans="6:8">
      <c r="H4358" t="s">
        <v>20093</v>
      </c>
    </row>
    <row r="4359" spans="6:8">
      <c r="H4359" t="s">
        <v>20095</v>
      </c>
    </row>
    <row r="4360" spans="6:8">
      <c r="H4360" t="s">
        <v>20096</v>
      </c>
    </row>
    <row r="4361" spans="6:8">
      <c r="H4361" t="s">
        <v>20099</v>
      </c>
    </row>
    <row r="4362" spans="6:8">
      <c r="H4362" t="s">
        <v>20100</v>
      </c>
    </row>
    <row r="4363" spans="6:8">
      <c r="H4363" t="s">
        <v>20101</v>
      </c>
    </row>
    <row r="4364" spans="6:8">
      <c r="H4364" t="s">
        <v>20102</v>
      </c>
    </row>
    <row r="4365" spans="6:8">
      <c r="H4365" t="s">
        <v>20104</v>
      </c>
    </row>
    <row r="4366" spans="6:8">
      <c r="H4366" t="s">
        <v>20105</v>
      </c>
    </row>
    <row r="4367" spans="6:8">
      <c r="H4367" t="s">
        <v>20123</v>
      </c>
    </row>
    <row r="4368" spans="6:8">
      <c r="H4368" t="s">
        <v>20124</v>
      </c>
    </row>
    <row r="4369" spans="6:8">
      <c r="H4369" t="s">
        <v>20192</v>
      </c>
    </row>
    <row r="4370" spans="6:8">
      <c r="H4370" t="s">
        <v>20193</v>
      </c>
    </row>
    <row r="4371" spans="6:8">
      <c r="H4371" t="s">
        <v>20194</v>
      </c>
    </row>
    <row r="4372" spans="6:8">
      <c r="H4372" t="s">
        <v>19177</v>
      </c>
    </row>
    <row r="4373" spans="6:8">
      <c r="H4373" t="s">
        <v>20196</v>
      </c>
    </row>
    <row r="4374" spans="6:8">
      <c r="H4374" t="s">
        <v>20197</v>
      </c>
    </row>
    <row r="4375" spans="6:8">
      <c r="H4375" t="s">
        <v>20195</v>
      </c>
    </row>
    <row r="4376" spans="6:8">
      <c r="H4376" t="s">
        <v>20198</v>
      </c>
    </row>
    <row r="4377" spans="6:8">
      <c r="F4377" t="s">
        <v>11306</v>
      </c>
      <c r="G4377" t="s">
        <v>15619</v>
      </c>
      <c r="H4377" t="s">
        <v>20091</v>
      </c>
    </row>
    <row r="4378" spans="6:8">
      <c r="H4378" t="s">
        <v>19712</v>
      </c>
    </row>
    <row r="4379" spans="6:8">
      <c r="H4379" t="s">
        <v>19709</v>
      </c>
    </row>
    <row r="4380" spans="6:8">
      <c r="H4380" t="s">
        <v>19706</v>
      </c>
    </row>
    <row r="4381" spans="6:8">
      <c r="H4381" t="s">
        <v>20093</v>
      </c>
    </row>
    <row r="4382" spans="6:8">
      <c r="H4382" t="s">
        <v>20095</v>
      </c>
    </row>
    <row r="4383" spans="6:8">
      <c r="H4383" t="s">
        <v>20096</v>
      </c>
    </row>
    <row r="4384" spans="6:8">
      <c r="H4384" t="s">
        <v>20099</v>
      </c>
    </row>
    <row r="4385" spans="6:8">
      <c r="H4385" t="s">
        <v>20101</v>
      </c>
    </row>
    <row r="4386" spans="6:8">
      <c r="H4386" t="s">
        <v>20102</v>
      </c>
    </row>
    <row r="4387" spans="6:8">
      <c r="H4387" t="s">
        <v>20104</v>
      </c>
    </row>
    <row r="4388" spans="6:8">
      <c r="H4388" t="s">
        <v>20105</v>
      </c>
    </row>
    <row r="4389" spans="6:8">
      <c r="H4389" t="s">
        <v>20123</v>
      </c>
    </row>
    <row r="4390" spans="6:8">
      <c r="H4390" t="s">
        <v>20124</v>
      </c>
    </row>
    <row r="4391" spans="6:8">
      <c r="H4391" t="s">
        <v>20192</v>
      </c>
    </row>
    <row r="4392" spans="6:8">
      <c r="H4392" t="s">
        <v>20193</v>
      </c>
    </row>
    <row r="4393" spans="6:8">
      <c r="H4393" t="s">
        <v>20194</v>
      </c>
    </row>
    <row r="4394" spans="6:8">
      <c r="H4394" t="s">
        <v>19177</v>
      </c>
    </row>
    <row r="4395" spans="6:8">
      <c r="H4395" t="s">
        <v>20196</v>
      </c>
    </row>
    <row r="4396" spans="6:8">
      <c r="H4396" t="s">
        <v>20197</v>
      </c>
    </row>
    <row r="4397" spans="6:8">
      <c r="H4397" t="s">
        <v>20100</v>
      </c>
    </row>
    <row r="4398" spans="6:8">
      <c r="H4398" t="s">
        <v>20195</v>
      </c>
    </row>
    <row r="4399" spans="6:8">
      <c r="H4399" t="s">
        <v>20116</v>
      </c>
    </row>
    <row r="4400" spans="6:8">
      <c r="F4400" t="s">
        <v>11307</v>
      </c>
      <c r="G4400" t="s">
        <v>15260</v>
      </c>
      <c r="H4400" t="s">
        <v>20091</v>
      </c>
    </row>
    <row r="4401" spans="6:8">
      <c r="H4401" t="s">
        <v>19712</v>
      </c>
    </row>
    <row r="4402" spans="6:8">
      <c r="H4402" t="s">
        <v>19709</v>
      </c>
    </row>
    <row r="4403" spans="6:8">
      <c r="H4403" t="s">
        <v>19706</v>
      </c>
    </row>
    <row r="4404" spans="6:8">
      <c r="H4404" t="s">
        <v>20107</v>
      </c>
    </row>
    <row r="4405" spans="6:8">
      <c r="H4405" t="s">
        <v>20108</v>
      </c>
    </row>
    <row r="4406" spans="6:8">
      <c r="H4406" t="s">
        <v>19713</v>
      </c>
    </row>
    <row r="4407" spans="6:8">
      <c r="H4407" t="s">
        <v>20095</v>
      </c>
    </row>
    <row r="4408" spans="6:8">
      <c r="H4408" t="s">
        <v>20096</v>
      </c>
    </row>
    <row r="4409" spans="6:8">
      <c r="H4409" t="s">
        <v>20097</v>
      </c>
    </row>
    <row r="4410" spans="6:8">
      <c r="H4410" t="s">
        <v>20098</v>
      </c>
    </row>
    <row r="4411" spans="6:8">
      <c r="F4411" t="s">
        <v>11308</v>
      </c>
      <c r="G4411" t="s">
        <v>15261</v>
      </c>
      <c r="H4411" t="s">
        <v>20091</v>
      </c>
    </row>
    <row r="4412" spans="6:8">
      <c r="H4412" t="s">
        <v>19712</v>
      </c>
    </row>
    <row r="4413" spans="6:8">
      <c r="H4413" t="s">
        <v>19709</v>
      </c>
    </row>
    <row r="4414" spans="6:8">
      <c r="H4414" t="s">
        <v>19706</v>
      </c>
    </row>
    <row r="4415" spans="6:8">
      <c r="H4415" t="s">
        <v>20107</v>
      </c>
    </row>
    <row r="4416" spans="6:8">
      <c r="H4416" t="s">
        <v>20108</v>
      </c>
    </row>
    <row r="4417" spans="6:8">
      <c r="H4417" t="s">
        <v>19713</v>
      </c>
    </row>
    <row r="4418" spans="6:8">
      <c r="H4418" t="s">
        <v>20096</v>
      </c>
    </row>
    <row r="4419" spans="6:8">
      <c r="H4419" t="s">
        <v>20097</v>
      </c>
    </row>
    <row r="4420" spans="6:8">
      <c r="H4420" t="s">
        <v>20098</v>
      </c>
    </row>
    <row r="4421" spans="6:8">
      <c r="F4421" t="s">
        <v>11309</v>
      </c>
      <c r="G4421" t="s">
        <v>15262</v>
      </c>
      <c r="H4421" t="s">
        <v>20091</v>
      </c>
    </row>
    <row r="4422" spans="6:8">
      <c r="H4422" t="s">
        <v>19712</v>
      </c>
    </row>
    <row r="4423" spans="6:8">
      <c r="H4423" t="s">
        <v>19709</v>
      </c>
    </row>
    <row r="4424" spans="6:8">
      <c r="H4424" t="s">
        <v>19706</v>
      </c>
    </row>
    <row r="4425" spans="6:8">
      <c r="H4425" t="s">
        <v>19707</v>
      </c>
    </row>
    <row r="4426" spans="6:8">
      <c r="H4426" t="s">
        <v>20107</v>
      </c>
    </row>
    <row r="4427" spans="6:8">
      <c r="H4427" t="s">
        <v>20108</v>
      </c>
    </row>
    <row r="4428" spans="6:8">
      <c r="H4428" t="s">
        <v>19713</v>
      </c>
    </row>
    <row r="4429" spans="6:8">
      <c r="H4429" t="s">
        <v>20095</v>
      </c>
    </row>
    <row r="4430" spans="6:8">
      <c r="H4430" t="s">
        <v>20096</v>
      </c>
    </row>
    <row r="4431" spans="6:8">
      <c r="H4431" t="s">
        <v>20097</v>
      </c>
    </row>
    <row r="4432" spans="6:8">
      <c r="H4432" t="s">
        <v>20098</v>
      </c>
    </row>
    <row r="4433" spans="6:8">
      <c r="F4433" t="s">
        <v>11310</v>
      </c>
      <c r="G4433" t="s">
        <v>15620</v>
      </c>
      <c r="H4433" t="s">
        <v>20091</v>
      </c>
    </row>
    <row r="4434" spans="6:8">
      <c r="H4434" t="s">
        <v>19712</v>
      </c>
    </row>
    <row r="4435" spans="6:8">
      <c r="H4435" t="s">
        <v>20092</v>
      </c>
    </row>
    <row r="4436" spans="6:8">
      <c r="H4436" t="s">
        <v>20095</v>
      </c>
    </row>
    <row r="4437" spans="6:8">
      <c r="H4437" t="s">
        <v>20096</v>
      </c>
    </row>
    <row r="4438" spans="6:8">
      <c r="H4438" t="s">
        <v>20097</v>
      </c>
    </row>
    <row r="4439" spans="6:8">
      <c r="H4439" t="s">
        <v>20098</v>
      </c>
    </row>
    <row r="4440" spans="6:8">
      <c r="H4440" t="s">
        <v>20099</v>
      </c>
    </row>
    <row r="4441" spans="6:8">
      <c r="F4441" t="s">
        <v>11311</v>
      </c>
      <c r="G4441" t="s">
        <v>15621</v>
      </c>
      <c r="H4441" t="s">
        <v>20092</v>
      </c>
    </row>
    <row r="4442" spans="6:8">
      <c r="H4442" t="s">
        <v>20094</v>
      </c>
    </row>
    <row r="4443" spans="6:8">
      <c r="H4443" t="s">
        <v>20095</v>
      </c>
    </row>
    <row r="4444" spans="6:8">
      <c r="H4444" t="s">
        <v>20096</v>
      </c>
    </row>
    <row r="4445" spans="6:8">
      <c r="H4445" t="s">
        <v>20097</v>
      </c>
    </row>
    <row r="4446" spans="6:8">
      <c r="H4446" t="s">
        <v>20098</v>
      </c>
    </row>
    <row r="4447" spans="6:8">
      <c r="H4447" t="s">
        <v>20099</v>
      </c>
    </row>
    <row r="4448" spans="6:8">
      <c r="F4448" t="s">
        <v>11312</v>
      </c>
      <c r="G4448" t="s">
        <v>15622</v>
      </c>
      <c r="H4448" t="s">
        <v>20091</v>
      </c>
    </row>
    <row r="4449" spans="6:8">
      <c r="H4449" t="s">
        <v>20095</v>
      </c>
    </row>
    <row r="4450" spans="6:8">
      <c r="H4450" t="s">
        <v>20096</v>
      </c>
    </row>
    <row r="4451" spans="6:8">
      <c r="H4451" t="s">
        <v>20097</v>
      </c>
    </row>
    <row r="4452" spans="6:8">
      <c r="H4452" t="s">
        <v>20098</v>
      </c>
    </row>
    <row r="4453" spans="6:8">
      <c r="H4453" t="s">
        <v>20099</v>
      </c>
    </row>
    <row r="4454" spans="6:8">
      <c r="H4454" t="s">
        <v>20100</v>
      </c>
    </row>
    <row r="4455" spans="6:8">
      <c r="F4455" t="s">
        <v>11313</v>
      </c>
      <c r="G4455" t="s">
        <v>15623</v>
      </c>
      <c r="H4455" t="s">
        <v>20091</v>
      </c>
    </row>
    <row r="4456" spans="6:8">
      <c r="H4456" t="s">
        <v>19712</v>
      </c>
    </row>
    <row r="4457" spans="6:8">
      <c r="H4457" t="s">
        <v>20095</v>
      </c>
    </row>
    <row r="4458" spans="6:8">
      <c r="H4458" t="s">
        <v>20096</v>
      </c>
    </row>
    <row r="4459" spans="6:8">
      <c r="H4459" t="s">
        <v>20097</v>
      </c>
    </row>
    <row r="4460" spans="6:8">
      <c r="H4460" t="s">
        <v>20098</v>
      </c>
    </row>
    <row r="4461" spans="6:8">
      <c r="H4461" t="s">
        <v>20099</v>
      </c>
    </row>
    <row r="4462" spans="6:8">
      <c r="H4462" t="s">
        <v>20100</v>
      </c>
    </row>
    <row r="4463" spans="6:8">
      <c r="F4463" t="s">
        <v>11314</v>
      </c>
      <c r="G4463" t="s">
        <v>15624</v>
      </c>
      <c r="H4463" t="s">
        <v>20091</v>
      </c>
    </row>
    <row r="4464" spans="6:8">
      <c r="H4464" t="s">
        <v>19712</v>
      </c>
    </row>
    <row r="4465" spans="6:8">
      <c r="H4465" t="s">
        <v>20095</v>
      </c>
    </row>
    <row r="4466" spans="6:8">
      <c r="H4466" t="s">
        <v>20097</v>
      </c>
    </row>
    <row r="4467" spans="6:8">
      <c r="F4467" t="s">
        <v>11315</v>
      </c>
      <c r="G4467" t="s">
        <v>15625</v>
      </c>
      <c r="H4467" t="s">
        <v>20091</v>
      </c>
    </row>
    <row r="4468" spans="6:8">
      <c r="H4468" t="s">
        <v>20095</v>
      </c>
    </row>
    <row r="4469" spans="6:8">
      <c r="H4469" t="s">
        <v>20096</v>
      </c>
    </row>
    <row r="4470" spans="6:8">
      <c r="H4470" t="s">
        <v>20097</v>
      </c>
    </row>
    <row r="4471" spans="6:8">
      <c r="H4471" t="s">
        <v>20098</v>
      </c>
    </row>
    <row r="4472" spans="6:8">
      <c r="H4472" t="s">
        <v>20099</v>
      </c>
    </row>
    <row r="4473" spans="6:8">
      <c r="H4473" t="s">
        <v>20100</v>
      </c>
    </row>
    <row r="4474" spans="6:8">
      <c r="F4474" t="s">
        <v>11316</v>
      </c>
      <c r="G4474" t="s">
        <v>15626</v>
      </c>
      <c r="H4474" t="s">
        <v>20091</v>
      </c>
    </row>
    <row r="4475" spans="6:8">
      <c r="H4475" t="s">
        <v>20095</v>
      </c>
    </row>
    <row r="4476" spans="6:8">
      <c r="H4476" t="s">
        <v>20096</v>
      </c>
    </row>
    <row r="4477" spans="6:8">
      <c r="H4477" t="s">
        <v>20097</v>
      </c>
    </row>
    <row r="4478" spans="6:8">
      <c r="H4478" t="s">
        <v>20098</v>
      </c>
    </row>
    <row r="4479" spans="6:8">
      <c r="H4479" t="s">
        <v>20099</v>
      </c>
    </row>
    <row r="4480" spans="6:8">
      <c r="H4480" t="s">
        <v>20100</v>
      </c>
    </row>
    <row r="4481" spans="6:8">
      <c r="F4481" t="s">
        <v>11317</v>
      </c>
      <c r="G4481" t="s">
        <v>15627</v>
      </c>
      <c r="H4481" t="s">
        <v>20091</v>
      </c>
    </row>
    <row r="4482" spans="6:8">
      <c r="H4482" t="s">
        <v>20095</v>
      </c>
    </row>
    <row r="4483" spans="6:8">
      <c r="H4483" t="s">
        <v>20096</v>
      </c>
    </row>
    <row r="4484" spans="6:8">
      <c r="H4484" t="s">
        <v>20097</v>
      </c>
    </row>
    <row r="4485" spans="6:8">
      <c r="H4485" t="s">
        <v>20098</v>
      </c>
    </row>
    <row r="4486" spans="6:8">
      <c r="H4486" t="s">
        <v>20099</v>
      </c>
    </row>
    <row r="4487" spans="6:8">
      <c r="H4487" t="s">
        <v>20100</v>
      </c>
    </row>
    <row r="4488" spans="6:8">
      <c r="F4488" t="s">
        <v>11318</v>
      </c>
      <c r="G4488" t="s">
        <v>15628</v>
      </c>
      <c r="H4488" t="s">
        <v>20091</v>
      </c>
    </row>
    <row r="4489" spans="6:8">
      <c r="H4489" t="s">
        <v>20095</v>
      </c>
    </row>
    <row r="4490" spans="6:8">
      <c r="H4490" t="s">
        <v>20096</v>
      </c>
    </row>
    <row r="4491" spans="6:8">
      <c r="H4491" t="s">
        <v>20097</v>
      </c>
    </row>
    <row r="4492" spans="6:8">
      <c r="H4492" t="s">
        <v>20098</v>
      </c>
    </row>
    <row r="4493" spans="6:8">
      <c r="H4493" t="s">
        <v>20099</v>
      </c>
    </row>
    <row r="4494" spans="6:8">
      <c r="H4494" t="s">
        <v>20100</v>
      </c>
    </row>
    <row r="4495" spans="6:8">
      <c r="F4495" t="s">
        <v>11319</v>
      </c>
      <c r="G4495" t="s">
        <v>15629</v>
      </c>
      <c r="H4495" t="s">
        <v>20091</v>
      </c>
    </row>
    <row r="4496" spans="6:8">
      <c r="H4496" t="s">
        <v>20095</v>
      </c>
    </row>
    <row r="4497" spans="6:8">
      <c r="H4497" t="s">
        <v>20096</v>
      </c>
    </row>
    <row r="4498" spans="6:8">
      <c r="H4498" t="s">
        <v>20097</v>
      </c>
    </row>
    <row r="4499" spans="6:8">
      <c r="H4499" t="s">
        <v>20098</v>
      </c>
    </row>
    <row r="4500" spans="6:8">
      <c r="H4500" t="s">
        <v>20099</v>
      </c>
    </row>
    <row r="4501" spans="6:8">
      <c r="H4501" t="s">
        <v>20100</v>
      </c>
    </row>
    <row r="4502" spans="6:8">
      <c r="H4502" t="s">
        <v>20101</v>
      </c>
    </row>
    <row r="4503" spans="6:8">
      <c r="F4503" t="s">
        <v>11320</v>
      </c>
      <c r="G4503" t="s">
        <v>15630</v>
      </c>
      <c r="H4503" t="s">
        <v>20091</v>
      </c>
    </row>
    <row r="4504" spans="6:8">
      <c r="H4504" t="s">
        <v>19712</v>
      </c>
    </row>
    <row r="4505" spans="6:8">
      <c r="H4505" t="s">
        <v>20095</v>
      </c>
    </row>
    <row r="4506" spans="6:8">
      <c r="H4506" t="s">
        <v>20096</v>
      </c>
    </row>
    <row r="4507" spans="6:8">
      <c r="H4507" t="s">
        <v>20097</v>
      </c>
    </row>
    <row r="4508" spans="6:8">
      <c r="H4508" t="s">
        <v>20098</v>
      </c>
    </row>
    <row r="4509" spans="6:8">
      <c r="H4509" t="s">
        <v>20099</v>
      </c>
    </row>
    <row r="4510" spans="6:8">
      <c r="H4510" t="s">
        <v>20100</v>
      </c>
    </row>
    <row r="4511" spans="6:8">
      <c r="H4511" t="s">
        <v>20101</v>
      </c>
    </row>
    <row r="4512" spans="6:8">
      <c r="F4512" t="s">
        <v>11321</v>
      </c>
      <c r="G4512" t="s">
        <v>15631</v>
      </c>
      <c r="H4512" t="s">
        <v>20091</v>
      </c>
    </row>
    <row r="4513" spans="6:8">
      <c r="H4513" t="s">
        <v>20095</v>
      </c>
    </row>
    <row r="4514" spans="6:8">
      <c r="H4514" t="s">
        <v>20096</v>
      </c>
    </row>
    <row r="4515" spans="6:8">
      <c r="H4515" t="s">
        <v>20097</v>
      </c>
    </row>
    <row r="4516" spans="6:8">
      <c r="H4516" t="s">
        <v>20098</v>
      </c>
    </row>
    <row r="4517" spans="6:8">
      <c r="H4517" t="s">
        <v>20099</v>
      </c>
    </row>
    <row r="4518" spans="6:8">
      <c r="H4518" t="s">
        <v>20100</v>
      </c>
    </row>
    <row r="4519" spans="6:8">
      <c r="H4519" t="s">
        <v>20101</v>
      </c>
    </row>
    <row r="4520" spans="6:8">
      <c r="F4520" t="s">
        <v>11322</v>
      </c>
      <c r="G4520" t="s">
        <v>15632</v>
      </c>
      <c r="H4520" t="s">
        <v>20091</v>
      </c>
    </row>
    <row r="4521" spans="6:8">
      <c r="H4521" t="s">
        <v>19712</v>
      </c>
    </row>
    <row r="4522" spans="6:8">
      <c r="H4522" t="s">
        <v>20095</v>
      </c>
    </row>
    <row r="4523" spans="6:8">
      <c r="H4523" t="s">
        <v>20096</v>
      </c>
    </row>
    <row r="4524" spans="6:8">
      <c r="H4524" t="s">
        <v>20097</v>
      </c>
    </row>
    <row r="4525" spans="6:8">
      <c r="H4525" t="s">
        <v>20098</v>
      </c>
    </row>
    <row r="4526" spans="6:8">
      <c r="H4526" t="s">
        <v>20100</v>
      </c>
    </row>
    <row r="4527" spans="6:8">
      <c r="F4527" t="s">
        <v>11323</v>
      </c>
      <c r="G4527" t="s">
        <v>15633</v>
      </c>
      <c r="H4527" t="s">
        <v>20091</v>
      </c>
    </row>
    <row r="4528" spans="6:8">
      <c r="H4528" t="s">
        <v>19712</v>
      </c>
    </row>
    <row r="4529" spans="6:8">
      <c r="H4529" t="s">
        <v>19709</v>
      </c>
    </row>
    <row r="4530" spans="6:8">
      <c r="H4530" t="s">
        <v>20095</v>
      </c>
    </row>
    <row r="4531" spans="6:8">
      <c r="H4531" t="s">
        <v>20096</v>
      </c>
    </row>
    <row r="4532" spans="6:8">
      <c r="H4532" t="s">
        <v>20097</v>
      </c>
    </row>
    <row r="4533" spans="6:8">
      <c r="H4533" t="s">
        <v>20098</v>
      </c>
    </row>
    <row r="4534" spans="6:8">
      <c r="H4534" t="s">
        <v>20099</v>
      </c>
    </row>
    <row r="4535" spans="6:8">
      <c r="H4535" t="s">
        <v>20100</v>
      </c>
    </row>
    <row r="4536" spans="6:8">
      <c r="F4536" t="s">
        <v>11324</v>
      </c>
      <c r="G4536" t="s">
        <v>15634</v>
      </c>
      <c r="H4536" t="s">
        <v>20091</v>
      </c>
    </row>
    <row r="4537" spans="6:8">
      <c r="H4537" t="s">
        <v>19712</v>
      </c>
    </row>
    <row r="4538" spans="6:8">
      <c r="H4538" t="s">
        <v>20095</v>
      </c>
    </row>
    <row r="4539" spans="6:8">
      <c r="H4539" t="s">
        <v>20096</v>
      </c>
    </row>
    <row r="4540" spans="6:8">
      <c r="H4540" t="s">
        <v>20097</v>
      </c>
    </row>
    <row r="4541" spans="6:8">
      <c r="H4541" t="s">
        <v>20098</v>
      </c>
    </row>
    <row r="4542" spans="6:8">
      <c r="H4542" t="s">
        <v>20099</v>
      </c>
    </row>
    <row r="4543" spans="6:8">
      <c r="H4543" t="s">
        <v>20100</v>
      </c>
    </row>
    <row r="4544" spans="6:8">
      <c r="F4544" t="s">
        <v>11325</v>
      </c>
      <c r="G4544" t="s">
        <v>15263</v>
      </c>
      <c r="H4544" t="s">
        <v>20091</v>
      </c>
    </row>
    <row r="4545" spans="6:8">
      <c r="H4545" t="s">
        <v>19712</v>
      </c>
    </row>
    <row r="4546" spans="6:8">
      <c r="H4546" t="s">
        <v>19709</v>
      </c>
    </row>
    <row r="4547" spans="6:8">
      <c r="H4547" t="s">
        <v>19706</v>
      </c>
    </row>
    <row r="4548" spans="6:8">
      <c r="H4548" t="s">
        <v>20107</v>
      </c>
    </row>
    <row r="4549" spans="6:8">
      <c r="H4549" t="s">
        <v>20108</v>
      </c>
    </row>
    <row r="4550" spans="6:8">
      <c r="H4550" t="s">
        <v>19713</v>
      </c>
    </row>
    <row r="4551" spans="6:8">
      <c r="H4551" t="s">
        <v>19714</v>
      </c>
    </row>
    <row r="4552" spans="6:8">
      <c r="H4552" t="s">
        <v>20109</v>
      </c>
    </row>
    <row r="4553" spans="6:8">
      <c r="H4553" t="s">
        <v>20110</v>
      </c>
    </row>
    <row r="4554" spans="6:8">
      <c r="H4554" t="s">
        <v>20111</v>
      </c>
    </row>
    <row r="4555" spans="6:8">
      <c r="H4555" t="s">
        <v>20112</v>
      </c>
    </row>
    <row r="4556" spans="6:8">
      <c r="H4556" t="s">
        <v>20095</v>
      </c>
    </row>
    <row r="4557" spans="6:8">
      <c r="H4557" t="s">
        <v>20096</v>
      </c>
    </row>
    <row r="4558" spans="6:8">
      <c r="H4558" t="s">
        <v>20097</v>
      </c>
    </row>
    <row r="4559" spans="6:8">
      <c r="F4559" t="s">
        <v>11326</v>
      </c>
      <c r="G4559" t="s">
        <v>15264</v>
      </c>
      <c r="H4559" t="s">
        <v>20091</v>
      </c>
    </row>
    <row r="4560" spans="6:8">
      <c r="H4560" t="s">
        <v>19712</v>
      </c>
    </row>
    <row r="4561" spans="6:8">
      <c r="H4561" t="s">
        <v>19709</v>
      </c>
    </row>
    <row r="4562" spans="6:8">
      <c r="H4562" t="s">
        <v>19706</v>
      </c>
    </row>
    <row r="4563" spans="6:8">
      <c r="H4563" t="s">
        <v>20107</v>
      </c>
    </row>
    <row r="4564" spans="6:8">
      <c r="H4564" t="s">
        <v>20108</v>
      </c>
    </row>
    <row r="4565" spans="6:8">
      <c r="H4565" t="s">
        <v>19713</v>
      </c>
    </row>
    <row r="4566" spans="6:8">
      <c r="H4566" t="s">
        <v>19714</v>
      </c>
    </row>
    <row r="4567" spans="6:8">
      <c r="H4567" t="s">
        <v>20109</v>
      </c>
    </row>
    <row r="4568" spans="6:8">
      <c r="H4568" t="s">
        <v>20110</v>
      </c>
    </row>
    <row r="4569" spans="6:8">
      <c r="H4569" t="s">
        <v>20111</v>
      </c>
    </row>
    <row r="4570" spans="6:8">
      <c r="H4570" t="s">
        <v>20112</v>
      </c>
    </row>
    <row r="4571" spans="6:8">
      <c r="H4571" t="s">
        <v>20095</v>
      </c>
    </row>
    <row r="4572" spans="6:8">
      <c r="H4572" t="s">
        <v>20096</v>
      </c>
    </row>
    <row r="4573" spans="6:8">
      <c r="H4573" t="s">
        <v>20097</v>
      </c>
    </row>
    <row r="4574" spans="6:8">
      <c r="F4574" t="s">
        <v>11327</v>
      </c>
      <c r="G4574" t="s">
        <v>15265</v>
      </c>
      <c r="H4574" t="s">
        <v>20091</v>
      </c>
    </row>
    <row r="4575" spans="6:8">
      <c r="H4575" t="s">
        <v>19712</v>
      </c>
    </row>
    <row r="4576" spans="6:8">
      <c r="H4576" t="s">
        <v>19709</v>
      </c>
    </row>
    <row r="4577" spans="6:8">
      <c r="H4577" t="s">
        <v>19706</v>
      </c>
    </row>
    <row r="4578" spans="6:8">
      <c r="H4578" t="s">
        <v>20107</v>
      </c>
    </row>
    <row r="4579" spans="6:8">
      <c r="H4579" t="s">
        <v>20108</v>
      </c>
    </row>
    <row r="4580" spans="6:8">
      <c r="H4580" t="s">
        <v>19713</v>
      </c>
    </row>
    <row r="4581" spans="6:8">
      <c r="H4581" t="s">
        <v>19714</v>
      </c>
    </row>
    <row r="4582" spans="6:8">
      <c r="H4582" t="s">
        <v>20109</v>
      </c>
    </row>
    <row r="4583" spans="6:8">
      <c r="H4583" t="s">
        <v>20110</v>
      </c>
    </row>
    <row r="4584" spans="6:8">
      <c r="H4584" t="s">
        <v>20111</v>
      </c>
    </row>
    <row r="4585" spans="6:8">
      <c r="H4585" t="s">
        <v>20112</v>
      </c>
    </row>
    <row r="4586" spans="6:8">
      <c r="H4586" t="s">
        <v>20095</v>
      </c>
    </row>
    <row r="4587" spans="6:8">
      <c r="H4587" t="s">
        <v>20096</v>
      </c>
    </row>
    <row r="4588" spans="6:8">
      <c r="H4588" t="s">
        <v>20097</v>
      </c>
    </row>
    <row r="4589" spans="6:8">
      <c r="H4589" t="s">
        <v>20098</v>
      </c>
    </row>
    <row r="4590" spans="6:8">
      <c r="F4590" t="s">
        <v>11328</v>
      </c>
      <c r="G4590" t="s">
        <v>15266</v>
      </c>
      <c r="H4590" t="s">
        <v>20091</v>
      </c>
    </row>
    <row r="4591" spans="6:8">
      <c r="H4591" t="s">
        <v>19712</v>
      </c>
    </row>
    <row r="4592" spans="6:8">
      <c r="H4592" t="s">
        <v>19709</v>
      </c>
    </row>
    <row r="4593" spans="6:8">
      <c r="H4593" t="s">
        <v>19706</v>
      </c>
    </row>
    <row r="4594" spans="6:8">
      <c r="H4594" t="s">
        <v>20107</v>
      </c>
    </row>
    <row r="4595" spans="6:8">
      <c r="H4595" t="s">
        <v>20108</v>
      </c>
    </row>
    <row r="4596" spans="6:8">
      <c r="H4596" t="s">
        <v>19713</v>
      </c>
    </row>
    <row r="4597" spans="6:8">
      <c r="H4597" t="s">
        <v>19714</v>
      </c>
    </row>
    <row r="4598" spans="6:8">
      <c r="H4598" t="s">
        <v>20109</v>
      </c>
    </row>
    <row r="4599" spans="6:8">
      <c r="H4599" t="s">
        <v>20110</v>
      </c>
    </row>
    <row r="4600" spans="6:8">
      <c r="H4600" t="s">
        <v>20111</v>
      </c>
    </row>
    <row r="4601" spans="6:8">
      <c r="H4601" t="s">
        <v>20112</v>
      </c>
    </row>
    <row r="4602" spans="6:8">
      <c r="H4602" t="s">
        <v>20095</v>
      </c>
    </row>
    <row r="4603" spans="6:8">
      <c r="H4603" t="s">
        <v>20096</v>
      </c>
    </row>
    <row r="4604" spans="6:8">
      <c r="H4604" t="s">
        <v>20097</v>
      </c>
    </row>
    <row r="4605" spans="6:8">
      <c r="H4605" t="s">
        <v>20098</v>
      </c>
    </row>
    <row r="4606" spans="6:8">
      <c r="F4606" t="s">
        <v>11329</v>
      </c>
      <c r="G4606" t="s">
        <v>15267</v>
      </c>
      <c r="H4606" t="s">
        <v>20091</v>
      </c>
    </row>
    <row r="4607" spans="6:8">
      <c r="H4607" t="s">
        <v>19712</v>
      </c>
    </row>
    <row r="4608" spans="6:8">
      <c r="H4608" t="s">
        <v>19709</v>
      </c>
    </row>
    <row r="4609" spans="6:8">
      <c r="H4609" t="s">
        <v>19706</v>
      </c>
    </row>
    <row r="4610" spans="6:8">
      <c r="H4610" t="s">
        <v>19707</v>
      </c>
    </row>
    <row r="4611" spans="6:8">
      <c r="H4611" t="s">
        <v>20107</v>
      </c>
    </row>
    <row r="4612" spans="6:8">
      <c r="H4612" t="s">
        <v>20108</v>
      </c>
    </row>
    <row r="4613" spans="6:8">
      <c r="H4613" t="s">
        <v>19713</v>
      </c>
    </row>
    <row r="4614" spans="6:8">
      <c r="H4614" t="s">
        <v>19714</v>
      </c>
    </row>
    <row r="4615" spans="6:8">
      <c r="H4615" t="s">
        <v>20109</v>
      </c>
    </row>
    <row r="4616" spans="6:8">
      <c r="H4616" t="s">
        <v>20095</v>
      </c>
    </row>
    <row r="4617" spans="6:8">
      <c r="H4617" t="s">
        <v>20096</v>
      </c>
    </row>
    <row r="4618" spans="6:8">
      <c r="H4618" t="s">
        <v>20097</v>
      </c>
    </row>
    <row r="4619" spans="6:8">
      <c r="H4619" t="s">
        <v>20098</v>
      </c>
    </row>
    <row r="4620" spans="6:8">
      <c r="F4620" t="s">
        <v>11330</v>
      </c>
      <c r="G4620" t="s">
        <v>15268</v>
      </c>
      <c r="H4620" t="s">
        <v>20091</v>
      </c>
    </row>
    <row r="4621" spans="6:8">
      <c r="H4621" t="s">
        <v>19712</v>
      </c>
    </row>
    <row r="4622" spans="6:8">
      <c r="H4622" t="s">
        <v>19709</v>
      </c>
    </row>
    <row r="4623" spans="6:8">
      <c r="H4623" t="s">
        <v>19706</v>
      </c>
    </row>
    <row r="4624" spans="6:8">
      <c r="H4624" t="s">
        <v>19707</v>
      </c>
    </row>
    <row r="4625" spans="6:8">
      <c r="H4625" t="s">
        <v>20107</v>
      </c>
    </row>
    <row r="4626" spans="6:8">
      <c r="H4626" t="s">
        <v>20108</v>
      </c>
    </row>
    <row r="4627" spans="6:8">
      <c r="H4627" t="s">
        <v>19713</v>
      </c>
    </row>
    <row r="4628" spans="6:8">
      <c r="H4628" t="s">
        <v>19714</v>
      </c>
    </row>
    <row r="4629" spans="6:8">
      <c r="H4629" t="s">
        <v>20109</v>
      </c>
    </row>
    <row r="4630" spans="6:8">
      <c r="H4630" t="s">
        <v>20095</v>
      </c>
    </row>
    <row r="4631" spans="6:8">
      <c r="H4631" t="s">
        <v>20096</v>
      </c>
    </row>
    <row r="4632" spans="6:8">
      <c r="H4632" t="s">
        <v>20097</v>
      </c>
    </row>
    <row r="4633" spans="6:8">
      <c r="H4633" t="s">
        <v>20098</v>
      </c>
    </row>
    <row r="4634" spans="6:8">
      <c r="F4634" t="s">
        <v>11331</v>
      </c>
      <c r="G4634" t="s">
        <v>15269</v>
      </c>
      <c r="H4634" t="s">
        <v>20091</v>
      </c>
    </row>
    <row r="4635" spans="6:8">
      <c r="H4635" t="s">
        <v>19712</v>
      </c>
    </row>
    <row r="4636" spans="6:8">
      <c r="H4636" t="s">
        <v>19709</v>
      </c>
    </row>
    <row r="4637" spans="6:8">
      <c r="H4637" t="s">
        <v>19706</v>
      </c>
    </row>
    <row r="4638" spans="6:8">
      <c r="H4638" t="s">
        <v>19707</v>
      </c>
    </row>
    <row r="4639" spans="6:8">
      <c r="H4639" t="s">
        <v>20107</v>
      </c>
    </row>
    <row r="4640" spans="6:8">
      <c r="H4640" t="s">
        <v>20108</v>
      </c>
    </row>
    <row r="4641" spans="6:8">
      <c r="H4641" t="s">
        <v>19713</v>
      </c>
    </row>
    <row r="4642" spans="6:8">
      <c r="H4642" t="s">
        <v>19714</v>
      </c>
    </row>
    <row r="4643" spans="6:8">
      <c r="H4643" t="s">
        <v>20109</v>
      </c>
    </row>
    <row r="4644" spans="6:8">
      <c r="H4644" t="s">
        <v>20095</v>
      </c>
    </row>
    <row r="4645" spans="6:8">
      <c r="H4645" t="s">
        <v>20096</v>
      </c>
    </row>
    <row r="4646" spans="6:8">
      <c r="H4646" t="s">
        <v>20097</v>
      </c>
    </row>
    <row r="4647" spans="6:8">
      <c r="H4647" t="s">
        <v>20098</v>
      </c>
    </row>
    <row r="4648" spans="6:8">
      <c r="F4648" t="s">
        <v>11332</v>
      </c>
      <c r="G4648" t="s">
        <v>15270</v>
      </c>
      <c r="H4648" t="s">
        <v>20091</v>
      </c>
    </row>
    <row r="4649" spans="6:8">
      <c r="H4649" t="s">
        <v>19712</v>
      </c>
    </row>
    <row r="4650" spans="6:8">
      <c r="H4650" t="s">
        <v>19709</v>
      </c>
    </row>
    <row r="4651" spans="6:8">
      <c r="H4651" t="s">
        <v>19706</v>
      </c>
    </row>
    <row r="4652" spans="6:8">
      <c r="H4652" t="s">
        <v>19707</v>
      </c>
    </row>
    <row r="4653" spans="6:8">
      <c r="H4653" t="s">
        <v>20107</v>
      </c>
    </row>
    <row r="4654" spans="6:8">
      <c r="H4654" t="s">
        <v>20108</v>
      </c>
    </row>
    <row r="4655" spans="6:8">
      <c r="H4655" t="s">
        <v>19713</v>
      </c>
    </row>
    <row r="4656" spans="6:8">
      <c r="H4656" t="s">
        <v>19714</v>
      </c>
    </row>
    <row r="4657" spans="6:8">
      <c r="H4657" t="s">
        <v>20109</v>
      </c>
    </row>
    <row r="4658" spans="6:8">
      <c r="H4658" t="s">
        <v>20095</v>
      </c>
    </row>
    <row r="4659" spans="6:8">
      <c r="H4659" t="s">
        <v>20096</v>
      </c>
    </row>
    <row r="4660" spans="6:8">
      <c r="H4660" t="s">
        <v>20097</v>
      </c>
    </row>
    <row r="4661" spans="6:8">
      <c r="H4661" t="s">
        <v>20098</v>
      </c>
    </row>
    <row r="4662" spans="6:8">
      <c r="F4662" t="s">
        <v>11333</v>
      </c>
      <c r="G4662" t="s">
        <v>15271</v>
      </c>
      <c r="H4662" t="s">
        <v>20091</v>
      </c>
    </row>
    <row r="4663" spans="6:8">
      <c r="H4663" t="s">
        <v>19712</v>
      </c>
    </row>
    <row r="4664" spans="6:8">
      <c r="H4664" t="s">
        <v>19709</v>
      </c>
    </row>
    <row r="4665" spans="6:8">
      <c r="H4665" t="s">
        <v>19706</v>
      </c>
    </row>
    <row r="4666" spans="6:8">
      <c r="H4666" t="s">
        <v>20107</v>
      </c>
    </row>
    <row r="4667" spans="6:8">
      <c r="H4667" t="s">
        <v>20108</v>
      </c>
    </row>
    <row r="4668" spans="6:8">
      <c r="H4668" t="s">
        <v>19713</v>
      </c>
    </row>
    <row r="4669" spans="6:8">
      <c r="H4669" t="s">
        <v>19714</v>
      </c>
    </row>
    <row r="4670" spans="6:8">
      <c r="H4670" t="s">
        <v>20109</v>
      </c>
    </row>
    <row r="4671" spans="6:8">
      <c r="H4671" t="s">
        <v>20110</v>
      </c>
    </row>
    <row r="4672" spans="6:8">
      <c r="H4672" t="s">
        <v>20111</v>
      </c>
    </row>
    <row r="4673" spans="6:8">
      <c r="H4673" t="s">
        <v>20095</v>
      </c>
    </row>
    <row r="4674" spans="6:8">
      <c r="H4674" t="s">
        <v>20096</v>
      </c>
    </row>
    <row r="4675" spans="6:8">
      <c r="H4675" t="s">
        <v>20097</v>
      </c>
    </row>
    <row r="4676" spans="6:8">
      <c r="H4676" t="s">
        <v>20098</v>
      </c>
    </row>
    <row r="4677" spans="6:8">
      <c r="F4677" t="s">
        <v>11334</v>
      </c>
      <c r="G4677" t="s">
        <v>15272</v>
      </c>
      <c r="H4677" t="s">
        <v>20091</v>
      </c>
    </row>
    <row r="4678" spans="6:8">
      <c r="H4678" t="s">
        <v>19712</v>
      </c>
    </row>
    <row r="4679" spans="6:8">
      <c r="H4679" t="s">
        <v>19709</v>
      </c>
    </row>
    <row r="4680" spans="6:8">
      <c r="H4680" t="s">
        <v>19706</v>
      </c>
    </row>
    <row r="4681" spans="6:8">
      <c r="H4681" t="s">
        <v>20107</v>
      </c>
    </row>
    <row r="4682" spans="6:8">
      <c r="H4682" t="s">
        <v>20108</v>
      </c>
    </row>
    <row r="4683" spans="6:8">
      <c r="H4683" t="s">
        <v>19713</v>
      </c>
    </row>
    <row r="4684" spans="6:8">
      <c r="H4684" t="s">
        <v>19714</v>
      </c>
    </row>
    <row r="4685" spans="6:8">
      <c r="H4685" t="s">
        <v>20109</v>
      </c>
    </row>
    <row r="4686" spans="6:8">
      <c r="H4686" t="s">
        <v>20110</v>
      </c>
    </row>
    <row r="4687" spans="6:8">
      <c r="H4687" t="s">
        <v>20111</v>
      </c>
    </row>
    <row r="4688" spans="6:8">
      <c r="H4688" t="s">
        <v>20095</v>
      </c>
    </row>
    <row r="4689" spans="6:8">
      <c r="H4689" t="s">
        <v>20096</v>
      </c>
    </row>
    <row r="4690" spans="6:8">
      <c r="H4690" t="s">
        <v>20097</v>
      </c>
    </row>
    <row r="4691" spans="6:8">
      <c r="H4691" t="s">
        <v>20098</v>
      </c>
    </row>
    <row r="4692" spans="6:8">
      <c r="F4692" t="s">
        <v>11335</v>
      </c>
      <c r="G4692" t="s">
        <v>15273</v>
      </c>
      <c r="H4692" t="s">
        <v>20091</v>
      </c>
    </row>
    <row r="4693" spans="6:8">
      <c r="H4693" t="s">
        <v>19712</v>
      </c>
    </row>
    <row r="4694" spans="6:8">
      <c r="H4694" t="s">
        <v>19709</v>
      </c>
    </row>
    <row r="4695" spans="6:8">
      <c r="H4695" t="s">
        <v>19706</v>
      </c>
    </row>
    <row r="4696" spans="6:8">
      <c r="H4696" t="s">
        <v>19707</v>
      </c>
    </row>
    <row r="4697" spans="6:8">
      <c r="H4697" t="s">
        <v>20107</v>
      </c>
    </row>
    <row r="4698" spans="6:8">
      <c r="H4698" t="s">
        <v>20108</v>
      </c>
    </row>
    <row r="4699" spans="6:8">
      <c r="H4699" t="s">
        <v>19713</v>
      </c>
    </row>
    <row r="4700" spans="6:8">
      <c r="H4700" t="s">
        <v>19714</v>
      </c>
    </row>
    <row r="4701" spans="6:8">
      <c r="H4701" t="s">
        <v>20109</v>
      </c>
    </row>
    <row r="4702" spans="6:8">
      <c r="H4702" t="s">
        <v>20095</v>
      </c>
    </row>
    <row r="4703" spans="6:8">
      <c r="H4703" t="s">
        <v>20096</v>
      </c>
    </row>
    <row r="4704" spans="6:8">
      <c r="H4704" t="s">
        <v>20097</v>
      </c>
    </row>
    <row r="4705" spans="6:8">
      <c r="H4705" t="s">
        <v>20098</v>
      </c>
    </row>
    <row r="4706" spans="6:8">
      <c r="F4706" t="s">
        <v>11336</v>
      </c>
      <c r="G4706" t="s">
        <v>15274</v>
      </c>
      <c r="H4706" t="s">
        <v>20091</v>
      </c>
    </row>
    <row r="4707" spans="6:8">
      <c r="H4707" t="s">
        <v>19712</v>
      </c>
    </row>
    <row r="4708" spans="6:8">
      <c r="H4708" t="s">
        <v>19709</v>
      </c>
    </row>
    <row r="4709" spans="6:8">
      <c r="H4709" t="s">
        <v>19706</v>
      </c>
    </row>
    <row r="4710" spans="6:8">
      <c r="H4710" t="s">
        <v>19707</v>
      </c>
    </row>
    <row r="4711" spans="6:8">
      <c r="H4711" t="s">
        <v>20107</v>
      </c>
    </row>
    <row r="4712" spans="6:8">
      <c r="H4712" t="s">
        <v>20108</v>
      </c>
    </row>
    <row r="4713" spans="6:8">
      <c r="H4713" t="s">
        <v>19713</v>
      </c>
    </row>
    <row r="4714" spans="6:8">
      <c r="H4714" t="s">
        <v>19714</v>
      </c>
    </row>
    <row r="4715" spans="6:8">
      <c r="H4715" t="s">
        <v>20109</v>
      </c>
    </row>
    <row r="4716" spans="6:8">
      <c r="H4716" t="s">
        <v>20095</v>
      </c>
    </row>
    <row r="4717" spans="6:8">
      <c r="H4717" t="s">
        <v>20096</v>
      </c>
    </row>
    <row r="4718" spans="6:8">
      <c r="H4718" t="s">
        <v>20097</v>
      </c>
    </row>
    <row r="4719" spans="6:8">
      <c r="H4719" t="s">
        <v>20098</v>
      </c>
    </row>
    <row r="4720" spans="6:8">
      <c r="F4720" t="s">
        <v>11337</v>
      </c>
      <c r="G4720" t="s">
        <v>15275</v>
      </c>
      <c r="H4720" t="s">
        <v>20091</v>
      </c>
    </row>
    <row r="4721" spans="6:8">
      <c r="H4721" t="s">
        <v>19712</v>
      </c>
    </row>
    <row r="4722" spans="6:8">
      <c r="H4722" t="s">
        <v>19709</v>
      </c>
    </row>
    <row r="4723" spans="6:8">
      <c r="H4723" t="s">
        <v>19706</v>
      </c>
    </row>
    <row r="4724" spans="6:8">
      <c r="H4724" t="s">
        <v>19707</v>
      </c>
    </row>
    <row r="4725" spans="6:8">
      <c r="H4725" t="s">
        <v>19711</v>
      </c>
    </row>
    <row r="4726" spans="6:8">
      <c r="H4726" t="s">
        <v>20107</v>
      </c>
    </row>
    <row r="4727" spans="6:8">
      <c r="H4727" t="s">
        <v>20108</v>
      </c>
    </row>
    <row r="4728" spans="6:8">
      <c r="H4728" t="s">
        <v>20095</v>
      </c>
    </row>
    <row r="4729" spans="6:8">
      <c r="H4729" t="s">
        <v>20096</v>
      </c>
    </row>
    <row r="4730" spans="6:8">
      <c r="H4730" t="s">
        <v>20097</v>
      </c>
    </row>
    <row r="4731" spans="6:8">
      <c r="H4731" t="s">
        <v>20098</v>
      </c>
    </row>
    <row r="4732" spans="6:8">
      <c r="F4732" t="s">
        <v>11338</v>
      </c>
      <c r="G4732" t="s">
        <v>15276</v>
      </c>
      <c r="H4732" t="s">
        <v>20091</v>
      </c>
    </row>
    <row r="4733" spans="6:8">
      <c r="H4733" t="s">
        <v>19712</v>
      </c>
    </row>
    <row r="4734" spans="6:8">
      <c r="H4734" t="s">
        <v>19709</v>
      </c>
    </row>
    <row r="4735" spans="6:8">
      <c r="H4735" t="s">
        <v>19706</v>
      </c>
    </row>
    <row r="4736" spans="6:8">
      <c r="H4736" t="s">
        <v>19707</v>
      </c>
    </row>
    <row r="4737" spans="6:8">
      <c r="H4737" t="s">
        <v>20107</v>
      </c>
    </row>
    <row r="4738" spans="6:8">
      <c r="H4738" t="s">
        <v>20108</v>
      </c>
    </row>
    <row r="4739" spans="6:8">
      <c r="H4739" t="s">
        <v>19713</v>
      </c>
    </row>
    <row r="4740" spans="6:8">
      <c r="H4740" t="s">
        <v>20095</v>
      </c>
    </row>
    <row r="4741" spans="6:8">
      <c r="H4741" t="s">
        <v>20096</v>
      </c>
    </row>
    <row r="4742" spans="6:8">
      <c r="H4742" t="s">
        <v>20097</v>
      </c>
    </row>
    <row r="4743" spans="6:8">
      <c r="H4743" t="s">
        <v>20098</v>
      </c>
    </row>
    <row r="4744" spans="6:8">
      <c r="F4744" t="s">
        <v>11339</v>
      </c>
      <c r="G4744" t="s">
        <v>15635</v>
      </c>
      <c r="H4744" t="s">
        <v>20091</v>
      </c>
    </row>
    <row r="4745" spans="6:8">
      <c r="H4745" t="s">
        <v>19712</v>
      </c>
    </row>
    <row r="4746" spans="6:8">
      <c r="H4746" t="s">
        <v>19709</v>
      </c>
    </row>
    <row r="4747" spans="6:8">
      <c r="H4747" t="s">
        <v>20107</v>
      </c>
    </row>
    <row r="4748" spans="6:8">
      <c r="H4748" t="s">
        <v>20092</v>
      </c>
    </row>
    <row r="4749" spans="6:8">
      <c r="H4749" t="s">
        <v>20095</v>
      </c>
    </row>
    <row r="4750" spans="6:8">
      <c r="H4750" t="s">
        <v>20096</v>
      </c>
    </row>
    <row r="4751" spans="6:8">
      <c r="H4751" t="s">
        <v>20097</v>
      </c>
    </row>
    <row r="4752" spans="6:8">
      <c r="H4752" t="s">
        <v>20098</v>
      </c>
    </row>
    <row r="4753" spans="6:8">
      <c r="H4753" t="s">
        <v>20099</v>
      </c>
    </row>
    <row r="4754" spans="6:8">
      <c r="H4754" t="s">
        <v>20100</v>
      </c>
    </row>
    <row r="4755" spans="6:8">
      <c r="H4755" t="s">
        <v>20101</v>
      </c>
    </row>
    <row r="4756" spans="6:8">
      <c r="H4756" t="s">
        <v>20102</v>
      </c>
    </row>
    <row r="4757" spans="6:8">
      <c r="F4757" t="s">
        <v>11340</v>
      </c>
      <c r="G4757" t="s">
        <v>15636</v>
      </c>
      <c r="H4757" t="s">
        <v>20091</v>
      </c>
    </row>
    <row r="4758" spans="6:8">
      <c r="H4758" t="s">
        <v>20092</v>
      </c>
    </row>
    <row r="4759" spans="6:8">
      <c r="H4759" t="s">
        <v>20103</v>
      </c>
    </row>
    <row r="4760" spans="6:8">
      <c r="H4760" t="s">
        <v>20116</v>
      </c>
    </row>
    <row r="4761" spans="6:8">
      <c r="H4761" t="s">
        <v>20095</v>
      </c>
    </row>
    <row r="4762" spans="6:8">
      <c r="H4762" t="s">
        <v>20096</v>
      </c>
    </row>
    <row r="4763" spans="6:8">
      <c r="H4763" t="s">
        <v>20097</v>
      </c>
    </row>
    <row r="4764" spans="6:8">
      <c r="H4764" t="s">
        <v>20098</v>
      </c>
    </row>
    <row r="4765" spans="6:8">
      <c r="H4765" t="s">
        <v>20099</v>
      </c>
    </row>
    <row r="4766" spans="6:8">
      <c r="H4766" t="s">
        <v>20100</v>
      </c>
    </row>
    <row r="4767" spans="6:8">
      <c r="H4767" t="s">
        <v>20101</v>
      </c>
    </row>
    <row r="4768" spans="6:8">
      <c r="H4768" t="s">
        <v>20102</v>
      </c>
    </row>
    <row r="4769" spans="6:8">
      <c r="F4769" t="s">
        <v>11341</v>
      </c>
      <c r="G4769" t="s">
        <v>15542</v>
      </c>
      <c r="H4769" t="s">
        <v>20091</v>
      </c>
    </row>
    <row r="4770" spans="6:8">
      <c r="F4770" t="s">
        <v>11342</v>
      </c>
      <c r="G4770" t="s">
        <v>15277</v>
      </c>
      <c r="H4770" t="s">
        <v>20091</v>
      </c>
    </row>
    <row r="4771" spans="6:8">
      <c r="H4771" t="s">
        <v>19712</v>
      </c>
    </row>
    <row r="4772" spans="6:8">
      <c r="H4772" t="s">
        <v>19709</v>
      </c>
    </row>
    <row r="4773" spans="6:8">
      <c r="H4773" t="s">
        <v>19706</v>
      </c>
    </row>
    <row r="4774" spans="6:8">
      <c r="H4774" t="s">
        <v>20107</v>
      </c>
    </row>
    <row r="4775" spans="6:8">
      <c r="H4775" t="s">
        <v>20108</v>
      </c>
    </row>
    <row r="4776" spans="6:8">
      <c r="H4776" t="s">
        <v>19713</v>
      </c>
    </row>
    <row r="4777" spans="6:8">
      <c r="H4777" t="s">
        <v>19714</v>
      </c>
    </row>
    <row r="4778" spans="6:8">
      <c r="H4778" t="s">
        <v>20109</v>
      </c>
    </row>
    <row r="4779" spans="6:8">
      <c r="H4779" t="s">
        <v>20110</v>
      </c>
    </row>
    <row r="4780" spans="6:8">
      <c r="H4780" t="s">
        <v>20111</v>
      </c>
    </row>
    <row r="4781" spans="6:8">
      <c r="H4781" t="s">
        <v>20095</v>
      </c>
    </row>
    <row r="4782" spans="6:8">
      <c r="H4782" t="s">
        <v>20096</v>
      </c>
    </row>
    <row r="4783" spans="6:8">
      <c r="H4783" t="s">
        <v>20097</v>
      </c>
    </row>
    <row r="4784" spans="6:8">
      <c r="H4784" t="s">
        <v>20098</v>
      </c>
    </row>
    <row r="4785" spans="6:8">
      <c r="F4785" t="s">
        <v>11343</v>
      </c>
      <c r="G4785" t="s">
        <v>15278</v>
      </c>
      <c r="H4785" t="s">
        <v>20091</v>
      </c>
    </row>
    <row r="4786" spans="6:8">
      <c r="H4786" t="s">
        <v>19712</v>
      </c>
    </row>
    <row r="4787" spans="6:8">
      <c r="H4787" t="s">
        <v>19709</v>
      </c>
    </row>
    <row r="4788" spans="6:8">
      <c r="H4788" t="s">
        <v>19706</v>
      </c>
    </row>
    <row r="4789" spans="6:8">
      <c r="H4789" t="s">
        <v>20107</v>
      </c>
    </row>
    <row r="4790" spans="6:8">
      <c r="H4790" t="s">
        <v>20108</v>
      </c>
    </row>
    <row r="4791" spans="6:8">
      <c r="H4791" t="s">
        <v>19713</v>
      </c>
    </row>
    <row r="4792" spans="6:8">
      <c r="H4792" t="s">
        <v>19714</v>
      </c>
    </row>
    <row r="4793" spans="6:8">
      <c r="H4793" t="s">
        <v>20109</v>
      </c>
    </row>
    <row r="4794" spans="6:8">
      <c r="H4794" t="s">
        <v>20095</v>
      </c>
    </row>
    <row r="4795" spans="6:8">
      <c r="H4795" t="s">
        <v>20096</v>
      </c>
    </row>
    <row r="4796" spans="6:8">
      <c r="H4796" t="s">
        <v>20097</v>
      </c>
    </row>
    <row r="4797" spans="6:8">
      <c r="H4797" t="s">
        <v>20098</v>
      </c>
    </row>
    <row r="4798" spans="6:8">
      <c r="F4798" t="s">
        <v>11344</v>
      </c>
      <c r="G4798" t="s">
        <v>15637</v>
      </c>
      <c r="H4798" t="s">
        <v>20091</v>
      </c>
    </row>
    <row r="4799" spans="6:8">
      <c r="H4799" t="s">
        <v>19712</v>
      </c>
    </row>
    <row r="4800" spans="6:8">
      <c r="H4800" t="s">
        <v>20095</v>
      </c>
    </row>
    <row r="4801" spans="6:8">
      <c r="H4801" t="s">
        <v>20096</v>
      </c>
    </row>
    <row r="4802" spans="6:8">
      <c r="F4802" t="s">
        <v>11345</v>
      </c>
      <c r="G4802" t="s">
        <v>15543</v>
      </c>
      <c r="H4802" t="s">
        <v>20091</v>
      </c>
    </row>
    <row r="4803" spans="6:8">
      <c r="H4803" t="s">
        <v>20095</v>
      </c>
    </row>
    <row r="4804" spans="6:8">
      <c r="H4804" t="s">
        <v>20096</v>
      </c>
    </row>
    <row r="4805" spans="6:8">
      <c r="H4805" t="s">
        <v>20097</v>
      </c>
    </row>
    <row r="4806" spans="6:8">
      <c r="F4806" t="s">
        <v>11346</v>
      </c>
      <c r="G4806" t="s">
        <v>15546</v>
      </c>
      <c r="H4806" t="s">
        <v>20091</v>
      </c>
    </row>
    <row r="4807" spans="6:8">
      <c r="H4807" t="s">
        <v>20092</v>
      </c>
    </row>
    <row r="4808" spans="6:8">
      <c r="H4808" t="s">
        <v>20095</v>
      </c>
    </row>
    <row r="4809" spans="6:8">
      <c r="H4809" t="s">
        <v>20096</v>
      </c>
    </row>
    <row r="4810" spans="6:8">
      <c r="H4810" t="s">
        <v>20097</v>
      </c>
    </row>
    <row r="4811" spans="6:8">
      <c r="H4811" t="s">
        <v>20098</v>
      </c>
    </row>
    <row r="4812" spans="6:8">
      <c r="F4812" t="s">
        <v>11347</v>
      </c>
      <c r="G4812" t="s">
        <v>15638</v>
      </c>
      <c r="H4812" t="s">
        <v>20091</v>
      </c>
    </row>
    <row r="4813" spans="6:8">
      <c r="H4813" t="s">
        <v>19712</v>
      </c>
    </row>
    <row r="4814" spans="6:8">
      <c r="H4814" t="s">
        <v>19709</v>
      </c>
    </row>
    <row r="4815" spans="6:8">
      <c r="H4815" t="s">
        <v>19706</v>
      </c>
    </row>
    <row r="4816" spans="6:8">
      <c r="H4816" t="s">
        <v>20092</v>
      </c>
    </row>
    <row r="4817" spans="6:8">
      <c r="H4817" t="s">
        <v>20093</v>
      </c>
    </row>
    <row r="4818" spans="6:8">
      <c r="H4818" t="s">
        <v>20096</v>
      </c>
    </row>
    <row r="4819" spans="6:8">
      <c r="H4819" t="s">
        <v>20097</v>
      </c>
    </row>
    <row r="4820" spans="6:8">
      <c r="H4820" t="s">
        <v>20098</v>
      </c>
    </row>
    <row r="4821" spans="6:8">
      <c r="H4821" t="s">
        <v>20099</v>
      </c>
    </row>
    <row r="4822" spans="6:8">
      <c r="F4822" t="s">
        <v>11348</v>
      </c>
      <c r="G4822" t="s">
        <v>15279</v>
      </c>
      <c r="H4822" t="s">
        <v>20091</v>
      </c>
    </row>
    <row r="4823" spans="6:8">
      <c r="H4823" t="s">
        <v>19712</v>
      </c>
    </row>
    <row r="4824" spans="6:8">
      <c r="H4824" t="s">
        <v>19709</v>
      </c>
    </row>
    <row r="4825" spans="6:8">
      <c r="H4825" t="s">
        <v>19706</v>
      </c>
    </row>
    <row r="4826" spans="6:8">
      <c r="H4826" t="s">
        <v>20107</v>
      </c>
    </row>
    <row r="4827" spans="6:8">
      <c r="H4827" t="s">
        <v>20108</v>
      </c>
    </row>
    <row r="4828" spans="6:8">
      <c r="H4828" t="s">
        <v>20095</v>
      </c>
    </row>
    <row r="4829" spans="6:8">
      <c r="H4829" t="s">
        <v>20096</v>
      </c>
    </row>
    <row r="4830" spans="6:8">
      <c r="H4830" t="s">
        <v>20097</v>
      </c>
    </row>
    <row r="4831" spans="6:8">
      <c r="H4831" t="s">
        <v>20098</v>
      </c>
    </row>
    <row r="4832" spans="6:8">
      <c r="F4832" t="s">
        <v>11349</v>
      </c>
      <c r="G4832" t="s">
        <v>15280</v>
      </c>
      <c r="H4832" t="s">
        <v>20091</v>
      </c>
    </row>
    <row r="4833" spans="6:8">
      <c r="H4833" t="s">
        <v>19712</v>
      </c>
    </row>
    <row r="4834" spans="6:8">
      <c r="H4834" t="s">
        <v>19709</v>
      </c>
    </row>
    <row r="4835" spans="6:8">
      <c r="H4835" t="s">
        <v>19706</v>
      </c>
    </row>
    <row r="4836" spans="6:8">
      <c r="H4836" t="s">
        <v>20107</v>
      </c>
    </row>
    <row r="4837" spans="6:8">
      <c r="H4837" t="s">
        <v>20108</v>
      </c>
    </row>
    <row r="4838" spans="6:8">
      <c r="H4838" t="s">
        <v>20095</v>
      </c>
    </row>
    <row r="4839" spans="6:8">
      <c r="H4839" t="s">
        <v>20096</v>
      </c>
    </row>
    <row r="4840" spans="6:8">
      <c r="H4840" t="s">
        <v>20097</v>
      </c>
    </row>
    <row r="4841" spans="6:8">
      <c r="H4841" t="s">
        <v>20098</v>
      </c>
    </row>
    <row r="4842" spans="6:8">
      <c r="F4842" t="s">
        <v>11350</v>
      </c>
      <c r="G4842" t="s">
        <v>15281</v>
      </c>
      <c r="H4842" t="s">
        <v>20091</v>
      </c>
    </row>
    <row r="4843" spans="6:8">
      <c r="H4843" t="s">
        <v>19712</v>
      </c>
    </row>
    <row r="4844" spans="6:8">
      <c r="H4844" t="s">
        <v>19709</v>
      </c>
    </row>
    <row r="4845" spans="6:8">
      <c r="H4845" t="s">
        <v>19706</v>
      </c>
    </row>
    <row r="4846" spans="6:8">
      <c r="H4846" t="s">
        <v>20107</v>
      </c>
    </row>
    <row r="4847" spans="6:8">
      <c r="H4847" t="s">
        <v>20108</v>
      </c>
    </row>
    <row r="4848" spans="6:8">
      <c r="H4848" t="s">
        <v>20095</v>
      </c>
    </row>
    <row r="4849" spans="6:8">
      <c r="H4849" t="s">
        <v>20096</v>
      </c>
    </row>
    <row r="4850" spans="6:8">
      <c r="H4850" t="s">
        <v>20097</v>
      </c>
    </row>
    <row r="4851" spans="6:8">
      <c r="H4851" t="s">
        <v>20098</v>
      </c>
    </row>
    <row r="4852" spans="6:8">
      <c r="F4852" t="s">
        <v>11351</v>
      </c>
      <c r="G4852" t="s">
        <v>15282</v>
      </c>
      <c r="H4852" t="s">
        <v>20091</v>
      </c>
    </row>
    <row r="4853" spans="6:8">
      <c r="H4853" t="s">
        <v>19712</v>
      </c>
    </row>
    <row r="4854" spans="6:8">
      <c r="H4854" t="s">
        <v>19709</v>
      </c>
    </row>
    <row r="4855" spans="6:8">
      <c r="H4855" t="s">
        <v>19706</v>
      </c>
    </row>
    <row r="4856" spans="6:8">
      <c r="H4856" t="s">
        <v>20107</v>
      </c>
    </row>
    <row r="4857" spans="6:8">
      <c r="H4857" t="s">
        <v>20108</v>
      </c>
    </row>
    <row r="4858" spans="6:8">
      <c r="H4858" t="s">
        <v>20095</v>
      </c>
    </row>
    <row r="4859" spans="6:8">
      <c r="H4859" t="s">
        <v>20096</v>
      </c>
    </row>
    <row r="4860" spans="6:8">
      <c r="H4860" t="s">
        <v>20097</v>
      </c>
    </row>
    <row r="4861" spans="6:8">
      <c r="H4861" t="s">
        <v>20098</v>
      </c>
    </row>
    <row r="4862" spans="6:8">
      <c r="F4862" t="s">
        <v>11352</v>
      </c>
      <c r="G4862" t="s">
        <v>15283</v>
      </c>
      <c r="H4862" t="s">
        <v>20091</v>
      </c>
    </row>
    <row r="4863" spans="6:8">
      <c r="H4863" t="s">
        <v>19712</v>
      </c>
    </row>
    <row r="4864" spans="6:8">
      <c r="H4864" t="s">
        <v>19709</v>
      </c>
    </row>
    <row r="4865" spans="6:8">
      <c r="H4865" t="s">
        <v>19706</v>
      </c>
    </row>
    <row r="4866" spans="6:8">
      <c r="H4866" t="s">
        <v>20107</v>
      </c>
    </row>
    <row r="4867" spans="6:8">
      <c r="H4867" t="s">
        <v>20108</v>
      </c>
    </row>
    <row r="4868" spans="6:8">
      <c r="H4868" t="s">
        <v>20095</v>
      </c>
    </row>
    <row r="4869" spans="6:8">
      <c r="H4869" t="s">
        <v>20096</v>
      </c>
    </row>
    <row r="4870" spans="6:8">
      <c r="H4870" t="s">
        <v>20097</v>
      </c>
    </row>
    <row r="4871" spans="6:8">
      <c r="H4871" t="s">
        <v>20098</v>
      </c>
    </row>
    <row r="4872" spans="6:8">
      <c r="F4872" t="s">
        <v>11353</v>
      </c>
      <c r="G4872" t="s">
        <v>15284</v>
      </c>
      <c r="H4872" t="s">
        <v>20091</v>
      </c>
    </row>
    <row r="4873" spans="6:8">
      <c r="H4873" t="s">
        <v>19712</v>
      </c>
    </row>
    <row r="4874" spans="6:8">
      <c r="H4874" t="s">
        <v>19709</v>
      </c>
    </row>
    <row r="4875" spans="6:8">
      <c r="H4875" t="s">
        <v>19706</v>
      </c>
    </row>
    <row r="4876" spans="6:8">
      <c r="H4876" t="s">
        <v>20107</v>
      </c>
    </row>
    <row r="4877" spans="6:8">
      <c r="H4877" t="s">
        <v>20108</v>
      </c>
    </row>
    <row r="4878" spans="6:8">
      <c r="H4878" t="s">
        <v>20095</v>
      </c>
    </row>
    <row r="4879" spans="6:8">
      <c r="H4879" t="s">
        <v>20096</v>
      </c>
    </row>
    <row r="4880" spans="6:8">
      <c r="H4880" t="s">
        <v>20097</v>
      </c>
    </row>
    <row r="4881" spans="6:8">
      <c r="H4881" t="s">
        <v>20098</v>
      </c>
    </row>
    <row r="4882" spans="6:8">
      <c r="F4882" t="s">
        <v>11354</v>
      </c>
      <c r="G4882" t="s">
        <v>15285</v>
      </c>
      <c r="H4882" t="s">
        <v>20091</v>
      </c>
    </row>
    <row r="4883" spans="6:8">
      <c r="H4883" t="s">
        <v>19712</v>
      </c>
    </row>
    <row r="4884" spans="6:8">
      <c r="H4884" t="s">
        <v>20107</v>
      </c>
    </row>
    <row r="4885" spans="6:8">
      <c r="H4885" t="s">
        <v>20108</v>
      </c>
    </row>
    <row r="4886" spans="6:8">
      <c r="H4886" t="s">
        <v>19713</v>
      </c>
    </row>
    <row r="4887" spans="6:8">
      <c r="H4887" t="s">
        <v>20095</v>
      </c>
    </row>
    <row r="4888" spans="6:8">
      <c r="H4888" t="s">
        <v>20096</v>
      </c>
    </row>
    <row r="4889" spans="6:8">
      <c r="H4889" t="s">
        <v>20097</v>
      </c>
    </row>
    <row r="4890" spans="6:8">
      <c r="H4890" t="s">
        <v>20098</v>
      </c>
    </row>
    <row r="4891" spans="6:8">
      <c r="H4891" t="s">
        <v>20099</v>
      </c>
    </row>
    <row r="4892" spans="6:8">
      <c r="H4892" t="s">
        <v>20100</v>
      </c>
    </row>
    <row r="4893" spans="6:8">
      <c r="H4893" t="s">
        <v>20101</v>
      </c>
    </row>
    <row r="4894" spans="6:8">
      <c r="H4894" t="s">
        <v>20104</v>
      </c>
    </row>
    <row r="4895" spans="6:8">
      <c r="H4895" t="s">
        <v>20105</v>
      </c>
    </row>
    <row r="4896" spans="6:8">
      <c r="H4896" t="s">
        <v>20123</v>
      </c>
    </row>
    <row r="4897" spans="6:8">
      <c r="F4897" t="s">
        <v>11355</v>
      </c>
      <c r="G4897" t="s">
        <v>15286</v>
      </c>
      <c r="H4897" t="s">
        <v>20091</v>
      </c>
    </row>
    <row r="4898" spans="6:8">
      <c r="H4898" t="s">
        <v>19712</v>
      </c>
    </row>
    <row r="4899" spans="6:8">
      <c r="H4899" t="s">
        <v>19709</v>
      </c>
    </row>
    <row r="4900" spans="6:8">
      <c r="H4900" t="s">
        <v>19706</v>
      </c>
    </row>
    <row r="4901" spans="6:8">
      <c r="H4901" t="s">
        <v>20107</v>
      </c>
    </row>
    <row r="4902" spans="6:8">
      <c r="H4902" t="s">
        <v>20108</v>
      </c>
    </row>
    <row r="4903" spans="6:8">
      <c r="H4903" t="s">
        <v>19713</v>
      </c>
    </row>
    <row r="4904" spans="6:8">
      <c r="H4904" t="s">
        <v>19714</v>
      </c>
    </row>
    <row r="4905" spans="6:8">
      <c r="H4905" t="s">
        <v>20109</v>
      </c>
    </row>
    <row r="4906" spans="6:8">
      <c r="H4906" t="s">
        <v>20110</v>
      </c>
    </row>
    <row r="4907" spans="6:8">
      <c r="H4907" t="s">
        <v>20111</v>
      </c>
    </row>
    <row r="4908" spans="6:8">
      <c r="H4908" t="s">
        <v>20112</v>
      </c>
    </row>
    <row r="4909" spans="6:8">
      <c r="H4909" t="s">
        <v>20113</v>
      </c>
    </row>
    <row r="4910" spans="6:8">
      <c r="H4910" t="s">
        <v>20095</v>
      </c>
    </row>
    <row r="4911" spans="6:8">
      <c r="H4911" t="s">
        <v>20096</v>
      </c>
    </row>
    <row r="4912" spans="6:8">
      <c r="H4912" t="s">
        <v>20097</v>
      </c>
    </row>
    <row r="4913" spans="6:8">
      <c r="H4913" t="s">
        <v>20098</v>
      </c>
    </row>
    <row r="4914" spans="6:8">
      <c r="F4914" t="s">
        <v>11356</v>
      </c>
      <c r="G4914" t="s">
        <v>15287</v>
      </c>
      <c r="H4914" t="s">
        <v>20091</v>
      </c>
    </row>
    <row r="4915" spans="6:8">
      <c r="H4915" t="s">
        <v>19712</v>
      </c>
    </row>
    <row r="4916" spans="6:8">
      <c r="H4916" t="s">
        <v>19709</v>
      </c>
    </row>
    <row r="4917" spans="6:8">
      <c r="H4917" t="s">
        <v>19706</v>
      </c>
    </row>
    <row r="4918" spans="6:8">
      <c r="H4918" t="s">
        <v>20107</v>
      </c>
    </row>
    <row r="4919" spans="6:8">
      <c r="H4919" t="s">
        <v>20108</v>
      </c>
    </row>
    <row r="4920" spans="6:8">
      <c r="H4920" t="s">
        <v>19713</v>
      </c>
    </row>
    <row r="4921" spans="6:8">
      <c r="H4921" t="s">
        <v>19714</v>
      </c>
    </row>
    <row r="4922" spans="6:8">
      <c r="H4922" t="s">
        <v>20109</v>
      </c>
    </row>
    <row r="4923" spans="6:8">
      <c r="H4923" t="s">
        <v>20110</v>
      </c>
    </row>
    <row r="4924" spans="6:8">
      <c r="H4924" t="s">
        <v>20111</v>
      </c>
    </row>
    <row r="4925" spans="6:8">
      <c r="H4925" t="s">
        <v>20112</v>
      </c>
    </row>
    <row r="4926" spans="6:8">
      <c r="H4926" t="s">
        <v>20113</v>
      </c>
    </row>
    <row r="4927" spans="6:8">
      <c r="H4927" t="s">
        <v>20095</v>
      </c>
    </row>
    <row r="4928" spans="6:8">
      <c r="H4928" t="s">
        <v>20096</v>
      </c>
    </row>
    <row r="4929" spans="6:8">
      <c r="H4929" t="s">
        <v>20097</v>
      </c>
    </row>
    <row r="4930" spans="6:8">
      <c r="H4930" t="s">
        <v>20098</v>
      </c>
    </row>
    <row r="4931" spans="6:8">
      <c r="F4931" t="s">
        <v>11357</v>
      </c>
      <c r="G4931" t="s">
        <v>15288</v>
      </c>
      <c r="H4931" t="s">
        <v>20091</v>
      </c>
    </row>
    <row r="4932" spans="6:8">
      <c r="H4932" t="s">
        <v>19712</v>
      </c>
    </row>
    <row r="4933" spans="6:8">
      <c r="H4933" t="s">
        <v>19709</v>
      </c>
    </row>
    <row r="4934" spans="6:8">
      <c r="H4934" t="s">
        <v>19706</v>
      </c>
    </row>
    <row r="4935" spans="6:8">
      <c r="H4935" t="s">
        <v>20107</v>
      </c>
    </row>
    <row r="4936" spans="6:8">
      <c r="H4936" t="s">
        <v>20108</v>
      </c>
    </row>
    <row r="4937" spans="6:8">
      <c r="H4937" t="s">
        <v>19713</v>
      </c>
    </row>
    <row r="4938" spans="6:8">
      <c r="H4938" t="s">
        <v>19714</v>
      </c>
    </row>
    <row r="4939" spans="6:8">
      <c r="H4939" t="s">
        <v>20109</v>
      </c>
    </row>
    <row r="4940" spans="6:8">
      <c r="H4940" t="s">
        <v>20110</v>
      </c>
    </row>
    <row r="4941" spans="6:8">
      <c r="H4941" t="s">
        <v>20111</v>
      </c>
    </row>
    <row r="4942" spans="6:8">
      <c r="H4942" t="s">
        <v>20112</v>
      </c>
    </row>
    <row r="4943" spans="6:8">
      <c r="H4943" t="s">
        <v>20113</v>
      </c>
    </row>
    <row r="4944" spans="6:8">
      <c r="H4944" t="s">
        <v>20095</v>
      </c>
    </row>
    <row r="4945" spans="6:8">
      <c r="H4945" t="s">
        <v>20096</v>
      </c>
    </row>
    <row r="4946" spans="6:8">
      <c r="H4946" t="s">
        <v>20097</v>
      </c>
    </row>
    <row r="4947" spans="6:8">
      <c r="H4947" t="s">
        <v>20098</v>
      </c>
    </row>
    <row r="4948" spans="6:8">
      <c r="F4948" t="s">
        <v>11358</v>
      </c>
      <c r="G4948" t="s">
        <v>15289</v>
      </c>
      <c r="H4948" t="s">
        <v>20091</v>
      </c>
    </row>
    <row r="4949" spans="6:8">
      <c r="H4949" t="s">
        <v>19712</v>
      </c>
    </row>
    <row r="4950" spans="6:8">
      <c r="H4950" t="s">
        <v>19709</v>
      </c>
    </row>
    <row r="4951" spans="6:8">
      <c r="H4951" t="s">
        <v>19706</v>
      </c>
    </row>
    <row r="4952" spans="6:8">
      <c r="H4952" t="s">
        <v>20107</v>
      </c>
    </row>
    <row r="4953" spans="6:8">
      <c r="H4953" t="s">
        <v>20108</v>
      </c>
    </row>
    <row r="4954" spans="6:8">
      <c r="H4954" t="s">
        <v>19713</v>
      </c>
    </row>
    <row r="4955" spans="6:8">
      <c r="H4955" t="s">
        <v>19714</v>
      </c>
    </row>
    <row r="4956" spans="6:8">
      <c r="H4956" t="s">
        <v>20109</v>
      </c>
    </row>
    <row r="4957" spans="6:8">
      <c r="H4957" t="s">
        <v>20110</v>
      </c>
    </row>
    <row r="4958" spans="6:8">
      <c r="H4958" t="s">
        <v>20111</v>
      </c>
    </row>
    <row r="4959" spans="6:8">
      <c r="H4959" t="s">
        <v>20112</v>
      </c>
    </row>
    <row r="4960" spans="6:8">
      <c r="H4960" t="s">
        <v>20113</v>
      </c>
    </row>
    <row r="4961" spans="6:8">
      <c r="H4961" t="s">
        <v>20095</v>
      </c>
    </row>
    <row r="4962" spans="6:8">
      <c r="H4962" t="s">
        <v>20096</v>
      </c>
    </row>
    <row r="4963" spans="6:8">
      <c r="H4963" t="s">
        <v>20097</v>
      </c>
    </row>
    <row r="4964" spans="6:8">
      <c r="H4964" t="s">
        <v>20098</v>
      </c>
    </row>
    <row r="4965" spans="6:8">
      <c r="F4965" t="s">
        <v>11359</v>
      </c>
      <c r="G4965" t="s">
        <v>15290</v>
      </c>
      <c r="H4965" t="s">
        <v>20091</v>
      </c>
    </row>
    <row r="4966" spans="6:8">
      <c r="H4966" t="s">
        <v>19712</v>
      </c>
    </row>
    <row r="4967" spans="6:8">
      <c r="H4967" t="s">
        <v>19709</v>
      </c>
    </row>
    <row r="4968" spans="6:8">
      <c r="H4968" t="s">
        <v>19706</v>
      </c>
    </row>
    <row r="4969" spans="6:8">
      <c r="H4969" t="s">
        <v>19707</v>
      </c>
    </row>
    <row r="4970" spans="6:8">
      <c r="H4970" t="s">
        <v>19711</v>
      </c>
    </row>
    <row r="4971" spans="6:8">
      <c r="H4971" t="s">
        <v>19708</v>
      </c>
    </row>
    <row r="4972" spans="6:8">
      <c r="H4972" t="s">
        <v>20107</v>
      </c>
    </row>
    <row r="4973" spans="6:8">
      <c r="H4973" t="s">
        <v>20108</v>
      </c>
    </row>
    <row r="4974" spans="6:8">
      <c r="H4974" t="s">
        <v>19713</v>
      </c>
    </row>
    <row r="4975" spans="6:8">
      <c r="H4975" t="s">
        <v>19714</v>
      </c>
    </row>
    <row r="4976" spans="6:8">
      <c r="H4976" t="s">
        <v>20109</v>
      </c>
    </row>
    <row r="4977" spans="6:8">
      <c r="H4977" t="s">
        <v>20110</v>
      </c>
    </row>
    <row r="4978" spans="6:8">
      <c r="H4978" t="s">
        <v>20092</v>
      </c>
    </row>
    <row r="4979" spans="6:8">
      <c r="H4979" t="s">
        <v>20095</v>
      </c>
    </row>
    <row r="4980" spans="6:8">
      <c r="H4980" t="s">
        <v>20096</v>
      </c>
    </row>
    <row r="4981" spans="6:8">
      <c r="H4981" t="s">
        <v>20097</v>
      </c>
    </row>
    <row r="4982" spans="6:8">
      <c r="H4982" t="s">
        <v>20098</v>
      </c>
    </row>
    <row r="4983" spans="6:8">
      <c r="F4983" t="s">
        <v>11360</v>
      </c>
      <c r="G4983" t="s">
        <v>15291</v>
      </c>
      <c r="H4983" t="s">
        <v>20091</v>
      </c>
    </row>
    <row r="4984" spans="6:8">
      <c r="H4984" t="s">
        <v>19712</v>
      </c>
    </row>
    <row r="4985" spans="6:8">
      <c r="H4985" t="s">
        <v>19709</v>
      </c>
    </row>
    <row r="4986" spans="6:8">
      <c r="H4986" t="s">
        <v>19706</v>
      </c>
    </row>
    <row r="4987" spans="6:8">
      <c r="H4987" t="s">
        <v>19707</v>
      </c>
    </row>
    <row r="4988" spans="6:8">
      <c r="H4988" t="s">
        <v>19711</v>
      </c>
    </row>
    <row r="4989" spans="6:8">
      <c r="H4989" t="s">
        <v>19708</v>
      </c>
    </row>
    <row r="4990" spans="6:8">
      <c r="H4990" t="s">
        <v>20107</v>
      </c>
    </row>
    <row r="4991" spans="6:8">
      <c r="H4991" t="s">
        <v>20108</v>
      </c>
    </row>
    <row r="4992" spans="6:8">
      <c r="H4992" t="s">
        <v>19713</v>
      </c>
    </row>
    <row r="4993" spans="6:8">
      <c r="H4993" t="s">
        <v>19714</v>
      </c>
    </row>
    <row r="4994" spans="6:8">
      <c r="H4994" t="s">
        <v>20109</v>
      </c>
    </row>
    <row r="4995" spans="6:8">
      <c r="H4995" t="s">
        <v>20110</v>
      </c>
    </row>
    <row r="4996" spans="6:8">
      <c r="H4996" t="s">
        <v>20092</v>
      </c>
    </row>
    <row r="4997" spans="6:8">
      <c r="H4997" t="s">
        <v>20095</v>
      </c>
    </row>
    <row r="4998" spans="6:8">
      <c r="H4998" t="s">
        <v>20096</v>
      </c>
    </row>
    <row r="4999" spans="6:8">
      <c r="H4999" t="s">
        <v>20097</v>
      </c>
    </row>
    <row r="5000" spans="6:8">
      <c r="H5000" t="s">
        <v>20098</v>
      </c>
    </row>
    <row r="5001" spans="6:8">
      <c r="F5001" t="s">
        <v>11361</v>
      </c>
      <c r="G5001" t="s">
        <v>15292</v>
      </c>
      <c r="H5001" t="s">
        <v>20091</v>
      </c>
    </row>
    <row r="5002" spans="6:8">
      <c r="H5002" t="s">
        <v>19712</v>
      </c>
    </row>
    <row r="5003" spans="6:8">
      <c r="H5003" t="s">
        <v>19709</v>
      </c>
    </row>
    <row r="5004" spans="6:8">
      <c r="H5004" t="s">
        <v>19706</v>
      </c>
    </row>
    <row r="5005" spans="6:8">
      <c r="H5005" t="s">
        <v>19707</v>
      </c>
    </row>
    <row r="5006" spans="6:8">
      <c r="H5006" t="s">
        <v>19711</v>
      </c>
    </row>
    <row r="5007" spans="6:8">
      <c r="H5007" t="s">
        <v>19708</v>
      </c>
    </row>
    <row r="5008" spans="6:8">
      <c r="H5008" t="s">
        <v>20107</v>
      </c>
    </row>
    <row r="5009" spans="6:8">
      <c r="H5009" t="s">
        <v>20108</v>
      </c>
    </row>
    <row r="5010" spans="6:8">
      <c r="H5010" t="s">
        <v>19713</v>
      </c>
    </row>
    <row r="5011" spans="6:8">
      <c r="H5011" t="s">
        <v>19714</v>
      </c>
    </row>
    <row r="5012" spans="6:8">
      <c r="H5012" t="s">
        <v>20109</v>
      </c>
    </row>
    <row r="5013" spans="6:8">
      <c r="H5013" t="s">
        <v>20110</v>
      </c>
    </row>
    <row r="5014" spans="6:8">
      <c r="H5014" t="s">
        <v>20092</v>
      </c>
    </row>
    <row r="5015" spans="6:8">
      <c r="H5015" t="s">
        <v>20095</v>
      </c>
    </row>
    <row r="5016" spans="6:8">
      <c r="H5016" t="s">
        <v>20096</v>
      </c>
    </row>
    <row r="5017" spans="6:8">
      <c r="H5017" t="s">
        <v>20097</v>
      </c>
    </row>
    <row r="5018" spans="6:8">
      <c r="H5018" t="s">
        <v>20098</v>
      </c>
    </row>
    <row r="5019" spans="6:8">
      <c r="F5019" t="s">
        <v>11362</v>
      </c>
      <c r="G5019" t="s">
        <v>15293</v>
      </c>
      <c r="H5019" t="s">
        <v>20091</v>
      </c>
    </row>
    <row r="5020" spans="6:8">
      <c r="H5020" t="s">
        <v>19712</v>
      </c>
    </row>
    <row r="5021" spans="6:8">
      <c r="H5021" t="s">
        <v>19709</v>
      </c>
    </row>
    <row r="5022" spans="6:8">
      <c r="H5022" t="s">
        <v>19706</v>
      </c>
    </row>
    <row r="5023" spans="6:8">
      <c r="H5023" t="s">
        <v>19707</v>
      </c>
    </row>
    <row r="5024" spans="6:8">
      <c r="H5024" t="s">
        <v>19711</v>
      </c>
    </row>
    <row r="5025" spans="6:8">
      <c r="H5025" t="s">
        <v>19708</v>
      </c>
    </row>
    <row r="5026" spans="6:8">
      <c r="H5026" t="s">
        <v>20107</v>
      </c>
    </row>
    <row r="5027" spans="6:8">
      <c r="H5027" t="s">
        <v>20108</v>
      </c>
    </row>
    <row r="5028" spans="6:8">
      <c r="H5028" t="s">
        <v>19713</v>
      </c>
    </row>
    <row r="5029" spans="6:8">
      <c r="H5029" t="s">
        <v>19714</v>
      </c>
    </row>
    <row r="5030" spans="6:8">
      <c r="H5030" t="s">
        <v>20109</v>
      </c>
    </row>
    <row r="5031" spans="6:8">
      <c r="H5031" t="s">
        <v>20110</v>
      </c>
    </row>
    <row r="5032" spans="6:8">
      <c r="H5032" t="s">
        <v>20092</v>
      </c>
    </row>
    <row r="5033" spans="6:8">
      <c r="H5033" t="s">
        <v>20095</v>
      </c>
    </row>
    <row r="5034" spans="6:8">
      <c r="H5034" t="s">
        <v>20096</v>
      </c>
    </row>
    <row r="5035" spans="6:8">
      <c r="H5035" t="s">
        <v>20097</v>
      </c>
    </row>
    <row r="5036" spans="6:8">
      <c r="H5036" t="s">
        <v>20098</v>
      </c>
    </row>
    <row r="5037" spans="6:8">
      <c r="F5037" t="s">
        <v>11363</v>
      </c>
      <c r="G5037" t="s">
        <v>15294</v>
      </c>
      <c r="H5037" t="s">
        <v>20091</v>
      </c>
    </row>
    <row r="5038" spans="6:8">
      <c r="H5038" t="s">
        <v>19712</v>
      </c>
    </row>
    <row r="5039" spans="6:8">
      <c r="H5039" t="s">
        <v>19709</v>
      </c>
    </row>
    <row r="5040" spans="6:8">
      <c r="H5040" t="s">
        <v>19706</v>
      </c>
    </row>
    <row r="5041" spans="6:8">
      <c r="H5041" t="s">
        <v>19707</v>
      </c>
    </row>
    <row r="5042" spans="6:8">
      <c r="H5042" t="s">
        <v>19711</v>
      </c>
    </row>
    <row r="5043" spans="6:8">
      <c r="H5043" t="s">
        <v>19708</v>
      </c>
    </row>
    <row r="5044" spans="6:8">
      <c r="H5044" t="s">
        <v>20107</v>
      </c>
    </row>
    <row r="5045" spans="6:8">
      <c r="H5045" t="s">
        <v>20108</v>
      </c>
    </row>
    <row r="5046" spans="6:8">
      <c r="H5046" t="s">
        <v>19713</v>
      </c>
    </row>
    <row r="5047" spans="6:8">
      <c r="H5047" t="s">
        <v>19714</v>
      </c>
    </row>
    <row r="5048" spans="6:8">
      <c r="H5048" t="s">
        <v>20109</v>
      </c>
    </row>
    <row r="5049" spans="6:8">
      <c r="H5049" t="s">
        <v>20110</v>
      </c>
    </row>
    <row r="5050" spans="6:8">
      <c r="H5050" t="s">
        <v>20092</v>
      </c>
    </row>
    <row r="5051" spans="6:8">
      <c r="H5051" t="s">
        <v>20095</v>
      </c>
    </row>
    <row r="5052" spans="6:8">
      <c r="H5052" t="s">
        <v>20096</v>
      </c>
    </row>
    <row r="5053" spans="6:8">
      <c r="H5053" t="s">
        <v>20097</v>
      </c>
    </row>
    <row r="5054" spans="6:8">
      <c r="H5054" t="s">
        <v>20098</v>
      </c>
    </row>
    <row r="5055" spans="6:8">
      <c r="F5055" t="s">
        <v>11364</v>
      </c>
      <c r="G5055" t="s">
        <v>15295</v>
      </c>
      <c r="H5055" t="s">
        <v>20091</v>
      </c>
    </row>
    <row r="5056" spans="6:8">
      <c r="H5056" t="s">
        <v>19712</v>
      </c>
    </row>
    <row r="5057" spans="8:8">
      <c r="H5057" t="s">
        <v>19709</v>
      </c>
    </row>
    <row r="5058" spans="8:8">
      <c r="H5058" t="s">
        <v>19706</v>
      </c>
    </row>
    <row r="5059" spans="8:8">
      <c r="H5059" t="s">
        <v>19707</v>
      </c>
    </row>
    <row r="5060" spans="8:8">
      <c r="H5060" t="s">
        <v>19711</v>
      </c>
    </row>
    <row r="5061" spans="8:8">
      <c r="H5061" t="s">
        <v>19708</v>
      </c>
    </row>
    <row r="5062" spans="8:8">
      <c r="H5062" t="s">
        <v>20107</v>
      </c>
    </row>
    <row r="5063" spans="8:8">
      <c r="H5063" t="s">
        <v>20108</v>
      </c>
    </row>
    <row r="5064" spans="8:8">
      <c r="H5064" t="s">
        <v>19713</v>
      </c>
    </row>
    <row r="5065" spans="8:8">
      <c r="H5065" t="s">
        <v>19714</v>
      </c>
    </row>
    <row r="5066" spans="8:8">
      <c r="H5066" t="s">
        <v>20109</v>
      </c>
    </row>
    <row r="5067" spans="8:8">
      <c r="H5067" t="s">
        <v>20110</v>
      </c>
    </row>
    <row r="5068" spans="8:8">
      <c r="H5068" t="s">
        <v>20092</v>
      </c>
    </row>
    <row r="5069" spans="8:8">
      <c r="H5069" t="s">
        <v>20095</v>
      </c>
    </row>
    <row r="5070" spans="8:8">
      <c r="H5070" t="s">
        <v>20096</v>
      </c>
    </row>
    <row r="5071" spans="8:8">
      <c r="H5071" t="s">
        <v>20097</v>
      </c>
    </row>
    <row r="5072" spans="8:8">
      <c r="H5072" t="s">
        <v>20098</v>
      </c>
    </row>
    <row r="5073" spans="6:8">
      <c r="F5073" t="s">
        <v>11365</v>
      </c>
      <c r="G5073" t="s">
        <v>15639</v>
      </c>
      <c r="H5073" t="s">
        <v>20091</v>
      </c>
    </row>
    <row r="5074" spans="6:8">
      <c r="H5074" t="s">
        <v>19712</v>
      </c>
    </row>
    <row r="5075" spans="6:8">
      <c r="H5075" t="s">
        <v>19706</v>
      </c>
    </row>
    <row r="5076" spans="6:8">
      <c r="H5076" t="s">
        <v>19707</v>
      </c>
    </row>
    <row r="5077" spans="6:8">
      <c r="H5077" t="s">
        <v>19708</v>
      </c>
    </row>
    <row r="5078" spans="6:8">
      <c r="H5078" t="s">
        <v>19710</v>
      </c>
    </row>
    <row r="5079" spans="6:8">
      <c r="H5079" t="s">
        <v>20092</v>
      </c>
    </row>
    <row r="5080" spans="6:8">
      <c r="H5080" t="s">
        <v>20095</v>
      </c>
    </row>
    <row r="5081" spans="6:8">
      <c r="H5081" t="s">
        <v>20096</v>
      </c>
    </row>
    <row r="5082" spans="6:8">
      <c r="H5082" t="s">
        <v>20097</v>
      </c>
    </row>
    <row r="5083" spans="6:8">
      <c r="H5083" t="s">
        <v>20098</v>
      </c>
    </row>
    <row r="5084" spans="6:8">
      <c r="H5084" t="s">
        <v>20100</v>
      </c>
    </row>
    <row r="5085" spans="6:8">
      <c r="H5085" t="s">
        <v>20101</v>
      </c>
    </row>
    <row r="5086" spans="6:8">
      <c r="H5086" t="s">
        <v>20102</v>
      </c>
    </row>
    <row r="5087" spans="6:8">
      <c r="H5087" t="s">
        <v>20104</v>
      </c>
    </row>
    <row r="5088" spans="6:8">
      <c r="F5088" t="s">
        <v>11366</v>
      </c>
      <c r="G5088" t="s">
        <v>15640</v>
      </c>
      <c r="H5088" t="s">
        <v>20091</v>
      </c>
    </row>
    <row r="5089" spans="6:8">
      <c r="H5089" t="s">
        <v>20092</v>
      </c>
    </row>
    <row r="5090" spans="6:8">
      <c r="H5090" t="s">
        <v>20095</v>
      </c>
    </row>
    <row r="5091" spans="6:8">
      <c r="H5091" t="s">
        <v>20096</v>
      </c>
    </row>
    <row r="5092" spans="6:8">
      <c r="H5092" t="s">
        <v>20097</v>
      </c>
    </row>
    <row r="5093" spans="6:8">
      <c r="F5093" t="s">
        <v>11367</v>
      </c>
      <c r="G5093" t="s">
        <v>15641</v>
      </c>
      <c r="H5093" t="s">
        <v>20091</v>
      </c>
    </row>
    <row r="5094" spans="6:8">
      <c r="H5094" t="s">
        <v>20092</v>
      </c>
    </row>
    <row r="5095" spans="6:8">
      <c r="H5095" t="s">
        <v>20095</v>
      </c>
    </row>
    <row r="5096" spans="6:8">
      <c r="H5096" t="s">
        <v>20096</v>
      </c>
    </row>
    <row r="5097" spans="6:8">
      <c r="H5097" t="s">
        <v>20097</v>
      </c>
    </row>
    <row r="5098" spans="6:8">
      <c r="H5098" t="s">
        <v>20098</v>
      </c>
    </row>
    <row r="5099" spans="6:8">
      <c r="F5099" t="s">
        <v>11368</v>
      </c>
      <c r="G5099" t="s">
        <v>15296</v>
      </c>
      <c r="H5099" t="s">
        <v>20091</v>
      </c>
    </row>
    <row r="5100" spans="6:8">
      <c r="H5100" t="s">
        <v>19712</v>
      </c>
    </row>
    <row r="5101" spans="6:8">
      <c r="H5101" t="s">
        <v>19709</v>
      </c>
    </row>
    <row r="5102" spans="6:8">
      <c r="H5102" t="s">
        <v>20107</v>
      </c>
    </row>
    <row r="5103" spans="6:8">
      <c r="H5103" t="s">
        <v>20108</v>
      </c>
    </row>
    <row r="5104" spans="6:8">
      <c r="H5104" t="s">
        <v>19713</v>
      </c>
    </row>
    <row r="5105" spans="6:8">
      <c r="H5105" t="s">
        <v>19714</v>
      </c>
    </row>
    <row r="5106" spans="6:8">
      <c r="H5106" t="s">
        <v>20109</v>
      </c>
    </row>
    <row r="5107" spans="6:8">
      <c r="H5107" t="s">
        <v>20110</v>
      </c>
    </row>
    <row r="5108" spans="6:8">
      <c r="H5108" t="s">
        <v>20111</v>
      </c>
    </row>
    <row r="5109" spans="6:8">
      <c r="H5109" t="s">
        <v>20112</v>
      </c>
    </row>
    <row r="5110" spans="6:8">
      <c r="H5110" t="s">
        <v>20113</v>
      </c>
    </row>
    <row r="5111" spans="6:8">
      <c r="H5111" t="s">
        <v>20114</v>
      </c>
    </row>
    <row r="5112" spans="6:8">
      <c r="H5112" t="s">
        <v>20115</v>
      </c>
    </row>
    <row r="5113" spans="6:8">
      <c r="H5113" t="s">
        <v>20120</v>
      </c>
    </row>
    <row r="5114" spans="6:8">
      <c r="H5114" t="s">
        <v>20095</v>
      </c>
    </row>
    <row r="5115" spans="6:8">
      <c r="H5115" t="s">
        <v>20096</v>
      </c>
    </row>
    <row r="5116" spans="6:8">
      <c r="H5116" t="s">
        <v>20097</v>
      </c>
    </row>
    <row r="5117" spans="6:8">
      <c r="H5117" t="s">
        <v>20098</v>
      </c>
    </row>
    <row r="5118" spans="6:8">
      <c r="F5118" t="s">
        <v>11369</v>
      </c>
      <c r="G5118" t="s">
        <v>15297</v>
      </c>
      <c r="H5118" t="s">
        <v>20091</v>
      </c>
    </row>
    <row r="5119" spans="6:8">
      <c r="H5119" t="s">
        <v>19712</v>
      </c>
    </row>
    <row r="5120" spans="6:8">
      <c r="H5120" t="s">
        <v>19709</v>
      </c>
    </row>
    <row r="5121" spans="8:8">
      <c r="H5121" t="s">
        <v>20107</v>
      </c>
    </row>
    <row r="5122" spans="8:8">
      <c r="H5122" t="s">
        <v>20108</v>
      </c>
    </row>
    <row r="5123" spans="8:8">
      <c r="H5123" t="s">
        <v>19713</v>
      </c>
    </row>
    <row r="5124" spans="8:8">
      <c r="H5124" t="s">
        <v>19714</v>
      </c>
    </row>
    <row r="5125" spans="8:8">
      <c r="H5125" t="s">
        <v>20109</v>
      </c>
    </row>
    <row r="5126" spans="8:8">
      <c r="H5126" t="s">
        <v>20110</v>
      </c>
    </row>
    <row r="5127" spans="8:8">
      <c r="H5127" t="s">
        <v>20111</v>
      </c>
    </row>
    <row r="5128" spans="8:8">
      <c r="H5128" t="s">
        <v>20112</v>
      </c>
    </row>
    <row r="5129" spans="8:8">
      <c r="H5129" t="s">
        <v>20113</v>
      </c>
    </row>
    <row r="5130" spans="8:8">
      <c r="H5130" t="s">
        <v>20114</v>
      </c>
    </row>
    <row r="5131" spans="8:8">
      <c r="H5131" t="s">
        <v>20115</v>
      </c>
    </row>
    <row r="5132" spans="8:8">
      <c r="H5132" t="s">
        <v>20120</v>
      </c>
    </row>
    <row r="5133" spans="8:8">
      <c r="H5133" t="s">
        <v>20095</v>
      </c>
    </row>
    <row r="5134" spans="8:8">
      <c r="H5134" t="s">
        <v>20096</v>
      </c>
    </row>
    <row r="5135" spans="8:8">
      <c r="H5135" t="s">
        <v>20097</v>
      </c>
    </row>
    <row r="5136" spans="8:8">
      <c r="H5136" t="s">
        <v>20098</v>
      </c>
    </row>
    <row r="5137" spans="6:8">
      <c r="F5137" t="s">
        <v>11370</v>
      </c>
      <c r="G5137" t="s">
        <v>15642</v>
      </c>
      <c r="H5137" t="s">
        <v>20091</v>
      </c>
    </row>
    <row r="5138" spans="6:8">
      <c r="H5138" t="s">
        <v>19712</v>
      </c>
    </row>
    <row r="5139" spans="6:8">
      <c r="H5139" t="s">
        <v>19709</v>
      </c>
    </row>
    <row r="5140" spans="6:8">
      <c r="H5140" t="s">
        <v>20092</v>
      </c>
    </row>
    <row r="5141" spans="6:8">
      <c r="H5141" t="s">
        <v>20117</v>
      </c>
    </row>
    <row r="5142" spans="6:8">
      <c r="H5142" t="s">
        <v>20095</v>
      </c>
    </row>
    <row r="5143" spans="6:8">
      <c r="H5143" t="s">
        <v>20096</v>
      </c>
    </row>
    <row r="5144" spans="6:8">
      <c r="H5144" t="s">
        <v>20097</v>
      </c>
    </row>
    <row r="5145" spans="6:8">
      <c r="H5145" t="s">
        <v>20098</v>
      </c>
    </row>
    <row r="5146" spans="6:8">
      <c r="H5146" t="s">
        <v>20099</v>
      </c>
    </row>
    <row r="5147" spans="6:8">
      <c r="H5147" t="s">
        <v>20100</v>
      </c>
    </row>
    <row r="5148" spans="6:8">
      <c r="H5148" t="s">
        <v>20101</v>
      </c>
    </row>
    <row r="5149" spans="6:8">
      <c r="H5149" t="s">
        <v>20102</v>
      </c>
    </row>
    <row r="5150" spans="6:8">
      <c r="H5150" t="s">
        <v>20104</v>
      </c>
    </row>
    <row r="5151" spans="6:8">
      <c r="H5151" t="s">
        <v>20105</v>
      </c>
    </row>
    <row r="5152" spans="6:8">
      <c r="H5152" t="s">
        <v>20123</v>
      </c>
    </row>
    <row r="5153" spans="6:8">
      <c r="H5153" t="s">
        <v>20124</v>
      </c>
    </row>
    <row r="5154" spans="6:8">
      <c r="H5154" t="s">
        <v>20192</v>
      </c>
    </row>
    <row r="5155" spans="6:8">
      <c r="H5155" t="s">
        <v>20193</v>
      </c>
    </row>
    <row r="5156" spans="6:8">
      <c r="F5156" t="s">
        <v>11371</v>
      </c>
      <c r="G5156" t="s">
        <v>15643</v>
      </c>
      <c r="H5156" t="s">
        <v>20091</v>
      </c>
    </row>
    <row r="5157" spans="6:8">
      <c r="H5157" t="s">
        <v>19709</v>
      </c>
    </row>
    <row r="5158" spans="6:8">
      <c r="H5158" t="s">
        <v>20092</v>
      </c>
    </row>
    <row r="5159" spans="6:8">
      <c r="H5159" t="s">
        <v>20117</v>
      </c>
    </row>
    <row r="5160" spans="6:8">
      <c r="H5160" t="s">
        <v>20095</v>
      </c>
    </row>
    <row r="5161" spans="6:8">
      <c r="H5161" t="s">
        <v>20096</v>
      </c>
    </row>
    <row r="5162" spans="6:8">
      <c r="H5162" t="s">
        <v>20097</v>
      </c>
    </row>
    <row r="5163" spans="6:8">
      <c r="H5163" t="s">
        <v>20098</v>
      </c>
    </row>
    <row r="5164" spans="6:8">
      <c r="H5164" t="s">
        <v>20099</v>
      </c>
    </row>
    <row r="5165" spans="6:8">
      <c r="H5165" t="s">
        <v>20100</v>
      </c>
    </row>
    <row r="5166" spans="6:8">
      <c r="H5166" t="s">
        <v>20101</v>
      </c>
    </row>
    <row r="5167" spans="6:8">
      <c r="H5167" t="s">
        <v>20102</v>
      </c>
    </row>
    <row r="5168" spans="6:8">
      <c r="H5168" t="s">
        <v>20104</v>
      </c>
    </row>
    <row r="5169" spans="6:8">
      <c r="H5169" t="s">
        <v>20105</v>
      </c>
    </row>
    <row r="5170" spans="6:8">
      <c r="H5170" t="s">
        <v>20123</v>
      </c>
    </row>
    <row r="5171" spans="6:8">
      <c r="H5171" t="s">
        <v>20124</v>
      </c>
    </row>
    <row r="5172" spans="6:8">
      <c r="H5172" t="s">
        <v>20192</v>
      </c>
    </row>
    <row r="5173" spans="6:8">
      <c r="H5173" t="s">
        <v>20193</v>
      </c>
    </row>
    <row r="5174" spans="6:8">
      <c r="F5174" t="s">
        <v>11372</v>
      </c>
      <c r="G5174" t="s">
        <v>15644</v>
      </c>
      <c r="H5174" t="s">
        <v>20091</v>
      </c>
    </row>
    <row r="5175" spans="6:8">
      <c r="H5175" t="s">
        <v>19709</v>
      </c>
    </row>
    <row r="5176" spans="6:8">
      <c r="H5176" t="s">
        <v>20092</v>
      </c>
    </row>
    <row r="5177" spans="6:8">
      <c r="H5177" t="s">
        <v>20117</v>
      </c>
    </row>
    <row r="5178" spans="6:8">
      <c r="H5178" t="s">
        <v>20095</v>
      </c>
    </row>
    <row r="5179" spans="6:8">
      <c r="H5179" t="s">
        <v>20096</v>
      </c>
    </row>
    <row r="5180" spans="6:8">
      <c r="H5180" t="s">
        <v>20097</v>
      </c>
    </row>
    <row r="5181" spans="6:8">
      <c r="H5181" t="s">
        <v>20098</v>
      </c>
    </row>
    <row r="5182" spans="6:8">
      <c r="H5182" t="s">
        <v>20099</v>
      </c>
    </row>
    <row r="5183" spans="6:8">
      <c r="H5183" t="s">
        <v>20100</v>
      </c>
    </row>
    <row r="5184" spans="6:8">
      <c r="H5184" t="s">
        <v>20101</v>
      </c>
    </row>
    <row r="5185" spans="6:8">
      <c r="H5185" t="s">
        <v>20102</v>
      </c>
    </row>
    <row r="5186" spans="6:8">
      <c r="H5186" t="s">
        <v>20104</v>
      </c>
    </row>
    <row r="5187" spans="6:8">
      <c r="H5187" t="s">
        <v>20105</v>
      </c>
    </row>
    <row r="5188" spans="6:8">
      <c r="H5188" t="s">
        <v>20123</v>
      </c>
    </row>
    <row r="5189" spans="6:8">
      <c r="H5189" t="s">
        <v>20124</v>
      </c>
    </row>
    <row r="5190" spans="6:8">
      <c r="H5190" t="s">
        <v>20192</v>
      </c>
    </row>
    <row r="5191" spans="6:8">
      <c r="H5191" t="s">
        <v>20193</v>
      </c>
    </row>
    <row r="5192" spans="6:8">
      <c r="F5192" t="s">
        <v>11373</v>
      </c>
      <c r="G5192" t="s">
        <v>15645</v>
      </c>
      <c r="H5192" t="s">
        <v>20091</v>
      </c>
    </row>
    <row r="5193" spans="6:8">
      <c r="H5193" t="s">
        <v>19709</v>
      </c>
    </row>
    <row r="5194" spans="6:8">
      <c r="H5194" t="s">
        <v>20092</v>
      </c>
    </row>
    <row r="5195" spans="6:8">
      <c r="H5195" t="s">
        <v>20117</v>
      </c>
    </row>
    <row r="5196" spans="6:8">
      <c r="H5196" t="s">
        <v>20095</v>
      </c>
    </row>
    <row r="5197" spans="6:8">
      <c r="H5197" t="s">
        <v>20096</v>
      </c>
    </row>
    <row r="5198" spans="6:8">
      <c r="H5198" t="s">
        <v>20097</v>
      </c>
    </row>
    <row r="5199" spans="6:8">
      <c r="H5199" t="s">
        <v>20098</v>
      </c>
    </row>
    <row r="5200" spans="6:8">
      <c r="H5200" t="s">
        <v>20099</v>
      </c>
    </row>
    <row r="5201" spans="6:8">
      <c r="H5201" t="s">
        <v>20100</v>
      </c>
    </row>
    <row r="5202" spans="6:8">
      <c r="H5202" t="s">
        <v>20101</v>
      </c>
    </row>
    <row r="5203" spans="6:8">
      <c r="H5203" t="s">
        <v>20102</v>
      </c>
    </row>
    <row r="5204" spans="6:8">
      <c r="H5204" t="s">
        <v>20104</v>
      </c>
    </row>
    <row r="5205" spans="6:8">
      <c r="H5205" t="s">
        <v>20105</v>
      </c>
    </row>
    <row r="5206" spans="6:8">
      <c r="H5206" t="s">
        <v>20123</v>
      </c>
    </row>
    <row r="5207" spans="6:8">
      <c r="H5207" t="s">
        <v>20124</v>
      </c>
    </row>
    <row r="5208" spans="6:8">
      <c r="H5208" t="s">
        <v>20192</v>
      </c>
    </row>
    <row r="5209" spans="6:8">
      <c r="H5209" t="s">
        <v>20193</v>
      </c>
    </row>
    <row r="5210" spans="6:8">
      <c r="F5210" t="s">
        <v>11374</v>
      </c>
      <c r="G5210" t="s">
        <v>15646</v>
      </c>
      <c r="H5210" t="s">
        <v>20091</v>
      </c>
    </row>
    <row r="5211" spans="6:8">
      <c r="H5211" t="s">
        <v>19709</v>
      </c>
    </row>
    <row r="5212" spans="6:8">
      <c r="H5212" t="s">
        <v>20092</v>
      </c>
    </row>
    <row r="5213" spans="6:8">
      <c r="H5213" t="s">
        <v>20117</v>
      </c>
    </row>
    <row r="5214" spans="6:8">
      <c r="H5214" t="s">
        <v>20095</v>
      </c>
    </row>
    <row r="5215" spans="6:8">
      <c r="H5215" t="s">
        <v>20096</v>
      </c>
    </row>
    <row r="5216" spans="6:8">
      <c r="H5216" t="s">
        <v>20097</v>
      </c>
    </row>
    <row r="5217" spans="6:8">
      <c r="H5217" t="s">
        <v>20098</v>
      </c>
    </row>
    <row r="5218" spans="6:8">
      <c r="H5218" t="s">
        <v>20099</v>
      </c>
    </row>
    <row r="5219" spans="6:8">
      <c r="H5219" t="s">
        <v>20100</v>
      </c>
    </row>
    <row r="5220" spans="6:8">
      <c r="H5220" t="s">
        <v>20101</v>
      </c>
    </row>
    <row r="5221" spans="6:8">
      <c r="H5221" t="s">
        <v>20102</v>
      </c>
    </row>
    <row r="5222" spans="6:8">
      <c r="H5222" t="s">
        <v>20104</v>
      </c>
    </row>
    <row r="5223" spans="6:8">
      <c r="H5223" t="s">
        <v>20105</v>
      </c>
    </row>
    <row r="5224" spans="6:8">
      <c r="H5224" t="s">
        <v>20123</v>
      </c>
    </row>
    <row r="5225" spans="6:8">
      <c r="H5225" t="s">
        <v>20124</v>
      </c>
    </row>
    <row r="5226" spans="6:8">
      <c r="H5226" t="s">
        <v>20192</v>
      </c>
    </row>
    <row r="5227" spans="6:8">
      <c r="H5227" t="s">
        <v>20193</v>
      </c>
    </row>
    <row r="5228" spans="6:8">
      <c r="H5228" t="s">
        <v>20194</v>
      </c>
    </row>
    <row r="5229" spans="6:8">
      <c r="F5229" t="s">
        <v>11375</v>
      </c>
      <c r="G5229" t="s">
        <v>15647</v>
      </c>
      <c r="H5229" t="s">
        <v>20091</v>
      </c>
    </row>
    <row r="5230" spans="6:8">
      <c r="H5230" t="s">
        <v>19709</v>
      </c>
    </row>
    <row r="5231" spans="6:8">
      <c r="H5231" t="s">
        <v>20092</v>
      </c>
    </row>
    <row r="5232" spans="6:8">
      <c r="H5232" t="s">
        <v>20117</v>
      </c>
    </row>
    <row r="5233" spans="6:8">
      <c r="H5233" t="s">
        <v>20095</v>
      </c>
    </row>
    <row r="5234" spans="6:8">
      <c r="H5234" t="s">
        <v>20096</v>
      </c>
    </row>
    <row r="5235" spans="6:8">
      <c r="H5235" t="s">
        <v>20097</v>
      </c>
    </row>
    <row r="5236" spans="6:8">
      <c r="H5236" t="s">
        <v>20098</v>
      </c>
    </row>
    <row r="5237" spans="6:8">
      <c r="H5237" t="s">
        <v>20099</v>
      </c>
    </row>
    <row r="5238" spans="6:8">
      <c r="H5238" t="s">
        <v>20100</v>
      </c>
    </row>
    <row r="5239" spans="6:8">
      <c r="H5239" t="s">
        <v>20101</v>
      </c>
    </row>
    <row r="5240" spans="6:8">
      <c r="H5240" t="s">
        <v>20102</v>
      </c>
    </row>
    <row r="5241" spans="6:8">
      <c r="H5241" t="s">
        <v>20104</v>
      </c>
    </row>
    <row r="5242" spans="6:8">
      <c r="H5242" t="s">
        <v>20105</v>
      </c>
    </row>
    <row r="5243" spans="6:8">
      <c r="H5243" t="s">
        <v>20123</v>
      </c>
    </row>
    <row r="5244" spans="6:8">
      <c r="H5244" t="s">
        <v>20124</v>
      </c>
    </row>
    <row r="5245" spans="6:8">
      <c r="H5245" t="s">
        <v>20192</v>
      </c>
    </row>
    <row r="5246" spans="6:8">
      <c r="H5246" t="s">
        <v>20193</v>
      </c>
    </row>
    <row r="5247" spans="6:8">
      <c r="F5247" t="s">
        <v>11376</v>
      </c>
      <c r="G5247" t="s">
        <v>15648</v>
      </c>
      <c r="H5247" t="s">
        <v>20091</v>
      </c>
    </row>
    <row r="5248" spans="6:8">
      <c r="H5248" t="s">
        <v>19712</v>
      </c>
    </row>
    <row r="5249" spans="8:8">
      <c r="H5249" t="s">
        <v>19709</v>
      </c>
    </row>
    <row r="5250" spans="8:8">
      <c r="H5250" t="s">
        <v>20092</v>
      </c>
    </row>
    <row r="5251" spans="8:8">
      <c r="H5251" t="s">
        <v>20117</v>
      </c>
    </row>
    <row r="5252" spans="8:8">
      <c r="H5252" t="s">
        <v>20095</v>
      </c>
    </row>
    <row r="5253" spans="8:8">
      <c r="H5253" t="s">
        <v>20096</v>
      </c>
    </row>
    <row r="5254" spans="8:8">
      <c r="H5254" t="s">
        <v>20097</v>
      </c>
    </row>
    <row r="5255" spans="8:8">
      <c r="H5255" t="s">
        <v>20098</v>
      </c>
    </row>
    <row r="5256" spans="8:8">
      <c r="H5256" t="s">
        <v>20099</v>
      </c>
    </row>
    <row r="5257" spans="8:8">
      <c r="H5257" t="s">
        <v>20100</v>
      </c>
    </row>
    <row r="5258" spans="8:8">
      <c r="H5258" t="s">
        <v>20101</v>
      </c>
    </row>
    <row r="5259" spans="8:8">
      <c r="H5259" t="s">
        <v>20102</v>
      </c>
    </row>
    <row r="5260" spans="8:8">
      <c r="H5260" t="s">
        <v>20104</v>
      </c>
    </row>
    <row r="5261" spans="8:8">
      <c r="H5261" t="s">
        <v>20105</v>
      </c>
    </row>
    <row r="5262" spans="8:8">
      <c r="H5262" t="s">
        <v>20123</v>
      </c>
    </row>
    <row r="5263" spans="8:8">
      <c r="H5263" t="s">
        <v>20124</v>
      </c>
    </row>
    <row r="5264" spans="8:8">
      <c r="H5264" t="s">
        <v>20192</v>
      </c>
    </row>
    <row r="5265" spans="6:8">
      <c r="H5265" t="s">
        <v>20193</v>
      </c>
    </row>
    <row r="5266" spans="6:8">
      <c r="F5266" t="s">
        <v>11377</v>
      </c>
      <c r="G5266" t="s">
        <v>15298</v>
      </c>
      <c r="H5266" t="s">
        <v>20091</v>
      </c>
    </row>
    <row r="5267" spans="6:8">
      <c r="H5267" t="s">
        <v>19712</v>
      </c>
    </row>
    <row r="5268" spans="6:8">
      <c r="H5268" t="s">
        <v>19709</v>
      </c>
    </row>
    <row r="5269" spans="6:8">
      <c r="H5269" t="s">
        <v>19706</v>
      </c>
    </row>
    <row r="5270" spans="6:8">
      <c r="H5270" t="s">
        <v>19707</v>
      </c>
    </row>
    <row r="5271" spans="6:8">
      <c r="H5271" t="s">
        <v>19711</v>
      </c>
    </row>
    <row r="5272" spans="6:8">
      <c r="H5272" t="s">
        <v>20107</v>
      </c>
    </row>
    <row r="5273" spans="6:8">
      <c r="H5273" t="s">
        <v>20108</v>
      </c>
    </row>
    <row r="5274" spans="6:8">
      <c r="H5274" t="s">
        <v>19713</v>
      </c>
    </row>
    <row r="5275" spans="6:8">
      <c r="H5275" t="s">
        <v>19714</v>
      </c>
    </row>
    <row r="5276" spans="6:8">
      <c r="H5276" t="s">
        <v>20095</v>
      </c>
    </row>
    <row r="5277" spans="6:8">
      <c r="H5277" t="s">
        <v>20096</v>
      </c>
    </row>
    <row r="5278" spans="6:8">
      <c r="H5278" t="s">
        <v>20097</v>
      </c>
    </row>
    <row r="5279" spans="6:8">
      <c r="H5279" t="s">
        <v>20098</v>
      </c>
    </row>
    <row r="5280" spans="6:8">
      <c r="F5280" t="s">
        <v>11378</v>
      </c>
      <c r="G5280" t="s">
        <v>15299</v>
      </c>
      <c r="H5280" t="s">
        <v>20091</v>
      </c>
    </row>
    <row r="5281" spans="6:8">
      <c r="H5281" t="s">
        <v>19712</v>
      </c>
    </row>
    <row r="5282" spans="6:8">
      <c r="H5282" t="s">
        <v>19709</v>
      </c>
    </row>
    <row r="5283" spans="6:8">
      <c r="H5283" t="s">
        <v>19706</v>
      </c>
    </row>
    <row r="5284" spans="6:8">
      <c r="H5284" t="s">
        <v>19707</v>
      </c>
    </row>
    <row r="5285" spans="6:8">
      <c r="H5285" t="s">
        <v>19711</v>
      </c>
    </row>
    <row r="5286" spans="6:8">
      <c r="H5286" t="s">
        <v>20107</v>
      </c>
    </row>
    <row r="5287" spans="6:8">
      <c r="H5287" t="s">
        <v>20108</v>
      </c>
    </row>
    <row r="5288" spans="6:8">
      <c r="H5288" t="s">
        <v>19713</v>
      </c>
    </row>
    <row r="5289" spans="6:8">
      <c r="H5289" t="s">
        <v>19714</v>
      </c>
    </row>
    <row r="5290" spans="6:8">
      <c r="H5290" t="s">
        <v>20095</v>
      </c>
    </row>
    <row r="5291" spans="6:8">
      <c r="H5291" t="s">
        <v>20096</v>
      </c>
    </row>
    <row r="5292" spans="6:8">
      <c r="H5292" t="s">
        <v>20097</v>
      </c>
    </row>
    <row r="5293" spans="6:8">
      <c r="H5293" t="s">
        <v>20098</v>
      </c>
    </row>
    <row r="5294" spans="6:8">
      <c r="F5294" t="s">
        <v>11379</v>
      </c>
      <c r="G5294" t="s">
        <v>15300</v>
      </c>
      <c r="H5294" t="s">
        <v>20091</v>
      </c>
    </row>
    <row r="5295" spans="6:8">
      <c r="H5295" t="s">
        <v>19712</v>
      </c>
    </row>
    <row r="5296" spans="6:8">
      <c r="H5296" t="s">
        <v>19709</v>
      </c>
    </row>
    <row r="5297" spans="6:8">
      <c r="H5297" t="s">
        <v>19706</v>
      </c>
    </row>
    <row r="5298" spans="6:8">
      <c r="H5298" t="s">
        <v>19707</v>
      </c>
    </row>
    <row r="5299" spans="6:8">
      <c r="H5299" t="s">
        <v>19711</v>
      </c>
    </row>
    <row r="5300" spans="6:8">
      <c r="H5300" t="s">
        <v>20107</v>
      </c>
    </row>
    <row r="5301" spans="6:8">
      <c r="H5301" t="s">
        <v>20108</v>
      </c>
    </row>
    <row r="5302" spans="6:8">
      <c r="H5302" t="s">
        <v>19713</v>
      </c>
    </row>
    <row r="5303" spans="6:8">
      <c r="H5303" t="s">
        <v>19714</v>
      </c>
    </row>
    <row r="5304" spans="6:8">
      <c r="H5304" t="s">
        <v>20095</v>
      </c>
    </row>
    <row r="5305" spans="6:8">
      <c r="H5305" t="s">
        <v>20096</v>
      </c>
    </row>
    <row r="5306" spans="6:8">
      <c r="H5306" t="s">
        <v>20097</v>
      </c>
    </row>
    <row r="5307" spans="6:8">
      <c r="H5307" t="s">
        <v>20098</v>
      </c>
    </row>
    <row r="5308" spans="6:8">
      <c r="F5308" t="s">
        <v>11380</v>
      </c>
      <c r="G5308" t="s">
        <v>15301</v>
      </c>
      <c r="H5308" t="s">
        <v>20091</v>
      </c>
    </row>
    <row r="5309" spans="6:8">
      <c r="H5309" t="s">
        <v>19712</v>
      </c>
    </row>
    <row r="5310" spans="6:8">
      <c r="H5310" t="s">
        <v>19709</v>
      </c>
    </row>
    <row r="5311" spans="6:8">
      <c r="H5311" t="s">
        <v>19706</v>
      </c>
    </row>
    <row r="5312" spans="6:8">
      <c r="H5312" t="s">
        <v>19707</v>
      </c>
    </row>
    <row r="5313" spans="6:8">
      <c r="H5313" t="s">
        <v>19711</v>
      </c>
    </row>
    <row r="5314" spans="6:8">
      <c r="H5314" t="s">
        <v>20107</v>
      </c>
    </row>
    <row r="5315" spans="6:8">
      <c r="H5315" t="s">
        <v>20108</v>
      </c>
    </row>
    <row r="5316" spans="6:8">
      <c r="H5316" t="s">
        <v>19713</v>
      </c>
    </row>
    <row r="5317" spans="6:8">
      <c r="H5317" t="s">
        <v>19714</v>
      </c>
    </row>
    <row r="5318" spans="6:8">
      <c r="H5318" t="s">
        <v>20095</v>
      </c>
    </row>
    <row r="5319" spans="6:8">
      <c r="H5319" t="s">
        <v>20096</v>
      </c>
    </row>
    <row r="5320" spans="6:8">
      <c r="H5320" t="s">
        <v>20097</v>
      </c>
    </row>
    <row r="5321" spans="6:8">
      <c r="H5321" t="s">
        <v>20098</v>
      </c>
    </row>
    <row r="5322" spans="6:8">
      <c r="H5322" t="s">
        <v>20099</v>
      </c>
    </row>
    <row r="5323" spans="6:8">
      <c r="F5323" t="s">
        <v>11381</v>
      </c>
      <c r="G5323" t="s">
        <v>15302</v>
      </c>
      <c r="H5323" t="s">
        <v>20091</v>
      </c>
    </row>
    <row r="5324" spans="6:8">
      <c r="H5324" t="s">
        <v>19712</v>
      </c>
    </row>
    <row r="5325" spans="6:8">
      <c r="H5325" t="s">
        <v>19709</v>
      </c>
    </row>
    <row r="5326" spans="6:8">
      <c r="H5326" t="s">
        <v>19706</v>
      </c>
    </row>
    <row r="5327" spans="6:8">
      <c r="H5327" t="s">
        <v>19707</v>
      </c>
    </row>
    <row r="5328" spans="6:8">
      <c r="H5328" t="s">
        <v>19711</v>
      </c>
    </row>
    <row r="5329" spans="6:8">
      <c r="H5329" t="s">
        <v>20107</v>
      </c>
    </row>
    <row r="5330" spans="6:8">
      <c r="H5330" t="s">
        <v>20108</v>
      </c>
    </row>
    <row r="5331" spans="6:8">
      <c r="H5331" t="s">
        <v>19713</v>
      </c>
    </row>
    <row r="5332" spans="6:8">
      <c r="H5332" t="s">
        <v>19714</v>
      </c>
    </row>
    <row r="5333" spans="6:8">
      <c r="H5333" t="s">
        <v>20095</v>
      </c>
    </row>
    <row r="5334" spans="6:8">
      <c r="H5334" t="s">
        <v>20096</v>
      </c>
    </row>
    <row r="5335" spans="6:8">
      <c r="H5335" t="s">
        <v>20097</v>
      </c>
    </row>
    <row r="5336" spans="6:8">
      <c r="H5336" t="s">
        <v>20098</v>
      </c>
    </row>
    <row r="5337" spans="6:8">
      <c r="H5337" t="s">
        <v>20099</v>
      </c>
    </row>
    <row r="5338" spans="6:8">
      <c r="F5338" t="s">
        <v>11382</v>
      </c>
      <c r="G5338" t="s">
        <v>15303</v>
      </c>
      <c r="H5338" t="s">
        <v>20091</v>
      </c>
    </row>
    <row r="5339" spans="6:8">
      <c r="H5339" t="s">
        <v>19712</v>
      </c>
    </row>
    <row r="5340" spans="6:8">
      <c r="H5340" t="s">
        <v>19709</v>
      </c>
    </row>
    <row r="5341" spans="6:8">
      <c r="H5341" t="s">
        <v>19706</v>
      </c>
    </row>
    <row r="5342" spans="6:8">
      <c r="H5342" t="s">
        <v>19707</v>
      </c>
    </row>
    <row r="5343" spans="6:8">
      <c r="H5343" t="s">
        <v>19711</v>
      </c>
    </row>
    <row r="5344" spans="6:8">
      <c r="H5344" t="s">
        <v>20107</v>
      </c>
    </row>
    <row r="5345" spans="6:8">
      <c r="H5345" t="s">
        <v>20108</v>
      </c>
    </row>
    <row r="5346" spans="6:8">
      <c r="H5346" t="s">
        <v>19713</v>
      </c>
    </row>
    <row r="5347" spans="6:8">
      <c r="H5347" t="s">
        <v>19714</v>
      </c>
    </row>
    <row r="5348" spans="6:8">
      <c r="H5348" t="s">
        <v>20095</v>
      </c>
    </row>
    <row r="5349" spans="6:8">
      <c r="H5349" t="s">
        <v>20096</v>
      </c>
    </row>
    <row r="5350" spans="6:8">
      <c r="H5350" t="s">
        <v>20097</v>
      </c>
    </row>
    <row r="5351" spans="6:8">
      <c r="H5351" t="s">
        <v>20098</v>
      </c>
    </row>
    <row r="5352" spans="6:8">
      <c r="F5352" t="s">
        <v>11383</v>
      </c>
      <c r="G5352" t="s">
        <v>15304</v>
      </c>
      <c r="H5352" t="s">
        <v>20091</v>
      </c>
    </row>
    <row r="5353" spans="6:8">
      <c r="H5353" t="s">
        <v>19712</v>
      </c>
    </row>
    <row r="5354" spans="6:8">
      <c r="H5354" t="s">
        <v>19709</v>
      </c>
    </row>
    <row r="5355" spans="6:8">
      <c r="H5355" t="s">
        <v>19706</v>
      </c>
    </row>
    <row r="5356" spans="6:8">
      <c r="H5356" t="s">
        <v>19707</v>
      </c>
    </row>
    <row r="5357" spans="6:8">
      <c r="H5357" t="s">
        <v>19711</v>
      </c>
    </row>
    <row r="5358" spans="6:8">
      <c r="H5358" t="s">
        <v>20107</v>
      </c>
    </row>
    <row r="5359" spans="6:8">
      <c r="H5359" t="s">
        <v>20108</v>
      </c>
    </row>
    <row r="5360" spans="6:8">
      <c r="H5360" t="s">
        <v>19713</v>
      </c>
    </row>
    <row r="5361" spans="6:8">
      <c r="H5361" t="s">
        <v>19714</v>
      </c>
    </row>
    <row r="5362" spans="6:8">
      <c r="H5362" t="s">
        <v>20095</v>
      </c>
    </row>
    <row r="5363" spans="6:8">
      <c r="H5363" t="s">
        <v>20096</v>
      </c>
    </row>
    <row r="5364" spans="6:8">
      <c r="H5364" t="s">
        <v>20097</v>
      </c>
    </row>
    <row r="5365" spans="6:8">
      <c r="H5365" t="s">
        <v>20098</v>
      </c>
    </row>
    <row r="5366" spans="6:8">
      <c r="F5366" t="s">
        <v>11384</v>
      </c>
      <c r="G5366" t="s">
        <v>15305</v>
      </c>
      <c r="H5366" t="s">
        <v>20091</v>
      </c>
    </row>
    <row r="5367" spans="6:8">
      <c r="H5367" t="s">
        <v>19712</v>
      </c>
    </row>
    <row r="5368" spans="6:8">
      <c r="H5368" t="s">
        <v>19709</v>
      </c>
    </row>
    <row r="5369" spans="6:8">
      <c r="H5369" t="s">
        <v>19706</v>
      </c>
    </row>
    <row r="5370" spans="6:8">
      <c r="H5370" t="s">
        <v>19707</v>
      </c>
    </row>
    <row r="5371" spans="6:8">
      <c r="H5371" t="s">
        <v>19711</v>
      </c>
    </row>
    <row r="5372" spans="6:8">
      <c r="H5372" t="s">
        <v>20107</v>
      </c>
    </row>
    <row r="5373" spans="6:8">
      <c r="H5373" t="s">
        <v>20108</v>
      </c>
    </row>
    <row r="5374" spans="6:8">
      <c r="H5374" t="s">
        <v>19713</v>
      </c>
    </row>
    <row r="5375" spans="6:8">
      <c r="H5375" t="s">
        <v>19714</v>
      </c>
    </row>
    <row r="5376" spans="6:8">
      <c r="H5376" t="s">
        <v>20095</v>
      </c>
    </row>
    <row r="5377" spans="6:8">
      <c r="H5377" t="s">
        <v>20096</v>
      </c>
    </row>
    <row r="5378" spans="6:8">
      <c r="H5378" t="s">
        <v>20097</v>
      </c>
    </row>
    <row r="5379" spans="6:8">
      <c r="H5379" t="s">
        <v>20098</v>
      </c>
    </row>
    <row r="5380" spans="6:8">
      <c r="F5380" t="s">
        <v>11385</v>
      </c>
      <c r="G5380" t="s">
        <v>15306</v>
      </c>
      <c r="H5380" t="s">
        <v>20091</v>
      </c>
    </row>
    <row r="5381" spans="6:8">
      <c r="H5381" t="s">
        <v>19712</v>
      </c>
    </row>
    <row r="5382" spans="6:8">
      <c r="H5382" t="s">
        <v>19709</v>
      </c>
    </row>
    <row r="5383" spans="6:8">
      <c r="H5383" t="s">
        <v>19706</v>
      </c>
    </row>
    <row r="5384" spans="6:8">
      <c r="H5384" t="s">
        <v>19707</v>
      </c>
    </row>
    <row r="5385" spans="6:8">
      <c r="H5385" t="s">
        <v>19711</v>
      </c>
    </row>
    <row r="5386" spans="6:8">
      <c r="H5386" t="s">
        <v>20107</v>
      </c>
    </row>
    <row r="5387" spans="6:8">
      <c r="H5387" t="s">
        <v>20108</v>
      </c>
    </row>
    <row r="5388" spans="6:8">
      <c r="H5388" t="s">
        <v>19713</v>
      </c>
    </row>
    <row r="5389" spans="6:8">
      <c r="H5389" t="s">
        <v>19714</v>
      </c>
    </row>
    <row r="5390" spans="6:8">
      <c r="H5390" t="s">
        <v>20095</v>
      </c>
    </row>
    <row r="5391" spans="6:8">
      <c r="H5391" t="s">
        <v>20096</v>
      </c>
    </row>
    <row r="5392" spans="6:8">
      <c r="H5392" t="s">
        <v>20097</v>
      </c>
    </row>
    <row r="5393" spans="6:8">
      <c r="H5393" t="s">
        <v>20098</v>
      </c>
    </row>
    <row r="5394" spans="6:8">
      <c r="H5394" t="s">
        <v>20099</v>
      </c>
    </row>
    <row r="5395" spans="6:8">
      <c r="F5395" t="s">
        <v>11386</v>
      </c>
      <c r="G5395" t="s">
        <v>15307</v>
      </c>
      <c r="H5395" t="s">
        <v>20091</v>
      </c>
    </row>
    <row r="5396" spans="6:8">
      <c r="H5396" t="s">
        <v>19712</v>
      </c>
    </row>
    <row r="5397" spans="6:8">
      <c r="H5397" t="s">
        <v>19709</v>
      </c>
    </row>
    <row r="5398" spans="6:8">
      <c r="H5398" t="s">
        <v>19706</v>
      </c>
    </row>
    <row r="5399" spans="6:8">
      <c r="H5399" t="s">
        <v>19707</v>
      </c>
    </row>
    <row r="5400" spans="6:8">
      <c r="H5400" t="s">
        <v>19711</v>
      </c>
    </row>
    <row r="5401" spans="6:8">
      <c r="H5401" t="s">
        <v>20107</v>
      </c>
    </row>
    <row r="5402" spans="6:8">
      <c r="H5402" t="s">
        <v>20108</v>
      </c>
    </row>
    <row r="5403" spans="6:8">
      <c r="H5403" t="s">
        <v>19713</v>
      </c>
    </row>
    <row r="5404" spans="6:8">
      <c r="H5404" t="s">
        <v>19714</v>
      </c>
    </row>
    <row r="5405" spans="6:8">
      <c r="H5405" t="s">
        <v>20095</v>
      </c>
    </row>
    <row r="5406" spans="6:8">
      <c r="H5406" t="s">
        <v>20096</v>
      </c>
    </row>
    <row r="5407" spans="6:8">
      <c r="H5407" t="s">
        <v>20097</v>
      </c>
    </row>
    <row r="5408" spans="6:8">
      <c r="H5408" t="s">
        <v>20098</v>
      </c>
    </row>
    <row r="5409" spans="6:8">
      <c r="H5409" t="s">
        <v>20099</v>
      </c>
    </row>
    <row r="5410" spans="6:8">
      <c r="F5410" t="s">
        <v>11387</v>
      </c>
      <c r="G5410" t="s">
        <v>15308</v>
      </c>
      <c r="H5410" t="s">
        <v>20091</v>
      </c>
    </row>
    <row r="5411" spans="6:8">
      <c r="H5411" t="s">
        <v>19712</v>
      </c>
    </row>
    <row r="5412" spans="6:8">
      <c r="H5412" t="s">
        <v>20107</v>
      </c>
    </row>
    <row r="5413" spans="6:8">
      <c r="H5413" t="s">
        <v>20108</v>
      </c>
    </row>
    <row r="5414" spans="6:8">
      <c r="H5414" t="s">
        <v>19713</v>
      </c>
    </row>
    <row r="5415" spans="6:8">
      <c r="H5415" t="s">
        <v>20095</v>
      </c>
    </row>
    <row r="5416" spans="6:8">
      <c r="H5416" t="s">
        <v>20096</v>
      </c>
    </row>
    <row r="5417" spans="6:8">
      <c r="H5417" t="s">
        <v>20097</v>
      </c>
    </row>
    <row r="5418" spans="6:8">
      <c r="H5418" t="s">
        <v>20098</v>
      </c>
    </row>
    <row r="5419" spans="6:8">
      <c r="H5419" t="s">
        <v>20099</v>
      </c>
    </row>
    <row r="5420" spans="6:8">
      <c r="H5420" t="s">
        <v>20100</v>
      </c>
    </row>
    <row r="5421" spans="6:8">
      <c r="H5421" t="s">
        <v>20101</v>
      </c>
    </row>
    <row r="5422" spans="6:8">
      <c r="H5422" t="s">
        <v>20104</v>
      </c>
    </row>
    <row r="5423" spans="6:8">
      <c r="H5423" t="s">
        <v>20105</v>
      </c>
    </row>
    <row r="5424" spans="6:8">
      <c r="H5424" t="s">
        <v>20123</v>
      </c>
    </row>
    <row r="5425" spans="6:8">
      <c r="H5425" t="s">
        <v>20124</v>
      </c>
    </row>
    <row r="5426" spans="6:8">
      <c r="F5426" t="s">
        <v>11388</v>
      </c>
      <c r="G5426" t="s">
        <v>15309</v>
      </c>
      <c r="H5426" t="s">
        <v>20091</v>
      </c>
    </row>
    <row r="5427" spans="6:8">
      <c r="H5427" t="s">
        <v>19712</v>
      </c>
    </row>
    <row r="5428" spans="6:8">
      <c r="H5428" t="s">
        <v>19709</v>
      </c>
    </row>
    <row r="5429" spans="6:8">
      <c r="H5429" t="s">
        <v>19706</v>
      </c>
    </row>
    <row r="5430" spans="6:8">
      <c r="H5430" t="s">
        <v>19711</v>
      </c>
    </row>
    <row r="5431" spans="6:8">
      <c r="H5431" t="s">
        <v>20117</v>
      </c>
    </row>
    <row r="5432" spans="6:8">
      <c r="H5432" t="s">
        <v>20095</v>
      </c>
    </row>
    <row r="5433" spans="6:8">
      <c r="H5433" t="s">
        <v>20096</v>
      </c>
    </row>
    <row r="5434" spans="6:8">
      <c r="H5434" t="s">
        <v>20099</v>
      </c>
    </row>
    <row r="5435" spans="6:8">
      <c r="H5435" t="s">
        <v>20101</v>
      </c>
    </row>
    <row r="5436" spans="6:8">
      <c r="H5436" t="s">
        <v>20102</v>
      </c>
    </row>
    <row r="5437" spans="6:8">
      <c r="H5437" t="s">
        <v>20104</v>
      </c>
    </row>
    <row r="5438" spans="6:8">
      <c r="H5438" t="s">
        <v>20105</v>
      </c>
    </row>
    <row r="5439" spans="6:8">
      <c r="H5439" t="s">
        <v>20123</v>
      </c>
    </row>
    <row r="5440" spans="6:8">
      <c r="H5440" t="s">
        <v>20124</v>
      </c>
    </row>
    <row r="5441" spans="6:8">
      <c r="H5441" t="s">
        <v>20192</v>
      </c>
    </row>
    <row r="5442" spans="6:8">
      <c r="H5442" t="s">
        <v>20193</v>
      </c>
    </row>
    <row r="5443" spans="6:8">
      <c r="H5443" t="s">
        <v>20194</v>
      </c>
    </row>
    <row r="5444" spans="6:8">
      <c r="H5444" t="s">
        <v>19177</v>
      </c>
    </row>
    <row r="5445" spans="6:8">
      <c r="H5445" t="s">
        <v>20196</v>
      </c>
    </row>
    <row r="5446" spans="6:8">
      <c r="H5446" t="s">
        <v>20197</v>
      </c>
    </row>
    <row r="5447" spans="6:8">
      <c r="H5447" t="s">
        <v>20198</v>
      </c>
    </row>
    <row r="5448" spans="6:8">
      <c r="F5448" t="s">
        <v>11389</v>
      </c>
      <c r="G5448" t="s">
        <v>15649</v>
      </c>
      <c r="H5448" t="s">
        <v>20091</v>
      </c>
    </row>
    <row r="5449" spans="6:8">
      <c r="H5449" t="s">
        <v>19712</v>
      </c>
    </row>
    <row r="5450" spans="6:8">
      <c r="H5450" t="s">
        <v>19706</v>
      </c>
    </row>
    <row r="5451" spans="6:8">
      <c r="H5451" t="s">
        <v>20117</v>
      </c>
    </row>
    <row r="5452" spans="6:8">
      <c r="H5452" t="s">
        <v>20095</v>
      </c>
    </row>
    <row r="5453" spans="6:8">
      <c r="H5453" t="s">
        <v>20096</v>
      </c>
    </row>
    <row r="5454" spans="6:8">
      <c r="H5454" t="s">
        <v>20099</v>
      </c>
    </row>
    <row r="5455" spans="6:8">
      <c r="H5455" t="s">
        <v>20100</v>
      </c>
    </row>
    <row r="5456" spans="6:8">
      <c r="H5456" t="s">
        <v>20101</v>
      </c>
    </row>
    <row r="5457" spans="6:8">
      <c r="H5457" t="s">
        <v>20102</v>
      </c>
    </row>
    <row r="5458" spans="6:8">
      <c r="H5458" t="s">
        <v>20104</v>
      </c>
    </row>
    <row r="5459" spans="6:8">
      <c r="H5459" t="s">
        <v>20105</v>
      </c>
    </row>
    <row r="5460" spans="6:8">
      <c r="H5460" t="s">
        <v>20123</v>
      </c>
    </row>
    <row r="5461" spans="6:8">
      <c r="H5461" t="s">
        <v>20124</v>
      </c>
    </row>
    <row r="5462" spans="6:8">
      <c r="H5462" t="s">
        <v>20192</v>
      </c>
    </row>
    <row r="5463" spans="6:8">
      <c r="H5463" t="s">
        <v>20193</v>
      </c>
    </row>
    <row r="5464" spans="6:8">
      <c r="H5464" t="s">
        <v>20194</v>
      </c>
    </row>
    <row r="5465" spans="6:8">
      <c r="H5465" t="s">
        <v>19177</v>
      </c>
    </row>
    <row r="5466" spans="6:8">
      <c r="H5466" t="s">
        <v>20196</v>
      </c>
    </row>
    <row r="5467" spans="6:8">
      <c r="H5467" t="s">
        <v>20197</v>
      </c>
    </row>
    <row r="5468" spans="6:8">
      <c r="H5468" t="s">
        <v>20198</v>
      </c>
    </row>
    <row r="5469" spans="6:8">
      <c r="F5469" t="s">
        <v>11390</v>
      </c>
      <c r="G5469" t="s">
        <v>15650</v>
      </c>
      <c r="H5469" t="s">
        <v>20091</v>
      </c>
    </row>
    <row r="5470" spans="6:8">
      <c r="H5470" t="s">
        <v>19712</v>
      </c>
    </row>
    <row r="5471" spans="6:8">
      <c r="H5471" t="s">
        <v>19706</v>
      </c>
    </row>
    <row r="5472" spans="6:8">
      <c r="H5472" t="s">
        <v>20117</v>
      </c>
    </row>
    <row r="5473" spans="8:8">
      <c r="H5473" t="s">
        <v>20095</v>
      </c>
    </row>
    <row r="5474" spans="8:8">
      <c r="H5474" t="s">
        <v>20096</v>
      </c>
    </row>
    <row r="5475" spans="8:8">
      <c r="H5475" t="s">
        <v>20099</v>
      </c>
    </row>
    <row r="5476" spans="8:8">
      <c r="H5476" t="s">
        <v>20100</v>
      </c>
    </row>
    <row r="5477" spans="8:8">
      <c r="H5477" t="s">
        <v>20101</v>
      </c>
    </row>
    <row r="5478" spans="8:8">
      <c r="H5478" t="s">
        <v>20102</v>
      </c>
    </row>
    <row r="5479" spans="8:8">
      <c r="H5479" t="s">
        <v>20104</v>
      </c>
    </row>
    <row r="5480" spans="8:8">
      <c r="H5480" t="s">
        <v>20105</v>
      </c>
    </row>
    <row r="5481" spans="8:8">
      <c r="H5481" t="s">
        <v>20123</v>
      </c>
    </row>
    <row r="5482" spans="8:8">
      <c r="H5482" t="s">
        <v>20124</v>
      </c>
    </row>
    <row r="5483" spans="8:8">
      <c r="H5483" t="s">
        <v>20192</v>
      </c>
    </row>
    <row r="5484" spans="8:8">
      <c r="H5484" t="s">
        <v>20193</v>
      </c>
    </row>
    <row r="5485" spans="8:8">
      <c r="H5485" t="s">
        <v>20194</v>
      </c>
    </row>
    <row r="5486" spans="8:8">
      <c r="H5486" t="s">
        <v>19177</v>
      </c>
    </row>
    <row r="5487" spans="8:8">
      <c r="H5487" t="s">
        <v>20196</v>
      </c>
    </row>
    <row r="5488" spans="8:8">
      <c r="H5488" t="s">
        <v>20197</v>
      </c>
    </row>
    <row r="5489" spans="6:8">
      <c r="H5489" t="s">
        <v>20198</v>
      </c>
    </row>
    <row r="5490" spans="6:8">
      <c r="F5490" t="s">
        <v>11391</v>
      </c>
      <c r="G5490" t="s">
        <v>15651</v>
      </c>
      <c r="H5490" t="s">
        <v>20091</v>
      </c>
    </row>
    <row r="5491" spans="6:8">
      <c r="H5491" t="s">
        <v>19712</v>
      </c>
    </row>
    <row r="5492" spans="6:8">
      <c r="H5492" t="s">
        <v>19706</v>
      </c>
    </row>
    <row r="5493" spans="6:8">
      <c r="H5493" t="s">
        <v>20117</v>
      </c>
    </row>
    <row r="5494" spans="6:8">
      <c r="H5494" t="s">
        <v>20095</v>
      </c>
    </row>
    <row r="5495" spans="6:8">
      <c r="H5495" t="s">
        <v>20096</v>
      </c>
    </row>
    <row r="5496" spans="6:8">
      <c r="H5496" t="s">
        <v>20099</v>
      </c>
    </row>
    <row r="5497" spans="6:8">
      <c r="H5497" t="s">
        <v>20100</v>
      </c>
    </row>
    <row r="5498" spans="6:8">
      <c r="H5498" t="s">
        <v>20101</v>
      </c>
    </row>
    <row r="5499" spans="6:8">
      <c r="H5499" t="s">
        <v>20102</v>
      </c>
    </row>
    <row r="5500" spans="6:8">
      <c r="H5500" t="s">
        <v>20104</v>
      </c>
    </row>
    <row r="5501" spans="6:8">
      <c r="H5501" t="s">
        <v>20105</v>
      </c>
    </row>
    <row r="5502" spans="6:8">
      <c r="H5502" t="s">
        <v>20123</v>
      </c>
    </row>
    <row r="5503" spans="6:8">
      <c r="H5503" t="s">
        <v>20124</v>
      </c>
    </row>
    <row r="5504" spans="6:8">
      <c r="H5504" t="s">
        <v>20192</v>
      </c>
    </row>
    <row r="5505" spans="6:8">
      <c r="H5505" t="s">
        <v>20193</v>
      </c>
    </row>
    <row r="5506" spans="6:8">
      <c r="H5506" t="s">
        <v>20194</v>
      </c>
    </row>
    <row r="5507" spans="6:8">
      <c r="H5507" t="s">
        <v>19177</v>
      </c>
    </row>
    <row r="5508" spans="6:8">
      <c r="H5508" t="s">
        <v>20196</v>
      </c>
    </row>
    <row r="5509" spans="6:8">
      <c r="H5509" t="s">
        <v>20197</v>
      </c>
    </row>
    <row r="5510" spans="6:8">
      <c r="H5510" t="s">
        <v>20198</v>
      </c>
    </row>
    <row r="5511" spans="6:8">
      <c r="F5511" t="s">
        <v>11392</v>
      </c>
      <c r="G5511" t="s">
        <v>15652</v>
      </c>
      <c r="H5511" t="s">
        <v>20091</v>
      </c>
    </row>
    <row r="5512" spans="6:8">
      <c r="H5512" t="s">
        <v>19712</v>
      </c>
    </row>
    <row r="5513" spans="6:8">
      <c r="H5513" t="s">
        <v>19706</v>
      </c>
    </row>
    <row r="5514" spans="6:8">
      <c r="H5514" t="s">
        <v>20117</v>
      </c>
    </row>
    <row r="5515" spans="6:8">
      <c r="H5515" t="s">
        <v>20095</v>
      </c>
    </row>
    <row r="5516" spans="6:8">
      <c r="H5516" t="s">
        <v>20096</v>
      </c>
    </row>
    <row r="5517" spans="6:8">
      <c r="H5517" t="s">
        <v>20099</v>
      </c>
    </row>
    <row r="5518" spans="6:8">
      <c r="H5518" t="s">
        <v>20101</v>
      </c>
    </row>
    <row r="5519" spans="6:8">
      <c r="H5519" t="s">
        <v>20102</v>
      </c>
    </row>
    <row r="5520" spans="6:8">
      <c r="H5520" t="s">
        <v>20104</v>
      </c>
    </row>
    <row r="5521" spans="6:8">
      <c r="H5521" t="s">
        <v>20105</v>
      </c>
    </row>
    <row r="5522" spans="6:8">
      <c r="H5522" t="s">
        <v>20123</v>
      </c>
    </row>
    <row r="5523" spans="6:8">
      <c r="H5523" t="s">
        <v>20124</v>
      </c>
    </row>
    <row r="5524" spans="6:8">
      <c r="H5524" t="s">
        <v>20192</v>
      </c>
    </row>
    <row r="5525" spans="6:8">
      <c r="H5525" t="s">
        <v>20193</v>
      </c>
    </row>
    <row r="5526" spans="6:8">
      <c r="H5526" t="s">
        <v>20194</v>
      </c>
    </row>
    <row r="5527" spans="6:8">
      <c r="H5527" t="s">
        <v>19177</v>
      </c>
    </row>
    <row r="5528" spans="6:8">
      <c r="H5528" t="s">
        <v>20196</v>
      </c>
    </row>
    <row r="5529" spans="6:8">
      <c r="H5529" t="s">
        <v>20197</v>
      </c>
    </row>
    <row r="5530" spans="6:8">
      <c r="H5530" t="s">
        <v>20100</v>
      </c>
    </row>
    <row r="5531" spans="6:8">
      <c r="H5531" t="s">
        <v>20198</v>
      </c>
    </row>
    <row r="5532" spans="6:8">
      <c r="F5532" t="s">
        <v>11393</v>
      </c>
      <c r="G5532" t="s">
        <v>15653</v>
      </c>
      <c r="H5532" t="s">
        <v>20091</v>
      </c>
    </row>
    <row r="5533" spans="6:8">
      <c r="H5533" t="s">
        <v>19712</v>
      </c>
    </row>
    <row r="5534" spans="6:8">
      <c r="H5534" t="s">
        <v>19706</v>
      </c>
    </row>
    <row r="5535" spans="6:8">
      <c r="H5535" t="s">
        <v>20117</v>
      </c>
    </row>
    <row r="5536" spans="6:8">
      <c r="H5536" t="s">
        <v>20095</v>
      </c>
    </row>
    <row r="5537" spans="8:8">
      <c r="H5537" t="s">
        <v>20096</v>
      </c>
    </row>
    <row r="5538" spans="8:8">
      <c r="H5538" t="s">
        <v>20099</v>
      </c>
    </row>
    <row r="5539" spans="8:8">
      <c r="H5539" t="s">
        <v>20100</v>
      </c>
    </row>
    <row r="5540" spans="8:8">
      <c r="H5540" t="s">
        <v>20101</v>
      </c>
    </row>
    <row r="5541" spans="8:8">
      <c r="H5541" t="s">
        <v>20102</v>
      </c>
    </row>
    <row r="5542" spans="8:8">
      <c r="H5542" t="s">
        <v>20104</v>
      </c>
    </row>
    <row r="5543" spans="8:8">
      <c r="H5543" t="s">
        <v>20105</v>
      </c>
    </row>
    <row r="5544" spans="8:8">
      <c r="H5544" t="s">
        <v>20123</v>
      </c>
    </row>
    <row r="5545" spans="8:8">
      <c r="H5545" t="s">
        <v>20124</v>
      </c>
    </row>
    <row r="5546" spans="8:8">
      <c r="H5546" t="s">
        <v>20192</v>
      </c>
    </row>
    <row r="5547" spans="8:8">
      <c r="H5547" t="s">
        <v>20193</v>
      </c>
    </row>
    <row r="5548" spans="8:8">
      <c r="H5548" t="s">
        <v>20194</v>
      </c>
    </row>
    <row r="5549" spans="8:8">
      <c r="H5549" t="s">
        <v>19177</v>
      </c>
    </row>
    <row r="5550" spans="8:8">
      <c r="H5550" t="s">
        <v>20196</v>
      </c>
    </row>
    <row r="5551" spans="8:8">
      <c r="H5551" t="s">
        <v>20197</v>
      </c>
    </row>
    <row r="5552" spans="8:8">
      <c r="H5552" t="s">
        <v>20198</v>
      </c>
    </row>
    <row r="5553" spans="6:8">
      <c r="F5553" t="s">
        <v>11394</v>
      </c>
      <c r="G5553" t="s">
        <v>15654</v>
      </c>
      <c r="H5553" t="s">
        <v>20091</v>
      </c>
    </row>
    <row r="5554" spans="6:8">
      <c r="H5554" t="s">
        <v>19712</v>
      </c>
    </row>
    <row r="5555" spans="6:8">
      <c r="H5555" t="s">
        <v>19709</v>
      </c>
    </row>
    <row r="5556" spans="6:8">
      <c r="H5556" t="s">
        <v>19706</v>
      </c>
    </row>
    <row r="5557" spans="6:8">
      <c r="H5557" t="s">
        <v>20117</v>
      </c>
    </row>
    <row r="5558" spans="6:8">
      <c r="H5558" t="s">
        <v>20095</v>
      </c>
    </row>
    <row r="5559" spans="6:8">
      <c r="H5559" t="s">
        <v>20096</v>
      </c>
    </row>
    <row r="5560" spans="6:8">
      <c r="H5560" t="s">
        <v>20099</v>
      </c>
    </row>
    <row r="5561" spans="6:8">
      <c r="H5561" t="s">
        <v>20101</v>
      </c>
    </row>
    <row r="5562" spans="6:8">
      <c r="H5562" t="s">
        <v>20102</v>
      </c>
    </row>
    <row r="5563" spans="6:8">
      <c r="H5563" t="s">
        <v>20104</v>
      </c>
    </row>
    <row r="5564" spans="6:8">
      <c r="H5564" t="s">
        <v>20105</v>
      </c>
    </row>
    <row r="5565" spans="6:8">
      <c r="H5565" t="s">
        <v>20123</v>
      </c>
    </row>
    <row r="5566" spans="6:8">
      <c r="H5566" t="s">
        <v>20124</v>
      </c>
    </row>
    <row r="5567" spans="6:8">
      <c r="H5567" t="s">
        <v>20192</v>
      </c>
    </row>
    <row r="5568" spans="6:8">
      <c r="H5568" t="s">
        <v>20193</v>
      </c>
    </row>
    <row r="5569" spans="6:8">
      <c r="H5569" t="s">
        <v>20194</v>
      </c>
    </row>
    <row r="5570" spans="6:8">
      <c r="H5570" t="s">
        <v>19177</v>
      </c>
    </row>
    <row r="5571" spans="6:8">
      <c r="H5571" t="s">
        <v>20196</v>
      </c>
    </row>
    <row r="5572" spans="6:8">
      <c r="H5572" t="s">
        <v>20197</v>
      </c>
    </row>
    <row r="5573" spans="6:8">
      <c r="H5573" t="s">
        <v>20100</v>
      </c>
    </row>
    <row r="5574" spans="6:8">
      <c r="H5574" t="s">
        <v>20198</v>
      </c>
    </row>
    <row r="5575" spans="6:8">
      <c r="F5575" t="s">
        <v>11395</v>
      </c>
      <c r="G5575" t="s">
        <v>15310</v>
      </c>
      <c r="H5575" t="s">
        <v>20091</v>
      </c>
    </row>
    <row r="5576" spans="6:8">
      <c r="H5576" t="s">
        <v>19712</v>
      </c>
    </row>
    <row r="5577" spans="6:8">
      <c r="H5577" t="s">
        <v>19709</v>
      </c>
    </row>
    <row r="5578" spans="6:8">
      <c r="H5578" t="s">
        <v>19706</v>
      </c>
    </row>
    <row r="5579" spans="6:8">
      <c r="H5579" t="s">
        <v>20107</v>
      </c>
    </row>
    <row r="5580" spans="6:8">
      <c r="H5580" t="s">
        <v>20108</v>
      </c>
    </row>
    <row r="5581" spans="6:8">
      <c r="H5581" t="s">
        <v>19713</v>
      </c>
    </row>
    <row r="5582" spans="6:8">
      <c r="H5582" t="s">
        <v>19714</v>
      </c>
    </row>
    <row r="5583" spans="6:8">
      <c r="H5583" t="s">
        <v>20109</v>
      </c>
    </row>
    <row r="5584" spans="6:8">
      <c r="H5584" t="s">
        <v>20110</v>
      </c>
    </row>
    <row r="5585" spans="6:8">
      <c r="H5585" t="s">
        <v>20111</v>
      </c>
    </row>
    <row r="5586" spans="6:8">
      <c r="H5586" t="s">
        <v>20112</v>
      </c>
    </row>
    <row r="5587" spans="6:8">
      <c r="H5587" t="s">
        <v>20113</v>
      </c>
    </row>
    <row r="5588" spans="6:8">
      <c r="H5588" t="s">
        <v>20114</v>
      </c>
    </row>
    <row r="5589" spans="6:8">
      <c r="H5589" t="s">
        <v>20095</v>
      </c>
    </row>
    <row r="5590" spans="6:8">
      <c r="H5590" t="s">
        <v>20096</v>
      </c>
    </row>
    <row r="5591" spans="6:8">
      <c r="H5591" t="s">
        <v>20097</v>
      </c>
    </row>
    <row r="5592" spans="6:8">
      <c r="H5592" t="s">
        <v>20098</v>
      </c>
    </row>
    <row r="5593" spans="6:8">
      <c r="F5593" t="s">
        <v>11396</v>
      </c>
      <c r="G5593" t="s">
        <v>15311</v>
      </c>
      <c r="H5593" t="s">
        <v>20091</v>
      </c>
    </row>
    <row r="5594" spans="6:8">
      <c r="H5594" t="s">
        <v>19712</v>
      </c>
    </row>
    <row r="5595" spans="6:8">
      <c r="H5595" t="s">
        <v>19709</v>
      </c>
    </row>
    <row r="5596" spans="6:8">
      <c r="H5596" t="s">
        <v>19706</v>
      </c>
    </row>
    <row r="5597" spans="6:8">
      <c r="H5597" t="s">
        <v>20107</v>
      </c>
    </row>
    <row r="5598" spans="6:8">
      <c r="H5598" t="s">
        <v>20108</v>
      </c>
    </row>
    <row r="5599" spans="6:8">
      <c r="H5599" t="s">
        <v>19713</v>
      </c>
    </row>
    <row r="5600" spans="6:8">
      <c r="H5600" t="s">
        <v>19714</v>
      </c>
    </row>
    <row r="5601" spans="6:8">
      <c r="H5601" t="s">
        <v>20109</v>
      </c>
    </row>
    <row r="5602" spans="6:8">
      <c r="H5602" t="s">
        <v>20110</v>
      </c>
    </row>
    <row r="5603" spans="6:8">
      <c r="H5603" t="s">
        <v>20111</v>
      </c>
    </row>
    <row r="5604" spans="6:8">
      <c r="H5604" t="s">
        <v>20112</v>
      </c>
    </row>
    <row r="5605" spans="6:8">
      <c r="H5605" t="s">
        <v>20113</v>
      </c>
    </row>
    <row r="5606" spans="6:8">
      <c r="H5606" t="s">
        <v>20114</v>
      </c>
    </row>
    <row r="5607" spans="6:8">
      <c r="H5607" t="s">
        <v>20095</v>
      </c>
    </row>
    <row r="5608" spans="6:8">
      <c r="H5608" t="s">
        <v>20096</v>
      </c>
    </row>
    <row r="5609" spans="6:8">
      <c r="H5609" t="s">
        <v>20097</v>
      </c>
    </row>
    <row r="5610" spans="6:8">
      <c r="H5610" t="s">
        <v>20098</v>
      </c>
    </row>
    <row r="5611" spans="6:8">
      <c r="F5611" t="s">
        <v>11397</v>
      </c>
      <c r="G5611" t="s">
        <v>15312</v>
      </c>
      <c r="H5611" t="s">
        <v>20091</v>
      </c>
    </row>
    <row r="5612" spans="6:8">
      <c r="H5612" t="s">
        <v>19712</v>
      </c>
    </row>
    <row r="5613" spans="6:8">
      <c r="H5613" t="s">
        <v>19709</v>
      </c>
    </row>
    <row r="5614" spans="6:8">
      <c r="H5614" t="s">
        <v>19706</v>
      </c>
    </row>
    <row r="5615" spans="6:8">
      <c r="H5615" t="s">
        <v>20107</v>
      </c>
    </row>
    <row r="5616" spans="6:8">
      <c r="H5616" t="s">
        <v>20108</v>
      </c>
    </row>
    <row r="5617" spans="6:8">
      <c r="H5617" t="s">
        <v>19713</v>
      </c>
    </row>
    <row r="5618" spans="6:8">
      <c r="H5618" t="s">
        <v>19714</v>
      </c>
    </row>
    <row r="5619" spans="6:8">
      <c r="H5619" t="s">
        <v>20109</v>
      </c>
    </row>
    <row r="5620" spans="6:8">
      <c r="H5620" t="s">
        <v>20110</v>
      </c>
    </row>
    <row r="5621" spans="6:8">
      <c r="H5621" t="s">
        <v>20111</v>
      </c>
    </row>
    <row r="5622" spans="6:8">
      <c r="H5622" t="s">
        <v>20112</v>
      </c>
    </row>
    <row r="5623" spans="6:8">
      <c r="H5623" t="s">
        <v>20113</v>
      </c>
    </row>
    <row r="5624" spans="6:8">
      <c r="H5624" t="s">
        <v>20114</v>
      </c>
    </row>
    <row r="5625" spans="6:8">
      <c r="H5625" t="s">
        <v>20115</v>
      </c>
    </row>
    <row r="5626" spans="6:8">
      <c r="H5626" t="s">
        <v>20096</v>
      </c>
    </row>
    <row r="5627" spans="6:8">
      <c r="H5627" t="s">
        <v>20097</v>
      </c>
    </row>
    <row r="5628" spans="6:8">
      <c r="H5628" t="s">
        <v>20098</v>
      </c>
    </row>
    <row r="5629" spans="6:8">
      <c r="H5629" t="s">
        <v>20099</v>
      </c>
    </row>
    <row r="5630" spans="6:8">
      <c r="F5630" t="s">
        <v>11398</v>
      </c>
      <c r="G5630" t="s">
        <v>15313</v>
      </c>
      <c r="H5630" t="s">
        <v>20091</v>
      </c>
    </row>
    <row r="5631" spans="6:8">
      <c r="H5631" t="s">
        <v>19712</v>
      </c>
    </row>
    <row r="5632" spans="6:8">
      <c r="H5632" t="s">
        <v>19709</v>
      </c>
    </row>
    <row r="5633" spans="8:8">
      <c r="H5633" t="s">
        <v>19706</v>
      </c>
    </row>
    <row r="5634" spans="8:8">
      <c r="H5634" t="s">
        <v>20107</v>
      </c>
    </row>
    <row r="5635" spans="8:8">
      <c r="H5635" t="s">
        <v>20108</v>
      </c>
    </row>
    <row r="5636" spans="8:8">
      <c r="H5636" t="s">
        <v>19713</v>
      </c>
    </row>
    <row r="5637" spans="8:8">
      <c r="H5637" t="s">
        <v>19714</v>
      </c>
    </row>
    <row r="5638" spans="8:8">
      <c r="H5638" t="s">
        <v>20109</v>
      </c>
    </row>
    <row r="5639" spans="8:8">
      <c r="H5639" t="s">
        <v>20110</v>
      </c>
    </row>
    <row r="5640" spans="8:8">
      <c r="H5640" t="s">
        <v>20111</v>
      </c>
    </row>
    <row r="5641" spans="8:8">
      <c r="H5641" t="s">
        <v>20112</v>
      </c>
    </row>
    <row r="5642" spans="8:8">
      <c r="H5642" t="s">
        <v>20113</v>
      </c>
    </row>
    <row r="5643" spans="8:8">
      <c r="H5643" t="s">
        <v>20114</v>
      </c>
    </row>
    <row r="5644" spans="8:8">
      <c r="H5644" t="s">
        <v>20115</v>
      </c>
    </row>
    <row r="5645" spans="8:8">
      <c r="H5645" t="s">
        <v>20096</v>
      </c>
    </row>
    <row r="5646" spans="8:8">
      <c r="H5646" t="s">
        <v>20097</v>
      </c>
    </row>
    <row r="5647" spans="8:8">
      <c r="H5647" t="s">
        <v>20098</v>
      </c>
    </row>
    <row r="5648" spans="8:8">
      <c r="H5648" t="s">
        <v>20099</v>
      </c>
    </row>
    <row r="5649" spans="6:8">
      <c r="F5649" t="s">
        <v>11399</v>
      </c>
      <c r="G5649" t="s">
        <v>15314</v>
      </c>
      <c r="H5649" t="s">
        <v>20091</v>
      </c>
    </row>
    <row r="5650" spans="6:8">
      <c r="H5650" t="s">
        <v>19712</v>
      </c>
    </row>
    <row r="5651" spans="6:8">
      <c r="H5651" t="s">
        <v>19709</v>
      </c>
    </row>
    <row r="5652" spans="6:8">
      <c r="H5652" t="s">
        <v>19706</v>
      </c>
    </row>
    <row r="5653" spans="6:8">
      <c r="H5653" t="s">
        <v>19707</v>
      </c>
    </row>
    <row r="5654" spans="6:8">
      <c r="H5654" t="s">
        <v>20107</v>
      </c>
    </row>
    <row r="5655" spans="6:8">
      <c r="H5655" t="s">
        <v>20108</v>
      </c>
    </row>
    <row r="5656" spans="6:8">
      <c r="H5656" t="s">
        <v>19713</v>
      </c>
    </row>
    <row r="5657" spans="6:8">
      <c r="H5657" t="s">
        <v>19714</v>
      </c>
    </row>
    <row r="5658" spans="6:8">
      <c r="H5658" t="s">
        <v>20109</v>
      </c>
    </row>
    <row r="5659" spans="6:8">
      <c r="H5659" t="s">
        <v>20110</v>
      </c>
    </row>
    <row r="5660" spans="6:8">
      <c r="H5660" t="s">
        <v>20111</v>
      </c>
    </row>
    <row r="5661" spans="6:8">
      <c r="H5661" t="s">
        <v>20112</v>
      </c>
    </row>
    <row r="5662" spans="6:8">
      <c r="H5662" t="s">
        <v>20113</v>
      </c>
    </row>
    <row r="5663" spans="6:8">
      <c r="H5663" t="s">
        <v>20096</v>
      </c>
    </row>
    <row r="5664" spans="6:8">
      <c r="H5664" t="s">
        <v>20097</v>
      </c>
    </row>
    <row r="5665" spans="6:8">
      <c r="H5665" t="s">
        <v>20098</v>
      </c>
    </row>
    <row r="5666" spans="6:8">
      <c r="H5666" t="s">
        <v>20099</v>
      </c>
    </row>
    <row r="5667" spans="6:8">
      <c r="F5667" t="s">
        <v>11400</v>
      </c>
      <c r="G5667" t="s">
        <v>15315</v>
      </c>
      <c r="H5667" t="s">
        <v>20091</v>
      </c>
    </row>
    <row r="5668" spans="6:8">
      <c r="H5668" t="s">
        <v>19712</v>
      </c>
    </row>
    <row r="5669" spans="6:8">
      <c r="H5669" t="s">
        <v>19709</v>
      </c>
    </row>
    <row r="5670" spans="6:8">
      <c r="H5670" t="s">
        <v>19706</v>
      </c>
    </row>
    <row r="5671" spans="6:8">
      <c r="H5671" t="s">
        <v>19707</v>
      </c>
    </row>
    <row r="5672" spans="6:8">
      <c r="H5672" t="s">
        <v>20107</v>
      </c>
    </row>
    <row r="5673" spans="6:8">
      <c r="H5673" t="s">
        <v>20108</v>
      </c>
    </row>
    <row r="5674" spans="6:8">
      <c r="H5674" t="s">
        <v>19713</v>
      </c>
    </row>
    <row r="5675" spans="6:8">
      <c r="H5675" t="s">
        <v>19714</v>
      </c>
    </row>
    <row r="5676" spans="6:8">
      <c r="H5676" t="s">
        <v>20109</v>
      </c>
    </row>
    <row r="5677" spans="6:8">
      <c r="H5677" t="s">
        <v>20110</v>
      </c>
    </row>
    <row r="5678" spans="6:8">
      <c r="H5678" t="s">
        <v>20111</v>
      </c>
    </row>
    <row r="5679" spans="6:8">
      <c r="H5679" t="s">
        <v>20112</v>
      </c>
    </row>
    <row r="5680" spans="6:8">
      <c r="H5680" t="s">
        <v>20113</v>
      </c>
    </row>
    <row r="5681" spans="6:8">
      <c r="H5681" t="s">
        <v>20096</v>
      </c>
    </row>
    <row r="5682" spans="6:8">
      <c r="H5682" t="s">
        <v>20097</v>
      </c>
    </row>
    <row r="5683" spans="6:8">
      <c r="H5683" t="s">
        <v>20098</v>
      </c>
    </row>
    <row r="5684" spans="6:8">
      <c r="H5684" t="s">
        <v>20099</v>
      </c>
    </row>
    <row r="5685" spans="6:8">
      <c r="F5685" t="s">
        <v>11401</v>
      </c>
      <c r="G5685" t="s">
        <v>15316</v>
      </c>
      <c r="H5685" t="s">
        <v>20091</v>
      </c>
    </row>
    <row r="5686" spans="6:8">
      <c r="H5686" t="s">
        <v>19712</v>
      </c>
    </row>
    <row r="5687" spans="6:8">
      <c r="H5687" t="s">
        <v>19709</v>
      </c>
    </row>
    <row r="5688" spans="6:8">
      <c r="H5688" t="s">
        <v>19706</v>
      </c>
    </row>
    <row r="5689" spans="6:8">
      <c r="H5689" t="s">
        <v>20107</v>
      </c>
    </row>
    <row r="5690" spans="6:8">
      <c r="H5690" t="s">
        <v>20108</v>
      </c>
    </row>
    <row r="5691" spans="6:8">
      <c r="H5691" t="s">
        <v>19713</v>
      </c>
    </row>
    <row r="5692" spans="6:8">
      <c r="H5692" t="s">
        <v>19714</v>
      </c>
    </row>
    <row r="5693" spans="6:8">
      <c r="H5693" t="s">
        <v>20109</v>
      </c>
    </row>
    <row r="5694" spans="6:8">
      <c r="H5694" t="s">
        <v>20110</v>
      </c>
    </row>
    <row r="5695" spans="6:8">
      <c r="H5695" t="s">
        <v>20095</v>
      </c>
    </row>
    <row r="5696" spans="6:8">
      <c r="H5696" t="s">
        <v>20096</v>
      </c>
    </row>
    <row r="5697" spans="6:8">
      <c r="H5697" t="s">
        <v>20097</v>
      </c>
    </row>
    <row r="5698" spans="6:8">
      <c r="H5698" t="s">
        <v>20098</v>
      </c>
    </row>
    <row r="5699" spans="6:8">
      <c r="F5699" t="s">
        <v>11402</v>
      </c>
      <c r="G5699" t="s">
        <v>15317</v>
      </c>
      <c r="H5699" t="s">
        <v>20091</v>
      </c>
    </row>
    <row r="5700" spans="6:8">
      <c r="H5700" t="s">
        <v>19712</v>
      </c>
    </row>
    <row r="5701" spans="6:8">
      <c r="H5701" t="s">
        <v>19709</v>
      </c>
    </row>
    <row r="5702" spans="6:8">
      <c r="H5702" t="s">
        <v>19706</v>
      </c>
    </row>
    <row r="5703" spans="6:8">
      <c r="H5703" t="s">
        <v>20107</v>
      </c>
    </row>
    <row r="5704" spans="6:8">
      <c r="H5704" t="s">
        <v>20108</v>
      </c>
    </row>
    <row r="5705" spans="6:8">
      <c r="H5705" t="s">
        <v>19713</v>
      </c>
    </row>
    <row r="5706" spans="6:8">
      <c r="H5706" t="s">
        <v>19714</v>
      </c>
    </row>
    <row r="5707" spans="6:8">
      <c r="H5707" t="s">
        <v>20109</v>
      </c>
    </row>
    <row r="5708" spans="6:8">
      <c r="H5708" t="s">
        <v>20110</v>
      </c>
    </row>
    <row r="5709" spans="6:8">
      <c r="H5709" t="s">
        <v>20095</v>
      </c>
    </row>
    <row r="5710" spans="6:8">
      <c r="H5710" t="s">
        <v>20097</v>
      </c>
    </row>
    <row r="5711" spans="6:8">
      <c r="H5711" t="s">
        <v>20098</v>
      </c>
    </row>
    <row r="5712" spans="6:8">
      <c r="H5712" t="s">
        <v>20099</v>
      </c>
    </row>
    <row r="5713" spans="6:8">
      <c r="F5713" t="s">
        <v>11403</v>
      </c>
      <c r="G5713" t="s">
        <v>15318</v>
      </c>
      <c r="H5713" t="s">
        <v>20091</v>
      </c>
    </row>
    <row r="5714" spans="6:8">
      <c r="H5714" t="s">
        <v>19712</v>
      </c>
    </row>
    <row r="5715" spans="6:8">
      <c r="H5715" t="s">
        <v>19709</v>
      </c>
    </row>
    <row r="5716" spans="6:8">
      <c r="H5716" t="s">
        <v>19706</v>
      </c>
    </row>
    <row r="5717" spans="6:8">
      <c r="H5717" t="s">
        <v>19707</v>
      </c>
    </row>
    <row r="5718" spans="6:8">
      <c r="H5718" t="s">
        <v>19711</v>
      </c>
    </row>
    <row r="5719" spans="6:8">
      <c r="H5719" t="s">
        <v>20107</v>
      </c>
    </row>
    <row r="5720" spans="6:8">
      <c r="H5720" t="s">
        <v>20108</v>
      </c>
    </row>
    <row r="5721" spans="6:8">
      <c r="H5721" t="s">
        <v>19713</v>
      </c>
    </row>
    <row r="5722" spans="6:8">
      <c r="H5722" t="s">
        <v>19714</v>
      </c>
    </row>
    <row r="5723" spans="6:8">
      <c r="H5723" t="s">
        <v>20095</v>
      </c>
    </row>
    <row r="5724" spans="6:8">
      <c r="H5724" t="s">
        <v>20096</v>
      </c>
    </row>
    <row r="5725" spans="6:8">
      <c r="H5725" t="s">
        <v>20097</v>
      </c>
    </row>
    <row r="5726" spans="6:8">
      <c r="H5726" t="s">
        <v>20098</v>
      </c>
    </row>
    <row r="5727" spans="6:8">
      <c r="F5727" t="s">
        <v>11404</v>
      </c>
      <c r="G5727" t="s">
        <v>15319</v>
      </c>
      <c r="H5727" t="s">
        <v>20091</v>
      </c>
    </row>
    <row r="5728" spans="6:8">
      <c r="H5728" t="s">
        <v>19712</v>
      </c>
    </row>
    <row r="5729" spans="6:8">
      <c r="H5729" t="s">
        <v>19709</v>
      </c>
    </row>
    <row r="5730" spans="6:8">
      <c r="H5730" t="s">
        <v>19706</v>
      </c>
    </row>
    <row r="5731" spans="6:8">
      <c r="H5731" t="s">
        <v>19707</v>
      </c>
    </row>
    <row r="5732" spans="6:8">
      <c r="H5732" t="s">
        <v>19711</v>
      </c>
    </row>
    <row r="5733" spans="6:8">
      <c r="H5733" t="s">
        <v>20107</v>
      </c>
    </row>
    <row r="5734" spans="6:8">
      <c r="H5734" t="s">
        <v>20108</v>
      </c>
    </row>
    <row r="5735" spans="6:8">
      <c r="H5735" t="s">
        <v>19713</v>
      </c>
    </row>
    <row r="5736" spans="6:8">
      <c r="H5736" t="s">
        <v>19714</v>
      </c>
    </row>
    <row r="5737" spans="6:8">
      <c r="H5737" t="s">
        <v>20095</v>
      </c>
    </row>
    <row r="5738" spans="6:8">
      <c r="H5738" t="s">
        <v>20096</v>
      </c>
    </row>
    <row r="5739" spans="6:8">
      <c r="H5739" t="s">
        <v>20097</v>
      </c>
    </row>
    <row r="5740" spans="6:8">
      <c r="H5740" t="s">
        <v>20098</v>
      </c>
    </row>
    <row r="5741" spans="6:8">
      <c r="F5741" t="s">
        <v>11405</v>
      </c>
      <c r="G5741" t="s">
        <v>15320</v>
      </c>
      <c r="H5741" t="s">
        <v>20091</v>
      </c>
    </row>
    <row r="5742" spans="6:8">
      <c r="H5742" t="s">
        <v>19712</v>
      </c>
    </row>
    <row r="5743" spans="6:8">
      <c r="H5743" t="s">
        <v>19709</v>
      </c>
    </row>
    <row r="5744" spans="6:8">
      <c r="H5744" t="s">
        <v>19706</v>
      </c>
    </row>
    <row r="5745" spans="6:8">
      <c r="H5745" t="s">
        <v>19707</v>
      </c>
    </row>
    <row r="5746" spans="6:8">
      <c r="H5746" t="s">
        <v>19711</v>
      </c>
    </row>
    <row r="5747" spans="6:8">
      <c r="H5747" t="s">
        <v>20107</v>
      </c>
    </row>
    <row r="5748" spans="6:8">
      <c r="H5748" t="s">
        <v>20108</v>
      </c>
    </row>
    <row r="5749" spans="6:8">
      <c r="H5749" t="s">
        <v>19713</v>
      </c>
    </row>
    <row r="5750" spans="6:8">
      <c r="H5750" t="s">
        <v>19714</v>
      </c>
    </row>
    <row r="5751" spans="6:8">
      <c r="H5751" t="s">
        <v>20095</v>
      </c>
    </row>
    <row r="5752" spans="6:8">
      <c r="H5752" t="s">
        <v>20096</v>
      </c>
    </row>
    <row r="5753" spans="6:8">
      <c r="H5753" t="s">
        <v>20097</v>
      </c>
    </row>
    <row r="5754" spans="6:8">
      <c r="H5754" t="s">
        <v>20098</v>
      </c>
    </row>
    <row r="5755" spans="6:8">
      <c r="F5755" t="s">
        <v>11406</v>
      </c>
      <c r="G5755" t="s">
        <v>15321</v>
      </c>
      <c r="H5755" t="s">
        <v>20091</v>
      </c>
    </row>
    <row r="5756" spans="6:8">
      <c r="H5756" t="s">
        <v>19712</v>
      </c>
    </row>
    <row r="5757" spans="6:8">
      <c r="H5757" t="s">
        <v>19709</v>
      </c>
    </row>
    <row r="5758" spans="6:8">
      <c r="H5758" t="s">
        <v>19706</v>
      </c>
    </row>
    <row r="5759" spans="6:8">
      <c r="H5759" t="s">
        <v>19707</v>
      </c>
    </row>
    <row r="5760" spans="6:8">
      <c r="H5760" t="s">
        <v>19711</v>
      </c>
    </row>
    <row r="5761" spans="6:8">
      <c r="H5761" t="s">
        <v>19708</v>
      </c>
    </row>
    <row r="5762" spans="6:8">
      <c r="H5762" t="s">
        <v>20107</v>
      </c>
    </row>
    <row r="5763" spans="6:8">
      <c r="H5763" t="s">
        <v>20108</v>
      </c>
    </row>
    <row r="5764" spans="6:8">
      <c r="H5764" t="s">
        <v>19713</v>
      </c>
    </row>
    <row r="5765" spans="6:8">
      <c r="H5765" t="s">
        <v>19714</v>
      </c>
    </row>
    <row r="5766" spans="6:8">
      <c r="H5766" t="s">
        <v>20095</v>
      </c>
    </row>
    <row r="5767" spans="6:8">
      <c r="H5767" t="s">
        <v>20096</v>
      </c>
    </row>
    <row r="5768" spans="6:8">
      <c r="H5768" t="s">
        <v>20097</v>
      </c>
    </row>
    <row r="5769" spans="6:8">
      <c r="H5769" t="s">
        <v>20098</v>
      </c>
    </row>
    <row r="5770" spans="6:8">
      <c r="H5770" t="s">
        <v>20099</v>
      </c>
    </row>
    <row r="5771" spans="6:8">
      <c r="F5771" t="s">
        <v>11407</v>
      </c>
      <c r="G5771" t="s">
        <v>15322</v>
      </c>
      <c r="H5771" t="s">
        <v>20091</v>
      </c>
    </row>
    <row r="5772" spans="6:8">
      <c r="H5772" t="s">
        <v>19712</v>
      </c>
    </row>
    <row r="5773" spans="6:8">
      <c r="H5773" t="s">
        <v>19709</v>
      </c>
    </row>
    <row r="5774" spans="6:8">
      <c r="H5774" t="s">
        <v>19706</v>
      </c>
    </row>
    <row r="5775" spans="6:8">
      <c r="H5775" t="s">
        <v>19707</v>
      </c>
    </row>
    <row r="5776" spans="6:8">
      <c r="H5776" t="s">
        <v>19711</v>
      </c>
    </row>
    <row r="5777" spans="6:8">
      <c r="H5777" t="s">
        <v>19708</v>
      </c>
    </row>
    <row r="5778" spans="6:8">
      <c r="H5778" t="s">
        <v>20107</v>
      </c>
    </row>
    <row r="5779" spans="6:8">
      <c r="H5779" t="s">
        <v>20108</v>
      </c>
    </row>
    <row r="5780" spans="6:8">
      <c r="H5780" t="s">
        <v>19713</v>
      </c>
    </row>
    <row r="5781" spans="6:8">
      <c r="H5781" t="s">
        <v>19714</v>
      </c>
    </row>
    <row r="5782" spans="6:8">
      <c r="H5782" t="s">
        <v>20095</v>
      </c>
    </row>
    <row r="5783" spans="6:8">
      <c r="H5783" t="s">
        <v>20096</v>
      </c>
    </row>
    <row r="5784" spans="6:8">
      <c r="H5784" t="s">
        <v>20097</v>
      </c>
    </row>
    <row r="5785" spans="6:8">
      <c r="H5785" t="s">
        <v>20098</v>
      </c>
    </row>
    <row r="5786" spans="6:8">
      <c r="H5786" t="s">
        <v>20099</v>
      </c>
    </row>
    <row r="5787" spans="6:8">
      <c r="F5787" t="s">
        <v>11408</v>
      </c>
      <c r="G5787" t="s">
        <v>15323</v>
      </c>
      <c r="H5787" t="s">
        <v>20091</v>
      </c>
    </row>
    <row r="5788" spans="6:8">
      <c r="H5788" t="s">
        <v>19712</v>
      </c>
    </row>
    <row r="5789" spans="6:8">
      <c r="H5789" t="s">
        <v>19709</v>
      </c>
    </row>
    <row r="5790" spans="6:8">
      <c r="H5790" t="s">
        <v>19706</v>
      </c>
    </row>
    <row r="5791" spans="6:8">
      <c r="H5791" t="s">
        <v>20107</v>
      </c>
    </row>
    <row r="5792" spans="6:8">
      <c r="H5792" t="s">
        <v>20108</v>
      </c>
    </row>
    <row r="5793" spans="6:8">
      <c r="H5793" t="s">
        <v>20095</v>
      </c>
    </row>
    <row r="5794" spans="6:8">
      <c r="H5794" t="s">
        <v>20096</v>
      </c>
    </row>
    <row r="5795" spans="6:8">
      <c r="H5795" t="s">
        <v>20097</v>
      </c>
    </row>
    <row r="5796" spans="6:8">
      <c r="F5796" t="s">
        <v>11409</v>
      </c>
      <c r="G5796" t="s">
        <v>15324</v>
      </c>
      <c r="H5796" t="s">
        <v>20091</v>
      </c>
    </row>
    <row r="5797" spans="6:8">
      <c r="H5797" t="s">
        <v>19712</v>
      </c>
    </row>
    <row r="5798" spans="6:8">
      <c r="H5798" t="s">
        <v>19709</v>
      </c>
    </row>
    <row r="5799" spans="6:8">
      <c r="H5799" t="s">
        <v>19706</v>
      </c>
    </row>
    <row r="5800" spans="6:8">
      <c r="H5800" t="s">
        <v>20107</v>
      </c>
    </row>
    <row r="5801" spans="6:8">
      <c r="H5801" t="s">
        <v>20108</v>
      </c>
    </row>
    <row r="5802" spans="6:8">
      <c r="H5802" t="s">
        <v>20095</v>
      </c>
    </row>
    <row r="5803" spans="6:8">
      <c r="H5803" t="s">
        <v>20096</v>
      </c>
    </row>
    <row r="5804" spans="6:8">
      <c r="H5804" t="s">
        <v>20097</v>
      </c>
    </row>
    <row r="5805" spans="6:8">
      <c r="F5805" t="s">
        <v>11410</v>
      </c>
      <c r="G5805" t="s">
        <v>15325</v>
      </c>
      <c r="H5805" t="s">
        <v>20091</v>
      </c>
    </row>
    <row r="5806" spans="6:8">
      <c r="H5806" t="s">
        <v>19712</v>
      </c>
    </row>
    <row r="5807" spans="6:8">
      <c r="H5807" t="s">
        <v>19709</v>
      </c>
    </row>
    <row r="5808" spans="6:8">
      <c r="H5808" t="s">
        <v>20107</v>
      </c>
    </row>
    <row r="5809" spans="6:8">
      <c r="H5809" t="s">
        <v>20108</v>
      </c>
    </row>
    <row r="5810" spans="6:8">
      <c r="H5810" t="s">
        <v>20095</v>
      </c>
    </row>
    <row r="5811" spans="6:8">
      <c r="H5811" t="s">
        <v>20096</v>
      </c>
    </row>
    <row r="5812" spans="6:8">
      <c r="H5812" t="s">
        <v>20097</v>
      </c>
    </row>
    <row r="5813" spans="6:8">
      <c r="F5813" t="s">
        <v>11411</v>
      </c>
      <c r="G5813" t="s">
        <v>15326</v>
      </c>
      <c r="H5813" t="s">
        <v>20091</v>
      </c>
    </row>
    <row r="5814" spans="6:8">
      <c r="H5814" t="s">
        <v>19712</v>
      </c>
    </row>
    <row r="5815" spans="6:8">
      <c r="H5815" t="s">
        <v>19709</v>
      </c>
    </row>
    <row r="5816" spans="6:8">
      <c r="H5816" t="s">
        <v>20107</v>
      </c>
    </row>
    <row r="5817" spans="6:8">
      <c r="H5817" t="s">
        <v>20108</v>
      </c>
    </row>
    <row r="5818" spans="6:8">
      <c r="H5818" t="s">
        <v>20095</v>
      </c>
    </row>
    <row r="5819" spans="6:8">
      <c r="H5819" t="s">
        <v>20096</v>
      </c>
    </row>
    <row r="5820" spans="6:8">
      <c r="H5820" t="s">
        <v>20097</v>
      </c>
    </row>
    <row r="5821" spans="6:8">
      <c r="F5821" t="s">
        <v>11412</v>
      </c>
      <c r="G5821" t="s">
        <v>15327</v>
      </c>
      <c r="H5821" t="s">
        <v>20091</v>
      </c>
    </row>
    <row r="5822" spans="6:8">
      <c r="H5822" t="s">
        <v>19712</v>
      </c>
    </row>
    <row r="5823" spans="6:8">
      <c r="H5823" t="s">
        <v>19709</v>
      </c>
    </row>
    <row r="5824" spans="6:8">
      <c r="H5824" t="s">
        <v>19706</v>
      </c>
    </row>
    <row r="5825" spans="6:8">
      <c r="H5825" t="s">
        <v>20107</v>
      </c>
    </row>
    <row r="5826" spans="6:8">
      <c r="H5826" t="s">
        <v>20108</v>
      </c>
    </row>
    <row r="5827" spans="6:8">
      <c r="H5827" t="s">
        <v>19713</v>
      </c>
    </row>
    <row r="5828" spans="6:8">
      <c r="H5828" t="s">
        <v>20095</v>
      </c>
    </row>
    <row r="5829" spans="6:8">
      <c r="H5829" t="s">
        <v>20096</v>
      </c>
    </row>
    <row r="5830" spans="6:8">
      <c r="H5830" t="s">
        <v>20097</v>
      </c>
    </row>
    <row r="5831" spans="6:8">
      <c r="H5831" t="s">
        <v>20098</v>
      </c>
    </row>
    <row r="5832" spans="6:8">
      <c r="F5832" t="s">
        <v>11413</v>
      </c>
      <c r="G5832" t="s">
        <v>15328</v>
      </c>
      <c r="H5832" t="s">
        <v>20091</v>
      </c>
    </row>
    <row r="5833" spans="6:8">
      <c r="H5833" t="s">
        <v>19712</v>
      </c>
    </row>
    <row r="5834" spans="6:8">
      <c r="H5834" t="s">
        <v>19709</v>
      </c>
    </row>
    <row r="5835" spans="6:8">
      <c r="H5835" t="s">
        <v>19706</v>
      </c>
    </row>
    <row r="5836" spans="6:8">
      <c r="H5836" t="s">
        <v>20107</v>
      </c>
    </row>
    <row r="5837" spans="6:8">
      <c r="H5837" t="s">
        <v>20108</v>
      </c>
    </row>
    <row r="5838" spans="6:8">
      <c r="H5838" t="s">
        <v>19713</v>
      </c>
    </row>
    <row r="5839" spans="6:8">
      <c r="H5839" t="s">
        <v>20095</v>
      </c>
    </row>
    <row r="5840" spans="6:8">
      <c r="H5840" t="s">
        <v>20096</v>
      </c>
    </row>
    <row r="5841" spans="1:8">
      <c r="H5841" t="s">
        <v>20097</v>
      </c>
    </row>
    <row r="5842" spans="1:8">
      <c r="H5842" t="s">
        <v>20098</v>
      </c>
    </row>
    <row r="5843" spans="1:8">
      <c r="F5843" t="s">
        <v>11414</v>
      </c>
      <c r="G5843" t="s">
        <v>15655</v>
      </c>
      <c r="H5843" t="s">
        <v>20095</v>
      </c>
    </row>
    <row r="5844" spans="1:8">
      <c r="F5844" t="s">
        <v>11415</v>
      </c>
      <c r="G5844" t="s">
        <v>15656</v>
      </c>
      <c r="H5844" t="s">
        <v>20095</v>
      </c>
    </row>
    <row r="5845" spans="1:8">
      <c r="F5845" t="s">
        <v>11416</v>
      </c>
      <c r="G5845" t="s">
        <v>15657</v>
      </c>
      <c r="H5845" t="s">
        <v>20095</v>
      </c>
    </row>
    <row r="5846" spans="1:8">
      <c r="F5846" t="s">
        <v>11417</v>
      </c>
      <c r="G5846" t="s">
        <v>15658</v>
      </c>
      <c r="H5846" t="s">
        <v>20095</v>
      </c>
    </row>
    <row r="5847" spans="1:8">
      <c r="F5847" t="s">
        <v>11418</v>
      </c>
      <c r="G5847" t="s">
        <v>15659</v>
      </c>
      <c r="H5847" t="s">
        <v>20095</v>
      </c>
    </row>
    <row r="5848" spans="1:8">
      <c r="H5848" t="s">
        <v>20096</v>
      </c>
    </row>
    <row r="5849" spans="1:8">
      <c r="H5849" t="s">
        <v>20097</v>
      </c>
    </row>
    <row r="5850" spans="1:8">
      <c r="H5850" t="s">
        <v>20098</v>
      </c>
    </row>
    <row r="5851" spans="1:8">
      <c r="H5851" t="s">
        <v>20099</v>
      </c>
    </row>
    <row r="5852" spans="1:8">
      <c r="F5852" t="s">
        <v>11419</v>
      </c>
      <c r="G5852" t="s">
        <v>15660</v>
      </c>
      <c r="H5852" t="s">
        <v>20095</v>
      </c>
    </row>
    <row r="5853" spans="1:8">
      <c r="H5853" t="s">
        <v>20096</v>
      </c>
    </row>
    <row r="5854" spans="1:8">
      <c r="A5854" t="s">
        <v>305</v>
      </c>
      <c r="B5854">
        <f>HYPERLINK("https://android.googlesource.com/platform/cts/+/68babe4ae21b48f005aff471db44d1fb1ec1995c", "68babe4ae21b48f005aff471db44d1fb1ec1995c")</f>
        <v>0</v>
      </c>
      <c r="C5854">
        <f>HYPERLINK("https://android.googlesource.com/platform/cts/+/98caf9a765885f0312116bc574498273cd80d1a6", "98caf9a765885f0312116bc574498273cd80d1a6")</f>
        <v>0</v>
      </c>
      <c r="D5854" t="s">
        <v>4972</v>
      </c>
      <c r="E5854" t="s">
        <v>6100</v>
      </c>
      <c r="F5854" t="s">
        <v>11420</v>
      </c>
      <c r="G5854" t="s">
        <v>15661</v>
      </c>
      <c r="H5854" t="s">
        <v>20203</v>
      </c>
    </row>
    <row r="5855" spans="1:8">
      <c r="H5855" t="s">
        <v>20204</v>
      </c>
    </row>
    <row r="5856" spans="1:8">
      <c r="A5856" t="s">
        <v>307</v>
      </c>
      <c r="B5856">
        <f>HYPERLINK("https://android.googlesource.com/platform/cts/+/e409dce9177ae8ee786a7a55ade9698993ff00ad", "e409dce9177ae8ee786a7a55ade9698993ff00ad")</f>
        <v>0</v>
      </c>
      <c r="C5856">
        <f>HYPERLINK("https://android.googlesource.com/platform/cts/+/4087565526d15a95b0492c585e363581303389ed", "4087565526d15a95b0492c585e363581303389ed")</f>
        <v>0</v>
      </c>
      <c r="D5856" t="s">
        <v>4941</v>
      </c>
      <c r="E5856" t="s">
        <v>6102</v>
      </c>
      <c r="F5856" t="s">
        <v>11421</v>
      </c>
      <c r="G5856" t="s">
        <v>15662</v>
      </c>
      <c r="H5856" t="s">
        <v>20212</v>
      </c>
    </row>
    <row r="5857" spans="1:8">
      <c r="A5857" t="s">
        <v>309</v>
      </c>
      <c r="B5857">
        <f>HYPERLINK("https://android.googlesource.com/platform/cts/+/29d34788f1320a14a7b16c7978dd9f7e12a55505", "29d34788f1320a14a7b16c7978dd9f7e12a55505")</f>
        <v>0</v>
      </c>
      <c r="C5857">
        <f>HYPERLINK("https://android.googlesource.com/platform/cts/+/b3d67202d3f5e4fdc41fe8ef51248ad7767d445d", "b3d67202d3f5e4fdc41fe8ef51248ad7767d445d")</f>
        <v>0</v>
      </c>
      <c r="D5857" t="s">
        <v>4941</v>
      </c>
      <c r="E5857" t="s">
        <v>6104</v>
      </c>
      <c r="F5857" t="s">
        <v>11422</v>
      </c>
      <c r="G5857" t="s">
        <v>15663</v>
      </c>
      <c r="H5857" t="s">
        <v>20216</v>
      </c>
    </row>
    <row r="5858" spans="1:8">
      <c r="H5858" t="s">
        <v>20217</v>
      </c>
    </row>
    <row r="5859" spans="1:8">
      <c r="A5859" t="s">
        <v>310</v>
      </c>
      <c r="B5859">
        <f>HYPERLINK("https://android.googlesource.com/platform/cts/+/144a0c9b802c3d43e77ae0b134156ad41189a0bb", "144a0c9b802c3d43e77ae0b134156ad41189a0bb")</f>
        <v>0</v>
      </c>
      <c r="C5859">
        <f>HYPERLINK("https://android.googlesource.com/platform/cts/+/d00f2c04613dc3fd57062b60fdff18f0465ddecd", "d00f2c04613dc3fd57062b60fdff18f0465ddecd")</f>
        <v>0</v>
      </c>
      <c r="D5859" t="s">
        <v>4951</v>
      </c>
      <c r="E5859" t="s">
        <v>6105</v>
      </c>
      <c r="F5859" t="s">
        <v>11193</v>
      </c>
      <c r="G5859" t="s">
        <v>15582</v>
      </c>
      <c r="H5859" t="s">
        <v>20222</v>
      </c>
    </row>
    <row r="5860" spans="1:8">
      <c r="A5860" t="s">
        <v>312</v>
      </c>
      <c r="B5860">
        <f>HYPERLINK("https://android.googlesource.com/platform/cts/+/2425d5c7258072bb0d22b417c868d491da7d76d1", "2425d5c7258072bb0d22b417c868d491da7d76d1")</f>
        <v>0</v>
      </c>
      <c r="C5860">
        <f>HYPERLINK("https://android.googlesource.com/platform/cts/+/4f305f585aae489bffd7863e13fa7b72a333c88b", "4f305f585aae489bffd7863e13fa7b72a333c88b")</f>
        <v>0</v>
      </c>
      <c r="D5860" t="s">
        <v>4941</v>
      </c>
      <c r="E5860" t="s">
        <v>6107</v>
      </c>
      <c r="F5860" t="s">
        <v>11423</v>
      </c>
      <c r="G5860" t="s">
        <v>15664</v>
      </c>
      <c r="H5860" t="s">
        <v>20225</v>
      </c>
    </row>
    <row r="5861" spans="1:8">
      <c r="H5861" t="s">
        <v>20226</v>
      </c>
    </row>
    <row r="5862" spans="1:8">
      <c r="A5862" t="s">
        <v>313</v>
      </c>
      <c r="B5862">
        <f>HYPERLINK("https://android.googlesource.com/platform/cts/+/6a7c5d58f70a9dda71b035608ae38a53dbbf084d", "6a7c5d58f70a9dda71b035608ae38a53dbbf084d")</f>
        <v>0</v>
      </c>
      <c r="C5862">
        <f>HYPERLINK("https://android.googlesource.com/platform/cts/+/d28b2da2c9a18010b7b884483255b19143e42061", "d28b2da2c9a18010b7b884483255b19143e42061")</f>
        <v>0</v>
      </c>
      <c r="D5862" t="s">
        <v>4951</v>
      </c>
      <c r="E5862" t="s">
        <v>6108</v>
      </c>
      <c r="F5862" t="s">
        <v>10687</v>
      </c>
      <c r="G5862" t="s">
        <v>15087</v>
      </c>
      <c r="H5862" t="s">
        <v>20227</v>
      </c>
    </row>
    <row r="5863" spans="1:8">
      <c r="A5863" t="s">
        <v>314</v>
      </c>
      <c r="B5863">
        <f>HYPERLINK("https://android.googlesource.com/platform/cts/+/1d67e1910954f77786396111cb4c1aebf9799d08", "1d67e1910954f77786396111cb4c1aebf9799d08")</f>
        <v>0</v>
      </c>
      <c r="C5863">
        <f>HYPERLINK("https://android.googlesource.com/platform/cts/+/b753eca9a8c7c911241e844951adba524bb95cd2", "b753eca9a8c7c911241e844951adba524bb95cd2")</f>
        <v>0</v>
      </c>
      <c r="D5863" t="s">
        <v>4941</v>
      </c>
      <c r="E5863" t="s">
        <v>6109</v>
      </c>
      <c r="F5863" t="s">
        <v>11424</v>
      </c>
      <c r="G5863" t="s">
        <v>15665</v>
      </c>
      <c r="H5863" t="s">
        <v>20228</v>
      </c>
    </row>
    <row r="5864" spans="1:8">
      <c r="H5864" t="s">
        <v>20229</v>
      </c>
    </row>
    <row r="5865" spans="1:8">
      <c r="A5865" t="s">
        <v>316</v>
      </c>
      <c r="B5865">
        <f>HYPERLINK("https://android.googlesource.com/platform/cts/+/df9378aa97f09d5b44a63e9e92069d63e5aab77a", "df9378aa97f09d5b44a63e9e92069d63e5aab77a")</f>
        <v>0</v>
      </c>
      <c r="C5865">
        <f>HYPERLINK("https://android.googlesource.com/platform/cts/+/6ee03aa5f2e63bca382907751fe9d34fc0a629e7", "6ee03aa5f2e63bca382907751fe9d34fc0a629e7")</f>
        <v>0</v>
      </c>
      <c r="D5865" t="s">
        <v>4941</v>
      </c>
      <c r="E5865" t="s">
        <v>6111</v>
      </c>
      <c r="F5865" t="s">
        <v>11424</v>
      </c>
      <c r="G5865" t="s">
        <v>15665</v>
      </c>
      <c r="H5865" t="s">
        <v>20232</v>
      </c>
    </row>
    <row r="5866" spans="1:8">
      <c r="H5866" t="s">
        <v>20233</v>
      </c>
    </row>
    <row r="5867" spans="1:8">
      <c r="A5867" t="s">
        <v>321</v>
      </c>
      <c r="B5867">
        <f>HYPERLINK("https://android.googlesource.com/platform/cts/+/0925bc0243c33008f9159cbf7a6948a8e5914af5", "0925bc0243c33008f9159cbf7a6948a8e5914af5")</f>
        <v>0</v>
      </c>
      <c r="C5867">
        <f>HYPERLINK("https://android.googlesource.com/platform/cts/+/7082f951c9b060e5900eae4b652eb0a4ae05953a", "7082f951c9b060e5900eae4b652eb0a4ae05953a")</f>
        <v>0</v>
      </c>
      <c r="D5867" t="s">
        <v>4941</v>
      </c>
      <c r="E5867" t="s">
        <v>6116</v>
      </c>
      <c r="F5867" t="s">
        <v>11429</v>
      </c>
      <c r="G5867" t="s">
        <v>15669</v>
      </c>
      <c r="H5867" t="s">
        <v>20239</v>
      </c>
    </row>
    <row r="5868" spans="1:8">
      <c r="A5868" t="s">
        <v>322</v>
      </c>
      <c r="B5868">
        <f>HYPERLINK("https://android.googlesource.com/platform/cts/+/349b8fe7755f2404dcb396ccf540c65876020df0", "349b8fe7755f2404dcb396ccf540c65876020df0")</f>
        <v>0</v>
      </c>
      <c r="C5868">
        <f>HYPERLINK("https://android.googlesource.com/platform/cts/+/eaed243cd97a52f944314c40e1dba91879ab8c63", "eaed243cd97a52f944314c40e1dba91879ab8c63")</f>
        <v>0</v>
      </c>
      <c r="D5868" t="s">
        <v>4975</v>
      </c>
      <c r="E5868" t="s">
        <v>6117</v>
      </c>
      <c r="F5868" t="s">
        <v>11430</v>
      </c>
      <c r="G5868" t="s">
        <v>15670</v>
      </c>
      <c r="H5868" t="s">
        <v>20243</v>
      </c>
    </row>
    <row r="5869" spans="1:8">
      <c r="A5869" t="s">
        <v>323</v>
      </c>
      <c r="B5869">
        <f>HYPERLINK("https://android.googlesource.com/platform/cts/+/22ba1bc139771beabcf0261b9b19ffab2757903a", "22ba1bc139771beabcf0261b9b19ffab2757903a")</f>
        <v>0</v>
      </c>
      <c r="C5869">
        <f>HYPERLINK("https://android.googlesource.com/platform/cts/+/e5ea9961bde2dbe585a004352ca9453cf77726c1", "e5ea9961bde2dbe585a004352ca9453cf77726c1")</f>
        <v>0</v>
      </c>
      <c r="D5869" t="s">
        <v>4941</v>
      </c>
      <c r="E5869" t="s">
        <v>6118</v>
      </c>
      <c r="F5869" t="s">
        <v>10963</v>
      </c>
      <c r="G5869" t="s">
        <v>15354</v>
      </c>
      <c r="H5869" t="s">
        <v>20091</v>
      </c>
    </row>
    <row r="5870" spans="1:8">
      <c r="H5870" t="s">
        <v>19712</v>
      </c>
    </row>
    <row r="5871" spans="1:8">
      <c r="H5871" t="s">
        <v>19709</v>
      </c>
    </row>
    <row r="5872" spans="1:8">
      <c r="H5872" t="s">
        <v>19706</v>
      </c>
    </row>
    <row r="5873" spans="6:8">
      <c r="F5873" t="s">
        <v>10964</v>
      </c>
      <c r="G5873" t="s">
        <v>15355</v>
      </c>
      <c r="H5873" t="s">
        <v>20091</v>
      </c>
    </row>
    <row r="5874" spans="6:8">
      <c r="H5874" t="s">
        <v>19712</v>
      </c>
    </row>
    <row r="5875" spans="6:8">
      <c r="H5875" t="s">
        <v>20092</v>
      </c>
    </row>
    <row r="5876" spans="6:8">
      <c r="H5876" t="s">
        <v>20093</v>
      </c>
    </row>
    <row r="5877" spans="6:8">
      <c r="H5877" t="s">
        <v>20094</v>
      </c>
    </row>
    <row r="5878" spans="6:8">
      <c r="H5878" t="s">
        <v>20095</v>
      </c>
    </row>
    <row r="5879" spans="6:8">
      <c r="H5879" t="s">
        <v>20096</v>
      </c>
    </row>
    <row r="5880" spans="6:8">
      <c r="H5880" t="s">
        <v>20097</v>
      </c>
    </row>
    <row r="5881" spans="6:8">
      <c r="H5881" t="s">
        <v>20098</v>
      </c>
    </row>
    <row r="5882" spans="6:8">
      <c r="H5882" t="s">
        <v>20099</v>
      </c>
    </row>
    <row r="5883" spans="6:8">
      <c r="H5883" t="s">
        <v>20100</v>
      </c>
    </row>
    <row r="5884" spans="6:8">
      <c r="H5884" t="s">
        <v>20101</v>
      </c>
    </row>
    <row r="5885" spans="6:8">
      <c r="H5885" t="s">
        <v>20102</v>
      </c>
    </row>
    <row r="5886" spans="6:8">
      <c r="F5886" t="s">
        <v>10965</v>
      </c>
      <c r="G5886" t="s">
        <v>15356</v>
      </c>
      <c r="H5886" t="s">
        <v>20091</v>
      </c>
    </row>
    <row r="5887" spans="6:8">
      <c r="H5887" t="s">
        <v>19712</v>
      </c>
    </row>
    <row r="5888" spans="6:8">
      <c r="H5888" t="s">
        <v>19709</v>
      </c>
    </row>
    <row r="5889" spans="6:8">
      <c r="H5889" t="s">
        <v>19706</v>
      </c>
    </row>
    <row r="5890" spans="6:8">
      <c r="H5890" t="s">
        <v>20092</v>
      </c>
    </row>
    <row r="5891" spans="6:8">
      <c r="H5891" t="s">
        <v>20093</v>
      </c>
    </row>
    <row r="5892" spans="6:8">
      <c r="H5892" t="s">
        <v>20094</v>
      </c>
    </row>
    <row r="5893" spans="6:8">
      <c r="H5893" t="s">
        <v>20103</v>
      </c>
    </row>
    <row r="5894" spans="6:8">
      <c r="H5894" t="s">
        <v>20095</v>
      </c>
    </row>
    <row r="5895" spans="6:8">
      <c r="H5895" t="s">
        <v>20096</v>
      </c>
    </row>
    <row r="5896" spans="6:8">
      <c r="H5896" t="s">
        <v>20097</v>
      </c>
    </row>
    <row r="5897" spans="6:8">
      <c r="H5897" t="s">
        <v>20098</v>
      </c>
    </row>
    <row r="5898" spans="6:8">
      <c r="H5898" t="s">
        <v>20099</v>
      </c>
    </row>
    <row r="5899" spans="6:8">
      <c r="H5899" t="s">
        <v>20100</v>
      </c>
    </row>
    <row r="5900" spans="6:8">
      <c r="H5900" t="s">
        <v>20101</v>
      </c>
    </row>
    <row r="5901" spans="6:8">
      <c r="H5901" t="s">
        <v>20102</v>
      </c>
    </row>
    <row r="5902" spans="6:8">
      <c r="F5902" t="s">
        <v>10966</v>
      </c>
      <c r="G5902" t="s">
        <v>15357</v>
      </c>
      <c r="H5902" t="s">
        <v>20091</v>
      </c>
    </row>
    <row r="5903" spans="6:8">
      <c r="H5903" t="s">
        <v>20095</v>
      </c>
    </row>
    <row r="5904" spans="6:8">
      <c r="F5904" t="s">
        <v>10967</v>
      </c>
      <c r="G5904" t="s">
        <v>15358</v>
      </c>
      <c r="H5904" t="s">
        <v>20091</v>
      </c>
    </row>
    <row r="5905" spans="6:8">
      <c r="H5905" t="s">
        <v>19712</v>
      </c>
    </row>
    <row r="5906" spans="6:8">
      <c r="H5906" t="s">
        <v>20095</v>
      </c>
    </row>
    <row r="5907" spans="6:8">
      <c r="H5907" t="s">
        <v>20096</v>
      </c>
    </row>
    <row r="5908" spans="6:8">
      <c r="H5908" t="s">
        <v>20097</v>
      </c>
    </row>
    <row r="5909" spans="6:8">
      <c r="H5909" t="s">
        <v>20098</v>
      </c>
    </row>
    <row r="5910" spans="6:8">
      <c r="H5910" t="s">
        <v>20099</v>
      </c>
    </row>
    <row r="5911" spans="6:8">
      <c r="H5911" t="s">
        <v>19709</v>
      </c>
    </row>
    <row r="5912" spans="6:8">
      <c r="H5912" t="s">
        <v>19706</v>
      </c>
    </row>
    <row r="5913" spans="6:8">
      <c r="H5913" t="s">
        <v>20100</v>
      </c>
    </row>
    <row r="5914" spans="6:8">
      <c r="H5914" t="s">
        <v>20101</v>
      </c>
    </row>
    <row r="5915" spans="6:8">
      <c r="H5915" t="s">
        <v>20102</v>
      </c>
    </row>
    <row r="5916" spans="6:8">
      <c r="H5916" t="s">
        <v>20104</v>
      </c>
    </row>
    <row r="5917" spans="6:8">
      <c r="H5917" t="s">
        <v>20105</v>
      </c>
    </row>
    <row r="5918" spans="6:8">
      <c r="F5918" t="s">
        <v>10968</v>
      </c>
      <c r="G5918" t="s">
        <v>15359</v>
      </c>
      <c r="H5918" t="s">
        <v>20091</v>
      </c>
    </row>
    <row r="5919" spans="6:8">
      <c r="H5919" t="s">
        <v>19712</v>
      </c>
    </row>
    <row r="5920" spans="6:8">
      <c r="H5920" t="s">
        <v>20095</v>
      </c>
    </row>
    <row r="5921" spans="6:8">
      <c r="H5921" t="s">
        <v>20096</v>
      </c>
    </row>
    <row r="5922" spans="6:8">
      <c r="H5922" t="s">
        <v>20097</v>
      </c>
    </row>
    <row r="5923" spans="6:8">
      <c r="H5923" t="s">
        <v>20098</v>
      </c>
    </row>
    <row r="5924" spans="6:8">
      <c r="H5924" t="s">
        <v>20099</v>
      </c>
    </row>
    <row r="5925" spans="6:8">
      <c r="H5925" t="s">
        <v>20100</v>
      </c>
    </row>
    <row r="5926" spans="6:8">
      <c r="F5926" t="s">
        <v>10969</v>
      </c>
      <c r="G5926" t="s">
        <v>15360</v>
      </c>
      <c r="H5926" t="s">
        <v>20091</v>
      </c>
    </row>
    <row r="5927" spans="6:8">
      <c r="H5927" t="s">
        <v>19712</v>
      </c>
    </row>
    <row r="5928" spans="6:8">
      <c r="H5928" t="s">
        <v>20095</v>
      </c>
    </row>
    <row r="5929" spans="6:8">
      <c r="H5929" t="s">
        <v>20096</v>
      </c>
    </row>
    <row r="5930" spans="6:8">
      <c r="H5930" t="s">
        <v>20097</v>
      </c>
    </row>
    <row r="5931" spans="6:8">
      <c r="H5931" t="s">
        <v>20098</v>
      </c>
    </row>
    <row r="5932" spans="6:8">
      <c r="H5932" t="s">
        <v>20099</v>
      </c>
    </row>
    <row r="5933" spans="6:8">
      <c r="H5933" t="s">
        <v>20100</v>
      </c>
    </row>
    <row r="5934" spans="6:8">
      <c r="F5934" t="s">
        <v>10970</v>
      </c>
      <c r="G5934" t="s">
        <v>15361</v>
      </c>
      <c r="H5934" t="s">
        <v>20091</v>
      </c>
    </row>
    <row r="5935" spans="6:8">
      <c r="H5935" t="s">
        <v>19712</v>
      </c>
    </row>
    <row r="5936" spans="6:8">
      <c r="H5936" t="s">
        <v>20095</v>
      </c>
    </row>
    <row r="5937" spans="6:8">
      <c r="H5937" t="s">
        <v>20096</v>
      </c>
    </row>
    <row r="5938" spans="6:8">
      <c r="H5938" t="s">
        <v>20097</v>
      </c>
    </row>
    <row r="5939" spans="6:8">
      <c r="H5939" t="s">
        <v>20098</v>
      </c>
    </row>
    <row r="5940" spans="6:8">
      <c r="H5940" t="s">
        <v>20099</v>
      </c>
    </row>
    <row r="5941" spans="6:8">
      <c r="H5941" t="s">
        <v>20100</v>
      </c>
    </row>
    <row r="5942" spans="6:8">
      <c r="F5942" t="s">
        <v>10971</v>
      </c>
      <c r="G5942" t="s">
        <v>15362</v>
      </c>
      <c r="H5942" t="s">
        <v>20091</v>
      </c>
    </row>
    <row r="5943" spans="6:8">
      <c r="H5943" t="s">
        <v>19712</v>
      </c>
    </row>
    <row r="5944" spans="6:8">
      <c r="H5944" t="s">
        <v>20095</v>
      </c>
    </row>
    <row r="5945" spans="6:8">
      <c r="H5945" t="s">
        <v>20096</v>
      </c>
    </row>
    <row r="5946" spans="6:8">
      <c r="H5946" t="s">
        <v>20097</v>
      </c>
    </row>
    <row r="5947" spans="6:8">
      <c r="H5947" t="s">
        <v>20098</v>
      </c>
    </row>
    <row r="5948" spans="6:8">
      <c r="H5948" t="s">
        <v>20099</v>
      </c>
    </row>
    <row r="5949" spans="6:8">
      <c r="H5949" t="s">
        <v>20100</v>
      </c>
    </row>
    <row r="5950" spans="6:8">
      <c r="F5950" t="s">
        <v>10972</v>
      </c>
      <c r="G5950" t="s">
        <v>15363</v>
      </c>
      <c r="H5950" t="s">
        <v>20091</v>
      </c>
    </row>
    <row r="5951" spans="6:8">
      <c r="H5951" t="s">
        <v>19712</v>
      </c>
    </row>
    <row r="5952" spans="6:8">
      <c r="H5952" t="s">
        <v>19709</v>
      </c>
    </row>
    <row r="5953" spans="6:8">
      <c r="H5953" t="s">
        <v>20092</v>
      </c>
    </row>
    <row r="5954" spans="6:8">
      <c r="H5954" t="s">
        <v>20093</v>
      </c>
    </row>
    <row r="5955" spans="6:8">
      <c r="H5955" t="s">
        <v>20094</v>
      </c>
    </row>
    <row r="5956" spans="6:8">
      <c r="H5956" t="s">
        <v>20103</v>
      </c>
    </row>
    <row r="5957" spans="6:8">
      <c r="H5957" t="s">
        <v>20095</v>
      </c>
    </row>
    <row r="5958" spans="6:8">
      <c r="H5958" t="s">
        <v>20096</v>
      </c>
    </row>
    <row r="5959" spans="6:8">
      <c r="H5959" t="s">
        <v>20097</v>
      </c>
    </row>
    <row r="5960" spans="6:8">
      <c r="H5960" t="s">
        <v>20098</v>
      </c>
    </row>
    <row r="5961" spans="6:8">
      <c r="H5961" t="s">
        <v>20099</v>
      </c>
    </row>
    <row r="5962" spans="6:8">
      <c r="H5962" t="s">
        <v>20100</v>
      </c>
    </row>
    <row r="5963" spans="6:8">
      <c r="F5963" t="s">
        <v>10973</v>
      </c>
      <c r="G5963" t="s">
        <v>15364</v>
      </c>
      <c r="H5963" t="s">
        <v>20091</v>
      </c>
    </row>
    <row r="5964" spans="6:8">
      <c r="H5964" t="s">
        <v>19712</v>
      </c>
    </row>
    <row r="5965" spans="6:8">
      <c r="H5965" t="s">
        <v>19709</v>
      </c>
    </row>
    <row r="5966" spans="6:8">
      <c r="H5966" t="s">
        <v>19706</v>
      </c>
    </row>
    <row r="5967" spans="6:8">
      <c r="H5967" t="s">
        <v>19707</v>
      </c>
    </row>
    <row r="5968" spans="6:8">
      <c r="H5968" t="s">
        <v>19711</v>
      </c>
    </row>
    <row r="5969" spans="6:8">
      <c r="H5969" t="s">
        <v>19708</v>
      </c>
    </row>
    <row r="5970" spans="6:8">
      <c r="H5970" t="s">
        <v>19710</v>
      </c>
    </row>
    <row r="5971" spans="6:8">
      <c r="H5971" t="s">
        <v>20092</v>
      </c>
    </row>
    <row r="5972" spans="6:8">
      <c r="H5972" t="s">
        <v>20093</v>
      </c>
    </row>
    <row r="5973" spans="6:8">
      <c r="H5973" t="s">
        <v>20095</v>
      </c>
    </row>
    <row r="5974" spans="6:8">
      <c r="H5974" t="s">
        <v>20096</v>
      </c>
    </row>
    <row r="5975" spans="6:8">
      <c r="H5975" t="s">
        <v>20097</v>
      </c>
    </row>
    <row r="5976" spans="6:8">
      <c r="H5976" t="s">
        <v>20098</v>
      </c>
    </row>
    <row r="5977" spans="6:8">
      <c r="H5977" t="s">
        <v>20099</v>
      </c>
    </row>
    <row r="5978" spans="6:8">
      <c r="H5978" t="s">
        <v>20100</v>
      </c>
    </row>
    <row r="5979" spans="6:8">
      <c r="H5979" t="s">
        <v>20101</v>
      </c>
    </row>
    <row r="5980" spans="6:8">
      <c r="F5980" t="s">
        <v>10974</v>
      </c>
      <c r="G5980" t="s">
        <v>15365</v>
      </c>
      <c r="H5980" t="s">
        <v>20091</v>
      </c>
    </row>
    <row r="5981" spans="6:8">
      <c r="H5981" t="s">
        <v>20106</v>
      </c>
    </row>
    <row r="5982" spans="6:8">
      <c r="H5982" t="s">
        <v>20096</v>
      </c>
    </row>
    <row r="5983" spans="6:8">
      <c r="H5983" t="s">
        <v>20095</v>
      </c>
    </row>
    <row r="5984" spans="6:8">
      <c r="F5984" t="s">
        <v>10975</v>
      </c>
      <c r="G5984" t="s">
        <v>15366</v>
      </c>
      <c r="H5984" t="s">
        <v>20091</v>
      </c>
    </row>
    <row r="5985" spans="6:8">
      <c r="H5985" t="s">
        <v>19712</v>
      </c>
    </row>
    <row r="5986" spans="6:8">
      <c r="H5986" t="s">
        <v>20095</v>
      </c>
    </row>
    <row r="5987" spans="6:8">
      <c r="H5987" t="s">
        <v>20096</v>
      </c>
    </row>
    <row r="5988" spans="6:8">
      <c r="H5988" t="s">
        <v>20097</v>
      </c>
    </row>
    <row r="5989" spans="6:8">
      <c r="H5989" t="s">
        <v>19709</v>
      </c>
    </row>
    <row r="5990" spans="6:8">
      <c r="H5990" t="s">
        <v>19706</v>
      </c>
    </row>
    <row r="5991" spans="6:8">
      <c r="H5991" t="s">
        <v>20098</v>
      </c>
    </row>
    <row r="5992" spans="6:8">
      <c r="H5992" t="s">
        <v>20099</v>
      </c>
    </row>
    <row r="5993" spans="6:8">
      <c r="H5993" t="s">
        <v>20100</v>
      </c>
    </row>
    <row r="5994" spans="6:8">
      <c r="F5994" t="s">
        <v>10976</v>
      </c>
      <c r="G5994" t="s">
        <v>15367</v>
      </c>
      <c r="H5994" t="s">
        <v>20091</v>
      </c>
    </row>
    <row r="5995" spans="6:8">
      <c r="H5995" t="s">
        <v>19712</v>
      </c>
    </row>
    <row r="5996" spans="6:8">
      <c r="H5996" t="s">
        <v>20095</v>
      </c>
    </row>
    <row r="5997" spans="6:8">
      <c r="H5997" t="s">
        <v>20096</v>
      </c>
    </row>
    <row r="5998" spans="6:8">
      <c r="H5998" t="s">
        <v>20097</v>
      </c>
    </row>
    <row r="5999" spans="6:8">
      <c r="F5999" t="s">
        <v>10977</v>
      </c>
      <c r="G5999" t="s">
        <v>15368</v>
      </c>
      <c r="H5999" t="s">
        <v>20091</v>
      </c>
    </row>
    <row r="6000" spans="6:8">
      <c r="H6000" t="s">
        <v>19712</v>
      </c>
    </row>
    <row r="6001" spans="6:8">
      <c r="H6001" t="s">
        <v>20095</v>
      </c>
    </row>
    <row r="6002" spans="6:8">
      <c r="H6002" t="s">
        <v>20096</v>
      </c>
    </row>
    <row r="6003" spans="6:8">
      <c r="H6003" t="s">
        <v>20097</v>
      </c>
    </row>
    <row r="6004" spans="6:8">
      <c r="F6004" t="s">
        <v>10978</v>
      </c>
      <c r="G6004" t="s">
        <v>15369</v>
      </c>
      <c r="H6004" t="s">
        <v>20091</v>
      </c>
    </row>
    <row r="6005" spans="6:8">
      <c r="H6005" t="s">
        <v>19712</v>
      </c>
    </row>
    <row r="6006" spans="6:8">
      <c r="H6006" t="s">
        <v>20095</v>
      </c>
    </row>
    <row r="6007" spans="6:8">
      <c r="H6007" t="s">
        <v>20096</v>
      </c>
    </row>
    <row r="6008" spans="6:8">
      <c r="H6008" t="s">
        <v>20097</v>
      </c>
    </row>
    <row r="6009" spans="6:8">
      <c r="F6009" t="s">
        <v>10979</v>
      </c>
      <c r="G6009" t="s">
        <v>15370</v>
      </c>
      <c r="H6009" t="s">
        <v>20091</v>
      </c>
    </row>
    <row r="6010" spans="6:8">
      <c r="H6010" t="s">
        <v>19712</v>
      </c>
    </row>
    <row r="6011" spans="6:8">
      <c r="H6011" t="s">
        <v>20095</v>
      </c>
    </row>
    <row r="6012" spans="6:8">
      <c r="H6012" t="s">
        <v>20096</v>
      </c>
    </row>
    <row r="6013" spans="6:8">
      <c r="H6013" t="s">
        <v>20097</v>
      </c>
    </row>
    <row r="6014" spans="6:8">
      <c r="F6014" t="s">
        <v>10980</v>
      </c>
      <c r="G6014" t="s">
        <v>15371</v>
      </c>
      <c r="H6014" t="s">
        <v>20091</v>
      </c>
    </row>
    <row r="6015" spans="6:8">
      <c r="H6015" t="s">
        <v>19712</v>
      </c>
    </row>
    <row r="6016" spans="6:8">
      <c r="H6016" t="s">
        <v>19709</v>
      </c>
    </row>
    <row r="6017" spans="6:8">
      <c r="H6017" t="s">
        <v>19706</v>
      </c>
    </row>
    <row r="6018" spans="6:8">
      <c r="H6018" t="s">
        <v>20092</v>
      </c>
    </row>
    <row r="6019" spans="6:8">
      <c r="H6019" t="s">
        <v>20093</v>
      </c>
    </row>
    <row r="6020" spans="6:8">
      <c r="H6020" t="s">
        <v>20094</v>
      </c>
    </row>
    <row r="6021" spans="6:8">
      <c r="H6021" t="s">
        <v>20095</v>
      </c>
    </row>
    <row r="6022" spans="6:8">
      <c r="H6022" t="s">
        <v>20096</v>
      </c>
    </row>
    <row r="6023" spans="6:8">
      <c r="H6023" t="s">
        <v>20097</v>
      </c>
    </row>
    <row r="6024" spans="6:8">
      <c r="H6024" t="s">
        <v>20098</v>
      </c>
    </row>
    <row r="6025" spans="6:8">
      <c r="H6025" t="s">
        <v>20099</v>
      </c>
    </row>
    <row r="6026" spans="6:8">
      <c r="F6026" t="s">
        <v>10981</v>
      </c>
      <c r="G6026" t="s">
        <v>15372</v>
      </c>
      <c r="H6026" t="s">
        <v>20091</v>
      </c>
    </row>
    <row r="6027" spans="6:8">
      <c r="H6027" t="s">
        <v>19712</v>
      </c>
    </row>
    <row r="6028" spans="6:8">
      <c r="H6028" t="s">
        <v>20092</v>
      </c>
    </row>
    <row r="6029" spans="6:8">
      <c r="H6029" t="s">
        <v>20093</v>
      </c>
    </row>
    <row r="6030" spans="6:8">
      <c r="H6030" t="s">
        <v>20094</v>
      </c>
    </row>
    <row r="6031" spans="6:8">
      <c r="H6031" t="s">
        <v>20095</v>
      </c>
    </row>
    <row r="6032" spans="6:8">
      <c r="H6032" t="s">
        <v>20096</v>
      </c>
    </row>
    <row r="6033" spans="6:8">
      <c r="H6033" t="s">
        <v>20097</v>
      </c>
    </row>
    <row r="6034" spans="6:8">
      <c r="H6034" t="s">
        <v>20098</v>
      </c>
    </row>
    <row r="6035" spans="6:8">
      <c r="H6035" t="s">
        <v>20099</v>
      </c>
    </row>
    <row r="6036" spans="6:8">
      <c r="H6036" t="s">
        <v>20100</v>
      </c>
    </row>
    <row r="6037" spans="6:8">
      <c r="H6037" t="s">
        <v>20101</v>
      </c>
    </row>
    <row r="6038" spans="6:8">
      <c r="H6038" t="s">
        <v>20102</v>
      </c>
    </row>
    <row r="6039" spans="6:8">
      <c r="F6039" t="s">
        <v>10982</v>
      </c>
      <c r="G6039" t="s">
        <v>15373</v>
      </c>
      <c r="H6039" t="s">
        <v>20091</v>
      </c>
    </row>
    <row r="6040" spans="6:8">
      <c r="H6040" t="s">
        <v>19712</v>
      </c>
    </row>
    <row r="6041" spans="6:8">
      <c r="H6041" t="s">
        <v>20092</v>
      </c>
    </row>
    <row r="6042" spans="6:8">
      <c r="H6042" t="s">
        <v>20093</v>
      </c>
    </row>
    <row r="6043" spans="6:8">
      <c r="H6043" t="s">
        <v>20094</v>
      </c>
    </row>
    <row r="6044" spans="6:8">
      <c r="H6044" t="s">
        <v>20095</v>
      </c>
    </row>
    <row r="6045" spans="6:8">
      <c r="H6045" t="s">
        <v>20096</v>
      </c>
    </row>
    <row r="6046" spans="6:8">
      <c r="H6046" t="s">
        <v>20097</v>
      </c>
    </row>
    <row r="6047" spans="6:8">
      <c r="H6047" t="s">
        <v>20098</v>
      </c>
    </row>
    <row r="6048" spans="6:8">
      <c r="H6048" t="s">
        <v>20099</v>
      </c>
    </row>
    <row r="6049" spans="6:8">
      <c r="H6049" t="s">
        <v>20100</v>
      </c>
    </row>
    <row r="6050" spans="6:8">
      <c r="H6050" t="s">
        <v>20101</v>
      </c>
    </row>
    <row r="6051" spans="6:8">
      <c r="H6051" t="s">
        <v>20102</v>
      </c>
    </row>
    <row r="6052" spans="6:8">
      <c r="F6052" t="s">
        <v>10983</v>
      </c>
      <c r="G6052" t="s">
        <v>15374</v>
      </c>
      <c r="H6052" t="s">
        <v>20091</v>
      </c>
    </row>
    <row r="6053" spans="6:8">
      <c r="H6053" t="s">
        <v>20107</v>
      </c>
    </row>
    <row r="6054" spans="6:8">
      <c r="H6054" t="s">
        <v>20108</v>
      </c>
    </row>
    <row r="6055" spans="6:8">
      <c r="H6055" t="s">
        <v>20095</v>
      </c>
    </row>
    <row r="6056" spans="6:8">
      <c r="F6056" t="s">
        <v>10984</v>
      </c>
      <c r="G6056" t="s">
        <v>15375</v>
      </c>
      <c r="H6056" t="s">
        <v>20091</v>
      </c>
    </row>
    <row r="6057" spans="6:8">
      <c r="H6057" t="s">
        <v>19712</v>
      </c>
    </row>
    <row r="6058" spans="6:8">
      <c r="H6058" t="s">
        <v>20092</v>
      </c>
    </row>
    <row r="6059" spans="6:8">
      <c r="H6059" t="s">
        <v>20093</v>
      </c>
    </row>
    <row r="6060" spans="6:8">
      <c r="H6060" t="s">
        <v>20094</v>
      </c>
    </row>
    <row r="6061" spans="6:8">
      <c r="H6061" t="s">
        <v>20095</v>
      </c>
    </row>
    <row r="6062" spans="6:8">
      <c r="H6062" t="s">
        <v>20096</v>
      </c>
    </row>
    <row r="6063" spans="6:8">
      <c r="H6063" t="s">
        <v>20097</v>
      </c>
    </row>
    <row r="6064" spans="6:8">
      <c r="H6064" t="s">
        <v>20098</v>
      </c>
    </row>
    <row r="6065" spans="6:8">
      <c r="H6065" t="s">
        <v>20099</v>
      </c>
    </row>
    <row r="6066" spans="6:8">
      <c r="H6066" t="s">
        <v>20100</v>
      </c>
    </row>
    <row r="6067" spans="6:8">
      <c r="H6067" t="s">
        <v>20101</v>
      </c>
    </row>
    <row r="6068" spans="6:8">
      <c r="H6068" t="s">
        <v>20102</v>
      </c>
    </row>
    <row r="6069" spans="6:8">
      <c r="F6069" t="s">
        <v>10985</v>
      </c>
      <c r="G6069" t="s">
        <v>15376</v>
      </c>
      <c r="H6069" t="s">
        <v>20091</v>
      </c>
    </row>
    <row r="6070" spans="6:8">
      <c r="H6070" t="s">
        <v>19712</v>
      </c>
    </row>
    <row r="6071" spans="6:8">
      <c r="H6071" t="s">
        <v>20092</v>
      </c>
    </row>
    <row r="6072" spans="6:8">
      <c r="H6072" t="s">
        <v>20093</v>
      </c>
    </row>
    <row r="6073" spans="6:8">
      <c r="H6073" t="s">
        <v>20094</v>
      </c>
    </row>
    <row r="6074" spans="6:8">
      <c r="H6074" t="s">
        <v>20095</v>
      </c>
    </row>
    <row r="6075" spans="6:8">
      <c r="H6075" t="s">
        <v>20096</v>
      </c>
    </row>
    <row r="6076" spans="6:8">
      <c r="H6076" t="s">
        <v>20097</v>
      </c>
    </row>
    <row r="6077" spans="6:8">
      <c r="H6077" t="s">
        <v>20098</v>
      </c>
    </row>
    <row r="6078" spans="6:8">
      <c r="H6078" t="s">
        <v>20099</v>
      </c>
    </row>
    <row r="6079" spans="6:8">
      <c r="H6079" t="s">
        <v>20100</v>
      </c>
    </row>
    <row r="6080" spans="6:8">
      <c r="H6080" t="s">
        <v>20101</v>
      </c>
    </row>
    <row r="6081" spans="6:8">
      <c r="H6081" t="s">
        <v>20102</v>
      </c>
    </row>
    <row r="6082" spans="6:8">
      <c r="F6082" t="s">
        <v>10986</v>
      </c>
      <c r="G6082" t="s">
        <v>15377</v>
      </c>
      <c r="H6082" t="s">
        <v>20091</v>
      </c>
    </row>
    <row r="6083" spans="6:8">
      <c r="H6083" t="s">
        <v>19712</v>
      </c>
    </row>
    <row r="6084" spans="6:8">
      <c r="H6084" t="s">
        <v>19706</v>
      </c>
    </row>
    <row r="6085" spans="6:8">
      <c r="H6085" t="s">
        <v>20092</v>
      </c>
    </row>
    <row r="6086" spans="6:8">
      <c r="H6086" t="s">
        <v>20093</v>
      </c>
    </row>
    <row r="6087" spans="6:8">
      <c r="H6087" t="s">
        <v>20094</v>
      </c>
    </row>
    <row r="6088" spans="6:8">
      <c r="H6088" t="s">
        <v>20095</v>
      </c>
    </row>
    <row r="6089" spans="6:8">
      <c r="H6089" t="s">
        <v>20096</v>
      </c>
    </row>
    <row r="6090" spans="6:8">
      <c r="H6090" t="s">
        <v>20097</v>
      </c>
    </row>
    <row r="6091" spans="6:8">
      <c r="H6091" t="s">
        <v>20098</v>
      </c>
    </row>
    <row r="6092" spans="6:8">
      <c r="F6092" t="s">
        <v>10987</v>
      </c>
      <c r="G6092" t="s">
        <v>15378</v>
      </c>
      <c r="H6092" t="s">
        <v>20091</v>
      </c>
    </row>
    <row r="6093" spans="6:8">
      <c r="H6093" t="s">
        <v>19712</v>
      </c>
    </row>
    <row r="6094" spans="6:8">
      <c r="H6094" t="s">
        <v>19709</v>
      </c>
    </row>
    <row r="6095" spans="6:8">
      <c r="H6095" t="s">
        <v>20107</v>
      </c>
    </row>
    <row r="6096" spans="6:8">
      <c r="H6096" t="s">
        <v>20108</v>
      </c>
    </row>
    <row r="6097" spans="6:8">
      <c r="H6097" t="s">
        <v>19713</v>
      </c>
    </row>
    <row r="6098" spans="6:8">
      <c r="H6098" t="s">
        <v>19714</v>
      </c>
    </row>
    <row r="6099" spans="6:8">
      <c r="H6099" t="s">
        <v>20109</v>
      </c>
    </row>
    <row r="6100" spans="6:8">
      <c r="H6100" t="s">
        <v>20110</v>
      </c>
    </row>
    <row r="6101" spans="6:8">
      <c r="H6101" t="s">
        <v>20111</v>
      </c>
    </row>
    <row r="6102" spans="6:8">
      <c r="H6102" t="s">
        <v>20095</v>
      </c>
    </row>
    <row r="6103" spans="6:8">
      <c r="H6103" t="s">
        <v>20096</v>
      </c>
    </row>
    <row r="6104" spans="6:8">
      <c r="H6104" t="s">
        <v>20097</v>
      </c>
    </row>
    <row r="6105" spans="6:8">
      <c r="H6105" t="s">
        <v>20098</v>
      </c>
    </row>
    <row r="6106" spans="6:8">
      <c r="F6106" t="s">
        <v>10988</v>
      </c>
      <c r="G6106" t="s">
        <v>15379</v>
      </c>
      <c r="H6106" t="s">
        <v>20091</v>
      </c>
    </row>
    <row r="6107" spans="6:8">
      <c r="H6107" t="s">
        <v>19712</v>
      </c>
    </row>
    <row r="6108" spans="6:8">
      <c r="H6108" t="s">
        <v>19709</v>
      </c>
    </row>
    <row r="6109" spans="6:8">
      <c r="H6109" t="s">
        <v>20107</v>
      </c>
    </row>
    <row r="6110" spans="6:8">
      <c r="H6110" t="s">
        <v>20108</v>
      </c>
    </row>
    <row r="6111" spans="6:8">
      <c r="H6111" t="s">
        <v>19713</v>
      </c>
    </row>
    <row r="6112" spans="6:8">
      <c r="H6112" t="s">
        <v>19714</v>
      </c>
    </row>
    <row r="6113" spans="6:8">
      <c r="H6113" t="s">
        <v>20109</v>
      </c>
    </row>
    <row r="6114" spans="6:8">
      <c r="H6114" t="s">
        <v>20110</v>
      </c>
    </row>
    <row r="6115" spans="6:8">
      <c r="H6115" t="s">
        <v>20095</v>
      </c>
    </row>
    <row r="6116" spans="6:8">
      <c r="H6116" t="s">
        <v>20096</v>
      </c>
    </row>
    <row r="6117" spans="6:8">
      <c r="H6117" t="s">
        <v>20097</v>
      </c>
    </row>
    <row r="6118" spans="6:8">
      <c r="H6118" t="s">
        <v>20098</v>
      </c>
    </row>
    <row r="6119" spans="6:8">
      <c r="F6119" t="s">
        <v>10989</v>
      </c>
      <c r="G6119" t="s">
        <v>15380</v>
      </c>
      <c r="H6119" t="s">
        <v>20091</v>
      </c>
    </row>
    <row r="6120" spans="6:8">
      <c r="H6120" t="s">
        <v>19712</v>
      </c>
    </row>
    <row r="6121" spans="6:8">
      <c r="H6121" t="s">
        <v>19709</v>
      </c>
    </row>
    <row r="6122" spans="6:8">
      <c r="H6122" t="s">
        <v>20107</v>
      </c>
    </row>
    <row r="6123" spans="6:8">
      <c r="H6123" t="s">
        <v>20108</v>
      </c>
    </row>
    <row r="6124" spans="6:8">
      <c r="H6124" t="s">
        <v>19713</v>
      </c>
    </row>
    <row r="6125" spans="6:8">
      <c r="H6125" t="s">
        <v>19714</v>
      </c>
    </row>
    <row r="6126" spans="6:8">
      <c r="H6126" t="s">
        <v>20109</v>
      </c>
    </row>
    <row r="6127" spans="6:8">
      <c r="H6127" t="s">
        <v>20110</v>
      </c>
    </row>
    <row r="6128" spans="6:8">
      <c r="H6128" t="s">
        <v>20095</v>
      </c>
    </row>
    <row r="6129" spans="6:8">
      <c r="H6129" t="s">
        <v>20096</v>
      </c>
    </row>
    <row r="6130" spans="6:8">
      <c r="H6130" t="s">
        <v>20097</v>
      </c>
    </row>
    <row r="6131" spans="6:8">
      <c r="H6131" t="s">
        <v>20098</v>
      </c>
    </row>
    <row r="6132" spans="6:8">
      <c r="F6132" t="s">
        <v>10990</v>
      </c>
      <c r="G6132" t="s">
        <v>15381</v>
      </c>
      <c r="H6132" t="s">
        <v>20091</v>
      </c>
    </row>
    <row r="6133" spans="6:8">
      <c r="H6133" t="s">
        <v>19712</v>
      </c>
    </row>
    <row r="6134" spans="6:8">
      <c r="H6134" t="s">
        <v>19709</v>
      </c>
    </row>
    <row r="6135" spans="6:8">
      <c r="H6135" t="s">
        <v>20107</v>
      </c>
    </row>
    <row r="6136" spans="6:8">
      <c r="H6136" t="s">
        <v>20108</v>
      </c>
    </row>
    <row r="6137" spans="6:8">
      <c r="H6137" t="s">
        <v>19713</v>
      </c>
    </row>
    <row r="6138" spans="6:8">
      <c r="H6138" t="s">
        <v>19714</v>
      </c>
    </row>
    <row r="6139" spans="6:8">
      <c r="H6139" t="s">
        <v>20109</v>
      </c>
    </row>
    <row r="6140" spans="6:8">
      <c r="H6140" t="s">
        <v>20110</v>
      </c>
    </row>
    <row r="6141" spans="6:8">
      <c r="H6141" t="s">
        <v>20111</v>
      </c>
    </row>
    <row r="6142" spans="6:8">
      <c r="H6142" t="s">
        <v>20112</v>
      </c>
    </row>
    <row r="6143" spans="6:8">
      <c r="H6143" t="s">
        <v>20113</v>
      </c>
    </row>
    <row r="6144" spans="6:8">
      <c r="H6144" t="s">
        <v>20095</v>
      </c>
    </row>
    <row r="6145" spans="6:8">
      <c r="H6145" t="s">
        <v>20096</v>
      </c>
    </row>
    <row r="6146" spans="6:8">
      <c r="H6146" t="s">
        <v>20097</v>
      </c>
    </row>
    <row r="6147" spans="6:8">
      <c r="H6147" t="s">
        <v>20098</v>
      </c>
    </row>
    <row r="6148" spans="6:8">
      <c r="F6148" t="s">
        <v>10991</v>
      </c>
      <c r="G6148" t="s">
        <v>15382</v>
      </c>
      <c r="H6148" t="s">
        <v>20091</v>
      </c>
    </row>
    <row r="6149" spans="6:8">
      <c r="H6149" t="s">
        <v>19712</v>
      </c>
    </row>
    <row r="6150" spans="6:8">
      <c r="H6150" t="s">
        <v>20092</v>
      </c>
    </row>
    <row r="6151" spans="6:8">
      <c r="H6151" t="s">
        <v>20093</v>
      </c>
    </row>
    <row r="6152" spans="6:8">
      <c r="H6152" t="s">
        <v>20094</v>
      </c>
    </row>
    <row r="6153" spans="6:8">
      <c r="H6153" t="s">
        <v>20095</v>
      </c>
    </row>
    <row r="6154" spans="6:8">
      <c r="H6154" t="s">
        <v>20096</v>
      </c>
    </row>
    <row r="6155" spans="6:8">
      <c r="H6155" t="s">
        <v>20097</v>
      </c>
    </row>
    <row r="6156" spans="6:8">
      <c r="H6156" t="s">
        <v>20098</v>
      </c>
    </row>
    <row r="6157" spans="6:8">
      <c r="H6157" t="s">
        <v>20099</v>
      </c>
    </row>
    <row r="6158" spans="6:8">
      <c r="H6158" t="s">
        <v>20100</v>
      </c>
    </row>
    <row r="6159" spans="6:8">
      <c r="H6159" t="s">
        <v>20101</v>
      </c>
    </row>
    <row r="6160" spans="6:8">
      <c r="H6160" t="s">
        <v>20102</v>
      </c>
    </row>
    <row r="6161" spans="6:8">
      <c r="F6161" t="s">
        <v>10992</v>
      </c>
      <c r="G6161" t="s">
        <v>15383</v>
      </c>
      <c r="H6161" t="s">
        <v>20091</v>
      </c>
    </row>
    <row r="6162" spans="6:8">
      <c r="H6162" t="s">
        <v>19712</v>
      </c>
    </row>
    <row r="6163" spans="6:8">
      <c r="H6163" t="s">
        <v>20092</v>
      </c>
    </row>
    <row r="6164" spans="6:8">
      <c r="H6164" t="s">
        <v>20093</v>
      </c>
    </row>
    <row r="6165" spans="6:8">
      <c r="H6165" t="s">
        <v>20094</v>
      </c>
    </row>
    <row r="6166" spans="6:8">
      <c r="H6166" t="s">
        <v>20095</v>
      </c>
    </row>
    <row r="6167" spans="6:8">
      <c r="H6167" t="s">
        <v>20096</v>
      </c>
    </row>
    <row r="6168" spans="6:8">
      <c r="H6168" t="s">
        <v>20097</v>
      </c>
    </row>
    <row r="6169" spans="6:8">
      <c r="H6169" t="s">
        <v>20098</v>
      </c>
    </row>
    <row r="6170" spans="6:8">
      <c r="H6170" t="s">
        <v>20099</v>
      </c>
    </row>
    <row r="6171" spans="6:8">
      <c r="H6171" t="s">
        <v>20100</v>
      </c>
    </row>
    <row r="6172" spans="6:8">
      <c r="H6172" t="s">
        <v>20101</v>
      </c>
    </row>
    <row r="6173" spans="6:8">
      <c r="H6173" t="s">
        <v>20102</v>
      </c>
    </row>
    <row r="6174" spans="6:8">
      <c r="F6174" t="s">
        <v>10993</v>
      </c>
      <c r="G6174" t="s">
        <v>15384</v>
      </c>
      <c r="H6174" t="s">
        <v>20091</v>
      </c>
    </row>
    <row r="6175" spans="6:8">
      <c r="H6175" t="s">
        <v>19712</v>
      </c>
    </row>
    <row r="6176" spans="6:8">
      <c r="H6176" t="s">
        <v>19709</v>
      </c>
    </row>
    <row r="6177" spans="6:8">
      <c r="H6177" t="s">
        <v>20107</v>
      </c>
    </row>
    <row r="6178" spans="6:8">
      <c r="H6178" t="s">
        <v>20108</v>
      </c>
    </row>
    <row r="6179" spans="6:8">
      <c r="H6179" t="s">
        <v>19713</v>
      </c>
    </row>
    <row r="6180" spans="6:8">
      <c r="H6180" t="s">
        <v>19714</v>
      </c>
    </row>
    <row r="6181" spans="6:8">
      <c r="H6181" t="s">
        <v>20109</v>
      </c>
    </row>
    <row r="6182" spans="6:8">
      <c r="H6182" t="s">
        <v>20095</v>
      </c>
    </row>
    <row r="6183" spans="6:8">
      <c r="H6183" t="s">
        <v>20096</v>
      </c>
    </row>
    <row r="6184" spans="6:8">
      <c r="H6184" t="s">
        <v>20097</v>
      </c>
    </row>
    <row r="6185" spans="6:8">
      <c r="H6185" t="s">
        <v>20098</v>
      </c>
    </row>
    <row r="6186" spans="6:8">
      <c r="F6186" t="s">
        <v>10994</v>
      </c>
      <c r="G6186" t="s">
        <v>15385</v>
      </c>
      <c r="H6186" t="s">
        <v>20091</v>
      </c>
    </row>
    <row r="6187" spans="6:8">
      <c r="H6187" t="s">
        <v>19712</v>
      </c>
    </row>
    <row r="6188" spans="6:8">
      <c r="H6188" t="s">
        <v>19709</v>
      </c>
    </row>
    <row r="6189" spans="6:8">
      <c r="H6189" t="s">
        <v>20107</v>
      </c>
    </row>
    <row r="6190" spans="6:8">
      <c r="H6190" t="s">
        <v>20108</v>
      </c>
    </row>
    <row r="6191" spans="6:8">
      <c r="H6191" t="s">
        <v>19713</v>
      </c>
    </row>
    <row r="6192" spans="6:8">
      <c r="H6192" t="s">
        <v>19714</v>
      </c>
    </row>
    <row r="6193" spans="6:8">
      <c r="H6193" t="s">
        <v>20109</v>
      </c>
    </row>
    <row r="6194" spans="6:8">
      <c r="H6194" t="s">
        <v>20095</v>
      </c>
    </row>
    <row r="6195" spans="6:8">
      <c r="H6195" t="s">
        <v>20096</v>
      </c>
    </row>
    <row r="6196" spans="6:8">
      <c r="H6196" t="s">
        <v>20097</v>
      </c>
    </row>
    <row r="6197" spans="6:8">
      <c r="H6197" t="s">
        <v>20098</v>
      </c>
    </row>
    <row r="6198" spans="6:8">
      <c r="F6198" t="s">
        <v>10995</v>
      </c>
      <c r="G6198" t="s">
        <v>15386</v>
      </c>
      <c r="H6198" t="s">
        <v>20091</v>
      </c>
    </row>
    <row r="6199" spans="6:8">
      <c r="H6199" t="s">
        <v>20095</v>
      </c>
    </row>
    <row r="6200" spans="6:8">
      <c r="F6200" t="s">
        <v>10996</v>
      </c>
      <c r="G6200" t="s">
        <v>15387</v>
      </c>
      <c r="H6200" t="s">
        <v>20091</v>
      </c>
    </row>
    <row r="6201" spans="6:8">
      <c r="H6201" t="s">
        <v>20095</v>
      </c>
    </row>
    <row r="6202" spans="6:8">
      <c r="F6202" t="s">
        <v>10997</v>
      </c>
      <c r="G6202" t="s">
        <v>15388</v>
      </c>
      <c r="H6202" t="s">
        <v>20091</v>
      </c>
    </row>
    <row r="6203" spans="6:8">
      <c r="H6203" t="s">
        <v>19712</v>
      </c>
    </row>
    <row r="6204" spans="6:8">
      <c r="H6204" t="s">
        <v>19709</v>
      </c>
    </row>
    <row r="6205" spans="6:8">
      <c r="H6205" t="s">
        <v>19706</v>
      </c>
    </row>
    <row r="6206" spans="6:8">
      <c r="H6206" t="s">
        <v>20108</v>
      </c>
    </row>
    <row r="6207" spans="6:8">
      <c r="H6207" t="s">
        <v>19713</v>
      </c>
    </row>
    <row r="6208" spans="6:8">
      <c r="H6208" t="s">
        <v>19714</v>
      </c>
    </row>
    <row r="6209" spans="6:8">
      <c r="H6209" t="s">
        <v>20109</v>
      </c>
    </row>
    <row r="6210" spans="6:8">
      <c r="H6210" t="s">
        <v>20110</v>
      </c>
    </row>
    <row r="6211" spans="6:8">
      <c r="H6211" t="s">
        <v>20111</v>
      </c>
    </row>
    <row r="6212" spans="6:8">
      <c r="H6212" t="s">
        <v>20112</v>
      </c>
    </row>
    <row r="6213" spans="6:8">
      <c r="H6213" t="s">
        <v>20113</v>
      </c>
    </row>
    <row r="6214" spans="6:8">
      <c r="H6214" t="s">
        <v>20095</v>
      </c>
    </row>
    <row r="6215" spans="6:8">
      <c r="H6215" t="s">
        <v>20096</v>
      </c>
    </row>
    <row r="6216" spans="6:8">
      <c r="H6216" t="s">
        <v>20097</v>
      </c>
    </row>
    <row r="6217" spans="6:8">
      <c r="H6217" t="s">
        <v>20098</v>
      </c>
    </row>
    <row r="6218" spans="6:8">
      <c r="F6218" t="s">
        <v>10998</v>
      </c>
      <c r="G6218" t="s">
        <v>15389</v>
      </c>
      <c r="H6218" t="s">
        <v>20091</v>
      </c>
    </row>
    <row r="6219" spans="6:8">
      <c r="H6219" t="s">
        <v>19712</v>
      </c>
    </row>
    <row r="6220" spans="6:8">
      <c r="H6220" t="s">
        <v>20095</v>
      </c>
    </row>
    <row r="6221" spans="6:8">
      <c r="H6221" t="s">
        <v>20096</v>
      </c>
    </row>
    <row r="6222" spans="6:8">
      <c r="H6222" t="s">
        <v>20097</v>
      </c>
    </row>
    <row r="6223" spans="6:8">
      <c r="H6223" t="s">
        <v>20098</v>
      </c>
    </row>
    <row r="6224" spans="6:8">
      <c r="H6224" t="s">
        <v>19709</v>
      </c>
    </row>
    <row r="6225" spans="6:8">
      <c r="H6225" t="s">
        <v>19706</v>
      </c>
    </row>
    <row r="6226" spans="6:8">
      <c r="H6226" t="s">
        <v>20099</v>
      </c>
    </row>
    <row r="6227" spans="6:8">
      <c r="H6227" t="s">
        <v>20100</v>
      </c>
    </row>
    <row r="6228" spans="6:8">
      <c r="H6228" t="s">
        <v>20101</v>
      </c>
    </row>
    <row r="6229" spans="6:8">
      <c r="H6229" t="s">
        <v>20102</v>
      </c>
    </row>
    <row r="6230" spans="6:8">
      <c r="F6230" t="s">
        <v>10999</v>
      </c>
      <c r="G6230" t="s">
        <v>15390</v>
      </c>
      <c r="H6230" t="s">
        <v>20091</v>
      </c>
    </row>
    <row r="6231" spans="6:8">
      <c r="H6231" t="s">
        <v>19712</v>
      </c>
    </row>
    <row r="6232" spans="6:8">
      <c r="H6232" t="s">
        <v>20095</v>
      </c>
    </row>
    <row r="6233" spans="6:8">
      <c r="H6233" t="s">
        <v>20096</v>
      </c>
    </row>
    <row r="6234" spans="6:8">
      <c r="H6234" t="s">
        <v>20097</v>
      </c>
    </row>
    <row r="6235" spans="6:8">
      <c r="H6235" t="s">
        <v>20098</v>
      </c>
    </row>
    <row r="6236" spans="6:8">
      <c r="F6236" t="s">
        <v>11000</v>
      </c>
      <c r="G6236" t="s">
        <v>15391</v>
      </c>
      <c r="H6236" t="s">
        <v>20091</v>
      </c>
    </row>
    <row r="6237" spans="6:8">
      <c r="H6237" t="s">
        <v>19712</v>
      </c>
    </row>
    <row r="6238" spans="6:8">
      <c r="H6238" t="s">
        <v>20095</v>
      </c>
    </row>
    <row r="6239" spans="6:8">
      <c r="H6239" t="s">
        <v>20096</v>
      </c>
    </row>
    <row r="6240" spans="6:8">
      <c r="H6240" t="s">
        <v>20097</v>
      </c>
    </row>
    <row r="6241" spans="6:8">
      <c r="H6241" t="s">
        <v>20098</v>
      </c>
    </row>
    <row r="6242" spans="6:8">
      <c r="F6242" t="s">
        <v>11001</v>
      </c>
      <c r="G6242" t="s">
        <v>15392</v>
      </c>
      <c r="H6242" t="s">
        <v>20091</v>
      </c>
    </row>
    <row r="6243" spans="6:8">
      <c r="H6243" t="s">
        <v>19712</v>
      </c>
    </row>
    <row r="6244" spans="6:8">
      <c r="H6244" t="s">
        <v>20095</v>
      </c>
    </row>
    <row r="6245" spans="6:8">
      <c r="H6245" t="s">
        <v>20096</v>
      </c>
    </row>
    <row r="6246" spans="6:8">
      <c r="H6246" t="s">
        <v>20097</v>
      </c>
    </row>
    <row r="6247" spans="6:8">
      <c r="H6247" t="s">
        <v>20098</v>
      </c>
    </row>
    <row r="6248" spans="6:8">
      <c r="F6248" t="s">
        <v>11002</v>
      </c>
      <c r="G6248" t="s">
        <v>15393</v>
      </c>
      <c r="H6248" t="s">
        <v>20091</v>
      </c>
    </row>
    <row r="6249" spans="6:8">
      <c r="H6249" t="s">
        <v>19712</v>
      </c>
    </row>
    <row r="6250" spans="6:8">
      <c r="H6250" t="s">
        <v>20095</v>
      </c>
    </row>
    <row r="6251" spans="6:8">
      <c r="H6251" t="s">
        <v>20096</v>
      </c>
    </row>
    <row r="6252" spans="6:8">
      <c r="H6252" t="s">
        <v>20097</v>
      </c>
    </row>
    <row r="6253" spans="6:8">
      <c r="H6253" t="s">
        <v>20098</v>
      </c>
    </row>
    <row r="6254" spans="6:8">
      <c r="F6254" t="s">
        <v>11003</v>
      </c>
      <c r="G6254" t="s">
        <v>15394</v>
      </c>
      <c r="H6254" t="s">
        <v>20091</v>
      </c>
    </row>
    <row r="6255" spans="6:8">
      <c r="H6255" t="s">
        <v>19712</v>
      </c>
    </row>
    <row r="6256" spans="6:8">
      <c r="H6256" t="s">
        <v>19709</v>
      </c>
    </row>
    <row r="6257" spans="6:8">
      <c r="H6257" t="s">
        <v>20107</v>
      </c>
    </row>
    <row r="6258" spans="6:8">
      <c r="H6258" t="s">
        <v>20108</v>
      </c>
    </row>
    <row r="6259" spans="6:8">
      <c r="H6259" t="s">
        <v>19713</v>
      </c>
    </row>
    <row r="6260" spans="6:8">
      <c r="H6260" t="s">
        <v>19714</v>
      </c>
    </row>
    <row r="6261" spans="6:8">
      <c r="H6261" t="s">
        <v>20109</v>
      </c>
    </row>
    <row r="6262" spans="6:8">
      <c r="H6262" t="s">
        <v>20110</v>
      </c>
    </row>
    <row r="6263" spans="6:8">
      <c r="H6263" t="s">
        <v>20111</v>
      </c>
    </row>
    <row r="6264" spans="6:8">
      <c r="H6264" t="s">
        <v>20112</v>
      </c>
    </row>
    <row r="6265" spans="6:8">
      <c r="H6265" t="s">
        <v>20095</v>
      </c>
    </row>
    <row r="6266" spans="6:8">
      <c r="H6266" t="s">
        <v>20096</v>
      </c>
    </row>
    <row r="6267" spans="6:8">
      <c r="H6267" t="s">
        <v>20097</v>
      </c>
    </row>
    <row r="6268" spans="6:8">
      <c r="H6268" t="s">
        <v>20098</v>
      </c>
    </row>
    <row r="6269" spans="6:8">
      <c r="F6269" t="s">
        <v>11004</v>
      </c>
      <c r="G6269" t="s">
        <v>15395</v>
      </c>
      <c r="H6269" t="s">
        <v>20091</v>
      </c>
    </row>
    <row r="6270" spans="6:8">
      <c r="H6270" t="s">
        <v>19712</v>
      </c>
    </row>
    <row r="6271" spans="6:8">
      <c r="H6271" t="s">
        <v>19709</v>
      </c>
    </row>
    <row r="6272" spans="6:8">
      <c r="H6272" t="s">
        <v>19706</v>
      </c>
    </row>
    <row r="6273" spans="6:8">
      <c r="H6273" t="s">
        <v>20107</v>
      </c>
    </row>
    <row r="6274" spans="6:8">
      <c r="H6274" t="s">
        <v>20108</v>
      </c>
    </row>
    <row r="6275" spans="6:8">
      <c r="H6275" t="s">
        <v>19713</v>
      </c>
    </row>
    <row r="6276" spans="6:8">
      <c r="H6276" t="s">
        <v>19714</v>
      </c>
    </row>
    <row r="6277" spans="6:8">
      <c r="H6277" t="s">
        <v>20109</v>
      </c>
    </row>
    <row r="6278" spans="6:8">
      <c r="H6278" t="s">
        <v>20095</v>
      </c>
    </row>
    <row r="6279" spans="6:8">
      <c r="H6279" t="s">
        <v>20096</v>
      </c>
    </row>
    <row r="6280" spans="6:8">
      <c r="H6280" t="s">
        <v>20097</v>
      </c>
    </row>
    <row r="6281" spans="6:8">
      <c r="H6281" t="s">
        <v>20098</v>
      </c>
    </row>
    <row r="6282" spans="6:8">
      <c r="F6282" t="s">
        <v>11005</v>
      </c>
      <c r="G6282" t="s">
        <v>15396</v>
      </c>
      <c r="H6282" t="s">
        <v>20091</v>
      </c>
    </row>
    <row r="6283" spans="6:8">
      <c r="H6283" t="s">
        <v>19712</v>
      </c>
    </row>
    <row r="6284" spans="6:8">
      <c r="H6284" t="s">
        <v>19709</v>
      </c>
    </row>
    <row r="6285" spans="6:8">
      <c r="H6285" t="s">
        <v>20107</v>
      </c>
    </row>
    <row r="6286" spans="6:8">
      <c r="H6286" t="s">
        <v>20108</v>
      </c>
    </row>
    <row r="6287" spans="6:8">
      <c r="H6287" t="s">
        <v>19713</v>
      </c>
    </row>
    <row r="6288" spans="6:8">
      <c r="H6288" t="s">
        <v>19714</v>
      </c>
    </row>
    <row r="6289" spans="6:8">
      <c r="H6289" t="s">
        <v>20109</v>
      </c>
    </row>
    <row r="6290" spans="6:8">
      <c r="H6290" t="s">
        <v>20110</v>
      </c>
    </row>
    <row r="6291" spans="6:8">
      <c r="H6291" t="s">
        <v>20111</v>
      </c>
    </row>
    <row r="6292" spans="6:8">
      <c r="H6292" t="s">
        <v>20112</v>
      </c>
    </row>
    <row r="6293" spans="6:8">
      <c r="H6293" t="s">
        <v>20113</v>
      </c>
    </row>
    <row r="6294" spans="6:8">
      <c r="H6294" t="s">
        <v>20095</v>
      </c>
    </row>
    <row r="6295" spans="6:8">
      <c r="H6295" t="s">
        <v>20096</v>
      </c>
    </row>
    <row r="6296" spans="6:8">
      <c r="H6296" t="s">
        <v>20097</v>
      </c>
    </row>
    <row r="6297" spans="6:8">
      <c r="H6297" t="s">
        <v>20098</v>
      </c>
    </row>
    <row r="6298" spans="6:8">
      <c r="F6298" t="s">
        <v>11006</v>
      </c>
      <c r="G6298" t="s">
        <v>15397</v>
      </c>
      <c r="H6298" t="s">
        <v>20091</v>
      </c>
    </row>
    <row r="6299" spans="6:8">
      <c r="H6299" t="s">
        <v>19712</v>
      </c>
    </row>
    <row r="6300" spans="6:8">
      <c r="H6300" t="s">
        <v>19709</v>
      </c>
    </row>
    <row r="6301" spans="6:8">
      <c r="H6301" t="s">
        <v>20092</v>
      </c>
    </row>
    <row r="6302" spans="6:8">
      <c r="H6302" t="s">
        <v>20093</v>
      </c>
    </row>
    <row r="6303" spans="6:8">
      <c r="H6303" t="s">
        <v>20095</v>
      </c>
    </row>
    <row r="6304" spans="6:8">
      <c r="H6304" t="s">
        <v>20096</v>
      </c>
    </row>
    <row r="6305" spans="6:8">
      <c r="H6305" t="s">
        <v>20097</v>
      </c>
    </row>
    <row r="6306" spans="6:8">
      <c r="H6306" t="s">
        <v>20098</v>
      </c>
    </row>
    <row r="6307" spans="6:8">
      <c r="H6307" t="s">
        <v>20099</v>
      </c>
    </row>
    <row r="6308" spans="6:8">
      <c r="H6308" t="s">
        <v>20100</v>
      </c>
    </row>
    <row r="6309" spans="6:8">
      <c r="F6309" t="s">
        <v>11007</v>
      </c>
      <c r="G6309" t="s">
        <v>15398</v>
      </c>
      <c r="H6309" t="s">
        <v>20091</v>
      </c>
    </row>
    <row r="6310" spans="6:8">
      <c r="H6310" t="s">
        <v>19712</v>
      </c>
    </row>
    <row r="6311" spans="6:8">
      <c r="H6311" t="s">
        <v>20095</v>
      </c>
    </row>
    <row r="6312" spans="6:8">
      <c r="H6312" t="s">
        <v>20096</v>
      </c>
    </row>
    <row r="6313" spans="6:8">
      <c r="H6313" t="s">
        <v>20097</v>
      </c>
    </row>
    <row r="6314" spans="6:8">
      <c r="H6314" t="s">
        <v>19709</v>
      </c>
    </row>
    <row r="6315" spans="6:8">
      <c r="H6315" t="s">
        <v>19706</v>
      </c>
    </row>
    <row r="6316" spans="6:8">
      <c r="H6316" t="s">
        <v>20098</v>
      </c>
    </row>
    <row r="6317" spans="6:8">
      <c r="H6317" t="s">
        <v>20099</v>
      </c>
    </row>
    <row r="6318" spans="6:8">
      <c r="H6318" t="s">
        <v>20100</v>
      </c>
    </row>
    <row r="6319" spans="6:8">
      <c r="F6319" t="s">
        <v>11008</v>
      </c>
      <c r="G6319" t="s">
        <v>15399</v>
      </c>
      <c r="H6319" t="s">
        <v>20091</v>
      </c>
    </row>
    <row r="6320" spans="6:8">
      <c r="H6320" t="s">
        <v>19712</v>
      </c>
    </row>
    <row r="6321" spans="6:8">
      <c r="H6321" t="s">
        <v>20095</v>
      </c>
    </row>
    <row r="6322" spans="6:8">
      <c r="H6322" t="s">
        <v>20096</v>
      </c>
    </row>
    <row r="6323" spans="6:8">
      <c r="H6323" t="s">
        <v>20097</v>
      </c>
    </row>
    <row r="6324" spans="6:8">
      <c r="F6324" t="s">
        <v>11009</v>
      </c>
      <c r="G6324" t="s">
        <v>15400</v>
      </c>
      <c r="H6324" t="s">
        <v>20091</v>
      </c>
    </row>
    <row r="6325" spans="6:8">
      <c r="H6325" t="s">
        <v>19712</v>
      </c>
    </row>
    <row r="6326" spans="6:8">
      <c r="H6326" t="s">
        <v>20095</v>
      </c>
    </row>
    <row r="6327" spans="6:8">
      <c r="H6327" t="s">
        <v>20096</v>
      </c>
    </row>
    <row r="6328" spans="6:8">
      <c r="H6328" t="s">
        <v>20097</v>
      </c>
    </row>
    <row r="6329" spans="6:8">
      <c r="F6329" t="s">
        <v>11010</v>
      </c>
      <c r="G6329" t="s">
        <v>15401</v>
      </c>
      <c r="H6329" t="s">
        <v>20091</v>
      </c>
    </row>
    <row r="6330" spans="6:8">
      <c r="H6330" t="s">
        <v>19712</v>
      </c>
    </row>
    <row r="6331" spans="6:8">
      <c r="H6331" t="s">
        <v>20095</v>
      </c>
    </row>
    <row r="6332" spans="6:8">
      <c r="H6332" t="s">
        <v>20096</v>
      </c>
    </row>
    <row r="6333" spans="6:8">
      <c r="H6333" t="s">
        <v>20097</v>
      </c>
    </row>
    <row r="6334" spans="6:8">
      <c r="F6334" t="s">
        <v>11011</v>
      </c>
      <c r="G6334" t="s">
        <v>15402</v>
      </c>
      <c r="H6334" t="s">
        <v>20091</v>
      </c>
    </row>
    <row r="6335" spans="6:8">
      <c r="H6335" t="s">
        <v>19712</v>
      </c>
    </row>
    <row r="6336" spans="6:8">
      <c r="H6336" t="s">
        <v>20095</v>
      </c>
    </row>
    <row r="6337" spans="6:8">
      <c r="H6337" t="s">
        <v>20096</v>
      </c>
    </row>
    <row r="6338" spans="6:8">
      <c r="H6338" t="s">
        <v>20097</v>
      </c>
    </row>
    <row r="6339" spans="6:8">
      <c r="F6339" t="s">
        <v>11012</v>
      </c>
      <c r="G6339" t="s">
        <v>15403</v>
      </c>
      <c r="H6339" t="s">
        <v>20091</v>
      </c>
    </row>
    <row r="6340" spans="6:8">
      <c r="H6340" t="s">
        <v>19712</v>
      </c>
    </row>
    <row r="6341" spans="6:8">
      <c r="H6341" t="s">
        <v>19709</v>
      </c>
    </row>
    <row r="6342" spans="6:8">
      <c r="H6342" t="s">
        <v>20107</v>
      </c>
    </row>
    <row r="6343" spans="6:8">
      <c r="H6343" t="s">
        <v>20108</v>
      </c>
    </row>
    <row r="6344" spans="6:8">
      <c r="H6344" t="s">
        <v>19713</v>
      </c>
    </row>
    <row r="6345" spans="6:8">
      <c r="H6345" t="s">
        <v>19714</v>
      </c>
    </row>
    <row r="6346" spans="6:8">
      <c r="H6346" t="s">
        <v>20109</v>
      </c>
    </row>
    <row r="6347" spans="6:8">
      <c r="H6347" t="s">
        <v>20110</v>
      </c>
    </row>
    <row r="6348" spans="6:8">
      <c r="H6348" t="s">
        <v>20111</v>
      </c>
    </row>
    <row r="6349" spans="6:8">
      <c r="H6349" t="s">
        <v>20112</v>
      </c>
    </row>
    <row r="6350" spans="6:8">
      <c r="H6350" t="s">
        <v>20113</v>
      </c>
    </row>
    <row r="6351" spans="6:8">
      <c r="H6351" t="s">
        <v>20114</v>
      </c>
    </row>
    <row r="6352" spans="6:8">
      <c r="H6352" t="s">
        <v>20095</v>
      </c>
    </row>
    <row r="6353" spans="6:8">
      <c r="H6353" t="s">
        <v>20096</v>
      </c>
    </row>
    <row r="6354" spans="6:8">
      <c r="H6354" t="s">
        <v>20097</v>
      </c>
    </row>
    <row r="6355" spans="6:8">
      <c r="H6355" t="s">
        <v>20098</v>
      </c>
    </row>
    <row r="6356" spans="6:8">
      <c r="F6356" t="s">
        <v>11013</v>
      </c>
      <c r="G6356" t="s">
        <v>15404</v>
      </c>
      <c r="H6356" t="s">
        <v>20091</v>
      </c>
    </row>
    <row r="6357" spans="6:8">
      <c r="H6357" t="s">
        <v>19712</v>
      </c>
    </row>
    <row r="6358" spans="6:8">
      <c r="H6358" t="s">
        <v>19709</v>
      </c>
    </row>
    <row r="6359" spans="6:8">
      <c r="H6359" t="s">
        <v>20095</v>
      </c>
    </row>
    <row r="6360" spans="6:8">
      <c r="H6360" t="s">
        <v>20096</v>
      </c>
    </row>
    <row r="6361" spans="6:8">
      <c r="H6361" t="s">
        <v>20097</v>
      </c>
    </row>
    <row r="6362" spans="6:8">
      <c r="H6362" t="s">
        <v>20098</v>
      </c>
    </row>
    <row r="6363" spans="6:8">
      <c r="F6363" t="s">
        <v>11014</v>
      </c>
      <c r="G6363" t="s">
        <v>15405</v>
      </c>
      <c r="H6363" t="s">
        <v>20091</v>
      </c>
    </row>
    <row r="6364" spans="6:8">
      <c r="H6364" t="s">
        <v>19712</v>
      </c>
    </row>
    <row r="6365" spans="6:8">
      <c r="H6365" t="s">
        <v>19709</v>
      </c>
    </row>
    <row r="6366" spans="6:8">
      <c r="H6366" t="s">
        <v>19706</v>
      </c>
    </row>
    <row r="6367" spans="6:8">
      <c r="H6367" t="s">
        <v>20095</v>
      </c>
    </row>
    <row r="6368" spans="6:8">
      <c r="H6368" t="s">
        <v>20098</v>
      </c>
    </row>
    <row r="6369" spans="6:8">
      <c r="F6369" t="s">
        <v>11015</v>
      </c>
      <c r="G6369" t="s">
        <v>15406</v>
      </c>
      <c r="H6369" t="s">
        <v>20091</v>
      </c>
    </row>
    <row r="6370" spans="6:8">
      <c r="H6370" t="s">
        <v>19712</v>
      </c>
    </row>
    <row r="6371" spans="6:8">
      <c r="H6371" t="s">
        <v>19709</v>
      </c>
    </row>
    <row r="6372" spans="6:8">
      <c r="H6372" t="s">
        <v>19706</v>
      </c>
    </row>
    <row r="6373" spans="6:8">
      <c r="H6373" t="s">
        <v>20095</v>
      </c>
    </row>
    <row r="6374" spans="6:8">
      <c r="H6374" t="s">
        <v>20098</v>
      </c>
    </row>
    <row r="6375" spans="6:8">
      <c r="F6375" t="s">
        <v>11016</v>
      </c>
      <c r="G6375" t="s">
        <v>15407</v>
      </c>
      <c r="H6375" t="s">
        <v>20091</v>
      </c>
    </row>
    <row r="6376" spans="6:8">
      <c r="H6376" t="s">
        <v>19712</v>
      </c>
    </row>
    <row r="6377" spans="6:8">
      <c r="H6377" t="s">
        <v>19709</v>
      </c>
    </row>
    <row r="6378" spans="6:8">
      <c r="H6378" t="s">
        <v>19706</v>
      </c>
    </row>
    <row r="6379" spans="6:8">
      <c r="H6379" t="s">
        <v>19707</v>
      </c>
    </row>
    <row r="6380" spans="6:8">
      <c r="H6380" t="s">
        <v>20095</v>
      </c>
    </row>
    <row r="6381" spans="6:8">
      <c r="H6381" t="s">
        <v>20098</v>
      </c>
    </row>
    <row r="6382" spans="6:8">
      <c r="F6382" t="s">
        <v>11017</v>
      </c>
      <c r="G6382" t="s">
        <v>15408</v>
      </c>
      <c r="H6382" t="s">
        <v>20091</v>
      </c>
    </row>
    <row r="6383" spans="6:8">
      <c r="H6383" t="s">
        <v>19712</v>
      </c>
    </row>
    <row r="6384" spans="6:8">
      <c r="H6384" t="s">
        <v>19709</v>
      </c>
    </row>
    <row r="6385" spans="6:8">
      <c r="H6385" t="s">
        <v>19706</v>
      </c>
    </row>
    <row r="6386" spans="6:8">
      <c r="H6386" t="s">
        <v>20095</v>
      </c>
    </row>
    <row r="6387" spans="6:8">
      <c r="H6387" t="s">
        <v>20096</v>
      </c>
    </row>
    <row r="6388" spans="6:8">
      <c r="H6388" t="s">
        <v>20097</v>
      </c>
    </row>
    <row r="6389" spans="6:8">
      <c r="H6389" t="s">
        <v>20098</v>
      </c>
    </row>
    <row r="6390" spans="6:8">
      <c r="F6390" t="s">
        <v>11018</v>
      </c>
      <c r="G6390" t="s">
        <v>15409</v>
      </c>
      <c r="H6390" t="s">
        <v>20091</v>
      </c>
    </row>
    <row r="6391" spans="6:8">
      <c r="H6391" t="s">
        <v>19712</v>
      </c>
    </row>
    <row r="6392" spans="6:8">
      <c r="H6392" t="s">
        <v>19709</v>
      </c>
    </row>
    <row r="6393" spans="6:8">
      <c r="H6393" t="s">
        <v>20095</v>
      </c>
    </row>
    <row r="6394" spans="6:8">
      <c r="H6394" t="s">
        <v>20096</v>
      </c>
    </row>
    <row r="6395" spans="6:8">
      <c r="H6395" t="s">
        <v>20097</v>
      </c>
    </row>
    <row r="6396" spans="6:8">
      <c r="H6396" t="s">
        <v>20098</v>
      </c>
    </row>
    <row r="6397" spans="6:8">
      <c r="F6397" t="s">
        <v>11019</v>
      </c>
      <c r="G6397" t="s">
        <v>15410</v>
      </c>
      <c r="H6397" t="s">
        <v>20091</v>
      </c>
    </row>
    <row r="6398" spans="6:8">
      <c r="H6398" t="s">
        <v>19712</v>
      </c>
    </row>
    <row r="6399" spans="6:8">
      <c r="H6399" t="s">
        <v>19709</v>
      </c>
    </row>
    <row r="6400" spans="6:8">
      <c r="H6400" t="s">
        <v>20107</v>
      </c>
    </row>
    <row r="6401" spans="6:8">
      <c r="H6401" t="s">
        <v>20108</v>
      </c>
    </row>
    <row r="6402" spans="6:8">
      <c r="H6402" t="s">
        <v>19713</v>
      </c>
    </row>
    <row r="6403" spans="6:8">
      <c r="H6403" t="s">
        <v>19714</v>
      </c>
    </row>
    <row r="6404" spans="6:8">
      <c r="H6404" t="s">
        <v>20109</v>
      </c>
    </row>
    <row r="6405" spans="6:8">
      <c r="H6405" t="s">
        <v>20110</v>
      </c>
    </row>
    <row r="6406" spans="6:8">
      <c r="H6406" t="s">
        <v>20095</v>
      </c>
    </row>
    <row r="6407" spans="6:8">
      <c r="H6407" t="s">
        <v>20096</v>
      </c>
    </row>
    <row r="6408" spans="6:8">
      <c r="H6408" t="s">
        <v>20097</v>
      </c>
    </row>
    <row r="6409" spans="6:8">
      <c r="H6409" t="s">
        <v>20098</v>
      </c>
    </row>
    <row r="6410" spans="6:8">
      <c r="H6410" t="s">
        <v>20099</v>
      </c>
    </row>
    <row r="6411" spans="6:8">
      <c r="F6411" t="s">
        <v>11020</v>
      </c>
      <c r="G6411" t="s">
        <v>15411</v>
      </c>
      <c r="H6411" t="s">
        <v>20091</v>
      </c>
    </row>
    <row r="6412" spans="6:8">
      <c r="H6412" t="s">
        <v>19712</v>
      </c>
    </row>
    <row r="6413" spans="6:8">
      <c r="H6413" t="s">
        <v>19709</v>
      </c>
    </row>
    <row r="6414" spans="6:8">
      <c r="H6414" t="s">
        <v>20107</v>
      </c>
    </row>
    <row r="6415" spans="6:8">
      <c r="H6415" t="s">
        <v>20108</v>
      </c>
    </row>
    <row r="6416" spans="6:8">
      <c r="H6416" t="s">
        <v>19713</v>
      </c>
    </row>
    <row r="6417" spans="6:8">
      <c r="H6417" t="s">
        <v>19714</v>
      </c>
    </row>
    <row r="6418" spans="6:8">
      <c r="H6418" t="s">
        <v>20109</v>
      </c>
    </row>
    <row r="6419" spans="6:8">
      <c r="H6419" t="s">
        <v>20110</v>
      </c>
    </row>
    <row r="6420" spans="6:8">
      <c r="H6420" t="s">
        <v>20095</v>
      </c>
    </row>
    <row r="6421" spans="6:8">
      <c r="H6421" t="s">
        <v>20096</v>
      </c>
    </row>
    <row r="6422" spans="6:8">
      <c r="H6422" t="s">
        <v>20097</v>
      </c>
    </row>
    <row r="6423" spans="6:8">
      <c r="H6423" t="s">
        <v>20098</v>
      </c>
    </row>
    <row r="6424" spans="6:8">
      <c r="F6424" t="s">
        <v>11021</v>
      </c>
      <c r="G6424" t="s">
        <v>15412</v>
      </c>
      <c r="H6424" t="s">
        <v>20091</v>
      </c>
    </row>
    <row r="6425" spans="6:8">
      <c r="H6425" t="s">
        <v>19712</v>
      </c>
    </row>
    <row r="6426" spans="6:8">
      <c r="H6426" t="s">
        <v>19709</v>
      </c>
    </row>
    <row r="6427" spans="6:8">
      <c r="H6427" t="s">
        <v>20107</v>
      </c>
    </row>
    <row r="6428" spans="6:8">
      <c r="H6428" t="s">
        <v>20108</v>
      </c>
    </row>
    <row r="6429" spans="6:8">
      <c r="H6429" t="s">
        <v>19713</v>
      </c>
    </row>
    <row r="6430" spans="6:8">
      <c r="H6430" t="s">
        <v>19714</v>
      </c>
    </row>
    <row r="6431" spans="6:8">
      <c r="H6431" t="s">
        <v>20109</v>
      </c>
    </row>
    <row r="6432" spans="6:8">
      <c r="H6432" t="s">
        <v>20110</v>
      </c>
    </row>
    <row r="6433" spans="6:8">
      <c r="H6433" t="s">
        <v>20095</v>
      </c>
    </row>
    <row r="6434" spans="6:8">
      <c r="H6434" t="s">
        <v>20096</v>
      </c>
    </row>
    <row r="6435" spans="6:8">
      <c r="H6435" t="s">
        <v>20097</v>
      </c>
    </row>
    <row r="6436" spans="6:8">
      <c r="H6436" t="s">
        <v>20098</v>
      </c>
    </row>
    <row r="6437" spans="6:8">
      <c r="H6437" t="s">
        <v>20099</v>
      </c>
    </row>
    <row r="6438" spans="6:8">
      <c r="F6438" t="s">
        <v>11022</v>
      </c>
      <c r="G6438" t="s">
        <v>15413</v>
      </c>
      <c r="H6438" t="s">
        <v>20091</v>
      </c>
    </row>
    <row r="6439" spans="6:8">
      <c r="H6439" t="s">
        <v>19712</v>
      </c>
    </row>
    <row r="6440" spans="6:8">
      <c r="H6440" t="s">
        <v>19709</v>
      </c>
    </row>
    <row r="6441" spans="6:8">
      <c r="H6441" t="s">
        <v>20107</v>
      </c>
    </row>
    <row r="6442" spans="6:8">
      <c r="H6442" t="s">
        <v>20108</v>
      </c>
    </row>
    <row r="6443" spans="6:8">
      <c r="H6443" t="s">
        <v>19713</v>
      </c>
    </row>
    <row r="6444" spans="6:8">
      <c r="H6444" t="s">
        <v>19714</v>
      </c>
    </row>
    <row r="6445" spans="6:8">
      <c r="H6445" t="s">
        <v>20109</v>
      </c>
    </row>
    <row r="6446" spans="6:8">
      <c r="H6446" t="s">
        <v>20110</v>
      </c>
    </row>
    <row r="6447" spans="6:8">
      <c r="H6447" t="s">
        <v>20111</v>
      </c>
    </row>
    <row r="6448" spans="6:8">
      <c r="H6448" t="s">
        <v>20112</v>
      </c>
    </row>
    <row r="6449" spans="6:8">
      <c r="H6449" t="s">
        <v>20113</v>
      </c>
    </row>
    <row r="6450" spans="6:8">
      <c r="H6450" t="s">
        <v>20095</v>
      </c>
    </row>
    <row r="6451" spans="6:8">
      <c r="H6451" t="s">
        <v>20096</v>
      </c>
    </row>
    <row r="6452" spans="6:8">
      <c r="H6452" t="s">
        <v>20097</v>
      </c>
    </row>
    <row r="6453" spans="6:8">
      <c r="H6453" t="s">
        <v>20098</v>
      </c>
    </row>
    <row r="6454" spans="6:8">
      <c r="F6454" t="s">
        <v>11023</v>
      </c>
      <c r="G6454" t="s">
        <v>15414</v>
      </c>
      <c r="H6454" t="s">
        <v>20091</v>
      </c>
    </row>
    <row r="6455" spans="6:8">
      <c r="H6455" t="s">
        <v>19712</v>
      </c>
    </row>
    <row r="6456" spans="6:8">
      <c r="H6456" t="s">
        <v>20092</v>
      </c>
    </row>
    <row r="6457" spans="6:8">
      <c r="H6457" t="s">
        <v>20093</v>
      </c>
    </row>
    <row r="6458" spans="6:8">
      <c r="H6458" t="s">
        <v>20094</v>
      </c>
    </row>
    <row r="6459" spans="6:8">
      <c r="H6459" t="s">
        <v>20095</v>
      </c>
    </row>
    <row r="6460" spans="6:8">
      <c r="H6460" t="s">
        <v>20096</v>
      </c>
    </row>
    <row r="6461" spans="6:8">
      <c r="H6461" t="s">
        <v>20097</v>
      </c>
    </row>
    <row r="6462" spans="6:8">
      <c r="H6462" t="s">
        <v>20098</v>
      </c>
    </row>
    <row r="6463" spans="6:8">
      <c r="H6463" t="s">
        <v>20099</v>
      </c>
    </row>
    <row r="6464" spans="6:8">
      <c r="H6464" t="s">
        <v>20100</v>
      </c>
    </row>
    <row r="6465" spans="6:8">
      <c r="H6465" t="s">
        <v>20101</v>
      </c>
    </row>
    <row r="6466" spans="6:8">
      <c r="H6466" t="s">
        <v>20102</v>
      </c>
    </row>
    <row r="6467" spans="6:8">
      <c r="F6467" t="s">
        <v>11024</v>
      </c>
      <c r="G6467" t="s">
        <v>15415</v>
      </c>
      <c r="H6467" t="s">
        <v>20091</v>
      </c>
    </row>
    <row r="6468" spans="6:8">
      <c r="H6468" t="s">
        <v>19712</v>
      </c>
    </row>
    <row r="6469" spans="6:8">
      <c r="H6469" t="s">
        <v>20092</v>
      </c>
    </row>
    <row r="6470" spans="6:8">
      <c r="H6470" t="s">
        <v>20093</v>
      </c>
    </row>
    <row r="6471" spans="6:8">
      <c r="H6471" t="s">
        <v>20094</v>
      </c>
    </row>
    <row r="6472" spans="6:8">
      <c r="H6472" t="s">
        <v>20095</v>
      </c>
    </row>
    <row r="6473" spans="6:8">
      <c r="H6473" t="s">
        <v>20096</v>
      </c>
    </row>
    <row r="6474" spans="6:8">
      <c r="H6474" t="s">
        <v>20097</v>
      </c>
    </row>
    <row r="6475" spans="6:8">
      <c r="H6475" t="s">
        <v>20098</v>
      </c>
    </row>
    <row r="6476" spans="6:8">
      <c r="H6476" t="s">
        <v>20099</v>
      </c>
    </row>
    <row r="6477" spans="6:8">
      <c r="H6477" t="s">
        <v>20100</v>
      </c>
    </row>
    <row r="6478" spans="6:8">
      <c r="H6478" t="s">
        <v>20101</v>
      </c>
    </row>
    <row r="6479" spans="6:8">
      <c r="H6479" t="s">
        <v>20102</v>
      </c>
    </row>
    <row r="6480" spans="6:8">
      <c r="F6480" t="s">
        <v>11025</v>
      </c>
      <c r="G6480" t="s">
        <v>15416</v>
      </c>
      <c r="H6480" t="s">
        <v>20091</v>
      </c>
    </row>
    <row r="6481" spans="6:8">
      <c r="H6481" t="s">
        <v>19712</v>
      </c>
    </row>
    <row r="6482" spans="6:8">
      <c r="H6482" t="s">
        <v>19709</v>
      </c>
    </row>
    <row r="6483" spans="6:8">
      <c r="H6483" t="s">
        <v>20107</v>
      </c>
    </row>
    <row r="6484" spans="6:8">
      <c r="H6484" t="s">
        <v>20108</v>
      </c>
    </row>
    <row r="6485" spans="6:8">
      <c r="H6485" t="s">
        <v>19713</v>
      </c>
    </row>
    <row r="6486" spans="6:8">
      <c r="H6486" t="s">
        <v>19714</v>
      </c>
    </row>
    <row r="6487" spans="6:8">
      <c r="H6487" t="s">
        <v>20109</v>
      </c>
    </row>
    <row r="6488" spans="6:8">
      <c r="H6488" t="s">
        <v>20095</v>
      </c>
    </row>
    <row r="6489" spans="6:8">
      <c r="H6489" t="s">
        <v>20096</v>
      </c>
    </row>
    <row r="6490" spans="6:8">
      <c r="H6490" t="s">
        <v>20097</v>
      </c>
    </row>
    <row r="6491" spans="6:8">
      <c r="H6491" t="s">
        <v>20098</v>
      </c>
    </row>
    <row r="6492" spans="6:8">
      <c r="F6492" t="s">
        <v>11026</v>
      </c>
      <c r="G6492" t="s">
        <v>15417</v>
      </c>
      <c r="H6492" t="s">
        <v>20091</v>
      </c>
    </row>
    <row r="6493" spans="6:8">
      <c r="H6493" t="s">
        <v>19712</v>
      </c>
    </row>
    <row r="6494" spans="6:8">
      <c r="H6494" t="s">
        <v>19709</v>
      </c>
    </row>
    <row r="6495" spans="6:8">
      <c r="H6495" t="s">
        <v>20107</v>
      </c>
    </row>
    <row r="6496" spans="6:8">
      <c r="H6496" t="s">
        <v>20108</v>
      </c>
    </row>
    <row r="6497" spans="6:8">
      <c r="H6497" t="s">
        <v>19713</v>
      </c>
    </row>
    <row r="6498" spans="6:8">
      <c r="H6498" t="s">
        <v>19714</v>
      </c>
    </row>
    <row r="6499" spans="6:8">
      <c r="H6499" t="s">
        <v>20109</v>
      </c>
    </row>
    <row r="6500" spans="6:8">
      <c r="H6500" t="s">
        <v>20095</v>
      </c>
    </row>
    <row r="6501" spans="6:8">
      <c r="H6501" t="s">
        <v>20096</v>
      </c>
    </row>
    <row r="6502" spans="6:8">
      <c r="H6502" t="s">
        <v>20097</v>
      </c>
    </row>
    <row r="6503" spans="6:8">
      <c r="H6503" t="s">
        <v>20098</v>
      </c>
    </row>
    <row r="6504" spans="6:8">
      <c r="F6504" t="s">
        <v>11027</v>
      </c>
      <c r="G6504" t="s">
        <v>15418</v>
      </c>
      <c r="H6504" t="s">
        <v>20091</v>
      </c>
    </row>
    <row r="6505" spans="6:8">
      <c r="H6505" t="s">
        <v>20095</v>
      </c>
    </row>
    <row r="6506" spans="6:8">
      <c r="F6506" t="s">
        <v>11028</v>
      </c>
      <c r="G6506" t="s">
        <v>15419</v>
      </c>
      <c r="H6506" t="s">
        <v>20091</v>
      </c>
    </row>
    <row r="6507" spans="6:8">
      <c r="H6507" t="s">
        <v>20095</v>
      </c>
    </row>
    <row r="6508" spans="6:8">
      <c r="F6508" t="s">
        <v>11029</v>
      </c>
      <c r="G6508" t="s">
        <v>15420</v>
      </c>
      <c r="H6508" t="s">
        <v>20091</v>
      </c>
    </row>
    <row r="6509" spans="6:8">
      <c r="H6509" t="s">
        <v>20095</v>
      </c>
    </row>
    <row r="6510" spans="6:8">
      <c r="F6510" t="s">
        <v>11030</v>
      </c>
      <c r="G6510" t="s">
        <v>15421</v>
      </c>
      <c r="H6510" t="s">
        <v>20091</v>
      </c>
    </row>
    <row r="6511" spans="6:8">
      <c r="H6511" t="s">
        <v>19712</v>
      </c>
    </row>
    <row r="6512" spans="6:8">
      <c r="H6512" t="s">
        <v>19709</v>
      </c>
    </row>
    <row r="6513" spans="6:8">
      <c r="H6513" t="s">
        <v>20107</v>
      </c>
    </row>
    <row r="6514" spans="6:8">
      <c r="H6514" t="s">
        <v>20108</v>
      </c>
    </row>
    <row r="6515" spans="6:8">
      <c r="H6515" t="s">
        <v>19713</v>
      </c>
    </row>
    <row r="6516" spans="6:8">
      <c r="H6516" t="s">
        <v>19714</v>
      </c>
    </row>
    <row r="6517" spans="6:8">
      <c r="H6517" t="s">
        <v>20109</v>
      </c>
    </row>
    <row r="6518" spans="6:8">
      <c r="H6518" t="s">
        <v>20110</v>
      </c>
    </row>
    <row r="6519" spans="6:8">
      <c r="H6519" t="s">
        <v>20111</v>
      </c>
    </row>
    <row r="6520" spans="6:8">
      <c r="H6520" t="s">
        <v>20112</v>
      </c>
    </row>
    <row r="6521" spans="6:8">
      <c r="H6521" t="s">
        <v>20113</v>
      </c>
    </row>
    <row r="6522" spans="6:8">
      <c r="H6522" t="s">
        <v>20095</v>
      </c>
    </row>
    <row r="6523" spans="6:8">
      <c r="H6523" t="s">
        <v>20096</v>
      </c>
    </row>
    <row r="6524" spans="6:8">
      <c r="H6524" t="s">
        <v>20097</v>
      </c>
    </row>
    <row r="6525" spans="6:8">
      <c r="H6525" t="s">
        <v>20098</v>
      </c>
    </row>
    <row r="6526" spans="6:8">
      <c r="F6526" t="s">
        <v>11031</v>
      </c>
      <c r="G6526" t="s">
        <v>15422</v>
      </c>
      <c r="H6526" t="s">
        <v>20091</v>
      </c>
    </row>
    <row r="6527" spans="6:8">
      <c r="H6527" t="s">
        <v>19712</v>
      </c>
    </row>
    <row r="6528" spans="6:8">
      <c r="H6528" t="s">
        <v>20095</v>
      </c>
    </row>
    <row r="6529" spans="6:8">
      <c r="H6529" t="s">
        <v>20096</v>
      </c>
    </row>
    <row r="6530" spans="6:8">
      <c r="H6530" t="s">
        <v>20097</v>
      </c>
    </row>
    <row r="6531" spans="6:8">
      <c r="H6531" t="s">
        <v>20098</v>
      </c>
    </row>
    <row r="6532" spans="6:8">
      <c r="H6532" t="s">
        <v>19709</v>
      </c>
    </row>
    <row r="6533" spans="6:8">
      <c r="H6533" t="s">
        <v>19706</v>
      </c>
    </row>
    <row r="6534" spans="6:8">
      <c r="H6534" t="s">
        <v>20099</v>
      </c>
    </row>
    <row r="6535" spans="6:8">
      <c r="H6535" t="s">
        <v>20100</v>
      </c>
    </row>
    <row r="6536" spans="6:8">
      <c r="H6536" t="s">
        <v>20101</v>
      </c>
    </row>
    <row r="6537" spans="6:8">
      <c r="H6537" t="s">
        <v>20102</v>
      </c>
    </row>
    <row r="6538" spans="6:8">
      <c r="F6538" t="s">
        <v>11032</v>
      </c>
      <c r="G6538" t="s">
        <v>15423</v>
      </c>
      <c r="H6538" t="s">
        <v>20091</v>
      </c>
    </row>
    <row r="6539" spans="6:8">
      <c r="H6539" t="s">
        <v>19712</v>
      </c>
    </row>
    <row r="6540" spans="6:8">
      <c r="H6540" t="s">
        <v>20095</v>
      </c>
    </row>
    <row r="6541" spans="6:8">
      <c r="H6541" t="s">
        <v>20096</v>
      </c>
    </row>
    <row r="6542" spans="6:8">
      <c r="H6542" t="s">
        <v>20097</v>
      </c>
    </row>
    <row r="6543" spans="6:8">
      <c r="H6543" t="s">
        <v>20098</v>
      </c>
    </row>
    <row r="6544" spans="6:8">
      <c r="F6544" t="s">
        <v>11033</v>
      </c>
      <c r="G6544" t="s">
        <v>15424</v>
      </c>
      <c r="H6544" t="s">
        <v>20091</v>
      </c>
    </row>
    <row r="6545" spans="6:8">
      <c r="H6545" t="s">
        <v>19712</v>
      </c>
    </row>
    <row r="6546" spans="6:8">
      <c r="H6546" t="s">
        <v>20095</v>
      </c>
    </row>
    <row r="6547" spans="6:8">
      <c r="H6547" t="s">
        <v>20096</v>
      </c>
    </row>
    <row r="6548" spans="6:8">
      <c r="H6548" t="s">
        <v>20097</v>
      </c>
    </row>
    <row r="6549" spans="6:8">
      <c r="H6549" t="s">
        <v>20098</v>
      </c>
    </row>
    <row r="6550" spans="6:8">
      <c r="F6550" t="s">
        <v>11034</v>
      </c>
      <c r="G6550" t="s">
        <v>15425</v>
      </c>
      <c r="H6550" t="s">
        <v>20091</v>
      </c>
    </row>
    <row r="6551" spans="6:8">
      <c r="H6551" t="s">
        <v>19712</v>
      </c>
    </row>
    <row r="6552" spans="6:8">
      <c r="H6552" t="s">
        <v>20095</v>
      </c>
    </row>
    <row r="6553" spans="6:8">
      <c r="H6553" t="s">
        <v>20096</v>
      </c>
    </row>
    <row r="6554" spans="6:8">
      <c r="H6554" t="s">
        <v>20097</v>
      </c>
    </row>
    <row r="6555" spans="6:8">
      <c r="H6555" t="s">
        <v>20098</v>
      </c>
    </row>
    <row r="6556" spans="6:8">
      <c r="F6556" t="s">
        <v>11035</v>
      </c>
      <c r="G6556" t="s">
        <v>15426</v>
      </c>
      <c r="H6556" t="s">
        <v>20091</v>
      </c>
    </row>
    <row r="6557" spans="6:8">
      <c r="H6557" t="s">
        <v>19712</v>
      </c>
    </row>
    <row r="6558" spans="6:8">
      <c r="H6558" t="s">
        <v>20095</v>
      </c>
    </row>
    <row r="6559" spans="6:8">
      <c r="H6559" t="s">
        <v>20096</v>
      </c>
    </row>
    <row r="6560" spans="6:8">
      <c r="H6560" t="s">
        <v>20097</v>
      </c>
    </row>
    <row r="6561" spans="6:8">
      <c r="H6561" t="s">
        <v>20098</v>
      </c>
    </row>
    <row r="6562" spans="6:8">
      <c r="F6562" t="s">
        <v>11036</v>
      </c>
      <c r="G6562" t="s">
        <v>15427</v>
      </c>
      <c r="H6562" t="s">
        <v>20091</v>
      </c>
    </row>
    <row r="6563" spans="6:8">
      <c r="H6563" t="s">
        <v>19712</v>
      </c>
    </row>
    <row r="6564" spans="6:8">
      <c r="H6564" t="s">
        <v>19709</v>
      </c>
    </row>
    <row r="6565" spans="6:8">
      <c r="H6565" t="s">
        <v>20107</v>
      </c>
    </row>
    <row r="6566" spans="6:8">
      <c r="H6566" t="s">
        <v>20108</v>
      </c>
    </row>
    <row r="6567" spans="6:8">
      <c r="H6567" t="s">
        <v>19713</v>
      </c>
    </row>
    <row r="6568" spans="6:8">
      <c r="H6568" t="s">
        <v>19714</v>
      </c>
    </row>
    <row r="6569" spans="6:8">
      <c r="H6569" t="s">
        <v>20109</v>
      </c>
    </row>
    <row r="6570" spans="6:8">
      <c r="H6570" t="s">
        <v>20110</v>
      </c>
    </row>
    <row r="6571" spans="6:8">
      <c r="H6571" t="s">
        <v>20111</v>
      </c>
    </row>
    <row r="6572" spans="6:8">
      <c r="H6572" t="s">
        <v>20112</v>
      </c>
    </row>
    <row r="6573" spans="6:8">
      <c r="H6573" t="s">
        <v>20095</v>
      </c>
    </row>
    <row r="6574" spans="6:8">
      <c r="H6574" t="s">
        <v>20096</v>
      </c>
    </row>
    <row r="6575" spans="6:8">
      <c r="H6575" t="s">
        <v>20097</v>
      </c>
    </row>
    <row r="6576" spans="6:8">
      <c r="H6576" t="s">
        <v>20098</v>
      </c>
    </row>
    <row r="6577" spans="6:8">
      <c r="F6577" t="s">
        <v>11037</v>
      </c>
      <c r="G6577" t="s">
        <v>15428</v>
      </c>
      <c r="H6577" t="s">
        <v>20091</v>
      </c>
    </row>
    <row r="6578" spans="6:8">
      <c r="H6578" t="s">
        <v>19712</v>
      </c>
    </row>
    <row r="6579" spans="6:8">
      <c r="H6579" t="s">
        <v>19709</v>
      </c>
    </row>
    <row r="6580" spans="6:8">
      <c r="H6580" t="s">
        <v>19706</v>
      </c>
    </row>
    <row r="6581" spans="6:8">
      <c r="H6581" t="s">
        <v>20107</v>
      </c>
    </row>
    <row r="6582" spans="6:8">
      <c r="H6582" t="s">
        <v>20108</v>
      </c>
    </row>
    <row r="6583" spans="6:8">
      <c r="H6583" t="s">
        <v>19713</v>
      </c>
    </row>
    <row r="6584" spans="6:8">
      <c r="H6584" t="s">
        <v>19714</v>
      </c>
    </row>
    <row r="6585" spans="6:8">
      <c r="H6585" t="s">
        <v>20109</v>
      </c>
    </row>
    <row r="6586" spans="6:8">
      <c r="H6586" t="s">
        <v>20095</v>
      </c>
    </row>
    <row r="6587" spans="6:8">
      <c r="H6587" t="s">
        <v>20096</v>
      </c>
    </row>
    <row r="6588" spans="6:8">
      <c r="H6588" t="s">
        <v>20097</v>
      </c>
    </row>
    <row r="6589" spans="6:8">
      <c r="H6589" t="s">
        <v>20098</v>
      </c>
    </row>
    <row r="6590" spans="6:8">
      <c r="F6590" t="s">
        <v>11038</v>
      </c>
      <c r="G6590" t="s">
        <v>15429</v>
      </c>
      <c r="H6590" t="s">
        <v>20091</v>
      </c>
    </row>
    <row r="6591" spans="6:8">
      <c r="H6591" t="s">
        <v>19712</v>
      </c>
    </row>
    <row r="6592" spans="6:8">
      <c r="H6592" t="s">
        <v>19709</v>
      </c>
    </row>
    <row r="6593" spans="6:8">
      <c r="H6593" t="s">
        <v>20107</v>
      </c>
    </row>
    <row r="6594" spans="6:8">
      <c r="H6594" t="s">
        <v>20108</v>
      </c>
    </row>
    <row r="6595" spans="6:8">
      <c r="H6595" t="s">
        <v>19713</v>
      </c>
    </row>
    <row r="6596" spans="6:8">
      <c r="H6596" t="s">
        <v>19714</v>
      </c>
    </row>
    <row r="6597" spans="6:8">
      <c r="H6597" t="s">
        <v>20109</v>
      </c>
    </row>
    <row r="6598" spans="6:8">
      <c r="H6598" t="s">
        <v>20110</v>
      </c>
    </row>
    <row r="6599" spans="6:8">
      <c r="H6599" t="s">
        <v>20111</v>
      </c>
    </row>
    <row r="6600" spans="6:8">
      <c r="H6600" t="s">
        <v>20112</v>
      </c>
    </row>
    <row r="6601" spans="6:8">
      <c r="H6601" t="s">
        <v>20113</v>
      </c>
    </row>
    <row r="6602" spans="6:8">
      <c r="H6602" t="s">
        <v>20095</v>
      </c>
    </row>
    <row r="6603" spans="6:8">
      <c r="H6603" t="s">
        <v>20096</v>
      </c>
    </row>
    <row r="6604" spans="6:8">
      <c r="H6604" t="s">
        <v>20097</v>
      </c>
    </row>
    <row r="6605" spans="6:8">
      <c r="H6605" t="s">
        <v>20098</v>
      </c>
    </row>
    <row r="6606" spans="6:8">
      <c r="F6606" t="s">
        <v>11039</v>
      </c>
      <c r="G6606" t="s">
        <v>15430</v>
      </c>
      <c r="H6606" t="s">
        <v>20091</v>
      </c>
    </row>
    <row r="6607" spans="6:8">
      <c r="H6607" t="s">
        <v>19712</v>
      </c>
    </row>
    <row r="6608" spans="6:8">
      <c r="H6608" t="s">
        <v>19709</v>
      </c>
    </row>
    <row r="6609" spans="6:8">
      <c r="H6609" t="s">
        <v>20092</v>
      </c>
    </row>
    <row r="6610" spans="6:8">
      <c r="H6610" t="s">
        <v>20093</v>
      </c>
    </row>
    <row r="6611" spans="6:8">
      <c r="H6611" t="s">
        <v>20095</v>
      </c>
    </row>
    <row r="6612" spans="6:8">
      <c r="H6612" t="s">
        <v>20096</v>
      </c>
    </row>
    <row r="6613" spans="6:8">
      <c r="H6613" t="s">
        <v>20097</v>
      </c>
    </row>
    <row r="6614" spans="6:8">
      <c r="H6614" t="s">
        <v>20098</v>
      </c>
    </row>
    <row r="6615" spans="6:8">
      <c r="H6615" t="s">
        <v>20099</v>
      </c>
    </row>
    <row r="6616" spans="6:8">
      <c r="H6616" t="s">
        <v>20100</v>
      </c>
    </row>
    <row r="6617" spans="6:8">
      <c r="F6617" t="s">
        <v>11040</v>
      </c>
      <c r="G6617" t="s">
        <v>15431</v>
      </c>
      <c r="H6617" t="s">
        <v>20091</v>
      </c>
    </row>
    <row r="6618" spans="6:8">
      <c r="H6618" t="s">
        <v>19712</v>
      </c>
    </row>
    <row r="6619" spans="6:8">
      <c r="H6619" t="s">
        <v>20095</v>
      </c>
    </row>
    <row r="6620" spans="6:8">
      <c r="H6620" t="s">
        <v>20096</v>
      </c>
    </row>
    <row r="6621" spans="6:8">
      <c r="H6621" t="s">
        <v>20097</v>
      </c>
    </row>
    <row r="6622" spans="6:8">
      <c r="H6622" t="s">
        <v>19709</v>
      </c>
    </row>
    <row r="6623" spans="6:8">
      <c r="H6623" t="s">
        <v>19706</v>
      </c>
    </row>
    <row r="6624" spans="6:8">
      <c r="H6624" t="s">
        <v>20098</v>
      </c>
    </row>
    <row r="6625" spans="6:8">
      <c r="H6625" t="s">
        <v>20099</v>
      </c>
    </row>
    <row r="6626" spans="6:8">
      <c r="H6626" t="s">
        <v>20100</v>
      </c>
    </row>
    <row r="6627" spans="6:8">
      <c r="F6627" t="s">
        <v>11041</v>
      </c>
      <c r="G6627" t="s">
        <v>15432</v>
      </c>
      <c r="H6627" t="s">
        <v>20091</v>
      </c>
    </row>
    <row r="6628" spans="6:8">
      <c r="H6628" t="s">
        <v>19712</v>
      </c>
    </row>
    <row r="6629" spans="6:8">
      <c r="H6629" t="s">
        <v>20095</v>
      </c>
    </row>
    <row r="6630" spans="6:8">
      <c r="H6630" t="s">
        <v>20096</v>
      </c>
    </row>
    <row r="6631" spans="6:8">
      <c r="H6631" t="s">
        <v>20097</v>
      </c>
    </row>
    <row r="6632" spans="6:8">
      <c r="F6632" t="s">
        <v>11042</v>
      </c>
      <c r="G6632" t="s">
        <v>15433</v>
      </c>
      <c r="H6632" t="s">
        <v>20091</v>
      </c>
    </row>
    <row r="6633" spans="6:8">
      <c r="H6633" t="s">
        <v>19712</v>
      </c>
    </row>
    <row r="6634" spans="6:8">
      <c r="H6634" t="s">
        <v>20095</v>
      </c>
    </row>
    <row r="6635" spans="6:8">
      <c r="H6635" t="s">
        <v>20096</v>
      </c>
    </row>
    <row r="6636" spans="6:8">
      <c r="H6636" t="s">
        <v>20097</v>
      </c>
    </row>
    <row r="6637" spans="6:8">
      <c r="F6637" t="s">
        <v>11043</v>
      </c>
      <c r="G6637" t="s">
        <v>15434</v>
      </c>
      <c r="H6637" t="s">
        <v>20091</v>
      </c>
    </row>
    <row r="6638" spans="6:8">
      <c r="H6638" t="s">
        <v>19712</v>
      </c>
    </row>
    <row r="6639" spans="6:8">
      <c r="H6639" t="s">
        <v>20095</v>
      </c>
    </row>
    <row r="6640" spans="6:8">
      <c r="H6640" t="s">
        <v>20096</v>
      </c>
    </row>
    <row r="6641" spans="6:8">
      <c r="H6641" t="s">
        <v>20097</v>
      </c>
    </row>
    <row r="6642" spans="6:8">
      <c r="F6642" t="s">
        <v>11044</v>
      </c>
      <c r="G6642" t="s">
        <v>15435</v>
      </c>
      <c r="H6642" t="s">
        <v>20091</v>
      </c>
    </row>
    <row r="6643" spans="6:8">
      <c r="H6643" t="s">
        <v>19712</v>
      </c>
    </row>
    <row r="6644" spans="6:8">
      <c r="H6644" t="s">
        <v>20095</v>
      </c>
    </row>
    <row r="6645" spans="6:8">
      <c r="H6645" t="s">
        <v>20096</v>
      </c>
    </row>
    <row r="6646" spans="6:8">
      <c r="H6646" t="s">
        <v>20097</v>
      </c>
    </row>
    <row r="6647" spans="6:8">
      <c r="F6647" t="s">
        <v>11045</v>
      </c>
      <c r="G6647" t="s">
        <v>15436</v>
      </c>
      <c r="H6647" t="s">
        <v>20091</v>
      </c>
    </row>
    <row r="6648" spans="6:8">
      <c r="H6648" t="s">
        <v>19712</v>
      </c>
    </row>
    <row r="6649" spans="6:8">
      <c r="H6649" t="s">
        <v>19709</v>
      </c>
    </row>
    <row r="6650" spans="6:8">
      <c r="H6650" t="s">
        <v>20107</v>
      </c>
    </row>
    <row r="6651" spans="6:8">
      <c r="H6651" t="s">
        <v>20108</v>
      </c>
    </row>
    <row r="6652" spans="6:8">
      <c r="H6652" t="s">
        <v>19713</v>
      </c>
    </row>
    <row r="6653" spans="6:8">
      <c r="H6653" t="s">
        <v>19714</v>
      </c>
    </row>
    <row r="6654" spans="6:8">
      <c r="H6654" t="s">
        <v>20109</v>
      </c>
    </row>
    <row r="6655" spans="6:8">
      <c r="H6655" t="s">
        <v>20110</v>
      </c>
    </row>
    <row r="6656" spans="6:8">
      <c r="H6656" t="s">
        <v>20111</v>
      </c>
    </row>
    <row r="6657" spans="6:8">
      <c r="H6657" t="s">
        <v>20112</v>
      </c>
    </row>
    <row r="6658" spans="6:8">
      <c r="H6658" t="s">
        <v>20113</v>
      </c>
    </row>
    <row r="6659" spans="6:8">
      <c r="H6659" t="s">
        <v>20114</v>
      </c>
    </row>
    <row r="6660" spans="6:8">
      <c r="H6660" t="s">
        <v>20115</v>
      </c>
    </row>
    <row r="6661" spans="6:8">
      <c r="H6661" t="s">
        <v>20095</v>
      </c>
    </row>
    <row r="6662" spans="6:8">
      <c r="H6662" t="s">
        <v>20096</v>
      </c>
    </row>
    <row r="6663" spans="6:8">
      <c r="H6663" t="s">
        <v>20097</v>
      </c>
    </row>
    <row r="6664" spans="6:8">
      <c r="H6664" t="s">
        <v>20098</v>
      </c>
    </row>
    <row r="6665" spans="6:8">
      <c r="F6665" t="s">
        <v>11046</v>
      </c>
      <c r="G6665" t="s">
        <v>15437</v>
      </c>
      <c r="H6665" t="s">
        <v>20091</v>
      </c>
    </row>
    <row r="6666" spans="6:8">
      <c r="H6666" t="s">
        <v>19712</v>
      </c>
    </row>
    <row r="6667" spans="6:8">
      <c r="H6667" t="s">
        <v>19709</v>
      </c>
    </row>
    <row r="6668" spans="6:8">
      <c r="H6668" t="s">
        <v>19706</v>
      </c>
    </row>
    <row r="6669" spans="6:8">
      <c r="H6669" t="s">
        <v>20092</v>
      </c>
    </row>
    <row r="6670" spans="6:8">
      <c r="H6670" t="s">
        <v>20093</v>
      </c>
    </row>
    <row r="6671" spans="6:8">
      <c r="H6671" t="s">
        <v>20094</v>
      </c>
    </row>
    <row r="6672" spans="6:8">
      <c r="H6672" t="s">
        <v>20103</v>
      </c>
    </row>
    <row r="6673" spans="6:8">
      <c r="H6673" t="s">
        <v>20116</v>
      </c>
    </row>
    <row r="6674" spans="6:8">
      <c r="H6674" t="s">
        <v>20117</v>
      </c>
    </row>
    <row r="6675" spans="6:8">
      <c r="H6675" t="s">
        <v>20118</v>
      </c>
    </row>
    <row r="6676" spans="6:8">
      <c r="H6676" t="s">
        <v>20119</v>
      </c>
    </row>
    <row r="6677" spans="6:8">
      <c r="H6677" t="s">
        <v>19176</v>
      </c>
    </row>
    <row r="6678" spans="6:8">
      <c r="H6678" t="s">
        <v>20095</v>
      </c>
    </row>
    <row r="6679" spans="6:8">
      <c r="H6679" t="s">
        <v>20096</v>
      </c>
    </row>
    <row r="6680" spans="6:8">
      <c r="H6680" t="s">
        <v>20097</v>
      </c>
    </row>
    <row r="6681" spans="6:8">
      <c r="H6681" t="s">
        <v>20098</v>
      </c>
    </row>
    <row r="6682" spans="6:8">
      <c r="F6682" t="s">
        <v>11047</v>
      </c>
      <c r="G6682" t="s">
        <v>15438</v>
      </c>
      <c r="H6682" t="s">
        <v>20091</v>
      </c>
    </row>
    <row r="6683" spans="6:8">
      <c r="H6683" t="s">
        <v>19712</v>
      </c>
    </row>
    <row r="6684" spans="6:8">
      <c r="H6684" t="s">
        <v>19709</v>
      </c>
    </row>
    <row r="6685" spans="6:8">
      <c r="H6685" t="s">
        <v>20092</v>
      </c>
    </row>
    <row r="6686" spans="6:8">
      <c r="H6686" t="s">
        <v>20093</v>
      </c>
    </row>
    <row r="6687" spans="6:8">
      <c r="H6687" t="s">
        <v>20094</v>
      </c>
    </row>
    <row r="6688" spans="6:8">
      <c r="H6688" t="s">
        <v>20103</v>
      </c>
    </row>
    <row r="6689" spans="6:8">
      <c r="H6689" t="s">
        <v>20116</v>
      </c>
    </row>
    <row r="6690" spans="6:8">
      <c r="H6690" t="s">
        <v>20117</v>
      </c>
    </row>
    <row r="6691" spans="6:8">
      <c r="H6691" t="s">
        <v>20118</v>
      </c>
    </row>
    <row r="6692" spans="6:8">
      <c r="H6692" t="s">
        <v>20095</v>
      </c>
    </row>
    <row r="6693" spans="6:8">
      <c r="H6693" t="s">
        <v>20096</v>
      </c>
    </row>
    <row r="6694" spans="6:8">
      <c r="H6694" t="s">
        <v>20097</v>
      </c>
    </row>
    <row r="6695" spans="6:8">
      <c r="F6695" t="s">
        <v>11048</v>
      </c>
      <c r="G6695" t="s">
        <v>15439</v>
      </c>
      <c r="H6695" t="s">
        <v>20091</v>
      </c>
    </row>
    <row r="6696" spans="6:8">
      <c r="H6696" t="s">
        <v>19712</v>
      </c>
    </row>
    <row r="6697" spans="6:8">
      <c r="H6697" t="s">
        <v>19709</v>
      </c>
    </row>
    <row r="6698" spans="6:8">
      <c r="H6698" t="s">
        <v>20095</v>
      </c>
    </row>
    <row r="6699" spans="6:8">
      <c r="H6699" t="s">
        <v>20096</v>
      </c>
    </row>
    <row r="6700" spans="6:8">
      <c r="H6700" t="s">
        <v>20097</v>
      </c>
    </row>
    <row r="6701" spans="6:8">
      <c r="F6701" t="s">
        <v>11049</v>
      </c>
      <c r="G6701" t="s">
        <v>15440</v>
      </c>
      <c r="H6701" t="s">
        <v>20091</v>
      </c>
    </row>
    <row r="6702" spans="6:8">
      <c r="H6702" t="s">
        <v>19712</v>
      </c>
    </row>
    <row r="6703" spans="6:8">
      <c r="H6703" t="s">
        <v>19709</v>
      </c>
    </row>
    <row r="6704" spans="6:8">
      <c r="H6704" t="s">
        <v>19706</v>
      </c>
    </row>
    <row r="6705" spans="6:8">
      <c r="H6705" t="s">
        <v>19707</v>
      </c>
    </row>
    <row r="6706" spans="6:8">
      <c r="H6706" t="s">
        <v>19711</v>
      </c>
    </row>
    <row r="6707" spans="6:8">
      <c r="H6707" t="s">
        <v>20107</v>
      </c>
    </row>
    <row r="6708" spans="6:8">
      <c r="H6708" t="s">
        <v>20108</v>
      </c>
    </row>
    <row r="6709" spans="6:8">
      <c r="H6709" t="s">
        <v>19713</v>
      </c>
    </row>
    <row r="6710" spans="6:8">
      <c r="H6710" t="s">
        <v>19714</v>
      </c>
    </row>
    <row r="6711" spans="6:8">
      <c r="H6711" t="s">
        <v>20109</v>
      </c>
    </row>
    <row r="6712" spans="6:8">
      <c r="H6712" t="s">
        <v>20110</v>
      </c>
    </row>
    <row r="6713" spans="6:8">
      <c r="H6713" t="s">
        <v>20111</v>
      </c>
    </row>
    <row r="6714" spans="6:8">
      <c r="H6714" t="s">
        <v>20095</v>
      </c>
    </row>
    <row r="6715" spans="6:8">
      <c r="H6715" t="s">
        <v>20096</v>
      </c>
    </row>
    <row r="6716" spans="6:8">
      <c r="H6716" t="s">
        <v>20097</v>
      </c>
    </row>
    <row r="6717" spans="6:8">
      <c r="H6717" t="s">
        <v>20098</v>
      </c>
    </row>
    <row r="6718" spans="6:8">
      <c r="F6718" t="s">
        <v>11050</v>
      </c>
      <c r="G6718" t="s">
        <v>15441</v>
      </c>
      <c r="H6718" t="s">
        <v>20091</v>
      </c>
    </row>
    <row r="6719" spans="6:8">
      <c r="H6719" t="s">
        <v>19712</v>
      </c>
    </row>
    <row r="6720" spans="6:8">
      <c r="H6720" t="s">
        <v>19709</v>
      </c>
    </row>
    <row r="6721" spans="6:8">
      <c r="H6721" t="s">
        <v>19706</v>
      </c>
    </row>
    <row r="6722" spans="6:8">
      <c r="H6722" t="s">
        <v>20107</v>
      </c>
    </row>
    <row r="6723" spans="6:8">
      <c r="H6723" t="s">
        <v>20108</v>
      </c>
    </row>
    <row r="6724" spans="6:8">
      <c r="H6724" t="s">
        <v>19713</v>
      </c>
    </row>
    <row r="6725" spans="6:8">
      <c r="H6725" t="s">
        <v>19714</v>
      </c>
    </row>
    <row r="6726" spans="6:8">
      <c r="H6726" t="s">
        <v>20095</v>
      </c>
    </row>
    <row r="6727" spans="6:8">
      <c r="H6727" t="s">
        <v>20096</v>
      </c>
    </row>
    <row r="6728" spans="6:8">
      <c r="H6728" t="s">
        <v>20097</v>
      </c>
    </row>
    <row r="6729" spans="6:8">
      <c r="H6729" t="s">
        <v>20098</v>
      </c>
    </row>
    <row r="6730" spans="6:8">
      <c r="F6730" t="s">
        <v>11051</v>
      </c>
      <c r="G6730" t="s">
        <v>15442</v>
      </c>
      <c r="H6730" t="s">
        <v>20091</v>
      </c>
    </row>
    <row r="6731" spans="6:8">
      <c r="H6731" t="s">
        <v>19712</v>
      </c>
    </row>
    <row r="6732" spans="6:8">
      <c r="H6732" t="s">
        <v>19709</v>
      </c>
    </row>
    <row r="6733" spans="6:8">
      <c r="H6733" t="s">
        <v>20107</v>
      </c>
    </row>
    <row r="6734" spans="6:8">
      <c r="H6734" t="s">
        <v>20108</v>
      </c>
    </row>
    <row r="6735" spans="6:8">
      <c r="H6735" t="s">
        <v>19713</v>
      </c>
    </row>
    <row r="6736" spans="6:8">
      <c r="H6736" t="s">
        <v>20095</v>
      </c>
    </row>
    <row r="6737" spans="6:8">
      <c r="H6737" t="s">
        <v>20096</v>
      </c>
    </row>
    <row r="6738" spans="6:8">
      <c r="H6738" t="s">
        <v>20097</v>
      </c>
    </row>
    <row r="6739" spans="6:8">
      <c r="H6739" t="s">
        <v>20098</v>
      </c>
    </row>
    <row r="6740" spans="6:8">
      <c r="H6740" t="s">
        <v>20099</v>
      </c>
    </row>
    <row r="6741" spans="6:8">
      <c r="F6741" t="s">
        <v>11052</v>
      </c>
      <c r="G6741" t="s">
        <v>15443</v>
      </c>
      <c r="H6741" t="s">
        <v>20091</v>
      </c>
    </row>
    <row r="6742" spans="6:8">
      <c r="H6742" t="s">
        <v>19712</v>
      </c>
    </row>
    <row r="6743" spans="6:8">
      <c r="H6743" t="s">
        <v>19709</v>
      </c>
    </row>
    <row r="6744" spans="6:8">
      <c r="H6744" t="s">
        <v>19706</v>
      </c>
    </row>
    <row r="6745" spans="6:8">
      <c r="H6745" t="s">
        <v>20107</v>
      </c>
    </row>
    <row r="6746" spans="6:8">
      <c r="H6746" t="s">
        <v>20108</v>
      </c>
    </row>
    <row r="6747" spans="6:8">
      <c r="H6747" t="s">
        <v>19713</v>
      </c>
    </row>
    <row r="6748" spans="6:8">
      <c r="H6748" t="s">
        <v>20095</v>
      </c>
    </row>
    <row r="6749" spans="6:8">
      <c r="H6749" t="s">
        <v>20096</v>
      </c>
    </row>
    <row r="6750" spans="6:8">
      <c r="H6750" t="s">
        <v>20097</v>
      </c>
    </row>
    <row r="6751" spans="6:8">
      <c r="H6751" t="s">
        <v>20098</v>
      </c>
    </row>
    <row r="6752" spans="6:8">
      <c r="F6752" t="s">
        <v>11053</v>
      </c>
      <c r="G6752" t="s">
        <v>15444</v>
      </c>
      <c r="H6752" t="s">
        <v>20091</v>
      </c>
    </row>
    <row r="6753" spans="6:8">
      <c r="H6753" t="s">
        <v>19712</v>
      </c>
    </row>
    <row r="6754" spans="6:8">
      <c r="H6754" t="s">
        <v>19709</v>
      </c>
    </row>
    <row r="6755" spans="6:8">
      <c r="H6755" t="s">
        <v>20107</v>
      </c>
    </row>
    <row r="6756" spans="6:8">
      <c r="H6756" t="s">
        <v>20108</v>
      </c>
    </row>
    <row r="6757" spans="6:8">
      <c r="H6757" t="s">
        <v>19713</v>
      </c>
    </row>
    <row r="6758" spans="6:8">
      <c r="H6758" t="s">
        <v>20095</v>
      </c>
    </row>
    <row r="6759" spans="6:8">
      <c r="H6759" t="s">
        <v>20096</v>
      </c>
    </row>
    <row r="6760" spans="6:8">
      <c r="H6760" t="s">
        <v>20097</v>
      </c>
    </row>
    <row r="6761" spans="6:8">
      <c r="H6761" t="s">
        <v>20098</v>
      </c>
    </row>
    <row r="6762" spans="6:8">
      <c r="H6762" t="s">
        <v>20099</v>
      </c>
    </row>
    <row r="6763" spans="6:8">
      <c r="F6763" t="s">
        <v>11054</v>
      </c>
      <c r="G6763" t="s">
        <v>15445</v>
      </c>
      <c r="H6763" t="s">
        <v>20091</v>
      </c>
    </row>
    <row r="6764" spans="6:8">
      <c r="H6764" t="s">
        <v>19712</v>
      </c>
    </row>
    <row r="6765" spans="6:8">
      <c r="H6765" t="s">
        <v>19709</v>
      </c>
    </row>
    <row r="6766" spans="6:8">
      <c r="H6766" t="s">
        <v>19706</v>
      </c>
    </row>
    <row r="6767" spans="6:8">
      <c r="H6767" t="s">
        <v>19707</v>
      </c>
    </row>
    <row r="6768" spans="6:8">
      <c r="H6768" t="s">
        <v>19711</v>
      </c>
    </row>
    <row r="6769" spans="6:8">
      <c r="H6769" t="s">
        <v>19708</v>
      </c>
    </row>
    <row r="6770" spans="6:8">
      <c r="H6770" t="s">
        <v>20107</v>
      </c>
    </row>
    <row r="6771" spans="6:8">
      <c r="H6771" t="s">
        <v>20108</v>
      </c>
    </row>
    <row r="6772" spans="6:8">
      <c r="H6772" t="s">
        <v>19713</v>
      </c>
    </row>
    <row r="6773" spans="6:8">
      <c r="H6773" t="s">
        <v>20095</v>
      </c>
    </row>
    <row r="6774" spans="6:8">
      <c r="H6774" t="s">
        <v>20096</v>
      </c>
    </row>
    <row r="6775" spans="6:8">
      <c r="H6775" t="s">
        <v>20097</v>
      </c>
    </row>
    <row r="6776" spans="6:8">
      <c r="H6776" t="s">
        <v>20098</v>
      </c>
    </row>
    <row r="6777" spans="6:8">
      <c r="F6777" t="s">
        <v>11055</v>
      </c>
      <c r="G6777" t="s">
        <v>15446</v>
      </c>
      <c r="H6777" t="s">
        <v>20091</v>
      </c>
    </row>
    <row r="6778" spans="6:8">
      <c r="H6778" t="s">
        <v>19712</v>
      </c>
    </row>
    <row r="6779" spans="6:8">
      <c r="H6779" t="s">
        <v>19709</v>
      </c>
    </row>
    <row r="6780" spans="6:8">
      <c r="H6780" t="s">
        <v>19706</v>
      </c>
    </row>
    <row r="6781" spans="6:8">
      <c r="H6781" t="s">
        <v>19707</v>
      </c>
    </row>
    <row r="6782" spans="6:8">
      <c r="H6782" t="s">
        <v>19711</v>
      </c>
    </row>
    <row r="6783" spans="6:8">
      <c r="H6783" t="s">
        <v>20107</v>
      </c>
    </row>
    <row r="6784" spans="6:8">
      <c r="H6784" t="s">
        <v>20108</v>
      </c>
    </row>
    <row r="6785" spans="6:8">
      <c r="H6785" t="s">
        <v>19713</v>
      </c>
    </row>
    <row r="6786" spans="6:8">
      <c r="H6786" t="s">
        <v>19714</v>
      </c>
    </row>
    <row r="6787" spans="6:8">
      <c r="H6787" t="s">
        <v>20109</v>
      </c>
    </row>
    <row r="6788" spans="6:8">
      <c r="H6788" t="s">
        <v>20110</v>
      </c>
    </row>
    <row r="6789" spans="6:8">
      <c r="H6789" t="s">
        <v>20095</v>
      </c>
    </row>
    <row r="6790" spans="6:8">
      <c r="H6790" t="s">
        <v>20096</v>
      </c>
    </row>
    <row r="6791" spans="6:8">
      <c r="H6791" t="s">
        <v>20097</v>
      </c>
    </row>
    <row r="6792" spans="6:8">
      <c r="H6792" t="s">
        <v>20098</v>
      </c>
    </row>
    <row r="6793" spans="6:8">
      <c r="F6793" t="s">
        <v>11056</v>
      </c>
      <c r="G6793" t="s">
        <v>15447</v>
      </c>
      <c r="H6793" t="s">
        <v>20091</v>
      </c>
    </row>
    <row r="6794" spans="6:8">
      <c r="H6794" t="s">
        <v>19712</v>
      </c>
    </row>
    <row r="6795" spans="6:8">
      <c r="H6795" t="s">
        <v>20092</v>
      </c>
    </row>
    <row r="6796" spans="6:8">
      <c r="H6796" t="s">
        <v>20093</v>
      </c>
    </row>
    <row r="6797" spans="6:8">
      <c r="H6797" t="s">
        <v>20094</v>
      </c>
    </row>
    <row r="6798" spans="6:8">
      <c r="H6798" t="s">
        <v>20095</v>
      </c>
    </row>
    <row r="6799" spans="6:8">
      <c r="H6799" t="s">
        <v>20096</v>
      </c>
    </row>
    <row r="6800" spans="6:8">
      <c r="H6800" t="s">
        <v>20097</v>
      </c>
    </row>
    <row r="6801" spans="6:8">
      <c r="H6801" t="s">
        <v>20098</v>
      </c>
    </row>
    <row r="6802" spans="6:8">
      <c r="H6802" t="s">
        <v>20099</v>
      </c>
    </row>
    <row r="6803" spans="6:8">
      <c r="H6803" t="s">
        <v>20100</v>
      </c>
    </row>
    <row r="6804" spans="6:8">
      <c r="H6804" t="s">
        <v>20101</v>
      </c>
    </row>
    <row r="6805" spans="6:8">
      <c r="H6805" t="s">
        <v>20102</v>
      </c>
    </row>
    <row r="6806" spans="6:8">
      <c r="F6806" t="s">
        <v>11057</v>
      </c>
      <c r="G6806" t="s">
        <v>15448</v>
      </c>
      <c r="H6806" t="s">
        <v>20091</v>
      </c>
    </row>
    <row r="6807" spans="6:8">
      <c r="H6807" t="s">
        <v>19712</v>
      </c>
    </row>
    <row r="6808" spans="6:8">
      <c r="H6808" t="s">
        <v>19709</v>
      </c>
    </row>
    <row r="6809" spans="6:8">
      <c r="H6809" t="s">
        <v>20107</v>
      </c>
    </row>
    <row r="6810" spans="6:8">
      <c r="H6810" t="s">
        <v>20108</v>
      </c>
    </row>
    <row r="6811" spans="6:8">
      <c r="H6811" t="s">
        <v>20095</v>
      </c>
    </row>
    <row r="6812" spans="6:8">
      <c r="H6812" t="s">
        <v>20096</v>
      </c>
    </row>
    <row r="6813" spans="6:8">
      <c r="H6813" t="s">
        <v>20097</v>
      </c>
    </row>
    <row r="6814" spans="6:8">
      <c r="H6814" t="s">
        <v>20098</v>
      </c>
    </row>
    <row r="6815" spans="6:8">
      <c r="F6815" t="s">
        <v>11058</v>
      </c>
      <c r="G6815" t="s">
        <v>15449</v>
      </c>
      <c r="H6815" t="s">
        <v>20091</v>
      </c>
    </row>
    <row r="6816" spans="6:8">
      <c r="H6816" t="s">
        <v>19712</v>
      </c>
    </row>
    <row r="6817" spans="6:8">
      <c r="H6817" t="s">
        <v>20092</v>
      </c>
    </row>
    <row r="6818" spans="6:8">
      <c r="H6818" t="s">
        <v>20093</v>
      </c>
    </row>
    <row r="6819" spans="6:8">
      <c r="H6819" t="s">
        <v>20094</v>
      </c>
    </row>
    <row r="6820" spans="6:8">
      <c r="H6820" t="s">
        <v>20095</v>
      </c>
    </row>
    <row r="6821" spans="6:8">
      <c r="H6821" t="s">
        <v>20096</v>
      </c>
    </row>
    <row r="6822" spans="6:8">
      <c r="H6822" t="s">
        <v>20097</v>
      </c>
    </row>
    <row r="6823" spans="6:8">
      <c r="H6823" t="s">
        <v>20098</v>
      </c>
    </row>
    <row r="6824" spans="6:8">
      <c r="H6824" t="s">
        <v>20099</v>
      </c>
    </row>
    <row r="6825" spans="6:8">
      <c r="H6825" t="s">
        <v>20100</v>
      </c>
    </row>
    <row r="6826" spans="6:8">
      <c r="H6826" t="s">
        <v>20101</v>
      </c>
    </row>
    <row r="6827" spans="6:8">
      <c r="H6827" t="s">
        <v>20102</v>
      </c>
    </row>
    <row r="6828" spans="6:8">
      <c r="F6828" t="s">
        <v>11059</v>
      </c>
      <c r="G6828" t="s">
        <v>15450</v>
      </c>
      <c r="H6828" t="s">
        <v>20091</v>
      </c>
    </row>
    <row r="6829" spans="6:8">
      <c r="H6829" t="s">
        <v>20095</v>
      </c>
    </row>
    <row r="6830" spans="6:8">
      <c r="F6830" t="s">
        <v>11060</v>
      </c>
      <c r="G6830" t="s">
        <v>15451</v>
      </c>
      <c r="H6830" t="s">
        <v>20091</v>
      </c>
    </row>
    <row r="6831" spans="6:8">
      <c r="H6831" t="s">
        <v>20095</v>
      </c>
    </row>
    <row r="6832" spans="6:8">
      <c r="F6832" t="s">
        <v>11061</v>
      </c>
      <c r="G6832" t="s">
        <v>15452</v>
      </c>
      <c r="H6832" t="s">
        <v>20091</v>
      </c>
    </row>
    <row r="6833" spans="6:8">
      <c r="H6833" t="s">
        <v>20095</v>
      </c>
    </row>
    <row r="6834" spans="6:8">
      <c r="F6834" t="s">
        <v>11062</v>
      </c>
      <c r="G6834" t="s">
        <v>15453</v>
      </c>
      <c r="H6834" t="s">
        <v>20091</v>
      </c>
    </row>
    <row r="6835" spans="6:8">
      <c r="H6835" t="s">
        <v>20095</v>
      </c>
    </row>
    <row r="6836" spans="6:8">
      <c r="F6836" t="s">
        <v>11063</v>
      </c>
      <c r="G6836" t="s">
        <v>15454</v>
      </c>
      <c r="H6836" t="s">
        <v>20091</v>
      </c>
    </row>
    <row r="6837" spans="6:8">
      <c r="H6837" t="s">
        <v>20095</v>
      </c>
    </row>
    <row r="6838" spans="6:8">
      <c r="F6838" t="s">
        <v>11064</v>
      </c>
      <c r="G6838" t="s">
        <v>15455</v>
      </c>
      <c r="H6838" t="s">
        <v>20091</v>
      </c>
    </row>
    <row r="6839" spans="6:8">
      <c r="H6839" t="s">
        <v>20095</v>
      </c>
    </row>
    <row r="6840" spans="6:8">
      <c r="F6840" t="s">
        <v>11065</v>
      </c>
      <c r="G6840" t="s">
        <v>15456</v>
      </c>
      <c r="H6840" t="s">
        <v>20091</v>
      </c>
    </row>
    <row r="6841" spans="6:8">
      <c r="H6841" t="s">
        <v>20095</v>
      </c>
    </row>
    <row r="6842" spans="6:8">
      <c r="F6842" t="s">
        <v>11066</v>
      </c>
      <c r="G6842" t="s">
        <v>15457</v>
      </c>
      <c r="H6842" t="s">
        <v>20091</v>
      </c>
    </row>
    <row r="6843" spans="6:8">
      <c r="H6843" t="s">
        <v>19712</v>
      </c>
    </row>
    <row r="6844" spans="6:8">
      <c r="H6844" t="s">
        <v>19709</v>
      </c>
    </row>
    <row r="6845" spans="6:8">
      <c r="H6845" t="s">
        <v>19706</v>
      </c>
    </row>
    <row r="6846" spans="6:8">
      <c r="H6846" t="s">
        <v>19707</v>
      </c>
    </row>
    <row r="6847" spans="6:8">
      <c r="H6847" t="s">
        <v>19711</v>
      </c>
    </row>
    <row r="6848" spans="6:8">
      <c r="H6848" t="s">
        <v>20107</v>
      </c>
    </row>
    <row r="6849" spans="6:8">
      <c r="H6849" t="s">
        <v>20108</v>
      </c>
    </row>
    <row r="6850" spans="6:8">
      <c r="H6850" t="s">
        <v>19713</v>
      </c>
    </row>
    <row r="6851" spans="6:8">
      <c r="H6851" t="s">
        <v>19714</v>
      </c>
    </row>
    <row r="6852" spans="6:8">
      <c r="H6852" t="s">
        <v>20109</v>
      </c>
    </row>
    <row r="6853" spans="6:8">
      <c r="H6853" t="s">
        <v>20110</v>
      </c>
    </row>
    <row r="6854" spans="6:8">
      <c r="H6854" t="s">
        <v>20092</v>
      </c>
    </row>
    <row r="6855" spans="6:8">
      <c r="H6855" t="s">
        <v>20095</v>
      </c>
    </row>
    <row r="6856" spans="6:8">
      <c r="H6856" t="s">
        <v>20096</v>
      </c>
    </row>
    <row r="6857" spans="6:8">
      <c r="H6857" t="s">
        <v>20097</v>
      </c>
    </row>
    <row r="6858" spans="6:8">
      <c r="H6858" t="s">
        <v>20098</v>
      </c>
    </row>
    <row r="6859" spans="6:8">
      <c r="F6859" t="s">
        <v>11067</v>
      </c>
      <c r="G6859" t="s">
        <v>15458</v>
      </c>
      <c r="H6859" t="s">
        <v>20091</v>
      </c>
    </row>
    <row r="6860" spans="6:8">
      <c r="H6860" t="s">
        <v>19712</v>
      </c>
    </row>
    <row r="6861" spans="6:8">
      <c r="H6861" t="s">
        <v>20107</v>
      </c>
    </row>
    <row r="6862" spans="6:8">
      <c r="H6862" t="s">
        <v>20095</v>
      </c>
    </row>
    <row r="6863" spans="6:8">
      <c r="H6863" t="s">
        <v>20096</v>
      </c>
    </row>
    <row r="6864" spans="6:8">
      <c r="H6864" t="s">
        <v>20097</v>
      </c>
    </row>
    <row r="6865" spans="6:8">
      <c r="H6865" t="s">
        <v>20098</v>
      </c>
    </row>
    <row r="6866" spans="6:8">
      <c r="H6866" t="s">
        <v>20099</v>
      </c>
    </row>
    <row r="6867" spans="6:8">
      <c r="F6867" t="s">
        <v>11068</v>
      </c>
      <c r="G6867" t="s">
        <v>15459</v>
      </c>
      <c r="H6867" t="s">
        <v>20091</v>
      </c>
    </row>
    <row r="6868" spans="6:8">
      <c r="H6868" t="s">
        <v>19712</v>
      </c>
    </row>
    <row r="6869" spans="6:8">
      <c r="H6869" t="s">
        <v>20107</v>
      </c>
    </row>
    <row r="6870" spans="6:8">
      <c r="H6870" t="s">
        <v>20095</v>
      </c>
    </row>
    <row r="6871" spans="6:8">
      <c r="H6871" t="s">
        <v>20096</v>
      </c>
    </row>
    <row r="6872" spans="6:8">
      <c r="H6872" t="s">
        <v>20097</v>
      </c>
    </row>
    <row r="6873" spans="6:8">
      <c r="H6873" t="s">
        <v>20098</v>
      </c>
    </row>
    <row r="6874" spans="6:8">
      <c r="H6874" t="s">
        <v>20099</v>
      </c>
    </row>
    <row r="6875" spans="6:8">
      <c r="F6875" t="s">
        <v>11069</v>
      </c>
      <c r="G6875" t="s">
        <v>15460</v>
      </c>
      <c r="H6875" t="s">
        <v>20091</v>
      </c>
    </row>
    <row r="6876" spans="6:8">
      <c r="H6876" t="s">
        <v>19712</v>
      </c>
    </row>
    <row r="6877" spans="6:8">
      <c r="H6877" t="s">
        <v>19709</v>
      </c>
    </row>
    <row r="6878" spans="6:8">
      <c r="H6878" t="s">
        <v>19706</v>
      </c>
    </row>
    <row r="6879" spans="6:8">
      <c r="H6879" t="s">
        <v>20107</v>
      </c>
    </row>
    <row r="6880" spans="6:8">
      <c r="H6880" t="s">
        <v>20108</v>
      </c>
    </row>
    <row r="6881" spans="6:8">
      <c r="H6881" t="s">
        <v>19713</v>
      </c>
    </row>
    <row r="6882" spans="6:8">
      <c r="H6882" t="s">
        <v>19714</v>
      </c>
    </row>
    <row r="6883" spans="6:8">
      <c r="H6883" t="s">
        <v>20095</v>
      </c>
    </row>
    <row r="6884" spans="6:8">
      <c r="H6884" t="s">
        <v>20096</v>
      </c>
    </row>
    <row r="6885" spans="6:8">
      <c r="H6885" t="s">
        <v>20097</v>
      </c>
    </row>
    <row r="6886" spans="6:8">
      <c r="H6886" t="s">
        <v>20098</v>
      </c>
    </row>
    <row r="6887" spans="6:8">
      <c r="H6887" t="s">
        <v>20099</v>
      </c>
    </row>
    <row r="6888" spans="6:8">
      <c r="H6888" t="s">
        <v>20100</v>
      </c>
    </row>
    <row r="6889" spans="6:8">
      <c r="F6889" t="s">
        <v>11070</v>
      </c>
      <c r="G6889" t="s">
        <v>15461</v>
      </c>
      <c r="H6889" t="s">
        <v>20091</v>
      </c>
    </row>
    <row r="6890" spans="6:8">
      <c r="H6890" t="s">
        <v>19712</v>
      </c>
    </row>
    <row r="6891" spans="6:8">
      <c r="H6891" t="s">
        <v>19709</v>
      </c>
    </row>
    <row r="6892" spans="6:8">
      <c r="H6892" t="s">
        <v>19706</v>
      </c>
    </row>
    <row r="6893" spans="6:8">
      <c r="H6893" t="s">
        <v>19707</v>
      </c>
    </row>
    <row r="6894" spans="6:8">
      <c r="H6894" t="s">
        <v>19711</v>
      </c>
    </row>
    <row r="6895" spans="6:8">
      <c r="H6895" t="s">
        <v>20107</v>
      </c>
    </row>
    <row r="6896" spans="6:8">
      <c r="H6896" t="s">
        <v>20108</v>
      </c>
    </row>
    <row r="6897" spans="6:8">
      <c r="H6897" t="s">
        <v>19713</v>
      </c>
    </row>
    <row r="6898" spans="6:8">
      <c r="H6898" t="s">
        <v>19714</v>
      </c>
    </row>
    <row r="6899" spans="6:8">
      <c r="H6899" t="s">
        <v>20109</v>
      </c>
    </row>
    <row r="6900" spans="6:8">
      <c r="H6900" t="s">
        <v>20095</v>
      </c>
    </row>
    <row r="6901" spans="6:8">
      <c r="H6901" t="s">
        <v>20096</v>
      </c>
    </row>
    <row r="6902" spans="6:8">
      <c r="H6902" t="s">
        <v>20097</v>
      </c>
    </row>
    <row r="6903" spans="6:8">
      <c r="H6903" t="s">
        <v>20098</v>
      </c>
    </row>
    <row r="6904" spans="6:8">
      <c r="H6904" t="s">
        <v>20099</v>
      </c>
    </row>
    <row r="6905" spans="6:8">
      <c r="H6905" t="s">
        <v>20100</v>
      </c>
    </row>
    <row r="6906" spans="6:8">
      <c r="F6906" t="s">
        <v>11071</v>
      </c>
      <c r="G6906" t="s">
        <v>15462</v>
      </c>
      <c r="H6906" t="s">
        <v>20091</v>
      </c>
    </row>
    <row r="6907" spans="6:8">
      <c r="H6907" t="s">
        <v>19712</v>
      </c>
    </row>
    <row r="6908" spans="6:8">
      <c r="H6908" t="s">
        <v>19709</v>
      </c>
    </row>
    <row r="6909" spans="6:8">
      <c r="H6909" t="s">
        <v>19706</v>
      </c>
    </row>
    <row r="6910" spans="6:8">
      <c r="H6910" t="s">
        <v>19707</v>
      </c>
    </row>
    <row r="6911" spans="6:8">
      <c r="H6911" t="s">
        <v>19711</v>
      </c>
    </row>
    <row r="6912" spans="6:8">
      <c r="H6912" t="s">
        <v>20107</v>
      </c>
    </row>
    <row r="6913" spans="6:8">
      <c r="H6913" t="s">
        <v>20108</v>
      </c>
    </row>
    <row r="6914" spans="6:8">
      <c r="H6914" t="s">
        <v>19713</v>
      </c>
    </row>
    <row r="6915" spans="6:8">
      <c r="H6915" t="s">
        <v>19714</v>
      </c>
    </row>
    <row r="6916" spans="6:8">
      <c r="H6916" t="s">
        <v>20109</v>
      </c>
    </row>
    <row r="6917" spans="6:8">
      <c r="H6917" t="s">
        <v>20095</v>
      </c>
    </row>
    <row r="6918" spans="6:8">
      <c r="H6918" t="s">
        <v>20096</v>
      </c>
    </row>
    <row r="6919" spans="6:8">
      <c r="H6919" t="s">
        <v>20097</v>
      </c>
    </row>
    <row r="6920" spans="6:8">
      <c r="H6920" t="s">
        <v>20098</v>
      </c>
    </row>
    <row r="6921" spans="6:8">
      <c r="H6921" t="s">
        <v>20099</v>
      </c>
    </row>
    <row r="6922" spans="6:8">
      <c r="H6922" t="s">
        <v>20100</v>
      </c>
    </row>
    <row r="6923" spans="6:8">
      <c r="F6923" t="s">
        <v>11072</v>
      </c>
      <c r="G6923" t="s">
        <v>15463</v>
      </c>
      <c r="H6923" t="s">
        <v>20091</v>
      </c>
    </row>
    <row r="6924" spans="6:8">
      <c r="H6924" t="s">
        <v>19712</v>
      </c>
    </row>
    <row r="6925" spans="6:8">
      <c r="H6925" t="s">
        <v>19709</v>
      </c>
    </row>
    <row r="6926" spans="6:8">
      <c r="H6926" t="s">
        <v>19706</v>
      </c>
    </row>
    <row r="6927" spans="6:8">
      <c r="H6927" t="s">
        <v>19707</v>
      </c>
    </row>
    <row r="6928" spans="6:8">
      <c r="H6928" t="s">
        <v>19711</v>
      </c>
    </row>
    <row r="6929" spans="6:8">
      <c r="H6929" t="s">
        <v>20107</v>
      </c>
    </row>
    <row r="6930" spans="6:8">
      <c r="H6930" t="s">
        <v>20108</v>
      </c>
    </row>
    <row r="6931" spans="6:8">
      <c r="H6931" t="s">
        <v>19713</v>
      </c>
    </row>
    <row r="6932" spans="6:8">
      <c r="H6932" t="s">
        <v>19714</v>
      </c>
    </row>
    <row r="6933" spans="6:8">
      <c r="H6933" t="s">
        <v>20109</v>
      </c>
    </row>
    <row r="6934" spans="6:8">
      <c r="H6934" t="s">
        <v>20095</v>
      </c>
    </row>
    <row r="6935" spans="6:8">
      <c r="H6935" t="s">
        <v>20096</v>
      </c>
    </row>
    <row r="6936" spans="6:8">
      <c r="H6936" t="s">
        <v>20097</v>
      </c>
    </row>
    <row r="6937" spans="6:8">
      <c r="H6937" t="s">
        <v>20098</v>
      </c>
    </row>
    <row r="6938" spans="6:8">
      <c r="H6938" t="s">
        <v>20099</v>
      </c>
    </row>
    <row r="6939" spans="6:8">
      <c r="H6939" t="s">
        <v>20100</v>
      </c>
    </row>
    <row r="6940" spans="6:8">
      <c r="F6940" t="s">
        <v>11073</v>
      </c>
      <c r="G6940" t="s">
        <v>15464</v>
      </c>
      <c r="H6940" t="s">
        <v>20091</v>
      </c>
    </row>
    <row r="6941" spans="6:8">
      <c r="H6941" t="s">
        <v>19712</v>
      </c>
    </row>
    <row r="6942" spans="6:8">
      <c r="H6942" t="s">
        <v>19709</v>
      </c>
    </row>
    <row r="6943" spans="6:8">
      <c r="H6943" t="s">
        <v>19706</v>
      </c>
    </row>
    <row r="6944" spans="6:8">
      <c r="H6944" t="s">
        <v>19707</v>
      </c>
    </row>
    <row r="6945" spans="6:8">
      <c r="H6945" t="s">
        <v>19711</v>
      </c>
    </row>
    <row r="6946" spans="6:8">
      <c r="H6946" t="s">
        <v>20107</v>
      </c>
    </row>
    <row r="6947" spans="6:8">
      <c r="H6947" t="s">
        <v>20108</v>
      </c>
    </row>
    <row r="6948" spans="6:8">
      <c r="H6948" t="s">
        <v>19713</v>
      </c>
    </row>
    <row r="6949" spans="6:8">
      <c r="H6949" t="s">
        <v>19714</v>
      </c>
    </row>
    <row r="6950" spans="6:8">
      <c r="H6950" t="s">
        <v>20109</v>
      </c>
    </row>
    <row r="6951" spans="6:8">
      <c r="H6951" t="s">
        <v>20095</v>
      </c>
    </row>
    <row r="6952" spans="6:8">
      <c r="H6952" t="s">
        <v>20096</v>
      </c>
    </row>
    <row r="6953" spans="6:8">
      <c r="H6953" t="s">
        <v>20097</v>
      </c>
    </row>
    <row r="6954" spans="6:8">
      <c r="H6954" t="s">
        <v>20098</v>
      </c>
    </row>
    <row r="6955" spans="6:8">
      <c r="H6955" t="s">
        <v>20099</v>
      </c>
    </row>
    <row r="6956" spans="6:8">
      <c r="H6956" t="s">
        <v>20100</v>
      </c>
    </row>
    <row r="6957" spans="6:8">
      <c r="F6957" t="s">
        <v>11074</v>
      </c>
      <c r="G6957" t="s">
        <v>15465</v>
      </c>
      <c r="H6957" t="s">
        <v>20091</v>
      </c>
    </row>
    <row r="6958" spans="6:8">
      <c r="H6958" t="s">
        <v>19712</v>
      </c>
    </row>
    <row r="6959" spans="6:8">
      <c r="H6959" t="s">
        <v>19709</v>
      </c>
    </row>
    <row r="6960" spans="6:8">
      <c r="H6960" t="s">
        <v>19706</v>
      </c>
    </row>
    <row r="6961" spans="6:8">
      <c r="H6961" t="s">
        <v>20107</v>
      </c>
    </row>
    <row r="6962" spans="6:8">
      <c r="H6962" t="s">
        <v>20108</v>
      </c>
    </row>
    <row r="6963" spans="6:8">
      <c r="H6963" t="s">
        <v>19713</v>
      </c>
    </row>
    <row r="6964" spans="6:8">
      <c r="H6964" t="s">
        <v>19714</v>
      </c>
    </row>
    <row r="6965" spans="6:8">
      <c r="H6965" t="s">
        <v>20095</v>
      </c>
    </row>
    <row r="6966" spans="6:8">
      <c r="H6966" t="s">
        <v>20096</v>
      </c>
    </row>
    <row r="6967" spans="6:8">
      <c r="H6967" t="s">
        <v>20097</v>
      </c>
    </row>
    <row r="6968" spans="6:8">
      <c r="H6968" t="s">
        <v>20098</v>
      </c>
    </row>
    <row r="6969" spans="6:8">
      <c r="H6969" t="s">
        <v>20099</v>
      </c>
    </row>
    <row r="6970" spans="6:8">
      <c r="H6970" t="s">
        <v>20100</v>
      </c>
    </row>
    <row r="6971" spans="6:8">
      <c r="F6971" t="s">
        <v>11075</v>
      </c>
      <c r="G6971" t="s">
        <v>15466</v>
      </c>
      <c r="H6971" t="s">
        <v>20091</v>
      </c>
    </row>
    <row r="6972" spans="6:8">
      <c r="H6972" t="s">
        <v>19712</v>
      </c>
    </row>
    <row r="6973" spans="6:8">
      <c r="H6973" t="s">
        <v>19709</v>
      </c>
    </row>
    <row r="6974" spans="6:8">
      <c r="H6974" t="s">
        <v>20107</v>
      </c>
    </row>
    <row r="6975" spans="6:8">
      <c r="H6975" t="s">
        <v>20108</v>
      </c>
    </row>
    <row r="6976" spans="6:8">
      <c r="H6976" t="s">
        <v>20095</v>
      </c>
    </row>
    <row r="6977" spans="6:8">
      <c r="H6977" t="s">
        <v>20096</v>
      </c>
    </row>
    <row r="6978" spans="6:8">
      <c r="H6978" t="s">
        <v>20097</v>
      </c>
    </row>
    <row r="6979" spans="6:8">
      <c r="H6979" t="s">
        <v>20098</v>
      </c>
    </row>
    <row r="6980" spans="6:8">
      <c r="H6980" t="s">
        <v>20099</v>
      </c>
    </row>
    <row r="6981" spans="6:8">
      <c r="H6981" t="s">
        <v>20100</v>
      </c>
    </row>
    <row r="6982" spans="6:8">
      <c r="F6982" t="s">
        <v>11076</v>
      </c>
      <c r="G6982" t="s">
        <v>15467</v>
      </c>
      <c r="H6982" t="s">
        <v>20091</v>
      </c>
    </row>
    <row r="6983" spans="6:8">
      <c r="H6983" t="s">
        <v>19712</v>
      </c>
    </row>
    <row r="6984" spans="6:8">
      <c r="H6984" t="s">
        <v>19709</v>
      </c>
    </row>
    <row r="6985" spans="6:8">
      <c r="H6985" t="s">
        <v>20107</v>
      </c>
    </row>
    <row r="6986" spans="6:8">
      <c r="H6986" t="s">
        <v>20108</v>
      </c>
    </row>
    <row r="6987" spans="6:8">
      <c r="H6987" t="s">
        <v>20095</v>
      </c>
    </row>
    <row r="6988" spans="6:8">
      <c r="H6988" t="s">
        <v>20096</v>
      </c>
    </row>
    <row r="6989" spans="6:8">
      <c r="H6989" t="s">
        <v>20097</v>
      </c>
    </row>
    <row r="6990" spans="6:8">
      <c r="H6990" t="s">
        <v>20098</v>
      </c>
    </row>
    <row r="6991" spans="6:8">
      <c r="H6991" t="s">
        <v>20099</v>
      </c>
    </row>
    <row r="6992" spans="6:8">
      <c r="H6992" t="s">
        <v>20100</v>
      </c>
    </row>
    <row r="6993" spans="6:8">
      <c r="F6993" t="s">
        <v>11077</v>
      </c>
      <c r="G6993" t="s">
        <v>15468</v>
      </c>
      <c r="H6993" t="s">
        <v>20091</v>
      </c>
    </row>
    <row r="6994" spans="6:8">
      <c r="H6994" t="s">
        <v>19712</v>
      </c>
    </row>
    <row r="6995" spans="6:8">
      <c r="H6995" t="s">
        <v>19709</v>
      </c>
    </row>
    <row r="6996" spans="6:8">
      <c r="H6996" t="s">
        <v>20107</v>
      </c>
    </row>
    <row r="6997" spans="6:8">
      <c r="H6997" t="s">
        <v>20108</v>
      </c>
    </row>
    <row r="6998" spans="6:8">
      <c r="H6998" t="s">
        <v>20095</v>
      </c>
    </row>
    <row r="6999" spans="6:8">
      <c r="H6999" t="s">
        <v>20096</v>
      </c>
    </row>
    <row r="7000" spans="6:8">
      <c r="H7000" t="s">
        <v>20097</v>
      </c>
    </row>
    <row r="7001" spans="6:8">
      <c r="H7001" t="s">
        <v>20098</v>
      </c>
    </row>
    <row r="7002" spans="6:8">
      <c r="H7002" t="s">
        <v>20099</v>
      </c>
    </row>
    <row r="7003" spans="6:8">
      <c r="H7003" t="s">
        <v>20100</v>
      </c>
    </row>
    <row r="7004" spans="6:8">
      <c r="F7004" t="s">
        <v>11078</v>
      </c>
      <c r="G7004" t="s">
        <v>15469</v>
      </c>
      <c r="H7004" t="s">
        <v>20091</v>
      </c>
    </row>
    <row r="7005" spans="6:8">
      <c r="H7005" t="s">
        <v>19712</v>
      </c>
    </row>
    <row r="7006" spans="6:8">
      <c r="H7006" t="s">
        <v>19709</v>
      </c>
    </row>
    <row r="7007" spans="6:8">
      <c r="H7007" t="s">
        <v>20107</v>
      </c>
    </row>
    <row r="7008" spans="6:8">
      <c r="H7008" t="s">
        <v>20108</v>
      </c>
    </row>
    <row r="7009" spans="6:8">
      <c r="H7009" t="s">
        <v>20095</v>
      </c>
    </row>
    <row r="7010" spans="6:8">
      <c r="H7010" t="s">
        <v>20096</v>
      </c>
    </row>
    <row r="7011" spans="6:8">
      <c r="H7011" t="s">
        <v>20097</v>
      </c>
    </row>
    <row r="7012" spans="6:8">
      <c r="H7012" t="s">
        <v>20098</v>
      </c>
    </row>
    <row r="7013" spans="6:8">
      <c r="H7013" t="s">
        <v>20099</v>
      </c>
    </row>
    <row r="7014" spans="6:8">
      <c r="H7014" t="s">
        <v>20100</v>
      </c>
    </row>
    <row r="7015" spans="6:8">
      <c r="F7015" t="s">
        <v>11079</v>
      </c>
      <c r="G7015" t="s">
        <v>15470</v>
      </c>
      <c r="H7015" t="s">
        <v>20091</v>
      </c>
    </row>
    <row r="7016" spans="6:8">
      <c r="H7016" t="s">
        <v>19712</v>
      </c>
    </row>
    <row r="7017" spans="6:8">
      <c r="H7017" t="s">
        <v>19709</v>
      </c>
    </row>
    <row r="7018" spans="6:8">
      <c r="H7018" t="s">
        <v>20107</v>
      </c>
    </row>
    <row r="7019" spans="6:8">
      <c r="H7019" t="s">
        <v>20108</v>
      </c>
    </row>
    <row r="7020" spans="6:8">
      <c r="H7020" t="s">
        <v>20095</v>
      </c>
    </row>
    <row r="7021" spans="6:8">
      <c r="H7021" t="s">
        <v>20096</v>
      </c>
    </row>
    <row r="7022" spans="6:8">
      <c r="H7022" t="s">
        <v>20097</v>
      </c>
    </row>
    <row r="7023" spans="6:8">
      <c r="H7023" t="s">
        <v>20098</v>
      </c>
    </row>
    <row r="7024" spans="6:8">
      <c r="H7024" t="s">
        <v>20099</v>
      </c>
    </row>
    <row r="7025" spans="6:8">
      <c r="H7025" t="s">
        <v>20100</v>
      </c>
    </row>
    <row r="7026" spans="6:8">
      <c r="F7026" t="s">
        <v>11080</v>
      </c>
      <c r="G7026" t="s">
        <v>15471</v>
      </c>
      <c r="H7026" t="s">
        <v>20091</v>
      </c>
    </row>
    <row r="7027" spans="6:8">
      <c r="H7027" t="s">
        <v>19712</v>
      </c>
    </row>
    <row r="7028" spans="6:8">
      <c r="H7028" t="s">
        <v>19709</v>
      </c>
    </row>
    <row r="7029" spans="6:8">
      <c r="H7029" t="s">
        <v>20107</v>
      </c>
    </row>
    <row r="7030" spans="6:8">
      <c r="H7030" t="s">
        <v>20108</v>
      </c>
    </row>
    <row r="7031" spans="6:8">
      <c r="H7031" t="s">
        <v>20095</v>
      </c>
    </row>
    <row r="7032" spans="6:8">
      <c r="H7032" t="s">
        <v>20096</v>
      </c>
    </row>
    <row r="7033" spans="6:8">
      <c r="H7033" t="s">
        <v>20097</v>
      </c>
    </row>
    <row r="7034" spans="6:8">
      <c r="H7034" t="s">
        <v>20098</v>
      </c>
    </row>
    <row r="7035" spans="6:8">
      <c r="H7035" t="s">
        <v>20099</v>
      </c>
    </row>
    <row r="7036" spans="6:8">
      <c r="H7036" t="s">
        <v>20100</v>
      </c>
    </row>
    <row r="7037" spans="6:8">
      <c r="F7037" t="s">
        <v>11081</v>
      </c>
      <c r="G7037" t="s">
        <v>15472</v>
      </c>
      <c r="H7037" t="s">
        <v>20091</v>
      </c>
    </row>
    <row r="7038" spans="6:8">
      <c r="H7038" t="s">
        <v>19712</v>
      </c>
    </row>
    <row r="7039" spans="6:8">
      <c r="H7039" t="s">
        <v>20095</v>
      </c>
    </row>
    <row r="7040" spans="6:8">
      <c r="H7040" t="s">
        <v>20096</v>
      </c>
    </row>
    <row r="7041" spans="6:8">
      <c r="H7041" t="s">
        <v>20097</v>
      </c>
    </row>
    <row r="7042" spans="6:8">
      <c r="H7042" t="s">
        <v>20098</v>
      </c>
    </row>
    <row r="7043" spans="6:8">
      <c r="H7043" t="s">
        <v>20099</v>
      </c>
    </row>
    <row r="7044" spans="6:8">
      <c r="F7044" t="s">
        <v>11082</v>
      </c>
      <c r="G7044" t="s">
        <v>15473</v>
      </c>
      <c r="H7044" t="s">
        <v>20091</v>
      </c>
    </row>
    <row r="7045" spans="6:8">
      <c r="H7045" t="s">
        <v>19712</v>
      </c>
    </row>
    <row r="7046" spans="6:8">
      <c r="H7046" t="s">
        <v>20095</v>
      </c>
    </row>
    <row r="7047" spans="6:8">
      <c r="H7047" t="s">
        <v>20096</v>
      </c>
    </row>
    <row r="7048" spans="6:8">
      <c r="H7048" t="s">
        <v>20097</v>
      </c>
    </row>
    <row r="7049" spans="6:8">
      <c r="H7049" t="s">
        <v>20098</v>
      </c>
    </row>
    <row r="7050" spans="6:8">
      <c r="H7050" t="s">
        <v>20099</v>
      </c>
    </row>
    <row r="7051" spans="6:8">
      <c r="F7051" t="s">
        <v>11083</v>
      </c>
      <c r="G7051" t="s">
        <v>15474</v>
      </c>
      <c r="H7051" t="s">
        <v>20091</v>
      </c>
    </row>
    <row r="7052" spans="6:8">
      <c r="H7052" t="s">
        <v>19712</v>
      </c>
    </row>
    <row r="7053" spans="6:8">
      <c r="H7053" t="s">
        <v>19709</v>
      </c>
    </row>
    <row r="7054" spans="6:8">
      <c r="H7054" t="s">
        <v>20107</v>
      </c>
    </row>
    <row r="7055" spans="6:8">
      <c r="H7055" t="s">
        <v>20108</v>
      </c>
    </row>
    <row r="7056" spans="6:8">
      <c r="H7056" t="s">
        <v>19713</v>
      </c>
    </row>
    <row r="7057" spans="8:8">
      <c r="H7057" t="s">
        <v>19714</v>
      </c>
    </row>
    <row r="7058" spans="8:8">
      <c r="H7058" t="s">
        <v>20109</v>
      </c>
    </row>
    <row r="7059" spans="8:8">
      <c r="H7059" t="s">
        <v>20110</v>
      </c>
    </row>
    <row r="7060" spans="8:8">
      <c r="H7060" t="s">
        <v>20111</v>
      </c>
    </row>
    <row r="7061" spans="8:8">
      <c r="H7061" t="s">
        <v>20095</v>
      </c>
    </row>
    <row r="7062" spans="8:8">
      <c r="H7062" t="s">
        <v>20096</v>
      </c>
    </row>
    <row r="7063" spans="8:8">
      <c r="H7063" t="s">
        <v>20097</v>
      </c>
    </row>
    <row r="7064" spans="8:8">
      <c r="H7064" t="s">
        <v>20098</v>
      </c>
    </row>
    <row r="7065" spans="8:8">
      <c r="H7065" t="s">
        <v>19706</v>
      </c>
    </row>
    <row r="7066" spans="8:8">
      <c r="H7066" t="s">
        <v>19707</v>
      </c>
    </row>
    <row r="7067" spans="8:8">
      <c r="H7067" t="s">
        <v>19711</v>
      </c>
    </row>
    <row r="7068" spans="8:8">
      <c r="H7068" t="s">
        <v>20112</v>
      </c>
    </row>
    <row r="7069" spans="8:8">
      <c r="H7069" t="s">
        <v>20113</v>
      </c>
    </row>
    <row r="7070" spans="8:8">
      <c r="H7070" t="s">
        <v>20114</v>
      </c>
    </row>
    <row r="7071" spans="8:8">
      <c r="H7071" t="s">
        <v>20115</v>
      </c>
    </row>
    <row r="7072" spans="8:8">
      <c r="H7072" t="s">
        <v>20120</v>
      </c>
    </row>
    <row r="7073" spans="6:8">
      <c r="H7073" t="s">
        <v>20121</v>
      </c>
    </row>
    <row r="7074" spans="6:8">
      <c r="H7074" t="s">
        <v>20122</v>
      </c>
    </row>
    <row r="7075" spans="6:8">
      <c r="H7075" t="s">
        <v>20099</v>
      </c>
    </row>
    <row r="7076" spans="6:8">
      <c r="H7076" t="s">
        <v>20100</v>
      </c>
    </row>
    <row r="7077" spans="6:8">
      <c r="H7077" t="s">
        <v>20101</v>
      </c>
    </row>
    <row r="7078" spans="6:8">
      <c r="H7078" t="s">
        <v>20102</v>
      </c>
    </row>
    <row r="7079" spans="6:8">
      <c r="F7079" t="s">
        <v>11084</v>
      </c>
      <c r="G7079" t="s">
        <v>15475</v>
      </c>
      <c r="H7079" t="s">
        <v>20091</v>
      </c>
    </row>
    <row r="7080" spans="6:8">
      <c r="H7080" t="s">
        <v>19712</v>
      </c>
    </row>
    <row r="7081" spans="6:8">
      <c r="H7081" t="s">
        <v>20095</v>
      </c>
    </row>
    <row r="7082" spans="6:8">
      <c r="H7082" t="s">
        <v>20096</v>
      </c>
    </row>
    <row r="7083" spans="6:8">
      <c r="H7083" t="s">
        <v>20097</v>
      </c>
    </row>
    <row r="7084" spans="6:8">
      <c r="H7084" t="s">
        <v>20098</v>
      </c>
    </row>
    <row r="7085" spans="6:8">
      <c r="H7085" t="s">
        <v>19709</v>
      </c>
    </row>
    <row r="7086" spans="6:8">
      <c r="H7086" t="s">
        <v>19706</v>
      </c>
    </row>
    <row r="7087" spans="6:8">
      <c r="H7087" t="s">
        <v>20099</v>
      </c>
    </row>
    <row r="7088" spans="6:8">
      <c r="H7088" t="s">
        <v>20100</v>
      </c>
    </row>
    <row r="7089" spans="6:8">
      <c r="H7089" t="s">
        <v>20101</v>
      </c>
    </row>
    <row r="7090" spans="6:8">
      <c r="H7090" t="s">
        <v>20102</v>
      </c>
    </row>
    <row r="7091" spans="6:8">
      <c r="F7091" t="s">
        <v>11085</v>
      </c>
      <c r="G7091" t="s">
        <v>15476</v>
      </c>
      <c r="H7091" t="s">
        <v>20091</v>
      </c>
    </row>
    <row r="7092" spans="6:8">
      <c r="H7092" t="s">
        <v>19712</v>
      </c>
    </row>
    <row r="7093" spans="6:8">
      <c r="H7093" t="s">
        <v>20095</v>
      </c>
    </row>
    <row r="7094" spans="6:8">
      <c r="H7094" t="s">
        <v>20096</v>
      </c>
    </row>
    <row r="7095" spans="6:8">
      <c r="H7095" t="s">
        <v>20097</v>
      </c>
    </row>
    <row r="7096" spans="6:8">
      <c r="H7096" t="s">
        <v>20098</v>
      </c>
    </row>
    <row r="7097" spans="6:8">
      <c r="F7097" t="s">
        <v>11086</v>
      </c>
      <c r="G7097" t="s">
        <v>15477</v>
      </c>
      <c r="H7097" t="s">
        <v>20091</v>
      </c>
    </row>
    <row r="7098" spans="6:8">
      <c r="H7098" t="s">
        <v>19712</v>
      </c>
    </row>
    <row r="7099" spans="6:8">
      <c r="H7099" t="s">
        <v>20095</v>
      </c>
    </row>
    <row r="7100" spans="6:8">
      <c r="H7100" t="s">
        <v>20096</v>
      </c>
    </row>
    <row r="7101" spans="6:8">
      <c r="H7101" t="s">
        <v>20097</v>
      </c>
    </row>
    <row r="7102" spans="6:8">
      <c r="H7102" t="s">
        <v>20098</v>
      </c>
    </row>
    <row r="7103" spans="6:8">
      <c r="F7103" t="s">
        <v>11087</v>
      </c>
      <c r="G7103" t="s">
        <v>15478</v>
      </c>
      <c r="H7103" t="s">
        <v>20091</v>
      </c>
    </row>
    <row r="7104" spans="6:8">
      <c r="H7104" t="s">
        <v>19712</v>
      </c>
    </row>
    <row r="7105" spans="6:8">
      <c r="H7105" t="s">
        <v>20095</v>
      </c>
    </row>
    <row r="7106" spans="6:8">
      <c r="H7106" t="s">
        <v>20096</v>
      </c>
    </row>
    <row r="7107" spans="6:8">
      <c r="H7107" t="s">
        <v>20097</v>
      </c>
    </row>
    <row r="7108" spans="6:8">
      <c r="H7108" t="s">
        <v>20098</v>
      </c>
    </row>
    <row r="7109" spans="6:8">
      <c r="F7109" t="s">
        <v>11088</v>
      </c>
      <c r="G7109" t="s">
        <v>15479</v>
      </c>
      <c r="H7109" t="s">
        <v>20091</v>
      </c>
    </row>
    <row r="7110" spans="6:8">
      <c r="H7110" t="s">
        <v>19712</v>
      </c>
    </row>
    <row r="7111" spans="6:8">
      <c r="H7111" t="s">
        <v>20095</v>
      </c>
    </row>
    <row r="7112" spans="6:8">
      <c r="H7112" t="s">
        <v>20096</v>
      </c>
    </row>
    <row r="7113" spans="6:8">
      <c r="H7113" t="s">
        <v>20097</v>
      </c>
    </row>
    <row r="7114" spans="6:8">
      <c r="H7114" t="s">
        <v>20098</v>
      </c>
    </row>
    <row r="7115" spans="6:8">
      <c r="F7115" t="s">
        <v>11089</v>
      </c>
      <c r="G7115" t="s">
        <v>15480</v>
      </c>
      <c r="H7115" t="s">
        <v>20091</v>
      </c>
    </row>
    <row r="7116" spans="6:8">
      <c r="H7116" t="s">
        <v>19712</v>
      </c>
    </row>
    <row r="7117" spans="6:8">
      <c r="H7117" t="s">
        <v>19709</v>
      </c>
    </row>
    <row r="7118" spans="6:8">
      <c r="H7118" t="s">
        <v>19706</v>
      </c>
    </row>
    <row r="7119" spans="6:8">
      <c r="H7119" t="s">
        <v>20107</v>
      </c>
    </row>
    <row r="7120" spans="6:8">
      <c r="H7120" t="s">
        <v>20108</v>
      </c>
    </row>
    <row r="7121" spans="6:8">
      <c r="H7121" t="s">
        <v>19713</v>
      </c>
    </row>
    <row r="7122" spans="6:8">
      <c r="H7122" t="s">
        <v>19714</v>
      </c>
    </row>
    <row r="7123" spans="6:8">
      <c r="H7123" t="s">
        <v>20109</v>
      </c>
    </row>
    <row r="7124" spans="6:8">
      <c r="H7124" t="s">
        <v>20095</v>
      </c>
    </row>
    <row r="7125" spans="6:8">
      <c r="H7125" t="s">
        <v>20096</v>
      </c>
    </row>
    <row r="7126" spans="6:8">
      <c r="H7126" t="s">
        <v>20097</v>
      </c>
    </row>
    <row r="7127" spans="6:8">
      <c r="H7127" t="s">
        <v>20098</v>
      </c>
    </row>
    <row r="7128" spans="6:8">
      <c r="F7128" t="s">
        <v>11090</v>
      </c>
      <c r="G7128" t="s">
        <v>15481</v>
      </c>
      <c r="H7128" t="s">
        <v>20091</v>
      </c>
    </row>
    <row r="7129" spans="6:8">
      <c r="H7129" t="s">
        <v>19712</v>
      </c>
    </row>
    <row r="7130" spans="6:8">
      <c r="H7130" t="s">
        <v>19709</v>
      </c>
    </row>
    <row r="7131" spans="6:8">
      <c r="H7131" t="s">
        <v>19706</v>
      </c>
    </row>
    <row r="7132" spans="6:8">
      <c r="H7132" t="s">
        <v>19707</v>
      </c>
    </row>
    <row r="7133" spans="6:8">
      <c r="H7133" t="s">
        <v>20107</v>
      </c>
    </row>
    <row r="7134" spans="6:8">
      <c r="H7134" t="s">
        <v>20108</v>
      </c>
    </row>
    <row r="7135" spans="6:8">
      <c r="H7135" t="s">
        <v>20095</v>
      </c>
    </row>
    <row r="7136" spans="6:8">
      <c r="H7136" t="s">
        <v>20096</v>
      </c>
    </row>
    <row r="7137" spans="6:8">
      <c r="H7137" t="s">
        <v>20097</v>
      </c>
    </row>
    <row r="7138" spans="6:8">
      <c r="H7138" t="s">
        <v>20098</v>
      </c>
    </row>
    <row r="7139" spans="6:8">
      <c r="F7139" t="s">
        <v>11091</v>
      </c>
      <c r="G7139" t="s">
        <v>15482</v>
      </c>
      <c r="H7139" t="s">
        <v>20091</v>
      </c>
    </row>
    <row r="7140" spans="6:8">
      <c r="H7140" t="s">
        <v>19712</v>
      </c>
    </row>
    <row r="7141" spans="6:8">
      <c r="H7141" t="s">
        <v>19709</v>
      </c>
    </row>
    <row r="7142" spans="6:8">
      <c r="H7142" t="s">
        <v>20092</v>
      </c>
    </row>
    <row r="7143" spans="6:8">
      <c r="H7143" t="s">
        <v>20093</v>
      </c>
    </row>
    <row r="7144" spans="6:8">
      <c r="H7144" t="s">
        <v>20094</v>
      </c>
    </row>
    <row r="7145" spans="6:8">
      <c r="H7145" t="s">
        <v>20103</v>
      </c>
    </row>
    <row r="7146" spans="6:8">
      <c r="H7146" t="s">
        <v>20116</v>
      </c>
    </row>
    <row r="7147" spans="6:8">
      <c r="H7147" t="s">
        <v>20117</v>
      </c>
    </row>
    <row r="7148" spans="6:8">
      <c r="H7148" t="s">
        <v>20118</v>
      </c>
    </row>
    <row r="7149" spans="6:8">
      <c r="H7149" t="s">
        <v>19176</v>
      </c>
    </row>
    <row r="7150" spans="6:8">
      <c r="H7150" t="s">
        <v>20095</v>
      </c>
    </row>
    <row r="7151" spans="6:8">
      <c r="H7151" t="s">
        <v>20096</v>
      </c>
    </row>
    <row r="7152" spans="6:8">
      <c r="H7152" t="s">
        <v>20099</v>
      </c>
    </row>
    <row r="7153" spans="6:8">
      <c r="H7153" t="s">
        <v>20100</v>
      </c>
    </row>
    <row r="7154" spans="6:8">
      <c r="H7154" t="s">
        <v>20101</v>
      </c>
    </row>
    <row r="7155" spans="6:8">
      <c r="H7155" t="s">
        <v>20102</v>
      </c>
    </row>
    <row r="7156" spans="6:8">
      <c r="H7156" t="s">
        <v>20104</v>
      </c>
    </row>
    <row r="7157" spans="6:8">
      <c r="H7157" t="s">
        <v>20105</v>
      </c>
    </row>
    <row r="7158" spans="6:8">
      <c r="H7158" t="s">
        <v>20123</v>
      </c>
    </row>
    <row r="7159" spans="6:8">
      <c r="H7159" t="s">
        <v>20124</v>
      </c>
    </row>
    <row r="7160" spans="6:8">
      <c r="F7160" t="s">
        <v>11092</v>
      </c>
      <c r="G7160" t="s">
        <v>15483</v>
      </c>
      <c r="H7160" t="s">
        <v>20091</v>
      </c>
    </row>
    <row r="7161" spans="6:8">
      <c r="H7161" t="s">
        <v>19712</v>
      </c>
    </row>
    <row r="7162" spans="6:8">
      <c r="H7162" t="s">
        <v>19709</v>
      </c>
    </row>
    <row r="7163" spans="6:8">
      <c r="H7163" t="s">
        <v>19706</v>
      </c>
    </row>
    <row r="7164" spans="6:8">
      <c r="H7164" t="s">
        <v>19707</v>
      </c>
    </row>
    <row r="7165" spans="6:8">
      <c r="H7165" t="s">
        <v>19711</v>
      </c>
    </row>
    <row r="7166" spans="6:8">
      <c r="H7166" t="s">
        <v>19708</v>
      </c>
    </row>
    <row r="7167" spans="6:8">
      <c r="H7167" t="s">
        <v>19710</v>
      </c>
    </row>
    <row r="7168" spans="6:8">
      <c r="H7168" t="s">
        <v>20092</v>
      </c>
    </row>
    <row r="7169" spans="8:8">
      <c r="H7169" t="s">
        <v>20093</v>
      </c>
    </row>
    <row r="7170" spans="8:8">
      <c r="H7170" t="s">
        <v>20094</v>
      </c>
    </row>
    <row r="7171" spans="8:8">
      <c r="H7171" t="s">
        <v>20103</v>
      </c>
    </row>
    <row r="7172" spans="8:8">
      <c r="H7172" t="s">
        <v>20116</v>
      </c>
    </row>
    <row r="7173" spans="8:8">
      <c r="H7173" t="s">
        <v>20117</v>
      </c>
    </row>
    <row r="7174" spans="8:8">
      <c r="H7174" t="s">
        <v>20118</v>
      </c>
    </row>
    <row r="7175" spans="8:8">
      <c r="H7175" t="s">
        <v>20095</v>
      </c>
    </row>
    <row r="7176" spans="8:8">
      <c r="H7176" t="s">
        <v>20096</v>
      </c>
    </row>
    <row r="7177" spans="8:8">
      <c r="H7177" t="s">
        <v>20097</v>
      </c>
    </row>
    <row r="7178" spans="8:8">
      <c r="H7178" t="s">
        <v>20098</v>
      </c>
    </row>
    <row r="7179" spans="8:8">
      <c r="H7179" t="s">
        <v>20099</v>
      </c>
    </row>
    <row r="7180" spans="8:8">
      <c r="H7180" t="s">
        <v>20100</v>
      </c>
    </row>
    <row r="7181" spans="8:8">
      <c r="H7181" t="s">
        <v>20101</v>
      </c>
    </row>
    <row r="7182" spans="8:8">
      <c r="H7182" t="s">
        <v>20102</v>
      </c>
    </row>
    <row r="7183" spans="8:8">
      <c r="H7183" t="s">
        <v>20104</v>
      </c>
    </row>
    <row r="7184" spans="8:8">
      <c r="H7184" t="s">
        <v>20105</v>
      </c>
    </row>
    <row r="7185" spans="6:8">
      <c r="H7185" t="s">
        <v>20123</v>
      </c>
    </row>
    <row r="7186" spans="6:8">
      <c r="F7186" t="s">
        <v>11094</v>
      </c>
      <c r="G7186" t="s">
        <v>15484</v>
      </c>
      <c r="H7186" t="s">
        <v>20091</v>
      </c>
    </row>
    <row r="7187" spans="6:8">
      <c r="H7187" t="s">
        <v>19712</v>
      </c>
    </row>
    <row r="7188" spans="6:8">
      <c r="H7188" t="s">
        <v>19709</v>
      </c>
    </row>
    <row r="7189" spans="6:8">
      <c r="H7189" t="s">
        <v>19706</v>
      </c>
    </row>
    <row r="7190" spans="6:8">
      <c r="H7190" t="s">
        <v>19707</v>
      </c>
    </row>
    <row r="7191" spans="6:8">
      <c r="H7191" t="s">
        <v>19711</v>
      </c>
    </row>
    <row r="7192" spans="6:8">
      <c r="H7192" t="s">
        <v>20092</v>
      </c>
    </row>
    <row r="7193" spans="6:8">
      <c r="H7193" t="s">
        <v>20093</v>
      </c>
    </row>
    <row r="7194" spans="6:8">
      <c r="H7194" t="s">
        <v>20094</v>
      </c>
    </row>
    <row r="7195" spans="6:8">
      <c r="H7195" t="s">
        <v>20116</v>
      </c>
    </row>
    <row r="7196" spans="6:8">
      <c r="H7196" t="s">
        <v>20117</v>
      </c>
    </row>
    <row r="7197" spans="6:8">
      <c r="H7197" t="s">
        <v>20118</v>
      </c>
    </row>
    <row r="7198" spans="6:8">
      <c r="H7198" t="s">
        <v>19176</v>
      </c>
    </row>
    <row r="7199" spans="6:8">
      <c r="H7199" t="s">
        <v>20119</v>
      </c>
    </row>
    <row r="7200" spans="6:8">
      <c r="H7200" t="s">
        <v>20095</v>
      </c>
    </row>
    <row r="7201" spans="6:8">
      <c r="H7201" t="s">
        <v>20096</v>
      </c>
    </row>
    <row r="7202" spans="6:8">
      <c r="H7202" t="s">
        <v>20097</v>
      </c>
    </row>
    <row r="7203" spans="6:8">
      <c r="H7203" t="s">
        <v>20098</v>
      </c>
    </row>
    <row r="7204" spans="6:8">
      <c r="H7204" t="s">
        <v>20099</v>
      </c>
    </row>
    <row r="7205" spans="6:8">
      <c r="H7205" t="s">
        <v>20100</v>
      </c>
    </row>
    <row r="7206" spans="6:8">
      <c r="F7206" t="s">
        <v>11097</v>
      </c>
      <c r="G7206" t="s">
        <v>15487</v>
      </c>
      <c r="H7206" t="s">
        <v>20091</v>
      </c>
    </row>
    <row r="7207" spans="6:8">
      <c r="H7207" t="s">
        <v>19712</v>
      </c>
    </row>
    <row r="7208" spans="6:8">
      <c r="H7208" t="s">
        <v>19709</v>
      </c>
    </row>
    <row r="7209" spans="6:8">
      <c r="H7209" t="s">
        <v>19706</v>
      </c>
    </row>
    <row r="7210" spans="6:8">
      <c r="H7210" t="s">
        <v>19707</v>
      </c>
    </row>
    <row r="7211" spans="6:8">
      <c r="H7211" t="s">
        <v>19711</v>
      </c>
    </row>
    <row r="7212" spans="6:8">
      <c r="H7212" t="s">
        <v>20092</v>
      </c>
    </row>
    <row r="7213" spans="6:8">
      <c r="H7213" t="s">
        <v>20093</v>
      </c>
    </row>
    <row r="7214" spans="6:8">
      <c r="H7214" t="s">
        <v>20094</v>
      </c>
    </row>
    <row r="7215" spans="6:8">
      <c r="H7215" t="s">
        <v>20103</v>
      </c>
    </row>
    <row r="7216" spans="6:8">
      <c r="H7216" t="s">
        <v>20116</v>
      </c>
    </row>
    <row r="7217" spans="6:8">
      <c r="H7217" t="s">
        <v>20117</v>
      </c>
    </row>
    <row r="7218" spans="6:8">
      <c r="H7218" t="s">
        <v>20118</v>
      </c>
    </row>
    <row r="7219" spans="6:8">
      <c r="H7219" t="s">
        <v>19176</v>
      </c>
    </row>
    <row r="7220" spans="6:8">
      <c r="H7220" t="s">
        <v>20095</v>
      </c>
    </row>
    <row r="7221" spans="6:8">
      <c r="H7221" t="s">
        <v>20096</v>
      </c>
    </row>
    <row r="7222" spans="6:8">
      <c r="H7222" t="s">
        <v>20097</v>
      </c>
    </row>
    <row r="7223" spans="6:8">
      <c r="H7223" t="s">
        <v>20098</v>
      </c>
    </row>
    <row r="7224" spans="6:8">
      <c r="H7224" t="s">
        <v>20099</v>
      </c>
    </row>
    <row r="7225" spans="6:8">
      <c r="H7225" t="s">
        <v>20100</v>
      </c>
    </row>
    <row r="7226" spans="6:8">
      <c r="H7226" t="s">
        <v>20101</v>
      </c>
    </row>
    <row r="7227" spans="6:8">
      <c r="H7227" t="s">
        <v>20102</v>
      </c>
    </row>
    <row r="7228" spans="6:8">
      <c r="H7228" t="s">
        <v>20104</v>
      </c>
    </row>
    <row r="7229" spans="6:8">
      <c r="F7229" t="s">
        <v>11098</v>
      </c>
      <c r="G7229" t="s">
        <v>15488</v>
      </c>
      <c r="H7229" t="s">
        <v>20091</v>
      </c>
    </row>
    <row r="7230" spans="6:8">
      <c r="H7230" t="s">
        <v>19712</v>
      </c>
    </row>
    <row r="7231" spans="6:8">
      <c r="H7231" t="s">
        <v>19709</v>
      </c>
    </row>
    <row r="7232" spans="6:8">
      <c r="H7232" t="s">
        <v>20107</v>
      </c>
    </row>
    <row r="7233" spans="6:8">
      <c r="H7233" t="s">
        <v>20108</v>
      </c>
    </row>
    <row r="7234" spans="6:8">
      <c r="H7234" t="s">
        <v>20095</v>
      </c>
    </row>
    <row r="7235" spans="6:8">
      <c r="H7235" t="s">
        <v>20096</v>
      </c>
    </row>
    <row r="7236" spans="6:8">
      <c r="H7236" t="s">
        <v>20097</v>
      </c>
    </row>
    <row r="7237" spans="6:8">
      <c r="H7237" t="s">
        <v>20098</v>
      </c>
    </row>
    <row r="7238" spans="6:8">
      <c r="F7238" t="s">
        <v>11099</v>
      </c>
      <c r="G7238" t="s">
        <v>15489</v>
      </c>
      <c r="H7238" t="s">
        <v>20091</v>
      </c>
    </row>
    <row r="7239" spans="6:8">
      <c r="H7239" t="s">
        <v>19712</v>
      </c>
    </row>
    <row r="7240" spans="6:8">
      <c r="H7240" t="s">
        <v>19709</v>
      </c>
    </row>
    <row r="7241" spans="6:8">
      <c r="H7241" t="s">
        <v>19706</v>
      </c>
    </row>
    <row r="7242" spans="6:8">
      <c r="H7242" t="s">
        <v>19707</v>
      </c>
    </row>
    <row r="7243" spans="6:8">
      <c r="H7243" t="s">
        <v>19711</v>
      </c>
    </row>
    <row r="7244" spans="6:8">
      <c r="H7244" t="s">
        <v>20107</v>
      </c>
    </row>
    <row r="7245" spans="6:8">
      <c r="H7245" t="s">
        <v>20108</v>
      </c>
    </row>
    <row r="7246" spans="6:8">
      <c r="H7246" t="s">
        <v>19713</v>
      </c>
    </row>
    <row r="7247" spans="6:8">
      <c r="H7247" t="s">
        <v>19714</v>
      </c>
    </row>
    <row r="7248" spans="6:8">
      <c r="H7248" t="s">
        <v>20109</v>
      </c>
    </row>
    <row r="7249" spans="6:8">
      <c r="H7249" t="s">
        <v>20110</v>
      </c>
    </row>
    <row r="7250" spans="6:8">
      <c r="H7250" t="s">
        <v>20092</v>
      </c>
    </row>
    <row r="7251" spans="6:8">
      <c r="H7251" t="s">
        <v>20095</v>
      </c>
    </row>
    <row r="7252" spans="6:8">
      <c r="H7252" t="s">
        <v>20096</v>
      </c>
    </row>
    <row r="7253" spans="6:8">
      <c r="H7253" t="s">
        <v>20097</v>
      </c>
    </row>
    <row r="7254" spans="6:8">
      <c r="H7254" t="s">
        <v>20098</v>
      </c>
    </row>
    <row r="7255" spans="6:8">
      <c r="F7255" t="s">
        <v>11100</v>
      </c>
      <c r="G7255" t="s">
        <v>15490</v>
      </c>
      <c r="H7255" t="s">
        <v>20091</v>
      </c>
    </row>
    <row r="7256" spans="6:8">
      <c r="H7256" t="s">
        <v>19712</v>
      </c>
    </row>
    <row r="7257" spans="6:8">
      <c r="H7257" t="s">
        <v>19709</v>
      </c>
    </row>
    <row r="7258" spans="6:8">
      <c r="H7258" t="s">
        <v>20092</v>
      </c>
    </row>
    <row r="7259" spans="6:8">
      <c r="H7259" t="s">
        <v>20093</v>
      </c>
    </row>
    <row r="7260" spans="6:8">
      <c r="H7260" t="s">
        <v>20095</v>
      </c>
    </row>
    <row r="7261" spans="6:8">
      <c r="H7261" t="s">
        <v>20096</v>
      </c>
    </row>
    <row r="7262" spans="6:8">
      <c r="H7262" t="s">
        <v>20097</v>
      </c>
    </row>
    <row r="7263" spans="6:8">
      <c r="H7263" t="s">
        <v>20098</v>
      </c>
    </row>
    <row r="7264" spans="6:8">
      <c r="H7264" t="s">
        <v>20099</v>
      </c>
    </row>
    <row r="7265" spans="6:8">
      <c r="H7265" t="s">
        <v>20100</v>
      </c>
    </row>
    <row r="7266" spans="6:8">
      <c r="F7266" t="s">
        <v>11101</v>
      </c>
      <c r="G7266" t="s">
        <v>15491</v>
      </c>
      <c r="H7266" t="s">
        <v>20091</v>
      </c>
    </row>
    <row r="7267" spans="6:8">
      <c r="H7267" t="s">
        <v>19712</v>
      </c>
    </row>
    <row r="7268" spans="6:8">
      <c r="H7268" t="s">
        <v>19709</v>
      </c>
    </row>
    <row r="7269" spans="6:8">
      <c r="H7269" t="s">
        <v>19706</v>
      </c>
    </row>
    <row r="7270" spans="6:8">
      <c r="H7270" t="s">
        <v>19707</v>
      </c>
    </row>
    <row r="7271" spans="6:8">
      <c r="H7271" t="s">
        <v>20107</v>
      </c>
    </row>
    <row r="7272" spans="6:8">
      <c r="H7272" t="s">
        <v>20108</v>
      </c>
    </row>
    <row r="7273" spans="6:8">
      <c r="H7273" t="s">
        <v>19713</v>
      </c>
    </row>
    <row r="7274" spans="6:8">
      <c r="H7274" t="s">
        <v>19714</v>
      </c>
    </row>
    <row r="7275" spans="6:8">
      <c r="H7275" t="s">
        <v>20095</v>
      </c>
    </row>
    <row r="7276" spans="6:8">
      <c r="H7276" t="s">
        <v>20096</v>
      </c>
    </row>
    <row r="7277" spans="6:8">
      <c r="H7277" t="s">
        <v>20097</v>
      </c>
    </row>
    <row r="7278" spans="6:8">
      <c r="H7278" t="s">
        <v>20098</v>
      </c>
    </row>
    <row r="7279" spans="6:8">
      <c r="F7279" t="s">
        <v>11102</v>
      </c>
      <c r="G7279" t="s">
        <v>15492</v>
      </c>
      <c r="H7279" t="s">
        <v>20091</v>
      </c>
    </row>
    <row r="7280" spans="6:8">
      <c r="H7280" t="s">
        <v>19712</v>
      </c>
    </row>
    <row r="7281" spans="6:8">
      <c r="H7281" t="s">
        <v>19709</v>
      </c>
    </row>
    <row r="7282" spans="6:8">
      <c r="H7282" t="s">
        <v>19706</v>
      </c>
    </row>
    <row r="7283" spans="6:8">
      <c r="H7283" t="s">
        <v>19707</v>
      </c>
    </row>
    <row r="7284" spans="6:8">
      <c r="H7284" t="s">
        <v>20107</v>
      </c>
    </row>
    <row r="7285" spans="6:8">
      <c r="H7285" t="s">
        <v>20108</v>
      </c>
    </row>
    <row r="7286" spans="6:8">
      <c r="H7286" t="s">
        <v>19713</v>
      </c>
    </row>
    <row r="7287" spans="6:8">
      <c r="H7287" t="s">
        <v>19714</v>
      </c>
    </row>
    <row r="7288" spans="6:8">
      <c r="H7288" t="s">
        <v>20095</v>
      </c>
    </row>
    <row r="7289" spans="6:8">
      <c r="H7289" t="s">
        <v>20096</v>
      </c>
    </row>
    <row r="7290" spans="6:8">
      <c r="H7290" t="s">
        <v>20097</v>
      </c>
    </row>
    <row r="7291" spans="6:8">
      <c r="H7291" t="s">
        <v>20098</v>
      </c>
    </row>
    <row r="7292" spans="6:8">
      <c r="F7292" t="s">
        <v>11103</v>
      </c>
      <c r="G7292" t="s">
        <v>15493</v>
      </c>
      <c r="H7292" t="s">
        <v>20091</v>
      </c>
    </row>
    <row r="7293" spans="6:8">
      <c r="H7293" t="s">
        <v>19712</v>
      </c>
    </row>
    <row r="7294" spans="6:8">
      <c r="H7294" t="s">
        <v>20095</v>
      </c>
    </row>
    <row r="7295" spans="6:8">
      <c r="H7295" t="s">
        <v>20096</v>
      </c>
    </row>
    <row r="7296" spans="6:8">
      <c r="H7296" t="s">
        <v>20097</v>
      </c>
    </row>
    <row r="7297" spans="6:8">
      <c r="H7297" t="s">
        <v>19709</v>
      </c>
    </row>
    <row r="7298" spans="6:8">
      <c r="H7298" t="s">
        <v>19706</v>
      </c>
    </row>
    <row r="7299" spans="6:8">
      <c r="H7299" t="s">
        <v>20098</v>
      </c>
    </row>
    <row r="7300" spans="6:8">
      <c r="H7300" t="s">
        <v>20099</v>
      </c>
    </row>
    <row r="7301" spans="6:8">
      <c r="H7301" t="s">
        <v>20100</v>
      </c>
    </row>
    <row r="7302" spans="6:8">
      <c r="F7302" t="s">
        <v>11104</v>
      </c>
      <c r="G7302" t="s">
        <v>15494</v>
      </c>
      <c r="H7302" t="s">
        <v>20091</v>
      </c>
    </row>
    <row r="7303" spans="6:8">
      <c r="H7303" t="s">
        <v>19712</v>
      </c>
    </row>
    <row r="7304" spans="6:8">
      <c r="H7304" t="s">
        <v>20095</v>
      </c>
    </row>
    <row r="7305" spans="6:8">
      <c r="H7305" t="s">
        <v>20096</v>
      </c>
    </row>
    <row r="7306" spans="6:8">
      <c r="H7306" t="s">
        <v>20097</v>
      </c>
    </row>
    <row r="7307" spans="6:8">
      <c r="F7307" t="s">
        <v>11105</v>
      </c>
      <c r="G7307" t="s">
        <v>15495</v>
      </c>
      <c r="H7307" t="s">
        <v>20091</v>
      </c>
    </row>
    <row r="7308" spans="6:8">
      <c r="H7308" t="s">
        <v>19712</v>
      </c>
    </row>
    <row r="7309" spans="6:8">
      <c r="H7309" t="s">
        <v>20095</v>
      </c>
    </row>
    <row r="7310" spans="6:8">
      <c r="H7310" t="s">
        <v>20096</v>
      </c>
    </row>
    <row r="7311" spans="6:8">
      <c r="H7311" t="s">
        <v>20097</v>
      </c>
    </row>
    <row r="7312" spans="6:8">
      <c r="F7312" t="s">
        <v>11106</v>
      </c>
      <c r="G7312" t="s">
        <v>15496</v>
      </c>
      <c r="H7312" t="s">
        <v>20091</v>
      </c>
    </row>
    <row r="7313" spans="6:8">
      <c r="H7313" t="s">
        <v>19712</v>
      </c>
    </row>
    <row r="7314" spans="6:8">
      <c r="H7314" t="s">
        <v>20095</v>
      </c>
    </row>
    <row r="7315" spans="6:8">
      <c r="H7315" t="s">
        <v>20096</v>
      </c>
    </row>
    <row r="7316" spans="6:8">
      <c r="H7316" t="s">
        <v>20097</v>
      </c>
    </row>
    <row r="7317" spans="6:8">
      <c r="F7317" t="s">
        <v>11107</v>
      </c>
      <c r="G7317" t="s">
        <v>15497</v>
      </c>
      <c r="H7317" t="s">
        <v>20091</v>
      </c>
    </row>
    <row r="7318" spans="6:8">
      <c r="H7318" t="s">
        <v>19712</v>
      </c>
    </row>
    <row r="7319" spans="6:8">
      <c r="H7319" t="s">
        <v>20095</v>
      </c>
    </row>
    <row r="7320" spans="6:8">
      <c r="H7320" t="s">
        <v>20096</v>
      </c>
    </row>
    <row r="7321" spans="6:8">
      <c r="H7321" t="s">
        <v>20097</v>
      </c>
    </row>
    <row r="7322" spans="6:8">
      <c r="F7322" t="s">
        <v>11108</v>
      </c>
      <c r="G7322" t="s">
        <v>15498</v>
      </c>
      <c r="H7322" t="s">
        <v>20091</v>
      </c>
    </row>
    <row r="7323" spans="6:8">
      <c r="H7323" t="s">
        <v>19712</v>
      </c>
    </row>
    <row r="7324" spans="6:8">
      <c r="H7324" t="s">
        <v>19709</v>
      </c>
    </row>
    <row r="7325" spans="6:8">
      <c r="H7325" t="s">
        <v>19706</v>
      </c>
    </row>
    <row r="7326" spans="6:8">
      <c r="H7326" t="s">
        <v>20107</v>
      </c>
    </row>
    <row r="7327" spans="6:8">
      <c r="H7327" t="s">
        <v>20108</v>
      </c>
    </row>
    <row r="7328" spans="6:8">
      <c r="H7328" t="s">
        <v>19713</v>
      </c>
    </row>
    <row r="7329" spans="6:8">
      <c r="H7329" t="s">
        <v>19714</v>
      </c>
    </row>
    <row r="7330" spans="6:8">
      <c r="H7330" t="s">
        <v>20109</v>
      </c>
    </row>
    <row r="7331" spans="6:8">
      <c r="H7331" t="s">
        <v>20110</v>
      </c>
    </row>
    <row r="7332" spans="6:8">
      <c r="H7332" t="s">
        <v>20111</v>
      </c>
    </row>
    <row r="7333" spans="6:8">
      <c r="H7333" t="s">
        <v>20112</v>
      </c>
    </row>
    <row r="7334" spans="6:8">
      <c r="H7334" t="s">
        <v>20113</v>
      </c>
    </row>
    <row r="7335" spans="6:8">
      <c r="H7335" t="s">
        <v>20095</v>
      </c>
    </row>
    <row r="7336" spans="6:8">
      <c r="H7336" t="s">
        <v>20096</v>
      </c>
    </row>
    <row r="7337" spans="6:8">
      <c r="H7337" t="s">
        <v>20097</v>
      </c>
    </row>
    <row r="7338" spans="6:8">
      <c r="H7338" t="s">
        <v>20098</v>
      </c>
    </row>
    <row r="7339" spans="6:8">
      <c r="F7339" t="s">
        <v>11109</v>
      </c>
      <c r="G7339" t="s">
        <v>15499</v>
      </c>
      <c r="H7339" t="s">
        <v>20091</v>
      </c>
    </row>
    <row r="7340" spans="6:8">
      <c r="H7340" t="s">
        <v>19712</v>
      </c>
    </row>
    <row r="7341" spans="6:8">
      <c r="H7341" t="s">
        <v>19709</v>
      </c>
    </row>
    <row r="7342" spans="6:8">
      <c r="H7342" t="s">
        <v>19706</v>
      </c>
    </row>
    <row r="7343" spans="6:8">
      <c r="H7343" t="s">
        <v>19707</v>
      </c>
    </row>
    <row r="7344" spans="6:8">
      <c r="H7344" t="s">
        <v>20107</v>
      </c>
    </row>
    <row r="7345" spans="6:8">
      <c r="H7345" t="s">
        <v>20108</v>
      </c>
    </row>
    <row r="7346" spans="6:8">
      <c r="H7346" t="s">
        <v>19713</v>
      </c>
    </row>
    <row r="7347" spans="6:8">
      <c r="H7347" t="s">
        <v>19714</v>
      </c>
    </row>
    <row r="7348" spans="6:8">
      <c r="H7348" t="s">
        <v>20095</v>
      </c>
    </row>
    <row r="7349" spans="6:8">
      <c r="H7349" t="s">
        <v>20096</v>
      </c>
    </row>
    <row r="7350" spans="6:8">
      <c r="H7350" t="s">
        <v>20097</v>
      </c>
    </row>
    <row r="7351" spans="6:8">
      <c r="H7351" t="s">
        <v>20098</v>
      </c>
    </row>
    <row r="7352" spans="6:8">
      <c r="F7352" t="s">
        <v>11110</v>
      </c>
      <c r="G7352" t="s">
        <v>15500</v>
      </c>
      <c r="H7352" t="s">
        <v>20091</v>
      </c>
    </row>
    <row r="7353" spans="6:8">
      <c r="H7353" t="s">
        <v>19712</v>
      </c>
    </row>
    <row r="7354" spans="6:8">
      <c r="H7354" t="s">
        <v>19709</v>
      </c>
    </row>
    <row r="7355" spans="6:8">
      <c r="H7355" t="s">
        <v>20107</v>
      </c>
    </row>
    <row r="7356" spans="6:8">
      <c r="H7356" t="s">
        <v>20108</v>
      </c>
    </row>
    <row r="7357" spans="6:8">
      <c r="H7357" t="s">
        <v>20095</v>
      </c>
    </row>
    <row r="7358" spans="6:8">
      <c r="H7358" t="s">
        <v>20096</v>
      </c>
    </row>
    <row r="7359" spans="6:8">
      <c r="H7359" t="s">
        <v>20097</v>
      </c>
    </row>
    <row r="7360" spans="6:8">
      <c r="H7360" t="s">
        <v>20098</v>
      </c>
    </row>
    <row r="7361" spans="6:8">
      <c r="F7361" t="s">
        <v>11111</v>
      </c>
      <c r="G7361" t="s">
        <v>15501</v>
      </c>
      <c r="H7361" t="s">
        <v>20091</v>
      </c>
    </row>
    <row r="7362" spans="6:8">
      <c r="H7362" t="s">
        <v>19712</v>
      </c>
    </row>
    <row r="7363" spans="6:8">
      <c r="H7363" t="s">
        <v>20095</v>
      </c>
    </row>
    <row r="7364" spans="6:8">
      <c r="H7364" t="s">
        <v>20096</v>
      </c>
    </row>
    <row r="7365" spans="6:8">
      <c r="H7365" t="s">
        <v>20097</v>
      </c>
    </row>
    <row r="7366" spans="6:8">
      <c r="F7366" t="s">
        <v>11112</v>
      </c>
      <c r="G7366" t="s">
        <v>15502</v>
      </c>
      <c r="H7366" t="s">
        <v>20091</v>
      </c>
    </row>
    <row r="7367" spans="6:8">
      <c r="H7367" t="s">
        <v>19712</v>
      </c>
    </row>
    <row r="7368" spans="6:8">
      <c r="H7368" t="s">
        <v>20095</v>
      </c>
    </row>
    <row r="7369" spans="6:8">
      <c r="H7369" t="s">
        <v>20096</v>
      </c>
    </row>
    <row r="7370" spans="6:8">
      <c r="H7370" t="s">
        <v>20097</v>
      </c>
    </row>
    <row r="7371" spans="6:8">
      <c r="F7371" t="s">
        <v>11113</v>
      </c>
      <c r="G7371" t="s">
        <v>15503</v>
      </c>
      <c r="H7371" t="s">
        <v>20091</v>
      </c>
    </row>
    <row r="7372" spans="6:8">
      <c r="H7372" t="s">
        <v>19712</v>
      </c>
    </row>
    <row r="7373" spans="6:8">
      <c r="H7373" t="s">
        <v>19709</v>
      </c>
    </row>
    <row r="7374" spans="6:8">
      <c r="H7374" t="s">
        <v>20107</v>
      </c>
    </row>
    <row r="7375" spans="6:8">
      <c r="H7375" t="s">
        <v>20108</v>
      </c>
    </row>
    <row r="7376" spans="6:8">
      <c r="H7376" t="s">
        <v>19713</v>
      </c>
    </row>
    <row r="7377" spans="6:8">
      <c r="H7377" t="s">
        <v>20095</v>
      </c>
    </row>
    <row r="7378" spans="6:8">
      <c r="H7378" t="s">
        <v>20096</v>
      </c>
    </row>
    <row r="7379" spans="6:8">
      <c r="H7379" t="s">
        <v>20097</v>
      </c>
    </row>
    <row r="7380" spans="6:8">
      <c r="H7380" t="s">
        <v>20098</v>
      </c>
    </row>
    <row r="7381" spans="6:8">
      <c r="F7381" t="s">
        <v>11114</v>
      </c>
      <c r="G7381" t="s">
        <v>15504</v>
      </c>
      <c r="H7381" t="s">
        <v>20091</v>
      </c>
    </row>
    <row r="7382" spans="6:8">
      <c r="H7382" t="s">
        <v>19712</v>
      </c>
    </row>
    <row r="7383" spans="6:8">
      <c r="H7383" t="s">
        <v>19709</v>
      </c>
    </row>
    <row r="7384" spans="6:8">
      <c r="H7384" t="s">
        <v>20107</v>
      </c>
    </row>
    <row r="7385" spans="6:8">
      <c r="H7385" t="s">
        <v>20108</v>
      </c>
    </row>
    <row r="7386" spans="6:8">
      <c r="H7386" t="s">
        <v>19713</v>
      </c>
    </row>
    <row r="7387" spans="6:8">
      <c r="H7387" t="s">
        <v>20095</v>
      </c>
    </row>
    <row r="7388" spans="6:8">
      <c r="H7388" t="s">
        <v>20096</v>
      </c>
    </row>
    <row r="7389" spans="6:8">
      <c r="H7389" t="s">
        <v>20097</v>
      </c>
    </row>
    <row r="7390" spans="6:8">
      <c r="H7390" t="s">
        <v>20098</v>
      </c>
    </row>
    <row r="7391" spans="6:8">
      <c r="F7391" t="s">
        <v>11115</v>
      </c>
      <c r="G7391" t="s">
        <v>15505</v>
      </c>
      <c r="H7391" t="s">
        <v>20091</v>
      </c>
    </row>
    <row r="7392" spans="6:8">
      <c r="H7392" t="s">
        <v>19712</v>
      </c>
    </row>
    <row r="7393" spans="6:8">
      <c r="H7393" t="s">
        <v>19709</v>
      </c>
    </row>
    <row r="7394" spans="6:8">
      <c r="H7394" t="s">
        <v>19706</v>
      </c>
    </row>
    <row r="7395" spans="6:8">
      <c r="H7395" t="s">
        <v>20107</v>
      </c>
    </row>
    <row r="7396" spans="6:8">
      <c r="H7396" t="s">
        <v>20108</v>
      </c>
    </row>
    <row r="7397" spans="6:8">
      <c r="H7397" t="s">
        <v>19713</v>
      </c>
    </row>
    <row r="7398" spans="6:8">
      <c r="H7398" t="s">
        <v>20095</v>
      </c>
    </row>
    <row r="7399" spans="6:8">
      <c r="H7399" t="s">
        <v>20096</v>
      </c>
    </row>
    <row r="7400" spans="6:8">
      <c r="H7400" t="s">
        <v>20097</v>
      </c>
    </row>
    <row r="7401" spans="6:8">
      <c r="H7401" t="s">
        <v>20098</v>
      </c>
    </row>
    <row r="7402" spans="6:8">
      <c r="F7402" t="s">
        <v>11116</v>
      </c>
      <c r="G7402" t="s">
        <v>15506</v>
      </c>
      <c r="H7402" t="s">
        <v>20091</v>
      </c>
    </row>
    <row r="7403" spans="6:8">
      <c r="H7403" t="s">
        <v>19712</v>
      </c>
    </row>
    <row r="7404" spans="6:8">
      <c r="H7404" t="s">
        <v>19709</v>
      </c>
    </row>
    <row r="7405" spans="6:8">
      <c r="H7405" t="s">
        <v>20107</v>
      </c>
    </row>
    <row r="7406" spans="6:8">
      <c r="H7406" t="s">
        <v>20108</v>
      </c>
    </row>
    <row r="7407" spans="6:8">
      <c r="H7407" t="s">
        <v>19713</v>
      </c>
    </row>
    <row r="7408" spans="6:8">
      <c r="H7408" t="s">
        <v>19714</v>
      </c>
    </row>
    <row r="7409" spans="6:8">
      <c r="H7409" t="s">
        <v>20109</v>
      </c>
    </row>
    <row r="7410" spans="6:8">
      <c r="H7410" t="s">
        <v>20110</v>
      </c>
    </row>
    <row r="7411" spans="6:8">
      <c r="H7411" t="s">
        <v>20111</v>
      </c>
    </row>
    <row r="7412" spans="6:8">
      <c r="H7412" t="s">
        <v>20112</v>
      </c>
    </row>
    <row r="7413" spans="6:8">
      <c r="H7413" t="s">
        <v>20095</v>
      </c>
    </row>
    <row r="7414" spans="6:8">
      <c r="H7414" t="s">
        <v>20096</v>
      </c>
    </row>
    <row r="7415" spans="6:8">
      <c r="H7415" t="s">
        <v>20097</v>
      </c>
    </row>
    <row r="7416" spans="6:8">
      <c r="H7416" t="s">
        <v>20098</v>
      </c>
    </row>
    <row r="7417" spans="6:8">
      <c r="H7417" t="s">
        <v>20099</v>
      </c>
    </row>
    <row r="7418" spans="6:8">
      <c r="F7418" t="s">
        <v>11117</v>
      </c>
      <c r="G7418" t="s">
        <v>15507</v>
      </c>
      <c r="H7418" t="s">
        <v>20091</v>
      </c>
    </row>
    <row r="7419" spans="6:8">
      <c r="H7419" t="s">
        <v>19712</v>
      </c>
    </row>
    <row r="7420" spans="6:8">
      <c r="H7420" t="s">
        <v>20092</v>
      </c>
    </row>
    <row r="7421" spans="6:8">
      <c r="H7421" t="s">
        <v>20093</v>
      </c>
    </row>
    <row r="7422" spans="6:8">
      <c r="H7422" t="s">
        <v>20094</v>
      </c>
    </row>
    <row r="7423" spans="6:8">
      <c r="H7423" t="s">
        <v>20095</v>
      </c>
    </row>
    <row r="7424" spans="6:8">
      <c r="H7424" t="s">
        <v>20096</v>
      </c>
    </row>
    <row r="7425" spans="6:8">
      <c r="H7425" t="s">
        <v>20097</v>
      </c>
    </row>
    <row r="7426" spans="6:8">
      <c r="H7426" t="s">
        <v>20098</v>
      </c>
    </row>
    <row r="7427" spans="6:8">
      <c r="H7427" t="s">
        <v>20099</v>
      </c>
    </row>
    <row r="7428" spans="6:8">
      <c r="H7428" t="s">
        <v>20100</v>
      </c>
    </row>
    <row r="7429" spans="6:8">
      <c r="H7429" t="s">
        <v>20101</v>
      </c>
    </row>
    <row r="7430" spans="6:8">
      <c r="H7430" t="s">
        <v>20102</v>
      </c>
    </row>
    <row r="7431" spans="6:8">
      <c r="H7431" t="s">
        <v>20104</v>
      </c>
    </row>
    <row r="7432" spans="6:8">
      <c r="F7432" t="s">
        <v>11118</v>
      </c>
      <c r="G7432" t="s">
        <v>15508</v>
      </c>
      <c r="H7432" t="s">
        <v>20091</v>
      </c>
    </row>
    <row r="7433" spans="6:8">
      <c r="H7433" t="s">
        <v>19712</v>
      </c>
    </row>
    <row r="7434" spans="6:8">
      <c r="H7434" t="s">
        <v>19709</v>
      </c>
    </row>
    <row r="7435" spans="6:8">
      <c r="H7435" t="s">
        <v>20107</v>
      </c>
    </row>
    <row r="7436" spans="6:8">
      <c r="H7436" t="s">
        <v>20108</v>
      </c>
    </row>
    <row r="7437" spans="6:8">
      <c r="H7437" t="s">
        <v>20095</v>
      </c>
    </row>
    <row r="7438" spans="6:8">
      <c r="H7438" t="s">
        <v>20096</v>
      </c>
    </row>
    <row r="7439" spans="6:8">
      <c r="H7439" t="s">
        <v>20097</v>
      </c>
    </row>
    <row r="7440" spans="6:8">
      <c r="H7440" t="s">
        <v>20098</v>
      </c>
    </row>
    <row r="7441" spans="6:8">
      <c r="F7441" t="s">
        <v>11119</v>
      </c>
      <c r="G7441" t="s">
        <v>15509</v>
      </c>
      <c r="H7441" t="s">
        <v>20091</v>
      </c>
    </row>
    <row r="7442" spans="6:8">
      <c r="H7442" t="s">
        <v>19712</v>
      </c>
    </row>
    <row r="7443" spans="6:8">
      <c r="H7443" t="s">
        <v>20092</v>
      </c>
    </row>
    <row r="7444" spans="6:8">
      <c r="H7444" t="s">
        <v>20093</v>
      </c>
    </row>
    <row r="7445" spans="6:8">
      <c r="H7445" t="s">
        <v>20094</v>
      </c>
    </row>
    <row r="7446" spans="6:8">
      <c r="H7446" t="s">
        <v>20095</v>
      </c>
    </row>
    <row r="7447" spans="6:8">
      <c r="H7447" t="s">
        <v>20096</v>
      </c>
    </row>
    <row r="7448" spans="6:8">
      <c r="H7448" t="s">
        <v>20097</v>
      </c>
    </row>
    <row r="7449" spans="6:8">
      <c r="H7449" t="s">
        <v>20098</v>
      </c>
    </row>
    <row r="7450" spans="6:8">
      <c r="H7450" t="s">
        <v>20099</v>
      </c>
    </row>
    <row r="7451" spans="6:8">
      <c r="H7451" t="s">
        <v>20100</v>
      </c>
    </row>
    <row r="7452" spans="6:8">
      <c r="H7452" t="s">
        <v>20101</v>
      </c>
    </row>
    <row r="7453" spans="6:8">
      <c r="H7453" t="s">
        <v>20102</v>
      </c>
    </row>
    <row r="7454" spans="6:8">
      <c r="F7454" t="s">
        <v>11120</v>
      </c>
      <c r="G7454" t="s">
        <v>15510</v>
      </c>
      <c r="H7454" t="s">
        <v>20091</v>
      </c>
    </row>
    <row r="7455" spans="6:8">
      <c r="H7455" t="s">
        <v>19712</v>
      </c>
    </row>
    <row r="7456" spans="6:8">
      <c r="H7456" t="s">
        <v>19709</v>
      </c>
    </row>
    <row r="7457" spans="6:8">
      <c r="H7457" t="s">
        <v>20107</v>
      </c>
    </row>
    <row r="7458" spans="6:8">
      <c r="H7458" t="s">
        <v>20108</v>
      </c>
    </row>
    <row r="7459" spans="6:8">
      <c r="H7459" t="s">
        <v>19713</v>
      </c>
    </row>
    <row r="7460" spans="6:8">
      <c r="H7460" t="s">
        <v>19714</v>
      </c>
    </row>
    <row r="7461" spans="6:8">
      <c r="H7461" t="s">
        <v>20109</v>
      </c>
    </row>
    <row r="7462" spans="6:8">
      <c r="H7462" t="s">
        <v>20110</v>
      </c>
    </row>
    <row r="7463" spans="6:8">
      <c r="H7463" t="s">
        <v>20095</v>
      </c>
    </row>
    <row r="7464" spans="6:8">
      <c r="H7464" t="s">
        <v>20096</v>
      </c>
    </row>
    <row r="7465" spans="6:8">
      <c r="H7465" t="s">
        <v>20097</v>
      </c>
    </row>
    <row r="7466" spans="6:8">
      <c r="H7466" t="s">
        <v>20098</v>
      </c>
    </row>
    <row r="7467" spans="6:8">
      <c r="H7467" t="s">
        <v>20099</v>
      </c>
    </row>
    <row r="7468" spans="6:8">
      <c r="F7468" t="s">
        <v>11121</v>
      </c>
      <c r="G7468" t="s">
        <v>15511</v>
      </c>
      <c r="H7468" t="s">
        <v>20091</v>
      </c>
    </row>
    <row r="7469" spans="6:8">
      <c r="H7469" t="s">
        <v>20095</v>
      </c>
    </row>
    <row r="7470" spans="6:8">
      <c r="F7470" t="s">
        <v>11122</v>
      </c>
      <c r="G7470" t="s">
        <v>15512</v>
      </c>
      <c r="H7470" t="s">
        <v>20091</v>
      </c>
    </row>
    <row r="7471" spans="6:8">
      <c r="H7471" t="s">
        <v>20095</v>
      </c>
    </row>
    <row r="7472" spans="6:8">
      <c r="F7472" t="s">
        <v>11123</v>
      </c>
      <c r="G7472" t="s">
        <v>15513</v>
      </c>
      <c r="H7472" t="s">
        <v>20091</v>
      </c>
    </row>
    <row r="7473" spans="6:8">
      <c r="H7473" t="s">
        <v>19712</v>
      </c>
    </row>
    <row r="7474" spans="6:8">
      <c r="H7474" t="s">
        <v>19709</v>
      </c>
    </row>
    <row r="7475" spans="6:8">
      <c r="H7475" t="s">
        <v>20095</v>
      </c>
    </row>
    <row r="7476" spans="6:8">
      <c r="H7476" t="s">
        <v>20096</v>
      </c>
    </row>
    <row r="7477" spans="6:8">
      <c r="F7477" t="s">
        <v>11124</v>
      </c>
      <c r="G7477" t="s">
        <v>15514</v>
      </c>
      <c r="H7477" t="s">
        <v>20091</v>
      </c>
    </row>
    <row r="7478" spans="6:8">
      <c r="H7478" t="s">
        <v>19712</v>
      </c>
    </row>
    <row r="7479" spans="6:8">
      <c r="H7479" t="s">
        <v>20095</v>
      </c>
    </row>
    <row r="7480" spans="6:8">
      <c r="H7480" t="s">
        <v>20096</v>
      </c>
    </row>
    <row r="7481" spans="6:8">
      <c r="F7481" t="s">
        <v>11125</v>
      </c>
      <c r="G7481" t="s">
        <v>15515</v>
      </c>
      <c r="H7481" t="s">
        <v>20091</v>
      </c>
    </row>
    <row r="7482" spans="6:8">
      <c r="H7482" t="s">
        <v>19712</v>
      </c>
    </row>
    <row r="7483" spans="6:8">
      <c r="H7483" t="s">
        <v>20095</v>
      </c>
    </row>
    <row r="7484" spans="6:8">
      <c r="H7484" t="s">
        <v>20096</v>
      </c>
    </row>
    <row r="7485" spans="6:8">
      <c r="F7485" t="s">
        <v>11126</v>
      </c>
      <c r="G7485" t="s">
        <v>15516</v>
      </c>
      <c r="H7485" t="s">
        <v>20091</v>
      </c>
    </row>
    <row r="7486" spans="6:8">
      <c r="H7486" t="s">
        <v>19712</v>
      </c>
    </row>
    <row r="7487" spans="6:8">
      <c r="H7487" t="s">
        <v>19709</v>
      </c>
    </row>
    <row r="7488" spans="6:8">
      <c r="H7488" t="s">
        <v>19706</v>
      </c>
    </row>
    <row r="7489" spans="6:8">
      <c r="H7489" t="s">
        <v>19707</v>
      </c>
    </row>
    <row r="7490" spans="6:8">
      <c r="H7490" t="s">
        <v>19711</v>
      </c>
    </row>
    <row r="7491" spans="6:8">
      <c r="H7491" t="s">
        <v>20107</v>
      </c>
    </row>
    <row r="7492" spans="6:8">
      <c r="H7492" t="s">
        <v>20108</v>
      </c>
    </row>
    <row r="7493" spans="6:8">
      <c r="H7493" t="s">
        <v>19713</v>
      </c>
    </row>
    <row r="7494" spans="6:8">
      <c r="H7494" t="s">
        <v>19714</v>
      </c>
    </row>
    <row r="7495" spans="6:8">
      <c r="H7495" t="s">
        <v>20109</v>
      </c>
    </row>
    <row r="7496" spans="6:8">
      <c r="H7496" t="s">
        <v>20110</v>
      </c>
    </row>
    <row r="7497" spans="6:8">
      <c r="H7497" t="s">
        <v>20092</v>
      </c>
    </row>
    <row r="7498" spans="6:8">
      <c r="H7498" t="s">
        <v>20095</v>
      </c>
    </row>
    <row r="7499" spans="6:8">
      <c r="H7499" t="s">
        <v>20096</v>
      </c>
    </row>
    <row r="7500" spans="6:8">
      <c r="H7500" t="s">
        <v>20097</v>
      </c>
    </row>
    <row r="7501" spans="6:8">
      <c r="H7501" t="s">
        <v>20098</v>
      </c>
    </row>
    <row r="7502" spans="6:8">
      <c r="H7502" t="s">
        <v>20099</v>
      </c>
    </row>
    <row r="7503" spans="6:8">
      <c r="H7503" t="s">
        <v>20100</v>
      </c>
    </row>
    <row r="7504" spans="6:8">
      <c r="F7504" t="s">
        <v>11127</v>
      </c>
      <c r="G7504" t="s">
        <v>15517</v>
      </c>
      <c r="H7504" t="s">
        <v>20091</v>
      </c>
    </row>
    <row r="7505" spans="6:8">
      <c r="H7505" t="s">
        <v>19712</v>
      </c>
    </row>
    <row r="7506" spans="6:8">
      <c r="H7506" t="s">
        <v>20095</v>
      </c>
    </row>
    <row r="7507" spans="6:8">
      <c r="H7507" t="s">
        <v>20096</v>
      </c>
    </row>
    <row r="7508" spans="6:8">
      <c r="H7508" t="s">
        <v>20097</v>
      </c>
    </row>
    <row r="7509" spans="6:8">
      <c r="H7509" t="s">
        <v>20098</v>
      </c>
    </row>
    <row r="7510" spans="6:8">
      <c r="H7510" t="s">
        <v>19709</v>
      </c>
    </row>
    <row r="7511" spans="6:8">
      <c r="H7511" t="s">
        <v>19706</v>
      </c>
    </row>
    <row r="7512" spans="6:8">
      <c r="H7512" t="s">
        <v>20099</v>
      </c>
    </row>
    <row r="7513" spans="6:8">
      <c r="H7513" t="s">
        <v>20100</v>
      </c>
    </row>
    <row r="7514" spans="6:8">
      <c r="H7514" t="s">
        <v>20101</v>
      </c>
    </row>
    <row r="7515" spans="6:8">
      <c r="H7515" t="s">
        <v>20102</v>
      </c>
    </row>
    <row r="7516" spans="6:8">
      <c r="F7516" t="s">
        <v>11128</v>
      </c>
      <c r="G7516" t="s">
        <v>15518</v>
      </c>
      <c r="H7516" t="s">
        <v>20091</v>
      </c>
    </row>
    <row r="7517" spans="6:8">
      <c r="H7517" t="s">
        <v>19712</v>
      </c>
    </row>
    <row r="7518" spans="6:8">
      <c r="H7518" t="s">
        <v>20095</v>
      </c>
    </row>
    <row r="7519" spans="6:8">
      <c r="H7519" t="s">
        <v>20096</v>
      </c>
    </row>
    <row r="7520" spans="6:8">
      <c r="H7520" t="s">
        <v>20097</v>
      </c>
    </row>
    <row r="7521" spans="6:8">
      <c r="H7521" t="s">
        <v>20098</v>
      </c>
    </row>
    <row r="7522" spans="6:8">
      <c r="F7522" t="s">
        <v>11129</v>
      </c>
      <c r="G7522" t="s">
        <v>15519</v>
      </c>
      <c r="H7522" t="s">
        <v>20091</v>
      </c>
    </row>
    <row r="7523" spans="6:8">
      <c r="H7523" t="s">
        <v>19712</v>
      </c>
    </row>
    <row r="7524" spans="6:8">
      <c r="H7524" t="s">
        <v>20095</v>
      </c>
    </row>
    <row r="7525" spans="6:8">
      <c r="H7525" t="s">
        <v>20096</v>
      </c>
    </row>
    <row r="7526" spans="6:8">
      <c r="H7526" t="s">
        <v>20097</v>
      </c>
    </row>
    <row r="7527" spans="6:8">
      <c r="H7527" t="s">
        <v>20098</v>
      </c>
    </row>
    <row r="7528" spans="6:8">
      <c r="F7528" t="s">
        <v>11130</v>
      </c>
      <c r="G7528" t="s">
        <v>15520</v>
      </c>
      <c r="H7528" t="s">
        <v>20091</v>
      </c>
    </row>
    <row r="7529" spans="6:8">
      <c r="H7529" t="s">
        <v>19712</v>
      </c>
    </row>
    <row r="7530" spans="6:8">
      <c r="H7530" t="s">
        <v>20095</v>
      </c>
    </row>
    <row r="7531" spans="6:8">
      <c r="H7531" t="s">
        <v>20096</v>
      </c>
    </row>
    <row r="7532" spans="6:8">
      <c r="H7532" t="s">
        <v>20097</v>
      </c>
    </row>
    <row r="7533" spans="6:8">
      <c r="H7533" t="s">
        <v>20098</v>
      </c>
    </row>
    <row r="7534" spans="6:8">
      <c r="F7534" t="s">
        <v>11131</v>
      </c>
      <c r="G7534" t="s">
        <v>15521</v>
      </c>
      <c r="H7534" t="s">
        <v>20091</v>
      </c>
    </row>
    <row r="7535" spans="6:8">
      <c r="H7535" t="s">
        <v>19712</v>
      </c>
    </row>
    <row r="7536" spans="6:8">
      <c r="H7536" t="s">
        <v>20095</v>
      </c>
    </row>
    <row r="7537" spans="6:8">
      <c r="H7537" t="s">
        <v>20096</v>
      </c>
    </row>
    <row r="7538" spans="6:8">
      <c r="H7538" t="s">
        <v>20097</v>
      </c>
    </row>
    <row r="7539" spans="6:8">
      <c r="H7539" t="s">
        <v>20098</v>
      </c>
    </row>
    <row r="7540" spans="6:8">
      <c r="F7540" t="s">
        <v>11132</v>
      </c>
      <c r="G7540" t="s">
        <v>15522</v>
      </c>
      <c r="H7540" t="s">
        <v>20091</v>
      </c>
    </row>
    <row r="7541" spans="6:8">
      <c r="H7541" t="s">
        <v>19712</v>
      </c>
    </row>
    <row r="7542" spans="6:8">
      <c r="H7542" t="s">
        <v>19709</v>
      </c>
    </row>
    <row r="7543" spans="6:8">
      <c r="H7543" t="s">
        <v>20107</v>
      </c>
    </row>
    <row r="7544" spans="6:8">
      <c r="H7544" t="s">
        <v>20108</v>
      </c>
    </row>
    <row r="7545" spans="6:8">
      <c r="H7545" t="s">
        <v>19713</v>
      </c>
    </row>
    <row r="7546" spans="6:8">
      <c r="H7546" t="s">
        <v>19714</v>
      </c>
    </row>
    <row r="7547" spans="6:8">
      <c r="H7547" t="s">
        <v>20109</v>
      </c>
    </row>
    <row r="7548" spans="6:8">
      <c r="H7548" t="s">
        <v>20110</v>
      </c>
    </row>
    <row r="7549" spans="6:8">
      <c r="H7549" t="s">
        <v>20111</v>
      </c>
    </row>
    <row r="7550" spans="6:8">
      <c r="H7550" t="s">
        <v>20095</v>
      </c>
    </row>
    <row r="7551" spans="6:8">
      <c r="H7551" t="s">
        <v>20096</v>
      </c>
    </row>
    <row r="7552" spans="6:8">
      <c r="H7552" t="s">
        <v>20097</v>
      </c>
    </row>
    <row r="7553" spans="6:8">
      <c r="H7553" t="s">
        <v>20098</v>
      </c>
    </row>
    <row r="7554" spans="6:8">
      <c r="H7554" t="s">
        <v>20099</v>
      </c>
    </row>
    <row r="7555" spans="6:8">
      <c r="H7555" t="s">
        <v>20100</v>
      </c>
    </row>
    <row r="7556" spans="6:8">
      <c r="F7556" t="s">
        <v>11133</v>
      </c>
      <c r="G7556" t="s">
        <v>15523</v>
      </c>
      <c r="H7556" t="s">
        <v>20091</v>
      </c>
    </row>
    <row r="7557" spans="6:8">
      <c r="H7557" t="s">
        <v>19712</v>
      </c>
    </row>
    <row r="7558" spans="6:8">
      <c r="H7558" t="s">
        <v>19709</v>
      </c>
    </row>
    <row r="7559" spans="6:8">
      <c r="H7559" t="s">
        <v>19706</v>
      </c>
    </row>
    <row r="7560" spans="6:8">
      <c r="H7560" t="s">
        <v>20107</v>
      </c>
    </row>
    <row r="7561" spans="6:8">
      <c r="H7561" t="s">
        <v>20108</v>
      </c>
    </row>
    <row r="7562" spans="6:8">
      <c r="H7562" t="s">
        <v>19713</v>
      </c>
    </row>
    <row r="7563" spans="6:8">
      <c r="H7563" t="s">
        <v>20095</v>
      </c>
    </row>
    <row r="7564" spans="6:8">
      <c r="H7564" t="s">
        <v>20096</v>
      </c>
    </row>
    <row r="7565" spans="6:8">
      <c r="H7565" t="s">
        <v>20097</v>
      </c>
    </row>
    <row r="7566" spans="6:8">
      <c r="H7566" t="s">
        <v>20098</v>
      </c>
    </row>
    <row r="7567" spans="6:8">
      <c r="H7567" t="s">
        <v>20099</v>
      </c>
    </row>
    <row r="7568" spans="6:8">
      <c r="F7568" t="s">
        <v>11134</v>
      </c>
      <c r="G7568" t="s">
        <v>15524</v>
      </c>
      <c r="H7568" t="s">
        <v>20091</v>
      </c>
    </row>
    <row r="7569" spans="6:8">
      <c r="H7569" t="s">
        <v>20107</v>
      </c>
    </row>
    <row r="7570" spans="6:8">
      <c r="H7570" t="s">
        <v>20108</v>
      </c>
    </row>
    <row r="7571" spans="6:8">
      <c r="H7571" t="s">
        <v>20095</v>
      </c>
    </row>
    <row r="7572" spans="6:8">
      <c r="H7572" t="s">
        <v>20096</v>
      </c>
    </row>
    <row r="7573" spans="6:8">
      <c r="H7573" t="s">
        <v>20097</v>
      </c>
    </row>
    <row r="7574" spans="6:8">
      <c r="H7574" t="s">
        <v>20098</v>
      </c>
    </row>
    <row r="7575" spans="6:8">
      <c r="H7575" t="s">
        <v>20099</v>
      </c>
    </row>
    <row r="7576" spans="6:8">
      <c r="H7576" t="s">
        <v>20100</v>
      </c>
    </row>
    <row r="7577" spans="6:8">
      <c r="H7577" t="s">
        <v>20101</v>
      </c>
    </row>
    <row r="7578" spans="6:8">
      <c r="H7578" t="s">
        <v>20102</v>
      </c>
    </row>
    <row r="7579" spans="6:8">
      <c r="H7579" t="s">
        <v>20104</v>
      </c>
    </row>
    <row r="7580" spans="6:8">
      <c r="F7580" t="s">
        <v>11135</v>
      </c>
      <c r="G7580" t="s">
        <v>15525</v>
      </c>
      <c r="H7580" t="s">
        <v>20091</v>
      </c>
    </row>
    <row r="7581" spans="6:8">
      <c r="H7581" t="s">
        <v>19712</v>
      </c>
    </row>
    <row r="7582" spans="6:8">
      <c r="H7582" t="s">
        <v>19709</v>
      </c>
    </row>
    <row r="7583" spans="6:8">
      <c r="H7583" t="s">
        <v>20107</v>
      </c>
    </row>
    <row r="7584" spans="6:8">
      <c r="H7584" t="s">
        <v>20108</v>
      </c>
    </row>
    <row r="7585" spans="6:8">
      <c r="H7585" t="s">
        <v>20095</v>
      </c>
    </row>
    <row r="7586" spans="6:8">
      <c r="H7586" t="s">
        <v>20096</v>
      </c>
    </row>
    <row r="7587" spans="6:8">
      <c r="H7587" t="s">
        <v>20097</v>
      </c>
    </row>
    <row r="7588" spans="6:8">
      <c r="H7588" t="s">
        <v>20098</v>
      </c>
    </row>
    <row r="7589" spans="6:8">
      <c r="H7589" t="s">
        <v>20099</v>
      </c>
    </row>
    <row r="7590" spans="6:8">
      <c r="F7590" t="s">
        <v>11136</v>
      </c>
      <c r="G7590" t="s">
        <v>15526</v>
      </c>
      <c r="H7590" t="s">
        <v>20091</v>
      </c>
    </row>
    <row r="7591" spans="6:8">
      <c r="H7591" t="s">
        <v>19712</v>
      </c>
    </row>
    <row r="7592" spans="6:8">
      <c r="H7592" t="s">
        <v>19709</v>
      </c>
    </row>
    <row r="7593" spans="6:8">
      <c r="H7593" t="s">
        <v>19706</v>
      </c>
    </row>
    <row r="7594" spans="6:8">
      <c r="H7594" t="s">
        <v>19707</v>
      </c>
    </row>
    <row r="7595" spans="6:8">
      <c r="H7595" t="s">
        <v>19711</v>
      </c>
    </row>
    <row r="7596" spans="6:8">
      <c r="H7596" t="s">
        <v>20107</v>
      </c>
    </row>
    <row r="7597" spans="6:8">
      <c r="H7597" t="s">
        <v>20108</v>
      </c>
    </row>
    <row r="7598" spans="6:8">
      <c r="H7598" t="s">
        <v>19713</v>
      </c>
    </row>
    <row r="7599" spans="6:8">
      <c r="H7599" t="s">
        <v>19714</v>
      </c>
    </row>
    <row r="7600" spans="6:8">
      <c r="H7600" t="s">
        <v>20109</v>
      </c>
    </row>
    <row r="7601" spans="6:8">
      <c r="H7601" t="s">
        <v>20110</v>
      </c>
    </row>
    <row r="7602" spans="6:8">
      <c r="H7602" t="s">
        <v>20092</v>
      </c>
    </row>
    <row r="7603" spans="6:8">
      <c r="H7603" t="s">
        <v>20095</v>
      </c>
    </row>
    <row r="7604" spans="6:8">
      <c r="H7604" t="s">
        <v>20096</v>
      </c>
    </row>
    <row r="7605" spans="6:8">
      <c r="H7605" t="s">
        <v>20097</v>
      </c>
    </row>
    <row r="7606" spans="6:8">
      <c r="H7606" t="s">
        <v>20098</v>
      </c>
    </row>
    <row r="7607" spans="6:8">
      <c r="H7607" t="s">
        <v>20099</v>
      </c>
    </row>
    <row r="7608" spans="6:8">
      <c r="F7608" t="s">
        <v>11137</v>
      </c>
      <c r="G7608" t="s">
        <v>15527</v>
      </c>
      <c r="H7608" t="s">
        <v>20091</v>
      </c>
    </row>
    <row r="7609" spans="6:8">
      <c r="H7609" t="s">
        <v>19712</v>
      </c>
    </row>
    <row r="7610" spans="6:8">
      <c r="H7610" t="s">
        <v>19709</v>
      </c>
    </row>
    <row r="7611" spans="6:8">
      <c r="H7611" t="s">
        <v>20092</v>
      </c>
    </row>
    <row r="7612" spans="6:8">
      <c r="H7612" t="s">
        <v>20095</v>
      </c>
    </row>
    <row r="7613" spans="6:8">
      <c r="H7613" t="s">
        <v>20096</v>
      </c>
    </row>
    <row r="7614" spans="6:8">
      <c r="H7614" t="s">
        <v>20097</v>
      </c>
    </row>
    <row r="7615" spans="6:8">
      <c r="H7615" t="s">
        <v>20098</v>
      </c>
    </row>
    <row r="7616" spans="6:8">
      <c r="H7616" t="s">
        <v>20099</v>
      </c>
    </row>
    <row r="7617" spans="6:8">
      <c r="H7617" t="s">
        <v>20100</v>
      </c>
    </row>
    <row r="7618" spans="6:8">
      <c r="F7618" t="s">
        <v>11138</v>
      </c>
      <c r="G7618" t="s">
        <v>15528</v>
      </c>
      <c r="H7618" t="s">
        <v>20091</v>
      </c>
    </row>
    <row r="7619" spans="6:8">
      <c r="H7619" t="s">
        <v>19712</v>
      </c>
    </row>
    <row r="7620" spans="6:8">
      <c r="H7620" t="s">
        <v>19709</v>
      </c>
    </row>
    <row r="7621" spans="6:8">
      <c r="H7621" t="s">
        <v>19706</v>
      </c>
    </row>
    <row r="7622" spans="6:8">
      <c r="H7622" t="s">
        <v>19707</v>
      </c>
    </row>
    <row r="7623" spans="6:8">
      <c r="H7623" t="s">
        <v>20107</v>
      </c>
    </row>
    <row r="7624" spans="6:8">
      <c r="H7624" t="s">
        <v>20108</v>
      </c>
    </row>
    <row r="7625" spans="6:8">
      <c r="H7625" t="s">
        <v>19713</v>
      </c>
    </row>
    <row r="7626" spans="6:8">
      <c r="H7626" t="s">
        <v>19714</v>
      </c>
    </row>
    <row r="7627" spans="6:8">
      <c r="H7627" t="s">
        <v>20095</v>
      </c>
    </row>
    <row r="7628" spans="6:8">
      <c r="H7628" t="s">
        <v>20096</v>
      </c>
    </row>
    <row r="7629" spans="6:8">
      <c r="H7629" t="s">
        <v>20097</v>
      </c>
    </row>
    <row r="7630" spans="6:8">
      <c r="H7630" t="s">
        <v>20098</v>
      </c>
    </row>
    <row r="7631" spans="6:8">
      <c r="H7631" t="s">
        <v>20099</v>
      </c>
    </row>
    <row r="7632" spans="6:8">
      <c r="F7632" t="s">
        <v>11139</v>
      </c>
      <c r="G7632" t="s">
        <v>15529</v>
      </c>
      <c r="H7632" t="s">
        <v>20091</v>
      </c>
    </row>
    <row r="7633" spans="6:8">
      <c r="H7633" t="s">
        <v>19712</v>
      </c>
    </row>
    <row r="7634" spans="6:8">
      <c r="H7634" t="s">
        <v>19709</v>
      </c>
    </row>
    <row r="7635" spans="6:8">
      <c r="H7635" t="s">
        <v>19706</v>
      </c>
    </row>
    <row r="7636" spans="6:8">
      <c r="H7636" t="s">
        <v>19707</v>
      </c>
    </row>
    <row r="7637" spans="6:8">
      <c r="H7637" t="s">
        <v>20107</v>
      </c>
    </row>
    <row r="7638" spans="6:8">
      <c r="H7638" t="s">
        <v>20108</v>
      </c>
    </row>
    <row r="7639" spans="6:8">
      <c r="H7639" t="s">
        <v>19713</v>
      </c>
    </row>
    <row r="7640" spans="6:8">
      <c r="H7640" t="s">
        <v>19714</v>
      </c>
    </row>
    <row r="7641" spans="6:8">
      <c r="H7641" t="s">
        <v>20095</v>
      </c>
    </row>
    <row r="7642" spans="6:8">
      <c r="H7642" t="s">
        <v>20096</v>
      </c>
    </row>
    <row r="7643" spans="6:8">
      <c r="H7643" t="s">
        <v>20097</v>
      </c>
    </row>
    <row r="7644" spans="6:8">
      <c r="H7644" t="s">
        <v>20098</v>
      </c>
    </row>
    <row r="7645" spans="6:8">
      <c r="H7645" t="s">
        <v>20099</v>
      </c>
    </row>
    <row r="7646" spans="6:8">
      <c r="F7646" t="s">
        <v>11140</v>
      </c>
      <c r="G7646" t="s">
        <v>15530</v>
      </c>
      <c r="H7646" t="s">
        <v>20091</v>
      </c>
    </row>
    <row r="7647" spans="6:8">
      <c r="H7647" t="s">
        <v>19712</v>
      </c>
    </row>
    <row r="7648" spans="6:8">
      <c r="H7648" t="s">
        <v>20095</v>
      </c>
    </row>
    <row r="7649" spans="6:8">
      <c r="H7649" t="s">
        <v>20096</v>
      </c>
    </row>
    <row r="7650" spans="6:8">
      <c r="H7650" t="s">
        <v>20097</v>
      </c>
    </row>
    <row r="7651" spans="6:8">
      <c r="H7651" t="s">
        <v>20098</v>
      </c>
    </row>
    <row r="7652" spans="6:8">
      <c r="H7652" t="s">
        <v>19709</v>
      </c>
    </row>
    <row r="7653" spans="6:8">
      <c r="H7653" t="s">
        <v>19706</v>
      </c>
    </row>
    <row r="7654" spans="6:8">
      <c r="H7654" t="s">
        <v>20099</v>
      </c>
    </row>
    <row r="7655" spans="6:8">
      <c r="H7655" t="s">
        <v>20100</v>
      </c>
    </row>
    <row r="7656" spans="6:8">
      <c r="H7656" t="s">
        <v>20101</v>
      </c>
    </row>
    <row r="7657" spans="6:8">
      <c r="H7657" t="s">
        <v>20102</v>
      </c>
    </row>
    <row r="7658" spans="6:8">
      <c r="F7658" t="s">
        <v>11141</v>
      </c>
      <c r="G7658" t="s">
        <v>15531</v>
      </c>
      <c r="H7658" t="s">
        <v>20091</v>
      </c>
    </row>
    <row r="7659" spans="6:8">
      <c r="H7659" t="s">
        <v>19712</v>
      </c>
    </row>
    <row r="7660" spans="6:8">
      <c r="H7660" t="s">
        <v>20095</v>
      </c>
    </row>
    <row r="7661" spans="6:8">
      <c r="H7661" t="s">
        <v>20096</v>
      </c>
    </row>
    <row r="7662" spans="6:8">
      <c r="H7662" t="s">
        <v>20097</v>
      </c>
    </row>
    <row r="7663" spans="6:8">
      <c r="H7663" t="s">
        <v>20098</v>
      </c>
    </row>
    <row r="7664" spans="6:8">
      <c r="F7664" t="s">
        <v>11142</v>
      </c>
      <c r="G7664" t="s">
        <v>15532</v>
      </c>
      <c r="H7664" t="s">
        <v>20091</v>
      </c>
    </row>
    <row r="7665" spans="6:8">
      <c r="H7665" t="s">
        <v>19712</v>
      </c>
    </row>
    <row r="7666" spans="6:8">
      <c r="H7666" t="s">
        <v>20095</v>
      </c>
    </row>
    <row r="7667" spans="6:8">
      <c r="H7667" t="s">
        <v>20096</v>
      </c>
    </row>
    <row r="7668" spans="6:8">
      <c r="H7668" t="s">
        <v>20097</v>
      </c>
    </row>
    <row r="7669" spans="6:8">
      <c r="H7669" t="s">
        <v>20098</v>
      </c>
    </row>
    <row r="7670" spans="6:8">
      <c r="F7670" t="s">
        <v>11143</v>
      </c>
      <c r="G7670" t="s">
        <v>15533</v>
      </c>
      <c r="H7670" t="s">
        <v>20091</v>
      </c>
    </row>
    <row r="7671" spans="6:8">
      <c r="H7671" t="s">
        <v>19712</v>
      </c>
    </row>
    <row r="7672" spans="6:8">
      <c r="H7672" t="s">
        <v>20095</v>
      </c>
    </row>
    <row r="7673" spans="6:8">
      <c r="H7673" t="s">
        <v>20096</v>
      </c>
    </row>
    <row r="7674" spans="6:8">
      <c r="H7674" t="s">
        <v>20097</v>
      </c>
    </row>
    <row r="7675" spans="6:8">
      <c r="H7675" t="s">
        <v>20098</v>
      </c>
    </row>
    <row r="7676" spans="6:8">
      <c r="F7676" t="s">
        <v>11144</v>
      </c>
      <c r="G7676" t="s">
        <v>15534</v>
      </c>
      <c r="H7676" t="s">
        <v>20091</v>
      </c>
    </row>
    <row r="7677" spans="6:8">
      <c r="H7677" t="s">
        <v>19712</v>
      </c>
    </row>
    <row r="7678" spans="6:8">
      <c r="H7678" t="s">
        <v>20095</v>
      </c>
    </row>
    <row r="7679" spans="6:8">
      <c r="H7679" t="s">
        <v>20096</v>
      </c>
    </row>
    <row r="7680" spans="6:8">
      <c r="H7680" t="s">
        <v>20097</v>
      </c>
    </row>
    <row r="7681" spans="6:8">
      <c r="H7681" t="s">
        <v>20098</v>
      </c>
    </row>
    <row r="7682" spans="6:8">
      <c r="F7682" t="s">
        <v>11145</v>
      </c>
      <c r="G7682" t="s">
        <v>15535</v>
      </c>
      <c r="H7682" t="s">
        <v>20091</v>
      </c>
    </row>
    <row r="7683" spans="6:8">
      <c r="H7683" t="s">
        <v>19712</v>
      </c>
    </row>
    <row r="7684" spans="6:8">
      <c r="H7684" t="s">
        <v>19709</v>
      </c>
    </row>
    <row r="7685" spans="6:8">
      <c r="H7685" t="s">
        <v>20107</v>
      </c>
    </row>
    <row r="7686" spans="6:8">
      <c r="H7686" t="s">
        <v>20108</v>
      </c>
    </row>
    <row r="7687" spans="6:8">
      <c r="H7687" t="s">
        <v>19713</v>
      </c>
    </row>
    <row r="7688" spans="6:8">
      <c r="H7688" t="s">
        <v>19714</v>
      </c>
    </row>
    <row r="7689" spans="6:8">
      <c r="H7689" t="s">
        <v>20109</v>
      </c>
    </row>
    <row r="7690" spans="6:8">
      <c r="H7690" t="s">
        <v>20110</v>
      </c>
    </row>
    <row r="7691" spans="6:8">
      <c r="H7691" t="s">
        <v>20095</v>
      </c>
    </row>
    <row r="7692" spans="6:8">
      <c r="H7692" t="s">
        <v>20096</v>
      </c>
    </row>
    <row r="7693" spans="6:8">
      <c r="H7693" t="s">
        <v>20097</v>
      </c>
    </row>
    <row r="7694" spans="6:8">
      <c r="H7694" t="s">
        <v>20098</v>
      </c>
    </row>
    <row r="7695" spans="6:8">
      <c r="H7695" t="s">
        <v>20099</v>
      </c>
    </row>
    <row r="7696" spans="6:8">
      <c r="F7696" t="s">
        <v>11146</v>
      </c>
      <c r="G7696" t="s">
        <v>15536</v>
      </c>
      <c r="H7696" t="s">
        <v>20091</v>
      </c>
    </row>
    <row r="7697" spans="6:8">
      <c r="H7697" t="s">
        <v>19712</v>
      </c>
    </row>
    <row r="7698" spans="6:8">
      <c r="H7698" t="s">
        <v>19709</v>
      </c>
    </row>
    <row r="7699" spans="6:8">
      <c r="H7699" t="s">
        <v>19706</v>
      </c>
    </row>
    <row r="7700" spans="6:8">
      <c r="H7700" t="s">
        <v>19707</v>
      </c>
    </row>
    <row r="7701" spans="6:8">
      <c r="H7701" t="s">
        <v>19711</v>
      </c>
    </row>
    <row r="7702" spans="6:8">
      <c r="H7702" t="s">
        <v>20107</v>
      </c>
    </row>
    <row r="7703" spans="6:8">
      <c r="H7703" t="s">
        <v>20108</v>
      </c>
    </row>
    <row r="7704" spans="6:8">
      <c r="H7704" t="s">
        <v>19713</v>
      </c>
    </row>
    <row r="7705" spans="6:8">
      <c r="H7705" t="s">
        <v>19714</v>
      </c>
    </row>
    <row r="7706" spans="6:8">
      <c r="H7706" t="s">
        <v>20095</v>
      </c>
    </row>
    <row r="7707" spans="6:8">
      <c r="H7707" t="s">
        <v>20096</v>
      </c>
    </row>
    <row r="7708" spans="6:8">
      <c r="H7708" t="s">
        <v>20097</v>
      </c>
    </row>
    <row r="7709" spans="6:8">
      <c r="H7709" t="s">
        <v>20098</v>
      </c>
    </row>
    <row r="7710" spans="6:8">
      <c r="H7710" t="s">
        <v>20099</v>
      </c>
    </row>
    <row r="7711" spans="6:8">
      <c r="F7711" t="s">
        <v>11147</v>
      </c>
      <c r="G7711" t="s">
        <v>15537</v>
      </c>
      <c r="H7711" t="s">
        <v>20091</v>
      </c>
    </row>
    <row r="7712" spans="6:8">
      <c r="H7712" t="s">
        <v>19712</v>
      </c>
    </row>
    <row r="7713" spans="6:8">
      <c r="H7713" t="s">
        <v>19709</v>
      </c>
    </row>
    <row r="7714" spans="6:8">
      <c r="H7714" t="s">
        <v>20107</v>
      </c>
    </row>
    <row r="7715" spans="6:8">
      <c r="H7715" t="s">
        <v>20108</v>
      </c>
    </row>
    <row r="7716" spans="6:8">
      <c r="H7716" t="s">
        <v>19713</v>
      </c>
    </row>
    <row r="7717" spans="6:8">
      <c r="H7717" t="s">
        <v>20095</v>
      </c>
    </row>
    <row r="7718" spans="6:8">
      <c r="H7718" t="s">
        <v>20096</v>
      </c>
    </row>
    <row r="7719" spans="6:8">
      <c r="H7719" t="s">
        <v>20097</v>
      </c>
    </row>
    <row r="7720" spans="6:8">
      <c r="H7720" t="s">
        <v>20098</v>
      </c>
    </row>
    <row r="7721" spans="6:8">
      <c r="H7721" t="s">
        <v>20099</v>
      </c>
    </row>
    <row r="7722" spans="6:8">
      <c r="F7722" t="s">
        <v>11148</v>
      </c>
      <c r="G7722" t="s">
        <v>15538</v>
      </c>
      <c r="H7722" t="s">
        <v>20091</v>
      </c>
    </row>
    <row r="7723" spans="6:8">
      <c r="H7723" t="s">
        <v>19712</v>
      </c>
    </row>
    <row r="7724" spans="6:8">
      <c r="H7724" t="s">
        <v>20092</v>
      </c>
    </row>
    <row r="7725" spans="6:8">
      <c r="H7725" t="s">
        <v>20095</v>
      </c>
    </row>
    <row r="7726" spans="6:8">
      <c r="H7726" t="s">
        <v>20096</v>
      </c>
    </row>
    <row r="7727" spans="6:8">
      <c r="F7727" t="s">
        <v>11149</v>
      </c>
      <c r="G7727" t="s">
        <v>15539</v>
      </c>
      <c r="H7727" t="s">
        <v>20092</v>
      </c>
    </row>
    <row r="7728" spans="6:8">
      <c r="H7728" t="s">
        <v>20093</v>
      </c>
    </row>
    <row r="7729" spans="6:8">
      <c r="H7729" t="s">
        <v>20094</v>
      </c>
    </row>
    <row r="7730" spans="6:8">
      <c r="H7730" t="s">
        <v>20095</v>
      </c>
    </row>
    <row r="7731" spans="6:8">
      <c r="H7731" t="s">
        <v>20096</v>
      </c>
    </row>
    <row r="7732" spans="6:8">
      <c r="F7732" t="s">
        <v>11150</v>
      </c>
      <c r="G7732" t="s">
        <v>15540</v>
      </c>
      <c r="H7732" t="s">
        <v>20091</v>
      </c>
    </row>
    <row r="7733" spans="6:8">
      <c r="H7733" t="s">
        <v>19712</v>
      </c>
    </row>
    <row r="7734" spans="6:8">
      <c r="H7734" t="s">
        <v>19709</v>
      </c>
    </row>
    <row r="7735" spans="6:8">
      <c r="H7735" t="s">
        <v>20092</v>
      </c>
    </row>
    <row r="7736" spans="6:8">
      <c r="H7736" t="s">
        <v>20093</v>
      </c>
    </row>
    <row r="7737" spans="6:8">
      <c r="H7737" t="s">
        <v>20094</v>
      </c>
    </row>
    <row r="7738" spans="6:8">
      <c r="H7738" t="s">
        <v>20095</v>
      </c>
    </row>
    <row r="7739" spans="6:8">
      <c r="H7739" t="s">
        <v>20096</v>
      </c>
    </row>
    <row r="7740" spans="6:8">
      <c r="H7740" t="s">
        <v>20097</v>
      </c>
    </row>
    <row r="7741" spans="6:8">
      <c r="H7741" t="s">
        <v>20098</v>
      </c>
    </row>
    <row r="7742" spans="6:8">
      <c r="H7742" t="s">
        <v>20099</v>
      </c>
    </row>
    <row r="7743" spans="6:8">
      <c r="H7743" t="s">
        <v>20100</v>
      </c>
    </row>
    <row r="7744" spans="6:8">
      <c r="F7744" t="s">
        <v>11151</v>
      </c>
      <c r="G7744" t="s">
        <v>15541</v>
      </c>
      <c r="H7744" t="s">
        <v>20091</v>
      </c>
    </row>
    <row r="7745" spans="6:8">
      <c r="H7745" t="s">
        <v>19712</v>
      </c>
    </row>
    <row r="7746" spans="6:8">
      <c r="H7746" t="s">
        <v>20092</v>
      </c>
    </row>
    <row r="7747" spans="6:8">
      <c r="H7747" t="s">
        <v>20107</v>
      </c>
    </row>
    <row r="7748" spans="6:8">
      <c r="H7748" t="s">
        <v>20095</v>
      </c>
    </row>
    <row r="7749" spans="6:8">
      <c r="H7749" t="s">
        <v>20096</v>
      </c>
    </row>
    <row r="7750" spans="6:8">
      <c r="H7750" t="s">
        <v>20097</v>
      </c>
    </row>
    <row r="7751" spans="6:8">
      <c r="H7751" t="s">
        <v>20098</v>
      </c>
    </row>
    <row r="7752" spans="6:8">
      <c r="F7752" t="s">
        <v>11152</v>
      </c>
      <c r="G7752" t="s">
        <v>15542</v>
      </c>
      <c r="H7752" t="s">
        <v>20091</v>
      </c>
    </row>
    <row r="7753" spans="6:8">
      <c r="F7753" t="s">
        <v>11153</v>
      </c>
      <c r="G7753" t="s">
        <v>15543</v>
      </c>
      <c r="H7753" t="s">
        <v>20091</v>
      </c>
    </row>
    <row r="7754" spans="6:8">
      <c r="H7754" t="s">
        <v>19712</v>
      </c>
    </row>
    <row r="7755" spans="6:8">
      <c r="H7755" t="s">
        <v>19709</v>
      </c>
    </row>
    <row r="7756" spans="6:8">
      <c r="H7756" t="s">
        <v>20095</v>
      </c>
    </row>
    <row r="7757" spans="6:8">
      <c r="H7757" t="s">
        <v>20096</v>
      </c>
    </row>
    <row r="7758" spans="6:8">
      <c r="H7758" t="s">
        <v>20097</v>
      </c>
    </row>
    <row r="7759" spans="6:8">
      <c r="F7759" t="s">
        <v>11154</v>
      </c>
      <c r="G7759" t="s">
        <v>15544</v>
      </c>
      <c r="H7759" t="s">
        <v>20091</v>
      </c>
    </row>
    <row r="7760" spans="6:8">
      <c r="H7760" t="s">
        <v>19712</v>
      </c>
    </row>
    <row r="7761" spans="6:8">
      <c r="H7761" t="s">
        <v>19709</v>
      </c>
    </row>
    <row r="7762" spans="6:8">
      <c r="H7762" t="s">
        <v>19706</v>
      </c>
    </row>
    <row r="7763" spans="6:8">
      <c r="H7763" t="s">
        <v>20092</v>
      </c>
    </row>
    <row r="7764" spans="6:8">
      <c r="H7764" t="s">
        <v>20093</v>
      </c>
    </row>
    <row r="7765" spans="6:8">
      <c r="H7765" t="s">
        <v>20095</v>
      </c>
    </row>
    <row r="7766" spans="6:8">
      <c r="H7766" t="s">
        <v>20096</v>
      </c>
    </row>
    <row r="7767" spans="6:8">
      <c r="H7767" t="s">
        <v>20097</v>
      </c>
    </row>
    <row r="7768" spans="6:8">
      <c r="H7768" t="s">
        <v>20098</v>
      </c>
    </row>
    <row r="7769" spans="6:8">
      <c r="F7769" t="s">
        <v>11155</v>
      </c>
      <c r="G7769" t="s">
        <v>15545</v>
      </c>
      <c r="H7769" t="s">
        <v>20091</v>
      </c>
    </row>
    <row r="7770" spans="6:8">
      <c r="H7770" t="s">
        <v>20092</v>
      </c>
    </row>
    <row r="7771" spans="6:8">
      <c r="H7771" t="s">
        <v>20093</v>
      </c>
    </row>
    <row r="7772" spans="6:8">
      <c r="H7772" t="s">
        <v>20094</v>
      </c>
    </row>
    <row r="7773" spans="6:8">
      <c r="H7773" t="s">
        <v>20103</v>
      </c>
    </row>
    <row r="7774" spans="6:8">
      <c r="H7774" t="s">
        <v>20116</v>
      </c>
    </row>
    <row r="7775" spans="6:8">
      <c r="H7775" t="s">
        <v>20095</v>
      </c>
    </row>
    <row r="7776" spans="6:8">
      <c r="H7776" t="s">
        <v>20096</v>
      </c>
    </row>
    <row r="7777" spans="6:8">
      <c r="H7777" t="s">
        <v>20097</v>
      </c>
    </row>
    <row r="7778" spans="6:8">
      <c r="H7778" t="s">
        <v>20098</v>
      </c>
    </row>
    <row r="7779" spans="6:8">
      <c r="F7779" t="s">
        <v>11157</v>
      </c>
      <c r="G7779" t="s">
        <v>15546</v>
      </c>
      <c r="H7779" t="s">
        <v>20091</v>
      </c>
    </row>
    <row r="7780" spans="6:8">
      <c r="H7780" t="s">
        <v>19712</v>
      </c>
    </row>
    <row r="7781" spans="6:8">
      <c r="H7781" t="s">
        <v>20092</v>
      </c>
    </row>
    <row r="7782" spans="6:8">
      <c r="H7782" t="s">
        <v>20093</v>
      </c>
    </row>
    <row r="7783" spans="6:8">
      <c r="H7783" t="s">
        <v>20095</v>
      </c>
    </row>
    <row r="7784" spans="6:8">
      <c r="H7784" t="s">
        <v>20096</v>
      </c>
    </row>
    <row r="7785" spans="6:8">
      <c r="F7785" t="s">
        <v>11158</v>
      </c>
      <c r="G7785" t="s">
        <v>15547</v>
      </c>
      <c r="H7785" t="s">
        <v>20091</v>
      </c>
    </row>
    <row r="7786" spans="6:8">
      <c r="H7786" t="s">
        <v>19712</v>
      </c>
    </row>
    <row r="7787" spans="6:8">
      <c r="H7787" t="s">
        <v>20095</v>
      </c>
    </row>
    <row r="7788" spans="6:8">
      <c r="H7788" t="s">
        <v>20096</v>
      </c>
    </row>
    <row r="7789" spans="6:8">
      <c r="F7789" t="s">
        <v>11159</v>
      </c>
      <c r="G7789" t="s">
        <v>15548</v>
      </c>
      <c r="H7789" t="s">
        <v>20091</v>
      </c>
    </row>
    <row r="7790" spans="6:8">
      <c r="H7790" t="s">
        <v>19712</v>
      </c>
    </row>
    <row r="7791" spans="6:8">
      <c r="H7791" t="s">
        <v>20095</v>
      </c>
    </row>
    <row r="7792" spans="6:8">
      <c r="H7792" t="s">
        <v>20096</v>
      </c>
    </row>
    <row r="7793" spans="6:8">
      <c r="F7793" t="s">
        <v>11160</v>
      </c>
      <c r="G7793" t="s">
        <v>15549</v>
      </c>
      <c r="H7793" t="s">
        <v>20091</v>
      </c>
    </row>
    <row r="7794" spans="6:8">
      <c r="H7794" t="s">
        <v>19712</v>
      </c>
    </row>
    <row r="7795" spans="6:8">
      <c r="H7795" t="s">
        <v>19709</v>
      </c>
    </row>
    <row r="7796" spans="6:8">
      <c r="H7796" t="s">
        <v>19706</v>
      </c>
    </row>
    <row r="7797" spans="6:8">
      <c r="H7797" t="s">
        <v>19707</v>
      </c>
    </row>
    <row r="7798" spans="6:8">
      <c r="H7798" t="s">
        <v>19711</v>
      </c>
    </row>
    <row r="7799" spans="6:8">
      <c r="H7799" t="s">
        <v>20092</v>
      </c>
    </row>
    <row r="7800" spans="6:8">
      <c r="H7800" t="s">
        <v>20093</v>
      </c>
    </row>
    <row r="7801" spans="6:8">
      <c r="H7801" t="s">
        <v>20094</v>
      </c>
    </row>
    <row r="7802" spans="6:8">
      <c r="H7802" t="s">
        <v>20103</v>
      </c>
    </row>
    <row r="7803" spans="6:8">
      <c r="H7803" t="s">
        <v>20116</v>
      </c>
    </row>
    <row r="7804" spans="6:8">
      <c r="H7804" t="s">
        <v>20117</v>
      </c>
    </row>
    <row r="7805" spans="6:8">
      <c r="H7805" t="s">
        <v>20118</v>
      </c>
    </row>
    <row r="7806" spans="6:8">
      <c r="H7806" t="s">
        <v>20095</v>
      </c>
    </row>
    <row r="7807" spans="6:8">
      <c r="H7807" t="s">
        <v>20096</v>
      </c>
    </row>
    <row r="7808" spans="6:8">
      <c r="H7808" t="s">
        <v>20097</v>
      </c>
    </row>
    <row r="7809" spans="6:8">
      <c r="H7809" t="s">
        <v>20098</v>
      </c>
    </row>
    <row r="7810" spans="6:8">
      <c r="H7810" t="s">
        <v>20099</v>
      </c>
    </row>
    <row r="7811" spans="6:8">
      <c r="H7811" t="s">
        <v>20100</v>
      </c>
    </row>
    <row r="7812" spans="6:8">
      <c r="F7812" t="s">
        <v>11161</v>
      </c>
      <c r="G7812" t="s">
        <v>15550</v>
      </c>
      <c r="H7812" t="s">
        <v>20091</v>
      </c>
    </row>
    <row r="7813" spans="6:8">
      <c r="H7813" t="s">
        <v>19712</v>
      </c>
    </row>
    <row r="7814" spans="6:8">
      <c r="H7814" t="s">
        <v>19709</v>
      </c>
    </row>
    <row r="7815" spans="6:8">
      <c r="H7815" t="s">
        <v>19706</v>
      </c>
    </row>
    <row r="7816" spans="6:8">
      <c r="H7816" t="s">
        <v>19707</v>
      </c>
    </row>
    <row r="7817" spans="6:8">
      <c r="H7817" t="s">
        <v>20092</v>
      </c>
    </row>
    <row r="7818" spans="6:8">
      <c r="H7818" t="s">
        <v>20093</v>
      </c>
    </row>
    <row r="7819" spans="6:8">
      <c r="H7819" t="s">
        <v>20094</v>
      </c>
    </row>
    <row r="7820" spans="6:8">
      <c r="H7820" t="s">
        <v>20103</v>
      </c>
    </row>
    <row r="7821" spans="6:8">
      <c r="H7821" t="s">
        <v>20116</v>
      </c>
    </row>
    <row r="7822" spans="6:8">
      <c r="H7822" t="s">
        <v>20117</v>
      </c>
    </row>
    <row r="7823" spans="6:8">
      <c r="H7823" t="s">
        <v>20118</v>
      </c>
    </row>
    <row r="7824" spans="6:8">
      <c r="H7824" t="s">
        <v>20095</v>
      </c>
    </row>
    <row r="7825" spans="6:8">
      <c r="H7825" t="s">
        <v>20096</v>
      </c>
    </row>
    <row r="7826" spans="6:8">
      <c r="H7826" t="s">
        <v>20097</v>
      </c>
    </row>
    <row r="7827" spans="6:8">
      <c r="H7827" t="s">
        <v>20098</v>
      </c>
    </row>
    <row r="7828" spans="6:8">
      <c r="H7828" t="s">
        <v>20099</v>
      </c>
    </row>
    <row r="7829" spans="6:8">
      <c r="H7829" t="s">
        <v>20100</v>
      </c>
    </row>
    <row r="7830" spans="6:8">
      <c r="F7830" t="s">
        <v>11162</v>
      </c>
      <c r="G7830" t="s">
        <v>15551</v>
      </c>
      <c r="H7830" t="s">
        <v>20091</v>
      </c>
    </row>
    <row r="7831" spans="6:8">
      <c r="H7831" t="s">
        <v>20095</v>
      </c>
    </row>
    <row r="7832" spans="6:8">
      <c r="H7832" t="s">
        <v>20096</v>
      </c>
    </row>
    <row r="7833" spans="6:8">
      <c r="H7833" t="s">
        <v>20099</v>
      </c>
    </row>
    <row r="7834" spans="6:8">
      <c r="H7834" t="s">
        <v>20101</v>
      </c>
    </row>
    <row r="7835" spans="6:8">
      <c r="H7835" t="s">
        <v>19712</v>
      </c>
    </row>
    <row r="7836" spans="6:8">
      <c r="H7836" t="s">
        <v>20097</v>
      </c>
    </row>
    <row r="7837" spans="6:8">
      <c r="H7837" t="s">
        <v>20098</v>
      </c>
    </row>
    <row r="7838" spans="6:8">
      <c r="H7838" t="s">
        <v>20100</v>
      </c>
    </row>
    <row r="7839" spans="6:8">
      <c r="H7839" t="s">
        <v>20102</v>
      </c>
    </row>
    <row r="7840" spans="6:8">
      <c r="F7840" t="s">
        <v>11163</v>
      </c>
      <c r="G7840" t="s">
        <v>15552</v>
      </c>
      <c r="H7840" t="s">
        <v>20091</v>
      </c>
    </row>
    <row r="7841" spans="6:8">
      <c r="H7841" t="s">
        <v>19712</v>
      </c>
    </row>
    <row r="7842" spans="6:8">
      <c r="H7842" t="s">
        <v>20092</v>
      </c>
    </row>
    <row r="7843" spans="6:8">
      <c r="H7843" t="s">
        <v>20093</v>
      </c>
    </row>
    <row r="7844" spans="6:8">
      <c r="H7844" t="s">
        <v>20094</v>
      </c>
    </row>
    <row r="7845" spans="6:8">
      <c r="H7845" t="s">
        <v>20095</v>
      </c>
    </row>
    <row r="7846" spans="6:8">
      <c r="H7846" t="s">
        <v>20096</v>
      </c>
    </row>
    <row r="7847" spans="6:8">
      <c r="H7847" t="s">
        <v>20097</v>
      </c>
    </row>
    <row r="7848" spans="6:8">
      <c r="H7848" t="s">
        <v>20098</v>
      </c>
    </row>
    <row r="7849" spans="6:8">
      <c r="H7849" t="s">
        <v>20099</v>
      </c>
    </row>
    <row r="7850" spans="6:8">
      <c r="H7850" t="s">
        <v>20100</v>
      </c>
    </row>
    <row r="7851" spans="6:8">
      <c r="H7851" t="s">
        <v>20101</v>
      </c>
    </row>
    <row r="7852" spans="6:8">
      <c r="H7852" t="s">
        <v>20102</v>
      </c>
    </row>
    <row r="7853" spans="6:8">
      <c r="F7853" t="s">
        <v>11164</v>
      </c>
      <c r="G7853" t="s">
        <v>15553</v>
      </c>
      <c r="H7853" t="s">
        <v>20091</v>
      </c>
    </row>
    <row r="7854" spans="6:8">
      <c r="H7854" t="s">
        <v>19712</v>
      </c>
    </row>
    <row r="7855" spans="6:8">
      <c r="H7855" t="s">
        <v>20092</v>
      </c>
    </row>
    <row r="7856" spans="6:8">
      <c r="H7856" t="s">
        <v>20093</v>
      </c>
    </row>
    <row r="7857" spans="6:8">
      <c r="H7857" t="s">
        <v>20094</v>
      </c>
    </row>
    <row r="7858" spans="6:8">
      <c r="H7858" t="s">
        <v>20095</v>
      </c>
    </row>
    <row r="7859" spans="6:8">
      <c r="H7859" t="s">
        <v>20096</v>
      </c>
    </row>
    <row r="7860" spans="6:8">
      <c r="H7860" t="s">
        <v>20097</v>
      </c>
    </row>
    <row r="7861" spans="6:8">
      <c r="H7861" t="s">
        <v>20098</v>
      </c>
    </row>
    <row r="7862" spans="6:8">
      <c r="H7862" t="s">
        <v>20099</v>
      </c>
    </row>
    <row r="7863" spans="6:8">
      <c r="H7863" t="s">
        <v>20100</v>
      </c>
    </row>
    <row r="7864" spans="6:8">
      <c r="H7864" t="s">
        <v>20101</v>
      </c>
    </row>
    <row r="7865" spans="6:8">
      <c r="H7865" t="s">
        <v>20102</v>
      </c>
    </row>
    <row r="7866" spans="6:8">
      <c r="F7866" t="s">
        <v>11165</v>
      </c>
      <c r="G7866" t="s">
        <v>15554</v>
      </c>
      <c r="H7866" t="s">
        <v>20091</v>
      </c>
    </row>
    <row r="7867" spans="6:8">
      <c r="H7867" t="s">
        <v>20107</v>
      </c>
    </row>
    <row r="7868" spans="6:8">
      <c r="H7868" t="s">
        <v>20108</v>
      </c>
    </row>
    <row r="7869" spans="6:8">
      <c r="H7869" t="s">
        <v>20095</v>
      </c>
    </row>
    <row r="7870" spans="6:8">
      <c r="F7870" t="s">
        <v>11166</v>
      </c>
      <c r="G7870" t="s">
        <v>15555</v>
      </c>
      <c r="H7870" t="s">
        <v>20091</v>
      </c>
    </row>
    <row r="7871" spans="6:8">
      <c r="H7871" t="s">
        <v>19712</v>
      </c>
    </row>
    <row r="7872" spans="6:8">
      <c r="H7872" t="s">
        <v>19709</v>
      </c>
    </row>
    <row r="7873" spans="6:8">
      <c r="H7873" t="s">
        <v>19706</v>
      </c>
    </row>
    <row r="7874" spans="6:8">
      <c r="H7874" t="s">
        <v>20095</v>
      </c>
    </row>
    <row r="7875" spans="6:8">
      <c r="H7875" t="s">
        <v>20096</v>
      </c>
    </row>
    <row r="7876" spans="6:8">
      <c r="H7876" t="s">
        <v>20097</v>
      </c>
    </row>
    <row r="7877" spans="6:8">
      <c r="H7877" t="s">
        <v>20098</v>
      </c>
    </row>
    <row r="7878" spans="6:8">
      <c r="F7878" t="s">
        <v>11167</v>
      </c>
      <c r="G7878" t="s">
        <v>15556</v>
      </c>
      <c r="H7878" t="s">
        <v>20091</v>
      </c>
    </row>
    <row r="7879" spans="6:8">
      <c r="H7879" t="s">
        <v>20107</v>
      </c>
    </row>
    <row r="7880" spans="6:8">
      <c r="H7880" t="s">
        <v>20108</v>
      </c>
    </row>
    <row r="7881" spans="6:8">
      <c r="H7881" t="s">
        <v>20095</v>
      </c>
    </row>
    <row r="7882" spans="6:8">
      <c r="H7882" t="s">
        <v>20096</v>
      </c>
    </row>
    <row r="7883" spans="6:8">
      <c r="H7883" t="s">
        <v>20097</v>
      </c>
    </row>
    <row r="7884" spans="6:8">
      <c r="H7884" t="s">
        <v>20098</v>
      </c>
    </row>
    <row r="7885" spans="6:8">
      <c r="H7885" t="s">
        <v>20099</v>
      </c>
    </row>
    <row r="7886" spans="6:8">
      <c r="H7886" t="s">
        <v>20100</v>
      </c>
    </row>
    <row r="7887" spans="6:8">
      <c r="H7887" t="s">
        <v>20101</v>
      </c>
    </row>
    <row r="7888" spans="6:8">
      <c r="H7888" t="s">
        <v>20102</v>
      </c>
    </row>
    <row r="7889" spans="6:8">
      <c r="F7889" t="s">
        <v>11168</v>
      </c>
      <c r="G7889" t="s">
        <v>15557</v>
      </c>
      <c r="H7889" t="s">
        <v>20095</v>
      </c>
    </row>
    <row r="7890" spans="6:8">
      <c r="H7890" t="s">
        <v>20096</v>
      </c>
    </row>
    <row r="7891" spans="6:8">
      <c r="F7891" t="s">
        <v>11169</v>
      </c>
      <c r="G7891" t="s">
        <v>15558</v>
      </c>
      <c r="H7891" t="s">
        <v>20095</v>
      </c>
    </row>
    <row r="7892" spans="6:8">
      <c r="F7892" t="s">
        <v>11170</v>
      </c>
      <c r="G7892" t="s">
        <v>15559</v>
      </c>
      <c r="H7892" t="s">
        <v>20095</v>
      </c>
    </row>
    <row r="7893" spans="6:8">
      <c r="F7893" t="s">
        <v>11171</v>
      </c>
      <c r="G7893" t="s">
        <v>15560</v>
      </c>
      <c r="H7893" t="s">
        <v>20095</v>
      </c>
    </row>
    <row r="7894" spans="6:8">
      <c r="F7894" t="s">
        <v>11172</v>
      </c>
      <c r="G7894" t="s">
        <v>15561</v>
      </c>
      <c r="H7894" t="s">
        <v>20095</v>
      </c>
    </row>
    <row r="7895" spans="6:8">
      <c r="H7895" t="s">
        <v>20096</v>
      </c>
    </row>
    <row r="7896" spans="6:8">
      <c r="H7896" t="s">
        <v>20097</v>
      </c>
    </row>
    <row r="7897" spans="6:8">
      <c r="H7897" t="s">
        <v>20098</v>
      </c>
    </row>
    <row r="7898" spans="6:8">
      <c r="F7898" t="s">
        <v>11173</v>
      </c>
      <c r="G7898" t="s">
        <v>15562</v>
      </c>
      <c r="H7898" t="s">
        <v>20095</v>
      </c>
    </row>
    <row r="7899" spans="6:8">
      <c r="F7899" t="s">
        <v>11174</v>
      </c>
      <c r="G7899" t="s">
        <v>15563</v>
      </c>
      <c r="H7899" t="s">
        <v>20095</v>
      </c>
    </row>
    <row r="7900" spans="6:8">
      <c r="H7900" t="s">
        <v>20096</v>
      </c>
    </row>
    <row r="7901" spans="6:8">
      <c r="F7901" t="s">
        <v>11175</v>
      </c>
      <c r="G7901" t="s">
        <v>15564</v>
      </c>
      <c r="H7901" t="s">
        <v>20091</v>
      </c>
    </row>
    <row r="7902" spans="6:8">
      <c r="H7902" t="s">
        <v>20095</v>
      </c>
    </row>
    <row r="7903" spans="6:8">
      <c r="H7903" t="s">
        <v>20096</v>
      </c>
    </row>
    <row r="7904" spans="6:8">
      <c r="F7904" t="s">
        <v>11176</v>
      </c>
      <c r="G7904" t="s">
        <v>15565</v>
      </c>
      <c r="H7904" t="s">
        <v>20095</v>
      </c>
    </row>
    <row r="7905" spans="1:8">
      <c r="H7905" t="s">
        <v>20096</v>
      </c>
    </row>
    <row r="7906" spans="1:8">
      <c r="F7906" t="s">
        <v>11177</v>
      </c>
      <c r="G7906" t="s">
        <v>15566</v>
      </c>
      <c r="H7906" t="s">
        <v>20095</v>
      </c>
    </row>
    <row r="7907" spans="1:8">
      <c r="F7907" t="s">
        <v>11178</v>
      </c>
      <c r="G7907" t="s">
        <v>15567</v>
      </c>
      <c r="H7907" t="s">
        <v>20095</v>
      </c>
    </row>
    <row r="7908" spans="1:8">
      <c r="F7908" t="s">
        <v>11179</v>
      </c>
      <c r="G7908" t="s">
        <v>15568</v>
      </c>
      <c r="H7908" t="s">
        <v>20095</v>
      </c>
    </row>
    <row r="7909" spans="1:8">
      <c r="H7909" t="s">
        <v>20096</v>
      </c>
    </row>
    <row r="7910" spans="1:8">
      <c r="F7910" t="s">
        <v>11180</v>
      </c>
      <c r="G7910" t="s">
        <v>15569</v>
      </c>
      <c r="H7910" t="s">
        <v>20095</v>
      </c>
    </row>
    <row r="7911" spans="1:8">
      <c r="H7911" t="s">
        <v>20096</v>
      </c>
    </row>
    <row r="7912" spans="1:8">
      <c r="H7912" t="s">
        <v>20097</v>
      </c>
    </row>
    <row r="7913" spans="1:8">
      <c r="F7913" t="s">
        <v>11181</v>
      </c>
      <c r="G7913" t="s">
        <v>15570</v>
      </c>
      <c r="H7913" t="s">
        <v>20095</v>
      </c>
    </row>
    <row r="7914" spans="1:8">
      <c r="H7914" t="s">
        <v>20096</v>
      </c>
    </row>
    <row r="7915" spans="1:8">
      <c r="F7915" t="s">
        <v>11182</v>
      </c>
      <c r="G7915" t="s">
        <v>15571</v>
      </c>
      <c r="H7915" t="s">
        <v>20095</v>
      </c>
    </row>
    <row r="7916" spans="1:8">
      <c r="H7916" t="s">
        <v>20096</v>
      </c>
    </row>
    <row r="7917" spans="1:8">
      <c r="A7917" t="s">
        <v>325</v>
      </c>
      <c r="B7917">
        <f>HYPERLINK("https://android.googlesource.com/platform/cts/+/bc9b467765c6b77506b88dc8c6f3a5dd585d1055", "bc9b467765c6b77506b88dc8c6f3a5dd585d1055")</f>
        <v>0</v>
      </c>
      <c r="C7917">
        <f>HYPERLINK("https://android.googlesource.com/platform/cts/+/c7ca40ff7593edb1902b4802e6a4517be61b658a", "c7ca40ff7593edb1902b4802e6a4517be61b658a")</f>
        <v>0</v>
      </c>
      <c r="D7917" t="s">
        <v>4957</v>
      </c>
      <c r="E7917" t="s">
        <v>6120</v>
      </c>
      <c r="F7917" t="s">
        <v>11432</v>
      </c>
      <c r="G7917" t="s">
        <v>15672</v>
      </c>
      <c r="H7917" t="s">
        <v>20247</v>
      </c>
    </row>
    <row r="7918" spans="1:8">
      <c r="A7918" t="s">
        <v>326</v>
      </c>
      <c r="B7918">
        <f>HYPERLINK("https://android.googlesource.com/platform/cts/+/d5f04893f0c1a7663ff195a9b373d100e2741518", "d5f04893f0c1a7663ff195a9b373d100e2741518")</f>
        <v>0</v>
      </c>
      <c r="C7918">
        <f>HYPERLINK("https://android.googlesource.com/platform/cts/+/68b0d0be0cf57b8d2b1efb674f263a8a23a38055", "68b0d0be0cf57b8d2b1efb674f263a8a23a38055")</f>
        <v>0</v>
      </c>
      <c r="D7918" t="s">
        <v>4967</v>
      </c>
      <c r="E7918" t="s">
        <v>6121</v>
      </c>
      <c r="F7918" t="s">
        <v>11433</v>
      </c>
      <c r="G7918" t="s">
        <v>15673</v>
      </c>
      <c r="H7918" t="s">
        <v>20248</v>
      </c>
    </row>
    <row r="7919" spans="1:8">
      <c r="H7919" t="s">
        <v>20249</v>
      </c>
    </row>
    <row r="7920" spans="1:8">
      <c r="H7920" t="s">
        <v>20250</v>
      </c>
    </row>
    <row r="7921" spans="1:8">
      <c r="H7921" t="s">
        <v>20251</v>
      </c>
    </row>
    <row r="7922" spans="1:8">
      <c r="H7922" t="s">
        <v>20252</v>
      </c>
    </row>
    <row r="7923" spans="1:8">
      <c r="H7923" t="s">
        <v>20253</v>
      </c>
    </row>
    <row r="7924" spans="1:8">
      <c r="H7924" t="s">
        <v>20254</v>
      </c>
    </row>
    <row r="7925" spans="1:8">
      <c r="H7925" t="s">
        <v>20255</v>
      </c>
    </row>
    <row r="7926" spans="1:8">
      <c r="H7926" t="s">
        <v>20256</v>
      </c>
    </row>
    <row r="7927" spans="1:8">
      <c r="H7927" t="s">
        <v>20257</v>
      </c>
    </row>
    <row r="7928" spans="1:8">
      <c r="H7928" t="s">
        <v>20258</v>
      </c>
    </row>
    <row r="7929" spans="1:8">
      <c r="H7929" t="s">
        <v>20259</v>
      </c>
    </row>
    <row r="7930" spans="1:8">
      <c r="A7930" t="s">
        <v>327</v>
      </c>
      <c r="B7930">
        <f>HYPERLINK("https://android.googlesource.com/platform/cts/+/3620919a4e2f4b7d2801411fee1dc8b16c6c9344", "3620919a4e2f4b7d2801411fee1dc8b16c6c9344")</f>
        <v>0</v>
      </c>
      <c r="C7930">
        <f>HYPERLINK("https://android.googlesource.com/platform/cts/+/98439bb945e0d32ff42f5ab98618ff50859c0fb8", "98439bb945e0d32ff42f5ab98618ff50859c0fb8")</f>
        <v>0</v>
      </c>
      <c r="D7930" t="s">
        <v>4967</v>
      </c>
      <c r="E7930" t="s">
        <v>6122</v>
      </c>
      <c r="F7930" t="s">
        <v>10736</v>
      </c>
      <c r="G7930" t="s">
        <v>15135</v>
      </c>
      <c r="H7930" t="s">
        <v>20261</v>
      </c>
    </row>
    <row r="7931" spans="1:8">
      <c r="A7931" t="s">
        <v>328</v>
      </c>
      <c r="B7931">
        <f>HYPERLINK("https://android.googlesource.com/platform/cts/+/af31fd0dd392fea5451421d61a3f904f2b56c6bd", "af31fd0dd392fea5451421d61a3f904f2b56c6bd")</f>
        <v>0</v>
      </c>
      <c r="C7931">
        <f>HYPERLINK("https://android.googlesource.com/platform/cts/+/dc6eef954a66e71b84489734d930290f289aa2ed", "dc6eef954a66e71b84489734d930290f289aa2ed")</f>
        <v>0</v>
      </c>
      <c r="D7931" t="s">
        <v>4976</v>
      </c>
      <c r="E7931" t="s">
        <v>6123</v>
      </c>
      <c r="F7931" t="s">
        <v>11193</v>
      </c>
      <c r="G7931" t="s">
        <v>15582</v>
      </c>
      <c r="H7931" t="s">
        <v>20263</v>
      </c>
    </row>
    <row r="7932" spans="1:8">
      <c r="H7932" t="s">
        <v>20264</v>
      </c>
    </row>
    <row r="7933" spans="1:8">
      <c r="A7933" t="s">
        <v>330</v>
      </c>
      <c r="B7933">
        <f>HYPERLINK("https://android.googlesource.com/platform/cts/+/28ae149617c89a172128fcd314e8e70d719aa7bd", "28ae149617c89a172128fcd314e8e70d719aa7bd")</f>
        <v>0</v>
      </c>
      <c r="C7933">
        <f>HYPERLINK("https://android.googlesource.com/platform/cts/+/d95ad171495887f9012d3fb75cf78341f4d4db59", "d95ad171495887f9012d3fb75cf78341f4d4db59")</f>
        <v>0</v>
      </c>
      <c r="D7933" t="s">
        <v>4967</v>
      </c>
      <c r="E7933" t="s">
        <v>6125</v>
      </c>
      <c r="F7933" t="s">
        <v>11433</v>
      </c>
      <c r="G7933" t="s">
        <v>15673</v>
      </c>
      <c r="H7933" t="s">
        <v>20268</v>
      </c>
    </row>
    <row r="7934" spans="1:8">
      <c r="H7934" t="s">
        <v>20269</v>
      </c>
    </row>
    <row r="7935" spans="1:8">
      <c r="A7935" t="s">
        <v>331</v>
      </c>
      <c r="B7935">
        <f>HYPERLINK("https://android.googlesource.com/platform/cts/+/b6d00d345818c037a9d2e40c8207326a6931ce36", "b6d00d345818c037a9d2e40c8207326a6931ce36")</f>
        <v>0</v>
      </c>
      <c r="C7935">
        <f>HYPERLINK("https://android.googlesource.com/platform/cts/+/e259e04c163a34a536dc8bde625593d9c386e758", "e259e04c163a34a536dc8bde625593d9c386e758")</f>
        <v>0</v>
      </c>
      <c r="D7935" t="s">
        <v>4967</v>
      </c>
      <c r="E7935" t="s">
        <v>6126</v>
      </c>
      <c r="F7935" t="s">
        <v>11433</v>
      </c>
      <c r="G7935" t="s">
        <v>15673</v>
      </c>
      <c r="H7935" t="s">
        <v>20270</v>
      </c>
    </row>
    <row r="7936" spans="1:8">
      <c r="H7936" t="s">
        <v>20271</v>
      </c>
    </row>
    <row r="7937" spans="1:8">
      <c r="A7937" t="s">
        <v>333</v>
      </c>
      <c r="B7937">
        <f>HYPERLINK("https://android.googlesource.com/platform/cts/+/b803f80f0fa6680dd8fe7606e7d9b6a908ddaaf4", "b803f80f0fa6680dd8fe7606e7d9b6a908ddaaf4")</f>
        <v>0</v>
      </c>
      <c r="C7937">
        <f>HYPERLINK("https://android.googlesource.com/platform/cts/+/d95ad171495887f9012d3fb75cf78341f4d4db59", "d95ad171495887f9012d3fb75cf78341f4d4db59")</f>
        <v>0</v>
      </c>
      <c r="D7937" t="s">
        <v>4949</v>
      </c>
      <c r="E7937" t="s">
        <v>6128</v>
      </c>
      <c r="F7937" t="s">
        <v>11436</v>
      </c>
      <c r="G7937" t="s">
        <v>15675</v>
      </c>
      <c r="H7937" t="s">
        <v>20273</v>
      </c>
    </row>
    <row r="7938" spans="1:8">
      <c r="H7938" t="s">
        <v>20274</v>
      </c>
    </row>
    <row r="7939" spans="1:8">
      <c r="H7939" t="s">
        <v>20275</v>
      </c>
    </row>
    <row r="7940" spans="1:8">
      <c r="H7940" t="s">
        <v>20276</v>
      </c>
    </row>
    <row r="7941" spans="1:8">
      <c r="H7941" t="s">
        <v>20277</v>
      </c>
    </row>
    <row r="7942" spans="1:8">
      <c r="H7942" t="s">
        <v>20278</v>
      </c>
    </row>
    <row r="7943" spans="1:8">
      <c r="H7943" t="s">
        <v>20279</v>
      </c>
    </row>
    <row r="7944" spans="1:8">
      <c r="H7944" t="s">
        <v>20280</v>
      </c>
    </row>
    <row r="7945" spans="1:8">
      <c r="H7945" t="s">
        <v>20281</v>
      </c>
    </row>
    <row r="7946" spans="1:8">
      <c r="H7946" t="s">
        <v>20282</v>
      </c>
    </row>
    <row r="7947" spans="1:8">
      <c r="H7947" t="s">
        <v>19506</v>
      </c>
    </row>
    <row r="7948" spans="1:8">
      <c r="H7948" t="s">
        <v>20283</v>
      </c>
    </row>
    <row r="7949" spans="1:8">
      <c r="H7949" t="s">
        <v>20284</v>
      </c>
    </row>
    <row r="7950" spans="1:8">
      <c r="H7950" t="s">
        <v>20285</v>
      </c>
    </row>
    <row r="7951" spans="1:8">
      <c r="H7951" t="s">
        <v>20286</v>
      </c>
    </row>
    <row r="7952" spans="1:8">
      <c r="H7952" t="s">
        <v>20287</v>
      </c>
    </row>
    <row r="7953" spans="1:8">
      <c r="H7953" t="s">
        <v>20288</v>
      </c>
    </row>
    <row r="7954" spans="1:8">
      <c r="H7954" t="s">
        <v>20289</v>
      </c>
    </row>
    <row r="7955" spans="1:8">
      <c r="A7955" t="s">
        <v>337</v>
      </c>
      <c r="B7955">
        <f>HYPERLINK("https://android.googlesource.com/platform/cts/+/a5e07f729e8c21c643c6913fe86cd326239bb1c4", "a5e07f729e8c21c643c6913fe86cd326239bb1c4")</f>
        <v>0</v>
      </c>
      <c r="C7955">
        <f>HYPERLINK("https://android.googlesource.com/platform/cts/+/d84723162edeeeac743c3e831944a2136a06f99c", "d84723162edeeeac743c3e831944a2136a06f99c")</f>
        <v>0</v>
      </c>
      <c r="D7955" t="s">
        <v>4967</v>
      </c>
      <c r="E7955" t="s">
        <v>6132</v>
      </c>
      <c r="F7955" t="s">
        <v>10682</v>
      </c>
      <c r="G7955" t="s">
        <v>15082</v>
      </c>
      <c r="H7955" t="s">
        <v>20317</v>
      </c>
    </row>
    <row r="7956" spans="1:8">
      <c r="A7956" t="s">
        <v>338</v>
      </c>
      <c r="B7956">
        <f>HYPERLINK("https://android.googlesource.com/platform/cts/+/c05d6814751ce3291539822528e689390e69da8d", "c05d6814751ce3291539822528e689390e69da8d")</f>
        <v>0</v>
      </c>
      <c r="C7956">
        <f>HYPERLINK("https://android.googlesource.com/platform/cts/+/a5e07f729e8c21c643c6913fe86cd326239bb1c4", "a5e07f729e8c21c643c6913fe86cd326239bb1c4")</f>
        <v>0</v>
      </c>
      <c r="D7956" t="s">
        <v>4967</v>
      </c>
      <c r="E7956" t="s">
        <v>6133</v>
      </c>
      <c r="F7956" t="s">
        <v>11433</v>
      </c>
      <c r="G7956" t="s">
        <v>15673</v>
      </c>
      <c r="H7956" t="s">
        <v>20318</v>
      </c>
    </row>
    <row r="7957" spans="1:8">
      <c r="H7957" t="s">
        <v>20319</v>
      </c>
    </row>
    <row r="7958" spans="1:8">
      <c r="H7958" t="s">
        <v>20320</v>
      </c>
    </row>
    <row r="7959" spans="1:8">
      <c r="H7959" t="s">
        <v>20321</v>
      </c>
    </row>
    <row r="7960" spans="1:8">
      <c r="H7960" t="s">
        <v>20322</v>
      </c>
    </row>
    <row r="7961" spans="1:8">
      <c r="H7961" t="s">
        <v>20323</v>
      </c>
    </row>
    <row r="7962" spans="1:8">
      <c r="H7962" t="s">
        <v>20324</v>
      </c>
    </row>
    <row r="7963" spans="1:8">
      <c r="H7963" t="s">
        <v>20325</v>
      </c>
    </row>
    <row r="7964" spans="1:8">
      <c r="A7964" t="s">
        <v>339</v>
      </c>
      <c r="B7964">
        <f>HYPERLINK("https://android.googlesource.com/platform/cts/+/e1cafc03a8c2559371dc199b9ae96e10d443bae5", "e1cafc03a8c2559371dc199b9ae96e10d443bae5")</f>
        <v>0</v>
      </c>
      <c r="C7964">
        <f>HYPERLINK("https://android.googlesource.com/platform/cts/+/bb828157aef048a28edefc2796fa64b472ab3c32", "bb828157aef048a28edefc2796fa64b472ab3c32")</f>
        <v>0</v>
      </c>
      <c r="D7964" t="s">
        <v>4952</v>
      </c>
      <c r="E7964" t="s">
        <v>6134</v>
      </c>
      <c r="F7964" t="s">
        <v>11438</v>
      </c>
      <c r="G7964" t="s">
        <v>15678</v>
      </c>
      <c r="H7964" t="s">
        <v>20327</v>
      </c>
    </row>
    <row r="7965" spans="1:8">
      <c r="H7965" t="s">
        <v>20328</v>
      </c>
    </row>
    <row r="7966" spans="1:8">
      <c r="H7966" t="s">
        <v>20329</v>
      </c>
    </row>
    <row r="7967" spans="1:8">
      <c r="H7967" t="s">
        <v>20330</v>
      </c>
    </row>
    <row r="7968" spans="1:8">
      <c r="H7968" t="s">
        <v>20331</v>
      </c>
    </row>
    <row r="7969" spans="1:8">
      <c r="A7969" t="s">
        <v>342</v>
      </c>
      <c r="B7969">
        <f>HYPERLINK("https://android.googlesource.com/platform/cts/+/7bc0320b796fa52268a3866a66d88f69f0278175", "7bc0320b796fa52268a3866a66d88f69f0278175")</f>
        <v>0</v>
      </c>
      <c r="C7969">
        <f>HYPERLINK("https://android.googlesource.com/platform/cts/+/f26610714a631cc933da15e985a9400e7615ba47", "f26610714a631cc933da15e985a9400e7615ba47")</f>
        <v>0</v>
      </c>
      <c r="D7969" t="s">
        <v>4949</v>
      </c>
      <c r="E7969" t="s">
        <v>6137</v>
      </c>
      <c r="F7969" t="s">
        <v>11184</v>
      </c>
      <c r="G7969" t="s">
        <v>15573</v>
      </c>
      <c r="H7969" t="s">
        <v>20273</v>
      </c>
    </row>
    <row r="7970" spans="1:8">
      <c r="H7970" t="s">
        <v>20274</v>
      </c>
    </row>
    <row r="7971" spans="1:8">
      <c r="H7971" t="s">
        <v>20275</v>
      </c>
    </row>
    <row r="7972" spans="1:8">
      <c r="H7972" t="s">
        <v>20276</v>
      </c>
    </row>
    <row r="7973" spans="1:8">
      <c r="H7973" t="s">
        <v>20277</v>
      </c>
    </row>
    <row r="7974" spans="1:8">
      <c r="H7974" t="s">
        <v>20278</v>
      </c>
    </row>
    <row r="7975" spans="1:8">
      <c r="H7975" t="s">
        <v>20279</v>
      </c>
    </row>
    <row r="7976" spans="1:8">
      <c r="H7976" t="s">
        <v>20280</v>
      </c>
    </row>
    <row r="7977" spans="1:8">
      <c r="H7977" t="s">
        <v>20281</v>
      </c>
    </row>
    <row r="7978" spans="1:8">
      <c r="A7978" t="s">
        <v>343</v>
      </c>
      <c r="B7978">
        <f>HYPERLINK("https://android.googlesource.com/platform/cts/+/5947eefac18b736441c8a488b32727fc8f9f0811", "5947eefac18b736441c8a488b32727fc8f9f0811")</f>
        <v>0</v>
      </c>
      <c r="C7978">
        <f>HYPERLINK("https://android.googlesource.com/platform/cts/+/b75e6c7911492de9acb4120c62c0654064d10846", "b75e6c7911492de9acb4120c62c0654064d10846")</f>
        <v>0</v>
      </c>
      <c r="D7978" t="s">
        <v>4980</v>
      </c>
      <c r="E7978" t="s">
        <v>6138</v>
      </c>
      <c r="F7978" t="s">
        <v>11193</v>
      </c>
      <c r="G7978" t="s">
        <v>15582</v>
      </c>
      <c r="H7978" t="s">
        <v>20357</v>
      </c>
    </row>
    <row r="7979" spans="1:8">
      <c r="H7979" t="s">
        <v>20358</v>
      </c>
    </row>
    <row r="7980" spans="1:8">
      <c r="H7980" t="s">
        <v>20359</v>
      </c>
    </row>
    <row r="7981" spans="1:8">
      <c r="H7981" t="s">
        <v>20360</v>
      </c>
    </row>
    <row r="7982" spans="1:8">
      <c r="H7982" t="s">
        <v>20361</v>
      </c>
    </row>
    <row r="7983" spans="1:8">
      <c r="A7983" t="s">
        <v>344</v>
      </c>
      <c r="B7983">
        <f>HYPERLINK("https://android.googlesource.com/platform/cts/+/e470100fe5b2f3e07c72e62dfe8437c4f9668e65", "e470100fe5b2f3e07c72e62dfe8437c4f9668e65")</f>
        <v>0</v>
      </c>
      <c r="C7983">
        <f>HYPERLINK("https://android.googlesource.com/platform/cts/+/678ed973b614c9e717aaf7b6c3f11962860d317a", "678ed973b614c9e717aaf7b6c3f11962860d317a")</f>
        <v>0</v>
      </c>
      <c r="D7983" t="s">
        <v>4941</v>
      </c>
      <c r="E7983" t="s">
        <v>6139</v>
      </c>
      <c r="F7983" t="s">
        <v>10690</v>
      </c>
      <c r="G7983" t="s">
        <v>15090</v>
      </c>
      <c r="H7983" t="s">
        <v>20364</v>
      </c>
    </row>
    <row r="7984" spans="1:8">
      <c r="F7984" t="s">
        <v>11440</v>
      </c>
      <c r="G7984" t="s">
        <v>15680</v>
      </c>
      <c r="H7984" t="s">
        <v>18836</v>
      </c>
    </row>
    <row r="7985" spans="1:8">
      <c r="A7985" t="s">
        <v>345</v>
      </c>
      <c r="B7985">
        <f>HYPERLINK("https://android.googlesource.com/platform/cts/+/da34b0e4b53f910e01e80bd463bf63b2f0996600", "da34b0e4b53f910e01e80bd463bf63b2f0996600")</f>
        <v>0</v>
      </c>
      <c r="C7985">
        <f>HYPERLINK("https://android.googlesource.com/platform/cts/+/3273b8230a2ab5cbe318a282c6db1d46a719ad59", "3273b8230a2ab5cbe318a282c6db1d46a719ad59")</f>
        <v>0</v>
      </c>
      <c r="D7985" t="s">
        <v>4949</v>
      </c>
      <c r="E7985" t="s">
        <v>6140</v>
      </c>
      <c r="F7985" t="s">
        <v>11441</v>
      </c>
      <c r="G7985" t="s">
        <v>15681</v>
      </c>
      <c r="H7985" t="s">
        <v>20366</v>
      </c>
    </row>
    <row r="7986" spans="1:8">
      <c r="H7986" t="s">
        <v>20367</v>
      </c>
    </row>
    <row r="7987" spans="1:8">
      <c r="H7987" t="s">
        <v>20368</v>
      </c>
    </row>
    <row r="7988" spans="1:8">
      <c r="H7988" t="s">
        <v>20369</v>
      </c>
    </row>
    <row r="7989" spans="1:8">
      <c r="H7989" t="s">
        <v>20370</v>
      </c>
    </row>
    <row r="7990" spans="1:8">
      <c r="H7990" t="s">
        <v>20371</v>
      </c>
    </row>
    <row r="7991" spans="1:8">
      <c r="A7991" t="s">
        <v>346</v>
      </c>
      <c r="B7991">
        <f>HYPERLINK("https://android.googlesource.com/platform/cts/+/91b820c64092393a3c06d8cbf5cd5e90be4827d1", "91b820c64092393a3c06d8cbf5cd5e90be4827d1")</f>
        <v>0</v>
      </c>
      <c r="C7991">
        <f>HYPERLINK("https://android.googlesource.com/platform/cts/+/04e5d7861c5885e2f8f7cbcbe508ac3d5dfd90e6", "04e5d7861c5885e2f8f7cbcbe508ac3d5dfd90e6")</f>
        <v>0</v>
      </c>
      <c r="D7991" t="s">
        <v>4941</v>
      </c>
      <c r="E7991" t="s">
        <v>6141</v>
      </c>
      <c r="F7991" t="s">
        <v>11442</v>
      </c>
      <c r="G7991" t="s">
        <v>15682</v>
      </c>
      <c r="H7991" t="s">
        <v>20372</v>
      </c>
    </row>
    <row r="7992" spans="1:8">
      <c r="A7992" t="s">
        <v>347</v>
      </c>
      <c r="B7992">
        <f>HYPERLINK("https://android.googlesource.com/platform/cts/+/673cc33a3b7268920c31d662319043b898d3a79c", "673cc33a3b7268920c31d662319043b898d3a79c")</f>
        <v>0</v>
      </c>
      <c r="C7992">
        <f>HYPERLINK("https://android.googlesource.com/platform/cts/+/bd21bedd2816c47bfba9b4e205e2c3dd10ede310", "bd21bedd2816c47bfba9b4e205e2c3dd10ede310")</f>
        <v>0</v>
      </c>
      <c r="D7992" t="s">
        <v>4952</v>
      </c>
      <c r="E7992" t="s">
        <v>6142</v>
      </c>
      <c r="F7992" t="s">
        <v>11443</v>
      </c>
      <c r="G7992" t="s">
        <v>15683</v>
      </c>
      <c r="H7992" t="s">
        <v>20375</v>
      </c>
    </row>
    <row r="7993" spans="1:8">
      <c r="A7993" t="s">
        <v>348</v>
      </c>
      <c r="B7993">
        <f>HYPERLINK("https://android.googlesource.com/platform/cts/+/c7b1d2ec404eb57add0efa4121316c7f766dae79", "c7b1d2ec404eb57add0efa4121316c7f766dae79")</f>
        <v>0</v>
      </c>
      <c r="C7993">
        <f>HYPERLINK("https://android.googlesource.com/platform/cts/+/ffff412d5dbf789f2cd1b17c173c309157775a0d", "ffff412d5dbf789f2cd1b17c173c309157775a0d")</f>
        <v>0</v>
      </c>
      <c r="D7993" t="s">
        <v>4936</v>
      </c>
      <c r="E7993" t="s">
        <v>6143</v>
      </c>
      <c r="F7993" t="s">
        <v>11444</v>
      </c>
      <c r="G7993" t="s">
        <v>15684</v>
      </c>
      <c r="H7993" t="s">
        <v>20378</v>
      </c>
    </row>
    <row r="7994" spans="1:8">
      <c r="F7994" t="s">
        <v>11445</v>
      </c>
      <c r="G7994" t="s">
        <v>15685</v>
      </c>
      <c r="H7994" t="s">
        <v>20380</v>
      </c>
    </row>
    <row r="7995" spans="1:8">
      <c r="F7995" t="s">
        <v>11446</v>
      </c>
      <c r="G7995" t="s">
        <v>15686</v>
      </c>
      <c r="H7995" t="s">
        <v>20383</v>
      </c>
    </row>
    <row r="7996" spans="1:8">
      <c r="H7996" t="s">
        <v>20385</v>
      </c>
    </row>
    <row r="7997" spans="1:8">
      <c r="H7997" t="s">
        <v>20387</v>
      </c>
    </row>
    <row r="7998" spans="1:8">
      <c r="H7998" t="s">
        <v>20389</v>
      </c>
    </row>
    <row r="7999" spans="1:8">
      <c r="F7999" t="s">
        <v>10794</v>
      </c>
      <c r="G7999" t="s">
        <v>15189</v>
      </c>
      <c r="H7999" t="s">
        <v>20390</v>
      </c>
    </row>
    <row r="8000" spans="1:8">
      <c r="H8000" t="s">
        <v>20391</v>
      </c>
    </row>
    <row r="8001" spans="1:8">
      <c r="H8001" t="s">
        <v>20392</v>
      </c>
    </row>
    <row r="8002" spans="1:8">
      <c r="H8002" t="s">
        <v>20393</v>
      </c>
    </row>
    <row r="8003" spans="1:8">
      <c r="H8003" t="s">
        <v>20394</v>
      </c>
    </row>
    <row r="8004" spans="1:8">
      <c r="H8004" t="s">
        <v>20395</v>
      </c>
    </row>
    <row r="8005" spans="1:8">
      <c r="H8005" t="s">
        <v>20396</v>
      </c>
    </row>
    <row r="8006" spans="1:8">
      <c r="H8006" t="s">
        <v>20397</v>
      </c>
    </row>
    <row r="8007" spans="1:8">
      <c r="H8007" t="s">
        <v>20398</v>
      </c>
    </row>
    <row r="8008" spans="1:8">
      <c r="H8008" t="s">
        <v>20399</v>
      </c>
    </row>
    <row r="8009" spans="1:8">
      <c r="H8009" t="s">
        <v>20400</v>
      </c>
    </row>
    <row r="8010" spans="1:8">
      <c r="H8010" t="s">
        <v>20401</v>
      </c>
    </row>
    <row r="8011" spans="1:8">
      <c r="A8011" t="s">
        <v>349</v>
      </c>
      <c r="B8011">
        <f>HYPERLINK("https://android.googlesource.com/platform/cts/+/6b8b6db2396fe7f3736e4668e8a03cf6cdd1d60a", "6b8b6db2396fe7f3736e4668e8a03cf6cdd1d60a")</f>
        <v>0</v>
      </c>
      <c r="C8011">
        <f>HYPERLINK("https://android.googlesource.com/platform/cts/+/5ae4c7de3dae3e6446726138ea553f2099f67f84", "5ae4c7de3dae3e6446726138ea553f2099f67f84")</f>
        <v>0</v>
      </c>
      <c r="D8011" t="s">
        <v>4936</v>
      </c>
      <c r="E8011" t="s">
        <v>6144</v>
      </c>
      <c r="F8011" t="s">
        <v>10597</v>
      </c>
      <c r="G8011" t="s">
        <v>15000</v>
      </c>
      <c r="H8011" t="s">
        <v>20402</v>
      </c>
    </row>
    <row r="8012" spans="1:8">
      <c r="A8012" t="s">
        <v>350</v>
      </c>
      <c r="B8012">
        <f>HYPERLINK("https://android.googlesource.com/platform/cts/+/5d871c9620f1557105f1c5b5d82e9881b063e7b2", "5d871c9620f1557105f1c5b5d82e9881b063e7b2")</f>
        <v>0</v>
      </c>
      <c r="C8012">
        <f>HYPERLINK("https://android.googlesource.com/platform/cts/+/9fa4fbfaf28804b903f4a01765fbd69feb56afc2", "9fa4fbfaf28804b903f4a01765fbd69feb56afc2")</f>
        <v>0</v>
      </c>
      <c r="D8012" t="s">
        <v>4981</v>
      </c>
      <c r="E8012" t="s">
        <v>6145</v>
      </c>
      <c r="F8012" t="s">
        <v>11435</v>
      </c>
      <c r="G8012" t="s">
        <v>15093</v>
      </c>
      <c r="H8012" t="s">
        <v>20403</v>
      </c>
    </row>
    <row r="8013" spans="1:8">
      <c r="A8013" t="s">
        <v>351</v>
      </c>
      <c r="B8013">
        <f>HYPERLINK("https://android.googlesource.com/platform/cts/+/2ebcb4f47fa183cea52366d36c4ac76e8690f2ae", "2ebcb4f47fa183cea52366d36c4ac76e8690f2ae")</f>
        <v>0</v>
      </c>
      <c r="C8013">
        <f>HYPERLINK("https://android.googlesource.com/platform/cts/+/c4201329bf1833d3582bce81b080708a1b70de3e", "c4201329bf1833d3582bce81b080708a1b70de3e")</f>
        <v>0</v>
      </c>
      <c r="D8013" t="s">
        <v>4952</v>
      </c>
      <c r="E8013" t="s">
        <v>6146</v>
      </c>
      <c r="F8013" t="s">
        <v>11447</v>
      </c>
      <c r="G8013" t="s">
        <v>15687</v>
      </c>
      <c r="H8013" t="s">
        <v>20404</v>
      </c>
    </row>
    <row r="8014" spans="1:8">
      <c r="A8014" t="s">
        <v>352</v>
      </c>
      <c r="B8014">
        <f>HYPERLINK("https://android.googlesource.com/platform/cts/+/7dddfd11f7eea14a100bd60f6b6feb1c4e8d7007", "7dddfd11f7eea14a100bd60f6b6feb1c4e8d7007")</f>
        <v>0</v>
      </c>
      <c r="C8014">
        <f>HYPERLINK("https://android.googlesource.com/platform/cts/+/9891cebb67d3d07d19440c6c2c7913b0372000a4", "9891cebb67d3d07d19440c6c2c7913b0372000a4")</f>
        <v>0</v>
      </c>
      <c r="D8014" t="s">
        <v>4936</v>
      </c>
      <c r="E8014" t="s">
        <v>6147</v>
      </c>
      <c r="F8014" t="s">
        <v>10740</v>
      </c>
      <c r="G8014" t="s">
        <v>15139</v>
      </c>
      <c r="H8014" t="s">
        <v>20405</v>
      </c>
    </row>
    <row r="8015" spans="1:8">
      <c r="F8015" t="s">
        <v>11448</v>
      </c>
      <c r="G8015" t="s">
        <v>15688</v>
      </c>
      <c r="H8015" t="s">
        <v>20406</v>
      </c>
    </row>
    <row r="8016" spans="1:8">
      <c r="H8016" t="s">
        <v>20407</v>
      </c>
    </row>
    <row r="8017" spans="1:8">
      <c r="A8017" t="s">
        <v>353</v>
      </c>
      <c r="B8017">
        <f>HYPERLINK("https://android.googlesource.com/platform/cts/+/0b4aba1c1aaac41fefea01769c9d22c1c1c25b0d", "0b4aba1c1aaac41fefea01769c9d22c1c1c25b0d")</f>
        <v>0</v>
      </c>
      <c r="C8017">
        <f>HYPERLINK("https://android.googlesource.com/platform/cts/+/8b7eaf990ea0939780cbde3ba56623cc868f4487", "8b7eaf990ea0939780cbde3ba56623cc868f4487")</f>
        <v>0</v>
      </c>
      <c r="D8017" t="s">
        <v>4982</v>
      </c>
      <c r="E8017" t="s">
        <v>6148</v>
      </c>
      <c r="F8017" t="s">
        <v>11449</v>
      </c>
      <c r="G8017" t="s">
        <v>15689</v>
      </c>
      <c r="H8017" t="s">
        <v>20408</v>
      </c>
    </row>
    <row r="8018" spans="1:8">
      <c r="A8018" t="s">
        <v>354</v>
      </c>
      <c r="B8018">
        <f>HYPERLINK("https://android.googlesource.com/platform/cts/+/6a3ac6d97642168b9aa85b6ed774fbbdd836265d", "6a3ac6d97642168b9aa85b6ed774fbbdd836265d")</f>
        <v>0</v>
      </c>
      <c r="C8018">
        <f>HYPERLINK("https://android.googlesource.com/platform/cts/+/57933a04caa41c019e6b9c40b88954adbfb96dbb", "57933a04caa41c019e6b9c40b88954adbfb96dbb")</f>
        <v>0</v>
      </c>
      <c r="D8018" t="s">
        <v>4949</v>
      </c>
      <c r="E8018" t="s">
        <v>6149</v>
      </c>
      <c r="F8018" t="s">
        <v>11450</v>
      </c>
      <c r="G8018" t="s">
        <v>15690</v>
      </c>
      <c r="H8018" t="s">
        <v>20409</v>
      </c>
    </row>
    <row r="8019" spans="1:8">
      <c r="H8019" t="s">
        <v>20410</v>
      </c>
    </row>
    <row r="8020" spans="1:8">
      <c r="H8020" t="s">
        <v>20411</v>
      </c>
    </row>
    <row r="8021" spans="1:8">
      <c r="H8021" t="s">
        <v>20412</v>
      </c>
    </row>
    <row r="8022" spans="1:8">
      <c r="A8022" t="s">
        <v>357</v>
      </c>
      <c r="B8022">
        <f>HYPERLINK("https://android.googlesource.com/platform/cts/+/1ea506ee94dc3e8bfe48d6fd1ce663cacef38d91", "1ea506ee94dc3e8bfe48d6fd1ce663cacef38d91")</f>
        <v>0</v>
      </c>
      <c r="C8022">
        <f>HYPERLINK("https://android.googlesource.com/platform/cts/+/82b8e073159a404379be354b30ca75475abe181c", "82b8e073159a404379be354b30ca75475abe181c")</f>
        <v>0</v>
      </c>
      <c r="D8022" t="s">
        <v>4941</v>
      </c>
      <c r="E8022" t="s">
        <v>6152</v>
      </c>
      <c r="F8022" t="s">
        <v>11452</v>
      </c>
      <c r="G8022" t="s">
        <v>15692</v>
      </c>
      <c r="H8022" t="s">
        <v>18876</v>
      </c>
    </row>
    <row r="8023" spans="1:8">
      <c r="A8023" t="s">
        <v>359</v>
      </c>
      <c r="B8023">
        <f>HYPERLINK("https://android.googlesource.com/platform/cts/+/5b7fa1892268a96b1481de768cafe67ca6edfc9d", "5b7fa1892268a96b1481de768cafe67ca6edfc9d")</f>
        <v>0</v>
      </c>
      <c r="C8023">
        <f>HYPERLINK("https://android.googlesource.com/platform/cts/+/0dbe847037fc266152965a6ca3d4645036f9ef2e", "0dbe847037fc266152965a6ca3d4645036f9ef2e")</f>
        <v>0</v>
      </c>
      <c r="D8023" t="s">
        <v>4967</v>
      </c>
      <c r="E8023" t="s">
        <v>6154</v>
      </c>
      <c r="F8023" t="s">
        <v>11453</v>
      </c>
      <c r="G8023" t="s">
        <v>15693</v>
      </c>
      <c r="H8023" t="s">
        <v>20415</v>
      </c>
    </row>
    <row r="8024" spans="1:8">
      <c r="H8024" t="s">
        <v>20416</v>
      </c>
    </row>
    <row r="8025" spans="1:8">
      <c r="H8025" t="s">
        <v>20417</v>
      </c>
    </row>
    <row r="8026" spans="1:8">
      <c r="A8026" t="s">
        <v>361</v>
      </c>
      <c r="B8026">
        <f>HYPERLINK("https://android.googlesource.com/platform/cts/+/7ec2c07efaff213d010d350e7b2d1609c1d0c1d9", "7ec2c07efaff213d010d350e7b2d1609c1d0c1d9")</f>
        <v>0</v>
      </c>
      <c r="C8026">
        <f>HYPERLINK("https://android.googlesource.com/platform/cts/+/1143f896f5fc712fb2249f55ab20f3d4b887a166", "1143f896f5fc712fb2249f55ab20f3d4b887a166")</f>
        <v>0</v>
      </c>
      <c r="D8026" t="s">
        <v>4949</v>
      </c>
      <c r="E8026" t="s">
        <v>6156</v>
      </c>
      <c r="F8026" t="s">
        <v>11450</v>
      </c>
      <c r="G8026" t="s">
        <v>15690</v>
      </c>
      <c r="H8026" t="s">
        <v>20418</v>
      </c>
    </row>
    <row r="8027" spans="1:8">
      <c r="A8027" t="s">
        <v>362</v>
      </c>
      <c r="B8027">
        <f>HYPERLINK("https://android.googlesource.com/platform/cts/+/b4bca5bf45f8b907c6f71dcad8e9972016eeabb5", "b4bca5bf45f8b907c6f71dcad8e9972016eeabb5")</f>
        <v>0</v>
      </c>
      <c r="C8027">
        <f>HYPERLINK("https://android.googlesource.com/platform/cts/+/b5b2307fc7eb12c13209c929fac86b23252b78dc", "b5b2307fc7eb12c13209c929fac86b23252b78dc")</f>
        <v>0</v>
      </c>
      <c r="D8027" t="s">
        <v>4941</v>
      </c>
      <c r="E8027" t="s">
        <v>6157</v>
      </c>
      <c r="F8027" t="s">
        <v>11457</v>
      </c>
      <c r="G8027" t="s">
        <v>15697</v>
      </c>
      <c r="H8027" t="s">
        <v>20419</v>
      </c>
    </row>
    <row r="8028" spans="1:8">
      <c r="A8028" t="s">
        <v>363</v>
      </c>
      <c r="B8028">
        <f>HYPERLINK("https://android.googlesource.com/platform/cts/+/a6570dcfa4b86bd4d473dfd5aba8956ea3ef4a89", "a6570dcfa4b86bd4d473dfd5aba8956ea3ef4a89")</f>
        <v>0</v>
      </c>
      <c r="C8028">
        <f>HYPERLINK("https://android.googlesource.com/platform/cts/+/e0d6e0d1a9d3364f0410bcda9ab1b93f358f45f9", "e0d6e0d1a9d3364f0410bcda9ab1b93f358f45f9")</f>
        <v>0</v>
      </c>
      <c r="D8028" t="s">
        <v>4941</v>
      </c>
      <c r="E8028" t="s">
        <v>6158</v>
      </c>
      <c r="F8028" t="s">
        <v>11457</v>
      </c>
      <c r="G8028" t="s">
        <v>15697</v>
      </c>
      <c r="H8028" t="s">
        <v>20419</v>
      </c>
    </row>
    <row r="8029" spans="1:8">
      <c r="A8029" t="s">
        <v>365</v>
      </c>
      <c r="B8029">
        <f>HYPERLINK("https://android.googlesource.com/platform/cts/+/2c6d380e7d8206949e25b045653ce71c73663c55", "2c6d380e7d8206949e25b045653ce71c73663c55")</f>
        <v>0</v>
      </c>
      <c r="C8029">
        <f>HYPERLINK("https://android.googlesource.com/platform/cts/+/0f6a860f9fcba915cbf1801ddf97fdddd8785c2f", "0f6a860f9fcba915cbf1801ddf97fdddd8785c2f")</f>
        <v>0</v>
      </c>
      <c r="D8029" t="s">
        <v>4973</v>
      </c>
      <c r="E8029" t="s">
        <v>6160</v>
      </c>
      <c r="F8029" t="s">
        <v>11469</v>
      </c>
      <c r="G8029" t="s">
        <v>15709</v>
      </c>
      <c r="H8029" t="s">
        <v>20421</v>
      </c>
    </row>
    <row r="8030" spans="1:8">
      <c r="H8030" t="s">
        <v>20422</v>
      </c>
    </row>
    <row r="8031" spans="1:8">
      <c r="A8031" t="s">
        <v>366</v>
      </c>
      <c r="B8031">
        <f>HYPERLINK("https://android.googlesource.com/platform/cts/+/2504acc530674e50ddb4cb44cd32c1f7805fcd0b", "2504acc530674e50ddb4cb44cd32c1f7805fcd0b")</f>
        <v>0</v>
      </c>
      <c r="C8031">
        <f>HYPERLINK("https://android.googlesource.com/platform/cts/+/2c6d380e7d8206949e25b045653ce71c73663c55", "2c6d380e7d8206949e25b045653ce71c73663c55")</f>
        <v>0</v>
      </c>
      <c r="D8031" t="s">
        <v>4941</v>
      </c>
      <c r="E8031" t="s">
        <v>6161</v>
      </c>
      <c r="F8031" t="s">
        <v>11470</v>
      </c>
      <c r="G8031" t="s">
        <v>15710</v>
      </c>
      <c r="H8031" t="s">
        <v>20423</v>
      </c>
    </row>
    <row r="8032" spans="1:8">
      <c r="A8032" t="s">
        <v>367</v>
      </c>
      <c r="B8032">
        <f>HYPERLINK("https://android.googlesource.com/platform/cts/+/fbfb026c4deca937184f2bb14daea3405d7e004b", "fbfb026c4deca937184f2bb14daea3405d7e004b")</f>
        <v>0</v>
      </c>
      <c r="C8032">
        <f>HYPERLINK("https://android.googlesource.com/platform/cts/+/ad8f4d4562562b62cbe694c46f9e11850fe1c82f", "ad8f4d4562562b62cbe694c46f9e11850fe1c82f")</f>
        <v>0</v>
      </c>
      <c r="D8032" t="s">
        <v>4979</v>
      </c>
      <c r="E8032" t="s">
        <v>6162</v>
      </c>
      <c r="F8032" t="s">
        <v>11471</v>
      </c>
      <c r="G8032" t="s">
        <v>15711</v>
      </c>
      <c r="H8032" t="s">
        <v>20424</v>
      </c>
    </row>
    <row r="8033" spans="1:8">
      <c r="H8033" t="s">
        <v>20425</v>
      </c>
    </row>
    <row r="8034" spans="1:8">
      <c r="A8034" t="s">
        <v>368</v>
      </c>
      <c r="B8034">
        <f>HYPERLINK("https://android.googlesource.com/platform/cts/+/775d37162a287fb6d3838c92879bfa1f9d2c32c7", "775d37162a287fb6d3838c92879bfa1f9d2c32c7")</f>
        <v>0</v>
      </c>
      <c r="C8034">
        <f>HYPERLINK("https://android.googlesource.com/platform/cts/+/8fdfc653ff74c5cb03722f165db608b9f63be978", "8fdfc653ff74c5cb03722f165db608b9f63be978")</f>
        <v>0</v>
      </c>
      <c r="D8034" t="s">
        <v>4949</v>
      </c>
      <c r="E8034" t="s">
        <v>6163</v>
      </c>
      <c r="F8034" t="s">
        <v>11472</v>
      </c>
      <c r="G8034" t="s">
        <v>15712</v>
      </c>
      <c r="H8034" t="s">
        <v>20427</v>
      </c>
    </row>
    <row r="8035" spans="1:8">
      <c r="H8035" t="s">
        <v>20428</v>
      </c>
    </row>
    <row r="8036" spans="1:8">
      <c r="H8036" t="s">
        <v>20429</v>
      </c>
    </row>
    <row r="8037" spans="1:8">
      <c r="H8037" t="s">
        <v>20430</v>
      </c>
    </row>
    <row r="8038" spans="1:8">
      <c r="A8038" t="s">
        <v>370</v>
      </c>
      <c r="B8038">
        <f>HYPERLINK("https://android.googlesource.com/platform/cts/+/0b1b8b03b25e36a608517afe1037c42a4a804c18", "0b1b8b03b25e36a608517afe1037c42a4a804c18")</f>
        <v>0</v>
      </c>
      <c r="C8038">
        <f>HYPERLINK("https://android.googlesource.com/platform/cts/+/8c09b8c887cf10d71ede6f55d4b391edf1366c22", "8c09b8c887cf10d71ede6f55d4b391edf1366c22")</f>
        <v>0</v>
      </c>
      <c r="D8038" t="s">
        <v>4977</v>
      </c>
      <c r="E8038" t="s">
        <v>6165</v>
      </c>
      <c r="F8038" t="s">
        <v>11473</v>
      </c>
      <c r="G8038" t="s">
        <v>15713</v>
      </c>
      <c r="H8038" t="s">
        <v>20432</v>
      </c>
    </row>
    <row r="8039" spans="1:8">
      <c r="A8039" t="s">
        <v>371</v>
      </c>
      <c r="B8039">
        <f>HYPERLINK("https://android.googlesource.com/platform/cts/+/a21bd2a58a73b0aac2700a551e82824c7a44f42a", "a21bd2a58a73b0aac2700a551e82824c7a44f42a")</f>
        <v>0</v>
      </c>
      <c r="C8039">
        <f>HYPERLINK("https://android.googlesource.com/platform/cts/+/98a6d451be2559e03ba221fb382764f85e3c2038", "98a6d451be2559e03ba221fb382764f85e3c2038")</f>
        <v>0</v>
      </c>
      <c r="D8039" t="s">
        <v>4980</v>
      </c>
      <c r="E8039" t="s">
        <v>6166</v>
      </c>
      <c r="F8039" t="s">
        <v>11474</v>
      </c>
      <c r="G8039" t="s">
        <v>15714</v>
      </c>
      <c r="H8039" t="s">
        <v>20434</v>
      </c>
    </row>
    <row r="8040" spans="1:8">
      <c r="A8040" t="s">
        <v>373</v>
      </c>
      <c r="B8040">
        <f>HYPERLINK("https://android.googlesource.com/platform/cts/+/521d0c6b88e4c6531b6ec360e2c244c8d13d34ef", "521d0c6b88e4c6531b6ec360e2c244c8d13d34ef")</f>
        <v>0</v>
      </c>
      <c r="C8040">
        <f>HYPERLINK("https://android.googlesource.com/platform/cts/+/29a837278f7974b6004574c6deb86bef59a98928", "29a837278f7974b6004574c6deb86bef59a98928")</f>
        <v>0</v>
      </c>
      <c r="D8040" t="s">
        <v>4984</v>
      </c>
      <c r="E8040" t="s">
        <v>6167</v>
      </c>
      <c r="F8040" t="s">
        <v>10662</v>
      </c>
      <c r="G8040" t="s">
        <v>15063</v>
      </c>
      <c r="H8040" t="s">
        <v>19729</v>
      </c>
    </row>
    <row r="8041" spans="1:8">
      <c r="A8041" t="s">
        <v>374</v>
      </c>
      <c r="B8041">
        <f>HYPERLINK("https://android.googlesource.com/platform/cts/+/50455b3f14f3cd835150e63bea640cb76c7c2cb4", "50455b3f14f3cd835150e63bea640cb76c7c2cb4")</f>
        <v>0</v>
      </c>
      <c r="C8041">
        <f>HYPERLINK("https://android.googlesource.com/platform/cts/+/b6ea46e3f074720ddae5e018b80e616f72272ed0", "b6ea46e3f074720ddae5e018b80e616f72272ed0")</f>
        <v>0</v>
      </c>
      <c r="D8041" t="s">
        <v>4980</v>
      </c>
      <c r="E8041" t="s">
        <v>6168</v>
      </c>
      <c r="F8041" t="s">
        <v>11475</v>
      </c>
      <c r="G8041" t="s">
        <v>15715</v>
      </c>
      <c r="H8041" t="s">
        <v>20435</v>
      </c>
    </row>
    <row r="8042" spans="1:8">
      <c r="F8042" t="s">
        <v>11476</v>
      </c>
      <c r="G8042" t="s">
        <v>15716</v>
      </c>
      <c r="H8042" t="s">
        <v>20436</v>
      </c>
    </row>
    <row r="8043" spans="1:8">
      <c r="H8043" t="s">
        <v>20437</v>
      </c>
    </row>
    <row r="8044" spans="1:8">
      <c r="H8044" t="s">
        <v>20438</v>
      </c>
    </row>
    <row r="8045" spans="1:8">
      <c r="F8045" t="s">
        <v>11477</v>
      </c>
      <c r="G8045" t="s">
        <v>15717</v>
      </c>
      <c r="H8045" t="s">
        <v>20440</v>
      </c>
    </row>
    <row r="8046" spans="1:8">
      <c r="H8046" t="s">
        <v>20441</v>
      </c>
    </row>
    <row r="8047" spans="1:8">
      <c r="F8047" t="s">
        <v>11478</v>
      </c>
      <c r="G8047" t="s">
        <v>15718</v>
      </c>
      <c r="H8047" t="s">
        <v>20443</v>
      </c>
    </row>
    <row r="8048" spans="1:8">
      <c r="A8048" t="s">
        <v>375</v>
      </c>
      <c r="B8048">
        <f>HYPERLINK("https://android.googlesource.com/platform/cts/+/421962663686789e8c4f920b27514e2108902d33", "421962663686789e8c4f920b27514e2108902d33")</f>
        <v>0</v>
      </c>
      <c r="C8048">
        <f>HYPERLINK("https://android.googlesource.com/platform/cts/+/a0654af97f6f1d06f6f3a93612f076d5abe8239a", "a0654af97f6f1d06f6f3a93612f076d5abe8239a")</f>
        <v>0</v>
      </c>
      <c r="D8048" t="s">
        <v>4936</v>
      </c>
      <c r="E8048" t="s">
        <v>6169</v>
      </c>
      <c r="F8048" t="s">
        <v>11445</v>
      </c>
      <c r="G8048" t="s">
        <v>15685</v>
      </c>
      <c r="H8048" t="s">
        <v>20380</v>
      </c>
    </row>
    <row r="8049" spans="1:8">
      <c r="A8049" t="s">
        <v>377</v>
      </c>
      <c r="B8049">
        <f>HYPERLINK("https://android.googlesource.com/platform/cts/+/952eb5628458766f4f5778aaf467be6854b69767", "952eb5628458766f4f5778aaf467be6854b69767")</f>
        <v>0</v>
      </c>
      <c r="C8049">
        <f>HYPERLINK("https://android.googlesource.com/platform/cts/+/86033165713af249c1daa8a825d1a5e64acbc048", "86033165713af249c1daa8a825d1a5e64acbc048")</f>
        <v>0</v>
      </c>
      <c r="D8049" t="s">
        <v>4936</v>
      </c>
      <c r="E8049" t="s">
        <v>6171</v>
      </c>
      <c r="F8049" t="s">
        <v>10699</v>
      </c>
      <c r="G8049" t="s">
        <v>15099</v>
      </c>
      <c r="H8049" t="s">
        <v>20449</v>
      </c>
    </row>
    <row r="8050" spans="1:8">
      <c r="A8050" t="s">
        <v>379</v>
      </c>
      <c r="B8050">
        <f>HYPERLINK("https://android.googlesource.com/platform/cts/+/e900c2d5629ef151fd5cfcce83fa781c490d529c", "e900c2d5629ef151fd5cfcce83fa781c490d529c")</f>
        <v>0</v>
      </c>
      <c r="C8050">
        <f>HYPERLINK("https://android.googlesource.com/platform/cts/+/91245482a53a261c8a482de0e2a28bb8f4b5769e", "91245482a53a261c8a482de0e2a28bb8f4b5769e")</f>
        <v>0</v>
      </c>
      <c r="D8050" t="s">
        <v>4973</v>
      </c>
      <c r="E8050" t="s">
        <v>6173</v>
      </c>
      <c r="F8050" t="s">
        <v>11475</v>
      </c>
      <c r="G8050" t="s">
        <v>15715</v>
      </c>
      <c r="H8050" t="s">
        <v>20435</v>
      </c>
    </row>
    <row r="8051" spans="1:8">
      <c r="A8051" t="s">
        <v>380</v>
      </c>
      <c r="B8051">
        <f>HYPERLINK("https://android.googlesource.com/platform/cts/+/b043cccc87014cf79e7d37a29b73e46e5294815f", "b043cccc87014cf79e7d37a29b73e46e5294815f")</f>
        <v>0</v>
      </c>
      <c r="C8051">
        <f>HYPERLINK("https://android.googlesource.com/platform/cts/+/2ffddecc8c3ae8942982fa8e34c442d4183946df", "2ffddecc8c3ae8942982fa8e34c442d4183946df")</f>
        <v>0</v>
      </c>
      <c r="D8051" t="s">
        <v>4967</v>
      </c>
      <c r="E8051" t="s">
        <v>6174</v>
      </c>
      <c r="F8051" t="s">
        <v>11480</v>
      </c>
      <c r="G8051" t="s">
        <v>15721</v>
      </c>
      <c r="H8051" t="s">
        <v>20450</v>
      </c>
    </row>
    <row r="8052" spans="1:8">
      <c r="A8052" t="s">
        <v>382</v>
      </c>
      <c r="B8052">
        <f>HYPERLINK("https://android.googlesource.com/platform/cts/+/95fe67721579ade45132e5225b55f887a60f69a1", "95fe67721579ade45132e5225b55f887a60f69a1")</f>
        <v>0</v>
      </c>
      <c r="C8052">
        <f>HYPERLINK("https://android.googlesource.com/platform/cts/+/01dc6706b3485cdc50330d9b7529baf8e4d83602", "01dc6706b3485cdc50330d9b7529baf8e4d83602")</f>
        <v>0</v>
      </c>
      <c r="D8052" t="s">
        <v>4986</v>
      </c>
      <c r="E8052" t="s">
        <v>6176</v>
      </c>
      <c r="F8052" t="s">
        <v>10645</v>
      </c>
      <c r="G8052" t="s">
        <v>15046</v>
      </c>
      <c r="H8052" t="s">
        <v>18980</v>
      </c>
    </row>
    <row r="8053" spans="1:8">
      <c r="A8053" t="s">
        <v>383</v>
      </c>
      <c r="B8053">
        <f>HYPERLINK("https://android.googlesource.com/platform/cts/+/c0ef6f802bbc0d40b1dc8e7cefa360f7434a9299", "c0ef6f802bbc0d40b1dc8e7cefa360f7434a9299")</f>
        <v>0</v>
      </c>
      <c r="C8053">
        <f>HYPERLINK("https://android.googlesource.com/platform/cts/+/976971e382bbe4a0d6528bf5690baa449fde61ce", "976971e382bbe4a0d6528bf5690baa449fde61ce")</f>
        <v>0</v>
      </c>
      <c r="D8053" t="s">
        <v>4973</v>
      </c>
      <c r="E8053" t="s">
        <v>6177</v>
      </c>
      <c r="F8053" t="s">
        <v>11482</v>
      </c>
      <c r="G8053" t="s">
        <v>15723</v>
      </c>
      <c r="H8053" t="s">
        <v>20452</v>
      </c>
    </row>
    <row r="8054" spans="1:8">
      <c r="A8054" t="s">
        <v>384</v>
      </c>
      <c r="B8054">
        <f>HYPERLINK("https://android.googlesource.com/platform/cts/+/25665383264fbedfb22e801e6c631333a40b2a35", "25665383264fbedfb22e801e6c631333a40b2a35")</f>
        <v>0</v>
      </c>
      <c r="C8054">
        <f>HYPERLINK("https://android.googlesource.com/platform/cts/+/976971e382bbe4a0d6528bf5690baa449fde61ce", "976971e382bbe4a0d6528bf5690baa449fde61ce")</f>
        <v>0</v>
      </c>
      <c r="D8054" t="s">
        <v>4973</v>
      </c>
      <c r="E8054" t="s">
        <v>6178</v>
      </c>
      <c r="F8054" t="s">
        <v>11483</v>
      </c>
      <c r="G8054" t="s">
        <v>15724</v>
      </c>
      <c r="H8054" t="s">
        <v>20454</v>
      </c>
    </row>
    <row r="8055" spans="1:8">
      <c r="F8055" t="s">
        <v>11484</v>
      </c>
      <c r="G8055" t="s">
        <v>15725</v>
      </c>
      <c r="H8055" t="s">
        <v>20454</v>
      </c>
    </row>
    <row r="8056" spans="1:8">
      <c r="F8056" t="s">
        <v>11485</v>
      </c>
      <c r="G8056" t="s">
        <v>15726</v>
      </c>
      <c r="H8056" t="s">
        <v>20454</v>
      </c>
    </row>
    <row r="8057" spans="1:8">
      <c r="F8057" t="s">
        <v>11486</v>
      </c>
      <c r="G8057" t="s">
        <v>15727</v>
      </c>
      <c r="H8057" t="s">
        <v>20454</v>
      </c>
    </row>
    <row r="8058" spans="1:8">
      <c r="F8058" t="s">
        <v>11487</v>
      </c>
      <c r="G8058" t="s">
        <v>15728</v>
      </c>
      <c r="H8058" t="s">
        <v>20454</v>
      </c>
    </row>
    <row r="8059" spans="1:8">
      <c r="F8059" t="s">
        <v>11488</v>
      </c>
      <c r="G8059" t="s">
        <v>15729</v>
      </c>
      <c r="H8059" t="s">
        <v>20454</v>
      </c>
    </row>
    <row r="8060" spans="1:8">
      <c r="F8060" t="s">
        <v>11489</v>
      </c>
      <c r="G8060" t="s">
        <v>15730</v>
      </c>
      <c r="H8060" t="s">
        <v>20454</v>
      </c>
    </row>
    <row r="8061" spans="1:8">
      <c r="F8061" t="s">
        <v>11490</v>
      </c>
      <c r="G8061" t="s">
        <v>15731</v>
      </c>
      <c r="H8061" t="s">
        <v>20454</v>
      </c>
    </row>
    <row r="8062" spans="1:8">
      <c r="F8062" t="s">
        <v>11491</v>
      </c>
      <c r="G8062" t="s">
        <v>15732</v>
      </c>
      <c r="H8062" t="s">
        <v>20454</v>
      </c>
    </row>
    <row r="8063" spans="1:8">
      <c r="F8063" t="s">
        <v>11492</v>
      </c>
      <c r="G8063" t="s">
        <v>15733</v>
      </c>
      <c r="H8063" t="s">
        <v>20454</v>
      </c>
    </row>
    <row r="8064" spans="1:8">
      <c r="F8064" t="s">
        <v>11493</v>
      </c>
      <c r="G8064" t="s">
        <v>15734</v>
      </c>
      <c r="H8064" t="s">
        <v>20454</v>
      </c>
    </row>
    <row r="8065" spans="6:8">
      <c r="F8065" t="s">
        <v>11494</v>
      </c>
      <c r="G8065" t="s">
        <v>15735</v>
      </c>
      <c r="H8065" t="s">
        <v>20454</v>
      </c>
    </row>
    <row r="8066" spans="6:8">
      <c r="F8066" t="s">
        <v>11495</v>
      </c>
      <c r="G8066" t="s">
        <v>15736</v>
      </c>
      <c r="H8066" t="s">
        <v>20454</v>
      </c>
    </row>
    <row r="8067" spans="6:8">
      <c r="F8067" t="s">
        <v>11496</v>
      </c>
      <c r="G8067" t="s">
        <v>15737</v>
      </c>
      <c r="H8067" t="s">
        <v>20454</v>
      </c>
    </row>
    <row r="8068" spans="6:8">
      <c r="F8068" t="s">
        <v>11497</v>
      </c>
      <c r="G8068" t="s">
        <v>15738</v>
      </c>
      <c r="H8068" t="s">
        <v>20454</v>
      </c>
    </row>
    <row r="8069" spans="6:8">
      <c r="F8069" t="s">
        <v>11498</v>
      </c>
      <c r="G8069" t="s">
        <v>15739</v>
      </c>
      <c r="H8069" t="s">
        <v>20454</v>
      </c>
    </row>
    <row r="8070" spans="6:8">
      <c r="F8070" t="s">
        <v>11499</v>
      </c>
      <c r="G8070" t="s">
        <v>15740</v>
      </c>
      <c r="H8070" t="s">
        <v>20454</v>
      </c>
    </row>
    <row r="8071" spans="6:8">
      <c r="F8071" t="s">
        <v>11500</v>
      </c>
      <c r="G8071" t="s">
        <v>15741</v>
      </c>
      <c r="H8071" t="s">
        <v>20454</v>
      </c>
    </row>
    <row r="8072" spans="6:8">
      <c r="F8072" t="s">
        <v>11501</v>
      </c>
      <c r="G8072" t="s">
        <v>15742</v>
      </c>
      <c r="H8072" t="s">
        <v>20454</v>
      </c>
    </row>
    <row r="8073" spans="6:8">
      <c r="F8073" t="s">
        <v>11502</v>
      </c>
      <c r="G8073" t="s">
        <v>15743</v>
      </c>
      <c r="H8073" t="s">
        <v>20454</v>
      </c>
    </row>
    <row r="8074" spans="6:8">
      <c r="F8074" t="s">
        <v>11503</v>
      </c>
      <c r="G8074" t="s">
        <v>15744</v>
      </c>
      <c r="H8074" t="s">
        <v>20454</v>
      </c>
    </row>
    <row r="8075" spans="6:8">
      <c r="F8075" t="s">
        <v>11504</v>
      </c>
      <c r="G8075" t="s">
        <v>15745</v>
      </c>
      <c r="H8075" t="s">
        <v>20454</v>
      </c>
    </row>
    <row r="8076" spans="6:8">
      <c r="F8076" t="s">
        <v>11505</v>
      </c>
      <c r="G8076" t="s">
        <v>15746</v>
      </c>
      <c r="H8076" t="s">
        <v>20454</v>
      </c>
    </row>
    <row r="8077" spans="6:8">
      <c r="F8077" t="s">
        <v>11506</v>
      </c>
      <c r="G8077" t="s">
        <v>15747</v>
      </c>
      <c r="H8077" t="s">
        <v>20454</v>
      </c>
    </row>
    <row r="8078" spans="6:8">
      <c r="F8078" t="s">
        <v>11507</v>
      </c>
      <c r="G8078" t="s">
        <v>15748</v>
      </c>
      <c r="H8078" t="s">
        <v>20454</v>
      </c>
    </row>
    <row r="8079" spans="6:8">
      <c r="F8079" t="s">
        <v>11508</v>
      </c>
      <c r="G8079" t="s">
        <v>15749</v>
      </c>
      <c r="H8079" t="s">
        <v>20454</v>
      </c>
    </row>
    <row r="8080" spans="6:8">
      <c r="F8080" t="s">
        <v>11509</v>
      </c>
      <c r="G8080" t="s">
        <v>15750</v>
      </c>
      <c r="H8080" t="s">
        <v>20454</v>
      </c>
    </row>
    <row r="8081" spans="6:8">
      <c r="F8081" t="s">
        <v>11510</v>
      </c>
      <c r="G8081" t="s">
        <v>15751</v>
      </c>
      <c r="H8081" t="s">
        <v>20454</v>
      </c>
    </row>
    <row r="8082" spans="6:8">
      <c r="F8082" t="s">
        <v>11511</v>
      </c>
      <c r="G8082" t="s">
        <v>15752</v>
      </c>
      <c r="H8082" t="s">
        <v>20454</v>
      </c>
    </row>
    <row r="8083" spans="6:8">
      <c r="F8083" t="s">
        <v>11512</v>
      </c>
      <c r="G8083" t="s">
        <v>15753</v>
      </c>
      <c r="H8083" t="s">
        <v>20454</v>
      </c>
    </row>
    <row r="8084" spans="6:8">
      <c r="F8084" t="s">
        <v>11513</v>
      </c>
      <c r="G8084" t="s">
        <v>15754</v>
      </c>
      <c r="H8084" t="s">
        <v>20454</v>
      </c>
    </row>
    <row r="8085" spans="6:8">
      <c r="F8085" t="s">
        <v>11514</v>
      </c>
      <c r="G8085" t="s">
        <v>15755</v>
      </c>
      <c r="H8085" t="s">
        <v>20454</v>
      </c>
    </row>
    <row r="8086" spans="6:8">
      <c r="F8086" t="s">
        <v>11515</v>
      </c>
      <c r="G8086" t="s">
        <v>15756</v>
      </c>
      <c r="H8086" t="s">
        <v>20454</v>
      </c>
    </row>
    <row r="8087" spans="6:8">
      <c r="F8087" t="s">
        <v>11516</v>
      </c>
      <c r="G8087" t="s">
        <v>15757</v>
      </c>
      <c r="H8087" t="s">
        <v>20454</v>
      </c>
    </row>
    <row r="8088" spans="6:8">
      <c r="F8088" t="s">
        <v>11517</v>
      </c>
      <c r="G8088" t="s">
        <v>15758</v>
      </c>
      <c r="H8088" t="s">
        <v>20454</v>
      </c>
    </row>
    <row r="8089" spans="6:8">
      <c r="F8089" t="s">
        <v>11518</v>
      </c>
      <c r="G8089" t="s">
        <v>15759</v>
      </c>
      <c r="H8089" t="s">
        <v>20454</v>
      </c>
    </row>
    <row r="8090" spans="6:8">
      <c r="F8090" t="s">
        <v>11519</v>
      </c>
      <c r="G8090" t="s">
        <v>15760</v>
      </c>
      <c r="H8090" t="s">
        <v>20454</v>
      </c>
    </row>
    <row r="8091" spans="6:8">
      <c r="F8091" t="s">
        <v>11520</v>
      </c>
      <c r="G8091" t="s">
        <v>15761</v>
      </c>
      <c r="H8091" t="s">
        <v>20454</v>
      </c>
    </row>
    <row r="8092" spans="6:8">
      <c r="F8092" t="s">
        <v>11521</v>
      </c>
      <c r="G8092" t="s">
        <v>15762</v>
      </c>
      <c r="H8092" t="s">
        <v>20454</v>
      </c>
    </row>
    <row r="8093" spans="6:8">
      <c r="F8093" t="s">
        <v>11522</v>
      </c>
      <c r="G8093" t="s">
        <v>15763</v>
      </c>
      <c r="H8093" t="s">
        <v>20454</v>
      </c>
    </row>
    <row r="8094" spans="6:8">
      <c r="F8094" t="s">
        <v>11523</v>
      </c>
      <c r="G8094" t="s">
        <v>15764</v>
      </c>
      <c r="H8094" t="s">
        <v>20454</v>
      </c>
    </row>
    <row r="8095" spans="6:8">
      <c r="F8095" t="s">
        <v>11524</v>
      </c>
      <c r="G8095" t="s">
        <v>15765</v>
      </c>
      <c r="H8095" t="s">
        <v>20454</v>
      </c>
    </row>
    <row r="8096" spans="6:8">
      <c r="F8096" t="s">
        <v>11525</v>
      </c>
      <c r="G8096" t="s">
        <v>15766</v>
      </c>
      <c r="H8096" t="s">
        <v>20454</v>
      </c>
    </row>
    <row r="8097" spans="6:8">
      <c r="F8097" t="s">
        <v>11526</v>
      </c>
      <c r="G8097" t="s">
        <v>15767</v>
      </c>
      <c r="H8097" t="s">
        <v>20454</v>
      </c>
    </row>
    <row r="8098" spans="6:8">
      <c r="F8098" t="s">
        <v>11527</v>
      </c>
      <c r="G8098" t="s">
        <v>15768</v>
      </c>
      <c r="H8098" t="s">
        <v>20454</v>
      </c>
    </row>
    <row r="8099" spans="6:8">
      <c r="F8099" t="s">
        <v>11528</v>
      </c>
      <c r="G8099" t="s">
        <v>15769</v>
      </c>
      <c r="H8099" t="s">
        <v>20454</v>
      </c>
    </row>
    <row r="8100" spans="6:8">
      <c r="F8100" t="s">
        <v>11529</v>
      </c>
      <c r="G8100" t="s">
        <v>15770</v>
      </c>
      <c r="H8100" t="s">
        <v>20454</v>
      </c>
    </row>
    <row r="8101" spans="6:8">
      <c r="F8101" t="s">
        <v>11530</v>
      </c>
      <c r="G8101" t="s">
        <v>15771</v>
      </c>
      <c r="H8101" t="s">
        <v>20454</v>
      </c>
    </row>
    <row r="8102" spans="6:8">
      <c r="F8102" t="s">
        <v>11531</v>
      </c>
      <c r="G8102" t="s">
        <v>15772</v>
      </c>
      <c r="H8102" t="s">
        <v>20454</v>
      </c>
    </row>
    <row r="8103" spans="6:8">
      <c r="F8103" t="s">
        <v>11532</v>
      </c>
      <c r="G8103" t="s">
        <v>15773</v>
      </c>
      <c r="H8103" t="s">
        <v>20454</v>
      </c>
    </row>
    <row r="8104" spans="6:8">
      <c r="F8104" t="s">
        <v>11533</v>
      </c>
      <c r="G8104" t="s">
        <v>15774</v>
      </c>
      <c r="H8104" t="s">
        <v>20454</v>
      </c>
    </row>
    <row r="8105" spans="6:8">
      <c r="F8105" t="s">
        <v>11534</v>
      </c>
      <c r="G8105" t="s">
        <v>15775</v>
      </c>
      <c r="H8105" t="s">
        <v>20454</v>
      </c>
    </row>
    <row r="8106" spans="6:8">
      <c r="F8106" t="s">
        <v>11535</v>
      </c>
      <c r="G8106" t="s">
        <v>15776</v>
      </c>
      <c r="H8106" t="s">
        <v>20454</v>
      </c>
    </row>
    <row r="8107" spans="6:8">
      <c r="F8107" t="s">
        <v>11536</v>
      </c>
      <c r="G8107" t="s">
        <v>15777</v>
      </c>
      <c r="H8107" t="s">
        <v>20454</v>
      </c>
    </row>
    <row r="8108" spans="6:8">
      <c r="F8108" t="s">
        <v>11537</v>
      </c>
      <c r="G8108" t="s">
        <v>15778</v>
      </c>
      <c r="H8108" t="s">
        <v>20454</v>
      </c>
    </row>
    <row r="8109" spans="6:8">
      <c r="F8109" t="s">
        <v>11538</v>
      </c>
      <c r="G8109" t="s">
        <v>15779</v>
      </c>
      <c r="H8109" t="s">
        <v>20454</v>
      </c>
    </row>
    <row r="8110" spans="6:8">
      <c r="F8110" t="s">
        <v>11539</v>
      </c>
      <c r="G8110" t="s">
        <v>15780</v>
      </c>
      <c r="H8110" t="s">
        <v>20454</v>
      </c>
    </row>
    <row r="8111" spans="6:8">
      <c r="F8111" t="s">
        <v>11540</v>
      </c>
      <c r="G8111" t="s">
        <v>15781</v>
      </c>
      <c r="H8111" t="s">
        <v>20454</v>
      </c>
    </row>
    <row r="8112" spans="6:8">
      <c r="F8112" t="s">
        <v>11541</v>
      </c>
      <c r="G8112" t="s">
        <v>15782</v>
      </c>
      <c r="H8112" t="s">
        <v>20454</v>
      </c>
    </row>
    <row r="8113" spans="6:8">
      <c r="F8113" t="s">
        <v>11542</v>
      </c>
      <c r="G8113" t="s">
        <v>15783</v>
      </c>
      <c r="H8113" t="s">
        <v>20454</v>
      </c>
    </row>
    <row r="8114" spans="6:8">
      <c r="F8114" t="s">
        <v>11543</v>
      </c>
      <c r="G8114" t="s">
        <v>15784</v>
      </c>
      <c r="H8114" t="s">
        <v>20454</v>
      </c>
    </row>
    <row r="8115" spans="6:8">
      <c r="F8115" t="s">
        <v>11544</v>
      </c>
      <c r="G8115" t="s">
        <v>15785</v>
      </c>
      <c r="H8115" t="s">
        <v>20454</v>
      </c>
    </row>
    <row r="8116" spans="6:8">
      <c r="F8116" t="s">
        <v>11545</v>
      </c>
      <c r="G8116" t="s">
        <v>15786</v>
      </c>
      <c r="H8116" t="s">
        <v>20454</v>
      </c>
    </row>
    <row r="8117" spans="6:8">
      <c r="F8117" t="s">
        <v>11546</v>
      </c>
      <c r="G8117" t="s">
        <v>15787</v>
      </c>
      <c r="H8117" t="s">
        <v>20454</v>
      </c>
    </row>
    <row r="8118" spans="6:8">
      <c r="F8118" t="s">
        <v>11547</v>
      </c>
      <c r="G8118" t="s">
        <v>15788</v>
      </c>
      <c r="H8118" t="s">
        <v>20454</v>
      </c>
    </row>
    <row r="8119" spans="6:8">
      <c r="F8119" t="s">
        <v>11548</v>
      </c>
      <c r="G8119" t="s">
        <v>15789</v>
      </c>
      <c r="H8119" t="s">
        <v>20454</v>
      </c>
    </row>
    <row r="8120" spans="6:8">
      <c r="F8120" t="s">
        <v>11549</v>
      </c>
      <c r="G8120" t="s">
        <v>15790</v>
      </c>
      <c r="H8120" t="s">
        <v>20454</v>
      </c>
    </row>
    <row r="8121" spans="6:8">
      <c r="F8121" t="s">
        <v>11550</v>
      </c>
      <c r="G8121" t="s">
        <v>15791</v>
      </c>
      <c r="H8121" t="s">
        <v>20454</v>
      </c>
    </row>
    <row r="8122" spans="6:8">
      <c r="F8122" t="s">
        <v>11551</v>
      </c>
      <c r="G8122" t="s">
        <v>15792</v>
      </c>
      <c r="H8122" t="s">
        <v>20454</v>
      </c>
    </row>
    <row r="8123" spans="6:8">
      <c r="F8123" t="s">
        <v>11552</v>
      </c>
      <c r="G8123" t="s">
        <v>15793</v>
      </c>
      <c r="H8123" t="s">
        <v>20454</v>
      </c>
    </row>
    <row r="8124" spans="6:8">
      <c r="F8124" t="s">
        <v>11553</v>
      </c>
      <c r="G8124" t="s">
        <v>15794</v>
      </c>
      <c r="H8124" t="s">
        <v>20454</v>
      </c>
    </row>
    <row r="8125" spans="6:8">
      <c r="F8125" t="s">
        <v>11554</v>
      </c>
      <c r="G8125" t="s">
        <v>15795</v>
      </c>
      <c r="H8125" t="s">
        <v>20454</v>
      </c>
    </row>
    <row r="8126" spans="6:8">
      <c r="F8126" t="s">
        <v>11555</v>
      </c>
      <c r="G8126" t="s">
        <v>15796</v>
      </c>
      <c r="H8126" t="s">
        <v>20454</v>
      </c>
    </row>
    <row r="8127" spans="6:8">
      <c r="F8127" t="s">
        <v>11556</v>
      </c>
      <c r="G8127" t="s">
        <v>15797</v>
      </c>
      <c r="H8127" t="s">
        <v>20454</v>
      </c>
    </row>
    <row r="8128" spans="6:8">
      <c r="F8128" t="s">
        <v>11557</v>
      </c>
      <c r="G8128" t="s">
        <v>15798</v>
      </c>
      <c r="H8128" t="s">
        <v>20454</v>
      </c>
    </row>
    <row r="8129" spans="6:8">
      <c r="F8129" t="s">
        <v>11558</v>
      </c>
      <c r="G8129" t="s">
        <v>15799</v>
      </c>
      <c r="H8129" t="s">
        <v>20454</v>
      </c>
    </row>
    <row r="8130" spans="6:8">
      <c r="F8130" t="s">
        <v>11559</v>
      </c>
      <c r="G8130" t="s">
        <v>15800</v>
      </c>
      <c r="H8130" t="s">
        <v>20454</v>
      </c>
    </row>
    <row r="8131" spans="6:8">
      <c r="F8131" t="s">
        <v>11560</v>
      </c>
      <c r="G8131" t="s">
        <v>15801</v>
      </c>
      <c r="H8131" t="s">
        <v>20454</v>
      </c>
    </row>
    <row r="8132" spans="6:8">
      <c r="F8132" t="s">
        <v>11561</v>
      </c>
      <c r="G8132" t="s">
        <v>15802</v>
      </c>
      <c r="H8132" t="s">
        <v>20454</v>
      </c>
    </row>
    <row r="8133" spans="6:8">
      <c r="F8133" t="s">
        <v>11562</v>
      </c>
      <c r="G8133" t="s">
        <v>15803</v>
      </c>
      <c r="H8133" t="s">
        <v>20454</v>
      </c>
    </row>
    <row r="8134" spans="6:8">
      <c r="F8134" t="s">
        <v>11563</v>
      </c>
      <c r="G8134" t="s">
        <v>15804</v>
      </c>
      <c r="H8134" t="s">
        <v>20454</v>
      </c>
    </row>
    <row r="8135" spans="6:8">
      <c r="F8135" t="s">
        <v>11564</v>
      </c>
      <c r="G8135" t="s">
        <v>15805</v>
      </c>
      <c r="H8135" t="s">
        <v>20454</v>
      </c>
    </row>
    <row r="8136" spans="6:8">
      <c r="F8136" t="s">
        <v>11565</v>
      </c>
      <c r="G8136" t="s">
        <v>15806</v>
      </c>
      <c r="H8136" t="s">
        <v>20454</v>
      </c>
    </row>
    <row r="8137" spans="6:8">
      <c r="F8137" t="s">
        <v>11566</v>
      </c>
      <c r="G8137" t="s">
        <v>15807</v>
      </c>
      <c r="H8137" t="s">
        <v>20454</v>
      </c>
    </row>
    <row r="8138" spans="6:8">
      <c r="F8138" t="s">
        <v>11567</v>
      </c>
      <c r="G8138" t="s">
        <v>15808</v>
      </c>
      <c r="H8138" t="s">
        <v>20454</v>
      </c>
    </row>
    <row r="8139" spans="6:8">
      <c r="F8139" t="s">
        <v>11568</v>
      </c>
      <c r="G8139" t="s">
        <v>15809</v>
      </c>
      <c r="H8139" t="s">
        <v>20454</v>
      </c>
    </row>
    <row r="8140" spans="6:8">
      <c r="F8140" t="s">
        <v>11569</v>
      </c>
      <c r="G8140" t="s">
        <v>15810</v>
      </c>
      <c r="H8140" t="s">
        <v>20454</v>
      </c>
    </row>
    <row r="8141" spans="6:8">
      <c r="F8141" t="s">
        <v>11570</v>
      </c>
      <c r="G8141" t="s">
        <v>15811</v>
      </c>
      <c r="H8141" t="s">
        <v>20454</v>
      </c>
    </row>
    <row r="8142" spans="6:8">
      <c r="F8142" t="s">
        <v>11571</v>
      </c>
      <c r="G8142" t="s">
        <v>15812</v>
      </c>
      <c r="H8142" t="s">
        <v>20454</v>
      </c>
    </row>
    <row r="8143" spans="6:8">
      <c r="F8143" t="s">
        <v>11572</v>
      </c>
      <c r="G8143" t="s">
        <v>15813</v>
      </c>
      <c r="H8143" t="s">
        <v>20454</v>
      </c>
    </row>
    <row r="8144" spans="6:8">
      <c r="F8144" t="s">
        <v>11573</v>
      </c>
      <c r="G8144" t="s">
        <v>15814</v>
      </c>
      <c r="H8144" t="s">
        <v>20454</v>
      </c>
    </row>
    <row r="8145" spans="6:8">
      <c r="F8145" t="s">
        <v>11574</v>
      </c>
      <c r="G8145" t="s">
        <v>15815</v>
      </c>
      <c r="H8145" t="s">
        <v>20454</v>
      </c>
    </row>
    <row r="8146" spans="6:8">
      <c r="F8146" t="s">
        <v>11575</v>
      </c>
      <c r="G8146" t="s">
        <v>15816</v>
      </c>
      <c r="H8146" t="s">
        <v>20454</v>
      </c>
    </row>
    <row r="8147" spans="6:8">
      <c r="F8147" t="s">
        <v>11576</v>
      </c>
      <c r="G8147" t="s">
        <v>15817</v>
      </c>
      <c r="H8147" t="s">
        <v>20454</v>
      </c>
    </row>
    <row r="8148" spans="6:8">
      <c r="F8148" t="s">
        <v>11577</v>
      </c>
      <c r="G8148" t="s">
        <v>15818</v>
      </c>
      <c r="H8148" t="s">
        <v>20454</v>
      </c>
    </row>
    <row r="8149" spans="6:8">
      <c r="F8149" t="s">
        <v>11578</v>
      </c>
      <c r="G8149" t="s">
        <v>15819</v>
      </c>
      <c r="H8149" t="s">
        <v>20454</v>
      </c>
    </row>
    <row r="8150" spans="6:8">
      <c r="F8150" t="s">
        <v>11579</v>
      </c>
      <c r="G8150" t="s">
        <v>15820</v>
      </c>
      <c r="H8150" t="s">
        <v>20454</v>
      </c>
    </row>
    <row r="8151" spans="6:8">
      <c r="F8151" t="s">
        <v>11580</v>
      </c>
      <c r="G8151" t="s">
        <v>15821</v>
      </c>
      <c r="H8151" t="s">
        <v>20454</v>
      </c>
    </row>
    <row r="8152" spans="6:8">
      <c r="F8152" t="s">
        <v>11581</v>
      </c>
      <c r="G8152" t="s">
        <v>15822</v>
      </c>
      <c r="H8152" t="s">
        <v>20454</v>
      </c>
    </row>
    <row r="8153" spans="6:8">
      <c r="F8153" t="s">
        <v>11582</v>
      </c>
      <c r="G8153" t="s">
        <v>15823</v>
      </c>
      <c r="H8153" t="s">
        <v>20454</v>
      </c>
    </row>
    <row r="8154" spans="6:8">
      <c r="F8154" t="s">
        <v>11583</v>
      </c>
      <c r="G8154" t="s">
        <v>15824</v>
      </c>
      <c r="H8154" t="s">
        <v>20454</v>
      </c>
    </row>
    <row r="8155" spans="6:8">
      <c r="F8155" t="s">
        <v>11584</v>
      </c>
      <c r="G8155" t="s">
        <v>15825</v>
      </c>
      <c r="H8155" t="s">
        <v>20454</v>
      </c>
    </row>
    <row r="8156" spans="6:8">
      <c r="F8156" t="s">
        <v>11585</v>
      </c>
      <c r="G8156" t="s">
        <v>15826</v>
      </c>
      <c r="H8156" t="s">
        <v>20454</v>
      </c>
    </row>
    <row r="8157" spans="6:8">
      <c r="F8157" t="s">
        <v>11586</v>
      </c>
      <c r="G8157" t="s">
        <v>15827</v>
      </c>
      <c r="H8157" t="s">
        <v>20454</v>
      </c>
    </row>
    <row r="8158" spans="6:8">
      <c r="F8158" t="s">
        <v>11587</v>
      </c>
      <c r="G8158" t="s">
        <v>15828</v>
      </c>
      <c r="H8158" t="s">
        <v>20454</v>
      </c>
    </row>
    <row r="8159" spans="6:8">
      <c r="F8159" t="s">
        <v>11588</v>
      </c>
      <c r="G8159" t="s">
        <v>15829</v>
      </c>
      <c r="H8159" t="s">
        <v>20454</v>
      </c>
    </row>
    <row r="8160" spans="6:8">
      <c r="F8160" t="s">
        <v>11589</v>
      </c>
      <c r="G8160" t="s">
        <v>15830</v>
      </c>
      <c r="H8160" t="s">
        <v>20454</v>
      </c>
    </row>
    <row r="8161" spans="6:8">
      <c r="F8161" t="s">
        <v>11590</v>
      </c>
      <c r="G8161" t="s">
        <v>15831</v>
      </c>
      <c r="H8161" t="s">
        <v>20454</v>
      </c>
    </row>
    <row r="8162" spans="6:8">
      <c r="F8162" t="s">
        <v>11591</v>
      </c>
      <c r="G8162" t="s">
        <v>15832</v>
      </c>
      <c r="H8162" t="s">
        <v>20454</v>
      </c>
    </row>
    <row r="8163" spans="6:8">
      <c r="F8163" t="s">
        <v>11592</v>
      </c>
      <c r="G8163" t="s">
        <v>15833</v>
      </c>
      <c r="H8163" t="s">
        <v>20454</v>
      </c>
    </row>
    <row r="8164" spans="6:8">
      <c r="F8164" t="s">
        <v>11593</v>
      </c>
      <c r="G8164" t="s">
        <v>15834</v>
      </c>
      <c r="H8164" t="s">
        <v>20454</v>
      </c>
    </row>
    <row r="8165" spans="6:8">
      <c r="F8165" t="s">
        <v>11594</v>
      </c>
      <c r="G8165" t="s">
        <v>15835</v>
      </c>
      <c r="H8165" t="s">
        <v>20454</v>
      </c>
    </row>
    <row r="8166" spans="6:8">
      <c r="F8166" t="s">
        <v>11595</v>
      </c>
      <c r="G8166" t="s">
        <v>15836</v>
      </c>
      <c r="H8166" t="s">
        <v>20454</v>
      </c>
    </row>
    <row r="8167" spans="6:8">
      <c r="F8167" t="s">
        <v>11596</v>
      </c>
      <c r="G8167" t="s">
        <v>15837</v>
      </c>
      <c r="H8167" t="s">
        <v>20454</v>
      </c>
    </row>
    <row r="8168" spans="6:8">
      <c r="F8168" t="s">
        <v>11597</v>
      </c>
      <c r="G8168" t="s">
        <v>15838</v>
      </c>
      <c r="H8168" t="s">
        <v>20454</v>
      </c>
    </row>
    <row r="8169" spans="6:8">
      <c r="F8169" t="s">
        <v>11598</v>
      </c>
      <c r="G8169" t="s">
        <v>15839</v>
      </c>
      <c r="H8169" t="s">
        <v>20454</v>
      </c>
    </row>
    <row r="8170" spans="6:8">
      <c r="F8170" t="s">
        <v>11599</v>
      </c>
      <c r="G8170" t="s">
        <v>15840</v>
      </c>
      <c r="H8170" t="s">
        <v>20454</v>
      </c>
    </row>
    <row r="8171" spans="6:8">
      <c r="F8171" t="s">
        <v>11600</v>
      </c>
      <c r="G8171" t="s">
        <v>15841</v>
      </c>
      <c r="H8171" t="s">
        <v>20454</v>
      </c>
    </row>
    <row r="8172" spans="6:8">
      <c r="F8172" t="s">
        <v>11601</v>
      </c>
      <c r="G8172" t="s">
        <v>15842</v>
      </c>
      <c r="H8172" t="s">
        <v>20454</v>
      </c>
    </row>
    <row r="8173" spans="6:8">
      <c r="F8173" t="s">
        <v>11602</v>
      </c>
      <c r="G8173" t="s">
        <v>15843</v>
      </c>
      <c r="H8173" t="s">
        <v>20454</v>
      </c>
    </row>
    <row r="8174" spans="6:8">
      <c r="F8174" t="s">
        <v>11603</v>
      </c>
      <c r="G8174" t="s">
        <v>15844</v>
      </c>
      <c r="H8174" t="s">
        <v>20454</v>
      </c>
    </row>
    <row r="8175" spans="6:8">
      <c r="F8175" t="s">
        <v>11604</v>
      </c>
      <c r="G8175" t="s">
        <v>15845</v>
      </c>
      <c r="H8175" t="s">
        <v>20454</v>
      </c>
    </row>
    <row r="8176" spans="6:8">
      <c r="F8176" t="s">
        <v>11605</v>
      </c>
      <c r="G8176" t="s">
        <v>15846</v>
      </c>
      <c r="H8176" t="s">
        <v>20454</v>
      </c>
    </row>
    <row r="8177" spans="6:8">
      <c r="F8177" t="s">
        <v>11606</v>
      </c>
      <c r="G8177" t="s">
        <v>15847</v>
      </c>
      <c r="H8177" t="s">
        <v>20454</v>
      </c>
    </row>
    <row r="8178" spans="6:8">
      <c r="F8178" t="s">
        <v>11607</v>
      </c>
      <c r="G8178" t="s">
        <v>15848</v>
      </c>
      <c r="H8178" t="s">
        <v>20454</v>
      </c>
    </row>
    <row r="8179" spans="6:8">
      <c r="F8179" t="s">
        <v>11608</v>
      </c>
      <c r="G8179" t="s">
        <v>15849</v>
      </c>
      <c r="H8179" t="s">
        <v>20454</v>
      </c>
    </row>
    <row r="8180" spans="6:8">
      <c r="F8180" t="s">
        <v>11609</v>
      </c>
      <c r="G8180" t="s">
        <v>15850</v>
      </c>
      <c r="H8180" t="s">
        <v>20454</v>
      </c>
    </row>
    <row r="8181" spans="6:8">
      <c r="F8181" t="s">
        <v>11610</v>
      </c>
      <c r="G8181" t="s">
        <v>15851</v>
      </c>
      <c r="H8181" t="s">
        <v>20454</v>
      </c>
    </row>
    <row r="8182" spans="6:8">
      <c r="F8182" t="s">
        <v>11611</v>
      </c>
      <c r="G8182" t="s">
        <v>15852</v>
      </c>
      <c r="H8182" t="s">
        <v>20454</v>
      </c>
    </row>
    <row r="8183" spans="6:8">
      <c r="F8183" t="s">
        <v>11612</v>
      </c>
      <c r="G8183" t="s">
        <v>15853</v>
      </c>
      <c r="H8183" t="s">
        <v>20454</v>
      </c>
    </row>
    <row r="8184" spans="6:8">
      <c r="F8184" t="s">
        <v>11613</v>
      </c>
      <c r="G8184" t="s">
        <v>15854</v>
      </c>
      <c r="H8184" t="s">
        <v>20454</v>
      </c>
    </row>
    <row r="8185" spans="6:8">
      <c r="F8185" t="s">
        <v>11614</v>
      </c>
      <c r="G8185" t="s">
        <v>15855</v>
      </c>
      <c r="H8185" t="s">
        <v>20454</v>
      </c>
    </row>
    <row r="8186" spans="6:8">
      <c r="F8186" t="s">
        <v>11615</v>
      </c>
      <c r="G8186" t="s">
        <v>15856</v>
      </c>
      <c r="H8186" t="s">
        <v>20454</v>
      </c>
    </row>
    <row r="8187" spans="6:8">
      <c r="F8187" t="s">
        <v>11616</v>
      </c>
      <c r="G8187" t="s">
        <v>15857</v>
      </c>
      <c r="H8187" t="s">
        <v>20454</v>
      </c>
    </row>
    <row r="8188" spans="6:8">
      <c r="F8188" t="s">
        <v>11617</v>
      </c>
      <c r="G8188" t="s">
        <v>15858</v>
      </c>
      <c r="H8188" t="s">
        <v>20454</v>
      </c>
    </row>
    <row r="8189" spans="6:8">
      <c r="F8189" t="s">
        <v>11618</v>
      </c>
      <c r="G8189" t="s">
        <v>15859</v>
      </c>
      <c r="H8189" t="s">
        <v>20454</v>
      </c>
    </row>
    <row r="8190" spans="6:8">
      <c r="F8190" t="s">
        <v>11619</v>
      </c>
      <c r="G8190" t="s">
        <v>15860</v>
      </c>
      <c r="H8190" t="s">
        <v>20454</v>
      </c>
    </row>
    <row r="8191" spans="6:8">
      <c r="F8191" t="s">
        <v>11620</v>
      </c>
      <c r="G8191" t="s">
        <v>15861</v>
      </c>
      <c r="H8191" t="s">
        <v>20454</v>
      </c>
    </row>
    <row r="8192" spans="6:8">
      <c r="F8192" t="s">
        <v>11621</v>
      </c>
      <c r="G8192" t="s">
        <v>15862</v>
      </c>
      <c r="H8192" t="s">
        <v>20454</v>
      </c>
    </row>
    <row r="8193" spans="6:8">
      <c r="F8193" t="s">
        <v>11622</v>
      </c>
      <c r="G8193" t="s">
        <v>15863</v>
      </c>
      <c r="H8193" t="s">
        <v>20454</v>
      </c>
    </row>
    <row r="8194" spans="6:8">
      <c r="F8194" t="s">
        <v>11623</v>
      </c>
      <c r="G8194" t="s">
        <v>15864</v>
      </c>
      <c r="H8194" t="s">
        <v>20454</v>
      </c>
    </row>
    <row r="8195" spans="6:8">
      <c r="F8195" t="s">
        <v>11624</v>
      </c>
      <c r="G8195" t="s">
        <v>15865</v>
      </c>
      <c r="H8195" t="s">
        <v>20454</v>
      </c>
    </row>
    <row r="8196" spans="6:8">
      <c r="F8196" t="s">
        <v>11625</v>
      </c>
      <c r="G8196" t="s">
        <v>15866</v>
      </c>
      <c r="H8196" t="s">
        <v>20454</v>
      </c>
    </row>
    <row r="8197" spans="6:8">
      <c r="F8197" t="s">
        <v>11626</v>
      </c>
      <c r="G8197" t="s">
        <v>15867</v>
      </c>
      <c r="H8197" t="s">
        <v>20454</v>
      </c>
    </row>
    <row r="8198" spans="6:8">
      <c r="F8198" t="s">
        <v>11627</v>
      </c>
      <c r="G8198" t="s">
        <v>15868</v>
      </c>
      <c r="H8198" t="s">
        <v>20454</v>
      </c>
    </row>
    <row r="8199" spans="6:8">
      <c r="F8199" t="s">
        <v>11628</v>
      </c>
      <c r="G8199" t="s">
        <v>15869</v>
      </c>
      <c r="H8199" t="s">
        <v>20454</v>
      </c>
    </row>
    <row r="8200" spans="6:8">
      <c r="F8200" t="s">
        <v>11629</v>
      </c>
      <c r="G8200" t="s">
        <v>15870</v>
      </c>
      <c r="H8200" t="s">
        <v>20454</v>
      </c>
    </row>
    <row r="8201" spans="6:8">
      <c r="F8201" t="s">
        <v>11630</v>
      </c>
      <c r="G8201" t="s">
        <v>15871</v>
      </c>
      <c r="H8201" t="s">
        <v>20454</v>
      </c>
    </row>
    <row r="8202" spans="6:8">
      <c r="F8202" t="s">
        <v>11631</v>
      </c>
      <c r="G8202" t="s">
        <v>15872</v>
      </c>
      <c r="H8202" t="s">
        <v>20454</v>
      </c>
    </row>
    <row r="8203" spans="6:8">
      <c r="F8203" t="s">
        <v>11632</v>
      </c>
      <c r="G8203" t="s">
        <v>15873</v>
      </c>
      <c r="H8203" t="s">
        <v>20454</v>
      </c>
    </row>
    <row r="8204" spans="6:8">
      <c r="F8204" t="s">
        <v>11633</v>
      </c>
      <c r="G8204" t="s">
        <v>15874</v>
      </c>
      <c r="H8204" t="s">
        <v>20454</v>
      </c>
    </row>
    <row r="8205" spans="6:8">
      <c r="F8205" t="s">
        <v>11634</v>
      </c>
      <c r="G8205" t="s">
        <v>15875</v>
      </c>
      <c r="H8205" t="s">
        <v>20454</v>
      </c>
    </row>
    <row r="8206" spans="6:8">
      <c r="F8206" t="s">
        <v>11635</v>
      </c>
      <c r="G8206" t="s">
        <v>15876</v>
      </c>
      <c r="H8206" t="s">
        <v>20454</v>
      </c>
    </row>
    <row r="8207" spans="6:8">
      <c r="F8207" t="s">
        <v>11636</v>
      </c>
      <c r="G8207" t="s">
        <v>15877</v>
      </c>
      <c r="H8207" t="s">
        <v>20454</v>
      </c>
    </row>
    <row r="8208" spans="6:8">
      <c r="F8208" t="s">
        <v>11637</v>
      </c>
      <c r="G8208" t="s">
        <v>15878</v>
      </c>
      <c r="H8208" t="s">
        <v>20454</v>
      </c>
    </row>
    <row r="8209" spans="6:8">
      <c r="F8209" t="s">
        <v>11638</v>
      </c>
      <c r="G8209" t="s">
        <v>15879</v>
      </c>
      <c r="H8209" t="s">
        <v>20454</v>
      </c>
    </row>
    <row r="8210" spans="6:8">
      <c r="F8210" t="s">
        <v>11639</v>
      </c>
      <c r="G8210" t="s">
        <v>15880</v>
      </c>
      <c r="H8210" t="s">
        <v>20454</v>
      </c>
    </row>
    <row r="8211" spans="6:8">
      <c r="F8211" t="s">
        <v>11640</v>
      </c>
      <c r="G8211" t="s">
        <v>15881</v>
      </c>
      <c r="H8211" t="s">
        <v>20454</v>
      </c>
    </row>
    <row r="8212" spans="6:8">
      <c r="F8212" t="s">
        <v>11641</v>
      </c>
      <c r="G8212" t="s">
        <v>15882</v>
      </c>
      <c r="H8212" t="s">
        <v>20454</v>
      </c>
    </row>
    <row r="8213" spans="6:8">
      <c r="F8213" t="s">
        <v>11642</v>
      </c>
      <c r="G8213" t="s">
        <v>15883</v>
      </c>
      <c r="H8213" t="s">
        <v>20454</v>
      </c>
    </row>
    <row r="8214" spans="6:8">
      <c r="F8214" t="s">
        <v>11643</v>
      </c>
      <c r="G8214" t="s">
        <v>15884</v>
      </c>
      <c r="H8214" t="s">
        <v>20454</v>
      </c>
    </row>
    <row r="8215" spans="6:8">
      <c r="F8215" t="s">
        <v>11644</v>
      </c>
      <c r="G8215" t="s">
        <v>15885</v>
      </c>
      <c r="H8215" t="s">
        <v>20454</v>
      </c>
    </row>
    <row r="8216" spans="6:8">
      <c r="F8216" t="s">
        <v>11645</v>
      </c>
      <c r="G8216" t="s">
        <v>15886</v>
      </c>
      <c r="H8216" t="s">
        <v>20454</v>
      </c>
    </row>
    <row r="8217" spans="6:8">
      <c r="F8217" t="s">
        <v>11646</v>
      </c>
      <c r="G8217" t="s">
        <v>15887</v>
      </c>
      <c r="H8217" t="s">
        <v>20454</v>
      </c>
    </row>
    <row r="8218" spans="6:8">
      <c r="F8218" t="s">
        <v>11647</v>
      </c>
      <c r="G8218" t="s">
        <v>15888</v>
      </c>
      <c r="H8218" t="s">
        <v>20454</v>
      </c>
    </row>
    <row r="8219" spans="6:8">
      <c r="F8219" t="s">
        <v>11648</v>
      </c>
      <c r="G8219" t="s">
        <v>15889</v>
      </c>
      <c r="H8219" t="s">
        <v>20454</v>
      </c>
    </row>
    <row r="8220" spans="6:8">
      <c r="F8220" t="s">
        <v>11649</v>
      </c>
      <c r="G8220" t="s">
        <v>15890</v>
      </c>
      <c r="H8220" t="s">
        <v>20454</v>
      </c>
    </row>
    <row r="8221" spans="6:8">
      <c r="F8221" t="s">
        <v>11650</v>
      </c>
      <c r="G8221" t="s">
        <v>15891</v>
      </c>
      <c r="H8221" t="s">
        <v>20454</v>
      </c>
    </row>
    <row r="8222" spans="6:8">
      <c r="F8222" t="s">
        <v>11651</v>
      </c>
      <c r="G8222" t="s">
        <v>15892</v>
      </c>
      <c r="H8222" t="s">
        <v>20454</v>
      </c>
    </row>
    <row r="8223" spans="6:8">
      <c r="F8223" t="s">
        <v>11652</v>
      </c>
      <c r="G8223" t="s">
        <v>15893</v>
      </c>
      <c r="H8223" t="s">
        <v>20454</v>
      </c>
    </row>
    <row r="8224" spans="6:8">
      <c r="F8224" t="s">
        <v>11653</v>
      </c>
      <c r="G8224" t="s">
        <v>15894</v>
      </c>
      <c r="H8224" t="s">
        <v>20454</v>
      </c>
    </row>
    <row r="8225" spans="6:8">
      <c r="F8225" t="s">
        <v>11654</v>
      </c>
      <c r="G8225" t="s">
        <v>15895</v>
      </c>
      <c r="H8225" t="s">
        <v>20454</v>
      </c>
    </row>
    <row r="8226" spans="6:8">
      <c r="F8226" t="s">
        <v>11655</v>
      </c>
      <c r="G8226" t="s">
        <v>15896</v>
      </c>
      <c r="H8226" t="s">
        <v>20454</v>
      </c>
    </row>
    <row r="8227" spans="6:8">
      <c r="F8227" t="s">
        <v>11656</v>
      </c>
      <c r="G8227" t="s">
        <v>15897</v>
      </c>
      <c r="H8227" t="s">
        <v>20454</v>
      </c>
    </row>
    <row r="8228" spans="6:8">
      <c r="F8228" t="s">
        <v>11657</v>
      </c>
      <c r="G8228" t="s">
        <v>15898</v>
      </c>
      <c r="H8228" t="s">
        <v>20454</v>
      </c>
    </row>
    <row r="8229" spans="6:8">
      <c r="F8229" t="s">
        <v>11658</v>
      </c>
      <c r="G8229" t="s">
        <v>15899</v>
      </c>
      <c r="H8229" t="s">
        <v>20454</v>
      </c>
    </row>
    <row r="8230" spans="6:8">
      <c r="F8230" t="s">
        <v>11659</v>
      </c>
      <c r="G8230" t="s">
        <v>15900</v>
      </c>
      <c r="H8230" t="s">
        <v>20454</v>
      </c>
    </row>
    <row r="8231" spans="6:8">
      <c r="F8231" t="s">
        <v>11660</v>
      </c>
      <c r="G8231" t="s">
        <v>15901</v>
      </c>
      <c r="H8231" t="s">
        <v>20454</v>
      </c>
    </row>
    <row r="8232" spans="6:8">
      <c r="F8232" t="s">
        <v>11661</v>
      </c>
      <c r="G8232" t="s">
        <v>15902</v>
      </c>
      <c r="H8232" t="s">
        <v>20454</v>
      </c>
    </row>
    <row r="8233" spans="6:8">
      <c r="F8233" t="s">
        <v>11662</v>
      </c>
      <c r="G8233" t="s">
        <v>15903</v>
      </c>
      <c r="H8233" t="s">
        <v>20454</v>
      </c>
    </row>
    <row r="8234" spans="6:8">
      <c r="F8234" t="s">
        <v>11663</v>
      </c>
      <c r="G8234" t="s">
        <v>15904</v>
      </c>
      <c r="H8234" t="s">
        <v>20454</v>
      </c>
    </row>
    <row r="8235" spans="6:8">
      <c r="F8235" t="s">
        <v>11664</v>
      </c>
      <c r="G8235" t="s">
        <v>15905</v>
      </c>
      <c r="H8235" t="s">
        <v>20454</v>
      </c>
    </row>
    <row r="8236" spans="6:8">
      <c r="F8236" t="s">
        <v>11665</v>
      </c>
      <c r="G8236" t="s">
        <v>15906</v>
      </c>
      <c r="H8236" t="s">
        <v>20454</v>
      </c>
    </row>
    <row r="8237" spans="6:8">
      <c r="F8237" t="s">
        <v>11666</v>
      </c>
      <c r="G8237" t="s">
        <v>15907</v>
      </c>
      <c r="H8237" t="s">
        <v>20454</v>
      </c>
    </row>
    <row r="8238" spans="6:8">
      <c r="F8238" t="s">
        <v>11667</v>
      </c>
      <c r="G8238" t="s">
        <v>15908</v>
      </c>
      <c r="H8238" t="s">
        <v>20454</v>
      </c>
    </row>
    <row r="8239" spans="6:8">
      <c r="F8239" t="s">
        <v>11668</v>
      </c>
      <c r="G8239" t="s">
        <v>15909</v>
      </c>
      <c r="H8239" t="s">
        <v>20454</v>
      </c>
    </row>
    <row r="8240" spans="6:8">
      <c r="F8240" t="s">
        <v>11669</v>
      </c>
      <c r="G8240" t="s">
        <v>15910</v>
      </c>
      <c r="H8240" t="s">
        <v>20454</v>
      </c>
    </row>
    <row r="8241" spans="6:8">
      <c r="F8241" t="s">
        <v>11670</v>
      </c>
      <c r="G8241" t="s">
        <v>15911</v>
      </c>
      <c r="H8241" t="s">
        <v>20454</v>
      </c>
    </row>
    <row r="8242" spans="6:8">
      <c r="F8242" t="s">
        <v>11671</v>
      </c>
      <c r="G8242" t="s">
        <v>15912</v>
      </c>
      <c r="H8242" t="s">
        <v>20454</v>
      </c>
    </row>
    <row r="8243" spans="6:8">
      <c r="F8243" t="s">
        <v>11672</v>
      </c>
      <c r="G8243" t="s">
        <v>15913</v>
      </c>
      <c r="H8243" t="s">
        <v>20454</v>
      </c>
    </row>
    <row r="8244" spans="6:8">
      <c r="F8244" t="s">
        <v>11673</v>
      </c>
      <c r="G8244" t="s">
        <v>15914</v>
      </c>
      <c r="H8244" t="s">
        <v>20454</v>
      </c>
    </row>
    <row r="8245" spans="6:8">
      <c r="F8245" t="s">
        <v>11674</v>
      </c>
      <c r="G8245" t="s">
        <v>15915</v>
      </c>
      <c r="H8245" t="s">
        <v>20454</v>
      </c>
    </row>
    <row r="8246" spans="6:8">
      <c r="F8246" t="s">
        <v>11675</v>
      </c>
      <c r="G8246" t="s">
        <v>15916</v>
      </c>
      <c r="H8246" t="s">
        <v>20454</v>
      </c>
    </row>
    <row r="8247" spans="6:8">
      <c r="F8247" t="s">
        <v>11676</v>
      </c>
      <c r="G8247" t="s">
        <v>15917</v>
      </c>
      <c r="H8247" t="s">
        <v>20454</v>
      </c>
    </row>
    <row r="8248" spans="6:8">
      <c r="F8248" t="s">
        <v>11677</v>
      </c>
      <c r="G8248" t="s">
        <v>15918</v>
      </c>
      <c r="H8248" t="s">
        <v>20454</v>
      </c>
    </row>
    <row r="8249" spans="6:8">
      <c r="F8249" t="s">
        <v>11678</v>
      </c>
      <c r="G8249" t="s">
        <v>15919</v>
      </c>
      <c r="H8249" t="s">
        <v>20454</v>
      </c>
    </row>
    <row r="8250" spans="6:8">
      <c r="F8250" t="s">
        <v>11679</v>
      </c>
      <c r="G8250" t="s">
        <v>15920</v>
      </c>
      <c r="H8250" t="s">
        <v>20454</v>
      </c>
    </row>
    <row r="8251" spans="6:8">
      <c r="F8251" t="s">
        <v>11680</v>
      </c>
      <c r="G8251" t="s">
        <v>15921</v>
      </c>
      <c r="H8251" t="s">
        <v>20454</v>
      </c>
    </row>
    <row r="8252" spans="6:8">
      <c r="F8252" t="s">
        <v>11681</v>
      </c>
      <c r="G8252" t="s">
        <v>15922</v>
      </c>
      <c r="H8252" t="s">
        <v>20454</v>
      </c>
    </row>
    <row r="8253" spans="6:8">
      <c r="F8253" t="s">
        <v>11682</v>
      </c>
      <c r="G8253" t="s">
        <v>15923</v>
      </c>
      <c r="H8253" t="s">
        <v>20454</v>
      </c>
    </row>
    <row r="8254" spans="6:8">
      <c r="F8254" t="s">
        <v>11683</v>
      </c>
      <c r="G8254" t="s">
        <v>15924</v>
      </c>
      <c r="H8254" t="s">
        <v>20454</v>
      </c>
    </row>
    <row r="8255" spans="6:8">
      <c r="F8255" t="s">
        <v>11684</v>
      </c>
      <c r="G8255" t="s">
        <v>15925</v>
      </c>
      <c r="H8255" t="s">
        <v>20454</v>
      </c>
    </row>
    <row r="8256" spans="6:8">
      <c r="F8256" t="s">
        <v>11685</v>
      </c>
      <c r="G8256" t="s">
        <v>15926</v>
      </c>
      <c r="H8256" t="s">
        <v>20454</v>
      </c>
    </row>
    <row r="8257" spans="6:8">
      <c r="F8257" t="s">
        <v>11686</v>
      </c>
      <c r="G8257" t="s">
        <v>15927</v>
      </c>
      <c r="H8257" t="s">
        <v>20454</v>
      </c>
    </row>
    <row r="8258" spans="6:8">
      <c r="F8258" t="s">
        <v>11687</v>
      </c>
      <c r="G8258" t="s">
        <v>15928</v>
      </c>
      <c r="H8258" t="s">
        <v>20454</v>
      </c>
    </row>
    <row r="8259" spans="6:8">
      <c r="F8259" t="s">
        <v>11688</v>
      </c>
      <c r="G8259" t="s">
        <v>15929</v>
      </c>
      <c r="H8259" t="s">
        <v>20454</v>
      </c>
    </row>
    <row r="8260" spans="6:8">
      <c r="F8260" t="s">
        <v>11689</v>
      </c>
      <c r="G8260" t="s">
        <v>15930</v>
      </c>
      <c r="H8260" t="s">
        <v>20454</v>
      </c>
    </row>
    <row r="8261" spans="6:8">
      <c r="F8261" t="s">
        <v>11690</v>
      </c>
      <c r="G8261" t="s">
        <v>15931</v>
      </c>
      <c r="H8261" t="s">
        <v>20454</v>
      </c>
    </row>
    <row r="8262" spans="6:8">
      <c r="F8262" t="s">
        <v>11691</v>
      </c>
      <c r="G8262" t="s">
        <v>15932</v>
      </c>
      <c r="H8262" t="s">
        <v>20454</v>
      </c>
    </row>
    <row r="8263" spans="6:8">
      <c r="F8263" t="s">
        <v>11692</v>
      </c>
      <c r="G8263" t="s">
        <v>15933</v>
      </c>
      <c r="H8263" t="s">
        <v>20454</v>
      </c>
    </row>
    <row r="8264" spans="6:8">
      <c r="F8264" t="s">
        <v>11693</v>
      </c>
      <c r="G8264" t="s">
        <v>15934</v>
      </c>
      <c r="H8264" t="s">
        <v>20454</v>
      </c>
    </row>
    <row r="8265" spans="6:8">
      <c r="F8265" t="s">
        <v>11694</v>
      </c>
      <c r="G8265" t="s">
        <v>15935</v>
      </c>
      <c r="H8265" t="s">
        <v>20454</v>
      </c>
    </row>
    <row r="8266" spans="6:8">
      <c r="F8266" t="s">
        <v>11695</v>
      </c>
      <c r="G8266" t="s">
        <v>15936</v>
      </c>
      <c r="H8266" t="s">
        <v>20454</v>
      </c>
    </row>
    <row r="8267" spans="6:8">
      <c r="F8267" t="s">
        <v>11696</v>
      </c>
      <c r="G8267" t="s">
        <v>15937</v>
      </c>
      <c r="H8267" t="s">
        <v>20454</v>
      </c>
    </row>
    <row r="8268" spans="6:8">
      <c r="F8268" t="s">
        <v>11697</v>
      </c>
      <c r="G8268" t="s">
        <v>15938</v>
      </c>
      <c r="H8268" t="s">
        <v>20454</v>
      </c>
    </row>
    <row r="8269" spans="6:8">
      <c r="F8269" t="s">
        <v>11698</v>
      </c>
      <c r="G8269" t="s">
        <v>15939</v>
      </c>
      <c r="H8269" t="s">
        <v>20454</v>
      </c>
    </row>
    <row r="8270" spans="6:8">
      <c r="F8270" t="s">
        <v>11699</v>
      </c>
      <c r="G8270" t="s">
        <v>15940</v>
      </c>
      <c r="H8270" t="s">
        <v>20454</v>
      </c>
    </row>
    <row r="8271" spans="6:8">
      <c r="F8271" t="s">
        <v>11700</v>
      </c>
      <c r="G8271" t="s">
        <v>15941</v>
      </c>
      <c r="H8271" t="s">
        <v>20454</v>
      </c>
    </row>
    <row r="8272" spans="6:8">
      <c r="F8272" t="s">
        <v>11701</v>
      </c>
      <c r="G8272" t="s">
        <v>15942</v>
      </c>
      <c r="H8272" t="s">
        <v>20454</v>
      </c>
    </row>
    <row r="8273" spans="6:8">
      <c r="F8273" t="s">
        <v>11702</v>
      </c>
      <c r="G8273" t="s">
        <v>15943</v>
      </c>
      <c r="H8273" t="s">
        <v>20454</v>
      </c>
    </row>
    <row r="8274" spans="6:8">
      <c r="F8274" t="s">
        <v>11703</v>
      </c>
      <c r="G8274" t="s">
        <v>15944</v>
      </c>
      <c r="H8274" t="s">
        <v>20454</v>
      </c>
    </row>
    <row r="8275" spans="6:8">
      <c r="F8275" t="s">
        <v>11704</v>
      </c>
      <c r="G8275" t="s">
        <v>15945</v>
      </c>
      <c r="H8275" t="s">
        <v>20454</v>
      </c>
    </row>
    <row r="8276" spans="6:8">
      <c r="F8276" t="s">
        <v>11705</v>
      </c>
      <c r="G8276" t="s">
        <v>15946</v>
      </c>
      <c r="H8276" t="s">
        <v>20454</v>
      </c>
    </row>
    <row r="8277" spans="6:8">
      <c r="F8277" t="s">
        <v>11706</v>
      </c>
      <c r="G8277" t="s">
        <v>15947</v>
      </c>
      <c r="H8277" t="s">
        <v>20454</v>
      </c>
    </row>
    <row r="8278" spans="6:8">
      <c r="F8278" t="s">
        <v>11707</v>
      </c>
      <c r="G8278" t="s">
        <v>15948</v>
      </c>
      <c r="H8278" t="s">
        <v>20454</v>
      </c>
    </row>
    <row r="8279" spans="6:8">
      <c r="F8279" t="s">
        <v>11708</v>
      </c>
      <c r="G8279" t="s">
        <v>15949</v>
      </c>
      <c r="H8279" t="s">
        <v>20454</v>
      </c>
    </row>
    <row r="8280" spans="6:8">
      <c r="F8280" t="s">
        <v>11709</v>
      </c>
      <c r="G8280" t="s">
        <v>15950</v>
      </c>
      <c r="H8280" t="s">
        <v>20454</v>
      </c>
    </row>
    <row r="8281" spans="6:8">
      <c r="F8281" t="s">
        <v>11710</v>
      </c>
      <c r="G8281" t="s">
        <v>15951</v>
      </c>
      <c r="H8281" t="s">
        <v>20454</v>
      </c>
    </row>
    <row r="8282" spans="6:8">
      <c r="F8282" t="s">
        <v>11711</v>
      </c>
      <c r="G8282" t="s">
        <v>15952</v>
      </c>
      <c r="H8282" t="s">
        <v>20454</v>
      </c>
    </row>
    <row r="8283" spans="6:8">
      <c r="F8283" t="s">
        <v>11712</v>
      </c>
      <c r="G8283" t="s">
        <v>15953</v>
      </c>
      <c r="H8283" t="s">
        <v>20454</v>
      </c>
    </row>
    <row r="8284" spans="6:8">
      <c r="F8284" t="s">
        <v>11713</v>
      </c>
      <c r="G8284" t="s">
        <v>15954</v>
      </c>
      <c r="H8284" t="s">
        <v>20454</v>
      </c>
    </row>
    <row r="8285" spans="6:8">
      <c r="F8285" t="s">
        <v>11714</v>
      </c>
      <c r="G8285" t="s">
        <v>15955</v>
      </c>
      <c r="H8285" t="s">
        <v>20454</v>
      </c>
    </row>
    <row r="8286" spans="6:8">
      <c r="F8286" t="s">
        <v>11715</v>
      </c>
      <c r="G8286" t="s">
        <v>15956</v>
      </c>
      <c r="H8286" t="s">
        <v>20454</v>
      </c>
    </row>
    <row r="8287" spans="6:8">
      <c r="F8287" t="s">
        <v>11716</v>
      </c>
      <c r="G8287" t="s">
        <v>15957</v>
      </c>
      <c r="H8287" t="s">
        <v>20454</v>
      </c>
    </row>
    <row r="8288" spans="6:8">
      <c r="F8288" t="s">
        <v>11717</v>
      </c>
      <c r="G8288" t="s">
        <v>15958</v>
      </c>
      <c r="H8288" t="s">
        <v>20454</v>
      </c>
    </row>
    <row r="8289" spans="6:8">
      <c r="F8289" t="s">
        <v>11718</v>
      </c>
      <c r="G8289" t="s">
        <v>15959</v>
      </c>
      <c r="H8289" t="s">
        <v>20454</v>
      </c>
    </row>
    <row r="8290" spans="6:8">
      <c r="F8290" t="s">
        <v>11719</v>
      </c>
      <c r="G8290" t="s">
        <v>15960</v>
      </c>
      <c r="H8290" t="s">
        <v>20454</v>
      </c>
    </row>
    <row r="8291" spans="6:8">
      <c r="F8291" t="s">
        <v>11720</v>
      </c>
      <c r="G8291" t="s">
        <v>15961</v>
      </c>
      <c r="H8291" t="s">
        <v>20454</v>
      </c>
    </row>
    <row r="8292" spans="6:8">
      <c r="F8292" t="s">
        <v>11721</v>
      </c>
      <c r="G8292" t="s">
        <v>15962</v>
      </c>
      <c r="H8292" t="s">
        <v>20454</v>
      </c>
    </row>
    <row r="8293" spans="6:8">
      <c r="F8293" t="s">
        <v>11722</v>
      </c>
      <c r="G8293" t="s">
        <v>15963</v>
      </c>
      <c r="H8293" t="s">
        <v>20454</v>
      </c>
    </row>
    <row r="8294" spans="6:8">
      <c r="F8294" t="s">
        <v>11723</v>
      </c>
      <c r="G8294" t="s">
        <v>15964</v>
      </c>
      <c r="H8294" t="s">
        <v>20454</v>
      </c>
    </row>
    <row r="8295" spans="6:8">
      <c r="F8295" t="s">
        <v>11724</v>
      </c>
      <c r="G8295" t="s">
        <v>15965</v>
      </c>
      <c r="H8295" t="s">
        <v>20454</v>
      </c>
    </row>
    <row r="8296" spans="6:8">
      <c r="F8296" t="s">
        <v>11725</v>
      </c>
      <c r="G8296" t="s">
        <v>15966</v>
      </c>
      <c r="H8296" t="s">
        <v>20454</v>
      </c>
    </row>
    <row r="8297" spans="6:8">
      <c r="F8297" t="s">
        <v>11726</v>
      </c>
      <c r="G8297" t="s">
        <v>15967</v>
      </c>
      <c r="H8297" t="s">
        <v>20454</v>
      </c>
    </row>
    <row r="8298" spans="6:8">
      <c r="F8298" t="s">
        <v>11727</v>
      </c>
      <c r="G8298" t="s">
        <v>15968</v>
      </c>
      <c r="H8298" t="s">
        <v>20454</v>
      </c>
    </row>
    <row r="8299" spans="6:8">
      <c r="F8299" t="s">
        <v>11728</v>
      </c>
      <c r="G8299" t="s">
        <v>15969</v>
      </c>
      <c r="H8299" t="s">
        <v>20454</v>
      </c>
    </row>
    <row r="8300" spans="6:8">
      <c r="F8300" t="s">
        <v>11729</v>
      </c>
      <c r="G8300" t="s">
        <v>15970</v>
      </c>
      <c r="H8300" t="s">
        <v>20454</v>
      </c>
    </row>
    <row r="8301" spans="6:8">
      <c r="F8301" t="s">
        <v>11730</v>
      </c>
      <c r="G8301" t="s">
        <v>15971</v>
      </c>
      <c r="H8301" t="s">
        <v>20454</v>
      </c>
    </row>
    <row r="8302" spans="6:8">
      <c r="F8302" t="s">
        <v>11731</v>
      </c>
      <c r="G8302" t="s">
        <v>15972</v>
      </c>
      <c r="H8302" t="s">
        <v>20454</v>
      </c>
    </row>
    <row r="8303" spans="6:8">
      <c r="F8303" t="s">
        <v>11732</v>
      </c>
      <c r="G8303" t="s">
        <v>15973</v>
      </c>
      <c r="H8303" t="s">
        <v>20454</v>
      </c>
    </row>
    <row r="8304" spans="6:8">
      <c r="F8304" t="s">
        <v>11733</v>
      </c>
      <c r="G8304" t="s">
        <v>15974</v>
      </c>
      <c r="H8304" t="s">
        <v>20454</v>
      </c>
    </row>
    <row r="8305" spans="6:8">
      <c r="F8305" t="s">
        <v>11734</v>
      </c>
      <c r="G8305" t="s">
        <v>15975</v>
      </c>
      <c r="H8305" t="s">
        <v>20454</v>
      </c>
    </row>
    <row r="8306" spans="6:8">
      <c r="F8306" t="s">
        <v>11735</v>
      </c>
      <c r="G8306" t="s">
        <v>15976</v>
      </c>
      <c r="H8306" t="s">
        <v>20454</v>
      </c>
    </row>
    <row r="8307" spans="6:8">
      <c r="F8307" t="s">
        <v>11736</v>
      </c>
      <c r="G8307" t="s">
        <v>15977</v>
      </c>
      <c r="H8307" t="s">
        <v>20454</v>
      </c>
    </row>
    <row r="8308" spans="6:8">
      <c r="F8308" t="s">
        <v>11737</v>
      </c>
      <c r="G8308" t="s">
        <v>15978</v>
      </c>
      <c r="H8308" t="s">
        <v>20454</v>
      </c>
    </row>
    <row r="8309" spans="6:8">
      <c r="F8309" t="s">
        <v>11738</v>
      </c>
      <c r="G8309" t="s">
        <v>15979</v>
      </c>
      <c r="H8309" t="s">
        <v>20454</v>
      </c>
    </row>
    <row r="8310" spans="6:8">
      <c r="F8310" t="s">
        <v>11739</v>
      </c>
      <c r="G8310" t="s">
        <v>15980</v>
      </c>
      <c r="H8310" t="s">
        <v>20454</v>
      </c>
    </row>
    <row r="8311" spans="6:8">
      <c r="F8311" t="s">
        <v>11740</v>
      </c>
      <c r="G8311" t="s">
        <v>15981</v>
      </c>
      <c r="H8311" t="s">
        <v>20454</v>
      </c>
    </row>
    <row r="8312" spans="6:8">
      <c r="F8312" t="s">
        <v>11741</v>
      </c>
      <c r="G8312" t="s">
        <v>15982</v>
      </c>
      <c r="H8312" t="s">
        <v>20454</v>
      </c>
    </row>
    <row r="8313" spans="6:8">
      <c r="F8313" t="s">
        <v>11742</v>
      </c>
      <c r="G8313" t="s">
        <v>15983</v>
      </c>
      <c r="H8313" t="s">
        <v>20454</v>
      </c>
    </row>
    <row r="8314" spans="6:8">
      <c r="F8314" t="s">
        <v>11743</v>
      </c>
      <c r="G8314" t="s">
        <v>15984</v>
      </c>
      <c r="H8314" t="s">
        <v>20454</v>
      </c>
    </row>
    <row r="8315" spans="6:8">
      <c r="F8315" t="s">
        <v>11744</v>
      </c>
      <c r="G8315" t="s">
        <v>15985</v>
      </c>
      <c r="H8315" t="s">
        <v>20454</v>
      </c>
    </row>
    <row r="8316" spans="6:8">
      <c r="F8316" t="s">
        <v>11745</v>
      </c>
      <c r="G8316" t="s">
        <v>15986</v>
      </c>
      <c r="H8316" t="s">
        <v>20454</v>
      </c>
    </row>
    <row r="8317" spans="6:8">
      <c r="F8317" t="s">
        <v>11746</v>
      </c>
      <c r="G8317" t="s">
        <v>15987</v>
      </c>
      <c r="H8317" t="s">
        <v>20454</v>
      </c>
    </row>
    <row r="8318" spans="6:8">
      <c r="F8318" t="s">
        <v>11747</v>
      </c>
      <c r="G8318" t="s">
        <v>15988</v>
      </c>
      <c r="H8318" t="s">
        <v>20454</v>
      </c>
    </row>
    <row r="8319" spans="6:8">
      <c r="F8319" t="s">
        <v>11748</v>
      </c>
      <c r="G8319" t="s">
        <v>15989</v>
      </c>
      <c r="H8319" t="s">
        <v>20454</v>
      </c>
    </row>
    <row r="8320" spans="6:8">
      <c r="F8320" t="s">
        <v>11749</v>
      </c>
      <c r="G8320" t="s">
        <v>15990</v>
      </c>
      <c r="H8320" t="s">
        <v>20454</v>
      </c>
    </row>
    <row r="8321" spans="6:8">
      <c r="F8321" t="s">
        <v>11750</v>
      </c>
      <c r="G8321" t="s">
        <v>15991</v>
      </c>
      <c r="H8321" t="s">
        <v>20454</v>
      </c>
    </row>
    <row r="8322" spans="6:8">
      <c r="F8322" t="s">
        <v>11751</v>
      </c>
      <c r="G8322" t="s">
        <v>15992</v>
      </c>
      <c r="H8322" t="s">
        <v>20454</v>
      </c>
    </row>
    <row r="8323" spans="6:8">
      <c r="F8323" t="s">
        <v>11752</v>
      </c>
      <c r="G8323" t="s">
        <v>15993</v>
      </c>
      <c r="H8323" t="s">
        <v>20454</v>
      </c>
    </row>
    <row r="8324" spans="6:8">
      <c r="F8324" t="s">
        <v>11753</v>
      </c>
      <c r="G8324" t="s">
        <v>15994</v>
      </c>
      <c r="H8324" t="s">
        <v>20454</v>
      </c>
    </row>
    <row r="8325" spans="6:8">
      <c r="F8325" t="s">
        <v>11754</v>
      </c>
      <c r="G8325" t="s">
        <v>15995</v>
      </c>
      <c r="H8325" t="s">
        <v>20454</v>
      </c>
    </row>
    <row r="8326" spans="6:8">
      <c r="F8326" t="s">
        <v>11755</v>
      </c>
      <c r="G8326" t="s">
        <v>15996</v>
      </c>
      <c r="H8326" t="s">
        <v>20454</v>
      </c>
    </row>
    <row r="8327" spans="6:8">
      <c r="F8327" t="s">
        <v>11756</v>
      </c>
      <c r="G8327" t="s">
        <v>15997</v>
      </c>
      <c r="H8327" t="s">
        <v>20454</v>
      </c>
    </row>
    <row r="8328" spans="6:8">
      <c r="F8328" t="s">
        <v>11757</v>
      </c>
      <c r="G8328" t="s">
        <v>15998</v>
      </c>
      <c r="H8328" t="s">
        <v>20454</v>
      </c>
    </row>
    <row r="8329" spans="6:8">
      <c r="F8329" t="s">
        <v>11758</v>
      </c>
      <c r="G8329" t="s">
        <v>15999</v>
      </c>
      <c r="H8329" t="s">
        <v>20454</v>
      </c>
    </row>
    <row r="8330" spans="6:8">
      <c r="F8330" t="s">
        <v>11759</v>
      </c>
      <c r="G8330" t="s">
        <v>16000</v>
      </c>
      <c r="H8330" t="s">
        <v>20454</v>
      </c>
    </row>
    <row r="8331" spans="6:8">
      <c r="F8331" t="s">
        <v>11760</v>
      </c>
      <c r="G8331" t="s">
        <v>16001</v>
      </c>
      <c r="H8331" t="s">
        <v>20454</v>
      </c>
    </row>
    <row r="8332" spans="6:8">
      <c r="F8332" t="s">
        <v>11761</v>
      </c>
      <c r="G8332" t="s">
        <v>16002</v>
      </c>
      <c r="H8332" t="s">
        <v>20454</v>
      </c>
    </row>
    <row r="8333" spans="6:8">
      <c r="F8333" t="s">
        <v>11762</v>
      </c>
      <c r="G8333" t="s">
        <v>16003</v>
      </c>
      <c r="H8333" t="s">
        <v>20454</v>
      </c>
    </row>
    <row r="8334" spans="6:8">
      <c r="F8334" t="s">
        <v>11763</v>
      </c>
      <c r="G8334" t="s">
        <v>16004</v>
      </c>
      <c r="H8334" t="s">
        <v>20454</v>
      </c>
    </row>
    <row r="8335" spans="6:8">
      <c r="F8335" t="s">
        <v>11764</v>
      </c>
      <c r="G8335" t="s">
        <v>16005</v>
      </c>
      <c r="H8335" t="s">
        <v>20454</v>
      </c>
    </row>
    <row r="8336" spans="6:8">
      <c r="F8336" t="s">
        <v>11765</v>
      </c>
      <c r="G8336" t="s">
        <v>16006</v>
      </c>
      <c r="H8336" t="s">
        <v>20454</v>
      </c>
    </row>
    <row r="8337" spans="6:8">
      <c r="F8337" t="s">
        <v>11766</v>
      </c>
      <c r="G8337" t="s">
        <v>16007</v>
      </c>
      <c r="H8337" t="s">
        <v>20454</v>
      </c>
    </row>
    <row r="8338" spans="6:8">
      <c r="F8338" t="s">
        <v>11767</v>
      </c>
      <c r="G8338" t="s">
        <v>16008</v>
      </c>
      <c r="H8338" t="s">
        <v>20454</v>
      </c>
    </row>
    <row r="8339" spans="6:8">
      <c r="F8339" t="s">
        <v>11768</v>
      </c>
      <c r="G8339" t="s">
        <v>16009</v>
      </c>
      <c r="H8339" t="s">
        <v>20454</v>
      </c>
    </row>
    <row r="8340" spans="6:8">
      <c r="F8340" t="s">
        <v>11769</v>
      </c>
      <c r="G8340" t="s">
        <v>16010</v>
      </c>
      <c r="H8340" t="s">
        <v>20454</v>
      </c>
    </row>
    <row r="8341" spans="6:8">
      <c r="F8341" t="s">
        <v>11770</v>
      </c>
      <c r="G8341" t="s">
        <v>16011</v>
      </c>
      <c r="H8341" t="s">
        <v>20454</v>
      </c>
    </row>
    <row r="8342" spans="6:8">
      <c r="F8342" t="s">
        <v>11771</v>
      </c>
      <c r="G8342" t="s">
        <v>16012</v>
      </c>
      <c r="H8342" t="s">
        <v>20454</v>
      </c>
    </row>
    <row r="8343" spans="6:8">
      <c r="F8343" t="s">
        <v>11772</v>
      </c>
      <c r="G8343" t="s">
        <v>16013</v>
      </c>
      <c r="H8343" t="s">
        <v>20454</v>
      </c>
    </row>
    <row r="8344" spans="6:8">
      <c r="F8344" t="s">
        <v>11773</v>
      </c>
      <c r="G8344" t="s">
        <v>16014</v>
      </c>
      <c r="H8344" t="s">
        <v>20454</v>
      </c>
    </row>
    <row r="8345" spans="6:8">
      <c r="F8345" t="s">
        <v>11774</v>
      </c>
      <c r="G8345" t="s">
        <v>16015</v>
      </c>
      <c r="H8345" t="s">
        <v>20454</v>
      </c>
    </row>
    <row r="8346" spans="6:8">
      <c r="F8346" t="s">
        <v>11775</v>
      </c>
      <c r="G8346" t="s">
        <v>16016</v>
      </c>
      <c r="H8346" t="s">
        <v>20454</v>
      </c>
    </row>
    <row r="8347" spans="6:8">
      <c r="F8347" t="s">
        <v>11776</v>
      </c>
      <c r="G8347" t="s">
        <v>16017</v>
      </c>
      <c r="H8347" t="s">
        <v>20454</v>
      </c>
    </row>
    <row r="8348" spans="6:8">
      <c r="F8348" t="s">
        <v>11777</v>
      </c>
      <c r="G8348" t="s">
        <v>16018</v>
      </c>
      <c r="H8348" t="s">
        <v>20454</v>
      </c>
    </row>
    <row r="8349" spans="6:8">
      <c r="F8349" t="s">
        <v>11778</v>
      </c>
      <c r="G8349" t="s">
        <v>16019</v>
      </c>
      <c r="H8349" t="s">
        <v>20454</v>
      </c>
    </row>
    <row r="8350" spans="6:8">
      <c r="F8350" t="s">
        <v>11779</v>
      </c>
      <c r="G8350" t="s">
        <v>16020</v>
      </c>
      <c r="H8350" t="s">
        <v>20454</v>
      </c>
    </row>
    <row r="8351" spans="6:8">
      <c r="F8351" t="s">
        <v>11780</v>
      </c>
      <c r="G8351" t="s">
        <v>16021</v>
      </c>
      <c r="H8351" t="s">
        <v>20454</v>
      </c>
    </row>
    <row r="8352" spans="6:8">
      <c r="F8352" t="s">
        <v>11781</v>
      </c>
      <c r="G8352" t="s">
        <v>16022</v>
      </c>
      <c r="H8352" t="s">
        <v>20454</v>
      </c>
    </row>
    <row r="8353" spans="6:8">
      <c r="F8353" t="s">
        <v>11782</v>
      </c>
      <c r="G8353" t="s">
        <v>16023</v>
      </c>
      <c r="H8353" t="s">
        <v>20454</v>
      </c>
    </row>
    <row r="8354" spans="6:8">
      <c r="F8354" t="s">
        <v>11783</v>
      </c>
      <c r="G8354" t="s">
        <v>16024</v>
      </c>
      <c r="H8354" t="s">
        <v>20454</v>
      </c>
    </row>
    <row r="8355" spans="6:8">
      <c r="F8355" t="s">
        <v>11784</v>
      </c>
      <c r="G8355" t="s">
        <v>16025</v>
      </c>
      <c r="H8355" t="s">
        <v>20454</v>
      </c>
    </row>
    <row r="8356" spans="6:8">
      <c r="F8356" t="s">
        <v>11785</v>
      </c>
      <c r="G8356" t="s">
        <v>16026</v>
      </c>
      <c r="H8356" t="s">
        <v>20454</v>
      </c>
    </row>
    <row r="8357" spans="6:8">
      <c r="F8357" t="s">
        <v>11786</v>
      </c>
      <c r="G8357" t="s">
        <v>16027</v>
      </c>
      <c r="H8357" t="s">
        <v>20454</v>
      </c>
    </row>
    <row r="8358" spans="6:8">
      <c r="F8358" t="s">
        <v>11787</v>
      </c>
      <c r="G8358" t="s">
        <v>16028</v>
      </c>
      <c r="H8358" t="s">
        <v>20454</v>
      </c>
    </row>
    <row r="8359" spans="6:8">
      <c r="F8359" t="s">
        <v>11788</v>
      </c>
      <c r="G8359" t="s">
        <v>16029</v>
      </c>
      <c r="H8359" t="s">
        <v>20454</v>
      </c>
    </row>
    <row r="8360" spans="6:8">
      <c r="F8360" t="s">
        <v>11789</v>
      </c>
      <c r="G8360" t="s">
        <v>16030</v>
      </c>
      <c r="H8360" t="s">
        <v>20454</v>
      </c>
    </row>
    <row r="8361" spans="6:8">
      <c r="F8361" t="s">
        <v>11790</v>
      </c>
      <c r="G8361" t="s">
        <v>16031</v>
      </c>
      <c r="H8361" t="s">
        <v>20454</v>
      </c>
    </row>
    <row r="8362" spans="6:8">
      <c r="F8362" t="s">
        <v>11791</v>
      </c>
      <c r="G8362" t="s">
        <v>16032</v>
      </c>
      <c r="H8362" t="s">
        <v>20454</v>
      </c>
    </row>
    <row r="8363" spans="6:8">
      <c r="F8363" t="s">
        <v>11792</v>
      </c>
      <c r="G8363" t="s">
        <v>16033</v>
      </c>
      <c r="H8363" t="s">
        <v>20454</v>
      </c>
    </row>
    <row r="8364" spans="6:8">
      <c r="F8364" t="s">
        <v>11793</v>
      </c>
      <c r="G8364" t="s">
        <v>16034</v>
      </c>
      <c r="H8364" t="s">
        <v>20454</v>
      </c>
    </row>
    <row r="8365" spans="6:8">
      <c r="F8365" t="s">
        <v>11794</v>
      </c>
      <c r="G8365" t="s">
        <v>16035</v>
      </c>
      <c r="H8365" t="s">
        <v>20454</v>
      </c>
    </row>
    <row r="8366" spans="6:8">
      <c r="F8366" t="s">
        <v>11795</v>
      </c>
      <c r="G8366" t="s">
        <v>16036</v>
      </c>
      <c r="H8366" t="s">
        <v>20454</v>
      </c>
    </row>
    <row r="8367" spans="6:8">
      <c r="F8367" t="s">
        <v>11796</v>
      </c>
      <c r="G8367" t="s">
        <v>16037</v>
      </c>
      <c r="H8367" t="s">
        <v>20454</v>
      </c>
    </row>
    <row r="8368" spans="6:8">
      <c r="F8368" t="s">
        <v>11797</v>
      </c>
      <c r="G8368" t="s">
        <v>16038</v>
      </c>
      <c r="H8368" t="s">
        <v>20454</v>
      </c>
    </row>
    <row r="8369" spans="6:8">
      <c r="F8369" t="s">
        <v>11798</v>
      </c>
      <c r="G8369" t="s">
        <v>16039</v>
      </c>
      <c r="H8369" t="s">
        <v>20454</v>
      </c>
    </row>
    <row r="8370" spans="6:8">
      <c r="F8370" t="s">
        <v>11799</v>
      </c>
      <c r="G8370" t="s">
        <v>16040</v>
      </c>
      <c r="H8370" t="s">
        <v>20454</v>
      </c>
    </row>
    <row r="8371" spans="6:8">
      <c r="F8371" t="s">
        <v>11800</v>
      </c>
      <c r="G8371" t="s">
        <v>16041</v>
      </c>
      <c r="H8371" t="s">
        <v>20454</v>
      </c>
    </row>
    <row r="8372" spans="6:8">
      <c r="F8372" t="s">
        <v>11801</v>
      </c>
      <c r="G8372" t="s">
        <v>16042</v>
      </c>
      <c r="H8372" t="s">
        <v>20454</v>
      </c>
    </row>
    <row r="8373" spans="6:8">
      <c r="F8373" t="s">
        <v>11802</v>
      </c>
      <c r="G8373" t="s">
        <v>16043</v>
      </c>
      <c r="H8373" t="s">
        <v>20454</v>
      </c>
    </row>
    <row r="8374" spans="6:8">
      <c r="F8374" t="s">
        <v>11803</v>
      </c>
      <c r="G8374" t="s">
        <v>16044</v>
      </c>
      <c r="H8374" t="s">
        <v>20454</v>
      </c>
    </row>
    <row r="8375" spans="6:8">
      <c r="F8375" t="s">
        <v>11804</v>
      </c>
      <c r="G8375" t="s">
        <v>16045</v>
      </c>
      <c r="H8375" t="s">
        <v>20454</v>
      </c>
    </row>
    <row r="8376" spans="6:8">
      <c r="F8376" t="s">
        <v>11805</v>
      </c>
      <c r="G8376" t="s">
        <v>16046</v>
      </c>
      <c r="H8376" t="s">
        <v>20454</v>
      </c>
    </row>
    <row r="8377" spans="6:8">
      <c r="F8377" t="s">
        <v>11806</v>
      </c>
      <c r="G8377" t="s">
        <v>16047</v>
      </c>
      <c r="H8377" t="s">
        <v>20454</v>
      </c>
    </row>
    <row r="8378" spans="6:8">
      <c r="F8378" t="s">
        <v>11807</v>
      </c>
      <c r="G8378" t="s">
        <v>16048</v>
      </c>
      <c r="H8378" t="s">
        <v>20454</v>
      </c>
    </row>
    <row r="8379" spans="6:8">
      <c r="F8379" t="s">
        <v>11808</v>
      </c>
      <c r="G8379" t="s">
        <v>16049</v>
      </c>
      <c r="H8379" t="s">
        <v>20454</v>
      </c>
    </row>
    <row r="8380" spans="6:8">
      <c r="F8380" t="s">
        <v>11809</v>
      </c>
      <c r="G8380" t="s">
        <v>16050</v>
      </c>
      <c r="H8380" t="s">
        <v>20454</v>
      </c>
    </row>
    <row r="8381" spans="6:8">
      <c r="F8381" t="s">
        <v>11810</v>
      </c>
      <c r="G8381" t="s">
        <v>16051</v>
      </c>
      <c r="H8381" t="s">
        <v>20454</v>
      </c>
    </row>
    <row r="8382" spans="6:8">
      <c r="F8382" t="s">
        <v>11811</v>
      </c>
      <c r="G8382" t="s">
        <v>16052</v>
      </c>
      <c r="H8382" t="s">
        <v>20454</v>
      </c>
    </row>
    <row r="8383" spans="6:8">
      <c r="F8383" t="s">
        <v>11812</v>
      </c>
      <c r="G8383" t="s">
        <v>16053</v>
      </c>
      <c r="H8383" t="s">
        <v>20454</v>
      </c>
    </row>
    <row r="8384" spans="6:8">
      <c r="F8384" t="s">
        <v>11813</v>
      </c>
      <c r="G8384" t="s">
        <v>16054</v>
      </c>
      <c r="H8384" t="s">
        <v>20454</v>
      </c>
    </row>
    <row r="8385" spans="6:8">
      <c r="F8385" t="s">
        <v>11814</v>
      </c>
      <c r="G8385" t="s">
        <v>16055</v>
      </c>
      <c r="H8385" t="s">
        <v>20454</v>
      </c>
    </row>
    <row r="8386" spans="6:8">
      <c r="F8386" t="s">
        <v>11815</v>
      </c>
      <c r="G8386" t="s">
        <v>16056</v>
      </c>
      <c r="H8386" t="s">
        <v>20454</v>
      </c>
    </row>
    <row r="8387" spans="6:8">
      <c r="F8387" t="s">
        <v>11816</v>
      </c>
      <c r="G8387" t="s">
        <v>16057</v>
      </c>
      <c r="H8387" t="s">
        <v>20454</v>
      </c>
    </row>
    <row r="8388" spans="6:8">
      <c r="F8388" t="s">
        <v>11817</v>
      </c>
      <c r="G8388" t="s">
        <v>16058</v>
      </c>
      <c r="H8388" t="s">
        <v>20454</v>
      </c>
    </row>
    <row r="8389" spans="6:8">
      <c r="F8389" t="s">
        <v>11818</v>
      </c>
      <c r="G8389" t="s">
        <v>16059</v>
      </c>
      <c r="H8389" t="s">
        <v>20454</v>
      </c>
    </row>
    <row r="8390" spans="6:8">
      <c r="F8390" t="s">
        <v>11819</v>
      </c>
      <c r="G8390" t="s">
        <v>16060</v>
      </c>
      <c r="H8390" t="s">
        <v>20454</v>
      </c>
    </row>
    <row r="8391" spans="6:8">
      <c r="F8391" t="s">
        <v>11820</v>
      </c>
      <c r="G8391" t="s">
        <v>16061</v>
      </c>
      <c r="H8391" t="s">
        <v>20454</v>
      </c>
    </row>
    <row r="8392" spans="6:8">
      <c r="F8392" t="s">
        <v>11821</v>
      </c>
      <c r="G8392" t="s">
        <v>16062</v>
      </c>
      <c r="H8392" t="s">
        <v>20454</v>
      </c>
    </row>
    <row r="8393" spans="6:8">
      <c r="F8393" t="s">
        <v>11822</v>
      </c>
      <c r="G8393" t="s">
        <v>16063</v>
      </c>
      <c r="H8393" t="s">
        <v>20454</v>
      </c>
    </row>
    <row r="8394" spans="6:8">
      <c r="F8394" t="s">
        <v>11823</v>
      </c>
      <c r="G8394" t="s">
        <v>16064</v>
      </c>
      <c r="H8394" t="s">
        <v>20454</v>
      </c>
    </row>
    <row r="8395" spans="6:8">
      <c r="F8395" t="s">
        <v>11824</v>
      </c>
      <c r="G8395" t="s">
        <v>16065</v>
      </c>
      <c r="H8395" t="s">
        <v>20454</v>
      </c>
    </row>
    <row r="8396" spans="6:8">
      <c r="F8396" t="s">
        <v>11825</v>
      </c>
      <c r="G8396" t="s">
        <v>16066</v>
      </c>
      <c r="H8396" t="s">
        <v>20454</v>
      </c>
    </row>
    <row r="8397" spans="6:8">
      <c r="F8397" t="s">
        <v>11826</v>
      </c>
      <c r="G8397" t="s">
        <v>16067</v>
      </c>
      <c r="H8397" t="s">
        <v>20454</v>
      </c>
    </row>
    <row r="8398" spans="6:8">
      <c r="F8398" t="s">
        <v>11827</v>
      </c>
      <c r="G8398" t="s">
        <v>16068</v>
      </c>
      <c r="H8398" t="s">
        <v>20454</v>
      </c>
    </row>
    <row r="8399" spans="6:8">
      <c r="F8399" t="s">
        <v>11828</v>
      </c>
      <c r="G8399" t="s">
        <v>16069</v>
      </c>
      <c r="H8399" t="s">
        <v>20454</v>
      </c>
    </row>
    <row r="8400" spans="6:8">
      <c r="F8400" t="s">
        <v>11829</v>
      </c>
      <c r="G8400" t="s">
        <v>16070</v>
      </c>
      <c r="H8400" t="s">
        <v>20454</v>
      </c>
    </row>
    <row r="8401" spans="6:8">
      <c r="F8401" t="s">
        <v>11830</v>
      </c>
      <c r="G8401" t="s">
        <v>16071</v>
      </c>
      <c r="H8401" t="s">
        <v>20454</v>
      </c>
    </row>
    <row r="8402" spans="6:8">
      <c r="F8402" t="s">
        <v>11831</v>
      </c>
      <c r="G8402" t="s">
        <v>16072</v>
      </c>
      <c r="H8402" t="s">
        <v>20454</v>
      </c>
    </row>
    <row r="8403" spans="6:8">
      <c r="F8403" t="s">
        <v>11832</v>
      </c>
      <c r="G8403" t="s">
        <v>16073</v>
      </c>
      <c r="H8403" t="s">
        <v>20454</v>
      </c>
    </row>
    <row r="8404" spans="6:8">
      <c r="F8404" t="s">
        <v>11833</v>
      </c>
      <c r="G8404" t="s">
        <v>16074</v>
      </c>
      <c r="H8404" t="s">
        <v>20454</v>
      </c>
    </row>
    <row r="8405" spans="6:8">
      <c r="F8405" t="s">
        <v>11834</v>
      </c>
      <c r="G8405" t="s">
        <v>16075</v>
      </c>
      <c r="H8405" t="s">
        <v>20454</v>
      </c>
    </row>
    <row r="8406" spans="6:8">
      <c r="F8406" t="s">
        <v>11835</v>
      </c>
      <c r="G8406" t="s">
        <v>16076</v>
      </c>
      <c r="H8406" t="s">
        <v>20454</v>
      </c>
    </row>
    <row r="8407" spans="6:8">
      <c r="F8407" t="s">
        <v>11836</v>
      </c>
      <c r="G8407" t="s">
        <v>16077</v>
      </c>
      <c r="H8407" t="s">
        <v>20454</v>
      </c>
    </row>
    <row r="8408" spans="6:8">
      <c r="F8408" t="s">
        <v>11837</v>
      </c>
      <c r="G8408" t="s">
        <v>16078</v>
      </c>
      <c r="H8408" t="s">
        <v>20454</v>
      </c>
    </row>
    <row r="8409" spans="6:8">
      <c r="F8409" t="s">
        <v>11838</v>
      </c>
      <c r="G8409" t="s">
        <v>16079</v>
      </c>
      <c r="H8409" t="s">
        <v>20454</v>
      </c>
    </row>
    <row r="8410" spans="6:8">
      <c r="F8410" t="s">
        <v>11839</v>
      </c>
      <c r="G8410" t="s">
        <v>16080</v>
      </c>
      <c r="H8410" t="s">
        <v>20454</v>
      </c>
    </row>
    <row r="8411" spans="6:8">
      <c r="F8411" t="s">
        <v>11840</v>
      </c>
      <c r="G8411" t="s">
        <v>16081</v>
      </c>
      <c r="H8411" t="s">
        <v>20454</v>
      </c>
    </row>
    <row r="8412" spans="6:8">
      <c r="F8412" t="s">
        <v>11841</v>
      </c>
      <c r="G8412" t="s">
        <v>16082</v>
      </c>
      <c r="H8412" t="s">
        <v>20454</v>
      </c>
    </row>
    <row r="8413" spans="6:8">
      <c r="F8413" t="s">
        <v>11842</v>
      </c>
      <c r="G8413" t="s">
        <v>16083</v>
      </c>
      <c r="H8413" t="s">
        <v>20454</v>
      </c>
    </row>
    <row r="8414" spans="6:8">
      <c r="F8414" t="s">
        <v>11843</v>
      </c>
      <c r="G8414" t="s">
        <v>16084</v>
      </c>
      <c r="H8414" t="s">
        <v>20454</v>
      </c>
    </row>
    <row r="8415" spans="6:8">
      <c r="F8415" t="s">
        <v>11844</v>
      </c>
      <c r="G8415" t="s">
        <v>16085</v>
      </c>
      <c r="H8415" t="s">
        <v>20454</v>
      </c>
    </row>
    <row r="8416" spans="6:8">
      <c r="F8416" t="s">
        <v>11845</v>
      </c>
      <c r="G8416" t="s">
        <v>16086</v>
      </c>
      <c r="H8416" t="s">
        <v>20454</v>
      </c>
    </row>
    <row r="8417" spans="6:8">
      <c r="F8417" t="s">
        <v>11846</v>
      </c>
      <c r="G8417" t="s">
        <v>16087</v>
      </c>
      <c r="H8417" t="s">
        <v>20454</v>
      </c>
    </row>
    <row r="8418" spans="6:8">
      <c r="F8418" t="s">
        <v>11847</v>
      </c>
      <c r="G8418" t="s">
        <v>16088</v>
      </c>
      <c r="H8418" t="s">
        <v>20454</v>
      </c>
    </row>
    <row r="8419" spans="6:8">
      <c r="F8419" t="s">
        <v>11848</v>
      </c>
      <c r="G8419" t="s">
        <v>16089</v>
      </c>
      <c r="H8419" t="s">
        <v>20454</v>
      </c>
    </row>
    <row r="8420" spans="6:8">
      <c r="F8420" t="s">
        <v>11849</v>
      </c>
      <c r="G8420" t="s">
        <v>16090</v>
      </c>
      <c r="H8420" t="s">
        <v>20454</v>
      </c>
    </row>
    <row r="8421" spans="6:8">
      <c r="F8421" t="s">
        <v>11850</v>
      </c>
      <c r="G8421" t="s">
        <v>16091</v>
      </c>
      <c r="H8421" t="s">
        <v>20454</v>
      </c>
    </row>
    <row r="8422" spans="6:8">
      <c r="F8422" t="s">
        <v>11851</v>
      </c>
      <c r="G8422" t="s">
        <v>16092</v>
      </c>
      <c r="H8422" t="s">
        <v>20454</v>
      </c>
    </row>
    <row r="8423" spans="6:8">
      <c r="F8423" t="s">
        <v>11852</v>
      </c>
      <c r="G8423" t="s">
        <v>16093</v>
      </c>
      <c r="H8423" t="s">
        <v>20454</v>
      </c>
    </row>
    <row r="8424" spans="6:8">
      <c r="F8424" t="s">
        <v>11853</v>
      </c>
      <c r="G8424" t="s">
        <v>16094</v>
      </c>
      <c r="H8424" t="s">
        <v>20454</v>
      </c>
    </row>
    <row r="8425" spans="6:8">
      <c r="F8425" t="s">
        <v>11854</v>
      </c>
      <c r="G8425" t="s">
        <v>16095</v>
      </c>
      <c r="H8425" t="s">
        <v>20454</v>
      </c>
    </row>
    <row r="8426" spans="6:8">
      <c r="F8426" t="s">
        <v>11855</v>
      </c>
      <c r="G8426" t="s">
        <v>16096</v>
      </c>
      <c r="H8426" t="s">
        <v>20454</v>
      </c>
    </row>
    <row r="8427" spans="6:8">
      <c r="F8427" t="s">
        <v>11856</v>
      </c>
      <c r="G8427" t="s">
        <v>16097</v>
      </c>
      <c r="H8427" t="s">
        <v>20454</v>
      </c>
    </row>
    <row r="8428" spans="6:8">
      <c r="F8428" t="s">
        <v>11857</v>
      </c>
      <c r="G8428" t="s">
        <v>16098</v>
      </c>
      <c r="H8428" t="s">
        <v>20454</v>
      </c>
    </row>
    <row r="8429" spans="6:8">
      <c r="F8429" t="s">
        <v>11858</v>
      </c>
      <c r="G8429" t="s">
        <v>16099</v>
      </c>
      <c r="H8429" t="s">
        <v>20454</v>
      </c>
    </row>
    <row r="8430" spans="6:8">
      <c r="F8430" t="s">
        <v>11859</v>
      </c>
      <c r="G8430" t="s">
        <v>16100</v>
      </c>
      <c r="H8430" t="s">
        <v>20454</v>
      </c>
    </row>
    <row r="8431" spans="6:8">
      <c r="F8431" t="s">
        <v>11860</v>
      </c>
      <c r="G8431" t="s">
        <v>16101</v>
      </c>
      <c r="H8431" t="s">
        <v>20454</v>
      </c>
    </row>
    <row r="8432" spans="6:8">
      <c r="F8432" t="s">
        <v>11861</v>
      </c>
      <c r="G8432" t="s">
        <v>16102</v>
      </c>
      <c r="H8432" t="s">
        <v>20454</v>
      </c>
    </row>
    <row r="8433" spans="6:8">
      <c r="F8433" t="s">
        <v>11862</v>
      </c>
      <c r="G8433" t="s">
        <v>16103</v>
      </c>
      <c r="H8433" t="s">
        <v>20454</v>
      </c>
    </row>
    <row r="8434" spans="6:8">
      <c r="F8434" t="s">
        <v>11863</v>
      </c>
      <c r="G8434" t="s">
        <v>16104</v>
      </c>
      <c r="H8434" t="s">
        <v>20454</v>
      </c>
    </row>
    <row r="8435" spans="6:8">
      <c r="F8435" t="s">
        <v>11864</v>
      </c>
      <c r="G8435" t="s">
        <v>16105</v>
      </c>
      <c r="H8435" t="s">
        <v>20454</v>
      </c>
    </row>
    <row r="8436" spans="6:8">
      <c r="F8436" t="s">
        <v>11865</v>
      </c>
      <c r="G8436" t="s">
        <v>16106</v>
      </c>
      <c r="H8436" t="s">
        <v>20454</v>
      </c>
    </row>
    <row r="8437" spans="6:8">
      <c r="F8437" t="s">
        <v>11866</v>
      </c>
      <c r="G8437" t="s">
        <v>16107</v>
      </c>
      <c r="H8437" t="s">
        <v>20454</v>
      </c>
    </row>
    <row r="8438" spans="6:8">
      <c r="F8438" t="s">
        <v>11867</v>
      </c>
      <c r="G8438" t="s">
        <v>16108</v>
      </c>
      <c r="H8438" t="s">
        <v>20454</v>
      </c>
    </row>
    <row r="8439" spans="6:8">
      <c r="F8439" t="s">
        <v>11868</v>
      </c>
      <c r="G8439" t="s">
        <v>16109</v>
      </c>
      <c r="H8439" t="s">
        <v>20454</v>
      </c>
    </row>
    <row r="8440" spans="6:8">
      <c r="F8440" t="s">
        <v>11869</v>
      </c>
      <c r="G8440" t="s">
        <v>16110</v>
      </c>
      <c r="H8440" t="s">
        <v>20454</v>
      </c>
    </row>
    <row r="8441" spans="6:8">
      <c r="F8441" t="s">
        <v>11870</v>
      </c>
      <c r="G8441" t="s">
        <v>16111</v>
      </c>
      <c r="H8441" t="s">
        <v>20454</v>
      </c>
    </row>
    <row r="8442" spans="6:8">
      <c r="F8442" t="s">
        <v>11871</v>
      </c>
      <c r="G8442" t="s">
        <v>16112</v>
      </c>
      <c r="H8442" t="s">
        <v>20454</v>
      </c>
    </row>
    <row r="8443" spans="6:8">
      <c r="F8443" t="s">
        <v>11872</v>
      </c>
      <c r="G8443" t="s">
        <v>16113</v>
      </c>
      <c r="H8443" t="s">
        <v>20454</v>
      </c>
    </row>
    <row r="8444" spans="6:8">
      <c r="F8444" t="s">
        <v>11873</v>
      </c>
      <c r="G8444" t="s">
        <v>16114</v>
      </c>
      <c r="H8444" t="s">
        <v>20454</v>
      </c>
    </row>
    <row r="8445" spans="6:8">
      <c r="F8445" t="s">
        <v>11874</v>
      </c>
      <c r="G8445" t="s">
        <v>16115</v>
      </c>
      <c r="H8445" t="s">
        <v>20454</v>
      </c>
    </row>
    <row r="8446" spans="6:8">
      <c r="F8446" t="s">
        <v>11875</v>
      </c>
      <c r="G8446" t="s">
        <v>16116</v>
      </c>
      <c r="H8446" t="s">
        <v>20454</v>
      </c>
    </row>
    <row r="8447" spans="6:8">
      <c r="F8447" t="s">
        <v>11876</v>
      </c>
      <c r="G8447" t="s">
        <v>16117</v>
      </c>
      <c r="H8447" t="s">
        <v>20454</v>
      </c>
    </row>
    <row r="8448" spans="6:8">
      <c r="F8448" t="s">
        <v>11877</v>
      </c>
      <c r="G8448" t="s">
        <v>16118</v>
      </c>
      <c r="H8448" t="s">
        <v>20454</v>
      </c>
    </row>
    <row r="8449" spans="6:8">
      <c r="F8449" t="s">
        <v>11878</v>
      </c>
      <c r="G8449" t="s">
        <v>16119</v>
      </c>
      <c r="H8449" t="s">
        <v>20454</v>
      </c>
    </row>
    <row r="8450" spans="6:8">
      <c r="F8450" t="s">
        <v>11879</v>
      </c>
      <c r="G8450" t="s">
        <v>16120</v>
      </c>
      <c r="H8450" t="s">
        <v>20454</v>
      </c>
    </row>
    <row r="8451" spans="6:8">
      <c r="F8451" t="s">
        <v>11880</v>
      </c>
      <c r="G8451" t="s">
        <v>16121</v>
      </c>
      <c r="H8451" t="s">
        <v>20454</v>
      </c>
    </row>
    <row r="8452" spans="6:8">
      <c r="F8452" t="s">
        <v>11881</v>
      </c>
      <c r="G8452" t="s">
        <v>16122</v>
      </c>
      <c r="H8452" t="s">
        <v>20454</v>
      </c>
    </row>
    <row r="8453" spans="6:8">
      <c r="F8453" t="s">
        <v>11882</v>
      </c>
      <c r="G8453" t="s">
        <v>16123</v>
      </c>
      <c r="H8453" t="s">
        <v>20454</v>
      </c>
    </row>
    <row r="8454" spans="6:8">
      <c r="F8454" t="s">
        <v>11883</v>
      </c>
      <c r="G8454" t="s">
        <v>16124</v>
      </c>
      <c r="H8454" t="s">
        <v>20454</v>
      </c>
    </row>
    <row r="8455" spans="6:8">
      <c r="F8455" t="s">
        <v>11884</v>
      </c>
      <c r="G8455" t="s">
        <v>16125</v>
      </c>
      <c r="H8455" t="s">
        <v>20454</v>
      </c>
    </row>
    <row r="8456" spans="6:8">
      <c r="F8456" t="s">
        <v>11885</v>
      </c>
      <c r="G8456" t="s">
        <v>16126</v>
      </c>
      <c r="H8456" t="s">
        <v>20454</v>
      </c>
    </row>
    <row r="8457" spans="6:8">
      <c r="F8457" t="s">
        <v>11886</v>
      </c>
      <c r="G8457" t="s">
        <v>16127</v>
      </c>
      <c r="H8457" t="s">
        <v>20454</v>
      </c>
    </row>
    <row r="8458" spans="6:8">
      <c r="F8458" t="s">
        <v>11887</v>
      </c>
      <c r="G8458" t="s">
        <v>16128</v>
      </c>
      <c r="H8458" t="s">
        <v>20454</v>
      </c>
    </row>
    <row r="8459" spans="6:8">
      <c r="F8459" t="s">
        <v>11888</v>
      </c>
      <c r="G8459" t="s">
        <v>16129</v>
      </c>
      <c r="H8459" t="s">
        <v>20454</v>
      </c>
    </row>
    <row r="8460" spans="6:8">
      <c r="F8460" t="s">
        <v>11889</v>
      </c>
      <c r="G8460" t="s">
        <v>16130</v>
      </c>
      <c r="H8460" t="s">
        <v>20454</v>
      </c>
    </row>
    <row r="8461" spans="6:8">
      <c r="F8461" t="s">
        <v>11890</v>
      </c>
      <c r="G8461" t="s">
        <v>16131</v>
      </c>
      <c r="H8461" t="s">
        <v>20454</v>
      </c>
    </row>
    <row r="8462" spans="6:8">
      <c r="F8462" t="s">
        <v>11891</v>
      </c>
      <c r="G8462" t="s">
        <v>16132</v>
      </c>
      <c r="H8462" t="s">
        <v>20454</v>
      </c>
    </row>
    <row r="8463" spans="6:8">
      <c r="F8463" t="s">
        <v>11892</v>
      </c>
      <c r="G8463" t="s">
        <v>16133</v>
      </c>
      <c r="H8463" t="s">
        <v>20454</v>
      </c>
    </row>
    <row r="8464" spans="6:8">
      <c r="F8464" t="s">
        <v>11893</v>
      </c>
      <c r="G8464" t="s">
        <v>16134</v>
      </c>
      <c r="H8464" t="s">
        <v>20454</v>
      </c>
    </row>
    <row r="8465" spans="6:8">
      <c r="F8465" t="s">
        <v>11894</v>
      </c>
      <c r="G8465" t="s">
        <v>16135</v>
      </c>
      <c r="H8465" t="s">
        <v>20454</v>
      </c>
    </row>
    <row r="8466" spans="6:8">
      <c r="F8466" t="s">
        <v>11895</v>
      </c>
      <c r="G8466" t="s">
        <v>16136</v>
      </c>
      <c r="H8466" t="s">
        <v>20454</v>
      </c>
    </row>
    <row r="8467" spans="6:8">
      <c r="F8467" t="s">
        <v>11896</v>
      </c>
      <c r="G8467" t="s">
        <v>16137</v>
      </c>
      <c r="H8467" t="s">
        <v>20454</v>
      </c>
    </row>
    <row r="8468" spans="6:8">
      <c r="F8468" t="s">
        <v>11897</v>
      </c>
      <c r="G8468" t="s">
        <v>16138</v>
      </c>
      <c r="H8468" t="s">
        <v>20454</v>
      </c>
    </row>
    <row r="8469" spans="6:8">
      <c r="F8469" t="s">
        <v>11898</v>
      </c>
      <c r="G8469" t="s">
        <v>16139</v>
      </c>
      <c r="H8469" t="s">
        <v>20454</v>
      </c>
    </row>
    <row r="8470" spans="6:8">
      <c r="F8470" t="s">
        <v>11899</v>
      </c>
      <c r="G8470" t="s">
        <v>16140</v>
      </c>
      <c r="H8470" t="s">
        <v>20454</v>
      </c>
    </row>
    <row r="8471" spans="6:8">
      <c r="F8471" t="s">
        <v>11900</v>
      </c>
      <c r="G8471" t="s">
        <v>16141</v>
      </c>
      <c r="H8471" t="s">
        <v>20454</v>
      </c>
    </row>
    <row r="8472" spans="6:8">
      <c r="F8472" t="s">
        <v>11901</v>
      </c>
      <c r="G8472" t="s">
        <v>16142</v>
      </c>
      <c r="H8472" t="s">
        <v>20454</v>
      </c>
    </row>
    <row r="8473" spans="6:8">
      <c r="F8473" t="s">
        <v>11902</v>
      </c>
      <c r="G8473" t="s">
        <v>16143</v>
      </c>
      <c r="H8473" t="s">
        <v>20454</v>
      </c>
    </row>
    <row r="8474" spans="6:8">
      <c r="F8474" t="s">
        <v>11903</v>
      </c>
      <c r="G8474" t="s">
        <v>16144</v>
      </c>
      <c r="H8474" t="s">
        <v>20454</v>
      </c>
    </row>
    <row r="8475" spans="6:8">
      <c r="F8475" t="s">
        <v>11904</v>
      </c>
      <c r="G8475" t="s">
        <v>16145</v>
      </c>
      <c r="H8475" t="s">
        <v>20454</v>
      </c>
    </row>
    <row r="8476" spans="6:8">
      <c r="F8476" t="s">
        <v>11905</v>
      </c>
      <c r="G8476" t="s">
        <v>16146</v>
      </c>
      <c r="H8476" t="s">
        <v>20454</v>
      </c>
    </row>
    <row r="8477" spans="6:8">
      <c r="F8477" t="s">
        <v>11906</v>
      </c>
      <c r="G8477" t="s">
        <v>16147</v>
      </c>
      <c r="H8477" t="s">
        <v>20454</v>
      </c>
    </row>
    <row r="8478" spans="6:8">
      <c r="F8478" t="s">
        <v>11907</v>
      </c>
      <c r="G8478" t="s">
        <v>16148</v>
      </c>
      <c r="H8478" t="s">
        <v>20454</v>
      </c>
    </row>
    <row r="8479" spans="6:8">
      <c r="F8479" t="s">
        <v>11908</v>
      </c>
      <c r="G8479" t="s">
        <v>16149</v>
      </c>
      <c r="H8479" t="s">
        <v>20454</v>
      </c>
    </row>
    <row r="8480" spans="6:8">
      <c r="F8480" t="s">
        <v>11909</v>
      </c>
      <c r="G8480" t="s">
        <v>16150</v>
      </c>
      <c r="H8480" t="s">
        <v>20454</v>
      </c>
    </row>
    <row r="8481" spans="6:8">
      <c r="F8481" t="s">
        <v>11910</v>
      </c>
      <c r="G8481" t="s">
        <v>16151</v>
      </c>
      <c r="H8481" t="s">
        <v>20454</v>
      </c>
    </row>
    <row r="8482" spans="6:8">
      <c r="F8482" t="s">
        <v>11911</v>
      </c>
      <c r="G8482" t="s">
        <v>16152</v>
      </c>
      <c r="H8482" t="s">
        <v>20454</v>
      </c>
    </row>
    <row r="8483" spans="6:8">
      <c r="F8483" t="s">
        <v>11912</v>
      </c>
      <c r="G8483" t="s">
        <v>16153</v>
      </c>
      <c r="H8483" t="s">
        <v>20454</v>
      </c>
    </row>
    <row r="8484" spans="6:8">
      <c r="F8484" t="s">
        <v>11913</v>
      </c>
      <c r="G8484" t="s">
        <v>16154</v>
      </c>
      <c r="H8484" t="s">
        <v>20454</v>
      </c>
    </row>
    <row r="8485" spans="6:8">
      <c r="F8485" t="s">
        <v>11914</v>
      </c>
      <c r="G8485" t="s">
        <v>16155</v>
      </c>
      <c r="H8485" t="s">
        <v>20454</v>
      </c>
    </row>
    <row r="8486" spans="6:8">
      <c r="F8486" t="s">
        <v>11915</v>
      </c>
      <c r="G8486" t="s">
        <v>16156</v>
      </c>
      <c r="H8486" t="s">
        <v>20454</v>
      </c>
    </row>
    <row r="8487" spans="6:8">
      <c r="F8487" t="s">
        <v>11916</v>
      </c>
      <c r="G8487" t="s">
        <v>16157</v>
      </c>
      <c r="H8487" t="s">
        <v>20454</v>
      </c>
    </row>
    <row r="8488" spans="6:8">
      <c r="F8488" t="s">
        <v>11917</v>
      </c>
      <c r="G8488" t="s">
        <v>16158</v>
      </c>
      <c r="H8488" t="s">
        <v>20454</v>
      </c>
    </row>
    <row r="8489" spans="6:8">
      <c r="F8489" t="s">
        <v>11918</v>
      </c>
      <c r="G8489" t="s">
        <v>16159</v>
      </c>
      <c r="H8489" t="s">
        <v>20454</v>
      </c>
    </row>
    <row r="8490" spans="6:8">
      <c r="F8490" t="s">
        <v>11919</v>
      </c>
      <c r="G8490" t="s">
        <v>16160</v>
      </c>
      <c r="H8490" t="s">
        <v>20454</v>
      </c>
    </row>
    <row r="8491" spans="6:8">
      <c r="F8491" t="s">
        <v>11920</v>
      </c>
      <c r="G8491" t="s">
        <v>16161</v>
      </c>
      <c r="H8491" t="s">
        <v>20454</v>
      </c>
    </row>
    <row r="8492" spans="6:8">
      <c r="F8492" t="s">
        <v>11921</v>
      </c>
      <c r="G8492" t="s">
        <v>16162</v>
      </c>
      <c r="H8492" t="s">
        <v>20454</v>
      </c>
    </row>
    <row r="8493" spans="6:8">
      <c r="F8493" t="s">
        <v>11922</v>
      </c>
      <c r="G8493" t="s">
        <v>16163</v>
      </c>
      <c r="H8493" t="s">
        <v>20454</v>
      </c>
    </row>
    <row r="8494" spans="6:8">
      <c r="F8494" t="s">
        <v>11923</v>
      </c>
      <c r="G8494" t="s">
        <v>16164</v>
      </c>
      <c r="H8494" t="s">
        <v>20454</v>
      </c>
    </row>
    <row r="8495" spans="6:8">
      <c r="F8495" t="s">
        <v>11924</v>
      </c>
      <c r="G8495" t="s">
        <v>16165</v>
      </c>
      <c r="H8495" t="s">
        <v>20454</v>
      </c>
    </row>
    <row r="8496" spans="6:8">
      <c r="F8496" t="s">
        <v>11925</v>
      </c>
      <c r="G8496" t="s">
        <v>16166</v>
      </c>
      <c r="H8496" t="s">
        <v>20454</v>
      </c>
    </row>
    <row r="8497" spans="6:8">
      <c r="F8497" t="s">
        <v>11926</v>
      </c>
      <c r="G8497" t="s">
        <v>16167</v>
      </c>
      <c r="H8497" t="s">
        <v>20454</v>
      </c>
    </row>
    <row r="8498" spans="6:8">
      <c r="F8498" t="s">
        <v>11927</v>
      </c>
      <c r="G8498" t="s">
        <v>16168</v>
      </c>
      <c r="H8498" t="s">
        <v>20454</v>
      </c>
    </row>
    <row r="8499" spans="6:8">
      <c r="F8499" t="s">
        <v>11928</v>
      </c>
      <c r="G8499" t="s">
        <v>16169</v>
      </c>
      <c r="H8499" t="s">
        <v>20454</v>
      </c>
    </row>
    <row r="8500" spans="6:8">
      <c r="F8500" t="s">
        <v>11929</v>
      </c>
      <c r="G8500" t="s">
        <v>16170</v>
      </c>
      <c r="H8500" t="s">
        <v>20454</v>
      </c>
    </row>
    <row r="8501" spans="6:8">
      <c r="F8501" t="s">
        <v>11930</v>
      </c>
      <c r="G8501" t="s">
        <v>16171</v>
      </c>
      <c r="H8501" t="s">
        <v>20454</v>
      </c>
    </row>
    <row r="8502" spans="6:8">
      <c r="F8502" t="s">
        <v>11931</v>
      </c>
      <c r="G8502" t="s">
        <v>16172</v>
      </c>
      <c r="H8502" t="s">
        <v>20454</v>
      </c>
    </row>
    <row r="8503" spans="6:8">
      <c r="F8503" t="s">
        <v>11932</v>
      </c>
      <c r="G8503" t="s">
        <v>16173</v>
      </c>
      <c r="H8503" t="s">
        <v>20454</v>
      </c>
    </row>
    <row r="8504" spans="6:8">
      <c r="F8504" t="s">
        <v>11933</v>
      </c>
      <c r="G8504" t="s">
        <v>16174</v>
      </c>
      <c r="H8504" t="s">
        <v>20454</v>
      </c>
    </row>
    <row r="8505" spans="6:8">
      <c r="F8505" t="s">
        <v>11934</v>
      </c>
      <c r="G8505" t="s">
        <v>16175</v>
      </c>
      <c r="H8505" t="s">
        <v>20454</v>
      </c>
    </row>
    <row r="8506" spans="6:8">
      <c r="F8506" t="s">
        <v>11935</v>
      </c>
      <c r="G8506" t="s">
        <v>16176</v>
      </c>
      <c r="H8506" t="s">
        <v>20454</v>
      </c>
    </row>
    <row r="8507" spans="6:8">
      <c r="F8507" t="s">
        <v>11936</v>
      </c>
      <c r="G8507" t="s">
        <v>16177</v>
      </c>
      <c r="H8507" t="s">
        <v>20454</v>
      </c>
    </row>
    <row r="8508" spans="6:8">
      <c r="F8508" t="s">
        <v>11937</v>
      </c>
      <c r="G8508" t="s">
        <v>16178</v>
      </c>
      <c r="H8508" t="s">
        <v>20454</v>
      </c>
    </row>
    <row r="8509" spans="6:8">
      <c r="F8509" t="s">
        <v>11938</v>
      </c>
      <c r="G8509" t="s">
        <v>16179</v>
      </c>
      <c r="H8509" t="s">
        <v>20454</v>
      </c>
    </row>
    <row r="8510" spans="6:8">
      <c r="F8510" t="s">
        <v>11939</v>
      </c>
      <c r="G8510" t="s">
        <v>16180</v>
      </c>
      <c r="H8510" t="s">
        <v>20454</v>
      </c>
    </row>
    <row r="8511" spans="6:8">
      <c r="F8511" t="s">
        <v>11940</v>
      </c>
      <c r="G8511" t="s">
        <v>16181</v>
      </c>
      <c r="H8511" t="s">
        <v>20454</v>
      </c>
    </row>
    <row r="8512" spans="6:8">
      <c r="F8512" t="s">
        <v>11941</v>
      </c>
      <c r="G8512" t="s">
        <v>16182</v>
      </c>
      <c r="H8512" t="s">
        <v>20454</v>
      </c>
    </row>
    <row r="8513" spans="6:8">
      <c r="F8513" t="s">
        <v>11942</v>
      </c>
      <c r="G8513" t="s">
        <v>16183</v>
      </c>
      <c r="H8513" t="s">
        <v>20454</v>
      </c>
    </row>
    <row r="8514" spans="6:8">
      <c r="F8514" t="s">
        <v>11943</v>
      </c>
      <c r="G8514" t="s">
        <v>16184</v>
      </c>
      <c r="H8514" t="s">
        <v>20454</v>
      </c>
    </row>
    <row r="8515" spans="6:8">
      <c r="F8515" t="s">
        <v>11944</v>
      </c>
      <c r="G8515" t="s">
        <v>16185</v>
      </c>
      <c r="H8515" t="s">
        <v>20454</v>
      </c>
    </row>
    <row r="8516" spans="6:8">
      <c r="F8516" t="s">
        <v>11945</v>
      </c>
      <c r="G8516" t="s">
        <v>16186</v>
      </c>
      <c r="H8516" t="s">
        <v>20454</v>
      </c>
    </row>
    <row r="8517" spans="6:8">
      <c r="F8517" t="s">
        <v>11946</v>
      </c>
      <c r="G8517" t="s">
        <v>16187</v>
      </c>
      <c r="H8517" t="s">
        <v>20454</v>
      </c>
    </row>
    <row r="8518" spans="6:8">
      <c r="F8518" t="s">
        <v>11947</v>
      </c>
      <c r="G8518" t="s">
        <v>16188</v>
      </c>
      <c r="H8518" t="s">
        <v>20454</v>
      </c>
    </row>
    <row r="8519" spans="6:8">
      <c r="F8519" t="s">
        <v>11948</v>
      </c>
      <c r="G8519" t="s">
        <v>16189</v>
      </c>
      <c r="H8519" t="s">
        <v>20454</v>
      </c>
    </row>
    <row r="8520" spans="6:8">
      <c r="F8520" t="s">
        <v>11949</v>
      </c>
      <c r="G8520" t="s">
        <v>16190</v>
      </c>
      <c r="H8520" t="s">
        <v>20454</v>
      </c>
    </row>
    <row r="8521" spans="6:8">
      <c r="F8521" t="s">
        <v>11950</v>
      </c>
      <c r="G8521" t="s">
        <v>16191</v>
      </c>
      <c r="H8521" t="s">
        <v>20454</v>
      </c>
    </row>
    <row r="8522" spans="6:8">
      <c r="F8522" t="s">
        <v>11951</v>
      </c>
      <c r="G8522" t="s">
        <v>16192</v>
      </c>
      <c r="H8522" t="s">
        <v>20454</v>
      </c>
    </row>
    <row r="8523" spans="6:8">
      <c r="F8523" t="s">
        <v>11952</v>
      </c>
      <c r="G8523" t="s">
        <v>16193</v>
      </c>
      <c r="H8523" t="s">
        <v>20454</v>
      </c>
    </row>
    <row r="8524" spans="6:8">
      <c r="F8524" t="s">
        <v>11953</v>
      </c>
      <c r="G8524" t="s">
        <v>16194</v>
      </c>
      <c r="H8524" t="s">
        <v>20454</v>
      </c>
    </row>
    <row r="8525" spans="6:8">
      <c r="F8525" t="s">
        <v>11954</v>
      </c>
      <c r="G8525" t="s">
        <v>16195</v>
      </c>
      <c r="H8525" t="s">
        <v>20454</v>
      </c>
    </row>
    <row r="8526" spans="6:8">
      <c r="F8526" t="s">
        <v>11955</v>
      </c>
      <c r="G8526" t="s">
        <v>16196</v>
      </c>
      <c r="H8526" t="s">
        <v>20454</v>
      </c>
    </row>
    <row r="8527" spans="6:8">
      <c r="F8527" t="s">
        <v>11956</v>
      </c>
      <c r="G8527" t="s">
        <v>16197</v>
      </c>
      <c r="H8527" t="s">
        <v>20454</v>
      </c>
    </row>
    <row r="8528" spans="6:8">
      <c r="F8528" t="s">
        <v>11957</v>
      </c>
      <c r="G8528" t="s">
        <v>16198</v>
      </c>
      <c r="H8528" t="s">
        <v>20454</v>
      </c>
    </row>
    <row r="8529" spans="6:8">
      <c r="F8529" t="s">
        <v>11958</v>
      </c>
      <c r="G8529" t="s">
        <v>16199</v>
      </c>
      <c r="H8529" t="s">
        <v>20454</v>
      </c>
    </row>
    <row r="8530" spans="6:8">
      <c r="F8530" t="s">
        <v>11959</v>
      </c>
      <c r="G8530" t="s">
        <v>16200</v>
      </c>
      <c r="H8530" t="s">
        <v>20454</v>
      </c>
    </row>
    <row r="8531" spans="6:8">
      <c r="F8531" t="s">
        <v>11960</v>
      </c>
      <c r="G8531" t="s">
        <v>16201</v>
      </c>
      <c r="H8531" t="s">
        <v>20454</v>
      </c>
    </row>
    <row r="8532" spans="6:8">
      <c r="F8532" t="s">
        <v>11961</v>
      </c>
      <c r="G8532" t="s">
        <v>16202</v>
      </c>
      <c r="H8532" t="s">
        <v>20454</v>
      </c>
    </row>
    <row r="8533" spans="6:8">
      <c r="F8533" t="s">
        <v>11962</v>
      </c>
      <c r="G8533" t="s">
        <v>16203</v>
      </c>
      <c r="H8533" t="s">
        <v>20454</v>
      </c>
    </row>
    <row r="8534" spans="6:8">
      <c r="F8534" t="s">
        <v>11963</v>
      </c>
      <c r="G8534" t="s">
        <v>16204</v>
      </c>
      <c r="H8534" t="s">
        <v>20454</v>
      </c>
    </row>
    <row r="8535" spans="6:8">
      <c r="F8535" t="s">
        <v>11964</v>
      </c>
      <c r="G8535" t="s">
        <v>16205</v>
      </c>
      <c r="H8535" t="s">
        <v>20454</v>
      </c>
    </row>
    <row r="8536" spans="6:8">
      <c r="F8536" t="s">
        <v>11965</v>
      </c>
      <c r="G8536" t="s">
        <v>16206</v>
      </c>
      <c r="H8536" t="s">
        <v>20454</v>
      </c>
    </row>
    <row r="8537" spans="6:8">
      <c r="F8537" t="s">
        <v>11966</v>
      </c>
      <c r="G8537" t="s">
        <v>16207</v>
      </c>
      <c r="H8537" t="s">
        <v>20454</v>
      </c>
    </row>
    <row r="8538" spans="6:8">
      <c r="F8538" t="s">
        <v>11967</v>
      </c>
      <c r="G8538" t="s">
        <v>16208</v>
      </c>
      <c r="H8538" t="s">
        <v>20454</v>
      </c>
    </row>
    <row r="8539" spans="6:8">
      <c r="F8539" t="s">
        <v>11968</v>
      </c>
      <c r="G8539" t="s">
        <v>16209</v>
      </c>
      <c r="H8539" t="s">
        <v>20454</v>
      </c>
    </row>
    <row r="8540" spans="6:8">
      <c r="F8540" t="s">
        <v>11969</v>
      </c>
      <c r="G8540" t="s">
        <v>16210</v>
      </c>
      <c r="H8540" t="s">
        <v>20454</v>
      </c>
    </row>
    <row r="8541" spans="6:8">
      <c r="F8541" t="s">
        <v>11970</v>
      </c>
      <c r="G8541" t="s">
        <v>16211</v>
      </c>
      <c r="H8541" t="s">
        <v>20454</v>
      </c>
    </row>
    <row r="8542" spans="6:8">
      <c r="F8542" t="s">
        <v>11971</v>
      </c>
      <c r="G8542" t="s">
        <v>16212</v>
      </c>
      <c r="H8542" t="s">
        <v>20454</v>
      </c>
    </row>
    <row r="8543" spans="6:8">
      <c r="F8543" t="s">
        <v>11972</v>
      </c>
      <c r="G8543" t="s">
        <v>16213</v>
      </c>
      <c r="H8543" t="s">
        <v>20454</v>
      </c>
    </row>
    <row r="8544" spans="6:8">
      <c r="F8544" t="s">
        <v>11973</v>
      </c>
      <c r="G8544" t="s">
        <v>16214</v>
      </c>
      <c r="H8544" t="s">
        <v>20454</v>
      </c>
    </row>
    <row r="8545" spans="6:8">
      <c r="F8545" t="s">
        <v>11974</v>
      </c>
      <c r="G8545" t="s">
        <v>16215</v>
      </c>
      <c r="H8545" t="s">
        <v>20454</v>
      </c>
    </row>
    <row r="8546" spans="6:8">
      <c r="F8546" t="s">
        <v>11975</v>
      </c>
      <c r="G8546" t="s">
        <v>16216</v>
      </c>
      <c r="H8546" t="s">
        <v>20454</v>
      </c>
    </row>
    <row r="8547" spans="6:8">
      <c r="F8547" t="s">
        <v>11976</v>
      </c>
      <c r="G8547" t="s">
        <v>16217</v>
      </c>
      <c r="H8547" t="s">
        <v>20454</v>
      </c>
    </row>
    <row r="8548" spans="6:8">
      <c r="F8548" t="s">
        <v>11977</v>
      </c>
      <c r="G8548" t="s">
        <v>16218</v>
      </c>
      <c r="H8548" t="s">
        <v>20454</v>
      </c>
    </row>
    <row r="8549" spans="6:8">
      <c r="F8549" t="s">
        <v>11978</v>
      </c>
      <c r="G8549" t="s">
        <v>16219</v>
      </c>
      <c r="H8549" t="s">
        <v>20454</v>
      </c>
    </row>
    <row r="8550" spans="6:8">
      <c r="F8550" t="s">
        <v>11979</v>
      </c>
      <c r="G8550" t="s">
        <v>16220</v>
      </c>
      <c r="H8550" t="s">
        <v>20454</v>
      </c>
    </row>
    <row r="8551" spans="6:8">
      <c r="F8551" t="s">
        <v>11980</v>
      </c>
      <c r="G8551" t="s">
        <v>16221</v>
      </c>
      <c r="H8551" t="s">
        <v>20454</v>
      </c>
    </row>
    <row r="8552" spans="6:8">
      <c r="F8552" t="s">
        <v>11981</v>
      </c>
      <c r="G8552" t="s">
        <v>16222</v>
      </c>
      <c r="H8552" t="s">
        <v>20454</v>
      </c>
    </row>
    <row r="8553" spans="6:8">
      <c r="F8553" t="s">
        <v>11982</v>
      </c>
      <c r="G8553" t="s">
        <v>16223</v>
      </c>
      <c r="H8553" t="s">
        <v>20454</v>
      </c>
    </row>
    <row r="8554" spans="6:8">
      <c r="F8554" t="s">
        <v>11983</v>
      </c>
      <c r="G8554" t="s">
        <v>16224</v>
      </c>
      <c r="H8554" t="s">
        <v>20454</v>
      </c>
    </row>
    <row r="8555" spans="6:8">
      <c r="F8555" t="s">
        <v>11984</v>
      </c>
      <c r="G8555" t="s">
        <v>16225</v>
      </c>
      <c r="H8555" t="s">
        <v>20454</v>
      </c>
    </row>
    <row r="8556" spans="6:8">
      <c r="F8556" t="s">
        <v>11985</v>
      </c>
      <c r="G8556" t="s">
        <v>16226</v>
      </c>
      <c r="H8556" t="s">
        <v>20454</v>
      </c>
    </row>
    <row r="8557" spans="6:8">
      <c r="F8557" t="s">
        <v>11986</v>
      </c>
      <c r="G8557" t="s">
        <v>16227</v>
      </c>
      <c r="H8557" t="s">
        <v>20454</v>
      </c>
    </row>
    <row r="8558" spans="6:8">
      <c r="F8558" t="s">
        <v>11987</v>
      </c>
      <c r="G8558" t="s">
        <v>16228</v>
      </c>
      <c r="H8558" t="s">
        <v>20454</v>
      </c>
    </row>
    <row r="8559" spans="6:8">
      <c r="F8559" t="s">
        <v>11988</v>
      </c>
      <c r="G8559" t="s">
        <v>16229</v>
      </c>
      <c r="H8559" t="s">
        <v>20454</v>
      </c>
    </row>
    <row r="8560" spans="6:8">
      <c r="F8560" t="s">
        <v>11989</v>
      </c>
      <c r="G8560" t="s">
        <v>16230</v>
      </c>
      <c r="H8560" t="s">
        <v>20454</v>
      </c>
    </row>
    <row r="8561" spans="6:8">
      <c r="F8561" t="s">
        <v>11990</v>
      </c>
      <c r="G8561" t="s">
        <v>16231</v>
      </c>
      <c r="H8561" t="s">
        <v>20454</v>
      </c>
    </row>
    <row r="8562" spans="6:8">
      <c r="F8562" t="s">
        <v>11991</v>
      </c>
      <c r="G8562" t="s">
        <v>16232</v>
      </c>
      <c r="H8562" t="s">
        <v>20454</v>
      </c>
    </row>
    <row r="8563" spans="6:8">
      <c r="F8563" t="s">
        <v>11992</v>
      </c>
      <c r="G8563" t="s">
        <v>16233</v>
      </c>
      <c r="H8563" t="s">
        <v>20454</v>
      </c>
    </row>
    <row r="8564" spans="6:8">
      <c r="F8564" t="s">
        <v>11993</v>
      </c>
      <c r="G8564" t="s">
        <v>16234</v>
      </c>
      <c r="H8564" t="s">
        <v>20454</v>
      </c>
    </row>
    <row r="8565" spans="6:8">
      <c r="F8565" t="s">
        <v>11994</v>
      </c>
      <c r="G8565" t="s">
        <v>16235</v>
      </c>
      <c r="H8565" t="s">
        <v>20454</v>
      </c>
    </row>
    <row r="8566" spans="6:8">
      <c r="F8566" t="s">
        <v>11995</v>
      </c>
      <c r="G8566" t="s">
        <v>16236</v>
      </c>
      <c r="H8566" t="s">
        <v>20454</v>
      </c>
    </row>
    <row r="8567" spans="6:8">
      <c r="F8567" t="s">
        <v>11996</v>
      </c>
      <c r="G8567" t="s">
        <v>16237</v>
      </c>
      <c r="H8567" t="s">
        <v>20454</v>
      </c>
    </row>
    <row r="8568" spans="6:8">
      <c r="F8568" t="s">
        <v>11997</v>
      </c>
      <c r="G8568" t="s">
        <v>16238</v>
      </c>
      <c r="H8568" t="s">
        <v>20454</v>
      </c>
    </row>
    <row r="8569" spans="6:8">
      <c r="F8569" t="s">
        <v>11998</v>
      </c>
      <c r="G8569" t="s">
        <v>16239</v>
      </c>
      <c r="H8569" t="s">
        <v>20454</v>
      </c>
    </row>
    <row r="8570" spans="6:8">
      <c r="F8570" t="s">
        <v>11999</v>
      </c>
      <c r="G8570" t="s">
        <v>16240</v>
      </c>
      <c r="H8570" t="s">
        <v>20454</v>
      </c>
    </row>
    <row r="8571" spans="6:8">
      <c r="F8571" t="s">
        <v>12000</v>
      </c>
      <c r="G8571" t="s">
        <v>16241</v>
      </c>
      <c r="H8571" t="s">
        <v>20454</v>
      </c>
    </row>
    <row r="8572" spans="6:8">
      <c r="F8572" t="s">
        <v>12001</v>
      </c>
      <c r="G8572" t="s">
        <v>16242</v>
      </c>
      <c r="H8572" t="s">
        <v>20454</v>
      </c>
    </row>
    <row r="8573" spans="6:8">
      <c r="F8573" t="s">
        <v>12002</v>
      </c>
      <c r="G8573" t="s">
        <v>16243</v>
      </c>
      <c r="H8573" t="s">
        <v>20454</v>
      </c>
    </row>
    <row r="8574" spans="6:8">
      <c r="F8574" t="s">
        <v>12003</v>
      </c>
      <c r="G8574" t="s">
        <v>16244</v>
      </c>
      <c r="H8574" t="s">
        <v>20454</v>
      </c>
    </row>
    <row r="8575" spans="6:8">
      <c r="F8575" t="s">
        <v>12004</v>
      </c>
      <c r="G8575" t="s">
        <v>16245</v>
      </c>
      <c r="H8575" t="s">
        <v>20454</v>
      </c>
    </row>
    <row r="8576" spans="6:8">
      <c r="F8576" t="s">
        <v>12005</v>
      </c>
      <c r="G8576" t="s">
        <v>16246</v>
      </c>
      <c r="H8576" t="s">
        <v>20454</v>
      </c>
    </row>
    <row r="8577" spans="6:8">
      <c r="F8577" t="s">
        <v>12006</v>
      </c>
      <c r="G8577" t="s">
        <v>16247</v>
      </c>
      <c r="H8577" t="s">
        <v>20454</v>
      </c>
    </row>
    <row r="8578" spans="6:8">
      <c r="F8578" t="s">
        <v>12007</v>
      </c>
      <c r="G8578" t="s">
        <v>16248</v>
      </c>
      <c r="H8578" t="s">
        <v>20454</v>
      </c>
    </row>
    <row r="8579" spans="6:8">
      <c r="F8579" t="s">
        <v>12008</v>
      </c>
      <c r="G8579" t="s">
        <v>16249</v>
      </c>
      <c r="H8579" t="s">
        <v>20454</v>
      </c>
    </row>
    <row r="8580" spans="6:8">
      <c r="F8580" t="s">
        <v>12009</v>
      </c>
      <c r="G8580" t="s">
        <v>16250</v>
      </c>
      <c r="H8580" t="s">
        <v>20454</v>
      </c>
    </row>
    <row r="8581" spans="6:8">
      <c r="F8581" t="s">
        <v>12010</v>
      </c>
      <c r="G8581" t="s">
        <v>16251</v>
      </c>
      <c r="H8581" t="s">
        <v>20454</v>
      </c>
    </row>
    <row r="8582" spans="6:8">
      <c r="F8582" t="s">
        <v>12011</v>
      </c>
      <c r="G8582" t="s">
        <v>16252</v>
      </c>
      <c r="H8582" t="s">
        <v>20454</v>
      </c>
    </row>
    <row r="8583" spans="6:8">
      <c r="F8583" t="s">
        <v>12012</v>
      </c>
      <c r="G8583" t="s">
        <v>16253</v>
      </c>
      <c r="H8583" t="s">
        <v>20454</v>
      </c>
    </row>
    <row r="8584" spans="6:8">
      <c r="F8584" t="s">
        <v>12013</v>
      </c>
      <c r="G8584" t="s">
        <v>16254</v>
      </c>
      <c r="H8584" t="s">
        <v>20454</v>
      </c>
    </row>
    <row r="8585" spans="6:8">
      <c r="F8585" t="s">
        <v>12014</v>
      </c>
      <c r="G8585" t="s">
        <v>16255</v>
      </c>
      <c r="H8585" t="s">
        <v>20454</v>
      </c>
    </row>
    <row r="8586" spans="6:8">
      <c r="F8586" t="s">
        <v>12015</v>
      </c>
      <c r="G8586" t="s">
        <v>16256</v>
      </c>
      <c r="H8586" t="s">
        <v>20454</v>
      </c>
    </row>
    <row r="8587" spans="6:8">
      <c r="F8587" t="s">
        <v>12016</v>
      </c>
      <c r="G8587" t="s">
        <v>16257</v>
      </c>
      <c r="H8587" t="s">
        <v>20454</v>
      </c>
    </row>
    <row r="8588" spans="6:8">
      <c r="F8588" t="s">
        <v>12017</v>
      </c>
      <c r="G8588" t="s">
        <v>16258</v>
      </c>
      <c r="H8588" t="s">
        <v>20454</v>
      </c>
    </row>
    <row r="8589" spans="6:8">
      <c r="F8589" t="s">
        <v>12018</v>
      </c>
      <c r="G8589" t="s">
        <v>16259</v>
      </c>
      <c r="H8589" t="s">
        <v>20454</v>
      </c>
    </row>
    <row r="8590" spans="6:8">
      <c r="F8590" t="s">
        <v>12019</v>
      </c>
      <c r="G8590" t="s">
        <v>16260</v>
      </c>
      <c r="H8590" t="s">
        <v>20454</v>
      </c>
    </row>
    <row r="8591" spans="6:8">
      <c r="F8591" t="s">
        <v>12020</v>
      </c>
      <c r="G8591" t="s">
        <v>16261</v>
      </c>
      <c r="H8591" t="s">
        <v>20454</v>
      </c>
    </row>
    <row r="8592" spans="6:8">
      <c r="F8592" t="s">
        <v>12021</v>
      </c>
      <c r="G8592" t="s">
        <v>16262</v>
      </c>
      <c r="H8592" t="s">
        <v>20454</v>
      </c>
    </row>
    <row r="8593" spans="6:8">
      <c r="F8593" t="s">
        <v>12022</v>
      </c>
      <c r="G8593" t="s">
        <v>16263</v>
      </c>
      <c r="H8593" t="s">
        <v>20454</v>
      </c>
    </row>
    <row r="8594" spans="6:8">
      <c r="F8594" t="s">
        <v>12023</v>
      </c>
      <c r="G8594" t="s">
        <v>16264</v>
      </c>
      <c r="H8594" t="s">
        <v>20454</v>
      </c>
    </row>
    <row r="8595" spans="6:8">
      <c r="F8595" t="s">
        <v>12024</v>
      </c>
      <c r="G8595" t="s">
        <v>16265</v>
      </c>
      <c r="H8595" t="s">
        <v>20454</v>
      </c>
    </row>
    <row r="8596" spans="6:8">
      <c r="F8596" t="s">
        <v>12025</v>
      </c>
      <c r="G8596" t="s">
        <v>16266</v>
      </c>
      <c r="H8596" t="s">
        <v>20454</v>
      </c>
    </row>
    <row r="8597" spans="6:8">
      <c r="F8597" t="s">
        <v>12026</v>
      </c>
      <c r="G8597" t="s">
        <v>16267</v>
      </c>
      <c r="H8597" t="s">
        <v>20454</v>
      </c>
    </row>
    <row r="8598" spans="6:8">
      <c r="F8598" t="s">
        <v>12027</v>
      </c>
      <c r="G8598" t="s">
        <v>16268</v>
      </c>
      <c r="H8598" t="s">
        <v>20454</v>
      </c>
    </row>
    <row r="8599" spans="6:8">
      <c r="F8599" t="s">
        <v>12028</v>
      </c>
      <c r="G8599" t="s">
        <v>16269</v>
      </c>
      <c r="H8599" t="s">
        <v>20454</v>
      </c>
    </row>
    <row r="8600" spans="6:8">
      <c r="F8600" t="s">
        <v>12029</v>
      </c>
      <c r="G8600" t="s">
        <v>16270</v>
      </c>
      <c r="H8600" t="s">
        <v>20454</v>
      </c>
    </row>
    <row r="8601" spans="6:8">
      <c r="F8601" t="s">
        <v>12030</v>
      </c>
      <c r="G8601" t="s">
        <v>16271</v>
      </c>
      <c r="H8601" t="s">
        <v>20454</v>
      </c>
    </row>
    <row r="8602" spans="6:8">
      <c r="F8602" t="s">
        <v>12031</v>
      </c>
      <c r="G8602" t="s">
        <v>16272</v>
      </c>
      <c r="H8602" t="s">
        <v>20454</v>
      </c>
    </row>
    <row r="8603" spans="6:8">
      <c r="F8603" t="s">
        <v>12032</v>
      </c>
      <c r="G8603" t="s">
        <v>16273</v>
      </c>
      <c r="H8603" t="s">
        <v>20454</v>
      </c>
    </row>
    <row r="8604" spans="6:8">
      <c r="F8604" t="s">
        <v>12033</v>
      </c>
      <c r="G8604" t="s">
        <v>16274</v>
      </c>
      <c r="H8604" t="s">
        <v>20454</v>
      </c>
    </row>
    <row r="8605" spans="6:8">
      <c r="F8605" t="s">
        <v>12034</v>
      </c>
      <c r="G8605" t="s">
        <v>16275</v>
      </c>
      <c r="H8605" t="s">
        <v>20454</v>
      </c>
    </row>
    <row r="8606" spans="6:8">
      <c r="F8606" t="s">
        <v>12035</v>
      </c>
      <c r="G8606" t="s">
        <v>16276</v>
      </c>
      <c r="H8606" t="s">
        <v>20454</v>
      </c>
    </row>
    <row r="8607" spans="6:8">
      <c r="F8607" t="s">
        <v>12036</v>
      </c>
      <c r="G8607" t="s">
        <v>16277</v>
      </c>
      <c r="H8607" t="s">
        <v>20454</v>
      </c>
    </row>
    <row r="8608" spans="6:8">
      <c r="F8608" t="s">
        <v>12037</v>
      </c>
      <c r="G8608" t="s">
        <v>16278</v>
      </c>
      <c r="H8608" t="s">
        <v>20454</v>
      </c>
    </row>
    <row r="8609" spans="6:8">
      <c r="F8609" t="s">
        <v>12038</v>
      </c>
      <c r="G8609" t="s">
        <v>16279</v>
      </c>
      <c r="H8609" t="s">
        <v>20454</v>
      </c>
    </row>
    <row r="8610" spans="6:8">
      <c r="F8610" t="s">
        <v>12039</v>
      </c>
      <c r="G8610" t="s">
        <v>16280</v>
      </c>
      <c r="H8610" t="s">
        <v>20454</v>
      </c>
    </row>
    <row r="8611" spans="6:8">
      <c r="F8611" t="s">
        <v>12040</v>
      </c>
      <c r="G8611" t="s">
        <v>16281</v>
      </c>
      <c r="H8611" t="s">
        <v>20454</v>
      </c>
    </row>
    <row r="8612" spans="6:8">
      <c r="F8612" t="s">
        <v>12041</v>
      </c>
      <c r="G8612" t="s">
        <v>16282</v>
      </c>
      <c r="H8612" t="s">
        <v>20454</v>
      </c>
    </row>
    <row r="8613" spans="6:8">
      <c r="F8613" t="s">
        <v>12042</v>
      </c>
      <c r="G8613" t="s">
        <v>16283</v>
      </c>
      <c r="H8613" t="s">
        <v>20454</v>
      </c>
    </row>
    <row r="8614" spans="6:8">
      <c r="F8614" t="s">
        <v>12043</v>
      </c>
      <c r="G8614" t="s">
        <v>16284</v>
      </c>
      <c r="H8614" t="s">
        <v>20454</v>
      </c>
    </row>
    <row r="8615" spans="6:8">
      <c r="F8615" t="s">
        <v>12044</v>
      </c>
      <c r="G8615" t="s">
        <v>16285</v>
      </c>
      <c r="H8615" t="s">
        <v>20454</v>
      </c>
    </row>
    <row r="8616" spans="6:8">
      <c r="F8616" t="s">
        <v>12045</v>
      </c>
      <c r="G8616" t="s">
        <v>16286</v>
      </c>
      <c r="H8616" t="s">
        <v>20454</v>
      </c>
    </row>
    <row r="8617" spans="6:8">
      <c r="F8617" t="s">
        <v>12046</v>
      </c>
      <c r="G8617" t="s">
        <v>16287</v>
      </c>
      <c r="H8617" t="s">
        <v>20454</v>
      </c>
    </row>
    <row r="8618" spans="6:8">
      <c r="F8618" t="s">
        <v>12047</v>
      </c>
      <c r="G8618" t="s">
        <v>16288</v>
      </c>
      <c r="H8618" t="s">
        <v>20454</v>
      </c>
    </row>
    <row r="8619" spans="6:8">
      <c r="F8619" t="s">
        <v>12048</v>
      </c>
      <c r="G8619" t="s">
        <v>16289</v>
      </c>
      <c r="H8619" t="s">
        <v>20454</v>
      </c>
    </row>
    <row r="8620" spans="6:8">
      <c r="F8620" t="s">
        <v>12049</v>
      </c>
      <c r="G8620" t="s">
        <v>16290</v>
      </c>
      <c r="H8620" t="s">
        <v>20454</v>
      </c>
    </row>
    <row r="8621" spans="6:8">
      <c r="F8621" t="s">
        <v>12050</v>
      </c>
      <c r="G8621" t="s">
        <v>16291</v>
      </c>
      <c r="H8621" t="s">
        <v>20454</v>
      </c>
    </row>
    <row r="8622" spans="6:8">
      <c r="F8622" t="s">
        <v>12051</v>
      </c>
      <c r="G8622" t="s">
        <v>16292</v>
      </c>
      <c r="H8622" t="s">
        <v>20454</v>
      </c>
    </row>
    <row r="8623" spans="6:8">
      <c r="F8623" t="s">
        <v>12052</v>
      </c>
      <c r="G8623" t="s">
        <v>16293</v>
      </c>
      <c r="H8623" t="s">
        <v>20454</v>
      </c>
    </row>
    <row r="8624" spans="6:8">
      <c r="F8624" t="s">
        <v>12053</v>
      </c>
      <c r="G8624" t="s">
        <v>16294</v>
      </c>
      <c r="H8624" t="s">
        <v>20454</v>
      </c>
    </row>
    <row r="8625" spans="6:8">
      <c r="F8625" t="s">
        <v>12054</v>
      </c>
      <c r="G8625" t="s">
        <v>16295</v>
      </c>
      <c r="H8625" t="s">
        <v>20454</v>
      </c>
    </row>
    <row r="8626" spans="6:8">
      <c r="F8626" t="s">
        <v>12055</v>
      </c>
      <c r="G8626" t="s">
        <v>16296</v>
      </c>
      <c r="H8626" t="s">
        <v>20454</v>
      </c>
    </row>
    <row r="8627" spans="6:8">
      <c r="F8627" t="s">
        <v>12056</v>
      </c>
      <c r="G8627" t="s">
        <v>16297</v>
      </c>
      <c r="H8627" t="s">
        <v>20454</v>
      </c>
    </row>
    <row r="8628" spans="6:8">
      <c r="F8628" t="s">
        <v>12057</v>
      </c>
      <c r="G8628" t="s">
        <v>16298</v>
      </c>
      <c r="H8628" t="s">
        <v>20454</v>
      </c>
    </row>
    <row r="8629" spans="6:8">
      <c r="F8629" t="s">
        <v>12058</v>
      </c>
      <c r="G8629" t="s">
        <v>16299</v>
      </c>
      <c r="H8629" t="s">
        <v>20454</v>
      </c>
    </row>
    <row r="8630" spans="6:8">
      <c r="F8630" t="s">
        <v>12059</v>
      </c>
      <c r="G8630" t="s">
        <v>16300</v>
      </c>
      <c r="H8630" t="s">
        <v>20454</v>
      </c>
    </row>
    <row r="8631" spans="6:8">
      <c r="F8631" t="s">
        <v>12060</v>
      </c>
      <c r="G8631" t="s">
        <v>16301</v>
      </c>
      <c r="H8631" t="s">
        <v>20454</v>
      </c>
    </row>
    <row r="8632" spans="6:8">
      <c r="F8632" t="s">
        <v>12061</v>
      </c>
      <c r="G8632" t="s">
        <v>16302</v>
      </c>
      <c r="H8632" t="s">
        <v>20454</v>
      </c>
    </row>
    <row r="8633" spans="6:8">
      <c r="F8633" t="s">
        <v>12062</v>
      </c>
      <c r="G8633" t="s">
        <v>16303</v>
      </c>
      <c r="H8633" t="s">
        <v>20454</v>
      </c>
    </row>
    <row r="8634" spans="6:8">
      <c r="F8634" t="s">
        <v>12063</v>
      </c>
      <c r="G8634" t="s">
        <v>16304</v>
      </c>
      <c r="H8634" t="s">
        <v>20454</v>
      </c>
    </row>
    <row r="8635" spans="6:8">
      <c r="F8635" t="s">
        <v>12064</v>
      </c>
      <c r="G8635" t="s">
        <v>16305</v>
      </c>
      <c r="H8635" t="s">
        <v>20454</v>
      </c>
    </row>
    <row r="8636" spans="6:8">
      <c r="F8636" t="s">
        <v>12065</v>
      </c>
      <c r="G8636" t="s">
        <v>16306</v>
      </c>
      <c r="H8636" t="s">
        <v>20454</v>
      </c>
    </row>
    <row r="8637" spans="6:8">
      <c r="F8637" t="s">
        <v>12066</v>
      </c>
      <c r="G8637" t="s">
        <v>16307</v>
      </c>
      <c r="H8637" t="s">
        <v>20454</v>
      </c>
    </row>
    <row r="8638" spans="6:8">
      <c r="F8638" t="s">
        <v>12067</v>
      </c>
      <c r="G8638" t="s">
        <v>16308</v>
      </c>
      <c r="H8638" t="s">
        <v>20454</v>
      </c>
    </row>
    <row r="8639" spans="6:8">
      <c r="F8639" t="s">
        <v>12068</v>
      </c>
      <c r="G8639" t="s">
        <v>16309</v>
      </c>
      <c r="H8639" t="s">
        <v>20454</v>
      </c>
    </row>
    <row r="8640" spans="6:8">
      <c r="F8640" t="s">
        <v>12069</v>
      </c>
      <c r="G8640" t="s">
        <v>16310</v>
      </c>
      <c r="H8640" t="s">
        <v>20454</v>
      </c>
    </row>
    <row r="8641" spans="6:8">
      <c r="F8641" t="s">
        <v>12070</v>
      </c>
      <c r="G8641" t="s">
        <v>16311</v>
      </c>
      <c r="H8641" t="s">
        <v>20454</v>
      </c>
    </row>
    <row r="8642" spans="6:8">
      <c r="F8642" t="s">
        <v>12071</v>
      </c>
      <c r="G8642" t="s">
        <v>16312</v>
      </c>
      <c r="H8642" t="s">
        <v>20454</v>
      </c>
    </row>
    <row r="8643" spans="6:8">
      <c r="F8643" t="s">
        <v>12072</v>
      </c>
      <c r="G8643" t="s">
        <v>16313</v>
      </c>
      <c r="H8643" t="s">
        <v>20454</v>
      </c>
    </row>
    <row r="8644" spans="6:8">
      <c r="F8644" t="s">
        <v>12073</v>
      </c>
      <c r="G8644" t="s">
        <v>16314</v>
      </c>
      <c r="H8644" t="s">
        <v>20454</v>
      </c>
    </row>
    <row r="8645" spans="6:8">
      <c r="F8645" t="s">
        <v>12074</v>
      </c>
      <c r="G8645" t="s">
        <v>16315</v>
      </c>
      <c r="H8645" t="s">
        <v>20454</v>
      </c>
    </row>
    <row r="8646" spans="6:8">
      <c r="F8646" t="s">
        <v>12075</v>
      </c>
      <c r="G8646" t="s">
        <v>16316</v>
      </c>
      <c r="H8646" t="s">
        <v>20454</v>
      </c>
    </row>
    <row r="8647" spans="6:8">
      <c r="F8647" t="s">
        <v>12076</v>
      </c>
      <c r="G8647" t="s">
        <v>16317</v>
      </c>
      <c r="H8647" t="s">
        <v>20454</v>
      </c>
    </row>
    <row r="8648" spans="6:8">
      <c r="F8648" t="s">
        <v>12077</v>
      </c>
      <c r="G8648" t="s">
        <v>16318</v>
      </c>
      <c r="H8648" t="s">
        <v>20454</v>
      </c>
    </row>
    <row r="8649" spans="6:8">
      <c r="F8649" t="s">
        <v>12078</v>
      </c>
      <c r="G8649" t="s">
        <v>16319</v>
      </c>
      <c r="H8649" t="s">
        <v>20454</v>
      </c>
    </row>
    <row r="8650" spans="6:8">
      <c r="F8650" t="s">
        <v>12079</v>
      </c>
      <c r="G8650" t="s">
        <v>16320</v>
      </c>
      <c r="H8650" t="s">
        <v>20454</v>
      </c>
    </row>
    <row r="8651" spans="6:8">
      <c r="F8651" t="s">
        <v>12080</v>
      </c>
      <c r="G8651" t="s">
        <v>16321</v>
      </c>
      <c r="H8651" t="s">
        <v>20454</v>
      </c>
    </row>
    <row r="8652" spans="6:8">
      <c r="F8652" t="s">
        <v>12081</v>
      </c>
      <c r="G8652" t="s">
        <v>16322</v>
      </c>
      <c r="H8652" t="s">
        <v>20454</v>
      </c>
    </row>
    <row r="8653" spans="6:8">
      <c r="F8653" t="s">
        <v>12082</v>
      </c>
      <c r="G8653" t="s">
        <v>16323</v>
      </c>
      <c r="H8653" t="s">
        <v>20454</v>
      </c>
    </row>
    <row r="8654" spans="6:8">
      <c r="F8654" t="s">
        <v>12083</v>
      </c>
      <c r="G8654" t="s">
        <v>16324</v>
      </c>
      <c r="H8654" t="s">
        <v>20454</v>
      </c>
    </row>
    <row r="8655" spans="6:8">
      <c r="F8655" t="s">
        <v>12084</v>
      </c>
      <c r="G8655" t="s">
        <v>16325</v>
      </c>
      <c r="H8655" t="s">
        <v>20454</v>
      </c>
    </row>
    <row r="8656" spans="6:8">
      <c r="F8656" t="s">
        <v>12085</v>
      </c>
      <c r="G8656" t="s">
        <v>16326</v>
      </c>
      <c r="H8656" t="s">
        <v>20454</v>
      </c>
    </row>
    <row r="8657" spans="6:8">
      <c r="F8657" t="s">
        <v>12086</v>
      </c>
      <c r="G8657" t="s">
        <v>16327</v>
      </c>
      <c r="H8657" t="s">
        <v>20454</v>
      </c>
    </row>
    <row r="8658" spans="6:8">
      <c r="F8658" t="s">
        <v>12087</v>
      </c>
      <c r="G8658" t="s">
        <v>16328</v>
      </c>
      <c r="H8658" t="s">
        <v>20454</v>
      </c>
    </row>
    <row r="8659" spans="6:8">
      <c r="F8659" t="s">
        <v>12088</v>
      </c>
      <c r="G8659" t="s">
        <v>16329</v>
      </c>
      <c r="H8659" t="s">
        <v>20454</v>
      </c>
    </row>
    <row r="8660" spans="6:8">
      <c r="F8660" t="s">
        <v>12089</v>
      </c>
      <c r="G8660" t="s">
        <v>16330</v>
      </c>
      <c r="H8660" t="s">
        <v>20454</v>
      </c>
    </row>
    <row r="8661" spans="6:8">
      <c r="F8661" t="s">
        <v>12090</v>
      </c>
      <c r="G8661" t="s">
        <v>16331</v>
      </c>
      <c r="H8661" t="s">
        <v>20454</v>
      </c>
    </row>
    <row r="8662" spans="6:8">
      <c r="F8662" t="s">
        <v>12091</v>
      </c>
      <c r="G8662" t="s">
        <v>16332</v>
      </c>
      <c r="H8662" t="s">
        <v>20454</v>
      </c>
    </row>
    <row r="8663" spans="6:8">
      <c r="F8663" t="s">
        <v>12092</v>
      </c>
      <c r="G8663" t="s">
        <v>16333</v>
      </c>
      <c r="H8663" t="s">
        <v>20454</v>
      </c>
    </row>
    <row r="8664" spans="6:8">
      <c r="F8664" t="s">
        <v>12093</v>
      </c>
      <c r="G8664" t="s">
        <v>16334</v>
      </c>
      <c r="H8664" t="s">
        <v>20454</v>
      </c>
    </row>
    <row r="8665" spans="6:8">
      <c r="F8665" t="s">
        <v>12094</v>
      </c>
      <c r="G8665" t="s">
        <v>16335</v>
      </c>
      <c r="H8665" t="s">
        <v>20454</v>
      </c>
    </row>
    <row r="8666" spans="6:8">
      <c r="F8666" t="s">
        <v>12095</v>
      </c>
      <c r="G8666" t="s">
        <v>16336</v>
      </c>
      <c r="H8666" t="s">
        <v>20454</v>
      </c>
    </row>
    <row r="8667" spans="6:8">
      <c r="F8667" t="s">
        <v>12096</v>
      </c>
      <c r="G8667" t="s">
        <v>16337</v>
      </c>
      <c r="H8667" t="s">
        <v>20454</v>
      </c>
    </row>
    <row r="8668" spans="6:8">
      <c r="F8668" t="s">
        <v>12097</v>
      </c>
      <c r="G8668" t="s">
        <v>16338</v>
      </c>
      <c r="H8668" t="s">
        <v>20454</v>
      </c>
    </row>
    <row r="8669" spans="6:8">
      <c r="F8669" t="s">
        <v>12098</v>
      </c>
      <c r="G8669" t="s">
        <v>16339</v>
      </c>
      <c r="H8669" t="s">
        <v>20454</v>
      </c>
    </row>
    <row r="8670" spans="6:8">
      <c r="F8670" t="s">
        <v>12099</v>
      </c>
      <c r="G8670" t="s">
        <v>16340</v>
      </c>
      <c r="H8670" t="s">
        <v>20454</v>
      </c>
    </row>
    <row r="8671" spans="6:8">
      <c r="F8671" t="s">
        <v>12100</v>
      </c>
      <c r="G8671" t="s">
        <v>16341</v>
      </c>
      <c r="H8671" t="s">
        <v>20454</v>
      </c>
    </row>
    <row r="8672" spans="6:8">
      <c r="F8672" t="s">
        <v>12101</v>
      </c>
      <c r="G8672" t="s">
        <v>16342</v>
      </c>
      <c r="H8672" t="s">
        <v>20454</v>
      </c>
    </row>
    <row r="8673" spans="6:8">
      <c r="F8673" t="s">
        <v>12102</v>
      </c>
      <c r="G8673" t="s">
        <v>16343</v>
      </c>
      <c r="H8673" t="s">
        <v>20454</v>
      </c>
    </row>
    <row r="8674" spans="6:8">
      <c r="F8674" t="s">
        <v>12103</v>
      </c>
      <c r="G8674" t="s">
        <v>16344</v>
      </c>
      <c r="H8674" t="s">
        <v>20454</v>
      </c>
    </row>
    <row r="8675" spans="6:8">
      <c r="F8675" t="s">
        <v>12104</v>
      </c>
      <c r="G8675" t="s">
        <v>16345</v>
      </c>
      <c r="H8675" t="s">
        <v>20454</v>
      </c>
    </row>
    <row r="8676" spans="6:8">
      <c r="F8676" t="s">
        <v>12105</v>
      </c>
      <c r="G8676" t="s">
        <v>16346</v>
      </c>
      <c r="H8676" t="s">
        <v>20454</v>
      </c>
    </row>
    <row r="8677" spans="6:8">
      <c r="F8677" t="s">
        <v>12106</v>
      </c>
      <c r="G8677" t="s">
        <v>16347</v>
      </c>
      <c r="H8677" t="s">
        <v>20454</v>
      </c>
    </row>
    <row r="8678" spans="6:8">
      <c r="F8678" t="s">
        <v>12107</v>
      </c>
      <c r="G8678" t="s">
        <v>16348</v>
      </c>
      <c r="H8678" t="s">
        <v>20454</v>
      </c>
    </row>
    <row r="8679" spans="6:8">
      <c r="F8679" t="s">
        <v>12108</v>
      </c>
      <c r="G8679" t="s">
        <v>16349</v>
      </c>
      <c r="H8679" t="s">
        <v>20454</v>
      </c>
    </row>
    <row r="8680" spans="6:8">
      <c r="F8680" t="s">
        <v>12109</v>
      </c>
      <c r="G8680" t="s">
        <v>16350</v>
      </c>
      <c r="H8680" t="s">
        <v>20454</v>
      </c>
    </row>
    <row r="8681" spans="6:8">
      <c r="F8681" t="s">
        <v>12110</v>
      </c>
      <c r="G8681" t="s">
        <v>16351</v>
      </c>
      <c r="H8681" t="s">
        <v>20454</v>
      </c>
    </row>
    <row r="8682" spans="6:8">
      <c r="F8682" t="s">
        <v>12111</v>
      </c>
      <c r="G8682" t="s">
        <v>16352</v>
      </c>
      <c r="H8682" t="s">
        <v>20454</v>
      </c>
    </row>
    <row r="8683" spans="6:8">
      <c r="F8683" t="s">
        <v>12112</v>
      </c>
      <c r="G8683" t="s">
        <v>16353</v>
      </c>
      <c r="H8683" t="s">
        <v>20454</v>
      </c>
    </row>
    <row r="8684" spans="6:8">
      <c r="F8684" t="s">
        <v>12113</v>
      </c>
      <c r="G8684" t="s">
        <v>16354</v>
      </c>
      <c r="H8684" t="s">
        <v>20454</v>
      </c>
    </row>
    <row r="8685" spans="6:8">
      <c r="F8685" t="s">
        <v>12114</v>
      </c>
      <c r="G8685" t="s">
        <v>16355</v>
      </c>
      <c r="H8685" t="s">
        <v>20454</v>
      </c>
    </row>
    <row r="8686" spans="6:8">
      <c r="F8686" t="s">
        <v>12115</v>
      </c>
      <c r="G8686" t="s">
        <v>16356</v>
      </c>
      <c r="H8686" t="s">
        <v>20454</v>
      </c>
    </row>
    <row r="8687" spans="6:8">
      <c r="F8687" t="s">
        <v>12116</v>
      </c>
      <c r="G8687" t="s">
        <v>16357</v>
      </c>
      <c r="H8687" t="s">
        <v>20454</v>
      </c>
    </row>
    <row r="8688" spans="6:8">
      <c r="F8688" t="s">
        <v>12117</v>
      </c>
      <c r="G8688" t="s">
        <v>16358</v>
      </c>
      <c r="H8688" t="s">
        <v>20454</v>
      </c>
    </row>
    <row r="8689" spans="6:8">
      <c r="F8689" t="s">
        <v>12118</v>
      </c>
      <c r="G8689" t="s">
        <v>16359</v>
      </c>
      <c r="H8689" t="s">
        <v>20454</v>
      </c>
    </row>
    <row r="8690" spans="6:8">
      <c r="F8690" t="s">
        <v>12119</v>
      </c>
      <c r="G8690" t="s">
        <v>16360</v>
      </c>
      <c r="H8690" t="s">
        <v>20454</v>
      </c>
    </row>
    <row r="8691" spans="6:8">
      <c r="F8691" t="s">
        <v>12120</v>
      </c>
      <c r="G8691" t="s">
        <v>16361</v>
      </c>
      <c r="H8691" t="s">
        <v>20454</v>
      </c>
    </row>
    <row r="8692" spans="6:8">
      <c r="F8692" t="s">
        <v>12121</v>
      </c>
      <c r="G8692" t="s">
        <v>16362</v>
      </c>
      <c r="H8692" t="s">
        <v>20454</v>
      </c>
    </row>
    <row r="8693" spans="6:8">
      <c r="F8693" t="s">
        <v>12122</v>
      </c>
      <c r="G8693" t="s">
        <v>16363</v>
      </c>
      <c r="H8693" t="s">
        <v>20454</v>
      </c>
    </row>
    <row r="8694" spans="6:8">
      <c r="F8694" t="s">
        <v>12123</v>
      </c>
      <c r="G8694" t="s">
        <v>16364</v>
      </c>
      <c r="H8694" t="s">
        <v>20454</v>
      </c>
    </row>
    <row r="8695" spans="6:8">
      <c r="F8695" t="s">
        <v>12124</v>
      </c>
      <c r="G8695" t="s">
        <v>16365</v>
      </c>
      <c r="H8695" t="s">
        <v>20454</v>
      </c>
    </row>
    <row r="8696" spans="6:8">
      <c r="F8696" t="s">
        <v>12125</v>
      </c>
      <c r="G8696" t="s">
        <v>16366</v>
      </c>
      <c r="H8696" t="s">
        <v>20454</v>
      </c>
    </row>
    <row r="8697" spans="6:8">
      <c r="F8697" t="s">
        <v>12126</v>
      </c>
      <c r="G8697" t="s">
        <v>16367</v>
      </c>
      <c r="H8697" t="s">
        <v>20454</v>
      </c>
    </row>
    <row r="8698" spans="6:8">
      <c r="F8698" t="s">
        <v>12127</v>
      </c>
      <c r="G8698" t="s">
        <v>16368</v>
      </c>
      <c r="H8698" t="s">
        <v>20454</v>
      </c>
    </row>
    <row r="8699" spans="6:8">
      <c r="F8699" t="s">
        <v>12128</v>
      </c>
      <c r="G8699" t="s">
        <v>16369</v>
      </c>
      <c r="H8699" t="s">
        <v>20454</v>
      </c>
    </row>
    <row r="8700" spans="6:8">
      <c r="F8700" t="s">
        <v>12129</v>
      </c>
      <c r="G8700" t="s">
        <v>16370</v>
      </c>
      <c r="H8700" t="s">
        <v>20454</v>
      </c>
    </row>
    <row r="8701" spans="6:8">
      <c r="F8701" t="s">
        <v>12130</v>
      </c>
      <c r="G8701" t="s">
        <v>16371</v>
      </c>
      <c r="H8701" t="s">
        <v>20454</v>
      </c>
    </row>
    <row r="8702" spans="6:8">
      <c r="F8702" t="s">
        <v>12131</v>
      </c>
      <c r="G8702" t="s">
        <v>16372</v>
      </c>
      <c r="H8702" t="s">
        <v>20454</v>
      </c>
    </row>
    <row r="8703" spans="6:8">
      <c r="F8703" t="s">
        <v>12132</v>
      </c>
      <c r="G8703" t="s">
        <v>16373</v>
      </c>
      <c r="H8703" t="s">
        <v>20454</v>
      </c>
    </row>
    <row r="8704" spans="6:8">
      <c r="F8704" t="s">
        <v>12133</v>
      </c>
      <c r="G8704" t="s">
        <v>16374</v>
      </c>
      <c r="H8704" t="s">
        <v>20454</v>
      </c>
    </row>
    <row r="8705" spans="6:8">
      <c r="F8705" t="s">
        <v>12134</v>
      </c>
      <c r="G8705" t="s">
        <v>16375</v>
      </c>
      <c r="H8705" t="s">
        <v>20454</v>
      </c>
    </row>
    <row r="8706" spans="6:8">
      <c r="F8706" t="s">
        <v>12135</v>
      </c>
      <c r="G8706" t="s">
        <v>16376</v>
      </c>
      <c r="H8706" t="s">
        <v>20454</v>
      </c>
    </row>
    <row r="8707" spans="6:8">
      <c r="F8707" t="s">
        <v>12136</v>
      </c>
      <c r="G8707" t="s">
        <v>16377</v>
      </c>
      <c r="H8707" t="s">
        <v>20454</v>
      </c>
    </row>
    <row r="8708" spans="6:8">
      <c r="F8708" t="s">
        <v>12137</v>
      </c>
      <c r="G8708" t="s">
        <v>16378</v>
      </c>
      <c r="H8708" t="s">
        <v>20454</v>
      </c>
    </row>
    <row r="8709" spans="6:8">
      <c r="F8709" t="s">
        <v>12138</v>
      </c>
      <c r="G8709" t="s">
        <v>16379</v>
      </c>
      <c r="H8709" t="s">
        <v>20454</v>
      </c>
    </row>
    <row r="8710" spans="6:8">
      <c r="F8710" t="s">
        <v>12139</v>
      </c>
      <c r="G8710" t="s">
        <v>16380</v>
      </c>
      <c r="H8710" t="s">
        <v>20454</v>
      </c>
    </row>
    <row r="8711" spans="6:8">
      <c r="F8711" t="s">
        <v>12140</v>
      </c>
      <c r="G8711" t="s">
        <v>16381</v>
      </c>
      <c r="H8711" t="s">
        <v>20454</v>
      </c>
    </row>
    <row r="8712" spans="6:8">
      <c r="F8712" t="s">
        <v>12141</v>
      </c>
      <c r="G8712" t="s">
        <v>16382</v>
      </c>
      <c r="H8712" t="s">
        <v>20454</v>
      </c>
    </row>
    <row r="8713" spans="6:8">
      <c r="F8713" t="s">
        <v>12142</v>
      </c>
      <c r="G8713" t="s">
        <v>16383</v>
      </c>
      <c r="H8713" t="s">
        <v>20454</v>
      </c>
    </row>
    <row r="8714" spans="6:8">
      <c r="F8714" t="s">
        <v>12143</v>
      </c>
      <c r="G8714" t="s">
        <v>16384</v>
      </c>
      <c r="H8714" t="s">
        <v>20454</v>
      </c>
    </row>
    <row r="8715" spans="6:8">
      <c r="F8715" t="s">
        <v>12144</v>
      </c>
      <c r="G8715" t="s">
        <v>16385</v>
      </c>
      <c r="H8715" t="s">
        <v>20454</v>
      </c>
    </row>
    <row r="8716" spans="6:8">
      <c r="F8716" t="s">
        <v>12145</v>
      </c>
      <c r="G8716" t="s">
        <v>16386</v>
      </c>
      <c r="H8716" t="s">
        <v>20454</v>
      </c>
    </row>
    <row r="8717" spans="6:8">
      <c r="F8717" t="s">
        <v>12146</v>
      </c>
      <c r="G8717" t="s">
        <v>16387</v>
      </c>
      <c r="H8717" t="s">
        <v>20454</v>
      </c>
    </row>
    <row r="8718" spans="6:8">
      <c r="F8718" t="s">
        <v>12147</v>
      </c>
      <c r="G8718" t="s">
        <v>16388</v>
      </c>
      <c r="H8718" t="s">
        <v>20454</v>
      </c>
    </row>
    <row r="8719" spans="6:8">
      <c r="F8719" t="s">
        <v>12148</v>
      </c>
      <c r="G8719" t="s">
        <v>16389</v>
      </c>
      <c r="H8719" t="s">
        <v>20454</v>
      </c>
    </row>
    <row r="8720" spans="6:8">
      <c r="F8720" t="s">
        <v>12149</v>
      </c>
      <c r="G8720" t="s">
        <v>16390</v>
      </c>
      <c r="H8720" t="s">
        <v>20454</v>
      </c>
    </row>
    <row r="8721" spans="1:8">
      <c r="F8721" t="s">
        <v>12150</v>
      </c>
      <c r="G8721" t="s">
        <v>16391</v>
      </c>
      <c r="H8721" t="s">
        <v>20454</v>
      </c>
    </row>
    <row r="8722" spans="1:8">
      <c r="F8722" t="s">
        <v>12151</v>
      </c>
      <c r="G8722" t="s">
        <v>16392</v>
      </c>
      <c r="H8722" t="s">
        <v>20454</v>
      </c>
    </row>
    <row r="8723" spans="1:8">
      <c r="F8723" t="s">
        <v>12152</v>
      </c>
      <c r="G8723" t="s">
        <v>16393</v>
      </c>
      <c r="H8723" t="s">
        <v>20454</v>
      </c>
    </row>
    <row r="8724" spans="1:8">
      <c r="F8724" t="s">
        <v>12153</v>
      </c>
      <c r="G8724" t="s">
        <v>16394</v>
      </c>
      <c r="H8724" t="s">
        <v>20454</v>
      </c>
    </row>
    <row r="8725" spans="1:8">
      <c r="F8725" t="s">
        <v>12154</v>
      </c>
      <c r="G8725" t="s">
        <v>16395</v>
      </c>
      <c r="H8725" t="s">
        <v>20454</v>
      </c>
    </row>
    <row r="8726" spans="1:8">
      <c r="F8726" t="s">
        <v>12155</v>
      </c>
      <c r="G8726" t="s">
        <v>16396</v>
      </c>
      <c r="H8726" t="s">
        <v>20454</v>
      </c>
    </row>
    <row r="8727" spans="1:8">
      <c r="F8727" t="s">
        <v>12156</v>
      </c>
      <c r="G8727" t="s">
        <v>16397</v>
      </c>
      <c r="H8727" t="s">
        <v>20454</v>
      </c>
    </row>
    <row r="8728" spans="1:8">
      <c r="F8728" t="s">
        <v>12157</v>
      </c>
      <c r="G8728" t="s">
        <v>16398</v>
      </c>
      <c r="H8728" t="s">
        <v>20454</v>
      </c>
    </row>
    <row r="8729" spans="1:8">
      <c r="F8729" t="s">
        <v>12158</v>
      </c>
      <c r="G8729" t="s">
        <v>16399</v>
      </c>
      <c r="H8729" t="s">
        <v>20454</v>
      </c>
    </row>
    <row r="8730" spans="1:8">
      <c r="F8730" t="s">
        <v>12159</v>
      </c>
      <c r="G8730" t="s">
        <v>16400</v>
      </c>
      <c r="H8730" t="s">
        <v>20454</v>
      </c>
    </row>
    <row r="8731" spans="1:8">
      <c r="F8731" t="s">
        <v>12160</v>
      </c>
      <c r="G8731" t="s">
        <v>16401</v>
      </c>
      <c r="H8731" t="s">
        <v>20454</v>
      </c>
    </row>
    <row r="8732" spans="1:8">
      <c r="F8732" t="s">
        <v>12161</v>
      </c>
      <c r="G8732" t="s">
        <v>16402</v>
      </c>
      <c r="H8732" t="s">
        <v>20454</v>
      </c>
    </row>
    <row r="8733" spans="1:8">
      <c r="F8733" t="s">
        <v>12162</v>
      </c>
      <c r="G8733" t="s">
        <v>16403</v>
      </c>
      <c r="H8733" t="s">
        <v>20454</v>
      </c>
    </row>
    <row r="8734" spans="1:8">
      <c r="F8734" t="s">
        <v>12163</v>
      </c>
      <c r="G8734" t="s">
        <v>16404</v>
      </c>
      <c r="H8734" t="s">
        <v>20454</v>
      </c>
    </row>
    <row r="8735" spans="1:8">
      <c r="A8735" t="s">
        <v>385</v>
      </c>
      <c r="B8735">
        <f>HYPERLINK("https://android.googlesource.com/platform/cts/+/4e6d45f82b77da6b36998ddf51d628753867d137", "4e6d45f82b77da6b36998ddf51d628753867d137")</f>
        <v>0</v>
      </c>
      <c r="C8735">
        <f>HYPERLINK("https://android.googlesource.com/platform/cts/+/a0296d64c0c18e1a892d0ef770830624a8af0411", "a0296d64c0c18e1a892d0ef770830624a8af0411")</f>
        <v>0</v>
      </c>
      <c r="D8735" t="s">
        <v>4973</v>
      </c>
      <c r="E8735" t="s">
        <v>6179</v>
      </c>
      <c r="F8735" t="s">
        <v>11454</v>
      </c>
      <c r="G8735" t="s">
        <v>15694</v>
      </c>
      <c r="H8735" t="s">
        <v>21135</v>
      </c>
    </row>
    <row r="8736" spans="1:8">
      <c r="A8736" t="s">
        <v>386</v>
      </c>
      <c r="B8736">
        <f>HYPERLINK("https://android.googlesource.com/platform/cts/+/249fe05dbee3fcf67a1fcbb6c5371f833c606450", "249fe05dbee3fcf67a1fcbb6c5371f833c606450")</f>
        <v>0</v>
      </c>
      <c r="C8736">
        <f>HYPERLINK("https://android.googlesource.com/platform/cts/+/355ac7ba6634755553f607c6cce0fb623bea5519", "355ac7ba6634755553f607c6cce0fb623bea5519")</f>
        <v>0</v>
      </c>
      <c r="D8736" t="s">
        <v>4987</v>
      </c>
      <c r="E8736" t="s">
        <v>6180</v>
      </c>
      <c r="F8736" t="s">
        <v>10721</v>
      </c>
      <c r="G8736" t="s">
        <v>15120</v>
      </c>
      <c r="H8736" t="s">
        <v>21137</v>
      </c>
    </row>
    <row r="8737" spans="1:8">
      <c r="H8737" t="s">
        <v>21138</v>
      </c>
    </row>
    <row r="8738" spans="1:8">
      <c r="H8738" t="s">
        <v>21139</v>
      </c>
    </row>
    <row r="8739" spans="1:8">
      <c r="H8739" t="s">
        <v>19213</v>
      </c>
    </row>
    <row r="8740" spans="1:8">
      <c r="F8740" t="s">
        <v>11190</v>
      </c>
      <c r="G8740" t="s">
        <v>15579</v>
      </c>
      <c r="H8740" t="s">
        <v>21141</v>
      </c>
    </row>
    <row r="8741" spans="1:8">
      <c r="F8741" t="s">
        <v>10687</v>
      </c>
      <c r="G8741" t="s">
        <v>15087</v>
      </c>
      <c r="H8741" t="s">
        <v>21142</v>
      </c>
    </row>
    <row r="8742" spans="1:8">
      <c r="A8742" t="s">
        <v>387</v>
      </c>
      <c r="B8742">
        <f>HYPERLINK("https://android.googlesource.com/platform/cts/+/b1677ec3ffc62cc9ca67e57ce0eeefdd63d20c5d", "b1677ec3ffc62cc9ca67e57ce0eeefdd63d20c5d")</f>
        <v>0</v>
      </c>
      <c r="C8742">
        <f>HYPERLINK("https://android.googlesource.com/platform/cts/+/d747becc7c644563f8003a78ffb3442dc61f672b", "d747becc7c644563f8003a78ffb3442dc61f672b")</f>
        <v>0</v>
      </c>
      <c r="D8742" t="s">
        <v>4973</v>
      </c>
      <c r="E8742" t="s">
        <v>6181</v>
      </c>
      <c r="F8742" t="s">
        <v>12164</v>
      </c>
      <c r="G8742" t="s">
        <v>16405</v>
      </c>
      <c r="H8742" t="s">
        <v>21143</v>
      </c>
    </row>
    <row r="8743" spans="1:8">
      <c r="H8743" t="s">
        <v>21144</v>
      </c>
    </row>
    <row r="8744" spans="1:8">
      <c r="H8744" t="s">
        <v>21145</v>
      </c>
    </row>
    <row r="8745" spans="1:8">
      <c r="H8745" t="s">
        <v>21146</v>
      </c>
    </row>
    <row r="8746" spans="1:8">
      <c r="H8746" t="s">
        <v>21147</v>
      </c>
    </row>
    <row r="8747" spans="1:8">
      <c r="H8747" t="s">
        <v>21148</v>
      </c>
    </row>
    <row r="8748" spans="1:8">
      <c r="H8748" t="s">
        <v>21149</v>
      </c>
    </row>
    <row r="8749" spans="1:8">
      <c r="A8749" t="s">
        <v>388</v>
      </c>
      <c r="B8749">
        <f>HYPERLINK("https://android.googlesource.com/platform/cts/+/24428b818f44db5a242b3858bb97a15becad2318", "24428b818f44db5a242b3858bb97a15becad2318")</f>
        <v>0</v>
      </c>
      <c r="C8749">
        <f>HYPERLINK("https://android.googlesource.com/platform/cts/+/640916170fd94f52afc42e116f5086165136785d", "640916170fd94f52afc42e116f5086165136785d")</f>
        <v>0</v>
      </c>
      <c r="D8749" t="s">
        <v>4973</v>
      </c>
      <c r="E8749" t="s">
        <v>6182</v>
      </c>
      <c r="F8749" t="s">
        <v>11454</v>
      </c>
      <c r="G8749" t="s">
        <v>15694</v>
      </c>
      <c r="H8749" t="s">
        <v>21150</v>
      </c>
    </row>
    <row r="8750" spans="1:8">
      <c r="A8750" t="s">
        <v>389</v>
      </c>
      <c r="B8750">
        <f>HYPERLINK("https://android.googlesource.com/platform/cts/+/70d002367c94dae15fe19029f5f8dc13ed5054c0", "70d002367c94dae15fe19029f5f8dc13ed5054c0")</f>
        <v>0</v>
      </c>
      <c r="C8750">
        <f>HYPERLINK("https://android.googlesource.com/platform/cts/+/bdbb8113ca5973ab7c8ea0433a2bd877d15b6d23", "bdbb8113ca5973ab7c8ea0433a2bd877d15b6d23")</f>
        <v>0</v>
      </c>
      <c r="D8750" t="s">
        <v>4973</v>
      </c>
      <c r="E8750" t="s">
        <v>6183</v>
      </c>
      <c r="F8750" t="s">
        <v>12165</v>
      </c>
      <c r="G8750" t="s">
        <v>15676</v>
      </c>
      <c r="H8750" t="s">
        <v>20298</v>
      </c>
    </row>
    <row r="8751" spans="1:8">
      <c r="H8751" t="s">
        <v>20299</v>
      </c>
    </row>
    <row r="8752" spans="1:8">
      <c r="H8752" t="s">
        <v>20300</v>
      </c>
    </row>
    <row r="8753" spans="1:8">
      <c r="H8753" t="s">
        <v>20301</v>
      </c>
    </row>
    <row r="8754" spans="1:8">
      <c r="H8754" t="s">
        <v>20302</v>
      </c>
    </row>
    <row r="8755" spans="1:8">
      <c r="H8755" t="s">
        <v>20303</v>
      </c>
    </row>
    <row r="8756" spans="1:8">
      <c r="A8756" t="s">
        <v>390</v>
      </c>
      <c r="B8756">
        <f>HYPERLINK("https://android.googlesource.com/platform/cts/+/0ed72c72490f37a7d31643b459300e67fd3a5a1b", "0ed72c72490f37a7d31643b459300e67fd3a5a1b")</f>
        <v>0</v>
      </c>
      <c r="C8756">
        <f>HYPERLINK("https://android.googlesource.com/platform/cts/+/eec74668cf14293cd66968b73146cf4471fdfe47", "eec74668cf14293cd66968b73146cf4471fdfe47")</f>
        <v>0</v>
      </c>
      <c r="D8756" t="s">
        <v>4973</v>
      </c>
      <c r="E8756" t="s">
        <v>6184</v>
      </c>
      <c r="F8756" t="s">
        <v>11454</v>
      </c>
      <c r="G8756" t="s">
        <v>15694</v>
      </c>
      <c r="H8756" t="s">
        <v>21151</v>
      </c>
    </row>
    <row r="8757" spans="1:8">
      <c r="H8757" t="s">
        <v>21152</v>
      </c>
    </row>
    <row r="8758" spans="1:8">
      <c r="H8758" t="s">
        <v>21153</v>
      </c>
    </row>
    <row r="8759" spans="1:8">
      <c r="F8759" t="s">
        <v>11455</v>
      </c>
      <c r="G8759" t="s">
        <v>15695</v>
      </c>
      <c r="H8759" t="s">
        <v>21152</v>
      </c>
    </row>
    <row r="8760" spans="1:8">
      <c r="H8760" t="s">
        <v>21153</v>
      </c>
    </row>
    <row r="8761" spans="1:8">
      <c r="A8761" t="s">
        <v>392</v>
      </c>
      <c r="B8761">
        <f>HYPERLINK("https://android.googlesource.com/platform/cts/+/ade195341f22c03b3a1b2f29729bcb3dbca8710a", "ade195341f22c03b3a1b2f29729bcb3dbca8710a")</f>
        <v>0</v>
      </c>
      <c r="C8761">
        <f>HYPERLINK("https://android.googlesource.com/platform/cts/+/8d13f3f8cbf991832117a68053905df1659d71e0", "8d13f3f8cbf991832117a68053905df1659d71e0")</f>
        <v>0</v>
      </c>
      <c r="D8761" t="s">
        <v>4980</v>
      </c>
      <c r="E8761" t="s">
        <v>6186</v>
      </c>
      <c r="F8761" t="s">
        <v>10750</v>
      </c>
      <c r="G8761" t="s">
        <v>15148</v>
      </c>
      <c r="H8761" t="s">
        <v>21156</v>
      </c>
    </row>
    <row r="8762" spans="1:8">
      <c r="H8762" t="s">
        <v>21157</v>
      </c>
    </row>
    <row r="8763" spans="1:8">
      <c r="A8763" t="s">
        <v>393</v>
      </c>
      <c r="B8763">
        <f>HYPERLINK("https://android.googlesource.com/platform/cts/+/2e8627ac963a680c941f8147dca784a8d58a9b35", "2e8627ac963a680c941f8147dca784a8d58a9b35")</f>
        <v>0</v>
      </c>
      <c r="C8763">
        <f>HYPERLINK("https://android.googlesource.com/platform/cts/+/72ebb23ef0dd074e1852bc4e9d4ff75c59787b1f", "72ebb23ef0dd074e1852bc4e9d4ff75c59787b1f")</f>
        <v>0</v>
      </c>
      <c r="D8763" t="s">
        <v>4957</v>
      </c>
      <c r="E8763" t="s">
        <v>6187</v>
      </c>
      <c r="F8763" t="s">
        <v>12167</v>
      </c>
      <c r="G8763" t="s">
        <v>16407</v>
      </c>
      <c r="H8763" t="s">
        <v>21158</v>
      </c>
    </row>
    <row r="8764" spans="1:8">
      <c r="H8764" t="s">
        <v>21159</v>
      </c>
    </row>
    <row r="8765" spans="1:8">
      <c r="H8765" t="s">
        <v>21160</v>
      </c>
    </row>
    <row r="8766" spans="1:8">
      <c r="A8766" t="s">
        <v>396</v>
      </c>
      <c r="B8766">
        <f>HYPERLINK("https://android.googlesource.com/platform/cts/+/7e0ac86763565fa9d1d287932302f3e70064bc29", "7e0ac86763565fa9d1d287932302f3e70064bc29")</f>
        <v>0</v>
      </c>
      <c r="C8766">
        <f>HYPERLINK("https://android.googlesource.com/platform/cts/+/a33c105bb8396eac924e1c662ba1704ac40566e9", "a33c105bb8396eac924e1c662ba1704ac40566e9")</f>
        <v>0</v>
      </c>
      <c r="D8766" t="s">
        <v>4980</v>
      </c>
      <c r="E8766" t="s">
        <v>6190</v>
      </c>
      <c r="F8766" t="s">
        <v>10687</v>
      </c>
      <c r="G8766" t="s">
        <v>15087</v>
      </c>
      <c r="H8766" t="s">
        <v>21163</v>
      </c>
    </row>
    <row r="8767" spans="1:8">
      <c r="A8767" t="s">
        <v>398</v>
      </c>
      <c r="B8767">
        <f>HYPERLINK("https://android.googlesource.com/platform/cts/+/37eaaa0ac1ead9561a6af2a1cc5106efee5a0855", "37eaaa0ac1ead9561a6af2a1cc5106efee5a0855")</f>
        <v>0</v>
      </c>
      <c r="C8767">
        <f>HYPERLINK("https://android.googlesource.com/platform/cts/+/ce692966d5e59fe10027cbcd0298c91d4754cd63", "ce692966d5e59fe10027cbcd0298c91d4754cd63")</f>
        <v>0</v>
      </c>
      <c r="D8767" t="s">
        <v>4989</v>
      </c>
      <c r="E8767" t="s">
        <v>6192</v>
      </c>
      <c r="F8767" t="s">
        <v>12171</v>
      </c>
      <c r="G8767" t="s">
        <v>15008</v>
      </c>
      <c r="H8767" t="s">
        <v>21165</v>
      </c>
    </row>
    <row r="8768" spans="1:8">
      <c r="H8768" t="s">
        <v>21166</v>
      </c>
    </row>
    <row r="8769" spans="1:8">
      <c r="A8769" t="s">
        <v>399</v>
      </c>
      <c r="B8769">
        <f>HYPERLINK("https://android.googlesource.com/platform/cts/+/abd7f62560b53c40bc22f3a19630fe9b1dae95d2", "abd7f62560b53c40bc22f3a19630fe9b1dae95d2")</f>
        <v>0</v>
      </c>
      <c r="C8769">
        <f>HYPERLINK("https://android.googlesource.com/platform/cts/+/54ea8079237becd99105093d1daf70f04d12bd24", "54ea8079237becd99105093d1daf70f04d12bd24")</f>
        <v>0</v>
      </c>
      <c r="D8769" t="s">
        <v>4980</v>
      </c>
      <c r="E8769" t="s">
        <v>6193</v>
      </c>
      <c r="F8769" t="s">
        <v>10687</v>
      </c>
      <c r="G8769" t="s">
        <v>15087</v>
      </c>
      <c r="H8769" t="s">
        <v>21167</v>
      </c>
    </row>
    <row r="8770" spans="1:8">
      <c r="A8770" t="s">
        <v>400</v>
      </c>
      <c r="B8770">
        <f>HYPERLINK("https://android.googlesource.com/platform/cts/+/697f564baecbbf8d36cfb6897ebaf40ef7bc31b7", "697f564baecbbf8d36cfb6897ebaf40ef7bc31b7")</f>
        <v>0</v>
      </c>
      <c r="C8770">
        <f>HYPERLINK("https://android.googlesource.com/platform/cts/+/ce692966d5e59fe10027cbcd0298c91d4754cd63", "ce692966d5e59fe10027cbcd0298c91d4754cd63")</f>
        <v>0</v>
      </c>
      <c r="D8770" t="s">
        <v>4973</v>
      </c>
      <c r="E8770" t="s">
        <v>6194</v>
      </c>
      <c r="F8770" t="s">
        <v>12172</v>
      </c>
      <c r="G8770" t="s">
        <v>16411</v>
      </c>
      <c r="H8770" t="s">
        <v>21168</v>
      </c>
    </row>
    <row r="8771" spans="1:8">
      <c r="A8771" t="s">
        <v>401</v>
      </c>
      <c r="B8771">
        <f>HYPERLINK("https://android.googlesource.com/platform/cts/+/f1a472051e8c56ff7b2a017129b405be6e184b20", "f1a472051e8c56ff7b2a017129b405be6e184b20")</f>
        <v>0</v>
      </c>
      <c r="C8771">
        <f>HYPERLINK("https://android.googlesource.com/platform/cts/+/5ed832af05ab5f61ae45206ca1ac589f2ba7903b", "5ed832af05ab5f61ae45206ca1ac589f2ba7903b")</f>
        <v>0</v>
      </c>
      <c r="D8771" t="s">
        <v>4973</v>
      </c>
      <c r="E8771" t="s">
        <v>6195</v>
      </c>
      <c r="F8771" t="s">
        <v>11477</v>
      </c>
      <c r="G8771" t="s">
        <v>15717</v>
      </c>
      <c r="H8771" t="s">
        <v>20440</v>
      </c>
    </row>
    <row r="8772" spans="1:8">
      <c r="H8772" t="s">
        <v>20441</v>
      </c>
    </row>
    <row r="8773" spans="1:8">
      <c r="A8773" t="s">
        <v>402</v>
      </c>
      <c r="B8773">
        <f>HYPERLINK("https://android.googlesource.com/platform/cts/+/7993485b87a11657654a50e45be81cbeccd2f009", "7993485b87a11657654a50e45be81cbeccd2f009")</f>
        <v>0</v>
      </c>
      <c r="C8773">
        <f>HYPERLINK("https://android.googlesource.com/platform/cts/+/c7081bdb42feeea7c1cff5d023ac97f350a13903", "c7081bdb42feeea7c1cff5d023ac97f350a13903")</f>
        <v>0</v>
      </c>
      <c r="D8773" t="s">
        <v>4952</v>
      </c>
      <c r="E8773" t="s">
        <v>6196</v>
      </c>
      <c r="F8773" t="s">
        <v>12173</v>
      </c>
      <c r="G8773" t="s">
        <v>16412</v>
      </c>
      <c r="H8773" t="s">
        <v>21169</v>
      </c>
    </row>
    <row r="8774" spans="1:8">
      <c r="A8774" t="s">
        <v>403</v>
      </c>
      <c r="B8774">
        <f>HYPERLINK("https://android.googlesource.com/platform/cts/+/40a2d7e16acfe7180bbef0a4f3f7694d5008ea4f", "40a2d7e16acfe7180bbef0a4f3f7694d5008ea4f")</f>
        <v>0</v>
      </c>
      <c r="C8774">
        <f>HYPERLINK("https://android.googlesource.com/platform/cts/+/1922bf5e3d9fa47134747fcf28734e21cbe3ead4", "1922bf5e3d9fa47134747fcf28734e21cbe3ead4")</f>
        <v>0</v>
      </c>
      <c r="D8774" t="s">
        <v>4952</v>
      </c>
      <c r="E8774" t="s">
        <v>6197</v>
      </c>
      <c r="F8774" t="s">
        <v>12173</v>
      </c>
      <c r="G8774" t="s">
        <v>16412</v>
      </c>
      <c r="H8774" t="s">
        <v>21169</v>
      </c>
    </row>
    <row r="8775" spans="1:8">
      <c r="A8775" t="s">
        <v>405</v>
      </c>
      <c r="B8775">
        <f>HYPERLINK("https://android.googlesource.com/platform/cts/+/7432633be5569b9cd08480468e716d35baf7ecfc", "7432633be5569b9cd08480468e716d35baf7ecfc")</f>
        <v>0</v>
      </c>
      <c r="C8775">
        <f>HYPERLINK("https://android.googlesource.com/platform/cts/+/1922bf5e3d9fa47134747fcf28734e21cbe3ead4", "1922bf5e3d9fa47134747fcf28734e21cbe3ead4")</f>
        <v>0</v>
      </c>
      <c r="D8775" t="s">
        <v>4990</v>
      </c>
      <c r="E8775" t="s">
        <v>6199</v>
      </c>
      <c r="F8775" t="s">
        <v>12175</v>
      </c>
      <c r="G8775" t="s">
        <v>16414</v>
      </c>
      <c r="H8775" t="s">
        <v>21171</v>
      </c>
    </row>
    <row r="8776" spans="1:8">
      <c r="A8776" t="s">
        <v>406</v>
      </c>
      <c r="B8776">
        <f>HYPERLINK("https://android.googlesource.com/platform/cts/+/454631c5c6e4ee54ae67193c045b52463f7438e1", "454631c5c6e4ee54ae67193c045b52463f7438e1")</f>
        <v>0</v>
      </c>
      <c r="C8776">
        <f>HYPERLINK("https://android.googlesource.com/platform/cts/+/df312ed807e97e83aaf6bbd407d2a6480bcc0958", "df312ed807e97e83aaf6bbd407d2a6480bcc0958")</f>
        <v>0</v>
      </c>
      <c r="D8776" t="s">
        <v>4990</v>
      </c>
      <c r="E8776" t="s">
        <v>6200</v>
      </c>
      <c r="F8776" t="s">
        <v>12175</v>
      </c>
      <c r="G8776" t="s">
        <v>16414</v>
      </c>
      <c r="H8776" t="s">
        <v>21172</v>
      </c>
    </row>
    <row r="8777" spans="1:8">
      <c r="A8777" t="s">
        <v>407</v>
      </c>
      <c r="B8777">
        <f>HYPERLINK("https://android.googlesource.com/platform/cts/+/0235daf4e9e397fe2152b469530dc16ad86fbc3b", "0235daf4e9e397fe2152b469530dc16ad86fbc3b")</f>
        <v>0</v>
      </c>
      <c r="C8777">
        <f>HYPERLINK("https://android.googlesource.com/platform/cts/+/67beea30c970c2f3e07e1ef4ce12b70a66b6d7ed", "67beea30c970c2f3e07e1ef4ce12b70a66b6d7ed")</f>
        <v>0</v>
      </c>
      <c r="D8777" t="s">
        <v>4991</v>
      </c>
      <c r="E8777" t="s">
        <v>6201</v>
      </c>
      <c r="F8777" t="s">
        <v>11193</v>
      </c>
      <c r="G8777" t="s">
        <v>15582</v>
      </c>
      <c r="H8777" t="s">
        <v>21173</v>
      </c>
    </row>
    <row r="8778" spans="1:8">
      <c r="A8778" t="s">
        <v>410</v>
      </c>
      <c r="B8778">
        <f>HYPERLINK("https://android.googlesource.com/platform/cts/+/a7212deb6ccbfc5705a19fb1beebbf061fc3a007", "a7212deb6ccbfc5705a19fb1beebbf061fc3a007")</f>
        <v>0</v>
      </c>
      <c r="C8778">
        <f>HYPERLINK("https://android.googlesource.com/platform/cts/+/4f0d3b9d18388d010f15dd0bf0b0596886ff5c1e", "4f0d3b9d18388d010f15dd0bf0b0596886ff5c1e")</f>
        <v>0</v>
      </c>
      <c r="D8778" t="s">
        <v>4976</v>
      </c>
      <c r="E8778" t="s">
        <v>6204</v>
      </c>
      <c r="F8778" t="s">
        <v>11193</v>
      </c>
      <c r="G8778" t="s">
        <v>15582</v>
      </c>
      <c r="H8778" t="s">
        <v>21176</v>
      </c>
    </row>
    <row r="8779" spans="1:8">
      <c r="A8779" t="s">
        <v>411</v>
      </c>
      <c r="B8779">
        <f>HYPERLINK("https://android.googlesource.com/platform/cts/+/a15f67ae7c0361db2c4fc8bdf7b27cf9cb32a312", "a15f67ae7c0361db2c4fc8bdf7b27cf9cb32a312")</f>
        <v>0</v>
      </c>
      <c r="C8779">
        <f>HYPERLINK("https://android.googlesource.com/platform/cts/+/4f0d3b9d18388d010f15dd0bf0b0596886ff5c1e", "4f0d3b9d18388d010f15dd0bf0b0596886ff5c1e")</f>
        <v>0</v>
      </c>
      <c r="D8779" t="s">
        <v>4976</v>
      </c>
      <c r="E8779" t="s">
        <v>6205</v>
      </c>
      <c r="F8779" t="s">
        <v>11193</v>
      </c>
      <c r="G8779" t="s">
        <v>15582</v>
      </c>
      <c r="H8779" t="s">
        <v>21177</v>
      </c>
    </row>
    <row r="8780" spans="1:8">
      <c r="A8780" t="s">
        <v>412</v>
      </c>
      <c r="B8780">
        <f>HYPERLINK("https://android.googlesource.com/platform/cts/+/fb5798629739e3a0343f50418aec7beea3ddd6f5", "fb5798629739e3a0343f50418aec7beea3ddd6f5")</f>
        <v>0</v>
      </c>
      <c r="C8780">
        <f>HYPERLINK("https://android.googlesource.com/platform/cts/+/df45c01962a8deca614d1ec004220d975978b1c1", "df45c01962a8deca614d1ec004220d975978b1c1")</f>
        <v>0</v>
      </c>
      <c r="D8780" t="s">
        <v>4992</v>
      </c>
      <c r="E8780" t="s">
        <v>6206</v>
      </c>
      <c r="F8780" t="s">
        <v>10687</v>
      </c>
      <c r="G8780" t="s">
        <v>15087</v>
      </c>
      <c r="H8780" t="s">
        <v>21178</v>
      </c>
    </row>
    <row r="8781" spans="1:8">
      <c r="A8781" t="s">
        <v>413</v>
      </c>
      <c r="B8781">
        <f>HYPERLINK("https://android.googlesource.com/platform/cts/+/96b6e21011bee83ce54dd0aff3206847fd43a385", "96b6e21011bee83ce54dd0aff3206847fd43a385")</f>
        <v>0</v>
      </c>
      <c r="C8781">
        <f>HYPERLINK("https://android.googlesource.com/platform/cts/+/13f9624353332f4045b1bcf5dce9523e5f54c923", "13f9624353332f4045b1bcf5dce9523e5f54c923")</f>
        <v>0</v>
      </c>
      <c r="D8781" t="s">
        <v>4991</v>
      </c>
      <c r="E8781" t="s">
        <v>6207</v>
      </c>
      <c r="F8781" t="s">
        <v>11193</v>
      </c>
      <c r="G8781" t="s">
        <v>15582</v>
      </c>
      <c r="H8781" t="s">
        <v>21179</v>
      </c>
    </row>
    <row r="8782" spans="1:8">
      <c r="F8782" t="s">
        <v>10687</v>
      </c>
      <c r="G8782" t="s">
        <v>15087</v>
      </c>
      <c r="H8782" t="s">
        <v>21180</v>
      </c>
    </row>
    <row r="8783" spans="1:8">
      <c r="A8783" t="s">
        <v>414</v>
      </c>
      <c r="B8783">
        <f>HYPERLINK("https://android.googlesource.com/platform/cts/+/eef4c57eef34cd90794afb9165c071f6be6e1fcd", "eef4c57eef34cd90794afb9165c071f6be6e1fcd")</f>
        <v>0</v>
      </c>
      <c r="C8783">
        <f>HYPERLINK("https://android.googlesource.com/platform/cts/+/b2a4b59e58cce4e65c7c9347295007a735e995a7", "b2a4b59e58cce4e65c7c9347295007a735e995a7")</f>
        <v>0</v>
      </c>
      <c r="D8783" t="s">
        <v>4973</v>
      </c>
      <c r="E8783" t="s">
        <v>6208</v>
      </c>
      <c r="F8783" t="s">
        <v>12177</v>
      </c>
      <c r="G8783" t="s">
        <v>16416</v>
      </c>
      <c r="H8783" t="s">
        <v>21181</v>
      </c>
    </row>
    <row r="8784" spans="1:8">
      <c r="H8784" t="s">
        <v>21182</v>
      </c>
    </row>
    <row r="8785" spans="1:8">
      <c r="F8785" t="s">
        <v>12178</v>
      </c>
      <c r="G8785" t="s">
        <v>16417</v>
      </c>
      <c r="H8785" t="s">
        <v>21181</v>
      </c>
    </row>
    <row r="8786" spans="1:8">
      <c r="H8786" t="s">
        <v>21182</v>
      </c>
    </row>
    <row r="8787" spans="1:8">
      <c r="A8787" t="s">
        <v>415</v>
      </c>
      <c r="B8787">
        <f>HYPERLINK("https://android.googlesource.com/platform/cts/+/5a3302ab1fa404a673208b901b2b02274d211034", "5a3302ab1fa404a673208b901b2b02274d211034")</f>
        <v>0</v>
      </c>
      <c r="C8787">
        <f>HYPERLINK("https://android.googlesource.com/platform/cts/+/9e5dbc34a454643b61ff3065cc9e06860be1420c", "9e5dbc34a454643b61ff3065cc9e06860be1420c")</f>
        <v>0</v>
      </c>
      <c r="D8787" t="s">
        <v>4993</v>
      </c>
      <c r="E8787" t="s">
        <v>6209</v>
      </c>
      <c r="F8787" t="s">
        <v>12179</v>
      </c>
      <c r="G8787" t="s">
        <v>16418</v>
      </c>
      <c r="H8787" t="s">
        <v>18835</v>
      </c>
    </row>
    <row r="8788" spans="1:8">
      <c r="A8788" t="s">
        <v>419</v>
      </c>
      <c r="B8788">
        <f>HYPERLINK("https://android.googlesource.com/platform/cts/+/d0de47e2090b27c5c5615008215ea90c17aa0117", "d0de47e2090b27c5c5615008215ea90c17aa0117")</f>
        <v>0</v>
      </c>
      <c r="C8788">
        <f>HYPERLINK("https://android.googlesource.com/platform/cts/+/53cd5d0e366465d89a77f7ad871a5fe3f00f53a2", "53cd5d0e366465d89a77f7ad871a5fe3f00f53a2")</f>
        <v>0</v>
      </c>
      <c r="D8788" t="s">
        <v>4994</v>
      </c>
      <c r="E8788" t="s">
        <v>6213</v>
      </c>
      <c r="F8788" t="s">
        <v>11192</v>
      </c>
      <c r="G8788" t="s">
        <v>15581</v>
      </c>
      <c r="H8788" t="s">
        <v>21203</v>
      </c>
    </row>
    <row r="8789" spans="1:8">
      <c r="A8789" t="s">
        <v>422</v>
      </c>
      <c r="B8789">
        <f>HYPERLINK("https://android.googlesource.com/platform/cts/+/8669cace0433b06591a93136ecbdf4acafe6eaac", "8669cace0433b06591a93136ecbdf4acafe6eaac")</f>
        <v>0</v>
      </c>
      <c r="C8789">
        <f>HYPERLINK("https://android.googlesource.com/platform/cts/+/1de065b9156d171f13e2998f7a0c7dcaf29fbdd0", "1de065b9156d171f13e2998f7a0c7dcaf29fbdd0")</f>
        <v>0</v>
      </c>
      <c r="D8789" t="s">
        <v>4980</v>
      </c>
      <c r="E8789" t="s">
        <v>6215</v>
      </c>
      <c r="F8789" t="s">
        <v>11193</v>
      </c>
      <c r="G8789" t="s">
        <v>15582</v>
      </c>
      <c r="H8789" t="s">
        <v>21207</v>
      </c>
    </row>
    <row r="8790" spans="1:8">
      <c r="H8790" t="s">
        <v>21208</v>
      </c>
    </row>
    <row r="8791" spans="1:8">
      <c r="A8791" t="s">
        <v>424</v>
      </c>
      <c r="B8791">
        <f>HYPERLINK("https://android.googlesource.com/platform/cts/+/cbd961455ce8342d0d01558bf352fae6f7250a59", "cbd961455ce8342d0d01558bf352fae6f7250a59")</f>
        <v>0</v>
      </c>
      <c r="C8791">
        <f>HYPERLINK("https://android.googlesource.com/platform/cts/+/e5f03443d32567748927b3eecfafe5a5ae78fd29", "e5f03443d32567748927b3eecfafe5a5ae78fd29")</f>
        <v>0</v>
      </c>
      <c r="D8791" t="s">
        <v>4991</v>
      </c>
      <c r="E8791" t="s">
        <v>6217</v>
      </c>
      <c r="F8791" t="s">
        <v>11193</v>
      </c>
      <c r="G8791" t="s">
        <v>15582</v>
      </c>
      <c r="H8791" t="s">
        <v>21207</v>
      </c>
    </row>
    <row r="8792" spans="1:8">
      <c r="A8792" t="s">
        <v>428</v>
      </c>
      <c r="B8792">
        <f>HYPERLINK("https://android.googlesource.com/platform/cts/+/668b3b7f420974aee6f18f83e59c4c35da8e009d", "668b3b7f420974aee6f18f83e59c4c35da8e009d")</f>
        <v>0</v>
      </c>
      <c r="C8792">
        <f>HYPERLINK("https://android.googlesource.com/platform/cts/+/e15b00ae1fe1585a319d2326a3a9ef393760f5f7", "e15b00ae1fe1585a319d2326a3a9ef393760f5f7")</f>
        <v>0</v>
      </c>
      <c r="D8792" t="s">
        <v>4947</v>
      </c>
      <c r="E8792" t="s">
        <v>6221</v>
      </c>
      <c r="F8792" t="s">
        <v>10746</v>
      </c>
      <c r="G8792" t="s">
        <v>15145</v>
      </c>
      <c r="H8792" t="s">
        <v>21220</v>
      </c>
    </row>
    <row r="8793" spans="1:8">
      <c r="A8793" t="s">
        <v>429</v>
      </c>
      <c r="B8793">
        <f>HYPERLINK("https://android.googlesource.com/platform/cts/+/e9bce3561b3267a8b8e1e1eeae677191eec8532e", "e9bce3561b3267a8b8e1e1eeae677191eec8532e")</f>
        <v>0</v>
      </c>
      <c r="C8793">
        <f>HYPERLINK("https://android.googlesource.com/platform/cts/+/ca74206cf9b36881ef45ba30ce169dd8ad3659bb", "ca74206cf9b36881ef45ba30ce169dd8ad3659bb")</f>
        <v>0</v>
      </c>
      <c r="D8793" t="s">
        <v>4993</v>
      </c>
      <c r="E8793" t="s">
        <v>6222</v>
      </c>
      <c r="F8793" t="s">
        <v>12179</v>
      </c>
      <c r="G8793" t="s">
        <v>16418</v>
      </c>
      <c r="H8793" t="s">
        <v>18835</v>
      </c>
    </row>
    <row r="8794" spans="1:8">
      <c r="A8794" t="s">
        <v>430</v>
      </c>
      <c r="B8794">
        <f>HYPERLINK("https://android.googlesource.com/platform/cts/+/29d74173539baba0082dc6f78313f05151fb2cd5", "29d74173539baba0082dc6f78313f05151fb2cd5")</f>
        <v>0</v>
      </c>
      <c r="C8794">
        <f>HYPERLINK("https://android.googlesource.com/platform/cts/+/f84df7a15458ea2fb1c9e65cd18c2dfbaed31bbe", "f84df7a15458ea2fb1c9e65cd18c2dfbaed31bbe")</f>
        <v>0</v>
      </c>
      <c r="D8794" t="s">
        <v>4947</v>
      </c>
      <c r="E8794" t="s">
        <v>6223</v>
      </c>
      <c r="F8794" t="s">
        <v>12186</v>
      </c>
      <c r="G8794" t="s">
        <v>16425</v>
      </c>
      <c r="H8794" t="s">
        <v>21221</v>
      </c>
    </row>
    <row r="8795" spans="1:8">
      <c r="A8795" t="s">
        <v>431</v>
      </c>
      <c r="B8795">
        <f>HYPERLINK("https://android.googlesource.com/platform/cts/+/5f72216fd7f87d299537a778d88f4a5f15143db5", "5f72216fd7f87d299537a778d88f4a5f15143db5")</f>
        <v>0</v>
      </c>
      <c r="C8795">
        <f>HYPERLINK("https://android.googlesource.com/platform/cts/+/af108e4993183397d8ecd0671242a0ce0db19403", "af108e4993183397d8ecd0671242a0ce0db19403")</f>
        <v>0</v>
      </c>
      <c r="D8795" t="s">
        <v>4993</v>
      </c>
      <c r="E8795" t="s">
        <v>6224</v>
      </c>
      <c r="F8795" t="s">
        <v>12179</v>
      </c>
      <c r="G8795" t="s">
        <v>16418</v>
      </c>
      <c r="H8795" t="s">
        <v>18835</v>
      </c>
    </row>
    <row r="8796" spans="1:8">
      <c r="A8796" t="s">
        <v>432</v>
      </c>
      <c r="B8796">
        <f>HYPERLINK("https://android.googlesource.com/platform/cts/+/c271127437645cc5e2e5b50c57940cedd7642df6", "c271127437645cc5e2e5b50c57940cedd7642df6")</f>
        <v>0</v>
      </c>
      <c r="C8796">
        <f>HYPERLINK("https://android.googlesource.com/platform/cts/+/3372dbb28b630cb633f00a02339ca3c99f0b8a2d", "3372dbb28b630cb633f00a02339ca3c99f0b8a2d")</f>
        <v>0</v>
      </c>
      <c r="D8796" t="s">
        <v>4993</v>
      </c>
      <c r="E8796" t="s">
        <v>6225</v>
      </c>
      <c r="F8796" t="s">
        <v>12179</v>
      </c>
      <c r="G8796" t="s">
        <v>16418</v>
      </c>
      <c r="H8796" t="s">
        <v>18835</v>
      </c>
    </row>
    <row r="8797" spans="1:8">
      <c r="A8797" t="s">
        <v>433</v>
      </c>
      <c r="B8797">
        <f>HYPERLINK("https://android.googlesource.com/platform/cts/+/663a13cfa108afe02620403c87061b0ff22f08ed", "663a13cfa108afe02620403c87061b0ff22f08ed")</f>
        <v>0</v>
      </c>
      <c r="C8797">
        <f>HYPERLINK("https://android.googlesource.com/platform/cts/+/f736ec122c72be8429afdf6cc89b128f71668a3d", "f736ec122c72be8429afdf6cc89b128f71668a3d")</f>
        <v>0</v>
      </c>
      <c r="D8797" t="s">
        <v>4995</v>
      </c>
      <c r="E8797" t="s">
        <v>6226</v>
      </c>
      <c r="F8797" t="s">
        <v>12187</v>
      </c>
      <c r="G8797" t="s">
        <v>16426</v>
      </c>
      <c r="H8797" t="s">
        <v>21222</v>
      </c>
    </row>
    <row r="8798" spans="1:8">
      <c r="H8798" t="s">
        <v>21223</v>
      </c>
    </row>
    <row r="8799" spans="1:8">
      <c r="H8799" t="s">
        <v>21224</v>
      </c>
    </row>
    <row r="8800" spans="1:8">
      <c r="H8800" t="s">
        <v>21225</v>
      </c>
    </row>
    <row r="8801" spans="1:8">
      <c r="A8801" t="s">
        <v>434</v>
      </c>
      <c r="B8801">
        <f>HYPERLINK("https://android.googlesource.com/platform/cts/+/9e0e27eeda44f2eb94dea4a97a3faa3a01adabc3", "9e0e27eeda44f2eb94dea4a97a3faa3a01adabc3")</f>
        <v>0</v>
      </c>
      <c r="C8801">
        <f>HYPERLINK("https://android.googlesource.com/platform/cts/+/9de4863318f50b9123b5e8ac446ac82f2080fca7", "9de4863318f50b9123b5e8ac446ac82f2080fca7")</f>
        <v>0</v>
      </c>
      <c r="D8801" t="s">
        <v>4952</v>
      </c>
      <c r="E8801" t="s">
        <v>6227</v>
      </c>
      <c r="F8801" t="s">
        <v>12188</v>
      </c>
      <c r="G8801" t="s">
        <v>16427</v>
      </c>
      <c r="H8801" t="s">
        <v>21229</v>
      </c>
    </row>
    <row r="8802" spans="1:8">
      <c r="A8802" t="s">
        <v>436</v>
      </c>
      <c r="B8802">
        <f>HYPERLINK("https://android.googlesource.com/platform/cts/+/d173bbcb45446be72398be16ea9001b2bff9de95", "d173bbcb45446be72398be16ea9001b2bff9de95")</f>
        <v>0</v>
      </c>
      <c r="C8802">
        <f>HYPERLINK("https://android.googlesource.com/platform/cts/+/689a962fd6fb4ea4e5ac1343ff5ef21732cfcaee", "689a962fd6fb4ea4e5ac1343ff5ef21732cfcaee")</f>
        <v>0</v>
      </c>
      <c r="D8802" t="s">
        <v>4973</v>
      </c>
      <c r="E8802" t="s">
        <v>6229</v>
      </c>
      <c r="F8802" t="s">
        <v>12189</v>
      </c>
      <c r="G8802" t="s">
        <v>16428</v>
      </c>
      <c r="H8802" t="s">
        <v>21231</v>
      </c>
    </row>
    <row r="8803" spans="1:8">
      <c r="A8803" t="s">
        <v>437</v>
      </c>
      <c r="B8803">
        <f>HYPERLINK("https://android.googlesource.com/platform/cts/+/5427abe750ec97a3e7dda7e395a3b8da9c91a775", "5427abe750ec97a3e7dda7e395a3b8da9c91a775")</f>
        <v>0</v>
      </c>
      <c r="C8803">
        <f>HYPERLINK("https://android.googlesource.com/platform/cts/+/f1a493b1cc81290265571d65fd6ed96162b19bea", "f1a493b1cc81290265571d65fd6ed96162b19bea")</f>
        <v>0</v>
      </c>
      <c r="D8803" t="s">
        <v>4981</v>
      </c>
      <c r="E8803" t="s">
        <v>6230</v>
      </c>
      <c r="F8803" t="s">
        <v>10726</v>
      </c>
      <c r="G8803" t="s">
        <v>15125</v>
      </c>
      <c r="H8803" t="s">
        <v>21232</v>
      </c>
    </row>
    <row r="8804" spans="1:8">
      <c r="A8804" t="s">
        <v>440</v>
      </c>
      <c r="B8804">
        <f>HYPERLINK("https://android.googlesource.com/platform/cts/+/71df0d40e86e30dde9862134427b3f52040e5899", "71df0d40e86e30dde9862134427b3f52040e5899")</f>
        <v>0</v>
      </c>
      <c r="C8804">
        <f>HYPERLINK("https://android.googlesource.com/platform/cts/+/5d529caed64bf0cec2ef1eebb89284239ca382c0", "5d529caed64bf0cec2ef1eebb89284239ca382c0")</f>
        <v>0</v>
      </c>
      <c r="D8804" t="s">
        <v>4997</v>
      </c>
      <c r="E8804" t="s">
        <v>6233</v>
      </c>
      <c r="F8804" t="s">
        <v>12191</v>
      </c>
      <c r="G8804" t="s">
        <v>16430</v>
      </c>
      <c r="H8804" t="s">
        <v>21233</v>
      </c>
    </row>
    <row r="8805" spans="1:8">
      <c r="H8805" t="s">
        <v>21234</v>
      </c>
    </row>
    <row r="8806" spans="1:8">
      <c r="H8806" t="s">
        <v>21235</v>
      </c>
    </row>
    <row r="8807" spans="1:8">
      <c r="H8807" t="s">
        <v>21236</v>
      </c>
    </row>
    <row r="8808" spans="1:8">
      <c r="H8808" t="s">
        <v>21237</v>
      </c>
    </row>
    <row r="8809" spans="1:8">
      <c r="A8809" t="s">
        <v>441</v>
      </c>
      <c r="B8809">
        <f>HYPERLINK("https://android.googlesource.com/platform/cts/+/1b08aab7c7e60c56032229983bb9217f18fdbf07", "1b08aab7c7e60c56032229983bb9217f18fdbf07")</f>
        <v>0</v>
      </c>
      <c r="C8809">
        <f>HYPERLINK("https://android.googlesource.com/platform/cts/+/8391e6f817edb2adc3f7250650aef496843c0626", "8391e6f817edb2adc3f7250650aef496843c0626")</f>
        <v>0</v>
      </c>
      <c r="D8809" t="s">
        <v>4998</v>
      </c>
      <c r="E8809" t="s">
        <v>6234</v>
      </c>
      <c r="F8809" t="s">
        <v>11443</v>
      </c>
      <c r="G8809" t="s">
        <v>15683</v>
      </c>
      <c r="H8809" t="s">
        <v>21238</v>
      </c>
    </row>
    <row r="8810" spans="1:8">
      <c r="A8810" t="s">
        <v>445</v>
      </c>
      <c r="B8810">
        <f>HYPERLINK("https://android.googlesource.com/platform/cts/+/5a3b5953451d8dacc53bcb15e6a0fd955c7824cd", "5a3b5953451d8dacc53bcb15e6a0fd955c7824cd")</f>
        <v>0</v>
      </c>
      <c r="C8810">
        <f>HYPERLINK("https://android.googlesource.com/platform/cts/+/15ac8230207ac6e9060e6087abaf4a14cf47779c", "15ac8230207ac6e9060e6087abaf4a14cf47779c")</f>
        <v>0</v>
      </c>
      <c r="D8810" t="s">
        <v>4952</v>
      </c>
      <c r="E8810" t="s">
        <v>6238</v>
      </c>
      <c r="F8810" t="s">
        <v>11443</v>
      </c>
      <c r="G8810" t="s">
        <v>15683</v>
      </c>
      <c r="H8810" t="s">
        <v>21255</v>
      </c>
    </row>
    <row r="8811" spans="1:8">
      <c r="A8811" t="s">
        <v>446</v>
      </c>
      <c r="B8811">
        <f>HYPERLINK("https://android.googlesource.com/platform/cts/+/03adeb8a1b69e14c20854ac3a7ff60f17b8527d2", "03adeb8a1b69e14c20854ac3a7ff60f17b8527d2")</f>
        <v>0</v>
      </c>
      <c r="C8811">
        <f>HYPERLINK("https://android.googlesource.com/platform/cts/+/7cf81f86af29125b792e4f29aa0780298232d004", "7cf81f86af29125b792e4f29aa0780298232d004")</f>
        <v>0</v>
      </c>
      <c r="D8811" t="s">
        <v>4973</v>
      </c>
      <c r="E8811" t="s">
        <v>6239</v>
      </c>
      <c r="F8811" t="s">
        <v>12193</v>
      </c>
      <c r="G8811" t="s">
        <v>16432</v>
      </c>
      <c r="H8811" t="s">
        <v>21181</v>
      </c>
    </row>
    <row r="8812" spans="1:8">
      <c r="F8812" t="s">
        <v>12172</v>
      </c>
      <c r="G8812" t="s">
        <v>16411</v>
      </c>
      <c r="H8812" t="s">
        <v>21256</v>
      </c>
    </row>
    <row r="8813" spans="1:8">
      <c r="H8813" t="s">
        <v>21257</v>
      </c>
    </row>
    <row r="8814" spans="1:8">
      <c r="H8814" t="s">
        <v>21258</v>
      </c>
    </row>
    <row r="8815" spans="1:8">
      <c r="H8815" t="s">
        <v>21259</v>
      </c>
    </row>
    <row r="8816" spans="1:8">
      <c r="H8816" t="s">
        <v>21260</v>
      </c>
    </row>
    <row r="8817" spans="8:8">
      <c r="H8817" t="s">
        <v>21261</v>
      </c>
    </row>
    <row r="8818" spans="8:8">
      <c r="H8818" t="s">
        <v>21262</v>
      </c>
    </row>
    <row r="8819" spans="8:8">
      <c r="H8819" t="s">
        <v>21263</v>
      </c>
    </row>
    <row r="8820" spans="8:8">
      <c r="H8820" t="s">
        <v>21264</v>
      </c>
    </row>
    <row r="8821" spans="8:8">
      <c r="H8821" t="s">
        <v>21265</v>
      </c>
    </row>
    <row r="8822" spans="8:8">
      <c r="H8822" t="s">
        <v>21266</v>
      </c>
    </row>
    <row r="8823" spans="8:8">
      <c r="H8823" t="s">
        <v>21267</v>
      </c>
    </row>
    <row r="8824" spans="8:8">
      <c r="H8824" t="s">
        <v>21268</v>
      </c>
    </row>
    <row r="8825" spans="8:8">
      <c r="H8825" t="s">
        <v>21269</v>
      </c>
    </row>
    <row r="8826" spans="8:8">
      <c r="H8826" t="s">
        <v>21270</v>
      </c>
    </row>
    <row r="8827" spans="8:8">
      <c r="H8827" t="s">
        <v>21271</v>
      </c>
    </row>
    <row r="8828" spans="8:8">
      <c r="H8828" t="s">
        <v>21272</v>
      </c>
    </row>
    <row r="8829" spans="8:8">
      <c r="H8829" t="s">
        <v>21273</v>
      </c>
    </row>
    <row r="8830" spans="8:8">
      <c r="H8830" t="s">
        <v>21274</v>
      </c>
    </row>
    <row r="8831" spans="8:8">
      <c r="H8831" t="s">
        <v>21275</v>
      </c>
    </row>
    <row r="8832" spans="8:8">
      <c r="H8832" t="s">
        <v>21276</v>
      </c>
    </row>
    <row r="8833" spans="6:8">
      <c r="H8833" t="s">
        <v>21277</v>
      </c>
    </row>
    <row r="8834" spans="6:8">
      <c r="H8834" t="s">
        <v>21278</v>
      </c>
    </row>
    <row r="8835" spans="6:8">
      <c r="H8835" t="s">
        <v>21279</v>
      </c>
    </row>
    <row r="8836" spans="6:8">
      <c r="H8836" t="s">
        <v>21280</v>
      </c>
    </row>
    <row r="8837" spans="6:8">
      <c r="H8837" t="s">
        <v>21281</v>
      </c>
    </row>
    <row r="8838" spans="6:8">
      <c r="F8838" t="s">
        <v>12194</v>
      </c>
      <c r="G8838" t="s">
        <v>16433</v>
      </c>
      <c r="H8838" t="s">
        <v>21285</v>
      </c>
    </row>
    <row r="8839" spans="6:8">
      <c r="H8839" t="s">
        <v>21286</v>
      </c>
    </row>
    <row r="8840" spans="6:8">
      <c r="H8840" t="s">
        <v>21287</v>
      </c>
    </row>
    <row r="8841" spans="6:8">
      <c r="F8841" t="s">
        <v>12195</v>
      </c>
      <c r="G8841" t="s">
        <v>16434</v>
      </c>
      <c r="H8841" t="s">
        <v>21286</v>
      </c>
    </row>
    <row r="8842" spans="6:8">
      <c r="H8842" t="s">
        <v>21287</v>
      </c>
    </row>
    <row r="8843" spans="6:8">
      <c r="F8843" t="s">
        <v>12196</v>
      </c>
      <c r="G8843" t="s">
        <v>15720</v>
      </c>
      <c r="H8843" t="s">
        <v>20436</v>
      </c>
    </row>
    <row r="8844" spans="6:8">
      <c r="H8844" t="s">
        <v>20437</v>
      </c>
    </row>
    <row r="8845" spans="6:8">
      <c r="H8845" t="s">
        <v>20438</v>
      </c>
    </row>
    <row r="8846" spans="6:8">
      <c r="F8846" t="s">
        <v>12197</v>
      </c>
      <c r="G8846" t="s">
        <v>16435</v>
      </c>
      <c r="H8846" t="s">
        <v>21288</v>
      </c>
    </row>
    <row r="8847" spans="6:8">
      <c r="H8847" t="s">
        <v>21289</v>
      </c>
    </row>
    <row r="8848" spans="6:8">
      <c r="H8848" t="s">
        <v>21290</v>
      </c>
    </row>
    <row r="8849" spans="6:8">
      <c r="H8849" t="s">
        <v>21291</v>
      </c>
    </row>
    <row r="8850" spans="6:8">
      <c r="H8850" t="s">
        <v>21292</v>
      </c>
    </row>
    <row r="8851" spans="6:8">
      <c r="H8851" t="s">
        <v>21293</v>
      </c>
    </row>
    <row r="8852" spans="6:8">
      <c r="H8852" t="s">
        <v>21294</v>
      </c>
    </row>
    <row r="8853" spans="6:8">
      <c r="H8853" t="s">
        <v>21295</v>
      </c>
    </row>
    <row r="8854" spans="6:8">
      <c r="F8854" t="s">
        <v>12189</v>
      </c>
      <c r="G8854" t="s">
        <v>16428</v>
      </c>
      <c r="H8854" t="s">
        <v>21300</v>
      </c>
    </row>
    <row r="8855" spans="6:8">
      <c r="F8855" t="s">
        <v>11478</v>
      </c>
      <c r="G8855" t="s">
        <v>15718</v>
      </c>
      <c r="H8855" t="s">
        <v>20443</v>
      </c>
    </row>
    <row r="8856" spans="6:8">
      <c r="F8856" t="s">
        <v>12181</v>
      </c>
      <c r="G8856" t="s">
        <v>16420</v>
      </c>
      <c r="H8856" t="s">
        <v>21301</v>
      </c>
    </row>
    <row r="8857" spans="6:8">
      <c r="H8857" t="s">
        <v>21302</v>
      </c>
    </row>
    <row r="8858" spans="6:8">
      <c r="H8858" t="s">
        <v>21303</v>
      </c>
    </row>
    <row r="8859" spans="6:8">
      <c r="H8859" t="s">
        <v>21304</v>
      </c>
    </row>
    <row r="8860" spans="6:8">
      <c r="H8860" t="s">
        <v>21305</v>
      </c>
    </row>
    <row r="8861" spans="6:8">
      <c r="F8861" t="s">
        <v>12190</v>
      </c>
      <c r="G8861" t="s">
        <v>16429</v>
      </c>
      <c r="H8861" t="s">
        <v>21320</v>
      </c>
    </row>
    <row r="8862" spans="6:8">
      <c r="F8862" t="s">
        <v>12198</v>
      </c>
      <c r="G8862" t="s">
        <v>16436</v>
      </c>
      <c r="H8862" t="s">
        <v>21322</v>
      </c>
    </row>
    <row r="8863" spans="6:8">
      <c r="F8863" t="s">
        <v>12199</v>
      </c>
      <c r="G8863" t="s">
        <v>16437</v>
      </c>
      <c r="H8863" t="s">
        <v>21324</v>
      </c>
    </row>
    <row r="8864" spans="6:8">
      <c r="F8864" t="s">
        <v>12200</v>
      </c>
      <c r="G8864" t="s">
        <v>16438</v>
      </c>
      <c r="H8864" t="s">
        <v>21325</v>
      </c>
    </row>
    <row r="8865" spans="1:8">
      <c r="H8865" t="s">
        <v>21326</v>
      </c>
    </row>
    <row r="8866" spans="1:8">
      <c r="A8866" t="s">
        <v>447</v>
      </c>
      <c r="B8866">
        <f>HYPERLINK("https://android.googlesource.com/platform/cts/+/46bd645d356b166411f193220f0aa3026b706b14", "46bd645d356b166411f193220f0aa3026b706b14")</f>
        <v>0</v>
      </c>
      <c r="C8866">
        <f>HYPERLINK("https://android.googlesource.com/platform/cts/+/15ac8230207ac6e9060e6087abaf4a14cf47779c", "15ac8230207ac6e9060e6087abaf4a14cf47779c")</f>
        <v>0</v>
      </c>
      <c r="D8866" t="s">
        <v>4999</v>
      </c>
      <c r="E8866" t="s">
        <v>6240</v>
      </c>
      <c r="F8866" t="s">
        <v>12201</v>
      </c>
      <c r="G8866" t="s">
        <v>16439</v>
      </c>
      <c r="H8866" t="s">
        <v>21327</v>
      </c>
    </row>
    <row r="8867" spans="1:8">
      <c r="A8867" t="s">
        <v>451</v>
      </c>
      <c r="B8867">
        <f>HYPERLINK("https://android.googlesource.com/platform/cts/+/a90fb53676052e6661305dbd98340b0840850a83", "a90fb53676052e6661305dbd98340b0840850a83")</f>
        <v>0</v>
      </c>
      <c r="C8867">
        <f>HYPERLINK("https://android.googlesource.com/platform/cts/+/ee3927be9ea285a4c2096ddc975334fb55ec8fa9", "ee3927be9ea285a4c2096ddc975334fb55ec8fa9")</f>
        <v>0</v>
      </c>
      <c r="D8867" t="s">
        <v>5000</v>
      </c>
      <c r="E8867" t="s">
        <v>6243</v>
      </c>
      <c r="F8867" t="s">
        <v>10699</v>
      </c>
      <c r="G8867" t="s">
        <v>15099</v>
      </c>
      <c r="H8867" t="s">
        <v>21331</v>
      </c>
    </row>
    <row r="8868" spans="1:8">
      <c r="A8868" t="s">
        <v>452</v>
      </c>
      <c r="B8868">
        <f>HYPERLINK("https://android.googlesource.com/platform/cts/+/35773b44b85f7643dcbafa284c6623b05dfca64c", "35773b44b85f7643dcbafa284c6623b05dfca64c")</f>
        <v>0</v>
      </c>
      <c r="C8868">
        <f>HYPERLINK("https://android.googlesource.com/platform/cts/+/4b6589add5b641fadd4485445696eb4197da7c51", "4b6589add5b641fadd4485445696eb4197da7c51")</f>
        <v>0</v>
      </c>
      <c r="D8868" t="s">
        <v>4994</v>
      </c>
      <c r="E8868" t="s">
        <v>6244</v>
      </c>
      <c r="F8868" t="s">
        <v>10606</v>
      </c>
      <c r="G8868" t="s">
        <v>15009</v>
      </c>
      <c r="H8868" t="s">
        <v>21332</v>
      </c>
    </row>
    <row r="8869" spans="1:8">
      <c r="H8869" t="s">
        <v>21333</v>
      </c>
    </row>
    <row r="8870" spans="1:8">
      <c r="H8870" t="s">
        <v>21334</v>
      </c>
    </row>
    <row r="8871" spans="1:8">
      <c r="A8871" t="s">
        <v>454</v>
      </c>
      <c r="B8871">
        <f>HYPERLINK("https://android.googlesource.com/platform/cts/+/5ad500949841d429f31db0ddf1bcd2a9aa692012", "5ad500949841d429f31db0ddf1bcd2a9aa692012")</f>
        <v>0</v>
      </c>
      <c r="C8871">
        <f>HYPERLINK("https://android.googlesource.com/platform/cts/+/ac20e81bc597ce3d7c301f6059ca82c13d1c32df", "ac20e81bc597ce3d7c301f6059ca82c13d1c32df")</f>
        <v>0</v>
      </c>
      <c r="D8871" t="s">
        <v>5002</v>
      </c>
      <c r="E8871" t="s">
        <v>6246</v>
      </c>
      <c r="F8871" t="s">
        <v>12209</v>
      </c>
      <c r="G8871" t="s">
        <v>16447</v>
      </c>
      <c r="H8871" t="s">
        <v>21348</v>
      </c>
    </row>
    <row r="8872" spans="1:8">
      <c r="A8872" t="s">
        <v>455</v>
      </c>
      <c r="B8872">
        <f>HYPERLINK("https://android.googlesource.com/platform/cts/+/5e74e0acfd1b6785e3eb83fb3f58e6f338983271", "5e74e0acfd1b6785e3eb83fb3f58e6f338983271")</f>
        <v>0</v>
      </c>
      <c r="C8872">
        <f>HYPERLINK("https://android.googlesource.com/platform/cts/+/6ea76f81a49f537fb771d943d1c04350d78d9451", "6ea76f81a49f537fb771d943d1c04350d78d9451")</f>
        <v>0</v>
      </c>
      <c r="D8872" t="s">
        <v>5002</v>
      </c>
      <c r="E8872" t="s">
        <v>6247</v>
      </c>
      <c r="F8872" t="s">
        <v>12210</v>
      </c>
      <c r="G8872" t="s">
        <v>16448</v>
      </c>
      <c r="H8872" t="s">
        <v>21350</v>
      </c>
    </row>
    <row r="8873" spans="1:8">
      <c r="H8873" t="s">
        <v>21351</v>
      </c>
    </row>
    <row r="8874" spans="1:8">
      <c r="H8874" t="s">
        <v>21352</v>
      </c>
    </row>
    <row r="8875" spans="1:8">
      <c r="H8875" t="s">
        <v>21353</v>
      </c>
    </row>
    <row r="8876" spans="1:8">
      <c r="F8876" t="s">
        <v>12209</v>
      </c>
      <c r="G8876" t="s">
        <v>16447</v>
      </c>
      <c r="H8876" t="s">
        <v>21350</v>
      </c>
    </row>
    <row r="8877" spans="1:8">
      <c r="H8877" t="s">
        <v>21351</v>
      </c>
    </row>
    <row r="8878" spans="1:8">
      <c r="H8878" t="s">
        <v>21352</v>
      </c>
    </row>
    <row r="8879" spans="1:8">
      <c r="H8879" t="s">
        <v>21353</v>
      </c>
    </row>
    <row r="8880" spans="1:8">
      <c r="A8880" t="s">
        <v>456</v>
      </c>
      <c r="B8880">
        <f>HYPERLINK("https://android.googlesource.com/platform/cts/+/11a6875d8748fdc5514cfc49af182681a781f957", "11a6875d8748fdc5514cfc49af182681a781f957")</f>
        <v>0</v>
      </c>
      <c r="C8880">
        <f>HYPERLINK("https://android.googlesource.com/platform/cts/+/15e47193a78a260d87f820d6845d49ddaf5c91a1", "15e47193a78a260d87f820d6845d49ddaf5c91a1")</f>
        <v>0</v>
      </c>
      <c r="D8880" t="s">
        <v>4947</v>
      </c>
      <c r="E8880" t="s">
        <v>6248</v>
      </c>
      <c r="F8880" t="s">
        <v>10746</v>
      </c>
      <c r="G8880" t="s">
        <v>15145</v>
      </c>
      <c r="H8880" t="s">
        <v>21361</v>
      </c>
    </row>
    <row r="8881" spans="1:8">
      <c r="A8881" t="s">
        <v>458</v>
      </c>
      <c r="B8881">
        <f>HYPERLINK("https://android.googlesource.com/platform/cts/+/5d7cb1678cea7eaf44ec641900379031ea74b62a", "5d7cb1678cea7eaf44ec641900379031ea74b62a")</f>
        <v>0</v>
      </c>
      <c r="C8881">
        <f>HYPERLINK("https://android.googlesource.com/platform/cts/+/5a1f0b0fb3478b89e2c79c2ca2a2f0446f0c869f", "5a1f0b0fb3478b89e2c79c2ca2a2f0446f0c869f")</f>
        <v>0</v>
      </c>
      <c r="D8881" t="s">
        <v>4966</v>
      </c>
      <c r="E8881" t="s">
        <v>6250</v>
      </c>
      <c r="F8881" t="s">
        <v>10819</v>
      </c>
      <c r="G8881" t="s">
        <v>15214</v>
      </c>
      <c r="H8881" t="s">
        <v>20104</v>
      </c>
    </row>
    <row r="8882" spans="1:8">
      <c r="F8882" t="s">
        <v>10820</v>
      </c>
      <c r="G8882" t="s">
        <v>15215</v>
      </c>
      <c r="H8882" t="s">
        <v>20102</v>
      </c>
    </row>
    <row r="8883" spans="1:8">
      <c r="F8883" t="s">
        <v>10821</v>
      </c>
      <c r="G8883" t="s">
        <v>15216</v>
      </c>
      <c r="H8883" t="s">
        <v>20104</v>
      </c>
    </row>
    <row r="8884" spans="1:8">
      <c r="F8884" t="s">
        <v>10823</v>
      </c>
      <c r="G8884" t="s">
        <v>15218</v>
      </c>
      <c r="H8884" t="s">
        <v>20102</v>
      </c>
    </row>
    <row r="8885" spans="1:8">
      <c r="F8885" t="s">
        <v>12212</v>
      </c>
      <c r="G8885" t="s">
        <v>15614</v>
      </c>
      <c r="H8885" t="s">
        <v>20100</v>
      </c>
    </row>
    <row r="8886" spans="1:8">
      <c r="F8886" t="s">
        <v>12213</v>
      </c>
      <c r="G8886" t="s">
        <v>15615</v>
      </c>
      <c r="H8886" t="s">
        <v>20100</v>
      </c>
    </row>
    <row r="8887" spans="1:8">
      <c r="F8887" t="s">
        <v>12214</v>
      </c>
      <c r="G8887" t="s">
        <v>15616</v>
      </c>
      <c r="H8887" t="s">
        <v>20100</v>
      </c>
    </row>
    <row r="8888" spans="1:8">
      <c r="F8888" t="s">
        <v>12215</v>
      </c>
      <c r="G8888" t="s">
        <v>15618</v>
      </c>
      <c r="H8888" t="s">
        <v>20100</v>
      </c>
    </row>
    <row r="8889" spans="1:8">
      <c r="F8889" t="s">
        <v>12216</v>
      </c>
      <c r="G8889" t="s">
        <v>15649</v>
      </c>
      <c r="H8889" t="s">
        <v>20100</v>
      </c>
    </row>
    <row r="8890" spans="1:8">
      <c r="F8890" t="s">
        <v>12217</v>
      </c>
      <c r="G8890" t="s">
        <v>15650</v>
      </c>
      <c r="H8890" t="s">
        <v>20100</v>
      </c>
    </row>
    <row r="8891" spans="1:8">
      <c r="F8891" t="s">
        <v>12218</v>
      </c>
      <c r="G8891" t="s">
        <v>15651</v>
      </c>
      <c r="H8891" t="s">
        <v>20100</v>
      </c>
    </row>
    <row r="8892" spans="1:8">
      <c r="F8892" t="s">
        <v>12219</v>
      </c>
      <c r="G8892" t="s">
        <v>15653</v>
      </c>
      <c r="H8892" t="s">
        <v>20100</v>
      </c>
    </row>
    <row r="8893" spans="1:8">
      <c r="A8893" t="s">
        <v>460</v>
      </c>
      <c r="B8893">
        <f>HYPERLINK("https://android.googlesource.com/platform/cts/+/3cdd0d4a151b81a68af45366314a753a5dab98a2", "3cdd0d4a151b81a68af45366314a753a5dab98a2")</f>
        <v>0</v>
      </c>
      <c r="C8893">
        <f>HYPERLINK("https://android.googlesource.com/platform/cts/+/efc60de3235a12bfd6ba3ddb9fb3cc9a56a1bfdb", "efc60de3235a12bfd6ba3ddb9fb3cc9a56a1bfdb")</f>
        <v>0</v>
      </c>
      <c r="D8893" t="s">
        <v>5002</v>
      </c>
      <c r="E8893" t="s">
        <v>6252</v>
      </c>
      <c r="F8893" t="s">
        <v>12189</v>
      </c>
      <c r="G8893" t="s">
        <v>16428</v>
      </c>
      <c r="H8893" t="s">
        <v>21300</v>
      </c>
    </row>
    <row r="8894" spans="1:8">
      <c r="A8894" t="s">
        <v>461</v>
      </c>
      <c r="B8894">
        <f>HYPERLINK("https://android.googlesource.com/platform/cts/+/ce9cb7f81aafc8429095dba1e046cfb3f0df1f15", "ce9cb7f81aafc8429095dba1e046cfb3f0df1f15")</f>
        <v>0</v>
      </c>
      <c r="C8894">
        <f>HYPERLINK("https://android.googlesource.com/platform/cts/+/c1e7f652fef7c6f5c9d5c92481485e047ce18083", "c1e7f652fef7c6f5c9d5c92481485e047ce18083")</f>
        <v>0</v>
      </c>
      <c r="D8894" t="s">
        <v>4981</v>
      </c>
      <c r="E8894" t="s">
        <v>6253</v>
      </c>
      <c r="F8894" t="s">
        <v>10599</v>
      </c>
      <c r="G8894" t="s">
        <v>15002</v>
      </c>
      <c r="H8894" t="s">
        <v>21368</v>
      </c>
    </row>
    <row r="8895" spans="1:8">
      <c r="A8895" t="s">
        <v>463</v>
      </c>
      <c r="B8895">
        <f>HYPERLINK("https://android.googlesource.com/platform/cts/+/d37bc1981a1ee1ca1e36cede69ad46933dacc963", "d37bc1981a1ee1ca1e36cede69ad46933dacc963")</f>
        <v>0</v>
      </c>
      <c r="C8895">
        <f>HYPERLINK("https://android.googlesource.com/platform/cts/+/86f5853419163efea85e9e3e95c1fe0ce0b80b60", "86f5853419163efea85e9e3e95c1fe0ce0b80b60")</f>
        <v>0</v>
      </c>
      <c r="D8895" t="s">
        <v>4952</v>
      </c>
      <c r="E8895" t="s">
        <v>6255</v>
      </c>
      <c r="F8895" t="s">
        <v>12222</v>
      </c>
      <c r="G8895" t="s">
        <v>16452</v>
      </c>
      <c r="H8895" t="s">
        <v>21370</v>
      </c>
    </row>
    <row r="8896" spans="1:8">
      <c r="A8896" t="s">
        <v>465</v>
      </c>
      <c r="B8896">
        <f>HYPERLINK("https://android.googlesource.com/platform/cts/+/139d0a4fb780ce2cb46f56146ba32904c2373006", "139d0a4fb780ce2cb46f56146ba32904c2373006")</f>
        <v>0</v>
      </c>
      <c r="C8896">
        <f>HYPERLINK("https://android.googlesource.com/platform/cts/+/5b42ea303e612e44a7fb96b43db479b21a43992b", "5b42ea303e612e44a7fb96b43db479b21a43992b")</f>
        <v>0</v>
      </c>
      <c r="D8896" t="s">
        <v>4963</v>
      </c>
      <c r="E8896" t="s">
        <v>6257</v>
      </c>
      <c r="F8896" t="s">
        <v>12223</v>
      </c>
      <c r="G8896" t="s">
        <v>16453</v>
      </c>
      <c r="H8896" t="s">
        <v>21372</v>
      </c>
    </row>
    <row r="8897" spans="1:8">
      <c r="A8897" t="s">
        <v>466</v>
      </c>
      <c r="B8897">
        <f>HYPERLINK("https://android.googlesource.com/platform/cts/+/a6886a2276483a64cec469a04ed09873809a00e4", "a6886a2276483a64cec469a04ed09873809a00e4")</f>
        <v>0</v>
      </c>
      <c r="C8897">
        <f>HYPERLINK("https://android.googlesource.com/platform/cts/+/d6e20d8f8d6b2ff1bfba5464b7089ee6e6ae617f", "d6e20d8f8d6b2ff1bfba5464b7089ee6e6ae617f")</f>
        <v>0</v>
      </c>
      <c r="D8897" t="s">
        <v>4947</v>
      </c>
      <c r="E8897" t="s">
        <v>6258</v>
      </c>
      <c r="F8897" t="s">
        <v>10746</v>
      </c>
      <c r="G8897" t="s">
        <v>15145</v>
      </c>
      <c r="H8897" t="s">
        <v>21374</v>
      </c>
    </row>
    <row r="8898" spans="1:8">
      <c r="A8898" t="s">
        <v>470</v>
      </c>
      <c r="B8898">
        <f>HYPERLINK("https://android.googlesource.com/platform/cts/+/92f595c519f8c95b081f9cf2573df216876a8b3e", "92f595c519f8c95b081f9cf2573df216876a8b3e")</f>
        <v>0</v>
      </c>
      <c r="C8898">
        <f>HYPERLINK("https://android.googlesource.com/platform/cts/+/cf17d3237c4b2dd1e50a03d771781f6d0361f9d3", "cf17d3237c4b2dd1e50a03d771781f6d0361f9d3")</f>
        <v>0</v>
      </c>
      <c r="D8898" t="s">
        <v>4978</v>
      </c>
      <c r="E8898" t="s">
        <v>6262</v>
      </c>
      <c r="F8898" t="s">
        <v>12225</v>
      </c>
      <c r="G8898" t="s">
        <v>16455</v>
      </c>
      <c r="H8898" t="s">
        <v>21379</v>
      </c>
    </row>
    <row r="8899" spans="1:8">
      <c r="A8899" t="s">
        <v>474</v>
      </c>
      <c r="B8899">
        <f>HYPERLINK("https://android.googlesource.com/platform/cts/+/af23ba4a948e5da5f820fc640cd168346e4778a7", "af23ba4a948e5da5f820fc640cd168346e4778a7")</f>
        <v>0</v>
      </c>
      <c r="C8899">
        <f>HYPERLINK("https://android.googlesource.com/platform/cts/+/17af2e602886a8d33716a4c745f757db029e0901", "17af2e602886a8d33716a4c745f757db029e0901")</f>
        <v>0</v>
      </c>
      <c r="D8899" t="s">
        <v>5007</v>
      </c>
      <c r="E8899" t="s">
        <v>6265</v>
      </c>
      <c r="F8899" t="s">
        <v>12226</v>
      </c>
      <c r="G8899" t="s">
        <v>16456</v>
      </c>
      <c r="H8899" t="s">
        <v>21382</v>
      </c>
    </row>
    <row r="8900" spans="1:8">
      <c r="H8900" t="s">
        <v>21383</v>
      </c>
    </row>
    <row r="8901" spans="1:8">
      <c r="A8901" t="s">
        <v>475</v>
      </c>
      <c r="B8901">
        <f>HYPERLINK("https://android.googlesource.com/platform/cts/+/275cbc88ac41bf7e49309a99bde441d1c64fc077", "275cbc88ac41bf7e49309a99bde441d1c64fc077")</f>
        <v>0</v>
      </c>
      <c r="C8901">
        <f>HYPERLINK("https://android.googlesource.com/platform/cts/+/17af2e602886a8d33716a4c745f757db029e0901", "17af2e602886a8d33716a4c745f757db029e0901")</f>
        <v>0</v>
      </c>
      <c r="D8901" t="s">
        <v>5008</v>
      </c>
      <c r="E8901" t="s">
        <v>6266</v>
      </c>
      <c r="F8901" t="s">
        <v>12176</v>
      </c>
      <c r="G8901" t="s">
        <v>16415</v>
      </c>
      <c r="H8901" t="s">
        <v>21384</v>
      </c>
    </row>
    <row r="8902" spans="1:8">
      <c r="H8902" t="s">
        <v>21385</v>
      </c>
    </row>
    <row r="8903" spans="1:8">
      <c r="H8903" t="s">
        <v>21386</v>
      </c>
    </row>
    <row r="8904" spans="1:8">
      <c r="H8904" t="s">
        <v>21387</v>
      </c>
    </row>
    <row r="8905" spans="1:8">
      <c r="H8905" t="s">
        <v>21388</v>
      </c>
    </row>
    <row r="8906" spans="1:8">
      <c r="H8906" t="s">
        <v>21389</v>
      </c>
    </row>
    <row r="8907" spans="1:8">
      <c r="H8907" t="s">
        <v>21390</v>
      </c>
    </row>
    <row r="8908" spans="1:8">
      <c r="H8908" t="s">
        <v>21391</v>
      </c>
    </row>
    <row r="8909" spans="1:8">
      <c r="H8909" t="s">
        <v>21392</v>
      </c>
    </row>
    <row r="8910" spans="1:8">
      <c r="H8910" t="s">
        <v>21393</v>
      </c>
    </row>
    <row r="8911" spans="1:8">
      <c r="H8911" t="s">
        <v>21394</v>
      </c>
    </row>
    <row r="8912" spans="1:8">
      <c r="H8912" t="s">
        <v>21395</v>
      </c>
    </row>
    <row r="8913" spans="1:8">
      <c r="A8913" t="s">
        <v>477</v>
      </c>
      <c r="B8913">
        <f>HYPERLINK("https://android.googlesource.com/platform/cts/+/3740265ff4396d162dd427c63da9d1705e7ebbe8", "3740265ff4396d162dd427c63da9d1705e7ebbe8")</f>
        <v>0</v>
      </c>
      <c r="C8913">
        <f>HYPERLINK("https://android.googlesource.com/platform/cts/+/0c1bf5ffb33614cd3aa16d0c99bbbff230e0f402", "0c1bf5ffb33614cd3aa16d0c99bbbff230e0f402")</f>
        <v>0</v>
      </c>
      <c r="D8913" t="s">
        <v>4981</v>
      </c>
      <c r="E8913" t="s">
        <v>6268</v>
      </c>
      <c r="F8913" t="s">
        <v>12227</v>
      </c>
      <c r="G8913" t="s">
        <v>16457</v>
      </c>
      <c r="H8913" t="s">
        <v>21397</v>
      </c>
    </row>
    <row r="8914" spans="1:8">
      <c r="A8914" t="s">
        <v>478</v>
      </c>
      <c r="B8914">
        <f>HYPERLINK("https://android.googlesource.com/platform/cts/+/9053ec5e25e6b6bc27912804812ba2b37991829f", "9053ec5e25e6b6bc27912804812ba2b37991829f")</f>
        <v>0</v>
      </c>
      <c r="C8914">
        <f>HYPERLINK("https://android.googlesource.com/platform/cts/+/3740265ff4396d162dd427c63da9d1705e7ebbe8", "3740265ff4396d162dd427c63da9d1705e7ebbe8")</f>
        <v>0</v>
      </c>
      <c r="D8914" t="s">
        <v>4981</v>
      </c>
      <c r="E8914" t="s">
        <v>6269</v>
      </c>
      <c r="F8914" t="s">
        <v>10649</v>
      </c>
      <c r="G8914" t="s">
        <v>15050</v>
      </c>
      <c r="H8914" t="s">
        <v>21398</v>
      </c>
    </row>
    <row r="8915" spans="1:8">
      <c r="A8915" t="s">
        <v>483</v>
      </c>
      <c r="B8915">
        <f>HYPERLINK("https://android.googlesource.com/platform/cts/+/76ee5a0c579770d36d19468a169c5a07f00c7056", "76ee5a0c579770d36d19468a169c5a07f00c7056")</f>
        <v>0</v>
      </c>
      <c r="C8915">
        <f>HYPERLINK("https://android.googlesource.com/platform/cts/+/217c4eae7164b041a8600c939d4b3483a0aa9967", "217c4eae7164b041a8600c939d4b3483a0aa9967")</f>
        <v>0</v>
      </c>
      <c r="D8915" t="s">
        <v>4983</v>
      </c>
      <c r="E8915" t="s">
        <v>6270</v>
      </c>
      <c r="F8915" t="s">
        <v>12225</v>
      </c>
      <c r="G8915" t="s">
        <v>16455</v>
      </c>
      <c r="H8915" t="s">
        <v>21405</v>
      </c>
    </row>
    <row r="8916" spans="1:8">
      <c r="A8916" t="s">
        <v>486</v>
      </c>
      <c r="B8916">
        <f>HYPERLINK("https://android.googlesource.com/platform/cts/+/afce1a14850b9842aa05747152f9a7815f817149", "afce1a14850b9842aa05747152f9a7815f817149")</f>
        <v>0</v>
      </c>
      <c r="C8916">
        <f>HYPERLINK("https://android.googlesource.com/platform/cts/+/cdea4dd5f4e9940b28468e3251bcd93426180894", "cdea4dd5f4e9940b28468e3251bcd93426180894")</f>
        <v>0</v>
      </c>
      <c r="D8916" t="s">
        <v>5010</v>
      </c>
      <c r="E8916" t="s">
        <v>6273</v>
      </c>
      <c r="F8916" t="s">
        <v>12228</v>
      </c>
      <c r="G8916" t="s">
        <v>16458</v>
      </c>
      <c r="H8916" t="s">
        <v>21406</v>
      </c>
    </row>
    <row r="8917" spans="1:8">
      <c r="H8917" t="s">
        <v>21407</v>
      </c>
    </row>
    <row r="8918" spans="1:8">
      <c r="H8918" t="s">
        <v>21408</v>
      </c>
    </row>
    <row r="8919" spans="1:8">
      <c r="H8919" t="s">
        <v>21409</v>
      </c>
    </row>
    <row r="8920" spans="1:8">
      <c r="H8920" t="s">
        <v>21410</v>
      </c>
    </row>
    <row r="8921" spans="1:8">
      <c r="H8921" t="s">
        <v>21411</v>
      </c>
    </row>
    <row r="8922" spans="1:8">
      <c r="H8922" t="s">
        <v>21412</v>
      </c>
    </row>
    <row r="8923" spans="1:8">
      <c r="H8923" t="s">
        <v>21413</v>
      </c>
    </row>
    <row r="8924" spans="1:8">
      <c r="H8924" t="s">
        <v>21414</v>
      </c>
    </row>
    <row r="8925" spans="1:8">
      <c r="H8925" t="s">
        <v>21415</v>
      </c>
    </row>
    <row r="8926" spans="1:8">
      <c r="H8926" t="s">
        <v>21416</v>
      </c>
    </row>
    <row r="8927" spans="1:8">
      <c r="H8927" t="s">
        <v>21417</v>
      </c>
    </row>
    <row r="8928" spans="1:8">
      <c r="H8928" t="s">
        <v>21418</v>
      </c>
    </row>
    <row r="8929" spans="8:8">
      <c r="H8929" t="s">
        <v>21419</v>
      </c>
    </row>
    <row r="8930" spans="8:8">
      <c r="H8930" t="s">
        <v>21420</v>
      </c>
    </row>
    <row r="8931" spans="8:8">
      <c r="H8931" t="s">
        <v>21421</v>
      </c>
    </row>
    <row r="8932" spans="8:8">
      <c r="H8932" t="s">
        <v>21422</v>
      </c>
    </row>
    <row r="8933" spans="8:8">
      <c r="H8933" t="s">
        <v>21423</v>
      </c>
    </row>
    <row r="8934" spans="8:8">
      <c r="H8934" t="s">
        <v>21424</v>
      </c>
    </row>
    <row r="8935" spans="8:8">
      <c r="H8935" t="s">
        <v>21425</v>
      </c>
    </row>
    <row r="8936" spans="8:8">
      <c r="H8936" t="s">
        <v>21426</v>
      </c>
    </row>
    <row r="8937" spans="8:8">
      <c r="H8937" t="s">
        <v>21427</v>
      </c>
    </row>
    <row r="8938" spans="8:8">
      <c r="H8938" t="s">
        <v>21428</v>
      </c>
    </row>
    <row r="8939" spans="8:8">
      <c r="H8939" t="s">
        <v>21429</v>
      </c>
    </row>
    <row r="8940" spans="8:8">
      <c r="H8940" t="s">
        <v>21430</v>
      </c>
    </row>
    <row r="8941" spans="8:8">
      <c r="H8941" t="s">
        <v>21431</v>
      </c>
    </row>
    <row r="8942" spans="8:8">
      <c r="H8942" t="s">
        <v>21432</v>
      </c>
    </row>
    <row r="8943" spans="8:8">
      <c r="H8943" t="s">
        <v>21433</v>
      </c>
    </row>
    <row r="8944" spans="8:8">
      <c r="H8944" t="s">
        <v>21434</v>
      </c>
    </row>
    <row r="8945" spans="1:8">
      <c r="H8945" t="s">
        <v>21435</v>
      </c>
    </row>
    <row r="8946" spans="1:8">
      <c r="H8946" t="s">
        <v>21436</v>
      </c>
    </row>
    <row r="8947" spans="1:8">
      <c r="H8947" t="s">
        <v>21437</v>
      </c>
    </row>
    <row r="8948" spans="1:8">
      <c r="H8948" t="s">
        <v>21438</v>
      </c>
    </row>
    <row r="8949" spans="1:8">
      <c r="H8949" t="s">
        <v>21439</v>
      </c>
    </row>
    <row r="8950" spans="1:8">
      <c r="H8950" t="s">
        <v>21440</v>
      </c>
    </row>
    <row r="8951" spans="1:8">
      <c r="H8951" t="s">
        <v>21441</v>
      </c>
    </row>
    <row r="8952" spans="1:8">
      <c r="H8952" t="s">
        <v>21442</v>
      </c>
    </row>
    <row r="8953" spans="1:8">
      <c r="H8953" t="s">
        <v>21443</v>
      </c>
    </row>
    <row r="8954" spans="1:8">
      <c r="H8954" t="s">
        <v>21444</v>
      </c>
    </row>
    <row r="8955" spans="1:8">
      <c r="F8955" t="s">
        <v>12229</v>
      </c>
      <c r="G8955" t="s">
        <v>16459</v>
      </c>
      <c r="H8955" t="s">
        <v>21445</v>
      </c>
    </row>
    <row r="8956" spans="1:8">
      <c r="A8956" t="s">
        <v>488</v>
      </c>
      <c r="B8956">
        <f>HYPERLINK("https://android.googlesource.com/platform/cts/+/9dbe417023e71a298cb9cb729959453a96d8d907", "9dbe417023e71a298cb9cb729959453a96d8d907")</f>
        <v>0</v>
      </c>
      <c r="C8956">
        <f>HYPERLINK("https://android.googlesource.com/platform/cts/+/f6dfa9eb7807ded78f4e740686d629e7eb346d87", "f6dfa9eb7807ded78f4e740686d629e7eb346d87")</f>
        <v>0</v>
      </c>
      <c r="D8956" t="s">
        <v>5004</v>
      </c>
      <c r="E8956" t="s">
        <v>6275</v>
      </c>
      <c r="F8956" t="s">
        <v>12225</v>
      </c>
      <c r="G8956" t="s">
        <v>16455</v>
      </c>
      <c r="H8956" t="s">
        <v>21446</v>
      </c>
    </row>
    <row r="8957" spans="1:8">
      <c r="A8957" t="s">
        <v>489</v>
      </c>
      <c r="B8957">
        <f>HYPERLINK("https://android.googlesource.com/platform/cts/+/95988bdc4f6cad1662215bcc4ae5c27ef496a38c", "95988bdc4f6cad1662215bcc4ae5c27ef496a38c")</f>
        <v>0</v>
      </c>
      <c r="C8957">
        <f>HYPERLINK("https://android.googlesource.com/platform/cts/+/27bb29f13838fcdb7536848ab54b9afa2e5c1322", "27bb29f13838fcdb7536848ab54b9afa2e5c1322")</f>
        <v>0</v>
      </c>
      <c r="D8957" t="s">
        <v>5012</v>
      </c>
      <c r="E8957" t="s">
        <v>6276</v>
      </c>
      <c r="F8957" t="s">
        <v>12230</v>
      </c>
      <c r="G8957" t="s">
        <v>16460</v>
      </c>
      <c r="H8957" t="s">
        <v>21447</v>
      </c>
    </row>
    <row r="8958" spans="1:8">
      <c r="A8958" t="s">
        <v>490</v>
      </c>
      <c r="B8958">
        <f>HYPERLINK("https://android.googlesource.com/platform/cts/+/d5fb821449d0e610322f0a0c77b9150f12e09b10", "d5fb821449d0e610322f0a0c77b9150f12e09b10")</f>
        <v>0</v>
      </c>
      <c r="C8958">
        <f>HYPERLINK("https://android.googlesource.com/platform/cts/+/27bb29f13838fcdb7536848ab54b9afa2e5c1322", "27bb29f13838fcdb7536848ab54b9afa2e5c1322")</f>
        <v>0</v>
      </c>
      <c r="D8958" t="s">
        <v>4968</v>
      </c>
      <c r="E8958" t="s">
        <v>6277</v>
      </c>
      <c r="F8958" t="s">
        <v>12231</v>
      </c>
      <c r="G8958" t="s">
        <v>16461</v>
      </c>
      <c r="H8958" t="s">
        <v>21448</v>
      </c>
    </row>
    <row r="8959" spans="1:8">
      <c r="A8959" t="s">
        <v>492</v>
      </c>
      <c r="B8959">
        <f>HYPERLINK("https://android.googlesource.com/platform/cts/+/85fb765e613f03b51203a1384f5343394fb21d98", "85fb765e613f03b51203a1384f5343394fb21d98")</f>
        <v>0</v>
      </c>
      <c r="C8959">
        <f>HYPERLINK("https://android.googlesource.com/platform/cts/+/7d378bec4412e41b2ca0f1d99261fecf3cd27900", "7d378bec4412e41b2ca0f1d99261fecf3cd27900")</f>
        <v>0</v>
      </c>
      <c r="D8959" t="s">
        <v>4981</v>
      </c>
      <c r="E8959" t="s">
        <v>6278</v>
      </c>
      <c r="F8959" t="s">
        <v>12227</v>
      </c>
      <c r="G8959" t="s">
        <v>16457</v>
      </c>
      <c r="H8959" t="s">
        <v>21450</v>
      </c>
    </row>
    <row r="8960" spans="1:8">
      <c r="A8960" t="s">
        <v>493</v>
      </c>
      <c r="B8960">
        <f>HYPERLINK("https://android.googlesource.com/platform/cts/+/79fcc721bdbd0ef44b4c7a8b735b8f15e0faffb6", "79fcc721bdbd0ef44b4c7a8b735b8f15e0faffb6")</f>
        <v>0</v>
      </c>
      <c r="C8960">
        <f>HYPERLINK("https://android.googlesource.com/platform/cts/+/85fb765e613f03b51203a1384f5343394fb21d98", "85fb765e613f03b51203a1384f5343394fb21d98")</f>
        <v>0</v>
      </c>
      <c r="D8960" t="s">
        <v>4981</v>
      </c>
      <c r="E8960" t="s">
        <v>6279</v>
      </c>
      <c r="F8960" t="s">
        <v>12232</v>
      </c>
      <c r="G8960" t="s">
        <v>16462</v>
      </c>
      <c r="H8960" t="s">
        <v>21453</v>
      </c>
    </row>
    <row r="8961" spans="1:8">
      <c r="A8961" t="s">
        <v>494</v>
      </c>
      <c r="B8961">
        <f>HYPERLINK("https://android.googlesource.com/platform/cts/+/20ecc0e2eb094fa6cc6b27b5efeb9be3df3adb91", "20ecc0e2eb094fa6cc6b27b5efeb9be3df3adb91")</f>
        <v>0</v>
      </c>
      <c r="C8961">
        <f>HYPERLINK("https://android.googlesource.com/platform/cts/+/2b7ae5139a7ed7bfa158c6213906736431de12e5", "2b7ae5139a7ed7bfa158c6213906736431de12e5")</f>
        <v>0</v>
      </c>
      <c r="D8961" t="s">
        <v>4981</v>
      </c>
      <c r="E8961" t="s">
        <v>6280</v>
      </c>
      <c r="F8961" t="s">
        <v>12233</v>
      </c>
      <c r="G8961" t="s">
        <v>16463</v>
      </c>
      <c r="H8961" t="s">
        <v>21454</v>
      </c>
    </row>
    <row r="8962" spans="1:8">
      <c r="H8962" t="s">
        <v>21455</v>
      </c>
    </row>
    <row r="8963" spans="1:8">
      <c r="H8963" t="s">
        <v>21456</v>
      </c>
    </row>
    <row r="8964" spans="1:8">
      <c r="H8964" t="s">
        <v>21457</v>
      </c>
    </row>
    <row r="8965" spans="1:8">
      <c r="H8965" t="s">
        <v>21458</v>
      </c>
    </row>
    <row r="8966" spans="1:8">
      <c r="H8966" t="s">
        <v>21459</v>
      </c>
    </row>
    <row r="8967" spans="1:8">
      <c r="H8967" t="s">
        <v>21460</v>
      </c>
    </row>
    <row r="8968" spans="1:8">
      <c r="A8968" t="s">
        <v>496</v>
      </c>
      <c r="B8968">
        <f>HYPERLINK("https://android.googlesource.com/platform/cts/+/e69403f4663ecab20cfc80f42afc7247f3efc24b", "e69403f4663ecab20cfc80f42afc7247f3efc24b")</f>
        <v>0</v>
      </c>
      <c r="C8968">
        <f>HYPERLINK("https://android.googlesource.com/platform/cts/+/02519dac4380f1302aad40d2b96c08aa1fad52e1", "02519dac4380f1302aad40d2b96c08aa1fad52e1")</f>
        <v>0</v>
      </c>
      <c r="D8968" t="s">
        <v>5013</v>
      </c>
      <c r="E8968" t="s">
        <v>6282</v>
      </c>
      <c r="F8968" t="s">
        <v>12234</v>
      </c>
      <c r="G8968" t="s">
        <v>16464</v>
      </c>
      <c r="H8968" t="s">
        <v>21464</v>
      </c>
    </row>
    <row r="8969" spans="1:8">
      <c r="F8969" t="s">
        <v>12235</v>
      </c>
      <c r="G8969" t="s">
        <v>16465</v>
      </c>
      <c r="H8969" t="s">
        <v>21464</v>
      </c>
    </row>
    <row r="8970" spans="1:8">
      <c r="F8970" t="s">
        <v>12236</v>
      </c>
      <c r="G8970" t="s">
        <v>16466</v>
      </c>
      <c r="H8970" t="s">
        <v>21464</v>
      </c>
    </row>
    <row r="8971" spans="1:8">
      <c r="A8971" t="s">
        <v>497</v>
      </c>
      <c r="B8971">
        <f>HYPERLINK("https://android.googlesource.com/platform/cts/+/2b0131ca8b401d80531706a20ad358b9bf99d259", "2b0131ca8b401d80531706a20ad358b9bf99d259")</f>
        <v>0</v>
      </c>
      <c r="C8971">
        <f>HYPERLINK("https://android.googlesource.com/platform/cts/+/5c7773621b2f0760d8bb4163a2f73ac5ac545e78", "5c7773621b2f0760d8bb4163a2f73ac5ac545e78")</f>
        <v>0</v>
      </c>
      <c r="D8971" t="s">
        <v>5014</v>
      </c>
      <c r="E8971" t="s">
        <v>6283</v>
      </c>
      <c r="F8971" t="s">
        <v>12237</v>
      </c>
      <c r="G8971" t="s">
        <v>16467</v>
      </c>
      <c r="H8971" t="s">
        <v>21465</v>
      </c>
    </row>
    <row r="8972" spans="1:8">
      <c r="H8972" t="s">
        <v>21466</v>
      </c>
    </row>
    <row r="8973" spans="1:8">
      <c r="A8973" t="s">
        <v>498</v>
      </c>
      <c r="B8973">
        <f>HYPERLINK("https://android.googlesource.com/platform/cts/+/228d1b55ea6976e00c80372613511a6900c8ba4b", "228d1b55ea6976e00c80372613511a6900c8ba4b")</f>
        <v>0</v>
      </c>
      <c r="C8973">
        <f>HYPERLINK("https://android.googlesource.com/platform/cts/+/75eea801bf237975246f34c564725db3dde10b4c", "75eea801bf237975246f34c564725db3dde10b4c")</f>
        <v>0</v>
      </c>
      <c r="D8973" t="s">
        <v>5013</v>
      </c>
      <c r="E8973" t="s">
        <v>6284</v>
      </c>
      <c r="F8973" t="s">
        <v>12234</v>
      </c>
      <c r="G8973" t="s">
        <v>16464</v>
      </c>
      <c r="H8973" t="s">
        <v>21471</v>
      </c>
    </row>
    <row r="8974" spans="1:8">
      <c r="H8974" t="s">
        <v>21472</v>
      </c>
    </row>
    <row r="8975" spans="1:8">
      <c r="F8975" t="s">
        <v>12235</v>
      </c>
      <c r="G8975" t="s">
        <v>16465</v>
      </c>
      <c r="H8975" t="s">
        <v>21471</v>
      </c>
    </row>
    <row r="8976" spans="1:8">
      <c r="H8976" t="s">
        <v>21472</v>
      </c>
    </row>
    <row r="8977" spans="1:8">
      <c r="F8977" t="s">
        <v>12236</v>
      </c>
      <c r="G8977" t="s">
        <v>16466</v>
      </c>
      <c r="H8977" t="s">
        <v>21471</v>
      </c>
    </row>
    <row r="8978" spans="1:8">
      <c r="H8978" t="s">
        <v>21472</v>
      </c>
    </row>
    <row r="8979" spans="1:8">
      <c r="A8979" t="s">
        <v>500</v>
      </c>
      <c r="B8979">
        <f>HYPERLINK("https://android.googlesource.com/platform/cts/+/c3329438041a9514d308cc03dd3cfac75573c356", "c3329438041a9514d308cc03dd3cfac75573c356")</f>
        <v>0</v>
      </c>
      <c r="C8979">
        <f>HYPERLINK("https://android.googlesource.com/platform/cts/+/6dacad5cdac2f9c44ec672043aa67a5bce631c0a", "6dacad5cdac2f9c44ec672043aa67a5bce631c0a")</f>
        <v>0</v>
      </c>
      <c r="D8979" t="s">
        <v>5002</v>
      </c>
      <c r="E8979" t="s">
        <v>6286</v>
      </c>
      <c r="F8979" t="s">
        <v>12189</v>
      </c>
      <c r="G8979" t="s">
        <v>16428</v>
      </c>
      <c r="H8979" t="s">
        <v>21300</v>
      </c>
    </row>
    <row r="8980" spans="1:8">
      <c r="A8980" t="s">
        <v>502</v>
      </c>
      <c r="B8980">
        <f>HYPERLINK("https://android.googlesource.com/platform/cts/+/d9a21093d7cc38749a3013f9b0b011f6610be3b0", "d9a21093d7cc38749a3013f9b0b011f6610be3b0")</f>
        <v>0</v>
      </c>
      <c r="C8980">
        <f>HYPERLINK("https://android.googlesource.com/platform/cts/+/f3c7daee9db73999a26d817ae35868ea633ee7ee", "f3c7daee9db73999a26d817ae35868ea633ee7ee")</f>
        <v>0</v>
      </c>
      <c r="D8980" t="s">
        <v>5002</v>
      </c>
      <c r="E8980" t="s">
        <v>6288</v>
      </c>
      <c r="F8980" t="s">
        <v>12190</v>
      </c>
      <c r="G8980" t="s">
        <v>16429</v>
      </c>
      <c r="H8980" t="s">
        <v>21320</v>
      </c>
    </row>
    <row r="8981" spans="1:8">
      <c r="A8981" t="s">
        <v>503</v>
      </c>
      <c r="B8981">
        <f>HYPERLINK("https://android.googlesource.com/platform/cts/+/6ab5bad82445b81f833f16a5ec21ee2498d6422b", "6ab5bad82445b81f833f16a5ec21ee2498d6422b")</f>
        <v>0</v>
      </c>
      <c r="C8981">
        <f>HYPERLINK("https://android.googlesource.com/platform/cts/+/65c7cdb401ab923b50e0f59d32e166223c8ab089", "65c7cdb401ab923b50e0f59d32e166223c8ab089")</f>
        <v>0</v>
      </c>
      <c r="D8981" t="s">
        <v>5015</v>
      </c>
      <c r="E8981" t="s">
        <v>6289</v>
      </c>
      <c r="F8981" t="s">
        <v>12238</v>
      </c>
      <c r="G8981" t="s">
        <v>16468</v>
      </c>
      <c r="H8981" t="s">
        <v>20441</v>
      </c>
    </row>
    <row r="8982" spans="1:8">
      <c r="H8982" t="s">
        <v>21474</v>
      </c>
    </row>
    <row r="8983" spans="1:8">
      <c r="H8983" t="s">
        <v>21475</v>
      </c>
    </row>
    <row r="8984" spans="1:8">
      <c r="A8984" t="s">
        <v>504</v>
      </c>
      <c r="B8984">
        <f>HYPERLINK("https://android.googlesource.com/platform/cts/+/562ec52401a65facf4b5f1a7af06d66ac95c9022", "562ec52401a65facf4b5f1a7af06d66ac95c9022")</f>
        <v>0</v>
      </c>
      <c r="C8984">
        <f>HYPERLINK("https://android.googlesource.com/platform/cts/+/ef2d2fa944318a8973e50045051fb525ca29a81a", "ef2d2fa944318a8973e50045051fb525ca29a81a")</f>
        <v>0</v>
      </c>
      <c r="D8984" t="s">
        <v>4998</v>
      </c>
      <c r="E8984" t="s">
        <v>6290</v>
      </c>
      <c r="F8984" t="s">
        <v>12239</v>
      </c>
      <c r="G8984" t="s">
        <v>16469</v>
      </c>
      <c r="H8984" t="s">
        <v>21476</v>
      </c>
    </row>
    <row r="8985" spans="1:8">
      <c r="A8985" t="s">
        <v>509</v>
      </c>
      <c r="B8985">
        <f>HYPERLINK("https://android.googlesource.com/platform/cts/+/c09a2e0bfbc7d015dfddc41079d30d60ddf4b46c", "c09a2e0bfbc7d015dfddc41079d30d60ddf4b46c")</f>
        <v>0</v>
      </c>
      <c r="C8985">
        <f>HYPERLINK("https://android.googlesource.com/platform/cts/+/1437084725aa93716b6f5824ddce74c6add7af51", "1437084725aa93716b6f5824ddce74c6add7af51")</f>
        <v>0</v>
      </c>
      <c r="D8985" t="s">
        <v>5002</v>
      </c>
      <c r="E8985" t="s">
        <v>6295</v>
      </c>
      <c r="F8985" t="s">
        <v>12242</v>
      </c>
      <c r="G8985" t="s">
        <v>16473</v>
      </c>
      <c r="H8985" t="s">
        <v>19536</v>
      </c>
    </row>
    <row r="8986" spans="1:8">
      <c r="A8986" t="s">
        <v>511</v>
      </c>
      <c r="B8986">
        <f>HYPERLINK("https://android.googlesource.com/platform/cts/+/d6fe85283594f959ea11e7567f28a28837f191b9", "d6fe85283594f959ea11e7567f28a28837f191b9")</f>
        <v>0</v>
      </c>
      <c r="C8986">
        <f>HYPERLINK("https://android.googlesource.com/platform/cts/+/779cca73143371093f2d910f2d013e9dcc2142c8", "779cca73143371093f2d910f2d013e9dcc2142c8")</f>
        <v>0</v>
      </c>
      <c r="D8986" t="s">
        <v>4992</v>
      </c>
      <c r="E8986" t="s">
        <v>6297</v>
      </c>
      <c r="F8986" t="s">
        <v>10687</v>
      </c>
      <c r="G8986" t="s">
        <v>15087</v>
      </c>
      <c r="H8986" t="s">
        <v>21495</v>
      </c>
    </row>
    <row r="8987" spans="1:8">
      <c r="H8987" t="s">
        <v>21496</v>
      </c>
    </row>
    <row r="8988" spans="1:8">
      <c r="A8988" t="s">
        <v>512</v>
      </c>
      <c r="B8988">
        <f>HYPERLINK("https://android.googlesource.com/platform/cts/+/923ac68a526f638f67942f70fffecb4ebff392e9", "923ac68a526f638f67942f70fffecb4ebff392e9")</f>
        <v>0</v>
      </c>
      <c r="C8988">
        <f>HYPERLINK("https://android.googlesource.com/platform/cts/+/496f375f4f39faf4861023b4a2868d289b424c44", "496f375f4f39faf4861023b4a2868d289b424c44")</f>
        <v>0</v>
      </c>
      <c r="D8988" t="s">
        <v>4991</v>
      </c>
      <c r="E8988" t="s">
        <v>6298</v>
      </c>
      <c r="F8988" t="s">
        <v>10687</v>
      </c>
      <c r="G8988" t="s">
        <v>15087</v>
      </c>
      <c r="H8988" t="s">
        <v>21499</v>
      </c>
    </row>
    <row r="8989" spans="1:8">
      <c r="A8989" t="s">
        <v>513</v>
      </c>
      <c r="B8989">
        <f>HYPERLINK("https://android.googlesource.com/platform/cts/+/6d22bcaf77957a0bcab6293795769ad38557383a", "6d22bcaf77957a0bcab6293795769ad38557383a")</f>
        <v>0</v>
      </c>
      <c r="C8989">
        <f>HYPERLINK("https://android.googlesource.com/platform/cts/+/10020a8792533d82f2964c5ce5bded3d5195623b", "10020a8792533d82f2964c5ce5bded3d5195623b")</f>
        <v>0</v>
      </c>
      <c r="D8989" t="s">
        <v>4949</v>
      </c>
      <c r="E8989" t="s">
        <v>6299</v>
      </c>
      <c r="F8989" t="s">
        <v>12243</v>
      </c>
      <c r="G8989" t="s">
        <v>16474</v>
      </c>
      <c r="H8989" t="s">
        <v>21500</v>
      </c>
    </row>
    <row r="8990" spans="1:8">
      <c r="A8990" t="s">
        <v>514</v>
      </c>
      <c r="B8990">
        <f>HYPERLINK("https://android.googlesource.com/platform/cts/+/d35f8eb44fe78cb7bfc2f7d92cb64c5ed013abfd", "d35f8eb44fe78cb7bfc2f7d92cb64c5ed013abfd")</f>
        <v>0</v>
      </c>
      <c r="C8990">
        <f>HYPERLINK("https://android.googlesource.com/platform/cts/+/af052deac87840e2a3af6335376020adc0f0fde3", "af052deac87840e2a3af6335376020adc0f0fde3")</f>
        <v>0</v>
      </c>
      <c r="D8990" t="s">
        <v>5002</v>
      </c>
      <c r="E8990" t="s">
        <v>6300</v>
      </c>
      <c r="F8990" t="s">
        <v>12244</v>
      </c>
      <c r="G8990" t="s">
        <v>16475</v>
      </c>
      <c r="H8990" t="s">
        <v>21520</v>
      </c>
    </row>
    <row r="8991" spans="1:8">
      <c r="F8991" t="s">
        <v>12245</v>
      </c>
      <c r="G8991" t="s">
        <v>16476</v>
      </c>
      <c r="H8991" t="s">
        <v>21521</v>
      </c>
    </row>
    <row r="8992" spans="1:8">
      <c r="A8992" t="s">
        <v>517</v>
      </c>
      <c r="B8992">
        <f>HYPERLINK("https://android.googlesource.com/platform/cts/+/e86f98dd5468f8c4cfa59ebcd3ccb49e75311156", "e86f98dd5468f8c4cfa59ebcd3ccb49e75311156")</f>
        <v>0</v>
      </c>
      <c r="C8992">
        <f>HYPERLINK("https://android.googlesource.com/platform/cts/+/c74e235e0e1be734b22d27b5dc1696aa7836fb60", "c74e235e0e1be734b22d27b5dc1696aa7836fb60")</f>
        <v>0</v>
      </c>
      <c r="D8992" t="s">
        <v>4967</v>
      </c>
      <c r="E8992" t="s">
        <v>6303</v>
      </c>
      <c r="F8992" t="s">
        <v>12249</v>
      </c>
      <c r="G8992" t="s">
        <v>16480</v>
      </c>
      <c r="H8992" t="s">
        <v>21523</v>
      </c>
    </row>
    <row r="8993" spans="1:8">
      <c r="A8993" t="s">
        <v>521</v>
      </c>
      <c r="B8993">
        <f>HYPERLINK("https://android.googlesource.com/platform/cts/+/aee83a27e9f7ee3c770bd8f863bad68d5fb33be9", "aee83a27e9f7ee3c770bd8f863bad68d5fb33be9")</f>
        <v>0</v>
      </c>
      <c r="C8993">
        <f>HYPERLINK("https://android.googlesource.com/platform/cts/+/4c77c14ba0a97c5fdee364cb063e6a1e124612aa", "4c77c14ba0a97c5fdee364cb063e6a1e124612aa")</f>
        <v>0</v>
      </c>
      <c r="D8993" t="s">
        <v>5018</v>
      </c>
      <c r="E8993" t="s">
        <v>6307</v>
      </c>
      <c r="F8993" t="s">
        <v>12250</v>
      </c>
      <c r="G8993" t="s">
        <v>16481</v>
      </c>
      <c r="H8993" t="s">
        <v>21525</v>
      </c>
    </row>
    <row r="8994" spans="1:8">
      <c r="A8994" t="s">
        <v>523</v>
      </c>
      <c r="B8994">
        <f>HYPERLINK("https://android.googlesource.com/platform/cts/+/2830d721b4173ac7a91e4fc8b9cc0cafaaf86460", "2830d721b4173ac7a91e4fc8b9cc0cafaaf86460")</f>
        <v>0</v>
      </c>
      <c r="C8994">
        <f>HYPERLINK("https://android.googlesource.com/platform/cts/+/b24876794d9324ecc36b42a0c6d0b69690710afd", "b24876794d9324ecc36b42a0c6d0b69690710afd")</f>
        <v>0</v>
      </c>
      <c r="D8994" t="s">
        <v>5020</v>
      </c>
      <c r="E8994" t="s">
        <v>6309</v>
      </c>
      <c r="F8994" t="s">
        <v>12252</v>
      </c>
      <c r="G8994" t="s">
        <v>16483</v>
      </c>
      <c r="H8994" t="s">
        <v>21531</v>
      </c>
    </row>
    <row r="8995" spans="1:8">
      <c r="A8995" t="s">
        <v>524</v>
      </c>
      <c r="B8995">
        <f>HYPERLINK("https://android.googlesource.com/platform/cts/+/1781e39aae777152a097166996fc9d0ce45b533d", "1781e39aae777152a097166996fc9d0ce45b533d")</f>
        <v>0</v>
      </c>
      <c r="C8995">
        <f>HYPERLINK("https://android.googlesource.com/platform/cts/+/abdc4b1c9b38c129b9503ed122f00a168222216d", "abdc4b1c9b38c129b9503ed122f00a168222216d")</f>
        <v>0</v>
      </c>
      <c r="D8995" t="s">
        <v>5021</v>
      </c>
      <c r="E8995" t="s">
        <v>6310</v>
      </c>
      <c r="F8995" t="s">
        <v>10582</v>
      </c>
      <c r="G8995" t="s">
        <v>14985</v>
      </c>
      <c r="H8995" t="s">
        <v>21532</v>
      </c>
    </row>
    <row r="8996" spans="1:8">
      <c r="A8996" t="s">
        <v>525</v>
      </c>
      <c r="B8996">
        <f>HYPERLINK("https://android.googlesource.com/platform/cts/+/3d3e58536fc469ba8eeabb5f2f7334c6323b4f51", "3d3e58536fc469ba8eeabb5f2f7334c6323b4f51")</f>
        <v>0</v>
      </c>
      <c r="C8996">
        <f>HYPERLINK("https://android.googlesource.com/platform/cts/+/9e9c892a17fc1b5335e50601ee20884d2288b152", "9e9c892a17fc1b5335e50601ee20884d2288b152")</f>
        <v>0</v>
      </c>
      <c r="D8996" t="s">
        <v>5017</v>
      </c>
      <c r="E8996" t="s">
        <v>6311</v>
      </c>
      <c r="F8996" t="s">
        <v>12253</v>
      </c>
      <c r="G8996" t="s">
        <v>16484</v>
      </c>
      <c r="H8996" t="s">
        <v>21535</v>
      </c>
    </row>
    <row r="8997" spans="1:8">
      <c r="H8997" t="s">
        <v>21536</v>
      </c>
    </row>
    <row r="8998" spans="1:8">
      <c r="H8998" t="s">
        <v>21537</v>
      </c>
    </row>
    <row r="8999" spans="1:8">
      <c r="H8999" t="s">
        <v>21538</v>
      </c>
    </row>
    <row r="9000" spans="1:8">
      <c r="H9000" t="s">
        <v>21539</v>
      </c>
    </row>
    <row r="9001" spans="1:8">
      <c r="H9001" t="s">
        <v>21540</v>
      </c>
    </row>
    <row r="9002" spans="1:8">
      <c r="H9002" t="s">
        <v>21541</v>
      </c>
    </row>
    <row r="9003" spans="1:8">
      <c r="H9003" t="s">
        <v>21542</v>
      </c>
    </row>
    <row r="9004" spans="1:8">
      <c r="F9004" t="s">
        <v>12254</v>
      </c>
      <c r="G9004" t="s">
        <v>16485</v>
      </c>
      <c r="H9004" t="s">
        <v>21543</v>
      </c>
    </row>
    <row r="9005" spans="1:8">
      <c r="H9005" t="s">
        <v>21544</v>
      </c>
    </row>
    <row r="9006" spans="1:8">
      <c r="H9006" t="s">
        <v>21545</v>
      </c>
    </row>
    <row r="9007" spans="1:8">
      <c r="H9007" t="s">
        <v>21546</v>
      </c>
    </row>
    <row r="9008" spans="1:8">
      <c r="H9008" t="s">
        <v>21547</v>
      </c>
    </row>
    <row r="9009" spans="6:8">
      <c r="H9009" t="s">
        <v>21548</v>
      </c>
    </row>
    <row r="9010" spans="6:8">
      <c r="H9010" t="s">
        <v>21549</v>
      </c>
    </row>
    <row r="9011" spans="6:8">
      <c r="H9011" t="s">
        <v>21550</v>
      </c>
    </row>
    <row r="9012" spans="6:8">
      <c r="F9012" t="s">
        <v>12255</v>
      </c>
      <c r="G9012" t="s">
        <v>16486</v>
      </c>
      <c r="H9012" t="s">
        <v>21551</v>
      </c>
    </row>
    <row r="9013" spans="6:8">
      <c r="H9013" t="s">
        <v>21552</v>
      </c>
    </row>
    <row r="9014" spans="6:8">
      <c r="H9014" t="s">
        <v>21553</v>
      </c>
    </row>
    <row r="9015" spans="6:8">
      <c r="H9015" t="s">
        <v>21554</v>
      </c>
    </row>
    <row r="9016" spans="6:8">
      <c r="H9016" t="s">
        <v>21555</v>
      </c>
    </row>
    <row r="9017" spans="6:8">
      <c r="H9017" t="s">
        <v>21556</v>
      </c>
    </row>
    <row r="9018" spans="6:8">
      <c r="H9018" t="s">
        <v>21557</v>
      </c>
    </row>
    <row r="9019" spans="6:8">
      <c r="H9019" t="s">
        <v>21558</v>
      </c>
    </row>
    <row r="9020" spans="6:8">
      <c r="F9020" t="s">
        <v>12256</v>
      </c>
      <c r="G9020" t="s">
        <v>16487</v>
      </c>
      <c r="H9020" t="s">
        <v>21559</v>
      </c>
    </row>
    <row r="9021" spans="6:8">
      <c r="H9021" t="s">
        <v>21560</v>
      </c>
    </row>
    <row r="9022" spans="6:8">
      <c r="H9022" t="s">
        <v>21561</v>
      </c>
    </row>
    <row r="9023" spans="6:8">
      <c r="H9023" t="s">
        <v>21562</v>
      </c>
    </row>
    <row r="9024" spans="6:8">
      <c r="H9024" t="s">
        <v>21563</v>
      </c>
    </row>
    <row r="9025" spans="6:8">
      <c r="H9025" t="s">
        <v>21564</v>
      </c>
    </row>
    <row r="9026" spans="6:8">
      <c r="H9026" t="s">
        <v>21565</v>
      </c>
    </row>
    <row r="9027" spans="6:8">
      <c r="H9027" t="s">
        <v>21566</v>
      </c>
    </row>
    <row r="9028" spans="6:8">
      <c r="F9028" t="s">
        <v>12257</v>
      </c>
      <c r="G9028" t="s">
        <v>16488</v>
      </c>
      <c r="H9028" t="s">
        <v>21567</v>
      </c>
    </row>
    <row r="9029" spans="6:8">
      <c r="H9029" t="s">
        <v>21568</v>
      </c>
    </row>
    <row r="9030" spans="6:8">
      <c r="H9030" t="s">
        <v>21569</v>
      </c>
    </row>
    <row r="9031" spans="6:8">
      <c r="H9031" t="s">
        <v>21570</v>
      </c>
    </row>
    <row r="9032" spans="6:8">
      <c r="H9032" t="s">
        <v>21571</v>
      </c>
    </row>
    <row r="9033" spans="6:8">
      <c r="H9033" t="s">
        <v>21572</v>
      </c>
    </row>
    <row r="9034" spans="6:8">
      <c r="H9034" t="s">
        <v>21573</v>
      </c>
    </row>
    <row r="9035" spans="6:8">
      <c r="H9035" t="s">
        <v>21574</v>
      </c>
    </row>
    <row r="9036" spans="6:8">
      <c r="F9036" t="s">
        <v>12258</v>
      </c>
      <c r="G9036" t="s">
        <v>16489</v>
      </c>
      <c r="H9036" t="s">
        <v>21575</v>
      </c>
    </row>
    <row r="9037" spans="6:8">
      <c r="H9037" t="s">
        <v>21576</v>
      </c>
    </row>
    <row r="9038" spans="6:8">
      <c r="H9038" t="s">
        <v>21577</v>
      </c>
    </row>
    <row r="9039" spans="6:8">
      <c r="H9039" t="s">
        <v>21578</v>
      </c>
    </row>
    <row r="9040" spans="6:8">
      <c r="H9040" t="s">
        <v>21579</v>
      </c>
    </row>
    <row r="9041" spans="6:8">
      <c r="H9041" t="s">
        <v>21580</v>
      </c>
    </row>
    <row r="9042" spans="6:8">
      <c r="H9042" t="s">
        <v>21581</v>
      </c>
    </row>
    <row r="9043" spans="6:8">
      <c r="H9043" t="s">
        <v>21582</v>
      </c>
    </row>
    <row r="9044" spans="6:8">
      <c r="F9044" t="s">
        <v>12259</v>
      </c>
      <c r="G9044" t="s">
        <v>16490</v>
      </c>
      <c r="H9044" t="s">
        <v>21585</v>
      </c>
    </row>
    <row r="9045" spans="6:8">
      <c r="H9045" t="s">
        <v>21586</v>
      </c>
    </row>
    <row r="9046" spans="6:8">
      <c r="H9046" t="s">
        <v>21587</v>
      </c>
    </row>
    <row r="9047" spans="6:8">
      <c r="H9047" t="s">
        <v>21588</v>
      </c>
    </row>
    <row r="9048" spans="6:8">
      <c r="H9048" t="s">
        <v>21589</v>
      </c>
    </row>
    <row r="9049" spans="6:8">
      <c r="H9049" t="s">
        <v>21590</v>
      </c>
    </row>
    <row r="9050" spans="6:8">
      <c r="H9050" t="s">
        <v>21591</v>
      </c>
    </row>
    <row r="9051" spans="6:8">
      <c r="H9051" t="s">
        <v>21592</v>
      </c>
    </row>
    <row r="9052" spans="6:8">
      <c r="F9052" t="s">
        <v>12260</v>
      </c>
      <c r="G9052" t="s">
        <v>16491</v>
      </c>
      <c r="H9052" t="s">
        <v>21593</v>
      </c>
    </row>
    <row r="9053" spans="6:8">
      <c r="H9053" t="s">
        <v>21594</v>
      </c>
    </row>
    <row r="9054" spans="6:8">
      <c r="H9054" t="s">
        <v>21595</v>
      </c>
    </row>
    <row r="9055" spans="6:8">
      <c r="H9055" t="s">
        <v>21596</v>
      </c>
    </row>
    <row r="9056" spans="6:8">
      <c r="H9056" t="s">
        <v>21597</v>
      </c>
    </row>
    <row r="9057" spans="6:8">
      <c r="H9057" t="s">
        <v>21598</v>
      </c>
    </row>
    <row r="9058" spans="6:8">
      <c r="H9058" t="s">
        <v>21599</v>
      </c>
    </row>
    <row r="9059" spans="6:8">
      <c r="H9059" t="s">
        <v>21600</v>
      </c>
    </row>
    <row r="9060" spans="6:8">
      <c r="F9060" t="s">
        <v>12261</v>
      </c>
      <c r="G9060" t="s">
        <v>16492</v>
      </c>
      <c r="H9060" t="s">
        <v>21601</v>
      </c>
    </row>
    <row r="9061" spans="6:8">
      <c r="H9061" t="s">
        <v>21602</v>
      </c>
    </row>
    <row r="9062" spans="6:8">
      <c r="H9062" t="s">
        <v>21603</v>
      </c>
    </row>
    <row r="9063" spans="6:8">
      <c r="H9063" t="s">
        <v>21604</v>
      </c>
    </row>
    <row r="9064" spans="6:8">
      <c r="H9064" t="s">
        <v>21605</v>
      </c>
    </row>
    <row r="9065" spans="6:8">
      <c r="H9065" t="s">
        <v>21606</v>
      </c>
    </row>
    <row r="9066" spans="6:8">
      <c r="H9066" t="s">
        <v>21607</v>
      </c>
    </row>
    <row r="9067" spans="6:8">
      <c r="H9067" t="s">
        <v>21608</v>
      </c>
    </row>
    <row r="9068" spans="6:8">
      <c r="F9068" t="s">
        <v>12262</v>
      </c>
      <c r="G9068" t="s">
        <v>16493</v>
      </c>
      <c r="H9068" t="s">
        <v>21609</v>
      </c>
    </row>
    <row r="9069" spans="6:8">
      <c r="H9069" t="s">
        <v>21610</v>
      </c>
    </row>
    <row r="9070" spans="6:8">
      <c r="H9070" t="s">
        <v>21611</v>
      </c>
    </row>
    <row r="9071" spans="6:8">
      <c r="H9071" t="s">
        <v>21612</v>
      </c>
    </row>
    <row r="9072" spans="6:8">
      <c r="H9072" t="s">
        <v>21613</v>
      </c>
    </row>
    <row r="9073" spans="6:8">
      <c r="H9073" t="s">
        <v>21614</v>
      </c>
    </row>
    <row r="9074" spans="6:8">
      <c r="H9074" t="s">
        <v>21615</v>
      </c>
    </row>
    <row r="9075" spans="6:8">
      <c r="H9075" t="s">
        <v>21616</v>
      </c>
    </row>
    <row r="9076" spans="6:8">
      <c r="F9076" t="s">
        <v>12263</v>
      </c>
      <c r="G9076" t="s">
        <v>16494</v>
      </c>
      <c r="H9076" t="s">
        <v>21617</v>
      </c>
    </row>
    <row r="9077" spans="6:8">
      <c r="H9077" t="s">
        <v>21618</v>
      </c>
    </row>
    <row r="9078" spans="6:8">
      <c r="H9078" t="s">
        <v>21619</v>
      </c>
    </row>
    <row r="9079" spans="6:8">
      <c r="H9079" t="s">
        <v>21620</v>
      </c>
    </row>
    <row r="9080" spans="6:8">
      <c r="H9080" t="s">
        <v>21621</v>
      </c>
    </row>
    <row r="9081" spans="6:8">
      <c r="H9081" t="s">
        <v>21622</v>
      </c>
    </row>
    <row r="9082" spans="6:8">
      <c r="H9082" t="s">
        <v>21623</v>
      </c>
    </row>
    <row r="9083" spans="6:8">
      <c r="H9083" t="s">
        <v>21624</v>
      </c>
    </row>
    <row r="9084" spans="6:8">
      <c r="F9084" t="s">
        <v>12264</v>
      </c>
      <c r="G9084" t="s">
        <v>16495</v>
      </c>
      <c r="H9084" t="s">
        <v>21625</v>
      </c>
    </row>
    <row r="9085" spans="6:8">
      <c r="H9085" t="s">
        <v>21626</v>
      </c>
    </row>
    <row r="9086" spans="6:8">
      <c r="H9086" t="s">
        <v>21627</v>
      </c>
    </row>
    <row r="9087" spans="6:8">
      <c r="H9087" t="s">
        <v>21628</v>
      </c>
    </row>
    <row r="9088" spans="6:8">
      <c r="H9088" t="s">
        <v>21629</v>
      </c>
    </row>
    <row r="9089" spans="6:8">
      <c r="H9089" t="s">
        <v>21630</v>
      </c>
    </row>
    <row r="9090" spans="6:8">
      <c r="H9090" t="s">
        <v>21631</v>
      </c>
    </row>
    <row r="9091" spans="6:8">
      <c r="H9091" t="s">
        <v>21632</v>
      </c>
    </row>
    <row r="9092" spans="6:8">
      <c r="F9092" t="s">
        <v>12265</v>
      </c>
      <c r="G9092" t="s">
        <v>16496</v>
      </c>
      <c r="H9092" t="s">
        <v>21633</v>
      </c>
    </row>
    <row r="9093" spans="6:8">
      <c r="H9093" t="s">
        <v>21634</v>
      </c>
    </row>
    <row r="9094" spans="6:8">
      <c r="H9094" t="s">
        <v>21635</v>
      </c>
    </row>
    <row r="9095" spans="6:8">
      <c r="H9095" t="s">
        <v>21636</v>
      </c>
    </row>
    <row r="9096" spans="6:8">
      <c r="H9096" t="s">
        <v>21637</v>
      </c>
    </row>
    <row r="9097" spans="6:8">
      <c r="H9097" t="s">
        <v>21638</v>
      </c>
    </row>
    <row r="9098" spans="6:8">
      <c r="H9098" t="s">
        <v>21639</v>
      </c>
    </row>
    <row r="9099" spans="6:8">
      <c r="H9099" t="s">
        <v>21640</v>
      </c>
    </row>
    <row r="9100" spans="6:8">
      <c r="F9100" t="s">
        <v>11432</v>
      </c>
      <c r="G9100" t="s">
        <v>15672</v>
      </c>
      <c r="H9100" t="s">
        <v>21641</v>
      </c>
    </row>
    <row r="9101" spans="6:8">
      <c r="H9101" t="s">
        <v>21642</v>
      </c>
    </row>
    <row r="9102" spans="6:8">
      <c r="F9102" t="s">
        <v>12266</v>
      </c>
      <c r="G9102" t="s">
        <v>16497</v>
      </c>
      <c r="H9102" t="s">
        <v>21643</v>
      </c>
    </row>
    <row r="9103" spans="6:8">
      <c r="H9103" t="s">
        <v>21644</v>
      </c>
    </row>
    <row r="9104" spans="6:8">
      <c r="H9104" t="s">
        <v>21645</v>
      </c>
    </row>
    <row r="9105" spans="6:8">
      <c r="H9105" t="s">
        <v>21646</v>
      </c>
    </row>
    <row r="9106" spans="6:8">
      <c r="H9106" t="s">
        <v>21647</v>
      </c>
    </row>
    <row r="9107" spans="6:8">
      <c r="H9107" t="s">
        <v>21648</v>
      </c>
    </row>
    <row r="9108" spans="6:8">
      <c r="H9108" t="s">
        <v>21649</v>
      </c>
    </row>
    <row r="9109" spans="6:8">
      <c r="H9109" t="s">
        <v>21650</v>
      </c>
    </row>
    <row r="9110" spans="6:8">
      <c r="F9110" t="s">
        <v>12267</v>
      </c>
      <c r="G9110" t="s">
        <v>16498</v>
      </c>
      <c r="H9110" t="s">
        <v>21651</v>
      </c>
    </row>
    <row r="9111" spans="6:8">
      <c r="H9111" t="s">
        <v>21652</v>
      </c>
    </row>
    <row r="9112" spans="6:8">
      <c r="H9112" t="s">
        <v>21653</v>
      </c>
    </row>
    <row r="9113" spans="6:8">
      <c r="H9113" t="s">
        <v>21654</v>
      </c>
    </row>
    <row r="9114" spans="6:8">
      <c r="H9114" t="s">
        <v>21655</v>
      </c>
    </row>
    <row r="9115" spans="6:8">
      <c r="H9115" t="s">
        <v>21656</v>
      </c>
    </row>
    <row r="9116" spans="6:8">
      <c r="H9116" t="s">
        <v>21657</v>
      </c>
    </row>
    <row r="9117" spans="6:8">
      <c r="H9117" t="s">
        <v>21658</v>
      </c>
    </row>
    <row r="9118" spans="6:8">
      <c r="F9118" t="s">
        <v>12268</v>
      </c>
      <c r="G9118" t="s">
        <v>16499</v>
      </c>
      <c r="H9118" t="s">
        <v>21659</v>
      </c>
    </row>
    <row r="9119" spans="6:8">
      <c r="H9119" t="s">
        <v>21660</v>
      </c>
    </row>
    <row r="9120" spans="6:8">
      <c r="H9120" t="s">
        <v>21661</v>
      </c>
    </row>
    <row r="9121" spans="6:8">
      <c r="H9121" t="s">
        <v>21662</v>
      </c>
    </row>
    <row r="9122" spans="6:8">
      <c r="H9122" t="s">
        <v>21663</v>
      </c>
    </row>
    <row r="9123" spans="6:8">
      <c r="H9123" t="s">
        <v>21664</v>
      </c>
    </row>
    <row r="9124" spans="6:8">
      <c r="H9124" t="s">
        <v>21665</v>
      </c>
    </row>
    <row r="9125" spans="6:8">
      <c r="H9125" t="s">
        <v>21666</v>
      </c>
    </row>
    <row r="9126" spans="6:8">
      <c r="F9126" t="s">
        <v>12226</v>
      </c>
      <c r="G9126" t="s">
        <v>16456</v>
      </c>
      <c r="H9126" t="s">
        <v>21667</v>
      </c>
    </row>
    <row r="9127" spans="6:8">
      <c r="H9127" t="s">
        <v>21668</v>
      </c>
    </row>
    <row r="9128" spans="6:8">
      <c r="F9128" t="s">
        <v>12269</v>
      </c>
      <c r="G9128" t="s">
        <v>16500</v>
      </c>
      <c r="H9128" t="s">
        <v>21669</v>
      </c>
    </row>
    <row r="9129" spans="6:8">
      <c r="H9129" t="s">
        <v>21670</v>
      </c>
    </row>
    <row r="9130" spans="6:8">
      <c r="H9130" t="s">
        <v>21671</v>
      </c>
    </row>
    <row r="9131" spans="6:8">
      <c r="H9131" t="s">
        <v>21672</v>
      </c>
    </row>
    <row r="9132" spans="6:8">
      <c r="H9132" t="s">
        <v>21673</v>
      </c>
    </row>
    <row r="9133" spans="6:8">
      <c r="H9133" t="s">
        <v>21674</v>
      </c>
    </row>
    <row r="9134" spans="6:8">
      <c r="H9134" t="s">
        <v>21675</v>
      </c>
    </row>
    <row r="9135" spans="6:8">
      <c r="H9135" t="s">
        <v>21676</v>
      </c>
    </row>
    <row r="9136" spans="6:8">
      <c r="F9136" t="s">
        <v>12270</v>
      </c>
      <c r="G9136" t="s">
        <v>16501</v>
      </c>
      <c r="H9136" t="s">
        <v>21677</v>
      </c>
    </row>
    <row r="9137" spans="6:8">
      <c r="H9137" t="s">
        <v>21678</v>
      </c>
    </row>
    <row r="9138" spans="6:8">
      <c r="H9138" t="s">
        <v>21679</v>
      </c>
    </row>
    <row r="9139" spans="6:8">
      <c r="H9139" t="s">
        <v>21680</v>
      </c>
    </row>
    <row r="9140" spans="6:8">
      <c r="H9140" t="s">
        <v>21681</v>
      </c>
    </row>
    <row r="9141" spans="6:8">
      <c r="H9141" t="s">
        <v>21682</v>
      </c>
    </row>
    <row r="9142" spans="6:8">
      <c r="H9142" t="s">
        <v>21683</v>
      </c>
    </row>
    <row r="9143" spans="6:8">
      <c r="H9143" t="s">
        <v>21684</v>
      </c>
    </row>
    <row r="9144" spans="6:8">
      <c r="F9144" t="s">
        <v>12271</v>
      </c>
      <c r="G9144" t="s">
        <v>16502</v>
      </c>
      <c r="H9144" t="s">
        <v>21685</v>
      </c>
    </row>
    <row r="9145" spans="6:8">
      <c r="H9145" t="s">
        <v>21686</v>
      </c>
    </row>
    <row r="9146" spans="6:8">
      <c r="H9146" t="s">
        <v>21687</v>
      </c>
    </row>
    <row r="9147" spans="6:8">
      <c r="H9147" t="s">
        <v>21688</v>
      </c>
    </row>
    <row r="9148" spans="6:8">
      <c r="H9148" t="s">
        <v>21689</v>
      </c>
    </row>
    <row r="9149" spans="6:8">
      <c r="H9149" t="s">
        <v>21690</v>
      </c>
    </row>
    <row r="9150" spans="6:8">
      <c r="H9150" t="s">
        <v>21691</v>
      </c>
    </row>
    <row r="9151" spans="6:8">
      <c r="H9151" t="s">
        <v>21692</v>
      </c>
    </row>
    <row r="9152" spans="6:8">
      <c r="F9152" t="s">
        <v>12272</v>
      </c>
      <c r="G9152" t="s">
        <v>16503</v>
      </c>
      <c r="H9152" t="s">
        <v>21693</v>
      </c>
    </row>
    <row r="9153" spans="6:8">
      <c r="H9153" t="s">
        <v>21694</v>
      </c>
    </row>
    <row r="9154" spans="6:8">
      <c r="H9154" t="s">
        <v>21695</v>
      </c>
    </row>
    <row r="9155" spans="6:8">
      <c r="H9155" t="s">
        <v>21696</v>
      </c>
    </row>
    <row r="9156" spans="6:8">
      <c r="H9156" t="s">
        <v>21697</v>
      </c>
    </row>
    <row r="9157" spans="6:8">
      <c r="H9157" t="s">
        <v>21698</v>
      </c>
    </row>
    <row r="9158" spans="6:8">
      <c r="H9158" t="s">
        <v>21699</v>
      </c>
    </row>
    <row r="9159" spans="6:8">
      <c r="H9159" t="s">
        <v>21700</v>
      </c>
    </row>
    <row r="9160" spans="6:8">
      <c r="F9160" t="s">
        <v>12273</v>
      </c>
      <c r="G9160" t="s">
        <v>16504</v>
      </c>
      <c r="H9160" t="s">
        <v>21701</v>
      </c>
    </row>
    <row r="9161" spans="6:8">
      <c r="H9161" t="s">
        <v>21702</v>
      </c>
    </row>
    <row r="9162" spans="6:8">
      <c r="H9162" t="s">
        <v>21703</v>
      </c>
    </row>
    <row r="9163" spans="6:8">
      <c r="H9163" t="s">
        <v>21704</v>
      </c>
    </row>
    <row r="9164" spans="6:8">
      <c r="H9164" t="s">
        <v>21705</v>
      </c>
    </row>
    <row r="9165" spans="6:8">
      <c r="H9165" t="s">
        <v>21706</v>
      </c>
    </row>
    <row r="9166" spans="6:8">
      <c r="H9166" t="s">
        <v>21707</v>
      </c>
    </row>
    <row r="9167" spans="6:8">
      <c r="H9167" t="s">
        <v>21708</v>
      </c>
    </row>
    <row r="9168" spans="6:8">
      <c r="F9168" t="s">
        <v>12274</v>
      </c>
      <c r="G9168" t="s">
        <v>16505</v>
      </c>
      <c r="H9168" t="s">
        <v>21709</v>
      </c>
    </row>
    <row r="9169" spans="6:8">
      <c r="H9169" t="s">
        <v>21710</v>
      </c>
    </row>
    <row r="9170" spans="6:8">
      <c r="H9170" t="s">
        <v>21711</v>
      </c>
    </row>
    <row r="9171" spans="6:8">
      <c r="H9171" t="s">
        <v>21712</v>
      </c>
    </row>
    <row r="9172" spans="6:8">
      <c r="H9172" t="s">
        <v>21713</v>
      </c>
    </row>
    <row r="9173" spans="6:8">
      <c r="H9173" t="s">
        <v>21714</v>
      </c>
    </row>
    <row r="9174" spans="6:8">
      <c r="H9174" t="s">
        <v>21715</v>
      </c>
    </row>
    <row r="9175" spans="6:8">
      <c r="H9175" t="s">
        <v>21716</v>
      </c>
    </row>
    <row r="9176" spans="6:8">
      <c r="F9176" t="s">
        <v>12275</v>
      </c>
      <c r="G9176" t="s">
        <v>16506</v>
      </c>
      <c r="H9176" t="s">
        <v>21717</v>
      </c>
    </row>
    <row r="9177" spans="6:8">
      <c r="H9177" t="s">
        <v>21718</v>
      </c>
    </row>
    <row r="9178" spans="6:8">
      <c r="H9178" t="s">
        <v>21719</v>
      </c>
    </row>
    <row r="9179" spans="6:8">
      <c r="H9179" t="s">
        <v>21720</v>
      </c>
    </row>
    <row r="9180" spans="6:8">
      <c r="H9180" t="s">
        <v>21721</v>
      </c>
    </row>
    <row r="9181" spans="6:8">
      <c r="H9181" t="s">
        <v>21722</v>
      </c>
    </row>
    <row r="9182" spans="6:8">
      <c r="H9182" t="s">
        <v>21723</v>
      </c>
    </row>
    <row r="9183" spans="6:8">
      <c r="H9183" t="s">
        <v>21724</v>
      </c>
    </row>
    <row r="9184" spans="6:8">
      <c r="F9184" t="s">
        <v>12276</v>
      </c>
      <c r="G9184" t="s">
        <v>16507</v>
      </c>
      <c r="H9184" t="s">
        <v>21725</v>
      </c>
    </row>
    <row r="9185" spans="6:8">
      <c r="H9185" t="s">
        <v>21726</v>
      </c>
    </row>
    <row r="9186" spans="6:8">
      <c r="H9186" t="s">
        <v>21727</v>
      </c>
    </row>
    <row r="9187" spans="6:8">
      <c r="H9187" t="s">
        <v>21728</v>
      </c>
    </row>
    <row r="9188" spans="6:8">
      <c r="H9188" t="s">
        <v>21729</v>
      </c>
    </row>
    <row r="9189" spans="6:8">
      <c r="H9189" t="s">
        <v>21730</v>
      </c>
    </row>
    <row r="9190" spans="6:8">
      <c r="H9190" t="s">
        <v>21731</v>
      </c>
    </row>
    <row r="9191" spans="6:8">
      <c r="H9191" t="s">
        <v>21732</v>
      </c>
    </row>
    <row r="9192" spans="6:8">
      <c r="F9192" t="s">
        <v>12277</v>
      </c>
      <c r="G9192" t="s">
        <v>16508</v>
      </c>
      <c r="H9192" t="s">
        <v>21733</v>
      </c>
    </row>
    <row r="9193" spans="6:8">
      <c r="H9193" t="s">
        <v>21734</v>
      </c>
    </row>
    <row r="9194" spans="6:8">
      <c r="H9194" t="s">
        <v>21735</v>
      </c>
    </row>
    <row r="9195" spans="6:8">
      <c r="H9195" t="s">
        <v>21736</v>
      </c>
    </row>
    <row r="9196" spans="6:8">
      <c r="H9196" t="s">
        <v>21737</v>
      </c>
    </row>
    <row r="9197" spans="6:8">
      <c r="H9197" t="s">
        <v>21738</v>
      </c>
    </row>
    <row r="9198" spans="6:8">
      <c r="H9198" t="s">
        <v>21739</v>
      </c>
    </row>
    <row r="9199" spans="6:8">
      <c r="H9199" t="s">
        <v>21740</v>
      </c>
    </row>
    <row r="9200" spans="6:8">
      <c r="F9200" t="s">
        <v>12278</v>
      </c>
      <c r="G9200" t="s">
        <v>16509</v>
      </c>
      <c r="H9200" t="s">
        <v>21741</v>
      </c>
    </row>
    <row r="9201" spans="6:8">
      <c r="H9201" t="s">
        <v>21742</v>
      </c>
    </row>
    <row r="9202" spans="6:8">
      <c r="H9202" t="s">
        <v>21743</v>
      </c>
    </row>
    <row r="9203" spans="6:8">
      <c r="H9203" t="s">
        <v>21744</v>
      </c>
    </row>
    <row r="9204" spans="6:8">
      <c r="H9204" t="s">
        <v>21745</v>
      </c>
    </row>
    <row r="9205" spans="6:8">
      <c r="H9205" t="s">
        <v>21746</v>
      </c>
    </row>
    <row r="9206" spans="6:8">
      <c r="H9206" t="s">
        <v>21747</v>
      </c>
    </row>
    <row r="9207" spans="6:8">
      <c r="H9207" t="s">
        <v>21748</v>
      </c>
    </row>
    <row r="9208" spans="6:8">
      <c r="F9208" t="s">
        <v>12279</v>
      </c>
      <c r="G9208" t="s">
        <v>16510</v>
      </c>
      <c r="H9208" t="s">
        <v>21749</v>
      </c>
    </row>
    <row r="9209" spans="6:8">
      <c r="H9209" t="s">
        <v>21750</v>
      </c>
    </row>
    <row r="9210" spans="6:8">
      <c r="H9210" t="s">
        <v>21751</v>
      </c>
    </row>
    <row r="9211" spans="6:8">
      <c r="H9211" t="s">
        <v>21752</v>
      </c>
    </row>
    <row r="9212" spans="6:8">
      <c r="H9212" t="s">
        <v>21753</v>
      </c>
    </row>
    <row r="9213" spans="6:8">
      <c r="H9213" t="s">
        <v>21754</v>
      </c>
    </row>
    <row r="9214" spans="6:8">
      <c r="H9214" t="s">
        <v>21755</v>
      </c>
    </row>
    <row r="9215" spans="6:8">
      <c r="H9215" t="s">
        <v>21756</v>
      </c>
    </row>
    <row r="9216" spans="6:8">
      <c r="F9216" t="s">
        <v>12280</v>
      </c>
      <c r="G9216" t="s">
        <v>16511</v>
      </c>
      <c r="H9216" t="s">
        <v>21757</v>
      </c>
    </row>
    <row r="9217" spans="6:8">
      <c r="H9217" t="s">
        <v>21758</v>
      </c>
    </row>
    <row r="9218" spans="6:8">
      <c r="H9218" t="s">
        <v>21759</v>
      </c>
    </row>
    <row r="9219" spans="6:8">
      <c r="H9219" t="s">
        <v>21760</v>
      </c>
    </row>
    <row r="9220" spans="6:8">
      <c r="H9220" t="s">
        <v>21761</v>
      </c>
    </row>
    <row r="9221" spans="6:8">
      <c r="H9221" t="s">
        <v>21762</v>
      </c>
    </row>
    <row r="9222" spans="6:8">
      <c r="H9222" t="s">
        <v>21763</v>
      </c>
    </row>
    <row r="9223" spans="6:8">
      <c r="H9223" t="s">
        <v>21764</v>
      </c>
    </row>
    <row r="9224" spans="6:8">
      <c r="F9224" t="s">
        <v>12281</v>
      </c>
      <c r="G9224" t="s">
        <v>16512</v>
      </c>
      <c r="H9224" t="s">
        <v>21765</v>
      </c>
    </row>
    <row r="9225" spans="6:8">
      <c r="H9225" t="s">
        <v>21766</v>
      </c>
    </row>
    <row r="9226" spans="6:8">
      <c r="H9226" t="s">
        <v>21767</v>
      </c>
    </row>
    <row r="9227" spans="6:8">
      <c r="H9227" t="s">
        <v>21768</v>
      </c>
    </row>
    <row r="9228" spans="6:8">
      <c r="H9228" t="s">
        <v>21769</v>
      </c>
    </row>
    <row r="9229" spans="6:8">
      <c r="H9229" t="s">
        <v>21770</v>
      </c>
    </row>
    <row r="9230" spans="6:8">
      <c r="H9230" t="s">
        <v>21771</v>
      </c>
    </row>
    <row r="9231" spans="6:8">
      <c r="H9231" t="s">
        <v>21772</v>
      </c>
    </row>
    <row r="9232" spans="6:8">
      <c r="F9232" t="s">
        <v>12282</v>
      </c>
      <c r="G9232" t="s">
        <v>16513</v>
      </c>
      <c r="H9232" t="s">
        <v>21773</v>
      </c>
    </row>
    <row r="9233" spans="6:8">
      <c r="H9233" t="s">
        <v>21774</v>
      </c>
    </row>
    <row r="9234" spans="6:8">
      <c r="H9234" t="s">
        <v>21775</v>
      </c>
    </row>
    <row r="9235" spans="6:8">
      <c r="H9235" t="s">
        <v>21776</v>
      </c>
    </row>
    <row r="9236" spans="6:8">
      <c r="H9236" t="s">
        <v>21777</v>
      </c>
    </row>
    <row r="9237" spans="6:8">
      <c r="H9237" t="s">
        <v>21778</v>
      </c>
    </row>
    <row r="9238" spans="6:8">
      <c r="H9238" t="s">
        <v>21779</v>
      </c>
    </row>
    <row r="9239" spans="6:8">
      <c r="H9239" t="s">
        <v>21780</v>
      </c>
    </row>
    <row r="9240" spans="6:8">
      <c r="F9240" t="s">
        <v>12283</v>
      </c>
      <c r="G9240" t="s">
        <v>16514</v>
      </c>
      <c r="H9240" t="s">
        <v>21781</v>
      </c>
    </row>
    <row r="9241" spans="6:8">
      <c r="H9241" t="s">
        <v>21782</v>
      </c>
    </row>
    <row r="9242" spans="6:8">
      <c r="H9242" t="s">
        <v>21783</v>
      </c>
    </row>
    <row r="9243" spans="6:8">
      <c r="H9243" t="s">
        <v>21784</v>
      </c>
    </row>
    <row r="9244" spans="6:8">
      <c r="H9244" t="s">
        <v>21785</v>
      </c>
    </row>
    <row r="9245" spans="6:8">
      <c r="H9245" t="s">
        <v>21786</v>
      </c>
    </row>
    <row r="9246" spans="6:8">
      <c r="H9246" t="s">
        <v>21787</v>
      </c>
    </row>
    <row r="9247" spans="6:8">
      <c r="H9247" t="s">
        <v>21788</v>
      </c>
    </row>
    <row r="9248" spans="6:8">
      <c r="F9248" t="s">
        <v>12284</v>
      </c>
      <c r="G9248" t="s">
        <v>16515</v>
      </c>
      <c r="H9248" t="s">
        <v>21789</v>
      </c>
    </row>
    <row r="9249" spans="6:8">
      <c r="H9249" t="s">
        <v>21790</v>
      </c>
    </row>
    <row r="9250" spans="6:8">
      <c r="H9250" t="s">
        <v>21791</v>
      </c>
    </row>
    <row r="9251" spans="6:8">
      <c r="H9251" t="s">
        <v>21792</v>
      </c>
    </row>
    <row r="9252" spans="6:8">
      <c r="H9252" t="s">
        <v>21793</v>
      </c>
    </row>
    <row r="9253" spans="6:8">
      <c r="H9253" t="s">
        <v>21794</v>
      </c>
    </row>
    <row r="9254" spans="6:8">
      <c r="H9254" t="s">
        <v>21795</v>
      </c>
    </row>
    <row r="9255" spans="6:8">
      <c r="H9255" t="s">
        <v>21796</v>
      </c>
    </row>
    <row r="9256" spans="6:8">
      <c r="F9256" t="s">
        <v>12285</v>
      </c>
      <c r="G9256" t="s">
        <v>16516</v>
      </c>
      <c r="H9256" t="s">
        <v>21797</v>
      </c>
    </row>
    <row r="9257" spans="6:8">
      <c r="H9257" t="s">
        <v>21798</v>
      </c>
    </row>
    <row r="9258" spans="6:8">
      <c r="H9258" t="s">
        <v>21799</v>
      </c>
    </row>
    <row r="9259" spans="6:8">
      <c r="H9259" t="s">
        <v>21800</v>
      </c>
    </row>
    <row r="9260" spans="6:8">
      <c r="H9260" t="s">
        <v>21801</v>
      </c>
    </row>
    <row r="9261" spans="6:8">
      <c r="H9261" t="s">
        <v>21802</v>
      </c>
    </row>
    <row r="9262" spans="6:8">
      <c r="H9262" t="s">
        <v>21803</v>
      </c>
    </row>
    <row r="9263" spans="6:8">
      <c r="H9263" t="s">
        <v>21804</v>
      </c>
    </row>
    <row r="9264" spans="6:8">
      <c r="F9264" t="s">
        <v>12286</v>
      </c>
      <c r="G9264" t="s">
        <v>16517</v>
      </c>
      <c r="H9264" t="s">
        <v>21805</v>
      </c>
    </row>
    <row r="9265" spans="6:8">
      <c r="H9265" t="s">
        <v>21806</v>
      </c>
    </row>
    <row r="9266" spans="6:8">
      <c r="H9266" t="s">
        <v>21807</v>
      </c>
    </row>
    <row r="9267" spans="6:8">
      <c r="H9267" t="s">
        <v>21808</v>
      </c>
    </row>
    <row r="9268" spans="6:8">
      <c r="H9268" t="s">
        <v>21809</v>
      </c>
    </row>
    <row r="9269" spans="6:8">
      <c r="H9269" t="s">
        <v>21810</v>
      </c>
    </row>
    <row r="9270" spans="6:8">
      <c r="H9270" t="s">
        <v>21811</v>
      </c>
    </row>
    <row r="9271" spans="6:8">
      <c r="H9271" t="s">
        <v>21812</v>
      </c>
    </row>
    <row r="9272" spans="6:8">
      <c r="F9272" t="s">
        <v>12287</v>
      </c>
      <c r="G9272" t="s">
        <v>16518</v>
      </c>
      <c r="H9272" t="s">
        <v>21813</v>
      </c>
    </row>
    <row r="9273" spans="6:8">
      <c r="H9273" t="s">
        <v>21814</v>
      </c>
    </row>
    <row r="9274" spans="6:8">
      <c r="H9274" t="s">
        <v>21815</v>
      </c>
    </row>
    <row r="9275" spans="6:8">
      <c r="H9275" t="s">
        <v>21816</v>
      </c>
    </row>
    <row r="9276" spans="6:8">
      <c r="H9276" t="s">
        <v>21817</v>
      </c>
    </row>
    <row r="9277" spans="6:8">
      <c r="H9277" t="s">
        <v>21818</v>
      </c>
    </row>
    <row r="9278" spans="6:8">
      <c r="H9278" t="s">
        <v>21819</v>
      </c>
    </row>
    <row r="9279" spans="6:8">
      <c r="H9279" t="s">
        <v>21820</v>
      </c>
    </row>
    <row r="9280" spans="6:8">
      <c r="F9280" t="s">
        <v>12288</v>
      </c>
      <c r="G9280" t="s">
        <v>16519</v>
      </c>
      <c r="H9280" t="s">
        <v>21821</v>
      </c>
    </row>
    <row r="9281" spans="6:8">
      <c r="H9281" t="s">
        <v>21822</v>
      </c>
    </row>
    <row r="9282" spans="6:8">
      <c r="H9282" t="s">
        <v>21823</v>
      </c>
    </row>
    <row r="9283" spans="6:8">
      <c r="H9283" t="s">
        <v>21824</v>
      </c>
    </row>
    <row r="9284" spans="6:8">
      <c r="H9284" t="s">
        <v>21825</v>
      </c>
    </row>
    <row r="9285" spans="6:8">
      <c r="H9285" t="s">
        <v>21826</v>
      </c>
    </row>
    <row r="9286" spans="6:8">
      <c r="H9286" t="s">
        <v>21827</v>
      </c>
    </row>
    <row r="9287" spans="6:8">
      <c r="H9287" t="s">
        <v>21828</v>
      </c>
    </row>
    <row r="9288" spans="6:8">
      <c r="F9288" t="s">
        <v>12247</v>
      </c>
      <c r="G9288" t="s">
        <v>16478</v>
      </c>
      <c r="H9288" t="s">
        <v>21830</v>
      </c>
    </row>
    <row r="9289" spans="6:8">
      <c r="H9289" t="s">
        <v>21831</v>
      </c>
    </row>
    <row r="9290" spans="6:8">
      <c r="H9290" t="s">
        <v>21832</v>
      </c>
    </row>
    <row r="9291" spans="6:8">
      <c r="H9291" t="s">
        <v>21833</v>
      </c>
    </row>
    <row r="9292" spans="6:8">
      <c r="H9292" t="s">
        <v>21834</v>
      </c>
    </row>
    <row r="9293" spans="6:8">
      <c r="H9293" t="s">
        <v>21835</v>
      </c>
    </row>
    <row r="9294" spans="6:8">
      <c r="H9294" t="s">
        <v>21836</v>
      </c>
    </row>
    <row r="9295" spans="6:8">
      <c r="H9295" t="s">
        <v>21837</v>
      </c>
    </row>
    <row r="9296" spans="6:8">
      <c r="F9296" t="s">
        <v>12289</v>
      </c>
      <c r="G9296" t="s">
        <v>16520</v>
      </c>
      <c r="H9296" t="s">
        <v>21838</v>
      </c>
    </row>
    <row r="9297" spans="6:8">
      <c r="H9297" t="s">
        <v>21839</v>
      </c>
    </row>
    <row r="9298" spans="6:8">
      <c r="H9298" t="s">
        <v>21840</v>
      </c>
    </row>
    <row r="9299" spans="6:8">
      <c r="H9299" t="s">
        <v>21841</v>
      </c>
    </row>
    <row r="9300" spans="6:8">
      <c r="H9300" t="s">
        <v>21842</v>
      </c>
    </row>
    <row r="9301" spans="6:8">
      <c r="H9301" t="s">
        <v>21843</v>
      </c>
    </row>
    <row r="9302" spans="6:8">
      <c r="H9302" t="s">
        <v>21844</v>
      </c>
    </row>
    <row r="9303" spans="6:8">
      <c r="H9303" t="s">
        <v>21845</v>
      </c>
    </row>
    <row r="9304" spans="6:8">
      <c r="F9304" t="s">
        <v>12248</v>
      </c>
      <c r="G9304" t="s">
        <v>16479</v>
      </c>
      <c r="H9304" t="s">
        <v>21846</v>
      </c>
    </row>
    <row r="9305" spans="6:8">
      <c r="H9305" t="s">
        <v>21847</v>
      </c>
    </row>
    <row r="9306" spans="6:8">
      <c r="H9306" t="s">
        <v>21848</v>
      </c>
    </row>
    <row r="9307" spans="6:8">
      <c r="H9307" t="s">
        <v>21849</v>
      </c>
    </row>
    <row r="9308" spans="6:8">
      <c r="H9308" t="s">
        <v>21850</v>
      </c>
    </row>
    <row r="9309" spans="6:8">
      <c r="H9309" t="s">
        <v>21851</v>
      </c>
    </row>
    <row r="9310" spans="6:8">
      <c r="H9310" t="s">
        <v>21852</v>
      </c>
    </row>
    <row r="9311" spans="6:8">
      <c r="H9311" t="s">
        <v>21853</v>
      </c>
    </row>
    <row r="9312" spans="6:8">
      <c r="F9312" t="s">
        <v>12290</v>
      </c>
      <c r="G9312" t="s">
        <v>16521</v>
      </c>
      <c r="H9312" t="s">
        <v>21854</v>
      </c>
    </row>
    <row r="9313" spans="6:8">
      <c r="H9313" t="s">
        <v>21855</v>
      </c>
    </row>
    <row r="9314" spans="6:8">
      <c r="H9314" t="s">
        <v>21856</v>
      </c>
    </row>
    <row r="9315" spans="6:8">
      <c r="H9315" t="s">
        <v>21857</v>
      </c>
    </row>
    <row r="9316" spans="6:8">
      <c r="H9316" t="s">
        <v>21858</v>
      </c>
    </row>
    <row r="9317" spans="6:8">
      <c r="H9317" t="s">
        <v>21859</v>
      </c>
    </row>
    <row r="9318" spans="6:8">
      <c r="H9318" t="s">
        <v>21860</v>
      </c>
    </row>
    <row r="9319" spans="6:8">
      <c r="H9319" t="s">
        <v>21861</v>
      </c>
    </row>
    <row r="9320" spans="6:8">
      <c r="F9320" t="s">
        <v>12291</v>
      </c>
      <c r="G9320" t="s">
        <v>16522</v>
      </c>
      <c r="H9320" t="s">
        <v>21862</v>
      </c>
    </row>
    <row r="9321" spans="6:8">
      <c r="H9321" t="s">
        <v>21863</v>
      </c>
    </row>
    <row r="9322" spans="6:8">
      <c r="H9322" t="s">
        <v>21864</v>
      </c>
    </row>
    <row r="9323" spans="6:8">
      <c r="H9323" t="s">
        <v>21865</v>
      </c>
    </row>
    <row r="9324" spans="6:8">
      <c r="H9324" t="s">
        <v>21866</v>
      </c>
    </row>
    <row r="9325" spans="6:8">
      <c r="H9325" t="s">
        <v>21867</v>
      </c>
    </row>
    <row r="9326" spans="6:8">
      <c r="H9326" t="s">
        <v>21868</v>
      </c>
    </row>
    <row r="9327" spans="6:8">
      <c r="H9327" t="s">
        <v>21869</v>
      </c>
    </row>
    <row r="9328" spans="6:8">
      <c r="F9328" t="s">
        <v>12292</v>
      </c>
      <c r="G9328" t="s">
        <v>16523</v>
      </c>
      <c r="H9328" t="s">
        <v>21870</v>
      </c>
    </row>
    <row r="9329" spans="6:8">
      <c r="H9329" t="s">
        <v>21871</v>
      </c>
    </row>
    <row r="9330" spans="6:8">
      <c r="H9330" t="s">
        <v>21872</v>
      </c>
    </row>
    <row r="9331" spans="6:8">
      <c r="H9331" t="s">
        <v>21873</v>
      </c>
    </row>
    <row r="9332" spans="6:8">
      <c r="H9332" t="s">
        <v>21874</v>
      </c>
    </row>
    <row r="9333" spans="6:8">
      <c r="H9333" t="s">
        <v>21875</v>
      </c>
    </row>
    <row r="9334" spans="6:8">
      <c r="H9334" t="s">
        <v>21876</v>
      </c>
    </row>
    <row r="9335" spans="6:8">
      <c r="H9335" t="s">
        <v>21877</v>
      </c>
    </row>
    <row r="9336" spans="6:8">
      <c r="F9336" t="s">
        <v>12293</v>
      </c>
      <c r="G9336" t="s">
        <v>16524</v>
      </c>
      <c r="H9336" t="s">
        <v>21878</v>
      </c>
    </row>
    <row r="9337" spans="6:8">
      <c r="H9337" t="s">
        <v>21879</v>
      </c>
    </row>
    <row r="9338" spans="6:8">
      <c r="H9338" t="s">
        <v>21880</v>
      </c>
    </row>
    <row r="9339" spans="6:8">
      <c r="H9339" t="s">
        <v>21881</v>
      </c>
    </row>
    <row r="9340" spans="6:8">
      <c r="H9340" t="s">
        <v>21882</v>
      </c>
    </row>
    <row r="9341" spans="6:8">
      <c r="H9341" t="s">
        <v>21883</v>
      </c>
    </row>
    <row r="9342" spans="6:8">
      <c r="H9342" t="s">
        <v>21884</v>
      </c>
    </row>
    <row r="9343" spans="6:8">
      <c r="H9343" t="s">
        <v>21885</v>
      </c>
    </row>
    <row r="9344" spans="6:8">
      <c r="F9344" t="s">
        <v>12294</v>
      </c>
      <c r="G9344" t="s">
        <v>16525</v>
      </c>
      <c r="H9344" t="s">
        <v>21886</v>
      </c>
    </row>
    <row r="9345" spans="6:8">
      <c r="H9345" t="s">
        <v>21887</v>
      </c>
    </row>
    <row r="9346" spans="6:8">
      <c r="H9346" t="s">
        <v>21888</v>
      </c>
    </row>
    <row r="9347" spans="6:8">
      <c r="H9347" t="s">
        <v>21889</v>
      </c>
    </row>
    <row r="9348" spans="6:8">
      <c r="H9348" t="s">
        <v>21890</v>
      </c>
    </row>
    <row r="9349" spans="6:8">
      <c r="H9349" t="s">
        <v>21891</v>
      </c>
    </row>
    <row r="9350" spans="6:8">
      <c r="H9350" t="s">
        <v>21892</v>
      </c>
    </row>
    <row r="9351" spans="6:8">
      <c r="H9351" t="s">
        <v>21893</v>
      </c>
    </row>
    <row r="9352" spans="6:8">
      <c r="F9352" t="s">
        <v>12295</v>
      </c>
      <c r="G9352" t="s">
        <v>16526</v>
      </c>
      <c r="H9352" t="s">
        <v>21894</v>
      </c>
    </row>
    <row r="9353" spans="6:8">
      <c r="H9353" t="s">
        <v>21895</v>
      </c>
    </row>
    <row r="9354" spans="6:8">
      <c r="F9354" t="s">
        <v>12296</v>
      </c>
      <c r="G9354" t="s">
        <v>16527</v>
      </c>
      <c r="H9354" t="s">
        <v>21896</v>
      </c>
    </row>
    <row r="9355" spans="6:8">
      <c r="H9355" t="s">
        <v>21897</v>
      </c>
    </row>
    <row r="9356" spans="6:8">
      <c r="H9356" t="s">
        <v>21898</v>
      </c>
    </row>
    <row r="9357" spans="6:8">
      <c r="H9357" t="s">
        <v>21899</v>
      </c>
    </row>
    <row r="9358" spans="6:8">
      <c r="H9358" t="s">
        <v>21900</v>
      </c>
    </row>
    <row r="9359" spans="6:8">
      <c r="H9359" t="s">
        <v>21901</v>
      </c>
    </row>
    <row r="9360" spans="6:8">
      <c r="H9360" t="s">
        <v>21902</v>
      </c>
    </row>
    <row r="9361" spans="6:8">
      <c r="H9361" t="s">
        <v>21903</v>
      </c>
    </row>
    <row r="9362" spans="6:8">
      <c r="F9362" t="s">
        <v>12297</v>
      </c>
      <c r="G9362" t="s">
        <v>16528</v>
      </c>
      <c r="H9362" t="s">
        <v>21904</v>
      </c>
    </row>
    <row r="9363" spans="6:8">
      <c r="H9363" t="s">
        <v>21905</v>
      </c>
    </row>
    <row r="9364" spans="6:8">
      <c r="H9364" t="s">
        <v>21906</v>
      </c>
    </row>
    <row r="9365" spans="6:8">
      <c r="H9365" t="s">
        <v>21907</v>
      </c>
    </row>
    <row r="9366" spans="6:8">
      <c r="H9366" t="s">
        <v>21908</v>
      </c>
    </row>
    <row r="9367" spans="6:8">
      <c r="H9367" t="s">
        <v>21909</v>
      </c>
    </row>
    <row r="9368" spans="6:8">
      <c r="H9368" t="s">
        <v>21910</v>
      </c>
    </row>
    <row r="9369" spans="6:8">
      <c r="H9369" t="s">
        <v>21911</v>
      </c>
    </row>
    <row r="9370" spans="6:8">
      <c r="F9370" t="s">
        <v>12298</v>
      </c>
      <c r="G9370" t="s">
        <v>16529</v>
      </c>
      <c r="H9370" t="s">
        <v>21912</v>
      </c>
    </row>
    <row r="9371" spans="6:8">
      <c r="H9371" t="s">
        <v>21913</v>
      </c>
    </row>
    <row r="9372" spans="6:8">
      <c r="H9372" t="s">
        <v>21914</v>
      </c>
    </row>
    <row r="9373" spans="6:8">
      <c r="H9373" t="s">
        <v>21915</v>
      </c>
    </row>
    <row r="9374" spans="6:8">
      <c r="H9374" t="s">
        <v>21916</v>
      </c>
    </row>
    <row r="9375" spans="6:8">
      <c r="H9375" t="s">
        <v>21917</v>
      </c>
    </row>
    <row r="9376" spans="6:8">
      <c r="H9376" t="s">
        <v>21918</v>
      </c>
    </row>
    <row r="9377" spans="6:8">
      <c r="H9377" t="s">
        <v>21919</v>
      </c>
    </row>
    <row r="9378" spans="6:8">
      <c r="F9378" t="s">
        <v>12299</v>
      </c>
      <c r="G9378" t="s">
        <v>16530</v>
      </c>
      <c r="H9378" t="s">
        <v>21920</v>
      </c>
    </row>
    <row r="9379" spans="6:8">
      <c r="H9379" t="s">
        <v>21921</v>
      </c>
    </row>
    <row r="9380" spans="6:8">
      <c r="H9380" t="s">
        <v>21922</v>
      </c>
    </row>
    <row r="9381" spans="6:8">
      <c r="H9381" t="s">
        <v>21923</v>
      </c>
    </row>
    <row r="9382" spans="6:8">
      <c r="H9382" t="s">
        <v>21924</v>
      </c>
    </row>
    <row r="9383" spans="6:8">
      <c r="H9383" t="s">
        <v>21925</v>
      </c>
    </row>
    <row r="9384" spans="6:8">
      <c r="H9384" t="s">
        <v>21926</v>
      </c>
    </row>
    <row r="9385" spans="6:8">
      <c r="H9385" t="s">
        <v>21927</v>
      </c>
    </row>
    <row r="9386" spans="6:8">
      <c r="F9386" t="s">
        <v>12300</v>
      </c>
      <c r="G9386" t="s">
        <v>16531</v>
      </c>
      <c r="H9386" t="s">
        <v>21928</v>
      </c>
    </row>
    <row r="9387" spans="6:8">
      <c r="H9387" t="s">
        <v>21929</v>
      </c>
    </row>
    <row r="9388" spans="6:8">
      <c r="H9388" t="s">
        <v>21930</v>
      </c>
    </row>
    <row r="9389" spans="6:8">
      <c r="H9389" t="s">
        <v>21931</v>
      </c>
    </row>
    <row r="9390" spans="6:8">
      <c r="H9390" t="s">
        <v>21932</v>
      </c>
    </row>
    <row r="9391" spans="6:8">
      <c r="H9391" t="s">
        <v>21933</v>
      </c>
    </row>
    <row r="9392" spans="6:8">
      <c r="H9392" t="s">
        <v>21934</v>
      </c>
    </row>
    <row r="9393" spans="6:8">
      <c r="H9393" t="s">
        <v>21935</v>
      </c>
    </row>
    <row r="9394" spans="6:8">
      <c r="F9394" t="s">
        <v>12301</v>
      </c>
      <c r="G9394" t="s">
        <v>16532</v>
      </c>
      <c r="H9394" t="s">
        <v>21936</v>
      </c>
    </row>
    <row r="9395" spans="6:8">
      <c r="H9395" t="s">
        <v>21937</v>
      </c>
    </row>
    <row r="9396" spans="6:8">
      <c r="H9396" t="s">
        <v>21938</v>
      </c>
    </row>
    <row r="9397" spans="6:8">
      <c r="H9397" t="s">
        <v>21939</v>
      </c>
    </row>
    <row r="9398" spans="6:8">
      <c r="H9398" t="s">
        <v>21940</v>
      </c>
    </row>
    <row r="9399" spans="6:8">
      <c r="H9399" t="s">
        <v>21941</v>
      </c>
    </row>
    <row r="9400" spans="6:8">
      <c r="H9400" t="s">
        <v>21942</v>
      </c>
    </row>
    <row r="9401" spans="6:8">
      <c r="H9401" t="s">
        <v>21943</v>
      </c>
    </row>
    <row r="9402" spans="6:8">
      <c r="F9402" t="s">
        <v>12302</v>
      </c>
      <c r="G9402" t="s">
        <v>16533</v>
      </c>
      <c r="H9402" t="s">
        <v>21944</v>
      </c>
    </row>
    <row r="9403" spans="6:8">
      <c r="H9403" t="s">
        <v>21945</v>
      </c>
    </row>
    <row r="9404" spans="6:8">
      <c r="H9404" t="s">
        <v>21946</v>
      </c>
    </row>
    <row r="9405" spans="6:8">
      <c r="H9405" t="s">
        <v>21947</v>
      </c>
    </row>
    <row r="9406" spans="6:8">
      <c r="H9406" t="s">
        <v>21948</v>
      </c>
    </row>
    <row r="9407" spans="6:8">
      <c r="H9407" t="s">
        <v>21949</v>
      </c>
    </row>
    <row r="9408" spans="6:8">
      <c r="H9408" t="s">
        <v>21950</v>
      </c>
    </row>
    <row r="9409" spans="6:8">
      <c r="H9409" t="s">
        <v>21951</v>
      </c>
    </row>
    <row r="9410" spans="6:8">
      <c r="F9410" t="s">
        <v>12303</v>
      </c>
      <c r="G9410" t="s">
        <v>16534</v>
      </c>
      <c r="H9410" t="s">
        <v>21952</v>
      </c>
    </row>
    <row r="9411" spans="6:8">
      <c r="H9411" t="s">
        <v>21953</v>
      </c>
    </row>
    <row r="9412" spans="6:8">
      <c r="H9412" t="s">
        <v>21954</v>
      </c>
    </row>
    <row r="9413" spans="6:8">
      <c r="H9413" t="s">
        <v>21955</v>
      </c>
    </row>
    <row r="9414" spans="6:8">
      <c r="H9414" t="s">
        <v>21956</v>
      </c>
    </row>
    <row r="9415" spans="6:8">
      <c r="H9415" t="s">
        <v>21957</v>
      </c>
    </row>
    <row r="9416" spans="6:8">
      <c r="H9416" t="s">
        <v>21958</v>
      </c>
    </row>
    <row r="9417" spans="6:8">
      <c r="H9417" t="s">
        <v>21959</v>
      </c>
    </row>
    <row r="9418" spans="6:8">
      <c r="F9418" t="s">
        <v>12304</v>
      </c>
      <c r="G9418" t="s">
        <v>16535</v>
      </c>
      <c r="H9418" t="s">
        <v>21960</v>
      </c>
    </row>
    <row r="9419" spans="6:8">
      <c r="H9419" t="s">
        <v>21961</v>
      </c>
    </row>
    <row r="9420" spans="6:8">
      <c r="H9420" t="s">
        <v>21962</v>
      </c>
    </row>
    <row r="9421" spans="6:8">
      <c r="H9421" t="s">
        <v>21963</v>
      </c>
    </row>
    <row r="9422" spans="6:8">
      <c r="H9422" t="s">
        <v>21964</v>
      </c>
    </row>
    <row r="9423" spans="6:8">
      <c r="H9423" t="s">
        <v>21965</v>
      </c>
    </row>
    <row r="9424" spans="6:8">
      <c r="H9424" t="s">
        <v>21966</v>
      </c>
    </row>
    <row r="9425" spans="1:8">
      <c r="H9425" t="s">
        <v>21967</v>
      </c>
    </row>
    <row r="9426" spans="1:8">
      <c r="A9426" t="s">
        <v>526</v>
      </c>
      <c r="B9426">
        <f>HYPERLINK("https://android.googlesource.com/platform/cts/+/ff0a994dacffeee9c7918401bca7cdd6ae402707", "ff0a994dacffeee9c7918401bca7cdd6ae402707")</f>
        <v>0</v>
      </c>
      <c r="C9426">
        <f>HYPERLINK("https://android.googlesource.com/platform/cts/+/001664d27c8fedf061b5439cbf0c42c3e615bdcc", "001664d27c8fedf061b5439cbf0c42c3e615bdcc")</f>
        <v>0</v>
      </c>
      <c r="D9426" t="s">
        <v>5020</v>
      </c>
      <c r="E9426" t="s">
        <v>6312</v>
      </c>
      <c r="F9426" t="s">
        <v>12252</v>
      </c>
      <c r="G9426" t="s">
        <v>16483</v>
      </c>
      <c r="H9426" t="s">
        <v>21531</v>
      </c>
    </row>
    <row r="9427" spans="1:8">
      <c r="A9427" t="s">
        <v>528</v>
      </c>
      <c r="B9427">
        <f>HYPERLINK("https://android.googlesource.com/platform/cts/+/6efee00d6fb976bd616ea6c8fe91d4dadda12280", "6efee00d6fb976bd616ea6c8fe91d4dadda12280")</f>
        <v>0</v>
      </c>
      <c r="C9427">
        <f>HYPERLINK("https://android.googlesource.com/platform/cts/+/55b487e2c8568767d36e3fcaf64b7448af121b6a", "55b487e2c8568767d36e3fcaf64b7448af121b6a")</f>
        <v>0</v>
      </c>
      <c r="D9427" t="s">
        <v>5022</v>
      </c>
      <c r="E9427" t="s">
        <v>6314</v>
      </c>
      <c r="F9427" t="s">
        <v>12309</v>
      </c>
      <c r="G9427" t="s">
        <v>16540</v>
      </c>
      <c r="H9427" t="s">
        <v>21984</v>
      </c>
    </row>
    <row r="9428" spans="1:8">
      <c r="A9428" t="s">
        <v>529</v>
      </c>
      <c r="B9428">
        <f>HYPERLINK("https://android.googlesource.com/platform/cts/+/12ee8935b27621975674d8a3e6675c597af14783", "12ee8935b27621975674d8a3e6675c597af14783")</f>
        <v>0</v>
      </c>
      <c r="C9428">
        <f>HYPERLINK("https://android.googlesource.com/platform/cts/+/974c73e53e230096cbb2d14bbca7d57a6c90b8ad", "974c73e53e230096cbb2d14bbca7d57a6c90b8ad")</f>
        <v>0</v>
      </c>
      <c r="D9428" t="s">
        <v>4952</v>
      </c>
      <c r="E9428" t="s">
        <v>6315</v>
      </c>
      <c r="F9428" t="s">
        <v>12309</v>
      </c>
      <c r="G9428" t="s">
        <v>16540</v>
      </c>
      <c r="H9428" t="s">
        <v>21984</v>
      </c>
    </row>
    <row r="9429" spans="1:8">
      <c r="A9429" t="s">
        <v>530</v>
      </c>
      <c r="B9429">
        <f>HYPERLINK("https://android.googlesource.com/platform/cts/+/e364a32894a42656fe8d9a15637c5e4b0c58acbd", "e364a32894a42656fe8d9a15637c5e4b0c58acbd")</f>
        <v>0</v>
      </c>
      <c r="C9429">
        <f>HYPERLINK("https://android.googlesource.com/platform/cts/+/c6bb9a58592da7bdd897ce963d636e08d2336137", "c6bb9a58592da7bdd897ce963d636e08d2336137")</f>
        <v>0</v>
      </c>
      <c r="D9429" t="s">
        <v>4960</v>
      </c>
      <c r="E9429" t="s">
        <v>6316</v>
      </c>
      <c r="F9429" t="s">
        <v>12310</v>
      </c>
      <c r="G9429" t="s">
        <v>16541</v>
      </c>
      <c r="H9429" t="s">
        <v>21985</v>
      </c>
    </row>
    <row r="9430" spans="1:8">
      <c r="A9430" t="s">
        <v>535</v>
      </c>
      <c r="B9430">
        <f>HYPERLINK("https://android.googlesource.com/platform/cts/+/38db26307da6ad8e7b539037fed1559668154e68", "38db26307da6ad8e7b539037fed1559668154e68")</f>
        <v>0</v>
      </c>
      <c r="C9430">
        <f>HYPERLINK("https://android.googlesource.com/platform/cts/+/91911fcbb39f138d043a7142e3dae912c4e6d12b", "91911fcbb39f138d043a7142e3dae912c4e6d12b")</f>
        <v>0</v>
      </c>
      <c r="D9430" t="s">
        <v>5023</v>
      </c>
      <c r="E9430" t="s">
        <v>6320</v>
      </c>
      <c r="F9430" t="s">
        <v>12314</v>
      </c>
      <c r="G9430" t="s">
        <v>16546</v>
      </c>
      <c r="H9430" t="s">
        <v>22007</v>
      </c>
    </row>
    <row r="9431" spans="1:8">
      <c r="A9431" t="s">
        <v>537</v>
      </c>
      <c r="B9431">
        <f>HYPERLINK("https://android.googlesource.com/platform/cts/+/a6ea2481f93a3e703de11bb1f6c656827608cea3", "a6ea2481f93a3e703de11bb1f6c656827608cea3")</f>
        <v>0</v>
      </c>
      <c r="C9431">
        <f>HYPERLINK("https://android.googlesource.com/platform/cts/+/f6cf6d8170dec19b2f8ad29165abf2da02bbbd9b", "f6cf6d8170dec19b2f8ad29165abf2da02bbbd9b")</f>
        <v>0</v>
      </c>
      <c r="D9431" t="s">
        <v>4930</v>
      </c>
      <c r="E9431" t="s">
        <v>6322</v>
      </c>
      <c r="F9431" t="s">
        <v>12316</v>
      </c>
      <c r="G9431" t="s">
        <v>16548</v>
      </c>
      <c r="H9431" t="s">
        <v>18980</v>
      </c>
    </row>
    <row r="9432" spans="1:8">
      <c r="A9432" t="s">
        <v>540</v>
      </c>
      <c r="B9432">
        <f>HYPERLINK("https://android.googlesource.com/platform/cts/+/d51e0c83207dabadb0d64d86c2b4fff7ca9bef7f", "d51e0c83207dabadb0d64d86c2b4fff7ca9bef7f")</f>
        <v>0</v>
      </c>
      <c r="C9432">
        <f>HYPERLINK("https://android.googlesource.com/platform/cts/+/e32c995b1b14ea670626ebf651a0fc45ed2c8c00", "e32c995b1b14ea670626ebf651a0fc45ed2c8c00")</f>
        <v>0</v>
      </c>
      <c r="D9432" t="s">
        <v>4973</v>
      </c>
      <c r="E9432" t="s">
        <v>6325</v>
      </c>
      <c r="F9432" t="s">
        <v>12319</v>
      </c>
      <c r="G9432" t="s">
        <v>16549</v>
      </c>
      <c r="H9432" t="s">
        <v>22039</v>
      </c>
    </row>
    <row r="9433" spans="1:8">
      <c r="H9433" t="s">
        <v>22040</v>
      </c>
    </row>
    <row r="9434" spans="1:8">
      <c r="A9434" t="s">
        <v>541</v>
      </c>
      <c r="B9434">
        <f>HYPERLINK("https://android.googlesource.com/platform/cts/+/7b44fee3487ee84d9c10a51dddaac4dc95229ba7", "7b44fee3487ee84d9c10a51dddaac4dc95229ba7")</f>
        <v>0</v>
      </c>
      <c r="C9434">
        <f>HYPERLINK("https://android.googlesource.com/platform/cts/+/fd4862555abcc1d8aaf80ce112c2fcd9acd52ec9", "fd4862555abcc1d8aaf80ce112c2fcd9acd52ec9")</f>
        <v>0</v>
      </c>
      <c r="D9434" t="s">
        <v>5024</v>
      </c>
      <c r="E9434" t="s">
        <v>6326</v>
      </c>
      <c r="F9434" t="s">
        <v>12320</v>
      </c>
      <c r="G9434" t="s">
        <v>16550</v>
      </c>
      <c r="H9434" t="s">
        <v>22044</v>
      </c>
    </row>
    <row r="9435" spans="1:8">
      <c r="H9435" t="s">
        <v>22045</v>
      </c>
    </row>
    <row r="9436" spans="1:8">
      <c r="H9436" t="s">
        <v>22046</v>
      </c>
    </row>
    <row r="9437" spans="1:8">
      <c r="H9437" t="s">
        <v>22047</v>
      </c>
    </row>
    <row r="9438" spans="1:8">
      <c r="H9438" t="s">
        <v>22048</v>
      </c>
    </row>
    <row r="9439" spans="1:8">
      <c r="F9439" t="s">
        <v>12321</v>
      </c>
      <c r="G9439" t="s">
        <v>16551</v>
      </c>
      <c r="H9439" t="s">
        <v>22050</v>
      </c>
    </row>
    <row r="9440" spans="1:8">
      <c r="H9440" t="s">
        <v>22051</v>
      </c>
    </row>
    <row r="9441" spans="1:8">
      <c r="H9441" t="s">
        <v>22052</v>
      </c>
    </row>
    <row r="9442" spans="1:8">
      <c r="H9442" t="s">
        <v>22053</v>
      </c>
    </row>
    <row r="9443" spans="1:8">
      <c r="H9443" t="s">
        <v>22054</v>
      </c>
    </row>
    <row r="9444" spans="1:8">
      <c r="H9444" t="s">
        <v>22055</v>
      </c>
    </row>
    <row r="9445" spans="1:8">
      <c r="H9445" t="s">
        <v>22056</v>
      </c>
    </row>
    <row r="9446" spans="1:8">
      <c r="A9446" t="s">
        <v>547</v>
      </c>
      <c r="B9446">
        <f>HYPERLINK("https://android.googlesource.com/platform/cts/+/ccb3315b017c17710f0f190a50dbf9f92687aa87", "ccb3315b017c17710f0f190a50dbf9f92687aa87")</f>
        <v>0</v>
      </c>
      <c r="C9446">
        <f>HYPERLINK("https://android.googlesource.com/platform/cts/+/f5e85145970257730305e9f2681825e24100c4e7", "f5e85145970257730305e9f2681825e24100c4e7")</f>
        <v>0</v>
      </c>
      <c r="D9446" t="s">
        <v>5007</v>
      </c>
      <c r="E9446" t="s">
        <v>6332</v>
      </c>
      <c r="F9446" t="s">
        <v>12325</v>
      </c>
      <c r="G9446" t="s">
        <v>16555</v>
      </c>
      <c r="H9446" t="s">
        <v>22088</v>
      </c>
    </row>
    <row r="9447" spans="1:8">
      <c r="A9447" t="s">
        <v>548</v>
      </c>
      <c r="B9447">
        <f>HYPERLINK("https://android.googlesource.com/platform/cts/+/863fadbcff87c8809e9d9fae1c64a1fe692b2ea2", "863fadbcff87c8809e9d9fae1c64a1fe692b2ea2")</f>
        <v>0</v>
      </c>
      <c r="C9447">
        <f>HYPERLINK("https://android.googlesource.com/platform/cts/+/f09eb74555a4c8d46fa908fa83099a26a28d80eb", "f09eb74555a4c8d46fa908fa83099a26a28d80eb")</f>
        <v>0</v>
      </c>
      <c r="D9447" t="s">
        <v>5019</v>
      </c>
      <c r="E9447" t="s">
        <v>6333</v>
      </c>
      <c r="F9447" t="s">
        <v>12326</v>
      </c>
      <c r="G9447" t="s">
        <v>16556</v>
      </c>
      <c r="H9447" t="s">
        <v>22108</v>
      </c>
    </row>
    <row r="9448" spans="1:8">
      <c r="A9448" t="s">
        <v>549</v>
      </c>
      <c r="B9448">
        <f>HYPERLINK("https://android.googlesource.com/platform/cts/+/5b70b978e78d4731c66a0a4320984a69e4a88690", "5b70b978e78d4731c66a0a4320984a69e4a88690")</f>
        <v>0</v>
      </c>
      <c r="C9448">
        <f>HYPERLINK("https://android.googlesource.com/platform/cts/+/b7f71268276f56cd4b15ac51bffbb14e55480788", "b7f71268276f56cd4b15ac51bffbb14e55480788")</f>
        <v>0</v>
      </c>
      <c r="D9448" t="s">
        <v>5026</v>
      </c>
      <c r="E9448" t="s">
        <v>6334</v>
      </c>
      <c r="F9448" t="s">
        <v>12327</v>
      </c>
      <c r="G9448" t="s">
        <v>16557</v>
      </c>
      <c r="H9448" t="s">
        <v>22109</v>
      </c>
    </row>
    <row r="9449" spans="1:8">
      <c r="A9449" t="s">
        <v>550</v>
      </c>
      <c r="B9449">
        <f>HYPERLINK("https://android.googlesource.com/platform/cts/+/c9bccc623c3d30d2fed4d2bbe321765598801545", "c9bccc623c3d30d2fed4d2bbe321765598801545")</f>
        <v>0</v>
      </c>
      <c r="C9449">
        <f>HYPERLINK("https://android.googlesource.com/platform/cts/+/76a03019d359f0d2a11862d49d3fc2b9e99c9167", "76a03019d359f0d2a11862d49d3fc2b9e99c9167")</f>
        <v>0</v>
      </c>
      <c r="D9449" t="s">
        <v>5004</v>
      </c>
      <c r="E9449" t="s">
        <v>6335</v>
      </c>
      <c r="F9449" t="s">
        <v>12328</v>
      </c>
      <c r="G9449" t="s">
        <v>16458</v>
      </c>
      <c r="H9449" t="s">
        <v>22110</v>
      </c>
    </row>
    <row r="9450" spans="1:8">
      <c r="A9450" t="s">
        <v>557</v>
      </c>
      <c r="B9450">
        <f>HYPERLINK("https://android.googlesource.com/platform/cts/+/c7d2f628194c794cac832a74fe415a04d76b0c25", "c7d2f628194c794cac832a74fe415a04d76b0c25")</f>
        <v>0</v>
      </c>
      <c r="C9450">
        <f>HYPERLINK("https://android.googlesource.com/platform/cts/+/e100b5fc27a7af6fe0e895b9c1a026602edaeda5", "e100b5fc27a7af6fe0e895b9c1a026602edaeda5")</f>
        <v>0</v>
      </c>
      <c r="D9450" t="s">
        <v>5028</v>
      </c>
      <c r="E9450" t="s">
        <v>6341</v>
      </c>
      <c r="F9450" t="s">
        <v>12221</v>
      </c>
      <c r="G9450" t="s">
        <v>16451</v>
      </c>
      <c r="H9450" t="s">
        <v>22116</v>
      </c>
    </row>
    <row r="9451" spans="1:8">
      <c r="H9451" t="s">
        <v>22117</v>
      </c>
    </row>
    <row r="9452" spans="1:8">
      <c r="H9452" t="s">
        <v>22118</v>
      </c>
    </row>
    <row r="9453" spans="1:8">
      <c r="H9453" t="s">
        <v>22119</v>
      </c>
    </row>
    <row r="9454" spans="1:8">
      <c r="H9454" t="s">
        <v>22120</v>
      </c>
    </row>
    <row r="9455" spans="1:8">
      <c r="A9455" t="s">
        <v>558</v>
      </c>
      <c r="B9455">
        <f>HYPERLINK("https://android.googlesource.com/platform/cts/+/ffb1ee597d9fb627774c13e9b5c9c049d201aefd", "ffb1ee597d9fb627774c13e9b5c9c049d201aefd")</f>
        <v>0</v>
      </c>
      <c r="C9455">
        <f>HYPERLINK("https://android.googlesource.com/platform/cts/+/6e0ef8958e5d1ed0b880e8ec8004bcd40fc456dc", "6e0ef8958e5d1ed0b880e8ec8004bcd40fc456dc")</f>
        <v>0</v>
      </c>
      <c r="D9455" t="s">
        <v>5010</v>
      </c>
      <c r="E9455" t="s">
        <v>6342</v>
      </c>
      <c r="F9455" t="s">
        <v>12328</v>
      </c>
      <c r="G9455" t="s">
        <v>16458</v>
      </c>
      <c r="H9455" t="s">
        <v>22121</v>
      </c>
    </row>
    <row r="9456" spans="1:8">
      <c r="H9456" t="s">
        <v>22122</v>
      </c>
    </row>
    <row r="9457" spans="1:8">
      <c r="H9457" t="s">
        <v>22123</v>
      </c>
    </row>
    <row r="9458" spans="1:8">
      <c r="H9458" t="s">
        <v>22124</v>
      </c>
    </row>
    <row r="9459" spans="1:8">
      <c r="H9459" t="s">
        <v>22125</v>
      </c>
    </row>
    <row r="9460" spans="1:8">
      <c r="H9460" t="s">
        <v>22126</v>
      </c>
    </row>
    <row r="9461" spans="1:8">
      <c r="H9461" t="s">
        <v>22127</v>
      </c>
    </row>
    <row r="9462" spans="1:8">
      <c r="H9462" t="s">
        <v>22128</v>
      </c>
    </row>
    <row r="9463" spans="1:8">
      <c r="H9463" t="s">
        <v>22129</v>
      </c>
    </row>
    <row r="9464" spans="1:8">
      <c r="A9464" t="s">
        <v>559</v>
      </c>
      <c r="B9464">
        <f>HYPERLINK("https://android.googlesource.com/platform/cts/+/9de0160cc34cad014ad2b26f849c042b911e4680", "9de0160cc34cad014ad2b26f849c042b911e4680")</f>
        <v>0</v>
      </c>
      <c r="C9464">
        <f>HYPERLINK("https://android.googlesource.com/platform/cts/+/1ad2dfcc524463008a27bfc53f60a41a64620e27", "1ad2dfcc524463008a27bfc53f60a41a64620e27")</f>
        <v>0</v>
      </c>
      <c r="D9464" t="s">
        <v>5018</v>
      </c>
      <c r="E9464" t="s">
        <v>6343</v>
      </c>
      <c r="F9464" t="s">
        <v>12330</v>
      </c>
      <c r="G9464" t="s">
        <v>16558</v>
      </c>
      <c r="H9464" t="s">
        <v>22130</v>
      </c>
    </row>
    <row r="9465" spans="1:8">
      <c r="A9465" t="s">
        <v>560</v>
      </c>
      <c r="B9465">
        <f>HYPERLINK("https://android.googlesource.com/platform/cts/+/c7924612d5d22d4ed7169ca2897fcbc275918dea", "c7924612d5d22d4ed7169ca2897fcbc275918dea")</f>
        <v>0</v>
      </c>
      <c r="C9465">
        <f>HYPERLINK("https://android.googlesource.com/platform/cts/+/097fd5cc6743096bde7486c1f13d405c8aecdec0", "097fd5cc6743096bde7486c1f13d405c8aecdec0")</f>
        <v>0</v>
      </c>
      <c r="D9465" t="s">
        <v>5029</v>
      </c>
      <c r="E9465" t="s">
        <v>6344</v>
      </c>
      <c r="F9465" t="s">
        <v>12331</v>
      </c>
      <c r="G9465" t="s">
        <v>16559</v>
      </c>
      <c r="H9465" t="s">
        <v>22131</v>
      </c>
    </row>
    <row r="9466" spans="1:8">
      <c r="A9466" t="s">
        <v>562</v>
      </c>
      <c r="B9466">
        <f>HYPERLINK("https://android.googlesource.com/platform/cts/+/24bcfcded83c94beb7f5c5dc7cf9df3c233aa8f3", "24bcfcded83c94beb7f5c5dc7cf9df3c233aa8f3")</f>
        <v>0</v>
      </c>
      <c r="C9466">
        <f>HYPERLINK("https://android.googlesource.com/platform/cts/+/94399746c7dfbd36c947b3c3b47de8e2a0a97c63", "94399746c7dfbd36c947b3c3b47de8e2a0a97c63")</f>
        <v>0</v>
      </c>
      <c r="D9466" t="s">
        <v>5004</v>
      </c>
      <c r="E9466" t="s">
        <v>6346</v>
      </c>
      <c r="F9466" t="s">
        <v>12328</v>
      </c>
      <c r="G9466" t="s">
        <v>16458</v>
      </c>
      <c r="H9466" t="s">
        <v>22132</v>
      </c>
    </row>
    <row r="9467" spans="1:8">
      <c r="A9467" t="s">
        <v>563</v>
      </c>
      <c r="B9467">
        <f>HYPERLINK("https://android.googlesource.com/platform/cts/+/f18f2a212328ee84a1fe80767421888009a1f690", "f18f2a212328ee84a1fe80767421888009a1f690")</f>
        <v>0</v>
      </c>
      <c r="C9467">
        <f>HYPERLINK("https://android.googlesource.com/platform/cts/+/94399746c7dfbd36c947b3c3b47de8e2a0a97c63", "94399746c7dfbd36c947b3c3b47de8e2a0a97c63")</f>
        <v>0</v>
      </c>
      <c r="D9467" t="s">
        <v>5026</v>
      </c>
      <c r="E9467" t="s">
        <v>6347</v>
      </c>
      <c r="F9467" t="s">
        <v>12327</v>
      </c>
      <c r="G9467" t="s">
        <v>16557</v>
      </c>
      <c r="H9467" t="s">
        <v>22133</v>
      </c>
    </row>
    <row r="9468" spans="1:8">
      <c r="A9468" t="s">
        <v>565</v>
      </c>
      <c r="B9468">
        <f>HYPERLINK("https://android.googlesource.com/platform/cts/+/015ab0eb5461df156de94f61b28b58b45babace5", "015ab0eb5461df156de94f61b28b58b45babace5")</f>
        <v>0</v>
      </c>
      <c r="C9468">
        <f>HYPERLINK("https://android.googlesource.com/platform/cts/+/6e0bac587e3fd3b432ddc350dd0824b0d2da5013", "6e0bac587e3fd3b432ddc350dd0824b0d2da5013")</f>
        <v>0</v>
      </c>
      <c r="D9468" t="s">
        <v>5030</v>
      </c>
      <c r="E9468" t="s">
        <v>6349</v>
      </c>
      <c r="F9468" t="s">
        <v>12314</v>
      </c>
      <c r="G9468" t="s">
        <v>16546</v>
      </c>
      <c r="H9468" t="s">
        <v>22138</v>
      </c>
    </row>
    <row r="9469" spans="1:8">
      <c r="A9469" t="s">
        <v>567</v>
      </c>
      <c r="B9469">
        <f>HYPERLINK("https://android.googlesource.com/platform/cts/+/a6e6d53b82e90de1ff7a5f0849c52f65702816f3", "a6e6d53b82e90de1ff7a5f0849c52f65702816f3")</f>
        <v>0</v>
      </c>
      <c r="C9469">
        <f>HYPERLINK("https://android.googlesource.com/platform/cts/+/1cd3c6b2cd63b73a0a87a7cfb68fcadc577296fb", "1cd3c6b2cd63b73a0a87a7cfb68fcadc577296fb")</f>
        <v>0</v>
      </c>
      <c r="D9469" t="s">
        <v>4978</v>
      </c>
      <c r="E9469" t="s">
        <v>6352</v>
      </c>
      <c r="F9469" t="s">
        <v>12328</v>
      </c>
      <c r="G9469" t="s">
        <v>16458</v>
      </c>
      <c r="H9469" t="s">
        <v>22141</v>
      </c>
    </row>
    <row r="9470" spans="1:8">
      <c r="H9470" t="s">
        <v>22142</v>
      </c>
    </row>
    <row r="9471" spans="1:8">
      <c r="A9471" t="s">
        <v>568</v>
      </c>
      <c r="B9471">
        <f>HYPERLINK("https://android.googlesource.com/platform/cts/+/a47c85a90f67b953ff4fffb408d17ce47b6440a1", "a47c85a90f67b953ff4fffb408d17ce47b6440a1")</f>
        <v>0</v>
      </c>
      <c r="C9471">
        <f>HYPERLINK("https://android.googlesource.com/platform/cts/+/bb24757ddf2be5d5858e2e24382b7342119d9a85", "bb24757ddf2be5d5858e2e24382b7342119d9a85")</f>
        <v>0</v>
      </c>
      <c r="D9471" t="s">
        <v>4978</v>
      </c>
      <c r="E9471" t="s">
        <v>6353</v>
      </c>
      <c r="F9471" t="s">
        <v>12328</v>
      </c>
      <c r="G9471" t="s">
        <v>16458</v>
      </c>
      <c r="H9471" t="s">
        <v>22143</v>
      </c>
    </row>
    <row r="9472" spans="1:8">
      <c r="A9472" t="s">
        <v>569</v>
      </c>
      <c r="B9472">
        <f>HYPERLINK("https://android.googlesource.com/platform/cts/+/b3a6e408ed0196b0a825be2232742d88fcb8516b", "b3a6e408ed0196b0a825be2232742d88fcb8516b")</f>
        <v>0</v>
      </c>
      <c r="C9472">
        <f>HYPERLINK("https://android.googlesource.com/platform/cts/+/51c4608bd5dcb4662b5993d3609f895e4722ec55", "51c4608bd5dcb4662b5993d3609f895e4722ec55")</f>
        <v>0</v>
      </c>
      <c r="D9472" t="s">
        <v>5031</v>
      </c>
      <c r="E9472" t="s">
        <v>6354</v>
      </c>
      <c r="F9472" t="s">
        <v>11191</v>
      </c>
      <c r="G9472" t="s">
        <v>15580</v>
      </c>
      <c r="H9472" t="s">
        <v>22144</v>
      </c>
    </row>
    <row r="9473" spans="1:8">
      <c r="A9473" t="s">
        <v>571</v>
      </c>
      <c r="B9473">
        <f>HYPERLINK("https://android.googlesource.com/platform/cts/+/6e3dd2818f782221f2953d0aca445735c8dfdc6e", "6e3dd2818f782221f2953d0aca445735c8dfdc6e")</f>
        <v>0</v>
      </c>
      <c r="C9473">
        <f>HYPERLINK("https://android.googlesource.com/platform/cts/+/92b5677aa6248e59c327779a9585e724cb65e52a", "92b5677aa6248e59c327779a9585e724cb65e52a")</f>
        <v>0</v>
      </c>
      <c r="D9473" t="s">
        <v>5028</v>
      </c>
      <c r="E9473" t="s">
        <v>6356</v>
      </c>
      <c r="F9473" t="s">
        <v>12334</v>
      </c>
      <c r="G9473" t="s">
        <v>16562</v>
      </c>
      <c r="H9473" t="s">
        <v>22145</v>
      </c>
    </row>
    <row r="9474" spans="1:8">
      <c r="A9474" t="s">
        <v>573</v>
      </c>
      <c r="B9474">
        <f>HYPERLINK("https://android.googlesource.com/platform/cts/+/887b66fa88701f8b5aac65efc1d24aed3610a53a", "887b66fa88701f8b5aac65efc1d24aed3610a53a")</f>
        <v>0</v>
      </c>
      <c r="C9474">
        <f>HYPERLINK("https://android.googlesource.com/platform/cts/+/8d829f61cd17f1f0f8c022e2a71447b366189df9", "8d829f61cd17f1f0f8c022e2a71447b366189df9")</f>
        <v>0</v>
      </c>
      <c r="D9474" t="s">
        <v>5004</v>
      </c>
      <c r="E9474" t="s">
        <v>6358</v>
      </c>
      <c r="F9474" t="s">
        <v>12328</v>
      </c>
      <c r="G9474" t="s">
        <v>16458</v>
      </c>
      <c r="H9474" t="s">
        <v>22147</v>
      </c>
    </row>
    <row r="9475" spans="1:8">
      <c r="A9475" t="s">
        <v>577</v>
      </c>
      <c r="B9475">
        <f>HYPERLINK("https://android.googlesource.com/platform/cts/+/b3da24d0a95d74b18f7dea88d2aa11c493044bd4", "b3da24d0a95d74b18f7dea88d2aa11c493044bd4")</f>
        <v>0</v>
      </c>
      <c r="C9475">
        <f>HYPERLINK("https://android.googlesource.com/platform/cts/+/8386822c69457adddca52bc9b7146dde368fec9d", "8386822c69457adddca52bc9b7146dde368fec9d")</f>
        <v>0</v>
      </c>
      <c r="D9475" t="s">
        <v>4967</v>
      </c>
      <c r="E9475" t="s">
        <v>6362</v>
      </c>
      <c r="F9475" t="s">
        <v>12335</v>
      </c>
      <c r="G9475" t="s">
        <v>16563</v>
      </c>
      <c r="H9475" t="s">
        <v>22151</v>
      </c>
    </row>
    <row r="9476" spans="1:8">
      <c r="F9476" t="s">
        <v>12336</v>
      </c>
      <c r="G9476" t="s">
        <v>16564</v>
      </c>
      <c r="H9476" t="s">
        <v>22151</v>
      </c>
    </row>
    <row r="9477" spans="1:8">
      <c r="F9477" t="s">
        <v>10780</v>
      </c>
      <c r="G9477" t="s">
        <v>15176</v>
      </c>
      <c r="H9477" t="s">
        <v>22151</v>
      </c>
    </row>
    <row r="9478" spans="1:8">
      <c r="F9478" t="s">
        <v>12316</v>
      </c>
      <c r="G9478" t="s">
        <v>16548</v>
      </c>
      <c r="H9478" t="s">
        <v>22151</v>
      </c>
    </row>
    <row r="9479" spans="1:8">
      <c r="F9479" t="s">
        <v>10646</v>
      </c>
      <c r="G9479" t="s">
        <v>15047</v>
      </c>
      <c r="H9479" t="s">
        <v>22151</v>
      </c>
    </row>
    <row r="9480" spans="1:8">
      <c r="A9480" t="s">
        <v>578</v>
      </c>
      <c r="B9480">
        <f>HYPERLINK("https://android.googlesource.com/platform/cts/+/e32c8ecba4fb2c7ec0ab8112cd8977e2f876cf98", "e32c8ecba4fb2c7ec0ab8112cd8977e2f876cf98")</f>
        <v>0</v>
      </c>
      <c r="C9480">
        <f>HYPERLINK("https://android.googlesource.com/platform/cts/+/8688ecffd952e610f1ed4ad4228d66fffdd6cb4b", "8688ecffd952e610f1ed4ad4228d66fffdd6cb4b")</f>
        <v>0</v>
      </c>
      <c r="D9480" t="s">
        <v>5033</v>
      </c>
      <c r="E9480" t="s">
        <v>6363</v>
      </c>
      <c r="F9480" t="s">
        <v>12337</v>
      </c>
      <c r="G9480" t="s">
        <v>16565</v>
      </c>
      <c r="H9480" t="s">
        <v>22156</v>
      </c>
    </row>
    <row r="9481" spans="1:8">
      <c r="H9481" t="s">
        <v>22157</v>
      </c>
    </row>
    <row r="9482" spans="1:8">
      <c r="H9482" t="s">
        <v>22158</v>
      </c>
    </row>
    <row r="9483" spans="1:8">
      <c r="H9483" t="s">
        <v>22159</v>
      </c>
    </row>
    <row r="9484" spans="1:8">
      <c r="H9484" t="s">
        <v>22160</v>
      </c>
    </row>
    <row r="9485" spans="1:8">
      <c r="H9485" t="s">
        <v>22161</v>
      </c>
    </row>
    <row r="9486" spans="1:8">
      <c r="H9486" t="s">
        <v>22162</v>
      </c>
    </row>
    <row r="9487" spans="1:8">
      <c r="H9487" t="s">
        <v>22163</v>
      </c>
    </row>
    <row r="9488" spans="1:8">
      <c r="H9488" t="s">
        <v>22164</v>
      </c>
    </row>
    <row r="9489" spans="1:8">
      <c r="H9489" t="s">
        <v>22165</v>
      </c>
    </row>
    <row r="9490" spans="1:8">
      <c r="H9490" t="s">
        <v>22166</v>
      </c>
    </row>
    <row r="9491" spans="1:8">
      <c r="H9491" t="s">
        <v>22167</v>
      </c>
    </row>
    <row r="9492" spans="1:8">
      <c r="H9492" t="s">
        <v>22168</v>
      </c>
    </row>
    <row r="9493" spans="1:8">
      <c r="H9493" t="s">
        <v>22169</v>
      </c>
    </row>
    <row r="9494" spans="1:8">
      <c r="H9494" t="s">
        <v>22170</v>
      </c>
    </row>
    <row r="9495" spans="1:8">
      <c r="H9495" t="s">
        <v>22171</v>
      </c>
    </row>
    <row r="9496" spans="1:8">
      <c r="H9496" t="s">
        <v>22172</v>
      </c>
    </row>
    <row r="9497" spans="1:8">
      <c r="H9497" t="s">
        <v>22173</v>
      </c>
    </row>
    <row r="9498" spans="1:8">
      <c r="H9498" t="s">
        <v>22174</v>
      </c>
    </row>
    <row r="9499" spans="1:8">
      <c r="H9499" t="s">
        <v>22175</v>
      </c>
    </row>
    <row r="9500" spans="1:8">
      <c r="H9500" t="s">
        <v>22176</v>
      </c>
    </row>
    <row r="9501" spans="1:8">
      <c r="H9501" t="s">
        <v>22177</v>
      </c>
    </row>
    <row r="9502" spans="1:8">
      <c r="H9502" t="s">
        <v>22178</v>
      </c>
    </row>
    <row r="9503" spans="1:8">
      <c r="H9503" t="s">
        <v>22179</v>
      </c>
    </row>
    <row r="9504" spans="1:8">
      <c r="A9504" t="s">
        <v>580</v>
      </c>
      <c r="B9504">
        <f>HYPERLINK("https://android.googlesource.com/platform/cts/+/2a40eb9f66e54a22be7c0d045f04cc24db029e2a", "2a40eb9f66e54a22be7c0d045f04cc24db029e2a")</f>
        <v>0</v>
      </c>
      <c r="C9504">
        <f>HYPERLINK("https://android.googlesource.com/platform/cts/+/0eb98efc9081fec29cc91a5d137b9cec69072891", "0eb98efc9081fec29cc91a5d137b9cec69072891")</f>
        <v>0</v>
      </c>
      <c r="D9504" t="s">
        <v>5031</v>
      </c>
      <c r="E9504" t="s">
        <v>6365</v>
      </c>
      <c r="F9504" t="s">
        <v>12339</v>
      </c>
      <c r="G9504" t="s">
        <v>16567</v>
      </c>
      <c r="H9504" t="s">
        <v>22182</v>
      </c>
    </row>
    <row r="9505" spans="1:8">
      <c r="A9505" t="s">
        <v>581</v>
      </c>
      <c r="B9505">
        <f>HYPERLINK("https://android.googlesource.com/platform/cts/+/6b6a5feab14ec08b7faecfcdbeb9d47689496dda", "6b6a5feab14ec08b7faecfcdbeb9d47689496dda")</f>
        <v>0</v>
      </c>
      <c r="C9505">
        <f>HYPERLINK("https://android.googlesource.com/platform/cts/+/2b83b8dbb354eb0ced02f257898ecfc40619b1ca", "2b83b8dbb354eb0ced02f257898ecfc40619b1ca")</f>
        <v>0</v>
      </c>
      <c r="D9505" t="s">
        <v>5011</v>
      </c>
      <c r="E9505" t="s">
        <v>6366</v>
      </c>
      <c r="F9505" t="s">
        <v>12340</v>
      </c>
      <c r="G9505" t="s">
        <v>16568</v>
      </c>
      <c r="H9505" t="s">
        <v>22183</v>
      </c>
    </row>
    <row r="9506" spans="1:8">
      <c r="H9506" t="s">
        <v>22184</v>
      </c>
    </row>
    <row r="9507" spans="1:8">
      <c r="H9507" t="s">
        <v>22185</v>
      </c>
    </row>
    <row r="9508" spans="1:8">
      <c r="A9508" t="s">
        <v>582</v>
      </c>
      <c r="B9508">
        <f>HYPERLINK("https://android.googlesource.com/platform/cts/+/86905510ade6dfca1851c521103b529cf8aaff49", "86905510ade6dfca1851c521103b529cf8aaff49")</f>
        <v>0</v>
      </c>
      <c r="C9508">
        <f>HYPERLINK("https://android.googlesource.com/platform/cts/+/8d71331cf099f6ebfbe75bb8afdd232ed59a3002", "8d71331cf099f6ebfbe75bb8afdd232ed59a3002")</f>
        <v>0</v>
      </c>
      <c r="D9508" t="s">
        <v>5034</v>
      </c>
      <c r="E9508" t="s">
        <v>6367</v>
      </c>
      <c r="F9508" t="s">
        <v>12320</v>
      </c>
      <c r="G9508" t="s">
        <v>16550</v>
      </c>
      <c r="H9508" t="s">
        <v>22186</v>
      </c>
    </row>
    <row r="9509" spans="1:8">
      <c r="H9509" t="s">
        <v>22187</v>
      </c>
    </row>
    <row r="9510" spans="1:8">
      <c r="H9510" t="s">
        <v>22188</v>
      </c>
    </row>
    <row r="9511" spans="1:8">
      <c r="H9511" t="s">
        <v>22189</v>
      </c>
    </row>
    <row r="9512" spans="1:8">
      <c r="A9512" t="s">
        <v>584</v>
      </c>
      <c r="B9512">
        <f>HYPERLINK("https://android.googlesource.com/platform/cts/+/9530de4762034f40d9e6b23e506da38590c3559d", "9530de4762034f40d9e6b23e506da38590c3559d")</f>
        <v>0</v>
      </c>
      <c r="C9512">
        <f>HYPERLINK("https://android.googlesource.com/platform/cts/+/3a42b2c7400880a5e403b31ce05584c95fa95482", "3a42b2c7400880a5e403b31ce05584c95fa95482")</f>
        <v>0</v>
      </c>
      <c r="D9512" t="s">
        <v>5029</v>
      </c>
      <c r="E9512" t="s">
        <v>6369</v>
      </c>
      <c r="F9512" t="s">
        <v>10794</v>
      </c>
      <c r="G9512" t="s">
        <v>15189</v>
      </c>
      <c r="H9512" t="s">
        <v>22191</v>
      </c>
    </row>
    <row r="9513" spans="1:8">
      <c r="A9513" t="s">
        <v>585</v>
      </c>
      <c r="B9513">
        <f>HYPERLINK("https://android.googlesource.com/platform/cts/+/47678d04325a8777c175b446a1e0c1a284bfe0fc", "47678d04325a8777c175b446a1e0c1a284bfe0fc")</f>
        <v>0</v>
      </c>
      <c r="C9513">
        <f>HYPERLINK("https://android.googlesource.com/platform/cts/+/3a42b2c7400880a5e403b31ce05584c95fa95482", "3a42b2c7400880a5e403b31ce05584c95fa95482")</f>
        <v>0</v>
      </c>
      <c r="D9513" t="s">
        <v>4991</v>
      </c>
      <c r="E9513" t="s">
        <v>6370</v>
      </c>
      <c r="F9513" t="s">
        <v>10687</v>
      </c>
      <c r="G9513" t="s">
        <v>15087</v>
      </c>
      <c r="H9513" t="s">
        <v>22192</v>
      </c>
    </row>
    <row r="9514" spans="1:8">
      <c r="H9514" t="s">
        <v>22193</v>
      </c>
    </row>
    <row r="9515" spans="1:8">
      <c r="H9515" t="s">
        <v>22194</v>
      </c>
    </row>
    <row r="9516" spans="1:8">
      <c r="H9516" t="s">
        <v>22195</v>
      </c>
    </row>
    <row r="9517" spans="1:8">
      <c r="H9517" t="s">
        <v>22196</v>
      </c>
    </row>
    <row r="9518" spans="1:8">
      <c r="H9518" t="s">
        <v>22197</v>
      </c>
    </row>
    <row r="9519" spans="1:8">
      <c r="H9519" t="s">
        <v>22198</v>
      </c>
    </row>
    <row r="9520" spans="1:8">
      <c r="H9520" t="s">
        <v>22199</v>
      </c>
    </row>
    <row r="9521" spans="1:8">
      <c r="H9521" t="s">
        <v>22200</v>
      </c>
    </row>
    <row r="9522" spans="1:8">
      <c r="H9522" t="s">
        <v>22201</v>
      </c>
    </row>
    <row r="9523" spans="1:8">
      <c r="H9523" t="s">
        <v>22202</v>
      </c>
    </row>
    <row r="9524" spans="1:8">
      <c r="H9524" t="s">
        <v>22203</v>
      </c>
    </row>
    <row r="9525" spans="1:8">
      <c r="H9525" t="s">
        <v>22204</v>
      </c>
    </row>
    <row r="9526" spans="1:8">
      <c r="H9526" t="s">
        <v>22208</v>
      </c>
    </row>
    <row r="9527" spans="1:8">
      <c r="A9527" t="s">
        <v>586</v>
      </c>
      <c r="B9527">
        <f>HYPERLINK("https://android.googlesource.com/platform/cts/+/62e961bdb11353f4ddec77525bb7a0cea7df3bb4", "62e961bdb11353f4ddec77525bb7a0cea7df3bb4")</f>
        <v>0</v>
      </c>
      <c r="C9527">
        <f>HYPERLINK("https://android.googlesource.com/platform/cts/+/16d4ceba244a857e1be11c849bb345fd06297c92", "16d4ceba244a857e1be11c849bb345fd06297c92")</f>
        <v>0</v>
      </c>
      <c r="D9527" t="s">
        <v>5031</v>
      </c>
      <c r="E9527" t="s">
        <v>6371</v>
      </c>
      <c r="F9527" t="s">
        <v>11191</v>
      </c>
      <c r="G9527" t="s">
        <v>15580</v>
      </c>
      <c r="H9527" t="s">
        <v>22221</v>
      </c>
    </row>
    <row r="9528" spans="1:8">
      <c r="A9528" t="s">
        <v>587</v>
      </c>
      <c r="B9528">
        <f>HYPERLINK("https://android.googlesource.com/platform/cts/+/a45e9bbb2e9a6948e879c49cf0a521a022ec8f31", "a45e9bbb2e9a6948e879c49cf0a521a022ec8f31")</f>
        <v>0</v>
      </c>
      <c r="C9528">
        <f>HYPERLINK("https://android.googlesource.com/platform/cts/+/9e1c67acefa2f0e180218be2753ea2a353acc82a", "9e1c67acefa2f0e180218be2753ea2a353acc82a")</f>
        <v>0</v>
      </c>
      <c r="D9528" t="s">
        <v>4952</v>
      </c>
      <c r="E9528" t="s">
        <v>6372</v>
      </c>
      <c r="F9528" t="s">
        <v>12342</v>
      </c>
      <c r="G9528" t="s">
        <v>16570</v>
      </c>
      <c r="H9528" t="s">
        <v>22222</v>
      </c>
    </row>
    <row r="9529" spans="1:8">
      <c r="A9529" t="s">
        <v>590</v>
      </c>
      <c r="B9529">
        <f>HYPERLINK("https://android.googlesource.com/platform/cts/+/44bb161bd45d3d1a6c398e72078e4e73494e226a", "44bb161bd45d3d1a6c398e72078e4e73494e226a")</f>
        <v>0</v>
      </c>
      <c r="C9529">
        <f>HYPERLINK("https://android.googlesource.com/platform/cts/+/0543641a09e0ae35b30b453c4547ca22516f540d", "0543641a09e0ae35b30b453c4547ca22516f540d")</f>
        <v>0</v>
      </c>
      <c r="D9529" t="s">
        <v>5038</v>
      </c>
      <c r="E9529" t="s">
        <v>6375</v>
      </c>
      <c r="F9529" t="s">
        <v>11482</v>
      </c>
      <c r="G9529" t="s">
        <v>15723</v>
      </c>
      <c r="H9529" t="s">
        <v>22225</v>
      </c>
    </row>
    <row r="9530" spans="1:8">
      <c r="A9530" t="s">
        <v>594</v>
      </c>
      <c r="B9530">
        <f>HYPERLINK("https://android.googlesource.com/platform/cts/+/c132d4188f17b2e408907e059ab58f5ae6c3f292", "c132d4188f17b2e408907e059ab58f5ae6c3f292")</f>
        <v>0</v>
      </c>
      <c r="C9530">
        <f>HYPERLINK("https://android.googlesource.com/platform/cts/+/cc9e0d5f8f03d01d34211699d1edc2a03f93ee62", "cc9e0d5f8f03d01d34211699d1edc2a03f93ee62")</f>
        <v>0</v>
      </c>
      <c r="D9530" t="s">
        <v>5040</v>
      </c>
      <c r="E9530" t="s">
        <v>6379</v>
      </c>
      <c r="F9530" t="s">
        <v>12344</v>
      </c>
      <c r="G9530" t="s">
        <v>16572</v>
      </c>
      <c r="H9530" t="s">
        <v>22226</v>
      </c>
    </row>
    <row r="9531" spans="1:8">
      <c r="H9531" t="s">
        <v>22227</v>
      </c>
    </row>
    <row r="9532" spans="1:8">
      <c r="H9532" t="s">
        <v>22228</v>
      </c>
    </row>
    <row r="9533" spans="1:8">
      <c r="H9533" t="s">
        <v>22229</v>
      </c>
    </row>
    <row r="9534" spans="1:8">
      <c r="H9534" t="s">
        <v>22230</v>
      </c>
    </row>
    <row r="9535" spans="1:8">
      <c r="H9535" t="s">
        <v>22231</v>
      </c>
    </row>
    <row r="9536" spans="1:8">
      <c r="H9536" t="s">
        <v>22232</v>
      </c>
    </row>
    <row r="9537" spans="1:8">
      <c r="H9537" t="s">
        <v>22233</v>
      </c>
    </row>
    <row r="9538" spans="1:8">
      <c r="H9538" t="s">
        <v>22234</v>
      </c>
    </row>
    <row r="9539" spans="1:8">
      <c r="H9539" t="s">
        <v>22235</v>
      </c>
    </row>
    <row r="9540" spans="1:8">
      <c r="A9540" t="s">
        <v>596</v>
      </c>
      <c r="B9540">
        <f>HYPERLINK("https://android.googlesource.com/platform/cts/+/420fd9be8a2bad706e5286eacfc14710c42d1e8b", "420fd9be8a2bad706e5286eacfc14710c42d1e8b")</f>
        <v>0</v>
      </c>
      <c r="C9540">
        <f>HYPERLINK("https://android.googlesource.com/platform/cts/+/769f280530f261e8c000cb2bc9d21c5ee0e63bef", "769f280530f261e8c000cb2bc9d21c5ee0e63bef")</f>
        <v>0</v>
      </c>
      <c r="D9540" t="s">
        <v>5041</v>
      </c>
      <c r="E9540" t="s">
        <v>6381</v>
      </c>
      <c r="F9540" t="s">
        <v>11470</v>
      </c>
      <c r="G9540" t="s">
        <v>15710</v>
      </c>
      <c r="H9540" t="s">
        <v>22238</v>
      </c>
    </row>
    <row r="9541" spans="1:8">
      <c r="H9541" t="s">
        <v>22239</v>
      </c>
    </row>
    <row r="9542" spans="1:8">
      <c r="H9542" t="s">
        <v>22240</v>
      </c>
    </row>
    <row r="9543" spans="1:8">
      <c r="A9543" t="s">
        <v>597</v>
      </c>
      <c r="B9543">
        <f>HYPERLINK("https://android.googlesource.com/platform/cts/+/d00d9f1cc4efbfe5437f8ae6f10b9fff417d4cf0", "d00d9f1cc4efbfe5437f8ae6f10b9fff417d4cf0")</f>
        <v>0</v>
      </c>
      <c r="C9543">
        <f>HYPERLINK("https://android.googlesource.com/platform/cts/+/7674e9510329a83d8ca479c97b1a423e90d15b63", "7674e9510329a83d8ca479c97b1a423e90d15b63")</f>
        <v>0</v>
      </c>
      <c r="D9543" t="s">
        <v>5040</v>
      </c>
      <c r="E9543" t="s">
        <v>6382</v>
      </c>
      <c r="F9543" t="s">
        <v>12344</v>
      </c>
      <c r="G9543" t="s">
        <v>16572</v>
      </c>
      <c r="H9543" t="s">
        <v>22226</v>
      </c>
    </row>
    <row r="9544" spans="1:8">
      <c r="H9544" t="s">
        <v>22227</v>
      </c>
    </row>
    <row r="9545" spans="1:8">
      <c r="H9545" t="s">
        <v>22228</v>
      </c>
    </row>
    <row r="9546" spans="1:8">
      <c r="H9546" t="s">
        <v>22229</v>
      </c>
    </row>
    <row r="9547" spans="1:8">
      <c r="H9547" t="s">
        <v>22230</v>
      </c>
    </row>
    <row r="9548" spans="1:8">
      <c r="H9548" t="s">
        <v>22231</v>
      </c>
    </row>
    <row r="9549" spans="1:8">
      <c r="H9549" t="s">
        <v>22232</v>
      </c>
    </row>
    <row r="9550" spans="1:8">
      <c r="H9550" t="s">
        <v>22233</v>
      </c>
    </row>
    <row r="9551" spans="1:8">
      <c r="H9551" t="s">
        <v>22234</v>
      </c>
    </row>
    <row r="9552" spans="1:8">
      <c r="H9552" t="s">
        <v>22235</v>
      </c>
    </row>
    <row r="9553" spans="1:8">
      <c r="A9553" t="s">
        <v>598</v>
      </c>
      <c r="B9553">
        <f>HYPERLINK("https://android.googlesource.com/platform/cts/+/4d2d2509b4997e3d27de9ddfe1ad50774b4487c3", "4d2d2509b4997e3d27de9ddfe1ad50774b4487c3")</f>
        <v>0</v>
      </c>
      <c r="C9553">
        <f>HYPERLINK("https://android.googlesource.com/platform/cts/+/d4b40bae92e42c89744d6e1453927c3a5b0e89fd", "d4b40bae92e42c89744d6e1453927c3a5b0e89fd")</f>
        <v>0</v>
      </c>
      <c r="D9553" t="s">
        <v>4952</v>
      </c>
      <c r="E9553" t="s">
        <v>6383</v>
      </c>
      <c r="F9553" t="s">
        <v>12345</v>
      </c>
      <c r="G9553" t="s">
        <v>16573</v>
      </c>
      <c r="H9553" t="s">
        <v>22241</v>
      </c>
    </row>
    <row r="9554" spans="1:8">
      <c r="H9554" t="s">
        <v>22242</v>
      </c>
    </row>
    <row r="9555" spans="1:8">
      <c r="H9555" t="s">
        <v>22243</v>
      </c>
    </row>
    <row r="9556" spans="1:8">
      <c r="H9556" t="s">
        <v>22244</v>
      </c>
    </row>
    <row r="9557" spans="1:8">
      <c r="H9557" t="s">
        <v>22245</v>
      </c>
    </row>
    <row r="9558" spans="1:8">
      <c r="H9558" t="s">
        <v>22246</v>
      </c>
    </row>
    <row r="9559" spans="1:8">
      <c r="H9559" t="s">
        <v>22247</v>
      </c>
    </row>
    <row r="9560" spans="1:8">
      <c r="H9560" t="s">
        <v>22248</v>
      </c>
    </row>
    <row r="9561" spans="1:8">
      <c r="H9561" t="s">
        <v>22249</v>
      </c>
    </row>
    <row r="9562" spans="1:8">
      <c r="H9562" t="s">
        <v>22250</v>
      </c>
    </row>
    <row r="9563" spans="1:8">
      <c r="H9563" t="s">
        <v>22251</v>
      </c>
    </row>
    <row r="9564" spans="1:8">
      <c r="H9564" t="s">
        <v>22252</v>
      </c>
    </row>
    <row r="9565" spans="1:8">
      <c r="H9565" t="s">
        <v>22253</v>
      </c>
    </row>
    <row r="9566" spans="1:8">
      <c r="H9566" t="s">
        <v>22254</v>
      </c>
    </row>
    <row r="9567" spans="1:8">
      <c r="H9567" t="s">
        <v>22255</v>
      </c>
    </row>
    <row r="9568" spans="1:8">
      <c r="H9568" t="s">
        <v>22256</v>
      </c>
    </row>
    <row r="9569" spans="1:8">
      <c r="H9569" t="s">
        <v>22257</v>
      </c>
    </row>
    <row r="9570" spans="1:8">
      <c r="H9570" t="s">
        <v>22258</v>
      </c>
    </row>
    <row r="9571" spans="1:8">
      <c r="A9571" t="s">
        <v>599</v>
      </c>
      <c r="B9571">
        <f>HYPERLINK("https://android.googlesource.com/platform/cts/+/f394f7a5e939fd9b503c52bb28e3989d1554e117", "f394f7a5e939fd9b503c52bb28e3989d1554e117")</f>
        <v>0</v>
      </c>
      <c r="C9571">
        <f>HYPERLINK("https://android.googlesource.com/platform/cts/+/247ecfc0ddb8cf1487a8a36f93ceb84d7abbbfe6", "247ecfc0ddb8cf1487a8a36f93ceb84d7abbbfe6")</f>
        <v>0</v>
      </c>
      <c r="D9571" t="s">
        <v>5036</v>
      </c>
      <c r="E9571" t="s">
        <v>6384</v>
      </c>
      <c r="F9571" t="s">
        <v>12328</v>
      </c>
      <c r="G9571" t="s">
        <v>16458</v>
      </c>
      <c r="H9571" t="s">
        <v>22278</v>
      </c>
    </row>
    <row r="9572" spans="1:8">
      <c r="A9572" t="s">
        <v>600</v>
      </c>
      <c r="B9572">
        <f>HYPERLINK("https://android.googlesource.com/platform/cts/+/c8fe8ce718b5178c9a095ce031e81af735549990", "c8fe8ce718b5178c9a095ce031e81af735549990")</f>
        <v>0</v>
      </c>
      <c r="C9572">
        <f>HYPERLINK("https://android.googlesource.com/platform/cts/+/279092be5dc7e867acbee1ef8e24bc2284254ac0", "279092be5dc7e867acbee1ef8e24bc2284254ac0")</f>
        <v>0</v>
      </c>
      <c r="D9572" t="s">
        <v>4978</v>
      </c>
      <c r="E9572" t="s">
        <v>6385</v>
      </c>
      <c r="F9572" t="s">
        <v>12328</v>
      </c>
      <c r="G9572" t="s">
        <v>16458</v>
      </c>
      <c r="H9572" t="s">
        <v>22279</v>
      </c>
    </row>
    <row r="9573" spans="1:8">
      <c r="A9573" t="s">
        <v>602</v>
      </c>
      <c r="B9573">
        <f>HYPERLINK("https://android.googlesource.com/platform/cts/+/b80c661fd4eda66b0468b6acee747c3e6edf3db5", "b80c661fd4eda66b0468b6acee747c3e6edf3db5")</f>
        <v>0</v>
      </c>
      <c r="C9573">
        <f>HYPERLINK("https://android.googlesource.com/platform/cts/+/c2b441b9c6c793fc3db16f8179f6e84859ec4f57", "c2b441b9c6c793fc3db16f8179f6e84859ec4f57")</f>
        <v>0</v>
      </c>
      <c r="D9573" t="s">
        <v>4978</v>
      </c>
      <c r="E9573" t="s">
        <v>6387</v>
      </c>
      <c r="F9573" t="s">
        <v>12225</v>
      </c>
      <c r="G9573" t="s">
        <v>16455</v>
      </c>
      <c r="H9573" t="s">
        <v>22291</v>
      </c>
    </row>
    <row r="9574" spans="1:8">
      <c r="A9574" t="s">
        <v>604</v>
      </c>
      <c r="B9574">
        <f>HYPERLINK("https://android.googlesource.com/platform/cts/+/42fe88944b4ac0b78132744e389bdd44b4fa2ceb", "42fe88944b4ac0b78132744e389bdd44b4fa2ceb")</f>
        <v>0</v>
      </c>
      <c r="C9574">
        <f>HYPERLINK("https://android.googlesource.com/platform/cts/+/c2b441b9c6c793fc3db16f8179f6e84859ec4f57", "c2b441b9c6c793fc3db16f8179f6e84859ec4f57")</f>
        <v>0</v>
      </c>
      <c r="D9574" t="s">
        <v>5042</v>
      </c>
      <c r="E9574" t="s">
        <v>6389</v>
      </c>
      <c r="F9574" t="s">
        <v>12324</v>
      </c>
      <c r="G9574" t="s">
        <v>16554</v>
      </c>
      <c r="H9574" t="s">
        <v>22294</v>
      </c>
    </row>
    <row r="9575" spans="1:8">
      <c r="H9575" t="s">
        <v>22295</v>
      </c>
    </row>
    <row r="9576" spans="1:8">
      <c r="H9576" t="s">
        <v>22296</v>
      </c>
    </row>
    <row r="9577" spans="1:8">
      <c r="H9577" t="s">
        <v>22297</v>
      </c>
    </row>
    <row r="9578" spans="1:8">
      <c r="H9578" t="s">
        <v>22298</v>
      </c>
    </row>
    <row r="9579" spans="1:8">
      <c r="H9579" t="s">
        <v>22299</v>
      </c>
    </row>
    <row r="9580" spans="1:8">
      <c r="A9580" t="s">
        <v>606</v>
      </c>
      <c r="B9580">
        <f>HYPERLINK("https://android.googlesource.com/platform/cts/+/bc2bee43698344db51b2ee8383c5fbd18d99fe43", "bc2bee43698344db51b2ee8383c5fbd18d99fe43")</f>
        <v>0</v>
      </c>
      <c r="C9580">
        <f>HYPERLINK("https://android.googlesource.com/platform/cts/+/ed017f02bfdb1d6a1cc86d76144724e45c9f1b4b", "ed017f02bfdb1d6a1cc86d76144724e45c9f1b4b")</f>
        <v>0</v>
      </c>
      <c r="D9580" t="s">
        <v>5043</v>
      </c>
      <c r="E9580" t="s">
        <v>6391</v>
      </c>
      <c r="F9580" t="s">
        <v>11471</v>
      </c>
      <c r="G9580" t="s">
        <v>15711</v>
      </c>
      <c r="H9580" t="s">
        <v>22305</v>
      </c>
    </row>
    <row r="9581" spans="1:8">
      <c r="H9581" t="s">
        <v>22306</v>
      </c>
    </row>
    <row r="9582" spans="1:8">
      <c r="H9582" t="s">
        <v>22307</v>
      </c>
    </row>
    <row r="9583" spans="1:8">
      <c r="H9583" t="s">
        <v>22308</v>
      </c>
    </row>
    <row r="9584" spans="1:8">
      <c r="A9584" t="s">
        <v>610</v>
      </c>
      <c r="B9584">
        <f>HYPERLINK("https://android.googlesource.com/platform/cts/+/3efef9464cf9b08a4ff4f506e8a79a6ebd0166c2", "3efef9464cf9b08a4ff4f506e8a79a6ebd0166c2")</f>
        <v>0</v>
      </c>
      <c r="C9584">
        <f>HYPERLINK("https://android.googlesource.com/platform/cts/+/ed28817fbc2ce98ceba3e9997b375bff4492ae4b", "ed28817fbc2ce98ceba3e9997b375bff4492ae4b")</f>
        <v>0</v>
      </c>
      <c r="D9584" t="s">
        <v>5004</v>
      </c>
      <c r="E9584" t="s">
        <v>6395</v>
      </c>
      <c r="F9584" t="s">
        <v>12328</v>
      </c>
      <c r="G9584" t="s">
        <v>16458</v>
      </c>
      <c r="H9584" t="s">
        <v>22314</v>
      </c>
    </row>
    <row r="9585" spans="1:8">
      <c r="A9585" t="s">
        <v>611</v>
      </c>
      <c r="B9585">
        <f>HYPERLINK("https://android.googlesource.com/platform/cts/+/ae0e42d4d921f0cdc1aefd5a478c763ebfcad576", "ae0e42d4d921f0cdc1aefd5a478c763ebfcad576")</f>
        <v>0</v>
      </c>
      <c r="C9585">
        <f>HYPERLINK("https://android.googlesource.com/platform/cts/+/ed28817fbc2ce98ceba3e9997b375bff4492ae4b", "ed28817fbc2ce98ceba3e9997b375bff4492ae4b")</f>
        <v>0</v>
      </c>
      <c r="D9585" t="s">
        <v>5044</v>
      </c>
      <c r="E9585" t="s">
        <v>6396</v>
      </c>
      <c r="F9585" t="s">
        <v>11470</v>
      </c>
      <c r="G9585" t="s">
        <v>15710</v>
      </c>
      <c r="H9585" t="s">
        <v>22315</v>
      </c>
    </row>
    <row r="9586" spans="1:8">
      <c r="A9586" t="s">
        <v>612</v>
      </c>
      <c r="B9586">
        <f>HYPERLINK("https://android.googlesource.com/platform/cts/+/ae1f018a3e15c2ed946fe99526c56712b25003f9", "ae1f018a3e15c2ed946fe99526c56712b25003f9")</f>
        <v>0</v>
      </c>
      <c r="C9586">
        <f>HYPERLINK("https://android.googlesource.com/platform/cts/+/cf2912d66443f9ca7dbd1c951ba3518bf3f51b5a", "cf2912d66443f9ca7dbd1c951ba3518bf3f51b5a")</f>
        <v>0</v>
      </c>
      <c r="D9586" t="s">
        <v>5045</v>
      </c>
      <c r="E9586" t="s">
        <v>6397</v>
      </c>
      <c r="F9586" t="s">
        <v>12351</v>
      </c>
      <c r="G9586" t="s">
        <v>16579</v>
      </c>
      <c r="H9586" t="s">
        <v>22317</v>
      </c>
    </row>
    <row r="9587" spans="1:8">
      <c r="A9587" t="s">
        <v>613</v>
      </c>
      <c r="B9587">
        <f>HYPERLINK("https://android.googlesource.com/platform/cts/+/74236261a8f1205501845c5ed884e0d6f998a65f", "74236261a8f1205501845c5ed884e0d6f998a65f")</f>
        <v>0</v>
      </c>
      <c r="C9587">
        <f>HYPERLINK("https://android.googlesource.com/platform/cts/+/58bb90a9c0482b0cb89a809906cf44290acab91c", "58bb90a9c0482b0cb89a809906cf44290acab91c")</f>
        <v>0</v>
      </c>
      <c r="D9587" t="s">
        <v>4952</v>
      </c>
      <c r="E9587" t="s">
        <v>6398</v>
      </c>
      <c r="F9587" t="s">
        <v>12222</v>
      </c>
      <c r="G9587" t="s">
        <v>16452</v>
      </c>
      <c r="H9587" t="s">
        <v>22318</v>
      </c>
    </row>
    <row r="9588" spans="1:8">
      <c r="A9588" t="s">
        <v>614</v>
      </c>
      <c r="B9588">
        <f>HYPERLINK("https://android.googlesource.com/platform/cts/+/53a0d6735b1296938b0db2b70c66e7ab75a66e76", "53a0d6735b1296938b0db2b70c66e7ab75a66e76")</f>
        <v>0</v>
      </c>
      <c r="C9588">
        <f>HYPERLINK("https://android.googlesource.com/platform/cts/+/ae1f018a3e15c2ed946fe99526c56712b25003f9", "ae1f018a3e15c2ed946fe99526c56712b25003f9")</f>
        <v>0</v>
      </c>
      <c r="D9588" t="s">
        <v>5045</v>
      </c>
      <c r="E9588" t="s">
        <v>6399</v>
      </c>
      <c r="F9588" t="s">
        <v>12352</v>
      </c>
      <c r="G9588" t="s">
        <v>16580</v>
      </c>
      <c r="H9588" t="s">
        <v>22319</v>
      </c>
    </row>
    <row r="9589" spans="1:8">
      <c r="F9589" t="s">
        <v>12353</v>
      </c>
      <c r="G9589" t="s">
        <v>16581</v>
      </c>
      <c r="H9589" t="s">
        <v>22321</v>
      </c>
    </row>
    <row r="9590" spans="1:8">
      <c r="H9590" t="s">
        <v>22322</v>
      </c>
    </row>
    <row r="9591" spans="1:8">
      <c r="H9591" t="s">
        <v>22323</v>
      </c>
    </row>
    <row r="9592" spans="1:8">
      <c r="F9592" t="s">
        <v>12354</v>
      </c>
      <c r="G9592" t="s">
        <v>16582</v>
      </c>
      <c r="H9592" t="s">
        <v>22324</v>
      </c>
    </row>
    <row r="9593" spans="1:8">
      <c r="H9593" t="s">
        <v>22325</v>
      </c>
    </row>
    <row r="9594" spans="1:8">
      <c r="H9594" t="s">
        <v>22326</v>
      </c>
    </row>
    <row r="9595" spans="1:8">
      <c r="H9595" t="s">
        <v>22327</v>
      </c>
    </row>
    <row r="9596" spans="1:8">
      <c r="H9596" t="s">
        <v>22328</v>
      </c>
    </row>
    <row r="9597" spans="1:8">
      <c r="H9597" t="s">
        <v>22329</v>
      </c>
    </row>
    <row r="9598" spans="1:8">
      <c r="H9598" t="s">
        <v>22330</v>
      </c>
    </row>
    <row r="9599" spans="1:8">
      <c r="H9599" t="s">
        <v>22331</v>
      </c>
    </row>
    <row r="9600" spans="1:8">
      <c r="H9600" t="s">
        <v>22332</v>
      </c>
    </row>
    <row r="9601" spans="6:8">
      <c r="H9601" t="s">
        <v>22333</v>
      </c>
    </row>
    <row r="9602" spans="6:8">
      <c r="F9602" t="s">
        <v>12355</v>
      </c>
      <c r="G9602" t="s">
        <v>15153</v>
      </c>
      <c r="H9602" t="s">
        <v>22334</v>
      </c>
    </row>
    <row r="9603" spans="6:8">
      <c r="H9603" t="s">
        <v>22333</v>
      </c>
    </row>
    <row r="9604" spans="6:8">
      <c r="H9604" t="s">
        <v>22325</v>
      </c>
    </row>
    <row r="9605" spans="6:8">
      <c r="H9605" t="s">
        <v>22335</v>
      </c>
    </row>
    <row r="9606" spans="6:8">
      <c r="H9606" t="s">
        <v>22324</v>
      </c>
    </row>
    <row r="9607" spans="6:8">
      <c r="F9607" t="s">
        <v>12356</v>
      </c>
      <c r="G9607" t="s">
        <v>16583</v>
      </c>
      <c r="H9607" t="s">
        <v>22336</v>
      </c>
    </row>
    <row r="9608" spans="6:8">
      <c r="H9608" t="s">
        <v>22337</v>
      </c>
    </row>
    <row r="9609" spans="6:8">
      <c r="H9609" t="s">
        <v>22339</v>
      </c>
    </row>
    <row r="9610" spans="6:8">
      <c r="H9610" t="s">
        <v>22340</v>
      </c>
    </row>
    <row r="9611" spans="6:8">
      <c r="F9611" t="s">
        <v>12357</v>
      </c>
      <c r="G9611" t="s">
        <v>16584</v>
      </c>
      <c r="H9611" t="s">
        <v>22342</v>
      </c>
    </row>
    <row r="9612" spans="6:8">
      <c r="H9612" t="s">
        <v>22343</v>
      </c>
    </row>
    <row r="9613" spans="6:8">
      <c r="F9613" t="s">
        <v>12358</v>
      </c>
      <c r="G9613" t="s">
        <v>16585</v>
      </c>
      <c r="H9613" t="s">
        <v>22346</v>
      </c>
    </row>
    <row r="9614" spans="6:8">
      <c r="H9614" t="s">
        <v>22347</v>
      </c>
    </row>
    <row r="9615" spans="6:8">
      <c r="H9615" t="s">
        <v>22348</v>
      </c>
    </row>
    <row r="9616" spans="6:8">
      <c r="F9616" t="s">
        <v>12359</v>
      </c>
      <c r="G9616" t="s">
        <v>16586</v>
      </c>
      <c r="H9616" t="s">
        <v>22349</v>
      </c>
    </row>
    <row r="9617" spans="6:8">
      <c r="H9617" t="s">
        <v>22350</v>
      </c>
    </row>
    <row r="9618" spans="6:8">
      <c r="H9618" t="s">
        <v>22351</v>
      </c>
    </row>
    <row r="9619" spans="6:8">
      <c r="F9619" t="s">
        <v>12360</v>
      </c>
      <c r="G9619" t="s">
        <v>15150</v>
      </c>
      <c r="H9619" t="s">
        <v>22353</v>
      </c>
    </row>
    <row r="9620" spans="6:8">
      <c r="H9620" t="s">
        <v>22354</v>
      </c>
    </row>
    <row r="9621" spans="6:8">
      <c r="H9621" t="s">
        <v>22355</v>
      </c>
    </row>
    <row r="9622" spans="6:8">
      <c r="H9622" t="s">
        <v>22356</v>
      </c>
    </row>
    <row r="9623" spans="6:8">
      <c r="H9623" t="s">
        <v>22357</v>
      </c>
    </row>
    <row r="9624" spans="6:8">
      <c r="F9624" t="s">
        <v>12361</v>
      </c>
      <c r="G9624" t="s">
        <v>16587</v>
      </c>
      <c r="H9624" t="s">
        <v>22358</v>
      </c>
    </row>
    <row r="9625" spans="6:8">
      <c r="F9625" t="s">
        <v>12362</v>
      </c>
      <c r="G9625" t="s">
        <v>16588</v>
      </c>
      <c r="H9625" t="s">
        <v>22361</v>
      </c>
    </row>
    <row r="9626" spans="6:8">
      <c r="H9626" t="s">
        <v>22362</v>
      </c>
    </row>
    <row r="9627" spans="6:8">
      <c r="F9627" t="s">
        <v>12363</v>
      </c>
      <c r="G9627" t="s">
        <v>16589</v>
      </c>
      <c r="H9627" t="s">
        <v>22363</v>
      </c>
    </row>
    <row r="9628" spans="6:8">
      <c r="H9628" t="s">
        <v>22364</v>
      </c>
    </row>
    <row r="9629" spans="6:8">
      <c r="H9629" t="s">
        <v>22365</v>
      </c>
    </row>
    <row r="9630" spans="6:8">
      <c r="H9630" t="s">
        <v>22366</v>
      </c>
    </row>
    <row r="9631" spans="6:8">
      <c r="H9631" t="s">
        <v>22367</v>
      </c>
    </row>
    <row r="9632" spans="6:8">
      <c r="F9632" t="s">
        <v>12364</v>
      </c>
      <c r="G9632" t="s">
        <v>16590</v>
      </c>
      <c r="H9632" t="s">
        <v>22368</v>
      </c>
    </row>
    <row r="9633" spans="1:8">
      <c r="H9633" t="s">
        <v>22369</v>
      </c>
    </row>
    <row r="9634" spans="1:8">
      <c r="H9634" t="s">
        <v>18981</v>
      </c>
    </row>
    <row r="9635" spans="1:8">
      <c r="H9635" t="s">
        <v>22370</v>
      </c>
    </row>
    <row r="9636" spans="1:8">
      <c r="H9636" t="s">
        <v>22371</v>
      </c>
    </row>
    <row r="9637" spans="1:8">
      <c r="H9637" t="s">
        <v>22372</v>
      </c>
    </row>
    <row r="9638" spans="1:8">
      <c r="A9638" t="s">
        <v>617</v>
      </c>
      <c r="B9638">
        <f>HYPERLINK("https://android.googlesource.com/platform/cts/+/3986d5e3a1b71843a982ece781251f40ccdf840d", "3986d5e3a1b71843a982ece781251f40ccdf840d")</f>
        <v>0</v>
      </c>
      <c r="C9638">
        <f>HYPERLINK("https://android.googlesource.com/platform/cts/+/09eea44a5067f5eaa6233d771e607897c25823ca", "09eea44a5067f5eaa6233d771e607897c25823ca")</f>
        <v>0</v>
      </c>
      <c r="D9638" t="s">
        <v>5047</v>
      </c>
      <c r="E9638" t="s">
        <v>6402</v>
      </c>
      <c r="F9638" t="s">
        <v>12337</v>
      </c>
      <c r="G9638" t="s">
        <v>16565</v>
      </c>
      <c r="H9638" t="s">
        <v>22156</v>
      </c>
    </row>
    <row r="9639" spans="1:8">
      <c r="H9639" t="s">
        <v>22157</v>
      </c>
    </row>
    <row r="9640" spans="1:8">
      <c r="H9640" t="s">
        <v>22158</v>
      </c>
    </row>
    <row r="9641" spans="1:8">
      <c r="H9641" t="s">
        <v>22159</v>
      </c>
    </row>
    <row r="9642" spans="1:8">
      <c r="H9642" t="s">
        <v>22160</v>
      </c>
    </row>
    <row r="9643" spans="1:8">
      <c r="H9643" t="s">
        <v>22161</v>
      </c>
    </row>
    <row r="9644" spans="1:8">
      <c r="H9644" t="s">
        <v>22162</v>
      </c>
    </row>
    <row r="9645" spans="1:8">
      <c r="H9645" t="s">
        <v>22163</v>
      </c>
    </row>
    <row r="9646" spans="1:8">
      <c r="H9646" t="s">
        <v>22164</v>
      </c>
    </row>
    <row r="9647" spans="1:8">
      <c r="H9647" t="s">
        <v>22165</v>
      </c>
    </row>
    <row r="9648" spans="1:8">
      <c r="H9648" t="s">
        <v>22166</v>
      </c>
    </row>
    <row r="9649" spans="1:8">
      <c r="H9649" t="s">
        <v>22167</v>
      </c>
    </row>
    <row r="9650" spans="1:8">
      <c r="H9650" t="s">
        <v>22168</v>
      </c>
    </row>
    <row r="9651" spans="1:8">
      <c r="H9651" t="s">
        <v>22169</v>
      </c>
    </row>
    <row r="9652" spans="1:8">
      <c r="H9652" t="s">
        <v>22170</v>
      </c>
    </row>
    <row r="9653" spans="1:8">
      <c r="H9653" t="s">
        <v>22171</v>
      </c>
    </row>
    <row r="9654" spans="1:8">
      <c r="H9654" t="s">
        <v>22172</v>
      </c>
    </row>
    <row r="9655" spans="1:8">
      <c r="H9655" t="s">
        <v>22173</v>
      </c>
    </row>
    <row r="9656" spans="1:8">
      <c r="H9656" t="s">
        <v>22174</v>
      </c>
    </row>
    <row r="9657" spans="1:8">
      <c r="H9657" t="s">
        <v>22175</v>
      </c>
    </row>
    <row r="9658" spans="1:8">
      <c r="H9658" t="s">
        <v>22176</v>
      </c>
    </row>
    <row r="9659" spans="1:8">
      <c r="H9659" t="s">
        <v>22177</v>
      </c>
    </row>
    <row r="9660" spans="1:8">
      <c r="H9660" t="s">
        <v>22178</v>
      </c>
    </row>
    <row r="9661" spans="1:8">
      <c r="H9661" t="s">
        <v>22179</v>
      </c>
    </row>
    <row r="9662" spans="1:8">
      <c r="A9662" t="s">
        <v>619</v>
      </c>
      <c r="B9662">
        <f>HYPERLINK("https://android.googlesource.com/platform/cts/+/8bd84f742639deeac362f660f8d304a6d9cce34b", "8bd84f742639deeac362f660f8d304a6d9cce34b")</f>
        <v>0</v>
      </c>
      <c r="C9662">
        <f>HYPERLINK("https://android.googlesource.com/platform/cts/+/a97a16bee3277b96ba836a8f1b653d7d638a2b41", "a97a16bee3277b96ba836a8f1b653d7d638a2b41")</f>
        <v>0</v>
      </c>
      <c r="D9662" t="s">
        <v>5047</v>
      </c>
      <c r="E9662" t="s">
        <v>6404</v>
      </c>
      <c r="F9662" t="s">
        <v>12337</v>
      </c>
      <c r="G9662" t="s">
        <v>16565</v>
      </c>
      <c r="H9662" t="s">
        <v>22156</v>
      </c>
    </row>
    <row r="9663" spans="1:8">
      <c r="H9663" t="s">
        <v>22157</v>
      </c>
    </row>
    <row r="9664" spans="1:8">
      <c r="H9664" t="s">
        <v>22158</v>
      </c>
    </row>
    <row r="9665" spans="8:8">
      <c r="H9665" t="s">
        <v>22159</v>
      </c>
    </row>
    <row r="9666" spans="8:8">
      <c r="H9666" t="s">
        <v>22160</v>
      </c>
    </row>
    <row r="9667" spans="8:8">
      <c r="H9667" t="s">
        <v>22161</v>
      </c>
    </row>
    <row r="9668" spans="8:8">
      <c r="H9668" t="s">
        <v>22162</v>
      </c>
    </row>
    <row r="9669" spans="8:8">
      <c r="H9669" t="s">
        <v>22163</v>
      </c>
    </row>
    <row r="9670" spans="8:8">
      <c r="H9670" t="s">
        <v>22164</v>
      </c>
    </row>
    <row r="9671" spans="8:8">
      <c r="H9671" t="s">
        <v>22165</v>
      </c>
    </row>
    <row r="9672" spans="8:8">
      <c r="H9672" t="s">
        <v>22166</v>
      </c>
    </row>
    <row r="9673" spans="8:8">
      <c r="H9673" t="s">
        <v>22167</v>
      </c>
    </row>
    <row r="9674" spans="8:8">
      <c r="H9674" t="s">
        <v>22168</v>
      </c>
    </row>
    <row r="9675" spans="8:8">
      <c r="H9675" t="s">
        <v>22169</v>
      </c>
    </row>
    <row r="9676" spans="8:8">
      <c r="H9676" t="s">
        <v>22170</v>
      </c>
    </row>
    <row r="9677" spans="8:8">
      <c r="H9677" t="s">
        <v>22171</v>
      </c>
    </row>
    <row r="9678" spans="8:8">
      <c r="H9678" t="s">
        <v>22172</v>
      </c>
    </row>
    <row r="9679" spans="8:8">
      <c r="H9679" t="s">
        <v>22173</v>
      </c>
    </row>
    <row r="9680" spans="8:8">
      <c r="H9680" t="s">
        <v>22174</v>
      </c>
    </row>
    <row r="9681" spans="1:8">
      <c r="H9681" t="s">
        <v>22175</v>
      </c>
    </row>
    <row r="9682" spans="1:8">
      <c r="H9682" t="s">
        <v>22176</v>
      </c>
    </row>
    <row r="9683" spans="1:8">
      <c r="H9683" t="s">
        <v>22177</v>
      </c>
    </row>
    <row r="9684" spans="1:8">
      <c r="H9684" t="s">
        <v>22178</v>
      </c>
    </row>
    <row r="9685" spans="1:8">
      <c r="H9685" t="s">
        <v>22179</v>
      </c>
    </row>
    <row r="9686" spans="1:8">
      <c r="A9686" t="s">
        <v>620</v>
      </c>
      <c r="B9686">
        <f>HYPERLINK("https://android.googlesource.com/platform/cts/+/c8d1d101a6ea2e18576da17733e31a566a12d0e6", "c8d1d101a6ea2e18576da17733e31a566a12d0e6")</f>
        <v>0</v>
      </c>
      <c r="C9686">
        <f>HYPERLINK("https://android.googlesource.com/platform/cts/+/b014cf523a2b089b6f7082585d8bcae25a89af63", "b014cf523a2b089b6f7082585d8bcae25a89af63")</f>
        <v>0</v>
      </c>
      <c r="D9686" t="s">
        <v>5010</v>
      </c>
      <c r="E9686" t="s">
        <v>6405</v>
      </c>
      <c r="F9686" t="s">
        <v>12328</v>
      </c>
      <c r="G9686" t="s">
        <v>16458</v>
      </c>
      <c r="H9686" t="s">
        <v>22378</v>
      </c>
    </row>
    <row r="9687" spans="1:8">
      <c r="H9687" t="s">
        <v>22379</v>
      </c>
    </row>
    <row r="9688" spans="1:8">
      <c r="H9688" t="s">
        <v>22380</v>
      </c>
    </row>
    <row r="9689" spans="1:8">
      <c r="H9689" t="s">
        <v>22381</v>
      </c>
    </row>
    <row r="9690" spans="1:8">
      <c r="H9690" t="s">
        <v>22382</v>
      </c>
    </row>
    <row r="9691" spans="1:8">
      <c r="H9691" t="s">
        <v>22383</v>
      </c>
    </row>
    <row r="9692" spans="1:8">
      <c r="H9692" t="s">
        <v>22384</v>
      </c>
    </row>
    <row r="9693" spans="1:8">
      <c r="H9693" t="s">
        <v>22385</v>
      </c>
    </row>
    <row r="9694" spans="1:8">
      <c r="H9694" t="s">
        <v>22386</v>
      </c>
    </row>
    <row r="9695" spans="1:8">
      <c r="H9695" t="s">
        <v>22387</v>
      </c>
    </row>
    <row r="9696" spans="1:8">
      <c r="H9696" t="s">
        <v>22388</v>
      </c>
    </row>
    <row r="9697" spans="8:8">
      <c r="H9697" t="s">
        <v>22389</v>
      </c>
    </row>
    <row r="9698" spans="8:8">
      <c r="H9698" t="s">
        <v>22390</v>
      </c>
    </row>
    <row r="9699" spans="8:8">
      <c r="H9699" t="s">
        <v>22391</v>
      </c>
    </row>
    <row r="9700" spans="8:8">
      <c r="H9700" t="s">
        <v>22392</v>
      </c>
    </row>
    <row r="9701" spans="8:8">
      <c r="H9701" t="s">
        <v>22393</v>
      </c>
    </row>
    <row r="9702" spans="8:8">
      <c r="H9702" t="s">
        <v>22394</v>
      </c>
    </row>
    <row r="9703" spans="8:8">
      <c r="H9703" t="s">
        <v>22395</v>
      </c>
    </row>
    <row r="9704" spans="8:8">
      <c r="H9704" t="s">
        <v>22396</v>
      </c>
    </row>
    <row r="9705" spans="8:8">
      <c r="H9705" t="s">
        <v>22397</v>
      </c>
    </row>
    <row r="9706" spans="8:8">
      <c r="H9706" t="s">
        <v>22398</v>
      </c>
    </row>
    <row r="9707" spans="8:8">
      <c r="H9707" t="s">
        <v>22399</v>
      </c>
    </row>
    <row r="9708" spans="8:8">
      <c r="H9708" t="s">
        <v>22400</v>
      </c>
    </row>
    <row r="9709" spans="8:8">
      <c r="H9709" t="s">
        <v>22401</v>
      </c>
    </row>
    <row r="9710" spans="8:8">
      <c r="H9710" t="s">
        <v>22402</v>
      </c>
    </row>
    <row r="9711" spans="8:8">
      <c r="H9711" t="s">
        <v>22403</v>
      </c>
    </row>
    <row r="9712" spans="8:8">
      <c r="H9712" t="s">
        <v>22404</v>
      </c>
    </row>
    <row r="9713" spans="8:8">
      <c r="H9713" t="s">
        <v>22405</v>
      </c>
    </row>
    <row r="9714" spans="8:8">
      <c r="H9714" t="s">
        <v>22406</v>
      </c>
    </row>
    <row r="9715" spans="8:8">
      <c r="H9715" t="s">
        <v>22407</v>
      </c>
    </row>
    <row r="9716" spans="8:8">
      <c r="H9716" t="s">
        <v>22408</v>
      </c>
    </row>
    <row r="9717" spans="8:8">
      <c r="H9717" t="s">
        <v>22409</v>
      </c>
    </row>
    <row r="9718" spans="8:8">
      <c r="H9718" t="s">
        <v>22410</v>
      </c>
    </row>
    <row r="9719" spans="8:8">
      <c r="H9719" t="s">
        <v>22411</v>
      </c>
    </row>
    <row r="9720" spans="8:8">
      <c r="H9720" t="s">
        <v>22412</v>
      </c>
    </row>
    <row r="9721" spans="8:8">
      <c r="H9721" t="s">
        <v>22413</v>
      </c>
    </row>
    <row r="9722" spans="8:8">
      <c r="H9722" t="s">
        <v>22414</v>
      </c>
    </row>
    <row r="9723" spans="8:8">
      <c r="H9723" t="s">
        <v>22415</v>
      </c>
    </row>
    <row r="9724" spans="8:8">
      <c r="H9724" t="s">
        <v>22416</v>
      </c>
    </row>
    <row r="9725" spans="8:8">
      <c r="H9725" t="s">
        <v>22417</v>
      </c>
    </row>
    <row r="9726" spans="8:8">
      <c r="H9726" t="s">
        <v>22418</v>
      </c>
    </row>
    <row r="9727" spans="8:8">
      <c r="H9727" t="s">
        <v>22419</v>
      </c>
    </row>
    <row r="9728" spans="8:8">
      <c r="H9728" t="s">
        <v>22420</v>
      </c>
    </row>
    <row r="9729" spans="8:8">
      <c r="H9729" t="s">
        <v>22421</v>
      </c>
    </row>
    <row r="9730" spans="8:8">
      <c r="H9730" t="s">
        <v>22422</v>
      </c>
    </row>
    <row r="9731" spans="8:8">
      <c r="H9731" t="s">
        <v>22423</v>
      </c>
    </row>
    <row r="9732" spans="8:8">
      <c r="H9732" t="s">
        <v>22424</v>
      </c>
    </row>
    <row r="9733" spans="8:8">
      <c r="H9733" t="s">
        <v>22425</v>
      </c>
    </row>
    <row r="9734" spans="8:8">
      <c r="H9734" t="s">
        <v>22426</v>
      </c>
    </row>
    <row r="9735" spans="8:8">
      <c r="H9735" t="s">
        <v>22427</v>
      </c>
    </row>
    <row r="9736" spans="8:8">
      <c r="H9736" t="s">
        <v>22428</v>
      </c>
    </row>
    <row r="9737" spans="8:8">
      <c r="H9737" t="s">
        <v>22429</v>
      </c>
    </row>
    <row r="9738" spans="8:8">
      <c r="H9738" t="s">
        <v>22430</v>
      </c>
    </row>
    <row r="9739" spans="8:8">
      <c r="H9739" t="s">
        <v>22431</v>
      </c>
    </row>
    <row r="9740" spans="8:8">
      <c r="H9740" t="s">
        <v>22432</v>
      </c>
    </row>
    <row r="9741" spans="8:8">
      <c r="H9741" t="s">
        <v>22433</v>
      </c>
    </row>
    <row r="9742" spans="8:8">
      <c r="H9742" t="s">
        <v>22434</v>
      </c>
    </row>
    <row r="9743" spans="8:8">
      <c r="H9743" t="s">
        <v>22435</v>
      </c>
    </row>
    <row r="9744" spans="8:8">
      <c r="H9744" t="s">
        <v>22436</v>
      </c>
    </row>
    <row r="9745" spans="1:8">
      <c r="H9745" t="s">
        <v>22437</v>
      </c>
    </row>
    <row r="9746" spans="1:8">
      <c r="H9746" t="s">
        <v>22438</v>
      </c>
    </row>
    <row r="9747" spans="1:8">
      <c r="H9747" t="s">
        <v>22439</v>
      </c>
    </row>
    <row r="9748" spans="1:8">
      <c r="H9748" t="s">
        <v>22440</v>
      </c>
    </row>
    <row r="9749" spans="1:8">
      <c r="H9749" t="s">
        <v>22441</v>
      </c>
    </row>
    <row r="9750" spans="1:8">
      <c r="A9750" t="s">
        <v>622</v>
      </c>
      <c r="B9750">
        <f>HYPERLINK("https://android.googlesource.com/platform/cts/+/c0dd022fb07dc04bf910451706498d3674db66fd", "c0dd022fb07dc04bf910451706498d3674db66fd")</f>
        <v>0</v>
      </c>
      <c r="C9750">
        <f>HYPERLINK("https://android.googlesource.com/platform/cts/+/b3a935b7df3dcc97dbb143c32181bc2c526a914c", "b3a935b7df3dcc97dbb143c32181bc2c526a914c")</f>
        <v>0</v>
      </c>
      <c r="D9750" t="s">
        <v>4978</v>
      </c>
      <c r="E9750" t="s">
        <v>6407</v>
      </c>
      <c r="F9750" t="s">
        <v>12366</v>
      </c>
      <c r="G9750" t="s">
        <v>16593</v>
      </c>
      <c r="H9750" t="s">
        <v>22442</v>
      </c>
    </row>
    <row r="9751" spans="1:8">
      <c r="A9751" t="s">
        <v>624</v>
      </c>
      <c r="B9751">
        <f>HYPERLINK("https://android.googlesource.com/platform/cts/+/aa2be984e409f2b4dc4ccf8602decd8000fe30d4", "aa2be984e409f2b4dc4ccf8602decd8000fe30d4")</f>
        <v>0</v>
      </c>
      <c r="C9751">
        <f>HYPERLINK("https://android.googlesource.com/platform/cts/+/7581090d38826db254d5b6c222ba79381e104365", "7581090d38826db254d5b6c222ba79381e104365")</f>
        <v>0</v>
      </c>
      <c r="D9751" t="s">
        <v>5049</v>
      </c>
      <c r="E9751" t="s">
        <v>6409</v>
      </c>
      <c r="F9751" t="s">
        <v>12370</v>
      </c>
      <c r="G9751" t="s">
        <v>16597</v>
      </c>
      <c r="H9751" t="s">
        <v>22454</v>
      </c>
    </row>
    <row r="9752" spans="1:8">
      <c r="A9752" t="s">
        <v>625</v>
      </c>
      <c r="B9752">
        <f>HYPERLINK("https://android.googlesource.com/platform/cts/+/755a9597adbe56f8d80ab3943d28e0ed821b93f7", "755a9597adbe56f8d80ab3943d28e0ed821b93f7")</f>
        <v>0</v>
      </c>
      <c r="C9752">
        <f>HYPERLINK("https://android.googlesource.com/platform/cts/+/7581090d38826db254d5b6c222ba79381e104365", "7581090d38826db254d5b6c222ba79381e104365")</f>
        <v>0</v>
      </c>
      <c r="D9752" t="s">
        <v>5049</v>
      </c>
      <c r="E9752" t="s">
        <v>6410</v>
      </c>
      <c r="F9752" t="s">
        <v>12370</v>
      </c>
      <c r="G9752" t="s">
        <v>16597</v>
      </c>
      <c r="H9752" t="s">
        <v>22455</v>
      </c>
    </row>
    <row r="9753" spans="1:8">
      <c r="A9753" t="s">
        <v>627</v>
      </c>
      <c r="B9753">
        <f>HYPERLINK("https://android.googlesource.com/platform/cts/+/47172406f474366765c582e2272ff32cd0afbc2d", "47172406f474366765c582e2272ff32cd0afbc2d")</f>
        <v>0</v>
      </c>
      <c r="C9753">
        <f>HYPERLINK("https://android.googlesource.com/platform/cts/+/0c52cab4322df24ab30eccb75a3ced599431990c", "0c52cab4322df24ab30eccb75a3ced599431990c")</f>
        <v>0</v>
      </c>
      <c r="D9753" t="s">
        <v>5050</v>
      </c>
      <c r="E9753" t="s">
        <v>6412</v>
      </c>
      <c r="F9753" t="s">
        <v>12371</v>
      </c>
      <c r="G9753" t="s">
        <v>16598</v>
      </c>
      <c r="H9753" t="s">
        <v>22457</v>
      </c>
    </row>
    <row r="9754" spans="1:8">
      <c r="H9754" t="s">
        <v>22458</v>
      </c>
    </row>
    <row r="9755" spans="1:8">
      <c r="A9755" t="s">
        <v>631</v>
      </c>
      <c r="B9755">
        <f>HYPERLINK("https://android.googlesource.com/platform/cts/+/7e48d4c1959396d08a315a237a456442137d80a6", "7e48d4c1959396d08a315a237a456442137d80a6")</f>
        <v>0</v>
      </c>
      <c r="C9755">
        <f>HYPERLINK("https://android.googlesource.com/platform/cts/+/beb727c733565b48db1c3ee5ff3ca990b4682fc7", "beb727c733565b48db1c3ee5ff3ca990b4682fc7")</f>
        <v>0</v>
      </c>
      <c r="D9755" t="s">
        <v>4952</v>
      </c>
      <c r="E9755" t="s">
        <v>6416</v>
      </c>
      <c r="F9755" t="s">
        <v>12376</v>
      </c>
      <c r="G9755" t="s">
        <v>16603</v>
      </c>
      <c r="H9755" t="s">
        <v>22464</v>
      </c>
    </row>
    <row r="9756" spans="1:8">
      <c r="H9756" t="s">
        <v>22465</v>
      </c>
    </row>
    <row r="9757" spans="1:8">
      <c r="H9757" t="s">
        <v>22466</v>
      </c>
    </row>
    <row r="9758" spans="1:8">
      <c r="A9758" t="s">
        <v>635</v>
      </c>
      <c r="B9758">
        <f>HYPERLINK("https://android.googlesource.com/platform/cts/+/e0c56355cc48c33a0535850a6d75882aa80b0363", "e0c56355cc48c33a0535850a6d75882aa80b0363")</f>
        <v>0</v>
      </c>
      <c r="C9758">
        <f>HYPERLINK("https://android.googlesource.com/platform/cts/+/c354f8c661ad50aadd719de13d902ce7824f7aad", "c354f8c661ad50aadd719de13d902ce7824f7aad")</f>
        <v>0</v>
      </c>
      <c r="D9758" t="s">
        <v>5018</v>
      </c>
      <c r="E9758" t="s">
        <v>6420</v>
      </c>
      <c r="F9758" t="s">
        <v>12382</v>
      </c>
      <c r="G9758" t="s">
        <v>16608</v>
      </c>
      <c r="H9758" t="s">
        <v>22498</v>
      </c>
    </row>
    <row r="9759" spans="1:8">
      <c r="A9759" t="s">
        <v>637</v>
      </c>
      <c r="B9759">
        <f>HYPERLINK("https://android.googlesource.com/platform/cts/+/e337f8e68faf3222f4d8493e031ca33e055d266f", "e337f8e68faf3222f4d8493e031ca33e055d266f")</f>
        <v>0</v>
      </c>
      <c r="C9759">
        <f>HYPERLINK("https://android.googlesource.com/platform/cts/+/9afe698a2605aa52b25454fd740848ac2d097bcd", "9afe698a2605aa52b25454fd740848ac2d097bcd")</f>
        <v>0</v>
      </c>
      <c r="D9759" t="s">
        <v>4949</v>
      </c>
      <c r="E9759" t="s">
        <v>6422</v>
      </c>
      <c r="F9759" t="s">
        <v>12333</v>
      </c>
      <c r="G9759" t="s">
        <v>16561</v>
      </c>
      <c r="H9759" t="s">
        <v>22499</v>
      </c>
    </row>
    <row r="9760" spans="1:8">
      <c r="H9760" t="s">
        <v>22500</v>
      </c>
    </row>
    <row r="9761" spans="1:8">
      <c r="A9761" t="s">
        <v>638</v>
      </c>
      <c r="B9761">
        <f>HYPERLINK("https://android.googlesource.com/platform/cts/+/814b63f9b79f80195679e66fb40e256e3fec953a", "814b63f9b79f80195679e66fb40e256e3fec953a")</f>
        <v>0</v>
      </c>
      <c r="C9761">
        <f>HYPERLINK("https://android.googlesource.com/platform/cts/+/f69d80cb31c34c0de186f17de65b281a5b4298e3", "f69d80cb31c34c0de186f17de65b281a5b4298e3")</f>
        <v>0</v>
      </c>
      <c r="D9761" t="s">
        <v>5052</v>
      </c>
      <c r="E9761" t="s">
        <v>6423</v>
      </c>
      <c r="F9761" t="s">
        <v>12384</v>
      </c>
      <c r="G9761" t="s">
        <v>16610</v>
      </c>
      <c r="H9761" t="s">
        <v>22501</v>
      </c>
    </row>
    <row r="9762" spans="1:8">
      <c r="H9762" t="s">
        <v>22502</v>
      </c>
    </row>
    <row r="9763" spans="1:8">
      <c r="H9763" t="s">
        <v>22503</v>
      </c>
    </row>
    <row r="9764" spans="1:8">
      <c r="F9764" t="s">
        <v>12385</v>
      </c>
      <c r="G9764" t="s">
        <v>16600</v>
      </c>
      <c r="H9764" t="s">
        <v>22459</v>
      </c>
    </row>
    <row r="9765" spans="1:8">
      <c r="A9765" t="s">
        <v>639</v>
      </c>
      <c r="B9765">
        <f>HYPERLINK("https://android.googlesource.com/platform/cts/+/8eb978837675fb5f785f51c357e83c8032c8cfb9", "8eb978837675fb5f785f51c357e83c8032c8cfb9")</f>
        <v>0</v>
      </c>
      <c r="C9765">
        <f>HYPERLINK("https://android.googlesource.com/platform/cts/+/f2071f60a465485ca9fcd6286a378975a35fd827", "f2071f60a465485ca9fcd6286a378975a35fd827")</f>
        <v>0</v>
      </c>
      <c r="D9765" t="s">
        <v>4952</v>
      </c>
      <c r="E9765" t="s">
        <v>6424</v>
      </c>
      <c r="F9765" t="s">
        <v>10695</v>
      </c>
      <c r="G9765" t="s">
        <v>15095</v>
      </c>
      <c r="H9765" t="s">
        <v>22506</v>
      </c>
    </row>
    <row r="9766" spans="1:8">
      <c r="A9766" t="s">
        <v>640</v>
      </c>
      <c r="B9766">
        <f>HYPERLINK("https://android.googlesource.com/platform/cts/+/903ea27402939e0559c5be028b6dde2b64a8dae6", "903ea27402939e0559c5be028b6dde2b64a8dae6")</f>
        <v>0</v>
      </c>
      <c r="C9766">
        <f>HYPERLINK("https://android.googlesource.com/platform/cts/+/7dab75cc1d566395701cd3aa337600dbc2de9f15", "7dab75cc1d566395701cd3aa337600dbc2de9f15")</f>
        <v>0</v>
      </c>
      <c r="D9766" t="s">
        <v>5053</v>
      </c>
      <c r="E9766" t="s">
        <v>6425</v>
      </c>
      <c r="F9766" t="s">
        <v>12386</v>
      </c>
      <c r="G9766" t="s">
        <v>16611</v>
      </c>
      <c r="H9766" t="s">
        <v>22507</v>
      </c>
    </row>
    <row r="9767" spans="1:8">
      <c r="H9767" t="s">
        <v>22508</v>
      </c>
    </row>
    <row r="9768" spans="1:8">
      <c r="H9768" t="s">
        <v>22509</v>
      </c>
    </row>
    <row r="9769" spans="1:8">
      <c r="F9769" t="s">
        <v>12387</v>
      </c>
      <c r="G9769" t="s">
        <v>16612</v>
      </c>
      <c r="H9769" t="s">
        <v>22507</v>
      </c>
    </row>
    <row r="9770" spans="1:8">
      <c r="H9770" t="s">
        <v>22508</v>
      </c>
    </row>
    <row r="9771" spans="1:8">
      <c r="H9771" t="s">
        <v>22510</v>
      </c>
    </row>
    <row r="9772" spans="1:8">
      <c r="A9772" t="s">
        <v>642</v>
      </c>
      <c r="B9772">
        <f>HYPERLINK("https://android.googlesource.com/platform/cts/+/60aa6c0d72bccf01cfc6752160decf5940c0d605", "60aa6c0d72bccf01cfc6752160decf5940c0d605")</f>
        <v>0</v>
      </c>
      <c r="C9772">
        <f>HYPERLINK("https://android.googlesource.com/platform/cts/+/594bce789f06a1499b54246b108c066cb2252d01", "594bce789f06a1499b54246b108c066cb2252d01")</f>
        <v>0</v>
      </c>
      <c r="D9772" t="s">
        <v>5054</v>
      </c>
      <c r="E9772" t="s">
        <v>6427</v>
      </c>
      <c r="F9772" t="s">
        <v>12370</v>
      </c>
      <c r="G9772" t="s">
        <v>16597</v>
      </c>
      <c r="H9772" t="s">
        <v>22516</v>
      </c>
    </row>
    <row r="9773" spans="1:8">
      <c r="H9773" t="s">
        <v>22517</v>
      </c>
    </row>
    <row r="9774" spans="1:8">
      <c r="H9774" t="s">
        <v>22518</v>
      </c>
    </row>
    <row r="9775" spans="1:8">
      <c r="H9775" t="s">
        <v>22519</v>
      </c>
    </row>
    <row r="9776" spans="1:8">
      <c r="H9776" t="s">
        <v>22520</v>
      </c>
    </row>
    <row r="9777" spans="1:8">
      <c r="H9777" t="s">
        <v>22521</v>
      </c>
    </row>
    <row r="9778" spans="1:8">
      <c r="H9778" t="s">
        <v>22522</v>
      </c>
    </row>
    <row r="9779" spans="1:8">
      <c r="H9779" t="s">
        <v>22523</v>
      </c>
    </row>
    <row r="9780" spans="1:8">
      <c r="H9780" t="s">
        <v>22524</v>
      </c>
    </row>
    <row r="9781" spans="1:8">
      <c r="H9781" t="s">
        <v>22525</v>
      </c>
    </row>
    <row r="9782" spans="1:8">
      <c r="H9782" t="s">
        <v>22526</v>
      </c>
    </row>
    <row r="9783" spans="1:8">
      <c r="H9783" t="s">
        <v>22527</v>
      </c>
    </row>
    <row r="9784" spans="1:8">
      <c r="H9784" t="s">
        <v>22528</v>
      </c>
    </row>
    <row r="9785" spans="1:8">
      <c r="H9785" t="s">
        <v>22529</v>
      </c>
    </row>
    <row r="9786" spans="1:8">
      <c r="H9786" t="s">
        <v>22530</v>
      </c>
    </row>
    <row r="9787" spans="1:8">
      <c r="H9787" t="s">
        <v>22531</v>
      </c>
    </row>
    <row r="9788" spans="1:8">
      <c r="H9788" t="s">
        <v>22532</v>
      </c>
    </row>
    <row r="9789" spans="1:8">
      <c r="H9789" t="s">
        <v>22533</v>
      </c>
    </row>
    <row r="9790" spans="1:8">
      <c r="H9790" t="s">
        <v>22534</v>
      </c>
    </row>
    <row r="9791" spans="1:8">
      <c r="H9791" t="s">
        <v>22535</v>
      </c>
    </row>
    <row r="9792" spans="1:8">
      <c r="A9792" t="s">
        <v>643</v>
      </c>
      <c r="B9792">
        <f>HYPERLINK("https://android.googlesource.com/platform/cts/+/f797404407641c7105c863b7cb75cc93e5e6cb88", "f797404407641c7105c863b7cb75cc93e5e6cb88")</f>
        <v>0</v>
      </c>
      <c r="C9792">
        <f>HYPERLINK("https://android.googlesource.com/platform/cts/+/a0277538f0ef4eec3fc686c78fe99d8fac1a1f41", "a0277538f0ef4eec3fc686c78fe99d8fac1a1f41")</f>
        <v>0</v>
      </c>
      <c r="D9792" t="s">
        <v>5055</v>
      </c>
      <c r="E9792" t="s">
        <v>6428</v>
      </c>
      <c r="F9792" t="s">
        <v>12389</v>
      </c>
      <c r="G9792" t="s">
        <v>16614</v>
      </c>
      <c r="H9792" t="s">
        <v>22536</v>
      </c>
    </row>
    <row r="9793" spans="1:8">
      <c r="A9793" t="s">
        <v>644</v>
      </c>
      <c r="B9793">
        <f>HYPERLINK("https://android.googlesource.com/platform/cts/+/31f5743c5522820b490404f8026b8051368dc106", "31f5743c5522820b490404f8026b8051368dc106")</f>
        <v>0</v>
      </c>
      <c r="C9793">
        <f>HYPERLINK("https://android.googlesource.com/platform/cts/+/ba8be2ffd90af05cbc882a52e54db6a7bf5acc7c", "ba8be2ffd90af05cbc882a52e54db6a7bf5acc7c")</f>
        <v>0</v>
      </c>
      <c r="D9793" t="s">
        <v>5013</v>
      </c>
      <c r="E9793" t="s">
        <v>6429</v>
      </c>
      <c r="F9793" t="s">
        <v>12390</v>
      </c>
      <c r="G9793" t="s">
        <v>16615</v>
      </c>
      <c r="H9793" t="s">
        <v>22537</v>
      </c>
    </row>
    <row r="9794" spans="1:8">
      <c r="A9794" t="s">
        <v>645</v>
      </c>
      <c r="B9794">
        <f>HYPERLINK("https://android.googlesource.com/platform/cts/+/e9ec75e038faf78fbfa9a44fcac7b861c8473aa5", "e9ec75e038faf78fbfa9a44fcac7b861c8473aa5")</f>
        <v>0</v>
      </c>
      <c r="C9794">
        <f>HYPERLINK("https://android.googlesource.com/platform/cts/+/ba8be2ffd90af05cbc882a52e54db6a7bf5acc7c", "ba8be2ffd90af05cbc882a52e54db6a7bf5acc7c")</f>
        <v>0</v>
      </c>
      <c r="D9794" t="s">
        <v>5007</v>
      </c>
      <c r="E9794" t="s">
        <v>6430</v>
      </c>
      <c r="F9794" t="s">
        <v>12391</v>
      </c>
      <c r="G9794" t="s">
        <v>16616</v>
      </c>
      <c r="H9794" t="s">
        <v>22548</v>
      </c>
    </row>
    <row r="9795" spans="1:8">
      <c r="A9795" t="s">
        <v>647</v>
      </c>
      <c r="B9795">
        <f>HYPERLINK("https://android.googlesource.com/platform/cts/+/17aafef6b643b07102d9a7284eca3d4c3296021f", "17aafef6b643b07102d9a7284eca3d4c3296021f")</f>
        <v>0</v>
      </c>
      <c r="C9795">
        <f>HYPERLINK("https://android.googlesource.com/platform/cts/+/a7fc8dbfef73bebd77d53f9083bb17daddcafc2a", "a7fc8dbfef73bebd77d53f9083bb17daddcafc2a")</f>
        <v>0</v>
      </c>
      <c r="D9795" t="s">
        <v>5044</v>
      </c>
      <c r="E9795" t="s">
        <v>6432</v>
      </c>
      <c r="F9795" t="s">
        <v>12393</v>
      </c>
      <c r="G9795" t="s">
        <v>16618</v>
      </c>
      <c r="H9795" t="s">
        <v>22579</v>
      </c>
    </row>
    <row r="9796" spans="1:8">
      <c r="F9796" t="s">
        <v>12394</v>
      </c>
      <c r="G9796" t="s">
        <v>16619</v>
      </c>
      <c r="H9796" t="s">
        <v>22581</v>
      </c>
    </row>
    <row r="9797" spans="1:8">
      <c r="H9797" t="s">
        <v>22582</v>
      </c>
    </row>
    <row r="9798" spans="1:8">
      <c r="H9798" t="s">
        <v>22583</v>
      </c>
    </row>
    <row r="9799" spans="1:8">
      <c r="A9799" t="s">
        <v>651</v>
      </c>
      <c r="B9799">
        <f>HYPERLINK("https://android.googlesource.com/platform/cts/+/a8fe8f8bed94e10af6071c823c3dac99c957bda3", "a8fe8f8bed94e10af6071c823c3dac99c957bda3")</f>
        <v>0</v>
      </c>
      <c r="C9799">
        <f>HYPERLINK("https://android.googlesource.com/platform/cts/+/3924da3d4d4d1ce2a5329834a7a3f9e270aec892", "3924da3d4d4d1ce2a5329834a7a3f9e270aec892")</f>
        <v>0</v>
      </c>
      <c r="D9799" t="s">
        <v>5058</v>
      </c>
      <c r="E9799" t="s">
        <v>6436</v>
      </c>
      <c r="F9799" t="s">
        <v>12399</v>
      </c>
      <c r="G9799" t="s">
        <v>16606</v>
      </c>
      <c r="H9799" t="s">
        <v>22480</v>
      </c>
    </row>
    <row r="9800" spans="1:8">
      <c r="A9800" t="s">
        <v>652</v>
      </c>
      <c r="B9800">
        <f>HYPERLINK("https://android.googlesource.com/platform/cts/+/d1301be379b0090f9f39a25a69fd0e77c02ac944", "d1301be379b0090f9f39a25a69fd0e77c02ac944")</f>
        <v>0</v>
      </c>
      <c r="C9800">
        <f>HYPERLINK("https://android.googlesource.com/platform/cts/+/4aa17ebc9e4c4e2566500a5d5b33767abeaaf8aa", "4aa17ebc9e4c4e2566500a5d5b33767abeaaf8aa")</f>
        <v>0</v>
      </c>
      <c r="D9800" t="s">
        <v>5007</v>
      </c>
      <c r="E9800" t="s">
        <v>6437</v>
      </c>
      <c r="F9800" t="s">
        <v>12391</v>
      </c>
      <c r="G9800" t="s">
        <v>16616</v>
      </c>
      <c r="H9800" t="s">
        <v>22548</v>
      </c>
    </row>
    <row r="9801" spans="1:8">
      <c r="A9801" t="s">
        <v>656</v>
      </c>
      <c r="B9801">
        <f>HYPERLINK("https://android.googlesource.com/platform/cts/+/49a11da037dd2b7aa283b48039a1da1c82c260a1", "49a11da037dd2b7aa283b48039a1da1c82c260a1")</f>
        <v>0</v>
      </c>
      <c r="C9801">
        <f>HYPERLINK("https://android.googlesource.com/platform/cts/+/206fb1022448bdd1a6496d40c638732aa994c432", "206fb1022448bdd1a6496d40c638732aa994c432")</f>
        <v>0</v>
      </c>
      <c r="D9801" t="s">
        <v>5059</v>
      </c>
      <c r="E9801" t="s">
        <v>6441</v>
      </c>
      <c r="F9801" t="s">
        <v>12389</v>
      </c>
      <c r="G9801" t="s">
        <v>16614</v>
      </c>
      <c r="H9801" t="s">
        <v>22623</v>
      </c>
    </row>
    <row r="9802" spans="1:8">
      <c r="H9802" t="s">
        <v>22624</v>
      </c>
    </row>
    <row r="9803" spans="1:8">
      <c r="A9803" t="s">
        <v>657</v>
      </c>
      <c r="B9803">
        <f>HYPERLINK("https://android.googlesource.com/platform/cts/+/a2a23157acd87e8618b7e7158e3644750a779905", "a2a23157acd87e8618b7e7158e3644750a779905")</f>
        <v>0</v>
      </c>
      <c r="C9803">
        <f>HYPERLINK("https://android.googlesource.com/platform/cts/+/c189d58d586eb7ff467f9ed1276462828ad21b8e", "c189d58d586eb7ff467f9ed1276462828ad21b8e")</f>
        <v>0</v>
      </c>
      <c r="D9803" t="s">
        <v>4952</v>
      </c>
      <c r="E9803" t="s">
        <v>6442</v>
      </c>
      <c r="F9803" t="s">
        <v>12404</v>
      </c>
      <c r="G9803" t="s">
        <v>16626</v>
      </c>
      <c r="H9803" t="s">
        <v>22626</v>
      </c>
    </row>
    <row r="9804" spans="1:8">
      <c r="A9804" t="s">
        <v>658</v>
      </c>
      <c r="B9804">
        <f>HYPERLINK("https://android.googlesource.com/platform/cts/+/1e4bf6161c7e771c48540cd77d8e7ada69af8c95", "1e4bf6161c7e771c48540cd77d8e7ada69af8c95")</f>
        <v>0</v>
      </c>
      <c r="C9804">
        <f>HYPERLINK("https://android.googlesource.com/platform/cts/+/82d999a624995f3a52856493dab133ebf10d3d7e", "82d999a624995f3a52856493dab133ebf10d3d7e")</f>
        <v>0</v>
      </c>
      <c r="D9804" t="s">
        <v>5060</v>
      </c>
      <c r="E9804" t="s">
        <v>6443</v>
      </c>
      <c r="F9804" t="s">
        <v>12342</v>
      </c>
      <c r="G9804" t="s">
        <v>16570</v>
      </c>
      <c r="H9804" t="s">
        <v>22627</v>
      </c>
    </row>
    <row r="9805" spans="1:8">
      <c r="A9805" t="s">
        <v>660</v>
      </c>
      <c r="B9805">
        <f>HYPERLINK("https://android.googlesource.com/platform/cts/+/74486465410b6bc86beb8ac346ca3574c0a8790c", "74486465410b6bc86beb8ac346ca3574c0a8790c")</f>
        <v>0</v>
      </c>
      <c r="C9805">
        <f>HYPERLINK("https://android.googlesource.com/platform/cts/+/8c8aa2eae6198f3fea628806d65c7d3698746eab", "8c8aa2eae6198f3fea628806d65c7d3698746eab")</f>
        <v>0</v>
      </c>
      <c r="D9805" t="s">
        <v>5061</v>
      </c>
      <c r="E9805" t="s">
        <v>6445</v>
      </c>
      <c r="F9805" t="s">
        <v>11470</v>
      </c>
      <c r="G9805" t="s">
        <v>15710</v>
      </c>
      <c r="H9805" t="s">
        <v>22630</v>
      </c>
    </row>
    <row r="9806" spans="1:8">
      <c r="A9806" t="s">
        <v>663</v>
      </c>
      <c r="B9806">
        <f>HYPERLINK("https://android.googlesource.com/platform/cts/+/76ea6326e7728a6f1c27e8f32db2e16efaaf0a98", "76ea6326e7728a6f1c27e8f32db2e16efaaf0a98")</f>
        <v>0</v>
      </c>
      <c r="C9806">
        <f>HYPERLINK("https://android.googlesource.com/platform/cts/+/b56fc59d78e60c9a89fc711f79ebc0c0884514dc", "b56fc59d78e60c9a89fc711f79ebc0c0884514dc")</f>
        <v>0</v>
      </c>
      <c r="D9806" t="s">
        <v>5029</v>
      </c>
      <c r="E9806" t="s">
        <v>6448</v>
      </c>
      <c r="F9806" t="s">
        <v>10945</v>
      </c>
      <c r="G9806" t="s">
        <v>15338</v>
      </c>
      <c r="H9806" t="s">
        <v>19072</v>
      </c>
    </row>
    <row r="9807" spans="1:8">
      <c r="H9807" t="s">
        <v>19073</v>
      </c>
    </row>
    <row r="9808" spans="1:8">
      <c r="A9808" t="s">
        <v>667</v>
      </c>
      <c r="B9808">
        <f>HYPERLINK("https://android.googlesource.com/platform/cts/+/583d2d3f49ffacaff1e647e1d9ed59d459e7df3c", "583d2d3f49ffacaff1e647e1d9ed59d459e7df3c")</f>
        <v>0</v>
      </c>
      <c r="C9808">
        <f>HYPERLINK("https://android.googlesource.com/platform/cts/+/7b101b6bcf2ceb5469479fa4211074f463e039e7", "7b101b6bcf2ceb5469479fa4211074f463e039e7")</f>
        <v>0</v>
      </c>
      <c r="D9808" t="s">
        <v>5060</v>
      </c>
      <c r="E9808" t="s">
        <v>6452</v>
      </c>
      <c r="F9808" t="s">
        <v>12342</v>
      </c>
      <c r="G9808" t="s">
        <v>16570</v>
      </c>
      <c r="H9808" t="s">
        <v>22627</v>
      </c>
    </row>
    <row r="9809" spans="1:8">
      <c r="A9809" t="s">
        <v>668</v>
      </c>
      <c r="B9809">
        <f>HYPERLINK("https://android.googlesource.com/platform/cts/+/8e1f6e4a0868bb0bfce4341b068898ec615cd6b8", "8e1f6e4a0868bb0bfce4341b068898ec615cd6b8")</f>
        <v>0</v>
      </c>
      <c r="C9809">
        <f>HYPERLINK("https://android.googlesource.com/platform/cts/+/736f60e4ee34c9d9bf23f217c300545c67c3a065", "736f60e4ee34c9d9bf23f217c300545c67c3a065")</f>
        <v>0</v>
      </c>
      <c r="D9809" t="s">
        <v>5060</v>
      </c>
      <c r="E9809" t="s">
        <v>6453</v>
      </c>
      <c r="F9809" t="s">
        <v>12407</v>
      </c>
      <c r="G9809" t="s">
        <v>16629</v>
      </c>
      <c r="H9809" t="s">
        <v>22647</v>
      </c>
    </row>
    <row r="9810" spans="1:8">
      <c r="A9810" t="s">
        <v>669</v>
      </c>
      <c r="B9810">
        <f>HYPERLINK("https://android.googlesource.com/platform/cts/+/6fe901d4fa1107d4f104d1722e4814031f8545f5", "6fe901d4fa1107d4f104d1722e4814031f8545f5")</f>
        <v>0</v>
      </c>
      <c r="C9810">
        <f>HYPERLINK("https://android.googlesource.com/platform/cts/+/9caf39821afcc9433e8c196a8ad42eb63cea4692", "9caf39821afcc9433e8c196a8ad42eb63cea4692")</f>
        <v>0</v>
      </c>
      <c r="D9810" t="s">
        <v>5064</v>
      </c>
      <c r="E9810" t="s">
        <v>6454</v>
      </c>
      <c r="F9810" t="s">
        <v>12370</v>
      </c>
      <c r="G9810" t="s">
        <v>16597</v>
      </c>
      <c r="H9810" t="s">
        <v>22517</v>
      </c>
    </row>
    <row r="9811" spans="1:8">
      <c r="H9811" t="s">
        <v>22518</v>
      </c>
    </row>
    <row r="9812" spans="1:8">
      <c r="H9812" t="s">
        <v>22519</v>
      </c>
    </row>
    <row r="9813" spans="1:8">
      <c r="A9813" t="s">
        <v>675</v>
      </c>
      <c r="B9813">
        <f>HYPERLINK("https://android.googlesource.com/platform/cts/+/993e0e230f7d28a0889c83d17386ec21f9cf9c50", "993e0e230f7d28a0889c83d17386ec21f9cf9c50")</f>
        <v>0</v>
      </c>
      <c r="C9813">
        <f>HYPERLINK("https://android.googlesource.com/platform/cts/+/2568025d95587addc694660352f3ac7701bd6d8c", "2568025d95587addc694660352f3ac7701bd6d8c")</f>
        <v>0</v>
      </c>
      <c r="D9813" t="s">
        <v>5057</v>
      </c>
      <c r="E9813" t="s">
        <v>6458</v>
      </c>
      <c r="F9813" t="s">
        <v>12176</v>
      </c>
      <c r="G9813" t="s">
        <v>16415</v>
      </c>
      <c r="H9813" t="s">
        <v>22657</v>
      </c>
    </row>
    <row r="9814" spans="1:8">
      <c r="A9814" t="s">
        <v>677</v>
      </c>
      <c r="B9814">
        <f>HYPERLINK("https://android.googlesource.com/platform/cts/+/df1c6d45f64d6f7b33a84bc1b089754cdbeaa4d2", "df1c6d45f64d6f7b33a84bc1b089754cdbeaa4d2")</f>
        <v>0</v>
      </c>
      <c r="C9814">
        <f>HYPERLINK("https://android.googlesource.com/platform/cts/+/b732a7a8aad6a7c7dea47dee464a8fee183f851b", "b732a7a8aad6a7c7dea47dee464a8fee183f851b")</f>
        <v>0</v>
      </c>
      <c r="D9814" t="s">
        <v>5030</v>
      </c>
      <c r="E9814" t="s">
        <v>6460</v>
      </c>
      <c r="F9814" t="s">
        <v>12413</v>
      </c>
      <c r="G9814" t="s">
        <v>16635</v>
      </c>
      <c r="H9814" t="s">
        <v>22658</v>
      </c>
    </row>
    <row r="9815" spans="1:8">
      <c r="H9815" t="s">
        <v>22659</v>
      </c>
    </row>
    <row r="9816" spans="1:8">
      <c r="H9816" t="s">
        <v>22660</v>
      </c>
    </row>
    <row r="9817" spans="1:8">
      <c r="H9817" t="s">
        <v>22661</v>
      </c>
    </row>
    <row r="9818" spans="1:8">
      <c r="A9818" t="s">
        <v>679</v>
      </c>
      <c r="B9818">
        <f>HYPERLINK("https://android.googlesource.com/platform/cts/+/247db5d542a79888b85915cbe72958bc30136d14", "247db5d542a79888b85915cbe72958bc30136d14")</f>
        <v>0</v>
      </c>
      <c r="C9818">
        <f>HYPERLINK("https://android.googlesource.com/platform/cts/+/3551f488f171a868ce2c1d18dc1086f6cae2158f", "3551f488f171a868ce2c1d18dc1086f6cae2158f")</f>
        <v>0</v>
      </c>
      <c r="D9818" t="s">
        <v>5060</v>
      </c>
      <c r="E9818" t="s">
        <v>6462</v>
      </c>
      <c r="F9818" t="s">
        <v>12414</v>
      </c>
      <c r="G9818" t="s">
        <v>16636</v>
      </c>
      <c r="H9818" t="s">
        <v>22665</v>
      </c>
    </row>
    <row r="9819" spans="1:8">
      <c r="A9819" t="s">
        <v>681</v>
      </c>
      <c r="B9819">
        <f>HYPERLINK("https://android.googlesource.com/platform/cts/+/72cdd8ea759d0681042361faad31ed6a5ac3fbe7", "72cdd8ea759d0681042361faad31ed6a5ac3fbe7")</f>
        <v>0</v>
      </c>
      <c r="C9819">
        <f>HYPERLINK("https://android.googlesource.com/platform/cts/+/f102f2a4198651d876a8482fc683724b209e347a", "f102f2a4198651d876a8482fc683724b209e347a")</f>
        <v>0</v>
      </c>
      <c r="D9819" t="s">
        <v>5029</v>
      </c>
      <c r="E9819" t="s">
        <v>6464</v>
      </c>
      <c r="F9819" t="s">
        <v>10945</v>
      </c>
      <c r="G9819" t="s">
        <v>15338</v>
      </c>
      <c r="H9819" t="s">
        <v>22666</v>
      </c>
    </row>
    <row r="9820" spans="1:8">
      <c r="A9820" t="s">
        <v>683</v>
      </c>
      <c r="B9820">
        <f>HYPERLINK("https://android.googlesource.com/platform/cts/+/e18732741b68c4bc2d92141a2fbe6e33d46dc19b", "e18732741b68c4bc2d92141a2fbe6e33d46dc19b")</f>
        <v>0</v>
      </c>
      <c r="C9820">
        <f>HYPERLINK("https://android.googlesource.com/platform/cts/+/dac4e3f459cb23b12b4d5180e17c00208acdbb23", "dac4e3f459cb23b12b4d5180e17c00208acdbb23")</f>
        <v>0</v>
      </c>
      <c r="D9820" t="s">
        <v>4952</v>
      </c>
      <c r="E9820" t="s">
        <v>6466</v>
      </c>
      <c r="F9820" t="s">
        <v>12309</v>
      </c>
      <c r="G9820" t="s">
        <v>16540</v>
      </c>
      <c r="H9820" t="s">
        <v>22668</v>
      </c>
    </row>
    <row r="9821" spans="1:8">
      <c r="A9821" t="s">
        <v>688</v>
      </c>
      <c r="B9821">
        <f>HYPERLINK("https://android.googlesource.com/platform/cts/+/75e210ce59f34d0caf3c1c07bce933cb9ad6e4c9", "75e210ce59f34d0caf3c1c07bce933cb9ad6e4c9")</f>
        <v>0</v>
      </c>
      <c r="C9821">
        <f>HYPERLINK("https://android.googlesource.com/platform/cts/+/122af17e0c46dc39bc9d468b6e2c10794c5968fd", "122af17e0c46dc39bc9d468b6e2c10794c5968fd")</f>
        <v>0</v>
      </c>
      <c r="D9821" t="s">
        <v>5066</v>
      </c>
      <c r="E9821" t="s">
        <v>6471</v>
      </c>
      <c r="F9821" t="s">
        <v>12418</v>
      </c>
      <c r="G9821" t="s">
        <v>16640</v>
      </c>
      <c r="H9821" t="s">
        <v>22672</v>
      </c>
    </row>
    <row r="9822" spans="1:8">
      <c r="H9822" t="s">
        <v>22673</v>
      </c>
    </row>
    <row r="9823" spans="1:8">
      <c r="H9823" t="s">
        <v>22674</v>
      </c>
    </row>
    <row r="9824" spans="1:8">
      <c r="H9824" t="s">
        <v>22633</v>
      </c>
    </row>
    <row r="9825" spans="1:8">
      <c r="H9825" t="s">
        <v>22675</v>
      </c>
    </row>
    <row r="9826" spans="1:8">
      <c r="H9826" t="s">
        <v>22676</v>
      </c>
    </row>
    <row r="9827" spans="1:8">
      <c r="F9827" t="s">
        <v>12419</v>
      </c>
      <c r="G9827" t="s">
        <v>16641</v>
      </c>
      <c r="H9827" t="s">
        <v>22677</v>
      </c>
    </row>
    <row r="9828" spans="1:8">
      <c r="A9828" t="s">
        <v>690</v>
      </c>
      <c r="B9828">
        <f>HYPERLINK("https://android.googlesource.com/platform/cts/+/c0445a9e6aab6cf7f50fdb1c1525d77db739dbb6", "c0445a9e6aab6cf7f50fdb1c1525d77db739dbb6")</f>
        <v>0</v>
      </c>
      <c r="C9828">
        <f>HYPERLINK("https://android.googlesource.com/platform/cts/+/45f5a112f43e2377d3b0f3c532683f9e6b3d4418", "45f5a112f43e2377d3b0f3c532683f9e6b3d4418")</f>
        <v>0</v>
      </c>
      <c r="D9828" t="s">
        <v>5067</v>
      </c>
      <c r="E9828" t="s">
        <v>6473</v>
      </c>
      <c r="F9828" t="s">
        <v>12370</v>
      </c>
      <c r="G9828" t="s">
        <v>16597</v>
      </c>
      <c r="H9828" t="s">
        <v>22532</v>
      </c>
    </row>
    <row r="9829" spans="1:8">
      <c r="A9829" t="s">
        <v>693</v>
      </c>
      <c r="B9829">
        <f>HYPERLINK("https://android.googlesource.com/platform/cts/+/712bb78cb792948e9914f6d09637182533c5b918", "712bb78cb792948e9914f6d09637182533c5b918")</f>
        <v>0</v>
      </c>
      <c r="C9829">
        <f>HYPERLINK("https://android.googlesource.com/platform/cts/+/fb9023359a546eaa93d7753c0c1af37f8d859111", "fb9023359a546eaa93d7753c0c1af37f8d859111")</f>
        <v>0</v>
      </c>
      <c r="D9829" t="s">
        <v>5060</v>
      </c>
      <c r="E9829" t="s">
        <v>6476</v>
      </c>
      <c r="F9829" t="s">
        <v>12425</v>
      </c>
      <c r="G9829" t="s">
        <v>16647</v>
      </c>
      <c r="H9829" t="s">
        <v>22737</v>
      </c>
    </row>
    <row r="9830" spans="1:8">
      <c r="H9830" t="s">
        <v>22738</v>
      </c>
    </row>
    <row r="9831" spans="1:8">
      <c r="H9831" t="s">
        <v>22739</v>
      </c>
    </row>
    <row r="9832" spans="1:8">
      <c r="H9832" t="s">
        <v>22740</v>
      </c>
    </row>
    <row r="9833" spans="1:8">
      <c r="H9833" t="s">
        <v>22741</v>
      </c>
    </row>
    <row r="9834" spans="1:8">
      <c r="H9834" t="s">
        <v>22742</v>
      </c>
    </row>
    <row r="9835" spans="1:8">
      <c r="H9835" t="s">
        <v>22743</v>
      </c>
    </row>
    <row r="9836" spans="1:8">
      <c r="H9836" t="s">
        <v>22744</v>
      </c>
    </row>
    <row r="9837" spans="1:8">
      <c r="H9837" t="s">
        <v>22745</v>
      </c>
    </row>
    <row r="9838" spans="1:8">
      <c r="H9838" t="s">
        <v>22746</v>
      </c>
    </row>
    <row r="9839" spans="1:8">
      <c r="H9839" t="s">
        <v>22747</v>
      </c>
    </row>
    <row r="9840" spans="1:8">
      <c r="H9840" t="s">
        <v>22748</v>
      </c>
    </row>
    <row r="9841" spans="1:8">
      <c r="H9841" t="s">
        <v>22749</v>
      </c>
    </row>
    <row r="9842" spans="1:8">
      <c r="H9842" t="s">
        <v>22750</v>
      </c>
    </row>
    <row r="9843" spans="1:8">
      <c r="H9843" t="s">
        <v>22751</v>
      </c>
    </row>
    <row r="9844" spans="1:8">
      <c r="H9844" t="s">
        <v>22752</v>
      </c>
    </row>
    <row r="9845" spans="1:8">
      <c r="H9845" t="s">
        <v>22753</v>
      </c>
    </row>
    <row r="9846" spans="1:8">
      <c r="H9846" t="s">
        <v>22754</v>
      </c>
    </row>
    <row r="9847" spans="1:8">
      <c r="H9847" t="s">
        <v>22755</v>
      </c>
    </row>
    <row r="9848" spans="1:8">
      <c r="H9848" t="s">
        <v>22756</v>
      </c>
    </row>
    <row r="9849" spans="1:8">
      <c r="H9849" t="s">
        <v>22757</v>
      </c>
    </row>
    <row r="9850" spans="1:8">
      <c r="A9850" t="s">
        <v>694</v>
      </c>
      <c r="B9850">
        <f>HYPERLINK("https://android.googlesource.com/platform/cts/+/8e56bf2f1d4cae9182022d6ba0307fe4aec6ab2d", "8e56bf2f1d4cae9182022d6ba0307fe4aec6ab2d")</f>
        <v>0</v>
      </c>
      <c r="C9850">
        <f>HYPERLINK("https://android.googlesource.com/platform/cts/+/e556bba0bbc10b5ec75d1288cd8e54e5bc83e2aa", "e556bba0bbc10b5ec75d1288cd8e54e5bc83e2aa")</f>
        <v>0</v>
      </c>
      <c r="D9850" t="s">
        <v>5030</v>
      </c>
      <c r="E9850" t="s">
        <v>6477</v>
      </c>
      <c r="F9850" t="s">
        <v>12426</v>
      </c>
      <c r="G9850" t="s">
        <v>16648</v>
      </c>
      <c r="H9850" t="s">
        <v>22763</v>
      </c>
    </row>
    <row r="9851" spans="1:8">
      <c r="H9851" t="s">
        <v>22764</v>
      </c>
    </row>
    <row r="9852" spans="1:8">
      <c r="H9852" t="s">
        <v>22765</v>
      </c>
    </row>
    <row r="9853" spans="1:8">
      <c r="H9853" t="s">
        <v>22766</v>
      </c>
    </row>
    <row r="9854" spans="1:8">
      <c r="H9854" t="s">
        <v>22767</v>
      </c>
    </row>
    <row r="9855" spans="1:8">
      <c r="H9855" t="s">
        <v>22768</v>
      </c>
    </row>
    <row r="9856" spans="1:8">
      <c r="H9856" t="s">
        <v>22769</v>
      </c>
    </row>
    <row r="9857" spans="8:8">
      <c r="H9857" t="s">
        <v>22770</v>
      </c>
    </row>
    <row r="9858" spans="8:8">
      <c r="H9858" t="s">
        <v>22771</v>
      </c>
    </row>
    <row r="9859" spans="8:8">
      <c r="H9859" t="s">
        <v>22772</v>
      </c>
    </row>
    <row r="9860" spans="8:8">
      <c r="H9860" t="s">
        <v>22773</v>
      </c>
    </row>
    <row r="9861" spans="8:8">
      <c r="H9861" t="s">
        <v>22774</v>
      </c>
    </row>
    <row r="9862" spans="8:8">
      <c r="H9862" t="s">
        <v>22775</v>
      </c>
    </row>
    <row r="9863" spans="8:8">
      <c r="H9863" t="s">
        <v>22776</v>
      </c>
    </row>
    <row r="9864" spans="8:8">
      <c r="H9864" t="s">
        <v>22777</v>
      </c>
    </row>
    <row r="9865" spans="8:8">
      <c r="H9865" t="s">
        <v>22778</v>
      </c>
    </row>
    <row r="9866" spans="8:8">
      <c r="H9866" t="s">
        <v>22779</v>
      </c>
    </row>
    <row r="9867" spans="8:8">
      <c r="H9867" t="s">
        <v>22780</v>
      </c>
    </row>
    <row r="9868" spans="8:8">
      <c r="H9868" t="s">
        <v>22781</v>
      </c>
    </row>
    <row r="9869" spans="8:8">
      <c r="H9869" t="s">
        <v>22782</v>
      </c>
    </row>
    <row r="9870" spans="8:8">
      <c r="H9870" t="s">
        <v>22783</v>
      </c>
    </row>
    <row r="9871" spans="8:8">
      <c r="H9871" t="s">
        <v>22784</v>
      </c>
    </row>
    <row r="9872" spans="8:8">
      <c r="H9872" t="s">
        <v>22785</v>
      </c>
    </row>
    <row r="9873" spans="1:8">
      <c r="H9873" t="s">
        <v>22786</v>
      </c>
    </row>
    <row r="9874" spans="1:8">
      <c r="A9874" t="s">
        <v>698</v>
      </c>
      <c r="B9874">
        <f>HYPERLINK("https://android.googlesource.com/platform/cts/+/30044c619ab3fa1924f8909ed91a3f7c7ad0e896", "30044c619ab3fa1924f8909ed91a3f7c7ad0e896")</f>
        <v>0</v>
      </c>
      <c r="C9874">
        <f>HYPERLINK("https://android.googlesource.com/platform/cts/+/13eae907470271d41619140c16bc4be62379821f", "13eae907470271d41619140c16bc4be62379821f")</f>
        <v>0</v>
      </c>
      <c r="D9874" t="s">
        <v>5060</v>
      </c>
      <c r="E9874" t="s">
        <v>6481</v>
      </c>
      <c r="F9874" t="s">
        <v>12342</v>
      </c>
      <c r="G9874" t="s">
        <v>16570</v>
      </c>
      <c r="H9874" t="s">
        <v>22627</v>
      </c>
    </row>
    <row r="9875" spans="1:8">
      <c r="A9875" t="s">
        <v>699</v>
      </c>
      <c r="B9875">
        <f>HYPERLINK("https://android.googlesource.com/platform/cts/+/fb28897f87bf1da442ae589a198981a23b3b0a06", "fb28897f87bf1da442ae589a198981a23b3b0a06")</f>
        <v>0</v>
      </c>
      <c r="C9875">
        <f>HYPERLINK("https://android.googlesource.com/platform/cts/+/511af23079438ecdc02e245759defc9773d32172", "511af23079438ecdc02e245759defc9773d32172")</f>
        <v>0</v>
      </c>
      <c r="D9875" t="s">
        <v>5060</v>
      </c>
      <c r="E9875" t="s">
        <v>6482</v>
      </c>
      <c r="F9875" t="s">
        <v>12407</v>
      </c>
      <c r="G9875" t="s">
        <v>16629</v>
      </c>
      <c r="H9875" t="s">
        <v>22647</v>
      </c>
    </row>
    <row r="9876" spans="1:8">
      <c r="A9876" t="s">
        <v>700</v>
      </c>
      <c r="B9876">
        <f>HYPERLINK("https://android.googlesource.com/platform/cts/+/7e08ff86fd06d9fbe2cdbbf81672e2cf1a011304", "7e08ff86fd06d9fbe2cdbbf81672e2cf1a011304")</f>
        <v>0</v>
      </c>
      <c r="C9876">
        <f>HYPERLINK("https://android.googlesource.com/platform/cts/+/499109841b9f35e0d4f0a7f89c04266b4267819c", "499109841b9f35e0d4f0a7f89c04266b4267819c")</f>
        <v>0</v>
      </c>
      <c r="D9876" t="s">
        <v>4949</v>
      </c>
      <c r="E9876" t="s">
        <v>6483</v>
      </c>
      <c r="F9876" t="s">
        <v>12427</v>
      </c>
      <c r="G9876" t="s">
        <v>16649</v>
      </c>
      <c r="H9876" t="s">
        <v>22793</v>
      </c>
    </row>
    <row r="9877" spans="1:8">
      <c r="A9877" t="s">
        <v>703</v>
      </c>
      <c r="B9877">
        <f>HYPERLINK("https://android.googlesource.com/platform/cts/+/a68a0e4b2e2ccf3272c434a11c3d4c085b094ed0", "a68a0e4b2e2ccf3272c434a11c3d4c085b094ed0")</f>
        <v>0</v>
      </c>
      <c r="C9877">
        <f>HYPERLINK("https://android.googlesource.com/platform/cts/+/f7c53bd0bc9162cf4d44126c3ce39219bab1fb23", "f7c53bd0bc9162cf4d44126c3ce39219bab1fb23")</f>
        <v>0</v>
      </c>
      <c r="D9877" t="s">
        <v>4952</v>
      </c>
      <c r="E9877" t="s">
        <v>6486</v>
      </c>
      <c r="F9877" t="s">
        <v>11443</v>
      </c>
      <c r="G9877" t="s">
        <v>15683</v>
      </c>
      <c r="H9877" t="s">
        <v>22795</v>
      </c>
    </row>
    <row r="9878" spans="1:8">
      <c r="H9878" t="s">
        <v>22796</v>
      </c>
    </row>
    <row r="9879" spans="1:8">
      <c r="A9879" t="s">
        <v>704</v>
      </c>
      <c r="B9879">
        <f>HYPERLINK("https://android.googlesource.com/platform/cts/+/60fae26b58b0264669f6d03c3c91f0251d49b3d5", "60fae26b58b0264669f6d03c3c91f0251d49b3d5")</f>
        <v>0</v>
      </c>
      <c r="C9879">
        <f>HYPERLINK("https://android.googlesource.com/platform/cts/+/18bc3b8eef686e7c5d2ca984441b55be38679e0c", "18bc3b8eef686e7c5d2ca984441b55be38679e0c")</f>
        <v>0</v>
      </c>
      <c r="D9879" t="s">
        <v>5069</v>
      </c>
      <c r="E9879" t="s">
        <v>6487</v>
      </c>
      <c r="F9879" t="s">
        <v>10794</v>
      </c>
      <c r="G9879" t="s">
        <v>15189</v>
      </c>
      <c r="H9879" t="s">
        <v>22798</v>
      </c>
    </row>
    <row r="9880" spans="1:8">
      <c r="H9880" t="s">
        <v>22799</v>
      </c>
    </row>
    <row r="9881" spans="1:8">
      <c r="H9881" t="s">
        <v>22800</v>
      </c>
    </row>
    <row r="9882" spans="1:8">
      <c r="A9882" t="s">
        <v>705</v>
      </c>
      <c r="B9882">
        <f>HYPERLINK("https://android.googlesource.com/platform/cts/+/411a105cc5363c33e795d25ebd7d5d37ab79a9e7", "411a105cc5363c33e795d25ebd7d5d37ab79a9e7")</f>
        <v>0</v>
      </c>
      <c r="C9882">
        <f>HYPERLINK("https://android.googlesource.com/platform/cts/+/2cd14b39dcac4f4e994fd05a4f035051a7abcf67", "2cd14b39dcac4f4e994fd05a4f035051a7abcf67")</f>
        <v>0</v>
      </c>
      <c r="D9882" t="s">
        <v>5070</v>
      </c>
      <c r="E9882" t="s">
        <v>6488</v>
      </c>
      <c r="F9882" t="s">
        <v>10794</v>
      </c>
      <c r="G9882" t="s">
        <v>15189</v>
      </c>
      <c r="H9882" t="s">
        <v>22801</v>
      </c>
    </row>
    <row r="9883" spans="1:8">
      <c r="A9883" t="s">
        <v>708</v>
      </c>
      <c r="B9883">
        <f>HYPERLINK("https://android.googlesource.com/platform/cts/+/e2d58b18da97e826cb29fcff792227b3b1131b99", "e2d58b18da97e826cb29fcff792227b3b1131b99")</f>
        <v>0</v>
      </c>
      <c r="C9883">
        <f>HYPERLINK("https://android.googlesource.com/platform/cts/+/5a50430b5e5dbdca944faceab51ff95bfcc10f1f", "5a50430b5e5dbdca944faceab51ff95bfcc10f1f")</f>
        <v>0</v>
      </c>
      <c r="D9883" t="s">
        <v>5071</v>
      </c>
      <c r="E9883" t="s">
        <v>6491</v>
      </c>
      <c r="F9883" t="s">
        <v>12430</v>
      </c>
      <c r="G9883" t="s">
        <v>16651</v>
      </c>
      <c r="H9883" t="s">
        <v>22805</v>
      </c>
    </row>
    <row r="9884" spans="1:8">
      <c r="H9884" t="s">
        <v>22806</v>
      </c>
    </row>
    <row r="9885" spans="1:8">
      <c r="H9885" t="s">
        <v>22807</v>
      </c>
    </row>
    <row r="9886" spans="1:8">
      <c r="H9886" t="s">
        <v>22808</v>
      </c>
    </row>
    <row r="9887" spans="1:8">
      <c r="H9887" t="s">
        <v>22809</v>
      </c>
    </row>
    <row r="9888" spans="1:8">
      <c r="H9888" t="s">
        <v>22810</v>
      </c>
    </row>
    <row r="9889" spans="1:8">
      <c r="H9889" t="s">
        <v>22811</v>
      </c>
    </row>
    <row r="9890" spans="1:8">
      <c r="H9890" t="s">
        <v>22812</v>
      </c>
    </row>
    <row r="9891" spans="1:8">
      <c r="H9891" t="s">
        <v>22813</v>
      </c>
    </row>
    <row r="9892" spans="1:8">
      <c r="H9892" t="s">
        <v>22814</v>
      </c>
    </row>
    <row r="9893" spans="1:8">
      <c r="H9893" t="s">
        <v>22815</v>
      </c>
    </row>
    <row r="9894" spans="1:8">
      <c r="H9894" t="s">
        <v>22816</v>
      </c>
    </row>
    <row r="9895" spans="1:8">
      <c r="H9895" t="s">
        <v>22817</v>
      </c>
    </row>
    <row r="9896" spans="1:8">
      <c r="H9896" t="s">
        <v>22818</v>
      </c>
    </row>
    <row r="9897" spans="1:8">
      <c r="H9897" t="s">
        <v>22819</v>
      </c>
    </row>
    <row r="9898" spans="1:8">
      <c r="H9898" t="s">
        <v>22820</v>
      </c>
    </row>
    <row r="9899" spans="1:8">
      <c r="H9899" t="s">
        <v>22821</v>
      </c>
    </row>
    <row r="9900" spans="1:8">
      <c r="H9900" t="s">
        <v>22822</v>
      </c>
    </row>
    <row r="9901" spans="1:8">
      <c r="H9901" t="s">
        <v>22823</v>
      </c>
    </row>
    <row r="9902" spans="1:8">
      <c r="H9902" t="s">
        <v>22824</v>
      </c>
    </row>
    <row r="9903" spans="1:8">
      <c r="A9903" t="s">
        <v>709</v>
      </c>
      <c r="B9903">
        <f>HYPERLINK("https://android.googlesource.com/platform/cts/+/5140c5ad600527a436d78317ae3f242ec54ba174", "5140c5ad600527a436d78317ae3f242ec54ba174")</f>
        <v>0</v>
      </c>
      <c r="C9903">
        <f>HYPERLINK("https://android.googlesource.com/platform/cts/+/e40052544128b76a63bded1c2353d16c23dee264", "e40052544128b76a63bded1c2353d16c23dee264")</f>
        <v>0</v>
      </c>
      <c r="D9903" t="s">
        <v>4952</v>
      </c>
      <c r="E9903" t="s">
        <v>6492</v>
      </c>
      <c r="F9903" t="s">
        <v>11447</v>
      </c>
      <c r="G9903" t="s">
        <v>15687</v>
      </c>
      <c r="H9903" t="s">
        <v>22825</v>
      </c>
    </row>
    <row r="9904" spans="1:8">
      <c r="H9904" t="s">
        <v>22826</v>
      </c>
    </row>
    <row r="9905" spans="1:8">
      <c r="A9905" t="s">
        <v>710</v>
      </c>
      <c r="B9905">
        <f>HYPERLINK("https://android.googlesource.com/platform/cts/+/478800028cdb3c8080b0b1fb6b195b8c972688e0", "478800028cdb3c8080b0b1fb6b195b8c972688e0")</f>
        <v>0</v>
      </c>
      <c r="C9905">
        <f>HYPERLINK("https://android.googlesource.com/platform/cts/+/4049c5de179ae219e65c75cb0819f33b9088e87b", "4049c5de179ae219e65c75cb0819f33b9088e87b")</f>
        <v>0</v>
      </c>
      <c r="D9905" t="s">
        <v>5072</v>
      </c>
      <c r="E9905" t="s">
        <v>6493</v>
      </c>
      <c r="F9905" t="s">
        <v>12407</v>
      </c>
      <c r="G9905" t="s">
        <v>16629</v>
      </c>
      <c r="H9905" t="s">
        <v>22834</v>
      </c>
    </row>
    <row r="9906" spans="1:8">
      <c r="A9906" t="s">
        <v>711</v>
      </c>
      <c r="B9906">
        <f>HYPERLINK("https://android.googlesource.com/platform/cts/+/29dfebf7b40c2f1defbcf56878cc659c6e979a11", "29dfebf7b40c2f1defbcf56878cc659c6e979a11")</f>
        <v>0</v>
      </c>
      <c r="C9906">
        <f>HYPERLINK("https://android.googlesource.com/platform/cts/+/9251d4c05cbe7b9f2edb2071fcdd91e1679e80bc", "9251d4c05cbe7b9f2edb2071fcdd91e1679e80bc")</f>
        <v>0</v>
      </c>
      <c r="D9906" t="s">
        <v>5072</v>
      </c>
      <c r="E9906" t="s">
        <v>6494</v>
      </c>
      <c r="F9906" t="s">
        <v>12407</v>
      </c>
      <c r="G9906" t="s">
        <v>16629</v>
      </c>
      <c r="H9906" t="s">
        <v>22835</v>
      </c>
    </row>
    <row r="9907" spans="1:8">
      <c r="H9907" t="s">
        <v>22836</v>
      </c>
    </row>
    <row r="9908" spans="1:8">
      <c r="H9908" t="s">
        <v>22837</v>
      </c>
    </row>
    <row r="9909" spans="1:8">
      <c r="H9909" t="s">
        <v>22838</v>
      </c>
    </row>
    <row r="9910" spans="1:8">
      <c r="A9910" t="s">
        <v>712</v>
      </c>
      <c r="B9910">
        <f>HYPERLINK("https://android.googlesource.com/platform/cts/+/c1198c0aa7c7e9b52a32d9e2c0d663c69ee131c6", "c1198c0aa7c7e9b52a32d9e2c0d663c69ee131c6")</f>
        <v>0</v>
      </c>
      <c r="C9910">
        <f>HYPERLINK("https://android.googlesource.com/platform/cts/+/5e01fa965b9f518a6efb9a6c31bf0cd8167b5719", "5e01fa965b9f518a6efb9a6c31bf0cd8167b5719")</f>
        <v>0</v>
      </c>
      <c r="D9910" t="s">
        <v>5070</v>
      </c>
      <c r="E9910" t="s">
        <v>6495</v>
      </c>
      <c r="F9910" t="s">
        <v>10794</v>
      </c>
      <c r="G9910" t="s">
        <v>15189</v>
      </c>
      <c r="H9910" t="s">
        <v>22801</v>
      </c>
    </row>
    <row r="9911" spans="1:8">
      <c r="H9911" t="s">
        <v>22798</v>
      </c>
    </row>
    <row r="9912" spans="1:8">
      <c r="H9912" t="s">
        <v>22799</v>
      </c>
    </row>
    <row r="9913" spans="1:8">
      <c r="H9913" t="s">
        <v>22839</v>
      </c>
    </row>
    <row r="9914" spans="1:8">
      <c r="H9914" t="s">
        <v>22840</v>
      </c>
    </row>
    <row r="9915" spans="1:8">
      <c r="H9915" t="s">
        <v>22841</v>
      </c>
    </row>
    <row r="9916" spans="1:8">
      <c r="H9916" t="s">
        <v>22842</v>
      </c>
    </row>
    <row r="9917" spans="1:8">
      <c r="H9917" t="s">
        <v>22800</v>
      </c>
    </row>
    <row r="9918" spans="1:8">
      <c r="H9918" t="s">
        <v>22843</v>
      </c>
    </row>
    <row r="9919" spans="1:8">
      <c r="H9919" t="s">
        <v>22844</v>
      </c>
    </row>
    <row r="9920" spans="1:8">
      <c r="A9920" t="s">
        <v>713</v>
      </c>
      <c r="B9920">
        <f>HYPERLINK("https://android.googlesource.com/platform/cts/+/86d46afe064937dbec95d91e64e27baec141ae97", "86d46afe064937dbec95d91e64e27baec141ae97")</f>
        <v>0</v>
      </c>
      <c r="C9920">
        <f>HYPERLINK("https://android.googlesource.com/platform/cts/+/d6cc66a89811b7b9e843baf48860976a992c33f3", "d6cc66a89811b7b9e843baf48860976a992c33f3")</f>
        <v>0</v>
      </c>
      <c r="D9920" t="s">
        <v>4952</v>
      </c>
      <c r="E9920" t="s">
        <v>6496</v>
      </c>
      <c r="F9920" t="s">
        <v>12431</v>
      </c>
      <c r="G9920" t="s">
        <v>16652</v>
      </c>
      <c r="H9920" t="s">
        <v>22845</v>
      </c>
    </row>
    <row r="9921" spans="1:8">
      <c r="A9921" t="s">
        <v>717</v>
      </c>
      <c r="B9921">
        <f>HYPERLINK("https://android.googlesource.com/platform/cts/+/bfe1405befe2138259d2fdcbd93a6011620b7a89", "bfe1405befe2138259d2fdcbd93a6011620b7a89")</f>
        <v>0</v>
      </c>
      <c r="C9921">
        <f>HYPERLINK("https://android.googlesource.com/platform/cts/+/a207e44bb79d528a361586fc14af4f27d12eee7b", "a207e44bb79d528a361586fc14af4f27d12eee7b")</f>
        <v>0</v>
      </c>
      <c r="D9921" t="s">
        <v>5073</v>
      </c>
      <c r="E9921" t="s">
        <v>6500</v>
      </c>
      <c r="F9921" t="s">
        <v>12561</v>
      </c>
      <c r="G9921" t="s">
        <v>16777</v>
      </c>
      <c r="H9921" t="s">
        <v>24970</v>
      </c>
    </row>
    <row r="9922" spans="1:8">
      <c r="A9922" t="s">
        <v>718</v>
      </c>
      <c r="B9922">
        <f>HYPERLINK("https://android.googlesource.com/platform/cts/+/8ea3666ae94ac8f4b9b9c4bdbbf0695561d978cb", "8ea3666ae94ac8f4b9b9c4bdbbf0695561d978cb")</f>
        <v>0</v>
      </c>
      <c r="C9922">
        <f>HYPERLINK("https://android.googlesource.com/platform/cts/+/bfe1405befe2138259d2fdcbd93a6011620b7a89", "bfe1405befe2138259d2fdcbd93a6011620b7a89")</f>
        <v>0</v>
      </c>
      <c r="D9922" t="s">
        <v>5073</v>
      </c>
      <c r="E9922" t="s">
        <v>6501</v>
      </c>
      <c r="F9922" t="s">
        <v>12561</v>
      </c>
      <c r="G9922" t="s">
        <v>16777</v>
      </c>
      <c r="H9922" t="s">
        <v>24971</v>
      </c>
    </row>
    <row r="9923" spans="1:8">
      <c r="H9923" t="s">
        <v>24972</v>
      </c>
    </row>
    <row r="9924" spans="1:8">
      <c r="H9924" t="s">
        <v>24973</v>
      </c>
    </row>
    <row r="9925" spans="1:8">
      <c r="H9925" t="s">
        <v>24974</v>
      </c>
    </row>
    <row r="9926" spans="1:8">
      <c r="H9926" t="s">
        <v>24975</v>
      </c>
    </row>
    <row r="9927" spans="1:8">
      <c r="H9927" t="s">
        <v>24976</v>
      </c>
    </row>
    <row r="9928" spans="1:8">
      <c r="A9928" t="s">
        <v>719</v>
      </c>
      <c r="B9928">
        <f>HYPERLINK("https://android.googlesource.com/platform/cts/+/23a0fcc7a513d23d47e92f3ac6741a5a3c166f0d", "23a0fcc7a513d23d47e92f3ac6741a5a3c166f0d")</f>
        <v>0</v>
      </c>
      <c r="C9928">
        <f>HYPERLINK("https://android.googlesource.com/platform/cts/+/db3ab841b1a273aabcea7cebc8af7e02babf91ce", "db3ab841b1a273aabcea7cebc8af7e02babf91ce")</f>
        <v>0</v>
      </c>
      <c r="D9928" t="s">
        <v>5029</v>
      </c>
      <c r="E9928" t="s">
        <v>6502</v>
      </c>
      <c r="F9928" t="s">
        <v>10781</v>
      </c>
      <c r="G9928" t="s">
        <v>15177</v>
      </c>
      <c r="H9928" t="s">
        <v>24977</v>
      </c>
    </row>
    <row r="9929" spans="1:8">
      <c r="H9929" t="s">
        <v>18984</v>
      </c>
    </row>
    <row r="9930" spans="1:8">
      <c r="H9930" t="s">
        <v>18983</v>
      </c>
    </row>
    <row r="9931" spans="1:8">
      <c r="A9931" t="s">
        <v>720</v>
      </c>
      <c r="B9931">
        <f>HYPERLINK("https://android.googlesource.com/platform/cts/+/8ea2becef97509aef884c82cff8d794714ea9a25", "8ea2becef97509aef884c82cff8d794714ea9a25")</f>
        <v>0</v>
      </c>
      <c r="C9931">
        <f>HYPERLINK("https://android.googlesource.com/platform/cts/+/e64a5aa37a56a2bc67d48e0f0d3ca29567ebc0ac", "e64a5aa37a56a2bc67d48e0f0d3ca29567ebc0ac")</f>
        <v>0</v>
      </c>
      <c r="D9931" t="s">
        <v>5074</v>
      </c>
      <c r="E9931" t="s">
        <v>6503</v>
      </c>
      <c r="F9931" t="s">
        <v>12407</v>
      </c>
      <c r="G9931" t="s">
        <v>16629</v>
      </c>
      <c r="H9931" t="s">
        <v>24982</v>
      </c>
    </row>
    <row r="9932" spans="1:8">
      <c r="H9932" t="s">
        <v>24983</v>
      </c>
    </row>
    <row r="9933" spans="1:8">
      <c r="H9933" t="s">
        <v>24985</v>
      </c>
    </row>
    <row r="9934" spans="1:8">
      <c r="H9934" t="s">
        <v>24986</v>
      </c>
    </row>
    <row r="9935" spans="1:8">
      <c r="H9935" t="s">
        <v>24987</v>
      </c>
    </row>
    <row r="9936" spans="1:8">
      <c r="H9936" t="s">
        <v>24988</v>
      </c>
    </row>
    <row r="9937" spans="8:8">
      <c r="H9937" t="s">
        <v>24989</v>
      </c>
    </row>
    <row r="9938" spans="8:8">
      <c r="H9938" t="s">
        <v>24990</v>
      </c>
    </row>
    <row r="9939" spans="8:8">
      <c r="H9939" t="s">
        <v>24991</v>
      </c>
    </row>
    <row r="9940" spans="8:8">
      <c r="H9940" t="s">
        <v>24992</v>
      </c>
    </row>
    <row r="9941" spans="8:8">
      <c r="H9941" t="s">
        <v>22737</v>
      </c>
    </row>
    <row r="9942" spans="8:8">
      <c r="H9942" t="s">
        <v>22738</v>
      </c>
    </row>
    <row r="9943" spans="8:8">
      <c r="H9943" t="s">
        <v>22739</v>
      </c>
    </row>
    <row r="9944" spans="8:8">
      <c r="H9944" t="s">
        <v>22740</v>
      </c>
    </row>
    <row r="9945" spans="8:8">
      <c r="H9945" t="s">
        <v>22741</v>
      </c>
    </row>
    <row r="9946" spans="8:8">
      <c r="H9946" t="s">
        <v>22742</v>
      </c>
    </row>
    <row r="9947" spans="8:8">
      <c r="H9947" t="s">
        <v>22743</v>
      </c>
    </row>
    <row r="9948" spans="8:8">
      <c r="H9948" t="s">
        <v>22744</v>
      </c>
    </row>
    <row r="9949" spans="8:8">
      <c r="H9949" t="s">
        <v>22745</v>
      </c>
    </row>
    <row r="9950" spans="8:8">
      <c r="H9950" t="s">
        <v>22746</v>
      </c>
    </row>
    <row r="9951" spans="8:8">
      <c r="H9951" t="s">
        <v>22747</v>
      </c>
    </row>
    <row r="9952" spans="8:8">
      <c r="H9952" t="s">
        <v>22748</v>
      </c>
    </row>
    <row r="9953" spans="6:8">
      <c r="H9953" t="s">
        <v>22749</v>
      </c>
    </row>
    <row r="9954" spans="6:8">
      <c r="H9954" t="s">
        <v>22750</v>
      </c>
    </row>
    <row r="9955" spans="6:8">
      <c r="H9955" t="s">
        <v>22751</v>
      </c>
    </row>
    <row r="9956" spans="6:8">
      <c r="H9956" t="s">
        <v>22752</v>
      </c>
    </row>
    <row r="9957" spans="6:8">
      <c r="H9957" t="s">
        <v>22753</v>
      </c>
    </row>
    <row r="9958" spans="6:8">
      <c r="H9958" t="s">
        <v>22754</v>
      </c>
    </row>
    <row r="9959" spans="6:8">
      <c r="H9959" t="s">
        <v>22755</v>
      </c>
    </row>
    <row r="9960" spans="6:8">
      <c r="H9960" t="s">
        <v>22756</v>
      </c>
    </row>
    <row r="9961" spans="6:8">
      <c r="H9961" t="s">
        <v>22757</v>
      </c>
    </row>
    <row r="9962" spans="6:8">
      <c r="F9962" t="s">
        <v>12562</v>
      </c>
      <c r="G9962" t="s">
        <v>16778</v>
      </c>
      <c r="H9962" t="s">
        <v>22186</v>
      </c>
    </row>
    <row r="9963" spans="6:8">
      <c r="H9963" t="s">
        <v>22187</v>
      </c>
    </row>
    <row r="9964" spans="6:8">
      <c r="H9964" t="s">
        <v>22188</v>
      </c>
    </row>
    <row r="9965" spans="6:8">
      <c r="H9965" t="s">
        <v>22189</v>
      </c>
    </row>
    <row r="9966" spans="6:8">
      <c r="F9966" t="s">
        <v>12224</v>
      </c>
      <c r="G9966" t="s">
        <v>16454</v>
      </c>
      <c r="H9966" t="s">
        <v>24995</v>
      </c>
    </row>
    <row r="9967" spans="6:8">
      <c r="F9967" t="s">
        <v>12176</v>
      </c>
      <c r="G9967" t="s">
        <v>16415</v>
      </c>
      <c r="H9967" t="s">
        <v>24996</v>
      </c>
    </row>
    <row r="9968" spans="6:8">
      <c r="F9968" t="s">
        <v>12563</v>
      </c>
      <c r="G9968" t="s">
        <v>16779</v>
      </c>
      <c r="H9968" t="s">
        <v>24997</v>
      </c>
    </row>
    <row r="9969" spans="1:8">
      <c r="H9969" t="s">
        <v>24998</v>
      </c>
    </row>
    <row r="9970" spans="1:8">
      <c r="H9970" t="s">
        <v>24999</v>
      </c>
    </row>
    <row r="9971" spans="1:8">
      <c r="H9971" t="s">
        <v>25000</v>
      </c>
    </row>
    <row r="9972" spans="1:8">
      <c r="H9972" t="s">
        <v>25001</v>
      </c>
    </row>
    <row r="9973" spans="1:8">
      <c r="H9973" t="s">
        <v>25002</v>
      </c>
    </row>
    <row r="9974" spans="1:8">
      <c r="H9974" t="s">
        <v>25003</v>
      </c>
    </row>
    <row r="9975" spans="1:8">
      <c r="H9975" t="s">
        <v>25004</v>
      </c>
    </row>
    <row r="9976" spans="1:8">
      <c r="F9976" t="s">
        <v>12564</v>
      </c>
      <c r="G9976" t="s">
        <v>16780</v>
      </c>
      <c r="H9976" t="s">
        <v>25006</v>
      </c>
    </row>
    <row r="9977" spans="1:8">
      <c r="F9977" t="s">
        <v>12565</v>
      </c>
      <c r="G9977" t="s">
        <v>16781</v>
      </c>
      <c r="H9977" t="s">
        <v>25008</v>
      </c>
    </row>
    <row r="9978" spans="1:8">
      <c r="H9978" t="s">
        <v>25009</v>
      </c>
    </row>
    <row r="9979" spans="1:8">
      <c r="F9979" t="s">
        <v>12566</v>
      </c>
      <c r="G9979" t="s">
        <v>16782</v>
      </c>
      <c r="H9979" t="s">
        <v>25010</v>
      </c>
    </row>
    <row r="9980" spans="1:8">
      <c r="F9980" t="s">
        <v>12342</v>
      </c>
      <c r="G9980" t="s">
        <v>16570</v>
      </c>
      <c r="H9980" t="s">
        <v>25011</v>
      </c>
    </row>
    <row r="9981" spans="1:8">
      <c r="A9981" t="s">
        <v>721</v>
      </c>
      <c r="B9981">
        <f>HYPERLINK("https://android.googlesource.com/platform/cts/+/5e6ec40ad0f0a6996c63770def2aac83f69dea91", "5e6ec40ad0f0a6996c63770def2aac83f69dea91")</f>
        <v>0</v>
      </c>
      <c r="C9981">
        <f>HYPERLINK("https://android.googlesource.com/platform/cts/+/db3ab841b1a273aabcea7cebc8af7e02babf91ce", "db3ab841b1a273aabcea7cebc8af7e02babf91ce")</f>
        <v>0</v>
      </c>
      <c r="D9981" t="s">
        <v>5073</v>
      </c>
      <c r="E9981" t="s">
        <v>6504</v>
      </c>
      <c r="F9981" t="s">
        <v>12561</v>
      </c>
      <c r="G9981" t="s">
        <v>16777</v>
      </c>
      <c r="H9981" t="s">
        <v>24970</v>
      </c>
    </row>
    <row r="9982" spans="1:8">
      <c r="A9982" t="s">
        <v>722</v>
      </c>
      <c r="B9982">
        <f>HYPERLINK("https://android.googlesource.com/platform/cts/+/cc9af6e6ffb2bef2cd094795c738ae2b10624dea", "cc9af6e6ffb2bef2cd094795c738ae2b10624dea")</f>
        <v>0</v>
      </c>
      <c r="C9982">
        <f>HYPERLINK("https://android.googlesource.com/platform/cts/+/3dd9f1ec1a97905ea1901d9450cfddb48966a382", "3dd9f1ec1a97905ea1901d9450cfddb48966a382")</f>
        <v>0</v>
      </c>
      <c r="D9982" t="s">
        <v>5075</v>
      </c>
      <c r="E9982" t="s">
        <v>6505</v>
      </c>
      <c r="F9982" t="s">
        <v>12568</v>
      </c>
      <c r="G9982" t="s">
        <v>16784</v>
      </c>
      <c r="H9982" t="s">
        <v>25014</v>
      </c>
    </row>
    <row r="9983" spans="1:8">
      <c r="H9983" t="s">
        <v>25015</v>
      </c>
    </row>
    <row r="9984" spans="1:8">
      <c r="A9984" t="s">
        <v>723</v>
      </c>
      <c r="B9984">
        <f>HYPERLINK("https://android.googlesource.com/platform/cts/+/0830ac38a433e25dc5d32ee6aad28ec40f5a651e", "0830ac38a433e25dc5d32ee6aad28ec40f5a651e")</f>
        <v>0</v>
      </c>
      <c r="C9984">
        <f>HYPERLINK("https://android.googlesource.com/platform/cts/+/735358c6e5b9dacb51756eda8e663371126d685b", "735358c6e5b9dacb51756eda8e663371126d685b")</f>
        <v>0</v>
      </c>
      <c r="D9984" t="s">
        <v>5038</v>
      </c>
      <c r="E9984" t="s">
        <v>6506</v>
      </c>
      <c r="F9984" t="s">
        <v>12569</v>
      </c>
      <c r="G9984" t="s">
        <v>16785</v>
      </c>
      <c r="H9984" t="s">
        <v>25020</v>
      </c>
    </row>
    <row r="9985" spans="1:8">
      <c r="H9985" t="s">
        <v>25021</v>
      </c>
    </row>
    <row r="9986" spans="1:8">
      <c r="H9986" t="s">
        <v>25022</v>
      </c>
    </row>
    <row r="9987" spans="1:8">
      <c r="H9987" t="s">
        <v>25023</v>
      </c>
    </row>
    <row r="9988" spans="1:8">
      <c r="A9988" t="s">
        <v>724</v>
      </c>
      <c r="B9988">
        <f>HYPERLINK("https://android.googlesource.com/platform/cts/+/3b5af16f8a21e9ce5de57b7c748d8eda1b0bdbec", "3b5af16f8a21e9ce5de57b7c748d8eda1b0bdbec")</f>
        <v>0</v>
      </c>
      <c r="C9988">
        <f>HYPERLINK("https://android.googlesource.com/platform/cts/+/80b92d0b32aa5a9d6c18e04ee325b9e3f95e1bae", "80b92d0b32aa5a9d6c18e04ee325b9e3f95e1bae")</f>
        <v>0</v>
      </c>
      <c r="D9988" t="s">
        <v>5076</v>
      </c>
      <c r="E9988" t="s">
        <v>6507</v>
      </c>
      <c r="F9988" t="s">
        <v>12570</v>
      </c>
      <c r="G9988" t="s">
        <v>16786</v>
      </c>
      <c r="H9988" t="s">
        <v>25024</v>
      </c>
    </row>
    <row r="9989" spans="1:8">
      <c r="F9989" t="s">
        <v>10778</v>
      </c>
      <c r="G9989" t="s">
        <v>15174</v>
      </c>
      <c r="H9989" t="s">
        <v>25025</v>
      </c>
    </row>
    <row r="9990" spans="1:8">
      <c r="A9990" t="s">
        <v>725</v>
      </c>
      <c r="B9990">
        <f>HYPERLINK("https://android.googlesource.com/platform/cts/+/4b7f7c01129b624947d9f9a84e9e851a2761fed7", "4b7f7c01129b624947d9f9a84e9e851a2761fed7")</f>
        <v>0</v>
      </c>
      <c r="C9990">
        <f>HYPERLINK("https://android.googlesource.com/platform/cts/+/9306115a474168ff12dd5312c5820e9c54134e9c", "9306115a474168ff12dd5312c5820e9c54134e9c")</f>
        <v>0</v>
      </c>
      <c r="D9990" t="s">
        <v>5018</v>
      </c>
      <c r="E9990" t="s">
        <v>6508</v>
      </c>
      <c r="F9990" t="s">
        <v>12571</v>
      </c>
      <c r="G9990" t="s">
        <v>16787</v>
      </c>
      <c r="H9990" t="s">
        <v>25026</v>
      </c>
    </row>
    <row r="9991" spans="1:8">
      <c r="A9991" t="s">
        <v>726</v>
      </c>
      <c r="B9991">
        <f>HYPERLINK("https://android.googlesource.com/platform/cts/+/0408b17d15c515c251c3544104112f859168c9d3", "0408b17d15c515c251c3544104112f859168c9d3")</f>
        <v>0</v>
      </c>
      <c r="C9991">
        <f>HYPERLINK("https://android.googlesource.com/platform/cts/+/7082fb8c9cc97300f36b714efe4f6d99c344fd6d", "7082fb8c9cc97300f36b714efe4f6d99c344fd6d")</f>
        <v>0</v>
      </c>
      <c r="D9991" t="s">
        <v>5077</v>
      </c>
      <c r="E9991" t="s">
        <v>6509</v>
      </c>
      <c r="F9991" t="s">
        <v>12223</v>
      </c>
      <c r="G9991" t="s">
        <v>16453</v>
      </c>
      <c r="H9991" t="s">
        <v>25028</v>
      </c>
    </row>
    <row r="9992" spans="1:8">
      <c r="H9992" t="s">
        <v>25029</v>
      </c>
    </row>
    <row r="9993" spans="1:8">
      <c r="H9993" t="s">
        <v>25030</v>
      </c>
    </row>
    <row r="9994" spans="1:8">
      <c r="F9994" t="s">
        <v>12224</v>
      </c>
      <c r="G9994" t="s">
        <v>16454</v>
      </c>
      <c r="H9994" t="s">
        <v>25032</v>
      </c>
    </row>
    <row r="9995" spans="1:8">
      <c r="A9995" t="s">
        <v>730</v>
      </c>
      <c r="B9995">
        <f>HYPERLINK("https://android.googlesource.com/platform/cts/+/ac8d674e13b3eaf97990cc3e6aa86de86155a6cd", "ac8d674e13b3eaf97990cc3e6aa86de86155a6cd")</f>
        <v>0</v>
      </c>
      <c r="C9995">
        <f>HYPERLINK("https://android.googlesource.com/platform/cts/+/82f583a8b9e5608f36d08d5add3880db2b8c512e", "82f583a8b9e5608f36d08d5add3880db2b8c512e")</f>
        <v>0</v>
      </c>
      <c r="D9995" t="s">
        <v>5002</v>
      </c>
      <c r="E9995" t="s">
        <v>6513</v>
      </c>
      <c r="F9995" t="s">
        <v>12592</v>
      </c>
      <c r="G9995" t="s">
        <v>16808</v>
      </c>
      <c r="H9995" t="s">
        <v>25056</v>
      </c>
    </row>
    <row r="9996" spans="1:8">
      <c r="H9996" t="s">
        <v>25057</v>
      </c>
    </row>
    <row r="9997" spans="1:8">
      <c r="H9997" t="s">
        <v>25058</v>
      </c>
    </row>
    <row r="9998" spans="1:8">
      <c r="F9998" t="s">
        <v>12593</v>
      </c>
      <c r="G9998" t="s">
        <v>16809</v>
      </c>
      <c r="H9998" t="s">
        <v>25060</v>
      </c>
    </row>
    <row r="9999" spans="1:8">
      <c r="H9999" t="s">
        <v>25061</v>
      </c>
    </row>
    <row r="10000" spans="1:8">
      <c r="H10000" t="s">
        <v>25062</v>
      </c>
    </row>
    <row r="10001" spans="1:8">
      <c r="F10001" t="s">
        <v>12598</v>
      </c>
      <c r="G10001" t="s">
        <v>16811</v>
      </c>
      <c r="H10001" t="s">
        <v>25065</v>
      </c>
    </row>
    <row r="10002" spans="1:8">
      <c r="H10002" t="s">
        <v>25066</v>
      </c>
    </row>
    <row r="10003" spans="1:8">
      <c r="H10003" t="s">
        <v>25067</v>
      </c>
    </row>
    <row r="10004" spans="1:8">
      <c r="H10004" t="s">
        <v>25068</v>
      </c>
    </row>
    <row r="10005" spans="1:8">
      <c r="H10005" t="s">
        <v>25069</v>
      </c>
    </row>
    <row r="10006" spans="1:8">
      <c r="H10006" t="s">
        <v>25070</v>
      </c>
    </row>
    <row r="10007" spans="1:8">
      <c r="A10007" t="s">
        <v>732</v>
      </c>
      <c r="B10007">
        <f>HYPERLINK("https://android.googlesource.com/platform/cts/+/cbade83fee83f8205885f1a62838adaf57b1c4d2", "cbade83fee83f8205885f1a62838adaf57b1c4d2")</f>
        <v>0</v>
      </c>
      <c r="C10007">
        <f>HYPERLINK("https://android.googlesource.com/platform/cts/+/4e0c54f4becf7dd0f15ee0f5a91d997e86b67118", "4e0c54f4becf7dd0f15ee0f5a91d997e86b67118")</f>
        <v>0</v>
      </c>
      <c r="D10007" t="s">
        <v>5038</v>
      </c>
      <c r="E10007" t="s">
        <v>6515</v>
      </c>
      <c r="F10007" t="s">
        <v>12569</v>
      </c>
      <c r="G10007" t="s">
        <v>16785</v>
      </c>
      <c r="H10007" t="s">
        <v>25074</v>
      </c>
    </row>
    <row r="10008" spans="1:8">
      <c r="A10008" t="s">
        <v>735</v>
      </c>
      <c r="B10008">
        <f>HYPERLINK("https://android.googlesource.com/platform/cts/+/20815e69e7d5c7f62b190b7ef337a1dd6ec3df83", "20815e69e7d5c7f62b190b7ef337a1dd6ec3df83")</f>
        <v>0</v>
      </c>
      <c r="C10008">
        <f>HYPERLINK("https://android.googlesource.com/platform/cts/+/8e7fb5257401578e6eb5aac7194be991831bd619", "8e7fb5257401578e6eb5aac7194be991831bd619")</f>
        <v>0</v>
      </c>
      <c r="D10008" t="s">
        <v>5077</v>
      </c>
      <c r="E10008" t="s">
        <v>6518</v>
      </c>
      <c r="F10008" t="s">
        <v>12599</v>
      </c>
      <c r="G10008" t="s">
        <v>16812</v>
      </c>
      <c r="H10008" t="s">
        <v>25076</v>
      </c>
    </row>
    <row r="10009" spans="1:8">
      <c r="H10009" t="s">
        <v>25077</v>
      </c>
    </row>
    <row r="10010" spans="1:8">
      <c r="H10010" t="s">
        <v>25078</v>
      </c>
    </row>
    <row r="10011" spans="1:8">
      <c r="H10011" t="s">
        <v>25079</v>
      </c>
    </row>
    <row r="10012" spans="1:8">
      <c r="A10012" t="s">
        <v>739</v>
      </c>
      <c r="B10012">
        <f>HYPERLINK("https://android.googlesource.com/platform/cts/+/bfe21539f8796fecab7ebc52e69fbad415466876", "bfe21539f8796fecab7ebc52e69fbad415466876")</f>
        <v>0</v>
      </c>
      <c r="C10012">
        <f>HYPERLINK("https://android.googlesource.com/platform/cts/+/d36d7bbfe4041684772d97a41e024d18034f0fb1", "d36d7bbfe4041684772d97a41e024d18034f0fb1")</f>
        <v>0</v>
      </c>
      <c r="D10012" t="s">
        <v>5057</v>
      </c>
      <c r="E10012" t="s">
        <v>6522</v>
      </c>
      <c r="F10012" t="s">
        <v>12601</v>
      </c>
      <c r="G10012" t="s">
        <v>16420</v>
      </c>
      <c r="H10012" t="s">
        <v>21301</v>
      </c>
    </row>
    <row r="10013" spans="1:8">
      <c r="H10013" t="s">
        <v>21302</v>
      </c>
    </row>
    <row r="10014" spans="1:8">
      <c r="H10014" t="s">
        <v>21303</v>
      </c>
    </row>
    <row r="10015" spans="1:8">
      <c r="H10015" t="s">
        <v>21304</v>
      </c>
    </row>
    <row r="10016" spans="1:8">
      <c r="H10016" t="s">
        <v>21305</v>
      </c>
    </row>
    <row r="10017" spans="1:8">
      <c r="A10017" t="s">
        <v>740</v>
      </c>
      <c r="B10017">
        <f>HYPERLINK("https://android.googlesource.com/platform/cts/+/92b89af07ac9f528228d44b71ce6131e5d36dc13", "92b89af07ac9f528228d44b71ce6131e5d36dc13")</f>
        <v>0</v>
      </c>
      <c r="C10017">
        <f>HYPERLINK("https://android.googlesource.com/platform/cts/+/00d083abecc0d0671ff6e71bf3664fd4e825e52f", "00d083abecc0d0671ff6e71bf3664fd4e825e52f")</f>
        <v>0</v>
      </c>
      <c r="D10017" t="s">
        <v>5040</v>
      </c>
      <c r="E10017" t="s">
        <v>6523</v>
      </c>
      <c r="F10017" t="s">
        <v>12602</v>
      </c>
      <c r="G10017" t="s">
        <v>16814</v>
      </c>
      <c r="H10017" t="s">
        <v>25081</v>
      </c>
    </row>
    <row r="10018" spans="1:8">
      <c r="A10018" t="s">
        <v>742</v>
      </c>
      <c r="B10018">
        <f>HYPERLINK("https://android.googlesource.com/platform/cts/+/e523556a72ecf97c782354c95b2c018981a31e62", "e523556a72ecf97c782354c95b2c018981a31e62")</f>
        <v>0</v>
      </c>
      <c r="C10018">
        <f>HYPERLINK("https://android.googlesource.com/platform/cts/+/769e48db74612b80c294b96d1a2286888d2da6b6", "769e48db74612b80c294b96d1a2286888d2da6b6")</f>
        <v>0</v>
      </c>
      <c r="D10018" t="s">
        <v>5057</v>
      </c>
      <c r="E10018" t="s">
        <v>6525</v>
      </c>
      <c r="F10018" t="s">
        <v>12601</v>
      </c>
      <c r="G10018" t="s">
        <v>16420</v>
      </c>
      <c r="H10018" t="s">
        <v>25083</v>
      </c>
    </row>
    <row r="10019" spans="1:8">
      <c r="H10019" t="s">
        <v>25084</v>
      </c>
    </row>
    <row r="10020" spans="1:8">
      <c r="H10020" t="s">
        <v>25085</v>
      </c>
    </row>
    <row r="10021" spans="1:8">
      <c r="H10021" t="s">
        <v>25086</v>
      </c>
    </row>
    <row r="10022" spans="1:8">
      <c r="H10022" t="s">
        <v>25087</v>
      </c>
    </row>
    <row r="10023" spans="1:8">
      <c r="H10023" t="s">
        <v>25088</v>
      </c>
    </row>
    <row r="10024" spans="1:8">
      <c r="A10024" t="s">
        <v>743</v>
      </c>
      <c r="B10024">
        <f>HYPERLINK("https://android.googlesource.com/platform/cts/+/64c494af71f3907cac19d2101032420000a7e8d7", "64c494af71f3907cac19d2101032420000a7e8d7")</f>
        <v>0</v>
      </c>
      <c r="C10024">
        <f>HYPERLINK("https://android.googlesource.com/platform/cts/+/aefcae4de7db38bf091921a0827c8c44cbeb8d9b", "aefcae4de7db38bf091921a0827c8c44cbeb8d9b")</f>
        <v>0</v>
      </c>
      <c r="D10024" t="s">
        <v>5080</v>
      </c>
      <c r="E10024" t="s">
        <v>6526</v>
      </c>
      <c r="F10024" t="s">
        <v>12604</v>
      </c>
      <c r="G10024" t="s">
        <v>16816</v>
      </c>
      <c r="H10024" t="s">
        <v>25089</v>
      </c>
    </row>
    <row r="10025" spans="1:8">
      <c r="H10025" t="s">
        <v>25090</v>
      </c>
    </row>
    <row r="10026" spans="1:8">
      <c r="A10026" t="s">
        <v>745</v>
      </c>
      <c r="B10026">
        <f>HYPERLINK("https://android.googlesource.com/platform/cts/+/e4b9293da1a463f1ab623db7f960a35c54e18ec1", "e4b9293da1a463f1ab623db7f960a35c54e18ec1")</f>
        <v>0</v>
      </c>
      <c r="C10026">
        <f>HYPERLINK("https://android.googlesource.com/platform/cts/+/6fd2a43158d2cb4fc0f662b7575baeae65286f64", "6fd2a43158d2cb4fc0f662b7575baeae65286f64")</f>
        <v>0</v>
      </c>
      <c r="D10026" t="s">
        <v>5077</v>
      </c>
      <c r="E10026" t="s">
        <v>6528</v>
      </c>
      <c r="F10026" t="s">
        <v>12599</v>
      </c>
      <c r="G10026" t="s">
        <v>16812</v>
      </c>
      <c r="H10026" t="s">
        <v>25093</v>
      </c>
    </row>
    <row r="10027" spans="1:8">
      <c r="H10027" t="s">
        <v>25094</v>
      </c>
    </row>
    <row r="10028" spans="1:8">
      <c r="H10028" t="s">
        <v>25095</v>
      </c>
    </row>
    <row r="10029" spans="1:8">
      <c r="H10029" t="s">
        <v>25096</v>
      </c>
    </row>
    <row r="10030" spans="1:8">
      <c r="A10030" t="s">
        <v>747</v>
      </c>
      <c r="B10030">
        <f>HYPERLINK("https://android.googlesource.com/platform/cts/+/34a0f63071d5ee96f8db3fa02f672fd6081eb4ef", "34a0f63071d5ee96f8db3fa02f672fd6081eb4ef")</f>
        <v>0</v>
      </c>
      <c r="C10030">
        <f>HYPERLINK("https://android.googlesource.com/platform/cts/+/010adaca67b8fa1a9af744782e840a7142ab5b7d", "010adaca67b8fa1a9af744782e840a7142ab5b7d")</f>
        <v>0</v>
      </c>
      <c r="D10030" t="s">
        <v>5030</v>
      </c>
      <c r="E10030" t="s">
        <v>6530</v>
      </c>
      <c r="F10030" t="s">
        <v>12606</v>
      </c>
      <c r="G10030" t="s">
        <v>16818</v>
      </c>
      <c r="H10030" t="s">
        <v>25098</v>
      </c>
    </row>
    <row r="10031" spans="1:8">
      <c r="H10031" t="s">
        <v>25099</v>
      </c>
    </row>
    <row r="10032" spans="1:8">
      <c r="A10032" t="s">
        <v>748</v>
      </c>
      <c r="B10032">
        <f>HYPERLINK("https://android.googlesource.com/platform/cts/+/faacd3e9325c6c32fceaf777a945a21007b59a16", "faacd3e9325c6c32fceaf777a945a21007b59a16")</f>
        <v>0</v>
      </c>
      <c r="C10032">
        <f>HYPERLINK("https://android.googlesource.com/platform/cts/+/0dccfe2f8ee2dc3197ca72a3f37d412dd491c99b", "0dccfe2f8ee2dc3197ca72a3f37d412dd491c99b")</f>
        <v>0</v>
      </c>
      <c r="D10032" t="s">
        <v>5081</v>
      </c>
      <c r="E10032" t="s">
        <v>6531</v>
      </c>
      <c r="F10032" t="s">
        <v>12607</v>
      </c>
      <c r="G10032" t="s">
        <v>16819</v>
      </c>
      <c r="H10032" t="s">
        <v>25100</v>
      </c>
    </row>
    <row r="10033" spans="1:8">
      <c r="H10033" t="s">
        <v>25101</v>
      </c>
    </row>
    <row r="10034" spans="1:8">
      <c r="H10034" t="s">
        <v>25102</v>
      </c>
    </row>
    <row r="10035" spans="1:8">
      <c r="A10035" t="s">
        <v>749</v>
      </c>
      <c r="B10035">
        <f>HYPERLINK("https://android.googlesource.com/platform/cts/+/0369e341c58ce683714a4ce2181dad0755e9f4f9", "0369e341c58ce683714a4ce2181dad0755e9f4f9")</f>
        <v>0</v>
      </c>
      <c r="C10035">
        <f>HYPERLINK("https://android.googlesource.com/platform/cts/+/7ade97ba3fd19737b64c4fc6aef6497a4eb5fb7b", "7ade97ba3fd19737b64c4fc6aef6497a4eb5fb7b")</f>
        <v>0</v>
      </c>
      <c r="D10035" t="s">
        <v>4997</v>
      </c>
      <c r="E10035" t="s">
        <v>6532</v>
      </c>
      <c r="F10035" t="s">
        <v>12191</v>
      </c>
      <c r="G10035" t="s">
        <v>16430</v>
      </c>
      <c r="H10035" t="s">
        <v>25105</v>
      </c>
    </row>
    <row r="10036" spans="1:8">
      <c r="A10036" t="s">
        <v>751</v>
      </c>
      <c r="B10036">
        <f>HYPERLINK("https://android.googlesource.com/platform/cts/+/c30bdbc6e992b53a9f12d50c5659a776e2da5a02", "c30bdbc6e992b53a9f12d50c5659a776e2da5a02")</f>
        <v>0</v>
      </c>
      <c r="C10036">
        <f>HYPERLINK("https://android.googlesource.com/platform/cts/+/fd61f1805c374867db63678062fec3c17d0ab956", "fd61f1805c374867db63678062fec3c17d0ab956")</f>
        <v>0</v>
      </c>
      <c r="D10036" t="s">
        <v>4987</v>
      </c>
      <c r="E10036" t="s">
        <v>6534</v>
      </c>
      <c r="F10036" t="s">
        <v>12371</v>
      </c>
      <c r="G10036" t="s">
        <v>16598</v>
      </c>
      <c r="H10036" t="s">
        <v>25110</v>
      </c>
    </row>
    <row r="10037" spans="1:8">
      <c r="H10037" t="s">
        <v>25111</v>
      </c>
    </row>
    <row r="10038" spans="1:8">
      <c r="H10038" t="s">
        <v>25112</v>
      </c>
    </row>
    <row r="10039" spans="1:8">
      <c r="H10039" t="s">
        <v>25113</v>
      </c>
    </row>
    <row r="10040" spans="1:8">
      <c r="H10040" t="s">
        <v>25114</v>
      </c>
    </row>
    <row r="10041" spans="1:8">
      <c r="H10041" t="s">
        <v>25115</v>
      </c>
    </row>
    <row r="10042" spans="1:8">
      <c r="H10042" t="s">
        <v>25116</v>
      </c>
    </row>
    <row r="10043" spans="1:8">
      <c r="H10043" t="s">
        <v>25117</v>
      </c>
    </row>
    <row r="10044" spans="1:8">
      <c r="H10044" t="s">
        <v>25118</v>
      </c>
    </row>
    <row r="10045" spans="1:8">
      <c r="H10045" t="s">
        <v>25119</v>
      </c>
    </row>
    <row r="10046" spans="1:8">
      <c r="H10046" t="s">
        <v>25120</v>
      </c>
    </row>
    <row r="10047" spans="1:8">
      <c r="H10047" t="s">
        <v>25121</v>
      </c>
    </row>
    <row r="10048" spans="1:8">
      <c r="H10048" t="s">
        <v>25122</v>
      </c>
    </row>
    <row r="10049" spans="8:8">
      <c r="H10049" t="s">
        <v>25123</v>
      </c>
    </row>
    <row r="10050" spans="8:8">
      <c r="H10050" t="s">
        <v>25124</v>
      </c>
    </row>
    <row r="10051" spans="8:8">
      <c r="H10051" t="s">
        <v>25125</v>
      </c>
    </row>
    <row r="10052" spans="8:8">
      <c r="H10052" t="s">
        <v>25126</v>
      </c>
    </row>
    <row r="10053" spans="8:8">
      <c r="H10053" t="s">
        <v>25127</v>
      </c>
    </row>
    <row r="10054" spans="8:8">
      <c r="H10054" t="s">
        <v>25128</v>
      </c>
    </row>
    <row r="10055" spans="8:8">
      <c r="H10055" t="s">
        <v>25129</v>
      </c>
    </row>
    <row r="10056" spans="8:8">
      <c r="H10056" t="s">
        <v>25130</v>
      </c>
    </row>
    <row r="10057" spans="8:8">
      <c r="H10057" t="s">
        <v>25131</v>
      </c>
    </row>
    <row r="10058" spans="8:8">
      <c r="H10058" t="s">
        <v>25132</v>
      </c>
    </row>
    <row r="10059" spans="8:8">
      <c r="H10059" t="s">
        <v>25133</v>
      </c>
    </row>
    <row r="10060" spans="8:8">
      <c r="H10060" t="s">
        <v>25134</v>
      </c>
    </row>
    <row r="10061" spans="8:8">
      <c r="H10061" t="s">
        <v>25135</v>
      </c>
    </row>
    <row r="10062" spans="8:8">
      <c r="H10062" t="s">
        <v>25136</v>
      </c>
    </row>
    <row r="10063" spans="8:8">
      <c r="H10063" t="s">
        <v>25137</v>
      </c>
    </row>
    <row r="10064" spans="8:8">
      <c r="H10064" t="s">
        <v>25138</v>
      </c>
    </row>
    <row r="10065" spans="8:8">
      <c r="H10065" t="s">
        <v>25139</v>
      </c>
    </row>
    <row r="10066" spans="8:8">
      <c r="H10066" t="s">
        <v>25140</v>
      </c>
    </row>
    <row r="10067" spans="8:8">
      <c r="H10067" t="s">
        <v>25141</v>
      </c>
    </row>
    <row r="10068" spans="8:8">
      <c r="H10068" t="s">
        <v>25142</v>
      </c>
    </row>
    <row r="10069" spans="8:8">
      <c r="H10069" t="s">
        <v>25143</v>
      </c>
    </row>
    <row r="10070" spans="8:8">
      <c r="H10070" t="s">
        <v>25144</v>
      </c>
    </row>
    <row r="10071" spans="8:8">
      <c r="H10071" t="s">
        <v>25145</v>
      </c>
    </row>
    <row r="10072" spans="8:8">
      <c r="H10072" t="s">
        <v>25146</v>
      </c>
    </row>
    <row r="10073" spans="8:8">
      <c r="H10073" t="s">
        <v>25147</v>
      </c>
    </row>
    <row r="10074" spans="8:8">
      <c r="H10074" t="s">
        <v>25148</v>
      </c>
    </row>
    <row r="10075" spans="8:8">
      <c r="H10075" t="s">
        <v>25149</v>
      </c>
    </row>
    <row r="10076" spans="8:8">
      <c r="H10076" t="s">
        <v>25150</v>
      </c>
    </row>
    <row r="10077" spans="8:8">
      <c r="H10077" t="s">
        <v>25151</v>
      </c>
    </row>
    <row r="10078" spans="8:8">
      <c r="H10078" t="s">
        <v>25152</v>
      </c>
    </row>
    <row r="10079" spans="8:8">
      <c r="H10079" t="s">
        <v>25153</v>
      </c>
    </row>
    <row r="10080" spans="8:8">
      <c r="H10080" t="s">
        <v>25154</v>
      </c>
    </row>
    <row r="10081" spans="8:8">
      <c r="H10081" t="s">
        <v>25155</v>
      </c>
    </row>
    <row r="10082" spans="8:8">
      <c r="H10082" t="s">
        <v>25156</v>
      </c>
    </row>
    <row r="10083" spans="8:8">
      <c r="H10083" t="s">
        <v>25157</v>
      </c>
    </row>
    <row r="10084" spans="8:8">
      <c r="H10084" t="s">
        <v>25158</v>
      </c>
    </row>
    <row r="10085" spans="8:8">
      <c r="H10085" t="s">
        <v>25159</v>
      </c>
    </row>
    <row r="10086" spans="8:8">
      <c r="H10086" t="s">
        <v>25160</v>
      </c>
    </row>
    <row r="10087" spans="8:8">
      <c r="H10087" t="s">
        <v>25161</v>
      </c>
    </row>
    <row r="10088" spans="8:8">
      <c r="H10088" t="s">
        <v>25162</v>
      </c>
    </row>
    <row r="10089" spans="8:8">
      <c r="H10089" t="s">
        <v>25163</v>
      </c>
    </row>
    <row r="10090" spans="8:8">
      <c r="H10090" t="s">
        <v>25164</v>
      </c>
    </row>
    <row r="10091" spans="8:8">
      <c r="H10091" t="s">
        <v>25165</v>
      </c>
    </row>
    <row r="10092" spans="8:8">
      <c r="H10092" t="s">
        <v>25166</v>
      </c>
    </row>
    <row r="10093" spans="8:8">
      <c r="H10093" t="s">
        <v>25167</v>
      </c>
    </row>
    <row r="10094" spans="8:8">
      <c r="H10094" t="s">
        <v>25168</v>
      </c>
    </row>
    <row r="10095" spans="8:8">
      <c r="H10095" t="s">
        <v>25169</v>
      </c>
    </row>
    <row r="10096" spans="8:8">
      <c r="H10096" t="s">
        <v>25170</v>
      </c>
    </row>
    <row r="10097" spans="8:8">
      <c r="H10097" t="s">
        <v>25171</v>
      </c>
    </row>
    <row r="10098" spans="8:8">
      <c r="H10098" t="s">
        <v>25172</v>
      </c>
    </row>
    <row r="10099" spans="8:8">
      <c r="H10099" t="s">
        <v>25173</v>
      </c>
    </row>
    <row r="10100" spans="8:8">
      <c r="H10100" t="s">
        <v>25174</v>
      </c>
    </row>
    <row r="10101" spans="8:8">
      <c r="H10101" t="s">
        <v>25175</v>
      </c>
    </row>
    <row r="10102" spans="8:8">
      <c r="H10102" t="s">
        <v>25176</v>
      </c>
    </row>
    <row r="10103" spans="8:8">
      <c r="H10103" t="s">
        <v>25177</v>
      </c>
    </row>
    <row r="10104" spans="8:8">
      <c r="H10104" t="s">
        <v>25178</v>
      </c>
    </row>
    <row r="10105" spans="8:8">
      <c r="H10105" t="s">
        <v>25179</v>
      </c>
    </row>
    <row r="10106" spans="8:8">
      <c r="H10106" t="s">
        <v>25180</v>
      </c>
    </row>
    <row r="10107" spans="8:8">
      <c r="H10107" t="s">
        <v>25181</v>
      </c>
    </row>
    <row r="10108" spans="8:8">
      <c r="H10108" t="s">
        <v>25182</v>
      </c>
    </row>
    <row r="10109" spans="8:8">
      <c r="H10109" t="s">
        <v>25183</v>
      </c>
    </row>
    <row r="10110" spans="8:8">
      <c r="H10110" t="s">
        <v>25184</v>
      </c>
    </row>
    <row r="10111" spans="8:8">
      <c r="H10111" t="s">
        <v>25185</v>
      </c>
    </row>
    <row r="10112" spans="8:8">
      <c r="H10112" t="s">
        <v>25186</v>
      </c>
    </row>
    <row r="10113" spans="8:8">
      <c r="H10113" t="s">
        <v>25187</v>
      </c>
    </row>
    <row r="10114" spans="8:8">
      <c r="H10114" t="s">
        <v>25188</v>
      </c>
    </row>
    <row r="10115" spans="8:8">
      <c r="H10115" t="s">
        <v>25189</v>
      </c>
    </row>
    <row r="10116" spans="8:8">
      <c r="H10116" t="s">
        <v>25190</v>
      </c>
    </row>
    <row r="10117" spans="8:8">
      <c r="H10117" t="s">
        <v>25191</v>
      </c>
    </row>
    <row r="10118" spans="8:8">
      <c r="H10118" t="s">
        <v>25192</v>
      </c>
    </row>
    <row r="10119" spans="8:8">
      <c r="H10119" t="s">
        <v>25193</v>
      </c>
    </row>
    <row r="10120" spans="8:8">
      <c r="H10120" t="s">
        <v>25194</v>
      </c>
    </row>
    <row r="10121" spans="8:8">
      <c r="H10121" t="s">
        <v>25195</v>
      </c>
    </row>
    <row r="10122" spans="8:8">
      <c r="H10122" t="s">
        <v>25196</v>
      </c>
    </row>
    <row r="10123" spans="8:8">
      <c r="H10123" t="s">
        <v>25197</v>
      </c>
    </row>
    <row r="10124" spans="8:8">
      <c r="H10124" t="s">
        <v>25198</v>
      </c>
    </row>
    <row r="10125" spans="8:8">
      <c r="H10125" t="s">
        <v>25199</v>
      </c>
    </row>
    <row r="10126" spans="8:8">
      <c r="H10126" t="s">
        <v>25200</v>
      </c>
    </row>
    <row r="10127" spans="8:8">
      <c r="H10127" t="s">
        <v>25201</v>
      </c>
    </row>
    <row r="10128" spans="8:8">
      <c r="H10128" t="s">
        <v>25202</v>
      </c>
    </row>
    <row r="10129" spans="8:8">
      <c r="H10129" t="s">
        <v>25203</v>
      </c>
    </row>
    <row r="10130" spans="8:8">
      <c r="H10130" t="s">
        <v>25204</v>
      </c>
    </row>
    <row r="10131" spans="8:8">
      <c r="H10131" t="s">
        <v>25205</v>
      </c>
    </row>
    <row r="10132" spans="8:8">
      <c r="H10132" t="s">
        <v>25206</v>
      </c>
    </row>
    <row r="10133" spans="8:8">
      <c r="H10133" t="s">
        <v>25207</v>
      </c>
    </row>
    <row r="10134" spans="8:8">
      <c r="H10134" t="s">
        <v>25208</v>
      </c>
    </row>
    <row r="10135" spans="8:8">
      <c r="H10135" t="s">
        <v>25209</v>
      </c>
    </row>
    <row r="10136" spans="8:8">
      <c r="H10136" t="s">
        <v>25210</v>
      </c>
    </row>
    <row r="10137" spans="8:8">
      <c r="H10137" t="s">
        <v>25211</v>
      </c>
    </row>
    <row r="10138" spans="8:8">
      <c r="H10138" t="s">
        <v>25212</v>
      </c>
    </row>
    <row r="10139" spans="8:8">
      <c r="H10139" t="s">
        <v>25213</v>
      </c>
    </row>
    <row r="10140" spans="8:8">
      <c r="H10140" t="s">
        <v>25214</v>
      </c>
    </row>
    <row r="10141" spans="8:8">
      <c r="H10141" t="s">
        <v>25215</v>
      </c>
    </row>
    <row r="10142" spans="8:8">
      <c r="H10142" t="s">
        <v>25216</v>
      </c>
    </row>
    <row r="10143" spans="8:8">
      <c r="H10143" t="s">
        <v>25217</v>
      </c>
    </row>
    <row r="10144" spans="8:8">
      <c r="H10144" t="s">
        <v>25218</v>
      </c>
    </row>
    <row r="10145" spans="8:8">
      <c r="H10145" t="s">
        <v>25219</v>
      </c>
    </row>
    <row r="10146" spans="8:8">
      <c r="H10146" t="s">
        <v>25220</v>
      </c>
    </row>
    <row r="10147" spans="8:8">
      <c r="H10147" t="s">
        <v>25221</v>
      </c>
    </row>
    <row r="10148" spans="8:8">
      <c r="H10148" t="s">
        <v>25222</v>
      </c>
    </row>
    <row r="10149" spans="8:8">
      <c r="H10149" t="s">
        <v>25223</v>
      </c>
    </row>
    <row r="10150" spans="8:8">
      <c r="H10150" t="s">
        <v>25224</v>
      </c>
    </row>
    <row r="10151" spans="8:8">
      <c r="H10151" t="s">
        <v>25225</v>
      </c>
    </row>
    <row r="10152" spans="8:8">
      <c r="H10152" t="s">
        <v>25226</v>
      </c>
    </row>
    <row r="10153" spans="8:8">
      <c r="H10153" t="s">
        <v>25227</v>
      </c>
    </row>
    <row r="10154" spans="8:8">
      <c r="H10154" t="s">
        <v>25228</v>
      </c>
    </row>
    <row r="10155" spans="8:8">
      <c r="H10155" t="s">
        <v>25229</v>
      </c>
    </row>
    <row r="10156" spans="8:8">
      <c r="H10156" t="s">
        <v>25230</v>
      </c>
    </row>
    <row r="10157" spans="8:8">
      <c r="H10157" t="s">
        <v>25231</v>
      </c>
    </row>
    <row r="10158" spans="8:8">
      <c r="H10158" t="s">
        <v>25232</v>
      </c>
    </row>
    <row r="10159" spans="8:8">
      <c r="H10159" t="s">
        <v>25233</v>
      </c>
    </row>
    <row r="10160" spans="8:8">
      <c r="H10160" t="s">
        <v>25234</v>
      </c>
    </row>
    <row r="10161" spans="8:8">
      <c r="H10161" t="s">
        <v>25235</v>
      </c>
    </row>
    <row r="10162" spans="8:8">
      <c r="H10162" t="s">
        <v>25236</v>
      </c>
    </row>
    <row r="10163" spans="8:8">
      <c r="H10163" t="s">
        <v>25237</v>
      </c>
    </row>
    <row r="10164" spans="8:8">
      <c r="H10164" t="s">
        <v>25238</v>
      </c>
    </row>
    <row r="10165" spans="8:8">
      <c r="H10165" t="s">
        <v>25239</v>
      </c>
    </row>
    <row r="10166" spans="8:8">
      <c r="H10166" t="s">
        <v>25240</v>
      </c>
    </row>
    <row r="10167" spans="8:8">
      <c r="H10167" t="s">
        <v>25241</v>
      </c>
    </row>
    <row r="10168" spans="8:8">
      <c r="H10168" t="s">
        <v>25242</v>
      </c>
    </row>
    <row r="10169" spans="8:8">
      <c r="H10169" t="s">
        <v>25243</v>
      </c>
    </row>
    <row r="10170" spans="8:8">
      <c r="H10170" t="s">
        <v>25244</v>
      </c>
    </row>
    <row r="10171" spans="8:8">
      <c r="H10171" t="s">
        <v>25245</v>
      </c>
    </row>
    <row r="10172" spans="8:8">
      <c r="H10172" t="s">
        <v>25246</v>
      </c>
    </row>
    <row r="10173" spans="8:8">
      <c r="H10173" t="s">
        <v>25247</v>
      </c>
    </row>
    <row r="10174" spans="8:8">
      <c r="H10174" t="s">
        <v>25248</v>
      </c>
    </row>
    <row r="10175" spans="8:8">
      <c r="H10175" t="s">
        <v>25249</v>
      </c>
    </row>
    <row r="10176" spans="8:8">
      <c r="H10176" t="s">
        <v>25250</v>
      </c>
    </row>
    <row r="10177" spans="8:8">
      <c r="H10177" t="s">
        <v>25251</v>
      </c>
    </row>
    <row r="10178" spans="8:8">
      <c r="H10178" t="s">
        <v>25252</v>
      </c>
    </row>
    <row r="10179" spans="8:8">
      <c r="H10179" t="s">
        <v>25253</v>
      </c>
    </row>
    <row r="10180" spans="8:8">
      <c r="H10180" t="s">
        <v>25254</v>
      </c>
    </row>
    <row r="10181" spans="8:8">
      <c r="H10181" t="s">
        <v>25255</v>
      </c>
    </row>
    <row r="10182" spans="8:8">
      <c r="H10182" t="s">
        <v>25256</v>
      </c>
    </row>
    <row r="10183" spans="8:8">
      <c r="H10183" t="s">
        <v>25257</v>
      </c>
    </row>
    <row r="10184" spans="8:8">
      <c r="H10184" t="s">
        <v>25258</v>
      </c>
    </row>
    <row r="10185" spans="8:8">
      <c r="H10185" t="s">
        <v>25259</v>
      </c>
    </row>
    <row r="10186" spans="8:8">
      <c r="H10186" t="s">
        <v>25260</v>
      </c>
    </row>
    <row r="10187" spans="8:8">
      <c r="H10187" t="s">
        <v>25261</v>
      </c>
    </row>
    <row r="10188" spans="8:8">
      <c r="H10188" t="s">
        <v>25262</v>
      </c>
    </row>
    <row r="10189" spans="8:8">
      <c r="H10189" t="s">
        <v>25263</v>
      </c>
    </row>
    <row r="10190" spans="8:8">
      <c r="H10190" t="s">
        <v>25264</v>
      </c>
    </row>
    <row r="10191" spans="8:8">
      <c r="H10191" t="s">
        <v>25265</v>
      </c>
    </row>
    <row r="10192" spans="8:8">
      <c r="H10192" t="s">
        <v>25266</v>
      </c>
    </row>
    <row r="10193" spans="8:8">
      <c r="H10193" t="s">
        <v>25267</v>
      </c>
    </row>
    <row r="10194" spans="8:8">
      <c r="H10194" t="s">
        <v>25268</v>
      </c>
    </row>
    <row r="10195" spans="8:8">
      <c r="H10195" t="s">
        <v>25269</v>
      </c>
    </row>
    <row r="10196" spans="8:8">
      <c r="H10196" t="s">
        <v>25270</v>
      </c>
    </row>
    <row r="10197" spans="8:8">
      <c r="H10197" t="s">
        <v>25271</v>
      </c>
    </row>
    <row r="10198" spans="8:8">
      <c r="H10198" t="s">
        <v>25272</v>
      </c>
    </row>
    <row r="10199" spans="8:8">
      <c r="H10199" t="s">
        <v>25273</v>
      </c>
    </row>
    <row r="10200" spans="8:8">
      <c r="H10200" t="s">
        <v>25274</v>
      </c>
    </row>
    <row r="10201" spans="8:8">
      <c r="H10201" t="s">
        <v>25275</v>
      </c>
    </row>
    <row r="10202" spans="8:8">
      <c r="H10202" t="s">
        <v>25276</v>
      </c>
    </row>
    <row r="10203" spans="8:8">
      <c r="H10203" t="s">
        <v>25277</v>
      </c>
    </row>
    <row r="10204" spans="8:8">
      <c r="H10204" t="s">
        <v>25278</v>
      </c>
    </row>
    <row r="10205" spans="8:8">
      <c r="H10205" t="s">
        <v>25279</v>
      </c>
    </row>
    <row r="10206" spans="8:8">
      <c r="H10206" t="s">
        <v>25280</v>
      </c>
    </row>
    <row r="10207" spans="8:8">
      <c r="H10207" t="s">
        <v>25281</v>
      </c>
    </row>
    <row r="10208" spans="8:8">
      <c r="H10208" t="s">
        <v>25282</v>
      </c>
    </row>
    <row r="10209" spans="8:8">
      <c r="H10209" t="s">
        <v>25283</v>
      </c>
    </row>
    <row r="10210" spans="8:8">
      <c r="H10210" t="s">
        <v>25284</v>
      </c>
    </row>
    <row r="10211" spans="8:8">
      <c r="H10211" t="s">
        <v>25285</v>
      </c>
    </row>
    <row r="10212" spans="8:8">
      <c r="H10212" t="s">
        <v>25286</v>
      </c>
    </row>
    <row r="10213" spans="8:8">
      <c r="H10213" t="s">
        <v>25287</v>
      </c>
    </row>
    <row r="10214" spans="8:8">
      <c r="H10214" t="s">
        <v>25288</v>
      </c>
    </row>
    <row r="10215" spans="8:8">
      <c r="H10215" t="s">
        <v>25289</v>
      </c>
    </row>
    <row r="10216" spans="8:8">
      <c r="H10216" t="s">
        <v>25290</v>
      </c>
    </row>
    <row r="10217" spans="8:8">
      <c r="H10217" t="s">
        <v>25291</v>
      </c>
    </row>
    <row r="10218" spans="8:8">
      <c r="H10218" t="s">
        <v>25292</v>
      </c>
    </row>
    <row r="10219" spans="8:8">
      <c r="H10219" t="s">
        <v>25293</v>
      </c>
    </row>
    <row r="10220" spans="8:8">
      <c r="H10220" t="s">
        <v>25294</v>
      </c>
    </row>
    <row r="10221" spans="8:8">
      <c r="H10221" t="s">
        <v>25295</v>
      </c>
    </row>
    <row r="10222" spans="8:8">
      <c r="H10222" t="s">
        <v>25296</v>
      </c>
    </row>
    <row r="10223" spans="8:8">
      <c r="H10223" t="s">
        <v>25297</v>
      </c>
    </row>
    <row r="10224" spans="8:8">
      <c r="H10224" t="s">
        <v>25298</v>
      </c>
    </row>
    <row r="10225" spans="8:8">
      <c r="H10225" t="s">
        <v>25299</v>
      </c>
    </row>
    <row r="10226" spans="8:8">
      <c r="H10226" t="s">
        <v>25300</v>
      </c>
    </row>
    <row r="10227" spans="8:8">
      <c r="H10227" t="s">
        <v>25301</v>
      </c>
    </row>
    <row r="10228" spans="8:8">
      <c r="H10228" t="s">
        <v>25302</v>
      </c>
    </row>
    <row r="10229" spans="8:8">
      <c r="H10229" t="s">
        <v>25303</v>
      </c>
    </row>
    <row r="10230" spans="8:8">
      <c r="H10230" t="s">
        <v>25304</v>
      </c>
    </row>
    <row r="10231" spans="8:8">
      <c r="H10231" t="s">
        <v>25305</v>
      </c>
    </row>
    <row r="10232" spans="8:8">
      <c r="H10232" t="s">
        <v>25306</v>
      </c>
    </row>
    <row r="10233" spans="8:8">
      <c r="H10233" t="s">
        <v>25307</v>
      </c>
    </row>
    <row r="10234" spans="8:8">
      <c r="H10234" t="s">
        <v>25308</v>
      </c>
    </row>
    <row r="10235" spans="8:8">
      <c r="H10235" t="s">
        <v>25309</v>
      </c>
    </row>
    <row r="10236" spans="8:8">
      <c r="H10236" t="s">
        <v>25310</v>
      </c>
    </row>
    <row r="10237" spans="8:8">
      <c r="H10237" t="s">
        <v>25311</v>
      </c>
    </row>
    <row r="10238" spans="8:8">
      <c r="H10238" t="s">
        <v>25312</v>
      </c>
    </row>
    <row r="10239" spans="8:8">
      <c r="H10239" t="s">
        <v>25313</v>
      </c>
    </row>
    <row r="10240" spans="8:8">
      <c r="H10240" t="s">
        <v>25314</v>
      </c>
    </row>
    <row r="10241" spans="8:8">
      <c r="H10241" t="s">
        <v>25315</v>
      </c>
    </row>
    <row r="10242" spans="8:8">
      <c r="H10242" t="s">
        <v>25316</v>
      </c>
    </row>
    <row r="10243" spans="8:8">
      <c r="H10243" t="s">
        <v>25317</v>
      </c>
    </row>
    <row r="10244" spans="8:8">
      <c r="H10244" t="s">
        <v>25318</v>
      </c>
    </row>
    <row r="10245" spans="8:8">
      <c r="H10245" t="s">
        <v>25319</v>
      </c>
    </row>
    <row r="10246" spans="8:8">
      <c r="H10246" t="s">
        <v>25320</v>
      </c>
    </row>
    <row r="10247" spans="8:8">
      <c r="H10247" t="s">
        <v>25321</v>
      </c>
    </row>
    <row r="10248" spans="8:8">
      <c r="H10248" t="s">
        <v>25322</v>
      </c>
    </row>
    <row r="10249" spans="8:8">
      <c r="H10249" t="s">
        <v>25323</v>
      </c>
    </row>
    <row r="10250" spans="8:8">
      <c r="H10250" t="s">
        <v>25324</v>
      </c>
    </row>
    <row r="10251" spans="8:8">
      <c r="H10251" t="s">
        <v>25325</v>
      </c>
    </row>
    <row r="10252" spans="8:8">
      <c r="H10252" t="s">
        <v>25326</v>
      </c>
    </row>
    <row r="10253" spans="8:8">
      <c r="H10253" t="s">
        <v>25327</v>
      </c>
    </row>
    <row r="10254" spans="8:8">
      <c r="H10254" t="s">
        <v>25328</v>
      </c>
    </row>
    <row r="10255" spans="8:8">
      <c r="H10255" t="s">
        <v>25329</v>
      </c>
    </row>
    <row r="10256" spans="8:8">
      <c r="H10256" t="s">
        <v>25330</v>
      </c>
    </row>
    <row r="10257" spans="8:8">
      <c r="H10257" t="s">
        <v>25331</v>
      </c>
    </row>
    <row r="10258" spans="8:8">
      <c r="H10258" t="s">
        <v>25332</v>
      </c>
    </row>
    <row r="10259" spans="8:8">
      <c r="H10259" t="s">
        <v>25333</v>
      </c>
    </row>
    <row r="10260" spans="8:8">
      <c r="H10260" t="s">
        <v>25334</v>
      </c>
    </row>
    <row r="10261" spans="8:8">
      <c r="H10261" t="s">
        <v>25335</v>
      </c>
    </row>
    <row r="10262" spans="8:8">
      <c r="H10262" t="s">
        <v>25336</v>
      </c>
    </row>
    <row r="10263" spans="8:8">
      <c r="H10263" t="s">
        <v>25337</v>
      </c>
    </row>
    <row r="10264" spans="8:8">
      <c r="H10264" t="s">
        <v>25338</v>
      </c>
    </row>
    <row r="10265" spans="8:8">
      <c r="H10265" t="s">
        <v>25339</v>
      </c>
    </row>
    <row r="10266" spans="8:8">
      <c r="H10266" t="s">
        <v>25340</v>
      </c>
    </row>
    <row r="10267" spans="8:8">
      <c r="H10267" t="s">
        <v>25341</v>
      </c>
    </row>
    <row r="10268" spans="8:8">
      <c r="H10268" t="s">
        <v>25342</v>
      </c>
    </row>
    <row r="10269" spans="8:8">
      <c r="H10269" t="s">
        <v>25343</v>
      </c>
    </row>
    <row r="10270" spans="8:8">
      <c r="H10270" t="s">
        <v>25344</v>
      </c>
    </row>
    <row r="10271" spans="8:8">
      <c r="H10271" t="s">
        <v>25345</v>
      </c>
    </row>
    <row r="10272" spans="8:8">
      <c r="H10272" t="s">
        <v>25346</v>
      </c>
    </row>
    <row r="10273" spans="8:8">
      <c r="H10273" t="s">
        <v>25347</v>
      </c>
    </row>
    <row r="10274" spans="8:8">
      <c r="H10274" t="s">
        <v>25348</v>
      </c>
    </row>
    <row r="10275" spans="8:8">
      <c r="H10275" t="s">
        <v>25349</v>
      </c>
    </row>
    <row r="10276" spans="8:8">
      <c r="H10276" t="s">
        <v>25350</v>
      </c>
    </row>
    <row r="10277" spans="8:8">
      <c r="H10277" t="s">
        <v>25351</v>
      </c>
    </row>
    <row r="10278" spans="8:8">
      <c r="H10278" t="s">
        <v>25352</v>
      </c>
    </row>
    <row r="10279" spans="8:8">
      <c r="H10279" t="s">
        <v>25353</v>
      </c>
    </row>
    <row r="10280" spans="8:8">
      <c r="H10280" t="s">
        <v>25354</v>
      </c>
    </row>
    <row r="10281" spans="8:8">
      <c r="H10281" t="s">
        <v>25355</v>
      </c>
    </row>
    <row r="10282" spans="8:8">
      <c r="H10282" t="s">
        <v>25356</v>
      </c>
    </row>
    <row r="10283" spans="8:8">
      <c r="H10283" t="s">
        <v>25357</v>
      </c>
    </row>
    <row r="10284" spans="8:8">
      <c r="H10284" t="s">
        <v>25358</v>
      </c>
    </row>
    <row r="10285" spans="8:8">
      <c r="H10285" t="s">
        <v>25359</v>
      </c>
    </row>
    <row r="10286" spans="8:8">
      <c r="H10286" t="s">
        <v>25360</v>
      </c>
    </row>
    <row r="10287" spans="8:8">
      <c r="H10287" t="s">
        <v>25361</v>
      </c>
    </row>
    <row r="10288" spans="8:8">
      <c r="H10288" t="s">
        <v>25362</v>
      </c>
    </row>
    <row r="10289" spans="8:8">
      <c r="H10289" t="s">
        <v>25363</v>
      </c>
    </row>
    <row r="10290" spans="8:8">
      <c r="H10290" t="s">
        <v>25364</v>
      </c>
    </row>
    <row r="10291" spans="8:8">
      <c r="H10291" t="s">
        <v>25365</v>
      </c>
    </row>
    <row r="10292" spans="8:8">
      <c r="H10292" t="s">
        <v>25366</v>
      </c>
    </row>
    <row r="10293" spans="8:8">
      <c r="H10293" t="s">
        <v>25367</v>
      </c>
    </row>
    <row r="10294" spans="8:8">
      <c r="H10294" t="s">
        <v>25368</v>
      </c>
    </row>
    <row r="10295" spans="8:8">
      <c r="H10295" t="s">
        <v>25369</v>
      </c>
    </row>
    <row r="10296" spans="8:8">
      <c r="H10296" t="s">
        <v>25370</v>
      </c>
    </row>
    <row r="10297" spans="8:8">
      <c r="H10297" t="s">
        <v>25371</v>
      </c>
    </row>
    <row r="10298" spans="8:8">
      <c r="H10298" t="s">
        <v>25372</v>
      </c>
    </row>
    <row r="10299" spans="8:8">
      <c r="H10299" t="s">
        <v>25373</v>
      </c>
    </row>
    <row r="10300" spans="8:8">
      <c r="H10300" t="s">
        <v>25374</v>
      </c>
    </row>
    <row r="10301" spans="8:8">
      <c r="H10301" t="s">
        <v>25375</v>
      </c>
    </row>
    <row r="10302" spans="8:8">
      <c r="H10302" t="s">
        <v>25376</v>
      </c>
    </row>
    <row r="10303" spans="8:8">
      <c r="H10303" t="s">
        <v>25377</v>
      </c>
    </row>
    <row r="10304" spans="8:8">
      <c r="H10304" t="s">
        <v>25378</v>
      </c>
    </row>
    <row r="10305" spans="8:8">
      <c r="H10305" t="s">
        <v>25379</v>
      </c>
    </row>
    <row r="10306" spans="8:8">
      <c r="H10306" t="s">
        <v>25380</v>
      </c>
    </row>
    <row r="10307" spans="8:8">
      <c r="H10307" t="s">
        <v>25381</v>
      </c>
    </row>
    <row r="10308" spans="8:8">
      <c r="H10308" t="s">
        <v>25382</v>
      </c>
    </row>
    <row r="10309" spans="8:8">
      <c r="H10309" t="s">
        <v>25383</v>
      </c>
    </row>
    <row r="10310" spans="8:8">
      <c r="H10310" t="s">
        <v>25384</v>
      </c>
    </row>
    <row r="10311" spans="8:8">
      <c r="H10311" t="s">
        <v>25385</v>
      </c>
    </row>
    <row r="10312" spans="8:8">
      <c r="H10312" t="s">
        <v>25386</v>
      </c>
    </row>
    <row r="10313" spans="8:8">
      <c r="H10313" t="s">
        <v>25387</v>
      </c>
    </row>
    <row r="10314" spans="8:8">
      <c r="H10314" t="s">
        <v>25388</v>
      </c>
    </row>
    <row r="10315" spans="8:8">
      <c r="H10315" t="s">
        <v>25389</v>
      </c>
    </row>
    <row r="10316" spans="8:8">
      <c r="H10316" t="s">
        <v>25390</v>
      </c>
    </row>
    <row r="10317" spans="8:8">
      <c r="H10317" t="s">
        <v>25391</v>
      </c>
    </row>
    <row r="10318" spans="8:8">
      <c r="H10318" t="s">
        <v>25392</v>
      </c>
    </row>
    <row r="10319" spans="8:8">
      <c r="H10319" t="s">
        <v>25393</v>
      </c>
    </row>
    <row r="10320" spans="8:8">
      <c r="H10320" t="s">
        <v>25394</v>
      </c>
    </row>
    <row r="10321" spans="8:8">
      <c r="H10321" t="s">
        <v>25395</v>
      </c>
    </row>
    <row r="10322" spans="8:8">
      <c r="H10322" t="s">
        <v>25396</v>
      </c>
    </row>
    <row r="10323" spans="8:8">
      <c r="H10323" t="s">
        <v>25397</v>
      </c>
    </row>
    <row r="10324" spans="8:8">
      <c r="H10324" t="s">
        <v>25398</v>
      </c>
    </row>
    <row r="10325" spans="8:8">
      <c r="H10325" t="s">
        <v>25399</v>
      </c>
    </row>
    <row r="10326" spans="8:8">
      <c r="H10326" t="s">
        <v>25400</v>
      </c>
    </row>
    <row r="10327" spans="8:8">
      <c r="H10327" t="s">
        <v>25401</v>
      </c>
    </row>
    <row r="10328" spans="8:8">
      <c r="H10328" t="s">
        <v>25402</v>
      </c>
    </row>
    <row r="10329" spans="8:8">
      <c r="H10329" t="s">
        <v>25403</v>
      </c>
    </row>
    <row r="10330" spans="8:8">
      <c r="H10330" t="s">
        <v>25404</v>
      </c>
    </row>
    <row r="10331" spans="8:8">
      <c r="H10331" t="s">
        <v>25405</v>
      </c>
    </row>
    <row r="10332" spans="8:8">
      <c r="H10332" t="s">
        <v>25406</v>
      </c>
    </row>
    <row r="10333" spans="8:8">
      <c r="H10333" t="s">
        <v>25407</v>
      </c>
    </row>
    <row r="10334" spans="8:8">
      <c r="H10334" t="s">
        <v>25408</v>
      </c>
    </row>
    <row r="10335" spans="8:8">
      <c r="H10335" t="s">
        <v>25409</v>
      </c>
    </row>
    <row r="10336" spans="8:8">
      <c r="H10336" t="s">
        <v>25410</v>
      </c>
    </row>
    <row r="10337" spans="8:8">
      <c r="H10337" t="s">
        <v>25411</v>
      </c>
    </row>
    <row r="10338" spans="8:8">
      <c r="H10338" t="s">
        <v>25412</v>
      </c>
    </row>
    <row r="10339" spans="8:8">
      <c r="H10339" t="s">
        <v>25413</v>
      </c>
    </row>
    <row r="10340" spans="8:8">
      <c r="H10340" t="s">
        <v>25414</v>
      </c>
    </row>
    <row r="10341" spans="8:8">
      <c r="H10341" t="s">
        <v>25415</v>
      </c>
    </row>
    <row r="10342" spans="8:8">
      <c r="H10342" t="s">
        <v>25416</v>
      </c>
    </row>
    <row r="10343" spans="8:8">
      <c r="H10343" t="s">
        <v>25417</v>
      </c>
    </row>
    <row r="10344" spans="8:8">
      <c r="H10344" t="s">
        <v>25418</v>
      </c>
    </row>
    <row r="10345" spans="8:8">
      <c r="H10345" t="s">
        <v>25419</v>
      </c>
    </row>
    <row r="10346" spans="8:8">
      <c r="H10346" t="s">
        <v>25420</v>
      </c>
    </row>
    <row r="10347" spans="8:8">
      <c r="H10347" t="s">
        <v>25421</v>
      </c>
    </row>
    <row r="10348" spans="8:8">
      <c r="H10348" t="s">
        <v>25422</v>
      </c>
    </row>
    <row r="10349" spans="8:8">
      <c r="H10349" t="s">
        <v>25423</v>
      </c>
    </row>
    <row r="10350" spans="8:8">
      <c r="H10350" t="s">
        <v>25424</v>
      </c>
    </row>
    <row r="10351" spans="8:8">
      <c r="H10351" t="s">
        <v>25425</v>
      </c>
    </row>
    <row r="10352" spans="8:8">
      <c r="H10352" t="s">
        <v>25426</v>
      </c>
    </row>
    <row r="10353" spans="8:8">
      <c r="H10353" t="s">
        <v>25427</v>
      </c>
    </row>
    <row r="10354" spans="8:8">
      <c r="H10354" t="s">
        <v>25428</v>
      </c>
    </row>
    <row r="10355" spans="8:8">
      <c r="H10355" t="s">
        <v>25429</v>
      </c>
    </row>
    <row r="10356" spans="8:8">
      <c r="H10356" t="s">
        <v>25430</v>
      </c>
    </row>
    <row r="10357" spans="8:8">
      <c r="H10357" t="s">
        <v>25431</v>
      </c>
    </row>
    <row r="10358" spans="8:8">
      <c r="H10358" t="s">
        <v>25432</v>
      </c>
    </row>
    <row r="10359" spans="8:8">
      <c r="H10359" t="s">
        <v>25433</v>
      </c>
    </row>
    <row r="10360" spans="8:8">
      <c r="H10360" t="s">
        <v>25434</v>
      </c>
    </row>
    <row r="10361" spans="8:8">
      <c r="H10361" t="s">
        <v>25435</v>
      </c>
    </row>
    <row r="10362" spans="8:8">
      <c r="H10362" t="s">
        <v>25436</v>
      </c>
    </row>
    <row r="10363" spans="8:8">
      <c r="H10363" t="s">
        <v>25437</v>
      </c>
    </row>
    <row r="10364" spans="8:8">
      <c r="H10364" t="s">
        <v>25438</v>
      </c>
    </row>
    <row r="10365" spans="8:8">
      <c r="H10365" t="s">
        <v>25439</v>
      </c>
    </row>
    <row r="10366" spans="8:8">
      <c r="H10366" t="s">
        <v>25440</v>
      </c>
    </row>
    <row r="10367" spans="8:8">
      <c r="H10367" t="s">
        <v>25441</v>
      </c>
    </row>
    <row r="10368" spans="8:8">
      <c r="H10368" t="s">
        <v>25442</v>
      </c>
    </row>
    <row r="10369" spans="8:8">
      <c r="H10369" t="s">
        <v>25443</v>
      </c>
    </row>
    <row r="10370" spans="8:8">
      <c r="H10370" t="s">
        <v>25444</v>
      </c>
    </row>
    <row r="10371" spans="8:8">
      <c r="H10371" t="s">
        <v>25445</v>
      </c>
    </row>
    <row r="10372" spans="8:8">
      <c r="H10372" t="s">
        <v>25446</v>
      </c>
    </row>
    <row r="10373" spans="8:8">
      <c r="H10373" t="s">
        <v>25447</v>
      </c>
    </row>
    <row r="10374" spans="8:8">
      <c r="H10374" t="s">
        <v>25448</v>
      </c>
    </row>
    <row r="10375" spans="8:8">
      <c r="H10375" t="s">
        <v>25449</v>
      </c>
    </row>
    <row r="10376" spans="8:8">
      <c r="H10376" t="s">
        <v>25450</v>
      </c>
    </row>
    <row r="10377" spans="8:8">
      <c r="H10377" t="s">
        <v>25451</v>
      </c>
    </row>
    <row r="10378" spans="8:8">
      <c r="H10378" t="s">
        <v>25452</v>
      </c>
    </row>
    <row r="10379" spans="8:8">
      <c r="H10379" t="s">
        <v>25453</v>
      </c>
    </row>
    <row r="10380" spans="8:8">
      <c r="H10380" t="s">
        <v>25454</v>
      </c>
    </row>
    <row r="10381" spans="8:8">
      <c r="H10381" t="s">
        <v>25455</v>
      </c>
    </row>
    <row r="10382" spans="8:8">
      <c r="H10382" t="s">
        <v>25456</v>
      </c>
    </row>
    <row r="10383" spans="8:8">
      <c r="H10383" t="s">
        <v>25457</v>
      </c>
    </row>
    <row r="10384" spans="8:8">
      <c r="H10384" t="s">
        <v>25458</v>
      </c>
    </row>
    <row r="10385" spans="1:8">
      <c r="H10385" t="s">
        <v>25459</v>
      </c>
    </row>
    <row r="10386" spans="1:8">
      <c r="H10386" t="s">
        <v>25460</v>
      </c>
    </row>
    <row r="10387" spans="1:8">
      <c r="H10387" t="s">
        <v>25461</v>
      </c>
    </row>
    <row r="10388" spans="1:8">
      <c r="A10388" t="s">
        <v>752</v>
      </c>
      <c r="B10388">
        <f>HYPERLINK("https://android.googlesource.com/platform/cts/+/cba454795e4c233d82b7aec02b96bc259d0de86f", "cba454795e4c233d82b7aec02b96bc259d0de86f")</f>
        <v>0</v>
      </c>
      <c r="C10388">
        <f>HYPERLINK("https://android.googlesource.com/platform/cts/+/66f2eb8da0252e2a18ae78b405ee99c1b6fc1f45", "66f2eb8da0252e2a18ae78b405ee99c1b6fc1f45")</f>
        <v>0</v>
      </c>
      <c r="D10388" t="s">
        <v>5082</v>
      </c>
      <c r="E10388" t="s">
        <v>6535</v>
      </c>
      <c r="F10388" t="s">
        <v>12608</v>
      </c>
      <c r="G10388" t="s">
        <v>16820</v>
      </c>
      <c r="H10388" t="s">
        <v>25462</v>
      </c>
    </row>
    <row r="10389" spans="1:8">
      <c r="H10389" t="s">
        <v>25463</v>
      </c>
    </row>
    <row r="10390" spans="1:8">
      <c r="H10390" t="s">
        <v>25464</v>
      </c>
    </row>
    <row r="10391" spans="1:8">
      <c r="H10391" t="s">
        <v>25465</v>
      </c>
    </row>
    <row r="10392" spans="1:8">
      <c r="A10392" t="s">
        <v>753</v>
      </c>
      <c r="B10392">
        <f>HYPERLINK("https://android.googlesource.com/platform/cts/+/91611e14f0e94c819be7490997c2ee15da62b609", "91611e14f0e94c819be7490997c2ee15da62b609")</f>
        <v>0</v>
      </c>
      <c r="C10392">
        <f>HYPERLINK("https://android.googlesource.com/platform/cts/+/6f810d464adad59709687428546b53a7784b92ec", "6f810d464adad59709687428546b53a7784b92ec")</f>
        <v>0</v>
      </c>
      <c r="D10392" t="s">
        <v>5083</v>
      </c>
      <c r="E10392" t="s">
        <v>6536</v>
      </c>
      <c r="F10392" t="s">
        <v>12419</v>
      </c>
      <c r="G10392" t="s">
        <v>16641</v>
      </c>
      <c r="H10392" t="s">
        <v>25466</v>
      </c>
    </row>
    <row r="10393" spans="1:8">
      <c r="A10393" t="s">
        <v>761</v>
      </c>
      <c r="B10393">
        <f>HYPERLINK("https://android.googlesource.com/platform/cts/+/1b210a331cb9602e6be6b94c8e24dd474de2b564", "1b210a331cb9602e6be6b94c8e24dd474de2b564")</f>
        <v>0</v>
      </c>
      <c r="C10393">
        <f>HYPERLINK("https://android.googlesource.com/platform/cts/+/b8ae56db34b60a8a94ab7bee316be9a16181f830", "b8ae56db34b60a8a94ab7bee316be9a16181f830")</f>
        <v>0</v>
      </c>
      <c r="D10393" t="s">
        <v>5086</v>
      </c>
      <c r="E10393" t="s">
        <v>6543</v>
      </c>
      <c r="F10393" t="s">
        <v>12612</v>
      </c>
      <c r="G10393" t="s">
        <v>16823</v>
      </c>
      <c r="H10393" t="s">
        <v>25473</v>
      </c>
    </row>
    <row r="10394" spans="1:8">
      <c r="H10394" t="s">
        <v>25474</v>
      </c>
    </row>
    <row r="10395" spans="1:8">
      <c r="A10395" t="s">
        <v>763</v>
      </c>
      <c r="B10395">
        <f>HYPERLINK("https://android.googlesource.com/platform/cts/+/76f0d6d67fa01d4d0355fdab09429f7363c95c88", "76f0d6d67fa01d4d0355fdab09429f7363c95c88")</f>
        <v>0</v>
      </c>
      <c r="C10395">
        <f>HYPERLINK("https://android.googlesource.com/platform/cts/+/f1210482f999d58dc442d8d0717b3dfee4fcd386", "f1210482f999d58dc442d8d0717b3dfee4fcd386")</f>
        <v>0</v>
      </c>
      <c r="D10395" t="s">
        <v>5002</v>
      </c>
      <c r="E10395" t="s">
        <v>6545</v>
      </c>
      <c r="F10395" t="s">
        <v>12615</v>
      </c>
      <c r="G10395" t="s">
        <v>16826</v>
      </c>
      <c r="H10395" t="s">
        <v>25477</v>
      </c>
    </row>
    <row r="10396" spans="1:8">
      <c r="A10396" t="s">
        <v>765</v>
      </c>
      <c r="B10396">
        <f>HYPERLINK("https://android.googlesource.com/platform/cts/+/0c8aadfc3a80e2df2a4b7f1c32e52ee5d4cb3441", "0c8aadfc3a80e2df2a4b7f1c32e52ee5d4cb3441")</f>
        <v>0</v>
      </c>
      <c r="C10396">
        <f>HYPERLINK("https://android.googlesource.com/platform/cts/+/5f2f1a16fd7d7dfd5dbe23792ecb52775ae78e3f", "5f2f1a16fd7d7dfd5dbe23792ecb52775ae78e3f")</f>
        <v>0</v>
      </c>
      <c r="D10396" t="s">
        <v>5088</v>
      </c>
      <c r="E10396" t="s">
        <v>6547</v>
      </c>
      <c r="F10396" t="s">
        <v>12187</v>
      </c>
      <c r="G10396" t="s">
        <v>16426</v>
      </c>
      <c r="H10396" t="s">
        <v>25478</v>
      </c>
    </row>
    <row r="10397" spans="1:8">
      <c r="A10397" t="s">
        <v>768</v>
      </c>
      <c r="B10397">
        <f>HYPERLINK("https://android.googlesource.com/platform/cts/+/fbdb8cba50e12f2c4a55ddde3dfb77262233b28d", "fbdb8cba50e12f2c4a55ddde3dfb77262233b28d")</f>
        <v>0</v>
      </c>
      <c r="C10397">
        <f>HYPERLINK("https://android.googlesource.com/platform/cts/+/3364cf1e0a6beaf89067a654ffc3745af31c6acd", "3364cf1e0a6beaf89067a654ffc3745af31c6acd")</f>
        <v>0</v>
      </c>
      <c r="D10397" t="s">
        <v>5026</v>
      </c>
      <c r="E10397" t="s">
        <v>6550</v>
      </c>
      <c r="F10397" t="s">
        <v>12616</v>
      </c>
      <c r="G10397" t="s">
        <v>16827</v>
      </c>
      <c r="H10397" t="s">
        <v>25487</v>
      </c>
    </row>
    <row r="10398" spans="1:8">
      <c r="H10398" t="s">
        <v>25488</v>
      </c>
    </row>
    <row r="10399" spans="1:8">
      <c r="A10399" t="s">
        <v>771</v>
      </c>
      <c r="B10399">
        <f>HYPERLINK("https://android.googlesource.com/platform/cts/+/9db219d0cd071d9955fba1f195c2fae9ed561b56", "9db219d0cd071d9955fba1f195c2fae9ed561b56")</f>
        <v>0</v>
      </c>
      <c r="C10399">
        <f>HYPERLINK("https://android.googlesource.com/platform/cts/+/28a108a98c743d1bed0d04cdffd089ef55c6cd4b", "28a108a98c743d1bed0d04cdffd089ef55c6cd4b")</f>
        <v>0</v>
      </c>
      <c r="D10399" t="s">
        <v>5089</v>
      </c>
      <c r="E10399" t="s">
        <v>6553</v>
      </c>
      <c r="F10399" t="s">
        <v>10668</v>
      </c>
      <c r="G10399" t="s">
        <v>15069</v>
      </c>
      <c r="H10399" t="s">
        <v>25494</v>
      </c>
    </row>
    <row r="10400" spans="1:8">
      <c r="H10400" t="s">
        <v>25495</v>
      </c>
    </row>
    <row r="10401" spans="1:8">
      <c r="H10401" t="s">
        <v>25496</v>
      </c>
    </row>
    <row r="10402" spans="1:8">
      <c r="A10402" t="s">
        <v>772</v>
      </c>
      <c r="B10402">
        <f>HYPERLINK("https://android.googlesource.com/platform/cts/+/5ae19e157ee023aa6ed2af8bb88e3dafb30efd27", "5ae19e157ee023aa6ed2af8bb88e3dafb30efd27")</f>
        <v>0</v>
      </c>
      <c r="C10402">
        <f>HYPERLINK("https://android.googlesource.com/platform/cts/+/d4f6589de0cd5a2bf21bcfdbedd40ad90c2de41e", "d4f6589de0cd5a2bf21bcfdbedd40ad90c2de41e")</f>
        <v>0</v>
      </c>
      <c r="D10402" t="s">
        <v>5002</v>
      </c>
      <c r="E10402" t="s">
        <v>6554</v>
      </c>
      <c r="F10402" t="s">
        <v>12620</v>
      </c>
      <c r="G10402" t="s">
        <v>16830</v>
      </c>
      <c r="H10402" t="s">
        <v>25498</v>
      </c>
    </row>
    <row r="10403" spans="1:8">
      <c r="H10403" t="s">
        <v>25499</v>
      </c>
    </row>
    <row r="10404" spans="1:8">
      <c r="A10404" t="s">
        <v>775</v>
      </c>
      <c r="B10404">
        <f>HYPERLINK("https://android.googlesource.com/platform/cts/+/5fbf3724d112898002730fffbaf6ea382ba66e88", "5fbf3724d112898002730fffbaf6ea382ba66e88")</f>
        <v>0</v>
      </c>
      <c r="C10404">
        <f>HYPERLINK("https://android.googlesource.com/platform/cts/+/9db219d0cd071d9955fba1f195c2fae9ed561b56", "9db219d0cd071d9955fba1f195c2fae9ed561b56")</f>
        <v>0</v>
      </c>
      <c r="D10404" t="s">
        <v>5086</v>
      </c>
      <c r="E10404" t="s">
        <v>6557</v>
      </c>
      <c r="F10404" t="s">
        <v>12612</v>
      </c>
      <c r="G10404" t="s">
        <v>16823</v>
      </c>
      <c r="H10404" t="s">
        <v>25513</v>
      </c>
    </row>
    <row r="10405" spans="1:8">
      <c r="A10405" t="s">
        <v>776</v>
      </c>
      <c r="B10405">
        <f>HYPERLINK("https://android.googlesource.com/platform/cts/+/2d42dbc7f6d47315dfd60db6e68d6f71717978d8", "2d42dbc7f6d47315dfd60db6e68d6f71717978d8")</f>
        <v>0</v>
      </c>
      <c r="C10405">
        <f>HYPERLINK("https://android.googlesource.com/platform/cts/+/ee9451080c90ced53e83e8e08a77009030e5a681", "ee9451080c90ced53e83e8e08a77009030e5a681")</f>
        <v>0</v>
      </c>
      <c r="D10405" t="s">
        <v>5090</v>
      </c>
      <c r="E10405" t="s">
        <v>6558</v>
      </c>
      <c r="F10405" t="s">
        <v>10740</v>
      </c>
      <c r="G10405" t="s">
        <v>15139</v>
      </c>
      <c r="H10405" t="s">
        <v>25514</v>
      </c>
    </row>
    <row r="10406" spans="1:8">
      <c r="A10406" t="s">
        <v>777</v>
      </c>
      <c r="B10406">
        <f>HYPERLINK("https://android.googlesource.com/platform/cts/+/0f50331cee4e3974ebfb3fafabe4a0ee545b5087", "0f50331cee4e3974ebfb3fafabe4a0ee545b5087")</f>
        <v>0</v>
      </c>
      <c r="C10406">
        <f>HYPERLINK("https://android.googlesource.com/platform/cts/+/9ec8a506b394d983d9b68bd2fb8c37e2abeb4a5c", "9ec8a506b394d983d9b68bd2fb8c37e2abeb4a5c")</f>
        <v>0</v>
      </c>
      <c r="D10406" t="s">
        <v>5091</v>
      </c>
      <c r="E10406" t="s">
        <v>6559</v>
      </c>
      <c r="F10406" t="s">
        <v>12370</v>
      </c>
      <c r="G10406" t="s">
        <v>16597</v>
      </c>
      <c r="H10406" t="s">
        <v>25515</v>
      </c>
    </row>
    <row r="10407" spans="1:8">
      <c r="A10407" t="s">
        <v>778</v>
      </c>
      <c r="B10407">
        <f>HYPERLINK("https://android.googlesource.com/platform/cts/+/0530c03dda2a512e0db9bd3f95b43cdd0b4b0bdf", "0530c03dda2a512e0db9bd3f95b43cdd0b4b0bdf")</f>
        <v>0</v>
      </c>
      <c r="C10407">
        <f>HYPERLINK("https://android.googlesource.com/platform/cts/+/38c5c12a603bde1591134eab42d6b6295a48bb86", "38c5c12a603bde1591134eab42d6b6295a48bb86")</f>
        <v>0</v>
      </c>
      <c r="D10407" t="s">
        <v>4967</v>
      </c>
      <c r="E10407" t="s">
        <v>6560</v>
      </c>
      <c r="F10407" t="s">
        <v>11429</v>
      </c>
      <c r="G10407" t="s">
        <v>15669</v>
      </c>
      <c r="H10407" t="s">
        <v>25516</v>
      </c>
    </row>
    <row r="10408" spans="1:8">
      <c r="A10408" t="s">
        <v>779</v>
      </c>
      <c r="B10408">
        <f>HYPERLINK("https://android.googlesource.com/platform/cts/+/80eab506acc00fbc185c351db2d59703619b315e", "80eab506acc00fbc185c351db2d59703619b315e")</f>
        <v>0</v>
      </c>
      <c r="C10408">
        <f>HYPERLINK("https://android.googlesource.com/platform/cts/+/f62da83791dc668f8e222dd05e077b7e61154d3a", "f62da83791dc668f8e222dd05e077b7e61154d3a")</f>
        <v>0</v>
      </c>
      <c r="D10408" t="s">
        <v>5011</v>
      </c>
      <c r="E10408" t="s">
        <v>6561</v>
      </c>
      <c r="F10408" t="s">
        <v>12623</v>
      </c>
      <c r="G10408" t="s">
        <v>16833</v>
      </c>
      <c r="H10408" t="s">
        <v>25517</v>
      </c>
    </row>
    <row r="10409" spans="1:8">
      <c r="H10409" t="s">
        <v>25518</v>
      </c>
    </row>
    <row r="10410" spans="1:8">
      <c r="H10410" t="s">
        <v>25519</v>
      </c>
    </row>
    <row r="10411" spans="1:8">
      <c r="H10411" t="s">
        <v>25520</v>
      </c>
    </row>
    <row r="10412" spans="1:8">
      <c r="H10412" t="s">
        <v>25521</v>
      </c>
    </row>
    <row r="10413" spans="1:8">
      <c r="A10413" t="s">
        <v>780</v>
      </c>
      <c r="B10413">
        <f>HYPERLINK("https://android.googlesource.com/platform/cts/+/e4ea56b1f2f3d591ae05cc8cd70f047e047be677", "e4ea56b1f2f3d591ae05cc8cd70f047e047be677")</f>
        <v>0</v>
      </c>
      <c r="C10413">
        <f>HYPERLINK("https://android.googlesource.com/platform/cts/+/b2a0c9e915ced04790655910a17cd06645312ac1", "b2a0c9e915ced04790655910a17cd06645312ac1")</f>
        <v>0</v>
      </c>
      <c r="D10413" t="s">
        <v>5011</v>
      </c>
      <c r="E10413" t="s">
        <v>6562</v>
      </c>
      <c r="F10413" t="s">
        <v>12621</v>
      </c>
      <c r="G10413" t="s">
        <v>16831</v>
      </c>
      <c r="H10413" t="s">
        <v>25522</v>
      </c>
    </row>
    <row r="10414" spans="1:8">
      <c r="H10414" t="s">
        <v>25523</v>
      </c>
    </row>
    <row r="10415" spans="1:8">
      <c r="H10415" t="s">
        <v>25524</v>
      </c>
    </row>
    <row r="10416" spans="1:8">
      <c r="H10416" t="s">
        <v>25525</v>
      </c>
    </row>
    <row r="10417" spans="1:8">
      <c r="H10417" t="s">
        <v>25526</v>
      </c>
    </row>
    <row r="10418" spans="1:8">
      <c r="A10418" t="s">
        <v>781</v>
      </c>
      <c r="B10418">
        <f>HYPERLINK("https://android.googlesource.com/platform/cts/+/82396dfe4a8743748207c380ebf4a08cd9bebe29", "82396dfe4a8743748207c380ebf4a08cd9bebe29")</f>
        <v>0</v>
      </c>
      <c r="C10418">
        <f>HYPERLINK("https://android.googlesource.com/platform/cts/+/42d6f25df59b1790bcdae68ecb3b9ff90ff32c9e", "42d6f25df59b1790bcdae68ecb3b9ff90ff32c9e")</f>
        <v>0</v>
      </c>
      <c r="D10418" t="s">
        <v>4949</v>
      </c>
      <c r="E10418" t="s">
        <v>6563</v>
      </c>
      <c r="F10418" t="s">
        <v>10624</v>
      </c>
      <c r="G10418" t="s">
        <v>15027</v>
      </c>
      <c r="H10418" t="s">
        <v>25527</v>
      </c>
    </row>
    <row r="10419" spans="1:8">
      <c r="H10419" t="s">
        <v>25528</v>
      </c>
    </row>
    <row r="10420" spans="1:8">
      <c r="H10420" t="s">
        <v>25529</v>
      </c>
    </row>
    <row r="10421" spans="1:8">
      <c r="H10421" t="s">
        <v>25530</v>
      </c>
    </row>
    <row r="10422" spans="1:8">
      <c r="A10422" t="s">
        <v>782</v>
      </c>
      <c r="B10422">
        <f>HYPERLINK("https://android.googlesource.com/platform/cts/+/0c456de8db8f4f357369a3bffae46cc259a20f7d", "0c456de8db8f4f357369a3bffae46cc259a20f7d")</f>
        <v>0</v>
      </c>
      <c r="C10422">
        <f>HYPERLINK("https://android.googlesource.com/platform/cts/+/605cfcf37b2f3e5572d491f72644741a7e2bd18d", "605cfcf37b2f3e5572d491f72644741a7e2bd18d")</f>
        <v>0</v>
      </c>
      <c r="D10422" t="s">
        <v>5092</v>
      </c>
      <c r="E10422" t="s">
        <v>6564</v>
      </c>
      <c r="F10422" t="s">
        <v>10687</v>
      </c>
      <c r="G10422" t="s">
        <v>15087</v>
      </c>
      <c r="H10422" t="s">
        <v>25531</v>
      </c>
    </row>
    <row r="10423" spans="1:8">
      <c r="A10423" t="s">
        <v>783</v>
      </c>
      <c r="B10423">
        <f>HYPERLINK("https://android.googlesource.com/platform/cts/+/237718628c30e3ec499cecffe63fb9994afe8121", "237718628c30e3ec499cecffe63fb9994afe8121")</f>
        <v>0</v>
      </c>
      <c r="C10423">
        <f>HYPERLINK("https://android.googlesource.com/platform/cts/+/3870203c78f8c4f9c55ba0b675d52eea9880aceb", "3870203c78f8c4f9c55ba0b675d52eea9880aceb")</f>
        <v>0</v>
      </c>
      <c r="D10423" t="s">
        <v>5093</v>
      </c>
      <c r="E10423" t="s">
        <v>6565</v>
      </c>
      <c r="F10423" t="s">
        <v>12625</v>
      </c>
      <c r="G10423" t="s">
        <v>16835</v>
      </c>
      <c r="H10423" t="s">
        <v>25532</v>
      </c>
    </row>
    <row r="10424" spans="1:8">
      <c r="H10424" t="s">
        <v>25533</v>
      </c>
    </row>
    <row r="10425" spans="1:8">
      <c r="H10425" t="s">
        <v>25534</v>
      </c>
    </row>
    <row r="10426" spans="1:8">
      <c r="A10426" t="s">
        <v>785</v>
      </c>
      <c r="B10426">
        <f>HYPERLINK("https://android.googlesource.com/platform/cts/+/4bd0ad8697cb789d227561b861c1176908de122d", "4bd0ad8697cb789d227561b861c1176908de122d")</f>
        <v>0</v>
      </c>
      <c r="C10426">
        <f>HYPERLINK("https://android.googlesource.com/platform/cts/+/d20715e02e83b45ecef83279de6a5ab321fad79b", "d20715e02e83b45ecef83279de6a5ab321fad79b")</f>
        <v>0</v>
      </c>
      <c r="D10426" t="s">
        <v>4949</v>
      </c>
      <c r="E10426" t="s">
        <v>6567</v>
      </c>
      <c r="F10426" t="s">
        <v>12627</v>
      </c>
      <c r="G10426" t="s">
        <v>16417</v>
      </c>
      <c r="H10426" t="s">
        <v>25541</v>
      </c>
    </row>
    <row r="10427" spans="1:8">
      <c r="H10427" t="s">
        <v>25542</v>
      </c>
    </row>
    <row r="10428" spans="1:8">
      <c r="H10428" t="s">
        <v>25543</v>
      </c>
    </row>
    <row r="10429" spans="1:8">
      <c r="H10429" t="s">
        <v>25544</v>
      </c>
    </row>
    <row r="10430" spans="1:8">
      <c r="H10430" t="s">
        <v>25545</v>
      </c>
    </row>
    <row r="10431" spans="1:8">
      <c r="H10431" t="s">
        <v>25546</v>
      </c>
    </row>
    <row r="10432" spans="1:8">
      <c r="H10432" t="s">
        <v>25547</v>
      </c>
    </row>
    <row r="10433" spans="1:8">
      <c r="H10433" t="s">
        <v>25548</v>
      </c>
    </row>
    <row r="10434" spans="1:8">
      <c r="H10434" t="s">
        <v>25551</v>
      </c>
    </row>
    <row r="10435" spans="1:8">
      <c r="H10435" t="s">
        <v>25552</v>
      </c>
    </row>
    <row r="10436" spans="1:8">
      <c r="A10436" t="s">
        <v>787</v>
      </c>
      <c r="B10436">
        <f>HYPERLINK("https://android.googlesource.com/platform/cts/+/b568bfcab520d1129c314481aef2c1fb37d6ea10", "b568bfcab520d1129c314481aef2c1fb37d6ea10")</f>
        <v>0</v>
      </c>
      <c r="C10436">
        <f>HYPERLINK("https://android.googlesource.com/platform/cts/+/5f3dfe8a0fbffea5f935d0378daf3f55df1a5ade", "5f3dfe8a0fbffea5f935d0378daf3f55df1a5ade")</f>
        <v>0</v>
      </c>
      <c r="D10436" t="s">
        <v>5077</v>
      </c>
      <c r="E10436" t="s">
        <v>6569</v>
      </c>
      <c r="F10436" t="s">
        <v>12223</v>
      </c>
      <c r="G10436" t="s">
        <v>16453</v>
      </c>
      <c r="H10436" t="s">
        <v>25554</v>
      </c>
    </row>
    <row r="10437" spans="1:8">
      <c r="H10437" t="s">
        <v>25555</v>
      </c>
    </row>
    <row r="10438" spans="1:8">
      <c r="H10438" t="s">
        <v>25556</v>
      </c>
    </row>
    <row r="10439" spans="1:8">
      <c r="H10439" t="s">
        <v>25557</v>
      </c>
    </row>
    <row r="10440" spans="1:8">
      <c r="H10440" t="s">
        <v>25558</v>
      </c>
    </row>
    <row r="10441" spans="1:8">
      <c r="H10441" t="s">
        <v>25559</v>
      </c>
    </row>
    <row r="10442" spans="1:8">
      <c r="H10442" t="s">
        <v>25560</v>
      </c>
    </row>
    <row r="10443" spans="1:8">
      <c r="H10443" t="s">
        <v>25561</v>
      </c>
    </row>
    <row r="10444" spans="1:8">
      <c r="H10444" t="s">
        <v>25562</v>
      </c>
    </row>
    <row r="10445" spans="1:8">
      <c r="A10445" t="s">
        <v>788</v>
      </c>
      <c r="B10445">
        <f>HYPERLINK("https://android.googlesource.com/platform/cts/+/032503cf437400f0371ebc5775104cec9e67ec15", "032503cf437400f0371ebc5775104cec9e67ec15")</f>
        <v>0</v>
      </c>
      <c r="C10445">
        <f>HYPERLINK("https://android.googlesource.com/platform/cts/+/5742d8c67eb1ec5ccdc06ff74d14ecd6ad173fd0", "5742d8c67eb1ec5ccdc06ff74d14ecd6ad173fd0")</f>
        <v>0</v>
      </c>
      <c r="D10445" t="s">
        <v>5069</v>
      </c>
      <c r="E10445" t="s">
        <v>6570</v>
      </c>
      <c r="F10445" t="s">
        <v>10794</v>
      </c>
      <c r="G10445" t="s">
        <v>15189</v>
      </c>
      <c r="H10445" t="s">
        <v>25566</v>
      </c>
    </row>
    <row r="10446" spans="1:8">
      <c r="A10446" t="s">
        <v>789</v>
      </c>
      <c r="B10446">
        <f>HYPERLINK("https://android.googlesource.com/platform/cts/+/929a33641980c9bcbca3d20cd0eb4a51c1318a37", "929a33641980c9bcbca3d20cd0eb4a51c1318a37")</f>
        <v>0</v>
      </c>
      <c r="C10446">
        <f>HYPERLINK("https://android.googlesource.com/platform/cts/+/a1cedf3a159c7a8f7803063e3e3a699c45021252", "a1cedf3a159c7a8f7803063e3e3a699c45021252")</f>
        <v>0</v>
      </c>
      <c r="D10446" t="s">
        <v>5086</v>
      </c>
      <c r="E10446" t="s">
        <v>6571</v>
      </c>
      <c r="F10446" t="s">
        <v>12629</v>
      </c>
      <c r="G10446" t="s">
        <v>16838</v>
      </c>
      <c r="H10446" t="s">
        <v>25571</v>
      </c>
    </row>
    <row r="10447" spans="1:8">
      <c r="A10447" t="s">
        <v>792</v>
      </c>
      <c r="B10447">
        <f>HYPERLINK("https://android.googlesource.com/platform/cts/+/fedb39dc0f97de7f90a7925318e951e254d97afd", "fedb39dc0f97de7f90a7925318e951e254d97afd")</f>
        <v>0</v>
      </c>
      <c r="C10447">
        <f>HYPERLINK("https://android.googlesource.com/platform/cts/+/51e36fced5d4b82ab7a9cf4b36ac1896a1d0a4f5", "51e36fced5d4b82ab7a9cf4b36ac1896a1d0a4f5")</f>
        <v>0</v>
      </c>
      <c r="D10447" t="s">
        <v>5040</v>
      </c>
      <c r="E10447" t="s">
        <v>6574</v>
      </c>
      <c r="F10447" t="s">
        <v>12632</v>
      </c>
      <c r="G10447" t="s">
        <v>16842</v>
      </c>
      <c r="H10447" t="s">
        <v>25618</v>
      </c>
    </row>
    <row r="10448" spans="1:8">
      <c r="H10448" t="s">
        <v>25619</v>
      </c>
    </row>
    <row r="10449" spans="1:8">
      <c r="A10449" t="s">
        <v>793</v>
      </c>
      <c r="B10449">
        <f>HYPERLINK("https://android.googlesource.com/platform/cts/+/7b113c86a64aeb7060ff35882a2f2def97cd0484", "7b113c86a64aeb7060ff35882a2f2def97cd0484")</f>
        <v>0</v>
      </c>
      <c r="C10449">
        <f>HYPERLINK("https://android.googlesource.com/platform/cts/+/a47d5d6948f50f3bbc8300b8656bb426edc2c746", "a47d5d6948f50f3bbc8300b8656bb426edc2c746")</f>
        <v>0</v>
      </c>
      <c r="D10449" t="s">
        <v>5077</v>
      </c>
      <c r="E10449" t="s">
        <v>6575</v>
      </c>
      <c r="F10449" t="s">
        <v>12633</v>
      </c>
      <c r="G10449" t="s">
        <v>16841</v>
      </c>
      <c r="H10449" t="s">
        <v>25589</v>
      </c>
    </row>
    <row r="10450" spans="1:8">
      <c r="H10450" t="s">
        <v>25590</v>
      </c>
    </row>
    <row r="10451" spans="1:8">
      <c r="H10451" t="s">
        <v>25591</v>
      </c>
    </row>
    <row r="10452" spans="1:8">
      <c r="H10452" t="s">
        <v>25592</v>
      </c>
    </row>
    <row r="10453" spans="1:8">
      <c r="A10453" t="s">
        <v>795</v>
      </c>
      <c r="B10453">
        <f>HYPERLINK("https://android.googlesource.com/platform/cts/+/66476a95a70d3f73320b82edf33ea76a3f0df7ac", "66476a95a70d3f73320b82edf33ea76a3f0df7ac")</f>
        <v>0</v>
      </c>
      <c r="C10453">
        <f>HYPERLINK("https://android.googlesource.com/platform/cts/+/dea56337c8a5ee10af912938f8a625bd9c21306f", "dea56337c8a5ee10af912938f8a625bd9c21306f")</f>
        <v>0</v>
      </c>
      <c r="D10453" t="s">
        <v>5002</v>
      </c>
      <c r="E10453" t="s">
        <v>6577</v>
      </c>
      <c r="F10453" t="s">
        <v>12636</v>
      </c>
      <c r="G10453" t="s">
        <v>16844</v>
      </c>
      <c r="H10453" t="s">
        <v>25631</v>
      </c>
    </row>
    <row r="10454" spans="1:8">
      <c r="A10454" t="s">
        <v>796</v>
      </c>
      <c r="B10454">
        <f>HYPERLINK("https://android.googlesource.com/platform/cts/+/cb59a502afba73e207420190fba0d9c8494a2763", "cb59a502afba73e207420190fba0d9c8494a2763")</f>
        <v>0</v>
      </c>
      <c r="C10454">
        <f>HYPERLINK("https://android.googlesource.com/platform/cts/+/85e7ffbf4b693bdea9403c116e17ce97e25795ec", "85e7ffbf4b693bdea9403c116e17ce97e25795ec")</f>
        <v>0</v>
      </c>
      <c r="D10454" t="s">
        <v>4949</v>
      </c>
      <c r="E10454" t="s">
        <v>6578</v>
      </c>
      <c r="F10454" t="s">
        <v>12638</v>
      </c>
      <c r="G10454" t="s">
        <v>16846</v>
      </c>
      <c r="H10454" t="s">
        <v>25633</v>
      </c>
    </row>
    <row r="10455" spans="1:8">
      <c r="H10455" t="s">
        <v>25634</v>
      </c>
    </row>
    <row r="10456" spans="1:8">
      <c r="H10456" t="s">
        <v>25635</v>
      </c>
    </row>
    <row r="10457" spans="1:8">
      <c r="H10457" t="s">
        <v>25636</v>
      </c>
    </row>
    <row r="10458" spans="1:8">
      <c r="F10458" t="s">
        <v>12639</v>
      </c>
      <c r="G10458" t="s">
        <v>16847</v>
      </c>
      <c r="H10458" t="s">
        <v>25637</v>
      </c>
    </row>
    <row r="10459" spans="1:8">
      <c r="H10459" t="s">
        <v>25638</v>
      </c>
    </row>
    <row r="10460" spans="1:8">
      <c r="A10460" t="s">
        <v>797</v>
      </c>
      <c r="B10460">
        <f>HYPERLINK("https://android.googlesource.com/platform/cts/+/e195d6834e63268748583b0f198220b7bd9788ae", "e195d6834e63268748583b0f198220b7bd9788ae")</f>
        <v>0</v>
      </c>
      <c r="C10460">
        <f>HYPERLINK("https://android.googlesource.com/platform/cts/+/297d1d6bb7143dc0f78e472a6939275270d5f38b", "297d1d6bb7143dc0f78e472a6939275270d5f38b")</f>
        <v>0</v>
      </c>
      <c r="D10460" t="s">
        <v>5029</v>
      </c>
      <c r="E10460" t="s">
        <v>6579</v>
      </c>
      <c r="F10460" t="s">
        <v>12335</v>
      </c>
      <c r="G10460" t="s">
        <v>16563</v>
      </c>
      <c r="H10460" t="s">
        <v>25639</v>
      </c>
    </row>
    <row r="10461" spans="1:8">
      <c r="F10461" t="s">
        <v>10780</v>
      </c>
      <c r="G10461" t="s">
        <v>15176</v>
      </c>
      <c r="H10461" t="s">
        <v>25639</v>
      </c>
    </row>
    <row r="10462" spans="1:8">
      <c r="F10462" t="s">
        <v>10644</v>
      </c>
      <c r="G10462" t="s">
        <v>15045</v>
      </c>
      <c r="H10462" t="s">
        <v>25639</v>
      </c>
    </row>
    <row r="10463" spans="1:8">
      <c r="F10463" t="s">
        <v>10645</v>
      </c>
      <c r="G10463" t="s">
        <v>15046</v>
      </c>
      <c r="H10463" t="s">
        <v>25639</v>
      </c>
    </row>
    <row r="10464" spans="1:8">
      <c r="F10464" t="s">
        <v>10781</v>
      </c>
      <c r="G10464" t="s">
        <v>15177</v>
      </c>
      <c r="H10464" t="s">
        <v>25639</v>
      </c>
    </row>
    <row r="10465" spans="1:8">
      <c r="F10465" t="s">
        <v>12316</v>
      </c>
      <c r="G10465" t="s">
        <v>16548</v>
      </c>
      <c r="H10465" t="s">
        <v>25639</v>
      </c>
    </row>
    <row r="10466" spans="1:8">
      <c r="F10466" t="s">
        <v>10646</v>
      </c>
      <c r="G10466" t="s">
        <v>15047</v>
      </c>
      <c r="H10466" t="s">
        <v>25639</v>
      </c>
    </row>
    <row r="10467" spans="1:8">
      <c r="A10467" t="s">
        <v>798</v>
      </c>
      <c r="B10467">
        <f>HYPERLINK("https://android.googlesource.com/platform/cts/+/a98f8da6829f6f2a8c1d8e680fd1791a4ad25ef5", "a98f8da6829f6f2a8c1d8e680fd1791a4ad25ef5")</f>
        <v>0</v>
      </c>
      <c r="C10467">
        <f>HYPERLINK("https://android.googlesource.com/platform/cts/+/297d1d6bb7143dc0f78e472a6939275270d5f38b", "297d1d6bb7143dc0f78e472a6939275270d5f38b")</f>
        <v>0</v>
      </c>
      <c r="D10467" t="s">
        <v>5094</v>
      </c>
      <c r="E10467" t="s">
        <v>6580</v>
      </c>
      <c r="F10467" t="s">
        <v>12640</v>
      </c>
      <c r="G10467" t="s">
        <v>16848</v>
      </c>
      <c r="H10467" t="s">
        <v>25641</v>
      </c>
    </row>
    <row r="10468" spans="1:8">
      <c r="A10468" t="s">
        <v>800</v>
      </c>
      <c r="B10468">
        <f>HYPERLINK("https://android.googlesource.com/platform/cts/+/948eda6f30123df653c313b24677543c994ab490", "948eda6f30123df653c313b24677543c994ab490")</f>
        <v>0</v>
      </c>
      <c r="C10468">
        <f>HYPERLINK("https://android.googlesource.com/platform/cts/+/f67a438341ae19fe7288be0cd85d9b13345e96a5", "f67a438341ae19fe7288be0cd85d9b13345e96a5")</f>
        <v>0</v>
      </c>
      <c r="D10468" t="s">
        <v>5096</v>
      </c>
      <c r="E10468" t="s">
        <v>6582</v>
      </c>
      <c r="F10468" t="s">
        <v>12642</v>
      </c>
      <c r="G10468" t="s">
        <v>16850</v>
      </c>
      <c r="H10468" t="s">
        <v>25646</v>
      </c>
    </row>
    <row r="10469" spans="1:8">
      <c r="A10469" t="s">
        <v>801</v>
      </c>
      <c r="B10469">
        <f>HYPERLINK("https://android.googlesource.com/platform/cts/+/f3b6b6771bfd40c4e27f5a48d1296da3b03008b6", "f3b6b6771bfd40c4e27f5a48d1296da3b03008b6")</f>
        <v>0</v>
      </c>
      <c r="C10469">
        <f>HYPERLINK("https://android.googlesource.com/platform/cts/+/8188149eacbc02670152d42d7417c116efff614f", "8188149eacbc02670152d42d7417c116efff614f")</f>
        <v>0</v>
      </c>
      <c r="D10469" t="s">
        <v>5097</v>
      </c>
      <c r="E10469" t="s">
        <v>6583</v>
      </c>
      <c r="F10469" t="s">
        <v>10668</v>
      </c>
      <c r="G10469" t="s">
        <v>15069</v>
      </c>
      <c r="H10469" t="s">
        <v>25647</v>
      </c>
    </row>
    <row r="10470" spans="1:8">
      <c r="A10470" t="s">
        <v>802</v>
      </c>
      <c r="B10470">
        <f>HYPERLINK("https://android.googlesource.com/platform/cts/+/17f1800667e726853dd987b94c2cf36d11cf9369", "17f1800667e726853dd987b94c2cf36d11cf9369")</f>
        <v>0</v>
      </c>
      <c r="C10470">
        <f>HYPERLINK("https://android.googlesource.com/platform/cts/+/948eda6f30123df653c313b24677543c994ab490", "948eda6f30123df653c313b24677543c994ab490")</f>
        <v>0</v>
      </c>
      <c r="D10470" t="s">
        <v>5098</v>
      </c>
      <c r="E10470" t="s">
        <v>6584</v>
      </c>
      <c r="F10470" t="s">
        <v>12642</v>
      </c>
      <c r="G10470" t="s">
        <v>16850</v>
      </c>
      <c r="H10470" t="s">
        <v>25648</v>
      </c>
    </row>
    <row r="10471" spans="1:8">
      <c r="H10471" t="s">
        <v>25649</v>
      </c>
    </row>
    <row r="10472" spans="1:8">
      <c r="A10472" t="s">
        <v>803</v>
      </c>
      <c r="B10472">
        <f>HYPERLINK("https://android.googlesource.com/platform/cts/+/b67e5b4b46c5b873e9d4287694e0e38cf58c2d7e", "b67e5b4b46c5b873e9d4287694e0e38cf58c2d7e")</f>
        <v>0</v>
      </c>
      <c r="C10472">
        <f>HYPERLINK("https://android.googlesource.com/platform/cts/+/fcc5aea0474bea66dc5b9d39498522a4128e01f3", "fcc5aea0474bea66dc5b9d39498522a4128e01f3")</f>
        <v>0</v>
      </c>
      <c r="D10472" t="s">
        <v>5011</v>
      </c>
      <c r="E10472" t="s">
        <v>6585</v>
      </c>
      <c r="F10472" t="s">
        <v>12642</v>
      </c>
      <c r="G10472" t="s">
        <v>16850</v>
      </c>
      <c r="H10472" t="s">
        <v>25646</v>
      </c>
    </row>
    <row r="10473" spans="1:8">
      <c r="A10473" t="s">
        <v>804</v>
      </c>
      <c r="B10473">
        <f>HYPERLINK("https://android.googlesource.com/platform/cts/+/fe8fbf78494d523803777f8d677fd98e658992ea", "fe8fbf78494d523803777f8d677fd98e658992ea")</f>
        <v>0</v>
      </c>
      <c r="C10473">
        <f>HYPERLINK("https://android.googlesource.com/platform/cts/+/e7ecc2972ddbd1570c5092e1b5f3c40a5e70a781", "e7ecc2972ddbd1570c5092e1b5f3c40a5e70a781")</f>
        <v>0</v>
      </c>
      <c r="D10473" t="s">
        <v>5029</v>
      </c>
      <c r="E10473" t="s">
        <v>6586</v>
      </c>
      <c r="F10473" t="s">
        <v>12643</v>
      </c>
      <c r="G10473" t="s">
        <v>15001</v>
      </c>
      <c r="H10473" t="s">
        <v>18856</v>
      </c>
    </row>
    <row r="10474" spans="1:8">
      <c r="A10474" t="s">
        <v>805</v>
      </c>
      <c r="B10474">
        <f>HYPERLINK("https://android.googlesource.com/platform/cts/+/4ed3b6c02b917394dfc68c4d421c4b935a3325c8", "4ed3b6c02b917394dfc68c4d421c4b935a3325c8")</f>
        <v>0</v>
      </c>
      <c r="C10474">
        <f>HYPERLINK("https://android.googlesource.com/platform/cts/+/95ee48203ed2c4dd64a5364fed26ae626a33c481", "95ee48203ed2c4dd64a5364fed26ae626a33c481")</f>
        <v>0</v>
      </c>
      <c r="D10474" t="s">
        <v>5069</v>
      </c>
      <c r="E10474" t="s">
        <v>6587</v>
      </c>
      <c r="F10474" t="s">
        <v>12644</v>
      </c>
      <c r="G10474" t="s">
        <v>16851</v>
      </c>
      <c r="H10474" t="s">
        <v>19010</v>
      </c>
    </row>
    <row r="10475" spans="1:8">
      <c r="H10475" t="s">
        <v>18835</v>
      </c>
    </row>
    <row r="10476" spans="1:8">
      <c r="A10476" t="s">
        <v>806</v>
      </c>
      <c r="B10476">
        <f>HYPERLINK("https://android.googlesource.com/platform/cts/+/1a073be447b96901937855af7fc944598f1f06bf", "1a073be447b96901937855af7fc944598f1f06bf")</f>
        <v>0</v>
      </c>
      <c r="C10476">
        <f>HYPERLINK("https://android.googlesource.com/platform/cts/+/fcc5aea0474bea66dc5b9d39498522a4128e01f3", "fcc5aea0474bea66dc5b9d39498522a4128e01f3")</f>
        <v>0</v>
      </c>
      <c r="D10476" t="s">
        <v>5084</v>
      </c>
      <c r="E10476" t="s">
        <v>6588</v>
      </c>
      <c r="F10476" t="s">
        <v>12645</v>
      </c>
      <c r="G10476" t="s">
        <v>16852</v>
      </c>
      <c r="H10476" t="s">
        <v>25655</v>
      </c>
    </row>
    <row r="10477" spans="1:8">
      <c r="H10477" t="s">
        <v>25656</v>
      </c>
    </row>
    <row r="10478" spans="1:8">
      <c r="H10478" t="s">
        <v>25657</v>
      </c>
    </row>
    <row r="10479" spans="1:8">
      <c r="H10479" t="s">
        <v>25658</v>
      </c>
    </row>
    <row r="10480" spans="1:8">
      <c r="H10480" t="s">
        <v>25659</v>
      </c>
    </row>
    <row r="10481" spans="1:8">
      <c r="H10481" t="s">
        <v>25660</v>
      </c>
    </row>
    <row r="10482" spans="1:8">
      <c r="H10482" t="s">
        <v>25661</v>
      </c>
    </row>
    <row r="10483" spans="1:8">
      <c r="H10483" t="s">
        <v>25662</v>
      </c>
    </row>
    <row r="10484" spans="1:8">
      <c r="A10484" t="s">
        <v>809</v>
      </c>
      <c r="B10484">
        <f>HYPERLINK("https://android.googlesource.com/platform/cts/+/dd68739a3062ffff7159a2342a31d85557364f89", "dd68739a3062ffff7159a2342a31d85557364f89")</f>
        <v>0</v>
      </c>
      <c r="C10484">
        <f>HYPERLINK("https://android.googlesource.com/platform/cts/+/44657d4fcbc722bafa2129d76aa1e40de82c8361", "44657d4fcbc722bafa2129d76aa1e40de82c8361")</f>
        <v>0</v>
      </c>
      <c r="D10484" t="s">
        <v>5094</v>
      </c>
      <c r="E10484" t="s">
        <v>6591</v>
      </c>
      <c r="F10484" t="s">
        <v>12647</v>
      </c>
      <c r="G10484" t="s">
        <v>16853</v>
      </c>
      <c r="H10484" t="s">
        <v>25664</v>
      </c>
    </row>
    <row r="10485" spans="1:8">
      <c r="H10485" t="s">
        <v>25665</v>
      </c>
    </row>
    <row r="10486" spans="1:8">
      <c r="H10486" t="s">
        <v>25666</v>
      </c>
    </row>
    <row r="10487" spans="1:8">
      <c r="H10487" t="s">
        <v>25667</v>
      </c>
    </row>
    <row r="10488" spans="1:8">
      <c r="A10488" t="s">
        <v>810</v>
      </c>
      <c r="B10488">
        <f>HYPERLINK("https://android.googlesource.com/platform/cts/+/8fabf134e6971e2d2e756dab2386a3ab752e0adb", "8fabf134e6971e2d2e756dab2386a3ab752e0adb")</f>
        <v>0</v>
      </c>
      <c r="C10488">
        <f>HYPERLINK("https://android.googlesource.com/platform/cts/+/f2812948ac52dd0fe854492e4201841abc61eaa1", "f2812948ac52dd0fe854492e4201841abc61eaa1")</f>
        <v>0</v>
      </c>
      <c r="D10488" t="s">
        <v>5029</v>
      </c>
      <c r="E10488" t="s">
        <v>6592</v>
      </c>
      <c r="F10488" t="s">
        <v>11183</v>
      </c>
      <c r="G10488" t="s">
        <v>15572</v>
      </c>
      <c r="H10488" t="s">
        <v>25672</v>
      </c>
    </row>
    <row r="10489" spans="1:8">
      <c r="H10489" t="s">
        <v>25673</v>
      </c>
    </row>
    <row r="10490" spans="1:8">
      <c r="A10490" t="s">
        <v>811</v>
      </c>
      <c r="B10490">
        <f>HYPERLINK("https://android.googlesource.com/platform/cts/+/71862d1d0fe88bf924c0ed3263b5c109cb24fb9a", "71862d1d0fe88bf924c0ed3263b5c109cb24fb9a")</f>
        <v>0</v>
      </c>
      <c r="C10490">
        <f>HYPERLINK("https://android.googlesource.com/platform/cts/+/ecab77f1f4e09ca23d2b40e54a64b809513372c3", "ecab77f1f4e09ca23d2b40e54a64b809513372c3")</f>
        <v>0</v>
      </c>
      <c r="D10490" t="s">
        <v>5029</v>
      </c>
      <c r="E10490" t="s">
        <v>6593</v>
      </c>
      <c r="F10490" t="s">
        <v>10676</v>
      </c>
      <c r="G10490" t="s">
        <v>15076</v>
      </c>
      <c r="H10490" t="s">
        <v>25675</v>
      </c>
    </row>
    <row r="10491" spans="1:8">
      <c r="F10491" t="s">
        <v>12648</v>
      </c>
      <c r="G10491" t="s">
        <v>16854</v>
      </c>
      <c r="H10491" t="s">
        <v>25676</v>
      </c>
    </row>
    <row r="10492" spans="1:8">
      <c r="F10492" t="s">
        <v>12649</v>
      </c>
      <c r="G10492" t="s">
        <v>16855</v>
      </c>
      <c r="H10492" t="s">
        <v>25677</v>
      </c>
    </row>
    <row r="10493" spans="1:8">
      <c r="H10493" t="s">
        <v>25678</v>
      </c>
    </row>
    <row r="10494" spans="1:8">
      <c r="A10494" t="s">
        <v>813</v>
      </c>
      <c r="B10494">
        <f>HYPERLINK("https://android.googlesource.com/platform/cts/+/b054026b4d0347f958de7c4b3eaa6a52ff3d20cd", "b054026b4d0347f958de7c4b3eaa6a52ff3d20cd")</f>
        <v>0</v>
      </c>
      <c r="C10494">
        <f>HYPERLINK("https://android.googlesource.com/platform/cts/+/329f4b93faf91fcd62f4cbfd93a29221c3768ebc", "329f4b93faf91fcd62f4cbfd93a29221c3768ebc")</f>
        <v>0</v>
      </c>
      <c r="D10494" t="s">
        <v>5002</v>
      </c>
      <c r="E10494" t="s">
        <v>6594</v>
      </c>
      <c r="F10494" t="s">
        <v>12562</v>
      </c>
      <c r="G10494" t="s">
        <v>16778</v>
      </c>
      <c r="H10494" t="s">
        <v>22186</v>
      </c>
    </row>
    <row r="10495" spans="1:8">
      <c r="H10495" t="s">
        <v>22187</v>
      </c>
    </row>
    <row r="10496" spans="1:8">
      <c r="H10496" t="s">
        <v>22188</v>
      </c>
    </row>
    <row r="10497" spans="1:8">
      <c r="H10497" t="s">
        <v>22189</v>
      </c>
    </row>
    <row r="10498" spans="1:8">
      <c r="A10498" t="s">
        <v>814</v>
      </c>
      <c r="B10498">
        <f>HYPERLINK("https://android.googlesource.com/platform/cts/+/992b459293c4dcae2a12cdf5923e3e26a476bd1a", "992b459293c4dcae2a12cdf5923e3e26a476bd1a")</f>
        <v>0</v>
      </c>
      <c r="C10498">
        <f>HYPERLINK("https://android.googlesource.com/platform/cts/+/b054026b4d0347f958de7c4b3eaa6a52ff3d20cd", "b054026b4d0347f958de7c4b3eaa6a52ff3d20cd")</f>
        <v>0</v>
      </c>
      <c r="D10498" t="s">
        <v>5100</v>
      </c>
      <c r="E10498" t="s">
        <v>6595</v>
      </c>
      <c r="F10498" t="s">
        <v>12650</v>
      </c>
      <c r="G10498" t="s">
        <v>16856</v>
      </c>
      <c r="H10498" t="s">
        <v>22186</v>
      </c>
    </row>
    <row r="10499" spans="1:8">
      <c r="H10499" t="s">
        <v>25686</v>
      </c>
    </row>
    <row r="10500" spans="1:8">
      <c r="H10500" t="s">
        <v>22189</v>
      </c>
    </row>
    <row r="10501" spans="1:8">
      <c r="A10501" t="s">
        <v>815</v>
      </c>
      <c r="B10501">
        <f>HYPERLINK("https://android.googlesource.com/platform/cts/+/92423df543c8e11070c57585a6450e7f4e9a1a42", "92423df543c8e11070c57585a6450e7f4e9a1a42")</f>
        <v>0</v>
      </c>
      <c r="C10501">
        <f>HYPERLINK("https://android.googlesource.com/platform/cts/+/1b545b6700621d46c4c85a83c39706e9f9a2b8af", "1b545b6700621d46c4c85a83c39706e9f9a2b8af")</f>
        <v>0</v>
      </c>
      <c r="D10501" t="s">
        <v>5002</v>
      </c>
      <c r="E10501" t="s">
        <v>6596</v>
      </c>
      <c r="F10501" t="s">
        <v>12562</v>
      </c>
      <c r="G10501" t="s">
        <v>16778</v>
      </c>
      <c r="H10501" t="s">
        <v>22186</v>
      </c>
    </row>
    <row r="10502" spans="1:8">
      <c r="H10502" t="s">
        <v>22187</v>
      </c>
    </row>
    <row r="10503" spans="1:8">
      <c r="H10503" t="s">
        <v>22188</v>
      </c>
    </row>
    <row r="10504" spans="1:8">
      <c r="H10504" t="s">
        <v>22189</v>
      </c>
    </row>
    <row r="10505" spans="1:8">
      <c r="A10505" t="s">
        <v>816</v>
      </c>
      <c r="B10505">
        <f>HYPERLINK("https://android.googlesource.com/platform/cts/+/707b5430004bfc7e59cd418262196a88754f7114", "707b5430004bfc7e59cd418262196a88754f7114")</f>
        <v>0</v>
      </c>
      <c r="C10505">
        <f>HYPERLINK("https://android.googlesource.com/platform/cts/+/9a3e1c7df595c35c338c43511d2568c1209d965b", "9a3e1c7df595c35c338c43511d2568c1209d965b")</f>
        <v>0</v>
      </c>
      <c r="D10505" t="s">
        <v>5002</v>
      </c>
      <c r="E10505" t="s">
        <v>6597</v>
      </c>
      <c r="F10505" t="s">
        <v>12651</v>
      </c>
      <c r="G10505" t="s">
        <v>16857</v>
      </c>
      <c r="H10505" t="s">
        <v>25689</v>
      </c>
    </row>
    <row r="10506" spans="1:8">
      <c r="A10506" t="s">
        <v>817</v>
      </c>
      <c r="B10506">
        <f>HYPERLINK("https://android.googlesource.com/platform/cts/+/ae663de2120beb9de33d57e2c0ebfa6662e1d9f8", "ae663de2120beb9de33d57e2c0ebfa6662e1d9f8")</f>
        <v>0</v>
      </c>
      <c r="C10506">
        <f>HYPERLINK("https://android.googlesource.com/platform/cts/+/84ed05f1db7927e492773055445cc180cf590f1c", "84ed05f1db7927e492773055445cc180cf590f1c")</f>
        <v>0</v>
      </c>
      <c r="D10506" t="s">
        <v>5029</v>
      </c>
      <c r="E10506" t="s">
        <v>6598</v>
      </c>
      <c r="F10506" t="s">
        <v>10674</v>
      </c>
      <c r="G10506" t="s">
        <v>15074</v>
      </c>
      <c r="H10506" t="s">
        <v>25690</v>
      </c>
    </row>
    <row r="10507" spans="1:8">
      <c r="A10507" t="s">
        <v>819</v>
      </c>
      <c r="B10507">
        <f>HYPERLINK("https://android.googlesource.com/platform/cts/+/1743a5db4b49e43e3c52a768eef6ec2fa54eb940", "1743a5db4b49e43e3c52a768eef6ec2fa54eb940")</f>
        <v>0</v>
      </c>
      <c r="C10507">
        <f>HYPERLINK("https://android.googlesource.com/platform/cts/+/1674b99db40fdebf9faa2cbdc7f64152ab15537a", "1674b99db40fdebf9faa2cbdc7f64152ab15537a")</f>
        <v>0</v>
      </c>
      <c r="D10507" t="s">
        <v>5077</v>
      </c>
      <c r="E10507" t="s">
        <v>6600</v>
      </c>
      <c r="F10507" t="s">
        <v>12652</v>
      </c>
      <c r="G10507" t="s">
        <v>16858</v>
      </c>
      <c r="H10507" t="s">
        <v>25712</v>
      </c>
    </row>
    <row r="10508" spans="1:8">
      <c r="H10508" t="s">
        <v>25713</v>
      </c>
    </row>
    <row r="10509" spans="1:8">
      <c r="F10509" t="s">
        <v>12646</v>
      </c>
      <c r="G10509" t="s">
        <v>14989</v>
      </c>
      <c r="H10509" t="s">
        <v>25712</v>
      </c>
    </row>
    <row r="10510" spans="1:8">
      <c r="H10510" t="s">
        <v>25714</v>
      </c>
    </row>
    <row r="10511" spans="1:8">
      <c r="A10511" t="s">
        <v>820</v>
      </c>
      <c r="B10511">
        <f>HYPERLINK("https://android.googlesource.com/platform/cts/+/6006a91403f6e633e243728ea0531f9e47e47483", "6006a91403f6e633e243728ea0531f9e47e47483")</f>
        <v>0</v>
      </c>
      <c r="C10511">
        <f>HYPERLINK("https://android.googlesource.com/platform/cts/+/cb7962c01f5b5f48874e75de9787962151470e26", "cb7962c01f5b5f48874e75de9787962151470e26")</f>
        <v>0</v>
      </c>
      <c r="D10511" t="s">
        <v>5057</v>
      </c>
      <c r="E10511" t="s">
        <v>6601</v>
      </c>
      <c r="F10511" t="s">
        <v>12653</v>
      </c>
      <c r="G10511" t="s">
        <v>16859</v>
      </c>
      <c r="H10511" t="s">
        <v>25715</v>
      </c>
    </row>
    <row r="10512" spans="1:8">
      <c r="A10512" t="s">
        <v>822</v>
      </c>
      <c r="B10512">
        <f>HYPERLINK("https://android.googlesource.com/platform/cts/+/555c73ad80728deb5c867d052423bb0c9f7d3235", "555c73ad80728deb5c867d052423bb0c9f7d3235")</f>
        <v>0</v>
      </c>
      <c r="C10512">
        <f>HYPERLINK("https://android.googlesource.com/platform/cts/+/0dc51bf02ef3fb6a152464888946493bffa92194", "0dc51bf02ef3fb6a152464888946493bffa92194")</f>
        <v>0</v>
      </c>
      <c r="D10512" t="s">
        <v>5084</v>
      </c>
      <c r="E10512" t="s">
        <v>6603</v>
      </c>
      <c r="F10512" t="s">
        <v>12645</v>
      </c>
      <c r="G10512" t="s">
        <v>16852</v>
      </c>
      <c r="H10512" t="s">
        <v>25655</v>
      </c>
    </row>
    <row r="10513" spans="1:8">
      <c r="H10513" t="s">
        <v>25659</v>
      </c>
    </row>
    <row r="10514" spans="1:8">
      <c r="A10514" t="s">
        <v>826</v>
      </c>
      <c r="B10514">
        <f>HYPERLINK("https://android.googlesource.com/platform/cts/+/d4fde18d4c00d4b0fe34331c4d69c3c366adb295", "d4fde18d4c00d4b0fe34331c4d69c3c366adb295")</f>
        <v>0</v>
      </c>
      <c r="C10514">
        <f>HYPERLINK("https://android.googlesource.com/platform/cts/+/85d33ed5f2dc092e9e0bff4f7ab847a03fd36890", "85d33ed5f2dc092e9e0bff4f7ab847a03fd36890")</f>
        <v>0</v>
      </c>
      <c r="D10514" t="s">
        <v>5077</v>
      </c>
      <c r="E10514" t="s">
        <v>6607</v>
      </c>
      <c r="F10514" t="s">
        <v>12657</v>
      </c>
      <c r="G10514" t="s">
        <v>16862</v>
      </c>
      <c r="H10514" t="s">
        <v>25730</v>
      </c>
    </row>
    <row r="10515" spans="1:8">
      <c r="F10515" t="s">
        <v>12633</v>
      </c>
      <c r="G10515" t="s">
        <v>16841</v>
      </c>
      <c r="H10515" t="s">
        <v>25730</v>
      </c>
    </row>
    <row r="10516" spans="1:8">
      <c r="A10516" t="s">
        <v>829</v>
      </c>
      <c r="B10516">
        <f>HYPERLINK("https://android.googlesource.com/platform/cts/+/233c38d4c89fb6cb65a6e6bdd48847ae2f9f7a2b", "233c38d4c89fb6cb65a6e6bdd48847ae2f9f7a2b")</f>
        <v>0</v>
      </c>
      <c r="C10516">
        <f>HYPERLINK("https://android.googlesource.com/platform/cts/+/2f73496079817471850f1dc77320f7f0be7e34fa", "2f73496079817471850f1dc77320f7f0be7e34fa")</f>
        <v>0</v>
      </c>
      <c r="D10516" t="s">
        <v>5102</v>
      </c>
      <c r="E10516" t="s">
        <v>6610</v>
      </c>
      <c r="F10516" t="s">
        <v>12660</v>
      </c>
      <c r="G10516" t="s">
        <v>16865</v>
      </c>
      <c r="H10516" t="s">
        <v>25744</v>
      </c>
    </row>
    <row r="10517" spans="1:8">
      <c r="A10517" t="s">
        <v>832</v>
      </c>
      <c r="B10517">
        <f>HYPERLINK("https://android.googlesource.com/platform/cts/+/3272ea6b27b39a78e3e1dd72b0486d48f21f3cb2", "3272ea6b27b39a78e3e1dd72b0486d48f21f3cb2")</f>
        <v>0</v>
      </c>
      <c r="C10517">
        <f>HYPERLINK("https://android.googlesource.com/platform/cts/+/27eff0c17a6733a3fdf8129b9c821b72025dcebb", "27eff0c17a6733a3fdf8129b9c821b72025dcebb")</f>
        <v>0</v>
      </c>
      <c r="D10517" t="s">
        <v>5002</v>
      </c>
      <c r="E10517" t="s">
        <v>6613</v>
      </c>
      <c r="F10517" t="s">
        <v>12662</v>
      </c>
      <c r="G10517" t="s">
        <v>16867</v>
      </c>
      <c r="H10517" t="s">
        <v>25756</v>
      </c>
    </row>
    <row r="10518" spans="1:8">
      <c r="F10518" t="s">
        <v>12664</v>
      </c>
      <c r="G10518" t="s">
        <v>16869</v>
      </c>
      <c r="H10518" t="s">
        <v>25758</v>
      </c>
    </row>
    <row r="10519" spans="1:8">
      <c r="H10519" t="s">
        <v>25759</v>
      </c>
    </row>
    <row r="10520" spans="1:8">
      <c r="H10520" t="s">
        <v>25760</v>
      </c>
    </row>
    <row r="10521" spans="1:8">
      <c r="H10521" t="s">
        <v>25761</v>
      </c>
    </row>
    <row r="10522" spans="1:8">
      <c r="H10522" t="s">
        <v>25762</v>
      </c>
    </row>
    <row r="10523" spans="1:8">
      <c r="H10523" t="s">
        <v>25763</v>
      </c>
    </row>
    <row r="10524" spans="1:8">
      <c r="H10524" t="s">
        <v>25764</v>
      </c>
    </row>
    <row r="10525" spans="1:8">
      <c r="H10525" t="s">
        <v>25765</v>
      </c>
    </row>
    <row r="10526" spans="1:8">
      <c r="H10526" t="s">
        <v>25766</v>
      </c>
    </row>
    <row r="10527" spans="1:8">
      <c r="H10527" t="s">
        <v>25767</v>
      </c>
    </row>
    <row r="10528" spans="1:8">
      <c r="H10528" t="s">
        <v>25768</v>
      </c>
    </row>
    <row r="10529" spans="1:8">
      <c r="H10529" t="s">
        <v>25769</v>
      </c>
    </row>
    <row r="10530" spans="1:8">
      <c r="H10530" t="s">
        <v>25770</v>
      </c>
    </row>
    <row r="10531" spans="1:8">
      <c r="H10531" t="s">
        <v>25771</v>
      </c>
    </row>
    <row r="10532" spans="1:8">
      <c r="H10532" t="s">
        <v>25772</v>
      </c>
    </row>
    <row r="10533" spans="1:8">
      <c r="H10533" t="s">
        <v>25773</v>
      </c>
    </row>
    <row r="10534" spans="1:8">
      <c r="A10534" t="s">
        <v>833</v>
      </c>
      <c r="B10534">
        <f>HYPERLINK("https://android.googlesource.com/platform/cts/+/ac45aaf8f6a9955af5dd17cded9b280b95449797", "ac45aaf8f6a9955af5dd17cded9b280b95449797")</f>
        <v>0</v>
      </c>
      <c r="C10534">
        <f>HYPERLINK("https://android.googlesource.com/platform/cts/+/322ac31215e70820d23deeda0eca7acd0d1aaf2d", "322ac31215e70820d23deeda0eca7acd0d1aaf2d")</f>
        <v>0</v>
      </c>
      <c r="D10534" t="s">
        <v>5086</v>
      </c>
      <c r="E10534" t="s">
        <v>6614</v>
      </c>
      <c r="F10534" t="s">
        <v>12665</v>
      </c>
      <c r="G10534" t="s">
        <v>16870</v>
      </c>
      <c r="H10534" t="s">
        <v>25774</v>
      </c>
    </row>
    <row r="10535" spans="1:8">
      <c r="A10535" t="s">
        <v>834</v>
      </c>
      <c r="B10535">
        <f>HYPERLINK("https://android.googlesource.com/platform/cts/+/7530eed68f92aacb835a76f641669e6ed139b738", "7530eed68f92aacb835a76f641669e6ed139b738")</f>
        <v>0</v>
      </c>
      <c r="C10535">
        <f>HYPERLINK("https://android.googlesource.com/platform/cts/+/d95b38b71f2edd18ce635cb6f7db7cb8a480f6db", "d95b38b71f2edd18ce635cb6f7db7cb8a480f6db")</f>
        <v>0</v>
      </c>
      <c r="D10535" t="s">
        <v>4981</v>
      </c>
      <c r="E10535" t="s">
        <v>6615</v>
      </c>
      <c r="F10535" t="s">
        <v>12666</v>
      </c>
      <c r="G10535" t="s">
        <v>16871</v>
      </c>
      <c r="H10535" t="s">
        <v>25775</v>
      </c>
    </row>
    <row r="10536" spans="1:8">
      <c r="H10536" t="s">
        <v>25776</v>
      </c>
    </row>
    <row r="10537" spans="1:8">
      <c r="A10537" t="s">
        <v>835</v>
      </c>
      <c r="B10537">
        <f>HYPERLINK("https://android.googlesource.com/platform/cts/+/55cf974acfbd9ad29cc65e0ea961cb07ba124ef4", "55cf974acfbd9ad29cc65e0ea961cb07ba124ef4")</f>
        <v>0</v>
      </c>
      <c r="C10537">
        <f>HYPERLINK("https://android.googlesource.com/platform/cts/+/0f19d7f64134ddeb14bcc9c5289179dabbf678bb", "0f19d7f64134ddeb14bcc9c5289179dabbf678bb")</f>
        <v>0</v>
      </c>
      <c r="D10537" t="s">
        <v>5086</v>
      </c>
      <c r="E10537" t="s">
        <v>6616</v>
      </c>
      <c r="F10537" t="s">
        <v>12419</v>
      </c>
      <c r="G10537" t="s">
        <v>16641</v>
      </c>
      <c r="H10537" t="s">
        <v>25778</v>
      </c>
    </row>
    <row r="10538" spans="1:8">
      <c r="H10538" t="s">
        <v>25779</v>
      </c>
    </row>
    <row r="10539" spans="1:8">
      <c r="H10539" t="s">
        <v>25780</v>
      </c>
    </row>
    <row r="10540" spans="1:8">
      <c r="H10540" t="s">
        <v>25781</v>
      </c>
    </row>
    <row r="10541" spans="1:8">
      <c r="H10541" t="s">
        <v>25782</v>
      </c>
    </row>
    <row r="10542" spans="1:8">
      <c r="H10542" t="s">
        <v>25783</v>
      </c>
    </row>
    <row r="10543" spans="1:8">
      <c r="A10543" t="s">
        <v>836</v>
      </c>
      <c r="B10543">
        <f>HYPERLINK("https://android.googlesource.com/platform/cts/+/c397e8e5defd0e273e76848af63e40c80d396da9", "c397e8e5defd0e273e76848af63e40c80d396da9")</f>
        <v>0</v>
      </c>
      <c r="C10543">
        <f>HYPERLINK("https://android.googlesource.com/platform/cts/+/2f73496079817471850f1dc77320f7f0be7e34fa", "2f73496079817471850f1dc77320f7f0be7e34fa")</f>
        <v>0</v>
      </c>
      <c r="D10543" t="s">
        <v>4937</v>
      </c>
      <c r="E10543" t="s">
        <v>6617</v>
      </c>
      <c r="F10543" t="s">
        <v>12667</v>
      </c>
      <c r="G10543" t="s">
        <v>16872</v>
      </c>
      <c r="H10543" t="s">
        <v>25785</v>
      </c>
    </row>
    <row r="10544" spans="1:8">
      <c r="H10544" t="s">
        <v>25786</v>
      </c>
    </row>
    <row r="10545" spans="1:8">
      <c r="H10545" t="s">
        <v>25787</v>
      </c>
    </row>
    <row r="10546" spans="1:8">
      <c r="A10546" t="s">
        <v>837</v>
      </c>
      <c r="B10546">
        <f>HYPERLINK("https://android.googlesource.com/platform/cts/+/f877c5a0f71713a6118f00af11744bed1540a802", "f877c5a0f71713a6118f00af11744bed1540a802")</f>
        <v>0</v>
      </c>
      <c r="C10546">
        <f>HYPERLINK("https://android.googlesource.com/platform/cts/+/5b5fb5e6be49bd395266ff003783ecfdf37cfb95", "5b5fb5e6be49bd395266ff003783ecfdf37cfb95")</f>
        <v>0</v>
      </c>
      <c r="D10546" t="s">
        <v>5086</v>
      </c>
      <c r="E10546" t="s">
        <v>6618</v>
      </c>
      <c r="F10546" t="s">
        <v>12629</v>
      </c>
      <c r="G10546" t="s">
        <v>16838</v>
      </c>
      <c r="H10546" t="s">
        <v>25795</v>
      </c>
    </row>
    <row r="10547" spans="1:8">
      <c r="A10547" t="s">
        <v>838</v>
      </c>
      <c r="B10547">
        <f>HYPERLINK("https://android.googlesource.com/platform/cts/+/1db396d56ceb9ab23937d3c833c8678ff9e9628a", "1db396d56ceb9ab23937d3c833c8678ff9e9628a")</f>
        <v>0</v>
      </c>
      <c r="C10547">
        <f>HYPERLINK("https://android.googlesource.com/platform/cts/+/f877c5a0f71713a6118f00af11744bed1540a802", "f877c5a0f71713a6118f00af11744bed1540a802")</f>
        <v>0</v>
      </c>
      <c r="D10547" t="s">
        <v>5086</v>
      </c>
      <c r="E10547" t="s">
        <v>6619</v>
      </c>
      <c r="F10547" t="s">
        <v>12629</v>
      </c>
      <c r="G10547" t="s">
        <v>16838</v>
      </c>
      <c r="H10547" t="s">
        <v>25800</v>
      </c>
    </row>
    <row r="10548" spans="1:8">
      <c r="A10548" t="s">
        <v>839</v>
      </c>
      <c r="B10548">
        <f>HYPERLINK("https://android.googlesource.com/platform/cts/+/e772d86ec7215f6976e8ff0418b70bc40f0dd327", "e772d86ec7215f6976e8ff0418b70bc40f0dd327")</f>
        <v>0</v>
      </c>
      <c r="C10548">
        <f>HYPERLINK("https://android.googlesource.com/platform/cts/+/1db396d56ceb9ab23937d3c833c8678ff9e9628a", "1db396d56ceb9ab23937d3c833c8678ff9e9628a")</f>
        <v>0</v>
      </c>
      <c r="D10548" t="s">
        <v>5086</v>
      </c>
      <c r="E10548" t="s">
        <v>6620</v>
      </c>
      <c r="F10548" t="s">
        <v>12629</v>
      </c>
      <c r="G10548" t="s">
        <v>16838</v>
      </c>
      <c r="H10548" t="s">
        <v>25801</v>
      </c>
    </row>
    <row r="10549" spans="1:8">
      <c r="A10549" t="s">
        <v>840</v>
      </c>
      <c r="B10549">
        <f>HYPERLINK("https://android.googlesource.com/platform/cts/+/84d67ea320b2ca5458c020bf2d68833b44f01e6b", "84d67ea320b2ca5458c020bf2d68833b44f01e6b")</f>
        <v>0</v>
      </c>
      <c r="C10549">
        <f>HYPERLINK("https://android.googlesource.com/platform/cts/+/3016c3204e8434e461c85cb9a8e6fb6cf37c0dbf", "3016c3204e8434e461c85cb9a8e6fb6cf37c0dbf")</f>
        <v>0</v>
      </c>
      <c r="D10549" t="s">
        <v>5103</v>
      </c>
      <c r="E10549" t="s">
        <v>6621</v>
      </c>
      <c r="F10549" t="s">
        <v>12399</v>
      </c>
      <c r="G10549" t="s">
        <v>16606</v>
      </c>
      <c r="H10549" t="s">
        <v>25803</v>
      </c>
    </row>
    <row r="10550" spans="1:8">
      <c r="H10550" t="s">
        <v>25804</v>
      </c>
    </row>
    <row r="10551" spans="1:8">
      <c r="A10551" t="s">
        <v>842</v>
      </c>
      <c r="B10551">
        <f>HYPERLINK("https://android.googlesource.com/platform/cts/+/682a07b9399f7fc80a025753884b6b621da96328", "682a07b9399f7fc80a025753884b6b621da96328")</f>
        <v>0</v>
      </c>
      <c r="C10551">
        <f>HYPERLINK("https://android.googlesource.com/platform/cts/+/e6b2323cee0957b36631473b3138de780b687e8a", "e6b2323cee0957b36631473b3138de780b687e8a")</f>
        <v>0</v>
      </c>
      <c r="D10551" t="s">
        <v>5105</v>
      </c>
      <c r="E10551" t="s">
        <v>6623</v>
      </c>
      <c r="F10551" t="s">
        <v>12670</v>
      </c>
      <c r="G10551" t="s">
        <v>16875</v>
      </c>
      <c r="H10551" t="s">
        <v>25806</v>
      </c>
    </row>
    <row r="10552" spans="1:8">
      <c r="A10552" t="s">
        <v>843</v>
      </c>
      <c r="B10552">
        <f>HYPERLINK("https://android.googlesource.com/platform/cts/+/7ffe1affde8af674c875fed310757c70c44e8339", "7ffe1affde8af674c875fed310757c70c44e8339")</f>
        <v>0</v>
      </c>
      <c r="C10552">
        <f>HYPERLINK("https://android.googlesource.com/platform/cts/+/4d478a45fc29d2a8edc81665a165610f9cf1a7d1", "4d478a45fc29d2a8edc81665a165610f9cf1a7d1")</f>
        <v>0</v>
      </c>
      <c r="D10552" t="s">
        <v>5057</v>
      </c>
      <c r="E10552" t="s">
        <v>6624</v>
      </c>
      <c r="F10552" t="s">
        <v>12656</v>
      </c>
      <c r="G10552" t="s">
        <v>16861</v>
      </c>
      <c r="H10552" t="s">
        <v>25807</v>
      </c>
    </row>
    <row r="10553" spans="1:8">
      <c r="H10553" t="s">
        <v>25808</v>
      </c>
    </row>
    <row r="10554" spans="1:8">
      <c r="H10554" t="s">
        <v>25809</v>
      </c>
    </row>
    <row r="10555" spans="1:8">
      <c r="H10555" t="s">
        <v>25810</v>
      </c>
    </row>
    <row r="10556" spans="1:8">
      <c r="H10556" t="s">
        <v>25811</v>
      </c>
    </row>
    <row r="10557" spans="1:8">
      <c r="H10557" t="s">
        <v>25812</v>
      </c>
    </row>
    <row r="10558" spans="1:8">
      <c r="H10558" t="s">
        <v>25813</v>
      </c>
    </row>
    <row r="10559" spans="1:8">
      <c r="H10559" t="s">
        <v>25814</v>
      </c>
    </row>
    <row r="10560" spans="1:8">
      <c r="H10560" t="s">
        <v>25815</v>
      </c>
    </row>
    <row r="10561" spans="1:8">
      <c r="H10561" t="s">
        <v>25816</v>
      </c>
    </row>
    <row r="10562" spans="1:8">
      <c r="H10562" t="s">
        <v>25817</v>
      </c>
    </row>
    <row r="10563" spans="1:8">
      <c r="H10563" t="s">
        <v>25818</v>
      </c>
    </row>
    <row r="10564" spans="1:8">
      <c r="H10564" t="s">
        <v>25819</v>
      </c>
    </row>
    <row r="10565" spans="1:8">
      <c r="H10565" t="s">
        <v>25820</v>
      </c>
    </row>
    <row r="10566" spans="1:8">
      <c r="H10566" t="s">
        <v>25821</v>
      </c>
    </row>
    <row r="10567" spans="1:8">
      <c r="H10567" t="s">
        <v>25822</v>
      </c>
    </row>
    <row r="10568" spans="1:8">
      <c r="H10568" t="s">
        <v>25823</v>
      </c>
    </row>
    <row r="10569" spans="1:8">
      <c r="H10569" t="s">
        <v>25824</v>
      </c>
    </row>
    <row r="10570" spans="1:8">
      <c r="H10570" t="s">
        <v>25825</v>
      </c>
    </row>
    <row r="10571" spans="1:8">
      <c r="H10571" t="s">
        <v>25826</v>
      </c>
    </row>
    <row r="10572" spans="1:8">
      <c r="H10572" t="s">
        <v>25827</v>
      </c>
    </row>
    <row r="10573" spans="1:8">
      <c r="H10573" t="s">
        <v>25828</v>
      </c>
    </row>
    <row r="10574" spans="1:8">
      <c r="A10574" t="s">
        <v>844</v>
      </c>
      <c r="B10574">
        <f>HYPERLINK("https://android.googlesource.com/platform/cts/+/56d285ace4137dc9a3a00093322638631fa0bd05", "56d285ace4137dc9a3a00093322638631fa0bd05")</f>
        <v>0</v>
      </c>
      <c r="C10574">
        <f>HYPERLINK("https://android.googlesource.com/platform/cts/+/4a768873731f2a3300a7937131307a71f429e3ca", "4a768873731f2a3300a7937131307a71f429e3ca")</f>
        <v>0</v>
      </c>
      <c r="D10574" t="s">
        <v>5089</v>
      </c>
      <c r="E10574" t="s">
        <v>6625</v>
      </c>
      <c r="F10574" t="s">
        <v>12671</v>
      </c>
      <c r="G10574" t="s">
        <v>15069</v>
      </c>
      <c r="H10574" t="s">
        <v>25829</v>
      </c>
    </row>
    <row r="10575" spans="1:8">
      <c r="H10575" t="s">
        <v>25830</v>
      </c>
    </row>
    <row r="10576" spans="1:8">
      <c r="H10576" t="s">
        <v>25831</v>
      </c>
    </row>
    <row r="10577" spans="1:8">
      <c r="A10577" t="s">
        <v>846</v>
      </c>
      <c r="B10577">
        <f>HYPERLINK("https://android.googlesource.com/platform/cts/+/b9ee1f9683356a1edcd32bca59ac16f78f1927e5", "b9ee1f9683356a1edcd32bca59ac16f78f1927e5")</f>
        <v>0</v>
      </c>
      <c r="C10577">
        <f>HYPERLINK("https://android.googlesource.com/platform/cts/+/6ae0bcd2944168838f86df6279abaa8b1bbf734c", "6ae0bcd2944168838f86df6279abaa8b1bbf734c")</f>
        <v>0</v>
      </c>
      <c r="D10577" t="s">
        <v>5092</v>
      </c>
      <c r="E10577" t="s">
        <v>6627</v>
      </c>
      <c r="F10577" t="s">
        <v>12627</v>
      </c>
      <c r="G10577" t="s">
        <v>16417</v>
      </c>
      <c r="H10577" t="s">
        <v>25541</v>
      </c>
    </row>
    <row r="10578" spans="1:8">
      <c r="H10578" t="s">
        <v>25542</v>
      </c>
    </row>
    <row r="10579" spans="1:8">
      <c r="H10579" t="s">
        <v>25543</v>
      </c>
    </row>
    <row r="10580" spans="1:8">
      <c r="H10580" t="s">
        <v>25544</v>
      </c>
    </row>
    <row r="10581" spans="1:8">
      <c r="H10581" t="s">
        <v>25545</v>
      </c>
    </row>
    <row r="10582" spans="1:8">
      <c r="H10582" t="s">
        <v>25546</v>
      </c>
    </row>
    <row r="10583" spans="1:8">
      <c r="H10583" t="s">
        <v>25547</v>
      </c>
    </row>
    <row r="10584" spans="1:8">
      <c r="H10584" t="s">
        <v>25548</v>
      </c>
    </row>
    <row r="10585" spans="1:8">
      <c r="H10585" t="s">
        <v>25551</v>
      </c>
    </row>
    <row r="10586" spans="1:8">
      <c r="H10586" t="s">
        <v>25552</v>
      </c>
    </row>
    <row r="10587" spans="1:8">
      <c r="A10587" t="s">
        <v>848</v>
      </c>
      <c r="B10587">
        <f>HYPERLINK("https://android.googlesource.com/platform/cts/+/69f4ec4191166d198355a77e5622aeae6f50cb94", "69f4ec4191166d198355a77e5622aeae6f50cb94")</f>
        <v>0</v>
      </c>
      <c r="C10587">
        <f>HYPERLINK("https://android.googlesource.com/platform/cts/+/b32579835faa095c1e068132252596c8fb62c12a", "b32579835faa095c1e068132252596c8fb62c12a")</f>
        <v>0</v>
      </c>
      <c r="D10587" t="s">
        <v>5107</v>
      </c>
      <c r="E10587" t="s">
        <v>6629</v>
      </c>
      <c r="F10587" t="s">
        <v>12674</v>
      </c>
      <c r="G10587" t="s">
        <v>16878</v>
      </c>
      <c r="H10587" t="s">
        <v>25835</v>
      </c>
    </row>
    <row r="10588" spans="1:8">
      <c r="A10588" t="s">
        <v>849</v>
      </c>
      <c r="B10588">
        <f>HYPERLINK("https://android.googlesource.com/platform/cts/+/86b43e543f42aef87699a9bf62a7a201c977276b", "86b43e543f42aef87699a9bf62a7a201c977276b")</f>
        <v>0</v>
      </c>
      <c r="C10588">
        <f>HYPERLINK("https://android.googlesource.com/platform/cts/+/48e3c76c29a0f444dda22d0f39b60553ad94788a", "48e3c76c29a0f444dda22d0f39b60553ad94788a")</f>
        <v>0</v>
      </c>
      <c r="D10588" t="s">
        <v>5065</v>
      </c>
      <c r="E10588" t="s">
        <v>6630</v>
      </c>
      <c r="F10588" t="s">
        <v>10700</v>
      </c>
      <c r="G10588" t="s">
        <v>15100</v>
      </c>
      <c r="H10588" t="s">
        <v>25837</v>
      </c>
    </row>
    <row r="10589" spans="1:8">
      <c r="A10589" t="s">
        <v>852</v>
      </c>
      <c r="B10589">
        <f>HYPERLINK("https://android.googlesource.com/platform/cts/+/7cac2e6a081e4b8c3d232291d69bfff1683b9a0c", "7cac2e6a081e4b8c3d232291d69bfff1683b9a0c")</f>
        <v>0</v>
      </c>
      <c r="C10589">
        <f>HYPERLINK("https://android.googlesource.com/platform/cts/+/16adf601b94734ce74deeadc0c9340e603f35726", "16adf601b94734ce74deeadc0c9340e603f35726")</f>
        <v>0</v>
      </c>
      <c r="D10589" t="s">
        <v>5040</v>
      </c>
      <c r="E10589" t="s">
        <v>6633</v>
      </c>
      <c r="F10589" t="s">
        <v>12675</v>
      </c>
      <c r="G10589" t="s">
        <v>16879</v>
      </c>
      <c r="H10589" t="s">
        <v>25840</v>
      </c>
    </row>
    <row r="10590" spans="1:8">
      <c r="H10590" t="s">
        <v>25841</v>
      </c>
    </row>
    <row r="10591" spans="1:8">
      <c r="F10591" t="s">
        <v>12676</v>
      </c>
      <c r="G10591" t="s">
        <v>16880</v>
      </c>
      <c r="H10591" t="s">
        <v>25842</v>
      </c>
    </row>
    <row r="10592" spans="1:8">
      <c r="H10592" t="s">
        <v>25843</v>
      </c>
    </row>
    <row r="10593" spans="8:8">
      <c r="H10593" t="s">
        <v>25844</v>
      </c>
    </row>
    <row r="10594" spans="8:8">
      <c r="H10594" t="s">
        <v>25845</v>
      </c>
    </row>
    <row r="10595" spans="8:8">
      <c r="H10595" t="s">
        <v>25846</v>
      </c>
    </row>
    <row r="10596" spans="8:8">
      <c r="H10596" t="s">
        <v>25847</v>
      </c>
    </row>
    <row r="10597" spans="8:8">
      <c r="H10597" t="s">
        <v>25848</v>
      </c>
    </row>
    <row r="10598" spans="8:8">
      <c r="H10598" t="s">
        <v>25849</v>
      </c>
    </row>
    <row r="10599" spans="8:8">
      <c r="H10599" t="s">
        <v>25850</v>
      </c>
    </row>
    <row r="10600" spans="8:8">
      <c r="H10600" t="s">
        <v>25851</v>
      </c>
    </row>
    <row r="10601" spans="8:8">
      <c r="H10601" t="s">
        <v>25852</v>
      </c>
    </row>
    <row r="10602" spans="8:8">
      <c r="H10602" t="s">
        <v>25853</v>
      </c>
    </row>
    <row r="10603" spans="8:8">
      <c r="H10603" t="s">
        <v>25854</v>
      </c>
    </row>
    <row r="10604" spans="8:8">
      <c r="H10604" t="s">
        <v>25855</v>
      </c>
    </row>
    <row r="10605" spans="8:8">
      <c r="H10605" t="s">
        <v>25856</v>
      </c>
    </row>
    <row r="10606" spans="8:8">
      <c r="H10606" t="s">
        <v>25857</v>
      </c>
    </row>
    <row r="10607" spans="8:8">
      <c r="H10607" t="s">
        <v>25858</v>
      </c>
    </row>
    <row r="10608" spans="8:8">
      <c r="H10608" t="s">
        <v>25859</v>
      </c>
    </row>
    <row r="10609" spans="6:8">
      <c r="H10609" t="s">
        <v>25860</v>
      </c>
    </row>
    <row r="10610" spans="6:8">
      <c r="F10610" t="s">
        <v>12677</v>
      </c>
      <c r="G10610" t="s">
        <v>16881</v>
      </c>
      <c r="H10610" t="s">
        <v>25861</v>
      </c>
    </row>
    <row r="10611" spans="6:8">
      <c r="H10611" t="s">
        <v>25862</v>
      </c>
    </row>
    <row r="10612" spans="6:8">
      <c r="H10612" t="s">
        <v>25863</v>
      </c>
    </row>
    <row r="10613" spans="6:8">
      <c r="H10613" t="s">
        <v>25864</v>
      </c>
    </row>
    <row r="10614" spans="6:8">
      <c r="F10614" t="s">
        <v>12679</v>
      </c>
      <c r="G10614" t="s">
        <v>16883</v>
      </c>
      <c r="H10614" t="s">
        <v>25868</v>
      </c>
    </row>
    <row r="10615" spans="6:8">
      <c r="H10615" t="s">
        <v>25869</v>
      </c>
    </row>
    <row r="10616" spans="6:8">
      <c r="H10616" t="s">
        <v>25870</v>
      </c>
    </row>
    <row r="10617" spans="6:8">
      <c r="H10617" t="s">
        <v>25871</v>
      </c>
    </row>
    <row r="10618" spans="6:8">
      <c r="H10618" t="s">
        <v>25872</v>
      </c>
    </row>
    <row r="10619" spans="6:8">
      <c r="H10619" t="s">
        <v>25873</v>
      </c>
    </row>
    <row r="10620" spans="6:8">
      <c r="H10620" t="s">
        <v>25874</v>
      </c>
    </row>
    <row r="10621" spans="6:8">
      <c r="H10621" t="s">
        <v>25875</v>
      </c>
    </row>
    <row r="10622" spans="6:8">
      <c r="H10622" t="s">
        <v>25876</v>
      </c>
    </row>
    <row r="10623" spans="6:8">
      <c r="H10623" t="s">
        <v>25877</v>
      </c>
    </row>
    <row r="10624" spans="6:8">
      <c r="H10624" t="s">
        <v>25878</v>
      </c>
    </row>
    <row r="10625" spans="6:8">
      <c r="H10625" t="s">
        <v>25879</v>
      </c>
    </row>
    <row r="10626" spans="6:8">
      <c r="H10626" t="s">
        <v>25880</v>
      </c>
    </row>
    <row r="10627" spans="6:8">
      <c r="H10627" t="s">
        <v>25881</v>
      </c>
    </row>
    <row r="10628" spans="6:8">
      <c r="H10628" t="s">
        <v>25882</v>
      </c>
    </row>
    <row r="10629" spans="6:8">
      <c r="H10629" t="s">
        <v>25883</v>
      </c>
    </row>
    <row r="10630" spans="6:8">
      <c r="H10630" t="s">
        <v>25884</v>
      </c>
    </row>
    <row r="10631" spans="6:8">
      <c r="H10631" t="s">
        <v>25885</v>
      </c>
    </row>
    <row r="10632" spans="6:8">
      <c r="H10632" t="s">
        <v>25886</v>
      </c>
    </row>
    <row r="10633" spans="6:8">
      <c r="H10633" t="s">
        <v>25887</v>
      </c>
    </row>
    <row r="10634" spans="6:8">
      <c r="H10634" t="s">
        <v>25888</v>
      </c>
    </row>
    <row r="10635" spans="6:8">
      <c r="H10635" t="s">
        <v>25889</v>
      </c>
    </row>
    <row r="10636" spans="6:8">
      <c r="H10636" t="s">
        <v>25890</v>
      </c>
    </row>
    <row r="10637" spans="6:8">
      <c r="H10637" t="s">
        <v>25891</v>
      </c>
    </row>
    <row r="10638" spans="6:8">
      <c r="F10638" t="s">
        <v>12680</v>
      </c>
      <c r="G10638" t="s">
        <v>16884</v>
      </c>
      <c r="H10638" t="s">
        <v>25892</v>
      </c>
    </row>
    <row r="10639" spans="6:8">
      <c r="H10639" t="s">
        <v>25893</v>
      </c>
    </row>
    <row r="10640" spans="6:8">
      <c r="H10640" t="s">
        <v>25894</v>
      </c>
    </row>
    <row r="10641" spans="8:8">
      <c r="H10641" t="s">
        <v>25895</v>
      </c>
    </row>
    <row r="10642" spans="8:8">
      <c r="H10642" t="s">
        <v>25896</v>
      </c>
    </row>
    <row r="10643" spans="8:8">
      <c r="H10643" t="s">
        <v>25897</v>
      </c>
    </row>
    <row r="10644" spans="8:8">
      <c r="H10644" t="s">
        <v>25898</v>
      </c>
    </row>
    <row r="10645" spans="8:8">
      <c r="H10645" t="s">
        <v>25899</v>
      </c>
    </row>
    <row r="10646" spans="8:8">
      <c r="H10646" t="s">
        <v>25900</v>
      </c>
    </row>
    <row r="10647" spans="8:8">
      <c r="H10647" t="s">
        <v>25901</v>
      </c>
    </row>
    <row r="10648" spans="8:8">
      <c r="H10648" t="s">
        <v>25902</v>
      </c>
    </row>
    <row r="10649" spans="8:8">
      <c r="H10649" t="s">
        <v>25903</v>
      </c>
    </row>
    <row r="10650" spans="8:8">
      <c r="H10650" t="s">
        <v>25904</v>
      </c>
    </row>
    <row r="10651" spans="8:8">
      <c r="H10651" t="s">
        <v>25905</v>
      </c>
    </row>
    <row r="10652" spans="8:8">
      <c r="H10652" t="s">
        <v>25906</v>
      </c>
    </row>
    <row r="10653" spans="8:8">
      <c r="H10653" t="s">
        <v>25907</v>
      </c>
    </row>
    <row r="10654" spans="8:8">
      <c r="H10654" t="s">
        <v>25908</v>
      </c>
    </row>
    <row r="10655" spans="8:8">
      <c r="H10655" t="s">
        <v>25909</v>
      </c>
    </row>
    <row r="10656" spans="8:8">
      <c r="H10656" t="s">
        <v>25910</v>
      </c>
    </row>
    <row r="10657" spans="6:8">
      <c r="H10657" t="s">
        <v>25911</v>
      </c>
    </row>
    <row r="10658" spans="6:8">
      <c r="H10658" t="s">
        <v>25912</v>
      </c>
    </row>
    <row r="10659" spans="6:8">
      <c r="H10659" t="s">
        <v>25913</v>
      </c>
    </row>
    <row r="10660" spans="6:8">
      <c r="H10660" t="s">
        <v>25914</v>
      </c>
    </row>
    <row r="10661" spans="6:8">
      <c r="H10661" t="s">
        <v>25915</v>
      </c>
    </row>
    <row r="10662" spans="6:8">
      <c r="H10662" t="s">
        <v>25916</v>
      </c>
    </row>
    <row r="10663" spans="6:8">
      <c r="H10663" t="s">
        <v>25917</v>
      </c>
    </row>
    <row r="10664" spans="6:8">
      <c r="H10664" t="s">
        <v>25918</v>
      </c>
    </row>
    <row r="10665" spans="6:8">
      <c r="H10665" t="s">
        <v>25919</v>
      </c>
    </row>
    <row r="10666" spans="6:8">
      <c r="H10666" t="s">
        <v>25920</v>
      </c>
    </row>
    <row r="10667" spans="6:8">
      <c r="H10667" t="s">
        <v>25921</v>
      </c>
    </row>
    <row r="10668" spans="6:8">
      <c r="H10668" t="s">
        <v>25922</v>
      </c>
    </row>
    <row r="10669" spans="6:8">
      <c r="H10669" t="s">
        <v>25923</v>
      </c>
    </row>
    <row r="10670" spans="6:8">
      <c r="H10670" t="s">
        <v>25924</v>
      </c>
    </row>
    <row r="10671" spans="6:8">
      <c r="F10671" t="s">
        <v>12681</v>
      </c>
      <c r="G10671" t="s">
        <v>16885</v>
      </c>
      <c r="H10671" t="s">
        <v>25925</v>
      </c>
    </row>
    <row r="10672" spans="6:8">
      <c r="H10672" t="s">
        <v>25926</v>
      </c>
    </row>
    <row r="10673" spans="6:8">
      <c r="H10673" t="s">
        <v>25927</v>
      </c>
    </row>
    <row r="10674" spans="6:8">
      <c r="H10674" t="s">
        <v>25928</v>
      </c>
    </row>
    <row r="10675" spans="6:8">
      <c r="F10675" t="s">
        <v>12682</v>
      </c>
      <c r="G10675" t="s">
        <v>16886</v>
      </c>
      <c r="H10675" t="s">
        <v>25929</v>
      </c>
    </row>
    <row r="10676" spans="6:8">
      <c r="H10676" t="s">
        <v>25930</v>
      </c>
    </row>
    <row r="10677" spans="6:8">
      <c r="H10677" t="s">
        <v>25931</v>
      </c>
    </row>
    <row r="10678" spans="6:8">
      <c r="F10678" t="s">
        <v>12683</v>
      </c>
      <c r="G10678" t="s">
        <v>16887</v>
      </c>
      <c r="H10678" t="s">
        <v>25932</v>
      </c>
    </row>
    <row r="10679" spans="6:8">
      <c r="H10679" t="s">
        <v>25933</v>
      </c>
    </row>
    <row r="10680" spans="6:8">
      <c r="H10680" t="s">
        <v>25934</v>
      </c>
    </row>
    <row r="10681" spans="6:8">
      <c r="H10681" t="s">
        <v>25935</v>
      </c>
    </row>
    <row r="10682" spans="6:8">
      <c r="H10682" t="s">
        <v>25936</v>
      </c>
    </row>
    <row r="10683" spans="6:8">
      <c r="F10683" t="s">
        <v>12684</v>
      </c>
      <c r="G10683" t="s">
        <v>16888</v>
      </c>
      <c r="H10683" t="s">
        <v>25937</v>
      </c>
    </row>
    <row r="10684" spans="6:8">
      <c r="H10684" t="s">
        <v>25938</v>
      </c>
    </row>
    <row r="10685" spans="6:8">
      <c r="H10685" t="s">
        <v>25939</v>
      </c>
    </row>
    <row r="10686" spans="6:8">
      <c r="H10686" t="s">
        <v>25940</v>
      </c>
    </row>
    <row r="10687" spans="6:8">
      <c r="H10687" t="s">
        <v>25941</v>
      </c>
    </row>
    <row r="10688" spans="6:8">
      <c r="H10688" t="s">
        <v>25942</v>
      </c>
    </row>
    <row r="10689" spans="1:8">
      <c r="H10689" t="s">
        <v>25943</v>
      </c>
    </row>
    <row r="10690" spans="1:8">
      <c r="H10690" t="s">
        <v>25944</v>
      </c>
    </row>
    <row r="10691" spans="1:8">
      <c r="F10691" t="s">
        <v>12685</v>
      </c>
      <c r="G10691" t="s">
        <v>16889</v>
      </c>
      <c r="H10691" t="s">
        <v>25945</v>
      </c>
    </row>
    <row r="10692" spans="1:8">
      <c r="H10692" t="s">
        <v>25933</v>
      </c>
    </row>
    <row r="10693" spans="1:8">
      <c r="F10693" t="s">
        <v>12686</v>
      </c>
      <c r="G10693" t="s">
        <v>16890</v>
      </c>
      <c r="H10693" t="s">
        <v>25946</v>
      </c>
    </row>
    <row r="10694" spans="1:8">
      <c r="F10694" t="s">
        <v>12687</v>
      </c>
      <c r="G10694" t="s">
        <v>16891</v>
      </c>
      <c r="H10694" t="s">
        <v>25948</v>
      </c>
    </row>
    <row r="10695" spans="1:8">
      <c r="H10695" t="s">
        <v>25949</v>
      </c>
    </row>
    <row r="10696" spans="1:8">
      <c r="H10696" t="s">
        <v>25950</v>
      </c>
    </row>
    <row r="10697" spans="1:8">
      <c r="H10697" t="s">
        <v>25951</v>
      </c>
    </row>
    <row r="10698" spans="1:8">
      <c r="H10698" t="s">
        <v>25952</v>
      </c>
    </row>
    <row r="10699" spans="1:8">
      <c r="F10699" t="s">
        <v>12688</v>
      </c>
      <c r="G10699" t="s">
        <v>16892</v>
      </c>
      <c r="H10699" t="s">
        <v>25952</v>
      </c>
    </row>
    <row r="10700" spans="1:8">
      <c r="A10700" t="s">
        <v>853</v>
      </c>
      <c r="B10700">
        <f>HYPERLINK("https://android.googlesource.com/platform/cts/+/cdd549d382c1b8a27cfaf0daf048b493713ffe2e", "cdd549d382c1b8a27cfaf0daf048b493713ffe2e")</f>
        <v>0</v>
      </c>
      <c r="C10700">
        <f>HYPERLINK("https://android.googlesource.com/platform/cts/+/5eb0beea1659a29d1a0d8bff4e6ee2d583c860d3", "5eb0beea1659a29d1a0d8bff4e6ee2d583c860d3")</f>
        <v>0</v>
      </c>
      <c r="D10700" t="s">
        <v>5002</v>
      </c>
      <c r="E10700" t="s">
        <v>6634</v>
      </c>
      <c r="F10700" t="s">
        <v>12690</v>
      </c>
      <c r="G10700" t="s">
        <v>16894</v>
      </c>
      <c r="H10700" t="s">
        <v>25716</v>
      </c>
    </row>
    <row r="10701" spans="1:8">
      <c r="F10701" t="s">
        <v>12615</v>
      </c>
      <c r="G10701" t="s">
        <v>16826</v>
      </c>
      <c r="H10701" t="s">
        <v>25958</v>
      </c>
    </row>
    <row r="10702" spans="1:8">
      <c r="H10702" t="s">
        <v>25959</v>
      </c>
    </row>
    <row r="10703" spans="1:8">
      <c r="A10703" t="s">
        <v>856</v>
      </c>
      <c r="B10703">
        <f>HYPERLINK("https://android.googlesource.com/platform/cts/+/b58cd0172405a7ee4ebf8e620ab1db549f790ea7", "b58cd0172405a7ee4ebf8e620ab1db549f790ea7")</f>
        <v>0</v>
      </c>
      <c r="C10703">
        <f>HYPERLINK("https://android.googlesource.com/platform/cts/+/1cd85c855a22021c3777ae3b14b4bace10acb39d", "1cd85c855a22021c3777ae3b14b4bace10acb39d")</f>
        <v>0</v>
      </c>
      <c r="D10703" t="s">
        <v>5077</v>
      </c>
      <c r="E10703" t="s">
        <v>6637</v>
      </c>
      <c r="F10703" t="s">
        <v>12692</v>
      </c>
      <c r="G10703" t="s">
        <v>16896</v>
      </c>
      <c r="H10703" t="s">
        <v>25980</v>
      </c>
    </row>
    <row r="10704" spans="1:8">
      <c r="A10704" t="s">
        <v>857</v>
      </c>
      <c r="B10704">
        <f>HYPERLINK("https://android.googlesource.com/platform/cts/+/1c28c69c33fd2e8b84b22b240ca96c1df105e2fd", "1c28c69c33fd2e8b84b22b240ca96c1df105e2fd")</f>
        <v>0</v>
      </c>
      <c r="C10704">
        <f>HYPERLINK("https://android.googlesource.com/platform/cts/+/cdd549d382c1b8a27cfaf0daf048b493713ffe2e", "cdd549d382c1b8a27cfaf0daf048b493713ffe2e")</f>
        <v>0</v>
      </c>
      <c r="D10704" t="s">
        <v>5002</v>
      </c>
      <c r="E10704" t="s">
        <v>6638</v>
      </c>
      <c r="F10704" t="s">
        <v>12693</v>
      </c>
      <c r="G10704" t="s">
        <v>16897</v>
      </c>
      <c r="H10704" t="s">
        <v>25958</v>
      </c>
    </row>
    <row r="10705" spans="1:8">
      <c r="H10705" t="s">
        <v>25959</v>
      </c>
    </row>
    <row r="10706" spans="1:8">
      <c r="A10706" t="s">
        <v>858</v>
      </c>
      <c r="B10706">
        <f>HYPERLINK("https://android.googlesource.com/platform/cts/+/0ce632b8a1c66dc41690aec328f086eeda429768", "0ce632b8a1c66dc41690aec328f086eeda429768")</f>
        <v>0</v>
      </c>
      <c r="C10706">
        <f>HYPERLINK("https://android.googlesource.com/platform/cts/+/1c28c69c33fd2e8b84b22b240ca96c1df105e2fd", "1c28c69c33fd2e8b84b22b240ca96c1df105e2fd")</f>
        <v>0</v>
      </c>
      <c r="D10706" t="s">
        <v>5002</v>
      </c>
      <c r="E10706" t="s">
        <v>6639</v>
      </c>
      <c r="F10706" t="s">
        <v>12690</v>
      </c>
      <c r="G10706" t="s">
        <v>16894</v>
      </c>
      <c r="H10706" t="s">
        <v>25716</v>
      </c>
    </row>
    <row r="10707" spans="1:8">
      <c r="F10707" t="s">
        <v>12615</v>
      </c>
      <c r="G10707" t="s">
        <v>16826</v>
      </c>
      <c r="H10707" t="s">
        <v>25958</v>
      </c>
    </row>
    <row r="10708" spans="1:8">
      <c r="H10708" t="s">
        <v>25959</v>
      </c>
    </row>
    <row r="10709" spans="1:8">
      <c r="A10709" t="s">
        <v>859</v>
      </c>
      <c r="B10709">
        <f>HYPERLINK("https://android.googlesource.com/platform/cts/+/6cbd55d1b3a7fcb8b61ffee0dd735c6a96a81609", "6cbd55d1b3a7fcb8b61ffee0dd735c6a96a81609")</f>
        <v>0</v>
      </c>
      <c r="C10709">
        <f>HYPERLINK("https://android.googlesource.com/platform/cts/+/48e65a5010671dd41f03bbe15b99985d47f0feff", "48e65a5010671dd41f03bbe15b99985d47f0feff")</f>
        <v>0</v>
      </c>
      <c r="D10709" t="s">
        <v>5032</v>
      </c>
      <c r="E10709" t="s">
        <v>6640</v>
      </c>
      <c r="F10709" t="s">
        <v>12694</v>
      </c>
      <c r="G10709" t="s">
        <v>16898</v>
      </c>
      <c r="H10709" t="s">
        <v>25981</v>
      </c>
    </row>
    <row r="10710" spans="1:8">
      <c r="A10710" t="s">
        <v>862</v>
      </c>
      <c r="B10710">
        <f>HYPERLINK("https://android.googlesource.com/platform/cts/+/c944a87836179e2879139a2d866452a1272a1c0f", "c944a87836179e2879139a2d866452a1272a1c0f")</f>
        <v>0</v>
      </c>
      <c r="C10710">
        <f>HYPERLINK("https://android.googlesource.com/platform/cts/+/a60d59bb635710fa57b4c405183d44df530d5557", "a60d59bb635710fa57b4c405183d44df530d5557")</f>
        <v>0</v>
      </c>
      <c r="D10710" t="s">
        <v>5108</v>
      </c>
      <c r="E10710" t="s">
        <v>6643</v>
      </c>
      <c r="F10710" t="s">
        <v>12419</v>
      </c>
      <c r="G10710" t="s">
        <v>16641</v>
      </c>
      <c r="H10710" t="s">
        <v>25984</v>
      </c>
    </row>
    <row r="10711" spans="1:8">
      <c r="A10711" t="s">
        <v>863</v>
      </c>
      <c r="B10711">
        <f>HYPERLINK("https://android.googlesource.com/platform/cts/+/785dd11b446ed22370e5eaa31ad7ac4011b382a6", "785dd11b446ed22370e5eaa31ad7ac4011b382a6")</f>
        <v>0</v>
      </c>
      <c r="C10711">
        <f>HYPERLINK("https://android.googlesource.com/platform/cts/+/d38938f0eae6f69e10f25f3e39d95bb2b69f685a", "d38938f0eae6f69e10f25f3e39d95bb2b69f685a")</f>
        <v>0</v>
      </c>
      <c r="D10711" t="s">
        <v>5109</v>
      </c>
      <c r="E10711" t="s">
        <v>6644</v>
      </c>
      <c r="F10711" t="s">
        <v>12619</v>
      </c>
      <c r="G10711" t="s">
        <v>16829</v>
      </c>
      <c r="H10711" t="s">
        <v>25985</v>
      </c>
    </row>
    <row r="10712" spans="1:8">
      <c r="F10712" t="s">
        <v>12697</v>
      </c>
      <c r="G10712" t="s">
        <v>16901</v>
      </c>
      <c r="H10712" t="s">
        <v>25985</v>
      </c>
    </row>
    <row r="10713" spans="1:8">
      <c r="A10713" t="s">
        <v>864</v>
      </c>
      <c r="B10713">
        <f>HYPERLINK("https://android.googlesource.com/platform/cts/+/c15ea9f9eedc62d1c92511409b53e57f1691e249", "c15ea9f9eedc62d1c92511409b53e57f1691e249")</f>
        <v>0</v>
      </c>
      <c r="C10713">
        <f>HYPERLINK("https://android.googlesource.com/platform/cts/+/4db04227c052aaec075dd89a5483ebc27da47ad9", "4db04227c052aaec075dd89a5483ebc27da47ad9")</f>
        <v>0</v>
      </c>
      <c r="D10713" t="s">
        <v>5029</v>
      </c>
      <c r="E10713" t="s">
        <v>6645</v>
      </c>
      <c r="F10713" t="s">
        <v>12698</v>
      </c>
      <c r="G10713" t="s">
        <v>16591</v>
      </c>
      <c r="H10713" t="s">
        <v>22374</v>
      </c>
    </row>
    <row r="10714" spans="1:8">
      <c r="A10714" t="s">
        <v>867</v>
      </c>
      <c r="B10714">
        <f>HYPERLINK("https://android.googlesource.com/platform/cts/+/ff15fe978799fa9e23ba4f31a73f2ba84899bab6", "ff15fe978799fa9e23ba4f31a73f2ba84899bab6")</f>
        <v>0</v>
      </c>
      <c r="C10714">
        <f>HYPERLINK("https://android.googlesource.com/platform/cts/+/02ada350f9e21da49f78e8c485e991f2e71109ee", "02ada350f9e21da49f78e8c485e991f2e71109ee")</f>
        <v>0</v>
      </c>
      <c r="D10714" t="s">
        <v>5002</v>
      </c>
      <c r="E10714" t="s">
        <v>6648</v>
      </c>
      <c r="F10714" t="s">
        <v>12693</v>
      </c>
      <c r="G10714" t="s">
        <v>16894</v>
      </c>
      <c r="H10714" t="s">
        <v>25958</v>
      </c>
    </row>
    <row r="10715" spans="1:8">
      <c r="F10715" t="s">
        <v>12700</v>
      </c>
      <c r="G10715" t="s">
        <v>16903</v>
      </c>
      <c r="H10715" t="s">
        <v>25988</v>
      </c>
    </row>
    <row r="10716" spans="1:8">
      <c r="A10716" t="s">
        <v>868</v>
      </c>
      <c r="B10716">
        <f>HYPERLINK("https://android.googlesource.com/platform/cts/+/8b5df142344dadbf0ad0eb51952d0498eccf2eea", "8b5df142344dadbf0ad0eb51952d0498eccf2eea")</f>
        <v>0</v>
      </c>
      <c r="C10716">
        <f>HYPERLINK("https://android.googlesource.com/platform/cts/+/7ce4c33e68dad02c2db78b210f4dc7f1e87e4d9e", "7ce4c33e68dad02c2db78b210f4dc7f1e87e4d9e")</f>
        <v>0</v>
      </c>
      <c r="D10716" t="s">
        <v>5110</v>
      </c>
      <c r="E10716" t="s">
        <v>6649</v>
      </c>
      <c r="F10716" t="s">
        <v>12701</v>
      </c>
      <c r="G10716" t="s">
        <v>16904</v>
      </c>
      <c r="H10716" t="s">
        <v>25567</v>
      </c>
    </row>
    <row r="10717" spans="1:8">
      <c r="H10717" t="s">
        <v>25989</v>
      </c>
    </row>
    <row r="10718" spans="1:8">
      <c r="F10718" t="s">
        <v>12629</v>
      </c>
      <c r="G10718" t="s">
        <v>16838</v>
      </c>
      <c r="H10718" t="s">
        <v>25992</v>
      </c>
    </row>
    <row r="10719" spans="1:8">
      <c r="A10719" t="s">
        <v>869</v>
      </c>
      <c r="B10719">
        <f>HYPERLINK("https://android.googlesource.com/platform/cts/+/e65428769e4a484882f1f5ad4c002f53f8fff984", "e65428769e4a484882f1f5ad4c002f53f8fff984")</f>
        <v>0</v>
      </c>
      <c r="C10719">
        <f>HYPERLINK("https://android.googlesource.com/platform/cts/+/58581c3d1286052a6552c8c9c180f0fff89c3dad", "58581c3d1286052a6552c8c9c180f0fff89c3dad")</f>
        <v>0</v>
      </c>
      <c r="D10719" t="s">
        <v>5096</v>
      </c>
      <c r="E10719" t="s">
        <v>6650</v>
      </c>
      <c r="F10719" t="s">
        <v>12622</v>
      </c>
      <c r="G10719" t="s">
        <v>16832</v>
      </c>
      <c r="H10719" t="s">
        <v>25994</v>
      </c>
    </row>
    <row r="10720" spans="1:8">
      <c r="H10720" t="s">
        <v>25995</v>
      </c>
    </row>
    <row r="10721" spans="1:8">
      <c r="A10721" t="s">
        <v>870</v>
      </c>
      <c r="B10721">
        <f>HYPERLINK("https://android.googlesource.com/platform/cts/+/d8b2afae65d0b261d6ff3aaa77863a32adea6aa7", "d8b2afae65d0b261d6ff3aaa77863a32adea6aa7")</f>
        <v>0</v>
      </c>
      <c r="C10721">
        <f>HYPERLINK("https://android.googlesource.com/platform/cts/+/be10ebbd9d0fa1e05bbb1b654f4ee539b29e2869", "be10ebbd9d0fa1e05bbb1b654f4ee539b29e2869")</f>
        <v>0</v>
      </c>
      <c r="D10721" t="s">
        <v>5065</v>
      </c>
      <c r="E10721" t="s">
        <v>6651</v>
      </c>
      <c r="F10721" t="s">
        <v>12386</v>
      </c>
      <c r="G10721" t="s">
        <v>16611</v>
      </c>
      <c r="H10721" t="s">
        <v>25839</v>
      </c>
    </row>
    <row r="10722" spans="1:8">
      <c r="A10722" t="s">
        <v>872</v>
      </c>
      <c r="B10722">
        <f>HYPERLINK("https://android.googlesource.com/platform/cts/+/a99ccd9b2069ad63a404c8fe6b613fa37fd908c8", "a99ccd9b2069ad63a404c8fe6b613fa37fd908c8")</f>
        <v>0</v>
      </c>
      <c r="C10722">
        <f>HYPERLINK("https://android.googlesource.com/platform/cts/+/0bad9e7cd049ef3379708d030a19ce355cc3472d", "0bad9e7cd049ef3379708d030a19ce355cc3472d")</f>
        <v>0</v>
      </c>
      <c r="D10722" t="s">
        <v>5111</v>
      </c>
      <c r="E10722" t="s">
        <v>6653</v>
      </c>
      <c r="F10722" t="s">
        <v>12705</v>
      </c>
      <c r="G10722" t="s">
        <v>16907</v>
      </c>
      <c r="H10722" t="s">
        <v>25996</v>
      </c>
    </row>
    <row r="10723" spans="1:8">
      <c r="F10723" t="s">
        <v>12706</v>
      </c>
      <c r="G10723" t="s">
        <v>16908</v>
      </c>
      <c r="H10723" t="s">
        <v>25997</v>
      </c>
    </row>
    <row r="10724" spans="1:8">
      <c r="H10724" t="s">
        <v>25998</v>
      </c>
    </row>
    <row r="10725" spans="1:8">
      <c r="A10725" t="s">
        <v>873</v>
      </c>
      <c r="B10725">
        <f>HYPERLINK("https://android.googlesource.com/platform/cts/+/b36d21caa07701fab51142ee3880406402b3a9d2", "b36d21caa07701fab51142ee3880406402b3a9d2")</f>
        <v>0</v>
      </c>
      <c r="C10725">
        <f>HYPERLINK("https://android.googlesource.com/platform/cts/+/f5f73c32459a18fc8809c3f13603b86db7e3d2ea", "f5f73c32459a18fc8809c3f13603b86db7e3d2ea")</f>
        <v>0</v>
      </c>
      <c r="D10725" t="s">
        <v>5111</v>
      </c>
      <c r="E10725" t="s">
        <v>6654</v>
      </c>
      <c r="F10725" t="s">
        <v>12705</v>
      </c>
      <c r="G10725" t="s">
        <v>16907</v>
      </c>
      <c r="H10725" t="s">
        <v>25996</v>
      </c>
    </row>
    <row r="10726" spans="1:8">
      <c r="F10726" t="s">
        <v>12706</v>
      </c>
      <c r="G10726" t="s">
        <v>16908</v>
      </c>
      <c r="H10726" t="s">
        <v>25997</v>
      </c>
    </row>
    <row r="10727" spans="1:8">
      <c r="H10727" t="s">
        <v>25998</v>
      </c>
    </row>
    <row r="10728" spans="1:8">
      <c r="A10728" t="s">
        <v>874</v>
      </c>
      <c r="B10728">
        <f>HYPERLINK("https://android.googlesource.com/platform/cts/+/d1ade0d6ffd35a923bed0ef31ed90a16296f8ac3", "d1ade0d6ffd35a923bed0ef31ed90a16296f8ac3")</f>
        <v>0</v>
      </c>
      <c r="C10728">
        <f>HYPERLINK("https://android.googlesource.com/platform/cts/+/28330115cf93ec16b0b257b4d819f3238e7e4323", "28330115cf93ec16b0b257b4d819f3238e7e4323")</f>
        <v>0</v>
      </c>
      <c r="D10728" t="s">
        <v>5088</v>
      </c>
      <c r="E10728" t="s">
        <v>6655</v>
      </c>
      <c r="F10728" t="s">
        <v>12707</v>
      </c>
      <c r="G10728" t="s">
        <v>16909</v>
      </c>
      <c r="H10728" t="s">
        <v>25999</v>
      </c>
    </row>
    <row r="10729" spans="1:8">
      <c r="A10729" t="s">
        <v>876</v>
      </c>
      <c r="B10729">
        <f>HYPERLINK("https://android.googlesource.com/platform/cts/+/bc5ba005bebb8d0521356031076a8ee34d19d140", "bc5ba005bebb8d0521356031076a8ee34d19d140")</f>
        <v>0</v>
      </c>
      <c r="C10729">
        <f>HYPERLINK("https://android.googlesource.com/platform/cts/+/3d045942c8af49cb0d72d808698823876220ad7f", "3d045942c8af49cb0d72d808698823876220ad7f")</f>
        <v>0</v>
      </c>
      <c r="D10729" t="s">
        <v>5002</v>
      </c>
      <c r="E10729" t="s">
        <v>6657</v>
      </c>
      <c r="F10729" t="s">
        <v>12651</v>
      </c>
      <c r="G10729" t="s">
        <v>16857</v>
      </c>
      <c r="H10729" t="s">
        <v>20077</v>
      </c>
    </row>
    <row r="10730" spans="1:8">
      <c r="A10730" t="s">
        <v>879</v>
      </c>
      <c r="B10730">
        <f>HYPERLINK("https://android.googlesource.com/platform/cts/+/6085547eed5ccd4982a2ed0fa9ea69bbf620f435", "6085547eed5ccd4982a2ed0fa9ea69bbf620f435")</f>
        <v>0</v>
      </c>
      <c r="C10730">
        <f>HYPERLINK("https://android.googlesource.com/platform/cts/+/79ed2fbc34e4c1c740e5ceb8f9aaef164d8cbe7c", "79ed2fbc34e4c1c740e5ceb8f9aaef164d8cbe7c")</f>
        <v>0</v>
      </c>
      <c r="D10730" t="s">
        <v>5011</v>
      </c>
      <c r="E10730" t="s">
        <v>6660</v>
      </c>
      <c r="F10730" t="s">
        <v>12703</v>
      </c>
      <c r="G10730" t="s">
        <v>16906</v>
      </c>
      <c r="H10730" t="s">
        <v>26004</v>
      </c>
    </row>
    <row r="10731" spans="1:8">
      <c r="A10731" t="s">
        <v>882</v>
      </c>
      <c r="B10731">
        <f>HYPERLINK("https://android.googlesource.com/platform/cts/+/bb212349dbfd131dd771f01f27db542d67fbedba", "bb212349dbfd131dd771f01f27db542d67fbedba")</f>
        <v>0</v>
      </c>
      <c r="C10731">
        <f>HYPERLINK("https://android.googlesource.com/platform/cts/+/6baa9b58986a85dd76c4ca837a0c83c60d497914", "6baa9b58986a85dd76c4ca837a0c83c60d497914")</f>
        <v>0</v>
      </c>
      <c r="D10731" t="s">
        <v>5002</v>
      </c>
      <c r="E10731" t="s">
        <v>6663</v>
      </c>
      <c r="F10731" t="s">
        <v>12713</v>
      </c>
      <c r="G10731" t="s">
        <v>16438</v>
      </c>
      <c r="H10731" t="s">
        <v>21325</v>
      </c>
    </row>
    <row r="10732" spans="1:8">
      <c r="A10732" t="s">
        <v>883</v>
      </c>
      <c r="B10732">
        <f>HYPERLINK("https://android.googlesource.com/platform/cts/+/6b345c6f97dcc722caa93454db51f79417bfa07f", "6b345c6f97dcc722caa93454db51f79417bfa07f")</f>
        <v>0</v>
      </c>
      <c r="C10732">
        <f>HYPERLINK("https://android.googlesource.com/platform/cts/+/0e9f6c97bd7c7b514c0ff491ea9b0b7700db9da8", "0e9f6c97bd7c7b514c0ff491ea9b0b7700db9da8")</f>
        <v>0</v>
      </c>
      <c r="D10732" t="s">
        <v>4997</v>
      </c>
      <c r="E10732" t="s">
        <v>6664</v>
      </c>
      <c r="F10732" t="s">
        <v>12714</v>
      </c>
      <c r="G10732" t="s">
        <v>16914</v>
      </c>
      <c r="H10732" t="s">
        <v>26005</v>
      </c>
    </row>
    <row r="10733" spans="1:8">
      <c r="H10733" t="s">
        <v>26006</v>
      </c>
    </row>
    <row r="10734" spans="1:8">
      <c r="A10734" t="s">
        <v>886</v>
      </c>
      <c r="B10734">
        <f>HYPERLINK("https://android.googlesource.com/platform/cts/+/7f70ff05c578db6bf7ef6d51563a440d9afe6a91", "7f70ff05c578db6bf7ef6d51563a440d9afe6a91")</f>
        <v>0</v>
      </c>
      <c r="C10734">
        <f>HYPERLINK("https://android.googlesource.com/platform/cts/+/88137b334ea55a358860a470da58b0b8989acc3a", "88137b334ea55a358860a470da58b0b8989acc3a")</f>
        <v>0</v>
      </c>
      <c r="D10734" t="s">
        <v>5113</v>
      </c>
      <c r="E10734" t="s">
        <v>6667</v>
      </c>
      <c r="F10734" t="s">
        <v>12173</v>
      </c>
      <c r="G10734" t="s">
        <v>16412</v>
      </c>
      <c r="H10734" t="s">
        <v>26063</v>
      </c>
    </row>
    <row r="10735" spans="1:8">
      <c r="A10735" t="s">
        <v>890</v>
      </c>
      <c r="B10735">
        <f>HYPERLINK("https://android.googlesource.com/platform/cts/+/921cc7713ca69796cd8249e063298956ad9c7fd4", "921cc7713ca69796cd8249e063298956ad9c7fd4")</f>
        <v>0</v>
      </c>
      <c r="C10735">
        <f>HYPERLINK("https://android.googlesource.com/platform/cts/+/2984e627bed0bb9e27da6c3cb89180ae7bbab759", "2984e627bed0bb9e27da6c3cb89180ae7bbab759")</f>
        <v>0</v>
      </c>
      <c r="D10735" t="s">
        <v>5114</v>
      </c>
      <c r="E10735" t="s">
        <v>6671</v>
      </c>
      <c r="F10735" t="s">
        <v>12717</v>
      </c>
      <c r="G10735" t="s">
        <v>16917</v>
      </c>
      <c r="H10735" t="s">
        <v>26068</v>
      </c>
    </row>
    <row r="10736" spans="1:8">
      <c r="A10736" t="s">
        <v>891</v>
      </c>
      <c r="B10736">
        <f>HYPERLINK("https://android.googlesource.com/platform/cts/+/fb9c06c26aab7ed684b97767ae7290aa8ee63fea", "fb9c06c26aab7ed684b97767ae7290aa8ee63fea")</f>
        <v>0</v>
      </c>
      <c r="C10736">
        <f>HYPERLINK("https://android.googlesource.com/platform/cts/+/f7d279345d2a97e638b25a8975f05984b1ac8726", "f7d279345d2a97e638b25a8975f05984b1ac8726")</f>
        <v>0</v>
      </c>
      <c r="D10736" t="s">
        <v>5115</v>
      </c>
      <c r="E10736" t="s">
        <v>6672</v>
      </c>
      <c r="F10736" t="s">
        <v>12719</v>
      </c>
      <c r="G10736" t="s">
        <v>16919</v>
      </c>
      <c r="H10736" t="s">
        <v>26073</v>
      </c>
    </row>
    <row r="10737" spans="1:8">
      <c r="A10737" t="s">
        <v>892</v>
      </c>
      <c r="B10737">
        <f>HYPERLINK("https://android.googlesource.com/platform/cts/+/cdff076b35898bc9649f3fe4fcafc265022b4acb", "cdff076b35898bc9649f3fe4fcafc265022b4acb")</f>
        <v>0</v>
      </c>
      <c r="C10737">
        <f>HYPERLINK("https://android.googlesource.com/platform/cts/+/c87c845e78c253d88ce4fbac03d9bc62b6bd056d", "c87c845e78c253d88ce4fbac03d9bc62b6bd056d")</f>
        <v>0</v>
      </c>
      <c r="D10737" t="s">
        <v>5115</v>
      </c>
      <c r="E10737" t="s">
        <v>6673</v>
      </c>
      <c r="F10737" t="s">
        <v>12720</v>
      </c>
      <c r="G10737" t="s">
        <v>16920</v>
      </c>
      <c r="H10737" t="s">
        <v>26074</v>
      </c>
    </row>
    <row r="10738" spans="1:8">
      <c r="F10738" t="s">
        <v>12721</v>
      </c>
      <c r="G10738" t="s">
        <v>16920</v>
      </c>
      <c r="H10738" t="s">
        <v>26074</v>
      </c>
    </row>
    <row r="10739" spans="1:8">
      <c r="F10739" t="s">
        <v>12722</v>
      </c>
      <c r="G10739" t="s">
        <v>16920</v>
      </c>
      <c r="H10739" t="s">
        <v>26074</v>
      </c>
    </row>
    <row r="10740" spans="1:8">
      <c r="F10740" t="s">
        <v>12723</v>
      </c>
      <c r="G10740" t="s">
        <v>16920</v>
      </c>
      <c r="H10740" t="s">
        <v>26074</v>
      </c>
    </row>
    <row r="10741" spans="1:8">
      <c r="F10741" t="s">
        <v>12724</v>
      </c>
      <c r="G10741" t="s">
        <v>16920</v>
      </c>
      <c r="H10741" t="s">
        <v>26074</v>
      </c>
    </row>
    <row r="10742" spans="1:8">
      <c r="A10742" t="s">
        <v>894</v>
      </c>
      <c r="B10742">
        <f>HYPERLINK("https://android.googlesource.com/platform/cts/+/bf2b39b52934c754024d426b069ace1719d4f7ce", "bf2b39b52934c754024d426b069ace1719d4f7ce")</f>
        <v>0</v>
      </c>
      <c r="C10742">
        <f>HYPERLINK("https://android.googlesource.com/platform/cts/+/a36acb55ca5a134b3bbae31d74b524ce0272dbdf", "a36acb55ca5a134b3bbae31d74b524ce0272dbdf")</f>
        <v>0</v>
      </c>
      <c r="D10742" t="s">
        <v>5115</v>
      </c>
      <c r="E10742" t="s">
        <v>6675</v>
      </c>
      <c r="F10742" t="s">
        <v>12727</v>
      </c>
      <c r="G10742" t="s">
        <v>16922</v>
      </c>
      <c r="H10742" t="s">
        <v>26077</v>
      </c>
    </row>
    <row r="10743" spans="1:8">
      <c r="H10743" t="s">
        <v>26078</v>
      </c>
    </row>
    <row r="10744" spans="1:8">
      <c r="H10744" t="s">
        <v>26079</v>
      </c>
    </row>
    <row r="10745" spans="1:8">
      <c r="H10745" t="s">
        <v>26080</v>
      </c>
    </row>
    <row r="10746" spans="1:8">
      <c r="A10746" t="s">
        <v>895</v>
      </c>
      <c r="B10746">
        <f>HYPERLINK("https://android.googlesource.com/platform/cts/+/a41d49723a200eec6af9c9504a961cb2df306295", "a41d49723a200eec6af9c9504a961cb2df306295")</f>
        <v>0</v>
      </c>
      <c r="C10746">
        <f>HYPERLINK("https://android.googlesource.com/platform/cts/+/b54aa51c35a40855fd6fae092a831a7807f39ea2", "b54aa51c35a40855fd6fae092a831a7807f39ea2")</f>
        <v>0</v>
      </c>
      <c r="D10746" t="s">
        <v>5079</v>
      </c>
      <c r="E10746" t="s">
        <v>6676</v>
      </c>
      <c r="F10746" t="s">
        <v>12701</v>
      </c>
      <c r="G10746" t="s">
        <v>16904</v>
      </c>
      <c r="H10746" t="s">
        <v>25567</v>
      </c>
    </row>
    <row r="10747" spans="1:8">
      <c r="H10747" t="s">
        <v>25989</v>
      </c>
    </row>
    <row r="10748" spans="1:8">
      <c r="F10748" t="s">
        <v>12629</v>
      </c>
      <c r="G10748" t="s">
        <v>16838</v>
      </c>
      <c r="H10748" t="s">
        <v>25992</v>
      </c>
    </row>
    <row r="10749" spans="1:8">
      <c r="F10749" t="s">
        <v>12707</v>
      </c>
      <c r="G10749" t="s">
        <v>16909</v>
      </c>
      <c r="H10749" t="s">
        <v>25999</v>
      </c>
    </row>
    <row r="10750" spans="1:8">
      <c r="F10750" t="s">
        <v>12622</v>
      </c>
      <c r="G10750" t="s">
        <v>16832</v>
      </c>
      <c r="H10750" t="s">
        <v>25994</v>
      </c>
    </row>
    <row r="10751" spans="1:8">
      <c r="H10751" t="s">
        <v>25995</v>
      </c>
    </row>
    <row r="10752" spans="1:8">
      <c r="F10752" t="s">
        <v>12703</v>
      </c>
      <c r="G10752" t="s">
        <v>16906</v>
      </c>
      <c r="H10752" t="s">
        <v>26004</v>
      </c>
    </row>
    <row r="10753" spans="1:8">
      <c r="A10753" t="s">
        <v>897</v>
      </c>
      <c r="B10753">
        <f>HYPERLINK("https://android.googlesource.com/platform/cts/+/c12f929f29d662edf9cdaf54fc692c117c891e06", "c12f929f29d662edf9cdaf54fc692c117c891e06")</f>
        <v>0</v>
      </c>
      <c r="C10753">
        <f>HYPERLINK("https://android.googlesource.com/platform/cts/+/0689c24229072071cfe5c4fa89e27b815e506523", "0689c24229072071cfe5c4fa89e27b815e506523")</f>
        <v>0</v>
      </c>
      <c r="D10753" t="s">
        <v>5002</v>
      </c>
      <c r="E10753" t="s">
        <v>6678</v>
      </c>
      <c r="F10753" t="s">
        <v>12662</v>
      </c>
      <c r="G10753" t="s">
        <v>16867</v>
      </c>
      <c r="H10753" t="s">
        <v>26086</v>
      </c>
    </row>
    <row r="10754" spans="1:8">
      <c r="H10754" t="s">
        <v>26088</v>
      </c>
    </row>
    <row r="10755" spans="1:8">
      <c r="H10755" t="s">
        <v>26089</v>
      </c>
    </row>
    <row r="10756" spans="1:8">
      <c r="H10756" t="s">
        <v>21326</v>
      </c>
    </row>
    <row r="10757" spans="1:8">
      <c r="H10757" t="s">
        <v>26090</v>
      </c>
    </row>
    <row r="10758" spans="1:8">
      <c r="H10758" t="s">
        <v>21254</v>
      </c>
    </row>
    <row r="10759" spans="1:8">
      <c r="H10759" t="s">
        <v>26091</v>
      </c>
    </row>
    <row r="10760" spans="1:8">
      <c r="H10760" t="s">
        <v>26092</v>
      </c>
    </row>
    <row r="10761" spans="1:8">
      <c r="H10761" t="s">
        <v>26093</v>
      </c>
    </row>
    <row r="10762" spans="1:8">
      <c r="H10762" t="s">
        <v>26094</v>
      </c>
    </row>
    <row r="10763" spans="1:8">
      <c r="H10763" t="s">
        <v>24168</v>
      </c>
    </row>
    <row r="10764" spans="1:8">
      <c r="A10764" t="s">
        <v>899</v>
      </c>
      <c r="B10764">
        <f>HYPERLINK("https://android.googlesource.com/platform/cts/+/afa94ea2a9c9e1bd2db4e9c3536821eee79dee6c", "afa94ea2a9c9e1bd2db4e9c3536821eee79dee6c")</f>
        <v>0</v>
      </c>
      <c r="C10764">
        <f>HYPERLINK("https://android.googlesource.com/platform/cts/+/eefc845878e8586207a84257a72e37e4ef4e295f", "eefc845878e8586207a84257a72e37e4ef4e295f")</f>
        <v>0</v>
      </c>
      <c r="D10764" t="s">
        <v>5002</v>
      </c>
      <c r="E10764" t="s">
        <v>6680</v>
      </c>
      <c r="F10764" t="s">
        <v>12729</v>
      </c>
      <c r="G10764" t="s">
        <v>16924</v>
      </c>
      <c r="H10764" t="s">
        <v>26100</v>
      </c>
    </row>
    <row r="10765" spans="1:8">
      <c r="A10765" t="s">
        <v>901</v>
      </c>
      <c r="B10765">
        <f>HYPERLINK("https://android.googlesource.com/platform/cts/+/e989c0c16d0ff19ee509c994d0099181117ae3db", "e989c0c16d0ff19ee509c994d0099181117ae3db")</f>
        <v>0</v>
      </c>
      <c r="C10765">
        <f>HYPERLINK("https://android.googlesource.com/platform/cts/+/d8972ff406ad5af7c281ba88c184690aaf6e43c6", "d8972ff406ad5af7c281ba88c184690aaf6e43c6")</f>
        <v>0</v>
      </c>
      <c r="D10765" t="s">
        <v>5115</v>
      </c>
      <c r="E10765" t="s">
        <v>6682</v>
      </c>
      <c r="F10765" t="s">
        <v>12730</v>
      </c>
      <c r="G10765" t="s">
        <v>16925</v>
      </c>
      <c r="H10765" t="s">
        <v>26103</v>
      </c>
    </row>
    <row r="10766" spans="1:8">
      <c r="H10766" t="s">
        <v>26104</v>
      </c>
    </row>
    <row r="10767" spans="1:8">
      <c r="H10767" t="s">
        <v>26105</v>
      </c>
    </row>
    <row r="10768" spans="1:8">
      <c r="H10768" t="s">
        <v>26106</v>
      </c>
    </row>
    <row r="10769" spans="1:8">
      <c r="H10769" t="s">
        <v>26074</v>
      </c>
    </row>
    <row r="10770" spans="1:8">
      <c r="H10770" t="s">
        <v>26107</v>
      </c>
    </row>
    <row r="10771" spans="1:8">
      <c r="H10771" t="s">
        <v>26108</v>
      </c>
    </row>
    <row r="10772" spans="1:8">
      <c r="H10772" t="s">
        <v>26109</v>
      </c>
    </row>
    <row r="10773" spans="1:8">
      <c r="H10773" t="s">
        <v>26110</v>
      </c>
    </row>
    <row r="10774" spans="1:8">
      <c r="H10774" t="s">
        <v>26111</v>
      </c>
    </row>
    <row r="10775" spans="1:8">
      <c r="H10775" t="s">
        <v>26112</v>
      </c>
    </row>
    <row r="10776" spans="1:8">
      <c r="H10776" t="s">
        <v>26113</v>
      </c>
    </row>
    <row r="10777" spans="1:8">
      <c r="H10777" t="s">
        <v>26114</v>
      </c>
    </row>
    <row r="10778" spans="1:8">
      <c r="A10778" t="s">
        <v>902</v>
      </c>
      <c r="B10778">
        <f>HYPERLINK("https://android.googlesource.com/platform/cts/+/92eba402188adeefdcc42c0c0724b359cb8a3f52", "92eba402188adeefdcc42c0c0724b359cb8a3f52")</f>
        <v>0</v>
      </c>
      <c r="C10778">
        <f>HYPERLINK("https://android.googlesource.com/platform/cts/+/b9ac18d7a2bb7775816d265ee33eef636b79a99a", "b9ac18d7a2bb7775816d265ee33eef636b79a99a")</f>
        <v>0</v>
      </c>
      <c r="D10778" t="s">
        <v>5079</v>
      </c>
      <c r="E10778" t="s">
        <v>6683</v>
      </c>
      <c r="F10778" t="s">
        <v>12731</v>
      </c>
      <c r="G10778" t="s">
        <v>16920</v>
      </c>
      <c r="H10778" t="s">
        <v>26115</v>
      </c>
    </row>
    <row r="10779" spans="1:8">
      <c r="H10779" t="s">
        <v>26116</v>
      </c>
    </row>
    <row r="10780" spans="1:8">
      <c r="A10780" t="s">
        <v>903</v>
      </c>
      <c r="B10780">
        <f>HYPERLINK("https://android.googlesource.com/platform/cts/+/be782e94eed4d3892f3b74446a2b4d16a92ec2e6", "be782e94eed4d3892f3b74446a2b4d16a92ec2e6")</f>
        <v>0</v>
      </c>
      <c r="C10780">
        <f>HYPERLINK("https://android.googlesource.com/platform/cts/+/d9efe7ad69a351621f1e0e8282bc182d4b789ca2", "d9efe7ad69a351621f1e0e8282bc182d4b789ca2")</f>
        <v>0</v>
      </c>
      <c r="D10780" t="s">
        <v>4949</v>
      </c>
      <c r="E10780" t="s">
        <v>6684</v>
      </c>
      <c r="F10780" t="s">
        <v>12732</v>
      </c>
      <c r="G10780" t="s">
        <v>16926</v>
      </c>
      <c r="H10780" t="s">
        <v>26117</v>
      </c>
    </row>
    <row r="10781" spans="1:8">
      <c r="A10781" t="s">
        <v>905</v>
      </c>
      <c r="B10781">
        <f>HYPERLINK("https://android.googlesource.com/platform/cts/+/7c62a9afbf1b04af0d63bc6e89fb3bec582fc7ad", "7c62a9afbf1b04af0d63bc6e89fb3bec582fc7ad")</f>
        <v>0</v>
      </c>
      <c r="C10781">
        <f>HYPERLINK("https://android.googlesource.com/platform/cts/+/c623453648faea09d8a9a211672ba868298d8387", "c623453648faea09d8a9a211672ba868298d8387")</f>
        <v>0</v>
      </c>
      <c r="D10781" t="s">
        <v>5118</v>
      </c>
      <c r="E10781" t="s">
        <v>6686</v>
      </c>
      <c r="F10781" t="s">
        <v>12733</v>
      </c>
      <c r="G10781" t="s">
        <v>16854</v>
      </c>
      <c r="H10781" t="s">
        <v>26119</v>
      </c>
    </row>
    <row r="10782" spans="1:8">
      <c r="A10782" t="s">
        <v>911</v>
      </c>
      <c r="B10782">
        <f>HYPERLINK("https://android.googlesource.com/platform/cts/+/b0c1112c5cbcb837943e0b060f2c8a0400b2158a", "b0c1112c5cbcb837943e0b060f2c8a0400b2158a")</f>
        <v>0</v>
      </c>
      <c r="C10782">
        <f>HYPERLINK("https://android.googlesource.com/platform/cts/+/13c1585464a6ba445180e4d0d7d20aaaa418fcee", "13c1585464a6ba445180e4d0d7d20aaaa418fcee")</f>
        <v>0</v>
      </c>
      <c r="D10782" t="s">
        <v>5120</v>
      </c>
      <c r="E10782" t="s">
        <v>6692</v>
      </c>
      <c r="F10782" t="s">
        <v>12570</v>
      </c>
      <c r="G10782" t="s">
        <v>16786</v>
      </c>
      <c r="H10782" t="s">
        <v>26132</v>
      </c>
    </row>
    <row r="10783" spans="1:8">
      <c r="A10783" t="s">
        <v>912</v>
      </c>
      <c r="B10783">
        <f>HYPERLINK("https://android.googlesource.com/platform/cts/+/326bd0aad9db82b8d867364ad45d09a3968ea635", "326bd0aad9db82b8d867364ad45d09a3968ea635")</f>
        <v>0</v>
      </c>
      <c r="C10783">
        <f>HYPERLINK("https://android.googlesource.com/platform/cts/+/209cd9857903dfd589e1870e37d16917983476eb", "209cd9857903dfd589e1870e37d16917983476eb")</f>
        <v>0</v>
      </c>
      <c r="D10783" t="s">
        <v>4971</v>
      </c>
      <c r="E10783" t="s">
        <v>6693</v>
      </c>
      <c r="F10783" t="s">
        <v>12738</v>
      </c>
      <c r="G10783" t="s">
        <v>16931</v>
      </c>
      <c r="H10783" t="s">
        <v>26134</v>
      </c>
    </row>
    <row r="10784" spans="1:8">
      <c r="H10784" t="s">
        <v>26135</v>
      </c>
    </row>
    <row r="10785" spans="1:8">
      <c r="H10785" t="s">
        <v>26136</v>
      </c>
    </row>
    <row r="10786" spans="1:8">
      <c r="H10786" t="s">
        <v>26137</v>
      </c>
    </row>
    <row r="10787" spans="1:8">
      <c r="H10787" t="s">
        <v>26138</v>
      </c>
    </row>
    <row r="10788" spans="1:8">
      <c r="H10788" t="s">
        <v>26139</v>
      </c>
    </row>
    <row r="10789" spans="1:8">
      <c r="A10789" t="s">
        <v>919</v>
      </c>
      <c r="B10789">
        <f>HYPERLINK("https://android.googlesource.com/platform/cts/+/227bf2637d48c121b44836d9d10971c05430d804", "227bf2637d48c121b44836d9d10971c05430d804")</f>
        <v>0</v>
      </c>
      <c r="C10789">
        <f>HYPERLINK("https://android.googlesource.com/platform/cts/+/25893824f1793f56c5856807f9f0d5837b5d42bf", "25893824f1793f56c5856807f9f0d5837b5d42bf")</f>
        <v>0</v>
      </c>
      <c r="D10789" t="s">
        <v>5069</v>
      </c>
      <c r="E10789" t="s">
        <v>6699</v>
      </c>
      <c r="F10789" t="s">
        <v>10794</v>
      </c>
      <c r="G10789" t="s">
        <v>15189</v>
      </c>
      <c r="H10789" t="s">
        <v>26151</v>
      </c>
    </row>
    <row r="10790" spans="1:8">
      <c r="A10790" t="s">
        <v>922</v>
      </c>
      <c r="B10790">
        <f>HYPERLINK("https://android.googlesource.com/platform/cts/+/f042961722904f40be676c70d7037c659dc324f9", "f042961722904f40be676c70d7037c659dc324f9")</f>
        <v>0</v>
      </c>
      <c r="C10790">
        <f>HYPERLINK("https://android.googlesource.com/platform/cts/+/74f72b8075f4f8700aebfee6acccde5f36965d1f", "74f72b8075f4f8700aebfee6acccde5f36965d1f")</f>
        <v>0</v>
      </c>
      <c r="D10790" t="s">
        <v>5057</v>
      </c>
      <c r="E10790" t="s">
        <v>6701</v>
      </c>
      <c r="F10790" t="s">
        <v>12176</v>
      </c>
      <c r="G10790" t="s">
        <v>16415</v>
      </c>
      <c r="H10790" t="s">
        <v>26153</v>
      </c>
    </row>
    <row r="10791" spans="1:8">
      <c r="F10791" t="s">
        <v>12656</v>
      </c>
      <c r="G10791" t="s">
        <v>16861</v>
      </c>
      <c r="H10791" t="s">
        <v>26154</v>
      </c>
    </row>
    <row r="10792" spans="1:8">
      <c r="H10792" t="s">
        <v>26155</v>
      </c>
    </row>
    <row r="10793" spans="1:8">
      <c r="A10793" t="s">
        <v>923</v>
      </c>
      <c r="B10793">
        <f>HYPERLINK("https://android.googlesource.com/platform/cts/+/65db2da69693e5b80cf7cee06d3a398c9a56f07a", "65db2da69693e5b80cf7cee06d3a398c9a56f07a")</f>
        <v>0</v>
      </c>
      <c r="C10793">
        <f>HYPERLINK("https://android.googlesource.com/platform/cts/+/c4366a43ba1f3c90681681b9f998ae66ed705b78", "c4366a43ba1f3c90681681b9f998ae66ed705b78")</f>
        <v>0</v>
      </c>
      <c r="D10793" t="s">
        <v>5094</v>
      </c>
      <c r="E10793" t="s">
        <v>6702</v>
      </c>
      <c r="F10793" t="s">
        <v>12640</v>
      </c>
      <c r="G10793" t="s">
        <v>16848</v>
      </c>
      <c r="H10793" t="s">
        <v>26156</v>
      </c>
    </row>
    <row r="10794" spans="1:8">
      <c r="A10794" t="s">
        <v>925</v>
      </c>
      <c r="B10794">
        <f>HYPERLINK("https://android.googlesource.com/platform/cts/+/644e30575e0bfd0b0972346059e76d5f16e4c564", "644e30575e0bfd0b0972346059e76d5f16e4c564")</f>
        <v>0</v>
      </c>
      <c r="C10794">
        <f>HYPERLINK("https://android.googlesource.com/platform/cts/+/ecf8ee4a234b511e4abef4d265d2187bb98b495d", "ecf8ee4a234b511e4abef4d265d2187bb98b495d")</f>
        <v>0</v>
      </c>
      <c r="D10794" t="s">
        <v>4973</v>
      </c>
      <c r="E10794" t="s">
        <v>6704</v>
      </c>
      <c r="F10794" t="s">
        <v>12741</v>
      </c>
      <c r="G10794" t="s">
        <v>16933</v>
      </c>
      <c r="H10794" t="s">
        <v>26158</v>
      </c>
    </row>
    <row r="10795" spans="1:8">
      <c r="A10795" t="s">
        <v>926</v>
      </c>
      <c r="B10795">
        <f>HYPERLINK("https://android.googlesource.com/platform/cts/+/55c7c7f2cea318c56ebe3194708909fbde20e3e6", "55c7c7f2cea318c56ebe3194708909fbde20e3e6")</f>
        <v>0</v>
      </c>
      <c r="C10795">
        <f>HYPERLINK("https://android.googlesource.com/platform/cts/+/75a542318ed766f6d2b651306f4a1d041fa85ee1", "75a542318ed766f6d2b651306f4a1d041fa85ee1")</f>
        <v>0</v>
      </c>
      <c r="D10795" t="s">
        <v>5018</v>
      </c>
      <c r="E10795" t="s">
        <v>6705</v>
      </c>
      <c r="F10795" t="s">
        <v>12619</v>
      </c>
      <c r="G10795" t="s">
        <v>16829</v>
      </c>
      <c r="H10795" t="s">
        <v>26161</v>
      </c>
    </row>
    <row r="10796" spans="1:8">
      <c r="F10796" t="s">
        <v>12697</v>
      </c>
      <c r="G10796" t="s">
        <v>16901</v>
      </c>
      <c r="H10796" t="s">
        <v>26161</v>
      </c>
    </row>
    <row r="10797" spans="1:8">
      <c r="A10797" t="s">
        <v>928</v>
      </c>
      <c r="B10797">
        <f>HYPERLINK("https://android.googlesource.com/platform/cts/+/fca666e9af8d4d98e63cb4d391f27c362bd454a8", "fca666e9af8d4d98e63cb4d391f27c362bd454a8")</f>
        <v>0</v>
      </c>
      <c r="C10797">
        <f>HYPERLINK("https://android.googlesource.com/platform/cts/+/d711e3d97912467a49915fea4ca0d1a44e9b2b0c", "d711e3d97912467a49915fea4ca0d1a44e9b2b0c")</f>
        <v>0</v>
      </c>
      <c r="D10797" t="s">
        <v>5018</v>
      </c>
      <c r="E10797" t="s">
        <v>6707</v>
      </c>
      <c r="F10797" t="s">
        <v>12619</v>
      </c>
      <c r="G10797" t="s">
        <v>16829</v>
      </c>
      <c r="H10797" t="s">
        <v>26172</v>
      </c>
    </row>
    <row r="10798" spans="1:8">
      <c r="F10798" t="s">
        <v>12697</v>
      </c>
      <c r="G10798" t="s">
        <v>16901</v>
      </c>
      <c r="H10798" t="s">
        <v>26172</v>
      </c>
    </row>
    <row r="10799" spans="1:8">
      <c r="A10799" t="s">
        <v>929</v>
      </c>
      <c r="B10799">
        <f>HYPERLINK("https://android.googlesource.com/platform/cts/+/0e4f87371722474b2f74854c2cee1b8359dec6c0", "0e4f87371722474b2f74854c2cee1b8359dec6c0")</f>
        <v>0</v>
      </c>
      <c r="C10799">
        <f>HYPERLINK("https://android.googlesource.com/platform/cts/+/2ea6404f987026d4ded8eedc948ed40a010bc614", "2ea6404f987026d4ded8eedc948ed40a010bc614")</f>
        <v>0</v>
      </c>
      <c r="D10799" t="s">
        <v>5086</v>
      </c>
      <c r="E10799" t="s">
        <v>6708</v>
      </c>
      <c r="F10799" t="s">
        <v>12742</v>
      </c>
      <c r="G10799" t="s">
        <v>16934</v>
      </c>
      <c r="H10799" t="s">
        <v>26173</v>
      </c>
    </row>
    <row r="10800" spans="1:8">
      <c r="H10800" t="s">
        <v>26174</v>
      </c>
    </row>
    <row r="10801" spans="1:8">
      <c r="F10801" t="s">
        <v>12743</v>
      </c>
      <c r="G10801" t="s">
        <v>16935</v>
      </c>
      <c r="H10801" t="s">
        <v>26182</v>
      </c>
    </row>
    <row r="10802" spans="1:8">
      <c r="A10802" t="s">
        <v>930</v>
      </c>
      <c r="B10802">
        <f>HYPERLINK("https://android.googlesource.com/platform/cts/+/4dff480ff7b745c6e39da6559b5ab95f26e01ebb", "4dff480ff7b745c6e39da6559b5ab95f26e01ebb")</f>
        <v>0</v>
      </c>
      <c r="C10802">
        <f>HYPERLINK("https://android.googlesource.com/platform/cts/+/529bf964a2c298ba89a4342aaa28cd276fbe10be", "529bf964a2c298ba89a4342aaa28cd276fbe10be")</f>
        <v>0</v>
      </c>
      <c r="D10802" t="s">
        <v>5029</v>
      </c>
      <c r="E10802" t="s">
        <v>6709</v>
      </c>
      <c r="F10802" t="s">
        <v>10610</v>
      </c>
      <c r="G10802" t="s">
        <v>15013</v>
      </c>
      <c r="H10802" t="s">
        <v>26183</v>
      </c>
    </row>
    <row r="10803" spans="1:8">
      <c r="A10803" t="s">
        <v>931</v>
      </c>
      <c r="B10803">
        <f>HYPERLINK("https://android.googlesource.com/platform/cts/+/745b4d9fbe962ba5a7d3b4e289773ab133723498", "745b4d9fbe962ba5a7d3b4e289773ab133723498")</f>
        <v>0</v>
      </c>
      <c r="C10803">
        <f>HYPERLINK("https://android.googlesource.com/platform/cts/+/e6572c08c3bf2061cd81a333bb78f189e2db4a6b", "e6572c08c3bf2061cd81a333bb78f189e2db4a6b")</f>
        <v>0</v>
      </c>
      <c r="D10803" t="s">
        <v>5123</v>
      </c>
      <c r="E10803" t="s">
        <v>6710</v>
      </c>
      <c r="F10803" t="s">
        <v>10668</v>
      </c>
      <c r="G10803" t="s">
        <v>15069</v>
      </c>
      <c r="H10803" t="s">
        <v>26184</v>
      </c>
    </row>
    <row r="10804" spans="1:8">
      <c r="H10804" t="s">
        <v>26185</v>
      </c>
    </row>
    <row r="10805" spans="1:8">
      <c r="H10805" t="s">
        <v>26186</v>
      </c>
    </row>
    <row r="10806" spans="1:8">
      <c r="H10806" t="s">
        <v>26187</v>
      </c>
    </row>
    <row r="10807" spans="1:8">
      <c r="H10807" t="s">
        <v>26188</v>
      </c>
    </row>
    <row r="10808" spans="1:8">
      <c r="H10808" t="s">
        <v>26189</v>
      </c>
    </row>
    <row r="10809" spans="1:8">
      <c r="H10809" t="s">
        <v>26190</v>
      </c>
    </row>
    <row r="10810" spans="1:8">
      <c r="H10810" t="s">
        <v>26191</v>
      </c>
    </row>
    <row r="10811" spans="1:8">
      <c r="H10811" t="s">
        <v>26192</v>
      </c>
    </row>
    <row r="10812" spans="1:8">
      <c r="H10812" t="s">
        <v>26193</v>
      </c>
    </row>
    <row r="10813" spans="1:8">
      <c r="H10813" t="s">
        <v>26194</v>
      </c>
    </row>
    <row r="10814" spans="1:8">
      <c r="H10814" t="s">
        <v>26195</v>
      </c>
    </row>
    <row r="10815" spans="1:8">
      <c r="H10815" t="s">
        <v>26196</v>
      </c>
    </row>
    <row r="10816" spans="1:8">
      <c r="A10816" t="s">
        <v>932</v>
      </c>
      <c r="B10816">
        <f>HYPERLINK("https://android.googlesource.com/platform/cts/+/afed489c8b5d045e533efee015a9030b49a30c75", "afed489c8b5d045e533efee015a9030b49a30c75")</f>
        <v>0</v>
      </c>
      <c r="C10816">
        <f>HYPERLINK("https://android.googlesource.com/platform/cts/+/6f8eea9229412914ecd90f8840da2d8eb06634cc", "6f8eea9229412914ecd90f8840da2d8eb06634cc")</f>
        <v>0</v>
      </c>
      <c r="D10816" t="s">
        <v>5123</v>
      </c>
      <c r="E10816" t="s">
        <v>6711</v>
      </c>
      <c r="F10816" t="s">
        <v>10668</v>
      </c>
      <c r="G10816" t="s">
        <v>15069</v>
      </c>
      <c r="H10816" t="s">
        <v>26203</v>
      </c>
    </row>
    <row r="10817" spans="1:8">
      <c r="H10817" t="s">
        <v>26204</v>
      </c>
    </row>
    <row r="10818" spans="1:8">
      <c r="H10818" t="s">
        <v>26205</v>
      </c>
    </row>
    <row r="10819" spans="1:8">
      <c r="H10819" t="s">
        <v>26206</v>
      </c>
    </row>
    <row r="10820" spans="1:8">
      <c r="H10820" t="s">
        <v>26207</v>
      </c>
    </row>
    <row r="10821" spans="1:8">
      <c r="H10821" t="s">
        <v>26208</v>
      </c>
    </row>
    <row r="10822" spans="1:8">
      <c r="A10822" t="s">
        <v>933</v>
      </c>
      <c r="B10822">
        <f>HYPERLINK("https://android.googlesource.com/platform/cts/+/41db3385f518722e12a9b95a470f629b5715a902", "41db3385f518722e12a9b95a470f629b5715a902")</f>
        <v>0</v>
      </c>
      <c r="C10822">
        <f>HYPERLINK("https://android.googlesource.com/platform/cts/+/13e033da3568e4897c6df9c41225e92e85e8fde3", "13e033da3568e4897c6df9c41225e92e85e8fde3")</f>
        <v>0</v>
      </c>
      <c r="D10822" t="s">
        <v>5123</v>
      </c>
      <c r="E10822" t="s">
        <v>6712</v>
      </c>
      <c r="F10822" t="s">
        <v>10668</v>
      </c>
      <c r="G10822" t="s">
        <v>15069</v>
      </c>
      <c r="H10822" t="s">
        <v>26216</v>
      </c>
    </row>
    <row r="10823" spans="1:8">
      <c r="H10823" t="s">
        <v>26217</v>
      </c>
    </row>
    <row r="10824" spans="1:8">
      <c r="H10824" t="s">
        <v>26218</v>
      </c>
    </row>
    <row r="10825" spans="1:8">
      <c r="H10825" t="s">
        <v>26219</v>
      </c>
    </row>
    <row r="10826" spans="1:8">
      <c r="H10826" t="s">
        <v>26220</v>
      </c>
    </row>
    <row r="10827" spans="1:8">
      <c r="H10827" t="s">
        <v>26221</v>
      </c>
    </row>
    <row r="10828" spans="1:8">
      <c r="A10828" t="s">
        <v>934</v>
      </c>
      <c r="B10828">
        <f>HYPERLINK("https://android.googlesource.com/platform/cts/+/3f51455dc25c8e5582bb6981a0f6737d1f058c1a", "3f51455dc25c8e5582bb6981a0f6737d1f058c1a")</f>
        <v>0</v>
      </c>
      <c r="C10828">
        <f>HYPERLINK("https://android.googlesource.com/platform/cts/+/4fa953d62f751214b5f7563c83414a017ab67d27", "4fa953d62f751214b5f7563c83414a017ab67d27")</f>
        <v>0</v>
      </c>
      <c r="D10828" t="s">
        <v>5079</v>
      </c>
      <c r="E10828" t="s">
        <v>6713</v>
      </c>
      <c r="F10828" t="s">
        <v>12705</v>
      </c>
      <c r="G10828" t="s">
        <v>16907</v>
      </c>
      <c r="H10828" t="s">
        <v>25996</v>
      </c>
    </row>
    <row r="10829" spans="1:8">
      <c r="A10829" t="s">
        <v>935</v>
      </c>
      <c r="B10829">
        <f>HYPERLINK("https://android.googlesource.com/platform/cts/+/f2a9041ae33281e005cb6a22fc6e82b00cdcfe76", "f2a9041ae33281e005cb6a22fc6e82b00cdcfe76")</f>
        <v>0</v>
      </c>
      <c r="C10829">
        <f>HYPERLINK("https://android.googlesource.com/platform/cts/+/bcb4ec196a099ade361c718d9c9e290f29c563bf", "bcb4ec196a099ade361c718d9c9e290f29c563bf")</f>
        <v>0</v>
      </c>
      <c r="D10829" t="s">
        <v>5124</v>
      </c>
      <c r="E10829" t="s">
        <v>6714</v>
      </c>
      <c r="F10829" t="s">
        <v>12419</v>
      </c>
      <c r="G10829" t="s">
        <v>16641</v>
      </c>
      <c r="H10829" t="s">
        <v>26229</v>
      </c>
    </row>
    <row r="10830" spans="1:8">
      <c r="A10830" t="s">
        <v>938</v>
      </c>
      <c r="B10830">
        <f>HYPERLINK("https://android.googlesource.com/platform/cts/+/20bf624c17e25d1d98af47e26905bc288587ff1f", "20bf624c17e25d1d98af47e26905bc288587ff1f")</f>
        <v>0</v>
      </c>
      <c r="C10830">
        <f>HYPERLINK("https://android.googlesource.com/platform/cts/+/91f61b6cb1ebfeda88b506e55188681f582a88d7", "91f61b6cb1ebfeda88b506e55188681f582a88d7")</f>
        <v>0</v>
      </c>
      <c r="D10830" t="s">
        <v>5125</v>
      </c>
      <c r="E10830" t="s">
        <v>6717</v>
      </c>
      <c r="F10830" t="s">
        <v>10664</v>
      </c>
      <c r="G10830" t="s">
        <v>15065</v>
      </c>
      <c r="H10830" t="s">
        <v>26236</v>
      </c>
    </row>
    <row r="10831" spans="1:8">
      <c r="H10831" t="s">
        <v>26237</v>
      </c>
    </row>
    <row r="10832" spans="1:8">
      <c r="H10832" t="s">
        <v>26238</v>
      </c>
    </row>
    <row r="10833" spans="1:8">
      <c r="H10833" t="s">
        <v>26239</v>
      </c>
    </row>
    <row r="10834" spans="1:8">
      <c r="H10834" t="s">
        <v>26240</v>
      </c>
    </row>
    <row r="10835" spans="1:8">
      <c r="H10835" t="s">
        <v>26241</v>
      </c>
    </row>
    <row r="10836" spans="1:8">
      <c r="A10836" t="s">
        <v>939</v>
      </c>
      <c r="B10836">
        <f>HYPERLINK("https://android.googlesource.com/platform/cts/+/a92af14ce02ef622421c1a08f566dc4de8e6f535", "a92af14ce02ef622421c1a08f566dc4de8e6f535")</f>
        <v>0</v>
      </c>
      <c r="C10836">
        <f>HYPERLINK("https://android.googlesource.com/platform/cts/+/e507fc6e816e706187e7f09bce1281e19e3f02c1", "e507fc6e816e706187e7f09bce1281e19e3f02c1")</f>
        <v>0</v>
      </c>
      <c r="D10836" t="s">
        <v>5122</v>
      </c>
      <c r="E10836" t="s">
        <v>6718</v>
      </c>
      <c r="F10836" t="s">
        <v>12608</v>
      </c>
      <c r="G10836" t="s">
        <v>16820</v>
      </c>
      <c r="H10836" t="s">
        <v>26242</v>
      </c>
    </row>
    <row r="10837" spans="1:8">
      <c r="A10837" t="s">
        <v>940</v>
      </c>
      <c r="B10837">
        <f>HYPERLINK("https://android.googlesource.com/platform/cts/+/c07a541758271bf7c222ac946a0abf3631d6e37a", "c07a541758271bf7c222ac946a0abf3631d6e37a")</f>
        <v>0</v>
      </c>
      <c r="C10837">
        <f>HYPERLINK("https://android.googlesource.com/platform/cts/+/b48ad8c4ef8be3bbc4749585e526bed51158ac37", "b48ad8c4ef8be3bbc4749585e526bed51158ac37")</f>
        <v>0</v>
      </c>
      <c r="D10837" t="s">
        <v>5122</v>
      </c>
      <c r="E10837" t="s">
        <v>6719</v>
      </c>
      <c r="F10837" t="s">
        <v>12608</v>
      </c>
      <c r="G10837" t="s">
        <v>16820</v>
      </c>
      <c r="H10837" t="s">
        <v>26243</v>
      </c>
    </row>
    <row r="10838" spans="1:8">
      <c r="A10838" t="s">
        <v>941</v>
      </c>
      <c r="B10838">
        <f>HYPERLINK("https://android.googlesource.com/platform/cts/+/055d2f3e3e44e6723422368d4fa14a77c6022207", "055d2f3e3e44e6723422368d4fa14a77c6022207")</f>
        <v>0</v>
      </c>
      <c r="C10838">
        <f>HYPERLINK("https://android.googlesource.com/platform/cts/+/c07a541758271bf7c222ac946a0abf3631d6e37a", "c07a541758271bf7c222ac946a0abf3631d6e37a")</f>
        <v>0</v>
      </c>
      <c r="D10838" t="s">
        <v>5122</v>
      </c>
      <c r="E10838" t="s">
        <v>6720</v>
      </c>
      <c r="F10838" t="s">
        <v>12608</v>
      </c>
      <c r="G10838" t="s">
        <v>16820</v>
      </c>
      <c r="H10838" t="s">
        <v>26244</v>
      </c>
    </row>
    <row r="10839" spans="1:8">
      <c r="A10839" t="s">
        <v>942</v>
      </c>
      <c r="B10839">
        <f>HYPERLINK("https://android.googlesource.com/platform/cts/+/3fb5b364028955b4f4a76dee45cd15843ca088de", "3fb5b364028955b4f4a76dee45cd15843ca088de")</f>
        <v>0</v>
      </c>
      <c r="C10839">
        <f>HYPERLINK("https://android.googlesource.com/platform/cts/+/0f21d01fe7a282a1ccbc4f7a42970a6c9a9d73c3", "0f21d01fe7a282a1ccbc4f7a42970a6c9a9d73c3")</f>
        <v>0</v>
      </c>
      <c r="D10839" t="s">
        <v>5126</v>
      </c>
      <c r="E10839" t="s">
        <v>6721</v>
      </c>
      <c r="F10839" t="s">
        <v>12744</v>
      </c>
      <c r="G10839" t="s">
        <v>16936</v>
      </c>
      <c r="H10839" t="s">
        <v>26245</v>
      </c>
    </row>
    <row r="10840" spans="1:8">
      <c r="H10840" t="s">
        <v>26246</v>
      </c>
    </row>
    <row r="10841" spans="1:8">
      <c r="H10841" t="s">
        <v>26247</v>
      </c>
    </row>
    <row r="10842" spans="1:8">
      <c r="A10842" t="s">
        <v>943</v>
      </c>
      <c r="B10842">
        <f>HYPERLINK("https://android.googlesource.com/platform/cts/+/3c4645b36804bb1df84b3ade84cbe65d92617bd6", "3c4645b36804bb1df84b3ade84cbe65d92617bd6")</f>
        <v>0</v>
      </c>
      <c r="C10842">
        <f>HYPERLINK("https://android.googlesource.com/platform/cts/+/02c5493e279d70bc3cde45011ac472d3dd2c4470", "02c5493e279d70bc3cde45011ac472d3dd2c4470")</f>
        <v>0</v>
      </c>
      <c r="D10842" t="s">
        <v>5085</v>
      </c>
      <c r="E10842" t="s">
        <v>6722</v>
      </c>
      <c r="F10842" t="s">
        <v>12745</v>
      </c>
      <c r="G10842" t="s">
        <v>16937</v>
      </c>
      <c r="H10842" t="s">
        <v>26248</v>
      </c>
    </row>
    <row r="10843" spans="1:8">
      <c r="A10843" t="s">
        <v>946</v>
      </c>
      <c r="B10843">
        <f>HYPERLINK("https://android.googlesource.com/platform/cts/+/9ac9de3913248ec7b43aefcc62411205b2dba975", "9ac9de3913248ec7b43aefcc62411205b2dba975")</f>
        <v>0</v>
      </c>
      <c r="C10843">
        <f>HYPERLINK("https://android.googlesource.com/platform/cts/+/d10406fde2679d377a896953adea750c731f9f1e", "d10406fde2679d377a896953adea750c731f9f1e")</f>
        <v>0</v>
      </c>
      <c r="D10843" t="s">
        <v>5084</v>
      </c>
      <c r="E10843" t="s">
        <v>6725</v>
      </c>
      <c r="F10843" t="s">
        <v>12368</v>
      </c>
      <c r="G10843" t="s">
        <v>16595</v>
      </c>
      <c r="H10843" t="s">
        <v>26254</v>
      </c>
    </row>
    <row r="10844" spans="1:8">
      <c r="A10844" t="s">
        <v>947</v>
      </c>
      <c r="B10844">
        <f>HYPERLINK("https://android.googlesource.com/platform/cts/+/91a42b6b6329b2e65886bb99f0731a56ce947b2d", "91a42b6b6329b2e65886bb99f0731a56ce947b2d")</f>
        <v>0</v>
      </c>
      <c r="C10844">
        <f>HYPERLINK("https://android.googlesource.com/platform/cts/+/3feb77eaae0e114f6ae67578997ac741512cbf77", "3feb77eaae0e114f6ae67578997ac741512cbf77")</f>
        <v>0</v>
      </c>
      <c r="D10844" t="s">
        <v>5129</v>
      </c>
      <c r="E10844" t="s">
        <v>6726</v>
      </c>
      <c r="F10844" t="s">
        <v>12748</v>
      </c>
      <c r="G10844" t="s">
        <v>16939</v>
      </c>
      <c r="H10844" t="s">
        <v>26256</v>
      </c>
    </row>
    <row r="10845" spans="1:8">
      <c r="A10845" t="s">
        <v>951</v>
      </c>
      <c r="B10845">
        <f>HYPERLINK("https://android.googlesource.com/platform/cts/+/cb76377cef1653c62955555aff1f13f5c30c7480", "cb76377cef1653c62955555aff1f13f5c30c7480")</f>
        <v>0</v>
      </c>
      <c r="C10845">
        <f>HYPERLINK("https://android.googlesource.com/platform/cts/+/952879d26caf5afe9bc56d87608fc4f88d253347", "952879d26caf5afe9bc56d87608fc4f88d253347")</f>
        <v>0</v>
      </c>
      <c r="D10845" t="s">
        <v>5131</v>
      </c>
      <c r="E10845" t="s">
        <v>6730</v>
      </c>
      <c r="F10845" t="s">
        <v>12754</v>
      </c>
      <c r="G10845" t="s">
        <v>16945</v>
      </c>
      <c r="H10845" t="s">
        <v>26271</v>
      </c>
    </row>
    <row r="10846" spans="1:8">
      <c r="H10846" t="s">
        <v>26272</v>
      </c>
    </row>
    <row r="10847" spans="1:8">
      <c r="H10847" t="s">
        <v>26273</v>
      </c>
    </row>
    <row r="10848" spans="1:8">
      <c r="F10848" t="s">
        <v>12756</v>
      </c>
      <c r="G10848" t="s">
        <v>16947</v>
      </c>
      <c r="H10848" t="s">
        <v>26286</v>
      </c>
    </row>
    <row r="10849" spans="1:8">
      <c r="H10849" t="s">
        <v>26287</v>
      </c>
    </row>
    <row r="10850" spans="1:8">
      <c r="H10850" t="s">
        <v>26288</v>
      </c>
    </row>
    <row r="10851" spans="1:8">
      <c r="H10851" t="s">
        <v>26289</v>
      </c>
    </row>
    <row r="10852" spans="1:8">
      <c r="H10852" t="s">
        <v>26290</v>
      </c>
    </row>
    <row r="10853" spans="1:8">
      <c r="H10853" t="s">
        <v>26273</v>
      </c>
    </row>
    <row r="10854" spans="1:8">
      <c r="H10854" t="s">
        <v>26291</v>
      </c>
    </row>
    <row r="10855" spans="1:8">
      <c r="H10855" t="s">
        <v>26292</v>
      </c>
    </row>
    <row r="10856" spans="1:8">
      <c r="A10856" t="s">
        <v>952</v>
      </c>
      <c r="B10856">
        <f>HYPERLINK("https://android.googlesource.com/platform/cts/+/32afcaf2dfcc1bd52c952b1fc654123a7ba6f22e", "32afcaf2dfcc1bd52c952b1fc654123a7ba6f22e")</f>
        <v>0</v>
      </c>
      <c r="C10856">
        <f>HYPERLINK("https://android.googlesource.com/platform/cts/+/0d87f33eab8ab831019a3fb615aff0506e9c736c", "0d87f33eab8ab831019a3fb615aff0506e9c736c")</f>
        <v>0</v>
      </c>
      <c r="D10856" t="s">
        <v>5046</v>
      </c>
      <c r="E10856" t="s">
        <v>6731</v>
      </c>
      <c r="F10856" t="s">
        <v>12757</v>
      </c>
      <c r="G10856" t="s">
        <v>16948</v>
      </c>
      <c r="H10856" t="s">
        <v>26293</v>
      </c>
    </row>
    <row r="10857" spans="1:8">
      <c r="A10857" t="s">
        <v>953</v>
      </c>
      <c r="B10857">
        <f>HYPERLINK("https://android.googlesource.com/platform/cts/+/5295b42262329fc6e642eacf53d44456404933e4", "5295b42262329fc6e642eacf53d44456404933e4")</f>
        <v>0</v>
      </c>
      <c r="C10857">
        <f>HYPERLINK("https://android.googlesource.com/platform/cts/+/0d87f33eab8ab831019a3fb615aff0506e9c736c", "0d87f33eab8ab831019a3fb615aff0506e9c736c")</f>
        <v>0</v>
      </c>
      <c r="D10857" t="s">
        <v>5046</v>
      </c>
      <c r="E10857" t="s">
        <v>6732</v>
      </c>
      <c r="F10857" t="s">
        <v>12758</v>
      </c>
      <c r="G10857" t="s">
        <v>16949</v>
      </c>
      <c r="H10857" t="s">
        <v>26294</v>
      </c>
    </row>
    <row r="10858" spans="1:8">
      <c r="A10858" t="s">
        <v>954</v>
      </c>
      <c r="B10858">
        <f>HYPERLINK("https://android.googlesource.com/platform/cts/+/dc7e6f841006bd45e17fd3e9a0321e89e1849dbd", "dc7e6f841006bd45e17fd3e9a0321e89e1849dbd")</f>
        <v>0</v>
      </c>
      <c r="C10858">
        <f>HYPERLINK("https://android.googlesource.com/platform/cts/+/9c8a63587008c75a494531b6a747c76cf5cbbc33", "9c8a63587008c75a494531b6a747c76cf5cbbc33")</f>
        <v>0</v>
      </c>
      <c r="D10858" t="s">
        <v>5060</v>
      </c>
      <c r="E10858" t="s">
        <v>6733</v>
      </c>
      <c r="F10858" t="s">
        <v>12714</v>
      </c>
      <c r="G10858" t="s">
        <v>16914</v>
      </c>
      <c r="H10858" t="s">
        <v>26005</v>
      </c>
    </row>
    <row r="10859" spans="1:8">
      <c r="H10859" t="s">
        <v>26006</v>
      </c>
    </row>
    <row r="10860" spans="1:8">
      <c r="A10860" t="s">
        <v>955</v>
      </c>
      <c r="B10860">
        <f>HYPERLINK("https://android.googlesource.com/platform/cts/+/663bd12dc4f64ca00b26dd1d72f3a2f0b34b84d4", "663bd12dc4f64ca00b26dd1d72f3a2f0b34b84d4")</f>
        <v>0</v>
      </c>
      <c r="C10860">
        <f>HYPERLINK("https://android.googlesource.com/platform/cts/+/dc7e6f841006bd45e17fd3e9a0321e89e1849dbd", "dc7e6f841006bd45e17fd3e9a0321e89e1849dbd")</f>
        <v>0</v>
      </c>
      <c r="D10860" t="s">
        <v>5060</v>
      </c>
      <c r="E10860" t="s">
        <v>6734</v>
      </c>
      <c r="F10860" t="s">
        <v>12759</v>
      </c>
      <c r="G10860" t="s">
        <v>16950</v>
      </c>
      <c r="H10860" t="s">
        <v>26295</v>
      </c>
    </row>
    <row r="10861" spans="1:8">
      <c r="A10861" t="s">
        <v>956</v>
      </c>
      <c r="B10861">
        <f>HYPERLINK("https://android.googlesource.com/platform/cts/+/c769941fca4e88e0091415433091c4c34c2037ed", "c769941fca4e88e0091415433091c4c34c2037ed")</f>
        <v>0</v>
      </c>
      <c r="C10861">
        <f>HYPERLINK("https://android.googlesource.com/platform/cts/+/84ce9cb7baee483fe4e779724d18e3c0c9f544b2", "84ce9cb7baee483fe4e779724d18e3c0c9f544b2")</f>
        <v>0</v>
      </c>
      <c r="D10861" t="s">
        <v>5085</v>
      </c>
      <c r="E10861" t="s">
        <v>6735</v>
      </c>
      <c r="F10861" t="s">
        <v>12760</v>
      </c>
      <c r="G10861" t="s">
        <v>16951</v>
      </c>
      <c r="H10861" t="s">
        <v>26296</v>
      </c>
    </row>
    <row r="10862" spans="1:8">
      <c r="H10862" t="s">
        <v>26297</v>
      </c>
    </row>
    <row r="10863" spans="1:8">
      <c r="A10863" t="s">
        <v>957</v>
      </c>
      <c r="B10863">
        <f>HYPERLINK("https://android.googlesource.com/platform/cts/+/5523779ef190699cbd2e2415764a34666f658086", "5523779ef190699cbd2e2415764a34666f658086")</f>
        <v>0</v>
      </c>
      <c r="C10863">
        <f>HYPERLINK("https://android.googlesource.com/platform/cts/+/62d12955cc9b142d2e9724ece031589ef3cd7737", "62d12955cc9b142d2e9724ece031589ef3cd7737")</f>
        <v>0</v>
      </c>
      <c r="D10863" t="s">
        <v>5132</v>
      </c>
      <c r="E10863" t="s">
        <v>6736</v>
      </c>
      <c r="F10863" t="s">
        <v>10794</v>
      </c>
      <c r="G10863" t="s">
        <v>15189</v>
      </c>
      <c r="H10863" t="s">
        <v>26299</v>
      </c>
    </row>
    <row r="10864" spans="1:8">
      <c r="A10864" t="s">
        <v>958</v>
      </c>
      <c r="B10864">
        <f>HYPERLINK("https://android.googlesource.com/platform/cts/+/0fc33180d15abf5efff5e1327a696f1a2d748247", "0fc33180d15abf5efff5e1327a696f1a2d748247")</f>
        <v>0</v>
      </c>
      <c r="C10864">
        <f>HYPERLINK("https://android.googlesource.com/platform/cts/+/1784dee4390648dce2e5603e6576dd4e5db2ff32", "1784dee4390648dce2e5603e6576dd4e5db2ff32")</f>
        <v>0</v>
      </c>
      <c r="D10864" t="s">
        <v>5085</v>
      </c>
      <c r="E10864" t="s">
        <v>6737</v>
      </c>
      <c r="F10864" t="s">
        <v>12761</v>
      </c>
      <c r="G10864" t="s">
        <v>16952</v>
      </c>
      <c r="H10864" t="s">
        <v>26300</v>
      </c>
    </row>
    <row r="10865" spans="1:8">
      <c r="H10865" t="s">
        <v>26301</v>
      </c>
    </row>
    <row r="10866" spans="1:8">
      <c r="H10866" t="s">
        <v>26302</v>
      </c>
    </row>
    <row r="10867" spans="1:8">
      <c r="H10867" t="s">
        <v>26303</v>
      </c>
    </row>
    <row r="10868" spans="1:8">
      <c r="F10868" t="s">
        <v>12762</v>
      </c>
      <c r="G10868" t="s">
        <v>16953</v>
      </c>
      <c r="H10868" t="s">
        <v>26304</v>
      </c>
    </row>
    <row r="10869" spans="1:8">
      <c r="H10869" t="s">
        <v>26296</v>
      </c>
    </row>
    <row r="10870" spans="1:8">
      <c r="A10870" t="s">
        <v>964</v>
      </c>
      <c r="B10870">
        <f>HYPERLINK("https://android.googlesource.com/platform/cts/+/d012d2f8b50f9c336c3dd9b1be4e3acb01fa1fe8", "d012d2f8b50f9c336c3dd9b1be4e3acb01fa1fe8")</f>
        <v>0</v>
      </c>
      <c r="C10870">
        <f>HYPERLINK("https://android.googlesource.com/platform/cts/+/f15cf53fd0180c60b538e56a47f30ef12db91ca6", "f15cf53fd0180c60b538e56a47f30ef12db91ca6")</f>
        <v>0</v>
      </c>
      <c r="D10870" t="s">
        <v>5133</v>
      </c>
      <c r="E10870" t="s">
        <v>6742</v>
      </c>
      <c r="F10870" t="s">
        <v>12765</v>
      </c>
      <c r="G10870" t="s">
        <v>16954</v>
      </c>
      <c r="H10870" t="s">
        <v>26320</v>
      </c>
    </row>
    <row r="10871" spans="1:8">
      <c r="H10871" t="s">
        <v>26321</v>
      </c>
    </row>
    <row r="10872" spans="1:8">
      <c r="A10872" t="s">
        <v>966</v>
      </c>
      <c r="B10872">
        <f>HYPERLINK("https://android.googlesource.com/platform/cts/+/3732f6692eab24553b62b81b762e45e1e187061b", "3732f6692eab24553b62b81b762e45e1e187061b")</f>
        <v>0</v>
      </c>
      <c r="C10872">
        <f>HYPERLINK("https://android.googlesource.com/platform/cts/+/4a4ac91534edc4304a0eb6bdabcfba60fa7ec652", "4a4ac91534edc4304a0eb6bdabcfba60fa7ec652")</f>
        <v>0</v>
      </c>
      <c r="D10872" t="s">
        <v>5085</v>
      </c>
      <c r="E10872" t="s">
        <v>6744</v>
      </c>
      <c r="F10872" t="s">
        <v>12766</v>
      </c>
      <c r="G10872" t="s">
        <v>16940</v>
      </c>
      <c r="H10872" t="s">
        <v>26323</v>
      </c>
    </row>
    <row r="10873" spans="1:8">
      <c r="F10873" t="s">
        <v>12767</v>
      </c>
      <c r="G10873" t="s">
        <v>16955</v>
      </c>
      <c r="H10873" t="s">
        <v>26302</v>
      </c>
    </row>
    <row r="10874" spans="1:8">
      <c r="F10874" t="s">
        <v>12761</v>
      </c>
      <c r="G10874" t="s">
        <v>16952</v>
      </c>
      <c r="H10874" t="s">
        <v>26331</v>
      </c>
    </row>
    <row r="10875" spans="1:8">
      <c r="F10875" t="s">
        <v>12762</v>
      </c>
      <c r="G10875" t="s">
        <v>16953</v>
      </c>
      <c r="H10875" t="s">
        <v>26332</v>
      </c>
    </row>
    <row r="10876" spans="1:8">
      <c r="F10876" t="s">
        <v>12768</v>
      </c>
      <c r="G10876" t="s">
        <v>15710</v>
      </c>
      <c r="H10876" t="s">
        <v>26334</v>
      </c>
    </row>
    <row r="10877" spans="1:8">
      <c r="H10877" t="s">
        <v>26335</v>
      </c>
    </row>
    <row r="10878" spans="1:8">
      <c r="H10878" t="s">
        <v>26336</v>
      </c>
    </row>
    <row r="10879" spans="1:8">
      <c r="H10879" t="s">
        <v>26337</v>
      </c>
    </row>
    <row r="10880" spans="1:8">
      <c r="H10880" t="s">
        <v>26338</v>
      </c>
    </row>
    <row r="10881" spans="1:8">
      <c r="H10881" t="s">
        <v>26339</v>
      </c>
    </row>
    <row r="10882" spans="1:8">
      <c r="H10882" t="s">
        <v>26340</v>
      </c>
    </row>
    <row r="10883" spans="1:8">
      <c r="H10883" t="s">
        <v>26341</v>
      </c>
    </row>
    <row r="10884" spans="1:8">
      <c r="H10884" t="s">
        <v>26342</v>
      </c>
    </row>
    <row r="10885" spans="1:8">
      <c r="H10885" t="s">
        <v>26343</v>
      </c>
    </row>
    <row r="10886" spans="1:8">
      <c r="H10886" t="s">
        <v>26344</v>
      </c>
    </row>
    <row r="10887" spans="1:8">
      <c r="H10887" t="s">
        <v>26345</v>
      </c>
    </row>
    <row r="10888" spans="1:8">
      <c r="H10888" t="s">
        <v>26346</v>
      </c>
    </row>
    <row r="10889" spans="1:8">
      <c r="A10889" t="s">
        <v>967</v>
      </c>
      <c r="B10889">
        <f>HYPERLINK("https://android.googlesource.com/platform/cts/+/4614db983abe4cf67777fc131bb61684fbdd2524", "4614db983abe4cf67777fc131bb61684fbdd2524")</f>
        <v>0</v>
      </c>
      <c r="C10889">
        <f>HYPERLINK("https://android.googlesource.com/platform/cts/+/bc5a3c673daff6d6b5a844251bf6f64477492723", "bc5a3c673daff6d6b5a844251bf6f64477492723")</f>
        <v>0</v>
      </c>
      <c r="D10889" t="s">
        <v>5048</v>
      </c>
      <c r="E10889" t="s">
        <v>6745</v>
      </c>
      <c r="F10889" t="s">
        <v>12609</v>
      </c>
      <c r="G10889" t="s">
        <v>16554</v>
      </c>
      <c r="H10889" t="s">
        <v>26350</v>
      </c>
    </row>
    <row r="10890" spans="1:8">
      <c r="A10890" t="s">
        <v>969</v>
      </c>
      <c r="B10890">
        <f>HYPERLINK("https://android.googlesource.com/platform/cts/+/2d29cb1b4eeda1593d1f5f5f1785ceb1a8219ee1", "2d29cb1b4eeda1593d1f5f5f1785ceb1a8219ee1")</f>
        <v>0</v>
      </c>
      <c r="C10890">
        <f>HYPERLINK("https://android.googlesource.com/platform/cts/+/788182e37e833ee51428846029143a0e1392824d", "788182e37e833ee51428846029143a0e1392824d")</f>
        <v>0</v>
      </c>
      <c r="D10890" t="s">
        <v>5122</v>
      </c>
      <c r="E10890" t="s">
        <v>6747</v>
      </c>
      <c r="F10890" t="s">
        <v>12770</v>
      </c>
      <c r="G10890" t="s">
        <v>16957</v>
      </c>
      <c r="H10890" t="s">
        <v>26354</v>
      </c>
    </row>
    <row r="10891" spans="1:8">
      <c r="A10891" t="s">
        <v>970</v>
      </c>
      <c r="B10891">
        <f>HYPERLINK("https://android.googlesource.com/platform/cts/+/daffcecfeebd53e06e4e43dfe6905a84742a16e7", "daffcecfeebd53e06e4e43dfe6905a84742a16e7")</f>
        <v>0</v>
      </c>
      <c r="C10891">
        <f>HYPERLINK("https://android.googlesource.com/platform/cts/+/a3f94678cb10cbb9b1ad997591c98c22c7e71358", "a3f94678cb10cbb9b1ad997591c98c22c7e71358")</f>
        <v>0</v>
      </c>
      <c r="D10891" t="s">
        <v>5134</v>
      </c>
      <c r="E10891" t="s">
        <v>6748</v>
      </c>
      <c r="F10891" t="s">
        <v>12771</v>
      </c>
      <c r="G10891" t="s">
        <v>16958</v>
      </c>
      <c r="H10891" t="s">
        <v>26355</v>
      </c>
    </row>
    <row r="10892" spans="1:8">
      <c r="A10892" t="s">
        <v>971</v>
      </c>
      <c r="B10892">
        <f>HYPERLINK("https://android.googlesource.com/platform/cts/+/19dd977c92c89d3b2702ecabfd9d2d48c5bdd070", "19dd977c92c89d3b2702ecabfd9d2d48c5bdd070")</f>
        <v>0</v>
      </c>
      <c r="C10892">
        <f>HYPERLINK("https://android.googlesource.com/platform/cts/+/b1b723186902c71913b16ca2d6daae77b700bf36", "b1b723186902c71913b16ca2d6daae77b700bf36")</f>
        <v>0</v>
      </c>
      <c r="D10892" t="s">
        <v>5118</v>
      </c>
      <c r="E10892" t="s">
        <v>6749</v>
      </c>
      <c r="F10892" t="s">
        <v>12733</v>
      </c>
      <c r="G10892" t="s">
        <v>16854</v>
      </c>
      <c r="H10892" t="s">
        <v>26356</v>
      </c>
    </row>
    <row r="10893" spans="1:8">
      <c r="A10893" t="s">
        <v>973</v>
      </c>
      <c r="B10893">
        <f>HYPERLINK("https://android.googlesource.com/platform/cts/+/50a0db7e76e2380940e5ec1cf7fafd9592a062f5", "50a0db7e76e2380940e5ec1cf7fafd9592a062f5")</f>
        <v>0</v>
      </c>
      <c r="C10893">
        <f>HYPERLINK("https://android.googlesource.com/platform/cts/+/98c5cb02cc2f63cb403e83c38afb37736780a897", "98c5cb02cc2f63cb403e83c38afb37736780a897")</f>
        <v>0</v>
      </c>
      <c r="D10893" t="s">
        <v>5060</v>
      </c>
      <c r="E10893" t="s">
        <v>6751</v>
      </c>
      <c r="F10893" t="s">
        <v>12342</v>
      </c>
      <c r="G10893" t="s">
        <v>16570</v>
      </c>
      <c r="H10893" t="s">
        <v>24992</v>
      </c>
    </row>
    <row r="10894" spans="1:8">
      <c r="A10894" t="s">
        <v>974</v>
      </c>
      <c r="B10894">
        <f>HYPERLINK("https://android.googlesource.com/platform/cts/+/ae4a5536526101acf98eea60db85536d1819b203", "ae4a5536526101acf98eea60db85536d1819b203")</f>
        <v>0</v>
      </c>
      <c r="C10894">
        <f>HYPERLINK("https://android.googlesource.com/platform/cts/+/e4ba0dcedf949349880eb547b90ca878c66a375e", "e4ba0dcedf949349880eb547b90ca878c66a375e")</f>
        <v>0</v>
      </c>
      <c r="D10894" t="s">
        <v>5060</v>
      </c>
      <c r="E10894" t="s">
        <v>6752</v>
      </c>
      <c r="F10894" t="s">
        <v>12342</v>
      </c>
      <c r="G10894" t="s">
        <v>16570</v>
      </c>
      <c r="H10894" t="s">
        <v>24992</v>
      </c>
    </row>
    <row r="10895" spans="1:8">
      <c r="A10895" t="s">
        <v>975</v>
      </c>
      <c r="B10895">
        <f>HYPERLINK("https://android.googlesource.com/platform/cts/+/d1f30c0fa73e0918ec7040072a91f34fb9cd0777", "d1f30c0fa73e0918ec7040072a91f34fb9cd0777")</f>
        <v>0</v>
      </c>
      <c r="C10895">
        <f>HYPERLINK("https://android.googlesource.com/platform/cts/+/0ecaf158c14f75560d9b78fbd8a06d88e118b9da", "0ecaf158c14f75560d9b78fbd8a06d88e118b9da")</f>
        <v>0</v>
      </c>
      <c r="D10895" t="s">
        <v>5136</v>
      </c>
      <c r="E10895" t="s">
        <v>6753</v>
      </c>
      <c r="F10895" t="s">
        <v>10778</v>
      </c>
      <c r="G10895" t="s">
        <v>15174</v>
      </c>
      <c r="H10895" t="s">
        <v>26358</v>
      </c>
    </row>
    <row r="10896" spans="1:8">
      <c r="H10896" t="s">
        <v>26359</v>
      </c>
    </row>
    <row r="10897" spans="1:8">
      <c r="A10897" t="s">
        <v>976</v>
      </c>
      <c r="B10897">
        <f>HYPERLINK("https://android.googlesource.com/platform/cts/+/286f6fcd85c64eac9bb778303d114f5eb8bc46d1", "286f6fcd85c64eac9bb778303d114f5eb8bc46d1")</f>
        <v>0</v>
      </c>
      <c r="C10897">
        <f>HYPERLINK("https://android.googlesource.com/platform/cts/+/7c1d6150506403cb33e0f0f7d593789acfdaa628", "7c1d6150506403cb33e0f0f7d593789acfdaa628")</f>
        <v>0</v>
      </c>
      <c r="D10897" t="s">
        <v>5134</v>
      </c>
      <c r="E10897" t="s">
        <v>6754</v>
      </c>
      <c r="F10897" t="s">
        <v>12773</v>
      </c>
      <c r="G10897" t="s">
        <v>15100</v>
      </c>
      <c r="H10897" t="s">
        <v>26360</v>
      </c>
    </row>
    <row r="10898" spans="1:8">
      <c r="H10898" t="s">
        <v>26361</v>
      </c>
    </row>
    <row r="10899" spans="1:8">
      <c r="H10899" t="s">
        <v>26362</v>
      </c>
    </row>
    <row r="10900" spans="1:8">
      <c r="A10900" t="s">
        <v>977</v>
      </c>
      <c r="B10900">
        <f>HYPERLINK("https://android.googlesource.com/platform/cts/+/71a1a7085bb98d48ea9f10347d0c7f714a7c6e0c", "71a1a7085bb98d48ea9f10347d0c7f714a7c6e0c")</f>
        <v>0</v>
      </c>
      <c r="C10900">
        <f>HYPERLINK("https://android.googlesource.com/platform/cts/+/180f7fd154eada6fa82bf13b36bd392f349a6c61", "180f7fd154eada6fa82bf13b36bd392f349a6c61")</f>
        <v>0</v>
      </c>
      <c r="D10900" t="s">
        <v>5137</v>
      </c>
      <c r="E10900" t="s">
        <v>6755</v>
      </c>
      <c r="F10900" t="s">
        <v>12768</v>
      </c>
      <c r="G10900" t="s">
        <v>15710</v>
      </c>
      <c r="H10900" t="s">
        <v>26364</v>
      </c>
    </row>
    <row r="10901" spans="1:8">
      <c r="H10901" t="s">
        <v>26365</v>
      </c>
    </row>
    <row r="10902" spans="1:8">
      <c r="A10902" t="s">
        <v>978</v>
      </c>
      <c r="B10902">
        <f>HYPERLINK("https://android.googlesource.com/platform/cts/+/4fd3ca36abd6437ff8bf4d4ff24ffe1321413d0a", "4fd3ca36abd6437ff8bf4d4ff24ffe1321413d0a")</f>
        <v>0</v>
      </c>
      <c r="C10902">
        <f>HYPERLINK("https://android.googlesource.com/platform/cts/+/dc7d94929e909289731a833df59e39a5d5daab1f", "dc7d94929e909289731a833df59e39a5d5daab1f")</f>
        <v>0</v>
      </c>
      <c r="D10902" t="s">
        <v>5085</v>
      </c>
      <c r="E10902" t="s">
        <v>6756</v>
      </c>
      <c r="F10902" t="s">
        <v>12745</v>
      </c>
      <c r="G10902" t="s">
        <v>16937</v>
      </c>
      <c r="H10902" t="s">
        <v>25782</v>
      </c>
    </row>
    <row r="10903" spans="1:8">
      <c r="H10903" t="s">
        <v>25781</v>
      </c>
    </row>
    <row r="10904" spans="1:8">
      <c r="A10904" t="s">
        <v>983</v>
      </c>
      <c r="B10904">
        <f>HYPERLINK("https://android.googlesource.com/platform/cts/+/987019298727695c2b202081153a2bd67de1b063", "987019298727695c2b202081153a2bd67de1b063")</f>
        <v>0</v>
      </c>
      <c r="C10904">
        <f>HYPERLINK("https://android.googlesource.com/platform/cts/+/f480e061734cc4f08aa141a18b0985fbcc2e4f5b", "f480e061734cc4f08aa141a18b0985fbcc2e4f5b")</f>
        <v>0</v>
      </c>
      <c r="D10904" t="s">
        <v>5073</v>
      </c>
      <c r="E10904" t="s">
        <v>6761</v>
      </c>
      <c r="F10904" t="s">
        <v>12776</v>
      </c>
      <c r="G10904" t="s">
        <v>16961</v>
      </c>
      <c r="H10904" t="s">
        <v>26370</v>
      </c>
    </row>
    <row r="10905" spans="1:8">
      <c r="A10905" t="s">
        <v>984</v>
      </c>
      <c r="B10905">
        <f>HYPERLINK("https://android.googlesource.com/platform/cts/+/0f095ca986d7558f9f5260c71a12cef4474d9da3", "0f095ca986d7558f9f5260c71a12cef4474d9da3")</f>
        <v>0</v>
      </c>
      <c r="C10905">
        <f>HYPERLINK("https://android.googlesource.com/platform/cts/+/d8232b1acfa2fafb2329f4ac70015d2411fa862f", "d8232b1acfa2fafb2329f4ac70015d2411fa862f")</f>
        <v>0</v>
      </c>
      <c r="D10905" t="s">
        <v>5132</v>
      </c>
      <c r="E10905" t="s">
        <v>6762</v>
      </c>
      <c r="F10905" t="s">
        <v>10794</v>
      </c>
      <c r="G10905" t="s">
        <v>15189</v>
      </c>
      <c r="H10905" t="s">
        <v>26371</v>
      </c>
    </row>
    <row r="10906" spans="1:8">
      <c r="A10906" t="s">
        <v>985</v>
      </c>
      <c r="B10906">
        <f>HYPERLINK("https://android.googlesource.com/platform/cts/+/219c1171cf01c735ee805132084e79add5c5aa7e", "219c1171cf01c735ee805132084e79add5c5aa7e")</f>
        <v>0</v>
      </c>
      <c r="C10906">
        <f>HYPERLINK("https://android.googlesource.com/platform/cts/+/931d2695337f70f1abf31253c42e3bdf6eb338e2", "931d2695337f70f1abf31253c42e3bdf6eb338e2")</f>
        <v>0</v>
      </c>
      <c r="D10906" t="s">
        <v>4997</v>
      </c>
      <c r="E10906" t="s">
        <v>6763</v>
      </c>
      <c r="F10906" t="s">
        <v>12714</v>
      </c>
      <c r="G10906" t="s">
        <v>16914</v>
      </c>
      <c r="H10906" t="s">
        <v>26005</v>
      </c>
    </row>
    <row r="10907" spans="1:8">
      <c r="H10907" t="s">
        <v>26006</v>
      </c>
    </row>
    <row r="10908" spans="1:8">
      <c r="A10908" t="s">
        <v>987</v>
      </c>
      <c r="B10908">
        <f>HYPERLINK("https://android.googlesource.com/platform/cts/+/e5955cd84c0af809e11d232b1d1139cbfc3b4e6e", "e5955cd84c0af809e11d232b1d1139cbfc3b4e6e")</f>
        <v>0</v>
      </c>
      <c r="C10908">
        <f>HYPERLINK("https://android.googlesource.com/platform/cts/+/dbdf5086ddaa5bdc6d4793a930bc05f9fdba3609", "dbdf5086ddaa5bdc6d4793a930bc05f9fdba3609")</f>
        <v>0</v>
      </c>
      <c r="D10908" t="s">
        <v>5028</v>
      </c>
      <c r="E10908" t="s">
        <v>6765</v>
      </c>
      <c r="F10908" t="s">
        <v>12778</v>
      </c>
      <c r="G10908" t="s">
        <v>16963</v>
      </c>
      <c r="H10908" t="s">
        <v>26379</v>
      </c>
    </row>
    <row r="10909" spans="1:8">
      <c r="A10909" t="s">
        <v>989</v>
      </c>
      <c r="B10909">
        <f>HYPERLINK("https://android.googlesource.com/platform/cts/+/b928f9754c106b29b5e813b876509e1bd036430d", "b928f9754c106b29b5e813b876509e1bd036430d")</f>
        <v>0</v>
      </c>
      <c r="C10909">
        <f>HYPERLINK("https://android.googlesource.com/platform/cts/+/8a31c4c3b9340dceca107ad21496b913b4bd9b0f", "8a31c4c3b9340dceca107ad21496b913b4bd9b0f")</f>
        <v>0</v>
      </c>
      <c r="D10909" t="s">
        <v>5139</v>
      </c>
      <c r="E10909" t="s">
        <v>6767</v>
      </c>
      <c r="F10909" t="s">
        <v>12779</v>
      </c>
      <c r="G10909" t="s">
        <v>16964</v>
      </c>
      <c r="H10909" t="s">
        <v>26386</v>
      </c>
    </row>
    <row r="10910" spans="1:8">
      <c r="H10910" t="s">
        <v>26387</v>
      </c>
    </row>
    <row r="10911" spans="1:8">
      <c r="A10911" t="s">
        <v>992</v>
      </c>
      <c r="B10911">
        <f>HYPERLINK("https://android.googlesource.com/platform/cts/+/4767e57cc2cd10c648ef9c6cdab8d72c17410021", "4767e57cc2cd10c648ef9c6cdab8d72c17410021")</f>
        <v>0</v>
      </c>
      <c r="C10911">
        <f>HYPERLINK("https://android.googlesource.com/platform/cts/+/f0fd1a60a6f389bed1eaf2959d581506de8d84dc", "f0fd1a60a6f389bed1eaf2959d581506de8d84dc")</f>
        <v>0</v>
      </c>
      <c r="D10911" t="s">
        <v>4973</v>
      </c>
      <c r="E10911" t="s">
        <v>6770</v>
      </c>
      <c r="F10911" t="s">
        <v>12781</v>
      </c>
      <c r="G10911" t="s">
        <v>16966</v>
      </c>
      <c r="H10911" t="s">
        <v>26389</v>
      </c>
    </row>
    <row r="10912" spans="1:8">
      <c r="H10912" t="s">
        <v>26390</v>
      </c>
    </row>
    <row r="10913" spans="1:8">
      <c r="A10913" t="s">
        <v>996</v>
      </c>
      <c r="B10913">
        <f>HYPERLINK("https://android.googlesource.com/platform/cts/+/c65fc930b0d82ed2836c3c869a8c8123299ad877", "c65fc930b0d82ed2836c3c869a8c8123299ad877")</f>
        <v>0</v>
      </c>
      <c r="C10913">
        <f>HYPERLINK("https://android.googlesource.com/platform/cts/+/0e478bc1c528df4d395557d077c4f3a7e0291105", "0e478bc1c528df4d395557d077c4f3a7e0291105")</f>
        <v>0</v>
      </c>
      <c r="D10913" t="s">
        <v>5114</v>
      </c>
      <c r="E10913" t="s">
        <v>6774</v>
      </c>
      <c r="F10913" t="s">
        <v>12783</v>
      </c>
      <c r="G10913" t="s">
        <v>16968</v>
      </c>
      <c r="H10913" t="s">
        <v>26407</v>
      </c>
    </row>
    <row r="10914" spans="1:8">
      <c r="F10914" t="s">
        <v>12784</v>
      </c>
      <c r="G10914" t="s">
        <v>16969</v>
      </c>
      <c r="H10914" t="s">
        <v>26407</v>
      </c>
    </row>
    <row r="10915" spans="1:8">
      <c r="F10915" t="s">
        <v>12785</v>
      </c>
      <c r="G10915" t="s">
        <v>16970</v>
      </c>
      <c r="H10915" t="s">
        <v>26407</v>
      </c>
    </row>
    <row r="10916" spans="1:8">
      <c r="A10916" t="s">
        <v>999</v>
      </c>
      <c r="B10916">
        <f>HYPERLINK("https://android.googlesource.com/platform/cts/+/5da72853ae42b0443c57bad37d543d5f02d40f81", "5da72853ae42b0443c57bad37d543d5f02d40f81")</f>
        <v>0</v>
      </c>
      <c r="C10916">
        <f>HYPERLINK("https://android.googlesource.com/platform/cts/+/3b62e6a7073fae56b662ba813cfe04dab6bd2c51", "3b62e6a7073fae56b662ba813cfe04dab6bd2c51")</f>
        <v>0</v>
      </c>
      <c r="D10916" t="s">
        <v>5029</v>
      </c>
      <c r="E10916" t="s">
        <v>6777</v>
      </c>
      <c r="F10916" t="s">
        <v>10645</v>
      </c>
      <c r="G10916" t="s">
        <v>15046</v>
      </c>
      <c r="H10916" t="s">
        <v>26409</v>
      </c>
    </row>
    <row r="10917" spans="1:8">
      <c r="H10917" t="s">
        <v>26410</v>
      </c>
    </row>
    <row r="10918" spans="1:8">
      <c r="A10918" t="s">
        <v>1000</v>
      </c>
      <c r="B10918">
        <f>HYPERLINK("https://android.googlesource.com/platform/cts/+/62a8f5963039a89980f1d24374f514872cc5bf43", "62a8f5963039a89980f1d24374f514872cc5bf43")</f>
        <v>0</v>
      </c>
      <c r="C10918">
        <f>HYPERLINK("https://android.googlesource.com/platform/cts/+/3b62e6a7073fae56b662ba813cfe04dab6bd2c51", "3b62e6a7073fae56b662ba813cfe04dab6bd2c51")</f>
        <v>0</v>
      </c>
      <c r="D10918" t="s">
        <v>5029</v>
      </c>
      <c r="E10918" t="s">
        <v>6778</v>
      </c>
      <c r="F10918" t="s">
        <v>10644</v>
      </c>
      <c r="G10918" t="s">
        <v>15045</v>
      </c>
      <c r="H10918" t="s">
        <v>26411</v>
      </c>
    </row>
    <row r="10919" spans="1:8">
      <c r="H10919" t="s">
        <v>26412</v>
      </c>
    </row>
    <row r="10920" spans="1:8">
      <c r="H10920" t="s">
        <v>26413</v>
      </c>
    </row>
    <row r="10921" spans="1:8">
      <c r="F10921" t="s">
        <v>10781</v>
      </c>
      <c r="G10921" t="s">
        <v>15177</v>
      </c>
      <c r="H10921" t="s">
        <v>18982</v>
      </c>
    </row>
    <row r="10922" spans="1:8">
      <c r="H10922" t="s">
        <v>18980</v>
      </c>
    </row>
    <row r="10923" spans="1:8">
      <c r="A10923" t="s">
        <v>1004</v>
      </c>
      <c r="B10923">
        <f>HYPERLINK("https://android.googlesource.com/platform/cts/+/7ac81e5517486a0b57a0882e5fbbc30d26c5cd34", "7ac81e5517486a0b57a0882e5fbbc30d26c5cd34")</f>
        <v>0</v>
      </c>
      <c r="C10923">
        <f>HYPERLINK("https://android.googlesource.com/platform/cts/+/a8c33dfd623fc76e9f568e91f8d39549aae95222", "a8c33dfd623fc76e9f568e91f8d39549aae95222")</f>
        <v>0</v>
      </c>
      <c r="D10923" t="s">
        <v>5144</v>
      </c>
      <c r="E10923" t="s">
        <v>6782</v>
      </c>
      <c r="F10923" t="s">
        <v>12789</v>
      </c>
      <c r="G10923" t="s">
        <v>16972</v>
      </c>
      <c r="H10923" t="s">
        <v>26419</v>
      </c>
    </row>
    <row r="10924" spans="1:8">
      <c r="F10924" t="s">
        <v>12790</v>
      </c>
      <c r="G10924" t="s">
        <v>16973</v>
      </c>
      <c r="H10924" t="s">
        <v>19183</v>
      </c>
    </row>
    <row r="10925" spans="1:8">
      <c r="H10925" t="s">
        <v>19184</v>
      </c>
    </row>
    <row r="10926" spans="1:8">
      <c r="F10926" t="s">
        <v>12791</v>
      </c>
      <c r="G10926" t="s">
        <v>16974</v>
      </c>
      <c r="H10926" t="s">
        <v>26420</v>
      </c>
    </row>
    <row r="10927" spans="1:8">
      <c r="A10927" t="s">
        <v>1005</v>
      </c>
      <c r="B10927">
        <f>HYPERLINK("https://android.googlesource.com/platform/cts/+/24a93beaf560304efdf54cd5c9f70b3f3793b765", "24a93beaf560304efdf54cd5c9f70b3f3793b765")</f>
        <v>0</v>
      </c>
      <c r="C10927">
        <f>HYPERLINK("https://android.googlesource.com/platform/cts/+/b0a710c741649aed4d243a1621f5ff42577b5f10", "b0a710c741649aed4d243a1621f5ff42577b5f10")</f>
        <v>0</v>
      </c>
      <c r="D10927" t="s">
        <v>5143</v>
      </c>
      <c r="E10927" t="s">
        <v>6783</v>
      </c>
      <c r="F10927" t="s">
        <v>12792</v>
      </c>
      <c r="G10927" t="s">
        <v>16975</v>
      </c>
      <c r="H10927" t="s">
        <v>18856</v>
      </c>
    </row>
    <row r="10928" spans="1:8">
      <c r="A10928" t="s">
        <v>1006</v>
      </c>
      <c r="B10928">
        <f>HYPERLINK("https://android.googlesource.com/platform/cts/+/ffe206d0fa6f5aab66da6af8d74714b2ea6fbca8", "ffe206d0fa6f5aab66da6af8d74714b2ea6fbca8")</f>
        <v>0</v>
      </c>
      <c r="C10928">
        <f>HYPERLINK("https://android.googlesource.com/platform/cts/+/79d03fac83c57fb659ba628a6375a8a8c3b28f07", "79d03fac83c57fb659ba628a6375a8a8c3b28f07")</f>
        <v>0</v>
      </c>
      <c r="D10928" t="s">
        <v>5029</v>
      </c>
      <c r="E10928" t="s">
        <v>6784</v>
      </c>
      <c r="F10928" t="s">
        <v>12793</v>
      </c>
      <c r="G10928" t="s">
        <v>16976</v>
      </c>
      <c r="H10928" t="s">
        <v>26424</v>
      </c>
    </row>
    <row r="10929" spans="1:8">
      <c r="F10929" t="s">
        <v>12794</v>
      </c>
      <c r="G10929" t="s">
        <v>16977</v>
      </c>
      <c r="H10929" t="s">
        <v>26424</v>
      </c>
    </row>
    <row r="10930" spans="1:8">
      <c r="A10930" t="s">
        <v>1007</v>
      </c>
      <c r="B10930">
        <f>HYPERLINK("https://android.googlesource.com/platform/cts/+/dcb9d13a2f91974edd8f7d8d105d795c5029ef0e", "dcb9d13a2f91974edd8f7d8d105d795c5029ef0e")</f>
        <v>0</v>
      </c>
      <c r="C10930">
        <f>HYPERLINK("https://android.googlesource.com/platform/cts/+/8cd6a9187ed3f9689f9e71d15df8a232c09721c6", "8cd6a9187ed3f9689f9e71d15df8a232c09721c6")</f>
        <v>0</v>
      </c>
      <c r="D10930" t="s">
        <v>5143</v>
      </c>
      <c r="E10930" t="s">
        <v>6785</v>
      </c>
      <c r="F10930" t="s">
        <v>12795</v>
      </c>
      <c r="G10930" t="s">
        <v>15113</v>
      </c>
      <c r="H10930" t="s">
        <v>26425</v>
      </c>
    </row>
    <row r="10931" spans="1:8">
      <c r="A10931" t="s">
        <v>1009</v>
      </c>
      <c r="B10931">
        <f>HYPERLINK("https://android.googlesource.com/platform/cts/+/dc7920db557edae6f3ce67918995d2216efb6942", "dc7920db557edae6f3ce67918995d2216efb6942")</f>
        <v>0</v>
      </c>
      <c r="C10931">
        <f>HYPERLINK("https://android.googlesource.com/platform/cts/+/ceceb252dd6a5102144373bd5aebef6fcb962b20", "ceceb252dd6a5102144373bd5aebef6fcb962b20")</f>
        <v>0</v>
      </c>
      <c r="D10931" t="s">
        <v>5141</v>
      </c>
      <c r="E10931" t="s">
        <v>6787</v>
      </c>
      <c r="F10931" t="s">
        <v>12798</v>
      </c>
      <c r="G10931" t="s">
        <v>16980</v>
      </c>
      <c r="H10931" t="s">
        <v>26428</v>
      </c>
    </row>
    <row r="10932" spans="1:8">
      <c r="H10932" t="s">
        <v>26429</v>
      </c>
    </row>
    <row r="10933" spans="1:8">
      <c r="F10933" t="s">
        <v>12799</v>
      </c>
      <c r="G10933" t="s">
        <v>16981</v>
      </c>
      <c r="H10933" t="s">
        <v>26430</v>
      </c>
    </row>
    <row r="10934" spans="1:8">
      <c r="H10934" t="s">
        <v>26429</v>
      </c>
    </row>
    <row r="10935" spans="1:8">
      <c r="A10935" t="s">
        <v>1010</v>
      </c>
      <c r="B10935">
        <f>HYPERLINK("https://android.googlesource.com/platform/cts/+/88e3b22925216a9916d38e9ec67a2911699fd207", "88e3b22925216a9916d38e9ec67a2911699fd207")</f>
        <v>0</v>
      </c>
      <c r="C10935">
        <f>HYPERLINK("https://android.googlesource.com/platform/cts/+/ceceb252dd6a5102144373bd5aebef6fcb962b20", "ceceb252dd6a5102144373bd5aebef6fcb962b20")</f>
        <v>0</v>
      </c>
      <c r="D10935" t="s">
        <v>5145</v>
      </c>
      <c r="E10935" t="s">
        <v>6788</v>
      </c>
      <c r="F10935" t="s">
        <v>12800</v>
      </c>
      <c r="G10935" t="s">
        <v>16982</v>
      </c>
      <c r="H10935" t="s">
        <v>26431</v>
      </c>
    </row>
    <row r="10936" spans="1:8">
      <c r="A10936" t="s">
        <v>1011</v>
      </c>
      <c r="B10936">
        <f>HYPERLINK("https://android.googlesource.com/platform/cts/+/db006ec1c828f532a84c5015e45dd9313324bc80", "db006ec1c828f532a84c5015e45dd9313324bc80")</f>
        <v>0</v>
      </c>
      <c r="C10936">
        <f>HYPERLINK("https://android.googlesource.com/platform/cts/+/b12e1a10acae150e4d9c4fe8083fe2c069a0f96d", "b12e1a10acae150e4d9c4fe8083fe2c069a0f96d")</f>
        <v>0</v>
      </c>
      <c r="D10936" t="s">
        <v>5029</v>
      </c>
      <c r="E10936" t="s">
        <v>6789</v>
      </c>
      <c r="F10936" t="s">
        <v>12801</v>
      </c>
      <c r="G10936" t="s">
        <v>16983</v>
      </c>
      <c r="H10936" t="s">
        <v>26432</v>
      </c>
    </row>
    <row r="10937" spans="1:8">
      <c r="F10937" t="s">
        <v>12802</v>
      </c>
      <c r="G10937" t="s">
        <v>16984</v>
      </c>
      <c r="H10937" t="s">
        <v>26433</v>
      </c>
    </row>
    <row r="10938" spans="1:8">
      <c r="A10938" t="s">
        <v>1012</v>
      </c>
      <c r="B10938">
        <f>HYPERLINK("https://android.googlesource.com/platform/cts/+/5dc81d40436e0fb9ede9be31083f86277fc8e44c", "5dc81d40436e0fb9ede9be31083f86277fc8e44c")</f>
        <v>0</v>
      </c>
      <c r="C10938">
        <f>HYPERLINK("https://android.googlesource.com/platform/cts/+/ac1382972eee3fae451f0e2b455a0ca2afe851af", "ac1382972eee3fae451f0e2b455a0ca2afe851af")</f>
        <v>0</v>
      </c>
      <c r="D10938" t="s">
        <v>5143</v>
      </c>
      <c r="E10938" t="s">
        <v>6790</v>
      </c>
      <c r="F10938" t="s">
        <v>12788</v>
      </c>
      <c r="G10938" t="s">
        <v>15076</v>
      </c>
      <c r="H10938" t="s">
        <v>26434</v>
      </c>
    </row>
    <row r="10939" spans="1:8">
      <c r="H10939" t="s">
        <v>26435</v>
      </c>
    </row>
    <row r="10940" spans="1:8">
      <c r="H10940" t="s">
        <v>26437</v>
      </c>
    </row>
    <row r="10941" spans="1:8">
      <c r="A10941" t="s">
        <v>1013</v>
      </c>
      <c r="B10941">
        <f>HYPERLINK("https://android.googlesource.com/platform/cts/+/adca35a2393600069563826b6f7fc23fe2be929d", "adca35a2393600069563826b6f7fc23fe2be929d")</f>
        <v>0</v>
      </c>
      <c r="C10941">
        <f>HYPERLINK("https://android.googlesource.com/platform/cts/+/427501f4c2964b0b6e1d84a2ccf450830c3b8d9a", "427501f4c2964b0b6e1d84a2ccf450830c3b8d9a")</f>
        <v>0</v>
      </c>
      <c r="D10941" t="s">
        <v>5143</v>
      </c>
      <c r="E10941" t="s">
        <v>6791</v>
      </c>
      <c r="F10941" t="s">
        <v>12734</v>
      </c>
      <c r="G10941" t="s">
        <v>16927</v>
      </c>
      <c r="H10941" t="s">
        <v>26438</v>
      </c>
    </row>
    <row r="10942" spans="1:8">
      <c r="A10942" t="s">
        <v>1014</v>
      </c>
      <c r="B10942">
        <f>HYPERLINK("https://android.googlesource.com/platform/cts/+/5bd64517bf00af002c4c5febb6cdce7fb62a5b16", "5bd64517bf00af002c4c5febb6cdce7fb62a5b16")</f>
        <v>0</v>
      </c>
      <c r="C10942">
        <f>HYPERLINK("https://android.googlesource.com/platform/cts/+/3ccbf12472866c72a393ea42838213c292db37d1", "3ccbf12472866c72a393ea42838213c292db37d1")</f>
        <v>0</v>
      </c>
      <c r="D10942" t="s">
        <v>5146</v>
      </c>
      <c r="E10942" t="s">
        <v>6792</v>
      </c>
      <c r="F10942" t="s">
        <v>12803</v>
      </c>
      <c r="G10942" t="s">
        <v>16985</v>
      </c>
      <c r="H10942" t="s">
        <v>26439</v>
      </c>
    </row>
    <row r="10943" spans="1:8">
      <c r="H10943" t="s">
        <v>26440</v>
      </c>
    </row>
    <row r="10944" spans="1:8">
      <c r="H10944" t="s">
        <v>26441</v>
      </c>
    </row>
    <row r="10945" spans="1:8">
      <c r="H10945" t="s">
        <v>26442</v>
      </c>
    </row>
    <row r="10946" spans="1:8">
      <c r="H10946" t="s">
        <v>26443</v>
      </c>
    </row>
    <row r="10947" spans="1:8">
      <c r="H10947" t="s">
        <v>26444</v>
      </c>
    </row>
    <row r="10948" spans="1:8">
      <c r="H10948" t="s">
        <v>26445</v>
      </c>
    </row>
    <row r="10949" spans="1:8">
      <c r="H10949" t="s">
        <v>26446</v>
      </c>
    </row>
    <row r="10950" spans="1:8">
      <c r="H10950" t="s">
        <v>26447</v>
      </c>
    </row>
    <row r="10951" spans="1:8">
      <c r="H10951" t="s">
        <v>26448</v>
      </c>
    </row>
    <row r="10952" spans="1:8">
      <c r="H10952" t="s">
        <v>26449</v>
      </c>
    </row>
    <row r="10953" spans="1:8">
      <c r="H10953" t="s">
        <v>26450</v>
      </c>
    </row>
    <row r="10954" spans="1:8">
      <c r="H10954" t="s">
        <v>26451</v>
      </c>
    </row>
    <row r="10955" spans="1:8">
      <c r="H10955" t="s">
        <v>26452</v>
      </c>
    </row>
    <row r="10956" spans="1:8">
      <c r="H10956" t="s">
        <v>26453</v>
      </c>
    </row>
    <row r="10957" spans="1:8">
      <c r="H10957" t="s">
        <v>26454</v>
      </c>
    </row>
    <row r="10958" spans="1:8">
      <c r="H10958" t="s">
        <v>26455</v>
      </c>
    </row>
    <row r="10959" spans="1:8">
      <c r="H10959" t="s">
        <v>26456</v>
      </c>
    </row>
    <row r="10960" spans="1:8">
      <c r="A10960" t="s">
        <v>1015</v>
      </c>
      <c r="B10960">
        <f>HYPERLINK("https://android.googlesource.com/platform/cts/+/7b6cd266cc67dc7b6972c9fd1e3586071648bcdb", "7b6cd266cc67dc7b6972c9fd1e3586071648bcdb")</f>
        <v>0</v>
      </c>
      <c r="C10960">
        <f>HYPERLINK("https://android.googlesource.com/platform/cts/+/e38e6229bfe5502698b5d51f5beff3a1b179b4e8", "e38e6229bfe5502698b5d51f5beff3a1b179b4e8")</f>
        <v>0</v>
      </c>
      <c r="D10960" t="s">
        <v>5147</v>
      </c>
      <c r="E10960" t="s">
        <v>6793</v>
      </c>
      <c r="F10960" t="s">
        <v>12804</v>
      </c>
      <c r="G10960" t="s">
        <v>16986</v>
      </c>
      <c r="H10960" t="s">
        <v>26457</v>
      </c>
    </row>
    <row r="10961" spans="1:8">
      <c r="A10961" t="s">
        <v>1016</v>
      </c>
      <c r="B10961">
        <f>HYPERLINK("https://android.googlesource.com/platform/cts/+/204c5d8b265fe52bd714697bfd3fc4a83bf85333", "204c5d8b265fe52bd714697bfd3fc4a83bf85333")</f>
        <v>0</v>
      </c>
      <c r="C10961">
        <f>HYPERLINK("https://android.googlesource.com/platform/cts/+/c789147d7dbc233829eced7ea79a02a5df544e19", "c789147d7dbc233829eced7ea79a02a5df544e19")</f>
        <v>0</v>
      </c>
      <c r="D10961" t="s">
        <v>5118</v>
      </c>
      <c r="E10961" t="s">
        <v>6794</v>
      </c>
      <c r="F10961" t="s">
        <v>10744</v>
      </c>
      <c r="G10961" t="s">
        <v>15143</v>
      </c>
      <c r="H10961" t="s">
        <v>26458</v>
      </c>
    </row>
    <row r="10962" spans="1:8">
      <c r="A10962" t="s">
        <v>1017</v>
      </c>
      <c r="B10962">
        <f>HYPERLINK("https://android.googlesource.com/platform/cts/+/eceb394dd7385ab944b1e775b90a7dedafe0377a", "eceb394dd7385ab944b1e775b90a7dedafe0377a")</f>
        <v>0</v>
      </c>
      <c r="C10962">
        <f>HYPERLINK("https://android.googlesource.com/platform/cts/+/0f12ecebb5b1b8cf2969ded238bb3e3b5c63976e", "0f12ecebb5b1b8cf2969ded238bb3e3b5c63976e")</f>
        <v>0</v>
      </c>
      <c r="D10962" t="s">
        <v>5108</v>
      </c>
      <c r="E10962" t="s">
        <v>6795</v>
      </c>
      <c r="F10962" t="s">
        <v>12805</v>
      </c>
      <c r="G10962" t="s">
        <v>16987</v>
      </c>
      <c r="H10962" t="s">
        <v>26459</v>
      </c>
    </row>
    <row r="10963" spans="1:8">
      <c r="H10963" t="s">
        <v>26460</v>
      </c>
    </row>
    <row r="10964" spans="1:8">
      <c r="H10964" t="s">
        <v>26461</v>
      </c>
    </row>
    <row r="10965" spans="1:8">
      <c r="H10965" t="s">
        <v>26462</v>
      </c>
    </row>
    <row r="10966" spans="1:8">
      <c r="F10966" t="s">
        <v>12629</v>
      </c>
      <c r="G10966" t="s">
        <v>16838</v>
      </c>
      <c r="H10966" t="s">
        <v>26463</v>
      </c>
    </row>
    <row r="10967" spans="1:8">
      <c r="H10967" t="s">
        <v>26464</v>
      </c>
    </row>
    <row r="10968" spans="1:8">
      <c r="F10968" t="s">
        <v>12768</v>
      </c>
      <c r="G10968" t="s">
        <v>15710</v>
      </c>
      <c r="H10968" t="s">
        <v>26465</v>
      </c>
    </row>
    <row r="10969" spans="1:8">
      <c r="H10969" t="s">
        <v>26466</v>
      </c>
    </row>
    <row r="10970" spans="1:8">
      <c r="H10970" t="s">
        <v>26467</v>
      </c>
    </row>
    <row r="10971" spans="1:8">
      <c r="H10971" t="s">
        <v>26468</v>
      </c>
    </row>
    <row r="10972" spans="1:8">
      <c r="A10972" t="s">
        <v>1018</v>
      </c>
      <c r="B10972">
        <f>HYPERLINK("https://android.googlesource.com/platform/cts/+/bebcbf909d03f2975cd01fa28e9b5ea483a892c1", "bebcbf909d03f2975cd01fa28e9b5ea483a892c1")</f>
        <v>0</v>
      </c>
      <c r="C10972">
        <f>HYPERLINK("https://android.googlesource.com/platform/cts/+/95e713f5bae4829b1b92ee2dd0c8db42c056a5a6", "95e713f5bae4829b1b92ee2dd0c8db42c056a5a6")</f>
        <v>0</v>
      </c>
      <c r="D10972" t="s">
        <v>5026</v>
      </c>
      <c r="E10972" t="s">
        <v>6796</v>
      </c>
      <c r="F10972" t="s">
        <v>12327</v>
      </c>
      <c r="G10972" t="s">
        <v>16557</v>
      </c>
      <c r="H10972" t="s">
        <v>22133</v>
      </c>
    </row>
    <row r="10973" spans="1:8">
      <c r="A10973" t="s">
        <v>1019</v>
      </c>
      <c r="B10973">
        <f>HYPERLINK("https://android.googlesource.com/platform/cts/+/c53695b1358dd6807fe2d7398b298ebd90620e27", "c53695b1358dd6807fe2d7398b298ebd90620e27")</f>
        <v>0</v>
      </c>
      <c r="C10973">
        <f>HYPERLINK("https://android.googlesource.com/platform/cts/+/6b9f290d20b320dcd4ece0fdf24428357cd371c6", "6b9f290d20b320dcd4ece0fdf24428357cd371c6")</f>
        <v>0</v>
      </c>
      <c r="D10973" t="s">
        <v>5148</v>
      </c>
      <c r="E10973" t="s">
        <v>6797</v>
      </c>
      <c r="F10973" t="s">
        <v>12806</v>
      </c>
      <c r="G10973" t="s">
        <v>15054</v>
      </c>
      <c r="H10973" t="s">
        <v>19016</v>
      </c>
    </row>
    <row r="10974" spans="1:8">
      <c r="A10974" t="s">
        <v>1020</v>
      </c>
      <c r="B10974">
        <f>HYPERLINK("https://android.googlesource.com/platform/cts/+/b94e0ec10073287283b579424cc2a2de80295984", "b94e0ec10073287283b579424cc2a2de80295984")</f>
        <v>0</v>
      </c>
      <c r="C10974">
        <f>HYPERLINK("https://android.googlesource.com/platform/cts/+/ceceb252dd6a5102144373bd5aebef6fcb962b20", "ceceb252dd6a5102144373bd5aebef6fcb962b20")</f>
        <v>0</v>
      </c>
      <c r="D10974" t="s">
        <v>5145</v>
      </c>
      <c r="E10974" t="s">
        <v>6798</v>
      </c>
      <c r="F10974" t="s">
        <v>12800</v>
      </c>
      <c r="G10974" t="s">
        <v>16982</v>
      </c>
      <c r="H10974" t="s">
        <v>26431</v>
      </c>
    </row>
    <row r="10975" spans="1:8">
      <c r="A10975" t="s">
        <v>1022</v>
      </c>
      <c r="B10975">
        <f>HYPERLINK("https://android.googlesource.com/platform/cts/+/2330f4564c94283c21eaf5461baa987cc68556c8", "2330f4564c94283c21eaf5461baa987cc68556c8")</f>
        <v>0</v>
      </c>
      <c r="C10975">
        <f>HYPERLINK("https://android.googlesource.com/platform/cts/+/75b1984a8a84243bc3b3aa2ccdf563fa33200af2", "75b1984a8a84243bc3b3aa2ccdf563fa33200af2")</f>
        <v>0</v>
      </c>
      <c r="D10975" t="s">
        <v>5118</v>
      </c>
      <c r="E10975" t="s">
        <v>6800</v>
      </c>
      <c r="F10975" t="s">
        <v>10744</v>
      </c>
      <c r="G10975" t="s">
        <v>15143</v>
      </c>
      <c r="H10975" t="s">
        <v>26477</v>
      </c>
    </row>
    <row r="10976" spans="1:8">
      <c r="H10976" t="s">
        <v>26478</v>
      </c>
    </row>
    <row r="10977" spans="1:8">
      <c r="A10977" t="s">
        <v>1023</v>
      </c>
      <c r="B10977">
        <f>HYPERLINK("https://android.googlesource.com/platform/cts/+/f99c78fa6a4b5f2304bb7eff93c0572153e17420", "f99c78fa6a4b5f2304bb7eff93c0572153e17420")</f>
        <v>0</v>
      </c>
      <c r="C10977">
        <f>HYPERLINK("https://android.googlesource.com/platform/cts/+/127ad892d1eb789b5ed6065b6b68f45259686777", "127ad892d1eb789b5ed6065b6b68f45259686777")</f>
        <v>0</v>
      </c>
      <c r="D10977" t="s">
        <v>4981</v>
      </c>
      <c r="E10977" t="s">
        <v>6801</v>
      </c>
      <c r="F10977" t="s">
        <v>12808</v>
      </c>
      <c r="G10977" t="s">
        <v>16989</v>
      </c>
      <c r="H10977" t="s">
        <v>26480</v>
      </c>
    </row>
    <row r="10978" spans="1:8">
      <c r="H10978" t="s">
        <v>26481</v>
      </c>
    </row>
    <row r="10979" spans="1:8">
      <c r="H10979" t="s">
        <v>26482</v>
      </c>
    </row>
    <row r="10980" spans="1:8">
      <c r="A10980" t="s">
        <v>1025</v>
      </c>
      <c r="B10980">
        <f>HYPERLINK("https://android.googlesource.com/platform/cts/+/2a855feb22706cf2e757938e19bd9cf9f4c749c2", "2a855feb22706cf2e757938e19bd9cf9f4c749c2")</f>
        <v>0</v>
      </c>
      <c r="C10980">
        <f>HYPERLINK("https://android.googlesource.com/platform/cts/+/2cae0e6925eb37e78c3697b0b8fa9a3c0d30992b", "2cae0e6925eb37e78c3697b0b8fa9a3c0d30992b")</f>
        <v>0</v>
      </c>
      <c r="D10980" t="s">
        <v>5134</v>
      </c>
      <c r="E10980" t="s">
        <v>6803</v>
      </c>
      <c r="F10980" t="s">
        <v>12809</v>
      </c>
      <c r="G10980" t="s">
        <v>16990</v>
      </c>
      <c r="H10980" t="s">
        <v>26484</v>
      </c>
    </row>
    <row r="10981" spans="1:8">
      <c r="H10981" t="s">
        <v>26485</v>
      </c>
    </row>
    <row r="10982" spans="1:8">
      <c r="H10982" t="s">
        <v>26486</v>
      </c>
    </row>
    <row r="10983" spans="1:8">
      <c r="H10983" t="s">
        <v>26487</v>
      </c>
    </row>
    <row r="10984" spans="1:8">
      <c r="H10984" t="s">
        <v>26488</v>
      </c>
    </row>
    <row r="10985" spans="1:8">
      <c r="H10985" t="s">
        <v>26489</v>
      </c>
    </row>
    <row r="10986" spans="1:8">
      <c r="H10986" t="s">
        <v>26490</v>
      </c>
    </row>
    <row r="10987" spans="1:8">
      <c r="F10987" t="s">
        <v>12771</v>
      </c>
      <c r="G10987" t="s">
        <v>16958</v>
      </c>
      <c r="H10987" t="s">
        <v>26484</v>
      </c>
    </row>
    <row r="10988" spans="1:8">
      <c r="H10988" t="s">
        <v>26485</v>
      </c>
    </row>
    <row r="10989" spans="1:8">
      <c r="H10989" t="s">
        <v>26486</v>
      </c>
    </row>
    <row r="10990" spans="1:8">
      <c r="H10990" t="s">
        <v>26487</v>
      </c>
    </row>
    <row r="10991" spans="1:8">
      <c r="H10991" t="s">
        <v>26488</v>
      </c>
    </row>
    <row r="10992" spans="1:8">
      <c r="H10992" t="s">
        <v>26489</v>
      </c>
    </row>
    <row r="10993" spans="1:8">
      <c r="A10993" t="s">
        <v>1026</v>
      </c>
      <c r="B10993">
        <f>HYPERLINK("https://android.googlesource.com/platform/cts/+/54a180c2a8c899ac9c3e89d22279c3c196aac60b", "54a180c2a8c899ac9c3e89d22279c3c196aac60b")</f>
        <v>0</v>
      </c>
      <c r="C10993">
        <f>HYPERLINK("https://android.googlesource.com/platform/cts/+/d0d4955c581c7a3f98661f215d2fd6f1b90f1a58", "d0d4955c581c7a3f98661f215d2fd6f1b90f1a58")</f>
        <v>0</v>
      </c>
      <c r="D10993" t="s">
        <v>5150</v>
      </c>
      <c r="E10993" t="s">
        <v>6804</v>
      </c>
      <c r="F10993" t="s">
        <v>10724</v>
      </c>
      <c r="G10993" t="s">
        <v>15123</v>
      </c>
      <c r="H10993" t="s">
        <v>26507</v>
      </c>
    </row>
    <row r="10994" spans="1:8">
      <c r="A10994" t="s">
        <v>1028</v>
      </c>
      <c r="B10994">
        <f>HYPERLINK("https://android.googlesource.com/platform/cts/+/8f9c5318b57196ac7d2df256f8ecc757ca87733f", "8f9c5318b57196ac7d2df256f8ecc757ca87733f")</f>
        <v>0</v>
      </c>
      <c r="C10994">
        <f>HYPERLINK("https://android.googlesource.com/platform/cts/+/b8d88313e62b5ea6036e34a77e603c6505fea4a5", "b8d88313e62b5ea6036e34a77e603c6505fea4a5")</f>
        <v>0</v>
      </c>
      <c r="D10994" t="s">
        <v>5151</v>
      </c>
      <c r="E10994" t="s">
        <v>6806</v>
      </c>
      <c r="F10994" t="s">
        <v>12812</v>
      </c>
      <c r="G10994" t="s">
        <v>16993</v>
      </c>
      <c r="H10994" t="s">
        <v>26519</v>
      </c>
    </row>
    <row r="10995" spans="1:8">
      <c r="A10995" t="s">
        <v>1030</v>
      </c>
      <c r="B10995">
        <f>HYPERLINK("https://android.googlesource.com/platform/cts/+/545a9d771dc758bac9863a06db922e3f0356c230", "545a9d771dc758bac9863a06db922e3f0356c230")</f>
        <v>0</v>
      </c>
      <c r="C10995">
        <f>HYPERLINK("https://android.googlesource.com/platform/cts/+/aa8ed1d506635768dc1f45b4e95f636341844d75", "aa8ed1d506635768dc1f45b4e95f636341844d75")</f>
        <v>0</v>
      </c>
      <c r="D10995" t="s">
        <v>5152</v>
      </c>
      <c r="E10995" t="s">
        <v>6808</v>
      </c>
      <c r="F10995" t="s">
        <v>12714</v>
      </c>
      <c r="G10995" t="s">
        <v>16914</v>
      </c>
      <c r="H10995" t="s">
        <v>26005</v>
      </c>
    </row>
    <row r="10996" spans="1:8">
      <c r="H10996" t="s">
        <v>26006</v>
      </c>
    </row>
    <row r="10997" spans="1:8">
      <c r="A10997" t="s">
        <v>1031</v>
      </c>
      <c r="B10997">
        <f>HYPERLINK("https://android.googlesource.com/platform/cts/+/2c827e25615d6503ec00c2c058dd1aec03d8a80b", "2c827e25615d6503ec00c2c058dd1aec03d8a80b")</f>
        <v>0</v>
      </c>
      <c r="C10997">
        <f>HYPERLINK("https://android.googlesource.com/platform/cts/+/9928412d6e106946df4fd1eb5494075345b7bbd7", "9928412d6e106946df4fd1eb5494075345b7bbd7")</f>
        <v>0</v>
      </c>
      <c r="D10997" t="s">
        <v>4971</v>
      </c>
      <c r="E10997" t="s">
        <v>6809</v>
      </c>
      <c r="F10997" t="s">
        <v>12815</v>
      </c>
      <c r="G10997" t="s">
        <v>16996</v>
      </c>
      <c r="H10997" t="s">
        <v>26524</v>
      </c>
    </row>
    <row r="10998" spans="1:8">
      <c r="H10998" t="s">
        <v>26525</v>
      </c>
    </row>
    <row r="10999" spans="1:8">
      <c r="H10999" t="s">
        <v>26526</v>
      </c>
    </row>
    <row r="11000" spans="1:8">
      <c r="A11000" t="s">
        <v>1032</v>
      </c>
      <c r="B11000">
        <f>HYPERLINK("https://android.googlesource.com/platform/cts/+/9627ae1f87de6c555dc8df5333ffacbf825d1dae", "9627ae1f87de6c555dc8df5333ffacbf825d1dae")</f>
        <v>0</v>
      </c>
      <c r="C11000">
        <f>HYPERLINK("https://android.googlesource.com/platform/cts/+/c5dbd0de50fb37273032d7992816cc11a2d64c85", "c5dbd0de50fb37273032d7992816cc11a2d64c85")</f>
        <v>0</v>
      </c>
      <c r="D11000" t="s">
        <v>5026</v>
      </c>
      <c r="E11000" t="s">
        <v>6810</v>
      </c>
      <c r="F11000" t="s">
        <v>12616</v>
      </c>
      <c r="G11000" t="s">
        <v>16827</v>
      </c>
      <c r="H11000" t="s">
        <v>26527</v>
      </c>
    </row>
    <row r="11001" spans="1:8">
      <c r="A11001" t="s">
        <v>1034</v>
      </c>
      <c r="B11001">
        <f>HYPERLINK("https://android.googlesource.com/platform/cts/+/2d82709451bda4243a2b542e69f61c09423ec248", "2d82709451bda4243a2b542e69f61c09423ec248")</f>
        <v>0</v>
      </c>
      <c r="C11001">
        <f>HYPERLINK("https://android.googlesource.com/platform/cts/+/0f31c5a7aaf741612ec159d58e8246a611bf6f2f", "0f31c5a7aaf741612ec159d58e8246a611bf6f2f")</f>
        <v>0</v>
      </c>
      <c r="D11001" t="s">
        <v>4952</v>
      </c>
      <c r="E11001" t="s">
        <v>6812</v>
      </c>
      <c r="F11001" t="s">
        <v>12817</v>
      </c>
      <c r="G11001" t="s">
        <v>16629</v>
      </c>
      <c r="H11001" t="s">
        <v>22747</v>
      </c>
    </row>
    <row r="11002" spans="1:8">
      <c r="A11002" t="s">
        <v>1036</v>
      </c>
      <c r="B11002">
        <f>HYPERLINK("https://android.googlesource.com/platform/cts/+/bbcc0f185fd3b2cd6faeea1b4a8bbb885628d9b5", "bbcc0f185fd3b2cd6faeea1b4a8bbb885628d9b5")</f>
        <v>0</v>
      </c>
      <c r="C11002">
        <f>HYPERLINK("https://android.googlesource.com/platform/cts/+/c9acf324cd32f7bc7668b428927f21c67ad1c765", "c9acf324cd32f7bc7668b428927f21c67ad1c765")</f>
        <v>0</v>
      </c>
      <c r="D11002" t="s">
        <v>5143</v>
      </c>
      <c r="E11002" t="s">
        <v>6814</v>
      </c>
      <c r="F11002" t="s">
        <v>11442</v>
      </c>
      <c r="G11002" t="s">
        <v>15682</v>
      </c>
      <c r="H11002" t="s">
        <v>26530</v>
      </c>
    </row>
    <row r="11003" spans="1:8">
      <c r="H11003" t="s">
        <v>18981</v>
      </c>
    </row>
    <row r="11004" spans="1:8">
      <c r="H11004" t="s">
        <v>26531</v>
      </c>
    </row>
    <row r="11005" spans="1:8">
      <c r="A11005" t="s">
        <v>1039</v>
      </c>
      <c r="B11005">
        <f>HYPERLINK("https://android.googlesource.com/platform/cts/+/a42b7b4142cda75ed37ef6cc5f3e84f5aa07797c", "a42b7b4142cda75ed37ef6cc5f3e84f5aa07797c")</f>
        <v>0</v>
      </c>
      <c r="C11005">
        <f>HYPERLINK("https://android.googlesource.com/platform/cts/+/2a445cb1df8840f90ec49b1d08b8c1a2661250b9", "2a445cb1df8840f90ec49b1d08b8c1a2661250b9")</f>
        <v>0</v>
      </c>
      <c r="D11005" t="s">
        <v>5152</v>
      </c>
      <c r="E11005" t="s">
        <v>6817</v>
      </c>
      <c r="F11005" t="s">
        <v>12759</v>
      </c>
      <c r="G11005" t="s">
        <v>16950</v>
      </c>
      <c r="H11005" t="s">
        <v>26295</v>
      </c>
    </row>
    <row r="11006" spans="1:8">
      <c r="A11006" t="s">
        <v>1041</v>
      </c>
      <c r="B11006">
        <f>HYPERLINK("https://android.googlesource.com/platform/cts/+/214d1783cfc2e92fda792511f6bf61d7a34c2b7b", "214d1783cfc2e92fda792511f6bf61d7a34c2b7b")</f>
        <v>0</v>
      </c>
      <c r="C11006">
        <f>HYPERLINK("https://android.googlesource.com/platform/cts/+/faf5bfa76238ae24448e6e91b9c3145d95d59a4a", "faf5bfa76238ae24448e6e91b9c3145d95d59a4a")</f>
        <v>0</v>
      </c>
      <c r="D11006" t="s">
        <v>5150</v>
      </c>
      <c r="E11006" t="s">
        <v>6819</v>
      </c>
      <c r="F11006" t="s">
        <v>10724</v>
      </c>
      <c r="G11006" t="s">
        <v>15123</v>
      </c>
      <c r="H11006" t="s">
        <v>26507</v>
      </c>
    </row>
    <row r="11007" spans="1:8">
      <c r="A11007" t="s">
        <v>1043</v>
      </c>
      <c r="B11007">
        <f>HYPERLINK("https://android.googlesource.com/platform/cts/+/9cc53801f585d5ff945abb55b3402d4a6eed14dc", "9cc53801f585d5ff945abb55b3402d4a6eed14dc")</f>
        <v>0</v>
      </c>
      <c r="C11007">
        <f>HYPERLINK("https://android.googlesource.com/platform/cts/+/57c3c87b0aec7f4b881ee04bca5af2e08d967103", "57c3c87b0aec7f4b881ee04bca5af2e08d967103")</f>
        <v>0</v>
      </c>
      <c r="D11007" t="s">
        <v>5154</v>
      </c>
      <c r="E11007" t="s">
        <v>6820</v>
      </c>
      <c r="F11007" t="s">
        <v>12819</v>
      </c>
      <c r="G11007" t="s">
        <v>16998</v>
      </c>
      <c r="H11007" t="s">
        <v>26544</v>
      </c>
    </row>
    <row r="11008" spans="1:8">
      <c r="A11008" t="s">
        <v>1046</v>
      </c>
      <c r="B11008">
        <f>HYPERLINK("https://android.googlesource.com/platform/cts/+/f4c87b375f2a449978ba0774098075f2aa069aa1", "f4c87b375f2a449978ba0774098075f2aa069aa1")</f>
        <v>0</v>
      </c>
      <c r="C11008">
        <f>HYPERLINK("https://android.googlesource.com/platform/cts/+/287defcf10255049d984ed7e3702ec7e120f8fc4", "287defcf10255049d984ed7e3702ec7e120f8fc4")</f>
        <v>0</v>
      </c>
      <c r="D11008" t="s">
        <v>5060</v>
      </c>
      <c r="E11008" t="s">
        <v>6823</v>
      </c>
      <c r="F11008" t="s">
        <v>12817</v>
      </c>
      <c r="G11008" t="s">
        <v>16629</v>
      </c>
      <c r="H11008" t="s">
        <v>26551</v>
      </c>
    </row>
    <row r="11009" spans="1:8">
      <c r="A11009" t="s">
        <v>1047</v>
      </c>
      <c r="B11009">
        <f>HYPERLINK("https://android.googlesource.com/platform/cts/+/7e31de6819e21b1289ae95be76b71d749581bc59", "7e31de6819e21b1289ae95be76b71d749581bc59")</f>
        <v>0</v>
      </c>
      <c r="C11009">
        <f>HYPERLINK("https://android.googlesource.com/platform/cts/+/2e5afb3fe448dd27c03a933a3861e3fc357f85d3", "2e5afb3fe448dd27c03a933a3861e3fc357f85d3")</f>
        <v>0</v>
      </c>
      <c r="D11009" t="s">
        <v>5060</v>
      </c>
      <c r="E11009" t="s">
        <v>6824</v>
      </c>
      <c r="F11009" t="s">
        <v>12407</v>
      </c>
      <c r="G11009" t="s">
        <v>16629</v>
      </c>
      <c r="H11009" t="s">
        <v>26551</v>
      </c>
    </row>
    <row r="11010" spans="1:8">
      <c r="A11010" t="s">
        <v>1052</v>
      </c>
      <c r="B11010">
        <f>HYPERLINK("https://android.googlesource.com/platform/cts/+/d31f7df59f21c51b7bf2abaeb415292ace61fb76", "d31f7df59f21c51b7bf2abaeb415292ace61fb76")</f>
        <v>0</v>
      </c>
      <c r="C11010">
        <f>HYPERLINK("https://android.googlesource.com/platform/cts/+/b5daad8c1685e65d4af2197a496a2cd39fe1872e", "b5daad8c1685e65d4af2197a496a2cd39fe1872e")</f>
        <v>0</v>
      </c>
      <c r="D11010" t="s">
        <v>5132</v>
      </c>
      <c r="E11010" t="s">
        <v>6829</v>
      </c>
      <c r="F11010" t="s">
        <v>10794</v>
      </c>
      <c r="G11010" t="s">
        <v>15189</v>
      </c>
      <c r="H11010" t="s">
        <v>26558</v>
      </c>
    </row>
    <row r="11011" spans="1:8">
      <c r="H11011" t="s">
        <v>26559</v>
      </c>
    </row>
    <row r="11012" spans="1:8">
      <c r="H11012" t="s">
        <v>26560</v>
      </c>
    </row>
    <row r="11013" spans="1:8">
      <c r="A11013" t="s">
        <v>1054</v>
      </c>
      <c r="B11013">
        <f>HYPERLINK("https://android.googlesource.com/platform/cts/+/6c4b47cd022d9d2fdadbca2716fea168245bdff2", "6c4b47cd022d9d2fdadbca2716fea168245bdff2")</f>
        <v>0</v>
      </c>
      <c r="C11013">
        <f>HYPERLINK("https://android.googlesource.com/platform/cts/+/f986270bdc2fc78fec95a8f9e6e886d829846433", "f986270bdc2fc78fec95a8f9e6e886d829846433")</f>
        <v>0</v>
      </c>
      <c r="D11013" t="s">
        <v>5006</v>
      </c>
      <c r="E11013" t="s">
        <v>6831</v>
      </c>
      <c r="F11013" t="s">
        <v>12833</v>
      </c>
      <c r="G11013" t="s">
        <v>16915</v>
      </c>
      <c r="H11013" t="s">
        <v>26010</v>
      </c>
    </row>
    <row r="11014" spans="1:8">
      <c r="H11014" t="s">
        <v>26011</v>
      </c>
    </row>
    <row r="11015" spans="1:8">
      <c r="H11015" t="s">
        <v>26012</v>
      </c>
    </row>
    <row r="11016" spans="1:8">
      <c r="H11016" t="s">
        <v>26013</v>
      </c>
    </row>
    <row r="11017" spans="1:8">
      <c r="H11017" t="s">
        <v>26014</v>
      </c>
    </row>
    <row r="11018" spans="1:8">
      <c r="H11018" t="s">
        <v>26015</v>
      </c>
    </row>
    <row r="11019" spans="1:8">
      <c r="H11019" t="s">
        <v>26016</v>
      </c>
    </row>
    <row r="11020" spans="1:8">
      <c r="H11020" t="s">
        <v>26017</v>
      </c>
    </row>
    <row r="11021" spans="1:8">
      <c r="H11021" t="s">
        <v>26018</v>
      </c>
    </row>
    <row r="11022" spans="1:8">
      <c r="H11022" t="s">
        <v>26019</v>
      </c>
    </row>
    <row r="11023" spans="1:8">
      <c r="H11023" t="s">
        <v>26020</v>
      </c>
    </row>
    <row r="11024" spans="1:8">
      <c r="H11024" t="s">
        <v>26021</v>
      </c>
    </row>
    <row r="11025" spans="8:8">
      <c r="H11025" t="s">
        <v>26022</v>
      </c>
    </row>
    <row r="11026" spans="8:8">
      <c r="H11026" t="s">
        <v>26023</v>
      </c>
    </row>
    <row r="11027" spans="8:8">
      <c r="H11027" t="s">
        <v>26024</v>
      </c>
    </row>
    <row r="11028" spans="8:8">
      <c r="H11028" t="s">
        <v>26025</v>
      </c>
    </row>
    <row r="11029" spans="8:8">
      <c r="H11029" t="s">
        <v>26026</v>
      </c>
    </row>
    <row r="11030" spans="8:8">
      <c r="H11030" t="s">
        <v>26027</v>
      </c>
    </row>
    <row r="11031" spans="8:8">
      <c r="H11031" t="s">
        <v>26028</v>
      </c>
    </row>
    <row r="11032" spans="8:8">
      <c r="H11032" t="s">
        <v>26029</v>
      </c>
    </row>
    <row r="11033" spans="8:8">
      <c r="H11033" t="s">
        <v>26030</v>
      </c>
    </row>
    <row r="11034" spans="8:8">
      <c r="H11034" t="s">
        <v>26031</v>
      </c>
    </row>
    <row r="11035" spans="8:8">
      <c r="H11035" t="s">
        <v>26032</v>
      </c>
    </row>
    <row r="11036" spans="8:8">
      <c r="H11036" t="s">
        <v>26033</v>
      </c>
    </row>
    <row r="11037" spans="8:8">
      <c r="H11037" t="s">
        <v>26034</v>
      </c>
    </row>
    <row r="11038" spans="8:8">
      <c r="H11038" t="s">
        <v>26035</v>
      </c>
    </row>
    <row r="11039" spans="8:8">
      <c r="H11039" t="s">
        <v>26036</v>
      </c>
    </row>
    <row r="11040" spans="8:8">
      <c r="H11040" t="s">
        <v>26037</v>
      </c>
    </row>
    <row r="11041" spans="1:8">
      <c r="H11041" t="s">
        <v>26038</v>
      </c>
    </row>
    <row r="11042" spans="1:8">
      <c r="H11042" t="s">
        <v>26039</v>
      </c>
    </row>
    <row r="11043" spans="1:8">
      <c r="H11043" t="s">
        <v>26040</v>
      </c>
    </row>
    <row r="11044" spans="1:8">
      <c r="H11044" t="s">
        <v>26041</v>
      </c>
    </row>
    <row r="11045" spans="1:8">
      <c r="H11045" t="s">
        <v>26042</v>
      </c>
    </row>
    <row r="11046" spans="1:8">
      <c r="H11046" t="s">
        <v>26043</v>
      </c>
    </row>
    <row r="11047" spans="1:8">
      <c r="H11047" t="s">
        <v>26044</v>
      </c>
    </row>
    <row r="11048" spans="1:8">
      <c r="H11048" t="s">
        <v>26045</v>
      </c>
    </row>
    <row r="11049" spans="1:8">
      <c r="H11049" t="s">
        <v>26046</v>
      </c>
    </row>
    <row r="11050" spans="1:8">
      <c r="H11050" t="s">
        <v>26047</v>
      </c>
    </row>
    <row r="11051" spans="1:8">
      <c r="H11051" t="s">
        <v>26048</v>
      </c>
    </row>
    <row r="11052" spans="1:8">
      <c r="H11052" t="s">
        <v>26049</v>
      </c>
    </row>
    <row r="11053" spans="1:8">
      <c r="A11053" t="s">
        <v>1057</v>
      </c>
      <c r="B11053">
        <f>HYPERLINK("https://android.googlesource.com/platform/cts/+/556f884bd4aa1d2528d310b9b5d7a0f7e12e7c64", "556f884bd4aa1d2528d310b9b5d7a0f7e12e7c64")</f>
        <v>0</v>
      </c>
      <c r="C11053">
        <f>HYPERLINK("https://android.googlesource.com/platform/cts/+/7bedd0760d1f9bc0ebdb5a91d34548ffd53bff77", "7bedd0760d1f9bc0ebdb5a91d34548ffd53bff77")</f>
        <v>0</v>
      </c>
      <c r="D11053" t="s">
        <v>5117</v>
      </c>
      <c r="E11053" t="s">
        <v>6834</v>
      </c>
      <c r="F11053" t="s">
        <v>12836</v>
      </c>
      <c r="G11053" t="s">
        <v>17012</v>
      </c>
      <c r="H11053" t="s">
        <v>26605</v>
      </c>
    </row>
    <row r="11054" spans="1:8">
      <c r="A11054" t="s">
        <v>1061</v>
      </c>
      <c r="B11054">
        <f>HYPERLINK("https://android.googlesource.com/platform/cts/+/eda2399b30a1c67fad8bdcceea2beca987834ff1", "eda2399b30a1c67fad8bdcceea2beca987834ff1")</f>
        <v>0</v>
      </c>
      <c r="C11054">
        <f>HYPERLINK("https://android.googlesource.com/platform/cts/+/c543c1f0e0ed134fc09363c116ebbd220904f886", "c543c1f0e0ed134fc09363c116ebbd220904f886")</f>
        <v>0</v>
      </c>
      <c r="D11054" t="s">
        <v>5158</v>
      </c>
      <c r="E11054" t="s">
        <v>6838</v>
      </c>
      <c r="F11054" t="s">
        <v>12839</v>
      </c>
      <c r="G11054" t="s">
        <v>17014</v>
      </c>
      <c r="H11054" t="s">
        <v>26609</v>
      </c>
    </row>
    <row r="11055" spans="1:8">
      <c r="A11055" t="s">
        <v>1062</v>
      </c>
      <c r="B11055">
        <f>HYPERLINK("https://android.googlesource.com/platform/cts/+/a23bb8c6b9ce153e5be73168fd153dc1b3004ea9", "a23bb8c6b9ce153e5be73168fd153dc1b3004ea9")</f>
        <v>0</v>
      </c>
      <c r="C11055">
        <f>HYPERLINK("https://android.googlesource.com/platform/cts/+/bab3e3b57d481b40f5e602a6b5ebfabdbeffc27d", "bab3e3b57d481b40f5e602a6b5ebfabdbeffc27d")</f>
        <v>0</v>
      </c>
      <c r="D11055" t="s">
        <v>5146</v>
      </c>
      <c r="E11055" t="s">
        <v>6839</v>
      </c>
      <c r="F11055" t="s">
        <v>12846</v>
      </c>
      <c r="G11055" t="s">
        <v>17017</v>
      </c>
      <c r="H11055" t="s">
        <v>26613</v>
      </c>
    </row>
    <row r="11056" spans="1:8">
      <c r="A11056" t="s">
        <v>1064</v>
      </c>
      <c r="B11056">
        <f>HYPERLINK("https://android.googlesource.com/platform/cts/+/2037e79742e618fd3e35163165398ac8c57fe012", "2037e79742e618fd3e35163165398ac8c57fe012")</f>
        <v>0</v>
      </c>
      <c r="C11056">
        <f>HYPERLINK("https://android.googlesource.com/platform/cts/+/1e33d3d5406db08edc3fa43c62d8b4a77a541732", "1e33d3d5406db08edc3fa43c62d8b4a77a541732")</f>
        <v>0</v>
      </c>
      <c r="D11056" t="s">
        <v>5060</v>
      </c>
      <c r="E11056" t="s">
        <v>6841</v>
      </c>
      <c r="F11056" t="s">
        <v>12849</v>
      </c>
      <c r="G11056" t="s">
        <v>17019</v>
      </c>
      <c r="H11056" t="s">
        <v>26623</v>
      </c>
    </row>
    <row r="11057" spans="6:8">
      <c r="F11057" t="s">
        <v>12850</v>
      </c>
      <c r="G11057" t="s">
        <v>17020</v>
      </c>
      <c r="H11057" t="s">
        <v>26625</v>
      </c>
    </row>
    <row r="11058" spans="6:8">
      <c r="H11058" t="s">
        <v>26626</v>
      </c>
    </row>
    <row r="11059" spans="6:8">
      <c r="H11059" t="s">
        <v>26627</v>
      </c>
    </row>
    <row r="11060" spans="6:8">
      <c r="H11060" t="s">
        <v>26628</v>
      </c>
    </row>
    <row r="11061" spans="6:8">
      <c r="H11061" t="s">
        <v>26629</v>
      </c>
    </row>
    <row r="11062" spans="6:8">
      <c r="H11062" t="s">
        <v>26630</v>
      </c>
    </row>
    <row r="11063" spans="6:8">
      <c r="F11063" t="s">
        <v>12705</v>
      </c>
      <c r="G11063" t="s">
        <v>16907</v>
      </c>
      <c r="H11063" t="s">
        <v>26631</v>
      </c>
    </row>
    <row r="11064" spans="6:8">
      <c r="H11064" t="s">
        <v>26632</v>
      </c>
    </row>
    <row r="11065" spans="6:8">
      <c r="H11065" t="s">
        <v>26633</v>
      </c>
    </row>
    <row r="11066" spans="6:8">
      <c r="H11066" t="s">
        <v>26634</v>
      </c>
    </row>
    <row r="11067" spans="6:8">
      <c r="H11067" t="s">
        <v>25996</v>
      </c>
    </row>
    <row r="11068" spans="6:8">
      <c r="H11068" t="s">
        <v>26635</v>
      </c>
    </row>
    <row r="11069" spans="6:8">
      <c r="F11069" t="s">
        <v>12851</v>
      </c>
      <c r="G11069" t="s">
        <v>17021</v>
      </c>
      <c r="H11069" t="s">
        <v>26636</v>
      </c>
    </row>
    <row r="11070" spans="6:8">
      <c r="H11070" t="s">
        <v>26637</v>
      </c>
    </row>
    <row r="11071" spans="6:8">
      <c r="F11071" t="s">
        <v>12852</v>
      </c>
      <c r="G11071" t="s">
        <v>17022</v>
      </c>
      <c r="H11071" t="s">
        <v>26638</v>
      </c>
    </row>
    <row r="11072" spans="6:8">
      <c r="F11072" t="s">
        <v>12706</v>
      </c>
      <c r="G11072" t="s">
        <v>16908</v>
      </c>
      <c r="H11072" t="s">
        <v>25997</v>
      </c>
    </row>
    <row r="11073" spans="1:8">
      <c r="H11073" t="s">
        <v>25998</v>
      </c>
    </row>
    <row r="11074" spans="1:8">
      <c r="A11074" t="s">
        <v>1066</v>
      </c>
      <c r="B11074">
        <f>HYPERLINK("https://android.googlesource.com/platform/cts/+/ee2588bbc0bdb2cf2f755327fcd3acffe0473206", "ee2588bbc0bdb2cf2f755327fcd3acffe0473206")</f>
        <v>0</v>
      </c>
      <c r="C11074">
        <f>HYPERLINK("https://android.googlesource.com/platform/cts/+/c2f9d8f3db67f3802ed9a2cd0e91575674b12d58", "c2f9d8f3db67f3802ed9a2cd0e91575674b12d58")</f>
        <v>0</v>
      </c>
      <c r="D11074" t="s">
        <v>5145</v>
      </c>
      <c r="E11074" t="s">
        <v>6843</v>
      </c>
      <c r="F11074" t="s">
        <v>12854</v>
      </c>
      <c r="G11074" t="s">
        <v>17024</v>
      </c>
      <c r="H11074" t="s">
        <v>19013</v>
      </c>
    </row>
    <row r="11075" spans="1:8">
      <c r="H11075" t="s">
        <v>18835</v>
      </c>
    </row>
    <row r="11076" spans="1:8">
      <c r="A11076" t="s">
        <v>1067</v>
      </c>
      <c r="B11076">
        <f>HYPERLINK("https://android.googlesource.com/platform/cts/+/05b3b03b4d262d3868cde3cf4b8260405506734a", "05b3b03b4d262d3868cde3cf4b8260405506734a")</f>
        <v>0</v>
      </c>
      <c r="C11076">
        <f>HYPERLINK("https://android.googlesource.com/platform/cts/+/9ab4d52013d3e426eb61631db3dcc4775524b3f8", "9ab4d52013d3e426eb61631db3dcc4775524b3f8")</f>
        <v>0</v>
      </c>
      <c r="D11076" t="s">
        <v>5159</v>
      </c>
      <c r="E11076" t="s">
        <v>6844</v>
      </c>
      <c r="F11076" t="s">
        <v>12850</v>
      </c>
      <c r="G11076" t="s">
        <v>17020</v>
      </c>
      <c r="H11076" t="s">
        <v>26628</v>
      </c>
    </row>
    <row r="11077" spans="1:8">
      <c r="A11077" t="s">
        <v>1068</v>
      </c>
      <c r="B11077">
        <f>HYPERLINK("https://android.googlesource.com/platform/cts/+/777c02a15053aa69b4e9db0537bb8346a5c9a4e8", "777c02a15053aa69b4e9db0537bb8346a5c9a4e8")</f>
        <v>0</v>
      </c>
      <c r="C11077">
        <f>HYPERLINK("https://android.googlesource.com/platform/cts/+/fb3029b1f071f17594a9f8d50e00acebbc4b2db1", "fb3029b1f071f17594a9f8d50e00acebbc4b2db1")</f>
        <v>0</v>
      </c>
      <c r="D11077" t="s">
        <v>5143</v>
      </c>
      <c r="E11077" t="s">
        <v>6845</v>
      </c>
      <c r="F11077" t="s">
        <v>10657</v>
      </c>
      <c r="G11077" t="s">
        <v>15058</v>
      </c>
      <c r="H11077" t="s">
        <v>18855</v>
      </c>
    </row>
    <row r="11078" spans="1:8">
      <c r="A11078" t="s">
        <v>1069</v>
      </c>
      <c r="B11078">
        <f>HYPERLINK("https://android.googlesource.com/platform/cts/+/4f6c30d1fb50043bcbc4ee94799ebe8dbeabf334", "4f6c30d1fb50043bcbc4ee94799ebe8dbeabf334")</f>
        <v>0</v>
      </c>
      <c r="C11078">
        <f>HYPERLINK("https://android.googlesource.com/platform/cts/+/dccba47f570a23f7b49f3515b8e1b432a686bfa5", "dccba47f570a23f7b49f3515b8e1b432a686bfa5")</f>
        <v>0</v>
      </c>
      <c r="D11078" t="s">
        <v>5152</v>
      </c>
      <c r="E11078" t="s">
        <v>6846</v>
      </c>
      <c r="F11078" t="s">
        <v>12342</v>
      </c>
      <c r="G11078" t="s">
        <v>16570</v>
      </c>
      <c r="H11078" t="s">
        <v>26647</v>
      </c>
    </row>
    <row r="11079" spans="1:8">
      <c r="H11079" t="s">
        <v>26648</v>
      </c>
    </row>
    <row r="11080" spans="1:8">
      <c r="H11080" t="s">
        <v>26649</v>
      </c>
    </row>
    <row r="11081" spans="1:8">
      <c r="H11081" t="s">
        <v>26650</v>
      </c>
    </row>
    <row r="11082" spans="1:8">
      <c r="H11082" t="s">
        <v>26651</v>
      </c>
    </row>
    <row r="11083" spans="1:8">
      <c r="A11083" t="s">
        <v>1071</v>
      </c>
      <c r="B11083">
        <f>HYPERLINK("https://android.googlesource.com/platform/cts/+/551c7913ec661fcd4d883dbf1259b275f4a200b7", "551c7913ec661fcd4d883dbf1259b275f4a200b7")</f>
        <v>0</v>
      </c>
      <c r="C11083">
        <f>HYPERLINK("https://android.googlesource.com/platform/cts/+/33caf82ccf75749eabf9461064a90c9c7e9ffd1d", "33caf82ccf75749eabf9461064a90c9c7e9ffd1d")</f>
        <v>0</v>
      </c>
      <c r="D11083" t="s">
        <v>5143</v>
      </c>
      <c r="E11083" t="s">
        <v>6848</v>
      </c>
      <c r="F11083" t="s">
        <v>10584</v>
      </c>
      <c r="G11083" t="s">
        <v>14987</v>
      </c>
      <c r="H11083" t="s">
        <v>26659</v>
      </c>
    </row>
    <row r="11084" spans="1:8">
      <c r="H11084" t="s">
        <v>26660</v>
      </c>
    </row>
    <row r="11085" spans="1:8">
      <c r="H11085" t="s">
        <v>18888</v>
      </c>
    </row>
    <row r="11086" spans="1:8">
      <c r="H11086" t="s">
        <v>26661</v>
      </c>
    </row>
    <row r="11087" spans="1:8">
      <c r="A11087" t="s">
        <v>1072</v>
      </c>
      <c r="B11087">
        <f>HYPERLINK("https://android.googlesource.com/platform/cts/+/10f95d0e476defb89b5513c630949b6016eea231", "10f95d0e476defb89b5513c630949b6016eea231")</f>
        <v>0</v>
      </c>
      <c r="C11087">
        <f>HYPERLINK("https://android.googlesource.com/platform/cts/+/551c7913ec661fcd4d883dbf1259b275f4a200b7", "551c7913ec661fcd4d883dbf1259b275f4a200b7")</f>
        <v>0</v>
      </c>
      <c r="D11087" t="s">
        <v>5143</v>
      </c>
      <c r="E11087" t="s">
        <v>6849</v>
      </c>
      <c r="F11087" t="s">
        <v>10584</v>
      </c>
      <c r="G11087" t="s">
        <v>14987</v>
      </c>
      <c r="H11087" t="s">
        <v>26674</v>
      </c>
    </row>
    <row r="11088" spans="1:8">
      <c r="A11088" t="s">
        <v>1074</v>
      </c>
      <c r="B11088">
        <f>HYPERLINK("https://android.googlesource.com/platform/cts/+/a4ad1a40e3fb65d8eb21816009b08fd2129c6aed", "a4ad1a40e3fb65d8eb21816009b08fd2129c6aed")</f>
        <v>0</v>
      </c>
      <c r="C11088">
        <f>HYPERLINK("https://android.googlesource.com/platform/cts/+/ee869092e862e5ade5a519e8cc702b53ba2d8649", "ee869092e862e5ade5a519e8cc702b53ba2d8649")</f>
        <v>0</v>
      </c>
      <c r="D11088" t="s">
        <v>5143</v>
      </c>
      <c r="E11088" t="s">
        <v>6851</v>
      </c>
      <c r="F11088" t="s">
        <v>12382</v>
      </c>
      <c r="G11088" t="s">
        <v>16608</v>
      </c>
      <c r="H11088" t="s">
        <v>26680</v>
      </c>
    </row>
    <row r="11089" spans="1:8">
      <c r="A11089" t="s">
        <v>1075</v>
      </c>
      <c r="B11089">
        <f>HYPERLINK("https://android.googlesource.com/platform/cts/+/2e31d2f5c5aaab42aebecea4d23c4f106ee92eac", "2e31d2f5c5aaab42aebecea4d23c4f106ee92eac")</f>
        <v>0</v>
      </c>
      <c r="C11089">
        <f>HYPERLINK("https://android.googlesource.com/platform/cts/+/c4e72cac789a30dd6cd5853b466b8d79c4f7d474", "c4e72cac789a30dd6cd5853b466b8d79c4f7d474")</f>
        <v>0</v>
      </c>
      <c r="D11089" t="s">
        <v>5143</v>
      </c>
      <c r="E11089" t="s">
        <v>6852</v>
      </c>
      <c r="F11089" t="s">
        <v>10584</v>
      </c>
      <c r="G11089" t="s">
        <v>14987</v>
      </c>
      <c r="H11089" t="s">
        <v>18887</v>
      </c>
    </row>
    <row r="11090" spans="1:8">
      <c r="A11090" t="s">
        <v>1077</v>
      </c>
      <c r="B11090">
        <f>HYPERLINK("https://android.googlesource.com/platform/cts/+/93f3f6838de0c518413a677fe7b72facbcb8183d", "93f3f6838de0c518413a677fe7b72facbcb8183d")</f>
        <v>0</v>
      </c>
      <c r="C11090">
        <f>HYPERLINK("https://android.googlesource.com/platform/cts/+/ee9cfbc0b46a07d24a6caec5c98c3652c3b77f84", "ee9cfbc0b46a07d24a6caec5c98c3652c3b77f84")</f>
        <v>0</v>
      </c>
      <c r="D11090" t="s">
        <v>5132</v>
      </c>
      <c r="E11090" t="s">
        <v>6854</v>
      </c>
      <c r="F11090" t="s">
        <v>12857</v>
      </c>
      <c r="G11090" t="s">
        <v>17027</v>
      </c>
      <c r="H11090" t="s">
        <v>26683</v>
      </c>
    </row>
    <row r="11091" spans="1:8">
      <c r="A11091" t="s">
        <v>1078</v>
      </c>
      <c r="B11091">
        <f>HYPERLINK("https://android.googlesource.com/platform/cts/+/0a745cedb5e2eb6e8b354790ee891f66a3706f55", "0a745cedb5e2eb6e8b354790ee891f66a3706f55")</f>
        <v>0</v>
      </c>
      <c r="C11091">
        <f>HYPERLINK("https://android.googlesource.com/platform/cts/+/f4c71606249348ea9adbead686a7687d3fd20ff7", "f4c71606249348ea9adbead686a7687d3fd20ff7")</f>
        <v>0</v>
      </c>
      <c r="D11091" t="s">
        <v>5051</v>
      </c>
      <c r="E11091" t="s">
        <v>6855</v>
      </c>
      <c r="F11091" t="s">
        <v>12642</v>
      </c>
      <c r="G11091" t="s">
        <v>16850</v>
      </c>
      <c r="H11091" t="s">
        <v>26684</v>
      </c>
    </row>
    <row r="11092" spans="1:8">
      <c r="A11092" t="s">
        <v>1080</v>
      </c>
      <c r="B11092">
        <f>HYPERLINK("https://android.googlesource.com/platform/cts/+/78325983804f239b217ff5eb607039a57462f4d9", "78325983804f239b217ff5eb607039a57462f4d9")</f>
        <v>0</v>
      </c>
      <c r="C11092">
        <f>HYPERLINK("https://android.googlesource.com/platform/cts/+/454cca0c08d2a93d69ed3605e29ca062c13ce7c7", "454cca0c08d2a93d69ed3605e29ca062c13ce7c7")</f>
        <v>0</v>
      </c>
      <c r="D11092" t="s">
        <v>5143</v>
      </c>
      <c r="E11092" t="s">
        <v>6857</v>
      </c>
      <c r="F11092" t="s">
        <v>12858</v>
      </c>
      <c r="G11092" t="s">
        <v>17026</v>
      </c>
      <c r="H11092" t="s">
        <v>26687</v>
      </c>
    </row>
    <row r="11093" spans="1:8">
      <c r="H11093" t="s">
        <v>26688</v>
      </c>
    </row>
    <row r="11094" spans="1:8">
      <c r="A11094" t="s">
        <v>1081</v>
      </c>
      <c r="B11094">
        <f>HYPERLINK("https://android.googlesource.com/platform/cts/+/dc782f228cd376fe8e20e7762402bc859164a6e1", "dc782f228cd376fe8e20e7762402bc859164a6e1")</f>
        <v>0</v>
      </c>
      <c r="C11094">
        <f>HYPERLINK("https://android.googlesource.com/platform/cts/+/5a1cbf9b51eaa72e7269fc0354b9eb7b13b15cc4", "5a1cbf9b51eaa72e7269fc0354b9eb7b13b15cc4")</f>
        <v>0</v>
      </c>
      <c r="D11094" t="s">
        <v>5117</v>
      </c>
      <c r="E11094" t="s">
        <v>6858</v>
      </c>
      <c r="F11094" t="s">
        <v>12859</v>
      </c>
      <c r="G11094" t="s">
        <v>17028</v>
      </c>
      <c r="H11094" t="s">
        <v>26689</v>
      </c>
    </row>
    <row r="11095" spans="1:8">
      <c r="A11095" t="s">
        <v>1083</v>
      </c>
      <c r="B11095">
        <f>HYPERLINK("https://android.googlesource.com/platform/cts/+/b112f44e5dde4e2c37968c0d4b45b86e28e5fb84", "b112f44e5dde4e2c37968c0d4b45b86e28e5fb84")</f>
        <v>0</v>
      </c>
      <c r="C11095">
        <f>HYPERLINK("https://android.googlesource.com/platform/cts/+/baafc246e58bf2ca31f58af51efc9564db45fa80", "baafc246e58bf2ca31f58af51efc9564db45fa80")</f>
        <v>0</v>
      </c>
      <c r="D11095" t="s">
        <v>5051</v>
      </c>
      <c r="E11095" t="s">
        <v>6860</v>
      </c>
      <c r="F11095" t="s">
        <v>12642</v>
      </c>
      <c r="G11095" t="s">
        <v>16850</v>
      </c>
      <c r="H11095" t="s">
        <v>26692</v>
      </c>
    </row>
    <row r="11096" spans="1:8">
      <c r="H11096" t="s">
        <v>26693</v>
      </c>
    </row>
    <row r="11097" spans="1:8">
      <c r="H11097" t="s">
        <v>26694</v>
      </c>
    </row>
    <row r="11098" spans="1:8">
      <c r="H11098" t="s">
        <v>26695</v>
      </c>
    </row>
    <row r="11099" spans="1:8">
      <c r="H11099" t="s">
        <v>26696</v>
      </c>
    </row>
    <row r="11100" spans="1:8">
      <c r="H11100" t="s">
        <v>26697</v>
      </c>
    </row>
    <row r="11101" spans="1:8">
      <c r="F11101" t="s">
        <v>12861</v>
      </c>
      <c r="G11101" t="s">
        <v>17030</v>
      </c>
      <c r="H11101" t="s">
        <v>26698</v>
      </c>
    </row>
    <row r="11102" spans="1:8">
      <c r="H11102" t="s">
        <v>26699</v>
      </c>
    </row>
    <row r="11103" spans="1:8">
      <c r="H11103" t="s">
        <v>26700</v>
      </c>
    </row>
    <row r="11104" spans="1:8">
      <c r="H11104" t="s">
        <v>26701</v>
      </c>
    </row>
    <row r="11105" spans="1:8">
      <c r="F11105" t="s">
        <v>12862</v>
      </c>
      <c r="G11105" t="s">
        <v>16610</v>
      </c>
      <c r="H11105" t="s">
        <v>26702</v>
      </c>
    </row>
    <row r="11106" spans="1:8">
      <c r="H11106" t="s">
        <v>26703</v>
      </c>
    </row>
    <row r="11107" spans="1:8">
      <c r="H11107" t="s">
        <v>26704</v>
      </c>
    </row>
    <row r="11108" spans="1:8">
      <c r="H11108" t="s">
        <v>26705</v>
      </c>
    </row>
    <row r="11109" spans="1:8">
      <c r="H11109" t="s">
        <v>26706</v>
      </c>
    </row>
    <row r="11110" spans="1:8">
      <c r="F11110" t="s">
        <v>12863</v>
      </c>
      <c r="G11110" t="s">
        <v>17031</v>
      </c>
      <c r="H11110" t="s">
        <v>26684</v>
      </c>
    </row>
    <row r="11111" spans="1:8">
      <c r="H11111" t="s">
        <v>26707</v>
      </c>
    </row>
    <row r="11112" spans="1:8">
      <c r="F11112" t="s">
        <v>12864</v>
      </c>
      <c r="G11112" t="s">
        <v>17032</v>
      </c>
      <c r="H11112" t="s">
        <v>26708</v>
      </c>
    </row>
    <row r="11113" spans="1:8">
      <c r="F11113" t="s">
        <v>12865</v>
      </c>
      <c r="G11113" t="s">
        <v>17033</v>
      </c>
      <c r="H11113" t="s">
        <v>26709</v>
      </c>
    </row>
    <row r="11114" spans="1:8">
      <c r="H11114" t="s">
        <v>26710</v>
      </c>
    </row>
    <row r="11115" spans="1:8">
      <c r="H11115" t="s">
        <v>26711</v>
      </c>
    </row>
    <row r="11116" spans="1:8">
      <c r="A11116" t="s">
        <v>1085</v>
      </c>
      <c r="B11116">
        <f>HYPERLINK("https://android.googlesource.com/platform/cts/+/fe9883f2e9025d8f86982749e631bbef14b10361", "fe9883f2e9025d8f86982749e631bbef14b10361")</f>
        <v>0</v>
      </c>
      <c r="C11116">
        <f>HYPERLINK("https://android.googlesource.com/platform/cts/+/9adcd0087f4103298af0f3d9031353bca92d6b22", "9adcd0087f4103298af0f3d9031353bca92d6b22")</f>
        <v>0</v>
      </c>
      <c r="D11116" t="s">
        <v>5128</v>
      </c>
      <c r="E11116" t="s">
        <v>6862</v>
      </c>
      <c r="F11116" t="s">
        <v>12866</v>
      </c>
      <c r="G11116" t="s">
        <v>17034</v>
      </c>
      <c r="H11116" t="s">
        <v>26719</v>
      </c>
    </row>
    <row r="11117" spans="1:8">
      <c r="A11117" t="s">
        <v>1087</v>
      </c>
      <c r="B11117">
        <f>HYPERLINK("https://android.googlesource.com/platform/cts/+/ca3e9d13bfb15a8b94584549da8a4e23132e719f", "ca3e9d13bfb15a8b94584549da8a4e23132e719f")</f>
        <v>0</v>
      </c>
      <c r="C11117">
        <f>HYPERLINK("https://android.googlesource.com/platform/cts/+/248e1c8c79560e9344cf6efaf7f4a0e328b06b0d", "248e1c8c79560e9344cf6efaf7f4a0e328b06b0d")</f>
        <v>0</v>
      </c>
      <c r="D11117" t="s">
        <v>5143</v>
      </c>
      <c r="E11117" t="s">
        <v>6864</v>
      </c>
      <c r="F11117" t="s">
        <v>12867</v>
      </c>
      <c r="G11117" t="s">
        <v>17035</v>
      </c>
      <c r="H11117" t="s">
        <v>26721</v>
      </c>
    </row>
    <row r="11118" spans="1:8">
      <c r="A11118" t="s">
        <v>1088</v>
      </c>
      <c r="B11118">
        <f>HYPERLINK("https://android.googlesource.com/platform/cts/+/5c7da2012ca43a5a4e7b6936c8edd034729922bb", "5c7da2012ca43a5a4e7b6936c8edd034729922bb")</f>
        <v>0</v>
      </c>
      <c r="C11118">
        <f>HYPERLINK("https://android.googlesource.com/platform/cts/+/248e1c8c79560e9344cf6efaf7f4a0e328b06b0d", "248e1c8c79560e9344cf6efaf7f4a0e328b06b0d")</f>
        <v>0</v>
      </c>
      <c r="D11118" t="s">
        <v>5143</v>
      </c>
      <c r="E11118" t="s">
        <v>6865</v>
      </c>
      <c r="F11118" t="s">
        <v>12868</v>
      </c>
      <c r="G11118" t="s">
        <v>17036</v>
      </c>
      <c r="H11118" t="s">
        <v>20372</v>
      </c>
    </row>
    <row r="11119" spans="1:8">
      <c r="A11119" t="s">
        <v>1091</v>
      </c>
      <c r="B11119">
        <f>HYPERLINK("https://android.googlesource.com/platform/cts/+/d024365293b05aaa94b9015a27702b7d1ce7a0c6", "d024365293b05aaa94b9015a27702b7d1ce7a0c6")</f>
        <v>0</v>
      </c>
      <c r="C11119">
        <f>HYPERLINK("https://android.googlesource.com/platform/cts/+/8de4a1468f121bf1befe0eb9ac695499ba0243d7", "8de4a1468f121bf1befe0eb9ac695499ba0243d7")</f>
        <v>0</v>
      </c>
      <c r="D11119" t="s">
        <v>5163</v>
      </c>
      <c r="E11119" t="s">
        <v>6868</v>
      </c>
      <c r="F11119" t="s">
        <v>12872</v>
      </c>
      <c r="G11119" t="s">
        <v>17040</v>
      </c>
      <c r="H11119" t="s">
        <v>26725</v>
      </c>
    </row>
    <row r="11120" spans="1:8">
      <c r="F11120" t="s">
        <v>12629</v>
      </c>
      <c r="G11120" t="s">
        <v>16838</v>
      </c>
      <c r="H11120" t="s">
        <v>26728</v>
      </c>
    </row>
    <row r="11121" spans="1:8">
      <c r="A11121" t="s">
        <v>1092</v>
      </c>
      <c r="B11121">
        <f>HYPERLINK("https://android.googlesource.com/platform/cts/+/c4fa4dbd5a83c10d33021d9c8dfaa56c82248087", "c4fa4dbd5a83c10d33021d9c8dfaa56c82248087")</f>
        <v>0</v>
      </c>
      <c r="C11121">
        <f>HYPERLINK("https://android.googlesource.com/platform/cts/+/9a70fff3358270d42595c2f0106cedd777213b33", "9a70fff3358270d42595c2f0106cedd777213b33")</f>
        <v>0</v>
      </c>
      <c r="D11121" t="s">
        <v>5143</v>
      </c>
      <c r="E11121" t="s">
        <v>6869</v>
      </c>
      <c r="F11121" t="s">
        <v>12873</v>
      </c>
      <c r="G11121" t="s">
        <v>17041</v>
      </c>
      <c r="H11121" t="s">
        <v>18877</v>
      </c>
    </row>
    <row r="11122" spans="1:8">
      <c r="H11122" t="s">
        <v>26729</v>
      </c>
    </row>
    <row r="11123" spans="1:8">
      <c r="A11123" t="s">
        <v>1093</v>
      </c>
      <c r="B11123">
        <f>HYPERLINK("https://android.googlesource.com/platform/cts/+/3f071d64780d4598023a4fcbd3b695c8e814a979", "3f071d64780d4598023a4fcbd3b695c8e814a979")</f>
        <v>0</v>
      </c>
      <c r="C11123">
        <f>HYPERLINK("https://android.googlesource.com/platform/cts/+/fd8c5bdace0a311ff5271f03507dceb93c9110de", "fd8c5bdace0a311ff5271f03507dceb93c9110de")</f>
        <v>0</v>
      </c>
      <c r="D11123" t="s">
        <v>5163</v>
      </c>
      <c r="E11123" t="s">
        <v>6870</v>
      </c>
      <c r="F11123" t="s">
        <v>12874</v>
      </c>
      <c r="G11123" t="s">
        <v>17042</v>
      </c>
      <c r="H11123" t="s">
        <v>26733</v>
      </c>
    </row>
    <row r="11124" spans="1:8">
      <c r="A11124" t="s">
        <v>1095</v>
      </c>
      <c r="B11124">
        <f>HYPERLINK("https://android.googlesource.com/platform/cts/+/05d4d4b42c1ca3916494f3be0b7783c5405a51ec", "05d4d4b42c1ca3916494f3be0b7783c5405a51ec")</f>
        <v>0</v>
      </c>
      <c r="C11124">
        <f>HYPERLINK("https://android.googlesource.com/platform/cts/+/a3566abb9a888a8fac82e636acb93665737be332", "a3566abb9a888a8fac82e636acb93665737be332")</f>
        <v>0</v>
      </c>
      <c r="D11124" t="s">
        <v>5046</v>
      </c>
      <c r="E11124" t="s">
        <v>6872</v>
      </c>
      <c r="F11124" t="s">
        <v>10604</v>
      </c>
      <c r="G11124" t="s">
        <v>15007</v>
      </c>
      <c r="H11124" t="s">
        <v>26742</v>
      </c>
    </row>
    <row r="11125" spans="1:8">
      <c r="A11125" t="s">
        <v>1096</v>
      </c>
      <c r="B11125">
        <f>HYPERLINK("https://android.googlesource.com/platform/cts/+/1f2cd960c6503c7f0c1b8e540a2df4a2c38c3351", "1f2cd960c6503c7f0c1b8e540a2df4a2c38c3351")</f>
        <v>0</v>
      </c>
      <c r="C11125">
        <f>HYPERLINK("https://android.googlesource.com/platform/cts/+/9828ff9738239467a638dd5a9fec7da0ab717595", "9828ff9738239467a638dd5a9fec7da0ab717595")</f>
        <v>0</v>
      </c>
      <c r="D11125" t="s">
        <v>5118</v>
      </c>
      <c r="E11125" t="s">
        <v>6873</v>
      </c>
      <c r="F11125" t="s">
        <v>10744</v>
      </c>
      <c r="G11125" t="s">
        <v>15143</v>
      </c>
      <c r="H11125" t="s">
        <v>26458</v>
      </c>
    </row>
    <row r="11126" spans="1:8">
      <c r="A11126" t="s">
        <v>1097</v>
      </c>
      <c r="B11126">
        <f>HYPERLINK("https://android.googlesource.com/platform/cts/+/067e9dcaac6c422116eb42b5deaac86d0fbd0e5b", "067e9dcaac6c422116eb42b5deaac86d0fbd0e5b")</f>
        <v>0</v>
      </c>
      <c r="C11126">
        <f>HYPERLINK("https://android.googlesource.com/platform/cts/+/58d6687efe9cc26126d2dd1ffd4299c53b576edb", "58d6687efe9cc26126d2dd1ffd4299c53b576edb")</f>
        <v>0</v>
      </c>
      <c r="D11126" t="s">
        <v>5146</v>
      </c>
      <c r="E11126" t="s">
        <v>6874</v>
      </c>
      <c r="F11126" t="s">
        <v>12803</v>
      </c>
      <c r="G11126" t="s">
        <v>16985</v>
      </c>
      <c r="H11126" t="s">
        <v>26743</v>
      </c>
    </row>
    <row r="11127" spans="1:8">
      <c r="A11127" t="s">
        <v>1098</v>
      </c>
      <c r="B11127">
        <f>HYPERLINK("https://android.googlesource.com/platform/cts/+/acccd2a2f455e6216e14f5730e1d35f399bb9a11", "acccd2a2f455e6216e14f5730e1d35f399bb9a11")</f>
        <v>0</v>
      </c>
      <c r="C11127">
        <f>HYPERLINK("https://android.googlesource.com/platform/cts/+/f3ade32f6f48ce3ae5bff75a42b18ef40173441d", "f3ade32f6f48ce3ae5bff75a42b18ef40173441d")</f>
        <v>0</v>
      </c>
      <c r="D11127" t="s">
        <v>5157</v>
      </c>
      <c r="E11127" t="s">
        <v>6875</v>
      </c>
      <c r="F11127" t="s">
        <v>12651</v>
      </c>
      <c r="G11127" t="s">
        <v>16857</v>
      </c>
      <c r="H11127" t="s">
        <v>26744</v>
      </c>
    </row>
    <row r="11128" spans="1:8">
      <c r="A11128" t="s">
        <v>1101</v>
      </c>
      <c r="B11128">
        <f>HYPERLINK("https://android.googlesource.com/platform/cts/+/9209cad77e695d57dfff4cce26d8b8d9c1b614cc", "9209cad77e695d57dfff4cce26d8b8d9c1b614cc")</f>
        <v>0</v>
      </c>
      <c r="C11128">
        <f>HYPERLINK("https://android.googlesource.com/platform/cts/+/054bec79abb50148dc59ef558e86686c153e3a50", "054bec79abb50148dc59ef558e86686c153e3a50")</f>
        <v>0</v>
      </c>
      <c r="D11128" t="s">
        <v>5046</v>
      </c>
      <c r="E11128" t="s">
        <v>6878</v>
      </c>
      <c r="F11128" t="s">
        <v>12877</v>
      </c>
      <c r="G11128" t="s">
        <v>17044</v>
      </c>
      <c r="H11128" t="s">
        <v>26748</v>
      </c>
    </row>
    <row r="11129" spans="1:8">
      <c r="A11129" t="s">
        <v>1104</v>
      </c>
      <c r="B11129">
        <f>HYPERLINK("https://android.googlesource.com/platform/cts/+/1a761d37d96c42714a2f758f5194c3da836e4619", "1a761d37d96c42714a2f758f5194c3da836e4619")</f>
        <v>0</v>
      </c>
      <c r="C11129">
        <f>HYPERLINK("https://android.googlesource.com/platform/cts/+/dc5f5356758fe292c570e7d25c01cf65111c71d8", "dc5f5356758fe292c570e7d25c01cf65111c71d8")</f>
        <v>0</v>
      </c>
      <c r="D11129" t="s">
        <v>4949</v>
      </c>
      <c r="E11129" t="s">
        <v>6881</v>
      </c>
      <c r="F11129" t="s">
        <v>12879</v>
      </c>
      <c r="G11129" t="s">
        <v>17046</v>
      </c>
      <c r="H11129" t="s">
        <v>26751</v>
      </c>
    </row>
    <row r="11130" spans="1:8">
      <c r="H11130" t="s">
        <v>26752</v>
      </c>
    </row>
    <row r="11131" spans="1:8">
      <c r="H11131" t="s">
        <v>26753</v>
      </c>
    </row>
    <row r="11132" spans="1:8">
      <c r="H11132" t="s">
        <v>26754</v>
      </c>
    </row>
    <row r="11133" spans="1:8">
      <c r="H11133" t="s">
        <v>26755</v>
      </c>
    </row>
    <row r="11134" spans="1:8">
      <c r="H11134" t="s">
        <v>26756</v>
      </c>
    </row>
    <row r="11135" spans="1:8">
      <c r="H11135" t="s">
        <v>26757</v>
      </c>
    </row>
    <row r="11136" spans="1:8">
      <c r="F11136" t="s">
        <v>12880</v>
      </c>
      <c r="G11136" t="s">
        <v>17047</v>
      </c>
      <c r="H11136" t="s">
        <v>20441</v>
      </c>
    </row>
    <row r="11137" spans="1:8">
      <c r="H11137" t="s">
        <v>26762</v>
      </c>
    </row>
    <row r="11138" spans="1:8">
      <c r="H11138" t="s">
        <v>26751</v>
      </c>
    </row>
    <row r="11139" spans="1:8">
      <c r="H11139" t="s">
        <v>26752</v>
      </c>
    </row>
    <row r="11140" spans="1:8">
      <c r="H11140" t="s">
        <v>26753</v>
      </c>
    </row>
    <row r="11141" spans="1:8">
      <c r="H11141" t="s">
        <v>26754</v>
      </c>
    </row>
    <row r="11142" spans="1:8">
      <c r="H11142" t="s">
        <v>26755</v>
      </c>
    </row>
    <row r="11143" spans="1:8">
      <c r="F11143" t="s">
        <v>12881</v>
      </c>
      <c r="G11143" t="s">
        <v>17048</v>
      </c>
      <c r="H11143" t="s">
        <v>26756</v>
      </c>
    </row>
    <row r="11144" spans="1:8">
      <c r="H11144" t="s">
        <v>26757</v>
      </c>
    </row>
    <row r="11145" spans="1:8">
      <c r="A11145" t="s">
        <v>1105</v>
      </c>
      <c r="B11145">
        <f>HYPERLINK("https://android.googlesource.com/platform/cts/+/a6e9a933aa7dbcc139959bed43f8d2b486d7e6d7", "a6e9a933aa7dbcc139959bed43f8d2b486d7e6d7")</f>
        <v>0</v>
      </c>
      <c r="C11145">
        <f>HYPERLINK("https://android.googlesource.com/platform/cts/+/ab6a2f58761e479429b7fe04ecf977e2112e7257", "ab6a2f58761e479429b7fe04ecf977e2112e7257")</f>
        <v>0</v>
      </c>
      <c r="D11145" t="s">
        <v>5143</v>
      </c>
      <c r="E11145" t="s">
        <v>6882</v>
      </c>
      <c r="F11145" t="s">
        <v>12882</v>
      </c>
      <c r="G11145" t="s">
        <v>17049</v>
      </c>
      <c r="H11145" t="s">
        <v>26763</v>
      </c>
    </row>
    <row r="11146" spans="1:8">
      <c r="A11146" t="s">
        <v>1106</v>
      </c>
      <c r="B11146">
        <f>HYPERLINK("https://android.googlesource.com/platform/cts/+/b9baf3c299f438a2a5124c71cde23c6a53e2f519", "b9baf3c299f438a2a5124c71cde23c6a53e2f519")</f>
        <v>0</v>
      </c>
      <c r="C11146">
        <f>HYPERLINK("https://android.googlesource.com/platform/cts/+/fa6888bc1d53d2f041be010b0fbba089a9966226", "fa6888bc1d53d2f041be010b0fbba089a9966226")</f>
        <v>0</v>
      </c>
      <c r="D11146" t="s">
        <v>5098</v>
      </c>
      <c r="E11146" t="s">
        <v>6883</v>
      </c>
      <c r="F11146" t="s">
        <v>12883</v>
      </c>
      <c r="G11146" t="s">
        <v>17050</v>
      </c>
      <c r="H11146" t="s">
        <v>26764</v>
      </c>
    </row>
    <row r="11147" spans="1:8">
      <c r="A11147" t="s">
        <v>1107</v>
      </c>
      <c r="B11147">
        <f>HYPERLINK("https://android.googlesource.com/platform/cts/+/68de967aa4b55a550db4e20401d30c48e671b597", "68de967aa4b55a550db4e20401d30c48e671b597")</f>
        <v>0</v>
      </c>
      <c r="C11147">
        <f>HYPERLINK("https://android.googlesource.com/platform/cts/+/be5bc373a6117cfcc2efd691d7ed08f4e10290d2", "be5bc373a6117cfcc2efd691d7ed08f4e10290d2")</f>
        <v>0</v>
      </c>
      <c r="D11147" t="s">
        <v>5098</v>
      </c>
      <c r="E11147" t="s">
        <v>6884</v>
      </c>
      <c r="F11147" t="s">
        <v>12884</v>
      </c>
      <c r="G11147" t="s">
        <v>17051</v>
      </c>
      <c r="H11147" t="s">
        <v>26765</v>
      </c>
    </row>
    <row r="11148" spans="1:8">
      <c r="H11148" t="s">
        <v>26766</v>
      </c>
    </row>
    <row r="11149" spans="1:8">
      <c r="A11149" t="s">
        <v>1110</v>
      </c>
      <c r="B11149">
        <f>HYPERLINK("https://android.googlesource.com/platform/cts/+/e91f1a61e8f1cede1cc994c9e9477f4700a3c1c4", "e91f1a61e8f1cede1cc994c9e9477f4700a3c1c4")</f>
        <v>0</v>
      </c>
      <c r="C11149">
        <f>HYPERLINK("https://android.googlesource.com/platform/cts/+/ceeb146d581f8c81d46a964c1909adc345ada9df", "ceeb146d581f8c81d46a964c1909adc345ada9df")</f>
        <v>0</v>
      </c>
      <c r="D11149" t="s">
        <v>5068</v>
      </c>
      <c r="E11149" t="s">
        <v>6885</v>
      </c>
      <c r="F11149" t="s">
        <v>12750</v>
      </c>
      <c r="G11149" t="s">
        <v>16941</v>
      </c>
      <c r="H11149" t="s">
        <v>26770</v>
      </c>
    </row>
    <row r="11150" spans="1:8">
      <c r="A11150" t="s">
        <v>1111</v>
      </c>
      <c r="B11150">
        <f>HYPERLINK("https://android.googlesource.com/platform/cts/+/204e44d213093f8eb813540f7e9f4fb40a7cb15e", "204e44d213093f8eb813540f7e9f4fb40a7cb15e")</f>
        <v>0</v>
      </c>
      <c r="C11150">
        <f>HYPERLINK("https://android.googlesource.com/platform/cts/+/567b1c7ef109afd60beb011693d1fa370bea0e50", "567b1c7ef109afd60beb011693d1fa370bea0e50")</f>
        <v>0</v>
      </c>
      <c r="D11150" t="s">
        <v>5146</v>
      </c>
      <c r="E11150" t="s">
        <v>6886</v>
      </c>
      <c r="F11150" t="s">
        <v>12845</v>
      </c>
      <c r="G11150" t="s">
        <v>16561</v>
      </c>
      <c r="H11150" t="s">
        <v>26773</v>
      </c>
    </row>
    <row r="11151" spans="1:8">
      <c r="H11151" t="s">
        <v>26774</v>
      </c>
    </row>
    <row r="11152" spans="1:8">
      <c r="H11152" t="s">
        <v>26775</v>
      </c>
    </row>
    <row r="11153" spans="1:8">
      <c r="H11153" t="s">
        <v>26776</v>
      </c>
    </row>
    <row r="11154" spans="1:8">
      <c r="H11154" t="s">
        <v>26777</v>
      </c>
    </row>
    <row r="11155" spans="1:8">
      <c r="H11155" t="s">
        <v>26778</v>
      </c>
    </row>
    <row r="11156" spans="1:8">
      <c r="A11156" t="s">
        <v>1112</v>
      </c>
      <c r="B11156">
        <f>HYPERLINK("https://android.googlesource.com/platform/cts/+/5e051e4ecce662083562475ce77272a15a01b88c", "5e051e4ecce662083562475ce77272a15a01b88c")</f>
        <v>0</v>
      </c>
      <c r="C11156">
        <f>HYPERLINK("https://android.googlesource.com/platform/cts/+/cdb30f18e44f14b32cfe76c572af22f82a816a00", "cdb30f18e44f14b32cfe76c572af22f82a816a00")</f>
        <v>0</v>
      </c>
      <c r="D11156" t="s">
        <v>4949</v>
      </c>
      <c r="E11156" t="s">
        <v>6887</v>
      </c>
      <c r="F11156" t="s">
        <v>12879</v>
      </c>
      <c r="G11156" t="s">
        <v>17046</v>
      </c>
      <c r="H11156" t="s">
        <v>26779</v>
      </c>
    </row>
    <row r="11157" spans="1:8">
      <c r="A11157" t="s">
        <v>1114</v>
      </c>
      <c r="B11157">
        <f>HYPERLINK("https://android.googlesource.com/platform/cts/+/13f91d9c0761388b58426f7022b42ad504048c4c", "13f91d9c0761388b58426f7022b42ad504048c4c")</f>
        <v>0</v>
      </c>
      <c r="C11157">
        <f>HYPERLINK("https://android.googlesource.com/platform/cts/+/d2ef643f7a3a1f12e35d23545cc63dbfe277f084", "d2ef643f7a3a1f12e35d23545cc63dbfe277f084")</f>
        <v>0</v>
      </c>
      <c r="D11157" t="s">
        <v>5059</v>
      </c>
      <c r="E11157" t="s">
        <v>6889</v>
      </c>
      <c r="F11157" t="s">
        <v>12885</v>
      </c>
      <c r="G11157" t="s">
        <v>17052</v>
      </c>
      <c r="H11157" t="s">
        <v>26781</v>
      </c>
    </row>
    <row r="11158" spans="1:8">
      <c r="A11158" t="s">
        <v>1115</v>
      </c>
      <c r="B11158">
        <f>HYPERLINK("https://android.googlesource.com/platform/cts/+/6a836e7dbca236c907863da4eecc67f00856c58c", "6a836e7dbca236c907863da4eecc67f00856c58c")</f>
        <v>0</v>
      </c>
      <c r="C11158">
        <f>HYPERLINK("https://android.googlesource.com/platform/cts/+/1bdc00624f128efb0c4895b8fa621d0b181472c1", "1bdc00624f128efb0c4895b8fa621d0b181472c1")</f>
        <v>0</v>
      </c>
      <c r="D11158" t="s">
        <v>5059</v>
      </c>
      <c r="E11158" t="s">
        <v>6890</v>
      </c>
      <c r="F11158" t="s">
        <v>12885</v>
      </c>
      <c r="G11158" t="s">
        <v>17052</v>
      </c>
      <c r="H11158" t="s">
        <v>26782</v>
      </c>
    </row>
    <row r="11159" spans="1:8">
      <c r="A11159" t="s">
        <v>1117</v>
      </c>
      <c r="B11159">
        <f>HYPERLINK("https://android.googlesource.com/platform/cts/+/de50080008f733baf2c87b4384ac823731ea11f3", "de50080008f733baf2c87b4384ac823731ea11f3")</f>
        <v>0</v>
      </c>
      <c r="C11159">
        <f>HYPERLINK("https://android.googlesource.com/platform/cts/+/b621e74e87636961f61bc2366f65a2626cb0f40c", "b621e74e87636961f61bc2366f65a2626cb0f40c")</f>
        <v>0</v>
      </c>
      <c r="D11159" t="s">
        <v>4991</v>
      </c>
      <c r="E11159" t="s">
        <v>6892</v>
      </c>
      <c r="F11159" t="s">
        <v>12886</v>
      </c>
      <c r="G11159" t="s">
        <v>16432</v>
      </c>
      <c r="H11159" t="s">
        <v>21181</v>
      </c>
    </row>
    <row r="11160" spans="1:8">
      <c r="A11160" t="s">
        <v>1118</v>
      </c>
      <c r="B11160">
        <f>HYPERLINK("https://android.googlesource.com/platform/cts/+/93b72fd0a567552f45575ea066a7ed04d65b24f1", "93b72fd0a567552f45575ea066a7ed04d65b24f1")</f>
        <v>0</v>
      </c>
      <c r="C11160">
        <f>HYPERLINK("https://android.googlesource.com/platform/cts/+/4880a1efe0e27bb369be7749edec6de06637517d", "4880a1efe0e27bb369be7749edec6de06637517d")</f>
        <v>0</v>
      </c>
      <c r="D11160" t="s">
        <v>5085</v>
      </c>
      <c r="E11160" t="s">
        <v>6893</v>
      </c>
      <c r="F11160" t="s">
        <v>12887</v>
      </c>
      <c r="G11160" t="s">
        <v>17053</v>
      </c>
      <c r="H11160" t="s">
        <v>26790</v>
      </c>
    </row>
    <row r="11161" spans="1:8">
      <c r="F11161" t="s">
        <v>12888</v>
      </c>
      <c r="G11161" t="s">
        <v>17054</v>
      </c>
      <c r="H11161" t="s">
        <v>26791</v>
      </c>
    </row>
    <row r="11162" spans="1:8">
      <c r="H11162" t="s">
        <v>26792</v>
      </c>
    </row>
    <row r="11163" spans="1:8">
      <c r="H11163" t="s">
        <v>26793</v>
      </c>
    </row>
    <row r="11164" spans="1:8">
      <c r="F11164" t="s">
        <v>12889</v>
      </c>
      <c r="G11164" t="s">
        <v>17055</v>
      </c>
      <c r="H11164" t="s">
        <v>26795</v>
      </c>
    </row>
    <row r="11165" spans="1:8">
      <c r="H11165" t="s">
        <v>26796</v>
      </c>
    </row>
    <row r="11166" spans="1:8">
      <c r="F11166" t="s">
        <v>12890</v>
      </c>
      <c r="G11166" t="s">
        <v>17056</v>
      </c>
      <c r="H11166" t="s">
        <v>26802</v>
      </c>
    </row>
    <row r="11167" spans="1:8">
      <c r="H11167" t="s">
        <v>26804</v>
      </c>
    </row>
    <row r="11168" spans="1:8">
      <c r="H11168" t="s">
        <v>26805</v>
      </c>
    </row>
    <row r="11169" spans="1:8">
      <c r="H11169" t="s">
        <v>26806</v>
      </c>
    </row>
    <row r="11170" spans="1:8">
      <c r="A11170" t="s">
        <v>1119</v>
      </c>
      <c r="B11170">
        <f>HYPERLINK("https://android.googlesource.com/platform/cts/+/ab72229a262299424b09feaa613c1ab7aa829a14", "ab72229a262299424b09feaa613c1ab7aa829a14")</f>
        <v>0</v>
      </c>
      <c r="C11170">
        <f>HYPERLINK("https://android.googlesource.com/platform/cts/+/14dbee391ef44cd8ea9371d28ebb0f4675eabd7f", "14dbee391ef44cd8ea9371d28ebb0f4675eabd7f")</f>
        <v>0</v>
      </c>
      <c r="D11170" t="s">
        <v>5166</v>
      </c>
      <c r="E11170" t="s">
        <v>6894</v>
      </c>
      <c r="F11170" t="s">
        <v>12314</v>
      </c>
      <c r="G11170" t="s">
        <v>17057</v>
      </c>
      <c r="H11170" t="s">
        <v>26807</v>
      </c>
    </row>
    <row r="11171" spans="1:8">
      <c r="H11171" t="s">
        <v>22138</v>
      </c>
    </row>
    <row r="11172" spans="1:8">
      <c r="H11172" t="s">
        <v>26808</v>
      </c>
    </row>
    <row r="11173" spans="1:8">
      <c r="H11173" t="s">
        <v>26809</v>
      </c>
    </row>
    <row r="11174" spans="1:8">
      <c r="H11174" t="s">
        <v>26810</v>
      </c>
    </row>
    <row r="11175" spans="1:8">
      <c r="H11175" t="s">
        <v>26811</v>
      </c>
    </row>
    <row r="11176" spans="1:8">
      <c r="A11176" t="s">
        <v>1120</v>
      </c>
      <c r="B11176">
        <f>HYPERLINK("https://android.googlesource.com/platform/cts/+/b835b21675bf4a6a0ef67f9c2817ce22c6b4a0c8", "b835b21675bf4a6a0ef67f9c2817ce22c6b4a0c8")</f>
        <v>0</v>
      </c>
      <c r="C11176">
        <f>HYPERLINK("https://android.googlesource.com/platform/cts/+/41f5c3808f443bd507c1c018805a0dc57ec3e08d", "41f5c3808f443bd507c1c018805a0dc57ec3e08d")</f>
        <v>0</v>
      </c>
      <c r="D11176" t="s">
        <v>5167</v>
      </c>
      <c r="E11176" t="s">
        <v>6895</v>
      </c>
      <c r="F11176" t="s">
        <v>12891</v>
      </c>
      <c r="G11176" t="s">
        <v>17058</v>
      </c>
      <c r="H11176" t="s">
        <v>26812</v>
      </c>
    </row>
    <row r="11177" spans="1:8">
      <c r="A11177" t="s">
        <v>1121</v>
      </c>
      <c r="B11177">
        <f>HYPERLINK("https://android.googlesource.com/platform/cts/+/34c10c16614ff6d4a5e2b50aeb86ed1d1fc603ec", "34c10c16614ff6d4a5e2b50aeb86ed1d1fc603ec")</f>
        <v>0</v>
      </c>
      <c r="C11177">
        <f>HYPERLINK("https://android.googlesource.com/platform/cts/+/e249caf4b8025d42dc5b8430b5930076c69c5d9e", "e249caf4b8025d42dc5b8430b5930076c69c5d9e")</f>
        <v>0</v>
      </c>
      <c r="D11177" t="s">
        <v>5168</v>
      </c>
      <c r="E11177" t="s">
        <v>6896</v>
      </c>
      <c r="F11177" t="s">
        <v>12892</v>
      </c>
      <c r="G11177" t="s">
        <v>17059</v>
      </c>
      <c r="H11177" t="s">
        <v>26813</v>
      </c>
    </row>
    <row r="11178" spans="1:8">
      <c r="H11178" t="s">
        <v>26814</v>
      </c>
    </row>
    <row r="11179" spans="1:8">
      <c r="A11179" t="s">
        <v>1124</v>
      </c>
      <c r="B11179">
        <f>HYPERLINK("https://android.googlesource.com/platform/cts/+/e0ab22a0d53e8d9a15f6652609f0e3fa2d5c64b5", "e0ab22a0d53e8d9a15f6652609f0e3fa2d5c64b5")</f>
        <v>0</v>
      </c>
      <c r="C11179">
        <f>HYPERLINK("https://android.googlesource.com/platform/cts/+/f797b06d8882ad81bfa03bc206d9c783a2bf54aa", "f797b06d8882ad81bfa03bc206d9c783a2bf54aa")</f>
        <v>0</v>
      </c>
      <c r="D11179" t="s">
        <v>5134</v>
      </c>
      <c r="E11179" t="s">
        <v>6899</v>
      </c>
      <c r="F11179" t="s">
        <v>12893</v>
      </c>
      <c r="G11179" t="s">
        <v>17060</v>
      </c>
      <c r="H11179" t="s">
        <v>26817</v>
      </c>
    </row>
    <row r="11180" spans="1:8">
      <c r="H11180" t="s">
        <v>26818</v>
      </c>
    </row>
    <row r="11181" spans="1:8">
      <c r="H11181" t="s">
        <v>26819</v>
      </c>
    </row>
    <row r="11182" spans="1:8">
      <c r="A11182" t="s">
        <v>1126</v>
      </c>
      <c r="B11182">
        <f>HYPERLINK("https://android.googlesource.com/platform/cts/+/d65fda34d9ddff1f5c660f4a2a2064ca07f6aade", "d65fda34d9ddff1f5c660f4a2a2064ca07f6aade")</f>
        <v>0</v>
      </c>
      <c r="C11182">
        <f>HYPERLINK("https://android.googlesource.com/platform/cts/+/41f5c3808f443bd507c1c018805a0dc57ec3e08d", "41f5c3808f443bd507c1c018805a0dc57ec3e08d")</f>
        <v>0</v>
      </c>
      <c r="D11182" t="s">
        <v>5169</v>
      </c>
      <c r="E11182" t="s">
        <v>6901</v>
      </c>
      <c r="F11182" t="s">
        <v>12895</v>
      </c>
      <c r="G11182" t="s">
        <v>17062</v>
      </c>
      <c r="H11182" t="s">
        <v>26823</v>
      </c>
    </row>
    <row r="11183" spans="1:8">
      <c r="H11183" t="s">
        <v>26824</v>
      </c>
    </row>
    <row r="11184" spans="1:8">
      <c r="H11184" t="s">
        <v>26825</v>
      </c>
    </row>
    <row r="11185" spans="1:8">
      <c r="H11185" t="s">
        <v>26826</v>
      </c>
    </row>
    <row r="11186" spans="1:8">
      <c r="H11186" t="s">
        <v>26827</v>
      </c>
    </row>
    <row r="11187" spans="1:8">
      <c r="H11187" t="s">
        <v>26828</v>
      </c>
    </row>
    <row r="11188" spans="1:8">
      <c r="A11188" t="s">
        <v>1127</v>
      </c>
      <c r="B11188">
        <f>HYPERLINK("https://android.googlesource.com/platform/cts/+/51759978839bab562fe92594562814c82a33013a", "51759978839bab562fe92594562814c82a33013a")</f>
        <v>0</v>
      </c>
      <c r="C11188">
        <f>HYPERLINK("https://android.googlesource.com/platform/cts/+/cea90b5de4bd499d7c25e34c5377d36870f8f2bf", "cea90b5de4bd499d7c25e34c5377d36870f8f2bf")</f>
        <v>0</v>
      </c>
      <c r="D11188" t="s">
        <v>5000</v>
      </c>
      <c r="E11188" t="s">
        <v>6902</v>
      </c>
      <c r="F11188" t="s">
        <v>10699</v>
      </c>
      <c r="G11188" t="s">
        <v>15099</v>
      </c>
      <c r="H11188" t="s">
        <v>26834</v>
      </c>
    </row>
    <row r="11189" spans="1:8">
      <c r="A11189" t="s">
        <v>1128</v>
      </c>
      <c r="B11189">
        <f>HYPERLINK("https://android.googlesource.com/platform/cts/+/9bcd39d84ee7e9c9194125b0402feb761a3bfb54", "9bcd39d84ee7e9c9194125b0402feb761a3bfb54")</f>
        <v>0</v>
      </c>
      <c r="C11189">
        <f>HYPERLINK("https://android.googlesource.com/platform/cts/+/51759978839bab562fe92594562814c82a33013a", "51759978839bab562fe92594562814c82a33013a")</f>
        <v>0</v>
      </c>
      <c r="D11189" t="s">
        <v>5000</v>
      </c>
      <c r="E11189" t="s">
        <v>6903</v>
      </c>
      <c r="F11189" t="s">
        <v>10699</v>
      </c>
      <c r="G11189" t="s">
        <v>15099</v>
      </c>
      <c r="H11189" t="s">
        <v>26835</v>
      </c>
    </row>
    <row r="11190" spans="1:8">
      <c r="A11190" t="s">
        <v>1129</v>
      </c>
      <c r="B11190">
        <f>HYPERLINK("https://android.googlesource.com/platform/cts/+/22f4e0e92c6192f633c2829ca175f5730440fc98", "22f4e0e92c6192f633c2829ca175f5730440fc98")</f>
        <v>0</v>
      </c>
      <c r="C11190">
        <f>HYPERLINK("https://android.googlesource.com/platform/cts/+/cea90b5de4bd499d7c25e34c5377d36870f8f2bf", "cea90b5de4bd499d7c25e34c5377d36870f8f2bf")</f>
        <v>0</v>
      </c>
      <c r="D11190" t="s">
        <v>5018</v>
      </c>
      <c r="E11190" t="s">
        <v>6904</v>
      </c>
      <c r="F11190" t="s">
        <v>12896</v>
      </c>
      <c r="G11190" t="s">
        <v>17063</v>
      </c>
      <c r="H11190" t="s">
        <v>26836</v>
      </c>
    </row>
    <row r="11191" spans="1:8">
      <c r="H11191" t="s">
        <v>26837</v>
      </c>
    </row>
    <row r="11192" spans="1:8">
      <c r="A11192" t="s">
        <v>1130</v>
      </c>
      <c r="B11192">
        <f>HYPERLINK("https://android.googlesource.com/platform/cts/+/56f2c0ce80abffb87dcd44d318de31711f3ae8c5", "56f2c0ce80abffb87dcd44d318de31711f3ae8c5")</f>
        <v>0</v>
      </c>
      <c r="C11192">
        <f>HYPERLINK("https://android.googlesource.com/platform/cts/+/96f13bbf7e8123da8c3b048dd3d16a0044810e51", "96f13bbf7e8123da8c3b048dd3d16a0044810e51")</f>
        <v>0</v>
      </c>
      <c r="D11192" t="s">
        <v>5146</v>
      </c>
      <c r="E11192" t="s">
        <v>6905</v>
      </c>
      <c r="F11192" t="s">
        <v>10700</v>
      </c>
      <c r="G11192" t="s">
        <v>15100</v>
      </c>
      <c r="H11192" t="s">
        <v>26838</v>
      </c>
    </row>
    <row r="11193" spans="1:8">
      <c r="A11193" t="s">
        <v>1131</v>
      </c>
      <c r="B11193">
        <f>HYPERLINK("https://android.googlesource.com/platform/cts/+/b95d14358ff33f73d5bfc7e2a232af3a38a6abe6", "b95d14358ff33f73d5bfc7e2a232af3a38a6abe6")</f>
        <v>0</v>
      </c>
      <c r="C11193">
        <f>HYPERLINK("https://android.googlesource.com/platform/cts/+/cea90b5de4bd499d7c25e34c5377d36870f8f2bf", "cea90b5de4bd499d7c25e34c5377d36870f8f2bf")</f>
        <v>0</v>
      </c>
      <c r="D11193" t="s">
        <v>5018</v>
      </c>
      <c r="E11193" t="s">
        <v>6906</v>
      </c>
      <c r="F11193" t="s">
        <v>12897</v>
      </c>
      <c r="G11193" t="s">
        <v>16824</v>
      </c>
      <c r="H11193" t="s">
        <v>26839</v>
      </c>
    </row>
    <row r="11194" spans="1:8">
      <c r="A11194" t="s">
        <v>1136</v>
      </c>
      <c r="B11194">
        <f>HYPERLINK("https://android.googlesource.com/platform/cts/+/1d9207f4426374749088757954df80562efbb254", "1d9207f4426374749088757954df80562efbb254")</f>
        <v>0</v>
      </c>
      <c r="C11194">
        <f>HYPERLINK("https://android.googlesource.com/platform/cts/+/24e4936458d92528733f6692df9233e74e254e0c", "24e4936458d92528733f6692df9233e74e254e0c")</f>
        <v>0</v>
      </c>
      <c r="D11194" t="s">
        <v>5170</v>
      </c>
      <c r="E11194" t="s">
        <v>6911</v>
      </c>
      <c r="F11194" t="s">
        <v>12899</v>
      </c>
      <c r="G11194" t="s">
        <v>17066</v>
      </c>
      <c r="H11194" t="s">
        <v>26866</v>
      </c>
    </row>
    <row r="11195" spans="1:8">
      <c r="A11195" t="s">
        <v>1137</v>
      </c>
      <c r="B11195">
        <f>HYPERLINK("https://android.googlesource.com/platform/cts/+/2349d88103b1f0b8dc515dd3dc0b981226215336", "2349d88103b1f0b8dc515dd3dc0b981226215336")</f>
        <v>0</v>
      </c>
      <c r="C11195">
        <f>HYPERLINK("https://android.googlesource.com/platform/cts/+/39181956664b201d22dc935c9c2c4c57db9233cf", "39181956664b201d22dc935c9c2c4c57db9233cf")</f>
        <v>0</v>
      </c>
      <c r="D11195" t="s">
        <v>5085</v>
      </c>
      <c r="E11195" t="s">
        <v>6912</v>
      </c>
      <c r="F11195" t="s">
        <v>12743</v>
      </c>
      <c r="G11195" t="s">
        <v>16935</v>
      </c>
      <c r="H11195" t="s">
        <v>25781</v>
      </c>
    </row>
    <row r="11196" spans="1:8">
      <c r="A11196" t="s">
        <v>1139</v>
      </c>
      <c r="B11196">
        <f>HYPERLINK("https://android.googlesource.com/platform/cts/+/62ce8e98ee142432879185a1ba9052bf4aa9aa05", "62ce8e98ee142432879185a1ba9052bf4aa9aa05")</f>
        <v>0</v>
      </c>
      <c r="C11196">
        <f>HYPERLINK("https://android.googlesource.com/platform/cts/+/cf4047f982062307852cbec418e937c11473e29f", "cf4047f982062307852cbec418e937c11473e29f")</f>
        <v>0</v>
      </c>
      <c r="D11196" t="s">
        <v>5171</v>
      </c>
      <c r="E11196" t="s">
        <v>6913</v>
      </c>
      <c r="F11196" t="s">
        <v>12900</v>
      </c>
      <c r="G11196" t="s">
        <v>17067</v>
      </c>
      <c r="H11196" t="s">
        <v>26871</v>
      </c>
    </row>
    <row r="11197" spans="1:8">
      <c r="A11197" t="s">
        <v>1141</v>
      </c>
      <c r="B11197">
        <f>HYPERLINK("https://android.googlesource.com/platform/cts/+/4ace7a6f4e116f801c9b8691952a860fe2f193fe", "4ace7a6f4e116f801c9b8691952a860fe2f193fe")</f>
        <v>0</v>
      </c>
      <c r="C11197">
        <f>HYPERLINK("https://android.googlesource.com/platform/cts/+/50a0214fbe219f12405c01fcf8bf7f213996d39e", "50a0214fbe219f12405c01fcf8bf7f213996d39e")</f>
        <v>0</v>
      </c>
      <c r="D11197" t="s">
        <v>5164</v>
      </c>
      <c r="E11197" t="s">
        <v>6914</v>
      </c>
      <c r="F11197" t="s">
        <v>12900</v>
      </c>
      <c r="G11197" t="s">
        <v>17067</v>
      </c>
      <c r="H11197" t="s">
        <v>26871</v>
      </c>
    </row>
    <row r="11198" spans="1:8">
      <c r="A11198" t="s">
        <v>1142</v>
      </c>
      <c r="B11198">
        <f>HYPERLINK("https://android.googlesource.com/platform/cts/+/c84c2fbc89b2208775b9cadba2f6e8f0153a47af", "c84c2fbc89b2208775b9cadba2f6e8f0153a47af")</f>
        <v>0</v>
      </c>
      <c r="C11198">
        <f>HYPERLINK("https://android.googlesource.com/platform/cts/+/c0850410102620f5961facaebc7440ba4499aa4d", "c0850410102620f5961facaebc7440ba4499aa4d")</f>
        <v>0</v>
      </c>
      <c r="D11198" t="s">
        <v>5085</v>
      </c>
      <c r="E11198" t="s">
        <v>6915</v>
      </c>
      <c r="F11198" t="s">
        <v>12901</v>
      </c>
      <c r="G11198" t="s">
        <v>17068</v>
      </c>
      <c r="H11198" t="s">
        <v>26876</v>
      </c>
    </row>
    <row r="11199" spans="1:8">
      <c r="H11199" t="s">
        <v>26877</v>
      </c>
    </row>
    <row r="11200" spans="1:8">
      <c r="H11200" t="s">
        <v>26878</v>
      </c>
    </row>
    <row r="11201" spans="1:8">
      <c r="H11201" t="s">
        <v>26879</v>
      </c>
    </row>
    <row r="11202" spans="1:8">
      <c r="H11202" t="s">
        <v>26880</v>
      </c>
    </row>
    <row r="11203" spans="1:8">
      <c r="H11203" t="s">
        <v>26881</v>
      </c>
    </row>
    <row r="11204" spans="1:8">
      <c r="A11204" t="s">
        <v>1143</v>
      </c>
      <c r="B11204">
        <f>HYPERLINK("https://android.googlesource.com/platform/cts/+/89ab1d4a7a140736aaa8f53ac211ebd8b0a3b4b9", "89ab1d4a7a140736aaa8f53ac211ebd8b0a3b4b9")</f>
        <v>0</v>
      </c>
      <c r="C11204">
        <f>HYPERLINK("https://android.googlesource.com/platform/cts/+/e7114fdc88400aad8480d376a6d95bc1924cd1fc", "e7114fdc88400aad8480d376a6d95bc1924cd1fc")</f>
        <v>0</v>
      </c>
      <c r="D11204" t="s">
        <v>4991</v>
      </c>
      <c r="E11204" t="s">
        <v>6916</v>
      </c>
      <c r="F11204" t="s">
        <v>12902</v>
      </c>
      <c r="G11204" t="s">
        <v>17069</v>
      </c>
      <c r="H11204" t="s">
        <v>26882</v>
      </c>
    </row>
    <row r="11205" spans="1:8">
      <c r="A11205" t="s">
        <v>1144</v>
      </c>
      <c r="B11205">
        <f>HYPERLINK("https://android.googlesource.com/platform/cts/+/9d3de9076844ce66be815cb335026233b6fa4f8b", "9d3de9076844ce66be815cb335026233b6fa4f8b")</f>
        <v>0</v>
      </c>
      <c r="C11205">
        <f>HYPERLINK("https://android.googlesource.com/platform/cts/+/bf1667dd5bd7f6fb01c3a1baec8058cdb1f24f2b", "bf1667dd5bd7f6fb01c3a1baec8058cdb1f24f2b")</f>
        <v>0</v>
      </c>
      <c r="D11205" t="s">
        <v>5167</v>
      </c>
      <c r="E11205" t="s">
        <v>6917</v>
      </c>
      <c r="F11205" t="s">
        <v>12903</v>
      </c>
      <c r="G11205" t="s">
        <v>17064</v>
      </c>
      <c r="H11205" t="s">
        <v>26843</v>
      </c>
    </row>
    <row r="11206" spans="1:8">
      <c r="H11206" t="s">
        <v>26844</v>
      </c>
    </row>
    <row r="11207" spans="1:8">
      <c r="H11207" t="s">
        <v>26845</v>
      </c>
    </row>
    <row r="11208" spans="1:8">
      <c r="H11208" t="s">
        <v>26846</v>
      </c>
    </row>
    <row r="11209" spans="1:8">
      <c r="A11209" t="s">
        <v>1145</v>
      </c>
      <c r="B11209">
        <f>HYPERLINK("https://android.googlesource.com/platform/cts/+/f13cf4947850b3aad778ac8ea4b81477e23d352a", "f13cf4947850b3aad778ac8ea4b81477e23d352a")</f>
        <v>0</v>
      </c>
      <c r="C11209">
        <f>HYPERLINK("https://android.googlesource.com/platform/cts/+/890e3e23c801bdca308698f83b6cf6d50d0b3088", "890e3e23c801bdca308698f83b6cf6d50d0b3088")</f>
        <v>0</v>
      </c>
      <c r="D11209" t="s">
        <v>5137</v>
      </c>
      <c r="E11209" t="s">
        <v>6918</v>
      </c>
      <c r="F11209" t="s">
        <v>12629</v>
      </c>
      <c r="G11209" t="s">
        <v>16838</v>
      </c>
      <c r="H11209" t="s">
        <v>26876</v>
      </c>
    </row>
    <row r="11210" spans="1:8">
      <c r="H11210" t="s">
        <v>26883</v>
      </c>
    </row>
    <row r="11211" spans="1:8">
      <c r="H11211" t="s">
        <v>26878</v>
      </c>
    </row>
    <row r="11212" spans="1:8">
      <c r="H11212" t="s">
        <v>26879</v>
      </c>
    </row>
    <row r="11213" spans="1:8">
      <c r="H11213" t="s">
        <v>26880</v>
      </c>
    </row>
    <row r="11214" spans="1:8">
      <c r="H11214" t="s">
        <v>26881</v>
      </c>
    </row>
    <row r="11215" spans="1:8">
      <c r="A11215" t="s">
        <v>1146</v>
      </c>
      <c r="B11215">
        <f>HYPERLINK("https://android.googlesource.com/platform/cts/+/a909221fee3cf9192c7a9a656d736a64932ca150", "a909221fee3cf9192c7a9a656d736a64932ca150")</f>
        <v>0</v>
      </c>
      <c r="C11215">
        <f>HYPERLINK("https://android.googlesource.com/platform/cts/+/57b8deb9d49b902da3e69dd3b2fed9943ebe7e2c", "57b8deb9d49b902da3e69dd3b2fed9943ebe7e2c")</f>
        <v>0</v>
      </c>
      <c r="D11215" t="s">
        <v>5126</v>
      </c>
      <c r="E11215" t="s">
        <v>6919</v>
      </c>
      <c r="F11215" t="s">
        <v>12744</v>
      </c>
      <c r="G11215" t="s">
        <v>16936</v>
      </c>
      <c r="H11215" t="s">
        <v>26891</v>
      </c>
    </row>
    <row r="11216" spans="1:8">
      <c r="H11216" t="s">
        <v>19195</v>
      </c>
    </row>
    <row r="11217" spans="1:8">
      <c r="H11217" t="s">
        <v>26892</v>
      </c>
    </row>
    <row r="11218" spans="1:8">
      <c r="H11218" t="s">
        <v>26893</v>
      </c>
    </row>
    <row r="11219" spans="1:8">
      <c r="H11219" t="s">
        <v>26894</v>
      </c>
    </row>
    <row r="11220" spans="1:8">
      <c r="H11220" t="s">
        <v>26895</v>
      </c>
    </row>
    <row r="11221" spans="1:8">
      <c r="H11221" t="s">
        <v>26896</v>
      </c>
    </row>
    <row r="11222" spans="1:8">
      <c r="H11222" t="s">
        <v>26897</v>
      </c>
    </row>
    <row r="11223" spans="1:8">
      <c r="H11223" t="s">
        <v>26898</v>
      </c>
    </row>
    <row r="11224" spans="1:8">
      <c r="H11224" t="s">
        <v>26899</v>
      </c>
    </row>
    <row r="11225" spans="1:8">
      <c r="H11225" t="s">
        <v>26900</v>
      </c>
    </row>
    <row r="11226" spans="1:8">
      <c r="H11226" t="s">
        <v>26901</v>
      </c>
    </row>
    <row r="11227" spans="1:8">
      <c r="H11227" t="s">
        <v>26902</v>
      </c>
    </row>
    <row r="11228" spans="1:8">
      <c r="H11228" t="s">
        <v>26903</v>
      </c>
    </row>
    <row r="11229" spans="1:8">
      <c r="H11229" t="s">
        <v>26904</v>
      </c>
    </row>
    <row r="11230" spans="1:8">
      <c r="A11230" t="s">
        <v>1147</v>
      </c>
      <c r="B11230">
        <f>HYPERLINK("https://android.googlesource.com/platform/cts/+/7f98b2f76a1f3918cd7a36c5a5ac175ce033daa7", "7f98b2f76a1f3918cd7a36c5a5ac175ce033daa7")</f>
        <v>0</v>
      </c>
      <c r="C11230">
        <f>HYPERLINK("https://android.googlesource.com/platform/cts/+/27560ecc239d041cf5c6d55416199d422f9488af", "27560ecc239d041cf5c6d55416199d422f9488af")</f>
        <v>0</v>
      </c>
      <c r="D11230" t="s">
        <v>5000</v>
      </c>
      <c r="E11230" t="s">
        <v>6920</v>
      </c>
      <c r="F11230" t="s">
        <v>10699</v>
      </c>
      <c r="G11230" t="s">
        <v>15099</v>
      </c>
      <c r="H11230" t="s">
        <v>26834</v>
      </c>
    </row>
    <row r="11231" spans="1:8">
      <c r="A11231" t="s">
        <v>1149</v>
      </c>
      <c r="B11231">
        <f>HYPERLINK("https://android.googlesource.com/platform/cts/+/d105427337086371c08b7f89f3e88c7a8f425dd5", "d105427337086371c08b7f89f3e88c7a8f425dd5")</f>
        <v>0</v>
      </c>
      <c r="C11231">
        <f>HYPERLINK("https://android.googlesource.com/platform/cts/+/023a728b2d838e61fb49c255f251b7e0b57eeb26", "023a728b2d838e61fb49c255f251b7e0b57eeb26")</f>
        <v>0</v>
      </c>
      <c r="D11231" t="s">
        <v>5172</v>
      </c>
      <c r="E11231" t="s">
        <v>6922</v>
      </c>
      <c r="F11231" t="s">
        <v>12176</v>
      </c>
      <c r="G11231" t="s">
        <v>16415</v>
      </c>
      <c r="H11231" t="s">
        <v>26906</v>
      </c>
    </row>
    <row r="11232" spans="1:8">
      <c r="H11232" t="s">
        <v>26907</v>
      </c>
    </row>
    <row r="11233" spans="1:8">
      <c r="A11233" t="s">
        <v>1150</v>
      </c>
      <c r="B11233">
        <f>HYPERLINK("https://android.googlesource.com/platform/cts/+/4d1c7f14f1ca857c554bcb2eb94823af7765a43f", "4d1c7f14f1ca857c554bcb2eb94823af7765a43f")</f>
        <v>0</v>
      </c>
      <c r="C11233">
        <f>HYPERLINK("https://android.googlesource.com/platform/cts/+/21464c8370f1f19ea935bb9046414f05706fbd0c", "21464c8370f1f19ea935bb9046414f05706fbd0c")</f>
        <v>0</v>
      </c>
      <c r="D11233" t="s">
        <v>5000</v>
      </c>
      <c r="E11233" t="s">
        <v>6923</v>
      </c>
      <c r="F11233" t="s">
        <v>10699</v>
      </c>
      <c r="G11233" t="s">
        <v>15099</v>
      </c>
      <c r="H11233" t="s">
        <v>26835</v>
      </c>
    </row>
    <row r="11234" spans="1:8">
      <c r="A11234" t="s">
        <v>1151</v>
      </c>
      <c r="B11234">
        <f>HYPERLINK("https://android.googlesource.com/platform/cts/+/56823a3629575d8b12cda6f4e60ab9d80c735ae0", "56823a3629575d8b12cda6f4e60ab9d80c735ae0")</f>
        <v>0</v>
      </c>
      <c r="C11234">
        <f>HYPERLINK("https://android.googlesource.com/platform/cts/+/4a2e4fad32fffc6f4a82c5008b46758a929cd5bd", "4a2e4fad32fffc6f4a82c5008b46758a929cd5bd")</f>
        <v>0</v>
      </c>
      <c r="D11234" t="s">
        <v>5030</v>
      </c>
      <c r="E11234" t="s">
        <v>6924</v>
      </c>
      <c r="F11234" t="s">
        <v>12332</v>
      </c>
      <c r="G11234" t="s">
        <v>16560</v>
      </c>
      <c r="H11234" t="s">
        <v>26908</v>
      </c>
    </row>
    <row r="11235" spans="1:8">
      <c r="A11235" t="s">
        <v>1152</v>
      </c>
      <c r="B11235">
        <f>HYPERLINK("https://android.googlesource.com/platform/cts/+/15936e7aa4b1fa198a38e9b72ad5d727d28abf0e", "15936e7aa4b1fa198a38e9b72ad5d727d28abf0e")</f>
        <v>0</v>
      </c>
      <c r="C11235">
        <f>HYPERLINK("https://android.googlesource.com/platform/cts/+/a033493d99f21e504b4cd170ac79991a6df053a2", "a033493d99f21e504b4cd170ac79991a6df053a2")</f>
        <v>0</v>
      </c>
      <c r="D11235" t="s">
        <v>5117</v>
      </c>
      <c r="E11235" t="s">
        <v>6925</v>
      </c>
      <c r="F11235" t="s">
        <v>12905</v>
      </c>
      <c r="G11235" t="s">
        <v>17071</v>
      </c>
      <c r="H11235" t="s">
        <v>26911</v>
      </c>
    </row>
    <row r="11236" spans="1:8">
      <c r="H11236" t="s">
        <v>26912</v>
      </c>
    </row>
    <row r="11237" spans="1:8">
      <c r="H11237" t="s">
        <v>26913</v>
      </c>
    </row>
    <row r="11238" spans="1:8">
      <c r="H11238" t="s">
        <v>26914</v>
      </c>
    </row>
    <row r="11239" spans="1:8">
      <c r="H11239" t="s">
        <v>26915</v>
      </c>
    </row>
    <row r="11240" spans="1:8">
      <c r="H11240" t="s">
        <v>26916</v>
      </c>
    </row>
    <row r="11241" spans="1:8">
      <c r="H11241" t="s">
        <v>26917</v>
      </c>
    </row>
    <row r="11242" spans="1:8">
      <c r="H11242" t="s">
        <v>26918</v>
      </c>
    </row>
    <row r="11243" spans="1:8">
      <c r="H11243" t="s">
        <v>26919</v>
      </c>
    </row>
    <row r="11244" spans="1:8">
      <c r="H11244" t="s">
        <v>26920</v>
      </c>
    </row>
    <row r="11245" spans="1:8">
      <c r="H11245" t="s">
        <v>26921</v>
      </c>
    </row>
    <row r="11246" spans="1:8">
      <c r="H11246" t="s">
        <v>26922</v>
      </c>
    </row>
    <row r="11247" spans="1:8">
      <c r="H11247" t="s">
        <v>26927</v>
      </c>
    </row>
    <row r="11248" spans="1:8">
      <c r="H11248" t="s">
        <v>26928</v>
      </c>
    </row>
    <row r="11249" spans="8:8">
      <c r="H11249" t="s">
        <v>26931</v>
      </c>
    </row>
    <row r="11250" spans="8:8">
      <c r="H11250" t="s">
        <v>26932</v>
      </c>
    </row>
    <row r="11251" spans="8:8">
      <c r="H11251" t="s">
        <v>26933</v>
      </c>
    </row>
    <row r="11252" spans="8:8">
      <c r="H11252" t="s">
        <v>26934</v>
      </c>
    </row>
    <row r="11253" spans="8:8">
      <c r="H11253" t="s">
        <v>26935</v>
      </c>
    </row>
    <row r="11254" spans="8:8">
      <c r="H11254" t="s">
        <v>26936</v>
      </c>
    </row>
    <row r="11255" spans="8:8">
      <c r="H11255" t="s">
        <v>26937</v>
      </c>
    </row>
    <row r="11256" spans="8:8">
      <c r="H11256" t="s">
        <v>26938</v>
      </c>
    </row>
    <row r="11257" spans="8:8">
      <c r="H11257" t="s">
        <v>26939</v>
      </c>
    </row>
    <row r="11258" spans="8:8">
      <c r="H11258" t="s">
        <v>26940</v>
      </c>
    </row>
    <row r="11259" spans="8:8">
      <c r="H11259" t="s">
        <v>26941</v>
      </c>
    </row>
    <row r="11260" spans="8:8">
      <c r="H11260" t="s">
        <v>26942</v>
      </c>
    </row>
    <row r="11261" spans="8:8">
      <c r="H11261" t="s">
        <v>26943</v>
      </c>
    </row>
    <row r="11262" spans="8:8">
      <c r="H11262" t="s">
        <v>26944</v>
      </c>
    </row>
    <row r="11263" spans="8:8">
      <c r="H11263" t="s">
        <v>26945</v>
      </c>
    </row>
    <row r="11264" spans="8:8">
      <c r="H11264" t="s">
        <v>26946</v>
      </c>
    </row>
    <row r="11265" spans="1:8">
      <c r="H11265" t="s">
        <v>26947</v>
      </c>
    </row>
    <row r="11266" spans="1:8">
      <c r="A11266" t="s">
        <v>1153</v>
      </c>
      <c r="B11266">
        <f>HYPERLINK("https://android.googlesource.com/platform/cts/+/8cf1a0f0257c2528c54c002ef4733d5e1362d549", "8cf1a0f0257c2528c54c002ef4733d5e1362d549")</f>
        <v>0</v>
      </c>
      <c r="C11266">
        <f>HYPERLINK("https://android.googlesource.com/platform/cts/+/44c8e95cf7ee3c4ea8c4b6b60bf14ce27bad75df", "44c8e95cf7ee3c4ea8c4b6b60bf14ce27bad75df")</f>
        <v>0</v>
      </c>
      <c r="D11266" t="s">
        <v>5173</v>
      </c>
      <c r="E11266" t="s">
        <v>6926</v>
      </c>
      <c r="F11266" t="s">
        <v>12717</v>
      </c>
      <c r="G11266" t="s">
        <v>16917</v>
      </c>
      <c r="H11266" t="s">
        <v>26948</v>
      </c>
    </row>
    <row r="11267" spans="1:8">
      <c r="A11267" t="s">
        <v>1157</v>
      </c>
      <c r="B11267">
        <f>HYPERLINK("https://android.googlesource.com/platform/cts/+/86394041978113e596212eae6da62642dfc91c71", "86394041978113e596212eae6da62642dfc91c71")</f>
        <v>0</v>
      </c>
      <c r="C11267">
        <f>HYPERLINK("https://android.googlesource.com/platform/cts/+/8cd88929b2a726ea27eaae32d9baab545c626143", "8cd88929b2a726ea27eaae32d9baab545c626143")</f>
        <v>0</v>
      </c>
      <c r="D11267" t="s">
        <v>5115</v>
      </c>
      <c r="E11267" t="s">
        <v>6930</v>
      </c>
      <c r="F11267" t="s">
        <v>12662</v>
      </c>
      <c r="G11267" t="s">
        <v>16867</v>
      </c>
      <c r="H11267" t="s">
        <v>26967</v>
      </c>
    </row>
    <row r="11268" spans="1:8">
      <c r="A11268" t="s">
        <v>1158</v>
      </c>
      <c r="B11268">
        <f>HYPERLINK("https://android.googlesource.com/platform/cts/+/cfd9f2f6ae34f7cd2f4a4ee91afc67b558c75efa", "cfd9f2f6ae34f7cd2f4a4ee91afc67b558c75efa")</f>
        <v>0</v>
      </c>
      <c r="C11268">
        <f>HYPERLINK("https://android.googlesource.com/platform/cts/+/c80ea7b46c845c8ea41b5bf186d7c42b7fb32851", "c80ea7b46c845c8ea41b5bf186d7c42b7fb32851")</f>
        <v>0</v>
      </c>
      <c r="D11268" t="s">
        <v>5174</v>
      </c>
      <c r="E11268" t="s">
        <v>6931</v>
      </c>
      <c r="F11268" t="s">
        <v>12909</v>
      </c>
      <c r="G11268" t="s">
        <v>17075</v>
      </c>
      <c r="H11268" t="s">
        <v>26968</v>
      </c>
    </row>
    <row r="11269" spans="1:8">
      <c r="A11269" t="s">
        <v>1161</v>
      </c>
      <c r="B11269">
        <f>HYPERLINK("https://android.googlesource.com/platform/cts/+/98d000ba45f2a9485e391b8a8abff1d891ea4dbb", "98d000ba45f2a9485e391b8a8abff1d891ea4dbb")</f>
        <v>0</v>
      </c>
      <c r="C11269">
        <f>HYPERLINK("https://android.googlesource.com/platform/cts/+/938e01e2ecbc870a6de7296ea3cbb1550404439d", "938e01e2ecbc870a6de7296ea3cbb1550404439d")</f>
        <v>0</v>
      </c>
      <c r="D11269" t="s">
        <v>5143</v>
      </c>
      <c r="E11269" t="s">
        <v>6934</v>
      </c>
      <c r="F11269" t="s">
        <v>10794</v>
      </c>
      <c r="G11269" t="s">
        <v>15189</v>
      </c>
      <c r="H11269" t="s">
        <v>26978</v>
      </c>
    </row>
    <row r="11270" spans="1:8">
      <c r="H11270" t="s">
        <v>26979</v>
      </c>
    </row>
    <row r="11271" spans="1:8">
      <c r="H11271" t="s">
        <v>26980</v>
      </c>
    </row>
    <row r="11272" spans="1:8">
      <c r="A11272" t="s">
        <v>1164</v>
      </c>
      <c r="B11272">
        <f>HYPERLINK("https://android.googlesource.com/platform/cts/+/de5aea800f94d6709489721d38ec10851f6ce79a", "de5aea800f94d6709489721d38ec10851f6ce79a")</f>
        <v>0</v>
      </c>
      <c r="C11272">
        <f>HYPERLINK("https://android.googlesource.com/platform/cts/+/5ef048c114075fcda76190a29f3571ac228465a6", "5ef048c114075fcda76190a29f3571ac228465a6")</f>
        <v>0</v>
      </c>
      <c r="D11272" t="s">
        <v>5018</v>
      </c>
      <c r="E11272" t="s">
        <v>6937</v>
      </c>
      <c r="F11272" t="s">
        <v>12787</v>
      </c>
      <c r="G11272" t="s">
        <v>16971</v>
      </c>
      <c r="H11272" t="s">
        <v>27000</v>
      </c>
    </row>
    <row r="11273" spans="1:8">
      <c r="A11273" t="s">
        <v>1165</v>
      </c>
      <c r="B11273">
        <f>HYPERLINK("https://android.googlesource.com/platform/cts/+/4d48fa2917d59a56c65d54e1931e6b90545dd4a1", "4d48fa2917d59a56c65d54e1931e6b90545dd4a1")</f>
        <v>0</v>
      </c>
      <c r="C11273">
        <f>HYPERLINK("https://android.googlesource.com/platform/cts/+/10f180031a50c7cfe09fdb6460705ce303d97211", "10f180031a50c7cfe09fdb6460705ce303d97211")</f>
        <v>0</v>
      </c>
      <c r="D11273" t="s">
        <v>5030</v>
      </c>
      <c r="E11273" t="s">
        <v>6938</v>
      </c>
      <c r="F11273" t="s">
        <v>12656</v>
      </c>
      <c r="G11273" t="s">
        <v>16861</v>
      </c>
      <c r="H11273" t="s">
        <v>27001</v>
      </c>
    </row>
    <row r="11274" spans="1:8">
      <c r="H11274" t="s">
        <v>27002</v>
      </c>
    </row>
    <row r="11275" spans="1:8">
      <c r="H11275" t="s">
        <v>27003</v>
      </c>
    </row>
    <row r="11276" spans="1:8">
      <c r="H11276" t="s">
        <v>27004</v>
      </c>
    </row>
    <row r="11277" spans="1:8">
      <c r="H11277" t="s">
        <v>27005</v>
      </c>
    </row>
    <row r="11278" spans="1:8">
      <c r="H11278" t="s">
        <v>27006</v>
      </c>
    </row>
    <row r="11279" spans="1:8">
      <c r="H11279" t="s">
        <v>27007</v>
      </c>
    </row>
    <row r="11280" spans="1:8">
      <c r="H11280" t="s">
        <v>27008</v>
      </c>
    </row>
    <row r="11281" spans="8:8">
      <c r="H11281" t="s">
        <v>27009</v>
      </c>
    </row>
    <row r="11282" spans="8:8">
      <c r="H11282" t="s">
        <v>27010</v>
      </c>
    </row>
    <row r="11283" spans="8:8">
      <c r="H11283" t="s">
        <v>27011</v>
      </c>
    </row>
    <row r="11284" spans="8:8">
      <c r="H11284" t="s">
        <v>27012</v>
      </c>
    </row>
    <row r="11285" spans="8:8">
      <c r="H11285" t="s">
        <v>27013</v>
      </c>
    </row>
    <row r="11286" spans="8:8">
      <c r="H11286" t="s">
        <v>27014</v>
      </c>
    </row>
    <row r="11287" spans="8:8">
      <c r="H11287" t="s">
        <v>27015</v>
      </c>
    </row>
    <row r="11288" spans="8:8">
      <c r="H11288" t="s">
        <v>27016</v>
      </c>
    </row>
    <row r="11289" spans="8:8">
      <c r="H11289" t="s">
        <v>27017</v>
      </c>
    </row>
    <row r="11290" spans="8:8">
      <c r="H11290" t="s">
        <v>27018</v>
      </c>
    </row>
    <row r="11291" spans="8:8">
      <c r="H11291" t="s">
        <v>27019</v>
      </c>
    </row>
    <row r="11292" spans="8:8">
      <c r="H11292" t="s">
        <v>27020</v>
      </c>
    </row>
    <row r="11293" spans="8:8">
      <c r="H11293" t="s">
        <v>27021</v>
      </c>
    </row>
    <row r="11294" spans="8:8">
      <c r="H11294" t="s">
        <v>27022</v>
      </c>
    </row>
    <row r="11295" spans="8:8">
      <c r="H11295" t="s">
        <v>27023</v>
      </c>
    </row>
    <row r="11296" spans="8:8">
      <c r="H11296" t="s">
        <v>27024</v>
      </c>
    </row>
    <row r="11297" spans="8:8">
      <c r="H11297" t="s">
        <v>27025</v>
      </c>
    </row>
    <row r="11298" spans="8:8">
      <c r="H11298" t="s">
        <v>27026</v>
      </c>
    </row>
    <row r="11299" spans="8:8">
      <c r="H11299" t="s">
        <v>27027</v>
      </c>
    </row>
    <row r="11300" spans="8:8">
      <c r="H11300" t="s">
        <v>27028</v>
      </c>
    </row>
    <row r="11301" spans="8:8">
      <c r="H11301" t="s">
        <v>27029</v>
      </c>
    </row>
    <row r="11302" spans="8:8">
      <c r="H11302" t="s">
        <v>27030</v>
      </c>
    </row>
    <row r="11303" spans="8:8">
      <c r="H11303" t="s">
        <v>27031</v>
      </c>
    </row>
    <row r="11304" spans="8:8">
      <c r="H11304" t="s">
        <v>27032</v>
      </c>
    </row>
    <row r="11305" spans="8:8">
      <c r="H11305" t="s">
        <v>27033</v>
      </c>
    </row>
    <row r="11306" spans="8:8">
      <c r="H11306" t="s">
        <v>27034</v>
      </c>
    </row>
    <row r="11307" spans="8:8">
      <c r="H11307" t="s">
        <v>27035</v>
      </c>
    </row>
    <row r="11308" spans="8:8">
      <c r="H11308" t="s">
        <v>27036</v>
      </c>
    </row>
    <row r="11309" spans="8:8">
      <c r="H11309" t="s">
        <v>27037</v>
      </c>
    </row>
    <row r="11310" spans="8:8">
      <c r="H11310" t="s">
        <v>27038</v>
      </c>
    </row>
    <row r="11311" spans="8:8">
      <c r="H11311" t="s">
        <v>27039</v>
      </c>
    </row>
    <row r="11312" spans="8:8">
      <c r="H11312" t="s">
        <v>27040</v>
      </c>
    </row>
    <row r="11313" spans="6:8">
      <c r="H11313" t="s">
        <v>27041</v>
      </c>
    </row>
    <row r="11314" spans="6:8">
      <c r="H11314" t="s">
        <v>27042</v>
      </c>
    </row>
    <row r="11315" spans="6:8">
      <c r="H11315" t="s">
        <v>27043</v>
      </c>
    </row>
    <row r="11316" spans="6:8">
      <c r="H11316" t="s">
        <v>27044</v>
      </c>
    </row>
    <row r="11317" spans="6:8">
      <c r="H11317" t="s">
        <v>27045</v>
      </c>
    </row>
    <row r="11318" spans="6:8">
      <c r="H11318" t="s">
        <v>27046</v>
      </c>
    </row>
    <row r="11319" spans="6:8">
      <c r="F11319" t="s">
        <v>12782</v>
      </c>
      <c r="G11319" t="s">
        <v>16420</v>
      </c>
      <c r="H11319" t="s">
        <v>21301</v>
      </c>
    </row>
    <row r="11320" spans="6:8">
      <c r="H11320" t="s">
        <v>21302</v>
      </c>
    </row>
    <row r="11321" spans="6:8">
      <c r="H11321" t="s">
        <v>21303</v>
      </c>
    </row>
    <row r="11322" spans="6:8">
      <c r="H11322" t="s">
        <v>21304</v>
      </c>
    </row>
    <row r="11323" spans="6:8">
      <c r="H11323" t="s">
        <v>21305</v>
      </c>
    </row>
    <row r="11324" spans="6:8">
      <c r="H11324" t="s">
        <v>27047</v>
      </c>
    </row>
    <row r="11325" spans="6:8">
      <c r="H11325" t="s">
        <v>27048</v>
      </c>
    </row>
    <row r="11326" spans="6:8">
      <c r="H11326" t="s">
        <v>27049</v>
      </c>
    </row>
    <row r="11327" spans="6:8">
      <c r="H11327" t="s">
        <v>27050</v>
      </c>
    </row>
    <row r="11328" spans="6:8">
      <c r="H11328" t="s">
        <v>27051</v>
      </c>
    </row>
    <row r="11329" spans="8:8">
      <c r="H11329" t="s">
        <v>27052</v>
      </c>
    </row>
    <row r="11330" spans="8:8">
      <c r="H11330" t="s">
        <v>27053</v>
      </c>
    </row>
    <row r="11331" spans="8:8">
      <c r="H11331" t="s">
        <v>27054</v>
      </c>
    </row>
    <row r="11332" spans="8:8">
      <c r="H11332" t="s">
        <v>27055</v>
      </c>
    </row>
    <row r="11333" spans="8:8">
      <c r="H11333" t="s">
        <v>27056</v>
      </c>
    </row>
    <row r="11334" spans="8:8">
      <c r="H11334" t="s">
        <v>27057</v>
      </c>
    </row>
    <row r="11335" spans="8:8">
      <c r="H11335" t="s">
        <v>27058</v>
      </c>
    </row>
    <row r="11336" spans="8:8">
      <c r="H11336" t="s">
        <v>27059</v>
      </c>
    </row>
    <row r="11337" spans="8:8">
      <c r="H11337" t="s">
        <v>27060</v>
      </c>
    </row>
    <row r="11338" spans="8:8">
      <c r="H11338" t="s">
        <v>27061</v>
      </c>
    </row>
    <row r="11339" spans="8:8">
      <c r="H11339" t="s">
        <v>27062</v>
      </c>
    </row>
    <row r="11340" spans="8:8">
      <c r="H11340" t="s">
        <v>27037</v>
      </c>
    </row>
    <row r="11341" spans="8:8">
      <c r="H11341" t="s">
        <v>27038</v>
      </c>
    </row>
    <row r="11342" spans="8:8">
      <c r="H11342" t="s">
        <v>27039</v>
      </c>
    </row>
    <row r="11343" spans="8:8">
      <c r="H11343" t="s">
        <v>27040</v>
      </c>
    </row>
    <row r="11344" spans="8:8">
      <c r="H11344" t="s">
        <v>27063</v>
      </c>
    </row>
    <row r="11345" spans="8:8">
      <c r="H11345" t="s">
        <v>27064</v>
      </c>
    </row>
    <row r="11346" spans="8:8">
      <c r="H11346" t="s">
        <v>27065</v>
      </c>
    </row>
    <row r="11347" spans="8:8">
      <c r="H11347" t="s">
        <v>27066</v>
      </c>
    </row>
    <row r="11348" spans="8:8">
      <c r="H11348" t="s">
        <v>27067</v>
      </c>
    </row>
    <row r="11349" spans="8:8">
      <c r="H11349" t="s">
        <v>27068</v>
      </c>
    </row>
    <row r="11350" spans="8:8">
      <c r="H11350" t="s">
        <v>27069</v>
      </c>
    </row>
    <row r="11351" spans="8:8">
      <c r="H11351" t="s">
        <v>27070</v>
      </c>
    </row>
    <row r="11352" spans="8:8">
      <c r="H11352" t="s">
        <v>27071</v>
      </c>
    </row>
    <row r="11353" spans="8:8">
      <c r="H11353" t="s">
        <v>27072</v>
      </c>
    </row>
    <row r="11354" spans="8:8">
      <c r="H11354" t="s">
        <v>27073</v>
      </c>
    </row>
    <row r="11355" spans="8:8">
      <c r="H11355" t="s">
        <v>27074</v>
      </c>
    </row>
    <row r="11356" spans="8:8">
      <c r="H11356" t="s">
        <v>27075</v>
      </c>
    </row>
    <row r="11357" spans="8:8">
      <c r="H11357" t="s">
        <v>27076</v>
      </c>
    </row>
    <row r="11358" spans="8:8">
      <c r="H11358" t="s">
        <v>27077</v>
      </c>
    </row>
    <row r="11359" spans="8:8">
      <c r="H11359" t="s">
        <v>27078</v>
      </c>
    </row>
    <row r="11360" spans="8:8">
      <c r="H11360" t="s">
        <v>27079</v>
      </c>
    </row>
    <row r="11361" spans="1:8">
      <c r="H11361" t="s">
        <v>27080</v>
      </c>
    </row>
    <row r="11362" spans="1:8">
      <c r="A11362" t="s">
        <v>1166</v>
      </c>
      <c r="B11362">
        <f>HYPERLINK("https://android.googlesource.com/platform/cts/+/163676a464f8e1063b3729db7442be05e6474370", "163676a464f8e1063b3729db7442be05e6474370")</f>
        <v>0</v>
      </c>
      <c r="C11362">
        <f>HYPERLINK("https://android.googlesource.com/platform/cts/+/fe47a6a1de0fbc1a7826ea575507d5d182d735bd", "fe47a6a1de0fbc1a7826ea575507d5d182d735bd")</f>
        <v>0</v>
      </c>
      <c r="D11362" t="s">
        <v>5030</v>
      </c>
      <c r="E11362" t="s">
        <v>6939</v>
      </c>
      <c r="F11362" t="s">
        <v>12176</v>
      </c>
      <c r="G11362" t="s">
        <v>16415</v>
      </c>
      <c r="H11362" t="s">
        <v>27085</v>
      </c>
    </row>
    <row r="11363" spans="1:8">
      <c r="A11363" t="s">
        <v>1166</v>
      </c>
      <c r="B11363">
        <f>HYPERLINK("https://android.googlesource.com/platform/cts/+/aff93003f17a39087f011615d5ac2828a78716e7", "aff93003f17a39087f011615d5ac2828a78716e7")</f>
        <v>0</v>
      </c>
      <c r="C11363">
        <f>HYPERLINK("https://android.googlesource.com/platform/cts/+/06190f46835af928293eff2ed529c5490fee45cb", "06190f46835af928293eff2ed529c5490fee45cb")</f>
        <v>0</v>
      </c>
      <c r="D11363" t="s">
        <v>5030</v>
      </c>
      <c r="E11363" t="s">
        <v>6940</v>
      </c>
      <c r="F11363" t="s">
        <v>12176</v>
      </c>
      <c r="G11363" t="s">
        <v>16415</v>
      </c>
      <c r="H11363" t="s">
        <v>27086</v>
      </c>
    </row>
    <row r="11364" spans="1:8">
      <c r="A11364" t="s">
        <v>1167</v>
      </c>
      <c r="B11364">
        <f>HYPERLINK("https://android.googlesource.com/platform/cts/+/0dc0e1cdaa4aa164214a1be8a86107e7311bd597", "0dc0e1cdaa4aa164214a1be8a86107e7311bd597")</f>
        <v>0</v>
      </c>
      <c r="C11364">
        <f>HYPERLINK("https://android.googlesource.com/platform/cts/+/178278260ae4a970e5694a9863d169b4dfc37345", "178278260ae4a970e5694a9863d169b4dfc37345")</f>
        <v>0</v>
      </c>
      <c r="D11364" t="s">
        <v>5030</v>
      </c>
      <c r="E11364" t="s">
        <v>6941</v>
      </c>
      <c r="F11364" t="s">
        <v>12176</v>
      </c>
      <c r="G11364" t="s">
        <v>16415</v>
      </c>
      <c r="H11364" t="s">
        <v>27087</v>
      </c>
    </row>
    <row r="11365" spans="1:8">
      <c r="F11365" t="s">
        <v>12656</v>
      </c>
      <c r="G11365" t="s">
        <v>16861</v>
      </c>
      <c r="H11365" t="s">
        <v>27088</v>
      </c>
    </row>
    <row r="11366" spans="1:8">
      <c r="H11366" t="s">
        <v>27089</v>
      </c>
    </row>
    <row r="11367" spans="1:8">
      <c r="H11367" t="s">
        <v>27090</v>
      </c>
    </row>
    <row r="11368" spans="1:8">
      <c r="H11368" t="s">
        <v>27091</v>
      </c>
    </row>
    <row r="11369" spans="1:8">
      <c r="A11369" t="s">
        <v>1168</v>
      </c>
      <c r="B11369">
        <f>HYPERLINK("https://android.googlesource.com/platform/cts/+/99bd2de15b70c988973157fdbbeb8bdf58fe36fd", "99bd2de15b70c988973157fdbbeb8bdf58fe36fd")</f>
        <v>0</v>
      </c>
      <c r="C11369">
        <f>HYPERLINK("https://android.googlesource.com/platform/cts/+/6d97e3759cd1e5dc8759cbfd0c44d2382bcb88b4", "6d97e3759cd1e5dc8759cbfd0c44d2382bcb88b4")</f>
        <v>0</v>
      </c>
      <c r="D11369" t="s">
        <v>5030</v>
      </c>
      <c r="E11369" t="s">
        <v>6942</v>
      </c>
      <c r="F11369" t="s">
        <v>12176</v>
      </c>
      <c r="G11369" t="s">
        <v>16415</v>
      </c>
      <c r="H11369" t="s">
        <v>27092</v>
      </c>
    </row>
    <row r="11370" spans="1:8">
      <c r="F11370" t="s">
        <v>12656</v>
      </c>
      <c r="G11370" t="s">
        <v>16861</v>
      </c>
      <c r="H11370" t="s">
        <v>27093</v>
      </c>
    </row>
    <row r="11371" spans="1:8">
      <c r="H11371" t="s">
        <v>27094</v>
      </c>
    </row>
    <row r="11372" spans="1:8">
      <c r="H11372" t="s">
        <v>27095</v>
      </c>
    </row>
    <row r="11373" spans="1:8">
      <c r="H11373" t="s">
        <v>27096</v>
      </c>
    </row>
    <row r="11374" spans="1:8">
      <c r="H11374" t="s">
        <v>27097</v>
      </c>
    </row>
    <row r="11375" spans="1:8">
      <c r="H11375" t="s">
        <v>27098</v>
      </c>
    </row>
    <row r="11376" spans="1:8">
      <c r="A11376" t="s">
        <v>1169</v>
      </c>
      <c r="B11376">
        <f>HYPERLINK("https://android.googlesource.com/platform/cts/+/341ef0ed1753b304dcea0050a3a0ebda93f5df1f", "341ef0ed1753b304dcea0050a3a0ebda93f5df1f")</f>
        <v>0</v>
      </c>
      <c r="C11376">
        <f>HYPERLINK("https://android.googlesource.com/platform/cts/+/ef06d8de0e087c60de60ee53b756cf5078fb4a5c", "ef06d8de0e087c60de60ee53b756cf5078fb4a5c")</f>
        <v>0</v>
      </c>
      <c r="D11376" t="s">
        <v>5030</v>
      </c>
      <c r="E11376" t="s">
        <v>6943</v>
      </c>
      <c r="F11376" t="s">
        <v>12176</v>
      </c>
      <c r="G11376" t="s">
        <v>16415</v>
      </c>
      <c r="H11376" t="s">
        <v>27099</v>
      </c>
    </row>
    <row r="11377" spans="1:8">
      <c r="A11377" t="s">
        <v>1170</v>
      </c>
      <c r="B11377">
        <f>HYPERLINK("https://android.googlesource.com/platform/cts/+/354a3744faf4006b2d997ca71ffedef1da823c5e", "354a3744faf4006b2d997ca71ffedef1da823c5e")</f>
        <v>0</v>
      </c>
      <c r="C11377">
        <f>HYPERLINK("https://android.googlesource.com/platform/cts/+/a8d728bc7aca7aa34b192e0cbe10b96a38e8217c", "a8d728bc7aca7aa34b192e0cbe10b96a38e8217c")</f>
        <v>0</v>
      </c>
      <c r="D11377" t="s">
        <v>5143</v>
      </c>
      <c r="E11377" t="s">
        <v>6944</v>
      </c>
      <c r="F11377" t="s">
        <v>10794</v>
      </c>
      <c r="G11377" t="s">
        <v>15189</v>
      </c>
      <c r="H11377" t="s">
        <v>27100</v>
      </c>
    </row>
    <row r="11378" spans="1:8">
      <c r="H11378" t="s">
        <v>27101</v>
      </c>
    </row>
    <row r="11379" spans="1:8">
      <c r="A11379" t="s">
        <v>1172</v>
      </c>
      <c r="B11379">
        <f>HYPERLINK("https://android.googlesource.com/platform/cts/+/f520f93dc4f0fb9e78e2d0af54c1fb9d1d16b8e1", "f520f93dc4f0fb9e78e2d0af54c1fb9d1d16b8e1")</f>
        <v>0</v>
      </c>
      <c r="C11379">
        <f>HYPERLINK("https://android.googlesource.com/platform/cts/+/46e06084c56019021aa7d6559596f5fab65b9a4d", "46e06084c56019021aa7d6559596f5fab65b9a4d")</f>
        <v>0</v>
      </c>
      <c r="D11379" t="s">
        <v>5094</v>
      </c>
      <c r="E11379" t="s">
        <v>6946</v>
      </c>
      <c r="F11379" t="s">
        <v>12629</v>
      </c>
      <c r="G11379" t="s">
        <v>16838</v>
      </c>
      <c r="H11379" t="s">
        <v>27107</v>
      </c>
    </row>
    <row r="11380" spans="1:8">
      <c r="A11380" t="s">
        <v>1173</v>
      </c>
      <c r="B11380">
        <f>HYPERLINK("https://android.googlesource.com/platform/cts/+/e2784be7dd616af44b2058b76e701e74ed41961b", "e2784be7dd616af44b2058b76e701e74ed41961b")</f>
        <v>0</v>
      </c>
      <c r="C11380">
        <f>HYPERLINK("https://android.googlesource.com/platform/cts/+/dec771a026285784ff5c82ad975de3964bd50f91", "dec771a026285784ff5c82ad975de3964bd50f91")</f>
        <v>0</v>
      </c>
      <c r="D11380" t="s">
        <v>4994</v>
      </c>
      <c r="E11380" t="s">
        <v>6947</v>
      </c>
      <c r="F11380" t="s">
        <v>10634</v>
      </c>
      <c r="G11380" t="s">
        <v>15037</v>
      </c>
      <c r="H11380" t="s">
        <v>27108</v>
      </c>
    </row>
    <row r="11381" spans="1:8">
      <c r="H11381" t="s">
        <v>27109</v>
      </c>
    </row>
    <row r="11382" spans="1:8">
      <c r="H11382" t="s">
        <v>27110</v>
      </c>
    </row>
    <row r="11383" spans="1:8">
      <c r="A11383" t="s">
        <v>1174</v>
      </c>
      <c r="B11383">
        <f>HYPERLINK("https://android.googlesource.com/platform/cts/+/0a304b0786021b6bba39b170e3193f56f0d0d244", "0a304b0786021b6bba39b170e3193f56f0d0d244")</f>
        <v>0</v>
      </c>
      <c r="C11383">
        <f>HYPERLINK("https://android.googlesource.com/platform/cts/+/dec771a026285784ff5c82ad975de3964bd50f91", "dec771a026285784ff5c82ad975de3964bd50f91")</f>
        <v>0</v>
      </c>
      <c r="D11383" t="s">
        <v>4994</v>
      </c>
      <c r="E11383" t="s">
        <v>6948</v>
      </c>
      <c r="F11383" t="s">
        <v>12912</v>
      </c>
      <c r="G11383" t="s">
        <v>17078</v>
      </c>
      <c r="H11383" t="s">
        <v>27112</v>
      </c>
    </row>
    <row r="11384" spans="1:8">
      <c r="A11384" t="s">
        <v>1175</v>
      </c>
      <c r="B11384">
        <f>HYPERLINK("https://android.googlesource.com/platform/cts/+/f92fb0b81547e780896b00e3c2198a1e133f36e7", "f92fb0b81547e780896b00e3c2198a1e133f36e7")</f>
        <v>0</v>
      </c>
      <c r="C11384">
        <f>HYPERLINK("https://android.googlesource.com/platform/cts/+/68e28793a646128d60b0d0976ee07e0fe82ab943", "68e28793a646128d60b0d0976ee07e0fe82ab943")</f>
        <v>0</v>
      </c>
      <c r="D11384" t="s">
        <v>4991</v>
      </c>
      <c r="E11384" t="s">
        <v>6949</v>
      </c>
      <c r="F11384" t="s">
        <v>12913</v>
      </c>
      <c r="G11384" t="s">
        <v>16432</v>
      </c>
      <c r="H11384" t="s">
        <v>21181</v>
      </c>
    </row>
    <row r="11385" spans="1:8">
      <c r="A11385" t="s">
        <v>1177</v>
      </c>
      <c r="B11385">
        <f>HYPERLINK("https://android.googlesource.com/platform/cts/+/d1d1e73dd21846d44ffb8251743326a1bc19a43f", "d1d1e73dd21846d44ffb8251743326a1bc19a43f")</f>
        <v>0</v>
      </c>
      <c r="C11385">
        <f>HYPERLINK("https://android.googlesource.com/platform/cts/+/30040010201c5e25b0343f4d3290f18c90786771", "30040010201c5e25b0343f4d3290f18c90786771")</f>
        <v>0</v>
      </c>
      <c r="D11385" t="s">
        <v>5143</v>
      </c>
      <c r="E11385" t="s">
        <v>6951</v>
      </c>
      <c r="F11385" t="s">
        <v>10725</v>
      </c>
      <c r="G11385" t="s">
        <v>15124</v>
      </c>
      <c r="H11385" t="s">
        <v>27116</v>
      </c>
    </row>
    <row r="11386" spans="1:8">
      <c r="H11386" t="s">
        <v>27117</v>
      </c>
    </row>
    <row r="11387" spans="1:8">
      <c r="H11387" t="s">
        <v>27118</v>
      </c>
    </row>
    <row r="11388" spans="1:8">
      <c r="A11388" t="s">
        <v>1178</v>
      </c>
      <c r="B11388">
        <f>HYPERLINK("https://android.googlesource.com/platform/cts/+/54334b2902e19f4984726b52758c705f1d7c676d", "54334b2902e19f4984726b52758c705f1d7c676d")</f>
        <v>0</v>
      </c>
      <c r="C11388">
        <f>HYPERLINK("https://android.googlesource.com/platform/cts/+/e15787fa0620cebc5ed3506040a847f4e9a28872", "e15787fa0620cebc5ed3506040a847f4e9a28872")</f>
        <v>0</v>
      </c>
      <c r="D11388" t="s">
        <v>5143</v>
      </c>
      <c r="E11388" t="s">
        <v>6952</v>
      </c>
      <c r="F11388" t="s">
        <v>10610</v>
      </c>
      <c r="G11388" t="s">
        <v>15013</v>
      </c>
      <c r="H11388" t="s">
        <v>27121</v>
      </c>
    </row>
    <row r="11389" spans="1:8">
      <c r="H11389" t="s">
        <v>27122</v>
      </c>
    </row>
    <row r="11390" spans="1:8">
      <c r="H11390" t="s">
        <v>27123</v>
      </c>
    </row>
    <row r="11391" spans="1:8">
      <c r="A11391" t="s">
        <v>1179</v>
      </c>
      <c r="B11391">
        <f>HYPERLINK("https://android.googlesource.com/platform/cts/+/f0f8db454b980d4de8ab0cb7bcf091f5368bfb1b", "f0f8db454b980d4de8ab0cb7bcf091f5368bfb1b")</f>
        <v>0</v>
      </c>
      <c r="C11391">
        <f>HYPERLINK("https://android.googlesource.com/platform/cts/+/aa7b5a1c609bdeca7284ed0ab2e3f4b0e8ff39ac", "aa7b5a1c609bdeca7284ed0ab2e3f4b0e8ff39ac")</f>
        <v>0</v>
      </c>
      <c r="D11391" t="s">
        <v>5175</v>
      </c>
      <c r="E11391" t="s">
        <v>6953</v>
      </c>
      <c r="F11391" t="s">
        <v>10593</v>
      </c>
      <c r="G11391" t="s">
        <v>14996</v>
      </c>
      <c r="H11391" t="s">
        <v>27124</v>
      </c>
    </row>
    <row r="11392" spans="1:8">
      <c r="A11392" t="s">
        <v>1180</v>
      </c>
      <c r="B11392">
        <f>HYPERLINK("https://android.googlesource.com/platform/cts/+/d7e1292ea59b3e9e783b637b2d2a5ea7f05eff2d", "d7e1292ea59b3e9e783b637b2d2a5ea7f05eff2d")</f>
        <v>0</v>
      </c>
      <c r="C11392">
        <f>HYPERLINK("https://android.googlesource.com/platform/cts/+/f563004303232d068794d5126a48da0d183c9227", "f563004303232d068794d5126a48da0d183c9227")</f>
        <v>0</v>
      </c>
      <c r="D11392" t="s">
        <v>5176</v>
      </c>
      <c r="E11392" t="s">
        <v>6954</v>
      </c>
      <c r="F11392" t="s">
        <v>10604</v>
      </c>
      <c r="G11392" t="s">
        <v>15007</v>
      </c>
      <c r="H11392" t="s">
        <v>27125</v>
      </c>
    </row>
    <row r="11393" spans="1:8">
      <c r="A11393" t="s">
        <v>1181</v>
      </c>
      <c r="B11393">
        <f>HYPERLINK("https://android.googlesource.com/platform/cts/+/6a7d70f520117b679dc0e8af433e4241b47fe8b6", "6a7d70f520117b679dc0e8af433e4241b47fe8b6")</f>
        <v>0</v>
      </c>
      <c r="C11393">
        <f>HYPERLINK("https://android.googlesource.com/platform/cts/+/10c23a76924810fc364c9f0f8a9898a546d856c7", "10c23a76924810fc364c9f0f8a9898a546d856c7")</f>
        <v>0</v>
      </c>
      <c r="D11393" t="s">
        <v>5132</v>
      </c>
      <c r="E11393" t="s">
        <v>6955</v>
      </c>
      <c r="F11393" t="s">
        <v>10794</v>
      </c>
      <c r="G11393" t="s">
        <v>15189</v>
      </c>
      <c r="H11393" t="s">
        <v>27126</v>
      </c>
    </row>
    <row r="11394" spans="1:8">
      <c r="H11394" t="s">
        <v>27127</v>
      </c>
    </row>
    <row r="11395" spans="1:8">
      <c r="A11395" t="s">
        <v>1184</v>
      </c>
      <c r="B11395">
        <f>HYPERLINK("https://android.googlesource.com/platform/cts/+/5cf8f7dbe912ca3d4b88fe4e599e4268668c43c3", "5cf8f7dbe912ca3d4b88fe4e599e4268668c43c3")</f>
        <v>0</v>
      </c>
      <c r="C11395">
        <f>HYPERLINK("https://android.googlesource.com/platform/cts/+/d34c9a36230e6ae4136e8c2cdeb57842d955141d", "d34c9a36230e6ae4136e8c2cdeb57842d955141d")</f>
        <v>0</v>
      </c>
      <c r="D11395" t="s">
        <v>5157</v>
      </c>
      <c r="E11395" t="s">
        <v>6958</v>
      </c>
      <c r="F11395" t="s">
        <v>12916</v>
      </c>
      <c r="G11395" t="s">
        <v>17081</v>
      </c>
      <c r="H11395" t="s">
        <v>27138</v>
      </c>
    </row>
    <row r="11396" spans="1:8">
      <c r="A11396" t="s">
        <v>1186</v>
      </c>
      <c r="B11396">
        <f>HYPERLINK("https://android.googlesource.com/platform/cts/+/2ecc93edcf13ec84e8504e6359fd1865e6d6f312", "2ecc93edcf13ec84e8504e6359fd1865e6d6f312")</f>
        <v>0</v>
      </c>
      <c r="C11396">
        <f>HYPERLINK("https://android.googlesource.com/platform/cts/+/909228941c074db41bb99328ed815db60b5b344a", "909228941c074db41bb99328ed815db60b5b344a")</f>
        <v>0</v>
      </c>
      <c r="D11396" t="s">
        <v>5029</v>
      </c>
      <c r="E11396" t="s">
        <v>6960</v>
      </c>
      <c r="F11396" t="s">
        <v>12920</v>
      </c>
      <c r="G11396" t="s">
        <v>17085</v>
      </c>
      <c r="H11396" t="s">
        <v>27139</v>
      </c>
    </row>
    <row r="11397" spans="1:8">
      <c r="A11397" t="s">
        <v>1188</v>
      </c>
      <c r="B11397">
        <f>HYPERLINK("https://android.googlesource.com/platform/cts/+/91048540b3ac76f1ca6f2fd2b541a49b530bea05", "91048540b3ac76f1ca6f2fd2b541a49b530bea05")</f>
        <v>0</v>
      </c>
      <c r="C11397">
        <f>HYPERLINK("https://android.googlesource.com/platform/cts/+/76ccc07da0da845affc45b5569837aba65cae8df", "76ccc07da0da845affc45b5569837aba65cae8df")</f>
        <v>0</v>
      </c>
      <c r="D11397" t="s">
        <v>5143</v>
      </c>
      <c r="E11397" t="s">
        <v>6962</v>
      </c>
      <c r="F11397" t="s">
        <v>10732</v>
      </c>
      <c r="G11397" t="s">
        <v>15131</v>
      </c>
      <c r="H11397" t="s">
        <v>26183</v>
      </c>
    </row>
    <row r="11398" spans="1:8">
      <c r="A11398" t="s">
        <v>1190</v>
      </c>
      <c r="B11398">
        <f>HYPERLINK("https://android.googlesource.com/platform/cts/+/b7311448c4a7c637e14aec1d4de3a78cceb10cce", "b7311448c4a7c637e14aec1d4de3a78cceb10cce")</f>
        <v>0</v>
      </c>
      <c r="C11398">
        <f>HYPERLINK("https://android.googlesource.com/platform/cts/+/1b7b94d98c0fa9c12182b6edaa932f27a35dff2e", "1b7b94d98c0fa9c12182b6edaa932f27a35dff2e")</f>
        <v>0</v>
      </c>
      <c r="D11398" t="s">
        <v>5173</v>
      </c>
      <c r="E11398" t="s">
        <v>6964</v>
      </c>
      <c r="F11398" t="s">
        <v>12929</v>
      </c>
      <c r="G11398" t="s">
        <v>17094</v>
      </c>
      <c r="H11398" t="s">
        <v>27179</v>
      </c>
    </row>
    <row r="11399" spans="1:8">
      <c r="A11399" t="s">
        <v>1191</v>
      </c>
      <c r="B11399">
        <f>HYPERLINK("https://android.googlesource.com/platform/cts/+/3e171ee627440299c8b1f7a544e00ceefc3330be", "3e171ee627440299c8b1f7a544e00ceefc3330be")</f>
        <v>0</v>
      </c>
      <c r="C11399">
        <f>HYPERLINK("https://android.googlesource.com/platform/cts/+/18781f81bd0eed56e97abb7c49bed1caf1278720", "18781f81bd0eed56e97abb7c49bed1caf1278720")</f>
        <v>0</v>
      </c>
      <c r="D11399" t="s">
        <v>4971</v>
      </c>
      <c r="E11399" t="s">
        <v>6965</v>
      </c>
      <c r="F11399" t="s">
        <v>12930</v>
      </c>
      <c r="G11399" t="s">
        <v>17095</v>
      </c>
      <c r="H11399" t="s">
        <v>27180</v>
      </c>
    </row>
    <row r="11400" spans="1:8">
      <c r="A11400" t="s">
        <v>1192</v>
      </c>
      <c r="B11400">
        <f>HYPERLINK("https://android.googlesource.com/platform/cts/+/8cb17c4476640323883be925aca42adf0d721b7f", "8cb17c4476640323883be925aca42adf0d721b7f")</f>
        <v>0</v>
      </c>
      <c r="C11400">
        <f>HYPERLINK("https://android.googlesource.com/platform/cts/+/064188951c3adcd8a3e777660b74a32a4ff8f238", "064188951c3adcd8a3e777660b74a32a4ff8f238")</f>
        <v>0</v>
      </c>
      <c r="D11400" t="s">
        <v>5143</v>
      </c>
      <c r="E11400" t="s">
        <v>6966</v>
      </c>
      <c r="F11400" t="s">
        <v>10611</v>
      </c>
      <c r="G11400" t="s">
        <v>15014</v>
      </c>
      <c r="H11400" t="s">
        <v>26183</v>
      </c>
    </row>
    <row r="11401" spans="1:8">
      <c r="A11401" t="s">
        <v>1193</v>
      </c>
      <c r="B11401">
        <f>HYPERLINK("https://android.googlesource.com/platform/cts/+/e493cde8b5f861930a1aaa2f93908cd5ea2d68bf", "e493cde8b5f861930a1aaa2f93908cd5ea2d68bf")</f>
        <v>0</v>
      </c>
      <c r="C11401">
        <f>HYPERLINK("https://android.googlesource.com/platform/cts/+/064188951c3adcd8a3e777660b74a32a4ff8f238", "064188951c3adcd8a3e777660b74a32a4ff8f238")</f>
        <v>0</v>
      </c>
      <c r="D11401" t="s">
        <v>5143</v>
      </c>
      <c r="E11401" t="s">
        <v>6967</v>
      </c>
      <c r="F11401" t="s">
        <v>12931</v>
      </c>
      <c r="G11401" t="s">
        <v>17096</v>
      </c>
      <c r="H11401" t="s">
        <v>27181</v>
      </c>
    </row>
    <row r="11402" spans="1:8">
      <c r="A11402" t="s">
        <v>1201</v>
      </c>
      <c r="B11402">
        <f>HYPERLINK("https://android.googlesource.com/platform/cts/+/2480dba2994720953e1820ca83859bade90fbe84", "2480dba2994720953e1820ca83859bade90fbe84")</f>
        <v>0</v>
      </c>
      <c r="C11402">
        <f>HYPERLINK("https://android.googlesource.com/platform/cts/+/17bd4264056026891f2595b9777944a7a3e3f815", "17bd4264056026891f2595b9777944a7a3e3f815")</f>
        <v>0</v>
      </c>
      <c r="D11402" t="s">
        <v>5117</v>
      </c>
      <c r="E11402" t="s">
        <v>6975</v>
      </c>
      <c r="F11402" t="s">
        <v>12935</v>
      </c>
      <c r="G11402" t="s">
        <v>17100</v>
      </c>
      <c r="H11402" t="s">
        <v>27207</v>
      </c>
    </row>
    <row r="11403" spans="1:8">
      <c r="A11403" t="s">
        <v>1206</v>
      </c>
      <c r="B11403">
        <f>HYPERLINK("https://android.googlesource.com/platform/cts/+/38d1340b0dfd57ba0448257682f1c2eadfec08dd", "38d1340b0dfd57ba0448257682f1c2eadfec08dd")</f>
        <v>0</v>
      </c>
      <c r="C11403">
        <f>HYPERLINK("https://android.googlesource.com/platform/cts/+/0a0f260eccdcfffd07ad0bed93dd6986051c6756", "0a0f260eccdcfffd07ad0bed93dd6986051c6756")</f>
        <v>0</v>
      </c>
      <c r="D11403" t="s">
        <v>5143</v>
      </c>
      <c r="E11403" t="s">
        <v>6980</v>
      </c>
      <c r="F11403" t="s">
        <v>10732</v>
      </c>
      <c r="G11403" t="s">
        <v>15131</v>
      </c>
      <c r="H11403" t="s">
        <v>18836</v>
      </c>
    </row>
    <row r="11404" spans="1:8">
      <c r="H11404" t="s">
        <v>18979</v>
      </c>
    </row>
    <row r="11405" spans="1:8">
      <c r="H11405" t="s">
        <v>27213</v>
      </c>
    </row>
    <row r="11406" spans="1:8">
      <c r="A11406" t="s">
        <v>1207</v>
      </c>
      <c r="B11406">
        <f>HYPERLINK("https://android.googlesource.com/platform/cts/+/ac4a179b41e459af392d08ccf47d919d12af2560", "ac4a179b41e459af392d08ccf47d919d12af2560")</f>
        <v>0</v>
      </c>
      <c r="C11406">
        <f>HYPERLINK("https://android.googlesource.com/platform/cts/+/0a0f260eccdcfffd07ad0bed93dd6986051c6756", "0a0f260eccdcfffd07ad0bed93dd6986051c6756")</f>
        <v>0</v>
      </c>
      <c r="D11406" t="s">
        <v>5117</v>
      </c>
      <c r="E11406" t="s">
        <v>6981</v>
      </c>
      <c r="F11406" t="s">
        <v>12859</v>
      </c>
      <c r="G11406" t="s">
        <v>17028</v>
      </c>
      <c r="H11406" t="s">
        <v>27216</v>
      </c>
    </row>
    <row r="11407" spans="1:8">
      <c r="A11407" t="s">
        <v>1208</v>
      </c>
      <c r="B11407">
        <f>HYPERLINK("https://android.googlesource.com/platform/cts/+/9057fc3d529012d2317c769ae468137c6645b628", "9057fc3d529012d2317c769ae468137c6645b628")</f>
        <v>0</v>
      </c>
      <c r="C11407">
        <f>HYPERLINK("https://android.googlesource.com/platform/cts/+/e2992eb261dd1644d2d85be1deda3b704ee1445e", "e2992eb261dd1644d2d85be1deda3b704ee1445e")</f>
        <v>0</v>
      </c>
      <c r="D11407" t="s">
        <v>4973</v>
      </c>
      <c r="E11407" t="s">
        <v>6982</v>
      </c>
      <c r="F11407" t="s">
        <v>12819</v>
      </c>
      <c r="G11407" t="s">
        <v>16998</v>
      </c>
      <c r="H11407" t="s">
        <v>27228</v>
      </c>
    </row>
    <row r="11408" spans="1:8">
      <c r="H11408" t="s">
        <v>27229</v>
      </c>
    </row>
    <row r="11409" spans="1:8">
      <c r="H11409" t="s">
        <v>26389</v>
      </c>
    </row>
    <row r="11410" spans="1:8">
      <c r="H11410" t="s">
        <v>27230</v>
      </c>
    </row>
    <row r="11411" spans="1:8">
      <c r="H11411" t="s">
        <v>27231</v>
      </c>
    </row>
    <row r="11412" spans="1:8">
      <c r="A11412" t="s">
        <v>1210</v>
      </c>
      <c r="B11412">
        <f>HYPERLINK("https://android.googlesource.com/platform/cts/+/62277f51d453e7dd38828d01ff7146055296418e", "62277f51d453e7dd38828d01ff7146055296418e")</f>
        <v>0</v>
      </c>
      <c r="C11412">
        <f>HYPERLINK("https://android.googlesource.com/platform/cts/+/741a685f14117f040c5afad35014f630e926ff40", "741a685f14117f040c5afad35014f630e926ff40")</f>
        <v>0</v>
      </c>
      <c r="D11412" t="s">
        <v>5143</v>
      </c>
      <c r="E11412" t="s">
        <v>6984</v>
      </c>
      <c r="F11412" t="s">
        <v>12949</v>
      </c>
      <c r="G11412" t="s">
        <v>17114</v>
      </c>
      <c r="H11412" t="s">
        <v>27237</v>
      </c>
    </row>
    <row r="11413" spans="1:8">
      <c r="H11413" t="s">
        <v>18878</v>
      </c>
    </row>
    <row r="11414" spans="1:8">
      <c r="F11414" t="s">
        <v>12950</v>
      </c>
      <c r="G11414" t="s">
        <v>17115</v>
      </c>
      <c r="H11414" t="s">
        <v>18878</v>
      </c>
    </row>
    <row r="11415" spans="1:8">
      <c r="H11415" t="s">
        <v>26680</v>
      </c>
    </row>
    <row r="11416" spans="1:8">
      <c r="F11416" t="s">
        <v>12908</v>
      </c>
      <c r="G11416" t="s">
        <v>17074</v>
      </c>
      <c r="H11416" t="s">
        <v>27241</v>
      </c>
    </row>
    <row r="11417" spans="1:8">
      <c r="H11417" t="s">
        <v>26680</v>
      </c>
    </row>
    <row r="11418" spans="1:8">
      <c r="F11418" t="s">
        <v>12952</v>
      </c>
      <c r="G11418" t="s">
        <v>17117</v>
      </c>
      <c r="H11418" t="s">
        <v>18878</v>
      </c>
    </row>
    <row r="11419" spans="1:8">
      <c r="H11419" t="s">
        <v>18879</v>
      </c>
    </row>
    <row r="11420" spans="1:8">
      <c r="H11420" t="s">
        <v>18877</v>
      </c>
    </row>
    <row r="11421" spans="1:8">
      <c r="H11421" t="s">
        <v>18888</v>
      </c>
    </row>
    <row r="11422" spans="1:8">
      <c r="H11422" t="s">
        <v>26659</v>
      </c>
    </row>
    <row r="11423" spans="1:8">
      <c r="F11423" t="s">
        <v>12906</v>
      </c>
      <c r="G11423" t="s">
        <v>17072</v>
      </c>
      <c r="H11423" t="s">
        <v>27243</v>
      </c>
    </row>
    <row r="11424" spans="1:8">
      <c r="A11424" t="s">
        <v>1214</v>
      </c>
      <c r="B11424">
        <f>HYPERLINK("https://android.googlesource.com/platform/cts/+/05e7888ffbc73e998caf30eb7729f4a81b41df9c", "05e7888ffbc73e998caf30eb7729f4a81b41df9c")</f>
        <v>0</v>
      </c>
      <c r="C11424">
        <f>HYPERLINK("https://android.googlesource.com/platform/cts/+/a622b07cb4607287fa00bcd32c485b53b04fb669", "a622b07cb4607287fa00bcd32c485b53b04fb669")</f>
        <v>0</v>
      </c>
      <c r="D11424" t="s">
        <v>5143</v>
      </c>
      <c r="E11424" t="s">
        <v>6988</v>
      </c>
      <c r="F11424" t="s">
        <v>10732</v>
      </c>
      <c r="G11424" t="s">
        <v>15131</v>
      </c>
      <c r="H11424" t="s">
        <v>27255</v>
      </c>
    </row>
    <row r="11425" spans="1:8">
      <c r="H11425" t="s">
        <v>27256</v>
      </c>
    </row>
    <row r="11426" spans="1:8">
      <c r="A11426" t="s">
        <v>1216</v>
      </c>
      <c r="B11426">
        <f>HYPERLINK("https://android.googlesource.com/platform/cts/+/09e7fe030a1d5f72a4e593017be9943c0b73651e", "09e7fe030a1d5f72a4e593017be9943c0b73651e")</f>
        <v>0</v>
      </c>
      <c r="C11426">
        <f>HYPERLINK("https://android.googlesource.com/platform/cts/+/36951ce4bd1b58915031daf98ec1921a7f01e072", "36951ce4bd1b58915031daf98ec1921a7f01e072")</f>
        <v>0</v>
      </c>
      <c r="D11426" t="s">
        <v>5085</v>
      </c>
      <c r="E11426" t="s">
        <v>6990</v>
      </c>
      <c r="F11426" t="s">
        <v>12887</v>
      </c>
      <c r="G11426" t="s">
        <v>17053</v>
      </c>
      <c r="H11426" t="s">
        <v>26790</v>
      </c>
    </row>
    <row r="11427" spans="1:8">
      <c r="F11427" t="s">
        <v>12888</v>
      </c>
      <c r="G11427" t="s">
        <v>17054</v>
      </c>
      <c r="H11427" t="s">
        <v>26791</v>
      </c>
    </row>
    <row r="11428" spans="1:8">
      <c r="A11428" t="s">
        <v>1217</v>
      </c>
      <c r="B11428">
        <f>HYPERLINK("https://android.googlesource.com/platform/cts/+/ab716dca257f9d22dd5ed844ff33f0e94eceebfd", "ab716dca257f9d22dd5ed844ff33f0e94eceebfd")</f>
        <v>0</v>
      </c>
      <c r="C11428">
        <f>HYPERLINK("https://android.googlesource.com/platform/cts/+/26dd268476311f024bdd2ff1f15464b76c0854a0", "26dd268476311f024bdd2ff1f15464b76c0854a0")</f>
        <v>0</v>
      </c>
      <c r="D11428" t="s">
        <v>5143</v>
      </c>
      <c r="E11428" t="s">
        <v>6991</v>
      </c>
      <c r="F11428" t="s">
        <v>10674</v>
      </c>
      <c r="G11428" t="s">
        <v>15074</v>
      </c>
      <c r="H11428" t="s">
        <v>27259</v>
      </c>
    </row>
    <row r="11429" spans="1:8">
      <c r="H11429" t="s">
        <v>26183</v>
      </c>
    </row>
    <row r="11430" spans="1:8">
      <c r="H11430" t="s">
        <v>27260</v>
      </c>
    </row>
    <row r="11431" spans="1:8">
      <c r="H11431" t="s">
        <v>27261</v>
      </c>
    </row>
    <row r="11432" spans="1:8">
      <c r="F11432" t="s">
        <v>10725</v>
      </c>
      <c r="G11432" t="s">
        <v>15124</v>
      </c>
      <c r="H11432" t="s">
        <v>18878</v>
      </c>
    </row>
    <row r="11433" spans="1:8">
      <c r="A11433" t="s">
        <v>1218</v>
      </c>
      <c r="B11433">
        <f>HYPERLINK("https://android.googlesource.com/platform/cts/+/5fae2c3104aa04ab14e2273cca8398c991ff34cd", "5fae2c3104aa04ab14e2273cca8398c991ff34cd")</f>
        <v>0</v>
      </c>
      <c r="C11433">
        <f>HYPERLINK("https://android.googlesource.com/platform/cts/+/c5d853c1932eb4cd202824983c69f94f8691cab6", "c5d853c1932eb4cd202824983c69f94f8691cab6")</f>
        <v>0</v>
      </c>
      <c r="D11433" t="s">
        <v>5143</v>
      </c>
      <c r="E11433" t="s">
        <v>6992</v>
      </c>
      <c r="F11433" t="s">
        <v>12957</v>
      </c>
      <c r="G11433" t="s">
        <v>17121</v>
      </c>
      <c r="H11433" t="s">
        <v>27269</v>
      </c>
    </row>
    <row r="11434" spans="1:8">
      <c r="H11434" t="s">
        <v>27270</v>
      </c>
    </row>
    <row r="11435" spans="1:8">
      <c r="H11435" t="s">
        <v>27271</v>
      </c>
    </row>
    <row r="11436" spans="1:8">
      <c r="F11436" t="s">
        <v>12959</v>
      </c>
      <c r="G11436" t="s">
        <v>17123</v>
      </c>
      <c r="H11436" t="s">
        <v>27275</v>
      </c>
    </row>
    <row r="11437" spans="1:8">
      <c r="F11437" t="s">
        <v>12907</v>
      </c>
      <c r="G11437" t="s">
        <v>17073</v>
      </c>
      <c r="H11437" t="s">
        <v>27278</v>
      </c>
    </row>
    <row r="11438" spans="1:8">
      <c r="F11438" t="s">
        <v>12348</v>
      </c>
      <c r="G11438" t="s">
        <v>16576</v>
      </c>
      <c r="H11438" t="s">
        <v>27283</v>
      </c>
    </row>
    <row r="11439" spans="1:8">
      <c r="H11439" t="s">
        <v>26680</v>
      </c>
    </row>
    <row r="11440" spans="1:8">
      <c r="H11440" t="s">
        <v>18878</v>
      </c>
    </row>
    <row r="11441" spans="1:8">
      <c r="H11441" t="s">
        <v>18879</v>
      </c>
    </row>
    <row r="11442" spans="1:8">
      <c r="A11442" t="s">
        <v>1219</v>
      </c>
      <c r="B11442">
        <f>HYPERLINK("https://android.googlesource.com/platform/cts/+/499c3d43f20d3ea1044c7bfc992df9833bb375d8", "499c3d43f20d3ea1044c7bfc992df9833bb375d8")</f>
        <v>0</v>
      </c>
      <c r="C11442">
        <f>HYPERLINK("https://android.googlesource.com/platform/cts/+/6c7f090fea84d2d3ec33bd45c6f9c11e0a70f07a", "6c7f090fea84d2d3ec33bd45c6f9c11e0a70f07a")</f>
        <v>0</v>
      </c>
      <c r="D11442" t="s">
        <v>5143</v>
      </c>
      <c r="E11442" t="s">
        <v>6993</v>
      </c>
      <c r="F11442" t="s">
        <v>10946</v>
      </c>
      <c r="G11442" t="s">
        <v>15339</v>
      </c>
      <c r="H11442" t="s">
        <v>26680</v>
      </c>
    </row>
    <row r="11443" spans="1:8">
      <c r="H11443" t="s">
        <v>18878</v>
      </c>
    </row>
    <row r="11444" spans="1:8">
      <c r="H11444" t="s">
        <v>27285</v>
      </c>
    </row>
    <row r="11445" spans="1:8">
      <c r="H11445" t="s">
        <v>27286</v>
      </c>
    </row>
    <row r="11446" spans="1:8">
      <c r="H11446" t="s">
        <v>18879</v>
      </c>
    </row>
    <row r="11447" spans="1:8">
      <c r="H11447" t="s">
        <v>19335</v>
      </c>
    </row>
    <row r="11448" spans="1:8">
      <c r="H11448" t="s">
        <v>27287</v>
      </c>
    </row>
    <row r="11449" spans="1:8">
      <c r="H11449" t="s">
        <v>18876</v>
      </c>
    </row>
    <row r="11450" spans="1:8">
      <c r="H11450" t="s">
        <v>19164</v>
      </c>
    </row>
    <row r="11451" spans="1:8">
      <c r="A11451" t="s">
        <v>1220</v>
      </c>
      <c r="B11451">
        <f>HYPERLINK("https://android.googlesource.com/platform/cts/+/153c8a3b82f994b5fc05806ff67c011f859d07d6", "153c8a3b82f994b5fc05806ff67c011f859d07d6")</f>
        <v>0</v>
      </c>
      <c r="C11451">
        <f>HYPERLINK("https://android.googlesource.com/platform/cts/+/6c7f090fea84d2d3ec33bd45c6f9c11e0a70f07a", "6c7f090fea84d2d3ec33bd45c6f9c11e0a70f07a")</f>
        <v>0</v>
      </c>
      <c r="D11451" t="s">
        <v>5143</v>
      </c>
      <c r="E11451" t="s">
        <v>6994</v>
      </c>
      <c r="F11451" t="s">
        <v>10604</v>
      </c>
      <c r="G11451" t="s">
        <v>15007</v>
      </c>
      <c r="H11451" t="s">
        <v>27295</v>
      </c>
    </row>
    <row r="11452" spans="1:8">
      <c r="H11452" t="s">
        <v>18876</v>
      </c>
    </row>
    <row r="11453" spans="1:8">
      <c r="H11453" t="s">
        <v>19051</v>
      </c>
    </row>
    <row r="11454" spans="1:8">
      <c r="H11454" t="s">
        <v>27213</v>
      </c>
    </row>
    <row r="11455" spans="1:8">
      <c r="H11455" t="s">
        <v>27269</v>
      </c>
    </row>
    <row r="11456" spans="1:8">
      <c r="H11456" t="s">
        <v>27270</v>
      </c>
    </row>
    <row r="11457" spans="1:8">
      <c r="H11457" t="s">
        <v>18878</v>
      </c>
    </row>
    <row r="11458" spans="1:8">
      <c r="A11458" t="s">
        <v>1221</v>
      </c>
      <c r="B11458">
        <f>HYPERLINK("https://android.googlesource.com/platform/cts/+/070bd2c60ecb566ee1ff1097bd22c743ff25f39c", "070bd2c60ecb566ee1ff1097bd22c743ff25f39c")</f>
        <v>0</v>
      </c>
      <c r="C11458">
        <f>HYPERLINK("https://android.googlesource.com/platform/cts/+/8997149778741c16c35e386a62379dfb86ec5c19", "8997149778741c16c35e386a62379dfb86ec5c19")</f>
        <v>0</v>
      </c>
      <c r="D11458" t="s">
        <v>5143</v>
      </c>
      <c r="E11458" t="s">
        <v>6995</v>
      </c>
      <c r="F11458" t="s">
        <v>10737</v>
      </c>
      <c r="G11458" t="s">
        <v>15136</v>
      </c>
      <c r="H11458" t="s">
        <v>18877</v>
      </c>
    </row>
    <row r="11459" spans="1:8">
      <c r="H11459" t="s">
        <v>18878</v>
      </c>
    </row>
    <row r="11460" spans="1:8">
      <c r="H11460" t="s">
        <v>27306</v>
      </c>
    </row>
    <row r="11461" spans="1:8">
      <c r="H11461" t="s">
        <v>27283</v>
      </c>
    </row>
    <row r="11462" spans="1:8">
      <c r="A11462" t="s">
        <v>1222</v>
      </c>
      <c r="B11462">
        <f>HYPERLINK("https://android.googlesource.com/platform/cts/+/7c00e3017424ff1c3eeb22236fea3607ee8a3843", "7c00e3017424ff1c3eeb22236fea3607ee8a3843")</f>
        <v>0</v>
      </c>
      <c r="C11462">
        <f>HYPERLINK("https://android.googlesource.com/platform/cts/+/8997149778741c16c35e386a62379dfb86ec5c19", "8997149778741c16c35e386a62379dfb86ec5c19")</f>
        <v>0</v>
      </c>
      <c r="D11462" t="s">
        <v>5143</v>
      </c>
      <c r="E11462" t="s">
        <v>6996</v>
      </c>
      <c r="F11462" t="s">
        <v>12882</v>
      </c>
      <c r="G11462" t="s">
        <v>17049</v>
      </c>
      <c r="H11462" t="s">
        <v>18878</v>
      </c>
    </row>
    <row r="11463" spans="1:8">
      <c r="H11463" t="s">
        <v>26680</v>
      </c>
    </row>
    <row r="11464" spans="1:8">
      <c r="F11464" t="s">
        <v>12966</v>
      </c>
      <c r="G11464" t="s">
        <v>17130</v>
      </c>
      <c r="H11464" t="s">
        <v>27312</v>
      </c>
    </row>
    <row r="11465" spans="1:8">
      <c r="H11465" t="s">
        <v>27313</v>
      </c>
    </row>
    <row r="11466" spans="1:8">
      <c r="F11466" t="s">
        <v>10947</v>
      </c>
      <c r="G11466" t="s">
        <v>15340</v>
      </c>
      <c r="H11466" t="s">
        <v>26680</v>
      </c>
    </row>
    <row r="11467" spans="1:8">
      <c r="H11467" t="s">
        <v>18878</v>
      </c>
    </row>
    <row r="11468" spans="1:8">
      <c r="H11468" t="s">
        <v>27285</v>
      </c>
    </row>
    <row r="11469" spans="1:8">
      <c r="H11469" t="s">
        <v>27286</v>
      </c>
    </row>
    <row r="11470" spans="1:8">
      <c r="H11470" t="s">
        <v>18879</v>
      </c>
    </row>
    <row r="11471" spans="1:8">
      <c r="H11471" t="s">
        <v>19335</v>
      </c>
    </row>
    <row r="11472" spans="1:8">
      <c r="H11472" t="s">
        <v>27287</v>
      </c>
    </row>
    <row r="11473" spans="1:8">
      <c r="H11473" t="s">
        <v>18876</v>
      </c>
    </row>
    <row r="11474" spans="1:8">
      <c r="H11474" t="s">
        <v>19164</v>
      </c>
    </row>
    <row r="11475" spans="1:8">
      <c r="A11475" t="s">
        <v>1223</v>
      </c>
      <c r="B11475">
        <f>HYPERLINK("https://android.googlesource.com/platform/cts/+/748ef71cd450ae0e4bdefa5e311c49fd7801589b", "748ef71cd450ae0e4bdefa5e311c49fd7801589b")</f>
        <v>0</v>
      </c>
      <c r="C11475">
        <f>HYPERLINK("https://android.googlesource.com/platform/cts/+/6229ca67116093f61b98099d1f3b28718d05b62c", "6229ca67116093f61b98099d1f3b28718d05b62c")</f>
        <v>0</v>
      </c>
      <c r="D11475" t="s">
        <v>5179</v>
      </c>
      <c r="E11475" t="s">
        <v>6997</v>
      </c>
      <c r="F11475" t="s">
        <v>12969</v>
      </c>
      <c r="G11475" t="s">
        <v>17133</v>
      </c>
      <c r="H11475" t="s">
        <v>27316</v>
      </c>
    </row>
    <row r="11476" spans="1:8">
      <c r="A11476" t="s">
        <v>1224</v>
      </c>
      <c r="B11476">
        <f>HYPERLINK("https://android.googlesource.com/platform/cts/+/068461843e9fef9d9559f4ebdc59d5ca6edaec3c", "068461843e9fef9d9559f4ebdc59d5ca6edaec3c")</f>
        <v>0</v>
      </c>
      <c r="C11476">
        <f>HYPERLINK("https://android.googlesource.com/platform/cts/+/8997149778741c16c35e386a62379dfb86ec5c19", "8997149778741c16c35e386a62379dfb86ec5c19")</f>
        <v>0</v>
      </c>
      <c r="D11476" t="s">
        <v>5143</v>
      </c>
      <c r="E11476" t="s">
        <v>6998</v>
      </c>
      <c r="F11476" t="s">
        <v>12927</v>
      </c>
      <c r="G11476" t="s">
        <v>17092</v>
      </c>
      <c r="H11476" t="s">
        <v>26680</v>
      </c>
    </row>
    <row r="11477" spans="1:8">
      <c r="H11477" t="s">
        <v>18878</v>
      </c>
    </row>
    <row r="11478" spans="1:8">
      <c r="H11478" t="s">
        <v>27269</v>
      </c>
    </row>
    <row r="11479" spans="1:8">
      <c r="H11479" t="s">
        <v>19051</v>
      </c>
    </row>
    <row r="11480" spans="1:8">
      <c r="H11480" t="s">
        <v>27287</v>
      </c>
    </row>
    <row r="11481" spans="1:8">
      <c r="H11481" t="s">
        <v>18876</v>
      </c>
    </row>
    <row r="11482" spans="1:8">
      <c r="F11482" t="s">
        <v>12813</v>
      </c>
      <c r="G11482" t="s">
        <v>16994</v>
      </c>
      <c r="H11482" t="s">
        <v>27321</v>
      </c>
    </row>
    <row r="11483" spans="1:8">
      <c r="H11483" t="s">
        <v>19335</v>
      </c>
    </row>
    <row r="11484" spans="1:8">
      <c r="H11484" t="s">
        <v>27322</v>
      </c>
    </row>
    <row r="11485" spans="1:8">
      <c r="H11485" t="s">
        <v>27323</v>
      </c>
    </row>
    <row r="11486" spans="1:8">
      <c r="A11486" t="s">
        <v>1228</v>
      </c>
      <c r="B11486">
        <f>HYPERLINK("https://android.googlesource.com/platform/cts/+/0cc855fc64390a8b64b863dfe1946a0f28a70f07", "0cc855fc64390a8b64b863dfe1946a0f28a70f07")</f>
        <v>0</v>
      </c>
      <c r="C11486">
        <f>HYPERLINK("https://android.googlesource.com/platform/cts/+/d6cac1346df7e2788fb5c7fc0969000551449530", "d6cac1346df7e2788fb5c7fc0969000551449530")</f>
        <v>0</v>
      </c>
      <c r="D11486" t="s">
        <v>5143</v>
      </c>
      <c r="E11486" t="s">
        <v>7002</v>
      </c>
      <c r="F11486" t="s">
        <v>10760</v>
      </c>
      <c r="G11486" t="s">
        <v>15158</v>
      </c>
      <c r="H11486" t="s">
        <v>27336</v>
      </c>
    </row>
    <row r="11487" spans="1:8">
      <c r="H11487" t="s">
        <v>27337</v>
      </c>
    </row>
    <row r="11488" spans="1:8">
      <c r="H11488" t="s">
        <v>27338</v>
      </c>
    </row>
    <row r="11489" spans="1:8">
      <c r="H11489" t="s">
        <v>27339</v>
      </c>
    </row>
    <row r="11490" spans="1:8">
      <c r="H11490" t="s">
        <v>27340</v>
      </c>
    </row>
    <row r="11491" spans="1:8">
      <c r="H11491" t="s">
        <v>27341</v>
      </c>
    </row>
    <row r="11492" spans="1:8">
      <c r="F11492" t="s">
        <v>12928</v>
      </c>
      <c r="G11492" t="s">
        <v>17093</v>
      </c>
      <c r="H11492" t="s">
        <v>27343</v>
      </c>
    </row>
    <row r="11493" spans="1:8">
      <c r="H11493" t="s">
        <v>27341</v>
      </c>
    </row>
    <row r="11494" spans="1:8">
      <c r="A11494" t="s">
        <v>1230</v>
      </c>
      <c r="B11494">
        <f>HYPERLINK("https://android.googlesource.com/platform/cts/+/9c5916d01b6a6c78e9432e7536b0b790567eea7d", "9c5916d01b6a6c78e9432e7536b0b790567eea7d")</f>
        <v>0</v>
      </c>
      <c r="C11494">
        <f>HYPERLINK("https://android.googlesource.com/platform/cts/+/aa45bac7a5ce788fc541504d4d7ff12d9ebc5725", "aa45bac7a5ce788fc541504d4d7ff12d9ebc5725")</f>
        <v>0</v>
      </c>
      <c r="D11494" t="s">
        <v>5176</v>
      </c>
      <c r="E11494" t="s">
        <v>7004</v>
      </c>
      <c r="F11494" t="s">
        <v>10658</v>
      </c>
      <c r="G11494" t="s">
        <v>15059</v>
      </c>
      <c r="H11494" t="s">
        <v>27345</v>
      </c>
    </row>
    <row r="11495" spans="1:8">
      <c r="H11495" t="s">
        <v>27346</v>
      </c>
    </row>
    <row r="11496" spans="1:8">
      <c r="A11496" t="s">
        <v>1231</v>
      </c>
      <c r="B11496">
        <f>HYPERLINK("https://android.googlesource.com/platform/cts/+/8200730442e9d7104e6aea4819b2f935c1fb3858", "8200730442e9d7104e6aea4819b2f935c1fb3858")</f>
        <v>0</v>
      </c>
      <c r="C11496">
        <f>HYPERLINK("https://android.googlesource.com/platform/cts/+/1debc5ae7441f649b5b0f89bfc7353b75e285455", "1debc5ae7441f649b5b0f89bfc7353b75e285455")</f>
        <v>0</v>
      </c>
      <c r="D11496" t="s">
        <v>5143</v>
      </c>
      <c r="E11496" t="s">
        <v>7005</v>
      </c>
      <c r="F11496" t="s">
        <v>12950</v>
      </c>
      <c r="G11496" t="s">
        <v>17115</v>
      </c>
      <c r="H11496" t="s">
        <v>27340</v>
      </c>
    </row>
    <row r="11497" spans="1:8">
      <c r="H11497" t="s">
        <v>27341</v>
      </c>
    </row>
    <row r="11498" spans="1:8">
      <c r="A11498" t="s">
        <v>1232</v>
      </c>
      <c r="B11498">
        <f>HYPERLINK("https://android.googlesource.com/platform/cts/+/a75fb03266b58562af9ed30eff91f2a67d177adc", "a75fb03266b58562af9ed30eff91f2a67d177adc")</f>
        <v>0</v>
      </c>
      <c r="C11498">
        <f>HYPERLINK("https://android.googlesource.com/platform/cts/+/1debc5ae7441f649b5b0f89bfc7353b75e285455", "1debc5ae7441f649b5b0f89bfc7353b75e285455")</f>
        <v>0</v>
      </c>
      <c r="D11498" t="s">
        <v>5143</v>
      </c>
      <c r="E11498" t="s">
        <v>7006</v>
      </c>
      <c r="F11498" t="s">
        <v>12982</v>
      </c>
      <c r="G11498" t="s">
        <v>17146</v>
      </c>
      <c r="H11498" t="s">
        <v>19051</v>
      </c>
    </row>
    <row r="11499" spans="1:8">
      <c r="H11499" t="s">
        <v>27348</v>
      </c>
    </row>
    <row r="11500" spans="1:8">
      <c r="H11500" t="s">
        <v>18879</v>
      </c>
    </row>
    <row r="11501" spans="1:8">
      <c r="F11501" t="s">
        <v>10794</v>
      </c>
      <c r="G11501" t="s">
        <v>15189</v>
      </c>
      <c r="H11501" t="s">
        <v>27351</v>
      </c>
    </row>
    <row r="11502" spans="1:8">
      <c r="H11502" t="s">
        <v>19053</v>
      </c>
    </row>
    <row r="11503" spans="1:8">
      <c r="H11503" t="s">
        <v>18876</v>
      </c>
    </row>
    <row r="11504" spans="1:8">
      <c r="H11504" t="s">
        <v>19363</v>
      </c>
    </row>
    <row r="11505" spans="1:8">
      <c r="H11505" t="s">
        <v>27352</v>
      </c>
    </row>
    <row r="11506" spans="1:8">
      <c r="H11506" t="s">
        <v>27353</v>
      </c>
    </row>
    <row r="11507" spans="1:8">
      <c r="H11507" t="s">
        <v>27354</v>
      </c>
    </row>
    <row r="11508" spans="1:8">
      <c r="H11508" t="s">
        <v>27355</v>
      </c>
    </row>
    <row r="11509" spans="1:8">
      <c r="H11509" t="s">
        <v>18888</v>
      </c>
    </row>
    <row r="11510" spans="1:8">
      <c r="H11510" t="s">
        <v>18877</v>
      </c>
    </row>
    <row r="11511" spans="1:8">
      <c r="H11511" t="s">
        <v>27270</v>
      </c>
    </row>
    <row r="11512" spans="1:8">
      <c r="H11512" t="s">
        <v>18878</v>
      </c>
    </row>
    <row r="11513" spans="1:8">
      <c r="H11513" t="s">
        <v>27356</v>
      </c>
    </row>
    <row r="11514" spans="1:8">
      <c r="H11514" t="s">
        <v>19163</v>
      </c>
    </row>
    <row r="11515" spans="1:8">
      <c r="H11515" t="s">
        <v>27357</v>
      </c>
    </row>
    <row r="11516" spans="1:8">
      <c r="H11516" t="s">
        <v>26183</v>
      </c>
    </row>
    <row r="11517" spans="1:8">
      <c r="A11517" t="s">
        <v>1233</v>
      </c>
      <c r="B11517">
        <f>HYPERLINK("https://android.googlesource.com/platform/cts/+/5129ad2e8340004b04bf5d49ceb73f4a5803531f", "5129ad2e8340004b04bf5d49ceb73f4a5803531f")</f>
        <v>0</v>
      </c>
      <c r="C11517">
        <f>HYPERLINK("https://android.googlesource.com/platform/cts/+/1debc5ae7441f649b5b0f89bfc7353b75e285455", "1debc5ae7441f649b5b0f89bfc7353b75e285455")</f>
        <v>0</v>
      </c>
      <c r="D11517" t="s">
        <v>5143</v>
      </c>
      <c r="E11517" t="s">
        <v>7007</v>
      </c>
      <c r="F11517" t="s">
        <v>12984</v>
      </c>
      <c r="G11517" t="s">
        <v>17148</v>
      </c>
      <c r="H11517" t="s">
        <v>27360</v>
      </c>
    </row>
    <row r="11518" spans="1:8">
      <c r="H11518" t="s">
        <v>27361</v>
      </c>
    </row>
    <row r="11519" spans="1:8">
      <c r="H11519" t="s">
        <v>27362</v>
      </c>
    </row>
    <row r="11520" spans="1:8">
      <c r="H11520" t="s">
        <v>27363</v>
      </c>
    </row>
    <row r="11521" spans="1:8">
      <c r="F11521" t="s">
        <v>10761</v>
      </c>
      <c r="G11521" t="s">
        <v>15159</v>
      </c>
      <c r="H11521" t="s">
        <v>27370</v>
      </c>
    </row>
    <row r="11522" spans="1:8">
      <c r="A11522" t="s">
        <v>1234</v>
      </c>
      <c r="B11522">
        <f>HYPERLINK("https://android.googlesource.com/platform/cts/+/46fe04bdbe926961c24d7a7919ba2eec2fd28f60", "46fe04bdbe926961c24d7a7919ba2eec2fd28f60")</f>
        <v>0</v>
      </c>
      <c r="C11522">
        <f>HYPERLINK("https://android.googlesource.com/platform/cts/+/816b5243faf117ef5a18ae7c923341d8a50348f6", "816b5243faf117ef5a18ae7c923341d8a50348f6")</f>
        <v>0</v>
      </c>
      <c r="D11522" t="s">
        <v>5170</v>
      </c>
      <c r="E11522" t="s">
        <v>7008</v>
      </c>
      <c r="F11522" t="s">
        <v>11443</v>
      </c>
      <c r="G11522" t="s">
        <v>15683</v>
      </c>
      <c r="H11522" t="s">
        <v>27371</v>
      </c>
    </row>
    <row r="11523" spans="1:8">
      <c r="A11523" t="s">
        <v>1235</v>
      </c>
      <c r="B11523">
        <f>HYPERLINK("https://android.googlesource.com/platform/cts/+/81cdbecce93d53fbdbc89e4f6f16721d0e9e79d3", "81cdbecce93d53fbdbc89e4f6f16721d0e9e79d3")</f>
        <v>0</v>
      </c>
      <c r="C11523">
        <f>HYPERLINK("https://android.googlesource.com/platform/cts/+/838417eb912600a0177b910449400c08288b34eb", "838417eb912600a0177b910449400c08288b34eb")</f>
        <v>0</v>
      </c>
      <c r="D11523" t="s">
        <v>5143</v>
      </c>
      <c r="E11523" t="s">
        <v>7009</v>
      </c>
      <c r="F11523" t="s">
        <v>12914</v>
      </c>
      <c r="G11523" t="s">
        <v>17079</v>
      </c>
      <c r="H11523" t="s">
        <v>18876</v>
      </c>
    </row>
    <row r="11524" spans="1:8">
      <c r="H11524" t="s">
        <v>27376</v>
      </c>
    </row>
    <row r="11525" spans="1:8">
      <c r="F11525" t="s">
        <v>10654</v>
      </c>
      <c r="G11525" t="s">
        <v>15055</v>
      </c>
      <c r="H11525" t="s">
        <v>18876</v>
      </c>
    </row>
    <row r="11526" spans="1:8">
      <c r="A11526" t="s">
        <v>1236</v>
      </c>
      <c r="B11526">
        <f>HYPERLINK("https://android.googlesource.com/platform/cts/+/e6ded0fa8cca4fc81feb23a50113848afe430698", "e6ded0fa8cca4fc81feb23a50113848afe430698")</f>
        <v>0</v>
      </c>
      <c r="C11526">
        <f>HYPERLINK("https://android.googlesource.com/platform/cts/+/3763966148d1d014b62a1bd27a68021c5ca17240", "3763966148d1d014b62a1bd27a68021c5ca17240")</f>
        <v>0</v>
      </c>
      <c r="D11526" t="s">
        <v>5143</v>
      </c>
      <c r="E11526" t="s">
        <v>7010</v>
      </c>
      <c r="F11526" t="s">
        <v>12993</v>
      </c>
      <c r="G11526" t="s">
        <v>17157</v>
      </c>
      <c r="H11526" t="s">
        <v>27405</v>
      </c>
    </row>
    <row r="11527" spans="1:8">
      <c r="H11527" t="s">
        <v>27406</v>
      </c>
    </row>
    <row r="11528" spans="1:8">
      <c r="A11528" t="s">
        <v>1238</v>
      </c>
      <c r="B11528">
        <f>HYPERLINK("https://android.googlesource.com/platform/cts/+/d3fdf015276a074c96d71cf5255f756b761cd7bb", "d3fdf015276a074c96d71cf5255f756b761cd7bb")</f>
        <v>0</v>
      </c>
      <c r="C11528">
        <f>HYPERLINK("https://android.googlesource.com/platform/cts/+/86af933a388ec4591f879449cb7758b356d951e1", "86af933a388ec4591f879449cb7758b356d951e1")</f>
        <v>0</v>
      </c>
      <c r="D11528" t="s">
        <v>5143</v>
      </c>
      <c r="E11528" t="s">
        <v>7012</v>
      </c>
      <c r="F11528" t="s">
        <v>13003</v>
      </c>
      <c r="G11528" t="s">
        <v>17167</v>
      </c>
      <c r="H11528" t="s">
        <v>27417</v>
      </c>
    </row>
    <row r="11529" spans="1:8">
      <c r="A11529" t="s">
        <v>1239</v>
      </c>
      <c r="B11529">
        <f>HYPERLINK("https://android.googlesource.com/platform/cts/+/71762feb5610142e29ee6266ce4edf7bcdbb8aee", "71762feb5610142e29ee6266ce4edf7bcdbb8aee")</f>
        <v>0</v>
      </c>
      <c r="C11529">
        <f>HYPERLINK("https://android.googlesource.com/platform/cts/+/86af933a388ec4591f879449cb7758b356d951e1", "86af933a388ec4591f879449cb7758b356d951e1")</f>
        <v>0</v>
      </c>
      <c r="D11529" t="s">
        <v>5143</v>
      </c>
      <c r="E11529" t="s">
        <v>7013</v>
      </c>
      <c r="F11529" t="s">
        <v>11183</v>
      </c>
      <c r="G11529" t="s">
        <v>15572</v>
      </c>
      <c r="H11529" t="s">
        <v>27430</v>
      </c>
    </row>
    <row r="11530" spans="1:8">
      <c r="H11530" t="s">
        <v>27431</v>
      </c>
    </row>
    <row r="11531" spans="1:8">
      <c r="A11531" t="s">
        <v>1242</v>
      </c>
      <c r="B11531">
        <f>HYPERLINK("https://android.googlesource.com/platform/cts/+/437a0d948cf623dcc632e0f9df04e06e56d8e383", "437a0d948cf623dcc632e0f9df04e06e56d8e383")</f>
        <v>0</v>
      </c>
      <c r="C11531">
        <f>HYPERLINK("https://android.googlesource.com/platform/cts/+/1dc269dd661ed94e150625f19acd7fec3ed82d33", "1dc269dd661ed94e150625f19acd7fec3ed82d33")</f>
        <v>0</v>
      </c>
      <c r="D11531" t="s">
        <v>5143</v>
      </c>
      <c r="E11531" t="s">
        <v>7016</v>
      </c>
      <c r="F11531" t="s">
        <v>13017</v>
      </c>
      <c r="G11531" t="s">
        <v>17181</v>
      </c>
      <c r="H11531" t="s">
        <v>27449</v>
      </c>
    </row>
    <row r="11532" spans="1:8">
      <c r="H11532" t="s">
        <v>27450</v>
      </c>
    </row>
    <row r="11533" spans="1:8">
      <c r="H11533" t="s">
        <v>27451</v>
      </c>
    </row>
    <row r="11534" spans="1:8">
      <c r="F11534" t="s">
        <v>13018</v>
      </c>
      <c r="G11534" t="s">
        <v>17182</v>
      </c>
      <c r="H11534" t="s">
        <v>27454</v>
      </c>
    </row>
    <row r="11535" spans="1:8">
      <c r="A11535" t="s">
        <v>1243</v>
      </c>
      <c r="B11535">
        <f>HYPERLINK("https://android.googlesource.com/platform/cts/+/480a3a50174befdcf57de666587a8e1b4267d7f3", "480a3a50174befdcf57de666587a8e1b4267d7f3")</f>
        <v>0</v>
      </c>
      <c r="C11535">
        <f>HYPERLINK("https://android.googlesource.com/platform/cts/+/9dfbc395958780704bd8f65e7bd8cdc635033d04", "9dfbc395958780704bd8f65e7bd8cdc635033d04")</f>
        <v>0</v>
      </c>
      <c r="D11535" t="s">
        <v>5079</v>
      </c>
      <c r="E11535" t="s">
        <v>7017</v>
      </c>
      <c r="F11535" t="s">
        <v>13019</v>
      </c>
      <c r="G11535" t="s">
        <v>17183</v>
      </c>
      <c r="H11535" t="s">
        <v>27459</v>
      </c>
    </row>
    <row r="11536" spans="1:8">
      <c r="A11536" t="s">
        <v>1245</v>
      </c>
      <c r="B11536">
        <f>HYPERLINK("https://android.googlesource.com/platform/cts/+/2ff3e016655b94de327766b57d0db1e026db49e0", "2ff3e016655b94de327766b57d0db1e026db49e0")</f>
        <v>0</v>
      </c>
      <c r="C11536">
        <f>HYPERLINK("https://android.googlesource.com/platform/cts/+/86af933a388ec4591f879449cb7758b356d951e1", "86af933a388ec4591f879449cb7758b356d951e1")</f>
        <v>0</v>
      </c>
      <c r="D11536" t="s">
        <v>5180</v>
      </c>
      <c r="E11536" t="s">
        <v>7019</v>
      </c>
      <c r="F11536" t="s">
        <v>13023</v>
      </c>
      <c r="G11536" t="s">
        <v>17187</v>
      </c>
      <c r="H11536" t="s">
        <v>27466</v>
      </c>
    </row>
    <row r="11537" spans="1:8">
      <c r="A11537" t="s">
        <v>1247</v>
      </c>
      <c r="B11537">
        <f>HYPERLINK("https://android.googlesource.com/platform/cts/+/e13e14add99479d0b24325d632d0b9ace62e3e0f", "e13e14add99479d0b24325d632d0b9ace62e3e0f")</f>
        <v>0</v>
      </c>
      <c r="C11537">
        <f>HYPERLINK("https://android.googlesource.com/platform/cts/+/f6fba7a67b60792b0032f0fc3a0053d5724ec5bd", "f6fba7a67b60792b0032f0fc3a0053d5724ec5bd")</f>
        <v>0</v>
      </c>
      <c r="D11537" t="s">
        <v>5143</v>
      </c>
      <c r="E11537" t="s">
        <v>7021</v>
      </c>
      <c r="F11537" t="s">
        <v>13025</v>
      </c>
      <c r="G11537" t="s">
        <v>17189</v>
      </c>
      <c r="H11537" t="s">
        <v>27468</v>
      </c>
    </row>
    <row r="11538" spans="1:8">
      <c r="H11538" t="s">
        <v>19043</v>
      </c>
    </row>
    <row r="11539" spans="1:8">
      <c r="F11539" t="s">
        <v>13027</v>
      </c>
      <c r="G11539" t="s">
        <v>17191</v>
      </c>
      <c r="H11539" t="s">
        <v>27479</v>
      </c>
    </row>
    <row r="11540" spans="1:8">
      <c r="A11540" t="s">
        <v>1248</v>
      </c>
      <c r="B11540">
        <f>HYPERLINK("https://android.googlesource.com/platform/cts/+/157cea9e79dc71f14a15f0a9f6d5722fa61fef04", "157cea9e79dc71f14a15f0a9f6d5722fa61fef04")</f>
        <v>0</v>
      </c>
      <c r="C11540">
        <f>HYPERLINK("https://android.googlesource.com/platform/cts/+/018093626cfaaadebd4fb1e8d17c0ec992961d48", "018093626cfaaadebd4fb1e8d17c0ec992961d48")</f>
        <v>0</v>
      </c>
      <c r="D11540" t="s">
        <v>5143</v>
      </c>
      <c r="E11540" t="s">
        <v>7022</v>
      </c>
      <c r="F11540" t="s">
        <v>13030</v>
      </c>
      <c r="G11540" t="s">
        <v>17194</v>
      </c>
      <c r="H11540" t="s">
        <v>27484</v>
      </c>
    </row>
    <row r="11541" spans="1:8">
      <c r="F11541" t="s">
        <v>13035</v>
      </c>
      <c r="G11541" t="s">
        <v>17199</v>
      </c>
      <c r="H11541" t="s">
        <v>18836</v>
      </c>
    </row>
    <row r="11542" spans="1:8">
      <c r="A11542" t="s">
        <v>1250</v>
      </c>
      <c r="B11542">
        <f>HYPERLINK("https://android.googlesource.com/platform/cts/+/770a3306d7699e4ec97f076971874974bf130cae", "770a3306d7699e4ec97f076971874974bf130cae")</f>
        <v>0</v>
      </c>
      <c r="C11542">
        <f>HYPERLINK("https://android.googlesource.com/platform/cts/+/ccf75895d9f04c3fd783b2eec94ab42aa51b90d4", "ccf75895d9f04c3fd783b2eec94ab42aa51b90d4")</f>
        <v>0</v>
      </c>
      <c r="D11542" t="s">
        <v>5143</v>
      </c>
      <c r="E11542" t="s">
        <v>7024</v>
      </c>
      <c r="F11542" t="s">
        <v>13040</v>
      </c>
      <c r="G11542" t="s">
        <v>17204</v>
      </c>
      <c r="H11542" t="s">
        <v>27512</v>
      </c>
    </row>
    <row r="11543" spans="1:8">
      <c r="A11543" t="s">
        <v>1251</v>
      </c>
      <c r="B11543">
        <f>HYPERLINK("https://android.googlesource.com/platform/cts/+/1763ba33ceeedcbaefb8de8a0554c3bfffa1afb2", "1763ba33ceeedcbaefb8de8a0554c3bfffa1afb2")</f>
        <v>0</v>
      </c>
      <c r="C11543">
        <f>HYPERLINK("https://android.googlesource.com/platform/cts/+/7235b2427b2ccbca14181806b14f46154587dcb2", "7235b2427b2ccbca14181806b14f46154587dcb2")</f>
        <v>0</v>
      </c>
      <c r="D11543" t="s">
        <v>5143</v>
      </c>
      <c r="E11543" t="s">
        <v>7025</v>
      </c>
      <c r="F11543" t="s">
        <v>10672</v>
      </c>
      <c r="G11543" t="s">
        <v>15072</v>
      </c>
      <c r="H11543" t="s">
        <v>27533</v>
      </c>
    </row>
    <row r="11544" spans="1:8">
      <c r="F11544" t="s">
        <v>13048</v>
      </c>
      <c r="G11544" t="s">
        <v>17212</v>
      </c>
      <c r="H11544" t="s">
        <v>27536</v>
      </c>
    </row>
    <row r="11545" spans="1:8">
      <c r="F11545" t="s">
        <v>10684</v>
      </c>
      <c r="G11545" t="s">
        <v>15084</v>
      </c>
      <c r="H11545" t="s">
        <v>27538</v>
      </c>
    </row>
    <row r="11546" spans="1:8">
      <c r="H11546" t="s">
        <v>27540</v>
      </c>
    </row>
    <row r="11547" spans="1:8">
      <c r="H11547" t="s">
        <v>27541</v>
      </c>
    </row>
    <row r="11548" spans="1:8">
      <c r="H11548" t="s">
        <v>27542</v>
      </c>
    </row>
    <row r="11549" spans="1:8">
      <c r="H11549" t="s">
        <v>27543</v>
      </c>
    </row>
    <row r="11550" spans="1:8">
      <c r="H11550" t="s">
        <v>27544</v>
      </c>
    </row>
    <row r="11551" spans="1:8">
      <c r="H11551" t="s">
        <v>27545</v>
      </c>
    </row>
    <row r="11552" spans="1:8">
      <c r="H11552" t="s">
        <v>27546</v>
      </c>
    </row>
    <row r="11553" spans="1:8">
      <c r="H11553" t="s">
        <v>27547</v>
      </c>
    </row>
    <row r="11554" spans="1:8">
      <c r="A11554" t="s">
        <v>1253</v>
      </c>
      <c r="B11554">
        <f>HYPERLINK("https://android.googlesource.com/platform/cts/+/6adcaba10b92ddc83476478d64fe9604a0bc5816", "6adcaba10b92ddc83476478d64fe9604a0bc5816")</f>
        <v>0</v>
      </c>
      <c r="C11554">
        <f>HYPERLINK("https://android.googlesource.com/platform/cts/+/8770be349e17ce4c758ab04f6bf286569354ea37", "8770be349e17ce4c758ab04f6bf286569354ea37")</f>
        <v>0</v>
      </c>
      <c r="D11554" t="s">
        <v>5143</v>
      </c>
      <c r="E11554" t="s">
        <v>7027</v>
      </c>
      <c r="F11554" t="s">
        <v>10699</v>
      </c>
      <c r="G11554" t="s">
        <v>15099</v>
      </c>
      <c r="H11554" t="s">
        <v>27572</v>
      </c>
    </row>
    <row r="11555" spans="1:8">
      <c r="A11555" t="s">
        <v>1254</v>
      </c>
      <c r="B11555">
        <f>HYPERLINK("https://android.googlesource.com/platform/cts/+/9560fd0bff8ebc15f71898067d514cf1e2d3ad09", "9560fd0bff8ebc15f71898067d514cf1e2d3ad09")</f>
        <v>0</v>
      </c>
      <c r="C11555">
        <f>HYPERLINK("https://android.googlesource.com/platform/cts/+/2efab840f6039ccf78497cea813df73631c6137b", "2efab840f6039ccf78497cea813df73631c6137b")</f>
        <v>0</v>
      </c>
      <c r="D11555" t="s">
        <v>5176</v>
      </c>
      <c r="E11555" t="s">
        <v>7028</v>
      </c>
      <c r="F11555" t="s">
        <v>10794</v>
      </c>
      <c r="G11555" t="s">
        <v>15189</v>
      </c>
      <c r="H11555" t="s">
        <v>27584</v>
      </c>
    </row>
    <row r="11556" spans="1:8">
      <c r="H11556" t="s">
        <v>27585</v>
      </c>
    </row>
    <row r="11557" spans="1:8">
      <c r="H11557" t="s">
        <v>27586</v>
      </c>
    </row>
    <row r="11558" spans="1:8">
      <c r="H11558" t="s">
        <v>27587</v>
      </c>
    </row>
    <row r="11559" spans="1:8">
      <c r="H11559" t="s">
        <v>27588</v>
      </c>
    </row>
    <row r="11560" spans="1:8">
      <c r="H11560" t="s">
        <v>27589</v>
      </c>
    </row>
    <row r="11561" spans="1:8">
      <c r="A11561" t="s">
        <v>1255</v>
      </c>
      <c r="B11561">
        <f>HYPERLINK("https://android.googlesource.com/platform/cts/+/0544ac91f67c413d9261f15ea1c24a757ab7a8e6", "0544ac91f67c413d9261f15ea1c24a757ab7a8e6")</f>
        <v>0</v>
      </c>
      <c r="C11561">
        <f>HYPERLINK("https://android.googlesource.com/platform/cts/+/66b3c5ec4e0431f525038e0de8851440e98554c9", "66b3c5ec4e0431f525038e0de8851440e98554c9")</f>
        <v>0</v>
      </c>
      <c r="D11561" t="s">
        <v>5114</v>
      </c>
      <c r="E11561" t="s">
        <v>7029</v>
      </c>
      <c r="F11561" t="s">
        <v>13040</v>
      </c>
      <c r="G11561" t="s">
        <v>17204</v>
      </c>
      <c r="H11561" t="s">
        <v>27590</v>
      </c>
    </row>
    <row r="11562" spans="1:8">
      <c r="A11562" t="s">
        <v>1260</v>
      </c>
      <c r="B11562">
        <f>HYPERLINK("https://android.googlesource.com/platform/cts/+/8434bc28e852bbf68b5b81322b22598f0b177070", "8434bc28e852bbf68b5b81322b22598f0b177070")</f>
        <v>0</v>
      </c>
      <c r="C11562">
        <f>HYPERLINK("https://android.googlesource.com/platform/cts/+/3e6e41d1018c050b745986503f4d3acf0539a6da", "3e6e41d1018c050b745986503f4d3acf0539a6da")</f>
        <v>0</v>
      </c>
      <c r="D11562" t="s">
        <v>5117</v>
      </c>
      <c r="E11562" t="s">
        <v>7034</v>
      </c>
      <c r="F11562" t="s">
        <v>12935</v>
      </c>
      <c r="G11562" t="s">
        <v>17100</v>
      </c>
      <c r="H11562" t="s">
        <v>27624</v>
      </c>
    </row>
    <row r="11563" spans="1:8">
      <c r="H11563" t="s">
        <v>27625</v>
      </c>
    </row>
    <row r="11564" spans="1:8">
      <c r="H11564" t="s">
        <v>27626</v>
      </c>
    </row>
    <row r="11565" spans="1:8">
      <c r="H11565" t="s">
        <v>27627</v>
      </c>
    </row>
    <row r="11566" spans="1:8">
      <c r="H11566" t="s">
        <v>27628</v>
      </c>
    </row>
    <row r="11567" spans="1:8">
      <c r="H11567" t="s">
        <v>27629</v>
      </c>
    </row>
    <row r="11568" spans="1:8">
      <c r="H11568" t="s">
        <v>27630</v>
      </c>
    </row>
    <row r="11569" spans="6:8">
      <c r="H11569" t="s">
        <v>27631</v>
      </c>
    </row>
    <row r="11570" spans="6:8">
      <c r="F11570" t="s">
        <v>12859</v>
      </c>
      <c r="G11570" t="s">
        <v>17028</v>
      </c>
      <c r="H11570" t="s">
        <v>27632</v>
      </c>
    </row>
    <row r="11571" spans="6:8">
      <c r="H11571" t="s">
        <v>27633</v>
      </c>
    </row>
    <row r="11572" spans="6:8">
      <c r="H11572" t="s">
        <v>27634</v>
      </c>
    </row>
    <row r="11573" spans="6:8">
      <c r="H11573" t="s">
        <v>27635</v>
      </c>
    </row>
    <row r="11574" spans="6:8">
      <c r="H11574" t="s">
        <v>27636</v>
      </c>
    </row>
    <row r="11575" spans="6:8">
      <c r="H11575" t="s">
        <v>27637</v>
      </c>
    </row>
    <row r="11576" spans="6:8">
      <c r="H11576" t="s">
        <v>27638</v>
      </c>
    </row>
    <row r="11577" spans="6:8">
      <c r="H11577" t="s">
        <v>27639</v>
      </c>
    </row>
    <row r="11578" spans="6:8">
      <c r="H11578" t="s">
        <v>27640</v>
      </c>
    </row>
    <row r="11579" spans="6:8">
      <c r="H11579" t="s">
        <v>27641</v>
      </c>
    </row>
    <row r="11580" spans="6:8">
      <c r="F11580" t="s">
        <v>13062</v>
      </c>
      <c r="G11580" t="s">
        <v>17108</v>
      </c>
      <c r="H11580" t="s">
        <v>27220</v>
      </c>
    </row>
    <row r="11581" spans="6:8">
      <c r="H11581" t="s">
        <v>27221</v>
      </c>
    </row>
    <row r="11582" spans="6:8">
      <c r="H11582" t="s">
        <v>27222</v>
      </c>
    </row>
    <row r="11583" spans="6:8">
      <c r="H11583" t="s">
        <v>27223</v>
      </c>
    </row>
    <row r="11584" spans="6:8">
      <c r="H11584" t="s">
        <v>27224</v>
      </c>
    </row>
    <row r="11585" spans="6:8">
      <c r="H11585" t="s">
        <v>27225</v>
      </c>
    </row>
    <row r="11586" spans="6:8">
      <c r="H11586" t="s">
        <v>27226</v>
      </c>
    </row>
    <row r="11587" spans="6:8">
      <c r="F11587" t="s">
        <v>12944</v>
      </c>
      <c r="G11587" t="s">
        <v>17109</v>
      </c>
      <c r="H11587" t="s">
        <v>27642</v>
      </c>
    </row>
    <row r="11588" spans="6:8">
      <c r="H11588" t="s">
        <v>27643</v>
      </c>
    </row>
    <row r="11589" spans="6:8">
      <c r="H11589" t="s">
        <v>27644</v>
      </c>
    </row>
    <row r="11590" spans="6:8">
      <c r="H11590" t="s">
        <v>27645</v>
      </c>
    </row>
    <row r="11591" spans="6:8">
      <c r="H11591" t="s">
        <v>27646</v>
      </c>
    </row>
    <row r="11592" spans="6:8">
      <c r="F11592" t="s">
        <v>12836</v>
      </c>
      <c r="G11592" t="s">
        <v>17012</v>
      </c>
      <c r="H11592" t="s">
        <v>27647</v>
      </c>
    </row>
    <row r="11593" spans="6:8">
      <c r="H11593" t="s">
        <v>27648</v>
      </c>
    </row>
    <row r="11594" spans="6:8">
      <c r="H11594" t="s">
        <v>27649</v>
      </c>
    </row>
    <row r="11595" spans="6:8">
      <c r="H11595" t="s">
        <v>27650</v>
      </c>
    </row>
    <row r="11596" spans="6:8">
      <c r="H11596" t="s">
        <v>27651</v>
      </c>
    </row>
    <row r="11597" spans="6:8">
      <c r="H11597" t="s">
        <v>27652</v>
      </c>
    </row>
    <row r="11598" spans="6:8">
      <c r="H11598" t="s">
        <v>27653</v>
      </c>
    </row>
    <row r="11599" spans="6:8">
      <c r="H11599" t="s">
        <v>27654</v>
      </c>
    </row>
    <row r="11600" spans="6:8">
      <c r="H11600" t="s">
        <v>27655</v>
      </c>
    </row>
    <row r="11601" spans="6:8">
      <c r="H11601" t="s">
        <v>27656</v>
      </c>
    </row>
    <row r="11602" spans="6:8">
      <c r="H11602" t="s">
        <v>27657</v>
      </c>
    </row>
    <row r="11603" spans="6:8">
      <c r="H11603" t="s">
        <v>27658</v>
      </c>
    </row>
    <row r="11604" spans="6:8">
      <c r="H11604" t="s">
        <v>27659</v>
      </c>
    </row>
    <row r="11605" spans="6:8">
      <c r="F11605" t="s">
        <v>12243</v>
      </c>
      <c r="G11605" t="s">
        <v>16474</v>
      </c>
      <c r="H11605" t="s">
        <v>27660</v>
      </c>
    </row>
    <row r="11606" spans="6:8">
      <c r="H11606" t="s">
        <v>27661</v>
      </c>
    </row>
    <row r="11607" spans="6:8">
      <c r="H11607" t="s">
        <v>27662</v>
      </c>
    </row>
    <row r="11608" spans="6:8">
      <c r="H11608" t="s">
        <v>27663</v>
      </c>
    </row>
    <row r="11609" spans="6:8">
      <c r="H11609" t="s">
        <v>27664</v>
      </c>
    </row>
    <row r="11610" spans="6:8">
      <c r="H11610" t="s">
        <v>27665</v>
      </c>
    </row>
    <row r="11611" spans="6:8">
      <c r="H11611" t="s">
        <v>27666</v>
      </c>
    </row>
    <row r="11612" spans="6:8">
      <c r="H11612" t="s">
        <v>27667</v>
      </c>
    </row>
    <row r="11613" spans="6:8">
      <c r="H11613" t="s">
        <v>27668</v>
      </c>
    </row>
    <row r="11614" spans="6:8">
      <c r="H11614" t="s">
        <v>27669</v>
      </c>
    </row>
    <row r="11615" spans="6:8">
      <c r="H11615" t="s">
        <v>27670</v>
      </c>
    </row>
    <row r="11616" spans="6:8">
      <c r="H11616" t="s">
        <v>27671</v>
      </c>
    </row>
    <row r="11617" spans="8:8">
      <c r="H11617" t="s">
        <v>27672</v>
      </c>
    </row>
    <row r="11618" spans="8:8">
      <c r="H11618" t="s">
        <v>27673</v>
      </c>
    </row>
    <row r="11619" spans="8:8">
      <c r="H11619" t="s">
        <v>27674</v>
      </c>
    </row>
    <row r="11620" spans="8:8">
      <c r="H11620" t="s">
        <v>27675</v>
      </c>
    </row>
    <row r="11621" spans="8:8">
      <c r="H11621" t="s">
        <v>27676</v>
      </c>
    </row>
    <row r="11622" spans="8:8">
      <c r="H11622" t="s">
        <v>27677</v>
      </c>
    </row>
    <row r="11623" spans="8:8">
      <c r="H11623" t="s">
        <v>27678</v>
      </c>
    </row>
    <row r="11624" spans="8:8">
      <c r="H11624" t="s">
        <v>27679</v>
      </c>
    </row>
    <row r="11625" spans="8:8">
      <c r="H11625" t="s">
        <v>27681</v>
      </c>
    </row>
    <row r="11626" spans="8:8">
      <c r="H11626" t="s">
        <v>27682</v>
      </c>
    </row>
    <row r="11627" spans="8:8">
      <c r="H11627" t="s">
        <v>27683</v>
      </c>
    </row>
    <row r="11628" spans="8:8">
      <c r="H11628" t="s">
        <v>27684</v>
      </c>
    </row>
    <row r="11629" spans="8:8">
      <c r="H11629" t="s">
        <v>27685</v>
      </c>
    </row>
    <row r="11630" spans="8:8">
      <c r="H11630" t="s">
        <v>27686</v>
      </c>
    </row>
    <row r="11631" spans="8:8">
      <c r="H11631" t="s">
        <v>27687</v>
      </c>
    </row>
    <row r="11632" spans="8:8">
      <c r="H11632" t="s">
        <v>27688</v>
      </c>
    </row>
    <row r="11633" spans="6:8">
      <c r="F11633" t="s">
        <v>12932</v>
      </c>
      <c r="G11633" t="s">
        <v>17097</v>
      </c>
      <c r="H11633" t="s">
        <v>27691</v>
      </c>
    </row>
    <row r="11634" spans="6:8">
      <c r="H11634" t="s">
        <v>27692</v>
      </c>
    </row>
    <row r="11635" spans="6:8">
      <c r="H11635" t="s">
        <v>27693</v>
      </c>
    </row>
    <row r="11636" spans="6:8">
      <c r="H11636" t="s">
        <v>27694</v>
      </c>
    </row>
    <row r="11637" spans="6:8">
      <c r="H11637" t="s">
        <v>27695</v>
      </c>
    </row>
    <row r="11638" spans="6:8">
      <c r="H11638" t="s">
        <v>27696</v>
      </c>
    </row>
    <row r="11639" spans="6:8">
      <c r="H11639" t="s">
        <v>27697</v>
      </c>
    </row>
    <row r="11640" spans="6:8">
      <c r="F11640" t="s">
        <v>12943</v>
      </c>
      <c r="G11640" t="s">
        <v>17107</v>
      </c>
      <c r="H11640" t="s">
        <v>27698</v>
      </c>
    </row>
    <row r="11641" spans="6:8">
      <c r="H11641" t="s">
        <v>27699</v>
      </c>
    </row>
    <row r="11642" spans="6:8">
      <c r="H11642" t="s">
        <v>27700</v>
      </c>
    </row>
    <row r="11643" spans="6:8">
      <c r="H11643" t="s">
        <v>27701</v>
      </c>
    </row>
    <row r="11644" spans="6:8">
      <c r="F11644" t="s">
        <v>12945</v>
      </c>
      <c r="G11644" t="s">
        <v>17110</v>
      </c>
      <c r="H11644" t="s">
        <v>27707</v>
      </c>
    </row>
    <row r="11645" spans="6:8">
      <c r="H11645" t="s">
        <v>27708</v>
      </c>
    </row>
    <row r="11646" spans="6:8">
      <c r="H11646" t="s">
        <v>27709</v>
      </c>
    </row>
    <row r="11647" spans="6:8">
      <c r="H11647" t="s">
        <v>27710</v>
      </c>
    </row>
    <row r="11648" spans="6:8">
      <c r="H11648" t="s">
        <v>27711</v>
      </c>
    </row>
    <row r="11649" spans="1:8">
      <c r="F11649" t="s">
        <v>12946</v>
      </c>
      <c r="G11649" t="s">
        <v>17111</v>
      </c>
      <c r="H11649" t="s">
        <v>27712</v>
      </c>
    </row>
    <row r="11650" spans="1:8">
      <c r="H11650" t="s">
        <v>27713</v>
      </c>
    </row>
    <row r="11651" spans="1:8">
      <c r="H11651" t="s">
        <v>27714</v>
      </c>
    </row>
    <row r="11652" spans="1:8">
      <c r="H11652" t="s">
        <v>27715</v>
      </c>
    </row>
    <row r="11653" spans="1:8">
      <c r="F11653" t="s">
        <v>12947</v>
      </c>
      <c r="G11653" t="s">
        <v>17112</v>
      </c>
      <c r="H11653" t="s">
        <v>27716</v>
      </c>
    </row>
    <row r="11654" spans="1:8">
      <c r="A11654" t="s">
        <v>1263</v>
      </c>
      <c r="B11654">
        <f>HYPERLINK("https://android.googlesource.com/platform/cts/+/6828f2e7323dd14481977986bf98be47f9b6069f", "6828f2e7323dd14481977986bf98be47f9b6069f")</f>
        <v>0</v>
      </c>
      <c r="C11654">
        <f>HYPERLINK("https://android.googlesource.com/platform/cts/+/6b1b1ae5068fc009f44c191b17b14288822f8f82", "6b1b1ae5068fc009f44c191b17b14288822f8f82")</f>
        <v>0</v>
      </c>
      <c r="D11654" t="s">
        <v>5143</v>
      </c>
      <c r="E11654" t="s">
        <v>7037</v>
      </c>
      <c r="F11654" t="s">
        <v>12310</v>
      </c>
      <c r="G11654" t="s">
        <v>16541</v>
      </c>
      <c r="H11654" t="s">
        <v>27720</v>
      </c>
    </row>
    <row r="11655" spans="1:8">
      <c r="F11655" t="s">
        <v>13067</v>
      </c>
      <c r="G11655" t="s">
        <v>17230</v>
      </c>
      <c r="H11655" t="s">
        <v>27723</v>
      </c>
    </row>
    <row r="11656" spans="1:8">
      <c r="A11656" t="s">
        <v>1264</v>
      </c>
      <c r="B11656">
        <f>HYPERLINK("https://android.googlesource.com/platform/cts/+/4495565d1c6a2a979937006e6d452b3b4deeef4c", "4495565d1c6a2a979937006e6d452b3b4deeef4c")</f>
        <v>0</v>
      </c>
      <c r="C11656">
        <f>HYPERLINK("https://android.googlesource.com/platform/cts/+/4c7b18e85be78095069bbfb59c6ecf4046dce466", "4c7b18e85be78095069bbfb59c6ecf4046dce466")</f>
        <v>0</v>
      </c>
      <c r="D11656" t="s">
        <v>5085</v>
      </c>
      <c r="E11656" t="s">
        <v>7038</v>
      </c>
      <c r="F11656" t="s">
        <v>13073</v>
      </c>
      <c r="G11656" t="s">
        <v>17056</v>
      </c>
      <c r="H11656" t="s">
        <v>27739</v>
      </c>
    </row>
    <row r="11657" spans="1:8">
      <c r="A11657" t="s">
        <v>1265</v>
      </c>
      <c r="B11657">
        <f>HYPERLINK("https://android.googlesource.com/platform/cts/+/0adb9d13b173219730eec4e9a07b9f68c3964fcc", "0adb9d13b173219730eec4e9a07b9f68c3964fcc")</f>
        <v>0</v>
      </c>
      <c r="C11657">
        <f>HYPERLINK("https://android.googlesource.com/platform/cts/+/6b1b1ae5068fc009f44c191b17b14288822f8f82", "6b1b1ae5068fc009f44c191b17b14288822f8f82")</f>
        <v>0</v>
      </c>
      <c r="D11657" t="s">
        <v>5143</v>
      </c>
      <c r="E11657" t="s">
        <v>7039</v>
      </c>
      <c r="F11657" t="s">
        <v>12344</v>
      </c>
      <c r="G11657" t="s">
        <v>16572</v>
      </c>
      <c r="H11657" t="s">
        <v>27742</v>
      </c>
    </row>
    <row r="11658" spans="1:8">
      <c r="F11658" t="s">
        <v>12857</v>
      </c>
      <c r="G11658" t="s">
        <v>17027</v>
      </c>
      <c r="H11658" t="s">
        <v>27754</v>
      </c>
    </row>
    <row r="11659" spans="1:8">
      <c r="H11659" t="s">
        <v>27755</v>
      </c>
    </row>
    <row r="11660" spans="1:8">
      <c r="H11660" t="s">
        <v>27756</v>
      </c>
    </row>
    <row r="11661" spans="1:8">
      <c r="H11661" t="s">
        <v>27757</v>
      </c>
    </row>
    <row r="11662" spans="1:8">
      <c r="H11662" t="s">
        <v>27758</v>
      </c>
    </row>
    <row r="11663" spans="1:8">
      <c r="H11663" t="s">
        <v>27759</v>
      </c>
    </row>
    <row r="11664" spans="1:8">
      <c r="H11664" t="s">
        <v>27760</v>
      </c>
    </row>
    <row r="11665" spans="1:8">
      <c r="A11665" t="s">
        <v>1266</v>
      </c>
      <c r="B11665">
        <f>HYPERLINK("https://android.googlesource.com/platform/cts/+/4b87605eb5dda80fad0c770b46342cdfbae44fd4", "4b87605eb5dda80fad0c770b46342cdfbae44fd4")</f>
        <v>0</v>
      </c>
      <c r="C11665">
        <f>HYPERLINK("https://android.googlesource.com/platform/cts/+/4c7b18e85be78095069bbfb59c6ecf4046dce466", "4c7b18e85be78095069bbfb59c6ecf4046dce466")</f>
        <v>0</v>
      </c>
      <c r="D11665" t="s">
        <v>5143</v>
      </c>
      <c r="E11665" t="s">
        <v>7040</v>
      </c>
      <c r="F11665" t="s">
        <v>13076</v>
      </c>
      <c r="G11665" t="s">
        <v>17238</v>
      </c>
      <c r="H11665" t="s">
        <v>27772</v>
      </c>
    </row>
    <row r="11666" spans="1:8">
      <c r="F11666" t="s">
        <v>13077</v>
      </c>
      <c r="G11666" t="s">
        <v>17239</v>
      </c>
      <c r="H11666" t="s">
        <v>27776</v>
      </c>
    </row>
    <row r="11667" spans="1:8">
      <c r="A11667" t="s">
        <v>1267</v>
      </c>
      <c r="B11667">
        <f>HYPERLINK("https://android.googlesource.com/platform/cts/+/77bf127037cf0245b224277ca7e9aab232cd9224", "77bf127037cf0245b224277ca7e9aab232cd9224")</f>
        <v>0</v>
      </c>
      <c r="C11667">
        <f>HYPERLINK("https://android.googlesource.com/platform/cts/+/4ae020cf4c653de69ab4c216dd10fc44b8a099e5", "4ae020cf4c653de69ab4c216dd10fc44b8a099e5")</f>
        <v>0</v>
      </c>
      <c r="D11667" t="s">
        <v>5143</v>
      </c>
      <c r="E11667" t="s">
        <v>7041</v>
      </c>
      <c r="F11667" t="s">
        <v>10733</v>
      </c>
      <c r="G11667" t="s">
        <v>15132</v>
      </c>
      <c r="H11667" t="s">
        <v>27785</v>
      </c>
    </row>
    <row r="11668" spans="1:8">
      <c r="H11668" t="s">
        <v>27786</v>
      </c>
    </row>
    <row r="11669" spans="1:8">
      <c r="H11669" t="s">
        <v>27787</v>
      </c>
    </row>
    <row r="11670" spans="1:8">
      <c r="A11670" t="s">
        <v>1268</v>
      </c>
      <c r="B11670">
        <f>HYPERLINK("https://android.googlesource.com/platform/cts/+/7c83e14b70e7a87e2331fb9d7d6a390c848db51d", "7c83e14b70e7a87e2331fb9d7d6a390c848db51d")</f>
        <v>0</v>
      </c>
      <c r="C11670">
        <f>HYPERLINK("https://android.googlesource.com/platform/cts/+/4ae020cf4c653de69ab4c216dd10fc44b8a099e5", "4ae020cf4c653de69ab4c216dd10fc44b8a099e5")</f>
        <v>0</v>
      </c>
      <c r="D11670" t="s">
        <v>5143</v>
      </c>
      <c r="E11670" t="s">
        <v>7042</v>
      </c>
      <c r="F11670" t="s">
        <v>13082</v>
      </c>
      <c r="G11670" t="s">
        <v>17244</v>
      </c>
      <c r="H11670" t="s">
        <v>27795</v>
      </c>
    </row>
    <row r="11671" spans="1:8">
      <c r="A11671" t="s">
        <v>1269</v>
      </c>
      <c r="B11671">
        <f>HYPERLINK("https://android.googlesource.com/platform/cts/+/5c2e80fb5930c72fbe18a16972df16283995f9e8", "5c2e80fb5930c72fbe18a16972df16283995f9e8")</f>
        <v>0</v>
      </c>
      <c r="C11671">
        <f>HYPERLINK("https://android.googlesource.com/platform/cts/+/77bf127037cf0245b224277ca7e9aab232cd9224", "77bf127037cf0245b224277ca7e9aab232cd9224")</f>
        <v>0</v>
      </c>
      <c r="D11671" t="s">
        <v>5143</v>
      </c>
      <c r="E11671" t="s">
        <v>7043</v>
      </c>
      <c r="F11671" t="s">
        <v>13090</v>
      </c>
      <c r="G11671" t="s">
        <v>17252</v>
      </c>
      <c r="H11671" t="s">
        <v>27808</v>
      </c>
    </row>
    <row r="11672" spans="1:8">
      <c r="H11672" t="s">
        <v>27809</v>
      </c>
    </row>
    <row r="11673" spans="1:8">
      <c r="F11673" t="s">
        <v>11471</v>
      </c>
      <c r="G11673" t="s">
        <v>15711</v>
      </c>
      <c r="H11673" t="s">
        <v>27810</v>
      </c>
    </row>
    <row r="11674" spans="1:8">
      <c r="H11674" t="s">
        <v>27811</v>
      </c>
    </row>
    <row r="11675" spans="1:8">
      <c r="H11675" t="s">
        <v>27812</v>
      </c>
    </row>
    <row r="11676" spans="1:8">
      <c r="F11676" t="s">
        <v>13091</v>
      </c>
      <c r="G11676" t="s">
        <v>17253</v>
      </c>
      <c r="H11676" t="s">
        <v>27813</v>
      </c>
    </row>
    <row r="11677" spans="1:8">
      <c r="F11677" t="s">
        <v>10596</v>
      </c>
      <c r="G11677" t="s">
        <v>14999</v>
      </c>
      <c r="H11677" t="s">
        <v>27814</v>
      </c>
    </row>
    <row r="11678" spans="1:8">
      <c r="H11678" t="s">
        <v>27815</v>
      </c>
    </row>
    <row r="11679" spans="1:8">
      <c r="A11679" t="s">
        <v>1270</v>
      </c>
      <c r="B11679">
        <f>HYPERLINK("https://android.googlesource.com/platform/cts/+/cb78d3922e94a86d54fe3920b4d13d387fce441a", "cb78d3922e94a86d54fe3920b4d13d387fce441a")</f>
        <v>0</v>
      </c>
      <c r="C11679">
        <f>HYPERLINK("https://android.googlesource.com/platform/cts/+/43b85ed018f27c930d9d799f32bcee09af428eb1", "43b85ed018f27c930d9d799f32bcee09af428eb1")</f>
        <v>0</v>
      </c>
      <c r="D11679" t="s">
        <v>5173</v>
      </c>
      <c r="E11679" t="s">
        <v>7044</v>
      </c>
      <c r="F11679" t="s">
        <v>12616</v>
      </c>
      <c r="G11679" t="s">
        <v>16827</v>
      </c>
      <c r="H11679" t="s">
        <v>27817</v>
      </c>
    </row>
    <row r="11680" spans="1:8">
      <c r="H11680" t="s">
        <v>27818</v>
      </c>
    </row>
    <row r="11681" spans="1:8">
      <c r="A11681" t="s">
        <v>1274</v>
      </c>
      <c r="B11681">
        <f>HYPERLINK("https://android.googlesource.com/platform/cts/+/9aa6451ba5b071f40b4c38d05858203696284eff", "9aa6451ba5b071f40b4c38d05858203696284eff")</f>
        <v>0</v>
      </c>
      <c r="C11681">
        <f>HYPERLINK("https://android.googlesource.com/platform/cts/+/e9766ec7a3bfd338e1865ecf8700d7d196206312", "e9766ec7a3bfd338e1865ecf8700d7d196206312")</f>
        <v>0</v>
      </c>
      <c r="D11681" t="s">
        <v>5143</v>
      </c>
      <c r="E11681" t="s">
        <v>7048</v>
      </c>
      <c r="F11681" t="s">
        <v>12335</v>
      </c>
      <c r="G11681" t="s">
        <v>16563</v>
      </c>
      <c r="H11681" t="s">
        <v>18983</v>
      </c>
    </row>
    <row r="11682" spans="1:8">
      <c r="A11682" t="s">
        <v>1275</v>
      </c>
      <c r="B11682">
        <f>HYPERLINK("https://android.googlesource.com/platform/cts/+/24fee45e900df980543f9248238b3854ad2a258d", "24fee45e900df980543f9248238b3854ad2a258d")</f>
        <v>0</v>
      </c>
      <c r="C11682">
        <f>HYPERLINK("https://android.googlesource.com/platform/cts/+/330dd441bc45b601749c1dd3c3a3595d1b1267f5", "330dd441bc45b601749c1dd3c3a3595d1b1267f5")</f>
        <v>0</v>
      </c>
      <c r="D11682" t="s">
        <v>5085</v>
      </c>
      <c r="E11682" t="s">
        <v>7049</v>
      </c>
      <c r="F11682" t="s">
        <v>13073</v>
      </c>
      <c r="G11682" t="s">
        <v>17056</v>
      </c>
      <c r="H11682" t="s">
        <v>27739</v>
      </c>
    </row>
    <row r="11683" spans="1:8">
      <c r="A11683" t="s">
        <v>1276</v>
      </c>
      <c r="B11683">
        <f>HYPERLINK("https://android.googlesource.com/platform/cts/+/047c430fa4b8c5dfb7735fe32b8a3d5abf8bbbaf", "047c430fa4b8c5dfb7735fe32b8a3d5abf8bbbaf")</f>
        <v>0</v>
      </c>
      <c r="C11683">
        <f>HYPERLINK("https://android.googlesource.com/platform/cts/+/4d75b7492d1eb9ee3fb705e45f56db6209ee8881", "4d75b7492d1eb9ee3fb705e45f56db6209ee8881")</f>
        <v>0</v>
      </c>
      <c r="D11683" t="s">
        <v>5176</v>
      </c>
      <c r="E11683" t="s">
        <v>7050</v>
      </c>
      <c r="F11683" t="s">
        <v>10794</v>
      </c>
      <c r="G11683" t="s">
        <v>15189</v>
      </c>
      <c r="H11683" t="s">
        <v>18836</v>
      </c>
    </row>
    <row r="11684" spans="1:8">
      <c r="A11684" t="s">
        <v>1277</v>
      </c>
      <c r="B11684">
        <f>HYPERLINK("https://android.googlesource.com/platform/cts/+/e6006b05281094c1af1c2f33e2c5add08242bc5d", "e6006b05281094c1af1c2f33e2c5add08242bc5d")</f>
        <v>0</v>
      </c>
      <c r="C11684">
        <f>HYPERLINK("https://android.googlesource.com/platform/cts/+/407aa46e8970ee92de7ba3cbbb3f7617e6e386cb", "407aa46e8970ee92de7ba3cbbb3f7617e6e386cb")</f>
        <v>0</v>
      </c>
      <c r="D11684" t="s">
        <v>5143</v>
      </c>
      <c r="E11684" t="s">
        <v>7051</v>
      </c>
      <c r="F11684" t="s">
        <v>12793</v>
      </c>
      <c r="G11684" t="s">
        <v>16976</v>
      </c>
      <c r="H11684" t="s">
        <v>27842</v>
      </c>
    </row>
    <row r="11685" spans="1:8">
      <c r="F11685" t="s">
        <v>10780</v>
      </c>
      <c r="G11685" t="s">
        <v>15176</v>
      </c>
      <c r="H11685" t="s">
        <v>27854</v>
      </c>
    </row>
    <row r="11686" spans="1:8">
      <c r="A11686" t="s">
        <v>1278</v>
      </c>
      <c r="B11686">
        <f>HYPERLINK("https://android.googlesource.com/platform/cts/+/f2c0f4bdb245a805552f40039f0c5256df029547", "f2c0f4bdb245a805552f40039f0c5256df029547")</f>
        <v>0</v>
      </c>
      <c r="C11686">
        <f>HYPERLINK("https://android.googlesource.com/platform/cts/+/ef1a6197a0994cbc10807e85d4a196d17e86ebe1", "ef1a6197a0994cbc10807e85d4a196d17e86ebe1")</f>
        <v>0</v>
      </c>
      <c r="D11686" t="s">
        <v>5143</v>
      </c>
      <c r="E11686" t="s">
        <v>7052</v>
      </c>
      <c r="F11686" t="s">
        <v>13101</v>
      </c>
      <c r="G11686" t="s">
        <v>17263</v>
      </c>
      <c r="H11686" t="s">
        <v>19073</v>
      </c>
    </row>
    <row r="11687" spans="1:8">
      <c r="F11687" t="s">
        <v>10782</v>
      </c>
      <c r="G11687" t="s">
        <v>15178</v>
      </c>
      <c r="H11687" t="s">
        <v>26410</v>
      </c>
    </row>
    <row r="11688" spans="1:8">
      <c r="F11688" t="s">
        <v>10646</v>
      </c>
      <c r="G11688" t="s">
        <v>15047</v>
      </c>
      <c r="H11688" t="s">
        <v>18983</v>
      </c>
    </row>
    <row r="11689" spans="1:8">
      <c r="H11689" t="s">
        <v>19074</v>
      </c>
    </row>
    <row r="11690" spans="1:8">
      <c r="F11690" t="s">
        <v>13104</v>
      </c>
      <c r="G11690" t="s">
        <v>17266</v>
      </c>
      <c r="H11690" t="s">
        <v>19073</v>
      </c>
    </row>
    <row r="11691" spans="1:8">
      <c r="A11691" t="s">
        <v>1279</v>
      </c>
      <c r="B11691">
        <f>HYPERLINK("https://android.googlesource.com/platform/cts/+/f3758dd8f19df415349232783138dbda32cb6b48", "f3758dd8f19df415349232783138dbda32cb6b48")</f>
        <v>0</v>
      </c>
      <c r="C11691">
        <f>HYPERLINK("https://android.googlesource.com/platform/cts/+/ef1a6197a0994cbc10807e85d4a196d17e86ebe1", "ef1a6197a0994cbc10807e85d4a196d17e86ebe1")</f>
        <v>0</v>
      </c>
      <c r="D11691" t="s">
        <v>5143</v>
      </c>
      <c r="E11691" t="s">
        <v>7053</v>
      </c>
      <c r="F11691" t="s">
        <v>10647</v>
      </c>
      <c r="G11691" t="s">
        <v>15048</v>
      </c>
      <c r="H11691" t="s">
        <v>27889</v>
      </c>
    </row>
    <row r="11692" spans="1:8">
      <c r="A11692" t="s">
        <v>1280</v>
      </c>
      <c r="B11692">
        <f>HYPERLINK("https://android.googlesource.com/platform/cts/+/614d1ea50c6b5b00f54e09d3643482ee87452c9e", "614d1ea50c6b5b00f54e09d3643482ee87452c9e")</f>
        <v>0</v>
      </c>
      <c r="C11692">
        <f>HYPERLINK("https://android.googlesource.com/platform/cts/+/ef1a6197a0994cbc10807e85d4a196d17e86ebe1", "ef1a6197a0994cbc10807e85d4a196d17e86ebe1")</f>
        <v>0</v>
      </c>
      <c r="D11692" t="s">
        <v>5143</v>
      </c>
      <c r="E11692" t="s">
        <v>7054</v>
      </c>
      <c r="F11692" t="s">
        <v>10625</v>
      </c>
      <c r="G11692" t="s">
        <v>15028</v>
      </c>
      <c r="H11692" t="s">
        <v>27898</v>
      </c>
    </row>
    <row r="11693" spans="1:8">
      <c r="H11693" t="s">
        <v>27899</v>
      </c>
    </row>
    <row r="11694" spans="1:8">
      <c r="A11694" t="s">
        <v>1281</v>
      </c>
      <c r="B11694">
        <f>HYPERLINK("https://android.googlesource.com/platform/cts/+/b4be6a5eb49690759c8a6c921050909a178bb880", "b4be6a5eb49690759c8a6c921050909a178bb880")</f>
        <v>0</v>
      </c>
      <c r="C11694">
        <f>HYPERLINK("https://android.googlesource.com/platform/cts/+/d51ba4034a02227b21a6326b04f874420d842aed", "d51ba4034a02227b21a6326b04f874420d842aed")</f>
        <v>0</v>
      </c>
      <c r="D11694" t="s">
        <v>5085</v>
      </c>
      <c r="E11694" t="s">
        <v>7055</v>
      </c>
      <c r="F11694" t="s">
        <v>13073</v>
      </c>
      <c r="G11694" t="s">
        <v>17056</v>
      </c>
      <c r="H11694" t="s">
        <v>27739</v>
      </c>
    </row>
    <row r="11695" spans="1:8">
      <c r="A11695" t="s">
        <v>1283</v>
      </c>
      <c r="B11695">
        <f>HYPERLINK("https://android.googlesource.com/platform/cts/+/0ca4f08cf337e15452e8c5ce23ea49837f6346b2", "0ca4f08cf337e15452e8c5ce23ea49837f6346b2")</f>
        <v>0</v>
      </c>
      <c r="C11695">
        <f>HYPERLINK("https://android.googlesource.com/platform/cts/+/5a8f0d5cdbf2af65e8613f6431c71ea882539a31", "5a8f0d5cdbf2af65e8613f6431c71ea882539a31")</f>
        <v>0</v>
      </c>
      <c r="D11695" t="s">
        <v>5143</v>
      </c>
      <c r="E11695" t="s">
        <v>7057</v>
      </c>
      <c r="F11695" t="s">
        <v>13110</v>
      </c>
      <c r="G11695" t="s">
        <v>17272</v>
      </c>
      <c r="H11695" t="s">
        <v>27916</v>
      </c>
    </row>
    <row r="11696" spans="1:8">
      <c r="H11696" t="s">
        <v>27917</v>
      </c>
    </row>
    <row r="11697" spans="1:8">
      <c r="A11697" t="s">
        <v>1285</v>
      </c>
      <c r="B11697">
        <f>HYPERLINK("https://android.googlesource.com/platform/cts/+/b3f0a0aff12a1d24b3c570286c059c3f0d22fc03", "b3f0a0aff12a1d24b3c570286c059c3f0d22fc03")</f>
        <v>0</v>
      </c>
      <c r="C11697">
        <f>HYPERLINK("https://android.googlesource.com/platform/cts/+/0ca4f08cf337e15452e8c5ce23ea49837f6346b2", "0ca4f08cf337e15452e8c5ce23ea49837f6346b2")</f>
        <v>0</v>
      </c>
      <c r="D11697" t="s">
        <v>5143</v>
      </c>
      <c r="E11697" t="s">
        <v>7058</v>
      </c>
      <c r="F11697" t="s">
        <v>10627</v>
      </c>
      <c r="G11697" t="s">
        <v>15030</v>
      </c>
      <c r="H11697" t="s">
        <v>27921</v>
      </c>
    </row>
    <row r="11698" spans="1:8">
      <c r="H11698" t="s">
        <v>27922</v>
      </c>
    </row>
    <row r="11699" spans="1:8">
      <c r="H11699" t="s">
        <v>27925</v>
      </c>
    </row>
    <row r="11700" spans="1:8">
      <c r="H11700" t="s">
        <v>27926</v>
      </c>
    </row>
    <row r="11701" spans="1:8">
      <c r="H11701" t="s">
        <v>27927</v>
      </c>
    </row>
    <row r="11702" spans="1:8">
      <c r="H11702" t="s">
        <v>27928</v>
      </c>
    </row>
    <row r="11703" spans="1:8">
      <c r="H11703" t="s">
        <v>27929</v>
      </c>
    </row>
    <row r="11704" spans="1:8">
      <c r="H11704" t="s">
        <v>27930</v>
      </c>
    </row>
    <row r="11705" spans="1:8">
      <c r="H11705" t="s">
        <v>27931</v>
      </c>
    </row>
    <row r="11706" spans="1:8">
      <c r="H11706" t="s">
        <v>27932</v>
      </c>
    </row>
    <row r="11707" spans="1:8">
      <c r="H11707" t="s">
        <v>27933</v>
      </c>
    </row>
    <row r="11708" spans="1:8">
      <c r="H11708" t="s">
        <v>27934</v>
      </c>
    </row>
    <row r="11709" spans="1:8">
      <c r="H11709" t="s">
        <v>27935</v>
      </c>
    </row>
    <row r="11710" spans="1:8">
      <c r="H11710" t="s">
        <v>27936</v>
      </c>
    </row>
    <row r="11711" spans="1:8">
      <c r="H11711" t="s">
        <v>27937</v>
      </c>
    </row>
    <row r="11712" spans="1:8">
      <c r="H11712" t="s">
        <v>27938</v>
      </c>
    </row>
    <row r="11713" spans="1:8">
      <c r="A11713" t="s">
        <v>1286</v>
      </c>
      <c r="B11713">
        <f>HYPERLINK("https://android.googlesource.com/platform/cts/+/6c6ebc13b2a14a7eb141ddbd9fbcc3e8279acec7", "6c6ebc13b2a14a7eb141ddbd9fbcc3e8279acec7")</f>
        <v>0</v>
      </c>
      <c r="C11713">
        <f>HYPERLINK("https://android.googlesource.com/platform/cts/+/0ca4f08cf337e15452e8c5ce23ea49837f6346b2", "0ca4f08cf337e15452e8c5ce23ea49837f6346b2")</f>
        <v>0</v>
      </c>
      <c r="D11713" t="s">
        <v>5143</v>
      </c>
      <c r="E11713" t="s">
        <v>7059</v>
      </c>
      <c r="F11713" t="s">
        <v>12912</v>
      </c>
      <c r="G11713" t="s">
        <v>17078</v>
      </c>
      <c r="H11713" t="s">
        <v>27942</v>
      </c>
    </row>
    <row r="11714" spans="1:8">
      <c r="H11714" t="s">
        <v>27943</v>
      </c>
    </row>
    <row r="11715" spans="1:8">
      <c r="H11715" t="s">
        <v>27944</v>
      </c>
    </row>
    <row r="11716" spans="1:8">
      <c r="H11716" t="s">
        <v>27945</v>
      </c>
    </row>
    <row r="11717" spans="1:8">
      <c r="A11717" t="s">
        <v>1287</v>
      </c>
      <c r="B11717">
        <f>HYPERLINK("https://android.googlesource.com/platform/cts/+/edb8aec92abd43a13f7982844c0d53cac681f580", "edb8aec92abd43a13f7982844c0d53cac681f580")</f>
        <v>0</v>
      </c>
      <c r="C11717">
        <f>HYPERLINK("https://android.googlesource.com/platform/cts/+/0ca4f08cf337e15452e8c5ce23ea49837f6346b2", "0ca4f08cf337e15452e8c5ce23ea49837f6346b2")</f>
        <v>0</v>
      </c>
      <c r="D11717" t="s">
        <v>5143</v>
      </c>
      <c r="E11717" t="s">
        <v>7060</v>
      </c>
      <c r="F11717" t="s">
        <v>10597</v>
      </c>
      <c r="G11717" t="s">
        <v>15000</v>
      </c>
      <c r="H11717" t="s">
        <v>27956</v>
      </c>
    </row>
    <row r="11718" spans="1:8">
      <c r="H11718" t="s">
        <v>27957</v>
      </c>
    </row>
    <row r="11719" spans="1:8">
      <c r="H11719" t="s">
        <v>27958</v>
      </c>
    </row>
    <row r="11720" spans="1:8">
      <c r="H11720" t="s">
        <v>27959</v>
      </c>
    </row>
    <row r="11721" spans="1:8">
      <c r="H11721" t="s">
        <v>27960</v>
      </c>
    </row>
    <row r="11722" spans="1:8">
      <c r="A11722" t="s">
        <v>1288</v>
      </c>
      <c r="B11722">
        <f>HYPERLINK("https://android.googlesource.com/platform/cts/+/31758c5853246db35cf44e1cf837210612d936f6", "31758c5853246db35cf44e1cf837210612d936f6")</f>
        <v>0</v>
      </c>
      <c r="C11722">
        <f>HYPERLINK("https://android.googlesource.com/platform/cts/+/f49ff4fd1ba6c741f7435d7c39772b87e66d89a9", "f49ff4fd1ba6c741f7435d7c39772b87e66d89a9")</f>
        <v>0</v>
      </c>
      <c r="D11722" t="s">
        <v>5143</v>
      </c>
      <c r="E11722" t="s">
        <v>7061</v>
      </c>
      <c r="F11722" t="s">
        <v>10634</v>
      </c>
      <c r="G11722" t="s">
        <v>15037</v>
      </c>
      <c r="H11722" t="s">
        <v>27961</v>
      </c>
    </row>
    <row r="11723" spans="1:8">
      <c r="A11723" t="s">
        <v>1289</v>
      </c>
      <c r="B11723">
        <f>HYPERLINK("https://android.googlesource.com/platform/cts/+/15e8f60a46b91864e039f608f5df8098b4483203", "15e8f60a46b91864e039f608f5df8098b4483203")</f>
        <v>0</v>
      </c>
      <c r="C11723">
        <f>HYPERLINK("https://android.googlesource.com/platform/cts/+/f49ff4fd1ba6c741f7435d7c39772b87e66d89a9", "f49ff4fd1ba6c741f7435d7c39772b87e66d89a9")</f>
        <v>0</v>
      </c>
      <c r="D11723" t="s">
        <v>5143</v>
      </c>
      <c r="E11723" t="s">
        <v>7062</v>
      </c>
      <c r="F11723" t="s">
        <v>13121</v>
      </c>
      <c r="G11723" t="s">
        <v>17283</v>
      </c>
      <c r="H11723" t="s">
        <v>28004</v>
      </c>
    </row>
    <row r="11724" spans="1:8">
      <c r="H11724" t="s">
        <v>28005</v>
      </c>
    </row>
    <row r="11725" spans="1:8">
      <c r="A11725" t="s">
        <v>1294</v>
      </c>
      <c r="B11725">
        <f>HYPERLINK("https://android.googlesource.com/platform/cts/+/66fe1509996c1e502fe306cd90cdccf512deaacc", "66fe1509996c1e502fe306cd90cdccf512deaacc")</f>
        <v>0</v>
      </c>
      <c r="C11725">
        <f>HYPERLINK("https://android.googlesource.com/platform/cts/+/90b60f9f09df1a72566ae19db1987575179ae2c9", "90b60f9f09df1a72566ae19db1987575179ae2c9")</f>
        <v>0</v>
      </c>
      <c r="D11725" t="s">
        <v>4965</v>
      </c>
      <c r="E11725" t="s">
        <v>7067</v>
      </c>
      <c r="F11725" t="s">
        <v>13127</v>
      </c>
      <c r="G11725" t="s">
        <v>17203</v>
      </c>
      <c r="H11725" t="s">
        <v>27500</v>
      </c>
    </row>
    <row r="11726" spans="1:8">
      <c r="H11726" t="s">
        <v>27501</v>
      </c>
    </row>
    <row r="11727" spans="1:8">
      <c r="A11727" t="s">
        <v>1296</v>
      </c>
      <c r="B11727">
        <f>HYPERLINK("https://android.googlesource.com/platform/cts/+/767d645f06defd335d7d4696d4639e7e0b6808bc", "767d645f06defd335d7d4696d4639e7e0b6808bc")</f>
        <v>0</v>
      </c>
      <c r="C11727">
        <f>HYPERLINK("https://android.googlesource.com/platform/cts/+/d8c0a46fb7b3085fc579312b64f595ed09a58a92", "d8c0a46fb7b3085fc579312b64f595ed09a58a92")</f>
        <v>0</v>
      </c>
      <c r="D11727" t="s">
        <v>5143</v>
      </c>
      <c r="E11727" t="s">
        <v>7069</v>
      </c>
      <c r="F11727" t="s">
        <v>13026</v>
      </c>
      <c r="G11727" t="s">
        <v>17190</v>
      </c>
      <c r="H11727" t="s">
        <v>28011</v>
      </c>
    </row>
    <row r="11728" spans="1:8">
      <c r="H11728" t="s">
        <v>28012</v>
      </c>
    </row>
    <row r="11729" spans="1:8">
      <c r="H11729" t="s">
        <v>28013</v>
      </c>
    </row>
    <row r="11730" spans="1:8">
      <c r="H11730" t="s">
        <v>28014</v>
      </c>
    </row>
    <row r="11731" spans="1:8">
      <c r="H11731" t="s">
        <v>28015</v>
      </c>
    </row>
    <row r="11732" spans="1:8">
      <c r="H11732" t="s">
        <v>28016</v>
      </c>
    </row>
    <row r="11733" spans="1:8">
      <c r="A11733" t="s">
        <v>1298</v>
      </c>
      <c r="B11733">
        <f>HYPERLINK("https://android.googlesource.com/platform/cts/+/43f1bfdde935f7178b907950b45e33b5082e55ab", "43f1bfdde935f7178b907950b45e33b5082e55ab")</f>
        <v>0</v>
      </c>
      <c r="C11733">
        <f>HYPERLINK("https://android.googlesource.com/platform/cts/+/767d645f06defd335d7d4696d4639e7e0b6808bc", "767d645f06defd335d7d4696d4639e7e0b6808bc")</f>
        <v>0</v>
      </c>
      <c r="D11733" t="s">
        <v>5143</v>
      </c>
      <c r="E11733" t="s">
        <v>7071</v>
      </c>
      <c r="F11733" t="s">
        <v>13026</v>
      </c>
      <c r="G11733" t="s">
        <v>17190</v>
      </c>
      <c r="H11733" t="s">
        <v>28019</v>
      </c>
    </row>
    <row r="11734" spans="1:8">
      <c r="H11734" t="s">
        <v>28020</v>
      </c>
    </row>
    <row r="11735" spans="1:8">
      <c r="H11735" t="s">
        <v>28021</v>
      </c>
    </row>
    <row r="11736" spans="1:8">
      <c r="A11736" t="s">
        <v>1299</v>
      </c>
      <c r="B11736">
        <f>HYPERLINK("https://android.googlesource.com/platform/cts/+/f684504f461432b3688cd61350765ff48754d65e", "f684504f461432b3688cd61350765ff48754d65e")</f>
        <v>0</v>
      </c>
      <c r="C11736">
        <f>HYPERLINK("https://android.googlesource.com/platform/cts/+/f97935a20e2cfedc2a4e79cf4c0bb3efce1faa89", "f97935a20e2cfedc2a4e79cf4c0bb3efce1faa89")</f>
        <v>0</v>
      </c>
      <c r="D11736" t="s">
        <v>5183</v>
      </c>
      <c r="E11736" t="s">
        <v>7072</v>
      </c>
      <c r="F11736" t="s">
        <v>13129</v>
      </c>
      <c r="G11736" t="s">
        <v>17288</v>
      </c>
      <c r="H11736" t="s">
        <v>28022</v>
      </c>
    </row>
    <row r="11737" spans="1:8">
      <c r="H11737" t="s">
        <v>28023</v>
      </c>
    </row>
    <row r="11738" spans="1:8">
      <c r="H11738" t="s">
        <v>28024</v>
      </c>
    </row>
    <row r="11739" spans="1:8">
      <c r="H11739" t="s">
        <v>28025</v>
      </c>
    </row>
    <row r="11740" spans="1:8">
      <c r="H11740" t="s">
        <v>28026</v>
      </c>
    </row>
    <row r="11741" spans="1:8">
      <c r="A11741" t="s">
        <v>1300</v>
      </c>
      <c r="B11741">
        <f>HYPERLINK("https://android.googlesource.com/platform/cts/+/d9006caf57db7fe3a5f563d70ef60169d07e7ff7", "d9006caf57db7fe3a5f563d70ef60169d07e7ff7")</f>
        <v>0</v>
      </c>
      <c r="C11741">
        <f>HYPERLINK("https://android.googlesource.com/platform/cts/+/1192f209d52a9efd25d56a72a4805b61df9f3b24", "1192f209d52a9efd25d56a72a4805b61df9f3b24")</f>
        <v>0</v>
      </c>
      <c r="D11741" t="s">
        <v>5184</v>
      </c>
      <c r="E11741" t="s">
        <v>7073</v>
      </c>
      <c r="F11741" t="s">
        <v>13132</v>
      </c>
      <c r="G11741" t="s">
        <v>17290</v>
      </c>
      <c r="H11741" t="s">
        <v>28030</v>
      </c>
    </row>
    <row r="11742" spans="1:8">
      <c r="H11742" t="s">
        <v>28031</v>
      </c>
    </row>
    <row r="11743" spans="1:8">
      <c r="H11743" t="s">
        <v>28032</v>
      </c>
    </row>
    <row r="11744" spans="1:8">
      <c r="H11744" t="s">
        <v>28033</v>
      </c>
    </row>
    <row r="11745" spans="1:8">
      <c r="H11745" t="s">
        <v>28034</v>
      </c>
    </row>
    <row r="11746" spans="1:8">
      <c r="H11746" t="s">
        <v>28035</v>
      </c>
    </row>
    <row r="11747" spans="1:8">
      <c r="F11747" t="s">
        <v>13133</v>
      </c>
      <c r="G11747" t="s">
        <v>17291</v>
      </c>
      <c r="H11747" t="s">
        <v>28041</v>
      </c>
    </row>
    <row r="11748" spans="1:8">
      <c r="H11748" t="s">
        <v>28042</v>
      </c>
    </row>
    <row r="11749" spans="1:8">
      <c r="A11749" t="s">
        <v>1301</v>
      </c>
      <c r="B11749">
        <f>HYPERLINK("https://android.googlesource.com/platform/cts/+/e4200e69813353bfb78c36075139d6be646b40cb", "e4200e69813353bfb78c36075139d6be646b40cb")</f>
        <v>0</v>
      </c>
      <c r="C11749">
        <f>HYPERLINK("https://android.googlesource.com/platform/cts/+/e3d4bc066071c3e875896a4b224c7685d7160a12", "e3d4bc066071c3e875896a4b224c7685d7160a12")</f>
        <v>0</v>
      </c>
      <c r="D11749" t="s">
        <v>5042</v>
      </c>
      <c r="E11749" t="s">
        <v>7074</v>
      </c>
      <c r="F11749" t="s">
        <v>13134</v>
      </c>
      <c r="G11749" t="s">
        <v>17292</v>
      </c>
      <c r="H11749" t="s">
        <v>28049</v>
      </c>
    </row>
    <row r="11750" spans="1:8">
      <c r="A11750" t="s">
        <v>1305</v>
      </c>
      <c r="B11750">
        <f>HYPERLINK("https://android.googlesource.com/platform/cts/+/5e6da147809b4593f59c427b5205257e39e29f8e", "5e6da147809b4593f59c427b5205257e39e29f8e")</f>
        <v>0</v>
      </c>
      <c r="C11750">
        <f>HYPERLINK("https://android.googlesource.com/platform/cts/+/32971863a54533aa511889ae226e0a6fd9b0da8c", "32971863a54533aa511889ae226e0a6fd9b0da8c")</f>
        <v>0</v>
      </c>
      <c r="D11750" t="s">
        <v>5143</v>
      </c>
      <c r="E11750" t="s">
        <v>7078</v>
      </c>
      <c r="F11750" t="s">
        <v>10667</v>
      </c>
      <c r="G11750" t="s">
        <v>15068</v>
      </c>
      <c r="H11750" t="s">
        <v>28065</v>
      </c>
    </row>
    <row r="11751" spans="1:8">
      <c r="H11751" t="s">
        <v>28066</v>
      </c>
    </row>
    <row r="11752" spans="1:8">
      <c r="H11752" t="s">
        <v>28067</v>
      </c>
    </row>
    <row r="11753" spans="1:8">
      <c r="H11753" t="s">
        <v>27468</v>
      </c>
    </row>
    <row r="11754" spans="1:8">
      <c r="A11754" t="s">
        <v>1306</v>
      </c>
      <c r="B11754">
        <f>HYPERLINK("https://android.googlesource.com/platform/cts/+/616c3c4ff953538324d3b85b2f3d682a0bfd1cdb", "616c3c4ff953538324d3b85b2f3d682a0bfd1cdb")</f>
        <v>0</v>
      </c>
      <c r="C11754">
        <f>HYPERLINK("https://android.googlesource.com/platform/cts/+/58d4c3540bdd76be6ddef3118bf52a2bca8bb6eb", "58d4c3540bdd76be6ddef3118bf52a2bca8bb6eb")</f>
        <v>0</v>
      </c>
      <c r="D11754" t="s">
        <v>5085</v>
      </c>
      <c r="E11754" t="s">
        <v>7079</v>
      </c>
      <c r="F11754" t="s">
        <v>12394</v>
      </c>
      <c r="G11754" t="s">
        <v>17294</v>
      </c>
      <c r="H11754" t="s">
        <v>28068</v>
      </c>
    </row>
    <row r="11755" spans="1:8">
      <c r="A11755" t="s">
        <v>1308</v>
      </c>
      <c r="B11755">
        <f>HYPERLINK("https://android.googlesource.com/platform/cts/+/5b9ad98f81b3da14f5c2ca21722cd730d1a240fc", "5b9ad98f81b3da14f5c2ca21722cd730d1a240fc")</f>
        <v>0</v>
      </c>
      <c r="C11755">
        <f>HYPERLINK("https://android.googlesource.com/platform/cts/+/28df8eb84cc7779570cdaa39997bf65914472912", "28df8eb84cc7779570cdaa39997bf65914472912")</f>
        <v>0</v>
      </c>
      <c r="D11755" t="s">
        <v>4991</v>
      </c>
      <c r="E11755" t="s">
        <v>7081</v>
      </c>
      <c r="F11755" t="s">
        <v>10687</v>
      </c>
      <c r="G11755" t="s">
        <v>15087</v>
      </c>
      <c r="H11755" t="s">
        <v>28069</v>
      </c>
    </row>
    <row r="11756" spans="1:8">
      <c r="A11756" t="s">
        <v>1310</v>
      </c>
      <c r="B11756">
        <f>HYPERLINK("https://android.googlesource.com/platform/cts/+/1418a40f30d0316108794a8acd8da82a8b4b3b03", "1418a40f30d0316108794a8acd8da82a8b4b3b03")</f>
        <v>0</v>
      </c>
      <c r="C11756">
        <f>HYPERLINK("https://android.googlesource.com/platform/cts/+/ea04caf88fad4addb8cbf7e7ff2bb3d020f96272", "ea04caf88fad4addb8cbf7e7ff2bb3d020f96272")</f>
        <v>0</v>
      </c>
      <c r="D11756" t="s">
        <v>5006</v>
      </c>
      <c r="E11756" t="s">
        <v>7083</v>
      </c>
      <c r="F11756" t="s">
        <v>13143</v>
      </c>
      <c r="G11756" t="s">
        <v>17298</v>
      </c>
      <c r="H11756" t="s">
        <v>28215</v>
      </c>
    </row>
    <row r="11757" spans="1:8">
      <c r="H11757" t="s">
        <v>28216</v>
      </c>
    </row>
    <row r="11758" spans="1:8">
      <c r="F11758" t="s">
        <v>13144</v>
      </c>
      <c r="G11758" t="s">
        <v>17299</v>
      </c>
      <c r="H11758" t="s">
        <v>28218</v>
      </c>
    </row>
    <row r="11759" spans="1:8">
      <c r="H11759" t="s">
        <v>28219</v>
      </c>
    </row>
    <row r="11760" spans="1:8">
      <c r="H11760" t="s">
        <v>28220</v>
      </c>
    </row>
    <row r="11761" spans="6:8">
      <c r="H11761" t="s">
        <v>28221</v>
      </c>
    </row>
    <row r="11762" spans="6:8">
      <c r="H11762" t="s">
        <v>28222</v>
      </c>
    </row>
    <row r="11763" spans="6:8">
      <c r="F11763" t="s">
        <v>11424</v>
      </c>
      <c r="G11763" t="s">
        <v>15665</v>
      </c>
      <c r="H11763" t="s">
        <v>28224</v>
      </c>
    </row>
    <row r="11764" spans="6:8">
      <c r="H11764" t="s">
        <v>28225</v>
      </c>
    </row>
    <row r="11765" spans="6:8">
      <c r="H11765" t="s">
        <v>28226</v>
      </c>
    </row>
    <row r="11766" spans="6:8">
      <c r="H11766" t="s">
        <v>28227</v>
      </c>
    </row>
    <row r="11767" spans="6:8">
      <c r="H11767" t="s">
        <v>28229</v>
      </c>
    </row>
    <row r="11768" spans="6:8">
      <c r="H11768" t="s">
        <v>28230</v>
      </c>
    </row>
    <row r="11769" spans="6:8">
      <c r="F11769" t="s">
        <v>13145</v>
      </c>
      <c r="G11769" t="s">
        <v>17300</v>
      </c>
      <c r="H11769" t="s">
        <v>28232</v>
      </c>
    </row>
    <row r="11770" spans="6:8">
      <c r="H11770" t="s">
        <v>28233</v>
      </c>
    </row>
    <row r="11771" spans="6:8">
      <c r="H11771" t="s">
        <v>28234</v>
      </c>
    </row>
    <row r="11772" spans="6:8">
      <c r="H11772" t="s">
        <v>28235</v>
      </c>
    </row>
    <row r="11773" spans="6:8">
      <c r="H11773" t="s">
        <v>28236</v>
      </c>
    </row>
    <row r="11774" spans="6:8">
      <c r="H11774" t="s">
        <v>28237</v>
      </c>
    </row>
    <row r="11775" spans="6:8">
      <c r="H11775" t="s">
        <v>28238</v>
      </c>
    </row>
    <row r="11776" spans="6:8">
      <c r="H11776" t="s">
        <v>28239</v>
      </c>
    </row>
    <row r="11777" spans="6:8">
      <c r="H11777" t="s">
        <v>28240</v>
      </c>
    </row>
    <row r="11778" spans="6:8">
      <c r="H11778" t="s">
        <v>28241</v>
      </c>
    </row>
    <row r="11779" spans="6:8">
      <c r="H11779" t="s">
        <v>28242</v>
      </c>
    </row>
    <row r="11780" spans="6:8">
      <c r="H11780" t="s">
        <v>28243</v>
      </c>
    </row>
    <row r="11781" spans="6:8">
      <c r="H11781" t="s">
        <v>20077</v>
      </c>
    </row>
    <row r="11782" spans="6:8">
      <c r="H11782" t="s">
        <v>28244</v>
      </c>
    </row>
    <row r="11783" spans="6:8">
      <c r="F11783" t="s">
        <v>13146</v>
      </c>
      <c r="G11783" t="s">
        <v>17301</v>
      </c>
      <c r="H11783" t="s">
        <v>28246</v>
      </c>
    </row>
    <row r="11784" spans="6:8">
      <c r="F11784" t="s">
        <v>13147</v>
      </c>
      <c r="G11784" t="s">
        <v>17302</v>
      </c>
      <c r="H11784" t="s">
        <v>28247</v>
      </c>
    </row>
    <row r="11785" spans="6:8">
      <c r="H11785" t="s">
        <v>28248</v>
      </c>
    </row>
    <row r="11786" spans="6:8">
      <c r="H11786" t="s">
        <v>28249</v>
      </c>
    </row>
    <row r="11787" spans="6:8">
      <c r="H11787" t="s">
        <v>28250</v>
      </c>
    </row>
    <row r="11788" spans="6:8">
      <c r="F11788" t="s">
        <v>13148</v>
      </c>
      <c r="G11788" t="s">
        <v>17303</v>
      </c>
      <c r="H11788" t="s">
        <v>18836</v>
      </c>
    </row>
    <row r="11789" spans="6:8">
      <c r="H11789" t="s">
        <v>19729</v>
      </c>
    </row>
    <row r="11790" spans="6:8">
      <c r="H11790" t="s">
        <v>28251</v>
      </c>
    </row>
    <row r="11791" spans="6:8">
      <c r="F11791" t="s">
        <v>13149</v>
      </c>
      <c r="G11791" t="s">
        <v>15717</v>
      </c>
      <c r="H11791" t="s">
        <v>28253</v>
      </c>
    </row>
    <row r="11792" spans="6:8">
      <c r="H11792" t="s">
        <v>28254</v>
      </c>
    </row>
    <row r="11793" spans="6:8">
      <c r="H11793" t="s">
        <v>28255</v>
      </c>
    </row>
    <row r="11794" spans="6:8">
      <c r="H11794" t="s">
        <v>28256</v>
      </c>
    </row>
    <row r="11795" spans="6:8">
      <c r="H11795" t="s">
        <v>28257</v>
      </c>
    </row>
    <row r="11796" spans="6:8">
      <c r="F11796" t="s">
        <v>10735</v>
      </c>
      <c r="G11796" t="s">
        <v>15134</v>
      </c>
      <c r="H11796" t="s">
        <v>28258</v>
      </c>
    </row>
    <row r="11797" spans="6:8">
      <c r="H11797" t="s">
        <v>28259</v>
      </c>
    </row>
    <row r="11798" spans="6:8">
      <c r="H11798" t="s">
        <v>28260</v>
      </c>
    </row>
    <row r="11799" spans="6:8">
      <c r="H11799" t="s">
        <v>28261</v>
      </c>
    </row>
    <row r="11800" spans="6:8">
      <c r="H11800" t="s">
        <v>28262</v>
      </c>
    </row>
    <row r="11801" spans="6:8">
      <c r="H11801" t="s">
        <v>28263</v>
      </c>
    </row>
    <row r="11802" spans="6:8">
      <c r="H11802" t="s">
        <v>28264</v>
      </c>
    </row>
    <row r="11803" spans="6:8">
      <c r="H11803" t="s">
        <v>28267</v>
      </c>
    </row>
    <row r="11804" spans="6:8">
      <c r="H11804" t="s">
        <v>28268</v>
      </c>
    </row>
    <row r="11805" spans="6:8">
      <c r="H11805" t="s">
        <v>28269</v>
      </c>
    </row>
    <row r="11806" spans="6:8">
      <c r="H11806" t="s">
        <v>28270</v>
      </c>
    </row>
    <row r="11807" spans="6:8">
      <c r="H11807" t="s">
        <v>28271</v>
      </c>
    </row>
    <row r="11808" spans="6:8">
      <c r="H11808" t="s">
        <v>28272</v>
      </c>
    </row>
    <row r="11809" spans="6:8">
      <c r="H11809" t="s">
        <v>28273</v>
      </c>
    </row>
    <row r="11810" spans="6:8">
      <c r="H11810" t="s">
        <v>28274</v>
      </c>
    </row>
    <row r="11811" spans="6:8">
      <c r="H11811" t="s">
        <v>28275</v>
      </c>
    </row>
    <row r="11812" spans="6:8">
      <c r="F11812" t="s">
        <v>12399</v>
      </c>
      <c r="G11812" t="s">
        <v>16606</v>
      </c>
      <c r="H11812" t="s">
        <v>28281</v>
      </c>
    </row>
    <row r="11813" spans="6:8">
      <c r="H11813" t="s">
        <v>28282</v>
      </c>
    </row>
    <row r="11814" spans="6:8">
      <c r="H11814" t="s">
        <v>28283</v>
      </c>
    </row>
    <row r="11815" spans="6:8">
      <c r="H11815" t="s">
        <v>28284</v>
      </c>
    </row>
    <row r="11816" spans="6:8">
      <c r="H11816" t="s">
        <v>22481</v>
      </c>
    </row>
    <row r="11817" spans="6:8">
      <c r="H11817" t="s">
        <v>22482</v>
      </c>
    </row>
    <row r="11818" spans="6:8">
      <c r="H11818" t="s">
        <v>22483</v>
      </c>
    </row>
    <row r="11819" spans="6:8">
      <c r="H11819" t="s">
        <v>22484</v>
      </c>
    </row>
    <row r="11820" spans="6:8">
      <c r="H11820" t="s">
        <v>22485</v>
      </c>
    </row>
    <row r="11821" spans="6:8">
      <c r="H11821" t="s">
        <v>22486</v>
      </c>
    </row>
    <row r="11822" spans="6:8">
      <c r="H11822" t="s">
        <v>22487</v>
      </c>
    </row>
    <row r="11823" spans="6:8">
      <c r="H11823" t="s">
        <v>22488</v>
      </c>
    </row>
    <row r="11824" spans="6:8">
      <c r="H11824" t="s">
        <v>22489</v>
      </c>
    </row>
    <row r="11825" spans="8:8">
      <c r="H11825" t="s">
        <v>22490</v>
      </c>
    </row>
    <row r="11826" spans="8:8">
      <c r="H11826" t="s">
        <v>22491</v>
      </c>
    </row>
    <row r="11827" spans="8:8">
      <c r="H11827" t="s">
        <v>22492</v>
      </c>
    </row>
    <row r="11828" spans="8:8">
      <c r="H11828" t="s">
        <v>22493</v>
      </c>
    </row>
    <row r="11829" spans="8:8">
      <c r="H11829" t="s">
        <v>22494</v>
      </c>
    </row>
    <row r="11830" spans="8:8">
      <c r="H11830" t="s">
        <v>22495</v>
      </c>
    </row>
    <row r="11831" spans="8:8">
      <c r="H11831" t="s">
        <v>28286</v>
      </c>
    </row>
    <row r="11832" spans="8:8">
      <c r="H11832" t="s">
        <v>28287</v>
      </c>
    </row>
    <row r="11833" spans="8:8">
      <c r="H11833" t="s">
        <v>28288</v>
      </c>
    </row>
    <row r="11834" spans="8:8">
      <c r="H11834" t="s">
        <v>28289</v>
      </c>
    </row>
    <row r="11835" spans="8:8">
      <c r="H11835" t="s">
        <v>28290</v>
      </c>
    </row>
    <row r="11836" spans="8:8">
      <c r="H11836" t="s">
        <v>28291</v>
      </c>
    </row>
    <row r="11837" spans="8:8">
      <c r="H11837" t="s">
        <v>28292</v>
      </c>
    </row>
    <row r="11838" spans="8:8">
      <c r="H11838" t="s">
        <v>28293</v>
      </c>
    </row>
    <row r="11839" spans="8:8">
      <c r="H11839" t="s">
        <v>28294</v>
      </c>
    </row>
    <row r="11840" spans="8:8">
      <c r="H11840" t="s">
        <v>28295</v>
      </c>
    </row>
    <row r="11841" spans="8:8">
      <c r="H11841" t="s">
        <v>28296</v>
      </c>
    </row>
    <row r="11842" spans="8:8">
      <c r="H11842" t="s">
        <v>28297</v>
      </c>
    </row>
    <row r="11843" spans="8:8">
      <c r="H11843" t="s">
        <v>28298</v>
      </c>
    </row>
    <row r="11844" spans="8:8">
      <c r="H11844" t="s">
        <v>28299</v>
      </c>
    </row>
    <row r="11845" spans="8:8">
      <c r="H11845" t="s">
        <v>28301</v>
      </c>
    </row>
    <row r="11846" spans="8:8">
      <c r="H11846" t="s">
        <v>28302</v>
      </c>
    </row>
    <row r="11847" spans="8:8">
      <c r="H11847" t="s">
        <v>28312</v>
      </c>
    </row>
    <row r="11848" spans="8:8">
      <c r="H11848" t="s">
        <v>28313</v>
      </c>
    </row>
    <row r="11849" spans="8:8">
      <c r="H11849" t="s">
        <v>28314</v>
      </c>
    </row>
    <row r="11850" spans="8:8">
      <c r="H11850" t="s">
        <v>28315</v>
      </c>
    </row>
    <row r="11851" spans="8:8">
      <c r="H11851" t="s">
        <v>28316</v>
      </c>
    </row>
    <row r="11852" spans="8:8">
      <c r="H11852" t="s">
        <v>28317</v>
      </c>
    </row>
    <row r="11853" spans="8:8">
      <c r="H11853" t="s">
        <v>28318</v>
      </c>
    </row>
    <row r="11854" spans="8:8">
      <c r="H11854" t="s">
        <v>28319</v>
      </c>
    </row>
    <row r="11855" spans="8:8">
      <c r="H11855" t="s">
        <v>28320</v>
      </c>
    </row>
    <row r="11856" spans="8:8">
      <c r="H11856" t="s">
        <v>28321</v>
      </c>
    </row>
    <row r="11857" spans="6:8">
      <c r="H11857" t="s">
        <v>28322</v>
      </c>
    </row>
    <row r="11858" spans="6:8">
      <c r="H11858" t="s">
        <v>28323</v>
      </c>
    </row>
    <row r="11859" spans="6:8">
      <c r="H11859" t="s">
        <v>28324</v>
      </c>
    </row>
    <row r="11860" spans="6:8">
      <c r="H11860" t="s">
        <v>28325</v>
      </c>
    </row>
    <row r="11861" spans="6:8">
      <c r="H11861" t="s">
        <v>28326</v>
      </c>
    </row>
    <row r="11862" spans="6:8">
      <c r="H11862" t="s">
        <v>28327</v>
      </c>
    </row>
    <row r="11863" spans="6:8">
      <c r="H11863" t="s">
        <v>28328</v>
      </c>
    </row>
    <row r="11864" spans="6:8">
      <c r="H11864" t="s">
        <v>28329</v>
      </c>
    </row>
    <row r="11865" spans="6:8">
      <c r="H11865" t="s">
        <v>28330</v>
      </c>
    </row>
    <row r="11866" spans="6:8">
      <c r="H11866" t="s">
        <v>28331</v>
      </c>
    </row>
    <row r="11867" spans="6:8">
      <c r="H11867" t="s">
        <v>28332</v>
      </c>
    </row>
    <row r="11868" spans="6:8">
      <c r="F11868" t="s">
        <v>13150</v>
      </c>
      <c r="G11868" t="s">
        <v>17304</v>
      </c>
      <c r="H11868" t="s">
        <v>28334</v>
      </c>
    </row>
    <row r="11869" spans="6:8">
      <c r="H11869" t="s">
        <v>28335</v>
      </c>
    </row>
    <row r="11870" spans="6:8">
      <c r="H11870" t="s">
        <v>28336</v>
      </c>
    </row>
    <row r="11871" spans="6:8">
      <c r="H11871" t="s">
        <v>28337</v>
      </c>
    </row>
    <row r="11872" spans="6:8">
      <c r="F11872" t="s">
        <v>13151</v>
      </c>
      <c r="G11872" t="s">
        <v>17305</v>
      </c>
      <c r="H11872" t="s">
        <v>26183</v>
      </c>
    </row>
    <row r="11873" spans="6:8">
      <c r="H11873" t="s">
        <v>19241</v>
      </c>
    </row>
    <row r="11874" spans="6:8">
      <c r="F11874" t="s">
        <v>13152</v>
      </c>
      <c r="G11874" t="s">
        <v>16869</v>
      </c>
      <c r="H11874" t="s">
        <v>28339</v>
      </c>
    </row>
    <row r="11875" spans="6:8">
      <c r="H11875" t="s">
        <v>28340</v>
      </c>
    </row>
    <row r="11876" spans="6:8">
      <c r="H11876" t="s">
        <v>28341</v>
      </c>
    </row>
    <row r="11877" spans="6:8">
      <c r="H11877" t="s">
        <v>28342</v>
      </c>
    </row>
    <row r="11878" spans="6:8">
      <c r="H11878" t="s">
        <v>28343</v>
      </c>
    </row>
    <row r="11879" spans="6:8">
      <c r="H11879" t="s">
        <v>28344</v>
      </c>
    </row>
    <row r="11880" spans="6:8">
      <c r="H11880" t="s">
        <v>28345</v>
      </c>
    </row>
    <row r="11881" spans="6:8">
      <c r="H11881" t="s">
        <v>28346</v>
      </c>
    </row>
    <row r="11882" spans="6:8">
      <c r="H11882" t="s">
        <v>28347</v>
      </c>
    </row>
    <row r="11883" spans="6:8">
      <c r="H11883" t="s">
        <v>28348</v>
      </c>
    </row>
    <row r="11884" spans="6:8">
      <c r="H11884" t="s">
        <v>28349</v>
      </c>
    </row>
    <row r="11885" spans="6:8">
      <c r="H11885" t="s">
        <v>28350</v>
      </c>
    </row>
    <row r="11886" spans="6:8">
      <c r="F11886" t="s">
        <v>13153</v>
      </c>
      <c r="G11886" t="s">
        <v>17306</v>
      </c>
      <c r="H11886" t="s">
        <v>28351</v>
      </c>
    </row>
    <row r="11887" spans="6:8">
      <c r="F11887" t="s">
        <v>13154</v>
      </c>
      <c r="G11887" t="s">
        <v>15103</v>
      </c>
      <c r="H11887" t="s">
        <v>19170</v>
      </c>
    </row>
    <row r="11888" spans="6:8">
      <c r="H11888" t="s">
        <v>19171</v>
      </c>
    </row>
    <row r="11889" spans="6:8">
      <c r="H11889" t="s">
        <v>28352</v>
      </c>
    </row>
    <row r="11890" spans="6:8">
      <c r="H11890" t="s">
        <v>19172</v>
      </c>
    </row>
    <row r="11891" spans="6:8">
      <c r="H11891" t="s">
        <v>28353</v>
      </c>
    </row>
    <row r="11892" spans="6:8">
      <c r="H11892" t="s">
        <v>28354</v>
      </c>
    </row>
    <row r="11893" spans="6:8">
      <c r="H11893" t="s">
        <v>19173</v>
      </c>
    </row>
    <row r="11894" spans="6:8">
      <c r="H11894" t="s">
        <v>28356</v>
      </c>
    </row>
    <row r="11895" spans="6:8">
      <c r="H11895" t="s">
        <v>28357</v>
      </c>
    </row>
    <row r="11896" spans="6:8">
      <c r="H11896" t="s">
        <v>28358</v>
      </c>
    </row>
    <row r="11897" spans="6:8">
      <c r="H11897" t="s">
        <v>28359</v>
      </c>
    </row>
    <row r="11898" spans="6:8">
      <c r="F11898" t="s">
        <v>13155</v>
      </c>
      <c r="G11898" t="s">
        <v>15332</v>
      </c>
      <c r="H11898" t="s">
        <v>19729</v>
      </c>
    </row>
    <row r="11899" spans="6:8">
      <c r="H11899" t="s">
        <v>19730</v>
      </c>
    </row>
    <row r="11900" spans="6:8">
      <c r="H11900" t="s">
        <v>19731</v>
      </c>
    </row>
    <row r="11901" spans="6:8">
      <c r="H11901" t="s">
        <v>19732</v>
      </c>
    </row>
    <row r="11902" spans="6:8">
      <c r="H11902" t="s">
        <v>28362</v>
      </c>
    </row>
    <row r="11903" spans="6:8">
      <c r="H11903" t="s">
        <v>28363</v>
      </c>
    </row>
    <row r="11904" spans="6:8">
      <c r="H11904" t="s">
        <v>28364</v>
      </c>
    </row>
    <row r="11905" spans="1:8">
      <c r="F11905" t="s">
        <v>13156</v>
      </c>
      <c r="G11905" t="s">
        <v>17307</v>
      </c>
      <c r="H11905" t="s">
        <v>28366</v>
      </c>
    </row>
    <row r="11906" spans="1:8">
      <c r="H11906" t="s">
        <v>28367</v>
      </c>
    </row>
    <row r="11907" spans="1:8">
      <c r="A11907" t="s">
        <v>1313</v>
      </c>
      <c r="B11907">
        <f>HYPERLINK("https://android.googlesource.com/platform/cts/+/d7d521b441b48761eed81d47224e03e77bc80005", "d7d521b441b48761eed81d47224e03e77bc80005")</f>
        <v>0</v>
      </c>
      <c r="C11907">
        <f>HYPERLINK("https://android.googlesource.com/platform/cts/+/467b960629f49b3aa73eefbcb7fd60bd7adb0b39", "467b960629f49b3aa73eefbcb7fd60bd7adb0b39")</f>
        <v>0</v>
      </c>
      <c r="D11907" t="s">
        <v>5122</v>
      </c>
      <c r="E11907" t="s">
        <v>7086</v>
      </c>
      <c r="F11907" t="s">
        <v>13157</v>
      </c>
      <c r="G11907" t="s">
        <v>17308</v>
      </c>
      <c r="H11907" t="s">
        <v>28369</v>
      </c>
    </row>
    <row r="11908" spans="1:8">
      <c r="A11908" t="s">
        <v>1314</v>
      </c>
      <c r="B11908">
        <f>HYPERLINK("https://android.googlesource.com/platform/cts/+/03072b376deffd4953ec4487e133ee1ec3e33428", "03072b376deffd4953ec4487e133ee1ec3e33428")</f>
        <v>0</v>
      </c>
      <c r="C11908">
        <f>HYPERLINK("https://android.googlesource.com/platform/cts/+/e56fe3ca0e098885581ef6e53a8fd28280ffc00a", "e56fe3ca0e098885581ef6e53a8fd28280ffc00a")</f>
        <v>0</v>
      </c>
      <c r="D11908" t="s">
        <v>4973</v>
      </c>
      <c r="E11908" t="s">
        <v>7087</v>
      </c>
      <c r="F11908" t="s">
        <v>13159</v>
      </c>
      <c r="G11908" t="s">
        <v>17310</v>
      </c>
      <c r="H11908" t="s">
        <v>28373</v>
      </c>
    </row>
    <row r="11909" spans="1:8">
      <c r="A11909" t="s">
        <v>1316</v>
      </c>
      <c r="B11909">
        <f>HYPERLINK("https://android.googlesource.com/platform/cts/+/6bc778960e5b34c8a362607c2848426a3f5c91d5", "6bc778960e5b34c8a362607c2848426a3f5c91d5")</f>
        <v>0</v>
      </c>
      <c r="C11909">
        <f>HYPERLINK("https://android.googlesource.com/platform/cts/+/8ec14850a3cbf38f61136c875d8d21add3c95762", "8ec14850a3cbf38f61136c875d8d21add3c95762")</f>
        <v>0</v>
      </c>
      <c r="D11909" t="s">
        <v>4973</v>
      </c>
      <c r="E11909" t="s">
        <v>7089</v>
      </c>
      <c r="F11909" t="s">
        <v>13160</v>
      </c>
      <c r="G11909" t="s">
        <v>17311</v>
      </c>
      <c r="H11909" t="s">
        <v>28375</v>
      </c>
    </row>
    <row r="11910" spans="1:8">
      <c r="H11910" t="s">
        <v>28376</v>
      </c>
    </row>
    <row r="11911" spans="1:8">
      <c r="A11911" t="s">
        <v>1317</v>
      </c>
      <c r="B11911">
        <f>HYPERLINK("https://android.googlesource.com/platform/cts/+/930b4affd802a0cd38ea93a2ba596f245dc8aea3", "930b4affd802a0cd38ea93a2ba596f245dc8aea3")</f>
        <v>0</v>
      </c>
      <c r="C11911">
        <f>HYPERLINK("https://android.googlesource.com/platform/cts/+/9ec99cbbf731d68a2512b6ebb490a333802287a4", "9ec99cbbf731d68a2512b6ebb490a333802287a4")</f>
        <v>0</v>
      </c>
      <c r="D11911" t="s">
        <v>4971</v>
      </c>
      <c r="E11911" t="s">
        <v>7090</v>
      </c>
      <c r="F11911" t="s">
        <v>13161</v>
      </c>
      <c r="G11911" t="s">
        <v>17312</v>
      </c>
      <c r="H11911" t="s">
        <v>28378</v>
      </c>
    </row>
    <row r="11912" spans="1:8">
      <c r="A11912" t="s">
        <v>1323</v>
      </c>
      <c r="B11912">
        <f>HYPERLINK("https://android.googlesource.com/platform/cts/+/bb6f8c5bb585c4df1f036e3855636e2bfda34245", "bb6f8c5bb585c4df1f036e3855636e2bfda34245")</f>
        <v>0</v>
      </c>
      <c r="C11912">
        <f>HYPERLINK("https://android.googlesource.com/platform/cts/+/8721e7cfe4d131a9fb26c357efea65d9c0955ba3", "8721e7cfe4d131a9fb26c357efea65d9c0955ba3")</f>
        <v>0</v>
      </c>
      <c r="D11912" t="s">
        <v>5189</v>
      </c>
      <c r="E11912" t="s">
        <v>7095</v>
      </c>
      <c r="F11912" t="s">
        <v>13162</v>
      </c>
      <c r="G11912" t="s">
        <v>16987</v>
      </c>
      <c r="H11912" t="s">
        <v>28385</v>
      </c>
    </row>
    <row r="11913" spans="1:8">
      <c r="A11913" t="s">
        <v>1324</v>
      </c>
      <c r="B11913">
        <f>HYPERLINK("https://android.googlesource.com/platform/cts/+/bf1605d391ba80e4a942e779b604fd0177724e83", "bf1605d391ba80e4a942e779b604fd0177724e83")</f>
        <v>0</v>
      </c>
      <c r="C11913">
        <f>HYPERLINK("https://android.googlesource.com/platform/cts/+/0e71b18cb619be99e01aaf64fa3f913370254ece", "0e71b18cb619be99e01aaf64fa3f913370254ece")</f>
        <v>0</v>
      </c>
      <c r="D11913" t="s">
        <v>5146</v>
      </c>
      <c r="E11913" t="s">
        <v>7096</v>
      </c>
      <c r="F11913" t="s">
        <v>12839</v>
      </c>
      <c r="G11913" t="s">
        <v>17014</v>
      </c>
      <c r="H11913" t="s">
        <v>28386</v>
      </c>
    </row>
    <row r="11914" spans="1:8">
      <c r="H11914" t="s">
        <v>28387</v>
      </c>
    </row>
    <row r="11915" spans="1:8">
      <c r="A11915" t="s">
        <v>1325</v>
      </c>
      <c r="B11915">
        <f>HYPERLINK("https://android.googlesource.com/platform/cts/+/92cd9119d1dbcb9664a830f216920d5bbde961a1", "92cd9119d1dbcb9664a830f216920d5bbde961a1")</f>
        <v>0</v>
      </c>
      <c r="C11915">
        <f>HYPERLINK("https://android.googlesource.com/platform/cts/+/ea862a6bd2f49df4bc0204743f955749b0230c26", "ea862a6bd2f49df4bc0204743f955749b0230c26")</f>
        <v>0</v>
      </c>
      <c r="D11915" t="s">
        <v>5132</v>
      </c>
      <c r="E11915" t="s">
        <v>7097</v>
      </c>
      <c r="F11915" t="s">
        <v>10794</v>
      </c>
      <c r="G11915" t="s">
        <v>15189</v>
      </c>
      <c r="H11915" t="s">
        <v>28389</v>
      </c>
    </row>
    <row r="11916" spans="1:8">
      <c r="H11916" t="s">
        <v>28390</v>
      </c>
    </row>
    <row r="11917" spans="1:8">
      <c r="A11917" t="s">
        <v>1326</v>
      </c>
      <c r="B11917">
        <f>HYPERLINK("https://android.googlesource.com/platform/cts/+/ed85533fa030ca397a36a0b8bac3189eae9d23c9", "ed85533fa030ca397a36a0b8bac3189eae9d23c9")</f>
        <v>0</v>
      </c>
      <c r="C11917">
        <f>HYPERLINK("https://android.googlesource.com/platform/cts/+/50d641d9ce7db1f7f7b7c2c945525026d8f07e1c", "50d641d9ce7db1f7f7b7c2c945525026d8f07e1c")</f>
        <v>0</v>
      </c>
      <c r="D11917" t="s">
        <v>5186</v>
      </c>
      <c r="E11917" t="s">
        <v>7098</v>
      </c>
      <c r="F11917" t="s">
        <v>13136</v>
      </c>
      <c r="G11917" t="s">
        <v>17293</v>
      </c>
      <c r="H11917" t="s">
        <v>25984</v>
      </c>
    </row>
    <row r="11918" spans="1:8">
      <c r="A11918" t="s">
        <v>1328</v>
      </c>
      <c r="B11918">
        <f>HYPERLINK("https://android.googlesource.com/platform/cts/+/52781c7c29f20abd6b9a1c49a67aebf1e2592014", "52781c7c29f20abd6b9a1c49a67aebf1e2592014")</f>
        <v>0</v>
      </c>
      <c r="C11918">
        <f>HYPERLINK("https://android.googlesource.com/platform/cts/+/2eb66d66b0f2a6bfc71c217e12bcb6f002ecf336", "2eb66d66b0f2a6bfc71c217e12bcb6f002ecf336")</f>
        <v>0</v>
      </c>
      <c r="D11918" t="s">
        <v>4986</v>
      </c>
      <c r="E11918" t="s">
        <v>7100</v>
      </c>
      <c r="F11918" t="s">
        <v>13164</v>
      </c>
      <c r="G11918" t="s">
        <v>17314</v>
      </c>
      <c r="H11918" t="s">
        <v>28393</v>
      </c>
    </row>
    <row r="11919" spans="1:8">
      <c r="H11919" t="s">
        <v>28394</v>
      </c>
    </row>
    <row r="11920" spans="1:8">
      <c r="H11920" t="s">
        <v>28395</v>
      </c>
    </row>
    <row r="11921" spans="1:8">
      <c r="H11921" t="s">
        <v>28396</v>
      </c>
    </row>
    <row r="11922" spans="1:8">
      <c r="A11922" t="s">
        <v>1330</v>
      </c>
      <c r="B11922">
        <f>HYPERLINK("https://android.googlesource.com/platform/cts/+/eba4da29339b68bcf5049d2382f6a2f79b05f66e", "eba4da29339b68bcf5049d2382f6a2f79b05f66e")</f>
        <v>0</v>
      </c>
      <c r="C11922">
        <f>HYPERLINK("https://android.googlesource.com/platform/cts/+/ed5f855f5a888399e2f0eed3639e95ae1af04fdf", "ed5f855f5a888399e2f0eed3639e95ae1af04fdf")</f>
        <v>0</v>
      </c>
      <c r="D11922" t="s">
        <v>5118</v>
      </c>
      <c r="E11922" t="s">
        <v>7102</v>
      </c>
      <c r="F11922" t="s">
        <v>13165</v>
      </c>
      <c r="G11922" t="s">
        <v>17315</v>
      </c>
      <c r="H11922" t="s">
        <v>28397</v>
      </c>
    </row>
    <row r="11923" spans="1:8">
      <c r="H11923" t="s">
        <v>28398</v>
      </c>
    </row>
    <row r="11924" spans="1:8">
      <c r="A11924" t="s">
        <v>1331</v>
      </c>
      <c r="B11924">
        <f>HYPERLINK("https://android.googlesource.com/platform/cts/+/ef6033e792d96dd9ebcb01849d579c483240dfa2", "ef6033e792d96dd9ebcb01849d579c483240dfa2")</f>
        <v>0</v>
      </c>
      <c r="C11924">
        <f>HYPERLINK("https://android.googlesource.com/platform/cts/+/e0761dc1fbfed28a5b058c945cc0ce4d7344b62b", "e0761dc1fbfed28a5b058c945cc0ce4d7344b62b")</f>
        <v>0</v>
      </c>
      <c r="D11924" t="s">
        <v>5111</v>
      </c>
      <c r="E11924" t="s">
        <v>7103</v>
      </c>
      <c r="F11924" t="s">
        <v>10778</v>
      </c>
      <c r="G11924" t="s">
        <v>15174</v>
      </c>
      <c r="H11924" t="s">
        <v>28399</v>
      </c>
    </row>
    <row r="11925" spans="1:8">
      <c r="A11925" t="s">
        <v>1334</v>
      </c>
      <c r="B11925">
        <f>HYPERLINK("https://android.googlesource.com/platform/cts/+/9add87488a153d2c18bdcd1b42b09d893dedfcbd", "9add87488a153d2c18bdcd1b42b09d893dedfcbd")</f>
        <v>0</v>
      </c>
      <c r="C11925">
        <f>HYPERLINK("https://android.googlesource.com/platform/cts/+/229afe3d739e3aa68893134024a860705375870b", "229afe3d739e3aa68893134024a860705375870b")</f>
        <v>0</v>
      </c>
      <c r="D11925" t="s">
        <v>5122</v>
      </c>
      <c r="E11925" t="s">
        <v>7106</v>
      </c>
      <c r="F11925" t="s">
        <v>12419</v>
      </c>
      <c r="G11925" t="s">
        <v>16641</v>
      </c>
      <c r="H11925" t="s">
        <v>28400</v>
      </c>
    </row>
    <row r="11926" spans="1:8">
      <c r="A11926" t="s">
        <v>1335</v>
      </c>
      <c r="B11926">
        <f>HYPERLINK("https://android.googlesource.com/platform/cts/+/b08615e2a82d34e9d30b5878c103ce5098eac2a9", "b08615e2a82d34e9d30b5878c103ce5098eac2a9")</f>
        <v>0</v>
      </c>
      <c r="C11926">
        <f>HYPERLINK("https://android.googlesource.com/platform/cts/+/68a73ec79d2dabf69b83f4e16239989f2833693c", "68a73ec79d2dabf69b83f4e16239989f2833693c")</f>
        <v>0</v>
      </c>
      <c r="D11926" t="s">
        <v>4986</v>
      </c>
      <c r="E11926" t="s">
        <v>7107</v>
      </c>
      <c r="F11926" t="s">
        <v>13164</v>
      </c>
      <c r="G11926" t="s">
        <v>17314</v>
      </c>
      <c r="H11926" t="s">
        <v>28393</v>
      </c>
    </row>
    <row r="11927" spans="1:8">
      <c r="H11927" t="s">
        <v>28394</v>
      </c>
    </row>
    <row r="11928" spans="1:8">
      <c r="H11928" t="s">
        <v>28395</v>
      </c>
    </row>
    <row r="11929" spans="1:8">
      <c r="H11929" t="s">
        <v>28396</v>
      </c>
    </row>
    <row r="11930" spans="1:8">
      <c r="A11930" t="s">
        <v>1337</v>
      </c>
      <c r="B11930">
        <f>HYPERLINK("https://android.googlesource.com/platform/cts/+/048475048be8820e538e1dffc3b0e06468d97969", "048475048be8820e538e1dffc3b0e06468d97969")</f>
        <v>0</v>
      </c>
      <c r="C11930">
        <f>HYPERLINK("https://android.googlesource.com/platform/cts/+/e3eee99b576e4418ccfcd172b9a989fc79d683f4", "e3eee99b576e4418ccfcd172b9a989fc79d683f4")</f>
        <v>0</v>
      </c>
      <c r="D11930" t="s">
        <v>5019</v>
      </c>
      <c r="E11930" t="s">
        <v>7109</v>
      </c>
      <c r="F11930" t="s">
        <v>13166</v>
      </c>
      <c r="G11930" t="s">
        <v>17317</v>
      </c>
      <c r="H11930" t="s">
        <v>28403</v>
      </c>
    </row>
    <row r="11931" spans="1:8">
      <c r="A11931" t="s">
        <v>1342</v>
      </c>
      <c r="B11931">
        <f>HYPERLINK("https://android.googlesource.com/platform/cts/+/384e10f51994798cf22ccc6e81c6c43ca0be4c4a", "384e10f51994798cf22ccc6e81c6c43ca0be4c4a")</f>
        <v>0</v>
      </c>
      <c r="C11931">
        <f>HYPERLINK("https://android.googlesource.com/platform/cts/+/248420dcbf65c1e279eac73db06b1841901877d6", "248420dcbf65c1e279eac73db06b1841901877d6")</f>
        <v>0</v>
      </c>
      <c r="D11931" t="s">
        <v>5000</v>
      </c>
      <c r="E11931" t="s">
        <v>7114</v>
      </c>
      <c r="F11931" t="s">
        <v>13169</v>
      </c>
      <c r="G11931" t="s">
        <v>17318</v>
      </c>
      <c r="H11931" t="s">
        <v>28407</v>
      </c>
    </row>
    <row r="11932" spans="1:8">
      <c r="A11932" t="s">
        <v>1343</v>
      </c>
      <c r="B11932">
        <f>HYPERLINK("https://android.googlesource.com/platform/cts/+/fc47e20cdfdbc53af890799cbd60bc97801b4e40", "fc47e20cdfdbc53af890799cbd60bc97801b4e40")</f>
        <v>0</v>
      </c>
      <c r="C11932">
        <f>HYPERLINK("https://android.googlesource.com/platform/cts/+/02aaa0c7a1ef11fefd5f0c83f7f90ba4dd2c88be", "02aaa0c7a1ef11fefd5f0c83f7f90ba4dd2c88be")</f>
        <v>0</v>
      </c>
      <c r="D11932" t="s">
        <v>5194</v>
      </c>
      <c r="E11932" t="s">
        <v>7115</v>
      </c>
      <c r="F11932" t="s">
        <v>12647</v>
      </c>
      <c r="G11932" t="s">
        <v>16853</v>
      </c>
      <c r="H11932" t="s">
        <v>25667</v>
      </c>
    </row>
    <row r="11933" spans="1:8">
      <c r="A11933" t="s">
        <v>1344</v>
      </c>
      <c r="B11933">
        <f>HYPERLINK("https://android.googlesource.com/platform/cts/+/b495ca4d06ce0fa665638b4f77c03c6a786e11e3", "b495ca4d06ce0fa665638b4f77c03c6a786e11e3")</f>
        <v>0</v>
      </c>
      <c r="C11933">
        <f>HYPERLINK("https://android.googlesource.com/platform/cts/+/46ee8141f4f1a17fb0c2f1768e3c1e3e79e8c3e0", "46ee8141f4f1a17fb0c2f1768e3c1e3e79e8c3e0")</f>
        <v>0</v>
      </c>
      <c r="D11933" t="s">
        <v>5195</v>
      </c>
      <c r="E11933" t="s">
        <v>7116</v>
      </c>
      <c r="F11933" t="s">
        <v>12703</v>
      </c>
      <c r="G11933" t="s">
        <v>16906</v>
      </c>
      <c r="H11933" t="s">
        <v>28408</v>
      </c>
    </row>
    <row r="11934" spans="1:8">
      <c r="H11934" t="s">
        <v>28409</v>
      </c>
    </row>
    <row r="11935" spans="1:8">
      <c r="A11935" t="s">
        <v>1346</v>
      </c>
      <c r="B11935">
        <f>HYPERLINK("https://android.googlesource.com/platform/cts/+/bdb3f8fa73e225b08b6b23f1d15e24e6307d0fe6", "bdb3f8fa73e225b08b6b23f1d15e24e6307d0fe6")</f>
        <v>0</v>
      </c>
      <c r="C11935">
        <f>HYPERLINK("https://android.googlesource.com/platform/cts/+/c907604e98f78cd50cebd1a6f6125973a84e0948", "c907604e98f78cd50cebd1a6f6125973a84e0948")</f>
        <v>0</v>
      </c>
      <c r="D11935" t="s">
        <v>5197</v>
      </c>
      <c r="E11935" t="s">
        <v>7117</v>
      </c>
      <c r="F11935" t="s">
        <v>13170</v>
      </c>
      <c r="G11935" t="s">
        <v>17319</v>
      </c>
      <c r="H11935" t="s">
        <v>28410</v>
      </c>
    </row>
    <row r="11936" spans="1:8">
      <c r="A11936" t="s">
        <v>1347</v>
      </c>
      <c r="B11936">
        <f>HYPERLINK("https://android.googlesource.com/platform/cts/+/1cf5c9afda9d3ed2c5f85f6040633932a0325630", "1cf5c9afda9d3ed2c5f85f6040633932a0325630")</f>
        <v>0</v>
      </c>
      <c r="C11936">
        <f>HYPERLINK("https://android.googlesource.com/platform/cts/+/d2c04c8a8a1c6d9a177aef91895f9c88dee5fd69", "d2c04c8a8a1c6d9a177aef91895f9c88dee5fd69")</f>
        <v>0</v>
      </c>
      <c r="D11936" t="s">
        <v>5156</v>
      </c>
      <c r="E11936" t="s">
        <v>7118</v>
      </c>
      <c r="F11936" t="s">
        <v>13171</v>
      </c>
      <c r="G11936" t="s">
        <v>16410</v>
      </c>
      <c r="H11936" t="s">
        <v>28411</v>
      </c>
    </row>
    <row r="11937" spans="1:8">
      <c r="A11937" t="s">
        <v>1350</v>
      </c>
      <c r="B11937">
        <f>HYPERLINK("https://android.googlesource.com/platform/cts/+/7b1462fa47277d2451dd45a8f8d9116e06509102", "7b1462fa47277d2451dd45a8f8d9116e06509102")</f>
        <v>0</v>
      </c>
      <c r="C11937">
        <f>HYPERLINK("https://android.googlesource.com/platform/cts/+/b080702ad7f5e61e3793cc4335e55b6bec128975", "b080702ad7f5e61e3793cc4335e55b6bec128975")</f>
        <v>0</v>
      </c>
      <c r="D11937" t="s">
        <v>5191</v>
      </c>
      <c r="E11937" t="s">
        <v>7121</v>
      </c>
      <c r="F11937" t="s">
        <v>13172</v>
      </c>
      <c r="G11937" t="s">
        <v>17320</v>
      </c>
      <c r="H11937" t="s">
        <v>28415</v>
      </c>
    </row>
    <row r="11938" spans="1:8">
      <c r="H11938" t="s">
        <v>28416</v>
      </c>
    </row>
    <row r="11939" spans="1:8">
      <c r="A11939" t="s">
        <v>1352</v>
      </c>
      <c r="B11939">
        <f>HYPERLINK("https://android.googlesource.com/platform/cts/+/9a71b9b416f3d1e10e60e8b4ff1a9c248c98e418", "9a71b9b416f3d1e10e60e8b4ff1a9c248c98e418")</f>
        <v>0</v>
      </c>
      <c r="C11939">
        <f>HYPERLINK("https://android.googlesource.com/platform/cts/+/71397289505aeec5f2dd9f4ab83086a1dd155633", "71397289505aeec5f2dd9f4ab83086a1dd155633")</f>
        <v>0</v>
      </c>
      <c r="D11939" t="s">
        <v>5029</v>
      </c>
      <c r="E11939" t="s">
        <v>7123</v>
      </c>
      <c r="F11939" t="s">
        <v>10675</v>
      </c>
      <c r="G11939" t="s">
        <v>15075</v>
      </c>
      <c r="H11939" t="s">
        <v>28421</v>
      </c>
    </row>
    <row r="11940" spans="1:8">
      <c r="A11940" t="s">
        <v>1353</v>
      </c>
      <c r="B11940">
        <f>HYPERLINK("https://android.googlesource.com/platform/cts/+/76d27ce7c94d7559716fa779051f3cdc1af488b0", "76d27ce7c94d7559716fa779051f3cdc1af488b0")</f>
        <v>0</v>
      </c>
      <c r="C11940">
        <f>HYPERLINK("https://android.googlesource.com/platform/cts/+/2d3020b24fbc9db60e3fc94a075a9dce0ff9d4d6", "2d3020b24fbc9db60e3fc94a075a9dce0ff9d4d6")</f>
        <v>0</v>
      </c>
      <c r="D11940" t="s">
        <v>5127</v>
      </c>
      <c r="E11940" t="s">
        <v>7124</v>
      </c>
      <c r="F11940" t="s">
        <v>13173</v>
      </c>
      <c r="G11940" t="s">
        <v>17321</v>
      </c>
      <c r="H11940" t="s">
        <v>28422</v>
      </c>
    </row>
    <row r="11941" spans="1:8">
      <c r="H11941" t="s">
        <v>28423</v>
      </c>
    </row>
    <row r="11942" spans="1:8">
      <c r="H11942" t="s">
        <v>28424</v>
      </c>
    </row>
    <row r="11943" spans="1:8">
      <c r="F11943" t="s">
        <v>12629</v>
      </c>
      <c r="G11943" t="s">
        <v>16838</v>
      </c>
      <c r="H11943" t="s">
        <v>28429</v>
      </c>
    </row>
    <row r="11944" spans="1:8">
      <c r="A11944" t="s">
        <v>1355</v>
      </c>
      <c r="B11944">
        <f>HYPERLINK("https://android.googlesource.com/platform/cts/+/483ab8e405360430b806b04aee51fedc32c4a34f", "483ab8e405360430b806b04aee51fedc32c4a34f")</f>
        <v>0</v>
      </c>
      <c r="C11944">
        <f>HYPERLINK("https://android.googlesource.com/platform/cts/+/00d2bbc0310e81973f5a9e9f37d3159ee3361c91", "00d2bbc0310e81973f5a9e9f37d3159ee3361c91")</f>
        <v>0</v>
      </c>
      <c r="D11944" t="s">
        <v>5198</v>
      </c>
      <c r="E11944" t="s">
        <v>7126</v>
      </c>
      <c r="F11944" t="s">
        <v>10668</v>
      </c>
      <c r="G11944" t="s">
        <v>15069</v>
      </c>
      <c r="H11944" t="s">
        <v>28434</v>
      </c>
    </row>
    <row r="11945" spans="1:8">
      <c r="A11945" t="s">
        <v>1356</v>
      </c>
      <c r="B11945">
        <f>HYPERLINK("https://android.googlesource.com/platform/cts/+/2fbc4fb2fec3bd955d6933feb5d4d63e357bc55b", "2fbc4fb2fec3bd955d6933feb5d4d63e357bc55b")</f>
        <v>0</v>
      </c>
      <c r="C11945">
        <f>HYPERLINK("https://android.googlesource.com/platform/cts/+/a57f7aacff3602f8a26ca01e300cf3a6965adcf3", "a57f7aacff3602f8a26ca01e300cf3a6965adcf3")</f>
        <v>0</v>
      </c>
      <c r="D11945" t="s">
        <v>5002</v>
      </c>
      <c r="E11945" t="s">
        <v>7127</v>
      </c>
      <c r="F11945" t="s">
        <v>12252</v>
      </c>
      <c r="G11945" t="s">
        <v>16483</v>
      </c>
      <c r="H11945" t="s">
        <v>25060</v>
      </c>
    </row>
    <row r="11946" spans="1:8">
      <c r="H11946" t="s">
        <v>25061</v>
      </c>
    </row>
    <row r="11947" spans="1:8">
      <c r="H11947" t="s">
        <v>25062</v>
      </c>
    </row>
    <row r="11948" spans="1:8">
      <c r="A11948" t="s">
        <v>1357</v>
      </c>
      <c r="B11948">
        <f>HYPERLINK("https://android.googlesource.com/platform/cts/+/8ab04d76cdd0b3c57ea2b94f9819c5ba1dc35525", "8ab04d76cdd0b3c57ea2b94f9819c5ba1dc35525")</f>
        <v>0</v>
      </c>
      <c r="C11948">
        <f>HYPERLINK("https://android.googlesource.com/platform/cts/+/69f13316b8c6b44e6f14593db351d9a2d878e338", "69f13316b8c6b44e6f14593db351d9a2d878e338")</f>
        <v>0</v>
      </c>
      <c r="D11948" t="s">
        <v>5021</v>
      </c>
      <c r="E11948" t="s">
        <v>7128</v>
      </c>
      <c r="F11948" t="s">
        <v>12252</v>
      </c>
      <c r="G11948" t="s">
        <v>16483</v>
      </c>
      <c r="H11948" t="s">
        <v>25060</v>
      </c>
    </row>
    <row r="11949" spans="1:8">
      <c r="H11949" t="s">
        <v>25061</v>
      </c>
    </row>
    <row r="11950" spans="1:8">
      <c r="H11950" t="s">
        <v>25062</v>
      </c>
    </row>
    <row r="11951" spans="1:8">
      <c r="A11951" t="s">
        <v>1358</v>
      </c>
      <c r="B11951">
        <f>HYPERLINK("https://android.googlesource.com/platform/cts/+/e7356ae25d3ed813a5d2c318889d6c4284e19168", "e7356ae25d3ed813a5d2c318889d6c4284e19168")</f>
        <v>0</v>
      </c>
      <c r="C11951">
        <f>HYPERLINK("https://android.googlesource.com/platform/cts/+/432ab07ffb19145e38925e1506a958101694cd1e", "432ab07ffb19145e38925e1506a958101694cd1e")</f>
        <v>0</v>
      </c>
      <c r="D11951" t="s">
        <v>5199</v>
      </c>
      <c r="E11951" t="s">
        <v>7129</v>
      </c>
      <c r="F11951" t="s">
        <v>10593</v>
      </c>
      <c r="G11951" t="s">
        <v>14996</v>
      </c>
      <c r="H11951" t="s">
        <v>28446</v>
      </c>
    </row>
    <row r="11952" spans="1:8">
      <c r="A11952" t="s">
        <v>1359</v>
      </c>
      <c r="B11952">
        <f>HYPERLINK("https://android.googlesource.com/platform/cts/+/b15da1e1d851994fd4fde3665349ed43ac27d5f4", "b15da1e1d851994fd4fde3665349ed43ac27d5f4")</f>
        <v>0</v>
      </c>
      <c r="C11952">
        <f>HYPERLINK("https://android.googlesource.com/platform/cts/+/b7f33fffee58de858e2da2c769f21dcf79a7f0f3", "b7f33fffee58de858e2da2c769f21dcf79a7f0f3")</f>
        <v>0</v>
      </c>
      <c r="D11952" t="s">
        <v>5115</v>
      </c>
      <c r="E11952" t="s">
        <v>7130</v>
      </c>
      <c r="F11952" t="s">
        <v>13178</v>
      </c>
      <c r="G11952" t="s">
        <v>17322</v>
      </c>
      <c r="H11952" t="s">
        <v>26112</v>
      </c>
    </row>
    <row r="11953" spans="1:8">
      <c r="H11953" t="s">
        <v>26113</v>
      </c>
    </row>
    <row r="11954" spans="1:8">
      <c r="A11954" t="s">
        <v>1362</v>
      </c>
      <c r="B11954">
        <f>HYPERLINK("https://android.googlesource.com/platform/cts/+/58cdefa1792732ae895078450f76b53f861140c1", "58cdefa1792732ae895078450f76b53f861140c1")</f>
        <v>0</v>
      </c>
      <c r="C11954">
        <f>HYPERLINK("https://android.googlesource.com/platform/cts/+/7f750fbc36a64379f6f340143b159b15af48103f", "7f750fbc36a64379f6f340143b159b15af48103f")</f>
        <v>0</v>
      </c>
      <c r="D11954" t="s">
        <v>5191</v>
      </c>
      <c r="E11954" t="s">
        <v>7133</v>
      </c>
      <c r="F11954" t="s">
        <v>13179</v>
      </c>
      <c r="G11954" t="s">
        <v>17323</v>
      </c>
      <c r="H11954" t="s">
        <v>28448</v>
      </c>
    </row>
    <row r="11955" spans="1:8">
      <c r="A11955" t="s">
        <v>1365</v>
      </c>
      <c r="B11955">
        <f>HYPERLINK("https://android.googlesource.com/platform/cts/+/2c01b4761a1e5f31245c9ea50d610449ff1b6f33", "2c01b4761a1e5f31245c9ea50d610449ff1b6f33")</f>
        <v>0</v>
      </c>
      <c r="C11955">
        <f>HYPERLINK("https://android.googlesource.com/platform/cts/+/d3b60bbf30c1a99efd1576c4cb7880b1319d7565", "d3b60bbf30c1a99efd1576c4cb7880b1319d7565")</f>
        <v>0</v>
      </c>
      <c r="D11955" t="s">
        <v>5144</v>
      </c>
      <c r="E11955" t="s">
        <v>7136</v>
      </c>
      <c r="F11955" t="s">
        <v>10629</v>
      </c>
      <c r="G11955" t="s">
        <v>15032</v>
      </c>
      <c r="H11955" t="s">
        <v>18836</v>
      </c>
    </row>
    <row r="11956" spans="1:8">
      <c r="H11956" t="s">
        <v>28452</v>
      </c>
    </row>
    <row r="11957" spans="1:8">
      <c r="H11957" t="s">
        <v>28453</v>
      </c>
    </row>
    <row r="11958" spans="1:8">
      <c r="F11958" t="s">
        <v>10597</v>
      </c>
      <c r="G11958" t="s">
        <v>15000</v>
      </c>
      <c r="H11958" t="s">
        <v>28454</v>
      </c>
    </row>
    <row r="11959" spans="1:8">
      <c r="F11959" t="s">
        <v>13180</v>
      </c>
      <c r="G11959" t="s">
        <v>17324</v>
      </c>
      <c r="H11959" t="s">
        <v>18851</v>
      </c>
    </row>
    <row r="11960" spans="1:8">
      <c r="F11960" t="s">
        <v>13181</v>
      </c>
      <c r="G11960" t="s">
        <v>17325</v>
      </c>
      <c r="H11960" t="s">
        <v>18836</v>
      </c>
    </row>
    <row r="11961" spans="1:8">
      <c r="H11961" t="s">
        <v>28455</v>
      </c>
    </row>
    <row r="11962" spans="1:8">
      <c r="H11962" t="s">
        <v>28456</v>
      </c>
    </row>
    <row r="11963" spans="1:8">
      <c r="H11963" t="s">
        <v>28457</v>
      </c>
    </row>
    <row r="11964" spans="1:8">
      <c r="A11964" t="s">
        <v>1366</v>
      </c>
      <c r="B11964">
        <f>HYPERLINK("https://android.googlesource.com/platform/cts/+/2c7e5170a20547c236819d56593d8b8b7d2f0f21", "2c7e5170a20547c236819d56593d8b8b7d2f0f21")</f>
        <v>0</v>
      </c>
      <c r="C11964">
        <f>HYPERLINK("https://android.googlesource.com/platform/cts/+/cf8c9298e24c5b769afe9ec7c89d888587c322e4", "cf8c9298e24c5b769afe9ec7c89d888587c322e4")</f>
        <v>0</v>
      </c>
      <c r="D11964" t="s">
        <v>5189</v>
      </c>
      <c r="E11964" t="s">
        <v>7137</v>
      </c>
      <c r="F11964" t="s">
        <v>13162</v>
      </c>
      <c r="G11964" t="s">
        <v>16987</v>
      </c>
      <c r="H11964" t="s">
        <v>28385</v>
      </c>
    </row>
    <row r="11965" spans="1:8">
      <c r="A11965" t="s">
        <v>1369</v>
      </c>
      <c r="B11965">
        <f>HYPERLINK("https://android.googlesource.com/platform/cts/+/4a7e03dd53c02838bcd766a079d065d67555cf0d", "4a7e03dd53c02838bcd766a079d065d67555cf0d")</f>
        <v>0</v>
      </c>
      <c r="C11965">
        <f>HYPERLINK("https://android.googlesource.com/platform/cts/+/6f48da44578c0cfb95b538b7ef0d90316dca725c", "6f48da44578c0cfb95b538b7ef0d90316dca725c")</f>
        <v>0</v>
      </c>
      <c r="D11965" t="s">
        <v>5062</v>
      </c>
      <c r="E11965" t="s">
        <v>7140</v>
      </c>
      <c r="F11965" t="s">
        <v>13188</v>
      </c>
      <c r="G11965" t="s">
        <v>17332</v>
      </c>
      <c r="H11965" t="s">
        <v>28462</v>
      </c>
    </row>
    <row r="11966" spans="1:8">
      <c r="F11966" t="s">
        <v>13189</v>
      </c>
      <c r="G11966" t="s">
        <v>17333</v>
      </c>
      <c r="H11966" t="s">
        <v>28462</v>
      </c>
    </row>
    <row r="11967" spans="1:8">
      <c r="A11967" t="s">
        <v>1370</v>
      </c>
      <c r="B11967">
        <f>HYPERLINK("https://android.googlesource.com/platform/cts/+/db6000bf3923b236411ae253016c40ff09d43447", "db6000bf3923b236411ae253016c40ff09d43447")</f>
        <v>0</v>
      </c>
      <c r="C11967">
        <f>HYPERLINK("https://android.googlesource.com/platform/cts/+/e91e18261e4fac8d10549a16f0b55e74b8391da0", "e91e18261e4fac8d10549a16f0b55e74b8391da0")</f>
        <v>0</v>
      </c>
      <c r="D11967" t="s">
        <v>4965</v>
      </c>
      <c r="E11967" t="s">
        <v>7141</v>
      </c>
      <c r="F11967" t="s">
        <v>13127</v>
      </c>
      <c r="G11967" t="s">
        <v>17203</v>
      </c>
      <c r="H11967" t="s">
        <v>28463</v>
      </c>
    </row>
    <row r="11968" spans="1:8">
      <c r="A11968" t="s">
        <v>1373</v>
      </c>
      <c r="B11968">
        <f>HYPERLINK("https://android.googlesource.com/platform/cts/+/16abb8080a2f8d1860f84b86307daec04b1892d5", "16abb8080a2f8d1860f84b86307daec04b1892d5")</f>
        <v>0</v>
      </c>
      <c r="C11968">
        <f>HYPERLINK("https://android.googlesource.com/platform/cts/+/0e4d7ecb3471414e95744a8081a28cee8022d46a", "0e4d7ecb3471414e95744a8081a28cee8022d46a")</f>
        <v>0</v>
      </c>
      <c r="D11968" t="s">
        <v>4994</v>
      </c>
      <c r="E11968" t="s">
        <v>7144</v>
      </c>
      <c r="F11968" t="s">
        <v>10625</v>
      </c>
      <c r="G11968" t="s">
        <v>15028</v>
      </c>
      <c r="H11968" t="s">
        <v>28466</v>
      </c>
    </row>
    <row r="11969" spans="1:8">
      <c r="A11969" t="s">
        <v>1374</v>
      </c>
      <c r="B11969">
        <f>HYPERLINK("https://android.googlesource.com/platform/cts/+/f629b811ccb903fa09f44c98e7241e6144e547aa", "f629b811ccb903fa09f44c98e7241e6144e547aa")</f>
        <v>0</v>
      </c>
      <c r="C11969">
        <f>HYPERLINK("https://android.googlesource.com/platform/cts/+/e0f4d275f3fb92ff866ee2ce9300b4421d73c0f2", "e0f4d275f3fb92ff866ee2ce9300b4421d73c0f2")</f>
        <v>0</v>
      </c>
      <c r="D11969" t="s">
        <v>5201</v>
      </c>
      <c r="E11969" t="s">
        <v>7145</v>
      </c>
      <c r="F11969" t="s">
        <v>10749</v>
      </c>
      <c r="G11969" t="s">
        <v>15147</v>
      </c>
      <c r="H11969" t="s">
        <v>28467</v>
      </c>
    </row>
    <row r="11970" spans="1:8">
      <c r="A11970" t="s">
        <v>1375</v>
      </c>
      <c r="B11970">
        <f>HYPERLINK("https://android.googlesource.com/platform/cts/+/0e08bccac0267a702b62ddd93d4c3940ac60f5bc", "0e08bccac0267a702b62ddd93d4c3940ac60f5bc")</f>
        <v>0</v>
      </c>
      <c r="C11970">
        <f>HYPERLINK("https://android.googlesource.com/platform/cts/+/1c8a56a335d186d554634f26ef3135ab4fe6f838", "1c8a56a335d186d554634f26ef3135ab4fe6f838")</f>
        <v>0</v>
      </c>
      <c r="D11970" t="s">
        <v>5202</v>
      </c>
      <c r="E11970" t="s">
        <v>7146</v>
      </c>
      <c r="F11970" t="s">
        <v>13192</v>
      </c>
      <c r="G11970" t="s">
        <v>17335</v>
      </c>
      <c r="H11970" t="s">
        <v>28468</v>
      </c>
    </row>
    <row r="11971" spans="1:8">
      <c r="A11971" t="s">
        <v>1377</v>
      </c>
      <c r="B11971">
        <f>HYPERLINK("https://android.googlesource.com/platform/cts/+/3bb2f327a046fb1389d3c71cb2ef26baada0eb96", "3bb2f327a046fb1389d3c71cb2ef26baada0eb96")</f>
        <v>0</v>
      </c>
      <c r="C11971">
        <f>HYPERLINK("https://android.googlesource.com/platform/cts/+/ee8e5c25e7239ee42ac9f817d5a40dbf5ed9cc8b", "ee8e5c25e7239ee42ac9f817d5a40dbf5ed9cc8b")</f>
        <v>0</v>
      </c>
      <c r="D11971" t="s">
        <v>4949</v>
      </c>
      <c r="E11971" t="s">
        <v>7148</v>
      </c>
      <c r="F11971" t="s">
        <v>12879</v>
      </c>
      <c r="G11971" t="s">
        <v>17046</v>
      </c>
      <c r="H11971" t="s">
        <v>28470</v>
      </c>
    </row>
    <row r="11972" spans="1:8">
      <c r="A11972" t="s">
        <v>1378</v>
      </c>
      <c r="B11972">
        <f>HYPERLINK("https://android.googlesource.com/platform/cts/+/aef954739ac695b5e17c9b3ac281b3429a36014d", "aef954739ac695b5e17c9b3ac281b3429a36014d")</f>
        <v>0</v>
      </c>
      <c r="C11972">
        <f>HYPERLINK("https://android.googlesource.com/platform/cts/+/abe70ae7ee1768851233c37333f929752317bdd4", "abe70ae7ee1768851233c37333f929752317bdd4")</f>
        <v>0</v>
      </c>
      <c r="D11972" t="s">
        <v>5144</v>
      </c>
      <c r="E11972" t="s">
        <v>7149</v>
      </c>
      <c r="F11972" t="s">
        <v>10627</v>
      </c>
      <c r="G11972" t="s">
        <v>15030</v>
      </c>
      <c r="H11972" t="s">
        <v>28471</v>
      </c>
    </row>
    <row r="11973" spans="1:8">
      <c r="H11973" t="s">
        <v>28472</v>
      </c>
    </row>
    <row r="11974" spans="1:8">
      <c r="H11974" t="s">
        <v>28473</v>
      </c>
    </row>
    <row r="11975" spans="1:8">
      <c r="H11975" t="s">
        <v>28474</v>
      </c>
    </row>
    <row r="11976" spans="1:8">
      <c r="A11976" t="s">
        <v>1379</v>
      </c>
      <c r="B11976">
        <f>HYPERLINK("https://android.googlesource.com/platform/cts/+/f734aa60e8524882ef7664e6d574844f3803e17f", "f734aa60e8524882ef7664e6d574844f3803e17f")</f>
        <v>0</v>
      </c>
      <c r="C11976">
        <f>HYPERLINK("https://android.googlesource.com/platform/cts/+/8317906b3dd1fde437d44c320facab49c0193205", "8317906b3dd1fde437d44c320facab49c0193205")</f>
        <v>0</v>
      </c>
      <c r="D11976" t="s">
        <v>5062</v>
      </c>
      <c r="E11976" t="s">
        <v>7150</v>
      </c>
      <c r="F11976" t="s">
        <v>13188</v>
      </c>
      <c r="G11976" t="s">
        <v>17332</v>
      </c>
      <c r="H11976" t="s">
        <v>28488</v>
      </c>
    </row>
    <row r="11977" spans="1:8">
      <c r="H11977" t="s">
        <v>28489</v>
      </c>
    </row>
    <row r="11978" spans="1:8">
      <c r="F11978" t="s">
        <v>13189</v>
      </c>
      <c r="G11978" t="s">
        <v>17333</v>
      </c>
      <c r="H11978" t="s">
        <v>28488</v>
      </c>
    </row>
    <row r="11979" spans="1:8">
      <c r="H11979" t="s">
        <v>28489</v>
      </c>
    </row>
    <row r="11980" spans="1:8">
      <c r="A11980" t="s">
        <v>1381</v>
      </c>
      <c r="B11980">
        <f>HYPERLINK("https://android.googlesource.com/platform/cts/+/32908a51b1d83203d997ca2602e63060f6613c3b", "32908a51b1d83203d997ca2602e63060f6613c3b")</f>
        <v>0</v>
      </c>
      <c r="C11980">
        <f>HYPERLINK("https://android.googlesource.com/platform/cts/+/9e9010d06fe77db0c33a9ba504dc4d2bc94aa20d", "9e9010d06fe77db0c33a9ba504dc4d2bc94aa20d")</f>
        <v>0</v>
      </c>
      <c r="D11980" t="s">
        <v>5055</v>
      </c>
      <c r="E11980" t="s">
        <v>7152</v>
      </c>
      <c r="F11980" t="s">
        <v>12411</v>
      </c>
      <c r="G11980" t="s">
        <v>16633</v>
      </c>
      <c r="H11980" t="s">
        <v>28491</v>
      </c>
    </row>
    <row r="11981" spans="1:8">
      <c r="A11981" t="s">
        <v>1382</v>
      </c>
      <c r="B11981">
        <f>HYPERLINK("https://android.googlesource.com/platform/cts/+/6b3c15923fab701d06ef6a0eca198b06dd0f7288", "6b3c15923fab701d06ef6a0eca198b06dd0f7288")</f>
        <v>0</v>
      </c>
      <c r="C11981">
        <f>HYPERLINK("https://android.googlesource.com/platform/cts/+/0df066684bbee8c5e2091b3c068054619b768a42", "0df066684bbee8c5e2091b3c068054619b768a42")</f>
        <v>0</v>
      </c>
      <c r="D11981" t="s">
        <v>5118</v>
      </c>
      <c r="E11981" t="s">
        <v>7153</v>
      </c>
      <c r="F11981" t="s">
        <v>13197</v>
      </c>
      <c r="G11981" t="s">
        <v>17340</v>
      </c>
      <c r="H11981" t="s">
        <v>28492</v>
      </c>
    </row>
    <row r="11982" spans="1:8">
      <c r="A11982" t="s">
        <v>1383</v>
      </c>
      <c r="B11982">
        <f>HYPERLINK("https://android.googlesource.com/platform/cts/+/79803dcae5a19213aef99ead00a5d053ceab6cde", "79803dcae5a19213aef99ead00a5d053ceab6cde")</f>
        <v>0</v>
      </c>
      <c r="C11982">
        <f>HYPERLINK("https://android.googlesource.com/platform/cts/+/db97615ea76bbfb3f018245eef599c0d13a15e53", "db97615ea76bbfb3f018245eef599c0d13a15e53")</f>
        <v>0</v>
      </c>
      <c r="D11982" t="s">
        <v>5203</v>
      </c>
      <c r="E11982" t="s">
        <v>7154</v>
      </c>
      <c r="F11982" t="s">
        <v>13165</v>
      </c>
      <c r="G11982" t="s">
        <v>17315</v>
      </c>
      <c r="H11982" t="s">
        <v>28493</v>
      </c>
    </row>
    <row r="11983" spans="1:8">
      <c r="A11983" t="s">
        <v>1384</v>
      </c>
      <c r="B11983">
        <f>HYPERLINK("https://android.googlesource.com/platform/cts/+/5ad9feddf1244892f29eaf73ad32685f383ff579", "5ad9feddf1244892f29eaf73ad32685f383ff579")</f>
        <v>0</v>
      </c>
      <c r="C11983">
        <f>HYPERLINK("https://android.googlesource.com/platform/cts/+/109ad258780a542117825a3b5236d7339b4f5e2a", "109ad258780a542117825a3b5236d7339b4f5e2a")</f>
        <v>0</v>
      </c>
      <c r="D11983" t="s">
        <v>5204</v>
      </c>
      <c r="E11983" t="s">
        <v>7155</v>
      </c>
      <c r="F11983" t="s">
        <v>12904</v>
      </c>
      <c r="G11983" t="s">
        <v>17070</v>
      </c>
      <c r="H11983" t="s">
        <v>28495</v>
      </c>
    </row>
    <row r="11984" spans="1:8">
      <c r="A11984" t="s">
        <v>1385</v>
      </c>
      <c r="B11984">
        <f>HYPERLINK("https://android.googlesource.com/platform/cts/+/8832678e057cd9fed36eed89ba5316b949c8b922", "8832678e057cd9fed36eed89ba5316b949c8b922")</f>
        <v>0</v>
      </c>
      <c r="C11984">
        <f>HYPERLINK("https://android.googlesource.com/platform/cts/+/23fd68a7e7dcaafd8319dd178fbecff690567e59", "23fd68a7e7dcaafd8319dd178fbecff690567e59")</f>
        <v>0</v>
      </c>
      <c r="D11984" t="s">
        <v>5062</v>
      </c>
      <c r="E11984" t="s">
        <v>7156</v>
      </c>
      <c r="F11984" t="s">
        <v>13198</v>
      </c>
      <c r="G11984" t="s">
        <v>16941</v>
      </c>
      <c r="H11984" t="s">
        <v>26770</v>
      </c>
    </row>
    <row r="11985" spans="1:8">
      <c r="A11985" t="s">
        <v>1386</v>
      </c>
      <c r="B11985">
        <f>HYPERLINK("https://android.googlesource.com/platform/cts/+/010c93a1abdd4cd50bdacacb9a5a44047e5f7a7f", "010c93a1abdd4cd50bdacacb9a5a44047e5f7a7f")</f>
        <v>0</v>
      </c>
      <c r="C11985">
        <f>HYPERLINK("https://android.googlesource.com/platform/cts/+/23fd68a7e7dcaafd8319dd178fbecff690567e59", "23fd68a7e7dcaafd8319dd178fbecff690567e59")</f>
        <v>0</v>
      </c>
      <c r="D11985" t="s">
        <v>5062</v>
      </c>
      <c r="E11985" t="s">
        <v>7157</v>
      </c>
      <c r="F11985" t="s">
        <v>13200</v>
      </c>
      <c r="G11985" t="s">
        <v>17342</v>
      </c>
      <c r="H11985" t="s">
        <v>28497</v>
      </c>
    </row>
    <row r="11986" spans="1:8">
      <c r="F11986" t="s">
        <v>13201</v>
      </c>
      <c r="G11986" t="s">
        <v>17343</v>
      </c>
      <c r="H11986" t="s">
        <v>28498</v>
      </c>
    </row>
    <row r="11987" spans="1:8">
      <c r="A11987" t="s">
        <v>1388</v>
      </c>
      <c r="B11987">
        <f>HYPERLINK("https://android.googlesource.com/platform/cts/+/d4904876d7075fe752f3f03b31ec541f516e36f2", "d4904876d7075fe752f3f03b31ec541f516e36f2")</f>
        <v>0</v>
      </c>
      <c r="C11987">
        <f>HYPERLINK("https://android.googlesource.com/platform/cts/+/a7f8f18ea4043c8a2b43de11ea6f44028d9c150c", "a7f8f18ea4043c8a2b43de11ea6f44028d9c150c")</f>
        <v>0</v>
      </c>
      <c r="D11987" t="s">
        <v>5094</v>
      </c>
      <c r="E11987" t="s">
        <v>7159</v>
      </c>
      <c r="F11987" t="s">
        <v>13202</v>
      </c>
      <c r="G11987" t="s">
        <v>17344</v>
      </c>
      <c r="H11987" t="s">
        <v>28499</v>
      </c>
    </row>
    <row r="11988" spans="1:8">
      <c r="A11988" t="s">
        <v>1389</v>
      </c>
      <c r="B11988">
        <f>HYPERLINK("https://android.googlesource.com/platform/cts/+/2f7fdffbfe64117bfd637a89b7855fcd90760d71", "2f7fdffbfe64117bfd637a89b7855fcd90760d71")</f>
        <v>0</v>
      </c>
      <c r="C11988">
        <f>HYPERLINK("https://android.googlesource.com/platform/cts/+/8317906b3dd1fde437d44c320facab49c0193205", "8317906b3dd1fde437d44c320facab49c0193205")</f>
        <v>0</v>
      </c>
      <c r="D11988" t="s">
        <v>5153</v>
      </c>
      <c r="E11988" t="s">
        <v>7160</v>
      </c>
      <c r="F11988" t="s">
        <v>13203</v>
      </c>
      <c r="G11988" t="s">
        <v>17345</v>
      </c>
      <c r="H11988" t="s">
        <v>28517</v>
      </c>
    </row>
    <row r="11989" spans="1:8">
      <c r="A11989" t="s">
        <v>1390</v>
      </c>
      <c r="B11989">
        <f>HYPERLINK("https://android.googlesource.com/platform/cts/+/069b4a9d9beacb7ae994d97ef44b696917822d21", "069b4a9d9beacb7ae994d97ef44b696917822d21")</f>
        <v>0</v>
      </c>
      <c r="C11989">
        <f>HYPERLINK("https://android.googlesource.com/platform/cts/+/e17b591ff58af048c7eaf3e4b7c0b5791cc7e970", "e17b591ff58af048c7eaf3e4b7c0b5791cc7e970")</f>
        <v>0</v>
      </c>
      <c r="D11989" t="s">
        <v>5176</v>
      </c>
      <c r="E11989" t="s">
        <v>7161</v>
      </c>
      <c r="F11989" t="s">
        <v>10794</v>
      </c>
      <c r="G11989" t="s">
        <v>15189</v>
      </c>
      <c r="H11989" t="s">
        <v>28518</v>
      </c>
    </row>
    <row r="11990" spans="1:8">
      <c r="H11990" t="s">
        <v>28519</v>
      </c>
    </row>
    <row r="11991" spans="1:8">
      <c r="H11991" t="s">
        <v>28520</v>
      </c>
    </row>
    <row r="11992" spans="1:8">
      <c r="A11992" t="s">
        <v>1392</v>
      </c>
      <c r="B11992">
        <f>HYPERLINK("https://android.googlesource.com/platform/cts/+/c0777e14d4db6d94a1291f8f4d508beaee2348e3", "c0777e14d4db6d94a1291f8f4d508beaee2348e3")</f>
        <v>0</v>
      </c>
      <c r="C11992">
        <f>HYPERLINK("https://android.googlesource.com/platform/cts/+/2c8c74e3a4d6847b40f40793fe056aad929074a9", "2c8c74e3a4d6847b40f40793fe056aad929074a9")</f>
        <v>0</v>
      </c>
      <c r="D11992" t="s">
        <v>5191</v>
      </c>
      <c r="E11992" t="s">
        <v>7163</v>
      </c>
      <c r="F11992" t="s">
        <v>13167</v>
      </c>
      <c r="G11992" t="s">
        <v>16845</v>
      </c>
      <c r="H11992" t="s">
        <v>28523</v>
      </c>
    </row>
    <row r="11993" spans="1:8">
      <c r="H11993" t="s">
        <v>28524</v>
      </c>
    </row>
    <row r="11994" spans="1:8">
      <c r="A11994" t="s">
        <v>1394</v>
      </c>
      <c r="B11994">
        <f>HYPERLINK("https://android.googlesource.com/platform/cts/+/19f8cfa39892e468831d0998954cfdd5a1a8dfa4", "19f8cfa39892e468831d0998954cfdd5a1a8dfa4")</f>
        <v>0</v>
      </c>
      <c r="C11994">
        <f>HYPERLINK("https://android.googlesource.com/platform/cts/+/d57bb4d0ec59016f842c19e8b8483799f97a1ff2", "d57bb4d0ec59016f842c19e8b8483799f97a1ff2")</f>
        <v>0</v>
      </c>
      <c r="D11994" t="s">
        <v>5085</v>
      </c>
      <c r="E11994" t="s">
        <v>7165</v>
      </c>
      <c r="F11994" t="s">
        <v>13204</v>
      </c>
      <c r="G11994" t="s">
        <v>17346</v>
      </c>
      <c r="H11994" t="s">
        <v>28526</v>
      </c>
    </row>
    <row r="11995" spans="1:8">
      <c r="H11995" t="s">
        <v>28527</v>
      </c>
    </row>
    <row r="11996" spans="1:8">
      <c r="A11996" t="s">
        <v>1396</v>
      </c>
      <c r="B11996">
        <f>HYPERLINK("https://android.googlesource.com/platform/cts/+/a87a656a10ce2430c7aed66d876fd365cff3405f", "a87a656a10ce2430c7aed66d876fd365cff3405f")</f>
        <v>0</v>
      </c>
      <c r="C11996">
        <f>HYPERLINK("https://android.googlesource.com/platform/cts/+/9c5780640ab32bc81130583d28189dd21b6e9c2a", "9c5780640ab32bc81130583d28189dd21b6e9c2a")</f>
        <v>0</v>
      </c>
      <c r="D11996" t="s">
        <v>5044</v>
      </c>
      <c r="E11996" t="s">
        <v>7167</v>
      </c>
      <c r="F11996" t="s">
        <v>13205</v>
      </c>
      <c r="G11996" t="s">
        <v>17347</v>
      </c>
      <c r="H11996" t="s">
        <v>28528</v>
      </c>
    </row>
    <row r="11997" spans="1:8">
      <c r="F11997" t="s">
        <v>13206</v>
      </c>
      <c r="G11997" t="s">
        <v>17348</v>
      </c>
      <c r="H11997" t="s">
        <v>28529</v>
      </c>
    </row>
    <row r="11998" spans="1:8">
      <c r="H11998" t="s">
        <v>28530</v>
      </c>
    </row>
    <row r="11999" spans="1:8">
      <c r="H11999" t="s">
        <v>28531</v>
      </c>
    </row>
    <row r="12000" spans="1:8">
      <c r="F12000" t="s">
        <v>12872</v>
      </c>
      <c r="G12000" t="s">
        <v>17040</v>
      </c>
      <c r="H12000" t="s">
        <v>28532</v>
      </c>
    </row>
    <row r="12001" spans="1:8">
      <c r="F12001" t="s">
        <v>13162</v>
      </c>
      <c r="G12001" t="s">
        <v>16987</v>
      </c>
      <c r="H12001" t="s">
        <v>28533</v>
      </c>
    </row>
    <row r="12002" spans="1:8">
      <c r="H12002" t="s">
        <v>28534</v>
      </c>
    </row>
    <row r="12003" spans="1:8">
      <c r="H12003" t="s">
        <v>28535</v>
      </c>
    </row>
    <row r="12004" spans="1:8">
      <c r="A12004" t="s">
        <v>1397</v>
      </c>
      <c r="B12004">
        <f>HYPERLINK("https://android.googlesource.com/platform/cts/+/8b9f2a468aa8fc6c542256066c400ffd3a2fd48f", "8b9f2a468aa8fc6c542256066c400ffd3a2fd48f")</f>
        <v>0</v>
      </c>
      <c r="C12004">
        <f>HYPERLINK("https://android.googlesource.com/platform/cts/+/48eb162532cb33875f1a8d761a22e704790714f2", "48eb162532cb33875f1a8d761a22e704790714f2")</f>
        <v>0</v>
      </c>
      <c r="D12004" t="s">
        <v>5206</v>
      </c>
      <c r="E12004" t="s">
        <v>7168</v>
      </c>
      <c r="F12004" t="s">
        <v>13207</v>
      </c>
      <c r="G12004" t="s">
        <v>17349</v>
      </c>
      <c r="H12004" t="s">
        <v>28536</v>
      </c>
    </row>
    <row r="12005" spans="1:8">
      <c r="H12005" t="s">
        <v>28537</v>
      </c>
    </row>
    <row r="12006" spans="1:8">
      <c r="H12006" t="s">
        <v>28538</v>
      </c>
    </row>
    <row r="12007" spans="1:8">
      <c r="F12007" t="s">
        <v>13208</v>
      </c>
      <c r="G12007" t="s">
        <v>17334</v>
      </c>
      <c r="H12007" t="s">
        <v>28536</v>
      </c>
    </row>
    <row r="12008" spans="1:8">
      <c r="H12008" t="s">
        <v>28539</v>
      </c>
    </row>
    <row r="12009" spans="1:8">
      <c r="H12009" t="s">
        <v>28540</v>
      </c>
    </row>
    <row r="12010" spans="1:8">
      <c r="H12010" t="s">
        <v>28541</v>
      </c>
    </row>
    <row r="12011" spans="1:8">
      <c r="A12011" t="s">
        <v>1400</v>
      </c>
      <c r="B12011">
        <f>HYPERLINK("https://android.googlesource.com/platform/cts/+/d52ec60d388f560db1eca69e849dbeeccc5d9025", "d52ec60d388f560db1eca69e849dbeeccc5d9025")</f>
        <v>0</v>
      </c>
      <c r="C12011">
        <f>HYPERLINK("https://android.googlesource.com/platform/cts/+/4a41ad004e4843a0216fb9881e4d6ff5d5221bf8", "4a41ad004e4843a0216fb9881e4d6ff5d5221bf8")</f>
        <v>0</v>
      </c>
      <c r="D12011" t="s">
        <v>5115</v>
      </c>
      <c r="E12011" t="s">
        <v>7171</v>
      </c>
      <c r="F12011" t="s">
        <v>13178</v>
      </c>
      <c r="G12011" t="s">
        <v>17322</v>
      </c>
      <c r="H12011" t="s">
        <v>26112</v>
      </c>
    </row>
    <row r="12012" spans="1:8">
      <c r="H12012" t="s">
        <v>26113</v>
      </c>
    </row>
    <row r="12013" spans="1:8">
      <c r="A12013" t="s">
        <v>1401</v>
      </c>
      <c r="B12013">
        <f>HYPERLINK("https://android.googlesource.com/platform/cts/+/9e50016a271f806f7d09d673496f137d59090864", "9e50016a271f806f7d09d673496f137d59090864")</f>
        <v>0</v>
      </c>
      <c r="C12013">
        <f>HYPERLINK("https://android.googlesource.com/platform/cts/+/2e6f9b1133ed9930957fa285d008e4d6927ced51", "2e6f9b1133ed9930957fa285d008e4d6927ced51")</f>
        <v>0</v>
      </c>
      <c r="D12013" t="s">
        <v>5132</v>
      </c>
      <c r="E12013" t="s">
        <v>7172</v>
      </c>
      <c r="F12013" t="s">
        <v>10597</v>
      </c>
      <c r="G12013" t="s">
        <v>15000</v>
      </c>
      <c r="H12013" t="s">
        <v>28546</v>
      </c>
    </row>
    <row r="12014" spans="1:8">
      <c r="F12014" t="s">
        <v>10794</v>
      </c>
      <c r="G12014" t="s">
        <v>15189</v>
      </c>
      <c r="H12014" t="s">
        <v>28546</v>
      </c>
    </row>
    <row r="12015" spans="1:8">
      <c r="A12015" t="s">
        <v>1403</v>
      </c>
      <c r="B12015">
        <f>HYPERLINK("https://android.googlesource.com/platform/cts/+/d61f52ec3dc8955173c897aebde485e26ba490f4", "d61f52ec3dc8955173c897aebde485e26ba490f4")</f>
        <v>0</v>
      </c>
      <c r="C12015">
        <f>HYPERLINK("https://android.googlesource.com/platform/cts/+/80ff846105064d3b28d9af7080194663cb678d12", "80ff846105064d3b28d9af7080194663cb678d12")</f>
        <v>0</v>
      </c>
      <c r="D12015" t="s">
        <v>5085</v>
      </c>
      <c r="E12015" t="s">
        <v>7174</v>
      </c>
      <c r="F12015" t="s">
        <v>13211</v>
      </c>
      <c r="G12015" t="s">
        <v>17352</v>
      </c>
      <c r="H12015" t="s">
        <v>28548</v>
      </c>
    </row>
    <row r="12016" spans="1:8">
      <c r="A12016" t="s">
        <v>1404</v>
      </c>
      <c r="B12016">
        <f>HYPERLINK("https://android.googlesource.com/platform/cts/+/e8dfea147452ea19fc8c0b8968241569baba3d65", "e8dfea147452ea19fc8c0b8968241569baba3d65")</f>
        <v>0</v>
      </c>
      <c r="C12016">
        <f>HYPERLINK("https://android.googlesource.com/platform/cts/+/43bc783fbd3790b99e5a60b67b44204aecaa35e8", "43bc783fbd3790b99e5a60b67b44204aecaa35e8")</f>
        <v>0</v>
      </c>
      <c r="D12016" t="s">
        <v>5208</v>
      </c>
      <c r="E12016" t="s">
        <v>7175</v>
      </c>
      <c r="F12016" t="s">
        <v>13212</v>
      </c>
      <c r="G12016" t="s">
        <v>17353</v>
      </c>
      <c r="H12016" t="s">
        <v>18836</v>
      </c>
    </row>
    <row r="12017" spans="1:8">
      <c r="H12017" t="s">
        <v>28549</v>
      </c>
    </row>
    <row r="12018" spans="1:8">
      <c r="H12018" t="s">
        <v>28550</v>
      </c>
    </row>
    <row r="12019" spans="1:8">
      <c r="H12019" t="s">
        <v>28551</v>
      </c>
    </row>
    <row r="12020" spans="1:8">
      <c r="H12020" t="s">
        <v>28552</v>
      </c>
    </row>
    <row r="12021" spans="1:8">
      <c r="H12021" t="s">
        <v>28553</v>
      </c>
    </row>
    <row r="12022" spans="1:8">
      <c r="A12022" t="s">
        <v>1405</v>
      </c>
      <c r="B12022">
        <f>HYPERLINK("https://android.googlesource.com/platform/cts/+/110a80b8b189741885e285d92e84f8810643e411", "110a80b8b189741885e285d92e84f8810643e411")</f>
        <v>0</v>
      </c>
      <c r="C12022">
        <f>HYPERLINK("https://android.googlesource.com/platform/cts/+/81ef9b5be48b0d28318a1f702a823a6a9aae41f5", "81ef9b5be48b0d28318a1f702a823a6a9aae41f5")</f>
        <v>0</v>
      </c>
      <c r="D12022" t="s">
        <v>5209</v>
      </c>
      <c r="E12022" t="s">
        <v>7176</v>
      </c>
      <c r="F12022" t="s">
        <v>13021</v>
      </c>
      <c r="G12022" t="s">
        <v>17185</v>
      </c>
      <c r="H12022" t="s">
        <v>28555</v>
      </c>
    </row>
    <row r="12023" spans="1:8">
      <c r="H12023" t="s">
        <v>28556</v>
      </c>
    </row>
    <row r="12024" spans="1:8">
      <c r="F12024" t="s">
        <v>10740</v>
      </c>
      <c r="G12024" t="s">
        <v>15139</v>
      </c>
      <c r="H12024" t="s">
        <v>28557</v>
      </c>
    </row>
    <row r="12025" spans="1:8">
      <c r="H12025" t="s">
        <v>28558</v>
      </c>
    </row>
    <row r="12026" spans="1:8">
      <c r="H12026" t="s">
        <v>28559</v>
      </c>
    </row>
    <row r="12027" spans="1:8">
      <c r="H12027" t="s">
        <v>28560</v>
      </c>
    </row>
    <row r="12028" spans="1:8">
      <c r="F12028" t="s">
        <v>10699</v>
      </c>
      <c r="G12028" t="s">
        <v>15099</v>
      </c>
      <c r="H12028" t="s">
        <v>28557</v>
      </c>
    </row>
    <row r="12029" spans="1:8">
      <c r="H12029" t="s">
        <v>28561</v>
      </c>
    </row>
    <row r="12030" spans="1:8">
      <c r="A12030" t="s">
        <v>1407</v>
      </c>
      <c r="B12030">
        <f>HYPERLINK("https://android.googlesource.com/platform/cts/+/639ea8ac68c171f3edc1fdd5938bf122da89cf5a", "639ea8ac68c171f3edc1fdd5938bf122da89cf5a")</f>
        <v>0</v>
      </c>
      <c r="C12030">
        <f>HYPERLINK("https://android.googlesource.com/platform/cts/+/d61f52ec3dc8955173c897aebde485e26ba490f4", "d61f52ec3dc8955173c897aebde485e26ba490f4")</f>
        <v>0</v>
      </c>
      <c r="D12030" t="s">
        <v>5085</v>
      </c>
      <c r="E12030" t="s">
        <v>7177</v>
      </c>
      <c r="F12030" t="s">
        <v>13211</v>
      </c>
      <c r="G12030" t="s">
        <v>17352</v>
      </c>
      <c r="H12030" t="s">
        <v>28562</v>
      </c>
    </row>
    <row r="12031" spans="1:8">
      <c r="H12031" t="s">
        <v>28563</v>
      </c>
    </row>
    <row r="12032" spans="1:8">
      <c r="A12032" t="s">
        <v>1409</v>
      </c>
      <c r="B12032">
        <f>HYPERLINK("https://android.googlesource.com/platform/cts/+/a2174d0fb6f2eb0839d09b7f1b5228170754c02f", "a2174d0fb6f2eb0839d09b7f1b5228170754c02f")</f>
        <v>0</v>
      </c>
      <c r="C12032">
        <f>HYPERLINK("https://android.googlesource.com/platform/cts/+/afc5dc839aa74367500ad29768b3b78805f1f1f0", "afc5dc839aa74367500ad29768b3b78805f1f1f0")</f>
        <v>0</v>
      </c>
      <c r="D12032" t="s">
        <v>5029</v>
      </c>
      <c r="E12032" t="s">
        <v>7179</v>
      </c>
      <c r="F12032" t="s">
        <v>10675</v>
      </c>
      <c r="G12032" t="s">
        <v>15075</v>
      </c>
      <c r="H12032" t="s">
        <v>28421</v>
      </c>
    </row>
    <row r="12033" spans="1:8">
      <c r="A12033" t="s">
        <v>1410</v>
      </c>
      <c r="B12033">
        <f>HYPERLINK("https://android.googlesource.com/platform/cts/+/d6e53944e560f77d785f239349530c1906587054", "d6e53944e560f77d785f239349530c1906587054")</f>
        <v>0</v>
      </c>
      <c r="C12033">
        <f>HYPERLINK("https://android.googlesource.com/platform/cts/+/07459b983e24580123125b171339d1bf4f17a69e", "07459b983e24580123125b171339d1bf4f17a69e")</f>
        <v>0</v>
      </c>
      <c r="D12033" t="s">
        <v>4986</v>
      </c>
      <c r="E12033" t="s">
        <v>7180</v>
      </c>
      <c r="F12033" t="s">
        <v>10776</v>
      </c>
      <c r="G12033" t="s">
        <v>15172</v>
      </c>
      <c r="H12033" t="s">
        <v>28565</v>
      </c>
    </row>
    <row r="12034" spans="1:8">
      <c r="A12034" t="s">
        <v>1412</v>
      </c>
      <c r="B12034">
        <f>HYPERLINK("https://android.googlesource.com/platform/cts/+/38c031cc4e46dfdcfe1af75123944c1bc2d7c52f", "38c031cc4e46dfdcfe1af75123944c1bc2d7c52f")</f>
        <v>0</v>
      </c>
      <c r="C12034">
        <f>HYPERLINK("https://android.googlesource.com/platform/cts/+/07459b983e24580123125b171339d1bf4f17a69e", "07459b983e24580123125b171339d1bf4f17a69e")</f>
        <v>0</v>
      </c>
      <c r="D12034" t="s">
        <v>5063</v>
      </c>
      <c r="E12034" t="s">
        <v>7182</v>
      </c>
      <c r="F12034" t="s">
        <v>12768</v>
      </c>
      <c r="G12034" t="s">
        <v>15710</v>
      </c>
      <c r="H12034" t="s">
        <v>28574</v>
      </c>
    </row>
    <row r="12035" spans="1:8">
      <c r="A12035" t="s">
        <v>1414</v>
      </c>
      <c r="B12035">
        <f>HYPERLINK("https://android.googlesource.com/platform/cts/+/b8c644768450339f62a52b4ecf97b6048568e4b9", "b8c644768450339f62a52b4ecf97b6048568e4b9")</f>
        <v>0</v>
      </c>
      <c r="C12035">
        <f>HYPERLINK("https://android.googlesource.com/platform/cts/+/01ef79d7d555b043d4aba1ced575a4ec1c58d60d", "01ef79d7d555b043d4aba1ced575a4ec1c58d60d")</f>
        <v>0</v>
      </c>
      <c r="D12035" t="s">
        <v>5211</v>
      </c>
      <c r="E12035" t="s">
        <v>7183</v>
      </c>
      <c r="F12035" t="s">
        <v>12991</v>
      </c>
      <c r="G12035" t="s">
        <v>17155</v>
      </c>
      <c r="H12035" t="s">
        <v>28575</v>
      </c>
    </row>
    <row r="12036" spans="1:8">
      <c r="H12036" t="s">
        <v>28576</v>
      </c>
    </row>
    <row r="12037" spans="1:8">
      <c r="H12037" t="s">
        <v>28577</v>
      </c>
    </row>
    <row r="12038" spans="1:8">
      <c r="H12038" t="s">
        <v>28578</v>
      </c>
    </row>
    <row r="12039" spans="1:8">
      <c r="H12039" t="s">
        <v>28579</v>
      </c>
    </row>
    <row r="12040" spans="1:8">
      <c r="H12040" t="s">
        <v>28580</v>
      </c>
    </row>
    <row r="12041" spans="1:8">
      <c r="H12041" t="s">
        <v>28583</v>
      </c>
    </row>
    <row r="12042" spans="1:8">
      <c r="H12042" t="s">
        <v>28585</v>
      </c>
    </row>
    <row r="12043" spans="1:8">
      <c r="H12043" t="s">
        <v>28586</v>
      </c>
    </row>
    <row r="12044" spans="1:8">
      <c r="H12044" t="s">
        <v>28587</v>
      </c>
    </row>
    <row r="12045" spans="1:8">
      <c r="H12045" t="s">
        <v>28588</v>
      </c>
    </row>
    <row r="12046" spans="1:8">
      <c r="F12046" t="s">
        <v>13215</v>
      </c>
      <c r="G12046" t="s">
        <v>17356</v>
      </c>
      <c r="H12046" t="s">
        <v>28589</v>
      </c>
    </row>
    <row r="12047" spans="1:8">
      <c r="F12047" t="s">
        <v>12992</v>
      </c>
      <c r="G12047" t="s">
        <v>17156</v>
      </c>
      <c r="H12047" t="s">
        <v>28591</v>
      </c>
    </row>
    <row r="12048" spans="1:8">
      <c r="H12048" t="s">
        <v>28592</v>
      </c>
    </row>
    <row r="12049" spans="6:8">
      <c r="F12049" t="s">
        <v>13216</v>
      </c>
      <c r="G12049" t="s">
        <v>17357</v>
      </c>
      <c r="H12049" t="s">
        <v>28593</v>
      </c>
    </row>
    <row r="12050" spans="6:8">
      <c r="F12050" t="s">
        <v>13217</v>
      </c>
      <c r="G12050" t="s">
        <v>17358</v>
      </c>
      <c r="H12050" t="s">
        <v>18835</v>
      </c>
    </row>
    <row r="12051" spans="6:8">
      <c r="F12051" t="s">
        <v>13218</v>
      </c>
      <c r="G12051" t="s">
        <v>17359</v>
      </c>
      <c r="H12051" t="s">
        <v>28594</v>
      </c>
    </row>
    <row r="12052" spans="6:8">
      <c r="F12052" t="s">
        <v>10758</v>
      </c>
      <c r="G12052" t="s">
        <v>15156</v>
      </c>
      <c r="H12052" t="s">
        <v>28595</v>
      </c>
    </row>
    <row r="12053" spans="6:8">
      <c r="F12053" t="s">
        <v>12993</v>
      </c>
      <c r="G12053" t="s">
        <v>17157</v>
      </c>
      <c r="H12053" t="s">
        <v>28596</v>
      </c>
    </row>
    <row r="12054" spans="6:8">
      <c r="H12054" t="s">
        <v>28597</v>
      </c>
    </row>
    <row r="12055" spans="6:8">
      <c r="H12055" t="s">
        <v>28598</v>
      </c>
    </row>
    <row r="12056" spans="6:8">
      <c r="H12056" t="s">
        <v>28599</v>
      </c>
    </row>
    <row r="12057" spans="6:8">
      <c r="H12057" t="s">
        <v>28600</v>
      </c>
    </row>
    <row r="12058" spans="6:8">
      <c r="H12058" t="s">
        <v>28601</v>
      </c>
    </row>
    <row r="12059" spans="6:8">
      <c r="H12059" t="s">
        <v>28602</v>
      </c>
    </row>
    <row r="12060" spans="6:8">
      <c r="H12060" t="s">
        <v>28603</v>
      </c>
    </row>
    <row r="12061" spans="6:8">
      <c r="H12061" t="s">
        <v>28604</v>
      </c>
    </row>
    <row r="12062" spans="6:8">
      <c r="F12062" t="s">
        <v>12179</v>
      </c>
      <c r="G12062" t="s">
        <v>16418</v>
      </c>
      <c r="H12062" t="s">
        <v>28605</v>
      </c>
    </row>
    <row r="12063" spans="6:8">
      <c r="H12063" t="s">
        <v>28606</v>
      </c>
    </row>
    <row r="12064" spans="6:8">
      <c r="H12064" t="s">
        <v>28609</v>
      </c>
    </row>
    <row r="12065" spans="1:8">
      <c r="H12065" t="s">
        <v>28610</v>
      </c>
    </row>
    <row r="12066" spans="1:8">
      <c r="H12066" t="s">
        <v>28611</v>
      </c>
    </row>
    <row r="12067" spans="1:8">
      <c r="H12067" t="s">
        <v>28612</v>
      </c>
    </row>
    <row r="12068" spans="1:8">
      <c r="H12068" t="s">
        <v>28613</v>
      </c>
    </row>
    <row r="12069" spans="1:8">
      <c r="H12069" t="s">
        <v>28614</v>
      </c>
    </row>
    <row r="12070" spans="1:8">
      <c r="H12070" t="s">
        <v>28615</v>
      </c>
    </row>
    <row r="12071" spans="1:8">
      <c r="H12071" t="s">
        <v>28616</v>
      </c>
    </row>
    <row r="12072" spans="1:8">
      <c r="F12072" t="s">
        <v>12994</v>
      </c>
      <c r="G12072" t="s">
        <v>17158</v>
      </c>
      <c r="H12072" t="s">
        <v>28619</v>
      </c>
    </row>
    <row r="12073" spans="1:8">
      <c r="F12073" t="s">
        <v>13219</v>
      </c>
      <c r="G12073" t="s">
        <v>17360</v>
      </c>
      <c r="H12073" t="s">
        <v>28620</v>
      </c>
    </row>
    <row r="12074" spans="1:8">
      <c r="A12074" t="s">
        <v>1416</v>
      </c>
      <c r="B12074">
        <f>HYPERLINK("https://android.googlesource.com/platform/cts/+/90b239c4cc07bb369edc368d98a67654a5dc49e6", "90b239c4cc07bb369edc368d98a67654a5dc49e6")</f>
        <v>0</v>
      </c>
      <c r="C12074">
        <f>HYPERLINK("https://android.googlesource.com/platform/cts/+/2fc66d8c0911a281fd1b8e69da4cc1a3e8ea3e50", "2fc66d8c0911a281fd1b8e69da4cc1a3e8ea3e50")</f>
        <v>0</v>
      </c>
      <c r="D12074" t="s">
        <v>5118</v>
      </c>
      <c r="E12074" t="s">
        <v>7185</v>
      </c>
      <c r="F12074" t="s">
        <v>13197</v>
      </c>
      <c r="G12074" t="s">
        <v>17340</v>
      </c>
      <c r="H12074" t="s">
        <v>28622</v>
      </c>
    </row>
    <row r="12075" spans="1:8">
      <c r="A12075" t="s">
        <v>1418</v>
      </c>
      <c r="B12075">
        <f>HYPERLINK("https://android.googlesource.com/platform/cts/+/043099b678b0a231cec86606780215fd2776f2c1", "043099b678b0a231cec86606780215fd2776f2c1")</f>
        <v>0</v>
      </c>
      <c r="C12075">
        <f>HYPERLINK("https://android.googlesource.com/platform/cts/+/38c1d6fad209d87a36456e977792b35e5a052ded", "38c1d6fad209d87a36456e977792b35e5a052ded")</f>
        <v>0</v>
      </c>
      <c r="D12075" t="s">
        <v>5044</v>
      </c>
      <c r="E12075" t="s">
        <v>7187</v>
      </c>
      <c r="F12075" t="s">
        <v>13201</v>
      </c>
      <c r="G12075" t="s">
        <v>17363</v>
      </c>
      <c r="H12075" t="s">
        <v>28663</v>
      </c>
    </row>
    <row r="12076" spans="1:8">
      <c r="H12076" t="s">
        <v>28664</v>
      </c>
    </row>
    <row r="12077" spans="1:8">
      <c r="H12077" t="s">
        <v>28665</v>
      </c>
    </row>
    <row r="12078" spans="1:8">
      <c r="H12078" t="s">
        <v>22581</v>
      </c>
    </row>
    <row r="12079" spans="1:8">
      <c r="H12079" t="s">
        <v>28677</v>
      </c>
    </row>
    <row r="12080" spans="1:8">
      <c r="A12080" t="s">
        <v>1419</v>
      </c>
      <c r="B12080">
        <f>HYPERLINK("https://android.googlesource.com/platform/cts/+/233ad042310aafb56113a7774f3fce483d7f3a25", "233ad042310aafb56113a7774f3fce483d7f3a25")</f>
        <v>0</v>
      </c>
      <c r="C12080">
        <f>HYPERLINK("https://android.googlesource.com/platform/cts/+/d75a1fe7b17cc2e6b94427a423139cf3872dc32f", "d75a1fe7b17cc2e6b94427a423139cf3872dc32f")</f>
        <v>0</v>
      </c>
      <c r="D12080" t="s">
        <v>5213</v>
      </c>
      <c r="E12080" t="s">
        <v>7188</v>
      </c>
      <c r="F12080" t="s">
        <v>13222</v>
      </c>
      <c r="G12080" t="s">
        <v>17364</v>
      </c>
      <c r="H12080" t="s">
        <v>28686</v>
      </c>
    </row>
    <row r="12081" spans="1:8">
      <c r="H12081" t="s">
        <v>28687</v>
      </c>
    </row>
    <row r="12082" spans="1:8">
      <c r="H12082" t="s">
        <v>28688</v>
      </c>
    </row>
    <row r="12083" spans="1:8">
      <c r="A12083" t="s">
        <v>1420</v>
      </c>
      <c r="B12083">
        <f>HYPERLINK("https://android.googlesource.com/platform/cts/+/b7e958732b19ff8613925198c6af5056ed70ff27", "b7e958732b19ff8613925198c6af5056ed70ff27")</f>
        <v>0</v>
      </c>
      <c r="C12083">
        <f>HYPERLINK("https://android.googlesource.com/platform/cts/+/54139c6b82e87871c303d13cddb8d47b24a0c323", "54139c6b82e87871c303d13cddb8d47b24a0c323")</f>
        <v>0</v>
      </c>
      <c r="D12083" t="s">
        <v>5085</v>
      </c>
      <c r="E12083" t="s">
        <v>7189</v>
      </c>
      <c r="F12083" t="s">
        <v>13223</v>
      </c>
      <c r="G12083" t="s">
        <v>17365</v>
      </c>
      <c r="H12083" t="s">
        <v>28693</v>
      </c>
    </row>
    <row r="12084" spans="1:8">
      <c r="A12084" t="s">
        <v>1421</v>
      </c>
      <c r="B12084">
        <f>HYPERLINK("https://android.googlesource.com/platform/cts/+/1cf3c1dd2a5bc7081e52936b0e68d2f9b5dac911", "1cf3c1dd2a5bc7081e52936b0e68d2f9b5dac911")</f>
        <v>0</v>
      </c>
      <c r="C12084">
        <f>HYPERLINK("https://android.googlesource.com/platform/cts/+/6678d3147a102a86d7f27c3e9f765b530bea3d53", "6678d3147a102a86d7f27c3e9f765b530bea3d53")</f>
        <v>0</v>
      </c>
      <c r="D12084" t="s">
        <v>5115</v>
      </c>
      <c r="E12084" t="s">
        <v>7190</v>
      </c>
      <c r="F12084" t="s">
        <v>12634</v>
      </c>
      <c r="G12084" t="s">
        <v>16843</v>
      </c>
      <c r="H12084" t="s">
        <v>26088</v>
      </c>
    </row>
    <row r="12085" spans="1:8">
      <c r="A12085" t="s">
        <v>1423</v>
      </c>
      <c r="B12085">
        <f>HYPERLINK("https://android.googlesource.com/platform/cts/+/de764964951a457c31eece0b1e5b9f654eef2d51", "de764964951a457c31eece0b1e5b9f654eef2d51")</f>
        <v>0</v>
      </c>
      <c r="C12085">
        <f>HYPERLINK("https://android.googlesource.com/platform/cts/+/41b98d43db3266caa64716ce79701aaa25499105", "41b98d43db3266caa64716ce79701aaa25499105")</f>
        <v>0</v>
      </c>
      <c r="D12085" t="s">
        <v>5214</v>
      </c>
      <c r="E12085" t="s">
        <v>7192</v>
      </c>
      <c r="F12085" t="s">
        <v>13225</v>
      </c>
      <c r="G12085" t="s">
        <v>17366</v>
      </c>
      <c r="H12085" t="s">
        <v>28696</v>
      </c>
    </row>
    <row r="12086" spans="1:8">
      <c r="A12086" t="s">
        <v>1424</v>
      </c>
      <c r="B12086">
        <f>HYPERLINK("https://android.googlesource.com/platform/cts/+/24200411473729b7b4637c81784589374742453d", "24200411473729b7b4637c81784589374742453d")</f>
        <v>0</v>
      </c>
      <c r="C12086">
        <f>HYPERLINK("https://android.googlesource.com/platform/cts/+/aae10c62b8d172a7c49e77474c6a88ef48680616", "aae10c62b8d172a7c49e77474c6a88ef48680616")</f>
        <v>0</v>
      </c>
      <c r="D12086" t="s">
        <v>4960</v>
      </c>
      <c r="E12086" t="s">
        <v>7193</v>
      </c>
      <c r="F12086" t="s">
        <v>13226</v>
      </c>
      <c r="G12086" t="s">
        <v>17367</v>
      </c>
      <c r="H12086" t="s">
        <v>28697</v>
      </c>
    </row>
    <row r="12087" spans="1:8">
      <c r="A12087" t="s">
        <v>1425</v>
      </c>
      <c r="B12087">
        <f>HYPERLINK("https://android.googlesource.com/platform/cts/+/cebce48c5d121e6e8f3e0e96a02e73dfc146c2a7", "cebce48c5d121e6e8f3e0e96a02e73dfc146c2a7")</f>
        <v>0</v>
      </c>
      <c r="C12087">
        <f>HYPERLINK("https://android.googlesource.com/platform/cts/+/a3a87e68b709c3977e24f0f8020ccde6ec66f6e2", "a3a87e68b709c3977e24f0f8020ccde6ec66f6e2")</f>
        <v>0</v>
      </c>
      <c r="D12087" t="s">
        <v>5044</v>
      </c>
      <c r="E12087" t="s">
        <v>7194</v>
      </c>
      <c r="F12087" t="s">
        <v>12629</v>
      </c>
      <c r="G12087" t="s">
        <v>16838</v>
      </c>
      <c r="H12087" t="s">
        <v>28698</v>
      </c>
    </row>
    <row r="12088" spans="1:8">
      <c r="A12088" t="s">
        <v>1429</v>
      </c>
      <c r="B12088">
        <f>HYPERLINK("https://android.googlesource.com/platform/cts/+/77f017c2b1076d464811fc9c61c49f8f5dd39ced", "77f017c2b1076d464811fc9c61c49f8f5dd39ced")</f>
        <v>0</v>
      </c>
      <c r="C12088">
        <f>HYPERLINK("https://android.googlesource.com/platform/cts/+/78dcd89f04d2e14ae4eff468d1386d8c2adfdede", "78dcd89f04d2e14ae4eff468d1386d8c2adfdede")</f>
        <v>0</v>
      </c>
      <c r="D12088" t="s">
        <v>5044</v>
      </c>
      <c r="E12088" t="s">
        <v>7197</v>
      </c>
      <c r="F12088" t="s">
        <v>13228</v>
      </c>
      <c r="G12088" t="s">
        <v>17369</v>
      </c>
      <c r="H12088" t="s">
        <v>28701</v>
      </c>
    </row>
    <row r="12089" spans="1:8">
      <c r="A12089" t="s">
        <v>1430</v>
      </c>
      <c r="B12089">
        <f>HYPERLINK("https://android.googlesource.com/platform/cts/+/ca22566206634339ff6e2f8dd9b6088fb8f38362", "ca22566206634339ff6e2f8dd9b6088fb8f38362")</f>
        <v>0</v>
      </c>
      <c r="C12089">
        <f>HYPERLINK("https://android.googlesource.com/platform/cts/+/ea89bf13175f2edc95864b72c7e0a6560511b720", "ea89bf13175f2edc95864b72c7e0a6560511b720")</f>
        <v>0</v>
      </c>
      <c r="D12089" t="s">
        <v>5094</v>
      </c>
      <c r="E12089" t="s">
        <v>7198</v>
      </c>
      <c r="F12089" t="s">
        <v>13229</v>
      </c>
      <c r="G12089" t="s">
        <v>17370</v>
      </c>
      <c r="H12089" t="s">
        <v>28703</v>
      </c>
    </row>
    <row r="12090" spans="1:8">
      <c r="H12090" t="s">
        <v>28704</v>
      </c>
    </row>
    <row r="12091" spans="1:8">
      <c r="H12091" t="s">
        <v>28705</v>
      </c>
    </row>
    <row r="12092" spans="1:8">
      <c r="F12092" t="s">
        <v>12745</v>
      </c>
      <c r="G12092" t="s">
        <v>16937</v>
      </c>
      <c r="H12092" t="s">
        <v>28703</v>
      </c>
    </row>
    <row r="12093" spans="1:8">
      <c r="H12093" t="s">
        <v>28704</v>
      </c>
    </row>
    <row r="12094" spans="1:8">
      <c r="H12094" t="s">
        <v>28705</v>
      </c>
    </row>
    <row r="12095" spans="1:8">
      <c r="A12095" t="s">
        <v>1431</v>
      </c>
      <c r="B12095">
        <f>HYPERLINK("https://android.googlesource.com/platform/cts/+/ecbabc89501897e16a776e6eb40b4d6c0d25692e", "ecbabc89501897e16a776e6eb40b4d6c0d25692e")</f>
        <v>0</v>
      </c>
      <c r="C12095">
        <f>HYPERLINK("https://android.googlesource.com/platform/cts/+/d4d49d0b2ce756e79a2a70c550a2e81bd352db4b", "d4d49d0b2ce756e79a2a70c550a2e81bd352db4b")</f>
        <v>0</v>
      </c>
      <c r="D12095" t="s">
        <v>4928</v>
      </c>
      <c r="E12095" t="s">
        <v>7199</v>
      </c>
      <c r="F12095" t="s">
        <v>12897</v>
      </c>
      <c r="G12095" t="s">
        <v>16824</v>
      </c>
      <c r="H12095" t="s">
        <v>28706</v>
      </c>
    </row>
    <row r="12096" spans="1:8">
      <c r="H12096" t="s">
        <v>28707</v>
      </c>
    </row>
    <row r="12097" spans="1:8">
      <c r="H12097" t="s">
        <v>28708</v>
      </c>
    </row>
    <row r="12098" spans="1:8">
      <c r="H12098" t="s">
        <v>28709</v>
      </c>
    </row>
    <row r="12099" spans="1:8">
      <c r="F12099" t="s">
        <v>12739</v>
      </c>
      <c r="G12099" t="s">
        <v>15083</v>
      </c>
      <c r="H12099" t="s">
        <v>18836</v>
      </c>
    </row>
    <row r="12100" spans="1:8">
      <c r="A12100" t="s">
        <v>1434</v>
      </c>
      <c r="B12100">
        <f>HYPERLINK("https://android.googlesource.com/platform/cts/+/55b2bd01a56bc397b4ef51af69706dd811c3036c", "55b2bd01a56bc397b4ef51af69706dd811c3036c")</f>
        <v>0</v>
      </c>
      <c r="C12100">
        <f>HYPERLINK("https://android.googlesource.com/platform/cts/+/d4b189c8c497ee6cc663cd344689a86be64d05d6", "d4b189c8c497ee6cc663cd344689a86be64d05d6")</f>
        <v>0</v>
      </c>
      <c r="D12100" t="s">
        <v>5176</v>
      </c>
      <c r="E12100" t="s">
        <v>7201</v>
      </c>
      <c r="F12100" t="s">
        <v>10794</v>
      </c>
      <c r="G12100" t="s">
        <v>15189</v>
      </c>
      <c r="H12100" t="s">
        <v>28710</v>
      </c>
    </row>
    <row r="12101" spans="1:8">
      <c r="A12101" t="s">
        <v>1437</v>
      </c>
      <c r="B12101">
        <f>HYPERLINK("https://android.googlesource.com/platform/cts/+/73ce569899313f0f9497770f9e6584f47adf93c7", "73ce569899313f0f9497770f9e6584f47adf93c7")</f>
        <v>0</v>
      </c>
      <c r="C12101">
        <f>HYPERLINK("https://android.googlesource.com/platform/cts/+/271f35c4d3924d2d3bc0bdbd3f80699c70d83416", "271f35c4d3924d2d3bc0bdbd3f80699c70d83416")</f>
        <v>0</v>
      </c>
      <c r="D12101" t="s">
        <v>5207</v>
      </c>
      <c r="E12101" t="s">
        <v>7203</v>
      </c>
      <c r="F12101" t="s">
        <v>12696</v>
      </c>
      <c r="G12101" t="s">
        <v>16900</v>
      </c>
      <c r="H12101" t="s">
        <v>28713</v>
      </c>
    </row>
    <row r="12102" spans="1:8">
      <c r="H12102" t="s">
        <v>28714</v>
      </c>
    </row>
    <row r="12103" spans="1:8">
      <c r="A12103" t="s">
        <v>1438</v>
      </c>
      <c r="B12103">
        <f>HYPERLINK("https://android.googlesource.com/platform/cts/+/9000bece309586531c4f6ec36030c3f9894ce17b", "9000bece309586531c4f6ec36030c3f9894ce17b")</f>
        <v>0</v>
      </c>
      <c r="C12103">
        <f>HYPERLINK("https://android.googlesource.com/platform/cts/+/94c2c84530ba3eea31ecc6e3f4907920bf618ea6", "94c2c84530ba3eea31ecc6e3f4907920bf618ea6")</f>
        <v>0</v>
      </c>
      <c r="D12103" t="s">
        <v>5176</v>
      </c>
      <c r="E12103" t="s">
        <v>7204</v>
      </c>
      <c r="F12103" t="s">
        <v>10794</v>
      </c>
      <c r="G12103" t="s">
        <v>15189</v>
      </c>
      <c r="H12103" t="s">
        <v>28715</v>
      </c>
    </row>
    <row r="12104" spans="1:8">
      <c r="H12104" t="s">
        <v>28716</v>
      </c>
    </row>
    <row r="12105" spans="1:8">
      <c r="H12105" t="s">
        <v>28717</v>
      </c>
    </row>
    <row r="12106" spans="1:8">
      <c r="H12106" t="s">
        <v>28718</v>
      </c>
    </row>
    <row r="12107" spans="1:8">
      <c r="H12107" t="s">
        <v>28719</v>
      </c>
    </row>
    <row r="12108" spans="1:8">
      <c r="H12108" t="s">
        <v>28720</v>
      </c>
    </row>
    <row r="12109" spans="1:8">
      <c r="H12109" t="s">
        <v>28721</v>
      </c>
    </row>
    <row r="12110" spans="1:8">
      <c r="H12110" t="s">
        <v>28722</v>
      </c>
    </row>
    <row r="12111" spans="1:8">
      <c r="H12111" t="s">
        <v>28723</v>
      </c>
    </row>
    <row r="12112" spans="1:8">
      <c r="H12112" t="s">
        <v>28724</v>
      </c>
    </row>
    <row r="12113" spans="1:8">
      <c r="H12113" t="s">
        <v>28725</v>
      </c>
    </row>
    <row r="12114" spans="1:8">
      <c r="H12114" t="s">
        <v>28726</v>
      </c>
    </row>
    <row r="12115" spans="1:8">
      <c r="H12115" t="s">
        <v>28727</v>
      </c>
    </row>
    <row r="12116" spans="1:8">
      <c r="A12116" t="s">
        <v>1440</v>
      </c>
      <c r="B12116">
        <f>HYPERLINK("https://android.googlesource.com/platform/cts/+/6c4571e122b4a4d110f8dcb7627763205a352ad6", "6c4571e122b4a4d110f8dcb7627763205a352ad6")</f>
        <v>0</v>
      </c>
      <c r="C12116">
        <f>HYPERLINK("https://android.googlesource.com/platform/cts/+/bb0d417aa7cd7360fe4f4b434e87ae35c2809aaf", "bb0d417aa7cd7360fe4f4b434e87ae35c2809aaf")</f>
        <v>0</v>
      </c>
      <c r="D12116" t="s">
        <v>5125</v>
      </c>
      <c r="E12116" t="s">
        <v>7206</v>
      </c>
      <c r="F12116" t="s">
        <v>12206</v>
      </c>
      <c r="G12116" t="s">
        <v>16444</v>
      </c>
      <c r="H12116" t="s">
        <v>28730</v>
      </c>
    </row>
    <row r="12117" spans="1:8">
      <c r="H12117" t="s">
        <v>28731</v>
      </c>
    </row>
    <row r="12118" spans="1:8">
      <c r="A12118" t="s">
        <v>1441</v>
      </c>
      <c r="B12118">
        <f>HYPERLINK("https://android.googlesource.com/platform/cts/+/37cd26d47468d246a9e3a8a7bff43f0f931a22e1", "37cd26d47468d246a9e3a8a7bff43f0f931a22e1")</f>
        <v>0</v>
      </c>
      <c r="C12118">
        <f>HYPERLINK("https://android.googlesource.com/platform/cts/+/9154927fb626c199405e8a1661029c6dfcd1988a", "9154927fb626c199405e8a1661029c6dfcd1988a")</f>
        <v>0</v>
      </c>
      <c r="D12118" t="s">
        <v>4963</v>
      </c>
      <c r="E12118" t="s">
        <v>7207</v>
      </c>
      <c r="F12118" t="s">
        <v>12250</v>
      </c>
      <c r="G12118" t="s">
        <v>16481</v>
      </c>
      <c r="H12118" t="s">
        <v>21525</v>
      </c>
    </row>
    <row r="12119" spans="1:8">
      <c r="A12119" t="s">
        <v>1442</v>
      </c>
      <c r="B12119">
        <f>HYPERLINK("https://android.googlesource.com/platform/cts/+/dcaac2d294b1b45ebddbbd44203729a2d0064562", "dcaac2d294b1b45ebddbbd44203729a2d0064562")</f>
        <v>0</v>
      </c>
      <c r="C12119">
        <f>HYPERLINK("https://android.googlesource.com/platform/cts/+/60e4b34abdba08423d798afeaceb44a76ab32ba0", "60e4b34abdba08423d798afeaceb44a76ab32ba0")</f>
        <v>0</v>
      </c>
      <c r="D12119" t="s">
        <v>5112</v>
      </c>
      <c r="E12119" t="s">
        <v>7208</v>
      </c>
      <c r="F12119" t="s">
        <v>12414</v>
      </c>
      <c r="G12119" t="s">
        <v>16636</v>
      </c>
      <c r="H12119" t="s">
        <v>28732</v>
      </c>
    </row>
    <row r="12120" spans="1:8">
      <c r="A12120" t="s">
        <v>1443</v>
      </c>
      <c r="B12120">
        <f>HYPERLINK("https://android.googlesource.com/platform/cts/+/29147d2564dec1e1641f1dc3eee62d68db84486a", "29147d2564dec1e1641f1dc3eee62d68db84486a")</f>
        <v>0</v>
      </c>
      <c r="C12120">
        <f>HYPERLINK("https://android.googlesource.com/platform/cts/+/d66b68ee699bd576cc43ddc1e09828310cffcf7f", "d66b68ee699bd576cc43ddc1e09828310cffcf7f")</f>
        <v>0</v>
      </c>
      <c r="D12120" t="s">
        <v>5085</v>
      </c>
      <c r="E12120" t="s">
        <v>7209</v>
      </c>
      <c r="F12120" t="s">
        <v>13211</v>
      </c>
      <c r="G12120" t="s">
        <v>17352</v>
      </c>
      <c r="H12120" t="s">
        <v>28548</v>
      </c>
    </row>
    <row r="12121" spans="1:8">
      <c r="A12121" t="s">
        <v>1444</v>
      </c>
      <c r="B12121">
        <f>HYPERLINK("https://android.googlesource.com/platform/cts/+/cfc39597bd8c2eab3a1845bded4fb403ecb14fd2", "cfc39597bd8c2eab3a1845bded4fb403ecb14fd2")</f>
        <v>0</v>
      </c>
      <c r="C12121">
        <f>HYPERLINK("https://android.googlesource.com/platform/cts/+/1e90b1e471ebe46e0e28fa5764cfe7f287d76b73", "1e90b1e471ebe46e0e28fa5764cfe7f287d76b73")</f>
        <v>0</v>
      </c>
      <c r="D12121" t="s">
        <v>5198</v>
      </c>
      <c r="E12121" t="s">
        <v>7210</v>
      </c>
      <c r="F12121" t="s">
        <v>10668</v>
      </c>
      <c r="G12121" t="s">
        <v>15069</v>
      </c>
      <c r="H12121" t="s">
        <v>28734</v>
      </c>
    </row>
    <row r="12122" spans="1:8">
      <c r="A12122" t="s">
        <v>1445</v>
      </c>
      <c r="B12122">
        <f>HYPERLINK("https://android.googlesource.com/platform/cts/+/c34eb130380ea58023fbabbf74288bb144627d3e", "c34eb130380ea58023fbabbf74288bb144627d3e")</f>
        <v>0</v>
      </c>
      <c r="C12122">
        <f>HYPERLINK("https://android.googlesource.com/platform/cts/+/408ffa36528328dbf9017eb156844e0b4a19e3ac", "408ffa36528328dbf9017eb156844e0b4a19e3ac")</f>
        <v>0</v>
      </c>
      <c r="D12122" t="s">
        <v>4949</v>
      </c>
      <c r="E12122" t="s">
        <v>7211</v>
      </c>
      <c r="F12122" t="s">
        <v>13230</v>
      </c>
      <c r="G12122" t="s">
        <v>17371</v>
      </c>
      <c r="H12122" t="s">
        <v>28735</v>
      </c>
    </row>
    <row r="12123" spans="1:8">
      <c r="A12123" t="s">
        <v>1446</v>
      </c>
      <c r="B12123">
        <f>HYPERLINK("https://android.googlesource.com/platform/cts/+/a579c2904470f3932be6e5e880e9c89325888c3b", "a579c2904470f3932be6e5e880e9c89325888c3b")</f>
        <v>0</v>
      </c>
      <c r="C12123">
        <f>HYPERLINK("https://android.googlesource.com/platform/cts/+/2668813c025884936baf705a0b042eff1791ac2c", "2668813c025884936baf705a0b042eff1791ac2c")</f>
        <v>0</v>
      </c>
      <c r="D12123" t="s">
        <v>5216</v>
      </c>
      <c r="E12123" t="s">
        <v>7212</v>
      </c>
      <c r="F12123" t="s">
        <v>10689</v>
      </c>
      <c r="G12123" t="s">
        <v>15089</v>
      </c>
      <c r="H12123" t="s">
        <v>28736</v>
      </c>
    </row>
    <row r="12124" spans="1:8">
      <c r="A12124" t="s">
        <v>1447</v>
      </c>
      <c r="B12124">
        <f>HYPERLINK("https://android.googlesource.com/platform/cts/+/ea5dbe1802a1a619824d5ce5dfeed6b70364d871", "ea5dbe1802a1a619824d5ce5dfeed6b70364d871")</f>
        <v>0</v>
      </c>
      <c r="C12124">
        <f>HYPERLINK("https://android.googlesource.com/platform/cts/+/94c2c84530ba3eea31ecc6e3f4907920bf618ea6", "94c2c84530ba3eea31ecc6e3f4907920bf618ea6")</f>
        <v>0</v>
      </c>
      <c r="D12124" t="s">
        <v>5176</v>
      </c>
      <c r="E12124" t="s">
        <v>7213</v>
      </c>
      <c r="F12124" t="s">
        <v>10794</v>
      </c>
      <c r="G12124" t="s">
        <v>15189</v>
      </c>
      <c r="H12124" t="s">
        <v>28737</v>
      </c>
    </row>
    <row r="12125" spans="1:8">
      <c r="H12125" t="s">
        <v>28738</v>
      </c>
    </row>
    <row r="12126" spans="1:8">
      <c r="H12126" t="s">
        <v>28739</v>
      </c>
    </row>
    <row r="12127" spans="1:8">
      <c r="A12127" t="s">
        <v>1448</v>
      </c>
      <c r="B12127">
        <f>HYPERLINK("https://android.googlesource.com/platform/cts/+/5eb19bfe1bda7f6dfe75b55e320a01ee15bae035", "5eb19bfe1bda7f6dfe75b55e320a01ee15bae035")</f>
        <v>0</v>
      </c>
      <c r="C12127">
        <f>HYPERLINK("https://android.googlesource.com/platform/cts/+/871fe1eb1ee80ec48899e7396539e496ab1719e3", "871fe1eb1ee80ec48899e7396539e496ab1719e3")</f>
        <v>0</v>
      </c>
      <c r="D12127" t="s">
        <v>5217</v>
      </c>
      <c r="E12127" t="s">
        <v>7214</v>
      </c>
      <c r="F12127" t="s">
        <v>12817</v>
      </c>
      <c r="G12127" t="s">
        <v>16629</v>
      </c>
      <c r="H12127" t="s">
        <v>22743</v>
      </c>
    </row>
    <row r="12128" spans="1:8">
      <c r="A12128" t="s">
        <v>1449</v>
      </c>
      <c r="B12128">
        <f>HYPERLINK("https://android.googlesource.com/platform/cts/+/4b4f5dd8dd01bc83d6870d490ccb81280796d8bb", "4b4f5dd8dd01bc83d6870d490ccb81280796d8bb")</f>
        <v>0</v>
      </c>
      <c r="C12128">
        <f>HYPERLINK("https://android.googlesource.com/platform/cts/+/5eb19bfe1bda7f6dfe75b55e320a01ee15bae035", "5eb19bfe1bda7f6dfe75b55e320a01ee15bae035")</f>
        <v>0</v>
      </c>
      <c r="D12128" t="s">
        <v>5217</v>
      </c>
      <c r="E12128" t="s">
        <v>7215</v>
      </c>
      <c r="F12128" t="s">
        <v>13234</v>
      </c>
      <c r="G12128" t="s">
        <v>17373</v>
      </c>
      <c r="H12128" t="s">
        <v>28740</v>
      </c>
    </row>
    <row r="12129" spans="1:8">
      <c r="A12129" t="s">
        <v>1450</v>
      </c>
      <c r="B12129">
        <f>HYPERLINK("https://android.googlesource.com/platform/cts/+/3747b9fe9a50d3ae38633c60e65d23a0003d84ad", "3747b9fe9a50d3ae38633c60e65d23a0003d84ad")</f>
        <v>0</v>
      </c>
      <c r="C12129">
        <f>HYPERLINK("https://android.googlesource.com/platform/cts/+/80f196062b9cf3d3ff3043328bb8039c86f78e88", "80f196062b9cf3d3ff3043328bb8039c86f78e88")</f>
        <v>0</v>
      </c>
      <c r="D12129" t="s">
        <v>5218</v>
      </c>
      <c r="E12129" t="s">
        <v>7216</v>
      </c>
      <c r="F12129" t="s">
        <v>13235</v>
      </c>
      <c r="G12129" t="s">
        <v>17374</v>
      </c>
      <c r="H12129" t="s">
        <v>28741</v>
      </c>
    </row>
    <row r="12130" spans="1:8">
      <c r="A12130" t="s">
        <v>1452</v>
      </c>
      <c r="B12130">
        <f>HYPERLINK("https://android.googlesource.com/platform/cts/+/e70dc01bb7312e7de1944b128135d270c268711f", "e70dc01bb7312e7de1944b128135d270c268711f")</f>
        <v>0</v>
      </c>
      <c r="C12130">
        <f>HYPERLINK("https://android.googlesource.com/platform/cts/+/09cfaec62e68a19a0b908863c4a15f07d058352a", "09cfaec62e68a19a0b908863c4a15f07d058352a")</f>
        <v>0</v>
      </c>
      <c r="D12130" t="s">
        <v>5084</v>
      </c>
      <c r="E12130" t="s">
        <v>7218</v>
      </c>
      <c r="F12130" t="s">
        <v>12765</v>
      </c>
      <c r="G12130" t="s">
        <v>16954</v>
      </c>
      <c r="H12130" t="s">
        <v>28744</v>
      </c>
    </row>
    <row r="12131" spans="1:8">
      <c r="H12131" t="s">
        <v>28745</v>
      </c>
    </row>
    <row r="12132" spans="1:8">
      <c r="A12132" t="s">
        <v>1453</v>
      </c>
      <c r="B12132">
        <f>HYPERLINK("https://android.googlesource.com/platform/cts/+/e687ad77936d09e6bb1baf555c3b7bc18cc65867", "e687ad77936d09e6bb1baf555c3b7bc18cc65867")</f>
        <v>0</v>
      </c>
      <c r="C12132">
        <f>HYPERLINK("https://android.googlesource.com/platform/cts/+/7115fc9fb8e8a44bebafc804eab4d1fa5795a886", "7115fc9fb8e8a44bebafc804eab4d1fa5795a886")</f>
        <v>0</v>
      </c>
      <c r="D12132" t="s">
        <v>5198</v>
      </c>
      <c r="E12132" t="s">
        <v>7219</v>
      </c>
      <c r="F12132" t="s">
        <v>10668</v>
      </c>
      <c r="G12132" t="s">
        <v>15069</v>
      </c>
      <c r="H12132" t="s">
        <v>28746</v>
      </c>
    </row>
    <row r="12133" spans="1:8">
      <c r="H12133" t="s">
        <v>28747</v>
      </c>
    </row>
    <row r="12134" spans="1:8">
      <c r="A12134" t="s">
        <v>1455</v>
      </c>
      <c r="B12134">
        <f>HYPERLINK("https://android.googlesource.com/platform/cts/+/017121aef8762229e700e97328c978fd36b8a9f4", "017121aef8762229e700e97328c978fd36b8a9f4")</f>
        <v>0</v>
      </c>
      <c r="C12134">
        <f>HYPERLINK("https://android.googlesource.com/platform/cts/+/d1038b4ed244bf5cd9186e01f432cabf0acd2fc6", "d1038b4ed244bf5cd9186e01f432cabf0acd2fc6")</f>
        <v>0</v>
      </c>
      <c r="D12134" t="s">
        <v>5219</v>
      </c>
      <c r="E12134" t="s">
        <v>7221</v>
      </c>
      <c r="F12134" t="s">
        <v>13237</v>
      </c>
      <c r="G12134" t="s">
        <v>17377</v>
      </c>
      <c r="H12134" t="s">
        <v>28749</v>
      </c>
    </row>
    <row r="12135" spans="1:8">
      <c r="A12135" t="s">
        <v>1456</v>
      </c>
      <c r="B12135">
        <f>HYPERLINK("https://android.googlesource.com/platform/cts/+/9a3019f24569937d1760f2a55457bf3fe6b2b186", "9a3019f24569937d1760f2a55457bf3fe6b2b186")</f>
        <v>0</v>
      </c>
      <c r="C12135">
        <f>HYPERLINK("https://android.googlesource.com/platform/cts/+/017121aef8762229e700e97328c978fd36b8a9f4", "017121aef8762229e700e97328c978fd36b8a9f4")</f>
        <v>0</v>
      </c>
      <c r="D12135" t="s">
        <v>5219</v>
      </c>
      <c r="E12135" t="s">
        <v>7222</v>
      </c>
      <c r="F12135" t="s">
        <v>10716</v>
      </c>
      <c r="G12135" t="s">
        <v>15115</v>
      </c>
      <c r="H12135" t="s">
        <v>19510</v>
      </c>
    </row>
    <row r="12136" spans="1:8">
      <c r="A12136" t="s">
        <v>1457</v>
      </c>
      <c r="B12136">
        <f>HYPERLINK("https://android.googlesource.com/platform/cts/+/09244bcc810dd789f4b222c76c582510f1ba4a10", "09244bcc810dd789f4b222c76c582510f1ba4a10")</f>
        <v>0</v>
      </c>
      <c r="C12136">
        <f>HYPERLINK("https://android.googlesource.com/platform/cts/+/d0979c3132a14e50546601a817270d7839a8e864", "d0979c3132a14e50546601a817270d7839a8e864")</f>
        <v>0</v>
      </c>
      <c r="D12136" t="s">
        <v>5220</v>
      </c>
      <c r="E12136" t="s">
        <v>7223</v>
      </c>
      <c r="F12136" t="s">
        <v>12222</v>
      </c>
      <c r="G12136" t="s">
        <v>16452</v>
      </c>
      <c r="H12136" t="s">
        <v>28751</v>
      </c>
    </row>
    <row r="12137" spans="1:8">
      <c r="A12137" t="s">
        <v>1458</v>
      </c>
      <c r="B12137">
        <f>HYPERLINK("https://android.googlesource.com/platform/cts/+/5c18b9727bc2e9ce91a948a677be33aaeb9c4214", "5c18b9727bc2e9ce91a948a677be33aaeb9c4214")</f>
        <v>0</v>
      </c>
      <c r="C12137">
        <f>HYPERLINK("https://android.googlesource.com/platform/cts/+/824ada18e8c59f8f14d34e2732cdf139e2d143fd", "824ada18e8c59f8f14d34e2732cdf139e2d143fd")</f>
        <v>0</v>
      </c>
      <c r="D12137" t="s">
        <v>5108</v>
      </c>
      <c r="E12137" t="s">
        <v>7224</v>
      </c>
      <c r="F12137" t="s">
        <v>12743</v>
      </c>
      <c r="G12137" t="s">
        <v>16935</v>
      </c>
      <c r="H12137" t="s">
        <v>26296</v>
      </c>
    </row>
    <row r="12138" spans="1:8">
      <c r="H12138" t="s">
        <v>28752</v>
      </c>
    </row>
    <row r="12139" spans="1:8">
      <c r="F12139" t="s">
        <v>13136</v>
      </c>
      <c r="G12139" t="s">
        <v>17293</v>
      </c>
      <c r="H12139" t="s">
        <v>26296</v>
      </c>
    </row>
    <row r="12140" spans="1:8">
      <c r="H12140" t="s">
        <v>28752</v>
      </c>
    </row>
    <row r="12141" spans="1:8">
      <c r="H12141" t="s">
        <v>28753</v>
      </c>
    </row>
    <row r="12142" spans="1:8">
      <c r="A12142" t="s">
        <v>1460</v>
      </c>
      <c r="B12142">
        <f>HYPERLINK("https://android.googlesource.com/platform/cts/+/fbb7d80e9d647a6dbe05d811a5521e155e8f532a", "fbb7d80e9d647a6dbe05d811a5521e155e8f532a")</f>
        <v>0</v>
      </c>
      <c r="C12142">
        <f>HYPERLINK("https://android.googlesource.com/platform/cts/+/bde13c23346d7c5e1f464cae949c844ddf404dc5", "bde13c23346d7c5e1f464cae949c844ddf404dc5")</f>
        <v>0</v>
      </c>
      <c r="D12142" t="s">
        <v>5132</v>
      </c>
      <c r="E12142" t="s">
        <v>7226</v>
      </c>
      <c r="F12142" t="s">
        <v>13239</v>
      </c>
      <c r="G12142" t="s">
        <v>17379</v>
      </c>
      <c r="H12142" t="s">
        <v>28758</v>
      </c>
    </row>
    <row r="12143" spans="1:8">
      <c r="F12143" t="s">
        <v>13240</v>
      </c>
      <c r="G12143" t="s">
        <v>17380</v>
      </c>
      <c r="H12143" t="s">
        <v>28758</v>
      </c>
    </row>
    <row r="12144" spans="1:8">
      <c r="A12144" t="s">
        <v>1462</v>
      </c>
      <c r="B12144">
        <f>HYPERLINK("https://android.googlesource.com/platform/cts/+/8d2593e7da07b66cd393caa7ebf6294abbbe6052", "8d2593e7da07b66cd393caa7ebf6294abbbe6052")</f>
        <v>0</v>
      </c>
      <c r="C12144">
        <f>HYPERLINK("https://android.googlesource.com/platform/cts/+/3475d09171224073c2f85fe3c8bb329023ff84a8", "3475d09171224073c2f85fe3c8bb329023ff84a8")</f>
        <v>0</v>
      </c>
      <c r="D12144" t="s">
        <v>5117</v>
      </c>
      <c r="E12144" t="s">
        <v>7228</v>
      </c>
      <c r="F12144" t="s">
        <v>13241</v>
      </c>
      <c r="G12144" t="s">
        <v>17381</v>
      </c>
      <c r="H12144" t="s">
        <v>28759</v>
      </c>
    </row>
    <row r="12145" spans="1:8">
      <c r="H12145" t="s">
        <v>28760</v>
      </c>
    </row>
    <row r="12146" spans="1:8">
      <c r="H12146" t="s">
        <v>28761</v>
      </c>
    </row>
    <row r="12147" spans="1:8">
      <c r="H12147" t="s">
        <v>28762</v>
      </c>
    </row>
    <row r="12148" spans="1:8">
      <c r="H12148" t="s">
        <v>28763</v>
      </c>
    </row>
    <row r="12149" spans="1:8">
      <c r="H12149" t="s">
        <v>28764</v>
      </c>
    </row>
    <row r="12150" spans="1:8">
      <c r="H12150" t="s">
        <v>28765</v>
      </c>
    </row>
    <row r="12151" spans="1:8">
      <c r="H12151" t="s">
        <v>28766</v>
      </c>
    </row>
    <row r="12152" spans="1:8">
      <c r="A12152" t="s">
        <v>1463</v>
      </c>
      <c r="B12152">
        <f>HYPERLINK("https://android.googlesource.com/platform/cts/+/059319ad2d844f036d1ab02538dcd44f16f58bf0", "059319ad2d844f036d1ab02538dcd44f16f58bf0")</f>
        <v>0</v>
      </c>
      <c r="C12152">
        <f>HYPERLINK("https://android.googlesource.com/platform/cts/+/650896ae232cf95b5ebe8792b829127ee731d366", "650896ae232cf95b5ebe8792b829127ee731d366")</f>
        <v>0</v>
      </c>
      <c r="D12152" t="s">
        <v>5132</v>
      </c>
      <c r="E12152" t="s">
        <v>7229</v>
      </c>
      <c r="F12152" t="s">
        <v>10794</v>
      </c>
      <c r="G12152" t="s">
        <v>15189</v>
      </c>
      <c r="H12152" t="s">
        <v>28767</v>
      </c>
    </row>
    <row r="12153" spans="1:8">
      <c r="A12153" t="s">
        <v>1464</v>
      </c>
      <c r="B12153">
        <f>HYPERLINK("https://android.googlesource.com/platform/cts/+/09b6eccae5812a1f72b97ceaa9f03790dfdc51c0", "09b6eccae5812a1f72b97ceaa9f03790dfdc51c0")</f>
        <v>0</v>
      </c>
      <c r="C12153">
        <f>HYPERLINK("https://android.googlesource.com/platform/cts/+/e58adc6aae7aeb2e64ae9e61177be19739ee9ca6", "e58adc6aae7aeb2e64ae9e61177be19739ee9ca6")</f>
        <v>0</v>
      </c>
      <c r="D12153" t="s">
        <v>5221</v>
      </c>
      <c r="E12153" t="s">
        <v>7230</v>
      </c>
      <c r="F12153" t="s">
        <v>10794</v>
      </c>
      <c r="G12153" t="s">
        <v>15189</v>
      </c>
      <c r="H12153" t="s">
        <v>28768</v>
      </c>
    </row>
    <row r="12154" spans="1:8">
      <c r="A12154" t="s">
        <v>1467</v>
      </c>
      <c r="B12154">
        <f>HYPERLINK("https://android.googlesource.com/platform/cts/+/9d10eea6cc462812daf096a8c4acfea04ca98759", "9d10eea6cc462812daf096a8c4acfea04ca98759")</f>
        <v>0</v>
      </c>
      <c r="C12154">
        <f>HYPERLINK("https://android.googlesource.com/platform/cts/+/9ce652a09c5f1ff4dcbebe7b40a2aa971d98565c", "9ce652a09c5f1ff4dcbebe7b40a2aa971d98565c")</f>
        <v>0</v>
      </c>
      <c r="D12154" t="s">
        <v>5117</v>
      </c>
      <c r="E12154" t="s">
        <v>7232</v>
      </c>
      <c r="F12154" t="s">
        <v>13241</v>
      </c>
      <c r="G12154" t="s">
        <v>17381</v>
      </c>
      <c r="H12154" t="s">
        <v>28772</v>
      </c>
    </row>
    <row r="12155" spans="1:8">
      <c r="H12155" t="s">
        <v>28773</v>
      </c>
    </row>
    <row r="12156" spans="1:8">
      <c r="A12156" t="s">
        <v>1468</v>
      </c>
      <c r="B12156">
        <f>HYPERLINK("https://android.googlesource.com/platform/cts/+/a8c76d2d544f6ea6bc6e1014465ba6f1f35123c5", "a8c76d2d544f6ea6bc6e1014465ba6f1f35123c5")</f>
        <v>0</v>
      </c>
      <c r="C12156">
        <f>HYPERLINK("https://android.googlesource.com/platform/cts/+/07810b23e9f5dc6a2dec25031e66877ce7d0bec0", "07810b23e9f5dc6a2dec25031e66877ce7d0bec0")</f>
        <v>0</v>
      </c>
      <c r="D12156" t="s">
        <v>5167</v>
      </c>
      <c r="E12156" t="s">
        <v>7233</v>
      </c>
      <c r="F12156" t="s">
        <v>13243</v>
      </c>
      <c r="G12156" t="s">
        <v>17383</v>
      </c>
      <c r="H12156" t="s">
        <v>28774</v>
      </c>
    </row>
    <row r="12157" spans="1:8">
      <c r="H12157" t="s">
        <v>28775</v>
      </c>
    </row>
    <row r="12158" spans="1:8">
      <c r="H12158" t="s">
        <v>28776</v>
      </c>
    </row>
    <row r="12159" spans="1:8">
      <c r="F12159" t="s">
        <v>13244</v>
      </c>
      <c r="G12159" t="s">
        <v>17384</v>
      </c>
      <c r="H12159" t="s">
        <v>28777</v>
      </c>
    </row>
    <row r="12160" spans="1:8">
      <c r="A12160" t="s">
        <v>1469</v>
      </c>
      <c r="B12160">
        <f>HYPERLINK("https://android.googlesource.com/platform/cts/+/de6fec89b81cccfd0f880b20f16a560acb1a9818", "de6fec89b81cccfd0f880b20f16a560acb1a9818")</f>
        <v>0</v>
      </c>
      <c r="C12160">
        <f>HYPERLINK("https://android.googlesource.com/platform/cts/+/7166244312a84d08088d6385c5022ef30ba52b49", "7166244312a84d08088d6385c5022ef30ba52b49")</f>
        <v>0</v>
      </c>
      <c r="D12160" t="s">
        <v>5090</v>
      </c>
      <c r="E12160" t="s">
        <v>7234</v>
      </c>
      <c r="F12160" t="s">
        <v>13245</v>
      </c>
      <c r="G12160" t="s">
        <v>17385</v>
      </c>
      <c r="H12160" t="s">
        <v>28778</v>
      </c>
    </row>
    <row r="12161" spans="1:8">
      <c r="H12161" t="s">
        <v>28779</v>
      </c>
    </row>
    <row r="12162" spans="1:8">
      <c r="A12162" t="s">
        <v>1470</v>
      </c>
      <c r="B12162">
        <f>HYPERLINK("https://android.googlesource.com/platform/cts/+/48c25a12da73045d802603624423d1ac22f98aec", "48c25a12da73045d802603624423d1ac22f98aec")</f>
        <v>0</v>
      </c>
      <c r="C12162">
        <f>HYPERLINK("https://android.googlesource.com/platform/cts/+/dfb3576b3c5846e80b3e60429870ab95c3142fd3", "dfb3576b3c5846e80b3e60429870ab95c3142fd3")</f>
        <v>0</v>
      </c>
      <c r="D12162" t="s">
        <v>5222</v>
      </c>
      <c r="E12162" t="s">
        <v>7235</v>
      </c>
      <c r="F12162" t="s">
        <v>13246</v>
      </c>
      <c r="G12162" t="s">
        <v>17386</v>
      </c>
      <c r="H12162" t="s">
        <v>28780</v>
      </c>
    </row>
    <row r="12163" spans="1:8">
      <c r="A12163" t="s">
        <v>1471</v>
      </c>
      <c r="B12163">
        <f>HYPERLINK("https://android.googlesource.com/platform/cts/+/7effe392834833769347a27b0ae29ced4be72ede", "7effe392834833769347a27b0ae29ced4be72ede")</f>
        <v>0</v>
      </c>
      <c r="C12163">
        <f>HYPERLINK("https://android.googlesource.com/platform/cts/+/85e2d548c0f908fb7e053ad13d2ebd7aee6cd822", "85e2d548c0f908fb7e053ad13d2ebd7aee6cd822")</f>
        <v>0</v>
      </c>
      <c r="D12163" t="s">
        <v>4960</v>
      </c>
      <c r="E12163" t="s">
        <v>7236</v>
      </c>
      <c r="F12163" t="s">
        <v>13132</v>
      </c>
      <c r="G12163" t="s">
        <v>17290</v>
      </c>
      <c r="H12163" t="s">
        <v>28030</v>
      </c>
    </row>
    <row r="12164" spans="1:8">
      <c r="H12164" t="s">
        <v>28031</v>
      </c>
    </row>
    <row r="12165" spans="1:8">
      <c r="H12165" t="s">
        <v>28032</v>
      </c>
    </row>
    <row r="12166" spans="1:8">
      <c r="H12166" t="s">
        <v>28033</v>
      </c>
    </row>
    <row r="12167" spans="1:8">
      <c r="H12167" t="s">
        <v>28034</v>
      </c>
    </row>
    <row r="12168" spans="1:8">
      <c r="H12168" t="s">
        <v>28035</v>
      </c>
    </row>
    <row r="12169" spans="1:8">
      <c r="A12169" t="s">
        <v>1472</v>
      </c>
      <c r="B12169">
        <f>HYPERLINK("https://android.googlesource.com/platform/cts/+/500c917bdfa75fd734581d7ea825a7bd7383fab7", "500c917bdfa75fd734581d7ea825a7bd7383fab7")</f>
        <v>0</v>
      </c>
      <c r="C12169">
        <f>HYPERLINK("https://android.googlesource.com/platform/cts/+/43af5942cdd113fad21368fb22d7cbbf0f11443d", "43af5942cdd113fad21368fb22d7cbbf0f11443d")</f>
        <v>0</v>
      </c>
      <c r="D12169" t="s">
        <v>5223</v>
      </c>
      <c r="E12169" t="s">
        <v>7237</v>
      </c>
      <c r="F12169" t="s">
        <v>13247</v>
      </c>
      <c r="G12169" t="s">
        <v>17387</v>
      </c>
      <c r="H12169" t="s">
        <v>28782</v>
      </c>
    </row>
    <row r="12170" spans="1:8">
      <c r="A12170" t="s">
        <v>1473</v>
      </c>
      <c r="B12170">
        <f>HYPERLINK("https://android.googlesource.com/platform/cts/+/c404c53f41512941fe29e9de6ef8d26eeb063338", "c404c53f41512941fe29e9de6ef8d26eeb063338")</f>
        <v>0</v>
      </c>
      <c r="C12170">
        <f>HYPERLINK("https://android.googlesource.com/platform/cts/+/1bbdbb9c640bb6248723c463f5c416873d1aa526", "1bbdbb9c640bb6248723c463f5c416873d1aa526")</f>
        <v>0</v>
      </c>
      <c r="D12170" t="s">
        <v>5224</v>
      </c>
      <c r="E12170" t="s">
        <v>7238</v>
      </c>
      <c r="F12170" t="s">
        <v>13248</v>
      </c>
      <c r="G12170" t="s">
        <v>17388</v>
      </c>
      <c r="H12170" t="s">
        <v>28783</v>
      </c>
    </row>
    <row r="12171" spans="1:8">
      <c r="H12171" t="s">
        <v>28784</v>
      </c>
    </row>
    <row r="12172" spans="1:8">
      <c r="A12172" t="s">
        <v>1475</v>
      </c>
      <c r="B12172">
        <f>HYPERLINK("https://android.googlesource.com/platform/cts/+/d88e016656aded7c8f4e808287225a80f829cf8b", "d88e016656aded7c8f4e808287225a80f829cf8b")</f>
        <v>0</v>
      </c>
      <c r="C12172">
        <f>HYPERLINK("https://android.googlesource.com/platform/cts/+/eb97c880df596df6575f0f22995c565797f03486", "eb97c880df596df6575f0f22995c565797f03486")</f>
        <v>0</v>
      </c>
      <c r="D12172" t="s">
        <v>5225</v>
      </c>
      <c r="E12172" t="s">
        <v>7240</v>
      </c>
      <c r="F12172" t="s">
        <v>13250</v>
      </c>
      <c r="G12172" t="s">
        <v>17390</v>
      </c>
      <c r="H12172" t="s">
        <v>28787</v>
      </c>
    </row>
    <row r="12173" spans="1:8">
      <c r="H12173" t="s">
        <v>28788</v>
      </c>
    </row>
    <row r="12174" spans="1:8">
      <c r="H12174" t="s">
        <v>28789</v>
      </c>
    </row>
    <row r="12175" spans="1:8">
      <c r="H12175" t="s">
        <v>28790</v>
      </c>
    </row>
    <row r="12176" spans="1:8">
      <c r="H12176" t="s">
        <v>28792</v>
      </c>
    </row>
    <row r="12177" spans="1:8">
      <c r="F12177" t="s">
        <v>13251</v>
      </c>
      <c r="G12177" t="s">
        <v>17391</v>
      </c>
      <c r="H12177" t="s">
        <v>28793</v>
      </c>
    </row>
    <row r="12178" spans="1:8">
      <c r="H12178" t="s">
        <v>28794</v>
      </c>
    </row>
    <row r="12179" spans="1:8">
      <c r="F12179" t="s">
        <v>13235</v>
      </c>
      <c r="G12179" t="s">
        <v>17374</v>
      </c>
      <c r="H12179" t="s">
        <v>28795</v>
      </c>
    </row>
    <row r="12180" spans="1:8">
      <c r="F12180" t="s">
        <v>13252</v>
      </c>
      <c r="G12180" t="s">
        <v>17392</v>
      </c>
      <c r="H12180" t="s">
        <v>28741</v>
      </c>
    </row>
    <row r="12181" spans="1:8">
      <c r="H12181" t="s">
        <v>28787</v>
      </c>
    </row>
    <row r="12182" spans="1:8">
      <c r="H12182" t="s">
        <v>28796</v>
      </c>
    </row>
    <row r="12183" spans="1:8">
      <c r="H12183" t="s">
        <v>28797</v>
      </c>
    </row>
    <row r="12184" spans="1:8">
      <c r="H12184" t="s">
        <v>28798</v>
      </c>
    </row>
    <row r="12185" spans="1:8">
      <c r="H12185" t="s">
        <v>28799</v>
      </c>
    </row>
    <row r="12186" spans="1:8">
      <c r="A12186" t="s">
        <v>1477</v>
      </c>
      <c r="B12186">
        <f>HYPERLINK("https://android.googlesource.com/platform/cts/+/8e693239afbbb2095a4b6128a45fd8af69522b83", "8e693239afbbb2095a4b6128a45fd8af69522b83")</f>
        <v>0</v>
      </c>
      <c r="C12186">
        <f>HYPERLINK("https://android.googlesource.com/platform/cts/+/320d0f86337ca81bcda181a0cf4b5053dd3cea1b", "320d0f86337ca81bcda181a0cf4b5053dd3cea1b")</f>
        <v>0</v>
      </c>
      <c r="D12186" t="s">
        <v>5134</v>
      </c>
      <c r="E12186" t="s">
        <v>7242</v>
      </c>
      <c r="F12186" t="s">
        <v>13255</v>
      </c>
      <c r="G12186" t="s">
        <v>17393</v>
      </c>
      <c r="H12186" t="s">
        <v>28806</v>
      </c>
    </row>
    <row r="12187" spans="1:8">
      <c r="A12187" t="s">
        <v>1478</v>
      </c>
      <c r="B12187">
        <f>HYPERLINK("https://android.googlesource.com/platform/cts/+/f9cba22163b10ee61ede59e8e2d136dfd51e43f9", "f9cba22163b10ee61ede59e8e2d136dfd51e43f9")</f>
        <v>0</v>
      </c>
      <c r="C12187">
        <f>HYPERLINK("https://android.googlesource.com/platform/cts/+/2e6d8456b127923f50161f187d1ab07539b9285a", "2e6d8456b127923f50161f187d1ab07539b9285a")</f>
        <v>0</v>
      </c>
      <c r="D12187" t="s">
        <v>5134</v>
      </c>
      <c r="E12187" t="s">
        <v>7243</v>
      </c>
      <c r="F12187" t="s">
        <v>13241</v>
      </c>
      <c r="G12187" t="s">
        <v>17381</v>
      </c>
      <c r="H12187" t="s">
        <v>28807</v>
      </c>
    </row>
    <row r="12188" spans="1:8">
      <c r="A12188" t="s">
        <v>1480</v>
      </c>
      <c r="B12188">
        <f>HYPERLINK("https://android.googlesource.com/platform/cts/+/902cd35d2e77a3193d1e6f4298b572a924a21135", "902cd35d2e77a3193d1e6f4298b572a924a21135")</f>
        <v>0</v>
      </c>
      <c r="C12188">
        <f>HYPERLINK("https://android.googlesource.com/platform/cts/+/23ebed0e9c50733a353b3c97f74f9a8d71f696df", "23ebed0e9c50733a353b3c97f74f9a8d71f696df")</f>
        <v>0</v>
      </c>
      <c r="D12188" t="s">
        <v>5227</v>
      </c>
      <c r="E12188" t="s">
        <v>7245</v>
      </c>
      <c r="F12188" t="s">
        <v>13121</v>
      </c>
      <c r="G12188" t="s">
        <v>17283</v>
      </c>
      <c r="H12188" t="s">
        <v>28809</v>
      </c>
    </row>
    <row r="12189" spans="1:8">
      <c r="A12189" t="s">
        <v>1481</v>
      </c>
      <c r="B12189">
        <f>HYPERLINK("https://android.googlesource.com/platform/cts/+/01e75a7a6a531bfe815e4be7bbc8ec0d46f67651", "01e75a7a6a531bfe815e4be7bbc8ec0d46f67651")</f>
        <v>0</v>
      </c>
      <c r="C12189">
        <f>HYPERLINK("https://android.googlesource.com/platform/cts/+/2a9c60c9e497f352f1a284a4eeb0206229fdc0e8", "2a9c60c9e497f352f1a284a4eeb0206229fdc0e8")</f>
        <v>0</v>
      </c>
      <c r="D12189" t="s">
        <v>5228</v>
      </c>
      <c r="E12189" t="s">
        <v>7246</v>
      </c>
      <c r="F12189" t="s">
        <v>13256</v>
      </c>
      <c r="G12189" t="s">
        <v>17394</v>
      </c>
      <c r="H12189" t="s">
        <v>28810</v>
      </c>
    </row>
    <row r="12190" spans="1:8">
      <c r="A12190" t="s">
        <v>1482</v>
      </c>
      <c r="B12190">
        <f>HYPERLINK("https://android.googlesource.com/platform/cts/+/4b3b9e34f262e475b90c83a45684880ba2d266f6", "4b3b9e34f262e475b90c83a45684880ba2d266f6")</f>
        <v>0</v>
      </c>
      <c r="C12190">
        <f>HYPERLINK("https://android.googlesource.com/platform/cts/+/8a5510f9d795b1532dd18e40fd7a7c8a2440f047", "8a5510f9d795b1532dd18e40fd7a7c8a2440f047")</f>
        <v>0</v>
      </c>
      <c r="D12190" t="s">
        <v>5117</v>
      </c>
      <c r="E12190" t="s">
        <v>7247</v>
      </c>
      <c r="F12190" t="s">
        <v>13241</v>
      </c>
      <c r="G12190" t="s">
        <v>17381</v>
      </c>
      <c r="H12190" t="s">
        <v>28811</v>
      </c>
    </row>
    <row r="12191" spans="1:8">
      <c r="H12191" t="s">
        <v>28812</v>
      </c>
    </row>
    <row r="12192" spans="1:8">
      <c r="A12192" t="s">
        <v>1483</v>
      </c>
      <c r="B12192">
        <f>HYPERLINK("https://android.googlesource.com/platform/cts/+/bf9348aac3303cec06bbcbfe5eb0c2dc1faeded6", "bf9348aac3303cec06bbcbfe5eb0c2dc1faeded6")</f>
        <v>0</v>
      </c>
      <c r="C12192">
        <f>HYPERLINK("https://android.googlesource.com/platform/cts/+/1b6437cd718e963c1038be43008d76ff678ac14d", "1b6437cd718e963c1038be43008d76ff678ac14d")</f>
        <v>0</v>
      </c>
      <c r="D12192" t="s">
        <v>5229</v>
      </c>
      <c r="E12192" t="s">
        <v>7248</v>
      </c>
      <c r="F12192" t="s">
        <v>10627</v>
      </c>
      <c r="G12192" t="s">
        <v>15030</v>
      </c>
      <c r="H12192" t="s">
        <v>28813</v>
      </c>
    </row>
    <row r="12193" spans="1:8">
      <c r="H12193" t="s">
        <v>28814</v>
      </c>
    </row>
    <row r="12194" spans="1:8">
      <c r="A12194" t="s">
        <v>1484</v>
      </c>
      <c r="B12194">
        <f>HYPERLINK("https://android.googlesource.com/platform/cts/+/cfa9b95a6123a036983de6e118d6a189afa5ac9e", "cfa9b95a6123a036983de6e118d6a189afa5ac9e")</f>
        <v>0</v>
      </c>
      <c r="C12194">
        <f>HYPERLINK("https://android.googlesource.com/platform/cts/+/c1fc6325b1168f58ea43eddd0c680e350b321161", "c1fc6325b1168f58ea43eddd0c680e350b321161")</f>
        <v>0</v>
      </c>
      <c r="D12194" t="s">
        <v>5117</v>
      </c>
      <c r="E12194" t="s">
        <v>7249</v>
      </c>
      <c r="F12194" t="s">
        <v>13257</v>
      </c>
      <c r="G12194" t="s">
        <v>17395</v>
      </c>
      <c r="H12194" t="s">
        <v>28815</v>
      </c>
    </row>
    <row r="12195" spans="1:8">
      <c r="H12195" t="s">
        <v>28816</v>
      </c>
    </row>
    <row r="12196" spans="1:8">
      <c r="H12196" t="s">
        <v>28817</v>
      </c>
    </row>
    <row r="12197" spans="1:8">
      <c r="A12197" t="s">
        <v>1486</v>
      </c>
      <c r="B12197">
        <f>HYPERLINK("https://android.googlesource.com/platform/cts/+/43ad68171e4f1652c7bc556ec5924a3c8e83b8ab", "43ad68171e4f1652c7bc556ec5924a3c8e83b8ab")</f>
        <v>0</v>
      </c>
      <c r="C12197">
        <f>HYPERLINK("https://android.googlesource.com/platform/cts/+/e834e0fb68afc4539e50291d33ac3c8345b98ce8", "e834e0fb68afc4539e50291d33ac3c8345b98ce8")</f>
        <v>0</v>
      </c>
      <c r="D12197" t="s">
        <v>5143</v>
      </c>
      <c r="E12197" t="s">
        <v>7251</v>
      </c>
      <c r="F12197" t="s">
        <v>12986</v>
      </c>
      <c r="G12197" t="s">
        <v>17150</v>
      </c>
      <c r="H12197" t="s">
        <v>28819</v>
      </c>
    </row>
    <row r="12198" spans="1:8">
      <c r="H12198" t="s">
        <v>28820</v>
      </c>
    </row>
    <row r="12199" spans="1:8">
      <c r="A12199" t="s">
        <v>1487</v>
      </c>
      <c r="B12199">
        <f>HYPERLINK("https://android.googlesource.com/platform/cts/+/224b5b6e09b7de057aa4c25dd26aa5cb8ffea15e", "224b5b6e09b7de057aa4c25dd26aa5cb8ffea15e")</f>
        <v>0</v>
      </c>
      <c r="C12199">
        <f>HYPERLINK("https://android.googlesource.com/platform/cts/+/64368b8e25873c8141b260ce9244e1fd790f3cbf", "64368b8e25873c8141b260ce9244e1fd790f3cbf")</f>
        <v>0</v>
      </c>
      <c r="D12199" t="s">
        <v>5126</v>
      </c>
      <c r="E12199" t="s">
        <v>7252</v>
      </c>
      <c r="F12199" t="s">
        <v>12986</v>
      </c>
      <c r="G12199" t="s">
        <v>17150</v>
      </c>
      <c r="H12199" t="s">
        <v>28819</v>
      </c>
    </row>
    <row r="12200" spans="1:8">
      <c r="H12200" t="s">
        <v>28820</v>
      </c>
    </row>
    <row r="12201" spans="1:8">
      <c r="A12201" t="s">
        <v>1488</v>
      </c>
      <c r="B12201">
        <f>HYPERLINK("https://android.googlesource.com/platform/cts/+/9a997d5b3fd37c298822714294930b716010d7bf", "9a997d5b3fd37c298822714294930b716010d7bf")</f>
        <v>0</v>
      </c>
      <c r="C12201">
        <f>HYPERLINK("https://android.googlesource.com/platform/cts/+/0c5f797dc250f308f3cc16330c7e3aa8bf380fd4", "0c5f797dc250f308f3cc16330c7e3aa8bf380fd4")</f>
        <v>0</v>
      </c>
      <c r="D12201" t="s">
        <v>5118</v>
      </c>
      <c r="E12201" t="s">
        <v>7253</v>
      </c>
      <c r="F12201" t="s">
        <v>13165</v>
      </c>
      <c r="G12201" t="s">
        <v>17315</v>
      </c>
      <c r="H12201" t="s">
        <v>28821</v>
      </c>
    </row>
    <row r="12202" spans="1:8">
      <c r="A12202" t="s">
        <v>1490</v>
      </c>
      <c r="B12202">
        <f>HYPERLINK("https://android.googlesource.com/platform/cts/+/070242952883a0cf690428d680bdcdd2ba7159c2", "070242952883a0cf690428d680bdcdd2ba7159c2")</f>
        <v>0</v>
      </c>
      <c r="C12202">
        <f>HYPERLINK("https://android.googlesource.com/platform/cts/+/4cbe1afaee22a5672fa040a0013544a4b76538b5", "4cbe1afaee22a5672fa040a0013544a4b76538b5")</f>
        <v>0</v>
      </c>
      <c r="D12202" t="s">
        <v>4928</v>
      </c>
      <c r="E12202" t="s">
        <v>7255</v>
      </c>
      <c r="F12202" t="s">
        <v>13258</v>
      </c>
      <c r="G12202" t="s">
        <v>17396</v>
      </c>
      <c r="H12202" t="s">
        <v>28823</v>
      </c>
    </row>
    <row r="12203" spans="1:8">
      <c r="A12203" t="s">
        <v>1491</v>
      </c>
      <c r="B12203">
        <f>HYPERLINK("https://android.googlesource.com/platform/cts/+/efdaee19cca51599e4afdbe7c93ffa97d60b9ac9", "efdaee19cca51599e4afdbe7c93ffa97d60b9ac9")</f>
        <v>0</v>
      </c>
      <c r="C12203">
        <f>HYPERLINK("https://android.googlesource.com/platform/cts/+/9c8fe6c2ec973929e191634f74840fe4df149416", "9c8fe6c2ec973929e191634f74840fe4df149416")</f>
        <v>0</v>
      </c>
      <c r="D12203" t="s">
        <v>5134</v>
      </c>
      <c r="E12203" t="s">
        <v>7256</v>
      </c>
      <c r="F12203" t="s">
        <v>13230</v>
      </c>
      <c r="G12203" t="s">
        <v>17371</v>
      </c>
      <c r="H12203" t="s">
        <v>28824</v>
      </c>
    </row>
    <row r="12204" spans="1:8">
      <c r="A12204" t="s">
        <v>1492</v>
      </c>
      <c r="B12204">
        <f>HYPERLINK("https://android.googlesource.com/platform/cts/+/14909e430c33f3ea065d4f61973b885ba0f3c19e", "14909e430c33f3ea065d4f61973b885ba0f3c19e")</f>
        <v>0</v>
      </c>
      <c r="C12204">
        <f>HYPERLINK("https://android.googlesource.com/platform/cts/+/11c086d028fa315d7f1149c59994c1e390164f1b", "11c086d028fa315d7f1149c59994c1e390164f1b")</f>
        <v>0</v>
      </c>
      <c r="D12204" t="s">
        <v>4966</v>
      </c>
      <c r="E12204" t="s">
        <v>7257</v>
      </c>
      <c r="F12204" t="s">
        <v>13259</v>
      </c>
      <c r="G12204" t="s">
        <v>17397</v>
      </c>
      <c r="H12204" t="s">
        <v>28825</v>
      </c>
    </row>
    <row r="12205" spans="1:8">
      <c r="F12205" t="s">
        <v>13260</v>
      </c>
      <c r="G12205" t="s">
        <v>17398</v>
      </c>
      <c r="H12205" t="s">
        <v>28825</v>
      </c>
    </row>
    <row r="12206" spans="1:8">
      <c r="A12206" t="s">
        <v>1493</v>
      </c>
      <c r="B12206">
        <f>HYPERLINK("https://android.googlesource.com/platform/cts/+/821a2c99bf3d64b427c0bf1dc8e16d5ac86192ee", "821a2c99bf3d64b427c0bf1dc8e16d5ac86192ee")</f>
        <v>0</v>
      </c>
      <c r="C12206">
        <f>HYPERLINK("https://android.googlesource.com/platform/cts/+/cf3d24a7b9d6532644d8ddaf0bfa183a7176d517", "cf3d24a7b9d6532644d8ddaf0bfa183a7176d517")</f>
        <v>0</v>
      </c>
      <c r="D12206" t="s">
        <v>4966</v>
      </c>
      <c r="E12206" t="s">
        <v>7258</v>
      </c>
      <c r="F12206" t="s">
        <v>13259</v>
      </c>
      <c r="G12206" t="s">
        <v>17397</v>
      </c>
      <c r="H12206" t="s">
        <v>28825</v>
      </c>
    </row>
    <row r="12207" spans="1:8">
      <c r="F12207" t="s">
        <v>13260</v>
      </c>
      <c r="G12207" t="s">
        <v>17398</v>
      </c>
      <c r="H12207" t="s">
        <v>28825</v>
      </c>
    </row>
    <row r="12208" spans="1:8">
      <c r="A12208" t="s">
        <v>1494</v>
      </c>
      <c r="B12208">
        <f>HYPERLINK("https://android.googlesource.com/platform/cts/+/d3389ea01af8c7388fe7f77b7d4cf0a2e70b2fd7", "d3389ea01af8c7388fe7f77b7d4cf0a2e70b2fd7")</f>
        <v>0</v>
      </c>
      <c r="C12208">
        <f>HYPERLINK("https://android.googlesource.com/platform/cts/+/62c121c39d347c9eec8569de20480f192ed791b5", "62c121c39d347c9eec8569de20480f192ed791b5")</f>
        <v>0</v>
      </c>
      <c r="D12208" t="s">
        <v>4981</v>
      </c>
      <c r="E12208" t="s">
        <v>7259</v>
      </c>
      <c r="F12208" t="s">
        <v>13261</v>
      </c>
      <c r="G12208" t="s">
        <v>17399</v>
      </c>
      <c r="H12208" t="s">
        <v>28826</v>
      </c>
    </row>
    <row r="12209" spans="1:8">
      <c r="H12209" t="s">
        <v>28827</v>
      </c>
    </row>
    <row r="12210" spans="1:8">
      <c r="H12210" t="s">
        <v>28828</v>
      </c>
    </row>
    <row r="12211" spans="1:8">
      <c r="H12211" t="s">
        <v>28829</v>
      </c>
    </row>
    <row r="12212" spans="1:8">
      <c r="H12212" t="s">
        <v>28830</v>
      </c>
    </row>
    <row r="12213" spans="1:8">
      <c r="H12213" t="s">
        <v>28831</v>
      </c>
    </row>
    <row r="12214" spans="1:8">
      <c r="H12214" t="s">
        <v>28832</v>
      </c>
    </row>
    <row r="12215" spans="1:8">
      <c r="H12215" t="s">
        <v>28833</v>
      </c>
    </row>
    <row r="12216" spans="1:8">
      <c r="H12216" t="s">
        <v>28834</v>
      </c>
    </row>
    <row r="12217" spans="1:8">
      <c r="H12217" t="s">
        <v>28835</v>
      </c>
    </row>
    <row r="12218" spans="1:8">
      <c r="H12218" t="s">
        <v>28836</v>
      </c>
    </row>
    <row r="12219" spans="1:8">
      <c r="H12219" t="s">
        <v>28837</v>
      </c>
    </row>
    <row r="12220" spans="1:8">
      <c r="A12220" t="s">
        <v>1495</v>
      </c>
      <c r="B12220">
        <f>HYPERLINK("https://android.googlesource.com/platform/cts/+/01fc0a5868c5ba2b97a60f0f3457f12746b97900", "01fc0a5868c5ba2b97a60f0f3457f12746b97900")</f>
        <v>0</v>
      </c>
      <c r="C12220">
        <f>HYPERLINK("https://android.googlesource.com/platform/cts/+/a271a96dd6e1027ba752428663f70ce5bee2eb1e", "a271a96dd6e1027ba752428663f70ce5bee2eb1e")</f>
        <v>0</v>
      </c>
      <c r="D12220" t="s">
        <v>5214</v>
      </c>
      <c r="E12220" t="s">
        <v>7260</v>
      </c>
      <c r="F12220" t="s">
        <v>13225</v>
      </c>
      <c r="G12220" t="s">
        <v>17366</v>
      </c>
      <c r="H12220" t="s">
        <v>28838</v>
      </c>
    </row>
    <row r="12221" spans="1:8">
      <c r="A12221" t="s">
        <v>1496</v>
      </c>
      <c r="B12221">
        <f>HYPERLINK("https://android.googlesource.com/platform/cts/+/c2302aca3309446b98cf086e3b3f2cb5304afd1a", "c2302aca3309446b98cf086e3b3f2cb5304afd1a")</f>
        <v>0</v>
      </c>
      <c r="C12221">
        <f>HYPERLINK("https://android.googlesource.com/platform/cts/+/04127df5e8708130ccf6f11a95c7e87f0549d8b0", "04127df5e8708130ccf6f11a95c7e87f0549d8b0")</f>
        <v>0</v>
      </c>
      <c r="D12221" t="s">
        <v>5134</v>
      </c>
      <c r="E12221" t="s">
        <v>7261</v>
      </c>
      <c r="F12221" t="s">
        <v>13230</v>
      </c>
      <c r="G12221" t="s">
        <v>17371</v>
      </c>
      <c r="H12221" t="s">
        <v>28839</v>
      </c>
    </row>
    <row r="12222" spans="1:8">
      <c r="F12222" t="s">
        <v>13255</v>
      </c>
      <c r="G12222" t="s">
        <v>17393</v>
      </c>
      <c r="H12222" t="s">
        <v>28840</v>
      </c>
    </row>
    <row r="12223" spans="1:8">
      <c r="A12223" t="s">
        <v>1497</v>
      </c>
      <c r="B12223">
        <f>HYPERLINK("https://android.googlesource.com/platform/cts/+/7a5ca2fa1ee2d5e1eea72d787c12cdcbed984008", "7a5ca2fa1ee2d5e1eea72d787c12cdcbed984008")</f>
        <v>0</v>
      </c>
      <c r="C12223">
        <f>HYPERLINK("https://android.googlesource.com/platform/cts/+/c91762707037511a1700a481f305683ab86424d7", "c91762707037511a1700a481f305683ab86424d7")</f>
        <v>0</v>
      </c>
      <c r="D12223" t="s">
        <v>5230</v>
      </c>
      <c r="E12223" t="s">
        <v>7262</v>
      </c>
      <c r="F12223" t="s">
        <v>13262</v>
      </c>
      <c r="G12223" t="s">
        <v>17400</v>
      </c>
      <c r="H12223" t="s">
        <v>28843</v>
      </c>
    </row>
    <row r="12224" spans="1:8">
      <c r="A12224" t="s">
        <v>1498</v>
      </c>
      <c r="B12224">
        <f>HYPERLINK("https://android.googlesource.com/platform/cts/+/84f58b784f4772cb4747c017646c14f786d12f7b", "84f58b784f4772cb4747c017646c14f786d12f7b")</f>
        <v>0</v>
      </c>
      <c r="C12224">
        <f>HYPERLINK("https://android.googlesource.com/platform/cts/+/afca158ab14b6f01854c11bcec42e58306765926", "afca158ab14b6f01854c11bcec42e58306765926")</f>
        <v>0</v>
      </c>
      <c r="D12224" t="s">
        <v>5111</v>
      </c>
      <c r="E12224" t="s">
        <v>7263</v>
      </c>
      <c r="F12224" t="s">
        <v>12180</v>
      </c>
      <c r="G12224" t="s">
        <v>16419</v>
      </c>
      <c r="H12224" t="s">
        <v>28847</v>
      </c>
    </row>
    <row r="12225" spans="1:8">
      <c r="H12225" t="s">
        <v>28848</v>
      </c>
    </row>
    <row r="12226" spans="1:8">
      <c r="H12226" t="s">
        <v>28849</v>
      </c>
    </row>
    <row r="12227" spans="1:8">
      <c r="H12227" t="s">
        <v>28850</v>
      </c>
    </row>
    <row r="12228" spans="1:8">
      <c r="A12228" t="s">
        <v>1499</v>
      </c>
      <c r="B12228">
        <f>HYPERLINK("https://android.googlesource.com/platform/cts/+/afd814317ab9f3350200f9d66674aee933dd5d36", "afd814317ab9f3350200f9d66674aee933dd5d36")</f>
        <v>0</v>
      </c>
      <c r="C12228">
        <f>HYPERLINK("https://android.googlesource.com/platform/cts/+/9059039545ded741f6cfdba0829769ba5e829037", "9059039545ded741f6cfdba0829769ba5e829037")</f>
        <v>0</v>
      </c>
      <c r="D12228" t="s">
        <v>4981</v>
      </c>
      <c r="E12228" t="s">
        <v>7264</v>
      </c>
      <c r="F12228" t="s">
        <v>13263</v>
      </c>
      <c r="G12228" t="s">
        <v>17401</v>
      </c>
      <c r="H12228" t="s">
        <v>28852</v>
      </c>
    </row>
    <row r="12229" spans="1:8">
      <c r="A12229" t="s">
        <v>1501</v>
      </c>
      <c r="B12229">
        <f>HYPERLINK("https://android.googlesource.com/platform/cts/+/13c4120cab912ffc93d9fff1added9efa962ae08", "13c4120cab912ffc93d9fff1added9efa962ae08")</f>
        <v>0</v>
      </c>
      <c r="C12229">
        <f>HYPERLINK("https://android.googlesource.com/platform/cts/+/ab0227b5f6601858aa2052c59116bdf8ec6288d4", "ab0227b5f6601858aa2052c59116bdf8ec6288d4")</f>
        <v>0</v>
      </c>
      <c r="D12229" t="s">
        <v>5231</v>
      </c>
      <c r="E12229" t="s">
        <v>7266</v>
      </c>
      <c r="F12229" t="s">
        <v>10689</v>
      </c>
      <c r="G12229" t="s">
        <v>15089</v>
      </c>
      <c r="H12229" t="s">
        <v>28854</v>
      </c>
    </row>
    <row r="12230" spans="1:8">
      <c r="H12230" t="s">
        <v>28857</v>
      </c>
    </row>
    <row r="12231" spans="1:8">
      <c r="A12231" t="s">
        <v>1503</v>
      </c>
      <c r="B12231">
        <f>HYPERLINK("https://android.googlesource.com/platform/cts/+/3cc3dc6c786ee3000cc66c2a3c1d96ba3bb0a823", "3cc3dc6c786ee3000cc66c2a3c1d96ba3bb0a823")</f>
        <v>0</v>
      </c>
      <c r="C12231">
        <f>HYPERLINK("https://android.googlesource.com/platform/cts/+/ed106a26167f71600fe264b0aef16ac249d926f1", "ed106a26167f71600fe264b0aef16ac249d926f1")</f>
        <v>0</v>
      </c>
      <c r="D12231" t="s">
        <v>5219</v>
      </c>
      <c r="E12231" t="s">
        <v>7268</v>
      </c>
      <c r="F12231" t="s">
        <v>13265</v>
      </c>
      <c r="G12231" t="s">
        <v>17403</v>
      </c>
      <c r="H12231" t="s">
        <v>28867</v>
      </c>
    </row>
    <row r="12232" spans="1:8">
      <c r="F12232" t="s">
        <v>13266</v>
      </c>
      <c r="G12232" t="s">
        <v>17404</v>
      </c>
      <c r="H12232" t="s">
        <v>28867</v>
      </c>
    </row>
    <row r="12233" spans="1:8">
      <c r="A12233" t="s">
        <v>1504</v>
      </c>
      <c r="B12233">
        <f>HYPERLINK("https://android.googlesource.com/platform/cts/+/0b20b47edcd7741be6dfa5b20398e1986ab80357", "0b20b47edcd7741be6dfa5b20398e1986ab80357")</f>
        <v>0</v>
      </c>
      <c r="C12233">
        <f>HYPERLINK("https://android.googlesource.com/platform/cts/+/65e01ca94335701d0d1b1bbdc748d3cf56c31c9a", "65e01ca94335701d0d1b1bbdc748d3cf56c31c9a")</f>
        <v>0</v>
      </c>
      <c r="D12233" t="s">
        <v>5232</v>
      </c>
      <c r="E12233" t="s">
        <v>7269</v>
      </c>
      <c r="F12233" t="s">
        <v>12817</v>
      </c>
      <c r="G12233" t="s">
        <v>16629</v>
      </c>
      <c r="H12233" t="s">
        <v>22751</v>
      </c>
    </row>
    <row r="12234" spans="1:8">
      <c r="A12234" t="s">
        <v>1506</v>
      </c>
      <c r="B12234">
        <f>HYPERLINK("https://android.googlesource.com/platform/cts/+/7a181b9da390a480e24d0fcf0db713d1d4024234", "7a181b9da390a480e24d0fcf0db713d1d4024234")</f>
        <v>0</v>
      </c>
      <c r="C12234">
        <f>HYPERLINK("https://android.googlesource.com/platform/cts/+/84fa53842716e4e0a58eb7de6eae145cb5135e60", "84fa53842716e4e0a58eb7de6eae145cb5135e60")</f>
        <v>0</v>
      </c>
      <c r="D12234" t="s">
        <v>5130</v>
      </c>
      <c r="E12234" t="s">
        <v>7271</v>
      </c>
      <c r="F12234" t="s">
        <v>12211</v>
      </c>
      <c r="G12234" t="s">
        <v>16449</v>
      </c>
      <c r="H12234" t="s">
        <v>28869</v>
      </c>
    </row>
    <row r="12235" spans="1:8">
      <c r="A12235" t="s">
        <v>1507</v>
      </c>
      <c r="B12235">
        <f>HYPERLINK("https://android.googlesource.com/platform/cts/+/25ea2597fb9cba7d63d22bb322e58b136785bd6c", "25ea2597fb9cba7d63d22bb322e58b136785bd6c")</f>
        <v>0</v>
      </c>
      <c r="C12235">
        <f>HYPERLINK("https://android.googlesource.com/platform/cts/+/8399eefd05a32ad1b52a82e4a0465bb9564c462e", "8399eefd05a32ad1b52a82e4a0465bb9564c462e")</f>
        <v>0</v>
      </c>
      <c r="D12235" t="s">
        <v>5141</v>
      </c>
      <c r="E12235" t="s">
        <v>7272</v>
      </c>
      <c r="F12235" t="s">
        <v>13267</v>
      </c>
      <c r="G12235" t="s">
        <v>17405</v>
      </c>
      <c r="H12235" t="s">
        <v>28870</v>
      </c>
    </row>
    <row r="12236" spans="1:8">
      <c r="A12236" t="s">
        <v>1508</v>
      </c>
      <c r="B12236">
        <f>HYPERLINK("https://android.googlesource.com/platform/cts/+/07418524352c75ca9b293c035246995d2d550f8b", "07418524352c75ca9b293c035246995d2d550f8b")</f>
        <v>0</v>
      </c>
      <c r="C12236">
        <f>HYPERLINK("https://android.googlesource.com/platform/cts/+/b864109ea4648b4ce838a097f6f3ae4c78207876", "b864109ea4648b4ce838a097f6f3ae4c78207876")</f>
        <v>0</v>
      </c>
      <c r="D12236" t="s">
        <v>5163</v>
      </c>
      <c r="E12236" t="s">
        <v>7273</v>
      </c>
      <c r="F12236" t="s">
        <v>13268</v>
      </c>
      <c r="G12236" t="s">
        <v>17406</v>
      </c>
      <c r="H12236" t="s">
        <v>28871</v>
      </c>
    </row>
    <row r="12237" spans="1:8">
      <c r="H12237" t="s">
        <v>28872</v>
      </c>
    </row>
    <row r="12238" spans="1:8">
      <c r="H12238" t="s">
        <v>28873</v>
      </c>
    </row>
    <row r="12239" spans="1:8">
      <c r="H12239" t="s">
        <v>28874</v>
      </c>
    </row>
    <row r="12240" spans="1:8">
      <c r="H12240" t="s">
        <v>28875</v>
      </c>
    </row>
    <row r="12241" spans="1:8">
      <c r="F12241" t="s">
        <v>13269</v>
      </c>
      <c r="G12241" t="s">
        <v>17407</v>
      </c>
      <c r="H12241" t="s">
        <v>28881</v>
      </c>
    </row>
    <row r="12242" spans="1:8">
      <c r="H12242" t="s">
        <v>28882</v>
      </c>
    </row>
    <row r="12243" spans="1:8">
      <c r="H12243" t="s">
        <v>28883</v>
      </c>
    </row>
    <row r="12244" spans="1:8">
      <c r="H12244" t="s">
        <v>28884</v>
      </c>
    </row>
    <row r="12245" spans="1:8">
      <c r="A12245" t="s">
        <v>1510</v>
      </c>
      <c r="B12245">
        <f>HYPERLINK("https://android.googlesource.com/platform/cts/+/cc8b18507041fb1e9387c03135bf7ac173b5ae46", "cc8b18507041fb1e9387c03135bf7ac173b5ae46")</f>
        <v>0</v>
      </c>
      <c r="C12245">
        <f>HYPERLINK("https://android.googlesource.com/platform/cts/+/c651567f7e8859cef31ba61cba7a979b4297b720", "c651567f7e8859cef31ba61cba7a979b4297b720")</f>
        <v>0</v>
      </c>
      <c r="D12245" t="s">
        <v>5059</v>
      </c>
      <c r="E12245" t="s">
        <v>7275</v>
      </c>
      <c r="F12245" t="s">
        <v>13271</v>
      </c>
      <c r="G12245" t="s">
        <v>17408</v>
      </c>
      <c r="H12245" t="s">
        <v>28892</v>
      </c>
    </row>
    <row r="12246" spans="1:8">
      <c r="A12246" t="s">
        <v>1511</v>
      </c>
      <c r="B12246">
        <f>HYPERLINK("https://android.googlesource.com/platform/cts/+/b4f0b90b0103bc9643f92ebfa0aa54865b0fadee", "b4f0b90b0103bc9643f92ebfa0aa54865b0fadee")</f>
        <v>0</v>
      </c>
      <c r="C12246">
        <f>HYPERLINK("https://android.googlesource.com/platform/cts/+/8ed63f6fef3b2e5cdd4ea617e55a8803a00f4e38", "8ed63f6fef3b2e5cdd4ea617e55a8803a00f4e38")</f>
        <v>0</v>
      </c>
      <c r="D12246" t="s">
        <v>4997</v>
      </c>
      <c r="E12246" t="s">
        <v>7276</v>
      </c>
      <c r="F12246" t="s">
        <v>13272</v>
      </c>
      <c r="G12246" t="s">
        <v>17409</v>
      </c>
      <c r="H12246" t="s">
        <v>28893</v>
      </c>
    </row>
    <row r="12247" spans="1:8">
      <c r="A12247" t="s">
        <v>1512</v>
      </c>
      <c r="B12247">
        <f>HYPERLINK("https://android.googlesource.com/platform/cts/+/f61fa2b6db49f4c6133c9ef465995061b6a882d7", "f61fa2b6db49f4c6133c9ef465995061b6a882d7")</f>
        <v>0</v>
      </c>
      <c r="C12247">
        <f>HYPERLINK("https://android.googlesource.com/platform/cts/+/f134dd48f68a72306f9682f9572d7d9546603b32", "f134dd48f68a72306f9682f9572d7d9546603b32")</f>
        <v>0</v>
      </c>
      <c r="D12247" t="s">
        <v>5118</v>
      </c>
      <c r="E12247" t="s">
        <v>7277</v>
      </c>
      <c r="F12247" t="s">
        <v>13273</v>
      </c>
      <c r="G12247" t="s">
        <v>17410</v>
      </c>
      <c r="H12247" t="s">
        <v>19013</v>
      </c>
    </row>
    <row r="12248" spans="1:8">
      <c r="H12248" t="s">
        <v>18836</v>
      </c>
    </row>
    <row r="12249" spans="1:8">
      <c r="H12249" t="s">
        <v>18835</v>
      </c>
    </row>
    <row r="12250" spans="1:8">
      <c r="F12250" t="s">
        <v>13274</v>
      </c>
      <c r="G12250" t="s">
        <v>17411</v>
      </c>
      <c r="H12250" t="s">
        <v>19013</v>
      </c>
    </row>
    <row r="12251" spans="1:8">
      <c r="H12251" t="s">
        <v>18836</v>
      </c>
    </row>
    <row r="12252" spans="1:8">
      <c r="H12252" t="s">
        <v>18835</v>
      </c>
    </row>
    <row r="12253" spans="1:8">
      <c r="A12253" t="s">
        <v>1514</v>
      </c>
      <c r="B12253">
        <f>HYPERLINK("https://android.googlesource.com/platform/cts/+/ae13020ad3b8dbf51cb7231cf3921a0850affb19", "ae13020ad3b8dbf51cb7231cf3921a0850affb19")</f>
        <v>0</v>
      </c>
      <c r="C12253">
        <f>HYPERLINK("https://android.googlesource.com/platform/cts/+/b5a1aff1c339940d8598866e31e27cd564e935c0", "b5a1aff1c339940d8598866e31e27cd564e935c0")</f>
        <v>0</v>
      </c>
      <c r="D12253" t="s">
        <v>5141</v>
      </c>
      <c r="E12253" t="s">
        <v>7279</v>
      </c>
      <c r="F12253" t="s">
        <v>13267</v>
      </c>
      <c r="G12253" t="s">
        <v>17405</v>
      </c>
      <c r="H12253" t="s">
        <v>28895</v>
      </c>
    </row>
    <row r="12254" spans="1:8">
      <c r="H12254" t="s">
        <v>28896</v>
      </c>
    </row>
    <row r="12255" spans="1:8">
      <c r="A12255" t="s">
        <v>1516</v>
      </c>
      <c r="B12255">
        <f>HYPERLINK("https://android.googlesource.com/platform/cts/+/f931bf800c3cd1423bda09c5da2bc623dfe6cd49", "f931bf800c3cd1423bda09c5da2bc623dfe6cd49")</f>
        <v>0</v>
      </c>
      <c r="C12255">
        <f>HYPERLINK("https://android.googlesource.com/platform/cts/+/c651567f7e8859cef31ba61cba7a979b4297b720", "c651567f7e8859cef31ba61cba7a979b4297b720")</f>
        <v>0</v>
      </c>
      <c r="D12255" t="s">
        <v>5085</v>
      </c>
      <c r="E12255" t="s">
        <v>7281</v>
      </c>
      <c r="F12255" t="s">
        <v>13275</v>
      </c>
      <c r="G12255" t="s">
        <v>17412</v>
      </c>
      <c r="H12255" t="s">
        <v>28899</v>
      </c>
    </row>
    <row r="12256" spans="1:8">
      <c r="F12256" t="s">
        <v>13276</v>
      </c>
      <c r="G12256" t="s">
        <v>17413</v>
      </c>
      <c r="H12256" t="s">
        <v>28900</v>
      </c>
    </row>
    <row r="12257" spans="1:8">
      <c r="A12257" t="s">
        <v>1517</v>
      </c>
      <c r="B12257">
        <f>HYPERLINK("https://android.googlesource.com/platform/cts/+/aa447ec5f85d97d9f1c793ed71463e1955292678", "aa447ec5f85d97d9f1c793ed71463e1955292678")</f>
        <v>0</v>
      </c>
      <c r="C12257">
        <f>HYPERLINK("https://android.googlesource.com/platform/cts/+/706e4886d5474f0a1513faa0d71cb0fedd96f9c3", "706e4886d5474f0a1513faa0d71cb0fedd96f9c3")</f>
        <v>0</v>
      </c>
      <c r="D12257" t="s">
        <v>5146</v>
      </c>
      <c r="E12257" t="s">
        <v>7282</v>
      </c>
      <c r="F12257" t="s">
        <v>13277</v>
      </c>
      <c r="G12257" t="s">
        <v>17414</v>
      </c>
      <c r="H12257" t="s">
        <v>28901</v>
      </c>
    </row>
    <row r="12258" spans="1:8">
      <c r="H12258" t="s">
        <v>28902</v>
      </c>
    </row>
    <row r="12259" spans="1:8">
      <c r="A12259" t="s">
        <v>1518</v>
      </c>
      <c r="B12259">
        <f>HYPERLINK("https://android.googlesource.com/platform/cts/+/b8acf2c7fe6b6da101a490d2c805526810fe26bc", "b8acf2c7fe6b6da101a490d2c805526810fe26bc")</f>
        <v>0</v>
      </c>
      <c r="C12259">
        <f>HYPERLINK("https://android.googlesource.com/platform/cts/+/2aaaf6a018413cc44149727c8f9c1d0f5345f0f6", "2aaaf6a018413cc44149727c8f9c1d0f5345f0f6")</f>
        <v>0</v>
      </c>
      <c r="D12259" t="s">
        <v>5234</v>
      </c>
      <c r="E12259" t="s">
        <v>7283</v>
      </c>
      <c r="F12259" t="s">
        <v>13278</v>
      </c>
      <c r="G12259" t="s">
        <v>17415</v>
      </c>
      <c r="H12259" t="s">
        <v>28912</v>
      </c>
    </row>
    <row r="12260" spans="1:8">
      <c r="H12260" t="s">
        <v>28913</v>
      </c>
    </row>
    <row r="12261" spans="1:8">
      <c r="H12261" t="s">
        <v>28914</v>
      </c>
    </row>
    <row r="12262" spans="1:8">
      <c r="H12262" t="s">
        <v>28915</v>
      </c>
    </row>
    <row r="12263" spans="1:8">
      <c r="H12263" t="s">
        <v>28916</v>
      </c>
    </row>
    <row r="12264" spans="1:8">
      <c r="H12264" t="s">
        <v>28917</v>
      </c>
    </row>
    <row r="12265" spans="1:8">
      <c r="H12265" t="s">
        <v>28918</v>
      </c>
    </row>
    <row r="12266" spans="1:8">
      <c r="H12266" t="s">
        <v>28919</v>
      </c>
    </row>
    <row r="12267" spans="1:8">
      <c r="H12267" t="s">
        <v>28920</v>
      </c>
    </row>
    <row r="12268" spans="1:8">
      <c r="H12268" t="s">
        <v>28921</v>
      </c>
    </row>
    <row r="12269" spans="1:8">
      <c r="H12269" t="s">
        <v>28922</v>
      </c>
    </row>
    <row r="12270" spans="1:8">
      <c r="A12270" t="s">
        <v>1519</v>
      </c>
      <c r="B12270">
        <f>HYPERLINK("https://android.googlesource.com/platform/cts/+/ae78af7f8b8f81b27591427d8d6202e8bab97978", "ae78af7f8b8f81b27591427d8d6202e8bab97978")</f>
        <v>0</v>
      </c>
      <c r="C12270">
        <f>HYPERLINK("https://android.googlesource.com/platform/cts/+/801b62a16a99ed89dbac8ac46f8437f97f24a0a9", "801b62a16a99ed89dbac8ac46f8437f97f24a0a9")</f>
        <v>0</v>
      </c>
      <c r="D12270" t="s">
        <v>5235</v>
      </c>
      <c r="E12270" t="s">
        <v>7284</v>
      </c>
      <c r="F12270" t="s">
        <v>13279</v>
      </c>
      <c r="G12270" t="s">
        <v>17416</v>
      </c>
      <c r="H12270" t="s">
        <v>28930</v>
      </c>
    </row>
    <row r="12271" spans="1:8">
      <c r="H12271" t="s">
        <v>28931</v>
      </c>
    </row>
    <row r="12272" spans="1:8">
      <c r="H12272" t="s">
        <v>28932</v>
      </c>
    </row>
    <row r="12273" spans="1:8">
      <c r="H12273" t="s">
        <v>28934</v>
      </c>
    </row>
    <row r="12274" spans="1:8">
      <c r="H12274" t="s">
        <v>28938</v>
      </c>
    </row>
    <row r="12275" spans="1:8">
      <c r="H12275" t="s">
        <v>28939</v>
      </c>
    </row>
    <row r="12276" spans="1:8">
      <c r="A12276" t="s">
        <v>1520</v>
      </c>
      <c r="B12276">
        <f>HYPERLINK("https://android.googlesource.com/platform/cts/+/d4c99081b67c01194b63c4e3bef959b220c3f66a", "d4c99081b67c01194b63c4e3bef959b220c3f66a")</f>
        <v>0</v>
      </c>
      <c r="C12276">
        <f>HYPERLINK("https://android.googlesource.com/platform/cts/+/ae78af7f8b8f81b27591427d8d6202e8bab97978", "ae78af7f8b8f81b27591427d8d6202e8bab97978")</f>
        <v>0</v>
      </c>
      <c r="D12276" t="s">
        <v>5235</v>
      </c>
      <c r="E12276" t="s">
        <v>7285</v>
      </c>
      <c r="F12276" t="s">
        <v>13280</v>
      </c>
      <c r="G12276" t="s">
        <v>17417</v>
      </c>
      <c r="H12276" t="s">
        <v>28942</v>
      </c>
    </row>
    <row r="12277" spans="1:8">
      <c r="A12277" t="s">
        <v>1521</v>
      </c>
      <c r="B12277">
        <f>HYPERLINK("https://android.googlesource.com/platform/cts/+/394fd446ee9641e0af74ec779302612f83d84acf", "394fd446ee9641e0af74ec779302612f83d84acf")</f>
        <v>0</v>
      </c>
      <c r="C12277">
        <f>HYPERLINK("https://android.googlesource.com/platform/cts/+/d4c99081b67c01194b63c4e3bef959b220c3f66a", "d4c99081b67c01194b63c4e3bef959b220c3f66a")</f>
        <v>0</v>
      </c>
      <c r="D12277" t="s">
        <v>5235</v>
      </c>
      <c r="E12277" t="s">
        <v>7286</v>
      </c>
      <c r="F12277" t="s">
        <v>13281</v>
      </c>
      <c r="G12277" t="s">
        <v>17418</v>
      </c>
      <c r="H12277" t="s">
        <v>28946</v>
      </c>
    </row>
    <row r="12278" spans="1:8">
      <c r="H12278" t="s">
        <v>28947</v>
      </c>
    </row>
    <row r="12279" spans="1:8">
      <c r="H12279" t="s">
        <v>28948</v>
      </c>
    </row>
    <row r="12280" spans="1:8">
      <c r="A12280" t="s">
        <v>1522</v>
      </c>
      <c r="B12280">
        <f>HYPERLINK("https://android.googlesource.com/platform/cts/+/b2c00541678ad24c0a1775ebef65e43cb08dc65b", "b2c00541678ad24c0a1775ebef65e43cb08dc65b")</f>
        <v>0</v>
      </c>
      <c r="C12280">
        <f>HYPERLINK("https://android.googlesource.com/platform/cts/+/394fd446ee9641e0af74ec779302612f83d84acf", "394fd446ee9641e0af74ec779302612f83d84acf")</f>
        <v>0</v>
      </c>
      <c r="D12280" t="s">
        <v>5235</v>
      </c>
      <c r="E12280" t="s">
        <v>7287</v>
      </c>
      <c r="F12280" t="s">
        <v>13282</v>
      </c>
      <c r="G12280" t="s">
        <v>17419</v>
      </c>
      <c r="H12280" t="s">
        <v>28952</v>
      </c>
    </row>
    <row r="12281" spans="1:8">
      <c r="H12281" t="s">
        <v>26091</v>
      </c>
    </row>
    <row r="12282" spans="1:8">
      <c r="H12282" t="s">
        <v>21326</v>
      </c>
    </row>
    <row r="12283" spans="1:8">
      <c r="H12283" t="s">
        <v>21254</v>
      </c>
    </row>
    <row r="12284" spans="1:8">
      <c r="H12284" t="s">
        <v>26090</v>
      </c>
    </row>
    <row r="12285" spans="1:8">
      <c r="H12285" t="s">
        <v>26093</v>
      </c>
    </row>
    <row r="12286" spans="1:8">
      <c r="H12286" t="s">
        <v>26094</v>
      </c>
    </row>
    <row r="12287" spans="1:8">
      <c r="H12287" t="s">
        <v>26088</v>
      </c>
    </row>
    <row r="12288" spans="1:8">
      <c r="H12288" t="s">
        <v>26092</v>
      </c>
    </row>
    <row r="12289" spans="1:8">
      <c r="H12289" t="s">
        <v>26089</v>
      </c>
    </row>
    <row r="12290" spans="1:8">
      <c r="A12290" t="s">
        <v>1524</v>
      </c>
      <c r="B12290">
        <f>HYPERLINK("https://android.googlesource.com/platform/cts/+/bf3db54fec0910123ec037acec9888cc189a3b74", "bf3db54fec0910123ec037acec9888cc189a3b74")</f>
        <v>0</v>
      </c>
      <c r="C12290">
        <f>HYPERLINK("https://android.googlesource.com/platform/cts/+/14e6fc9a877e5eb53703a34722b3a16aefd896a5", "14e6fc9a877e5eb53703a34722b3a16aefd896a5")</f>
        <v>0</v>
      </c>
      <c r="D12290" t="s">
        <v>4928</v>
      </c>
      <c r="E12290" t="s">
        <v>7289</v>
      </c>
      <c r="F12290" t="s">
        <v>12897</v>
      </c>
      <c r="G12290" t="s">
        <v>16824</v>
      </c>
      <c r="H12290" t="s">
        <v>28960</v>
      </c>
    </row>
    <row r="12291" spans="1:8">
      <c r="H12291" t="s">
        <v>28961</v>
      </c>
    </row>
    <row r="12292" spans="1:8">
      <c r="H12292" t="s">
        <v>28962</v>
      </c>
    </row>
    <row r="12293" spans="1:8">
      <c r="A12293" t="s">
        <v>1527</v>
      </c>
      <c r="B12293">
        <f>HYPERLINK("https://android.googlesource.com/platform/cts/+/941eebd149a5b30f93bc83d88434c4c1ab6c6fa3", "941eebd149a5b30f93bc83d88434c4c1ab6c6fa3")</f>
        <v>0</v>
      </c>
      <c r="C12293">
        <f>HYPERLINK("https://android.googlesource.com/platform/cts/+/d4fbaa754e23f3342de639e2d0c3dedb552cf785", "d4fbaa754e23f3342de639e2d0c3dedb552cf785")</f>
        <v>0</v>
      </c>
      <c r="D12293" t="s">
        <v>5134</v>
      </c>
      <c r="E12293" t="s">
        <v>7292</v>
      </c>
      <c r="F12293" t="s">
        <v>13230</v>
      </c>
      <c r="G12293" t="s">
        <v>17371</v>
      </c>
      <c r="H12293" t="s">
        <v>28967</v>
      </c>
    </row>
    <row r="12294" spans="1:8">
      <c r="A12294" t="s">
        <v>1528</v>
      </c>
      <c r="B12294">
        <f>HYPERLINK("https://android.googlesource.com/platform/cts/+/c0f551a272e721750084ff1b46189d0f2eba8fd0", "c0f551a272e721750084ff1b46189d0f2eba8fd0")</f>
        <v>0</v>
      </c>
      <c r="C12294">
        <f>HYPERLINK("https://android.googlesource.com/platform/cts/+/410b4ee5f545f93ceadd968fba84a431b86a7c05", "410b4ee5f545f93ceadd968fba84a431b86a7c05")</f>
        <v>0</v>
      </c>
      <c r="D12294" t="s">
        <v>5144</v>
      </c>
      <c r="E12294" t="s">
        <v>7293</v>
      </c>
      <c r="F12294" t="s">
        <v>10627</v>
      </c>
      <c r="G12294" t="s">
        <v>15030</v>
      </c>
      <c r="H12294" t="s">
        <v>28968</v>
      </c>
    </row>
    <row r="12295" spans="1:8">
      <c r="H12295" t="s">
        <v>28969</v>
      </c>
    </row>
    <row r="12296" spans="1:8">
      <c r="H12296" t="s">
        <v>28970</v>
      </c>
    </row>
    <row r="12297" spans="1:8">
      <c r="H12297" t="s">
        <v>28971</v>
      </c>
    </row>
    <row r="12298" spans="1:8">
      <c r="H12298" t="s">
        <v>28972</v>
      </c>
    </row>
    <row r="12299" spans="1:8">
      <c r="H12299" t="s">
        <v>28973</v>
      </c>
    </row>
    <row r="12300" spans="1:8">
      <c r="A12300" t="s">
        <v>1529</v>
      </c>
      <c r="B12300">
        <f>HYPERLINK("https://android.googlesource.com/platform/cts/+/8a2b05f64c050b1538953b595d332fc4fcd35259", "8a2b05f64c050b1538953b595d332fc4fcd35259")</f>
        <v>0</v>
      </c>
      <c r="C12300">
        <f>HYPERLINK("https://android.googlesource.com/platform/cts/+/c4d237b847c6682724386119d68a50ac8b653323", "c4d237b847c6682724386119d68a50ac8b653323")</f>
        <v>0</v>
      </c>
      <c r="D12300" t="s">
        <v>5128</v>
      </c>
      <c r="E12300" t="s">
        <v>7294</v>
      </c>
      <c r="F12300" t="s">
        <v>13203</v>
      </c>
      <c r="G12300" t="s">
        <v>17345</v>
      </c>
      <c r="H12300" t="s">
        <v>28974</v>
      </c>
    </row>
    <row r="12301" spans="1:8">
      <c r="A12301" t="s">
        <v>1530</v>
      </c>
      <c r="B12301">
        <f>HYPERLINK("https://android.googlesource.com/platform/cts/+/12b70ddabfd35125ff2f5c3af6d70b6cfd5e10b9", "12b70ddabfd35125ff2f5c3af6d70b6cfd5e10b9")</f>
        <v>0</v>
      </c>
      <c r="C12301">
        <f>HYPERLINK("https://android.googlesource.com/platform/cts/+/db3543520104fb089dae3cea7cd82c1617882061", "db3543520104fb089dae3cea7cd82c1617882061")</f>
        <v>0</v>
      </c>
      <c r="D12301" t="s">
        <v>4928</v>
      </c>
      <c r="E12301" t="s">
        <v>7295</v>
      </c>
      <c r="F12301" t="s">
        <v>13284</v>
      </c>
      <c r="G12301" t="s">
        <v>17421</v>
      </c>
      <c r="H12301" t="s">
        <v>28975</v>
      </c>
    </row>
    <row r="12302" spans="1:8">
      <c r="A12302" t="s">
        <v>1533</v>
      </c>
      <c r="B12302">
        <f>HYPERLINK("https://android.googlesource.com/platform/cts/+/c546d35e6069f77b76a6fef3d4912f014b956cda", "c546d35e6069f77b76a6fef3d4912f014b956cda")</f>
        <v>0</v>
      </c>
      <c r="C12302">
        <f>HYPERLINK("https://android.googlesource.com/platform/cts/+/fa2bc101b0b5d435a8389a7f52ed08bc2b5e05fe", "fa2bc101b0b5d435a8389a7f52ed08bc2b5e05fe")</f>
        <v>0</v>
      </c>
      <c r="D12302" t="s">
        <v>4991</v>
      </c>
      <c r="E12302" t="s">
        <v>7298</v>
      </c>
      <c r="F12302" t="s">
        <v>11193</v>
      </c>
      <c r="G12302" t="s">
        <v>15582</v>
      </c>
      <c r="H12302" t="s">
        <v>28977</v>
      </c>
    </row>
    <row r="12303" spans="1:8">
      <c r="F12303" t="s">
        <v>10687</v>
      </c>
      <c r="G12303" t="s">
        <v>15087</v>
      </c>
      <c r="H12303" t="s">
        <v>19350</v>
      </c>
    </row>
    <row r="12304" spans="1:8">
      <c r="A12304" t="s">
        <v>1534</v>
      </c>
      <c r="B12304">
        <f>HYPERLINK("https://android.googlesource.com/platform/cts/+/be3621bcbb1df37364e00f91bcf2ec2211c98609", "be3621bcbb1df37364e00f91bcf2ec2211c98609")</f>
        <v>0</v>
      </c>
      <c r="C12304">
        <f>HYPERLINK("https://android.googlesource.com/platform/cts/+/bba14f67c803d7d61c845599509c70d64d42264a", "bba14f67c803d7d61c845599509c70d64d42264a")</f>
        <v>0</v>
      </c>
      <c r="D12304" t="s">
        <v>5046</v>
      </c>
      <c r="E12304" t="s">
        <v>7299</v>
      </c>
      <c r="F12304" t="s">
        <v>10780</v>
      </c>
      <c r="G12304" t="s">
        <v>15176</v>
      </c>
      <c r="H12304" t="s">
        <v>28978</v>
      </c>
    </row>
    <row r="12305" spans="1:8">
      <c r="H12305" t="s">
        <v>28979</v>
      </c>
    </row>
    <row r="12306" spans="1:8">
      <c r="F12306" t="s">
        <v>10781</v>
      </c>
      <c r="G12306" t="s">
        <v>15177</v>
      </c>
      <c r="H12306" t="s">
        <v>28978</v>
      </c>
    </row>
    <row r="12307" spans="1:8">
      <c r="H12307" t="s">
        <v>28979</v>
      </c>
    </row>
    <row r="12308" spans="1:8">
      <c r="A12308" t="s">
        <v>1537</v>
      </c>
      <c r="B12308">
        <f>HYPERLINK("https://android.googlesource.com/platform/cts/+/4b518951431367b6bc0568d4b3dae028d0daa664", "4b518951431367b6bc0568d4b3dae028d0daa664")</f>
        <v>0</v>
      </c>
      <c r="C12308">
        <f>HYPERLINK("https://android.googlesource.com/platform/cts/+/fa2bc101b0b5d435a8389a7f52ed08bc2b5e05fe", "fa2bc101b0b5d435a8389a7f52ed08bc2b5e05fe")</f>
        <v>0</v>
      </c>
      <c r="D12308" t="s">
        <v>5085</v>
      </c>
      <c r="E12308" t="s">
        <v>7302</v>
      </c>
      <c r="F12308" t="s">
        <v>13286</v>
      </c>
      <c r="G12308" t="s">
        <v>17423</v>
      </c>
      <c r="H12308" t="s">
        <v>28609</v>
      </c>
    </row>
    <row r="12309" spans="1:8">
      <c r="A12309" t="s">
        <v>1538</v>
      </c>
      <c r="B12309">
        <f>HYPERLINK("https://android.googlesource.com/platform/cts/+/07a824b3c05d9521f360d6dbdd5c424bb19e302a", "07a824b3c05d9521f360d6dbdd5c424bb19e302a")</f>
        <v>0</v>
      </c>
      <c r="C12309">
        <f>HYPERLINK("https://android.googlesource.com/platform/cts/+/311e21950d09d9e5ef37f2a818d4a390f54124b1", "311e21950d09d9e5ef37f2a818d4a390f54124b1")</f>
        <v>0</v>
      </c>
      <c r="D12309" t="s">
        <v>5219</v>
      </c>
      <c r="E12309" t="s">
        <v>7303</v>
      </c>
      <c r="F12309" t="s">
        <v>13287</v>
      </c>
      <c r="G12309" t="s">
        <v>17424</v>
      </c>
      <c r="H12309" t="s">
        <v>28989</v>
      </c>
    </row>
    <row r="12310" spans="1:8">
      <c r="A12310" t="s">
        <v>1542</v>
      </c>
      <c r="B12310">
        <f>HYPERLINK("https://android.googlesource.com/platform/cts/+/cc15b7211b2894cd5014e621cb69a9ec616333f1", "cc15b7211b2894cd5014e621cb69a9ec616333f1")</f>
        <v>0</v>
      </c>
      <c r="C12310">
        <f>HYPERLINK("https://android.googlesource.com/platform/cts/+/dbdc3a8fb1eba6f94a6e05f295194200e9ea8a7d", "dbdc3a8fb1eba6f94a6e05f295194200e9ea8a7d")</f>
        <v>0</v>
      </c>
      <c r="D12310" t="s">
        <v>5051</v>
      </c>
      <c r="E12310" t="s">
        <v>7307</v>
      </c>
      <c r="F12310" t="s">
        <v>13242</v>
      </c>
      <c r="G12310" t="s">
        <v>17382</v>
      </c>
      <c r="H12310" t="s">
        <v>28992</v>
      </c>
    </row>
    <row r="12311" spans="1:8">
      <c r="A12311" t="s">
        <v>1544</v>
      </c>
      <c r="B12311">
        <f>HYPERLINK("https://android.googlesource.com/platform/cts/+/af1227e4063604cd64561a5e574cdf750897ea7a", "af1227e4063604cd64561a5e574cdf750897ea7a")</f>
        <v>0</v>
      </c>
      <c r="C12311">
        <f>HYPERLINK("https://android.googlesource.com/platform/cts/+/df73d5fd6b60d9db038de439227e4574f0251f77", "df73d5fd6b60d9db038de439227e4574f0251f77")</f>
        <v>0</v>
      </c>
      <c r="D12311" t="s">
        <v>5134</v>
      </c>
      <c r="E12311" t="s">
        <v>7309</v>
      </c>
      <c r="F12311" t="s">
        <v>13230</v>
      </c>
      <c r="G12311" t="s">
        <v>17371</v>
      </c>
      <c r="H12311" t="s">
        <v>28999</v>
      </c>
    </row>
    <row r="12312" spans="1:8">
      <c r="A12312" t="s">
        <v>1545</v>
      </c>
      <c r="B12312">
        <f>HYPERLINK("https://android.googlesource.com/platform/cts/+/8d7a72d81246bb94a69c414d4fe6fc5b7acce4e4", "8d7a72d81246bb94a69c414d4fe6fc5b7acce4e4")</f>
        <v>0</v>
      </c>
      <c r="C12312">
        <f>HYPERLINK("https://android.googlesource.com/platform/cts/+/45a512f12381f74bed66c2bd83dd0e733bfef7c6", "45a512f12381f74bed66c2bd83dd0e733bfef7c6")</f>
        <v>0</v>
      </c>
      <c r="D12312" t="s">
        <v>5125</v>
      </c>
      <c r="E12312" t="s">
        <v>7310</v>
      </c>
      <c r="F12312" t="s">
        <v>12206</v>
      </c>
      <c r="G12312" t="s">
        <v>16444</v>
      </c>
      <c r="H12312" t="s">
        <v>29000</v>
      </c>
    </row>
    <row r="12313" spans="1:8">
      <c r="H12313" t="s">
        <v>29001</v>
      </c>
    </row>
    <row r="12314" spans="1:8">
      <c r="A12314" t="s">
        <v>1548</v>
      </c>
      <c r="B12314">
        <f>HYPERLINK("https://android.googlesource.com/platform/cts/+/6243ff729f6652552812ac1198e06cba90fb2d67", "6243ff729f6652552812ac1198e06cba90fb2d67")</f>
        <v>0</v>
      </c>
      <c r="C12314">
        <f>HYPERLINK("https://android.googlesource.com/platform/cts/+/4dc99fcc9f8f72b43f2c8fd54884e5182f2f24f7", "4dc99fcc9f8f72b43f2c8fd54884e5182f2f24f7")</f>
        <v>0</v>
      </c>
      <c r="D12314" t="s">
        <v>4952</v>
      </c>
      <c r="E12314" t="s">
        <v>7313</v>
      </c>
      <c r="F12314" t="s">
        <v>13131</v>
      </c>
      <c r="G12314" t="s">
        <v>15683</v>
      </c>
      <c r="H12314" t="s">
        <v>26720</v>
      </c>
    </row>
    <row r="12315" spans="1:8">
      <c r="F12315" t="s">
        <v>11443</v>
      </c>
      <c r="G12315" t="s">
        <v>15683</v>
      </c>
      <c r="H12315" t="s">
        <v>26720</v>
      </c>
    </row>
    <row r="12316" spans="1:8">
      <c r="A12316" t="s">
        <v>1549</v>
      </c>
      <c r="B12316">
        <f>HYPERLINK("https://android.googlesource.com/platform/cts/+/bea32fad0af0d46cbaff61673579951f8055f992", "bea32fad0af0d46cbaff61673579951f8055f992")</f>
        <v>0</v>
      </c>
      <c r="C12316">
        <f>HYPERLINK("https://android.googlesource.com/platform/cts/+/6d007c7e2fdcbb39d8a0b3fbe2186f0c677b3248", "6d007c7e2fdcbb39d8a0b3fbe2186f0c677b3248")</f>
        <v>0</v>
      </c>
      <c r="D12316" t="s">
        <v>5215</v>
      </c>
      <c r="E12316" t="s">
        <v>7314</v>
      </c>
      <c r="F12316" t="s">
        <v>12940</v>
      </c>
      <c r="G12316" t="s">
        <v>17105</v>
      </c>
      <c r="H12316" t="s">
        <v>27270</v>
      </c>
    </row>
    <row r="12317" spans="1:8">
      <c r="A12317" t="s">
        <v>1550</v>
      </c>
      <c r="B12317">
        <f>HYPERLINK("https://android.googlesource.com/platform/cts/+/9798b8e1409915c09ae44698d76056b6c8c1cbfc", "9798b8e1409915c09ae44698d76056b6c8c1cbfc")</f>
        <v>0</v>
      </c>
      <c r="C12317">
        <f>HYPERLINK("https://android.googlesource.com/platform/cts/+/b8b9920778a6f672bafa149295ecebcc27f95444", "b8b9920778a6f672bafa149295ecebcc27f95444")</f>
        <v>0</v>
      </c>
      <c r="D12317" t="s">
        <v>5092</v>
      </c>
      <c r="E12317" t="s">
        <v>7315</v>
      </c>
      <c r="F12317" t="s">
        <v>13290</v>
      </c>
      <c r="G12317" t="s">
        <v>17427</v>
      </c>
      <c r="H12317" t="s">
        <v>29005</v>
      </c>
    </row>
    <row r="12318" spans="1:8">
      <c r="A12318" t="s">
        <v>1552</v>
      </c>
      <c r="B12318">
        <f>HYPERLINK("https://android.googlesource.com/platform/cts/+/542699d4f3adaea3fdeb10cccac56837d979b19b", "542699d4f3adaea3fdeb10cccac56837d979b19b")</f>
        <v>0</v>
      </c>
      <c r="C12318">
        <f>HYPERLINK("https://android.googlesource.com/platform/cts/+/177cc6ed7aaadf0418001bf1aeff0395605be751", "177cc6ed7aaadf0418001bf1aeff0395605be751")</f>
        <v>0</v>
      </c>
      <c r="D12318" t="s">
        <v>5115</v>
      </c>
      <c r="E12318" t="s">
        <v>7316</v>
      </c>
      <c r="F12318" t="s">
        <v>13291</v>
      </c>
      <c r="G12318" t="s">
        <v>17426</v>
      </c>
      <c r="H12318" t="s">
        <v>28993</v>
      </c>
    </row>
    <row r="12319" spans="1:8">
      <c r="F12319" t="s">
        <v>13292</v>
      </c>
      <c r="G12319" t="s">
        <v>17428</v>
      </c>
      <c r="H12319" t="s">
        <v>29006</v>
      </c>
    </row>
    <row r="12320" spans="1:8">
      <c r="H12320" t="s">
        <v>29007</v>
      </c>
    </row>
    <row r="12321" spans="1:8">
      <c r="A12321" t="s">
        <v>1554</v>
      </c>
      <c r="B12321">
        <f>HYPERLINK("https://android.googlesource.com/platform/cts/+/0fabc671de7e98de064bb0e8e18a386e5f8a440a", "0fabc671de7e98de064bb0e8e18a386e5f8a440a")</f>
        <v>0</v>
      </c>
      <c r="C12321">
        <f>HYPERLINK("https://android.googlesource.com/platform/cts/+/601a32b0f87188d5fc4573757a232b0dd807d7fc", "601a32b0f87188d5fc4573757a232b0dd807d7fc")</f>
        <v>0</v>
      </c>
      <c r="D12321" t="s">
        <v>4949</v>
      </c>
      <c r="E12321" t="s">
        <v>7318</v>
      </c>
      <c r="F12321" t="s">
        <v>13230</v>
      </c>
      <c r="G12321" t="s">
        <v>17371</v>
      </c>
      <c r="H12321" t="s">
        <v>29008</v>
      </c>
    </row>
    <row r="12322" spans="1:8">
      <c r="H12322" t="s">
        <v>29009</v>
      </c>
    </row>
    <row r="12323" spans="1:8">
      <c r="A12323" t="s">
        <v>1557</v>
      </c>
      <c r="B12323">
        <f>HYPERLINK("https://android.googlesource.com/platform/cts/+/fc25beca4c74953ff1c6e8be18f5c0a9a20ceebc", "fc25beca4c74953ff1c6e8be18f5c0a9a20ceebc")</f>
        <v>0</v>
      </c>
      <c r="C12323">
        <f>HYPERLINK("https://android.googlesource.com/platform/cts/+/6bd3e7168a5712630eca7838616287b32497ab36", "6bd3e7168a5712630eca7838616287b32497ab36")</f>
        <v>0</v>
      </c>
      <c r="D12323" t="s">
        <v>5214</v>
      </c>
      <c r="E12323" t="s">
        <v>7321</v>
      </c>
      <c r="F12323" t="s">
        <v>13225</v>
      </c>
      <c r="G12323" t="s">
        <v>17366</v>
      </c>
      <c r="H12323" t="s">
        <v>29013</v>
      </c>
    </row>
    <row r="12324" spans="1:8">
      <c r="H12324" t="s">
        <v>29014</v>
      </c>
    </row>
    <row r="12325" spans="1:8">
      <c r="H12325" t="s">
        <v>29015</v>
      </c>
    </row>
    <row r="12326" spans="1:8">
      <c r="H12326" t="s">
        <v>29016</v>
      </c>
    </row>
    <row r="12327" spans="1:8">
      <c r="A12327" t="s">
        <v>1558</v>
      </c>
      <c r="B12327">
        <f>HYPERLINK("https://android.googlesource.com/platform/cts/+/a179cec1b44f8d2cdb141bd040e9e333bb6b9610", "a179cec1b44f8d2cdb141bd040e9e333bb6b9610")</f>
        <v>0</v>
      </c>
      <c r="C12327">
        <f>HYPERLINK("https://android.googlesource.com/platform/cts/+/07c1494d6814ecf957c28b6139a175d18e68d958", "07c1494d6814ecf957c28b6139a175d18e68d958")</f>
        <v>0</v>
      </c>
      <c r="D12327" t="s">
        <v>5125</v>
      </c>
      <c r="E12327" t="s">
        <v>7322</v>
      </c>
      <c r="F12327" t="s">
        <v>10794</v>
      </c>
      <c r="G12327" t="s">
        <v>15189</v>
      </c>
      <c r="H12327" t="s">
        <v>29017</v>
      </c>
    </row>
    <row r="12328" spans="1:8">
      <c r="A12328" t="s">
        <v>1560</v>
      </c>
      <c r="B12328">
        <f>HYPERLINK("https://android.googlesource.com/platform/cts/+/d4311977b79e507ac0d0f2f0b6fadd2016ecc149", "d4311977b79e507ac0d0f2f0b6fadd2016ecc149")</f>
        <v>0</v>
      </c>
      <c r="C12328">
        <f>HYPERLINK("https://android.googlesource.com/platform/cts/+/9862826c7ae0862e85e7e97bd2137f76ba7e4fc8", "9862826c7ae0862e85e7e97bd2137f76ba7e4fc8")</f>
        <v>0</v>
      </c>
      <c r="D12328" t="s">
        <v>4928</v>
      </c>
      <c r="E12328" t="s">
        <v>7324</v>
      </c>
      <c r="F12328" t="s">
        <v>10713</v>
      </c>
      <c r="G12328" t="s">
        <v>15112</v>
      </c>
      <c r="H12328" t="s">
        <v>29018</v>
      </c>
    </row>
    <row r="12329" spans="1:8">
      <c r="A12329" t="s">
        <v>1562</v>
      </c>
      <c r="B12329">
        <f>HYPERLINK("https://android.googlesource.com/platform/cts/+/dfa9e247e65e5fc9692e8df1a39aa43ecd9f4b48", "dfa9e247e65e5fc9692e8df1a39aa43ecd9f4b48")</f>
        <v>0</v>
      </c>
      <c r="C12329">
        <f>HYPERLINK("https://android.googlesource.com/platform/cts/+/5ad61b90d9bac1665316e941ac6ede3b391e107c", "5ad61b90d9bac1665316e941ac6ede3b391e107c")</f>
        <v>0</v>
      </c>
      <c r="D12329" t="s">
        <v>5143</v>
      </c>
      <c r="E12329" t="s">
        <v>7326</v>
      </c>
      <c r="F12329" t="s">
        <v>13295</v>
      </c>
      <c r="G12329" t="s">
        <v>17431</v>
      </c>
      <c r="H12329" t="s">
        <v>29019</v>
      </c>
    </row>
    <row r="12330" spans="1:8">
      <c r="A12330" t="s">
        <v>1563</v>
      </c>
      <c r="B12330">
        <f>HYPERLINK("https://android.googlesource.com/platform/cts/+/41a16ca7b6f16ebd7ec83a6b4d2691c1ec0f940d", "41a16ca7b6f16ebd7ec83a6b4d2691c1ec0f940d")</f>
        <v>0</v>
      </c>
      <c r="C12330">
        <f>HYPERLINK("https://android.googlesource.com/platform/cts/+/a8d86dac2f94f8d97d76c5ac27a68f1cf3d6ccc1", "a8d86dac2f94f8d97d76c5ac27a68f1cf3d6ccc1")</f>
        <v>0</v>
      </c>
      <c r="D12330" t="s">
        <v>5126</v>
      </c>
      <c r="E12330" t="s">
        <v>7327</v>
      </c>
      <c r="F12330" t="s">
        <v>10699</v>
      </c>
      <c r="G12330" t="s">
        <v>15099</v>
      </c>
      <c r="H12330" t="s">
        <v>29020</v>
      </c>
    </row>
    <row r="12331" spans="1:8">
      <c r="A12331" t="s">
        <v>1564</v>
      </c>
      <c r="B12331">
        <f>HYPERLINK("https://android.googlesource.com/platform/cts/+/59a36621969cd6b14755d5483a3cc38e78898de2", "59a36621969cd6b14755d5483a3cc38e78898de2")</f>
        <v>0</v>
      </c>
      <c r="C12331">
        <f>HYPERLINK("https://android.googlesource.com/platform/cts/+/51b0f0a9c9af6192e0601789714b843d36a514b3", "51b0f0a9c9af6192e0601789714b843d36a514b3")</f>
        <v>0</v>
      </c>
      <c r="D12331" t="s">
        <v>4931</v>
      </c>
      <c r="E12331" t="s">
        <v>7328</v>
      </c>
      <c r="F12331" t="s">
        <v>13296</v>
      </c>
      <c r="G12331" t="s">
        <v>17432</v>
      </c>
      <c r="H12331" t="s">
        <v>29021</v>
      </c>
    </row>
    <row r="12332" spans="1:8">
      <c r="A12332" t="s">
        <v>1566</v>
      </c>
      <c r="B12332">
        <f>HYPERLINK("https://android.googlesource.com/platform/cts/+/7435d710f41a7d4d94cb2b8eecb3297155c58a27", "7435d710f41a7d4d94cb2b8eecb3297155c58a27")</f>
        <v>0</v>
      </c>
      <c r="C12332">
        <f>HYPERLINK("https://android.googlesource.com/platform/cts/+/f770e20ef1b86bf3b9eb22fb07ae5ea9695060c5", "f770e20ef1b86bf3b9eb22fb07ae5ea9695060c5")</f>
        <v>0</v>
      </c>
      <c r="D12332" t="s">
        <v>5027</v>
      </c>
      <c r="E12332" t="s">
        <v>7330</v>
      </c>
      <c r="F12332" t="s">
        <v>13187</v>
      </c>
      <c r="G12332" t="s">
        <v>17331</v>
      </c>
      <c r="H12332" t="s">
        <v>29023</v>
      </c>
    </row>
    <row r="12333" spans="1:8">
      <c r="A12333" t="s">
        <v>1567</v>
      </c>
      <c r="B12333">
        <f>HYPERLINK("https://android.googlesource.com/platform/cts/+/0c62b6d65b1d22355d0ead1a6e96aabb5ac8e151", "0c62b6d65b1d22355d0ead1a6e96aabb5ac8e151")</f>
        <v>0</v>
      </c>
      <c r="C12333">
        <f>HYPERLINK("https://android.googlesource.com/platform/cts/+/7435d710f41a7d4d94cb2b8eecb3297155c58a27", "7435d710f41a7d4d94cb2b8eecb3297155c58a27")</f>
        <v>0</v>
      </c>
      <c r="D12333" t="s">
        <v>5027</v>
      </c>
      <c r="E12333" t="s">
        <v>7331</v>
      </c>
      <c r="F12333" t="s">
        <v>12617</v>
      </c>
      <c r="G12333" t="s">
        <v>15155</v>
      </c>
      <c r="H12333" t="s">
        <v>29027</v>
      </c>
    </row>
    <row r="12334" spans="1:8">
      <c r="A12334" t="s">
        <v>1569</v>
      </c>
      <c r="B12334">
        <f>HYPERLINK("https://android.googlesource.com/platform/cts/+/9a05c717ca6ae16344cbe0471cb2e6dff0c7282f", "9a05c717ca6ae16344cbe0471cb2e6dff0c7282f")</f>
        <v>0</v>
      </c>
      <c r="C12334">
        <f>HYPERLINK("https://android.googlesource.com/platform/cts/+/c2c2493886f74212c518cbbdb7928579ad2d27c8", "c2c2493886f74212c518cbbdb7928579ad2d27c8")</f>
        <v>0</v>
      </c>
      <c r="D12334" t="s">
        <v>5077</v>
      </c>
      <c r="E12334" t="s">
        <v>7333</v>
      </c>
      <c r="F12334" t="s">
        <v>12817</v>
      </c>
      <c r="G12334" t="s">
        <v>16629</v>
      </c>
      <c r="H12334" t="s">
        <v>29035</v>
      </c>
    </row>
    <row r="12335" spans="1:8">
      <c r="H12335" t="s">
        <v>29036</v>
      </c>
    </row>
    <row r="12336" spans="1:8">
      <c r="A12336" t="s">
        <v>1570</v>
      </c>
      <c r="B12336">
        <f>HYPERLINK("https://android.googlesource.com/platform/cts/+/d793e4256716618d77ef129ce0c0bf519e679b00", "d793e4256716618d77ef129ce0c0bf519e679b00")</f>
        <v>0</v>
      </c>
      <c r="C12336">
        <f>HYPERLINK("https://android.googlesource.com/platform/cts/+/929244f1b79abc6958f876bbc5c5e88756f73bc5", "929244f1b79abc6958f876bbc5c5e88756f73bc5")</f>
        <v>0</v>
      </c>
      <c r="D12336" t="s">
        <v>5077</v>
      </c>
      <c r="E12336" t="s">
        <v>7334</v>
      </c>
      <c r="F12336" t="s">
        <v>12817</v>
      </c>
      <c r="G12336" t="s">
        <v>16629</v>
      </c>
      <c r="H12336" t="s">
        <v>29035</v>
      </c>
    </row>
    <row r="12337" spans="1:8">
      <c r="H12337" t="s">
        <v>29036</v>
      </c>
    </row>
    <row r="12338" spans="1:8">
      <c r="A12338" t="s">
        <v>1571</v>
      </c>
      <c r="B12338">
        <f>HYPERLINK("https://android.googlesource.com/platform/cts/+/400e7d594809ca2cb52c2a69cefbf92c21526237", "400e7d594809ca2cb52c2a69cefbf92c21526237")</f>
        <v>0</v>
      </c>
      <c r="C12338">
        <f>HYPERLINK("https://android.googlesource.com/platform/cts/+/36cd300c3d253eb36ec710e14be84e7e6ae4ffed", "36cd300c3d253eb36ec710e14be84e7e6ae4ffed")</f>
        <v>0</v>
      </c>
      <c r="D12338" t="s">
        <v>5117</v>
      </c>
      <c r="E12338" t="s">
        <v>7335</v>
      </c>
      <c r="F12338" t="s">
        <v>13241</v>
      </c>
      <c r="G12338" t="s">
        <v>17381</v>
      </c>
      <c r="H12338" t="s">
        <v>29041</v>
      </c>
    </row>
    <row r="12339" spans="1:8">
      <c r="H12339" t="s">
        <v>29042</v>
      </c>
    </row>
    <row r="12340" spans="1:8">
      <c r="H12340" t="s">
        <v>29043</v>
      </c>
    </row>
    <row r="12341" spans="1:8">
      <c r="H12341" t="s">
        <v>29044</v>
      </c>
    </row>
    <row r="12342" spans="1:8">
      <c r="H12342" t="s">
        <v>29045</v>
      </c>
    </row>
    <row r="12343" spans="1:8">
      <c r="H12343" t="s">
        <v>29046</v>
      </c>
    </row>
    <row r="12344" spans="1:8">
      <c r="H12344" t="s">
        <v>29047</v>
      </c>
    </row>
    <row r="12345" spans="1:8">
      <c r="H12345" t="s">
        <v>29048</v>
      </c>
    </row>
    <row r="12346" spans="1:8">
      <c r="H12346" t="s">
        <v>29049</v>
      </c>
    </row>
    <row r="12347" spans="1:8">
      <c r="H12347" t="s">
        <v>29050</v>
      </c>
    </row>
    <row r="12348" spans="1:8">
      <c r="H12348" t="s">
        <v>29051</v>
      </c>
    </row>
    <row r="12349" spans="1:8">
      <c r="H12349" t="s">
        <v>29052</v>
      </c>
    </row>
    <row r="12350" spans="1:8">
      <c r="H12350" t="s">
        <v>29053</v>
      </c>
    </row>
    <row r="12351" spans="1:8">
      <c r="H12351" t="s">
        <v>29054</v>
      </c>
    </row>
    <row r="12352" spans="1:8">
      <c r="H12352" t="s">
        <v>29055</v>
      </c>
    </row>
    <row r="12353" spans="1:8">
      <c r="H12353" t="s">
        <v>29056</v>
      </c>
    </row>
    <row r="12354" spans="1:8">
      <c r="H12354" t="s">
        <v>29057</v>
      </c>
    </row>
    <row r="12355" spans="1:8">
      <c r="H12355" t="s">
        <v>29058</v>
      </c>
    </row>
    <row r="12356" spans="1:8">
      <c r="H12356" t="s">
        <v>29059</v>
      </c>
    </row>
    <row r="12357" spans="1:8">
      <c r="H12357" t="s">
        <v>29060</v>
      </c>
    </row>
    <row r="12358" spans="1:8">
      <c r="A12358" t="s">
        <v>1572</v>
      </c>
      <c r="B12358">
        <f>HYPERLINK("https://android.googlesource.com/platform/cts/+/132add28bb79b857e866241a858695b933fd9dea", "132add28bb79b857e866241a858695b933fd9dea")</f>
        <v>0</v>
      </c>
      <c r="C12358">
        <f>HYPERLINK("https://android.googlesource.com/platform/cts/+/9ea549238750212c55861b249c4ea66c2a0662c6", "9ea549238750212c55861b249c4ea66c2a0662c6")</f>
        <v>0</v>
      </c>
      <c r="D12358" t="s">
        <v>5221</v>
      </c>
      <c r="E12358" t="s">
        <v>7336</v>
      </c>
      <c r="F12358" t="s">
        <v>13298</v>
      </c>
      <c r="G12358" t="s">
        <v>17434</v>
      </c>
      <c r="H12358" t="s">
        <v>29061</v>
      </c>
    </row>
    <row r="12359" spans="1:8">
      <c r="H12359" t="s">
        <v>29062</v>
      </c>
    </row>
    <row r="12360" spans="1:8">
      <c r="H12360" t="s">
        <v>29063</v>
      </c>
    </row>
    <row r="12361" spans="1:8">
      <c r="H12361" t="s">
        <v>29064</v>
      </c>
    </row>
    <row r="12362" spans="1:8">
      <c r="H12362" t="s">
        <v>29065</v>
      </c>
    </row>
    <row r="12363" spans="1:8">
      <c r="A12363" t="s">
        <v>1573</v>
      </c>
      <c r="B12363">
        <f>HYPERLINK("https://android.googlesource.com/platform/cts/+/651e374d7496f97f955c746c53fce77db5c21fc7", "651e374d7496f97f955c746c53fce77db5c21fc7")</f>
        <v>0</v>
      </c>
      <c r="C12363">
        <f>HYPERLINK("https://android.googlesource.com/platform/cts/+/3eb548948ae9ff26f05f03726586a9e0e0603d62", "3eb548948ae9ff26f05f03726586a9e0e0603d62")</f>
        <v>0</v>
      </c>
      <c r="D12363" t="s">
        <v>4994</v>
      </c>
      <c r="E12363" t="s">
        <v>7337</v>
      </c>
      <c r="F12363" t="s">
        <v>13105</v>
      </c>
      <c r="G12363" t="s">
        <v>17267</v>
      </c>
      <c r="H12363" t="s">
        <v>29070</v>
      </c>
    </row>
    <row r="12364" spans="1:8">
      <c r="F12364" t="s">
        <v>13108</v>
      </c>
      <c r="G12364" t="s">
        <v>17270</v>
      </c>
      <c r="H12364" t="s">
        <v>29071</v>
      </c>
    </row>
    <row r="12365" spans="1:8">
      <c r="H12365" t="s">
        <v>29072</v>
      </c>
    </row>
    <row r="12366" spans="1:8">
      <c r="F12366" t="s">
        <v>13299</v>
      </c>
      <c r="G12366" t="s">
        <v>17435</v>
      </c>
      <c r="H12366" t="s">
        <v>29073</v>
      </c>
    </row>
    <row r="12367" spans="1:8">
      <c r="H12367" t="s">
        <v>29074</v>
      </c>
    </row>
    <row r="12368" spans="1:8">
      <c r="F12368" t="s">
        <v>13113</v>
      </c>
      <c r="G12368" t="s">
        <v>17275</v>
      </c>
      <c r="H12368" t="s">
        <v>29075</v>
      </c>
    </row>
    <row r="12369" spans="1:8">
      <c r="H12369" t="s">
        <v>29076</v>
      </c>
    </row>
    <row r="12370" spans="1:8">
      <c r="F12370" t="s">
        <v>13300</v>
      </c>
      <c r="G12370" t="s">
        <v>17436</v>
      </c>
      <c r="H12370" t="s">
        <v>29073</v>
      </c>
    </row>
    <row r="12371" spans="1:8">
      <c r="F12371" t="s">
        <v>13301</v>
      </c>
      <c r="G12371" t="s">
        <v>17437</v>
      </c>
      <c r="H12371" t="s">
        <v>29075</v>
      </c>
    </row>
    <row r="12372" spans="1:8">
      <c r="H12372" t="s">
        <v>29076</v>
      </c>
    </row>
    <row r="12373" spans="1:8">
      <c r="F12373" t="s">
        <v>10754</v>
      </c>
      <c r="G12373" t="s">
        <v>15152</v>
      </c>
      <c r="H12373" t="s">
        <v>29073</v>
      </c>
    </row>
    <row r="12374" spans="1:8">
      <c r="F12374" t="s">
        <v>13120</v>
      </c>
      <c r="G12374" t="s">
        <v>17282</v>
      </c>
      <c r="H12374" t="s">
        <v>29073</v>
      </c>
    </row>
    <row r="12375" spans="1:8">
      <c r="A12375" t="s">
        <v>1574</v>
      </c>
      <c r="B12375">
        <f>HYPERLINK("https://android.googlesource.com/platform/cts/+/a41e22daec4b566d233a6ac3030311f599ec9fa9", "a41e22daec4b566d233a6ac3030311f599ec9fa9")</f>
        <v>0</v>
      </c>
      <c r="C12375">
        <f>HYPERLINK("https://android.googlesource.com/platform/cts/+/db76a375aa6872a5544fe545f0e501e96cb8c8ae", "db76a375aa6872a5544fe545f0e501e96cb8c8ae")</f>
        <v>0</v>
      </c>
      <c r="D12375" t="s">
        <v>5207</v>
      </c>
      <c r="E12375" t="s">
        <v>7338</v>
      </c>
      <c r="F12375" t="s">
        <v>12345</v>
      </c>
      <c r="G12375" t="s">
        <v>16573</v>
      </c>
      <c r="H12375" t="s">
        <v>22247</v>
      </c>
    </row>
    <row r="12376" spans="1:8">
      <c r="A12376" t="s">
        <v>1575</v>
      </c>
      <c r="B12376">
        <f>HYPERLINK("https://android.googlesource.com/platform/cts/+/2f85594f3b90e72122af62b01540de369456d533", "2f85594f3b90e72122af62b01540de369456d533")</f>
        <v>0</v>
      </c>
      <c r="C12376">
        <f>HYPERLINK("https://android.googlesource.com/platform/cts/+/0f1529c0a957241bee81adeb525e114e28db32c0", "0f1529c0a957241bee81adeb525e114e28db32c0")</f>
        <v>0</v>
      </c>
      <c r="D12376" t="s">
        <v>5134</v>
      </c>
      <c r="E12376" t="s">
        <v>7339</v>
      </c>
      <c r="F12376" t="s">
        <v>13302</v>
      </c>
      <c r="G12376" t="s">
        <v>17438</v>
      </c>
      <c r="H12376" t="s">
        <v>29077</v>
      </c>
    </row>
    <row r="12377" spans="1:8">
      <c r="H12377" t="s">
        <v>29078</v>
      </c>
    </row>
    <row r="12378" spans="1:8">
      <c r="H12378" t="s">
        <v>29079</v>
      </c>
    </row>
    <row r="12379" spans="1:8">
      <c r="A12379" t="s">
        <v>1577</v>
      </c>
      <c r="B12379">
        <f>HYPERLINK("https://android.googlesource.com/platform/cts/+/6a3afe6449463cd63f126547b3594fd918e1f543", "6a3afe6449463cd63f126547b3594fd918e1f543")</f>
        <v>0</v>
      </c>
      <c r="C12379">
        <f>HYPERLINK("https://android.googlesource.com/platform/cts/+/e280b43711bbf54223f7bde587e75227446e06d4", "e280b43711bbf54223f7bde587e75227446e06d4")</f>
        <v>0</v>
      </c>
      <c r="D12379" t="s">
        <v>4971</v>
      </c>
      <c r="E12379" t="s">
        <v>7341</v>
      </c>
      <c r="F12379" t="s">
        <v>13304</v>
      </c>
      <c r="G12379" t="s">
        <v>17439</v>
      </c>
      <c r="H12379" t="s">
        <v>29083</v>
      </c>
    </row>
    <row r="12380" spans="1:8">
      <c r="A12380" t="s">
        <v>1578</v>
      </c>
      <c r="B12380">
        <f>HYPERLINK("https://android.googlesource.com/platform/cts/+/ae9ebfdb0a376e36b80b5d365e2e62d1502530bd", "ae9ebfdb0a376e36b80b5d365e2e62d1502530bd")</f>
        <v>0</v>
      </c>
      <c r="C12380">
        <f>HYPERLINK("https://android.googlesource.com/platform/cts/+/76ef62330b22abc31f9dd9cdaa14ee657328515b", "76ef62330b22abc31f9dd9cdaa14ee657328515b")</f>
        <v>0</v>
      </c>
      <c r="D12380" t="s">
        <v>5239</v>
      </c>
      <c r="E12380" t="s">
        <v>7342</v>
      </c>
      <c r="F12380" t="s">
        <v>10687</v>
      </c>
      <c r="G12380" t="s">
        <v>15087</v>
      </c>
      <c r="H12380" t="s">
        <v>29084</v>
      </c>
    </row>
    <row r="12381" spans="1:8">
      <c r="A12381" t="s">
        <v>1579</v>
      </c>
      <c r="B12381">
        <f>HYPERLINK("https://android.googlesource.com/platform/cts/+/80dd8b16b5907dc8142f519b73bc9836be6684d8", "80dd8b16b5907dc8142f519b73bc9836be6684d8")</f>
        <v>0</v>
      </c>
      <c r="C12381">
        <f>HYPERLINK("https://android.googlesource.com/platform/cts/+/9f1408142475d7f202609fd324467cb373d8abe7", "9f1408142475d7f202609fd324467cb373d8abe7")</f>
        <v>0</v>
      </c>
      <c r="D12381" t="s">
        <v>5146</v>
      </c>
      <c r="E12381" t="s">
        <v>7343</v>
      </c>
      <c r="F12381" t="s">
        <v>13277</v>
      </c>
      <c r="G12381" t="s">
        <v>17414</v>
      </c>
      <c r="H12381" t="s">
        <v>29085</v>
      </c>
    </row>
    <row r="12382" spans="1:8">
      <c r="A12382" t="s">
        <v>1580</v>
      </c>
      <c r="B12382">
        <f>HYPERLINK("https://android.googlesource.com/platform/cts/+/e66e55cc3151a2c3138df76fbf1721821d18398c", "e66e55cc3151a2c3138df76fbf1721821d18398c")</f>
        <v>0</v>
      </c>
      <c r="C12382">
        <f>HYPERLINK("https://android.googlesource.com/platform/cts/+/a0d4982aec29ab2f1d5948560a56e4e38c24b9f4", "a0d4982aec29ab2f1d5948560a56e4e38c24b9f4")</f>
        <v>0</v>
      </c>
      <c r="D12382" t="s">
        <v>5205</v>
      </c>
      <c r="E12382" t="s">
        <v>7344</v>
      </c>
      <c r="F12382" t="s">
        <v>13305</v>
      </c>
      <c r="G12382" t="s">
        <v>17148</v>
      </c>
      <c r="H12382" t="s">
        <v>29088</v>
      </c>
    </row>
    <row r="12383" spans="1:8">
      <c r="A12383" t="s">
        <v>1581</v>
      </c>
      <c r="B12383">
        <f>HYPERLINK("https://android.googlesource.com/platform/cts/+/b1c55daa44a4685a8961f7ac2fbf8586fac88281", "b1c55daa44a4685a8961f7ac2fbf8586fac88281")</f>
        <v>0</v>
      </c>
      <c r="C12383">
        <f>HYPERLINK("https://android.googlesource.com/platform/cts/+/c80b716b041267e475bb204d2b04e754451b10fe", "c80b716b041267e475bb204d2b04e754451b10fe")</f>
        <v>0</v>
      </c>
      <c r="D12383" t="s">
        <v>5236</v>
      </c>
      <c r="E12383" t="s">
        <v>7345</v>
      </c>
      <c r="F12383" t="s">
        <v>10727</v>
      </c>
      <c r="G12383" t="s">
        <v>15126</v>
      </c>
      <c r="H12383" t="s">
        <v>18982</v>
      </c>
    </row>
    <row r="12384" spans="1:8">
      <c r="H12384" t="s">
        <v>18983</v>
      </c>
    </row>
    <row r="12385" spans="1:8">
      <c r="A12385" t="s">
        <v>1582</v>
      </c>
      <c r="B12385">
        <f>HYPERLINK("https://android.googlesource.com/platform/cts/+/eec9f23a429b22bfbccbe4781679fedcbb526f7a", "eec9f23a429b22bfbccbe4781679fedcbb526f7a")</f>
        <v>0</v>
      </c>
      <c r="C12385">
        <f>HYPERLINK("https://android.googlesource.com/platform/cts/+/4cdee18aba37aee11a98fa08903e5671099f45a9", "4cdee18aba37aee11a98fa08903e5671099f45a9")</f>
        <v>0</v>
      </c>
      <c r="D12385" t="s">
        <v>5221</v>
      </c>
      <c r="E12385" t="s">
        <v>7346</v>
      </c>
      <c r="F12385" t="s">
        <v>13298</v>
      </c>
      <c r="G12385" t="s">
        <v>17434</v>
      </c>
      <c r="H12385" t="s">
        <v>29089</v>
      </c>
    </row>
    <row r="12386" spans="1:8">
      <c r="A12386" t="s">
        <v>1583</v>
      </c>
      <c r="B12386">
        <f>HYPERLINK("https://android.googlesource.com/platform/cts/+/c21996a3198d8f0cc40759a828ff5ecb343bf281", "c21996a3198d8f0cc40759a828ff5ecb343bf281")</f>
        <v>0</v>
      </c>
      <c r="C12386">
        <f>HYPERLINK("https://android.googlesource.com/platform/cts/+/5625dd670ca4f36967343375f0e7b4875bb1b56d", "5625dd670ca4f36967343375f0e7b4875bb1b56d")</f>
        <v>0</v>
      </c>
      <c r="D12386" t="s">
        <v>5167</v>
      </c>
      <c r="E12386" t="s">
        <v>7347</v>
      </c>
      <c r="F12386" t="s">
        <v>12402</v>
      </c>
      <c r="G12386" t="s">
        <v>16624</v>
      </c>
      <c r="H12386" t="s">
        <v>29090</v>
      </c>
    </row>
    <row r="12387" spans="1:8">
      <c r="H12387" t="s">
        <v>29091</v>
      </c>
    </row>
    <row r="12388" spans="1:8">
      <c r="A12388" t="s">
        <v>1584</v>
      </c>
      <c r="B12388">
        <f>HYPERLINK("https://android.googlesource.com/platform/cts/+/49a5c9fcc5aee50f0ecc54ebb1eefe0c450d7d6e", "49a5c9fcc5aee50f0ecc54ebb1eefe0c450d7d6e")</f>
        <v>0</v>
      </c>
      <c r="C12388">
        <f>HYPERLINK("https://android.googlesource.com/platform/cts/+/0e33545e073d0360a446a8f49662e6cdae44d780", "0e33545e073d0360a446a8f49662e6cdae44d780")</f>
        <v>0</v>
      </c>
      <c r="D12388" t="s">
        <v>5146</v>
      </c>
      <c r="E12388" t="s">
        <v>7348</v>
      </c>
      <c r="F12388" t="s">
        <v>13277</v>
      </c>
      <c r="G12388" t="s">
        <v>17414</v>
      </c>
      <c r="H12388" t="s">
        <v>29093</v>
      </c>
    </row>
    <row r="12389" spans="1:8">
      <c r="H12389" t="s">
        <v>29094</v>
      </c>
    </row>
    <row r="12390" spans="1:8">
      <c r="A12390" t="s">
        <v>1585</v>
      </c>
      <c r="B12390">
        <f>HYPERLINK("https://android.googlesource.com/platform/cts/+/97a8973fe9374294f44d915e9d11a28f57e9adc4", "97a8973fe9374294f44d915e9d11a28f57e9adc4")</f>
        <v>0</v>
      </c>
      <c r="C12390">
        <f>HYPERLINK("https://android.googlesource.com/platform/cts/+/fe2e7b214a5d42dc21ef078cec968bb9e7b5062c", "fe2e7b214a5d42dc21ef078cec968bb9e7b5062c")</f>
        <v>0</v>
      </c>
      <c r="D12390" t="s">
        <v>5167</v>
      </c>
      <c r="E12390" t="s">
        <v>7349</v>
      </c>
      <c r="F12390" t="s">
        <v>12402</v>
      </c>
      <c r="G12390" t="s">
        <v>16624</v>
      </c>
      <c r="H12390" t="s">
        <v>29090</v>
      </c>
    </row>
    <row r="12391" spans="1:8">
      <c r="H12391" t="s">
        <v>29091</v>
      </c>
    </row>
    <row r="12392" spans="1:8">
      <c r="A12392" t="s">
        <v>1586</v>
      </c>
      <c r="B12392">
        <f>HYPERLINK("https://android.googlesource.com/platform/cts/+/0bbc76997e8205fe8b93e6b875c19ed1993f5a75", "0bbc76997e8205fe8b93e6b875c19ed1993f5a75")</f>
        <v>0</v>
      </c>
      <c r="C12392">
        <f>HYPERLINK("https://android.googlesource.com/platform/cts/+/829b934ca4b4dd88d312ccb41af3ef2b44cf68e0", "829b934ca4b4dd88d312ccb41af3ef2b44cf68e0")</f>
        <v>0</v>
      </c>
      <c r="D12392" t="s">
        <v>5141</v>
      </c>
      <c r="E12392" t="s">
        <v>7350</v>
      </c>
      <c r="F12392" t="s">
        <v>13121</v>
      </c>
      <c r="G12392" t="s">
        <v>17283</v>
      </c>
      <c r="H12392" t="s">
        <v>29095</v>
      </c>
    </row>
    <row r="12393" spans="1:8">
      <c r="F12393" t="s">
        <v>13306</v>
      </c>
      <c r="G12393" t="s">
        <v>17440</v>
      </c>
      <c r="H12393" t="s">
        <v>18835</v>
      </c>
    </row>
    <row r="12394" spans="1:8">
      <c r="H12394" t="s">
        <v>29096</v>
      </c>
    </row>
    <row r="12395" spans="1:8">
      <c r="H12395" t="s">
        <v>29097</v>
      </c>
    </row>
    <row r="12396" spans="1:8">
      <c r="A12396" t="s">
        <v>1587</v>
      </c>
      <c r="B12396">
        <f>HYPERLINK("https://android.googlesource.com/platform/cts/+/fa00c81e658f7ad149f16f0f021bf9924578ea60", "fa00c81e658f7ad149f16f0f021bf9924578ea60")</f>
        <v>0</v>
      </c>
      <c r="C12396">
        <f>HYPERLINK("https://android.googlesource.com/platform/cts/+/2c4fc540e0e4cbbe67122d66aee957a02aec4274", "2c4fc540e0e4cbbe67122d66aee957a02aec4274")</f>
        <v>0</v>
      </c>
      <c r="D12396" t="s">
        <v>4978</v>
      </c>
      <c r="E12396" t="s">
        <v>7351</v>
      </c>
      <c r="F12396" t="s">
        <v>13307</v>
      </c>
      <c r="G12396" t="s">
        <v>16817</v>
      </c>
      <c r="H12396" t="s">
        <v>29100</v>
      </c>
    </row>
    <row r="12397" spans="1:8">
      <c r="A12397" t="s">
        <v>1595</v>
      </c>
      <c r="B12397">
        <f>HYPERLINK("https://android.googlesource.com/platform/cts/+/3a51173a3a762b576dd3c0d29c883e8763a9f95b", "3a51173a3a762b576dd3c0d29c883e8763a9f95b")</f>
        <v>0</v>
      </c>
      <c r="C12397">
        <f>HYPERLINK("https://android.googlesource.com/platform/cts/+/eb6e330495e48493247cd6f5dd06698d74cb585d", "eb6e330495e48493247cd6f5dd06698d74cb585d")</f>
        <v>0</v>
      </c>
      <c r="D12397" t="s">
        <v>5242</v>
      </c>
      <c r="E12397" t="s">
        <v>7356</v>
      </c>
      <c r="F12397" t="s">
        <v>13309</v>
      </c>
      <c r="G12397" t="s">
        <v>17442</v>
      </c>
      <c r="H12397" t="s">
        <v>29102</v>
      </c>
    </row>
    <row r="12398" spans="1:8">
      <c r="H12398" t="s">
        <v>29103</v>
      </c>
    </row>
    <row r="12399" spans="1:8">
      <c r="A12399" t="s">
        <v>1598</v>
      </c>
      <c r="B12399">
        <f>HYPERLINK("https://android.googlesource.com/platform/cts/+/4703f3f991513b3878d181c0b03fb77dd5abc8f4", "4703f3f991513b3878d181c0b03fb77dd5abc8f4")</f>
        <v>0</v>
      </c>
      <c r="C12399">
        <f>HYPERLINK("https://android.googlesource.com/platform/cts/+/90e68aee31ea56235d968229b90fca947f012cfe", "90e68aee31ea56235d968229b90fca947f012cfe")</f>
        <v>0</v>
      </c>
      <c r="D12399" t="s">
        <v>5122</v>
      </c>
      <c r="E12399" t="s">
        <v>7359</v>
      </c>
      <c r="F12399" t="s">
        <v>13310</v>
      </c>
      <c r="G12399" t="s">
        <v>17338</v>
      </c>
      <c r="H12399" t="s">
        <v>29104</v>
      </c>
    </row>
    <row r="12400" spans="1:8">
      <c r="A12400" t="s">
        <v>1599</v>
      </c>
      <c r="B12400">
        <f>HYPERLINK("https://android.googlesource.com/platform/cts/+/fb89f455541966cbf213a494e5a39309bb0690eb", "fb89f455541966cbf213a494e5a39309bb0690eb")</f>
        <v>0</v>
      </c>
      <c r="C12400">
        <f>HYPERLINK("https://android.googlesource.com/platform/cts/+/0ab7b429d82e776eb7728e511a5cfe779316c78f", "0ab7b429d82e776eb7728e511a5cfe779316c78f")</f>
        <v>0</v>
      </c>
      <c r="D12400" t="s">
        <v>4949</v>
      </c>
      <c r="E12400" t="s">
        <v>7360</v>
      </c>
      <c r="F12400" t="s">
        <v>13230</v>
      </c>
      <c r="G12400" t="s">
        <v>17371</v>
      </c>
      <c r="H12400" t="s">
        <v>29105</v>
      </c>
    </row>
    <row r="12401" spans="1:8">
      <c r="A12401" t="s">
        <v>1600</v>
      </c>
      <c r="B12401">
        <f>HYPERLINK("https://android.googlesource.com/platform/cts/+/4704484d8f314b8879c7e1c659deec2b774f0902", "4704484d8f314b8879c7e1c659deec2b774f0902")</f>
        <v>0</v>
      </c>
      <c r="C12401">
        <f>HYPERLINK("https://android.googlesource.com/platform/cts/+/e19e0b274b15640731746916df2e83156d87f165", "e19e0b274b15640731746916df2e83156d87f165")</f>
        <v>0</v>
      </c>
      <c r="D12401" t="s">
        <v>5141</v>
      </c>
      <c r="E12401" t="s">
        <v>7361</v>
      </c>
      <c r="F12401" t="s">
        <v>13245</v>
      </c>
      <c r="G12401" t="s">
        <v>17385</v>
      </c>
      <c r="H12401" t="s">
        <v>18835</v>
      </c>
    </row>
    <row r="12402" spans="1:8">
      <c r="H12402" t="s">
        <v>29106</v>
      </c>
    </row>
    <row r="12403" spans="1:8">
      <c r="A12403" t="s">
        <v>1602</v>
      </c>
      <c r="B12403">
        <f>HYPERLINK("https://android.googlesource.com/platform/cts/+/b6dfacd4a96a894ceb248ff3861a5c6dd9ff3b84", "b6dfacd4a96a894ceb248ff3861a5c6dd9ff3b84")</f>
        <v>0</v>
      </c>
      <c r="C12403">
        <f>HYPERLINK("https://android.googlesource.com/platform/cts/+/15000f9a2c996b036acf500439de4a22bdf09d2e", "15000f9a2c996b036acf500439de4a22bdf09d2e")</f>
        <v>0</v>
      </c>
      <c r="D12403" t="s">
        <v>5243</v>
      </c>
      <c r="E12403" t="s">
        <v>7363</v>
      </c>
      <c r="F12403" t="s">
        <v>13311</v>
      </c>
      <c r="G12403" t="s">
        <v>16471</v>
      </c>
      <c r="H12403" t="s">
        <v>29107</v>
      </c>
    </row>
    <row r="12404" spans="1:8">
      <c r="A12404" t="s">
        <v>1604</v>
      </c>
      <c r="B12404">
        <f>HYPERLINK("https://android.googlesource.com/platform/cts/+/850e6daa43800a44a81b61c627ac643f942b4913", "850e6daa43800a44a81b61c627ac643f942b4913")</f>
        <v>0</v>
      </c>
      <c r="C12404">
        <f>HYPERLINK("https://android.googlesource.com/platform/cts/+/31c15e7bcec587dd6acc9d94d4070a5ad8ece4aa", "31c15e7bcec587dd6acc9d94d4070a5ad8ece4aa")</f>
        <v>0</v>
      </c>
      <c r="D12404" t="s">
        <v>4971</v>
      </c>
      <c r="E12404" t="s">
        <v>7365</v>
      </c>
      <c r="F12404" t="s">
        <v>13304</v>
      </c>
      <c r="G12404" t="s">
        <v>17439</v>
      </c>
      <c r="H12404" t="s">
        <v>29109</v>
      </c>
    </row>
    <row r="12405" spans="1:8">
      <c r="H12405" t="s">
        <v>29110</v>
      </c>
    </row>
    <row r="12406" spans="1:8">
      <c r="F12406" t="s">
        <v>13312</v>
      </c>
      <c r="G12406" t="s">
        <v>17443</v>
      </c>
      <c r="H12406" t="s">
        <v>29114</v>
      </c>
    </row>
    <row r="12407" spans="1:8">
      <c r="H12407" t="s">
        <v>29115</v>
      </c>
    </row>
    <row r="12408" spans="1:8">
      <c r="H12408" t="s">
        <v>29116</v>
      </c>
    </row>
    <row r="12409" spans="1:8">
      <c r="H12409" t="s">
        <v>29117</v>
      </c>
    </row>
    <row r="12410" spans="1:8">
      <c r="H12410" t="s">
        <v>29118</v>
      </c>
    </row>
    <row r="12411" spans="1:8">
      <c r="H12411" t="s">
        <v>29119</v>
      </c>
    </row>
    <row r="12412" spans="1:8">
      <c r="H12412" t="s">
        <v>29123</v>
      </c>
    </row>
    <row r="12413" spans="1:8">
      <c r="A12413" t="s">
        <v>1605</v>
      </c>
      <c r="B12413">
        <f>HYPERLINK("https://android.googlesource.com/platform/cts/+/1b23e52743ea6958cfce82b13842100dec6f2b28", "1b23e52743ea6958cfce82b13842100dec6f2b28")</f>
        <v>0</v>
      </c>
      <c r="C12413">
        <f>HYPERLINK("https://android.googlesource.com/platform/cts/+/d82c5956c79658ba9519182ba826aa94a42e14a5", "d82c5956c79658ba9519182ba826aa94a42e14a5")</f>
        <v>0</v>
      </c>
      <c r="D12413" t="s">
        <v>5244</v>
      </c>
      <c r="E12413" t="s">
        <v>7366</v>
      </c>
      <c r="F12413" t="s">
        <v>13313</v>
      </c>
      <c r="G12413" t="s">
        <v>17444</v>
      </c>
      <c r="H12413" t="s">
        <v>29124</v>
      </c>
    </row>
    <row r="12414" spans="1:8">
      <c r="H12414" t="s">
        <v>29125</v>
      </c>
    </row>
    <row r="12415" spans="1:8">
      <c r="H12415" t="s">
        <v>29126</v>
      </c>
    </row>
    <row r="12416" spans="1:8">
      <c r="H12416" t="s">
        <v>29127</v>
      </c>
    </row>
    <row r="12417" spans="1:8">
      <c r="A12417" t="s">
        <v>1606</v>
      </c>
      <c r="B12417">
        <f>HYPERLINK("https://android.googlesource.com/platform/cts/+/bf1931551bb500f36ac35aeb1e2d098d2a14e87d", "bf1931551bb500f36ac35aeb1e2d098d2a14e87d")</f>
        <v>0</v>
      </c>
      <c r="C12417">
        <f>HYPERLINK("https://android.googlesource.com/platform/cts/+/3d442a2c83119052e291987cd865b2522be94417", "3d442a2c83119052e291987cd865b2522be94417")</f>
        <v>0</v>
      </c>
      <c r="D12417" t="s">
        <v>4994</v>
      </c>
      <c r="E12417" t="s">
        <v>7367</v>
      </c>
      <c r="F12417" t="s">
        <v>10627</v>
      </c>
      <c r="G12417" t="s">
        <v>15030</v>
      </c>
      <c r="H12417" t="s">
        <v>29129</v>
      </c>
    </row>
    <row r="12418" spans="1:8">
      <c r="A12418" t="s">
        <v>1607</v>
      </c>
      <c r="B12418">
        <f>HYPERLINK("https://android.googlesource.com/platform/cts/+/1a51e0490717cbbc9719ba76074a32eba6554d0b", "1a51e0490717cbbc9719ba76074a32eba6554d0b")</f>
        <v>0</v>
      </c>
      <c r="C12418">
        <f>HYPERLINK("https://android.googlesource.com/platform/cts/+/2227b6ad4e3987bf498ec2af84a1b9b047e46d23", "2227b6ad4e3987bf498ec2af84a1b9b047e46d23")</f>
        <v>0</v>
      </c>
      <c r="D12418" t="s">
        <v>4994</v>
      </c>
      <c r="E12418" t="s">
        <v>7368</v>
      </c>
      <c r="F12418" t="s">
        <v>10627</v>
      </c>
      <c r="G12418" t="s">
        <v>15030</v>
      </c>
      <c r="H12418" t="s">
        <v>29130</v>
      </c>
    </row>
    <row r="12419" spans="1:8">
      <c r="A12419" t="s">
        <v>1609</v>
      </c>
      <c r="B12419">
        <f>HYPERLINK("https://android.googlesource.com/platform/cts/+/462de7a64368c6e4625df154cbbf302042cc43fd", "462de7a64368c6e4625df154cbbf302042cc43fd")</f>
        <v>0</v>
      </c>
      <c r="C12419">
        <f>HYPERLINK("https://android.googlesource.com/platform/cts/+/3557844ccf7845a56008216098f13aa83361681c", "3557844ccf7845a56008216098f13aa83361681c")</f>
        <v>0</v>
      </c>
      <c r="D12419" t="s">
        <v>4948</v>
      </c>
      <c r="E12419" t="s">
        <v>7370</v>
      </c>
      <c r="F12419" t="s">
        <v>13272</v>
      </c>
      <c r="G12419" t="s">
        <v>17409</v>
      </c>
      <c r="H12419" t="s">
        <v>29131</v>
      </c>
    </row>
    <row r="12420" spans="1:8">
      <c r="A12420" t="s">
        <v>1611</v>
      </c>
      <c r="B12420">
        <f>HYPERLINK("https://android.googlesource.com/platform/cts/+/01c3c58f5e8ea782bddc22c0da1ae422af5f626d", "01c3c58f5e8ea782bddc22c0da1ae422af5f626d")</f>
        <v>0</v>
      </c>
      <c r="C12420">
        <f>HYPERLINK("https://android.googlesource.com/platform/cts/+/d322985dfb74715d62264023d19c9a0c9cf1b787", "d322985dfb74715d62264023d19c9a0c9cf1b787")</f>
        <v>0</v>
      </c>
      <c r="D12420" t="s">
        <v>5173</v>
      </c>
      <c r="E12420" t="s">
        <v>7372</v>
      </c>
      <c r="F12420" t="s">
        <v>11433</v>
      </c>
      <c r="G12420" t="s">
        <v>15673</v>
      </c>
      <c r="H12420" t="s">
        <v>29133</v>
      </c>
    </row>
    <row r="12421" spans="1:8">
      <c r="H12421" t="s">
        <v>29134</v>
      </c>
    </row>
    <row r="12422" spans="1:8">
      <c r="H12422" t="s">
        <v>29135</v>
      </c>
    </row>
    <row r="12423" spans="1:8">
      <c r="H12423" t="s">
        <v>29136</v>
      </c>
    </row>
    <row r="12424" spans="1:8">
      <c r="H12424" t="s">
        <v>29137</v>
      </c>
    </row>
    <row r="12425" spans="1:8">
      <c r="H12425" t="s">
        <v>29138</v>
      </c>
    </row>
    <row r="12426" spans="1:8">
      <c r="H12426" t="s">
        <v>29139</v>
      </c>
    </row>
    <row r="12427" spans="1:8">
      <c r="H12427" t="s">
        <v>29140</v>
      </c>
    </row>
    <row r="12428" spans="1:8">
      <c r="H12428" t="s">
        <v>29141</v>
      </c>
    </row>
    <row r="12429" spans="1:8">
      <c r="A12429" t="s">
        <v>1612</v>
      </c>
      <c r="B12429">
        <f>HYPERLINK("https://android.googlesource.com/platform/cts/+/d5ddcc51caeecd5ca89f56b29242ee22248efbaf", "d5ddcc51caeecd5ca89f56b29242ee22248efbaf")</f>
        <v>0</v>
      </c>
      <c r="C12429">
        <f>HYPERLINK("https://android.googlesource.com/platform/cts/+/387c3fddcb28a357b2af54a010fd851cfa1e87ef", "387c3fddcb28a357b2af54a010fd851cfa1e87ef")</f>
        <v>0</v>
      </c>
      <c r="D12429" t="s">
        <v>4994</v>
      </c>
      <c r="E12429" t="s">
        <v>7373</v>
      </c>
      <c r="F12429" t="s">
        <v>13315</v>
      </c>
      <c r="G12429" t="s">
        <v>17446</v>
      </c>
      <c r="H12429" t="s">
        <v>29142</v>
      </c>
    </row>
    <row r="12430" spans="1:8">
      <c r="H12430" t="s">
        <v>29143</v>
      </c>
    </row>
    <row r="12431" spans="1:8">
      <c r="H12431" t="s">
        <v>29144</v>
      </c>
    </row>
    <row r="12432" spans="1:8">
      <c r="F12432" t="s">
        <v>12336</v>
      </c>
      <c r="G12432" t="s">
        <v>16564</v>
      </c>
      <c r="H12432" t="s">
        <v>29145</v>
      </c>
    </row>
    <row r="12433" spans="1:8">
      <c r="A12433" t="s">
        <v>1613</v>
      </c>
      <c r="B12433">
        <f>HYPERLINK("https://android.googlesource.com/platform/cts/+/d09f0795c44bf98fbba6f28e62b86aa0ce536648", "d09f0795c44bf98fbba6f28e62b86aa0ce536648")</f>
        <v>0</v>
      </c>
      <c r="C12433">
        <f>HYPERLINK("https://android.googlesource.com/platform/cts/+/9ba11729349ba2572cd751974c76d72860dc4159", "9ba11729349ba2572cd751974c76d72860dc4159")</f>
        <v>0</v>
      </c>
      <c r="D12433" t="s">
        <v>5146</v>
      </c>
      <c r="E12433" t="s">
        <v>7374</v>
      </c>
      <c r="F12433" t="s">
        <v>12803</v>
      </c>
      <c r="G12433" t="s">
        <v>16985</v>
      </c>
      <c r="H12433" t="s">
        <v>29147</v>
      </c>
    </row>
    <row r="12434" spans="1:8">
      <c r="H12434" t="s">
        <v>29148</v>
      </c>
    </row>
    <row r="12435" spans="1:8">
      <c r="A12435" t="s">
        <v>1614</v>
      </c>
      <c r="B12435">
        <f>HYPERLINK("https://android.googlesource.com/platform/cts/+/0ce07e984c6133dc7e2aab6133e71ba31fb43f1b", "0ce07e984c6133dc7e2aab6133e71ba31fb43f1b")</f>
        <v>0</v>
      </c>
      <c r="C12435">
        <f>HYPERLINK("https://android.googlesource.com/platform/cts/+/9ba11729349ba2572cd751974c76d72860dc4159", "9ba11729349ba2572cd751974c76d72860dc4159")</f>
        <v>0</v>
      </c>
      <c r="D12435" t="s">
        <v>5221</v>
      </c>
      <c r="E12435" t="s">
        <v>7375</v>
      </c>
      <c r="F12435" t="s">
        <v>13298</v>
      </c>
      <c r="G12435" t="s">
        <v>17434</v>
      </c>
      <c r="H12435" t="s">
        <v>29149</v>
      </c>
    </row>
    <row r="12436" spans="1:8">
      <c r="A12436" t="s">
        <v>1615</v>
      </c>
      <c r="B12436">
        <f>HYPERLINK("https://android.googlesource.com/platform/cts/+/c6063db1182e5229fac3409f5f7aec40bc797630", "c6063db1182e5229fac3409f5f7aec40bc797630")</f>
        <v>0</v>
      </c>
      <c r="C12436">
        <f>HYPERLINK("https://android.googlesource.com/platform/cts/+/c3f0121226564ab661b249ef773fabdda086e3a4", "c3f0121226564ab661b249ef773fabdda086e3a4")</f>
        <v>0</v>
      </c>
      <c r="D12436" t="s">
        <v>5245</v>
      </c>
      <c r="E12436" t="s">
        <v>7376</v>
      </c>
      <c r="F12436" t="s">
        <v>13316</v>
      </c>
      <c r="G12436" t="s">
        <v>17447</v>
      </c>
      <c r="H12436" t="s">
        <v>29150</v>
      </c>
    </row>
    <row r="12437" spans="1:8">
      <c r="A12437" t="s">
        <v>1616</v>
      </c>
      <c r="B12437">
        <f>HYPERLINK("https://android.googlesource.com/platform/cts/+/94b3b550454af64b20dfde87c414640becbd69e7", "94b3b550454af64b20dfde87c414640becbd69e7")</f>
        <v>0</v>
      </c>
      <c r="C12437">
        <f>HYPERLINK("https://android.googlesource.com/platform/cts/+/d550bd304420581343822cca7a121d06eae5eba9", "d550bd304420581343822cca7a121d06eae5eba9")</f>
        <v>0</v>
      </c>
      <c r="D12437" t="s">
        <v>5134</v>
      </c>
      <c r="E12437" t="s">
        <v>7377</v>
      </c>
      <c r="F12437" t="s">
        <v>13230</v>
      </c>
      <c r="G12437" t="s">
        <v>17371</v>
      </c>
      <c r="H12437" t="s">
        <v>29151</v>
      </c>
    </row>
    <row r="12438" spans="1:8">
      <c r="A12438" t="s">
        <v>1618</v>
      </c>
      <c r="B12438">
        <f>HYPERLINK("https://android.googlesource.com/platform/cts/+/c27fcc2b4804a1869f178fb0eef68ff53b94eac9", "c27fcc2b4804a1869f178fb0eef68ff53b94eac9")</f>
        <v>0</v>
      </c>
      <c r="C12438">
        <f>HYPERLINK("https://android.googlesource.com/platform/cts/+/d6a61e047471a52019df334e69d04b5ca90703ad", "d6a61e047471a52019df334e69d04b5ca90703ad")</f>
        <v>0</v>
      </c>
      <c r="D12438" t="s">
        <v>5247</v>
      </c>
      <c r="E12438" t="s">
        <v>7379</v>
      </c>
      <c r="F12438" t="s">
        <v>10659</v>
      </c>
      <c r="G12438" t="s">
        <v>15060</v>
      </c>
      <c r="H12438" t="s">
        <v>29152</v>
      </c>
    </row>
    <row r="12439" spans="1:8">
      <c r="H12439" t="s">
        <v>29153</v>
      </c>
    </row>
    <row r="12440" spans="1:8">
      <c r="H12440" t="s">
        <v>29154</v>
      </c>
    </row>
    <row r="12441" spans="1:8">
      <c r="A12441" t="s">
        <v>1620</v>
      </c>
      <c r="B12441">
        <f>HYPERLINK("https://android.googlesource.com/platform/cts/+/0207ceedd65acc3210e62a66b9769c7894c3529e", "0207ceedd65acc3210e62a66b9769c7894c3529e")</f>
        <v>0</v>
      </c>
      <c r="C12441">
        <f>HYPERLINK("https://android.googlesource.com/platform/cts/+/113f5736a45d1f5528f6660800460b5dcef87aa2", "113f5736a45d1f5528f6660800460b5dcef87aa2")</f>
        <v>0</v>
      </c>
      <c r="D12441" t="s">
        <v>5117</v>
      </c>
      <c r="E12441" t="s">
        <v>7381</v>
      </c>
      <c r="F12441" t="s">
        <v>13241</v>
      </c>
      <c r="G12441" t="s">
        <v>17381</v>
      </c>
      <c r="H12441" t="s">
        <v>29156</v>
      </c>
    </row>
    <row r="12442" spans="1:8">
      <c r="H12442" t="s">
        <v>29157</v>
      </c>
    </row>
    <row r="12443" spans="1:8">
      <c r="H12443" t="s">
        <v>29158</v>
      </c>
    </row>
    <row r="12444" spans="1:8">
      <c r="H12444" t="s">
        <v>29159</v>
      </c>
    </row>
    <row r="12445" spans="1:8">
      <c r="H12445" t="s">
        <v>29160</v>
      </c>
    </row>
    <row r="12446" spans="1:8">
      <c r="A12446" t="s">
        <v>1622</v>
      </c>
      <c r="B12446">
        <f>HYPERLINK("https://android.googlesource.com/platform/cts/+/9813a263965c354785f41a12bcd13c58f004a184", "9813a263965c354785f41a12bcd13c58f004a184")</f>
        <v>0</v>
      </c>
      <c r="C12446">
        <f>HYPERLINK("https://android.googlesource.com/platform/cts/+/bd3a85356a677761aabd84b41568ac3af438274e", "bd3a85356a677761aabd84b41568ac3af438274e")</f>
        <v>0</v>
      </c>
      <c r="D12446" t="s">
        <v>5125</v>
      </c>
      <c r="E12446" t="s">
        <v>7383</v>
      </c>
      <c r="F12446" t="s">
        <v>10596</v>
      </c>
      <c r="G12446" t="s">
        <v>14999</v>
      </c>
      <c r="H12446" t="s">
        <v>29161</v>
      </c>
    </row>
    <row r="12447" spans="1:8">
      <c r="A12447" t="s">
        <v>1623</v>
      </c>
      <c r="B12447">
        <f>HYPERLINK("https://android.googlesource.com/platform/cts/+/f88556f8f10cdacf1fa8c0aec2f22efc0a1846ea", "f88556f8f10cdacf1fa8c0aec2f22efc0a1846ea")</f>
        <v>0</v>
      </c>
      <c r="C12447">
        <f>HYPERLINK("https://android.googlesource.com/platform/cts/+/113f5736a45d1f5528f6660800460b5dcef87aa2", "113f5736a45d1f5528f6660800460b5dcef87aa2")</f>
        <v>0</v>
      </c>
      <c r="D12447" t="s">
        <v>5153</v>
      </c>
      <c r="E12447" t="s">
        <v>7384</v>
      </c>
      <c r="F12447" t="s">
        <v>13203</v>
      </c>
      <c r="G12447" t="s">
        <v>17345</v>
      </c>
      <c r="H12447" t="s">
        <v>29162</v>
      </c>
    </row>
    <row r="12448" spans="1:8">
      <c r="F12448" t="s">
        <v>13190</v>
      </c>
      <c r="G12448" t="s">
        <v>17334</v>
      </c>
      <c r="H12448" t="s">
        <v>29163</v>
      </c>
    </row>
    <row r="12449" spans="1:8">
      <c r="A12449" t="s">
        <v>1624</v>
      </c>
      <c r="B12449">
        <f>HYPERLINK("https://android.googlesource.com/platform/cts/+/86c62b976108d4e302ac59834bbac5004e6279bd", "86c62b976108d4e302ac59834bbac5004e6279bd")</f>
        <v>0</v>
      </c>
      <c r="C12449">
        <f>HYPERLINK("https://android.googlesource.com/platform/cts/+/2a4aeb16e29061d358cfbf9a03a052ddb41e800a", "2a4aeb16e29061d358cfbf9a03a052ddb41e800a")</f>
        <v>0</v>
      </c>
      <c r="D12449" t="s">
        <v>5146</v>
      </c>
      <c r="E12449" t="s">
        <v>7385</v>
      </c>
      <c r="F12449" t="s">
        <v>13318</v>
      </c>
      <c r="G12449" t="s">
        <v>17449</v>
      </c>
      <c r="H12449" t="s">
        <v>29164</v>
      </c>
    </row>
    <row r="12450" spans="1:8">
      <c r="A12450" t="s">
        <v>1627</v>
      </c>
      <c r="B12450">
        <f>HYPERLINK("https://android.googlesource.com/platform/cts/+/883fccda545906be3db121bc6b2420790747f99f", "883fccda545906be3db121bc6b2420790747f99f")</f>
        <v>0</v>
      </c>
      <c r="C12450">
        <f>HYPERLINK("https://android.googlesource.com/platform/cts/+/b46dc4767cdaa44992c2083c915d28cb1a94cc96", "b46dc4767cdaa44992c2083c915d28cb1a94cc96")</f>
        <v>0</v>
      </c>
      <c r="D12450" t="s">
        <v>5249</v>
      </c>
      <c r="E12450" t="s">
        <v>7388</v>
      </c>
      <c r="F12450" t="s">
        <v>13320</v>
      </c>
      <c r="G12450" t="s">
        <v>17451</v>
      </c>
      <c r="H12450" t="s">
        <v>29170</v>
      </c>
    </row>
    <row r="12451" spans="1:8">
      <c r="A12451" t="s">
        <v>1628</v>
      </c>
      <c r="B12451">
        <f>HYPERLINK("https://android.googlesource.com/platform/cts/+/10a335f759d64a4a2650426804d2fd4715b01eeb", "10a335f759d64a4a2650426804d2fd4715b01eeb")</f>
        <v>0</v>
      </c>
      <c r="C12451">
        <f>HYPERLINK("https://android.googlesource.com/platform/cts/+/b9506cb6329f93587fb9355cdae534ecd0de4c03", "b9506cb6329f93587fb9355cdae534ecd0de4c03")</f>
        <v>0</v>
      </c>
      <c r="D12451" t="s">
        <v>5117</v>
      </c>
      <c r="E12451" t="s">
        <v>7389</v>
      </c>
      <c r="F12451" t="s">
        <v>13321</v>
      </c>
      <c r="G12451" t="s">
        <v>17452</v>
      </c>
      <c r="H12451" t="s">
        <v>29171</v>
      </c>
    </row>
    <row r="12452" spans="1:8">
      <c r="A12452" t="s">
        <v>1629</v>
      </c>
      <c r="B12452">
        <f>HYPERLINK("https://android.googlesource.com/platform/cts/+/4938b4d5ef8f2246784e919113331420ae541208", "4938b4d5ef8f2246784e919113331420ae541208")</f>
        <v>0</v>
      </c>
      <c r="C12452">
        <f>HYPERLINK("https://android.googlesource.com/platform/cts/+/12644d30d10a3c25826cd4b2f0a20bc645d464a5", "12644d30d10a3c25826cd4b2f0a20bc645d464a5")</f>
        <v>0</v>
      </c>
      <c r="D12452" t="s">
        <v>4952</v>
      </c>
      <c r="E12452" t="s">
        <v>7390</v>
      </c>
      <c r="F12452" t="s">
        <v>12222</v>
      </c>
      <c r="G12452" t="s">
        <v>16452</v>
      </c>
      <c r="H12452" t="s">
        <v>29172</v>
      </c>
    </row>
    <row r="12453" spans="1:8">
      <c r="A12453" t="s">
        <v>1630</v>
      </c>
      <c r="B12453">
        <f>HYPERLINK("https://android.googlesource.com/platform/cts/+/3f351fc68277139f983c94164db50b2d0417bf93", "3f351fc68277139f983c94164db50b2d0417bf93")</f>
        <v>0</v>
      </c>
      <c r="C12453">
        <f>HYPERLINK("https://android.googlesource.com/platform/cts/+/377dff601f57f39d0eb4996c18a3c96e1c34b9b9", "377dff601f57f39d0eb4996c18a3c96e1c34b9b9")</f>
        <v>0</v>
      </c>
      <c r="D12453" t="s">
        <v>5228</v>
      </c>
      <c r="E12453" t="s">
        <v>7391</v>
      </c>
      <c r="F12453" t="s">
        <v>13256</v>
      </c>
      <c r="G12453" t="s">
        <v>17394</v>
      </c>
      <c r="H12453" t="s">
        <v>29173</v>
      </c>
    </row>
    <row r="12454" spans="1:8">
      <c r="H12454" t="s">
        <v>29174</v>
      </c>
    </row>
    <row r="12455" spans="1:8">
      <c r="F12455" t="s">
        <v>13322</v>
      </c>
      <c r="G12455" t="s">
        <v>17453</v>
      </c>
      <c r="H12455" t="s">
        <v>29175</v>
      </c>
    </row>
    <row r="12456" spans="1:8">
      <c r="A12456" t="s">
        <v>1631</v>
      </c>
      <c r="B12456">
        <f>HYPERLINK("https://android.googlesource.com/platform/cts/+/5a575804da7060c87dc88721137b2760ba77b10e", "5a575804da7060c87dc88721137b2760ba77b10e")</f>
        <v>0</v>
      </c>
      <c r="C12456">
        <f>HYPERLINK("https://android.googlesource.com/platform/cts/+/c24a1ea50b15cd38c748f07502d0cccad9b9d96b", "c24a1ea50b15cd38c748f07502d0cccad9b9d96b")</f>
        <v>0</v>
      </c>
      <c r="D12456" t="s">
        <v>5038</v>
      </c>
      <c r="E12456" t="s">
        <v>7392</v>
      </c>
      <c r="F12456" t="s">
        <v>13323</v>
      </c>
      <c r="G12456" t="s">
        <v>17454</v>
      </c>
      <c r="H12456" t="s">
        <v>29176</v>
      </c>
    </row>
    <row r="12457" spans="1:8">
      <c r="H12457" t="s">
        <v>29177</v>
      </c>
    </row>
    <row r="12458" spans="1:8">
      <c r="H12458" t="s">
        <v>29178</v>
      </c>
    </row>
    <row r="12459" spans="1:8">
      <c r="H12459" t="s">
        <v>29179</v>
      </c>
    </row>
    <row r="12460" spans="1:8">
      <c r="H12460" t="s">
        <v>29180</v>
      </c>
    </row>
    <row r="12461" spans="1:8">
      <c r="H12461" t="s">
        <v>29181</v>
      </c>
    </row>
    <row r="12462" spans="1:8">
      <c r="A12462" t="s">
        <v>1632</v>
      </c>
      <c r="B12462">
        <f>HYPERLINK("https://android.googlesource.com/platform/cts/+/86acc4015bd61a081ca8b79f22ab471ca0e9e4f7", "86acc4015bd61a081ca8b79f22ab471ca0e9e4f7")</f>
        <v>0</v>
      </c>
      <c r="C12462">
        <f>HYPERLINK("https://android.googlesource.com/platform/cts/+/ed6a097fa82e6ce3eb30ed85d65fd229ac6dded8", "ed6a097fa82e6ce3eb30ed85d65fd229ac6dded8")</f>
        <v>0</v>
      </c>
      <c r="D12462" t="s">
        <v>5216</v>
      </c>
      <c r="E12462" t="s">
        <v>7393</v>
      </c>
      <c r="F12462" t="s">
        <v>13324</v>
      </c>
      <c r="G12462" t="s">
        <v>17455</v>
      </c>
      <c r="H12462" t="s">
        <v>29182</v>
      </c>
    </row>
    <row r="12463" spans="1:8">
      <c r="H12463" t="s">
        <v>29183</v>
      </c>
    </row>
    <row r="12464" spans="1:8">
      <c r="A12464" t="s">
        <v>1634</v>
      </c>
      <c r="B12464">
        <f>HYPERLINK("https://android.googlesource.com/platform/cts/+/773de498feb509c58075b5655749497b9edf09ab", "773de498feb509c58075b5655749497b9edf09ab")</f>
        <v>0</v>
      </c>
      <c r="C12464">
        <f>HYPERLINK("https://android.googlesource.com/platform/cts/+/5117a58ddd340b64c294fa98a9f0691678edd8bd", "5117a58ddd340b64c294fa98a9f0691678edd8bd")</f>
        <v>0</v>
      </c>
      <c r="D12464" t="s">
        <v>5169</v>
      </c>
      <c r="E12464" t="s">
        <v>7395</v>
      </c>
      <c r="F12464" t="s">
        <v>12895</v>
      </c>
      <c r="G12464" t="s">
        <v>17062</v>
      </c>
      <c r="H12464" t="s">
        <v>29185</v>
      </c>
    </row>
    <row r="12465" spans="1:8">
      <c r="H12465" t="s">
        <v>29186</v>
      </c>
    </row>
    <row r="12466" spans="1:8">
      <c r="H12466" t="s">
        <v>29187</v>
      </c>
    </row>
    <row r="12467" spans="1:8">
      <c r="H12467" t="s">
        <v>29188</v>
      </c>
    </row>
    <row r="12468" spans="1:8">
      <c r="H12468" t="s">
        <v>29189</v>
      </c>
    </row>
    <row r="12469" spans="1:8">
      <c r="H12469" t="s">
        <v>29190</v>
      </c>
    </row>
    <row r="12470" spans="1:8">
      <c r="H12470" t="s">
        <v>29191</v>
      </c>
    </row>
    <row r="12471" spans="1:8">
      <c r="H12471" t="s">
        <v>29192</v>
      </c>
    </row>
    <row r="12472" spans="1:8">
      <c r="H12472" t="s">
        <v>29193</v>
      </c>
    </row>
    <row r="12473" spans="1:8">
      <c r="H12473" t="s">
        <v>29194</v>
      </c>
    </row>
    <row r="12474" spans="1:8">
      <c r="H12474" t="s">
        <v>29195</v>
      </c>
    </row>
    <row r="12475" spans="1:8">
      <c r="H12475" t="s">
        <v>29196</v>
      </c>
    </row>
    <row r="12476" spans="1:8">
      <c r="H12476" t="s">
        <v>29197</v>
      </c>
    </row>
    <row r="12477" spans="1:8">
      <c r="H12477" t="s">
        <v>29198</v>
      </c>
    </row>
    <row r="12478" spans="1:8">
      <c r="A12478" t="s">
        <v>1635</v>
      </c>
      <c r="B12478">
        <f>HYPERLINK("https://android.googlesource.com/platform/cts/+/d3e185ac001ba84d0efa5be69dbfdd328c759cf3", "d3e185ac001ba84d0efa5be69dbfdd328c759cf3")</f>
        <v>0</v>
      </c>
      <c r="C12478">
        <f>HYPERLINK("https://android.googlesource.com/platform/cts/+/9aca2a73bfc04c9443a7d3b04a0b796f5f06891a", "9aca2a73bfc04c9443a7d3b04a0b796f5f06891a")</f>
        <v>0</v>
      </c>
      <c r="D12478" t="s">
        <v>5163</v>
      </c>
      <c r="E12478" t="s">
        <v>7396</v>
      </c>
      <c r="F12478" t="s">
        <v>13325</v>
      </c>
      <c r="G12478" t="s">
        <v>17456</v>
      </c>
      <c r="H12478" t="s">
        <v>29203</v>
      </c>
    </row>
    <row r="12479" spans="1:8">
      <c r="A12479" t="s">
        <v>1636</v>
      </c>
      <c r="B12479">
        <f>HYPERLINK("https://android.googlesource.com/platform/cts/+/274f3552effd7d59ff0ee2ced9fc5872541eba9f", "274f3552effd7d59ff0ee2ced9fc5872541eba9f")</f>
        <v>0</v>
      </c>
      <c r="C12479">
        <f>HYPERLINK("https://android.googlesource.com/platform/cts/+/8f43b55c939164fa93bc06c34ca1b2af04d0fee7", "8f43b55c939164fa93bc06c34ca1b2af04d0fee7")</f>
        <v>0</v>
      </c>
      <c r="D12479" t="s">
        <v>5250</v>
      </c>
      <c r="E12479" t="s">
        <v>7397</v>
      </c>
      <c r="F12479" t="s">
        <v>10625</v>
      </c>
      <c r="G12479" t="s">
        <v>15028</v>
      </c>
      <c r="H12479" t="s">
        <v>29216</v>
      </c>
    </row>
    <row r="12480" spans="1:8">
      <c r="H12480" t="s">
        <v>29217</v>
      </c>
    </row>
    <row r="12481" spans="1:8">
      <c r="A12481" t="s">
        <v>1641</v>
      </c>
      <c r="B12481">
        <f>HYPERLINK("https://android.googlesource.com/platform/cts/+/5ffd7064eba6ef108da6c00815b58a5341dfc66b", "5ffd7064eba6ef108da6c00815b58a5341dfc66b")</f>
        <v>0</v>
      </c>
      <c r="C12481">
        <f>HYPERLINK("https://android.googlesource.com/platform/cts/+/39d462740e6dfb8afce275d4be93294018eabe8c", "39d462740e6dfb8afce275d4be93294018eabe8c")</f>
        <v>0</v>
      </c>
      <c r="D12481" t="s">
        <v>5251</v>
      </c>
      <c r="E12481" t="s">
        <v>7402</v>
      </c>
      <c r="F12481" t="s">
        <v>13329</v>
      </c>
      <c r="G12481" t="s">
        <v>17459</v>
      </c>
      <c r="H12481" t="s">
        <v>29222</v>
      </c>
    </row>
    <row r="12482" spans="1:8">
      <c r="A12482" t="s">
        <v>1644</v>
      </c>
      <c r="B12482">
        <f>HYPERLINK("https://android.googlesource.com/platform/cts/+/48f1a7bd20f5287061b80149cf4fe1ff0b4d4f13", "48f1a7bd20f5287061b80149cf4fe1ff0b4d4f13")</f>
        <v>0</v>
      </c>
      <c r="C12482">
        <f>HYPERLINK("https://android.googlesource.com/platform/cts/+/e8ddc79ad79915cb7df91841a42d9536220e86db", "e8ddc79ad79915cb7df91841a42d9536220e86db")</f>
        <v>0</v>
      </c>
      <c r="D12482" t="s">
        <v>5252</v>
      </c>
      <c r="E12482" t="s">
        <v>7405</v>
      </c>
      <c r="F12482" t="s">
        <v>13330</v>
      </c>
      <c r="G12482" t="s">
        <v>17460</v>
      </c>
      <c r="H12482" t="s">
        <v>29224</v>
      </c>
    </row>
    <row r="12483" spans="1:8">
      <c r="A12483" t="s">
        <v>1647</v>
      </c>
      <c r="B12483">
        <f>HYPERLINK("https://android.googlesource.com/platform/cts/+/c6b8a08f4356649e1ab9f0a043622bdfe4d34c20", "c6b8a08f4356649e1ab9f0a043622bdfe4d34c20")</f>
        <v>0</v>
      </c>
      <c r="C12483">
        <f>HYPERLINK("https://android.googlesource.com/platform/cts/+/58a88d15d921b2ef3a36366cb456fc07e5449c8b", "58a88d15d921b2ef3a36366cb456fc07e5449c8b")</f>
        <v>0</v>
      </c>
      <c r="D12483" t="s">
        <v>4981</v>
      </c>
      <c r="E12483" t="s">
        <v>7408</v>
      </c>
      <c r="F12483" t="s">
        <v>13261</v>
      </c>
      <c r="G12483" t="s">
        <v>17399</v>
      </c>
      <c r="H12483" t="s">
        <v>29231</v>
      </c>
    </row>
    <row r="12484" spans="1:8">
      <c r="A12484" t="s">
        <v>1648</v>
      </c>
      <c r="B12484">
        <f>HYPERLINK("https://android.googlesource.com/platform/cts/+/5f006bf6256ac47900a72442c40d6e4d14473c90", "5f006bf6256ac47900a72442c40d6e4d14473c90")</f>
        <v>0</v>
      </c>
      <c r="C12484">
        <f>HYPERLINK("https://android.googlesource.com/platform/cts/+/e2a1a9e5d9aef1567485a7fad41a6309ea5a7010", "e2a1a9e5d9aef1567485a7fad41a6309ea5a7010")</f>
        <v>0</v>
      </c>
      <c r="D12484" t="s">
        <v>5125</v>
      </c>
      <c r="E12484" t="s">
        <v>7409</v>
      </c>
      <c r="F12484" t="s">
        <v>13336</v>
      </c>
      <c r="G12484" t="s">
        <v>17466</v>
      </c>
      <c r="H12484" t="s">
        <v>29250</v>
      </c>
    </row>
    <row r="12485" spans="1:8">
      <c r="A12485" t="s">
        <v>1652</v>
      </c>
      <c r="B12485">
        <f>HYPERLINK("https://android.googlesource.com/platform/cts/+/5a69a63bd4f5a9533312c09f00bdd0404620b1f9", "5a69a63bd4f5a9533312c09f00bdd0404620b1f9")</f>
        <v>0</v>
      </c>
      <c r="C12485">
        <f>HYPERLINK("https://android.googlesource.com/platform/cts/+/66562c058c978be66d333f7a641cb7959049e0ba", "66562c058c978be66d333f7a641cb7959049e0ba")</f>
        <v>0</v>
      </c>
      <c r="D12485" t="s">
        <v>4974</v>
      </c>
      <c r="E12485" t="s">
        <v>7413</v>
      </c>
      <c r="F12485" t="s">
        <v>12710</v>
      </c>
      <c r="G12485" t="s">
        <v>16911</v>
      </c>
      <c r="H12485" t="s">
        <v>29256</v>
      </c>
    </row>
    <row r="12486" spans="1:8">
      <c r="H12486" t="s">
        <v>29257</v>
      </c>
    </row>
    <row r="12487" spans="1:8">
      <c r="H12487" t="s">
        <v>29258</v>
      </c>
    </row>
    <row r="12488" spans="1:8">
      <c r="A12488" t="s">
        <v>1654</v>
      </c>
      <c r="B12488">
        <f>HYPERLINK("https://android.googlesource.com/platform/cts/+/74e17361be356ff8a46c96989f4e67a34e345ce4", "74e17361be356ff8a46c96989f4e67a34e345ce4")</f>
        <v>0</v>
      </c>
      <c r="C12488">
        <f>HYPERLINK("https://android.googlesource.com/platform/cts/+/6c11e6dd7b660544650fb8fbccb924b75b227a74", "6c11e6dd7b660544650fb8fbccb924b75b227a74")</f>
        <v>0</v>
      </c>
      <c r="D12488" t="s">
        <v>5132</v>
      </c>
      <c r="E12488" t="s">
        <v>7414</v>
      </c>
      <c r="F12488" t="s">
        <v>13338</v>
      </c>
      <c r="G12488" t="s">
        <v>17468</v>
      </c>
      <c r="H12488" t="s">
        <v>29262</v>
      </c>
    </row>
    <row r="12489" spans="1:8">
      <c r="A12489" t="s">
        <v>1656</v>
      </c>
      <c r="B12489">
        <f>HYPERLINK("https://android.googlesource.com/platform/cts/+/5148a3338ec3e0833d49047f8d478776b6686ad0", "5148a3338ec3e0833d49047f8d478776b6686ad0")</f>
        <v>0</v>
      </c>
      <c r="C12489">
        <f>HYPERLINK("https://android.googlesource.com/platform/cts/+/02c12dde10d73f9a17a0e7fd957094ecb0f4678e", "02c12dde10d73f9a17a0e7fd957094ecb0f4678e")</f>
        <v>0</v>
      </c>
      <c r="D12489" t="s">
        <v>5239</v>
      </c>
      <c r="E12489" t="s">
        <v>7416</v>
      </c>
      <c r="F12489" t="s">
        <v>10687</v>
      </c>
      <c r="G12489" t="s">
        <v>15087</v>
      </c>
      <c r="H12489" t="s">
        <v>29084</v>
      </c>
    </row>
    <row r="12490" spans="1:8">
      <c r="A12490" t="s">
        <v>1658</v>
      </c>
      <c r="B12490">
        <f>HYPERLINK("https://android.googlesource.com/platform/cts/+/5384ec0341ad4a8110bf4fd80c76d667618f8706", "5384ec0341ad4a8110bf4fd80c76d667618f8706")</f>
        <v>0</v>
      </c>
      <c r="C12490">
        <f>HYPERLINK("https://android.googlesource.com/platform/cts/+/5513323484daba314c3715aa5a4b2532a2fe5417", "5513323484daba314c3715aa5a4b2532a2fe5417")</f>
        <v>0</v>
      </c>
      <c r="D12490" t="s">
        <v>4974</v>
      </c>
      <c r="E12490" t="s">
        <v>7418</v>
      </c>
      <c r="F12490" t="s">
        <v>12710</v>
      </c>
      <c r="G12490" t="s">
        <v>16911</v>
      </c>
      <c r="H12490" t="s">
        <v>29267</v>
      </c>
    </row>
    <row r="12491" spans="1:8">
      <c r="A12491" t="s">
        <v>1660</v>
      </c>
      <c r="B12491">
        <f>HYPERLINK("https://android.googlesource.com/platform/cts/+/67d8501d4667cba8a6e2ddc64f3db54880831d2f", "67d8501d4667cba8a6e2ddc64f3db54880831d2f")</f>
        <v>0</v>
      </c>
      <c r="C12491">
        <f>HYPERLINK("https://android.googlesource.com/platform/cts/+/17415fa2106275cddf97b9f0ce6361cca1088a88", "17415fa2106275cddf97b9f0ce6361cca1088a88")</f>
        <v>0</v>
      </c>
      <c r="D12491" t="s">
        <v>5125</v>
      </c>
      <c r="E12491" t="s">
        <v>7420</v>
      </c>
      <c r="F12491" t="s">
        <v>13340</v>
      </c>
      <c r="G12491" t="s">
        <v>16431</v>
      </c>
      <c r="H12491" t="s">
        <v>21245</v>
      </c>
    </row>
    <row r="12492" spans="1:8">
      <c r="H12492" t="s">
        <v>21246</v>
      </c>
    </row>
    <row r="12493" spans="1:8">
      <c r="F12493" t="s">
        <v>10722</v>
      </c>
      <c r="G12493" t="s">
        <v>15121</v>
      </c>
      <c r="H12493" t="s">
        <v>18836</v>
      </c>
    </row>
    <row r="12494" spans="1:8">
      <c r="H12494" t="s">
        <v>29268</v>
      </c>
    </row>
    <row r="12495" spans="1:8">
      <c r="H12495" t="s">
        <v>29269</v>
      </c>
    </row>
    <row r="12496" spans="1:8">
      <c r="H12496" t="s">
        <v>29270</v>
      </c>
    </row>
    <row r="12497" spans="8:8">
      <c r="H12497" t="s">
        <v>29271</v>
      </c>
    </row>
    <row r="12498" spans="8:8">
      <c r="H12498" t="s">
        <v>29272</v>
      </c>
    </row>
    <row r="12499" spans="8:8">
      <c r="H12499" t="s">
        <v>29273</v>
      </c>
    </row>
    <row r="12500" spans="8:8">
      <c r="H12500" t="s">
        <v>29274</v>
      </c>
    </row>
    <row r="12501" spans="8:8">
      <c r="H12501" t="s">
        <v>29275</v>
      </c>
    </row>
    <row r="12502" spans="8:8">
      <c r="H12502" t="s">
        <v>29276</v>
      </c>
    </row>
    <row r="12503" spans="8:8">
      <c r="H12503" t="s">
        <v>29277</v>
      </c>
    </row>
    <row r="12504" spans="8:8">
      <c r="H12504" t="s">
        <v>29278</v>
      </c>
    </row>
    <row r="12505" spans="8:8">
      <c r="H12505" t="s">
        <v>29279</v>
      </c>
    </row>
    <row r="12506" spans="8:8">
      <c r="H12506" t="s">
        <v>29280</v>
      </c>
    </row>
    <row r="12507" spans="8:8">
      <c r="H12507" t="s">
        <v>29281</v>
      </c>
    </row>
    <row r="12508" spans="8:8">
      <c r="H12508" t="s">
        <v>29282</v>
      </c>
    </row>
    <row r="12509" spans="8:8">
      <c r="H12509" t="s">
        <v>29283</v>
      </c>
    </row>
    <row r="12510" spans="8:8">
      <c r="H12510" t="s">
        <v>29284</v>
      </c>
    </row>
    <row r="12511" spans="8:8">
      <c r="H12511" t="s">
        <v>29285</v>
      </c>
    </row>
    <row r="12512" spans="8:8">
      <c r="H12512" t="s">
        <v>29286</v>
      </c>
    </row>
    <row r="12513" spans="6:8">
      <c r="H12513" t="s">
        <v>29287</v>
      </c>
    </row>
    <row r="12514" spans="6:8">
      <c r="H12514" t="s">
        <v>29288</v>
      </c>
    </row>
    <row r="12515" spans="6:8">
      <c r="H12515" t="s">
        <v>29289</v>
      </c>
    </row>
    <row r="12516" spans="6:8">
      <c r="H12516" t="s">
        <v>19220</v>
      </c>
    </row>
    <row r="12517" spans="6:8">
      <c r="H12517" t="s">
        <v>19258</v>
      </c>
    </row>
    <row r="12518" spans="6:8">
      <c r="H12518" t="s">
        <v>18979</v>
      </c>
    </row>
    <row r="12519" spans="6:8">
      <c r="F12519" t="s">
        <v>13090</v>
      </c>
      <c r="G12519" t="s">
        <v>17252</v>
      </c>
      <c r="H12519" t="s">
        <v>29306</v>
      </c>
    </row>
    <row r="12520" spans="6:8">
      <c r="F12520" t="s">
        <v>11471</v>
      </c>
      <c r="G12520" t="s">
        <v>15711</v>
      </c>
      <c r="H12520" t="s">
        <v>29316</v>
      </c>
    </row>
    <row r="12521" spans="6:8">
      <c r="H12521" t="s">
        <v>29317</v>
      </c>
    </row>
    <row r="12522" spans="6:8">
      <c r="H12522" t="s">
        <v>29318</v>
      </c>
    </row>
    <row r="12523" spans="6:8">
      <c r="H12523" t="s">
        <v>29319</v>
      </c>
    </row>
    <row r="12524" spans="6:8">
      <c r="H12524" t="s">
        <v>29320</v>
      </c>
    </row>
    <row r="12525" spans="6:8">
      <c r="H12525" t="s">
        <v>29321</v>
      </c>
    </row>
    <row r="12526" spans="6:8">
      <c r="H12526" t="s">
        <v>29322</v>
      </c>
    </row>
    <row r="12527" spans="6:8">
      <c r="H12527" t="s">
        <v>29323</v>
      </c>
    </row>
    <row r="12528" spans="6:8">
      <c r="H12528" t="s">
        <v>29325</v>
      </c>
    </row>
    <row r="12529" spans="6:8">
      <c r="H12529" t="s">
        <v>29326</v>
      </c>
    </row>
    <row r="12530" spans="6:8">
      <c r="H12530" t="s">
        <v>29327</v>
      </c>
    </row>
    <row r="12531" spans="6:8">
      <c r="H12531" t="s">
        <v>29328</v>
      </c>
    </row>
    <row r="12532" spans="6:8">
      <c r="F12532" t="s">
        <v>13091</v>
      </c>
      <c r="G12532" t="s">
        <v>17253</v>
      </c>
      <c r="H12532" t="s">
        <v>29329</v>
      </c>
    </row>
    <row r="12533" spans="6:8">
      <c r="H12533" t="s">
        <v>29330</v>
      </c>
    </row>
    <row r="12534" spans="6:8">
      <c r="F12534" t="s">
        <v>10746</v>
      </c>
      <c r="G12534" t="s">
        <v>15145</v>
      </c>
      <c r="H12534" t="s">
        <v>29331</v>
      </c>
    </row>
    <row r="12535" spans="6:8">
      <c r="F12535" t="s">
        <v>13081</v>
      </c>
      <c r="G12535" t="s">
        <v>17243</v>
      </c>
      <c r="H12535" t="s">
        <v>27720</v>
      </c>
    </row>
    <row r="12536" spans="6:8">
      <c r="H12536" t="s">
        <v>29336</v>
      </c>
    </row>
    <row r="12537" spans="6:8">
      <c r="H12537" t="s">
        <v>29337</v>
      </c>
    </row>
    <row r="12538" spans="6:8">
      <c r="H12538" t="s">
        <v>29338</v>
      </c>
    </row>
    <row r="12539" spans="6:8">
      <c r="H12539" t="s">
        <v>29339</v>
      </c>
    </row>
    <row r="12540" spans="6:8">
      <c r="F12540" t="s">
        <v>13338</v>
      </c>
      <c r="G12540" t="s">
        <v>17468</v>
      </c>
      <c r="H12540" t="s">
        <v>29341</v>
      </c>
    </row>
    <row r="12541" spans="6:8">
      <c r="F12541" t="s">
        <v>12857</v>
      </c>
      <c r="G12541" t="s">
        <v>17027</v>
      </c>
      <c r="H12541" t="s">
        <v>29342</v>
      </c>
    </row>
    <row r="12542" spans="6:8">
      <c r="H12542" t="s">
        <v>29343</v>
      </c>
    </row>
    <row r="12543" spans="6:8">
      <c r="H12543" t="s">
        <v>29344</v>
      </c>
    </row>
    <row r="12544" spans="6:8">
      <c r="H12544" t="s">
        <v>29345</v>
      </c>
    </row>
    <row r="12545" spans="1:8">
      <c r="A12545" t="s">
        <v>1661</v>
      </c>
      <c r="B12545">
        <f>HYPERLINK("https://android.googlesource.com/platform/cts/+/39a3a6f8fe03d18a497d358859fe031be1971381", "39a3a6f8fe03d18a497d358859fe031be1971381")</f>
        <v>0</v>
      </c>
      <c r="C12545">
        <f>HYPERLINK("https://android.googlesource.com/platform/cts/+/66f165a05785e7e010e0e62db0e7d103ba255ff2", "66f165a05785e7e010e0e62db0e7d103ba255ff2")</f>
        <v>0</v>
      </c>
      <c r="D12545" t="s">
        <v>4952</v>
      </c>
      <c r="E12545" t="s">
        <v>7421</v>
      </c>
      <c r="F12545" t="s">
        <v>12222</v>
      </c>
      <c r="G12545" t="s">
        <v>16452</v>
      </c>
      <c r="H12545" t="s">
        <v>29172</v>
      </c>
    </row>
    <row r="12546" spans="1:8">
      <c r="A12546" t="s">
        <v>1662</v>
      </c>
      <c r="B12546">
        <f>HYPERLINK("https://android.googlesource.com/platform/cts/+/c4e0e9530d2146f25899deddb46d9ff32a69b71d", "c4e0e9530d2146f25899deddb46d9ff32a69b71d")</f>
        <v>0</v>
      </c>
      <c r="C12546">
        <f>HYPERLINK("https://android.googlesource.com/platform/cts/+/2dd3a197cb84c95ea31b3e58132fcd8c10db3726", "2dd3a197cb84c95ea31b3e58132fcd8c10db3726")</f>
        <v>0</v>
      </c>
      <c r="D12546" t="s">
        <v>5134</v>
      </c>
      <c r="E12546" t="s">
        <v>7422</v>
      </c>
      <c r="F12546" t="s">
        <v>13341</v>
      </c>
      <c r="G12546" t="s">
        <v>17470</v>
      </c>
      <c r="H12546" t="s">
        <v>20440</v>
      </c>
    </row>
    <row r="12547" spans="1:8">
      <c r="H12547" t="s">
        <v>20441</v>
      </c>
    </row>
    <row r="12548" spans="1:8">
      <c r="A12548" t="s">
        <v>1663</v>
      </c>
      <c r="B12548">
        <f>HYPERLINK("https://android.googlesource.com/platform/cts/+/94cf78b794bab790856b75dc4e285a73794182a6", "94cf78b794bab790856b75dc4e285a73794182a6")</f>
        <v>0</v>
      </c>
      <c r="C12548">
        <f>HYPERLINK("https://android.googlesource.com/platform/cts/+/42bc75bd71d6aa4572bfde94ca1e00bfaae86bd7", "42bc75bd71d6aa4572bfde94ca1e00bfaae86bd7")</f>
        <v>0</v>
      </c>
      <c r="D12548" t="s">
        <v>5176</v>
      </c>
      <c r="E12548" t="s">
        <v>7423</v>
      </c>
      <c r="F12548" t="s">
        <v>12953</v>
      </c>
      <c r="G12548" t="s">
        <v>17118</v>
      </c>
      <c r="H12548" t="s">
        <v>29346</v>
      </c>
    </row>
    <row r="12549" spans="1:8">
      <c r="A12549" t="s">
        <v>1664</v>
      </c>
      <c r="B12549">
        <f>HYPERLINK("https://android.googlesource.com/platform/cts/+/feea9012c87cdb04e563c0cd28daea315617e6db", "feea9012c87cdb04e563c0cd28daea315617e6db")</f>
        <v>0</v>
      </c>
      <c r="C12549">
        <f>HYPERLINK("https://android.googlesource.com/platform/cts/+/2fdac95fe1f450f11774c97f23f626b5a12a646a", "2fdac95fe1f450f11774c97f23f626b5a12a646a")</f>
        <v>0</v>
      </c>
      <c r="D12549" t="s">
        <v>5244</v>
      </c>
      <c r="E12549" t="s">
        <v>7424</v>
      </c>
      <c r="F12549" t="s">
        <v>13227</v>
      </c>
      <c r="G12549" t="s">
        <v>17368</v>
      </c>
      <c r="H12549" t="s">
        <v>29348</v>
      </c>
    </row>
    <row r="12550" spans="1:8">
      <c r="H12550" t="s">
        <v>29349</v>
      </c>
    </row>
    <row r="12551" spans="1:8">
      <c r="H12551" t="s">
        <v>29350</v>
      </c>
    </row>
    <row r="12552" spans="1:8">
      <c r="H12552" t="s">
        <v>29351</v>
      </c>
    </row>
    <row r="12553" spans="1:8">
      <c r="A12553" t="s">
        <v>1666</v>
      </c>
      <c r="B12553">
        <f>HYPERLINK("https://android.googlesource.com/platform/cts/+/b3d5a1ed057218055c79c220905b97c972891545", "b3d5a1ed057218055c79c220905b97c972891545")</f>
        <v>0</v>
      </c>
      <c r="C12553">
        <f>HYPERLINK("https://android.googlesource.com/platform/cts/+/3573dc71085071a75fc0d18fdaee0393be9bb87a", "3573dc71085071a75fc0d18fdaee0393be9bb87a")</f>
        <v>0</v>
      </c>
      <c r="D12553" t="s">
        <v>5134</v>
      </c>
      <c r="E12553" t="s">
        <v>7426</v>
      </c>
      <c r="F12553" t="s">
        <v>13230</v>
      </c>
      <c r="G12553" t="s">
        <v>17371</v>
      </c>
      <c r="H12553" t="s">
        <v>29353</v>
      </c>
    </row>
    <row r="12554" spans="1:8">
      <c r="A12554" t="s">
        <v>1667</v>
      </c>
      <c r="B12554">
        <f>HYPERLINK("https://android.googlesource.com/platform/cts/+/38aba70dee86f7f24850f283bb5d4ea62923df76", "38aba70dee86f7f24850f283bb5d4ea62923df76")</f>
        <v>0</v>
      </c>
      <c r="C12554">
        <f>HYPERLINK("https://android.googlesource.com/platform/cts/+/6ef7ab7b6621dd6c570ecaa0165d6b7a3f17ba01", "6ef7ab7b6621dd6c570ecaa0165d6b7a3f17ba01")</f>
        <v>0</v>
      </c>
      <c r="D12554" t="s">
        <v>5111</v>
      </c>
      <c r="E12554" t="s">
        <v>7427</v>
      </c>
      <c r="F12554" t="s">
        <v>13343</v>
      </c>
      <c r="G12554" t="s">
        <v>17472</v>
      </c>
      <c r="H12554" t="s">
        <v>29354</v>
      </c>
    </row>
    <row r="12555" spans="1:8">
      <c r="H12555" t="s">
        <v>29355</v>
      </c>
    </row>
    <row r="12556" spans="1:8">
      <c r="H12556" t="s">
        <v>29356</v>
      </c>
    </row>
    <row r="12557" spans="1:8">
      <c r="H12557" t="s">
        <v>29357</v>
      </c>
    </row>
    <row r="12558" spans="1:8">
      <c r="H12558" t="s">
        <v>29358</v>
      </c>
    </row>
    <row r="12559" spans="1:8">
      <c r="H12559" t="s">
        <v>29359</v>
      </c>
    </row>
    <row r="12560" spans="1:8">
      <c r="H12560" t="s">
        <v>29360</v>
      </c>
    </row>
    <row r="12561" spans="8:8">
      <c r="H12561" t="s">
        <v>29361</v>
      </c>
    </row>
    <row r="12562" spans="8:8">
      <c r="H12562" t="s">
        <v>29362</v>
      </c>
    </row>
    <row r="12563" spans="8:8">
      <c r="H12563" t="s">
        <v>29363</v>
      </c>
    </row>
    <row r="12564" spans="8:8">
      <c r="H12564" t="s">
        <v>29364</v>
      </c>
    </row>
    <row r="12565" spans="8:8">
      <c r="H12565" t="s">
        <v>29365</v>
      </c>
    </row>
    <row r="12566" spans="8:8">
      <c r="H12566" t="s">
        <v>29366</v>
      </c>
    </row>
    <row r="12567" spans="8:8">
      <c r="H12567" t="s">
        <v>29367</v>
      </c>
    </row>
    <row r="12568" spans="8:8">
      <c r="H12568" t="s">
        <v>29368</v>
      </c>
    </row>
    <row r="12569" spans="8:8">
      <c r="H12569" t="s">
        <v>29369</v>
      </c>
    </row>
    <row r="12570" spans="8:8">
      <c r="H12570" t="s">
        <v>29370</v>
      </c>
    </row>
    <row r="12571" spans="8:8">
      <c r="H12571" t="s">
        <v>29371</v>
      </c>
    </row>
    <row r="12572" spans="8:8">
      <c r="H12572" t="s">
        <v>29372</v>
      </c>
    </row>
    <row r="12573" spans="8:8">
      <c r="H12573" t="s">
        <v>29373</v>
      </c>
    </row>
    <row r="12574" spans="8:8">
      <c r="H12574" t="s">
        <v>29374</v>
      </c>
    </row>
    <row r="12575" spans="8:8">
      <c r="H12575" t="s">
        <v>29375</v>
      </c>
    </row>
    <row r="12576" spans="8:8">
      <c r="H12576" t="s">
        <v>29376</v>
      </c>
    </row>
    <row r="12577" spans="8:8">
      <c r="H12577" t="s">
        <v>29377</v>
      </c>
    </row>
    <row r="12578" spans="8:8">
      <c r="H12578" t="s">
        <v>29378</v>
      </c>
    </row>
    <row r="12579" spans="8:8">
      <c r="H12579" t="s">
        <v>29379</v>
      </c>
    </row>
    <row r="12580" spans="8:8">
      <c r="H12580" t="s">
        <v>29380</v>
      </c>
    </row>
    <row r="12581" spans="8:8">
      <c r="H12581" t="s">
        <v>29381</v>
      </c>
    </row>
    <row r="12582" spans="8:8">
      <c r="H12582" t="s">
        <v>29382</v>
      </c>
    </row>
    <row r="12583" spans="8:8">
      <c r="H12583" t="s">
        <v>29383</v>
      </c>
    </row>
    <row r="12584" spans="8:8">
      <c r="H12584" t="s">
        <v>29384</v>
      </c>
    </row>
    <row r="12585" spans="8:8">
      <c r="H12585" t="s">
        <v>29385</v>
      </c>
    </row>
    <row r="12586" spans="8:8">
      <c r="H12586" t="s">
        <v>29386</v>
      </c>
    </row>
    <row r="12587" spans="8:8">
      <c r="H12587" t="s">
        <v>29387</v>
      </c>
    </row>
    <row r="12588" spans="8:8">
      <c r="H12588" t="s">
        <v>29388</v>
      </c>
    </row>
    <row r="12589" spans="8:8">
      <c r="H12589" t="s">
        <v>29389</v>
      </c>
    </row>
    <row r="12590" spans="8:8">
      <c r="H12590" t="s">
        <v>29390</v>
      </c>
    </row>
    <row r="12591" spans="8:8">
      <c r="H12591" t="s">
        <v>29391</v>
      </c>
    </row>
    <row r="12592" spans="8:8">
      <c r="H12592" t="s">
        <v>29392</v>
      </c>
    </row>
    <row r="12593" spans="8:8">
      <c r="H12593" t="s">
        <v>29393</v>
      </c>
    </row>
    <row r="12594" spans="8:8">
      <c r="H12594" t="s">
        <v>29394</v>
      </c>
    </row>
    <row r="12595" spans="8:8">
      <c r="H12595" t="s">
        <v>29395</v>
      </c>
    </row>
    <row r="12596" spans="8:8">
      <c r="H12596" t="s">
        <v>29396</v>
      </c>
    </row>
    <row r="12597" spans="8:8">
      <c r="H12597" t="s">
        <v>29397</v>
      </c>
    </row>
    <row r="12598" spans="8:8">
      <c r="H12598" t="s">
        <v>29398</v>
      </c>
    </row>
    <row r="12599" spans="8:8">
      <c r="H12599" t="s">
        <v>29399</v>
      </c>
    </row>
    <row r="12600" spans="8:8">
      <c r="H12600" t="s">
        <v>29400</v>
      </c>
    </row>
    <row r="12601" spans="8:8">
      <c r="H12601" t="s">
        <v>29401</v>
      </c>
    </row>
    <row r="12602" spans="8:8">
      <c r="H12602" t="s">
        <v>29402</v>
      </c>
    </row>
    <row r="12603" spans="8:8">
      <c r="H12603" t="s">
        <v>29403</v>
      </c>
    </row>
    <row r="12604" spans="8:8">
      <c r="H12604" t="s">
        <v>29404</v>
      </c>
    </row>
    <row r="12605" spans="8:8">
      <c r="H12605" t="s">
        <v>29405</v>
      </c>
    </row>
    <row r="12606" spans="8:8">
      <c r="H12606" t="s">
        <v>29406</v>
      </c>
    </row>
    <row r="12607" spans="8:8">
      <c r="H12607" t="s">
        <v>29407</v>
      </c>
    </row>
    <row r="12608" spans="8:8">
      <c r="H12608" t="s">
        <v>29408</v>
      </c>
    </row>
    <row r="12609" spans="1:8">
      <c r="H12609" t="s">
        <v>29409</v>
      </c>
    </row>
    <row r="12610" spans="1:8">
      <c r="H12610" t="s">
        <v>29410</v>
      </c>
    </row>
    <row r="12611" spans="1:8">
      <c r="H12611" t="s">
        <v>29411</v>
      </c>
    </row>
    <row r="12612" spans="1:8">
      <c r="H12612" t="s">
        <v>29412</v>
      </c>
    </row>
    <row r="12613" spans="1:8">
      <c r="H12613" t="s">
        <v>29413</v>
      </c>
    </row>
    <row r="12614" spans="1:8">
      <c r="H12614" t="s">
        <v>29414</v>
      </c>
    </row>
    <row r="12615" spans="1:8">
      <c r="A12615" t="s">
        <v>1668</v>
      </c>
      <c r="B12615">
        <f>HYPERLINK("https://android.googlesource.com/platform/cts/+/2cb7d26192a1940b8095608784611c57e0908fd7", "2cb7d26192a1940b8095608784611c57e0908fd7")</f>
        <v>0</v>
      </c>
      <c r="C12615">
        <f>HYPERLINK("https://android.googlesource.com/platform/cts/+/8f9d151902104aa8cc461bfcb639a6e2d647fe89", "8f9d151902104aa8cc461bfcb639a6e2d647fe89")</f>
        <v>0</v>
      </c>
      <c r="D12615" t="s">
        <v>5153</v>
      </c>
      <c r="E12615" t="s">
        <v>7428</v>
      </c>
      <c r="F12615" t="s">
        <v>13190</v>
      </c>
      <c r="G12615" t="s">
        <v>17334</v>
      </c>
      <c r="H12615" t="s">
        <v>28974</v>
      </c>
    </row>
    <row r="12616" spans="1:8">
      <c r="A12616" t="s">
        <v>1673</v>
      </c>
      <c r="B12616">
        <f>HYPERLINK("https://android.googlesource.com/platform/cts/+/bc54e8d160db726199c746d8270ba5d73c03f127", "bc54e8d160db726199c746d8270ba5d73c03f127")</f>
        <v>0</v>
      </c>
      <c r="C12616">
        <f>HYPERLINK("https://android.googlesource.com/platform/cts/+/b89de9e8a0cf689d3dce0a76e50e3a4f1a261da3", "b89de9e8a0cf689d3dce0a76e50e3a4f1a261da3")</f>
        <v>0</v>
      </c>
      <c r="D12616" t="s">
        <v>5248</v>
      </c>
      <c r="E12616" t="s">
        <v>7433</v>
      </c>
      <c r="F12616" t="s">
        <v>13347</v>
      </c>
      <c r="G12616" t="s">
        <v>17458</v>
      </c>
      <c r="H12616" t="s">
        <v>29420</v>
      </c>
    </row>
    <row r="12617" spans="1:8">
      <c r="H12617" t="s">
        <v>29425</v>
      </c>
    </row>
    <row r="12618" spans="1:8">
      <c r="A12618" t="s">
        <v>1676</v>
      </c>
      <c r="B12618">
        <f>HYPERLINK("https://android.googlesource.com/platform/cts/+/dbf28bf616e859b17e59c43ab96f565413d8c78d", "dbf28bf616e859b17e59c43ab96f565413d8c78d")</f>
        <v>0</v>
      </c>
      <c r="C12618">
        <f>HYPERLINK("https://android.googlesource.com/platform/cts/+/70c775a000fb83d29495306b5c7ceb902dd50938", "70c775a000fb83d29495306b5c7ceb902dd50938")</f>
        <v>0</v>
      </c>
      <c r="D12618" t="s">
        <v>5174</v>
      </c>
      <c r="E12618" t="s">
        <v>7436</v>
      </c>
      <c r="F12618" t="s">
        <v>13350</v>
      </c>
      <c r="G12618" t="s">
        <v>17477</v>
      </c>
      <c r="H12618" t="s">
        <v>29428</v>
      </c>
    </row>
    <row r="12619" spans="1:8">
      <c r="A12619" t="s">
        <v>1682</v>
      </c>
      <c r="B12619">
        <f>HYPERLINK("https://android.googlesource.com/platform/cts/+/93d133b66ca4802958653e9d4be45dc1611d38fb", "93d133b66ca4802958653e9d4be45dc1611d38fb")</f>
        <v>0</v>
      </c>
      <c r="C12619">
        <f>HYPERLINK("https://android.googlesource.com/platform/cts/+/83c967c3374356707e96ef3683c2c2e597fa2d0f", "83c967c3374356707e96ef3683c2c2e597fa2d0f")</f>
        <v>0</v>
      </c>
      <c r="D12619" t="s">
        <v>5222</v>
      </c>
      <c r="E12619" t="s">
        <v>7438</v>
      </c>
      <c r="F12619" t="s">
        <v>13352</v>
      </c>
      <c r="G12619" t="s">
        <v>17479</v>
      </c>
      <c r="H12619" t="s">
        <v>29429</v>
      </c>
    </row>
    <row r="12620" spans="1:8">
      <c r="A12620" t="s">
        <v>1683</v>
      </c>
      <c r="B12620">
        <f>HYPERLINK("https://android.googlesource.com/platform/cts/+/6b1cf9ac70c362d07081d7ca35801d243108fd93", "6b1cf9ac70c362d07081d7ca35801d243108fd93")</f>
        <v>0</v>
      </c>
      <c r="C12620">
        <f>HYPERLINK("https://android.googlesource.com/platform/cts/+/69357089886c9ab7401f039ec769f86d42c82fe4", "69357089886c9ab7401f039ec769f86d42c82fe4")</f>
        <v>0</v>
      </c>
      <c r="D12620" t="s">
        <v>5243</v>
      </c>
      <c r="E12620" t="s">
        <v>7439</v>
      </c>
      <c r="F12620" t="s">
        <v>13353</v>
      </c>
      <c r="G12620" t="s">
        <v>17480</v>
      </c>
      <c r="H12620" t="s">
        <v>29430</v>
      </c>
    </row>
    <row r="12621" spans="1:8">
      <c r="H12621" t="s">
        <v>29431</v>
      </c>
    </row>
    <row r="12622" spans="1:8">
      <c r="A12622" t="s">
        <v>1688</v>
      </c>
      <c r="B12622">
        <f>HYPERLINK("https://android.googlesource.com/platform/cts/+/ffd8d565cc3b8a32e72bede4d6f677e2024ee817", "ffd8d565cc3b8a32e72bede4d6f677e2024ee817")</f>
        <v>0</v>
      </c>
      <c r="C12622">
        <f>HYPERLINK("https://android.googlesource.com/platform/cts/+/a561dc74a9ccbced2a3777e9c632579d9bdc0de6", "a561dc74a9ccbced2a3777e9c632579d9bdc0de6")</f>
        <v>0</v>
      </c>
      <c r="D12622" t="s">
        <v>5255</v>
      </c>
      <c r="E12622" t="s">
        <v>7444</v>
      </c>
      <c r="F12622" t="s">
        <v>11443</v>
      </c>
      <c r="G12622" t="s">
        <v>15683</v>
      </c>
      <c r="H12622" t="s">
        <v>29477</v>
      </c>
    </row>
    <row r="12623" spans="1:8">
      <c r="A12623" t="s">
        <v>1690</v>
      </c>
      <c r="B12623">
        <f>HYPERLINK("https://android.googlesource.com/platform/cts/+/e1534f7a7580adaccc14d71f2b7e1c56b8ae29ad", "e1534f7a7580adaccc14d71f2b7e1c56b8ae29ad")</f>
        <v>0</v>
      </c>
      <c r="C12623">
        <f>HYPERLINK("https://android.googlesource.com/platform/cts/+/086770b481a2ecae808dd088e2222cf4a4235350", "086770b481a2ecae808dd088e2222cf4a4235350")</f>
        <v>0</v>
      </c>
      <c r="D12623" t="s">
        <v>5221</v>
      </c>
      <c r="E12623" t="s">
        <v>7446</v>
      </c>
      <c r="F12623" t="s">
        <v>13298</v>
      </c>
      <c r="G12623" t="s">
        <v>17434</v>
      </c>
      <c r="H12623" t="s">
        <v>29484</v>
      </c>
    </row>
    <row r="12624" spans="1:8">
      <c r="H12624" t="s">
        <v>29485</v>
      </c>
    </row>
    <row r="12625" spans="1:8">
      <c r="A12625" t="s">
        <v>1692</v>
      </c>
      <c r="B12625">
        <f>HYPERLINK("https://android.googlesource.com/platform/cts/+/000a9f0c6cf4ff800c5258784ad2aa962bf14ef5", "000a9f0c6cf4ff800c5258784ad2aa962bf14ef5")</f>
        <v>0</v>
      </c>
      <c r="C12625">
        <f>HYPERLINK("https://android.googlesource.com/platform/cts/+/5de9a55092a5e6f386ad103b20cf922e797fcc3d", "5de9a55092a5e6f386ad103b20cf922e797fcc3d")</f>
        <v>0</v>
      </c>
      <c r="D12625" t="s">
        <v>5215</v>
      </c>
      <c r="E12625" t="s">
        <v>7448</v>
      </c>
      <c r="F12625" t="s">
        <v>13032</v>
      </c>
      <c r="G12625" t="s">
        <v>17196</v>
      </c>
      <c r="H12625" t="s">
        <v>29486</v>
      </c>
    </row>
    <row r="12626" spans="1:8">
      <c r="H12626" t="s">
        <v>29487</v>
      </c>
    </row>
    <row r="12627" spans="1:8">
      <c r="H12627" t="s">
        <v>29488</v>
      </c>
    </row>
    <row r="12628" spans="1:8">
      <c r="A12628" t="s">
        <v>1695</v>
      </c>
      <c r="B12628">
        <f>HYPERLINK("https://android.googlesource.com/platform/cts/+/558049842ce8ec671f893b9859f9af197097964a", "558049842ce8ec671f893b9859f9af197097964a")</f>
        <v>0</v>
      </c>
      <c r="C12628">
        <f>HYPERLINK("https://android.googlesource.com/platform/cts/+/4e45605036a84257eb64b6966e6b62e15944ed53", "4e45605036a84257eb64b6966e6b62e15944ed53")</f>
        <v>0</v>
      </c>
      <c r="D12628" t="s">
        <v>5134</v>
      </c>
      <c r="E12628" t="s">
        <v>7451</v>
      </c>
      <c r="F12628" t="s">
        <v>13358</v>
      </c>
      <c r="G12628" t="s">
        <v>17485</v>
      </c>
      <c r="H12628" t="s">
        <v>29489</v>
      </c>
    </row>
    <row r="12629" spans="1:8">
      <c r="F12629" t="s">
        <v>13359</v>
      </c>
      <c r="G12629" t="s">
        <v>17486</v>
      </c>
      <c r="H12629" t="s">
        <v>29489</v>
      </c>
    </row>
    <row r="12630" spans="1:8">
      <c r="F12630" t="s">
        <v>13360</v>
      </c>
      <c r="G12630" t="s">
        <v>17487</v>
      </c>
      <c r="H12630" t="s">
        <v>29490</v>
      </c>
    </row>
    <row r="12631" spans="1:8">
      <c r="A12631" t="s">
        <v>1696</v>
      </c>
      <c r="B12631">
        <f>HYPERLINK("https://android.googlesource.com/platform/cts/+/619bccc35e15fefa90623b71a6e2f0a366b11d28", "619bccc35e15fefa90623b71a6e2f0a366b11d28")</f>
        <v>0</v>
      </c>
      <c r="C12631">
        <f>HYPERLINK("https://android.googlesource.com/platform/cts/+/558049842ce8ec671f893b9859f9af197097964a", "558049842ce8ec671f893b9859f9af197097964a")</f>
        <v>0</v>
      </c>
      <c r="D12631" t="s">
        <v>5134</v>
      </c>
      <c r="E12631" t="s">
        <v>7452</v>
      </c>
      <c r="F12631" t="s">
        <v>13361</v>
      </c>
      <c r="G12631" t="s">
        <v>17488</v>
      </c>
      <c r="H12631" t="s">
        <v>29491</v>
      </c>
    </row>
    <row r="12632" spans="1:8">
      <c r="A12632" t="s">
        <v>1701</v>
      </c>
      <c r="B12632">
        <f>HYPERLINK("https://android.googlesource.com/platform/cts/+/55ac8e34cae48bd42687924874fdeefd531a7fe0", "55ac8e34cae48bd42687924874fdeefd531a7fe0")</f>
        <v>0</v>
      </c>
      <c r="C12632">
        <f>HYPERLINK("https://android.googlesource.com/platform/cts/+/5483fb6a0e7064ce44fb31d97d0d3f30c5815fa4", "5483fb6a0e7064ce44fb31d97d0d3f30c5815fa4")</f>
        <v>0</v>
      </c>
      <c r="D12632" t="s">
        <v>5163</v>
      </c>
      <c r="E12632" t="s">
        <v>7456</v>
      </c>
      <c r="F12632" t="s">
        <v>13325</v>
      </c>
      <c r="G12632" t="s">
        <v>17456</v>
      </c>
      <c r="H12632" t="s">
        <v>29203</v>
      </c>
    </row>
    <row r="12633" spans="1:8">
      <c r="A12633" t="s">
        <v>1702</v>
      </c>
      <c r="B12633">
        <f>HYPERLINK("https://android.googlesource.com/platform/cts/+/37170b2a35525b897ca6636779545d6e7bd5097f", "37170b2a35525b897ca6636779545d6e7bd5097f")</f>
        <v>0</v>
      </c>
      <c r="C12633">
        <f>HYPERLINK("https://android.googlesource.com/platform/cts/+/300f7ed158e6648ca9af08356d783e28b0bd6e54", "300f7ed158e6648ca9af08356d783e28b0bd6e54")</f>
        <v>0</v>
      </c>
      <c r="D12633" t="s">
        <v>5163</v>
      </c>
      <c r="E12633" t="s">
        <v>7457</v>
      </c>
      <c r="F12633" t="s">
        <v>13325</v>
      </c>
      <c r="G12633" t="s">
        <v>17456</v>
      </c>
      <c r="H12633" t="s">
        <v>29203</v>
      </c>
    </row>
    <row r="12634" spans="1:8">
      <c r="A12634" t="s">
        <v>1703</v>
      </c>
      <c r="B12634">
        <f>HYPERLINK("https://android.googlesource.com/platform/cts/+/4b64d4ae01184d7335e3eeaf66a984daca620a38", "4b64d4ae01184d7335e3eeaf66a984daca620a38")</f>
        <v>0</v>
      </c>
      <c r="C12634">
        <f>HYPERLINK("https://android.googlesource.com/platform/cts/+/6affb830627d16d216942c7fcb13826fe90a1124", "6affb830627d16d216942c7fcb13826fe90a1124")</f>
        <v>0</v>
      </c>
      <c r="D12634" t="s">
        <v>5163</v>
      </c>
      <c r="E12634" t="s">
        <v>7458</v>
      </c>
      <c r="F12634" t="s">
        <v>13325</v>
      </c>
      <c r="G12634" t="s">
        <v>17456</v>
      </c>
      <c r="H12634" t="s">
        <v>29203</v>
      </c>
    </row>
    <row r="12635" spans="1:8">
      <c r="A12635" t="s">
        <v>1707</v>
      </c>
      <c r="B12635">
        <f>HYPERLINK("https://android.googlesource.com/platform/cts/+/82d248bb78d1b41eaa111eea19ea78f79722a6fb", "82d248bb78d1b41eaa111eea19ea78f79722a6fb")</f>
        <v>0</v>
      </c>
      <c r="C12635">
        <f>HYPERLINK("https://android.googlesource.com/platform/cts/+/c3f441e2dc3cbef33935bd5a595f1b32fe728129", "c3f441e2dc3cbef33935bd5a595f1b32fe728129")</f>
        <v>0</v>
      </c>
      <c r="D12635" t="s">
        <v>5125</v>
      </c>
      <c r="E12635" t="s">
        <v>7462</v>
      </c>
      <c r="F12635" t="s">
        <v>12936</v>
      </c>
      <c r="G12635" t="s">
        <v>17101</v>
      </c>
      <c r="H12635" t="s">
        <v>29511</v>
      </c>
    </row>
    <row r="12636" spans="1:8">
      <c r="H12636" t="s">
        <v>29512</v>
      </c>
    </row>
    <row r="12637" spans="1:8">
      <c r="H12637" t="s">
        <v>29513</v>
      </c>
    </row>
    <row r="12638" spans="1:8">
      <c r="F12638" t="s">
        <v>13091</v>
      </c>
      <c r="G12638" t="s">
        <v>17253</v>
      </c>
      <c r="H12638" t="s">
        <v>29515</v>
      </c>
    </row>
    <row r="12639" spans="1:8">
      <c r="H12639" t="s">
        <v>29516</v>
      </c>
    </row>
    <row r="12640" spans="1:8">
      <c r="H12640" t="s">
        <v>29517</v>
      </c>
    </row>
    <row r="12641" spans="1:8">
      <c r="F12641" t="s">
        <v>10596</v>
      </c>
      <c r="G12641" t="s">
        <v>14999</v>
      </c>
      <c r="H12641" t="s">
        <v>29515</v>
      </c>
    </row>
    <row r="12642" spans="1:8">
      <c r="H12642" t="s">
        <v>29516</v>
      </c>
    </row>
    <row r="12643" spans="1:8">
      <c r="H12643" t="s">
        <v>29517</v>
      </c>
    </row>
    <row r="12644" spans="1:8">
      <c r="A12644" t="s">
        <v>1708</v>
      </c>
      <c r="B12644">
        <f>HYPERLINK("https://android.googlesource.com/platform/cts/+/c3cc4568561dd6af3023c41a9afa288dea906572", "c3cc4568561dd6af3023c41a9afa288dea906572")</f>
        <v>0</v>
      </c>
      <c r="C12644">
        <f>HYPERLINK("https://android.googlesource.com/platform/cts/+/50d71fab486cda44b5961798edce7af89a6d7054", "50d71fab486cda44b5961798edce7af89a6d7054")</f>
        <v>0</v>
      </c>
      <c r="D12644" t="s">
        <v>5125</v>
      </c>
      <c r="E12644" t="s">
        <v>7463</v>
      </c>
      <c r="F12644" t="s">
        <v>12936</v>
      </c>
      <c r="G12644" t="s">
        <v>17101</v>
      </c>
      <c r="H12644" t="s">
        <v>29511</v>
      </c>
    </row>
    <row r="12645" spans="1:8">
      <c r="H12645" t="s">
        <v>29512</v>
      </c>
    </row>
    <row r="12646" spans="1:8">
      <c r="H12646" t="s">
        <v>29513</v>
      </c>
    </row>
    <row r="12647" spans="1:8">
      <c r="F12647" t="s">
        <v>13087</v>
      </c>
      <c r="G12647" t="s">
        <v>17249</v>
      </c>
      <c r="H12647" t="s">
        <v>29518</v>
      </c>
    </row>
    <row r="12648" spans="1:8">
      <c r="F12648" t="s">
        <v>13091</v>
      </c>
      <c r="G12648" t="s">
        <v>17253</v>
      </c>
      <c r="H12648" t="s">
        <v>29515</v>
      </c>
    </row>
    <row r="12649" spans="1:8">
      <c r="H12649" t="s">
        <v>29519</v>
      </c>
    </row>
    <row r="12650" spans="1:8">
      <c r="H12650" t="s">
        <v>29516</v>
      </c>
    </row>
    <row r="12651" spans="1:8">
      <c r="H12651" t="s">
        <v>29517</v>
      </c>
    </row>
    <row r="12652" spans="1:8">
      <c r="F12652" t="s">
        <v>10596</v>
      </c>
      <c r="G12652" t="s">
        <v>14999</v>
      </c>
      <c r="H12652" t="s">
        <v>29515</v>
      </c>
    </row>
    <row r="12653" spans="1:8">
      <c r="H12653" t="s">
        <v>29519</v>
      </c>
    </row>
    <row r="12654" spans="1:8">
      <c r="H12654" t="s">
        <v>29516</v>
      </c>
    </row>
    <row r="12655" spans="1:8">
      <c r="H12655" t="s">
        <v>29517</v>
      </c>
    </row>
    <row r="12656" spans="1:8">
      <c r="A12656" t="s">
        <v>1709</v>
      </c>
      <c r="B12656">
        <f>HYPERLINK("https://android.googlesource.com/platform/cts/+/98eaa48a1d0858bdd24bada492570ef0e39552db", "98eaa48a1d0858bdd24bada492570ef0e39552db")</f>
        <v>0</v>
      </c>
      <c r="C12656">
        <f>HYPERLINK("https://android.googlesource.com/platform/cts/+/e67470d31e38ed74ffd10ee5a3ce11ead9a33c2e", "e67470d31e38ed74ffd10ee5a3ce11ead9a33c2e")</f>
        <v>0</v>
      </c>
      <c r="D12656" t="s">
        <v>4965</v>
      </c>
      <c r="E12656" t="s">
        <v>7464</v>
      </c>
      <c r="F12656" t="s">
        <v>13366</v>
      </c>
      <c r="G12656" t="s">
        <v>15583</v>
      </c>
      <c r="H12656" t="s">
        <v>29520</v>
      </c>
    </row>
    <row r="12657" spans="1:8">
      <c r="H12657" t="s">
        <v>29521</v>
      </c>
    </row>
    <row r="12658" spans="1:8">
      <c r="H12658" t="s">
        <v>29522</v>
      </c>
    </row>
    <row r="12659" spans="1:8">
      <c r="A12659" t="s">
        <v>1712</v>
      </c>
      <c r="B12659">
        <f>HYPERLINK("https://android.googlesource.com/platform/cts/+/0c0fffcaacf948c3d8e27570e313cccd331c35b9", "0c0fffcaacf948c3d8e27570e313cccd331c35b9")</f>
        <v>0</v>
      </c>
      <c r="C12659">
        <f>HYPERLINK("https://android.googlesource.com/platform/cts/+/8243446d847699e25b29b914e67e329efbf8b510", "8243446d847699e25b29b914e67e329efbf8b510")</f>
        <v>0</v>
      </c>
      <c r="D12659" t="s">
        <v>5117</v>
      </c>
      <c r="E12659" t="s">
        <v>7467</v>
      </c>
      <c r="F12659" t="s">
        <v>13367</v>
      </c>
      <c r="G12659" t="s">
        <v>17493</v>
      </c>
      <c r="H12659" t="s">
        <v>29526</v>
      </c>
    </row>
    <row r="12660" spans="1:8">
      <c r="F12660" t="s">
        <v>13368</v>
      </c>
      <c r="G12660" t="s">
        <v>17494</v>
      </c>
      <c r="H12660" t="s">
        <v>29532</v>
      </c>
    </row>
    <row r="12661" spans="1:8">
      <c r="H12661" t="s">
        <v>29533</v>
      </c>
    </row>
    <row r="12662" spans="1:8">
      <c r="H12662" t="s">
        <v>29534</v>
      </c>
    </row>
    <row r="12663" spans="1:8">
      <c r="H12663" t="s">
        <v>29535</v>
      </c>
    </row>
    <row r="12664" spans="1:8">
      <c r="H12664" t="s">
        <v>29536</v>
      </c>
    </row>
    <row r="12665" spans="1:8">
      <c r="H12665" t="s">
        <v>29537</v>
      </c>
    </row>
    <row r="12666" spans="1:8">
      <c r="A12666" t="s">
        <v>1713</v>
      </c>
      <c r="B12666">
        <f>HYPERLINK("https://android.googlesource.com/platform/cts/+/dc976f5856199b8f7ddc6053f28561fffdd7eb84", "dc976f5856199b8f7ddc6053f28561fffdd7eb84")</f>
        <v>0</v>
      </c>
      <c r="C12666">
        <f>HYPERLINK("https://android.googlesource.com/platform/cts/+/ac02fe5c79e0f246048f67bf388489a2841410e6", "ac02fe5c79e0f246048f67bf388489a2841410e6")</f>
        <v>0</v>
      </c>
      <c r="D12666" t="s">
        <v>4965</v>
      </c>
      <c r="E12666" t="s">
        <v>7468</v>
      </c>
      <c r="F12666" t="s">
        <v>13369</v>
      </c>
      <c r="G12666" t="s">
        <v>17495</v>
      </c>
      <c r="H12666" t="s">
        <v>29538</v>
      </c>
    </row>
    <row r="12667" spans="1:8">
      <c r="A12667" t="s">
        <v>1718</v>
      </c>
      <c r="B12667">
        <f>HYPERLINK("https://android.googlesource.com/platform/cts/+/aff6ce05fc8bfd89a61d1428575ff7099c07751a", "aff6ce05fc8bfd89a61d1428575ff7099c07751a")</f>
        <v>0</v>
      </c>
      <c r="C12667">
        <f>HYPERLINK("https://android.googlesource.com/platform/cts/+/f7afc065420f0d38b2a53027b65e0042607f2cad", "f7afc065420f0d38b2a53027b65e0042607f2cad")</f>
        <v>0</v>
      </c>
      <c r="D12667" t="s">
        <v>5259</v>
      </c>
      <c r="E12667" t="s">
        <v>7472</v>
      </c>
      <c r="F12667" t="s">
        <v>13342</v>
      </c>
      <c r="G12667" t="s">
        <v>17471</v>
      </c>
      <c r="H12667" t="s">
        <v>29548</v>
      </c>
    </row>
    <row r="12668" spans="1:8">
      <c r="A12668" t="s">
        <v>1719</v>
      </c>
      <c r="B12668">
        <f>HYPERLINK("https://android.googlesource.com/platform/cts/+/17e3661bea3c7bc2d91be719f15006bfb1526bf0", "17e3661bea3c7bc2d91be719f15006bfb1526bf0")</f>
        <v>0</v>
      </c>
      <c r="C12668">
        <f>HYPERLINK("https://android.googlesource.com/platform/cts/+/5b5b371171f8f5987a246c9e3b95714c46637533", "5b5b371171f8f5987a246c9e3b95714c46637533")</f>
        <v>0</v>
      </c>
      <c r="D12668" t="s">
        <v>5134</v>
      </c>
      <c r="E12668" t="s">
        <v>7473</v>
      </c>
      <c r="F12668" t="s">
        <v>13230</v>
      </c>
      <c r="G12668" t="s">
        <v>17371</v>
      </c>
      <c r="H12668" t="s">
        <v>29549</v>
      </c>
    </row>
    <row r="12669" spans="1:8">
      <c r="F12669" t="s">
        <v>13371</v>
      </c>
      <c r="G12669" t="s">
        <v>17498</v>
      </c>
      <c r="H12669" t="s">
        <v>29550</v>
      </c>
    </row>
    <row r="12670" spans="1:8">
      <c r="A12670" t="s">
        <v>1720</v>
      </c>
      <c r="B12670">
        <f>HYPERLINK("https://android.googlesource.com/platform/cts/+/3ddad7723800310ec73eea4ff65bca0038ec3c20", "3ddad7723800310ec73eea4ff65bca0038ec3c20")</f>
        <v>0</v>
      </c>
      <c r="C12670">
        <f>HYPERLINK("https://android.googlesource.com/platform/cts/+/6ca2a7dded89d14f7f937d3c2ed01960b2f0ba66", "6ca2a7dded89d14f7f937d3c2ed01960b2f0ba66")</f>
        <v>0</v>
      </c>
      <c r="D12670" t="s">
        <v>5111</v>
      </c>
      <c r="E12670" t="s">
        <v>7474</v>
      </c>
      <c r="F12670" t="s">
        <v>13372</v>
      </c>
      <c r="G12670" t="s">
        <v>17499</v>
      </c>
      <c r="H12670" t="s">
        <v>29553</v>
      </c>
    </row>
    <row r="12671" spans="1:8">
      <c r="F12671" t="s">
        <v>13373</v>
      </c>
      <c r="G12671" t="s">
        <v>17500</v>
      </c>
      <c r="H12671" t="s">
        <v>29553</v>
      </c>
    </row>
    <row r="12672" spans="1:8">
      <c r="F12672" t="s">
        <v>13374</v>
      </c>
      <c r="G12672" t="s">
        <v>17501</v>
      </c>
      <c r="H12672" t="s">
        <v>29553</v>
      </c>
    </row>
    <row r="12673" spans="1:8">
      <c r="F12673" t="s">
        <v>13375</v>
      </c>
      <c r="G12673" t="s">
        <v>17502</v>
      </c>
      <c r="H12673" t="s">
        <v>29553</v>
      </c>
    </row>
    <row r="12674" spans="1:8">
      <c r="F12674" t="s">
        <v>13376</v>
      </c>
      <c r="G12674" t="s">
        <v>17503</v>
      </c>
      <c r="H12674" t="s">
        <v>29553</v>
      </c>
    </row>
    <row r="12675" spans="1:8">
      <c r="F12675" t="s">
        <v>13377</v>
      </c>
      <c r="G12675" t="s">
        <v>17504</v>
      </c>
      <c r="H12675" t="s">
        <v>29553</v>
      </c>
    </row>
    <row r="12676" spans="1:8">
      <c r="F12676" t="s">
        <v>13378</v>
      </c>
      <c r="G12676" t="s">
        <v>17505</v>
      </c>
      <c r="H12676" t="s">
        <v>29553</v>
      </c>
    </row>
    <row r="12677" spans="1:8">
      <c r="F12677" t="s">
        <v>13379</v>
      </c>
      <c r="G12677" t="s">
        <v>17506</v>
      </c>
      <c r="H12677" t="s">
        <v>29553</v>
      </c>
    </row>
    <row r="12678" spans="1:8">
      <c r="F12678" t="s">
        <v>13380</v>
      </c>
      <c r="G12678" t="s">
        <v>17507</v>
      </c>
      <c r="H12678" t="s">
        <v>29553</v>
      </c>
    </row>
    <row r="12679" spans="1:8">
      <c r="F12679" t="s">
        <v>13381</v>
      </c>
      <c r="G12679" t="s">
        <v>17508</v>
      </c>
      <c r="H12679" t="s">
        <v>29553</v>
      </c>
    </row>
    <row r="12680" spans="1:8">
      <c r="F12680" t="s">
        <v>13382</v>
      </c>
      <c r="G12680" t="s">
        <v>17509</v>
      </c>
      <c r="H12680" t="s">
        <v>29553</v>
      </c>
    </row>
    <row r="12681" spans="1:8">
      <c r="A12681" t="s">
        <v>1721</v>
      </c>
      <c r="B12681">
        <f>HYPERLINK("https://android.googlesource.com/platform/cts/+/165b5f2c56f4f0bc38842751e9932912c155bd05", "165b5f2c56f4f0bc38842751e9932912c155bd05")</f>
        <v>0</v>
      </c>
      <c r="C12681">
        <f>HYPERLINK("https://android.googlesource.com/platform/cts/+/5b5b371171f8f5987a246c9e3b95714c46637533", "5b5b371171f8f5987a246c9e3b95714c46637533")</f>
        <v>0</v>
      </c>
      <c r="D12681" t="s">
        <v>5260</v>
      </c>
      <c r="E12681" t="s">
        <v>7475</v>
      </c>
      <c r="F12681" t="s">
        <v>10687</v>
      </c>
      <c r="G12681" t="s">
        <v>15087</v>
      </c>
      <c r="H12681" t="s">
        <v>29564</v>
      </c>
    </row>
    <row r="12682" spans="1:8">
      <c r="H12682" t="s">
        <v>29565</v>
      </c>
    </row>
    <row r="12683" spans="1:8">
      <c r="H12683" t="s">
        <v>29566</v>
      </c>
    </row>
    <row r="12684" spans="1:8">
      <c r="H12684" t="s">
        <v>29567</v>
      </c>
    </row>
    <row r="12685" spans="1:8">
      <c r="A12685" t="s">
        <v>1722</v>
      </c>
      <c r="B12685">
        <f>HYPERLINK("https://android.googlesource.com/platform/cts/+/1ced57ac92c0c93dae407d3e26702f2df4b41a24", "1ced57ac92c0c93dae407d3e26702f2df4b41a24")</f>
        <v>0</v>
      </c>
      <c r="C12685">
        <f>HYPERLINK("https://android.googlesource.com/platform/cts/+/2c133721cfc4d1e0327d9aa7865473771ecf83c3", "2c133721cfc4d1e0327d9aa7865473771ecf83c3")</f>
        <v>0</v>
      </c>
      <c r="D12685" t="s">
        <v>5134</v>
      </c>
      <c r="E12685" t="s">
        <v>7476</v>
      </c>
      <c r="F12685" t="s">
        <v>13230</v>
      </c>
      <c r="G12685" t="s">
        <v>17371</v>
      </c>
      <c r="H12685" t="s">
        <v>29568</v>
      </c>
    </row>
    <row r="12686" spans="1:8">
      <c r="H12686" t="s">
        <v>29569</v>
      </c>
    </row>
    <row r="12687" spans="1:8">
      <c r="F12687" t="s">
        <v>13371</v>
      </c>
      <c r="G12687" t="s">
        <v>17498</v>
      </c>
      <c r="H12687" t="s">
        <v>29570</v>
      </c>
    </row>
    <row r="12688" spans="1:8">
      <c r="A12688" t="s">
        <v>1725</v>
      </c>
      <c r="B12688">
        <f>HYPERLINK("https://android.googlesource.com/platform/cts/+/930b1d3afaa9cbaa5f206459b182c7b32ef471cd", "930b1d3afaa9cbaa5f206459b182c7b32ef471cd")</f>
        <v>0</v>
      </c>
      <c r="C12688">
        <f>HYPERLINK("https://android.googlesource.com/platform/cts/+/404f16249b9131913fedf8b65ecb093dc53a72a8", "404f16249b9131913fedf8b65ecb093dc53a72a8")</f>
        <v>0</v>
      </c>
      <c r="D12688" t="s">
        <v>5086</v>
      </c>
      <c r="E12688" t="s">
        <v>7479</v>
      </c>
      <c r="F12688" t="s">
        <v>12629</v>
      </c>
      <c r="G12688" t="s">
        <v>16838</v>
      </c>
      <c r="H12688" t="s">
        <v>26883</v>
      </c>
    </row>
    <row r="12689" spans="1:8">
      <c r="F12689" t="s">
        <v>12746</v>
      </c>
      <c r="G12689" t="s">
        <v>16938</v>
      </c>
      <c r="H12689" t="s">
        <v>29572</v>
      </c>
    </row>
    <row r="12690" spans="1:8">
      <c r="A12690" t="s">
        <v>1727</v>
      </c>
      <c r="B12690">
        <f>HYPERLINK("https://android.googlesource.com/platform/cts/+/23ee5b98d1bca99c0add6e1f3694a877a3ab5e6c", "23ee5b98d1bca99c0add6e1f3694a877a3ab5e6c")</f>
        <v>0</v>
      </c>
      <c r="C12690">
        <f>HYPERLINK("https://android.googlesource.com/platform/cts/+/c855e86d46981c77475277ed05e6c54c9dac45c3", "c855e86d46981c77475277ed05e6c54c9dac45c3")</f>
        <v>0</v>
      </c>
      <c r="D12690" t="s">
        <v>5147</v>
      </c>
      <c r="E12690" t="s">
        <v>7481</v>
      </c>
      <c r="F12690" t="s">
        <v>13385</v>
      </c>
      <c r="G12690" t="s">
        <v>17512</v>
      </c>
      <c r="H12690" t="s">
        <v>29574</v>
      </c>
    </row>
    <row r="12691" spans="1:8">
      <c r="A12691" t="s">
        <v>1733</v>
      </c>
      <c r="B12691">
        <f>HYPERLINK("https://android.googlesource.com/platform/cts/+/fadc96a6125877b9dd110f35ee1f7973aa5deb5e", "fadc96a6125877b9dd110f35ee1f7973aa5deb5e")</f>
        <v>0</v>
      </c>
      <c r="C12691">
        <f>HYPERLINK("https://android.googlesource.com/platform/cts/+/0f05863bde96b03b8052c40b2622395c73370bdd", "0f05863bde96b03b8052c40b2622395c73370bdd")</f>
        <v>0</v>
      </c>
      <c r="D12691" t="s">
        <v>5219</v>
      </c>
      <c r="E12691" t="s">
        <v>7487</v>
      </c>
      <c r="F12691" t="s">
        <v>13388</v>
      </c>
      <c r="G12691" t="s">
        <v>17515</v>
      </c>
      <c r="H12691" t="s">
        <v>29578</v>
      </c>
    </row>
    <row r="12692" spans="1:8">
      <c r="F12692" t="s">
        <v>13389</v>
      </c>
      <c r="G12692" t="s">
        <v>17516</v>
      </c>
      <c r="H12692" t="s">
        <v>29580</v>
      </c>
    </row>
    <row r="12693" spans="1:8">
      <c r="H12693" t="s">
        <v>29581</v>
      </c>
    </row>
    <row r="12694" spans="1:8">
      <c r="H12694" t="s">
        <v>29582</v>
      </c>
    </row>
    <row r="12695" spans="1:8">
      <c r="A12695" t="s">
        <v>1735</v>
      </c>
      <c r="B12695">
        <f>HYPERLINK("https://android.googlesource.com/platform/cts/+/4ed82b2f6d1ba89d9cd9cfb6f030ed18b0c046db", "4ed82b2f6d1ba89d9cd9cfb6f030ed18b0c046db")</f>
        <v>0</v>
      </c>
      <c r="C12695">
        <f>HYPERLINK("https://android.googlesource.com/platform/cts/+/409c6ffbfad64ec15869fedbc496ee6344a53050", "409c6ffbfad64ec15869fedbc496ee6344a53050")</f>
        <v>0</v>
      </c>
      <c r="D12695" t="s">
        <v>5240</v>
      </c>
      <c r="E12695" t="s">
        <v>7489</v>
      </c>
      <c r="F12695" t="s">
        <v>12710</v>
      </c>
      <c r="G12695" t="s">
        <v>16911</v>
      </c>
      <c r="H12695" t="s">
        <v>29584</v>
      </c>
    </row>
    <row r="12696" spans="1:8">
      <c r="A12696" t="s">
        <v>1736</v>
      </c>
      <c r="B12696">
        <f>HYPERLINK("https://android.googlesource.com/platform/cts/+/aed7867d94870503abbc128a0bdf6879534f09f7", "aed7867d94870503abbc128a0bdf6879534f09f7")</f>
        <v>0</v>
      </c>
      <c r="C12696">
        <f>HYPERLINK("https://android.googlesource.com/platform/cts/+/65fe1dab9d2fb50a6cb4c47b1efdf4ab876a7608", "65fe1dab9d2fb50a6cb4c47b1efdf4ab876a7608")</f>
        <v>0</v>
      </c>
      <c r="D12696" t="s">
        <v>5240</v>
      </c>
      <c r="E12696" t="s">
        <v>7490</v>
      </c>
      <c r="F12696" t="s">
        <v>12710</v>
      </c>
      <c r="G12696" t="s">
        <v>16911</v>
      </c>
      <c r="H12696" t="s">
        <v>29584</v>
      </c>
    </row>
    <row r="12697" spans="1:8">
      <c r="A12697" t="s">
        <v>1742</v>
      </c>
      <c r="B12697">
        <f>HYPERLINK("https://android.googlesource.com/platform/cts/+/fa933bc0434e153347cb870f3f4b32cb311919f7", "fa933bc0434e153347cb870f3f4b32cb311919f7")</f>
        <v>0</v>
      </c>
      <c r="C12697">
        <f>HYPERLINK("https://android.googlesource.com/platform/cts/+/99148f08e24473d8b08fe25c5ceafed6862c71bd", "99148f08e24473d8b08fe25c5ceafed6862c71bd")</f>
        <v>0</v>
      </c>
      <c r="D12697" t="s">
        <v>5132</v>
      </c>
      <c r="E12697" t="s">
        <v>7494</v>
      </c>
      <c r="F12697" t="s">
        <v>12959</v>
      </c>
      <c r="G12697" t="s">
        <v>17123</v>
      </c>
      <c r="H12697" t="s">
        <v>29586</v>
      </c>
    </row>
    <row r="12698" spans="1:8">
      <c r="A12698" t="s">
        <v>1747</v>
      </c>
      <c r="B12698">
        <f>HYPERLINK("https://android.googlesource.com/platform/cts/+/d2b1f52389c1851861284189244641967db76a19", "d2b1f52389c1851861284189244641967db76a19")</f>
        <v>0</v>
      </c>
      <c r="C12698">
        <f>HYPERLINK("https://android.googlesource.com/platform/cts/+/f9e65045f2590a5409618dce3c0a38ed17c8a859", "f9e65045f2590a5409618dce3c0a38ed17c8a859")</f>
        <v>0</v>
      </c>
      <c r="D12698" t="s">
        <v>5267</v>
      </c>
      <c r="E12698" t="s">
        <v>7499</v>
      </c>
      <c r="F12698" t="s">
        <v>13395</v>
      </c>
      <c r="G12698" t="s">
        <v>17521</v>
      </c>
      <c r="H12698" t="s">
        <v>29597</v>
      </c>
    </row>
    <row r="12699" spans="1:8">
      <c r="H12699" t="s">
        <v>29598</v>
      </c>
    </row>
    <row r="12700" spans="1:8">
      <c r="A12700" t="s">
        <v>1748</v>
      </c>
      <c r="B12700">
        <f>HYPERLINK("https://android.googlesource.com/platform/cts/+/bcbca6ec2ca9d3b4e983851d72502012d2af6de7", "bcbca6ec2ca9d3b4e983851d72502012d2af6de7")</f>
        <v>0</v>
      </c>
      <c r="C12700">
        <f>HYPERLINK("https://android.googlesource.com/platform/cts/+/0c612c312efa04e1137ed62580ddaed739c153de", "0c612c312efa04e1137ed62580ddaed739c153de")</f>
        <v>0</v>
      </c>
      <c r="D12700" t="s">
        <v>4952</v>
      </c>
      <c r="E12700" t="s">
        <v>7500</v>
      </c>
      <c r="F12700" t="s">
        <v>13396</v>
      </c>
      <c r="G12700" t="s">
        <v>17522</v>
      </c>
      <c r="H12700" t="s">
        <v>29599</v>
      </c>
    </row>
    <row r="12701" spans="1:8">
      <c r="H12701" t="s">
        <v>29600</v>
      </c>
    </row>
    <row r="12702" spans="1:8">
      <c r="H12702" t="s">
        <v>29601</v>
      </c>
    </row>
    <row r="12703" spans="1:8">
      <c r="F12703" t="s">
        <v>13397</v>
      </c>
      <c r="G12703" t="s">
        <v>17523</v>
      </c>
      <c r="H12703" t="s">
        <v>29632</v>
      </c>
    </row>
    <row r="12704" spans="1:8">
      <c r="H12704" t="s">
        <v>29633</v>
      </c>
    </row>
    <row r="12705" spans="1:8">
      <c r="H12705" t="s">
        <v>29634</v>
      </c>
    </row>
    <row r="12706" spans="1:8">
      <c r="A12706" t="s">
        <v>1749</v>
      </c>
      <c r="B12706">
        <f>HYPERLINK("https://android.googlesource.com/platform/cts/+/06347b16cfda7ee0ca87b4dc68cf478c5b6559df", "06347b16cfda7ee0ca87b4dc68cf478c5b6559df")</f>
        <v>0</v>
      </c>
      <c r="C12706">
        <f>HYPERLINK("https://android.googlesource.com/platform/cts/+/1249be8a6157fb3140afd9879eecd80624541bc8", "1249be8a6157fb3140afd9879eecd80624541bc8")</f>
        <v>0</v>
      </c>
      <c r="D12706" t="s">
        <v>5268</v>
      </c>
      <c r="E12706" t="s">
        <v>7501</v>
      </c>
      <c r="F12706" t="s">
        <v>12710</v>
      </c>
      <c r="G12706" t="s">
        <v>16911</v>
      </c>
      <c r="H12706" t="s">
        <v>29656</v>
      </c>
    </row>
    <row r="12707" spans="1:8">
      <c r="A12707" t="s">
        <v>1753</v>
      </c>
      <c r="B12707">
        <f>HYPERLINK("https://android.googlesource.com/platform/cts/+/400d169e3b1b3b17f100a7d5ba856d85d50d3782", "400d169e3b1b3b17f100a7d5ba856d85d50d3782")</f>
        <v>0</v>
      </c>
      <c r="C12707">
        <f>HYPERLINK("https://android.googlesource.com/platform/cts/+/13e1eb3e9f0abfb6d95e8c6b94a9070ab5e1cad5", "13e1eb3e9f0abfb6d95e8c6b94a9070ab5e1cad5")</f>
        <v>0</v>
      </c>
      <c r="D12707" t="s">
        <v>5191</v>
      </c>
      <c r="E12707" t="s">
        <v>7505</v>
      </c>
      <c r="F12707" t="s">
        <v>13401</v>
      </c>
      <c r="G12707" t="s">
        <v>17527</v>
      </c>
      <c r="H12707" t="s">
        <v>29660</v>
      </c>
    </row>
    <row r="12708" spans="1:8">
      <c r="H12708" t="s">
        <v>29661</v>
      </c>
    </row>
    <row r="12709" spans="1:8">
      <c r="H12709" t="s">
        <v>29662</v>
      </c>
    </row>
    <row r="12710" spans="1:8">
      <c r="H12710" t="s">
        <v>29663</v>
      </c>
    </row>
    <row r="12711" spans="1:8">
      <c r="H12711" t="s">
        <v>29664</v>
      </c>
    </row>
    <row r="12712" spans="1:8">
      <c r="H12712" t="s">
        <v>29665</v>
      </c>
    </row>
    <row r="12713" spans="1:8">
      <c r="A12713" t="s">
        <v>1755</v>
      </c>
      <c r="B12713">
        <f>HYPERLINK("https://android.googlesource.com/platform/cts/+/74820224e9a5301757b3bc710d0a6241631b20fd", "74820224e9a5301757b3bc710d0a6241631b20fd")</f>
        <v>0</v>
      </c>
      <c r="C12713">
        <f>HYPERLINK("https://android.googlesource.com/platform/cts/+/bb7062c4229d4a553db396412f830bcfb0449093", "bb7062c4229d4a553db396412f830bcfb0449093")</f>
        <v>0</v>
      </c>
      <c r="D12713" t="s">
        <v>5134</v>
      </c>
      <c r="E12713" t="s">
        <v>7507</v>
      </c>
      <c r="F12713" t="s">
        <v>13402</v>
      </c>
      <c r="G12713" t="s">
        <v>17528</v>
      </c>
      <c r="H12713" t="s">
        <v>29676</v>
      </c>
    </row>
    <row r="12714" spans="1:8">
      <c r="A12714" t="s">
        <v>1756</v>
      </c>
      <c r="B12714">
        <f>HYPERLINK("https://android.googlesource.com/platform/cts/+/41ceea37eccb83af78f7897f4bb792e128ba811f", "41ceea37eccb83af78f7897f4bb792e128ba811f")</f>
        <v>0</v>
      </c>
      <c r="C12714">
        <f>HYPERLINK("https://android.googlesource.com/platform/cts/+/6ac7dd2e135d01dd4b2452811e69e68b5e7678d2", "6ac7dd2e135d01dd4b2452811e69e68b5e7678d2")</f>
        <v>0</v>
      </c>
      <c r="D12714" t="s">
        <v>5134</v>
      </c>
      <c r="E12714" t="s">
        <v>7508</v>
      </c>
      <c r="F12714" t="s">
        <v>13230</v>
      </c>
      <c r="G12714" t="s">
        <v>17371</v>
      </c>
      <c r="H12714" t="s">
        <v>29677</v>
      </c>
    </row>
    <row r="12715" spans="1:8">
      <c r="H12715" t="s">
        <v>29678</v>
      </c>
    </row>
    <row r="12716" spans="1:8">
      <c r="H12716" t="s">
        <v>29679</v>
      </c>
    </row>
    <row r="12717" spans="1:8">
      <c r="H12717" t="s">
        <v>29680</v>
      </c>
    </row>
    <row r="12718" spans="1:8">
      <c r="H12718" t="s">
        <v>29681</v>
      </c>
    </row>
    <row r="12719" spans="1:8">
      <c r="H12719" t="s">
        <v>29682</v>
      </c>
    </row>
    <row r="12720" spans="1:8">
      <c r="H12720" t="s">
        <v>29684</v>
      </c>
    </row>
    <row r="12721" spans="1:8">
      <c r="A12721" t="s">
        <v>1757</v>
      </c>
      <c r="B12721">
        <f>HYPERLINK("https://android.googlesource.com/platform/cts/+/4a4c4fd5237e506b76003249d2976d1d0a5bdffb", "4a4c4fd5237e506b76003249d2976d1d0a5bdffb")</f>
        <v>0</v>
      </c>
      <c r="C12721">
        <f>HYPERLINK("https://android.googlesource.com/platform/cts/+/41ceea37eccb83af78f7897f4bb792e128ba811f", "41ceea37eccb83af78f7897f4bb792e128ba811f")</f>
        <v>0</v>
      </c>
      <c r="D12721" t="s">
        <v>5134</v>
      </c>
      <c r="E12721" t="s">
        <v>7509</v>
      </c>
      <c r="F12721" t="s">
        <v>13403</v>
      </c>
      <c r="G12721" t="s">
        <v>17529</v>
      </c>
      <c r="H12721" t="s">
        <v>29677</v>
      </c>
    </row>
    <row r="12722" spans="1:8">
      <c r="H12722" t="s">
        <v>29678</v>
      </c>
    </row>
    <row r="12723" spans="1:8">
      <c r="H12723" t="s">
        <v>29679</v>
      </c>
    </row>
    <row r="12724" spans="1:8">
      <c r="H12724" t="s">
        <v>29680</v>
      </c>
    </row>
    <row r="12725" spans="1:8">
      <c r="H12725" t="s">
        <v>29681</v>
      </c>
    </row>
    <row r="12726" spans="1:8">
      <c r="H12726" t="s">
        <v>29682</v>
      </c>
    </row>
    <row r="12727" spans="1:8">
      <c r="H12727" t="s">
        <v>29684</v>
      </c>
    </row>
    <row r="12728" spans="1:8">
      <c r="A12728" t="s">
        <v>1759</v>
      </c>
      <c r="B12728">
        <f>HYPERLINK("https://android.googlesource.com/platform/cts/+/53d494eb091e9e598091f5298689dcbd1c41314e", "53d494eb091e9e598091f5298689dcbd1c41314e")</f>
        <v>0</v>
      </c>
      <c r="C12728">
        <f>HYPERLINK("https://android.googlesource.com/platform/cts/+/f8c88838fef98b165d706235b3da9b36bf896067", "f8c88838fef98b165d706235b3da9b36bf896067")</f>
        <v>0</v>
      </c>
      <c r="D12728" t="s">
        <v>5191</v>
      </c>
      <c r="E12728" t="s">
        <v>7511</v>
      </c>
      <c r="F12728" t="s">
        <v>13404</v>
      </c>
      <c r="G12728" t="s">
        <v>17530</v>
      </c>
      <c r="H12728" t="s">
        <v>29686</v>
      </c>
    </row>
    <row r="12729" spans="1:8">
      <c r="H12729" t="s">
        <v>29687</v>
      </c>
    </row>
    <row r="12730" spans="1:8">
      <c r="H12730" t="s">
        <v>29688</v>
      </c>
    </row>
    <row r="12731" spans="1:8">
      <c r="H12731" t="s">
        <v>29689</v>
      </c>
    </row>
    <row r="12732" spans="1:8">
      <c r="H12732" t="s">
        <v>29690</v>
      </c>
    </row>
    <row r="12733" spans="1:8">
      <c r="H12733" t="s">
        <v>29691</v>
      </c>
    </row>
    <row r="12734" spans="1:8">
      <c r="H12734" t="s">
        <v>29692</v>
      </c>
    </row>
    <row r="12735" spans="1:8">
      <c r="H12735" t="s">
        <v>29693</v>
      </c>
    </row>
    <row r="12736" spans="1:8">
      <c r="H12736" t="s">
        <v>29694</v>
      </c>
    </row>
    <row r="12737" spans="1:8">
      <c r="H12737" t="s">
        <v>29695</v>
      </c>
    </row>
    <row r="12738" spans="1:8">
      <c r="H12738" t="s">
        <v>29696</v>
      </c>
    </row>
    <row r="12739" spans="1:8">
      <c r="H12739" t="s">
        <v>29697</v>
      </c>
    </row>
    <row r="12740" spans="1:8">
      <c r="H12740" t="s">
        <v>29698</v>
      </c>
    </row>
    <row r="12741" spans="1:8">
      <c r="H12741" t="s">
        <v>29699</v>
      </c>
    </row>
    <row r="12742" spans="1:8">
      <c r="H12742" t="s">
        <v>29700</v>
      </c>
    </row>
    <row r="12743" spans="1:8">
      <c r="A12743" t="s">
        <v>1762</v>
      </c>
      <c r="B12743">
        <f>HYPERLINK("https://android.googlesource.com/platform/cts/+/8fb399b5028e0bfeba9334d055a19a3009e479b6", "8fb399b5028e0bfeba9334d055a19a3009e479b6")</f>
        <v>0</v>
      </c>
      <c r="C12743">
        <f>HYPERLINK("https://android.googlesource.com/platform/cts/+/e2837b79959f4a2505f18d3f821326df2182a944", "e2837b79959f4a2505f18d3f821326df2182a944")</f>
        <v>0</v>
      </c>
      <c r="D12743" t="s">
        <v>5272</v>
      </c>
      <c r="E12743" t="s">
        <v>7514</v>
      </c>
      <c r="F12743" t="s">
        <v>13406</v>
      </c>
      <c r="G12743" t="s">
        <v>17532</v>
      </c>
      <c r="H12743" t="s">
        <v>29704</v>
      </c>
    </row>
    <row r="12744" spans="1:8">
      <c r="A12744" t="s">
        <v>1763</v>
      </c>
      <c r="B12744">
        <f>HYPERLINK("https://android.googlesource.com/platform/cts/+/3c8b8dc070b6ed00a4c74c48f17790047438bc16", "3c8b8dc070b6ed00a4c74c48f17790047438bc16")</f>
        <v>0</v>
      </c>
      <c r="C12744">
        <f>HYPERLINK("https://android.googlesource.com/platform/cts/+/653384c059f2ae83dcabd770ffbab904f02273e5", "653384c059f2ae83dcabd770ffbab904f02273e5")</f>
        <v>0</v>
      </c>
      <c r="D12744" t="s">
        <v>5195</v>
      </c>
      <c r="E12744" t="s">
        <v>7515</v>
      </c>
      <c r="F12744" t="s">
        <v>13407</v>
      </c>
      <c r="G12744" t="s">
        <v>17533</v>
      </c>
      <c r="H12744" t="s">
        <v>29705</v>
      </c>
    </row>
    <row r="12745" spans="1:8">
      <c r="A12745" t="s">
        <v>1766</v>
      </c>
      <c r="B12745">
        <f>HYPERLINK("https://android.googlesource.com/platform/cts/+/f259159ca7ba7c2996c5083cac1d9f469ad2a12c", "f259159ca7ba7c2996c5083cac1d9f469ad2a12c")</f>
        <v>0</v>
      </c>
      <c r="C12745">
        <f>HYPERLINK("https://android.googlesource.com/platform/cts/+/f8c88838fef98b165d706235b3da9b36bf896067", "f8c88838fef98b165d706235b3da9b36bf896067")</f>
        <v>0</v>
      </c>
      <c r="D12745" t="s">
        <v>5265</v>
      </c>
      <c r="E12745" t="s">
        <v>7518</v>
      </c>
      <c r="F12745" t="s">
        <v>10756</v>
      </c>
      <c r="G12745" t="s">
        <v>15154</v>
      </c>
      <c r="H12745" t="s">
        <v>18876</v>
      </c>
    </row>
    <row r="12746" spans="1:8">
      <c r="A12746" t="s">
        <v>1767</v>
      </c>
      <c r="B12746">
        <f>HYPERLINK("https://android.googlesource.com/platform/cts/+/e29b8e0f467c80bfedd4795938b3e04b3177c566", "e29b8e0f467c80bfedd4795938b3e04b3177c566")</f>
        <v>0</v>
      </c>
      <c r="C12746">
        <f>HYPERLINK("https://android.googlesource.com/platform/cts/+/b042a4415dbe145728a49dee81aa92b594c601de", "b042a4415dbe145728a49dee81aa92b594c601de")</f>
        <v>0</v>
      </c>
      <c r="D12746" t="s">
        <v>5191</v>
      </c>
      <c r="E12746" t="s">
        <v>7519</v>
      </c>
      <c r="F12746" t="s">
        <v>13410</v>
      </c>
      <c r="G12746" t="s">
        <v>17536</v>
      </c>
      <c r="H12746" t="s">
        <v>29715</v>
      </c>
    </row>
    <row r="12747" spans="1:8">
      <c r="H12747" t="s">
        <v>29717</v>
      </c>
    </row>
    <row r="12748" spans="1:8">
      <c r="A12748" t="s">
        <v>1768</v>
      </c>
      <c r="B12748">
        <f>HYPERLINK("https://android.googlesource.com/platform/cts/+/c57c89091963b9eb0428277d1ece22b1fda8d524", "c57c89091963b9eb0428277d1ece22b1fda8d524")</f>
        <v>0</v>
      </c>
      <c r="C12748">
        <f>HYPERLINK("https://android.googlesource.com/platform/cts/+/a8b3fdfef93dc139a7edcb2bd44cb379f2526e1d", "a8b3fdfef93dc139a7edcb2bd44cb379f2526e1d")</f>
        <v>0</v>
      </c>
      <c r="D12748" t="s">
        <v>5273</v>
      </c>
      <c r="E12748" t="s">
        <v>7520</v>
      </c>
      <c r="F12748" t="s">
        <v>13350</v>
      </c>
      <c r="G12748" t="s">
        <v>17477</v>
      </c>
      <c r="H12748" t="s">
        <v>29428</v>
      </c>
    </row>
    <row r="12749" spans="1:8">
      <c r="F12749" t="s">
        <v>13411</v>
      </c>
      <c r="G12749" t="s">
        <v>17537</v>
      </c>
      <c r="H12749" t="s">
        <v>29718</v>
      </c>
    </row>
    <row r="12750" spans="1:8">
      <c r="A12750" t="s">
        <v>1770</v>
      </c>
      <c r="B12750">
        <f>HYPERLINK("https://android.googlesource.com/platform/cts/+/ffc30d238afb7a0832d11a6740cd7fa973fa127f", "ffc30d238afb7a0832d11a6740cd7fa973fa127f")</f>
        <v>0</v>
      </c>
      <c r="C12750">
        <f>HYPERLINK("https://android.googlesource.com/platform/cts/+/ddde083e52bea0b6c4c36a963b81fcb547ccc114", "ddde083e52bea0b6c4c36a963b81fcb547ccc114")</f>
        <v>0</v>
      </c>
      <c r="D12750" t="s">
        <v>5110</v>
      </c>
      <c r="E12750" t="s">
        <v>7522</v>
      </c>
      <c r="F12750" t="s">
        <v>12901</v>
      </c>
      <c r="G12750" t="s">
        <v>17068</v>
      </c>
      <c r="H12750" t="s">
        <v>26877</v>
      </c>
    </row>
    <row r="12751" spans="1:8">
      <c r="A12751" t="s">
        <v>1771</v>
      </c>
      <c r="B12751">
        <f>HYPERLINK("https://android.googlesource.com/platform/cts/+/3ae8059ea47c78869bc8aa1d0a8a4a7b726bf019", "3ae8059ea47c78869bc8aa1d0a8a4a7b726bf019")</f>
        <v>0</v>
      </c>
      <c r="C12751">
        <f>HYPERLINK("https://android.googlesource.com/platform/cts/+/3ddbd06f88653089694dca05c673227b6f5b9204", "3ddbd06f88653089694dca05c673227b6f5b9204")</f>
        <v>0</v>
      </c>
      <c r="D12751" t="s">
        <v>5215</v>
      </c>
      <c r="E12751" t="s">
        <v>7523</v>
      </c>
      <c r="F12751" t="s">
        <v>13032</v>
      </c>
      <c r="G12751" t="s">
        <v>17196</v>
      </c>
      <c r="H12751" t="s">
        <v>29486</v>
      </c>
    </row>
    <row r="12752" spans="1:8">
      <c r="H12752" t="s">
        <v>29487</v>
      </c>
    </row>
    <row r="12753" spans="1:8">
      <c r="H12753" t="s">
        <v>29488</v>
      </c>
    </row>
    <row r="12754" spans="1:8">
      <c r="A12754" t="s">
        <v>1773</v>
      </c>
      <c r="B12754">
        <f>HYPERLINK("https://android.googlesource.com/platform/cts/+/1167a04c6665713c3eb45906fa2c96d897e45cc5", "1167a04c6665713c3eb45906fa2c96d897e45cc5")</f>
        <v>0</v>
      </c>
      <c r="C12754">
        <f>HYPERLINK("https://android.googlesource.com/platform/cts/+/24c13049d91476ac27ca097212fbe4b558776c41", "24c13049d91476ac27ca097212fbe4b558776c41")</f>
        <v>0</v>
      </c>
      <c r="D12754" t="s">
        <v>5273</v>
      </c>
      <c r="E12754" t="s">
        <v>7525</v>
      </c>
      <c r="F12754" t="s">
        <v>13411</v>
      </c>
      <c r="G12754" t="s">
        <v>17537</v>
      </c>
      <c r="H12754" t="s">
        <v>29718</v>
      </c>
    </row>
    <row r="12755" spans="1:8">
      <c r="A12755" t="s">
        <v>1775</v>
      </c>
      <c r="B12755">
        <f>HYPERLINK("https://android.googlesource.com/platform/cts/+/d9ab47652309cea2422863f79fbd68f3de318784", "d9ab47652309cea2422863f79fbd68f3de318784")</f>
        <v>0</v>
      </c>
      <c r="C12755">
        <f>HYPERLINK("https://android.googlesource.com/platform/cts/+/1af44a3c7408ea112f94925325a1b5548998ac2a", "1af44a3c7408ea112f94925325a1b5548998ac2a")</f>
        <v>0</v>
      </c>
      <c r="D12755" t="s">
        <v>5219</v>
      </c>
      <c r="E12755" t="s">
        <v>7527</v>
      </c>
      <c r="F12755" t="s">
        <v>13414</v>
      </c>
      <c r="G12755" t="s">
        <v>17540</v>
      </c>
      <c r="H12755" t="s">
        <v>29721</v>
      </c>
    </row>
    <row r="12756" spans="1:8">
      <c r="H12756" t="s">
        <v>29722</v>
      </c>
    </row>
    <row r="12757" spans="1:8">
      <c r="A12757" t="s">
        <v>1777</v>
      </c>
      <c r="B12757">
        <f>HYPERLINK("https://android.googlesource.com/platform/cts/+/27a293325b145628ee8d7fc8e6333645b15476ae", "27a293325b145628ee8d7fc8e6333645b15476ae")</f>
        <v>0</v>
      </c>
      <c r="C12757">
        <f>HYPERLINK("https://android.googlesource.com/platform/cts/+/2dcae84e1d0d570cf444ec47ce149b909fe6048a", "2dcae84e1d0d570cf444ec47ce149b909fe6048a")</f>
        <v>0</v>
      </c>
      <c r="D12757" t="s">
        <v>5134</v>
      </c>
      <c r="E12757" t="s">
        <v>7529</v>
      </c>
      <c r="F12757" t="s">
        <v>13371</v>
      </c>
      <c r="G12757" t="s">
        <v>17498</v>
      </c>
      <c r="H12757" t="s">
        <v>29733</v>
      </c>
    </row>
    <row r="12758" spans="1:8">
      <c r="H12758" t="s">
        <v>29734</v>
      </c>
    </row>
    <row r="12759" spans="1:8">
      <c r="A12759" t="s">
        <v>1778</v>
      </c>
      <c r="B12759">
        <f>HYPERLINK("https://android.googlesource.com/platform/cts/+/622e278dec59cd44af2e8a80bbac3fd58a95d028", "622e278dec59cd44af2e8a80bbac3fd58a95d028")</f>
        <v>0</v>
      </c>
      <c r="C12759">
        <f>HYPERLINK("https://android.googlesource.com/platform/cts/+/2976943ffe98aa57891ae482ab299bb43cb172dd", "2976943ffe98aa57891ae482ab299bb43cb172dd")</f>
        <v>0</v>
      </c>
      <c r="D12759" t="s">
        <v>5215</v>
      </c>
      <c r="E12759" t="s">
        <v>7530</v>
      </c>
      <c r="F12759" t="s">
        <v>13032</v>
      </c>
      <c r="G12759" t="s">
        <v>17196</v>
      </c>
      <c r="H12759" t="s">
        <v>29735</v>
      </c>
    </row>
    <row r="12760" spans="1:8">
      <c r="A12760" t="s">
        <v>1779</v>
      </c>
      <c r="B12760">
        <f>HYPERLINK("https://android.googlesource.com/platform/cts/+/e7b08f15068f595deb4c2923d0a1bca98de33023", "e7b08f15068f595deb4c2923d0a1bca98de33023")</f>
        <v>0</v>
      </c>
      <c r="C12760">
        <f>HYPERLINK("https://android.googlesource.com/platform/cts/+/a729b7d2cb4cae57411d0642f55bcdb29fa4869d", "a729b7d2cb4cae57411d0642f55bcdb29fa4869d")</f>
        <v>0</v>
      </c>
      <c r="D12760" t="s">
        <v>5134</v>
      </c>
      <c r="E12760" t="s">
        <v>7531</v>
      </c>
      <c r="F12760" t="s">
        <v>13230</v>
      </c>
      <c r="G12760" t="s">
        <v>17371</v>
      </c>
      <c r="H12760" t="s">
        <v>29737</v>
      </c>
    </row>
    <row r="12761" spans="1:8">
      <c r="A12761" t="s">
        <v>1780</v>
      </c>
      <c r="B12761">
        <f>HYPERLINK("https://android.googlesource.com/platform/cts/+/d358aeaf0219351bddbbae3d9659b4dde476d228", "d358aeaf0219351bddbbae3d9659b4dde476d228")</f>
        <v>0</v>
      </c>
      <c r="C12761">
        <f>HYPERLINK("https://android.googlesource.com/platform/cts/+/0f49b808388f10b13b5d805b8324309b4817f4f2", "0f49b808388f10b13b5d805b8324309b4817f4f2")</f>
        <v>0</v>
      </c>
      <c r="D12761" t="s">
        <v>5134</v>
      </c>
      <c r="E12761" t="s">
        <v>7532</v>
      </c>
      <c r="F12761" t="s">
        <v>13416</v>
      </c>
      <c r="G12761" t="s">
        <v>17542</v>
      </c>
      <c r="H12761" t="s">
        <v>29739</v>
      </c>
    </row>
    <row r="12762" spans="1:8">
      <c r="H12762" t="s">
        <v>29740</v>
      </c>
    </row>
    <row r="12763" spans="1:8">
      <c r="H12763" t="s">
        <v>29741</v>
      </c>
    </row>
    <row r="12764" spans="1:8">
      <c r="H12764" t="s">
        <v>29742</v>
      </c>
    </row>
    <row r="12765" spans="1:8">
      <c r="H12765" t="s">
        <v>29743</v>
      </c>
    </row>
    <row r="12766" spans="1:8">
      <c r="H12766" t="s">
        <v>29744</v>
      </c>
    </row>
    <row r="12767" spans="1:8">
      <c r="A12767" t="s">
        <v>1783</v>
      </c>
      <c r="B12767">
        <f>HYPERLINK("https://android.googlesource.com/platform/cts/+/2052c7b87c9d9f129bae3808169bea604d3fc7ec", "2052c7b87c9d9f129bae3808169bea604d3fc7ec")</f>
        <v>0</v>
      </c>
      <c r="C12767">
        <f>HYPERLINK("https://android.googlesource.com/platform/cts/+/d38861f49e61da295b315b44e387d8218cb6aacd", "d38861f49e61da295b315b44e387d8218cb6aacd")</f>
        <v>0</v>
      </c>
      <c r="D12767" t="s">
        <v>5278</v>
      </c>
      <c r="E12767" t="s">
        <v>7535</v>
      </c>
      <c r="F12767" t="s">
        <v>13418</v>
      </c>
      <c r="G12767" t="s">
        <v>17544</v>
      </c>
      <c r="H12767" t="s">
        <v>29747</v>
      </c>
    </row>
    <row r="12768" spans="1:8">
      <c r="H12768" t="s">
        <v>29748</v>
      </c>
    </row>
    <row r="12769" spans="1:8">
      <c r="H12769" t="s">
        <v>29749</v>
      </c>
    </row>
    <row r="12770" spans="1:8">
      <c r="H12770" t="s">
        <v>29750</v>
      </c>
    </row>
    <row r="12771" spans="1:8">
      <c r="H12771" t="s">
        <v>29751</v>
      </c>
    </row>
    <row r="12772" spans="1:8">
      <c r="H12772" t="s">
        <v>29752</v>
      </c>
    </row>
    <row r="12773" spans="1:8">
      <c r="H12773" t="s">
        <v>29753</v>
      </c>
    </row>
    <row r="12774" spans="1:8">
      <c r="H12774" t="s">
        <v>29754</v>
      </c>
    </row>
    <row r="12775" spans="1:8">
      <c r="A12775" t="s">
        <v>1784</v>
      </c>
      <c r="B12775">
        <f>HYPERLINK("https://android.googlesource.com/platform/cts/+/a1f4131c8170703ea9bd2ec476ab940c555468b0", "a1f4131c8170703ea9bd2ec476ab940c555468b0")</f>
        <v>0</v>
      </c>
      <c r="C12775">
        <f>HYPERLINK("https://android.googlesource.com/platform/cts/+/6ea911e6e23e9204b2be7104c64b58069d1d2ef8", "6ea911e6e23e9204b2be7104c64b58069d1d2ef8")</f>
        <v>0</v>
      </c>
      <c r="D12775" t="s">
        <v>5258</v>
      </c>
      <c r="E12775" t="s">
        <v>7536</v>
      </c>
      <c r="F12775" t="s">
        <v>12406</v>
      </c>
      <c r="G12775" t="s">
        <v>16628</v>
      </c>
      <c r="H12775" t="s">
        <v>29756</v>
      </c>
    </row>
    <row r="12776" spans="1:8">
      <c r="A12776" t="s">
        <v>1785</v>
      </c>
      <c r="B12776">
        <f>HYPERLINK("https://android.googlesource.com/platform/cts/+/caeffb4cc5cda772f760694bcf32a6026f70fae4", "caeffb4cc5cda772f760694bcf32a6026f70fae4")</f>
        <v>0</v>
      </c>
      <c r="C12776">
        <f>HYPERLINK("https://android.googlesource.com/platform/cts/+/1b7de239759b6cbbc13e81f92823ff388fcf9988", "1b7de239759b6cbbc13e81f92823ff388fcf9988")</f>
        <v>0</v>
      </c>
      <c r="D12776" t="s">
        <v>5134</v>
      </c>
      <c r="E12776" t="s">
        <v>7537</v>
      </c>
      <c r="F12776" t="s">
        <v>13420</v>
      </c>
      <c r="G12776" t="s">
        <v>17546</v>
      </c>
      <c r="H12776" t="s">
        <v>29762</v>
      </c>
    </row>
    <row r="12777" spans="1:8">
      <c r="H12777" t="s">
        <v>29763</v>
      </c>
    </row>
    <row r="12778" spans="1:8">
      <c r="H12778" t="s">
        <v>29764</v>
      </c>
    </row>
    <row r="12779" spans="1:8">
      <c r="H12779" t="s">
        <v>29765</v>
      </c>
    </row>
    <row r="12780" spans="1:8">
      <c r="A12780" t="s">
        <v>1786</v>
      </c>
      <c r="B12780">
        <f>HYPERLINK("https://android.googlesource.com/platform/cts/+/c245c4bbb7349060e10a7006edf8fad5646d8e95", "c245c4bbb7349060e10a7006edf8fad5646d8e95")</f>
        <v>0</v>
      </c>
      <c r="C12780">
        <f>HYPERLINK("https://android.googlesource.com/platform/cts/+/50e2160d0b8f6f6f53c2d621aa7bf4cd5bb14f78", "50e2160d0b8f6f6f53c2d621aa7bf4cd5bb14f78")</f>
        <v>0</v>
      </c>
      <c r="D12780" t="s">
        <v>5269</v>
      </c>
      <c r="E12780" t="s">
        <v>7538</v>
      </c>
      <c r="F12780" t="s">
        <v>12841</v>
      </c>
      <c r="G12780" t="s">
        <v>15119</v>
      </c>
      <c r="H12780" t="s">
        <v>29766</v>
      </c>
    </row>
    <row r="12781" spans="1:8">
      <c r="A12781" t="s">
        <v>1791</v>
      </c>
      <c r="B12781">
        <f>HYPERLINK("https://android.googlesource.com/platform/cts/+/f82d2c0e0219f4e063c96770f51e729a795d269f", "f82d2c0e0219f4e063c96770f51e729a795d269f")</f>
        <v>0</v>
      </c>
      <c r="C12781">
        <f>HYPERLINK("https://android.googlesource.com/platform/cts/+/c8eacc9abe2e5070a22c074e736cebf9e5d5eab6", "c8eacc9abe2e5070a22c074e736cebf9e5d5eab6")</f>
        <v>0</v>
      </c>
      <c r="D12781" t="s">
        <v>5134</v>
      </c>
      <c r="E12781" t="s">
        <v>7542</v>
      </c>
      <c r="F12781" t="s">
        <v>13421</v>
      </c>
      <c r="G12781" t="s">
        <v>17545</v>
      </c>
      <c r="H12781" t="s">
        <v>29759</v>
      </c>
    </row>
    <row r="12782" spans="1:8">
      <c r="A12782" t="s">
        <v>1792</v>
      </c>
      <c r="B12782">
        <f>HYPERLINK("https://android.googlesource.com/platform/cts/+/d84fb8030c0cd185ca4462fcfb2d61ec61b4f50a", "d84fb8030c0cd185ca4462fcfb2d61ec61b4f50a")</f>
        <v>0</v>
      </c>
      <c r="C12782">
        <f>HYPERLINK("https://android.googlesource.com/platform/cts/+/0ac259c1d056e7e5814baacbfea4916f7453b3e5", "0ac259c1d056e7e5814baacbfea4916f7453b3e5")</f>
        <v>0</v>
      </c>
      <c r="D12782" t="s">
        <v>5046</v>
      </c>
      <c r="E12782" t="s">
        <v>7543</v>
      </c>
      <c r="F12782" t="s">
        <v>13422</v>
      </c>
      <c r="G12782" t="s">
        <v>16418</v>
      </c>
      <c r="H12782" t="s">
        <v>28615</v>
      </c>
    </row>
    <row r="12783" spans="1:8">
      <c r="A12783" t="s">
        <v>1794</v>
      </c>
      <c r="B12783">
        <f>HYPERLINK("https://android.googlesource.com/platform/cts/+/fc614de2bc767334108662c001a024da63971ec5", "fc614de2bc767334108662c001a024da63971ec5")</f>
        <v>0</v>
      </c>
      <c r="C12783">
        <f>HYPERLINK("https://android.googlesource.com/platform/cts/+/fb6eb1c90d5a7205f881b794e8ed146e75f88966", "fb6eb1c90d5a7205f881b794e8ed146e75f88966")</f>
        <v>0</v>
      </c>
      <c r="D12783" t="s">
        <v>5046</v>
      </c>
      <c r="E12783" t="s">
        <v>7545</v>
      </c>
      <c r="F12783" t="s">
        <v>13424</v>
      </c>
      <c r="G12783" t="s">
        <v>17548</v>
      </c>
      <c r="H12783" t="s">
        <v>29770</v>
      </c>
    </row>
    <row r="12784" spans="1:8">
      <c r="A12784" t="s">
        <v>1795</v>
      </c>
      <c r="B12784">
        <f>HYPERLINK("https://android.googlesource.com/platform/cts/+/76d91244b0cdb1feb0138906ccca062e3ec6c3a9", "76d91244b0cdb1feb0138906ccca062e3ec6c3a9")</f>
        <v>0</v>
      </c>
      <c r="C12784">
        <f>HYPERLINK("https://android.googlesource.com/platform/cts/+/f82d2c0e0219f4e063c96770f51e729a795d269f", "f82d2c0e0219f4e063c96770f51e729a795d269f")</f>
        <v>0</v>
      </c>
      <c r="D12784" t="s">
        <v>5134</v>
      </c>
      <c r="E12784" t="s">
        <v>7546</v>
      </c>
      <c r="F12784" t="s">
        <v>13425</v>
      </c>
      <c r="G12784" t="s">
        <v>17549</v>
      </c>
      <c r="H12784" t="s">
        <v>29779</v>
      </c>
    </row>
    <row r="12785" spans="1:8">
      <c r="H12785" t="s">
        <v>29780</v>
      </c>
    </row>
    <row r="12786" spans="1:8">
      <c r="H12786" t="s">
        <v>29781</v>
      </c>
    </row>
    <row r="12787" spans="1:8">
      <c r="H12787" t="s">
        <v>29782</v>
      </c>
    </row>
    <row r="12788" spans="1:8">
      <c r="H12788" t="s">
        <v>29783</v>
      </c>
    </row>
    <row r="12789" spans="1:8">
      <c r="H12789" t="s">
        <v>29784</v>
      </c>
    </row>
    <row r="12790" spans="1:8">
      <c r="H12790" t="s">
        <v>29785</v>
      </c>
    </row>
    <row r="12791" spans="1:8">
      <c r="A12791" t="s">
        <v>1797</v>
      </c>
      <c r="B12791">
        <f>HYPERLINK("https://android.googlesource.com/platform/cts/+/df9f00f93c144b32442f31df26ec97d6e123d57f", "df9f00f93c144b32442f31df26ec97d6e123d57f")</f>
        <v>0</v>
      </c>
      <c r="C12791">
        <f>HYPERLINK("https://android.googlesource.com/platform/cts/+/1b09e54155e343105d236ab86d7a288ab0523428", "1b09e54155e343105d236ab86d7a288ab0523428")</f>
        <v>0</v>
      </c>
      <c r="D12791" t="s">
        <v>4960</v>
      </c>
      <c r="E12791" t="s">
        <v>7548</v>
      </c>
      <c r="F12791" t="s">
        <v>13426</v>
      </c>
      <c r="G12791" t="s">
        <v>17550</v>
      </c>
      <c r="H12791" t="s">
        <v>29789</v>
      </c>
    </row>
    <row r="12792" spans="1:8">
      <c r="H12792" t="s">
        <v>29790</v>
      </c>
    </row>
    <row r="12793" spans="1:8">
      <c r="H12793" t="s">
        <v>29791</v>
      </c>
    </row>
    <row r="12794" spans="1:8">
      <c r="A12794" t="s">
        <v>1798</v>
      </c>
      <c r="B12794">
        <f>HYPERLINK("https://android.googlesource.com/platform/cts/+/d4b42453e338a44dbe752ebcc4657655d2c08b88", "d4b42453e338a44dbe752ebcc4657655d2c08b88")</f>
        <v>0</v>
      </c>
      <c r="C12794">
        <f>HYPERLINK("https://android.googlesource.com/platform/cts/+/0405f295e97122381e1243e134d43457366a87f0", "0405f295e97122381e1243e134d43457366a87f0")</f>
        <v>0</v>
      </c>
      <c r="D12794" t="s">
        <v>5193</v>
      </c>
      <c r="E12794" t="s">
        <v>7549</v>
      </c>
      <c r="F12794" t="s">
        <v>13427</v>
      </c>
      <c r="G12794" t="s">
        <v>17551</v>
      </c>
      <c r="H12794" t="s">
        <v>29792</v>
      </c>
    </row>
    <row r="12795" spans="1:8">
      <c r="H12795" t="s">
        <v>29793</v>
      </c>
    </row>
    <row r="12796" spans="1:8">
      <c r="A12796" t="s">
        <v>1800</v>
      </c>
      <c r="B12796">
        <f>HYPERLINK("https://android.googlesource.com/platform/cts/+/2829aa356851145c157467ffeaac080ef2a14f1e", "2829aa356851145c157467ffeaac080ef2a14f1e")</f>
        <v>0</v>
      </c>
      <c r="C12796">
        <f>HYPERLINK("https://android.googlesource.com/platform/cts/+/60f77a64b56818e118e75a2dcf05d87186bbc660", "60f77a64b56818e118e75a2dcf05d87186bbc660")</f>
        <v>0</v>
      </c>
      <c r="D12796" t="s">
        <v>5131</v>
      </c>
      <c r="E12796" t="s">
        <v>7551</v>
      </c>
      <c r="F12796" t="s">
        <v>13430</v>
      </c>
      <c r="G12796" t="s">
        <v>17554</v>
      </c>
      <c r="H12796" t="s">
        <v>29795</v>
      </c>
    </row>
    <row r="12797" spans="1:8">
      <c r="A12797" t="s">
        <v>1801</v>
      </c>
      <c r="B12797">
        <f>HYPERLINK("https://android.googlesource.com/platform/cts/+/ea42c31733f2dab665073c7b9db0e946dd442ed6", "ea42c31733f2dab665073c7b9db0e946dd442ed6")</f>
        <v>0</v>
      </c>
      <c r="C12797">
        <f>HYPERLINK("https://android.googlesource.com/platform/cts/+/b75fac9354e55876b0e50dde329da61d65f0bfbe", "b75fac9354e55876b0e50dde329da61d65f0bfbe")</f>
        <v>0</v>
      </c>
      <c r="D12797" t="s">
        <v>5126</v>
      </c>
      <c r="E12797" t="s">
        <v>7552</v>
      </c>
      <c r="F12797" t="s">
        <v>13209</v>
      </c>
      <c r="G12797" t="s">
        <v>17350</v>
      </c>
      <c r="H12797" t="s">
        <v>29796</v>
      </c>
    </row>
    <row r="12798" spans="1:8">
      <c r="A12798" t="s">
        <v>1802</v>
      </c>
      <c r="B12798">
        <f>HYPERLINK("https://android.googlesource.com/platform/cts/+/a2e1390f05a5f7b55795ab111a4f7d374ad08c4f", "a2e1390f05a5f7b55795ab111a4f7d374ad08c4f")</f>
        <v>0</v>
      </c>
      <c r="C12798">
        <f>HYPERLINK("https://android.googlesource.com/platform/cts/+/75ae3e1c15aeb84bb08e5ff49e62ccc6ae2e2665", "75ae3e1c15aeb84bb08e5ff49e62ccc6ae2e2665")</f>
        <v>0</v>
      </c>
      <c r="D12798" t="s">
        <v>5280</v>
      </c>
      <c r="E12798" t="s">
        <v>7553</v>
      </c>
      <c r="F12798" t="s">
        <v>12710</v>
      </c>
      <c r="G12798" t="s">
        <v>16911</v>
      </c>
      <c r="H12798" t="s">
        <v>29797</v>
      </c>
    </row>
    <row r="12799" spans="1:8">
      <c r="A12799" t="s">
        <v>1803</v>
      </c>
      <c r="B12799">
        <f>HYPERLINK("https://android.googlesource.com/platform/cts/+/06c47e3298a42ca6b70aa1d516edec019aca9d45", "06c47e3298a42ca6b70aa1d516edec019aca9d45")</f>
        <v>0</v>
      </c>
      <c r="C12799">
        <f>HYPERLINK("https://android.googlesource.com/platform/cts/+/b75fac9354e55876b0e50dde329da61d65f0bfbe", "b75fac9354e55876b0e50dde329da61d65f0bfbe")</f>
        <v>0</v>
      </c>
      <c r="D12799" t="s">
        <v>5281</v>
      </c>
      <c r="E12799" t="s">
        <v>7554</v>
      </c>
      <c r="F12799" t="s">
        <v>13431</v>
      </c>
      <c r="G12799" t="s">
        <v>17555</v>
      </c>
      <c r="H12799" t="s">
        <v>29798</v>
      </c>
    </row>
    <row r="12800" spans="1:8">
      <c r="A12800" t="s">
        <v>1806</v>
      </c>
      <c r="B12800">
        <f>HYPERLINK("https://android.googlesource.com/platform/cts/+/a6490cbf87d8a2ab182b30af44ca00933cb9ab5b", "a6490cbf87d8a2ab182b30af44ca00933cb9ab5b")</f>
        <v>0</v>
      </c>
      <c r="C12800">
        <f>HYPERLINK("https://android.googlesource.com/platform/cts/+/c0bd71ea57614aafaf9eb287e5e4c3f308221fec", "c0bd71ea57614aafaf9eb287e5e4c3f308221fec")</f>
        <v>0</v>
      </c>
      <c r="D12800" t="s">
        <v>5046</v>
      </c>
      <c r="E12800" t="s">
        <v>7556</v>
      </c>
      <c r="F12800" t="s">
        <v>13432</v>
      </c>
      <c r="G12800" t="s">
        <v>17556</v>
      </c>
      <c r="H12800" t="s">
        <v>29799</v>
      </c>
    </row>
    <row r="12801" spans="1:8">
      <c r="F12801" t="s">
        <v>13433</v>
      </c>
      <c r="G12801" t="s">
        <v>17557</v>
      </c>
      <c r="H12801" t="s">
        <v>29800</v>
      </c>
    </row>
    <row r="12802" spans="1:8">
      <c r="A12802" t="s">
        <v>1807</v>
      </c>
      <c r="B12802">
        <f>HYPERLINK("https://android.googlesource.com/platform/cts/+/807291f0bc780df7c37169fc4e340937f7f321d2", "807291f0bc780df7c37169fc4e340937f7f321d2")</f>
        <v>0</v>
      </c>
      <c r="C12802">
        <f>HYPERLINK("https://android.googlesource.com/platform/cts/+/b6cb77792e3abf2fbf4d4abbd32d01809713db15", "b6cb77792e3abf2fbf4d4abbd32d01809713db15")</f>
        <v>0</v>
      </c>
      <c r="D12802" t="s">
        <v>5046</v>
      </c>
      <c r="E12802" t="s">
        <v>7557</v>
      </c>
      <c r="F12802" t="s">
        <v>13432</v>
      </c>
      <c r="G12802" t="s">
        <v>17556</v>
      </c>
      <c r="H12802" t="s">
        <v>29801</v>
      </c>
    </row>
    <row r="12803" spans="1:8">
      <c r="H12803" t="s">
        <v>29802</v>
      </c>
    </row>
    <row r="12804" spans="1:8">
      <c r="F12804" t="s">
        <v>13433</v>
      </c>
      <c r="G12804" t="s">
        <v>17557</v>
      </c>
      <c r="H12804" t="s">
        <v>29804</v>
      </c>
    </row>
    <row r="12805" spans="1:8">
      <c r="H12805" t="s">
        <v>29805</v>
      </c>
    </row>
    <row r="12806" spans="1:8">
      <c r="A12806" t="s">
        <v>1808</v>
      </c>
      <c r="B12806">
        <f>HYPERLINK("https://android.googlesource.com/platform/cts/+/801e003859087338f28e98e1c4ab804acd3c4559", "801e003859087338f28e98e1c4ab804acd3c4559")</f>
        <v>0</v>
      </c>
      <c r="C12806">
        <f>HYPERLINK("https://android.googlesource.com/platform/cts/+/21991702d510ae724b1e14976dd36cfa4929dd60", "21991702d510ae724b1e14976dd36cfa4929dd60")</f>
        <v>0</v>
      </c>
      <c r="D12806" t="s">
        <v>4981</v>
      </c>
      <c r="E12806" t="s">
        <v>7558</v>
      </c>
      <c r="F12806" t="s">
        <v>13261</v>
      </c>
      <c r="G12806" t="s">
        <v>17399</v>
      </c>
      <c r="H12806" t="s">
        <v>29807</v>
      </c>
    </row>
    <row r="12807" spans="1:8">
      <c r="F12807" t="s">
        <v>13285</v>
      </c>
      <c r="G12807" t="s">
        <v>17422</v>
      </c>
      <c r="H12807" t="s">
        <v>29807</v>
      </c>
    </row>
    <row r="12808" spans="1:8">
      <c r="A12808" t="s">
        <v>1816</v>
      </c>
      <c r="B12808">
        <f>HYPERLINK("https://android.googlesource.com/platform/cts/+/02f7f4a5bfc8749962f1634ef83b96ab2a3150ac", "02f7f4a5bfc8749962f1634ef83b96ab2a3150ac")</f>
        <v>0</v>
      </c>
      <c r="C12808">
        <f>HYPERLINK("https://android.googlesource.com/platform/cts/+/40d7fbd4b39b1a6751ddf12dbd2d1639e99d3d45", "40d7fbd4b39b1a6751ddf12dbd2d1639e99d3d45")</f>
        <v>0</v>
      </c>
      <c r="D12808" t="s">
        <v>5046</v>
      </c>
      <c r="E12808" t="s">
        <v>7564</v>
      </c>
      <c r="F12808" t="s">
        <v>13432</v>
      </c>
      <c r="G12808" t="s">
        <v>17556</v>
      </c>
      <c r="H12808" t="s">
        <v>29817</v>
      </c>
    </row>
    <row r="12809" spans="1:8">
      <c r="A12809" t="s">
        <v>1818</v>
      </c>
      <c r="B12809">
        <f>HYPERLINK("https://android.googlesource.com/platform/cts/+/f6949d08c0ece339cbfeaa653e1e69c36529559f", "f6949d08c0ece339cbfeaa653e1e69c36529559f")</f>
        <v>0</v>
      </c>
      <c r="C12809">
        <f>HYPERLINK("https://android.googlesource.com/platform/cts/+/99d9d9718502356286e0b1847d2e06da0347c4b4", "99d9d9718502356286e0b1847d2e06da0347c4b4")</f>
        <v>0</v>
      </c>
      <c r="D12809" t="s">
        <v>5046</v>
      </c>
      <c r="E12809" t="s">
        <v>7566</v>
      </c>
      <c r="F12809" t="s">
        <v>13432</v>
      </c>
      <c r="G12809" t="s">
        <v>17556</v>
      </c>
      <c r="H12809" t="s">
        <v>29818</v>
      </c>
    </row>
    <row r="12810" spans="1:8">
      <c r="H12810" t="s">
        <v>29819</v>
      </c>
    </row>
    <row r="12811" spans="1:8">
      <c r="A12811" t="s">
        <v>1821</v>
      </c>
      <c r="B12811">
        <f>HYPERLINK("https://android.googlesource.com/platform/cts/+/27a09701c8190a1aaf829de288c34bdf9bc43d54", "27a09701c8190a1aaf829de288c34bdf9bc43d54")</f>
        <v>0</v>
      </c>
      <c r="C12811">
        <f>HYPERLINK("https://android.googlesource.com/platform/cts/+/a2e1390f05a5f7b55795ab111a4f7d374ad08c4f", "a2e1390f05a5f7b55795ab111a4f7d374ad08c4f")</f>
        <v>0</v>
      </c>
      <c r="D12811" t="s">
        <v>5280</v>
      </c>
      <c r="E12811" t="s">
        <v>7568</v>
      </c>
      <c r="F12811" t="s">
        <v>12710</v>
      </c>
      <c r="G12811" t="s">
        <v>16911</v>
      </c>
      <c r="H12811" t="s">
        <v>29826</v>
      </c>
    </row>
    <row r="12812" spans="1:8">
      <c r="A12812" t="s">
        <v>1822</v>
      </c>
      <c r="B12812">
        <f>HYPERLINK("https://android.googlesource.com/platform/cts/+/8b285538aaca0f6945a74c90309d5f2c2fd73288", "8b285538aaca0f6945a74c90309d5f2c2fd73288")</f>
        <v>0</v>
      </c>
      <c r="C12812">
        <f>HYPERLINK("https://android.googlesource.com/platform/cts/+/e5683a73191951a9e19b3c998da88cfd955ca022", "e5683a73191951a9e19b3c998da88cfd955ca022")</f>
        <v>0</v>
      </c>
      <c r="D12812" t="s">
        <v>5283</v>
      </c>
      <c r="E12812" t="s">
        <v>7569</v>
      </c>
      <c r="F12812" t="s">
        <v>13440</v>
      </c>
      <c r="G12812" t="s">
        <v>17562</v>
      </c>
      <c r="H12812" t="s">
        <v>29827</v>
      </c>
    </row>
    <row r="12813" spans="1:8">
      <c r="A12813" t="s">
        <v>1823</v>
      </c>
      <c r="B12813">
        <f>HYPERLINK("https://android.googlesource.com/platform/cts/+/07383f52e40d18baeac3a1188f8b472f4b0672ab", "07383f52e40d18baeac3a1188f8b472f4b0672ab")</f>
        <v>0</v>
      </c>
      <c r="C12813">
        <f>HYPERLINK("https://android.googlesource.com/platform/cts/+/4cd3817c07355301dab0f158bbe3d44c182c1849", "4cd3817c07355301dab0f158bbe3d44c182c1849")</f>
        <v>0</v>
      </c>
      <c r="D12813" t="s">
        <v>5146</v>
      </c>
      <c r="E12813" t="s">
        <v>7570</v>
      </c>
      <c r="F12813" t="s">
        <v>12845</v>
      </c>
      <c r="G12813" t="s">
        <v>16561</v>
      </c>
      <c r="H12813" t="s">
        <v>20276</v>
      </c>
    </row>
    <row r="12814" spans="1:8">
      <c r="H12814" t="s">
        <v>20277</v>
      </c>
    </row>
    <row r="12815" spans="1:8">
      <c r="F12815" t="s">
        <v>12860</v>
      </c>
      <c r="G12815" t="s">
        <v>17029</v>
      </c>
      <c r="H12815" t="s">
        <v>29831</v>
      </c>
    </row>
    <row r="12816" spans="1:8">
      <c r="A12816" t="s">
        <v>1827</v>
      </c>
      <c r="B12816">
        <f>HYPERLINK("https://android.googlesource.com/platform/cts/+/8b022c8c608ebaa48a5b94880a1eeb125aefc042", "8b022c8c608ebaa48a5b94880a1eeb125aefc042")</f>
        <v>0</v>
      </c>
      <c r="C12816">
        <f>HYPERLINK("https://android.googlesource.com/platform/cts/+/ee58e66f8526ac1eb6985f209ce116aa1aed2b45", "ee58e66f8526ac1eb6985f209ce116aa1aed2b45")</f>
        <v>0</v>
      </c>
      <c r="D12816" t="s">
        <v>5285</v>
      </c>
      <c r="E12816" t="s">
        <v>7574</v>
      </c>
      <c r="F12816" t="s">
        <v>13162</v>
      </c>
      <c r="G12816" t="s">
        <v>16987</v>
      </c>
      <c r="H12816" t="s">
        <v>29836</v>
      </c>
    </row>
    <row r="12817" spans="1:8">
      <c r="F12817" t="s">
        <v>12629</v>
      </c>
      <c r="G12817" t="s">
        <v>16838</v>
      </c>
      <c r="H12817" t="s">
        <v>29837</v>
      </c>
    </row>
    <row r="12818" spans="1:8">
      <c r="H12818" t="s">
        <v>29838</v>
      </c>
    </row>
    <row r="12819" spans="1:8">
      <c r="A12819" t="s">
        <v>1829</v>
      </c>
      <c r="B12819">
        <f>HYPERLINK("https://android.googlesource.com/platform/cts/+/2b9275d1f57251d2b242a9b55da602cf0ee0bc93", "2b9275d1f57251d2b242a9b55da602cf0ee0bc93")</f>
        <v>0</v>
      </c>
      <c r="C12819">
        <f>HYPERLINK("https://android.googlesource.com/platform/cts/+/1c3f4ccbd8b402ea2c777293dd6df5ce44a7b1a2", "1c3f4ccbd8b402ea2c777293dd6df5ce44a7b1a2")</f>
        <v>0</v>
      </c>
      <c r="D12819" t="s">
        <v>5287</v>
      </c>
      <c r="E12819" t="s">
        <v>7576</v>
      </c>
      <c r="F12819" t="s">
        <v>13442</v>
      </c>
      <c r="G12819" t="s">
        <v>17564</v>
      </c>
      <c r="H12819" t="s">
        <v>29840</v>
      </c>
    </row>
    <row r="12820" spans="1:8">
      <c r="A12820" t="s">
        <v>1830</v>
      </c>
      <c r="B12820">
        <f>HYPERLINK("https://android.googlesource.com/platform/cts/+/4fcbb81d4fdff0fab6aebffebff67af697d90986", "4fcbb81d4fdff0fab6aebffebff67af697d90986")</f>
        <v>0</v>
      </c>
      <c r="C12820">
        <f>HYPERLINK("https://android.googlesource.com/platform/cts/+/98c0df34658acc8fdf27d6cd44050d4844770b63", "98c0df34658acc8fdf27d6cd44050d4844770b63")</f>
        <v>0</v>
      </c>
      <c r="D12820" t="s">
        <v>5280</v>
      </c>
      <c r="E12820" t="s">
        <v>7577</v>
      </c>
      <c r="F12820" t="s">
        <v>12710</v>
      </c>
      <c r="G12820" t="s">
        <v>16911</v>
      </c>
      <c r="H12820" t="s">
        <v>29584</v>
      </c>
    </row>
    <row r="12821" spans="1:8">
      <c r="A12821" t="s">
        <v>1832</v>
      </c>
      <c r="B12821">
        <f>HYPERLINK("https://android.googlesource.com/platform/cts/+/14ebdc825353c2b16f66c3a276cb865cab96e69e", "14ebdc825353c2b16f66c3a276cb865cab96e69e")</f>
        <v>0</v>
      </c>
      <c r="C12821">
        <f>HYPERLINK("https://android.googlesource.com/platform/cts/+/4d75df2d3e7bca502354af043fc51c1caf8dfe09", "4d75df2d3e7bca502354af043fc51c1caf8dfe09")</f>
        <v>0</v>
      </c>
      <c r="D12821" t="s">
        <v>5288</v>
      </c>
      <c r="E12821" t="s">
        <v>7579</v>
      </c>
      <c r="F12821" t="s">
        <v>13444</v>
      </c>
      <c r="G12821" t="s">
        <v>17566</v>
      </c>
      <c r="H12821" t="s">
        <v>29841</v>
      </c>
    </row>
    <row r="12822" spans="1:8">
      <c r="H12822" t="s">
        <v>29842</v>
      </c>
    </row>
    <row r="12823" spans="1:8">
      <c r="F12823" t="s">
        <v>13445</v>
      </c>
      <c r="G12823" t="s">
        <v>17567</v>
      </c>
      <c r="H12823" t="s">
        <v>29844</v>
      </c>
    </row>
    <row r="12824" spans="1:8">
      <c r="H12824" t="s">
        <v>29845</v>
      </c>
    </row>
    <row r="12825" spans="1:8">
      <c r="H12825" t="s">
        <v>29846</v>
      </c>
    </row>
    <row r="12826" spans="1:8">
      <c r="H12826" t="s">
        <v>29847</v>
      </c>
    </row>
    <row r="12827" spans="1:8">
      <c r="A12827" t="s">
        <v>1834</v>
      </c>
      <c r="B12827">
        <f>HYPERLINK("https://android.googlesource.com/platform/cts/+/5d268e23679340f6217b77b32480a2c331cc62ee", "5d268e23679340f6217b77b32480a2c331cc62ee")</f>
        <v>0</v>
      </c>
      <c r="C12827">
        <f>HYPERLINK("https://android.googlesource.com/platform/cts/+/dfdcc0eda744be765642560c5f9583822da3907a", "dfdcc0eda744be765642560c5f9583822da3907a")</f>
        <v>0</v>
      </c>
      <c r="D12827" t="s">
        <v>5134</v>
      </c>
      <c r="E12827" t="s">
        <v>7581</v>
      </c>
      <c r="F12827" t="s">
        <v>13446</v>
      </c>
      <c r="G12827" t="s">
        <v>17568</v>
      </c>
      <c r="H12827" t="s">
        <v>29779</v>
      </c>
    </row>
    <row r="12828" spans="1:8">
      <c r="H12828" t="s">
        <v>29780</v>
      </c>
    </row>
    <row r="12829" spans="1:8">
      <c r="H12829" t="s">
        <v>29781</v>
      </c>
    </row>
    <row r="12830" spans="1:8">
      <c r="H12830" t="s">
        <v>29782</v>
      </c>
    </row>
    <row r="12831" spans="1:8">
      <c r="H12831" t="s">
        <v>29783</v>
      </c>
    </row>
    <row r="12832" spans="1:8">
      <c r="H12832" t="s">
        <v>29784</v>
      </c>
    </row>
    <row r="12833" spans="1:8">
      <c r="H12833" t="s">
        <v>29785</v>
      </c>
    </row>
    <row r="12834" spans="1:8">
      <c r="A12834" t="s">
        <v>1836</v>
      </c>
      <c r="B12834">
        <f>HYPERLINK("https://android.googlesource.com/platform/cts/+/a1d2c8086f63aaeb87313a778c274e80161b0f46", "a1d2c8086f63aaeb87313a778c274e80161b0f46")</f>
        <v>0</v>
      </c>
      <c r="C12834">
        <f>HYPERLINK("https://android.googlesource.com/platform/cts/+/e7ed22a14357e43b65b6a9258843bfdaa255e0a1", "e7ed22a14357e43b65b6a9258843bfdaa255e0a1")</f>
        <v>0</v>
      </c>
      <c r="D12834" t="s">
        <v>5110</v>
      </c>
      <c r="E12834" t="s">
        <v>7583</v>
      </c>
      <c r="F12834" t="s">
        <v>12629</v>
      </c>
      <c r="G12834" t="s">
        <v>16838</v>
      </c>
      <c r="H12834" t="s">
        <v>29852</v>
      </c>
    </row>
    <row r="12835" spans="1:8">
      <c r="A12835" t="s">
        <v>1837</v>
      </c>
      <c r="B12835">
        <f>HYPERLINK("https://android.googlesource.com/platform/cts/+/a15c8f1c5618f6c28da8a94fc608b7c114eab34c", "a15c8f1c5618f6c28da8a94fc608b7c114eab34c")</f>
        <v>0</v>
      </c>
      <c r="C12835">
        <f>HYPERLINK("https://android.googlesource.com/platform/cts/+/9eb0439a016e0f757b527a94a9c25fa7e69c48f2", "9eb0439a016e0f757b527a94a9c25fa7e69c48f2")</f>
        <v>0</v>
      </c>
      <c r="D12835" t="s">
        <v>5117</v>
      </c>
      <c r="E12835" t="s">
        <v>7584</v>
      </c>
      <c r="F12835" t="s">
        <v>13448</v>
      </c>
      <c r="G12835" t="s">
        <v>17570</v>
      </c>
      <c r="H12835" t="s">
        <v>29853</v>
      </c>
    </row>
    <row r="12836" spans="1:8">
      <c r="H12836" t="s">
        <v>29854</v>
      </c>
    </row>
    <row r="12837" spans="1:8">
      <c r="A12837" t="s">
        <v>1841</v>
      </c>
      <c r="B12837">
        <f>HYPERLINK("https://android.googlesource.com/platform/cts/+/392b9300fbc3f1ddf7c3e2b8e2d5d6e0b94d1637", "392b9300fbc3f1ddf7c3e2b8e2d5d6e0b94d1637")</f>
        <v>0</v>
      </c>
      <c r="C12837">
        <f>HYPERLINK("https://android.googlesource.com/platform/cts/+/a9e2ea44e979164178abc23740d882db3c297f7a", "a9e2ea44e979164178abc23740d882db3c297f7a")</f>
        <v>0</v>
      </c>
      <c r="D12837" t="s">
        <v>5191</v>
      </c>
      <c r="E12837" t="s">
        <v>7587</v>
      </c>
      <c r="F12837" t="s">
        <v>13404</v>
      </c>
      <c r="G12837" t="s">
        <v>17530</v>
      </c>
      <c r="H12837" t="s">
        <v>29862</v>
      </c>
    </row>
    <row r="12838" spans="1:8">
      <c r="A12838" t="s">
        <v>1843</v>
      </c>
      <c r="B12838">
        <f>HYPERLINK("https://android.googlesource.com/platform/cts/+/f561db77e3e3f7ceb69d4fb1593fe9246eba6907", "f561db77e3e3f7ceb69d4fb1593fe9246eba6907")</f>
        <v>0</v>
      </c>
      <c r="C12838">
        <f>HYPERLINK("https://android.googlesource.com/platform/cts/+/6c9b8f0bf79b97b24a76d6d813aed64314545a5c", "6c9b8f0bf79b97b24a76d6d813aed64314545a5c")</f>
        <v>0</v>
      </c>
      <c r="D12838" t="s">
        <v>5141</v>
      </c>
      <c r="E12838" t="s">
        <v>7589</v>
      </c>
      <c r="F12838" t="s">
        <v>10794</v>
      </c>
      <c r="G12838" t="s">
        <v>15189</v>
      </c>
      <c r="H12838" t="s">
        <v>29877</v>
      </c>
    </row>
    <row r="12839" spans="1:8">
      <c r="A12839" t="s">
        <v>1846</v>
      </c>
      <c r="B12839">
        <f>HYPERLINK("https://android.googlesource.com/platform/cts/+/5b39028c6dd2503fdc0dfe0532850250cf77ea9c", "5b39028c6dd2503fdc0dfe0532850250cf77ea9c")</f>
        <v>0</v>
      </c>
      <c r="C12839">
        <f>HYPERLINK("https://android.googlesource.com/platform/cts/+/bb251ea23b2c433fb656ce65fee48cc9324982bb", "bb251ea23b2c433fb656ce65fee48cc9324982bb")</f>
        <v>0</v>
      </c>
      <c r="D12839" t="s">
        <v>5110</v>
      </c>
      <c r="E12839" t="s">
        <v>7592</v>
      </c>
      <c r="F12839" t="s">
        <v>12901</v>
      </c>
      <c r="G12839" t="s">
        <v>17068</v>
      </c>
      <c r="H12839" t="s">
        <v>29880</v>
      </c>
    </row>
    <row r="12840" spans="1:8">
      <c r="F12840" t="s">
        <v>12629</v>
      </c>
      <c r="G12840" t="s">
        <v>16838</v>
      </c>
      <c r="H12840" t="s">
        <v>29880</v>
      </c>
    </row>
    <row r="12841" spans="1:8">
      <c r="A12841" t="s">
        <v>1847</v>
      </c>
      <c r="B12841">
        <f>HYPERLINK("https://android.googlesource.com/platform/cts/+/ce31c0566e142ea05ea731755d3c7d3b202254c8", "ce31c0566e142ea05ea731755d3c7d3b202254c8")</f>
        <v>0</v>
      </c>
      <c r="C12841">
        <f>HYPERLINK("https://android.googlesource.com/platform/cts/+/e649acab87effb76c4efb3daa5c45321302e9c9b", "e649acab87effb76c4efb3daa5c45321302e9c9b")</f>
        <v>0</v>
      </c>
      <c r="D12841" t="s">
        <v>5021</v>
      </c>
      <c r="E12841" t="s">
        <v>7593</v>
      </c>
      <c r="F12841" t="s">
        <v>13457</v>
      </c>
      <c r="G12841" t="s">
        <v>17483</v>
      </c>
      <c r="H12841" t="s">
        <v>29887</v>
      </c>
    </row>
    <row r="12842" spans="1:8">
      <c r="H12842" t="s">
        <v>29888</v>
      </c>
    </row>
    <row r="12843" spans="1:8">
      <c r="H12843" t="s">
        <v>29889</v>
      </c>
    </row>
    <row r="12844" spans="1:8">
      <c r="H12844" t="s">
        <v>29890</v>
      </c>
    </row>
    <row r="12845" spans="1:8">
      <c r="H12845" t="s">
        <v>29891</v>
      </c>
    </row>
    <row r="12846" spans="1:8">
      <c r="H12846" t="s">
        <v>29892</v>
      </c>
    </row>
    <row r="12847" spans="1:8">
      <c r="H12847" t="s">
        <v>29893</v>
      </c>
    </row>
    <row r="12848" spans="1:8">
      <c r="H12848" t="s">
        <v>29894</v>
      </c>
    </row>
    <row r="12849" spans="1:8">
      <c r="A12849" t="s">
        <v>1850</v>
      </c>
      <c r="B12849">
        <f>HYPERLINK("https://android.googlesource.com/platform/cts/+/d82f3c3a53e3b0cb12dbd3dffb68418ef6e9f019", "d82f3c3a53e3b0cb12dbd3dffb68418ef6e9f019")</f>
        <v>0</v>
      </c>
      <c r="C12849">
        <f>HYPERLINK("https://android.googlesource.com/platform/cts/+/c7712f92b8353a19c68fe49b28ceed88c07403db", "c7712f92b8353a19c68fe49b28ceed88c07403db")</f>
        <v>0</v>
      </c>
      <c r="D12849" t="s">
        <v>5141</v>
      </c>
      <c r="E12849" t="s">
        <v>7596</v>
      </c>
      <c r="F12849" t="s">
        <v>13459</v>
      </c>
      <c r="G12849" t="s">
        <v>17577</v>
      </c>
      <c r="H12849" t="s">
        <v>29868</v>
      </c>
    </row>
    <row r="12850" spans="1:8">
      <c r="H12850" t="s">
        <v>29869</v>
      </c>
    </row>
    <row r="12851" spans="1:8">
      <c r="H12851" t="s">
        <v>29870</v>
      </c>
    </row>
    <row r="12852" spans="1:8">
      <c r="A12852" t="s">
        <v>1851</v>
      </c>
      <c r="B12852">
        <f>HYPERLINK("https://android.googlesource.com/platform/cts/+/9a0291cdd28ffa333414a4c0789689f65e98f95d", "9a0291cdd28ffa333414a4c0789689f65e98f95d")</f>
        <v>0</v>
      </c>
      <c r="C12852">
        <f>HYPERLINK("https://android.googlesource.com/platform/cts/+/c8b4800811bf9e9d388e524bee77ba7d17b1e2b2", "c8b4800811bf9e9d388e524bee77ba7d17b1e2b2")</f>
        <v>0</v>
      </c>
      <c r="D12852" t="s">
        <v>4947</v>
      </c>
      <c r="E12852" t="s">
        <v>7597</v>
      </c>
      <c r="F12852" t="s">
        <v>13460</v>
      </c>
      <c r="G12852" t="s">
        <v>16411</v>
      </c>
      <c r="H12852" t="s">
        <v>21256</v>
      </c>
    </row>
    <row r="12853" spans="1:8">
      <c r="H12853" t="s">
        <v>21257</v>
      </c>
    </row>
    <row r="12854" spans="1:8">
      <c r="H12854" t="s">
        <v>21258</v>
      </c>
    </row>
    <row r="12855" spans="1:8">
      <c r="H12855" t="s">
        <v>21259</v>
      </c>
    </row>
    <row r="12856" spans="1:8">
      <c r="H12856" t="s">
        <v>21260</v>
      </c>
    </row>
    <row r="12857" spans="1:8">
      <c r="H12857" t="s">
        <v>21261</v>
      </c>
    </row>
    <row r="12858" spans="1:8">
      <c r="H12858" t="s">
        <v>21262</v>
      </c>
    </row>
    <row r="12859" spans="1:8">
      <c r="H12859" t="s">
        <v>21263</v>
      </c>
    </row>
    <row r="12860" spans="1:8">
      <c r="H12860" t="s">
        <v>21264</v>
      </c>
    </row>
    <row r="12861" spans="1:8">
      <c r="H12861" t="s">
        <v>21265</v>
      </c>
    </row>
    <row r="12862" spans="1:8">
      <c r="H12862" t="s">
        <v>21266</v>
      </c>
    </row>
    <row r="12863" spans="1:8">
      <c r="H12863" t="s">
        <v>21267</v>
      </c>
    </row>
    <row r="12864" spans="1:8">
      <c r="H12864" t="s">
        <v>21268</v>
      </c>
    </row>
    <row r="12865" spans="1:8">
      <c r="H12865" t="s">
        <v>21269</v>
      </c>
    </row>
    <row r="12866" spans="1:8">
      <c r="H12866" t="s">
        <v>21270</v>
      </c>
    </row>
    <row r="12867" spans="1:8">
      <c r="H12867" t="s">
        <v>21271</v>
      </c>
    </row>
    <row r="12868" spans="1:8">
      <c r="H12868" t="s">
        <v>21272</v>
      </c>
    </row>
    <row r="12869" spans="1:8">
      <c r="H12869" t="s">
        <v>21273</v>
      </c>
    </row>
    <row r="12870" spans="1:8">
      <c r="H12870" t="s">
        <v>21274</v>
      </c>
    </row>
    <row r="12871" spans="1:8">
      <c r="H12871" t="s">
        <v>21275</v>
      </c>
    </row>
    <row r="12872" spans="1:8">
      <c r="H12872" t="s">
        <v>21276</v>
      </c>
    </row>
    <row r="12873" spans="1:8">
      <c r="H12873" t="s">
        <v>21277</v>
      </c>
    </row>
    <row r="12874" spans="1:8">
      <c r="H12874" t="s">
        <v>21278</v>
      </c>
    </row>
    <row r="12875" spans="1:8">
      <c r="H12875" t="s">
        <v>21279</v>
      </c>
    </row>
    <row r="12876" spans="1:8">
      <c r="H12876" t="s">
        <v>21280</v>
      </c>
    </row>
    <row r="12877" spans="1:8">
      <c r="H12877" t="s">
        <v>21281</v>
      </c>
    </row>
    <row r="12878" spans="1:8">
      <c r="A12878" t="s">
        <v>1853</v>
      </c>
      <c r="B12878">
        <f>HYPERLINK("https://android.googlesource.com/platform/cts/+/72c3317b2ab88df346760baa026afb4bcbb51609", "72c3317b2ab88df346760baa026afb4bcbb51609")</f>
        <v>0</v>
      </c>
      <c r="C12878">
        <f>HYPERLINK("https://android.googlesource.com/platform/cts/+/0e926eb597738fe9483785c5492c861ac731c65f", "0e926eb597738fe9483785c5492c861ac731c65f")</f>
        <v>0</v>
      </c>
      <c r="D12878" t="s">
        <v>5147</v>
      </c>
      <c r="E12878" t="s">
        <v>7599</v>
      </c>
      <c r="F12878" t="s">
        <v>13462</v>
      </c>
      <c r="G12878" t="s">
        <v>17581</v>
      </c>
      <c r="H12878" t="s">
        <v>29899</v>
      </c>
    </row>
    <row r="12879" spans="1:8">
      <c r="H12879" t="s">
        <v>29897</v>
      </c>
    </row>
    <row r="12880" spans="1:8">
      <c r="A12880" t="s">
        <v>1855</v>
      </c>
      <c r="B12880">
        <f>HYPERLINK("https://android.googlesource.com/platform/cts/+/cce120537f28f6ce8b88610b14c722df16e2ab9b", "cce120537f28f6ce8b88610b14c722df16e2ab9b")</f>
        <v>0</v>
      </c>
      <c r="C12880">
        <f>HYPERLINK("https://android.googlesource.com/platform/cts/+/72a91074cd9a6ce30a1d8efcb1b28b59afe3950e", "72a91074cd9a6ce30a1d8efcb1b28b59afe3950e")</f>
        <v>0</v>
      </c>
      <c r="D12880" t="s">
        <v>5110</v>
      </c>
      <c r="E12880" t="s">
        <v>7601</v>
      </c>
      <c r="F12880" t="s">
        <v>13464</v>
      </c>
      <c r="G12880" t="s">
        <v>17583</v>
      </c>
      <c r="H12880" t="s">
        <v>29901</v>
      </c>
    </row>
    <row r="12881" spans="1:8">
      <c r="A12881" t="s">
        <v>1856</v>
      </c>
      <c r="B12881">
        <f>HYPERLINK("https://android.googlesource.com/platform/cts/+/255ae922c7ce8c2bbf5fcf567c3b368c73397a91", "255ae922c7ce8c2bbf5fcf567c3b368c73397a91")</f>
        <v>0</v>
      </c>
      <c r="C12881">
        <f>HYPERLINK("https://android.googlesource.com/platform/cts/+/11a8e678c564145010e7004cd80daf9a647ff8a9", "11a8e678c564145010e7004cd80daf9a647ff8a9")</f>
        <v>0</v>
      </c>
      <c r="D12881" t="s">
        <v>5127</v>
      </c>
      <c r="E12881" t="s">
        <v>7602</v>
      </c>
      <c r="F12881" t="s">
        <v>13465</v>
      </c>
      <c r="G12881" t="s">
        <v>17584</v>
      </c>
      <c r="H12881" t="s">
        <v>29902</v>
      </c>
    </row>
    <row r="12882" spans="1:8">
      <c r="A12882" t="s">
        <v>1860</v>
      </c>
      <c r="B12882">
        <f>HYPERLINK("https://android.googlesource.com/platform/cts/+/5a70255ea615f3df3507455fcb8ad4c359ce2a19", "5a70255ea615f3df3507455fcb8ad4c359ce2a19")</f>
        <v>0</v>
      </c>
      <c r="C12882">
        <f>HYPERLINK("https://android.googlesource.com/platform/cts/+/7e8443e1d9d38ac375adeffae964e04348aa6045", "7e8443e1d9d38ac375adeffae964e04348aa6045")</f>
        <v>0</v>
      </c>
      <c r="D12882" t="s">
        <v>5292</v>
      </c>
      <c r="E12882" t="s">
        <v>7606</v>
      </c>
      <c r="F12882" t="s">
        <v>12841</v>
      </c>
      <c r="G12882" t="s">
        <v>15119</v>
      </c>
      <c r="H12882" t="s">
        <v>29905</v>
      </c>
    </row>
    <row r="12883" spans="1:8">
      <c r="H12883" t="s">
        <v>29906</v>
      </c>
    </row>
    <row r="12884" spans="1:8">
      <c r="A12884" t="s">
        <v>1861</v>
      </c>
      <c r="B12884">
        <f>HYPERLINK("https://android.googlesource.com/platform/cts/+/a770b6f80fad06b795f16e5b25352aad78e15ac6", "a770b6f80fad06b795f16e5b25352aad78e15ac6")</f>
        <v>0</v>
      </c>
      <c r="C12884">
        <f>HYPERLINK("https://android.googlesource.com/platform/cts/+/1a239d51b6a3736108a702f8cf5d1bf5c4845f98", "1a239d51b6a3736108a702f8cf5d1bf5c4845f98")</f>
        <v>0</v>
      </c>
      <c r="D12884" t="s">
        <v>5293</v>
      </c>
      <c r="E12884" t="s">
        <v>7607</v>
      </c>
      <c r="F12884" t="s">
        <v>13468</v>
      </c>
      <c r="G12884" t="s">
        <v>17587</v>
      </c>
      <c r="H12884" t="s">
        <v>29908</v>
      </c>
    </row>
    <row r="12885" spans="1:8">
      <c r="A12885" t="s">
        <v>1864</v>
      </c>
      <c r="B12885">
        <f>HYPERLINK("https://android.googlesource.com/platform/cts/+/472cc95ed7b2606f47eddc1b454b139a4a7e90f5", "472cc95ed7b2606f47eddc1b454b139a4a7e90f5")</f>
        <v>0</v>
      </c>
      <c r="C12885">
        <f>HYPERLINK("https://android.googlesource.com/platform/cts/+/6d001dca45f465dcdf659d3b7b15a06b9418e935", "6d001dca45f465dcdf659d3b7b15a06b9418e935")</f>
        <v>0</v>
      </c>
      <c r="D12885" t="s">
        <v>5293</v>
      </c>
      <c r="E12885" t="s">
        <v>7610</v>
      </c>
      <c r="F12885" t="s">
        <v>13468</v>
      </c>
      <c r="G12885" t="s">
        <v>17587</v>
      </c>
      <c r="H12885" t="s">
        <v>29912</v>
      </c>
    </row>
    <row r="12886" spans="1:8">
      <c r="H12886" t="s">
        <v>29913</v>
      </c>
    </row>
    <row r="12887" spans="1:8">
      <c r="H12887" t="s">
        <v>29914</v>
      </c>
    </row>
    <row r="12888" spans="1:8">
      <c r="H12888" t="s">
        <v>29915</v>
      </c>
    </row>
    <row r="12889" spans="1:8">
      <c r="H12889" t="s">
        <v>29916</v>
      </c>
    </row>
    <row r="12890" spans="1:8">
      <c r="H12890" t="s">
        <v>29917</v>
      </c>
    </row>
    <row r="12891" spans="1:8">
      <c r="H12891" t="s">
        <v>29918</v>
      </c>
    </row>
    <row r="12892" spans="1:8">
      <c r="H12892" t="s">
        <v>29919</v>
      </c>
    </row>
    <row r="12893" spans="1:8">
      <c r="H12893" t="s">
        <v>29920</v>
      </c>
    </row>
    <row r="12894" spans="1:8">
      <c r="H12894" t="s">
        <v>29921</v>
      </c>
    </row>
    <row r="12895" spans="1:8">
      <c r="H12895" t="s">
        <v>29922</v>
      </c>
    </row>
    <row r="12896" spans="1:8">
      <c r="H12896" t="s">
        <v>29923</v>
      </c>
    </row>
    <row r="12897" spans="1:8">
      <c r="H12897" t="s">
        <v>29924</v>
      </c>
    </row>
    <row r="12898" spans="1:8">
      <c r="H12898" t="s">
        <v>29925</v>
      </c>
    </row>
    <row r="12899" spans="1:8">
      <c r="H12899" t="s">
        <v>29926</v>
      </c>
    </row>
    <row r="12900" spans="1:8">
      <c r="A12900" t="s">
        <v>1865</v>
      </c>
      <c r="B12900">
        <f>HYPERLINK("https://android.googlesource.com/platform/cts/+/e57dd1d63d14fa87eba7c8ba665b1fb1b9704cc7", "e57dd1d63d14fa87eba7c8ba665b1fb1b9704cc7")</f>
        <v>0</v>
      </c>
      <c r="C12900">
        <f>HYPERLINK("https://android.googlesource.com/platform/cts/+/f7518117c62da09af067223ebe550b920d0445d2", "f7518117c62da09af067223ebe550b920d0445d2")</f>
        <v>0</v>
      </c>
      <c r="D12900" t="s">
        <v>5295</v>
      </c>
      <c r="E12900" t="s">
        <v>7611</v>
      </c>
      <c r="F12900" t="s">
        <v>13082</v>
      </c>
      <c r="G12900" t="s">
        <v>17244</v>
      </c>
      <c r="H12900" t="s">
        <v>18836</v>
      </c>
    </row>
    <row r="12901" spans="1:8">
      <c r="A12901" t="s">
        <v>1866</v>
      </c>
      <c r="B12901">
        <f>HYPERLINK("https://android.googlesource.com/platform/cts/+/dcc9b56112121fddfd0381a0e4e7934bafb5e68f", "dcc9b56112121fddfd0381a0e4e7934bafb5e68f")</f>
        <v>0</v>
      </c>
      <c r="C12901">
        <f>HYPERLINK("https://android.googlesource.com/platform/cts/+/fe1e9a02745cad67d02ca684ecc0d3be5bb31c08", "fe1e9a02745cad67d02ca684ecc0d3be5bb31c08")</f>
        <v>0</v>
      </c>
      <c r="D12901" t="s">
        <v>5110</v>
      </c>
      <c r="E12901" t="s">
        <v>7612</v>
      </c>
      <c r="F12901" t="s">
        <v>12901</v>
      </c>
      <c r="G12901" t="s">
        <v>17068</v>
      </c>
      <c r="H12901" t="s">
        <v>26876</v>
      </c>
    </row>
    <row r="12902" spans="1:8">
      <c r="H12902" t="s">
        <v>29927</v>
      </c>
    </row>
    <row r="12903" spans="1:8">
      <c r="F12903" t="s">
        <v>12629</v>
      </c>
      <c r="G12903" t="s">
        <v>16838</v>
      </c>
      <c r="H12903" t="s">
        <v>26876</v>
      </c>
    </row>
    <row r="12904" spans="1:8">
      <c r="H12904" t="s">
        <v>29927</v>
      </c>
    </row>
    <row r="12905" spans="1:8">
      <c r="A12905" t="s">
        <v>1867</v>
      </c>
      <c r="B12905">
        <f>HYPERLINK("https://android.googlesource.com/platform/cts/+/25b8f1757a77388f87a327f50aa21761f31f6428", "25b8f1757a77388f87a327f50aa21761f31f6428")</f>
        <v>0</v>
      </c>
      <c r="C12905">
        <f>HYPERLINK("https://android.googlesource.com/platform/cts/+/f029795ed4a00a352a0bd79a7d2f7e179906a443", "f029795ed4a00a352a0bd79a7d2f7e179906a443")</f>
        <v>0</v>
      </c>
      <c r="D12905" t="s">
        <v>5296</v>
      </c>
      <c r="E12905" t="s">
        <v>7613</v>
      </c>
      <c r="F12905" t="s">
        <v>13471</v>
      </c>
      <c r="G12905" t="s">
        <v>17590</v>
      </c>
      <c r="H12905" t="s">
        <v>29928</v>
      </c>
    </row>
    <row r="12906" spans="1:8">
      <c r="A12906" t="s">
        <v>1868</v>
      </c>
      <c r="B12906">
        <f>HYPERLINK("https://android.googlesource.com/platform/cts/+/3720a52d7039b67d5576f1c3410565df32a7167f", "3720a52d7039b67d5576f1c3410565df32a7167f")</f>
        <v>0</v>
      </c>
      <c r="C12906">
        <f>HYPERLINK("https://android.googlesource.com/platform/cts/+/9b142f2af737ed712a04247394db854e28afe6da", "9b142f2af737ed712a04247394db854e28afe6da")</f>
        <v>0</v>
      </c>
      <c r="D12906" t="s">
        <v>5240</v>
      </c>
      <c r="E12906" t="s">
        <v>7614</v>
      </c>
      <c r="F12906" t="s">
        <v>12710</v>
      </c>
      <c r="G12906" t="s">
        <v>16911</v>
      </c>
      <c r="H12906" t="s">
        <v>29584</v>
      </c>
    </row>
    <row r="12907" spans="1:8">
      <c r="A12907" t="s">
        <v>1869</v>
      </c>
      <c r="B12907">
        <f>HYPERLINK("https://android.googlesource.com/platform/cts/+/5f5e49c57e82e5d88193c5d2dfc594a91cb8f1b5", "5f5e49c57e82e5d88193c5d2dfc594a91cb8f1b5")</f>
        <v>0</v>
      </c>
      <c r="C12907">
        <f>HYPERLINK("https://android.googlesource.com/platform/cts/+/e3f806aae3ad3ee4df5ba7890f53ef0b153a30df", "e3f806aae3ad3ee4df5ba7890f53ef0b153a30df")</f>
        <v>0</v>
      </c>
      <c r="D12907" t="s">
        <v>5281</v>
      </c>
      <c r="E12907" t="s">
        <v>7615</v>
      </c>
      <c r="F12907" t="s">
        <v>13431</v>
      </c>
      <c r="G12907" t="s">
        <v>17555</v>
      </c>
      <c r="H12907" t="s">
        <v>29798</v>
      </c>
    </row>
    <row r="12908" spans="1:8">
      <c r="A12908" t="s">
        <v>1870</v>
      </c>
      <c r="B12908">
        <f>HYPERLINK("https://android.googlesource.com/platform/cts/+/b246155abd7e6d362d144fa27e2039f3398ab2a2", "b246155abd7e6d362d144fa27e2039f3398ab2a2")</f>
        <v>0</v>
      </c>
      <c r="C12908">
        <f>HYPERLINK("https://android.googlesource.com/platform/cts/+/a483d20dfb42caec47b66c2a7acb7c64453839c9", "a483d20dfb42caec47b66c2a7acb7c64453839c9")</f>
        <v>0</v>
      </c>
      <c r="D12908" t="s">
        <v>5132</v>
      </c>
      <c r="E12908" t="s">
        <v>7616</v>
      </c>
      <c r="F12908" t="s">
        <v>12936</v>
      </c>
      <c r="G12908" t="s">
        <v>17101</v>
      </c>
      <c r="H12908" t="s">
        <v>29511</v>
      </c>
    </row>
    <row r="12909" spans="1:8">
      <c r="H12909" t="s">
        <v>29512</v>
      </c>
    </row>
    <row r="12910" spans="1:8">
      <c r="H12910" t="s">
        <v>29513</v>
      </c>
    </row>
    <row r="12911" spans="1:8">
      <c r="F12911" t="s">
        <v>13087</v>
      </c>
      <c r="G12911" t="s">
        <v>17249</v>
      </c>
      <c r="H12911" t="s">
        <v>29518</v>
      </c>
    </row>
    <row r="12912" spans="1:8">
      <c r="F12912" t="s">
        <v>13091</v>
      </c>
      <c r="G12912" t="s">
        <v>17253</v>
      </c>
      <c r="H12912" t="s">
        <v>29515</v>
      </c>
    </row>
    <row r="12913" spans="1:8">
      <c r="H12913" t="s">
        <v>29519</v>
      </c>
    </row>
    <row r="12914" spans="1:8">
      <c r="H12914" t="s">
        <v>29516</v>
      </c>
    </row>
    <row r="12915" spans="1:8">
      <c r="H12915" t="s">
        <v>29517</v>
      </c>
    </row>
    <row r="12916" spans="1:8">
      <c r="F12916" t="s">
        <v>10596</v>
      </c>
      <c r="G12916" t="s">
        <v>14999</v>
      </c>
      <c r="H12916" t="s">
        <v>29515</v>
      </c>
    </row>
    <row r="12917" spans="1:8">
      <c r="H12917" t="s">
        <v>29519</v>
      </c>
    </row>
    <row r="12918" spans="1:8">
      <c r="H12918" t="s">
        <v>29516</v>
      </c>
    </row>
    <row r="12919" spans="1:8">
      <c r="H12919" t="s">
        <v>29517</v>
      </c>
    </row>
    <row r="12920" spans="1:8">
      <c r="A12920" t="s">
        <v>1871</v>
      </c>
      <c r="B12920">
        <f>HYPERLINK("https://android.googlesource.com/platform/cts/+/45d5ecd5cffb7e6399264e1b9aebc021e42d0787", "45d5ecd5cffb7e6399264e1b9aebc021e42d0787")</f>
        <v>0</v>
      </c>
      <c r="C12920">
        <f>HYPERLINK("https://android.googlesource.com/platform/cts/+/22e8a28e678566d7d944a37dc40842b1e0e5d525", "22e8a28e678566d7d944a37dc40842b1e0e5d525")</f>
        <v>0</v>
      </c>
      <c r="D12920" t="s">
        <v>5272</v>
      </c>
      <c r="E12920" t="s">
        <v>7617</v>
      </c>
      <c r="F12920" t="s">
        <v>13472</v>
      </c>
      <c r="G12920" t="s">
        <v>17591</v>
      </c>
      <c r="H12920" t="s">
        <v>29929</v>
      </c>
    </row>
    <row r="12921" spans="1:8">
      <c r="H12921" t="s">
        <v>29930</v>
      </c>
    </row>
    <row r="12922" spans="1:8">
      <c r="H12922" t="s">
        <v>29931</v>
      </c>
    </row>
    <row r="12923" spans="1:8">
      <c r="H12923" t="s">
        <v>29932</v>
      </c>
    </row>
    <row r="12924" spans="1:8">
      <c r="H12924" t="s">
        <v>29933</v>
      </c>
    </row>
    <row r="12925" spans="1:8">
      <c r="H12925" t="s">
        <v>28841</v>
      </c>
    </row>
    <row r="12926" spans="1:8">
      <c r="H12926" t="s">
        <v>29934</v>
      </c>
    </row>
    <row r="12927" spans="1:8">
      <c r="H12927" t="s">
        <v>29935</v>
      </c>
    </row>
    <row r="12928" spans="1:8">
      <c r="H12928" t="s">
        <v>29936</v>
      </c>
    </row>
    <row r="12929" spans="1:8">
      <c r="H12929" t="s">
        <v>29937</v>
      </c>
    </row>
    <row r="12930" spans="1:8">
      <c r="A12930" t="s">
        <v>1872</v>
      </c>
      <c r="B12930">
        <f>HYPERLINK("https://android.googlesource.com/platform/cts/+/0eaa8a0839097911b69283873e07885d35575e4c", "0eaa8a0839097911b69283873e07885d35575e4c")</f>
        <v>0</v>
      </c>
      <c r="C12930">
        <f>HYPERLINK("https://android.googlesource.com/platform/cts/+/a483d20dfb42caec47b66c2a7acb7c64453839c9", "a483d20dfb42caec47b66c2a7acb7c64453839c9")</f>
        <v>0</v>
      </c>
      <c r="D12930" t="s">
        <v>5032</v>
      </c>
      <c r="E12930" t="s">
        <v>7618</v>
      </c>
      <c r="F12930" t="s">
        <v>13473</v>
      </c>
      <c r="G12930" t="s">
        <v>17592</v>
      </c>
      <c r="H12930" t="s">
        <v>29938</v>
      </c>
    </row>
    <row r="12931" spans="1:8">
      <c r="A12931" t="s">
        <v>1873</v>
      </c>
      <c r="B12931">
        <f>HYPERLINK("https://android.googlesource.com/platform/cts/+/923b97d33e6c0fddb102ed0d81768f92b60e4121", "923b97d33e6c0fddb102ed0d81768f92b60e4121")</f>
        <v>0</v>
      </c>
      <c r="C12931">
        <f>HYPERLINK("https://android.googlesource.com/platform/cts/+/774f3a229ef8f43ed224c94884ce1abe1d73b258", "774f3a229ef8f43ed224c94884ce1abe1d73b258")</f>
        <v>0</v>
      </c>
      <c r="D12931" t="s">
        <v>5163</v>
      </c>
      <c r="E12931" t="s">
        <v>7619</v>
      </c>
      <c r="F12931" t="s">
        <v>13474</v>
      </c>
      <c r="G12931" t="s">
        <v>17593</v>
      </c>
      <c r="H12931" t="s">
        <v>29939</v>
      </c>
    </row>
    <row r="12932" spans="1:8">
      <c r="A12932" t="s">
        <v>1874</v>
      </c>
      <c r="B12932">
        <f>HYPERLINK("https://android.googlesource.com/platform/cts/+/1164f4c1282f695a138e4d9d091a5904a132d094", "1164f4c1282f695a138e4d9d091a5904a132d094")</f>
        <v>0</v>
      </c>
      <c r="C12932">
        <f>HYPERLINK("https://android.googlesource.com/platform/cts/+/c47d556a7eff36773ea503d3156c03ccd20633c2", "c47d556a7eff36773ea503d3156c03ccd20633c2")</f>
        <v>0</v>
      </c>
      <c r="D12932" t="s">
        <v>5295</v>
      </c>
      <c r="E12932" t="s">
        <v>7620</v>
      </c>
      <c r="F12932" t="s">
        <v>13475</v>
      </c>
      <c r="G12932" t="s">
        <v>17594</v>
      </c>
      <c r="H12932" t="s">
        <v>18836</v>
      </c>
    </row>
    <row r="12933" spans="1:8">
      <c r="A12933" t="s">
        <v>1878</v>
      </c>
      <c r="B12933">
        <f>HYPERLINK("https://android.googlesource.com/platform/cts/+/23fcc3b6b34719ad81de0d411090387396378317", "23fcc3b6b34719ad81de0d411090387396378317")</f>
        <v>0</v>
      </c>
      <c r="C12933">
        <f>HYPERLINK("https://android.googlesource.com/platform/cts/+/23a18ecd2757bf8414d99b441b0f2225e15267da", "23a18ecd2757bf8414d99b441b0f2225e15267da")</f>
        <v>0</v>
      </c>
      <c r="D12933" t="s">
        <v>5235</v>
      </c>
      <c r="E12933" t="s">
        <v>7624</v>
      </c>
      <c r="F12933" t="s">
        <v>13479</v>
      </c>
      <c r="G12933" t="s">
        <v>17597</v>
      </c>
      <c r="H12933" t="s">
        <v>29941</v>
      </c>
    </row>
    <row r="12934" spans="1:8">
      <c r="A12934" t="s">
        <v>1879</v>
      </c>
      <c r="B12934">
        <f>HYPERLINK("https://android.googlesource.com/platform/cts/+/5103ab556f4a82a7234776b212d057bf2f507c52", "5103ab556f4a82a7234776b212d057bf2f507c52")</f>
        <v>0</v>
      </c>
      <c r="C12934">
        <f>HYPERLINK("https://android.googlesource.com/platform/cts/+/9c36162953f5e4d1a9aa6305abba562f3f7b8e63", "9c36162953f5e4d1a9aa6305abba562f3f7b8e63")</f>
        <v>0</v>
      </c>
      <c r="D12934" t="s">
        <v>5297</v>
      </c>
      <c r="E12934" t="s">
        <v>7625</v>
      </c>
      <c r="F12934" t="s">
        <v>13480</v>
      </c>
      <c r="G12934" t="s">
        <v>17598</v>
      </c>
      <c r="H12934" t="s">
        <v>29943</v>
      </c>
    </row>
    <row r="12935" spans="1:8">
      <c r="H12935" t="s">
        <v>29944</v>
      </c>
    </row>
    <row r="12936" spans="1:8">
      <c r="A12936" t="s">
        <v>1880</v>
      </c>
      <c r="B12936">
        <f>HYPERLINK("https://android.googlesource.com/platform/cts/+/d7a77455b5262d906a0c6731b7208d8135269b14", "d7a77455b5262d906a0c6731b7208d8135269b14")</f>
        <v>0</v>
      </c>
      <c r="C12936">
        <f>HYPERLINK("https://android.googlesource.com/platform/cts/+/98a9e20123eac5e130acf75d84f07fbf7a59e68f", "98a9e20123eac5e130acf75d84f07fbf7a59e68f")</f>
        <v>0</v>
      </c>
      <c r="D12936" t="s">
        <v>5224</v>
      </c>
      <c r="E12936" t="s">
        <v>7626</v>
      </c>
      <c r="F12936" t="s">
        <v>13248</v>
      </c>
      <c r="G12936" t="s">
        <v>17388</v>
      </c>
      <c r="H12936" t="s">
        <v>29945</v>
      </c>
    </row>
    <row r="12937" spans="1:8">
      <c r="H12937" t="s">
        <v>29946</v>
      </c>
    </row>
    <row r="12938" spans="1:8">
      <c r="A12938" t="s">
        <v>1881</v>
      </c>
      <c r="B12938">
        <f>HYPERLINK("https://android.googlesource.com/platform/cts/+/16087b662276400ee7de00e0f1d8aee2f7515e51", "16087b662276400ee7de00e0f1d8aee2f7515e51")</f>
        <v>0</v>
      </c>
      <c r="C12938">
        <f>HYPERLINK("https://android.googlesource.com/platform/cts/+/ab9eb968540da4f5dc7d9e502a830a98d943e643", "ab9eb968540da4f5dc7d9e502a830a98d943e643")</f>
        <v>0</v>
      </c>
      <c r="D12938" t="s">
        <v>5110</v>
      </c>
      <c r="E12938" t="s">
        <v>7627</v>
      </c>
      <c r="F12938" t="s">
        <v>13435</v>
      </c>
      <c r="G12938" t="s">
        <v>17559</v>
      </c>
      <c r="H12938" t="s">
        <v>29947</v>
      </c>
    </row>
    <row r="12939" spans="1:8">
      <c r="F12939" t="s">
        <v>12743</v>
      </c>
      <c r="G12939" t="s">
        <v>16935</v>
      </c>
      <c r="H12939" t="s">
        <v>29947</v>
      </c>
    </row>
    <row r="12940" spans="1:8">
      <c r="A12940" t="s">
        <v>1888</v>
      </c>
      <c r="B12940">
        <f>HYPERLINK("https://android.googlesource.com/platform/cts/+/e6d8b9841b1bd3af635ceda614576c43f1b2a581", "e6d8b9841b1bd3af635ceda614576c43f1b2a581")</f>
        <v>0</v>
      </c>
      <c r="C12940">
        <f>HYPERLINK("https://android.googlesource.com/platform/cts/+/f0082c2a9392cba97d35130516a59441d58cf7c9", "f0082c2a9392cba97d35130516a59441d58cf7c9")</f>
        <v>0</v>
      </c>
      <c r="D12940" t="s">
        <v>5134</v>
      </c>
      <c r="E12940" t="s">
        <v>7634</v>
      </c>
      <c r="F12940" t="s">
        <v>13255</v>
      </c>
      <c r="G12940" t="s">
        <v>17393</v>
      </c>
      <c r="H12940" t="s">
        <v>29964</v>
      </c>
    </row>
    <row r="12941" spans="1:8">
      <c r="A12941" t="s">
        <v>1889</v>
      </c>
      <c r="B12941">
        <f>HYPERLINK("https://android.googlesource.com/platform/cts/+/cab55143adff46d9a4437821efd3bbb6170d8f6a", "cab55143adff46d9a4437821efd3bbb6170d8f6a")</f>
        <v>0</v>
      </c>
      <c r="C12941">
        <f>HYPERLINK("https://android.googlesource.com/platform/cts/+/7cf0fcfd504b195919ecac0e79ad37a0d0cf76a4", "7cf0fcfd504b195919ecac0e79ad37a0d0cf76a4")</f>
        <v>0</v>
      </c>
      <c r="D12941" t="s">
        <v>5287</v>
      </c>
      <c r="E12941" t="s">
        <v>7635</v>
      </c>
      <c r="F12941" t="s">
        <v>10663</v>
      </c>
      <c r="G12941" t="s">
        <v>15064</v>
      </c>
      <c r="H12941" t="s">
        <v>29965</v>
      </c>
    </row>
    <row r="12942" spans="1:8">
      <c r="H12942" t="s">
        <v>29966</v>
      </c>
    </row>
    <row r="12943" spans="1:8">
      <c r="H12943" t="s">
        <v>29967</v>
      </c>
    </row>
    <row r="12944" spans="1:8">
      <c r="H12944" t="s">
        <v>29968</v>
      </c>
    </row>
    <row r="12945" spans="1:8">
      <c r="A12945" t="s">
        <v>1890</v>
      </c>
      <c r="B12945">
        <f>HYPERLINK("https://android.googlesource.com/platform/cts/+/691fbd369b869251a50f9a420565fc1559cf287b", "691fbd369b869251a50f9a420565fc1559cf287b")</f>
        <v>0</v>
      </c>
      <c r="C12945">
        <f>HYPERLINK("https://android.googlesource.com/platform/cts/+/ab9eb968540da4f5dc7d9e502a830a98d943e643", "ab9eb968540da4f5dc7d9e502a830a98d943e643")</f>
        <v>0</v>
      </c>
      <c r="D12945" t="s">
        <v>4965</v>
      </c>
      <c r="E12945" t="s">
        <v>7636</v>
      </c>
      <c r="F12945" t="s">
        <v>10627</v>
      </c>
      <c r="G12945" t="s">
        <v>15030</v>
      </c>
      <c r="H12945" t="s">
        <v>29969</v>
      </c>
    </row>
    <row r="12946" spans="1:8">
      <c r="A12946" t="s">
        <v>1891</v>
      </c>
      <c r="B12946">
        <f>HYPERLINK("https://android.googlesource.com/platform/cts/+/58573820cd178ae744434aed3072c4a7114b778c", "58573820cd178ae744434aed3072c4a7114b778c")</f>
        <v>0</v>
      </c>
      <c r="C12946">
        <f>HYPERLINK("https://android.googlesource.com/platform/cts/+/ffe870bbc0174b4f734ad798b68ac5bf45777140", "ffe870bbc0174b4f734ad798b68ac5bf45777140")</f>
        <v>0</v>
      </c>
      <c r="D12946" t="s">
        <v>5156</v>
      </c>
      <c r="E12946" t="s">
        <v>7637</v>
      </c>
      <c r="F12946" t="s">
        <v>13288</v>
      </c>
      <c r="G12946" t="s">
        <v>17602</v>
      </c>
      <c r="H12946" t="s">
        <v>29970</v>
      </c>
    </row>
    <row r="12947" spans="1:8">
      <c r="A12947" t="s">
        <v>1894</v>
      </c>
      <c r="B12947">
        <f>HYPERLINK("https://android.googlesource.com/platform/cts/+/768971a9a356dccec93a4249e2a8cbc4463be538", "768971a9a356dccec93a4249e2a8cbc4463be538")</f>
        <v>0</v>
      </c>
      <c r="C12947">
        <f>HYPERLINK("https://android.googlesource.com/platform/cts/+/fdaf5e19de3b13b85a1005eb0a91dd3e6f4e31fe", "fdaf5e19de3b13b85a1005eb0a91dd3e6f4e31fe")</f>
        <v>0</v>
      </c>
      <c r="D12947" t="s">
        <v>5299</v>
      </c>
      <c r="E12947" t="s">
        <v>7640</v>
      </c>
      <c r="F12947" t="s">
        <v>13486</v>
      </c>
      <c r="G12947" t="s">
        <v>15098</v>
      </c>
      <c r="H12947" t="s">
        <v>29977</v>
      </c>
    </row>
    <row r="12948" spans="1:8">
      <c r="A12948" t="s">
        <v>1895</v>
      </c>
      <c r="B12948">
        <f>HYPERLINK("https://android.googlesource.com/platform/cts/+/75a4e7a907f9ed9c7ccdeee4042c895f94112635", "75a4e7a907f9ed9c7ccdeee4042c895f94112635")</f>
        <v>0</v>
      </c>
      <c r="C12948">
        <f>HYPERLINK("https://android.googlesource.com/platform/cts/+/e32bb16fbc533668a3ffa331372bf0ef1cebef01", "e32bb16fbc533668a3ffa331372bf0ef1cebef01")</f>
        <v>0</v>
      </c>
      <c r="D12948" t="s">
        <v>5046</v>
      </c>
      <c r="E12948" t="s">
        <v>7641</v>
      </c>
      <c r="F12948" t="s">
        <v>13487</v>
      </c>
      <c r="G12948" t="s">
        <v>17044</v>
      </c>
      <c r="H12948" t="s">
        <v>29978</v>
      </c>
    </row>
    <row r="12949" spans="1:8">
      <c r="H12949" t="s">
        <v>29979</v>
      </c>
    </row>
    <row r="12950" spans="1:8">
      <c r="A12950" t="s">
        <v>1896</v>
      </c>
      <c r="B12950">
        <f>HYPERLINK("https://android.googlesource.com/platform/cts/+/d1a8687d6cad7c651d7bd3de89923e46c774350e", "d1a8687d6cad7c651d7bd3de89923e46c774350e")</f>
        <v>0</v>
      </c>
      <c r="C12950">
        <f>HYPERLINK("https://android.googlesource.com/platform/cts/+/9272b86c66eb3e6bce0efb056ae13fec18094ce9", "9272b86c66eb3e6bce0efb056ae13fec18094ce9")</f>
        <v>0</v>
      </c>
      <c r="D12950" t="s">
        <v>5280</v>
      </c>
      <c r="E12950" t="s">
        <v>7642</v>
      </c>
      <c r="F12950" t="s">
        <v>12710</v>
      </c>
      <c r="G12950" t="s">
        <v>16911</v>
      </c>
      <c r="H12950" t="s">
        <v>29980</v>
      </c>
    </row>
    <row r="12951" spans="1:8">
      <c r="A12951" t="s">
        <v>1898</v>
      </c>
      <c r="B12951">
        <f>HYPERLINK("https://android.googlesource.com/platform/cts/+/bb97cff38512caefe19bdd92efe82ff992b24180", "bb97cff38512caefe19bdd92efe82ff992b24180")</f>
        <v>0</v>
      </c>
      <c r="C12951">
        <f>HYPERLINK("https://android.googlesource.com/platform/cts/+/e8e373c8cd27a2f71281d3069d1356784f8eb781", "e8e373c8cd27a2f71281d3069d1356784f8eb781")</f>
        <v>0</v>
      </c>
      <c r="D12951" t="s">
        <v>5272</v>
      </c>
      <c r="E12951" t="s">
        <v>7644</v>
      </c>
      <c r="F12951" t="s">
        <v>13488</v>
      </c>
      <c r="G12951" t="s">
        <v>17607</v>
      </c>
      <c r="H12951" t="s">
        <v>30006</v>
      </c>
    </row>
    <row r="12952" spans="1:8">
      <c r="A12952" t="s">
        <v>1900</v>
      </c>
      <c r="B12952">
        <f>HYPERLINK("https://android.googlesource.com/platform/cts/+/2e0f78f003fab010e53b0029b4fea4445887b8b4", "2e0f78f003fab010e53b0029b4fea4445887b8b4")</f>
        <v>0</v>
      </c>
      <c r="C12952">
        <f>HYPERLINK("https://android.googlesource.com/platform/cts/+/3a2aa75e2172e88bc10cb557c48fe9c8376e9e96", "3a2aa75e2172e88bc10cb557c48fe9c8376e9e96")</f>
        <v>0</v>
      </c>
      <c r="D12952" t="s">
        <v>5300</v>
      </c>
      <c r="E12952" t="s">
        <v>7646</v>
      </c>
      <c r="F12952" t="s">
        <v>13242</v>
      </c>
      <c r="G12952" t="s">
        <v>17382</v>
      </c>
      <c r="H12952" t="s">
        <v>30010</v>
      </c>
    </row>
    <row r="12953" spans="1:8">
      <c r="H12953" t="s">
        <v>30011</v>
      </c>
    </row>
    <row r="12954" spans="1:8">
      <c r="A12954" t="s">
        <v>1902</v>
      </c>
      <c r="B12954">
        <f>HYPERLINK("https://android.googlesource.com/platform/cts/+/8113771c537b8dbbe17c3d2b14e740e73194cdac", "8113771c537b8dbbe17c3d2b14e740e73194cdac")</f>
        <v>0</v>
      </c>
      <c r="C12954">
        <f>HYPERLINK("https://android.googlesource.com/platform/cts/+/f642f7de3a5e79086b24b64d6e34c82311a756d9", "f642f7de3a5e79086b24b64d6e34c82311a756d9")</f>
        <v>0</v>
      </c>
      <c r="D12954" t="s">
        <v>5288</v>
      </c>
      <c r="E12954" t="s">
        <v>7648</v>
      </c>
      <c r="F12954" t="s">
        <v>13450</v>
      </c>
      <c r="G12954" t="s">
        <v>17572</v>
      </c>
      <c r="H12954" t="s">
        <v>30016</v>
      </c>
    </row>
    <row r="12955" spans="1:8">
      <c r="A12955" t="s">
        <v>1903</v>
      </c>
      <c r="B12955">
        <f>HYPERLINK("https://android.googlesource.com/platform/cts/+/24e48296a6809d0d77dd802ac3eaa3111847bc68", "24e48296a6809d0d77dd802ac3eaa3111847bc68")</f>
        <v>0</v>
      </c>
      <c r="C12955">
        <f>HYPERLINK("https://android.googlesource.com/platform/cts/+/bd513cb6343d9089941045173b7d484fc758a49e", "bd513cb6343d9089941045173b7d484fc758a49e")</f>
        <v>0</v>
      </c>
      <c r="D12955" t="s">
        <v>5301</v>
      </c>
      <c r="E12955" t="s">
        <v>7649</v>
      </c>
      <c r="F12955" t="s">
        <v>13490</v>
      </c>
      <c r="G12955" t="s">
        <v>17609</v>
      </c>
      <c r="H12955" t="s">
        <v>30017</v>
      </c>
    </row>
    <row r="12956" spans="1:8">
      <c r="A12956" t="s">
        <v>1904</v>
      </c>
      <c r="B12956">
        <f>HYPERLINK("https://android.googlesource.com/platform/cts/+/ce21d512ff3faea6f93c05a6b34021d45d483169", "ce21d512ff3faea6f93c05a6b34021d45d483169")</f>
        <v>0</v>
      </c>
      <c r="C12956">
        <f>HYPERLINK("https://android.googlesource.com/platform/cts/+/082c3dde5bb6b048bdc394d5306ea455415668e9", "082c3dde5bb6b048bdc394d5306ea455415668e9")</f>
        <v>0</v>
      </c>
      <c r="D12956" t="s">
        <v>5189</v>
      </c>
      <c r="E12956" t="s">
        <v>7650</v>
      </c>
      <c r="F12956" t="s">
        <v>13162</v>
      </c>
      <c r="G12956" t="s">
        <v>16987</v>
      </c>
      <c r="H12956" t="s">
        <v>30018</v>
      </c>
    </row>
    <row r="12957" spans="1:8">
      <c r="A12957" t="s">
        <v>1906</v>
      </c>
      <c r="B12957">
        <f>HYPERLINK("https://android.googlesource.com/platform/cts/+/85a2b52602a3f7a0624a707934d20d36f050c4c6", "85a2b52602a3f7a0624a707934d20d36f050c4c6")</f>
        <v>0</v>
      </c>
      <c r="C12957">
        <f>HYPERLINK("https://android.googlesource.com/platform/cts/+/73eae3ab1e9141aca38d0ce3689a1708b2253d95", "73eae3ab1e9141aca38d0ce3689a1708b2253d95")</f>
        <v>0</v>
      </c>
      <c r="D12957" t="s">
        <v>4978</v>
      </c>
      <c r="E12957" t="s">
        <v>7652</v>
      </c>
      <c r="F12957" t="s">
        <v>13253</v>
      </c>
      <c r="G12957" t="s">
        <v>16455</v>
      </c>
      <c r="H12957" t="s">
        <v>30028</v>
      </c>
    </row>
    <row r="12958" spans="1:8">
      <c r="F12958" t="s">
        <v>13391</v>
      </c>
      <c r="G12958" t="s">
        <v>17517</v>
      </c>
      <c r="H12958" t="s">
        <v>30029</v>
      </c>
    </row>
    <row r="12959" spans="1:8">
      <c r="A12959" t="s">
        <v>1907</v>
      </c>
      <c r="B12959">
        <f>HYPERLINK("https://android.googlesource.com/platform/cts/+/83fdac5acda66ca69dcef777a4f43e744473ad7d", "83fdac5acda66ca69dcef777a4f43e744473ad7d")</f>
        <v>0</v>
      </c>
      <c r="C12959">
        <f>HYPERLINK("https://android.googlesource.com/platform/cts/+/73eae3ab1e9141aca38d0ce3689a1708b2253d95", "73eae3ab1e9141aca38d0ce3689a1708b2253d95")</f>
        <v>0</v>
      </c>
      <c r="D12959" t="s">
        <v>5141</v>
      </c>
      <c r="E12959" t="s">
        <v>7653</v>
      </c>
      <c r="F12959" t="s">
        <v>13459</v>
      </c>
      <c r="G12959" t="s">
        <v>17577</v>
      </c>
      <c r="H12959" t="s">
        <v>30030</v>
      </c>
    </row>
    <row r="12960" spans="1:8">
      <c r="H12960" t="s">
        <v>30031</v>
      </c>
    </row>
    <row r="12961" spans="1:8">
      <c r="H12961" t="s">
        <v>30032</v>
      </c>
    </row>
    <row r="12962" spans="1:8">
      <c r="H12962" t="s">
        <v>29871</v>
      </c>
    </row>
    <row r="12963" spans="1:8">
      <c r="H12963" t="s">
        <v>29872</v>
      </c>
    </row>
    <row r="12964" spans="1:8">
      <c r="H12964" t="s">
        <v>29873</v>
      </c>
    </row>
    <row r="12965" spans="1:8">
      <c r="H12965" t="s">
        <v>29269</v>
      </c>
    </row>
    <row r="12966" spans="1:8">
      <c r="H12966" t="s">
        <v>29874</v>
      </c>
    </row>
    <row r="12967" spans="1:8">
      <c r="H12967" t="s">
        <v>29875</v>
      </c>
    </row>
    <row r="12968" spans="1:8">
      <c r="H12968" t="s">
        <v>29270</v>
      </c>
    </row>
    <row r="12969" spans="1:8">
      <c r="H12969" t="s">
        <v>30033</v>
      </c>
    </row>
    <row r="12970" spans="1:8">
      <c r="H12970" t="s">
        <v>30034</v>
      </c>
    </row>
    <row r="12971" spans="1:8">
      <c r="H12971" t="s">
        <v>29876</v>
      </c>
    </row>
    <row r="12972" spans="1:8">
      <c r="F12972" t="s">
        <v>13091</v>
      </c>
      <c r="G12972" t="s">
        <v>17253</v>
      </c>
      <c r="H12972" t="s">
        <v>30035</v>
      </c>
    </row>
    <row r="12973" spans="1:8">
      <c r="F12973" t="s">
        <v>10794</v>
      </c>
      <c r="G12973" t="s">
        <v>15189</v>
      </c>
      <c r="H12973" t="s">
        <v>30036</v>
      </c>
    </row>
    <row r="12974" spans="1:8">
      <c r="A12974" t="s">
        <v>1908</v>
      </c>
      <c r="B12974">
        <f>HYPERLINK("https://android.googlesource.com/platform/cts/+/2bef4b4abfea88204bd21f093dbc2452212e80d0", "2bef4b4abfea88204bd21f093dbc2452212e80d0")</f>
        <v>0</v>
      </c>
      <c r="C12974">
        <f>HYPERLINK("https://android.googlesource.com/platform/cts/+/eb77ff4565af76f79c4b3576780add82c745d779", "eb77ff4565af76f79c4b3576780add82c745d779")</f>
        <v>0</v>
      </c>
      <c r="D12974" t="s">
        <v>5290</v>
      </c>
      <c r="E12974" t="s">
        <v>7654</v>
      </c>
      <c r="F12974" t="s">
        <v>12640</v>
      </c>
      <c r="G12974" t="s">
        <v>16848</v>
      </c>
      <c r="H12974" t="s">
        <v>30037</v>
      </c>
    </row>
    <row r="12975" spans="1:8">
      <c r="H12975" t="s">
        <v>30038</v>
      </c>
    </row>
    <row r="12976" spans="1:8">
      <c r="A12976" t="s">
        <v>1909</v>
      </c>
      <c r="B12976">
        <f>HYPERLINK("https://android.googlesource.com/platform/cts/+/06658d9196b28a7a82f07a9c6cb883110043b9f3", "06658d9196b28a7a82f07a9c6cb883110043b9f3")</f>
        <v>0</v>
      </c>
      <c r="C12976">
        <f>HYPERLINK("https://android.googlesource.com/platform/cts/+/cb66003bbf84ed10276db5c9d5c7bc28cb12a118", "cb66003bbf84ed10276db5c9d5c7bc28cb12a118")</f>
        <v>0</v>
      </c>
      <c r="D12976" t="s">
        <v>5141</v>
      </c>
      <c r="E12976" t="s">
        <v>7655</v>
      </c>
      <c r="F12976" t="s">
        <v>10597</v>
      </c>
      <c r="G12976" t="s">
        <v>15000</v>
      </c>
      <c r="H12976" t="s">
        <v>30039</v>
      </c>
    </row>
    <row r="12977" spans="1:8">
      <c r="F12977" t="s">
        <v>13491</v>
      </c>
      <c r="G12977" t="s">
        <v>17610</v>
      </c>
      <c r="H12977" t="s">
        <v>30040</v>
      </c>
    </row>
    <row r="12978" spans="1:8">
      <c r="H12978" t="s">
        <v>30041</v>
      </c>
    </row>
    <row r="12979" spans="1:8">
      <c r="H12979" t="s">
        <v>30042</v>
      </c>
    </row>
    <row r="12980" spans="1:8">
      <c r="H12980" t="s">
        <v>30043</v>
      </c>
    </row>
    <row r="12981" spans="1:8">
      <c r="H12981" t="s">
        <v>30044</v>
      </c>
    </row>
    <row r="12982" spans="1:8">
      <c r="H12982" t="s">
        <v>29269</v>
      </c>
    </row>
    <row r="12983" spans="1:8">
      <c r="H12983" t="s">
        <v>29876</v>
      </c>
    </row>
    <row r="12984" spans="1:8">
      <c r="F12984" t="s">
        <v>13091</v>
      </c>
      <c r="G12984" t="s">
        <v>17253</v>
      </c>
      <c r="H12984" t="s">
        <v>30050</v>
      </c>
    </row>
    <row r="12985" spans="1:8">
      <c r="F12985" t="s">
        <v>10794</v>
      </c>
      <c r="G12985" t="s">
        <v>15189</v>
      </c>
      <c r="H12985" t="s">
        <v>30051</v>
      </c>
    </row>
    <row r="12986" spans="1:8">
      <c r="H12986" t="s">
        <v>30052</v>
      </c>
    </row>
    <row r="12987" spans="1:8">
      <c r="H12987" t="s">
        <v>30053</v>
      </c>
    </row>
    <row r="12988" spans="1:8">
      <c r="A12988" t="s">
        <v>1910</v>
      </c>
      <c r="B12988">
        <f>HYPERLINK("https://android.googlesource.com/platform/cts/+/02511db57c32a567644b3de0ccc33492e4441de1", "02511db57c32a567644b3de0ccc33492e4441de1")</f>
        <v>0</v>
      </c>
      <c r="C12988">
        <f>HYPERLINK("https://android.googlesource.com/platform/cts/+/11a8e678c564145010e7004cd80daf9a647ff8a9", "11a8e678c564145010e7004cd80daf9a647ff8a9")</f>
        <v>0</v>
      </c>
      <c r="D12988" t="s">
        <v>5302</v>
      </c>
      <c r="E12988" t="s">
        <v>7656</v>
      </c>
      <c r="F12988" t="s">
        <v>13492</v>
      </c>
      <c r="G12988" t="s">
        <v>17611</v>
      </c>
      <c r="H12988" t="s">
        <v>30055</v>
      </c>
    </row>
    <row r="12989" spans="1:8">
      <c r="H12989" t="s">
        <v>30056</v>
      </c>
    </row>
    <row r="12990" spans="1:8">
      <c r="H12990" t="s">
        <v>30057</v>
      </c>
    </row>
    <row r="12991" spans="1:8">
      <c r="H12991" t="s">
        <v>30058</v>
      </c>
    </row>
    <row r="12992" spans="1:8">
      <c r="A12992" t="s">
        <v>1911</v>
      </c>
      <c r="B12992">
        <f>HYPERLINK("https://android.googlesource.com/platform/cts/+/0aaeb75c6628eb12d4800a5691b531f1d38ae214", "0aaeb75c6628eb12d4800a5691b531f1d38ae214")</f>
        <v>0</v>
      </c>
      <c r="C12992">
        <f>HYPERLINK("https://android.googlesource.com/platform/cts/+/6ac5c9fc162bea7eae363b8834418b291288aafd", "6ac5c9fc162bea7eae363b8834418b291288aafd")</f>
        <v>0</v>
      </c>
      <c r="D12992" t="s">
        <v>5134</v>
      </c>
      <c r="E12992" t="s">
        <v>7657</v>
      </c>
      <c r="F12992" t="s">
        <v>13493</v>
      </c>
      <c r="G12992" t="s">
        <v>17612</v>
      </c>
      <c r="H12992" t="s">
        <v>30060</v>
      </c>
    </row>
    <row r="12993" spans="1:8">
      <c r="H12993" t="s">
        <v>30061</v>
      </c>
    </row>
    <row r="12994" spans="1:8">
      <c r="A12994" t="s">
        <v>1912</v>
      </c>
      <c r="B12994">
        <f>HYPERLINK("https://android.googlesource.com/platform/cts/+/92e5073e104cd4b8c085e0e8489da81b9245cf30", "92e5073e104cd4b8c085e0e8489da81b9245cf30")</f>
        <v>0</v>
      </c>
      <c r="C12994">
        <f>HYPERLINK("https://android.googlesource.com/platform/cts/+/bd1b7b952c29405fd0c927e832814b975f147f42", "bd1b7b952c29405fd0c927e832814b975f147f42")</f>
        <v>0</v>
      </c>
      <c r="D12994" t="s">
        <v>5284</v>
      </c>
      <c r="E12994" t="s">
        <v>7658</v>
      </c>
      <c r="F12994" t="s">
        <v>13165</v>
      </c>
      <c r="G12994" t="s">
        <v>17315</v>
      </c>
      <c r="H12994" t="s">
        <v>30062</v>
      </c>
    </row>
    <row r="12995" spans="1:8">
      <c r="H12995" t="s">
        <v>30063</v>
      </c>
    </row>
    <row r="12996" spans="1:8">
      <c r="A12996" t="s">
        <v>1913</v>
      </c>
      <c r="B12996">
        <f>HYPERLINK("https://android.googlesource.com/platform/cts/+/77acca434bdbafea5e8c6197b5f74738a7af8047", "77acca434bdbafea5e8c6197b5f74738a7af8047")</f>
        <v>0</v>
      </c>
      <c r="C12996">
        <f>HYPERLINK("https://android.googlesource.com/platform/cts/+/076583a6c4e39db3bd6612d70d7e439c74876ddf", "076583a6c4e39db3bd6612d70d7e439c74876ddf")</f>
        <v>0</v>
      </c>
      <c r="D12996" t="s">
        <v>5303</v>
      </c>
      <c r="E12996" t="s">
        <v>7659</v>
      </c>
      <c r="F12996" t="s">
        <v>12839</v>
      </c>
      <c r="G12996" t="s">
        <v>17014</v>
      </c>
      <c r="H12996" t="s">
        <v>30064</v>
      </c>
    </row>
    <row r="12997" spans="1:8">
      <c r="A12997" t="s">
        <v>1914</v>
      </c>
      <c r="B12997">
        <f>HYPERLINK("https://android.googlesource.com/platform/cts/+/112d2e758eecc40682acb91736660d5f1272b3b4", "112d2e758eecc40682acb91736660d5f1272b3b4")</f>
        <v>0</v>
      </c>
      <c r="C12997">
        <f>HYPERLINK("https://android.googlesource.com/platform/cts/+/4870e49977adecccff410088539ee859b75848db", "4870e49977adecccff410088539ee859b75848db")</f>
        <v>0</v>
      </c>
      <c r="D12997" t="s">
        <v>5303</v>
      </c>
      <c r="E12997" t="s">
        <v>7660</v>
      </c>
      <c r="F12997" t="s">
        <v>12839</v>
      </c>
      <c r="G12997" t="s">
        <v>17014</v>
      </c>
      <c r="H12997" t="s">
        <v>30064</v>
      </c>
    </row>
    <row r="12998" spans="1:8">
      <c r="A12998" t="s">
        <v>1915</v>
      </c>
      <c r="B12998">
        <f>HYPERLINK("https://android.googlesource.com/platform/cts/+/92f094d20987fdd4530cd30feddd10ba5208b145", "92f094d20987fdd4530cd30feddd10ba5208b145")</f>
        <v>0</v>
      </c>
      <c r="C12998">
        <f>HYPERLINK("https://android.googlesource.com/platform/cts/+/a15ae145ff691090cbcbeeb8a548b3b6090c15dc", "a15ae145ff691090cbcbeeb8a548b3b6090c15dc")</f>
        <v>0</v>
      </c>
      <c r="D12998" t="s">
        <v>5195</v>
      </c>
      <c r="E12998" t="s">
        <v>7661</v>
      </c>
      <c r="F12998" t="s">
        <v>13494</v>
      </c>
      <c r="G12998" t="s">
        <v>17613</v>
      </c>
      <c r="H12998" t="s">
        <v>30069</v>
      </c>
    </row>
    <row r="12999" spans="1:8">
      <c r="A12999" t="s">
        <v>1916</v>
      </c>
      <c r="B12999">
        <f>HYPERLINK("https://android.googlesource.com/platform/cts/+/0d65517f0143a75a4dd29a2c82c0a20743edf050", "0d65517f0143a75a4dd29a2c82c0a20743edf050")</f>
        <v>0</v>
      </c>
      <c r="C12999">
        <f>HYPERLINK("https://android.googlesource.com/platform/cts/+/6cd66a486320ce682125dfebc229e0aecf20226e", "6cd66a486320ce682125dfebc229e0aecf20226e")</f>
        <v>0</v>
      </c>
      <c r="D12999" t="s">
        <v>5046</v>
      </c>
      <c r="E12999" t="s">
        <v>7662</v>
      </c>
      <c r="F12999" t="s">
        <v>13495</v>
      </c>
      <c r="G12999" t="s">
        <v>17158</v>
      </c>
      <c r="H12999" t="s">
        <v>28619</v>
      </c>
    </row>
    <row r="13000" spans="1:8">
      <c r="A13000" t="s">
        <v>1917</v>
      </c>
      <c r="B13000">
        <f>HYPERLINK("https://android.googlesource.com/platform/cts/+/82d73119016e321a8f90347bded84e25c87a0675", "82d73119016e321a8f90347bded84e25c87a0675")</f>
        <v>0</v>
      </c>
      <c r="C13000">
        <f>HYPERLINK("https://android.googlesource.com/platform/cts/+/9b73ba5302fd9740787284949b1b1197f1c16a49", "9b73ba5302fd9740787284949b1b1197f1c16a49")</f>
        <v>0</v>
      </c>
      <c r="D13000" t="s">
        <v>5141</v>
      </c>
      <c r="E13000" t="s">
        <v>7663</v>
      </c>
      <c r="F13000" t="s">
        <v>13459</v>
      </c>
      <c r="G13000" t="s">
        <v>17577</v>
      </c>
      <c r="H13000" t="s">
        <v>30030</v>
      </c>
    </row>
    <row r="13001" spans="1:8">
      <c r="H13001" t="s">
        <v>30031</v>
      </c>
    </row>
    <row r="13002" spans="1:8">
      <c r="H13002" t="s">
        <v>30032</v>
      </c>
    </row>
    <row r="13003" spans="1:8">
      <c r="H13003" t="s">
        <v>29871</v>
      </c>
    </row>
    <row r="13004" spans="1:8">
      <c r="H13004" t="s">
        <v>29872</v>
      </c>
    </row>
    <row r="13005" spans="1:8">
      <c r="H13005" t="s">
        <v>29873</v>
      </c>
    </row>
    <row r="13006" spans="1:8">
      <c r="H13006" t="s">
        <v>29269</v>
      </c>
    </row>
    <row r="13007" spans="1:8">
      <c r="H13007" t="s">
        <v>29874</v>
      </c>
    </row>
    <row r="13008" spans="1:8">
      <c r="H13008" t="s">
        <v>29875</v>
      </c>
    </row>
    <row r="13009" spans="1:8">
      <c r="H13009" t="s">
        <v>29270</v>
      </c>
    </row>
    <row r="13010" spans="1:8">
      <c r="H13010" t="s">
        <v>30033</v>
      </c>
    </row>
    <row r="13011" spans="1:8">
      <c r="H13011" t="s">
        <v>30034</v>
      </c>
    </row>
    <row r="13012" spans="1:8">
      <c r="H13012" t="s">
        <v>29876</v>
      </c>
    </row>
    <row r="13013" spans="1:8">
      <c r="F13013" t="s">
        <v>13091</v>
      </c>
      <c r="G13013" t="s">
        <v>17253</v>
      </c>
      <c r="H13013" t="s">
        <v>30035</v>
      </c>
    </row>
    <row r="13014" spans="1:8">
      <c r="F13014" t="s">
        <v>10794</v>
      </c>
      <c r="G13014" t="s">
        <v>15189</v>
      </c>
      <c r="H13014" t="s">
        <v>30036</v>
      </c>
    </row>
    <row r="13015" spans="1:8">
      <c r="A13015" t="s">
        <v>1919</v>
      </c>
      <c r="B13015">
        <f>HYPERLINK("https://android.googlesource.com/platform/cts/+/7374294785d6186fb63cad13b44d7ce203cdb810", "7374294785d6186fb63cad13b44d7ce203cdb810")</f>
        <v>0</v>
      </c>
      <c r="C13015">
        <f>HYPERLINK("https://android.googlesource.com/platform/cts/+/dd4aaaf3e39d73f1d1b532132e246de4e756ab48", "dd4aaaf3e39d73f1d1b532132e246de4e756ab48")</f>
        <v>0</v>
      </c>
      <c r="D13015" t="s">
        <v>5305</v>
      </c>
      <c r="E13015" t="s">
        <v>7665</v>
      </c>
      <c r="F13015" t="s">
        <v>13496</v>
      </c>
      <c r="G13015" t="s">
        <v>17614</v>
      </c>
      <c r="H13015" t="s">
        <v>30070</v>
      </c>
    </row>
    <row r="13016" spans="1:8">
      <c r="H13016" t="s">
        <v>30071</v>
      </c>
    </row>
    <row r="13017" spans="1:8">
      <c r="H13017" t="s">
        <v>30072</v>
      </c>
    </row>
    <row r="13018" spans="1:8">
      <c r="A13018" t="s">
        <v>1920</v>
      </c>
      <c r="B13018">
        <f>HYPERLINK("https://android.googlesource.com/platform/cts/+/dc938f33da9427dfdfd76dbdcd3459486007191d", "dc938f33da9427dfdfd76dbdcd3459486007191d")</f>
        <v>0</v>
      </c>
      <c r="C13018">
        <f>HYPERLINK("https://android.googlesource.com/platform/cts/+/56f2cbfaf29f8ca2f9a8b93ca493485bd3385151", "56f2cbfaf29f8ca2f9a8b93ca493485bd3385151")</f>
        <v>0</v>
      </c>
      <c r="D13018" t="s">
        <v>5305</v>
      </c>
      <c r="E13018" t="s">
        <v>7666</v>
      </c>
      <c r="F13018" t="s">
        <v>10593</v>
      </c>
      <c r="G13018" t="s">
        <v>14996</v>
      </c>
      <c r="H13018" t="s">
        <v>30073</v>
      </c>
    </row>
    <row r="13019" spans="1:8">
      <c r="A13019" t="s">
        <v>1921</v>
      </c>
      <c r="B13019">
        <f>HYPERLINK("https://android.googlesource.com/platform/cts/+/5b31af70b29f61919af889557ee15849c6695de3", "5b31af70b29f61919af889557ee15849c6695de3")</f>
        <v>0</v>
      </c>
      <c r="C13019">
        <f>HYPERLINK("https://android.googlesource.com/platform/cts/+/d6a6157f73cccd815307efbaa946711f90872885", "d6a6157f73cccd815307efbaa946711f90872885")</f>
        <v>0</v>
      </c>
      <c r="D13019" t="s">
        <v>5306</v>
      </c>
      <c r="E13019" t="s">
        <v>7667</v>
      </c>
      <c r="F13019" t="s">
        <v>13497</v>
      </c>
      <c r="G13019" t="s">
        <v>17615</v>
      </c>
      <c r="H13019" t="s">
        <v>30074</v>
      </c>
    </row>
    <row r="13020" spans="1:8">
      <c r="A13020" t="s">
        <v>1923</v>
      </c>
      <c r="B13020">
        <f>HYPERLINK("https://android.googlesource.com/platform/cts/+/84b57d1cb17225cce903afb2eb8de5e02abf0eac", "84b57d1cb17225cce903afb2eb8de5e02abf0eac")</f>
        <v>0</v>
      </c>
      <c r="C13020">
        <f>HYPERLINK("https://android.googlesource.com/platform/cts/+/9aa51d7ed408ca04314c49fdbd046e08cf990ded", "9aa51d7ed408ca04314c49fdbd046e08cf990ded")</f>
        <v>0</v>
      </c>
      <c r="D13020" t="s">
        <v>5287</v>
      </c>
      <c r="E13020" t="s">
        <v>7669</v>
      </c>
      <c r="F13020" t="s">
        <v>13442</v>
      </c>
      <c r="G13020" t="s">
        <v>17564</v>
      </c>
      <c r="H13020" t="s">
        <v>30075</v>
      </c>
    </row>
    <row r="13021" spans="1:8">
      <c r="H13021" t="s">
        <v>30076</v>
      </c>
    </row>
    <row r="13022" spans="1:8">
      <c r="A13022" t="s">
        <v>1925</v>
      </c>
      <c r="B13022">
        <f>HYPERLINK("https://android.googlesource.com/platform/cts/+/1ea7cb7111e32c44e52752e8846e8d0212233def", "1ea7cb7111e32c44e52752e8846e8d0212233def")</f>
        <v>0</v>
      </c>
      <c r="C13022">
        <f>HYPERLINK("https://android.googlesource.com/platform/cts/+/8a1539ec7620fe24ec792105c0a062593374066b", "8a1539ec7620fe24ec792105c0a062593374066b")</f>
        <v>0</v>
      </c>
      <c r="D13022" t="s">
        <v>5287</v>
      </c>
      <c r="E13022" t="s">
        <v>7671</v>
      </c>
      <c r="F13022" t="s">
        <v>10608</v>
      </c>
      <c r="G13022" t="s">
        <v>15011</v>
      </c>
      <c r="H13022" t="s">
        <v>30077</v>
      </c>
    </row>
    <row r="13023" spans="1:8">
      <c r="H13023" t="s">
        <v>30078</v>
      </c>
    </row>
    <row r="13024" spans="1:8">
      <c r="A13024" t="s">
        <v>1926</v>
      </c>
      <c r="B13024">
        <f>HYPERLINK("https://android.googlesource.com/platform/cts/+/729cd5b8e01795b195cfbf0e5b439cab2db6ad39", "729cd5b8e01795b195cfbf0e5b439cab2db6ad39")</f>
        <v>0</v>
      </c>
      <c r="C13024">
        <f>HYPERLINK("https://android.googlesource.com/platform/cts/+/fab1881862b305c9ac3721d44f48ec202875ec75", "fab1881862b305c9ac3721d44f48ec202875ec75")</f>
        <v>0</v>
      </c>
      <c r="D13024" t="s">
        <v>5293</v>
      </c>
      <c r="E13024" t="s">
        <v>7672</v>
      </c>
      <c r="F13024" t="s">
        <v>13468</v>
      </c>
      <c r="G13024" t="s">
        <v>17587</v>
      </c>
      <c r="H13024" t="s">
        <v>30079</v>
      </c>
    </row>
    <row r="13025" spans="1:8">
      <c r="H13025" t="s">
        <v>30080</v>
      </c>
    </row>
    <row r="13026" spans="1:8">
      <c r="A13026" t="s">
        <v>1928</v>
      </c>
      <c r="B13026">
        <f>HYPERLINK("https://android.googlesource.com/platform/cts/+/ecaabc38c3568d9cf21d72497dc79536c71daa90", "ecaabc38c3568d9cf21d72497dc79536c71daa90")</f>
        <v>0</v>
      </c>
      <c r="C13026">
        <f>HYPERLINK("https://android.googlesource.com/platform/cts/+/3132240742c4eded7a40fccdef8c90a78e62e378", "3132240742c4eded7a40fccdef8c90a78e62e378")</f>
        <v>0</v>
      </c>
      <c r="D13026" t="s">
        <v>5134</v>
      </c>
      <c r="E13026" t="s">
        <v>7674</v>
      </c>
      <c r="F13026" t="s">
        <v>13230</v>
      </c>
      <c r="G13026" t="s">
        <v>17371</v>
      </c>
      <c r="H13026" t="s">
        <v>30085</v>
      </c>
    </row>
    <row r="13027" spans="1:8">
      <c r="H13027" t="s">
        <v>30086</v>
      </c>
    </row>
    <row r="13028" spans="1:8">
      <c r="H13028" t="s">
        <v>30087</v>
      </c>
    </row>
    <row r="13029" spans="1:8">
      <c r="H13029" t="s">
        <v>30088</v>
      </c>
    </row>
    <row r="13030" spans="1:8">
      <c r="H13030" t="s">
        <v>30089</v>
      </c>
    </row>
    <row r="13031" spans="1:8">
      <c r="H13031" t="s">
        <v>30090</v>
      </c>
    </row>
    <row r="13032" spans="1:8">
      <c r="H13032" t="s">
        <v>30091</v>
      </c>
    </row>
    <row r="13033" spans="1:8">
      <c r="H13033" t="s">
        <v>30092</v>
      </c>
    </row>
    <row r="13034" spans="1:8">
      <c r="H13034" t="s">
        <v>30094</v>
      </c>
    </row>
    <row r="13035" spans="1:8">
      <c r="H13035" t="s">
        <v>30095</v>
      </c>
    </row>
    <row r="13036" spans="1:8">
      <c r="H13036" t="s">
        <v>30096</v>
      </c>
    </row>
    <row r="13037" spans="1:8">
      <c r="H13037" t="s">
        <v>30097</v>
      </c>
    </row>
    <row r="13038" spans="1:8">
      <c r="H13038" t="s">
        <v>30099</v>
      </c>
    </row>
    <row r="13039" spans="1:8">
      <c r="H13039" t="s">
        <v>30100</v>
      </c>
    </row>
    <row r="13040" spans="1:8">
      <c r="H13040" t="s">
        <v>30101</v>
      </c>
    </row>
    <row r="13041" spans="8:8">
      <c r="H13041" t="s">
        <v>30105</v>
      </c>
    </row>
    <row r="13042" spans="8:8">
      <c r="H13042" t="s">
        <v>30106</v>
      </c>
    </row>
    <row r="13043" spans="8:8">
      <c r="H13043" t="s">
        <v>30107</v>
      </c>
    </row>
    <row r="13044" spans="8:8">
      <c r="H13044" t="s">
        <v>30109</v>
      </c>
    </row>
    <row r="13045" spans="8:8">
      <c r="H13045" t="s">
        <v>30110</v>
      </c>
    </row>
    <row r="13046" spans="8:8">
      <c r="H13046" t="s">
        <v>30111</v>
      </c>
    </row>
    <row r="13047" spans="8:8">
      <c r="H13047" t="s">
        <v>30112</v>
      </c>
    </row>
    <row r="13048" spans="8:8">
      <c r="H13048" t="s">
        <v>30113</v>
      </c>
    </row>
    <row r="13049" spans="8:8">
      <c r="H13049" t="s">
        <v>30115</v>
      </c>
    </row>
    <row r="13050" spans="8:8">
      <c r="H13050" t="s">
        <v>30116</v>
      </c>
    </row>
    <row r="13051" spans="8:8">
      <c r="H13051" t="s">
        <v>30117</v>
      </c>
    </row>
    <row r="13052" spans="8:8">
      <c r="H13052" t="s">
        <v>30118</v>
      </c>
    </row>
    <row r="13053" spans="8:8">
      <c r="H13053" t="s">
        <v>30119</v>
      </c>
    </row>
    <row r="13054" spans="8:8">
      <c r="H13054" t="s">
        <v>30121</v>
      </c>
    </row>
    <row r="13055" spans="8:8">
      <c r="H13055" t="s">
        <v>30122</v>
      </c>
    </row>
    <row r="13056" spans="8:8">
      <c r="H13056" t="s">
        <v>30123</v>
      </c>
    </row>
    <row r="13057" spans="1:8">
      <c r="A13057" t="s">
        <v>1933</v>
      </c>
      <c r="B13057">
        <f>HYPERLINK("https://android.googlesource.com/platform/cts/+/756e78f3db6dba07e830cdf67953460cad225e4e", "756e78f3db6dba07e830cdf67953460cad225e4e")</f>
        <v>0</v>
      </c>
      <c r="C13057">
        <f>HYPERLINK("https://android.googlesource.com/platform/cts/+/cbf8be0b50d70f4ff51bbfc8f1342a10deb5c86e", "cbf8be0b50d70f4ff51bbfc8f1342a10deb5c86e")</f>
        <v>0</v>
      </c>
      <c r="D13057" t="s">
        <v>5134</v>
      </c>
      <c r="E13057" t="s">
        <v>7679</v>
      </c>
      <c r="F13057" t="s">
        <v>13230</v>
      </c>
      <c r="G13057" t="s">
        <v>17371</v>
      </c>
      <c r="H13057" t="s">
        <v>30133</v>
      </c>
    </row>
    <row r="13058" spans="1:8">
      <c r="F13058" t="s">
        <v>13371</v>
      </c>
      <c r="G13058" t="s">
        <v>17498</v>
      </c>
      <c r="H13058" t="s">
        <v>30135</v>
      </c>
    </row>
    <row r="13059" spans="1:8">
      <c r="A13059" t="s">
        <v>1936</v>
      </c>
      <c r="B13059">
        <f>HYPERLINK("https://android.googlesource.com/platform/cts/+/f8ee864e2f403f55a39262ea9b5bc2d41815c9a5", "f8ee864e2f403f55a39262ea9b5bc2d41815c9a5")</f>
        <v>0</v>
      </c>
      <c r="C13059">
        <f>HYPERLINK("https://android.googlesource.com/platform/cts/+/4241d4a3ca12764c063cd0c712a4f79e6b34853c", "4241d4a3ca12764c063cd0c712a4f79e6b34853c")</f>
        <v>0</v>
      </c>
      <c r="D13059" t="s">
        <v>5180</v>
      </c>
      <c r="E13059" t="s">
        <v>7682</v>
      </c>
      <c r="F13059" t="s">
        <v>13505</v>
      </c>
      <c r="G13059" t="s">
        <v>17622</v>
      </c>
      <c r="H13059" t="s">
        <v>30148</v>
      </c>
    </row>
    <row r="13060" spans="1:8">
      <c r="H13060" t="s">
        <v>30149</v>
      </c>
    </row>
    <row r="13061" spans="1:8">
      <c r="H13061" t="s">
        <v>30150</v>
      </c>
    </row>
    <row r="13062" spans="1:8">
      <c r="H13062" t="s">
        <v>30151</v>
      </c>
    </row>
    <row r="13063" spans="1:8">
      <c r="H13063" t="s">
        <v>30152</v>
      </c>
    </row>
    <row r="13064" spans="1:8">
      <c r="H13064" t="s">
        <v>30153</v>
      </c>
    </row>
    <row r="13065" spans="1:8">
      <c r="H13065" t="s">
        <v>29023</v>
      </c>
    </row>
    <row r="13066" spans="1:8">
      <c r="H13066" t="s">
        <v>30154</v>
      </c>
    </row>
    <row r="13067" spans="1:8">
      <c r="H13067" t="s">
        <v>30155</v>
      </c>
    </row>
    <row r="13068" spans="1:8">
      <c r="H13068" t="s">
        <v>30156</v>
      </c>
    </row>
    <row r="13069" spans="1:8">
      <c r="H13069" t="s">
        <v>30157</v>
      </c>
    </row>
    <row r="13070" spans="1:8">
      <c r="H13070" t="s">
        <v>30158</v>
      </c>
    </row>
    <row r="13071" spans="1:8">
      <c r="F13071" t="s">
        <v>13506</v>
      </c>
      <c r="G13071" t="s">
        <v>17623</v>
      </c>
      <c r="H13071" t="s">
        <v>30167</v>
      </c>
    </row>
    <row r="13072" spans="1:8">
      <c r="H13072" t="s">
        <v>30168</v>
      </c>
    </row>
    <row r="13073" spans="8:8">
      <c r="H13073" t="s">
        <v>30169</v>
      </c>
    </row>
    <row r="13074" spans="8:8">
      <c r="H13074" t="s">
        <v>30170</v>
      </c>
    </row>
    <row r="13075" spans="8:8">
      <c r="H13075" t="s">
        <v>30171</v>
      </c>
    </row>
    <row r="13076" spans="8:8">
      <c r="H13076" t="s">
        <v>30172</v>
      </c>
    </row>
    <row r="13077" spans="8:8">
      <c r="H13077" t="s">
        <v>30173</v>
      </c>
    </row>
    <row r="13078" spans="8:8">
      <c r="H13078" t="s">
        <v>30174</v>
      </c>
    </row>
    <row r="13079" spans="8:8">
      <c r="H13079" t="s">
        <v>30175</v>
      </c>
    </row>
    <row r="13080" spans="8:8">
      <c r="H13080" t="s">
        <v>30176</v>
      </c>
    </row>
    <row r="13081" spans="8:8">
      <c r="H13081" t="s">
        <v>30177</v>
      </c>
    </row>
    <row r="13082" spans="8:8">
      <c r="H13082" t="s">
        <v>30178</v>
      </c>
    </row>
    <row r="13083" spans="8:8">
      <c r="H13083" t="s">
        <v>30179</v>
      </c>
    </row>
    <row r="13084" spans="8:8">
      <c r="H13084" t="s">
        <v>30180</v>
      </c>
    </row>
    <row r="13085" spans="8:8">
      <c r="H13085" t="s">
        <v>30181</v>
      </c>
    </row>
    <row r="13086" spans="8:8">
      <c r="H13086" t="s">
        <v>30182</v>
      </c>
    </row>
    <row r="13087" spans="8:8">
      <c r="H13087" t="s">
        <v>30183</v>
      </c>
    </row>
    <row r="13088" spans="8:8">
      <c r="H13088" t="s">
        <v>30184</v>
      </c>
    </row>
    <row r="13089" spans="8:8">
      <c r="H13089" t="s">
        <v>30185</v>
      </c>
    </row>
    <row r="13090" spans="8:8">
      <c r="H13090" t="s">
        <v>30186</v>
      </c>
    </row>
    <row r="13091" spans="8:8">
      <c r="H13091" t="s">
        <v>30187</v>
      </c>
    </row>
    <row r="13092" spans="8:8">
      <c r="H13092" t="s">
        <v>30188</v>
      </c>
    </row>
    <row r="13093" spans="8:8">
      <c r="H13093" t="s">
        <v>30189</v>
      </c>
    </row>
    <row r="13094" spans="8:8">
      <c r="H13094" t="s">
        <v>30190</v>
      </c>
    </row>
    <row r="13095" spans="8:8">
      <c r="H13095" t="s">
        <v>30191</v>
      </c>
    </row>
    <row r="13096" spans="8:8">
      <c r="H13096" t="s">
        <v>30192</v>
      </c>
    </row>
    <row r="13097" spans="8:8">
      <c r="H13097" t="s">
        <v>30193</v>
      </c>
    </row>
    <row r="13098" spans="8:8">
      <c r="H13098" t="s">
        <v>30194</v>
      </c>
    </row>
    <row r="13099" spans="8:8">
      <c r="H13099" t="s">
        <v>30195</v>
      </c>
    </row>
    <row r="13100" spans="8:8">
      <c r="H13100" t="s">
        <v>30196</v>
      </c>
    </row>
    <row r="13101" spans="8:8">
      <c r="H13101" t="s">
        <v>30198</v>
      </c>
    </row>
    <row r="13102" spans="8:8">
      <c r="H13102" t="s">
        <v>30199</v>
      </c>
    </row>
    <row r="13103" spans="8:8">
      <c r="H13103" t="s">
        <v>30200</v>
      </c>
    </row>
    <row r="13104" spans="8:8">
      <c r="H13104" t="s">
        <v>30201</v>
      </c>
    </row>
    <row r="13105" spans="6:8">
      <c r="H13105" t="s">
        <v>30202</v>
      </c>
    </row>
    <row r="13106" spans="6:8">
      <c r="H13106" t="s">
        <v>30203</v>
      </c>
    </row>
    <row r="13107" spans="6:8">
      <c r="H13107" t="s">
        <v>30204</v>
      </c>
    </row>
    <row r="13108" spans="6:8">
      <c r="H13108" t="s">
        <v>30205</v>
      </c>
    </row>
    <row r="13109" spans="6:8">
      <c r="H13109" t="s">
        <v>30206</v>
      </c>
    </row>
    <row r="13110" spans="6:8">
      <c r="H13110" t="s">
        <v>30207</v>
      </c>
    </row>
    <row r="13111" spans="6:8">
      <c r="F13111" t="s">
        <v>13507</v>
      </c>
      <c r="G13111" t="s">
        <v>17624</v>
      </c>
      <c r="H13111" t="s">
        <v>30030</v>
      </c>
    </row>
    <row r="13112" spans="6:8">
      <c r="F13112" t="s">
        <v>13508</v>
      </c>
      <c r="G13112" t="s">
        <v>17625</v>
      </c>
      <c r="H13112" t="s">
        <v>30030</v>
      </c>
    </row>
    <row r="13113" spans="6:8">
      <c r="H13113" t="s">
        <v>30214</v>
      </c>
    </row>
    <row r="13114" spans="6:8">
      <c r="H13114" t="s">
        <v>30215</v>
      </c>
    </row>
    <row r="13115" spans="6:8">
      <c r="H13115" t="s">
        <v>30167</v>
      </c>
    </row>
    <row r="13116" spans="6:8">
      <c r="H13116" t="s">
        <v>30168</v>
      </c>
    </row>
    <row r="13117" spans="6:8">
      <c r="H13117" t="s">
        <v>30171</v>
      </c>
    </row>
    <row r="13118" spans="6:8">
      <c r="H13118" t="s">
        <v>30170</v>
      </c>
    </row>
    <row r="13119" spans="6:8">
      <c r="H13119" t="s">
        <v>30169</v>
      </c>
    </row>
    <row r="13120" spans="6:8">
      <c r="H13120" t="s">
        <v>30216</v>
      </c>
    </row>
    <row r="13121" spans="1:8">
      <c r="H13121" t="s">
        <v>30217</v>
      </c>
    </row>
    <row r="13122" spans="1:8">
      <c r="H13122" t="s">
        <v>30218</v>
      </c>
    </row>
    <row r="13123" spans="1:8">
      <c r="H13123" t="s">
        <v>30219</v>
      </c>
    </row>
    <row r="13124" spans="1:8">
      <c r="H13124" t="s">
        <v>30222</v>
      </c>
    </row>
    <row r="13125" spans="1:8">
      <c r="H13125" t="s">
        <v>30223</v>
      </c>
    </row>
    <row r="13126" spans="1:8">
      <c r="H13126" t="s">
        <v>30224</v>
      </c>
    </row>
    <row r="13127" spans="1:8">
      <c r="H13127" t="s">
        <v>30225</v>
      </c>
    </row>
    <row r="13128" spans="1:8">
      <c r="F13128" t="s">
        <v>13509</v>
      </c>
      <c r="G13128" t="s">
        <v>17626</v>
      </c>
      <c r="H13128" t="s">
        <v>30231</v>
      </c>
    </row>
    <row r="13129" spans="1:8">
      <c r="H13129" t="s">
        <v>30232</v>
      </c>
    </row>
    <row r="13130" spans="1:8">
      <c r="A13130" t="s">
        <v>1939</v>
      </c>
      <c r="B13130">
        <f>HYPERLINK("https://android.googlesource.com/platform/cts/+/a53385fe82d8f569fc0cf6cc91fee60749c7ced2", "a53385fe82d8f569fc0cf6cc91fee60749c7ced2")</f>
        <v>0</v>
      </c>
      <c r="C13130">
        <f>HYPERLINK("https://android.googlesource.com/platform/cts/+/aa7171d9987238b20bacd7e651e3aad3a86dd74d", "aa7171d9987238b20bacd7e651e3aad3a86dd74d")</f>
        <v>0</v>
      </c>
      <c r="D13130" t="s">
        <v>5309</v>
      </c>
      <c r="E13130" t="s">
        <v>7685</v>
      </c>
      <c r="F13130" t="s">
        <v>13511</v>
      </c>
      <c r="G13130" t="s">
        <v>17628</v>
      </c>
      <c r="H13130" t="s">
        <v>30245</v>
      </c>
    </row>
    <row r="13131" spans="1:8">
      <c r="A13131" t="s">
        <v>1940</v>
      </c>
      <c r="B13131">
        <f>HYPERLINK("https://android.googlesource.com/platform/cts/+/5b51ce3002e1a6e1bc94e42bc9788a0b8d32b1eb", "5b51ce3002e1a6e1bc94e42bc9788a0b8d32b1eb")</f>
        <v>0</v>
      </c>
      <c r="C13131">
        <f>HYPERLINK("https://android.googlesource.com/platform/cts/+/47ff52cab976338b5db19e2f646a7703dcecc830", "47ff52cab976338b5db19e2f646a7703dcecc830")</f>
        <v>0</v>
      </c>
      <c r="D13131" t="s">
        <v>5046</v>
      </c>
      <c r="E13131" t="s">
        <v>7686</v>
      </c>
      <c r="F13131" t="s">
        <v>13512</v>
      </c>
      <c r="G13131" t="s">
        <v>17629</v>
      </c>
      <c r="H13131" t="s">
        <v>30246</v>
      </c>
    </row>
    <row r="13132" spans="1:8">
      <c r="A13132" t="s">
        <v>1941</v>
      </c>
      <c r="B13132">
        <f>HYPERLINK("https://android.googlesource.com/platform/cts/+/1d05377873342d465da5119cc1e925f515fb101f", "1d05377873342d465da5119cc1e925f515fb101f")</f>
        <v>0</v>
      </c>
      <c r="C13132">
        <f>HYPERLINK("https://android.googlesource.com/platform/cts/+/a4682064f766d76338012b74bf401b8a1704fecc", "a4682064f766d76338012b74bf401b8a1704fecc")</f>
        <v>0</v>
      </c>
      <c r="D13132" t="s">
        <v>5293</v>
      </c>
      <c r="E13132" t="s">
        <v>7687</v>
      </c>
      <c r="F13132" t="s">
        <v>13513</v>
      </c>
      <c r="G13132" t="s">
        <v>17630</v>
      </c>
      <c r="H13132" t="s">
        <v>30247</v>
      </c>
    </row>
    <row r="13133" spans="1:8">
      <c r="H13133" t="s">
        <v>30248</v>
      </c>
    </row>
    <row r="13134" spans="1:8">
      <c r="A13134" t="s">
        <v>1942</v>
      </c>
      <c r="B13134">
        <f>HYPERLINK("https://android.googlesource.com/platform/cts/+/0e850d8d79d15bfc71fb7817fa79ecdf084ca17b", "0e850d8d79d15bfc71fb7817fa79ecdf084ca17b")</f>
        <v>0</v>
      </c>
      <c r="C13134">
        <f>HYPERLINK("https://android.googlesource.com/platform/cts/+/74a0dc8acb34356a69ea77167f304583fbbd41b7", "74a0dc8acb34356a69ea77167f304583fbbd41b7")</f>
        <v>0</v>
      </c>
      <c r="D13134" t="s">
        <v>5284</v>
      </c>
      <c r="E13134" t="s">
        <v>7688</v>
      </c>
      <c r="F13134" t="s">
        <v>13165</v>
      </c>
      <c r="G13134" t="s">
        <v>17315</v>
      </c>
      <c r="H13134" t="s">
        <v>30249</v>
      </c>
    </row>
    <row r="13135" spans="1:8">
      <c r="A13135" t="s">
        <v>1943</v>
      </c>
      <c r="B13135">
        <f>HYPERLINK("https://android.googlesource.com/platform/cts/+/fe31a64c42aa4632e189644f685e6527644a1995", "fe31a64c42aa4632e189644f685e6527644a1995")</f>
        <v>0</v>
      </c>
      <c r="C13135">
        <f>HYPERLINK("https://android.googlesource.com/platform/cts/+/be505c4b7b3fd8242a8408d03dfa3f6101bb06d5", "be505c4b7b3fd8242a8408d03dfa3f6101bb06d5")</f>
        <v>0</v>
      </c>
      <c r="D13135" t="s">
        <v>5310</v>
      </c>
      <c r="E13135" t="s">
        <v>7689</v>
      </c>
      <c r="F13135" t="s">
        <v>13432</v>
      </c>
      <c r="G13135" t="s">
        <v>17556</v>
      </c>
      <c r="H13135" t="s">
        <v>30250</v>
      </c>
    </row>
    <row r="13136" spans="1:8">
      <c r="H13136" t="s">
        <v>30251</v>
      </c>
    </row>
    <row r="13137" spans="1:8">
      <c r="F13137" t="s">
        <v>13433</v>
      </c>
      <c r="G13137" t="s">
        <v>17557</v>
      </c>
      <c r="H13137" t="s">
        <v>30250</v>
      </c>
    </row>
    <row r="13138" spans="1:8">
      <c r="H13138" t="s">
        <v>30252</v>
      </c>
    </row>
    <row r="13139" spans="1:8">
      <c r="A13139" t="s">
        <v>1946</v>
      </c>
      <c r="B13139">
        <f>HYPERLINK("https://android.googlesource.com/platform/cts/+/17cd23fa6d9784467051916d0495e633cbf02f31", "17cd23fa6d9784467051916d0495e633cbf02f31")</f>
        <v>0</v>
      </c>
      <c r="C13139">
        <f>HYPERLINK("https://android.googlesource.com/platform/cts/+/74a0dc8acb34356a69ea77167f304583fbbd41b7", "74a0dc8acb34356a69ea77167f304583fbbd41b7")</f>
        <v>0</v>
      </c>
      <c r="D13139" t="s">
        <v>5131</v>
      </c>
      <c r="E13139" t="s">
        <v>7692</v>
      </c>
      <c r="F13139" t="s">
        <v>13515</v>
      </c>
      <c r="G13139" t="s">
        <v>17632</v>
      </c>
      <c r="H13139" t="s">
        <v>30260</v>
      </c>
    </row>
    <row r="13140" spans="1:8">
      <c r="H13140" t="s">
        <v>26401</v>
      </c>
    </row>
    <row r="13141" spans="1:8">
      <c r="A13141" t="s">
        <v>1947</v>
      </c>
      <c r="B13141">
        <f>HYPERLINK("https://android.googlesource.com/platform/cts/+/ca088e3cfbee556d6e81b4dcfbb9d74f87a8bdf1", "ca088e3cfbee556d6e81b4dcfbb9d74f87a8bdf1")</f>
        <v>0</v>
      </c>
      <c r="C13141">
        <f>HYPERLINK("https://android.googlesource.com/platform/cts/+/888cb3bfbf963e9439e137ea83cef4ba1a7469f3", "888cb3bfbf963e9439e137ea83cef4ba1a7469f3")</f>
        <v>0</v>
      </c>
      <c r="D13141" t="s">
        <v>5118</v>
      </c>
      <c r="E13141" t="s">
        <v>7693</v>
      </c>
      <c r="F13141" t="s">
        <v>13165</v>
      </c>
      <c r="G13141" t="s">
        <v>17315</v>
      </c>
      <c r="H13141" t="s">
        <v>30261</v>
      </c>
    </row>
    <row r="13142" spans="1:8">
      <c r="A13142" t="s">
        <v>1951</v>
      </c>
      <c r="B13142">
        <f>HYPERLINK("https://android.googlesource.com/platform/cts/+/76e4008d21e7638e66b8efd205ef21c26672fc7d", "76e4008d21e7638e66b8efd205ef21c26672fc7d")</f>
        <v>0</v>
      </c>
      <c r="C13142">
        <f>HYPERLINK("https://android.googlesource.com/platform/cts/+/1c5dfaf7dbf88ecf8783fa4da0c87f27329f607b", "1c5dfaf7dbf88ecf8783fa4da0c87f27329f607b")</f>
        <v>0</v>
      </c>
      <c r="D13142" t="s">
        <v>5312</v>
      </c>
      <c r="E13142" t="s">
        <v>7696</v>
      </c>
      <c r="F13142" t="s">
        <v>13519</v>
      </c>
      <c r="G13142" t="s">
        <v>17634</v>
      </c>
      <c r="H13142" t="s">
        <v>30264</v>
      </c>
    </row>
    <row r="13143" spans="1:8">
      <c r="F13143" t="s">
        <v>12743</v>
      </c>
      <c r="G13143" t="s">
        <v>16935</v>
      </c>
      <c r="H13143" t="s">
        <v>30264</v>
      </c>
    </row>
    <row r="13144" spans="1:8">
      <c r="A13144" t="s">
        <v>1953</v>
      </c>
      <c r="B13144">
        <f>HYPERLINK("https://android.googlesource.com/platform/cts/+/d91dbd832273ba506c5d2fc648f0504ff7b6b5e2", "d91dbd832273ba506c5d2fc648f0504ff7b6b5e2")</f>
        <v>0</v>
      </c>
      <c r="C13144">
        <f>HYPERLINK("https://android.googlesource.com/platform/cts/+/ddf263ced807b1611300115134f8a8b16622dfe5", "ddf263ced807b1611300115134f8a8b16622dfe5")</f>
        <v>0</v>
      </c>
      <c r="D13144" t="s">
        <v>5131</v>
      </c>
      <c r="E13144" t="s">
        <v>7698</v>
      </c>
      <c r="F13144" t="s">
        <v>13515</v>
      </c>
      <c r="G13144" t="s">
        <v>17632</v>
      </c>
      <c r="H13144" t="s">
        <v>30267</v>
      </c>
    </row>
    <row r="13145" spans="1:8">
      <c r="A13145" t="s">
        <v>1959</v>
      </c>
      <c r="B13145">
        <f>HYPERLINK("https://android.googlesource.com/platform/cts/+/9bcce19398e895110eaf7d630c94f403a5cbddf6", "9bcce19398e895110eaf7d630c94f403a5cbddf6")</f>
        <v>0</v>
      </c>
      <c r="C13145">
        <f>HYPERLINK("https://android.googlesource.com/platform/cts/+/c15a6dee26ba117c61e482778f478bb16b32a1c8", "c15a6dee26ba117c61e482778f478bb16b32a1c8")</f>
        <v>0</v>
      </c>
      <c r="D13145" t="s">
        <v>5180</v>
      </c>
      <c r="E13145" t="s">
        <v>7704</v>
      </c>
      <c r="F13145" t="s">
        <v>13506</v>
      </c>
      <c r="G13145" t="s">
        <v>17623</v>
      </c>
      <c r="H13145" t="s">
        <v>30181</v>
      </c>
    </row>
    <row r="13146" spans="1:8">
      <c r="F13146" t="s">
        <v>13508</v>
      </c>
      <c r="G13146" t="s">
        <v>17625</v>
      </c>
      <c r="H13146" t="s">
        <v>30218</v>
      </c>
    </row>
    <row r="13147" spans="1:8">
      <c r="A13147" t="s">
        <v>1960</v>
      </c>
      <c r="B13147">
        <f>HYPERLINK("https://android.googlesource.com/platform/cts/+/754b03c9341134949f4dbab6a595a7fbd11a5662", "754b03c9341134949f4dbab6a595a7fbd11a5662")</f>
        <v>0</v>
      </c>
      <c r="C13147">
        <f>HYPERLINK("https://android.googlesource.com/platform/cts/+/37d1558eb9d9ad4519ca5dd9acd7804fc7254432", "37d1558eb9d9ad4519ca5dd9acd7804fc7254432")</f>
        <v>0</v>
      </c>
      <c r="D13147" t="s">
        <v>5264</v>
      </c>
      <c r="E13147" t="s">
        <v>7705</v>
      </c>
      <c r="F13147" t="s">
        <v>13524</v>
      </c>
      <c r="G13147" t="s">
        <v>17639</v>
      </c>
      <c r="H13147" t="s">
        <v>30273</v>
      </c>
    </row>
    <row r="13148" spans="1:8">
      <c r="A13148" t="s">
        <v>1961</v>
      </c>
      <c r="B13148">
        <f>HYPERLINK("https://android.googlesource.com/platform/cts/+/759ad0a1239a9bf031ac6592b1ab1069d494bd45", "759ad0a1239a9bf031ac6592b1ab1069d494bd45")</f>
        <v>0</v>
      </c>
      <c r="C13148">
        <f>HYPERLINK("https://android.googlesource.com/platform/cts/+/74a0dc8acb34356a69ea77167f304583fbbd41b7", "74a0dc8acb34356a69ea77167f304583fbbd41b7")</f>
        <v>0</v>
      </c>
      <c r="D13148" t="s">
        <v>5313</v>
      </c>
      <c r="E13148" t="s">
        <v>7706</v>
      </c>
      <c r="F13148" t="s">
        <v>13525</v>
      </c>
      <c r="G13148" t="s">
        <v>17640</v>
      </c>
      <c r="H13148" t="s">
        <v>30275</v>
      </c>
    </row>
    <row r="13149" spans="1:8">
      <c r="A13149" t="s">
        <v>1962</v>
      </c>
      <c r="B13149">
        <f>HYPERLINK("https://android.googlesource.com/platform/cts/+/2171101ef129d9b6e0c941204038b17ffe560e7c", "2171101ef129d9b6e0c941204038b17ffe560e7c")</f>
        <v>0</v>
      </c>
      <c r="C13149">
        <f>HYPERLINK("https://android.googlesource.com/platform/cts/+/d413d2095eb2e30ab08bb9dc4a9cba3a845401c3", "d413d2095eb2e30ab08bb9dc4a9cba3a845401c3")</f>
        <v>0</v>
      </c>
      <c r="D13149" t="s">
        <v>5264</v>
      </c>
      <c r="E13149" t="s">
        <v>7707</v>
      </c>
      <c r="F13149" t="s">
        <v>13526</v>
      </c>
      <c r="G13149" t="s">
        <v>17641</v>
      </c>
      <c r="H13149" t="s">
        <v>30217</v>
      </c>
    </row>
    <row r="13150" spans="1:8">
      <c r="A13150" t="s">
        <v>1963</v>
      </c>
      <c r="B13150">
        <f>HYPERLINK("https://android.googlesource.com/platform/cts/+/97f475f92dff10849f09e1b1a341a94dba2da855", "97f475f92dff10849f09e1b1a341a94dba2da855")</f>
        <v>0</v>
      </c>
      <c r="C13150">
        <f>HYPERLINK("https://android.googlesource.com/platform/cts/+/7c1fa37b3aa710cd145ca048cf125dfbba62bad0", "7c1fa37b3aa710cd145ca048cf125dfbba62bad0")</f>
        <v>0</v>
      </c>
      <c r="D13150" t="s">
        <v>5306</v>
      </c>
      <c r="E13150" t="s">
        <v>7708</v>
      </c>
      <c r="F13150" t="s">
        <v>13527</v>
      </c>
      <c r="G13150" t="s">
        <v>17642</v>
      </c>
      <c r="H13150" t="s">
        <v>30276</v>
      </c>
    </row>
    <row r="13151" spans="1:8">
      <c r="A13151" t="s">
        <v>1964</v>
      </c>
      <c r="B13151">
        <f>HYPERLINK("https://android.googlesource.com/platform/cts/+/41c9292ded58ea61d14ea263e70d44e5b6d524f2", "41c9292ded58ea61d14ea263e70d44e5b6d524f2")</f>
        <v>0</v>
      </c>
      <c r="C13151">
        <f>HYPERLINK("https://android.googlesource.com/platform/cts/+/d88102d92d872d562d56c3c64b91d952a76d8b45", "d88102d92d872d562d56c3c64b91d952a76d8b45")</f>
        <v>0</v>
      </c>
      <c r="D13151" t="s">
        <v>5306</v>
      </c>
      <c r="E13151" t="s">
        <v>7709</v>
      </c>
      <c r="F13151" t="s">
        <v>13527</v>
      </c>
      <c r="G13151" t="s">
        <v>17642</v>
      </c>
      <c r="H13151" t="s">
        <v>30276</v>
      </c>
    </row>
    <row r="13152" spans="1:8">
      <c r="A13152" t="s">
        <v>1967</v>
      </c>
      <c r="B13152">
        <f>HYPERLINK("https://android.googlesource.com/platform/cts/+/e124269509f91ecae170db8eba71cc29f638c94f", "e124269509f91ecae170db8eba71cc29f638c94f")</f>
        <v>0</v>
      </c>
      <c r="C13152">
        <f>HYPERLINK("https://android.googlesource.com/platform/cts/+/8b2b45404e3d7220911703db6c238eeb73d53dde", "8b2b45404e3d7220911703db6c238eeb73d53dde")</f>
        <v>0</v>
      </c>
      <c r="D13152" t="s">
        <v>5224</v>
      </c>
      <c r="E13152" t="s">
        <v>7712</v>
      </c>
      <c r="F13152" t="s">
        <v>13529</v>
      </c>
      <c r="G13152" t="s">
        <v>17644</v>
      </c>
      <c r="H13152" t="s">
        <v>30277</v>
      </c>
    </row>
    <row r="13153" spans="1:8">
      <c r="A13153" t="s">
        <v>1968</v>
      </c>
      <c r="B13153">
        <f>HYPERLINK("https://android.googlesource.com/platform/cts/+/d348307e7e3d5eea3477209c2d3db9dffae13e2b", "d348307e7e3d5eea3477209c2d3db9dffae13e2b")</f>
        <v>0</v>
      </c>
      <c r="C13153">
        <f>HYPERLINK("https://android.googlesource.com/platform/cts/+/7e0c2c58f672de6c9dcf759557d56e30a0e44441", "7e0c2c58f672de6c9dcf759557d56e30a0e44441")</f>
        <v>0</v>
      </c>
      <c r="D13153" t="s">
        <v>5288</v>
      </c>
      <c r="E13153" t="s">
        <v>7713</v>
      </c>
      <c r="F13153" t="s">
        <v>13451</v>
      </c>
      <c r="G13153" t="s">
        <v>17573</v>
      </c>
      <c r="H13153" t="s">
        <v>30278</v>
      </c>
    </row>
    <row r="13154" spans="1:8">
      <c r="H13154" t="s">
        <v>30279</v>
      </c>
    </row>
    <row r="13155" spans="1:8">
      <c r="H13155" t="s">
        <v>30280</v>
      </c>
    </row>
    <row r="13156" spans="1:8">
      <c r="F13156" t="s">
        <v>13530</v>
      </c>
      <c r="G13156" t="s">
        <v>17645</v>
      </c>
      <c r="H13156" t="s">
        <v>29864</v>
      </c>
    </row>
    <row r="13157" spans="1:8">
      <c r="F13157" t="s">
        <v>13444</v>
      </c>
      <c r="G13157" t="s">
        <v>17566</v>
      </c>
      <c r="H13157" t="s">
        <v>29864</v>
      </c>
    </row>
    <row r="13158" spans="1:8">
      <c r="F13158" t="s">
        <v>13531</v>
      </c>
      <c r="G13158" t="s">
        <v>17574</v>
      </c>
      <c r="H13158" t="s">
        <v>29864</v>
      </c>
    </row>
    <row r="13159" spans="1:8">
      <c r="H13159" t="s">
        <v>30278</v>
      </c>
    </row>
    <row r="13160" spans="1:8">
      <c r="H13160" t="s">
        <v>30280</v>
      </c>
    </row>
    <row r="13161" spans="1:8">
      <c r="A13161" t="s">
        <v>1969</v>
      </c>
      <c r="B13161">
        <f>HYPERLINK("https://android.googlesource.com/platform/cts/+/b431c251965eadd6206812df66a1b63ab8e952d0", "b431c251965eadd6206812df66a1b63ab8e952d0")</f>
        <v>0</v>
      </c>
      <c r="C13161">
        <f>HYPERLINK("https://android.googlesource.com/platform/cts/+/2b60832a126adcb73d1d57e9e2460aa51baf9631", "2b60832a126adcb73d1d57e9e2460aa51baf9631")</f>
        <v>0</v>
      </c>
      <c r="D13161" t="s">
        <v>5264</v>
      </c>
      <c r="E13161" t="s">
        <v>7714</v>
      </c>
      <c r="F13161" t="s">
        <v>13506</v>
      </c>
      <c r="G13161" t="s">
        <v>17623</v>
      </c>
      <c r="H13161" t="s">
        <v>30177</v>
      </c>
    </row>
    <row r="13162" spans="1:8">
      <c r="F13162" t="s">
        <v>13508</v>
      </c>
      <c r="G13162" t="s">
        <v>17625</v>
      </c>
      <c r="H13162" t="s">
        <v>30217</v>
      </c>
    </row>
    <row r="13163" spans="1:8">
      <c r="A13163" t="s">
        <v>1972</v>
      </c>
      <c r="B13163">
        <f>HYPERLINK("https://android.googlesource.com/platform/cts/+/bdf29769f0c7750eda72926adfc33cbae3ae3273", "bdf29769f0c7750eda72926adfc33cbae3ae3273")</f>
        <v>0</v>
      </c>
      <c r="C13163">
        <f>HYPERLINK("https://android.googlesource.com/platform/cts/+/04d14540a4766c1b96eb26c98d7a0d99bad24e47", "04d14540a4766c1b96eb26c98d7a0d99bad24e47")</f>
        <v>0</v>
      </c>
      <c r="D13163" t="s">
        <v>5141</v>
      </c>
      <c r="E13163" t="s">
        <v>7717</v>
      </c>
      <c r="F13163" t="s">
        <v>13491</v>
      </c>
      <c r="G13163" t="s">
        <v>17610</v>
      </c>
      <c r="H13163" t="s">
        <v>30284</v>
      </c>
    </row>
    <row r="13164" spans="1:8">
      <c r="H13164" t="s">
        <v>30285</v>
      </c>
    </row>
    <row r="13165" spans="1:8">
      <c r="H13165" t="s">
        <v>30286</v>
      </c>
    </row>
    <row r="13166" spans="1:8">
      <c r="A13166" t="s">
        <v>1974</v>
      </c>
      <c r="B13166">
        <f>HYPERLINK("https://android.googlesource.com/platform/cts/+/a53821e5047bbfdeadbcfffba9bad2f3d442f1eb", "a53821e5047bbfdeadbcfffba9bad2f3d442f1eb")</f>
        <v>0</v>
      </c>
      <c r="C13166">
        <f>HYPERLINK("https://android.googlesource.com/platform/cts/+/d7a8f7f6d7f46f5d51353613c40467dc97996d3d", "d7a8f7f6d7f46f5d51353613c40467dc97996d3d")</f>
        <v>0</v>
      </c>
      <c r="D13166" t="s">
        <v>5134</v>
      </c>
      <c r="E13166" t="s">
        <v>7719</v>
      </c>
      <c r="F13166" t="s">
        <v>13255</v>
      </c>
      <c r="G13166" t="s">
        <v>17393</v>
      </c>
      <c r="H13166" t="s">
        <v>30287</v>
      </c>
    </row>
    <row r="13167" spans="1:8">
      <c r="H13167" t="s">
        <v>30288</v>
      </c>
    </row>
    <row r="13168" spans="1:8">
      <c r="A13168" t="s">
        <v>1975</v>
      </c>
      <c r="B13168">
        <f>HYPERLINK("https://android.googlesource.com/platform/cts/+/7afaea3d76c71f9fa7443ca4bdb2e29c66e4b662", "7afaea3d76c71f9fa7443ca4bdb2e29c66e4b662")</f>
        <v>0</v>
      </c>
      <c r="C13168">
        <f>HYPERLINK("https://android.googlesource.com/platform/cts/+/17b585c9bfd5a41123f36730dac7d6386cc16fa5", "17b585c9bfd5a41123f36730dac7d6386cc16fa5")</f>
        <v>0</v>
      </c>
      <c r="D13168" t="s">
        <v>5195</v>
      </c>
      <c r="E13168" t="s">
        <v>7720</v>
      </c>
      <c r="F13168" t="s">
        <v>13534</v>
      </c>
      <c r="G13168" t="s">
        <v>17646</v>
      </c>
      <c r="H13168" t="s">
        <v>30296</v>
      </c>
    </row>
    <row r="13169" spans="1:8">
      <c r="H13169" t="s">
        <v>30297</v>
      </c>
    </row>
    <row r="13170" spans="1:8">
      <c r="A13170" t="s">
        <v>1978</v>
      </c>
      <c r="B13170">
        <f>HYPERLINK("https://android.googlesource.com/platform/cts/+/ec74bc3a3115e176d7a20148c8ed9a38888880fc", "ec74bc3a3115e176d7a20148c8ed9a38888880fc")</f>
        <v>0</v>
      </c>
      <c r="C13170">
        <f>HYPERLINK("https://android.googlesource.com/platform/cts/+/603e362ad22f97d41e3c71831707e8139e061f62", "603e362ad22f97d41e3c71831707e8139e061f62")</f>
        <v>0</v>
      </c>
      <c r="D13170" t="s">
        <v>5068</v>
      </c>
      <c r="E13170" t="s">
        <v>7723</v>
      </c>
      <c r="F13170" t="s">
        <v>13521</v>
      </c>
      <c r="G13170" t="s">
        <v>17636</v>
      </c>
      <c r="H13170" t="s">
        <v>30300</v>
      </c>
    </row>
    <row r="13171" spans="1:8">
      <c r="A13171" t="s">
        <v>1980</v>
      </c>
      <c r="B13171">
        <f>HYPERLINK("https://android.googlesource.com/platform/cts/+/c9ec3b31d4cd6b064f59400fbe1f01695efee77e", "c9ec3b31d4cd6b064f59400fbe1f01695efee77e")</f>
        <v>0</v>
      </c>
      <c r="C13171">
        <f>HYPERLINK("https://android.googlesource.com/platform/cts/+/1106a1fd641972a38b97417ef598f4b3a5bf8df0", "1106a1fd641972a38b97417ef598f4b3a5bf8df0")</f>
        <v>0</v>
      </c>
      <c r="D13171" t="s">
        <v>5131</v>
      </c>
      <c r="E13171" t="s">
        <v>7725</v>
      </c>
      <c r="F13171" t="s">
        <v>13537</v>
      </c>
      <c r="G13171" t="s">
        <v>17649</v>
      </c>
      <c r="H13171" t="s">
        <v>30303</v>
      </c>
    </row>
    <row r="13172" spans="1:8">
      <c r="H13172" t="s">
        <v>30304</v>
      </c>
    </row>
    <row r="13173" spans="1:8">
      <c r="H13173" t="s">
        <v>30305</v>
      </c>
    </row>
    <row r="13174" spans="1:8">
      <c r="H13174" t="s">
        <v>30306</v>
      </c>
    </row>
    <row r="13175" spans="1:8">
      <c r="H13175" t="s">
        <v>30307</v>
      </c>
    </row>
    <row r="13176" spans="1:8">
      <c r="H13176" t="s">
        <v>30308</v>
      </c>
    </row>
    <row r="13177" spans="1:8">
      <c r="H13177" t="s">
        <v>29953</v>
      </c>
    </row>
    <row r="13178" spans="1:8">
      <c r="H13178" t="s">
        <v>30309</v>
      </c>
    </row>
    <row r="13179" spans="1:8">
      <c r="A13179" t="s">
        <v>1981</v>
      </c>
      <c r="B13179">
        <f>HYPERLINK("https://android.googlesource.com/platform/cts/+/3b9071a2280d021e41c800ac3b77ed44cdc98d5e", "3b9071a2280d021e41c800ac3b77ed44cdc98d5e")</f>
        <v>0</v>
      </c>
      <c r="C13179">
        <f>HYPERLINK("https://android.googlesource.com/platform/cts/+/d7a8f7f6d7f46f5d51353613c40467dc97996d3d", "d7a8f7f6d7f46f5d51353613c40467dc97996d3d")</f>
        <v>0</v>
      </c>
      <c r="D13179" t="s">
        <v>5315</v>
      </c>
      <c r="E13179" t="s">
        <v>7726</v>
      </c>
      <c r="F13179" t="s">
        <v>13227</v>
      </c>
      <c r="G13179" t="s">
        <v>17368</v>
      </c>
      <c r="H13179" t="s">
        <v>30310</v>
      </c>
    </row>
    <row r="13180" spans="1:8">
      <c r="H13180" t="s">
        <v>30311</v>
      </c>
    </row>
    <row r="13181" spans="1:8">
      <c r="A13181" t="s">
        <v>1984</v>
      </c>
      <c r="B13181">
        <f>HYPERLINK("https://android.googlesource.com/platform/cts/+/90363eeabae5a3b97dc2f6c04f88ba404e877833", "90363eeabae5a3b97dc2f6c04f88ba404e877833")</f>
        <v>0</v>
      </c>
      <c r="C13181">
        <f>HYPERLINK("https://android.googlesource.com/platform/cts/+/ca2f49e4fd9037b22e91615be58be96f3774a149", "ca2f49e4fd9037b22e91615be58be96f3774a149")</f>
        <v>0</v>
      </c>
      <c r="D13181" t="s">
        <v>5316</v>
      </c>
      <c r="E13181" t="s">
        <v>7729</v>
      </c>
      <c r="F13181" t="s">
        <v>13320</v>
      </c>
      <c r="G13181" t="s">
        <v>17451</v>
      </c>
      <c r="H13181" t="s">
        <v>29170</v>
      </c>
    </row>
    <row r="13182" spans="1:8">
      <c r="A13182" t="s">
        <v>1985</v>
      </c>
      <c r="B13182">
        <f>HYPERLINK("https://android.googlesource.com/platform/cts/+/0c7b1fecac46ca9b2e23cb8e39bf9fee188a6102", "0c7b1fecac46ca9b2e23cb8e39bf9fee188a6102")</f>
        <v>0</v>
      </c>
      <c r="C13182">
        <f>HYPERLINK("https://android.googlesource.com/platform/cts/+/4ab8af00c985d97f1fd4ecfb2abcfc44d2c54ac0", "4ab8af00c985d97f1fd4ecfb2abcfc44d2c54ac0")</f>
        <v>0</v>
      </c>
      <c r="D13182" t="s">
        <v>5073</v>
      </c>
      <c r="E13182" t="s">
        <v>7730</v>
      </c>
      <c r="F13182" t="s">
        <v>13538</v>
      </c>
      <c r="G13182" t="s">
        <v>17650</v>
      </c>
      <c r="H13182" t="s">
        <v>30313</v>
      </c>
    </row>
    <row r="13183" spans="1:8">
      <c r="H13183" t="s">
        <v>30314</v>
      </c>
    </row>
    <row r="13184" spans="1:8">
      <c r="H13184" t="s">
        <v>30315</v>
      </c>
    </row>
    <row r="13185" spans="1:8">
      <c r="H13185" t="s">
        <v>30316</v>
      </c>
    </row>
    <row r="13186" spans="1:8">
      <c r="H13186" t="s">
        <v>30317</v>
      </c>
    </row>
    <row r="13187" spans="1:8">
      <c r="H13187" t="s">
        <v>30318</v>
      </c>
    </row>
    <row r="13188" spans="1:8">
      <c r="H13188" t="s">
        <v>30319</v>
      </c>
    </row>
    <row r="13189" spans="1:8">
      <c r="H13189" t="s">
        <v>30320</v>
      </c>
    </row>
    <row r="13190" spans="1:8">
      <c r="H13190" t="s">
        <v>30321</v>
      </c>
    </row>
    <row r="13191" spans="1:8">
      <c r="H13191" t="s">
        <v>30322</v>
      </c>
    </row>
    <row r="13192" spans="1:8">
      <c r="A13192" t="s">
        <v>1987</v>
      </c>
      <c r="B13192">
        <f>HYPERLINK("https://android.googlesource.com/platform/cts/+/a54f36953bca823296434f6563fcfac142bf4e4e", "a54f36953bca823296434f6563fcfac142bf4e4e")</f>
        <v>0</v>
      </c>
      <c r="C13192">
        <f>HYPERLINK("https://android.googlesource.com/platform/cts/+/498fae8550d8f0b1d2d75299b33c57285dc0c3f6", "498fae8550d8f0b1d2d75299b33c57285dc0c3f6")</f>
        <v>0</v>
      </c>
      <c r="D13192" t="s">
        <v>5046</v>
      </c>
      <c r="E13192" t="s">
        <v>7731</v>
      </c>
      <c r="F13192" t="s">
        <v>13539</v>
      </c>
      <c r="G13192" t="s">
        <v>17155</v>
      </c>
      <c r="H13192" t="s">
        <v>28579</v>
      </c>
    </row>
    <row r="13193" spans="1:8">
      <c r="A13193" t="s">
        <v>1989</v>
      </c>
      <c r="B13193">
        <f>HYPERLINK("https://android.googlesource.com/platform/cts/+/e784af5d1c8c4b946688c1034238fea329e30668", "e784af5d1c8c4b946688c1034238fea329e30668")</f>
        <v>0</v>
      </c>
      <c r="C13193">
        <f>HYPERLINK("https://android.googlesource.com/platform/cts/+/6c7cad8a2dd07c01a843bbeeaa8284f862b73566", "6c7cad8a2dd07c01a843bbeeaa8284f862b73566")</f>
        <v>0</v>
      </c>
      <c r="D13193" t="s">
        <v>5317</v>
      </c>
      <c r="E13193" t="s">
        <v>7733</v>
      </c>
      <c r="F13193" t="s">
        <v>13540</v>
      </c>
      <c r="G13193" t="s">
        <v>17651</v>
      </c>
      <c r="H13193" t="s">
        <v>30323</v>
      </c>
    </row>
    <row r="13194" spans="1:8">
      <c r="H13194" t="s">
        <v>30324</v>
      </c>
    </row>
    <row r="13195" spans="1:8">
      <c r="A13195" t="s">
        <v>1992</v>
      </c>
      <c r="B13195">
        <f>HYPERLINK("https://android.googlesource.com/platform/cts/+/b4fa0373b298d92eea4dfb209ab4dda6b1ef1c07", "b4fa0373b298d92eea4dfb209ab4dda6b1ef1c07")</f>
        <v>0</v>
      </c>
      <c r="C13195">
        <f>HYPERLINK("https://android.googlesource.com/platform/cts/+/4f8f314f1f0286b942f061896dd43cdca05d61b1", "4f8f314f1f0286b942f061896dd43cdca05d61b1")</f>
        <v>0</v>
      </c>
      <c r="D13195" t="s">
        <v>5287</v>
      </c>
      <c r="E13195" t="s">
        <v>7736</v>
      </c>
      <c r="F13195" t="s">
        <v>10663</v>
      </c>
      <c r="G13195" t="s">
        <v>15064</v>
      </c>
      <c r="H13195" t="s">
        <v>30328</v>
      </c>
    </row>
    <row r="13196" spans="1:8">
      <c r="H13196" t="s">
        <v>30329</v>
      </c>
    </row>
    <row r="13197" spans="1:8">
      <c r="H13197" t="s">
        <v>30330</v>
      </c>
    </row>
    <row r="13198" spans="1:8">
      <c r="H13198" t="s">
        <v>30331</v>
      </c>
    </row>
    <row r="13199" spans="1:8">
      <c r="H13199" t="s">
        <v>30332</v>
      </c>
    </row>
    <row r="13200" spans="1:8">
      <c r="H13200" t="s">
        <v>30333</v>
      </c>
    </row>
    <row r="13201" spans="8:8">
      <c r="H13201" t="s">
        <v>30334</v>
      </c>
    </row>
    <row r="13202" spans="8:8">
      <c r="H13202" t="s">
        <v>30335</v>
      </c>
    </row>
    <row r="13203" spans="8:8">
      <c r="H13203" t="s">
        <v>30336</v>
      </c>
    </row>
    <row r="13204" spans="8:8">
      <c r="H13204" t="s">
        <v>26292</v>
      </c>
    </row>
    <row r="13205" spans="8:8">
      <c r="H13205" t="s">
        <v>30337</v>
      </c>
    </row>
    <row r="13206" spans="8:8">
      <c r="H13206" t="s">
        <v>30339</v>
      </c>
    </row>
    <row r="13207" spans="8:8">
      <c r="H13207" t="s">
        <v>30340</v>
      </c>
    </row>
    <row r="13208" spans="8:8">
      <c r="H13208" t="s">
        <v>30341</v>
      </c>
    </row>
    <row r="13209" spans="8:8">
      <c r="H13209" t="s">
        <v>30342</v>
      </c>
    </row>
    <row r="13210" spans="8:8">
      <c r="H13210" t="s">
        <v>30343</v>
      </c>
    </row>
    <row r="13211" spans="8:8">
      <c r="H13211" t="s">
        <v>30344</v>
      </c>
    </row>
    <row r="13212" spans="8:8">
      <c r="H13212" t="s">
        <v>30180</v>
      </c>
    </row>
    <row r="13213" spans="8:8">
      <c r="H13213" t="s">
        <v>30345</v>
      </c>
    </row>
    <row r="13214" spans="8:8">
      <c r="H13214" t="s">
        <v>30346</v>
      </c>
    </row>
    <row r="13215" spans="8:8">
      <c r="H13215" t="s">
        <v>30347</v>
      </c>
    </row>
    <row r="13216" spans="8:8">
      <c r="H13216" t="s">
        <v>30348</v>
      </c>
    </row>
    <row r="13217" spans="8:8">
      <c r="H13217" t="s">
        <v>30349</v>
      </c>
    </row>
    <row r="13218" spans="8:8">
      <c r="H13218" t="s">
        <v>30350</v>
      </c>
    </row>
    <row r="13219" spans="8:8">
      <c r="H13219" t="s">
        <v>30351</v>
      </c>
    </row>
    <row r="13220" spans="8:8">
      <c r="H13220" t="s">
        <v>30352</v>
      </c>
    </row>
    <row r="13221" spans="8:8">
      <c r="H13221" t="s">
        <v>30353</v>
      </c>
    </row>
    <row r="13222" spans="8:8">
      <c r="H13222" t="s">
        <v>30354</v>
      </c>
    </row>
    <row r="13223" spans="8:8">
      <c r="H13223" t="s">
        <v>30355</v>
      </c>
    </row>
    <row r="13224" spans="8:8">
      <c r="H13224" t="s">
        <v>30356</v>
      </c>
    </row>
    <row r="13225" spans="8:8">
      <c r="H13225" t="s">
        <v>30357</v>
      </c>
    </row>
    <row r="13226" spans="8:8">
      <c r="H13226" t="s">
        <v>30358</v>
      </c>
    </row>
    <row r="13227" spans="8:8">
      <c r="H13227" t="s">
        <v>30359</v>
      </c>
    </row>
    <row r="13228" spans="8:8">
      <c r="H13228" t="s">
        <v>30360</v>
      </c>
    </row>
    <row r="13229" spans="8:8">
      <c r="H13229" t="s">
        <v>30361</v>
      </c>
    </row>
    <row r="13230" spans="8:8">
      <c r="H13230" t="s">
        <v>30362</v>
      </c>
    </row>
    <row r="13231" spans="8:8">
      <c r="H13231" t="s">
        <v>30363</v>
      </c>
    </row>
    <row r="13232" spans="8:8">
      <c r="H13232" t="s">
        <v>30364</v>
      </c>
    </row>
    <row r="13233" spans="8:8">
      <c r="H13233" t="s">
        <v>30365</v>
      </c>
    </row>
    <row r="13234" spans="8:8">
      <c r="H13234" t="s">
        <v>30366</v>
      </c>
    </row>
    <row r="13235" spans="8:8">
      <c r="H13235" t="s">
        <v>30367</v>
      </c>
    </row>
    <row r="13236" spans="8:8">
      <c r="H13236" t="s">
        <v>30369</v>
      </c>
    </row>
    <row r="13237" spans="8:8">
      <c r="H13237" t="s">
        <v>30370</v>
      </c>
    </row>
    <row r="13238" spans="8:8">
      <c r="H13238" t="s">
        <v>30371</v>
      </c>
    </row>
    <row r="13239" spans="8:8">
      <c r="H13239" t="s">
        <v>30372</v>
      </c>
    </row>
    <row r="13240" spans="8:8">
      <c r="H13240" t="s">
        <v>30373</v>
      </c>
    </row>
    <row r="13241" spans="8:8">
      <c r="H13241" t="s">
        <v>30374</v>
      </c>
    </row>
    <row r="13242" spans="8:8">
      <c r="H13242" t="s">
        <v>30375</v>
      </c>
    </row>
    <row r="13243" spans="8:8">
      <c r="H13243" t="s">
        <v>30376</v>
      </c>
    </row>
    <row r="13244" spans="8:8">
      <c r="H13244" t="s">
        <v>30377</v>
      </c>
    </row>
    <row r="13245" spans="8:8">
      <c r="H13245" t="s">
        <v>30378</v>
      </c>
    </row>
    <row r="13246" spans="8:8">
      <c r="H13246" t="s">
        <v>30379</v>
      </c>
    </row>
    <row r="13247" spans="8:8">
      <c r="H13247" t="s">
        <v>30380</v>
      </c>
    </row>
    <row r="13248" spans="8:8">
      <c r="H13248" t="s">
        <v>30381</v>
      </c>
    </row>
    <row r="13249" spans="1:8">
      <c r="H13249" t="s">
        <v>30382</v>
      </c>
    </row>
    <row r="13250" spans="1:8">
      <c r="A13250" t="s">
        <v>1999</v>
      </c>
      <c r="B13250">
        <f>HYPERLINK("https://android.googlesource.com/platform/cts/+/afe6df6031defd668cdb538eb846741388796131", "afe6df6031defd668cdb538eb846741388796131")</f>
        <v>0</v>
      </c>
      <c r="C13250">
        <f>HYPERLINK("https://android.googlesource.com/platform/cts/+/0c26121cba2e319bbc38305e559c60f484cd7cef", "0c26121cba2e319bbc38305e559c60f484cd7cef")</f>
        <v>0</v>
      </c>
      <c r="D13250" t="s">
        <v>5215</v>
      </c>
      <c r="E13250" t="s">
        <v>7741</v>
      </c>
      <c r="F13250" t="s">
        <v>10699</v>
      </c>
      <c r="G13250" t="s">
        <v>15099</v>
      </c>
      <c r="H13250" t="s">
        <v>30394</v>
      </c>
    </row>
    <row r="13251" spans="1:8">
      <c r="A13251" t="s">
        <v>2002</v>
      </c>
      <c r="B13251">
        <f>HYPERLINK("https://android.googlesource.com/platform/cts/+/eaa2bbee9517de527137c0ca5488545124ba7e1c", "eaa2bbee9517de527137c0ca5488545124ba7e1c")</f>
        <v>0</v>
      </c>
      <c r="C13251">
        <f>HYPERLINK("https://android.googlesource.com/platform/cts/+/e907b0ac85ef8640a5e285256d4319b06b4add6d", "e907b0ac85ef8640a5e285256d4319b06b4add6d")</f>
        <v>0</v>
      </c>
      <c r="D13251" t="s">
        <v>5264</v>
      </c>
      <c r="E13251" t="s">
        <v>7744</v>
      </c>
      <c r="F13251" t="s">
        <v>12617</v>
      </c>
      <c r="G13251" t="s">
        <v>15155</v>
      </c>
      <c r="H13251" t="s">
        <v>30398</v>
      </c>
    </row>
    <row r="13252" spans="1:8">
      <c r="A13252" t="s">
        <v>2003</v>
      </c>
      <c r="B13252">
        <f>HYPERLINK("https://android.googlesource.com/platform/cts/+/b22c4ea6428a357cfc50928def4f6c42d684ffce", "b22c4ea6428a357cfc50928def4f6c42d684ffce")</f>
        <v>0</v>
      </c>
      <c r="C13252">
        <f>HYPERLINK("https://android.googlesource.com/platform/cts/+/2e63d86c2da34f4fdd19bf347b4c02449518cb28", "2e63d86c2da34f4fdd19bf347b4c02449518cb28")</f>
        <v>0</v>
      </c>
      <c r="D13252" t="s">
        <v>5264</v>
      </c>
      <c r="E13252" t="s">
        <v>7745</v>
      </c>
      <c r="F13252" t="s">
        <v>13508</v>
      </c>
      <c r="G13252" t="s">
        <v>17625</v>
      </c>
      <c r="H13252" t="s">
        <v>30173</v>
      </c>
    </row>
    <row r="13253" spans="1:8">
      <c r="H13253" t="s">
        <v>30174</v>
      </c>
    </row>
    <row r="13254" spans="1:8">
      <c r="A13254" t="s">
        <v>2005</v>
      </c>
      <c r="B13254">
        <f>HYPERLINK("https://android.googlesource.com/platform/cts/+/e11b314c0abd734e2e659490ddb556b36e53e6ab", "e11b314c0abd734e2e659490ddb556b36e53e6ab")</f>
        <v>0</v>
      </c>
      <c r="C13254">
        <f>HYPERLINK("https://android.googlesource.com/platform/cts/+/814f1d8184f1b52323015351a308b4f0e437295a", "814f1d8184f1b52323015351a308b4f0e437295a")</f>
        <v>0</v>
      </c>
      <c r="D13254" t="s">
        <v>5144</v>
      </c>
      <c r="E13254" t="s">
        <v>7747</v>
      </c>
      <c r="F13254" t="s">
        <v>10627</v>
      </c>
      <c r="G13254" t="s">
        <v>15030</v>
      </c>
      <c r="H13254" t="s">
        <v>30400</v>
      </c>
    </row>
    <row r="13255" spans="1:8">
      <c r="H13255" t="s">
        <v>30401</v>
      </c>
    </row>
    <row r="13256" spans="1:8">
      <c r="H13256" t="s">
        <v>30402</v>
      </c>
    </row>
    <row r="13257" spans="1:8">
      <c r="H13257" t="s">
        <v>30403</v>
      </c>
    </row>
    <row r="13258" spans="1:8">
      <c r="H13258" t="s">
        <v>30404</v>
      </c>
    </row>
    <row r="13259" spans="1:8">
      <c r="H13259" t="s">
        <v>30405</v>
      </c>
    </row>
    <row r="13260" spans="1:8">
      <c r="H13260" t="s">
        <v>30406</v>
      </c>
    </row>
    <row r="13261" spans="1:8">
      <c r="H13261" t="s">
        <v>30407</v>
      </c>
    </row>
    <row r="13262" spans="1:8">
      <c r="H13262" t="s">
        <v>30408</v>
      </c>
    </row>
    <row r="13263" spans="1:8">
      <c r="H13263" t="s">
        <v>30409</v>
      </c>
    </row>
    <row r="13264" spans="1:8">
      <c r="H13264" t="s">
        <v>30410</v>
      </c>
    </row>
    <row r="13265" spans="1:8">
      <c r="H13265" t="s">
        <v>30411</v>
      </c>
    </row>
    <row r="13266" spans="1:8">
      <c r="A13266" t="s">
        <v>2006</v>
      </c>
      <c r="B13266">
        <f>HYPERLINK("https://android.googlesource.com/platform/cts/+/f2e0092e0858c3257dca4fdea419f08051346419", "f2e0092e0858c3257dca4fdea419f08051346419")</f>
        <v>0</v>
      </c>
      <c r="C13266">
        <f>HYPERLINK("https://android.googlesource.com/platform/cts/+/afe3d3ee615bfea1a1aa6e46a5ede9c9f582faca", "afe3d3ee615bfea1a1aa6e46a5ede9c9f582faca")</f>
        <v>0</v>
      </c>
      <c r="D13266" t="s">
        <v>5320</v>
      </c>
      <c r="E13266" t="s">
        <v>7748</v>
      </c>
      <c r="F13266" t="s">
        <v>10664</v>
      </c>
      <c r="G13266" t="s">
        <v>15065</v>
      </c>
      <c r="H13266" t="s">
        <v>30413</v>
      </c>
    </row>
    <row r="13267" spans="1:8">
      <c r="A13267" t="s">
        <v>2008</v>
      </c>
      <c r="B13267">
        <f>HYPERLINK("https://android.googlesource.com/platform/cts/+/b3394f2c9fc07f8ad73541b42e7972ffd2ec0444", "b3394f2c9fc07f8ad73541b42e7972ffd2ec0444")</f>
        <v>0</v>
      </c>
      <c r="C13267">
        <f>HYPERLINK("https://android.googlesource.com/platform/cts/+/677fc6381fac76f77bfa20af89b4adf2127c439d", "677fc6381fac76f77bfa20af89b4adf2127c439d")</f>
        <v>0</v>
      </c>
      <c r="D13267" t="s">
        <v>5310</v>
      </c>
      <c r="E13267" t="s">
        <v>7750</v>
      </c>
      <c r="F13267" t="s">
        <v>13432</v>
      </c>
      <c r="G13267" t="s">
        <v>17556</v>
      </c>
      <c r="H13267" t="s">
        <v>29799</v>
      </c>
    </row>
    <row r="13268" spans="1:8">
      <c r="F13268" t="s">
        <v>13433</v>
      </c>
      <c r="G13268" t="s">
        <v>17557</v>
      </c>
      <c r="H13268" t="s">
        <v>29800</v>
      </c>
    </row>
    <row r="13269" spans="1:8">
      <c r="A13269" t="s">
        <v>2009</v>
      </c>
      <c r="B13269">
        <f>HYPERLINK("https://android.googlesource.com/platform/cts/+/d6558d4900cee718043224dded7ad430c2ec004f", "d6558d4900cee718043224dded7ad430c2ec004f")</f>
        <v>0</v>
      </c>
      <c r="C13269">
        <f>HYPERLINK("https://android.googlesource.com/platform/cts/+/e907b0ac85ef8640a5e285256d4319b06b4add6d", "e907b0ac85ef8640a5e285256d4319b06b4add6d")</f>
        <v>0</v>
      </c>
      <c r="D13269" t="s">
        <v>5317</v>
      </c>
      <c r="E13269" t="s">
        <v>7751</v>
      </c>
      <c r="F13269" t="s">
        <v>13541</v>
      </c>
      <c r="G13269" t="s">
        <v>17653</v>
      </c>
      <c r="H13269" t="s">
        <v>30415</v>
      </c>
    </row>
    <row r="13270" spans="1:8">
      <c r="A13270" t="s">
        <v>2010</v>
      </c>
      <c r="B13270">
        <f>HYPERLINK("https://android.googlesource.com/platform/cts/+/3151f8d0a27659e826f8338e7ebe598ba82b4a76", "3151f8d0a27659e826f8338e7ebe598ba82b4a76")</f>
        <v>0</v>
      </c>
      <c r="C13270">
        <f>HYPERLINK("https://android.googlesource.com/platform/cts/+/e33d09d45b475bdd9d7cc7532b2c750fa3790faf", "e33d09d45b475bdd9d7cc7532b2c750fa3790faf")</f>
        <v>0</v>
      </c>
      <c r="D13270" t="s">
        <v>5293</v>
      </c>
      <c r="E13270" t="s">
        <v>7752</v>
      </c>
      <c r="F13270" t="s">
        <v>13468</v>
      </c>
      <c r="G13270" t="s">
        <v>17587</v>
      </c>
      <c r="H13270" t="s">
        <v>30416</v>
      </c>
    </row>
    <row r="13271" spans="1:8">
      <c r="H13271" t="s">
        <v>21157</v>
      </c>
    </row>
    <row r="13272" spans="1:8">
      <c r="A13272" t="s">
        <v>2011</v>
      </c>
      <c r="B13272">
        <f>HYPERLINK("https://android.googlesource.com/platform/cts/+/ffe52878f6ee7695de02412d4a46f93abe3748ed", "ffe52878f6ee7695de02412d4a46f93abe3748ed")</f>
        <v>0</v>
      </c>
      <c r="C13272">
        <f>HYPERLINK("https://android.googlesource.com/platform/cts/+/38d5bec8b7cc788383c61ef48d6e9cb0afb038a0", "38d5bec8b7cc788383c61ef48d6e9cb0afb038a0")</f>
        <v>0</v>
      </c>
      <c r="D13272" t="s">
        <v>5221</v>
      </c>
      <c r="E13272" t="s">
        <v>7753</v>
      </c>
      <c r="F13272" t="s">
        <v>13542</v>
      </c>
      <c r="G13272" t="s">
        <v>17609</v>
      </c>
      <c r="H13272" t="s">
        <v>30418</v>
      </c>
    </row>
    <row r="13273" spans="1:8">
      <c r="H13273" t="s">
        <v>30419</v>
      </c>
    </row>
    <row r="13274" spans="1:8">
      <c r="H13274" t="s">
        <v>30420</v>
      </c>
    </row>
    <row r="13275" spans="1:8">
      <c r="H13275" t="s">
        <v>30421</v>
      </c>
    </row>
    <row r="13276" spans="1:8">
      <c r="H13276" t="s">
        <v>30422</v>
      </c>
    </row>
    <row r="13277" spans="1:8">
      <c r="F13277" t="s">
        <v>13298</v>
      </c>
      <c r="G13277" t="s">
        <v>17434</v>
      </c>
      <c r="H13277" t="s">
        <v>30424</v>
      </c>
    </row>
    <row r="13278" spans="1:8">
      <c r="H13278" t="s">
        <v>30425</v>
      </c>
    </row>
    <row r="13279" spans="1:8">
      <c r="A13279" t="s">
        <v>2012</v>
      </c>
      <c r="B13279">
        <f>HYPERLINK("https://android.googlesource.com/platform/cts/+/a9fe06c1f87e5df88942cf694672a4e41df5502e", "a9fe06c1f87e5df88942cf694672a4e41df5502e")</f>
        <v>0</v>
      </c>
      <c r="C13279">
        <f>HYPERLINK("https://android.googlesource.com/platform/cts/+/bdf7a2099c7a2e63881ae362414f2ee1aa6a0e2a", "bdf7a2099c7a2e63881ae362414f2ee1aa6a0e2a")</f>
        <v>0</v>
      </c>
      <c r="D13279" t="s">
        <v>5321</v>
      </c>
      <c r="E13279" t="s">
        <v>7754</v>
      </c>
      <c r="F13279" t="s">
        <v>12817</v>
      </c>
      <c r="G13279" t="s">
        <v>16629</v>
      </c>
      <c r="H13279" t="s">
        <v>30426</v>
      </c>
    </row>
    <row r="13280" spans="1:8">
      <c r="H13280" t="s">
        <v>30427</v>
      </c>
    </row>
    <row r="13281" spans="1:8">
      <c r="A13281" t="s">
        <v>2013</v>
      </c>
      <c r="B13281">
        <f>HYPERLINK("https://android.googlesource.com/platform/cts/+/5788d466601e202fb81eaffda73c4e99fd8ad269", "5788d466601e202fb81eaffda73c4e99fd8ad269")</f>
        <v>0</v>
      </c>
      <c r="C13281">
        <f>HYPERLINK("https://android.googlesource.com/platform/cts/+/3c74c0ebc468b879d7fac9f7638fff2f6e8e2eed", "3c74c0ebc468b879d7fac9f7638fff2f6e8e2eed")</f>
        <v>0</v>
      </c>
      <c r="D13281" t="s">
        <v>5108</v>
      </c>
      <c r="E13281" t="s">
        <v>7755</v>
      </c>
      <c r="F13281" t="s">
        <v>13543</v>
      </c>
      <c r="G13281" t="s">
        <v>17654</v>
      </c>
      <c r="H13281" t="s">
        <v>30428</v>
      </c>
    </row>
    <row r="13282" spans="1:8">
      <c r="H13282" t="s">
        <v>30429</v>
      </c>
    </row>
    <row r="13283" spans="1:8">
      <c r="H13283" t="s">
        <v>30430</v>
      </c>
    </row>
    <row r="13284" spans="1:8">
      <c r="H13284" t="s">
        <v>30431</v>
      </c>
    </row>
    <row r="13285" spans="1:8">
      <c r="H13285" t="s">
        <v>30432</v>
      </c>
    </row>
    <row r="13286" spans="1:8">
      <c r="H13286" t="s">
        <v>30433</v>
      </c>
    </row>
    <row r="13287" spans="1:8">
      <c r="H13287" t="s">
        <v>30434</v>
      </c>
    </row>
    <row r="13288" spans="1:8">
      <c r="H13288" t="s">
        <v>30435</v>
      </c>
    </row>
    <row r="13289" spans="1:8">
      <c r="H13289" t="s">
        <v>30436</v>
      </c>
    </row>
    <row r="13290" spans="1:8">
      <c r="H13290" t="s">
        <v>30437</v>
      </c>
    </row>
    <row r="13291" spans="1:8">
      <c r="H13291" t="s">
        <v>30438</v>
      </c>
    </row>
    <row r="13292" spans="1:8">
      <c r="H13292" t="s">
        <v>30439</v>
      </c>
    </row>
    <row r="13293" spans="1:8">
      <c r="H13293" t="s">
        <v>30440</v>
      </c>
    </row>
    <row r="13294" spans="1:8">
      <c r="H13294" t="s">
        <v>30441</v>
      </c>
    </row>
    <row r="13295" spans="1:8">
      <c r="H13295" t="s">
        <v>30442</v>
      </c>
    </row>
    <row r="13296" spans="1:8">
      <c r="H13296" t="s">
        <v>30443</v>
      </c>
    </row>
    <row r="13297" spans="1:8">
      <c r="H13297" t="s">
        <v>30444</v>
      </c>
    </row>
    <row r="13298" spans="1:8">
      <c r="F13298" t="s">
        <v>12743</v>
      </c>
      <c r="G13298" t="s">
        <v>16935</v>
      </c>
      <c r="H13298" t="s">
        <v>30447</v>
      </c>
    </row>
    <row r="13299" spans="1:8">
      <c r="F13299" t="s">
        <v>12768</v>
      </c>
      <c r="G13299" t="s">
        <v>15710</v>
      </c>
      <c r="H13299" t="s">
        <v>30448</v>
      </c>
    </row>
    <row r="13300" spans="1:8">
      <c r="H13300" t="s">
        <v>30449</v>
      </c>
    </row>
    <row r="13301" spans="1:8">
      <c r="A13301" t="s">
        <v>2014</v>
      </c>
      <c r="B13301">
        <f>HYPERLINK("https://android.googlesource.com/platform/cts/+/62df704ccbdd956a6018310d4e389223a436fe4e", "62df704ccbdd956a6018310d4e389223a436fe4e")</f>
        <v>0</v>
      </c>
      <c r="C13301">
        <f>HYPERLINK("https://android.googlesource.com/platform/cts/+/c3c270b6a9f795cd52975e3d6829e6e420300d64", "c3c270b6a9f795cd52975e3d6829e6e420300d64")</f>
        <v>0</v>
      </c>
      <c r="D13301" t="s">
        <v>5314</v>
      </c>
      <c r="E13301" t="s">
        <v>7756</v>
      </c>
      <c r="F13301" t="s">
        <v>12629</v>
      </c>
      <c r="G13301" t="s">
        <v>16838</v>
      </c>
      <c r="H13301" t="s">
        <v>30453</v>
      </c>
    </row>
    <row r="13302" spans="1:8">
      <c r="A13302" t="s">
        <v>2016</v>
      </c>
      <c r="B13302">
        <f>HYPERLINK("https://android.googlesource.com/platform/cts/+/ca860dfb4a56aae4871151bec87ebf7c8c21b054", "ca860dfb4a56aae4871151bec87ebf7c8c21b054")</f>
        <v>0</v>
      </c>
      <c r="C13302">
        <f>HYPERLINK("https://android.googlesource.com/platform/cts/+/425334c29c09fabcb7ced887234c682994d4c996", "425334c29c09fabcb7ced887234c682994d4c996")</f>
        <v>0</v>
      </c>
      <c r="D13302" t="s">
        <v>5221</v>
      </c>
      <c r="E13302" t="s">
        <v>7758</v>
      </c>
      <c r="F13302" t="s">
        <v>12857</v>
      </c>
      <c r="G13302" t="s">
        <v>17027</v>
      </c>
      <c r="H13302" t="s">
        <v>30454</v>
      </c>
    </row>
    <row r="13303" spans="1:8">
      <c r="F13303" t="s">
        <v>13545</v>
      </c>
      <c r="G13303" t="s">
        <v>17656</v>
      </c>
      <c r="H13303" t="s">
        <v>30455</v>
      </c>
    </row>
    <row r="13304" spans="1:8">
      <c r="H13304" t="s">
        <v>30456</v>
      </c>
    </row>
    <row r="13305" spans="1:8">
      <c r="H13305" t="s">
        <v>30457</v>
      </c>
    </row>
    <row r="13306" spans="1:8">
      <c r="H13306" t="s">
        <v>30458</v>
      </c>
    </row>
    <row r="13307" spans="1:8">
      <c r="H13307" t="s">
        <v>30459</v>
      </c>
    </row>
    <row r="13308" spans="1:8">
      <c r="H13308" t="s">
        <v>30460</v>
      </c>
    </row>
    <row r="13309" spans="1:8">
      <c r="H13309" t="s">
        <v>30461</v>
      </c>
    </row>
    <row r="13310" spans="1:8">
      <c r="A13310" t="s">
        <v>2017</v>
      </c>
      <c r="B13310">
        <f>HYPERLINK("https://android.googlesource.com/platform/cts/+/bba47e7e77e7ffc0fe0870679dca70c29ad1cde0", "bba47e7e77e7ffc0fe0870679dca70c29ad1cde0")</f>
        <v>0</v>
      </c>
      <c r="C13310">
        <f>HYPERLINK("https://android.googlesource.com/platform/cts/+/76b34c577d58d088426280d28fd223d0bf4bb4a8", "76b34c577d58d088426280d28fd223d0bf4bb4a8")</f>
        <v>0</v>
      </c>
      <c r="D13310" t="s">
        <v>5310</v>
      </c>
      <c r="E13310" t="s">
        <v>7759</v>
      </c>
      <c r="F13310" t="s">
        <v>13438</v>
      </c>
      <c r="G13310" t="s">
        <v>17561</v>
      </c>
      <c r="H13310" t="s">
        <v>30462</v>
      </c>
    </row>
    <row r="13311" spans="1:8">
      <c r="H13311" t="s">
        <v>30463</v>
      </c>
    </row>
    <row r="13312" spans="1:8">
      <c r="A13312" t="s">
        <v>2019</v>
      </c>
      <c r="B13312">
        <f>HYPERLINK("https://android.googlesource.com/platform/cts/+/e2fcb9d64ba10f07a69a6b96a7f7e1465856172a", "e2fcb9d64ba10f07a69a6b96a7f7e1465856172a")</f>
        <v>0</v>
      </c>
      <c r="C13312">
        <f>HYPERLINK("https://android.googlesource.com/platform/cts/+/7ee57eb05b56a186d67e7fb98a4a9bfaea722814", "7ee57eb05b56a186d67e7fb98a4a9bfaea722814")</f>
        <v>0</v>
      </c>
      <c r="D13312" t="s">
        <v>5271</v>
      </c>
      <c r="E13312" t="s">
        <v>7761</v>
      </c>
      <c r="F13312" t="s">
        <v>13309</v>
      </c>
      <c r="G13312" t="s">
        <v>17442</v>
      </c>
      <c r="H13312" t="s">
        <v>30467</v>
      </c>
    </row>
    <row r="13313" spans="1:8">
      <c r="H13313" t="s">
        <v>30468</v>
      </c>
    </row>
    <row r="13314" spans="1:8">
      <c r="A13314" t="s">
        <v>2023</v>
      </c>
      <c r="B13314">
        <f>HYPERLINK("https://android.googlesource.com/platform/cts/+/7cfffe08c841abdc01b0e29e90083493495df8a7", "7cfffe08c841abdc01b0e29e90083493495df8a7")</f>
        <v>0</v>
      </c>
      <c r="C13314">
        <f>HYPERLINK("https://android.googlesource.com/platform/cts/+/67e9da2b4df5f86501e9195e7d0f46017ddc5616", "67e9da2b4df5f86501e9195e7d0f46017ddc5616")</f>
        <v>0</v>
      </c>
      <c r="D13314" t="s">
        <v>5046</v>
      </c>
      <c r="E13314" t="s">
        <v>7765</v>
      </c>
      <c r="F13314" t="s">
        <v>10794</v>
      </c>
      <c r="G13314" t="s">
        <v>15189</v>
      </c>
      <c r="H13314" t="s">
        <v>30471</v>
      </c>
    </row>
    <row r="13315" spans="1:8">
      <c r="A13315" t="s">
        <v>2026</v>
      </c>
      <c r="B13315">
        <f>HYPERLINK("https://android.googlesource.com/platform/cts/+/6b91fa2a91df3c9911772890665993f1021e9b84", "6b91fa2a91df3c9911772890665993f1021e9b84")</f>
        <v>0</v>
      </c>
      <c r="C13315">
        <f>HYPERLINK("https://android.googlesource.com/platform/cts/+/2bd128e13188dd4d89d943cf245333a508546e6f", "2bd128e13188dd4d89d943cf245333a508546e6f")</f>
        <v>0</v>
      </c>
      <c r="D13315" t="s">
        <v>5195</v>
      </c>
      <c r="E13315" t="s">
        <v>7768</v>
      </c>
      <c r="F13315" t="s">
        <v>13547</v>
      </c>
      <c r="G13315" t="s">
        <v>17657</v>
      </c>
      <c r="H13315" t="s">
        <v>30472</v>
      </c>
    </row>
    <row r="13316" spans="1:8">
      <c r="A13316" t="s">
        <v>2028</v>
      </c>
      <c r="B13316">
        <f>HYPERLINK("https://android.googlesource.com/platform/cts/+/ad7327c6b72caba39a2d8625f048d907715a911c", "ad7327c6b72caba39a2d8625f048d907715a911c")</f>
        <v>0</v>
      </c>
      <c r="C13316">
        <f>HYPERLINK("https://android.googlesource.com/platform/cts/+/e3b6ea84b938ed570f1088f94ad100558231b7dd", "e3b6ea84b938ed570f1088f94ad100558231b7dd")</f>
        <v>0</v>
      </c>
      <c r="D13316" t="s">
        <v>5141</v>
      </c>
      <c r="E13316" t="s">
        <v>7769</v>
      </c>
      <c r="F13316" t="s">
        <v>13491</v>
      </c>
      <c r="G13316" t="s">
        <v>17610</v>
      </c>
      <c r="H13316" t="s">
        <v>29269</v>
      </c>
    </row>
    <row r="13317" spans="1:8">
      <c r="A13317" t="s">
        <v>2030</v>
      </c>
      <c r="B13317">
        <f>HYPERLINK("https://android.googlesource.com/platform/cts/+/0e3b362d39e012c4c2a29c2319ee1b8c57ceb322", "0e3b362d39e012c4c2a29c2319ee1b8c57ceb322")</f>
        <v>0</v>
      </c>
      <c r="C13317">
        <f>HYPERLINK("https://android.googlesource.com/platform/cts/+/7532a8453a3013b9386d67b237e5f336c90d5e76", "7532a8453a3013b9386d67b237e5f336c90d5e76")</f>
        <v>0</v>
      </c>
      <c r="D13317" t="s">
        <v>5146</v>
      </c>
      <c r="E13317" t="s">
        <v>7771</v>
      </c>
      <c r="F13317" t="s">
        <v>13548</v>
      </c>
      <c r="G13317" t="s">
        <v>15171</v>
      </c>
      <c r="H13317" t="s">
        <v>30475</v>
      </c>
    </row>
    <row r="13318" spans="1:8">
      <c r="F13318" t="s">
        <v>13549</v>
      </c>
      <c r="G13318" t="s">
        <v>17658</v>
      </c>
      <c r="H13318" t="s">
        <v>30475</v>
      </c>
    </row>
    <row r="13319" spans="1:8">
      <c r="A13319" t="s">
        <v>2031</v>
      </c>
      <c r="B13319">
        <f>HYPERLINK("https://android.googlesource.com/platform/cts/+/e50ec1bba38ea5f340da3b88df80f261ebffc2f9", "e50ec1bba38ea5f340da3b88df80f261ebffc2f9")</f>
        <v>0</v>
      </c>
      <c r="C13319">
        <f>HYPERLINK("https://android.googlesource.com/platform/cts/+/e3b6ea84b938ed570f1088f94ad100558231b7dd", "e3b6ea84b938ed570f1088f94ad100558231b7dd")</f>
        <v>0</v>
      </c>
      <c r="D13319" t="s">
        <v>5322</v>
      </c>
      <c r="E13319" t="s">
        <v>7772</v>
      </c>
      <c r="F13319" t="s">
        <v>13550</v>
      </c>
      <c r="G13319" t="s">
        <v>17569</v>
      </c>
      <c r="H13319" t="s">
        <v>29850</v>
      </c>
    </row>
    <row r="13320" spans="1:8">
      <c r="F13320" t="s">
        <v>13551</v>
      </c>
      <c r="G13320" t="s">
        <v>17659</v>
      </c>
      <c r="H13320" t="s">
        <v>29850</v>
      </c>
    </row>
    <row r="13321" spans="1:8">
      <c r="A13321" t="s">
        <v>2032</v>
      </c>
      <c r="B13321">
        <f>HYPERLINK("https://android.googlesource.com/platform/cts/+/1f1196586f2035e09377ba5da2b654617846177b", "1f1196586f2035e09377ba5da2b654617846177b")</f>
        <v>0</v>
      </c>
      <c r="C13321">
        <f>HYPERLINK("https://android.googlesource.com/platform/cts/+/4ab736571a2546da9015c2a82e49964f21602e9e", "4ab736571a2546da9015c2a82e49964f21602e9e")</f>
        <v>0</v>
      </c>
      <c r="D13321" t="s">
        <v>5006</v>
      </c>
      <c r="E13321" t="s">
        <v>7773</v>
      </c>
      <c r="F13321" t="s">
        <v>13552</v>
      </c>
      <c r="G13321" t="s">
        <v>17660</v>
      </c>
      <c r="H13321" t="s">
        <v>30477</v>
      </c>
    </row>
    <row r="13322" spans="1:8">
      <c r="H13322" t="s">
        <v>30478</v>
      </c>
    </row>
    <row r="13323" spans="1:8">
      <c r="H13323" t="s">
        <v>30480</v>
      </c>
    </row>
    <row r="13324" spans="1:8">
      <c r="H13324" t="s">
        <v>30481</v>
      </c>
    </row>
    <row r="13325" spans="1:8">
      <c r="H13325" t="s">
        <v>30482</v>
      </c>
    </row>
    <row r="13326" spans="1:8">
      <c r="H13326" t="s">
        <v>30485</v>
      </c>
    </row>
    <row r="13327" spans="1:8">
      <c r="H13327" t="s">
        <v>30486</v>
      </c>
    </row>
    <row r="13328" spans="1:8">
      <c r="H13328" t="s">
        <v>30488</v>
      </c>
    </row>
    <row r="13329" spans="1:8">
      <c r="H13329" t="s">
        <v>30489</v>
      </c>
    </row>
    <row r="13330" spans="1:8">
      <c r="H13330" t="s">
        <v>30490</v>
      </c>
    </row>
    <row r="13331" spans="1:8">
      <c r="F13331" t="s">
        <v>13553</v>
      </c>
      <c r="G13331" t="s">
        <v>17661</v>
      </c>
      <c r="H13331" t="s">
        <v>30492</v>
      </c>
    </row>
    <row r="13332" spans="1:8">
      <c r="A13332" t="s">
        <v>2035</v>
      </c>
      <c r="B13332">
        <f>HYPERLINK("https://android.googlesource.com/platform/cts/+/6db92e98f16fc1b3465baf344cfef5ca34edc8cc", "6db92e98f16fc1b3465baf344cfef5ca34edc8cc")</f>
        <v>0</v>
      </c>
      <c r="C13332">
        <f>HYPERLINK("https://android.googlesource.com/platform/cts/+/581c1fa1aee0c8d5b00d195edd91a30cbb551b81", "581c1fa1aee0c8d5b00d195edd91a30cbb551b81")</f>
        <v>0</v>
      </c>
      <c r="D13332" t="s">
        <v>5323</v>
      </c>
      <c r="E13332" t="s">
        <v>7776</v>
      </c>
      <c r="F13332" t="s">
        <v>12733</v>
      </c>
      <c r="G13332" t="s">
        <v>16854</v>
      </c>
      <c r="H13332" t="s">
        <v>30493</v>
      </c>
    </row>
    <row r="13333" spans="1:8">
      <c r="H13333" t="s">
        <v>30494</v>
      </c>
    </row>
    <row r="13334" spans="1:8">
      <c r="A13334" t="s">
        <v>2036</v>
      </c>
      <c r="B13334">
        <f>HYPERLINK("https://android.googlesource.com/platform/cts/+/7ac93cd7f402475654367c47119f34b08de40b02", "7ac93cd7f402475654367c47119f34b08de40b02")</f>
        <v>0</v>
      </c>
      <c r="C13334">
        <f>HYPERLINK("https://android.googlesource.com/platform/cts/+/f25e7b6acdbd6c749656d8bf8d38f2e6ce0f4819", "f25e7b6acdbd6c749656d8bf8d38f2e6ce0f4819")</f>
        <v>0</v>
      </c>
      <c r="D13334" t="s">
        <v>5065</v>
      </c>
      <c r="E13334" t="s">
        <v>7777</v>
      </c>
      <c r="F13334" t="s">
        <v>13556</v>
      </c>
      <c r="G13334" t="s">
        <v>17663</v>
      </c>
      <c r="H13334" t="s">
        <v>30495</v>
      </c>
    </row>
    <row r="13335" spans="1:8">
      <c r="H13335" t="s">
        <v>30496</v>
      </c>
    </row>
    <row r="13336" spans="1:8">
      <c r="A13336" t="s">
        <v>2037</v>
      </c>
      <c r="B13336">
        <f>HYPERLINK("https://android.googlesource.com/platform/cts/+/d8de21b0f4f2cbe5790aa2395741308b0e257db6", "d8de21b0f4f2cbe5790aa2395741308b0e257db6")</f>
        <v>0</v>
      </c>
      <c r="C13336">
        <f>HYPERLINK("https://android.googlesource.com/platform/cts/+/ac893b69c1f75fa4b6fa0f38967c5cfae85e2bd0", "ac893b69c1f75fa4b6fa0f38967c5cfae85e2bd0")</f>
        <v>0</v>
      </c>
      <c r="D13336" t="s">
        <v>5279</v>
      </c>
      <c r="E13336" t="s">
        <v>7778</v>
      </c>
      <c r="F13336" t="s">
        <v>13557</v>
      </c>
      <c r="G13336" t="s">
        <v>17664</v>
      </c>
      <c r="H13336" t="s">
        <v>30497</v>
      </c>
    </row>
    <row r="13337" spans="1:8">
      <c r="H13337" t="s">
        <v>30498</v>
      </c>
    </row>
    <row r="13338" spans="1:8">
      <c r="H13338" t="s">
        <v>30499</v>
      </c>
    </row>
    <row r="13339" spans="1:8">
      <c r="A13339" t="s">
        <v>2043</v>
      </c>
      <c r="B13339">
        <f>HYPERLINK("https://android.googlesource.com/platform/cts/+/601ef229f895fdf7d8d482e194b9f9ff8df27c82", "601ef229f895fdf7d8d482e194b9f9ff8df27c82")</f>
        <v>0</v>
      </c>
      <c r="C13339">
        <f>HYPERLINK("https://android.googlesource.com/platform/cts/+/a31b7c55e1bb228420ead613b1bfe37d7fe0c119", "a31b7c55e1bb228420ead613b1bfe37d7fe0c119")</f>
        <v>0</v>
      </c>
      <c r="D13339" t="s">
        <v>5127</v>
      </c>
      <c r="E13339" t="s">
        <v>7784</v>
      </c>
      <c r="F13339" t="s">
        <v>13560</v>
      </c>
      <c r="G13339" t="s">
        <v>17666</v>
      </c>
      <c r="H13339" t="s">
        <v>30507</v>
      </c>
    </row>
    <row r="13340" spans="1:8">
      <c r="H13340" t="s">
        <v>30508</v>
      </c>
    </row>
    <row r="13341" spans="1:8">
      <c r="H13341" t="s">
        <v>30509</v>
      </c>
    </row>
    <row r="13342" spans="1:8">
      <c r="H13342" t="s">
        <v>30510</v>
      </c>
    </row>
    <row r="13343" spans="1:8">
      <c r="F13343" t="s">
        <v>13536</v>
      </c>
      <c r="G13343" t="s">
        <v>17648</v>
      </c>
      <c r="H13343" t="s">
        <v>30512</v>
      </c>
    </row>
    <row r="13344" spans="1:8">
      <c r="H13344" t="s">
        <v>30513</v>
      </c>
    </row>
    <row r="13345" spans="1:8">
      <c r="F13345" t="s">
        <v>13561</v>
      </c>
      <c r="G13345" t="s">
        <v>17667</v>
      </c>
      <c r="H13345" t="s">
        <v>30518</v>
      </c>
    </row>
    <row r="13346" spans="1:8">
      <c r="F13346" t="s">
        <v>12629</v>
      </c>
      <c r="G13346" t="s">
        <v>16838</v>
      </c>
      <c r="H13346" t="s">
        <v>30518</v>
      </c>
    </row>
    <row r="13347" spans="1:8">
      <c r="A13347" t="s">
        <v>2044</v>
      </c>
      <c r="B13347">
        <f>HYPERLINK("https://android.googlesource.com/platform/cts/+/9bd20a47e041c8ed70e956efc1323d8ffc61e5af", "9bd20a47e041c8ed70e956efc1323d8ffc61e5af")</f>
        <v>0</v>
      </c>
      <c r="C13347">
        <f>HYPERLINK("https://android.googlesource.com/platform/cts/+/188d7c3d0f2d5bbfb908ead89a94f4e5f5aae284", "188d7c3d0f2d5bbfb908ead89a94f4e5f5aae284")</f>
        <v>0</v>
      </c>
      <c r="D13347" t="s">
        <v>4981</v>
      </c>
      <c r="E13347" t="s">
        <v>7785</v>
      </c>
      <c r="F13347" t="s">
        <v>13537</v>
      </c>
      <c r="G13347" t="s">
        <v>17649</v>
      </c>
      <c r="H13347" t="s">
        <v>29955</v>
      </c>
    </row>
    <row r="13348" spans="1:8">
      <c r="A13348" t="s">
        <v>2045</v>
      </c>
      <c r="B13348">
        <f>HYPERLINK("https://android.googlesource.com/platform/cts/+/03d333eecc43e5d38b00a90f890c3e3e29bf07de", "03d333eecc43e5d38b00a90f890c3e3e29bf07de")</f>
        <v>0</v>
      </c>
      <c r="C13348">
        <f>HYPERLINK("https://android.googlesource.com/platform/cts/+/758ece15a17e40cadd087b21454159e60de9120c", "758ece15a17e40cadd087b21454159e60de9120c")</f>
        <v>0</v>
      </c>
      <c r="D13348" t="s">
        <v>5325</v>
      </c>
      <c r="E13348" t="s">
        <v>7786</v>
      </c>
      <c r="F13348" t="s">
        <v>12710</v>
      </c>
      <c r="G13348" t="s">
        <v>16911</v>
      </c>
      <c r="H13348" t="s">
        <v>30519</v>
      </c>
    </row>
    <row r="13349" spans="1:8">
      <c r="A13349" t="s">
        <v>2046</v>
      </c>
      <c r="B13349">
        <f>HYPERLINK("https://android.googlesource.com/platform/cts/+/bb780622d28bf567da45f32f2df4230730180508", "bb780622d28bf567da45f32f2df4230730180508")</f>
        <v>0</v>
      </c>
      <c r="C13349">
        <f>HYPERLINK("https://android.googlesource.com/platform/cts/+/892a77796ccf07bd0ff814f6075a1adb0aac4775", "892a77796ccf07bd0ff814f6075a1adb0aac4775")</f>
        <v>0</v>
      </c>
      <c r="D13349" t="s">
        <v>5300</v>
      </c>
      <c r="E13349" t="s">
        <v>7787</v>
      </c>
      <c r="F13349" t="s">
        <v>10689</v>
      </c>
      <c r="G13349" t="s">
        <v>15089</v>
      </c>
      <c r="H13349" t="s">
        <v>30520</v>
      </c>
    </row>
    <row r="13350" spans="1:8">
      <c r="A13350" t="s">
        <v>2047</v>
      </c>
      <c r="B13350">
        <f>HYPERLINK("https://android.googlesource.com/platform/cts/+/310bb55ebb22d7245e8548107603489e50efa14e", "310bb55ebb22d7245e8548107603489e50efa14e")</f>
        <v>0</v>
      </c>
      <c r="C13350">
        <f>HYPERLINK("https://android.googlesource.com/platform/cts/+/03d333eecc43e5d38b00a90f890c3e3e29bf07de", "03d333eecc43e5d38b00a90f890c3e3e29bf07de")</f>
        <v>0</v>
      </c>
      <c r="D13350" t="s">
        <v>5325</v>
      </c>
      <c r="E13350" t="s">
        <v>7788</v>
      </c>
      <c r="F13350" t="s">
        <v>12710</v>
      </c>
      <c r="G13350" t="s">
        <v>16911</v>
      </c>
      <c r="H13350" t="s">
        <v>30521</v>
      </c>
    </row>
    <row r="13351" spans="1:8">
      <c r="A13351" t="s">
        <v>2048</v>
      </c>
      <c r="B13351">
        <f>HYPERLINK("https://android.googlesource.com/platform/cts/+/523f9d7e37868185b20fb27d4870c30a7db4aa2a", "523f9d7e37868185b20fb27d4870c30a7db4aa2a")</f>
        <v>0</v>
      </c>
      <c r="C13351">
        <f>HYPERLINK("https://android.googlesource.com/platform/cts/+/74448cfd004773cdc49594c4fd09f6c22904156e", "74448cfd004773cdc49594c4fd09f6c22904156e")</f>
        <v>0</v>
      </c>
      <c r="D13351" t="s">
        <v>5268</v>
      </c>
      <c r="E13351" t="s">
        <v>7789</v>
      </c>
      <c r="F13351" t="s">
        <v>12710</v>
      </c>
      <c r="G13351" t="s">
        <v>16911</v>
      </c>
      <c r="H13351" t="s">
        <v>30519</v>
      </c>
    </row>
    <row r="13352" spans="1:8">
      <c r="A13352" t="s">
        <v>2049</v>
      </c>
      <c r="B13352">
        <f>HYPERLINK("https://android.googlesource.com/platform/cts/+/da3e5236d3c2aed4e7c3cb63c8d196faaaf1128a", "da3e5236d3c2aed4e7c3cb63c8d196faaaf1128a")</f>
        <v>0</v>
      </c>
      <c r="C13352">
        <f>HYPERLINK("https://android.googlesource.com/platform/cts/+/8d701cd656c3ff353306507eae35f6ba44249617", "8d701cd656c3ff353306507eae35f6ba44249617")</f>
        <v>0</v>
      </c>
      <c r="D13352" t="s">
        <v>5268</v>
      </c>
      <c r="E13352" t="s">
        <v>7790</v>
      </c>
      <c r="F13352" t="s">
        <v>12710</v>
      </c>
      <c r="G13352" t="s">
        <v>16911</v>
      </c>
      <c r="H13352" t="s">
        <v>30519</v>
      </c>
    </row>
    <row r="13353" spans="1:8">
      <c r="A13353" t="s">
        <v>2051</v>
      </c>
      <c r="B13353">
        <f>HYPERLINK("https://android.googlesource.com/platform/cts/+/696e60e4922ea5a7b612d170303f4311b560900f", "696e60e4922ea5a7b612d170303f4311b560900f")</f>
        <v>0</v>
      </c>
      <c r="C13353">
        <f>HYPERLINK("https://android.googlesource.com/platform/cts/+/621f1d895b134099c0c95b86ba802c86332ecaca", "621f1d895b134099c0c95b86ba802c86332ecaca")</f>
        <v>0</v>
      </c>
      <c r="D13353" t="s">
        <v>5040</v>
      </c>
      <c r="E13353" t="s">
        <v>7792</v>
      </c>
      <c r="F13353" t="s">
        <v>12344</v>
      </c>
      <c r="G13353" t="s">
        <v>16572</v>
      </c>
      <c r="H13353" t="s">
        <v>30523</v>
      </c>
    </row>
    <row r="13354" spans="1:8">
      <c r="A13354" t="s">
        <v>2057</v>
      </c>
      <c r="B13354">
        <f>HYPERLINK("https://android.googlesource.com/platform/cts/+/fa3e2f4288ecc0a865ecb84f5e76132b5207cd6b", "fa3e2f4288ecc0a865ecb84f5e76132b5207cd6b")</f>
        <v>0</v>
      </c>
      <c r="C13354">
        <f>HYPERLINK("https://android.googlesource.com/platform/cts/+/79fbdf440d32149b074504c9aa086e304f8b2cd6", "79fbdf440d32149b074504c9aa086e304f8b2cd6")</f>
        <v>0</v>
      </c>
      <c r="D13354" t="s">
        <v>5326</v>
      </c>
      <c r="E13354" t="s">
        <v>7795</v>
      </c>
      <c r="F13354" t="s">
        <v>13562</v>
      </c>
      <c r="G13354" t="s">
        <v>17668</v>
      </c>
      <c r="H13354" t="s">
        <v>30524</v>
      </c>
    </row>
    <row r="13355" spans="1:8">
      <c r="H13355" t="s">
        <v>30525</v>
      </c>
    </row>
    <row r="13356" spans="1:8">
      <c r="H13356" t="s">
        <v>30526</v>
      </c>
    </row>
    <row r="13357" spans="1:8">
      <c r="H13357" t="s">
        <v>30527</v>
      </c>
    </row>
    <row r="13358" spans="1:8">
      <c r="H13358" t="s">
        <v>30528</v>
      </c>
    </row>
    <row r="13359" spans="1:8">
      <c r="H13359" t="s">
        <v>30529</v>
      </c>
    </row>
    <row r="13360" spans="1:8">
      <c r="F13360" t="s">
        <v>13563</v>
      </c>
      <c r="G13360" t="s">
        <v>17669</v>
      </c>
      <c r="H13360" t="s">
        <v>30530</v>
      </c>
    </row>
    <row r="13361" spans="1:8">
      <c r="H13361" t="s">
        <v>30531</v>
      </c>
    </row>
    <row r="13362" spans="1:8">
      <c r="H13362" t="s">
        <v>30532</v>
      </c>
    </row>
    <row r="13363" spans="1:8">
      <c r="H13363" t="s">
        <v>30533</v>
      </c>
    </row>
    <row r="13364" spans="1:8">
      <c r="H13364" t="s">
        <v>30534</v>
      </c>
    </row>
    <row r="13365" spans="1:8">
      <c r="H13365" t="s">
        <v>30535</v>
      </c>
    </row>
    <row r="13366" spans="1:8">
      <c r="F13366" t="s">
        <v>13565</v>
      </c>
      <c r="G13366" t="s">
        <v>17671</v>
      </c>
      <c r="H13366" t="s">
        <v>30542</v>
      </c>
    </row>
    <row r="13367" spans="1:8">
      <c r="H13367" t="s">
        <v>30543</v>
      </c>
    </row>
    <row r="13368" spans="1:8">
      <c r="A13368" t="s">
        <v>2058</v>
      </c>
      <c r="B13368">
        <f>HYPERLINK("https://android.googlesource.com/platform/cts/+/c6fdbfb44670545ce1083d02adcdfb85ac8aa9f2", "c6fdbfb44670545ce1083d02adcdfb85ac8aa9f2")</f>
        <v>0</v>
      </c>
      <c r="C13368">
        <f>HYPERLINK("https://android.googlesource.com/platform/cts/+/d9d2de0755c97a700e2e5613903fb681ec606f3b", "d9d2de0755c97a700e2e5613903fb681ec606f3b")</f>
        <v>0</v>
      </c>
      <c r="D13368" t="s">
        <v>5134</v>
      </c>
      <c r="E13368" t="s">
        <v>7796</v>
      </c>
      <c r="F13368" t="s">
        <v>13255</v>
      </c>
      <c r="G13368" t="s">
        <v>17393</v>
      </c>
      <c r="H13368" t="s">
        <v>30549</v>
      </c>
    </row>
    <row r="13369" spans="1:8">
      <c r="A13369" t="s">
        <v>2059</v>
      </c>
      <c r="B13369">
        <f>HYPERLINK("https://android.googlesource.com/platform/cts/+/6480e20315b40a4c3081b2b08247429462b99ffd", "6480e20315b40a4c3081b2b08247429462b99ffd")</f>
        <v>0</v>
      </c>
      <c r="C13369">
        <f>HYPERLINK("https://android.googlesource.com/platform/cts/+/d78f76f20eea814b1c5ffae38c796c38e8d6eb54", "d78f76f20eea814b1c5ffae38c796c38e8d6eb54")</f>
        <v>0</v>
      </c>
      <c r="D13369" t="s">
        <v>5311</v>
      </c>
      <c r="E13369" t="s">
        <v>7797</v>
      </c>
      <c r="F13369" t="s">
        <v>13518</v>
      </c>
      <c r="G13369" t="s">
        <v>17540</v>
      </c>
      <c r="H13369" t="s">
        <v>30550</v>
      </c>
    </row>
    <row r="13370" spans="1:8">
      <c r="A13370" t="s">
        <v>2060</v>
      </c>
      <c r="B13370">
        <f>HYPERLINK("https://android.googlesource.com/platform/cts/+/03fa52ac0b5a346e14aee1b705a686fc157b5218", "03fa52ac0b5a346e14aee1b705a686fc157b5218")</f>
        <v>0</v>
      </c>
      <c r="C13370">
        <f>HYPERLINK("https://android.googlesource.com/platform/cts/+/d036a9b9ee2919c7977fab4d4d8aaa8d15067501", "d036a9b9ee2919c7977fab4d4d8aaa8d15067501")</f>
        <v>0</v>
      </c>
      <c r="D13370" t="s">
        <v>5260</v>
      </c>
      <c r="E13370" t="s">
        <v>7798</v>
      </c>
      <c r="F13370" t="s">
        <v>10687</v>
      </c>
      <c r="G13370" t="s">
        <v>15087</v>
      </c>
      <c r="H13370" t="s">
        <v>30551</v>
      </c>
    </row>
    <row r="13371" spans="1:8">
      <c r="A13371" t="s">
        <v>2061</v>
      </c>
      <c r="B13371">
        <f>HYPERLINK("https://android.googlesource.com/platform/cts/+/a065c04eef3682374b0442674ee8225e8bc9abde", "a065c04eef3682374b0442674ee8225e8bc9abde")</f>
        <v>0</v>
      </c>
      <c r="C13371">
        <f>HYPERLINK("https://android.googlesource.com/platform/cts/+/a2bd05c1af762adc0536324e6defba8f3bc12934", "a2bd05c1af762adc0536324e6defba8f3bc12934")</f>
        <v>0</v>
      </c>
      <c r="D13371" t="s">
        <v>5134</v>
      </c>
      <c r="E13371" t="s">
        <v>7799</v>
      </c>
      <c r="F13371" t="s">
        <v>13341</v>
      </c>
      <c r="G13371" t="s">
        <v>17470</v>
      </c>
      <c r="H13371" t="s">
        <v>30552</v>
      </c>
    </row>
    <row r="13372" spans="1:8">
      <c r="H13372" t="s">
        <v>30553</v>
      </c>
    </row>
    <row r="13373" spans="1:8">
      <c r="A13373" t="s">
        <v>2062</v>
      </c>
      <c r="B13373">
        <f>HYPERLINK("https://android.googlesource.com/platform/cts/+/9f6f08803a48ada09bb79fa89a56dd46b0a1d196", "9f6f08803a48ada09bb79fa89a56dd46b0a1d196")</f>
        <v>0</v>
      </c>
      <c r="C13373">
        <f>HYPERLINK("https://android.googlesource.com/platform/cts/+/d036a9b9ee2919c7977fab4d4d8aaa8d15067501", "d036a9b9ee2919c7977fab4d4d8aaa8d15067501")</f>
        <v>0</v>
      </c>
      <c r="D13373" t="s">
        <v>5260</v>
      </c>
      <c r="E13373" t="s">
        <v>7800</v>
      </c>
      <c r="F13373" t="s">
        <v>10666</v>
      </c>
      <c r="G13373" t="s">
        <v>15067</v>
      </c>
      <c r="H13373" t="s">
        <v>30554</v>
      </c>
    </row>
    <row r="13374" spans="1:8">
      <c r="A13374" t="s">
        <v>2063</v>
      </c>
      <c r="B13374">
        <f>HYPERLINK("https://android.googlesource.com/platform/cts/+/1d551a383eee23de704aa721e56c0251e1e50f75", "1d551a383eee23de704aa721e56c0251e1e50f75")</f>
        <v>0</v>
      </c>
      <c r="C13374">
        <f>HYPERLINK("https://android.googlesource.com/platform/cts/+/9c2005a0e798a72d27f696cd9ef52fc628dde752", "9c2005a0e798a72d27f696cd9ef52fc628dde752")</f>
        <v>0</v>
      </c>
      <c r="D13374" t="s">
        <v>5287</v>
      </c>
      <c r="E13374" t="s">
        <v>7801</v>
      </c>
      <c r="F13374" t="s">
        <v>12808</v>
      </c>
      <c r="G13374" t="s">
        <v>16989</v>
      </c>
      <c r="H13374" t="s">
        <v>30361</v>
      </c>
    </row>
    <row r="13375" spans="1:8">
      <c r="H13375" t="s">
        <v>30362</v>
      </c>
    </row>
    <row r="13376" spans="1:8">
      <c r="H13376" t="s">
        <v>30363</v>
      </c>
    </row>
    <row r="13377" spans="1:8">
      <c r="H13377" t="s">
        <v>30364</v>
      </c>
    </row>
    <row r="13378" spans="1:8">
      <c r="H13378" t="s">
        <v>30365</v>
      </c>
    </row>
    <row r="13379" spans="1:8">
      <c r="H13379" t="s">
        <v>30366</v>
      </c>
    </row>
    <row r="13380" spans="1:8">
      <c r="H13380" t="s">
        <v>30367</v>
      </c>
    </row>
    <row r="13381" spans="1:8">
      <c r="A13381" t="s">
        <v>2064</v>
      </c>
      <c r="B13381">
        <f>HYPERLINK("https://android.googlesource.com/platform/cts/+/bf0f81dc4de2b145c8e6e25c51acd708204ab494", "bf0f81dc4de2b145c8e6e25c51acd708204ab494")</f>
        <v>0</v>
      </c>
      <c r="C13381">
        <f>HYPERLINK("https://android.googlesource.com/platform/cts/+/4b6e94dada8c18d784360ceb0f6ff1ef5e35f801", "4b6e94dada8c18d784360ceb0f6ff1ef5e35f801")</f>
        <v>0</v>
      </c>
      <c r="D13381" t="s">
        <v>5134</v>
      </c>
      <c r="E13381" t="s">
        <v>7802</v>
      </c>
      <c r="F13381" t="s">
        <v>13567</v>
      </c>
      <c r="G13381" t="s">
        <v>17672</v>
      </c>
      <c r="H13381" t="s">
        <v>30555</v>
      </c>
    </row>
    <row r="13382" spans="1:8">
      <c r="A13382" t="s">
        <v>2065</v>
      </c>
      <c r="B13382">
        <f>HYPERLINK("https://android.googlesource.com/platform/cts/+/3bda23003206500de60bc67e247d2bf4d85c73b1", "3bda23003206500de60bc67e247d2bf4d85c73b1")</f>
        <v>0</v>
      </c>
      <c r="C13382">
        <f>HYPERLINK("https://android.googlesource.com/platform/cts/+/0db3fbf059c97df7f872948e5eba0f564eb425d0", "0db3fbf059c97df7f872948e5eba0f564eb425d0")</f>
        <v>0</v>
      </c>
      <c r="D13382" t="s">
        <v>5117</v>
      </c>
      <c r="E13382" t="s">
        <v>7803</v>
      </c>
      <c r="F13382" t="s">
        <v>10697</v>
      </c>
      <c r="G13382" t="s">
        <v>15097</v>
      </c>
      <c r="H13382" t="s">
        <v>30556</v>
      </c>
    </row>
    <row r="13383" spans="1:8">
      <c r="F13383" t="s">
        <v>13568</v>
      </c>
      <c r="G13383" t="s">
        <v>17673</v>
      </c>
      <c r="H13383" t="s">
        <v>30557</v>
      </c>
    </row>
    <row r="13384" spans="1:8">
      <c r="F13384" t="s">
        <v>13569</v>
      </c>
      <c r="G13384" t="s">
        <v>17674</v>
      </c>
      <c r="H13384" t="s">
        <v>30557</v>
      </c>
    </row>
    <row r="13385" spans="1:8">
      <c r="H13385" t="s">
        <v>30558</v>
      </c>
    </row>
    <row r="13386" spans="1:8">
      <c r="F13386" t="s">
        <v>13570</v>
      </c>
      <c r="G13386" t="s">
        <v>17675</v>
      </c>
      <c r="H13386" t="s">
        <v>30559</v>
      </c>
    </row>
    <row r="13387" spans="1:8">
      <c r="H13387" t="s">
        <v>30560</v>
      </c>
    </row>
    <row r="13388" spans="1:8">
      <c r="A13388" t="s">
        <v>2066</v>
      </c>
      <c r="B13388">
        <f>HYPERLINK("https://android.googlesource.com/platform/cts/+/24f453a13d35fec32fded688a902003321c88961", "24f453a13d35fec32fded688a902003321c88961")</f>
        <v>0</v>
      </c>
      <c r="C13388">
        <f>HYPERLINK("https://android.googlesource.com/platform/cts/+/d1860181cb5cbe60ae590c8a549ef25386d5b9c8", "d1860181cb5cbe60ae590c8a549ef25386d5b9c8")</f>
        <v>0</v>
      </c>
      <c r="D13388" t="s">
        <v>5279</v>
      </c>
      <c r="E13388" t="s">
        <v>7804</v>
      </c>
      <c r="F13388" t="s">
        <v>13571</v>
      </c>
      <c r="G13388" t="s">
        <v>17676</v>
      </c>
      <c r="H13388" t="s">
        <v>30561</v>
      </c>
    </row>
    <row r="13389" spans="1:8">
      <c r="H13389" t="s">
        <v>30562</v>
      </c>
    </row>
    <row r="13390" spans="1:8">
      <c r="A13390" t="s">
        <v>2067</v>
      </c>
      <c r="B13390">
        <f>HYPERLINK("https://android.googlesource.com/platform/cts/+/4ff4d32eb076dbb3cad80aada0000d4dc84ac40b", "4ff4d32eb076dbb3cad80aada0000d4dc84ac40b")</f>
        <v>0</v>
      </c>
      <c r="C13390">
        <f>HYPERLINK("https://android.googlesource.com/platform/cts/+/be215eac7d741a20ae06ea0e5bb4f36a32ae42a5", "be215eac7d741a20ae06ea0e5bb4f36a32ae42a5")</f>
        <v>0</v>
      </c>
      <c r="D13390" t="s">
        <v>5219</v>
      </c>
      <c r="E13390" t="s">
        <v>7805</v>
      </c>
      <c r="F13390" t="s">
        <v>13568</v>
      </c>
      <c r="G13390" t="s">
        <v>17673</v>
      </c>
      <c r="H13390" t="s">
        <v>30557</v>
      </c>
    </row>
    <row r="13391" spans="1:8">
      <c r="A13391" t="s">
        <v>2068</v>
      </c>
      <c r="B13391">
        <f>HYPERLINK("https://android.googlesource.com/platform/cts/+/c4dc6918abd1e3558d0df10e94a9fd5f99d9e0a4", "c4dc6918abd1e3558d0df10e94a9fd5f99d9e0a4")</f>
        <v>0</v>
      </c>
      <c r="C13391">
        <f>HYPERLINK("https://android.googlesource.com/platform/cts/+/6f5696320483e7e849c4121ee94738f84e22368b", "6f5696320483e7e849c4121ee94738f84e22368b")</f>
        <v>0</v>
      </c>
      <c r="D13391" t="s">
        <v>5287</v>
      </c>
      <c r="E13391" t="s">
        <v>7806</v>
      </c>
      <c r="F13391" t="s">
        <v>10608</v>
      </c>
      <c r="G13391" t="s">
        <v>15011</v>
      </c>
      <c r="H13391" t="s">
        <v>30563</v>
      </c>
    </row>
    <row r="13392" spans="1:8">
      <c r="A13392" t="s">
        <v>2070</v>
      </c>
      <c r="B13392">
        <f>HYPERLINK("https://android.googlesource.com/platform/cts/+/4a53881b2650669471b8acc610cdf515f5bfc7bb", "4a53881b2650669471b8acc610cdf515f5bfc7bb")</f>
        <v>0</v>
      </c>
      <c r="C13392">
        <f>HYPERLINK("https://android.googlesource.com/platform/cts/+/2efafca4896c3fc616610e0858d847eaf7823372", "2efafca4896c3fc616610e0858d847eaf7823372")</f>
        <v>0</v>
      </c>
      <c r="D13392" t="s">
        <v>4997</v>
      </c>
      <c r="E13392" t="s">
        <v>7808</v>
      </c>
      <c r="F13392" t="s">
        <v>13572</v>
      </c>
      <c r="G13392" t="s">
        <v>17605</v>
      </c>
      <c r="H13392" t="s">
        <v>30566</v>
      </c>
    </row>
    <row r="13393" spans="1:8">
      <c r="H13393" t="s">
        <v>30567</v>
      </c>
    </row>
    <row r="13394" spans="1:8">
      <c r="A13394" t="s">
        <v>2071</v>
      </c>
      <c r="B13394">
        <f>HYPERLINK("https://android.googlesource.com/platform/cts/+/d8fc67cbc5ef8c922a737bd1d27fc9a2ccb0a975", "d8fc67cbc5ef8c922a737bd1d27fc9a2ccb0a975")</f>
        <v>0</v>
      </c>
      <c r="C13394">
        <f>HYPERLINK("https://android.googlesource.com/platform/cts/+/1574189f36cf8149bdbc65986352dd310f417bd1", "1574189f36cf8149bdbc65986352dd310f417bd1")</f>
        <v>0</v>
      </c>
      <c r="D13394" t="s">
        <v>5311</v>
      </c>
      <c r="E13394" t="s">
        <v>7809</v>
      </c>
      <c r="F13394" t="s">
        <v>10593</v>
      </c>
      <c r="G13394" t="s">
        <v>14996</v>
      </c>
      <c r="H13394" t="s">
        <v>30568</v>
      </c>
    </row>
    <row r="13395" spans="1:8">
      <c r="H13395" t="s">
        <v>30569</v>
      </c>
    </row>
    <row r="13396" spans="1:8">
      <c r="A13396" t="s">
        <v>2072</v>
      </c>
      <c r="B13396">
        <f>HYPERLINK("https://android.googlesource.com/platform/cts/+/e7bc426286525af48dcb58b8c7bb0aba6d734525", "e7bc426286525af48dcb58b8c7bb0aba6d734525")</f>
        <v>0</v>
      </c>
      <c r="C13396">
        <f>HYPERLINK("https://android.googlesource.com/platform/cts/+/037b5d7d07bcbf3111418cf7d6e4ece9b9d35b22", "037b5d7d07bcbf3111418cf7d6e4ece9b9d35b22")</f>
        <v>0</v>
      </c>
      <c r="D13396" t="s">
        <v>5108</v>
      </c>
      <c r="E13396" t="s">
        <v>7810</v>
      </c>
      <c r="F13396" t="s">
        <v>12629</v>
      </c>
      <c r="G13396" t="s">
        <v>16838</v>
      </c>
      <c r="H13396" t="s">
        <v>30571</v>
      </c>
    </row>
    <row r="13397" spans="1:8">
      <c r="A13397" t="s">
        <v>2073</v>
      </c>
      <c r="B13397">
        <f>HYPERLINK("https://android.googlesource.com/platform/cts/+/a72063cfbae501fa4d7b2dfb23c1b588d8eb74ce", "a72063cfbae501fa4d7b2dfb23c1b588d8eb74ce")</f>
        <v>0</v>
      </c>
      <c r="C13397">
        <f>HYPERLINK("https://android.googlesource.com/platform/cts/+/0ac0251c90072d03bd1524ea8657a2936538f3c2", "0ac0251c90072d03bd1524ea8657a2936538f3c2")</f>
        <v>0</v>
      </c>
      <c r="D13397" t="s">
        <v>4947</v>
      </c>
      <c r="E13397" t="s">
        <v>7811</v>
      </c>
      <c r="F13397" t="s">
        <v>10770</v>
      </c>
      <c r="G13397" t="s">
        <v>15166</v>
      </c>
      <c r="H13397" t="s">
        <v>30577</v>
      </c>
    </row>
    <row r="13398" spans="1:8">
      <c r="H13398" t="s">
        <v>30578</v>
      </c>
    </row>
    <row r="13399" spans="1:8">
      <c r="H13399" t="s">
        <v>30579</v>
      </c>
    </row>
    <row r="13400" spans="1:8">
      <c r="H13400" t="s">
        <v>30580</v>
      </c>
    </row>
    <row r="13401" spans="1:8">
      <c r="H13401" t="s">
        <v>30581</v>
      </c>
    </row>
    <row r="13402" spans="1:8">
      <c r="A13402" t="s">
        <v>2075</v>
      </c>
      <c r="B13402">
        <f>HYPERLINK("https://android.googlesource.com/platform/cts/+/c6d52c6080eb7a63828223facd6b21f1d448d865", "c6d52c6080eb7a63828223facd6b21f1d448d865")</f>
        <v>0</v>
      </c>
      <c r="C13402">
        <f>HYPERLINK("https://android.googlesource.com/platform/cts/+/62bdfaaf89d00c25822ec3c018e3b965673205ab", "62bdfaaf89d00c25822ec3c018e3b965673205ab")</f>
        <v>0</v>
      </c>
      <c r="D13402" t="s">
        <v>5129</v>
      </c>
      <c r="E13402" t="s">
        <v>7813</v>
      </c>
      <c r="F13402" t="s">
        <v>13573</v>
      </c>
      <c r="G13402" t="s">
        <v>17677</v>
      </c>
      <c r="H13402" t="s">
        <v>30583</v>
      </c>
    </row>
    <row r="13403" spans="1:8">
      <c r="H13403" t="s">
        <v>30584</v>
      </c>
    </row>
    <row r="13404" spans="1:8">
      <c r="A13404" t="s">
        <v>2076</v>
      </c>
      <c r="B13404">
        <f>HYPERLINK("https://android.googlesource.com/platform/cts/+/c4df8389462834c233c26c5986d344bf52866bba", "c4df8389462834c233c26c5986d344bf52866bba")</f>
        <v>0</v>
      </c>
      <c r="C13404">
        <f>HYPERLINK("https://android.googlesource.com/platform/cts/+/16ac29eba9be7f7e360991f1d86cc8a86639efd1", "16ac29eba9be7f7e360991f1d86cc8a86639efd1")</f>
        <v>0</v>
      </c>
      <c r="D13404" t="s">
        <v>5117</v>
      </c>
      <c r="E13404" t="s">
        <v>7814</v>
      </c>
      <c r="F13404" t="s">
        <v>13574</v>
      </c>
      <c r="G13404" t="s">
        <v>17678</v>
      </c>
      <c r="H13404" t="s">
        <v>30585</v>
      </c>
    </row>
    <row r="13405" spans="1:8">
      <c r="F13405" t="s">
        <v>13575</v>
      </c>
      <c r="G13405" t="s">
        <v>17679</v>
      </c>
      <c r="H13405" t="s">
        <v>30586</v>
      </c>
    </row>
    <row r="13406" spans="1:8">
      <c r="A13406" t="s">
        <v>2078</v>
      </c>
      <c r="B13406">
        <f>HYPERLINK("https://android.googlesource.com/platform/cts/+/bda4fa92a84de697a2595a281223243c40f7eee2", "bda4fa92a84de697a2595a281223243c40f7eee2")</f>
        <v>0</v>
      </c>
      <c r="C13406">
        <f>HYPERLINK("https://android.googlesource.com/platform/cts/+/00645d98f82d577b5cd9702247ffc99d644c1401", "00645d98f82d577b5cd9702247ffc99d644c1401")</f>
        <v>0</v>
      </c>
      <c r="D13406" t="s">
        <v>5327</v>
      </c>
      <c r="E13406" t="s">
        <v>7816</v>
      </c>
      <c r="F13406" t="s">
        <v>12404</v>
      </c>
      <c r="G13406" t="s">
        <v>16626</v>
      </c>
      <c r="H13406" t="s">
        <v>30591</v>
      </c>
    </row>
    <row r="13407" spans="1:8">
      <c r="A13407" t="s">
        <v>2080</v>
      </c>
      <c r="B13407">
        <f>HYPERLINK("https://android.googlesource.com/platform/cts/+/a51b8b5095cf7d63f8bcd527f6f9c75888dfa2d5", "a51b8b5095cf7d63f8bcd527f6f9c75888dfa2d5")</f>
        <v>0</v>
      </c>
      <c r="C13407">
        <f>HYPERLINK("https://android.googlesource.com/platform/cts/+/15b0e26d5558a889c5b58012dfb4771076ee6e67", "15b0e26d5558a889c5b58012dfb4771076ee6e67")</f>
        <v>0</v>
      </c>
      <c r="D13407" t="s">
        <v>5328</v>
      </c>
      <c r="E13407" t="s">
        <v>7818</v>
      </c>
      <c r="F13407" t="s">
        <v>13578</v>
      </c>
      <c r="G13407" t="s">
        <v>17681</v>
      </c>
      <c r="H13407" t="s">
        <v>25988</v>
      </c>
    </row>
    <row r="13408" spans="1:8">
      <c r="F13408" t="s">
        <v>13581</v>
      </c>
      <c r="G13408" t="s">
        <v>15144</v>
      </c>
      <c r="H13408" t="s">
        <v>26088</v>
      </c>
    </row>
    <row r="13409" spans="6:8">
      <c r="F13409" t="s">
        <v>13583</v>
      </c>
      <c r="G13409" t="s">
        <v>16894</v>
      </c>
      <c r="H13409" t="s">
        <v>30633</v>
      </c>
    </row>
    <row r="13410" spans="6:8">
      <c r="H13410" t="s">
        <v>25959</v>
      </c>
    </row>
    <row r="13411" spans="6:8">
      <c r="H13411" t="s">
        <v>25956</v>
      </c>
    </row>
    <row r="13412" spans="6:8">
      <c r="H13412" t="s">
        <v>25957</v>
      </c>
    </row>
    <row r="13413" spans="6:8">
      <c r="H13413" t="s">
        <v>30634</v>
      </c>
    </row>
    <row r="13414" spans="6:8">
      <c r="H13414" t="s">
        <v>30635</v>
      </c>
    </row>
    <row r="13415" spans="6:8">
      <c r="H13415" t="s">
        <v>30636</v>
      </c>
    </row>
    <row r="13416" spans="6:8">
      <c r="F13416" t="s">
        <v>13584</v>
      </c>
      <c r="G13416" t="s">
        <v>16826</v>
      </c>
      <c r="H13416" t="s">
        <v>30637</v>
      </c>
    </row>
    <row r="13417" spans="6:8">
      <c r="H13417" t="s">
        <v>30638</v>
      </c>
    </row>
    <row r="13418" spans="6:8">
      <c r="H13418" t="s">
        <v>30639</v>
      </c>
    </row>
    <row r="13419" spans="6:8">
      <c r="F13419" t="s">
        <v>13585</v>
      </c>
      <c r="G13419" t="s">
        <v>17323</v>
      </c>
      <c r="H13419" t="s">
        <v>30640</v>
      </c>
    </row>
    <row r="13420" spans="6:8">
      <c r="F13420" t="s">
        <v>13586</v>
      </c>
      <c r="G13420" t="s">
        <v>17684</v>
      </c>
      <c r="H13420" t="s">
        <v>30641</v>
      </c>
    </row>
    <row r="13421" spans="6:8">
      <c r="H13421" t="s">
        <v>30642</v>
      </c>
    </row>
    <row r="13422" spans="6:8">
      <c r="F13422" t="s">
        <v>13587</v>
      </c>
      <c r="G13422" t="s">
        <v>17685</v>
      </c>
      <c r="H13422" t="s">
        <v>30643</v>
      </c>
    </row>
    <row r="13423" spans="6:8">
      <c r="F13423" t="s">
        <v>13588</v>
      </c>
      <c r="G13423" t="s">
        <v>17686</v>
      </c>
      <c r="H13423" t="s">
        <v>30645</v>
      </c>
    </row>
    <row r="13424" spans="6:8">
      <c r="H13424" t="s">
        <v>30646</v>
      </c>
    </row>
    <row r="13425" spans="6:8">
      <c r="H13425" t="s">
        <v>30647</v>
      </c>
    </row>
    <row r="13426" spans="6:8">
      <c r="H13426" t="s">
        <v>30648</v>
      </c>
    </row>
    <row r="13427" spans="6:8">
      <c r="H13427" t="s">
        <v>30649</v>
      </c>
    </row>
    <row r="13428" spans="6:8">
      <c r="H13428" t="s">
        <v>30650</v>
      </c>
    </row>
    <row r="13429" spans="6:8">
      <c r="H13429" t="s">
        <v>30653</v>
      </c>
    </row>
    <row r="13430" spans="6:8">
      <c r="H13430" t="s">
        <v>30654</v>
      </c>
    </row>
    <row r="13431" spans="6:8">
      <c r="H13431" t="s">
        <v>30655</v>
      </c>
    </row>
    <row r="13432" spans="6:8">
      <c r="F13432" t="s">
        <v>13589</v>
      </c>
      <c r="G13432" t="s">
        <v>17687</v>
      </c>
      <c r="H13432" t="s">
        <v>30656</v>
      </c>
    </row>
    <row r="13433" spans="6:8">
      <c r="H13433" t="s">
        <v>30657</v>
      </c>
    </row>
    <row r="13434" spans="6:8">
      <c r="H13434" t="s">
        <v>30658</v>
      </c>
    </row>
    <row r="13435" spans="6:8">
      <c r="H13435" t="s">
        <v>30659</v>
      </c>
    </row>
    <row r="13436" spans="6:8">
      <c r="F13436" t="s">
        <v>13590</v>
      </c>
      <c r="G13436" t="s">
        <v>17688</v>
      </c>
      <c r="H13436" t="s">
        <v>30661</v>
      </c>
    </row>
    <row r="13437" spans="6:8">
      <c r="H13437" t="s">
        <v>30662</v>
      </c>
    </row>
    <row r="13438" spans="6:8">
      <c r="F13438" t="s">
        <v>13591</v>
      </c>
      <c r="G13438" t="s">
        <v>17372</v>
      </c>
      <c r="H13438" t="s">
        <v>30663</v>
      </c>
    </row>
    <row r="13439" spans="6:8">
      <c r="H13439" t="s">
        <v>30664</v>
      </c>
    </row>
    <row r="13440" spans="6:8">
      <c r="F13440" t="s">
        <v>13592</v>
      </c>
      <c r="G13440" t="s">
        <v>17689</v>
      </c>
      <c r="H13440" t="s">
        <v>30665</v>
      </c>
    </row>
    <row r="13441" spans="6:8">
      <c r="F13441" t="s">
        <v>13593</v>
      </c>
      <c r="G13441" t="s">
        <v>16924</v>
      </c>
      <c r="H13441" t="s">
        <v>22847</v>
      </c>
    </row>
    <row r="13442" spans="6:8">
      <c r="H13442" t="s">
        <v>25718</v>
      </c>
    </row>
    <row r="13443" spans="6:8">
      <c r="H13443" t="s">
        <v>26100</v>
      </c>
    </row>
    <row r="13444" spans="6:8">
      <c r="H13444" t="s">
        <v>30669</v>
      </c>
    </row>
    <row r="13445" spans="6:8">
      <c r="H13445" t="s">
        <v>30670</v>
      </c>
    </row>
    <row r="13446" spans="6:8">
      <c r="H13446" t="s">
        <v>30671</v>
      </c>
    </row>
    <row r="13447" spans="6:8">
      <c r="H13447" t="s">
        <v>30672</v>
      </c>
    </row>
    <row r="13448" spans="6:8">
      <c r="H13448" t="s">
        <v>30673</v>
      </c>
    </row>
    <row r="13449" spans="6:8">
      <c r="H13449" t="s">
        <v>30674</v>
      </c>
    </row>
    <row r="13450" spans="6:8">
      <c r="H13450" t="s">
        <v>30675</v>
      </c>
    </row>
    <row r="13451" spans="6:8">
      <c r="H13451" t="s">
        <v>30676</v>
      </c>
    </row>
    <row r="13452" spans="6:8">
      <c r="H13452" t="s">
        <v>30677</v>
      </c>
    </row>
    <row r="13453" spans="6:8">
      <c r="F13453" t="s">
        <v>13594</v>
      </c>
      <c r="G13453" t="s">
        <v>17426</v>
      </c>
      <c r="H13453" t="s">
        <v>28993</v>
      </c>
    </row>
    <row r="13454" spans="6:8">
      <c r="H13454" t="s">
        <v>30678</v>
      </c>
    </row>
    <row r="13455" spans="6:8">
      <c r="H13455" t="s">
        <v>30679</v>
      </c>
    </row>
    <row r="13456" spans="6:8">
      <c r="H13456" t="s">
        <v>30680</v>
      </c>
    </row>
    <row r="13457" spans="6:8">
      <c r="H13457" t="s">
        <v>30681</v>
      </c>
    </row>
    <row r="13458" spans="6:8">
      <c r="F13458" t="s">
        <v>13595</v>
      </c>
      <c r="G13458" t="s">
        <v>17690</v>
      </c>
      <c r="H13458" t="s">
        <v>30682</v>
      </c>
    </row>
    <row r="13459" spans="6:8">
      <c r="F13459" t="s">
        <v>13596</v>
      </c>
      <c r="G13459" t="s">
        <v>17691</v>
      </c>
      <c r="H13459" t="s">
        <v>30684</v>
      </c>
    </row>
    <row r="13460" spans="6:8">
      <c r="H13460" t="s">
        <v>30685</v>
      </c>
    </row>
    <row r="13461" spans="6:8">
      <c r="H13461" t="s">
        <v>30686</v>
      </c>
    </row>
    <row r="13462" spans="6:8">
      <c r="H13462" t="s">
        <v>30687</v>
      </c>
    </row>
    <row r="13463" spans="6:8">
      <c r="H13463" t="s">
        <v>30688</v>
      </c>
    </row>
    <row r="13464" spans="6:8">
      <c r="H13464" t="s">
        <v>19759</v>
      </c>
    </row>
    <row r="13465" spans="6:8">
      <c r="F13465" t="s">
        <v>13597</v>
      </c>
      <c r="G13465" t="s">
        <v>17322</v>
      </c>
      <c r="H13465" t="s">
        <v>30689</v>
      </c>
    </row>
    <row r="13466" spans="6:8">
      <c r="H13466" t="s">
        <v>30690</v>
      </c>
    </row>
    <row r="13467" spans="6:8">
      <c r="H13467" t="s">
        <v>30691</v>
      </c>
    </row>
    <row r="13468" spans="6:8">
      <c r="H13468" t="s">
        <v>30692</v>
      </c>
    </row>
    <row r="13469" spans="6:8">
      <c r="H13469" t="s">
        <v>26114</v>
      </c>
    </row>
    <row r="13470" spans="6:8">
      <c r="F13470" t="s">
        <v>13598</v>
      </c>
      <c r="G13470" t="s">
        <v>16923</v>
      </c>
      <c r="H13470" t="s">
        <v>26081</v>
      </c>
    </row>
    <row r="13471" spans="6:8">
      <c r="H13471" t="s">
        <v>26082</v>
      </c>
    </row>
    <row r="13472" spans="6:8">
      <c r="H13472" t="s">
        <v>26083</v>
      </c>
    </row>
    <row r="13473" spans="6:8">
      <c r="H13473" t="s">
        <v>26084</v>
      </c>
    </row>
    <row r="13474" spans="6:8">
      <c r="F13474" t="s">
        <v>13599</v>
      </c>
      <c r="G13474" t="s">
        <v>16918</v>
      </c>
      <c r="H13474" t="s">
        <v>26069</v>
      </c>
    </row>
    <row r="13475" spans="6:8">
      <c r="H13475" t="s">
        <v>26070</v>
      </c>
    </row>
    <row r="13476" spans="6:8">
      <c r="H13476" t="s">
        <v>26071</v>
      </c>
    </row>
    <row r="13477" spans="6:8">
      <c r="H13477" t="s">
        <v>26072</v>
      </c>
    </row>
    <row r="13478" spans="6:8">
      <c r="H13478" t="s">
        <v>26073</v>
      </c>
    </row>
    <row r="13479" spans="6:8">
      <c r="H13479" t="s">
        <v>30693</v>
      </c>
    </row>
    <row r="13480" spans="6:8">
      <c r="H13480" t="s">
        <v>30694</v>
      </c>
    </row>
    <row r="13481" spans="6:8">
      <c r="F13481" t="s">
        <v>13600</v>
      </c>
      <c r="G13481" t="s">
        <v>16845</v>
      </c>
      <c r="H13481" t="s">
        <v>29660</v>
      </c>
    </row>
    <row r="13482" spans="6:8">
      <c r="H13482" t="s">
        <v>29661</v>
      </c>
    </row>
    <row r="13483" spans="6:8">
      <c r="H13483" t="s">
        <v>29662</v>
      </c>
    </row>
    <row r="13484" spans="6:8">
      <c r="H13484" t="s">
        <v>29663</v>
      </c>
    </row>
    <row r="13485" spans="6:8">
      <c r="H13485" t="s">
        <v>29664</v>
      </c>
    </row>
    <row r="13486" spans="6:8">
      <c r="H13486" t="s">
        <v>29665</v>
      </c>
    </row>
    <row r="13487" spans="6:8">
      <c r="H13487" t="s">
        <v>30695</v>
      </c>
    </row>
    <row r="13488" spans="6:8">
      <c r="H13488" t="s">
        <v>30696</v>
      </c>
    </row>
    <row r="13489" spans="6:8">
      <c r="H13489" t="s">
        <v>30697</v>
      </c>
    </row>
    <row r="13490" spans="6:8">
      <c r="H13490" t="s">
        <v>30698</v>
      </c>
    </row>
    <row r="13491" spans="6:8">
      <c r="H13491" t="s">
        <v>30699</v>
      </c>
    </row>
    <row r="13492" spans="6:8">
      <c r="H13492" t="s">
        <v>30700</v>
      </c>
    </row>
    <row r="13493" spans="6:8">
      <c r="H13493" t="s">
        <v>30701</v>
      </c>
    </row>
    <row r="13494" spans="6:8">
      <c r="H13494" t="s">
        <v>30702</v>
      </c>
    </row>
    <row r="13495" spans="6:8">
      <c r="H13495" t="s">
        <v>30703</v>
      </c>
    </row>
    <row r="13496" spans="6:8">
      <c r="F13496" t="s">
        <v>13601</v>
      </c>
      <c r="G13496" t="s">
        <v>17305</v>
      </c>
      <c r="H13496" t="s">
        <v>30707</v>
      </c>
    </row>
    <row r="13497" spans="6:8">
      <c r="H13497" t="s">
        <v>30709</v>
      </c>
    </row>
    <row r="13498" spans="6:8">
      <c r="H13498" t="s">
        <v>30710</v>
      </c>
    </row>
    <row r="13499" spans="6:8">
      <c r="H13499" t="s">
        <v>30711</v>
      </c>
    </row>
    <row r="13500" spans="6:8">
      <c r="H13500" t="s">
        <v>30712</v>
      </c>
    </row>
    <row r="13501" spans="6:8">
      <c r="H13501" t="s">
        <v>30714</v>
      </c>
    </row>
    <row r="13502" spans="6:8">
      <c r="H13502" t="s">
        <v>30715</v>
      </c>
    </row>
    <row r="13503" spans="6:8">
      <c r="F13503" t="s">
        <v>13602</v>
      </c>
      <c r="G13503" t="s">
        <v>16867</v>
      </c>
      <c r="H13503" t="s">
        <v>25716</v>
      </c>
    </row>
    <row r="13504" spans="6:8">
      <c r="H13504" t="s">
        <v>30716</v>
      </c>
    </row>
    <row r="13505" spans="6:8">
      <c r="F13505" t="s">
        <v>13603</v>
      </c>
      <c r="G13505" t="s">
        <v>17320</v>
      </c>
      <c r="H13505" t="s">
        <v>30718</v>
      </c>
    </row>
    <row r="13506" spans="6:8">
      <c r="H13506" t="s">
        <v>30719</v>
      </c>
    </row>
    <row r="13507" spans="6:8">
      <c r="H13507" t="s">
        <v>30720</v>
      </c>
    </row>
    <row r="13508" spans="6:8">
      <c r="H13508" t="s">
        <v>30721</v>
      </c>
    </row>
    <row r="13509" spans="6:8">
      <c r="H13509" t="s">
        <v>30722</v>
      </c>
    </row>
    <row r="13510" spans="6:8">
      <c r="H13510" t="s">
        <v>30723</v>
      </c>
    </row>
    <row r="13511" spans="6:8">
      <c r="H13511" t="s">
        <v>30724</v>
      </c>
    </row>
    <row r="13512" spans="6:8">
      <c r="H13512" t="s">
        <v>30725</v>
      </c>
    </row>
    <row r="13513" spans="6:8">
      <c r="H13513" t="s">
        <v>30726</v>
      </c>
    </row>
    <row r="13514" spans="6:8">
      <c r="H13514" t="s">
        <v>30727</v>
      </c>
    </row>
    <row r="13515" spans="6:8">
      <c r="H13515" t="s">
        <v>26001</v>
      </c>
    </row>
    <row r="13516" spans="6:8">
      <c r="H13516" t="s">
        <v>30695</v>
      </c>
    </row>
    <row r="13517" spans="6:8">
      <c r="H13517" t="s">
        <v>30729</v>
      </c>
    </row>
    <row r="13518" spans="6:8">
      <c r="H13518" t="s">
        <v>30730</v>
      </c>
    </row>
    <row r="13519" spans="6:8">
      <c r="H13519" t="s">
        <v>30731</v>
      </c>
    </row>
    <row r="13520" spans="6:8">
      <c r="H13520" t="s">
        <v>29686</v>
      </c>
    </row>
    <row r="13521" spans="6:8">
      <c r="H13521" t="s">
        <v>29687</v>
      </c>
    </row>
    <row r="13522" spans="6:8">
      <c r="H13522" t="s">
        <v>29688</v>
      </c>
    </row>
    <row r="13523" spans="6:8">
      <c r="H13523" t="s">
        <v>29689</v>
      </c>
    </row>
    <row r="13524" spans="6:8">
      <c r="H13524" t="s">
        <v>29690</v>
      </c>
    </row>
    <row r="13525" spans="6:8">
      <c r="H13525" t="s">
        <v>29691</v>
      </c>
    </row>
    <row r="13526" spans="6:8">
      <c r="H13526" t="s">
        <v>29692</v>
      </c>
    </row>
    <row r="13527" spans="6:8">
      <c r="H13527" t="s">
        <v>29693</v>
      </c>
    </row>
    <row r="13528" spans="6:8">
      <c r="H13528" t="s">
        <v>29694</v>
      </c>
    </row>
    <row r="13529" spans="6:8">
      <c r="H13529" t="s">
        <v>29695</v>
      </c>
    </row>
    <row r="13530" spans="6:8">
      <c r="H13530" t="s">
        <v>29696</v>
      </c>
    </row>
    <row r="13531" spans="6:8">
      <c r="H13531" t="s">
        <v>29697</v>
      </c>
    </row>
    <row r="13532" spans="6:8">
      <c r="H13532" t="s">
        <v>29698</v>
      </c>
    </row>
    <row r="13533" spans="6:8">
      <c r="H13533" t="s">
        <v>29699</v>
      </c>
    </row>
    <row r="13534" spans="6:8">
      <c r="H13534" t="s">
        <v>29700</v>
      </c>
    </row>
    <row r="13535" spans="6:8">
      <c r="H13535" t="s">
        <v>29862</v>
      </c>
    </row>
    <row r="13536" spans="6:8">
      <c r="F13536" t="s">
        <v>13604</v>
      </c>
      <c r="G13536" t="s">
        <v>17287</v>
      </c>
      <c r="H13536" t="s">
        <v>26000</v>
      </c>
    </row>
    <row r="13537" spans="6:8">
      <c r="H13537" t="s">
        <v>26001</v>
      </c>
    </row>
    <row r="13538" spans="6:8">
      <c r="F13538" t="s">
        <v>13607</v>
      </c>
      <c r="G13538" t="s">
        <v>17510</v>
      </c>
      <c r="H13538" t="s">
        <v>30735</v>
      </c>
    </row>
    <row r="13539" spans="6:8">
      <c r="H13539" t="s">
        <v>30736</v>
      </c>
    </row>
    <row r="13540" spans="6:8">
      <c r="H13540" t="s">
        <v>25956</v>
      </c>
    </row>
    <row r="13541" spans="6:8">
      <c r="F13541" t="s">
        <v>13608</v>
      </c>
      <c r="G13541" t="s">
        <v>17694</v>
      </c>
      <c r="H13541" t="s">
        <v>30737</v>
      </c>
    </row>
    <row r="13542" spans="6:8">
      <c r="F13542" t="s">
        <v>13609</v>
      </c>
      <c r="G13542" t="s">
        <v>17695</v>
      </c>
      <c r="H13542" t="s">
        <v>30739</v>
      </c>
    </row>
    <row r="13543" spans="6:8">
      <c r="H13543" t="s">
        <v>30740</v>
      </c>
    </row>
    <row r="13544" spans="6:8">
      <c r="H13544" t="s">
        <v>30741</v>
      </c>
    </row>
    <row r="13545" spans="6:8">
      <c r="H13545" t="s">
        <v>30742</v>
      </c>
    </row>
    <row r="13546" spans="6:8">
      <c r="H13546" t="s">
        <v>30743</v>
      </c>
    </row>
    <row r="13547" spans="6:8">
      <c r="F13547" t="s">
        <v>13610</v>
      </c>
      <c r="G13547" t="s">
        <v>17696</v>
      </c>
      <c r="H13547" t="s">
        <v>30744</v>
      </c>
    </row>
    <row r="13548" spans="6:8">
      <c r="H13548" t="s">
        <v>30745</v>
      </c>
    </row>
    <row r="13549" spans="6:8">
      <c r="H13549" t="s">
        <v>30746</v>
      </c>
    </row>
    <row r="13550" spans="6:8">
      <c r="F13550" t="s">
        <v>13611</v>
      </c>
      <c r="G13550" t="s">
        <v>17428</v>
      </c>
      <c r="H13550" t="s">
        <v>29006</v>
      </c>
    </row>
    <row r="13551" spans="6:8">
      <c r="H13551" t="s">
        <v>29007</v>
      </c>
    </row>
    <row r="13552" spans="6:8">
      <c r="F13552" t="s">
        <v>13612</v>
      </c>
      <c r="G13552" t="s">
        <v>17697</v>
      </c>
      <c r="H13552" t="s">
        <v>30747</v>
      </c>
    </row>
    <row r="13553" spans="6:8">
      <c r="H13553" t="s">
        <v>30748</v>
      </c>
    </row>
    <row r="13554" spans="6:8">
      <c r="H13554" t="s">
        <v>30749</v>
      </c>
    </row>
    <row r="13555" spans="6:8">
      <c r="H13555" t="s">
        <v>30750</v>
      </c>
    </row>
    <row r="13556" spans="6:8">
      <c r="F13556" t="s">
        <v>13614</v>
      </c>
      <c r="G13556" t="s">
        <v>17698</v>
      </c>
      <c r="H13556" t="s">
        <v>30752</v>
      </c>
    </row>
    <row r="13557" spans="6:8">
      <c r="H13557" t="s">
        <v>30753</v>
      </c>
    </row>
    <row r="13558" spans="6:8">
      <c r="H13558" t="s">
        <v>30754</v>
      </c>
    </row>
    <row r="13559" spans="6:8">
      <c r="H13559" t="s">
        <v>30755</v>
      </c>
    </row>
    <row r="13560" spans="6:8">
      <c r="H13560" t="s">
        <v>30756</v>
      </c>
    </row>
    <row r="13561" spans="6:8">
      <c r="H13561" t="s">
        <v>30757</v>
      </c>
    </row>
    <row r="13562" spans="6:8">
      <c r="H13562" t="s">
        <v>30758</v>
      </c>
    </row>
    <row r="13563" spans="6:8">
      <c r="H13563" t="s">
        <v>30759</v>
      </c>
    </row>
    <row r="13564" spans="6:8">
      <c r="H13564" t="s">
        <v>30760</v>
      </c>
    </row>
    <row r="13565" spans="6:8">
      <c r="H13565" t="s">
        <v>30761</v>
      </c>
    </row>
    <row r="13566" spans="6:8">
      <c r="H13566" t="s">
        <v>30762</v>
      </c>
    </row>
    <row r="13567" spans="6:8">
      <c r="H13567" t="s">
        <v>30763</v>
      </c>
    </row>
    <row r="13568" spans="6:8">
      <c r="H13568" t="s">
        <v>30764</v>
      </c>
    </row>
    <row r="13569" spans="6:8">
      <c r="H13569" t="s">
        <v>30765</v>
      </c>
    </row>
    <row r="13570" spans="6:8">
      <c r="H13570" t="s">
        <v>30766</v>
      </c>
    </row>
    <row r="13571" spans="6:8">
      <c r="H13571" t="s">
        <v>30767</v>
      </c>
    </row>
    <row r="13572" spans="6:8">
      <c r="H13572" t="s">
        <v>30768</v>
      </c>
    </row>
    <row r="13573" spans="6:8">
      <c r="H13573" t="s">
        <v>30769</v>
      </c>
    </row>
    <row r="13574" spans="6:8">
      <c r="H13574" t="s">
        <v>30770</v>
      </c>
    </row>
    <row r="13575" spans="6:8">
      <c r="H13575" t="s">
        <v>30771</v>
      </c>
    </row>
    <row r="13576" spans="6:8">
      <c r="F13576" t="s">
        <v>13615</v>
      </c>
      <c r="G13576" t="s">
        <v>17699</v>
      </c>
      <c r="H13576" t="s">
        <v>30782</v>
      </c>
    </row>
    <row r="13577" spans="6:8">
      <c r="F13577" t="s">
        <v>13616</v>
      </c>
      <c r="G13577" t="s">
        <v>16860</v>
      </c>
      <c r="H13577" t="s">
        <v>25716</v>
      </c>
    </row>
    <row r="13578" spans="6:8">
      <c r="H13578" t="s">
        <v>25717</v>
      </c>
    </row>
    <row r="13579" spans="6:8">
      <c r="H13579" t="s">
        <v>25719</v>
      </c>
    </row>
    <row r="13580" spans="6:8">
      <c r="H13580" t="s">
        <v>30784</v>
      </c>
    </row>
    <row r="13581" spans="6:8">
      <c r="H13581" t="s">
        <v>30785</v>
      </c>
    </row>
    <row r="13582" spans="6:8">
      <c r="H13582" t="s">
        <v>30786</v>
      </c>
    </row>
    <row r="13583" spans="6:8">
      <c r="F13583" t="s">
        <v>13617</v>
      </c>
      <c r="G13583" t="s">
        <v>16869</v>
      </c>
      <c r="H13583" t="s">
        <v>30787</v>
      </c>
    </row>
    <row r="13584" spans="6:8">
      <c r="H13584" t="s">
        <v>30788</v>
      </c>
    </row>
    <row r="13585" spans="6:8">
      <c r="H13585" t="s">
        <v>30789</v>
      </c>
    </row>
    <row r="13586" spans="6:8">
      <c r="H13586" t="s">
        <v>30790</v>
      </c>
    </row>
    <row r="13587" spans="6:8">
      <c r="H13587" t="s">
        <v>30791</v>
      </c>
    </row>
    <row r="13588" spans="6:8">
      <c r="H13588" t="s">
        <v>30792</v>
      </c>
    </row>
    <row r="13589" spans="6:8">
      <c r="H13589" t="s">
        <v>30793</v>
      </c>
    </row>
    <row r="13590" spans="6:8">
      <c r="H13590" t="s">
        <v>30794</v>
      </c>
    </row>
    <row r="13591" spans="6:8">
      <c r="F13591" t="s">
        <v>13620</v>
      </c>
      <c r="G13591" t="s">
        <v>17701</v>
      </c>
      <c r="H13591" t="s">
        <v>30804</v>
      </c>
    </row>
    <row r="13592" spans="6:8">
      <c r="H13592" t="s">
        <v>30805</v>
      </c>
    </row>
    <row r="13593" spans="6:8">
      <c r="F13593" t="s">
        <v>13621</v>
      </c>
      <c r="G13593" t="s">
        <v>17702</v>
      </c>
      <c r="H13593" t="s">
        <v>25716</v>
      </c>
    </row>
    <row r="13594" spans="6:8">
      <c r="H13594" t="s">
        <v>25717</v>
      </c>
    </row>
    <row r="13595" spans="6:8">
      <c r="H13595" t="s">
        <v>25718</v>
      </c>
    </row>
    <row r="13596" spans="6:8">
      <c r="H13596" t="s">
        <v>25719</v>
      </c>
    </row>
    <row r="13597" spans="6:8">
      <c r="H13597" t="s">
        <v>30806</v>
      </c>
    </row>
    <row r="13598" spans="6:8">
      <c r="H13598" t="s">
        <v>30807</v>
      </c>
    </row>
    <row r="13599" spans="6:8">
      <c r="H13599" t="s">
        <v>30808</v>
      </c>
    </row>
    <row r="13600" spans="6:8">
      <c r="F13600" t="s">
        <v>13622</v>
      </c>
      <c r="G13600" t="s">
        <v>17703</v>
      </c>
      <c r="H13600" t="s">
        <v>30809</v>
      </c>
    </row>
    <row r="13601" spans="6:8">
      <c r="H13601" t="s">
        <v>30810</v>
      </c>
    </row>
    <row r="13602" spans="6:8">
      <c r="F13602" t="s">
        <v>13623</v>
      </c>
      <c r="G13602" t="s">
        <v>17704</v>
      </c>
      <c r="H13602" t="s">
        <v>30811</v>
      </c>
    </row>
    <row r="13603" spans="6:8">
      <c r="F13603" t="s">
        <v>13624</v>
      </c>
      <c r="G13603" t="s">
        <v>17705</v>
      </c>
      <c r="H13603" t="s">
        <v>30812</v>
      </c>
    </row>
    <row r="13604" spans="6:8">
      <c r="H13604" t="s">
        <v>30813</v>
      </c>
    </row>
    <row r="13605" spans="6:8">
      <c r="H13605" t="s">
        <v>20077</v>
      </c>
    </row>
    <row r="13606" spans="6:8">
      <c r="F13606" t="s">
        <v>13625</v>
      </c>
      <c r="G13606" t="s">
        <v>17706</v>
      </c>
      <c r="H13606" t="s">
        <v>30814</v>
      </c>
    </row>
    <row r="13607" spans="6:8">
      <c r="F13607" t="s">
        <v>13626</v>
      </c>
      <c r="G13607" t="s">
        <v>16857</v>
      </c>
      <c r="H13607" t="s">
        <v>30812</v>
      </c>
    </row>
    <row r="13608" spans="6:8">
      <c r="H13608" t="s">
        <v>30813</v>
      </c>
    </row>
    <row r="13609" spans="6:8">
      <c r="H13609" t="s">
        <v>30815</v>
      </c>
    </row>
    <row r="13610" spans="6:8">
      <c r="H13610" t="s">
        <v>30816</v>
      </c>
    </row>
    <row r="13611" spans="6:8">
      <c r="H13611" t="s">
        <v>30817</v>
      </c>
    </row>
    <row r="13612" spans="6:8">
      <c r="H13612" t="s">
        <v>30818</v>
      </c>
    </row>
    <row r="13613" spans="6:8">
      <c r="H13613" t="s">
        <v>19173</v>
      </c>
    </row>
    <row r="13614" spans="6:8">
      <c r="H13614" t="s">
        <v>30819</v>
      </c>
    </row>
    <row r="13615" spans="6:8">
      <c r="H13615" t="s">
        <v>30820</v>
      </c>
    </row>
    <row r="13616" spans="6:8">
      <c r="H13616" t="s">
        <v>30821</v>
      </c>
    </row>
    <row r="13617" spans="1:8">
      <c r="H13617" t="s">
        <v>30822</v>
      </c>
    </row>
    <row r="13618" spans="1:8">
      <c r="H13618" t="s">
        <v>30823</v>
      </c>
    </row>
    <row r="13619" spans="1:8">
      <c r="F13619" t="s">
        <v>13627</v>
      </c>
      <c r="G13619" t="s">
        <v>16910</v>
      </c>
      <c r="H13619" t="s">
        <v>26000</v>
      </c>
    </row>
    <row r="13620" spans="1:8">
      <c r="H13620" t="s">
        <v>26001</v>
      </c>
    </row>
    <row r="13621" spans="1:8">
      <c r="H13621" t="s">
        <v>30824</v>
      </c>
    </row>
    <row r="13622" spans="1:8">
      <c r="H13622" t="s">
        <v>30825</v>
      </c>
    </row>
    <row r="13623" spans="1:8">
      <c r="H13623" t="s">
        <v>30826</v>
      </c>
    </row>
    <row r="13624" spans="1:8">
      <c r="F13624" t="s">
        <v>13628</v>
      </c>
      <c r="G13624" t="s">
        <v>16856</v>
      </c>
      <c r="H13624" t="s">
        <v>22186</v>
      </c>
    </row>
    <row r="13625" spans="1:8">
      <c r="H13625" t="s">
        <v>25686</v>
      </c>
    </row>
    <row r="13626" spans="1:8">
      <c r="H13626" t="s">
        <v>22189</v>
      </c>
    </row>
    <row r="13627" spans="1:8">
      <c r="F13627" t="s">
        <v>13629</v>
      </c>
      <c r="G13627" t="s">
        <v>17707</v>
      </c>
      <c r="H13627" t="s">
        <v>25716</v>
      </c>
    </row>
    <row r="13628" spans="1:8">
      <c r="F13628" t="s">
        <v>13630</v>
      </c>
      <c r="G13628" t="s">
        <v>16903</v>
      </c>
      <c r="H13628" t="s">
        <v>30633</v>
      </c>
    </row>
    <row r="13629" spans="1:8">
      <c r="A13629" t="s">
        <v>2081</v>
      </c>
      <c r="B13629">
        <f>HYPERLINK("https://android.googlesource.com/platform/cts/+/dbc2e98f56fe79d07b9ac2f299388f314340c94b", "dbc2e98f56fe79d07b9ac2f299388f314340c94b")</f>
        <v>0</v>
      </c>
      <c r="C13629">
        <f>HYPERLINK("https://android.googlesource.com/platform/cts/+/ea174456d821a8464447c3f8fdc40ed8f57ed67f", "ea174456d821a8464447c3f8fdc40ed8f57ed67f")</f>
        <v>0</v>
      </c>
      <c r="D13629" t="s">
        <v>5328</v>
      </c>
      <c r="E13629" t="s">
        <v>7819</v>
      </c>
      <c r="F13629" t="s">
        <v>13578</v>
      </c>
      <c r="G13629" t="s">
        <v>17681</v>
      </c>
      <c r="H13629" t="s">
        <v>25988</v>
      </c>
    </row>
    <row r="13630" spans="1:8">
      <c r="F13630" t="s">
        <v>13581</v>
      </c>
      <c r="G13630" t="s">
        <v>15144</v>
      </c>
      <c r="H13630" t="s">
        <v>26088</v>
      </c>
    </row>
    <row r="13631" spans="1:8">
      <c r="F13631" t="s">
        <v>13583</v>
      </c>
      <c r="G13631" t="s">
        <v>16894</v>
      </c>
      <c r="H13631" t="s">
        <v>30633</v>
      </c>
    </row>
    <row r="13632" spans="1:8">
      <c r="H13632" t="s">
        <v>25959</v>
      </c>
    </row>
    <row r="13633" spans="6:8">
      <c r="H13633" t="s">
        <v>25956</v>
      </c>
    </row>
    <row r="13634" spans="6:8">
      <c r="H13634" t="s">
        <v>25957</v>
      </c>
    </row>
    <row r="13635" spans="6:8">
      <c r="H13635" t="s">
        <v>30634</v>
      </c>
    </row>
    <row r="13636" spans="6:8">
      <c r="H13636" t="s">
        <v>30635</v>
      </c>
    </row>
    <row r="13637" spans="6:8">
      <c r="H13637" t="s">
        <v>30636</v>
      </c>
    </row>
    <row r="13638" spans="6:8">
      <c r="F13638" t="s">
        <v>13584</v>
      </c>
      <c r="G13638" t="s">
        <v>16826</v>
      </c>
      <c r="H13638" t="s">
        <v>30637</v>
      </c>
    </row>
    <row r="13639" spans="6:8">
      <c r="H13639" t="s">
        <v>30638</v>
      </c>
    </row>
    <row r="13640" spans="6:8">
      <c r="H13640" t="s">
        <v>30639</v>
      </c>
    </row>
    <row r="13641" spans="6:8">
      <c r="F13641" t="s">
        <v>13585</v>
      </c>
      <c r="G13641" t="s">
        <v>17323</v>
      </c>
      <c r="H13641" t="s">
        <v>30640</v>
      </c>
    </row>
    <row r="13642" spans="6:8">
      <c r="F13642" t="s">
        <v>13586</v>
      </c>
      <c r="G13642" t="s">
        <v>17684</v>
      </c>
      <c r="H13642" t="s">
        <v>30641</v>
      </c>
    </row>
    <row r="13643" spans="6:8">
      <c r="H13643" t="s">
        <v>30642</v>
      </c>
    </row>
    <row r="13644" spans="6:8">
      <c r="F13644" t="s">
        <v>13587</v>
      </c>
      <c r="G13644" t="s">
        <v>17685</v>
      </c>
      <c r="H13644" t="s">
        <v>30643</v>
      </c>
    </row>
    <row r="13645" spans="6:8">
      <c r="F13645" t="s">
        <v>13588</v>
      </c>
      <c r="G13645" t="s">
        <v>17686</v>
      </c>
      <c r="H13645" t="s">
        <v>30645</v>
      </c>
    </row>
    <row r="13646" spans="6:8">
      <c r="H13646" t="s">
        <v>30646</v>
      </c>
    </row>
    <row r="13647" spans="6:8">
      <c r="H13647" t="s">
        <v>30647</v>
      </c>
    </row>
    <row r="13648" spans="6:8">
      <c r="H13648" t="s">
        <v>30648</v>
      </c>
    </row>
    <row r="13649" spans="6:8">
      <c r="H13649" t="s">
        <v>30649</v>
      </c>
    </row>
    <row r="13650" spans="6:8">
      <c r="H13650" t="s">
        <v>30650</v>
      </c>
    </row>
    <row r="13651" spans="6:8">
      <c r="H13651" t="s">
        <v>30653</v>
      </c>
    </row>
    <row r="13652" spans="6:8">
      <c r="H13652" t="s">
        <v>30654</v>
      </c>
    </row>
    <row r="13653" spans="6:8">
      <c r="H13653" t="s">
        <v>30655</v>
      </c>
    </row>
    <row r="13654" spans="6:8">
      <c r="F13654" t="s">
        <v>13589</v>
      </c>
      <c r="G13654" t="s">
        <v>17687</v>
      </c>
      <c r="H13654" t="s">
        <v>30656</v>
      </c>
    </row>
    <row r="13655" spans="6:8">
      <c r="H13655" t="s">
        <v>30657</v>
      </c>
    </row>
    <row r="13656" spans="6:8">
      <c r="H13656" t="s">
        <v>30658</v>
      </c>
    </row>
    <row r="13657" spans="6:8">
      <c r="H13657" t="s">
        <v>30659</v>
      </c>
    </row>
    <row r="13658" spans="6:8">
      <c r="F13658" t="s">
        <v>13590</v>
      </c>
      <c r="G13658" t="s">
        <v>17688</v>
      </c>
      <c r="H13658" t="s">
        <v>30661</v>
      </c>
    </row>
    <row r="13659" spans="6:8">
      <c r="H13659" t="s">
        <v>30662</v>
      </c>
    </row>
    <row r="13660" spans="6:8">
      <c r="F13660" t="s">
        <v>13591</v>
      </c>
      <c r="G13660" t="s">
        <v>17372</v>
      </c>
      <c r="H13660" t="s">
        <v>30663</v>
      </c>
    </row>
    <row r="13661" spans="6:8">
      <c r="H13661" t="s">
        <v>30664</v>
      </c>
    </row>
    <row r="13662" spans="6:8">
      <c r="F13662" t="s">
        <v>13592</v>
      </c>
      <c r="G13662" t="s">
        <v>17689</v>
      </c>
      <c r="H13662" t="s">
        <v>30665</v>
      </c>
    </row>
    <row r="13663" spans="6:8">
      <c r="F13663" t="s">
        <v>13593</v>
      </c>
      <c r="G13663" t="s">
        <v>16924</v>
      </c>
      <c r="H13663" t="s">
        <v>22847</v>
      </c>
    </row>
    <row r="13664" spans="6:8">
      <c r="H13664" t="s">
        <v>25718</v>
      </c>
    </row>
    <row r="13665" spans="6:8">
      <c r="H13665" t="s">
        <v>26100</v>
      </c>
    </row>
    <row r="13666" spans="6:8">
      <c r="H13666" t="s">
        <v>30669</v>
      </c>
    </row>
    <row r="13667" spans="6:8">
      <c r="H13667" t="s">
        <v>30670</v>
      </c>
    </row>
    <row r="13668" spans="6:8">
      <c r="H13668" t="s">
        <v>30671</v>
      </c>
    </row>
    <row r="13669" spans="6:8">
      <c r="H13669" t="s">
        <v>30672</v>
      </c>
    </row>
    <row r="13670" spans="6:8">
      <c r="H13670" t="s">
        <v>30673</v>
      </c>
    </row>
    <row r="13671" spans="6:8">
      <c r="H13671" t="s">
        <v>30674</v>
      </c>
    </row>
    <row r="13672" spans="6:8">
      <c r="H13672" t="s">
        <v>30675</v>
      </c>
    </row>
    <row r="13673" spans="6:8">
      <c r="H13673" t="s">
        <v>30676</v>
      </c>
    </row>
    <row r="13674" spans="6:8">
      <c r="H13674" t="s">
        <v>30677</v>
      </c>
    </row>
    <row r="13675" spans="6:8">
      <c r="F13675" t="s">
        <v>13594</v>
      </c>
      <c r="G13675" t="s">
        <v>17426</v>
      </c>
      <c r="H13675" t="s">
        <v>28993</v>
      </c>
    </row>
    <row r="13676" spans="6:8">
      <c r="H13676" t="s">
        <v>30678</v>
      </c>
    </row>
    <row r="13677" spans="6:8">
      <c r="H13677" t="s">
        <v>30679</v>
      </c>
    </row>
    <row r="13678" spans="6:8">
      <c r="H13678" t="s">
        <v>30680</v>
      </c>
    </row>
    <row r="13679" spans="6:8">
      <c r="H13679" t="s">
        <v>30681</v>
      </c>
    </row>
    <row r="13680" spans="6:8">
      <c r="F13680" t="s">
        <v>13595</v>
      </c>
      <c r="G13680" t="s">
        <v>17690</v>
      </c>
      <c r="H13680" t="s">
        <v>30682</v>
      </c>
    </row>
    <row r="13681" spans="6:8">
      <c r="F13681" t="s">
        <v>13596</v>
      </c>
      <c r="G13681" t="s">
        <v>17691</v>
      </c>
      <c r="H13681" t="s">
        <v>30684</v>
      </c>
    </row>
    <row r="13682" spans="6:8">
      <c r="H13682" t="s">
        <v>30685</v>
      </c>
    </row>
    <row r="13683" spans="6:8">
      <c r="H13683" t="s">
        <v>30686</v>
      </c>
    </row>
    <row r="13684" spans="6:8">
      <c r="H13684" t="s">
        <v>30687</v>
      </c>
    </row>
    <row r="13685" spans="6:8">
      <c r="H13685" t="s">
        <v>30688</v>
      </c>
    </row>
    <row r="13686" spans="6:8">
      <c r="H13686" t="s">
        <v>19759</v>
      </c>
    </row>
    <row r="13687" spans="6:8">
      <c r="F13687" t="s">
        <v>13597</v>
      </c>
      <c r="G13687" t="s">
        <v>17322</v>
      </c>
      <c r="H13687" t="s">
        <v>30689</v>
      </c>
    </row>
    <row r="13688" spans="6:8">
      <c r="H13688" t="s">
        <v>30690</v>
      </c>
    </row>
    <row r="13689" spans="6:8">
      <c r="H13689" t="s">
        <v>30691</v>
      </c>
    </row>
    <row r="13690" spans="6:8">
      <c r="H13690" t="s">
        <v>30692</v>
      </c>
    </row>
    <row r="13691" spans="6:8">
      <c r="H13691" t="s">
        <v>26114</v>
      </c>
    </row>
    <row r="13692" spans="6:8">
      <c r="F13692" t="s">
        <v>13598</v>
      </c>
      <c r="G13692" t="s">
        <v>16923</v>
      </c>
      <c r="H13692" t="s">
        <v>26081</v>
      </c>
    </row>
    <row r="13693" spans="6:8">
      <c r="H13693" t="s">
        <v>26082</v>
      </c>
    </row>
    <row r="13694" spans="6:8">
      <c r="H13694" t="s">
        <v>26083</v>
      </c>
    </row>
    <row r="13695" spans="6:8">
      <c r="H13695" t="s">
        <v>26084</v>
      </c>
    </row>
    <row r="13696" spans="6:8">
      <c r="F13696" t="s">
        <v>13599</v>
      </c>
      <c r="G13696" t="s">
        <v>16918</v>
      </c>
      <c r="H13696" t="s">
        <v>26069</v>
      </c>
    </row>
    <row r="13697" spans="6:8">
      <c r="H13697" t="s">
        <v>26070</v>
      </c>
    </row>
    <row r="13698" spans="6:8">
      <c r="H13698" t="s">
        <v>26071</v>
      </c>
    </row>
    <row r="13699" spans="6:8">
      <c r="H13699" t="s">
        <v>26072</v>
      </c>
    </row>
    <row r="13700" spans="6:8">
      <c r="H13700" t="s">
        <v>26073</v>
      </c>
    </row>
    <row r="13701" spans="6:8">
      <c r="H13701" t="s">
        <v>30693</v>
      </c>
    </row>
    <row r="13702" spans="6:8">
      <c r="H13702" t="s">
        <v>30694</v>
      </c>
    </row>
    <row r="13703" spans="6:8">
      <c r="F13703" t="s">
        <v>13600</v>
      </c>
      <c r="G13703" t="s">
        <v>16845</v>
      </c>
      <c r="H13703" t="s">
        <v>29660</v>
      </c>
    </row>
    <row r="13704" spans="6:8">
      <c r="H13704" t="s">
        <v>29661</v>
      </c>
    </row>
    <row r="13705" spans="6:8">
      <c r="H13705" t="s">
        <v>29662</v>
      </c>
    </row>
    <row r="13706" spans="6:8">
      <c r="H13706" t="s">
        <v>29663</v>
      </c>
    </row>
    <row r="13707" spans="6:8">
      <c r="H13707" t="s">
        <v>29664</v>
      </c>
    </row>
    <row r="13708" spans="6:8">
      <c r="H13708" t="s">
        <v>29665</v>
      </c>
    </row>
    <row r="13709" spans="6:8">
      <c r="H13709" t="s">
        <v>30695</v>
      </c>
    </row>
    <row r="13710" spans="6:8">
      <c r="H13710" t="s">
        <v>30696</v>
      </c>
    </row>
    <row r="13711" spans="6:8">
      <c r="H13711" t="s">
        <v>30697</v>
      </c>
    </row>
    <row r="13712" spans="6:8">
      <c r="H13712" t="s">
        <v>30698</v>
      </c>
    </row>
    <row r="13713" spans="6:8">
      <c r="H13713" t="s">
        <v>30699</v>
      </c>
    </row>
    <row r="13714" spans="6:8">
      <c r="H13714" t="s">
        <v>30700</v>
      </c>
    </row>
    <row r="13715" spans="6:8">
      <c r="H13715" t="s">
        <v>30701</v>
      </c>
    </row>
    <row r="13716" spans="6:8">
      <c r="H13716" t="s">
        <v>30702</v>
      </c>
    </row>
    <row r="13717" spans="6:8">
      <c r="H13717" t="s">
        <v>30703</v>
      </c>
    </row>
    <row r="13718" spans="6:8">
      <c r="F13718" t="s">
        <v>13601</v>
      </c>
      <c r="G13718" t="s">
        <v>17305</v>
      </c>
      <c r="H13718" t="s">
        <v>30707</v>
      </c>
    </row>
    <row r="13719" spans="6:8">
      <c r="H13719" t="s">
        <v>30709</v>
      </c>
    </row>
    <row r="13720" spans="6:8">
      <c r="H13720" t="s">
        <v>30710</v>
      </c>
    </row>
    <row r="13721" spans="6:8">
      <c r="H13721" t="s">
        <v>30711</v>
      </c>
    </row>
    <row r="13722" spans="6:8">
      <c r="H13722" t="s">
        <v>30712</v>
      </c>
    </row>
    <row r="13723" spans="6:8">
      <c r="H13723" t="s">
        <v>30714</v>
      </c>
    </row>
    <row r="13724" spans="6:8">
      <c r="H13724" t="s">
        <v>30715</v>
      </c>
    </row>
    <row r="13725" spans="6:8">
      <c r="F13725" t="s">
        <v>13602</v>
      </c>
      <c r="G13725" t="s">
        <v>16867</v>
      </c>
      <c r="H13725" t="s">
        <v>25716</v>
      </c>
    </row>
    <row r="13726" spans="6:8">
      <c r="H13726" t="s">
        <v>30716</v>
      </c>
    </row>
    <row r="13727" spans="6:8">
      <c r="F13727" t="s">
        <v>13603</v>
      </c>
      <c r="G13727" t="s">
        <v>17320</v>
      </c>
      <c r="H13727" t="s">
        <v>30718</v>
      </c>
    </row>
    <row r="13728" spans="6:8">
      <c r="H13728" t="s">
        <v>30719</v>
      </c>
    </row>
    <row r="13729" spans="8:8">
      <c r="H13729" t="s">
        <v>30720</v>
      </c>
    </row>
    <row r="13730" spans="8:8">
      <c r="H13730" t="s">
        <v>30721</v>
      </c>
    </row>
    <row r="13731" spans="8:8">
      <c r="H13731" t="s">
        <v>30722</v>
      </c>
    </row>
    <row r="13732" spans="8:8">
      <c r="H13732" t="s">
        <v>30723</v>
      </c>
    </row>
    <row r="13733" spans="8:8">
      <c r="H13733" t="s">
        <v>30724</v>
      </c>
    </row>
    <row r="13734" spans="8:8">
      <c r="H13734" t="s">
        <v>30725</v>
      </c>
    </row>
    <row r="13735" spans="8:8">
      <c r="H13735" t="s">
        <v>30726</v>
      </c>
    </row>
    <row r="13736" spans="8:8">
      <c r="H13736" t="s">
        <v>30727</v>
      </c>
    </row>
    <row r="13737" spans="8:8">
      <c r="H13737" t="s">
        <v>26001</v>
      </c>
    </row>
    <row r="13738" spans="8:8">
      <c r="H13738" t="s">
        <v>30695</v>
      </c>
    </row>
    <row r="13739" spans="8:8">
      <c r="H13739" t="s">
        <v>30729</v>
      </c>
    </row>
    <row r="13740" spans="8:8">
      <c r="H13740" t="s">
        <v>30730</v>
      </c>
    </row>
    <row r="13741" spans="8:8">
      <c r="H13741" t="s">
        <v>30731</v>
      </c>
    </row>
    <row r="13742" spans="8:8">
      <c r="H13742" t="s">
        <v>29686</v>
      </c>
    </row>
    <row r="13743" spans="8:8">
      <c r="H13743" t="s">
        <v>29687</v>
      </c>
    </row>
    <row r="13744" spans="8:8">
      <c r="H13744" t="s">
        <v>29688</v>
      </c>
    </row>
    <row r="13745" spans="6:8">
      <c r="H13745" t="s">
        <v>29689</v>
      </c>
    </row>
    <row r="13746" spans="6:8">
      <c r="H13746" t="s">
        <v>29690</v>
      </c>
    </row>
    <row r="13747" spans="6:8">
      <c r="H13747" t="s">
        <v>29691</v>
      </c>
    </row>
    <row r="13748" spans="6:8">
      <c r="H13748" t="s">
        <v>29692</v>
      </c>
    </row>
    <row r="13749" spans="6:8">
      <c r="H13749" t="s">
        <v>29693</v>
      </c>
    </row>
    <row r="13750" spans="6:8">
      <c r="H13750" t="s">
        <v>29694</v>
      </c>
    </row>
    <row r="13751" spans="6:8">
      <c r="H13751" t="s">
        <v>29695</v>
      </c>
    </row>
    <row r="13752" spans="6:8">
      <c r="H13752" t="s">
        <v>29696</v>
      </c>
    </row>
    <row r="13753" spans="6:8">
      <c r="H13753" t="s">
        <v>29697</v>
      </c>
    </row>
    <row r="13754" spans="6:8">
      <c r="H13754" t="s">
        <v>29698</v>
      </c>
    </row>
    <row r="13755" spans="6:8">
      <c r="H13755" t="s">
        <v>29699</v>
      </c>
    </row>
    <row r="13756" spans="6:8">
      <c r="H13756" t="s">
        <v>29700</v>
      </c>
    </row>
    <row r="13757" spans="6:8">
      <c r="H13757" t="s">
        <v>29862</v>
      </c>
    </row>
    <row r="13758" spans="6:8">
      <c r="F13758" t="s">
        <v>13604</v>
      </c>
      <c r="G13758" t="s">
        <v>17287</v>
      </c>
      <c r="H13758" t="s">
        <v>26000</v>
      </c>
    </row>
    <row r="13759" spans="6:8">
      <c r="H13759" t="s">
        <v>26001</v>
      </c>
    </row>
    <row r="13760" spans="6:8">
      <c r="F13760" t="s">
        <v>13607</v>
      </c>
      <c r="G13760" t="s">
        <v>17510</v>
      </c>
      <c r="H13760" t="s">
        <v>30735</v>
      </c>
    </row>
    <row r="13761" spans="6:8">
      <c r="H13761" t="s">
        <v>30736</v>
      </c>
    </row>
    <row r="13762" spans="6:8">
      <c r="H13762" t="s">
        <v>25956</v>
      </c>
    </row>
    <row r="13763" spans="6:8">
      <c r="F13763" t="s">
        <v>13608</v>
      </c>
      <c r="G13763" t="s">
        <v>17694</v>
      </c>
      <c r="H13763" t="s">
        <v>30737</v>
      </c>
    </row>
    <row r="13764" spans="6:8">
      <c r="F13764" t="s">
        <v>13609</v>
      </c>
      <c r="G13764" t="s">
        <v>17695</v>
      </c>
      <c r="H13764" t="s">
        <v>30739</v>
      </c>
    </row>
    <row r="13765" spans="6:8">
      <c r="H13765" t="s">
        <v>30740</v>
      </c>
    </row>
    <row r="13766" spans="6:8">
      <c r="H13766" t="s">
        <v>30741</v>
      </c>
    </row>
    <row r="13767" spans="6:8">
      <c r="H13767" t="s">
        <v>30742</v>
      </c>
    </row>
    <row r="13768" spans="6:8">
      <c r="H13768" t="s">
        <v>30743</v>
      </c>
    </row>
    <row r="13769" spans="6:8">
      <c r="F13769" t="s">
        <v>13610</v>
      </c>
      <c r="G13769" t="s">
        <v>17696</v>
      </c>
      <c r="H13769" t="s">
        <v>30744</v>
      </c>
    </row>
    <row r="13770" spans="6:8">
      <c r="H13770" t="s">
        <v>30745</v>
      </c>
    </row>
    <row r="13771" spans="6:8">
      <c r="H13771" t="s">
        <v>30746</v>
      </c>
    </row>
    <row r="13772" spans="6:8">
      <c r="F13772" t="s">
        <v>13611</v>
      </c>
      <c r="G13772" t="s">
        <v>17428</v>
      </c>
      <c r="H13772" t="s">
        <v>29006</v>
      </c>
    </row>
    <row r="13773" spans="6:8">
      <c r="H13773" t="s">
        <v>29007</v>
      </c>
    </row>
    <row r="13774" spans="6:8">
      <c r="F13774" t="s">
        <v>13612</v>
      </c>
      <c r="G13774" t="s">
        <v>17697</v>
      </c>
      <c r="H13774" t="s">
        <v>30747</v>
      </c>
    </row>
    <row r="13775" spans="6:8">
      <c r="H13775" t="s">
        <v>30748</v>
      </c>
    </row>
    <row r="13776" spans="6:8">
      <c r="H13776" t="s">
        <v>30749</v>
      </c>
    </row>
    <row r="13777" spans="6:8">
      <c r="H13777" t="s">
        <v>30750</v>
      </c>
    </row>
    <row r="13778" spans="6:8">
      <c r="F13778" t="s">
        <v>13614</v>
      </c>
      <c r="G13778" t="s">
        <v>17698</v>
      </c>
      <c r="H13778" t="s">
        <v>30752</v>
      </c>
    </row>
    <row r="13779" spans="6:8">
      <c r="H13779" t="s">
        <v>30753</v>
      </c>
    </row>
    <row r="13780" spans="6:8">
      <c r="H13780" t="s">
        <v>30754</v>
      </c>
    </row>
    <row r="13781" spans="6:8">
      <c r="H13781" t="s">
        <v>30755</v>
      </c>
    </row>
    <row r="13782" spans="6:8">
      <c r="H13782" t="s">
        <v>30756</v>
      </c>
    </row>
    <row r="13783" spans="6:8">
      <c r="H13783" t="s">
        <v>30757</v>
      </c>
    </row>
    <row r="13784" spans="6:8">
      <c r="H13784" t="s">
        <v>30758</v>
      </c>
    </row>
    <row r="13785" spans="6:8">
      <c r="H13785" t="s">
        <v>30759</v>
      </c>
    </row>
    <row r="13786" spans="6:8">
      <c r="H13786" t="s">
        <v>30760</v>
      </c>
    </row>
    <row r="13787" spans="6:8">
      <c r="H13787" t="s">
        <v>30761</v>
      </c>
    </row>
    <row r="13788" spans="6:8">
      <c r="H13788" t="s">
        <v>30762</v>
      </c>
    </row>
    <row r="13789" spans="6:8">
      <c r="H13789" t="s">
        <v>30763</v>
      </c>
    </row>
    <row r="13790" spans="6:8">
      <c r="H13790" t="s">
        <v>30764</v>
      </c>
    </row>
    <row r="13791" spans="6:8">
      <c r="H13791" t="s">
        <v>30765</v>
      </c>
    </row>
    <row r="13792" spans="6:8">
      <c r="H13792" t="s">
        <v>30766</v>
      </c>
    </row>
    <row r="13793" spans="6:8">
      <c r="H13793" t="s">
        <v>30767</v>
      </c>
    </row>
    <row r="13794" spans="6:8">
      <c r="H13794" t="s">
        <v>30768</v>
      </c>
    </row>
    <row r="13795" spans="6:8">
      <c r="H13795" t="s">
        <v>30769</v>
      </c>
    </row>
    <row r="13796" spans="6:8">
      <c r="H13796" t="s">
        <v>30770</v>
      </c>
    </row>
    <row r="13797" spans="6:8">
      <c r="H13797" t="s">
        <v>30771</v>
      </c>
    </row>
    <row r="13798" spans="6:8">
      <c r="F13798" t="s">
        <v>13615</v>
      </c>
      <c r="G13798" t="s">
        <v>17699</v>
      </c>
      <c r="H13798" t="s">
        <v>30782</v>
      </c>
    </row>
    <row r="13799" spans="6:8">
      <c r="F13799" t="s">
        <v>13616</v>
      </c>
      <c r="G13799" t="s">
        <v>16860</v>
      </c>
      <c r="H13799" t="s">
        <v>25716</v>
      </c>
    </row>
    <row r="13800" spans="6:8">
      <c r="H13800" t="s">
        <v>25717</v>
      </c>
    </row>
    <row r="13801" spans="6:8">
      <c r="H13801" t="s">
        <v>25719</v>
      </c>
    </row>
    <row r="13802" spans="6:8">
      <c r="H13802" t="s">
        <v>30784</v>
      </c>
    </row>
    <row r="13803" spans="6:8">
      <c r="H13803" t="s">
        <v>30785</v>
      </c>
    </row>
    <row r="13804" spans="6:8">
      <c r="H13804" t="s">
        <v>30786</v>
      </c>
    </row>
    <row r="13805" spans="6:8">
      <c r="F13805" t="s">
        <v>13617</v>
      </c>
      <c r="G13805" t="s">
        <v>16869</v>
      </c>
      <c r="H13805" t="s">
        <v>30787</v>
      </c>
    </row>
    <row r="13806" spans="6:8">
      <c r="H13806" t="s">
        <v>30788</v>
      </c>
    </row>
    <row r="13807" spans="6:8">
      <c r="H13807" t="s">
        <v>30789</v>
      </c>
    </row>
    <row r="13808" spans="6:8">
      <c r="H13808" t="s">
        <v>30790</v>
      </c>
    </row>
    <row r="13809" spans="6:8">
      <c r="H13809" t="s">
        <v>30791</v>
      </c>
    </row>
    <row r="13810" spans="6:8">
      <c r="H13810" t="s">
        <v>30792</v>
      </c>
    </row>
    <row r="13811" spans="6:8">
      <c r="H13811" t="s">
        <v>30793</v>
      </c>
    </row>
    <row r="13812" spans="6:8">
      <c r="H13812" t="s">
        <v>30794</v>
      </c>
    </row>
    <row r="13813" spans="6:8">
      <c r="F13813" t="s">
        <v>13620</v>
      </c>
      <c r="G13813" t="s">
        <v>17701</v>
      </c>
      <c r="H13813" t="s">
        <v>30804</v>
      </c>
    </row>
    <row r="13814" spans="6:8">
      <c r="H13814" t="s">
        <v>30805</v>
      </c>
    </row>
    <row r="13815" spans="6:8">
      <c r="F13815" t="s">
        <v>13621</v>
      </c>
      <c r="G13815" t="s">
        <v>17702</v>
      </c>
      <c r="H13815" t="s">
        <v>25716</v>
      </c>
    </row>
    <row r="13816" spans="6:8">
      <c r="H13816" t="s">
        <v>25717</v>
      </c>
    </row>
    <row r="13817" spans="6:8">
      <c r="H13817" t="s">
        <v>25718</v>
      </c>
    </row>
    <row r="13818" spans="6:8">
      <c r="H13818" t="s">
        <v>25719</v>
      </c>
    </row>
    <row r="13819" spans="6:8">
      <c r="H13819" t="s">
        <v>30806</v>
      </c>
    </row>
    <row r="13820" spans="6:8">
      <c r="H13820" t="s">
        <v>30807</v>
      </c>
    </row>
    <row r="13821" spans="6:8">
      <c r="H13821" t="s">
        <v>30808</v>
      </c>
    </row>
    <row r="13822" spans="6:8">
      <c r="F13822" t="s">
        <v>13622</v>
      </c>
      <c r="G13822" t="s">
        <v>17703</v>
      </c>
      <c r="H13822" t="s">
        <v>30809</v>
      </c>
    </row>
    <row r="13823" spans="6:8">
      <c r="H13823" t="s">
        <v>30810</v>
      </c>
    </row>
    <row r="13824" spans="6:8">
      <c r="F13824" t="s">
        <v>13623</v>
      </c>
      <c r="G13824" t="s">
        <v>17704</v>
      </c>
      <c r="H13824" t="s">
        <v>30811</v>
      </c>
    </row>
    <row r="13825" spans="6:8">
      <c r="F13825" t="s">
        <v>13624</v>
      </c>
      <c r="G13825" t="s">
        <v>17705</v>
      </c>
      <c r="H13825" t="s">
        <v>30812</v>
      </c>
    </row>
    <row r="13826" spans="6:8">
      <c r="H13826" t="s">
        <v>30813</v>
      </c>
    </row>
    <row r="13827" spans="6:8">
      <c r="H13827" t="s">
        <v>20077</v>
      </c>
    </row>
    <row r="13828" spans="6:8">
      <c r="F13828" t="s">
        <v>13625</v>
      </c>
      <c r="G13828" t="s">
        <v>17706</v>
      </c>
      <c r="H13828" t="s">
        <v>30814</v>
      </c>
    </row>
    <row r="13829" spans="6:8">
      <c r="F13829" t="s">
        <v>13626</v>
      </c>
      <c r="G13829" t="s">
        <v>16857</v>
      </c>
      <c r="H13829" t="s">
        <v>30812</v>
      </c>
    </row>
    <row r="13830" spans="6:8">
      <c r="H13830" t="s">
        <v>30813</v>
      </c>
    </row>
    <row r="13831" spans="6:8">
      <c r="H13831" t="s">
        <v>30815</v>
      </c>
    </row>
    <row r="13832" spans="6:8">
      <c r="H13832" t="s">
        <v>30816</v>
      </c>
    </row>
    <row r="13833" spans="6:8">
      <c r="H13833" t="s">
        <v>30817</v>
      </c>
    </row>
    <row r="13834" spans="6:8">
      <c r="H13834" t="s">
        <v>30818</v>
      </c>
    </row>
    <row r="13835" spans="6:8">
      <c r="H13835" t="s">
        <v>19173</v>
      </c>
    </row>
    <row r="13836" spans="6:8">
      <c r="H13836" t="s">
        <v>30819</v>
      </c>
    </row>
    <row r="13837" spans="6:8">
      <c r="H13837" t="s">
        <v>30820</v>
      </c>
    </row>
    <row r="13838" spans="6:8">
      <c r="H13838" t="s">
        <v>30821</v>
      </c>
    </row>
    <row r="13839" spans="6:8">
      <c r="H13839" t="s">
        <v>30822</v>
      </c>
    </row>
    <row r="13840" spans="6:8">
      <c r="H13840" t="s">
        <v>30823</v>
      </c>
    </row>
    <row r="13841" spans="1:8">
      <c r="F13841" t="s">
        <v>13627</v>
      </c>
      <c r="G13841" t="s">
        <v>16910</v>
      </c>
      <c r="H13841" t="s">
        <v>26000</v>
      </c>
    </row>
    <row r="13842" spans="1:8">
      <c r="H13842" t="s">
        <v>26001</v>
      </c>
    </row>
    <row r="13843" spans="1:8">
      <c r="H13843" t="s">
        <v>30824</v>
      </c>
    </row>
    <row r="13844" spans="1:8">
      <c r="H13844" t="s">
        <v>30825</v>
      </c>
    </row>
    <row r="13845" spans="1:8">
      <c r="H13845" t="s">
        <v>30826</v>
      </c>
    </row>
    <row r="13846" spans="1:8">
      <c r="F13846" t="s">
        <v>13628</v>
      </c>
      <c r="G13846" t="s">
        <v>16856</v>
      </c>
      <c r="H13846" t="s">
        <v>22186</v>
      </c>
    </row>
    <row r="13847" spans="1:8">
      <c r="H13847" t="s">
        <v>25686</v>
      </c>
    </row>
    <row r="13848" spans="1:8">
      <c r="H13848" t="s">
        <v>22189</v>
      </c>
    </row>
    <row r="13849" spans="1:8">
      <c r="F13849" t="s">
        <v>13629</v>
      </c>
      <c r="G13849" t="s">
        <v>17707</v>
      </c>
      <c r="H13849" t="s">
        <v>25716</v>
      </c>
    </row>
    <row r="13850" spans="1:8">
      <c r="F13850" t="s">
        <v>13630</v>
      </c>
      <c r="G13850" t="s">
        <v>16903</v>
      </c>
      <c r="H13850" t="s">
        <v>30633</v>
      </c>
    </row>
    <row r="13851" spans="1:8">
      <c r="A13851" t="s">
        <v>2084</v>
      </c>
      <c r="B13851">
        <f>HYPERLINK("https://android.googlesource.com/platform/cts/+/eaf4e60afd129a1cfab37159123443a4f9ff5d98", "eaf4e60afd129a1cfab37159123443a4f9ff5d98")</f>
        <v>0</v>
      </c>
      <c r="C13851">
        <f>HYPERLINK("https://android.googlesource.com/platform/cts/+/bd37e1b11f4ff0df3b6d49d8cab519d7c5816fb7", "bd37e1b11f4ff0df3b6d49d8cab519d7c5816fb7")</f>
        <v>0</v>
      </c>
      <c r="D13851" t="s">
        <v>5329</v>
      </c>
      <c r="E13851" t="s">
        <v>7822</v>
      </c>
      <c r="F13851" t="s">
        <v>13634</v>
      </c>
      <c r="G13851" t="s">
        <v>17711</v>
      </c>
      <c r="H13851" t="s">
        <v>30838</v>
      </c>
    </row>
    <row r="13852" spans="1:8">
      <c r="A13852" t="s">
        <v>2085</v>
      </c>
      <c r="B13852">
        <f>HYPERLINK("https://android.googlesource.com/platform/cts/+/7c45ef23464d75996ff8f7a3a3013770dfe34753", "7c45ef23464d75996ff8f7a3a3013770dfe34753")</f>
        <v>0</v>
      </c>
      <c r="C13852">
        <f>HYPERLINK("https://android.googlesource.com/platform/cts/+/2076ba66b0838a1960e1ade90decbaef9eb2728e", "2076ba66b0838a1960e1ade90decbaef9eb2728e")</f>
        <v>0</v>
      </c>
      <c r="D13852" t="s">
        <v>5146</v>
      </c>
      <c r="E13852" t="s">
        <v>7823</v>
      </c>
      <c r="F13852" t="s">
        <v>13318</v>
      </c>
      <c r="G13852" t="s">
        <v>17449</v>
      </c>
      <c r="H13852" t="s">
        <v>30839</v>
      </c>
    </row>
    <row r="13853" spans="1:8">
      <c r="A13853" t="s">
        <v>2087</v>
      </c>
      <c r="B13853">
        <f>HYPERLINK("https://android.googlesource.com/platform/cts/+/ba785743db70b7c69db08109a285083ead05bf99", "ba785743db70b7c69db08109a285083ead05bf99")</f>
        <v>0</v>
      </c>
      <c r="C13853">
        <f>HYPERLINK("https://android.googlesource.com/platform/cts/+/628980712d5fa82520dd98692f559f8a6d8b46e1", "628980712d5fa82520dd98692f559f8a6d8b46e1")</f>
        <v>0</v>
      </c>
      <c r="D13853" t="s">
        <v>5330</v>
      </c>
      <c r="E13853" t="s">
        <v>7825</v>
      </c>
      <c r="F13853" t="s">
        <v>13255</v>
      </c>
      <c r="G13853" t="s">
        <v>17393</v>
      </c>
      <c r="H13853" t="s">
        <v>30549</v>
      </c>
    </row>
    <row r="13854" spans="1:8">
      <c r="A13854" t="s">
        <v>2088</v>
      </c>
      <c r="B13854">
        <f>HYPERLINK("https://android.googlesource.com/platform/cts/+/3e753f74127b87ca83fab047530992d29480e10c", "3e753f74127b87ca83fab047530992d29480e10c")</f>
        <v>0</v>
      </c>
      <c r="C13854">
        <f>HYPERLINK("https://android.googlesource.com/platform/cts/+/c23c0c20b926e4f4c6f41697a3655b487ad48c5e", "c23c0c20b926e4f4c6f41697a3655b487ad48c5e")</f>
        <v>0</v>
      </c>
      <c r="D13854" t="s">
        <v>5330</v>
      </c>
      <c r="E13854" t="s">
        <v>7826</v>
      </c>
      <c r="F13854" t="s">
        <v>13255</v>
      </c>
      <c r="G13854" t="s">
        <v>17393</v>
      </c>
      <c r="H13854" t="s">
        <v>30549</v>
      </c>
    </row>
    <row r="13855" spans="1:8">
      <c r="A13855" t="s">
        <v>2090</v>
      </c>
      <c r="B13855">
        <f>HYPERLINK("https://android.googlesource.com/platform/cts/+/094f6abf1cd1cc35e66f7d841da928442a3118c1", "094f6abf1cd1cc35e66f7d841da928442a3118c1")</f>
        <v>0</v>
      </c>
      <c r="C13855">
        <f>HYPERLINK("https://android.googlesource.com/platform/cts/+/b19203e123f30bf454d49a8dfc8abbda3d438b9a", "b19203e123f30bf454d49a8dfc8abbda3d438b9a")</f>
        <v>0</v>
      </c>
      <c r="D13855" t="s">
        <v>5127</v>
      </c>
      <c r="E13855" t="s">
        <v>7828</v>
      </c>
      <c r="F13855" t="s">
        <v>13637</v>
      </c>
      <c r="G13855" t="s">
        <v>17714</v>
      </c>
      <c r="H13855" t="s">
        <v>30843</v>
      </c>
    </row>
    <row r="13856" spans="1:8">
      <c r="H13856" t="s">
        <v>30844</v>
      </c>
    </row>
    <row r="13857" spans="1:8">
      <c r="F13857" t="s">
        <v>12629</v>
      </c>
      <c r="G13857" t="s">
        <v>16838</v>
      </c>
      <c r="H13857" t="s">
        <v>30843</v>
      </c>
    </row>
    <row r="13858" spans="1:8">
      <c r="H13858" t="s">
        <v>30845</v>
      </c>
    </row>
    <row r="13859" spans="1:8">
      <c r="H13859" t="s">
        <v>30846</v>
      </c>
    </row>
    <row r="13860" spans="1:8">
      <c r="H13860" t="s">
        <v>30847</v>
      </c>
    </row>
    <row r="13861" spans="1:8">
      <c r="H13861" t="s">
        <v>30848</v>
      </c>
    </row>
    <row r="13862" spans="1:8">
      <c r="A13862" t="s">
        <v>2091</v>
      </c>
      <c r="B13862">
        <f>HYPERLINK("https://android.googlesource.com/platform/cts/+/ffdbfcc26549f4b8a4cc71a65f2ebe1adc0f0f6d", "ffdbfcc26549f4b8a4cc71a65f2ebe1adc0f0f6d")</f>
        <v>0</v>
      </c>
      <c r="C13862">
        <f>HYPERLINK("https://android.googlesource.com/platform/cts/+/f8e54faa1acda7981cb7b98d307a8c411f2ad405", "f8e54faa1acda7981cb7b98d307a8c411f2ad405")</f>
        <v>0</v>
      </c>
      <c r="D13862" t="s">
        <v>5331</v>
      </c>
      <c r="E13862" t="s">
        <v>7829</v>
      </c>
      <c r="F13862" t="s">
        <v>13638</v>
      </c>
      <c r="G13862" t="s">
        <v>17715</v>
      </c>
      <c r="H13862" t="s">
        <v>30850</v>
      </c>
    </row>
    <row r="13863" spans="1:8">
      <c r="A13863" t="s">
        <v>2095</v>
      </c>
      <c r="B13863">
        <f>HYPERLINK("https://android.googlesource.com/platform/cts/+/2fdc90bc593c5d7118ebac3deac83c5e9d345b63", "2fdc90bc593c5d7118ebac3deac83c5e9d345b63")</f>
        <v>0</v>
      </c>
      <c r="C13863">
        <f>HYPERLINK("https://android.googlesource.com/platform/cts/+/8f430dd6340db9a183f8ad05f93ced8890c000af", "8f430dd6340db9a183f8ad05f93ced8890c000af")</f>
        <v>0</v>
      </c>
      <c r="D13863" t="s">
        <v>5083</v>
      </c>
      <c r="E13863" t="s">
        <v>7833</v>
      </c>
      <c r="F13863" t="s">
        <v>13639</v>
      </c>
      <c r="G13863" t="s">
        <v>17716</v>
      </c>
      <c r="H13863" t="s">
        <v>30854</v>
      </c>
    </row>
    <row r="13864" spans="1:8">
      <c r="H13864" t="s">
        <v>30855</v>
      </c>
    </row>
    <row r="13865" spans="1:8">
      <c r="H13865" t="s">
        <v>30856</v>
      </c>
    </row>
    <row r="13866" spans="1:8">
      <c r="A13866" t="s">
        <v>2096</v>
      </c>
      <c r="B13866">
        <f>HYPERLINK("https://android.googlesource.com/platform/cts/+/7825c39aca72b2ed63c11b2326003899a7767d6f", "7825c39aca72b2ed63c11b2326003899a7767d6f")</f>
        <v>0</v>
      </c>
      <c r="C13866">
        <f>HYPERLINK("https://android.googlesource.com/platform/cts/+/ce605f2a2c842cc644a2f353bc5984ff04681387", "ce605f2a2c842cc644a2f353bc5984ff04681387")</f>
        <v>0</v>
      </c>
      <c r="D13866" t="s">
        <v>5177</v>
      </c>
      <c r="E13866" t="s">
        <v>7834</v>
      </c>
      <c r="F13866" t="s">
        <v>10659</v>
      </c>
      <c r="G13866" t="s">
        <v>15060</v>
      </c>
      <c r="H13866" t="s">
        <v>19028</v>
      </c>
    </row>
    <row r="13867" spans="1:8">
      <c r="A13867" t="s">
        <v>2100</v>
      </c>
      <c r="B13867">
        <f>HYPERLINK("https://android.googlesource.com/platform/cts/+/e81ba6c15b84cca84cbbe882fc3fc619d78b0460", "e81ba6c15b84cca84cbbe882fc3fc619d78b0460")</f>
        <v>0</v>
      </c>
      <c r="C13867">
        <f>HYPERLINK("https://android.googlesource.com/platform/cts/+/921ae7f2fc9df083c71cffb266b6b960d329eb43", "921ae7f2fc9df083c71cffb266b6b960d329eb43")</f>
        <v>0</v>
      </c>
      <c r="D13867" t="s">
        <v>5135</v>
      </c>
      <c r="E13867" t="s">
        <v>7837</v>
      </c>
      <c r="F13867" t="s">
        <v>12772</v>
      </c>
      <c r="G13867" t="s">
        <v>16543</v>
      </c>
      <c r="H13867" t="s">
        <v>30858</v>
      </c>
    </row>
    <row r="13868" spans="1:8">
      <c r="A13868" t="s">
        <v>2101</v>
      </c>
      <c r="B13868">
        <f>HYPERLINK("https://android.googlesource.com/platform/cts/+/3b8e8a72da86e50492fb7769f2e30e9a1e24c654", "3b8e8a72da86e50492fb7769f2e30e9a1e24c654")</f>
        <v>0</v>
      </c>
      <c r="C13868">
        <f>HYPERLINK("https://android.googlesource.com/platform/cts/+/4e3f64e3a25c08f9a3ec8f38fa1114310b141799", "4e3f64e3a25c08f9a3ec8f38fa1114310b141799")</f>
        <v>0</v>
      </c>
      <c r="D13868" t="s">
        <v>5332</v>
      </c>
      <c r="E13868" t="s">
        <v>7838</v>
      </c>
      <c r="F13868" t="s">
        <v>13640</v>
      </c>
      <c r="G13868" t="s">
        <v>17458</v>
      </c>
      <c r="H13868" t="s">
        <v>29420</v>
      </c>
    </row>
    <row r="13869" spans="1:8">
      <c r="A13869" t="s">
        <v>2102</v>
      </c>
      <c r="B13869">
        <f>HYPERLINK("https://android.googlesource.com/platform/cts/+/b630a8980abf4736df56fdab7c194bdb5c0bf28f", "b630a8980abf4736df56fdab7c194bdb5c0bf28f")</f>
        <v>0</v>
      </c>
      <c r="C13869">
        <f>HYPERLINK("https://android.googlesource.com/platform/cts/+/971433bb42e7d2321f0c61a0f048070d1099c582", "971433bb42e7d2321f0c61a0f048070d1099c582")</f>
        <v>0</v>
      </c>
      <c r="D13869" t="s">
        <v>5117</v>
      </c>
      <c r="E13869" t="s">
        <v>7839</v>
      </c>
      <c r="F13869" t="s">
        <v>13642</v>
      </c>
      <c r="G13869" t="s">
        <v>17718</v>
      </c>
      <c r="H13869" t="s">
        <v>30862</v>
      </c>
    </row>
    <row r="13870" spans="1:8">
      <c r="H13870" t="s">
        <v>30863</v>
      </c>
    </row>
    <row r="13871" spans="1:8">
      <c r="H13871" t="s">
        <v>30864</v>
      </c>
    </row>
    <row r="13872" spans="1:8">
      <c r="F13872" t="s">
        <v>13337</v>
      </c>
      <c r="G13872" t="s">
        <v>17467</v>
      </c>
      <c r="H13872" t="s">
        <v>30862</v>
      </c>
    </row>
    <row r="13873" spans="1:8">
      <c r="H13873" t="s">
        <v>30863</v>
      </c>
    </row>
    <row r="13874" spans="1:8">
      <c r="H13874" t="s">
        <v>30864</v>
      </c>
    </row>
    <row r="13875" spans="1:8">
      <c r="H13875" t="s">
        <v>30865</v>
      </c>
    </row>
    <row r="13876" spans="1:8">
      <c r="A13876" t="s">
        <v>2103</v>
      </c>
      <c r="B13876">
        <f>HYPERLINK("https://android.googlesource.com/platform/cts/+/294dab2c08f1046d6978f2ce1a54a8b82ae2b591", "294dab2c08f1046d6978f2ce1a54a8b82ae2b591")</f>
        <v>0</v>
      </c>
      <c r="C13876">
        <f>HYPERLINK("https://android.googlesource.com/platform/cts/+/dc52142b772a8895f107cc3f97ec1a878b9e1f70", "dc52142b772a8895f107cc3f97ec1a878b9e1f70")</f>
        <v>0</v>
      </c>
      <c r="D13876" t="s">
        <v>5083</v>
      </c>
      <c r="E13876" t="s">
        <v>7840</v>
      </c>
      <c r="F13876" t="s">
        <v>10682</v>
      </c>
      <c r="G13876" t="s">
        <v>15082</v>
      </c>
      <c r="H13876" t="s">
        <v>30866</v>
      </c>
    </row>
    <row r="13877" spans="1:8">
      <c r="A13877" t="s">
        <v>2104</v>
      </c>
      <c r="B13877">
        <f>HYPERLINK("https://android.googlesource.com/platform/cts/+/9348c7db0c61e1be414c24cc24a40b6bf7c99fe9", "9348c7db0c61e1be414c24cc24a40b6bf7c99fe9")</f>
        <v>0</v>
      </c>
      <c r="C13877">
        <f>HYPERLINK("https://android.googlesource.com/platform/cts/+/30404131f75131fba975b74981c0cb1231c96638", "30404131f75131fba975b74981c0cb1231c96638")</f>
        <v>0</v>
      </c>
      <c r="D13877" t="s">
        <v>5108</v>
      </c>
      <c r="E13877" t="s">
        <v>7841</v>
      </c>
      <c r="F13877" t="s">
        <v>13643</v>
      </c>
      <c r="G13877" t="s">
        <v>17719</v>
      </c>
      <c r="H13877" t="s">
        <v>30867</v>
      </c>
    </row>
    <row r="13878" spans="1:8">
      <c r="F13878" t="s">
        <v>13390</v>
      </c>
      <c r="G13878" t="s">
        <v>17513</v>
      </c>
      <c r="H13878" t="s">
        <v>30868</v>
      </c>
    </row>
    <row r="13879" spans="1:8">
      <c r="H13879" t="s">
        <v>30869</v>
      </c>
    </row>
    <row r="13880" spans="1:8">
      <c r="A13880" t="s">
        <v>2106</v>
      </c>
      <c r="B13880">
        <f>HYPERLINK("https://android.googlesource.com/platform/cts/+/895569800aa5b822ba4408fd9e9d98db1695d8a7", "895569800aa5b822ba4408fd9e9d98db1695d8a7")</f>
        <v>0</v>
      </c>
      <c r="C13880">
        <f>HYPERLINK("https://android.googlesource.com/platform/cts/+/ee3a1be3e2a927b47311427caa0955289040d634", "ee3a1be3e2a927b47311427caa0955289040d634")</f>
        <v>0</v>
      </c>
      <c r="D13880" t="s">
        <v>5269</v>
      </c>
      <c r="E13880" t="s">
        <v>7843</v>
      </c>
      <c r="F13880" t="s">
        <v>13659</v>
      </c>
      <c r="G13880" t="s">
        <v>16438</v>
      </c>
      <c r="H13880" t="s">
        <v>30874</v>
      </c>
    </row>
    <row r="13881" spans="1:8">
      <c r="A13881" t="s">
        <v>2108</v>
      </c>
      <c r="B13881">
        <f>HYPERLINK("https://android.googlesource.com/platform/cts/+/d8643fabad317fd027d8d2f9b33a9ebe769b65e6", "d8643fabad317fd027d8d2f9b33a9ebe769b65e6")</f>
        <v>0</v>
      </c>
      <c r="C13881">
        <f>HYPERLINK("https://android.googlesource.com/platform/cts/+/9cabcc170e3bf5ad32c3ba2017ed0afdf3f5c7e0", "9cabcc170e3bf5ad32c3ba2017ed0afdf3f5c7e0")</f>
        <v>0</v>
      </c>
      <c r="D13881" t="s">
        <v>5315</v>
      </c>
      <c r="E13881" t="s">
        <v>7845</v>
      </c>
      <c r="F13881" t="s">
        <v>13227</v>
      </c>
      <c r="G13881" t="s">
        <v>17368</v>
      </c>
      <c r="H13881" t="s">
        <v>30886</v>
      </c>
    </row>
    <row r="13882" spans="1:8">
      <c r="A13882" t="s">
        <v>2111</v>
      </c>
      <c r="B13882">
        <f>HYPERLINK("https://android.googlesource.com/platform/cts/+/c90bb4b67f6b202c4c4d73702ad4fc07cd4e196d", "c90bb4b67f6b202c4c4d73702ad4fc07cd4e196d")</f>
        <v>0</v>
      </c>
      <c r="C13882">
        <f>HYPERLINK("https://android.googlesource.com/platform/cts/+/480e5be10ac8e7b307a1987a0806058a83e50b53", "480e5be10ac8e7b307a1987a0806058a83e50b53")</f>
        <v>0</v>
      </c>
      <c r="D13882" t="s">
        <v>5240</v>
      </c>
      <c r="E13882" t="s">
        <v>7848</v>
      </c>
      <c r="F13882" t="s">
        <v>12710</v>
      </c>
      <c r="G13882" t="s">
        <v>16911</v>
      </c>
      <c r="H13882" t="s">
        <v>30890</v>
      </c>
    </row>
    <row r="13883" spans="1:8">
      <c r="A13883" t="s">
        <v>2113</v>
      </c>
      <c r="B13883">
        <f>HYPERLINK("https://android.googlesource.com/platform/cts/+/9d4ba6c0df6c9227c24a519cb594429e4dadae4e", "9d4ba6c0df6c9227c24a519cb594429e4dadae4e")</f>
        <v>0</v>
      </c>
      <c r="C13883">
        <f>HYPERLINK("https://android.googlesource.com/platform/cts/+/3fb08b042ad14298b845e7c46b38a4c9feb928af", "3fb08b042ad14298b845e7c46b38a4c9feb928af")</f>
        <v>0</v>
      </c>
      <c r="D13883" t="s">
        <v>5310</v>
      </c>
      <c r="E13883" t="s">
        <v>7850</v>
      </c>
      <c r="F13883" t="s">
        <v>13433</v>
      </c>
      <c r="G13883" t="s">
        <v>17557</v>
      </c>
      <c r="H13883" t="s">
        <v>30892</v>
      </c>
    </row>
    <row r="13884" spans="1:8">
      <c r="A13884" t="s">
        <v>2114</v>
      </c>
      <c r="B13884">
        <f>HYPERLINK("https://android.googlesource.com/platform/cts/+/37972d530a566db0d68f6a367b4302671e5b02bc", "37972d530a566db0d68f6a367b4302671e5b02bc")</f>
        <v>0</v>
      </c>
      <c r="C13884">
        <f>HYPERLINK("https://android.googlesource.com/platform/cts/+/306c88bd58c581ed6710b881523cf88cbd49ae4f", "306c88bd58c581ed6710b881523cf88cbd49ae4f")</f>
        <v>0</v>
      </c>
      <c r="D13884" t="s">
        <v>5334</v>
      </c>
      <c r="E13884" t="s">
        <v>7851</v>
      </c>
      <c r="F13884" t="s">
        <v>13662</v>
      </c>
      <c r="G13884" t="s">
        <v>15122</v>
      </c>
      <c r="H13884" t="s">
        <v>30894</v>
      </c>
    </row>
    <row r="13885" spans="1:8">
      <c r="A13885" t="s">
        <v>2115</v>
      </c>
      <c r="B13885">
        <f>HYPERLINK("https://android.googlesource.com/platform/cts/+/b6ba44e26d97d5df59b657694e7ec1c2a7001a0d", "b6ba44e26d97d5df59b657694e7ec1c2a7001a0d")</f>
        <v>0</v>
      </c>
      <c r="C13885">
        <f>HYPERLINK("https://android.googlesource.com/platform/cts/+/6ebd08b079ba3f75b78c99c4fab7e89e7e4a5c13", "6ebd08b079ba3f75b78c99c4fab7e89e7e4a5c13")</f>
        <v>0</v>
      </c>
      <c r="D13885" t="s">
        <v>4974</v>
      </c>
      <c r="E13885" t="s">
        <v>7852</v>
      </c>
      <c r="F13885" t="s">
        <v>12710</v>
      </c>
      <c r="G13885" t="s">
        <v>16911</v>
      </c>
      <c r="H13885" t="s">
        <v>30895</v>
      </c>
    </row>
    <row r="13886" spans="1:8">
      <c r="A13886" t="s">
        <v>2116</v>
      </c>
      <c r="B13886">
        <f>HYPERLINK("https://android.googlesource.com/platform/cts/+/52a3ab25986ac0332139140bfa8fbb575bdb92c5", "52a3ab25986ac0332139140bfa8fbb575bdb92c5")</f>
        <v>0</v>
      </c>
      <c r="C13886">
        <f>HYPERLINK("https://android.googlesource.com/platform/cts/+/d49f63fe6f7746fe0bc08b78bce082d89052f9e9", "d49f63fe6f7746fe0bc08b78bce082d89052f9e9")</f>
        <v>0</v>
      </c>
      <c r="D13886" t="s">
        <v>5014</v>
      </c>
      <c r="E13886" t="s">
        <v>7853</v>
      </c>
      <c r="F13886" t="s">
        <v>13663</v>
      </c>
      <c r="G13886" t="s">
        <v>17736</v>
      </c>
      <c r="H13886" t="s">
        <v>19231</v>
      </c>
    </row>
    <row r="13887" spans="1:8">
      <c r="A13887" t="s">
        <v>2119</v>
      </c>
      <c r="B13887">
        <f>HYPERLINK("https://android.googlesource.com/platform/cts/+/9bb06a0118cd578a33635491afc4844649e05eeb", "9bb06a0118cd578a33635491afc4844649e05eeb")</f>
        <v>0</v>
      </c>
      <c r="C13887">
        <f>HYPERLINK("https://android.googlesource.com/platform/cts/+/7f58167a26b4376ff39bdfaed5ed1e11c6087efa", "7f58167a26b4376ff39bdfaed5ed1e11c6087efa")</f>
        <v>0</v>
      </c>
      <c r="D13887" t="s">
        <v>5335</v>
      </c>
      <c r="E13887" t="s">
        <v>7855</v>
      </c>
      <c r="F13887" t="s">
        <v>12843</v>
      </c>
      <c r="G13887" t="s">
        <v>16556</v>
      </c>
      <c r="H13887" t="s">
        <v>30897</v>
      </c>
    </row>
    <row r="13888" spans="1:8">
      <c r="H13888" t="s">
        <v>30898</v>
      </c>
    </row>
    <row r="13889" spans="1:8">
      <c r="A13889" t="s">
        <v>2123</v>
      </c>
      <c r="B13889">
        <f>HYPERLINK("https://android.googlesource.com/platform/cts/+/89925ec62138d6b48c40a3886c8d179285ae1349", "89925ec62138d6b48c40a3886c8d179285ae1349")</f>
        <v>0</v>
      </c>
      <c r="C13889">
        <f>HYPERLINK("https://android.googlesource.com/platform/cts/+/ce743c9c3509f6635c9f34dcc50bb2f97154e47b", "ce743c9c3509f6635c9f34dcc50bb2f97154e47b")</f>
        <v>0</v>
      </c>
      <c r="D13889" t="s">
        <v>5284</v>
      </c>
      <c r="E13889" t="s">
        <v>7858</v>
      </c>
      <c r="F13889" t="s">
        <v>10744</v>
      </c>
      <c r="G13889" t="s">
        <v>15143</v>
      </c>
      <c r="H13889" t="s">
        <v>30909</v>
      </c>
    </row>
    <row r="13890" spans="1:8">
      <c r="A13890" t="s">
        <v>2126</v>
      </c>
      <c r="B13890">
        <f>HYPERLINK("https://android.googlesource.com/platform/cts/+/8f42d8cd939af4aa2bd696ad6f87e10fe297c7a7", "8f42d8cd939af4aa2bd696ad6f87e10fe297c7a7")</f>
        <v>0</v>
      </c>
      <c r="C13890">
        <f>HYPERLINK("https://android.googlesource.com/platform/cts/+/e68ca48d224c8f3f0c112192ff57777f82e631f5", "e68ca48d224c8f3f0c112192ff57777f82e631f5")</f>
        <v>0</v>
      </c>
      <c r="D13890" t="s">
        <v>5110</v>
      </c>
      <c r="E13890" t="s">
        <v>7861</v>
      </c>
      <c r="F13890" t="s">
        <v>12901</v>
      </c>
      <c r="G13890" t="s">
        <v>17068</v>
      </c>
      <c r="H13890" t="s">
        <v>26879</v>
      </c>
    </row>
    <row r="13891" spans="1:8">
      <c r="F13891" t="s">
        <v>12629</v>
      </c>
      <c r="G13891" t="s">
        <v>16838</v>
      </c>
      <c r="H13891" t="s">
        <v>26879</v>
      </c>
    </row>
    <row r="13892" spans="1:8">
      <c r="A13892" t="s">
        <v>2127</v>
      </c>
      <c r="B13892">
        <f>HYPERLINK("https://android.googlesource.com/platform/cts/+/ef23d4f1b62b3d47cb71df9a866bef7516d30f99", "ef23d4f1b62b3d47cb71df9a866bef7516d30f99")</f>
        <v>0</v>
      </c>
      <c r="C13892">
        <f>HYPERLINK("https://android.googlesource.com/platform/cts/+/424988188d5e155cc120094fe337b764d7a39759", "424988188d5e155cc120094fe337b764d7a39759")</f>
        <v>0</v>
      </c>
      <c r="D13892" t="s">
        <v>5153</v>
      </c>
      <c r="E13892" t="s">
        <v>7862</v>
      </c>
      <c r="F13892" t="s">
        <v>13667</v>
      </c>
      <c r="G13892" t="s">
        <v>17739</v>
      </c>
      <c r="H13892" t="s">
        <v>30911</v>
      </c>
    </row>
    <row r="13893" spans="1:8">
      <c r="A13893" t="s">
        <v>2128</v>
      </c>
      <c r="B13893">
        <f>HYPERLINK("https://android.googlesource.com/platform/cts/+/330cbd18e6cd92df3510ad985f60dbaf349bb767", "330cbd18e6cd92df3510ad985f60dbaf349bb767")</f>
        <v>0</v>
      </c>
      <c r="C13893">
        <f>HYPERLINK("https://android.googlesource.com/platform/cts/+/542156bd4afaf77c3ad6fd08d3b1b0605d3f7e1c", "542156bd4afaf77c3ad6fd08d3b1b0605d3f7e1c")</f>
        <v>0</v>
      </c>
      <c r="D13893" t="s">
        <v>4981</v>
      </c>
      <c r="E13893" t="s">
        <v>7863</v>
      </c>
      <c r="F13893" t="s">
        <v>10613</v>
      </c>
      <c r="G13893" t="s">
        <v>15016</v>
      </c>
      <c r="H13893" t="s">
        <v>30913</v>
      </c>
    </row>
    <row r="13894" spans="1:8">
      <c r="H13894" t="s">
        <v>30914</v>
      </c>
    </row>
    <row r="13895" spans="1:8">
      <c r="A13895" t="s">
        <v>2132</v>
      </c>
      <c r="B13895">
        <f>HYPERLINK("https://android.googlesource.com/platform/cts/+/614ee878edea1bdeb5d114d6b443e8a4918808ee", "614ee878edea1bdeb5d114d6b443e8a4918808ee")</f>
        <v>0</v>
      </c>
      <c r="C13895">
        <f>HYPERLINK("https://android.googlesource.com/platform/cts/+/34c5f99bcc0d439446460293e90a810a39f88385", "34c5f99bcc0d439446460293e90a810a39f88385")</f>
        <v>0</v>
      </c>
      <c r="D13895" t="s">
        <v>5100</v>
      </c>
      <c r="E13895" t="s">
        <v>7867</v>
      </c>
      <c r="F13895" t="s">
        <v>12857</v>
      </c>
      <c r="G13895" t="s">
        <v>17027</v>
      </c>
      <c r="H13895" t="s">
        <v>30929</v>
      </c>
    </row>
    <row r="13896" spans="1:8">
      <c r="H13896" t="s">
        <v>30930</v>
      </c>
    </row>
    <row r="13897" spans="1:8">
      <c r="H13897" t="s">
        <v>30931</v>
      </c>
    </row>
    <row r="13898" spans="1:8">
      <c r="A13898" t="s">
        <v>2133</v>
      </c>
      <c r="B13898">
        <f>HYPERLINK("https://android.googlesource.com/platform/cts/+/ae65fd8ebb17b8686aa02c8fcf784aaf01419eef", "ae65fd8ebb17b8686aa02c8fcf784aaf01419eef")</f>
        <v>0</v>
      </c>
      <c r="C13898">
        <f>HYPERLINK("https://android.googlesource.com/platform/cts/+/ee7a193ea70c64c72c69796365f1c7dff52621ee", "ee7a193ea70c64c72c69796365f1c7dff52621ee")</f>
        <v>0</v>
      </c>
      <c r="D13898" t="s">
        <v>5336</v>
      </c>
      <c r="E13898" t="s">
        <v>7868</v>
      </c>
      <c r="F13898" t="s">
        <v>13670</v>
      </c>
      <c r="G13898" t="s">
        <v>17742</v>
      </c>
      <c r="H13898" t="s">
        <v>30925</v>
      </c>
    </row>
    <row r="13899" spans="1:8">
      <c r="H13899" t="s">
        <v>30932</v>
      </c>
    </row>
    <row r="13900" spans="1:8">
      <c r="H13900" t="s">
        <v>30933</v>
      </c>
    </row>
    <row r="13901" spans="1:8">
      <c r="A13901" t="s">
        <v>2139</v>
      </c>
      <c r="B13901">
        <f>HYPERLINK("https://android.googlesource.com/platform/cts/+/7fd2a1b4bcc8b3485c5ed88b8824620a1cec584d", "7fd2a1b4bcc8b3485c5ed88b8824620a1cec584d")</f>
        <v>0</v>
      </c>
      <c r="C13901">
        <f>HYPERLINK("https://android.googlesource.com/platform/cts/+/6551f1f0ead0366619091235401073993cdfe220", "6551f1f0ead0366619091235401073993cdfe220")</f>
        <v>0</v>
      </c>
      <c r="D13901" t="s">
        <v>5240</v>
      </c>
      <c r="E13901" t="s">
        <v>7871</v>
      </c>
      <c r="F13901" t="s">
        <v>13670</v>
      </c>
      <c r="G13901" t="s">
        <v>17742</v>
      </c>
      <c r="H13901" t="s">
        <v>30934</v>
      </c>
    </row>
    <row r="13902" spans="1:8">
      <c r="A13902" t="s">
        <v>2140</v>
      </c>
      <c r="B13902">
        <f>HYPERLINK("https://android.googlesource.com/platform/cts/+/787d67a1c7609cb60ef558b07a067c1fdaa610aa", "787d67a1c7609cb60ef558b07a067c1fdaa610aa")</f>
        <v>0</v>
      </c>
      <c r="C13902">
        <f>HYPERLINK("https://android.googlesource.com/platform/cts/+/dabaaeaae7298057b0b208d59ede4359b9221a7a", "dabaaeaae7298057b0b208d59ede4359b9221a7a")</f>
        <v>0</v>
      </c>
      <c r="D13902" t="s">
        <v>5240</v>
      </c>
      <c r="E13902" t="s">
        <v>7872</v>
      </c>
      <c r="F13902" t="s">
        <v>13670</v>
      </c>
      <c r="G13902" t="s">
        <v>17742</v>
      </c>
      <c r="H13902" t="s">
        <v>30934</v>
      </c>
    </row>
    <row r="13903" spans="1:8">
      <c r="A13903" t="s">
        <v>2141</v>
      </c>
      <c r="B13903">
        <f>HYPERLINK("https://android.googlesource.com/platform/cts/+/6ed653922659e5c1ec21b35d97ef625942660cd0", "6ed653922659e5c1ec21b35d97ef625942660cd0")</f>
        <v>0</v>
      </c>
      <c r="C13903">
        <f>HYPERLINK("https://android.googlesource.com/platform/cts/+/27896e90fb8e3f211c241073673c8303ce32bac1", "27896e90fb8e3f211c241073673c8303ce32bac1")</f>
        <v>0</v>
      </c>
      <c r="D13903" t="s">
        <v>5240</v>
      </c>
      <c r="E13903" t="s">
        <v>7873</v>
      </c>
      <c r="F13903" t="s">
        <v>13670</v>
      </c>
      <c r="G13903" t="s">
        <v>17742</v>
      </c>
      <c r="H13903" t="s">
        <v>30934</v>
      </c>
    </row>
    <row r="13904" spans="1:8">
      <c r="A13904" t="s">
        <v>2143</v>
      </c>
      <c r="B13904">
        <f>HYPERLINK("https://android.googlesource.com/platform/cts/+/49cdceaeb2e8723e84b035f4efed3a709392d302", "49cdceaeb2e8723e84b035f4efed3a709392d302")</f>
        <v>0</v>
      </c>
      <c r="C13904">
        <f>HYPERLINK("https://android.googlesource.com/platform/cts/+/ea59d40acfb0c76786c9f977370dbf52391e695b", "ea59d40acfb0c76786c9f977370dbf52391e695b")</f>
        <v>0</v>
      </c>
      <c r="D13904" t="s">
        <v>5293</v>
      </c>
      <c r="E13904" t="s">
        <v>7875</v>
      </c>
      <c r="F13904" t="s">
        <v>13468</v>
      </c>
      <c r="G13904" t="s">
        <v>17587</v>
      </c>
      <c r="H13904" t="s">
        <v>30935</v>
      </c>
    </row>
    <row r="13905" spans="1:8">
      <c r="A13905" t="s">
        <v>2147</v>
      </c>
      <c r="B13905">
        <f>HYPERLINK("https://android.googlesource.com/platform/cts/+/49a35715580d1e2b81773453afb877dbcc5b6115", "49a35715580d1e2b81773453afb877dbcc5b6115")</f>
        <v>0</v>
      </c>
      <c r="C13905">
        <f>HYPERLINK("https://android.googlesource.com/platform/cts/+/7bad9982003616cc4e3e553df713b9c9aefdeda9", "7bad9982003616cc4e3e553df713b9c9aefdeda9")</f>
        <v>0</v>
      </c>
      <c r="D13905" t="s">
        <v>4981</v>
      </c>
      <c r="E13905" t="s">
        <v>7878</v>
      </c>
      <c r="F13905" t="s">
        <v>13671</v>
      </c>
      <c r="G13905" t="s">
        <v>17743</v>
      </c>
      <c r="H13905" t="s">
        <v>30937</v>
      </c>
    </row>
    <row r="13906" spans="1:8">
      <c r="A13906" t="s">
        <v>2148</v>
      </c>
      <c r="B13906">
        <f>HYPERLINK("https://android.googlesource.com/platform/cts/+/fc6f3d001b46e5c5d40d16c9180a8b0fc3753608", "fc6f3d001b46e5c5d40d16c9180a8b0fc3753608")</f>
        <v>0</v>
      </c>
      <c r="C13906">
        <f>HYPERLINK("https://android.googlesource.com/platform/cts/+/0d5f6d5cd05713bac06c6edd84ee4ae24fc8c085", "0d5f6d5cd05713bac06c6edd84ee4ae24fc8c085")</f>
        <v>0</v>
      </c>
      <c r="D13906" t="s">
        <v>5275</v>
      </c>
      <c r="E13906" t="s">
        <v>7879</v>
      </c>
      <c r="F13906" t="s">
        <v>13671</v>
      </c>
      <c r="G13906" t="s">
        <v>17743</v>
      </c>
      <c r="H13906" t="s">
        <v>30937</v>
      </c>
    </row>
    <row r="13907" spans="1:8">
      <c r="A13907" t="s">
        <v>2152</v>
      </c>
      <c r="B13907">
        <f>HYPERLINK("https://android.googlesource.com/platform/cts/+/b1805d386d9f0aef22b909d1ef1e3e7ff9e7ba80", "b1805d386d9f0aef22b909d1ef1e3e7ff9e7ba80")</f>
        <v>0</v>
      </c>
      <c r="C13907">
        <f>HYPERLINK("https://android.googlesource.com/platform/cts/+/f36bf11ca3d149b4bdae4ed46a8c8bb329a336dc", "f36bf11ca3d149b4bdae4ed46a8c8bb329a336dc")</f>
        <v>0</v>
      </c>
      <c r="D13907" t="s">
        <v>5337</v>
      </c>
      <c r="E13907" t="s">
        <v>7883</v>
      </c>
      <c r="F13907" t="s">
        <v>13674</v>
      </c>
      <c r="G13907" t="s">
        <v>17745</v>
      </c>
      <c r="H13907" t="s">
        <v>30942</v>
      </c>
    </row>
    <row r="13908" spans="1:8">
      <c r="H13908" t="s">
        <v>30943</v>
      </c>
    </row>
    <row r="13909" spans="1:8">
      <c r="F13909" t="s">
        <v>13675</v>
      </c>
      <c r="G13909" t="s">
        <v>17746</v>
      </c>
      <c r="H13909" t="s">
        <v>30942</v>
      </c>
    </row>
    <row r="13910" spans="1:8">
      <c r="H13910" t="s">
        <v>30943</v>
      </c>
    </row>
    <row r="13911" spans="1:8">
      <c r="A13911" t="s">
        <v>2153</v>
      </c>
      <c r="B13911">
        <f>HYPERLINK("https://android.googlesource.com/platform/cts/+/7b3947b5dac3145bcd1c5f423999b662352c7d4e", "7b3947b5dac3145bcd1c5f423999b662352c7d4e")</f>
        <v>0</v>
      </c>
      <c r="C13911">
        <f>HYPERLINK("https://android.googlesource.com/platform/cts/+/5be780a15f5388e538ddfc8e01049ebc4c48dad5", "5be780a15f5388e538ddfc8e01049ebc4c48dad5")</f>
        <v>0</v>
      </c>
      <c r="D13911" t="s">
        <v>4981</v>
      </c>
      <c r="E13911" t="s">
        <v>7884</v>
      </c>
      <c r="F13911" t="s">
        <v>13671</v>
      </c>
      <c r="G13911" t="s">
        <v>17743</v>
      </c>
      <c r="H13911" t="s">
        <v>30937</v>
      </c>
    </row>
    <row r="13912" spans="1:8">
      <c r="A13912" t="s">
        <v>2156</v>
      </c>
      <c r="B13912">
        <f>HYPERLINK("https://android.googlesource.com/platform/cts/+/6a31069fb1d06bb66b392f727547442203281672", "6a31069fb1d06bb66b392f727547442203281672")</f>
        <v>0</v>
      </c>
      <c r="C13912">
        <f>HYPERLINK("https://android.googlesource.com/platform/cts/+/5d7b4277c0d9463d4125baeb9fe3fa63776cc4f0", "5d7b4277c0d9463d4125baeb9fe3fa63776cc4f0")</f>
        <v>0</v>
      </c>
      <c r="D13912" t="s">
        <v>5338</v>
      </c>
      <c r="E13912" t="s">
        <v>7887</v>
      </c>
      <c r="F13912" t="s">
        <v>13370</v>
      </c>
      <c r="G13912" t="s">
        <v>17497</v>
      </c>
      <c r="H13912" t="s">
        <v>30947</v>
      </c>
    </row>
    <row r="13913" spans="1:8">
      <c r="A13913" t="s">
        <v>2157</v>
      </c>
      <c r="B13913">
        <f>HYPERLINK("https://android.googlesource.com/platform/cts/+/8b21abe5919b4788e9fc0e7cd94919b06ff9c2ec", "8b21abe5919b4788e9fc0e7cd94919b06ff9c2ec")</f>
        <v>0</v>
      </c>
      <c r="C13913">
        <f>HYPERLINK("https://android.googlesource.com/platform/cts/+/4db221c5f048754ef4fb5c1dcbc94a72553c6ce5", "4db221c5f048754ef4fb5c1dcbc94a72553c6ce5")</f>
        <v>0</v>
      </c>
      <c r="D13913" t="s">
        <v>5336</v>
      </c>
      <c r="E13913" t="s">
        <v>7888</v>
      </c>
      <c r="F13913" t="s">
        <v>13670</v>
      </c>
      <c r="G13913" t="s">
        <v>17742</v>
      </c>
      <c r="H13913" t="s">
        <v>30925</v>
      </c>
    </row>
    <row r="13914" spans="1:8">
      <c r="H13914" t="s">
        <v>30926</v>
      </c>
    </row>
    <row r="13915" spans="1:8">
      <c r="H13915" t="s">
        <v>30932</v>
      </c>
    </row>
    <row r="13916" spans="1:8">
      <c r="H13916" t="s">
        <v>30933</v>
      </c>
    </row>
    <row r="13917" spans="1:8">
      <c r="A13917" t="s">
        <v>2160</v>
      </c>
      <c r="B13917">
        <f>HYPERLINK("https://android.googlesource.com/platform/cts/+/4a80e5d21981194cfb8fa5264101ad280e611235", "4a80e5d21981194cfb8fa5264101ad280e611235")</f>
        <v>0</v>
      </c>
      <c r="C13917">
        <f>HYPERLINK("https://android.googlesource.com/platform/cts/+/10414404f6ef88328194bcb65b979d2b58f3254e", "10414404f6ef88328194bcb65b979d2b58f3254e")</f>
        <v>0</v>
      </c>
      <c r="D13917" t="s">
        <v>5134</v>
      </c>
      <c r="E13917" t="s">
        <v>7891</v>
      </c>
      <c r="F13917" t="s">
        <v>13428</v>
      </c>
      <c r="G13917" t="s">
        <v>17552</v>
      </c>
      <c r="H13917" t="s">
        <v>30950</v>
      </c>
    </row>
    <row r="13918" spans="1:8">
      <c r="H13918" t="s">
        <v>30951</v>
      </c>
    </row>
    <row r="13919" spans="1:8">
      <c r="H13919" t="s">
        <v>30952</v>
      </c>
    </row>
    <row r="13920" spans="1:8">
      <c r="H13920" t="s">
        <v>30953</v>
      </c>
    </row>
    <row r="13921" spans="1:8">
      <c r="H13921" t="s">
        <v>30954</v>
      </c>
    </row>
    <row r="13922" spans="1:8">
      <c r="H13922" t="s">
        <v>30955</v>
      </c>
    </row>
    <row r="13923" spans="1:8">
      <c r="A13923" t="s">
        <v>2162</v>
      </c>
      <c r="B13923">
        <f>HYPERLINK("https://android.googlesource.com/platform/cts/+/88211a0563cec5b59a57c76f82ce0dbcc81b9842", "88211a0563cec5b59a57c76f82ce0dbcc81b9842")</f>
        <v>0</v>
      </c>
      <c r="C13923">
        <f>HYPERLINK("https://android.googlesource.com/platform/cts/+/1ce09b9ba99726ae779b07d7a7d1d57c1187408c", "1ce09b9ba99726ae779b07d7a7d1d57c1187408c")</f>
        <v>0</v>
      </c>
      <c r="D13923" t="s">
        <v>4981</v>
      </c>
      <c r="E13923" t="s">
        <v>7893</v>
      </c>
      <c r="F13923" t="s">
        <v>13678</v>
      </c>
      <c r="G13923" t="s">
        <v>17748</v>
      </c>
      <c r="H13923" t="s">
        <v>30959</v>
      </c>
    </row>
    <row r="13924" spans="1:8">
      <c r="A13924" t="s">
        <v>2165</v>
      </c>
      <c r="B13924">
        <f>HYPERLINK("https://android.googlesource.com/platform/cts/+/b86772daee6915549a02db62508ce593f5e44315", "b86772daee6915549a02db62508ce593f5e44315")</f>
        <v>0</v>
      </c>
      <c r="C13924">
        <f>HYPERLINK("https://android.googlesource.com/platform/cts/+/ac638e0f5f287d2baef0bbb150712a4fc761220d", "ac638e0f5f287d2baef0bbb150712a4fc761220d")</f>
        <v>0</v>
      </c>
      <c r="D13924" t="s">
        <v>5114</v>
      </c>
      <c r="E13924" t="s">
        <v>7896</v>
      </c>
      <c r="F13924" t="s">
        <v>13680</v>
      </c>
      <c r="G13924" t="s">
        <v>17750</v>
      </c>
      <c r="H13924" t="s">
        <v>30967</v>
      </c>
    </row>
    <row r="13925" spans="1:8">
      <c r="H13925" t="s">
        <v>30968</v>
      </c>
    </row>
    <row r="13926" spans="1:8">
      <c r="A13926" t="s">
        <v>2166</v>
      </c>
      <c r="B13926">
        <f>HYPERLINK("https://android.googlesource.com/platform/cts/+/82cade3e78381475053b9691ef718a46a9a6dd24", "82cade3e78381475053b9691ef718a46a9a6dd24")</f>
        <v>0</v>
      </c>
      <c r="C13926">
        <f>HYPERLINK("https://android.googlesource.com/platform/cts/+/6864b4f0a98bcee87beb874eb6cdfde97b530ecb", "6864b4f0a98bcee87beb874eb6cdfde97b530ecb")</f>
        <v>0</v>
      </c>
      <c r="D13926" t="s">
        <v>5143</v>
      </c>
      <c r="E13926" t="s">
        <v>7897</v>
      </c>
      <c r="F13926" t="s">
        <v>12914</v>
      </c>
      <c r="G13926" t="s">
        <v>17079</v>
      </c>
      <c r="H13926" t="s">
        <v>30970</v>
      </c>
    </row>
    <row r="13927" spans="1:8">
      <c r="A13927" t="s">
        <v>2168</v>
      </c>
      <c r="B13927">
        <f>HYPERLINK("https://android.googlesource.com/platform/cts/+/9170936f7066d1bdea9bca7f28392de516c4d4a6", "9170936f7066d1bdea9bca7f28392de516c4d4a6")</f>
        <v>0</v>
      </c>
      <c r="C13927">
        <f>HYPERLINK("https://android.googlesource.com/platform/cts/+/6bd56a12526c9add9b742e6151412f4c0e03a80c", "6bd56a12526c9add9b742e6151412f4c0e03a80c")</f>
        <v>0</v>
      </c>
      <c r="D13927" t="s">
        <v>5134</v>
      </c>
      <c r="E13927" t="s">
        <v>7899</v>
      </c>
      <c r="F13927" t="s">
        <v>13682</v>
      </c>
      <c r="G13927" t="s">
        <v>17752</v>
      </c>
      <c r="H13927" t="s">
        <v>30973</v>
      </c>
    </row>
    <row r="13928" spans="1:8">
      <c r="H13928" t="s">
        <v>30974</v>
      </c>
    </row>
    <row r="13929" spans="1:8">
      <c r="A13929" t="s">
        <v>2170</v>
      </c>
      <c r="B13929">
        <f>HYPERLINK("https://android.googlesource.com/platform/cts/+/d9916d984e691bb8a09a58487205fad3c4d546b5", "d9916d984e691bb8a09a58487205fad3c4d546b5")</f>
        <v>0</v>
      </c>
      <c r="C13929">
        <f>HYPERLINK("https://android.googlesource.com/platform/cts/+/63a12c68f60c6bb1c54729cf9c92d19a80074196", "63a12c68f60c6bb1c54729cf9c92d19a80074196")</f>
        <v>0</v>
      </c>
      <c r="D13929" t="s">
        <v>5340</v>
      </c>
      <c r="E13929" t="s">
        <v>7901</v>
      </c>
      <c r="F13929" t="s">
        <v>13683</v>
      </c>
      <c r="G13929" t="s">
        <v>17753</v>
      </c>
      <c r="H13929" t="s">
        <v>27000</v>
      </c>
    </row>
    <row r="13930" spans="1:8">
      <c r="A13930" t="s">
        <v>2171</v>
      </c>
      <c r="B13930">
        <f>HYPERLINK("https://android.googlesource.com/platform/cts/+/ef0ad61e0db620e4b29307ac2a8ac7bd205118f6", "ef0ad61e0db620e4b29307ac2a8ac7bd205118f6")</f>
        <v>0</v>
      </c>
      <c r="C13930">
        <f>HYPERLINK("https://android.googlesource.com/platform/cts/+/0be23ea9bf3bbd75da1ec866da97ea51b40cd3c0", "0be23ea9bf3bbd75da1ec866da97ea51b40cd3c0")</f>
        <v>0</v>
      </c>
      <c r="D13930" t="s">
        <v>5235</v>
      </c>
      <c r="E13930" t="s">
        <v>7902</v>
      </c>
      <c r="F13930" t="s">
        <v>13684</v>
      </c>
      <c r="G13930" t="s">
        <v>17754</v>
      </c>
      <c r="H13930" t="s">
        <v>20091</v>
      </c>
    </row>
    <row r="13931" spans="1:8">
      <c r="H13931" t="s">
        <v>19712</v>
      </c>
    </row>
    <row r="13932" spans="1:8">
      <c r="H13932" t="s">
        <v>19709</v>
      </c>
    </row>
    <row r="13933" spans="1:8">
      <c r="H13933" t="s">
        <v>20107</v>
      </c>
    </row>
    <row r="13934" spans="1:8">
      <c r="H13934" t="s">
        <v>20108</v>
      </c>
    </row>
    <row r="13935" spans="1:8">
      <c r="H13935" t="s">
        <v>19713</v>
      </c>
    </row>
    <row r="13936" spans="1:8">
      <c r="H13936" t="s">
        <v>19714</v>
      </c>
    </row>
    <row r="13937" spans="6:8">
      <c r="H13937" t="s">
        <v>20109</v>
      </c>
    </row>
    <row r="13938" spans="6:8">
      <c r="H13938" t="s">
        <v>20110</v>
      </c>
    </row>
    <row r="13939" spans="6:8">
      <c r="H13939" t="s">
        <v>20111</v>
      </c>
    </row>
    <row r="13940" spans="6:8">
      <c r="H13940" t="s">
        <v>20112</v>
      </c>
    </row>
    <row r="13941" spans="6:8">
      <c r="H13941" t="s">
        <v>20113</v>
      </c>
    </row>
    <row r="13942" spans="6:8">
      <c r="F13942" t="s">
        <v>13685</v>
      </c>
      <c r="G13942" t="s">
        <v>17755</v>
      </c>
      <c r="H13942" t="s">
        <v>20091</v>
      </c>
    </row>
    <row r="13943" spans="6:8">
      <c r="H13943" t="s">
        <v>19712</v>
      </c>
    </row>
    <row r="13944" spans="6:8">
      <c r="H13944" t="s">
        <v>19709</v>
      </c>
    </row>
    <row r="13945" spans="6:8">
      <c r="H13945" t="s">
        <v>20107</v>
      </c>
    </row>
    <row r="13946" spans="6:8">
      <c r="H13946" t="s">
        <v>20108</v>
      </c>
    </row>
    <row r="13947" spans="6:8">
      <c r="H13947" t="s">
        <v>19713</v>
      </c>
    </row>
    <row r="13948" spans="6:8">
      <c r="H13948" t="s">
        <v>19714</v>
      </c>
    </row>
    <row r="13949" spans="6:8">
      <c r="H13949" t="s">
        <v>20109</v>
      </c>
    </row>
    <row r="13950" spans="6:8">
      <c r="H13950" t="s">
        <v>20110</v>
      </c>
    </row>
    <row r="13951" spans="6:8">
      <c r="H13951" t="s">
        <v>20111</v>
      </c>
    </row>
    <row r="13952" spans="6:8">
      <c r="H13952" t="s">
        <v>20112</v>
      </c>
    </row>
    <row r="13953" spans="6:8">
      <c r="H13953" t="s">
        <v>20113</v>
      </c>
    </row>
    <row r="13954" spans="6:8">
      <c r="F13954" t="s">
        <v>13686</v>
      </c>
      <c r="G13954" t="s">
        <v>17756</v>
      </c>
      <c r="H13954" t="s">
        <v>20091</v>
      </c>
    </row>
    <row r="13955" spans="6:8">
      <c r="H13955" t="s">
        <v>19712</v>
      </c>
    </row>
    <row r="13956" spans="6:8">
      <c r="H13956" t="s">
        <v>19709</v>
      </c>
    </row>
    <row r="13957" spans="6:8">
      <c r="H13957" t="s">
        <v>20107</v>
      </c>
    </row>
    <row r="13958" spans="6:8">
      <c r="H13958" t="s">
        <v>20108</v>
      </c>
    </row>
    <row r="13959" spans="6:8">
      <c r="H13959" t="s">
        <v>19713</v>
      </c>
    </row>
    <row r="13960" spans="6:8">
      <c r="H13960" t="s">
        <v>19714</v>
      </c>
    </row>
    <row r="13961" spans="6:8">
      <c r="H13961" t="s">
        <v>20109</v>
      </c>
    </row>
    <row r="13962" spans="6:8">
      <c r="H13962" t="s">
        <v>20110</v>
      </c>
    </row>
    <row r="13963" spans="6:8">
      <c r="H13963" t="s">
        <v>20111</v>
      </c>
    </row>
    <row r="13964" spans="6:8">
      <c r="H13964" t="s">
        <v>20112</v>
      </c>
    </row>
    <row r="13965" spans="6:8">
      <c r="H13965" t="s">
        <v>20113</v>
      </c>
    </row>
    <row r="13966" spans="6:8">
      <c r="F13966" t="s">
        <v>13687</v>
      </c>
      <c r="G13966" t="s">
        <v>17757</v>
      </c>
      <c r="H13966" t="s">
        <v>20091</v>
      </c>
    </row>
    <row r="13967" spans="6:8">
      <c r="H13967" t="s">
        <v>19712</v>
      </c>
    </row>
    <row r="13968" spans="6:8">
      <c r="H13968" t="s">
        <v>19709</v>
      </c>
    </row>
    <row r="13969" spans="6:8">
      <c r="H13969" t="s">
        <v>20107</v>
      </c>
    </row>
    <row r="13970" spans="6:8">
      <c r="H13970" t="s">
        <v>20108</v>
      </c>
    </row>
    <row r="13971" spans="6:8">
      <c r="H13971" t="s">
        <v>19713</v>
      </c>
    </row>
    <row r="13972" spans="6:8">
      <c r="H13972" t="s">
        <v>19714</v>
      </c>
    </row>
    <row r="13973" spans="6:8">
      <c r="H13973" t="s">
        <v>20109</v>
      </c>
    </row>
    <row r="13974" spans="6:8">
      <c r="H13974" t="s">
        <v>20110</v>
      </c>
    </row>
    <row r="13975" spans="6:8">
      <c r="H13975" t="s">
        <v>20111</v>
      </c>
    </row>
    <row r="13976" spans="6:8">
      <c r="H13976" t="s">
        <v>20112</v>
      </c>
    </row>
    <row r="13977" spans="6:8">
      <c r="H13977" t="s">
        <v>20113</v>
      </c>
    </row>
    <row r="13978" spans="6:8">
      <c r="F13978" t="s">
        <v>13688</v>
      </c>
      <c r="G13978" t="s">
        <v>17758</v>
      </c>
      <c r="H13978" t="s">
        <v>20091</v>
      </c>
    </row>
    <row r="13979" spans="6:8">
      <c r="H13979" t="s">
        <v>19712</v>
      </c>
    </row>
    <row r="13980" spans="6:8">
      <c r="H13980" t="s">
        <v>19709</v>
      </c>
    </row>
    <row r="13981" spans="6:8">
      <c r="H13981" t="s">
        <v>19706</v>
      </c>
    </row>
    <row r="13982" spans="6:8">
      <c r="H13982" t="s">
        <v>19707</v>
      </c>
    </row>
    <row r="13983" spans="6:8">
      <c r="H13983" t="s">
        <v>19711</v>
      </c>
    </row>
    <row r="13984" spans="6:8">
      <c r="H13984" t="s">
        <v>20107</v>
      </c>
    </row>
    <row r="13985" spans="6:8">
      <c r="H13985" t="s">
        <v>20108</v>
      </c>
    </row>
    <row r="13986" spans="6:8">
      <c r="H13986" t="s">
        <v>19713</v>
      </c>
    </row>
    <row r="13987" spans="6:8">
      <c r="H13987" t="s">
        <v>19714</v>
      </c>
    </row>
    <row r="13988" spans="6:8">
      <c r="H13988" t="s">
        <v>20109</v>
      </c>
    </row>
    <row r="13989" spans="6:8">
      <c r="H13989" t="s">
        <v>20110</v>
      </c>
    </row>
    <row r="13990" spans="6:8">
      <c r="F13990" t="s">
        <v>13689</v>
      </c>
      <c r="G13990" t="s">
        <v>17759</v>
      </c>
      <c r="H13990" t="s">
        <v>20091</v>
      </c>
    </row>
    <row r="13991" spans="6:8">
      <c r="H13991" t="s">
        <v>19712</v>
      </c>
    </row>
    <row r="13992" spans="6:8">
      <c r="H13992" t="s">
        <v>19709</v>
      </c>
    </row>
    <row r="13993" spans="6:8">
      <c r="H13993" t="s">
        <v>19706</v>
      </c>
    </row>
    <row r="13994" spans="6:8">
      <c r="H13994" t="s">
        <v>19707</v>
      </c>
    </row>
    <row r="13995" spans="6:8">
      <c r="H13995" t="s">
        <v>19711</v>
      </c>
    </row>
    <row r="13996" spans="6:8">
      <c r="H13996" t="s">
        <v>20107</v>
      </c>
    </row>
    <row r="13997" spans="6:8">
      <c r="H13997" t="s">
        <v>20108</v>
      </c>
    </row>
    <row r="13998" spans="6:8">
      <c r="H13998" t="s">
        <v>19713</v>
      </c>
    </row>
    <row r="13999" spans="6:8">
      <c r="H13999" t="s">
        <v>19714</v>
      </c>
    </row>
    <row r="14000" spans="6:8">
      <c r="H14000" t="s">
        <v>20109</v>
      </c>
    </row>
    <row r="14001" spans="6:8">
      <c r="H14001" t="s">
        <v>20110</v>
      </c>
    </row>
    <row r="14002" spans="6:8">
      <c r="F14002" t="s">
        <v>13690</v>
      </c>
      <c r="G14002" t="s">
        <v>17760</v>
      </c>
      <c r="H14002" t="s">
        <v>20091</v>
      </c>
    </row>
    <row r="14003" spans="6:8">
      <c r="H14003" t="s">
        <v>19712</v>
      </c>
    </row>
    <row r="14004" spans="6:8">
      <c r="H14004" t="s">
        <v>19709</v>
      </c>
    </row>
    <row r="14005" spans="6:8">
      <c r="H14005" t="s">
        <v>19706</v>
      </c>
    </row>
    <row r="14006" spans="6:8">
      <c r="H14006" t="s">
        <v>19707</v>
      </c>
    </row>
    <row r="14007" spans="6:8">
      <c r="H14007" t="s">
        <v>19711</v>
      </c>
    </row>
    <row r="14008" spans="6:8">
      <c r="H14008" t="s">
        <v>20107</v>
      </c>
    </row>
    <row r="14009" spans="6:8">
      <c r="H14009" t="s">
        <v>20108</v>
      </c>
    </row>
    <row r="14010" spans="6:8">
      <c r="H14010" t="s">
        <v>19713</v>
      </c>
    </row>
    <row r="14011" spans="6:8">
      <c r="H14011" t="s">
        <v>19714</v>
      </c>
    </row>
    <row r="14012" spans="6:8">
      <c r="H14012" t="s">
        <v>20109</v>
      </c>
    </row>
    <row r="14013" spans="6:8">
      <c r="H14013" t="s">
        <v>20110</v>
      </c>
    </row>
    <row r="14014" spans="6:8">
      <c r="F14014" t="s">
        <v>13691</v>
      </c>
      <c r="G14014" t="s">
        <v>17761</v>
      </c>
      <c r="H14014" t="s">
        <v>20091</v>
      </c>
    </row>
    <row r="14015" spans="6:8">
      <c r="H14015" t="s">
        <v>19712</v>
      </c>
    </row>
    <row r="14016" spans="6:8">
      <c r="H14016" t="s">
        <v>19709</v>
      </c>
    </row>
    <row r="14017" spans="6:8">
      <c r="H14017" t="s">
        <v>20107</v>
      </c>
    </row>
    <row r="14018" spans="6:8">
      <c r="H14018" t="s">
        <v>20108</v>
      </c>
    </row>
    <row r="14019" spans="6:8">
      <c r="H14019" t="s">
        <v>19713</v>
      </c>
    </row>
    <row r="14020" spans="6:8">
      <c r="H14020" t="s">
        <v>19714</v>
      </c>
    </row>
    <row r="14021" spans="6:8">
      <c r="H14021" t="s">
        <v>20109</v>
      </c>
    </row>
    <row r="14022" spans="6:8">
      <c r="H14022" t="s">
        <v>20110</v>
      </c>
    </row>
    <row r="14023" spans="6:8">
      <c r="H14023" t="s">
        <v>20111</v>
      </c>
    </row>
    <row r="14024" spans="6:8">
      <c r="H14024" t="s">
        <v>20112</v>
      </c>
    </row>
    <row r="14025" spans="6:8">
      <c r="F14025" t="s">
        <v>13692</v>
      </c>
      <c r="G14025" t="s">
        <v>17762</v>
      </c>
      <c r="H14025" t="s">
        <v>20091</v>
      </c>
    </row>
    <row r="14026" spans="6:8">
      <c r="H14026" t="s">
        <v>19712</v>
      </c>
    </row>
    <row r="14027" spans="6:8">
      <c r="H14027" t="s">
        <v>19709</v>
      </c>
    </row>
    <row r="14028" spans="6:8">
      <c r="H14028" t="s">
        <v>20107</v>
      </c>
    </row>
    <row r="14029" spans="6:8">
      <c r="H14029" t="s">
        <v>20108</v>
      </c>
    </row>
    <row r="14030" spans="6:8">
      <c r="H14030" t="s">
        <v>19713</v>
      </c>
    </row>
    <row r="14031" spans="6:8">
      <c r="H14031" t="s">
        <v>19714</v>
      </c>
    </row>
    <row r="14032" spans="6:8">
      <c r="H14032" t="s">
        <v>20109</v>
      </c>
    </row>
    <row r="14033" spans="1:8">
      <c r="H14033" t="s">
        <v>20110</v>
      </c>
    </row>
    <row r="14034" spans="1:8">
      <c r="H14034" t="s">
        <v>20111</v>
      </c>
    </row>
    <row r="14035" spans="1:8">
      <c r="H14035" t="s">
        <v>20112</v>
      </c>
    </row>
    <row r="14036" spans="1:8">
      <c r="A14036" t="s">
        <v>2173</v>
      </c>
      <c r="B14036">
        <f>HYPERLINK("https://android.googlesource.com/platform/cts/+/6598ee6014a7ecf5f0095e31371132bee4cf4ac8", "6598ee6014a7ecf5f0095e31371132bee4cf4ac8")</f>
        <v>0</v>
      </c>
      <c r="C14036">
        <f>HYPERLINK("https://android.googlesource.com/platform/cts/+/7fda12303ec9b0e6693fbe585c8f22d055de0c36", "7fda12303ec9b0e6693fbe585c8f22d055de0c36")</f>
        <v>0</v>
      </c>
      <c r="D14036" t="s">
        <v>5134</v>
      </c>
      <c r="E14036" t="s">
        <v>7904</v>
      </c>
      <c r="F14036" t="s">
        <v>13693</v>
      </c>
      <c r="G14036" t="s">
        <v>17763</v>
      </c>
      <c r="H14036" t="s">
        <v>30980</v>
      </c>
    </row>
    <row r="14037" spans="1:8">
      <c r="A14037" t="s">
        <v>2174</v>
      </c>
      <c r="B14037">
        <f>HYPERLINK("https://android.googlesource.com/platform/cts/+/a3e3acf6c1da02dd6b11770d3a7d107b313e74e2", "a3e3acf6c1da02dd6b11770d3a7d107b313e74e2")</f>
        <v>0</v>
      </c>
      <c r="C14037">
        <f>HYPERLINK("https://android.googlesource.com/platform/cts/+/a355251d43a97f8c364bde6ff88500c2d672f0e5", "a355251d43a97f8c364bde6ff88500c2d672f0e5")</f>
        <v>0</v>
      </c>
      <c r="D14037" t="s">
        <v>5338</v>
      </c>
      <c r="E14037" t="s">
        <v>7905</v>
      </c>
      <c r="F14037" t="s">
        <v>13203</v>
      </c>
      <c r="G14037" t="s">
        <v>17345</v>
      </c>
      <c r="H14037" t="s">
        <v>30981</v>
      </c>
    </row>
    <row r="14038" spans="1:8">
      <c r="A14038" t="s">
        <v>2175</v>
      </c>
      <c r="B14038">
        <f>HYPERLINK("https://android.googlesource.com/platform/cts/+/be0c2f96d9401d27a89b1a9a1c266c1743a9459a", "be0c2f96d9401d27a89b1a9a1c266c1743a9459a")</f>
        <v>0</v>
      </c>
      <c r="C14038">
        <f>HYPERLINK("https://android.googlesource.com/platform/cts/+/c53c0ae237d5af6ff2e0bad6512a9291e1bf676e", "c53c0ae237d5af6ff2e0bad6512a9291e1bf676e")</f>
        <v>0</v>
      </c>
      <c r="D14038" t="s">
        <v>5287</v>
      </c>
      <c r="E14038" t="s">
        <v>7906</v>
      </c>
      <c r="F14038" t="s">
        <v>10608</v>
      </c>
      <c r="G14038" t="s">
        <v>15011</v>
      </c>
      <c r="H14038" t="s">
        <v>30982</v>
      </c>
    </row>
    <row r="14039" spans="1:8">
      <c r="H14039" t="s">
        <v>30983</v>
      </c>
    </row>
    <row r="14040" spans="1:8">
      <c r="A14040" t="s">
        <v>2176</v>
      </c>
      <c r="B14040">
        <f>HYPERLINK("https://android.googlesource.com/platform/cts/+/1b77d561d522c0d872c3f1eb69e80a1d41370bd1", "1b77d561d522c0d872c3f1eb69e80a1d41370bd1")</f>
        <v>0</v>
      </c>
      <c r="C14040">
        <f>HYPERLINK("https://android.googlesource.com/platform/cts/+/ea2f11de3135e433a74ebbb0d360bc541b95faae", "ea2f11de3135e433a74ebbb0d360bc541b95faae")</f>
        <v>0</v>
      </c>
      <c r="D14040" t="s">
        <v>5117</v>
      </c>
      <c r="E14040" t="s">
        <v>7907</v>
      </c>
      <c r="F14040" t="s">
        <v>13442</v>
      </c>
      <c r="G14040" t="s">
        <v>17564</v>
      </c>
      <c r="H14040" t="s">
        <v>30984</v>
      </c>
    </row>
    <row r="14041" spans="1:8">
      <c r="A14041" t="s">
        <v>2182</v>
      </c>
      <c r="B14041">
        <f>HYPERLINK("https://android.googlesource.com/platform/cts/+/7f257c997fb6414c5fd38e39c81fa9463245aa4d", "7f257c997fb6414c5fd38e39c81fa9463245aa4d")</f>
        <v>0</v>
      </c>
      <c r="C14041">
        <f>HYPERLINK("https://android.googlesource.com/platform/cts/+/ddfcb98f148fe0efa386ee4bfd66452e6523da72", "ddfcb98f148fe0efa386ee4bfd66452e6523da72")</f>
        <v>0</v>
      </c>
      <c r="D14041" t="s">
        <v>5134</v>
      </c>
      <c r="E14041" t="s">
        <v>7913</v>
      </c>
      <c r="F14041" t="s">
        <v>13693</v>
      </c>
      <c r="G14041" t="s">
        <v>17763</v>
      </c>
      <c r="H14041" t="s">
        <v>30991</v>
      </c>
    </row>
    <row r="14042" spans="1:8">
      <c r="H14042" t="s">
        <v>30992</v>
      </c>
    </row>
    <row r="14043" spans="1:8">
      <c r="H14043" t="s">
        <v>30993</v>
      </c>
    </row>
    <row r="14044" spans="1:8">
      <c r="H14044" t="s">
        <v>30994</v>
      </c>
    </row>
    <row r="14045" spans="1:8">
      <c r="H14045" t="s">
        <v>30995</v>
      </c>
    </row>
    <row r="14046" spans="1:8">
      <c r="A14046" t="s">
        <v>2184</v>
      </c>
      <c r="B14046">
        <f>HYPERLINK("https://android.googlesource.com/platform/cts/+/7e1f50625214ae6ec16bdd98539180b7494ee26f", "7e1f50625214ae6ec16bdd98539180b7494ee26f")</f>
        <v>0</v>
      </c>
      <c r="C14046">
        <f>HYPERLINK("https://android.googlesource.com/platform/cts/+/80ad63a28cc803de4cd3ee9596ac64a5ce8e3521", "80ad63a28cc803de4cd3ee9596ac64a5ce8e3521")</f>
        <v>0</v>
      </c>
      <c r="D14046" t="s">
        <v>5134</v>
      </c>
      <c r="E14046" t="s">
        <v>7915</v>
      </c>
      <c r="F14046" t="s">
        <v>13693</v>
      </c>
      <c r="G14046" t="s">
        <v>17763</v>
      </c>
      <c r="H14046" t="s">
        <v>30998</v>
      </c>
    </row>
    <row r="14047" spans="1:8">
      <c r="H14047" t="s">
        <v>30999</v>
      </c>
    </row>
    <row r="14048" spans="1:8">
      <c r="H14048" t="s">
        <v>31000</v>
      </c>
    </row>
    <row r="14049" spans="1:8">
      <c r="H14049" t="s">
        <v>31001</v>
      </c>
    </row>
    <row r="14050" spans="1:8">
      <c r="H14050" t="s">
        <v>31002</v>
      </c>
    </row>
    <row r="14051" spans="1:8">
      <c r="H14051" t="s">
        <v>31004</v>
      </c>
    </row>
    <row r="14052" spans="1:8">
      <c r="H14052" t="s">
        <v>31005</v>
      </c>
    </row>
    <row r="14053" spans="1:8">
      <c r="A14053" t="s">
        <v>2185</v>
      </c>
      <c r="B14053">
        <f>HYPERLINK("https://android.googlesource.com/platform/cts/+/4e66220ff665dfc1f84679acfbbca71db656a17c", "4e66220ff665dfc1f84679acfbbca71db656a17c")</f>
        <v>0</v>
      </c>
      <c r="C14053">
        <f>HYPERLINK("https://android.googlesource.com/platform/cts/+/5711e85d02f5e46559b20338e0c8a05c187509c2", "5711e85d02f5e46559b20338e0c8a05c187509c2")</f>
        <v>0</v>
      </c>
      <c r="D14053" t="s">
        <v>5343</v>
      </c>
      <c r="E14053" t="s">
        <v>7916</v>
      </c>
      <c r="F14053" t="s">
        <v>13697</v>
      </c>
      <c r="G14053" t="s">
        <v>17766</v>
      </c>
      <c r="H14053" t="s">
        <v>31009</v>
      </c>
    </row>
    <row r="14054" spans="1:8">
      <c r="A14054" t="s">
        <v>2187</v>
      </c>
      <c r="B14054">
        <f>HYPERLINK("https://android.googlesource.com/platform/cts/+/6f71ec65409cdea4ed36d3c2f71fd6baffa81e18", "6f71ec65409cdea4ed36d3c2f71fd6baffa81e18")</f>
        <v>0</v>
      </c>
      <c r="C14054">
        <f>HYPERLINK("https://android.googlesource.com/platform/cts/+/b815e0a71d5a411f640b614bc9a4b4d3fe26dc00", "b815e0a71d5a411f640b614bc9a4b4d3fe26dc00")</f>
        <v>0</v>
      </c>
      <c r="D14054" t="s">
        <v>5308</v>
      </c>
      <c r="E14054" t="s">
        <v>7918</v>
      </c>
      <c r="F14054" t="s">
        <v>13700</v>
      </c>
      <c r="G14054" t="s">
        <v>17768</v>
      </c>
      <c r="H14054" t="s">
        <v>31020</v>
      </c>
    </row>
    <row r="14055" spans="1:8">
      <c r="H14055" t="s">
        <v>31021</v>
      </c>
    </row>
    <row r="14056" spans="1:8">
      <c r="H14056" t="s">
        <v>31022</v>
      </c>
    </row>
    <row r="14057" spans="1:8">
      <c r="A14057" t="s">
        <v>2189</v>
      </c>
      <c r="B14057">
        <f>HYPERLINK("https://android.googlesource.com/platform/cts/+/4b9e1d198fa577a1724a1950ebe3ff39d8647352", "4b9e1d198fa577a1724a1950ebe3ff39d8647352")</f>
        <v>0</v>
      </c>
      <c r="C14057">
        <f>HYPERLINK("https://android.googlesource.com/platform/cts/+/47df825c46cd1afb1b20b9621317dd6bb0290611", "47df825c46cd1afb1b20b9621317dd6bb0290611")</f>
        <v>0</v>
      </c>
      <c r="D14057" t="s">
        <v>5141</v>
      </c>
      <c r="E14057" t="s">
        <v>7920</v>
      </c>
      <c r="F14057" t="s">
        <v>10597</v>
      </c>
      <c r="G14057" t="s">
        <v>15000</v>
      </c>
      <c r="H14057" t="s">
        <v>31024</v>
      </c>
    </row>
    <row r="14058" spans="1:8">
      <c r="A14058" t="s">
        <v>2192</v>
      </c>
      <c r="B14058">
        <f>HYPERLINK("https://android.googlesource.com/platform/cts/+/d3bfceba7af51900359649a5a8502c54d48118fa", "d3bfceba7af51900359649a5a8502c54d48118fa")</f>
        <v>0</v>
      </c>
      <c r="C14058">
        <f>HYPERLINK("https://android.googlesource.com/platform/cts/+/397c71276f5667bdf432dc113dbc23abacca5734", "397c71276f5667bdf432dc113dbc23abacca5734")</f>
        <v>0</v>
      </c>
      <c r="D14058" t="s">
        <v>5132</v>
      </c>
      <c r="E14058" t="s">
        <v>7923</v>
      </c>
      <c r="F14058" t="s">
        <v>13089</v>
      </c>
      <c r="G14058" t="s">
        <v>17251</v>
      </c>
      <c r="H14058" t="s">
        <v>31027</v>
      </c>
    </row>
    <row r="14059" spans="1:8">
      <c r="A14059" t="s">
        <v>2194</v>
      </c>
      <c r="B14059">
        <f>HYPERLINK("https://android.googlesource.com/platform/cts/+/1a5bf7bbf82a4f8ed323ab32b2612b8333d64742", "1a5bf7bbf82a4f8ed323ab32b2612b8333d64742")</f>
        <v>0</v>
      </c>
      <c r="C14059">
        <f>HYPERLINK("https://android.googlesource.com/platform/cts/+/5ac82de7bf7042dc965d9ea4a09b7e9b43fa2387", "5ac82de7bf7042dc965d9ea4a09b7e9b43fa2387")</f>
        <v>0</v>
      </c>
      <c r="D14059" t="s">
        <v>5345</v>
      </c>
      <c r="E14059" t="s">
        <v>7925</v>
      </c>
      <c r="F14059" t="s">
        <v>12817</v>
      </c>
      <c r="G14059" t="s">
        <v>16629</v>
      </c>
      <c r="H14059" t="s">
        <v>22751</v>
      </c>
    </row>
    <row r="14060" spans="1:8">
      <c r="A14060" t="s">
        <v>2195</v>
      </c>
      <c r="B14060">
        <f>HYPERLINK("https://android.googlesource.com/platform/cts/+/b1d786b775a892c92f3003fadcc0bdba860d793a", "b1d786b775a892c92f3003fadcc0bdba860d793a")</f>
        <v>0</v>
      </c>
      <c r="C14060">
        <f>HYPERLINK("https://android.googlesource.com/platform/cts/+/007e4d2085c4066edd4fd57ffcd08d6d1b1684f6", "007e4d2085c4066edd4fd57ffcd08d6d1b1684f6")</f>
        <v>0</v>
      </c>
      <c r="D14060" t="s">
        <v>5147</v>
      </c>
      <c r="E14060" t="s">
        <v>7926</v>
      </c>
      <c r="F14060" t="s">
        <v>10700</v>
      </c>
      <c r="G14060" t="s">
        <v>15100</v>
      </c>
      <c r="H14060" t="s">
        <v>31035</v>
      </c>
    </row>
    <row r="14061" spans="1:8">
      <c r="H14061" t="s">
        <v>31036</v>
      </c>
    </row>
    <row r="14062" spans="1:8">
      <c r="H14062" t="s">
        <v>31037</v>
      </c>
    </row>
    <row r="14063" spans="1:8">
      <c r="H14063" t="s">
        <v>31038</v>
      </c>
    </row>
    <row r="14064" spans="1:8">
      <c r="F14064" t="s">
        <v>13705</v>
      </c>
      <c r="G14064" t="s">
        <v>17773</v>
      </c>
      <c r="H14064" t="s">
        <v>25645</v>
      </c>
    </row>
    <row r="14065" spans="1:8">
      <c r="F14065" t="s">
        <v>13533</v>
      </c>
      <c r="G14065" t="s">
        <v>16849</v>
      </c>
      <c r="H14065" t="s">
        <v>25645</v>
      </c>
    </row>
    <row r="14066" spans="1:8">
      <c r="A14066" t="s">
        <v>2196</v>
      </c>
      <c r="B14066">
        <f>HYPERLINK("https://android.googlesource.com/platform/cts/+/45349ecfef242b3b61205df954c49792fce74710", "45349ecfef242b3b61205df954c49792fce74710")</f>
        <v>0</v>
      </c>
      <c r="C14066">
        <f>HYPERLINK("https://android.googlesource.com/platform/cts/+/4dce4146751513f24b4cb93668be05217075a1a0", "4dce4146751513f24b4cb93668be05217075a1a0")</f>
        <v>0</v>
      </c>
      <c r="D14066" t="s">
        <v>5346</v>
      </c>
      <c r="E14066" t="s">
        <v>7927</v>
      </c>
      <c r="F14066" t="s">
        <v>13707</v>
      </c>
      <c r="G14066" t="s">
        <v>17775</v>
      </c>
      <c r="H14066" t="s">
        <v>31045</v>
      </c>
    </row>
    <row r="14067" spans="1:8">
      <c r="A14067" t="s">
        <v>2197</v>
      </c>
      <c r="B14067">
        <f>HYPERLINK("https://android.googlesource.com/platform/cts/+/51610aef93901fce897e0ca502195848c981740d", "51610aef93901fce897e0ca502195848c981740d")</f>
        <v>0</v>
      </c>
      <c r="C14067">
        <f>HYPERLINK("https://android.googlesource.com/platform/cts/+/123e1413fed13c69421dae351fdd115dcd61b2bb", "123e1413fed13c69421dae351fdd115dcd61b2bb")</f>
        <v>0</v>
      </c>
      <c r="D14067" t="s">
        <v>5346</v>
      </c>
      <c r="E14067" t="s">
        <v>7928</v>
      </c>
      <c r="F14067" t="s">
        <v>13707</v>
      </c>
      <c r="G14067" t="s">
        <v>17775</v>
      </c>
      <c r="H14067" t="s">
        <v>31045</v>
      </c>
    </row>
    <row r="14068" spans="1:8">
      <c r="A14068" t="s">
        <v>2198</v>
      </c>
      <c r="B14068">
        <f>HYPERLINK("https://android.googlesource.com/platform/cts/+/83a470242cdd0fe89b3d6bc92edf7f02ff784689", "83a470242cdd0fe89b3d6bc92edf7f02ff784689")</f>
        <v>0</v>
      </c>
      <c r="C14068">
        <f>HYPERLINK("https://android.googlesource.com/platform/cts/+/01b53c305fcd43352d1c592a75cda7ee5df78648", "01b53c305fcd43352d1c592a75cda7ee5df78648")</f>
        <v>0</v>
      </c>
      <c r="D14068" t="s">
        <v>5346</v>
      </c>
      <c r="E14068" t="s">
        <v>7929</v>
      </c>
      <c r="F14068" t="s">
        <v>13707</v>
      </c>
      <c r="G14068" t="s">
        <v>17775</v>
      </c>
      <c r="H14068" t="s">
        <v>31045</v>
      </c>
    </row>
    <row r="14069" spans="1:8">
      <c r="A14069" t="s">
        <v>2200</v>
      </c>
      <c r="B14069">
        <f>HYPERLINK("https://android.googlesource.com/platform/cts/+/6636907b037a817011c74fcf36636335760c939f", "6636907b037a817011c74fcf36636335760c939f")</f>
        <v>0</v>
      </c>
      <c r="C14069">
        <f>HYPERLINK("https://android.googlesource.com/platform/cts/+/e69d57706c20b217820bcb45fc860986468721cd", "e69d57706c20b217820bcb45fc860986468721cd")</f>
        <v>0</v>
      </c>
      <c r="D14069" t="s">
        <v>5085</v>
      </c>
      <c r="E14069" t="s">
        <v>7931</v>
      </c>
      <c r="F14069" t="s">
        <v>13708</v>
      </c>
      <c r="G14069" t="s">
        <v>17776</v>
      </c>
      <c r="H14069" t="s">
        <v>31046</v>
      </c>
    </row>
    <row r="14070" spans="1:8">
      <c r="A14070" t="s">
        <v>2201</v>
      </c>
      <c r="B14070">
        <f>HYPERLINK("https://android.googlesource.com/platform/cts/+/9286697901c3a39a449cd9b2f7d6478bc94ba5be", "9286697901c3a39a449cd9b2f7d6478bc94ba5be")</f>
        <v>0</v>
      </c>
      <c r="C14070">
        <f>HYPERLINK("https://android.googlesource.com/platform/cts/+/032e6c45051a10e2fcf583e4592c3fdce970f048", "032e6c45051a10e2fcf583e4592c3fdce970f048")</f>
        <v>0</v>
      </c>
      <c r="D14070" t="s">
        <v>5347</v>
      </c>
      <c r="E14070" t="s">
        <v>7932</v>
      </c>
      <c r="F14070" t="s">
        <v>10627</v>
      </c>
      <c r="G14070" t="s">
        <v>15030</v>
      </c>
      <c r="H14070" t="s">
        <v>31048</v>
      </c>
    </row>
    <row r="14071" spans="1:8">
      <c r="H14071" t="s">
        <v>31049</v>
      </c>
    </row>
    <row r="14072" spans="1:8">
      <c r="H14072" t="s">
        <v>31050</v>
      </c>
    </row>
    <row r="14073" spans="1:8">
      <c r="H14073" t="s">
        <v>31051</v>
      </c>
    </row>
    <row r="14074" spans="1:8">
      <c r="H14074" t="s">
        <v>31052</v>
      </c>
    </row>
    <row r="14075" spans="1:8">
      <c r="H14075" t="s">
        <v>31053</v>
      </c>
    </row>
    <row r="14076" spans="1:8">
      <c r="H14076" t="s">
        <v>31054</v>
      </c>
    </row>
    <row r="14077" spans="1:8">
      <c r="H14077" t="s">
        <v>28813</v>
      </c>
    </row>
    <row r="14078" spans="1:8">
      <c r="H14078" t="s">
        <v>28814</v>
      </c>
    </row>
    <row r="14079" spans="1:8">
      <c r="H14079" t="s">
        <v>31055</v>
      </c>
    </row>
    <row r="14080" spans="1:8">
      <c r="H14080" t="s">
        <v>31056</v>
      </c>
    </row>
    <row r="14081" spans="8:8">
      <c r="H14081" t="s">
        <v>31057</v>
      </c>
    </row>
    <row r="14082" spans="8:8">
      <c r="H14082" t="s">
        <v>31058</v>
      </c>
    </row>
    <row r="14083" spans="8:8">
      <c r="H14083" t="s">
        <v>31059</v>
      </c>
    </row>
    <row r="14084" spans="8:8">
      <c r="H14084" t="s">
        <v>31060</v>
      </c>
    </row>
    <row r="14085" spans="8:8">
      <c r="H14085" t="s">
        <v>31061</v>
      </c>
    </row>
    <row r="14086" spans="8:8">
      <c r="H14086" t="s">
        <v>31062</v>
      </c>
    </row>
    <row r="14087" spans="8:8">
      <c r="H14087" t="s">
        <v>31063</v>
      </c>
    </row>
    <row r="14088" spans="8:8">
      <c r="H14088" t="s">
        <v>31064</v>
      </c>
    </row>
    <row r="14089" spans="8:8">
      <c r="H14089" t="s">
        <v>31065</v>
      </c>
    </row>
    <row r="14090" spans="8:8">
      <c r="H14090" t="s">
        <v>31066</v>
      </c>
    </row>
    <row r="14091" spans="8:8">
      <c r="H14091" t="s">
        <v>31067</v>
      </c>
    </row>
    <row r="14092" spans="8:8">
      <c r="H14092" t="s">
        <v>31068</v>
      </c>
    </row>
    <row r="14093" spans="8:8">
      <c r="H14093" t="s">
        <v>31069</v>
      </c>
    </row>
    <row r="14094" spans="8:8">
      <c r="H14094" t="s">
        <v>31070</v>
      </c>
    </row>
    <row r="14095" spans="8:8">
      <c r="H14095" t="s">
        <v>31071</v>
      </c>
    </row>
    <row r="14096" spans="8:8">
      <c r="H14096" t="s">
        <v>31072</v>
      </c>
    </row>
    <row r="14097" spans="8:8">
      <c r="H14097" t="s">
        <v>31073</v>
      </c>
    </row>
    <row r="14098" spans="8:8">
      <c r="H14098" t="s">
        <v>31074</v>
      </c>
    </row>
    <row r="14099" spans="8:8">
      <c r="H14099" t="s">
        <v>31075</v>
      </c>
    </row>
    <row r="14100" spans="8:8">
      <c r="H14100" t="s">
        <v>31076</v>
      </c>
    </row>
    <row r="14101" spans="8:8">
      <c r="H14101" t="s">
        <v>31077</v>
      </c>
    </row>
    <row r="14102" spans="8:8">
      <c r="H14102" t="s">
        <v>31078</v>
      </c>
    </row>
    <row r="14103" spans="8:8">
      <c r="H14103" t="s">
        <v>31079</v>
      </c>
    </row>
    <row r="14104" spans="8:8">
      <c r="H14104" t="s">
        <v>31080</v>
      </c>
    </row>
    <row r="14105" spans="8:8">
      <c r="H14105" t="s">
        <v>31081</v>
      </c>
    </row>
    <row r="14106" spans="8:8">
      <c r="H14106" t="s">
        <v>31082</v>
      </c>
    </row>
    <row r="14107" spans="8:8">
      <c r="H14107" t="s">
        <v>31083</v>
      </c>
    </row>
    <row r="14108" spans="8:8">
      <c r="H14108" t="s">
        <v>31084</v>
      </c>
    </row>
    <row r="14109" spans="8:8">
      <c r="H14109" t="s">
        <v>31085</v>
      </c>
    </row>
    <row r="14110" spans="8:8">
      <c r="H14110" t="s">
        <v>31086</v>
      </c>
    </row>
    <row r="14111" spans="8:8">
      <c r="H14111" t="s">
        <v>31087</v>
      </c>
    </row>
    <row r="14112" spans="8:8">
      <c r="H14112" t="s">
        <v>31088</v>
      </c>
    </row>
    <row r="14113" spans="8:8">
      <c r="H14113" t="s">
        <v>31089</v>
      </c>
    </row>
    <row r="14114" spans="8:8">
      <c r="H14114" t="s">
        <v>31090</v>
      </c>
    </row>
    <row r="14115" spans="8:8">
      <c r="H14115" t="s">
        <v>31091</v>
      </c>
    </row>
    <row r="14116" spans="8:8">
      <c r="H14116" t="s">
        <v>31092</v>
      </c>
    </row>
    <row r="14117" spans="8:8">
      <c r="H14117" t="s">
        <v>31093</v>
      </c>
    </row>
    <row r="14118" spans="8:8">
      <c r="H14118" t="s">
        <v>31094</v>
      </c>
    </row>
    <row r="14119" spans="8:8">
      <c r="H14119" t="s">
        <v>31095</v>
      </c>
    </row>
    <row r="14120" spans="8:8">
      <c r="H14120" t="s">
        <v>31096</v>
      </c>
    </row>
    <row r="14121" spans="8:8">
      <c r="H14121" t="s">
        <v>31098</v>
      </c>
    </row>
    <row r="14122" spans="8:8">
      <c r="H14122" t="s">
        <v>31099</v>
      </c>
    </row>
    <row r="14123" spans="8:8">
      <c r="H14123" t="s">
        <v>31100</v>
      </c>
    </row>
    <row r="14124" spans="8:8">
      <c r="H14124" t="s">
        <v>31101</v>
      </c>
    </row>
    <row r="14125" spans="8:8">
      <c r="H14125" t="s">
        <v>31102</v>
      </c>
    </row>
    <row r="14126" spans="8:8">
      <c r="H14126" t="s">
        <v>31103</v>
      </c>
    </row>
    <row r="14127" spans="8:8">
      <c r="H14127" t="s">
        <v>31104</v>
      </c>
    </row>
    <row r="14128" spans="8:8">
      <c r="H14128" t="s">
        <v>31105</v>
      </c>
    </row>
    <row r="14129" spans="8:8">
      <c r="H14129" t="s">
        <v>31106</v>
      </c>
    </row>
    <row r="14130" spans="8:8">
      <c r="H14130" t="s">
        <v>31107</v>
      </c>
    </row>
    <row r="14131" spans="8:8">
      <c r="H14131" t="s">
        <v>31108</v>
      </c>
    </row>
    <row r="14132" spans="8:8">
      <c r="H14132" t="s">
        <v>31109</v>
      </c>
    </row>
    <row r="14133" spans="8:8">
      <c r="H14133" t="s">
        <v>31110</v>
      </c>
    </row>
    <row r="14134" spans="8:8">
      <c r="H14134" t="s">
        <v>31111</v>
      </c>
    </row>
    <row r="14135" spans="8:8">
      <c r="H14135" t="s">
        <v>31112</v>
      </c>
    </row>
    <row r="14136" spans="8:8">
      <c r="H14136" t="s">
        <v>31114</v>
      </c>
    </row>
    <row r="14137" spans="8:8">
      <c r="H14137" t="s">
        <v>31115</v>
      </c>
    </row>
    <row r="14138" spans="8:8">
      <c r="H14138" t="s">
        <v>31116</v>
      </c>
    </row>
    <row r="14139" spans="8:8">
      <c r="H14139" t="s">
        <v>31117</v>
      </c>
    </row>
    <row r="14140" spans="8:8">
      <c r="H14140" t="s">
        <v>31118</v>
      </c>
    </row>
    <row r="14141" spans="8:8">
      <c r="H14141" t="s">
        <v>31119</v>
      </c>
    </row>
    <row r="14142" spans="8:8">
      <c r="H14142" t="s">
        <v>31120</v>
      </c>
    </row>
    <row r="14143" spans="8:8">
      <c r="H14143" t="s">
        <v>31121</v>
      </c>
    </row>
    <row r="14144" spans="8:8">
      <c r="H14144" t="s">
        <v>31122</v>
      </c>
    </row>
    <row r="14145" spans="8:8">
      <c r="H14145" t="s">
        <v>31123</v>
      </c>
    </row>
    <row r="14146" spans="8:8">
      <c r="H14146" t="s">
        <v>31124</v>
      </c>
    </row>
    <row r="14147" spans="8:8">
      <c r="H14147" t="s">
        <v>31125</v>
      </c>
    </row>
    <row r="14148" spans="8:8">
      <c r="H14148" t="s">
        <v>31126</v>
      </c>
    </row>
    <row r="14149" spans="8:8">
      <c r="H14149" t="s">
        <v>31127</v>
      </c>
    </row>
    <row r="14150" spans="8:8">
      <c r="H14150" t="s">
        <v>31128</v>
      </c>
    </row>
    <row r="14151" spans="8:8">
      <c r="H14151" t="s">
        <v>31129</v>
      </c>
    </row>
    <row r="14152" spans="8:8">
      <c r="H14152" t="s">
        <v>31130</v>
      </c>
    </row>
    <row r="14153" spans="8:8">
      <c r="H14153" t="s">
        <v>31131</v>
      </c>
    </row>
    <row r="14154" spans="8:8">
      <c r="H14154" t="s">
        <v>31132</v>
      </c>
    </row>
    <row r="14155" spans="8:8">
      <c r="H14155" t="s">
        <v>31133</v>
      </c>
    </row>
    <row r="14156" spans="8:8">
      <c r="H14156" t="s">
        <v>31134</v>
      </c>
    </row>
    <row r="14157" spans="8:8">
      <c r="H14157" t="s">
        <v>31135</v>
      </c>
    </row>
    <row r="14158" spans="8:8">
      <c r="H14158" t="s">
        <v>31136</v>
      </c>
    </row>
    <row r="14159" spans="8:8">
      <c r="H14159" t="s">
        <v>31137</v>
      </c>
    </row>
    <row r="14160" spans="8:8">
      <c r="H14160" t="s">
        <v>31138</v>
      </c>
    </row>
    <row r="14161" spans="8:8">
      <c r="H14161" t="s">
        <v>31139</v>
      </c>
    </row>
    <row r="14162" spans="8:8">
      <c r="H14162" t="s">
        <v>31140</v>
      </c>
    </row>
    <row r="14163" spans="8:8">
      <c r="H14163" t="s">
        <v>31141</v>
      </c>
    </row>
    <row r="14164" spans="8:8">
      <c r="H14164" t="s">
        <v>31142</v>
      </c>
    </row>
    <row r="14165" spans="8:8">
      <c r="H14165" t="s">
        <v>31143</v>
      </c>
    </row>
    <row r="14166" spans="8:8">
      <c r="H14166" t="s">
        <v>31144</v>
      </c>
    </row>
    <row r="14167" spans="8:8">
      <c r="H14167" t="s">
        <v>31145</v>
      </c>
    </row>
    <row r="14168" spans="8:8">
      <c r="H14168" t="s">
        <v>31146</v>
      </c>
    </row>
    <row r="14169" spans="8:8">
      <c r="H14169" t="s">
        <v>31147</v>
      </c>
    </row>
    <row r="14170" spans="8:8">
      <c r="H14170" t="s">
        <v>31148</v>
      </c>
    </row>
    <row r="14171" spans="8:8">
      <c r="H14171" t="s">
        <v>31149</v>
      </c>
    </row>
    <row r="14172" spans="8:8">
      <c r="H14172" t="s">
        <v>31150</v>
      </c>
    </row>
    <row r="14173" spans="8:8">
      <c r="H14173" t="s">
        <v>31151</v>
      </c>
    </row>
    <row r="14174" spans="8:8">
      <c r="H14174" t="s">
        <v>31152</v>
      </c>
    </row>
    <row r="14175" spans="8:8">
      <c r="H14175" t="s">
        <v>31153</v>
      </c>
    </row>
    <row r="14176" spans="8:8">
      <c r="H14176" t="s">
        <v>31154</v>
      </c>
    </row>
    <row r="14177" spans="8:8">
      <c r="H14177" t="s">
        <v>31155</v>
      </c>
    </row>
    <row r="14178" spans="8:8">
      <c r="H14178" t="s">
        <v>31156</v>
      </c>
    </row>
    <row r="14179" spans="8:8">
      <c r="H14179" t="s">
        <v>31157</v>
      </c>
    </row>
    <row r="14180" spans="8:8">
      <c r="H14180" t="s">
        <v>31158</v>
      </c>
    </row>
    <row r="14181" spans="8:8">
      <c r="H14181" t="s">
        <v>31159</v>
      </c>
    </row>
    <row r="14182" spans="8:8">
      <c r="H14182" t="s">
        <v>31160</v>
      </c>
    </row>
    <row r="14183" spans="8:8">
      <c r="H14183" t="s">
        <v>31161</v>
      </c>
    </row>
    <row r="14184" spans="8:8">
      <c r="H14184" t="s">
        <v>31162</v>
      </c>
    </row>
    <row r="14185" spans="8:8">
      <c r="H14185" t="s">
        <v>31163</v>
      </c>
    </row>
    <row r="14186" spans="8:8">
      <c r="H14186" t="s">
        <v>31164</v>
      </c>
    </row>
    <row r="14187" spans="8:8">
      <c r="H14187" t="s">
        <v>31165</v>
      </c>
    </row>
    <row r="14188" spans="8:8">
      <c r="H14188" t="s">
        <v>31166</v>
      </c>
    </row>
    <row r="14189" spans="8:8">
      <c r="H14189" t="s">
        <v>31167</v>
      </c>
    </row>
    <row r="14190" spans="8:8">
      <c r="H14190" t="s">
        <v>31168</v>
      </c>
    </row>
    <row r="14191" spans="8:8">
      <c r="H14191" t="s">
        <v>31169</v>
      </c>
    </row>
    <row r="14192" spans="8:8">
      <c r="H14192" t="s">
        <v>31170</v>
      </c>
    </row>
    <row r="14193" spans="8:8">
      <c r="H14193" t="s">
        <v>31171</v>
      </c>
    </row>
    <row r="14194" spans="8:8">
      <c r="H14194" t="s">
        <v>31172</v>
      </c>
    </row>
    <row r="14195" spans="8:8">
      <c r="H14195" t="s">
        <v>31173</v>
      </c>
    </row>
    <row r="14196" spans="8:8">
      <c r="H14196" t="s">
        <v>31174</v>
      </c>
    </row>
    <row r="14197" spans="8:8">
      <c r="H14197" t="s">
        <v>31175</v>
      </c>
    </row>
    <row r="14198" spans="8:8">
      <c r="H14198" t="s">
        <v>31176</v>
      </c>
    </row>
    <row r="14199" spans="8:8">
      <c r="H14199" t="s">
        <v>31177</v>
      </c>
    </row>
    <row r="14200" spans="8:8">
      <c r="H14200" t="s">
        <v>31178</v>
      </c>
    </row>
    <row r="14201" spans="8:8">
      <c r="H14201" t="s">
        <v>31179</v>
      </c>
    </row>
    <row r="14202" spans="8:8">
      <c r="H14202" t="s">
        <v>31180</v>
      </c>
    </row>
    <row r="14203" spans="8:8">
      <c r="H14203" t="s">
        <v>31181</v>
      </c>
    </row>
    <row r="14204" spans="8:8">
      <c r="H14204" t="s">
        <v>31182</v>
      </c>
    </row>
    <row r="14205" spans="8:8">
      <c r="H14205" t="s">
        <v>31183</v>
      </c>
    </row>
    <row r="14206" spans="8:8">
      <c r="H14206" t="s">
        <v>31184</v>
      </c>
    </row>
    <row r="14207" spans="8:8">
      <c r="H14207" t="s">
        <v>31185</v>
      </c>
    </row>
    <row r="14208" spans="8:8">
      <c r="H14208" t="s">
        <v>31186</v>
      </c>
    </row>
    <row r="14209" spans="1:8">
      <c r="H14209" t="s">
        <v>31187</v>
      </c>
    </row>
    <row r="14210" spans="1:8">
      <c r="H14210" t="s">
        <v>31188</v>
      </c>
    </row>
    <row r="14211" spans="1:8">
      <c r="H14211" t="s">
        <v>31189</v>
      </c>
    </row>
    <row r="14212" spans="1:8">
      <c r="H14212" t="s">
        <v>31190</v>
      </c>
    </row>
    <row r="14213" spans="1:8">
      <c r="H14213" t="s">
        <v>31191</v>
      </c>
    </row>
    <row r="14214" spans="1:8">
      <c r="H14214" t="s">
        <v>31192</v>
      </c>
    </row>
    <row r="14215" spans="1:8">
      <c r="H14215" t="s">
        <v>31193</v>
      </c>
    </row>
    <row r="14216" spans="1:8">
      <c r="H14216" t="s">
        <v>31194</v>
      </c>
    </row>
    <row r="14217" spans="1:8">
      <c r="H14217" t="s">
        <v>31195</v>
      </c>
    </row>
    <row r="14218" spans="1:8">
      <c r="H14218" t="s">
        <v>31196</v>
      </c>
    </row>
    <row r="14219" spans="1:8">
      <c r="H14219" t="s">
        <v>31197</v>
      </c>
    </row>
    <row r="14220" spans="1:8">
      <c r="H14220" t="s">
        <v>31198</v>
      </c>
    </row>
    <row r="14221" spans="1:8">
      <c r="H14221" t="s">
        <v>31199</v>
      </c>
    </row>
    <row r="14222" spans="1:8">
      <c r="H14222" t="s">
        <v>31201</v>
      </c>
    </row>
    <row r="14223" spans="1:8">
      <c r="H14223" t="s">
        <v>29130</v>
      </c>
    </row>
    <row r="14224" spans="1:8">
      <c r="A14224" t="s">
        <v>2203</v>
      </c>
      <c r="B14224">
        <f>HYPERLINK("https://android.googlesource.com/platform/cts/+/86b06ad1e44112002c59373343111cfd1c04818d", "86b06ad1e44112002c59373343111cfd1c04818d")</f>
        <v>0</v>
      </c>
      <c r="C14224">
        <f>HYPERLINK("https://android.googlesource.com/platform/cts/+/c1bb23330c6798871e51cca6cf4ff96c28e66a5b", "c1bb23330c6798871e51cca6cf4ff96c28e66a5b")</f>
        <v>0</v>
      </c>
      <c r="D14224" t="s">
        <v>5314</v>
      </c>
      <c r="E14224" t="s">
        <v>7934</v>
      </c>
      <c r="F14224" t="s">
        <v>13710</v>
      </c>
      <c r="G14224" t="s">
        <v>17778</v>
      </c>
      <c r="H14224" t="s">
        <v>31203</v>
      </c>
    </row>
    <row r="14225" spans="1:8">
      <c r="A14225" t="s">
        <v>2204</v>
      </c>
      <c r="B14225">
        <f>HYPERLINK("https://android.googlesource.com/platform/cts/+/72f161c5b17442e227e4d2aec895aca863681fb5", "72f161c5b17442e227e4d2aec895aca863681fb5")</f>
        <v>0</v>
      </c>
      <c r="C14225">
        <f>HYPERLINK("https://android.googlesource.com/platform/cts/+/f9d5044212ec4529ee691544dd627943712aa83d", "f9d5044212ec4529ee691544dd627943712aa83d")</f>
        <v>0</v>
      </c>
      <c r="D14225" t="s">
        <v>5348</v>
      </c>
      <c r="E14225" t="s">
        <v>7935</v>
      </c>
      <c r="F14225" t="s">
        <v>12710</v>
      </c>
      <c r="G14225" t="s">
        <v>16911</v>
      </c>
      <c r="H14225" t="s">
        <v>31204</v>
      </c>
    </row>
    <row r="14226" spans="1:8">
      <c r="A14226" t="s">
        <v>2205</v>
      </c>
      <c r="B14226">
        <f>HYPERLINK("https://android.googlesource.com/platform/cts/+/5101344599c7407945461434853f491cae929480", "5101344599c7407945461434853f491cae929480")</f>
        <v>0</v>
      </c>
      <c r="C14226">
        <f>HYPERLINK("https://android.googlesource.com/platform/cts/+/15894f5be206541a5ad380aef49d6a4ce0c3232f", "15894f5be206541a5ad380aef49d6a4ce0c3232f")</f>
        <v>0</v>
      </c>
      <c r="D14226" t="s">
        <v>5349</v>
      </c>
      <c r="E14226" t="s">
        <v>7936</v>
      </c>
      <c r="F14226" t="s">
        <v>12710</v>
      </c>
      <c r="G14226" t="s">
        <v>16911</v>
      </c>
      <c r="H14226" t="s">
        <v>31205</v>
      </c>
    </row>
    <row r="14227" spans="1:8">
      <c r="A14227" t="s">
        <v>2206</v>
      </c>
      <c r="B14227">
        <f>HYPERLINK("https://android.googlesource.com/platform/cts/+/190c5a3c785aedd1fc5607ff322c06f298b9866a", "190c5a3c785aedd1fc5607ff322c06f298b9866a")</f>
        <v>0</v>
      </c>
      <c r="C14227">
        <f>HYPERLINK("https://android.googlesource.com/platform/cts/+/fc5c43cc0fabeadc300c377a487645a694b3e270", "fc5c43cc0fabeadc300c377a487645a694b3e270")</f>
        <v>0</v>
      </c>
      <c r="D14227" t="s">
        <v>5350</v>
      </c>
      <c r="E14227" t="s">
        <v>7937</v>
      </c>
      <c r="F14227" t="s">
        <v>13711</v>
      </c>
      <c r="G14227" t="s">
        <v>17779</v>
      </c>
      <c r="H14227" t="s">
        <v>31206</v>
      </c>
    </row>
    <row r="14228" spans="1:8">
      <c r="H14228" t="s">
        <v>31207</v>
      </c>
    </row>
    <row r="14229" spans="1:8">
      <c r="H14229" t="s">
        <v>31208</v>
      </c>
    </row>
    <row r="14230" spans="1:8">
      <c r="H14230" t="s">
        <v>31209</v>
      </c>
    </row>
    <row r="14231" spans="1:8">
      <c r="H14231" t="s">
        <v>31210</v>
      </c>
    </row>
    <row r="14232" spans="1:8">
      <c r="H14232" t="s">
        <v>31211</v>
      </c>
    </row>
    <row r="14233" spans="1:8">
      <c r="H14233" t="s">
        <v>31212</v>
      </c>
    </row>
    <row r="14234" spans="1:8">
      <c r="H14234" t="s">
        <v>31213</v>
      </c>
    </row>
    <row r="14235" spans="1:8">
      <c r="H14235" t="s">
        <v>31214</v>
      </c>
    </row>
    <row r="14236" spans="1:8">
      <c r="A14236" t="s">
        <v>2208</v>
      </c>
      <c r="B14236">
        <f>HYPERLINK("https://android.googlesource.com/platform/cts/+/4879e642c08d8b8207cb04c1a15aa34d62c2bfeb", "4879e642c08d8b8207cb04c1a15aa34d62c2bfeb")</f>
        <v>0</v>
      </c>
      <c r="C14236">
        <f>HYPERLINK("https://android.googlesource.com/platform/cts/+/c0e865ff53bc603ae329ee00980f2f7c38ec54dc", "c0e865ff53bc603ae329ee00980f2f7c38ec54dc")</f>
        <v>0</v>
      </c>
      <c r="D14236" t="s">
        <v>5230</v>
      </c>
      <c r="E14236" t="s">
        <v>7939</v>
      </c>
      <c r="F14236" t="s">
        <v>12224</v>
      </c>
      <c r="G14236" t="s">
        <v>16454</v>
      </c>
      <c r="H14236" t="s">
        <v>31215</v>
      </c>
    </row>
    <row r="14237" spans="1:8">
      <c r="A14237" t="s">
        <v>2209</v>
      </c>
      <c r="B14237">
        <f>HYPERLINK("https://android.googlesource.com/platform/cts/+/64df6eb378b36cbcd7520d413addaf241e2731b0", "64df6eb378b36cbcd7520d413addaf241e2731b0")</f>
        <v>0</v>
      </c>
      <c r="C14237">
        <f>HYPERLINK("https://android.googlesource.com/platform/cts/+/d28d0dcaefe6f66e9d0801fbcbf9365c18e1c350", "d28d0dcaefe6f66e9d0801fbcbf9365c18e1c350")</f>
        <v>0</v>
      </c>
      <c r="D14237" t="s">
        <v>5351</v>
      </c>
      <c r="E14237" t="s">
        <v>7940</v>
      </c>
      <c r="F14237" t="s">
        <v>13091</v>
      </c>
      <c r="G14237" t="s">
        <v>17253</v>
      </c>
      <c r="H14237" t="s">
        <v>19220</v>
      </c>
    </row>
    <row r="14238" spans="1:8">
      <c r="A14238" t="s">
        <v>2210</v>
      </c>
      <c r="B14238">
        <f>HYPERLINK("https://android.googlesource.com/platform/cts/+/54f9eec442f3530332911e8628a7eade07264c9c", "54f9eec442f3530332911e8628a7eade07264c9c")</f>
        <v>0</v>
      </c>
      <c r="C14238">
        <f>HYPERLINK("https://android.googlesource.com/platform/cts/+/d28d0dcaefe6f66e9d0801fbcbf9365c18e1c350", "d28d0dcaefe6f66e9d0801fbcbf9365c18e1c350")</f>
        <v>0</v>
      </c>
      <c r="D14238" t="s">
        <v>5351</v>
      </c>
      <c r="E14238" t="s">
        <v>7941</v>
      </c>
      <c r="F14238" t="s">
        <v>13712</v>
      </c>
      <c r="G14238" t="s">
        <v>17780</v>
      </c>
      <c r="H14238" t="s">
        <v>31216</v>
      </c>
    </row>
    <row r="14239" spans="1:8">
      <c r="A14239" t="s">
        <v>2213</v>
      </c>
      <c r="B14239">
        <f>HYPERLINK("https://android.googlesource.com/platform/cts/+/cd1ad722080039a38249175cb2e707a4cd18da73", "cd1ad722080039a38249175cb2e707a4cd18da73")</f>
        <v>0</v>
      </c>
      <c r="C14239">
        <f>HYPERLINK("https://android.googlesource.com/platform/cts/+/2c35e49fc446b0ab4dfee5fdcfe4a05631df552e", "2c35e49fc446b0ab4dfee5fdcfe4a05631df552e")</f>
        <v>0</v>
      </c>
      <c r="D14239" t="s">
        <v>5352</v>
      </c>
      <c r="E14239" t="s">
        <v>7944</v>
      </c>
      <c r="F14239" t="s">
        <v>13715</v>
      </c>
      <c r="G14239" t="s">
        <v>17782</v>
      </c>
      <c r="H14239" t="s">
        <v>31219</v>
      </c>
    </row>
    <row r="14240" spans="1:8">
      <c r="H14240" t="s">
        <v>31220</v>
      </c>
    </row>
    <row r="14241" spans="1:8">
      <c r="H14241" t="s">
        <v>31221</v>
      </c>
    </row>
    <row r="14242" spans="1:8">
      <c r="H14242" t="s">
        <v>31222</v>
      </c>
    </row>
    <row r="14243" spans="1:8">
      <c r="A14243" t="s">
        <v>2214</v>
      </c>
      <c r="B14243">
        <f>HYPERLINK("https://android.googlesource.com/platform/cts/+/5a564328c3c4a1e71e87ec2fbc3e0cc07714c846", "5a564328c3c4a1e71e87ec2fbc3e0cc07714c846")</f>
        <v>0</v>
      </c>
      <c r="C14243">
        <f>HYPERLINK("https://android.googlesource.com/platform/cts/+/0b6c2a5ad8fe399c592306b8de02eda59986e313", "0b6c2a5ad8fe399c592306b8de02eda59986e313")</f>
        <v>0</v>
      </c>
      <c r="D14243" t="s">
        <v>5349</v>
      </c>
      <c r="E14243" t="s">
        <v>7945</v>
      </c>
      <c r="F14243" t="s">
        <v>12710</v>
      </c>
      <c r="G14243" t="s">
        <v>16911</v>
      </c>
      <c r="H14243" t="s">
        <v>31204</v>
      </c>
    </row>
    <row r="14244" spans="1:8">
      <c r="A14244" t="s">
        <v>2217</v>
      </c>
      <c r="B14244">
        <f>HYPERLINK("https://android.googlesource.com/platform/cts/+/ceb1866c29226f9703cbf63a5e155b00fd0c060c", "ceb1866c29226f9703cbf63a5e155b00fd0c060c")</f>
        <v>0</v>
      </c>
      <c r="C14244">
        <f>HYPERLINK("https://android.googlesource.com/platform/cts/+/068b2ab654ae1eaf8f4ca8fd783fe05d94f214d6", "068b2ab654ae1eaf8f4ca8fd783fe05d94f214d6")</f>
        <v>0</v>
      </c>
      <c r="D14244" t="s">
        <v>5128</v>
      </c>
      <c r="E14244" t="s">
        <v>7948</v>
      </c>
      <c r="F14244" t="s">
        <v>13717</v>
      </c>
      <c r="G14244" t="s">
        <v>17784</v>
      </c>
      <c r="H14244" t="s">
        <v>31229</v>
      </c>
    </row>
    <row r="14245" spans="1:8">
      <c r="A14245" t="s">
        <v>2218</v>
      </c>
      <c r="B14245">
        <f>HYPERLINK("https://android.googlesource.com/platform/cts/+/913b9144fe9d1594f9944a38f1a67bd5791cf169", "913b9144fe9d1594f9944a38f1a67bd5791cf169")</f>
        <v>0</v>
      </c>
      <c r="C14245">
        <f>HYPERLINK("https://android.googlesource.com/platform/cts/+/6e83813ff33d9236771386be698300cb4e65b309", "6e83813ff33d9236771386be698300cb4e65b309")</f>
        <v>0</v>
      </c>
      <c r="D14245" t="s">
        <v>5334</v>
      </c>
      <c r="E14245" t="s">
        <v>7949</v>
      </c>
      <c r="F14245" t="s">
        <v>13718</v>
      </c>
      <c r="G14245" t="s">
        <v>17785</v>
      </c>
      <c r="H14245" t="s">
        <v>31230</v>
      </c>
    </row>
    <row r="14246" spans="1:8">
      <c r="F14246" t="s">
        <v>13719</v>
      </c>
      <c r="G14246" t="s">
        <v>17785</v>
      </c>
      <c r="H14246" t="s">
        <v>31230</v>
      </c>
    </row>
    <row r="14247" spans="1:8">
      <c r="A14247" t="s">
        <v>2219</v>
      </c>
      <c r="B14247">
        <f>HYPERLINK("https://android.googlesource.com/platform/cts/+/573bde08e02296c6be0c577a3de4da539a511832", "573bde08e02296c6be0c577a3de4da539a511832")</f>
        <v>0</v>
      </c>
      <c r="C14247">
        <f>HYPERLINK("https://android.googlesource.com/platform/cts/+/c37ad5cd71ca2d2fc91608db107b8aa9f52c5d7f", "c37ad5cd71ca2d2fc91608db107b8aa9f52c5d7f")</f>
        <v>0</v>
      </c>
      <c r="D14247" t="s">
        <v>5312</v>
      </c>
      <c r="E14247" t="s">
        <v>7950</v>
      </c>
      <c r="F14247" t="s">
        <v>13720</v>
      </c>
      <c r="G14247" t="s">
        <v>17786</v>
      </c>
      <c r="H14247" t="s">
        <v>31231</v>
      </c>
    </row>
    <row r="14248" spans="1:8">
      <c r="A14248" t="s">
        <v>2226</v>
      </c>
      <c r="B14248">
        <f>HYPERLINK("https://android.googlesource.com/platform/cts/+/611b91affbb7b90f18ec34c347a995718690c281", "611b91affbb7b90f18ec34c347a995718690c281")</f>
        <v>0</v>
      </c>
      <c r="C14248">
        <f>HYPERLINK("https://android.googlesource.com/platform/cts/+/19a9801d51b081e7a335b323b156554e58d195d7", "19a9801d51b081e7a335b323b156554e58d195d7")</f>
        <v>0</v>
      </c>
      <c r="D14248" t="s">
        <v>5250</v>
      </c>
      <c r="E14248" t="s">
        <v>7957</v>
      </c>
      <c r="F14248" t="s">
        <v>13727</v>
      </c>
      <c r="G14248" t="s">
        <v>17789</v>
      </c>
      <c r="H14248" t="s">
        <v>31249</v>
      </c>
    </row>
    <row r="14249" spans="1:8">
      <c r="A14249" t="s">
        <v>2227</v>
      </c>
      <c r="B14249">
        <f>HYPERLINK("https://android.googlesource.com/platform/cts/+/e410f16b7b15fa92bacc2d23df14ebb1f0089f18", "e410f16b7b15fa92bacc2d23df14ebb1f0089f18")</f>
        <v>0</v>
      </c>
      <c r="C14249">
        <f>HYPERLINK("https://android.googlesource.com/platform/cts/+/87d3aaaf2e19138c5b83dfb3cd4dde4b8627fbf1", "87d3aaaf2e19138c5b83dfb3cd4dde4b8627fbf1")</f>
        <v>0</v>
      </c>
      <c r="D14249" t="s">
        <v>5355</v>
      </c>
      <c r="E14249" t="s">
        <v>7958</v>
      </c>
      <c r="F14249" t="s">
        <v>13728</v>
      </c>
      <c r="G14249" t="s">
        <v>17790</v>
      </c>
      <c r="H14249" t="s">
        <v>31250</v>
      </c>
    </row>
    <row r="14250" spans="1:8">
      <c r="A14250" t="s">
        <v>2229</v>
      </c>
      <c r="B14250">
        <f>HYPERLINK("https://android.googlesource.com/platform/cts/+/fe80fa41fe7d2f567614a70c4a8c064a852051d9", "fe80fa41fe7d2f567614a70c4a8c064a852051d9")</f>
        <v>0</v>
      </c>
      <c r="C14250">
        <f>HYPERLINK("https://android.googlesource.com/platform/cts/+/8551ca012dea78ffa3e4fad645b9c35622b49997", "8551ca012dea78ffa3e4fad645b9c35622b49997")</f>
        <v>0</v>
      </c>
      <c r="D14250" t="s">
        <v>5349</v>
      </c>
      <c r="E14250" t="s">
        <v>7960</v>
      </c>
      <c r="F14250" t="s">
        <v>12710</v>
      </c>
      <c r="G14250" t="s">
        <v>16911</v>
      </c>
      <c r="H14250" t="s">
        <v>31252</v>
      </c>
    </row>
    <row r="14251" spans="1:8">
      <c r="A14251" t="s">
        <v>2230</v>
      </c>
      <c r="B14251">
        <f>HYPERLINK("https://android.googlesource.com/platform/cts/+/1012df8405b6e0e03da3a73d82b2a2a8a098d3ef", "1012df8405b6e0e03da3a73d82b2a2a8a098d3ef")</f>
        <v>0</v>
      </c>
      <c r="C14251">
        <f>HYPERLINK("https://android.googlesource.com/platform/cts/+/fe80fa41fe7d2f567614a70c4a8c064a852051d9", "fe80fa41fe7d2f567614a70c4a8c064a852051d9")</f>
        <v>0</v>
      </c>
      <c r="D14251" t="s">
        <v>5349</v>
      </c>
      <c r="E14251" t="s">
        <v>7961</v>
      </c>
      <c r="F14251" t="s">
        <v>12710</v>
      </c>
      <c r="G14251" t="s">
        <v>16911</v>
      </c>
      <c r="H14251" t="s">
        <v>31205</v>
      </c>
    </row>
    <row r="14252" spans="1:8">
      <c r="A14252" t="s">
        <v>2231</v>
      </c>
      <c r="B14252">
        <f>HYPERLINK("https://android.googlesource.com/platform/cts/+/f4af5fa24fd367be9b692e4003b074dd28cf31af", "f4af5fa24fd367be9b692e4003b074dd28cf31af")</f>
        <v>0</v>
      </c>
      <c r="C14252">
        <f>HYPERLINK("https://android.googlesource.com/platform/cts/+/1012df8405b6e0e03da3a73d82b2a2a8a098d3ef", "1012df8405b6e0e03da3a73d82b2a2a8a098d3ef")</f>
        <v>0</v>
      </c>
      <c r="D14252" t="s">
        <v>5349</v>
      </c>
      <c r="E14252" t="s">
        <v>7962</v>
      </c>
      <c r="F14252" t="s">
        <v>12710</v>
      </c>
      <c r="G14252" t="s">
        <v>16911</v>
      </c>
      <c r="H14252" t="s">
        <v>31253</v>
      </c>
    </row>
    <row r="14253" spans="1:8">
      <c r="A14253" t="s">
        <v>2232</v>
      </c>
      <c r="B14253">
        <f>HYPERLINK("https://android.googlesource.com/platform/cts/+/35ac03a6eaebe585348391728b6523ee5fa80478", "35ac03a6eaebe585348391728b6523ee5fa80478")</f>
        <v>0</v>
      </c>
      <c r="C14253">
        <f>HYPERLINK("https://android.googlesource.com/platform/cts/+/1573b2a6613ddec885873e8b34c350f6a1f27d3d", "1573b2a6613ddec885873e8b34c350f6a1f27d3d")</f>
        <v>0</v>
      </c>
      <c r="D14253" t="s">
        <v>5356</v>
      </c>
      <c r="E14253" t="s">
        <v>7963</v>
      </c>
      <c r="F14253" t="s">
        <v>13729</v>
      </c>
      <c r="G14253" t="s">
        <v>17791</v>
      </c>
      <c r="H14253" t="s">
        <v>31254</v>
      </c>
    </row>
    <row r="14254" spans="1:8">
      <c r="H14254" t="s">
        <v>31255</v>
      </c>
    </row>
    <row r="14255" spans="1:8">
      <c r="H14255" t="s">
        <v>31256</v>
      </c>
    </row>
    <row r="14256" spans="1:8">
      <c r="H14256" t="s">
        <v>31257</v>
      </c>
    </row>
    <row r="14257" spans="6:8">
      <c r="H14257" t="s">
        <v>31258</v>
      </c>
    </row>
    <row r="14258" spans="6:8">
      <c r="H14258" t="s">
        <v>31259</v>
      </c>
    </row>
    <row r="14259" spans="6:8">
      <c r="H14259" t="s">
        <v>31260</v>
      </c>
    </row>
    <row r="14260" spans="6:8">
      <c r="H14260" t="s">
        <v>31261</v>
      </c>
    </row>
    <row r="14261" spans="6:8">
      <c r="H14261" t="s">
        <v>31262</v>
      </c>
    </row>
    <row r="14262" spans="6:8">
      <c r="F14262" t="s">
        <v>13049</v>
      </c>
      <c r="G14262" t="s">
        <v>17213</v>
      </c>
      <c r="H14262" t="s">
        <v>31254</v>
      </c>
    </row>
    <row r="14263" spans="6:8">
      <c r="H14263" t="s">
        <v>31255</v>
      </c>
    </row>
    <row r="14264" spans="6:8">
      <c r="H14264" t="s">
        <v>31256</v>
      </c>
    </row>
    <row r="14265" spans="6:8">
      <c r="H14265" t="s">
        <v>31257</v>
      </c>
    </row>
    <row r="14266" spans="6:8">
      <c r="H14266" t="s">
        <v>31264</v>
      </c>
    </row>
    <row r="14267" spans="6:8">
      <c r="H14267" t="s">
        <v>31259</v>
      </c>
    </row>
    <row r="14268" spans="6:8">
      <c r="H14268" t="s">
        <v>31260</v>
      </c>
    </row>
    <row r="14269" spans="6:8">
      <c r="H14269" t="s">
        <v>31266</v>
      </c>
    </row>
    <row r="14270" spans="6:8">
      <c r="H14270" t="s">
        <v>31267</v>
      </c>
    </row>
    <row r="14271" spans="6:8">
      <c r="H14271" t="s">
        <v>31261</v>
      </c>
    </row>
    <row r="14272" spans="6:8">
      <c r="H14272" t="s">
        <v>31262</v>
      </c>
    </row>
    <row r="14273" spans="1:8">
      <c r="A14273" t="s">
        <v>2233</v>
      </c>
      <c r="B14273">
        <f>HYPERLINK("https://android.googlesource.com/platform/cts/+/d2a8e1f4b8dc82e2fc0efbcd3f89eb40fd168a6f", "d2a8e1f4b8dc82e2fc0efbcd3f89eb40fd168a6f")</f>
        <v>0</v>
      </c>
      <c r="C14273">
        <f>HYPERLINK("https://android.googlesource.com/platform/cts/+/a05a4a3a450c99c9554c2f6ecb5ca6d911369bc7", "a05a4a3a450c99c9554c2f6ecb5ca6d911369bc7")</f>
        <v>0</v>
      </c>
      <c r="D14273" t="s">
        <v>5357</v>
      </c>
      <c r="E14273" t="s">
        <v>7964</v>
      </c>
      <c r="F14273" t="s">
        <v>13277</v>
      </c>
      <c r="G14273" t="s">
        <v>17414</v>
      </c>
      <c r="H14273" t="s">
        <v>31272</v>
      </c>
    </row>
    <row r="14274" spans="1:8">
      <c r="A14274" t="s">
        <v>2234</v>
      </c>
      <c r="B14274">
        <f>HYPERLINK("https://android.googlesource.com/platform/cts/+/0b654f1f2ec31da6b04e42d0a79c7d0970cb0999", "0b654f1f2ec31da6b04e42d0a79c7d0970cb0999")</f>
        <v>0</v>
      </c>
      <c r="C14274">
        <f>HYPERLINK("https://android.googlesource.com/platform/cts/+/e47528b296da38c074dc2aefa365bd51ba570f2c", "e47528b296da38c074dc2aefa365bd51ba570f2c")</f>
        <v>0</v>
      </c>
      <c r="D14274" t="s">
        <v>5358</v>
      </c>
      <c r="E14274" t="s">
        <v>7965</v>
      </c>
      <c r="F14274" t="s">
        <v>13707</v>
      </c>
      <c r="G14274" t="s">
        <v>17775</v>
      </c>
      <c r="H14274" t="s">
        <v>31045</v>
      </c>
    </row>
    <row r="14275" spans="1:8">
      <c r="A14275" t="s">
        <v>2235</v>
      </c>
      <c r="B14275">
        <f>HYPERLINK("https://android.googlesource.com/platform/cts/+/1d7eef8d1421ab71182ff4f7f399276f23a42451", "1d7eef8d1421ab71182ff4f7f399276f23a42451")</f>
        <v>0</v>
      </c>
      <c r="C14275">
        <f>HYPERLINK("https://android.googlesource.com/platform/cts/+/5fa17a1be97aa3edca2f7d9ffd2d1e6bbecf4877", "5fa17a1be97aa3edca2f7d9ffd2d1e6bbecf4877")</f>
        <v>0</v>
      </c>
      <c r="D14275" t="s">
        <v>5359</v>
      </c>
      <c r="E14275" t="s">
        <v>7966</v>
      </c>
      <c r="F14275" t="s">
        <v>13730</v>
      </c>
      <c r="G14275" t="s">
        <v>16824</v>
      </c>
      <c r="H14275" t="s">
        <v>31275</v>
      </c>
    </row>
    <row r="14276" spans="1:8">
      <c r="A14276" t="s">
        <v>2236</v>
      </c>
      <c r="B14276">
        <f>HYPERLINK("https://android.googlesource.com/platform/cts/+/076e6db449787642e5be36e047d8fa896e87b9bb", "076e6db449787642e5be36e047d8fa896e87b9bb")</f>
        <v>0</v>
      </c>
      <c r="C14276">
        <f>HYPERLINK("https://android.googlesource.com/platform/cts/+/28337aabd302e6356626f299e85ed2cf5537d03d", "28337aabd302e6356626f299e85ed2cf5537d03d")</f>
        <v>0</v>
      </c>
      <c r="D14276" t="s">
        <v>4949</v>
      </c>
      <c r="E14276" t="s">
        <v>7967</v>
      </c>
      <c r="F14276" t="s">
        <v>12846</v>
      </c>
      <c r="G14276" t="s">
        <v>17017</v>
      </c>
      <c r="H14276" t="s">
        <v>31279</v>
      </c>
    </row>
    <row r="14277" spans="1:8">
      <c r="A14277" t="s">
        <v>2237</v>
      </c>
      <c r="B14277">
        <f>HYPERLINK("https://android.googlesource.com/platform/cts/+/05b3c093bdc5e38715909d4a2f9e920586f37dd8", "05b3c093bdc5e38715909d4a2f9e920586f37dd8")</f>
        <v>0</v>
      </c>
      <c r="C14277">
        <f>HYPERLINK("https://android.googlesource.com/platform/cts/+/810c260130d1d8c7714d2949e8c2fdb3df444a76", "810c260130d1d8c7714d2949e8c2fdb3df444a76")</f>
        <v>0</v>
      </c>
      <c r="D14277" t="s">
        <v>5360</v>
      </c>
      <c r="E14277" t="s">
        <v>7968</v>
      </c>
      <c r="F14277" t="s">
        <v>13731</v>
      </c>
      <c r="G14277" t="s">
        <v>17792</v>
      </c>
      <c r="H14277" t="s">
        <v>31287</v>
      </c>
    </row>
    <row r="14278" spans="1:8">
      <c r="H14278" t="s">
        <v>31288</v>
      </c>
    </row>
    <row r="14279" spans="1:8">
      <c r="A14279" t="s">
        <v>2239</v>
      </c>
      <c r="B14279">
        <f>HYPERLINK("https://android.googlesource.com/platform/cts/+/6962ed73b6544e9975d44fe2f15150d0ebb7e224", "6962ed73b6544e9975d44fe2f15150d0ebb7e224")</f>
        <v>0</v>
      </c>
      <c r="C14279">
        <f>HYPERLINK("https://android.googlesource.com/platform/cts/+/f06589057f3eb1768d78e7ffe51dfcb6271c7019", "f06589057f3eb1768d78e7ffe51dfcb6271c7019")</f>
        <v>0</v>
      </c>
      <c r="D14279" t="s">
        <v>5361</v>
      </c>
      <c r="E14279" t="s">
        <v>7970</v>
      </c>
      <c r="F14279" t="s">
        <v>12710</v>
      </c>
      <c r="G14279" t="s">
        <v>16911</v>
      </c>
      <c r="H14279" t="s">
        <v>31289</v>
      </c>
    </row>
    <row r="14280" spans="1:8">
      <c r="A14280" t="s">
        <v>2242</v>
      </c>
      <c r="B14280">
        <f>HYPERLINK("https://android.googlesource.com/platform/cts/+/6a8bc649f745053964fa5c9f8d55f08d40d787d6", "6a8bc649f745053964fa5c9f8d55f08d40d787d6")</f>
        <v>0</v>
      </c>
      <c r="C14280">
        <f>HYPERLINK("https://android.googlesource.com/platform/cts/+/070ac7a2da8aa0dfc146fa40940dc5e4ed7d0d84", "070ac7a2da8aa0dfc146fa40940dc5e4ed7d0d84")</f>
        <v>0</v>
      </c>
      <c r="D14280" t="s">
        <v>5363</v>
      </c>
      <c r="E14280" t="s">
        <v>7973</v>
      </c>
      <c r="F14280" t="s">
        <v>10605</v>
      </c>
      <c r="G14280" t="s">
        <v>15008</v>
      </c>
      <c r="H14280" t="s">
        <v>31291</v>
      </c>
    </row>
    <row r="14281" spans="1:8">
      <c r="F14281" t="s">
        <v>10594</v>
      </c>
      <c r="G14281" t="s">
        <v>14997</v>
      </c>
      <c r="H14281" t="s">
        <v>31291</v>
      </c>
    </row>
    <row r="14282" spans="1:8">
      <c r="H14282" t="s">
        <v>18973</v>
      </c>
    </row>
    <row r="14283" spans="1:8">
      <c r="A14283" t="s">
        <v>2243</v>
      </c>
      <c r="B14283">
        <f>HYPERLINK("https://android.googlesource.com/platform/cts/+/486cf57860e8370aaa15d9b9e51f42015e08ebd1", "486cf57860e8370aaa15d9b9e51f42015e08ebd1")</f>
        <v>0</v>
      </c>
      <c r="C14283">
        <f>HYPERLINK("https://android.googlesource.com/platform/cts/+/a71fbada39924cd4717506a14b69a79d39952d0b", "a71fbada39924cd4717506a14b69a79d39952d0b")</f>
        <v>0</v>
      </c>
      <c r="D14283" t="s">
        <v>5096</v>
      </c>
      <c r="E14283" t="s">
        <v>7974</v>
      </c>
      <c r="F14283" t="s">
        <v>13220</v>
      </c>
      <c r="G14283" t="s">
        <v>17361</v>
      </c>
      <c r="H14283" t="s">
        <v>31292</v>
      </c>
    </row>
    <row r="14284" spans="1:8">
      <c r="H14284" t="s">
        <v>31293</v>
      </c>
    </row>
    <row r="14285" spans="1:8">
      <c r="H14285" t="s">
        <v>31294</v>
      </c>
    </row>
    <row r="14286" spans="1:8">
      <c r="H14286" t="s">
        <v>31297</v>
      </c>
    </row>
    <row r="14287" spans="1:8">
      <c r="A14287" t="s">
        <v>2244</v>
      </c>
      <c r="B14287">
        <f>HYPERLINK("https://android.googlesource.com/platform/cts/+/f33ea4d2d093eb20ae4097cf6e96d27e013bbe4a", "f33ea4d2d093eb20ae4097cf6e96d27e013bbe4a")</f>
        <v>0</v>
      </c>
      <c r="C14287">
        <f>HYPERLINK("https://android.googlesource.com/platform/cts/+/48eb9a22d80081307d8f05efb2bb92d9be054a8c", "48eb9a22d80081307d8f05efb2bb92d9be054a8c")</f>
        <v>0</v>
      </c>
      <c r="D14287" t="s">
        <v>5364</v>
      </c>
      <c r="E14287" t="s">
        <v>7975</v>
      </c>
      <c r="F14287" t="s">
        <v>12841</v>
      </c>
      <c r="G14287" t="s">
        <v>15119</v>
      </c>
      <c r="H14287" t="s">
        <v>31298</v>
      </c>
    </row>
    <row r="14288" spans="1:8">
      <c r="A14288" t="s">
        <v>2246</v>
      </c>
      <c r="B14288">
        <f>HYPERLINK("https://android.googlesource.com/platform/cts/+/b1bc37ee4b886f1d979a9c6ebf0ebf3742314244", "b1bc37ee4b886f1d979a9c6ebf0ebf3742314244")</f>
        <v>0</v>
      </c>
      <c r="C14288">
        <f>HYPERLINK("https://android.googlesource.com/platform/cts/+/aca12a2af434a87b59a9500f64dba5797fca8fec", "aca12a2af434a87b59a9500f64dba5797fca8fec")</f>
        <v>0</v>
      </c>
      <c r="D14288" t="s">
        <v>5027</v>
      </c>
      <c r="E14288" t="s">
        <v>7977</v>
      </c>
      <c r="F14288" t="s">
        <v>13733</v>
      </c>
      <c r="G14288" t="s">
        <v>17794</v>
      </c>
      <c r="H14288" t="s">
        <v>18836</v>
      </c>
    </row>
    <row r="14289" spans="1:8">
      <c r="H14289" t="s">
        <v>31300</v>
      </c>
    </row>
    <row r="14290" spans="1:8">
      <c r="H14290" t="s">
        <v>31301</v>
      </c>
    </row>
    <row r="14291" spans="1:8">
      <c r="A14291" t="s">
        <v>2247</v>
      </c>
      <c r="B14291">
        <f>HYPERLINK("https://android.googlesource.com/platform/cts/+/45e6957fa314f6ed87845ca1968ec4c5c3e7999c", "45e6957fa314f6ed87845ca1968ec4c5c3e7999c")</f>
        <v>0</v>
      </c>
      <c r="C14291">
        <f>HYPERLINK("https://android.googlesource.com/platform/cts/+/ee53190acd1880453a1ea3d48c18d2bac17bb91b", "ee53190acd1880453a1ea3d48c18d2bac17bb91b")</f>
        <v>0</v>
      </c>
      <c r="D14291" t="s">
        <v>5117</v>
      </c>
      <c r="E14291" t="s">
        <v>7978</v>
      </c>
      <c r="F14291" t="s">
        <v>12879</v>
      </c>
      <c r="G14291" t="s">
        <v>17046</v>
      </c>
      <c r="H14291" t="s">
        <v>31302</v>
      </c>
    </row>
    <row r="14292" spans="1:8">
      <c r="A14292" t="s">
        <v>2248</v>
      </c>
      <c r="B14292">
        <f>HYPERLINK("https://android.googlesource.com/platform/cts/+/051869e9382db7863656b77c9bf98bd5d473552c", "051869e9382db7863656b77c9bf98bd5d473552c")</f>
        <v>0</v>
      </c>
      <c r="C14292">
        <f>HYPERLINK("https://android.googlesource.com/platform/cts/+/51aabd366653b874525fe4ac23717cf345b51006", "51aabd366653b874525fe4ac23717cf345b51006")</f>
        <v>0</v>
      </c>
      <c r="D14292" t="s">
        <v>5117</v>
      </c>
      <c r="E14292" t="s">
        <v>7979</v>
      </c>
      <c r="F14292" t="s">
        <v>13734</v>
      </c>
      <c r="G14292" t="s">
        <v>17795</v>
      </c>
      <c r="H14292" t="s">
        <v>31303</v>
      </c>
    </row>
    <row r="14293" spans="1:8">
      <c r="A14293" t="s">
        <v>2250</v>
      </c>
      <c r="B14293">
        <f>HYPERLINK("https://android.googlesource.com/platform/cts/+/dec34053d18ca5cff7c482eadb7673818b5e8c8f", "dec34053d18ca5cff7c482eadb7673818b5e8c8f")</f>
        <v>0</v>
      </c>
      <c r="C14293">
        <f>HYPERLINK("https://android.googlesource.com/platform/cts/+/10b81daa165b7e6b182cf4457b7f919ad5680f73", "10b81daa165b7e6b182cf4457b7f919ad5680f73")</f>
        <v>0</v>
      </c>
      <c r="D14293" t="s">
        <v>5027</v>
      </c>
      <c r="E14293" t="s">
        <v>7981</v>
      </c>
      <c r="F14293" t="s">
        <v>13505</v>
      </c>
      <c r="G14293" t="s">
        <v>17622</v>
      </c>
      <c r="H14293" t="s">
        <v>31309</v>
      </c>
    </row>
    <row r="14294" spans="1:8">
      <c r="H14294" t="s">
        <v>30148</v>
      </c>
    </row>
    <row r="14295" spans="1:8">
      <c r="H14295" t="s">
        <v>30149</v>
      </c>
    </row>
    <row r="14296" spans="1:8">
      <c r="H14296" t="s">
        <v>30150</v>
      </c>
    </row>
    <row r="14297" spans="1:8">
      <c r="H14297" t="s">
        <v>30151</v>
      </c>
    </row>
    <row r="14298" spans="1:8">
      <c r="H14298" t="s">
        <v>30152</v>
      </c>
    </row>
    <row r="14299" spans="1:8">
      <c r="H14299" t="s">
        <v>30153</v>
      </c>
    </row>
    <row r="14300" spans="1:8">
      <c r="H14300" t="s">
        <v>29023</v>
      </c>
    </row>
    <row r="14301" spans="1:8">
      <c r="H14301" t="s">
        <v>30154</v>
      </c>
    </row>
    <row r="14302" spans="1:8">
      <c r="H14302" t="s">
        <v>30155</v>
      </c>
    </row>
    <row r="14303" spans="1:8">
      <c r="H14303" t="s">
        <v>30156</v>
      </c>
    </row>
    <row r="14304" spans="1:8">
      <c r="H14304" t="s">
        <v>30157</v>
      </c>
    </row>
    <row r="14305" spans="6:8">
      <c r="H14305" t="s">
        <v>30158</v>
      </c>
    </row>
    <row r="14306" spans="6:8">
      <c r="F14306" t="s">
        <v>13506</v>
      </c>
      <c r="G14306" t="s">
        <v>17623</v>
      </c>
      <c r="H14306" t="s">
        <v>30196</v>
      </c>
    </row>
    <row r="14307" spans="6:8">
      <c r="H14307" t="s">
        <v>30198</v>
      </c>
    </row>
    <row r="14308" spans="6:8">
      <c r="H14308" t="s">
        <v>30199</v>
      </c>
    </row>
    <row r="14309" spans="6:8">
      <c r="H14309" t="s">
        <v>30200</v>
      </c>
    </row>
    <row r="14310" spans="6:8">
      <c r="H14310" t="s">
        <v>30202</v>
      </c>
    </row>
    <row r="14311" spans="6:8">
      <c r="H14311" t="s">
        <v>30206</v>
      </c>
    </row>
    <row r="14312" spans="6:8">
      <c r="H14312" t="s">
        <v>30207</v>
      </c>
    </row>
    <row r="14313" spans="6:8">
      <c r="F14313" t="s">
        <v>13524</v>
      </c>
      <c r="G14313" t="s">
        <v>17639</v>
      </c>
      <c r="H14313" t="s">
        <v>31318</v>
      </c>
    </row>
    <row r="14314" spans="6:8">
      <c r="H14314" t="s">
        <v>31319</v>
      </c>
    </row>
    <row r="14315" spans="6:8">
      <c r="H14315" t="s">
        <v>31320</v>
      </c>
    </row>
    <row r="14316" spans="6:8">
      <c r="H14316" t="s">
        <v>31321</v>
      </c>
    </row>
    <row r="14317" spans="6:8">
      <c r="H14317" t="s">
        <v>31322</v>
      </c>
    </row>
    <row r="14318" spans="6:8">
      <c r="H14318" t="s">
        <v>31323</v>
      </c>
    </row>
    <row r="14319" spans="6:8">
      <c r="H14319" t="s">
        <v>31324</v>
      </c>
    </row>
    <row r="14320" spans="6:8">
      <c r="F14320" t="s">
        <v>13509</v>
      </c>
      <c r="G14320" t="s">
        <v>17626</v>
      </c>
      <c r="H14320" t="s">
        <v>30231</v>
      </c>
    </row>
    <row r="14321" spans="1:8">
      <c r="H14321" t="s">
        <v>30232</v>
      </c>
    </row>
    <row r="14322" spans="1:8">
      <c r="A14322" t="s">
        <v>2252</v>
      </c>
      <c r="B14322">
        <f>HYPERLINK("https://android.googlesource.com/platform/cts/+/d3dfe4f7b33630f6b51dccd8409136e91c7e8332", "d3dfe4f7b33630f6b51dccd8409136e91c7e8332")</f>
        <v>0</v>
      </c>
      <c r="C14322">
        <f>HYPERLINK("https://android.googlesource.com/platform/cts/+/136849cf31b240fd229e30887898677c0a063a41", "136849cf31b240fd229e30887898677c0a063a41")</f>
        <v>0</v>
      </c>
      <c r="D14322" t="s">
        <v>5365</v>
      </c>
      <c r="E14322" t="s">
        <v>7983</v>
      </c>
      <c r="F14322" t="s">
        <v>13736</v>
      </c>
      <c r="G14322" t="s">
        <v>17796</v>
      </c>
      <c r="H14322" t="s">
        <v>31329</v>
      </c>
    </row>
    <row r="14323" spans="1:8">
      <c r="H14323" t="s">
        <v>31330</v>
      </c>
    </row>
    <row r="14324" spans="1:8">
      <c r="H14324" t="s">
        <v>31331</v>
      </c>
    </row>
    <row r="14325" spans="1:8">
      <c r="H14325" t="s">
        <v>31332</v>
      </c>
    </row>
    <row r="14326" spans="1:8">
      <c r="H14326" t="s">
        <v>31333</v>
      </c>
    </row>
    <row r="14327" spans="1:8">
      <c r="H14327" t="s">
        <v>31334</v>
      </c>
    </row>
    <row r="14328" spans="1:8">
      <c r="A14328" t="s">
        <v>2253</v>
      </c>
      <c r="B14328">
        <f>HYPERLINK("https://android.googlesource.com/platform/cts/+/8a055eaf2365d57e2b3af6ea67839643038d71c2", "8a055eaf2365d57e2b3af6ea67839643038d71c2")</f>
        <v>0</v>
      </c>
      <c r="C14328">
        <f>HYPERLINK("https://android.googlesource.com/platform/cts/+/d3dfe4f7b33630f6b51dccd8409136e91c7e8332", "d3dfe4f7b33630f6b51dccd8409136e91c7e8332")</f>
        <v>0</v>
      </c>
      <c r="D14328" t="s">
        <v>5365</v>
      </c>
      <c r="E14328" t="s">
        <v>7984</v>
      </c>
      <c r="F14328" t="s">
        <v>13736</v>
      </c>
      <c r="G14328" t="s">
        <v>17796</v>
      </c>
      <c r="H14328" t="s">
        <v>31335</v>
      </c>
    </row>
    <row r="14329" spans="1:8">
      <c r="A14329" t="s">
        <v>2254</v>
      </c>
      <c r="B14329">
        <f>HYPERLINK("https://android.googlesource.com/platform/cts/+/36ac203ccee730c89e7cd4dfa46ad4455719c19b", "36ac203ccee730c89e7cd4dfa46ad4455719c19b")</f>
        <v>0</v>
      </c>
      <c r="C14329">
        <f>HYPERLINK("https://android.googlesource.com/platform/cts/+/a46868fca645ed193ec15c6790ccb970dd81d495", "a46868fca645ed193ec15c6790ccb970dd81d495")</f>
        <v>0</v>
      </c>
      <c r="D14329" t="s">
        <v>5330</v>
      </c>
      <c r="E14329" t="s">
        <v>7985</v>
      </c>
      <c r="F14329" t="s">
        <v>12250</v>
      </c>
      <c r="G14329" t="s">
        <v>16481</v>
      </c>
      <c r="H14329" t="s">
        <v>21525</v>
      </c>
    </row>
    <row r="14330" spans="1:8">
      <c r="A14330" t="s">
        <v>2255</v>
      </c>
      <c r="B14330">
        <f>HYPERLINK("https://android.googlesource.com/platform/cts/+/16d6c358e5dfdc820d614a49fb686548d4a2886b", "16d6c358e5dfdc820d614a49fb686548d4a2886b")</f>
        <v>0</v>
      </c>
      <c r="C14330">
        <f>HYPERLINK("https://android.googlesource.com/platform/cts/+/308c221271dad29c89b5885fc0a5cc05d3419100", "308c221271dad29c89b5885fc0a5cc05d3419100")</f>
        <v>0</v>
      </c>
      <c r="D14330" t="s">
        <v>5027</v>
      </c>
      <c r="E14330" t="s">
        <v>7986</v>
      </c>
      <c r="F14330" t="s">
        <v>13506</v>
      </c>
      <c r="G14330" t="s">
        <v>17623</v>
      </c>
      <c r="H14330" t="s">
        <v>31336</v>
      </c>
    </row>
    <row r="14331" spans="1:8">
      <c r="H14331" t="s">
        <v>30167</v>
      </c>
    </row>
    <row r="14332" spans="1:8">
      <c r="H14332" t="s">
        <v>30168</v>
      </c>
    </row>
    <row r="14333" spans="1:8">
      <c r="H14333" t="s">
        <v>30171</v>
      </c>
    </row>
    <row r="14334" spans="1:8">
      <c r="H14334" t="s">
        <v>30172</v>
      </c>
    </row>
    <row r="14335" spans="1:8">
      <c r="H14335" t="s">
        <v>30173</v>
      </c>
    </row>
    <row r="14336" spans="1:8">
      <c r="H14336" t="s">
        <v>30174</v>
      </c>
    </row>
    <row r="14337" spans="8:8">
      <c r="H14337" t="s">
        <v>30175</v>
      </c>
    </row>
    <row r="14338" spans="8:8">
      <c r="H14338" t="s">
        <v>31337</v>
      </c>
    </row>
    <row r="14339" spans="8:8">
      <c r="H14339" t="s">
        <v>30176</v>
      </c>
    </row>
    <row r="14340" spans="8:8">
      <c r="H14340" t="s">
        <v>30216</v>
      </c>
    </row>
    <row r="14341" spans="8:8">
      <c r="H14341" t="s">
        <v>31338</v>
      </c>
    </row>
    <row r="14342" spans="8:8">
      <c r="H14342" t="s">
        <v>31339</v>
      </c>
    </row>
    <row r="14343" spans="8:8">
      <c r="H14343" t="s">
        <v>31340</v>
      </c>
    </row>
    <row r="14344" spans="8:8">
      <c r="H14344" t="s">
        <v>31341</v>
      </c>
    </row>
    <row r="14345" spans="8:8">
      <c r="H14345" t="s">
        <v>31342</v>
      </c>
    </row>
    <row r="14346" spans="8:8">
      <c r="H14346" t="s">
        <v>31343</v>
      </c>
    </row>
    <row r="14347" spans="8:8">
      <c r="H14347" t="s">
        <v>31344</v>
      </c>
    </row>
    <row r="14348" spans="8:8">
      <c r="H14348" t="s">
        <v>31345</v>
      </c>
    </row>
    <row r="14349" spans="8:8">
      <c r="H14349" t="s">
        <v>31346</v>
      </c>
    </row>
    <row r="14350" spans="8:8">
      <c r="H14350" t="s">
        <v>31347</v>
      </c>
    </row>
    <row r="14351" spans="8:8">
      <c r="H14351" t="s">
        <v>31348</v>
      </c>
    </row>
    <row r="14352" spans="8:8">
      <c r="H14352" t="s">
        <v>31349</v>
      </c>
    </row>
    <row r="14353" spans="8:8">
      <c r="H14353" t="s">
        <v>31350</v>
      </c>
    </row>
    <row r="14354" spans="8:8">
      <c r="H14354" t="s">
        <v>31351</v>
      </c>
    </row>
    <row r="14355" spans="8:8">
      <c r="H14355" t="s">
        <v>30178</v>
      </c>
    </row>
    <row r="14356" spans="8:8">
      <c r="H14356" t="s">
        <v>30179</v>
      </c>
    </row>
    <row r="14357" spans="8:8">
      <c r="H14357" t="s">
        <v>30180</v>
      </c>
    </row>
    <row r="14358" spans="8:8">
      <c r="H14358" t="s">
        <v>30182</v>
      </c>
    </row>
    <row r="14359" spans="8:8">
      <c r="H14359" t="s">
        <v>30183</v>
      </c>
    </row>
    <row r="14360" spans="8:8">
      <c r="H14360" t="s">
        <v>30184</v>
      </c>
    </row>
    <row r="14361" spans="8:8">
      <c r="H14361" t="s">
        <v>30185</v>
      </c>
    </row>
    <row r="14362" spans="8:8">
      <c r="H14362" t="s">
        <v>30186</v>
      </c>
    </row>
    <row r="14363" spans="8:8">
      <c r="H14363" t="s">
        <v>30187</v>
      </c>
    </row>
    <row r="14364" spans="8:8">
      <c r="H14364" t="s">
        <v>30188</v>
      </c>
    </row>
    <row r="14365" spans="8:8">
      <c r="H14365" t="s">
        <v>30189</v>
      </c>
    </row>
    <row r="14366" spans="8:8">
      <c r="H14366" t="s">
        <v>30190</v>
      </c>
    </row>
    <row r="14367" spans="8:8">
      <c r="H14367" t="s">
        <v>30191</v>
      </c>
    </row>
    <row r="14368" spans="8:8">
      <c r="H14368" t="s">
        <v>30192</v>
      </c>
    </row>
    <row r="14369" spans="6:8">
      <c r="H14369" t="s">
        <v>30193</v>
      </c>
    </row>
    <row r="14370" spans="6:8">
      <c r="H14370" t="s">
        <v>30194</v>
      </c>
    </row>
    <row r="14371" spans="6:8">
      <c r="H14371" t="s">
        <v>30195</v>
      </c>
    </row>
    <row r="14372" spans="6:8">
      <c r="H14372" t="s">
        <v>30201</v>
      </c>
    </row>
    <row r="14373" spans="6:8">
      <c r="H14373" t="s">
        <v>30203</v>
      </c>
    </row>
    <row r="14374" spans="6:8">
      <c r="H14374" t="s">
        <v>30204</v>
      </c>
    </row>
    <row r="14375" spans="6:8">
      <c r="H14375" t="s">
        <v>30205</v>
      </c>
    </row>
    <row r="14376" spans="6:8">
      <c r="F14376" t="s">
        <v>13507</v>
      </c>
      <c r="G14376" t="s">
        <v>17624</v>
      </c>
      <c r="H14376" t="s">
        <v>30030</v>
      </c>
    </row>
    <row r="14377" spans="6:8">
      <c r="F14377" t="s">
        <v>13508</v>
      </c>
      <c r="G14377" t="s">
        <v>17625</v>
      </c>
      <c r="H14377" t="s">
        <v>30030</v>
      </c>
    </row>
    <row r="14378" spans="6:8">
      <c r="H14378" t="s">
        <v>31352</v>
      </c>
    </row>
    <row r="14379" spans="6:8">
      <c r="H14379" t="s">
        <v>31353</v>
      </c>
    </row>
    <row r="14380" spans="6:8">
      <c r="H14380" t="s">
        <v>31354</v>
      </c>
    </row>
    <row r="14381" spans="6:8">
      <c r="H14381" t="s">
        <v>31355</v>
      </c>
    </row>
    <row r="14382" spans="6:8">
      <c r="H14382" t="s">
        <v>31356</v>
      </c>
    </row>
    <row r="14383" spans="6:8">
      <c r="H14383" t="s">
        <v>30215</v>
      </c>
    </row>
    <row r="14384" spans="6:8">
      <c r="H14384" t="s">
        <v>30167</v>
      </c>
    </row>
    <row r="14385" spans="8:8">
      <c r="H14385" t="s">
        <v>30168</v>
      </c>
    </row>
    <row r="14386" spans="8:8">
      <c r="H14386" t="s">
        <v>30171</v>
      </c>
    </row>
    <row r="14387" spans="8:8">
      <c r="H14387" t="s">
        <v>31345</v>
      </c>
    </row>
    <row r="14388" spans="8:8">
      <c r="H14388" t="s">
        <v>31346</v>
      </c>
    </row>
    <row r="14389" spans="8:8">
      <c r="H14389" t="s">
        <v>31347</v>
      </c>
    </row>
    <row r="14390" spans="8:8">
      <c r="H14390" t="s">
        <v>31357</v>
      </c>
    </row>
    <row r="14391" spans="8:8">
      <c r="H14391" t="s">
        <v>31358</v>
      </c>
    </row>
    <row r="14392" spans="8:8">
      <c r="H14392" t="s">
        <v>31359</v>
      </c>
    </row>
    <row r="14393" spans="8:8">
      <c r="H14393" t="s">
        <v>30216</v>
      </c>
    </row>
    <row r="14394" spans="8:8">
      <c r="H14394" t="s">
        <v>31338</v>
      </c>
    </row>
    <row r="14395" spans="8:8">
      <c r="H14395" t="s">
        <v>31339</v>
      </c>
    </row>
    <row r="14396" spans="8:8">
      <c r="H14396" t="s">
        <v>31340</v>
      </c>
    </row>
    <row r="14397" spans="8:8">
      <c r="H14397" t="s">
        <v>31360</v>
      </c>
    </row>
    <row r="14398" spans="8:8">
      <c r="H14398" t="s">
        <v>31342</v>
      </c>
    </row>
    <row r="14399" spans="8:8">
      <c r="H14399" t="s">
        <v>31343</v>
      </c>
    </row>
    <row r="14400" spans="8:8">
      <c r="H14400" t="s">
        <v>31344</v>
      </c>
    </row>
    <row r="14401" spans="6:8">
      <c r="H14401" t="s">
        <v>31348</v>
      </c>
    </row>
    <row r="14402" spans="6:8">
      <c r="H14402" t="s">
        <v>31349</v>
      </c>
    </row>
    <row r="14403" spans="6:8">
      <c r="H14403" t="s">
        <v>31350</v>
      </c>
    </row>
    <row r="14404" spans="6:8">
      <c r="H14404" t="s">
        <v>31351</v>
      </c>
    </row>
    <row r="14405" spans="6:8">
      <c r="H14405" t="s">
        <v>30219</v>
      </c>
    </row>
    <row r="14406" spans="6:8">
      <c r="H14406" t="s">
        <v>30222</v>
      </c>
    </row>
    <row r="14407" spans="6:8">
      <c r="H14407" t="s">
        <v>30223</v>
      </c>
    </row>
    <row r="14408" spans="6:8">
      <c r="H14408" t="s">
        <v>31362</v>
      </c>
    </row>
    <row r="14409" spans="6:8">
      <c r="H14409" t="s">
        <v>30224</v>
      </c>
    </row>
    <row r="14410" spans="6:8">
      <c r="H14410" t="s">
        <v>31363</v>
      </c>
    </row>
    <row r="14411" spans="6:8">
      <c r="H14411" t="s">
        <v>30225</v>
      </c>
    </row>
    <row r="14412" spans="6:8">
      <c r="H14412" t="s">
        <v>31364</v>
      </c>
    </row>
    <row r="14413" spans="6:8">
      <c r="F14413" t="s">
        <v>13526</v>
      </c>
      <c r="G14413" t="s">
        <v>17641</v>
      </c>
      <c r="H14413" t="s">
        <v>30167</v>
      </c>
    </row>
    <row r="14414" spans="6:8">
      <c r="H14414" t="s">
        <v>30168</v>
      </c>
    </row>
    <row r="14415" spans="6:8">
      <c r="H14415" t="s">
        <v>30171</v>
      </c>
    </row>
    <row r="14416" spans="6:8">
      <c r="H14416" t="s">
        <v>30173</v>
      </c>
    </row>
    <row r="14417" spans="8:8">
      <c r="H14417" t="s">
        <v>30174</v>
      </c>
    </row>
    <row r="14418" spans="8:8">
      <c r="H14418" t="s">
        <v>30175</v>
      </c>
    </row>
    <row r="14419" spans="8:8">
      <c r="H14419" t="s">
        <v>30170</v>
      </c>
    </row>
    <row r="14420" spans="8:8">
      <c r="H14420" t="s">
        <v>30169</v>
      </c>
    </row>
    <row r="14421" spans="8:8">
      <c r="H14421" t="s">
        <v>31347</v>
      </c>
    </row>
    <row r="14422" spans="8:8">
      <c r="H14422" t="s">
        <v>30216</v>
      </c>
    </row>
    <row r="14423" spans="8:8">
      <c r="H14423" t="s">
        <v>31339</v>
      </c>
    </row>
    <row r="14424" spans="8:8">
      <c r="H14424" t="s">
        <v>31342</v>
      </c>
    </row>
    <row r="14425" spans="8:8">
      <c r="H14425" t="s">
        <v>31343</v>
      </c>
    </row>
    <row r="14426" spans="8:8">
      <c r="H14426" t="s">
        <v>31344</v>
      </c>
    </row>
    <row r="14427" spans="8:8">
      <c r="H14427" t="s">
        <v>31369</v>
      </c>
    </row>
    <row r="14428" spans="8:8">
      <c r="H14428" t="s">
        <v>30189</v>
      </c>
    </row>
    <row r="14429" spans="8:8">
      <c r="H14429" t="s">
        <v>30188</v>
      </c>
    </row>
    <row r="14430" spans="8:8">
      <c r="H14430" t="s">
        <v>30187</v>
      </c>
    </row>
    <row r="14431" spans="8:8">
      <c r="H14431" t="s">
        <v>30192</v>
      </c>
    </row>
    <row r="14432" spans="8:8">
      <c r="H14432" t="s">
        <v>30191</v>
      </c>
    </row>
    <row r="14433" spans="1:8">
      <c r="H14433" t="s">
        <v>30190</v>
      </c>
    </row>
    <row r="14434" spans="1:8">
      <c r="H14434" t="s">
        <v>31370</v>
      </c>
    </row>
    <row r="14435" spans="1:8">
      <c r="A14435" t="s">
        <v>2257</v>
      </c>
      <c r="B14435">
        <f>HYPERLINK("https://android.googlesource.com/platform/cts/+/c58c564f9ef13f348d62fd06209fa2a78cc37f50", "c58c564f9ef13f348d62fd06209fa2a78cc37f50")</f>
        <v>0</v>
      </c>
      <c r="C14435">
        <f>HYPERLINK("https://android.googlesource.com/platform/cts/+/b08895e76207e13dbc8c77322919c21dcf35efd0", "b08895e76207e13dbc8c77322919c21dcf35efd0")</f>
        <v>0</v>
      </c>
      <c r="D14435" t="s">
        <v>4981</v>
      </c>
      <c r="E14435" t="s">
        <v>7988</v>
      </c>
      <c r="F14435" t="s">
        <v>12879</v>
      </c>
      <c r="G14435" t="s">
        <v>17046</v>
      </c>
      <c r="H14435" t="s">
        <v>31387</v>
      </c>
    </row>
    <row r="14436" spans="1:8">
      <c r="H14436" t="s">
        <v>31388</v>
      </c>
    </row>
    <row r="14437" spans="1:8">
      <c r="H14437" t="s">
        <v>31389</v>
      </c>
    </row>
    <row r="14438" spans="1:8">
      <c r="A14438" t="s">
        <v>2259</v>
      </c>
      <c r="B14438">
        <f>HYPERLINK("https://android.googlesource.com/platform/cts/+/bfa75695220dbd0c67e0abf492b1e2496a5cc0d6", "bfa75695220dbd0c67e0abf492b1e2496a5cc0d6")</f>
        <v>0</v>
      </c>
      <c r="C14438">
        <f>HYPERLINK("https://android.googlesource.com/platform/cts/+/f19f669a6d21f20b6498beff6fb6c91b38767b18", "f19f669a6d21f20b6498beff6fb6c91b38767b18")</f>
        <v>0</v>
      </c>
      <c r="D14438" t="s">
        <v>5040</v>
      </c>
      <c r="E14438" t="s">
        <v>7990</v>
      </c>
      <c r="F14438" t="s">
        <v>13738</v>
      </c>
      <c r="G14438" t="s">
        <v>17798</v>
      </c>
      <c r="H14438" t="s">
        <v>31391</v>
      </c>
    </row>
    <row r="14439" spans="1:8">
      <c r="H14439" t="s">
        <v>31392</v>
      </c>
    </row>
    <row r="14440" spans="1:8">
      <c r="H14440" t="s">
        <v>31393</v>
      </c>
    </row>
    <row r="14441" spans="1:8">
      <c r="H14441" t="s">
        <v>31394</v>
      </c>
    </row>
    <row r="14442" spans="1:8">
      <c r="A14442" t="s">
        <v>2260</v>
      </c>
      <c r="B14442">
        <f>HYPERLINK("https://android.googlesource.com/platform/cts/+/fb8f490ffa73a100503deb7ebd256c25eef7a586", "fb8f490ffa73a100503deb7ebd256c25eef7a586")</f>
        <v>0</v>
      </c>
      <c r="C14442">
        <f>HYPERLINK("https://android.googlesource.com/platform/cts/+/217b3366e5ce774a9977a6b7a0050fe8e8a34ff9", "217b3366e5ce774a9977a6b7a0050fe8e8a34ff9")</f>
        <v>0</v>
      </c>
      <c r="D14442" t="s">
        <v>5120</v>
      </c>
      <c r="E14442" t="s">
        <v>7991</v>
      </c>
      <c r="F14442" t="s">
        <v>13739</v>
      </c>
      <c r="G14442" t="s">
        <v>17799</v>
      </c>
      <c r="H14442" t="s">
        <v>31396</v>
      </c>
    </row>
    <row r="14443" spans="1:8">
      <c r="H14443" t="s">
        <v>31397</v>
      </c>
    </row>
    <row r="14444" spans="1:8">
      <c r="H14444" t="s">
        <v>31398</v>
      </c>
    </row>
    <row r="14445" spans="1:8">
      <c r="H14445" t="s">
        <v>31399</v>
      </c>
    </row>
    <row r="14446" spans="1:8">
      <c r="H14446" t="s">
        <v>31400</v>
      </c>
    </row>
    <row r="14447" spans="1:8">
      <c r="A14447" t="s">
        <v>2261</v>
      </c>
      <c r="B14447">
        <f>HYPERLINK("https://android.googlesource.com/platform/cts/+/c43e9230fe4e25cae6e75f5f988a3031342b2985", "c43e9230fe4e25cae6e75f5f988a3031342b2985")</f>
        <v>0</v>
      </c>
      <c r="C14447">
        <f>HYPERLINK("https://android.googlesource.com/platform/cts/+/040243712635014fc5e65c434e918a6b6394031b", "040243712635014fc5e65c434e918a6b6394031b")</f>
        <v>0</v>
      </c>
      <c r="D14447" t="s">
        <v>5349</v>
      </c>
      <c r="E14447" t="s">
        <v>7992</v>
      </c>
      <c r="F14447" t="s">
        <v>12710</v>
      </c>
      <c r="G14447" t="s">
        <v>16911</v>
      </c>
      <c r="H14447" t="s">
        <v>31253</v>
      </c>
    </row>
    <row r="14448" spans="1:8">
      <c r="A14448" t="s">
        <v>2267</v>
      </c>
      <c r="B14448">
        <f>HYPERLINK("https://android.googlesource.com/platform/cts/+/e9dcebaa79ba68e79386bd26a50b5fd80b44b128", "e9dcebaa79ba68e79386bd26a50b5fd80b44b128")</f>
        <v>0</v>
      </c>
      <c r="C14448">
        <f>HYPERLINK("https://android.googlesource.com/platform/cts/+/075556b827c47c475db6d6dced9100d9d6349deb", "075556b827c47c475db6d6dced9100d9d6349deb")</f>
        <v>0</v>
      </c>
      <c r="D14448" t="s">
        <v>5349</v>
      </c>
      <c r="E14448" t="s">
        <v>7997</v>
      </c>
      <c r="F14448" t="s">
        <v>12710</v>
      </c>
      <c r="G14448" t="s">
        <v>16911</v>
      </c>
      <c r="H14448" t="s">
        <v>31252</v>
      </c>
    </row>
    <row r="14449" spans="1:8">
      <c r="A14449" t="s">
        <v>2269</v>
      </c>
      <c r="B14449">
        <f>HYPERLINK("https://android.googlesource.com/platform/cts/+/40495120a03a113bed24556da01d386d5557e81b", "40495120a03a113bed24556da01d386d5557e81b")</f>
        <v>0</v>
      </c>
      <c r="C14449">
        <f>HYPERLINK("https://android.googlesource.com/platform/cts/+/53797c14fde6a4002927e06f77ad28441f1f1dd6", "53797c14fde6a4002927e06f77ad28441f1f1dd6")</f>
        <v>0</v>
      </c>
      <c r="D14449" t="s">
        <v>5349</v>
      </c>
      <c r="E14449" t="s">
        <v>7998</v>
      </c>
      <c r="F14449" t="s">
        <v>12710</v>
      </c>
      <c r="G14449" t="s">
        <v>16911</v>
      </c>
      <c r="H14449" t="s">
        <v>31416</v>
      </c>
    </row>
    <row r="14450" spans="1:8">
      <c r="A14450" t="s">
        <v>2273</v>
      </c>
      <c r="B14450">
        <f>HYPERLINK("https://android.googlesource.com/platform/cts/+/5fd4c3970fb386b0e753dcee4c5d742476e71788", "5fd4c3970fb386b0e753dcee4c5d742476e71788")</f>
        <v>0</v>
      </c>
      <c r="C14450">
        <f>HYPERLINK("https://android.googlesource.com/platform/cts/+/437f4c508dc8292f1d835649393ab073ea634b9e", "437f4c508dc8292f1d835649393ab073ea634b9e")</f>
        <v>0</v>
      </c>
      <c r="D14450" t="s">
        <v>5366</v>
      </c>
      <c r="E14450" t="s">
        <v>8002</v>
      </c>
      <c r="F14450" t="s">
        <v>13750</v>
      </c>
      <c r="G14450" t="s">
        <v>17810</v>
      </c>
      <c r="H14450" t="s">
        <v>31423</v>
      </c>
    </row>
    <row r="14451" spans="1:8">
      <c r="H14451" t="s">
        <v>31424</v>
      </c>
    </row>
    <row r="14452" spans="1:8">
      <c r="A14452" t="s">
        <v>2274</v>
      </c>
      <c r="B14452">
        <f>HYPERLINK("https://android.googlesource.com/platform/cts/+/a16afd3dae0a8ae24de4a585ada8cec3c7816635", "a16afd3dae0a8ae24de4a585ada8cec3c7816635")</f>
        <v>0</v>
      </c>
      <c r="C14452">
        <f>HYPERLINK("https://android.googlesource.com/platform/cts/+/ac8c5e9ba9dcf9022a38b75f7bc812582b652e64", "ac8c5e9ba9dcf9022a38b75f7bc812582b652e64")</f>
        <v>0</v>
      </c>
      <c r="D14452" t="s">
        <v>5349</v>
      </c>
      <c r="E14452" t="s">
        <v>8003</v>
      </c>
      <c r="F14452" t="s">
        <v>12710</v>
      </c>
      <c r="G14452" t="s">
        <v>16911</v>
      </c>
      <c r="H14452" t="s">
        <v>29656</v>
      </c>
    </row>
    <row r="14453" spans="1:8">
      <c r="A14453" t="s">
        <v>2275</v>
      </c>
      <c r="B14453">
        <f>HYPERLINK("https://android.googlesource.com/platform/cts/+/6ca6442a18d645ceb2889f3e06eda6c9c41c76ef", "6ca6442a18d645ceb2889f3e06eda6c9c41c76ef")</f>
        <v>0</v>
      </c>
      <c r="C14453">
        <f>HYPERLINK("https://android.googlesource.com/platform/cts/+/b039c8494e91029faa9d6757a5231584dc596e15", "b039c8494e91029faa9d6757a5231584dc596e15")</f>
        <v>0</v>
      </c>
      <c r="D14453" t="s">
        <v>5349</v>
      </c>
      <c r="E14453" t="s">
        <v>8004</v>
      </c>
      <c r="F14453" t="s">
        <v>12710</v>
      </c>
      <c r="G14453" t="s">
        <v>16911</v>
      </c>
      <c r="H14453" t="s">
        <v>31289</v>
      </c>
    </row>
    <row r="14454" spans="1:8">
      <c r="A14454" t="s">
        <v>2278</v>
      </c>
      <c r="B14454">
        <f>HYPERLINK("https://android.googlesource.com/platform/cts/+/023d5d6f228bbb3e990f717e64b082c792aa087c", "023d5d6f228bbb3e990f717e64b082c792aa087c")</f>
        <v>0</v>
      </c>
      <c r="C14454">
        <f>HYPERLINK("https://android.googlesource.com/platform/cts/+/68d2bddce9c3fe197fa3c48e2dad50412566174a", "68d2bddce9c3fe197fa3c48e2dad50412566174a")</f>
        <v>0</v>
      </c>
      <c r="D14454" t="s">
        <v>5314</v>
      </c>
      <c r="E14454" t="s">
        <v>8007</v>
      </c>
      <c r="F14454" t="s">
        <v>13752</v>
      </c>
      <c r="G14454" t="s">
        <v>17812</v>
      </c>
      <c r="H14454" t="s">
        <v>31430</v>
      </c>
    </row>
    <row r="14455" spans="1:8">
      <c r="A14455" t="s">
        <v>2279</v>
      </c>
      <c r="B14455">
        <f>HYPERLINK("https://android.googlesource.com/platform/cts/+/c8c9ddc1d53889c777ac77f2155d6ff1d646cc97", "c8c9ddc1d53889c777ac77f2155d6ff1d646cc97")</f>
        <v>0</v>
      </c>
      <c r="C14455">
        <f>HYPERLINK("https://android.googlesource.com/platform/cts/+/8ce8bacf87e1b6acaca9663f80d3cb3de87be1ba", "8ce8bacf87e1b6acaca9663f80d3cb3de87be1ba")</f>
        <v>0</v>
      </c>
      <c r="D14455" t="s">
        <v>5349</v>
      </c>
      <c r="E14455" t="s">
        <v>8008</v>
      </c>
      <c r="F14455" t="s">
        <v>12710</v>
      </c>
      <c r="G14455" t="s">
        <v>16911</v>
      </c>
      <c r="H14455" t="s">
        <v>31289</v>
      </c>
    </row>
    <row r="14456" spans="1:8">
      <c r="A14456" t="s">
        <v>2280</v>
      </c>
      <c r="B14456">
        <f>HYPERLINK("https://android.googlesource.com/platform/cts/+/4f6721eccec8f51c8ec4555d310509f4570ba3b8", "4f6721eccec8f51c8ec4555d310509f4570ba3b8")</f>
        <v>0</v>
      </c>
      <c r="C14456">
        <f>HYPERLINK("https://android.googlesource.com/platform/cts/+/08434c07d24ad5f27d9d49476b1c2f97a2d1a62f", "08434c07d24ad5f27d9d49476b1c2f97a2d1a62f")</f>
        <v>0</v>
      </c>
      <c r="D14456" t="s">
        <v>5349</v>
      </c>
      <c r="E14456" t="s">
        <v>8009</v>
      </c>
      <c r="F14456" t="s">
        <v>12710</v>
      </c>
      <c r="G14456" t="s">
        <v>16911</v>
      </c>
      <c r="H14456" t="s">
        <v>29656</v>
      </c>
    </row>
    <row r="14457" spans="1:8">
      <c r="A14457" t="s">
        <v>2281</v>
      </c>
      <c r="B14457">
        <f>HYPERLINK("https://android.googlesource.com/platform/cts/+/3b108de29b1de33d1a02dd4d9f225df8e82f7260", "3b108de29b1de33d1a02dd4d9f225df8e82f7260")</f>
        <v>0</v>
      </c>
      <c r="C14457">
        <f>HYPERLINK("https://android.googlesource.com/platform/cts/+/1c5495adbfee486fd9b2d3c848f7d606bb696e0f", "1c5495adbfee486fd9b2d3c848f7d606bb696e0f")</f>
        <v>0</v>
      </c>
      <c r="D14457" t="s">
        <v>5349</v>
      </c>
      <c r="E14457" t="s">
        <v>8010</v>
      </c>
      <c r="F14457" t="s">
        <v>12710</v>
      </c>
      <c r="G14457" t="s">
        <v>16911</v>
      </c>
      <c r="H14457" t="s">
        <v>29656</v>
      </c>
    </row>
    <row r="14458" spans="1:8">
      <c r="A14458" t="s">
        <v>2283</v>
      </c>
      <c r="B14458">
        <f>HYPERLINK("https://android.googlesource.com/platform/cts/+/e4140b01c65a28655766124813c880460729d56f", "e4140b01c65a28655766124813c880460729d56f")</f>
        <v>0</v>
      </c>
      <c r="C14458">
        <f>HYPERLINK("https://android.googlesource.com/platform/cts/+/a41f813eacf3c9accbf00fc195a81f3d662da7d7", "a41f813eacf3c9accbf00fc195a81f3d662da7d7")</f>
        <v>0</v>
      </c>
      <c r="D14458" t="s">
        <v>5349</v>
      </c>
      <c r="E14458" t="s">
        <v>8012</v>
      </c>
      <c r="F14458" t="s">
        <v>12710</v>
      </c>
      <c r="G14458" t="s">
        <v>16911</v>
      </c>
      <c r="H14458" t="s">
        <v>29656</v>
      </c>
    </row>
    <row r="14459" spans="1:8">
      <c r="A14459" t="s">
        <v>2284</v>
      </c>
      <c r="B14459">
        <f>HYPERLINK("https://android.googlesource.com/platform/cts/+/099f5fcbf37eee9bdf0f102e5cf8c474301165dc", "099f5fcbf37eee9bdf0f102e5cf8c474301165dc")</f>
        <v>0</v>
      </c>
      <c r="C14459">
        <f>HYPERLINK("https://android.googlesource.com/platform/cts/+/d09fdd24dee8949d0a936bc9abdafcf09384c81c", "d09fdd24dee8949d0a936bc9abdafcf09384c81c")</f>
        <v>0</v>
      </c>
      <c r="D14459" t="s">
        <v>5122</v>
      </c>
      <c r="E14459" t="s">
        <v>8013</v>
      </c>
      <c r="F14459" t="s">
        <v>13754</v>
      </c>
      <c r="G14459" t="s">
        <v>17814</v>
      </c>
      <c r="H14459" t="s">
        <v>31434</v>
      </c>
    </row>
    <row r="14460" spans="1:8">
      <c r="A14460" t="s">
        <v>2285</v>
      </c>
      <c r="B14460">
        <f>HYPERLINK("https://android.googlesource.com/platform/cts/+/b43a49f77e7bc4f99bb735ac3330f089c18997b1", "b43a49f77e7bc4f99bb735ac3330f089c18997b1")</f>
        <v>0</v>
      </c>
      <c r="C14460">
        <f>HYPERLINK("https://android.googlesource.com/platform/cts/+/de05ffeb8e9a75bb893f62e06c4ffff83b989196", "de05ffeb8e9a75bb893f62e06c4ffff83b989196")</f>
        <v>0</v>
      </c>
      <c r="D14460" t="s">
        <v>5040</v>
      </c>
      <c r="E14460" t="s">
        <v>8014</v>
      </c>
      <c r="F14460" t="s">
        <v>13738</v>
      </c>
      <c r="G14460" t="s">
        <v>17798</v>
      </c>
      <c r="H14460" t="s">
        <v>31436</v>
      </c>
    </row>
    <row r="14461" spans="1:8">
      <c r="A14461" t="s">
        <v>2286</v>
      </c>
      <c r="B14461">
        <f>HYPERLINK("https://android.googlesource.com/platform/cts/+/e924442d39bdc736351354f559c75ac67a89d5e7", "e924442d39bdc736351354f559c75ac67a89d5e7")</f>
        <v>0</v>
      </c>
      <c r="C14461">
        <f>HYPERLINK("https://android.googlesource.com/platform/cts/+/eae4ccc82d523cde3536d6ff6f2ff7adeab044ee", "eae4ccc82d523cde3536d6ff6f2ff7adeab044ee")</f>
        <v>0</v>
      </c>
      <c r="D14461" t="s">
        <v>5172</v>
      </c>
      <c r="E14461" t="s">
        <v>8015</v>
      </c>
      <c r="F14461" t="s">
        <v>13755</v>
      </c>
      <c r="G14461" t="s">
        <v>17815</v>
      </c>
      <c r="H14461" t="s">
        <v>31437</v>
      </c>
    </row>
    <row r="14462" spans="1:8">
      <c r="A14462" t="s">
        <v>2288</v>
      </c>
      <c r="B14462">
        <f>HYPERLINK("https://android.googlesource.com/platform/cts/+/549f4c7218f50a43223852cff3b29af328ac1e74", "549f4c7218f50a43223852cff3b29af328ac1e74")</f>
        <v>0</v>
      </c>
      <c r="C14462">
        <f>HYPERLINK("https://android.googlesource.com/platform/cts/+/525e805fe88c7bb2a65a9996248bd01df4f06675", "525e805fe88c7bb2a65a9996248bd01df4f06675")</f>
        <v>0</v>
      </c>
      <c r="D14462" t="s">
        <v>5134</v>
      </c>
      <c r="E14462" t="s">
        <v>8018</v>
      </c>
      <c r="F14462" t="s">
        <v>13756</v>
      </c>
      <c r="G14462" t="s">
        <v>17371</v>
      </c>
      <c r="H14462" t="s">
        <v>31429</v>
      </c>
    </row>
    <row r="14463" spans="1:8">
      <c r="A14463" t="s">
        <v>2293</v>
      </c>
      <c r="B14463">
        <f>HYPERLINK("https://android.googlesource.com/platform/cts/+/dbbe76b15b806cf916db2f412899de2b4a78acd4", "dbbe76b15b806cf916db2f412899de2b4a78acd4")</f>
        <v>0</v>
      </c>
      <c r="C14463">
        <f>HYPERLINK("https://android.googlesource.com/platform/cts/+/762edcf69a7b86916230b932713281388a82d3ad", "762edcf69a7b86916230b932713281388a82d3ad")</f>
        <v>0</v>
      </c>
      <c r="D14463" t="s">
        <v>5118</v>
      </c>
      <c r="E14463" t="s">
        <v>8023</v>
      </c>
      <c r="F14463" t="s">
        <v>13759</v>
      </c>
      <c r="G14463" t="s">
        <v>17818</v>
      </c>
      <c r="H14463" t="s">
        <v>31445</v>
      </c>
    </row>
    <row r="14464" spans="1:8">
      <c r="A14464" t="s">
        <v>2294</v>
      </c>
      <c r="B14464">
        <f>HYPERLINK("https://android.googlesource.com/platform/cts/+/d7f801e61fd434cd1ab5ebe76343a0a87a8befea", "d7f801e61fd434cd1ab5ebe76343a0a87a8befea")</f>
        <v>0</v>
      </c>
      <c r="C14464">
        <f>HYPERLINK("https://android.googlesource.com/platform/cts/+/2a0ea8e28218a0c66854ebbfa69432f0e0b75bde", "2a0ea8e28218a0c66854ebbfa69432f0e0b75bde")</f>
        <v>0</v>
      </c>
      <c r="D14464" t="s">
        <v>5288</v>
      </c>
      <c r="E14464" t="s">
        <v>8024</v>
      </c>
      <c r="F14464" t="s">
        <v>12629</v>
      </c>
      <c r="G14464" t="s">
        <v>16838</v>
      </c>
      <c r="H14464" t="s">
        <v>31446</v>
      </c>
    </row>
    <row r="14465" spans="1:8">
      <c r="A14465" t="s">
        <v>2295</v>
      </c>
      <c r="B14465">
        <f>HYPERLINK("https://android.googlesource.com/platform/cts/+/8bff2eafa334e1d1ec23825f5ee19cd889200f1a", "8bff2eafa334e1d1ec23825f5ee19cd889200f1a")</f>
        <v>0</v>
      </c>
      <c r="C14465">
        <f>HYPERLINK("https://android.googlesource.com/platform/cts/+/1cb001b4992515db6d0948e18a45a526851653a4", "1cb001b4992515db6d0948e18a45a526851653a4")</f>
        <v>0</v>
      </c>
      <c r="D14465" t="s">
        <v>5369</v>
      </c>
      <c r="E14465" t="s">
        <v>8025</v>
      </c>
      <c r="F14465" t="s">
        <v>13047</v>
      </c>
      <c r="G14465" t="s">
        <v>17211</v>
      </c>
      <c r="H14465" t="s">
        <v>31447</v>
      </c>
    </row>
    <row r="14466" spans="1:8">
      <c r="A14466" t="s">
        <v>2296</v>
      </c>
      <c r="B14466">
        <f>HYPERLINK("https://android.googlesource.com/platform/cts/+/7a68b335b97a687d416b83d526596e3ea8d6e466", "7a68b335b97a687d416b83d526596e3ea8d6e466")</f>
        <v>0</v>
      </c>
      <c r="C14466">
        <f>HYPERLINK("https://android.googlesource.com/platform/cts/+/4dabd7f52b987bf9626bedf6b20fea559428359a", "4dabd7f52b987bf9626bedf6b20fea559428359a")</f>
        <v>0</v>
      </c>
      <c r="D14466" t="s">
        <v>5370</v>
      </c>
      <c r="E14466" t="s">
        <v>8026</v>
      </c>
      <c r="F14466" t="s">
        <v>10624</v>
      </c>
      <c r="G14466" t="s">
        <v>15027</v>
      </c>
      <c r="H14466" t="s">
        <v>31448</v>
      </c>
    </row>
    <row r="14467" spans="1:8">
      <c r="A14467" t="s">
        <v>2297</v>
      </c>
      <c r="B14467">
        <f>HYPERLINK("https://android.googlesource.com/platform/cts/+/d4482f89d50919f5b2c877e2e4bd9e8d4d8e519e", "d4482f89d50919f5b2c877e2e4bd9e8d4d8e519e")</f>
        <v>0</v>
      </c>
      <c r="C14467">
        <f>HYPERLINK("https://android.googlesource.com/platform/cts/+/40e8a005594e31e970ea64af430b96b20f95d32c", "40e8a005594e31e970ea64af430b96b20f95d32c")</f>
        <v>0</v>
      </c>
      <c r="D14467" t="s">
        <v>5141</v>
      </c>
      <c r="E14467" t="s">
        <v>8027</v>
      </c>
      <c r="F14467" t="s">
        <v>13089</v>
      </c>
      <c r="G14467" t="s">
        <v>17251</v>
      </c>
      <c r="H14467" t="s">
        <v>31449</v>
      </c>
    </row>
    <row r="14468" spans="1:8">
      <c r="H14468" t="s">
        <v>31450</v>
      </c>
    </row>
    <row r="14469" spans="1:8">
      <c r="A14469" t="s">
        <v>2298</v>
      </c>
      <c r="B14469">
        <f>HYPERLINK("https://android.googlesource.com/platform/cts/+/57e91ed6396e92432884b2e22788d989cb780741", "57e91ed6396e92432884b2e22788d989cb780741")</f>
        <v>0</v>
      </c>
      <c r="C14469">
        <f>HYPERLINK("https://android.googlesource.com/platform/cts/+/40f313360008d6d2f27518d2e81ecfba91a335ab", "40f313360008d6d2f27518d2e81ecfba91a335ab")</f>
        <v>0</v>
      </c>
      <c r="D14469" t="s">
        <v>5134</v>
      </c>
      <c r="E14469" t="s">
        <v>8028</v>
      </c>
      <c r="F14469" t="s">
        <v>13760</v>
      </c>
      <c r="G14469" t="s">
        <v>17811</v>
      </c>
      <c r="H14469" t="s">
        <v>31429</v>
      </c>
    </row>
    <row r="14470" spans="1:8">
      <c r="A14470" t="s">
        <v>2299</v>
      </c>
      <c r="B14470">
        <f>HYPERLINK("https://android.googlesource.com/platform/cts/+/66b81c8cb962ac72163dd079e42f97e6abe58d67", "66b81c8cb962ac72163dd079e42f97e6abe58d67")</f>
        <v>0</v>
      </c>
      <c r="C14470">
        <f>HYPERLINK("https://android.googlesource.com/platform/cts/+/3524bf597d35361cc790c89f4d75691c366f566e", "3524bf597d35361cc790c89f4d75691c366f566e")</f>
        <v>0</v>
      </c>
      <c r="D14470" t="s">
        <v>5224</v>
      </c>
      <c r="E14470" t="s">
        <v>8029</v>
      </c>
      <c r="F14470" t="s">
        <v>13761</v>
      </c>
      <c r="G14470" t="s">
        <v>17819</v>
      </c>
      <c r="H14470" t="s">
        <v>31452</v>
      </c>
    </row>
    <row r="14471" spans="1:8">
      <c r="A14471" t="s">
        <v>2302</v>
      </c>
      <c r="B14471">
        <f>HYPERLINK("https://android.googlesource.com/platform/cts/+/7b0955af101617909c129f9a29bc94b3fd9a3c75", "7b0955af101617909c129f9a29bc94b3fd9a3c75")</f>
        <v>0</v>
      </c>
      <c r="C14471">
        <f>HYPERLINK("https://android.googlesource.com/platform/cts/+/3cced45a91cc0515b5a20a8c4017ec5b4deb927b", "3cced45a91cc0515b5a20a8c4017ec5b4deb927b")</f>
        <v>0</v>
      </c>
      <c r="D14471" t="s">
        <v>5046</v>
      </c>
      <c r="E14471" t="s">
        <v>8032</v>
      </c>
      <c r="F14471" t="s">
        <v>13432</v>
      </c>
      <c r="G14471" t="s">
        <v>17556</v>
      </c>
      <c r="H14471" t="s">
        <v>31459</v>
      </c>
    </row>
    <row r="14472" spans="1:8">
      <c r="H14472" t="s">
        <v>31460</v>
      </c>
    </row>
    <row r="14473" spans="1:8">
      <c r="H14473" t="s">
        <v>31461</v>
      </c>
    </row>
    <row r="14474" spans="1:8">
      <c r="H14474" t="s">
        <v>31462</v>
      </c>
    </row>
    <row r="14475" spans="1:8">
      <c r="H14475" t="s">
        <v>31463</v>
      </c>
    </row>
    <row r="14476" spans="1:8">
      <c r="A14476" t="s">
        <v>2303</v>
      </c>
      <c r="B14476">
        <f>HYPERLINK("https://android.googlesource.com/platform/cts/+/a9d947c27a506348d6843910c4d30d849f897a94", "a9d947c27a506348d6843910c4d30d849f897a94")</f>
        <v>0</v>
      </c>
      <c r="C14476">
        <f>HYPERLINK("https://android.googlesource.com/platform/cts/+/7cf5c6c60f300c22deabdafff0abc6579c110f5b", "7cf5c6c60f300c22deabdafff0abc6579c110f5b")</f>
        <v>0</v>
      </c>
      <c r="D14476" t="s">
        <v>5046</v>
      </c>
      <c r="E14476" t="s">
        <v>8033</v>
      </c>
      <c r="F14476" t="s">
        <v>13763</v>
      </c>
      <c r="G14476" t="s">
        <v>17820</v>
      </c>
      <c r="H14476" t="s">
        <v>31459</v>
      </c>
    </row>
    <row r="14477" spans="1:8">
      <c r="H14477" t="s">
        <v>31460</v>
      </c>
    </row>
    <row r="14478" spans="1:8">
      <c r="H14478" t="s">
        <v>31461</v>
      </c>
    </row>
    <row r="14479" spans="1:8">
      <c r="H14479" t="s">
        <v>31462</v>
      </c>
    </row>
    <row r="14480" spans="1:8">
      <c r="H14480" t="s">
        <v>31463</v>
      </c>
    </row>
    <row r="14481" spans="1:8">
      <c r="A14481" t="s">
        <v>2304</v>
      </c>
      <c r="B14481">
        <f>HYPERLINK("https://android.googlesource.com/platform/cts/+/dca9bf76d76aa9b2023f2ec3d22e1c61102539d1", "dca9bf76d76aa9b2023f2ec3d22e1c61102539d1")</f>
        <v>0</v>
      </c>
      <c r="C14481">
        <f>HYPERLINK("https://android.googlesource.com/platform/cts/+/c6b9d4351cc48c644a6ddd8b4c0250de84549f7b", "c6b9d4351cc48c644a6ddd8b4c0250de84549f7b")</f>
        <v>0</v>
      </c>
      <c r="D14481" t="s">
        <v>5263</v>
      </c>
      <c r="E14481" t="s">
        <v>8034</v>
      </c>
      <c r="F14481" t="s">
        <v>13673</v>
      </c>
      <c r="G14481" t="s">
        <v>15029</v>
      </c>
      <c r="H14481" t="s">
        <v>31464</v>
      </c>
    </row>
    <row r="14482" spans="1:8">
      <c r="A14482" t="s">
        <v>2305</v>
      </c>
      <c r="B14482">
        <f>HYPERLINK("https://android.googlesource.com/platform/cts/+/6190d13a522a0901a3cae568fe003f9cc4f58bc9", "6190d13a522a0901a3cae568fe003f9cc4f58bc9")</f>
        <v>0</v>
      </c>
      <c r="C14482">
        <f>HYPERLINK("https://android.googlesource.com/platform/cts/+/67b715293484e2c455150be0b9ddad96cc902db7", "67b715293484e2c455150be0b9ddad96cc902db7")</f>
        <v>0</v>
      </c>
      <c r="D14482" t="s">
        <v>4981</v>
      </c>
      <c r="E14482" t="s">
        <v>8035</v>
      </c>
      <c r="F14482" t="s">
        <v>13764</v>
      </c>
      <c r="G14482" t="s">
        <v>17821</v>
      </c>
      <c r="H14482" t="s">
        <v>31465</v>
      </c>
    </row>
    <row r="14483" spans="1:8">
      <c r="A14483" t="s">
        <v>2307</v>
      </c>
      <c r="B14483">
        <f>HYPERLINK("https://android.googlesource.com/platform/cts/+/209c245b9e9684fe29ec04ab0526a6de57bf60d4", "209c245b9e9684fe29ec04ab0526a6de57bf60d4")</f>
        <v>0</v>
      </c>
      <c r="C14483">
        <f>HYPERLINK("https://android.googlesource.com/platform/cts/+/30fe1b769f2b082e9b9b909f111c4e899d4bf11f", "30fe1b769f2b082e9b9b909f111c4e899d4bf11f")</f>
        <v>0</v>
      </c>
      <c r="D14483" t="s">
        <v>5134</v>
      </c>
      <c r="E14483" t="s">
        <v>8037</v>
      </c>
      <c r="F14483" t="s">
        <v>13765</v>
      </c>
      <c r="G14483" t="s">
        <v>17822</v>
      </c>
      <c r="H14483" t="s">
        <v>31468</v>
      </c>
    </row>
    <row r="14484" spans="1:8">
      <c r="A14484" t="s">
        <v>2310</v>
      </c>
      <c r="B14484">
        <f>HYPERLINK("https://android.googlesource.com/platform/cts/+/f5b5cecb825d166fee6c92daa42c45973445c763", "f5b5cecb825d166fee6c92daa42c45973445c763")</f>
        <v>0</v>
      </c>
      <c r="C14484">
        <f>HYPERLINK("https://android.googlesource.com/platform/cts/+/11b56a4fe5944b0ced825622d155bfe8e2c4e652", "11b56a4fe5944b0ced825622d155bfe8e2c4e652")</f>
        <v>0</v>
      </c>
      <c r="D14484" t="s">
        <v>5363</v>
      </c>
      <c r="E14484" t="s">
        <v>8040</v>
      </c>
      <c r="F14484" t="s">
        <v>10605</v>
      </c>
      <c r="G14484" t="s">
        <v>15008</v>
      </c>
      <c r="H14484" t="s">
        <v>31476</v>
      </c>
    </row>
    <row r="14485" spans="1:8">
      <c r="A14485" t="s">
        <v>2315</v>
      </c>
      <c r="B14485">
        <f>HYPERLINK("https://android.googlesource.com/platform/cts/+/7137ccad4f425a80832afaee8d82bbbfe1fa544a", "7137ccad4f425a80832afaee8d82bbbfe1fa544a")</f>
        <v>0</v>
      </c>
      <c r="C14485">
        <f>HYPERLINK("https://android.googlesource.com/platform/cts/+/2c65204a1e7db9267ef43d67f06e029e73ab43da", "2c65204a1e7db9267ef43d67f06e029e73ab43da")</f>
        <v>0</v>
      </c>
      <c r="D14485" t="s">
        <v>5365</v>
      </c>
      <c r="E14485" t="s">
        <v>8045</v>
      </c>
      <c r="F14485" t="s">
        <v>10794</v>
      </c>
      <c r="G14485" t="s">
        <v>15189</v>
      </c>
      <c r="H14485" t="s">
        <v>31478</v>
      </c>
    </row>
    <row r="14486" spans="1:8">
      <c r="H14486" t="s">
        <v>31479</v>
      </c>
    </row>
    <row r="14487" spans="1:8">
      <c r="H14487" t="s">
        <v>31480</v>
      </c>
    </row>
    <row r="14488" spans="1:8">
      <c r="H14488" t="s">
        <v>31481</v>
      </c>
    </row>
    <row r="14489" spans="1:8">
      <c r="H14489" t="s">
        <v>31482</v>
      </c>
    </row>
    <row r="14490" spans="1:8">
      <c r="H14490" t="s">
        <v>31483</v>
      </c>
    </row>
    <row r="14491" spans="1:8">
      <c r="A14491" t="s">
        <v>2316</v>
      </c>
      <c r="B14491">
        <f>HYPERLINK("https://android.googlesource.com/platform/cts/+/b04e27263001428b9f343010f422e71bd8713fe1", "b04e27263001428b9f343010f422e71bd8713fe1")</f>
        <v>0</v>
      </c>
      <c r="C14491">
        <f>HYPERLINK("https://android.googlesource.com/platform/cts/+/69bb567e68e3ea6ea9e8071b3d899da51ed996eb", "69bb567e68e3ea6ea9e8071b3d899da51ed996eb")</f>
        <v>0</v>
      </c>
      <c r="D14491" t="s">
        <v>4949</v>
      </c>
      <c r="E14491" t="s">
        <v>8046</v>
      </c>
      <c r="F14491" t="s">
        <v>13442</v>
      </c>
      <c r="G14491" t="s">
        <v>17564</v>
      </c>
      <c r="H14491" t="s">
        <v>31484</v>
      </c>
    </row>
    <row r="14492" spans="1:8">
      <c r="H14492" t="s">
        <v>31485</v>
      </c>
    </row>
    <row r="14493" spans="1:8">
      <c r="H14493" t="s">
        <v>31486</v>
      </c>
    </row>
    <row r="14494" spans="1:8">
      <c r="H14494" t="s">
        <v>31487</v>
      </c>
    </row>
    <row r="14495" spans="1:8">
      <c r="H14495" t="s">
        <v>31488</v>
      </c>
    </row>
    <row r="14496" spans="1:8">
      <c r="H14496" t="s">
        <v>30984</v>
      </c>
    </row>
    <row r="14497" spans="1:8">
      <c r="H14497" t="s">
        <v>31489</v>
      </c>
    </row>
    <row r="14498" spans="1:8">
      <c r="H14498" t="s">
        <v>31491</v>
      </c>
    </row>
    <row r="14499" spans="1:8">
      <c r="H14499" t="s">
        <v>31492</v>
      </c>
    </row>
    <row r="14500" spans="1:8">
      <c r="H14500" t="s">
        <v>31493</v>
      </c>
    </row>
    <row r="14501" spans="1:8">
      <c r="H14501" t="s">
        <v>31494</v>
      </c>
    </row>
    <row r="14502" spans="1:8">
      <c r="A14502" t="s">
        <v>2321</v>
      </c>
      <c r="B14502">
        <f>HYPERLINK("https://android.googlesource.com/platform/cts/+/5100ab9b0a698ff561ab95b3ba115e47302daccd", "5100ab9b0a698ff561ab95b3ba115e47302daccd")</f>
        <v>0</v>
      </c>
      <c r="C14502">
        <f>HYPERLINK("https://android.googlesource.com/platform/cts/+/eddcacf11881de9baec30662d61563f332c0edca", "eddcacf11881de9baec30662d61563f332c0edca")</f>
        <v>0</v>
      </c>
      <c r="D14502" t="s">
        <v>5132</v>
      </c>
      <c r="E14502" t="s">
        <v>8051</v>
      </c>
      <c r="F14502" t="s">
        <v>12857</v>
      </c>
      <c r="G14502" t="s">
        <v>17027</v>
      </c>
      <c r="H14502" t="s">
        <v>30931</v>
      </c>
    </row>
    <row r="14503" spans="1:8">
      <c r="A14503" t="s">
        <v>2323</v>
      </c>
      <c r="B14503">
        <f>HYPERLINK("https://android.googlesource.com/platform/cts/+/c1d3ab52182154ebd2ad6aa837f14c23c387fb4c", "c1d3ab52182154ebd2ad6aa837f14c23c387fb4c")</f>
        <v>0</v>
      </c>
      <c r="C14503">
        <f>HYPERLINK("https://android.googlesource.com/platform/cts/+/71bc7ebb8f41ffca892e1d0b20d7e7478937d951", "71bc7ebb8f41ffca892e1d0b20d7e7478937d951")</f>
        <v>0</v>
      </c>
      <c r="D14503" t="s">
        <v>5344</v>
      </c>
      <c r="E14503" t="s">
        <v>8053</v>
      </c>
      <c r="F14503" t="s">
        <v>13756</v>
      </c>
      <c r="G14503" t="s">
        <v>17371</v>
      </c>
      <c r="H14503" t="s">
        <v>31505</v>
      </c>
    </row>
    <row r="14504" spans="1:8">
      <c r="A14504" t="s">
        <v>2324</v>
      </c>
      <c r="B14504">
        <f>HYPERLINK("https://android.googlesource.com/platform/cts/+/76ff4af59a4753ea627654a4d7b257728e9746fe", "76ff4af59a4753ea627654a4d7b257728e9746fe")</f>
        <v>0</v>
      </c>
      <c r="C14504">
        <f>HYPERLINK("https://android.googlesource.com/platform/cts/+/0ca5decb2d59e653f685142932f17499bdc22c3e", "0ca5decb2d59e653f685142932f17499bdc22c3e")</f>
        <v>0</v>
      </c>
      <c r="D14504" t="s">
        <v>5374</v>
      </c>
      <c r="E14504" t="s">
        <v>8054</v>
      </c>
      <c r="F14504" t="s">
        <v>13197</v>
      </c>
      <c r="G14504" t="s">
        <v>17340</v>
      </c>
      <c r="H14504" t="s">
        <v>31445</v>
      </c>
    </row>
    <row r="14505" spans="1:8">
      <c r="F14505" t="s">
        <v>13165</v>
      </c>
      <c r="G14505" t="s">
        <v>17315</v>
      </c>
      <c r="H14505" t="s">
        <v>31506</v>
      </c>
    </row>
    <row r="14506" spans="1:8">
      <c r="A14506" t="s">
        <v>2325</v>
      </c>
      <c r="B14506">
        <f>HYPERLINK("https://android.googlesource.com/platform/cts/+/7e609b9d2e8b2875270c6747b141e913180f0059", "7e609b9d2e8b2875270c6747b141e913180f0059")</f>
        <v>0</v>
      </c>
      <c r="C14506">
        <f>HYPERLINK("https://android.googlesource.com/platform/cts/+/83b03f0cd86afea1e3b98fac119f1b943275c6fa", "83b03f0cd86afea1e3b98fac119f1b943275c6fa")</f>
        <v>0</v>
      </c>
      <c r="D14506" t="s">
        <v>5363</v>
      </c>
      <c r="E14506" t="s">
        <v>8055</v>
      </c>
      <c r="F14506" t="s">
        <v>13770</v>
      </c>
      <c r="G14506" t="s">
        <v>14997</v>
      </c>
      <c r="H14506" t="s">
        <v>18974</v>
      </c>
    </row>
    <row r="14507" spans="1:8">
      <c r="A14507" t="s">
        <v>2326</v>
      </c>
      <c r="B14507">
        <f>HYPERLINK("https://android.googlesource.com/platform/cts/+/45fb5484c9a882b8f0974e925075ecd46f3f6aa0", "45fb5484c9a882b8f0974e925075ecd46f3f6aa0")</f>
        <v>0</v>
      </c>
      <c r="C14507">
        <f>HYPERLINK("https://android.googlesource.com/platform/cts/+/de1a06a8c534d6ae497d022cc188be26d95089d0", "de1a06a8c534d6ae497d022cc188be26d95089d0")</f>
        <v>0</v>
      </c>
      <c r="D14507" t="s">
        <v>5375</v>
      </c>
      <c r="E14507" t="s">
        <v>8056</v>
      </c>
      <c r="F14507" t="s">
        <v>13771</v>
      </c>
      <c r="G14507" t="s">
        <v>17826</v>
      </c>
      <c r="H14507" t="s">
        <v>31507</v>
      </c>
    </row>
    <row r="14508" spans="1:8">
      <c r="A14508" t="s">
        <v>2327</v>
      </c>
      <c r="B14508">
        <f>HYPERLINK("https://android.googlesource.com/platform/cts/+/9381b17063063adcf07d795631ec0e81b2b9400d", "9381b17063063adcf07d795631ec0e81b2b9400d")</f>
        <v>0</v>
      </c>
      <c r="C14508">
        <f>HYPERLINK("https://android.googlesource.com/platform/cts/+/f9174105834b117674efb98a8a27ad435a196356", "f9174105834b117674efb98a8a27ad435a196356")</f>
        <v>0</v>
      </c>
      <c r="D14508" t="s">
        <v>5376</v>
      </c>
      <c r="E14508" t="s">
        <v>8057</v>
      </c>
      <c r="F14508" t="s">
        <v>13540</v>
      </c>
      <c r="G14508" t="s">
        <v>17651</v>
      </c>
      <c r="H14508" t="s">
        <v>31508</v>
      </c>
    </row>
    <row r="14509" spans="1:8">
      <c r="H14509" t="s">
        <v>31509</v>
      </c>
    </row>
    <row r="14510" spans="1:8">
      <c r="A14510" t="s">
        <v>2331</v>
      </c>
      <c r="B14510">
        <f>HYPERLINK("https://android.googlesource.com/platform/cts/+/7209dcd2cf7e13f7a1645ba9abdb1da1627fac76", "7209dcd2cf7e13f7a1645ba9abdb1da1627fac76")</f>
        <v>0</v>
      </c>
      <c r="C14510">
        <f>HYPERLINK("https://android.googlesource.com/platform/cts/+/7e7880da7b530fff2e0867ba7e9cc52783f7a28d", "7e7880da7b530fff2e0867ba7e9cc52783f7a28d")</f>
        <v>0</v>
      </c>
      <c r="D14510" t="s">
        <v>5363</v>
      </c>
      <c r="E14510" t="s">
        <v>8061</v>
      </c>
      <c r="F14510" t="s">
        <v>10605</v>
      </c>
      <c r="G14510" t="s">
        <v>15008</v>
      </c>
      <c r="H14510" t="s">
        <v>31512</v>
      </c>
    </row>
    <row r="14511" spans="1:8">
      <c r="A14511" t="s">
        <v>2333</v>
      </c>
      <c r="B14511">
        <f>HYPERLINK("https://android.googlesource.com/platform/cts/+/c0537b5d27438b175132bdc1f9feee52da96797c", "c0537b5d27438b175132bdc1f9feee52da96797c")</f>
        <v>0</v>
      </c>
      <c r="C14511">
        <f>HYPERLINK("https://android.googlesource.com/platform/cts/+/0ad6166affd9adcfd17624c5b20e3a29c04b9ccb", "0ad6166affd9adcfd17624c5b20e3a29c04b9ccb")</f>
        <v>0</v>
      </c>
      <c r="D14511" t="s">
        <v>4981</v>
      </c>
      <c r="E14511" t="s">
        <v>8063</v>
      </c>
      <c r="F14511" t="s">
        <v>13742</v>
      </c>
      <c r="G14511" t="s">
        <v>17802</v>
      </c>
      <c r="H14511" t="s">
        <v>31515</v>
      </c>
    </row>
    <row r="14512" spans="1:8">
      <c r="H14512" t="s">
        <v>31516</v>
      </c>
    </row>
    <row r="14513" spans="1:8">
      <c r="F14513" t="s">
        <v>13743</v>
      </c>
      <c r="G14513" t="s">
        <v>17803</v>
      </c>
      <c r="H14513" t="s">
        <v>31518</v>
      </c>
    </row>
    <row r="14514" spans="1:8">
      <c r="H14514" t="s">
        <v>31519</v>
      </c>
    </row>
    <row r="14515" spans="1:8">
      <c r="F14515" t="s">
        <v>13744</v>
      </c>
      <c r="G14515" t="s">
        <v>17804</v>
      </c>
      <c r="H14515" t="s">
        <v>31521</v>
      </c>
    </row>
    <row r="14516" spans="1:8">
      <c r="H14516" t="s">
        <v>31522</v>
      </c>
    </row>
    <row r="14517" spans="1:8">
      <c r="F14517" t="s">
        <v>13745</v>
      </c>
      <c r="G14517" t="s">
        <v>17805</v>
      </c>
      <c r="H14517" t="s">
        <v>31524</v>
      </c>
    </row>
    <row r="14518" spans="1:8">
      <c r="H14518" t="s">
        <v>31525</v>
      </c>
    </row>
    <row r="14519" spans="1:8">
      <c r="A14519" t="s">
        <v>2334</v>
      </c>
      <c r="B14519">
        <f>HYPERLINK("https://android.googlesource.com/platform/cts/+/1c2bbff7696e02fc7c20afc630be6a1ef635f153", "1c2bbff7696e02fc7c20afc630be6a1ef635f153")</f>
        <v>0</v>
      </c>
      <c r="C14519">
        <f>HYPERLINK("https://android.googlesource.com/platform/cts/+/3b4167f594d9829299a6690e2e1d0920520e5d6f", "3b4167f594d9829299a6690e2e1d0920520e5d6f")</f>
        <v>0</v>
      </c>
      <c r="D14519" t="s">
        <v>5298</v>
      </c>
      <c r="E14519" t="s">
        <v>8064</v>
      </c>
      <c r="F14519" t="s">
        <v>13776</v>
      </c>
      <c r="G14519" t="s">
        <v>17831</v>
      </c>
      <c r="H14519" t="s">
        <v>31533</v>
      </c>
    </row>
    <row r="14520" spans="1:8">
      <c r="A14520" t="s">
        <v>2335</v>
      </c>
      <c r="B14520">
        <f>HYPERLINK("https://android.googlesource.com/platform/cts/+/d6d609a42c9f4a28a9f9b0c69e0fbfcfdd99ce20", "d6d609a42c9f4a28a9f9b0c69e0fbfcfdd99ce20")</f>
        <v>0</v>
      </c>
      <c r="C14520">
        <f>HYPERLINK("https://android.googlesource.com/platform/cts/+/daedc89bb402d6ffa1a383b0b88916fd7b728605", "daedc89bb402d6ffa1a383b0b88916fd7b728605")</f>
        <v>0</v>
      </c>
      <c r="D14520" t="s">
        <v>4981</v>
      </c>
      <c r="E14520" t="s">
        <v>8065</v>
      </c>
      <c r="F14520" t="s">
        <v>13777</v>
      </c>
      <c r="G14520" t="s">
        <v>17832</v>
      </c>
      <c r="H14520" t="s">
        <v>31534</v>
      </c>
    </row>
    <row r="14521" spans="1:8">
      <c r="F14521" t="s">
        <v>13778</v>
      </c>
      <c r="G14521" t="s">
        <v>17833</v>
      </c>
      <c r="H14521" t="s">
        <v>31535</v>
      </c>
    </row>
    <row r="14522" spans="1:8">
      <c r="A14522" t="s">
        <v>2336</v>
      </c>
      <c r="B14522">
        <f>HYPERLINK("https://android.googlesource.com/platform/cts/+/c9d7c754df93ccbfbe7b1f356dc71fab35785990", "c9d7c754df93ccbfbe7b1f356dc71fab35785990")</f>
        <v>0</v>
      </c>
      <c r="C14522">
        <f>HYPERLINK("https://android.googlesource.com/platform/cts/+/27d8f877a7fd8a876dd4cbb9eb58309022052733", "27d8f877a7fd8a876dd4cbb9eb58309022052733")</f>
        <v>0</v>
      </c>
      <c r="D14522" t="s">
        <v>5359</v>
      </c>
      <c r="E14522" t="s">
        <v>8066</v>
      </c>
      <c r="F14522" t="s">
        <v>13398</v>
      </c>
      <c r="G14522" t="s">
        <v>17524</v>
      </c>
      <c r="H14522" t="s">
        <v>31536</v>
      </c>
    </row>
    <row r="14523" spans="1:8">
      <c r="A14523" t="s">
        <v>2338</v>
      </c>
      <c r="B14523">
        <f>HYPERLINK("https://android.googlesource.com/platform/cts/+/4692fdf5dfd5d64528e163a570475e21ddca4791", "4692fdf5dfd5d64528e163a570475e21ddca4791")</f>
        <v>0</v>
      </c>
      <c r="C14523">
        <f>HYPERLINK("https://android.googlesource.com/platform/cts/+/7515dd14c8808b0c1b3101669dad9fb6efdb2791", "7515dd14c8808b0c1b3101669dad9fb6efdb2791")</f>
        <v>0</v>
      </c>
      <c r="D14523" t="s">
        <v>5314</v>
      </c>
      <c r="E14523" t="s">
        <v>8068</v>
      </c>
      <c r="F14523" t="s">
        <v>13752</v>
      </c>
      <c r="G14523" t="s">
        <v>17812</v>
      </c>
      <c r="H14523" t="s">
        <v>31543</v>
      </c>
    </row>
    <row r="14524" spans="1:8">
      <c r="A14524" t="s">
        <v>2339</v>
      </c>
      <c r="B14524">
        <f>HYPERLINK("https://android.googlesource.com/platform/cts/+/8ed62f56415387ca4671068ffd2d08dfbc27d43e", "8ed62f56415387ca4671068ffd2d08dfbc27d43e")</f>
        <v>0</v>
      </c>
      <c r="C14524">
        <f>HYPERLINK("https://android.googlesource.com/platform/cts/+/7a94e257c39f67f7c61d23e6ea50078bdc0e20ae", "7a94e257c39f67f7c61d23e6ea50078bdc0e20ae")</f>
        <v>0</v>
      </c>
      <c r="D14524" t="s">
        <v>5377</v>
      </c>
      <c r="E14524" t="s">
        <v>8069</v>
      </c>
      <c r="F14524" t="s">
        <v>13780</v>
      </c>
      <c r="G14524" t="s">
        <v>17667</v>
      </c>
      <c r="H14524" t="s">
        <v>29902</v>
      </c>
    </row>
    <row r="14525" spans="1:8">
      <c r="F14525" t="s">
        <v>12394</v>
      </c>
      <c r="G14525" t="s">
        <v>17294</v>
      </c>
      <c r="H14525" t="s">
        <v>31544</v>
      </c>
    </row>
    <row r="14526" spans="1:8">
      <c r="A14526" t="s">
        <v>2342</v>
      </c>
      <c r="B14526">
        <f>HYPERLINK("https://android.googlesource.com/platform/cts/+/b0dd02679bce6f608032fdf3cf1974647402d6d2", "b0dd02679bce6f608032fdf3cf1974647402d6d2")</f>
        <v>0</v>
      </c>
      <c r="C14526">
        <f>HYPERLINK("https://android.googlesource.com/platform/cts/+/fd5c470459efb0516de8b3d7903aa4db2824ed2e", "fd5c470459efb0516de8b3d7903aa4db2824ed2e")</f>
        <v>0</v>
      </c>
      <c r="D14526" t="s">
        <v>5372</v>
      </c>
      <c r="E14526" t="s">
        <v>8072</v>
      </c>
      <c r="F14526" t="s">
        <v>13768</v>
      </c>
      <c r="G14526" t="s">
        <v>17825</v>
      </c>
      <c r="H14526" t="s">
        <v>31546</v>
      </c>
    </row>
    <row r="14527" spans="1:8">
      <c r="A14527" t="s">
        <v>2343</v>
      </c>
      <c r="B14527">
        <f>HYPERLINK("https://android.googlesource.com/platform/cts/+/714301b770faccbe8aff80e3d42b2b365ad3be9e", "714301b770faccbe8aff80e3d42b2b365ad3be9e")</f>
        <v>0</v>
      </c>
      <c r="C14527">
        <f>HYPERLINK("https://android.googlesource.com/platform/cts/+/763c74906fb50d273134086d45c185e1157a473a", "763c74906fb50d273134086d45c185e1157a473a")</f>
        <v>0</v>
      </c>
      <c r="D14527" t="s">
        <v>5122</v>
      </c>
      <c r="E14527" t="s">
        <v>8073</v>
      </c>
      <c r="F14527" t="s">
        <v>13781</v>
      </c>
      <c r="G14527" t="s">
        <v>17835</v>
      </c>
      <c r="H14527" t="s">
        <v>28786</v>
      </c>
    </row>
    <row r="14528" spans="1:8">
      <c r="A14528" t="s">
        <v>2345</v>
      </c>
      <c r="B14528">
        <f>HYPERLINK("https://android.googlesource.com/platform/cts/+/f068f5f2507b26c284412b71a4057fdabecdad9c", "f068f5f2507b26c284412b71a4057fdabecdad9c")</f>
        <v>0</v>
      </c>
      <c r="C14528">
        <f>HYPERLINK("https://android.googlesource.com/platform/cts/+/83bdf787dbffd63bd1d413f4255048308976c41c", "83bdf787dbffd63bd1d413f4255048308976c41c")</f>
        <v>0</v>
      </c>
      <c r="D14528" t="s">
        <v>5167</v>
      </c>
      <c r="E14528" t="s">
        <v>8075</v>
      </c>
      <c r="F14528" t="s">
        <v>13784</v>
      </c>
      <c r="G14528" t="s">
        <v>17838</v>
      </c>
      <c r="H14528" t="s">
        <v>31548</v>
      </c>
    </row>
    <row r="14529" spans="1:8">
      <c r="A14529" t="s">
        <v>2346</v>
      </c>
      <c r="B14529">
        <f>HYPERLINK("https://android.googlesource.com/platform/cts/+/1a236a1193e92078748cfb3d04837d16909755b3", "1a236a1193e92078748cfb3d04837d16909755b3")</f>
        <v>0</v>
      </c>
      <c r="C14529">
        <f>HYPERLINK("https://android.googlesource.com/platform/cts/+/4c366dc228f7468a49efc2054c21e872716fb638", "4c366dc228f7468a49efc2054c21e872716fb638")</f>
        <v>0</v>
      </c>
      <c r="D14529" t="s">
        <v>5167</v>
      </c>
      <c r="E14529" t="s">
        <v>8076</v>
      </c>
      <c r="F14529" t="s">
        <v>13784</v>
      </c>
      <c r="G14529" t="s">
        <v>17838</v>
      </c>
      <c r="H14529" t="s">
        <v>31549</v>
      </c>
    </row>
    <row r="14530" spans="1:8">
      <c r="A14530" t="s">
        <v>2347</v>
      </c>
      <c r="B14530">
        <f>HYPERLINK("https://android.googlesource.com/platform/cts/+/25e9b80303296b012d020961ddf34f44150cf60b", "25e9b80303296b012d020961ddf34f44150cf60b")</f>
        <v>0</v>
      </c>
      <c r="C14530">
        <f>HYPERLINK("https://android.googlesource.com/platform/cts/+/b6a914dc4ef14a018d3bddae1cc03eb860a74640", "b6a914dc4ef14a018d3bddae1cc03eb860a74640")</f>
        <v>0</v>
      </c>
      <c r="D14530" t="s">
        <v>5378</v>
      </c>
      <c r="E14530" t="s">
        <v>8077</v>
      </c>
      <c r="F14530" t="s">
        <v>13315</v>
      </c>
      <c r="G14530" t="s">
        <v>17446</v>
      </c>
      <c r="H14530" t="s">
        <v>31550</v>
      </c>
    </row>
    <row r="14531" spans="1:8">
      <c r="H14531" t="s">
        <v>31551</v>
      </c>
    </row>
    <row r="14532" spans="1:8">
      <c r="H14532" t="s">
        <v>31552</v>
      </c>
    </row>
    <row r="14533" spans="1:8">
      <c r="A14533" t="s">
        <v>2348</v>
      </c>
      <c r="B14533">
        <f>HYPERLINK("https://android.googlesource.com/platform/cts/+/32015bc6a975972f6d6424f18f7fc5ba020e4240", "32015bc6a975972f6d6424f18f7fc5ba020e4240")</f>
        <v>0</v>
      </c>
      <c r="C14533">
        <f>HYPERLINK("https://android.googlesource.com/platform/cts/+/d3e71df48b4f858e8fd681025dad93e6117572f8", "d3e71df48b4f858e8fd681025dad93e6117572f8")</f>
        <v>0</v>
      </c>
      <c r="D14533" t="s">
        <v>4981</v>
      </c>
      <c r="E14533" t="s">
        <v>8078</v>
      </c>
      <c r="F14533" t="s">
        <v>13786</v>
      </c>
      <c r="G14533" t="s">
        <v>17840</v>
      </c>
      <c r="H14533" t="s">
        <v>31555</v>
      </c>
    </row>
    <row r="14534" spans="1:8">
      <c r="H14534" t="s">
        <v>31556</v>
      </c>
    </row>
    <row r="14535" spans="1:8">
      <c r="F14535" t="s">
        <v>13787</v>
      </c>
      <c r="G14535" t="s">
        <v>15664</v>
      </c>
      <c r="H14535" t="s">
        <v>31555</v>
      </c>
    </row>
    <row r="14536" spans="1:8">
      <c r="H14536" t="s">
        <v>27405</v>
      </c>
    </row>
    <row r="14537" spans="1:8">
      <c r="A14537" t="s">
        <v>2354</v>
      </c>
      <c r="B14537">
        <f>HYPERLINK("https://android.googlesource.com/platform/cts/+/ab27d3418059c0a89767942a7c8555d4a6d6555a", "ab27d3418059c0a89767942a7c8555d4a6d6555a")</f>
        <v>0</v>
      </c>
      <c r="C14537">
        <f>HYPERLINK("https://android.googlesource.com/platform/cts/+/afea8423d7537d170546be57829986c3c5f21a2a", "afea8423d7537d170546be57829986c3c5f21a2a")</f>
        <v>0</v>
      </c>
      <c r="D14537" t="s">
        <v>5379</v>
      </c>
      <c r="E14537" t="s">
        <v>8084</v>
      </c>
      <c r="F14537" t="s">
        <v>13791</v>
      </c>
      <c r="G14537" t="s">
        <v>17843</v>
      </c>
      <c r="H14537" t="s">
        <v>19536</v>
      </c>
    </row>
    <row r="14538" spans="1:8">
      <c r="A14538" t="s">
        <v>2357</v>
      </c>
      <c r="B14538">
        <f>HYPERLINK("https://android.googlesource.com/platform/cts/+/6e7ba057839a7c2030703081ec7af34fc5d9828e", "6e7ba057839a7c2030703081ec7af34fc5d9828e")</f>
        <v>0</v>
      </c>
      <c r="C14538">
        <f>HYPERLINK("https://android.googlesource.com/platform/cts/+/334f23923d2d46f3e57f17015049d0fee2aceafa", "334f23923d2d46f3e57f17015049d0fee2aceafa")</f>
        <v>0</v>
      </c>
      <c r="D14538" t="s">
        <v>5365</v>
      </c>
      <c r="E14538" t="s">
        <v>8087</v>
      </c>
      <c r="F14538" t="s">
        <v>13736</v>
      </c>
      <c r="G14538" t="s">
        <v>17796</v>
      </c>
      <c r="H14538" t="s">
        <v>31594</v>
      </c>
    </row>
    <row r="14539" spans="1:8">
      <c r="A14539" t="s">
        <v>2358</v>
      </c>
      <c r="B14539">
        <f>HYPERLINK("https://android.googlesource.com/platform/cts/+/2e0f588fa1dcb486ee7a2a790b2f147d2449f892", "2e0f588fa1dcb486ee7a2a790b2f147d2449f892")</f>
        <v>0</v>
      </c>
      <c r="C14539">
        <f>HYPERLINK("https://android.googlesource.com/platform/cts/+/41dcf09dcf5d9832331d87424da46c21cdf590f6", "41dcf09dcf5d9832331d87424da46c21cdf590f6")</f>
        <v>0</v>
      </c>
      <c r="D14539" t="s">
        <v>5096</v>
      </c>
      <c r="E14539" t="s">
        <v>8088</v>
      </c>
      <c r="F14539" t="s">
        <v>12419</v>
      </c>
      <c r="G14539" t="s">
        <v>16641</v>
      </c>
      <c r="H14539" t="s">
        <v>31595</v>
      </c>
    </row>
    <row r="14540" spans="1:8">
      <c r="A14540" t="s">
        <v>2360</v>
      </c>
      <c r="B14540">
        <f>HYPERLINK("https://android.googlesource.com/platform/cts/+/e81877cca7ebbb4bc2f3d9fb46e3a6aef53a81ec", "e81877cca7ebbb4bc2f3d9fb46e3a6aef53a81ec")</f>
        <v>0</v>
      </c>
      <c r="C14540">
        <f>HYPERLINK("https://android.googlesource.com/platform/cts/+/0fc1b7851e546b06d34638ba6bd4719983635b9a", "0fc1b7851e546b06d34638ba6bd4719983635b9a")</f>
        <v>0</v>
      </c>
      <c r="D14540" t="s">
        <v>5380</v>
      </c>
      <c r="E14540" t="s">
        <v>8090</v>
      </c>
      <c r="F14540" t="s">
        <v>13792</v>
      </c>
      <c r="G14540" t="s">
        <v>17844</v>
      </c>
      <c r="H14540" t="s">
        <v>29930</v>
      </c>
    </row>
    <row r="14541" spans="1:8">
      <c r="A14541" t="s">
        <v>2363</v>
      </c>
      <c r="B14541">
        <f>HYPERLINK("https://android.googlesource.com/platform/cts/+/8c23de2732feaff86aa43cd32c659a32beafd7b6", "8c23de2732feaff86aa43cd32c659a32beafd7b6")</f>
        <v>0</v>
      </c>
      <c r="C14541">
        <f>HYPERLINK("https://android.googlesource.com/platform/cts/+/9284c6e1157295c95fe55c40f4c6bbbc2747ffd1", "9284c6e1157295c95fe55c40f4c6bbbc2747ffd1")</f>
        <v>0</v>
      </c>
      <c r="D14541" t="s">
        <v>5180</v>
      </c>
      <c r="E14541" t="s">
        <v>8093</v>
      </c>
      <c r="F14541" t="s">
        <v>13790</v>
      </c>
      <c r="G14541" t="s">
        <v>17519</v>
      </c>
      <c r="H14541" t="s">
        <v>31601</v>
      </c>
    </row>
    <row r="14542" spans="1:8">
      <c r="H14542" t="s">
        <v>31602</v>
      </c>
    </row>
    <row r="14543" spans="1:8">
      <c r="A14543" t="s">
        <v>2364</v>
      </c>
      <c r="B14543">
        <f>HYPERLINK("https://android.googlesource.com/platform/cts/+/c0c6d59aa09fc3e8f003a8e322d00846b3e6d316", "c0c6d59aa09fc3e8f003a8e322d00846b3e6d316")</f>
        <v>0</v>
      </c>
      <c r="C14543">
        <f>HYPERLINK("https://android.googlesource.com/platform/cts/+/a215eb85d4703cc2cfed58495a16be1c99c54830", "a215eb85d4703cc2cfed58495a16be1c99c54830")</f>
        <v>0</v>
      </c>
      <c r="D14543" t="s">
        <v>5134</v>
      </c>
      <c r="E14543" t="s">
        <v>8094</v>
      </c>
      <c r="F14543" t="s">
        <v>13765</v>
      </c>
      <c r="G14543" t="s">
        <v>17822</v>
      </c>
      <c r="H14543" t="s">
        <v>31603</v>
      </c>
    </row>
    <row r="14544" spans="1:8">
      <c r="F14544" t="s">
        <v>13756</v>
      </c>
      <c r="G14544" t="s">
        <v>17371</v>
      </c>
      <c r="H14544" t="s">
        <v>31604</v>
      </c>
    </row>
    <row r="14545" spans="1:8">
      <c r="H14545" t="s">
        <v>31605</v>
      </c>
    </row>
    <row r="14546" spans="1:8">
      <c r="H14546" t="s">
        <v>31606</v>
      </c>
    </row>
    <row r="14547" spans="1:8">
      <c r="A14547" t="s">
        <v>2365</v>
      </c>
      <c r="B14547">
        <f>HYPERLINK("https://android.googlesource.com/platform/cts/+/56d454cd914a55e6149e22a043dea683d71378a8", "56d454cd914a55e6149e22a043dea683d71378a8")</f>
        <v>0</v>
      </c>
      <c r="C14547">
        <f>HYPERLINK("https://android.googlesource.com/platform/cts/+/dbf932e3100885333b939a50a0c086d48f4d71ba", "dbf932e3100885333b939a50a0c086d48f4d71ba")</f>
        <v>0</v>
      </c>
      <c r="D14547" t="s">
        <v>5233</v>
      </c>
      <c r="E14547" t="s">
        <v>8095</v>
      </c>
      <c r="F14547" t="s">
        <v>12802</v>
      </c>
      <c r="G14547" t="s">
        <v>16984</v>
      </c>
      <c r="H14547" t="s">
        <v>31607</v>
      </c>
    </row>
    <row r="14548" spans="1:8">
      <c r="A14548" t="s">
        <v>2366</v>
      </c>
      <c r="B14548">
        <f>HYPERLINK("https://android.googlesource.com/platform/cts/+/6f80be06c44349a4c1945c9ef298d5e4f7f28dc6", "6f80be06c44349a4c1945c9ef298d5e4f7f28dc6")</f>
        <v>0</v>
      </c>
      <c r="C14548">
        <f>HYPERLINK("https://android.googlesource.com/platform/cts/+/3d32635e90e7f3faf5916351555e1d9de59fb078", "3d32635e90e7f3faf5916351555e1d9de59fb078")</f>
        <v>0</v>
      </c>
      <c r="D14548" t="s">
        <v>5382</v>
      </c>
      <c r="E14548" t="s">
        <v>8096</v>
      </c>
      <c r="F14548" t="s">
        <v>13795</v>
      </c>
      <c r="G14548" t="s">
        <v>17847</v>
      </c>
      <c r="H14548" t="s">
        <v>31608</v>
      </c>
    </row>
    <row r="14549" spans="1:8">
      <c r="H14549" t="s">
        <v>31609</v>
      </c>
    </row>
    <row r="14550" spans="1:8">
      <c r="H14550" t="s">
        <v>31610</v>
      </c>
    </row>
    <row r="14551" spans="1:8">
      <c r="H14551" t="s">
        <v>31611</v>
      </c>
    </row>
    <row r="14552" spans="1:8">
      <c r="H14552" t="s">
        <v>31612</v>
      </c>
    </row>
    <row r="14553" spans="1:8">
      <c r="H14553" t="s">
        <v>31613</v>
      </c>
    </row>
    <row r="14554" spans="1:8">
      <c r="H14554" t="s">
        <v>31614</v>
      </c>
    </row>
    <row r="14555" spans="1:8">
      <c r="H14555" t="s">
        <v>31615</v>
      </c>
    </row>
    <row r="14556" spans="1:8">
      <c r="A14556" t="s">
        <v>2367</v>
      </c>
      <c r="B14556">
        <f>HYPERLINK("https://android.googlesource.com/platform/cts/+/4af30d7440df06d9779a2177283ed7a08e66af98", "4af30d7440df06d9779a2177283ed7a08e66af98")</f>
        <v>0</v>
      </c>
      <c r="C14556">
        <f>HYPERLINK("https://android.googlesource.com/platform/cts/+/8cfc3b6dc2e1bd4ae45bdfe56d410305bc4bd27b", "8cfc3b6dc2e1bd4ae45bdfe56d410305bc4bd27b")</f>
        <v>0</v>
      </c>
      <c r="D14556" t="s">
        <v>5382</v>
      </c>
      <c r="E14556" t="s">
        <v>8097</v>
      </c>
      <c r="F14556" t="s">
        <v>13795</v>
      </c>
      <c r="G14556" t="s">
        <v>17847</v>
      </c>
      <c r="H14556" t="s">
        <v>31608</v>
      </c>
    </row>
    <row r="14557" spans="1:8">
      <c r="H14557" t="s">
        <v>31609</v>
      </c>
    </row>
    <row r="14558" spans="1:8">
      <c r="H14558" t="s">
        <v>31610</v>
      </c>
    </row>
    <row r="14559" spans="1:8">
      <c r="H14559" t="s">
        <v>31611</v>
      </c>
    </row>
    <row r="14560" spans="1:8">
      <c r="H14560" t="s">
        <v>31612</v>
      </c>
    </row>
    <row r="14561" spans="1:8">
      <c r="H14561" t="s">
        <v>31613</v>
      </c>
    </row>
    <row r="14562" spans="1:8">
      <c r="H14562" t="s">
        <v>31614</v>
      </c>
    </row>
    <row r="14563" spans="1:8">
      <c r="H14563" t="s">
        <v>31615</v>
      </c>
    </row>
    <row r="14564" spans="1:8">
      <c r="A14564" t="s">
        <v>2368</v>
      </c>
      <c r="B14564">
        <f>HYPERLINK("https://android.googlesource.com/platform/cts/+/b01752955ffac6640183feb36433033eb69d0232", "b01752955ffac6640183feb36433033eb69d0232")</f>
        <v>0</v>
      </c>
      <c r="C14564">
        <f>HYPERLINK("https://android.googlesource.com/platform/cts/+/6ed86fb21b871da99052bd1fcb8ff68f383160e9", "6ed86fb21b871da99052bd1fcb8ff68f383160e9")</f>
        <v>0</v>
      </c>
      <c r="D14564" t="s">
        <v>5382</v>
      </c>
      <c r="E14564" t="s">
        <v>8098</v>
      </c>
      <c r="F14564" t="s">
        <v>13795</v>
      </c>
      <c r="G14564" t="s">
        <v>17847</v>
      </c>
      <c r="H14564" t="s">
        <v>31608</v>
      </c>
    </row>
    <row r="14565" spans="1:8">
      <c r="H14565" t="s">
        <v>31609</v>
      </c>
    </row>
    <row r="14566" spans="1:8">
      <c r="H14566" t="s">
        <v>31610</v>
      </c>
    </row>
    <row r="14567" spans="1:8">
      <c r="H14567" t="s">
        <v>31611</v>
      </c>
    </row>
    <row r="14568" spans="1:8">
      <c r="H14568" t="s">
        <v>31612</v>
      </c>
    </row>
    <row r="14569" spans="1:8">
      <c r="H14569" t="s">
        <v>31613</v>
      </c>
    </row>
    <row r="14570" spans="1:8">
      <c r="H14570" t="s">
        <v>31614</v>
      </c>
    </row>
    <row r="14571" spans="1:8">
      <c r="H14571" t="s">
        <v>31615</v>
      </c>
    </row>
    <row r="14572" spans="1:8">
      <c r="A14572" t="s">
        <v>2369</v>
      </c>
      <c r="B14572">
        <f>HYPERLINK("https://android.googlesource.com/platform/cts/+/a56c508c589f37cea9aa28cec18c26665aee2e39", "a56c508c589f37cea9aa28cec18c26665aee2e39")</f>
        <v>0</v>
      </c>
      <c r="C14572">
        <f>HYPERLINK("https://android.googlesource.com/platform/cts/+/3b4167f594d9829299a6690e2e1d0920520e5d6f", "3b4167f594d9829299a6690e2e1d0920520e5d6f")</f>
        <v>0</v>
      </c>
      <c r="D14572" t="s">
        <v>5298</v>
      </c>
      <c r="E14572" t="s">
        <v>8099</v>
      </c>
      <c r="F14572" t="s">
        <v>13776</v>
      </c>
      <c r="G14572" t="s">
        <v>17831</v>
      </c>
      <c r="H14572" t="s">
        <v>31533</v>
      </c>
    </row>
    <row r="14573" spans="1:8">
      <c r="A14573" t="s">
        <v>2370</v>
      </c>
      <c r="B14573">
        <f>HYPERLINK("https://android.googlesource.com/platform/cts/+/d834029ae5a4d29afb15c1e96a53c6be317209a8", "d834029ae5a4d29afb15c1e96a53c6be317209a8")</f>
        <v>0</v>
      </c>
      <c r="C14573">
        <f>HYPERLINK("https://android.googlesource.com/platform/cts/+/72919e867b673e218449b6edae714dda749cb573", "72919e867b673e218449b6edae714dda749cb573")</f>
        <v>0</v>
      </c>
      <c r="D14573" t="s">
        <v>5134</v>
      </c>
      <c r="E14573" t="s">
        <v>8100</v>
      </c>
      <c r="F14573" t="s">
        <v>13428</v>
      </c>
      <c r="G14573" t="s">
        <v>17552</v>
      </c>
      <c r="H14573" t="s">
        <v>31617</v>
      </c>
    </row>
    <row r="14574" spans="1:8">
      <c r="A14574" t="s">
        <v>2379</v>
      </c>
      <c r="B14574">
        <f>HYPERLINK("https://android.googlesource.com/platform/cts/+/83ea2a67c60155fdff8194474dee2d9178d48461", "83ea2a67c60155fdff8194474dee2d9178d48461")</f>
        <v>0</v>
      </c>
      <c r="C14574">
        <f>HYPERLINK("https://android.googlesource.com/platform/cts/+/de4ddc0452fdead5ded61d2bb47a8ef32274bade", "de4ddc0452fdead5ded61d2bb47a8ef32274bade")</f>
        <v>0</v>
      </c>
      <c r="D14574" t="s">
        <v>5128</v>
      </c>
      <c r="E14574" t="s">
        <v>8109</v>
      </c>
      <c r="F14574" t="s">
        <v>13798</v>
      </c>
      <c r="G14574" t="s">
        <v>17850</v>
      </c>
      <c r="H14574" t="s">
        <v>26807</v>
      </c>
    </row>
    <row r="14575" spans="1:8">
      <c r="H14575" t="s">
        <v>31629</v>
      </c>
    </row>
    <row r="14576" spans="1:8">
      <c r="H14576" t="s">
        <v>31630</v>
      </c>
    </row>
    <row r="14577" spans="1:8">
      <c r="H14577" t="s">
        <v>31631</v>
      </c>
    </row>
    <row r="14578" spans="1:8">
      <c r="H14578" t="s">
        <v>31632</v>
      </c>
    </row>
    <row r="14579" spans="1:8">
      <c r="A14579" t="s">
        <v>2382</v>
      </c>
      <c r="B14579">
        <f>HYPERLINK("https://android.googlesource.com/platform/cts/+/2ac8add1d429cdf0aa63d753a3f6cc96c5a0a65a", "2ac8add1d429cdf0aa63d753a3f6cc96c5a0a65a")</f>
        <v>0</v>
      </c>
      <c r="C14579">
        <f>HYPERLINK("https://android.googlesource.com/platform/cts/+/a6e1a886435bbbca18470f4370607e7e977f92e0", "a6e1a886435bbbca18470f4370607e7e977f92e0")</f>
        <v>0</v>
      </c>
      <c r="D14579" t="s">
        <v>5384</v>
      </c>
      <c r="E14579" t="s">
        <v>8112</v>
      </c>
      <c r="F14579" t="s">
        <v>13801</v>
      </c>
      <c r="G14579" t="s">
        <v>16597</v>
      </c>
      <c r="H14579" t="s">
        <v>22521</v>
      </c>
    </row>
    <row r="14580" spans="1:8">
      <c r="H14580" t="s">
        <v>22528</v>
      </c>
    </row>
    <row r="14581" spans="1:8">
      <c r="H14581" t="s">
        <v>22529</v>
      </c>
    </row>
    <row r="14582" spans="1:8">
      <c r="A14582" t="s">
        <v>2384</v>
      </c>
      <c r="B14582">
        <f>HYPERLINK("https://android.googlesource.com/platform/cts/+/d4d7bb6e788c113646ce842d7a97531ddaa84a3c", "d4d7bb6e788c113646ce842d7a97531ddaa84a3c")</f>
        <v>0</v>
      </c>
      <c r="C14582">
        <f>HYPERLINK("https://android.googlesource.com/platform/cts/+/0e09cb0bb382f61037e33e30d36fc13c3d028d0d", "0e09cb0bb382f61037e33e30d36fc13c3d028d0d")</f>
        <v>0</v>
      </c>
      <c r="D14582" t="s">
        <v>5385</v>
      </c>
      <c r="E14582" t="s">
        <v>8114</v>
      </c>
      <c r="F14582" t="s">
        <v>13802</v>
      </c>
      <c r="G14582" t="s">
        <v>17852</v>
      </c>
      <c r="H14582" t="s">
        <v>31643</v>
      </c>
    </row>
    <row r="14583" spans="1:8">
      <c r="A14583" t="s">
        <v>2385</v>
      </c>
      <c r="B14583">
        <f>HYPERLINK("https://android.googlesource.com/platform/cts/+/15adc74127c14192af55ad176c7d341d257f7e53", "15adc74127c14192af55ad176c7d341d257f7e53")</f>
        <v>0</v>
      </c>
      <c r="C14583">
        <f>HYPERLINK("https://android.googlesource.com/platform/cts/+/065a4af81935925843c8af215faaef9d37ced9dd", "065a4af81935925843c8af215faaef9d37ced9dd")</f>
        <v>0</v>
      </c>
      <c r="D14583" t="s">
        <v>4981</v>
      </c>
      <c r="E14583" t="s">
        <v>8115</v>
      </c>
      <c r="F14583" t="s">
        <v>13727</v>
      </c>
      <c r="G14583" t="s">
        <v>17789</v>
      </c>
      <c r="H14583" t="s">
        <v>31644</v>
      </c>
    </row>
    <row r="14584" spans="1:8">
      <c r="F14584" t="s">
        <v>13803</v>
      </c>
      <c r="G14584" t="s">
        <v>17853</v>
      </c>
      <c r="H14584" t="s">
        <v>31645</v>
      </c>
    </row>
    <row r="14585" spans="1:8">
      <c r="H14585" t="s">
        <v>31646</v>
      </c>
    </row>
    <row r="14586" spans="1:8">
      <c r="A14586" t="s">
        <v>2386</v>
      </c>
      <c r="B14586">
        <f>HYPERLINK("https://android.googlesource.com/platform/cts/+/9266cc482e77c36e3770fe9ca0bafa2ba5efedf3", "9266cc482e77c36e3770fe9ca0bafa2ba5efedf3")</f>
        <v>0</v>
      </c>
      <c r="C14586">
        <f>HYPERLINK("https://android.googlesource.com/platform/cts/+/5490e152f631371feaf326124b9bf8494e004673", "5490e152f631371feaf326124b9bf8494e004673")</f>
        <v>0</v>
      </c>
      <c r="D14586" t="s">
        <v>5386</v>
      </c>
      <c r="E14586" t="s">
        <v>8116</v>
      </c>
      <c r="F14586" t="s">
        <v>13000</v>
      </c>
      <c r="G14586" t="s">
        <v>17164</v>
      </c>
      <c r="H14586" t="s">
        <v>31648</v>
      </c>
    </row>
    <row r="14587" spans="1:8">
      <c r="A14587" t="s">
        <v>2387</v>
      </c>
      <c r="B14587">
        <f>HYPERLINK("https://android.googlesource.com/platform/cts/+/c48d3476197080e1b73abd7bbb901b396c0413dd", "c48d3476197080e1b73abd7bbb901b396c0413dd")</f>
        <v>0</v>
      </c>
      <c r="C14587">
        <f>HYPERLINK("https://android.googlesource.com/platform/cts/+/065a4af81935925843c8af215faaef9d37ced9dd", "065a4af81935925843c8af215faaef9d37ced9dd")</f>
        <v>0</v>
      </c>
      <c r="D14587" t="s">
        <v>5260</v>
      </c>
      <c r="E14587" t="s">
        <v>8117</v>
      </c>
      <c r="F14587" t="s">
        <v>11193</v>
      </c>
      <c r="G14587" t="s">
        <v>15582</v>
      </c>
      <c r="H14587" t="s">
        <v>31650</v>
      </c>
    </row>
    <row r="14588" spans="1:8">
      <c r="H14588" t="s">
        <v>31651</v>
      </c>
    </row>
    <row r="14589" spans="1:8">
      <c r="A14589" t="s">
        <v>2389</v>
      </c>
      <c r="B14589">
        <f>HYPERLINK("https://android.googlesource.com/platform/cts/+/89abe2222c580a3c53ed464f03079a7b6f6b65ef", "89abe2222c580a3c53ed464f03079a7b6f6b65ef")</f>
        <v>0</v>
      </c>
      <c r="C14589">
        <f>HYPERLINK("https://android.googlesource.com/platform/cts/+/b8c1e574fa53d17bd9698ea61a24ada0738ba5f3", "b8c1e574fa53d17bd9698ea61a24ada0738ba5f3")</f>
        <v>0</v>
      </c>
      <c r="D14589" t="s">
        <v>5371</v>
      </c>
      <c r="E14589" t="s">
        <v>8119</v>
      </c>
      <c r="F14589" t="s">
        <v>10687</v>
      </c>
      <c r="G14589" t="s">
        <v>15087</v>
      </c>
      <c r="H14589" t="s">
        <v>31655</v>
      </c>
    </row>
    <row r="14590" spans="1:8">
      <c r="H14590" t="s">
        <v>31656</v>
      </c>
    </row>
    <row r="14591" spans="1:8">
      <c r="H14591" t="s">
        <v>19520</v>
      </c>
    </row>
    <row r="14592" spans="1:8">
      <c r="H14592" t="s">
        <v>31658</v>
      </c>
    </row>
    <row r="14593" spans="1:8">
      <c r="H14593" t="s">
        <v>31659</v>
      </c>
    </row>
    <row r="14594" spans="1:8">
      <c r="A14594" t="s">
        <v>2390</v>
      </c>
      <c r="B14594">
        <f>HYPERLINK("https://android.googlesource.com/platform/cts/+/95cd19ec1ae583905ef4a6d3bb949bc41a84173d", "95cd19ec1ae583905ef4a6d3bb949bc41a84173d")</f>
        <v>0</v>
      </c>
      <c r="C14594">
        <f>HYPERLINK("https://android.googlesource.com/platform/cts/+/065a4af81935925843c8af215faaef9d37ced9dd", "065a4af81935925843c8af215faaef9d37ced9dd")</f>
        <v>0</v>
      </c>
      <c r="D14594" t="s">
        <v>5260</v>
      </c>
      <c r="E14594" t="s">
        <v>8120</v>
      </c>
      <c r="F14594" t="s">
        <v>10687</v>
      </c>
      <c r="G14594" t="s">
        <v>15087</v>
      </c>
      <c r="H14594" t="s">
        <v>31667</v>
      </c>
    </row>
    <row r="14595" spans="1:8">
      <c r="A14595" t="s">
        <v>2391</v>
      </c>
      <c r="B14595">
        <f>HYPERLINK("https://android.googlesource.com/platform/cts/+/99f6caabbfe25cd292362686f475756fd04430c9", "99f6caabbfe25cd292362686f475756fd04430c9")</f>
        <v>0</v>
      </c>
      <c r="C14595">
        <f>HYPERLINK("https://android.googlesource.com/platform/cts/+/462659424c433c84a2f0da1bc40404a1ded46856", "462659424c433c84a2f0da1bc40404a1ded46856")</f>
        <v>0</v>
      </c>
      <c r="D14595" t="s">
        <v>5233</v>
      </c>
      <c r="E14595" t="s">
        <v>8121</v>
      </c>
      <c r="F14595" t="s">
        <v>13805</v>
      </c>
      <c r="G14595" t="s">
        <v>15718</v>
      </c>
      <c r="H14595" t="s">
        <v>20443</v>
      </c>
    </row>
    <row r="14596" spans="1:8">
      <c r="A14596" t="s">
        <v>2396</v>
      </c>
      <c r="B14596">
        <f>HYPERLINK("https://android.googlesource.com/platform/cts/+/9eeedd679010c78c9c0fac6cea97ad4fc417bc28", "9eeedd679010c78c9c0fac6cea97ad4fc417bc28")</f>
        <v>0</v>
      </c>
      <c r="C14596">
        <f>HYPERLINK("https://android.googlesource.com/platform/cts/+/805c99940609fb19a0c1f9820619a148e4429c34", "805c99940609fb19a0c1f9820619a148e4429c34")</f>
        <v>0</v>
      </c>
      <c r="D14596" t="s">
        <v>5233</v>
      </c>
      <c r="E14596" t="s">
        <v>8126</v>
      </c>
      <c r="F14596" t="s">
        <v>13805</v>
      </c>
      <c r="G14596" t="s">
        <v>15718</v>
      </c>
      <c r="H14596" t="s">
        <v>20443</v>
      </c>
    </row>
    <row r="14597" spans="1:8">
      <c r="A14597" t="s">
        <v>2399</v>
      </c>
      <c r="B14597">
        <f>HYPERLINK("https://android.googlesource.com/platform/cts/+/58ada300167eac7fb3e7d95b027cfa03510d7c67", "58ada300167eac7fb3e7d95b027cfa03510d7c67")</f>
        <v>0</v>
      </c>
      <c r="C14597">
        <f>HYPERLINK("https://android.googlesource.com/platform/cts/+/e22390f77c96399348b9d7e9ce517e1c36f6201a", "e22390f77c96399348b9d7e9ce517e1c36f6201a")</f>
        <v>0</v>
      </c>
      <c r="D14597" t="s">
        <v>5293</v>
      </c>
      <c r="E14597" t="s">
        <v>8129</v>
      </c>
      <c r="F14597" t="s">
        <v>13249</v>
      </c>
      <c r="G14597" t="s">
        <v>17389</v>
      </c>
      <c r="H14597" t="s">
        <v>31677</v>
      </c>
    </row>
    <row r="14598" spans="1:8">
      <c r="F14598" t="s">
        <v>13468</v>
      </c>
      <c r="G14598" t="s">
        <v>17587</v>
      </c>
      <c r="H14598" t="s">
        <v>31678</v>
      </c>
    </row>
    <row r="14599" spans="1:8">
      <c r="A14599" t="s">
        <v>2403</v>
      </c>
      <c r="B14599">
        <f>HYPERLINK("https://android.googlesource.com/platform/cts/+/2e7d7929f8bdbc477882dba9bb5108e1235a4f43", "2e7d7929f8bdbc477882dba9bb5108e1235a4f43")</f>
        <v>0</v>
      </c>
      <c r="C14599">
        <f>HYPERLINK("https://android.googlesource.com/platform/cts/+/b733e464763564bf471eb2443199361b2b464460", "b733e464763564bf471eb2443199361b2b464460")</f>
        <v>0</v>
      </c>
      <c r="D14599" t="s">
        <v>5388</v>
      </c>
      <c r="E14599" t="s">
        <v>8133</v>
      </c>
      <c r="F14599" t="s">
        <v>13811</v>
      </c>
      <c r="G14599" t="s">
        <v>17858</v>
      </c>
      <c r="H14599" t="s">
        <v>31689</v>
      </c>
    </row>
    <row r="14600" spans="1:8">
      <c r="A14600" t="s">
        <v>2404</v>
      </c>
      <c r="B14600">
        <f>HYPERLINK("https://android.googlesource.com/platform/cts/+/01901f57cba506a3a52a7b6658d52fabd2da702f", "01901f57cba506a3a52a7b6658d52fabd2da702f")</f>
        <v>0</v>
      </c>
      <c r="C14600">
        <f>HYPERLINK("https://android.googlesource.com/platform/cts/+/2ee5a9623255452984cc519ac9efbb4f6f6d0780", "2ee5a9623255452984cc519ac9efbb4f6f6d0780")</f>
        <v>0</v>
      </c>
      <c r="D14600" t="s">
        <v>5117</v>
      </c>
      <c r="E14600" t="s">
        <v>8134</v>
      </c>
      <c r="F14600" t="s">
        <v>13812</v>
      </c>
      <c r="G14600" t="s">
        <v>17859</v>
      </c>
      <c r="H14600" t="s">
        <v>31690</v>
      </c>
    </row>
    <row r="14601" spans="1:8">
      <c r="A14601" t="s">
        <v>2406</v>
      </c>
      <c r="B14601">
        <f>HYPERLINK("https://android.googlesource.com/platform/cts/+/2d0c7a10382fdedc4c2ede0498c9c6cf2ef73006", "2d0c7a10382fdedc4c2ede0498c9c6cf2ef73006")</f>
        <v>0</v>
      </c>
      <c r="C14601">
        <f>HYPERLINK("https://android.googlesource.com/platform/cts/+/5674d8e23177c06053b2081182cb192707a1fd6e", "5674d8e23177c06053b2081182cb192707a1fd6e")</f>
        <v>0</v>
      </c>
      <c r="D14601" t="s">
        <v>5134</v>
      </c>
      <c r="E14601" t="s">
        <v>8136</v>
      </c>
      <c r="F14601" t="s">
        <v>13813</v>
      </c>
      <c r="G14601" t="s">
        <v>17860</v>
      </c>
      <c r="H14601" t="s">
        <v>31693</v>
      </c>
    </row>
    <row r="14602" spans="1:8">
      <c r="H14602" t="s">
        <v>31694</v>
      </c>
    </row>
    <row r="14603" spans="1:8">
      <c r="H14603" t="s">
        <v>31695</v>
      </c>
    </row>
    <row r="14604" spans="1:8">
      <c r="H14604" t="s">
        <v>31696</v>
      </c>
    </row>
    <row r="14605" spans="1:8">
      <c r="H14605" t="s">
        <v>31697</v>
      </c>
    </row>
    <row r="14606" spans="1:8">
      <c r="H14606" t="s">
        <v>31698</v>
      </c>
    </row>
    <row r="14607" spans="1:8">
      <c r="H14607" t="s">
        <v>31699</v>
      </c>
    </row>
    <row r="14608" spans="1:8">
      <c r="F14608" t="s">
        <v>13814</v>
      </c>
      <c r="G14608" t="s">
        <v>17861</v>
      </c>
      <c r="H14608" t="s">
        <v>31700</v>
      </c>
    </row>
    <row r="14609" spans="1:8">
      <c r="H14609" t="s">
        <v>31701</v>
      </c>
    </row>
    <row r="14610" spans="1:8">
      <c r="A14610" t="s">
        <v>2407</v>
      </c>
      <c r="B14610">
        <f>HYPERLINK("https://android.googlesource.com/platform/cts/+/90e5b6bba4c9f5754a3c2cfe517c70c24b6f34e1", "90e5b6bba4c9f5754a3c2cfe517c70c24b6f34e1")</f>
        <v>0</v>
      </c>
      <c r="C14610">
        <f>HYPERLINK("https://android.googlesource.com/platform/cts/+/ffd1807fbf182f969fc022c7d13328ea2aa19860", "ffd1807fbf182f969fc022c7d13328ea2aa19860")</f>
        <v>0</v>
      </c>
      <c r="D14610" t="s">
        <v>5134</v>
      </c>
      <c r="E14610" t="s">
        <v>8137</v>
      </c>
      <c r="F14610" t="s">
        <v>13760</v>
      </c>
      <c r="G14610" t="s">
        <v>17811</v>
      </c>
      <c r="H14610" t="s">
        <v>31702</v>
      </c>
    </row>
    <row r="14611" spans="1:8">
      <c r="F14611" t="s">
        <v>13765</v>
      </c>
      <c r="G14611" t="s">
        <v>17822</v>
      </c>
      <c r="H14611" t="s">
        <v>31703</v>
      </c>
    </row>
    <row r="14612" spans="1:8">
      <c r="A14612" t="s">
        <v>2409</v>
      </c>
      <c r="B14612">
        <f>HYPERLINK("https://android.googlesource.com/platform/cts/+/c914f09595b760b16ae5897f843f4b05e2e2ce2e", "c914f09595b760b16ae5897f843f4b05e2e2ce2e")</f>
        <v>0</v>
      </c>
      <c r="C14612">
        <f>HYPERLINK("https://android.googlesource.com/platform/cts/+/4c9a008f627d23f85490a850b53060aae375019e", "4c9a008f627d23f85490a850b53060aae375019e")</f>
        <v>0</v>
      </c>
      <c r="D14612" t="s">
        <v>4960</v>
      </c>
      <c r="E14612" t="s">
        <v>8139</v>
      </c>
      <c r="F14612" t="s">
        <v>10682</v>
      </c>
      <c r="G14612" t="s">
        <v>15082</v>
      </c>
      <c r="H14612" t="s">
        <v>31705</v>
      </c>
    </row>
    <row r="14613" spans="1:8">
      <c r="A14613" t="s">
        <v>2410</v>
      </c>
      <c r="B14613">
        <f>HYPERLINK("https://android.googlesource.com/platform/cts/+/19c1c6f68b16749bc644b955e54594fdf3debfa3", "19c1c6f68b16749bc644b955e54594fdf3debfa3")</f>
        <v>0</v>
      </c>
      <c r="C14613">
        <f>HYPERLINK("https://android.googlesource.com/platform/cts/+/66e4f7752ee04c1d3389ad62f47b9e68ead5f61e", "66e4f7752ee04c1d3389ad62f47b9e68ead5f61e")</f>
        <v>0</v>
      </c>
      <c r="D14613" t="s">
        <v>5389</v>
      </c>
      <c r="E14613" t="s">
        <v>8140</v>
      </c>
      <c r="F14613" t="s">
        <v>13816</v>
      </c>
      <c r="G14613" t="s">
        <v>15089</v>
      </c>
      <c r="H14613" t="s">
        <v>31706</v>
      </c>
    </row>
    <row r="14614" spans="1:8">
      <c r="H14614" t="s">
        <v>31707</v>
      </c>
    </row>
    <row r="14615" spans="1:8">
      <c r="H14615" t="s">
        <v>31708</v>
      </c>
    </row>
    <row r="14616" spans="1:8">
      <c r="A14616" t="s">
        <v>2411</v>
      </c>
      <c r="B14616">
        <f>HYPERLINK("https://android.googlesource.com/platform/cts/+/422ff6844c90186d09f8953fd1a1260ef04c2394", "422ff6844c90186d09f8953fd1a1260ef04c2394")</f>
        <v>0</v>
      </c>
      <c r="C14616">
        <f>HYPERLINK("https://android.googlesource.com/platform/cts/+/3bbd2b1c0dde00579a33e228d74ef8aa56a0589a", "3bbd2b1c0dde00579a33e228d74ef8aa56a0589a")</f>
        <v>0</v>
      </c>
      <c r="D14616" t="s">
        <v>5235</v>
      </c>
      <c r="E14616" t="s">
        <v>8141</v>
      </c>
      <c r="F14616" t="s">
        <v>13817</v>
      </c>
      <c r="G14616" t="s">
        <v>17715</v>
      </c>
      <c r="H14616" t="s">
        <v>31709</v>
      </c>
    </row>
    <row r="14617" spans="1:8">
      <c r="F14617" t="s">
        <v>13514</v>
      </c>
      <c r="G14617" t="s">
        <v>17631</v>
      </c>
      <c r="H14617" t="s">
        <v>19536</v>
      </c>
    </row>
    <row r="14618" spans="1:8">
      <c r="A14618" t="s">
        <v>2412</v>
      </c>
      <c r="B14618">
        <f>HYPERLINK("https://android.googlesource.com/platform/cts/+/fdc5165862fc54337b714ab6f5c7df1b98eec0b3", "fdc5165862fc54337b714ab6f5c7df1b98eec0b3")</f>
        <v>0</v>
      </c>
      <c r="C14618">
        <f>HYPERLINK("https://android.googlesource.com/platform/cts/+/3d81df75ae6d04d0581a50b35e758279ed760b93", "3d81df75ae6d04d0581a50b35e758279ed760b93")</f>
        <v>0</v>
      </c>
      <c r="D14618" t="s">
        <v>5195</v>
      </c>
      <c r="E14618" t="s">
        <v>8142</v>
      </c>
      <c r="F14618" t="s">
        <v>10594</v>
      </c>
      <c r="G14618" t="s">
        <v>14997</v>
      </c>
      <c r="H14618" t="s">
        <v>31710</v>
      </c>
    </row>
    <row r="14619" spans="1:8">
      <c r="A14619" t="s">
        <v>2414</v>
      </c>
      <c r="B14619">
        <f>HYPERLINK("https://android.googlesource.com/platform/cts/+/4aa40eefd3810f1922782778b3a6aa8bc2b500ee", "4aa40eefd3810f1922782778b3a6aa8bc2b500ee")</f>
        <v>0</v>
      </c>
      <c r="C14619">
        <f>HYPERLINK("https://android.googlesource.com/platform/cts/+/214749d8e1bd071ba5f4bd3006987c30212d897f", "214749d8e1bd071ba5f4bd3006987c30212d897f")</f>
        <v>0</v>
      </c>
      <c r="D14619" t="s">
        <v>4981</v>
      </c>
      <c r="E14619" t="s">
        <v>8144</v>
      </c>
      <c r="F14619" t="s">
        <v>13821</v>
      </c>
      <c r="G14619" t="s">
        <v>16627</v>
      </c>
      <c r="H14619" t="s">
        <v>22633</v>
      </c>
    </row>
    <row r="14620" spans="1:8">
      <c r="A14620" t="s">
        <v>2417</v>
      </c>
      <c r="B14620">
        <f>HYPERLINK("https://android.googlesource.com/platform/cts/+/5d6ca17d58062a6747d49af06a66a7cb3cb61f91", "5d6ca17d58062a6747d49af06a66a7cb3cb61f91")</f>
        <v>0</v>
      </c>
      <c r="C14620">
        <f>HYPERLINK("https://android.googlesource.com/platform/cts/+/a7d12a320775746cd9564f6d89e8d2b511ee4782", "a7d12a320775746cd9564f6d89e8d2b511ee4782")</f>
        <v>0</v>
      </c>
      <c r="D14620" t="s">
        <v>5372</v>
      </c>
      <c r="E14620" t="s">
        <v>8147</v>
      </c>
      <c r="F14620" t="s">
        <v>13768</v>
      </c>
      <c r="G14620" t="s">
        <v>17825</v>
      </c>
      <c r="H14620" t="s">
        <v>31712</v>
      </c>
    </row>
    <row r="14621" spans="1:8">
      <c r="H14621" t="s">
        <v>31713</v>
      </c>
    </row>
    <row r="14622" spans="1:8">
      <c r="H14622" t="s">
        <v>31714</v>
      </c>
    </row>
    <row r="14623" spans="1:8">
      <c r="H14623" t="s">
        <v>31715</v>
      </c>
    </row>
    <row r="14624" spans="1:8">
      <c r="H14624" t="s">
        <v>31716</v>
      </c>
    </row>
    <row r="14625" spans="1:8">
      <c r="A14625" t="s">
        <v>2418</v>
      </c>
      <c r="B14625">
        <f>HYPERLINK("https://android.googlesource.com/platform/cts/+/9e64e27feaed46f6c7d942fd3b45745d3ee64a9c", "9e64e27feaed46f6c7d942fd3b45745d3ee64a9c")</f>
        <v>0</v>
      </c>
      <c r="C14625">
        <f>HYPERLINK("https://android.googlesource.com/platform/cts/+/54526dee3443d0b16e12fe2665663f371087dc2d", "54526dee3443d0b16e12fe2665663f371087dc2d")</f>
        <v>0</v>
      </c>
      <c r="D14625" t="s">
        <v>5225</v>
      </c>
      <c r="E14625" t="s">
        <v>8148</v>
      </c>
      <c r="F14625" t="s">
        <v>13822</v>
      </c>
      <c r="G14625" t="s">
        <v>17866</v>
      </c>
      <c r="H14625" t="s">
        <v>29933</v>
      </c>
    </row>
    <row r="14626" spans="1:8">
      <c r="F14626" t="s">
        <v>13823</v>
      </c>
      <c r="G14626" t="s">
        <v>17867</v>
      </c>
      <c r="H14626" t="s">
        <v>29933</v>
      </c>
    </row>
    <row r="14627" spans="1:8">
      <c r="F14627" t="s">
        <v>13824</v>
      </c>
      <c r="G14627" t="s">
        <v>17868</v>
      </c>
      <c r="H14627" t="s">
        <v>29933</v>
      </c>
    </row>
    <row r="14628" spans="1:8">
      <c r="F14628" t="s">
        <v>13825</v>
      </c>
      <c r="G14628" t="s">
        <v>17869</v>
      </c>
      <c r="H14628" t="s">
        <v>29933</v>
      </c>
    </row>
    <row r="14629" spans="1:8">
      <c r="A14629" t="s">
        <v>2420</v>
      </c>
      <c r="B14629">
        <f>HYPERLINK("https://android.googlesource.com/platform/cts/+/d551acf22ffd8d62555d367ef6beac5c2f9c77d5", "d551acf22ffd8d62555d367ef6beac5c2f9c77d5")</f>
        <v>0</v>
      </c>
      <c r="C14629">
        <f>HYPERLINK("https://android.googlesource.com/platform/cts/+/f9a4592e8c79a4388009143df53574583f43c785", "f9a4592e8c79a4388009143df53574583f43c785")</f>
        <v>0</v>
      </c>
      <c r="D14629" t="s">
        <v>5341</v>
      </c>
      <c r="E14629" t="s">
        <v>8150</v>
      </c>
      <c r="F14629" t="s">
        <v>13827</v>
      </c>
      <c r="G14629" t="s">
        <v>17871</v>
      </c>
      <c r="H14629" t="s">
        <v>31721</v>
      </c>
    </row>
    <row r="14630" spans="1:8">
      <c r="H14630" t="s">
        <v>31722</v>
      </c>
    </row>
    <row r="14631" spans="1:8">
      <c r="A14631" t="s">
        <v>2421</v>
      </c>
      <c r="B14631">
        <f>HYPERLINK("https://android.googlesource.com/platform/cts/+/6217410640d9d20fe453d4f31a2be8324eb3b4e5", "6217410640d9d20fe453d4f31a2be8324eb3b4e5")</f>
        <v>0</v>
      </c>
      <c r="C14631">
        <f>HYPERLINK("https://android.googlesource.com/platform/cts/+/5a72ff3e93ea1d83a78cd6b9d602ebbce1211590", "5a72ff3e93ea1d83a78cd6b9d602ebbce1211590")</f>
        <v>0</v>
      </c>
      <c r="D14631" t="s">
        <v>5117</v>
      </c>
      <c r="E14631" t="s">
        <v>8151</v>
      </c>
      <c r="F14631" t="s">
        <v>13788</v>
      </c>
      <c r="G14631" t="s">
        <v>17841</v>
      </c>
      <c r="H14631" t="s">
        <v>31723</v>
      </c>
    </row>
    <row r="14632" spans="1:8">
      <c r="A14632" t="s">
        <v>2422</v>
      </c>
      <c r="B14632">
        <f>HYPERLINK("https://android.googlesource.com/platform/cts/+/1a47a8bebbac45f67d05c718859a10909fdc7cb1", "1a47a8bebbac45f67d05c718859a10909fdc7cb1")</f>
        <v>0</v>
      </c>
      <c r="C14632">
        <f>HYPERLINK("https://android.googlesource.com/platform/cts/+/b87bcd54900dc4365cd53cb2d952c53a56be3918", "b87bcd54900dc4365cd53cb2d952c53a56be3918")</f>
        <v>0</v>
      </c>
      <c r="D14632" t="s">
        <v>5363</v>
      </c>
      <c r="E14632" t="s">
        <v>8152</v>
      </c>
      <c r="F14632" t="s">
        <v>13828</v>
      </c>
      <c r="G14632" t="s">
        <v>17872</v>
      </c>
      <c r="H14632" t="s">
        <v>31724</v>
      </c>
    </row>
    <row r="14633" spans="1:8">
      <c r="H14633" t="s">
        <v>31725</v>
      </c>
    </row>
    <row r="14634" spans="1:8">
      <c r="H14634" t="s">
        <v>31726</v>
      </c>
    </row>
    <row r="14635" spans="1:8">
      <c r="H14635" t="s">
        <v>31727</v>
      </c>
    </row>
    <row r="14636" spans="1:8">
      <c r="H14636" t="s">
        <v>31728</v>
      </c>
    </row>
    <row r="14637" spans="1:8">
      <c r="H14637" t="s">
        <v>31729</v>
      </c>
    </row>
    <row r="14638" spans="1:8">
      <c r="H14638" t="s">
        <v>31730</v>
      </c>
    </row>
    <row r="14639" spans="1:8">
      <c r="F14639" t="s">
        <v>13829</v>
      </c>
      <c r="G14639" t="s">
        <v>17873</v>
      </c>
      <c r="H14639" t="s">
        <v>31731</v>
      </c>
    </row>
    <row r="14640" spans="1:8">
      <c r="H14640" t="s">
        <v>31732</v>
      </c>
    </row>
    <row r="14641" spans="1:8">
      <c r="F14641" t="s">
        <v>10605</v>
      </c>
      <c r="G14641" t="s">
        <v>15008</v>
      </c>
      <c r="H14641" t="s">
        <v>31733</v>
      </c>
    </row>
    <row r="14642" spans="1:8">
      <c r="F14642" t="s">
        <v>12171</v>
      </c>
      <c r="G14642" t="s">
        <v>15008</v>
      </c>
      <c r="H14642" t="s">
        <v>31733</v>
      </c>
    </row>
    <row r="14643" spans="1:8">
      <c r="A14643" t="s">
        <v>2423</v>
      </c>
      <c r="B14643">
        <f>HYPERLINK("https://android.googlesource.com/platform/cts/+/6842dad89d0f3749bd774c2b8478ee5428154eb9", "6842dad89d0f3749bd774c2b8478ee5428154eb9")</f>
        <v>0</v>
      </c>
      <c r="C14643">
        <f>HYPERLINK("https://android.googlesource.com/platform/cts/+/6079d973fb680da596631e55dfcdd2c631e8bd2d", "6079d973fb680da596631e55dfcdd2c631e8bd2d")</f>
        <v>0</v>
      </c>
      <c r="D14643" t="s">
        <v>5353</v>
      </c>
      <c r="E14643" t="s">
        <v>8153</v>
      </c>
      <c r="F14643" t="s">
        <v>12809</v>
      </c>
      <c r="G14643" t="s">
        <v>16990</v>
      </c>
      <c r="H14643" t="s">
        <v>31744</v>
      </c>
    </row>
    <row r="14644" spans="1:8">
      <c r="H14644" t="s">
        <v>31745</v>
      </c>
    </row>
    <row r="14645" spans="1:8">
      <c r="F14645" t="s">
        <v>12771</v>
      </c>
      <c r="G14645" t="s">
        <v>16958</v>
      </c>
      <c r="H14645" t="s">
        <v>31744</v>
      </c>
    </row>
    <row r="14646" spans="1:8">
      <c r="H14646" t="s">
        <v>31745</v>
      </c>
    </row>
    <row r="14647" spans="1:8">
      <c r="A14647" t="s">
        <v>2424</v>
      </c>
      <c r="B14647">
        <f>HYPERLINK("https://android.googlesource.com/platform/cts/+/10a6cff37f485e38790bdc525652f7e4b39f6216", "10a6cff37f485e38790bdc525652f7e4b39f6216")</f>
        <v>0</v>
      </c>
      <c r="C14647">
        <f>HYPERLINK("https://android.googlesource.com/platform/cts/+/69917a09df28b876bf7effedcd05638a254b805d", "69917a09df28b876bf7effedcd05638a254b805d")</f>
        <v>0</v>
      </c>
      <c r="D14647" t="s">
        <v>5189</v>
      </c>
      <c r="E14647" t="s">
        <v>8154</v>
      </c>
      <c r="F14647" t="s">
        <v>13832</v>
      </c>
      <c r="G14647" t="s">
        <v>17341</v>
      </c>
      <c r="H14647" t="s">
        <v>31746</v>
      </c>
    </row>
    <row r="14648" spans="1:8">
      <c r="A14648" t="s">
        <v>2425</v>
      </c>
      <c r="B14648">
        <f>HYPERLINK("https://android.googlesource.com/platform/cts/+/7293b1224b2b96feed4aaaaf84d268e3e77d4b23", "7293b1224b2b96feed4aaaaf84d268e3e77d4b23")</f>
        <v>0</v>
      </c>
      <c r="C14648">
        <f>HYPERLINK("https://android.googlesource.com/platform/cts/+/4e522d6d9231c1ed79b118a6ca0cccc71854f2e1", "4e522d6d9231c1ed79b118a6ca0cccc71854f2e1")</f>
        <v>0</v>
      </c>
      <c r="D14648" t="s">
        <v>5374</v>
      </c>
      <c r="E14648" t="s">
        <v>8155</v>
      </c>
      <c r="F14648" t="s">
        <v>12733</v>
      </c>
      <c r="G14648" t="s">
        <v>16854</v>
      </c>
      <c r="H14648" t="s">
        <v>31747</v>
      </c>
    </row>
    <row r="14649" spans="1:8">
      <c r="A14649" t="s">
        <v>2426</v>
      </c>
      <c r="B14649">
        <f>HYPERLINK("https://android.googlesource.com/platform/cts/+/7d86cf28bce1f787fe84098e10d3ee2542670f9d", "7d86cf28bce1f787fe84098e10d3ee2542670f9d")</f>
        <v>0</v>
      </c>
      <c r="C14649">
        <f>HYPERLINK("https://android.googlesource.com/platform/cts/+/42b3bd3d63b4a30c1e8cd5106b78fb31cd4354c9", "42b3bd3d63b4a30c1e8cd5106b78fb31cd4354c9")</f>
        <v>0</v>
      </c>
      <c r="D14649" t="s">
        <v>5134</v>
      </c>
      <c r="E14649" t="s">
        <v>8156</v>
      </c>
      <c r="F14649" t="s">
        <v>13756</v>
      </c>
      <c r="G14649" t="s">
        <v>17371</v>
      </c>
      <c r="H14649" t="s">
        <v>31748</v>
      </c>
    </row>
    <row r="14650" spans="1:8">
      <c r="H14650" t="s">
        <v>31749</v>
      </c>
    </row>
    <row r="14651" spans="1:8">
      <c r="F14651" t="s">
        <v>13814</v>
      </c>
      <c r="G14651" t="s">
        <v>17861</v>
      </c>
      <c r="H14651" t="s">
        <v>31750</v>
      </c>
    </row>
    <row r="14652" spans="1:8">
      <c r="H14652" t="s">
        <v>31751</v>
      </c>
    </row>
    <row r="14653" spans="1:8">
      <c r="H14653" t="s">
        <v>31752</v>
      </c>
    </row>
    <row r="14654" spans="1:8">
      <c r="A14654" t="s">
        <v>2427</v>
      </c>
      <c r="B14654">
        <f>HYPERLINK("https://android.googlesource.com/platform/cts/+/93767c370f0cde262c3f746b6cfea9b1d2475b48", "93767c370f0cde262c3f746b6cfea9b1d2475b48")</f>
        <v>0</v>
      </c>
      <c r="C14654">
        <f>HYPERLINK("https://android.googlesource.com/platform/cts/+/4d3fa970a0d5b6eae5f382afc9ef46012c72502c", "4d3fa970a0d5b6eae5f382afc9ef46012c72502c")</f>
        <v>0</v>
      </c>
      <c r="D14654" t="s">
        <v>5262</v>
      </c>
      <c r="E14654" t="s">
        <v>8157</v>
      </c>
      <c r="F14654" t="s">
        <v>13833</v>
      </c>
      <c r="G14654" t="s">
        <v>17876</v>
      </c>
      <c r="H14654" t="s">
        <v>31753</v>
      </c>
    </row>
    <row r="14655" spans="1:8">
      <c r="A14655" t="s">
        <v>2428</v>
      </c>
      <c r="B14655">
        <f>HYPERLINK("https://android.googlesource.com/platform/cts/+/1565e443df4bb1becb0d0a216a5659ed68a76093", "1565e443df4bb1becb0d0a216a5659ed68a76093")</f>
        <v>0</v>
      </c>
      <c r="C14655">
        <f>HYPERLINK("https://android.googlesource.com/platform/cts/+/6a10361096d695cca25a05a240ecf5aa6c364d67", "6a10361096d695cca25a05a240ecf5aa6c364d67")</f>
        <v>0</v>
      </c>
      <c r="D14655" t="s">
        <v>5118</v>
      </c>
      <c r="E14655" t="s">
        <v>8158</v>
      </c>
      <c r="F14655" t="s">
        <v>13273</v>
      </c>
      <c r="G14655" t="s">
        <v>17410</v>
      </c>
      <c r="H14655" t="s">
        <v>31754</v>
      </c>
    </row>
    <row r="14656" spans="1:8">
      <c r="H14656" t="s">
        <v>31755</v>
      </c>
    </row>
    <row r="14657" spans="1:8">
      <c r="H14657" t="s">
        <v>31756</v>
      </c>
    </row>
    <row r="14658" spans="1:8">
      <c r="H14658" t="s">
        <v>31757</v>
      </c>
    </row>
    <row r="14659" spans="1:8">
      <c r="H14659" t="s">
        <v>31758</v>
      </c>
    </row>
    <row r="14660" spans="1:8">
      <c r="H14660" t="s">
        <v>19013</v>
      </c>
    </row>
    <row r="14661" spans="1:8">
      <c r="H14661" t="s">
        <v>31759</v>
      </c>
    </row>
    <row r="14662" spans="1:8">
      <c r="F14662" t="s">
        <v>13834</v>
      </c>
      <c r="G14662" t="s">
        <v>17877</v>
      </c>
      <c r="H14662" t="s">
        <v>31760</v>
      </c>
    </row>
    <row r="14663" spans="1:8">
      <c r="H14663" t="s">
        <v>31761</v>
      </c>
    </row>
    <row r="14664" spans="1:8">
      <c r="H14664" t="s">
        <v>31762</v>
      </c>
    </row>
    <row r="14665" spans="1:8">
      <c r="H14665" t="s">
        <v>31763</v>
      </c>
    </row>
    <row r="14666" spans="1:8">
      <c r="H14666" t="s">
        <v>31764</v>
      </c>
    </row>
    <row r="14667" spans="1:8">
      <c r="H14667" t="s">
        <v>31765</v>
      </c>
    </row>
    <row r="14668" spans="1:8">
      <c r="H14668" t="s">
        <v>31766</v>
      </c>
    </row>
    <row r="14669" spans="1:8">
      <c r="H14669" t="s">
        <v>31767</v>
      </c>
    </row>
    <row r="14670" spans="1:8">
      <c r="H14670" t="s">
        <v>31768</v>
      </c>
    </row>
    <row r="14671" spans="1:8">
      <c r="H14671" t="s">
        <v>31769</v>
      </c>
    </row>
    <row r="14672" spans="1:8">
      <c r="A14672" t="s">
        <v>2433</v>
      </c>
      <c r="B14672">
        <f>HYPERLINK("https://android.googlesource.com/platform/cts/+/0a4b52835219a6dff395ad95caf159120dd1679b", "0a4b52835219a6dff395ad95caf159120dd1679b")</f>
        <v>0</v>
      </c>
      <c r="C14672">
        <f>HYPERLINK("https://android.googlesource.com/platform/cts/+/32086afe3ce09f24babba099c51dd6fefac5fe80", "32086afe3ce09f24babba099c51dd6fefac5fe80")</f>
        <v>0</v>
      </c>
      <c r="D14672" t="s">
        <v>5290</v>
      </c>
      <c r="E14672" t="s">
        <v>8163</v>
      </c>
      <c r="F14672" t="s">
        <v>13838</v>
      </c>
      <c r="G14672" t="s">
        <v>17881</v>
      </c>
      <c r="H14672" t="s">
        <v>31785</v>
      </c>
    </row>
    <row r="14673" spans="1:8">
      <c r="A14673" t="s">
        <v>2435</v>
      </c>
      <c r="B14673">
        <f>HYPERLINK("https://android.googlesource.com/platform/cts/+/9f7cf9e8da9b69444843c64bf71172d33c4864bf", "9f7cf9e8da9b69444843c64bf71172d33c4864bf")</f>
        <v>0</v>
      </c>
      <c r="C14673">
        <f>HYPERLINK("https://android.googlesource.com/platform/cts/+/33974a73e3b3ba677ed44b221b290b558f0e6566", "33974a73e3b3ba677ed44b221b290b558f0e6566")</f>
        <v>0</v>
      </c>
      <c r="D14673" t="s">
        <v>5307</v>
      </c>
      <c r="E14673" t="s">
        <v>8165</v>
      </c>
      <c r="F14673" t="s">
        <v>13263</v>
      </c>
      <c r="G14673" t="s">
        <v>17401</v>
      </c>
      <c r="H14673" t="s">
        <v>31787</v>
      </c>
    </row>
    <row r="14674" spans="1:8">
      <c r="A14674" t="s">
        <v>2437</v>
      </c>
      <c r="B14674">
        <f>HYPERLINK("https://android.googlesource.com/platform/cts/+/d9f641eae97133f1511b329a8d60d1d02635d8c9", "d9f641eae97133f1511b329a8d60d1d02635d8c9")</f>
        <v>0</v>
      </c>
      <c r="C14674">
        <f>HYPERLINK("https://android.googlesource.com/platform/cts/+/3542f935818abedf137afb766b779be14234d10f", "3542f935818abedf137afb766b779be14234d10f")</f>
        <v>0</v>
      </c>
      <c r="D14674" t="s">
        <v>5371</v>
      </c>
      <c r="E14674" t="s">
        <v>8167</v>
      </c>
      <c r="F14674" t="s">
        <v>13840</v>
      </c>
      <c r="G14674" t="s">
        <v>17883</v>
      </c>
      <c r="H14674" t="s">
        <v>31798</v>
      </c>
    </row>
    <row r="14675" spans="1:8">
      <c r="H14675" t="s">
        <v>31799</v>
      </c>
    </row>
    <row r="14676" spans="1:8">
      <c r="H14676" t="s">
        <v>31800</v>
      </c>
    </row>
    <row r="14677" spans="1:8">
      <c r="F14677" t="s">
        <v>13841</v>
      </c>
      <c r="G14677" t="s">
        <v>17884</v>
      </c>
      <c r="H14677" t="s">
        <v>31806</v>
      </c>
    </row>
    <row r="14678" spans="1:8">
      <c r="A14678" t="s">
        <v>2438</v>
      </c>
      <c r="B14678">
        <f>HYPERLINK("https://android.googlesource.com/platform/cts/+/687b54c3be1e22aa84ff3ee8a3c8f2d6162b0343", "687b54c3be1e22aa84ff3ee8a3c8f2d6162b0343")</f>
        <v>0</v>
      </c>
      <c r="C14678">
        <f>HYPERLINK("https://android.googlesource.com/platform/cts/+/8129c83b1a00c838609de64076e3a99a3eec9d67", "8129c83b1a00c838609de64076e3a99a3eec9d67")</f>
        <v>0</v>
      </c>
      <c r="D14678" t="s">
        <v>5375</v>
      </c>
      <c r="E14678" t="s">
        <v>8168</v>
      </c>
      <c r="F14678" t="s">
        <v>13842</v>
      </c>
      <c r="G14678" t="s">
        <v>17885</v>
      </c>
      <c r="H14678" t="s">
        <v>31807</v>
      </c>
    </row>
    <row r="14679" spans="1:8">
      <c r="A14679" t="s">
        <v>2439</v>
      </c>
      <c r="B14679">
        <f>HYPERLINK("https://android.googlesource.com/platform/cts/+/b3fc868ee051ecf084a98aa7ae2c8e1bb44bd68d", "b3fc868ee051ecf084a98aa7ae2c8e1bb44bd68d")</f>
        <v>0</v>
      </c>
      <c r="C14679">
        <f>HYPERLINK("https://android.googlesource.com/platform/cts/+/3f597d1d27048fdd3e4fafb0009994eb0cef16f7", "3f597d1d27048fdd3e4fafb0009994eb0cef16f7")</f>
        <v>0</v>
      </c>
      <c r="D14679" t="s">
        <v>5391</v>
      </c>
      <c r="E14679" t="s">
        <v>8169</v>
      </c>
      <c r="F14679" t="s">
        <v>10675</v>
      </c>
      <c r="G14679" t="s">
        <v>15075</v>
      </c>
      <c r="H14679" t="s">
        <v>31808</v>
      </c>
    </row>
    <row r="14680" spans="1:8">
      <c r="H14680" t="s">
        <v>31809</v>
      </c>
    </row>
    <row r="14681" spans="1:8">
      <c r="A14681" t="s">
        <v>2440</v>
      </c>
      <c r="B14681">
        <f>HYPERLINK("https://android.googlesource.com/platform/cts/+/2bbee6e1e5f35136311749b061a468b9b223d840", "2bbee6e1e5f35136311749b061a468b9b223d840")</f>
        <v>0</v>
      </c>
      <c r="C14681">
        <f>HYPERLINK("https://android.googlesource.com/platform/cts/+/be6d34f5c3b4e92204a1128d90b34e330e52f768", "be6d34f5c3b4e92204a1128d90b34e330e52f768")</f>
        <v>0</v>
      </c>
      <c r="D14681" t="s">
        <v>5392</v>
      </c>
      <c r="E14681" t="s">
        <v>8170</v>
      </c>
      <c r="F14681" t="s">
        <v>13220</v>
      </c>
      <c r="G14681" t="s">
        <v>17361</v>
      </c>
      <c r="H14681" t="s">
        <v>31810</v>
      </c>
    </row>
    <row r="14682" spans="1:8">
      <c r="H14682" t="s">
        <v>31811</v>
      </c>
    </row>
    <row r="14683" spans="1:8">
      <c r="H14683" t="s">
        <v>31812</v>
      </c>
    </row>
    <row r="14684" spans="1:8">
      <c r="A14684" t="s">
        <v>2442</v>
      </c>
      <c r="B14684">
        <f>HYPERLINK("https://android.googlesource.com/platform/cts/+/61097212329e37c755dddac701c56daee8916620", "61097212329e37c755dddac701c56daee8916620")</f>
        <v>0</v>
      </c>
      <c r="C14684">
        <f>HYPERLINK("https://android.googlesource.com/platform/cts/+/7a7a4d51783339d3fe1b8f861c9c104ad8d5127b", "7a7a4d51783339d3fe1b8f861c9c104ad8d5127b")</f>
        <v>0</v>
      </c>
      <c r="D14684" t="s">
        <v>5375</v>
      </c>
      <c r="E14684" t="s">
        <v>8172</v>
      </c>
      <c r="F14684" t="s">
        <v>13771</v>
      </c>
      <c r="G14684" t="s">
        <v>17826</v>
      </c>
      <c r="H14684" t="s">
        <v>31819</v>
      </c>
    </row>
    <row r="14685" spans="1:8">
      <c r="H14685" t="s">
        <v>31820</v>
      </c>
    </row>
    <row r="14686" spans="1:8">
      <c r="H14686" t="s">
        <v>31821</v>
      </c>
    </row>
    <row r="14687" spans="1:8">
      <c r="H14687" t="s">
        <v>31822</v>
      </c>
    </row>
    <row r="14688" spans="1:8">
      <c r="A14688" t="s">
        <v>2444</v>
      </c>
      <c r="B14688">
        <f>HYPERLINK("https://android.googlesource.com/platform/cts/+/e05ffed599d17559af16e04d17fcf74d075b7939", "e05ffed599d17559af16e04d17fcf74d075b7939")</f>
        <v>0</v>
      </c>
      <c r="C14688">
        <f>HYPERLINK("https://android.googlesource.com/platform/cts/+/b9b5147fcf9e2006cdac7baa91394a628439620a", "b9b5147fcf9e2006cdac7baa91394a628439620a")</f>
        <v>0</v>
      </c>
      <c r="D14688" t="s">
        <v>5393</v>
      </c>
      <c r="E14688" t="s">
        <v>8174</v>
      </c>
      <c r="F14688" t="s">
        <v>13844</v>
      </c>
      <c r="G14688" t="s">
        <v>17887</v>
      </c>
      <c r="H14688" t="s">
        <v>31825</v>
      </c>
    </row>
    <row r="14689" spans="1:8">
      <c r="F14689" t="s">
        <v>12743</v>
      </c>
      <c r="G14689" t="s">
        <v>16935</v>
      </c>
      <c r="H14689" t="s">
        <v>31825</v>
      </c>
    </row>
    <row r="14690" spans="1:8">
      <c r="A14690" t="s">
        <v>2450</v>
      </c>
      <c r="B14690">
        <f>HYPERLINK("https://android.googlesource.com/platform/cts/+/06440c2a84e6510b91d0b57d9affb8de5693318f", "06440c2a84e6510b91d0b57d9affb8de5693318f")</f>
        <v>0</v>
      </c>
      <c r="C14690">
        <f>HYPERLINK("https://android.googlesource.com/platform/cts/+/2b193cd7f0aecc119de642dad3ecee23b0a5ff6f", "2b193cd7f0aecc119de642dad3ecee23b0a5ff6f")</f>
        <v>0</v>
      </c>
      <c r="D14690" t="s">
        <v>5140</v>
      </c>
      <c r="E14690" t="s">
        <v>8180</v>
      </c>
      <c r="F14690" t="s">
        <v>13847</v>
      </c>
      <c r="G14690" t="s">
        <v>17890</v>
      </c>
      <c r="H14690" t="s">
        <v>31835</v>
      </c>
    </row>
    <row r="14691" spans="1:8">
      <c r="A14691" t="s">
        <v>2452</v>
      </c>
      <c r="B14691">
        <f>HYPERLINK("https://android.googlesource.com/platform/cts/+/0104be8e3b27720f2bbed7c9153e73cb4c26b278", "0104be8e3b27720f2bbed7c9153e73cb4c26b278")</f>
        <v>0</v>
      </c>
      <c r="C14691">
        <f>HYPERLINK("https://android.googlesource.com/platform/cts/+/06440c2a84e6510b91d0b57d9affb8de5693318f", "06440c2a84e6510b91d0b57d9affb8de5693318f")</f>
        <v>0</v>
      </c>
      <c r="D14691" t="s">
        <v>5140</v>
      </c>
      <c r="E14691" t="s">
        <v>8182</v>
      </c>
      <c r="F14691" t="s">
        <v>13847</v>
      </c>
      <c r="G14691" t="s">
        <v>17890</v>
      </c>
      <c r="H14691" t="s">
        <v>31837</v>
      </c>
    </row>
    <row r="14692" spans="1:8">
      <c r="A14692" t="s">
        <v>2453</v>
      </c>
      <c r="B14692">
        <f>HYPERLINK("https://android.googlesource.com/platform/cts/+/3cb9a051c01a6292545aa5a699542da803e5280a", "3cb9a051c01a6292545aa5a699542da803e5280a")</f>
        <v>0</v>
      </c>
      <c r="C14692">
        <f>HYPERLINK("https://android.googlesource.com/platform/cts/+/0104be8e3b27720f2bbed7c9153e73cb4c26b278", "0104be8e3b27720f2bbed7c9153e73cb4c26b278")</f>
        <v>0</v>
      </c>
      <c r="D14692" t="s">
        <v>5140</v>
      </c>
      <c r="E14692" t="s">
        <v>8183</v>
      </c>
      <c r="F14692" t="s">
        <v>13847</v>
      </c>
      <c r="G14692" t="s">
        <v>17890</v>
      </c>
      <c r="H14692" t="s">
        <v>31835</v>
      </c>
    </row>
    <row r="14693" spans="1:8">
      <c r="A14693" t="s">
        <v>2454</v>
      </c>
      <c r="B14693">
        <f>HYPERLINK("https://android.googlesource.com/platform/cts/+/d4cb745ba90cc3238a7bdd66cfd7b449339dc00e", "d4cb745ba90cc3238a7bdd66cfd7b449339dc00e")</f>
        <v>0</v>
      </c>
      <c r="C14693">
        <f>HYPERLINK("https://android.googlesource.com/platform/cts/+/ed8e97f57d294609dc9322445c9d1989360eefb9", "ed8e97f57d294609dc9322445c9d1989360eefb9")</f>
        <v>0</v>
      </c>
      <c r="D14693" t="s">
        <v>5334</v>
      </c>
      <c r="E14693" t="s">
        <v>8184</v>
      </c>
      <c r="F14693" t="s">
        <v>13719</v>
      </c>
      <c r="G14693" t="s">
        <v>17785</v>
      </c>
      <c r="H14693" t="s">
        <v>31842</v>
      </c>
    </row>
    <row r="14694" spans="1:8">
      <c r="H14694" t="s">
        <v>22533</v>
      </c>
    </row>
    <row r="14695" spans="1:8">
      <c r="H14695" t="s">
        <v>31843</v>
      </c>
    </row>
    <row r="14696" spans="1:8">
      <c r="A14696" t="s">
        <v>2455</v>
      </c>
      <c r="B14696">
        <f>HYPERLINK("https://android.googlesource.com/platform/cts/+/58c1321beba42398115e525df60059df0a17e814", "58c1321beba42398115e525df60059df0a17e814")</f>
        <v>0</v>
      </c>
      <c r="C14696">
        <f>HYPERLINK("https://android.googlesource.com/platform/cts/+/f06f5486579e9214594ca76cd78fdea30ce5c287", "f06f5486579e9214594ca76cd78fdea30ce5c287")</f>
        <v>0</v>
      </c>
      <c r="D14696" t="s">
        <v>5141</v>
      </c>
      <c r="E14696" t="s">
        <v>8185</v>
      </c>
      <c r="F14696" t="s">
        <v>13848</v>
      </c>
      <c r="G14696" t="s">
        <v>17891</v>
      </c>
      <c r="H14696" t="s">
        <v>31845</v>
      </c>
    </row>
    <row r="14697" spans="1:8">
      <c r="F14697" t="s">
        <v>10794</v>
      </c>
      <c r="G14697" t="s">
        <v>15189</v>
      </c>
      <c r="H14697" t="s">
        <v>31846</v>
      </c>
    </row>
    <row r="14698" spans="1:8">
      <c r="A14698" t="s">
        <v>2457</v>
      </c>
      <c r="B14698">
        <f>HYPERLINK("https://android.googlesource.com/platform/cts/+/290dc5282c61ef2c311c05deeb588f204674cdd3", "290dc5282c61ef2c311c05deeb588f204674cdd3")</f>
        <v>0</v>
      </c>
      <c r="C14698">
        <f>HYPERLINK("https://android.googlesource.com/platform/cts/+/46529f564e4f49f0eb2c56605ced3ff0b92feea4", "46529f564e4f49f0eb2c56605ced3ff0b92feea4")</f>
        <v>0</v>
      </c>
      <c r="D14698" t="s">
        <v>5231</v>
      </c>
      <c r="E14698" t="s">
        <v>8187</v>
      </c>
      <c r="F14698" t="s">
        <v>13816</v>
      </c>
      <c r="G14698" t="s">
        <v>15089</v>
      </c>
      <c r="H14698" t="s">
        <v>31849</v>
      </c>
    </row>
    <row r="14699" spans="1:8">
      <c r="H14699" t="s">
        <v>31850</v>
      </c>
    </row>
    <row r="14700" spans="1:8">
      <c r="A14700" t="s">
        <v>2459</v>
      </c>
      <c r="B14700">
        <f>HYPERLINK("https://android.googlesource.com/platform/cts/+/ce91955c966b69c05f299d60fca5a7ee3243c1a5", "ce91955c966b69c05f299d60fca5a7ee3243c1a5")</f>
        <v>0</v>
      </c>
      <c r="C14700">
        <f>HYPERLINK("https://android.googlesource.com/platform/cts/+/b52083dc1e389a8e6174514eb6893c6dd5c31fbb", "b52083dc1e389a8e6174514eb6893c6dd5c31fbb")</f>
        <v>0</v>
      </c>
      <c r="D14700" t="s">
        <v>5390</v>
      </c>
      <c r="E14700" t="s">
        <v>8189</v>
      </c>
      <c r="F14700" t="s">
        <v>13837</v>
      </c>
      <c r="G14700" t="s">
        <v>17880</v>
      </c>
      <c r="H14700" t="s">
        <v>31851</v>
      </c>
    </row>
    <row r="14701" spans="1:8">
      <c r="H14701" t="s">
        <v>31852</v>
      </c>
    </row>
    <row r="14702" spans="1:8">
      <c r="H14702" t="s">
        <v>31853</v>
      </c>
    </row>
    <row r="14703" spans="1:8">
      <c r="H14703" t="s">
        <v>31854</v>
      </c>
    </row>
    <row r="14704" spans="1:8">
      <c r="H14704" t="s">
        <v>31855</v>
      </c>
    </row>
    <row r="14705" spans="1:8">
      <c r="A14705" t="s">
        <v>2463</v>
      </c>
      <c r="B14705">
        <f>HYPERLINK("https://android.googlesource.com/platform/cts/+/6bd5826a807f5019d6275b006745c1b456522d63", "6bd5826a807f5019d6275b006745c1b456522d63")</f>
        <v>0</v>
      </c>
      <c r="C14705">
        <f>HYPERLINK("https://android.googlesource.com/platform/cts/+/3d15986fe0412e7bf631c484a595578484478897", "3d15986fe0412e7bf631c484a595578484478897")</f>
        <v>0</v>
      </c>
      <c r="D14705" t="s">
        <v>5399</v>
      </c>
      <c r="E14705" t="s">
        <v>8193</v>
      </c>
      <c r="F14705" t="s">
        <v>13850</v>
      </c>
      <c r="G14705" t="s">
        <v>16816</v>
      </c>
      <c r="H14705" t="s">
        <v>31858</v>
      </c>
    </row>
    <row r="14706" spans="1:8">
      <c r="A14706" t="s">
        <v>2467</v>
      </c>
      <c r="B14706">
        <f>HYPERLINK("https://android.googlesource.com/platform/cts/+/51fb83a17e721abcf9c606ec29e88dd9824ecb05", "51fb83a17e721abcf9c606ec29e88dd9824ecb05")</f>
        <v>0</v>
      </c>
      <c r="C14706">
        <f>HYPERLINK("https://android.googlesource.com/platform/cts/+/0a8e5dd7da2eba0094d91c05ec2f5c0886d48c21", "0a8e5dd7da2eba0094d91c05ec2f5c0886d48c21")</f>
        <v>0</v>
      </c>
      <c r="D14706" t="s">
        <v>5400</v>
      </c>
      <c r="E14706" t="s">
        <v>8197</v>
      </c>
      <c r="F14706" t="s">
        <v>13851</v>
      </c>
      <c r="G14706" t="s">
        <v>17893</v>
      </c>
      <c r="H14706" t="s">
        <v>31863</v>
      </c>
    </row>
    <row r="14707" spans="1:8">
      <c r="A14707" t="s">
        <v>2468</v>
      </c>
      <c r="B14707">
        <f>HYPERLINK("https://android.googlesource.com/platform/cts/+/7d4879a70546d47847b30e8845aa64a2b9fb883d", "7d4879a70546d47847b30e8845aa64a2b9fb883d")</f>
        <v>0</v>
      </c>
      <c r="C14707">
        <f>HYPERLINK("https://android.googlesource.com/platform/cts/+/e5f7c87e9dec9ad21bec25feec24050d247b2a08", "e5f7c87e9dec9ad21bec25feec24050d247b2a08")</f>
        <v>0</v>
      </c>
      <c r="D14707" t="s">
        <v>5084</v>
      </c>
      <c r="E14707" t="s">
        <v>8198</v>
      </c>
      <c r="F14707" t="s">
        <v>13852</v>
      </c>
      <c r="G14707" t="s">
        <v>17894</v>
      </c>
      <c r="H14707" t="s">
        <v>31864</v>
      </c>
    </row>
    <row r="14708" spans="1:8">
      <c r="F14708" t="s">
        <v>13853</v>
      </c>
      <c r="G14708" t="s">
        <v>17895</v>
      </c>
      <c r="H14708" t="s">
        <v>31865</v>
      </c>
    </row>
    <row r="14709" spans="1:8">
      <c r="F14709" t="s">
        <v>13854</v>
      </c>
      <c r="G14709" t="s">
        <v>17896</v>
      </c>
      <c r="H14709" t="s">
        <v>31866</v>
      </c>
    </row>
    <row r="14710" spans="1:8">
      <c r="A14710" t="s">
        <v>2469</v>
      </c>
      <c r="B14710">
        <f>HYPERLINK("https://android.googlesource.com/platform/cts/+/2c51332c2c4f7e8303cf1bf7f544623af2289899", "2c51332c2c4f7e8303cf1bf7f544623af2289899")</f>
        <v>0</v>
      </c>
      <c r="C14710">
        <f>HYPERLINK("https://android.googlesource.com/platform/cts/+/f4f7d59a8069c0769d4d7932059d6358923c9881", "f4f7d59a8069c0769d4d7932059d6358923c9881")</f>
        <v>0</v>
      </c>
      <c r="D14710" t="s">
        <v>5375</v>
      </c>
      <c r="E14710" t="s">
        <v>8199</v>
      </c>
      <c r="F14710" t="s">
        <v>13789</v>
      </c>
      <c r="G14710" t="s">
        <v>17842</v>
      </c>
      <c r="H14710" t="s">
        <v>31867</v>
      </c>
    </row>
    <row r="14711" spans="1:8">
      <c r="A14711" t="s">
        <v>2470</v>
      </c>
      <c r="B14711">
        <f>HYPERLINK("https://android.googlesource.com/platform/cts/+/b7cd7c8bf04c5753028196790f35e3ac2d3480c9", "b7cd7c8bf04c5753028196790f35e3ac2d3480c9")</f>
        <v>0</v>
      </c>
      <c r="C14711">
        <f>HYPERLINK("https://android.googlesource.com/platform/cts/+/f160a5db69338148d798f10bd0b40d087e661613", "f160a5db69338148d798f10bd0b40d087e661613")</f>
        <v>0</v>
      </c>
      <c r="D14711" t="s">
        <v>5117</v>
      </c>
      <c r="E14711" t="s">
        <v>8200</v>
      </c>
      <c r="F14711" t="s">
        <v>13855</v>
      </c>
      <c r="G14711" t="s">
        <v>17897</v>
      </c>
      <c r="H14711" t="s">
        <v>31868</v>
      </c>
    </row>
    <row r="14712" spans="1:8">
      <c r="A14712" t="s">
        <v>2471</v>
      </c>
      <c r="B14712">
        <f>HYPERLINK("https://android.googlesource.com/platform/cts/+/51ca6c2113f8e64921ac108b19b862799891b3fa", "51ca6c2113f8e64921ac108b19b862799891b3fa")</f>
        <v>0</v>
      </c>
      <c r="C14712">
        <f>HYPERLINK("https://android.googlesource.com/platform/cts/+/f160a5db69338148d798f10bd0b40d087e661613", "f160a5db69338148d798f10bd0b40d087e661613")</f>
        <v>0</v>
      </c>
      <c r="D14712" t="s">
        <v>5084</v>
      </c>
      <c r="E14712" t="s">
        <v>8201</v>
      </c>
      <c r="F14712" t="s">
        <v>13739</v>
      </c>
      <c r="G14712" t="s">
        <v>17799</v>
      </c>
      <c r="H14712" t="s">
        <v>31869</v>
      </c>
    </row>
    <row r="14713" spans="1:8">
      <c r="H14713" t="s">
        <v>31870</v>
      </c>
    </row>
    <row r="14714" spans="1:8">
      <c r="H14714" t="s">
        <v>31871</v>
      </c>
    </row>
    <row r="14715" spans="1:8">
      <c r="H14715" t="s">
        <v>31872</v>
      </c>
    </row>
    <row r="14716" spans="1:8">
      <c r="H14716" t="s">
        <v>31873</v>
      </c>
    </row>
    <row r="14717" spans="1:8">
      <c r="H14717" t="s">
        <v>31874</v>
      </c>
    </row>
    <row r="14718" spans="1:8">
      <c r="A14718" t="s">
        <v>2473</v>
      </c>
      <c r="B14718">
        <f>HYPERLINK("https://android.googlesource.com/platform/cts/+/9808ee8a72f59bfb258ce9cbc7bdc0f8e40297d0", "9808ee8a72f59bfb258ce9cbc7bdc0f8e40297d0")</f>
        <v>0</v>
      </c>
      <c r="C14718">
        <f>HYPERLINK("https://android.googlesource.com/platform/cts/+/498adeb5ad1686b85916abfb36ec90aadd41e1a3", "498adeb5ad1686b85916abfb36ec90aadd41e1a3")</f>
        <v>0</v>
      </c>
      <c r="D14718" t="s">
        <v>5307</v>
      </c>
      <c r="E14718" t="s">
        <v>8203</v>
      </c>
      <c r="F14718" t="s">
        <v>13773</v>
      </c>
      <c r="G14718" t="s">
        <v>17828</v>
      </c>
      <c r="H14718" t="s">
        <v>31877</v>
      </c>
    </row>
    <row r="14719" spans="1:8">
      <c r="A14719" t="s">
        <v>2474</v>
      </c>
      <c r="B14719">
        <f>HYPERLINK("https://android.googlesource.com/platform/cts/+/cf3185badfb6618311b7ddf2676670a4a01f7bd7", "cf3185badfb6618311b7ddf2676670a4a01f7bd7")</f>
        <v>0</v>
      </c>
      <c r="C14719">
        <f>HYPERLINK("https://android.googlesource.com/platform/cts/+/5ba191c27cf50d56cd9d61144ec2b16c6fc7f483", "5ba191c27cf50d56cd9d61144ec2b16c6fc7f483")</f>
        <v>0</v>
      </c>
      <c r="D14719" t="s">
        <v>5027</v>
      </c>
      <c r="E14719" t="s">
        <v>8204</v>
      </c>
      <c r="F14719" t="s">
        <v>13505</v>
      </c>
      <c r="G14719" t="s">
        <v>17622</v>
      </c>
      <c r="H14719" t="s">
        <v>31309</v>
      </c>
    </row>
    <row r="14720" spans="1:8">
      <c r="H14720" t="s">
        <v>30148</v>
      </c>
    </row>
    <row r="14721" spans="6:8">
      <c r="H14721" t="s">
        <v>30149</v>
      </c>
    </row>
    <row r="14722" spans="6:8">
      <c r="H14722" t="s">
        <v>30150</v>
      </c>
    </row>
    <row r="14723" spans="6:8">
      <c r="H14723" t="s">
        <v>30151</v>
      </c>
    </row>
    <row r="14724" spans="6:8">
      <c r="H14724" t="s">
        <v>30152</v>
      </c>
    </row>
    <row r="14725" spans="6:8">
      <c r="H14725" t="s">
        <v>30153</v>
      </c>
    </row>
    <row r="14726" spans="6:8">
      <c r="H14726" t="s">
        <v>29023</v>
      </c>
    </row>
    <row r="14727" spans="6:8">
      <c r="H14727" t="s">
        <v>30154</v>
      </c>
    </row>
    <row r="14728" spans="6:8">
      <c r="H14728" t="s">
        <v>30155</v>
      </c>
    </row>
    <row r="14729" spans="6:8">
      <c r="H14729" t="s">
        <v>30156</v>
      </c>
    </row>
    <row r="14730" spans="6:8">
      <c r="H14730" t="s">
        <v>30157</v>
      </c>
    </row>
    <row r="14731" spans="6:8">
      <c r="H14731" t="s">
        <v>30158</v>
      </c>
    </row>
    <row r="14732" spans="6:8">
      <c r="F14732" t="s">
        <v>13506</v>
      </c>
      <c r="G14732" t="s">
        <v>17623</v>
      </c>
      <c r="H14732" t="s">
        <v>31336</v>
      </c>
    </row>
    <row r="14733" spans="6:8">
      <c r="H14733" t="s">
        <v>30167</v>
      </c>
    </row>
    <row r="14734" spans="6:8">
      <c r="H14734" t="s">
        <v>30168</v>
      </c>
    </row>
    <row r="14735" spans="6:8">
      <c r="H14735" t="s">
        <v>30171</v>
      </c>
    </row>
    <row r="14736" spans="6:8">
      <c r="H14736" t="s">
        <v>30172</v>
      </c>
    </row>
    <row r="14737" spans="8:8">
      <c r="H14737" t="s">
        <v>30173</v>
      </c>
    </row>
    <row r="14738" spans="8:8">
      <c r="H14738" t="s">
        <v>30174</v>
      </c>
    </row>
    <row r="14739" spans="8:8">
      <c r="H14739" t="s">
        <v>30175</v>
      </c>
    </row>
    <row r="14740" spans="8:8">
      <c r="H14740" t="s">
        <v>31337</v>
      </c>
    </row>
    <row r="14741" spans="8:8">
      <c r="H14741" t="s">
        <v>30176</v>
      </c>
    </row>
    <row r="14742" spans="8:8">
      <c r="H14742" t="s">
        <v>30216</v>
      </c>
    </row>
    <row r="14743" spans="8:8">
      <c r="H14743" t="s">
        <v>31338</v>
      </c>
    </row>
    <row r="14744" spans="8:8">
      <c r="H14744" t="s">
        <v>31339</v>
      </c>
    </row>
    <row r="14745" spans="8:8">
      <c r="H14745" t="s">
        <v>31340</v>
      </c>
    </row>
    <row r="14746" spans="8:8">
      <c r="H14746" t="s">
        <v>31341</v>
      </c>
    </row>
    <row r="14747" spans="8:8">
      <c r="H14747" t="s">
        <v>31342</v>
      </c>
    </row>
    <row r="14748" spans="8:8">
      <c r="H14748" t="s">
        <v>31343</v>
      </c>
    </row>
    <row r="14749" spans="8:8">
      <c r="H14749" t="s">
        <v>31344</v>
      </c>
    </row>
    <row r="14750" spans="8:8">
      <c r="H14750" t="s">
        <v>31345</v>
      </c>
    </row>
    <row r="14751" spans="8:8">
      <c r="H14751" t="s">
        <v>31346</v>
      </c>
    </row>
    <row r="14752" spans="8:8">
      <c r="H14752" t="s">
        <v>31347</v>
      </c>
    </row>
    <row r="14753" spans="8:8">
      <c r="H14753" t="s">
        <v>31348</v>
      </c>
    </row>
    <row r="14754" spans="8:8">
      <c r="H14754" t="s">
        <v>31349</v>
      </c>
    </row>
    <row r="14755" spans="8:8">
      <c r="H14755" t="s">
        <v>31350</v>
      </c>
    </row>
    <row r="14756" spans="8:8">
      <c r="H14756" t="s">
        <v>31351</v>
      </c>
    </row>
    <row r="14757" spans="8:8">
      <c r="H14757" t="s">
        <v>30178</v>
      </c>
    </row>
    <row r="14758" spans="8:8">
      <c r="H14758" t="s">
        <v>30179</v>
      </c>
    </row>
    <row r="14759" spans="8:8">
      <c r="H14759" t="s">
        <v>30180</v>
      </c>
    </row>
    <row r="14760" spans="8:8">
      <c r="H14760" t="s">
        <v>30182</v>
      </c>
    </row>
    <row r="14761" spans="8:8">
      <c r="H14761" t="s">
        <v>30183</v>
      </c>
    </row>
    <row r="14762" spans="8:8">
      <c r="H14762" t="s">
        <v>30184</v>
      </c>
    </row>
    <row r="14763" spans="8:8">
      <c r="H14763" t="s">
        <v>30185</v>
      </c>
    </row>
    <row r="14764" spans="8:8">
      <c r="H14764" t="s">
        <v>30186</v>
      </c>
    </row>
    <row r="14765" spans="8:8">
      <c r="H14765" t="s">
        <v>30187</v>
      </c>
    </row>
    <row r="14766" spans="8:8">
      <c r="H14766" t="s">
        <v>30188</v>
      </c>
    </row>
    <row r="14767" spans="8:8">
      <c r="H14767" t="s">
        <v>30189</v>
      </c>
    </row>
    <row r="14768" spans="8:8">
      <c r="H14768" t="s">
        <v>30190</v>
      </c>
    </row>
    <row r="14769" spans="8:8">
      <c r="H14769" t="s">
        <v>30191</v>
      </c>
    </row>
    <row r="14770" spans="8:8">
      <c r="H14770" t="s">
        <v>30192</v>
      </c>
    </row>
    <row r="14771" spans="8:8">
      <c r="H14771" t="s">
        <v>30193</v>
      </c>
    </row>
    <row r="14772" spans="8:8">
      <c r="H14772" t="s">
        <v>30194</v>
      </c>
    </row>
    <row r="14773" spans="8:8">
      <c r="H14773" t="s">
        <v>30195</v>
      </c>
    </row>
    <row r="14774" spans="8:8">
      <c r="H14774" t="s">
        <v>30196</v>
      </c>
    </row>
    <row r="14775" spans="8:8">
      <c r="H14775" t="s">
        <v>30198</v>
      </c>
    </row>
    <row r="14776" spans="8:8">
      <c r="H14776" t="s">
        <v>30199</v>
      </c>
    </row>
    <row r="14777" spans="8:8">
      <c r="H14777" t="s">
        <v>30200</v>
      </c>
    </row>
    <row r="14778" spans="8:8">
      <c r="H14778" t="s">
        <v>30201</v>
      </c>
    </row>
    <row r="14779" spans="8:8">
      <c r="H14779" t="s">
        <v>30202</v>
      </c>
    </row>
    <row r="14780" spans="8:8">
      <c r="H14780" t="s">
        <v>30203</v>
      </c>
    </row>
    <row r="14781" spans="8:8">
      <c r="H14781" t="s">
        <v>30204</v>
      </c>
    </row>
    <row r="14782" spans="8:8">
      <c r="H14782" t="s">
        <v>30205</v>
      </c>
    </row>
    <row r="14783" spans="8:8">
      <c r="H14783" t="s">
        <v>30206</v>
      </c>
    </row>
    <row r="14784" spans="8:8">
      <c r="H14784" t="s">
        <v>30207</v>
      </c>
    </row>
    <row r="14785" spans="6:8">
      <c r="F14785" t="s">
        <v>13507</v>
      </c>
      <c r="G14785" t="s">
        <v>17624</v>
      </c>
      <c r="H14785" t="s">
        <v>30030</v>
      </c>
    </row>
    <row r="14786" spans="6:8">
      <c r="F14786" t="s">
        <v>13508</v>
      </c>
      <c r="G14786" t="s">
        <v>17625</v>
      </c>
      <c r="H14786" t="s">
        <v>30030</v>
      </c>
    </row>
    <row r="14787" spans="6:8">
      <c r="H14787" t="s">
        <v>31352</v>
      </c>
    </row>
    <row r="14788" spans="6:8">
      <c r="H14788" t="s">
        <v>31353</v>
      </c>
    </row>
    <row r="14789" spans="6:8">
      <c r="H14789" t="s">
        <v>31354</v>
      </c>
    </row>
    <row r="14790" spans="6:8">
      <c r="H14790" t="s">
        <v>31355</v>
      </c>
    </row>
    <row r="14791" spans="6:8">
      <c r="H14791" t="s">
        <v>31356</v>
      </c>
    </row>
    <row r="14792" spans="6:8">
      <c r="H14792" t="s">
        <v>30215</v>
      </c>
    </row>
    <row r="14793" spans="6:8">
      <c r="H14793" t="s">
        <v>30167</v>
      </c>
    </row>
    <row r="14794" spans="6:8">
      <c r="H14794" t="s">
        <v>30168</v>
      </c>
    </row>
    <row r="14795" spans="6:8">
      <c r="H14795" t="s">
        <v>30171</v>
      </c>
    </row>
    <row r="14796" spans="6:8">
      <c r="H14796" t="s">
        <v>31345</v>
      </c>
    </row>
    <row r="14797" spans="6:8">
      <c r="H14797" t="s">
        <v>31346</v>
      </c>
    </row>
    <row r="14798" spans="6:8">
      <c r="H14798" t="s">
        <v>31347</v>
      </c>
    </row>
    <row r="14799" spans="6:8">
      <c r="H14799" t="s">
        <v>31357</v>
      </c>
    </row>
    <row r="14800" spans="6:8">
      <c r="H14800" t="s">
        <v>31358</v>
      </c>
    </row>
    <row r="14801" spans="8:8">
      <c r="H14801" t="s">
        <v>31359</v>
      </c>
    </row>
    <row r="14802" spans="8:8">
      <c r="H14802" t="s">
        <v>30216</v>
      </c>
    </row>
    <row r="14803" spans="8:8">
      <c r="H14803" t="s">
        <v>31338</v>
      </c>
    </row>
    <row r="14804" spans="8:8">
      <c r="H14804" t="s">
        <v>31339</v>
      </c>
    </row>
    <row r="14805" spans="8:8">
      <c r="H14805" t="s">
        <v>31340</v>
      </c>
    </row>
    <row r="14806" spans="8:8">
      <c r="H14806" t="s">
        <v>31360</v>
      </c>
    </row>
    <row r="14807" spans="8:8">
      <c r="H14807" t="s">
        <v>31342</v>
      </c>
    </row>
    <row r="14808" spans="8:8">
      <c r="H14808" t="s">
        <v>31343</v>
      </c>
    </row>
    <row r="14809" spans="8:8">
      <c r="H14809" t="s">
        <v>31344</v>
      </c>
    </row>
    <row r="14810" spans="8:8">
      <c r="H14810" t="s">
        <v>31348</v>
      </c>
    </row>
    <row r="14811" spans="8:8">
      <c r="H14811" t="s">
        <v>31349</v>
      </c>
    </row>
    <row r="14812" spans="8:8">
      <c r="H14812" t="s">
        <v>31350</v>
      </c>
    </row>
    <row r="14813" spans="8:8">
      <c r="H14813" t="s">
        <v>31351</v>
      </c>
    </row>
    <row r="14814" spans="8:8">
      <c r="H14814" t="s">
        <v>30219</v>
      </c>
    </row>
    <row r="14815" spans="8:8">
      <c r="H14815" t="s">
        <v>30222</v>
      </c>
    </row>
    <row r="14816" spans="8:8">
      <c r="H14816" t="s">
        <v>30223</v>
      </c>
    </row>
    <row r="14817" spans="6:8">
      <c r="H14817" t="s">
        <v>31362</v>
      </c>
    </row>
    <row r="14818" spans="6:8">
      <c r="H14818" t="s">
        <v>30224</v>
      </c>
    </row>
    <row r="14819" spans="6:8">
      <c r="H14819" t="s">
        <v>31363</v>
      </c>
    </row>
    <row r="14820" spans="6:8">
      <c r="H14820" t="s">
        <v>30225</v>
      </c>
    </row>
    <row r="14821" spans="6:8">
      <c r="H14821" t="s">
        <v>31364</v>
      </c>
    </row>
    <row r="14822" spans="6:8">
      <c r="F14822" t="s">
        <v>13526</v>
      </c>
      <c r="G14822" t="s">
        <v>17641</v>
      </c>
      <c r="H14822" t="s">
        <v>30167</v>
      </c>
    </row>
    <row r="14823" spans="6:8">
      <c r="H14823" t="s">
        <v>30168</v>
      </c>
    </row>
    <row r="14824" spans="6:8">
      <c r="H14824" t="s">
        <v>30171</v>
      </c>
    </row>
    <row r="14825" spans="6:8">
      <c r="H14825" t="s">
        <v>30173</v>
      </c>
    </row>
    <row r="14826" spans="6:8">
      <c r="H14826" t="s">
        <v>30174</v>
      </c>
    </row>
    <row r="14827" spans="6:8">
      <c r="H14827" t="s">
        <v>30175</v>
      </c>
    </row>
    <row r="14828" spans="6:8">
      <c r="H14828" t="s">
        <v>30170</v>
      </c>
    </row>
    <row r="14829" spans="6:8">
      <c r="H14829" t="s">
        <v>30169</v>
      </c>
    </row>
    <row r="14830" spans="6:8">
      <c r="H14830" t="s">
        <v>31347</v>
      </c>
    </row>
    <row r="14831" spans="6:8">
      <c r="H14831" t="s">
        <v>30216</v>
      </c>
    </row>
    <row r="14832" spans="6:8">
      <c r="H14832" t="s">
        <v>31339</v>
      </c>
    </row>
    <row r="14833" spans="6:8">
      <c r="H14833" t="s">
        <v>31342</v>
      </c>
    </row>
    <row r="14834" spans="6:8">
      <c r="H14834" t="s">
        <v>31343</v>
      </c>
    </row>
    <row r="14835" spans="6:8">
      <c r="H14835" t="s">
        <v>31344</v>
      </c>
    </row>
    <row r="14836" spans="6:8">
      <c r="H14836" t="s">
        <v>31369</v>
      </c>
    </row>
    <row r="14837" spans="6:8">
      <c r="H14837" t="s">
        <v>30189</v>
      </c>
    </row>
    <row r="14838" spans="6:8">
      <c r="H14838" t="s">
        <v>30188</v>
      </c>
    </row>
    <row r="14839" spans="6:8">
      <c r="H14839" t="s">
        <v>30187</v>
      </c>
    </row>
    <row r="14840" spans="6:8">
      <c r="H14840" t="s">
        <v>30192</v>
      </c>
    </row>
    <row r="14841" spans="6:8">
      <c r="H14841" t="s">
        <v>30191</v>
      </c>
    </row>
    <row r="14842" spans="6:8">
      <c r="H14842" t="s">
        <v>30190</v>
      </c>
    </row>
    <row r="14843" spans="6:8">
      <c r="H14843" t="s">
        <v>31370</v>
      </c>
    </row>
    <row r="14844" spans="6:8">
      <c r="F14844" t="s">
        <v>13524</v>
      </c>
      <c r="G14844" t="s">
        <v>17639</v>
      </c>
      <c r="H14844" t="s">
        <v>31318</v>
      </c>
    </row>
    <row r="14845" spans="6:8">
      <c r="H14845" t="s">
        <v>31319</v>
      </c>
    </row>
    <row r="14846" spans="6:8">
      <c r="H14846" t="s">
        <v>31320</v>
      </c>
    </row>
    <row r="14847" spans="6:8">
      <c r="H14847" t="s">
        <v>31321</v>
      </c>
    </row>
    <row r="14848" spans="6:8">
      <c r="H14848" t="s">
        <v>31322</v>
      </c>
    </row>
    <row r="14849" spans="1:8">
      <c r="H14849" t="s">
        <v>31323</v>
      </c>
    </row>
    <row r="14850" spans="1:8">
      <c r="H14850" t="s">
        <v>31324</v>
      </c>
    </row>
    <row r="14851" spans="1:8">
      <c r="F14851" t="s">
        <v>13509</v>
      </c>
      <c r="G14851" t="s">
        <v>17626</v>
      </c>
      <c r="H14851" t="s">
        <v>30231</v>
      </c>
    </row>
    <row r="14852" spans="1:8">
      <c r="H14852" t="s">
        <v>30232</v>
      </c>
    </row>
    <row r="14853" spans="1:8">
      <c r="F14853" t="s">
        <v>13733</v>
      </c>
      <c r="G14853" t="s">
        <v>17794</v>
      </c>
      <c r="H14853" t="s">
        <v>18836</v>
      </c>
    </row>
    <row r="14854" spans="1:8">
      <c r="H14854" t="s">
        <v>31300</v>
      </c>
    </row>
    <row r="14855" spans="1:8">
      <c r="H14855" t="s">
        <v>31301</v>
      </c>
    </row>
    <row r="14856" spans="1:8">
      <c r="A14856" t="s">
        <v>2475</v>
      </c>
      <c r="B14856">
        <f>HYPERLINK("https://android.googlesource.com/platform/cts/+/ad030386f8d6cfaa6e259ae7699292400fd0d124", "ad030386f8d6cfaa6e259ae7699292400fd0d124")</f>
        <v>0</v>
      </c>
      <c r="C14856">
        <f>HYPERLINK("https://android.googlesource.com/platform/cts/+/625ece977bb0e6f56570bbcd2f873cba5574fcac", "625ece977bb0e6f56570bbcd2f873cba5574fcac")</f>
        <v>0</v>
      </c>
      <c r="D14856" t="s">
        <v>5359</v>
      </c>
      <c r="E14856" t="s">
        <v>8205</v>
      </c>
      <c r="F14856" t="s">
        <v>13858</v>
      </c>
      <c r="G14856" t="s">
        <v>17900</v>
      </c>
      <c r="H14856" t="s">
        <v>31878</v>
      </c>
    </row>
    <row r="14857" spans="1:8">
      <c r="A14857" t="s">
        <v>2478</v>
      </c>
      <c r="B14857">
        <f>HYPERLINK("https://android.googlesource.com/platform/cts/+/9237adeb4a6000c461bcdb8c78b8cf9e65e549e4", "9237adeb4a6000c461bcdb8c78b8cf9e65e549e4")</f>
        <v>0</v>
      </c>
      <c r="C14857">
        <f>HYPERLINK("https://android.googlesource.com/platform/cts/+/8120aad04030115551af13ac20d68f2557add000", "8120aad04030115551af13ac20d68f2557add000")</f>
        <v>0</v>
      </c>
      <c r="D14857" t="s">
        <v>5247</v>
      </c>
      <c r="E14857" t="s">
        <v>8208</v>
      </c>
      <c r="F14857" t="s">
        <v>13860</v>
      </c>
      <c r="G14857" t="s">
        <v>17902</v>
      </c>
      <c r="H14857" t="s">
        <v>19010</v>
      </c>
    </row>
    <row r="14858" spans="1:8">
      <c r="A14858" t="s">
        <v>2480</v>
      </c>
      <c r="B14858">
        <f>HYPERLINK("https://android.googlesource.com/platform/cts/+/1781e39fc9450de57f1c50c6383e324943e00392", "1781e39fc9450de57f1c50c6383e324943e00392")</f>
        <v>0</v>
      </c>
      <c r="C14858">
        <f>HYPERLINK("https://android.googlesource.com/platform/cts/+/8120aad04030115551af13ac20d68f2557add000", "8120aad04030115551af13ac20d68f2557add000")</f>
        <v>0</v>
      </c>
      <c r="D14858" t="s">
        <v>5247</v>
      </c>
      <c r="E14858" t="s">
        <v>8210</v>
      </c>
      <c r="F14858" t="s">
        <v>13861</v>
      </c>
      <c r="G14858" t="s">
        <v>16783</v>
      </c>
      <c r="H14858" t="s">
        <v>31881</v>
      </c>
    </row>
    <row r="14859" spans="1:8">
      <c r="A14859" t="s">
        <v>2481</v>
      </c>
      <c r="B14859">
        <f>HYPERLINK("https://android.googlesource.com/platform/cts/+/e17aa4c7c0ce302d86af83a8254e7fe037c794a6", "e17aa4c7c0ce302d86af83a8254e7fe037c794a6")</f>
        <v>0</v>
      </c>
      <c r="C14859">
        <f>HYPERLINK("https://android.googlesource.com/platform/cts/+/8120aad04030115551af13ac20d68f2557add000", "8120aad04030115551af13ac20d68f2557add000")</f>
        <v>0</v>
      </c>
      <c r="D14859" t="s">
        <v>5247</v>
      </c>
      <c r="E14859" t="s">
        <v>8211</v>
      </c>
      <c r="F14859" t="s">
        <v>13862</v>
      </c>
      <c r="G14859" t="s">
        <v>15054</v>
      </c>
      <c r="H14859" t="s">
        <v>31882</v>
      </c>
    </row>
    <row r="14860" spans="1:8">
      <c r="A14860" t="s">
        <v>2482</v>
      </c>
      <c r="B14860">
        <f>HYPERLINK("https://android.googlesource.com/platform/cts/+/d875dca3272cf51a2232eed89f6013b623e4c3fa", "d875dca3272cf51a2232eed89f6013b623e4c3fa")</f>
        <v>0</v>
      </c>
      <c r="C14860">
        <f>HYPERLINK("https://android.googlesource.com/platform/cts/+/6346960caa1ca2f299f7d2a9aa8ef2f8e18c1888", "6346960caa1ca2f299f7d2a9aa8ef2f8e18c1888")</f>
        <v>0</v>
      </c>
      <c r="D14860" t="s">
        <v>5040</v>
      </c>
      <c r="E14860" t="s">
        <v>8212</v>
      </c>
      <c r="F14860" t="s">
        <v>12344</v>
      </c>
      <c r="G14860" t="s">
        <v>16572</v>
      </c>
      <c r="H14860" t="s">
        <v>31888</v>
      </c>
    </row>
    <row r="14861" spans="1:8">
      <c r="A14861" t="s">
        <v>2485</v>
      </c>
      <c r="B14861">
        <f>HYPERLINK("https://android.googlesource.com/platform/cts/+/5584f6efc6f454b053f4a4ac2ecdc4be0dff15be", "5584f6efc6f454b053f4a4ac2ecdc4be0dff15be")</f>
        <v>0</v>
      </c>
      <c r="C14861">
        <f>HYPERLINK("https://android.googlesource.com/platform/cts/+/0eff16732452266be698cae749d5bd47e4997d10", "0eff16732452266be698cae749d5bd47e4997d10")</f>
        <v>0</v>
      </c>
      <c r="D14861" t="s">
        <v>5134</v>
      </c>
      <c r="E14861" t="s">
        <v>8215</v>
      </c>
      <c r="F14861" t="s">
        <v>13863</v>
      </c>
      <c r="G14861" t="s">
        <v>17903</v>
      </c>
      <c r="H14861" t="s">
        <v>31892</v>
      </c>
    </row>
    <row r="14862" spans="1:8">
      <c r="A14862" t="s">
        <v>2488</v>
      </c>
      <c r="B14862">
        <f>HYPERLINK("https://android.googlesource.com/platform/cts/+/4c2d2ae1919ef4ddc02cb964f9ef6a4cc1f5cbe7", "4c2d2ae1919ef4ddc02cb964f9ef6a4cc1f5cbe7")</f>
        <v>0</v>
      </c>
      <c r="C14862">
        <f>HYPERLINK("https://android.googlesource.com/platform/cts/+/3ccc176ac71fb14a9a64609d384276b886f9ae6e", "3ccc176ac71fb14a9a64609d384276b886f9ae6e")</f>
        <v>0</v>
      </c>
      <c r="D14862" t="s">
        <v>5051</v>
      </c>
      <c r="E14862" t="s">
        <v>8218</v>
      </c>
      <c r="F14862" t="s">
        <v>13864</v>
      </c>
      <c r="G14862" t="s">
        <v>17904</v>
      </c>
      <c r="H14862" t="s">
        <v>31894</v>
      </c>
    </row>
    <row r="14863" spans="1:8">
      <c r="H14863" t="s">
        <v>31895</v>
      </c>
    </row>
    <row r="14864" spans="1:8">
      <c r="H14864" t="s">
        <v>28786</v>
      </c>
    </row>
    <row r="14865" spans="1:8">
      <c r="H14865" t="s">
        <v>31896</v>
      </c>
    </row>
    <row r="14866" spans="1:8">
      <c r="H14866" t="s">
        <v>31897</v>
      </c>
    </row>
    <row r="14867" spans="1:8">
      <c r="A14867" t="s">
        <v>2489</v>
      </c>
      <c r="B14867">
        <f>HYPERLINK("https://android.googlesource.com/platform/cts/+/68d197d905293ed957c53eeeb8a5b6bf6ea79874", "68d197d905293ed957c53eeeb8a5b6bf6ea79874")</f>
        <v>0</v>
      </c>
      <c r="C14867">
        <f>HYPERLINK("https://android.googlesource.com/platform/cts/+/298e9fc1860f1e59b68d18eb92a061b4dbff7f30", "298e9fc1860f1e59b68d18eb92a061b4dbff7f30")</f>
        <v>0</v>
      </c>
      <c r="D14867" t="s">
        <v>5307</v>
      </c>
      <c r="E14867" t="s">
        <v>8219</v>
      </c>
      <c r="F14867" t="s">
        <v>10624</v>
      </c>
      <c r="G14867" t="s">
        <v>15027</v>
      </c>
      <c r="H14867" t="s">
        <v>31899</v>
      </c>
    </row>
    <row r="14868" spans="1:8">
      <c r="A14868" t="s">
        <v>2492</v>
      </c>
      <c r="B14868">
        <f>HYPERLINK("https://android.googlesource.com/platform/cts/+/d62e80d63800df84590e2926451ccc76929431e4", "d62e80d63800df84590e2926451ccc76929431e4")</f>
        <v>0</v>
      </c>
      <c r="C14868">
        <f>HYPERLINK("https://android.googlesource.com/platform/cts/+/fdaa2581410956db77b46ae969dd70df75d04c29", "fdaa2581410956db77b46ae969dd70df75d04c29")</f>
        <v>0</v>
      </c>
      <c r="D14868" t="s">
        <v>5117</v>
      </c>
      <c r="E14868" t="s">
        <v>8221</v>
      </c>
      <c r="F14868" t="s">
        <v>13866</v>
      </c>
      <c r="G14868" t="s">
        <v>17906</v>
      </c>
      <c r="H14868" t="s">
        <v>31909</v>
      </c>
    </row>
    <row r="14869" spans="1:8">
      <c r="H14869" t="s">
        <v>31910</v>
      </c>
    </row>
    <row r="14870" spans="1:8">
      <c r="H14870" t="s">
        <v>31911</v>
      </c>
    </row>
    <row r="14871" spans="1:8">
      <c r="H14871" t="s">
        <v>31912</v>
      </c>
    </row>
    <row r="14872" spans="1:8">
      <c r="H14872" t="s">
        <v>31913</v>
      </c>
    </row>
    <row r="14873" spans="1:8">
      <c r="H14873" t="s">
        <v>31914</v>
      </c>
    </row>
    <row r="14874" spans="1:8">
      <c r="H14874" t="s">
        <v>31915</v>
      </c>
    </row>
    <row r="14875" spans="1:8">
      <c r="H14875" t="s">
        <v>31916</v>
      </c>
    </row>
    <row r="14876" spans="1:8">
      <c r="H14876" t="s">
        <v>31917</v>
      </c>
    </row>
    <row r="14877" spans="1:8">
      <c r="H14877" t="s">
        <v>31918</v>
      </c>
    </row>
    <row r="14878" spans="1:8">
      <c r="H14878" t="s">
        <v>31919</v>
      </c>
    </row>
    <row r="14879" spans="1:8">
      <c r="H14879" t="s">
        <v>31920</v>
      </c>
    </row>
    <row r="14880" spans="1:8">
      <c r="H14880" t="s">
        <v>31921</v>
      </c>
    </row>
    <row r="14881" spans="1:8">
      <c r="H14881" t="s">
        <v>31922</v>
      </c>
    </row>
    <row r="14882" spans="1:8">
      <c r="H14882" t="s">
        <v>31923</v>
      </c>
    </row>
    <row r="14883" spans="1:8">
      <c r="H14883" t="s">
        <v>31924</v>
      </c>
    </row>
    <row r="14884" spans="1:8">
      <c r="H14884" t="s">
        <v>31925</v>
      </c>
    </row>
    <row r="14885" spans="1:8">
      <c r="H14885" t="s">
        <v>31926</v>
      </c>
    </row>
    <row r="14886" spans="1:8">
      <c r="H14886" t="s">
        <v>31927</v>
      </c>
    </row>
    <row r="14887" spans="1:8">
      <c r="H14887" t="s">
        <v>31928</v>
      </c>
    </row>
    <row r="14888" spans="1:8">
      <c r="H14888" t="s">
        <v>31929</v>
      </c>
    </row>
    <row r="14889" spans="1:8">
      <c r="A14889" t="s">
        <v>2493</v>
      </c>
      <c r="B14889">
        <f>HYPERLINK("https://android.googlesource.com/platform/cts/+/1f42e222d204ef27733ba650799dcaed45ec1bcb", "1f42e222d204ef27733ba650799dcaed45ec1bcb")</f>
        <v>0</v>
      </c>
      <c r="C14889">
        <f>HYPERLINK("https://android.googlesource.com/platform/cts/+/be4f352894a953d6403c0dc40541079baf8a75eb", "be4f352894a953d6403c0dc40541079baf8a75eb")</f>
        <v>0</v>
      </c>
      <c r="D14889" t="s">
        <v>5341</v>
      </c>
      <c r="E14889" t="s">
        <v>8222</v>
      </c>
      <c r="F14889" t="s">
        <v>13827</v>
      </c>
      <c r="G14889" t="s">
        <v>17871</v>
      </c>
      <c r="H14889" t="s">
        <v>31930</v>
      </c>
    </row>
    <row r="14890" spans="1:8">
      <c r="H14890" t="s">
        <v>31931</v>
      </c>
    </row>
    <row r="14891" spans="1:8">
      <c r="A14891" t="s">
        <v>2494</v>
      </c>
      <c r="B14891">
        <f>HYPERLINK("https://android.googlesource.com/platform/cts/+/7b461aa75d595e23a1bdecfff1dd7a5b279e2f37", "7b461aa75d595e23a1bdecfff1dd7a5b279e2f37")</f>
        <v>0</v>
      </c>
      <c r="C14891">
        <f>HYPERLINK("https://android.googlesource.com/platform/cts/+/a37bdc77455dc6be0be2b8321c8e2fc4bbd7c5e8", "a37bdc77455dc6be0be2b8321c8e2fc4bbd7c5e8")</f>
        <v>0</v>
      </c>
      <c r="D14891" t="s">
        <v>5403</v>
      </c>
      <c r="E14891" t="s">
        <v>8223</v>
      </c>
      <c r="F14891" t="s">
        <v>13867</v>
      </c>
      <c r="G14891" t="s">
        <v>15101</v>
      </c>
      <c r="H14891" t="s">
        <v>31932</v>
      </c>
    </row>
    <row r="14892" spans="1:8">
      <c r="A14892" t="s">
        <v>2495</v>
      </c>
      <c r="B14892">
        <f>HYPERLINK("https://android.googlesource.com/platform/cts/+/263fd9852838d90de620b8ca33e9d885f99339b6", "263fd9852838d90de620b8ca33e9d885f99339b6")</f>
        <v>0</v>
      </c>
      <c r="C14892">
        <f>HYPERLINK("https://android.googlesource.com/platform/cts/+/056907a75762e2beaaf0c2bb57b95f55a3d01b0e", "056907a75762e2beaaf0c2bb57b95f55a3d01b0e")</f>
        <v>0</v>
      </c>
      <c r="D14892" t="s">
        <v>5403</v>
      </c>
      <c r="E14892" t="s">
        <v>8224</v>
      </c>
      <c r="F14892" t="s">
        <v>13867</v>
      </c>
      <c r="G14892" t="s">
        <v>15101</v>
      </c>
      <c r="H14892" t="s">
        <v>31932</v>
      </c>
    </row>
    <row r="14893" spans="1:8">
      <c r="A14893" t="s">
        <v>2496</v>
      </c>
      <c r="B14893">
        <f>HYPERLINK("https://android.googlesource.com/platform/cts/+/9d9091092eb19d636be723fb85ef95c89989343a", "9d9091092eb19d636be723fb85ef95c89989343a")</f>
        <v>0</v>
      </c>
      <c r="C14893">
        <f>HYPERLINK("https://android.googlesource.com/platform/cts/+/2f3ddc5630f9a06be9b1a4845323d353d26fccce", "2f3ddc5630f9a06be9b1a4845323d353d26fccce")</f>
        <v>0</v>
      </c>
      <c r="D14893" t="s">
        <v>5135</v>
      </c>
      <c r="E14893" t="s">
        <v>8225</v>
      </c>
      <c r="F14893" t="s">
        <v>13735</v>
      </c>
      <c r="G14893" t="s">
        <v>16637</v>
      </c>
      <c r="H14893" t="s">
        <v>31933</v>
      </c>
    </row>
    <row r="14894" spans="1:8">
      <c r="A14894" t="s">
        <v>2497</v>
      </c>
      <c r="B14894">
        <f>HYPERLINK("https://android.googlesource.com/platform/cts/+/fbc481c660258e4115b178920b91cd9bba67caee", "fbc481c660258e4115b178920b91cd9bba67caee")</f>
        <v>0</v>
      </c>
      <c r="C14894">
        <f>HYPERLINK("https://android.googlesource.com/platform/cts/+/0eff16732452266be698cae749d5bd47e4997d10", "0eff16732452266be698cae749d5bd47e4997d10")</f>
        <v>0</v>
      </c>
      <c r="D14894" t="s">
        <v>5404</v>
      </c>
      <c r="E14894" t="s">
        <v>8226</v>
      </c>
      <c r="F14894" t="s">
        <v>13666</v>
      </c>
      <c r="G14894" t="s">
        <v>17738</v>
      </c>
      <c r="H14894" t="s">
        <v>31935</v>
      </c>
    </row>
    <row r="14895" spans="1:8">
      <c r="A14895" t="s">
        <v>2498</v>
      </c>
      <c r="B14895">
        <f>HYPERLINK("https://android.googlesource.com/platform/cts/+/8167a8f78993e20ef90ef64bd3728192ffa86a3b", "8167a8f78993e20ef90ef64bd3728192ffa86a3b")</f>
        <v>0</v>
      </c>
      <c r="C14895">
        <f>HYPERLINK("https://android.googlesource.com/platform/cts/+/5167483b6985cae774aa31b6fd6350970fca0548", "5167483b6985cae774aa31b6fd6350970fca0548")</f>
        <v>0</v>
      </c>
      <c r="D14895" t="s">
        <v>5405</v>
      </c>
      <c r="E14895" t="s">
        <v>8227</v>
      </c>
      <c r="F14895" t="s">
        <v>13868</v>
      </c>
      <c r="G14895" t="s">
        <v>17907</v>
      </c>
      <c r="H14895" t="s">
        <v>31936</v>
      </c>
    </row>
    <row r="14896" spans="1:8">
      <c r="H14896" t="s">
        <v>31937</v>
      </c>
    </row>
    <row r="14897" spans="1:8">
      <c r="H14897" t="s">
        <v>31938</v>
      </c>
    </row>
    <row r="14898" spans="1:8">
      <c r="A14898" t="s">
        <v>2499</v>
      </c>
      <c r="B14898">
        <f>HYPERLINK("https://android.googlesource.com/platform/cts/+/6426497aac945a3b98c5f5191b9c2ac366d221e9", "6426497aac945a3b98c5f5191b9c2ac366d221e9")</f>
        <v>0</v>
      </c>
      <c r="C14898">
        <f>HYPERLINK("https://android.googlesource.com/platform/cts/+/a33cab94c9b1d11807afe3301034fca77879d9d4", "a33cab94c9b1d11807afe3301034fca77879d9d4")</f>
        <v>0</v>
      </c>
      <c r="D14898" t="s">
        <v>5406</v>
      </c>
      <c r="E14898" t="s">
        <v>8228</v>
      </c>
      <c r="F14898" t="s">
        <v>13869</v>
      </c>
      <c r="G14898" t="s">
        <v>17908</v>
      </c>
      <c r="H14898" t="s">
        <v>31939</v>
      </c>
    </row>
    <row r="14899" spans="1:8">
      <c r="A14899" t="s">
        <v>2500</v>
      </c>
      <c r="B14899">
        <f>HYPERLINK("https://android.googlesource.com/platform/cts/+/86a0e784f75d160243c12407843bd2f3974b4cd0", "86a0e784f75d160243c12407843bd2f3974b4cd0")</f>
        <v>0</v>
      </c>
      <c r="C14899">
        <f>HYPERLINK("https://android.googlesource.com/platform/cts/+/3838652df170db625544812a3e327b43b1b66d79", "3838652df170db625544812a3e327b43b1b66d79")</f>
        <v>0</v>
      </c>
      <c r="D14899" t="s">
        <v>5108</v>
      </c>
      <c r="E14899" t="s">
        <v>8229</v>
      </c>
      <c r="F14899" t="s">
        <v>13229</v>
      </c>
      <c r="G14899" t="s">
        <v>17370</v>
      </c>
      <c r="H14899" t="s">
        <v>31940</v>
      </c>
    </row>
    <row r="14900" spans="1:8">
      <c r="A14900" t="s">
        <v>2502</v>
      </c>
      <c r="B14900">
        <f>HYPERLINK("https://android.googlesource.com/platform/cts/+/814edd52037ebde50dea49a2b9fb80e9abf14948", "814edd52037ebde50dea49a2b9fb80e9abf14948")</f>
        <v>0</v>
      </c>
      <c r="C14900">
        <f>HYPERLINK("https://android.googlesource.com/platform/cts/+/6d8dcb3f50cae8f79f33d3491d0bbc7566af3601", "6d8dcb3f50cae8f79f33d3491d0bbc7566af3601")</f>
        <v>0</v>
      </c>
      <c r="D14900" t="s">
        <v>5312</v>
      </c>
      <c r="E14900" t="s">
        <v>8231</v>
      </c>
      <c r="F14900" t="s">
        <v>13870</v>
      </c>
      <c r="G14900" t="s">
        <v>17909</v>
      </c>
      <c r="H14900" t="s">
        <v>31947</v>
      </c>
    </row>
    <row r="14901" spans="1:8">
      <c r="H14901" t="s">
        <v>31948</v>
      </c>
    </row>
    <row r="14902" spans="1:8">
      <c r="F14902" t="s">
        <v>13871</v>
      </c>
      <c r="G14902" t="s">
        <v>17910</v>
      </c>
      <c r="H14902" t="s">
        <v>31947</v>
      </c>
    </row>
    <row r="14903" spans="1:8">
      <c r="H14903" t="s">
        <v>31948</v>
      </c>
    </row>
    <row r="14904" spans="1:8">
      <c r="F14904" t="s">
        <v>13872</v>
      </c>
      <c r="G14904" t="s">
        <v>17911</v>
      </c>
      <c r="H14904" t="s">
        <v>31947</v>
      </c>
    </row>
    <row r="14905" spans="1:8">
      <c r="H14905" t="s">
        <v>31948</v>
      </c>
    </row>
    <row r="14906" spans="1:8">
      <c r="F14906" t="s">
        <v>13873</v>
      </c>
      <c r="G14906" t="s">
        <v>17912</v>
      </c>
      <c r="H14906" t="s">
        <v>31947</v>
      </c>
    </row>
    <row r="14907" spans="1:8">
      <c r="H14907" t="s">
        <v>31948</v>
      </c>
    </row>
    <row r="14908" spans="1:8">
      <c r="F14908" t="s">
        <v>13874</v>
      </c>
      <c r="G14908" t="s">
        <v>17913</v>
      </c>
      <c r="H14908" t="s">
        <v>31947</v>
      </c>
    </row>
    <row r="14909" spans="1:8">
      <c r="H14909" t="s">
        <v>31948</v>
      </c>
    </row>
    <row r="14910" spans="1:8">
      <c r="F14910" t="s">
        <v>13875</v>
      </c>
      <c r="G14910" t="s">
        <v>17914</v>
      </c>
      <c r="H14910" t="s">
        <v>31947</v>
      </c>
    </row>
    <row r="14911" spans="1:8">
      <c r="H14911" t="s">
        <v>31948</v>
      </c>
    </row>
    <row r="14912" spans="1:8">
      <c r="F14912" t="s">
        <v>13876</v>
      </c>
      <c r="G14912" t="s">
        <v>17915</v>
      </c>
      <c r="H14912" t="s">
        <v>31947</v>
      </c>
    </row>
    <row r="14913" spans="6:8">
      <c r="H14913" t="s">
        <v>31948</v>
      </c>
    </row>
    <row r="14914" spans="6:8">
      <c r="F14914" t="s">
        <v>13877</v>
      </c>
      <c r="G14914" t="s">
        <v>17916</v>
      </c>
      <c r="H14914" t="s">
        <v>31947</v>
      </c>
    </row>
    <row r="14915" spans="6:8">
      <c r="H14915" t="s">
        <v>31948</v>
      </c>
    </row>
    <row r="14916" spans="6:8">
      <c r="F14916" t="s">
        <v>13878</v>
      </c>
      <c r="G14916" t="s">
        <v>17917</v>
      </c>
      <c r="H14916" t="s">
        <v>31947</v>
      </c>
    </row>
    <row r="14917" spans="6:8">
      <c r="H14917" t="s">
        <v>31948</v>
      </c>
    </row>
    <row r="14918" spans="6:8">
      <c r="F14918" t="s">
        <v>13879</v>
      </c>
      <c r="G14918" t="s">
        <v>17918</v>
      </c>
      <c r="H14918" t="s">
        <v>31947</v>
      </c>
    </row>
    <row r="14919" spans="6:8">
      <c r="H14919" t="s">
        <v>31948</v>
      </c>
    </row>
    <row r="14920" spans="6:8">
      <c r="F14920" t="s">
        <v>13880</v>
      </c>
      <c r="G14920" t="s">
        <v>17919</v>
      </c>
      <c r="H14920" t="s">
        <v>31947</v>
      </c>
    </row>
    <row r="14921" spans="6:8">
      <c r="H14921" t="s">
        <v>31948</v>
      </c>
    </row>
    <row r="14922" spans="6:8">
      <c r="F14922" t="s">
        <v>13881</v>
      </c>
      <c r="G14922" t="s">
        <v>17920</v>
      </c>
      <c r="H14922" t="s">
        <v>31947</v>
      </c>
    </row>
    <row r="14923" spans="6:8">
      <c r="H14923" t="s">
        <v>31948</v>
      </c>
    </row>
    <row r="14924" spans="6:8">
      <c r="F14924" t="s">
        <v>13882</v>
      </c>
      <c r="G14924" t="s">
        <v>17921</v>
      </c>
      <c r="H14924" t="s">
        <v>31947</v>
      </c>
    </row>
    <row r="14925" spans="6:8">
      <c r="H14925" t="s">
        <v>31948</v>
      </c>
    </row>
    <row r="14926" spans="6:8">
      <c r="F14926" t="s">
        <v>13883</v>
      </c>
      <c r="G14926" t="s">
        <v>17922</v>
      </c>
      <c r="H14926" t="s">
        <v>31947</v>
      </c>
    </row>
    <row r="14927" spans="6:8">
      <c r="H14927" t="s">
        <v>31948</v>
      </c>
    </row>
    <row r="14928" spans="6:8">
      <c r="F14928" t="s">
        <v>13884</v>
      </c>
      <c r="G14928" t="s">
        <v>17923</v>
      </c>
      <c r="H14928" t="s">
        <v>31947</v>
      </c>
    </row>
    <row r="14929" spans="1:8">
      <c r="H14929" t="s">
        <v>31948</v>
      </c>
    </row>
    <row r="14930" spans="1:8">
      <c r="F14930" t="s">
        <v>13885</v>
      </c>
      <c r="G14930" t="s">
        <v>17924</v>
      </c>
      <c r="H14930" t="s">
        <v>31947</v>
      </c>
    </row>
    <row r="14931" spans="1:8">
      <c r="H14931" t="s">
        <v>31948</v>
      </c>
    </row>
    <row r="14932" spans="1:8">
      <c r="F14932" t="s">
        <v>13886</v>
      </c>
      <c r="G14932" t="s">
        <v>17925</v>
      </c>
      <c r="H14932" t="s">
        <v>31947</v>
      </c>
    </row>
    <row r="14933" spans="1:8">
      <c r="H14933" t="s">
        <v>31948</v>
      </c>
    </row>
    <row r="14934" spans="1:8">
      <c r="A14934" t="s">
        <v>2503</v>
      </c>
      <c r="B14934">
        <f>HYPERLINK("https://android.googlesource.com/platform/cts/+/9071aecab39f54bafa68d664252ceba3e81f245e", "9071aecab39f54bafa68d664252ceba3e81f245e")</f>
        <v>0</v>
      </c>
      <c r="C14934">
        <f>HYPERLINK("https://android.googlesource.com/platform/cts/+/6d8dcb3f50cae8f79f33d3491d0bbc7566af3601", "6d8dcb3f50cae8f79f33d3491d0bbc7566af3601")</f>
        <v>0</v>
      </c>
      <c r="D14934" t="s">
        <v>5407</v>
      </c>
      <c r="E14934" t="s">
        <v>8232</v>
      </c>
      <c r="F14934" t="s">
        <v>13887</v>
      </c>
      <c r="G14934" t="s">
        <v>17319</v>
      </c>
      <c r="H14934" t="s">
        <v>31955</v>
      </c>
    </row>
    <row r="14935" spans="1:8">
      <c r="H14935" t="s">
        <v>31956</v>
      </c>
    </row>
    <row r="14936" spans="1:8">
      <c r="H14936" t="s">
        <v>31958</v>
      </c>
    </row>
    <row r="14937" spans="1:8">
      <c r="H14937" t="s">
        <v>31959</v>
      </c>
    </row>
    <row r="14938" spans="1:8">
      <c r="A14938" t="s">
        <v>2505</v>
      </c>
      <c r="B14938">
        <f>HYPERLINK("https://android.googlesource.com/platform/cts/+/34c1669f7d1b7d2d3248f999b04ced79c6da4c28", "34c1669f7d1b7d2d3248f999b04ced79c6da4c28")</f>
        <v>0</v>
      </c>
      <c r="C14938">
        <f>HYPERLINK("https://android.googlesource.com/platform/cts/+/0d87fda7c9078320c6efa0a06abd20cf24375222", "0d87fda7c9078320c6efa0a06abd20cf24375222")</f>
        <v>0</v>
      </c>
      <c r="D14938" t="s">
        <v>4949</v>
      </c>
      <c r="E14938" t="s">
        <v>8234</v>
      </c>
      <c r="F14938" t="s">
        <v>13767</v>
      </c>
      <c r="G14938" t="s">
        <v>17824</v>
      </c>
      <c r="H14938" t="s">
        <v>31962</v>
      </c>
    </row>
    <row r="14939" spans="1:8">
      <c r="A14939" t="s">
        <v>2508</v>
      </c>
      <c r="B14939">
        <f>HYPERLINK("https://android.googlesource.com/platform/cts/+/79eec7ff7f65bce1814caa145de48c6d89b6a7f4", "79eec7ff7f65bce1814caa145de48c6d89b6a7f4")</f>
        <v>0</v>
      </c>
      <c r="C14939">
        <f>HYPERLINK("https://android.googlesource.com/platform/cts/+/c81749d27631ff706e0bd6e061f5f85405a4b0c5", "c81749d27631ff706e0bd6e061f5f85405a4b0c5")</f>
        <v>0</v>
      </c>
      <c r="D14939" t="s">
        <v>5408</v>
      </c>
      <c r="E14939" t="s">
        <v>8237</v>
      </c>
      <c r="F14939" t="s">
        <v>13160</v>
      </c>
      <c r="G14939" t="s">
        <v>17311</v>
      </c>
      <c r="H14939" t="s">
        <v>31965</v>
      </c>
    </row>
    <row r="14940" spans="1:8">
      <c r="A14940" t="s">
        <v>2509</v>
      </c>
      <c r="B14940">
        <f>HYPERLINK("https://android.googlesource.com/platform/cts/+/e28f1d138f354f3e32bb7f180ca8dcac807ba98e", "e28f1d138f354f3e32bb7f180ca8dcac807ba98e")</f>
        <v>0</v>
      </c>
      <c r="C14940">
        <f>HYPERLINK("https://android.googlesource.com/platform/cts/+/4c9697d822f0b595d7f53f27001ed94e57d95754", "4c9697d822f0b595d7f53f27001ed94e57d95754")</f>
        <v>0</v>
      </c>
      <c r="D14940" t="s">
        <v>5390</v>
      </c>
      <c r="E14940" t="s">
        <v>8238</v>
      </c>
      <c r="F14940" t="s">
        <v>13837</v>
      </c>
      <c r="G14940" t="s">
        <v>17880</v>
      </c>
      <c r="H14940" t="s">
        <v>31966</v>
      </c>
    </row>
    <row r="14941" spans="1:8">
      <c r="H14941" t="s">
        <v>31974</v>
      </c>
    </row>
    <row r="14942" spans="1:8">
      <c r="H14942" t="s">
        <v>31975</v>
      </c>
    </row>
    <row r="14943" spans="1:8">
      <c r="H14943" t="s">
        <v>31976</v>
      </c>
    </row>
    <row r="14944" spans="1:8">
      <c r="H14944" t="s">
        <v>31977</v>
      </c>
    </row>
    <row r="14945" spans="1:8">
      <c r="H14945" t="s">
        <v>31978</v>
      </c>
    </row>
    <row r="14946" spans="1:8">
      <c r="H14946" t="s">
        <v>31979</v>
      </c>
    </row>
    <row r="14947" spans="1:8">
      <c r="A14947" t="s">
        <v>2510</v>
      </c>
      <c r="B14947">
        <f>HYPERLINK("https://android.googlesource.com/platform/cts/+/d16a6954d193197a171635e8eb913fad85b547ce", "d16a6954d193197a171635e8eb913fad85b547ce")</f>
        <v>0</v>
      </c>
      <c r="C14947">
        <f>HYPERLINK("https://android.googlesource.com/platform/cts/+/e17f395c22a7b70e237bac66db84d0f22d4b65dd", "e17f395c22a7b70e237bac66db84d0f22d4b65dd")</f>
        <v>0</v>
      </c>
      <c r="D14947" t="s">
        <v>5409</v>
      </c>
      <c r="E14947" t="s">
        <v>8239</v>
      </c>
      <c r="F14947" t="s">
        <v>12629</v>
      </c>
      <c r="G14947" t="s">
        <v>16838</v>
      </c>
      <c r="H14947" t="s">
        <v>31980</v>
      </c>
    </row>
    <row r="14948" spans="1:8">
      <c r="A14948" t="s">
        <v>2512</v>
      </c>
      <c r="B14948">
        <f>HYPERLINK("https://android.googlesource.com/platform/cts/+/c7a5d5a5d3e6f6a6e7e05f93f4ed848ec49a687f", "c7a5d5a5d3e6f6a6e7e05f93f4ed848ec49a687f")</f>
        <v>0</v>
      </c>
      <c r="C14948">
        <f>HYPERLINK("https://android.googlesource.com/platform/cts/+/5d88e09414e0b0a1b5acbac306ea614d5087da60", "5d88e09414e0b0a1b5acbac306ea614d5087da60")</f>
        <v>0</v>
      </c>
      <c r="D14948" t="s">
        <v>4981</v>
      </c>
      <c r="E14948" t="s">
        <v>8241</v>
      </c>
      <c r="F14948" t="s">
        <v>13727</v>
      </c>
      <c r="G14948" t="s">
        <v>17789</v>
      </c>
      <c r="H14948" t="s">
        <v>31981</v>
      </c>
    </row>
    <row r="14949" spans="1:8">
      <c r="F14949" t="s">
        <v>13889</v>
      </c>
      <c r="G14949" t="s">
        <v>17926</v>
      </c>
      <c r="H14949" t="s">
        <v>31982</v>
      </c>
    </row>
    <row r="14950" spans="1:8">
      <c r="F14950" t="s">
        <v>13890</v>
      </c>
      <c r="G14950" t="s">
        <v>17927</v>
      </c>
      <c r="H14950" t="s">
        <v>31983</v>
      </c>
    </row>
    <row r="14951" spans="1:8">
      <c r="F14951" t="s">
        <v>13775</v>
      </c>
      <c r="G14951" t="s">
        <v>17830</v>
      </c>
      <c r="H14951" t="s">
        <v>31984</v>
      </c>
    </row>
    <row r="14952" spans="1:8">
      <c r="F14952" t="s">
        <v>13678</v>
      </c>
      <c r="G14952" t="s">
        <v>17748</v>
      </c>
      <c r="H14952" t="s">
        <v>31984</v>
      </c>
    </row>
    <row r="14953" spans="1:8">
      <c r="F14953" t="s">
        <v>13891</v>
      </c>
      <c r="G14953" t="s">
        <v>17928</v>
      </c>
      <c r="H14953" t="s">
        <v>31985</v>
      </c>
    </row>
    <row r="14954" spans="1:8">
      <c r="A14954" t="s">
        <v>2515</v>
      </c>
      <c r="B14954">
        <f>HYPERLINK("https://android.googlesource.com/platform/cts/+/b339a858b63996d5ccc12bd0aa9fded9162b5fb8", "b339a858b63996d5ccc12bd0aa9fded9162b5fb8")</f>
        <v>0</v>
      </c>
      <c r="C14954">
        <f>HYPERLINK("https://android.googlesource.com/platform/cts/+/a5396d3130da17581a2adb35f6963f4d1a4558f1", "a5396d3130da17581a2adb35f6963f4d1a4558f1")</f>
        <v>0</v>
      </c>
      <c r="D14954" t="s">
        <v>5390</v>
      </c>
      <c r="E14954" t="s">
        <v>8244</v>
      </c>
      <c r="F14954" t="s">
        <v>13837</v>
      </c>
      <c r="G14954" t="s">
        <v>17880</v>
      </c>
      <c r="H14954" t="s">
        <v>31966</v>
      </c>
    </row>
    <row r="14955" spans="1:8">
      <c r="H14955" t="s">
        <v>31974</v>
      </c>
    </row>
    <row r="14956" spans="1:8">
      <c r="H14956" t="s">
        <v>31975</v>
      </c>
    </row>
    <row r="14957" spans="1:8">
      <c r="H14957" t="s">
        <v>31976</v>
      </c>
    </row>
    <row r="14958" spans="1:8">
      <c r="H14958" t="s">
        <v>31977</v>
      </c>
    </row>
    <row r="14959" spans="1:8">
      <c r="H14959" t="s">
        <v>31978</v>
      </c>
    </row>
    <row r="14960" spans="1:8">
      <c r="H14960" t="s">
        <v>31979</v>
      </c>
    </row>
    <row r="14961" spans="1:8">
      <c r="A14961" t="s">
        <v>2516</v>
      </c>
      <c r="B14961">
        <f>HYPERLINK("https://android.googlesource.com/platform/cts/+/e63ece3278eab43bea6ffab48326d60103d0e79e", "e63ece3278eab43bea6ffab48326d60103d0e79e")</f>
        <v>0</v>
      </c>
      <c r="C14961">
        <f>HYPERLINK("https://android.googlesource.com/platform/cts/+/aa6f7390b80d198fc6915508d5727af1dd2dd165", "aa6f7390b80d198fc6915508d5727af1dd2dd165")</f>
        <v>0</v>
      </c>
      <c r="D14961" t="s">
        <v>5180</v>
      </c>
      <c r="E14961" t="s">
        <v>8245</v>
      </c>
      <c r="F14961" t="s">
        <v>13506</v>
      </c>
      <c r="G14961" t="s">
        <v>17623</v>
      </c>
      <c r="H14961" t="s">
        <v>31988</v>
      </c>
    </row>
    <row r="14962" spans="1:8">
      <c r="F14962" t="s">
        <v>13893</v>
      </c>
      <c r="G14962" t="s">
        <v>17930</v>
      </c>
      <c r="H14962" t="s">
        <v>31989</v>
      </c>
    </row>
    <row r="14963" spans="1:8">
      <c r="H14963" t="s">
        <v>31990</v>
      </c>
    </row>
    <row r="14964" spans="1:8">
      <c r="H14964" t="s">
        <v>31991</v>
      </c>
    </row>
    <row r="14965" spans="1:8">
      <c r="A14965" t="s">
        <v>2517</v>
      </c>
      <c r="B14965">
        <f>HYPERLINK("https://android.googlesource.com/platform/cts/+/2b3f20dd424487d034bfdb84e7f5587b34c1d314", "2b3f20dd424487d034bfdb84e7f5587b34c1d314")</f>
        <v>0</v>
      </c>
      <c r="C14965">
        <f>HYPERLINK("https://android.googlesource.com/platform/cts/+/17a6893c375da8129c2e75361bafac83432f4e6d", "17a6893c375da8129c2e75361bafac83432f4e6d")</f>
        <v>0</v>
      </c>
      <c r="D14965" t="s">
        <v>5332</v>
      </c>
      <c r="E14965" t="s">
        <v>8246</v>
      </c>
      <c r="F14965" t="s">
        <v>13894</v>
      </c>
      <c r="G14965" t="s">
        <v>17931</v>
      </c>
      <c r="H14965" t="s">
        <v>31992</v>
      </c>
    </row>
    <row r="14966" spans="1:8">
      <c r="A14966" t="s">
        <v>2519</v>
      </c>
      <c r="B14966">
        <f>HYPERLINK("https://android.googlesource.com/platform/cts/+/ceb4aa2d26c9d25ce722ed2008731afb44b499aa", "ceb4aa2d26c9d25ce722ed2008731afb44b499aa")</f>
        <v>0</v>
      </c>
      <c r="C14966">
        <f>HYPERLINK("https://android.googlesource.com/platform/cts/+/c1c0a720de8609d6fd4da736edb1cbf4c0ceeacc", "c1c0a720de8609d6fd4da736edb1cbf4c0ceeacc")</f>
        <v>0</v>
      </c>
      <c r="D14966" t="s">
        <v>5410</v>
      </c>
      <c r="E14966" t="s">
        <v>8248</v>
      </c>
      <c r="F14966" t="s">
        <v>13895</v>
      </c>
      <c r="G14966" t="s">
        <v>17932</v>
      </c>
      <c r="H14966" t="s">
        <v>31993</v>
      </c>
    </row>
    <row r="14967" spans="1:8">
      <c r="H14967" t="s">
        <v>31994</v>
      </c>
    </row>
    <row r="14968" spans="1:8">
      <c r="F14968" t="s">
        <v>13896</v>
      </c>
      <c r="G14968" t="s">
        <v>17933</v>
      </c>
      <c r="H14968" t="s">
        <v>31999</v>
      </c>
    </row>
    <row r="14969" spans="1:8">
      <c r="H14969" t="s">
        <v>32000</v>
      </c>
    </row>
    <row r="14970" spans="1:8">
      <c r="H14970" t="s">
        <v>32001</v>
      </c>
    </row>
    <row r="14971" spans="1:8">
      <c r="H14971" t="s">
        <v>32002</v>
      </c>
    </row>
    <row r="14972" spans="1:8">
      <c r="H14972" t="s">
        <v>32003</v>
      </c>
    </row>
    <row r="14973" spans="1:8">
      <c r="H14973" t="s">
        <v>32004</v>
      </c>
    </row>
    <row r="14974" spans="1:8">
      <c r="H14974" t="s">
        <v>32005</v>
      </c>
    </row>
    <row r="14975" spans="1:8">
      <c r="F14975" t="s">
        <v>13739</v>
      </c>
      <c r="G14975" t="s">
        <v>17799</v>
      </c>
      <c r="H14975" t="s">
        <v>32008</v>
      </c>
    </row>
    <row r="14976" spans="1:8">
      <c r="H14976" t="s">
        <v>32009</v>
      </c>
    </row>
    <row r="14977" spans="8:8">
      <c r="H14977" t="s">
        <v>32010</v>
      </c>
    </row>
    <row r="14978" spans="8:8">
      <c r="H14978" t="s">
        <v>32011</v>
      </c>
    </row>
    <row r="14979" spans="8:8">
      <c r="H14979" t="s">
        <v>32012</v>
      </c>
    </row>
    <row r="14980" spans="8:8">
      <c r="H14980" t="s">
        <v>32013</v>
      </c>
    </row>
    <row r="14981" spans="8:8">
      <c r="H14981" t="s">
        <v>32014</v>
      </c>
    </row>
    <row r="14982" spans="8:8">
      <c r="H14982" t="s">
        <v>32018</v>
      </c>
    </row>
    <row r="14983" spans="8:8">
      <c r="H14983" t="s">
        <v>31300</v>
      </c>
    </row>
    <row r="14984" spans="8:8">
      <c r="H14984" t="s">
        <v>32019</v>
      </c>
    </row>
    <row r="14985" spans="8:8">
      <c r="H14985" t="s">
        <v>32020</v>
      </c>
    </row>
    <row r="14986" spans="8:8">
      <c r="H14986" t="s">
        <v>32021</v>
      </c>
    </row>
    <row r="14987" spans="8:8">
      <c r="H14987" t="s">
        <v>32022</v>
      </c>
    </row>
    <row r="14988" spans="8:8">
      <c r="H14988" t="s">
        <v>32023</v>
      </c>
    </row>
    <row r="14989" spans="8:8">
      <c r="H14989" t="s">
        <v>32024</v>
      </c>
    </row>
    <row r="14990" spans="8:8">
      <c r="H14990" t="s">
        <v>32031</v>
      </c>
    </row>
    <row r="14991" spans="8:8">
      <c r="H14991" t="s">
        <v>30170</v>
      </c>
    </row>
    <row r="14992" spans="8:8">
      <c r="H14992" t="s">
        <v>32032</v>
      </c>
    </row>
    <row r="14993" spans="8:8">
      <c r="H14993" t="s">
        <v>32033</v>
      </c>
    </row>
    <row r="14994" spans="8:8">
      <c r="H14994" t="s">
        <v>32034</v>
      </c>
    </row>
    <row r="14995" spans="8:8">
      <c r="H14995" t="s">
        <v>32035</v>
      </c>
    </row>
    <row r="14996" spans="8:8">
      <c r="H14996" t="s">
        <v>32037</v>
      </c>
    </row>
    <row r="14997" spans="8:8">
      <c r="H14997" t="s">
        <v>32038</v>
      </c>
    </row>
    <row r="14998" spans="8:8">
      <c r="H14998" t="s">
        <v>32039</v>
      </c>
    </row>
    <row r="14999" spans="8:8">
      <c r="H14999" t="s">
        <v>32040</v>
      </c>
    </row>
    <row r="15000" spans="8:8">
      <c r="H15000" t="s">
        <v>32041</v>
      </c>
    </row>
    <row r="15001" spans="8:8">
      <c r="H15001" t="s">
        <v>32042</v>
      </c>
    </row>
    <row r="15002" spans="8:8">
      <c r="H15002" t="s">
        <v>32043</v>
      </c>
    </row>
    <row r="15003" spans="8:8">
      <c r="H15003" t="s">
        <v>32044</v>
      </c>
    </row>
    <row r="15004" spans="8:8">
      <c r="H15004" t="s">
        <v>32045</v>
      </c>
    </row>
    <row r="15005" spans="8:8">
      <c r="H15005" t="s">
        <v>32046</v>
      </c>
    </row>
    <row r="15006" spans="8:8">
      <c r="H15006" t="s">
        <v>32047</v>
      </c>
    </row>
    <row r="15007" spans="8:8">
      <c r="H15007" t="s">
        <v>32048</v>
      </c>
    </row>
    <row r="15008" spans="8:8">
      <c r="H15008" t="s">
        <v>32049</v>
      </c>
    </row>
    <row r="15009" spans="8:8">
      <c r="H15009" t="s">
        <v>32050</v>
      </c>
    </row>
    <row r="15010" spans="8:8">
      <c r="H15010" t="s">
        <v>32051</v>
      </c>
    </row>
    <row r="15011" spans="8:8">
      <c r="H15011" t="s">
        <v>32052</v>
      </c>
    </row>
    <row r="15012" spans="8:8">
      <c r="H15012" t="s">
        <v>32053</v>
      </c>
    </row>
    <row r="15013" spans="8:8">
      <c r="H15013" t="s">
        <v>32054</v>
      </c>
    </row>
    <row r="15014" spans="8:8">
      <c r="H15014" t="s">
        <v>32055</v>
      </c>
    </row>
    <row r="15015" spans="8:8">
      <c r="H15015" t="s">
        <v>32056</v>
      </c>
    </row>
    <row r="15016" spans="8:8">
      <c r="H15016" t="s">
        <v>32057</v>
      </c>
    </row>
    <row r="15017" spans="8:8">
      <c r="H15017" t="s">
        <v>32058</v>
      </c>
    </row>
    <row r="15018" spans="8:8">
      <c r="H15018" t="s">
        <v>32059</v>
      </c>
    </row>
    <row r="15019" spans="8:8">
      <c r="H15019" t="s">
        <v>32060</v>
      </c>
    </row>
    <row r="15020" spans="8:8">
      <c r="H15020" t="s">
        <v>32061</v>
      </c>
    </row>
    <row r="15021" spans="8:8">
      <c r="H15021" t="s">
        <v>32062</v>
      </c>
    </row>
    <row r="15022" spans="8:8">
      <c r="H15022" t="s">
        <v>32063</v>
      </c>
    </row>
    <row r="15023" spans="8:8">
      <c r="H15023" t="s">
        <v>32064</v>
      </c>
    </row>
    <row r="15024" spans="8:8">
      <c r="H15024" t="s">
        <v>32065</v>
      </c>
    </row>
    <row r="15025" spans="8:8">
      <c r="H15025" t="s">
        <v>32066</v>
      </c>
    </row>
    <row r="15026" spans="8:8">
      <c r="H15026" t="s">
        <v>32067</v>
      </c>
    </row>
    <row r="15027" spans="8:8">
      <c r="H15027" t="s">
        <v>32068</v>
      </c>
    </row>
    <row r="15028" spans="8:8">
      <c r="H15028" t="s">
        <v>32069</v>
      </c>
    </row>
    <row r="15029" spans="8:8">
      <c r="H15029" t="s">
        <v>32070</v>
      </c>
    </row>
    <row r="15030" spans="8:8">
      <c r="H15030" t="s">
        <v>32075</v>
      </c>
    </row>
    <row r="15031" spans="8:8">
      <c r="H15031" t="s">
        <v>32076</v>
      </c>
    </row>
    <row r="15032" spans="8:8">
      <c r="H15032" t="s">
        <v>32077</v>
      </c>
    </row>
    <row r="15033" spans="8:8">
      <c r="H15033" t="s">
        <v>26401</v>
      </c>
    </row>
    <row r="15034" spans="8:8">
      <c r="H15034" t="s">
        <v>32080</v>
      </c>
    </row>
    <row r="15035" spans="8:8">
      <c r="H15035" t="s">
        <v>32083</v>
      </c>
    </row>
    <row r="15036" spans="8:8">
      <c r="H15036" t="s">
        <v>32084</v>
      </c>
    </row>
    <row r="15037" spans="8:8">
      <c r="H15037" t="s">
        <v>32085</v>
      </c>
    </row>
    <row r="15038" spans="8:8">
      <c r="H15038" t="s">
        <v>32086</v>
      </c>
    </row>
    <row r="15039" spans="8:8">
      <c r="H15039" t="s">
        <v>32087</v>
      </c>
    </row>
    <row r="15040" spans="8:8">
      <c r="H15040" t="s">
        <v>30168</v>
      </c>
    </row>
    <row r="15041" spans="6:8">
      <c r="H15041" t="s">
        <v>32088</v>
      </c>
    </row>
    <row r="15042" spans="6:8">
      <c r="H15042" t="s">
        <v>32089</v>
      </c>
    </row>
    <row r="15043" spans="6:8">
      <c r="H15043" t="s">
        <v>32090</v>
      </c>
    </row>
    <row r="15044" spans="6:8">
      <c r="H15044" t="s">
        <v>32091</v>
      </c>
    </row>
    <row r="15045" spans="6:8">
      <c r="H15045" t="s">
        <v>32092</v>
      </c>
    </row>
    <row r="15046" spans="6:8">
      <c r="F15046" t="s">
        <v>13897</v>
      </c>
      <c r="G15046" t="s">
        <v>17934</v>
      </c>
      <c r="H15046" t="s">
        <v>32095</v>
      </c>
    </row>
    <row r="15047" spans="6:8">
      <c r="H15047" t="s">
        <v>32096</v>
      </c>
    </row>
    <row r="15048" spans="6:8">
      <c r="H15048" t="s">
        <v>32097</v>
      </c>
    </row>
    <row r="15049" spans="6:8">
      <c r="H15049" t="s">
        <v>32098</v>
      </c>
    </row>
    <row r="15050" spans="6:8">
      <c r="H15050" t="s">
        <v>32099</v>
      </c>
    </row>
    <row r="15051" spans="6:8">
      <c r="F15051" t="s">
        <v>13732</v>
      </c>
      <c r="G15051" t="s">
        <v>17793</v>
      </c>
      <c r="H15051" t="s">
        <v>20304</v>
      </c>
    </row>
    <row r="15052" spans="6:8">
      <c r="H15052" t="s">
        <v>20305</v>
      </c>
    </row>
    <row r="15053" spans="6:8">
      <c r="H15053" t="s">
        <v>20306</v>
      </c>
    </row>
    <row r="15054" spans="6:8">
      <c r="H15054" t="s">
        <v>20307</v>
      </c>
    </row>
    <row r="15055" spans="6:8">
      <c r="H15055" t="s">
        <v>20308</v>
      </c>
    </row>
    <row r="15056" spans="6:8">
      <c r="H15056" t="s">
        <v>20309</v>
      </c>
    </row>
    <row r="15057" spans="8:8">
      <c r="H15057" t="s">
        <v>20310</v>
      </c>
    </row>
    <row r="15058" spans="8:8">
      <c r="H15058" t="s">
        <v>32100</v>
      </c>
    </row>
    <row r="15059" spans="8:8">
      <c r="H15059" t="s">
        <v>32101</v>
      </c>
    </row>
    <row r="15060" spans="8:8">
      <c r="H15060" t="s">
        <v>32102</v>
      </c>
    </row>
    <row r="15061" spans="8:8">
      <c r="H15061" t="s">
        <v>19646</v>
      </c>
    </row>
    <row r="15062" spans="8:8">
      <c r="H15062" t="s">
        <v>19647</v>
      </c>
    </row>
    <row r="15063" spans="8:8">
      <c r="H15063" t="s">
        <v>19648</v>
      </c>
    </row>
    <row r="15064" spans="8:8">
      <c r="H15064" t="s">
        <v>19649</v>
      </c>
    </row>
    <row r="15065" spans="8:8">
      <c r="H15065" t="s">
        <v>19650</v>
      </c>
    </row>
    <row r="15066" spans="8:8">
      <c r="H15066" t="s">
        <v>19651</v>
      </c>
    </row>
    <row r="15067" spans="8:8">
      <c r="H15067" t="s">
        <v>19652</v>
      </c>
    </row>
    <row r="15068" spans="8:8">
      <c r="H15068" t="s">
        <v>32103</v>
      </c>
    </row>
    <row r="15069" spans="8:8">
      <c r="H15069" t="s">
        <v>32105</v>
      </c>
    </row>
    <row r="15070" spans="8:8">
      <c r="H15070" t="s">
        <v>32106</v>
      </c>
    </row>
    <row r="15071" spans="8:8">
      <c r="H15071" t="s">
        <v>32107</v>
      </c>
    </row>
    <row r="15072" spans="8:8">
      <c r="H15072" t="s">
        <v>32108</v>
      </c>
    </row>
    <row r="15073" spans="1:8">
      <c r="H15073" t="s">
        <v>32111</v>
      </c>
    </row>
    <row r="15074" spans="1:8">
      <c r="A15074" t="s">
        <v>2521</v>
      </c>
      <c r="B15074">
        <f>HYPERLINK("https://android.googlesource.com/platform/cts/+/49748dfcee2d397e7557824cc7bd9750e0fa5f61", "49748dfcee2d397e7557824cc7bd9750e0fa5f61")</f>
        <v>0</v>
      </c>
      <c r="C15074">
        <f>HYPERLINK("https://android.googlesource.com/platform/cts/+/2d9f86920ec6c5e248bfb3b1c579f3096f7cf506", "2d9f86920ec6c5e248bfb3b1c579f3096f7cf506")</f>
        <v>0</v>
      </c>
      <c r="D15074" t="s">
        <v>5134</v>
      </c>
      <c r="E15074" t="s">
        <v>8250</v>
      </c>
      <c r="F15074" t="s">
        <v>13760</v>
      </c>
      <c r="G15074" t="s">
        <v>17811</v>
      </c>
      <c r="H15074" t="s">
        <v>32120</v>
      </c>
    </row>
    <row r="15075" spans="1:8">
      <c r="H15075" t="s">
        <v>32121</v>
      </c>
    </row>
    <row r="15076" spans="1:8">
      <c r="H15076" t="s">
        <v>32122</v>
      </c>
    </row>
    <row r="15077" spans="1:8">
      <c r="H15077" t="s">
        <v>32123</v>
      </c>
    </row>
    <row r="15078" spans="1:8">
      <c r="H15078" t="s">
        <v>32124</v>
      </c>
    </row>
    <row r="15079" spans="1:8">
      <c r="H15079" t="s">
        <v>32125</v>
      </c>
    </row>
    <row r="15080" spans="1:8">
      <c r="F15080" t="s">
        <v>13898</v>
      </c>
      <c r="G15080" t="s">
        <v>17935</v>
      </c>
      <c r="H15080" t="s">
        <v>32120</v>
      </c>
    </row>
    <row r="15081" spans="1:8">
      <c r="H15081" t="s">
        <v>32127</v>
      </c>
    </row>
    <row r="15082" spans="1:8">
      <c r="F15082" t="s">
        <v>13765</v>
      </c>
      <c r="G15082" t="s">
        <v>17822</v>
      </c>
      <c r="H15082" t="s">
        <v>32130</v>
      </c>
    </row>
    <row r="15083" spans="1:8">
      <c r="H15083" t="s">
        <v>32131</v>
      </c>
    </row>
    <row r="15084" spans="1:8">
      <c r="H15084" t="s">
        <v>32132</v>
      </c>
    </row>
    <row r="15085" spans="1:8">
      <c r="H15085" t="s">
        <v>32133</v>
      </c>
    </row>
    <row r="15086" spans="1:8">
      <c r="H15086" t="s">
        <v>32134</v>
      </c>
    </row>
    <row r="15087" spans="1:8">
      <c r="H15087" t="s">
        <v>32135</v>
      </c>
    </row>
    <row r="15088" spans="1:8">
      <c r="H15088" t="s">
        <v>32136</v>
      </c>
    </row>
    <row r="15089" spans="8:8">
      <c r="H15089" t="s">
        <v>32137</v>
      </c>
    </row>
    <row r="15090" spans="8:8">
      <c r="H15090" t="s">
        <v>32138</v>
      </c>
    </row>
    <row r="15091" spans="8:8">
      <c r="H15091" t="s">
        <v>32139</v>
      </c>
    </row>
    <row r="15092" spans="8:8">
      <c r="H15092" t="s">
        <v>32140</v>
      </c>
    </row>
    <row r="15093" spans="8:8">
      <c r="H15093" t="s">
        <v>32141</v>
      </c>
    </row>
    <row r="15094" spans="8:8">
      <c r="H15094" t="s">
        <v>32143</v>
      </c>
    </row>
    <row r="15095" spans="8:8">
      <c r="H15095" t="s">
        <v>32144</v>
      </c>
    </row>
    <row r="15096" spans="8:8">
      <c r="H15096" t="s">
        <v>32145</v>
      </c>
    </row>
    <row r="15097" spans="8:8">
      <c r="H15097" t="s">
        <v>32146</v>
      </c>
    </row>
    <row r="15098" spans="8:8">
      <c r="H15098" t="s">
        <v>32147</v>
      </c>
    </row>
    <row r="15099" spans="8:8">
      <c r="H15099" t="s">
        <v>32148</v>
      </c>
    </row>
    <row r="15100" spans="8:8">
      <c r="H15100" t="s">
        <v>32150</v>
      </c>
    </row>
    <row r="15101" spans="8:8">
      <c r="H15101" t="s">
        <v>32152</v>
      </c>
    </row>
    <row r="15102" spans="8:8">
      <c r="H15102" t="s">
        <v>32153</v>
      </c>
    </row>
    <row r="15103" spans="8:8">
      <c r="H15103" t="s">
        <v>32154</v>
      </c>
    </row>
    <row r="15104" spans="8:8">
      <c r="H15104" t="s">
        <v>32155</v>
      </c>
    </row>
    <row r="15105" spans="6:8">
      <c r="F15105" t="s">
        <v>13756</v>
      </c>
      <c r="G15105" t="s">
        <v>17371</v>
      </c>
      <c r="H15105" t="s">
        <v>32163</v>
      </c>
    </row>
    <row r="15106" spans="6:8">
      <c r="H15106" t="s">
        <v>32164</v>
      </c>
    </row>
    <row r="15107" spans="6:8">
      <c r="H15107" t="s">
        <v>32165</v>
      </c>
    </row>
    <row r="15108" spans="6:8">
      <c r="H15108" t="s">
        <v>32166</v>
      </c>
    </row>
    <row r="15109" spans="6:8">
      <c r="H15109" t="s">
        <v>32167</v>
      </c>
    </row>
    <row r="15110" spans="6:8">
      <c r="H15110" t="s">
        <v>32168</v>
      </c>
    </row>
    <row r="15111" spans="6:8">
      <c r="H15111" t="s">
        <v>32169</v>
      </c>
    </row>
    <row r="15112" spans="6:8">
      <c r="H15112" t="s">
        <v>32170</v>
      </c>
    </row>
    <row r="15113" spans="6:8">
      <c r="H15113" t="s">
        <v>32171</v>
      </c>
    </row>
    <row r="15114" spans="6:8">
      <c r="H15114" t="s">
        <v>32172</v>
      </c>
    </row>
    <row r="15115" spans="6:8">
      <c r="H15115" t="s">
        <v>32173</v>
      </c>
    </row>
    <row r="15116" spans="6:8">
      <c r="H15116" t="s">
        <v>32174</v>
      </c>
    </row>
    <row r="15117" spans="6:8">
      <c r="H15117" t="s">
        <v>32175</v>
      </c>
    </row>
    <row r="15118" spans="6:8">
      <c r="H15118" t="s">
        <v>32176</v>
      </c>
    </row>
    <row r="15119" spans="6:8">
      <c r="H15119" t="s">
        <v>32177</v>
      </c>
    </row>
    <row r="15120" spans="6:8">
      <c r="H15120" t="s">
        <v>32178</v>
      </c>
    </row>
    <row r="15121" spans="1:8">
      <c r="A15121" t="s">
        <v>2524</v>
      </c>
      <c r="B15121">
        <f>HYPERLINK("https://android.googlesource.com/platform/cts/+/6de3cc69c9462f0da94a25ab5ced7b411c1ce3f9", "6de3cc69c9462f0da94a25ab5ced7b411c1ce3f9")</f>
        <v>0</v>
      </c>
      <c r="C15121">
        <f>HYPERLINK("https://android.googlesource.com/platform/cts/+/186f3fc827a2b0ae18a3b9ecef4f802ffb0c30d2", "186f3fc827a2b0ae18a3b9ecef4f802ffb0c30d2")</f>
        <v>0</v>
      </c>
      <c r="D15121" t="s">
        <v>5396</v>
      </c>
      <c r="E15121" t="s">
        <v>8253</v>
      </c>
      <c r="F15121" t="s">
        <v>13846</v>
      </c>
      <c r="G15121" t="s">
        <v>17889</v>
      </c>
      <c r="H15121" t="s">
        <v>32197</v>
      </c>
    </row>
    <row r="15122" spans="1:8">
      <c r="H15122" t="s">
        <v>32198</v>
      </c>
    </row>
    <row r="15123" spans="1:8">
      <c r="F15123" t="s">
        <v>13899</v>
      </c>
      <c r="G15123" t="s">
        <v>17889</v>
      </c>
      <c r="H15123" t="s">
        <v>32197</v>
      </c>
    </row>
    <row r="15124" spans="1:8">
      <c r="H15124" t="s">
        <v>32198</v>
      </c>
    </row>
    <row r="15125" spans="1:8">
      <c r="A15125" t="s">
        <v>2525</v>
      </c>
      <c r="B15125">
        <f>HYPERLINK("https://android.googlesource.com/platform/cts/+/62d71fe94d5391cad1184f3aa0bda0e590e90413", "62d71fe94d5391cad1184f3aa0bda0e590e90413")</f>
        <v>0</v>
      </c>
      <c r="C15125">
        <f>HYPERLINK("https://android.googlesource.com/platform/cts/+/c0de7393e0ddf9b62d5adc76e906c445966f6472", "c0de7393e0ddf9b62d5adc76e906c445966f6472")</f>
        <v>0</v>
      </c>
      <c r="D15125" t="s">
        <v>5122</v>
      </c>
      <c r="E15125" t="s">
        <v>8254</v>
      </c>
      <c r="F15125" t="s">
        <v>13781</v>
      </c>
      <c r="G15125" t="s">
        <v>17835</v>
      </c>
      <c r="H15125" t="s">
        <v>32199</v>
      </c>
    </row>
    <row r="15126" spans="1:8">
      <c r="H15126" t="s">
        <v>32200</v>
      </c>
    </row>
    <row r="15127" spans="1:8">
      <c r="H15127" t="s">
        <v>32201</v>
      </c>
    </row>
    <row r="15128" spans="1:8">
      <c r="H15128" t="s">
        <v>32202</v>
      </c>
    </row>
    <row r="15129" spans="1:8">
      <c r="A15129" t="s">
        <v>2526</v>
      </c>
      <c r="B15129">
        <f>HYPERLINK("https://android.googlesource.com/platform/cts/+/e7ca1e87bb99bdb344b8e4d927aa904b10c0d65e", "e7ca1e87bb99bdb344b8e4d927aa904b10c0d65e")</f>
        <v>0</v>
      </c>
      <c r="C15129">
        <f>HYPERLINK("https://android.googlesource.com/platform/cts/+/5e0196d6b63161ac6834bb63a19d5cabbd9d56a8", "5e0196d6b63161ac6834bb63a19d5cabbd9d56a8")</f>
        <v>0</v>
      </c>
      <c r="D15129" t="s">
        <v>5027</v>
      </c>
      <c r="E15129" t="s">
        <v>8255</v>
      </c>
      <c r="F15129" t="s">
        <v>13900</v>
      </c>
      <c r="G15129" t="s">
        <v>17937</v>
      </c>
      <c r="H15129" t="s">
        <v>30030</v>
      </c>
    </row>
    <row r="15130" spans="1:8">
      <c r="H15130" t="s">
        <v>32206</v>
      </c>
    </row>
    <row r="15131" spans="1:8">
      <c r="H15131" t="s">
        <v>32207</v>
      </c>
    </row>
    <row r="15132" spans="1:8">
      <c r="H15132" t="s">
        <v>32208</v>
      </c>
    </row>
    <row r="15133" spans="1:8">
      <c r="H15133" t="s">
        <v>19013</v>
      </c>
    </row>
    <row r="15134" spans="1:8">
      <c r="H15134" t="s">
        <v>18835</v>
      </c>
    </row>
    <row r="15135" spans="1:8">
      <c r="A15135" t="s">
        <v>2527</v>
      </c>
      <c r="B15135">
        <f>HYPERLINK("https://android.googlesource.com/platform/cts/+/22a57d190517473014c10aa64718631f18adc608", "22a57d190517473014c10aa64718631f18adc608")</f>
        <v>0</v>
      </c>
      <c r="C15135">
        <f>HYPERLINK("https://android.googlesource.com/platform/cts/+/3ea8a7e22fd24b328e5f54edeac4a05154f89cc0", "3ea8a7e22fd24b328e5f54edeac4a05154f89cc0")</f>
        <v>0</v>
      </c>
      <c r="D15135" t="s">
        <v>5182</v>
      </c>
      <c r="E15135" t="s">
        <v>8256</v>
      </c>
      <c r="F15135" t="s">
        <v>13901</v>
      </c>
      <c r="G15135" t="s">
        <v>17938</v>
      </c>
      <c r="H15135" t="s">
        <v>32209</v>
      </c>
    </row>
    <row r="15136" spans="1:8">
      <c r="H15136" t="s">
        <v>32210</v>
      </c>
    </row>
    <row r="15137" spans="1:8">
      <c r="A15137" t="s">
        <v>2528</v>
      </c>
      <c r="B15137">
        <f>HYPERLINK("https://android.googlesource.com/platform/cts/+/5d533ed09e77e5a0ff24ff55de869df118bc506e", "5d533ed09e77e5a0ff24ff55de869df118bc506e")</f>
        <v>0</v>
      </c>
      <c r="C15137">
        <f>HYPERLINK("https://android.googlesource.com/platform/cts/+/a74027bcebba866ea4e3bb27c68320b495d6f943", "a74027bcebba866ea4e3bb27c68320b495d6f943")</f>
        <v>0</v>
      </c>
      <c r="D15137" t="s">
        <v>5307</v>
      </c>
      <c r="E15137" t="s">
        <v>8257</v>
      </c>
      <c r="F15137" t="s">
        <v>13902</v>
      </c>
      <c r="G15137" t="s">
        <v>17939</v>
      </c>
      <c r="H15137" t="s">
        <v>32213</v>
      </c>
    </row>
    <row r="15138" spans="1:8">
      <c r="A15138" t="s">
        <v>2530</v>
      </c>
      <c r="B15138">
        <f>HYPERLINK("https://android.googlesource.com/platform/cts/+/4b922f5420439bd544bc51660883542ea96d92ed", "4b922f5420439bd544bc51660883542ea96d92ed")</f>
        <v>0</v>
      </c>
      <c r="C15138">
        <f>HYPERLINK("https://android.googlesource.com/platform/cts/+/b552eb2d06d226bdb880a004841757d5f06a89a8", "b552eb2d06d226bdb880a004841757d5f06a89a8")</f>
        <v>0</v>
      </c>
      <c r="D15138" t="s">
        <v>5134</v>
      </c>
      <c r="E15138" t="s">
        <v>8259</v>
      </c>
      <c r="F15138" t="s">
        <v>13903</v>
      </c>
      <c r="G15138" t="s">
        <v>17940</v>
      </c>
      <c r="H15138" t="s">
        <v>32214</v>
      </c>
    </row>
    <row r="15139" spans="1:8">
      <c r="H15139" t="s">
        <v>32215</v>
      </c>
    </row>
    <row r="15140" spans="1:8">
      <c r="H15140" t="s">
        <v>32216</v>
      </c>
    </row>
    <row r="15141" spans="1:8">
      <c r="A15141" t="s">
        <v>2531</v>
      </c>
      <c r="B15141">
        <f>HYPERLINK("https://android.googlesource.com/platform/cts/+/c71a40c1af87ba0c937276b9b7e9e3ab0a57350e", "c71a40c1af87ba0c937276b9b7e9e3ab0a57350e")</f>
        <v>0</v>
      </c>
      <c r="C15141">
        <f>HYPERLINK("https://android.googlesource.com/platform/cts/+/2761e853b2c01b420a6fb71be26f5116cc4a6cde", "2761e853b2c01b420a6fb71be26f5116cc4a6cde")</f>
        <v>0</v>
      </c>
      <c r="D15141" t="s">
        <v>5084</v>
      </c>
      <c r="E15141" t="s">
        <v>8260</v>
      </c>
      <c r="F15141" t="s">
        <v>13904</v>
      </c>
      <c r="G15141" t="s">
        <v>17941</v>
      </c>
      <c r="H15141" t="s">
        <v>32217</v>
      </c>
    </row>
    <row r="15142" spans="1:8">
      <c r="H15142" t="s">
        <v>32218</v>
      </c>
    </row>
    <row r="15143" spans="1:8">
      <c r="H15143" t="s">
        <v>32219</v>
      </c>
    </row>
    <row r="15144" spans="1:8">
      <c r="A15144" t="s">
        <v>2538</v>
      </c>
      <c r="B15144">
        <f>HYPERLINK("https://android.googlesource.com/platform/cts/+/44e2485de2ed192a27425a02d0584cd051db1ca8", "44e2485de2ed192a27425a02d0584cd051db1ca8")</f>
        <v>0</v>
      </c>
      <c r="C15144">
        <f>HYPERLINK("https://android.googlesource.com/platform/cts/+/b4c24ddf7124ca2a8715d7f766711146def899aa", "b4c24ddf7124ca2a8715d7f766711146def899aa")</f>
        <v>0</v>
      </c>
      <c r="D15144" t="s">
        <v>5307</v>
      </c>
      <c r="E15144" t="s">
        <v>8267</v>
      </c>
      <c r="F15144" t="s">
        <v>13333</v>
      </c>
      <c r="G15144" t="s">
        <v>17463</v>
      </c>
      <c r="H15144" t="s">
        <v>32223</v>
      </c>
    </row>
    <row r="15145" spans="1:8">
      <c r="H15145" t="s">
        <v>32224</v>
      </c>
    </row>
    <row r="15146" spans="1:8">
      <c r="A15146" t="s">
        <v>2539</v>
      </c>
      <c r="B15146">
        <f>HYPERLINK("https://android.googlesource.com/platform/cts/+/0fb0b99b57af2a86884c464f207e12608d31e01e", "0fb0b99b57af2a86884c464f207e12608d31e01e")</f>
        <v>0</v>
      </c>
      <c r="C15146">
        <f>HYPERLINK("https://android.googlesource.com/platform/cts/+/05a79cc04292b072029520d328c00bb3ece98562", "05a79cc04292b072029520d328c00bb3ece98562")</f>
        <v>0</v>
      </c>
      <c r="D15146" t="s">
        <v>4952</v>
      </c>
      <c r="E15146" t="s">
        <v>8268</v>
      </c>
      <c r="F15146" t="s">
        <v>12835</v>
      </c>
      <c r="G15146" t="s">
        <v>16417</v>
      </c>
      <c r="H15146" t="s">
        <v>32226</v>
      </c>
    </row>
    <row r="15147" spans="1:8">
      <c r="H15147" t="s">
        <v>32227</v>
      </c>
    </row>
    <row r="15148" spans="1:8">
      <c r="H15148" t="s">
        <v>32228</v>
      </c>
    </row>
    <row r="15149" spans="1:8">
      <c r="F15149" t="s">
        <v>12414</v>
      </c>
      <c r="G15149" t="s">
        <v>16636</v>
      </c>
      <c r="H15149" t="s">
        <v>32233</v>
      </c>
    </row>
    <row r="15150" spans="1:8">
      <c r="H15150" t="s">
        <v>32234</v>
      </c>
    </row>
    <row r="15151" spans="1:8">
      <c r="H15151" t="s">
        <v>32235</v>
      </c>
    </row>
    <row r="15152" spans="1:8">
      <c r="H15152" t="s">
        <v>32236</v>
      </c>
    </row>
    <row r="15153" spans="1:8">
      <c r="H15153" t="s">
        <v>32237</v>
      </c>
    </row>
    <row r="15154" spans="1:8">
      <c r="H15154" t="s">
        <v>32238</v>
      </c>
    </row>
    <row r="15155" spans="1:8">
      <c r="H15155" t="s">
        <v>32239</v>
      </c>
    </row>
    <row r="15156" spans="1:8">
      <c r="A15156" t="s">
        <v>2540</v>
      </c>
      <c r="B15156">
        <f>HYPERLINK("https://android.googlesource.com/platform/cts/+/ebba5df3c2b48ee3778db6bf0a509898cadad192", "ebba5df3c2b48ee3778db6bf0a509898cadad192")</f>
        <v>0</v>
      </c>
      <c r="C15156">
        <f>HYPERLINK("https://android.googlesource.com/platform/cts/+/6f4d833a0e787dbb769cad529b60d4a9d783e99a", "6f4d833a0e787dbb769cad529b60d4a9d783e99a")</f>
        <v>0</v>
      </c>
      <c r="D15156" t="s">
        <v>5111</v>
      </c>
      <c r="E15156" t="s">
        <v>8269</v>
      </c>
      <c r="F15156" t="s">
        <v>10778</v>
      </c>
      <c r="G15156" t="s">
        <v>15174</v>
      </c>
      <c r="H15156" t="s">
        <v>32240</v>
      </c>
    </row>
    <row r="15157" spans="1:8">
      <c r="A15157" t="s">
        <v>2542</v>
      </c>
      <c r="B15157">
        <f>HYPERLINK("https://android.googlesource.com/platform/cts/+/6e0d19e2ecec8aab3e63110c3640c069760983a9", "6e0d19e2ecec8aab3e63110c3640c069760983a9")</f>
        <v>0</v>
      </c>
      <c r="C15157">
        <f>HYPERLINK("https://android.googlesource.com/platform/cts/+/0a8521c3f49f355c77dc6179371117d302a45c93", "0a8521c3f49f355c77dc6179371117d302a45c93")</f>
        <v>0</v>
      </c>
      <c r="D15157" t="s">
        <v>5211</v>
      </c>
      <c r="E15157" t="s">
        <v>8271</v>
      </c>
      <c r="F15157" t="s">
        <v>13907</v>
      </c>
      <c r="G15157" t="s">
        <v>17944</v>
      </c>
      <c r="H15157" t="s">
        <v>32243</v>
      </c>
    </row>
    <row r="15158" spans="1:8">
      <c r="F15158" t="s">
        <v>13908</v>
      </c>
      <c r="G15158" t="s">
        <v>17945</v>
      </c>
      <c r="H15158" t="s">
        <v>32243</v>
      </c>
    </row>
    <row r="15159" spans="1:8">
      <c r="F15159" t="s">
        <v>13909</v>
      </c>
      <c r="G15159" t="s">
        <v>17946</v>
      </c>
      <c r="H15159" t="s">
        <v>32243</v>
      </c>
    </row>
    <row r="15160" spans="1:8">
      <c r="A15160" t="s">
        <v>2545</v>
      </c>
      <c r="B15160">
        <f>HYPERLINK("https://android.googlesource.com/platform/cts/+/3ec96eabf54475e09c48c9fa9d41e33dcb879b62", "3ec96eabf54475e09c48c9fa9d41e33dcb879b62")</f>
        <v>0</v>
      </c>
      <c r="C15160">
        <f>HYPERLINK("https://android.googlesource.com/platform/cts/+/ba52917044e23f4691462fe29ee4129217302433", "ba52917044e23f4691462fe29ee4129217302433")</f>
        <v>0</v>
      </c>
      <c r="D15160" t="s">
        <v>5178</v>
      </c>
      <c r="E15160" t="s">
        <v>8274</v>
      </c>
      <c r="F15160" t="s">
        <v>13911</v>
      </c>
      <c r="G15160" t="s">
        <v>17948</v>
      </c>
      <c r="H15160" t="s">
        <v>32250</v>
      </c>
    </row>
    <row r="15161" spans="1:8">
      <c r="A15161" t="s">
        <v>2546</v>
      </c>
      <c r="B15161">
        <f>HYPERLINK("https://android.googlesource.com/platform/cts/+/4f4c1b15dcdb79087d766893c10c1326489d3f48", "4f4c1b15dcdb79087d766893c10c1326489d3f48")</f>
        <v>0</v>
      </c>
      <c r="C15161">
        <f>HYPERLINK("https://android.googlesource.com/platform/cts/+/e62fb2511999aa952cb96354678eb1194360d322", "e62fb2511999aa952cb96354678eb1194360d322")</f>
        <v>0</v>
      </c>
      <c r="D15161" t="s">
        <v>4952</v>
      </c>
      <c r="E15161" t="s">
        <v>8275</v>
      </c>
      <c r="F15161" t="s">
        <v>12222</v>
      </c>
      <c r="G15161" t="s">
        <v>16452</v>
      </c>
      <c r="H15161" t="s">
        <v>32251</v>
      </c>
    </row>
    <row r="15162" spans="1:8">
      <c r="A15162" t="s">
        <v>2547</v>
      </c>
      <c r="B15162">
        <f>HYPERLINK("https://android.googlesource.com/platform/cts/+/79fef0dd388d1b700b1aa07aefb6502b72503e8e", "79fef0dd388d1b700b1aa07aefb6502b72503e8e")</f>
        <v>0</v>
      </c>
      <c r="C15162">
        <f>HYPERLINK("https://android.googlesource.com/platform/cts/+/2b1974b36862350aa5b410d5180a938858f502ef", "2b1974b36862350aa5b410d5180a938858f502ef")</f>
        <v>0</v>
      </c>
      <c r="D15162" t="s">
        <v>5027</v>
      </c>
      <c r="E15162" t="s">
        <v>8276</v>
      </c>
      <c r="F15162" t="s">
        <v>13505</v>
      </c>
      <c r="G15162" t="s">
        <v>17622</v>
      </c>
      <c r="H15162" t="s">
        <v>31309</v>
      </c>
    </row>
    <row r="15163" spans="1:8">
      <c r="H15163" t="s">
        <v>30148</v>
      </c>
    </row>
    <row r="15164" spans="1:8">
      <c r="H15164" t="s">
        <v>30149</v>
      </c>
    </row>
    <row r="15165" spans="1:8">
      <c r="H15165" t="s">
        <v>30150</v>
      </c>
    </row>
    <row r="15166" spans="1:8">
      <c r="H15166" t="s">
        <v>30151</v>
      </c>
    </row>
    <row r="15167" spans="1:8">
      <c r="H15167" t="s">
        <v>30152</v>
      </c>
    </row>
    <row r="15168" spans="1:8">
      <c r="H15168" t="s">
        <v>30153</v>
      </c>
    </row>
    <row r="15169" spans="6:8">
      <c r="H15169" t="s">
        <v>29023</v>
      </c>
    </row>
    <row r="15170" spans="6:8">
      <c r="H15170" t="s">
        <v>30154</v>
      </c>
    </row>
    <row r="15171" spans="6:8">
      <c r="H15171" t="s">
        <v>30155</v>
      </c>
    </row>
    <row r="15172" spans="6:8">
      <c r="H15172" t="s">
        <v>30156</v>
      </c>
    </row>
    <row r="15173" spans="6:8">
      <c r="H15173" t="s">
        <v>30157</v>
      </c>
    </row>
    <row r="15174" spans="6:8">
      <c r="H15174" t="s">
        <v>30158</v>
      </c>
    </row>
    <row r="15175" spans="6:8">
      <c r="F15175" t="s">
        <v>13506</v>
      </c>
      <c r="G15175" t="s">
        <v>17623</v>
      </c>
      <c r="H15175" t="s">
        <v>31336</v>
      </c>
    </row>
    <row r="15176" spans="6:8">
      <c r="H15176" t="s">
        <v>30167</v>
      </c>
    </row>
    <row r="15177" spans="6:8">
      <c r="H15177" t="s">
        <v>30168</v>
      </c>
    </row>
    <row r="15178" spans="6:8">
      <c r="H15178" t="s">
        <v>30171</v>
      </c>
    </row>
    <row r="15179" spans="6:8">
      <c r="H15179" t="s">
        <v>30172</v>
      </c>
    </row>
    <row r="15180" spans="6:8">
      <c r="H15180" t="s">
        <v>30173</v>
      </c>
    </row>
    <row r="15181" spans="6:8">
      <c r="H15181" t="s">
        <v>30174</v>
      </c>
    </row>
    <row r="15182" spans="6:8">
      <c r="H15182" t="s">
        <v>30175</v>
      </c>
    </row>
    <row r="15183" spans="6:8">
      <c r="H15183" t="s">
        <v>31337</v>
      </c>
    </row>
    <row r="15184" spans="6:8">
      <c r="H15184" t="s">
        <v>30176</v>
      </c>
    </row>
    <row r="15185" spans="8:8">
      <c r="H15185" t="s">
        <v>30216</v>
      </c>
    </row>
    <row r="15186" spans="8:8">
      <c r="H15186" t="s">
        <v>31338</v>
      </c>
    </row>
    <row r="15187" spans="8:8">
      <c r="H15187" t="s">
        <v>31339</v>
      </c>
    </row>
    <row r="15188" spans="8:8">
      <c r="H15188" t="s">
        <v>31340</v>
      </c>
    </row>
    <row r="15189" spans="8:8">
      <c r="H15189" t="s">
        <v>31341</v>
      </c>
    </row>
    <row r="15190" spans="8:8">
      <c r="H15190" t="s">
        <v>31342</v>
      </c>
    </row>
    <row r="15191" spans="8:8">
      <c r="H15191" t="s">
        <v>31343</v>
      </c>
    </row>
    <row r="15192" spans="8:8">
      <c r="H15192" t="s">
        <v>31344</v>
      </c>
    </row>
    <row r="15193" spans="8:8">
      <c r="H15193" t="s">
        <v>31345</v>
      </c>
    </row>
    <row r="15194" spans="8:8">
      <c r="H15194" t="s">
        <v>31346</v>
      </c>
    </row>
    <row r="15195" spans="8:8">
      <c r="H15195" t="s">
        <v>31347</v>
      </c>
    </row>
    <row r="15196" spans="8:8">
      <c r="H15196" t="s">
        <v>31348</v>
      </c>
    </row>
    <row r="15197" spans="8:8">
      <c r="H15197" t="s">
        <v>31349</v>
      </c>
    </row>
    <row r="15198" spans="8:8">
      <c r="H15198" t="s">
        <v>31350</v>
      </c>
    </row>
    <row r="15199" spans="8:8">
      <c r="H15199" t="s">
        <v>31351</v>
      </c>
    </row>
    <row r="15200" spans="8:8">
      <c r="H15200" t="s">
        <v>30178</v>
      </c>
    </row>
    <row r="15201" spans="8:8">
      <c r="H15201" t="s">
        <v>30179</v>
      </c>
    </row>
    <row r="15202" spans="8:8">
      <c r="H15202" t="s">
        <v>30180</v>
      </c>
    </row>
    <row r="15203" spans="8:8">
      <c r="H15203" t="s">
        <v>30182</v>
      </c>
    </row>
    <row r="15204" spans="8:8">
      <c r="H15204" t="s">
        <v>30183</v>
      </c>
    </row>
    <row r="15205" spans="8:8">
      <c r="H15205" t="s">
        <v>30184</v>
      </c>
    </row>
    <row r="15206" spans="8:8">
      <c r="H15206" t="s">
        <v>30185</v>
      </c>
    </row>
    <row r="15207" spans="8:8">
      <c r="H15207" t="s">
        <v>30186</v>
      </c>
    </row>
    <row r="15208" spans="8:8">
      <c r="H15208" t="s">
        <v>30187</v>
      </c>
    </row>
    <row r="15209" spans="8:8">
      <c r="H15209" t="s">
        <v>30188</v>
      </c>
    </row>
    <row r="15210" spans="8:8">
      <c r="H15210" t="s">
        <v>30189</v>
      </c>
    </row>
    <row r="15211" spans="8:8">
      <c r="H15211" t="s">
        <v>30190</v>
      </c>
    </row>
    <row r="15212" spans="8:8">
      <c r="H15212" t="s">
        <v>30191</v>
      </c>
    </row>
    <row r="15213" spans="8:8">
      <c r="H15213" t="s">
        <v>30192</v>
      </c>
    </row>
    <row r="15214" spans="8:8">
      <c r="H15214" t="s">
        <v>30193</v>
      </c>
    </row>
    <row r="15215" spans="8:8">
      <c r="H15215" t="s">
        <v>30194</v>
      </c>
    </row>
    <row r="15216" spans="8:8">
      <c r="H15216" t="s">
        <v>30195</v>
      </c>
    </row>
    <row r="15217" spans="6:8">
      <c r="H15217" t="s">
        <v>30196</v>
      </c>
    </row>
    <row r="15218" spans="6:8">
      <c r="H15218" t="s">
        <v>30198</v>
      </c>
    </row>
    <row r="15219" spans="6:8">
      <c r="H15219" t="s">
        <v>30199</v>
      </c>
    </row>
    <row r="15220" spans="6:8">
      <c r="H15220" t="s">
        <v>30200</v>
      </c>
    </row>
    <row r="15221" spans="6:8">
      <c r="H15221" t="s">
        <v>30201</v>
      </c>
    </row>
    <row r="15222" spans="6:8">
      <c r="H15222" t="s">
        <v>30202</v>
      </c>
    </row>
    <row r="15223" spans="6:8">
      <c r="H15223" t="s">
        <v>30203</v>
      </c>
    </row>
    <row r="15224" spans="6:8">
      <c r="H15224" t="s">
        <v>30204</v>
      </c>
    </row>
    <row r="15225" spans="6:8">
      <c r="H15225" t="s">
        <v>30205</v>
      </c>
    </row>
    <row r="15226" spans="6:8">
      <c r="H15226" t="s">
        <v>30206</v>
      </c>
    </row>
    <row r="15227" spans="6:8">
      <c r="H15227" t="s">
        <v>30207</v>
      </c>
    </row>
    <row r="15228" spans="6:8">
      <c r="F15228" t="s">
        <v>13507</v>
      </c>
      <c r="G15228" t="s">
        <v>17624</v>
      </c>
      <c r="H15228" t="s">
        <v>30030</v>
      </c>
    </row>
    <row r="15229" spans="6:8">
      <c r="F15229" t="s">
        <v>13508</v>
      </c>
      <c r="G15229" t="s">
        <v>17625</v>
      </c>
      <c r="H15229" t="s">
        <v>30030</v>
      </c>
    </row>
    <row r="15230" spans="6:8">
      <c r="H15230" t="s">
        <v>31352</v>
      </c>
    </row>
    <row r="15231" spans="6:8">
      <c r="H15231" t="s">
        <v>31353</v>
      </c>
    </row>
    <row r="15232" spans="6:8">
      <c r="H15232" t="s">
        <v>31354</v>
      </c>
    </row>
    <row r="15233" spans="8:8">
      <c r="H15233" t="s">
        <v>31355</v>
      </c>
    </row>
    <row r="15234" spans="8:8">
      <c r="H15234" t="s">
        <v>31356</v>
      </c>
    </row>
    <row r="15235" spans="8:8">
      <c r="H15235" t="s">
        <v>30215</v>
      </c>
    </row>
    <row r="15236" spans="8:8">
      <c r="H15236" t="s">
        <v>30167</v>
      </c>
    </row>
    <row r="15237" spans="8:8">
      <c r="H15237" t="s">
        <v>30168</v>
      </c>
    </row>
    <row r="15238" spans="8:8">
      <c r="H15238" t="s">
        <v>30171</v>
      </c>
    </row>
    <row r="15239" spans="8:8">
      <c r="H15239" t="s">
        <v>31345</v>
      </c>
    </row>
    <row r="15240" spans="8:8">
      <c r="H15240" t="s">
        <v>31346</v>
      </c>
    </row>
    <row r="15241" spans="8:8">
      <c r="H15241" t="s">
        <v>31347</v>
      </c>
    </row>
    <row r="15242" spans="8:8">
      <c r="H15242" t="s">
        <v>31357</v>
      </c>
    </row>
    <row r="15243" spans="8:8">
      <c r="H15243" t="s">
        <v>31358</v>
      </c>
    </row>
    <row r="15244" spans="8:8">
      <c r="H15244" t="s">
        <v>31359</v>
      </c>
    </row>
    <row r="15245" spans="8:8">
      <c r="H15245" t="s">
        <v>30216</v>
      </c>
    </row>
    <row r="15246" spans="8:8">
      <c r="H15246" t="s">
        <v>31338</v>
      </c>
    </row>
    <row r="15247" spans="8:8">
      <c r="H15247" t="s">
        <v>31339</v>
      </c>
    </row>
    <row r="15248" spans="8:8">
      <c r="H15248" t="s">
        <v>31340</v>
      </c>
    </row>
    <row r="15249" spans="8:8">
      <c r="H15249" t="s">
        <v>31360</v>
      </c>
    </row>
    <row r="15250" spans="8:8">
      <c r="H15250" t="s">
        <v>31342</v>
      </c>
    </row>
    <row r="15251" spans="8:8">
      <c r="H15251" t="s">
        <v>31343</v>
      </c>
    </row>
    <row r="15252" spans="8:8">
      <c r="H15252" t="s">
        <v>31344</v>
      </c>
    </row>
    <row r="15253" spans="8:8">
      <c r="H15253" t="s">
        <v>31348</v>
      </c>
    </row>
    <row r="15254" spans="8:8">
      <c r="H15254" t="s">
        <v>31349</v>
      </c>
    </row>
    <row r="15255" spans="8:8">
      <c r="H15255" t="s">
        <v>31350</v>
      </c>
    </row>
    <row r="15256" spans="8:8">
      <c r="H15256" t="s">
        <v>31351</v>
      </c>
    </row>
    <row r="15257" spans="8:8">
      <c r="H15257" t="s">
        <v>30219</v>
      </c>
    </row>
    <row r="15258" spans="8:8">
      <c r="H15258" t="s">
        <v>30222</v>
      </c>
    </row>
    <row r="15259" spans="8:8">
      <c r="H15259" t="s">
        <v>30223</v>
      </c>
    </row>
    <row r="15260" spans="8:8">
      <c r="H15260" t="s">
        <v>31362</v>
      </c>
    </row>
    <row r="15261" spans="8:8">
      <c r="H15261" t="s">
        <v>30224</v>
      </c>
    </row>
    <row r="15262" spans="8:8">
      <c r="H15262" t="s">
        <v>31363</v>
      </c>
    </row>
    <row r="15263" spans="8:8">
      <c r="H15263" t="s">
        <v>30225</v>
      </c>
    </row>
    <row r="15264" spans="8:8">
      <c r="H15264" t="s">
        <v>31364</v>
      </c>
    </row>
    <row r="15265" spans="6:8">
      <c r="F15265" t="s">
        <v>13526</v>
      </c>
      <c r="G15265" t="s">
        <v>17641</v>
      </c>
      <c r="H15265" t="s">
        <v>30167</v>
      </c>
    </row>
    <row r="15266" spans="6:8">
      <c r="H15266" t="s">
        <v>30168</v>
      </c>
    </row>
    <row r="15267" spans="6:8">
      <c r="H15267" t="s">
        <v>30171</v>
      </c>
    </row>
    <row r="15268" spans="6:8">
      <c r="H15268" t="s">
        <v>30173</v>
      </c>
    </row>
    <row r="15269" spans="6:8">
      <c r="H15269" t="s">
        <v>30174</v>
      </c>
    </row>
    <row r="15270" spans="6:8">
      <c r="H15270" t="s">
        <v>30175</v>
      </c>
    </row>
    <row r="15271" spans="6:8">
      <c r="H15271" t="s">
        <v>30170</v>
      </c>
    </row>
    <row r="15272" spans="6:8">
      <c r="H15272" t="s">
        <v>30169</v>
      </c>
    </row>
    <row r="15273" spans="6:8">
      <c r="H15273" t="s">
        <v>31347</v>
      </c>
    </row>
    <row r="15274" spans="6:8">
      <c r="H15274" t="s">
        <v>30216</v>
      </c>
    </row>
    <row r="15275" spans="6:8">
      <c r="H15275" t="s">
        <v>31339</v>
      </c>
    </row>
    <row r="15276" spans="6:8">
      <c r="H15276" t="s">
        <v>31342</v>
      </c>
    </row>
    <row r="15277" spans="6:8">
      <c r="H15277" t="s">
        <v>31343</v>
      </c>
    </row>
    <row r="15278" spans="6:8">
      <c r="H15278" t="s">
        <v>31344</v>
      </c>
    </row>
    <row r="15279" spans="6:8">
      <c r="H15279" t="s">
        <v>31369</v>
      </c>
    </row>
    <row r="15280" spans="6:8">
      <c r="H15280" t="s">
        <v>30189</v>
      </c>
    </row>
    <row r="15281" spans="6:8">
      <c r="H15281" t="s">
        <v>30188</v>
      </c>
    </row>
    <row r="15282" spans="6:8">
      <c r="H15282" t="s">
        <v>30187</v>
      </c>
    </row>
    <row r="15283" spans="6:8">
      <c r="H15283" t="s">
        <v>30192</v>
      </c>
    </row>
    <row r="15284" spans="6:8">
      <c r="H15284" t="s">
        <v>30191</v>
      </c>
    </row>
    <row r="15285" spans="6:8">
      <c r="H15285" t="s">
        <v>30190</v>
      </c>
    </row>
    <row r="15286" spans="6:8">
      <c r="H15286" t="s">
        <v>31370</v>
      </c>
    </row>
    <row r="15287" spans="6:8">
      <c r="F15287" t="s">
        <v>13524</v>
      </c>
      <c r="G15287" t="s">
        <v>17639</v>
      </c>
      <c r="H15287" t="s">
        <v>31318</v>
      </c>
    </row>
    <row r="15288" spans="6:8">
      <c r="H15288" t="s">
        <v>31319</v>
      </c>
    </row>
    <row r="15289" spans="6:8">
      <c r="H15289" t="s">
        <v>31320</v>
      </c>
    </row>
    <row r="15290" spans="6:8">
      <c r="H15290" t="s">
        <v>31321</v>
      </c>
    </row>
    <row r="15291" spans="6:8">
      <c r="H15291" t="s">
        <v>31322</v>
      </c>
    </row>
    <row r="15292" spans="6:8">
      <c r="H15292" t="s">
        <v>31323</v>
      </c>
    </row>
    <row r="15293" spans="6:8">
      <c r="H15293" t="s">
        <v>31324</v>
      </c>
    </row>
    <row r="15294" spans="6:8">
      <c r="F15294" t="s">
        <v>13509</v>
      </c>
      <c r="G15294" t="s">
        <v>17626</v>
      </c>
      <c r="H15294" t="s">
        <v>30231</v>
      </c>
    </row>
    <row r="15295" spans="6:8">
      <c r="H15295" t="s">
        <v>30232</v>
      </c>
    </row>
    <row r="15296" spans="6:8">
      <c r="F15296" t="s">
        <v>13733</v>
      </c>
      <c r="G15296" t="s">
        <v>17794</v>
      </c>
      <c r="H15296" t="s">
        <v>18836</v>
      </c>
    </row>
    <row r="15297" spans="1:8">
      <c r="H15297" t="s">
        <v>31300</v>
      </c>
    </row>
    <row r="15298" spans="1:8">
      <c r="H15298" t="s">
        <v>31301</v>
      </c>
    </row>
    <row r="15299" spans="1:8">
      <c r="A15299" t="s">
        <v>2548</v>
      </c>
      <c r="B15299">
        <f>HYPERLINK("https://android.googlesource.com/platform/cts/+/93b46e5e42d6fc9d462e051e0f28bfa8c8c3cf2c", "93b46e5e42d6fc9d462e051e0f28bfa8c8c3cf2c")</f>
        <v>0</v>
      </c>
      <c r="C15299">
        <f>HYPERLINK("https://android.googlesource.com/platform/cts/+/340b6af4a1bf9ad00a3127cfc6bd3b97cf24efc9", "340b6af4a1bf9ad00a3127cfc6bd3b97cf24efc9")</f>
        <v>0</v>
      </c>
      <c r="D15299" t="s">
        <v>5411</v>
      </c>
      <c r="E15299" t="s">
        <v>8277</v>
      </c>
      <c r="F15299" t="s">
        <v>13912</v>
      </c>
      <c r="G15299" t="s">
        <v>17949</v>
      </c>
      <c r="H15299" t="s">
        <v>32252</v>
      </c>
    </row>
    <row r="15300" spans="1:8">
      <c r="A15300" t="s">
        <v>2549</v>
      </c>
      <c r="B15300">
        <f>HYPERLINK("https://android.googlesource.com/platform/cts/+/890fd9833ecb23084fef78d7b73ad6c9122f3c35", "890fd9833ecb23084fef78d7b73ad6c9122f3c35")</f>
        <v>0</v>
      </c>
      <c r="C15300">
        <f>HYPERLINK("https://android.googlesource.com/platform/cts/+/9cf74ae593f8f7216d66fccc63e8fae5456e2e19", "9cf74ae593f8f7216d66fccc63e8fae5456e2e19")</f>
        <v>0</v>
      </c>
      <c r="D15300" t="s">
        <v>4952</v>
      </c>
      <c r="E15300" t="s">
        <v>8278</v>
      </c>
      <c r="F15300" t="s">
        <v>13913</v>
      </c>
      <c r="G15300" t="s">
        <v>17950</v>
      </c>
      <c r="H15300" t="s">
        <v>32253</v>
      </c>
    </row>
    <row r="15301" spans="1:8">
      <c r="H15301" t="s">
        <v>32254</v>
      </c>
    </row>
    <row r="15302" spans="1:8">
      <c r="A15302" t="s">
        <v>2550</v>
      </c>
      <c r="B15302">
        <f>HYPERLINK("https://android.googlesource.com/platform/cts/+/c5bc9faf0bfd7ab70425c8f3fc84c5c8feb60b28", "c5bc9faf0bfd7ab70425c8f3fc84c5c8feb60b28")</f>
        <v>0</v>
      </c>
      <c r="C15302">
        <f>HYPERLINK("https://android.googlesource.com/platform/cts/+/4ce4f7ab922bee27aa5c598a3496ad4a3238ad08", "4ce4f7ab922bee27aa5c598a3496ad4a3238ad08")</f>
        <v>0</v>
      </c>
      <c r="D15302" t="s">
        <v>5040</v>
      </c>
      <c r="E15302" t="s">
        <v>8279</v>
      </c>
      <c r="F15302" t="s">
        <v>12344</v>
      </c>
      <c r="G15302" t="s">
        <v>16572</v>
      </c>
      <c r="H15302" t="s">
        <v>32255</v>
      </c>
    </row>
    <row r="15303" spans="1:8">
      <c r="H15303" t="s">
        <v>32256</v>
      </c>
    </row>
    <row r="15304" spans="1:8">
      <c r="H15304" t="s">
        <v>32257</v>
      </c>
    </row>
    <row r="15305" spans="1:8">
      <c r="H15305" t="s">
        <v>32258</v>
      </c>
    </row>
    <row r="15306" spans="1:8">
      <c r="A15306" t="s">
        <v>2551</v>
      </c>
      <c r="B15306">
        <f>HYPERLINK("https://android.googlesource.com/platform/cts/+/471bad76deadd2aca98740a6a592fa2b46ff0f40", "471bad76deadd2aca98740a6a592fa2b46ff0f40")</f>
        <v>0</v>
      </c>
      <c r="C15306">
        <f>HYPERLINK("https://android.googlesource.com/platform/cts/+/60258bbf6eb203e03d492d44a8997b331266a57d", "60258bbf6eb203e03d492d44a8997b331266a57d")</f>
        <v>0</v>
      </c>
      <c r="D15306" t="s">
        <v>5244</v>
      </c>
      <c r="E15306" t="s">
        <v>8280</v>
      </c>
      <c r="F15306" t="s">
        <v>13914</v>
      </c>
      <c r="G15306" t="s">
        <v>15170</v>
      </c>
      <c r="H15306" t="s">
        <v>32259</v>
      </c>
    </row>
    <row r="15307" spans="1:8">
      <c r="H15307" t="s">
        <v>32260</v>
      </c>
    </row>
    <row r="15308" spans="1:8">
      <c r="H15308" t="s">
        <v>32261</v>
      </c>
    </row>
    <row r="15309" spans="1:8">
      <c r="A15309" t="s">
        <v>2552</v>
      </c>
      <c r="B15309">
        <f>HYPERLINK("https://android.googlesource.com/platform/cts/+/3f3d2b75e610457e628d93597bded0be222b6969", "3f3d2b75e610457e628d93597bded0be222b6969")</f>
        <v>0</v>
      </c>
      <c r="C15309">
        <f>HYPERLINK("https://android.googlesource.com/platform/cts/+/8e725a668567ced8afa44549b1ac83ec7c3c9203", "8e725a668567ced8afa44549b1ac83ec7c3c9203")</f>
        <v>0</v>
      </c>
      <c r="D15309" t="s">
        <v>4952</v>
      </c>
      <c r="E15309" t="s">
        <v>8281</v>
      </c>
      <c r="F15309" t="s">
        <v>13915</v>
      </c>
      <c r="G15309" t="s">
        <v>17951</v>
      </c>
      <c r="H15309" t="s">
        <v>32283</v>
      </c>
    </row>
    <row r="15310" spans="1:8">
      <c r="A15310" t="s">
        <v>2553</v>
      </c>
      <c r="B15310">
        <f>HYPERLINK("https://android.googlesource.com/platform/cts/+/697dab10d5b3d45ac63e05cb5072122ab376af6a", "697dab10d5b3d45ac63e05cb5072122ab376af6a")</f>
        <v>0</v>
      </c>
      <c r="C15310">
        <f>HYPERLINK("https://android.googlesource.com/platform/cts/+/30bff89770bfb1efbccd5cc278b941790fb4899b", "30bff89770bfb1efbccd5cc278b941790fb4899b")</f>
        <v>0</v>
      </c>
      <c r="D15310" t="s">
        <v>5143</v>
      </c>
      <c r="E15310" t="s">
        <v>8282</v>
      </c>
      <c r="F15310" t="s">
        <v>12984</v>
      </c>
      <c r="G15310" t="s">
        <v>17148</v>
      </c>
      <c r="H15310" t="s">
        <v>32298</v>
      </c>
    </row>
    <row r="15311" spans="1:8">
      <c r="H15311" t="s">
        <v>32299</v>
      </c>
    </row>
    <row r="15312" spans="1:8">
      <c r="A15312" t="s">
        <v>2554</v>
      </c>
      <c r="B15312">
        <f>HYPERLINK("https://android.googlesource.com/platform/cts/+/548c91af088a4a5411ae011fba2bb6484f57066c", "548c91af088a4a5411ae011fba2bb6484f57066c")</f>
        <v>0</v>
      </c>
      <c r="C15312">
        <f>HYPERLINK("https://android.googlesource.com/platform/cts/+/cf9d6dbc211cab887c1c4d9df783ef0907e98fef", "cf9d6dbc211cab887c1c4d9df783ef0907e98fef")</f>
        <v>0</v>
      </c>
      <c r="D15312" t="s">
        <v>5147</v>
      </c>
      <c r="E15312" t="s">
        <v>8283</v>
      </c>
      <c r="F15312" t="s">
        <v>13916</v>
      </c>
      <c r="G15312" t="s">
        <v>17952</v>
      </c>
      <c r="H15312" t="s">
        <v>32300</v>
      </c>
    </row>
    <row r="15313" spans="1:8">
      <c r="A15313" t="s">
        <v>2555</v>
      </c>
      <c r="B15313">
        <f>HYPERLINK("https://android.googlesource.com/platform/cts/+/6dfeb5b45b0578eb92d3f06f2ca7949f5a80fb11", "6dfeb5b45b0578eb92d3f06f2ca7949f5a80fb11")</f>
        <v>0</v>
      </c>
      <c r="C15313">
        <f>HYPERLINK("https://android.googlesource.com/platform/cts/+/c910b565203b9bb4ad2efe98650c4ec3e5eee093", "c910b565203b9bb4ad2efe98650c4ec3e5eee093")</f>
        <v>0</v>
      </c>
      <c r="D15313" t="s">
        <v>5211</v>
      </c>
      <c r="E15313" t="s">
        <v>8284</v>
      </c>
      <c r="F15313" t="s">
        <v>13907</v>
      </c>
      <c r="G15313" t="s">
        <v>17944</v>
      </c>
      <c r="H15313" t="s">
        <v>32243</v>
      </c>
    </row>
    <row r="15314" spans="1:8">
      <c r="F15314" t="s">
        <v>13908</v>
      </c>
      <c r="G15314" t="s">
        <v>17945</v>
      </c>
      <c r="H15314" t="s">
        <v>32243</v>
      </c>
    </row>
    <row r="15315" spans="1:8">
      <c r="F15315" t="s">
        <v>13909</v>
      </c>
      <c r="G15315" t="s">
        <v>17946</v>
      </c>
      <c r="H15315" t="s">
        <v>32243</v>
      </c>
    </row>
    <row r="15316" spans="1:8">
      <c r="A15316" t="s">
        <v>2557</v>
      </c>
      <c r="B15316">
        <f>HYPERLINK("https://android.googlesource.com/platform/cts/+/c8f9b8d963bfe2ba14260f32b957b981fdfa35bd", "c8f9b8d963bfe2ba14260f32b957b981fdfa35bd")</f>
        <v>0</v>
      </c>
      <c r="C15316">
        <f>HYPERLINK("https://android.googlesource.com/platform/cts/+/4a0305555464f394b7db6a5792e4681b6a8cae8f", "4a0305555464f394b7db6a5792e4681b6a8cae8f")</f>
        <v>0</v>
      </c>
      <c r="D15316" t="s">
        <v>5051</v>
      </c>
      <c r="E15316" t="s">
        <v>8286</v>
      </c>
      <c r="F15316" t="s">
        <v>12623</v>
      </c>
      <c r="G15316" t="s">
        <v>16833</v>
      </c>
      <c r="H15316" t="s">
        <v>32302</v>
      </c>
    </row>
    <row r="15317" spans="1:8">
      <c r="A15317" t="s">
        <v>2559</v>
      </c>
      <c r="B15317">
        <f>HYPERLINK("https://android.googlesource.com/platform/cts/+/4b3eeb91cbf27483dbc1ef357fda136462221d15", "4b3eeb91cbf27483dbc1ef357fda136462221d15")</f>
        <v>0</v>
      </c>
      <c r="C15317">
        <f>HYPERLINK("https://android.googlesource.com/platform/cts/+/e480b345a1083e4aac801af7eec76fdaabd95a13", "e480b345a1083e4aac801af7eec76fdaabd95a13")</f>
        <v>0</v>
      </c>
      <c r="D15317" t="s">
        <v>5117</v>
      </c>
      <c r="E15317" t="s">
        <v>8288</v>
      </c>
      <c r="F15317" t="s">
        <v>13917</v>
      </c>
      <c r="G15317" t="s">
        <v>17953</v>
      </c>
      <c r="H15317" t="s">
        <v>32305</v>
      </c>
    </row>
    <row r="15318" spans="1:8">
      <c r="A15318" t="s">
        <v>2563</v>
      </c>
      <c r="B15318">
        <f>HYPERLINK("https://android.googlesource.com/platform/cts/+/3569aa72c1fa74d43f9390ef143f7b2bc4e8e20a", "3569aa72c1fa74d43f9390ef143f7b2bc4e8e20a")</f>
        <v>0</v>
      </c>
      <c r="C15318">
        <f>HYPERLINK("https://android.googlesource.com/platform/cts/+/6aeef38aba04e72fb6dbae4b7960b950935bba36", "6aeef38aba04e72fb6dbae4b7960b950935bba36")</f>
        <v>0</v>
      </c>
      <c r="D15318" t="s">
        <v>5413</v>
      </c>
      <c r="E15318" t="s">
        <v>8292</v>
      </c>
      <c r="F15318" t="s">
        <v>12879</v>
      </c>
      <c r="G15318" t="s">
        <v>17046</v>
      </c>
      <c r="H15318" t="s">
        <v>32311</v>
      </c>
    </row>
    <row r="15319" spans="1:8">
      <c r="A15319" t="s">
        <v>2565</v>
      </c>
      <c r="B15319">
        <f>HYPERLINK("https://android.googlesource.com/platform/cts/+/683a0ddebdf9b13cf21144c185cab6796e1d664c", "683a0ddebdf9b13cf21144c185cab6796e1d664c")</f>
        <v>0</v>
      </c>
      <c r="C15319">
        <f>HYPERLINK("https://android.googlesource.com/platform/cts/+/07f96b173d96958c0e0abb853c4e472d47015c46", "07f96b173d96958c0e0abb853c4e472d47015c46")</f>
        <v>0</v>
      </c>
      <c r="D15319" t="s">
        <v>4952</v>
      </c>
      <c r="E15319" t="s">
        <v>8294</v>
      </c>
      <c r="F15319" t="s">
        <v>12342</v>
      </c>
      <c r="G15319" t="s">
        <v>16570</v>
      </c>
      <c r="H15319" t="s">
        <v>25011</v>
      </c>
    </row>
    <row r="15320" spans="1:8">
      <c r="H15320" t="s">
        <v>32312</v>
      </c>
    </row>
    <row r="15321" spans="1:8">
      <c r="H15321" t="s">
        <v>22836</v>
      </c>
    </row>
    <row r="15322" spans="1:8">
      <c r="A15322" t="s">
        <v>2566</v>
      </c>
      <c r="B15322">
        <f>HYPERLINK("https://android.googlesource.com/platform/cts/+/1adb31e3699f2b46be4a59ac83a37a5b89468ffe", "1adb31e3699f2b46be4a59ac83a37a5b89468ffe")</f>
        <v>0</v>
      </c>
      <c r="C15322">
        <f>HYPERLINK("https://android.googlesource.com/platform/cts/+/275bcfddb5a8f791b43d08221c6afee4f18dd39c", "275bcfddb5a8f791b43d08221c6afee4f18dd39c")</f>
        <v>0</v>
      </c>
      <c r="D15322" t="s">
        <v>5244</v>
      </c>
      <c r="E15322" t="s">
        <v>8295</v>
      </c>
      <c r="F15322" t="s">
        <v>13914</v>
      </c>
      <c r="G15322" t="s">
        <v>15170</v>
      </c>
      <c r="H15322" t="s">
        <v>32313</v>
      </c>
    </row>
    <row r="15323" spans="1:8">
      <c r="H15323" t="s">
        <v>32314</v>
      </c>
    </row>
    <row r="15324" spans="1:8">
      <c r="A15324" t="s">
        <v>2567</v>
      </c>
      <c r="B15324">
        <f>HYPERLINK("https://android.googlesource.com/platform/cts/+/d1eff3c5db371893fe75a910bbe7bf5b58511800", "d1eff3c5db371893fe75a910bbe7bf5b58511800")</f>
        <v>0</v>
      </c>
      <c r="C15324">
        <f>HYPERLINK("https://android.googlesource.com/platform/cts/+/cfb3a50480f183c9f583a766d31cd45189fac9b7", "cfb3a50480f183c9f583a766d31cd45189fac9b7")</f>
        <v>0</v>
      </c>
      <c r="D15324" t="s">
        <v>5374</v>
      </c>
      <c r="E15324" t="s">
        <v>8296</v>
      </c>
      <c r="F15324" t="s">
        <v>13165</v>
      </c>
      <c r="G15324" t="s">
        <v>17315</v>
      </c>
      <c r="H15324" t="s">
        <v>32315</v>
      </c>
    </row>
    <row r="15325" spans="1:8">
      <c r="A15325" t="s">
        <v>2571</v>
      </c>
      <c r="B15325">
        <f>HYPERLINK("https://android.googlesource.com/platform/cts/+/a303f786bdeecd27fe325aa0eb14e67bd599d205", "a303f786bdeecd27fe325aa0eb14e67bd599d205")</f>
        <v>0</v>
      </c>
      <c r="C15325">
        <f>HYPERLINK("https://android.googlesource.com/platform/cts/+/cd3b2d14240e7b4f0c628b69abc74fa4baf42e42", "cd3b2d14240e7b4f0c628b69abc74fa4baf42e42")</f>
        <v>0</v>
      </c>
      <c r="D15325" t="s">
        <v>5407</v>
      </c>
      <c r="E15325" t="s">
        <v>8300</v>
      </c>
      <c r="F15325" t="s">
        <v>13887</v>
      </c>
      <c r="G15325" t="s">
        <v>17319</v>
      </c>
      <c r="H15325" t="s">
        <v>32319</v>
      </c>
    </row>
    <row r="15326" spans="1:8">
      <c r="A15326" t="s">
        <v>2573</v>
      </c>
      <c r="B15326">
        <f>HYPERLINK("https://android.googlesource.com/platform/cts/+/2ba1847ab2fe5c946685fececbd9d863060bbd57", "2ba1847ab2fe5c946685fececbd9d863060bbd57")</f>
        <v>0</v>
      </c>
      <c r="C15326">
        <f>HYPERLINK("https://android.googlesource.com/platform/cts/+/f1574544bd5a8cdd1af05dab1e9fa7ada1bf7b30", "f1574544bd5a8cdd1af05dab1e9fa7ada1bf7b30")</f>
        <v>0</v>
      </c>
      <c r="D15326" t="s">
        <v>5265</v>
      </c>
      <c r="E15326" t="s">
        <v>8302</v>
      </c>
      <c r="F15326" t="s">
        <v>10699</v>
      </c>
      <c r="G15326" t="s">
        <v>15099</v>
      </c>
      <c r="H15326" t="s">
        <v>18876</v>
      </c>
    </row>
    <row r="15327" spans="1:8">
      <c r="A15327" t="s">
        <v>2575</v>
      </c>
      <c r="B15327">
        <f>HYPERLINK("https://android.googlesource.com/platform/cts/+/f30f7a00b247b670890603b7a9a30d2b25d8aa52", "f30f7a00b247b670890603b7a9a30d2b25d8aa52")</f>
        <v>0</v>
      </c>
      <c r="C15327">
        <f>HYPERLINK("https://android.googlesource.com/platform/cts/+/c8e4f2dfda6322f49d70898ff826978020d6dc86", "c8e4f2dfda6322f49d70898ff826978020d6dc86")</f>
        <v>0</v>
      </c>
      <c r="D15327" t="s">
        <v>5117</v>
      </c>
      <c r="E15327" t="s">
        <v>8304</v>
      </c>
      <c r="F15327" t="s">
        <v>12732</v>
      </c>
      <c r="G15327" t="s">
        <v>16926</v>
      </c>
      <c r="H15327" t="s">
        <v>32322</v>
      </c>
    </row>
    <row r="15328" spans="1:8">
      <c r="A15328" t="s">
        <v>2578</v>
      </c>
      <c r="B15328">
        <f>HYPERLINK("https://android.googlesource.com/platform/cts/+/8bdd93caebf71c9683185b49475c6c725bb6ed6b", "8bdd93caebf71c9683185b49475c6c725bb6ed6b")</f>
        <v>0</v>
      </c>
      <c r="C15328">
        <f>HYPERLINK("https://android.googlesource.com/platform/cts/+/fc83f42ba9f61034397f47b578a83153d78ade86", "fc83f42ba9f61034397f47b578a83153d78ade86")</f>
        <v>0</v>
      </c>
      <c r="D15328" t="s">
        <v>4952</v>
      </c>
      <c r="E15328" t="s">
        <v>8307</v>
      </c>
      <c r="F15328" t="s">
        <v>12835</v>
      </c>
      <c r="G15328" t="s">
        <v>16417</v>
      </c>
      <c r="H15328" t="s">
        <v>32226</v>
      </c>
    </row>
    <row r="15329" spans="1:8">
      <c r="H15329" t="s">
        <v>32227</v>
      </c>
    </row>
    <row r="15330" spans="1:8">
      <c r="H15330" t="s">
        <v>32228</v>
      </c>
    </row>
    <row r="15331" spans="1:8">
      <c r="F15331" t="s">
        <v>12414</v>
      </c>
      <c r="G15331" t="s">
        <v>16636</v>
      </c>
      <c r="H15331" t="s">
        <v>32233</v>
      </c>
    </row>
    <row r="15332" spans="1:8">
      <c r="H15332" t="s">
        <v>32234</v>
      </c>
    </row>
    <row r="15333" spans="1:8">
      <c r="H15333" t="s">
        <v>32235</v>
      </c>
    </row>
    <row r="15334" spans="1:8">
      <c r="H15334" t="s">
        <v>32236</v>
      </c>
    </row>
    <row r="15335" spans="1:8">
      <c r="H15335" t="s">
        <v>32237</v>
      </c>
    </row>
    <row r="15336" spans="1:8">
      <c r="H15336" t="s">
        <v>32238</v>
      </c>
    </row>
    <row r="15337" spans="1:8">
      <c r="H15337" t="s">
        <v>32239</v>
      </c>
    </row>
    <row r="15338" spans="1:8">
      <c r="A15338" t="s">
        <v>2579</v>
      </c>
      <c r="B15338">
        <f>HYPERLINK("https://android.googlesource.com/platform/cts/+/d33ff3b2401dd2d5785effdf7a9b74688ec1e118", "d33ff3b2401dd2d5785effdf7a9b74688ec1e118")</f>
        <v>0</v>
      </c>
      <c r="C15338">
        <f>HYPERLINK("https://android.googlesource.com/platform/cts/+/8bdd93caebf71c9683185b49475c6c725bb6ed6b", "8bdd93caebf71c9683185b49475c6c725bb6ed6b")</f>
        <v>0</v>
      </c>
      <c r="D15338" t="s">
        <v>4952</v>
      </c>
      <c r="E15338" t="s">
        <v>8308</v>
      </c>
      <c r="F15338" t="s">
        <v>12222</v>
      </c>
      <c r="G15338" t="s">
        <v>16452</v>
      </c>
      <c r="H15338" t="s">
        <v>32251</v>
      </c>
    </row>
    <row r="15339" spans="1:8">
      <c r="A15339" t="s">
        <v>2580</v>
      </c>
      <c r="B15339">
        <f>HYPERLINK("https://android.googlesource.com/platform/cts/+/bff1465d3e2f9aa13667a09a1035fbd63a927ee4", "bff1465d3e2f9aa13667a09a1035fbd63a927ee4")</f>
        <v>0</v>
      </c>
      <c r="C15339">
        <f>HYPERLINK("https://android.googlesource.com/platform/cts/+/c38f0e6aea074601a1720af755429f2f5e335413", "c38f0e6aea074601a1720af755429f2f5e335413")</f>
        <v>0</v>
      </c>
      <c r="D15339" t="s">
        <v>4952</v>
      </c>
      <c r="E15339" t="s">
        <v>8309</v>
      </c>
      <c r="F15339" t="s">
        <v>13913</v>
      </c>
      <c r="G15339" t="s">
        <v>17950</v>
      </c>
      <c r="H15339" t="s">
        <v>32253</v>
      </c>
    </row>
    <row r="15340" spans="1:8">
      <c r="H15340" t="s">
        <v>32254</v>
      </c>
    </row>
    <row r="15341" spans="1:8">
      <c r="A15341" t="s">
        <v>2581</v>
      </c>
      <c r="B15341">
        <f>HYPERLINK("https://android.googlesource.com/platform/cts/+/7a95546c64d7db691905229f80934099047dde07", "7a95546c64d7db691905229f80934099047dde07")</f>
        <v>0</v>
      </c>
      <c r="C15341">
        <f>HYPERLINK("https://android.googlesource.com/platform/cts/+/bff1465d3e2f9aa13667a09a1035fbd63a927ee4", "bff1465d3e2f9aa13667a09a1035fbd63a927ee4")</f>
        <v>0</v>
      </c>
      <c r="D15341" t="s">
        <v>4952</v>
      </c>
      <c r="E15341" t="s">
        <v>8310</v>
      </c>
      <c r="F15341" t="s">
        <v>13915</v>
      </c>
      <c r="G15341" t="s">
        <v>17951</v>
      </c>
      <c r="H15341" t="s">
        <v>32283</v>
      </c>
    </row>
    <row r="15342" spans="1:8">
      <c r="A15342" t="s">
        <v>2582</v>
      </c>
      <c r="B15342">
        <f>HYPERLINK("https://android.googlesource.com/platform/cts/+/2670baebb26f633ebbc567363897b67e32c43e38", "2670baebb26f633ebbc567363897b67e32c43e38")</f>
        <v>0</v>
      </c>
      <c r="C15342">
        <f>HYPERLINK("https://android.googlesource.com/platform/cts/+/7a95546c64d7db691905229f80934099047dde07", "7a95546c64d7db691905229f80934099047dde07")</f>
        <v>0</v>
      </c>
      <c r="D15342" t="s">
        <v>4952</v>
      </c>
      <c r="E15342" t="s">
        <v>8311</v>
      </c>
      <c r="F15342" t="s">
        <v>12342</v>
      </c>
      <c r="G15342" t="s">
        <v>16570</v>
      </c>
      <c r="H15342" t="s">
        <v>25011</v>
      </c>
    </row>
    <row r="15343" spans="1:8">
      <c r="H15343" t="s">
        <v>32312</v>
      </c>
    </row>
    <row r="15344" spans="1:8">
      <c r="H15344" t="s">
        <v>22836</v>
      </c>
    </row>
    <row r="15345" spans="1:8">
      <c r="A15345" t="s">
        <v>2585</v>
      </c>
      <c r="B15345">
        <f>HYPERLINK("https://android.googlesource.com/platform/cts/+/743ae41431e32eeeb333138cdb8ae2730249bf52", "743ae41431e32eeeb333138cdb8ae2730249bf52")</f>
        <v>0</v>
      </c>
      <c r="C15345">
        <f>HYPERLINK("https://android.googlesource.com/platform/cts/+/efacff51f07478f2469083807369bbbbd1de4558", "efacff51f07478f2469083807369bbbbd1de4558")</f>
        <v>0</v>
      </c>
      <c r="D15345" t="s">
        <v>4949</v>
      </c>
      <c r="E15345" t="s">
        <v>8314</v>
      </c>
      <c r="F15345" t="s">
        <v>13905</v>
      </c>
      <c r="G15345" t="s">
        <v>17942</v>
      </c>
      <c r="H15345" t="s">
        <v>32323</v>
      </c>
    </row>
    <row r="15346" spans="1:8">
      <c r="H15346" t="s">
        <v>32324</v>
      </c>
    </row>
    <row r="15347" spans="1:8">
      <c r="H15347" t="s">
        <v>32325</v>
      </c>
    </row>
    <row r="15348" spans="1:8">
      <c r="A15348" t="s">
        <v>2586</v>
      </c>
      <c r="B15348">
        <f>HYPERLINK("https://android.googlesource.com/platform/cts/+/f587758d2187cf7f5c0bbd5dd92d27474afa023a", "f587758d2187cf7f5c0bbd5dd92d27474afa023a")</f>
        <v>0</v>
      </c>
      <c r="C15348">
        <f>HYPERLINK("https://android.googlesource.com/platform/cts/+/f5eddf6575cecbb34c3ebac1e8324e6d44d4e496", "f5eddf6575cecbb34c3ebac1e8324e6d44d4e496")</f>
        <v>0</v>
      </c>
      <c r="D15348" t="s">
        <v>5383</v>
      </c>
      <c r="E15348" t="s">
        <v>8315</v>
      </c>
      <c r="F15348" t="s">
        <v>13924</v>
      </c>
      <c r="G15348" t="s">
        <v>17960</v>
      </c>
      <c r="H15348" t="s">
        <v>32326</v>
      </c>
    </row>
    <row r="15349" spans="1:8">
      <c r="H15349" t="s">
        <v>32327</v>
      </c>
    </row>
    <row r="15350" spans="1:8">
      <c r="A15350" t="s">
        <v>2587</v>
      </c>
      <c r="B15350">
        <f>HYPERLINK("https://android.googlesource.com/platform/cts/+/e3c13fd5c8207052ec8a422934f452b03282a0a2", "e3c13fd5c8207052ec8a422934f452b03282a0a2")</f>
        <v>0</v>
      </c>
      <c r="C15350">
        <f>HYPERLINK("https://android.googlesource.com/platform/cts/+/3dc07ab8c46cd2f975cc7b1c72b1aaf568d6945f", "3dc07ab8c46cd2f975cc7b1c72b1aaf568d6945f")</f>
        <v>0</v>
      </c>
      <c r="D15350" t="s">
        <v>5416</v>
      </c>
      <c r="E15350" t="s">
        <v>8316</v>
      </c>
      <c r="F15350" t="s">
        <v>13925</v>
      </c>
      <c r="G15350" t="s">
        <v>17961</v>
      </c>
      <c r="H15350" t="s">
        <v>32328</v>
      </c>
    </row>
    <row r="15351" spans="1:8">
      <c r="H15351" t="s">
        <v>32329</v>
      </c>
    </row>
    <row r="15352" spans="1:8">
      <c r="A15352" t="s">
        <v>2589</v>
      </c>
      <c r="B15352">
        <f>HYPERLINK("https://android.googlesource.com/platform/cts/+/edebba8429b14345c7682cc0b2879951f831e6c5", "edebba8429b14345c7682cc0b2879951f831e6c5")</f>
        <v>0</v>
      </c>
      <c r="C15352">
        <f>HYPERLINK("https://android.googlesource.com/platform/cts/+/022f74bffbd48b025bde4f3c1a572ce64c9a8989", "022f74bffbd48b025bde4f3c1a572ce64c9a8989")</f>
        <v>0</v>
      </c>
      <c r="D15352" t="s">
        <v>5389</v>
      </c>
      <c r="E15352" t="s">
        <v>8318</v>
      </c>
      <c r="F15352" t="s">
        <v>13926</v>
      </c>
      <c r="G15352" t="s">
        <v>17962</v>
      </c>
      <c r="H15352" t="s">
        <v>32330</v>
      </c>
    </row>
    <row r="15353" spans="1:8">
      <c r="A15353" t="s">
        <v>2590</v>
      </c>
      <c r="B15353">
        <f>HYPERLINK("https://android.googlesource.com/platform/cts/+/1c24b13dc85732074324b3c0fbe6dbd342a1cffe", "1c24b13dc85732074324b3c0fbe6dbd342a1cffe")</f>
        <v>0</v>
      </c>
      <c r="C15353">
        <f>HYPERLINK("https://android.googlesource.com/platform/cts/+/c8ead1b742441b58124543e3962d65b58b37fad8", "c8ead1b742441b58124543e3962d65b58b37fad8")</f>
        <v>0</v>
      </c>
      <c r="D15353" t="s">
        <v>5244</v>
      </c>
      <c r="E15353" t="s">
        <v>8319</v>
      </c>
      <c r="F15353" t="s">
        <v>13914</v>
      </c>
      <c r="G15353" t="s">
        <v>15170</v>
      </c>
      <c r="H15353" t="s">
        <v>32331</v>
      </c>
    </row>
    <row r="15354" spans="1:8">
      <c r="A15354" t="s">
        <v>2591</v>
      </c>
      <c r="B15354">
        <f>HYPERLINK("https://android.googlesource.com/platform/cts/+/abd338c23c91adbe7304bbbe62187f116e55bdc8", "abd338c23c91adbe7304bbbe62187f116e55bdc8")</f>
        <v>0</v>
      </c>
      <c r="C15354">
        <f>HYPERLINK("https://android.googlesource.com/platform/cts/+/35d0d356814009491ca3925a9bc0eac204fe0511", "35d0d356814009491ca3925a9bc0eac204fe0511")</f>
        <v>0</v>
      </c>
      <c r="D15354" t="s">
        <v>5417</v>
      </c>
      <c r="E15354" t="s">
        <v>8320</v>
      </c>
      <c r="F15354" t="s">
        <v>13927</v>
      </c>
      <c r="G15354" t="s">
        <v>17963</v>
      </c>
      <c r="H15354" t="s">
        <v>32332</v>
      </c>
    </row>
    <row r="15355" spans="1:8">
      <c r="A15355" t="s">
        <v>2593</v>
      </c>
      <c r="B15355">
        <f>HYPERLINK("https://android.googlesource.com/platform/cts/+/d708a4c217f13c9028427d98031394f0933482bf", "d708a4c217f13c9028427d98031394f0933482bf")</f>
        <v>0</v>
      </c>
      <c r="C15355">
        <f>HYPERLINK("https://android.googlesource.com/platform/cts/+/0e4743d56553d698ac45ae548f31019ea6e91541", "0e4743d56553d698ac45ae548f31019ea6e91541")</f>
        <v>0</v>
      </c>
      <c r="D15355" t="s">
        <v>5271</v>
      </c>
      <c r="E15355" t="s">
        <v>8322</v>
      </c>
      <c r="F15355" t="s">
        <v>13928</v>
      </c>
      <c r="G15355" t="s">
        <v>17964</v>
      </c>
      <c r="H15355" t="s">
        <v>32334</v>
      </c>
    </row>
    <row r="15356" spans="1:8">
      <c r="H15356" t="s">
        <v>32335</v>
      </c>
    </row>
    <row r="15357" spans="1:8">
      <c r="A15357" t="s">
        <v>2602</v>
      </c>
      <c r="B15357">
        <f>HYPERLINK("https://android.googlesource.com/platform/cts/+/a2436841c693cea94f0dbe4cae4265eb04e7f574", "a2436841c693cea94f0dbe4cae4265eb04e7f574")</f>
        <v>0</v>
      </c>
      <c r="C15357">
        <f>HYPERLINK("https://android.googlesource.com/platform/cts/+/3c371f85e66cb6e36bf77e74b3cd1fc04f2a8174", "3c371f85e66cb6e36bf77e74b3cd1fc04f2a8174")</f>
        <v>0</v>
      </c>
      <c r="D15357" t="s">
        <v>5419</v>
      </c>
      <c r="E15357" t="s">
        <v>8332</v>
      </c>
      <c r="F15357" t="s">
        <v>10700</v>
      </c>
      <c r="G15357" t="s">
        <v>15100</v>
      </c>
      <c r="H15357" t="s">
        <v>32340</v>
      </c>
    </row>
    <row r="15358" spans="1:8">
      <c r="H15358" t="s">
        <v>32341</v>
      </c>
    </row>
    <row r="15359" spans="1:8">
      <c r="H15359" t="s">
        <v>32342</v>
      </c>
    </row>
    <row r="15360" spans="1:8">
      <c r="A15360" t="s">
        <v>2607</v>
      </c>
      <c r="B15360">
        <f>HYPERLINK("https://android.googlesource.com/platform/cts/+/abd03c4c77c815859f419075b0281256ba3f1f71", "abd03c4c77c815859f419075b0281256ba3f1f71")</f>
        <v>0</v>
      </c>
      <c r="C15360">
        <f>HYPERLINK("https://android.googlesource.com/platform/cts/+/732767e5a99905480f9756a5dc7d12e8439782d5", "732767e5a99905480f9756a5dc7d12e8439782d5")</f>
        <v>0</v>
      </c>
      <c r="D15360" t="s">
        <v>5116</v>
      </c>
      <c r="E15360" t="s">
        <v>8337</v>
      </c>
      <c r="F15360" t="s">
        <v>13932</v>
      </c>
      <c r="G15360" t="s">
        <v>17966</v>
      </c>
      <c r="H15360" t="s">
        <v>32358</v>
      </c>
    </row>
    <row r="15361" spans="1:8">
      <c r="A15361" t="s">
        <v>2610</v>
      </c>
      <c r="B15361">
        <f>HYPERLINK("https://android.googlesource.com/platform/cts/+/161af4df4052f7c9221cda627f12e1f481569df3", "161af4df4052f7c9221cda627f12e1f481569df3")</f>
        <v>0</v>
      </c>
      <c r="C15361">
        <f>HYPERLINK("https://android.googlesource.com/platform/cts/+/d5d4cdb731aced9e2cbee2d9fd8a85e4e5b28180", "d5d4cdb731aced9e2cbee2d9fd8a85e4e5b28180")</f>
        <v>0</v>
      </c>
      <c r="D15361" t="s">
        <v>5117</v>
      </c>
      <c r="E15361" t="s">
        <v>8340</v>
      </c>
      <c r="F15361" t="s">
        <v>13905</v>
      </c>
      <c r="G15361" t="s">
        <v>17942</v>
      </c>
      <c r="H15361" t="s">
        <v>32359</v>
      </c>
    </row>
    <row r="15362" spans="1:8">
      <c r="A15362" t="s">
        <v>2612</v>
      </c>
      <c r="B15362">
        <f>HYPERLINK("https://android.googlesource.com/platform/cts/+/920960d7c38663c0fafb6e58127c2dc7ec013c78", "920960d7c38663c0fafb6e58127c2dc7ec013c78")</f>
        <v>0</v>
      </c>
      <c r="C15362">
        <f>HYPERLINK("https://android.googlesource.com/platform/cts/+/af978c6fe12a5cc5361607e56d42da09eb709653", "af978c6fe12a5cc5361607e56d42da09eb709653")</f>
        <v>0</v>
      </c>
      <c r="D15362" t="s">
        <v>5341</v>
      </c>
      <c r="E15362" t="s">
        <v>8342</v>
      </c>
      <c r="F15362" t="s">
        <v>10602</v>
      </c>
      <c r="G15362" t="s">
        <v>15005</v>
      </c>
      <c r="H15362" t="s">
        <v>32360</v>
      </c>
    </row>
    <row r="15363" spans="1:8">
      <c r="A15363" t="s">
        <v>2614</v>
      </c>
      <c r="B15363">
        <f>HYPERLINK("https://android.googlesource.com/platform/cts/+/bb78a6d3dc8629379eb388ca764102798ce865bd", "bb78a6d3dc8629379eb388ca764102798ce865bd")</f>
        <v>0</v>
      </c>
      <c r="C15363">
        <f>HYPERLINK("https://android.googlesource.com/platform/cts/+/aac8bb9ca616f70d4675c05e6cc3a96100152593", "aac8bb9ca616f70d4675c05e6cc3a96100152593")</f>
        <v>0</v>
      </c>
      <c r="D15363" t="s">
        <v>5352</v>
      </c>
      <c r="E15363" t="s">
        <v>8344</v>
      </c>
      <c r="F15363" t="s">
        <v>13933</v>
      </c>
      <c r="G15363" t="s">
        <v>17967</v>
      </c>
      <c r="H15363" t="s">
        <v>32362</v>
      </c>
    </row>
    <row r="15364" spans="1:8">
      <c r="A15364" t="s">
        <v>2620</v>
      </c>
      <c r="B15364">
        <f>HYPERLINK("https://android.googlesource.com/platform/cts/+/5f68f3e4a61830ecaa50c2aacd917fb663032901", "5f68f3e4a61830ecaa50c2aacd917fb663032901")</f>
        <v>0</v>
      </c>
      <c r="C15364">
        <f>HYPERLINK("https://android.googlesource.com/platform/cts/+/e6e7c3621e8f831a9f673fd90a60b666c4a77272", "e6e7c3621e8f831a9f673fd90a60b666c4a77272")</f>
        <v>0</v>
      </c>
      <c r="D15364" t="s">
        <v>5235</v>
      </c>
      <c r="E15364" t="s">
        <v>8351</v>
      </c>
      <c r="F15364" t="s">
        <v>13165</v>
      </c>
      <c r="G15364" t="s">
        <v>17315</v>
      </c>
      <c r="H15364" t="s">
        <v>32374</v>
      </c>
    </row>
    <row r="15365" spans="1:8">
      <c r="H15365" t="s">
        <v>32375</v>
      </c>
    </row>
    <row r="15366" spans="1:8">
      <c r="H15366" t="s">
        <v>32376</v>
      </c>
    </row>
    <row r="15367" spans="1:8">
      <c r="H15367" t="s">
        <v>32377</v>
      </c>
    </row>
    <row r="15368" spans="1:8">
      <c r="H15368" t="s">
        <v>32378</v>
      </c>
    </row>
    <row r="15369" spans="1:8">
      <c r="A15369" t="s">
        <v>2629</v>
      </c>
      <c r="B15369">
        <f>HYPERLINK("https://android.googlesource.com/platform/cts/+/4f387bea3034bc93a78767d282101135363e2531", "4f387bea3034bc93a78767d282101135363e2531")</f>
        <v>0</v>
      </c>
      <c r="C15369">
        <f>HYPERLINK("https://android.googlesource.com/platform/cts/+/d2a0d577f0b102530b5024969498de77a87a932c", "d2a0d577f0b102530b5024969498de77a87a932c")</f>
        <v>0</v>
      </c>
      <c r="D15369" t="s">
        <v>5411</v>
      </c>
      <c r="E15369" t="s">
        <v>8360</v>
      </c>
      <c r="F15369" t="s">
        <v>11435</v>
      </c>
      <c r="G15369" t="s">
        <v>15093</v>
      </c>
      <c r="H15369" t="s">
        <v>19140</v>
      </c>
    </row>
    <row r="15370" spans="1:8">
      <c r="H15370" t="s">
        <v>19141</v>
      </c>
    </row>
    <row r="15371" spans="1:8">
      <c r="H15371" t="s">
        <v>19142</v>
      </c>
    </row>
    <row r="15372" spans="1:8">
      <c r="H15372" t="s">
        <v>19143</v>
      </c>
    </row>
    <row r="15373" spans="1:8">
      <c r="H15373" t="s">
        <v>32398</v>
      </c>
    </row>
    <row r="15374" spans="1:8">
      <c r="H15374" t="s">
        <v>32399</v>
      </c>
    </row>
    <row r="15375" spans="1:8">
      <c r="A15375" t="s">
        <v>2631</v>
      </c>
      <c r="B15375">
        <f>HYPERLINK("https://android.googlesource.com/platform/cts/+/13a88896eda7c2c7a5439c560f0fdab6b240a5d2", "13a88896eda7c2c7a5439c560f0fdab6b240a5d2")</f>
        <v>0</v>
      </c>
      <c r="C15375">
        <f>HYPERLINK("https://android.googlesource.com/platform/cts/+/6742fc43fff2d34a682dce3c17f0daf745a00b5e", "6742fc43fff2d34a682dce3c17f0daf745a00b5e")</f>
        <v>0</v>
      </c>
      <c r="D15375" t="s">
        <v>4930</v>
      </c>
      <c r="E15375" t="s">
        <v>8362</v>
      </c>
      <c r="F15375" t="s">
        <v>13945</v>
      </c>
      <c r="G15375" t="s">
        <v>17973</v>
      </c>
      <c r="H15375" t="s">
        <v>32406</v>
      </c>
    </row>
    <row r="15376" spans="1:8">
      <c r="H15376" t="s">
        <v>32407</v>
      </c>
    </row>
    <row r="15377" spans="6:8">
      <c r="H15377" t="s">
        <v>32408</v>
      </c>
    </row>
    <row r="15378" spans="6:8">
      <c r="H15378" t="s">
        <v>32409</v>
      </c>
    </row>
    <row r="15379" spans="6:8">
      <c r="F15379" t="s">
        <v>13946</v>
      </c>
      <c r="G15379" t="s">
        <v>17974</v>
      </c>
      <c r="H15379" t="s">
        <v>30752</v>
      </c>
    </row>
    <row r="15380" spans="6:8">
      <c r="H15380" t="s">
        <v>30753</v>
      </c>
    </row>
    <row r="15381" spans="6:8">
      <c r="H15381" t="s">
        <v>30754</v>
      </c>
    </row>
    <row r="15382" spans="6:8">
      <c r="H15382" t="s">
        <v>32410</v>
      </c>
    </row>
    <row r="15383" spans="6:8">
      <c r="H15383" t="s">
        <v>32411</v>
      </c>
    </row>
    <row r="15384" spans="6:8">
      <c r="H15384" t="s">
        <v>30757</v>
      </c>
    </row>
    <row r="15385" spans="6:8">
      <c r="H15385" t="s">
        <v>30758</v>
      </c>
    </row>
    <row r="15386" spans="6:8">
      <c r="H15386" t="s">
        <v>30759</v>
      </c>
    </row>
    <row r="15387" spans="6:8">
      <c r="H15387" t="s">
        <v>30760</v>
      </c>
    </row>
    <row r="15388" spans="6:8">
      <c r="H15388" t="s">
        <v>30761</v>
      </c>
    </row>
    <row r="15389" spans="6:8">
      <c r="H15389" t="s">
        <v>30762</v>
      </c>
    </row>
    <row r="15390" spans="6:8">
      <c r="H15390" t="s">
        <v>30763</v>
      </c>
    </row>
    <row r="15391" spans="6:8">
      <c r="H15391" t="s">
        <v>30764</v>
      </c>
    </row>
    <row r="15392" spans="6:8">
      <c r="H15392" t="s">
        <v>30765</v>
      </c>
    </row>
    <row r="15393" spans="6:8">
      <c r="H15393" t="s">
        <v>30766</v>
      </c>
    </row>
    <row r="15394" spans="6:8">
      <c r="H15394" t="s">
        <v>30767</v>
      </c>
    </row>
    <row r="15395" spans="6:8">
      <c r="H15395" t="s">
        <v>30768</v>
      </c>
    </row>
    <row r="15396" spans="6:8">
      <c r="H15396" t="s">
        <v>30769</v>
      </c>
    </row>
    <row r="15397" spans="6:8">
      <c r="H15397" t="s">
        <v>30770</v>
      </c>
    </row>
    <row r="15398" spans="6:8">
      <c r="H15398" t="s">
        <v>30771</v>
      </c>
    </row>
    <row r="15399" spans="6:8">
      <c r="F15399" t="s">
        <v>13947</v>
      </c>
      <c r="G15399" t="s">
        <v>17975</v>
      </c>
      <c r="H15399" t="s">
        <v>32412</v>
      </c>
    </row>
    <row r="15400" spans="6:8">
      <c r="H15400" t="s">
        <v>32413</v>
      </c>
    </row>
    <row r="15401" spans="6:8">
      <c r="F15401" t="s">
        <v>13948</v>
      </c>
      <c r="G15401" t="s">
        <v>17976</v>
      </c>
      <c r="H15401" t="s">
        <v>19566</v>
      </c>
    </row>
    <row r="15402" spans="6:8">
      <c r="H15402" t="s">
        <v>32414</v>
      </c>
    </row>
    <row r="15403" spans="6:8">
      <c r="F15403" t="s">
        <v>13949</v>
      </c>
      <c r="G15403" t="s">
        <v>17470</v>
      </c>
      <c r="H15403" t="s">
        <v>32417</v>
      </c>
    </row>
    <row r="15404" spans="6:8">
      <c r="H15404" t="s">
        <v>32418</v>
      </c>
    </row>
    <row r="15405" spans="6:8">
      <c r="H15405" t="s">
        <v>32419</v>
      </c>
    </row>
    <row r="15406" spans="6:8">
      <c r="H15406" t="s">
        <v>32420</v>
      </c>
    </row>
    <row r="15407" spans="6:8">
      <c r="H15407" t="s">
        <v>32421</v>
      </c>
    </row>
    <row r="15408" spans="6:8">
      <c r="H15408" t="s">
        <v>32422</v>
      </c>
    </row>
    <row r="15409" spans="6:8">
      <c r="H15409" t="s">
        <v>32423</v>
      </c>
    </row>
    <row r="15410" spans="6:8">
      <c r="F15410" t="s">
        <v>13950</v>
      </c>
      <c r="G15410" t="s">
        <v>17977</v>
      </c>
      <c r="H15410" t="s">
        <v>32425</v>
      </c>
    </row>
    <row r="15411" spans="6:8">
      <c r="H15411" t="s">
        <v>32426</v>
      </c>
    </row>
    <row r="15412" spans="6:8">
      <c r="H15412" t="s">
        <v>32427</v>
      </c>
    </row>
    <row r="15413" spans="6:8">
      <c r="H15413" t="s">
        <v>32428</v>
      </c>
    </row>
    <row r="15414" spans="6:8">
      <c r="H15414" t="s">
        <v>32429</v>
      </c>
    </row>
    <row r="15415" spans="6:8">
      <c r="H15415" t="s">
        <v>32430</v>
      </c>
    </row>
    <row r="15416" spans="6:8">
      <c r="H15416" t="s">
        <v>32431</v>
      </c>
    </row>
    <row r="15417" spans="6:8">
      <c r="H15417" t="s">
        <v>32432</v>
      </c>
    </row>
    <row r="15418" spans="6:8">
      <c r="H15418" t="s">
        <v>32433</v>
      </c>
    </row>
    <row r="15419" spans="6:8">
      <c r="H15419" t="s">
        <v>32434</v>
      </c>
    </row>
    <row r="15420" spans="6:8">
      <c r="H15420" t="s">
        <v>32435</v>
      </c>
    </row>
    <row r="15421" spans="6:8">
      <c r="H15421" t="s">
        <v>32436</v>
      </c>
    </row>
    <row r="15422" spans="6:8">
      <c r="H15422" t="s">
        <v>32437</v>
      </c>
    </row>
    <row r="15423" spans="6:8">
      <c r="F15423" t="s">
        <v>13951</v>
      </c>
      <c r="G15423" t="s">
        <v>17978</v>
      </c>
      <c r="H15423" t="s">
        <v>32417</v>
      </c>
    </row>
    <row r="15424" spans="6:8">
      <c r="H15424" t="s">
        <v>32438</v>
      </c>
    </row>
    <row r="15425" spans="6:8">
      <c r="H15425" t="s">
        <v>32439</v>
      </c>
    </row>
    <row r="15426" spans="6:8">
      <c r="H15426" t="s">
        <v>32440</v>
      </c>
    </row>
    <row r="15427" spans="6:8">
      <c r="H15427" t="s">
        <v>32441</v>
      </c>
    </row>
    <row r="15428" spans="6:8">
      <c r="H15428" t="s">
        <v>32442</v>
      </c>
    </row>
    <row r="15429" spans="6:8">
      <c r="H15429" t="s">
        <v>32443</v>
      </c>
    </row>
    <row r="15430" spans="6:8">
      <c r="H15430" t="s">
        <v>32444</v>
      </c>
    </row>
    <row r="15431" spans="6:8">
      <c r="H15431" t="s">
        <v>32445</v>
      </c>
    </row>
    <row r="15432" spans="6:8">
      <c r="F15432" t="s">
        <v>13952</v>
      </c>
      <c r="G15432" t="s">
        <v>17979</v>
      </c>
      <c r="H15432" t="s">
        <v>32417</v>
      </c>
    </row>
    <row r="15433" spans="6:8">
      <c r="H15433" t="s">
        <v>32446</v>
      </c>
    </row>
    <row r="15434" spans="6:8">
      <c r="H15434" t="s">
        <v>32447</v>
      </c>
    </row>
    <row r="15435" spans="6:8">
      <c r="H15435" t="s">
        <v>32448</v>
      </c>
    </row>
    <row r="15436" spans="6:8">
      <c r="H15436" t="s">
        <v>32449</v>
      </c>
    </row>
    <row r="15437" spans="6:8">
      <c r="F15437" t="s">
        <v>13953</v>
      </c>
      <c r="G15437" t="s">
        <v>17980</v>
      </c>
      <c r="H15437" t="s">
        <v>32417</v>
      </c>
    </row>
    <row r="15438" spans="6:8">
      <c r="H15438" t="s">
        <v>32450</v>
      </c>
    </row>
    <row r="15439" spans="6:8">
      <c r="H15439" t="s">
        <v>32451</v>
      </c>
    </row>
    <row r="15440" spans="6:8">
      <c r="H15440" t="s">
        <v>32452</v>
      </c>
    </row>
    <row r="15441" spans="1:8">
      <c r="H15441" t="s">
        <v>32453</v>
      </c>
    </row>
    <row r="15442" spans="1:8">
      <c r="H15442" t="s">
        <v>32454</v>
      </c>
    </row>
    <row r="15443" spans="1:8">
      <c r="H15443" t="s">
        <v>32455</v>
      </c>
    </row>
    <row r="15444" spans="1:8">
      <c r="A15444" t="s">
        <v>2636</v>
      </c>
      <c r="B15444">
        <f>HYPERLINK("https://android.googlesource.com/platform/cts/+/1c3ffc1ab9f7c24bb01aab59b2bf098867d102cd", "1c3ffc1ab9f7c24bb01aab59b2bf098867d102cd")</f>
        <v>0</v>
      </c>
      <c r="C15444">
        <f>HYPERLINK("https://android.googlesource.com/platform/cts/+/e556f8234d386b4c90e38c9bb0db1cae3640a3bf", "e556f8234d386b4c90e38c9bb0db1cae3640a3bf")</f>
        <v>0</v>
      </c>
      <c r="D15444" t="s">
        <v>5117</v>
      </c>
      <c r="E15444" t="s">
        <v>8367</v>
      </c>
      <c r="F15444" t="s">
        <v>13905</v>
      </c>
      <c r="G15444" t="s">
        <v>17942</v>
      </c>
      <c r="H15444" t="s">
        <v>32465</v>
      </c>
    </row>
    <row r="15445" spans="1:8">
      <c r="H15445" t="s">
        <v>32466</v>
      </c>
    </row>
    <row r="15446" spans="1:8">
      <c r="A15446" t="s">
        <v>2638</v>
      </c>
      <c r="B15446">
        <f>HYPERLINK("https://android.googlesource.com/platform/cts/+/ad5eacc572c13ac6f53011ebc96fac474840f709", "ad5eacc572c13ac6f53011ebc96fac474840f709")</f>
        <v>0</v>
      </c>
      <c r="C15446">
        <f>HYPERLINK("https://android.googlesource.com/platform/cts/+/c9e3f4ee0f8cf3e77ea4717aed4c26e4986777a9", "c9e3f4ee0f8cf3e77ea4717aed4c26e4986777a9")</f>
        <v>0</v>
      </c>
      <c r="D15446" t="s">
        <v>5396</v>
      </c>
      <c r="E15446" t="s">
        <v>8369</v>
      </c>
      <c r="F15446" t="s">
        <v>13846</v>
      </c>
      <c r="G15446" t="s">
        <v>17889</v>
      </c>
      <c r="H15446" t="s">
        <v>32468</v>
      </c>
    </row>
    <row r="15447" spans="1:8">
      <c r="F15447" t="s">
        <v>13899</v>
      </c>
      <c r="G15447" t="s">
        <v>17889</v>
      </c>
      <c r="H15447" t="s">
        <v>32468</v>
      </c>
    </row>
    <row r="15448" spans="1:8">
      <c r="A15448" t="s">
        <v>2639</v>
      </c>
      <c r="B15448">
        <f>HYPERLINK("https://android.googlesource.com/platform/cts/+/c0f8161ccdc707df45b28a3d3a83641bb196fa9f", "c0f8161ccdc707df45b28a3d3a83641bb196fa9f")</f>
        <v>0</v>
      </c>
      <c r="C15448">
        <f>HYPERLINK("https://android.googlesource.com/platform/cts/+/6723e5a136c6be20de749e80893d3627de3099e5", "6723e5a136c6be20de749e80893d3627de3099e5")</f>
        <v>0</v>
      </c>
      <c r="D15448" t="s">
        <v>5307</v>
      </c>
      <c r="E15448" t="s">
        <v>8370</v>
      </c>
      <c r="F15448" t="s">
        <v>11435</v>
      </c>
      <c r="G15448" t="s">
        <v>15093</v>
      </c>
      <c r="H15448" t="s">
        <v>32482</v>
      </c>
    </row>
    <row r="15449" spans="1:8">
      <c r="H15449" t="s">
        <v>32483</v>
      </c>
    </row>
    <row r="15450" spans="1:8">
      <c r="H15450" t="s">
        <v>32484</v>
      </c>
    </row>
    <row r="15451" spans="1:8">
      <c r="H15451" t="s">
        <v>32485</v>
      </c>
    </row>
    <row r="15452" spans="1:8">
      <c r="H15452" t="s">
        <v>32487</v>
      </c>
    </row>
    <row r="15453" spans="1:8">
      <c r="H15453" t="s">
        <v>32488</v>
      </c>
    </row>
    <row r="15454" spans="1:8">
      <c r="H15454" t="s">
        <v>32489</v>
      </c>
    </row>
    <row r="15455" spans="1:8">
      <c r="H15455" t="s">
        <v>32490</v>
      </c>
    </row>
    <row r="15456" spans="1:8">
      <c r="H15456" t="s">
        <v>32493</v>
      </c>
    </row>
    <row r="15457" spans="8:8">
      <c r="H15457" t="s">
        <v>32494</v>
      </c>
    </row>
    <row r="15458" spans="8:8">
      <c r="H15458" t="s">
        <v>32495</v>
      </c>
    </row>
    <row r="15459" spans="8:8">
      <c r="H15459" t="s">
        <v>32496</v>
      </c>
    </row>
    <row r="15460" spans="8:8">
      <c r="H15460" t="s">
        <v>32497</v>
      </c>
    </row>
    <row r="15461" spans="8:8">
      <c r="H15461" t="s">
        <v>19140</v>
      </c>
    </row>
    <row r="15462" spans="8:8">
      <c r="H15462" t="s">
        <v>19141</v>
      </c>
    </row>
    <row r="15463" spans="8:8">
      <c r="H15463" t="s">
        <v>19142</v>
      </c>
    </row>
    <row r="15464" spans="8:8">
      <c r="H15464" t="s">
        <v>19143</v>
      </c>
    </row>
    <row r="15465" spans="8:8">
      <c r="H15465" t="s">
        <v>32507</v>
      </c>
    </row>
    <row r="15466" spans="8:8">
      <c r="H15466" t="s">
        <v>32508</v>
      </c>
    </row>
    <row r="15467" spans="8:8">
      <c r="H15467" t="s">
        <v>32509</v>
      </c>
    </row>
    <row r="15468" spans="8:8">
      <c r="H15468" t="s">
        <v>32510</v>
      </c>
    </row>
    <row r="15469" spans="8:8">
      <c r="H15469" t="s">
        <v>32511</v>
      </c>
    </row>
    <row r="15470" spans="8:8">
      <c r="H15470" t="s">
        <v>32512</v>
      </c>
    </row>
    <row r="15471" spans="8:8">
      <c r="H15471" t="s">
        <v>32513</v>
      </c>
    </row>
    <row r="15472" spans="8:8">
      <c r="H15472" t="s">
        <v>32514</v>
      </c>
    </row>
    <row r="15473" spans="1:8">
      <c r="H15473" t="s">
        <v>32398</v>
      </c>
    </row>
    <row r="15474" spans="1:8">
      <c r="H15474" t="s">
        <v>32399</v>
      </c>
    </row>
    <row r="15475" spans="1:8">
      <c r="H15475" t="s">
        <v>32515</v>
      </c>
    </row>
    <row r="15476" spans="1:8">
      <c r="H15476" t="s">
        <v>32516</v>
      </c>
    </row>
    <row r="15477" spans="1:8">
      <c r="H15477" t="s">
        <v>32517</v>
      </c>
    </row>
    <row r="15478" spans="1:8">
      <c r="H15478" t="s">
        <v>32520</v>
      </c>
    </row>
    <row r="15479" spans="1:8">
      <c r="H15479" t="s">
        <v>32521</v>
      </c>
    </row>
    <row r="15480" spans="1:8">
      <c r="H15480" t="s">
        <v>32522</v>
      </c>
    </row>
    <row r="15481" spans="1:8">
      <c r="H15481" t="s">
        <v>32523</v>
      </c>
    </row>
    <row r="15482" spans="1:8">
      <c r="H15482" t="s">
        <v>32524</v>
      </c>
    </row>
    <row r="15483" spans="1:8">
      <c r="H15483" t="s">
        <v>32525</v>
      </c>
    </row>
    <row r="15484" spans="1:8">
      <c r="A15484" t="s">
        <v>2640</v>
      </c>
      <c r="B15484">
        <f>HYPERLINK("https://android.googlesource.com/platform/cts/+/e77e2f9452b57fa8e5e3239ca365cb0e7fa98384", "e77e2f9452b57fa8e5e3239ca365cb0e7fa98384")</f>
        <v>0</v>
      </c>
      <c r="C15484">
        <f>HYPERLINK("https://android.googlesource.com/platform/cts/+/d714faf21b9a5f87dd0d9c8cfc6919512a4f0d25", "d714faf21b9a5f87dd0d9c8cfc6919512a4f0d25")</f>
        <v>0</v>
      </c>
      <c r="D15484" t="s">
        <v>4949</v>
      </c>
      <c r="E15484" t="s">
        <v>8371</v>
      </c>
      <c r="F15484" t="s">
        <v>13955</v>
      </c>
      <c r="G15484" t="s">
        <v>17564</v>
      </c>
      <c r="H15484" t="s">
        <v>32527</v>
      </c>
    </row>
    <row r="15485" spans="1:8">
      <c r="A15485" t="s">
        <v>2648</v>
      </c>
      <c r="B15485">
        <f>HYPERLINK("https://android.googlesource.com/platform/cts/+/e3ff8857fdb44c59447fb8a4bed090b559ce8464", "e3ff8857fdb44c59447fb8a4bed090b559ce8464")</f>
        <v>0</v>
      </c>
      <c r="C15485">
        <f>HYPERLINK("https://android.googlesource.com/platform/cts/+/195e46acbb61ca7295ed93011a8b0e7757f520e5", "195e46acbb61ca7295ed93011a8b0e7757f520e5")</f>
        <v>0</v>
      </c>
      <c r="D15485" t="s">
        <v>5117</v>
      </c>
      <c r="E15485" t="s">
        <v>8379</v>
      </c>
      <c r="F15485" t="s">
        <v>13905</v>
      </c>
      <c r="G15485" t="s">
        <v>17942</v>
      </c>
      <c r="H15485" t="s">
        <v>32540</v>
      </c>
    </row>
    <row r="15486" spans="1:8">
      <c r="H15486" t="s">
        <v>32541</v>
      </c>
    </row>
    <row r="15487" spans="1:8">
      <c r="H15487" t="s">
        <v>32542</v>
      </c>
    </row>
    <row r="15488" spans="1:8">
      <c r="A15488" t="s">
        <v>2651</v>
      </c>
      <c r="B15488">
        <f>HYPERLINK("https://android.googlesource.com/platform/cts/+/7176d662baf2a4d9648af6f8c33305bfe18089c3", "7176d662baf2a4d9648af6f8c33305bfe18089c3")</f>
        <v>0</v>
      </c>
      <c r="C15488">
        <f>HYPERLINK("https://android.googlesource.com/platform/cts/+/3e18b410e40da69cad59141be8890efa0b975f74", "3e18b410e40da69cad59141be8890efa0b975f74")</f>
        <v>0</v>
      </c>
      <c r="D15488" t="s">
        <v>5401</v>
      </c>
      <c r="E15488" t="s">
        <v>8382</v>
      </c>
      <c r="F15488" t="s">
        <v>10700</v>
      </c>
      <c r="G15488" t="s">
        <v>15100</v>
      </c>
      <c r="H15488" t="s">
        <v>32549</v>
      </c>
    </row>
    <row r="15489" spans="1:8">
      <c r="H15489" t="s">
        <v>32550</v>
      </c>
    </row>
    <row r="15490" spans="1:8">
      <c r="A15490" t="s">
        <v>2652</v>
      </c>
      <c r="B15490">
        <f>HYPERLINK("https://android.googlesource.com/platform/cts/+/35de32cfcdb0723b638c946ead9a150f69268bc2", "35de32cfcdb0723b638c946ead9a150f69268bc2")</f>
        <v>0</v>
      </c>
      <c r="C15490">
        <f>HYPERLINK("https://android.googlesource.com/platform/cts/+/64e9f5500752e8df16fe2cc3dedac53bdf364942", "64e9f5500752e8df16fe2cc3dedac53bdf364942")</f>
        <v>0</v>
      </c>
      <c r="D15490" t="s">
        <v>5401</v>
      </c>
      <c r="E15490" t="s">
        <v>8383</v>
      </c>
      <c r="F15490" t="s">
        <v>10700</v>
      </c>
      <c r="G15490" t="s">
        <v>15100</v>
      </c>
      <c r="H15490" t="s">
        <v>32549</v>
      </c>
    </row>
    <row r="15491" spans="1:8">
      <c r="H15491" t="s">
        <v>32550</v>
      </c>
    </row>
    <row r="15492" spans="1:8">
      <c r="A15492" t="s">
        <v>2655</v>
      </c>
      <c r="B15492">
        <f>HYPERLINK("https://android.googlesource.com/platform/cts/+/e5ffde0ef126f112431805cff0a2a8a2f17a45a4", "e5ffde0ef126f112431805cff0a2a8a2f17a45a4")</f>
        <v>0</v>
      </c>
      <c r="C15492">
        <f>HYPERLINK("https://android.googlesource.com/platform/cts/+/5af7db015fc2ac1a1499684cde3ebeb8491e093c", "5af7db015fc2ac1a1499684cde3ebeb8491e093c")</f>
        <v>0</v>
      </c>
      <c r="D15492" t="s">
        <v>5180</v>
      </c>
      <c r="E15492" t="s">
        <v>8386</v>
      </c>
      <c r="F15492" t="s">
        <v>13506</v>
      </c>
      <c r="G15492" t="s">
        <v>17623</v>
      </c>
      <c r="H15492" t="s">
        <v>30030</v>
      </c>
    </row>
    <row r="15493" spans="1:8">
      <c r="F15493" t="s">
        <v>13508</v>
      </c>
      <c r="G15493" t="s">
        <v>17625</v>
      </c>
      <c r="H15493" t="s">
        <v>32552</v>
      </c>
    </row>
    <row r="15494" spans="1:8">
      <c r="A15494" t="s">
        <v>2656</v>
      </c>
      <c r="B15494">
        <f>HYPERLINK("https://android.googlesource.com/platform/cts/+/70d4f1e1be3bd5839a23d71fb2e4342842ad21d1", "70d4f1e1be3bd5839a23d71fb2e4342842ad21d1")</f>
        <v>0</v>
      </c>
      <c r="C15494">
        <f>HYPERLINK("https://android.googlesource.com/platform/cts/+/2acd0cf5b13aaa50dc5db084c6904c69335e8c0c", "2acd0cf5b13aaa50dc5db084c6904c69335e8c0c")</f>
        <v>0</v>
      </c>
      <c r="D15494" t="s">
        <v>5135</v>
      </c>
      <c r="E15494" t="s">
        <v>8387</v>
      </c>
      <c r="F15494" t="s">
        <v>13959</v>
      </c>
      <c r="G15494" t="s">
        <v>17985</v>
      </c>
      <c r="H15494" t="s">
        <v>32553</v>
      </c>
    </row>
    <row r="15495" spans="1:8">
      <c r="A15495" t="s">
        <v>2657</v>
      </c>
      <c r="B15495">
        <f>HYPERLINK("https://android.googlesource.com/platform/cts/+/60effdd180c8a2fbd0f47c4d5a27b69de1fc893c", "60effdd180c8a2fbd0f47c4d5a27b69de1fc893c")</f>
        <v>0</v>
      </c>
      <c r="C15495">
        <f>HYPERLINK("https://android.googlesource.com/platform/cts/+/e90d5a3190f688e8906acd61547b416d4b69389f", "e90d5a3190f688e8906acd61547b416d4b69389f")</f>
        <v>0</v>
      </c>
      <c r="D15495" t="s">
        <v>5423</v>
      </c>
      <c r="E15495" t="s">
        <v>8388</v>
      </c>
      <c r="F15495" t="s">
        <v>13960</v>
      </c>
      <c r="G15495" t="s">
        <v>17986</v>
      </c>
      <c r="H15495" t="s">
        <v>32554</v>
      </c>
    </row>
    <row r="15496" spans="1:8">
      <c r="H15496" t="s">
        <v>32555</v>
      </c>
    </row>
    <row r="15497" spans="1:8">
      <c r="H15497" t="s">
        <v>32556</v>
      </c>
    </row>
    <row r="15498" spans="1:8">
      <c r="H15498" t="s">
        <v>32557</v>
      </c>
    </row>
    <row r="15499" spans="1:8">
      <c r="A15499" t="s">
        <v>2658</v>
      </c>
      <c r="B15499">
        <f>HYPERLINK("https://android.googlesource.com/platform/cts/+/aa64520329ab16ed7a223bc79ebff367401cb234", "aa64520329ab16ed7a223bc79ebff367401cb234")</f>
        <v>0</v>
      </c>
      <c r="C15499">
        <f>HYPERLINK("https://android.googlesource.com/platform/cts/+/eb51256a001838343d1e22b5ce810fb043584afd", "eb51256a001838343d1e22b5ce810fb043584afd")</f>
        <v>0</v>
      </c>
      <c r="D15499" t="s">
        <v>5360</v>
      </c>
      <c r="E15499" t="s">
        <v>8389</v>
      </c>
      <c r="F15499" t="s">
        <v>13961</v>
      </c>
      <c r="G15499" t="s">
        <v>17987</v>
      </c>
      <c r="H15499" t="s">
        <v>32558</v>
      </c>
    </row>
    <row r="15500" spans="1:8">
      <c r="A15500" t="s">
        <v>2660</v>
      </c>
      <c r="B15500">
        <f>HYPERLINK("https://android.googlesource.com/platform/cts/+/e46f6dbede5c2b328d3edbc53fecb8f880e45eee", "e46f6dbede5c2b328d3edbc53fecb8f880e45eee")</f>
        <v>0</v>
      </c>
      <c r="C15500">
        <f>HYPERLINK("https://android.googlesource.com/platform/cts/+/aa64520329ab16ed7a223bc79ebff367401cb234", "aa64520329ab16ed7a223bc79ebff367401cb234")</f>
        <v>0</v>
      </c>
      <c r="D15500" t="s">
        <v>5425</v>
      </c>
      <c r="E15500" t="s">
        <v>8391</v>
      </c>
      <c r="F15500" t="s">
        <v>13961</v>
      </c>
      <c r="G15500" t="s">
        <v>17987</v>
      </c>
      <c r="H15500" t="s">
        <v>32560</v>
      </c>
    </row>
    <row r="15501" spans="1:8">
      <c r="A15501" t="s">
        <v>2664</v>
      </c>
      <c r="B15501">
        <f>HYPERLINK("https://android.googlesource.com/platform/cts/+/fc3b51264a555a380a1991a876ab8765db8fe2fb", "fc3b51264a555a380a1991a876ab8765db8fe2fb")</f>
        <v>0</v>
      </c>
      <c r="C15501">
        <f>HYPERLINK("https://android.googlesource.com/platform/cts/+/f52a40c520c29a2cc63df5bf74e1df47c0bca679", "f52a40c520c29a2cc63df5bf74e1df47c0bca679")</f>
        <v>0</v>
      </c>
      <c r="D15501" t="s">
        <v>5360</v>
      </c>
      <c r="E15501" t="s">
        <v>8394</v>
      </c>
      <c r="F15501" t="s">
        <v>13961</v>
      </c>
      <c r="G15501" t="s">
        <v>17987</v>
      </c>
      <c r="H15501" t="s">
        <v>32558</v>
      </c>
    </row>
    <row r="15502" spans="1:8">
      <c r="A15502" t="s">
        <v>2665</v>
      </c>
      <c r="B15502">
        <f>HYPERLINK("https://android.googlesource.com/platform/cts/+/f03888ea13c53951d19cc2ac8fb1e41213cb010c", "f03888ea13c53951d19cc2ac8fb1e41213cb010c")</f>
        <v>0</v>
      </c>
      <c r="C15502">
        <f>HYPERLINK("https://android.googlesource.com/platform/cts/+/427983fa237d38afae6138137bc9f38762ef1fbb", "427983fa237d38afae6138137bc9f38762ef1fbb")</f>
        <v>0</v>
      </c>
      <c r="D15502" t="s">
        <v>5310</v>
      </c>
      <c r="E15502" t="s">
        <v>8395</v>
      </c>
      <c r="F15502" t="s">
        <v>13967</v>
      </c>
      <c r="G15502" t="s">
        <v>17992</v>
      </c>
      <c r="H15502" t="s">
        <v>32564</v>
      </c>
    </row>
    <row r="15503" spans="1:8">
      <c r="A15503" t="s">
        <v>2666</v>
      </c>
      <c r="B15503">
        <f>HYPERLINK("https://android.googlesource.com/platform/cts/+/43b9b35b191186be7eeaac1ad058385cb16174e4", "43b9b35b191186be7eeaac1ad058385cb16174e4")</f>
        <v>0</v>
      </c>
      <c r="C15503">
        <f>HYPERLINK("https://android.googlesource.com/platform/cts/+/8a224c44a762aec10c3a78bb0e7840cc38c6aca0", "8a224c44a762aec10c3a78bb0e7840cc38c6aca0")</f>
        <v>0</v>
      </c>
      <c r="D15503" t="s">
        <v>5189</v>
      </c>
      <c r="E15503" t="s">
        <v>8396</v>
      </c>
      <c r="F15503" t="s">
        <v>12419</v>
      </c>
      <c r="G15503" t="s">
        <v>16641</v>
      </c>
      <c r="H15503" t="s">
        <v>32566</v>
      </c>
    </row>
    <row r="15504" spans="1:8">
      <c r="H15504" t="s">
        <v>32567</v>
      </c>
    </row>
    <row r="15505" spans="8:8">
      <c r="H15505" t="s">
        <v>32568</v>
      </c>
    </row>
    <row r="15506" spans="8:8">
      <c r="H15506" t="s">
        <v>22581</v>
      </c>
    </row>
    <row r="15507" spans="8:8">
      <c r="H15507" t="s">
        <v>30867</v>
      </c>
    </row>
    <row r="15508" spans="8:8">
      <c r="H15508" t="s">
        <v>32572</v>
      </c>
    </row>
    <row r="15509" spans="8:8">
      <c r="H15509" t="s">
        <v>32573</v>
      </c>
    </row>
    <row r="15510" spans="8:8">
      <c r="H15510" t="s">
        <v>32574</v>
      </c>
    </row>
    <row r="15511" spans="8:8">
      <c r="H15511" t="s">
        <v>32575</v>
      </c>
    </row>
    <row r="15512" spans="8:8">
      <c r="H15512" t="s">
        <v>22583</v>
      </c>
    </row>
    <row r="15513" spans="8:8">
      <c r="H15513" t="s">
        <v>32581</v>
      </c>
    </row>
    <row r="15514" spans="8:8">
      <c r="H15514" t="s">
        <v>32582</v>
      </c>
    </row>
    <row r="15515" spans="8:8">
      <c r="H15515" t="s">
        <v>32583</v>
      </c>
    </row>
    <row r="15516" spans="8:8">
      <c r="H15516" t="s">
        <v>32584</v>
      </c>
    </row>
    <row r="15517" spans="8:8">
      <c r="H15517" t="s">
        <v>32585</v>
      </c>
    </row>
    <row r="15518" spans="8:8">
      <c r="H15518" t="s">
        <v>32586</v>
      </c>
    </row>
    <row r="15519" spans="8:8">
      <c r="H15519" t="s">
        <v>32587</v>
      </c>
    </row>
    <row r="15520" spans="8:8">
      <c r="H15520" t="s">
        <v>32588</v>
      </c>
    </row>
    <row r="15521" spans="8:8">
      <c r="H15521" t="s">
        <v>32590</v>
      </c>
    </row>
    <row r="15522" spans="8:8">
      <c r="H15522" t="s">
        <v>32591</v>
      </c>
    </row>
    <row r="15523" spans="8:8">
      <c r="H15523" t="s">
        <v>32592</v>
      </c>
    </row>
    <row r="15524" spans="8:8">
      <c r="H15524" t="s">
        <v>32593</v>
      </c>
    </row>
    <row r="15525" spans="8:8">
      <c r="H15525" t="s">
        <v>32594</v>
      </c>
    </row>
    <row r="15526" spans="8:8">
      <c r="H15526" t="s">
        <v>32595</v>
      </c>
    </row>
    <row r="15527" spans="8:8">
      <c r="H15527" t="s">
        <v>32598</v>
      </c>
    </row>
    <row r="15528" spans="8:8">
      <c r="H15528" t="s">
        <v>32599</v>
      </c>
    </row>
    <row r="15529" spans="8:8">
      <c r="H15529" t="s">
        <v>32600</v>
      </c>
    </row>
    <row r="15530" spans="8:8">
      <c r="H15530" t="s">
        <v>32601</v>
      </c>
    </row>
    <row r="15531" spans="8:8">
      <c r="H15531" t="s">
        <v>32602</v>
      </c>
    </row>
    <row r="15532" spans="8:8">
      <c r="H15532" t="s">
        <v>32603</v>
      </c>
    </row>
    <row r="15533" spans="8:8">
      <c r="H15533" t="s">
        <v>32604</v>
      </c>
    </row>
    <row r="15534" spans="8:8">
      <c r="H15534" t="s">
        <v>32605</v>
      </c>
    </row>
    <row r="15535" spans="8:8">
      <c r="H15535" t="s">
        <v>32606</v>
      </c>
    </row>
    <row r="15536" spans="8:8">
      <c r="H15536" t="s">
        <v>32607</v>
      </c>
    </row>
    <row r="15537" spans="1:8">
      <c r="H15537" t="s">
        <v>32608</v>
      </c>
    </row>
    <row r="15538" spans="1:8">
      <c r="H15538" t="s">
        <v>32609</v>
      </c>
    </row>
    <row r="15539" spans="1:8">
      <c r="H15539" t="s">
        <v>32610</v>
      </c>
    </row>
    <row r="15540" spans="1:8">
      <c r="H15540" t="s">
        <v>32615</v>
      </c>
    </row>
    <row r="15541" spans="1:8">
      <c r="A15541" t="s">
        <v>2668</v>
      </c>
      <c r="B15541">
        <f>HYPERLINK("https://android.googlesource.com/platform/cts/+/756988f11c10eff5db6cb3f73890f38df29de9a6", "756988f11c10eff5db6cb3f73890f38df29de9a6")</f>
        <v>0</v>
      </c>
      <c r="C15541">
        <f>HYPERLINK("https://android.googlesource.com/platform/cts/+/1cee75d960368f15fa11f0a298ff1fec87d2623f", "1cee75d960368f15fa11f0a298ff1fec87d2623f")</f>
        <v>0</v>
      </c>
      <c r="D15541" t="s">
        <v>5375</v>
      </c>
      <c r="E15541" t="s">
        <v>8398</v>
      </c>
      <c r="F15541" t="s">
        <v>10664</v>
      </c>
      <c r="G15541" t="s">
        <v>15065</v>
      </c>
      <c r="H15541" t="s">
        <v>32628</v>
      </c>
    </row>
    <row r="15542" spans="1:8">
      <c r="A15542" t="s">
        <v>2672</v>
      </c>
      <c r="B15542">
        <f>HYPERLINK("https://android.googlesource.com/platform/cts/+/7bd0b59309e66f363434226dca7a85eaab457f38", "7bd0b59309e66f363434226dca7a85eaab457f38")</f>
        <v>0</v>
      </c>
      <c r="C15542">
        <f>HYPERLINK("https://android.googlesource.com/platform/cts/+/9a25299173fae21e52e3d49e7a00c2d1ea56a2c9", "9a25299173fae21e52e3d49e7a00c2d1ea56a2c9")</f>
        <v>0</v>
      </c>
      <c r="D15542" t="s">
        <v>5148</v>
      </c>
      <c r="E15542" t="s">
        <v>8402</v>
      </c>
      <c r="F15542" t="s">
        <v>13718</v>
      </c>
      <c r="G15542" t="s">
        <v>17785</v>
      </c>
      <c r="H15542" t="s">
        <v>32638</v>
      </c>
    </row>
    <row r="15543" spans="1:8">
      <c r="A15543" t="s">
        <v>2676</v>
      </c>
      <c r="B15543">
        <f>HYPERLINK("https://android.googlesource.com/platform/cts/+/61fff8c371dba843aaa870a36478603b3985b720", "61fff8c371dba843aaa870a36478603b3985b720")</f>
        <v>0</v>
      </c>
      <c r="C15543">
        <f>HYPERLINK("https://android.googlesource.com/platform/cts/+/4b7a0d79a6b8d8af33a8586d77d16ae3dc7adf3c", "4b7a0d79a6b8d8af33a8586d77d16ae3dc7adf3c")</f>
        <v>0</v>
      </c>
      <c r="D15543" t="s">
        <v>5431</v>
      </c>
      <c r="E15543" t="s">
        <v>8406</v>
      </c>
      <c r="F15543" t="s">
        <v>12629</v>
      </c>
      <c r="G15543" t="s">
        <v>16838</v>
      </c>
      <c r="H15543" t="s">
        <v>32646</v>
      </c>
    </row>
    <row r="15544" spans="1:8">
      <c r="H15544" t="s">
        <v>32647</v>
      </c>
    </row>
    <row r="15545" spans="1:8">
      <c r="H15545" t="s">
        <v>32648</v>
      </c>
    </row>
    <row r="15546" spans="1:8">
      <c r="H15546" t="s">
        <v>32649</v>
      </c>
    </row>
    <row r="15547" spans="1:8">
      <c r="H15547" t="s">
        <v>32650</v>
      </c>
    </row>
    <row r="15548" spans="1:8">
      <c r="A15548" t="s">
        <v>2677</v>
      </c>
      <c r="B15548">
        <f>HYPERLINK("https://android.googlesource.com/platform/cts/+/630d0622333ff2e38fbab46540673c575b30daf1", "630d0622333ff2e38fbab46540673c575b30daf1")</f>
        <v>0</v>
      </c>
      <c r="C15548">
        <f>HYPERLINK("https://android.googlesource.com/platform/cts/+/c5ac8d75931f1dca637909939db546a058c3153a", "c5ac8d75931f1dca637909939db546a058c3153a")</f>
        <v>0</v>
      </c>
      <c r="D15548" t="s">
        <v>5431</v>
      </c>
      <c r="E15548" t="s">
        <v>8407</v>
      </c>
      <c r="F15548" t="s">
        <v>12629</v>
      </c>
      <c r="G15548" t="s">
        <v>16838</v>
      </c>
      <c r="H15548" t="s">
        <v>32646</v>
      </c>
    </row>
    <row r="15549" spans="1:8">
      <c r="H15549" t="s">
        <v>32647</v>
      </c>
    </row>
    <row r="15550" spans="1:8">
      <c r="H15550" t="s">
        <v>32648</v>
      </c>
    </row>
    <row r="15551" spans="1:8">
      <c r="H15551" t="s">
        <v>32649</v>
      </c>
    </row>
    <row r="15552" spans="1:8">
      <c r="H15552" t="s">
        <v>32650</v>
      </c>
    </row>
    <row r="15553" spans="1:8">
      <c r="A15553" t="s">
        <v>2679</v>
      </c>
      <c r="B15553">
        <f>HYPERLINK("https://android.googlesource.com/platform/cts/+/3906e04b846df21f05214922ba058ad889df4d77", "3906e04b846df21f05214922ba058ad889df4d77")</f>
        <v>0</v>
      </c>
      <c r="C15553">
        <f>HYPERLINK("https://android.googlesource.com/platform/cts/+/fb4ce374935e5288201cfea6d5f3fa813346ffb6", "fb4ce374935e5288201cfea6d5f3fa813346ffb6")</f>
        <v>0</v>
      </c>
      <c r="D15553" t="s">
        <v>5431</v>
      </c>
      <c r="E15553" t="s">
        <v>8409</v>
      </c>
      <c r="F15553" t="s">
        <v>13971</v>
      </c>
      <c r="G15553" t="s">
        <v>17996</v>
      </c>
      <c r="H15553" t="s">
        <v>32653</v>
      </c>
    </row>
    <row r="15554" spans="1:8">
      <c r="A15554" t="s">
        <v>2681</v>
      </c>
      <c r="B15554">
        <f>HYPERLINK("https://android.googlesource.com/platform/cts/+/d01e46d45b7f7887a93fc5040b44e89eadfef79f", "d01e46d45b7f7887a93fc5040b44e89eadfef79f")</f>
        <v>0</v>
      </c>
      <c r="C15554">
        <f>HYPERLINK("https://android.googlesource.com/platform/cts/+/dc5509b3ab6fc59ffe470dff4ea8be22c61ba6f0", "dc5509b3ab6fc59ffe470dff4ea8be22c61ba6f0")</f>
        <v>0</v>
      </c>
      <c r="D15554" t="s">
        <v>5432</v>
      </c>
      <c r="E15554" t="s">
        <v>8411</v>
      </c>
      <c r="F15554" t="s">
        <v>13716</v>
      </c>
      <c r="G15554" t="s">
        <v>17783</v>
      </c>
      <c r="H15554" t="s">
        <v>32655</v>
      </c>
    </row>
    <row r="15555" spans="1:8">
      <c r="A15555" t="s">
        <v>2682</v>
      </c>
      <c r="B15555">
        <f>HYPERLINK("https://android.googlesource.com/platform/cts/+/5a41cd43634c8964ac962cd60a5d01ba0d2f3d83", "5a41cd43634c8964ac962cd60a5d01ba0d2f3d83")</f>
        <v>0</v>
      </c>
      <c r="C15555">
        <f>HYPERLINK("https://android.googlesource.com/platform/cts/+/2b513ac5528482f74af06d43f636b5cc2a4cd237", "2b513ac5528482f74af06d43f636b5cc2a4cd237")</f>
        <v>0</v>
      </c>
      <c r="D15555" t="s">
        <v>5341</v>
      </c>
      <c r="E15555" t="s">
        <v>8412</v>
      </c>
      <c r="F15555" t="s">
        <v>13917</v>
      </c>
      <c r="G15555" t="s">
        <v>17953</v>
      </c>
      <c r="H15555" t="s">
        <v>32656</v>
      </c>
    </row>
    <row r="15556" spans="1:8">
      <c r="H15556" t="s">
        <v>32657</v>
      </c>
    </row>
    <row r="15557" spans="1:8">
      <c r="A15557" t="s">
        <v>2683</v>
      </c>
      <c r="B15557">
        <f>HYPERLINK("https://android.googlesource.com/platform/cts/+/e4b9d27d1f9d2da9e8cace3f023fc11de4fddfef", "e4b9d27d1f9d2da9e8cace3f023fc11de4fddfef")</f>
        <v>0</v>
      </c>
      <c r="C15557">
        <f>HYPERLINK("https://android.googlesource.com/platform/cts/+/a35f8169ababb9f61ba44527e19f9d19917a4559", "a35f8169ababb9f61ba44527e19f9d19917a4559")</f>
        <v>0</v>
      </c>
      <c r="D15557" t="s">
        <v>5189</v>
      </c>
      <c r="E15557" t="s">
        <v>8413</v>
      </c>
      <c r="F15557" t="s">
        <v>13136</v>
      </c>
      <c r="G15557" t="s">
        <v>17293</v>
      </c>
      <c r="H15557" t="s">
        <v>32658</v>
      </c>
    </row>
    <row r="15558" spans="1:8">
      <c r="H15558" t="s">
        <v>32659</v>
      </c>
    </row>
    <row r="15559" spans="1:8">
      <c r="A15559" t="s">
        <v>2687</v>
      </c>
      <c r="B15559">
        <f>HYPERLINK("https://android.googlesource.com/platform/cts/+/c2a37aedc82815efd368e362fd878d6989090593", "c2a37aedc82815efd368e362fd878d6989090593")</f>
        <v>0</v>
      </c>
      <c r="C15559">
        <f>HYPERLINK("https://android.googlesource.com/platform/cts/+/6779289675e20733c0304141963748d2740bf823", "6779289675e20733c0304141963748d2740bf823")</f>
        <v>0</v>
      </c>
      <c r="D15559" t="s">
        <v>5434</v>
      </c>
      <c r="E15559" t="s">
        <v>8417</v>
      </c>
      <c r="F15559" t="s">
        <v>13972</v>
      </c>
      <c r="G15559" t="s">
        <v>17997</v>
      </c>
      <c r="H15559" t="s">
        <v>32662</v>
      </c>
    </row>
    <row r="15560" spans="1:8">
      <c r="H15560" t="s">
        <v>32663</v>
      </c>
    </row>
    <row r="15561" spans="1:8">
      <c r="H15561" t="s">
        <v>32664</v>
      </c>
    </row>
    <row r="15562" spans="1:8">
      <c r="H15562" t="s">
        <v>32665</v>
      </c>
    </row>
    <row r="15563" spans="1:8">
      <c r="A15563" t="s">
        <v>2688</v>
      </c>
      <c r="B15563">
        <f>HYPERLINK("https://android.googlesource.com/platform/cts/+/50b3e8d0c74d57e225e74e934e84298f0e09f640", "50b3e8d0c74d57e225e74e934e84298f0e09f640")</f>
        <v>0</v>
      </c>
      <c r="C15563">
        <f>HYPERLINK("https://android.googlesource.com/platform/cts/+/c0550250bf892f20acdd89a82f56a50484360d50", "c0550250bf892f20acdd89a82f56a50484360d50")</f>
        <v>0</v>
      </c>
      <c r="D15563" t="s">
        <v>5359</v>
      </c>
      <c r="E15563" t="s">
        <v>8418</v>
      </c>
      <c r="F15563" t="s">
        <v>13973</v>
      </c>
      <c r="G15563" t="s">
        <v>17998</v>
      </c>
      <c r="H15563" t="s">
        <v>32666</v>
      </c>
    </row>
    <row r="15564" spans="1:8">
      <c r="H15564" t="s">
        <v>32667</v>
      </c>
    </row>
    <row r="15565" spans="1:8">
      <c r="A15565" t="s">
        <v>2691</v>
      </c>
      <c r="B15565">
        <f>HYPERLINK("https://android.googlesource.com/platform/cts/+/09d755d4ee3d06f50886073de3f9f5787f3b09f6", "09d755d4ee3d06f50886073de3f9f5787f3b09f6")</f>
        <v>0</v>
      </c>
      <c r="C15565">
        <f>HYPERLINK("https://android.googlesource.com/platform/cts/+/c2dbc645ffc40457cd9d085a5f751df5c32594cb", "c2dbc645ffc40457cd9d085a5f751df5c32594cb")</f>
        <v>0</v>
      </c>
      <c r="D15565" t="s">
        <v>5244</v>
      </c>
      <c r="E15565" t="s">
        <v>8421</v>
      </c>
      <c r="F15565" t="s">
        <v>13977</v>
      </c>
      <c r="G15565" t="s">
        <v>18002</v>
      </c>
      <c r="H15565" t="s">
        <v>32672</v>
      </c>
    </row>
    <row r="15566" spans="1:8">
      <c r="H15566" t="s">
        <v>32673</v>
      </c>
    </row>
    <row r="15567" spans="1:8">
      <c r="A15567" t="s">
        <v>2693</v>
      </c>
      <c r="B15567">
        <f>HYPERLINK("https://android.googlesource.com/platform/cts/+/9cbd418f98243f0922ca1bfe509dd7bbe9c9ddc3", "9cbd418f98243f0922ca1bfe509dd7bbe9c9ddc3")</f>
        <v>0</v>
      </c>
      <c r="C15567">
        <f>HYPERLINK("https://android.googlesource.com/platform/cts/+/e405144243856ba6310682b960e19232144da05f", "e405144243856ba6310682b960e19232144da05f")</f>
        <v>0</v>
      </c>
      <c r="D15567" t="s">
        <v>5435</v>
      </c>
      <c r="E15567" t="s">
        <v>8423</v>
      </c>
      <c r="F15567" t="s">
        <v>12710</v>
      </c>
      <c r="G15567" t="s">
        <v>16911</v>
      </c>
      <c r="H15567" t="s">
        <v>31252</v>
      </c>
    </row>
    <row r="15568" spans="1:8">
      <c r="A15568" t="s">
        <v>2694</v>
      </c>
      <c r="B15568">
        <f>HYPERLINK("https://android.googlesource.com/platform/cts/+/acc2b1f85f173315e3bb25d3a1f8474ec2635e31", "acc2b1f85f173315e3bb25d3a1f8474ec2635e31")</f>
        <v>0</v>
      </c>
      <c r="C15568">
        <f>HYPERLINK("https://android.googlesource.com/platform/cts/+/de89b8884c5a369d9e34626d0e8fc08e8a6b827d", "de89b8884c5a369d9e34626d0e8fc08e8a6b827d")</f>
        <v>0</v>
      </c>
      <c r="D15568" t="s">
        <v>5435</v>
      </c>
      <c r="E15568" t="s">
        <v>8424</v>
      </c>
      <c r="F15568" t="s">
        <v>12710</v>
      </c>
      <c r="G15568" t="s">
        <v>16911</v>
      </c>
      <c r="H15568" t="s">
        <v>31252</v>
      </c>
    </row>
    <row r="15569" spans="1:8">
      <c r="A15569" t="s">
        <v>2695</v>
      </c>
      <c r="B15569">
        <f>HYPERLINK("https://android.googlesource.com/platform/cts/+/9713f158bf74d261043e11eebe38519dcd416c6f", "9713f158bf74d261043e11eebe38519dcd416c6f")</f>
        <v>0</v>
      </c>
      <c r="C15569">
        <f>HYPERLINK("https://android.googlesource.com/platform/cts/+/4811ae9c9d63dd5ecae1a00938bd22d00ef84d41", "4811ae9c9d63dd5ecae1a00938bd22d00ef84d41")</f>
        <v>0</v>
      </c>
      <c r="D15569" t="s">
        <v>5167</v>
      </c>
      <c r="E15569" t="s">
        <v>8425</v>
      </c>
      <c r="F15569" t="s">
        <v>13978</v>
      </c>
      <c r="G15569" t="s">
        <v>18003</v>
      </c>
      <c r="H15569" t="s">
        <v>32674</v>
      </c>
    </row>
    <row r="15570" spans="1:8">
      <c r="H15570" t="s">
        <v>32675</v>
      </c>
    </row>
    <row r="15571" spans="1:8">
      <c r="H15571" t="s">
        <v>32676</v>
      </c>
    </row>
    <row r="15572" spans="1:8">
      <c r="H15572" t="s">
        <v>32677</v>
      </c>
    </row>
    <row r="15573" spans="1:8">
      <c r="H15573" t="s">
        <v>32678</v>
      </c>
    </row>
    <row r="15574" spans="1:8">
      <c r="H15574" t="s">
        <v>32679</v>
      </c>
    </row>
    <row r="15575" spans="1:8">
      <c r="H15575" t="s">
        <v>32680</v>
      </c>
    </row>
    <row r="15576" spans="1:8">
      <c r="H15576" t="s">
        <v>32681</v>
      </c>
    </row>
    <row r="15577" spans="1:8">
      <c r="H15577" t="s">
        <v>32682</v>
      </c>
    </row>
    <row r="15578" spans="1:8">
      <c r="H15578" t="s">
        <v>32683</v>
      </c>
    </row>
    <row r="15579" spans="1:8">
      <c r="H15579" t="s">
        <v>32684</v>
      </c>
    </row>
    <row r="15580" spans="1:8">
      <c r="H15580" t="s">
        <v>32685</v>
      </c>
    </row>
    <row r="15581" spans="1:8">
      <c r="H15581" t="s">
        <v>32686</v>
      </c>
    </row>
    <row r="15582" spans="1:8">
      <c r="H15582" t="s">
        <v>32687</v>
      </c>
    </row>
    <row r="15583" spans="1:8">
      <c r="H15583" t="s">
        <v>32688</v>
      </c>
    </row>
    <row r="15584" spans="1:8">
      <c r="H15584" t="s">
        <v>32689</v>
      </c>
    </row>
    <row r="15585" spans="1:8">
      <c r="H15585" t="s">
        <v>32690</v>
      </c>
    </row>
    <row r="15586" spans="1:8">
      <c r="H15586" t="s">
        <v>32691</v>
      </c>
    </row>
    <row r="15587" spans="1:8">
      <c r="H15587" t="s">
        <v>32692</v>
      </c>
    </row>
    <row r="15588" spans="1:8">
      <c r="H15588" t="s">
        <v>32693</v>
      </c>
    </row>
    <row r="15589" spans="1:8">
      <c r="H15589" t="s">
        <v>32694</v>
      </c>
    </row>
    <row r="15590" spans="1:8">
      <c r="A15590" t="s">
        <v>2696</v>
      </c>
      <c r="B15590">
        <f>HYPERLINK("https://android.googlesource.com/platform/cts/+/26581cfbba29192e651169b827fe689af8bf41a4", "26581cfbba29192e651169b827fe689af8bf41a4")</f>
        <v>0</v>
      </c>
      <c r="C15590">
        <f>HYPERLINK("https://android.googlesource.com/platform/cts/+/62cdbd17062bbaca41ebb6899a85fb49e5e1a723", "62cdbd17062bbaca41ebb6899a85fb49e5e1a723")</f>
        <v>0</v>
      </c>
      <c r="D15590" t="s">
        <v>5436</v>
      </c>
      <c r="E15590" t="s">
        <v>8426</v>
      </c>
      <c r="F15590" t="s">
        <v>12570</v>
      </c>
      <c r="G15590" t="s">
        <v>16786</v>
      </c>
      <c r="H15590" t="s">
        <v>32700</v>
      </c>
    </row>
    <row r="15591" spans="1:8">
      <c r="A15591" t="s">
        <v>2699</v>
      </c>
      <c r="B15591">
        <f>HYPERLINK("https://android.googlesource.com/platform/cts/+/7592acdbf80cec572530bb1fd0711151af63952a", "7592acdbf80cec572530bb1fd0711151af63952a")</f>
        <v>0</v>
      </c>
      <c r="C15591">
        <f>HYPERLINK("https://android.googlesource.com/platform/cts/+/1ead01ba65983808908dc2deb513b460475520c4", "1ead01ba65983808908dc2deb513b460475520c4")</f>
        <v>0</v>
      </c>
      <c r="D15591" t="s">
        <v>5409</v>
      </c>
      <c r="E15591" t="s">
        <v>8429</v>
      </c>
      <c r="F15591" t="s">
        <v>13752</v>
      </c>
      <c r="G15591" t="s">
        <v>17812</v>
      </c>
      <c r="H15591" t="s">
        <v>32707</v>
      </c>
    </row>
    <row r="15592" spans="1:8">
      <c r="A15592" t="s">
        <v>2700</v>
      </c>
      <c r="B15592">
        <f>HYPERLINK("https://android.googlesource.com/platform/cts/+/5e75b98446b8d8b0677a77118d3aaab12a93a711", "5e75b98446b8d8b0677a77118d3aaab12a93a711")</f>
        <v>0</v>
      </c>
      <c r="C15592">
        <f>HYPERLINK("https://android.googlesource.com/platform/cts/+/c7315d35182d1993d4dc194bd8405cb3b4a60516", "c7315d35182d1993d4dc194bd8405cb3b4a60516")</f>
        <v>0</v>
      </c>
      <c r="D15592" t="s">
        <v>5439</v>
      </c>
      <c r="E15592" t="s">
        <v>8430</v>
      </c>
      <c r="F15592" t="s">
        <v>12629</v>
      </c>
      <c r="G15592" t="s">
        <v>16838</v>
      </c>
      <c r="H15592" t="s">
        <v>32646</v>
      </c>
    </row>
    <row r="15593" spans="1:8">
      <c r="H15593" t="s">
        <v>32647</v>
      </c>
    </row>
    <row r="15594" spans="1:8">
      <c r="H15594" t="s">
        <v>32648</v>
      </c>
    </row>
    <row r="15595" spans="1:8">
      <c r="H15595" t="s">
        <v>32649</v>
      </c>
    </row>
    <row r="15596" spans="1:8">
      <c r="H15596" t="s">
        <v>32650</v>
      </c>
    </row>
    <row r="15597" spans="1:8">
      <c r="F15597" t="s">
        <v>13718</v>
      </c>
      <c r="G15597" t="s">
        <v>17785</v>
      </c>
      <c r="H15597" t="s">
        <v>32638</v>
      </c>
    </row>
    <row r="15598" spans="1:8">
      <c r="F15598" t="s">
        <v>13917</v>
      </c>
      <c r="G15598" t="s">
        <v>17953</v>
      </c>
      <c r="H15598" t="s">
        <v>32656</v>
      </c>
    </row>
    <row r="15599" spans="1:8">
      <c r="H15599" t="s">
        <v>32657</v>
      </c>
    </row>
    <row r="15600" spans="1:8">
      <c r="F15600" t="s">
        <v>13972</v>
      </c>
      <c r="G15600" t="s">
        <v>17997</v>
      </c>
      <c r="H15600" t="s">
        <v>32662</v>
      </c>
    </row>
    <row r="15601" spans="1:8">
      <c r="H15601" t="s">
        <v>32663</v>
      </c>
    </row>
    <row r="15602" spans="1:8">
      <c r="H15602" t="s">
        <v>32664</v>
      </c>
    </row>
    <row r="15603" spans="1:8">
      <c r="H15603" t="s">
        <v>32665</v>
      </c>
    </row>
    <row r="15604" spans="1:8">
      <c r="A15604" t="s">
        <v>2702</v>
      </c>
      <c r="B15604">
        <f>HYPERLINK("https://android.googlesource.com/platform/cts/+/1c3ba04157725f0f9fd1189a271d0a0213f18ee5", "1c3ba04157725f0f9fd1189a271d0a0213f18ee5")</f>
        <v>0</v>
      </c>
      <c r="C15604">
        <f>HYPERLINK("https://android.googlesource.com/platform/cts/+/2a09ad488536629a2142ac575f9e38a488597fca", "2a09ad488536629a2142ac575f9e38a488597fca")</f>
        <v>0</v>
      </c>
      <c r="D15604" t="s">
        <v>5140</v>
      </c>
      <c r="E15604" t="s">
        <v>8432</v>
      </c>
      <c r="F15604" t="s">
        <v>13847</v>
      </c>
      <c r="G15604" t="s">
        <v>17890</v>
      </c>
      <c r="H15604" t="s">
        <v>32708</v>
      </c>
    </row>
    <row r="15605" spans="1:8">
      <c r="H15605" t="s">
        <v>32709</v>
      </c>
    </row>
    <row r="15606" spans="1:8">
      <c r="A15606" t="s">
        <v>2704</v>
      </c>
      <c r="B15606">
        <f>HYPERLINK("https://android.googlesource.com/platform/cts/+/52d8f384333269901d56802eaa16171005de286f", "52d8f384333269901d56802eaa16171005de286f")</f>
        <v>0</v>
      </c>
      <c r="C15606">
        <f>HYPERLINK("https://android.googlesource.com/platform/cts/+/69935fcea3d82c35d5e37f074729cfd54ae44298", "69935fcea3d82c35d5e37f074729cfd54ae44298")</f>
        <v>0</v>
      </c>
      <c r="D15606" t="s">
        <v>5441</v>
      </c>
      <c r="E15606" t="s">
        <v>8433</v>
      </c>
      <c r="F15606" t="s">
        <v>13984</v>
      </c>
      <c r="G15606" t="s">
        <v>18008</v>
      </c>
      <c r="H15606" t="s">
        <v>32716</v>
      </c>
    </row>
    <row r="15607" spans="1:8">
      <c r="H15607" t="s">
        <v>32717</v>
      </c>
    </row>
    <row r="15608" spans="1:8">
      <c r="H15608" t="s">
        <v>32718</v>
      </c>
    </row>
    <row r="15609" spans="1:8">
      <c r="H15609" t="s">
        <v>32719</v>
      </c>
    </row>
    <row r="15610" spans="1:8">
      <c r="H15610" t="s">
        <v>32720</v>
      </c>
    </row>
    <row r="15611" spans="1:8">
      <c r="H15611" t="s">
        <v>32721</v>
      </c>
    </row>
    <row r="15612" spans="1:8">
      <c r="H15612" t="s">
        <v>32722</v>
      </c>
    </row>
    <row r="15613" spans="1:8">
      <c r="H15613" t="s">
        <v>32723</v>
      </c>
    </row>
    <row r="15614" spans="1:8">
      <c r="H15614" t="s">
        <v>32724</v>
      </c>
    </row>
    <row r="15615" spans="1:8">
      <c r="H15615" t="s">
        <v>32725</v>
      </c>
    </row>
    <row r="15616" spans="1:8">
      <c r="H15616" t="s">
        <v>32726</v>
      </c>
    </row>
    <row r="15617" spans="1:8">
      <c r="H15617" t="s">
        <v>32727</v>
      </c>
    </row>
    <row r="15618" spans="1:8">
      <c r="H15618" t="s">
        <v>32730</v>
      </c>
    </row>
    <row r="15619" spans="1:8">
      <c r="H15619" t="s">
        <v>32731</v>
      </c>
    </row>
    <row r="15620" spans="1:8">
      <c r="A15620" t="s">
        <v>2710</v>
      </c>
      <c r="B15620">
        <f>HYPERLINK("https://android.googlesource.com/platform/cts/+/cdaa22d765ff7775ce38185432e8f901d3dd0eb4", "cdaa22d765ff7775ce38185432e8f901d3dd0eb4")</f>
        <v>0</v>
      </c>
      <c r="C15620">
        <f>HYPERLINK("https://android.googlesource.com/platform/cts/+/d22c16f1cc23b0878663a1669580caf9fc93a62d", "d22c16f1cc23b0878663a1669580caf9fc93a62d")</f>
        <v>0</v>
      </c>
      <c r="D15620" t="s">
        <v>4965</v>
      </c>
      <c r="E15620" t="s">
        <v>8439</v>
      </c>
      <c r="F15620" t="s">
        <v>10606</v>
      </c>
      <c r="G15620" t="s">
        <v>15009</v>
      </c>
      <c r="H15620" t="s">
        <v>32741</v>
      </c>
    </row>
    <row r="15621" spans="1:8">
      <c r="A15621" t="s">
        <v>2711</v>
      </c>
      <c r="B15621">
        <f>HYPERLINK("https://android.googlesource.com/platform/cts/+/551f6d232714e5904773edb2dea73332423e4601", "551f6d232714e5904773edb2dea73332423e4601")</f>
        <v>0</v>
      </c>
      <c r="C15621">
        <f>HYPERLINK("https://android.googlesource.com/platform/cts/+/84cf26c233021941a3d6d74eaf22c72020e32a20", "84cf26c233021941a3d6d74eaf22c72020e32a20")</f>
        <v>0</v>
      </c>
      <c r="D15621" t="s">
        <v>5383</v>
      </c>
      <c r="E15621" t="s">
        <v>8440</v>
      </c>
      <c r="F15621" t="s">
        <v>13924</v>
      </c>
      <c r="G15621" t="s">
        <v>17960</v>
      </c>
      <c r="H15621" t="s">
        <v>32742</v>
      </c>
    </row>
    <row r="15622" spans="1:8">
      <c r="H15622" t="s">
        <v>32743</v>
      </c>
    </row>
    <row r="15623" spans="1:8">
      <c r="H15623" t="s">
        <v>32744</v>
      </c>
    </row>
    <row r="15624" spans="1:8">
      <c r="H15624" t="s">
        <v>32745</v>
      </c>
    </row>
    <row r="15625" spans="1:8">
      <c r="H15625" t="s">
        <v>32746</v>
      </c>
    </row>
    <row r="15626" spans="1:8">
      <c r="H15626" t="s">
        <v>32747</v>
      </c>
    </row>
    <row r="15627" spans="1:8">
      <c r="H15627" t="s">
        <v>32748</v>
      </c>
    </row>
    <row r="15628" spans="1:8">
      <c r="H15628" t="s">
        <v>32749</v>
      </c>
    </row>
    <row r="15629" spans="1:8">
      <c r="A15629" t="s">
        <v>2716</v>
      </c>
      <c r="B15629">
        <f>HYPERLINK("https://android.googlesource.com/platform/cts/+/f225711c83129ec3ee0626bd978fdadb2878ebef", "f225711c83129ec3ee0626bd978fdadb2878ebef")</f>
        <v>0</v>
      </c>
      <c r="C15629">
        <f>HYPERLINK("https://android.googlesource.com/platform/cts/+/7dcbf385591acd6ebdf4b66732227bd457ef4a7f", "7dcbf385591acd6ebdf4b66732227bd457ef4a7f")</f>
        <v>0</v>
      </c>
      <c r="D15629" t="s">
        <v>5344</v>
      </c>
      <c r="E15629" t="s">
        <v>8445</v>
      </c>
      <c r="F15629" t="s">
        <v>13991</v>
      </c>
      <c r="G15629" t="s">
        <v>18010</v>
      </c>
      <c r="H15629" t="s">
        <v>32751</v>
      </c>
    </row>
    <row r="15630" spans="1:8">
      <c r="A15630" t="s">
        <v>2717</v>
      </c>
      <c r="B15630">
        <f>HYPERLINK("https://android.googlesource.com/platform/cts/+/4367de4b7ab5b783388ae182ecaf17e92d23585a", "4367de4b7ab5b783388ae182ecaf17e92d23585a")</f>
        <v>0</v>
      </c>
      <c r="C15630">
        <f>HYPERLINK("https://android.googlesource.com/platform/cts/+/7dcbf385591acd6ebdf4b66732227bd457ef4a7f", "7dcbf385591acd6ebdf4b66732227bd457ef4a7f")</f>
        <v>0</v>
      </c>
      <c r="D15630" t="s">
        <v>5374</v>
      </c>
      <c r="E15630" t="s">
        <v>8446</v>
      </c>
      <c r="F15630" t="s">
        <v>13165</v>
      </c>
      <c r="G15630" t="s">
        <v>17315</v>
      </c>
      <c r="H15630" t="s">
        <v>32753</v>
      </c>
    </row>
    <row r="15631" spans="1:8">
      <c r="H15631" t="s">
        <v>32754</v>
      </c>
    </row>
    <row r="15632" spans="1:8">
      <c r="A15632" t="s">
        <v>2718</v>
      </c>
      <c r="B15632">
        <f>HYPERLINK("https://android.googlesource.com/platform/cts/+/671b32aae87a8a7e6250542111a4cb57280fb4da", "671b32aae87a8a7e6250542111a4cb57280fb4da")</f>
        <v>0</v>
      </c>
      <c r="C15632">
        <f>HYPERLINK("https://android.googlesource.com/platform/cts/+/e25f8e3565b5c35044a2eea265fedc8fc294b9e5", "e25f8e3565b5c35044a2eea265fedc8fc294b9e5")</f>
        <v>0</v>
      </c>
      <c r="D15632" t="s">
        <v>5389</v>
      </c>
      <c r="E15632" t="s">
        <v>8447</v>
      </c>
      <c r="F15632" t="s">
        <v>13992</v>
      </c>
      <c r="G15632" t="s">
        <v>16620</v>
      </c>
      <c r="H15632" t="s">
        <v>32755</v>
      </c>
    </row>
    <row r="15633" spans="1:8">
      <c r="A15633" t="s">
        <v>2720</v>
      </c>
      <c r="B15633">
        <f>HYPERLINK("https://android.googlesource.com/platform/cts/+/932a4b6eaa0822b5017595c9e91c58603a20a4d5", "932a4b6eaa0822b5017595c9e91c58603a20a4d5")</f>
        <v>0</v>
      </c>
      <c r="C15633">
        <f>HYPERLINK("https://android.googlesource.com/platform/cts/+/77f7f5739c8a8f90fa8f6c241a2d2d9a28010b35", "77f7f5739c8a8f90fa8f6c241a2d2d9a28010b35")</f>
        <v>0</v>
      </c>
      <c r="D15633" t="s">
        <v>5167</v>
      </c>
      <c r="E15633" t="s">
        <v>8449</v>
      </c>
      <c r="F15633" t="s">
        <v>13978</v>
      </c>
      <c r="G15633" t="s">
        <v>18003</v>
      </c>
      <c r="H15633" t="s">
        <v>32675</v>
      </c>
    </row>
    <row r="15634" spans="1:8">
      <c r="H15634" t="s">
        <v>32676</v>
      </c>
    </row>
    <row r="15635" spans="1:8">
      <c r="H15635" t="s">
        <v>32678</v>
      </c>
    </row>
    <row r="15636" spans="1:8">
      <c r="H15636" t="s">
        <v>32679</v>
      </c>
    </row>
    <row r="15637" spans="1:8">
      <c r="H15637" t="s">
        <v>32680</v>
      </c>
    </row>
    <row r="15638" spans="1:8">
      <c r="H15638" t="s">
        <v>32681</v>
      </c>
    </row>
    <row r="15639" spans="1:8">
      <c r="H15639" t="s">
        <v>32682</v>
      </c>
    </row>
    <row r="15640" spans="1:8">
      <c r="H15640" t="s">
        <v>32683</v>
      </c>
    </row>
    <row r="15641" spans="1:8">
      <c r="H15641" t="s">
        <v>32684</v>
      </c>
    </row>
    <row r="15642" spans="1:8">
      <c r="H15642" t="s">
        <v>32685</v>
      </c>
    </row>
    <row r="15643" spans="1:8">
      <c r="H15643" t="s">
        <v>32686</v>
      </c>
    </row>
    <row r="15644" spans="1:8">
      <c r="H15644" t="s">
        <v>32687</v>
      </c>
    </row>
    <row r="15645" spans="1:8">
      <c r="H15645" t="s">
        <v>32688</v>
      </c>
    </row>
    <row r="15646" spans="1:8">
      <c r="H15646" t="s">
        <v>32689</v>
      </c>
    </row>
    <row r="15647" spans="1:8">
      <c r="H15647" t="s">
        <v>32690</v>
      </c>
    </row>
    <row r="15648" spans="1:8">
      <c r="H15648" t="s">
        <v>32691</v>
      </c>
    </row>
    <row r="15649" spans="1:8">
      <c r="H15649" t="s">
        <v>32692</v>
      </c>
    </row>
    <row r="15650" spans="1:8">
      <c r="H15650" t="s">
        <v>32693</v>
      </c>
    </row>
    <row r="15651" spans="1:8">
      <c r="H15651" t="s">
        <v>32694</v>
      </c>
    </row>
    <row r="15652" spans="1:8">
      <c r="H15652" t="s">
        <v>32756</v>
      </c>
    </row>
    <row r="15653" spans="1:8">
      <c r="H15653" t="s">
        <v>32757</v>
      </c>
    </row>
    <row r="15654" spans="1:8">
      <c r="H15654" t="s">
        <v>32758</v>
      </c>
    </row>
    <row r="15655" spans="1:8">
      <c r="A15655" t="s">
        <v>2721</v>
      </c>
      <c r="B15655">
        <f>HYPERLINK("https://android.googlesource.com/platform/cts/+/e41a5e82ae4f93f782ab85647fa7f5e83ee7bcf1", "e41a5e82ae4f93f782ab85647fa7f5e83ee7bcf1")</f>
        <v>0</v>
      </c>
      <c r="C15655">
        <f>HYPERLINK("https://android.googlesource.com/platform/cts/+/7155e75b2244286e8c0f34684155da95dddead73", "7155e75b2244286e8c0f34684155da95dddead73")</f>
        <v>0</v>
      </c>
      <c r="D15655" t="s">
        <v>5304</v>
      </c>
      <c r="E15655" t="s">
        <v>8450</v>
      </c>
      <c r="F15655" t="s">
        <v>13993</v>
      </c>
      <c r="G15655" t="s">
        <v>16600</v>
      </c>
      <c r="H15655" t="s">
        <v>32759</v>
      </c>
    </row>
    <row r="15656" spans="1:8">
      <c r="A15656" t="s">
        <v>2723</v>
      </c>
      <c r="B15656">
        <f>HYPERLINK("https://android.googlesource.com/platform/cts/+/580eea86e7dcbe3b49395aaa538f8d0a3496d397", "580eea86e7dcbe3b49395aaa538f8d0a3496d397")</f>
        <v>0</v>
      </c>
      <c r="C15656">
        <f>HYPERLINK("https://android.googlesource.com/platform/cts/+/f10219d23247577000454d4eee7d229fc62a889d", "f10219d23247577000454d4eee7d229fc62a889d")</f>
        <v>0</v>
      </c>
      <c r="D15656" t="s">
        <v>5445</v>
      </c>
      <c r="E15656" t="s">
        <v>8452</v>
      </c>
      <c r="F15656" t="s">
        <v>12642</v>
      </c>
      <c r="G15656" t="s">
        <v>16850</v>
      </c>
      <c r="H15656" t="s">
        <v>32762</v>
      </c>
    </row>
    <row r="15657" spans="1:8">
      <c r="A15657" t="s">
        <v>2725</v>
      </c>
      <c r="B15657">
        <f>HYPERLINK("https://android.googlesource.com/platform/cts/+/2743b624a783a896a54be4753097a920251b37c5", "2743b624a783a896a54be4753097a920251b37c5")</f>
        <v>0</v>
      </c>
      <c r="C15657">
        <f>HYPERLINK("https://android.googlesource.com/platform/cts/+/bbaf1c3f0ab65235772a503dc8b64faaf7c3fe29", "bbaf1c3f0ab65235772a503dc8b64faaf7c3fe29")</f>
        <v>0</v>
      </c>
      <c r="D15657" t="s">
        <v>5363</v>
      </c>
      <c r="E15657" t="s">
        <v>8454</v>
      </c>
      <c r="F15657" t="s">
        <v>10605</v>
      </c>
      <c r="G15657" t="s">
        <v>15008</v>
      </c>
      <c r="H15657" t="s">
        <v>32766</v>
      </c>
    </row>
    <row r="15658" spans="1:8">
      <c r="H15658" t="s">
        <v>32769</v>
      </c>
    </row>
    <row r="15659" spans="1:8">
      <c r="H15659" t="s">
        <v>32771</v>
      </c>
    </row>
    <row r="15660" spans="1:8">
      <c r="H15660" t="s">
        <v>32772</v>
      </c>
    </row>
    <row r="15661" spans="1:8">
      <c r="H15661" t="s">
        <v>32773</v>
      </c>
    </row>
    <row r="15662" spans="1:8">
      <c r="H15662" t="s">
        <v>32774</v>
      </c>
    </row>
    <row r="15663" spans="1:8">
      <c r="H15663" t="s">
        <v>32775</v>
      </c>
    </row>
    <row r="15664" spans="1:8">
      <c r="H15664" t="s">
        <v>32776</v>
      </c>
    </row>
    <row r="15665" spans="1:8">
      <c r="H15665" t="s">
        <v>32777</v>
      </c>
    </row>
    <row r="15666" spans="1:8">
      <c r="H15666" t="s">
        <v>32778</v>
      </c>
    </row>
    <row r="15667" spans="1:8">
      <c r="H15667" t="s">
        <v>32779</v>
      </c>
    </row>
    <row r="15668" spans="1:8">
      <c r="H15668" t="s">
        <v>32780</v>
      </c>
    </row>
    <row r="15669" spans="1:8">
      <c r="H15669" t="s">
        <v>32781</v>
      </c>
    </row>
    <row r="15670" spans="1:8">
      <c r="H15670" t="s">
        <v>32782</v>
      </c>
    </row>
    <row r="15671" spans="1:8">
      <c r="H15671" t="s">
        <v>32783</v>
      </c>
    </row>
    <row r="15672" spans="1:8">
      <c r="H15672" t="s">
        <v>32784</v>
      </c>
    </row>
    <row r="15673" spans="1:8">
      <c r="H15673" t="s">
        <v>32785</v>
      </c>
    </row>
    <row r="15674" spans="1:8">
      <c r="H15674" t="s">
        <v>32786</v>
      </c>
    </row>
    <row r="15675" spans="1:8">
      <c r="A15675" t="s">
        <v>2728</v>
      </c>
      <c r="B15675">
        <f>HYPERLINK("https://android.googlesource.com/platform/cts/+/2e39dd1f774e1e75ffb3c6e60f5f533462eb2a01", "2e39dd1f774e1e75ffb3c6e60f5f533462eb2a01")</f>
        <v>0</v>
      </c>
      <c r="C15675">
        <f>HYPERLINK("https://android.googlesource.com/platform/cts/+/bbaf1c3f0ab65235772a503dc8b64faaf7c3fe29", "bbaf1c3f0ab65235772a503dc8b64faaf7c3fe29")</f>
        <v>0</v>
      </c>
      <c r="D15675" t="s">
        <v>5363</v>
      </c>
      <c r="E15675" t="s">
        <v>8457</v>
      </c>
      <c r="F15675" t="s">
        <v>12171</v>
      </c>
      <c r="G15675" t="s">
        <v>15008</v>
      </c>
      <c r="H15675" t="s">
        <v>32817</v>
      </c>
    </row>
    <row r="15676" spans="1:8">
      <c r="H15676" t="s">
        <v>32818</v>
      </c>
    </row>
    <row r="15677" spans="1:8">
      <c r="H15677" t="s">
        <v>32820</v>
      </c>
    </row>
    <row r="15678" spans="1:8">
      <c r="H15678" t="s">
        <v>32821</v>
      </c>
    </row>
    <row r="15679" spans="1:8">
      <c r="H15679" t="s">
        <v>32823</v>
      </c>
    </row>
    <row r="15680" spans="1:8">
      <c r="H15680" t="s">
        <v>32824</v>
      </c>
    </row>
    <row r="15681" spans="1:8">
      <c r="H15681" t="s">
        <v>32825</v>
      </c>
    </row>
    <row r="15682" spans="1:8">
      <c r="H15682" t="s">
        <v>32826</v>
      </c>
    </row>
    <row r="15683" spans="1:8">
      <c r="H15683" t="s">
        <v>32827</v>
      </c>
    </row>
    <row r="15684" spans="1:8">
      <c r="H15684" t="s">
        <v>32830</v>
      </c>
    </row>
    <row r="15685" spans="1:8">
      <c r="H15685" t="s">
        <v>31476</v>
      </c>
    </row>
    <row r="15686" spans="1:8">
      <c r="A15686" t="s">
        <v>2731</v>
      </c>
      <c r="B15686">
        <f>HYPERLINK("https://android.googlesource.com/platform/cts/+/30a5662508fca0d8dbce59719483853dc503f2de", "30a5662508fca0d8dbce59719483853dc503f2de")</f>
        <v>0</v>
      </c>
      <c r="C15686">
        <f>HYPERLINK("https://android.googlesource.com/platform/cts/+/c76f6af0f8fbba617bffb9a653c815fe09e6c072", "c76f6af0f8fbba617bffb9a653c815fe09e6c072")</f>
        <v>0</v>
      </c>
      <c r="D15686" t="s">
        <v>5231</v>
      </c>
      <c r="E15686" t="s">
        <v>8460</v>
      </c>
      <c r="F15686" t="s">
        <v>13995</v>
      </c>
      <c r="G15686" t="s">
        <v>18011</v>
      </c>
      <c r="H15686" t="s">
        <v>32833</v>
      </c>
    </row>
    <row r="15687" spans="1:8">
      <c r="H15687" t="s">
        <v>32834</v>
      </c>
    </row>
    <row r="15688" spans="1:8">
      <c r="A15688" t="s">
        <v>2733</v>
      </c>
      <c r="B15688">
        <f>HYPERLINK("https://android.googlesource.com/platform/cts/+/19f9b20e25a762e6cc6e4def3d53dba976bfada9", "19f9b20e25a762e6cc6e4def3d53dba976bfada9")</f>
        <v>0</v>
      </c>
      <c r="C15688">
        <f>HYPERLINK("https://android.googlesource.com/platform/cts/+/46e2b45a3082918d8cafe22fd0e69c7cd21cb713", "46e2b45a3082918d8cafe22fd0e69c7cd21cb713")</f>
        <v>0</v>
      </c>
      <c r="D15688" t="s">
        <v>5410</v>
      </c>
      <c r="E15688" t="s">
        <v>8462</v>
      </c>
      <c r="F15688" t="s">
        <v>13896</v>
      </c>
      <c r="G15688" t="s">
        <v>17933</v>
      </c>
      <c r="H15688" t="s">
        <v>31999</v>
      </c>
    </row>
    <row r="15689" spans="1:8">
      <c r="H15689" t="s">
        <v>32000</v>
      </c>
    </row>
    <row r="15690" spans="1:8">
      <c r="H15690" t="s">
        <v>32001</v>
      </c>
    </row>
    <row r="15691" spans="1:8">
      <c r="H15691" t="s">
        <v>32002</v>
      </c>
    </row>
    <row r="15692" spans="1:8">
      <c r="F15692" t="s">
        <v>13739</v>
      </c>
      <c r="G15692" t="s">
        <v>17799</v>
      </c>
      <c r="H15692" t="s">
        <v>32008</v>
      </c>
    </row>
    <row r="15693" spans="1:8">
      <c r="H15693" t="s">
        <v>32009</v>
      </c>
    </row>
    <row r="15694" spans="1:8">
      <c r="H15694" t="s">
        <v>32010</v>
      </c>
    </row>
    <row r="15695" spans="1:8">
      <c r="H15695" t="s">
        <v>32011</v>
      </c>
    </row>
    <row r="15696" spans="1:8">
      <c r="H15696" t="s">
        <v>32012</v>
      </c>
    </row>
    <row r="15697" spans="8:8">
      <c r="H15697" t="s">
        <v>32013</v>
      </c>
    </row>
    <row r="15698" spans="8:8">
      <c r="H15698" t="s">
        <v>32014</v>
      </c>
    </row>
    <row r="15699" spans="8:8">
      <c r="H15699" t="s">
        <v>32018</v>
      </c>
    </row>
    <row r="15700" spans="8:8">
      <c r="H15700" t="s">
        <v>31300</v>
      </c>
    </row>
    <row r="15701" spans="8:8">
      <c r="H15701" t="s">
        <v>32020</v>
      </c>
    </row>
    <row r="15702" spans="8:8">
      <c r="H15702" t="s">
        <v>32021</v>
      </c>
    </row>
    <row r="15703" spans="8:8">
      <c r="H15703" t="s">
        <v>32022</v>
      </c>
    </row>
    <row r="15704" spans="8:8">
      <c r="H15704" t="s">
        <v>32023</v>
      </c>
    </row>
    <row r="15705" spans="8:8">
      <c r="H15705" t="s">
        <v>32024</v>
      </c>
    </row>
    <row r="15706" spans="8:8">
      <c r="H15706" t="s">
        <v>32031</v>
      </c>
    </row>
    <row r="15707" spans="8:8">
      <c r="H15707" t="s">
        <v>32034</v>
      </c>
    </row>
    <row r="15708" spans="8:8">
      <c r="H15708" t="s">
        <v>32035</v>
      </c>
    </row>
    <row r="15709" spans="8:8">
      <c r="H15709" t="s">
        <v>32037</v>
      </c>
    </row>
    <row r="15710" spans="8:8">
      <c r="H15710" t="s">
        <v>32038</v>
      </c>
    </row>
    <row r="15711" spans="8:8">
      <c r="H15711" t="s">
        <v>32039</v>
      </c>
    </row>
    <row r="15712" spans="8:8">
      <c r="H15712" t="s">
        <v>32040</v>
      </c>
    </row>
    <row r="15713" spans="8:8">
      <c r="H15713" t="s">
        <v>32041</v>
      </c>
    </row>
    <row r="15714" spans="8:8">
      <c r="H15714" t="s">
        <v>32042</v>
      </c>
    </row>
    <row r="15715" spans="8:8">
      <c r="H15715" t="s">
        <v>32043</v>
      </c>
    </row>
    <row r="15716" spans="8:8">
      <c r="H15716" t="s">
        <v>32044</v>
      </c>
    </row>
    <row r="15717" spans="8:8">
      <c r="H15717" t="s">
        <v>32045</v>
      </c>
    </row>
    <row r="15718" spans="8:8">
      <c r="H15718" t="s">
        <v>32046</v>
      </c>
    </row>
    <row r="15719" spans="8:8">
      <c r="H15719" t="s">
        <v>32047</v>
      </c>
    </row>
    <row r="15720" spans="8:8">
      <c r="H15720" t="s">
        <v>32048</v>
      </c>
    </row>
    <row r="15721" spans="8:8">
      <c r="H15721" t="s">
        <v>32049</v>
      </c>
    </row>
    <row r="15722" spans="8:8">
      <c r="H15722" t="s">
        <v>32050</v>
      </c>
    </row>
    <row r="15723" spans="8:8">
      <c r="H15723" t="s">
        <v>32051</v>
      </c>
    </row>
    <row r="15724" spans="8:8">
      <c r="H15724" t="s">
        <v>32052</v>
      </c>
    </row>
    <row r="15725" spans="8:8">
      <c r="H15725" t="s">
        <v>32053</v>
      </c>
    </row>
    <row r="15726" spans="8:8">
      <c r="H15726" t="s">
        <v>32054</v>
      </c>
    </row>
    <row r="15727" spans="8:8">
      <c r="H15727" t="s">
        <v>32055</v>
      </c>
    </row>
    <row r="15728" spans="8:8">
      <c r="H15728" t="s">
        <v>32056</v>
      </c>
    </row>
    <row r="15729" spans="8:8">
      <c r="H15729" t="s">
        <v>32057</v>
      </c>
    </row>
    <row r="15730" spans="8:8">
      <c r="H15730" t="s">
        <v>32058</v>
      </c>
    </row>
    <row r="15731" spans="8:8">
      <c r="H15731" t="s">
        <v>32059</v>
      </c>
    </row>
    <row r="15732" spans="8:8">
      <c r="H15732" t="s">
        <v>32060</v>
      </c>
    </row>
    <row r="15733" spans="8:8">
      <c r="H15733" t="s">
        <v>32061</v>
      </c>
    </row>
    <row r="15734" spans="8:8">
      <c r="H15734" t="s">
        <v>32062</v>
      </c>
    </row>
    <row r="15735" spans="8:8">
      <c r="H15735" t="s">
        <v>32063</v>
      </c>
    </row>
    <row r="15736" spans="8:8">
      <c r="H15736" t="s">
        <v>32064</v>
      </c>
    </row>
    <row r="15737" spans="8:8">
      <c r="H15737" t="s">
        <v>32065</v>
      </c>
    </row>
    <row r="15738" spans="8:8">
      <c r="H15738" t="s">
        <v>32066</v>
      </c>
    </row>
    <row r="15739" spans="8:8">
      <c r="H15739" t="s">
        <v>32067</v>
      </c>
    </row>
    <row r="15740" spans="8:8">
      <c r="H15740" t="s">
        <v>32068</v>
      </c>
    </row>
    <row r="15741" spans="8:8">
      <c r="H15741" t="s">
        <v>32069</v>
      </c>
    </row>
    <row r="15742" spans="8:8">
      <c r="H15742" t="s">
        <v>32070</v>
      </c>
    </row>
    <row r="15743" spans="8:8">
      <c r="H15743" t="s">
        <v>32075</v>
      </c>
    </row>
    <row r="15744" spans="8:8">
      <c r="H15744" t="s">
        <v>32076</v>
      </c>
    </row>
    <row r="15745" spans="6:8">
      <c r="H15745" t="s">
        <v>32077</v>
      </c>
    </row>
    <row r="15746" spans="6:8">
      <c r="H15746" t="s">
        <v>26401</v>
      </c>
    </row>
    <row r="15747" spans="6:8">
      <c r="H15747" t="s">
        <v>32080</v>
      </c>
    </row>
    <row r="15748" spans="6:8">
      <c r="H15748" t="s">
        <v>31396</v>
      </c>
    </row>
    <row r="15749" spans="6:8">
      <c r="H15749" t="s">
        <v>31397</v>
      </c>
    </row>
    <row r="15750" spans="6:8">
      <c r="H15750" t="s">
        <v>31398</v>
      </c>
    </row>
    <row r="15751" spans="6:8">
      <c r="H15751" t="s">
        <v>31399</v>
      </c>
    </row>
    <row r="15752" spans="6:8">
      <c r="H15752" t="s">
        <v>31400</v>
      </c>
    </row>
    <row r="15753" spans="6:8">
      <c r="F15753" t="s">
        <v>13732</v>
      </c>
      <c r="G15753" t="s">
        <v>17793</v>
      </c>
      <c r="H15753" t="s">
        <v>20304</v>
      </c>
    </row>
    <row r="15754" spans="6:8">
      <c r="H15754" t="s">
        <v>20305</v>
      </c>
    </row>
    <row r="15755" spans="6:8">
      <c r="H15755" t="s">
        <v>20306</v>
      </c>
    </row>
    <row r="15756" spans="6:8">
      <c r="H15756" t="s">
        <v>20307</v>
      </c>
    </row>
    <row r="15757" spans="6:8">
      <c r="H15757" t="s">
        <v>20308</v>
      </c>
    </row>
    <row r="15758" spans="6:8">
      <c r="H15758" t="s">
        <v>20309</v>
      </c>
    </row>
    <row r="15759" spans="6:8">
      <c r="H15759" t="s">
        <v>20310</v>
      </c>
    </row>
    <row r="15760" spans="6:8">
      <c r="H15760" t="s">
        <v>32100</v>
      </c>
    </row>
    <row r="15761" spans="1:8">
      <c r="H15761" t="s">
        <v>32101</v>
      </c>
    </row>
    <row r="15762" spans="1:8">
      <c r="H15762" t="s">
        <v>32102</v>
      </c>
    </row>
    <row r="15763" spans="1:8">
      <c r="H15763" t="s">
        <v>19646</v>
      </c>
    </row>
    <row r="15764" spans="1:8">
      <c r="H15764" t="s">
        <v>19647</v>
      </c>
    </row>
    <row r="15765" spans="1:8">
      <c r="H15765" t="s">
        <v>19648</v>
      </c>
    </row>
    <row r="15766" spans="1:8">
      <c r="H15766" t="s">
        <v>19649</v>
      </c>
    </row>
    <row r="15767" spans="1:8">
      <c r="H15767" t="s">
        <v>19650</v>
      </c>
    </row>
    <row r="15768" spans="1:8">
      <c r="H15768" t="s">
        <v>19651</v>
      </c>
    </row>
    <row r="15769" spans="1:8">
      <c r="H15769" t="s">
        <v>19652</v>
      </c>
    </row>
    <row r="15770" spans="1:8">
      <c r="H15770" t="s">
        <v>32103</v>
      </c>
    </row>
    <row r="15771" spans="1:8">
      <c r="H15771" t="s">
        <v>32105</v>
      </c>
    </row>
    <row r="15772" spans="1:8">
      <c r="H15772" t="s">
        <v>32106</v>
      </c>
    </row>
    <row r="15773" spans="1:8">
      <c r="H15773" t="s">
        <v>32107</v>
      </c>
    </row>
    <row r="15774" spans="1:8">
      <c r="H15774" t="s">
        <v>32108</v>
      </c>
    </row>
    <row r="15775" spans="1:8">
      <c r="H15775" t="s">
        <v>32111</v>
      </c>
    </row>
    <row r="15776" spans="1:8">
      <c r="A15776" t="s">
        <v>2734</v>
      </c>
      <c r="B15776">
        <f>HYPERLINK("https://android.googlesource.com/platform/cts/+/0f07198cd7776099b3ac1191688d2244419b7e1c", "0f07198cd7776099b3ac1191688d2244419b7e1c")</f>
        <v>0</v>
      </c>
      <c r="C15776">
        <f>HYPERLINK("https://android.googlesource.com/platform/cts/+/480f1c3335d778eaff0d60ba9b84f4f978aff571", "480f1c3335d778eaff0d60ba9b84f4f978aff571")</f>
        <v>0</v>
      </c>
      <c r="D15776" t="s">
        <v>5297</v>
      </c>
      <c r="E15776" t="s">
        <v>8463</v>
      </c>
      <c r="F15776" t="s">
        <v>13998</v>
      </c>
      <c r="G15776" t="s">
        <v>18012</v>
      </c>
      <c r="H15776" t="s">
        <v>32841</v>
      </c>
    </row>
    <row r="15777" spans="1:8">
      <c r="A15777" t="s">
        <v>2736</v>
      </c>
      <c r="B15777">
        <f>HYPERLINK("https://android.googlesource.com/platform/cts/+/d4a57d45ffb22cd149877e9ac550b68c1485a94b", "d4a57d45ffb22cd149877e9ac550b68c1485a94b")</f>
        <v>0</v>
      </c>
      <c r="C15777">
        <f>HYPERLINK("https://android.googlesource.com/platform/cts/+/40e93f5ebd523b7523661cd55e4f991357026d45", "40e93f5ebd523b7523661cd55e4f991357026d45")</f>
        <v>0</v>
      </c>
      <c r="D15777" t="s">
        <v>5134</v>
      </c>
      <c r="E15777" t="s">
        <v>8465</v>
      </c>
      <c r="F15777" t="s">
        <v>13091</v>
      </c>
      <c r="G15777" t="s">
        <v>17253</v>
      </c>
      <c r="H15777" t="s">
        <v>32843</v>
      </c>
    </row>
    <row r="15778" spans="1:8">
      <c r="A15778" t="s">
        <v>2741</v>
      </c>
      <c r="B15778">
        <f>HYPERLINK("https://android.googlesource.com/platform/cts/+/88ecda5915816eb764d65152583a877b941b4ed4", "88ecda5915816eb764d65152583a877b941b4ed4")</f>
        <v>0</v>
      </c>
      <c r="C15778">
        <f>HYPERLINK("https://android.googlesource.com/platform/cts/+/78d31f5b93ef17637136ebff62c1cf4df3d518f8", "78d31f5b93ef17637136ebff62c1cf4df3d518f8")</f>
        <v>0</v>
      </c>
      <c r="D15778" t="s">
        <v>5182</v>
      </c>
      <c r="E15778" t="s">
        <v>8470</v>
      </c>
      <c r="F15778" t="s">
        <v>12820</v>
      </c>
      <c r="G15778" t="s">
        <v>16999</v>
      </c>
      <c r="H15778" t="s">
        <v>32868</v>
      </c>
    </row>
    <row r="15779" spans="1:8">
      <c r="H15779" t="s">
        <v>32869</v>
      </c>
    </row>
    <row r="15780" spans="1:8">
      <c r="H15780" t="s">
        <v>32870</v>
      </c>
    </row>
    <row r="15781" spans="1:8">
      <c r="A15781" t="s">
        <v>2744</v>
      </c>
      <c r="B15781">
        <f>HYPERLINK("https://android.googlesource.com/platform/cts/+/b02cec797ab269b69b9ed832af5e683d10a84bdf", "b02cec797ab269b69b9ed832af5e683d10a84bdf")</f>
        <v>0</v>
      </c>
      <c r="C15781">
        <f>HYPERLINK("https://android.googlesource.com/platform/cts/+/1c6f1b6750287bdcd26954d31182a319a5b99de0", "1c6f1b6750287bdcd26954d31182a319a5b99de0")</f>
        <v>0</v>
      </c>
      <c r="D15781" t="s">
        <v>5447</v>
      </c>
      <c r="E15781" t="s">
        <v>8473</v>
      </c>
      <c r="F15781" t="s">
        <v>13968</v>
      </c>
      <c r="G15781" t="s">
        <v>17993</v>
      </c>
      <c r="H15781" t="s">
        <v>32872</v>
      </c>
    </row>
    <row r="15782" spans="1:8">
      <c r="A15782" t="s">
        <v>2745</v>
      </c>
      <c r="B15782">
        <f>HYPERLINK("https://android.googlesource.com/platform/cts/+/299da86a2aeae763ccd30b90ef4fdf77b19d5a2c", "299da86a2aeae763ccd30b90ef4fdf77b19d5a2c")</f>
        <v>0</v>
      </c>
      <c r="C15782">
        <f>HYPERLINK("https://android.googlesource.com/platform/cts/+/6b4ff559910efe8648ea438c184459586f943144", "6b4ff559910efe8648ea438c184459586f943144")</f>
        <v>0</v>
      </c>
      <c r="D15782" t="s">
        <v>5374</v>
      </c>
      <c r="E15782" t="s">
        <v>8474</v>
      </c>
      <c r="F15782" t="s">
        <v>12733</v>
      </c>
      <c r="G15782" t="s">
        <v>16854</v>
      </c>
      <c r="H15782" t="s">
        <v>32873</v>
      </c>
    </row>
    <row r="15783" spans="1:8">
      <c r="A15783" t="s">
        <v>2746</v>
      </c>
      <c r="B15783">
        <f>HYPERLINK("https://android.googlesource.com/platform/cts/+/a775c8c0dd05ee0095a0a198f60b7a19eafbe9c4", "a775c8c0dd05ee0095a0a198f60b7a19eafbe9c4")</f>
        <v>0</v>
      </c>
      <c r="C15783">
        <f>HYPERLINK("https://android.googlesource.com/platform/cts/+/92130edc486f5d63def65dcb47d55dde7bd8eca0", "92130edc486f5d63def65dcb47d55dde7bd8eca0")</f>
        <v>0</v>
      </c>
      <c r="D15783" t="s">
        <v>5448</v>
      </c>
      <c r="E15783" t="s">
        <v>8475</v>
      </c>
      <c r="F15783" t="s">
        <v>14003</v>
      </c>
      <c r="G15783" t="s">
        <v>18016</v>
      </c>
      <c r="H15783" t="s">
        <v>26642</v>
      </c>
    </row>
    <row r="15784" spans="1:8">
      <c r="F15784" t="s">
        <v>14004</v>
      </c>
      <c r="G15784" t="s">
        <v>17023</v>
      </c>
      <c r="H15784" t="s">
        <v>26642</v>
      </c>
    </row>
    <row r="15785" spans="1:8">
      <c r="F15785" t="s">
        <v>14005</v>
      </c>
      <c r="G15785" t="s">
        <v>18017</v>
      </c>
      <c r="H15785" t="s">
        <v>26642</v>
      </c>
    </row>
    <row r="15786" spans="1:8">
      <c r="A15786" t="s">
        <v>2747</v>
      </c>
      <c r="B15786">
        <f>HYPERLINK("https://android.googlesource.com/platform/cts/+/5f4a28a356ca2bc29ee2478db32a0818b16fe438", "5f4a28a356ca2bc29ee2478db32a0818b16fe438")</f>
        <v>0</v>
      </c>
      <c r="C15786">
        <f>HYPERLINK("https://android.googlesource.com/platform/cts/+/23b4ab34b38bf8e2052679da18ddcd3391898652", "23b4ab34b38bf8e2052679da18ddcd3391898652")</f>
        <v>0</v>
      </c>
      <c r="D15786" t="s">
        <v>5449</v>
      </c>
      <c r="E15786" t="s">
        <v>8476</v>
      </c>
      <c r="F15786" t="s">
        <v>14006</v>
      </c>
      <c r="G15786" t="s">
        <v>18018</v>
      </c>
      <c r="H15786" t="s">
        <v>32874</v>
      </c>
    </row>
    <row r="15787" spans="1:8">
      <c r="F15787" t="s">
        <v>14007</v>
      </c>
      <c r="G15787" t="s">
        <v>18019</v>
      </c>
      <c r="H15787" t="s">
        <v>32875</v>
      </c>
    </row>
    <row r="15788" spans="1:8">
      <c r="F15788" t="s">
        <v>14008</v>
      </c>
      <c r="G15788" t="s">
        <v>18020</v>
      </c>
      <c r="H15788" t="s">
        <v>32876</v>
      </c>
    </row>
    <row r="15789" spans="1:8">
      <c r="F15789" t="s">
        <v>14009</v>
      </c>
      <c r="G15789" t="s">
        <v>18021</v>
      </c>
      <c r="H15789" t="s">
        <v>32877</v>
      </c>
    </row>
    <row r="15790" spans="1:8">
      <c r="H15790" t="s">
        <v>32878</v>
      </c>
    </row>
    <row r="15791" spans="1:8">
      <c r="F15791" t="s">
        <v>14010</v>
      </c>
      <c r="G15791" t="s">
        <v>18022</v>
      </c>
      <c r="H15791" t="s">
        <v>32879</v>
      </c>
    </row>
    <row r="15792" spans="1:8">
      <c r="H15792" t="s">
        <v>32880</v>
      </c>
    </row>
    <row r="15793" spans="1:8">
      <c r="H15793" t="s">
        <v>32881</v>
      </c>
    </row>
    <row r="15794" spans="1:8">
      <c r="H15794" t="s">
        <v>32882</v>
      </c>
    </row>
    <row r="15795" spans="1:8">
      <c r="A15795" t="s">
        <v>2748</v>
      </c>
      <c r="B15795">
        <f>HYPERLINK("https://android.googlesource.com/platform/cts/+/fef7584fa028047d5aa222adb3f3c7d3e1916c57", "fef7584fa028047d5aa222adb3f3c7d3e1916c57")</f>
        <v>0</v>
      </c>
      <c r="C15795">
        <f>HYPERLINK("https://android.googlesource.com/platform/cts/+/761bf2d6da2b94d4df27f48550dbdb22be1228c4", "761bf2d6da2b94d4df27f48550dbdb22be1228c4")</f>
        <v>0</v>
      </c>
      <c r="D15795" t="s">
        <v>5450</v>
      </c>
      <c r="E15795" t="s">
        <v>8477</v>
      </c>
      <c r="F15795" t="s">
        <v>14011</v>
      </c>
      <c r="G15795" t="s">
        <v>18023</v>
      </c>
      <c r="H15795" t="s">
        <v>32883</v>
      </c>
    </row>
    <row r="15796" spans="1:8">
      <c r="A15796" t="s">
        <v>2750</v>
      </c>
      <c r="B15796">
        <f>HYPERLINK("https://android.googlesource.com/platform/cts/+/01f3e21125c00adf0dfe32546818cea55f9c00a0", "01f3e21125c00adf0dfe32546818cea55f9c00a0")</f>
        <v>0</v>
      </c>
      <c r="C15796">
        <f>HYPERLINK("https://android.googlesource.com/platform/cts/+/185857f1d80ac8b92b0b7578cab700b4ab3eb07b", "185857f1d80ac8b92b0b7578cab700b4ab3eb07b")</f>
        <v>0</v>
      </c>
      <c r="D15796" t="s">
        <v>5451</v>
      </c>
      <c r="E15796" t="s">
        <v>8479</v>
      </c>
      <c r="F15796" t="s">
        <v>13371</v>
      </c>
      <c r="G15796" t="s">
        <v>17498</v>
      </c>
      <c r="H15796" t="s">
        <v>32884</v>
      </c>
    </row>
    <row r="15797" spans="1:8">
      <c r="A15797" t="s">
        <v>2752</v>
      </c>
      <c r="B15797">
        <f>HYPERLINK("https://android.googlesource.com/platform/cts/+/279f26e78dc11f05c591f8bbc1f6f1bee5554429", "279f26e78dc11f05c591f8bbc1f6f1bee5554429")</f>
        <v>0</v>
      </c>
      <c r="C15797">
        <f>HYPERLINK("https://android.googlesource.com/platform/cts/+/f85b67b60ad157d1d09801834f33f3692e48d7a9", "f85b67b60ad157d1d09801834f33f3692e48d7a9")</f>
        <v>0</v>
      </c>
      <c r="D15797" t="s">
        <v>5449</v>
      </c>
      <c r="E15797" t="s">
        <v>8481</v>
      </c>
      <c r="F15797" t="s">
        <v>14006</v>
      </c>
      <c r="G15797" t="s">
        <v>18018</v>
      </c>
      <c r="H15797" t="s">
        <v>32891</v>
      </c>
    </row>
    <row r="15798" spans="1:8">
      <c r="F15798" t="s">
        <v>14007</v>
      </c>
      <c r="G15798" t="s">
        <v>18019</v>
      </c>
      <c r="H15798" t="s">
        <v>32891</v>
      </c>
    </row>
    <row r="15799" spans="1:8">
      <c r="F15799" t="s">
        <v>14008</v>
      </c>
      <c r="G15799" t="s">
        <v>18020</v>
      </c>
      <c r="H15799" t="s">
        <v>32891</v>
      </c>
    </row>
    <row r="15800" spans="1:8">
      <c r="F15800" t="s">
        <v>14013</v>
      </c>
      <c r="G15800" t="s">
        <v>18025</v>
      </c>
      <c r="H15800" t="s">
        <v>32891</v>
      </c>
    </row>
    <row r="15801" spans="1:8">
      <c r="F15801" t="s">
        <v>14009</v>
      </c>
      <c r="G15801" t="s">
        <v>18021</v>
      </c>
      <c r="H15801" t="s">
        <v>32891</v>
      </c>
    </row>
    <row r="15802" spans="1:8">
      <c r="F15802" t="s">
        <v>14010</v>
      </c>
      <c r="G15802" t="s">
        <v>18022</v>
      </c>
      <c r="H15802" t="s">
        <v>32891</v>
      </c>
    </row>
    <row r="15803" spans="1:8">
      <c r="A15803" t="s">
        <v>2755</v>
      </c>
      <c r="B15803">
        <f>HYPERLINK("https://android.googlesource.com/platform/cts/+/0da7aa9941bb3368ec3c5d5bf3e6bcd11de57f0a", "0da7aa9941bb3368ec3c5d5bf3e6bcd11de57f0a")</f>
        <v>0</v>
      </c>
      <c r="C15803">
        <f>HYPERLINK("https://android.googlesource.com/platform/cts/+/74bf542d086ffe30c341359d9e3069fa0cf98e3f", "74bf542d086ffe30c341359d9e3069fa0cf98e3f")</f>
        <v>0</v>
      </c>
      <c r="D15803" t="s">
        <v>5453</v>
      </c>
      <c r="E15803" t="s">
        <v>8483</v>
      </c>
      <c r="F15803" t="s">
        <v>13457</v>
      </c>
      <c r="G15803" t="s">
        <v>17483</v>
      </c>
      <c r="H15803" t="s">
        <v>29465</v>
      </c>
    </row>
    <row r="15804" spans="1:8">
      <c r="A15804" t="s">
        <v>2758</v>
      </c>
      <c r="B15804">
        <f>HYPERLINK("https://android.googlesource.com/platform/cts/+/907c4c0cf32f4b52f019be7e838c4ff9888e38ed", "907c4c0cf32f4b52f019be7e838c4ff9888e38ed")</f>
        <v>0</v>
      </c>
      <c r="C15804">
        <f>HYPERLINK("https://android.googlesource.com/platform/cts/+/7222b7aaf658f3a4246832e6a0eef965197c30ba", "7222b7aaf658f3a4246832e6a0eef965197c30ba")</f>
        <v>0</v>
      </c>
      <c r="D15804" t="s">
        <v>5341</v>
      </c>
      <c r="E15804" t="s">
        <v>8486</v>
      </c>
      <c r="F15804" t="s">
        <v>13827</v>
      </c>
      <c r="G15804" t="s">
        <v>17871</v>
      </c>
      <c r="H15804" t="s">
        <v>32893</v>
      </c>
    </row>
    <row r="15805" spans="1:8">
      <c r="A15805" t="s">
        <v>2759</v>
      </c>
      <c r="B15805">
        <f>HYPERLINK("https://android.googlesource.com/platform/cts/+/7e9b78c0ebb5444e42ec708d0c95cd82c8576f51", "7e9b78c0ebb5444e42ec708d0c95cd82c8576f51")</f>
        <v>0</v>
      </c>
      <c r="C15805">
        <f>HYPERLINK("https://android.googlesource.com/platform/cts/+/5c80241489e0569cad360cd48912f5024f262dda", "5c80241489e0569cad360cd48912f5024f262dda")</f>
        <v>0</v>
      </c>
      <c r="D15805" t="s">
        <v>5454</v>
      </c>
      <c r="E15805" t="s">
        <v>8487</v>
      </c>
      <c r="F15805" t="s">
        <v>14014</v>
      </c>
      <c r="G15805" t="s">
        <v>18026</v>
      </c>
      <c r="H15805" t="s">
        <v>32894</v>
      </c>
    </row>
    <row r="15806" spans="1:8">
      <c r="A15806" t="s">
        <v>2760</v>
      </c>
      <c r="B15806">
        <f>HYPERLINK("https://android.googlesource.com/platform/cts/+/f685f12977e5592dbe5240231901b58cf2defe01", "f685f12977e5592dbe5240231901b58cf2defe01")</f>
        <v>0</v>
      </c>
      <c r="C15806">
        <f>HYPERLINK("https://android.googlesource.com/platform/cts/+/9075ef4ed2ab57df6b703603007a52fe5a9e5e5c", "9075ef4ed2ab57df6b703603007a52fe5a9e5e5c")</f>
        <v>0</v>
      </c>
      <c r="D15806" t="s">
        <v>5448</v>
      </c>
      <c r="E15806" t="s">
        <v>8488</v>
      </c>
      <c r="F15806" t="s">
        <v>14003</v>
      </c>
      <c r="G15806" t="s">
        <v>18016</v>
      </c>
      <c r="H15806" t="s">
        <v>26642</v>
      </c>
    </row>
    <row r="15807" spans="1:8">
      <c r="F15807" t="s">
        <v>14004</v>
      </c>
      <c r="G15807" t="s">
        <v>17023</v>
      </c>
      <c r="H15807" t="s">
        <v>26642</v>
      </c>
    </row>
    <row r="15808" spans="1:8">
      <c r="F15808" t="s">
        <v>14005</v>
      </c>
      <c r="G15808" t="s">
        <v>18017</v>
      </c>
      <c r="H15808" t="s">
        <v>26642</v>
      </c>
    </row>
    <row r="15809" spans="1:8">
      <c r="A15809" t="s">
        <v>2761</v>
      </c>
      <c r="B15809">
        <f>HYPERLINK("https://android.googlesource.com/platform/cts/+/ce892aaa4d83d250a5eedbd119a15aff73be2377", "ce892aaa4d83d250a5eedbd119a15aff73be2377")</f>
        <v>0</v>
      </c>
      <c r="C15809">
        <f>HYPERLINK("https://android.googlesource.com/platform/cts/+/e8184b2136de41c44b12742ff7a8aa597c75050b", "e8184b2136de41c44b12742ff7a8aa597c75050b")</f>
        <v>0</v>
      </c>
      <c r="D15809" t="s">
        <v>5363</v>
      </c>
      <c r="E15809" t="s">
        <v>8489</v>
      </c>
      <c r="F15809" t="s">
        <v>14016</v>
      </c>
      <c r="G15809" t="s">
        <v>17963</v>
      </c>
      <c r="H15809" t="s">
        <v>32895</v>
      </c>
    </row>
    <row r="15810" spans="1:8">
      <c r="F15810" t="s">
        <v>14017</v>
      </c>
      <c r="G15810" t="s">
        <v>18027</v>
      </c>
      <c r="H15810" t="s">
        <v>19013</v>
      </c>
    </row>
    <row r="15811" spans="1:8">
      <c r="H15811" t="s">
        <v>18835</v>
      </c>
    </row>
    <row r="15812" spans="1:8">
      <c r="F15812" t="s">
        <v>14018</v>
      </c>
      <c r="G15812" t="s">
        <v>18028</v>
      </c>
      <c r="H15812" t="s">
        <v>19013</v>
      </c>
    </row>
    <row r="15813" spans="1:8">
      <c r="H15813" t="s">
        <v>18835</v>
      </c>
    </row>
    <row r="15814" spans="1:8">
      <c r="F15814" t="s">
        <v>14019</v>
      </c>
      <c r="G15814" t="s">
        <v>18029</v>
      </c>
      <c r="H15814" t="s">
        <v>19013</v>
      </c>
    </row>
    <row r="15815" spans="1:8">
      <c r="H15815" t="s">
        <v>18835</v>
      </c>
    </row>
    <row r="15816" spans="1:8">
      <c r="F15816" t="s">
        <v>14021</v>
      </c>
      <c r="G15816" t="s">
        <v>18031</v>
      </c>
      <c r="H15816" t="s">
        <v>32943</v>
      </c>
    </row>
    <row r="15817" spans="1:8">
      <c r="H15817" t="s">
        <v>32944</v>
      </c>
    </row>
    <row r="15818" spans="1:8">
      <c r="F15818" t="s">
        <v>14022</v>
      </c>
      <c r="G15818" t="s">
        <v>17876</v>
      </c>
      <c r="H15818" t="s">
        <v>32945</v>
      </c>
    </row>
    <row r="15819" spans="1:8">
      <c r="A15819" t="s">
        <v>2764</v>
      </c>
      <c r="B15819">
        <f>HYPERLINK("https://android.googlesource.com/platform/cts/+/368c7a56f927a6e1e33845d1f728893ab094f4b9", "368c7a56f927a6e1e33845d1f728893ab094f4b9")</f>
        <v>0</v>
      </c>
      <c r="C15819">
        <f>HYPERLINK("https://android.googlesource.com/platform/cts/+/7e9b78c0ebb5444e42ec708d0c95cd82c8576f51", "7e9b78c0ebb5444e42ec708d0c95cd82c8576f51")</f>
        <v>0</v>
      </c>
      <c r="D15819" t="s">
        <v>5320</v>
      </c>
      <c r="E15819" t="s">
        <v>8492</v>
      </c>
      <c r="F15819" t="s">
        <v>14014</v>
      </c>
      <c r="G15819" t="s">
        <v>18026</v>
      </c>
      <c r="H15819" t="s">
        <v>32956</v>
      </c>
    </row>
    <row r="15820" spans="1:8">
      <c r="H15820" t="s">
        <v>32957</v>
      </c>
    </row>
    <row r="15821" spans="1:8">
      <c r="H15821" t="s">
        <v>32958</v>
      </c>
    </row>
    <row r="15822" spans="1:8">
      <c r="H15822" t="s">
        <v>32959</v>
      </c>
    </row>
    <row r="15823" spans="1:8">
      <c r="H15823" t="s">
        <v>32960</v>
      </c>
    </row>
    <row r="15824" spans="1:8">
      <c r="A15824" t="s">
        <v>2765</v>
      </c>
      <c r="B15824">
        <f>HYPERLINK("https://android.googlesource.com/platform/cts/+/4540ec7024bb8f78eea794aed3479b5b2ce570a1", "4540ec7024bb8f78eea794aed3479b5b2ce570a1")</f>
        <v>0</v>
      </c>
      <c r="C15824">
        <f>HYPERLINK("https://android.googlesource.com/platform/cts/+/a90feddf8960947e26694eaaa5e40abb296b52cf", "a90feddf8960947e26694eaaa5e40abb296b52cf")</f>
        <v>0</v>
      </c>
      <c r="D15824" t="s">
        <v>5195</v>
      </c>
      <c r="E15824" t="s">
        <v>8493</v>
      </c>
      <c r="F15824" t="s">
        <v>14024</v>
      </c>
      <c r="G15824" t="s">
        <v>16875</v>
      </c>
      <c r="H15824" t="s">
        <v>32967</v>
      </c>
    </row>
    <row r="15825" spans="1:8">
      <c r="H15825" t="s">
        <v>32968</v>
      </c>
    </row>
    <row r="15826" spans="1:8">
      <c r="H15826" t="s">
        <v>32969</v>
      </c>
    </row>
    <row r="15827" spans="1:8">
      <c r="A15827" t="s">
        <v>2766</v>
      </c>
      <c r="B15827">
        <f>HYPERLINK("https://android.googlesource.com/platform/cts/+/93ed14bc14f4762e6d4c357a8db653d0bbc602f4", "93ed14bc14f4762e6d4c357a8db653d0bbc602f4")</f>
        <v>0</v>
      </c>
      <c r="C15827">
        <f>HYPERLINK("https://android.googlesource.com/platform/cts/+/4540ec7024bb8f78eea794aed3479b5b2ce570a1", "4540ec7024bb8f78eea794aed3479b5b2ce570a1")</f>
        <v>0</v>
      </c>
      <c r="D15827" t="s">
        <v>5195</v>
      </c>
      <c r="E15827" t="s">
        <v>8494</v>
      </c>
      <c r="F15827" t="s">
        <v>14024</v>
      </c>
      <c r="G15827" t="s">
        <v>16875</v>
      </c>
      <c r="H15827" t="s">
        <v>32970</v>
      </c>
    </row>
    <row r="15828" spans="1:8">
      <c r="H15828" t="s">
        <v>32971</v>
      </c>
    </row>
    <row r="15829" spans="1:8">
      <c r="A15829" t="s">
        <v>2766</v>
      </c>
      <c r="B15829">
        <f>HYPERLINK("https://android.googlesource.com/platform/cts/+/5f5dd1661e0c6beb1f169513fa230cc37c59b200", "5f5dd1661e0c6beb1f169513fa230cc37c59b200")</f>
        <v>0</v>
      </c>
      <c r="C15829">
        <f>HYPERLINK("https://android.googlesource.com/platform/cts/+/93ed14bc14f4762e6d4c357a8db653d0bbc602f4", "93ed14bc14f4762e6d4c357a8db653d0bbc602f4")</f>
        <v>0</v>
      </c>
      <c r="D15829" t="s">
        <v>5195</v>
      </c>
      <c r="E15829" t="s">
        <v>8495</v>
      </c>
      <c r="F15829" t="s">
        <v>14024</v>
      </c>
      <c r="G15829" t="s">
        <v>16875</v>
      </c>
      <c r="H15829" t="s">
        <v>32972</v>
      </c>
    </row>
    <row r="15830" spans="1:8">
      <c r="A15830" t="s">
        <v>2767</v>
      </c>
      <c r="B15830">
        <f>HYPERLINK("https://android.googlesource.com/platform/cts/+/2fd585f6e9bb310180c774eede5fc3d5726e63f9", "2fd585f6e9bb310180c774eede5fc3d5726e63f9")</f>
        <v>0</v>
      </c>
      <c r="C15830">
        <f>HYPERLINK("https://android.googlesource.com/platform/cts/+/1f2a2f92bdd8899b333806cd5725e38ede72cfd3", "1f2a2f92bdd8899b333806cd5725e38ede72cfd3")</f>
        <v>0</v>
      </c>
      <c r="D15830" t="s">
        <v>5195</v>
      </c>
      <c r="E15830" t="s">
        <v>8496</v>
      </c>
      <c r="F15830" t="s">
        <v>14025</v>
      </c>
      <c r="G15830" t="s">
        <v>18033</v>
      </c>
      <c r="H15830" t="s">
        <v>32973</v>
      </c>
    </row>
    <row r="15831" spans="1:8">
      <c r="A15831" t="s">
        <v>2769</v>
      </c>
      <c r="B15831">
        <f>HYPERLINK("https://android.googlesource.com/platform/cts/+/164b864e6c367c434c3d3e0c1ae888d199f42d43", "164b864e6c367c434c3d3e0c1ae888d199f42d43")</f>
        <v>0</v>
      </c>
      <c r="C15831">
        <f>HYPERLINK("https://android.googlesource.com/platform/cts/+/2210f52e0614cc1bc6c345998589d929d4e56a9c", "2210f52e0614cc1bc6c345998589d929d4e56a9c")</f>
        <v>0</v>
      </c>
      <c r="D15831" t="s">
        <v>5454</v>
      </c>
      <c r="E15831" t="s">
        <v>8497</v>
      </c>
      <c r="F15831" t="s">
        <v>14014</v>
      </c>
      <c r="G15831" t="s">
        <v>18026</v>
      </c>
      <c r="H15831" t="s">
        <v>32894</v>
      </c>
    </row>
    <row r="15832" spans="1:8">
      <c r="A15832" t="s">
        <v>2770</v>
      </c>
      <c r="B15832">
        <f>HYPERLINK("https://android.googlesource.com/platform/cts/+/433b9ce6f82b723b4cf764879872015ba65da821", "433b9ce6f82b723b4cf764879872015ba65da821")</f>
        <v>0</v>
      </c>
      <c r="C15832">
        <f>HYPERLINK("https://android.googlesource.com/platform/cts/+/09e5ed81aa072d22b98d340fbd267432d7511343", "09e5ed81aa072d22b98d340fbd267432d7511343")</f>
        <v>0</v>
      </c>
      <c r="D15832" t="s">
        <v>5304</v>
      </c>
      <c r="E15832" t="s">
        <v>8498</v>
      </c>
      <c r="F15832" t="s">
        <v>13242</v>
      </c>
      <c r="G15832" t="s">
        <v>17382</v>
      </c>
      <c r="H15832" t="s">
        <v>28992</v>
      </c>
    </row>
    <row r="15833" spans="1:8">
      <c r="A15833" t="s">
        <v>2771</v>
      </c>
      <c r="B15833">
        <f>HYPERLINK("https://android.googlesource.com/platform/cts/+/96a08228dfe44ae0a2f57bdb2fffdd66bd6ff2c1", "96a08228dfe44ae0a2f57bdb2fffdd66bd6ff2c1")</f>
        <v>0</v>
      </c>
      <c r="C15833">
        <f>HYPERLINK("https://android.googlesource.com/platform/cts/+/0e5404856409e0c482f988fb7a1e3dedc2c66ef2", "0e5404856409e0c482f988fb7a1e3dedc2c66ef2")</f>
        <v>0</v>
      </c>
      <c r="D15833" t="s">
        <v>5341</v>
      </c>
      <c r="E15833" t="s">
        <v>8499</v>
      </c>
      <c r="F15833" t="s">
        <v>13827</v>
      </c>
      <c r="G15833" t="s">
        <v>17871</v>
      </c>
      <c r="H15833" t="s">
        <v>32974</v>
      </c>
    </row>
    <row r="15834" spans="1:8">
      <c r="A15834" t="s">
        <v>2773</v>
      </c>
      <c r="B15834">
        <f>HYPERLINK("https://android.googlesource.com/platform/cts/+/f5bdd8a3b5e3dd8e6edf436339de2d52bfccfafa", "f5bdd8a3b5e3dd8e6edf436339de2d52bfccfafa")</f>
        <v>0</v>
      </c>
      <c r="C15834">
        <f>HYPERLINK("https://android.googlesource.com/platform/cts/+/3086fe22a436579d3c3afb110df556f371402344", "3086fe22a436579d3c3afb110df556f371402344")</f>
        <v>0</v>
      </c>
      <c r="D15834" t="s">
        <v>5431</v>
      </c>
      <c r="E15834" t="s">
        <v>8501</v>
      </c>
      <c r="F15834" t="s">
        <v>13229</v>
      </c>
      <c r="G15834" t="s">
        <v>17370</v>
      </c>
      <c r="H15834" t="s">
        <v>32976</v>
      </c>
    </row>
    <row r="15835" spans="1:8">
      <c r="F15835" t="s">
        <v>12745</v>
      </c>
      <c r="G15835" t="s">
        <v>16937</v>
      </c>
      <c r="H15835" t="s">
        <v>32976</v>
      </c>
    </row>
    <row r="15836" spans="1:8">
      <c r="A15836" t="s">
        <v>2774</v>
      </c>
      <c r="B15836">
        <f>HYPERLINK("https://android.googlesource.com/platform/cts/+/c4e84de7d118ee1600dbbc8421237553938d8a55", "c4e84de7d118ee1600dbbc8421237553938d8a55")</f>
        <v>0</v>
      </c>
      <c r="C15836">
        <f>HYPERLINK("https://android.googlesource.com/platform/cts/+/201ad6d6154b91fb4ae6daf0c231474f10b30f4c", "201ad6d6154b91fb4ae6daf0c231474f10b30f4c")</f>
        <v>0</v>
      </c>
      <c r="D15836" t="s">
        <v>5456</v>
      </c>
      <c r="E15836" t="s">
        <v>8502</v>
      </c>
      <c r="F15836" t="s">
        <v>13846</v>
      </c>
      <c r="G15836" t="s">
        <v>17889</v>
      </c>
      <c r="H15836" t="s">
        <v>32977</v>
      </c>
    </row>
    <row r="15837" spans="1:8">
      <c r="H15837" t="s">
        <v>32978</v>
      </c>
    </row>
    <row r="15838" spans="1:8">
      <c r="H15838" t="s">
        <v>32979</v>
      </c>
    </row>
    <row r="15839" spans="1:8">
      <c r="H15839" t="s">
        <v>32980</v>
      </c>
    </row>
    <row r="15840" spans="1:8">
      <c r="H15840" t="s">
        <v>32981</v>
      </c>
    </row>
    <row r="15841" spans="1:8">
      <c r="H15841" t="s">
        <v>32982</v>
      </c>
    </row>
    <row r="15842" spans="1:8">
      <c r="F15842" t="s">
        <v>13899</v>
      </c>
      <c r="G15842" t="s">
        <v>17889</v>
      </c>
      <c r="H15842" t="s">
        <v>32977</v>
      </c>
    </row>
    <row r="15843" spans="1:8">
      <c r="H15843" t="s">
        <v>32978</v>
      </c>
    </row>
    <row r="15844" spans="1:8">
      <c r="H15844" t="s">
        <v>32979</v>
      </c>
    </row>
    <row r="15845" spans="1:8">
      <c r="H15845" t="s">
        <v>32980</v>
      </c>
    </row>
    <row r="15846" spans="1:8">
      <c r="H15846" t="s">
        <v>32981</v>
      </c>
    </row>
    <row r="15847" spans="1:8">
      <c r="H15847" t="s">
        <v>32982</v>
      </c>
    </row>
    <row r="15848" spans="1:8">
      <c r="A15848" t="s">
        <v>2776</v>
      </c>
      <c r="B15848">
        <f>HYPERLINK("https://android.googlesource.com/platform/cts/+/0caeae2baf969a32e8cafc469170ea4388869767", "0caeae2baf969a32e8cafc469170ea4388869767")</f>
        <v>0</v>
      </c>
      <c r="C15848">
        <f>HYPERLINK("https://android.googlesource.com/platform/cts/+/29b8e9b36d1ebdc9255f0511d18c06d6d65ccc28", "29b8e9b36d1ebdc9255f0511d18c06d6d65ccc28")</f>
        <v>0</v>
      </c>
      <c r="D15848" t="s">
        <v>5448</v>
      </c>
      <c r="E15848" t="s">
        <v>8504</v>
      </c>
      <c r="F15848" t="s">
        <v>14026</v>
      </c>
      <c r="G15848" t="s">
        <v>17766</v>
      </c>
      <c r="H15848" t="s">
        <v>32986</v>
      </c>
    </row>
    <row r="15849" spans="1:8">
      <c r="H15849" t="s">
        <v>32987</v>
      </c>
    </row>
    <row r="15850" spans="1:8">
      <c r="F15850" t="s">
        <v>14027</v>
      </c>
      <c r="G15850" t="s">
        <v>18034</v>
      </c>
      <c r="H15850" t="s">
        <v>29754</v>
      </c>
    </row>
    <row r="15851" spans="1:8">
      <c r="H15851" t="s">
        <v>32990</v>
      </c>
    </row>
    <row r="15852" spans="1:8">
      <c r="A15852" t="s">
        <v>2777</v>
      </c>
      <c r="B15852">
        <f>HYPERLINK("https://android.googlesource.com/platform/cts/+/dc11e35a2483c8ab85b1b5921afa3b0e9d991069", "dc11e35a2483c8ab85b1b5921afa3b0e9d991069")</f>
        <v>0</v>
      </c>
      <c r="C15852">
        <f>HYPERLINK("https://android.googlesource.com/platform/cts/+/ccaa844b42e6918858ea4cbdb7c1831a9c5d6903", "ccaa844b42e6918858ea4cbdb7c1831a9c5d6903")</f>
        <v>0</v>
      </c>
      <c r="D15852" t="s">
        <v>5456</v>
      </c>
      <c r="E15852" t="s">
        <v>8505</v>
      </c>
      <c r="F15852" t="s">
        <v>13846</v>
      </c>
      <c r="G15852" t="s">
        <v>17889</v>
      </c>
      <c r="H15852" t="s">
        <v>32992</v>
      </c>
    </row>
    <row r="15853" spans="1:8">
      <c r="F15853" t="s">
        <v>13899</v>
      </c>
      <c r="G15853" t="s">
        <v>17889</v>
      </c>
      <c r="H15853" t="s">
        <v>32992</v>
      </c>
    </row>
    <row r="15854" spans="1:8">
      <c r="A15854" t="s">
        <v>2782</v>
      </c>
      <c r="B15854">
        <f>HYPERLINK("https://android.googlesource.com/platform/cts/+/e4829313d1cb6928486b39fd7e9244ba95515d67", "e4829313d1cb6928486b39fd7e9244ba95515d67")</f>
        <v>0</v>
      </c>
      <c r="C15854">
        <f>HYPERLINK("https://android.googlesource.com/platform/cts/+/074cbd5c0b442fcb96d330cf70c0428a3ed1e6cc", "074cbd5c0b442fcb96d330cf70c0428a3ed1e6cc")</f>
        <v>0</v>
      </c>
      <c r="D15854" t="s">
        <v>5456</v>
      </c>
      <c r="E15854" t="s">
        <v>8510</v>
      </c>
      <c r="F15854" t="s">
        <v>13846</v>
      </c>
      <c r="G15854" t="s">
        <v>17889</v>
      </c>
      <c r="H15854" t="s">
        <v>32997</v>
      </c>
    </row>
    <row r="15855" spans="1:8">
      <c r="F15855" t="s">
        <v>13899</v>
      </c>
      <c r="G15855" t="s">
        <v>17889</v>
      </c>
      <c r="H15855" t="s">
        <v>32997</v>
      </c>
    </row>
    <row r="15856" spans="1:8">
      <c r="A15856" t="s">
        <v>2784</v>
      </c>
      <c r="B15856">
        <f>HYPERLINK("https://android.googlesource.com/platform/cts/+/41c756a99a6ecd52c1f60e36d7858bef64c2572c", "41c756a99a6ecd52c1f60e36d7858bef64c2572c")</f>
        <v>0</v>
      </c>
      <c r="C15856">
        <f>HYPERLINK("https://android.googlesource.com/platform/cts/+/ae17b48e58f64dbe19d1761d5c40bd3861c61a0f", "ae17b48e58f64dbe19d1761d5c40bd3861c61a0f")</f>
        <v>0</v>
      </c>
      <c r="D15856" t="s">
        <v>5363</v>
      </c>
      <c r="E15856" t="s">
        <v>8511</v>
      </c>
      <c r="F15856" t="s">
        <v>14031</v>
      </c>
      <c r="G15856" t="s">
        <v>18036</v>
      </c>
      <c r="H15856" t="s">
        <v>19013</v>
      </c>
    </row>
    <row r="15857" spans="1:8">
      <c r="F15857" t="s">
        <v>14032</v>
      </c>
      <c r="G15857" t="s">
        <v>18037</v>
      </c>
      <c r="H15857" t="s">
        <v>19013</v>
      </c>
    </row>
    <row r="15858" spans="1:8">
      <c r="A15858" t="s">
        <v>2792</v>
      </c>
      <c r="B15858">
        <f>HYPERLINK("https://android.googlesource.com/platform/cts/+/40621887f3929c82c46735101a43651d127d1421", "40621887f3929c82c46735101a43651d127d1421")</f>
        <v>0</v>
      </c>
      <c r="C15858">
        <f>HYPERLINK("https://android.googlesource.com/platform/cts/+/a34b7f8d89ab991ecf9b628f2c71b9eb37a93b22", "a34b7f8d89ab991ecf9b628f2c71b9eb37a93b22")</f>
        <v>0</v>
      </c>
      <c r="D15858" t="s">
        <v>5108</v>
      </c>
      <c r="E15858" t="s">
        <v>8519</v>
      </c>
      <c r="F15858" t="s">
        <v>12767</v>
      </c>
      <c r="G15858" t="s">
        <v>16955</v>
      </c>
      <c r="H15858" t="s">
        <v>33012</v>
      </c>
    </row>
    <row r="15859" spans="1:8">
      <c r="F15859" t="s">
        <v>13974</v>
      </c>
      <c r="G15859" t="s">
        <v>17999</v>
      </c>
      <c r="H15859" t="s">
        <v>26331</v>
      </c>
    </row>
    <row r="15860" spans="1:8">
      <c r="F15860" t="s">
        <v>14037</v>
      </c>
      <c r="G15860" t="s">
        <v>18040</v>
      </c>
      <c r="H15860" t="s">
        <v>26335</v>
      </c>
    </row>
    <row r="15861" spans="1:8">
      <c r="H15861" t="s">
        <v>26336</v>
      </c>
    </row>
    <row r="15862" spans="1:8">
      <c r="H15862" t="s">
        <v>26337</v>
      </c>
    </row>
    <row r="15863" spans="1:8">
      <c r="H15863" t="s">
        <v>26338</v>
      </c>
    </row>
    <row r="15864" spans="1:8">
      <c r="H15864" t="s">
        <v>26339</v>
      </c>
    </row>
    <row r="15865" spans="1:8">
      <c r="H15865" t="s">
        <v>26340</v>
      </c>
    </row>
    <row r="15866" spans="1:8">
      <c r="H15866" t="s">
        <v>26341</v>
      </c>
    </row>
    <row r="15867" spans="1:8">
      <c r="H15867" t="s">
        <v>26342</v>
      </c>
    </row>
    <row r="15868" spans="1:8">
      <c r="H15868" t="s">
        <v>26343</v>
      </c>
    </row>
    <row r="15869" spans="1:8">
      <c r="H15869" t="s">
        <v>26344</v>
      </c>
    </row>
    <row r="15870" spans="1:8">
      <c r="F15870" t="s">
        <v>14038</v>
      </c>
      <c r="G15870" t="s">
        <v>18041</v>
      </c>
      <c r="H15870" t="s">
        <v>26296</v>
      </c>
    </row>
    <row r="15871" spans="1:8">
      <c r="H15871" t="s">
        <v>33014</v>
      </c>
    </row>
    <row r="15872" spans="1:8">
      <c r="H15872" t="s">
        <v>33015</v>
      </c>
    </row>
    <row r="15873" spans="1:8">
      <c r="F15873" t="s">
        <v>12762</v>
      </c>
      <c r="G15873" t="s">
        <v>16953</v>
      </c>
      <c r="H15873" t="s">
        <v>26331</v>
      </c>
    </row>
    <row r="15874" spans="1:8">
      <c r="H15874" t="s">
        <v>33019</v>
      </c>
    </row>
    <row r="15875" spans="1:8">
      <c r="A15875" t="s">
        <v>2793</v>
      </c>
      <c r="B15875">
        <f>HYPERLINK("https://android.googlesource.com/platform/cts/+/4e2e4014e4bd6da0adda621fa5c9defc5d56d8e1", "4e2e4014e4bd6da0adda621fa5c9defc5d56d8e1")</f>
        <v>0</v>
      </c>
      <c r="C15875">
        <f>HYPERLINK("https://android.googlesource.com/platform/cts/+/7088885815f70b13b3306a2182572feb6d5a767f", "7088885815f70b13b3306a2182572feb6d5a767f")</f>
        <v>0</v>
      </c>
      <c r="D15875" t="s">
        <v>5120</v>
      </c>
      <c r="E15875" t="s">
        <v>8520</v>
      </c>
      <c r="F15875" t="s">
        <v>12176</v>
      </c>
      <c r="G15875" t="s">
        <v>16415</v>
      </c>
      <c r="H15875" t="s">
        <v>33020</v>
      </c>
    </row>
    <row r="15876" spans="1:8">
      <c r="H15876" t="s">
        <v>33021</v>
      </c>
    </row>
    <row r="15877" spans="1:8">
      <c r="A15877" t="s">
        <v>2797</v>
      </c>
      <c r="B15877">
        <f>HYPERLINK("https://android.googlesource.com/platform/cts/+/56586558555142d50f6920867f5a6e24bcdbfe05", "56586558555142d50f6920867f5a6e24bcdbfe05")</f>
        <v>0</v>
      </c>
      <c r="C15877">
        <f>HYPERLINK("https://android.googlesource.com/platform/cts/+/62691563f939938cceace69fe0a0e8aeb159e7e1", "62691563f939938cceace69fe0a0e8aeb159e7e1")</f>
        <v>0</v>
      </c>
      <c r="D15877" t="s">
        <v>5290</v>
      </c>
      <c r="E15877" t="s">
        <v>8524</v>
      </c>
      <c r="F15877" t="s">
        <v>12629</v>
      </c>
      <c r="G15877" t="s">
        <v>16838</v>
      </c>
      <c r="H15877" t="s">
        <v>33023</v>
      </c>
    </row>
    <row r="15878" spans="1:8">
      <c r="A15878" t="s">
        <v>2798</v>
      </c>
      <c r="B15878">
        <f>HYPERLINK("https://android.googlesource.com/platform/cts/+/829fa71e109920ea7fdf23372f2c811fab897d80", "829fa71e109920ea7fdf23372f2c811fab897d80")</f>
        <v>0</v>
      </c>
      <c r="C15878">
        <f>HYPERLINK("https://android.googlesource.com/platform/cts/+/a34b7f8d89ab991ecf9b628f2c71b9eb37a93b22", "a34b7f8d89ab991ecf9b628f2c71b9eb37a93b22")</f>
        <v>0</v>
      </c>
      <c r="D15878" t="s">
        <v>5357</v>
      </c>
      <c r="E15878" t="s">
        <v>8525</v>
      </c>
      <c r="F15878" t="s">
        <v>13277</v>
      </c>
      <c r="G15878" t="s">
        <v>17414</v>
      </c>
      <c r="H15878" t="s">
        <v>33024</v>
      </c>
    </row>
    <row r="15879" spans="1:8">
      <c r="H15879" t="s">
        <v>33025</v>
      </c>
    </row>
    <row r="15880" spans="1:8">
      <c r="A15880" t="s">
        <v>2802</v>
      </c>
      <c r="B15880">
        <f>HYPERLINK("https://android.googlesource.com/platform/cts/+/780ca4f965997af3c376100c9389e355f26e3abe", "780ca4f965997af3c376100c9389e355f26e3abe")</f>
        <v>0</v>
      </c>
      <c r="C15880">
        <f>HYPERLINK("https://android.googlesource.com/platform/cts/+/50fa1a3f9268c8b49c795696e1d9a1d9eadeef1d", "50fa1a3f9268c8b49c795696e1d9a1d9eadeef1d")</f>
        <v>0</v>
      </c>
      <c r="D15880" t="s">
        <v>5277</v>
      </c>
      <c r="E15880" t="s">
        <v>8529</v>
      </c>
      <c r="F15880" t="s">
        <v>14041</v>
      </c>
      <c r="G15880" t="s">
        <v>18044</v>
      </c>
      <c r="H15880" t="s">
        <v>33034</v>
      </c>
    </row>
    <row r="15881" spans="1:8">
      <c r="A15881" t="s">
        <v>2805</v>
      </c>
      <c r="B15881">
        <f>HYPERLINK("https://android.googlesource.com/platform/cts/+/5f83fb34250ad0fa130f4262ad8667b2bdebdd28", "5f83fb34250ad0fa130f4262ad8667b2bdebdd28")</f>
        <v>0</v>
      </c>
      <c r="C15881">
        <f>HYPERLINK("https://android.googlesource.com/platform/cts/+/56586558555142d50f6920867f5a6e24bcdbfe05", "56586558555142d50f6920867f5a6e24bcdbfe05")</f>
        <v>0</v>
      </c>
      <c r="D15881" t="s">
        <v>5290</v>
      </c>
      <c r="E15881" t="s">
        <v>8532</v>
      </c>
      <c r="F15881" t="s">
        <v>12419</v>
      </c>
      <c r="G15881" t="s">
        <v>16641</v>
      </c>
      <c r="H15881" t="s">
        <v>31218</v>
      </c>
    </row>
    <row r="15882" spans="1:8">
      <c r="H15882" t="s">
        <v>33039</v>
      </c>
    </row>
    <row r="15883" spans="1:8">
      <c r="A15883" t="s">
        <v>2809</v>
      </c>
      <c r="B15883">
        <f>HYPERLINK("https://android.googlesource.com/platform/cts/+/184cfd98d73701881a32740763b1c1a70e4ee30b", "184cfd98d73701881a32740763b1c1a70e4ee30b")</f>
        <v>0</v>
      </c>
      <c r="C15883">
        <f>HYPERLINK("https://android.googlesource.com/platform/cts/+/f07a53f57dde99b333dde200a2611a64d400a6f3", "f07a53f57dde99b333dde200a2611a64d400a6f3")</f>
        <v>0</v>
      </c>
      <c r="D15883" t="s">
        <v>5290</v>
      </c>
      <c r="E15883" t="s">
        <v>8536</v>
      </c>
      <c r="F15883" t="s">
        <v>12629</v>
      </c>
      <c r="G15883" t="s">
        <v>16838</v>
      </c>
      <c r="H15883" t="s">
        <v>28068</v>
      </c>
    </row>
    <row r="15884" spans="1:8">
      <c r="F15884" t="s">
        <v>12419</v>
      </c>
      <c r="G15884" t="s">
        <v>16641</v>
      </c>
      <c r="H15884" t="s">
        <v>33041</v>
      </c>
    </row>
    <row r="15885" spans="1:8">
      <c r="A15885" t="s">
        <v>2814</v>
      </c>
      <c r="B15885">
        <f>HYPERLINK("https://android.googlesource.com/platform/cts/+/1e1a31e7f0bc67fabb53dc5d9341c7eda190e787", "1e1a31e7f0bc67fabb53dc5d9341c7eda190e787")</f>
        <v>0</v>
      </c>
      <c r="C15885">
        <f>HYPERLINK("https://android.googlesource.com/platform/cts/+/47eafda86a3375a81e2a63b322bd90ecdde092d5", "47eafda86a3375a81e2a63b322bd90ecdde092d5")</f>
        <v>0</v>
      </c>
      <c r="D15885" t="s">
        <v>5288</v>
      </c>
      <c r="E15885" t="s">
        <v>8541</v>
      </c>
      <c r="F15885" t="s">
        <v>13489</v>
      </c>
      <c r="G15885" t="s">
        <v>17608</v>
      </c>
      <c r="H15885" t="s">
        <v>33044</v>
      </c>
    </row>
    <row r="15886" spans="1:8">
      <c r="A15886" t="s">
        <v>2815</v>
      </c>
      <c r="B15886">
        <f>HYPERLINK("https://android.googlesource.com/platform/cts/+/f8b30819712efaa487cad7327476d6b938bec752", "f8b30819712efaa487cad7327476d6b938bec752")</f>
        <v>0</v>
      </c>
      <c r="C15886">
        <f>HYPERLINK("https://android.googlesource.com/platform/cts/+/cc4048d7de8ca59f5d6ab5fe4530b078e5ef46f9", "cc4048d7de8ca59f5d6ab5fe4530b078e5ef46f9")</f>
        <v>0</v>
      </c>
      <c r="D15886" t="s">
        <v>5415</v>
      </c>
      <c r="E15886" t="s">
        <v>8542</v>
      </c>
      <c r="F15886" t="s">
        <v>14043</v>
      </c>
      <c r="G15886" t="s">
        <v>18045</v>
      </c>
      <c r="H15886" t="s">
        <v>26751</v>
      </c>
    </row>
    <row r="15887" spans="1:8">
      <c r="A15887" t="s">
        <v>2816</v>
      </c>
      <c r="B15887">
        <f>HYPERLINK("https://android.googlesource.com/platform/cts/+/9bad31458ed7cb58e2d71278d31523bd3ae74ecd", "9bad31458ed7cb58e2d71278d31523bd3ae74ecd")</f>
        <v>0</v>
      </c>
      <c r="C15887">
        <f>HYPERLINK("https://android.googlesource.com/platform/cts/+/065b522a42a06ae6be08139987de46d7bd90eacd", "065b522a42a06ae6be08139987de46d7bd90eacd")</f>
        <v>0</v>
      </c>
      <c r="D15887" t="s">
        <v>4974</v>
      </c>
      <c r="E15887" t="s">
        <v>8543</v>
      </c>
      <c r="F15887" t="s">
        <v>10778</v>
      </c>
      <c r="G15887" t="s">
        <v>15174</v>
      </c>
      <c r="H15887" t="s">
        <v>33045</v>
      </c>
    </row>
    <row r="15888" spans="1:8">
      <c r="A15888" t="s">
        <v>2817</v>
      </c>
      <c r="B15888">
        <f>HYPERLINK("https://android.googlesource.com/platform/cts/+/b3a63b7b0c18a577b4fcd3f126b1fc38c339ea9b", "b3a63b7b0c18a577b4fcd3f126b1fc38c339ea9b")</f>
        <v>0</v>
      </c>
      <c r="C15888">
        <f>HYPERLINK("https://android.googlesource.com/platform/cts/+/ce86bdf2f644be3fdc9c3b2fb824cea1bc86e2e7", "ce86bdf2f644be3fdc9c3b2fb824cea1bc86e2e7")</f>
        <v>0</v>
      </c>
      <c r="D15888" t="s">
        <v>5293</v>
      </c>
      <c r="E15888" t="s">
        <v>8544</v>
      </c>
      <c r="F15888" t="s">
        <v>13468</v>
      </c>
      <c r="G15888" t="s">
        <v>17587</v>
      </c>
      <c r="H15888" t="s">
        <v>33046</v>
      </c>
    </row>
    <row r="15889" spans="1:8">
      <c r="H15889" t="s">
        <v>33047</v>
      </c>
    </row>
    <row r="15890" spans="1:8">
      <c r="H15890" t="s">
        <v>33048</v>
      </c>
    </row>
    <row r="15891" spans="1:8">
      <c r="H15891" t="s">
        <v>33049</v>
      </c>
    </row>
    <row r="15892" spans="1:8">
      <c r="A15892" t="s">
        <v>2818</v>
      </c>
      <c r="B15892">
        <f>HYPERLINK("https://android.googlesource.com/platform/cts/+/ba449f4bdd03eab5052a937712c19a8f40af3c03", "ba449f4bdd03eab5052a937712c19a8f40af3c03")</f>
        <v>0</v>
      </c>
      <c r="C15892">
        <f>HYPERLINK("https://android.googlesource.com/platform/cts/+/c9f3c69c796c2bef5d0d96fc810c35855152a969", "c9f3c69c796c2bef5d0d96fc810c35855152a969")</f>
        <v>0</v>
      </c>
      <c r="D15892" t="s">
        <v>5260</v>
      </c>
      <c r="E15892" t="s">
        <v>8545</v>
      </c>
      <c r="F15892" t="s">
        <v>10666</v>
      </c>
      <c r="G15892" t="s">
        <v>15067</v>
      </c>
      <c r="H15892" t="s">
        <v>33050</v>
      </c>
    </row>
    <row r="15893" spans="1:8">
      <c r="H15893" t="s">
        <v>33051</v>
      </c>
    </row>
    <row r="15894" spans="1:8">
      <c r="H15894" t="s">
        <v>33052</v>
      </c>
    </row>
    <row r="15895" spans="1:8">
      <c r="H15895" t="s">
        <v>33053</v>
      </c>
    </row>
    <row r="15896" spans="1:8">
      <c r="H15896" t="s">
        <v>33054</v>
      </c>
    </row>
    <row r="15897" spans="1:8">
      <c r="H15897" t="s">
        <v>33055</v>
      </c>
    </row>
    <row r="15898" spans="1:8">
      <c r="A15898" t="s">
        <v>2824</v>
      </c>
      <c r="B15898">
        <f>HYPERLINK("https://android.googlesource.com/platform/cts/+/079ddf59a66f120524c2a995a3054e40dc1a7ddb", "079ddf59a66f120524c2a995a3054e40dc1a7ddb")</f>
        <v>0</v>
      </c>
      <c r="C15898">
        <f>HYPERLINK("https://android.googlesource.com/platform/cts/+/1df3ed083ed11ef4804e24bdba1f7ce331e5d694", "1df3ed083ed11ef4804e24bdba1f7ce331e5d694")</f>
        <v>0</v>
      </c>
      <c r="D15898" t="s">
        <v>5195</v>
      </c>
      <c r="E15898" t="s">
        <v>8549</v>
      </c>
      <c r="F15898" t="s">
        <v>13888</v>
      </c>
      <c r="G15898" t="s">
        <v>15054</v>
      </c>
      <c r="H15898" t="s">
        <v>33056</v>
      </c>
    </row>
    <row r="15899" spans="1:8">
      <c r="A15899" t="s">
        <v>2828</v>
      </c>
      <c r="B15899">
        <f>HYPERLINK("https://android.googlesource.com/platform/cts/+/97ba1fd294dc10243bab961a86d8797776e3df07", "97ba1fd294dc10243bab961a86d8797776e3df07")</f>
        <v>0</v>
      </c>
      <c r="C15899">
        <f>HYPERLINK("https://android.googlesource.com/platform/cts/+/9b80b4d375bd8413fd6a8a398de2c6f560654f81", "9b80b4d375bd8413fd6a8a398de2c6f560654f81")</f>
        <v>0</v>
      </c>
      <c r="D15899" t="s">
        <v>5347</v>
      </c>
      <c r="E15899" t="s">
        <v>8552</v>
      </c>
      <c r="F15899" t="s">
        <v>10645</v>
      </c>
      <c r="G15899" t="s">
        <v>15046</v>
      </c>
      <c r="H15899" t="s">
        <v>33058</v>
      </c>
    </row>
    <row r="15900" spans="1:8">
      <c r="A15900" t="s">
        <v>2829</v>
      </c>
      <c r="B15900">
        <f>HYPERLINK("https://android.googlesource.com/platform/cts/+/f1d56c965d717710a927c2cad9231d7b1757a1e0", "f1d56c965d717710a927c2cad9231d7b1757a1e0")</f>
        <v>0</v>
      </c>
      <c r="C15900">
        <f>HYPERLINK("https://android.googlesource.com/platform/cts/+/0019895272bf9405e7f99f696fe7bedb1b7c07cb", "0019895272bf9405e7f99f696fe7bedb1b7c07cb")</f>
        <v>0</v>
      </c>
      <c r="D15900" t="s">
        <v>5443</v>
      </c>
      <c r="E15900" t="s">
        <v>8553</v>
      </c>
      <c r="F15900" t="s">
        <v>13716</v>
      </c>
      <c r="G15900" t="s">
        <v>17783</v>
      </c>
      <c r="H15900" t="s">
        <v>33059</v>
      </c>
    </row>
    <row r="15901" spans="1:8">
      <c r="A15901" t="s">
        <v>2830</v>
      </c>
      <c r="B15901">
        <f>HYPERLINK("https://android.googlesource.com/platform/cts/+/b442b5177076b711de4f61c385716fc7f79a02cf", "b442b5177076b711de4f61c385716fc7f79a02cf")</f>
        <v>0</v>
      </c>
      <c r="C15901">
        <f>HYPERLINK("https://android.googlesource.com/platform/cts/+/5d2448c6ecfc797dbdff7ed46ab9b67ace020309", "5d2448c6ecfc797dbdff7ed46ab9b67ace020309")</f>
        <v>0</v>
      </c>
      <c r="D15901" t="s">
        <v>4981</v>
      </c>
      <c r="E15901" t="s">
        <v>8554</v>
      </c>
      <c r="F15901" t="s">
        <v>14046</v>
      </c>
      <c r="G15901" t="s">
        <v>17789</v>
      </c>
      <c r="H15901" t="s">
        <v>33060</v>
      </c>
    </row>
    <row r="15902" spans="1:8">
      <c r="A15902" t="s">
        <v>2833</v>
      </c>
      <c r="B15902">
        <f>HYPERLINK("https://android.googlesource.com/platform/cts/+/7113a5a574bc50b389d7726c51c4808b877d28b5", "7113a5a574bc50b389d7726c51c4808b877d28b5")</f>
        <v>0</v>
      </c>
      <c r="C15902">
        <f>HYPERLINK("https://android.googlesource.com/platform/cts/+/ceab31c36b8b494ca0d289b5c71fd1ca423afd12", "ceab31c36b8b494ca0d289b5c71fd1ca423afd12")</f>
        <v>0</v>
      </c>
      <c r="D15902" t="s">
        <v>5290</v>
      </c>
      <c r="E15902" t="s">
        <v>8557</v>
      </c>
      <c r="F15902" t="s">
        <v>14047</v>
      </c>
      <c r="G15902" t="s">
        <v>18046</v>
      </c>
      <c r="H15902" t="s">
        <v>33065</v>
      </c>
    </row>
    <row r="15903" spans="1:8">
      <c r="H15903" t="s">
        <v>33066</v>
      </c>
    </row>
    <row r="15904" spans="1:8">
      <c r="H15904" t="s">
        <v>33067</v>
      </c>
    </row>
    <row r="15905" spans="1:8">
      <c r="H15905" t="s">
        <v>33068</v>
      </c>
    </row>
    <row r="15906" spans="1:8">
      <c r="F15906" t="s">
        <v>13451</v>
      </c>
      <c r="G15906" t="s">
        <v>17573</v>
      </c>
      <c r="H15906" t="s">
        <v>33066</v>
      </c>
    </row>
    <row r="15907" spans="1:8">
      <c r="H15907" t="s">
        <v>33065</v>
      </c>
    </row>
    <row r="15908" spans="1:8">
      <c r="F15908" t="s">
        <v>14048</v>
      </c>
      <c r="G15908" t="s">
        <v>17363</v>
      </c>
      <c r="H15908" t="s">
        <v>28666</v>
      </c>
    </row>
    <row r="15909" spans="1:8">
      <c r="A15909" t="s">
        <v>2834</v>
      </c>
      <c r="B15909">
        <f>HYPERLINK("https://android.googlesource.com/platform/cts/+/60ff6571a54ada05cd62d9884cf43fda61e75ef0", "60ff6571a54ada05cd62d9884cf43fda61e75ef0")</f>
        <v>0</v>
      </c>
      <c r="C15909">
        <f>HYPERLINK("https://android.googlesource.com/platform/cts/+/20c9e2881d1b191b19456de420ea9772c504168f", "20c9e2881d1b191b19456de420ea9772c504168f")</f>
        <v>0</v>
      </c>
      <c r="D15909" t="s">
        <v>5463</v>
      </c>
      <c r="E15909" t="s">
        <v>8558</v>
      </c>
      <c r="F15909" t="s">
        <v>13348</v>
      </c>
      <c r="G15909" t="s">
        <v>17475</v>
      </c>
      <c r="H15909" t="s">
        <v>33069</v>
      </c>
    </row>
    <row r="15910" spans="1:8">
      <c r="A15910" t="s">
        <v>2837</v>
      </c>
      <c r="B15910">
        <f>HYPERLINK("https://android.googlesource.com/platform/cts/+/0ead14408b373ea9d9b476cf9f5398b415b6272b", "0ead14408b373ea9d9b476cf9f5398b415b6272b")</f>
        <v>0</v>
      </c>
      <c r="C15910">
        <f>HYPERLINK("https://android.googlesource.com/platform/cts/+/5cbeaec84d81e9a65af3556dbf9c443efee6b22e", "5cbeaec84d81e9a65af3556dbf9c443efee6b22e")</f>
        <v>0</v>
      </c>
      <c r="D15910" t="s">
        <v>5307</v>
      </c>
      <c r="E15910" t="s">
        <v>8561</v>
      </c>
      <c r="F15910" t="s">
        <v>14046</v>
      </c>
      <c r="G15910" t="s">
        <v>17789</v>
      </c>
      <c r="H15910" t="s">
        <v>33070</v>
      </c>
    </row>
    <row r="15911" spans="1:8">
      <c r="F15911" t="s">
        <v>14049</v>
      </c>
      <c r="G15911" t="s">
        <v>18047</v>
      </c>
      <c r="H15911" t="s">
        <v>33071</v>
      </c>
    </row>
    <row r="15912" spans="1:8">
      <c r="A15912" t="s">
        <v>2838</v>
      </c>
      <c r="B15912">
        <f>HYPERLINK("https://android.googlesource.com/platform/cts/+/c66463fbc5a450a0d444b927de5844e811dcde33", "c66463fbc5a450a0d444b927de5844e811dcde33")</f>
        <v>0</v>
      </c>
      <c r="C15912">
        <f>HYPERLINK("https://android.googlesource.com/platform/cts/+/d0bad5fb70a6a90c447566db813ebe76ca290d98", "d0bad5fb70a6a90c447566db813ebe76ca290d98")</f>
        <v>0</v>
      </c>
      <c r="D15912" t="s">
        <v>5108</v>
      </c>
      <c r="E15912" t="s">
        <v>8562</v>
      </c>
      <c r="F15912" t="s">
        <v>12394</v>
      </c>
      <c r="G15912" t="s">
        <v>17294</v>
      </c>
      <c r="H15912" t="s">
        <v>28068</v>
      </c>
    </row>
    <row r="15913" spans="1:8">
      <c r="A15913" t="s">
        <v>2840</v>
      </c>
      <c r="B15913">
        <f>HYPERLINK("https://android.googlesource.com/platform/cts/+/129e808f3b114c54af27cad05459443a2e161462", "129e808f3b114c54af27cad05459443a2e161462")</f>
        <v>0</v>
      </c>
      <c r="C15913">
        <f>HYPERLINK("https://android.googlesource.com/platform/cts/+/2bb95ca95e28dbd1c13d2e16ab4b51499a2cb670", "2bb95ca95e28dbd1c13d2e16ab4b51499a2cb670")</f>
        <v>0</v>
      </c>
      <c r="D15913" t="s">
        <v>5464</v>
      </c>
      <c r="E15913" t="s">
        <v>8564</v>
      </c>
      <c r="F15913" t="s">
        <v>14050</v>
      </c>
      <c r="G15913" t="s">
        <v>18049</v>
      </c>
      <c r="H15913" t="s">
        <v>33078</v>
      </c>
    </row>
    <row r="15914" spans="1:8">
      <c r="H15914" t="s">
        <v>33079</v>
      </c>
    </row>
    <row r="15915" spans="1:8">
      <c r="H15915" t="s">
        <v>33080</v>
      </c>
    </row>
    <row r="15916" spans="1:8">
      <c r="A15916" t="s">
        <v>2842</v>
      </c>
      <c r="B15916">
        <f>HYPERLINK("https://android.googlesource.com/platform/cts/+/907e30cf70da2fb28517917ff4df37328e6d4513", "907e30cf70da2fb28517917ff4df37328e6d4513")</f>
        <v>0</v>
      </c>
      <c r="C15916">
        <f>HYPERLINK("https://android.googlesource.com/platform/cts/+/e4cd5172f9636fa35a22932f389159487c68519c", "e4cd5172f9636fa35a22932f389159487c68519c")</f>
        <v>0</v>
      </c>
      <c r="D15916" t="s">
        <v>5465</v>
      </c>
      <c r="E15916" t="s">
        <v>8566</v>
      </c>
      <c r="F15916" t="s">
        <v>13905</v>
      </c>
      <c r="G15916" t="s">
        <v>17942</v>
      </c>
      <c r="H15916" t="s">
        <v>33082</v>
      </c>
    </row>
    <row r="15917" spans="1:8">
      <c r="A15917" t="s">
        <v>2843</v>
      </c>
      <c r="B15917">
        <f>HYPERLINK("https://android.googlesource.com/platform/cts/+/1c539bf510c9aa9fe80eadce3dfac5e88c517bfd", "1c539bf510c9aa9fe80eadce3dfac5e88c517bfd")</f>
        <v>0</v>
      </c>
      <c r="C15917">
        <f>HYPERLINK("https://android.googlesource.com/platform/cts/+/ea3bfafe844e5b9a857e43a4e261427fa4195e4b", "ea3bfafe844e5b9a857e43a4e261427fa4195e4b")</f>
        <v>0</v>
      </c>
      <c r="D15917" t="s">
        <v>5466</v>
      </c>
      <c r="E15917" t="s">
        <v>8567</v>
      </c>
      <c r="F15917" t="s">
        <v>13887</v>
      </c>
      <c r="G15917" t="s">
        <v>17319</v>
      </c>
      <c r="H15917" t="s">
        <v>33085</v>
      </c>
    </row>
    <row r="15918" spans="1:8">
      <c r="A15918" t="s">
        <v>2844</v>
      </c>
      <c r="B15918">
        <f>HYPERLINK("https://android.googlesource.com/platform/cts/+/6ed1c7c08f04eeaa16945dca6e85e12bf91ed76e", "6ed1c7c08f04eeaa16945dca6e85e12bf91ed76e")</f>
        <v>0</v>
      </c>
      <c r="C15918">
        <f>HYPERLINK("https://android.googlesource.com/platform/cts/+/bb983be89b60d7d3fce24ca075a5ccc87afa32b4", "bb983be89b60d7d3fce24ca075a5ccc87afa32b4")</f>
        <v>0</v>
      </c>
      <c r="D15918" t="s">
        <v>5374</v>
      </c>
      <c r="E15918" t="s">
        <v>8568</v>
      </c>
      <c r="F15918" t="s">
        <v>13165</v>
      </c>
      <c r="G15918" t="s">
        <v>17315</v>
      </c>
      <c r="H15918" t="s">
        <v>33090</v>
      </c>
    </row>
    <row r="15919" spans="1:8">
      <c r="H15919" t="s">
        <v>32378</v>
      </c>
    </row>
    <row r="15920" spans="1:8">
      <c r="A15920" t="s">
        <v>2846</v>
      </c>
      <c r="B15920">
        <f>HYPERLINK("https://android.googlesource.com/platform/cts/+/56be017f121bf1985e9a4bf6adc1a08d83ed9240", "56be017f121bf1985e9a4bf6adc1a08d83ed9240")</f>
        <v>0</v>
      </c>
      <c r="C15920">
        <f>HYPERLINK("https://android.googlesource.com/platform/cts/+/ee523ea0fc37e906907a607c9b97969df7282001", "ee523ea0fc37e906907a607c9b97969df7282001")</f>
        <v>0</v>
      </c>
      <c r="D15920" t="s">
        <v>5344</v>
      </c>
      <c r="E15920" t="s">
        <v>8570</v>
      </c>
      <c r="F15920" t="s">
        <v>13402</v>
      </c>
      <c r="G15920" t="s">
        <v>17528</v>
      </c>
      <c r="H15920" t="s">
        <v>33092</v>
      </c>
    </row>
    <row r="15921" spans="1:8">
      <c r="H15921" t="s">
        <v>33093</v>
      </c>
    </row>
    <row r="15922" spans="1:8">
      <c r="A15922" t="s">
        <v>2850</v>
      </c>
      <c r="B15922">
        <f>HYPERLINK("https://android.googlesource.com/platform/cts/+/a0fb8d04c0ba11434d911e230e07346ea730ff81", "a0fb8d04c0ba11434d911e230e07346ea730ff81")</f>
        <v>0</v>
      </c>
      <c r="C15922">
        <f>HYPERLINK("https://android.googlesource.com/platform/cts/+/28474f6a61348d5017b7d2f0e9f23396d2e3bbf9", "28474f6a61348d5017b7d2f0e9f23396d2e3bbf9")</f>
        <v>0</v>
      </c>
      <c r="D15922" t="s">
        <v>5272</v>
      </c>
      <c r="E15922" t="s">
        <v>8574</v>
      </c>
      <c r="F15922" t="s">
        <v>10625</v>
      </c>
      <c r="G15922" t="s">
        <v>15028</v>
      </c>
      <c r="H15922" t="s">
        <v>33104</v>
      </c>
    </row>
    <row r="15923" spans="1:8">
      <c r="H15923" t="s">
        <v>33105</v>
      </c>
    </row>
    <row r="15924" spans="1:8">
      <c r="H15924" t="s">
        <v>33106</v>
      </c>
    </row>
    <row r="15925" spans="1:8">
      <c r="H15925" t="s">
        <v>33107</v>
      </c>
    </row>
    <row r="15926" spans="1:8">
      <c r="H15926" t="s">
        <v>33108</v>
      </c>
    </row>
    <row r="15927" spans="1:8">
      <c r="A15927" t="s">
        <v>2851</v>
      </c>
      <c r="B15927">
        <f>HYPERLINK("https://android.googlesource.com/platform/cts/+/12e6aedb65150ece64c6228fb492a8b1908ee0a0", "12e6aedb65150ece64c6228fb492a8b1908ee0a0")</f>
        <v>0</v>
      </c>
      <c r="C15927">
        <f>HYPERLINK("https://android.googlesource.com/platform/cts/+/96b7bac3c10df6fd38d9fcd674b270c8bc153498", "96b7bac3c10df6fd38d9fcd674b270c8bc153498")</f>
        <v>0</v>
      </c>
      <c r="D15927" t="s">
        <v>5469</v>
      </c>
      <c r="E15927" t="s">
        <v>8575</v>
      </c>
      <c r="F15927" t="s">
        <v>13834</v>
      </c>
      <c r="G15927" t="s">
        <v>17877</v>
      </c>
      <c r="H15927" t="s">
        <v>31768</v>
      </c>
    </row>
    <row r="15928" spans="1:8">
      <c r="A15928" t="s">
        <v>2857</v>
      </c>
      <c r="B15928">
        <f>HYPERLINK("https://android.googlesource.com/platform/cts/+/a1703bb6ff4eb189447d3abd106d249aaa9327de", "a1703bb6ff4eb189447d3abd106d249aaa9327de")</f>
        <v>0</v>
      </c>
      <c r="C15928">
        <f>HYPERLINK("https://android.googlesource.com/platform/cts/+/098707012c87e1f02871ebf1dd162002383a281d", "098707012c87e1f02871ebf1dd162002383a281d")</f>
        <v>0</v>
      </c>
      <c r="D15928" t="s">
        <v>5470</v>
      </c>
      <c r="E15928" t="s">
        <v>8580</v>
      </c>
      <c r="F15928" t="s">
        <v>13220</v>
      </c>
      <c r="G15928" t="s">
        <v>17361</v>
      </c>
      <c r="H15928" t="s">
        <v>33118</v>
      </c>
    </row>
    <row r="15929" spans="1:8">
      <c r="A15929" t="s">
        <v>2858</v>
      </c>
      <c r="B15929">
        <f>HYPERLINK("https://android.googlesource.com/platform/cts/+/f324654eb885e1c0477b2b9e4538d659b72eae4e", "f324654eb885e1c0477b2b9e4538d659b72eae4e")</f>
        <v>0</v>
      </c>
      <c r="C15929">
        <f>HYPERLINK("https://android.googlesource.com/platform/cts/+/1e840292ac51d2ebc761bf7050dbef985277f0ca", "1e840292ac51d2ebc761bf7050dbef985277f0ca")</f>
        <v>0</v>
      </c>
      <c r="D15929" t="s">
        <v>5290</v>
      </c>
      <c r="E15929" t="s">
        <v>8581</v>
      </c>
      <c r="F15929" t="s">
        <v>14055</v>
      </c>
      <c r="G15929" t="s">
        <v>17339</v>
      </c>
      <c r="H15929" t="s">
        <v>33119</v>
      </c>
    </row>
    <row r="15930" spans="1:8">
      <c r="H15930" t="s">
        <v>33120</v>
      </c>
    </row>
    <row r="15931" spans="1:8">
      <c r="H15931" t="s">
        <v>33121</v>
      </c>
    </row>
    <row r="15932" spans="1:8">
      <c r="H15932" t="s">
        <v>33122</v>
      </c>
    </row>
    <row r="15933" spans="1:8">
      <c r="H15933" t="s">
        <v>33123</v>
      </c>
    </row>
    <row r="15934" spans="1:8">
      <c r="F15934" t="s">
        <v>14056</v>
      </c>
      <c r="G15934" t="s">
        <v>18054</v>
      </c>
      <c r="H15934" t="s">
        <v>33124</v>
      </c>
    </row>
    <row r="15935" spans="1:8">
      <c r="F15935" t="s">
        <v>13157</v>
      </c>
      <c r="G15935" t="s">
        <v>17308</v>
      </c>
      <c r="H15935" t="s">
        <v>33125</v>
      </c>
    </row>
    <row r="15936" spans="1:8">
      <c r="F15936" t="s">
        <v>14048</v>
      </c>
      <c r="G15936" t="s">
        <v>17363</v>
      </c>
      <c r="H15936" t="s">
        <v>28661</v>
      </c>
    </row>
    <row r="15937" spans="1:8">
      <c r="H15937" t="s">
        <v>28662</v>
      </c>
    </row>
    <row r="15938" spans="1:8">
      <c r="H15938" t="s">
        <v>33126</v>
      </c>
    </row>
    <row r="15939" spans="1:8">
      <c r="H15939" t="s">
        <v>33127</v>
      </c>
    </row>
    <row r="15940" spans="1:8">
      <c r="H15940" t="s">
        <v>33128</v>
      </c>
    </row>
    <row r="15941" spans="1:8">
      <c r="H15941" t="s">
        <v>28667</v>
      </c>
    </row>
    <row r="15942" spans="1:8">
      <c r="H15942" t="s">
        <v>28668</v>
      </c>
    </row>
    <row r="15943" spans="1:8">
      <c r="H15943" t="s">
        <v>28497</v>
      </c>
    </row>
    <row r="15944" spans="1:8">
      <c r="H15944" t="s">
        <v>33129</v>
      </c>
    </row>
    <row r="15945" spans="1:8">
      <c r="H15945" t="s">
        <v>33130</v>
      </c>
    </row>
    <row r="15946" spans="1:8">
      <c r="H15946" t="s">
        <v>33121</v>
      </c>
    </row>
    <row r="15947" spans="1:8">
      <c r="H15947" t="s">
        <v>33122</v>
      </c>
    </row>
    <row r="15948" spans="1:8">
      <c r="H15948" t="s">
        <v>33123</v>
      </c>
    </row>
    <row r="15949" spans="1:8">
      <c r="F15949" t="s">
        <v>13664</v>
      </c>
      <c r="G15949" t="s">
        <v>17575</v>
      </c>
      <c r="H15949" t="s">
        <v>33131</v>
      </c>
    </row>
    <row r="15950" spans="1:8">
      <c r="H15950" t="s">
        <v>33132</v>
      </c>
    </row>
    <row r="15951" spans="1:8">
      <c r="A15951" t="s">
        <v>2859</v>
      </c>
      <c r="B15951">
        <f>HYPERLINK("https://android.googlesource.com/platform/cts/+/319577bfface1d3db77673161dd1fc2fb749cf5f", "319577bfface1d3db77673161dd1fc2fb749cf5f")</f>
        <v>0</v>
      </c>
      <c r="C15951">
        <f>HYPERLINK("https://android.googlesource.com/platform/cts/+/9cc0586921a9d7e6edb4f413892776dd06822962", "9cc0586921a9d7e6edb4f413892776dd06822962")</f>
        <v>0</v>
      </c>
      <c r="D15951" t="s">
        <v>5374</v>
      </c>
      <c r="E15951" t="s">
        <v>8582</v>
      </c>
      <c r="F15951" t="s">
        <v>12733</v>
      </c>
      <c r="G15951" t="s">
        <v>16854</v>
      </c>
      <c r="H15951" t="s">
        <v>33133</v>
      </c>
    </row>
    <row r="15952" spans="1:8">
      <c r="H15952" t="s">
        <v>33134</v>
      </c>
    </row>
    <row r="15953" spans="1:8">
      <c r="A15953" t="s">
        <v>2860</v>
      </c>
      <c r="B15953">
        <f>HYPERLINK("https://android.googlesource.com/platform/cts/+/d0fe55983f57515ea031294a00ca8c69bca37b18", "d0fe55983f57515ea031294a00ca8c69bca37b18")</f>
        <v>0</v>
      </c>
      <c r="C15953">
        <f>HYPERLINK("https://android.googlesource.com/platform/cts/+/75d02973ceca3ed943fa695d9edb9c3f29f9cea7", "75d02973ceca3ed943fa695d9edb9c3f29f9cea7")</f>
        <v>0</v>
      </c>
      <c r="D15953" t="s">
        <v>5122</v>
      </c>
      <c r="E15953" t="s">
        <v>8583</v>
      </c>
      <c r="F15953" t="s">
        <v>14058</v>
      </c>
      <c r="G15953" t="s">
        <v>18056</v>
      </c>
      <c r="H15953" t="s">
        <v>33135</v>
      </c>
    </row>
    <row r="15954" spans="1:8">
      <c r="A15954" t="s">
        <v>2861</v>
      </c>
      <c r="B15954">
        <f>HYPERLINK("https://android.googlesource.com/platform/cts/+/3d575e04cd9d937002d3ce6911debbf801fef7a8", "3d575e04cd9d937002d3ce6911debbf801fef7a8")</f>
        <v>0</v>
      </c>
      <c r="C15954">
        <f>HYPERLINK("https://android.googlesource.com/platform/cts/+/e72e33fb685e502f5deaa43cfec8d8130dff1fb6", "e72e33fb685e502f5deaa43cfec8d8130dff1fb6")</f>
        <v>0</v>
      </c>
      <c r="D15954" t="s">
        <v>4973</v>
      </c>
      <c r="E15954" t="s">
        <v>8584</v>
      </c>
      <c r="F15954" t="s">
        <v>13811</v>
      </c>
      <c r="G15954" t="s">
        <v>17858</v>
      </c>
      <c r="H15954" t="s">
        <v>31689</v>
      </c>
    </row>
    <row r="15955" spans="1:8">
      <c r="F15955" t="s">
        <v>14059</v>
      </c>
      <c r="G15955" t="s">
        <v>18057</v>
      </c>
      <c r="H15955" t="s">
        <v>33136</v>
      </c>
    </row>
    <row r="15956" spans="1:8">
      <c r="A15956" t="s">
        <v>2862</v>
      </c>
      <c r="B15956">
        <f>HYPERLINK("https://android.googlesource.com/platform/cts/+/cda66e9b3574ab62c40b1dd063fc7df1d93447e3", "cda66e9b3574ab62c40b1dd063fc7df1d93447e3")</f>
        <v>0</v>
      </c>
      <c r="C15956">
        <f>HYPERLINK("https://android.googlesource.com/platform/cts/+/4e9de76f5f4ae1aa22dcd8c89ce9d540044e85a8", "4e9de76f5f4ae1aa22dcd8c89ce9d540044e85a8")</f>
        <v>0</v>
      </c>
      <c r="D15956" t="s">
        <v>5293</v>
      </c>
      <c r="E15956" t="s">
        <v>8585</v>
      </c>
      <c r="F15956" t="s">
        <v>14060</v>
      </c>
      <c r="G15956" t="s">
        <v>18058</v>
      </c>
      <c r="H15956" t="s">
        <v>18981</v>
      </c>
    </row>
    <row r="15957" spans="1:8">
      <c r="H15957" t="s">
        <v>33137</v>
      </c>
    </row>
    <row r="15958" spans="1:8">
      <c r="A15958" t="s">
        <v>2864</v>
      </c>
      <c r="B15958">
        <f>HYPERLINK("https://android.googlesource.com/platform/cts/+/8e6d05b45acafaba85eb4a562cbc2d00af17d494", "8e6d05b45acafaba85eb4a562cbc2d00af17d494")</f>
        <v>0</v>
      </c>
      <c r="C15958">
        <f>HYPERLINK("https://android.googlesource.com/platform/cts/+/eeb59f0634ee82f2bab322ad16f18a650cb5872c", "eeb59f0634ee82f2bab322ad16f18a650cb5872c")</f>
        <v>0</v>
      </c>
      <c r="D15958" t="s">
        <v>5472</v>
      </c>
      <c r="E15958" t="s">
        <v>8587</v>
      </c>
      <c r="F15958" t="s">
        <v>14062</v>
      </c>
      <c r="G15958" t="s">
        <v>18060</v>
      </c>
      <c r="H15958" t="s">
        <v>33138</v>
      </c>
    </row>
    <row r="15959" spans="1:8">
      <c r="H15959" t="s">
        <v>33139</v>
      </c>
    </row>
    <row r="15960" spans="1:8">
      <c r="H15960" t="s">
        <v>33140</v>
      </c>
    </row>
    <row r="15961" spans="1:8">
      <c r="A15961" t="s">
        <v>2867</v>
      </c>
      <c r="B15961">
        <f>HYPERLINK("https://android.googlesource.com/platform/cts/+/769cf27900a1c6e1124b56d17adb0e1327694daa", "769cf27900a1c6e1124b56d17adb0e1327694daa")</f>
        <v>0</v>
      </c>
      <c r="C15961">
        <f>HYPERLINK("https://android.googlesource.com/platform/cts/+/4e9de76f5f4ae1aa22dcd8c89ce9d540044e85a8", "4e9de76f5f4ae1aa22dcd8c89ce9d540044e85a8")</f>
        <v>0</v>
      </c>
      <c r="D15961" t="s">
        <v>5293</v>
      </c>
      <c r="E15961" t="s">
        <v>8590</v>
      </c>
      <c r="F15961" t="s">
        <v>14060</v>
      </c>
      <c r="G15961" t="s">
        <v>18058</v>
      </c>
      <c r="H15961" t="s">
        <v>33141</v>
      </c>
    </row>
    <row r="15962" spans="1:8">
      <c r="A15962" t="s">
        <v>2868</v>
      </c>
      <c r="B15962">
        <f>HYPERLINK("https://android.googlesource.com/platform/cts/+/d6def2942307eb21103ef337daa3d8937cda95d1", "d6def2942307eb21103ef337daa3d8937cda95d1")</f>
        <v>0</v>
      </c>
      <c r="C15962">
        <f>HYPERLINK("https://android.googlesource.com/platform/cts/+/0b99f1a1994ea34bea1d97e84d332c8eba35a94c", "0b99f1a1994ea34bea1d97e84d332c8eba35a94c")</f>
        <v>0</v>
      </c>
      <c r="D15962" t="s">
        <v>4931</v>
      </c>
      <c r="E15962" t="s">
        <v>8591</v>
      </c>
      <c r="F15962" t="s">
        <v>12569</v>
      </c>
      <c r="G15962" t="s">
        <v>16785</v>
      </c>
      <c r="H15962" t="s">
        <v>33142</v>
      </c>
    </row>
    <row r="15963" spans="1:8">
      <c r="A15963" t="s">
        <v>2871</v>
      </c>
      <c r="B15963">
        <f>HYPERLINK("https://android.googlesource.com/platform/cts/+/d290e49c138e0d94fc998af673f586c7b45abf3c", "d290e49c138e0d94fc998af673f586c7b45abf3c")</f>
        <v>0</v>
      </c>
      <c r="C15963">
        <f>HYPERLINK("https://android.googlesource.com/platform/cts/+/128e5c07f8bd86b0734e0aaa0c9cabb1cfb3681b", "128e5c07f8bd86b0734e0aaa0c9cabb1cfb3681b")</f>
        <v>0</v>
      </c>
      <c r="D15963" t="s">
        <v>5296</v>
      </c>
      <c r="E15963" t="s">
        <v>8594</v>
      </c>
      <c r="F15963" t="s">
        <v>10740</v>
      </c>
      <c r="G15963" t="s">
        <v>15139</v>
      </c>
      <c r="H15963" t="s">
        <v>33144</v>
      </c>
    </row>
    <row r="15964" spans="1:8">
      <c r="A15964" t="s">
        <v>2873</v>
      </c>
      <c r="B15964">
        <f>HYPERLINK("https://android.googlesource.com/platform/cts/+/595f546e78a917c9a10989e64d943f4e538fd6d6", "595f546e78a917c9a10989e64d943f4e538fd6d6")</f>
        <v>0</v>
      </c>
      <c r="C15964">
        <f>HYPERLINK("https://android.googlesource.com/platform/cts/+/0b4d3e4e1d581f3c95e3499e22972bf1d3a7672f", "0b4d3e4e1d581f3c95e3499e22972bf1d3a7672f")</f>
        <v>0</v>
      </c>
      <c r="D15964" t="s">
        <v>5409</v>
      </c>
      <c r="E15964" t="s">
        <v>8596</v>
      </c>
      <c r="F15964" t="s">
        <v>14063</v>
      </c>
      <c r="G15964" t="s">
        <v>18061</v>
      </c>
      <c r="H15964" t="s">
        <v>33150</v>
      </c>
    </row>
    <row r="15965" spans="1:8">
      <c r="H15965" t="s">
        <v>33151</v>
      </c>
    </row>
    <row r="15966" spans="1:8">
      <c r="H15966" t="s">
        <v>33152</v>
      </c>
    </row>
    <row r="15967" spans="1:8">
      <c r="H15967" t="s">
        <v>33153</v>
      </c>
    </row>
    <row r="15968" spans="1:8">
      <c r="F15968" t="s">
        <v>14064</v>
      </c>
      <c r="G15968" t="s">
        <v>18062</v>
      </c>
      <c r="H15968" t="s">
        <v>26292</v>
      </c>
    </row>
    <row r="15969" spans="1:8">
      <c r="A15969" t="s">
        <v>2874</v>
      </c>
      <c r="B15969">
        <f>HYPERLINK("https://android.googlesource.com/platform/cts/+/6eb3ae715717928ec29de7704998d3af3d9332c1", "6eb3ae715717928ec29de7704998d3af3d9332c1")</f>
        <v>0</v>
      </c>
      <c r="C15969">
        <f>HYPERLINK("https://android.googlesource.com/platform/cts/+/8bc34ca8c9db7ff1cc30184067b36e92e3541176", "8bc34ca8c9db7ff1cc30184067b36e92e3541176")</f>
        <v>0</v>
      </c>
      <c r="D15969" t="s">
        <v>5244</v>
      </c>
      <c r="E15969" t="s">
        <v>8597</v>
      </c>
      <c r="F15969" t="s">
        <v>14065</v>
      </c>
      <c r="G15969" t="s">
        <v>18063</v>
      </c>
      <c r="H15969" t="s">
        <v>33154</v>
      </c>
    </row>
    <row r="15970" spans="1:8">
      <c r="A15970" t="s">
        <v>2875</v>
      </c>
      <c r="B15970">
        <f>HYPERLINK("https://android.googlesource.com/platform/cts/+/ebdf7fcfbc405932525bd0b5fc5ba5eeebb1b953", "ebdf7fcfbc405932525bd0b5fc5ba5eeebb1b953")</f>
        <v>0</v>
      </c>
      <c r="C15970">
        <f>HYPERLINK("https://android.googlesource.com/platform/cts/+/2fb3ed9386d70f0616da751eadae2823b02d4121", "2fb3ed9386d70f0616da751eadae2823b02d4121")</f>
        <v>0</v>
      </c>
      <c r="D15970" t="s">
        <v>5473</v>
      </c>
      <c r="E15970" t="s">
        <v>8598</v>
      </c>
      <c r="F15970" t="s">
        <v>13724</v>
      </c>
      <c r="G15970" t="s">
        <v>17580</v>
      </c>
      <c r="H15970" t="s">
        <v>33155</v>
      </c>
    </row>
    <row r="15971" spans="1:8">
      <c r="A15971" t="s">
        <v>2876</v>
      </c>
      <c r="B15971">
        <f>HYPERLINK("https://android.googlesource.com/platform/cts/+/dd89d32571ea347ad4fbab5bb8c7f2b7d5cec040", "dd89d32571ea347ad4fbab5bb8c7f2b7d5cec040")</f>
        <v>0</v>
      </c>
      <c r="C15971">
        <f>HYPERLINK("https://android.googlesource.com/platform/cts/+/3760f759907e3b137837e3b9fa8f2c86cc202292", "3760f759907e3b137837e3b9fa8f2c86cc202292")</f>
        <v>0</v>
      </c>
      <c r="D15971" t="s">
        <v>5112</v>
      </c>
      <c r="E15971" t="s">
        <v>8599</v>
      </c>
      <c r="F15971" t="s">
        <v>14066</v>
      </c>
      <c r="G15971" t="s">
        <v>18064</v>
      </c>
      <c r="H15971" t="s">
        <v>33156</v>
      </c>
    </row>
    <row r="15972" spans="1:8">
      <c r="A15972" t="s">
        <v>2878</v>
      </c>
      <c r="B15972">
        <f>HYPERLINK("https://android.googlesource.com/platform/cts/+/3d1a8262f2fac4f8b0b26c221f55a5d35cb37a0e", "3d1a8262f2fac4f8b0b26c221f55a5d35cb37a0e")</f>
        <v>0</v>
      </c>
      <c r="C15972">
        <f>HYPERLINK("https://android.googlesource.com/platform/cts/+/6733f3e3d05c1bffa9b61b40d4d1497ccf02242d", "6733f3e3d05c1bffa9b61b40d4d1497ccf02242d")</f>
        <v>0</v>
      </c>
      <c r="D15972" t="s">
        <v>5465</v>
      </c>
      <c r="E15972" t="s">
        <v>8601</v>
      </c>
      <c r="F15972" t="s">
        <v>14067</v>
      </c>
      <c r="G15972" t="s">
        <v>18065</v>
      </c>
      <c r="H15972" t="s">
        <v>33157</v>
      </c>
    </row>
    <row r="15973" spans="1:8">
      <c r="H15973" t="s">
        <v>33158</v>
      </c>
    </row>
    <row r="15974" spans="1:8">
      <c r="H15974" t="s">
        <v>33159</v>
      </c>
    </row>
    <row r="15975" spans="1:8">
      <c r="F15975" t="s">
        <v>14068</v>
      </c>
      <c r="G15975" t="s">
        <v>18066</v>
      </c>
      <c r="H15975" t="s">
        <v>33157</v>
      </c>
    </row>
    <row r="15976" spans="1:8">
      <c r="H15976" t="s">
        <v>33158</v>
      </c>
    </row>
    <row r="15977" spans="1:8">
      <c r="H15977" t="s">
        <v>33159</v>
      </c>
    </row>
    <row r="15978" spans="1:8">
      <c r="A15978" t="s">
        <v>2879</v>
      </c>
      <c r="B15978">
        <f>HYPERLINK("https://android.googlesource.com/platform/cts/+/8671683f5d7864764c626323290244bb5bd1272b", "8671683f5d7864764c626323290244bb5bd1272b")</f>
        <v>0</v>
      </c>
      <c r="C15978">
        <f>HYPERLINK("https://android.googlesource.com/platform/cts/+/88c3ef1e5f6f218025434008489549f76c19444e", "88c3ef1e5f6f218025434008489549f76c19444e")</f>
        <v>0</v>
      </c>
      <c r="D15978" t="s">
        <v>5474</v>
      </c>
      <c r="E15978" t="s">
        <v>8602</v>
      </c>
      <c r="F15978" t="s">
        <v>13333</v>
      </c>
      <c r="G15978" t="s">
        <v>17463</v>
      </c>
      <c r="H15978" t="s">
        <v>33160</v>
      </c>
    </row>
    <row r="15979" spans="1:8">
      <c r="H15979" t="s">
        <v>33161</v>
      </c>
    </row>
    <row r="15980" spans="1:8">
      <c r="H15980" t="s">
        <v>33162</v>
      </c>
    </row>
    <row r="15981" spans="1:8">
      <c r="H15981" t="s">
        <v>33163</v>
      </c>
    </row>
    <row r="15982" spans="1:8">
      <c r="H15982" t="s">
        <v>33164</v>
      </c>
    </row>
    <row r="15983" spans="1:8">
      <c r="A15983" t="s">
        <v>2881</v>
      </c>
      <c r="B15983">
        <f>HYPERLINK("https://android.googlesource.com/platform/cts/+/24a7ca8feaed53d487c7b873fcbf3f919d466dd4", "24a7ca8feaed53d487c7b873fcbf3f919d466dd4")</f>
        <v>0</v>
      </c>
      <c r="C15983">
        <f>HYPERLINK("https://android.googlesource.com/platform/cts/+/5e16a4f4f9eb3d5228bf6b56b985eedda5395fe5", "5e16a4f4f9eb3d5228bf6b56b985eedda5395fe5")</f>
        <v>0</v>
      </c>
      <c r="D15983" t="s">
        <v>5277</v>
      </c>
      <c r="E15983" t="s">
        <v>8604</v>
      </c>
      <c r="F15983" t="s">
        <v>12984</v>
      </c>
      <c r="G15983" t="s">
        <v>17148</v>
      </c>
      <c r="H15983" t="s">
        <v>33165</v>
      </c>
    </row>
    <row r="15984" spans="1:8">
      <c r="A15984" t="s">
        <v>2882</v>
      </c>
      <c r="B15984">
        <f>HYPERLINK("https://android.googlesource.com/platform/cts/+/fae0789252ad9c1c770258256025b6988467bd5d", "fae0789252ad9c1c770258256025b6988467bd5d")</f>
        <v>0</v>
      </c>
      <c r="C15984">
        <f>HYPERLINK("https://android.googlesource.com/platform/cts/+/f0595df22523474b3186b180994e4de2aebfcd77", "f0595df22523474b3186b180994e4de2aebfcd77")</f>
        <v>0</v>
      </c>
      <c r="D15984" t="s">
        <v>5108</v>
      </c>
      <c r="E15984" t="s">
        <v>8605</v>
      </c>
      <c r="F15984" t="s">
        <v>12629</v>
      </c>
      <c r="G15984" t="s">
        <v>16838</v>
      </c>
      <c r="H15984" t="s">
        <v>33166</v>
      </c>
    </row>
    <row r="15985" spans="1:8">
      <c r="H15985" t="s">
        <v>33167</v>
      </c>
    </row>
    <row r="15986" spans="1:8">
      <c r="H15986" t="s">
        <v>33168</v>
      </c>
    </row>
    <row r="15987" spans="1:8">
      <c r="F15987" t="s">
        <v>12768</v>
      </c>
      <c r="G15987" t="s">
        <v>15710</v>
      </c>
      <c r="H15987" t="s">
        <v>33171</v>
      </c>
    </row>
    <row r="15988" spans="1:8">
      <c r="A15988" t="s">
        <v>2884</v>
      </c>
      <c r="B15988">
        <f>HYPERLINK("https://android.googlesource.com/platform/cts/+/e0dae6becd8b6b28335328b33f42d94bd2ca936d", "e0dae6becd8b6b28335328b33f42d94bd2ca936d")</f>
        <v>0</v>
      </c>
      <c r="C15988">
        <f>HYPERLINK("https://android.googlesource.com/platform/cts/+/177ace16233f77340e025dba9d7db9a33d384cc5", "177ace16233f77340e025dba9d7db9a33d384cc5")</f>
        <v>0</v>
      </c>
      <c r="D15988" t="s">
        <v>5293</v>
      </c>
      <c r="E15988" t="s">
        <v>8607</v>
      </c>
      <c r="F15988" t="s">
        <v>13249</v>
      </c>
      <c r="G15988" t="s">
        <v>17389</v>
      </c>
      <c r="H15988" t="s">
        <v>33174</v>
      </c>
    </row>
    <row r="15989" spans="1:8">
      <c r="A15989" t="s">
        <v>2886</v>
      </c>
      <c r="B15989">
        <f>HYPERLINK("https://android.googlesource.com/platform/cts/+/54caf9c435735cb654b74119cb44fe706e9bf515", "54caf9c435735cb654b74119cb44fe706e9bf515")</f>
        <v>0</v>
      </c>
      <c r="C15989">
        <f>HYPERLINK("https://android.googlesource.com/platform/cts/+/8248d9f7aee17faf44928fc894fb80a6ac3cc91c", "8248d9f7aee17faf44928fc894fb80a6ac3cc91c")</f>
        <v>0</v>
      </c>
      <c r="D15989" t="s">
        <v>5148</v>
      </c>
      <c r="E15989" t="s">
        <v>8609</v>
      </c>
      <c r="F15989" t="s">
        <v>14070</v>
      </c>
      <c r="G15989" t="s">
        <v>18068</v>
      </c>
      <c r="H15989" t="s">
        <v>33186</v>
      </c>
    </row>
    <row r="15990" spans="1:8">
      <c r="H15990" t="s">
        <v>33187</v>
      </c>
    </row>
    <row r="15991" spans="1:8">
      <c r="F15991" t="s">
        <v>14071</v>
      </c>
      <c r="G15991" t="s">
        <v>18069</v>
      </c>
      <c r="H15991" t="s">
        <v>33188</v>
      </c>
    </row>
    <row r="15992" spans="1:8">
      <c r="H15992" t="s">
        <v>33189</v>
      </c>
    </row>
    <row r="15993" spans="1:8">
      <c r="H15993" t="s">
        <v>33190</v>
      </c>
    </row>
    <row r="15994" spans="1:8">
      <c r="H15994" t="s">
        <v>33191</v>
      </c>
    </row>
    <row r="15995" spans="1:8">
      <c r="H15995" t="s">
        <v>33192</v>
      </c>
    </row>
    <row r="15996" spans="1:8">
      <c r="F15996" t="s">
        <v>14072</v>
      </c>
      <c r="G15996" t="s">
        <v>18070</v>
      </c>
      <c r="H15996" t="s">
        <v>33196</v>
      </c>
    </row>
    <row r="15997" spans="1:8">
      <c r="H15997" t="s">
        <v>33197</v>
      </c>
    </row>
    <row r="15998" spans="1:8">
      <c r="F15998" t="s">
        <v>14073</v>
      </c>
      <c r="G15998" t="s">
        <v>18071</v>
      </c>
      <c r="H15998" t="s">
        <v>33199</v>
      </c>
    </row>
    <row r="15999" spans="1:8">
      <c r="A15999" t="s">
        <v>2889</v>
      </c>
      <c r="B15999">
        <f>HYPERLINK("https://android.googlesource.com/platform/cts/+/527e059d203a45d5939b340b8cb6b118de9ac64b", "527e059d203a45d5939b340b8cb6b118de9ac64b")</f>
        <v>0</v>
      </c>
      <c r="C15999">
        <f>HYPERLINK("https://android.googlesource.com/platform/cts/+/e2d84f914161c116e357a01cc754a60297adcea6", "e2d84f914161c116e357a01cc754a60297adcea6")</f>
        <v>0</v>
      </c>
      <c r="D15999" t="s">
        <v>5475</v>
      </c>
      <c r="E15999" t="s">
        <v>8612</v>
      </c>
      <c r="F15999" t="s">
        <v>14074</v>
      </c>
      <c r="G15999" t="s">
        <v>18072</v>
      </c>
      <c r="H15999" t="s">
        <v>33214</v>
      </c>
    </row>
    <row r="16000" spans="1:8">
      <c r="A16000" t="s">
        <v>2890</v>
      </c>
      <c r="B16000">
        <f>HYPERLINK("https://android.googlesource.com/platform/cts/+/0e59e1013f480419b40afb2ecad36fa32ef72e56", "0e59e1013f480419b40afb2ecad36fa32ef72e56")</f>
        <v>0</v>
      </c>
      <c r="C16000">
        <f>HYPERLINK("https://android.googlesource.com/platform/cts/+/c630863a03e215f4d6751c7bdc101367b6733a32", "c630863a03e215f4d6751c7bdc101367b6733a32")</f>
        <v>0</v>
      </c>
      <c r="D16000" t="s">
        <v>5435</v>
      </c>
      <c r="E16000" t="s">
        <v>8613</v>
      </c>
      <c r="F16000" t="s">
        <v>12710</v>
      </c>
      <c r="G16000" t="s">
        <v>16911</v>
      </c>
      <c r="H16000" t="s">
        <v>33215</v>
      </c>
    </row>
    <row r="16001" spans="1:8">
      <c r="A16001" t="s">
        <v>2892</v>
      </c>
      <c r="B16001">
        <f>HYPERLINK("https://android.googlesource.com/platform/cts/+/675172470197009d6b935f5ca564b9c66365ade8", "675172470197009d6b935f5ca564b9c66365ade8")</f>
        <v>0</v>
      </c>
      <c r="C16001">
        <f>HYPERLINK("https://android.googlesource.com/platform/cts/+/270f9c3ec0d43ccfc037e86f946a5fe5b669914a", "270f9c3ec0d43ccfc037e86f946a5fe5b669914a")</f>
        <v>0</v>
      </c>
      <c r="D16001" t="s">
        <v>5476</v>
      </c>
      <c r="E16001" t="s">
        <v>8615</v>
      </c>
      <c r="F16001" t="s">
        <v>14076</v>
      </c>
      <c r="G16001" t="s">
        <v>18074</v>
      </c>
      <c r="H16001" t="s">
        <v>33217</v>
      </c>
    </row>
    <row r="16002" spans="1:8">
      <c r="A16002" t="s">
        <v>2895</v>
      </c>
      <c r="B16002">
        <f>HYPERLINK("https://android.googlesource.com/platform/cts/+/79111ee1dde0339a6660e7e2d69b3ba24524e3aa", "79111ee1dde0339a6660e7e2d69b3ba24524e3aa")</f>
        <v>0</v>
      </c>
      <c r="C16002">
        <f>HYPERLINK("https://android.googlesource.com/platform/cts/+/025186ed8d11a32f9a5822a7ac2701f60f30e370", "025186ed8d11a32f9a5822a7ac2701f60f30e370")</f>
        <v>0</v>
      </c>
      <c r="D16002" t="s">
        <v>5460</v>
      </c>
      <c r="E16002" t="s">
        <v>8618</v>
      </c>
      <c r="F16002" t="s">
        <v>13417</v>
      </c>
      <c r="G16002" t="s">
        <v>17543</v>
      </c>
      <c r="H16002" t="s">
        <v>33219</v>
      </c>
    </row>
    <row r="16003" spans="1:8">
      <c r="A16003" t="s">
        <v>2897</v>
      </c>
      <c r="B16003">
        <f>HYPERLINK("https://android.googlesource.com/platform/cts/+/d9aef5b83621bf1831624fb7d91f8e59f0e4bf33", "d9aef5b83621bf1831624fb7d91f8e59f0e4bf33")</f>
        <v>0</v>
      </c>
      <c r="C16003">
        <f>HYPERLINK("https://android.googlesource.com/platform/cts/+/c630863a03e215f4d6751c7bdc101367b6733a32", "c630863a03e215f4d6751c7bdc101367b6733a32")</f>
        <v>0</v>
      </c>
      <c r="D16003" t="s">
        <v>5435</v>
      </c>
      <c r="E16003" t="s">
        <v>8620</v>
      </c>
      <c r="F16003" t="s">
        <v>12710</v>
      </c>
      <c r="G16003" t="s">
        <v>16911</v>
      </c>
      <c r="H16003" t="s">
        <v>33221</v>
      </c>
    </row>
    <row r="16004" spans="1:8">
      <c r="A16004" t="s">
        <v>2898</v>
      </c>
      <c r="B16004">
        <f>HYPERLINK("https://android.googlesource.com/platform/cts/+/0e149d2d34b28191bd20c31db311a0c4c9389c9a", "0e149d2d34b28191bd20c31db311a0c4c9389c9a")</f>
        <v>0</v>
      </c>
      <c r="C16004">
        <f>HYPERLINK("https://android.googlesource.com/platform/cts/+/62680fd53fe1499a3fd40758c21a2d33cfad1820", "62680fd53fe1499a3fd40758c21a2d33cfad1820")</f>
        <v>0</v>
      </c>
      <c r="D16004" t="s">
        <v>5275</v>
      </c>
      <c r="E16004" t="s">
        <v>8621</v>
      </c>
      <c r="F16004" t="s">
        <v>12984</v>
      </c>
      <c r="G16004" t="s">
        <v>17148</v>
      </c>
      <c r="H16004" t="s">
        <v>33222</v>
      </c>
    </row>
    <row r="16005" spans="1:8">
      <c r="A16005" t="s">
        <v>2900</v>
      </c>
      <c r="B16005">
        <f>HYPERLINK("https://android.googlesource.com/platform/cts/+/35361573b6b096d1bad1bc1698ca1719feb5f539", "35361573b6b096d1bad1bc1698ca1719feb5f539")</f>
        <v>0</v>
      </c>
      <c r="C16005">
        <f>HYPERLINK("https://android.googlesource.com/platform/cts/+/26aecb49bfb88c417d3fd7758598f489fe4d42a1", "26aecb49bfb88c417d3fd7758598f489fe4d42a1")</f>
        <v>0</v>
      </c>
      <c r="D16005" t="s">
        <v>5108</v>
      </c>
      <c r="E16005" t="s">
        <v>8623</v>
      </c>
      <c r="F16005" t="s">
        <v>14077</v>
      </c>
      <c r="G16005" t="s">
        <v>18075</v>
      </c>
      <c r="H16005" t="s">
        <v>33223</v>
      </c>
    </row>
    <row r="16006" spans="1:8">
      <c r="A16006" t="s">
        <v>2901</v>
      </c>
      <c r="B16006">
        <f>HYPERLINK("https://android.googlesource.com/platform/cts/+/02438ec41001d781686c00b1a3562aaaf3deadfb", "02438ec41001d781686c00b1a3562aaaf3deadfb")</f>
        <v>0</v>
      </c>
      <c r="C16006">
        <f>HYPERLINK("https://android.googlesource.com/platform/cts/+/6b11b07da971d2f1164b6306f4e215d774318abf", "6b11b07da971d2f1164b6306f4e215d774318abf")</f>
        <v>0</v>
      </c>
      <c r="D16006" t="s">
        <v>5180</v>
      </c>
      <c r="E16006" t="s">
        <v>8624</v>
      </c>
      <c r="F16006" t="s">
        <v>14078</v>
      </c>
      <c r="G16006" t="s">
        <v>18076</v>
      </c>
      <c r="H16006" t="s">
        <v>33224</v>
      </c>
    </row>
    <row r="16007" spans="1:8">
      <c r="H16007" t="s">
        <v>33225</v>
      </c>
    </row>
    <row r="16008" spans="1:8">
      <c r="H16008" t="s">
        <v>33226</v>
      </c>
    </row>
    <row r="16009" spans="1:8">
      <c r="H16009" t="s">
        <v>33227</v>
      </c>
    </row>
    <row r="16010" spans="1:8">
      <c r="H16010" t="s">
        <v>33228</v>
      </c>
    </row>
    <row r="16011" spans="1:8">
      <c r="H16011" t="s">
        <v>33229</v>
      </c>
    </row>
    <row r="16012" spans="1:8">
      <c r="H16012" t="s">
        <v>33230</v>
      </c>
    </row>
    <row r="16013" spans="1:8">
      <c r="H16013" t="s">
        <v>33231</v>
      </c>
    </row>
    <row r="16014" spans="1:8">
      <c r="A16014" t="s">
        <v>2902</v>
      </c>
      <c r="B16014">
        <f>HYPERLINK("https://android.googlesource.com/platform/cts/+/85dd96c68efb9cfd37ec2d747d832213d89cd520", "85dd96c68efb9cfd37ec2d747d832213d89cd520")</f>
        <v>0</v>
      </c>
      <c r="C16014">
        <f>HYPERLINK("https://android.googlesource.com/platform/cts/+/cbee36fd9f7b4a37f211869edcaa29768d71ca57", "cbee36fd9f7b4a37f211869edcaa29768d71ca57")</f>
        <v>0</v>
      </c>
      <c r="D16014" t="s">
        <v>5296</v>
      </c>
      <c r="E16014" t="s">
        <v>8625</v>
      </c>
      <c r="F16014" t="s">
        <v>14079</v>
      </c>
      <c r="G16014" t="s">
        <v>15084</v>
      </c>
      <c r="H16014" t="s">
        <v>33240</v>
      </c>
    </row>
    <row r="16015" spans="1:8">
      <c r="H16015" t="s">
        <v>33241</v>
      </c>
    </row>
    <row r="16016" spans="1:8">
      <c r="H16016" t="s">
        <v>33242</v>
      </c>
    </row>
    <row r="16017" spans="1:8">
      <c r="A16017" t="s">
        <v>2904</v>
      </c>
      <c r="B16017">
        <f>HYPERLINK("https://android.googlesource.com/platform/cts/+/ca6733ac413674e291bed44b9303514fd0d797d8", "ca6733ac413674e291bed44b9303514fd0d797d8")</f>
        <v>0</v>
      </c>
      <c r="C16017">
        <f>HYPERLINK("https://android.googlesource.com/platform/cts/+/6b11b07da971d2f1164b6306f4e215d774318abf", "6b11b07da971d2f1164b6306f4e215d774318abf")</f>
        <v>0</v>
      </c>
      <c r="D16017" t="s">
        <v>5042</v>
      </c>
      <c r="E16017" t="s">
        <v>8627</v>
      </c>
      <c r="F16017" t="s">
        <v>14080</v>
      </c>
      <c r="G16017" t="s">
        <v>18077</v>
      </c>
      <c r="H16017" t="s">
        <v>33246</v>
      </c>
    </row>
    <row r="16018" spans="1:8">
      <c r="A16018" t="s">
        <v>2906</v>
      </c>
      <c r="B16018">
        <f>HYPERLINK("https://android.googlesource.com/platform/cts/+/edad9239f1fd407c86d799b3450d16c8a42b8e53", "edad9239f1fd407c86d799b3450d16c8a42b8e53")</f>
        <v>0</v>
      </c>
      <c r="C16018">
        <f>HYPERLINK("https://android.googlesource.com/platform/cts/+/26aecb49bfb88c417d3fd7758598f489fe4d42a1", "26aecb49bfb88c417d3fd7758598f489fe4d42a1")</f>
        <v>0</v>
      </c>
      <c r="D16018" t="s">
        <v>5478</v>
      </c>
      <c r="E16018" t="s">
        <v>8629</v>
      </c>
      <c r="F16018" t="s">
        <v>12227</v>
      </c>
      <c r="G16018" t="s">
        <v>16457</v>
      </c>
      <c r="H16018" t="s">
        <v>33250</v>
      </c>
    </row>
    <row r="16019" spans="1:8">
      <c r="A16019" t="s">
        <v>2907</v>
      </c>
      <c r="B16019">
        <f>HYPERLINK("https://android.googlesource.com/platform/cts/+/d3c38bf0fb2dc752902bb5a7e4b7f42a1451c9e0", "d3c38bf0fb2dc752902bb5a7e4b7f42a1451c9e0")</f>
        <v>0</v>
      </c>
      <c r="C16019">
        <f>HYPERLINK("https://android.googlesource.com/platform/cts/+/77171461072d83ca852bda4f4dfc371b6c250c17", "77171461072d83ca852bda4f4dfc371b6c250c17")</f>
        <v>0</v>
      </c>
      <c r="D16019" t="s">
        <v>5293</v>
      </c>
      <c r="E16019" t="s">
        <v>8630</v>
      </c>
      <c r="F16019" t="s">
        <v>14082</v>
      </c>
      <c r="G16019" t="s">
        <v>18079</v>
      </c>
      <c r="H16019" t="s">
        <v>33251</v>
      </c>
    </row>
    <row r="16020" spans="1:8">
      <c r="H16020" t="s">
        <v>33252</v>
      </c>
    </row>
    <row r="16021" spans="1:8">
      <c r="A16021" t="s">
        <v>2910</v>
      </c>
      <c r="B16021">
        <f>HYPERLINK("https://android.googlesource.com/platform/cts/+/3a4108e7cccd1d648de6ede25b190fd634164da6", "3a4108e7cccd1d648de6ede25b190fd634164da6")</f>
        <v>0</v>
      </c>
      <c r="C16021">
        <f>HYPERLINK("https://android.googlesource.com/platform/cts/+/84fbda84945556e04bda78cfe58014a5ce718209", "84fbda84945556e04bda78cfe58014a5ce718209")</f>
        <v>0</v>
      </c>
      <c r="D16021" t="s">
        <v>5180</v>
      </c>
      <c r="E16021" t="s">
        <v>8633</v>
      </c>
      <c r="F16021" t="s">
        <v>14081</v>
      </c>
      <c r="G16021" t="s">
        <v>18078</v>
      </c>
      <c r="H16021" t="s">
        <v>33262</v>
      </c>
    </row>
    <row r="16022" spans="1:8">
      <c r="H16022" t="s">
        <v>33263</v>
      </c>
    </row>
    <row r="16023" spans="1:8">
      <c r="A16023" t="s">
        <v>2911</v>
      </c>
      <c r="B16023">
        <f>HYPERLINK("https://android.googlesource.com/platform/cts/+/eb384fc0879fe57791f97dde5505b06c917be3fe", "eb384fc0879fe57791f97dde5505b06c917be3fe")</f>
        <v>0</v>
      </c>
      <c r="C16023">
        <f>HYPERLINK("https://android.googlesource.com/platform/cts/+/6b11b07da971d2f1164b6306f4e215d774318abf", "6b11b07da971d2f1164b6306f4e215d774318abf")</f>
        <v>0</v>
      </c>
      <c r="D16023" t="s">
        <v>5042</v>
      </c>
      <c r="E16023" t="s">
        <v>8634</v>
      </c>
      <c r="F16023" t="s">
        <v>12319</v>
      </c>
      <c r="G16023" t="s">
        <v>16549</v>
      </c>
      <c r="H16023" t="s">
        <v>33264</v>
      </c>
    </row>
    <row r="16024" spans="1:8">
      <c r="H16024" t="s">
        <v>33265</v>
      </c>
    </row>
    <row r="16025" spans="1:8">
      <c r="H16025" t="s">
        <v>33266</v>
      </c>
    </row>
    <row r="16026" spans="1:8">
      <c r="H16026" t="s">
        <v>33267</v>
      </c>
    </row>
    <row r="16027" spans="1:8">
      <c r="A16027" t="s">
        <v>2914</v>
      </c>
      <c r="B16027">
        <f>HYPERLINK("https://android.googlesource.com/platform/cts/+/0778505b25c01e972f3a2be4352f9fefe6f1125d", "0778505b25c01e972f3a2be4352f9fefe6f1125d")</f>
        <v>0</v>
      </c>
      <c r="C16027">
        <f>HYPERLINK("https://android.googlesource.com/platform/cts/+/eb384fc0879fe57791f97dde5505b06c917be3fe", "eb384fc0879fe57791f97dde5505b06c917be3fe")</f>
        <v>0</v>
      </c>
      <c r="D16027" t="s">
        <v>5042</v>
      </c>
      <c r="E16027" t="s">
        <v>8637</v>
      </c>
      <c r="F16027" t="s">
        <v>12319</v>
      </c>
      <c r="G16027" t="s">
        <v>16549</v>
      </c>
      <c r="H16027" t="s">
        <v>33271</v>
      </c>
    </row>
    <row r="16028" spans="1:8">
      <c r="H16028" t="s">
        <v>33272</v>
      </c>
    </row>
    <row r="16029" spans="1:8">
      <c r="H16029" t="s">
        <v>33273</v>
      </c>
    </row>
    <row r="16030" spans="1:8">
      <c r="H16030" t="s">
        <v>33274</v>
      </c>
    </row>
    <row r="16031" spans="1:8">
      <c r="H16031" t="s">
        <v>33275</v>
      </c>
    </row>
    <row r="16032" spans="1:8">
      <c r="H16032" t="s">
        <v>33276</v>
      </c>
    </row>
    <row r="16033" spans="1:8">
      <c r="H16033" t="s">
        <v>33277</v>
      </c>
    </row>
    <row r="16034" spans="1:8">
      <c r="H16034" t="s">
        <v>33278</v>
      </c>
    </row>
    <row r="16035" spans="1:8">
      <c r="H16035" t="s">
        <v>33279</v>
      </c>
    </row>
    <row r="16036" spans="1:8">
      <c r="H16036" t="s">
        <v>33280</v>
      </c>
    </row>
    <row r="16037" spans="1:8">
      <c r="H16037" t="s">
        <v>33281</v>
      </c>
    </row>
    <row r="16038" spans="1:8">
      <c r="H16038" t="s">
        <v>33282</v>
      </c>
    </row>
    <row r="16039" spans="1:8">
      <c r="H16039" t="s">
        <v>33283</v>
      </c>
    </row>
    <row r="16040" spans="1:8">
      <c r="H16040" t="s">
        <v>33284</v>
      </c>
    </row>
    <row r="16041" spans="1:8">
      <c r="H16041" t="s">
        <v>33285</v>
      </c>
    </row>
    <row r="16042" spans="1:8">
      <c r="H16042" t="s">
        <v>33286</v>
      </c>
    </row>
    <row r="16043" spans="1:8">
      <c r="H16043" t="s">
        <v>33287</v>
      </c>
    </row>
    <row r="16044" spans="1:8">
      <c r="H16044" t="s">
        <v>33288</v>
      </c>
    </row>
    <row r="16045" spans="1:8">
      <c r="H16045" t="s">
        <v>33289</v>
      </c>
    </row>
    <row r="16046" spans="1:8">
      <c r="H16046" t="s">
        <v>33290</v>
      </c>
    </row>
    <row r="16047" spans="1:8">
      <c r="A16047" t="s">
        <v>2916</v>
      </c>
      <c r="B16047">
        <f>HYPERLINK("https://android.googlesource.com/platform/cts/+/2844d78ce5e82bcb5752a248fac15925117a5894", "2844d78ce5e82bcb5752a248fac15925117a5894")</f>
        <v>0</v>
      </c>
      <c r="C16047">
        <f>HYPERLINK("https://android.googlesource.com/platform/cts/+/6287fd1e561993b4fe8e74b0b232a86ae1899c00", "6287fd1e561993b4fe8e74b0b232a86ae1899c00")</f>
        <v>0</v>
      </c>
      <c r="D16047" t="s">
        <v>5240</v>
      </c>
      <c r="E16047" t="s">
        <v>8639</v>
      </c>
      <c r="F16047" t="s">
        <v>14085</v>
      </c>
      <c r="G16047" t="s">
        <v>18081</v>
      </c>
      <c r="H16047" t="s">
        <v>33343</v>
      </c>
    </row>
    <row r="16048" spans="1:8">
      <c r="A16048" t="s">
        <v>2917</v>
      </c>
      <c r="B16048">
        <f>HYPERLINK("https://android.googlesource.com/platform/cts/+/feffaaa6972f16c64f0657f572a23b7689ea9aaa", "feffaaa6972f16c64f0657f572a23b7689ea9aaa")</f>
        <v>0</v>
      </c>
      <c r="C16048">
        <f>HYPERLINK("https://android.googlesource.com/platform/cts/+/2844d78ce5e82bcb5752a248fac15925117a5894", "2844d78ce5e82bcb5752a248fac15925117a5894")</f>
        <v>0</v>
      </c>
      <c r="D16048" t="s">
        <v>5240</v>
      </c>
      <c r="E16048" t="s">
        <v>8640</v>
      </c>
      <c r="F16048" t="s">
        <v>14085</v>
      </c>
      <c r="G16048" t="s">
        <v>18081</v>
      </c>
      <c r="H16048" t="s">
        <v>33344</v>
      </c>
    </row>
    <row r="16049" spans="1:8">
      <c r="A16049" t="s">
        <v>2918</v>
      </c>
      <c r="B16049">
        <f>HYPERLINK("https://android.googlesource.com/platform/cts/+/b1a907ebb9b7a1063f1c3377bc3182286c65b5de", "b1a907ebb9b7a1063f1c3377bc3182286c65b5de")</f>
        <v>0</v>
      </c>
      <c r="C16049">
        <f>HYPERLINK("https://android.googlesource.com/platform/cts/+/04d920d475744600250cc8d5f899251c3235eb8c", "04d920d475744600250cc8d5f899251c3235eb8c")</f>
        <v>0</v>
      </c>
      <c r="D16049" t="s">
        <v>5240</v>
      </c>
      <c r="E16049" t="s">
        <v>8641</v>
      </c>
      <c r="F16049" t="s">
        <v>14085</v>
      </c>
      <c r="G16049" t="s">
        <v>18081</v>
      </c>
      <c r="H16049" t="s">
        <v>33343</v>
      </c>
    </row>
    <row r="16050" spans="1:8">
      <c r="A16050" t="s">
        <v>2919</v>
      </c>
      <c r="B16050">
        <f>HYPERLINK("https://android.googlesource.com/platform/cts/+/f37afc38ccd380beb8a6f68c00204818aa499e24", "f37afc38ccd380beb8a6f68c00204818aa499e24")</f>
        <v>0</v>
      </c>
      <c r="C16050">
        <f>HYPERLINK("https://android.googlesource.com/platform/cts/+/b1a907ebb9b7a1063f1c3377bc3182286c65b5de", "b1a907ebb9b7a1063f1c3377bc3182286c65b5de")</f>
        <v>0</v>
      </c>
      <c r="D16050" t="s">
        <v>5240</v>
      </c>
      <c r="E16050" t="s">
        <v>8642</v>
      </c>
      <c r="F16050" t="s">
        <v>14085</v>
      </c>
      <c r="G16050" t="s">
        <v>18081</v>
      </c>
      <c r="H16050" t="s">
        <v>33344</v>
      </c>
    </row>
    <row r="16051" spans="1:8">
      <c r="A16051" t="s">
        <v>2920</v>
      </c>
      <c r="B16051">
        <f>HYPERLINK("https://android.googlesource.com/platform/cts/+/d548c2ffaeb5164a55900a6e3686cf8e12b68294", "d548c2ffaeb5164a55900a6e3686cf8e12b68294")</f>
        <v>0</v>
      </c>
      <c r="C16051">
        <f>HYPERLINK("https://android.googlesource.com/platform/cts/+/79171cc7aa8d4fe981dc8e1c4f8daf39c8e4fe51", "79171cc7aa8d4fe981dc8e1c4f8daf39c8e4fe51")</f>
        <v>0</v>
      </c>
      <c r="D16051" t="s">
        <v>5447</v>
      </c>
      <c r="E16051" t="s">
        <v>8643</v>
      </c>
      <c r="F16051" t="s">
        <v>14086</v>
      </c>
      <c r="G16051" t="s">
        <v>18082</v>
      </c>
      <c r="H16051" t="s">
        <v>33347</v>
      </c>
    </row>
    <row r="16052" spans="1:8">
      <c r="H16052" t="s">
        <v>33348</v>
      </c>
    </row>
    <row r="16053" spans="1:8">
      <c r="H16053" t="s">
        <v>33349</v>
      </c>
    </row>
    <row r="16054" spans="1:8">
      <c r="H16054" t="s">
        <v>33350</v>
      </c>
    </row>
    <row r="16055" spans="1:8">
      <c r="A16055" t="s">
        <v>2922</v>
      </c>
      <c r="B16055">
        <f>HYPERLINK("https://android.googlesource.com/platform/cts/+/259cece4f0507187806ad0e406a68e8c8901c3a8", "259cece4f0507187806ad0e406a68e8c8901c3a8")</f>
        <v>0</v>
      </c>
      <c r="C16055">
        <f>HYPERLINK("https://android.googlesource.com/platform/cts/+/b33d82bf9ec2391538986a92175d89e8e1c484bf", "b33d82bf9ec2391538986a92175d89e8e1c484bf")</f>
        <v>0</v>
      </c>
      <c r="D16055" t="s">
        <v>5478</v>
      </c>
      <c r="E16055" t="s">
        <v>8645</v>
      </c>
      <c r="F16055" t="s">
        <v>12166</v>
      </c>
      <c r="G16055" t="s">
        <v>16406</v>
      </c>
      <c r="H16055" t="s">
        <v>33358</v>
      </c>
    </row>
    <row r="16056" spans="1:8">
      <c r="H16056" t="s">
        <v>33359</v>
      </c>
    </row>
    <row r="16057" spans="1:8">
      <c r="A16057" t="s">
        <v>2923</v>
      </c>
      <c r="B16057">
        <f>HYPERLINK("https://android.googlesource.com/platform/cts/+/c37e6af210acd4c4e6f96b078cfebf5341130ad4", "c37e6af210acd4c4e6f96b078cfebf5341130ad4")</f>
        <v>0</v>
      </c>
      <c r="C16057">
        <f>HYPERLINK("https://android.googlesource.com/platform/cts/+/b33d82bf9ec2391538986a92175d89e8e1c484bf", "b33d82bf9ec2391538986a92175d89e8e1c484bf")</f>
        <v>0</v>
      </c>
      <c r="D16057" t="s">
        <v>5478</v>
      </c>
      <c r="E16057" t="s">
        <v>8646</v>
      </c>
      <c r="F16057" t="s">
        <v>14089</v>
      </c>
      <c r="G16057" t="s">
        <v>18083</v>
      </c>
      <c r="H16057" t="s">
        <v>33360</v>
      </c>
    </row>
    <row r="16058" spans="1:8">
      <c r="F16058" t="s">
        <v>14090</v>
      </c>
      <c r="G16058" t="s">
        <v>18084</v>
      </c>
      <c r="H16058" t="s">
        <v>33361</v>
      </c>
    </row>
    <row r="16059" spans="1:8">
      <c r="H16059" t="s">
        <v>33362</v>
      </c>
    </row>
    <row r="16060" spans="1:8">
      <c r="A16060" t="s">
        <v>2924</v>
      </c>
      <c r="B16060">
        <f>HYPERLINK("https://android.googlesource.com/platform/cts/+/8e95d5425443b2cae4fdeebdedd9d691f1883bf1", "8e95d5425443b2cae4fdeebdedd9d691f1883bf1")</f>
        <v>0</v>
      </c>
      <c r="C16060">
        <f>HYPERLINK("https://android.googlesource.com/platform/cts/+/b4a946ad1dc885282d578face728f4321e80ca23", "b4a946ad1dc885282d578face728f4321e80ca23")</f>
        <v>0</v>
      </c>
      <c r="D16060" t="s">
        <v>5122</v>
      </c>
      <c r="E16060" t="s">
        <v>8647</v>
      </c>
      <c r="F16060" t="s">
        <v>14091</v>
      </c>
      <c r="G16060" t="s">
        <v>17434</v>
      </c>
      <c r="H16060" t="s">
        <v>33363</v>
      </c>
    </row>
    <row r="16061" spans="1:8">
      <c r="A16061" t="s">
        <v>2926</v>
      </c>
      <c r="B16061">
        <f>HYPERLINK("https://android.googlesource.com/platform/cts/+/1dfa5793dc162bc258c5195d28e1bad59d0fe9fa", "1dfa5793dc162bc258c5195d28e1bad59d0fe9fa")</f>
        <v>0</v>
      </c>
      <c r="C16061">
        <f>HYPERLINK("https://android.googlesource.com/platform/cts/+/2025419bdcbc488e348a4122d463ab8b1e351e9f", "2025419bdcbc488e348a4122d463ab8b1e351e9f")</f>
        <v>0</v>
      </c>
      <c r="D16061" t="s">
        <v>5180</v>
      </c>
      <c r="E16061" t="s">
        <v>8649</v>
      </c>
      <c r="F16061" t="s">
        <v>14092</v>
      </c>
      <c r="G16061" t="s">
        <v>18085</v>
      </c>
      <c r="H16061" t="s">
        <v>33365</v>
      </c>
    </row>
    <row r="16062" spans="1:8">
      <c r="H16062" t="s">
        <v>33366</v>
      </c>
    </row>
    <row r="16063" spans="1:8">
      <c r="A16063" t="s">
        <v>2927</v>
      </c>
      <c r="B16063">
        <f>HYPERLINK("https://android.googlesource.com/platform/cts/+/ab20fd90d03d5a788dc2b3d1f2a8612a80f90cf7", "ab20fd90d03d5a788dc2b3d1f2a8612a80f90cf7")</f>
        <v>0</v>
      </c>
      <c r="C16063">
        <f>HYPERLINK("https://android.googlesource.com/platform/cts/+/50b5446d9eb1a1eab2dc96392ad9a78dcec22dde", "50b5446d9eb1a1eab2dc96392ad9a78dcec22dde")</f>
        <v>0</v>
      </c>
      <c r="D16063" t="s">
        <v>5242</v>
      </c>
      <c r="E16063" t="s">
        <v>8650</v>
      </c>
      <c r="F16063" t="s">
        <v>13992</v>
      </c>
      <c r="G16063" t="s">
        <v>16620</v>
      </c>
      <c r="H16063" t="s">
        <v>33367</v>
      </c>
    </row>
    <row r="16064" spans="1:8">
      <c r="H16064" t="s">
        <v>33368</v>
      </c>
    </row>
    <row r="16065" spans="1:8">
      <c r="H16065" t="s">
        <v>33369</v>
      </c>
    </row>
    <row r="16066" spans="1:8">
      <c r="A16066" t="s">
        <v>2929</v>
      </c>
      <c r="B16066">
        <f>HYPERLINK("https://android.googlesource.com/platform/cts/+/ab709cf6cd9b61a4f446bafa4e6ab068cccb2d33", "ab709cf6cd9b61a4f446bafa4e6ab068cccb2d33")</f>
        <v>0</v>
      </c>
      <c r="C16066">
        <f>HYPERLINK("https://android.googlesource.com/platform/cts/+/2113a53894ecab8e5dfe11aee8d0dfb9a668b664", "2113a53894ecab8e5dfe11aee8d0dfb9a668b664")</f>
        <v>0</v>
      </c>
      <c r="D16066" t="s">
        <v>5338</v>
      </c>
      <c r="E16066" t="s">
        <v>8652</v>
      </c>
      <c r="F16066" t="s">
        <v>13905</v>
      </c>
      <c r="G16066" t="s">
        <v>17942</v>
      </c>
      <c r="H16066" t="s">
        <v>33371</v>
      </c>
    </row>
    <row r="16067" spans="1:8">
      <c r="H16067" t="s">
        <v>33372</v>
      </c>
    </row>
    <row r="16068" spans="1:8">
      <c r="H16068" t="s">
        <v>33373</v>
      </c>
    </row>
    <row r="16069" spans="1:8">
      <c r="H16069" t="s">
        <v>33374</v>
      </c>
    </row>
    <row r="16070" spans="1:8">
      <c r="A16070" t="s">
        <v>2930</v>
      </c>
      <c r="B16070">
        <f>HYPERLINK("https://android.googlesource.com/platform/cts/+/ef0c2b9a077883f17b5c2390b7db37d25b73f735", "ef0c2b9a077883f17b5c2390b7db37d25b73f735")</f>
        <v>0</v>
      </c>
      <c r="C16070">
        <f>HYPERLINK("https://android.googlesource.com/platform/cts/+/d5730f64bbcbedf104ba69c108f4cb3aee945ba1", "d5730f64bbcbedf104ba69c108f4cb3aee945ba1")</f>
        <v>0</v>
      </c>
      <c r="D16070" t="s">
        <v>5290</v>
      </c>
      <c r="E16070" t="s">
        <v>8653</v>
      </c>
      <c r="F16070" t="s">
        <v>13815</v>
      </c>
      <c r="G16070" t="s">
        <v>17862</v>
      </c>
      <c r="H16070" t="s">
        <v>33375</v>
      </c>
    </row>
    <row r="16071" spans="1:8">
      <c r="F16071" t="s">
        <v>12743</v>
      </c>
      <c r="G16071" t="s">
        <v>16935</v>
      </c>
      <c r="H16071" t="s">
        <v>33377</v>
      </c>
    </row>
    <row r="16072" spans="1:8">
      <c r="A16072" t="s">
        <v>2932</v>
      </c>
      <c r="B16072">
        <f>HYPERLINK("https://android.googlesource.com/platform/cts/+/5e66c6e4dbdf532961c5a407eed5960a4fe2bd92", "5e66c6e4dbdf532961c5a407eed5960a4fe2bd92")</f>
        <v>0</v>
      </c>
      <c r="C16072">
        <f>HYPERLINK("https://android.googlesource.com/platform/cts/+/289ff4ab29a264d8291744a0f950b2828e5dd9d5", "289ff4ab29a264d8291744a0f950b2828e5dd9d5")</f>
        <v>0</v>
      </c>
      <c r="D16072" t="s">
        <v>5472</v>
      </c>
      <c r="E16072" t="s">
        <v>8655</v>
      </c>
      <c r="F16072" t="s">
        <v>14094</v>
      </c>
      <c r="G16072" t="s">
        <v>18087</v>
      </c>
      <c r="H16072" t="s">
        <v>33380</v>
      </c>
    </row>
    <row r="16073" spans="1:8">
      <c r="A16073" t="s">
        <v>2934</v>
      </c>
      <c r="B16073">
        <f>HYPERLINK("https://android.googlesource.com/platform/cts/+/b24bbd5b2145d658fb5ba48f3815ffc4de5d5209", "b24bbd5b2145d658fb5ba48f3815ffc4de5d5209")</f>
        <v>0</v>
      </c>
      <c r="C16073">
        <f>HYPERLINK("https://android.googlesource.com/platform/cts/+/d4d523686429f0bbe2484d8d24652f671c53f310", "d4d523686429f0bbe2484d8d24652f671c53f310")</f>
        <v>0</v>
      </c>
      <c r="D16073" t="s">
        <v>5240</v>
      </c>
      <c r="E16073" t="s">
        <v>8657</v>
      </c>
      <c r="F16073" t="s">
        <v>13671</v>
      </c>
      <c r="G16073" t="s">
        <v>17743</v>
      </c>
      <c r="H16073" t="s">
        <v>33384</v>
      </c>
    </row>
    <row r="16074" spans="1:8">
      <c r="H16074" t="s">
        <v>33385</v>
      </c>
    </row>
    <row r="16075" spans="1:8">
      <c r="H16075" t="s">
        <v>33386</v>
      </c>
    </row>
    <row r="16076" spans="1:8">
      <c r="H16076" t="s">
        <v>33387</v>
      </c>
    </row>
    <row r="16077" spans="1:8">
      <c r="H16077" t="s">
        <v>33388</v>
      </c>
    </row>
    <row r="16078" spans="1:8">
      <c r="H16078" t="s">
        <v>33389</v>
      </c>
    </row>
    <row r="16079" spans="1:8">
      <c r="H16079" t="s">
        <v>33390</v>
      </c>
    </row>
    <row r="16080" spans="1:8">
      <c r="A16080" t="s">
        <v>2935</v>
      </c>
      <c r="B16080">
        <f>HYPERLINK("https://android.googlesource.com/platform/cts/+/8b68f3d8ec44b131c9ddc99ad04f1e9ee2a3aa9a", "8b68f3d8ec44b131c9ddc99ad04f1e9ee2a3aa9a")</f>
        <v>0</v>
      </c>
      <c r="C16080">
        <f>HYPERLINK("https://android.googlesource.com/platform/cts/+/b24bbd5b2145d658fb5ba48f3815ffc4de5d5209", "b24bbd5b2145d658fb5ba48f3815ffc4de5d5209")</f>
        <v>0</v>
      </c>
      <c r="D16080" t="s">
        <v>5240</v>
      </c>
      <c r="E16080" t="s">
        <v>8658</v>
      </c>
      <c r="F16080" t="s">
        <v>14096</v>
      </c>
      <c r="G16080" t="s">
        <v>18089</v>
      </c>
      <c r="H16080" t="s">
        <v>33394</v>
      </c>
    </row>
    <row r="16081" spans="1:8">
      <c r="H16081" t="s">
        <v>33395</v>
      </c>
    </row>
    <row r="16082" spans="1:8">
      <c r="A16082" t="s">
        <v>2936</v>
      </c>
      <c r="B16082">
        <f>HYPERLINK("https://android.googlesource.com/platform/cts/+/b08673c860b5d606b94c56519686eca44e396323", "b08673c860b5d606b94c56519686eca44e396323")</f>
        <v>0</v>
      </c>
      <c r="C16082">
        <f>HYPERLINK("https://android.googlesource.com/platform/cts/+/f6273f59c5cab98bdc17d6657d38d76500432244", "f6273f59c5cab98bdc17d6657d38d76500432244")</f>
        <v>0</v>
      </c>
      <c r="D16082" t="s">
        <v>4974</v>
      </c>
      <c r="E16082" t="s">
        <v>8659</v>
      </c>
      <c r="F16082" t="s">
        <v>12710</v>
      </c>
      <c r="G16082" t="s">
        <v>16911</v>
      </c>
      <c r="H16082" t="s">
        <v>33397</v>
      </c>
    </row>
    <row r="16083" spans="1:8">
      <c r="A16083" t="s">
        <v>2937</v>
      </c>
      <c r="B16083">
        <f>HYPERLINK("https://android.googlesource.com/platform/cts/+/4b345f0bcd931f989f3d37703c14d7dfd8450e26", "4b345f0bcd931f989f3d37703c14d7dfd8450e26")</f>
        <v>0</v>
      </c>
      <c r="C16083">
        <f>HYPERLINK("https://android.googlesource.com/platform/cts/+/406223ac325fd15dc5d435c2ae0426d67bea0f95", "406223ac325fd15dc5d435c2ae0426d67bea0f95")</f>
        <v>0</v>
      </c>
      <c r="D16083" t="s">
        <v>5478</v>
      </c>
      <c r="E16083" t="s">
        <v>8660</v>
      </c>
      <c r="F16083" t="s">
        <v>13333</v>
      </c>
      <c r="G16083" t="s">
        <v>17463</v>
      </c>
      <c r="H16083" t="s">
        <v>33398</v>
      </c>
    </row>
    <row r="16084" spans="1:8">
      <c r="A16084" t="s">
        <v>2938</v>
      </c>
      <c r="B16084">
        <f>HYPERLINK("https://android.googlesource.com/platform/cts/+/c3931621feaa87ba2faf5b03eb06e526b6602275", "c3931621feaa87ba2faf5b03eb06e526b6602275")</f>
        <v>0</v>
      </c>
      <c r="C16084">
        <f>HYPERLINK("https://android.googlesource.com/platform/cts/+/406223ac325fd15dc5d435c2ae0426d67bea0f95", "406223ac325fd15dc5d435c2ae0426d67bea0f95")</f>
        <v>0</v>
      </c>
      <c r="D16084" t="s">
        <v>5478</v>
      </c>
      <c r="E16084" t="s">
        <v>8661</v>
      </c>
      <c r="F16084" t="s">
        <v>13333</v>
      </c>
      <c r="G16084" t="s">
        <v>17463</v>
      </c>
      <c r="H16084" t="s">
        <v>33399</v>
      </c>
    </row>
    <row r="16085" spans="1:8">
      <c r="A16085" t="s">
        <v>2939</v>
      </c>
      <c r="B16085">
        <f>HYPERLINK("https://android.googlesource.com/platform/cts/+/eefa272dae568708e4bec411af705975a40e5e30", "eefa272dae568708e4bec411af705975a40e5e30")</f>
        <v>0</v>
      </c>
      <c r="C16085">
        <f>HYPERLINK("https://android.googlesource.com/platform/cts/+/6be026441473468658fe33367e1cfea99432be4b", "6be026441473468658fe33367e1cfea99432be4b")</f>
        <v>0</v>
      </c>
      <c r="D16085" t="s">
        <v>5240</v>
      </c>
      <c r="E16085" t="s">
        <v>8662</v>
      </c>
      <c r="F16085" t="s">
        <v>13671</v>
      </c>
      <c r="G16085" t="s">
        <v>17743</v>
      </c>
      <c r="H16085" t="s">
        <v>33384</v>
      </c>
    </row>
    <row r="16086" spans="1:8">
      <c r="H16086" t="s">
        <v>33385</v>
      </c>
    </row>
    <row r="16087" spans="1:8">
      <c r="H16087" t="s">
        <v>33386</v>
      </c>
    </row>
    <row r="16088" spans="1:8">
      <c r="H16088" t="s">
        <v>33387</v>
      </c>
    </row>
    <row r="16089" spans="1:8">
      <c r="H16089" t="s">
        <v>33388</v>
      </c>
    </row>
    <row r="16090" spans="1:8">
      <c r="H16090" t="s">
        <v>33389</v>
      </c>
    </row>
    <row r="16091" spans="1:8">
      <c r="H16091" t="s">
        <v>33390</v>
      </c>
    </row>
    <row r="16092" spans="1:8">
      <c r="A16092" t="s">
        <v>2940</v>
      </c>
      <c r="B16092">
        <f>HYPERLINK("https://android.googlesource.com/platform/cts/+/017b729f5700e2bf607ab356021118d9a241984c", "017b729f5700e2bf607ab356021118d9a241984c")</f>
        <v>0</v>
      </c>
      <c r="C16092">
        <f>HYPERLINK("https://android.googlesource.com/platform/cts/+/d6830da127772478ec2feeb562d9f4a26d7fe0f5", "d6830da127772478ec2feeb562d9f4a26d7fe0f5")</f>
        <v>0</v>
      </c>
      <c r="D16092" t="s">
        <v>5417</v>
      </c>
      <c r="E16092" t="s">
        <v>8663</v>
      </c>
      <c r="F16092" t="s">
        <v>14097</v>
      </c>
      <c r="G16092" t="s">
        <v>18090</v>
      </c>
      <c r="H16092" t="s">
        <v>33400</v>
      </c>
    </row>
    <row r="16093" spans="1:8">
      <c r="F16093" t="s">
        <v>14098</v>
      </c>
      <c r="G16093" t="s">
        <v>18091</v>
      </c>
      <c r="H16093" t="s">
        <v>19013</v>
      </c>
    </row>
    <row r="16094" spans="1:8">
      <c r="H16094" t="s">
        <v>18835</v>
      </c>
    </row>
    <row r="16095" spans="1:8">
      <c r="H16095" t="s">
        <v>33404</v>
      </c>
    </row>
    <row r="16096" spans="1:8">
      <c r="F16096" t="s">
        <v>14033</v>
      </c>
      <c r="G16096" t="s">
        <v>18030</v>
      </c>
      <c r="H16096" t="s">
        <v>33407</v>
      </c>
    </row>
    <row r="16097" spans="1:8">
      <c r="A16097" t="s">
        <v>2941</v>
      </c>
      <c r="B16097">
        <f>HYPERLINK("https://android.googlesource.com/platform/cts/+/296e7e5abdda5550b8b9c4775241abe5bb0e1282", "296e7e5abdda5550b8b9c4775241abe5bb0e1282")</f>
        <v>0</v>
      </c>
      <c r="C16097">
        <f>HYPERLINK("https://android.googlesource.com/platform/cts/+/39179f9fe9525673d9f8cf7894359d499791a337", "39179f9fe9525673d9f8cf7894359d499791a337")</f>
        <v>0</v>
      </c>
      <c r="D16097" t="s">
        <v>5479</v>
      </c>
      <c r="E16097" t="s">
        <v>8664</v>
      </c>
      <c r="F16097" t="s">
        <v>13905</v>
      </c>
      <c r="G16097" t="s">
        <v>17942</v>
      </c>
      <c r="H16097" t="s">
        <v>33408</v>
      </c>
    </row>
    <row r="16098" spans="1:8">
      <c r="H16098" t="s">
        <v>33409</v>
      </c>
    </row>
    <row r="16099" spans="1:8">
      <c r="H16099" t="s">
        <v>33410</v>
      </c>
    </row>
    <row r="16100" spans="1:8">
      <c r="H16100" t="s">
        <v>33411</v>
      </c>
    </row>
    <row r="16101" spans="1:8">
      <c r="H16101" t="s">
        <v>33412</v>
      </c>
    </row>
    <row r="16102" spans="1:8">
      <c r="H16102" t="s">
        <v>33413</v>
      </c>
    </row>
    <row r="16103" spans="1:8">
      <c r="H16103" t="s">
        <v>33414</v>
      </c>
    </row>
    <row r="16104" spans="1:8">
      <c r="H16104" t="s">
        <v>33415</v>
      </c>
    </row>
    <row r="16105" spans="1:8">
      <c r="H16105" t="s">
        <v>33416</v>
      </c>
    </row>
    <row r="16106" spans="1:8">
      <c r="H16106" t="s">
        <v>33417</v>
      </c>
    </row>
    <row r="16107" spans="1:8">
      <c r="H16107" t="s">
        <v>33082</v>
      </c>
    </row>
    <row r="16108" spans="1:8">
      <c r="H16108" t="s">
        <v>33418</v>
      </c>
    </row>
    <row r="16109" spans="1:8">
      <c r="H16109" t="s">
        <v>33419</v>
      </c>
    </row>
    <row r="16110" spans="1:8">
      <c r="H16110" t="s">
        <v>33420</v>
      </c>
    </row>
    <row r="16111" spans="1:8">
      <c r="H16111" t="s">
        <v>33421</v>
      </c>
    </row>
    <row r="16112" spans="1:8">
      <c r="H16112" t="s">
        <v>33422</v>
      </c>
    </row>
    <row r="16113" spans="8:8">
      <c r="H16113" t="s">
        <v>33423</v>
      </c>
    </row>
    <row r="16114" spans="8:8">
      <c r="H16114" t="s">
        <v>33424</v>
      </c>
    </row>
    <row r="16115" spans="8:8">
      <c r="H16115" t="s">
        <v>33425</v>
      </c>
    </row>
    <row r="16116" spans="8:8">
      <c r="H16116" t="s">
        <v>33426</v>
      </c>
    </row>
    <row r="16117" spans="8:8">
      <c r="H16117" t="s">
        <v>33427</v>
      </c>
    </row>
    <row r="16118" spans="8:8">
      <c r="H16118" t="s">
        <v>33428</v>
      </c>
    </row>
    <row r="16119" spans="8:8">
      <c r="H16119" t="s">
        <v>33429</v>
      </c>
    </row>
    <row r="16120" spans="8:8">
      <c r="H16120" t="s">
        <v>33430</v>
      </c>
    </row>
    <row r="16121" spans="8:8">
      <c r="H16121" t="s">
        <v>33431</v>
      </c>
    </row>
    <row r="16122" spans="8:8">
      <c r="H16122" t="s">
        <v>33432</v>
      </c>
    </row>
    <row r="16123" spans="8:8">
      <c r="H16123" t="s">
        <v>33433</v>
      </c>
    </row>
    <row r="16124" spans="8:8">
      <c r="H16124" t="s">
        <v>33434</v>
      </c>
    </row>
    <row r="16125" spans="8:8">
      <c r="H16125" t="s">
        <v>33435</v>
      </c>
    </row>
    <row r="16126" spans="8:8">
      <c r="H16126" t="s">
        <v>33436</v>
      </c>
    </row>
    <row r="16127" spans="8:8">
      <c r="H16127" t="s">
        <v>33437</v>
      </c>
    </row>
    <row r="16128" spans="8:8">
      <c r="H16128" t="s">
        <v>33438</v>
      </c>
    </row>
    <row r="16129" spans="1:8">
      <c r="H16129" t="s">
        <v>33439</v>
      </c>
    </row>
    <row r="16130" spans="1:8">
      <c r="H16130" t="s">
        <v>33440</v>
      </c>
    </row>
    <row r="16131" spans="1:8">
      <c r="H16131" t="s">
        <v>33441</v>
      </c>
    </row>
    <row r="16132" spans="1:8">
      <c r="A16132" t="s">
        <v>2942</v>
      </c>
      <c r="B16132">
        <f>HYPERLINK("https://android.googlesource.com/platform/cts/+/31e4b3cd939bd20031054c8dce2319eccbb773dd", "31e4b3cd939bd20031054c8dce2319eccbb773dd")</f>
        <v>0</v>
      </c>
      <c r="C16132">
        <f>HYPERLINK("https://android.googlesource.com/platform/cts/+/d0c36a387b664cfcbdefb8f8190d93b499ebd591", "d0c36a387b664cfcbdefb8f8190d93b499ebd591")</f>
        <v>0</v>
      </c>
      <c r="D16132" t="s">
        <v>5472</v>
      </c>
      <c r="E16132" t="s">
        <v>8665</v>
      </c>
      <c r="F16132" t="s">
        <v>14099</v>
      </c>
      <c r="G16132" t="s">
        <v>18092</v>
      </c>
      <c r="H16132" t="s">
        <v>33446</v>
      </c>
    </row>
    <row r="16133" spans="1:8">
      <c r="A16133" t="s">
        <v>2948</v>
      </c>
      <c r="B16133">
        <f>HYPERLINK("https://android.googlesource.com/platform/cts/+/b921d0cf4244c8d928c6f0ed0d666c1351e456d2", "b921d0cf4244c8d928c6f0ed0d666c1351e456d2")</f>
        <v>0</v>
      </c>
      <c r="C16133">
        <f>HYPERLINK("https://android.googlesource.com/platform/cts/+/59cff3646ce9d47e58b70bef0fe08d171041291c", "59cff3646ce9d47e58b70bef0fe08d171041291c")</f>
        <v>0</v>
      </c>
      <c r="D16133" t="s">
        <v>5359</v>
      </c>
      <c r="E16133" t="s">
        <v>8670</v>
      </c>
      <c r="F16133" t="s">
        <v>13398</v>
      </c>
      <c r="G16133" t="s">
        <v>17524</v>
      </c>
      <c r="H16133" t="s">
        <v>33448</v>
      </c>
    </row>
    <row r="16134" spans="1:8">
      <c r="H16134" t="s">
        <v>33449</v>
      </c>
    </row>
    <row r="16135" spans="1:8">
      <c r="A16135" t="s">
        <v>2952</v>
      </c>
      <c r="B16135">
        <f>HYPERLINK("https://android.googlesource.com/platform/cts/+/62d18834ab13a1bc7961c96629b229a0e9f92c66", "62d18834ab13a1bc7961c96629b229a0e9f92c66")</f>
        <v>0</v>
      </c>
      <c r="C16135">
        <f>HYPERLINK("https://android.googlesource.com/platform/cts/+/9765deeb315ec9aa36eb0c0a4a5918e3334e4f72", "9765deeb315ec9aa36eb0c0a4a5918e3334e4f72")</f>
        <v>0</v>
      </c>
      <c r="D16135" t="s">
        <v>5478</v>
      </c>
      <c r="E16135" t="s">
        <v>8674</v>
      </c>
      <c r="F16135" t="s">
        <v>13333</v>
      </c>
      <c r="G16135" t="s">
        <v>17463</v>
      </c>
      <c r="H16135" t="s">
        <v>33454</v>
      </c>
    </row>
    <row r="16136" spans="1:8">
      <c r="H16136" t="s">
        <v>33455</v>
      </c>
    </row>
    <row r="16137" spans="1:8">
      <c r="F16137" t="s">
        <v>14103</v>
      </c>
      <c r="G16137" t="s">
        <v>18096</v>
      </c>
      <c r="H16137" t="s">
        <v>33457</v>
      </c>
    </row>
    <row r="16138" spans="1:8">
      <c r="F16138" t="s">
        <v>14104</v>
      </c>
      <c r="G16138" t="s">
        <v>18097</v>
      </c>
      <c r="H16138" t="s">
        <v>33457</v>
      </c>
    </row>
    <row r="16139" spans="1:8">
      <c r="F16139" t="s">
        <v>14105</v>
      </c>
      <c r="G16139" t="s">
        <v>18098</v>
      </c>
      <c r="H16139" t="s">
        <v>33457</v>
      </c>
    </row>
    <row r="16140" spans="1:8">
      <c r="A16140" t="s">
        <v>2954</v>
      </c>
      <c r="B16140">
        <f>HYPERLINK("https://android.googlesource.com/platform/cts/+/dc839870f59061496be9802300e66571a24b5f36", "dc839870f59061496be9802300e66571a24b5f36")</f>
        <v>0</v>
      </c>
      <c r="C16140">
        <f>HYPERLINK("https://android.googlesource.com/platform/cts/+/4c8c74ec344f9954e39141f1652074e12ab9db96", "4c8c74ec344f9954e39141f1652074e12ab9db96")</f>
        <v>0</v>
      </c>
      <c r="D16140" t="s">
        <v>5483</v>
      </c>
      <c r="E16140" t="s">
        <v>8676</v>
      </c>
      <c r="F16140" t="s">
        <v>14106</v>
      </c>
      <c r="G16140" t="s">
        <v>18099</v>
      </c>
      <c r="H16140" t="s">
        <v>33460</v>
      </c>
    </row>
    <row r="16141" spans="1:8">
      <c r="H16141" t="s">
        <v>33461</v>
      </c>
    </row>
    <row r="16142" spans="1:8">
      <c r="H16142" t="s">
        <v>33462</v>
      </c>
    </row>
    <row r="16143" spans="1:8">
      <c r="F16143" t="s">
        <v>14107</v>
      </c>
      <c r="G16143" t="s">
        <v>18100</v>
      </c>
      <c r="H16143" t="s">
        <v>33460</v>
      </c>
    </row>
    <row r="16144" spans="1:8">
      <c r="F16144" t="s">
        <v>14108</v>
      </c>
      <c r="G16144" t="s">
        <v>18101</v>
      </c>
      <c r="H16144" t="s">
        <v>33460</v>
      </c>
    </row>
    <row r="16145" spans="1:8">
      <c r="F16145" t="s">
        <v>14109</v>
      </c>
      <c r="G16145" t="s">
        <v>18102</v>
      </c>
      <c r="H16145" t="s">
        <v>33463</v>
      </c>
    </row>
    <row r="16146" spans="1:8">
      <c r="F16146" t="s">
        <v>14110</v>
      </c>
      <c r="G16146" t="s">
        <v>18103</v>
      </c>
      <c r="H16146" t="s">
        <v>33460</v>
      </c>
    </row>
    <row r="16147" spans="1:8">
      <c r="F16147" t="s">
        <v>14111</v>
      </c>
      <c r="G16147" t="s">
        <v>18104</v>
      </c>
      <c r="H16147" t="s">
        <v>33460</v>
      </c>
    </row>
    <row r="16148" spans="1:8">
      <c r="H16148" t="s">
        <v>33464</v>
      </c>
    </row>
    <row r="16149" spans="1:8">
      <c r="F16149" t="s">
        <v>14112</v>
      </c>
      <c r="G16149" t="s">
        <v>18105</v>
      </c>
      <c r="H16149" t="s">
        <v>33460</v>
      </c>
    </row>
    <row r="16150" spans="1:8">
      <c r="A16150" t="s">
        <v>2955</v>
      </c>
      <c r="B16150">
        <f>HYPERLINK("https://android.googlesource.com/platform/cts/+/98f45dc43ca07e9148c8d0347a0c184cefef58c2", "98f45dc43ca07e9148c8d0347a0c184cefef58c2")</f>
        <v>0</v>
      </c>
      <c r="C16150">
        <f>HYPERLINK("https://android.googlesource.com/platform/cts/+/98d64ba9b3747aadf9f9fda4bd68f83bc1dc40ff", "98d64ba9b3747aadf9f9fda4bd68f83bc1dc40ff")</f>
        <v>0</v>
      </c>
      <c r="D16150" t="s">
        <v>5484</v>
      </c>
      <c r="E16150" t="s">
        <v>8677</v>
      </c>
      <c r="F16150" t="s">
        <v>14113</v>
      </c>
      <c r="G16150" t="s">
        <v>18106</v>
      </c>
      <c r="H16150" t="s">
        <v>33465</v>
      </c>
    </row>
    <row r="16151" spans="1:8">
      <c r="H16151" t="s">
        <v>33466</v>
      </c>
    </row>
    <row r="16152" spans="1:8">
      <c r="H16152" t="s">
        <v>33467</v>
      </c>
    </row>
    <row r="16153" spans="1:8">
      <c r="A16153" t="s">
        <v>2956</v>
      </c>
      <c r="B16153">
        <f>HYPERLINK("https://android.googlesource.com/platform/cts/+/d1e678a508bfd277817b96de954347a6b0ed9cc2", "d1e678a508bfd277817b96de954347a6b0ed9cc2")</f>
        <v>0</v>
      </c>
      <c r="C16153">
        <f>HYPERLINK("https://android.googlesource.com/platform/cts/+/6d91d96d725faa054b623a0ec9ab1bcbed91dfba", "6d91d96d725faa054b623a0ec9ab1bcbed91dfba")</f>
        <v>0</v>
      </c>
      <c r="D16153" t="s">
        <v>5485</v>
      </c>
      <c r="E16153" t="s">
        <v>8678</v>
      </c>
      <c r="F16153" t="s">
        <v>14081</v>
      </c>
      <c r="G16153" t="s">
        <v>18078</v>
      </c>
      <c r="H16153" t="s">
        <v>33468</v>
      </c>
    </row>
    <row r="16154" spans="1:8">
      <c r="H16154" t="s">
        <v>33469</v>
      </c>
    </row>
    <row r="16155" spans="1:8">
      <c r="H16155" t="s">
        <v>33470</v>
      </c>
    </row>
    <row r="16156" spans="1:8">
      <c r="H16156" t="s">
        <v>33471</v>
      </c>
    </row>
    <row r="16157" spans="1:8">
      <c r="H16157" t="s">
        <v>33472</v>
      </c>
    </row>
    <row r="16158" spans="1:8">
      <c r="H16158" t="s">
        <v>33473</v>
      </c>
    </row>
    <row r="16159" spans="1:8">
      <c r="H16159" t="s">
        <v>33474</v>
      </c>
    </row>
    <row r="16160" spans="1:8">
      <c r="H16160" t="s">
        <v>33475</v>
      </c>
    </row>
    <row r="16161" spans="1:8">
      <c r="A16161" t="s">
        <v>2957</v>
      </c>
      <c r="B16161">
        <f>HYPERLINK("https://android.googlesource.com/platform/cts/+/d8a47d7f13e902a3665d41d9cd6165184253cfc7", "d8a47d7f13e902a3665d41d9cd6165184253cfc7")</f>
        <v>0</v>
      </c>
      <c r="C16161">
        <f>HYPERLINK("https://android.googlesource.com/platform/cts/+/9845b344cb75efed7581c4d36151e63daa0fd98a", "9845b344cb75efed7581c4d36151e63daa0fd98a")</f>
        <v>0</v>
      </c>
      <c r="D16161" t="s">
        <v>5472</v>
      </c>
      <c r="E16161" t="s">
        <v>8679</v>
      </c>
      <c r="F16161" t="s">
        <v>14114</v>
      </c>
      <c r="G16161" t="s">
        <v>18107</v>
      </c>
      <c r="H16161" t="s">
        <v>33476</v>
      </c>
    </row>
    <row r="16162" spans="1:8">
      <c r="A16162" t="s">
        <v>2958</v>
      </c>
      <c r="B16162">
        <f>HYPERLINK("https://android.googlesource.com/platform/cts/+/77bb6a034231dc21763e6e837dd4109758f8cbf9", "77bb6a034231dc21763e6e837dd4109758f8cbf9")</f>
        <v>0</v>
      </c>
      <c r="C16162">
        <f>HYPERLINK("https://android.googlesource.com/platform/cts/+/d6e2f783813c04c1a4a15a5b0f8a35ee994fd448", "d6e2f783813c04c1a4a15a5b0f8a35ee994fd448")</f>
        <v>0</v>
      </c>
      <c r="D16162" t="s">
        <v>5352</v>
      </c>
      <c r="E16162" t="s">
        <v>8680</v>
      </c>
      <c r="F16162" t="s">
        <v>14115</v>
      </c>
      <c r="G16162" t="s">
        <v>18108</v>
      </c>
      <c r="H16162" t="s">
        <v>33481</v>
      </c>
    </row>
    <row r="16163" spans="1:8">
      <c r="A16163" t="s">
        <v>2959</v>
      </c>
      <c r="B16163">
        <f>HYPERLINK("https://android.googlesource.com/platform/cts/+/1e43b6cce2f2ef858ff629ef4257ef63806f282b", "1e43b6cce2f2ef858ff629ef4257ef63806f282b")</f>
        <v>0</v>
      </c>
      <c r="C16163">
        <f>HYPERLINK("https://android.googlesource.com/platform/cts/+/9712816484bf3d3d0a1fb04e92d7b71fe3a13b99", "9712816484bf3d3d0a1fb04e92d7b71fe3a13b99")</f>
        <v>0</v>
      </c>
      <c r="D16163" t="s">
        <v>5486</v>
      </c>
      <c r="E16163" t="s">
        <v>8681</v>
      </c>
      <c r="F16163" t="s">
        <v>13722</v>
      </c>
      <c r="G16163" t="s">
        <v>17580</v>
      </c>
      <c r="H16163" t="s">
        <v>33482</v>
      </c>
    </row>
    <row r="16164" spans="1:8">
      <c r="F16164" t="s">
        <v>14116</v>
      </c>
      <c r="G16164" t="s">
        <v>17580</v>
      </c>
      <c r="H16164" t="s">
        <v>33482</v>
      </c>
    </row>
    <row r="16165" spans="1:8">
      <c r="F16165" t="s">
        <v>13723</v>
      </c>
      <c r="G16165" t="s">
        <v>17580</v>
      </c>
      <c r="H16165" t="s">
        <v>33482</v>
      </c>
    </row>
    <row r="16166" spans="1:8">
      <c r="A16166" t="s">
        <v>2962</v>
      </c>
      <c r="B16166">
        <f>HYPERLINK("https://android.googlesource.com/platform/cts/+/4b581c65323408e72fbf9f792f18c55f1b649cbd", "4b581c65323408e72fbf9f792f18c55f1b649cbd")</f>
        <v>0</v>
      </c>
      <c r="C16166">
        <f>HYPERLINK("https://android.googlesource.com/platform/cts/+/90339eda3754d3911490d3803017d47a5f878201", "90339eda3754d3911490d3803017d47a5f878201")</f>
        <v>0</v>
      </c>
      <c r="D16166" t="s">
        <v>5487</v>
      </c>
      <c r="E16166" t="s">
        <v>8684</v>
      </c>
      <c r="F16166" t="s">
        <v>14118</v>
      </c>
      <c r="G16166" t="s">
        <v>18110</v>
      </c>
      <c r="H16166" t="s">
        <v>33486</v>
      </c>
    </row>
    <row r="16167" spans="1:8">
      <c r="A16167" t="s">
        <v>2963</v>
      </c>
      <c r="B16167">
        <f>HYPERLINK("https://android.googlesource.com/platform/cts/+/66fa879db6446d8db03792c64a08e75d713579f1", "66fa879db6446d8db03792c64a08e75d713579f1")</f>
        <v>0</v>
      </c>
      <c r="C16167">
        <f>HYPERLINK("https://android.googlesource.com/platform/cts/+/c40a18b517c33888d1a19fff0fe32bd75d159bd2", "c40a18b517c33888d1a19fff0fe32bd75d159bd2")</f>
        <v>0</v>
      </c>
      <c r="D16167" t="s">
        <v>5448</v>
      </c>
      <c r="E16167" t="s">
        <v>8685</v>
      </c>
      <c r="F16167" t="s">
        <v>14098</v>
      </c>
      <c r="G16167" t="s">
        <v>18091</v>
      </c>
      <c r="H16167" t="s">
        <v>19013</v>
      </c>
    </row>
    <row r="16168" spans="1:8">
      <c r="H16168" t="s">
        <v>18835</v>
      </c>
    </row>
    <row r="16169" spans="1:8">
      <c r="H16169" t="s">
        <v>33404</v>
      </c>
    </row>
    <row r="16170" spans="1:8">
      <c r="A16170" t="s">
        <v>2965</v>
      </c>
      <c r="B16170">
        <f>HYPERLINK("https://android.googlesource.com/platform/cts/+/f0e4bb61a298b6053848c6c3ac9827e303dc89a2", "f0e4bb61a298b6053848c6c3ac9827e303dc89a2")</f>
        <v>0</v>
      </c>
      <c r="C16170">
        <f>HYPERLINK("https://android.googlesource.com/platform/cts/+/67e157a2005c36f0b507dc97ae571274cb9d605e", "67e157a2005c36f0b507dc97ae571274cb9d605e")</f>
        <v>0</v>
      </c>
      <c r="D16170" t="s">
        <v>5363</v>
      </c>
      <c r="E16170" t="s">
        <v>8687</v>
      </c>
      <c r="F16170" t="s">
        <v>14120</v>
      </c>
      <c r="G16170" t="s">
        <v>18111</v>
      </c>
      <c r="H16170" t="s">
        <v>33487</v>
      </c>
    </row>
    <row r="16171" spans="1:8">
      <c r="F16171" t="s">
        <v>12629</v>
      </c>
      <c r="G16171" t="s">
        <v>16838</v>
      </c>
      <c r="H16171" t="s">
        <v>33490</v>
      </c>
    </row>
    <row r="16172" spans="1:8">
      <c r="F16172" t="s">
        <v>12768</v>
      </c>
      <c r="G16172" t="s">
        <v>15710</v>
      </c>
      <c r="H16172" t="s">
        <v>33491</v>
      </c>
    </row>
    <row r="16173" spans="1:8">
      <c r="A16173" t="s">
        <v>2967</v>
      </c>
      <c r="B16173">
        <f>HYPERLINK("https://android.googlesource.com/platform/cts/+/da20dbe52d7259b027909eede924d3b9e400dbd9", "da20dbe52d7259b027909eede924d3b9e400dbd9")</f>
        <v>0</v>
      </c>
      <c r="C16173">
        <f>HYPERLINK("https://android.googlesource.com/platform/cts/+/fddfbf3850c18878fb46adbce0ef5f7e5412a842", "fddfbf3850c18878fb46adbce0ef5f7e5412a842")</f>
        <v>0</v>
      </c>
      <c r="D16173" t="s">
        <v>5108</v>
      </c>
      <c r="E16173" t="s">
        <v>8689</v>
      </c>
      <c r="F16173" t="s">
        <v>12629</v>
      </c>
      <c r="G16173" t="s">
        <v>16838</v>
      </c>
      <c r="H16173" t="s">
        <v>33494</v>
      </c>
    </row>
    <row r="16174" spans="1:8">
      <c r="H16174" t="s">
        <v>33495</v>
      </c>
    </row>
    <row r="16175" spans="1:8">
      <c r="H16175" t="s">
        <v>33496</v>
      </c>
    </row>
    <row r="16176" spans="1:8">
      <c r="F16176" t="s">
        <v>14122</v>
      </c>
      <c r="G16176" t="s">
        <v>18112</v>
      </c>
      <c r="H16176" t="s">
        <v>33499</v>
      </c>
    </row>
    <row r="16177" spans="1:8">
      <c r="F16177" t="s">
        <v>12768</v>
      </c>
      <c r="G16177" t="s">
        <v>15710</v>
      </c>
      <c r="H16177" t="s">
        <v>33500</v>
      </c>
    </row>
    <row r="16178" spans="1:8">
      <c r="H16178" t="s">
        <v>33501</v>
      </c>
    </row>
    <row r="16179" spans="1:8">
      <c r="H16179" t="s">
        <v>33502</v>
      </c>
    </row>
    <row r="16180" spans="1:8">
      <c r="H16180" t="s">
        <v>33503</v>
      </c>
    </row>
    <row r="16181" spans="1:8">
      <c r="A16181" t="s">
        <v>2969</v>
      </c>
      <c r="B16181">
        <f>HYPERLINK("https://android.googlesource.com/platform/cts/+/47aa1ec835ef5990491a11cb769b6c3eca8c7b1f", "47aa1ec835ef5990491a11cb769b6c3eca8c7b1f")</f>
        <v>0</v>
      </c>
      <c r="C16181">
        <f>HYPERLINK("https://android.googlesource.com/platform/cts/+/6a78e6af0a65f6a5680f6ddd51597c0fdee926c4", "6a78e6af0a65f6a5680f6ddd51597c0fdee926c4")</f>
        <v>0</v>
      </c>
      <c r="D16181" t="s">
        <v>5344</v>
      </c>
      <c r="E16181" t="s">
        <v>8691</v>
      </c>
      <c r="F16181" t="s">
        <v>14123</v>
      </c>
      <c r="G16181" t="s">
        <v>18113</v>
      </c>
      <c r="H16181" t="s">
        <v>33504</v>
      </c>
    </row>
    <row r="16182" spans="1:8">
      <c r="A16182" t="s">
        <v>2971</v>
      </c>
      <c r="B16182">
        <f>HYPERLINK("https://android.googlesource.com/platform/cts/+/71a57b7c6c8abec55c2b287d690dc93f68db5c7f", "71a57b7c6c8abec55c2b287d690dc93f68db5c7f")</f>
        <v>0</v>
      </c>
      <c r="C16182">
        <f>HYPERLINK("https://android.googlesource.com/platform/cts/+/25588b01bb0ecd945bdbe786c94f9504d905bbaf", "25588b01bb0ecd945bdbe786c94f9504d905bbaf")</f>
        <v>0</v>
      </c>
      <c r="D16182" t="s">
        <v>5481</v>
      </c>
      <c r="E16182" t="s">
        <v>8693</v>
      </c>
      <c r="F16182" t="s">
        <v>14124</v>
      </c>
      <c r="G16182" t="s">
        <v>18114</v>
      </c>
      <c r="H16182" t="s">
        <v>25959</v>
      </c>
    </row>
    <row r="16183" spans="1:8">
      <c r="A16183" t="s">
        <v>2973</v>
      </c>
      <c r="B16183">
        <f>HYPERLINK("https://android.googlesource.com/platform/cts/+/4c367c7abf65bf844bce8ecb65275636e35887f8", "4c367c7abf65bf844bce8ecb65275636e35887f8")</f>
        <v>0</v>
      </c>
      <c r="C16183">
        <f>HYPERLINK("https://android.googlesource.com/platform/cts/+/1d4f251412ebf449fb42221e6d3c7153523efb5c", "1d4f251412ebf449fb42221e6d3c7153523efb5c")</f>
        <v>0</v>
      </c>
      <c r="D16183" t="s">
        <v>5490</v>
      </c>
      <c r="E16183" t="s">
        <v>8695</v>
      </c>
      <c r="F16183" t="s">
        <v>13963</v>
      </c>
      <c r="G16183" t="s">
        <v>16440</v>
      </c>
      <c r="H16183" t="s">
        <v>33505</v>
      </c>
    </row>
    <row r="16184" spans="1:8">
      <c r="H16184" t="s">
        <v>33506</v>
      </c>
    </row>
    <row r="16185" spans="1:8">
      <c r="A16185" t="s">
        <v>2975</v>
      </c>
      <c r="B16185">
        <f>HYPERLINK("https://android.googlesource.com/platform/cts/+/2a735485806d9a21180e8df0a7a561b4487f2700", "2a735485806d9a21180e8df0a7a561b4487f2700")</f>
        <v>0</v>
      </c>
      <c r="C16185">
        <f>HYPERLINK("https://android.googlesource.com/platform/cts/+/20e40673e104f1b78355b5b0b0fd1a46a8b9f208", "20e40673e104f1b78355b5b0b0fd1a46a8b9f208")</f>
        <v>0</v>
      </c>
      <c r="D16185" t="s">
        <v>5463</v>
      </c>
      <c r="E16185" t="s">
        <v>8697</v>
      </c>
      <c r="F16185" t="s">
        <v>14125</v>
      </c>
      <c r="G16185" t="s">
        <v>18115</v>
      </c>
      <c r="H16185" t="s">
        <v>33507</v>
      </c>
    </row>
    <row r="16186" spans="1:8">
      <c r="H16186" t="s">
        <v>33508</v>
      </c>
    </row>
    <row r="16187" spans="1:8">
      <c r="H16187" t="s">
        <v>33509</v>
      </c>
    </row>
    <row r="16188" spans="1:8">
      <c r="A16188" t="s">
        <v>2977</v>
      </c>
      <c r="B16188">
        <f>HYPERLINK("https://android.googlesource.com/platform/cts/+/723aeefad279f4f9013b3e3153c3f85b7d56a67a", "723aeefad279f4f9013b3e3153c3f85b7d56a67a")</f>
        <v>0</v>
      </c>
      <c r="C16188">
        <f>HYPERLINK("https://android.googlesource.com/platform/cts/+/0fb562077c998f1fa90b0e3be5436bb122bf9b3c", "0fb562077c998f1fa90b0e3be5436bb122bf9b3c")</f>
        <v>0</v>
      </c>
      <c r="D16188" t="s">
        <v>5476</v>
      </c>
      <c r="E16188" t="s">
        <v>8699</v>
      </c>
      <c r="F16188" t="s">
        <v>14076</v>
      </c>
      <c r="G16188" t="s">
        <v>18074</v>
      </c>
      <c r="H16188" t="s">
        <v>33154</v>
      </c>
    </row>
    <row r="16189" spans="1:8">
      <c r="H16189" t="s">
        <v>33512</v>
      </c>
    </row>
    <row r="16190" spans="1:8">
      <c r="H16190" t="s">
        <v>33513</v>
      </c>
    </row>
    <row r="16191" spans="1:8">
      <c r="A16191" t="s">
        <v>2978</v>
      </c>
      <c r="B16191">
        <f>HYPERLINK("https://android.googlesource.com/platform/cts/+/74c2210ef071f2d4158e5e5acccb51102fb392c4", "74c2210ef071f2d4158e5e5acccb51102fb392c4")</f>
        <v>0</v>
      </c>
      <c r="C16191">
        <f>HYPERLINK("https://android.googlesource.com/platform/cts/+/89c79f0513e51b2173748bb449fa4d80eb3f6545", "89c79f0513e51b2173748bb449fa4d80eb3f6545")</f>
        <v>0</v>
      </c>
      <c r="D16191" t="s">
        <v>5360</v>
      </c>
      <c r="E16191" t="s">
        <v>8700</v>
      </c>
      <c r="F16191" t="s">
        <v>14126</v>
      </c>
      <c r="G16191" t="s">
        <v>18116</v>
      </c>
      <c r="H16191" t="s">
        <v>33514</v>
      </c>
    </row>
    <row r="16192" spans="1:8">
      <c r="H16192" t="s">
        <v>33515</v>
      </c>
    </row>
    <row r="16193" spans="1:8">
      <c r="H16193" t="s">
        <v>33516</v>
      </c>
    </row>
    <row r="16194" spans="1:8">
      <c r="H16194" t="s">
        <v>33517</v>
      </c>
    </row>
    <row r="16195" spans="1:8">
      <c r="A16195" t="s">
        <v>2983</v>
      </c>
      <c r="B16195">
        <f>HYPERLINK("https://android.googlesource.com/platform/cts/+/78bdfc83733db1b4e0f5dd8a3e1f9a6190a0dc45", "78bdfc83733db1b4e0f5dd8a3e1f9a6190a0dc45")</f>
        <v>0</v>
      </c>
      <c r="C16195">
        <f>HYPERLINK("https://android.googlesource.com/platform/cts/+/b4c535f5c12d68c2b56717a8b2f94753f6def9ac", "b4c535f5c12d68c2b56717a8b2f94753f6def9ac")</f>
        <v>0</v>
      </c>
      <c r="D16195" t="s">
        <v>5492</v>
      </c>
      <c r="E16195" t="s">
        <v>8705</v>
      </c>
      <c r="F16195" t="s">
        <v>13816</v>
      </c>
      <c r="G16195" t="s">
        <v>15089</v>
      </c>
      <c r="H16195" t="s">
        <v>33519</v>
      </c>
    </row>
    <row r="16196" spans="1:8">
      <c r="A16196" t="s">
        <v>2987</v>
      </c>
      <c r="B16196">
        <f>HYPERLINK("https://android.googlesource.com/platform/cts/+/3d8b67318fff2d0a96f05b869fd0d4d0d28e66b3", "3d8b67318fff2d0a96f05b869fd0d4d0d28e66b3")</f>
        <v>0</v>
      </c>
      <c r="C16196">
        <f>HYPERLINK("https://android.googlesource.com/platform/cts/+/bbef078ae4465a713348c1536a813c0a66f3541b", "bbef078ae4465a713348c1536a813c0a66f3541b")</f>
        <v>0</v>
      </c>
      <c r="D16196" t="s">
        <v>5122</v>
      </c>
      <c r="E16196" t="s">
        <v>8709</v>
      </c>
      <c r="F16196" t="s">
        <v>14129</v>
      </c>
      <c r="G16196" t="s">
        <v>18119</v>
      </c>
      <c r="H16196" t="s">
        <v>33523</v>
      </c>
    </row>
    <row r="16197" spans="1:8">
      <c r="A16197" t="s">
        <v>2990</v>
      </c>
      <c r="B16197">
        <f>HYPERLINK("https://android.googlesource.com/platform/cts/+/e6b660abc0148d556f18d25ec49a0eb91ce3386c", "e6b660abc0148d556f18d25ec49a0eb91ce3386c")</f>
        <v>0</v>
      </c>
      <c r="C16197">
        <f>HYPERLINK("https://android.googlesource.com/platform/cts/+/d687c4673aa37fc27c758f8fd4ef5e09b1ce6873", "d687c4673aa37fc27c758f8fd4ef5e09b1ce6873")</f>
        <v>0</v>
      </c>
      <c r="D16197" t="s">
        <v>5341</v>
      </c>
      <c r="E16197" t="s">
        <v>8712</v>
      </c>
      <c r="F16197" t="s">
        <v>12879</v>
      </c>
      <c r="G16197" t="s">
        <v>17046</v>
      </c>
      <c r="H16197" t="s">
        <v>20441</v>
      </c>
    </row>
    <row r="16198" spans="1:8">
      <c r="H16198" t="s">
        <v>26762</v>
      </c>
    </row>
    <row r="16199" spans="1:8">
      <c r="H16199" t="s">
        <v>33526</v>
      </c>
    </row>
    <row r="16200" spans="1:8">
      <c r="H16200" t="s">
        <v>33527</v>
      </c>
    </row>
    <row r="16201" spans="1:8">
      <c r="H16201" t="s">
        <v>33528</v>
      </c>
    </row>
    <row r="16202" spans="1:8">
      <c r="H16202" t="s">
        <v>33529</v>
      </c>
    </row>
    <row r="16203" spans="1:8">
      <c r="H16203" t="s">
        <v>33530</v>
      </c>
    </row>
    <row r="16204" spans="1:8">
      <c r="H16204" t="s">
        <v>33531</v>
      </c>
    </row>
    <row r="16205" spans="1:8">
      <c r="H16205" t="s">
        <v>33532</v>
      </c>
    </row>
    <row r="16206" spans="1:8">
      <c r="H16206" t="s">
        <v>33533</v>
      </c>
    </row>
    <row r="16207" spans="1:8">
      <c r="H16207" t="s">
        <v>33534</v>
      </c>
    </row>
    <row r="16208" spans="1:8">
      <c r="H16208" t="s">
        <v>33535</v>
      </c>
    </row>
    <row r="16209" spans="8:8">
      <c r="H16209" t="s">
        <v>33536</v>
      </c>
    </row>
    <row r="16210" spans="8:8">
      <c r="H16210" t="s">
        <v>33537</v>
      </c>
    </row>
    <row r="16211" spans="8:8">
      <c r="H16211" t="s">
        <v>33538</v>
      </c>
    </row>
    <row r="16212" spans="8:8">
      <c r="H16212" t="s">
        <v>33539</v>
      </c>
    </row>
    <row r="16213" spans="8:8">
      <c r="H16213" t="s">
        <v>33540</v>
      </c>
    </row>
    <row r="16214" spans="8:8">
      <c r="H16214" t="s">
        <v>33541</v>
      </c>
    </row>
    <row r="16215" spans="8:8">
      <c r="H16215" t="s">
        <v>33542</v>
      </c>
    </row>
    <row r="16216" spans="8:8">
      <c r="H16216" t="s">
        <v>33543</v>
      </c>
    </row>
    <row r="16217" spans="8:8">
      <c r="H16217" t="s">
        <v>33544</v>
      </c>
    </row>
    <row r="16218" spans="8:8">
      <c r="H16218" t="s">
        <v>33545</v>
      </c>
    </row>
    <row r="16219" spans="8:8">
      <c r="H16219" t="s">
        <v>33546</v>
      </c>
    </row>
    <row r="16220" spans="8:8">
      <c r="H16220" t="s">
        <v>33547</v>
      </c>
    </row>
    <row r="16221" spans="8:8">
      <c r="H16221" t="s">
        <v>33548</v>
      </c>
    </row>
    <row r="16222" spans="8:8">
      <c r="H16222" t="s">
        <v>33549</v>
      </c>
    </row>
    <row r="16223" spans="8:8">
      <c r="H16223" t="s">
        <v>28470</v>
      </c>
    </row>
    <row r="16224" spans="8:8">
      <c r="H16224" t="s">
        <v>33550</v>
      </c>
    </row>
    <row r="16225" spans="8:8">
      <c r="H16225" t="s">
        <v>33551</v>
      </c>
    </row>
    <row r="16226" spans="8:8">
      <c r="H16226" t="s">
        <v>33552</v>
      </c>
    </row>
    <row r="16227" spans="8:8">
      <c r="H16227" t="s">
        <v>33553</v>
      </c>
    </row>
    <row r="16228" spans="8:8">
      <c r="H16228" t="s">
        <v>33554</v>
      </c>
    </row>
    <row r="16229" spans="8:8">
      <c r="H16229" t="s">
        <v>33555</v>
      </c>
    </row>
    <row r="16230" spans="8:8">
      <c r="H16230" t="s">
        <v>33556</v>
      </c>
    </row>
    <row r="16231" spans="8:8">
      <c r="H16231" t="s">
        <v>33557</v>
      </c>
    </row>
    <row r="16232" spans="8:8">
      <c r="H16232" t="s">
        <v>33558</v>
      </c>
    </row>
    <row r="16233" spans="8:8">
      <c r="H16233" t="s">
        <v>33559</v>
      </c>
    </row>
    <row r="16234" spans="8:8">
      <c r="H16234" t="s">
        <v>33560</v>
      </c>
    </row>
    <row r="16235" spans="8:8">
      <c r="H16235" t="s">
        <v>33561</v>
      </c>
    </row>
    <row r="16236" spans="8:8">
      <c r="H16236" t="s">
        <v>33562</v>
      </c>
    </row>
    <row r="16237" spans="8:8">
      <c r="H16237" t="s">
        <v>33563</v>
      </c>
    </row>
    <row r="16238" spans="8:8">
      <c r="H16238" t="s">
        <v>33564</v>
      </c>
    </row>
    <row r="16239" spans="8:8">
      <c r="H16239" t="s">
        <v>33565</v>
      </c>
    </row>
    <row r="16240" spans="8:8">
      <c r="H16240" t="s">
        <v>33566</v>
      </c>
    </row>
    <row r="16241" spans="1:8">
      <c r="H16241" t="s">
        <v>33567</v>
      </c>
    </row>
    <row r="16242" spans="1:8">
      <c r="H16242" t="s">
        <v>33568</v>
      </c>
    </row>
    <row r="16243" spans="1:8">
      <c r="H16243" t="s">
        <v>33569</v>
      </c>
    </row>
    <row r="16244" spans="1:8">
      <c r="F16244" t="s">
        <v>14130</v>
      </c>
      <c r="G16244" t="s">
        <v>18120</v>
      </c>
      <c r="H16244" t="s">
        <v>33571</v>
      </c>
    </row>
    <row r="16245" spans="1:8">
      <c r="A16245" t="s">
        <v>2991</v>
      </c>
      <c r="B16245">
        <f>HYPERLINK("https://android.googlesource.com/platform/cts/+/fec2d1dfb5f1ddc103930f4a705f7dd966bf6b49", "fec2d1dfb5f1ddc103930f4a705f7dd966bf6b49")</f>
        <v>0</v>
      </c>
      <c r="C16245">
        <f>HYPERLINK("https://android.googlesource.com/platform/cts/+/33f6d5733bdf2042fe89ad965ad7e3825b854121", "33f6d5733bdf2042fe89ad965ad7e3825b854121")</f>
        <v>0</v>
      </c>
      <c r="D16245" t="s">
        <v>5195</v>
      </c>
      <c r="E16245" t="s">
        <v>8713</v>
      </c>
      <c r="F16245" t="s">
        <v>14024</v>
      </c>
      <c r="G16245" t="s">
        <v>16875</v>
      </c>
      <c r="H16245" t="s">
        <v>33609</v>
      </c>
    </row>
    <row r="16246" spans="1:8">
      <c r="A16246" t="s">
        <v>2994</v>
      </c>
      <c r="B16246">
        <f>HYPERLINK("https://android.googlesource.com/platform/cts/+/07ec0b1162c09a8adad532c897f044c0f43f70d9", "07ec0b1162c09a8adad532c897f044c0f43f70d9")</f>
        <v>0</v>
      </c>
      <c r="C16246">
        <f>HYPERLINK("https://android.googlesource.com/platform/cts/+/40cbd3cbf81766b620cdb1600d88c11f1e700da8", "40cbd3cbf81766b620cdb1600d88c11f1e700da8")</f>
        <v>0</v>
      </c>
      <c r="D16246" t="s">
        <v>5096</v>
      </c>
      <c r="E16246" t="s">
        <v>8716</v>
      </c>
      <c r="F16246" t="s">
        <v>14132</v>
      </c>
      <c r="G16246" t="s">
        <v>18121</v>
      </c>
      <c r="H16246" t="s">
        <v>33612</v>
      </c>
    </row>
    <row r="16247" spans="1:8">
      <c r="H16247" t="s">
        <v>33613</v>
      </c>
    </row>
    <row r="16248" spans="1:8">
      <c r="H16248" t="s">
        <v>33614</v>
      </c>
    </row>
    <row r="16249" spans="1:8">
      <c r="H16249" t="s">
        <v>33615</v>
      </c>
    </row>
    <row r="16250" spans="1:8">
      <c r="A16250" t="s">
        <v>2995</v>
      </c>
      <c r="B16250">
        <f>HYPERLINK("https://android.googlesource.com/platform/cts/+/ed7ce0b2f9bc903cb4cdd828edf365e486c65fc5", "ed7ce0b2f9bc903cb4cdd828edf365e486c65fc5")</f>
        <v>0</v>
      </c>
      <c r="C16250">
        <f>HYPERLINK("https://android.googlesource.com/platform/cts/+/4630d23d545e6cf9cf60ede4164831f5cbf7aac2", "4630d23d545e6cf9cf60ede4164831f5cbf7aac2")</f>
        <v>0</v>
      </c>
      <c r="D16250" t="s">
        <v>5494</v>
      </c>
      <c r="E16250" t="s">
        <v>8717</v>
      </c>
      <c r="F16250" t="s">
        <v>14133</v>
      </c>
      <c r="G16250" t="s">
        <v>18122</v>
      </c>
      <c r="H16250" t="s">
        <v>33616</v>
      </c>
    </row>
    <row r="16251" spans="1:8">
      <c r="A16251" t="s">
        <v>2996</v>
      </c>
      <c r="B16251">
        <f>HYPERLINK("https://android.googlesource.com/platform/cts/+/afe2cb7724238e7701217476b902476b31941b15", "afe2cb7724238e7701217476b902476b31941b15")</f>
        <v>0</v>
      </c>
      <c r="C16251">
        <f>HYPERLINK("https://android.googlesource.com/platform/cts/+/2eb0d988e136c3796b9eeb5aef28afac68818f99", "2eb0d988e136c3796b9eeb5aef28afac68818f99")</f>
        <v>0</v>
      </c>
      <c r="D16251" t="s">
        <v>4981</v>
      </c>
      <c r="E16251" t="s">
        <v>8718</v>
      </c>
      <c r="F16251" t="s">
        <v>13225</v>
      </c>
      <c r="G16251" t="s">
        <v>17366</v>
      </c>
      <c r="H16251" t="s">
        <v>33617</v>
      </c>
    </row>
    <row r="16252" spans="1:8">
      <c r="A16252" t="s">
        <v>2999</v>
      </c>
      <c r="B16252">
        <f>HYPERLINK("https://android.googlesource.com/platform/cts/+/c59a2981727e0193d4ba7582ee0457078dd5af75", "c59a2981727e0193d4ba7582ee0457078dd5af75")</f>
        <v>0</v>
      </c>
      <c r="C16252">
        <f>HYPERLINK("https://android.googlesource.com/platform/cts/+/c0db8660d95bf9a6e141066af5714327c09b94e4", "c0db8660d95bf9a6e141066af5714327c09b94e4")</f>
        <v>0</v>
      </c>
      <c r="D16252" t="s">
        <v>5485</v>
      </c>
      <c r="E16252" t="s">
        <v>8721</v>
      </c>
      <c r="F16252" t="s">
        <v>14135</v>
      </c>
      <c r="G16252" t="s">
        <v>18123</v>
      </c>
      <c r="H16252" t="s">
        <v>33621</v>
      </c>
    </row>
    <row r="16253" spans="1:8">
      <c r="H16253" t="s">
        <v>33622</v>
      </c>
    </row>
    <row r="16254" spans="1:8">
      <c r="A16254" t="s">
        <v>3000</v>
      </c>
      <c r="B16254">
        <f>HYPERLINK("https://android.googlesource.com/platform/cts/+/1c95db2e84448b7164068c4b401f17966f6945d1", "1c95db2e84448b7164068c4b401f17966f6945d1")</f>
        <v>0</v>
      </c>
      <c r="C16254">
        <f>HYPERLINK("https://android.googlesource.com/platform/cts/+/ff85d9614ee5b1350bad1d70d90fc844fe412030", "ff85d9614ee5b1350bad1d70d90fc844fe412030")</f>
        <v>0</v>
      </c>
      <c r="D16254" t="s">
        <v>5108</v>
      </c>
      <c r="E16254" t="s">
        <v>8722</v>
      </c>
      <c r="F16254" t="s">
        <v>14055</v>
      </c>
      <c r="G16254" t="s">
        <v>17339</v>
      </c>
      <c r="H16254" t="s">
        <v>22581</v>
      </c>
    </row>
    <row r="16255" spans="1:8">
      <c r="F16255" t="s">
        <v>12665</v>
      </c>
      <c r="G16255" t="s">
        <v>16870</v>
      </c>
      <c r="H16255" t="s">
        <v>22581</v>
      </c>
    </row>
    <row r="16256" spans="1:8">
      <c r="H16256" t="s">
        <v>32566</v>
      </c>
    </row>
    <row r="16257" spans="1:8">
      <c r="A16257" t="s">
        <v>3002</v>
      </c>
      <c r="B16257">
        <f>HYPERLINK("https://android.googlesource.com/platform/cts/+/c59890980266031bde48cae0e52cb07ecc5a5319", "c59890980266031bde48cae0e52cb07ecc5a5319")</f>
        <v>0</v>
      </c>
      <c r="C16257">
        <f>HYPERLINK("https://android.googlesource.com/platform/cts/+/49dacb566e75c8fec3ca38453d549dd6b9e3f964", "49dacb566e75c8fec3ca38453d549dd6b9e3f964")</f>
        <v>0</v>
      </c>
      <c r="D16257" t="s">
        <v>5472</v>
      </c>
      <c r="E16257" t="s">
        <v>8724</v>
      </c>
      <c r="F16257" t="s">
        <v>14136</v>
      </c>
      <c r="G16257" t="s">
        <v>18124</v>
      </c>
      <c r="H16257" t="s">
        <v>33623</v>
      </c>
    </row>
    <row r="16258" spans="1:8">
      <c r="F16258" t="s">
        <v>14137</v>
      </c>
      <c r="G16258" t="s">
        <v>18125</v>
      </c>
      <c r="H16258" t="s">
        <v>33624</v>
      </c>
    </row>
    <row r="16259" spans="1:8">
      <c r="F16259" t="s">
        <v>12743</v>
      </c>
      <c r="G16259" t="s">
        <v>16935</v>
      </c>
      <c r="H16259" t="s">
        <v>33623</v>
      </c>
    </row>
    <row r="16260" spans="1:8">
      <c r="H16260" t="s">
        <v>33624</v>
      </c>
    </row>
    <row r="16261" spans="1:8">
      <c r="F16261" t="s">
        <v>13136</v>
      </c>
      <c r="G16261" t="s">
        <v>17293</v>
      </c>
      <c r="H16261" t="s">
        <v>33623</v>
      </c>
    </row>
    <row r="16262" spans="1:8">
      <c r="H16262" t="s">
        <v>33624</v>
      </c>
    </row>
    <row r="16263" spans="1:8">
      <c r="F16263" t="s">
        <v>12745</v>
      </c>
      <c r="G16263" t="s">
        <v>16937</v>
      </c>
      <c r="H16263" t="s">
        <v>33624</v>
      </c>
    </row>
    <row r="16264" spans="1:8">
      <c r="A16264" t="s">
        <v>3003</v>
      </c>
      <c r="B16264">
        <f>HYPERLINK("https://android.googlesource.com/platform/cts/+/0506f98267f5134fb7b95a87caf8c62b08aba3d4", "0506f98267f5134fb7b95a87caf8c62b08aba3d4")</f>
        <v>0</v>
      </c>
      <c r="C16264">
        <f>HYPERLINK("https://android.googlesource.com/platform/cts/+/99fea9e2f95d2335ed2e9defd8ad3fda94e5ff39", "99fea9e2f95d2335ed2e9defd8ad3fda94e5ff39")</f>
        <v>0</v>
      </c>
      <c r="D16264" t="s">
        <v>5244</v>
      </c>
      <c r="E16264" t="s">
        <v>8725</v>
      </c>
      <c r="F16264" t="s">
        <v>14065</v>
      </c>
      <c r="G16264" t="s">
        <v>18063</v>
      </c>
      <c r="H16264" t="s">
        <v>33625</v>
      </c>
    </row>
    <row r="16265" spans="1:8">
      <c r="H16265" t="s">
        <v>33626</v>
      </c>
    </row>
    <row r="16266" spans="1:8">
      <c r="A16266" t="s">
        <v>3005</v>
      </c>
      <c r="B16266">
        <f>HYPERLINK("https://android.googlesource.com/platform/cts/+/8acdac579558fa133dbb661ed001366b324774f8", "8acdac579558fa133dbb661ed001366b324774f8")</f>
        <v>0</v>
      </c>
      <c r="C16266">
        <f>HYPERLINK("https://android.googlesource.com/platform/cts/+/64e116df3192299b266289f1b235fcab29317c6a", "64e116df3192299b266289f1b235fcab29317c6a")</f>
        <v>0</v>
      </c>
      <c r="D16266" t="s">
        <v>5495</v>
      </c>
      <c r="E16266" t="s">
        <v>8727</v>
      </c>
      <c r="F16266" t="s">
        <v>14138</v>
      </c>
      <c r="G16266" t="s">
        <v>18126</v>
      </c>
      <c r="H16266" t="s">
        <v>33627</v>
      </c>
    </row>
    <row r="16267" spans="1:8">
      <c r="H16267" t="s">
        <v>33628</v>
      </c>
    </row>
    <row r="16268" spans="1:8">
      <c r="H16268" t="s">
        <v>33629</v>
      </c>
    </row>
    <row r="16269" spans="1:8">
      <c r="H16269" t="s">
        <v>33630</v>
      </c>
    </row>
    <row r="16270" spans="1:8">
      <c r="F16270" t="s">
        <v>12629</v>
      </c>
      <c r="G16270" t="s">
        <v>16838</v>
      </c>
      <c r="H16270" t="s">
        <v>33627</v>
      </c>
    </row>
    <row r="16271" spans="1:8">
      <c r="F16271" t="s">
        <v>12768</v>
      </c>
      <c r="G16271" t="s">
        <v>15710</v>
      </c>
      <c r="H16271" t="s">
        <v>33632</v>
      </c>
    </row>
    <row r="16272" spans="1:8">
      <c r="H16272" t="s">
        <v>33633</v>
      </c>
    </row>
    <row r="16273" spans="1:8">
      <c r="A16273" t="s">
        <v>3006</v>
      </c>
      <c r="B16273">
        <f>HYPERLINK("https://android.googlesource.com/platform/cts/+/cc2df551525d564950c4b0c74dc265efa2c03034", "cc2df551525d564950c4b0c74dc265efa2c03034")</f>
        <v>0</v>
      </c>
      <c r="C16273">
        <f>HYPERLINK("https://android.googlesource.com/platform/cts/+/fbbeba6bb9268d1666eb85b4bd16e9fe7a4db140", "fbbeba6bb9268d1666eb85b4bd16e9fe7a4db140")</f>
        <v>0</v>
      </c>
      <c r="D16273" t="s">
        <v>5148</v>
      </c>
      <c r="E16273" t="s">
        <v>8728</v>
      </c>
      <c r="F16273" t="s">
        <v>14139</v>
      </c>
      <c r="G16273" t="s">
        <v>18127</v>
      </c>
      <c r="H16273" t="s">
        <v>33634</v>
      </c>
    </row>
    <row r="16274" spans="1:8">
      <c r="A16274" t="s">
        <v>3007</v>
      </c>
      <c r="B16274">
        <f>HYPERLINK("https://android.googlesource.com/platform/cts/+/b82dca1add69f1c61444f027b40a540b25801dca", "b82dca1add69f1c61444f027b40a540b25801dca")</f>
        <v>0</v>
      </c>
      <c r="C16274">
        <f>HYPERLINK("https://android.googlesource.com/platform/cts/+/9746968f7fa01dca0b56ea0dc65e7f0a0d6ff2e1", "9746968f7fa01dca0b56ea0dc65e7f0a0d6ff2e1")</f>
        <v>0</v>
      </c>
      <c r="D16274" t="s">
        <v>5344</v>
      </c>
      <c r="E16274" t="s">
        <v>8729</v>
      </c>
      <c r="F16274" t="s">
        <v>13402</v>
      </c>
      <c r="G16274" t="s">
        <v>17528</v>
      </c>
      <c r="H16274" t="s">
        <v>33635</v>
      </c>
    </row>
    <row r="16275" spans="1:8">
      <c r="A16275" t="s">
        <v>3008</v>
      </c>
      <c r="B16275">
        <f>HYPERLINK("https://android.googlesource.com/platform/cts/+/97bf764630ad899ff7a179042dd9727117413bdc", "97bf764630ad899ff7a179042dd9727117413bdc")</f>
        <v>0</v>
      </c>
      <c r="C16275">
        <f>HYPERLINK("https://android.googlesource.com/platform/cts/+/0846894b0d4b1e6bcbc00d53a482279064843dc7", "0846894b0d4b1e6bcbc00d53a482279064843dc7")</f>
        <v>0</v>
      </c>
      <c r="D16275" t="s">
        <v>5263</v>
      </c>
      <c r="E16275" t="s">
        <v>8730</v>
      </c>
      <c r="F16275" t="s">
        <v>14140</v>
      </c>
      <c r="G16275" t="s">
        <v>18128</v>
      </c>
      <c r="H16275" t="s">
        <v>33636</v>
      </c>
    </row>
    <row r="16276" spans="1:8">
      <c r="A16276" t="s">
        <v>3009</v>
      </c>
      <c r="B16276">
        <f>HYPERLINK("https://android.googlesource.com/platform/cts/+/8fee40a9bd3333c1db63a55abb5b692ae59b9a90", "8fee40a9bd3333c1db63a55abb5b692ae59b9a90")</f>
        <v>0</v>
      </c>
      <c r="C16276">
        <f>HYPERLINK("https://android.googlesource.com/platform/cts/+/daa081af3c6243d1e7a65abe1c729f33da26b028", "daa081af3c6243d1e7a65abe1c729f33da26b028")</f>
        <v>0</v>
      </c>
      <c r="D16276" t="s">
        <v>5353</v>
      </c>
      <c r="E16276" t="s">
        <v>8731</v>
      </c>
      <c r="F16276" t="s">
        <v>12809</v>
      </c>
      <c r="G16276" t="s">
        <v>16990</v>
      </c>
      <c r="H16276" t="s">
        <v>33637</v>
      </c>
    </row>
    <row r="16277" spans="1:8">
      <c r="F16277" t="s">
        <v>12771</v>
      </c>
      <c r="G16277" t="s">
        <v>16958</v>
      </c>
      <c r="H16277" t="s">
        <v>33637</v>
      </c>
    </row>
    <row r="16278" spans="1:8">
      <c r="A16278" t="s">
        <v>3011</v>
      </c>
      <c r="B16278">
        <f>HYPERLINK("https://android.googlesource.com/platform/cts/+/5b8ca384dcf6af547fd90c907ec9cabe90acd9dc", "5b8ca384dcf6af547fd90c907ec9cabe90acd9dc")</f>
        <v>0</v>
      </c>
      <c r="C16278">
        <f>HYPERLINK("https://android.googlesource.com/platform/cts/+/a02c4a8a6a9327903b95bb2072d7cee70e4b4650", "a02c4a8a6a9327903b95bb2072d7cee70e4b4650")</f>
        <v>0</v>
      </c>
      <c r="D16278" t="s">
        <v>5492</v>
      </c>
      <c r="E16278" t="s">
        <v>8733</v>
      </c>
      <c r="F16278" t="s">
        <v>13816</v>
      </c>
      <c r="G16278" t="s">
        <v>15089</v>
      </c>
      <c r="H16278" t="s">
        <v>33638</v>
      </c>
    </row>
    <row r="16279" spans="1:8">
      <c r="A16279" t="s">
        <v>3013</v>
      </c>
      <c r="B16279">
        <f>HYPERLINK("https://android.googlesource.com/platform/cts/+/8b3e3b39a1311c8934cc694498f5c853671f8039", "8b3e3b39a1311c8934cc694498f5c853671f8039")</f>
        <v>0</v>
      </c>
      <c r="C16279">
        <f>HYPERLINK("https://android.googlesource.com/platform/cts/+/79a22b0f5a7cbfd439918824b05197a19ce2ac62", "79a22b0f5a7cbfd439918824b05197a19ce2ac62")</f>
        <v>0</v>
      </c>
      <c r="D16279" t="s">
        <v>5374</v>
      </c>
      <c r="E16279" t="s">
        <v>8735</v>
      </c>
      <c r="F16279" t="s">
        <v>13165</v>
      </c>
      <c r="G16279" t="s">
        <v>17315</v>
      </c>
      <c r="H16279" t="s">
        <v>33646</v>
      </c>
    </row>
    <row r="16280" spans="1:8">
      <c r="A16280" t="s">
        <v>3015</v>
      </c>
      <c r="B16280">
        <f>HYPERLINK("https://android.googlesource.com/platform/cts/+/d21fb436ed0a5b65715f57f6858b03db6dd5cd42", "d21fb436ed0a5b65715f57f6858b03db6dd5cd42")</f>
        <v>0</v>
      </c>
      <c r="C16280">
        <f>HYPERLINK("https://android.googlesource.com/platform/cts/+/6513f90f1830a14c3206d7fef00e2ea74092b327", "6513f90f1830a14c3206d7fef00e2ea74092b327")</f>
        <v>0</v>
      </c>
      <c r="D16280" t="s">
        <v>5096</v>
      </c>
      <c r="E16280" t="s">
        <v>8737</v>
      </c>
      <c r="F16280" t="s">
        <v>14143</v>
      </c>
      <c r="G16280" t="s">
        <v>18131</v>
      </c>
      <c r="H16280" t="s">
        <v>33647</v>
      </c>
    </row>
    <row r="16281" spans="1:8">
      <c r="A16281" t="s">
        <v>3016</v>
      </c>
      <c r="B16281">
        <f>HYPERLINK("https://android.googlesource.com/platform/cts/+/742d846d447c0cbe14b7ec23ef9a6b4a1937c2db", "742d846d447c0cbe14b7ec23ef9a6b4a1937c2db")</f>
        <v>0</v>
      </c>
      <c r="C16281">
        <f>HYPERLINK("https://android.googlesource.com/platform/cts/+/4b78bcd343e24277b30b90ae0fbabc01ecd38c60", "4b78bcd343e24277b30b90ae0fbabc01ecd38c60")</f>
        <v>0</v>
      </c>
      <c r="D16281" t="s">
        <v>5389</v>
      </c>
      <c r="E16281" t="s">
        <v>8738</v>
      </c>
      <c r="F16281" t="s">
        <v>12897</v>
      </c>
      <c r="G16281" t="s">
        <v>16824</v>
      </c>
      <c r="H16281" t="s">
        <v>33648</v>
      </c>
    </row>
    <row r="16282" spans="1:8">
      <c r="F16282" t="s">
        <v>13992</v>
      </c>
      <c r="G16282" t="s">
        <v>16620</v>
      </c>
      <c r="H16282" t="s">
        <v>33650</v>
      </c>
    </row>
    <row r="16283" spans="1:8">
      <c r="H16283" t="s">
        <v>33651</v>
      </c>
    </row>
    <row r="16284" spans="1:8">
      <c r="F16284" t="s">
        <v>13816</v>
      </c>
      <c r="G16284" t="s">
        <v>15089</v>
      </c>
      <c r="H16284" t="s">
        <v>33652</v>
      </c>
    </row>
    <row r="16285" spans="1:8">
      <c r="H16285" t="s">
        <v>33653</v>
      </c>
    </row>
    <row r="16286" spans="1:8">
      <c r="H16286" t="s">
        <v>33654</v>
      </c>
    </row>
    <row r="16287" spans="1:8">
      <c r="H16287" t="s">
        <v>33655</v>
      </c>
    </row>
    <row r="16288" spans="1:8">
      <c r="A16288" t="s">
        <v>3017</v>
      </c>
      <c r="B16288">
        <f>HYPERLINK("https://android.googlesource.com/platform/cts/+/10c0c6699cdabec767a07c80962ab1f6def98ec7", "10c0c6699cdabec767a07c80962ab1f6def98ec7")</f>
        <v>0</v>
      </c>
      <c r="C16288">
        <f>HYPERLINK("https://android.googlesource.com/platform/cts/+/c09f046a08ac7e71f927aab69a6c33443ae8358f", "c09f046a08ac7e71f927aab69a6c33443ae8358f")</f>
        <v>0</v>
      </c>
      <c r="D16288" t="s">
        <v>5496</v>
      </c>
      <c r="E16288" t="s">
        <v>8739</v>
      </c>
      <c r="F16288" t="s">
        <v>14144</v>
      </c>
      <c r="G16288" t="s">
        <v>18132</v>
      </c>
      <c r="H16288" t="s">
        <v>33658</v>
      </c>
    </row>
    <row r="16289" spans="1:8">
      <c r="H16289" t="s">
        <v>33659</v>
      </c>
    </row>
    <row r="16290" spans="1:8">
      <c r="A16290" t="s">
        <v>3020</v>
      </c>
      <c r="B16290">
        <f>HYPERLINK("https://android.googlesource.com/platform/cts/+/387842de5107d186619035483e89b40e97c49757", "387842de5107d186619035483e89b40e97c49757")</f>
        <v>0</v>
      </c>
      <c r="C16290">
        <f>HYPERLINK("https://android.googlesource.com/platform/cts/+/56a12fbf6b7362c8801ae7d58b253ffa1fd30ef0", "56a12fbf6b7362c8801ae7d58b253ffa1fd30ef0")</f>
        <v>0</v>
      </c>
      <c r="D16290" t="s">
        <v>5374</v>
      </c>
      <c r="E16290" t="s">
        <v>8742</v>
      </c>
      <c r="F16290" t="s">
        <v>12733</v>
      </c>
      <c r="G16290" t="s">
        <v>16854</v>
      </c>
      <c r="H16290" t="s">
        <v>33661</v>
      </c>
    </row>
    <row r="16291" spans="1:8">
      <c r="H16291" t="s">
        <v>33662</v>
      </c>
    </row>
    <row r="16292" spans="1:8">
      <c r="A16292" t="s">
        <v>3021</v>
      </c>
      <c r="B16292">
        <f>HYPERLINK("https://android.googlesource.com/platform/cts/+/edacbc2d13ac5ba68863a10f1e7cd2b331d7ed0c", "edacbc2d13ac5ba68863a10f1e7cd2b331d7ed0c")</f>
        <v>0</v>
      </c>
      <c r="C16292">
        <f>HYPERLINK("https://android.googlesource.com/platform/cts/+/4517d6673ca6fb5f335ecfc2df0a5ff34a5c1cf1", "4517d6673ca6fb5f335ecfc2df0a5ff34a5c1cf1")</f>
        <v>0</v>
      </c>
      <c r="D16292" t="s">
        <v>5498</v>
      </c>
      <c r="E16292" t="s">
        <v>8743</v>
      </c>
      <c r="F16292" t="s">
        <v>14147</v>
      </c>
      <c r="G16292" t="s">
        <v>18135</v>
      </c>
      <c r="H16292" t="s">
        <v>19175</v>
      </c>
    </row>
    <row r="16293" spans="1:8">
      <c r="H16293" t="s">
        <v>33663</v>
      </c>
    </row>
    <row r="16294" spans="1:8">
      <c r="A16294" t="s">
        <v>3024</v>
      </c>
      <c r="B16294">
        <f>HYPERLINK("https://android.googlesource.com/platform/cts/+/f912225e90b6a2b605c0ee284575859fb800fb4e", "f912225e90b6a2b605c0ee284575859fb800fb4e")</f>
        <v>0</v>
      </c>
      <c r="C16294">
        <f>HYPERLINK("https://android.googlesource.com/platform/cts/+/69a1926280355194514a78960c461f259516c998", "69a1926280355194514a78960c461f259516c998")</f>
        <v>0</v>
      </c>
      <c r="D16294" t="s">
        <v>5396</v>
      </c>
      <c r="E16294" t="s">
        <v>8746</v>
      </c>
      <c r="F16294" t="s">
        <v>14051</v>
      </c>
      <c r="G16294" t="s">
        <v>18050</v>
      </c>
      <c r="H16294" t="s">
        <v>33666</v>
      </c>
    </row>
    <row r="16295" spans="1:8">
      <c r="H16295" t="s">
        <v>33667</v>
      </c>
    </row>
    <row r="16296" spans="1:8">
      <c r="A16296" t="s">
        <v>3026</v>
      </c>
      <c r="B16296">
        <f>HYPERLINK("https://android.googlesource.com/platform/cts/+/1dccf8810dbf5fc9e14a0a1f9f290bfe57da6a58", "1dccf8810dbf5fc9e14a0a1f9f290bfe57da6a58")</f>
        <v>0</v>
      </c>
      <c r="C16296">
        <f>HYPERLINK("https://android.googlesource.com/platform/cts/+/aa9cdd2beeeb2f44c0d299464a092f66b12a39b1", "aa9cdd2beeeb2f44c0d299464a092f66b12a39b1")</f>
        <v>0</v>
      </c>
      <c r="D16296" t="s">
        <v>5135</v>
      </c>
      <c r="E16296" t="s">
        <v>8748</v>
      </c>
      <c r="F16296" t="s">
        <v>12772</v>
      </c>
      <c r="G16296" t="s">
        <v>16543</v>
      </c>
      <c r="H16296" t="s">
        <v>33668</v>
      </c>
    </row>
    <row r="16297" spans="1:8">
      <c r="A16297" t="s">
        <v>3028</v>
      </c>
      <c r="B16297">
        <f>HYPERLINK("https://android.googlesource.com/platform/cts/+/671791634ad0eecd56c6fed3bd3ed16257676267", "671791634ad0eecd56c6fed3bd3ed16257676267")</f>
        <v>0</v>
      </c>
      <c r="C16297">
        <f>HYPERLINK("https://android.googlesource.com/platform/cts/+/d87e04f2caa693daa3f1eeae9eb5f94b32278825", "d87e04f2caa693daa3f1eeae9eb5f94b32278825")</f>
        <v>0</v>
      </c>
      <c r="D16297" t="s">
        <v>5051</v>
      </c>
      <c r="E16297" t="s">
        <v>8750</v>
      </c>
      <c r="F16297" t="s">
        <v>14149</v>
      </c>
      <c r="G16297" t="s">
        <v>18137</v>
      </c>
      <c r="H16297" t="s">
        <v>33671</v>
      </c>
    </row>
    <row r="16298" spans="1:8">
      <c r="A16298" t="s">
        <v>3031</v>
      </c>
      <c r="B16298">
        <f>HYPERLINK("https://android.googlesource.com/platform/cts/+/d2e0b3bda26616429d5e3e6a5960cffa50950a35", "d2e0b3bda26616429d5e3e6a5960cffa50950a35")</f>
        <v>0</v>
      </c>
      <c r="C16298">
        <f>HYPERLINK("https://android.googlesource.com/platform/cts/+/69a1926280355194514a78960c461f259516c998", "69a1926280355194514a78960c461f259516c998")</f>
        <v>0</v>
      </c>
      <c r="D16298" t="s">
        <v>5465</v>
      </c>
      <c r="E16298" t="s">
        <v>8753</v>
      </c>
      <c r="F16298" t="s">
        <v>14152</v>
      </c>
      <c r="G16298" t="s">
        <v>18052</v>
      </c>
      <c r="H16298" t="s">
        <v>33674</v>
      </c>
    </row>
    <row r="16299" spans="1:8">
      <c r="F16299" t="s">
        <v>14153</v>
      </c>
      <c r="G16299" t="s">
        <v>18140</v>
      </c>
      <c r="H16299" t="s">
        <v>33674</v>
      </c>
    </row>
    <row r="16300" spans="1:8">
      <c r="A16300" t="s">
        <v>3032</v>
      </c>
      <c r="B16300">
        <f>HYPERLINK("https://android.googlesource.com/platform/cts/+/6425a32f2ca122e2c926e4c6e65a6ebe58e3ff1d", "6425a32f2ca122e2c926e4c6e65a6ebe58e3ff1d")</f>
        <v>0</v>
      </c>
      <c r="C16300">
        <f>HYPERLINK("https://android.googlesource.com/platform/cts/+/ac88cea396505f1ca96c9b80fc247fe96eaa0e5c", "ac88cea396505f1ca96c9b80fc247fe96eaa0e5c")</f>
        <v>0</v>
      </c>
      <c r="D16300" t="s">
        <v>4978</v>
      </c>
      <c r="E16300" t="s">
        <v>8754</v>
      </c>
      <c r="F16300" t="s">
        <v>13391</v>
      </c>
      <c r="G16300" t="s">
        <v>17517</v>
      </c>
      <c r="H16300" t="s">
        <v>33675</v>
      </c>
    </row>
    <row r="16301" spans="1:8">
      <c r="A16301" t="s">
        <v>3036</v>
      </c>
      <c r="B16301">
        <f>HYPERLINK("https://android.googlesource.com/platform/cts/+/f87f3afff210800fb6e920309fd15885d751496c", "f87f3afff210800fb6e920309fd15885d751496c")</f>
        <v>0</v>
      </c>
      <c r="C16301">
        <f>HYPERLINK("https://android.googlesource.com/platform/cts/+/f4f834af0a88e2a4d6f1d3d8358ce00f98fea8b0", "f4f834af0a88e2a4d6f1d3d8358ce00f98fea8b0")</f>
        <v>0</v>
      </c>
      <c r="D16301" t="s">
        <v>5471</v>
      </c>
      <c r="E16301" t="s">
        <v>8758</v>
      </c>
      <c r="F16301" t="s">
        <v>14154</v>
      </c>
      <c r="G16301" t="s">
        <v>18141</v>
      </c>
      <c r="H16301" t="s">
        <v>33676</v>
      </c>
    </row>
    <row r="16302" spans="1:8">
      <c r="H16302" t="s">
        <v>33677</v>
      </c>
    </row>
    <row r="16303" spans="1:8">
      <c r="H16303" t="s">
        <v>33678</v>
      </c>
    </row>
    <row r="16304" spans="1:8">
      <c r="H16304" t="s">
        <v>33679</v>
      </c>
    </row>
    <row r="16305" spans="1:8">
      <c r="H16305" t="s">
        <v>33680</v>
      </c>
    </row>
    <row r="16306" spans="1:8">
      <c r="H16306" t="s">
        <v>33681</v>
      </c>
    </row>
    <row r="16307" spans="1:8">
      <c r="H16307" t="s">
        <v>33682</v>
      </c>
    </row>
    <row r="16308" spans="1:8">
      <c r="A16308" t="s">
        <v>3038</v>
      </c>
      <c r="B16308">
        <f>HYPERLINK("https://android.googlesource.com/platform/cts/+/058149f4bd769f8360dea00453060a4c96958f5a", "058149f4bd769f8360dea00453060a4c96958f5a")</f>
        <v>0</v>
      </c>
      <c r="C16308">
        <f>HYPERLINK("https://android.googlesource.com/platform/cts/+/a1415c6288634c2f65c0dbfe021c57e08dc4a282", "a1415c6288634c2f65c0dbfe021c57e08dc4a282")</f>
        <v>0</v>
      </c>
      <c r="D16308" t="s">
        <v>5435</v>
      </c>
      <c r="E16308" t="s">
        <v>8760</v>
      </c>
      <c r="F16308" t="s">
        <v>13716</v>
      </c>
      <c r="G16308" t="s">
        <v>17783</v>
      </c>
      <c r="H16308" t="s">
        <v>33685</v>
      </c>
    </row>
    <row r="16309" spans="1:8">
      <c r="A16309" t="s">
        <v>3039</v>
      </c>
      <c r="B16309">
        <f>HYPERLINK("https://android.googlesource.com/platform/cts/+/8e8b5e7380f5f1828cdb0eace3cbac0069aff72a", "8e8b5e7380f5f1828cdb0eace3cbac0069aff72a")</f>
        <v>0</v>
      </c>
      <c r="C16309">
        <f>HYPERLINK("https://android.googlesource.com/platform/cts/+/a1415c6288634c2f65c0dbfe021c57e08dc4a282", "a1415c6288634c2f65c0dbfe021c57e08dc4a282")</f>
        <v>0</v>
      </c>
      <c r="D16309" t="s">
        <v>5435</v>
      </c>
      <c r="E16309" t="s">
        <v>8761</v>
      </c>
      <c r="F16309" t="s">
        <v>13716</v>
      </c>
      <c r="G16309" t="s">
        <v>17783</v>
      </c>
      <c r="H16309" t="s">
        <v>33686</v>
      </c>
    </row>
    <row r="16310" spans="1:8">
      <c r="A16310" t="s">
        <v>3044</v>
      </c>
      <c r="B16310">
        <f>HYPERLINK("https://android.googlesource.com/platform/cts/+/d4db34f465c85f167865cf8b6ecdb3ecfd572a21", "d4db34f465c85f167865cf8b6ecdb3ecfd572a21")</f>
        <v>0</v>
      </c>
      <c r="C16310">
        <f>HYPERLINK("https://android.googlesource.com/platform/cts/+/af74220edc1e298281c848be5fc96f60ffe404d3", "af74220edc1e298281c848be5fc96f60ffe404d3")</f>
        <v>0</v>
      </c>
      <c r="D16310" t="s">
        <v>5465</v>
      </c>
      <c r="E16310" t="s">
        <v>8766</v>
      </c>
      <c r="F16310" t="s">
        <v>14153</v>
      </c>
      <c r="G16310" t="s">
        <v>18140</v>
      </c>
      <c r="H16310" t="s">
        <v>33688</v>
      </c>
    </row>
    <row r="16311" spans="1:8">
      <c r="A16311" t="s">
        <v>3047</v>
      </c>
      <c r="B16311">
        <f>HYPERLINK("https://android.googlesource.com/platform/cts/+/ca9d3af9ccf2479eef230a6ef5ea84ee6455661e", "ca9d3af9ccf2479eef230a6ef5ea84ee6455661e")</f>
        <v>0</v>
      </c>
      <c r="C16311">
        <f>HYPERLINK("https://android.googlesource.com/platform/cts/+/18fffbf71aed8a1435b2bfd6ba5b08f0c9f9d6ae", "18fffbf71aed8a1435b2bfd6ba5b08f0c9f9d6ae")</f>
        <v>0</v>
      </c>
      <c r="D16311" t="s">
        <v>5447</v>
      </c>
      <c r="E16311" t="s">
        <v>8769</v>
      </c>
      <c r="F16311" t="s">
        <v>14086</v>
      </c>
      <c r="G16311" t="s">
        <v>18082</v>
      </c>
      <c r="H16311" t="s">
        <v>33690</v>
      </c>
    </row>
    <row r="16312" spans="1:8">
      <c r="A16312" t="s">
        <v>3048</v>
      </c>
      <c r="B16312">
        <f>HYPERLINK("https://android.googlesource.com/platform/cts/+/c06aeddcf97e2beb2f113e3df81e1def41ddeeeb", "c06aeddcf97e2beb2f113e3df81e1def41ddeeeb")</f>
        <v>0</v>
      </c>
      <c r="C16312">
        <f>HYPERLINK("https://android.googlesource.com/platform/cts/+/6968a6fb322d66626667f5731fe94253eeada3fe", "6968a6fb322d66626667f5731fe94253eeada3fe")</f>
        <v>0</v>
      </c>
      <c r="D16312" t="s">
        <v>5374</v>
      </c>
      <c r="E16312" t="s">
        <v>8770</v>
      </c>
      <c r="F16312" t="s">
        <v>13165</v>
      </c>
      <c r="G16312" t="s">
        <v>17315</v>
      </c>
      <c r="H16312" t="s">
        <v>33691</v>
      </c>
    </row>
    <row r="16313" spans="1:8">
      <c r="H16313" t="s">
        <v>33692</v>
      </c>
    </row>
    <row r="16314" spans="1:8">
      <c r="H16314" t="s">
        <v>33693</v>
      </c>
    </row>
    <row r="16315" spans="1:8">
      <c r="H16315" t="s">
        <v>33694</v>
      </c>
    </row>
    <row r="16316" spans="1:8">
      <c r="H16316" t="s">
        <v>33695</v>
      </c>
    </row>
    <row r="16317" spans="1:8">
      <c r="A16317" t="s">
        <v>3049</v>
      </c>
      <c r="B16317">
        <f>HYPERLINK("https://android.googlesource.com/platform/cts/+/853aaaf849d3c58a7d2e8532ec59004892c8d023", "853aaaf849d3c58a7d2e8532ec59004892c8d023")</f>
        <v>0</v>
      </c>
      <c r="C16317">
        <f>HYPERLINK("https://android.googlesource.com/platform/cts/+/18fffbf71aed8a1435b2bfd6ba5b08f0c9f9d6ae", "18fffbf71aed8a1435b2bfd6ba5b08f0c9f9d6ae")</f>
        <v>0</v>
      </c>
      <c r="D16317" t="s">
        <v>5454</v>
      </c>
      <c r="E16317" t="s">
        <v>8771</v>
      </c>
      <c r="F16317" t="s">
        <v>14124</v>
      </c>
      <c r="G16317" t="s">
        <v>18114</v>
      </c>
      <c r="H16317" t="s">
        <v>33696</v>
      </c>
    </row>
    <row r="16318" spans="1:8">
      <c r="A16318" t="s">
        <v>3050</v>
      </c>
      <c r="B16318">
        <f>HYPERLINK("https://android.googlesource.com/platform/cts/+/8e9d03a790a41afc0868c32dc423da01d62f7874", "8e9d03a790a41afc0868c32dc423da01d62f7874")</f>
        <v>0</v>
      </c>
      <c r="C16318">
        <f>HYPERLINK("https://android.googlesource.com/platform/cts/+/4fca2c3c3aa9b3b39b634f57b965388f047a3925", "4fca2c3c3aa9b3b39b634f57b965388f047a3925")</f>
        <v>0</v>
      </c>
      <c r="D16318" t="s">
        <v>5419</v>
      </c>
      <c r="E16318" t="s">
        <v>8772</v>
      </c>
      <c r="F16318" t="s">
        <v>10595</v>
      </c>
      <c r="G16318" t="s">
        <v>14998</v>
      </c>
      <c r="H16318" t="s">
        <v>33697</v>
      </c>
    </row>
    <row r="16319" spans="1:8">
      <c r="A16319" t="s">
        <v>3054</v>
      </c>
      <c r="B16319">
        <f>HYPERLINK("https://android.googlesource.com/platform/cts/+/d8dad41fd038dc63bf32b0b3f58cd8c6ff8bddcc", "d8dad41fd038dc63bf32b0b3f58cd8c6ff8bddcc")</f>
        <v>0</v>
      </c>
      <c r="C16319">
        <f>HYPERLINK("https://android.googlesource.com/platform/cts/+/f97071794ea4366287903f618051bf5a011a5d4e", "f97071794ea4366287903f618051bf5a011a5d4e")</f>
        <v>0</v>
      </c>
      <c r="D16319" t="s">
        <v>5474</v>
      </c>
      <c r="E16319" t="s">
        <v>8776</v>
      </c>
      <c r="F16319" t="s">
        <v>14160</v>
      </c>
      <c r="G16319" t="s">
        <v>18146</v>
      </c>
      <c r="H16319" t="s">
        <v>33699</v>
      </c>
    </row>
    <row r="16320" spans="1:8">
      <c r="H16320" t="s">
        <v>33700</v>
      </c>
    </row>
    <row r="16321" spans="1:8">
      <c r="H16321" t="s">
        <v>32314</v>
      </c>
    </row>
    <row r="16322" spans="1:8">
      <c r="A16322" t="s">
        <v>3059</v>
      </c>
      <c r="B16322">
        <f>HYPERLINK("https://android.googlesource.com/platform/cts/+/d670540224578c52d62d8459d7a997d52b2b4c62", "d670540224578c52d62d8459d7a997d52b2b4c62")</f>
        <v>0</v>
      </c>
      <c r="C16322">
        <f>HYPERLINK("https://android.googlesource.com/platform/cts/+/a71306e7a3f123317b0ac054f885050e58b9ca6a", "a71306e7a3f123317b0ac054f885050e58b9ca6a")</f>
        <v>0</v>
      </c>
      <c r="D16322" t="s">
        <v>5334</v>
      </c>
      <c r="E16322" t="s">
        <v>8781</v>
      </c>
      <c r="F16322" t="s">
        <v>12629</v>
      </c>
      <c r="G16322" t="s">
        <v>16838</v>
      </c>
      <c r="H16322" t="s">
        <v>33704</v>
      </c>
    </row>
    <row r="16323" spans="1:8">
      <c r="F16323" t="s">
        <v>14122</v>
      </c>
      <c r="G16323" t="s">
        <v>18112</v>
      </c>
      <c r="H16323" t="s">
        <v>33039</v>
      </c>
    </row>
    <row r="16324" spans="1:8">
      <c r="A16324" t="s">
        <v>3060</v>
      </c>
      <c r="B16324">
        <f>HYPERLINK("https://android.googlesource.com/platform/cts/+/4745d6930f24693c26011be5f0463cbe48be0816", "4745d6930f24693c26011be5f0463cbe48be0816")</f>
        <v>0</v>
      </c>
      <c r="C16324">
        <f>HYPERLINK("https://android.googlesource.com/platform/cts/+/8563ca4cde28aaf9b0415b4809ef3359f1eeee20", "8563ca4cde28aaf9b0415b4809ef3359f1eeee20")</f>
        <v>0</v>
      </c>
      <c r="D16324" t="s">
        <v>5481</v>
      </c>
      <c r="E16324" t="s">
        <v>8782</v>
      </c>
      <c r="F16324" t="s">
        <v>14124</v>
      </c>
      <c r="G16324" t="s">
        <v>18114</v>
      </c>
      <c r="H16324" t="s">
        <v>33705</v>
      </c>
    </row>
    <row r="16325" spans="1:8">
      <c r="H16325" t="s">
        <v>33706</v>
      </c>
    </row>
    <row r="16326" spans="1:8">
      <c r="H16326" t="s">
        <v>33707</v>
      </c>
    </row>
    <row r="16327" spans="1:8">
      <c r="A16327" t="s">
        <v>3063</v>
      </c>
      <c r="B16327">
        <f>HYPERLINK("https://android.googlesource.com/platform/cts/+/7a7df0c674444214063142513ff538c340cb9d01", "7a7df0c674444214063142513ff538c340cb9d01")</f>
        <v>0</v>
      </c>
      <c r="C16327">
        <f>HYPERLINK("https://android.googlesource.com/platform/cts/+/58f0bdb90ff6b9243e76f382e0cbadc0cb7e7657", "58f0bdb90ff6b9243e76f382e0cbadc0cb7e7657")</f>
        <v>0</v>
      </c>
      <c r="D16327" t="s">
        <v>5503</v>
      </c>
      <c r="E16327" t="s">
        <v>8785</v>
      </c>
      <c r="F16327" t="s">
        <v>14164</v>
      </c>
      <c r="G16327" t="s">
        <v>18147</v>
      </c>
      <c r="H16327" t="s">
        <v>33708</v>
      </c>
    </row>
    <row r="16328" spans="1:8">
      <c r="H16328" t="s">
        <v>33709</v>
      </c>
    </row>
    <row r="16329" spans="1:8">
      <c r="A16329" t="s">
        <v>3064</v>
      </c>
      <c r="B16329">
        <f>HYPERLINK("https://android.googlesource.com/platform/cts/+/d0a28fbfd2de7bfc45a5cc7c0f4f71638be383d6", "d0a28fbfd2de7bfc45a5cc7c0f4f71638be383d6")</f>
        <v>0</v>
      </c>
      <c r="C16329">
        <f>HYPERLINK("https://android.googlesource.com/platform/cts/+/fac88fb4fb1eb9812300d8ead9bfbbe24c968ba6", "fac88fb4fb1eb9812300d8ead9bfbbe24c968ba6")</f>
        <v>0</v>
      </c>
      <c r="D16329" t="s">
        <v>5096</v>
      </c>
      <c r="E16329" t="s">
        <v>8786</v>
      </c>
      <c r="F16329" t="s">
        <v>14165</v>
      </c>
      <c r="G16329" t="s">
        <v>17361</v>
      </c>
      <c r="H16329" t="s">
        <v>33710</v>
      </c>
    </row>
    <row r="16330" spans="1:8">
      <c r="A16330" t="s">
        <v>3065</v>
      </c>
      <c r="B16330">
        <f>HYPERLINK("https://android.googlesource.com/platform/cts/+/bc5777af3aeef2ee8186477061cb0469ecbb112a", "bc5777af3aeef2ee8186477061cb0469ecbb112a")</f>
        <v>0</v>
      </c>
      <c r="C16330">
        <f>HYPERLINK("https://android.googlesource.com/platform/cts/+/98adfc01a082dadbe9581e35ba471d6d06781450", "98adfc01a082dadbe9581e35ba471d6d06781450")</f>
        <v>0</v>
      </c>
      <c r="D16330" t="s">
        <v>5046</v>
      </c>
      <c r="E16330" t="s">
        <v>8787</v>
      </c>
      <c r="F16330" t="s">
        <v>14166</v>
      </c>
      <c r="G16330" t="s">
        <v>17357</v>
      </c>
      <c r="H16330" t="s">
        <v>28593</v>
      </c>
    </row>
    <row r="16331" spans="1:8">
      <c r="A16331" t="s">
        <v>3066</v>
      </c>
      <c r="B16331">
        <f>HYPERLINK("https://android.googlesource.com/platform/cts/+/80180cd678dc3f44d4f097b000bb0b3386065308", "80180cd678dc3f44d4f097b000bb0b3386065308")</f>
        <v>0</v>
      </c>
      <c r="C16331">
        <f>HYPERLINK("https://android.googlesource.com/platform/cts/+/11c53df7b56f63d76a28d995140c62e1a2c14093", "11c53df7b56f63d76a28d995140c62e1a2c14093")</f>
        <v>0</v>
      </c>
      <c r="D16331" t="s">
        <v>5219</v>
      </c>
      <c r="E16331" t="s">
        <v>8788</v>
      </c>
      <c r="F16331" t="s">
        <v>14167</v>
      </c>
      <c r="G16331" t="s">
        <v>18148</v>
      </c>
      <c r="H16331" t="s">
        <v>33716</v>
      </c>
    </row>
    <row r="16332" spans="1:8">
      <c r="H16332" t="s">
        <v>33717</v>
      </c>
    </row>
    <row r="16333" spans="1:8">
      <c r="H16333" t="s">
        <v>33718</v>
      </c>
    </row>
    <row r="16334" spans="1:8">
      <c r="H16334" t="s">
        <v>33719</v>
      </c>
    </row>
    <row r="16335" spans="1:8">
      <c r="H16335" t="s">
        <v>33721</v>
      </c>
    </row>
    <row r="16336" spans="1:8">
      <c r="H16336" t="s">
        <v>33722</v>
      </c>
    </row>
    <row r="16337" spans="1:8">
      <c r="H16337" t="s">
        <v>33724</v>
      </c>
    </row>
    <row r="16338" spans="1:8">
      <c r="H16338" t="s">
        <v>33725</v>
      </c>
    </row>
    <row r="16339" spans="1:8">
      <c r="H16339" t="s">
        <v>33727</v>
      </c>
    </row>
    <row r="16340" spans="1:8">
      <c r="H16340" t="s">
        <v>33728</v>
      </c>
    </row>
    <row r="16341" spans="1:8">
      <c r="H16341" t="s">
        <v>33729</v>
      </c>
    </row>
    <row r="16342" spans="1:8">
      <c r="A16342" t="s">
        <v>3067</v>
      </c>
      <c r="B16342">
        <f>HYPERLINK("https://android.googlesource.com/platform/cts/+/9a8db49662e50b40d3a21f951b6c9b0b5a2dfd93", "9a8db49662e50b40d3a21f951b6c9b0b5a2dfd93")</f>
        <v>0</v>
      </c>
      <c r="C16342">
        <f>HYPERLINK("https://android.googlesource.com/platform/cts/+/684bffdb0dc893d64ec8b47ef0c27bcc5dcb36ee", "684bffdb0dc893d64ec8b47ef0c27bcc5dcb36ee")</f>
        <v>0</v>
      </c>
      <c r="D16342" t="s">
        <v>5435</v>
      </c>
      <c r="E16342" t="s">
        <v>8789</v>
      </c>
      <c r="F16342" t="s">
        <v>12710</v>
      </c>
      <c r="G16342" t="s">
        <v>16911</v>
      </c>
      <c r="H16342" t="s">
        <v>33730</v>
      </c>
    </row>
    <row r="16343" spans="1:8">
      <c r="A16343" t="s">
        <v>3069</v>
      </c>
      <c r="B16343">
        <f>HYPERLINK("https://android.googlesource.com/platform/cts/+/4bb872fcfe7b2649e385dc50b5cbcb005051d54e", "4bb872fcfe7b2649e385dc50b5cbcb005051d54e")</f>
        <v>0</v>
      </c>
      <c r="C16343">
        <f>HYPERLINK("https://android.googlesource.com/platform/cts/+/7b05b2df8931319e57eb3da2cdb4c57e1179dcdb", "7b05b2df8931319e57eb3da2cdb4c57e1179dcdb")</f>
        <v>0</v>
      </c>
      <c r="D16343" t="s">
        <v>5451</v>
      </c>
      <c r="E16343" t="s">
        <v>8791</v>
      </c>
      <c r="F16343" t="s">
        <v>13403</v>
      </c>
      <c r="G16343" t="s">
        <v>17529</v>
      </c>
      <c r="H16343" t="s">
        <v>33732</v>
      </c>
    </row>
    <row r="16344" spans="1:8">
      <c r="H16344" t="s">
        <v>33733</v>
      </c>
    </row>
    <row r="16345" spans="1:8">
      <c r="H16345" t="s">
        <v>33734</v>
      </c>
    </row>
    <row r="16346" spans="1:8">
      <c r="H16346" t="s">
        <v>33735</v>
      </c>
    </row>
    <row r="16347" spans="1:8">
      <c r="H16347" t="s">
        <v>33736</v>
      </c>
    </row>
    <row r="16348" spans="1:8">
      <c r="H16348" t="s">
        <v>33737</v>
      </c>
    </row>
    <row r="16349" spans="1:8">
      <c r="H16349" t="s">
        <v>33738</v>
      </c>
    </row>
    <row r="16350" spans="1:8">
      <c r="H16350" t="s">
        <v>33739</v>
      </c>
    </row>
    <row r="16351" spans="1:8">
      <c r="F16351" t="s">
        <v>13230</v>
      </c>
      <c r="G16351" t="s">
        <v>17371</v>
      </c>
      <c r="H16351" t="s">
        <v>33740</v>
      </c>
    </row>
    <row r="16352" spans="1:8">
      <c r="H16352" t="s">
        <v>33741</v>
      </c>
    </row>
    <row r="16353" spans="1:8">
      <c r="F16353" t="s">
        <v>14169</v>
      </c>
      <c r="G16353" t="s">
        <v>18150</v>
      </c>
      <c r="H16353" t="s">
        <v>33742</v>
      </c>
    </row>
    <row r="16354" spans="1:8">
      <c r="H16354" t="s">
        <v>33732</v>
      </c>
    </row>
    <row r="16355" spans="1:8">
      <c r="H16355" t="s">
        <v>33735</v>
      </c>
    </row>
    <row r="16356" spans="1:8">
      <c r="H16356" t="s">
        <v>33736</v>
      </c>
    </row>
    <row r="16357" spans="1:8">
      <c r="H16357" t="s">
        <v>33737</v>
      </c>
    </row>
    <row r="16358" spans="1:8">
      <c r="F16358" t="s">
        <v>14123</v>
      </c>
      <c r="G16358" t="s">
        <v>18113</v>
      </c>
      <c r="H16358" t="s">
        <v>33743</v>
      </c>
    </row>
    <row r="16359" spans="1:8">
      <c r="H16359" t="s">
        <v>33744</v>
      </c>
    </row>
    <row r="16360" spans="1:8">
      <c r="H16360" t="s">
        <v>33745</v>
      </c>
    </row>
    <row r="16361" spans="1:8">
      <c r="H16361" t="s">
        <v>33746</v>
      </c>
    </row>
    <row r="16362" spans="1:8">
      <c r="A16362" t="s">
        <v>3070</v>
      </c>
      <c r="B16362">
        <f>HYPERLINK("https://android.googlesource.com/platform/cts/+/3269a1c3196540588a3e32380f85da5f8ff4b8ce", "3269a1c3196540588a3e32380f85da5f8ff4b8ce")</f>
        <v>0</v>
      </c>
      <c r="C16362">
        <f>HYPERLINK("https://android.googlesource.com/platform/cts/+/4129ddfd7dc56b1dad09022d5ef192913e100a8e", "4129ddfd7dc56b1dad09022d5ef192913e100a8e")</f>
        <v>0</v>
      </c>
      <c r="D16362" t="s">
        <v>5504</v>
      </c>
      <c r="E16362" t="s">
        <v>8792</v>
      </c>
      <c r="F16362" t="s">
        <v>14170</v>
      </c>
      <c r="G16362" t="s">
        <v>18151</v>
      </c>
      <c r="H16362" t="s">
        <v>33748</v>
      </c>
    </row>
    <row r="16363" spans="1:8">
      <c r="H16363" t="s">
        <v>33749</v>
      </c>
    </row>
    <row r="16364" spans="1:8">
      <c r="H16364" t="s">
        <v>33750</v>
      </c>
    </row>
    <row r="16365" spans="1:8">
      <c r="A16365" t="s">
        <v>3071</v>
      </c>
      <c r="B16365">
        <f>HYPERLINK("https://android.googlesource.com/platform/cts/+/668291193b0cf7726c9cb163d3331b6102337314", "668291193b0cf7726c9cb163d3331b6102337314")</f>
        <v>0</v>
      </c>
      <c r="C16365">
        <f>HYPERLINK("https://android.googlesource.com/platform/cts/+/6f52092642bc21691e839d989ea80d78c39e127d", "6f52092642bc21691e839d989ea80d78c39e127d")</f>
        <v>0</v>
      </c>
      <c r="D16365" t="s">
        <v>5504</v>
      </c>
      <c r="E16365" t="s">
        <v>8793</v>
      </c>
      <c r="F16365" t="s">
        <v>14171</v>
      </c>
      <c r="G16365" t="s">
        <v>18151</v>
      </c>
      <c r="H16365" t="s">
        <v>33748</v>
      </c>
    </row>
    <row r="16366" spans="1:8">
      <c r="H16366" t="s">
        <v>33749</v>
      </c>
    </row>
    <row r="16367" spans="1:8">
      <c r="H16367" t="s">
        <v>33750</v>
      </c>
    </row>
    <row r="16368" spans="1:8">
      <c r="A16368" t="s">
        <v>3073</v>
      </c>
      <c r="B16368">
        <f>HYPERLINK("https://android.googlesource.com/platform/cts/+/1e9fe81c584f7a5c5ce2a0638408c348a42fca78", "1e9fe81c584f7a5c5ce2a0638408c348a42fca78")</f>
        <v>0</v>
      </c>
      <c r="C16368">
        <f>HYPERLINK("https://android.googlesource.com/platform/cts/+/339dfb440f4a686b34ec2167669292de0738dd43", "339dfb440f4a686b34ec2167669292de0738dd43")</f>
        <v>0</v>
      </c>
      <c r="D16368" t="s">
        <v>5439</v>
      </c>
      <c r="E16368" t="s">
        <v>8795</v>
      </c>
      <c r="F16368" t="s">
        <v>12741</v>
      </c>
      <c r="G16368" t="s">
        <v>16933</v>
      </c>
      <c r="H16368" t="s">
        <v>33754</v>
      </c>
    </row>
    <row r="16369" spans="1:8">
      <c r="H16369" t="s">
        <v>33755</v>
      </c>
    </row>
    <row r="16370" spans="1:8">
      <c r="H16370" t="s">
        <v>33756</v>
      </c>
    </row>
    <row r="16371" spans="1:8">
      <c r="A16371" t="s">
        <v>3075</v>
      </c>
      <c r="B16371">
        <f>HYPERLINK("https://android.googlesource.com/platform/cts/+/457b8ad3ef02d0a3fe31623d301560870690b79a", "457b8ad3ef02d0a3fe31623d301560870690b79a")</f>
        <v>0</v>
      </c>
      <c r="C16371">
        <f>HYPERLINK("https://android.googlesource.com/platform/cts/+/d1bab0f9a3dbc3e88d0d02e46df08f817039ce20", "d1bab0f9a3dbc3e88d0d02e46df08f817039ce20")</f>
        <v>0</v>
      </c>
      <c r="D16371" t="s">
        <v>5505</v>
      </c>
      <c r="E16371" t="s">
        <v>8797</v>
      </c>
      <c r="F16371" t="s">
        <v>14172</v>
      </c>
      <c r="G16371" t="s">
        <v>18152</v>
      </c>
      <c r="H16371" t="s">
        <v>33757</v>
      </c>
    </row>
    <row r="16372" spans="1:8">
      <c r="A16372" t="s">
        <v>3081</v>
      </c>
      <c r="B16372">
        <f>HYPERLINK("https://android.googlesource.com/platform/cts/+/c010341da6ac2537ca3b106e4c5a881df3c7fa68", "c010341da6ac2537ca3b106e4c5a881df3c7fa68")</f>
        <v>0</v>
      </c>
      <c r="C16372">
        <f>HYPERLINK("https://android.googlesource.com/platform/cts/+/5bd5ac6f7e4179bbd548f0372f743b3f74f1692c", "5bd5ac6f7e4179bbd548f0372f743b3f74f1692c")</f>
        <v>0</v>
      </c>
      <c r="D16372" t="s">
        <v>5506</v>
      </c>
      <c r="E16372" t="s">
        <v>8802</v>
      </c>
      <c r="F16372" t="s">
        <v>12741</v>
      </c>
      <c r="G16372" t="s">
        <v>16933</v>
      </c>
      <c r="H16372" t="s">
        <v>33754</v>
      </c>
    </row>
    <row r="16373" spans="1:8">
      <c r="H16373" t="s">
        <v>33755</v>
      </c>
    </row>
    <row r="16374" spans="1:8">
      <c r="H16374" t="s">
        <v>33756</v>
      </c>
    </row>
    <row r="16375" spans="1:8">
      <c r="A16375" t="s">
        <v>3082</v>
      </c>
      <c r="B16375">
        <f>HYPERLINK("https://android.googlesource.com/platform/cts/+/00b3ff062b4606dacc8cb9802eed1616bb021c96", "00b3ff062b4606dacc8cb9802eed1616bb021c96")</f>
        <v>0</v>
      </c>
      <c r="C16375">
        <f>HYPERLINK("https://android.googlesource.com/platform/cts/+/0f0b828841a198a4948142051250d4b5f196c613", "0f0b828841a198a4948142051250d4b5f196c613")</f>
        <v>0</v>
      </c>
      <c r="D16375" t="s">
        <v>5223</v>
      </c>
      <c r="E16375" t="s">
        <v>8803</v>
      </c>
      <c r="F16375" t="s">
        <v>14174</v>
      </c>
      <c r="G16375" t="s">
        <v>18154</v>
      </c>
      <c r="H16375" t="s">
        <v>18836</v>
      </c>
    </row>
    <row r="16376" spans="1:8">
      <c r="H16376" t="s">
        <v>19013</v>
      </c>
    </row>
    <row r="16377" spans="1:8">
      <c r="H16377" t="s">
        <v>18835</v>
      </c>
    </row>
    <row r="16378" spans="1:8">
      <c r="H16378" t="s">
        <v>33762</v>
      </c>
    </row>
    <row r="16379" spans="1:8">
      <c r="F16379" t="s">
        <v>14175</v>
      </c>
      <c r="G16379" t="s">
        <v>18155</v>
      </c>
      <c r="H16379" t="s">
        <v>18836</v>
      </c>
    </row>
    <row r="16380" spans="1:8">
      <c r="H16380" t="s">
        <v>19013</v>
      </c>
    </row>
    <row r="16381" spans="1:8">
      <c r="H16381" t="s">
        <v>18835</v>
      </c>
    </row>
    <row r="16382" spans="1:8">
      <c r="H16382" t="s">
        <v>33762</v>
      </c>
    </row>
    <row r="16383" spans="1:8">
      <c r="A16383" t="s">
        <v>3083</v>
      </c>
      <c r="B16383">
        <f>HYPERLINK("https://android.googlesource.com/platform/cts/+/9be6d5fff80cbf6b98fd57d89c3af12bf344ba9c", "9be6d5fff80cbf6b98fd57d89c3af12bf344ba9c")</f>
        <v>0</v>
      </c>
      <c r="C16383">
        <f>HYPERLINK("https://android.googlesource.com/platform/cts/+/41de39170128cd48d87711cd04a38f686e8e27c6", "41de39170128cd48d87711cd04a38f686e8e27c6")</f>
        <v>0</v>
      </c>
      <c r="D16383" t="s">
        <v>5277</v>
      </c>
      <c r="E16383" t="s">
        <v>8804</v>
      </c>
      <c r="F16383" t="s">
        <v>14028</v>
      </c>
      <c r="G16383" t="s">
        <v>18156</v>
      </c>
      <c r="H16383" t="s">
        <v>33763</v>
      </c>
    </row>
    <row r="16384" spans="1:8">
      <c r="A16384" t="s">
        <v>3086</v>
      </c>
      <c r="B16384">
        <f>HYPERLINK("https://android.googlesource.com/platform/cts/+/7429851405a82c9fac7b1540646331bc1da699c3", "7429851405a82c9fac7b1540646331bc1da699c3")</f>
        <v>0</v>
      </c>
      <c r="C16384">
        <f>HYPERLINK("https://android.googlesource.com/platform/cts/+/a14ae1101a7ef76ec9365f1098b2df25c4860974", "a14ae1101a7ef76ec9365f1098b2df25c4860974")</f>
        <v>0</v>
      </c>
      <c r="D16384" t="s">
        <v>5443</v>
      </c>
      <c r="E16384" t="s">
        <v>8807</v>
      </c>
      <c r="F16384" t="s">
        <v>12710</v>
      </c>
      <c r="G16384" t="s">
        <v>16911</v>
      </c>
      <c r="H16384" t="s">
        <v>33765</v>
      </c>
    </row>
    <row r="16385" spans="1:8">
      <c r="A16385" t="s">
        <v>3087</v>
      </c>
      <c r="B16385">
        <f>HYPERLINK("https://android.googlesource.com/platform/cts/+/ea9e366aa024b4f4a34a3070945de54ab8ab7c65", "ea9e366aa024b4f4a34a3070945de54ab8ab7c65")</f>
        <v>0</v>
      </c>
      <c r="C16385">
        <f>HYPERLINK("https://android.googlesource.com/platform/cts/+/7429851405a82c9fac7b1540646331bc1da699c3", "7429851405a82c9fac7b1540646331bc1da699c3")</f>
        <v>0</v>
      </c>
      <c r="D16385" t="s">
        <v>5443</v>
      </c>
      <c r="E16385" t="s">
        <v>8808</v>
      </c>
      <c r="F16385" t="s">
        <v>12710</v>
      </c>
      <c r="G16385" t="s">
        <v>16911</v>
      </c>
      <c r="H16385" t="s">
        <v>33766</v>
      </c>
    </row>
    <row r="16386" spans="1:8">
      <c r="H16386" t="s">
        <v>33767</v>
      </c>
    </row>
    <row r="16387" spans="1:8">
      <c r="A16387" t="s">
        <v>3093</v>
      </c>
      <c r="B16387">
        <f>HYPERLINK("https://android.googlesource.com/platform/cts/+/dc5b4413eefbbebdcba000ce05c1c4040316dabc", "dc5b4413eefbbebdcba000ce05c1c4040316dabc")</f>
        <v>0</v>
      </c>
      <c r="C16387">
        <f>HYPERLINK("https://android.googlesource.com/platform/cts/+/57e9da96af43593640a9fe9e2f1a3ae138869af4", "57e9da96af43593640a9fe9e2f1a3ae138869af4")</f>
        <v>0</v>
      </c>
      <c r="D16387" t="s">
        <v>5472</v>
      </c>
      <c r="E16387" t="s">
        <v>8814</v>
      </c>
      <c r="F16387" t="s">
        <v>13135</v>
      </c>
      <c r="G16387" t="s">
        <v>16874</v>
      </c>
      <c r="H16387" t="s">
        <v>33768</v>
      </c>
    </row>
    <row r="16388" spans="1:8">
      <c r="A16388" t="s">
        <v>3094</v>
      </c>
      <c r="B16388">
        <f>HYPERLINK("https://android.googlesource.com/platform/cts/+/621fd75805f987d290bc29c5c700f90be0ea162e", "621fd75805f987d290bc29c5c700f90be0ea162e")</f>
        <v>0</v>
      </c>
      <c r="C16388">
        <f>HYPERLINK("https://android.googlesource.com/platform/cts/+/2e1b5c1c74e4ff88f1ea354f3c8d5a20da528b34", "2e1b5c1c74e4ff88f1ea354f3c8d5a20da528b34")</f>
        <v>0</v>
      </c>
      <c r="D16388" t="s">
        <v>5304</v>
      </c>
      <c r="E16388" t="s">
        <v>8815</v>
      </c>
      <c r="F16388" t="s">
        <v>14177</v>
      </c>
      <c r="G16388" t="s">
        <v>18158</v>
      </c>
      <c r="H16388" t="s">
        <v>33769</v>
      </c>
    </row>
    <row r="16389" spans="1:8">
      <c r="A16389" t="s">
        <v>3096</v>
      </c>
      <c r="B16389">
        <f>HYPERLINK("https://android.googlesource.com/platform/cts/+/3967836210a52ec8d0f229edad0c8c27f26145ae", "3967836210a52ec8d0f229edad0c8c27f26145ae")</f>
        <v>0</v>
      </c>
      <c r="C16389">
        <f>HYPERLINK("https://android.googlesource.com/platform/cts/+/45d4a2a705eedc6971d07592d77aefc2f7f9765d", "45d4a2a705eedc6971d07592d77aefc2f7f9765d")</f>
        <v>0</v>
      </c>
      <c r="D16389" t="s">
        <v>5357</v>
      </c>
      <c r="E16389" t="s">
        <v>8817</v>
      </c>
      <c r="F16389" t="s">
        <v>14178</v>
      </c>
      <c r="G16389" t="s">
        <v>18159</v>
      </c>
      <c r="H16389" t="s">
        <v>33770</v>
      </c>
    </row>
    <row r="16390" spans="1:8">
      <c r="H16390" t="s">
        <v>33771</v>
      </c>
    </row>
    <row r="16391" spans="1:8">
      <c r="A16391" t="s">
        <v>3099</v>
      </c>
      <c r="B16391">
        <f>HYPERLINK("https://android.googlesource.com/platform/cts/+/cd6f0776d7f12dc927b008a692439611bea444de", "cd6f0776d7f12dc927b008a692439611bea444de")</f>
        <v>0</v>
      </c>
      <c r="C16391">
        <f>HYPERLINK("https://android.googlesource.com/platform/cts/+/30066abec0a07eb753a21f93048afcdf269737ac", "30066abec0a07eb753a21f93048afcdf269737ac")</f>
        <v>0</v>
      </c>
      <c r="D16391" t="s">
        <v>5509</v>
      </c>
      <c r="E16391" t="s">
        <v>8820</v>
      </c>
      <c r="F16391" t="s">
        <v>14180</v>
      </c>
      <c r="G16391" t="s">
        <v>18161</v>
      </c>
      <c r="H16391" t="s">
        <v>33780</v>
      </c>
    </row>
    <row r="16392" spans="1:8">
      <c r="A16392" t="s">
        <v>3100</v>
      </c>
      <c r="B16392">
        <f>HYPERLINK("https://android.googlesource.com/platform/cts/+/584873ad9f77dfbd694d0fa7a2cb52dc116b3006", "584873ad9f77dfbd694d0fa7a2cb52dc116b3006")</f>
        <v>0</v>
      </c>
      <c r="C16392">
        <f>HYPERLINK("https://android.googlesource.com/platform/cts/+/cd6f0776d7f12dc927b008a692439611bea444de", "cd6f0776d7f12dc927b008a692439611bea444de")</f>
        <v>0</v>
      </c>
      <c r="D16392" t="s">
        <v>5509</v>
      </c>
      <c r="E16392" t="s">
        <v>8821</v>
      </c>
      <c r="F16392" t="s">
        <v>14180</v>
      </c>
      <c r="G16392" t="s">
        <v>18161</v>
      </c>
      <c r="H16392" t="s">
        <v>33781</v>
      </c>
    </row>
    <row r="16393" spans="1:8">
      <c r="A16393" t="s">
        <v>3101</v>
      </c>
      <c r="B16393">
        <f>HYPERLINK("https://android.googlesource.com/platform/cts/+/c4387eebbbb31da5d56f10460d01b7c8fb903131", "c4387eebbbb31da5d56f10460d01b7c8fb903131")</f>
        <v>0</v>
      </c>
      <c r="C16393">
        <f>HYPERLINK("https://android.googlesource.com/platform/cts/+/584873ad9f77dfbd694d0fa7a2cb52dc116b3006", "584873ad9f77dfbd694d0fa7a2cb52dc116b3006")</f>
        <v>0</v>
      </c>
      <c r="D16393" t="s">
        <v>5509</v>
      </c>
      <c r="E16393" t="s">
        <v>8822</v>
      </c>
      <c r="F16393" t="s">
        <v>14180</v>
      </c>
      <c r="G16393" t="s">
        <v>18161</v>
      </c>
      <c r="H16393" t="s">
        <v>33782</v>
      </c>
    </row>
    <row r="16394" spans="1:8">
      <c r="A16394" t="s">
        <v>3103</v>
      </c>
      <c r="B16394">
        <f>HYPERLINK("https://android.googlesource.com/platform/cts/+/37c85e4fc4a17134ab6b8006fe3ee78faf34a4d7", "37c85e4fc4a17134ab6b8006fe3ee78faf34a4d7")</f>
        <v>0</v>
      </c>
      <c r="C16394">
        <f>HYPERLINK("https://android.googlesource.com/platform/cts/+/0112fc5b0f0836ea7e0bc4fddc84bc28f0adbcf8", "0112fc5b0f0836ea7e0bc4fddc84bc28f0adbcf8")</f>
        <v>0</v>
      </c>
      <c r="D16394" t="s">
        <v>5189</v>
      </c>
      <c r="E16394" t="s">
        <v>8823</v>
      </c>
      <c r="F16394" t="s">
        <v>14136</v>
      </c>
      <c r="G16394" t="s">
        <v>18124</v>
      </c>
      <c r="H16394" t="s">
        <v>33783</v>
      </c>
    </row>
    <row r="16395" spans="1:8">
      <c r="A16395" t="s">
        <v>3106</v>
      </c>
      <c r="B16395">
        <f>HYPERLINK("https://android.googlesource.com/platform/cts/+/43658873a0edf4693c78ea7408408075cfee14f4", "43658873a0edf4693c78ea7408408075cfee14f4")</f>
        <v>0</v>
      </c>
      <c r="C16395">
        <f>HYPERLINK("https://android.googlesource.com/platform/cts/+/02b53f420a31e33ad1bf282a9315ad66660c3278", "02b53f420a31e33ad1bf282a9315ad66660c3278")</f>
        <v>0</v>
      </c>
      <c r="D16395" t="s">
        <v>5510</v>
      </c>
      <c r="E16395" t="s">
        <v>8824</v>
      </c>
      <c r="F16395" t="s">
        <v>14181</v>
      </c>
      <c r="G16395" t="s">
        <v>18162</v>
      </c>
      <c r="H16395" t="s">
        <v>33784</v>
      </c>
    </row>
    <row r="16396" spans="1:8">
      <c r="A16396" t="s">
        <v>3109</v>
      </c>
      <c r="B16396">
        <f>HYPERLINK("https://android.googlesource.com/platform/cts/+/fd490a4dbe0394b5eaa1d614267a60bf914f79bf", "fd490a4dbe0394b5eaa1d614267a60bf914f79bf")</f>
        <v>0</v>
      </c>
      <c r="C16396">
        <f>HYPERLINK("https://android.googlesource.com/platform/cts/+/ba947fb6d73a1f38c996090c50375d1c70bc9b16", "ba947fb6d73a1f38c996090c50375d1c70bc9b16")</f>
        <v>0</v>
      </c>
      <c r="D16396" t="s">
        <v>5511</v>
      </c>
      <c r="E16396" t="s">
        <v>8826</v>
      </c>
      <c r="F16396" t="s">
        <v>14164</v>
      </c>
      <c r="G16396" t="s">
        <v>18147</v>
      </c>
      <c r="H16396" t="s">
        <v>33787</v>
      </c>
    </row>
    <row r="16397" spans="1:8">
      <c r="A16397" t="s">
        <v>3110</v>
      </c>
      <c r="B16397">
        <f>HYPERLINK("https://android.googlesource.com/platform/cts/+/a540ba77f393df32eecca11089b76e614720ca29", "a540ba77f393df32eecca11089b76e614720ca29")</f>
        <v>0</v>
      </c>
      <c r="C16397">
        <f>HYPERLINK("https://android.googlesource.com/platform/cts/+/ec4187ee55b047fd129f01e2484ab739ce7d335f", "ec4187ee55b047fd129f01e2484ab739ce7d335f")</f>
        <v>0</v>
      </c>
      <c r="D16397" t="s">
        <v>5481</v>
      </c>
      <c r="E16397" t="s">
        <v>8827</v>
      </c>
      <c r="F16397" t="s">
        <v>14124</v>
      </c>
      <c r="G16397" t="s">
        <v>18114</v>
      </c>
      <c r="H16397" t="s">
        <v>33788</v>
      </c>
    </row>
    <row r="16398" spans="1:8">
      <c r="A16398" t="s">
        <v>3111</v>
      </c>
      <c r="B16398">
        <f>HYPERLINK("https://android.googlesource.com/platform/cts/+/5ed995f69f82a726267e137a2a613e31866ea851", "5ed995f69f82a726267e137a2a613e31866ea851")</f>
        <v>0</v>
      </c>
      <c r="C16398">
        <f>HYPERLINK("https://android.googlesource.com/platform/cts/+/ffc622eb79a00c0f2e167ade8977aece0c62ac8e", "ffc622eb79a00c0f2e167ade8977aece0c62ac8e")</f>
        <v>0</v>
      </c>
      <c r="D16398" t="s">
        <v>5374</v>
      </c>
      <c r="E16398" t="s">
        <v>8828</v>
      </c>
      <c r="F16398" t="s">
        <v>13165</v>
      </c>
      <c r="G16398" t="s">
        <v>17315</v>
      </c>
      <c r="H16398" t="s">
        <v>33790</v>
      </c>
    </row>
    <row r="16399" spans="1:8">
      <c r="H16399" t="s">
        <v>33791</v>
      </c>
    </row>
    <row r="16400" spans="1:8">
      <c r="H16400" t="s">
        <v>33792</v>
      </c>
    </row>
    <row r="16401" spans="1:8">
      <c r="H16401" t="s">
        <v>33793</v>
      </c>
    </row>
    <row r="16402" spans="1:8">
      <c r="H16402" t="s">
        <v>33794</v>
      </c>
    </row>
    <row r="16403" spans="1:8">
      <c r="H16403" t="s">
        <v>33795</v>
      </c>
    </row>
    <row r="16404" spans="1:8">
      <c r="H16404" t="s">
        <v>33796</v>
      </c>
    </row>
    <row r="16405" spans="1:8">
      <c r="H16405" t="s">
        <v>33797</v>
      </c>
    </row>
    <row r="16406" spans="1:8">
      <c r="H16406" t="s">
        <v>33798</v>
      </c>
    </row>
    <row r="16407" spans="1:8">
      <c r="H16407" t="s">
        <v>33799</v>
      </c>
    </row>
    <row r="16408" spans="1:8">
      <c r="A16408" t="s">
        <v>3112</v>
      </c>
      <c r="B16408">
        <f>HYPERLINK("https://android.googlesource.com/platform/cts/+/88b423ebe0a738fd6149a18309cdbfee96296e38", "88b423ebe0a738fd6149a18309cdbfee96296e38")</f>
        <v>0</v>
      </c>
      <c r="C16408">
        <f>HYPERLINK("https://android.googlesource.com/platform/cts/+/b3d3ab708e697af9bda641476478a9b4b482cb7a", "b3d3ab708e697af9bda641476478a9b4b482cb7a")</f>
        <v>0</v>
      </c>
      <c r="D16408" t="s">
        <v>5481</v>
      </c>
      <c r="E16408" t="s">
        <v>8829</v>
      </c>
      <c r="F16408" t="s">
        <v>13707</v>
      </c>
      <c r="G16408" t="s">
        <v>17775</v>
      </c>
      <c r="H16408" t="s">
        <v>33800</v>
      </c>
    </row>
    <row r="16409" spans="1:8">
      <c r="A16409" t="s">
        <v>3113</v>
      </c>
      <c r="B16409">
        <f>HYPERLINK("https://android.googlesource.com/platform/cts/+/a672b5751d99d8dd966645dc75195e85643deb60", "a672b5751d99d8dd966645dc75195e85643deb60")</f>
        <v>0</v>
      </c>
      <c r="C16409">
        <f>HYPERLINK("https://android.googlesource.com/platform/cts/+/fc80d4cc95536675f67f0b112e2ccd6d5e337152", "fc80d4cc95536675f67f0b112e2ccd6d5e337152")</f>
        <v>0</v>
      </c>
      <c r="D16409" t="s">
        <v>5512</v>
      </c>
      <c r="E16409" t="s">
        <v>8830</v>
      </c>
      <c r="F16409" t="s">
        <v>14183</v>
      </c>
      <c r="G16409" t="s">
        <v>18164</v>
      </c>
      <c r="H16409" t="s">
        <v>33801</v>
      </c>
    </row>
    <row r="16410" spans="1:8">
      <c r="A16410" t="s">
        <v>3114</v>
      </c>
      <c r="B16410">
        <f>HYPERLINK("https://android.googlesource.com/platform/cts/+/02afda6fcc15ee8c1b3b80ed09194baf96c84a3d", "02afda6fcc15ee8c1b3b80ed09194baf96c84a3d")</f>
        <v>0</v>
      </c>
      <c r="C16410">
        <f>HYPERLINK("https://android.googlesource.com/platform/cts/+/140ea4b8d2624656efb6f09c8546642bbcb13bfa", "140ea4b8d2624656efb6f09c8546642bbcb13bfa")</f>
        <v>0</v>
      </c>
      <c r="D16410" t="s">
        <v>5513</v>
      </c>
      <c r="E16410" t="s">
        <v>8831</v>
      </c>
      <c r="F16410" t="s">
        <v>14184</v>
      </c>
      <c r="G16410" t="s">
        <v>18165</v>
      </c>
      <c r="H16410" t="s">
        <v>33822</v>
      </c>
    </row>
    <row r="16411" spans="1:8">
      <c r="A16411" t="s">
        <v>3116</v>
      </c>
      <c r="B16411">
        <f>HYPERLINK("https://android.googlesource.com/platform/cts/+/1a07a0226b918ceca94efa835b30f4c51eb26182", "1a07a0226b918ceca94efa835b30f4c51eb26182")</f>
        <v>0</v>
      </c>
      <c r="C16411">
        <f>HYPERLINK("https://android.googlesource.com/platform/cts/+/3047367b6eea6b2539bc2f106549999b7055f486", "3047367b6eea6b2539bc2f106549999b7055f486")</f>
        <v>0</v>
      </c>
      <c r="D16411" t="s">
        <v>5473</v>
      </c>
      <c r="E16411" t="s">
        <v>8833</v>
      </c>
      <c r="F16411" t="s">
        <v>14185</v>
      </c>
      <c r="G16411" t="s">
        <v>18166</v>
      </c>
      <c r="H16411" t="s">
        <v>33824</v>
      </c>
    </row>
    <row r="16412" spans="1:8">
      <c r="H16412" t="s">
        <v>33825</v>
      </c>
    </row>
    <row r="16413" spans="1:8">
      <c r="H16413" t="s">
        <v>33826</v>
      </c>
    </row>
    <row r="16414" spans="1:8">
      <c r="H16414" t="s">
        <v>33827</v>
      </c>
    </row>
    <row r="16415" spans="1:8">
      <c r="H16415" t="s">
        <v>33828</v>
      </c>
    </row>
    <row r="16416" spans="1:8">
      <c r="H16416" t="s">
        <v>33829</v>
      </c>
    </row>
    <row r="16417" spans="8:8">
      <c r="H16417" t="s">
        <v>33830</v>
      </c>
    </row>
    <row r="16418" spans="8:8">
      <c r="H16418" t="s">
        <v>33831</v>
      </c>
    </row>
    <row r="16419" spans="8:8">
      <c r="H16419" t="s">
        <v>33832</v>
      </c>
    </row>
    <row r="16420" spans="8:8">
      <c r="H16420" t="s">
        <v>33833</v>
      </c>
    </row>
    <row r="16421" spans="8:8">
      <c r="H16421" t="s">
        <v>33834</v>
      </c>
    </row>
    <row r="16422" spans="8:8">
      <c r="H16422" t="s">
        <v>33835</v>
      </c>
    </row>
    <row r="16423" spans="8:8">
      <c r="H16423" t="s">
        <v>33836</v>
      </c>
    </row>
    <row r="16424" spans="8:8">
      <c r="H16424" t="s">
        <v>33837</v>
      </c>
    </row>
    <row r="16425" spans="8:8">
      <c r="H16425" t="s">
        <v>33838</v>
      </c>
    </row>
    <row r="16426" spans="8:8">
      <c r="H16426" t="s">
        <v>33839</v>
      </c>
    </row>
    <row r="16427" spans="8:8">
      <c r="H16427" t="s">
        <v>33840</v>
      </c>
    </row>
    <row r="16428" spans="8:8">
      <c r="H16428" t="s">
        <v>33841</v>
      </c>
    </row>
    <row r="16429" spans="8:8">
      <c r="H16429" t="s">
        <v>33842</v>
      </c>
    </row>
    <row r="16430" spans="8:8">
      <c r="H16430" t="s">
        <v>33843</v>
      </c>
    </row>
    <row r="16431" spans="8:8">
      <c r="H16431" t="s">
        <v>33844</v>
      </c>
    </row>
    <row r="16432" spans="8:8">
      <c r="H16432" t="s">
        <v>33845</v>
      </c>
    </row>
    <row r="16433" spans="8:8">
      <c r="H16433" t="s">
        <v>33846</v>
      </c>
    </row>
    <row r="16434" spans="8:8">
      <c r="H16434" t="s">
        <v>33847</v>
      </c>
    </row>
    <row r="16435" spans="8:8">
      <c r="H16435" t="s">
        <v>33848</v>
      </c>
    </row>
    <row r="16436" spans="8:8">
      <c r="H16436" t="s">
        <v>33849</v>
      </c>
    </row>
    <row r="16437" spans="8:8">
      <c r="H16437" t="s">
        <v>33850</v>
      </c>
    </row>
    <row r="16438" spans="8:8">
      <c r="H16438" t="s">
        <v>33851</v>
      </c>
    </row>
    <row r="16439" spans="8:8">
      <c r="H16439" t="s">
        <v>33852</v>
      </c>
    </row>
    <row r="16440" spans="8:8">
      <c r="H16440" t="s">
        <v>33853</v>
      </c>
    </row>
    <row r="16441" spans="8:8">
      <c r="H16441" t="s">
        <v>33854</v>
      </c>
    </row>
    <row r="16442" spans="8:8">
      <c r="H16442" t="s">
        <v>33855</v>
      </c>
    </row>
    <row r="16443" spans="8:8">
      <c r="H16443" t="s">
        <v>33856</v>
      </c>
    </row>
    <row r="16444" spans="8:8">
      <c r="H16444" t="s">
        <v>33857</v>
      </c>
    </row>
    <row r="16445" spans="8:8">
      <c r="H16445" t="s">
        <v>33858</v>
      </c>
    </row>
    <row r="16446" spans="8:8">
      <c r="H16446" t="s">
        <v>33859</v>
      </c>
    </row>
    <row r="16447" spans="8:8">
      <c r="H16447" t="s">
        <v>33860</v>
      </c>
    </row>
    <row r="16448" spans="8:8">
      <c r="H16448" t="s">
        <v>33861</v>
      </c>
    </row>
    <row r="16449" spans="1:8">
      <c r="H16449" t="s">
        <v>33862</v>
      </c>
    </row>
    <row r="16450" spans="1:8">
      <c r="H16450" t="s">
        <v>33863</v>
      </c>
    </row>
    <row r="16451" spans="1:8">
      <c r="A16451" t="s">
        <v>3117</v>
      </c>
      <c r="B16451">
        <f>HYPERLINK("https://android.googlesource.com/platform/cts/+/91918926e8ab6411266e070e225e9f0fe5ab0b70", "91918926e8ab6411266e070e225e9f0fe5ab0b70")</f>
        <v>0</v>
      </c>
      <c r="C16451">
        <f>HYPERLINK("https://android.googlesource.com/platform/cts/+/2fb31579bfc425aec628dcbd5d72a719b17b0279", "2fb31579bfc425aec628dcbd5d72a719b17b0279")</f>
        <v>0</v>
      </c>
      <c r="D16451" t="s">
        <v>5507</v>
      </c>
      <c r="E16451" t="s">
        <v>8834</v>
      </c>
      <c r="F16451" t="s">
        <v>13357</v>
      </c>
      <c r="G16451" t="s">
        <v>17484</v>
      </c>
      <c r="H16451" t="s">
        <v>33864</v>
      </c>
    </row>
    <row r="16452" spans="1:8">
      <c r="H16452" t="s">
        <v>33865</v>
      </c>
    </row>
    <row r="16453" spans="1:8">
      <c r="H16453" t="s">
        <v>33866</v>
      </c>
    </row>
    <row r="16454" spans="1:8">
      <c r="H16454" t="s">
        <v>33867</v>
      </c>
    </row>
    <row r="16455" spans="1:8">
      <c r="H16455" t="s">
        <v>33868</v>
      </c>
    </row>
    <row r="16456" spans="1:8">
      <c r="H16456" t="s">
        <v>33869</v>
      </c>
    </row>
    <row r="16457" spans="1:8">
      <c r="H16457" t="s">
        <v>33870</v>
      </c>
    </row>
    <row r="16458" spans="1:8">
      <c r="H16458" t="s">
        <v>33871</v>
      </c>
    </row>
    <row r="16459" spans="1:8">
      <c r="H16459" t="s">
        <v>33872</v>
      </c>
    </row>
    <row r="16460" spans="1:8">
      <c r="H16460" t="s">
        <v>33873</v>
      </c>
    </row>
    <row r="16461" spans="1:8">
      <c r="H16461" t="s">
        <v>33874</v>
      </c>
    </row>
    <row r="16462" spans="1:8">
      <c r="H16462" t="s">
        <v>33875</v>
      </c>
    </row>
    <row r="16463" spans="1:8">
      <c r="H16463" t="s">
        <v>33876</v>
      </c>
    </row>
    <row r="16464" spans="1:8">
      <c r="H16464" t="s">
        <v>33877</v>
      </c>
    </row>
    <row r="16465" spans="1:8">
      <c r="H16465" t="s">
        <v>33878</v>
      </c>
    </row>
    <row r="16466" spans="1:8">
      <c r="H16466" t="s">
        <v>33879</v>
      </c>
    </row>
    <row r="16467" spans="1:8">
      <c r="H16467" t="s">
        <v>33880</v>
      </c>
    </row>
    <row r="16468" spans="1:8">
      <c r="H16468" t="s">
        <v>33881</v>
      </c>
    </row>
    <row r="16469" spans="1:8">
      <c r="A16469" t="s">
        <v>3123</v>
      </c>
      <c r="B16469">
        <f>HYPERLINK("https://android.googlesource.com/platform/cts/+/1c14a93e39410c5a4515e0eff7d0e299ae014164", "1c14a93e39410c5a4515e0eff7d0e299ae014164")</f>
        <v>0</v>
      </c>
      <c r="C16469">
        <f>HYPERLINK("https://android.googlesource.com/platform/cts/+/8952224479769b4ba3557ac134d8c853f4c90c48", "8952224479769b4ba3557ac134d8c853f4c90c48")</f>
        <v>0</v>
      </c>
      <c r="D16469" t="s">
        <v>5363</v>
      </c>
      <c r="E16469" t="s">
        <v>8840</v>
      </c>
      <c r="F16469" t="s">
        <v>14033</v>
      </c>
      <c r="G16469" t="s">
        <v>18030</v>
      </c>
      <c r="H16469" t="s">
        <v>32856</v>
      </c>
    </row>
    <row r="16470" spans="1:8">
      <c r="H16470" t="s">
        <v>32924</v>
      </c>
    </row>
    <row r="16471" spans="1:8">
      <c r="H16471" t="s">
        <v>32925</v>
      </c>
    </row>
    <row r="16472" spans="1:8">
      <c r="A16472" t="s">
        <v>3124</v>
      </c>
      <c r="B16472">
        <f>HYPERLINK("https://android.googlesource.com/platform/cts/+/c5afdc881bc708bbe90409784bd4319e89b9c743", "c5afdc881bc708bbe90409784bd4319e89b9c743")</f>
        <v>0</v>
      </c>
      <c r="C16472">
        <f>HYPERLINK("https://android.googlesource.com/platform/cts/+/35074dc15f7fd18ad768292b1f6883a08b2f402b", "35074dc15f7fd18ad768292b1f6883a08b2f402b")</f>
        <v>0</v>
      </c>
      <c r="D16472" t="s">
        <v>5502</v>
      </c>
      <c r="E16472" t="s">
        <v>8841</v>
      </c>
      <c r="F16472" t="s">
        <v>14188</v>
      </c>
      <c r="G16472" t="s">
        <v>18168</v>
      </c>
      <c r="H16472" t="s">
        <v>18836</v>
      </c>
    </row>
    <row r="16473" spans="1:8">
      <c r="H16473" t="s">
        <v>19010</v>
      </c>
    </row>
    <row r="16474" spans="1:8">
      <c r="H16474" t="s">
        <v>33898</v>
      </c>
    </row>
    <row r="16475" spans="1:8">
      <c r="A16475" t="s">
        <v>3125</v>
      </c>
      <c r="B16475">
        <f>HYPERLINK("https://android.googlesource.com/platform/cts/+/0aa51fceeec7d72520571d9f1f1232511cbc1f6b", "0aa51fceeec7d72520571d9f1f1232511cbc1f6b")</f>
        <v>0</v>
      </c>
      <c r="C16475">
        <f>HYPERLINK("https://android.googlesource.com/platform/cts/+/9e2b08c2eefe8451af1f3c4760e524f0dbaf2074", "9e2b08c2eefe8451af1f3c4760e524f0dbaf2074")</f>
        <v>0</v>
      </c>
      <c r="D16475" t="s">
        <v>5515</v>
      </c>
      <c r="E16475" t="s">
        <v>8842</v>
      </c>
      <c r="F16475" t="s">
        <v>14084</v>
      </c>
      <c r="G16475" t="s">
        <v>18080</v>
      </c>
      <c r="H16475" t="s">
        <v>33899</v>
      </c>
    </row>
    <row r="16476" spans="1:8">
      <c r="H16476" t="s">
        <v>33900</v>
      </c>
    </row>
    <row r="16477" spans="1:8">
      <c r="A16477" t="s">
        <v>3126</v>
      </c>
      <c r="B16477">
        <f>HYPERLINK("https://android.googlesource.com/platform/cts/+/203b3c7cfc10ca0651aad8e75ebd5c573b303002", "203b3c7cfc10ca0651aad8e75ebd5c573b303002")</f>
        <v>0</v>
      </c>
      <c r="C16477">
        <f>HYPERLINK("https://android.googlesource.com/platform/cts/+/1f3dab8daf977436eb03c033e4985638dd567247", "1f3dab8daf977436eb03c033e4985638dd567247")</f>
        <v>0</v>
      </c>
      <c r="D16477" t="s">
        <v>5502</v>
      </c>
      <c r="E16477" t="s">
        <v>8843</v>
      </c>
      <c r="F16477" t="s">
        <v>14188</v>
      </c>
      <c r="G16477" t="s">
        <v>18168</v>
      </c>
      <c r="H16477" t="s">
        <v>18836</v>
      </c>
    </row>
    <row r="16478" spans="1:8">
      <c r="H16478" t="s">
        <v>19010</v>
      </c>
    </row>
    <row r="16479" spans="1:8">
      <c r="H16479" t="s">
        <v>33898</v>
      </c>
    </row>
    <row r="16480" spans="1:8">
      <c r="A16480" t="s">
        <v>3128</v>
      </c>
      <c r="B16480">
        <f>HYPERLINK("https://android.googlesource.com/platform/cts/+/b58ec1c04ea66db742c97c9683ead4b87ddbd11b", "b58ec1c04ea66db742c97c9683ead4b87ddbd11b")</f>
        <v>0</v>
      </c>
      <c r="C16480">
        <f>HYPERLINK("https://android.googlesource.com/platform/cts/+/0b753940813981a0a4563b9c79e911547c8579a2", "0b753940813981a0a4563b9c79e911547c8579a2")</f>
        <v>0</v>
      </c>
      <c r="D16480" t="s">
        <v>5512</v>
      </c>
      <c r="E16480" t="s">
        <v>8845</v>
      </c>
      <c r="F16480" t="s">
        <v>13990</v>
      </c>
      <c r="G16480" t="s">
        <v>18009</v>
      </c>
      <c r="H16480" t="s">
        <v>33902</v>
      </c>
    </row>
    <row r="16481" spans="1:8">
      <c r="A16481" t="s">
        <v>3132</v>
      </c>
      <c r="B16481">
        <f>HYPERLINK("https://android.googlesource.com/platform/cts/+/3f140e8024bf5f283eb8577fb7572594bed9427d", "3f140e8024bf5f283eb8577fb7572594bed9427d")</f>
        <v>0</v>
      </c>
      <c r="C16481">
        <f>HYPERLINK("https://android.googlesource.com/platform/cts/+/7a1edbf498714ccd9d551e172ee7bf9a87a6e454", "7a1edbf498714ccd9d551e172ee7bf9a87a6e454")</f>
        <v>0</v>
      </c>
      <c r="D16481" t="s">
        <v>5494</v>
      </c>
      <c r="E16481" t="s">
        <v>8849</v>
      </c>
      <c r="F16481" t="s">
        <v>14133</v>
      </c>
      <c r="G16481" t="s">
        <v>18122</v>
      </c>
      <c r="H16481" t="s">
        <v>33904</v>
      </c>
    </row>
    <row r="16482" spans="1:8">
      <c r="A16482" t="s">
        <v>3134</v>
      </c>
      <c r="B16482">
        <f>HYPERLINK("https://android.googlesource.com/platform/cts/+/bd679fdac9eba1c5b8b64eed41ae968f93ac16bf", "bd679fdac9eba1c5b8b64eed41ae968f93ac16bf")</f>
        <v>0</v>
      </c>
      <c r="C16482">
        <f>HYPERLINK("https://android.googlesource.com/platform/cts/+/d719a72c716c906cdd47091237d2a7c189bf75b1", "d719a72c716c906cdd47091237d2a7c189bf75b1")</f>
        <v>0</v>
      </c>
      <c r="D16482" t="s">
        <v>5473</v>
      </c>
      <c r="E16482" t="s">
        <v>8851</v>
      </c>
      <c r="F16482" t="s">
        <v>14185</v>
      </c>
      <c r="G16482" t="s">
        <v>18166</v>
      </c>
      <c r="H16482" t="s">
        <v>33905</v>
      </c>
    </row>
    <row r="16483" spans="1:8">
      <c r="A16483" t="s">
        <v>3135</v>
      </c>
      <c r="B16483">
        <f>HYPERLINK("https://android.googlesource.com/platform/cts/+/2778a5c4258fe732b963838deee4cd1a4b2a3980", "2778a5c4258fe732b963838deee4cd1a4b2a3980")</f>
        <v>0</v>
      </c>
      <c r="C16483">
        <f>HYPERLINK("https://android.googlesource.com/platform/cts/+/ae621cb53ea14e430ec4a768e6bf9b4363931ccc", "ae621cb53ea14e430ec4a768e6bf9b4363931ccc")</f>
        <v>0</v>
      </c>
      <c r="D16483" t="s">
        <v>5443</v>
      </c>
      <c r="E16483" t="s">
        <v>8852</v>
      </c>
      <c r="F16483" t="s">
        <v>13550</v>
      </c>
      <c r="G16483" t="s">
        <v>17569</v>
      </c>
      <c r="H16483" t="s">
        <v>33906</v>
      </c>
    </row>
    <row r="16484" spans="1:8">
      <c r="A16484" t="s">
        <v>3136</v>
      </c>
      <c r="B16484">
        <f>HYPERLINK("https://android.googlesource.com/platform/cts/+/ac34967dba05fa78db298c5e500c387c3d2517e2", "ac34967dba05fa78db298c5e500c387c3d2517e2")</f>
        <v>0</v>
      </c>
      <c r="C16484">
        <f>HYPERLINK("https://android.googlesource.com/platform/cts/+/04e6fd7033732ca5fdf7039f038def121013dccb", "04e6fd7033732ca5fdf7039f038def121013dccb")</f>
        <v>0</v>
      </c>
      <c r="D16484" t="s">
        <v>5517</v>
      </c>
      <c r="E16484" t="s">
        <v>8853</v>
      </c>
      <c r="F16484" t="s">
        <v>13977</v>
      </c>
      <c r="G16484" t="s">
        <v>18002</v>
      </c>
      <c r="H16484" t="s">
        <v>33907</v>
      </c>
    </row>
    <row r="16485" spans="1:8">
      <c r="H16485" t="s">
        <v>33908</v>
      </c>
    </row>
    <row r="16486" spans="1:8">
      <c r="A16486" t="s">
        <v>3137</v>
      </c>
      <c r="B16486">
        <f>HYPERLINK("https://android.googlesource.com/platform/cts/+/423f3deece28096078a2555c0c6945a1b9d5799d", "423f3deece28096078a2555c0c6945a1b9d5799d")</f>
        <v>0</v>
      </c>
      <c r="C16486">
        <f>HYPERLINK("https://android.googlesource.com/platform/cts/+/a70f55909db3f19bf87eb223f6eb919d58c1b2ad", "a70f55909db3f19bf87eb223f6eb919d58c1b2ad")</f>
        <v>0</v>
      </c>
      <c r="D16486" t="s">
        <v>5518</v>
      </c>
      <c r="E16486" t="s">
        <v>8854</v>
      </c>
      <c r="F16486" t="s">
        <v>13371</v>
      </c>
      <c r="G16486" t="s">
        <v>17498</v>
      </c>
      <c r="H16486" t="s">
        <v>33909</v>
      </c>
    </row>
    <row r="16487" spans="1:8">
      <c r="H16487" t="s">
        <v>33910</v>
      </c>
    </row>
    <row r="16488" spans="1:8">
      <c r="H16488" t="s">
        <v>33911</v>
      </c>
    </row>
    <row r="16489" spans="1:8">
      <c r="A16489" t="s">
        <v>3141</v>
      </c>
      <c r="B16489">
        <f>HYPERLINK("https://android.googlesource.com/platform/cts/+/a57cfc167fdc49c4cd91e7b4cf2f5f0b47e03e14", "a57cfc167fdc49c4cd91e7b4cf2f5f0b47e03e14")</f>
        <v>0</v>
      </c>
      <c r="C16489">
        <f>HYPERLINK("https://android.googlesource.com/platform/cts/+/b3705b190f03f63d6f6b9c296b770581af927477", "b3705b190f03f63d6f6b9c296b770581af927477")</f>
        <v>0</v>
      </c>
      <c r="D16489" t="s">
        <v>5244</v>
      </c>
      <c r="E16489" t="s">
        <v>8858</v>
      </c>
      <c r="F16489" t="s">
        <v>13977</v>
      </c>
      <c r="G16489" t="s">
        <v>18002</v>
      </c>
      <c r="H16489" t="s">
        <v>32672</v>
      </c>
    </row>
    <row r="16490" spans="1:8">
      <c r="H16490" t="s">
        <v>32673</v>
      </c>
    </row>
    <row r="16491" spans="1:8">
      <c r="A16491" t="s">
        <v>3146</v>
      </c>
      <c r="B16491">
        <f>HYPERLINK("https://android.googlesource.com/platform/cts/+/679fae2f7a5516002c0f74ecdbc380ca52fec0e3", "679fae2f7a5516002c0f74ecdbc380ca52fec0e3")</f>
        <v>0</v>
      </c>
      <c r="C16491">
        <f>HYPERLINK("https://android.googlesource.com/platform/cts/+/ab7673ec7e011eb2b1827a33ba93afefb7311258", "ab7673ec7e011eb2b1827a33ba93afefb7311258")</f>
        <v>0</v>
      </c>
      <c r="D16491" t="s">
        <v>5519</v>
      </c>
      <c r="E16491" t="s">
        <v>8863</v>
      </c>
      <c r="F16491" t="s">
        <v>13834</v>
      </c>
      <c r="G16491" t="s">
        <v>17877</v>
      </c>
      <c r="H16491" t="s">
        <v>33916</v>
      </c>
    </row>
    <row r="16492" spans="1:8">
      <c r="A16492" t="s">
        <v>3148</v>
      </c>
      <c r="B16492">
        <f>HYPERLINK("https://android.googlesource.com/platform/cts/+/05c9dc2d20d0b0231616a25d02ac8ecb6d678a24", "05c9dc2d20d0b0231616a25d02ac8ecb6d678a24")</f>
        <v>0</v>
      </c>
      <c r="C16492">
        <f>HYPERLINK("https://android.googlesource.com/platform/cts/+/f26a0c2541402aafad152b5d018c4413d463eb5b", "f26a0c2541402aafad152b5d018c4413d463eb5b")</f>
        <v>0</v>
      </c>
      <c r="D16492" t="s">
        <v>5520</v>
      </c>
      <c r="E16492" t="s">
        <v>8864</v>
      </c>
      <c r="F16492" t="s">
        <v>13650</v>
      </c>
      <c r="G16492" t="s">
        <v>17726</v>
      </c>
      <c r="H16492" t="s">
        <v>33917</v>
      </c>
    </row>
    <row r="16493" spans="1:8">
      <c r="H16493" t="s">
        <v>33918</v>
      </c>
    </row>
    <row r="16494" spans="1:8">
      <c r="A16494" t="s">
        <v>3152</v>
      </c>
      <c r="B16494">
        <f>HYPERLINK("https://android.googlesource.com/platform/cts/+/51d629daf1c85bf12a00eaaa3c45c641673fa6d8", "51d629daf1c85bf12a00eaaa3c45c641673fa6d8")</f>
        <v>0</v>
      </c>
      <c r="C16494">
        <f>HYPERLINK("https://android.googlesource.com/platform/cts/+/82661c7936457b3a8ef92349025dad9d8326fd0f", "82661c7936457b3a8ef92349025dad9d8326fd0f")</f>
        <v>0</v>
      </c>
      <c r="D16494" t="s">
        <v>5117</v>
      </c>
      <c r="E16494" t="s">
        <v>8868</v>
      </c>
      <c r="F16494" t="s">
        <v>13839</v>
      </c>
      <c r="G16494" t="s">
        <v>17882</v>
      </c>
      <c r="H16494" t="s">
        <v>33927</v>
      </c>
    </row>
    <row r="16495" spans="1:8">
      <c r="H16495" t="s">
        <v>33928</v>
      </c>
    </row>
    <row r="16496" spans="1:8">
      <c r="H16496" t="s">
        <v>33929</v>
      </c>
    </row>
    <row r="16497" spans="8:8">
      <c r="H16497" t="s">
        <v>33930</v>
      </c>
    </row>
    <row r="16498" spans="8:8">
      <c r="H16498" t="s">
        <v>33931</v>
      </c>
    </row>
    <row r="16499" spans="8:8">
      <c r="H16499" t="s">
        <v>33932</v>
      </c>
    </row>
    <row r="16500" spans="8:8">
      <c r="H16500" t="s">
        <v>33933</v>
      </c>
    </row>
    <row r="16501" spans="8:8">
      <c r="H16501" t="s">
        <v>33934</v>
      </c>
    </row>
    <row r="16502" spans="8:8">
      <c r="H16502" t="s">
        <v>33935</v>
      </c>
    </row>
    <row r="16503" spans="8:8">
      <c r="H16503" t="s">
        <v>33936</v>
      </c>
    </row>
    <row r="16504" spans="8:8">
      <c r="H16504" t="s">
        <v>33937</v>
      </c>
    </row>
    <row r="16505" spans="8:8">
      <c r="H16505" t="s">
        <v>33938</v>
      </c>
    </row>
    <row r="16506" spans="8:8">
      <c r="H16506" t="s">
        <v>33939</v>
      </c>
    </row>
    <row r="16507" spans="8:8">
      <c r="H16507" t="s">
        <v>33940</v>
      </c>
    </row>
    <row r="16508" spans="8:8">
      <c r="H16508" t="s">
        <v>33941</v>
      </c>
    </row>
    <row r="16509" spans="8:8">
      <c r="H16509" t="s">
        <v>33942</v>
      </c>
    </row>
    <row r="16510" spans="8:8">
      <c r="H16510" t="s">
        <v>33943</v>
      </c>
    </row>
    <row r="16511" spans="8:8">
      <c r="H16511" t="s">
        <v>33944</v>
      </c>
    </row>
    <row r="16512" spans="8:8">
      <c r="H16512" t="s">
        <v>33945</v>
      </c>
    </row>
    <row r="16513" spans="1:8">
      <c r="H16513" t="s">
        <v>33946</v>
      </c>
    </row>
    <row r="16514" spans="1:8">
      <c r="H16514" t="s">
        <v>33947</v>
      </c>
    </row>
    <row r="16515" spans="1:8">
      <c r="H16515" t="s">
        <v>33948</v>
      </c>
    </row>
    <row r="16516" spans="1:8">
      <c r="H16516" t="s">
        <v>33949</v>
      </c>
    </row>
    <row r="16517" spans="1:8">
      <c r="A16517" t="s">
        <v>3156</v>
      </c>
      <c r="B16517">
        <f>HYPERLINK("https://android.googlesource.com/platform/cts/+/9d83bb18bd41136dbd29ac3f5375dc361198742a", "9d83bb18bd41136dbd29ac3f5375dc361198742a")</f>
        <v>0</v>
      </c>
      <c r="C16517">
        <f>HYPERLINK("https://android.googlesource.com/platform/cts/+/4795216e44546d511fbdbd52ac0e86262f554607", "4795216e44546d511fbdbd52ac0e86262f554607")</f>
        <v>0</v>
      </c>
      <c r="D16517" t="s">
        <v>5443</v>
      </c>
      <c r="E16517" t="s">
        <v>8872</v>
      </c>
      <c r="F16517" t="s">
        <v>13990</v>
      </c>
      <c r="G16517" t="s">
        <v>18009</v>
      </c>
      <c r="H16517" t="s">
        <v>33954</v>
      </c>
    </row>
    <row r="16518" spans="1:8">
      <c r="A16518" t="s">
        <v>3157</v>
      </c>
      <c r="B16518">
        <f>HYPERLINK("https://android.googlesource.com/platform/cts/+/e15fef902f4bac20c71679822ec3cebb712cabab", "e15fef902f4bac20c71679822ec3cebb712cabab")</f>
        <v>0</v>
      </c>
      <c r="C16518">
        <f>HYPERLINK("https://android.googlesource.com/platform/cts/+/7af55189966e6a9fd1c3e41c454269bd2814b980", "7af55189966e6a9fd1c3e41c454269bd2814b980")</f>
        <v>0</v>
      </c>
      <c r="D16518" t="s">
        <v>5494</v>
      </c>
      <c r="E16518" t="s">
        <v>8873</v>
      </c>
      <c r="F16518" t="s">
        <v>14133</v>
      </c>
      <c r="G16518" t="s">
        <v>18122</v>
      </c>
      <c r="H16518" t="s">
        <v>33616</v>
      </c>
    </row>
    <row r="16519" spans="1:8">
      <c r="A16519" t="s">
        <v>3158</v>
      </c>
      <c r="B16519">
        <f>HYPERLINK("https://android.googlesource.com/platform/cts/+/a2e577aa547397cbe2ee961871147f1493bd36f0", "a2e577aa547397cbe2ee961871147f1493bd36f0")</f>
        <v>0</v>
      </c>
      <c r="C16519">
        <f>HYPERLINK("https://android.googlesource.com/platform/cts/+/ffb5d6546f8b6049ef0a6091cee26e027727194b", "ffb5d6546f8b6049ef0a6091cee26e027727194b")</f>
        <v>0</v>
      </c>
      <c r="D16519" t="s">
        <v>5483</v>
      </c>
      <c r="E16519" t="s">
        <v>8874</v>
      </c>
      <c r="F16519" t="s">
        <v>14193</v>
      </c>
      <c r="G16519" t="s">
        <v>18172</v>
      </c>
      <c r="H16519" t="s">
        <v>33955</v>
      </c>
    </row>
    <row r="16520" spans="1:8">
      <c r="A16520" t="s">
        <v>3161</v>
      </c>
      <c r="B16520">
        <f>HYPERLINK("https://android.googlesource.com/platform/cts/+/52983e2746ed6a149ccd7337e243a0fb71248519", "52983e2746ed6a149ccd7337e243a0fb71248519")</f>
        <v>0</v>
      </c>
      <c r="C16520">
        <f>HYPERLINK("https://android.googlesource.com/platform/cts/+/a7dcdb475eba403bc19f234157bd5a31656684b9", "a7dcdb475eba403bc19f234157bd5a31656684b9")</f>
        <v>0</v>
      </c>
      <c r="D16520" t="s">
        <v>5512</v>
      </c>
      <c r="E16520" t="s">
        <v>8877</v>
      </c>
      <c r="F16520" t="s">
        <v>12710</v>
      </c>
      <c r="G16520" t="s">
        <v>16911</v>
      </c>
      <c r="H16520" t="s">
        <v>33765</v>
      </c>
    </row>
    <row r="16521" spans="1:8">
      <c r="A16521" t="s">
        <v>3162</v>
      </c>
      <c r="B16521">
        <f>HYPERLINK("https://android.googlesource.com/platform/cts/+/4a2b7c15bf19a045187ae7b5c8c86641d8aa740f", "4a2b7c15bf19a045187ae7b5c8c86641d8aa740f")</f>
        <v>0</v>
      </c>
      <c r="C16521">
        <f>HYPERLINK("https://android.googlesource.com/platform/cts/+/3d1dda9e3cf179b8fb4d20610a2538178e7b64d1", "3d1dda9e3cf179b8fb4d20610a2538178e7b64d1")</f>
        <v>0</v>
      </c>
      <c r="D16521" t="s">
        <v>5512</v>
      </c>
      <c r="E16521" t="s">
        <v>8878</v>
      </c>
      <c r="F16521" t="s">
        <v>12710</v>
      </c>
      <c r="G16521" t="s">
        <v>16911</v>
      </c>
      <c r="H16521" t="s">
        <v>33765</v>
      </c>
    </row>
    <row r="16522" spans="1:8">
      <c r="A16522" t="s">
        <v>3163</v>
      </c>
      <c r="B16522">
        <f>HYPERLINK("https://android.googlesource.com/platform/cts/+/037e8a0a8bdecaf69b3933e9a40ad1b7fd93f205", "037e8a0a8bdecaf69b3933e9a40ad1b7fd93f205")</f>
        <v>0</v>
      </c>
      <c r="C16522">
        <f>HYPERLINK("https://android.googlesource.com/platform/cts/+/d61d5021ce81d829c4c2d57eb0d6db2b2976b725", "d61d5021ce81d829c4c2d57eb0d6db2b2976b725")</f>
        <v>0</v>
      </c>
      <c r="D16522" t="s">
        <v>5512</v>
      </c>
      <c r="E16522" t="s">
        <v>8879</v>
      </c>
      <c r="F16522" t="s">
        <v>13990</v>
      </c>
      <c r="G16522" t="s">
        <v>18009</v>
      </c>
      <c r="H16522" t="s">
        <v>33956</v>
      </c>
    </row>
    <row r="16523" spans="1:8">
      <c r="A16523" t="s">
        <v>3164</v>
      </c>
      <c r="B16523">
        <f>HYPERLINK("https://android.googlesource.com/platform/cts/+/8ae79c20a9dace79c7f9d35f811ac898ca33ea5a", "8ae79c20a9dace79c7f9d35f811ac898ca33ea5a")</f>
        <v>0</v>
      </c>
      <c r="C16523">
        <f>HYPERLINK("https://android.googlesource.com/platform/cts/+/8da7c240d47e1c1a5abb762c11f1bd50290b83fe", "8da7c240d47e1c1a5abb762c11f1bd50290b83fe")</f>
        <v>0</v>
      </c>
      <c r="D16523" t="s">
        <v>5522</v>
      </c>
      <c r="E16523" t="s">
        <v>8880</v>
      </c>
      <c r="F16523" t="s">
        <v>14194</v>
      </c>
      <c r="G16523" t="s">
        <v>18173</v>
      </c>
      <c r="H16523" t="s">
        <v>33957</v>
      </c>
    </row>
    <row r="16524" spans="1:8">
      <c r="H16524" t="s">
        <v>33958</v>
      </c>
    </row>
    <row r="16525" spans="1:8">
      <c r="H16525" t="s">
        <v>33959</v>
      </c>
    </row>
    <row r="16526" spans="1:8">
      <c r="H16526" t="s">
        <v>33960</v>
      </c>
    </row>
    <row r="16527" spans="1:8">
      <c r="H16527" t="s">
        <v>33961</v>
      </c>
    </row>
    <row r="16528" spans="1:8">
      <c r="H16528" t="s">
        <v>33962</v>
      </c>
    </row>
    <row r="16529" spans="1:8">
      <c r="H16529" t="s">
        <v>33963</v>
      </c>
    </row>
    <row r="16530" spans="1:8">
      <c r="H16530" t="s">
        <v>33964</v>
      </c>
    </row>
    <row r="16531" spans="1:8">
      <c r="H16531" t="s">
        <v>33965</v>
      </c>
    </row>
    <row r="16532" spans="1:8">
      <c r="H16532" t="s">
        <v>33966</v>
      </c>
    </row>
    <row r="16533" spans="1:8">
      <c r="H16533" t="s">
        <v>33967</v>
      </c>
    </row>
    <row r="16534" spans="1:8">
      <c r="H16534" t="s">
        <v>33968</v>
      </c>
    </row>
    <row r="16535" spans="1:8">
      <c r="A16535" t="s">
        <v>3168</v>
      </c>
      <c r="B16535">
        <f>HYPERLINK("https://android.googlesource.com/platform/cts/+/e5a396ce501475fe3f7ba3caa8d5978da986b9db", "e5a396ce501475fe3f7ba3caa8d5978da986b9db")</f>
        <v>0</v>
      </c>
      <c r="C16535">
        <f>HYPERLINK("https://android.googlesource.com/platform/cts/+/db1c28346c86cda192d09b6d71a12210d3a9e063", "db1c28346c86cda192d09b6d71a12210d3a9e063")</f>
        <v>0</v>
      </c>
      <c r="D16535" t="s">
        <v>5134</v>
      </c>
      <c r="E16535" t="s">
        <v>8884</v>
      </c>
      <c r="F16535" t="s">
        <v>14197</v>
      </c>
      <c r="G16535" t="s">
        <v>18176</v>
      </c>
      <c r="H16535" t="s">
        <v>33971</v>
      </c>
    </row>
    <row r="16536" spans="1:8">
      <c r="H16536" t="s">
        <v>33972</v>
      </c>
    </row>
    <row r="16537" spans="1:8">
      <c r="H16537" t="s">
        <v>33973</v>
      </c>
    </row>
    <row r="16538" spans="1:8">
      <c r="H16538" t="s">
        <v>33974</v>
      </c>
    </row>
    <row r="16539" spans="1:8">
      <c r="H16539" t="s">
        <v>33975</v>
      </c>
    </row>
    <row r="16540" spans="1:8">
      <c r="H16540" t="s">
        <v>33977</v>
      </c>
    </row>
    <row r="16541" spans="1:8">
      <c r="H16541" t="s">
        <v>33978</v>
      </c>
    </row>
    <row r="16542" spans="1:8">
      <c r="A16542" t="s">
        <v>3171</v>
      </c>
      <c r="B16542">
        <f>HYPERLINK("https://android.googlesource.com/platform/cts/+/c58d612f2de930e3ff94a535cc6ba262a36b14a6", "c58d612f2de930e3ff94a535cc6ba262a36b14a6")</f>
        <v>0</v>
      </c>
      <c r="C16542">
        <f>HYPERLINK("https://android.googlesource.com/platform/cts/+/adae68c82b4c55bc1ab9a014a559d4bd7bfe3b94", "adae68c82b4c55bc1ab9a014a559d4bd7bfe3b94")</f>
        <v>0</v>
      </c>
      <c r="D16542" t="s">
        <v>5139</v>
      </c>
      <c r="E16542" t="s">
        <v>8887</v>
      </c>
      <c r="F16542" t="s">
        <v>13816</v>
      </c>
      <c r="G16542" t="s">
        <v>15089</v>
      </c>
      <c r="H16542" t="s">
        <v>33989</v>
      </c>
    </row>
    <row r="16543" spans="1:8">
      <c r="H16543" t="s">
        <v>33990</v>
      </c>
    </row>
    <row r="16544" spans="1:8">
      <c r="H16544" t="s">
        <v>33991</v>
      </c>
    </row>
    <row r="16545" spans="1:8">
      <c r="H16545" t="s">
        <v>33992</v>
      </c>
    </row>
    <row r="16546" spans="1:8">
      <c r="A16546" t="s">
        <v>3173</v>
      </c>
      <c r="B16546">
        <f>HYPERLINK("https://android.googlesource.com/platform/cts/+/563dc74407adc595ba84021e09203971a7c71e28", "563dc74407adc595ba84021e09203971a7c71e28")</f>
        <v>0</v>
      </c>
      <c r="C16546">
        <f>HYPERLINK("https://android.googlesource.com/platform/cts/+/29ea696b682e3d22b040bcfafcad8ff04b36d260", "29ea696b682e3d22b040bcfafcad8ff04b36d260")</f>
        <v>0</v>
      </c>
      <c r="D16546" t="s">
        <v>5472</v>
      </c>
      <c r="E16546" t="s">
        <v>8889</v>
      </c>
      <c r="F16546" t="s">
        <v>14062</v>
      </c>
      <c r="G16546" t="s">
        <v>18060</v>
      </c>
      <c r="H16546" t="s">
        <v>33995</v>
      </c>
    </row>
    <row r="16547" spans="1:8">
      <c r="H16547" t="s">
        <v>33996</v>
      </c>
    </row>
    <row r="16548" spans="1:8">
      <c r="H16548" t="s">
        <v>33997</v>
      </c>
    </row>
    <row r="16549" spans="1:8">
      <c r="F16549" t="s">
        <v>14122</v>
      </c>
      <c r="G16549" t="s">
        <v>18112</v>
      </c>
      <c r="H16549" t="s">
        <v>33998</v>
      </c>
    </row>
    <row r="16550" spans="1:8">
      <c r="A16550" t="s">
        <v>3175</v>
      </c>
      <c r="B16550">
        <f>HYPERLINK("https://android.googlesource.com/platform/cts/+/02a66d3355f399b83be12c724c1e3149af60cf7c", "02a66d3355f399b83be12c724c1e3149af60cf7c")</f>
        <v>0</v>
      </c>
      <c r="C16550">
        <f>HYPERLINK("https://android.googlesource.com/platform/cts/+/47618dd61cfb39d68b4a5341999917b1d96b1975", "47618dd61cfb39d68b4a5341999917b1d96b1975")</f>
        <v>0</v>
      </c>
      <c r="D16550" t="s">
        <v>5526</v>
      </c>
      <c r="E16550" t="s">
        <v>8891</v>
      </c>
      <c r="F16550" t="s">
        <v>13227</v>
      </c>
      <c r="G16550" t="s">
        <v>17368</v>
      </c>
      <c r="H16550" t="s">
        <v>29751</v>
      </c>
    </row>
    <row r="16551" spans="1:8">
      <c r="A16551" t="s">
        <v>3176</v>
      </c>
      <c r="B16551">
        <f>HYPERLINK("https://android.googlesource.com/platform/cts/+/fd75864da2796bcda58f036b0adf711a0854259f", "fd75864da2796bcda58f036b0adf711a0854259f")</f>
        <v>0</v>
      </c>
      <c r="C16551">
        <f>HYPERLINK("https://android.googlesource.com/platform/cts/+/47618dd61cfb39d68b4a5341999917b1d96b1975", "47618dd61cfb39d68b4a5341999917b1d96b1975")</f>
        <v>0</v>
      </c>
      <c r="D16551" t="s">
        <v>5526</v>
      </c>
      <c r="E16551" t="s">
        <v>8892</v>
      </c>
      <c r="F16551" t="s">
        <v>13223</v>
      </c>
      <c r="G16551" t="s">
        <v>17365</v>
      </c>
      <c r="H16551" t="s">
        <v>34001</v>
      </c>
    </row>
    <row r="16552" spans="1:8">
      <c r="H16552" t="s">
        <v>34002</v>
      </c>
    </row>
    <row r="16553" spans="1:8">
      <c r="F16553" t="s">
        <v>14199</v>
      </c>
      <c r="G16553" t="s">
        <v>18178</v>
      </c>
      <c r="H16553" t="s">
        <v>34007</v>
      </c>
    </row>
    <row r="16554" spans="1:8">
      <c r="A16554" t="s">
        <v>3178</v>
      </c>
      <c r="B16554">
        <f>HYPERLINK("https://android.googlesource.com/platform/cts/+/11d02c8d75d35c2fd3b3c98c2773b5b25d015ce8", "11d02c8d75d35c2fd3b3c98c2773b5b25d015ce8")</f>
        <v>0</v>
      </c>
      <c r="C16554">
        <f>HYPERLINK("https://android.googlesource.com/platform/cts/+/49b2a2136961b9e348cf1a31aab6e698dfcf33f3", "49b2a2136961b9e348cf1a31aab6e698dfcf33f3")</f>
        <v>0</v>
      </c>
      <c r="D16554" t="s">
        <v>5334</v>
      </c>
      <c r="E16554" t="s">
        <v>8894</v>
      </c>
      <c r="F16554" t="s">
        <v>14200</v>
      </c>
      <c r="G16554" t="s">
        <v>18179</v>
      </c>
      <c r="H16554" t="s">
        <v>34014</v>
      </c>
    </row>
    <row r="16555" spans="1:8">
      <c r="H16555" t="s">
        <v>34015</v>
      </c>
    </row>
    <row r="16556" spans="1:8">
      <c r="A16556" t="s">
        <v>3179</v>
      </c>
      <c r="B16556">
        <f>HYPERLINK("https://android.googlesource.com/platform/cts/+/55de88314923bd2211aa640f510fab3f6aacaf7f", "55de88314923bd2211aa640f510fab3f6aacaf7f")</f>
        <v>0</v>
      </c>
      <c r="C16556">
        <f>HYPERLINK("https://android.googlesource.com/platform/cts/+/d5aa68c56a5ad76821980ed0cc01eb231057f4b0", "d5aa68c56a5ad76821980ed0cc01eb231057f4b0")</f>
        <v>0</v>
      </c>
      <c r="D16556" t="s">
        <v>5341</v>
      </c>
      <c r="E16556" t="s">
        <v>8895</v>
      </c>
      <c r="F16556" t="s">
        <v>13827</v>
      </c>
      <c r="G16556" t="s">
        <v>17871</v>
      </c>
      <c r="H16556" t="s">
        <v>34016</v>
      </c>
    </row>
    <row r="16557" spans="1:8">
      <c r="H16557" t="s">
        <v>34017</v>
      </c>
    </row>
    <row r="16558" spans="1:8">
      <c r="H16558" t="s">
        <v>34018</v>
      </c>
    </row>
    <row r="16559" spans="1:8">
      <c r="A16559" t="s">
        <v>3182</v>
      </c>
      <c r="B16559">
        <f>HYPERLINK("https://android.googlesource.com/platform/cts/+/d0d9f7e9467ca8407f2254c3b16d7686950dc795", "d0d9f7e9467ca8407f2254c3b16d7686950dc795")</f>
        <v>0</v>
      </c>
      <c r="C16559">
        <f>HYPERLINK("https://android.googlesource.com/platform/cts/+/5d4b9941a1abbb2da6add1144be76d8c8f45aadf", "5d4b9941a1abbb2da6add1144be76d8c8f45aadf")</f>
        <v>0</v>
      </c>
      <c r="D16559" t="s">
        <v>5374</v>
      </c>
      <c r="E16559" t="s">
        <v>8898</v>
      </c>
      <c r="F16559" t="s">
        <v>13165</v>
      </c>
      <c r="G16559" t="s">
        <v>17315</v>
      </c>
      <c r="H16559" t="s">
        <v>34021</v>
      </c>
    </row>
    <row r="16560" spans="1:8">
      <c r="A16560" t="s">
        <v>3185</v>
      </c>
      <c r="B16560">
        <f>HYPERLINK("https://android.googlesource.com/platform/cts/+/1aecd2cb09decf70f457f07a44ef1edf22bcf286", "1aecd2cb09decf70f457f07a44ef1edf22bcf286")</f>
        <v>0</v>
      </c>
      <c r="C16560">
        <f>HYPERLINK("https://android.googlesource.com/platform/cts/+/808520feac531864be1cbf9018b0ab7c641ae3c7", "808520feac531864be1cbf9018b0ab7c641ae3c7")</f>
        <v>0</v>
      </c>
      <c r="D16560" t="s">
        <v>5277</v>
      </c>
      <c r="E16560" t="s">
        <v>8901</v>
      </c>
      <c r="F16560" t="s">
        <v>13912</v>
      </c>
      <c r="G16560" t="s">
        <v>17949</v>
      </c>
      <c r="H16560" t="s">
        <v>34024</v>
      </c>
    </row>
    <row r="16561" spans="1:8">
      <c r="A16561" t="s">
        <v>3186</v>
      </c>
      <c r="B16561">
        <f>HYPERLINK("https://android.googlesource.com/platform/cts/+/c89ed95219a4235f78bab6289e80d5d02cb72398", "c89ed95219a4235f78bab6289e80d5d02cb72398")</f>
        <v>0</v>
      </c>
      <c r="C16561">
        <f>HYPERLINK("https://android.googlesource.com/platform/cts/+/b1d5e2b89cf58084fa2d33ac018da2ee3c3920af", "b1d5e2b89cf58084fa2d33ac018da2ee3c3920af")</f>
        <v>0</v>
      </c>
      <c r="D16561" t="s">
        <v>5357</v>
      </c>
      <c r="E16561" t="s">
        <v>8902</v>
      </c>
      <c r="F16561" t="s">
        <v>14202</v>
      </c>
      <c r="G16561" t="s">
        <v>17995</v>
      </c>
      <c r="H16561" t="s">
        <v>34025</v>
      </c>
    </row>
    <row r="16562" spans="1:8">
      <c r="A16562" t="s">
        <v>3191</v>
      </c>
      <c r="B16562">
        <f>HYPERLINK("https://android.googlesource.com/platform/cts/+/beb49990df5d3a6304baab3531bb470f274edd2b", "beb49990df5d3a6304baab3531bb470f274edd2b")</f>
        <v>0</v>
      </c>
      <c r="C16562">
        <f>HYPERLINK("https://android.googlesource.com/platform/cts/+/bcd6370fc6bac1d96804479abc40093920cca5df", "bcd6370fc6bac1d96804479abc40093920cca5df")</f>
        <v>0</v>
      </c>
      <c r="D16562" t="s">
        <v>5463</v>
      </c>
      <c r="E16562" t="s">
        <v>8906</v>
      </c>
      <c r="F16562" t="s">
        <v>14205</v>
      </c>
      <c r="G16562" t="s">
        <v>18181</v>
      </c>
      <c r="H16562" t="s">
        <v>34030</v>
      </c>
    </row>
    <row r="16563" spans="1:8">
      <c r="H16563" t="s">
        <v>34031</v>
      </c>
    </row>
    <row r="16564" spans="1:8">
      <c r="A16564" t="s">
        <v>3192</v>
      </c>
      <c r="B16564">
        <f>HYPERLINK("https://android.googlesource.com/platform/cts/+/343e16244a21adcfe402e67b64a618dc8c48f81c", "343e16244a21adcfe402e67b64a618dc8c48f81c")</f>
        <v>0</v>
      </c>
      <c r="C16564">
        <f>HYPERLINK("https://android.googlesource.com/platform/cts/+/fec07ed43e59ecad51f87e11de2da8639e7d9b74", "fec07ed43e59ecad51f87e11de2da8639e7d9b74")</f>
        <v>0</v>
      </c>
      <c r="D16564" t="s">
        <v>5497</v>
      </c>
      <c r="E16564" t="s">
        <v>8907</v>
      </c>
      <c r="F16564" t="s">
        <v>14145</v>
      </c>
      <c r="G16564" t="s">
        <v>18133</v>
      </c>
      <c r="H16564" t="s">
        <v>34038</v>
      </c>
    </row>
    <row r="16565" spans="1:8">
      <c r="A16565" t="s">
        <v>3194</v>
      </c>
      <c r="B16565">
        <f>HYPERLINK("https://android.googlesource.com/platform/cts/+/402f9aed16d5413003008334525720a695e47fda", "402f9aed16d5413003008334525720a695e47fda")</f>
        <v>0</v>
      </c>
      <c r="C16565">
        <f>HYPERLINK("https://android.googlesource.com/platform/cts/+/a84bc3ab2d1c30cf30da2a012aebaab09f9bcb32", "a84bc3ab2d1c30cf30da2a012aebaab09f9bcb32")</f>
        <v>0</v>
      </c>
      <c r="D16565" t="s">
        <v>5528</v>
      </c>
      <c r="E16565" t="s">
        <v>8909</v>
      </c>
      <c r="F16565" t="s">
        <v>14209</v>
      </c>
      <c r="G16565" t="s">
        <v>18185</v>
      </c>
      <c r="H16565" t="s">
        <v>34050</v>
      </c>
    </row>
    <row r="16566" spans="1:8">
      <c r="A16566" t="s">
        <v>3202</v>
      </c>
      <c r="B16566">
        <f>HYPERLINK("https://android.googlesource.com/platform/cts/+/f44117f90b64bc06c76eb6dcc00250ebd8ac0fc2", "f44117f90b64bc06c76eb6dcc00250ebd8ac0fc2")</f>
        <v>0</v>
      </c>
      <c r="C16566">
        <f>HYPERLINK("https://android.googlesource.com/platform/cts/+/28e4db098fd898eb601066a15d20786f50c1ed4f", "28e4db098fd898eb601066a15d20786f50c1ed4f")</f>
        <v>0</v>
      </c>
      <c r="D16566" t="s">
        <v>5195</v>
      </c>
      <c r="E16566" t="s">
        <v>8916</v>
      </c>
      <c r="F16566" t="s">
        <v>13816</v>
      </c>
      <c r="G16566" t="s">
        <v>15089</v>
      </c>
      <c r="H16566" t="s">
        <v>34057</v>
      </c>
    </row>
    <row r="16567" spans="1:8">
      <c r="H16567" t="s">
        <v>34058</v>
      </c>
    </row>
    <row r="16568" spans="1:8">
      <c r="H16568" t="s">
        <v>34059</v>
      </c>
    </row>
    <row r="16569" spans="1:8">
      <c r="H16569" t="s">
        <v>34060</v>
      </c>
    </row>
    <row r="16570" spans="1:8">
      <c r="H16570" t="s">
        <v>34061</v>
      </c>
    </row>
    <row r="16571" spans="1:8">
      <c r="H16571" t="s">
        <v>34062</v>
      </c>
    </row>
    <row r="16572" spans="1:8">
      <c r="A16572" t="s">
        <v>3203</v>
      </c>
      <c r="B16572">
        <f>HYPERLINK("https://android.googlesource.com/platform/cts/+/d0449b2b17291658168090c234f9135923826ade", "d0449b2b17291658168090c234f9135923826ade")</f>
        <v>0</v>
      </c>
      <c r="C16572">
        <f>HYPERLINK("https://android.googlesource.com/platform/cts/+/018f1f77593bd2c1123b1edba93e762bf0178fea", "018f1f77593bd2c1123b1edba93e762bf0178fea")</f>
        <v>0</v>
      </c>
      <c r="D16572" t="s">
        <v>5513</v>
      </c>
      <c r="E16572" t="s">
        <v>8917</v>
      </c>
      <c r="F16572" t="s">
        <v>14214</v>
      </c>
      <c r="G16572" t="s">
        <v>18188</v>
      </c>
      <c r="H16572" t="s">
        <v>34070</v>
      </c>
    </row>
    <row r="16573" spans="1:8">
      <c r="H16573" t="s">
        <v>34071</v>
      </c>
    </row>
    <row r="16574" spans="1:8">
      <c r="A16574" t="s">
        <v>3204</v>
      </c>
      <c r="B16574">
        <f>HYPERLINK("https://android.googlesource.com/platform/cts/+/9780db52625073ddbe48c2e93bc32ecb0618f40d", "9780db52625073ddbe48c2e93bc32ecb0618f40d")</f>
        <v>0</v>
      </c>
      <c r="C16574">
        <f>HYPERLINK("https://android.googlesource.com/platform/cts/+/e6476ccb1093ad9d2e05184c4c761e5cd3119a1b", "e6476ccb1093ad9d2e05184c4c761e5cd3119a1b")</f>
        <v>0</v>
      </c>
      <c r="D16574" t="s">
        <v>5512</v>
      </c>
      <c r="E16574" t="s">
        <v>8918</v>
      </c>
      <c r="F16574" t="s">
        <v>13990</v>
      </c>
      <c r="G16574" t="s">
        <v>18009</v>
      </c>
      <c r="H16574" t="s">
        <v>34072</v>
      </c>
    </row>
    <row r="16575" spans="1:8">
      <c r="H16575" t="s">
        <v>34073</v>
      </c>
    </row>
    <row r="16576" spans="1:8">
      <c r="F16576" t="s">
        <v>13716</v>
      </c>
      <c r="G16576" t="s">
        <v>17783</v>
      </c>
      <c r="H16576" t="s">
        <v>34074</v>
      </c>
    </row>
    <row r="16577" spans="1:8">
      <c r="A16577" t="s">
        <v>3206</v>
      </c>
      <c r="B16577">
        <f>HYPERLINK("https://android.googlesource.com/platform/cts/+/f77cfb9375575c4c995e7d0c9cfe005fe1200c42", "f77cfb9375575c4c995e7d0c9cfe005fe1200c42")</f>
        <v>0</v>
      </c>
      <c r="C16577">
        <f>HYPERLINK("https://android.googlesource.com/platform/cts/+/28e4db098fd898eb601066a15d20786f50c1ed4f", "28e4db098fd898eb601066a15d20786f50c1ed4f")</f>
        <v>0</v>
      </c>
      <c r="D16577" t="s">
        <v>5195</v>
      </c>
      <c r="E16577" t="s">
        <v>8920</v>
      </c>
      <c r="F16577" t="s">
        <v>14215</v>
      </c>
      <c r="G16577" t="s">
        <v>18189</v>
      </c>
      <c r="H16577" t="s">
        <v>34075</v>
      </c>
    </row>
    <row r="16578" spans="1:8">
      <c r="A16578" t="s">
        <v>3212</v>
      </c>
      <c r="B16578">
        <f>HYPERLINK("https://android.googlesource.com/platform/cts/+/9c92fa8c06077ce8a6bd4d19d6c86a9f314edc77", "9c92fa8c06077ce8a6bd4d19d6c86a9f314edc77")</f>
        <v>0</v>
      </c>
      <c r="C16578">
        <f>HYPERLINK("https://android.googlesource.com/platform/cts/+/f32b8eaa519577c47f33538c1487283335c4bb07", "f32b8eaa519577c47f33538c1487283335c4bb07")</f>
        <v>0</v>
      </c>
      <c r="D16578" t="s">
        <v>5512</v>
      </c>
      <c r="E16578" t="s">
        <v>8926</v>
      </c>
      <c r="F16578" t="s">
        <v>13716</v>
      </c>
      <c r="G16578" t="s">
        <v>17783</v>
      </c>
      <c r="H16578" t="s">
        <v>34081</v>
      </c>
    </row>
    <row r="16579" spans="1:8">
      <c r="A16579" t="s">
        <v>3214</v>
      </c>
      <c r="B16579">
        <f>HYPERLINK("https://android.googlesource.com/platform/cts/+/45f9d50325a648a22fd38671753216a934cdfb10", "45f9d50325a648a22fd38671753216a934cdfb10")</f>
        <v>0</v>
      </c>
      <c r="C16579">
        <f>HYPERLINK("https://android.googlesource.com/platform/cts/+/7906b85aeacf5e6529e110efa091f8adfe421367", "7906b85aeacf5e6529e110efa091f8adfe421367")</f>
        <v>0</v>
      </c>
      <c r="D16579" t="s">
        <v>5512</v>
      </c>
      <c r="E16579" t="s">
        <v>8928</v>
      </c>
      <c r="F16579" t="s">
        <v>13990</v>
      </c>
      <c r="G16579" t="s">
        <v>18009</v>
      </c>
      <c r="H16579" t="s">
        <v>34082</v>
      </c>
    </row>
    <row r="16580" spans="1:8">
      <c r="A16580" t="s">
        <v>3218</v>
      </c>
      <c r="B16580">
        <f>HYPERLINK("https://android.googlesource.com/platform/cts/+/2e59a5e9b0f18c603dc8d8447c9fc56163fbb94e", "2e59a5e9b0f18c603dc8d8447c9fc56163fbb94e")</f>
        <v>0</v>
      </c>
      <c r="C16580">
        <f>HYPERLINK("https://android.googlesource.com/platform/cts/+/7c10b4dd03f25c0aee296f543b9a4acf7abd38af", "7c10b4dd03f25c0aee296f543b9a4acf7abd38af")</f>
        <v>0</v>
      </c>
      <c r="D16580" t="s">
        <v>5523</v>
      </c>
      <c r="E16580" t="s">
        <v>8932</v>
      </c>
      <c r="F16580" t="s">
        <v>14196</v>
      </c>
      <c r="G16580" t="s">
        <v>18175</v>
      </c>
      <c r="H16580" t="s">
        <v>34083</v>
      </c>
    </row>
    <row r="16581" spans="1:8">
      <c r="H16581" t="s">
        <v>34084</v>
      </c>
    </row>
    <row r="16582" spans="1:8">
      <c r="A16582" t="s">
        <v>3219</v>
      </c>
      <c r="B16582">
        <f>HYPERLINK("https://android.googlesource.com/platform/cts/+/022fe2a4112c5cee8cc24a70a679058edcc19842", "022fe2a4112c5cee8cc24a70a679058edcc19842")</f>
        <v>0</v>
      </c>
      <c r="C16582">
        <f>HYPERLINK("https://android.googlesource.com/platform/cts/+/b504fec6e151aebf1c14fbf642d7d37741f98da5", "b504fec6e151aebf1c14fbf642d7d37741f98da5")</f>
        <v>0</v>
      </c>
      <c r="D16582" t="s">
        <v>5523</v>
      </c>
      <c r="E16582" t="s">
        <v>8933</v>
      </c>
      <c r="F16582" t="s">
        <v>14196</v>
      </c>
      <c r="G16582" t="s">
        <v>18175</v>
      </c>
      <c r="H16582" t="s">
        <v>34085</v>
      </c>
    </row>
    <row r="16583" spans="1:8">
      <c r="H16583" t="s">
        <v>34086</v>
      </c>
    </row>
    <row r="16584" spans="1:8">
      <c r="H16584" t="s">
        <v>34087</v>
      </c>
    </row>
    <row r="16585" spans="1:8">
      <c r="H16585" t="s">
        <v>34088</v>
      </c>
    </row>
    <row r="16586" spans="1:8">
      <c r="H16586" t="s">
        <v>34089</v>
      </c>
    </row>
    <row r="16587" spans="1:8">
      <c r="A16587" t="s">
        <v>3222</v>
      </c>
      <c r="B16587">
        <f>HYPERLINK("https://android.googlesource.com/platform/cts/+/2716fc4f27b2f1905e7f1b504ccebe9128beadcd", "2716fc4f27b2f1905e7f1b504ccebe9128beadcd")</f>
        <v>0</v>
      </c>
      <c r="C16587">
        <f>HYPERLINK("https://android.googlesource.com/platform/cts/+/312421a3578799fb9adeb86d0b06098ca13adfb4", "312421a3578799fb9adeb86d0b06098ca13adfb4")</f>
        <v>0</v>
      </c>
      <c r="D16587" t="s">
        <v>5481</v>
      </c>
      <c r="E16587" t="s">
        <v>8936</v>
      </c>
      <c r="F16587" t="s">
        <v>14217</v>
      </c>
      <c r="G16587" t="s">
        <v>18190</v>
      </c>
      <c r="H16587" t="s">
        <v>34091</v>
      </c>
    </row>
    <row r="16588" spans="1:8">
      <c r="H16588" t="s">
        <v>34092</v>
      </c>
    </row>
    <row r="16589" spans="1:8">
      <c r="A16589" t="s">
        <v>3223</v>
      </c>
      <c r="B16589">
        <f>HYPERLINK("https://android.googlesource.com/platform/cts/+/b78a1eb7b8e5c7304f52d3e1a58555d839c906c2", "b78a1eb7b8e5c7304f52d3e1a58555d839c906c2")</f>
        <v>0</v>
      </c>
      <c r="C16589">
        <f>HYPERLINK("https://android.googlesource.com/platform/cts/+/357f3b0f3b5565e860122e0641bd7a591ef08fa6", "357f3b0f3b5565e860122e0641bd7a591ef08fa6")</f>
        <v>0</v>
      </c>
      <c r="D16589" t="s">
        <v>5472</v>
      </c>
      <c r="E16589" t="s">
        <v>8937</v>
      </c>
      <c r="F16589" t="s">
        <v>14218</v>
      </c>
      <c r="G16589" t="s">
        <v>18191</v>
      </c>
      <c r="H16589" t="s">
        <v>34093</v>
      </c>
    </row>
    <row r="16590" spans="1:8">
      <c r="F16590" t="s">
        <v>14122</v>
      </c>
      <c r="G16590" t="s">
        <v>18112</v>
      </c>
      <c r="H16590" t="s">
        <v>34097</v>
      </c>
    </row>
    <row r="16591" spans="1:8">
      <c r="A16591" t="s">
        <v>3226</v>
      </c>
      <c r="B16591">
        <f>HYPERLINK("https://android.googlesource.com/platform/cts/+/03d8be54d0155d1858a778bd5444b1097599d3bb", "03d8be54d0155d1858a778bd5444b1097599d3bb")</f>
        <v>0</v>
      </c>
      <c r="C16591">
        <f>HYPERLINK("https://android.googlesource.com/platform/cts/+/c7b075695e3e93b1c516e3ebe6cb94678b6e5718", "c7b075695e3e93b1c516e3ebe6cb94678b6e5718")</f>
        <v>0</v>
      </c>
      <c r="D16591" t="s">
        <v>5534</v>
      </c>
      <c r="E16591" t="s">
        <v>8940</v>
      </c>
      <c r="F16591" t="s">
        <v>14219</v>
      </c>
      <c r="G16591" t="s">
        <v>18192</v>
      </c>
      <c r="H16591" t="s">
        <v>34098</v>
      </c>
    </row>
    <row r="16592" spans="1:8">
      <c r="A16592" t="s">
        <v>3227</v>
      </c>
      <c r="B16592">
        <f>HYPERLINK("https://android.googlesource.com/platform/cts/+/4af7f62c031fc1cd6c9fd0bf24bebd8768d5d6d2", "4af7f62c031fc1cd6c9fd0bf24bebd8768d5d6d2")</f>
        <v>0</v>
      </c>
      <c r="C16592">
        <f>HYPERLINK("https://android.googlesource.com/platform/cts/+/afe84db29c7c22faec7dd5a182e2b0ba6b39f7d3", "afe84db29c7c22faec7dd5a182e2b0ba6b39f7d3")</f>
        <v>0</v>
      </c>
      <c r="D16592" t="s">
        <v>5512</v>
      </c>
      <c r="E16592" t="s">
        <v>8942</v>
      </c>
      <c r="F16592" t="s">
        <v>13990</v>
      </c>
      <c r="G16592" t="s">
        <v>18009</v>
      </c>
      <c r="H16592" t="s">
        <v>34072</v>
      </c>
    </row>
    <row r="16593" spans="1:8">
      <c r="A16593" t="s">
        <v>3228</v>
      </c>
      <c r="B16593">
        <f>HYPERLINK("https://android.googlesource.com/platform/cts/+/a8aba9454403f780b568e7b3444ef73117d517f8", "a8aba9454403f780b568e7b3444ef73117d517f8")</f>
        <v>0</v>
      </c>
      <c r="C16593">
        <f>HYPERLINK("https://android.googlesource.com/platform/cts/+/4af7f62c031fc1cd6c9fd0bf24bebd8768d5d6d2", "4af7f62c031fc1cd6c9fd0bf24bebd8768d5d6d2")</f>
        <v>0</v>
      </c>
      <c r="D16593" t="s">
        <v>5512</v>
      </c>
      <c r="E16593" t="s">
        <v>8943</v>
      </c>
      <c r="F16593" t="s">
        <v>13990</v>
      </c>
      <c r="G16593" t="s">
        <v>18009</v>
      </c>
      <c r="H16593" t="s">
        <v>34073</v>
      </c>
    </row>
    <row r="16594" spans="1:8">
      <c r="A16594" t="s">
        <v>3229</v>
      </c>
      <c r="B16594">
        <f>HYPERLINK("https://android.googlesource.com/platform/cts/+/5d583f0760f27a046e89a6d9c44239fbc6470b62", "5d583f0760f27a046e89a6d9c44239fbc6470b62")</f>
        <v>0</v>
      </c>
      <c r="C16594">
        <f>HYPERLINK("https://android.googlesource.com/platform/cts/+/a8aba9454403f780b568e7b3444ef73117d517f8", "a8aba9454403f780b568e7b3444ef73117d517f8")</f>
        <v>0</v>
      </c>
      <c r="D16594" t="s">
        <v>5512</v>
      </c>
      <c r="E16594" t="s">
        <v>8944</v>
      </c>
      <c r="F16594" t="s">
        <v>13990</v>
      </c>
      <c r="G16594" t="s">
        <v>18009</v>
      </c>
      <c r="H16594" t="s">
        <v>34100</v>
      </c>
    </row>
    <row r="16595" spans="1:8">
      <c r="A16595" t="s">
        <v>3230</v>
      </c>
      <c r="B16595">
        <f>HYPERLINK("https://android.googlesource.com/platform/cts/+/2dfcba1e4d4c9b825ec3cbe6478d3d394c9741f0", "2dfcba1e4d4c9b825ec3cbe6478d3d394c9741f0")</f>
        <v>0</v>
      </c>
      <c r="C16595">
        <f>HYPERLINK("https://android.googlesource.com/platform/cts/+/5d583f0760f27a046e89a6d9c44239fbc6470b62", "5d583f0760f27a046e89a6d9c44239fbc6470b62")</f>
        <v>0</v>
      </c>
      <c r="D16595" t="s">
        <v>5512</v>
      </c>
      <c r="E16595" t="s">
        <v>8945</v>
      </c>
      <c r="F16595" t="s">
        <v>13990</v>
      </c>
      <c r="G16595" t="s">
        <v>18009</v>
      </c>
      <c r="H16595" t="s">
        <v>34101</v>
      </c>
    </row>
    <row r="16596" spans="1:8">
      <c r="A16596" t="s">
        <v>3231</v>
      </c>
      <c r="B16596">
        <f>HYPERLINK("https://android.googlesource.com/platform/cts/+/91ef66a12b162e1afe470a0ac0c983efe2f7704c", "91ef66a12b162e1afe470a0ac0c983efe2f7704c")</f>
        <v>0</v>
      </c>
      <c r="C16596">
        <f>HYPERLINK("https://android.googlesource.com/platform/cts/+/2dfcba1e4d4c9b825ec3cbe6478d3d394c9741f0", "2dfcba1e4d4c9b825ec3cbe6478d3d394c9741f0")</f>
        <v>0</v>
      </c>
      <c r="D16596" t="s">
        <v>5512</v>
      </c>
      <c r="E16596" t="s">
        <v>8946</v>
      </c>
      <c r="F16596" t="s">
        <v>13990</v>
      </c>
      <c r="G16596" t="s">
        <v>18009</v>
      </c>
      <c r="H16596" t="s">
        <v>34102</v>
      </c>
    </row>
    <row r="16597" spans="1:8">
      <c r="A16597" t="s">
        <v>3232</v>
      </c>
      <c r="B16597">
        <f>HYPERLINK("https://android.googlesource.com/platform/cts/+/2cb23eedf80f26451b04a89f6173444f948126a9", "2cb23eedf80f26451b04a89f6173444f948126a9")</f>
        <v>0</v>
      </c>
      <c r="C16597">
        <f>HYPERLINK("https://android.googlesource.com/platform/cts/+/ce56f6595f19fde51648fb6acfbe96ad5741e4e5", "ce56f6595f19fde51648fb6acfbe96ad5741e4e5")</f>
        <v>0</v>
      </c>
      <c r="D16597" t="s">
        <v>5512</v>
      </c>
      <c r="E16597" t="s">
        <v>8947</v>
      </c>
      <c r="F16597" t="s">
        <v>13990</v>
      </c>
      <c r="G16597" t="s">
        <v>18009</v>
      </c>
      <c r="H16597" t="s">
        <v>34103</v>
      </c>
    </row>
    <row r="16598" spans="1:8">
      <c r="A16598" t="s">
        <v>3235</v>
      </c>
      <c r="B16598">
        <f>HYPERLINK("https://android.googlesource.com/platform/cts/+/5197494f6bfedb1d2d1ed60e7b41dab1177d0922", "5197494f6bfedb1d2d1ed60e7b41dab1177d0922")</f>
        <v>0</v>
      </c>
      <c r="C16598">
        <f>HYPERLINK("https://android.googlesource.com/platform/cts/+/b04678d72a6145a2dd25437d2ea8d4acb1982e0d", "b04678d72a6145a2dd25437d2ea8d4acb1982e0d")</f>
        <v>0</v>
      </c>
      <c r="D16598" t="s">
        <v>5108</v>
      </c>
      <c r="E16598" t="s">
        <v>8950</v>
      </c>
      <c r="F16598" t="s">
        <v>14221</v>
      </c>
      <c r="G16598" t="s">
        <v>18194</v>
      </c>
      <c r="H16598" t="s">
        <v>31746</v>
      </c>
    </row>
    <row r="16599" spans="1:8">
      <c r="F16599" t="s">
        <v>12743</v>
      </c>
      <c r="G16599" t="s">
        <v>16935</v>
      </c>
      <c r="H16599" t="s">
        <v>34110</v>
      </c>
    </row>
    <row r="16600" spans="1:8">
      <c r="A16600" t="s">
        <v>3236</v>
      </c>
      <c r="B16600">
        <f>HYPERLINK("https://android.googlesource.com/platform/cts/+/0f5ac24098056e0391db0cc244e25440948574f2", "0f5ac24098056e0391db0cc244e25440948574f2")</f>
        <v>0</v>
      </c>
      <c r="C16600">
        <f>HYPERLINK("https://android.googlesource.com/platform/cts/+/c05b74c3235be123060485cf2df4121faec2e355", "c05b74c3235be123060485cf2df4121faec2e355")</f>
        <v>0</v>
      </c>
      <c r="D16600" t="s">
        <v>5526</v>
      </c>
      <c r="E16600" t="s">
        <v>8951</v>
      </c>
      <c r="F16600" t="s">
        <v>13227</v>
      </c>
      <c r="G16600" t="s">
        <v>17368</v>
      </c>
      <c r="H16600" t="s">
        <v>34111</v>
      </c>
    </row>
    <row r="16601" spans="1:8">
      <c r="H16601" t="s">
        <v>34112</v>
      </c>
    </row>
    <row r="16602" spans="1:8">
      <c r="H16602" t="s">
        <v>34113</v>
      </c>
    </row>
    <row r="16603" spans="1:8">
      <c r="H16603" t="s">
        <v>29749</v>
      </c>
    </row>
    <row r="16604" spans="1:8">
      <c r="H16604" t="s">
        <v>34114</v>
      </c>
    </row>
    <row r="16605" spans="1:8">
      <c r="H16605" t="s">
        <v>34115</v>
      </c>
    </row>
    <row r="16606" spans="1:8">
      <c r="H16606" t="s">
        <v>34116</v>
      </c>
    </row>
    <row r="16607" spans="1:8">
      <c r="H16607" t="s">
        <v>34117</v>
      </c>
    </row>
    <row r="16608" spans="1:8">
      <c r="A16608" t="s">
        <v>3237</v>
      </c>
      <c r="B16608">
        <f>HYPERLINK("https://android.googlesource.com/platform/cts/+/e19a04da9d2ff0993af8884888bb4a327c546098", "e19a04da9d2ff0993af8884888bb4a327c546098")</f>
        <v>0</v>
      </c>
      <c r="C16608">
        <f>HYPERLINK("https://android.googlesource.com/platform/cts/+/0ef85ff5a391fe81fb7d06959566d869f805f8b5", "0ef85ff5a391fe81fb7d06959566d869f805f8b5")</f>
        <v>0</v>
      </c>
      <c r="D16608" t="s">
        <v>5271</v>
      </c>
      <c r="E16608" t="s">
        <v>8952</v>
      </c>
      <c r="F16608" t="s">
        <v>14222</v>
      </c>
      <c r="G16608" t="s">
        <v>18195</v>
      </c>
      <c r="H16608" t="s">
        <v>34118</v>
      </c>
    </row>
    <row r="16609" spans="1:8">
      <c r="A16609" t="s">
        <v>3238</v>
      </c>
      <c r="B16609">
        <f>HYPERLINK("https://android.googlesource.com/platform/cts/+/2e94b5aebb8462b1143cefccbb29138860eeb276", "2e94b5aebb8462b1143cefccbb29138860eeb276")</f>
        <v>0</v>
      </c>
      <c r="C16609">
        <f>HYPERLINK("https://android.googlesource.com/platform/cts/+/b504fec6e151aebf1c14fbf642d7d37741f98da5", "b504fec6e151aebf1c14fbf642d7d37741f98da5")</f>
        <v>0</v>
      </c>
      <c r="D16609" t="s">
        <v>5478</v>
      </c>
      <c r="E16609" t="s">
        <v>8953</v>
      </c>
      <c r="F16609" t="s">
        <v>13333</v>
      </c>
      <c r="G16609" t="s">
        <v>17463</v>
      </c>
      <c r="H16609" t="s">
        <v>34119</v>
      </c>
    </row>
    <row r="16610" spans="1:8">
      <c r="F16610" t="s">
        <v>14103</v>
      </c>
      <c r="G16610" t="s">
        <v>18096</v>
      </c>
      <c r="H16610" t="s">
        <v>34119</v>
      </c>
    </row>
    <row r="16611" spans="1:8">
      <c r="F16611" t="s">
        <v>14104</v>
      </c>
      <c r="G16611" t="s">
        <v>18097</v>
      </c>
      <c r="H16611" t="s">
        <v>34119</v>
      </c>
    </row>
    <row r="16612" spans="1:8">
      <c r="F16612" t="s">
        <v>14105</v>
      </c>
      <c r="G16612" t="s">
        <v>18098</v>
      </c>
      <c r="H16612" t="s">
        <v>34119</v>
      </c>
    </row>
    <row r="16613" spans="1:8">
      <c r="A16613" t="s">
        <v>3241</v>
      </c>
      <c r="B16613">
        <f>HYPERLINK("https://android.googlesource.com/platform/cts/+/c20af566d1cf995469cef87b3c74f000a3fb8f7a", "c20af566d1cf995469cef87b3c74f000a3fb8f7a")</f>
        <v>0</v>
      </c>
      <c r="C16613">
        <f>HYPERLINK("https://android.googlesource.com/platform/cts/+/dade1ce0207859d7bcb92d13df671bbfcb16c392", "dade1ce0207859d7bcb92d13df671bbfcb16c392")</f>
        <v>0</v>
      </c>
      <c r="D16613" t="s">
        <v>5481</v>
      </c>
      <c r="E16613" t="s">
        <v>8956</v>
      </c>
      <c r="F16613" t="s">
        <v>14217</v>
      </c>
      <c r="G16613" t="s">
        <v>18190</v>
      </c>
      <c r="H16613" t="s">
        <v>34121</v>
      </c>
    </row>
    <row r="16614" spans="1:8">
      <c r="H16614" t="s">
        <v>34122</v>
      </c>
    </row>
    <row r="16615" spans="1:8">
      <c r="H16615" t="s">
        <v>34123</v>
      </c>
    </row>
    <row r="16616" spans="1:8">
      <c r="H16616" t="s">
        <v>34124</v>
      </c>
    </row>
    <row r="16617" spans="1:8">
      <c r="H16617" t="s">
        <v>34125</v>
      </c>
    </row>
    <row r="16618" spans="1:8">
      <c r="H16618" t="s">
        <v>34126</v>
      </c>
    </row>
    <row r="16619" spans="1:8">
      <c r="A16619" t="s">
        <v>3242</v>
      </c>
      <c r="B16619">
        <f>HYPERLINK("https://android.googlesource.com/platform/cts/+/6e0254906b8cd1e296efb1dfaa76c48d78cbf35a", "6e0254906b8cd1e296efb1dfaa76c48d78cbf35a")</f>
        <v>0</v>
      </c>
      <c r="C16619">
        <f>HYPERLINK("https://android.googlesource.com/platform/cts/+/f9e5832511aa4c940f88bd5df61ee3571a545a97", "f9e5832511aa4c940f88bd5df61ee3571a545a97")</f>
        <v>0</v>
      </c>
      <c r="D16619" t="s">
        <v>5535</v>
      </c>
      <c r="E16619" t="s">
        <v>8957</v>
      </c>
      <c r="F16619" t="s">
        <v>14223</v>
      </c>
      <c r="G16619" t="s">
        <v>18196</v>
      </c>
      <c r="H16619" t="s">
        <v>34131</v>
      </c>
    </row>
    <row r="16620" spans="1:8">
      <c r="A16620" t="s">
        <v>3245</v>
      </c>
      <c r="B16620">
        <f>HYPERLINK("https://android.googlesource.com/platform/cts/+/f8fead4518047c9767d6cadce561026e4ec2ceb7", "f8fead4518047c9767d6cadce561026e4ec2ceb7")</f>
        <v>0</v>
      </c>
      <c r="C16620">
        <f>HYPERLINK("https://android.googlesource.com/platform/cts/+/d9f9f93f405eb836c6ed570d5d03c7c968ada2a5", "d9f9f93f405eb836c6ed570d5d03c7c968ada2a5")</f>
        <v>0</v>
      </c>
      <c r="D16620" t="s">
        <v>5536</v>
      </c>
      <c r="E16620" t="s">
        <v>8960</v>
      </c>
      <c r="F16620" t="s">
        <v>14225</v>
      </c>
      <c r="G16620" t="s">
        <v>15691</v>
      </c>
      <c r="H16620" t="s">
        <v>34132</v>
      </c>
    </row>
    <row r="16621" spans="1:8">
      <c r="A16621" t="s">
        <v>3247</v>
      </c>
      <c r="B16621">
        <f>HYPERLINK("https://android.googlesource.com/platform/cts/+/16a1d099f104cf9f808c7925dd3251c2cc806a22", "16a1d099f104cf9f808c7925dd3251c2cc806a22")</f>
        <v>0</v>
      </c>
      <c r="C16621">
        <f>HYPERLINK("https://android.googlesource.com/platform/cts/+/3efeb79582d9555e8c9e9f286c17bd405d4cd159", "3efeb79582d9555e8c9e9f286c17bd405d4cd159")</f>
        <v>0</v>
      </c>
      <c r="D16621" t="s">
        <v>5342</v>
      </c>
      <c r="E16621" t="s">
        <v>8961</v>
      </c>
      <c r="F16621" t="s">
        <v>12419</v>
      </c>
      <c r="G16621" t="s">
        <v>16641</v>
      </c>
      <c r="H16621" t="s">
        <v>34133</v>
      </c>
    </row>
    <row r="16622" spans="1:8">
      <c r="A16622" t="s">
        <v>3249</v>
      </c>
      <c r="B16622">
        <f>HYPERLINK("https://android.googlesource.com/platform/cts/+/5fdff1d80882cc4c8b3e7fcd4882d9c81c222882", "5fdff1d80882cc4c8b3e7fcd4882d9c81c222882")</f>
        <v>0</v>
      </c>
      <c r="C16622">
        <f>HYPERLINK("https://android.googlesource.com/platform/cts/+/da5f3c62b1643cac3a35307f15c7aef74f937fea", "da5f3c62b1643cac3a35307f15c7aef74f937fea")</f>
        <v>0</v>
      </c>
      <c r="D16622" t="s">
        <v>5463</v>
      </c>
      <c r="E16622" t="s">
        <v>8963</v>
      </c>
      <c r="F16622" t="s">
        <v>12166</v>
      </c>
      <c r="G16622" t="s">
        <v>16406</v>
      </c>
      <c r="H16622" t="s">
        <v>34135</v>
      </c>
    </row>
    <row r="16623" spans="1:8">
      <c r="H16623" t="s">
        <v>34136</v>
      </c>
    </row>
    <row r="16624" spans="1:8">
      <c r="A16624" t="s">
        <v>3258</v>
      </c>
      <c r="B16624">
        <f>HYPERLINK("https://android.googlesource.com/platform/cts/+/0e89756ca48bde9538f6609658289d832667bc27", "0e89756ca48bde9538f6609658289d832667bc27")</f>
        <v>0</v>
      </c>
      <c r="C16624">
        <f>HYPERLINK("https://android.googlesource.com/platform/cts/+/dfc82330313cb711c607dc63e02e9f95c021e0fa", "dfc82330313cb711c607dc63e02e9f95c021e0fa")</f>
        <v>0</v>
      </c>
      <c r="D16624" t="s">
        <v>5478</v>
      </c>
      <c r="E16624" t="s">
        <v>8971</v>
      </c>
      <c r="F16624" t="s">
        <v>14228</v>
      </c>
      <c r="G16624" t="s">
        <v>18200</v>
      </c>
      <c r="H16624" t="s">
        <v>34141</v>
      </c>
    </row>
    <row r="16625" spans="1:8">
      <c r="F16625" t="s">
        <v>14229</v>
      </c>
      <c r="G16625" t="s">
        <v>18201</v>
      </c>
      <c r="H16625" t="s">
        <v>34141</v>
      </c>
    </row>
    <row r="16626" spans="1:8">
      <c r="A16626" t="s">
        <v>3259</v>
      </c>
      <c r="B16626">
        <f>HYPERLINK("https://android.googlesource.com/platform/cts/+/c0ce6574df7f69ef2edb923fc5ec0af4fb9266c9", "c0ce6574df7f69ef2edb923fc5ec0af4fb9266c9")</f>
        <v>0</v>
      </c>
      <c r="C16626">
        <f>HYPERLINK("https://android.googlesource.com/platform/cts/+/75b9a8634f166e9aa3bd3ea35d87738d71b999fb", "75b9a8634f166e9aa3bd3ea35d87738d71b999fb")</f>
        <v>0</v>
      </c>
      <c r="D16626" t="s">
        <v>5416</v>
      </c>
      <c r="E16626" t="s">
        <v>8972</v>
      </c>
      <c r="F16626" t="s">
        <v>13502</v>
      </c>
      <c r="G16626" t="s">
        <v>17620</v>
      </c>
      <c r="H16626" t="s">
        <v>34142</v>
      </c>
    </row>
    <row r="16627" spans="1:8">
      <c r="H16627" t="s">
        <v>34143</v>
      </c>
    </row>
    <row r="16628" spans="1:8">
      <c r="H16628" t="s">
        <v>34144</v>
      </c>
    </row>
    <row r="16629" spans="1:8">
      <c r="H16629" t="s">
        <v>34145</v>
      </c>
    </row>
    <row r="16630" spans="1:8">
      <c r="H16630" t="s">
        <v>34146</v>
      </c>
    </row>
    <row r="16631" spans="1:8">
      <c r="A16631" t="s">
        <v>3260</v>
      </c>
      <c r="B16631">
        <f>HYPERLINK("https://android.googlesource.com/platform/cts/+/eaad5e660303cce8eb334f09ecde5a2fb12f4db2", "eaad5e660303cce8eb334f09ecde5a2fb12f4db2")</f>
        <v>0</v>
      </c>
      <c r="C16631">
        <f>HYPERLINK("https://android.googlesource.com/platform/cts/+/357d7bc5725a9bdedea64d9c364c3c4f4dacc22c", "357d7bc5725a9bdedea64d9c364c3c4f4dacc22c")</f>
        <v>0</v>
      </c>
      <c r="D16631" t="s">
        <v>5447</v>
      </c>
      <c r="E16631" t="s">
        <v>8973</v>
      </c>
      <c r="F16631" t="s">
        <v>12844</v>
      </c>
      <c r="G16631" t="s">
        <v>17016</v>
      </c>
      <c r="H16631" t="s">
        <v>34147</v>
      </c>
    </row>
    <row r="16632" spans="1:8">
      <c r="H16632" t="s">
        <v>34148</v>
      </c>
    </row>
    <row r="16633" spans="1:8">
      <c r="A16633" t="s">
        <v>3262</v>
      </c>
      <c r="B16633">
        <f>HYPERLINK("https://android.googlesource.com/platform/cts/+/0b3382a1e134746074f3afc2593039a38c41ab12", "0b3382a1e134746074f3afc2593039a38c41ab12")</f>
        <v>0</v>
      </c>
      <c r="C16633">
        <f>HYPERLINK("https://android.googlesource.com/platform/cts/+/41959ad743b2803898713da1e2d0a3e40ece7520", "41959ad743b2803898713da1e2d0a3e40ece7520")</f>
        <v>0</v>
      </c>
      <c r="D16633" t="s">
        <v>5177</v>
      </c>
      <c r="E16633" t="s">
        <v>8975</v>
      </c>
      <c r="F16633" t="s">
        <v>14230</v>
      </c>
      <c r="G16633" t="s">
        <v>18202</v>
      </c>
      <c r="H16633" t="s">
        <v>34149</v>
      </c>
    </row>
    <row r="16634" spans="1:8">
      <c r="H16634" t="s">
        <v>34150</v>
      </c>
    </row>
    <row r="16635" spans="1:8">
      <c r="H16635" t="s">
        <v>34151</v>
      </c>
    </row>
    <row r="16636" spans="1:8">
      <c r="H16636" t="s">
        <v>34154</v>
      </c>
    </row>
    <row r="16637" spans="1:8">
      <c r="H16637" t="s">
        <v>34155</v>
      </c>
    </row>
    <row r="16638" spans="1:8">
      <c r="H16638" t="s">
        <v>34157</v>
      </c>
    </row>
    <row r="16639" spans="1:8">
      <c r="A16639" t="s">
        <v>3265</v>
      </c>
      <c r="B16639">
        <f>HYPERLINK("https://android.googlesource.com/platform/cts/+/a8a90255d43845e307b6d133c710b802dbece622", "a8a90255d43845e307b6d133c710b802dbece622")</f>
        <v>0</v>
      </c>
      <c r="C16639">
        <f>HYPERLINK("https://android.googlesource.com/platform/cts/+/4c2a3f0d0f9dac9bea02d5a45901f89e24d6597c", "4c2a3f0d0f9dac9bea02d5a45901f89e24d6597c")</f>
        <v>0</v>
      </c>
      <c r="D16639" t="s">
        <v>5341</v>
      </c>
      <c r="E16639" t="s">
        <v>8978</v>
      </c>
      <c r="F16639" t="s">
        <v>13707</v>
      </c>
      <c r="G16639" t="s">
        <v>17775</v>
      </c>
      <c r="H16639" t="s">
        <v>31045</v>
      </c>
    </row>
    <row r="16640" spans="1:8">
      <c r="H16640" t="s">
        <v>34159</v>
      </c>
    </row>
    <row r="16641" spans="1:8">
      <c r="H16641" t="s">
        <v>34160</v>
      </c>
    </row>
    <row r="16642" spans="1:8">
      <c r="A16642" t="s">
        <v>3266</v>
      </c>
      <c r="B16642">
        <f>HYPERLINK("https://android.googlesource.com/platform/cts/+/b461df77cf8ba58562198967fac308bac77f6644", "b461df77cf8ba58562198967fac308bac77f6644")</f>
        <v>0</v>
      </c>
      <c r="C16642">
        <f>HYPERLINK("https://android.googlesource.com/platform/cts/+/761d30432b4b3b5e5b233140fa4d651cb0e89174", "761d30432b4b3b5e5b233140fa4d651cb0e89174")</f>
        <v>0</v>
      </c>
      <c r="D16642" t="s">
        <v>5415</v>
      </c>
      <c r="E16642" t="s">
        <v>8979</v>
      </c>
      <c r="F16642" t="s">
        <v>14231</v>
      </c>
      <c r="G16642" t="s">
        <v>17928</v>
      </c>
      <c r="H16642" t="s">
        <v>34161</v>
      </c>
    </row>
    <row r="16643" spans="1:8">
      <c r="A16643" t="s">
        <v>3269</v>
      </c>
      <c r="B16643">
        <f>HYPERLINK("https://android.googlesource.com/platform/cts/+/aba7075fea7a761b796240fcd6142f142e6819ab", "aba7075fea7a761b796240fcd6142f142e6819ab")</f>
        <v>0</v>
      </c>
      <c r="C16643">
        <f>HYPERLINK("https://android.googlesource.com/platform/cts/+/df8182e6332b1dfb0d35d81daf0d8ffc93b93ad5", "df8182e6332b1dfb0d35d81daf0d8ffc93b93ad5")</f>
        <v>0</v>
      </c>
      <c r="D16643" t="s">
        <v>5042</v>
      </c>
      <c r="E16643" t="s">
        <v>8981</v>
      </c>
      <c r="F16643" t="s">
        <v>14232</v>
      </c>
      <c r="G16643" t="s">
        <v>18203</v>
      </c>
      <c r="H16643" t="s">
        <v>34163</v>
      </c>
    </row>
    <row r="16644" spans="1:8">
      <c r="H16644" t="s">
        <v>34164</v>
      </c>
    </row>
    <row r="16645" spans="1:8">
      <c r="H16645" t="s">
        <v>34165</v>
      </c>
    </row>
    <row r="16646" spans="1:8">
      <c r="H16646" t="s">
        <v>34166</v>
      </c>
    </row>
    <row r="16647" spans="1:8">
      <c r="H16647" t="s">
        <v>34167</v>
      </c>
    </row>
    <row r="16648" spans="1:8">
      <c r="H16648" t="s">
        <v>34168</v>
      </c>
    </row>
    <row r="16649" spans="1:8">
      <c r="H16649" t="s">
        <v>34170</v>
      </c>
    </row>
    <row r="16650" spans="1:8">
      <c r="H16650" t="s">
        <v>34171</v>
      </c>
    </row>
    <row r="16651" spans="1:8">
      <c r="H16651" t="s">
        <v>34172</v>
      </c>
    </row>
    <row r="16652" spans="1:8">
      <c r="H16652" t="s">
        <v>34173</v>
      </c>
    </row>
    <row r="16653" spans="1:8">
      <c r="H16653" t="s">
        <v>34174</v>
      </c>
    </row>
    <row r="16654" spans="1:8">
      <c r="H16654" t="s">
        <v>34175</v>
      </c>
    </row>
    <row r="16655" spans="1:8">
      <c r="H16655" t="s">
        <v>34177</v>
      </c>
    </row>
    <row r="16656" spans="1:8">
      <c r="H16656" t="s">
        <v>34178</v>
      </c>
    </row>
    <row r="16657" spans="1:8">
      <c r="H16657" t="s">
        <v>34179</v>
      </c>
    </row>
    <row r="16658" spans="1:8">
      <c r="H16658" t="s">
        <v>34180</v>
      </c>
    </row>
    <row r="16659" spans="1:8">
      <c r="H16659" t="s">
        <v>34181</v>
      </c>
    </row>
    <row r="16660" spans="1:8">
      <c r="H16660" t="s">
        <v>34182</v>
      </c>
    </row>
    <row r="16661" spans="1:8">
      <c r="H16661" t="s">
        <v>34184</v>
      </c>
    </row>
    <row r="16662" spans="1:8">
      <c r="H16662" t="s">
        <v>34185</v>
      </c>
    </row>
    <row r="16663" spans="1:8">
      <c r="A16663" t="s">
        <v>3270</v>
      </c>
      <c r="B16663">
        <f>HYPERLINK("https://android.googlesource.com/platform/cts/+/07328404320381176c5003534bd76140e0e3be1f", "07328404320381176c5003534bd76140e0e3be1f")</f>
        <v>0</v>
      </c>
      <c r="C16663">
        <f>HYPERLINK("https://android.googlesource.com/platform/cts/+/ec7602654c204c441a3efcbc5cd2a39aaf143d74", "ec7602654c204c441a3efcbc5cd2a39aaf143d74")</f>
        <v>0</v>
      </c>
      <c r="D16663" t="s">
        <v>5244</v>
      </c>
      <c r="E16663" t="s">
        <v>8982</v>
      </c>
      <c r="F16663" t="s">
        <v>14065</v>
      </c>
      <c r="G16663" t="s">
        <v>18063</v>
      </c>
      <c r="H16663" t="s">
        <v>34186</v>
      </c>
    </row>
    <row r="16664" spans="1:8">
      <c r="A16664" t="s">
        <v>3275</v>
      </c>
      <c r="B16664">
        <f>HYPERLINK("https://android.googlesource.com/platform/cts/+/b247239cffdba7a9767a21ca6dc31755e782160c", "b247239cffdba7a9767a21ca6dc31755e782160c")</f>
        <v>0</v>
      </c>
      <c r="C16664">
        <f>HYPERLINK("https://android.googlesource.com/platform/cts/+/5f66384c4b5b90b642edc1be1d2f1eee2b705030", "5f66384c4b5b90b642edc1be1d2f1eee2b705030")</f>
        <v>0</v>
      </c>
      <c r="D16664" t="s">
        <v>5526</v>
      </c>
      <c r="E16664" t="s">
        <v>8987</v>
      </c>
      <c r="F16664" t="s">
        <v>13488</v>
      </c>
      <c r="G16664" t="s">
        <v>17607</v>
      </c>
      <c r="H16664" t="s">
        <v>34190</v>
      </c>
    </row>
    <row r="16665" spans="1:8">
      <c r="A16665" t="s">
        <v>3276</v>
      </c>
      <c r="B16665">
        <f>HYPERLINK("https://android.googlesource.com/platform/cts/+/3983b703d60c39cce415594902c796aff4fc575d", "3983b703d60c39cce415594902c796aff4fc575d")</f>
        <v>0</v>
      </c>
      <c r="C16665">
        <f>HYPERLINK("https://android.googlesource.com/platform/cts/+/d03c8da4cc9d4c08015d9c8d4b0328455141ca6a", "d03c8da4cc9d4c08015d9c8d4b0328455141ca6a")</f>
        <v>0</v>
      </c>
      <c r="D16665" t="s">
        <v>5383</v>
      </c>
      <c r="E16665" t="s">
        <v>8988</v>
      </c>
      <c r="F16665" t="s">
        <v>13924</v>
      </c>
      <c r="G16665" t="s">
        <v>17960</v>
      </c>
      <c r="H16665" t="s">
        <v>34197</v>
      </c>
    </row>
    <row r="16666" spans="1:8">
      <c r="H16666" t="s">
        <v>34198</v>
      </c>
    </row>
    <row r="16667" spans="1:8">
      <c r="A16667" t="s">
        <v>3280</v>
      </c>
      <c r="B16667">
        <f>HYPERLINK("https://android.googlesource.com/platform/cts/+/9c5e09e7512100b305c603f3ede5da4a1237ce81", "9c5e09e7512100b305c603f3ede5da4a1237ce81")</f>
        <v>0</v>
      </c>
      <c r="C16667">
        <f>HYPERLINK("https://android.googlesource.com/platform/cts/+/46c062a108656aaf7a9f29b05fba464c077a2e4c", "46c062a108656aaf7a9f29b05fba464c077a2e4c")</f>
        <v>0</v>
      </c>
      <c r="D16667" t="s">
        <v>5108</v>
      </c>
      <c r="E16667" t="s">
        <v>8992</v>
      </c>
      <c r="F16667" t="s">
        <v>13971</v>
      </c>
      <c r="G16667" t="s">
        <v>17996</v>
      </c>
      <c r="H16667" t="s">
        <v>34201</v>
      </c>
    </row>
    <row r="16668" spans="1:8">
      <c r="A16668" t="s">
        <v>3282</v>
      </c>
      <c r="B16668">
        <f>HYPERLINK("https://android.googlesource.com/platform/cts/+/bd1f1a2cdb8e11fd85d10a8ead341d49a2d0c8a6", "bd1f1a2cdb8e11fd85d10a8ead341d49a2d0c8a6")</f>
        <v>0</v>
      </c>
      <c r="C16668">
        <f>HYPERLINK("https://android.googlesource.com/platform/cts/+/e818b872a5e5317393cfe2d861f65bad4526cbcd", "e818b872a5e5317393cfe2d861f65bad4526cbcd")</f>
        <v>0</v>
      </c>
      <c r="D16668" t="s">
        <v>5108</v>
      </c>
      <c r="E16668" t="s">
        <v>8993</v>
      </c>
      <c r="F16668" t="s">
        <v>13971</v>
      </c>
      <c r="G16668" t="s">
        <v>17996</v>
      </c>
      <c r="H16668" t="s">
        <v>34201</v>
      </c>
    </row>
    <row r="16669" spans="1:8">
      <c r="A16669" t="s">
        <v>3287</v>
      </c>
      <c r="B16669">
        <f>HYPERLINK("https://android.googlesource.com/platform/cts/+/9d8153a667d44deb0d5f021250112593988d2fd9", "9d8153a667d44deb0d5f021250112593988d2fd9")</f>
        <v>0</v>
      </c>
      <c r="C16669">
        <f>HYPERLINK("https://android.googlesource.com/platform/cts/+/63c138cb1c0867ddb693f87f801097f58e840dc1", "63c138cb1c0867ddb693f87f801097f58e840dc1")</f>
        <v>0</v>
      </c>
      <c r="D16669" t="s">
        <v>5545</v>
      </c>
      <c r="E16669" t="s">
        <v>8998</v>
      </c>
      <c r="F16669" t="s">
        <v>14236</v>
      </c>
      <c r="G16669" t="s">
        <v>18206</v>
      </c>
      <c r="H16669" t="s">
        <v>34205</v>
      </c>
    </row>
    <row r="16670" spans="1:8">
      <c r="H16670" t="s">
        <v>34206</v>
      </c>
    </row>
    <row r="16671" spans="1:8">
      <c r="H16671" t="s">
        <v>34207</v>
      </c>
    </row>
    <row r="16672" spans="1:8">
      <c r="H16672" t="s">
        <v>34208</v>
      </c>
    </row>
    <row r="16673" spans="8:8">
      <c r="H16673" t="s">
        <v>34209</v>
      </c>
    </row>
    <row r="16674" spans="8:8">
      <c r="H16674" t="s">
        <v>34210</v>
      </c>
    </row>
    <row r="16675" spans="8:8">
      <c r="H16675" t="s">
        <v>34211</v>
      </c>
    </row>
    <row r="16676" spans="8:8">
      <c r="H16676" t="s">
        <v>34212</v>
      </c>
    </row>
    <row r="16677" spans="8:8">
      <c r="H16677" t="s">
        <v>34213</v>
      </c>
    </row>
    <row r="16678" spans="8:8">
      <c r="H16678" t="s">
        <v>34214</v>
      </c>
    </row>
    <row r="16679" spans="8:8">
      <c r="H16679" t="s">
        <v>34215</v>
      </c>
    </row>
    <row r="16680" spans="8:8">
      <c r="H16680" t="s">
        <v>34216</v>
      </c>
    </row>
    <row r="16681" spans="8:8">
      <c r="H16681" t="s">
        <v>34219</v>
      </c>
    </row>
    <row r="16682" spans="8:8">
      <c r="H16682" t="s">
        <v>34220</v>
      </c>
    </row>
    <row r="16683" spans="8:8">
      <c r="H16683" t="s">
        <v>34221</v>
      </c>
    </row>
    <row r="16684" spans="8:8">
      <c r="H16684" t="s">
        <v>34224</v>
      </c>
    </row>
    <row r="16685" spans="8:8">
      <c r="H16685" t="s">
        <v>34225</v>
      </c>
    </row>
    <row r="16686" spans="8:8">
      <c r="H16686" t="s">
        <v>34226</v>
      </c>
    </row>
    <row r="16687" spans="8:8">
      <c r="H16687" t="s">
        <v>34227</v>
      </c>
    </row>
    <row r="16688" spans="8:8">
      <c r="H16688" t="s">
        <v>34228</v>
      </c>
    </row>
    <row r="16689" spans="1:8">
      <c r="H16689" t="s">
        <v>34229</v>
      </c>
    </row>
    <row r="16690" spans="1:8">
      <c r="H16690" t="s">
        <v>34230</v>
      </c>
    </row>
    <row r="16691" spans="1:8">
      <c r="H16691" t="s">
        <v>34231</v>
      </c>
    </row>
    <row r="16692" spans="1:8">
      <c r="A16692" t="s">
        <v>3288</v>
      </c>
      <c r="B16692">
        <f>HYPERLINK("https://android.googlesource.com/platform/cts/+/fceba2788d94937297abc9b24f0d7778ef24e6b0", "fceba2788d94937297abc9b24f0d7778ef24e6b0")</f>
        <v>0</v>
      </c>
      <c r="C16692">
        <f>HYPERLINK("https://android.googlesource.com/platform/cts/+/732e8c0a45377477346c270a2bc46ec3f0bd220f", "732e8c0a45377477346c270a2bc46ec3f0bd220f")</f>
        <v>0</v>
      </c>
      <c r="D16692" t="s">
        <v>5512</v>
      </c>
      <c r="E16692" t="s">
        <v>8999</v>
      </c>
      <c r="F16692" t="s">
        <v>13716</v>
      </c>
      <c r="G16692" t="s">
        <v>17783</v>
      </c>
      <c r="H16692" t="s">
        <v>34232</v>
      </c>
    </row>
    <row r="16693" spans="1:8">
      <c r="A16693" t="s">
        <v>3289</v>
      </c>
      <c r="B16693">
        <f>HYPERLINK("https://android.googlesource.com/platform/cts/+/7b408341bae581d6e7c42da9220c05192d47f9d4", "7b408341bae581d6e7c42da9220c05192d47f9d4")</f>
        <v>0</v>
      </c>
      <c r="C16693">
        <f>HYPERLINK("https://android.googlesource.com/platform/cts/+/b5f3746ea912fc0e96070d5f205e703ba2e24535", "b5f3746ea912fc0e96070d5f205e703ba2e24535")</f>
        <v>0</v>
      </c>
      <c r="D16693" t="s">
        <v>5512</v>
      </c>
      <c r="E16693" t="s">
        <v>9000</v>
      </c>
      <c r="F16693" t="s">
        <v>13716</v>
      </c>
      <c r="G16693" t="s">
        <v>17783</v>
      </c>
      <c r="H16693" t="s">
        <v>34232</v>
      </c>
    </row>
    <row r="16694" spans="1:8">
      <c r="A16694" t="s">
        <v>3290</v>
      </c>
      <c r="B16694">
        <f>HYPERLINK("https://android.googlesource.com/platform/cts/+/6821fbe308db9f18b9a70cc2f2a011b703cdc754", "6821fbe308db9f18b9a70cc2f2a011b703cdc754")</f>
        <v>0</v>
      </c>
      <c r="C16694">
        <f>HYPERLINK("https://android.googlesource.com/platform/cts/+/3413f284a5c3090c963ad2be81eac497d1bed564", "3413f284a5c3090c963ad2be81eac497d1bed564")</f>
        <v>0</v>
      </c>
      <c r="D16694" t="s">
        <v>5383</v>
      </c>
      <c r="E16694" t="s">
        <v>9001</v>
      </c>
      <c r="F16694" t="s">
        <v>13924</v>
      </c>
      <c r="G16694" t="s">
        <v>17960</v>
      </c>
      <c r="H16694" t="s">
        <v>34233</v>
      </c>
    </row>
    <row r="16695" spans="1:8">
      <c r="A16695" t="s">
        <v>3291</v>
      </c>
      <c r="B16695">
        <f>HYPERLINK("https://android.googlesource.com/platform/cts/+/fd069513059a6263ec30632df578b2025a678e35", "fd069513059a6263ec30632df578b2025a678e35")</f>
        <v>0</v>
      </c>
      <c r="C16695">
        <f>HYPERLINK("https://android.googlesource.com/platform/cts/+/dc5c2a4cf56e5327fecd30fe67e4e99987ce5356", "dc5c2a4cf56e5327fecd30fe67e4e99987ce5356")</f>
        <v>0</v>
      </c>
      <c r="D16695" t="s">
        <v>5546</v>
      </c>
      <c r="E16695" t="s">
        <v>9002</v>
      </c>
      <c r="F16695" t="s">
        <v>14237</v>
      </c>
      <c r="G16695" t="s">
        <v>18207</v>
      </c>
      <c r="H16695" t="s">
        <v>34234</v>
      </c>
    </row>
    <row r="16696" spans="1:8">
      <c r="F16696" t="s">
        <v>14227</v>
      </c>
      <c r="G16696" t="s">
        <v>18199</v>
      </c>
      <c r="H16696" t="s">
        <v>34234</v>
      </c>
    </row>
    <row r="16697" spans="1:8">
      <c r="A16697" t="s">
        <v>3292</v>
      </c>
      <c r="B16697">
        <f>HYPERLINK("https://android.googlesource.com/platform/cts/+/17614741c5eae4472e1b05377f5fc025b64a8dd4", "17614741c5eae4472e1b05377f5fc025b64a8dd4")</f>
        <v>0</v>
      </c>
      <c r="C16697">
        <f>HYPERLINK("https://android.googlesource.com/platform/cts/+/37132e1b58e52226afd30a3ec9397de97ffca21b", "37132e1b58e52226afd30a3ec9397de97ffca21b")</f>
        <v>0</v>
      </c>
      <c r="D16697" t="s">
        <v>5454</v>
      </c>
      <c r="E16697" t="s">
        <v>9003</v>
      </c>
      <c r="F16697" t="s">
        <v>14124</v>
      </c>
      <c r="G16697" t="s">
        <v>18114</v>
      </c>
      <c r="H16697" t="s">
        <v>34236</v>
      </c>
    </row>
    <row r="16698" spans="1:8">
      <c r="A16698" t="s">
        <v>3312</v>
      </c>
      <c r="B16698">
        <f>HYPERLINK("https://android.googlesource.com/platform/cts/+/6fa0df9701ea7f3fb9b5d4742e6b26afc702c8f9", "6fa0df9701ea7f3fb9b5d4742e6b26afc702c8f9")</f>
        <v>0</v>
      </c>
      <c r="C16698">
        <f>HYPERLINK("https://android.googlesource.com/platform/cts/+/87564f017b250700e13b9e39909b8406253d2533", "87564f017b250700e13b9e39909b8406253d2533")</f>
        <v>0</v>
      </c>
      <c r="D16698" t="s">
        <v>5288</v>
      </c>
      <c r="E16698" t="s">
        <v>9023</v>
      </c>
      <c r="F16698" t="s">
        <v>13752</v>
      </c>
      <c r="G16698" t="s">
        <v>17812</v>
      </c>
      <c r="H16698" t="s">
        <v>34263</v>
      </c>
    </row>
    <row r="16699" spans="1:8">
      <c r="H16699" t="s">
        <v>34264</v>
      </c>
    </row>
    <row r="16700" spans="1:8">
      <c r="H16700" t="s">
        <v>34265</v>
      </c>
    </row>
    <row r="16701" spans="1:8">
      <c r="H16701" t="s">
        <v>34266</v>
      </c>
    </row>
    <row r="16702" spans="1:8">
      <c r="H16702" t="s">
        <v>34267</v>
      </c>
    </row>
    <row r="16703" spans="1:8">
      <c r="H16703" t="s">
        <v>34268</v>
      </c>
    </row>
    <row r="16704" spans="1:8">
      <c r="H16704" t="s">
        <v>34269</v>
      </c>
    </row>
    <row r="16705" spans="1:8">
      <c r="H16705" t="s">
        <v>34270</v>
      </c>
    </row>
    <row r="16706" spans="1:8">
      <c r="H16706" t="s">
        <v>34271</v>
      </c>
    </row>
    <row r="16707" spans="1:8">
      <c r="H16707" t="s">
        <v>34272</v>
      </c>
    </row>
    <row r="16708" spans="1:8">
      <c r="H16708" t="s">
        <v>32707</v>
      </c>
    </row>
    <row r="16709" spans="1:8">
      <c r="H16709" t="s">
        <v>34273</v>
      </c>
    </row>
    <row r="16710" spans="1:8">
      <c r="H16710" t="s">
        <v>34274</v>
      </c>
    </row>
    <row r="16711" spans="1:8">
      <c r="H16711" t="s">
        <v>34275</v>
      </c>
    </row>
    <row r="16712" spans="1:8">
      <c r="H16712" t="s">
        <v>34276</v>
      </c>
    </row>
    <row r="16713" spans="1:8">
      <c r="H16713" t="s">
        <v>34277</v>
      </c>
    </row>
    <row r="16714" spans="1:8">
      <c r="H16714" t="s">
        <v>34278</v>
      </c>
    </row>
    <row r="16715" spans="1:8">
      <c r="H16715" t="s">
        <v>34279</v>
      </c>
    </row>
    <row r="16716" spans="1:8">
      <c r="H16716" t="s">
        <v>34280</v>
      </c>
    </row>
    <row r="16717" spans="1:8">
      <c r="H16717" t="s">
        <v>34281</v>
      </c>
    </row>
    <row r="16718" spans="1:8">
      <c r="F16718" t="s">
        <v>12419</v>
      </c>
      <c r="G16718" t="s">
        <v>16641</v>
      </c>
      <c r="H16718" t="s">
        <v>32610</v>
      </c>
    </row>
    <row r="16719" spans="1:8">
      <c r="A16719" t="s">
        <v>3315</v>
      </c>
      <c r="B16719">
        <f>HYPERLINK("https://android.googlesource.com/platform/cts/+/f440a29be1e8bf61650c806d0e4ebc1f4a26581e", "f440a29be1e8bf61650c806d0e4ebc1f4a26581e")</f>
        <v>0</v>
      </c>
      <c r="C16719">
        <f>HYPERLINK("https://android.googlesource.com/platform/cts/+/f7898a64351119ade7f24692264dcca05491028a", "f7898a64351119ade7f24692264dcca05491028a")</f>
        <v>0</v>
      </c>
      <c r="D16719" t="s">
        <v>4974</v>
      </c>
      <c r="E16719" t="s">
        <v>9025</v>
      </c>
      <c r="F16719" t="s">
        <v>12570</v>
      </c>
      <c r="G16719" t="s">
        <v>16786</v>
      </c>
      <c r="H16719" t="s">
        <v>34289</v>
      </c>
    </row>
    <row r="16720" spans="1:8">
      <c r="A16720" t="s">
        <v>3316</v>
      </c>
      <c r="B16720">
        <f>HYPERLINK("https://android.googlesource.com/platform/cts/+/ebf24a0c4fc2b236d7c585864fa1801ae9842eb1", "ebf24a0c4fc2b236d7c585864fa1801ae9842eb1")</f>
        <v>0</v>
      </c>
      <c r="C16720">
        <f>HYPERLINK("https://android.googlesource.com/platform/cts/+/217b7e16c91320c10064b31f38d91f12db86094a", "217b7e16c91320c10064b31f38d91f12db86094a")</f>
        <v>0</v>
      </c>
      <c r="D16720" t="s">
        <v>5512</v>
      </c>
      <c r="E16720" t="s">
        <v>9026</v>
      </c>
      <c r="F16720" t="s">
        <v>13990</v>
      </c>
      <c r="G16720" t="s">
        <v>18009</v>
      </c>
      <c r="H16720" t="s">
        <v>34290</v>
      </c>
    </row>
    <row r="16721" spans="1:8">
      <c r="A16721" t="s">
        <v>3317</v>
      </c>
      <c r="B16721">
        <f>HYPERLINK("https://android.googlesource.com/platform/cts/+/4bd03ac09dd13ea428c3a981530f49739ec1be37", "4bd03ac09dd13ea428c3a981530f49739ec1be37")</f>
        <v>0</v>
      </c>
      <c r="C16721">
        <f>HYPERLINK("https://android.googlesource.com/platform/cts/+/ebf24a0c4fc2b236d7c585864fa1801ae9842eb1", "ebf24a0c4fc2b236d7c585864fa1801ae9842eb1")</f>
        <v>0</v>
      </c>
      <c r="D16721" t="s">
        <v>5512</v>
      </c>
      <c r="E16721" t="s">
        <v>9027</v>
      </c>
      <c r="F16721" t="s">
        <v>13990</v>
      </c>
      <c r="G16721" t="s">
        <v>18009</v>
      </c>
      <c r="H16721" t="s">
        <v>34291</v>
      </c>
    </row>
    <row r="16722" spans="1:8">
      <c r="A16722" t="s">
        <v>3318</v>
      </c>
      <c r="B16722">
        <f>HYPERLINK("https://android.googlesource.com/platform/cts/+/a67bea89b81bdf1b035f2257184e9e83ecaab870", "a67bea89b81bdf1b035f2257184e9e83ecaab870")</f>
        <v>0</v>
      </c>
      <c r="C16722">
        <f>HYPERLINK("https://android.googlesource.com/platform/cts/+/4bd03ac09dd13ea428c3a981530f49739ec1be37", "4bd03ac09dd13ea428c3a981530f49739ec1be37")</f>
        <v>0</v>
      </c>
      <c r="D16722" t="s">
        <v>5512</v>
      </c>
      <c r="E16722" t="s">
        <v>9028</v>
      </c>
      <c r="F16722" t="s">
        <v>13990</v>
      </c>
      <c r="G16722" t="s">
        <v>18009</v>
      </c>
      <c r="H16722" t="s">
        <v>34292</v>
      </c>
    </row>
    <row r="16723" spans="1:8">
      <c r="A16723" t="s">
        <v>3319</v>
      </c>
      <c r="B16723">
        <f>HYPERLINK("https://android.googlesource.com/platform/cts/+/d901f6bf5f13ac505882dac6ed822be0871358e7", "d901f6bf5f13ac505882dac6ed822be0871358e7")</f>
        <v>0</v>
      </c>
      <c r="C16723">
        <f>HYPERLINK("https://android.googlesource.com/platform/cts/+/a67bea89b81bdf1b035f2257184e9e83ecaab870", "a67bea89b81bdf1b035f2257184e9e83ecaab870")</f>
        <v>0</v>
      </c>
      <c r="D16723" t="s">
        <v>5512</v>
      </c>
      <c r="E16723" t="s">
        <v>9029</v>
      </c>
      <c r="F16723" t="s">
        <v>13990</v>
      </c>
      <c r="G16723" t="s">
        <v>18009</v>
      </c>
      <c r="H16723" t="s">
        <v>34293</v>
      </c>
    </row>
    <row r="16724" spans="1:8">
      <c r="A16724" t="s">
        <v>3320</v>
      </c>
      <c r="B16724">
        <f>HYPERLINK("https://android.googlesource.com/platform/cts/+/70173f2aac2d1a3abb15fa592b8f5c7e8820b891", "70173f2aac2d1a3abb15fa592b8f5c7e8820b891")</f>
        <v>0</v>
      </c>
      <c r="C16724">
        <f>HYPERLINK("https://android.googlesource.com/platform/cts/+/d901f6bf5f13ac505882dac6ed822be0871358e7", "d901f6bf5f13ac505882dac6ed822be0871358e7")</f>
        <v>0</v>
      </c>
      <c r="D16724" t="s">
        <v>5512</v>
      </c>
      <c r="E16724" t="s">
        <v>9030</v>
      </c>
      <c r="F16724" t="s">
        <v>13990</v>
      </c>
      <c r="G16724" t="s">
        <v>18009</v>
      </c>
      <c r="H16724" t="s">
        <v>34294</v>
      </c>
    </row>
    <row r="16725" spans="1:8">
      <c r="A16725" t="s">
        <v>3321</v>
      </c>
      <c r="B16725">
        <f>HYPERLINK("https://android.googlesource.com/platform/cts/+/f190957b1691000803268f9d0a65b1786bfb19c7", "f190957b1691000803268f9d0a65b1786bfb19c7")</f>
        <v>0</v>
      </c>
      <c r="C16725">
        <f>HYPERLINK("https://android.googlesource.com/platform/cts/+/70173f2aac2d1a3abb15fa592b8f5c7e8820b891", "70173f2aac2d1a3abb15fa592b8f5c7e8820b891")</f>
        <v>0</v>
      </c>
      <c r="D16725" t="s">
        <v>5512</v>
      </c>
      <c r="E16725" t="s">
        <v>9031</v>
      </c>
      <c r="F16725" t="s">
        <v>13990</v>
      </c>
      <c r="G16725" t="s">
        <v>18009</v>
      </c>
      <c r="H16725" t="s">
        <v>34100</v>
      </c>
    </row>
    <row r="16726" spans="1:8">
      <c r="A16726" t="s">
        <v>3322</v>
      </c>
      <c r="B16726">
        <f>HYPERLINK("https://android.googlesource.com/platform/cts/+/4a1ee646ffb45f45f156e493edb0d8b9b74adcfe", "4a1ee646ffb45f45f156e493edb0d8b9b74adcfe")</f>
        <v>0</v>
      </c>
      <c r="C16726">
        <f>HYPERLINK("https://android.googlesource.com/platform/cts/+/76d04449a4ad03f99f48756d5752a609eaa2703e", "76d04449a4ad03f99f48756d5752a609eaa2703e")</f>
        <v>0</v>
      </c>
      <c r="D16726" t="s">
        <v>5383</v>
      </c>
      <c r="E16726" t="s">
        <v>9032</v>
      </c>
      <c r="F16726" t="s">
        <v>13924</v>
      </c>
      <c r="G16726" t="s">
        <v>17960</v>
      </c>
      <c r="H16726" t="s">
        <v>34197</v>
      </c>
    </row>
    <row r="16727" spans="1:8">
      <c r="H16727" t="s">
        <v>34233</v>
      </c>
    </row>
    <row r="16728" spans="1:8">
      <c r="H16728" t="s">
        <v>34198</v>
      </c>
    </row>
    <row r="16729" spans="1:8">
      <c r="A16729" t="s">
        <v>3323</v>
      </c>
      <c r="B16729">
        <f>HYPERLINK("https://android.googlesource.com/platform/cts/+/992ac029edc872fdcf14b0c75236dd3709b256ad", "992ac029edc872fdcf14b0c75236dd3709b256ad")</f>
        <v>0</v>
      </c>
      <c r="C16729">
        <f>HYPERLINK("https://android.googlesource.com/platform/cts/+/29dacb9d55431146b589ef800e5f0c83b7b41bf8", "29dacb9d55431146b589ef800e5f0c83b7b41bf8")</f>
        <v>0</v>
      </c>
      <c r="D16729" t="s">
        <v>5550</v>
      </c>
      <c r="E16729" t="s">
        <v>9033</v>
      </c>
      <c r="F16729" t="s">
        <v>14246</v>
      </c>
      <c r="G16729" t="s">
        <v>17814</v>
      </c>
      <c r="H16729" t="s">
        <v>34295</v>
      </c>
    </row>
    <row r="16730" spans="1:8">
      <c r="H16730" t="s">
        <v>34296</v>
      </c>
    </row>
    <row r="16731" spans="1:8">
      <c r="H16731" t="s">
        <v>34297</v>
      </c>
    </row>
    <row r="16732" spans="1:8">
      <c r="H16732" t="s">
        <v>34298</v>
      </c>
    </row>
    <row r="16733" spans="1:8">
      <c r="H16733" t="s">
        <v>34299</v>
      </c>
    </row>
    <row r="16734" spans="1:8">
      <c r="F16734" t="s">
        <v>14091</v>
      </c>
      <c r="G16734" t="s">
        <v>17434</v>
      </c>
      <c r="H16734" t="s">
        <v>34306</v>
      </c>
    </row>
    <row r="16735" spans="1:8">
      <c r="H16735" t="s">
        <v>34307</v>
      </c>
    </row>
    <row r="16736" spans="1:8">
      <c r="H16736" t="s">
        <v>29061</v>
      </c>
    </row>
    <row r="16737" spans="6:8">
      <c r="H16737" t="s">
        <v>34308</v>
      </c>
    </row>
    <row r="16738" spans="6:8">
      <c r="H16738" t="s">
        <v>34309</v>
      </c>
    </row>
    <row r="16739" spans="6:8">
      <c r="H16739" t="s">
        <v>34310</v>
      </c>
    </row>
    <row r="16740" spans="6:8">
      <c r="H16740" t="s">
        <v>34311</v>
      </c>
    </row>
    <row r="16741" spans="6:8">
      <c r="H16741" t="s">
        <v>34312</v>
      </c>
    </row>
    <row r="16742" spans="6:8">
      <c r="H16742" t="s">
        <v>34313</v>
      </c>
    </row>
    <row r="16743" spans="6:8">
      <c r="H16743" t="s">
        <v>34314</v>
      </c>
    </row>
    <row r="16744" spans="6:8">
      <c r="H16744" t="s">
        <v>34315</v>
      </c>
    </row>
    <row r="16745" spans="6:8">
      <c r="H16745" t="s">
        <v>34316</v>
      </c>
    </row>
    <row r="16746" spans="6:8">
      <c r="H16746" t="s">
        <v>34317</v>
      </c>
    </row>
    <row r="16747" spans="6:8">
      <c r="H16747" t="s">
        <v>29065</v>
      </c>
    </row>
    <row r="16748" spans="6:8">
      <c r="H16748" t="s">
        <v>34318</v>
      </c>
    </row>
    <row r="16749" spans="6:8">
      <c r="F16749" t="s">
        <v>14247</v>
      </c>
      <c r="G16749" t="s">
        <v>17656</v>
      </c>
      <c r="H16749" t="s">
        <v>34320</v>
      </c>
    </row>
    <row r="16750" spans="6:8">
      <c r="H16750" t="s">
        <v>34321</v>
      </c>
    </row>
    <row r="16751" spans="6:8">
      <c r="H16751" t="s">
        <v>34322</v>
      </c>
    </row>
    <row r="16752" spans="6:8">
      <c r="H16752" t="s">
        <v>34323</v>
      </c>
    </row>
    <row r="16753" spans="8:8">
      <c r="H16753" t="s">
        <v>34324</v>
      </c>
    </row>
    <row r="16754" spans="8:8">
      <c r="H16754" t="s">
        <v>34325</v>
      </c>
    </row>
    <row r="16755" spans="8:8">
      <c r="H16755" t="s">
        <v>34326</v>
      </c>
    </row>
    <row r="16756" spans="8:8">
      <c r="H16756" t="s">
        <v>34327</v>
      </c>
    </row>
    <row r="16757" spans="8:8">
      <c r="H16757" t="s">
        <v>34328</v>
      </c>
    </row>
    <row r="16758" spans="8:8">
      <c r="H16758" t="s">
        <v>34329</v>
      </c>
    </row>
    <row r="16759" spans="8:8">
      <c r="H16759" t="s">
        <v>34330</v>
      </c>
    </row>
    <row r="16760" spans="8:8">
      <c r="H16760" t="s">
        <v>34331</v>
      </c>
    </row>
    <row r="16761" spans="8:8">
      <c r="H16761" t="s">
        <v>34332</v>
      </c>
    </row>
    <row r="16762" spans="8:8">
      <c r="H16762" t="s">
        <v>34333</v>
      </c>
    </row>
    <row r="16763" spans="8:8">
      <c r="H16763" t="s">
        <v>34334</v>
      </c>
    </row>
    <row r="16764" spans="8:8">
      <c r="H16764" t="s">
        <v>34335</v>
      </c>
    </row>
    <row r="16765" spans="8:8">
      <c r="H16765" t="s">
        <v>34336</v>
      </c>
    </row>
    <row r="16766" spans="8:8">
      <c r="H16766" t="s">
        <v>34337</v>
      </c>
    </row>
    <row r="16767" spans="8:8">
      <c r="H16767" t="s">
        <v>34338</v>
      </c>
    </row>
    <row r="16768" spans="8:8">
      <c r="H16768" t="s">
        <v>34339</v>
      </c>
    </row>
    <row r="16769" spans="1:8">
      <c r="H16769" t="s">
        <v>34340</v>
      </c>
    </row>
    <row r="16770" spans="1:8">
      <c r="H16770" t="s">
        <v>34341</v>
      </c>
    </row>
    <row r="16771" spans="1:8">
      <c r="H16771" t="s">
        <v>34342</v>
      </c>
    </row>
    <row r="16772" spans="1:8">
      <c r="H16772" t="s">
        <v>34343</v>
      </c>
    </row>
    <row r="16773" spans="1:8">
      <c r="H16773" t="s">
        <v>34344</v>
      </c>
    </row>
    <row r="16774" spans="1:8">
      <c r="H16774" t="s">
        <v>34345</v>
      </c>
    </row>
    <row r="16775" spans="1:8">
      <c r="H16775" t="s">
        <v>34346</v>
      </c>
    </row>
    <row r="16776" spans="1:8">
      <c r="H16776" t="s">
        <v>34347</v>
      </c>
    </row>
    <row r="16777" spans="1:8">
      <c r="A16777" t="s">
        <v>3325</v>
      </c>
      <c r="B16777">
        <f>HYPERLINK("https://android.googlesource.com/platform/cts/+/030a920e3219f26c2acf9cec2523b0d1b26f3fa9", "030a920e3219f26c2acf9cec2523b0d1b26f3fa9")</f>
        <v>0</v>
      </c>
      <c r="C16777">
        <f>HYPERLINK("https://android.googlesource.com/platform/cts/+/fb8ea5a6b4c8fce41108226343cf38bc643103e7", "fb8ea5a6b4c8fce41108226343cf38bc643103e7")</f>
        <v>0</v>
      </c>
      <c r="D16777" t="s">
        <v>5551</v>
      </c>
      <c r="E16777" t="s">
        <v>9035</v>
      </c>
      <c r="F16777" t="s">
        <v>14248</v>
      </c>
      <c r="G16777" t="s">
        <v>17675</v>
      </c>
      <c r="H16777" t="s">
        <v>34350</v>
      </c>
    </row>
    <row r="16778" spans="1:8">
      <c r="A16778" t="s">
        <v>3329</v>
      </c>
      <c r="B16778">
        <f>HYPERLINK("https://android.googlesource.com/platform/cts/+/67d182168a0d6dac5ff0df061c8efd67f5091055", "67d182168a0d6dac5ff0df061c8efd67f5091055")</f>
        <v>0</v>
      </c>
      <c r="C16778">
        <f>HYPERLINK("https://android.googlesource.com/platform/cts/+/29224dee851591fac9e276f9b3254afdc82b6816", "29224dee851591fac9e276f9b3254afdc82b6816")</f>
        <v>0</v>
      </c>
      <c r="D16778" t="s">
        <v>5260</v>
      </c>
      <c r="E16778" t="s">
        <v>9039</v>
      </c>
      <c r="F16778" t="s">
        <v>10687</v>
      </c>
      <c r="G16778" t="s">
        <v>15087</v>
      </c>
      <c r="H16778" t="s">
        <v>34351</v>
      </c>
    </row>
    <row r="16779" spans="1:8">
      <c r="H16779" t="s">
        <v>34352</v>
      </c>
    </row>
    <row r="16780" spans="1:8">
      <c r="A16780" t="s">
        <v>3330</v>
      </c>
      <c r="B16780">
        <f>HYPERLINK("https://android.googlesource.com/platform/cts/+/19ff1b7dfea1ada771a20089824fc5f75866ea4f", "19ff1b7dfea1ada771a20089824fc5f75866ea4f")</f>
        <v>0</v>
      </c>
      <c r="C16780">
        <f>HYPERLINK("https://android.googlesource.com/platform/cts/+/2d07a845dd77abe581aa7c33786c1e4d2f3d95d4", "2d07a845dd77abe581aa7c33786c1e4d2f3d95d4")</f>
        <v>0</v>
      </c>
      <c r="D16780" t="s">
        <v>5553</v>
      </c>
      <c r="E16780" t="s">
        <v>9040</v>
      </c>
      <c r="F16780" t="s">
        <v>14250</v>
      </c>
      <c r="G16780" t="s">
        <v>18215</v>
      </c>
      <c r="H16780" t="s">
        <v>32846</v>
      </c>
    </row>
    <row r="16781" spans="1:8">
      <c r="H16781" t="s">
        <v>32847</v>
      </c>
    </row>
    <row r="16782" spans="1:8">
      <c r="A16782" t="s">
        <v>3335</v>
      </c>
      <c r="B16782">
        <f>HYPERLINK("https://android.googlesource.com/platform/cts/+/c759cb4ec47bf6c5540531da5b8f537a2e4ef319", "c759cb4ec47bf6c5540531da5b8f537a2e4ef319")</f>
        <v>0</v>
      </c>
      <c r="C16782">
        <f>HYPERLINK("https://android.googlesource.com/platform/cts/+/2716d0e067e5a11e6c304943dbe53c071c29ade1", "2716d0e067e5a11e6c304943dbe53c071c29ade1")</f>
        <v>0</v>
      </c>
      <c r="D16782" t="s">
        <v>5554</v>
      </c>
      <c r="E16782" t="s">
        <v>9045</v>
      </c>
      <c r="F16782" t="s">
        <v>14059</v>
      </c>
      <c r="G16782" t="s">
        <v>18057</v>
      </c>
      <c r="H16782" t="s">
        <v>33136</v>
      </c>
    </row>
    <row r="16783" spans="1:8">
      <c r="A16783" t="s">
        <v>3336</v>
      </c>
      <c r="B16783">
        <f>HYPERLINK("https://android.googlesource.com/platform/cts/+/6305774a70fd4fa91964fb803d19c55b3f505e02", "6305774a70fd4fa91964fb803d19c55b3f505e02")</f>
        <v>0</v>
      </c>
      <c r="C16783">
        <f>HYPERLINK("https://android.googlesource.com/platform/cts/+/5bbe179c89cf82f72e0bd7f90d70549c6abe1fc3", "5bbe179c89cf82f72e0bd7f90d70549c6abe1fc3")</f>
        <v>0</v>
      </c>
      <c r="D16783" t="s">
        <v>5182</v>
      </c>
      <c r="E16783" t="s">
        <v>9046</v>
      </c>
      <c r="F16783" t="s">
        <v>12820</v>
      </c>
      <c r="G16783" t="s">
        <v>16999</v>
      </c>
      <c r="H16783" t="s">
        <v>34359</v>
      </c>
    </row>
    <row r="16784" spans="1:8">
      <c r="H16784" t="s">
        <v>34360</v>
      </c>
    </row>
    <row r="16785" spans="1:8">
      <c r="H16785" t="s">
        <v>34361</v>
      </c>
    </row>
    <row r="16786" spans="1:8">
      <c r="A16786" t="s">
        <v>3340</v>
      </c>
      <c r="B16786">
        <f>HYPERLINK("https://android.googlesource.com/platform/cts/+/4e00c8d6d3c817040c738ded37b9997881ab8969", "4e00c8d6d3c817040c738ded37b9997881ab8969")</f>
        <v>0</v>
      </c>
      <c r="C16786">
        <f>HYPERLINK("https://android.googlesource.com/platform/cts/+/5b19bc353a7bd9dfe5c485157ccff30f420f537c", "5b19bc353a7bd9dfe5c485157ccff30f420f537c")</f>
        <v>0</v>
      </c>
      <c r="D16786" t="s">
        <v>5541</v>
      </c>
      <c r="E16786" t="s">
        <v>9049</v>
      </c>
      <c r="F16786" t="s">
        <v>14251</v>
      </c>
      <c r="G16786" t="s">
        <v>18216</v>
      </c>
      <c r="H16786" t="s">
        <v>34367</v>
      </c>
    </row>
    <row r="16787" spans="1:8">
      <c r="A16787" t="s">
        <v>3345</v>
      </c>
      <c r="B16787">
        <f>HYPERLINK("https://android.googlesource.com/platform/cts/+/cf1cb01100c635f57ee99db26010a0eccc64cc54", "cf1cb01100c635f57ee99db26010a0eccc64cc54")</f>
        <v>0</v>
      </c>
      <c r="C16787">
        <f>HYPERLINK("https://android.googlesource.com/platform/cts/+/01e2c05230532723125efbd9ad56ccaacf076191", "01e2c05230532723125efbd9ad56ccaacf076191")</f>
        <v>0</v>
      </c>
      <c r="D16787" t="s">
        <v>5051</v>
      </c>
      <c r="E16787" t="s">
        <v>9054</v>
      </c>
      <c r="F16787" t="s">
        <v>13850</v>
      </c>
      <c r="G16787" t="s">
        <v>16816</v>
      </c>
      <c r="H16787" t="s">
        <v>34369</v>
      </c>
    </row>
    <row r="16788" spans="1:8">
      <c r="A16788" t="s">
        <v>3347</v>
      </c>
      <c r="B16788">
        <f>HYPERLINK("https://android.googlesource.com/platform/cts/+/1694ae40f8d5f07d7cd0035a6707421aa98eb138", "1694ae40f8d5f07d7cd0035a6707421aa98eb138")</f>
        <v>0</v>
      </c>
      <c r="C16788">
        <f>HYPERLINK("https://android.googlesource.com/platform/cts/+/cb8b808d3d1bf5ee012c38ca9270743fb5d7574f", "cb8b808d3d1bf5ee012c38ca9270743fb5d7574f")</f>
        <v>0</v>
      </c>
      <c r="D16788" t="s">
        <v>5416</v>
      </c>
      <c r="E16788" t="s">
        <v>9056</v>
      </c>
      <c r="F16788" t="s">
        <v>13502</v>
      </c>
      <c r="G16788" t="s">
        <v>17620</v>
      </c>
      <c r="H16788" t="s">
        <v>34142</v>
      </c>
    </row>
    <row r="16789" spans="1:8">
      <c r="H16789" t="s">
        <v>34146</v>
      </c>
    </row>
    <row r="16790" spans="1:8">
      <c r="A16790" t="s">
        <v>3361</v>
      </c>
      <c r="B16790">
        <f>HYPERLINK("https://android.googlesource.com/platform/cts/+/5961e8d5388d68a051e440dccfa95953b4018904", "5961e8d5388d68a051e440dccfa95953b4018904")</f>
        <v>0</v>
      </c>
      <c r="C16790">
        <f>HYPERLINK("https://android.googlesource.com/platform/cts/+/427a30db119ef92bf8d612de4f604d9e87862ce1", "427a30db119ef92bf8d612de4f604d9e87862ce1")</f>
        <v>0</v>
      </c>
      <c r="D16790" t="s">
        <v>5557</v>
      </c>
      <c r="E16790" t="s">
        <v>9067</v>
      </c>
      <c r="F16790" t="s">
        <v>13021</v>
      </c>
      <c r="G16790" t="s">
        <v>17185</v>
      </c>
      <c r="H16790" t="s">
        <v>34374</v>
      </c>
    </row>
    <row r="16791" spans="1:8">
      <c r="H16791" t="s">
        <v>34375</v>
      </c>
    </row>
    <row r="16792" spans="1:8">
      <c r="A16792" t="s">
        <v>3362</v>
      </c>
      <c r="B16792">
        <f>HYPERLINK("https://android.googlesource.com/platform/cts/+/02be782417ea1f646964c3c45e791c1773f4da6d", "02be782417ea1f646964c3c45e791c1773f4da6d")</f>
        <v>0</v>
      </c>
      <c r="C16792">
        <f>HYPERLINK("https://android.googlesource.com/platform/cts/+/f06316a937c8da1e129b45e7569ce5882d9e9795", "f06316a937c8da1e129b45e7569ce5882d9e9795")</f>
        <v>0</v>
      </c>
      <c r="D16792" t="s">
        <v>5472</v>
      </c>
      <c r="E16792" t="s">
        <v>9068</v>
      </c>
      <c r="F16792" t="s">
        <v>13815</v>
      </c>
      <c r="G16792" t="s">
        <v>17862</v>
      </c>
      <c r="H16792" t="s">
        <v>34377</v>
      </c>
    </row>
    <row r="16793" spans="1:8">
      <c r="H16793" t="s">
        <v>25779</v>
      </c>
    </row>
    <row r="16794" spans="1:8">
      <c r="H16794" t="s">
        <v>25780</v>
      </c>
    </row>
    <row r="16795" spans="1:8">
      <c r="H16795" t="s">
        <v>34378</v>
      </c>
    </row>
    <row r="16796" spans="1:8">
      <c r="H16796" t="s">
        <v>34379</v>
      </c>
    </row>
    <row r="16797" spans="1:8">
      <c r="H16797" t="s">
        <v>34380</v>
      </c>
    </row>
    <row r="16798" spans="1:8">
      <c r="H16798" t="s">
        <v>34381</v>
      </c>
    </row>
    <row r="16799" spans="1:8">
      <c r="H16799" t="s">
        <v>34382</v>
      </c>
    </row>
    <row r="16800" spans="1:8">
      <c r="H16800" t="s">
        <v>34383</v>
      </c>
    </row>
    <row r="16801" spans="1:8">
      <c r="H16801" t="s">
        <v>34384</v>
      </c>
    </row>
    <row r="16802" spans="1:8">
      <c r="H16802" t="s">
        <v>34385</v>
      </c>
    </row>
    <row r="16803" spans="1:8">
      <c r="H16803" t="s">
        <v>34386</v>
      </c>
    </row>
    <row r="16804" spans="1:8">
      <c r="H16804" t="s">
        <v>34387</v>
      </c>
    </row>
    <row r="16805" spans="1:8">
      <c r="H16805" t="s">
        <v>34388</v>
      </c>
    </row>
    <row r="16806" spans="1:8">
      <c r="A16806" t="s">
        <v>3364</v>
      </c>
      <c r="B16806">
        <f>HYPERLINK("https://android.googlesource.com/platform/cts/+/cc244bf268572a652c93845affb64b77872bacc6", "cc244bf268572a652c93845affb64b77872bacc6")</f>
        <v>0</v>
      </c>
      <c r="C16806">
        <f>HYPERLINK("https://android.googlesource.com/platform/cts/+/8fe84d69a60cc7534351650c7dac6ad163a90ebf", "8fe84d69a60cc7534351650c7dac6ad163a90ebf")</f>
        <v>0</v>
      </c>
      <c r="D16806" t="s">
        <v>5501</v>
      </c>
      <c r="E16806" t="s">
        <v>9070</v>
      </c>
      <c r="F16806" t="s">
        <v>14158</v>
      </c>
      <c r="G16806" t="s">
        <v>18144</v>
      </c>
      <c r="H16806" t="s">
        <v>34398</v>
      </c>
    </row>
    <row r="16807" spans="1:8">
      <c r="A16807" t="s">
        <v>3367</v>
      </c>
      <c r="B16807">
        <f>HYPERLINK("https://android.googlesource.com/platform/cts/+/b5a87e7577bdf46b52814b31e981e5123a653bf0", "b5a87e7577bdf46b52814b31e981e5123a653bf0")</f>
        <v>0</v>
      </c>
      <c r="C16807">
        <f>HYPERLINK("https://android.googlesource.com/platform/cts/+/3269b24b39838538a3aeca24c59b5d4f1cacd8f3", "3269b24b39838538a3aeca24c59b5d4f1cacd8f3")</f>
        <v>0</v>
      </c>
      <c r="D16807" t="s">
        <v>5272</v>
      </c>
      <c r="E16807" t="s">
        <v>9073</v>
      </c>
      <c r="F16807" t="s">
        <v>14253</v>
      </c>
      <c r="G16807" t="s">
        <v>18218</v>
      </c>
      <c r="H16807" t="s">
        <v>34403</v>
      </c>
    </row>
    <row r="16808" spans="1:8">
      <c r="A16808" t="s">
        <v>3369</v>
      </c>
      <c r="B16808">
        <f>HYPERLINK("https://android.googlesource.com/platform/cts/+/1aede175ccdf926b5c5bfb1d86685513ebfbb976", "1aede175ccdf926b5c5bfb1d86685513ebfbb976")</f>
        <v>0</v>
      </c>
      <c r="C16808">
        <f>HYPERLINK("https://android.googlesource.com/platform/cts/+/7e1e49cff5c66a005e4909c3c8bae42f5a4aeeb6", "7e1e49cff5c66a005e4909c3c8bae42f5a4aeeb6")</f>
        <v>0</v>
      </c>
      <c r="D16808" t="s">
        <v>5438</v>
      </c>
      <c r="E16808" t="s">
        <v>9075</v>
      </c>
      <c r="F16808" t="s">
        <v>13257</v>
      </c>
      <c r="G16808" t="s">
        <v>17395</v>
      </c>
      <c r="H16808" t="s">
        <v>34408</v>
      </c>
    </row>
    <row r="16809" spans="1:8">
      <c r="H16809" t="s">
        <v>34409</v>
      </c>
    </row>
    <row r="16810" spans="1:8">
      <c r="H16810" t="s">
        <v>34410</v>
      </c>
    </row>
    <row r="16811" spans="1:8">
      <c r="H16811" t="s">
        <v>34411</v>
      </c>
    </row>
    <row r="16812" spans="1:8">
      <c r="H16812" t="s">
        <v>34413</v>
      </c>
    </row>
    <row r="16813" spans="1:8">
      <c r="H16813" t="s">
        <v>34414</v>
      </c>
    </row>
    <row r="16814" spans="1:8">
      <c r="H16814" t="s">
        <v>34415</v>
      </c>
    </row>
    <row r="16815" spans="1:8">
      <c r="H16815" t="s">
        <v>34416</v>
      </c>
    </row>
    <row r="16816" spans="1:8">
      <c r="H16816" t="s">
        <v>34418</v>
      </c>
    </row>
    <row r="16817" spans="1:8">
      <c r="H16817" t="s">
        <v>34419</v>
      </c>
    </row>
    <row r="16818" spans="1:8">
      <c r="H16818" t="s">
        <v>34420</v>
      </c>
    </row>
    <row r="16819" spans="1:8">
      <c r="H16819" t="s">
        <v>34421</v>
      </c>
    </row>
    <row r="16820" spans="1:8">
      <c r="H16820" t="s">
        <v>34422</v>
      </c>
    </row>
    <row r="16821" spans="1:8">
      <c r="H16821" t="s">
        <v>34425</v>
      </c>
    </row>
    <row r="16822" spans="1:8">
      <c r="H16822" t="s">
        <v>34426</v>
      </c>
    </row>
    <row r="16823" spans="1:8">
      <c r="H16823" t="s">
        <v>34427</v>
      </c>
    </row>
    <row r="16824" spans="1:8">
      <c r="H16824" t="s">
        <v>34429</v>
      </c>
    </row>
    <row r="16825" spans="1:8">
      <c r="H16825" t="s">
        <v>34430</v>
      </c>
    </row>
    <row r="16826" spans="1:8">
      <c r="H16826" t="s">
        <v>34431</v>
      </c>
    </row>
    <row r="16827" spans="1:8">
      <c r="H16827" t="s">
        <v>34433</v>
      </c>
    </row>
    <row r="16828" spans="1:8">
      <c r="H16828" t="s">
        <v>34434</v>
      </c>
    </row>
    <row r="16829" spans="1:8">
      <c r="H16829" t="s">
        <v>34435</v>
      </c>
    </row>
    <row r="16830" spans="1:8">
      <c r="H16830" t="s">
        <v>34436</v>
      </c>
    </row>
    <row r="16831" spans="1:8">
      <c r="H16831" t="s">
        <v>34437</v>
      </c>
    </row>
    <row r="16832" spans="1:8">
      <c r="A16832" t="s">
        <v>3371</v>
      </c>
      <c r="B16832">
        <f>HYPERLINK("https://android.googlesource.com/platform/cts/+/7b9e760b3dbc5f256c68e663a7385729c3ad1312", "7b9e760b3dbc5f256c68e663a7385729c3ad1312")</f>
        <v>0</v>
      </c>
      <c r="C16832">
        <f>HYPERLINK("https://android.googlesource.com/platform/cts/+/1ea17f28ee6f06c67a1d1756f051344d64dc6776", "1ea17f28ee6f06c67a1d1756f051344d64dc6776")</f>
        <v>0</v>
      </c>
      <c r="D16832" t="s">
        <v>5497</v>
      </c>
      <c r="E16832" t="s">
        <v>9077</v>
      </c>
      <c r="F16832" t="s">
        <v>14145</v>
      </c>
      <c r="G16832" t="s">
        <v>18133</v>
      </c>
      <c r="H16832" t="s">
        <v>34438</v>
      </c>
    </row>
    <row r="16833" spans="1:8">
      <c r="A16833" t="s">
        <v>3372</v>
      </c>
      <c r="B16833">
        <f>HYPERLINK("https://android.googlesource.com/platform/cts/+/94eec46283fdfb081148c5c887bf0ad58691409f", "94eec46283fdfb081148c5c887bf0ad58691409f")</f>
        <v>0</v>
      </c>
      <c r="C16833">
        <f>HYPERLINK("https://android.googlesource.com/platform/cts/+/c6fee6c910b2feaec67d7477cc2b78d13d2e2c25", "c6fee6c910b2feaec67d7477cc2b78d13d2e2c25")</f>
        <v>0</v>
      </c>
      <c r="D16833" t="s">
        <v>5541</v>
      </c>
      <c r="E16833" t="s">
        <v>9078</v>
      </c>
      <c r="F16833" t="s">
        <v>14251</v>
      </c>
      <c r="G16833" t="s">
        <v>18216</v>
      </c>
      <c r="H16833" t="s">
        <v>34439</v>
      </c>
    </row>
    <row r="16834" spans="1:8">
      <c r="F16834" t="s">
        <v>13335</v>
      </c>
      <c r="G16834" t="s">
        <v>17465</v>
      </c>
      <c r="H16834" t="s">
        <v>34440</v>
      </c>
    </row>
    <row r="16835" spans="1:8">
      <c r="A16835" t="s">
        <v>3373</v>
      </c>
      <c r="B16835">
        <f>HYPERLINK("https://android.googlesource.com/platform/cts/+/cc69d23758981b5f6a11850106870199b46dcc12", "cc69d23758981b5f6a11850106870199b46dcc12")</f>
        <v>0</v>
      </c>
      <c r="C16835">
        <f>HYPERLINK("https://android.googlesource.com/platform/cts/+/78279bdf1484095e09a8a123f8109510733e9740", "78279bdf1484095e09a8a123f8109510733e9740")</f>
        <v>0</v>
      </c>
      <c r="D16835" t="s">
        <v>5355</v>
      </c>
      <c r="E16835" t="s">
        <v>9079</v>
      </c>
      <c r="F16835" t="s">
        <v>12817</v>
      </c>
      <c r="G16835" t="s">
        <v>16629</v>
      </c>
      <c r="H16835" t="s">
        <v>34441</v>
      </c>
    </row>
    <row r="16836" spans="1:8">
      <c r="A16836" t="s">
        <v>3374</v>
      </c>
      <c r="B16836">
        <f>HYPERLINK("https://android.googlesource.com/platform/cts/+/e7920a2b36a188d10bcb57ef6d74fd7baa42d6bc", "e7920a2b36a188d10bcb57ef6d74fd7baa42d6bc")</f>
        <v>0</v>
      </c>
      <c r="C16836">
        <f>HYPERLINK("https://android.googlesource.com/platform/cts/+/d698c9e71efb082613a2b110be98383baaa9d8ad", "d698c9e71efb082613a2b110be98383baaa9d8ad")</f>
        <v>0</v>
      </c>
      <c r="D16836" t="s">
        <v>5560</v>
      </c>
      <c r="E16836" t="s">
        <v>9080</v>
      </c>
      <c r="F16836" t="s">
        <v>14255</v>
      </c>
      <c r="G16836" t="s">
        <v>18220</v>
      </c>
      <c r="H16836" t="s">
        <v>34442</v>
      </c>
    </row>
    <row r="16837" spans="1:8">
      <c r="A16837" t="s">
        <v>3376</v>
      </c>
      <c r="B16837">
        <f>HYPERLINK("https://android.googlesource.com/platform/cts/+/43e30fbdee1df93bbbf68cc753c20e14f8b4d02e", "43e30fbdee1df93bbbf68cc753c20e14f8b4d02e")</f>
        <v>0</v>
      </c>
      <c r="C16837">
        <f>HYPERLINK("https://android.googlesource.com/platform/cts/+/cdcd99836200940c93cf1ca64d83e1ce91f7ecf2", "cdcd99836200940c93cf1ca64d83e1ce91f7ecf2")</f>
        <v>0</v>
      </c>
      <c r="D16837" t="s">
        <v>5540</v>
      </c>
      <c r="E16837" t="s">
        <v>9082</v>
      </c>
      <c r="F16837" t="s">
        <v>14165</v>
      </c>
      <c r="G16837" t="s">
        <v>17361</v>
      </c>
      <c r="H16837" t="s">
        <v>34446</v>
      </c>
    </row>
    <row r="16838" spans="1:8">
      <c r="A16838" t="s">
        <v>3377</v>
      </c>
      <c r="B16838">
        <f>HYPERLINK("https://android.googlesource.com/platform/cts/+/53bfba03a740627df67063ba6efbfb83a3a796b0", "53bfba03a740627df67063ba6efbfb83a3a796b0")</f>
        <v>0</v>
      </c>
      <c r="C16838">
        <f>HYPERLINK("https://android.googlesource.com/platform/cts/+/76a1c3cbc7a45d489fbc7d5a910ef888ae33a559", "76a1c3cbc7a45d489fbc7d5a910ef888ae33a559")</f>
        <v>0</v>
      </c>
      <c r="D16838" t="s">
        <v>5363</v>
      </c>
      <c r="E16838" t="s">
        <v>9083</v>
      </c>
      <c r="F16838" t="s">
        <v>14033</v>
      </c>
      <c r="G16838" t="s">
        <v>18030</v>
      </c>
      <c r="H16838" t="s">
        <v>32917</v>
      </c>
    </row>
    <row r="16839" spans="1:8">
      <c r="H16839" t="s">
        <v>32918</v>
      </c>
    </row>
    <row r="16840" spans="1:8">
      <c r="A16840" t="s">
        <v>3378</v>
      </c>
      <c r="B16840">
        <f>HYPERLINK("https://android.googlesource.com/platform/cts/+/544368f38a9e303de42d6dffb7defd1e357f41ad", "544368f38a9e303de42d6dffb7defd1e357f41ad")</f>
        <v>0</v>
      </c>
      <c r="C16840">
        <f>HYPERLINK("https://android.googlesource.com/platform/cts/+/76a1c3cbc7a45d489fbc7d5a910ef888ae33a559", "76a1c3cbc7a45d489fbc7d5a910ef888ae33a559")</f>
        <v>0</v>
      </c>
      <c r="D16840" t="s">
        <v>5548</v>
      </c>
      <c r="E16840" t="s">
        <v>9084</v>
      </c>
      <c r="F16840" t="s">
        <v>14242</v>
      </c>
      <c r="G16840" t="s">
        <v>18210</v>
      </c>
      <c r="H16840" t="s">
        <v>34447</v>
      </c>
    </row>
    <row r="16841" spans="1:8">
      <c r="H16841" t="s">
        <v>34448</v>
      </c>
    </row>
    <row r="16842" spans="1:8">
      <c r="A16842" t="s">
        <v>3384</v>
      </c>
      <c r="B16842">
        <f>HYPERLINK("https://android.googlesource.com/platform/cts/+/59f947b6adfa108fd8a0922f0b01b31639992554", "59f947b6adfa108fd8a0922f0b01b31639992554")</f>
        <v>0</v>
      </c>
      <c r="C16842">
        <f>HYPERLINK("https://android.googlesource.com/platform/cts/+/9d9baf36e20e81515f01a62ff3e2977ed8671e6b", "9d9baf36e20e81515f01a62ff3e2977ed8671e6b")</f>
        <v>0</v>
      </c>
      <c r="D16842" t="s">
        <v>5452</v>
      </c>
      <c r="E16842" t="s">
        <v>9090</v>
      </c>
      <c r="F16842" t="s">
        <v>13171</v>
      </c>
      <c r="G16842" t="s">
        <v>16410</v>
      </c>
      <c r="H16842" t="s">
        <v>34450</v>
      </c>
    </row>
    <row r="16843" spans="1:8">
      <c r="A16843" t="s">
        <v>3385</v>
      </c>
      <c r="B16843">
        <f>HYPERLINK("https://android.googlesource.com/platform/cts/+/04b5f2ffd32f946e99f1c217f294c19647d54211", "04b5f2ffd32f946e99f1c217f294c19647d54211")</f>
        <v>0</v>
      </c>
      <c r="C16843">
        <f>HYPERLINK("https://android.googlesource.com/platform/cts/+/ad007c78c81b502c107ffa2569d907a8e29099b5", "ad007c78c81b502c107ffa2569d907a8e29099b5")</f>
        <v>0</v>
      </c>
      <c r="D16843" t="s">
        <v>5511</v>
      </c>
      <c r="E16843" t="s">
        <v>9091</v>
      </c>
      <c r="F16843" t="s">
        <v>14164</v>
      </c>
      <c r="G16843" t="s">
        <v>18147</v>
      </c>
      <c r="H16843" t="s">
        <v>33709</v>
      </c>
    </row>
    <row r="16844" spans="1:8">
      <c r="A16844" t="s">
        <v>3386</v>
      </c>
      <c r="B16844">
        <f>HYPERLINK("https://android.googlesource.com/platform/cts/+/3aca264e3ce49c6bb46bd371eb37b5aeec058938", "3aca264e3ce49c6bb46bd371eb37b5aeec058938")</f>
        <v>0</v>
      </c>
      <c r="C16844">
        <f>HYPERLINK("https://android.googlesource.com/platform/cts/+/9928da26c2ac82a69a4b707ff20d110ce37a4bf6", "9928da26c2ac82a69a4b707ff20d110ce37a4bf6")</f>
        <v>0</v>
      </c>
      <c r="D16844" t="s">
        <v>5511</v>
      </c>
      <c r="E16844" t="s">
        <v>9092</v>
      </c>
      <c r="F16844" t="s">
        <v>14258</v>
      </c>
      <c r="G16844" t="s">
        <v>18223</v>
      </c>
      <c r="H16844" t="s">
        <v>33708</v>
      </c>
    </row>
    <row r="16845" spans="1:8">
      <c r="H16845" t="s">
        <v>33709</v>
      </c>
    </row>
    <row r="16846" spans="1:8">
      <c r="A16846" t="s">
        <v>3387</v>
      </c>
      <c r="B16846">
        <f>HYPERLINK("https://android.googlesource.com/platform/cts/+/4f4511d942c610905dbdc873d8ea145ae7ff603b", "4f4511d942c610905dbdc873d8ea145ae7ff603b")</f>
        <v>0</v>
      </c>
      <c r="C16846">
        <f>HYPERLINK("https://android.googlesource.com/platform/cts/+/9d9baf36e20e81515f01a62ff3e2977ed8671e6b", "9d9baf36e20e81515f01a62ff3e2977ed8671e6b")</f>
        <v>0</v>
      </c>
      <c r="D16846" t="s">
        <v>5427</v>
      </c>
      <c r="E16846" t="s">
        <v>9093</v>
      </c>
      <c r="F16846" t="s">
        <v>12846</v>
      </c>
      <c r="G16846" t="s">
        <v>17017</v>
      </c>
      <c r="H16846" t="s">
        <v>34455</v>
      </c>
    </row>
    <row r="16847" spans="1:8">
      <c r="H16847" t="s">
        <v>34456</v>
      </c>
    </row>
    <row r="16848" spans="1:8">
      <c r="A16848" t="s">
        <v>3391</v>
      </c>
      <c r="B16848">
        <f>HYPERLINK("https://android.googlesource.com/platform/cts/+/fe4b36631513b0b7cb58fa1b5d5a8541878a75b1", "fe4b36631513b0b7cb58fa1b5d5a8541878a75b1")</f>
        <v>0</v>
      </c>
      <c r="C16848">
        <f>HYPERLINK("https://android.googlesource.com/platform/cts/+/a8388ccee7315f14e1d02ea3b4d540234fd94a31", "a8388ccee7315f14e1d02ea3b4d540234fd94a31")</f>
        <v>0</v>
      </c>
      <c r="D16848" t="s">
        <v>5563</v>
      </c>
      <c r="E16848" t="s">
        <v>9095</v>
      </c>
      <c r="F16848" t="s">
        <v>14260</v>
      </c>
      <c r="G16848" t="s">
        <v>18227</v>
      </c>
      <c r="H16848" t="s">
        <v>34457</v>
      </c>
    </row>
    <row r="16849" spans="1:8">
      <c r="A16849" t="s">
        <v>3392</v>
      </c>
      <c r="B16849">
        <f>HYPERLINK("https://android.googlesource.com/platform/cts/+/5d9710d5b72136b2face76b578ac120ad6ed931e", "5d9710d5b72136b2face76b578ac120ad6ed931e")</f>
        <v>0</v>
      </c>
      <c r="C16849">
        <f>HYPERLINK("https://android.googlesource.com/platform/cts/+/5600812cbeddd7ac16ba72c6322f4f30a8d66739", "5600812cbeddd7ac16ba72c6322f4f30a8d66739")</f>
        <v>0</v>
      </c>
      <c r="D16849" t="s">
        <v>5153</v>
      </c>
      <c r="E16849" t="s">
        <v>9096</v>
      </c>
      <c r="F16849" t="s">
        <v>14261</v>
      </c>
      <c r="G16849" t="s">
        <v>18228</v>
      </c>
      <c r="H16849" t="s">
        <v>34458</v>
      </c>
    </row>
    <row r="16850" spans="1:8">
      <c r="H16850" t="s">
        <v>34459</v>
      </c>
    </row>
    <row r="16851" spans="1:8">
      <c r="H16851" t="s">
        <v>34460</v>
      </c>
    </row>
    <row r="16852" spans="1:8">
      <c r="H16852" t="s">
        <v>34461</v>
      </c>
    </row>
    <row r="16853" spans="1:8">
      <c r="H16853" t="s">
        <v>34462</v>
      </c>
    </row>
    <row r="16854" spans="1:8">
      <c r="H16854" t="s">
        <v>34463</v>
      </c>
    </row>
    <row r="16855" spans="1:8">
      <c r="A16855" t="s">
        <v>3394</v>
      </c>
      <c r="B16855">
        <f>HYPERLINK("https://android.googlesource.com/platform/cts/+/ffc5993e18818edd1c8763c5f4bcf9c35508bb1e", "ffc5993e18818edd1c8763c5f4bcf9c35508bb1e")</f>
        <v>0</v>
      </c>
      <c r="C16855">
        <f>HYPERLINK("https://android.googlesource.com/platform/cts/+/89d35014d6dfa205544c480be1bd1da14ea0ee5c", "89d35014d6dfa205544c480be1bd1da14ea0ee5c")</f>
        <v>0</v>
      </c>
      <c r="D16855" t="s">
        <v>5438</v>
      </c>
      <c r="E16855" t="s">
        <v>9098</v>
      </c>
      <c r="F16855" t="s">
        <v>13428</v>
      </c>
      <c r="G16855" t="s">
        <v>17552</v>
      </c>
      <c r="H16855" t="s">
        <v>34472</v>
      </c>
    </row>
    <row r="16856" spans="1:8">
      <c r="A16856" t="s">
        <v>3395</v>
      </c>
      <c r="B16856">
        <f>HYPERLINK("https://android.googlesource.com/platform/cts/+/9e0978104b4068eaae059f743271a60d98ec8531", "9e0978104b4068eaae059f743271a60d98ec8531")</f>
        <v>0</v>
      </c>
      <c r="C16856">
        <f>HYPERLINK("https://android.googlesource.com/platform/cts/+/73bad6b1d1ce23bc811cccd04845db00d4d36d8c", "73bad6b1d1ce23bc811cccd04845db00d4d36d8c")</f>
        <v>0</v>
      </c>
      <c r="D16856" t="s">
        <v>5565</v>
      </c>
      <c r="E16856" t="s">
        <v>9099</v>
      </c>
      <c r="F16856" t="s">
        <v>13888</v>
      </c>
      <c r="G16856" t="s">
        <v>15054</v>
      </c>
      <c r="H16856" t="s">
        <v>34473</v>
      </c>
    </row>
    <row r="16857" spans="1:8">
      <c r="H16857" t="s">
        <v>34474</v>
      </c>
    </row>
    <row r="16858" spans="1:8">
      <c r="A16858" t="s">
        <v>3396</v>
      </c>
      <c r="B16858">
        <f>HYPERLINK("https://android.googlesource.com/platform/cts/+/93df1739893c4975e8b4ce1a67b9fab0cc34a505", "93df1739893c4975e8b4ce1a67b9fab0cc34a505")</f>
        <v>0</v>
      </c>
      <c r="C16858">
        <f>HYPERLINK("https://android.googlesource.com/platform/cts/+/1162accbb644c9acb3e127ba770a850e0675f0d5", "1162accbb644c9acb3e127ba770a850e0675f0d5")</f>
        <v>0</v>
      </c>
      <c r="D16858" t="s">
        <v>5012</v>
      </c>
      <c r="E16858" t="s">
        <v>9100</v>
      </c>
      <c r="F16858" t="s">
        <v>14262</v>
      </c>
      <c r="G16858" t="s">
        <v>18229</v>
      </c>
      <c r="H16858" t="s">
        <v>34475</v>
      </c>
    </row>
    <row r="16859" spans="1:8">
      <c r="H16859" t="s">
        <v>34476</v>
      </c>
    </row>
    <row r="16860" spans="1:8">
      <c r="A16860" t="s">
        <v>3399</v>
      </c>
      <c r="B16860">
        <f>HYPERLINK("https://android.googlesource.com/platform/cts/+/fa57fadec7d0297ff967c22022de6dbc1d7c6d2b", "fa57fadec7d0297ff967c22022de6dbc1d7c6d2b")</f>
        <v>0</v>
      </c>
      <c r="C16860">
        <f>HYPERLINK("https://android.googlesource.com/platform/cts/+/4847ab67dba08f9d99bf4f86ea3eee99f3a31a1b", "4847ab67dba08f9d99bf4f86ea3eee99f3a31a1b")</f>
        <v>0</v>
      </c>
      <c r="D16860" t="s">
        <v>5409</v>
      </c>
      <c r="E16860" t="s">
        <v>9103</v>
      </c>
      <c r="F16860" t="s">
        <v>14265</v>
      </c>
      <c r="G16860" t="s">
        <v>18232</v>
      </c>
      <c r="H16860" t="s">
        <v>34477</v>
      </c>
    </row>
    <row r="16861" spans="1:8">
      <c r="H16861" t="s">
        <v>34478</v>
      </c>
    </row>
    <row r="16862" spans="1:8">
      <c r="A16862" t="s">
        <v>3400</v>
      </c>
      <c r="B16862">
        <f>HYPERLINK("https://android.googlesource.com/platform/cts/+/474ff831362ed2a758aebb044b87488489263b7c", "474ff831362ed2a758aebb044b87488489263b7c")</f>
        <v>0</v>
      </c>
      <c r="C16862">
        <f>HYPERLINK("https://android.googlesource.com/platform/cts/+/2bbbb818495f862d7cab22499294cdeb718f9a90", "2bbbb818495f862d7cab22499294cdeb718f9a90")</f>
        <v>0</v>
      </c>
      <c r="D16862" t="s">
        <v>5409</v>
      </c>
      <c r="E16862" t="s">
        <v>9104</v>
      </c>
      <c r="F16862" t="s">
        <v>14265</v>
      </c>
      <c r="G16862" t="s">
        <v>18232</v>
      </c>
      <c r="H16862" t="s">
        <v>34479</v>
      </c>
    </row>
    <row r="16863" spans="1:8">
      <c r="H16863" t="s">
        <v>34480</v>
      </c>
    </row>
    <row r="16864" spans="1:8">
      <c r="A16864" t="s">
        <v>3401</v>
      </c>
      <c r="B16864">
        <f>HYPERLINK("https://android.googlesource.com/platform/cts/+/afc6dbbd4d57bdc3092e786840a6076e695c1b40", "afc6dbbd4d57bdc3092e786840a6076e695c1b40")</f>
        <v>0</v>
      </c>
      <c r="C16864">
        <f>HYPERLINK("https://android.googlesource.com/platform/cts/+/8b062de7404af9af3d8d36a99c76dcbc213d8424", "8b062de7404af9af3d8d36a99c76dcbc213d8424")</f>
        <v>0</v>
      </c>
      <c r="D16864" t="s">
        <v>5182</v>
      </c>
      <c r="E16864" t="s">
        <v>9105</v>
      </c>
      <c r="F16864" t="s">
        <v>12820</v>
      </c>
      <c r="G16864" t="s">
        <v>16999</v>
      </c>
      <c r="H16864" t="s">
        <v>34481</v>
      </c>
    </row>
    <row r="16865" spans="1:8">
      <c r="A16865" t="s">
        <v>3403</v>
      </c>
      <c r="B16865">
        <f>HYPERLINK("https://android.googlesource.com/platform/cts/+/a13c0b1772833350892ba94c12be832168514ea1", "a13c0b1772833350892ba94c12be832168514ea1")</f>
        <v>0</v>
      </c>
      <c r="C16865">
        <f>HYPERLINK("https://android.googlesource.com/platform/cts/+/58f1a042e14b93e6bedc0e796b5b181c6457643c", "58f1a042e14b93e6bedc0e796b5b181c6457643c")</f>
        <v>0</v>
      </c>
      <c r="D16865" t="s">
        <v>5476</v>
      </c>
      <c r="E16865" t="s">
        <v>9107</v>
      </c>
      <c r="F16865" t="s">
        <v>14076</v>
      </c>
      <c r="G16865" t="s">
        <v>18074</v>
      </c>
      <c r="H16865" t="s">
        <v>34483</v>
      </c>
    </row>
    <row r="16866" spans="1:8">
      <c r="A16866" t="s">
        <v>3404</v>
      </c>
      <c r="B16866">
        <f>HYPERLINK("https://android.googlesource.com/platform/cts/+/edf79a939516ccc6274f2ad69108a1ca9dcac07c", "edf79a939516ccc6274f2ad69108a1ca9dcac07c")</f>
        <v>0</v>
      </c>
      <c r="C16866">
        <f>HYPERLINK("https://android.googlesource.com/platform/cts/+/52ea97202c07e53e6168435350bef9bc5d607cf0", "52ea97202c07e53e6168435350bef9bc5d607cf0")</f>
        <v>0</v>
      </c>
      <c r="D16866" t="s">
        <v>5501</v>
      </c>
      <c r="E16866" t="s">
        <v>9108</v>
      </c>
      <c r="F16866" t="s">
        <v>14230</v>
      </c>
      <c r="G16866" t="s">
        <v>18202</v>
      </c>
      <c r="H16866" t="s">
        <v>34484</v>
      </c>
    </row>
    <row r="16867" spans="1:8">
      <c r="H16867" t="s">
        <v>34485</v>
      </c>
    </row>
    <row r="16868" spans="1:8">
      <c r="H16868" t="s">
        <v>34486</v>
      </c>
    </row>
    <row r="16869" spans="1:8">
      <c r="H16869" t="s">
        <v>34487</v>
      </c>
    </row>
    <row r="16870" spans="1:8">
      <c r="H16870" t="s">
        <v>34488</v>
      </c>
    </row>
    <row r="16871" spans="1:8">
      <c r="H16871" t="s">
        <v>34489</v>
      </c>
    </row>
    <row r="16872" spans="1:8">
      <c r="H16872" t="s">
        <v>34490</v>
      </c>
    </row>
    <row r="16873" spans="1:8">
      <c r="H16873" t="s">
        <v>34149</v>
      </c>
    </row>
    <row r="16874" spans="1:8">
      <c r="H16874" t="s">
        <v>34150</v>
      </c>
    </row>
    <row r="16875" spans="1:8">
      <c r="H16875" t="s">
        <v>34151</v>
      </c>
    </row>
    <row r="16876" spans="1:8">
      <c r="H16876" t="s">
        <v>34154</v>
      </c>
    </row>
    <row r="16877" spans="1:8">
      <c r="H16877" t="s">
        <v>34155</v>
      </c>
    </row>
    <row r="16878" spans="1:8">
      <c r="H16878" t="s">
        <v>34157</v>
      </c>
    </row>
    <row r="16879" spans="1:8">
      <c r="H16879" t="s">
        <v>34491</v>
      </c>
    </row>
    <row r="16880" spans="1:8">
      <c r="H16880" t="s">
        <v>34492</v>
      </c>
    </row>
    <row r="16881" spans="1:8">
      <c r="H16881" t="s">
        <v>34493</v>
      </c>
    </row>
    <row r="16882" spans="1:8">
      <c r="H16882" t="s">
        <v>34494</v>
      </c>
    </row>
    <row r="16883" spans="1:8">
      <c r="H16883" t="s">
        <v>34495</v>
      </c>
    </row>
    <row r="16884" spans="1:8">
      <c r="A16884" t="s">
        <v>3405</v>
      </c>
      <c r="B16884">
        <f>HYPERLINK("https://android.googlesource.com/platform/cts/+/ac1adbab4cae41154683a0f4d2211c630f142cf8", "ac1adbab4cae41154683a0f4d2211c630f142cf8")</f>
        <v>0</v>
      </c>
      <c r="C16884">
        <f>HYPERLINK("https://android.googlesource.com/platform/cts/+/9e465ae301aa6fdc0022c197e25b2ee40717e656", "9e465ae301aa6fdc0022c197e25b2ee40717e656")</f>
        <v>0</v>
      </c>
      <c r="D16884" t="s">
        <v>5134</v>
      </c>
      <c r="E16884" t="s">
        <v>9109</v>
      </c>
      <c r="F16884" t="s">
        <v>13932</v>
      </c>
      <c r="G16884" t="s">
        <v>17966</v>
      </c>
      <c r="H16884" t="s">
        <v>34497</v>
      </c>
    </row>
    <row r="16885" spans="1:8">
      <c r="A16885" t="s">
        <v>3408</v>
      </c>
      <c r="B16885">
        <f>HYPERLINK("https://android.googlesource.com/platform/cts/+/0ee356e8b2116932e9b4c2662e84e7ea388d1d2b", "0ee356e8b2116932e9b4c2662e84e7ea388d1d2b")</f>
        <v>0</v>
      </c>
      <c r="C16885">
        <f>HYPERLINK("https://android.googlesource.com/platform/cts/+/60f40c6bffc696ee28769b49caec7aaf76e13490", "60f40c6bffc696ee28769b49caec7aaf76e13490")</f>
        <v>0</v>
      </c>
      <c r="D16885" t="s">
        <v>5541</v>
      </c>
      <c r="E16885" t="s">
        <v>9112</v>
      </c>
      <c r="F16885" t="s">
        <v>13335</v>
      </c>
      <c r="G16885" t="s">
        <v>17465</v>
      </c>
      <c r="H16885" t="s">
        <v>34499</v>
      </c>
    </row>
    <row r="16886" spans="1:8">
      <c r="H16886" t="s">
        <v>34367</v>
      </c>
    </row>
    <row r="16887" spans="1:8">
      <c r="H16887" t="s">
        <v>34500</v>
      </c>
    </row>
    <row r="16888" spans="1:8">
      <c r="A16888" t="s">
        <v>3409</v>
      </c>
      <c r="B16888">
        <f>HYPERLINK("https://android.googlesource.com/platform/cts/+/72ca5ac7742ce1cd4c8441f321881fb1cf1c8e8b", "72ca5ac7742ce1cd4c8441f321881fb1cf1c8e8b")</f>
        <v>0</v>
      </c>
      <c r="C16888">
        <f>HYPERLINK("https://android.googlesource.com/platform/cts/+/6c88403737d3c34e4e5a1a8d1eeeefeadedb1b8f", "6c88403737d3c34e4e5a1a8d1eeeefeadedb1b8f")</f>
        <v>0</v>
      </c>
      <c r="D16888" t="s">
        <v>5474</v>
      </c>
      <c r="E16888" t="s">
        <v>9113</v>
      </c>
      <c r="F16888" t="s">
        <v>13333</v>
      </c>
      <c r="G16888" t="s">
        <v>17463</v>
      </c>
      <c r="H16888" t="s">
        <v>34501</v>
      </c>
    </row>
    <row r="16889" spans="1:8">
      <c r="H16889" t="s">
        <v>34502</v>
      </c>
    </row>
    <row r="16890" spans="1:8">
      <c r="H16890" t="s">
        <v>34503</v>
      </c>
    </row>
    <row r="16891" spans="1:8">
      <c r="F16891" t="s">
        <v>13902</v>
      </c>
      <c r="G16891" t="s">
        <v>17939</v>
      </c>
      <c r="H16891" t="s">
        <v>34505</v>
      </c>
    </row>
    <row r="16892" spans="1:8">
      <c r="H16892" t="s">
        <v>34506</v>
      </c>
    </row>
    <row r="16893" spans="1:8">
      <c r="A16893" t="s">
        <v>3410</v>
      </c>
      <c r="B16893">
        <f>HYPERLINK("https://android.googlesource.com/platform/cts/+/909349ea0bc42496d948445178cb587a3325172b", "909349ea0bc42496d948445178cb587a3325172b")</f>
        <v>0</v>
      </c>
      <c r="C16893">
        <f>HYPERLINK("https://android.googlesource.com/platform/cts/+/ec5a8216d3b95cad660dfe5754c4e2845ad022af", "ec5a8216d3b95cad660dfe5754c4e2845ad022af")</f>
        <v>0</v>
      </c>
      <c r="D16893" t="s">
        <v>5567</v>
      </c>
      <c r="E16893" t="s">
        <v>9114</v>
      </c>
      <c r="F16893" t="s">
        <v>14266</v>
      </c>
      <c r="G16893" t="s">
        <v>18233</v>
      </c>
      <c r="H16893" t="s">
        <v>34508</v>
      </c>
    </row>
    <row r="16894" spans="1:8">
      <c r="H16894" t="s">
        <v>34509</v>
      </c>
    </row>
    <row r="16895" spans="1:8">
      <c r="H16895" t="s">
        <v>34510</v>
      </c>
    </row>
    <row r="16896" spans="1:8">
      <c r="H16896" t="s">
        <v>34511</v>
      </c>
    </row>
    <row r="16897" spans="1:8">
      <c r="H16897" t="s">
        <v>34512</v>
      </c>
    </row>
    <row r="16898" spans="1:8">
      <c r="H16898" t="s">
        <v>34513</v>
      </c>
    </row>
    <row r="16899" spans="1:8">
      <c r="H16899" t="s">
        <v>34514</v>
      </c>
    </row>
    <row r="16900" spans="1:8">
      <c r="A16900" t="s">
        <v>3411</v>
      </c>
      <c r="B16900">
        <f>HYPERLINK("https://android.googlesource.com/platform/cts/+/e4acae7f8f02de9839f1b0b3545b254396777c2e", "e4acae7f8f02de9839f1b0b3545b254396777c2e")</f>
        <v>0</v>
      </c>
      <c r="C16900">
        <f>HYPERLINK("https://android.googlesource.com/platform/cts/+/10b200e9311d8631023a082a113d62cd9ae520cb", "10b200e9311d8631023a082a113d62cd9ae520cb")</f>
        <v>0</v>
      </c>
      <c r="D16900" t="s">
        <v>5354</v>
      </c>
      <c r="E16900" t="s">
        <v>9115</v>
      </c>
      <c r="F16900" t="s">
        <v>14267</v>
      </c>
      <c r="G16900" t="s">
        <v>18234</v>
      </c>
      <c r="H16900" t="s">
        <v>34522</v>
      </c>
    </row>
    <row r="16901" spans="1:8">
      <c r="A16901" t="s">
        <v>3412</v>
      </c>
      <c r="B16901">
        <f>HYPERLINK("https://android.googlesource.com/platform/cts/+/ccfd370f7c345a1e0da5d6c71903c0be81b66046", "ccfd370f7c345a1e0da5d6c71903c0be81b66046")</f>
        <v>0</v>
      </c>
      <c r="C16901">
        <f>HYPERLINK("https://android.googlesource.com/platform/cts/+/70a201393b990a0eb3ad5a7387c7b3d3a4c0951a", "70a201393b990a0eb3ad5a7387c7b3d3a4c0951a")</f>
        <v>0</v>
      </c>
      <c r="D16901" t="s">
        <v>5141</v>
      </c>
      <c r="E16901" t="s">
        <v>9116</v>
      </c>
      <c r="F16901" t="s">
        <v>14268</v>
      </c>
      <c r="G16901" t="s">
        <v>18235</v>
      </c>
      <c r="H16901" t="s">
        <v>34523</v>
      </c>
    </row>
    <row r="16902" spans="1:8">
      <c r="A16902" t="s">
        <v>3416</v>
      </c>
      <c r="B16902">
        <f>HYPERLINK("https://android.googlesource.com/platform/cts/+/5fcdfbaef2997c2ce581439c44352fbe8ddbc2b3", "5fcdfbaef2997c2ce581439c44352fbe8ddbc2b3")</f>
        <v>0</v>
      </c>
      <c r="C16902">
        <f>HYPERLINK("https://android.googlesource.com/platform/cts/+/92a7060dda9433a4ecc39181bd20d0f718eac7c1", "92a7060dda9433a4ecc39181bd20d0f718eac7c1")</f>
        <v>0</v>
      </c>
      <c r="D16902" t="s">
        <v>5568</v>
      </c>
      <c r="E16902" t="s">
        <v>9118</v>
      </c>
      <c r="F16902" t="s">
        <v>14269</v>
      </c>
      <c r="G16902" t="s">
        <v>18236</v>
      </c>
      <c r="H16902" t="s">
        <v>34525</v>
      </c>
    </row>
    <row r="16903" spans="1:8">
      <c r="H16903" t="s">
        <v>34527</v>
      </c>
    </row>
    <row r="16904" spans="1:8">
      <c r="H16904" t="s">
        <v>34528</v>
      </c>
    </row>
    <row r="16905" spans="1:8">
      <c r="H16905" t="s">
        <v>34530</v>
      </c>
    </row>
    <row r="16906" spans="1:8">
      <c r="H16906" t="s">
        <v>34532</v>
      </c>
    </row>
    <row r="16907" spans="1:8">
      <c r="H16907" t="s">
        <v>34545</v>
      </c>
    </row>
    <row r="16908" spans="1:8">
      <c r="H16908" t="s">
        <v>34548</v>
      </c>
    </row>
    <row r="16909" spans="1:8">
      <c r="H16909" t="s">
        <v>34550</v>
      </c>
    </row>
    <row r="16910" spans="1:8">
      <c r="H16910" t="s">
        <v>34553</v>
      </c>
    </row>
    <row r="16911" spans="1:8">
      <c r="H16911" t="s">
        <v>34554</v>
      </c>
    </row>
    <row r="16912" spans="1:8">
      <c r="H16912" t="s">
        <v>34557</v>
      </c>
    </row>
    <row r="16913" spans="1:8">
      <c r="A16913" t="s">
        <v>3428</v>
      </c>
      <c r="B16913">
        <f>HYPERLINK("https://android.googlesource.com/platform/cts/+/00f8b9703f3161dc02106bb580abc776c4cd93a3", "00f8b9703f3161dc02106bb580abc776c4cd93a3")</f>
        <v>0</v>
      </c>
      <c r="C16913">
        <f>HYPERLINK("https://android.googlesource.com/platform/cts/+/3379691627c48ed350db72ad31fe538b44267703", "3379691627c48ed350db72ad31fe538b44267703")</f>
        <v>0</v>
      </c>
      <c r="D16913" t="s">
        <v>5559</v>
      </c>
      <c r="E16913" t="s">
        <v>9129</v>
      </c>
      <c r="F16913" t="s">
        <v>13755</v>
      </c>
      <c r="G16913" t="s">
        <v>17815</v>
      </c>
      <c r="H16913" t="s">
        <v>34579</v>
      </c>
    </row>
    <row r="16914" spans="1:8">
      <c r="H16914" t="s">
        <v>34580</v>
      </c>
    </row>
    <row r="16915" spans="1:8">
      <c r="H16915" t="s">
        <v>34581</v>
      </c>
    </row>
    <row r="16916" spans="1:8">
      <c r="H16916" t="s">
        <v>34582</v>
      </c>
    </row>
    <row r="16917" spans="1:8">
      <c r="H16917" t="s">
        <v>34583</v>
      </c>
    </row>
    <row r="16918" spans="1:8">
      <c r="H16918" t="s">
        <v>34584</v>
      </c>
    </row>
    <row r="16919" spans="1:8">
      <c r="H16919" t="s">
        <v>34585</v>
      </c>
    </row>
    <row r="16920" spans="1:8">
      <c r="H16920" t="s">
        <v>34586</v>
      </c>
    </row>
    <row r="16921" spans="1:8">
      <c r="H16921" t="s">
        <v>34587</v>
      </c>
    </row>
    <row r="16922" spans="1:8">
      <c r="H16922" t="s">
        <v>34588</v>
      </c>
    </row>
    <row r="16923" spans="1:8">
      <c r="H16923" t="s">
        <v>34589</v>
      </c>
    </row>
    <row r="16924" spans="1:8">
      <c r="A16924" t="s">
        <v>3429</v>
      </c>
      <c r="B16924">
        <f>HYPERLINK("https://android.googlesource.com/platform/cts/+/f022b071b5d30361b8f77ab28ba49dafbc896e1e", "f022b071b5d30361b8f77ab28ba49dafbc896e1e")</f>
        <v>0</v>
      </c>
      <c r="C16924">
        <f>HYPERLINK("https://android.googlesource.com/platform/cts/+/0faa1f0840f155958ab31735d18a1a7d9d7f1cc2", "0faa1f0840f155958ab31735d18a1a7d9d7f1cc2")</f>
        <v>0</v>
      </c>
      <c r="D16924" t="s">
        <v>5546</v>
      </c>
      <c r="E16924" t="s">
        <v>9130</v>
      </c>
      <c r="F16924" t="s">
        <v>14237</v>
      </c>
      <c r="G16924" t="s">
        <v>18207</v>
      </c>
      <c r="H16924" t="s">
        <v>34590</v>
      </c>
    </row>
    <row r="16925" spans="1:8">
      <c r="H16925" t="s">
        <v>34591</v>
      </c>
    </row>
    <row r="16926" spans="1:8">
      <c r="H16926" t="s">
        <v>34592</v>
      </c>
    </row>
    <row r="16927" spans="1:8">
      <c r="H16927" t="s">
        <v>34593</v>
      </c>
    </row>
    <row r="16928" spans="1:8">
      <c r="H16928" t="s">
        <v>34594</v>
      </c>
    </row>
    <row r="16929" spans="8:8">
      <c r="H16929" t="s">
        <v>34595</v>
      </c>
    </row>
    <row r="16930" spans="8:8">
      <c r="H16930" t="s">
        <v>34596</v>
      </c>
    </row>
    <row r="16931" spans="8:8">
      <c r="H16931" t="s">
        <v>34597</v>
      </c>
    </row>
    <row r="16932" spans="8:8">
      <c r="H16932" t="s">
        <v>34598</v>
      </c>
    </row>
    <row r="16933" spans="8:8">
      <c r="H16933" t="s">
        <v>34599</v>
      </c>
    </row>
    <row r="16934" spans="8:8">
      <c r="H16934" t="s">
        <v>34600</v>
      </c>
    </row>
    <row r="16935" spans="8:8">
      <c r="H16935" t="s">
        <v>34601</v>
      </c>
    </row>
    <row r="16936" spans="8:8">
      <c r="H16936" t="s">
        <v>34602</v>
      </c>
    </row>
    <row r="16937" spans="8:8">
      <c r="H16937" t="s">
        <v>34603</v>
      </c>
    </row>
    <row r="16938" spans="8:8">
      <c r="H16938" t="s">
        <v>34604</v>
      </c>
    </row>
    <row r="16939" spans="8:8">
      <c r="H16939" t="s">
        <v>34605</v>
      </c>
    </row>
    <row r="16940" spans="8:8">
      <c r="H16940" t="s">
        <v>34606</v>
      </c>
    </row>
    <row r="16941" spans="8:8">
      <c r="H16941" t="s">
        <v>34607</v>
      </c>
    </row>
    <row r="16942" spans="8:8">
      <c r="H16942" t="s">
        <v>34608</v>
      </c>
    </row>
    <row r="16943" spans="8:8">
      <c r="H16943" t="s">
        <v>34609</v>
      </c>
    </row>
    <row r="16944" spans="8:8">
      <c r="H16944" t="s">
        <v>34610</v>
      </c>
    </row>
    <row r="16945" spans="1:8">
      <c r="H16945" t="s">
        <v>34611</v>
      </c>
    </row>
    <row r="16946" spans="1:8">
      <c r="H16946" t="s">
        <v>34612</v>
      </c>
    </row>
    <row r="16947" spans="1:8">
      <c r="H16947" t="s">
        <v>34613</v>
      </c>
    </row>
    <row r="16948" spans="1:8">
      <c r="H16948" t="s">
        <v>34614</v>
      </c>
    </row>
    <row r="16949" spans="1:8">
      <c r="H16949" t="s">
        <v>34615</v>
      </c>
    </row>
    <row r="16950" spans="1:8">
      <c r="H16950" t="s">
        <v>34616</v>
      </c>
    </row>
    <row r="16951" spans="1:8">
      <c r="H16951" t="s">
        <v>34617</v>
      </c>
    </row>
    <row r="16952" spans="1:8">
      <c r="A16952" t="s">
        <v>3430</v>
      </c>
      <c r="B16952">
        <f>HYPERLINK("https://android.googlesource.com/platform/cts/+/4ecd0fbe8004fdccf975c0ed904a3a19ae621058", "4ecd0fbe8004fdccf975c0ed904a3a19ae621058")</f>
        <v>0</v>
      </c>
      <c r="C16952">
        <f>HYPERLINK("https://android.googlesource.com/platform/cts/+/3d2478407493aa479f4a73bd37931423c6f2efe7", "3d2478407493aa479f4a73bd37931423c6f2efe7")</f>
        <v>0</v>
      </c>
      <c r="D16952" t="s">
        <v>5569</v>
      </c>
      <c r="E16952" t="s">
        <v>9131</v>
      </c>
      <c r="F16952" t="s">
        <v>14273</v>
      </c>
      <c r="G16952" t="s">
        <v>18240</v>
      </c>
      <c r="H16952" t="s">
        <v>34618</v>
      </c>
    </row>
    <row r="16953" spans="1:8">
      <c r="A16953" t="s">
        <v>3433</v>
      </c>
      <c r="B16953">
        <f>HYPERLINK("https://android.googlesource.com/platform/cts/+/09b9ea21d5d4545ea8cef21d714bc301021b5468", "09b9ea21d5d4545ea8cef21d714bc301021b5468")</f>
        <v>0</v>
      </c>
      <c r="C16953">
        <f>HYPERLINK("https://android.googlesource.com/platform/cts/+/f0076aeb585aa97e9cf3503a5935ac1095e989fc", "f0076aeb585aa97e9cf3503a5935ac1095e989fc")</f>
        <v>0</v>
      </c>
      <c r="D16953" t="s">
        <v>5511</v>
      </c>
      <c r="E16953" t="s">
        <v>9133</v>
      </c>
      <c r="F16953" t="s">
        <v>14274</v>
      </c>
      <c r="G16953" t="s">
        <v>18241</v>
      </c>
      <c r="H16953" t="s">
        <v>33709</v>
      </c>
    </row>
    <row r="16954" spans="1:8">
      <c r="F16954" t="s">
        <v>14275</v>
      </c>
      <c r="G16954" t="s">
        <v>18242</v>
      </c>
      <c r="H16954" t="s">
        <v>33709</v>
      </c>
    </row>
    <row r="16955" spans="1:8">
      <c r="F16955" t="s">
        <v>14276</v>
      </c>
      <c r="G16955" t="s">
        <v>18226</v>
      </c>
      <c r="H16955" t="s">
        <v>33709</v>
      </c>
    </row>
    <row r="16956" spans="1:8">
      <c r="F16956" t="s">
        <v>14277</v>
      </c>
      <c r="G16956" t="s">
        <v>18224</v>
      </c>
      <c r="H16956" t="s">
        <v>33709</v>
      </c>
    </row>
    <row r="16957" spans="1:8">
      <c r="F16957" t="s">
        <v>14278</v>
      </c>
      <c r="G16957" t="s">
        <v>18225</v>
      </c>
      <c r="H16957" t="s">
        <v>33787</v>
      </c>
    </row>
    <row r="16958" spans="1:8">
      <c r="A16958" t="s">
        <v>3440</v>
      </c>
      <c r="B16958">
        <f>HYPERLINK("https://android.googlesource.com/platform/cts/+/be0683bc6a0057811480fc74d440db3749873dc3", "be0683bc6a0057811480fc74d440db3749873dc3")</f>
        <v>0</v>
      </c>
      <c r="C16958">
        <f>HYPERLINK("https://android.googlesource.com/platform/cts/+/1fa7a248d198aed79cd52b1a608d70784daeb3e3", "1fa7a248d198aed79cd52b1a608d70784daeb3e3")</f>
        <v>0</v>
      </c>
      <c r="D16958" t="s">
        <v>5363</v>
      </c>
      <c r="E16958" t="s">
        <v>9138</v>
      </c>
      <c r="F16958" t="s">
        <v>14033</v>
      </c>
      <c r="G16958" t="s">
        <v>18030</v>
      </c>
      <c r="H16958" t="s">
        <v>34623</v>
      </c>
    </row>
    <row r="16959" spans="1:8">
      <c r="F16959" t="s">
        <v>14150</v>
      </c>
      <c r="G16959" t="s">
        <v>18138</v>
      </c>
      <c r="H16959" t="s">
        <v>34625</v>
      </c>
    </row>
    <row r="16960" spans="1:8">
      <c r="H16960" t="s">
        <v>34629</v>
      </c>
    </row>
    <row r="16961" spans="1:8">
      <c r="A16961" t="s">
        <v>3444</v>
      </c>
      <c r="B16961">
        <f>HYPERLINK("https://android.googlesource.com/platform/cts/+/23a1d5993e800abe65467e95b81377ee10e7c9cb", "23a1d5993e800abe65467e95b81377ee10e7c9cb")</f>
        <v>0</v>
      </c>
      <c r="C16961">
        <f>HYPERLINK("https://android.googlesource.com/platform/cts/+/fded564c3e8438c5d64d32f622da44d8e5bc6c17", "fded564c3e8438c5d64d32f622da44d8e5bc6c17")</f>
        <v>0</v>
      </c>
      <c r="D16961" t="s">
        <v>5541</v>
      </c>
      <c r="E16961" t="s">
        <v>9141</v>
      </c>
      <c r="F16961" t="s">
        <v>14171</v>
      </c>
      <c r="G16961" t="s">
        <v>18151</v>
      </c>
      <c r="H16961" t="s">
        <v>34640</v>
      </c>
    </row>
    <row r="16962" spans="1:8">
      <c r="A16962" t="s">
        <v>3450</v>
      </c>
      <c r="B16962">
        <f>HYPERLINK("https://android.googlesource.com/platform/cts/+/ac352163e0660fe6344fac8d21583fbbe1bb511b", "ac352163e0660fe6344fac8d21583fbbe1bb511b")</f>
        <v>0</v>
      </c>
      <c r="C16962">
        <f>HYPERLINK("https://android.googlesource.com/platform/cts/+/519bc482080bb41fd29892305f9205ef1a042221", "519bc482080bb41fd29892305f9205ef1a042221")</f>
        <v>0</v>
      </c>
      <c r="D16962" t="s">
        <v>5180</v>
      </c>
      <c r="E16962" t="s">
        <v>9146</v>
      </c>
      <c r="F16962" t="s">
        <v>14279</v>
      </c>
      <c r="G16962" t="s">
        <v>18244</v>
      </c>
      <c r="H16962" t="s">
        <v>34642</v>
      </c>
    </row>
    <row r="16963" spans="1:8">
      <c r="A16963" t="s">
        <v>3451</v>
      </c>
      <c r="B16963">
        <f>HYPERLINK("https://android.googlesource.com/platform/cts/+/d08c53f2b5f8917816f44c227588a1fb14cb7612", "d08c53f2b5f8917816f44c227588a1fb14cb7612")</f>
        <v>0</v>
      </c>
      <c r="C16963">
        <f>HYPERLINK("https://android.googlesource.com/platform/cts/+/24224c0e36b7e6f202dfb477d875a768cc5605c8", "24224c0e36b7e6f202dfb477d875a768cc5605c8")</f>
        <v>0</v>
      </c>
      <c r="D16963" t="s">
        <v>5473</v>
      </c>
      <c r="E16963" t="s">
        <v>9147</v>
      </c>
      <c r="F16963" t="s">
        <v>14280</v>
      </c>
      <c r="G16963" t="s">
        <v>18245</v>
      </c>
      <c r="H16963" t="s">
        <v>34643</v>
      </c>
    </row>
    <row r="16964" spans="1:8">
      <c r="F16964" t="s">
        <v>12861</v>
      </c>
      <c r="G16964" t="s">
        <v>17030</v>
      </c>
      <c r="H16964" t="s">
        <v>34644</v>
      </c>
    </row>
    <row r="16965" spans="1:8">
      <c r="A16965" t="s">
        <v>3455</v>
      </c>
      <c r="B16965">
        <f>HYPERLINK("https://android.googlesource.com/platform/cts/+/c9c3fde5d5ac014f093f03a9e698d37358747a62", "c9c3fde5d5ac014f093f03a9e698d37358747a62")</f>
        <v>0</v>
      </c>
      <c r="C16965">
        <f>HYPERLINK("https://android.googlesource.com/platform/cts/+/6ca342a0ef73285ae341771e6f95ce344cf811fd", "6ca342a0ef73285ae341771e6f95ce344cf811fd")</f>
        <v>0</v>
      </c>
      <c r="D16965" t="s">
        <v>5512</v>
      </c>
      <c r="E16965" t="s">
        <v>9151</v>
      </c>
      <c r="F16965" t="s">
        <v>13990</v>
      </c>
      <c r="G16965" t="s">
        <v>18009</v>
      </c>
      <c r="H16965" t="s">
        <v>34646</v>
      </c>
    </row>
    <row r="16966" spans="1:8">
      <c r="A16966" t="s">
        <v>3456</v>
      </c>
      <c r="B16966">
        <f>HYPERLINK("https://android.googlesource.com/platform/cts/+/32798d7c5eea72af2e5bca2aac3ecc4fc6a8bc1f", "32798d7c5eea72af2e5bca2aac3ecc4fc6a8bc1f")</f>
        <v>0</v>
      </c>
      <c r="C16966">
        <f>HYPERLINK("https://android.googlesource.com/platform/cts/+/c9c3fde5d5ac014f093f03a9e698d37358747a62", "c9c3fde5d5ac014f093f03a9e698d37358747a62")</f>
        <v>0</v>
      </c>
      <c r="D16966" t="s">
        <v>5512</v>
      </c>
      <c r="E16966" t="s">
        <v>9152</v>
      </c>
      <c r="F16966" t="s">
        <v>13990</v>
      </c>
      <c r="G16966" t="s">
        <v>18009</v>
      </c>
      <c r="H16966" t="s">
        <v>34647</v>
      </c>
    </row>
    <row r="16967" spans="1:8">
      <c r="A16967" t="s">
        <v>3457</v>
      </c>
      <c r="B16967">
        <f>HYPERLINK("https://android.googlesource.com/platform/cts/+/5ed2c3f8ea18c00eb564e785e58c3b47de553bf0", "5ed2c3f8ea18c00eb564e785e58c3b47de553bf0")</f>
        <v>0</v>
      </c>
      <c r="C16967">
        <f>HYPERLINK("https://android.googlesource.com/platform/cts/+/32798d7c5eea72af2e5bca2aac3ecc4fc6a8bc1f", "32798d7c5eea72af2e5bca2aac3ecc4fc6a8bc1f")</f>
        <v>0</v>
      </c>
      <c r="D16967" t="s">
        <v>5512</v>
      </c>
      <c r="E16967" t="s">
        <v>9153</v>
      </c>
      <c r="F16967" t="s">
        <v>13990</v>
      </c>
      <c r="G16967" t="s">
        <v>18009</v>
      </c>
      <c r="H16967" t="s">
        <v>34648</v>
      </c>
    </row>
    <row r="16968" spans="1:8">
      <c r="A16968" t="s">
        <v>3458</v>
      </c>
      <c r="B16968">
        <f>HYPERLINK("https://android.googlesource.com/platform/cts/+/83b1b45fbc7612152c7db87bb3ecfdd2ae65fc3d", "83b1b45fbc7612152c7db87bb3ecfdd2ae65fc3d")</f>
        <v>0</v>
      </c>
      <c r="C16968">
        <f>HYPERLINK("https://android.googlesource.com/platform/cts/+/918ddde8412416e35055e9a0fe9021dcc7744fd8", "918ddde8412416e35055e9a0fe9021dcc7744fd8")</f>
        <v>0</v>
      </c>
      <c r="D16968" t="s">
        <v>5571</v>
      </c>
      <c r="E16968" t="s">
        <v>9154</v>
      </c>
      <c r="F16968" t="s">
        <v>12845</v>
      </c>
      <c r="G16968" t="s">
        <v>16561</v>
      </c>
      <c r="H16968" t="s">
        <v>34649</v>
      </c>
    </row>
    <row r="16969" spans="1:8">
      <c r="A16969" t="s">
        <v>3461</v>
      </c>
      <c r="B16969">
        <f>HYPERLINK("https://android.googlesource.com/platform/cts/+/6af4bd7e7a4d60138b3e00de4c91592242449bb7", "6af4bd7e7a4d60138b3e00de4c91592242449bb7")</f>
        <v>0</v>
      </c>
      <c r="C16969">
        <f>HYPERLINK("https://android.googlesource.com/platform/cts/+/c1e9b69f502c2f5baed1662cf4814a8a06ceea50", "c1e9b69f502c2f5baed1662cf4814a8a06ceea50")</f>
        <v>0</v>
      </c>
      <c r="D16969" t="s">
        <v>5085</v>
      </c>
      <c r="E16969" t="s">
        <v>9157</v>
      </c>
      <c r="F16969" t="s">
        <v>12897</v>
      </c>
      <c r="G16969" t="s">
        <v>16824</v>
      </c>
      <c r="H16969" t="s">
        <v>34651</v>
      </c>
    </row>
    <row r="16970" spans="1:8">
      <c r="A16970" t="s">
        <v>3464</v>
      </c>
      <c r="B16970">
        <f>HYPERLINK("https://android.googlesource.com/platform/cts/+/bcbcc9aee54941c6ee0ca82d13a4cbffbe38686b", "bcbcc9aee54941c6ee0ca82d13a4cbffbe38686b")</f>
        <v>0</v>
      </c>
      <c r="C16970">
        <f>HYPERLINK("https://android.googlesource.com/platform/cts/+/24e02a40e26a4b0a885b9b71d70b24c2193a04a8", "24e02a40e26a4b0a885b9b71d70b24c2193a04a8")</f>
        <v>0</v>
      </c>
      <c r="D16970" t="s">
        <v>5559</v>
      </c>
      <c r="E16970" t="s">
        <v>9160</v>
      </c>
      <c r="F16970" t="s">
        <v>12332</v>
      </c>
      <c r="G16970" t="s">
        <v>16560</v>
      </c>
      <c r="H16970" t="s">
        <v>34652</v>
      </c>
    </row>
    <row r="16971" spans="1:8">
      <c r="A16971" t="s">
        <v>3465</v>
      </c>
      <c r="B16971">
        <f>HYPERLINK("https://android.googlesource.com/platform/cts/+/e2064c34236d1b1be0458b4d3625052d8c39b060", "e2064c34236d1b1be0458b4d3625052d8c39b060")</f>
        <v>0</v>
      </c>
      <c r="C16971">
        <f>HYPERLINK("https://android.googlesource.com/platform/cts/+/d61e778eaf901bccadefe6c64054ff9754e895e8", "d61e778eaf901bccadefe6c64054ff9754e895e8")</f>
        <v>0</v>
      </c>
      <c r="D16971" t="s">
        <v>5141</v>
      </c>
      <c r="E16971" t="s">
        <v>9161</v>
      </c>
      <c r="F16971" t="s">
        <v>14281</v>
      </c>
      <c r="G16971" t="s">
        <v>18246</v>
      </c>
      <c r="H16971" t="s">
        <v>34654</v>
      </c>
    </row>
    <row r="16972" spans="1:8">
      <c r="H16972" t="s">
        <v>34655</v>
      </c>
    </row>
    <row r="16973" spans="1:8">
      <c r="H16973" t="s">
        <v>34656</v>
      </c>
    </row>
    <row r="16974" spans="1:8">
      <c r="H16974" t="s">
        <v>34657</v>
      </c>
    </row>
    <row r="16975" spans="1:8">
      <c r="A16975" t="s">
        <v>3474</v>
      </c>
      <c r="B16975">
        <f>HYPERLINK("https://android.googlesource.com/platform/cts/+/5671bd99654d5ab6c7e2da098cb8036f8cfe4c3a", "5671bd99654d5ab6c7e2da098cb8036f8cfe4c3a")</f>
        <v>0</v>
      </c>
      <c r="C16975">
        <f>HYPERLINK("https://android.googlesource.com/platform/cts/+/6541395f9deb8201985d3cd63f10f294c58de2d8", "6541395f9deb8201985d3cd63f10f294c58de2d8")</f>
        <v>0</v>
      </c>
      <c r="D16975" t="s">
        <v>5275</v>
      </c>
      <c r="E16975" t="s">
        <v>9169</v>
      </c>
      <c r="F16975" t="s">
        <v>14171</v>
      </c>
      <c r="G16975" t="s">
        <v>18151</v>
      </c>
      <c r="H16975" t="s">
        <v>34711</v>
      </c>
    </row>
    <row r="16976" spans="1:8">
      <c r="A16976" t="s">
        <v>3477</v>
      </c>
      <c r="B16976">
        <f>HYPERLINK("https://android.googlesource.com/platform/cts/+/d50aee07a82026fc7756145d51ac4e37640a86ac", "d50aee07a82026fc7756145d51ac4e37640a86ac")</f>
        <v>0</v>
      </c>
      <c r="C16976">
        <f>HYPERLINK("https://android.googlesource.com/platform/cts/+/d92d6fc90177f5180c3d01455df9eff36501ed49", "d92d6fc90177f5180c3d01455df9eff36501ed49")</f>
        <v>0</v>
      </c>
      <c r="D16976" t="s">
        <v>5357</v>
      </c>
      <c r="E16976" t="s">
        <v>9171</v>
      </c>
      <c r="F16976" t="s">
        <v>13203</v>
      </c>
      <c r="G16976" t="s">
        <v>17345</v>
      </c>
      <c r="H16976" t="s">
        <v>34714</v>
      </c>
    </row>
    <row r="16977" spans="1:8">
      <c r="H16977" t="s">
        <v>34715</v>
      </c>
    </row>
    <row r="16978" spans="1:8">
      <c r="F16978" t="s">
        <v>13191</v>
      </c>
      <c r="G16978" t="s">
        <v>17334</v>
      </c>
      <c r="H16978" t="s">
        <v>34714</v>
      </c>
    </row>
    <row r="16979" spans="1:8">
      <c r="H16979" t="s">
        <v>34715</v>
      </c>
    </row>
    <row r="16980" spans="1:8">
      <c r="A16980" t="s">
        <v>3478</v>
      </c>
      <c r="B16980">
        <f>HYPERLINK("https://android.googlesource.com/platform/cts/+/94f875844831a258cd87189a07d54a7e87bbcef6", "94f875844831a258cd87189a07d54a7e87bbcef6")</f>
        <v>0</v>
      </c>
      <c r="C16980">
        <f>HYPERLINK("https://android.googlesource.com/platform/cts/+/21b2e5d0302161f515f2a9cf720d3849c269fb49", "21b2e5d0302161f515f2a9cf720d3849c269fb49")</f>
        <v>0</v>
      </c>
      <c r="D16980" t="s">
        <v>5108</v>
      </c>
      <c r="E16980" t="s">
        <v>9172</v>
      </c>
      <c r="F16980" t="s">
        <v>14287</v>
      </c>
      <c r="G16980" t="s">
        <v>18251</v>
      </c>
      <c r="H16980" t="s">
        <v>34718</v>
      </c>
    </row>
    <row r="16981" spans="1:8">
      <c r="F16981" t="s">
        <v>12915</v>
      </c>
      <c r="G16981" t="s">
        <v>17080</v>
      </c>
      <c r="H16981" t="s">
        <v>34719</v>
      </c>
    </row>
    <row r="16982" spans="1:8">
      <c r="H16982" t="s">
        <v>34720</v>
      </c>
    </row>
    <row r="16983" spans="1:8">
      <c r="F16983" t="s">
        <v>13971</v>
      </c>
      <c r="G16983" t="s">
        <v>17996</v>
      </c>
      <c r="H16983" t="s">
        <v>34721</v>
      </c>
    </row>
    <row r="16984" spans="1:8">
      <c r="F16984" t="s">
        <v>14288</v>
      </c>
      <c r="G16984" t="s">
        <v>16823</v>
      </c>
      <c r="H16984" t="s">
        <v>34722</v>
      </c>
    </row>
    <row r="16985" spans="1:8">
      <c r="H16985" t="s">
        <v>34723</v>
      </c>
    </row>
    <row r="16986" spans="1:8">
      <c r="H16986" t="s">
        <v>34724</v>
      </c>
    </row>
    <row r="16987" spans="1:8">
      <c r="H16987" t="s">
        <v>34725</v>
      </c>
    </row>
    <row r="16988" spans="1:8">
      <c r="H16988" t="s">
        <v>34726</v>
      </c>
    </row>
    <row r="16989" spans="1:8">
      <c r="H16989" t="s">
        <v>34727</v>
      </c>
    </row>
    <row r="16990" spans="1:8">
      <c r="H16990" t="s">
        <v>34728</v>
      </c>
    </row>
    <row r="16991" spans="1:8">
      <c r="H16991" t="s">
        <v>34729</v>
      </c>
    </row>
    <row r="16992" spans="1:8">
      <c r="H16992" t="s">
        <v>34730</v>
      </c>
    </row>
    <row r="16993" spans="1:8">
      <c r="F16993" t="s">
        <v>14289</v>
      </c>
      <c r="G16993" t="s">
        <v>17655</v>
      </c>
      <c r="H16993" t="s">
        <v>30452</v>
      </c>
    </row>
    <row r="16994" spans="1:8">
      <c r="F16994" t="s">
        <v>13346</v>
      </c>
      <c r="G16994" t="s">
        <v>17474</v>
      </c>
      <c r="H16994" t="s">
        <v>34735</v>
      </c>
    </row>
    <row r="16995" spans="1:8">
      <c r="H16995" t="s">
        <v>34736</v>
      </c>
    </row>
    <row r="16996" spans="1:8">
      <c r="H16996" t="s">
        <v>34737</v>
      </c>
    </row>
    <row r="16997" spans="1:8">
      <c r="F16997" t="s">
        <v>14153</v>
      </c>
      <c r="G16997" t="s">
        <v>18140</v>
      </c>
      <c r="H16997" t="s">
        <v>34752</v>
      </c>
    </row>
    <row r="16998" spans="1:8">
      <c r="F16998" t="s">
        <v>12743</v>
      </c>
      <c r="G16998" t="s">
        <v>16935</v>
      </c>
      <c r="H16998" t="s">
        <v>34753</v>
      </c>
    </row>
    <row r="16999" spans="1:8">
      <c r="F16999" t="s">
        <v>14249</v>
      </c>
      <c r="G16999" t="s">
        <v>18214</v>
      </c>
      <c r="H16999" t="s">
        <v>32584</v>
      </c>
    </row>
    <row r="17000" spans="1:8">
      <c r="H17000" t="s">
        <v>32585</v>
      </c>
    </row>
    <row r="17001" spans="1:8">
      <c r="H17001" t="s">
        <v>32586</v>
      </c>
    </row>
    <row r="17002" spans="1:8">
      <c r="F17002" t="s">
        <v>12419</v>
      </c>
      <c r="G17002" t="s">
        <v>16641</v>
      </c>
      <c r="H17002" t="s">
        <v>34007</v>
      </c>
    </row>
    <row r="17003" spans="1:8">
      <c r="F17003" t="s">
        <v>13136</v>
      </c>
      <c r="G17003" t="s">
        <v>17293</v>
      </c>
      <c r="H17003" t="s">
        <v>34753</v>
      </c>
    </row>
    <row r="17004" spans="1:8">
      <c r="F17004" t="s">
        <v>12745</v>
      </c>
      <c r="G17004" t="s">
        <v>16937</v>
      </c>
      <c r="H17004" t="s">
        <v>34753</v>
      </c>
    </row>
    <row r="17005" spans="1:8">
      <c r="A17005" t="s">
        <v>3480</v>
      </c>
      <c r="B17005">
        <f>HYPERLINK("https://android.googlesource.com/platform/cts/+/1c9aafbbcf16a532935ebbf446309a0e9292d282", "1c9aafbbcf16a532935ebbf446309a0e9292d282")</f>
        <v>0</v>
      </c>
      <c r="C17005">
        <f>HYPERLINK("https://android.googlesource.com/platform/cts/+/8a1bac93f9bbb80e86539b4d50d290aa24198558", "8a1bac93f9bbb80e86539b4d50d290aa24198558")</f>
        <v>0</v>
      </c>
      <c r="D17005" t="s">
        <v>5573</v>
      </c>
      <c r="E17005" t="s">
        <v>9174</v>
      </c>
      <c r="F17005" t="s">
        <v>14295</v>
      </c>
      <c r="G17005" t="s">
        <v>18257</v>
      </c>
      <c r="H17005" t="s">
        <v>34760</v>
      </c>
    </row>
    <row r="17006" spans="1:8">
      <c r="H17006" t="s">
        <v>34761</v>
      </c>
    </row>
    <row r="17007" spans="1:8">
      <c r="A17007" t="s">
        <v>3485</v>
      </c>
      <c r="B17007">
        <f>HYPERLINK("https://android.googlesource.com/platform/cts/+/575d939f1225b5107a3100a69dbc2df99c20b749", "575d939f1225b5107a3100a69dbc2df99c20b749")</f>
        <v>0</v>
      </c>
      <c r="C17007">
        <f>HYPERLINK("https://android.googlesource.com/platform/cts/+/c28f44a3abb6da4f24f11670a7816f39abba914d", "c28f44a3abb6da4f24f11670a7816f39abba914d")</f>
        <v>0</v>
      </c>
      <c r="D17007" t="s">
        <v>5556</v>
      </c>
      <c r="E17007" t="s">
        <v>9179</v>
      </c>
      <c r="F17007" t="s">
        <v>14297</v>
      </c>
      <c r="G17007" t="s">
        <v>18022</v>
      </c>
      <c r="H17007" t="s">
        <v>34762</v>
      </c>
    </row>
    <row r="17008" spans="1:8">
      <c r="A17008" t="s">
        <v>3486</v>
      </c>
      <c r="B17008">
        <f>HYPERLINK("https://android.googlesource.com/platform/cts/+/8e3d022b648a99041364e598017383f92d731b6d", "8e3d022b648a99041364e598017383f92d731b6d")</f>
        <v>0</v>
      </c>
      <c r="C17008">
        <f>HYPERLINK("https://android.googlesource.com/platform/cts/+/7416bdea2796b42bd24bbfed09fbdcb0d63edd02", "7416bdea2796b42bd24bbfed09fbdcb0d63edd02")</f>
        <v>0</v>
      </c>
      <c r="D17008" t="s">
        <v>5568</v>
      </c>
      <c r="E17008" t="s">
        <v>9180</v>
      </c>
      <c r="F17008" t="s">
        <v>10699</v>
      </c>
      <c r="G17008" t="s">
        <v>15099</v>
      </c>
      <c r="H17008" t="s">
        <v>34770</v>
      </c>
    </row>
    <row r="17009" spans="1:8">
      <c r="F17009" t="s">
        <v>14298</v>
      </c>
      <c r="G17009" t="s">
        <v>18236</v>
      </c>
      <c r="H17009" t="s">
        <v>34771</v>
      </c>
    </row>
    <row r="17010" spans="1:8">
      <c r="H17010" t="s">
        <v>34533</v>
      </c>
    </row>
    <row r="17011" spans="1:8">
      <c r="A17011" t="s">
        <v>3487</v>
      </c>
      <c r="B17011">
        <f>HYPERLINK("https://android.googlesource.com/platform/cts/+/40bc18f8dcaa8c5d15a4283fbebd2832253b1ba4", "40bc18f8dcaa8c5d15a4283fbebd2832253b1ba4")</f>
        <v>0</v>
      </c>
      <c r="C17011">
        <f>HYPERLINK("https://android.googlesource.com/platform/cts/+/d694092800a1302b53a4339203450459a59ec197", "d694092800a1302b53a4339203450459a59ec197")</f>
        <v>0</v>
      </c>
      <c r="D17011" t="s">
        <v>5231</v>
      </c>
      <c r="E17011" t="s">
        <v>9181</v>
      </c>
      <c r="F17011" t="s">
        <v>14299</v>
      </c>
      <c r="G17011" t="s">
        <v>18258</v>
      </c>
      <c r="H17011" t="s">
        <v>34772</v>
      </c>
    </row>
    <row r="17012" spans="1:8">
      <c r="A17012" t="s">
        <v>3493</v>
      </c>
      <c r="B17012">
        <f>HYPERLINK("https://android.googlesource.com/platform/cts/+/c55056dd13bfb0e8b3d04c5b882e1b5049adfbf9", "c55056dd13bfb0e8b3d04c5b882e1b5049adfbf9")</f>
        <v>0</v>
      </c>
      <c r="C17012">
        <f>HYPERLINK("https://android.googlesource.com/platform/cts/+/e63ef94f984f46c37e2d4adb95f64309351b4cb7", "e63ef94f984f46c37e2d4adb95f64309351b4cb7")</f>
        <v>0</v>
      </c>
      <c r="D17012" t="s">
        <v>5355</v>
      </c>
      <c r="E17012" t="s">
        <v>9187</v>
      </c>
      <c r="F17012" t="s">
        <v>14303</v>
      </c>
      <c r="G17012" t="s">
        <v>17388</v>
      </c>
      <c r="H17012" t="s">
        <v>34802</v>
      </c>
    </row>
    <row r="17013" spans="1:8">
      <c r="A17013" t="s">
        <v>3494</v>
      </c>
      <c r="B17013">
        <f>HYPERLINK("https://android.googlesource.com/platform/cts/+/2507fe4f2804a387f1cfa9c35b79a64dd07f104d", "2507fe4f2804a387f1cfa9c35b79a64dd07f104d")</f>
        <v>0</v>
      </c>
      <c r="C17013">
        <f>HYPERLINK("https://android.googlesource.com/platform/cts/+/5f75fff523b3a66e8489a96bc1833d80ca3b4eaa", "5f75fff523b3a66e8489a96bc1833d80ca3b4eaa")</f>
        <v>0</v>
      </c>
      <c r="D17013" t="s">
        <v>5508</v>
      </c>
      <c r="E17013" t="s">
        <v>9188</v>
      </c>
      <c r="F17013" t="s">
        <v>13816</v>
      </c>
      <c r="G17013" t="s">
        <v>15089</v>
      </c>
      <c r="H17013" t="s">
        <v>34803</v>
      </c>
    </row>
    <row r="17014" spans="1:8">
      <c r="A17014" t="s">
        <v>3498</v>
      </c>
      <c r="B17014">
        <f>HYPERLINK("https://android.googlesource.com/platform/cts/+/333b4a627bd9005d8f115a15e1938f3aec894ce7", "333b4a627bd9005d8f115a15e1938f3aec894ce7")</f>
        <v>0</v>
      </c>
      <c r="C17014">
        <f>HYPERLINK("https://android.googlesource.com/platform/cts/+/65dc0a4bba0749767e2746cea08a654e51699918", "65dc0a4bba0749767e2746cea08a654e51699918")</f>
        <v>0</v>
      </c>
      <c r="D17014" t="s">
        <v>5575</v>
      </c>
      <c r="E17014" t="s">
        <v>9192</v>
      </c>
      <c r="F17014" t="s">
        <v>14076</v>
      </c>
      <c r="G17014" t="s">
        <v>18074</v>
      </c>
      <c r="H17014" t="s">
        <v>34805</v>
      </c>
    </row>
    <row r="17015" spans="1:8">
      <c r="A17015" t="s">
        <v>3499</v>
      </c>
      <c r="B17015">
        <f>HYPERLINK("https://android.googlesource.com/platform/cts/+/cc8762514e9b4c0283554fe76693402b5001e4cb", "cc8762514e9b4c0283554fe76693402b5001e4cb")</f>
        <v>0</v>
      </c>
      <c r="C17015">
        <f>HYPERLINK("https://android.googlesource.com/platform/cts/+/92c4602f55c886e53f5b959832d03c84beda9cef", "92c4602f55c886e53f5b959832d03c84beda9cef")</f>
        <v>0</v>
      </c>
      <c r="D17015" t="s">
        <v>5473</v>
      </c>
      <c r="E17015" t="s">
        <v>9193</v>
      </c>
      <c r="F17015" t="s">
        <v>14185</v>
      </c>
      <c r="G17015" t="s">
        <v>18166</v>
      </c>
      <c r="H17015" t="s">
        <v>34806</v>
      </c>
    </row>
    <row r="17016" spans="1:8">
      <c r="A17016" t="s">
        <v>3500</v>
      </c>
      <c r="B17016">
        <f>HYPERLINK("https://android.googlesource.com/platform/cts/+/935d71a4a157f12a9907139bbc1b6178f541f1f6", "935d71a4a157f12a9907139bbc1b6178f541f1f6")</f>
        <v>0</v>
      </c>
      <c r="C17016">
        <f>HYPERLINK("https://android.googlesource.com/platform/cts/+/7168452074033d83d2767ebfa958331a0c50bbd6", "7168452074033d83d2767ebfa958331a0c50bbd6")</f>
        <v>0</v>
      </c>
      <c r="D17016" t="s">
        <v>5576</v>
      </c>
      <c r="E17016" t="s">
        <v>9194</v>
      </c>
      <c r="F17016" t="s">
        <v>13857</v>
      </c>
      <c r="G17016" t="s">
        <v>17899</v>
      </c>
      <c r="H17016" t="s">
        <v>34807</v>
      </c>
    </row>
    <row r="17017" spans="1:8">
      <c r="H17017" t="s">
        <v>34808</v>
      </c>
    </row>
    <row r="17018" spans="1:8">
      <c r="H17018" t="s">
        <v>34809</v>
      </c>
    </row>
    <row r="17019" spans="1:8">
      <c r="H17019" t="s">
        <v>34810</v>
      </c>
    </row>
    <row r="17020" spans="1:8">
      <c r="H17020" t="s">
        <v>34811</v>
      </c>
    </row>
    <row r="17021" spans="1:8">
      <c r="H17021" t="s">
        <v>34812</v>
      </c>
    </row>
    <row r="17022" spans="1:8">
      <c r="F17022" t="s">
        <v>13976</v>
      </c>
      <c r="G17022" t="s">
        <v>18001</v>
      </c>
      <c r="H17022" t="s">
        <v>34814</v>
      </c>
    </row>
    <row r="17023" spans="1:8">
      <c r="H17023" t="s">
        <v>34815</v>
      </c>
    </row>
    <row r="17024" spans="1:8">
      <c r="H17024" t="s">
        <v>34816</v>
      </c>
    </row>
    <row r="17025" spans="6:8">
      <c r="H17025" t="s">
        <v>34817</v>
      </c>
    </row>
    <row r="17026" spans="6:8">
      <c r="H17026" t="s">
        <v>34818</v>
      </c>
    </row>
    <row r="17027" spans="6:8">
      <c r="H17027" t="s">
        <v>34819</v>
      </c>
    </row>
    <row r="17028" spans="6:8">
      <c r="H17028" t="s">
        <v>34820</v>
      </c>
    </row>
    <row r="17029" spans="6:8">
      <c r="H17029" t="s">
        <v>34821</v>
      </c>
    </row>
    <row r="17030" spans="6:8">
      <c r="H17030" t="s">
        <v>34822</v>
      </c>
    </row>
    <row r="17031" spans="6:8">
      <c r="F17031" t="s">
        <v>13977</v>
      </c>
      <c r="G17031" t="s">
        <v>18002</v>
      </c>
      <c r="H17031" t="s">
        <v>33907</v>
      </c>
    </row>
    <row r="17032" spans="6:8">
      <c r="H17032" t="s">
        <v>33908</v>
      </c>
    </row>
    <row r="17033" spans="6:8">
      <c r="F17033" t="s">
        <v>12416</v>
      </c>
      <c r="G17033" t="s">
        <v>16638</v>
      </c>
      <c r="H17033" t="s">
        <v>26751</v>
      </c>
    </row>
    <row r="17034" spans="6:8">
      <c r="H17034" t="s">
        <v>34852</v>
      </c>
    </row>
    <row r="17035" spans="6:8">
      <c r="H17035" t="s">
        <v>34853</v>
      </c>
    </row>
    <row r="17036" spans="6:8">
      <c r="H17036" t="s">
        <v>34854</v>
      </c>
    </row>
    <row r="17037" spans="6:8">
      <c r="H17037" t="s">
        <v>34855</v>
      </c>
    </row>
    <row r="17038" spans="6:8">
      <c r="H17038" t="s">
        <v>34856</v>
      </c>
    </row>
    <row r="17039" spans="6:8">
      <c r="H17039" t="s">
        <v>34857</v>
      </c>
    </row>
    <row r="17040" spans="6:8">
      <c r="H17040" t="s">
        <v>34858</v>
      </c>
    </row>
    <row r="17041" spans="6:8">
      <c r="H17041" t="s">
        <v>34859</v>
      </c>
    </row>
    <row r="17042" spans="6:8">
      <c r="H17042" t="s">
        <v>34860</v>
      </c>
    </row>
    <row r="17043" spans="6:8">
      <c r="H17043" t="s">
        <v>34861</v>
      </c>
    </row>
    <row r="17044" spans="6:8">
      <c r="H17044" t="s">
        <v>34862</v>
      </c>
    </row>
    <row r="17045" spans="6:8">
      <c r="H17045" t="s">
        <v>34863</v>
      </c>
    </row>
    <row r="17046" spans="6:8">
      <c r="H17046" t="s">
        <v>34864</v>
      </c>
    </row>
    <row r="17047" spans="6:8">
      <c r="H17047" t="s">
        <v>34870</v>
      </c>
    </row>
    <row r="17048" spans="6:8">
      <c r="F17048" t="s">
        <v>14304</v>
      </c>
      <c r="G17048" t="s">
        <v>18262</v>
      </c>
      <c r="H17048" t="s">
        <v>34873</v>
      </c>
    </row>
    <row r="17049" spans="6:8">
      <c r="H17049" t="s">
        <v>34874</v>
      </c>
    </row>
    <row r="17050" spans="6:8">
      <c r="H17050" t="s">
        <v>34875</v>
      </c>
    </row>
    <row r="17051" spans="6:8">
      <c r="H17051" t="s">
        <v>31037</v>
      </c>
    </row>
    <row r="17052" spans="6:8">
      <c r="F17052" t="s">
        <v>13941</v>
      </c>
      <c r="G17052" t="s">
        <v>17972</v>
      </c>
      <c r="H17052" t="s">
        <v>32340</v>
      </c>
    </row>
    <row r="17053" spans="6:8">
      <c r="H17053" t="s">
        <v>32342</v>
      </c>
    </row>
    <row r="17054" spans="6:8">
      <c r="H17054" t="s">
        <v>32341</v>
      </c>
    </row>
    <row r="17055" spans="6:8">
      <c r="F17055" t="s">
        <v>14305</v>
      </c>
      <c r="G17055" t="s">
        <v>18005</v>
      </c>
      <c r="H17055" t="s">
        <v>34876</v>
      </c>
    </row>
    <row r="17056" spans="6:8">
      <c r="F17056" t="s">
        <v>14234</v>
      </c>
      <c r="G17056" t="s">
        <v>18204</v>
      </c>
      <c r="H17056" t="s">
        <v>34880</v>
      </c>
    </row>
    <row r="17057" spans="6:8">
      <c r="H17057" t="s">
        <v>34881</v>
      </c>
    </row>
    <row r="17058" spans="6:8">
      <c r="H17058" t="s">
        <v>34884</v>
      </c>
    </row>
    <row r="17059" spans="6:8">
      <c r="H17059" t="s">
        <v>34885</v>
      </c>
    </row>
    <row r="17060" spans="6:8">
      <c r="H17060" t="s">
        <v>34886</v>
      </c>
    </row>
    <row r="17061" spans="6:8">
      <c r="H17061" t="s">
        <v>34887</v>
      </c>
    </row>
    <row r="17062" spans="6:8">
      <c r="H17062" t="s">
        <v>34888</v>
      </c>
    </row>
    <row r="17063" spans="6:8">
      <c r="H17063" t="s">
        <v>34889</v>
      </c>
    </row>
    <row r="17064" spans="6:8">
      <c r="H17064" t="s">
        <v>34890</v>
      </c>
    </row>
    <row r="17065" spans="6:8">
      <c r="H17065" t="s">
        <v>34892</v>
      </c>
    </row>
    <row r="17066" spans="6:8">
      <c r="H17066" t="s">
        <v>34893</v>
      </c>
    </row>
    <row r="17067" spans="6:8">
      <c r="F17067" t="s">
        <v>10700</v>
      </c>
      <c r="G17067" t="s">
        <v>15100</v>
      </c>
      <c r="H17067" t="s">
        <v>34906</v>
      </c>
    </row>
    <row r="17068" spans="6:8">
      <c r="H17068" t="s">
        <v>22508</v>
      </c>
    </row>
    <row r="17069" spans="6:8">
      <c r="H17069" t="s">
        <v>34907</v>
      </c>
    </row>
    <row r="17070" spans="6:8">
      <c r="H17070" t="s">
        <v>34908</v>
      </c>
    </row>
    <row r="17071" spans="6:8">
      <c r="H17071" t="s">
        <v>34909</v>
      </c>
    </row>
    <row r="17072" spans="6:8">
      <c r="H17072" t="s">
        <v>34910</v>
      </c>
    </row>
    <row r="17073" spans="8:8">
      <c r="H17073" t="s">
        <v>34911</v>
      </c>
    </row>
    <row r="17074" spans="8:8">
      <c r="H17074" t="s">
        <v>25838</v>
      </c>
    </row>
    <row r="17075" spans="8:8">
      <c r="H17075" t="s">
        <v>34920</v>
      </c>
    </row>
    <row r="17076" spans="8:8">
      <c r="H17076" t="s">
        <v>25839</v>
      </c>
    </row>
    <row r="17077" spans="8:8">
      <c r="H17077" t="s">
        <v>27479</v>
      </c>
    </row>
    <row r="17078" spans="8:8">
      <c r="H17078" t="s">
        <v>34922</v>
      </c>
    </row>
    <row r="17079" spans="8:8">
      <c r="H17079" t="s">
        <v>34923</v>
      </c>
    </row>
    <row r="17080" spans="8:8">
      <c r="H17080" t="s">
        <v>34924</v>
      </c>
    </row>
    <row r="17081" spans="8:8">
      <c r="H17081" t="s">
        <v>34925</v>
      </c>
    </row>
    <row r="17082" spans="8:8">
      <c r="H17082" t="s">
        <v>34927</v>
      </c>
    </row>
    <row r="17083" spans="8:8">
      <c r="H17083" t="s">
        <v>34935</v>
      </c>
    </row>
    <row r="17084" spans="8:8">
      <c r="H17084" t="s">
        <v>34950</v>
      </c>
    </row>
    <row r="17085" spans="8:8">
      <c r="H17085" t="s">
        <v>34951</v>
      </c>
    </row>
    <row r="17086" spans="8:8">
      <c r="H17086" t="s">
        <v>34952</v>
      </c>
    </row>
    <row r="17087" spans="8:8">
      <c r="H17087" t="s">
        <v>34957</v>
      </c>
    </row>
    <row r="17088" spans="8:8">
      <c r="H17088" t="s">
        <v>34958</v>
      </c>
    </row>
    <row r="17089" spans="6:8">
      <c r="H17089" t="s">
        <v>34960</v>
      </c>
    </row>
    <row r="17090" spans="6:8">
      <c r="H17090" t="s">
        <v>34961</v>
      </c>
    </row>
    <row r="17091" spans="6:8">
      <c r="H17091" t="s">
        <v>34962</v>
      </c>
    </row>
    <row r="17092" spans="6:8">
      <c r="H17092" t="s">
        <v>34966</v>
      </c>
    </row>
    <row r="17093" spans="6:8">
      <c r="F17093" t="s">
        <v>14306</v>
      </c>
      <c r="G17093" t="s">
        <v>18263</v>
      </c>
      <c r="H17093" t="s">
        <v>34967</v>
      </c>
    </row>
    <row r="17094" spans="6:8">
      <c r="F17094" t="s">
        <v>13837</v>
      </c>
      <c r="G17094" t="s">
        <v>17880</v>
      </c>
      <c r="H17094" t="s">
        <v>31852</v>
      </c>
    </row>
    <row r="17095" spans="6:8">
      <c r="H17095" t="s">
        <v>34980</v>
      </c>
    </row>
    <row r="17096" spans="6:8">
      <c r="H17096" t="s">
        <v>34981</v>
      </c>
    </row>
    <row r="17097" spans="6:8">
      <c r="H17097" t="s">
        <v>34982</v>
      </c>
    </row>
    <row r="17098" spans="6:8">
      <c r="H17098" t="s">
        <v>34983</v>
      </c>
    </row>
    <row r="17099" spans="6:8">
      <c r="H17099" t="s">
        <v>34984</v>
      </c>
    </row>
    <row r="17100" spans="6:8">
      <c r="H17100" t="s">
        <v>34985</v>
      </c>
    </row>
    <row r="17101" spans="6:8">
      <c r="H17101" t="s">
        <v>34986</v>
      </c>
    </row>
    <row r="17102" spans="6:8">
      <c r="H17102" t="s">
        <v>34987</v>
      </c>
    </row>
    <row r="17103" spans="6:8">
      <c r="H17103" t="s">
        <v>34988</v>
      </c>
    </row>
    <row r="17104" spans="6:8">
      <c r="H17104" t="s">
        <v>34994</v>
      </c>
    </row>
    <row r="17105" spans="6:8">
      <c r="H17105" t="s">
        <v>34995</v>
      </c>
    </row>
    <row r="17106" spans="6:8">
      <c r="H17106" t="s">
        <v>34996</v>
      </c>
    </row>
    <row r="17107" spans="6:8">
      <c r="H17107" t="s">
        <v>35002</v>
      </c>
    </row>
    <row r="17108" spans="6:8">
      <c r="H17108" t="s">
        <v>35003</v>
      </c>
    </row>
    <row r="17109" spans="6:8">
      <c r="H17109" t="s">
        <v>35004</v>
      </c>
    </row>
    <row r="17110" spans="6:8">
      <c r="H17110" t="s">
        <v>35005</v>
      </c>
    </row>
    <row r="17111" spans="6:8">
      <c r="H17111" t="s">
        <v>35006</v>
      </c>
    </row>
    <row r="17112" spans="6:8">
      <c r="H17112" t="s">
        <v>35007</v>
      </c>
    </row>
    <row r="17113" spans="6:8">
      <c r="H17113" t="s">
        <v>35008</v>
      </c>
    </row>
    <row r="17114" spans="6:8">
      <c r="H17114" t="s">
        <v>35009</v>
      </c>
    </row>
    <row r="17115" spans="6:8">
      <c r="H17115" t="s">
        <v>35011</v>
      </c>
    </row>
    <row r="17116" spans="6:8">
      <c r="H17116" t="s">
        <v>35014</v>
      </c>
    </row>
    <row r="17117" spans="6:8">
      <c r="F17117" t="s">
        <v>12201</v>
      </c>
      <c r="G17117" t="s">
        <v>16439</v>
      </c>
      <c r="H17117" t="s">
        <v>21327</v>
      </c>
    </row>
    <row r="17118" spans="6:8">
      <c r="F17118" t="s">
        <v>14222</v>
      </c>
      <c r="G17118" t="s">
        <v>18195</v>
      </c>
      <c r="H17118" t="s">
        <v>35024</v>
      </c>
    </row>
    <row r="17119" spans="6:8">
      <c r="H17119" t="s">
        <v>35025</v>
      </c>
    </row>
    <row r="17120" spans="6:8">
      <c r="H17120" t="s">
        <v>35026</v>
      </c>
    </row>
    <row r="17121" spans="6:8">
      <c r="H17121" t="s">
        <v>35028</v>
      </c>
    </row>
    <row r="17122" spans="6:8">
      <c r="H17122" t="s">
        <v>35029</v>
      </c>
    </row>
    <row r="17123" spans="6:8">
      <c r="H17123" t="s">
        <v>35030</v>
      </c>
    </row>
    <row r="17124" spans="6:8">
      <c r="H17124" t="s">
        <v>35031</v>
      </c>
    </row>
    <row r="17125" spans="6:8">
      <c r="H17125" t="s">
        <v>35032</v>
      </c>
    </row>
    <row r="17126" spans="6:8">
      <c r="H17126" t="s">
        <v>35033</v>
      </c>
    </row>
    <row r="17127" spans="6:8">
      <c r="H17127" t="s">
        <v>35036</v>
      </c>
    </row>
    <row r="17128" spans="6:8">
      <c r="H17128" t="s">
        <v>35037</v>
      </c>
    </row>
    <row r="17129" spans="6:8">
      <c r="F17129" t="s">
        <v>14307</v>
      </c>
      <c r="G17129" t="s">
        <v>18264</v>
      </c>
      <c r="H17129" t="s">
        <v>35042</v>
      </c>
    </row>
    <row r="17130" spans="6:8">
      <c r="H17130" t="s">
        <v>35043</v>
      </c>
    </row>
    <row r="17131" spans="6:8">
      <c r="H17131" t="s">
        <v>35044</v>
      </c>
    </row>
    <row r="17132" spans="6:8">
      <c r="H17132" t="s">
        <v>35045</v>
      </c>
    </row>
    <row r="17133" spans="6:8">
      <c r="H17133" t="s">
        <v>35046</v>
      </c>
    </row>
    <row r="17134" spans="6:8">
      <c r="H17134" t="s">
        <v>35047</v>
      </c>
    </row>
    <row r="17135" spans="6:8">
      <c r="F17135" t="s">
        <v>14159</v>
      </c>
      <c r="G17135" t="s">
        <v>18145</v>
      </c>
      <c r="H17135" t="s">
        <v>18836</v>
      </c>
    </row>
    <row r="17136" spans="6:8">
      <c r="H17136" t="s">
        <v>35050</v>
      </c>
    </row>
    <row r="17137" spans="6:8">
      <c r="F17137" t="s">
        <v>14308</v>
      </c>
      <c r="G17137" t="s">
        <v>18265</v>
      </c>
      <c r="H17137" t="s">
        <v>35070</v>
      </c>
    </row>
    <row r="17138" spans="6:8">
      <c r="H17138" t="s">
        <v>35071</v>
      </c>
    </row>
    <row r="17139" spans="6:8">
      <c r="H17139" t="s">
        <v>35072</v>
      </c>
    </row>
    <row r="17140" spans="6:8">
      <c r="H17140" t="s">
        <v>35073</v>
      </c>
    </row>
    <row r="17141" spans="6:8">
      <c r="H17141" t="s">
        <v>35074</v>
      </c>
    </row>
    <row r="17142" spans="6:8">
      <c r="H17142" t="s">
        <v>35075</v>
      </c>
    </row>
    <row r="17143" spans="6:8">
      <c r="F17143" t="s">
        <v>13309</v>
      </c>
      <c r="G17143" t="s">
        <v>17442</v>
      </c>
      <c r="H17143" t="s">
        <v>29102</v>
      </c>
    </row>
    <row r="17144" spans="6:8">
      <c r="H17144" t="s">
        <v>29103</v>
      </c>
    </row>
    <row r="17145" spans="6:8">
      <c r="H17145" t="s">
        <v>35091</v>
      </c>
    </row>
    <row r="17146" spans="6:8">
      <c r="H17146" t="s">
        <v>35092</v>
      </c>
    </row>
    <row r="17147" spans="6:8">
      <c r="H17147" t="s">
        <v>35093</v>
      </c>
    </row>
    <row r="17148" spans="6:8">
      <c r="H17148" t="s">
        <v>35094</v>
      </c>
    </row>
    <row r="17149" spans="6:8">
      <c r="H17149" t="s">
        <v>35095</v>
      </c>
    </row>
    <row r="17150" spans="6:8">
      <c r="H17150" t="s">
        <v>35096</v>
      </c>
    </row>
    <row r="17151" spans="6:8">
      <c r="H17151" t="s">
        <v>35097</v>
      </c>
    </row>
    <row r="17152" spans="6:8">
      <c r="H17152" t="s">
        <v>35098</v>
      </c>
    </row>
    <row r="17153" spans="8:8">
      <c r="H17153" t="s">
        <v>35099</v>
      </c>
    </row>
    <row r="17154" spans="8:8">
      <c r="H17154" t="s">
        <v>35100</v>
      </c>
    </row>
    <row r="17155" spans="8:8">
      <c r="H17155" t="s">
        <v>35101</v>
      </c>
    </row>
    <row r="17156" spans="8:8">
      <c r="H17156" t="s">
        <v>35102</v>
      </c>
    </row>
    <row r="17157" spans="8:8">
      <c r="H17157" t="s">
        <v>35103</v>
      </c>
    </row>
    <row r="17158" spans="8:8">
      <c r="H17158" t="s">
        <v>35104</v>
      </c>
    </row>
    <row r="17159" spans="8:8">
      <c r="H17159" t="s">
        <v>35105</v>
      </c>
    </row>
    <row r="17160" spans="8:8">
      <c r="H17160" t="s">
        <v>35106</v>
      </c>
    </row>
    <row r="17161" spans="8:8">
      <c r="H17161" t="s">
        <v>35107</v>
      </c>
    </row>
    <row r="17162" spans="8:8">
      <c r="H17162" t="s">
        <v>35108</v>
      </c>
    </row>
    <row r="17163" spans="8:8">
      <c r="H17163" t="s">
        <v>35109</v>
      </c>
    </row>
    <row r="17164" spans="8:8">
      <c r="H17164" t="s">
        <v>35110</v>
      </c>
    </row>
    <row r="17165" spans="8:8">
      <c r="H17165" t="s">
        <v>35111</v>
      </c>
    </row>
    <row r="17166" spans="8:8">
      <c r="H17166" t="s">
        <v>35112</v>
      </c>
    </row>
    <row r="17167" spans="8:8">
      <c r="H17167" t="s">
        <v>35113</v>
      </c>
    </row>
    <row r="17168" spans="8:8">
      <c r="H17168" t="s">
        <v>35114</v>
      </c>
    </row>
    <row r="17169" spans="8:8">
      <c r="H17169" t="s">
        <v>35115</v>
      </c>
    </row>
    <row r="17170" spans="8:8">
      <c r="H17170" t="s">
        <v>35116</v>
      </c>
    </row>
    <row r="17171" spans="8:8">
      <c r="H17171" t="s">
        <v>35117</v>
      </c>
    </row>
    <row r="17172" spans="8:8">
      <c r="H17172" t="s">
        <v>35118</v>
      </c>
    </row>
    <row r="17173" spans="8:8">
      <c r="H17173" t="s">
        <v>35119</v>
      </c>
    </row>
    <row r="17174" spans="8:8">
      <c r="H17174" t="s">
        <v>35120</v>
      </c>
    </row>
    <row r="17175" spans="8:8">
      <c r="H17175" t="s">
        <v>35121</v>
      </c>
    </row>
    <row r="17176" spans="8:8">
      <c r="H17176" t="s">
        <v>35122</v>
      </c>
    </row>
    <row r="17177" spans="8:8">
      <c r="H17177" t="s">
        <v>35123</v>
      </c>
    </row>
    <row r="17178" spans="8:8">
      <c r="H17178" t="s">
        <v>35124</v>
      </c>
    </row>
    <row r="17179" spans="8:8">
      <c r="H17179" t="s">
        <v>35125</v>
      </c>
    </row>
    <row r="17180" spans="8:8">
      <c r="H17180" t="s">
        <v>35126</v>
      </c>
    </row>
    <row r="17181" spans="8:8">
      <c r="H17181" t="s">
        <v>35127</v>
      </c>
    </row>
    <row r="17182" spans="8:8">
      <c r="H17182" t="s">
        <v>35128</v>
      </c>
    </row>
    <row r="17183" spans="8:8">
      <c r="H17183" t="s">
        <v>35129</v>
      </c>
    </row>
    <row r="17184" spans="8:8">
      <c r="H17184" t="s">
        <v>35130</v>
      </c>
    </row>
    <row r="17185" spans="8:8">
      <c r="H17185" t="s">
        <v>35131</v>
      </c>
    </row>
    <row r="17186" spans="8:8">
      <c r="H17186" t="s">
        <v>35132</v>
      </c>
    </row>
    <row r="17187" spans="8:8">
      <c r="H17187" t="s">
        <v>35133</v>
      </c>
    </row>
    <row r="17188" spans="8:8">
      <c r="H17188" t="s">
        <v>35134</v>
      </c>
    </row>
    <row r="17189" spans="8:8">
      <c r="H17189" t="s">
        <v>35135</v>
      </c>
    </row>
    <row r="17190" spans="8:8">
      <c r="H17190" t="s">
        <v>35136</v>
      </c>
    </row>
    <row r="17191" spans="8:8">
      <c r="H17191" t="s">
        <v>35137</v>
      </c>
    </row>
    <row r="17192" spans="8:8">
      <c r="H17192" t="s">
        <v>35138</v>
      </c>
    </row>
    <row r="17193" spans="8:8">
      <c r="H17193" t="s">
        <v>35139</v>
      </c>
    </row>
    <row r="17194" spans="8:8">
      <c r="H17194" t="s">
        <v>35140</v>
      </c>
    </row>
    <row r="17195" spans="8:8">
      <c r="H17195" t="s">
        <v>35141</v>
      </c>
    </row>
    <row r="17196" spans="8:8">
      <c r="H17196" t="s">
        <v>35142</v>
      </c>
    </row>
    <row r="17197" spans="8:8">
      <c r="H17197" t="s">
        <v>35143</v>
      </c>
    </row>
    <row r="17198" spans="8:8">
      <c r="H17198" t="s">
        <v>35144</v>
      </c>
    </row>
    <row r="17199" spans="8:8">
      <c r="H17199" t="s">
        <v>35145</v>
      </c>
    </row>
    <row r="17200" spans="8:8">
      <c r="H17200" t="s">
        <v>35146</v>
      </c>
    </row>
    <row r="17201" spans="6:8">
      <c r="H17201" t="s">
        <v>35147</v>
      </c>
    </row>
    <row r="17202" spans="6:8">
      <c r="H17202" t="s">
        <v>35148</v>
      </c>
    </row>
    <row r="17203" spans="6:8">
      <c r="H17203" t="s">
        <v>35149</v>
      </c>
    </row>
    <row r="17204" spans="6:8">
      <c r="H17204" t="s">
        <v>35150</v>
      </c>
    </row>
    <row r="17205" spans="6:8">
      <c r="H17205" t="s">
        <v>35151</v>
      </c>
    </row>
    <row r="17206" spans="6:8">
      <c r="H17206" t="s">
        <v>35152</v>
      </c>
    </row>
    <row r="17207" spans="6:8">
      <c r="H17207" t="s">
        <v>35153</v>
      </c>
    </row>
    <row r="17208" spans="6:8">
      <c r="H17208" t="s">
        <v>35154</v>
      </c>
    </row>
    <row r="17209" spans="6:8">
      <c r="H17209" t="s">
        <v>35155</v>
      </c>
    </row>
    <row r="17210" spans="6:8">
      <c r="H17210" t="s">
        <v>35156</v>
      </c>
    </row>
    <row r="17211" spans="6:8">
      <c r="F17211" t="s">
        <v>13928</v>
      </c>
      <c r="G17211" t="s">
        <v>17964</v>
      </c>
      <c r="H17211" t="s">
        <v>35159</v>
      </c>
    </row>
    <row r="17212" spans="6:8">
      <c r="H17212" t="s">
        <v>35160</v>
      </c>
    </row>
    <row r="17213" spans="6:8">
      <c r="H17213" t="s">
        <v>35175</v>
      </c>
    </row>
    <row r="17214" spans="6:8">
      <c r="H17214" t="s">
        <v>35176</v>
      </c>
    </row>
    <row r="17215" spans="6:8">
      <c r="H17215" t="s">
        <v>35177</v>
      </c>
    </row>
    <row r="17216" spans="6:8">
      <c r="H17216" t="s">
        <v>35178</v>
      </c>
    </row>
    <row r="17217" spans="8:8">
      <c r="H17217" t="s">
        <v>35179</v>
      </c>
    </row>
    <row r="17218" spans="8:8">
      <c r="H17218" t="s">
        <v>35180</v>
      </c>
    </row>
    <row r="17219" spans="8:8">
      <c r="H17219" t="s">
        <v>35181</v>
      </c>
    </row>
    <row r="17220" spans="8:8">
      <c r="H17220" t="s">
        <v>35182</v>
      </c>
    </row>
    <row r="17221" spans="8:8">
      <c r="H17221" t="s">
        <v>35183</v>
      </c>
    </row>
    <row r="17222" spans="8:8">
      <c r="H17222" t="s">
        <v>35184</v>
      </c>
    </row>
    <row r="17223" spans="8:8">
      <c r="H17223" t="s">
        <v>35185</v>
      </c>
    </row>
    <row r="17224" spans="8:8">
      <c r="H17224" t="s">
        <v>35186</v>
      </c>
    </row>
    <row r="17225" spans="8:8">
      <c r="H17225" t="s">
        <v>35187</v>
      </c>
    </row>
    <row r="17226" spans="8:8">
      <c r="H17226" t="s">
        <v>35188</v>
      </c>
    </row>
    <row r="17227" spans="8:8">
      <c r="H17227" t="s">
        <v>35189</v>
      </c>
    </row>
    <row r="17228" spans="8:8">
      <c r="H17228" t="s">
        <v>35190</v>
      </c>
    </row>
    <row r="17229" spans="8:8">
      <c r="H17229" t="s">
        <v>35191</v>
      </c>
    </row>
    <row r="17230" spans="8:8">
      <c r="H17230" t="s">
        <v>35192</v>
      </c>
    </row>
    <row r="17231" spans="8:8">
      <c r="H17231" t="s">
        <v>35193</v>
      </c>
    </row>
    <row r="17232" spans="8:8">
      <c r="H17232" t="s">
        <v>35194</v>
      </c>
    </row>
    <row r="17233" spans="6:8">
      <c r="H17233" t="s">
        <v>35195</v>
      </c>
    </row>
    <row r="17234" spans="6:8">
      <c r="H17234" t="s">
        <v>35196</v>
      </c>
    </row>
    <row r="17235" spans="6:8">
      <c r="H17235" t="s">
        <v>35197</v>
      </c>
    </row>
    <row r="17236" spans="6:8">
      <c r="H17236" t="s">
        <v>35198</v>
      </c>
    </row>
    <row r="17237" spans="6:8">
      <c r="F17237" t="s">
        <v>12740</v>
      </c>
      <c r="G17237" t="s">
        <v>16932</v>
      </c>
      <c r="H17237" t="s">
        <v>35199</v>
      </c>
    </row>
    <row r="17238" spans="6:8">
      <c r="F17238" t="s">
        <v>10615</v>
      </c>
      <c r="G17238" t="s">
        <v>15018</v>
      </c>
      <c r="H17238" t="s">
        <v>35200</v>
      </c>
    </row>
    <row r="17239" spans="6:8">
      <c r="F17239" t="s">
        <v>10616</v>
      </c>
      <c r="G17239" t="s">
        <v>15019</v>
      </c>
      <c r="H17239" t="s">
        <v>19183</v>
      </c>
    </row>
    <row r="17240" spans="6:8">
      <c r="H17240" t="s">
        <v>19184</v>
      </c>
    </row>
    <row r="17241" spans="6:8">
      <c r="F17241" t="s">
        <v>13133</v>
      </c>
      <c r="G17241" t="s">
        <v>17291</v>
      </c>
      <c r="H17241" t="s">
        <v>35201</v>
      </c>
    </row>
    <row r="17242" spans="6:8">
      <c r="H17242" t="s">
        <v>25716</v>
      </c>
    </row>
    <row r="17243" spans="6:8">
      <c r="H17243" t="s">
        <v>28041</v>
      </c>
    </row>
    <row r="17244" spans="6:8">
      <c r="H17244" t="s">
        <v>28042</v>
      </c>
    </row>
    <row r="17245" spans="6:8">
      <c r="H17245" t="s">
        <v>35202</v>
      </c>
    </row>
    <row r="17246" spans="6:8">
      <c r="H17246" t="s">
        <v>35203</v>
      </c>
    </row>
    <row r="17247" spans="6:8">
      <c r="H17247" t="s">
        <v>35204</v>
      </c>
    </row>
    <row r="17248" spans="6:8">
      <c r="F17248" t="s">
        <v>14309</v>
      </c>
      <c r="G17248" t="s">
        <v>18266</v>
      </c>
      <c r="H17248" t="s">
        <v>35211</v>
      </c>
    </row>
    <row r="17249" spans="6:8">
      <c r="H17249" t="s">
        <v>35212</v>
      </c>
    </row>
    <row r="17250" spans="6:8">
      <c r="H17250" t="s">
        <v>35213</v>
      </c>
    </row>
    <row r="17251" spans="6:8">
      <c r="H17251" t="s">
        <v>35214</v>
      </c>
    </row>
    <row r="17252" spans="6:8">
      <c r="H17252" t="s">
        <v>35215</v>
      </c>
    </row>
    <row r="17253" spans="6:8">
      <c r="F17253" t="s">
        <v>14310</v>
      </c>
      <c r="G17253" t="s">
        <v>18267</v>
      </c>
      <c r="H17253" t="s">
        <v>35216</v>
      </c>
    </row>
    <row r="17254" spans="6:8">
      <c r="F17254" t="s">
        <v>14210</v>
      </c>
      <c r="G17254" t="s">
        <v>18186</v>
      </c>
      <c r="H17254" t="s">
        <v>35217</v>
      </c>
    </row>
    <row r="17255" spans="6:8">
      <c r="H17255" t="s">
        <v>35218</v>
      </c>
    </row>
    <row r="17256" spans="6:8">
      <c r="H17256" t="s">
        <v>35219</v>
      </c>
    </row>
    <row r="17257" spans="6:8">
      <c r="H17257" t="s">
        <v>35220</v>
      </c>
    </row>
    <row r="17258" spans="6:8">
      <c r="H17258" t="s">
        <v>35221</v>
      </c>
    </row>
    <row r="17259" spans="6:8">
      <c r="H17259" t="s">
        <v>35222</v>
      </c>
    </row>
    <row r="17260" spans="6:8">
      <c r="H17260" t="s">
        <v>35223</v>
      </c>
    </row>
    <row r="17261" spans="6:8">
      <c r="H17261" t="s">
        <v>35224</v>
      </c>
    </row>
    <row r="17262" spans="6:8">
      <c r="F17262" t="s">
        <v>10617</v>
      </c>
      <c r="G17262" t="s">
        <v>15020</v>
      </c>
      <c r="H17262" t="s">
        <v>19183</v>
      </c>
    </row>
    <row r="17263" spans="6:8">
      <c r="H17263" t="s">
        <v>19184</v>
      </c>
    </row>
    <row r="17264" spans="6:8">
      <c r="F17264" t="s">
        <v>10618</v>
      </c>
      <c r="G17264" t="s">
        <v>15021</v>
      </c>
      <c r="H17264" t="s">
        <v>19183</v>
      </c>
    </row>
    <row r="17265" spans="6:8">
      <c r="H17265" t="s">
        <v>19184</v>
      </c>
    </row>
    <row r="17266" spans="6:8">
      <c r="F17266" t="s">
        <v>13556</v>
      </c>
      <c r="G17266" t="s">
        <v>17663</v>
      </c>
      <c r="H17266" t="s">
        <v>35227</v>
      </c>
    </row>
    <row r="17267" spans="6:8">
      <c r="H17267" t="s">
        <v>35228</v>
      </c>
    </row>
    <row r="17268" spans="6:8">
      <c r="H17268" t="s">
        <v>35230</v>
      </c>
    </row>
    <row r="17269" spans="6:8">
      <c r="H17269" t="s">
        <v>35231</v>
      </c>
    </row>
    <row r="17270" spans="6:8">
      <c r="H17270" t="s">
        <v>35232</v>
      </c>
    </row>
    <row r="17271" spans="6:8">
      <c r="H17271" t="s">
        <v>35233</v>
      </c>
    </row>
    <row r="17272" spans="6:8">
      <c r="H17272" t="s">
        <v>35234</v>
      </c>
    </row>
    <row r="17273" spans="6:8">
      <c r="H17273" t="s">
        <v>35236</v>
      </c>
    </row>
    <row r="17274" spans="6:8">
      <c r="F17274" t="s">
        <v>14311</v>
      </c>
      <c r="G17274" t="s">
        <v>18268</v>
      </c>
      <c r="H17274" t="s">
        <v>35239</v>
      </c>
    </row>
    <row r="17275" spans="6:8">
      <c r="F17275" t="s">
        <v>14312</v>
      </c>
      <c r="G17275" t="s">
        <v>18269</v>
      </c>
      <c r="H17275" t="s">
        <v>35241</v>
      </c>
    </row>
    <row r="17276" spans="6:8">
      <c r="F17276" t="s">
        <v>14313</v>
      </c>
      <c r="G17276" t="s">
        <v>18270</v>
      </c>
      <c r="H17276" t="s">
        <v>18836</v>
      </c>
    </row>
    <row r="17277" spans="6:8">
      <c r="H17277" t="s">
        <v>35247</v>
      </c>
    </row>
    <row r="17278" spans="6:8">
      <c r="H17278" t="s">
        <v>35248</v>
      </c>
    </row>
    <row r="17279" spans="6:8">
      <c r="H17279" t="s">
        <v>35249</v>
      </c>
    </row>
    <row r="17280" spans="6:8">
      <c r="F17280" t="s">
        <v>10600</v>
      </c>
      <c r="G17280" t="s">
        <v>15003</v>
      </c>
      <c r="H17280" t="s">
        <v>18836</v>
      </c>
    </row>
    <row r="17281" spans="6:8">
      <c r="H17281" t="s">
        <v>35250</v>
      </c>
    </row>
    <row r="17282" spans="6:8">
      <c r="F17282" t="s">
        <v>14314</v>
      </c>
      <c r="G17282" t="s">
        <v>18271</v>
      </c>
      <c r="H17282" t="s">
        <v>35251</v>
      </c>
    </row>
    <row r="17283" spans="6:8">
      <c r="H17283" t="s">
        <v>35252</v>
      </c>
    </row>
    <row r="17284" spans="6:8">
      <c r="H17284" t="s">
        <v>35253</v>
      </c>
    </row>
    <row r="17285" spans="6:8">
      <c r="F17285" t="s">
        <v>13960</v>
      </c>
      <c r="G17285" t="s">
        <v>17986</v>
      </c>
      <c r="H17285" t="s">
        <v>35255</v>
      </c>
    </row>
    <row r="17286" spans="6:8">
      <c r="H17286" t="s">
        <v>35250</v>
      </c>
    </row>
    <row r="17287" spans="6:8">
      <c r="H17287" t="s">
        <v>35256</v>
      </c>
    </row>
    <row r="17288" spans="6:8">
      <c r="H17288" t="s">
        <v>35257</v>
      </c>
    </row>
    <row r="17289" spans="6:8">
      <c r="H17289" t="s">
        <v>35258</v>
      </c>
    </row>
    <row r="17290" spans="6:8">
      <c r="H17290" t="s">
        <v>35259</v>
      </c>
    </row>
    <row r="17291" spans="6:8">
      <c r="H17291" t="s">
        <v>35260</v>
      </c>
    </row>
    <row r="17292" spans="6:8">
      <c r="H17292" t="s">
        <v>35261</v>
      </c>
    </row>
    <row r="17293" spans="6:8">
      <c r="F17293" t="s">
        <v>14315</v>
      </c>
      <c r="G17293" t="s">
        <v>18272</v>
      </c>
      <c r="H17293" t="s">
        <v>35263</v>
      </c>
    </row>
    <row r="17294" spans="6:8">
      <c r="F17294" t="s">
        <v>10726</v>
      </c>
      <c r="G17294" t="s">
        <v>15125</v>
      </c>
      <c r="H17294" t="s">
        <v>35266</v>
      </c>
    </row>
    <row r="17295" spans="6:8">
      <c r="H17295" t="s">
        <v>35267</v>
      </c>
    </row>
    <row r="17296" spans="6:8">
      <c r="H17296" t="s">
        <v>35268</v>
      </c>
    </row>
    <row r="17297" spans="6:8">
      <c r="H17297" t="s">
        <v>35269</v>
      </c>
    </row>
    <row r="17298" spans="6:8">
      <c r="H17298" t="s">
        <v>35271</v>
      </c>
    </row>
    <row r="17299" spans="6:8">
      <c r="F17299" t="s">
        <v>11449</v>
      </c>
      <c r="G17299" t="s">
        <v>15689</v>
      </c>
      <c r="H17299" t="s">
        <v>31759</v>
      </c>
    </row>
    <row r="17300" spans="6:8">
      <c r="H17300" t="s">
        <v>35273</v>
      </c>
    </row>
    <row r="17301" spans="6:8">
      <c r="H17301" t="s">
        <v>35274</v>
      </c>
    </row>
    <row r="17302" spans="6:8">
      <c r="H17302" t="s">
        <v>35275</v>
      </c>
    </row>
    <row r="17303" spans="6:8">
      <c r="H17303" t="s">
        <v>35276</v>
      </c>
    </row>
    <row r="17304" spans="6:8">
      <c r="H17304" t="s">
        <v>35277</v>
      </c>
    </row>
    <row r="17305" spans="6:8">
      <c r="H17305" t="s">
        <v>35279</v>
      </c>
    </row>
    <row r="17306" spans="6:8">
      <c r="H17306" t="s">
        <v>35280</v>
      </c>
    </row>
    <row r="17307" spans="6:8">
      <c r="H17307" t="s">
        <v>35281</v>
      </c>
    </row>
    <row r="17308" spans="6:8">
      <c r="H17308" t="s">
        <v>35282</v>
      </c>
    </row>
    <row r="17309" spans="6:8">
      <c r="H17309" t="s">
        <v>35283</v>
      </c>
    </row>
    <row r="17310" spans="6:8">
      <c r="H17310" t="s">
        <v>35284</v>
      </c>
    </row>
    <row r="17311" spans="6:8">
      <c r="H17311" t="s">
        <v>35285</v>
      </c>
    </row>
    <row r="17312" spans="6:8">
      <c r="H17312" t="s">
        <v>35286</v>
      </c>
    </row>
    <row r="17313" spans="8:8">
      <c r="H17313" t="s">
        <v>35287</v>
      </c>
    </row>
    <row r="17314" spans="8:8">
      <c r="H17314" t="s">
        <v>35288</v>
      </c>
    </row>
    <row r="17315" spans="8:8">
      <c r="H17315" t="s">
        <v>35289</v>
      </c>
    </row>
    <row r="17316" spans="8:8">
      <c r="H17316" t="s">
        <v>35291</v>
      </c>
    </row>
    <row r="17317" spans="8:8">
      <c r="H17317" t="s">
        <v>35294</v>
      </c>
    </row>
    <row r="17318" spans="8:8">
      <c r="H17318" t="s">
        <v>35295</v>
      </c>
    </row>
    <row r="17319" spans="8:8">
      <c r="H17319" t="s">
        <v>35296</v>
      </c>
    </row>
    <row r="17320" spans="8:8">
      <c r="H17320" t="s">
        <v>35297</v>
      </c>
    </row>
    <row r="17321" spans="8:8">
      <c r="H17321" t="s">
        <v>35298</v>
      </c>
    </row>
    <row r="17322" spans="8:8">
      <c r="H17322" t="s">
        <v>35299</v>
      </c>
    </row>
    <row r="17323" spans="8:8">
      <c r="H17323" t="s">
        <v>35300</v>
      </c>
    </row>
    <row r="17324" spans="8:8">
      <c r="H17324" t="s">
        <v>35301</v>
      </c>
    </row>
    <row r="17325" spans="8:8">
      <c r="H17325" t="s">
        <v>35302</v>
      </c>
    </row>
    <row r="17326" spans="8:8">
      <c r="H17326" t="s">
        <v>35303</v>
      </c>
    </row>
    <row r="17327" spans="8:8">
      <c r="H17327" t="s">
        <v>35304</v>
      </c>
    </row>
    <row r="17328" spans="8:8">
      <c r="H17328" t="s">
        <v>35305</v>
      </c>
    </row>
    <row r="17329" spans="6:8">
      <c r="F17329" t="s">
        <v>14316</v>
      </c>
      <c r="G17329" t="s">
        <v>18273</v>
      </c>
      <c r="H17329" t="s">
        <v>35307</v>
      </c>
    </row>
    <row r="17330" spans="6:8">
      <c r="F17330" t="s">
        <v>14317</v>
      </c>
      <c r="G17330" t="s">
        <v>18274</v>
      </c>
      <c r="H17330" t="s">
        <v>35308</v>
      </c>
    </row>
    <row r="17331" spans="6:8">
      <c r="H17331" t="s">
        <v>35309</v>
      </c>
    </row>
    <row r="17332" spans="6:8">
      <c r="H17332" t="s">
        <v>35310</v>
      </c>
    </row>
    <row r="17333" spans="6:8">
      <c r="F17333" t="s">
        <v>14318</v>
      </c>
      <c r="G17333" t="s">
        <v>18275</v>
      </c>
      <c r="H17333" t="s">
        <v>35317</v>
      </c>
    </row>
    <row r="17334" spans="6:8">
      <c r="F17334" t="s">
        <v>14319</v>
      </c>
      <c r="G17334" t="s">
        <v>18276</v>
      </c>
      <c r="H17334" t="s">
        <v>18836</v>
      </c>
    </row>
    <row r="17335" spans="6:8">
      <c r="F17335" t="s">
        <v>14320</v>
      </c>
      <c r="G17335" t="s">
        <v>18277</v>
      </c>
      <c r="H17335" t="s">
        <v>30172</v>
      </c>
    </row>
    <row r="17336" spans="6:8">
      <c r="H17336" t="s">
        <v>35318</v>
      </c>
    </row>
    <row r="17337" spans="6:8">
      <c r="H17337" t="s">
        <v>35319</v>
      </c>
    </row>
    <row r="17338" spans="6:8">
      <c r="H17338" t="s">
        <v>35320</v>
      </c>
    </row>
    <row r="17339" spans="6:8">
      <c r="H17339" t="s">
        <v>35321</v>
      </c>
    </row>
    <row r="17340" spans="6:8">
      <c r="H17340" t="s">
        <v>35322</v>
      </c>
    </row>
    <row r="17341" spans="6:8">
      <c r="F17341" t="s">
        <v>14321</v>
      </c>
      <c r="G17341" t="s">
        <v>18278</v>
      </c>
      <c r="H17341" t="s">
        <v>35328</v>
      </c>
    </row>
    <row r="17342" spans="6:8">
      <c r="F17342" t="s">
        <v>14322</v>
      </c>
      <c r="G17342" t="s">
        <v>18279</v>
      </c>
      <c r="H17342" t="s">
        <v>22358</v>
      </c>
    </row>
    <row r="17343" spans="6:8">
      <c r="H17343" t="s">
        <v>35329</v>
      </c>
    </row>
    <row r="17344" spans="6:8">
      <c r="H17344" t="s">
        <v>35330</v>
      </c>
    </row>
    <row r="17345" spans="6:8">
      <c r="F17345" t="s">
        <v>14323</v>
      </c>
      <c r="G17345" t="s">
        <v>18280</v>
      </c>
      <c r="H17345" t="s">
        <v>35333</v>
      </c>
    </row>
    <row r="17346" spans="6:8">
      <c r="H17346" t="s">
        <v>29840</v>
      </c>
    </row>
    <row r="17347" spans="6:8">
      <c r="H17347" t="s">
        <v>35334</v>
      </c>
    </row>
    <row r="17348" spans="6:8">
      <c r="H17348" t="s">
        <v>35335</v>
      </c>
    </row>
    <row r="17349" spans="6:8">
      <c r="H17349" t="s">
        <v>19007</v>
      </c>
    </row>
    <row r="17350" spans="6:8">
      <c r="H17350" t="s">
        <v>35336</v>
      </c>
    </row>
    <row r="17351" spans="6:8">
      <c r="F17351" t="s">
        <v>14324</v>
      </c>
      <c r="G17351" t="s">
        <v>18281</v>
      </c>
      <c r="H17351" t="s">
        <v>35338</v>
      </c>
    </row>
    <row r="17352" spans="6:8">
      <c r="H17352" t="s">
        <v>35339</v>
      </c>
    </row>
    <row r="17353" spans="6:8">
      <c r="H17353" t="s">
        <v>35340</v>
      </c>
    </row>
    <row r="17354" spans="6:8">
      <c r="H17354" t="s">
        <v>35341</v>
      </c>
    </row>
    <row r="17355" spans="6:8">
      <c r="H17355" t="s">
        <v>35342</v>
      </c>
    </row>
    <row r="17356" spans="6:8">
      <c r="F17356" t="s">
        <v>14102</v>
      </c>
      <c r="G17356" t="s">
        <v>18095</v>
      </c>
      <c r="H17356" t="s">
        <v>35349</v>
      </c>
    </row>
    <row r="17357" spans="6:8">
      <c r="H17357" t="s">
        <v>35350</v>
      </c>
    </row>
    <row r="17358" spans="6:8">
      <c r="H17358" t="s">
        <v>35351</v>
      </c>
    </row>
    <row r="17359" spans="6:8">
      <c r="H17359" t="s">
        <v>35352</v>
      </c>
    </row>
    <row r="17360" spans="6:8">
      <c r="H17360" t="s">
        <v>35353</v>
      </c>
    </row>
    <row r="17361" spans="1:8">
      <c r="H17361" t="s">
        <v>35354</v>
      </c>
    </row>
    <row r="17362" spans="1:8">
      <c r="H17362" t="s">
        <v>35357</v>
      </c>
    </row>
    <row r="17363" spans="1:8">
      <c r="H17363" t="s">
        <v>35359</v>
      </c>
    </row>
    <row r="17364" spans="1:8">
      <c r="A17364" t="s">
        <v>3501</v>
      </c>
      <c r="B17364">
        <f>HYPERLINK("https://android.googlesource.com/platform/cts/+/bb3ff4198092ee8a4a95c2f4b900bb4fbc69a38a", "bb3ff4198092ee8a4a95c2f4b900bb4fbc69a38a")</f>
        <v>0</v>
      </c>
      <c r="C17364">
        <f>HYPERLINK("https://android.googlesource.com/platform/cts/+/29241a943a681670aa8b20f32e1f06171c553af9", "29241a943a681670aa8b20f32e1f06171c553af9")</f>
        <v>0</v>
      </c>
      <c r="D17364" t="s">
        <v>5576</v>
      </c>
      <c r="E17364" t="s">
        <v>9195</v>
      </c>
      <c r="F17364" t="s">
        <v>13857</v>
      </c>
      <c r="G17364" t="s">
        <v>17899</v>
      </c>
      <c r="H17364" t="s">
        <v>34807</v>
      </c>
    </row>
    <row r="17365" spans="1:8">
      <c r="H17365" t="s">
        <v>34808</v>
      </c>
    </row>
    <row r="17366" spans="1:8">
      <c r="H17366" t="s">
        <v>34809</v>
      </c>
    </row>
    <row r="17367" spans="1:8">
      <c r="H17367" t="s">
        <v>34810</v>
      </c>
    </row>
    <row r="17368" spans="1:8">
      <c r="H17368" t="s">
        <v>34811</v>
      </c>
    </row>
    <row r="17369" spans="1:8">
      <c r="H17369" t="s">
        <v>34812</v>
      </c>
    </row>
    <row r="17370" spans="1:8">
      <c r="F17370" t="s">
        <v>13976</v>
      </c>
      <c r="G17370" t="s">
        <v>18001</v>
      </c>
      <c r="H17370" t="s">
        <v>34814</v>
      </c>
    </row>
    <row r="17371" spans="1:8">
      <c r="H17371" t="s">
        <v>34815</v>
      </c>
    </row>
    <row r="17372" spans="1:8">
      <c r="H17372" t="s">
        <v>34816</v>
      </c>
    </row>
    <row r="17373" spans="1:8">
      <c r="H17373" t="s">
        <v>34817</v>
      </c>
    </row>
    <row r="17374" spans="1:8">
      <c r="H17374" t="s">
        <v>34818</v>
      </c>
    </row>
    <row r="17375" spans="1:8">
      <c r="H17375" t="s">
        <v>34819</v>
      </c>
    </row>
    <row r="17376" spans="1:8">
      <c r="H17376" t="s">
        <v>34820</v>
      </c>
    </row>
    <row r="17377" spans="6:8">
      <c r="H17377" t="s">
        <v>34821</v>
      </c>
    </row>
    <row r="17378" spans="6:8">
      <c r="H17378" t="s">
        <v>34822</v>
      </c>
    </row>
    <row r="17379" spans="6:8">
      <c r="F17379" t="s">
        <v>13977</v>
      </c>
      <c r="G17379" t="s">
        <v>18002</v>
      </c>
      <c r="H17379" t="s">
        <v>33907</v>
      </c>
    </row>
    <row r="17380" spans="6:8">
      <c r="H17380" t="s">
        <v>33908</v>
      </c>
    </row>
    <row r="17381" spans="6:8">
      <c r="F17381" t="s">
        <v>12416</v>
      </c>
      <c r="G17381" t="s">
        <v>16638</v>
      </c>
      <c r="H17381" t="s">
        <v>26751</v>
      </c>
    </row>
    <row r="17382" spans="6:8">
      <c r="H17382" t="s">
        <v>34852</v>
      </c>
    </row>
    <row r="17383" spans="6:8">
      <c r="H17383" t="s">
        <v>34853</v>
      </c>
    </row>
    <row r="17384" spans="6:8">
      <c r="H17384" t="s">
        <v>34854</v>
      </c>
    </row>
    <row r="17385" spans="6:8">
      <c r="H17385" t="s">
        <v>34855</v>
      </c>
    </row>
    <row r="17386" spans="6:8">
      <c r="H17386" t="s">
        <v>34856</v>
      </c>
    </row>
    <row r="17387" spans="6:8">
      <c r="H17387" t="s">
        <v>34857</v>
      </c>
    </row>
    <row r="17388" spans="6:8">
      <c r="H17388" t="s">
        <v>34858</v>
      </c>
    </row>
    <row r="17389" spans="6:8">
      <c r="H17389" t="s">
        <v>34859</v>
      </c>
    </row>
    <row r="17390" spans="6:8">
      <c r="H17390" t="s">
        <v>34860</v>
      </c>
    </row>
    <row r="17391" spans="6:8">
      <c r="H17391" t="s">
        <v>34861</v>
      </c>
    </row>
    <row r="17392" spans="6:8">
      <c r="H17392" t="s">
        <v>34862</v>
      </c>
    </row>
    <row r="17393" spans="6:8">
      <c r="H17393" t="s">
        <v>34863</v>
      </c>
    </row>
    <row r="17394" spans="6:8">
      <c r="H17394" t="s">
        <v>34864</v>
      </c>
    </row>
    <row r="17395" spans="6:8">
      <c r="H17395" t="s">
        <v>34870</v>
      </c>
    </row>
    <row r="17396" spans="6:8">
      <c r="F17396" t="s">
        <v>14304</v>
      </c>
      <c r="G17396" t="s">
        <v>18262</v>
      </c>
      <c r="H17396" t="s">
        <v>34873</v>
      </c>
    </row>
    <row r="17397" spans="6:8">
      <c r="H17397" t="s">
        <v>34874</v>
      </c>
    </row>
    <row r="17398" spans="6:8">
      <c r="H17398" t="s">
        <v>34875</v>
      </c>
    </row>
    <row r="17399" spans="6:8">
      <c r="H17399" t="s">
        <v>31037</v>
      </c>
    </row>
    <row r="17400" spans="6:8">
      <c r="F17400" t="s">
        <v>13941</v>
      </c>
      <c r="G17400" t="s">
        <v>17972</v>
      </c>
      <c r="H17400" t="s">
        <v>32340</v>
      </c>
    </row>
    <row r="17401" spans="6:8">
      <c r="H17401" t="s">
        <v>32342</v>
      </c>
    </row>
    <row r="17402" spans="6:8">
      <c r="H17402" t="s">
        <v>32341</v>
      </c>
    </row>
    <row r="17403" spans="6:8">
      <c r="F17403" t="s">
        <v>14305</v>
      </c>
      <c r="G17403" t="s">
        <v>18005</v>
      </c>
      <c r="H17403" t="s">
        <v>34876</v>
      </c>
    </row>
    <row r="17404" spans="6:8">
      <c r="F17404" t="s">
        <v>14234</v>
      </c>
      <c r="G17404" t="s">
        <v>18204</v>
      </c>
      <c r="H17404" t="s">
        <v>34880</v>
      </c>
    </row>
    <row r="17405" spans="6:8">
      <c r="H17405" t="s">
        <v>34881</v>
      </c>
    </row>
    <row r="17406" spans="6:8">
      <c r="H17406" t="s">
        <v>34884</v>
      </c>
    </row>
    <row r="17407" spans="6:8">
      <c r="H17407" t="s">
        <v>34885</v>
      </c>
    </row>
    <row r="17408" spans="6:8">
      <c r="H17408" t="s">
        <v>34886</v>
      </c>
    </row>
    <row r="17409" spans="6:8">
      <c r="H17409" t="s">
        <v>34887</v>
      </c>
    </row>
    <row r="17410" spans="6:8">
      <c r="H17410" t="s">
        <v>34888</v>
      </c>
    </row>
    <row r="17411" spans="6:8">
      <c r="H17411" t="s">
        <v>34889</v>
      </c>
    </row>
    <row r="17412" spans="6:8">
      <c r="H17412" t="s">
        <v>34890</v>
      </c>
    </row>
    <row r="17413" spans="6:8">
      <c r="H17413" t="s">
        <v>34892</v>
      </c>
    </row>
    <row r="17414" spans="6:8">
      <c r="H17414" t="s">
        <v>34893</v>
      </c>
    </row>
    <row r="17415" spans="6:8">
      <c r="F17415" t="s">
        <v>10700</v>
      </c>
      <c r="G17415" t="s">
        <v>15100</v>
      </c>
      <c r="H17415" t="s">
        <v>34906</v>
      </c>
    </row>
    <row r="17416" spans="6:8">
      <c r="H17416" t="s">
        <v>22508</v>
      </c>
    </row>
    <row r="17417" spans="6:8">
      <c r="H17417" t="s">
        <v>34907</v>
      </c>
    </row>
    <row r="17418" spans="6:8">
      <c r="H17418" t="s">
        <v>34908</v>
      </c>
    </row>
    <row r="17419" spans="6:8">
      <c r="H17419" t="s">
        <v>34909</v>
      </c>
    </row>
    <row r="17420" spans="6:8">
      <c r="H17420" t="s">
        <v>34910</v>
      </c>
    </row>
    <row r="17421" spans="6:8">
      <c r="H17421" t="s">
        <v>34911</v>
      </c>
    </row>
    <row r="17422" spans="6:8">
      <c r="H17422" t="s">
        <v>25838</v>
      </c>
    </row>
    <row r="17423" spans="6:8">
      <c r="H17423" t="s">
        <v>34920</v>
      </c>
    </row>
    <row r="17424" spans="6:8">
      <c r="H17424" t="s">
        <v>25839</v>
      </c>
    </row>
    <row r="17425" spans="8:8">
      <c r="H17425" t="s">
        <v>27479</v>
      </c>
    </row>
    <row r="17426" spans="8:8">
      <c r="H17426" t="s">
        <v>34922</v>
      </c>
    </row>
    <row r="17427" spans="8:8">
      <c r="H17427" t="s">
        <v>34923</v>
      </c>
    </row>
    <row r="17428" spans="8:8">
      <c r="H17428" t="s">
        <v>34924</v>
      </c>
    </row>
    <row r="17429" spans="8:8">
      <c r="H17429" t="s">
        <v>34925</v>
      </c>
    </row>
    <row r="17430" spans="8:8">
      <c r="H17430" t="s">
        <v>34927</v>
      </c>
    </row>
    <row r="17431" spans="8:8">
      <c r="H17431" t="s">
        <v>34935</v>
      </c>
    </row>
    <row r="17432" spans="8:8">
      <c r="H17432" t="s">
        <v>34950</v>
      </c>
    </row>
    <row r="17433" spans="8:8">
      <c r="H17433" t="s">
        <v>34951</v>
      </c>
    </row>
    <row r="17434" spans="8:8">
      <c r="H17434" t="s">
        <v>34952</v>
      </c>
    </row>
    <row r="17435" spans="8:8">
      <c r="H17435" t="s">
        <v>34957</v>
      </c>
    </row>
    <row r="17436" spans="8:8">
      <c r="H17436" t="s">
        <v>34958</v>
      </c>
    </row>
    <row r="17437" spans="8:8">
      <c r="H17437" t="s">
        <v>34960</v>
      </c>
    </row>
    <row r="17438" spans="8:8">
      <c r="H17438" t="s">
        <v>34961</v>
      </c>
    </row>
    <row r="17439" spans="8:8">
      <c r="H17439" t="s">
        <v>34962</v>
      </c>
    </row>
    <row r="17440" spans="8:8">
      <c r="H17440" t="s">
        <v>34966</v>
      </c>
    </row>
    <row r="17441" spans="6:8">
      <c r="F17441" t="s">
        <v>14306</v>
      </c>
      <c r="G17441" t="s">
        <v>18263</v>
      </c>
      <c r="H17441" t="s">
        <v>34967</v>
      </c>
    </row>
    <row r="17442" spans="6:8">
      <c r="F17442" t="s">
        <v>13837</v>
      </c>
      <c r="G17442" t="s">
        <v>17880</v>
      </c>
      <c r="H17442" t="s">
        <v>31852</v>
      </c>
    </row>
    <row r="17443" spans="6:8">
      <c r="H17443" t="s">
        <v>34980</v>
      </c>
    </row>
    <row r="17444" spans="6:8">
      <c r="H17444" t="s">
        <v>34981</v>
      </c>
    </row>
    <row r="17445" spans="6:8">
      <c r="H17445" t="s">
        <v>34982</v>
      </c>
    </row>
    <row r="17446" spans="6:8">
      <c r="H17446" t="s">
        <v>34983</v>
      </c>
    </row>
    <row r="17447" spans="6:8">
      <c r="H17447" t="s">
        <v>34984</v>
      </c>
    </row>
    <row r="17448" spans="6:8">
      <c r="H17448" t="s">
        <v>34985</v>
      </c>
    </row>
    <row r="17449" spans="6:8">
      <c r="H17449" t="s">
        <v>34986</v>
      </c>
    </row>
    <row r="17450" spans="6:8">
      <c r="H17450" t="s">
        <v>34987</v>
      </c>
    </row>
    <row r="17451" spans="6:8">
      <c r="H17451" t="s">
        <v>34988</v>
      </c>
    </row>
    <row r="17452" spans="6:8">
      <c r="H17452" t="s">
        <v>34994</v>
      </c>
    </row>
    <row r="17453" spans="6:8">
      <c r="H17453" t="s">
        <v>34995</v>
      </c>
    </row>
    <row r="17454" spans="6:8">
      <c r="H17454" t="s">
        <v>34996</v>
      </c>
    </row>
    <row r="17455" spans="6:8">
      <c r="H17455" t="s">
        <v>35002</v>
      </c>
    </row>
    <row r="17456" spans="6:8">
      <c r="H17456" t="s">
        <v>35003</v>
      </c>
    </row>
    <row r="17457" spans="6:8">
      <c r="H17457" t="s">
        <v>35004</v>
      </c>
    </row>
    <row r="17458" spans="6:8">
      <c r="H17458" t="s">
        <v>35005</v>
      </c>
    </row>
    <row r="17459" spans="6:8">
      <c r="H17459" t="s">
        <v>35006</v>
      </c>
    </row>
    <row r="17460" spans="6:8">
      <c r="H17460" t="s">
        <v>35007</v>
      </c>
    </row>
    <row r="17461" spans="6:8">
      <c r="H17461" t="s">
        <v>35008</v>
      </c>
    </row>
    <row r="17462" spans="6:8">
      <c r="H17462" t="s">
        <v>35009</v>
      </c>
    </row>
    <row r="17463" spans="6:8">
      <c r="H17463" t="s">
        <v>35011</v>
      </c>
    </row>
    <row r="17464" spans="6:8">
      <c r="H17464" t="s">
        <v>35014</v>
      </c>
    </row>
    <row r="17465" spans="6:8">
      <c r="F17465" t="s">
        <v>12201</v>
      </c>
      <c r="G17465" t="s">
        <v>16439</v>
      </c>
      <c r="H17465" t="s">
        <v>21327</v>
      </c>
    </row>
    <row r="17466" spans="6:8">
      <c r="F17466" t="s">
        <v>14222</v>
      </c>
      <c r="G17466" t="s">
        <v>18195</v>
      </c>
      <c r="H17466" t="s">
        <v>35024</v>
      </c>
    </row>
    <row r="17467" spans="6:8">
      <c r="H17467" t="s">
        <v>35025</v>
      </c>
    </row>
    <row r="17468" spans="6:8">
      <c r="H17468" t="s">
        <v>35026</v>
      </c>
    </row>
    <row r="17469" spans="6:8">
      <c r="H17469" t="s">
        <v>35028</v>
      </c>
    </row>
    <row r="17470" spans="6:8">
      <c r="H17470" t="s">
        <v>35029</v>
      </c>
    </row>
    <row r="17471" spans="6:8">
      <c r="H17471" t="s">
        <v>35030</v>
      </c>
    </row>
    <row r="17472" spans="6:8">
      <c r="H17472" t="s">
        <v>35031</v>
      </c>
    </row>
    <row r="17473" spans="6:8">
      <c r="H17473" t="s">
        <v>35032</v>
      </c>
    </row>
    <row r="17474" spans="6:8">
      <c r="H17474" t="s">
        <v>35033</v>
      </c>
    </row>
    <row r="17475" spans="6:8">
      <c r="H17475" t="s">
        <v>35036</v>
      </c>
    </row>
    <row r="17476" spans="6:8">
      <c r="H17476" t="s">
        <v>35037</v>
      </c>
    </row>
    <row r="17477" spans="6:8">
      <c r="F17477" t="s">
        <v>14307</v>
      </c>
      <c r="G17477" t="s">
        <v>18264</v>
      </c>
      <c r="H17477" t="s">
        <v>35042</v>
      </c>
    </row>
    <row r="17478" spans="6:8">
      <c r="H17478" t="s">
        <v>35043</v>
      </c>
    </row>
    <row r="17479" spans="6:8">
      <c r="H17479" t="s">
        <v>35044</v>
      </c>
    </row>
    <row r="17480" spans="6:8">
      <c r="H17480" t="s">
        <v>35045</v>
      </c>
    </row>
    <row r="17481" spans="6:8">
      <c r="H17481" t="s">
        <v>35046</v>
      </c>
    </row>
    <row r="17482" spans="6:8">
      <c r="H17482" t="s">
        <v>35047</v>
      </c>
    </row>
    <row r="17483" spans="6:8">
      <c r="F17483" t="s">
        <v>14159</v>
      </c>
      <c r="G17483" t="s">
        <v>18145</v>
      </c>
      <c r="H17483" t="s">
        <v>18836</v>
      </c>
    </row>
    <row r="17484" spans="6:8">
      <c r="H17484" t="s">
        <v>35050</v>
      </c>
    </row>
    <row r="17485" spans="6:8">
      <c r="F17485" t="s">
        <v>14308</v>
      </c>
      <c r="G17485" t="s">
        <v>18265</v>
      </c>
      <c r="H17485" t="s">
        <v>35070</v>
      </c>
    </row>
    <row r="17486" spans="6:8">
      <c r="H17486" t="s">
        <v>35071</v>
      </c>
    </row>
    <row r="17487" spans="6:8">
      <c r="H17487" t="s">
        <v>35072</v>
      </c>
    </row>
    <row r="17488" spans="6:8">
      <c r="H17488" t="s">
        <v>35073</v>
      </c>
    </row>
    <row r="17489" spans="6:8">
      <c r="H17489" t="s">
        <v>35074</v>
      </c>
    </row>
    <row r="17490" spans="6:8">
      <c r="H17490" t="s">
        <v>35075</v>
      </c>
    </row>
    <row r="17491" spans="6:8">
      <c r="F17491" t="s">
        <v>13309</v>
      </c>
      <c r="G17491" t="s">
        <v>17442</v>
      </c>
      <c r="H17491" t="s">
        <v>29102</v>
      </c>
    </row>
    <row r="17492" spans="6:8">
      <c r="H17492" t="s">
        <v>29103</v>
      </c>
    </row>
    <row r="17493" spans="6:8">
      <c r="H17493" t="s">
        <v>35091</v>
      </c>
    </row>
    <row r="17494" spans="6:8">
      <c r="H17494" t="s">
        <v>35092</v>
      </c>
    </row>
    <row r="17495" spans="6:8">
      <c r="H17495" t="s">
        <v>35093</v>
      </c>
    </row>
    <row r="17496" spans="6:8">
      <c r="H17496" t="s">
        <v>35094</v>
      </c>
    </row>
    <row r="17497" spans="6:8">
      <c r="H17497" t="s">
        <v>35095</v>
      </c>
    </row>
    <row r="17498" spans="6:8">
      <c r="H17498" t="s">
        <v>35096</v>
      </c>
    </row>
    <row r="17499" spans="6:8">
      <c r="H17499" t="s">
        <v>35097</v>
      </c>
    </row>
    <row r="17500" spans="6:8">
      <c r="H17500" t="s">
        <v>35098</v>
      </c>
    </row>
    <row r="17501" spans="6:8">
      <c r="H17501" t="s">
        <v>35099</v>
      </c>
    </row>
    <row r="17502" spans="6:8">
      <c r="H17502" t="s">
        <v>35100</v>
      </c>
    </row>
    <row r="17503" spans="6:8">
      <c r="H17503" t="s">
        <v>35101</v>
      </c>
    </row>
    <row r="17504" spans="6:8">
      <c r="H17504" t="s">
        <v>35102</v>
      </c>
    </row>
    <row r="17505" spans="8:8">
      <c r="H17505" t="s">
        <v>35103</v>
      </c>
    </row>
    <row r="17506" spans="8:8">
      <c r="H17506" t="s">
        <v>35104</v>
      </c>
    </row>
    <row r="17507" spans="8:8">
      <c r="H17507" t="s">
        <v>35105</v>
      </c>
    </row>
    <row r="17508" spans="8:8">
      <c r="H17508" t="s">
        <v>35106</v>
      </c>
    </row>
    <row r="17509" spans="8:8">
      <c r="H17509" t="s">
        <v>35107</v>
      </c>
    </row>
    <row r="17510" spans="8:8">
      <c r="H17510" t="s">
        <v>35108</v>
      </c>
    </row>
    <row r="17511" spans="8:8">
      <c r="H17511" t="s">
        <v>35109</v>
      </c>
    </row>
    <row r="17512" spans="8:8">
      <c r="H17512" t="s">
        <v>35110</v>
      </c>
    </row>
    <row r="17513" spans="8:8">
      <c r="H17513" t="s">
        <v>35111</v>
      </c>
    </row>
    <row r="17514" spans="8:8">
      <c r="H17514" t="s">
        <v>35112</v>
      </c>
    </row>
    <row r="17515" spans="8:8">
      <c r="H17515" t="s">
        <v>35113</v>
      </c>
    </row>
    <row r="17516" spans="8:8">
      <c r="H17516" t="s">
        <v>35114</v>
      </c>
    </row>
    <row r="17517" spans="8:8">
      <c r="H17517" t="s">
        <v>35115</v>
      </c>
    </row>
    <row r="17518" spans="8:8">
      <c r="H17518" t="s">
        <v>35116</v>
      </c>
    </row>
    <row r="17519" spans="8:8">
      <c r="H17519" t="s">
        <v>35117</v>
      </c>
    </row>
    <row r="17520" spans="8:8">
      <c r="H17520" t="s">
        <v>35118</v>
      </c>
    </row>
    <row r="17521" spans="8:8">
      <c r="H17521" t="s">
        <v>35119</v>
      </c>
    </row>
    <row r="17522" spans="8:8">
      <c r="H17522" t="s">
        <v>35120</v>
      </c>
    </row>
    <row r="17523" spans="8:8">
      <c r="H17523" t="s">
        <v>35121</v>
      </c>
    </row>
    <row r="17524" spans="8:8">
      <c r="H17524" t="s">
        <v>35122</v>
      </c>
    </row>
    <row r="17525" spans="8:8">
      <c r="H17525" t="s">
        <v>35123</v>
      </c>
    </row>
    <row r="17526" spans="8:8">
      <c r="H17526" t="s">
        <v>35124</v>
      </c>
    </row>
    <row r="17527" spans="8:8">
      <c r="H17527" t="s">
        <v>35125</v>
      </c>
    </row>
    <row r="17528" spans="8:8">
      <c r="H17528" t="s">
        <v>35126</v>
      </c>
    </row>
    <row r="17529" spans="8:8">
      <c r="H17529" t="s">
        <v>35127</v>
      </c>
    </row>
    <row r="17530" spans="8:8">
      <c r="H17530" t="s">
        <v>35128</v>
      </c>
    </row>
    <row r="17531" spans="8:8">
      <c r="H17531" t="s">
        <v>35129</v>
      </c>
    </row>
    <row r="17532" spans="8:8">
      <c r="H17532" t="s">
        <v>35130</v>
      </c>
    </row>
    <row r="17533" spans="8:8">
      <c r="H17533" t="s">
        <v>35131</v>
      </c>
    </row>
    <row r="17534" spans="8:8">
      <c r="H17534" t="s">
        <v>35132</v>
      </c>
    </row>
    <row r="17535" spans="8:8">
      <c r="H17535" t="s">
        <v>35133</v>
      </c>
    </row>
    <row r="17536" spans="8:8">
      <c r="H17536" t="s">
        <v>35134</v>
      </c>
    </row>
    <row r="17537" spans="8:8">
      <c r="H17537" t="s">
        <v>35135</v>
      </c>
    </row>
    <row r="17538" spans="8:8">
      <c r="H17538" t="s">
        <v>35136</v>
      </c>
    </row>
    <row r="17539" spans="8:8">
      <c r="H17539" t="s">
        <v>35137</v>
      </c>
    </row>
    <row r="17540" spans="8:8">
      <c r="H17540" t="s">
        <v>35138</v>
      </c>
    </row>
    <row r="17541" spans="8:8">
      <c r="H17541" t="s">
        <v>35139</v>
      </c>
    </row>
    <row r="17542" spans="8:8">
      <c r="H17542" t="s">
        <v>35140</v>
      </c>
    </row>
    <row r="17543" spans="8:8">
      <c r="H17543" t="s">
        <v>35141</v>
      </c>
    </row>
    <row r="17544" spans="8:8">
      <c r="H17544" t="s">
        <v>35142</v>
      </c>
    </row>
    <row r="17545" spans="8:8">
      <c r="H17545" t="s">
        <v>35143</v>
      </c>
    </row>
    <row r="17546" spans="8:8">
      <c r="H17546" t="s">
        <v>35144</v>
      </c>
    </row>
    <row r="17547" spans="8:8">
      <c r="H17547" t="s">
        <v>35145</v>
      </c>
    </row>
    <row r="17548" spans="8:8">
      <c r="H17548" t="s">
        <v>35146</v>
      </c>
    </row>
    <row r="17549" spans="8:8">
      <c r="H17549" t="s">
        <v>35147</v>
      </c>
    </row>
    <row r="17550" spans="8:8">
      <c r="H17550" t="s">
        <v>35148</v>
      </c>
    </row>
    <row r="17551" spans="8:8">
      <c r="H17551" t="s">
        <v>35149</v>
      </c>
    </row>
    <row r="17552" spans="8:8">
      <c r="H17552" t="s">
        <v>35150</v>
      </c>
    </row>
    <row r="17553" spans="6:8">
      <c r="H17553" t="s">
        <v>35151</v>
      </c>
    </row>
    <row r="17554" spans="6:8">
      <c r="H17554" t="s">
        <v>35152</v>
      </c>
    </row>
    <row r="17555" spans="6:8">
      <c r="H17555" t="s">
        <v>35153</v>
      </c>
    </row>
    <row r="17556" spans="6:8">
      <c r="H17556" t="s">
        <v>35154</v>
      </c>
    </row>
    <row r="17557" spans="6:8">
      <c r="H17557" t="s">
        <v>35155</v>
      </c>
    </row>
    <row r="17558" spans="6:8">
      <c r="H17558" t="s">
        <v>35156</v>
      </c>
    </row>
    <row r="17559" spans="6:8">
      <c r="F17559" t="s">
        <v>13928</v>
      </c>
      <c r="G17559" t="s">
        <v>17964</v>
      </c>
      <c r="H17559" t="s">
        <v>35159</v>
      </c>
    </row>
    <row r="17560" spans="6:8">
      <c r="H17560" t="s">
        <v>35160</v>
      </c>
    </row>
    <row r="17561" spans="6:8">
      <c r="H17561" t="s">
        <v>35175</v>
      </c>
    </row>
    <row r="17562" spans="6:8">
      <c r="H17562" t="s">
        <v>35176</v>
      </c>
    </row>
    <row r="17563" spans="6:8">
      <c r="H17563" t="s">
        <v>35177</v>
      </c>
    </row>
    <row r="17564" spans="6:8">
      <c r="H17564" t="s">
        <v>35178</v>
      </c>
    </row>
    <row r="17565" spans="6:8">
      <c r="H17565" t="s">
        <v>35179</v>
      </c>
    </row>
    <row r="17566" spans="6:8">
      <c r="H17566" t="s">
        <v>35180</v>
      </c>
    </row>
    <row r="17567" spans="6:8">
      <c r="H17567" t="s">
        <v>35181</v>
      </c>
    </row>
    <row r="17568" spans="6:8">
      <c r="H17568" t="s">
        <v>35182</v>
      </c>
    </row>
    <row r="17569" spans="8:8">
      <c r="H17569" t="s">
        <v>35183</v>
      </c>
    </row>
    <row r="17570" spans="8:8">
      <c r="H17570" t="s">
        <v>35184</v>
      </c>
    </row>
    <row r="17571" spans="8:8">
      <c r="H17571" t="s">
        <v>35185</v>
      </c>
    </row>
    <row r="17572" spans="8:8">
      <c r="H17572" t="s">
        <v>35186</v>
      </c>
    </row>
    <row r="17573" spans="8:8">
      <c r="H17573" t="s">
        <v>35187</v>
      </c>
    </row>
    <row r="17574" spans="8:8">
      <c r="H17574" t="s">
        <v>35188</v>
      </c>
    </row>
    <row r="17575" spans="8:8">
      <c r="H17575" t="s">
        <v>35189</v>
      </c>
    </row>
    <row r="17576" spans="8:8">
      <c r="H17576" t="s">
        <v>35190</v>
      </c>
    </row>
    <row r="17577" spans="8:8">
      <c r="H17577" t="s">
        <v>35191</v>
      </c>
    </row>
    <row r="17578" spans="8:8">
      <c r="H17578" t="s">
        <v>35192</v>
      </c>
    </row>
    <row r="17579" spans="8:8">
      <c r="H17579" t="s">
        <v>35193</v>
      </c>
    </row>
    <row r="17580" spans="8:8">
      <c r="H17580" t="s">
        <v>35194</v>
      </c>
    </row>
    <row r="17581" spans="8:8">
      <c r="H17581" t="s">
        <v>35195</v>
      </c>
    </row>
    <row r="17582" spans="8:8">
      <c r="H17582" t="s">
        <v>35196</v>
      </c>
    </row>
    <row r="17583" spans="8:8">
      <c r="H17583" t="s">
        <v>35197</v>
      </c>
    </row>
    <row r="17584" spans="8:8">
      <c r="H17584" t="s">
        <v>35198</v>
      </c>
    </row>
    <row r="17585" spans="6:8">
      <c r="F17585" t="s">
        <v>12740</v>
      </c>
      <c r="G17585" t="s">
        <v>16932</v>
      </c>
      <c r="H17585" t="s">
        <v>35199</v>
      </c>
    </row>
    <row r="17586" spans="6:8">
      <c r="F17586" t="s">
        <v>10615</v>
      </c>
      <c r="G17586" t="s">
        <v>15018</v>
      </c>
      <c r="H17586" t="s">
        <v>35200</v>
      </c>
    </row>
    <row r="17587" spans="6:8">
      <c r="F17587" t="s">
        <v>10616</v>
      </c>
      <c r="G17587" t="s">
        <v>15019</v>
      </c>
      <c r="H17587" t="s">
        <v>19183</v>
      </c>
    </row>
    <row r="17588" spans="6:8">
      <c r="H17588" t="s">
        <v>19184</v>
      </c>
    </row>
    <row r="17589" spans="6:8">
      <c r="F17589" t="s">
        <v>13133</v>
      </c>
      <c r="G17589" t="s">
        <v>17291</v>
      </c>
      <c r="H17589" t="s">
        <v>35201</v>
      </c>
    </row>
    <row r="17590" spans="6:8">
      <c r="H17590" t="s">
        <v>25716</v>
      </c>
    </row>
    <row r="17591" spans="6:8">
      <c r="H17591" t="s">
        <v>28041</v>
      </c>
    </row>
    <row r="17592" spans="6:8">
      <c r="H17592" t="s">
        <v>28042</v>
      </c>
    </row>
    <row r="17593" spans="6:8">
      <c r="H17593" t="s">
        <v>35202</v>
      </c>
    </row>
    <row r="17594" spans="6:8">
      <c r="H17594" t="s">
        <v>35203</v>
      </c>
    </row>
    <row r="17595" spans="6:8">
      <c r="H17595" t="s">
        <v>35204</v>
      </c>
    </row>
    <row r="17596" spans="6:8">
      <c r="F17596" t="s">
        <v>14309</v>
      </c>
      <c r="G17596" t="s">
        <v>18266</v>
      </c>
      <c r="H17596" t="s">
        <v>35211</v>
      </c>
    </row>
    <row r="17597" spans="6:8">
      <c r="H17597" t="s">
        <v>35212</v>
      </c>
    </row>
    <row r="17598" spans="6:8">
      <c r="H17598" t="s">
        <v>35213</v>
      </c>
    </row>
    <row r="17599" spans="6:8">
      <c r="H17599" t="s">
        <v>35214</v>
      </c>
    </row>
    <row r="17600" spans="6:8">
      <c r="H17600" t="s">
        <v>35215</v>
      </c>
    </row>
    <row r="17601" spans="6:8">
      <c r="F17601" t="s">
        <v>14310</v>
      </c>
      <c r="G17601" t="s">
        <v>18267</v>
      </c>
      <c r="H17601" t="s">
        <v>35216</v>
      </c>
    </row>
    <row r="17602" spans="6:8">
      <c r="F17602" t="s">
        <v>14210</v>
      </c>
      <c r="G17602" t="s">
        <v>18186</v>
      </c>
      <c r="H17602" t="s">
        <v>35217</v>
      </c>
    </row>
    <row r="17603" spans="6:8">
      <c r="H17603" t="s">
        <v>35218</v>
      </c>
    </row>
    <row r="17604" spans="6:8">
      <c r="H17604" t="s">
        <v>35219</v>
      </c>
    </row>
    <row r="17605" spans="6:8">
      <c r="H17605" t="s">
        <v>35220</v>
      </c>
    </row>
    <row r="17606" spans="6:8">
      <c r="H17606" t="s">
        <v>35221</v>
      </c>
    </row>
    <row r="17607" spans="6:8">
      <c r="H17607" t="s">
        <v>35222</v>
      </c>
    </row>
    <row r="17608" spans="6:8">
      <c r="H17608" t="s">
        <v>35223</v>
      </c>
    </row>
    <row r="17609" spans="6:8">
      <c r="H17609" t="s">
        <v>35224</v>
      </c>
    </row>
    <row r="17610" spans="6:8">
      <c r="F17610" t="s">
        <v>10617</v>
      </c>
      <c r="G17610" t="s">
        <v>15020</v>
      </c>
      <c r="H17610" t="s">
        <v>19183</v>
      </c>
    </row>
    <row r="17611" spans="6:8">
      <c r="H17611" t="s">
        <v>19184</v>
      </c>
    </row>
    <row r="17612" spans="6:8">
      <c r="F17612" t="s">
        <v>10618</v>
      </c>
      <c r="G17612" t="s">
        <v>15021</v>
      </c>
      <c r="H17612" t="s">
        <v>19183</v>
      </c>
    </row>
    <row r="17613" spans="6:8">
      <c r="H17613" t="s">
        <v>19184</v>
      </c>
    </row>
    <row r="17614" spans="6:8">
      <c r="F17614" t="s">
        <v>13556</v>
      </c>
      <c r="G17614" t="s">
        <v>17663</v>
      </c>
      <c r="H17614" t="s">
        <v>35227</v>
      </c>
    </row>
    <row r="17615" spans="6:8">
      <c r="H17615" t="s">
        <v>35228</v>
      </c>
    </row>
    <row r="17616" spans="6:8">
      <c r="H17616" t="s">
        <v>35230</v>
      </c>
    </row>
    <row r="17617" spans="6:8">
      <c r="H17617" t="s">
        <v>35231</v>
      </c>
    </row>
    <row r="17618" spans="6:8">
      <c r="H17618" t="s">
        <v>35232</v>
      </c>
    </row>
    <row r="17619" spans="6:8">
      <c r="H17619" t="s">
        <v>35233</v>
      </c>
    </row>
    <row r="17620" spans="6:8">
      <c r="H17620" t="s">
        <v>35234</v>
      </c>
    </row>
    <row r="17621" spans="6:8">
      <c r="H17621" t="s">
        <v>35236</v>
      </c>
    </row>
    <row r="17622" spans="6:8">
      <c r="F17622" t="s">
        <v>14311</v>
      </c>
      <c r="G17622" t="s">
        <v>18268</v>
      </c>
      <c r="H17622" t="s">
        <v>35239</v>
      </c>
    </row>
    <row r="17623" spans="6:8">
      <c r="F17623" t="s">
        <v>14312</v>
      </c>
      <c r="G17623" t="s">
        <v>18269</v>
      </c>
      <c r="H17623" t="s">
        <v>35241</v>
      </c>
    </row>
    <row r="17624" spans="6:8">
      <c r="F17624" t="s">
        <v>14313</v>
      </c>
      <c r="G17624" t="s">
        <v>18270</v>
      </c>
      <c r="H17624" t="s">
        <v>18836</v>
      </c>
    </row>
    <row r="17625" spans="6:8">
      <c r="H17625" t="s">
        <v>35247</v>
      </c>
    </row>
    <row r="17626" spans="6:8">
      <c r="H17626" t="s">
        <v>35248</v>
      </c>
    </row>
    <row r="17627" spans="6:8">
      <c r="H17627" t="s">
        <v>35249</v>
      </c>
    </row>
    <row r="17628" spans="6:8">
      <c r="F17628" t="s">
        <v>10600</v>
      </c>
      <c r="G17628" t="s">
        <v>15003</v>
      </c>
      <c r="H17628" t="s">
        <v>18836</v>
      </c>
    </row>
    <row r="17629" spans="6:8">
      <c r="H17629" t="s">
        <v>35250</v>
      </c>
    </row>
    <row r="17630" spans="6:8">
      <c r="F17630" t="s">
        <v>14314</v>
      </c>
      <c r="G17630" t="s">
        <v>18271</v>
      </c>
      <c r="H17630" t="s">
        <v>35251</v>
      </c>
    </row>
    <row r="17631" spans="6:8">
      <c r="H17631" t="s">
        <v>35252</v>
      </c>
    </row>
    <row r="17632" spans="6:8">
      <c r="H17632" t="s">
        <v>35253</v>
      </c>
    </row>
    <row r="17633" spans="6:8">
      <c r="F17633" t="s">
        <v>13960</v>
      </c>
      <c r="G17633" t="s">
        <v>17986</v>
      </c>
      <c r="H17633" t="s">
        <v>35255</v>
      </c>
    </row>
    <row r="17634" spans="6:8">
      <c r="H17634" t="s">
        <v>35250</v>
      </c>
    </row>
    <row r="17635" spans="6:8">
      <c r="H17635" t="s">
        <v>35256</v>
      </c>
    </row>
    <row r="17636" spans="6:8">
      <c r="H17636" t="s">
        <v>35257</v>
      </c>
    </row>
    <row r="17637" spans="6:8">
      <c r="H17637" t="s">
        <v>35258</v>
      </c>
    </row>
    <row r="17638" spans="6:8">
      <c r="H17638" t="s">
        <v>35259</v>
      </c>
    </row>
    <row r="17639" spans="6:8">
      <c r="H17639" t="s">
        <v>35260</v>
      </c>
    </row>
    <row r="17640" spans="6:8">
      <c r="H17640" t="s">
        <v>35261</v>
      </c>
    </row>
    <row r="17641" spans="6:8">
      <c r="F17641" t="s">
        <v>14315</v>
      </c>
      <c r="G17641" t="s">
        <v>18272</v>
      </c>
      <c r="H17641" t="s">
        <v>35263</v>
      </c>
    </row>
    <row r="17642" spans="6:8">
      <c r="F17642" t="s">
        <v>10726</v>
      </c>
      <c r="G17642" t="s">
        <v>15125</v>
      </c>
      <c r="H17642" t="s">
        <v>35266</v>
      </c>
    </row>
    <row r="17643" spans="6:8">
      <c r="H17643" t="s">
        <v>35267</v>
      </c>
    </row>
    <row r="17644" spans="6:8">
      <c r="H17644" t="s">
        <v>35268</v>
      </c>
    </row>
    <row r="17645" spans="6:8">
      <c r="H17645" t="s">
        <v>35269</v>
      </c>
    </row>
    <row r="17646" spans="6:8">
      <c r="H17646" t="s">
        <v>35271</v>
      </c>
    </row>
    <row r="17647" spans="6:8">
      <c r="F17647" t="s">
        <v>11449</v>
      </c>
      <c r="G17647" t="s">
        <v>15689</v>
      </c>
      <c r="H17647" t="s">
        <v>31759</v>
      </c>
    </row>
    <row r="17648" spans="6:8">
      <c r="H17648" t="s">
        <v>35273</v>
      </c>
    </row>
    <row r="17649" spans="8:8">
      <c r="H17649" t="s">
        <v>35274</v>
      </c>
    </row>
    <row r="17650" spans="8:8">
      <c r="H17650" t="s">
        <v>35275</v>
      </c>
    </row>
    <row r="17651" spans="8:8">
      <c r="H17651" t="s">
        <v>35276</v>
      </c>
    </row>
    <row r="17652" spans="8:8">
      <c r="H17652" t="s">
        <v>35277</v>
      </c>
    </row>
    <row r="17653" spans="8:8">
      <c r="H17653" t="s">
        <v>35279</v>
      </c>
    </row>
    <row r="17654" spans="8:8">
      <c r="H17654" t="s">
        <v>35280</v>
      </c>
    </row>
    <row r="17655" spans="8:8">
      <c r="H17655" t="s">
        <v>35281</v>
      </c>
    </row>
    <row r="17656" spans="8:8">
      <c r="H17656" t="s">
        <v>35282</v>
      </c>
    </row>
    <row r="17657" spans="8:8">
      <c r="H17657" t="s">
        <v>35283</v>
      </c>
    </row>
    <row r="17658" spans="8:8">
      <c r="H17658" t="s">
        <v>35284</v>
      </c>
    </row>
    <row r="17659" spans="8:8">
      <c r="H17659" t="s">
        <v>35285</v>
      </c>
    </row>
    <row r="17660" spans="8:8">
      <c r="H17660" t="s">
        <v>35286</v>
      </c>
    </row>
    <row r="17661" spans="8:8">
      <c r="H17661" t="s">
        <v>35287</v>
      </c>
    </row>
    <row r="17662" spans="8:8">
      <c r="H17662" t="s">
        <v>35288</v>
      </c>
    </row>
    <row r="17663" spans="8:8">
      <c r="H17663" t="s">
        <v>35289</v>
      </c>
    </row>
    <row r="17664" spans="8:8">
      <c r="H17664" t="s">
        <v>35291</v>
      </c>
    </row>
    <row r="17665" spans="6:8">
      <c r="H17665" t="s">
        <v>35294</v>
      </c>
    </row>
    <row r="17666" spans="6:8">
      <c r="H17666" t="s">
        <v>35295</v>
      </c>
    </row>
    <row r="17667" spans="6:8">
      <c r="H17667" t="s">
        <v>35296</v>
      </c>
    </row>
    <row r="17668" spans="6:8">
      <c r="H17668" t="s">
        <v>35297</v>
      </c>
    </row>
    <row r="17669" spans="6:8">
      <c r="H17669" t="s">
        <v>35298</v>
      </c>
    </row>
    <row r="17670" spans="6:8">
      <c r="H17670" t="s">
        <v>35299</v>
      </c>
    </row>
    <row r="17671" spans="6:8">
      <c r="H17671" t="s">
        <v>35300</v>
      </c>
    </row>
    <row r="17672" spans="6:8">
      <c r="H17672" t="s">
        <v>35301</v>
      </c>
    </row>
    <row r="17673" spans="6:8">
      <c r="H17673" t="s">
        <v>35302</v>
      </c>
    </row>
    <row r="17674" spans="6:8">
      <c r="H17674" t="s">
        <v>35303</v>
      </c>
    </row>
    <row r="17675" spans="6:8">
      <c r="H17675" t="s">
        <v>35304</v>
      </c>
    </row>
    <row r="17676" spans="6:8">
      <c r="H17676" t="s">
        <v>35305</v>
      </c>
    </row>
    <row r="17677" spans="6:8">
      <c r="F17677" t="s">
        <v>14316</v>
      </c>
      <c r="G17677" t="s">
        <v>18273</v>
      </c>
      <c r="H17677" t="s">
        <v>35307</v>
      </c>
    </row>
    <row r="17678" spans="6:8">
      <c r="F17678" t="s">
        <v>14317</v>
      </c>
      <c r="G17678" t="s">
        <v>18274</v>
      </c>
      <c r="H17678" t="s">
        <v>35308</v>
      </c>
    </row>
    <row r="17679" spans="6:8">
      <c r="H17679" t="s">
        <v>35309</v>
      </c>
    </row>
    <row r="17680" spans="6:8">
      <c r="H17680" t="s">
        <v>35310</v>
      </c>
    </row>
    <row r="17681" spans="6:8">
      <c r="F17681" t="s">
        <v>14318</v>
      </c>
      <c r="G17681" t="s">
        <v>18275</v>
      </c>
      <c r="H17681" t="s">
        <v>35317</v>
      </c>
    </row>
    <row r="17682" spans="6:8">
      <c r="F17682" t="s">
        <v>14319</v>
      </c>
      <c r="G17682" t="s">
        <v>18276</v>
      </c>
      <c r="H17682" t="s">
        <v>18836</v>
      </c>
    </row>
    <row r="17683" spans="6:8">
      <c r="F17683" t="s">
        <v>14320</v>
      </c>
      <c r="G17683" t="s">
        <v>18277</v>
      </c>
      <c r="H17683" t="s">
        <v>30172</v>
      </c>
    </row>
    <row r="17684" spans="6:8">
      <c r="H17684" t="s">
        <v>35318</v>
      </c>
    </row>
    <row r="17685" spans="6:8">
      <c r="H17685" t="s">
        <v>35319</v>
      </c>
    </row>
    <row r="17686" spans="6:8">
      <c r="H17686" t="s">
        <v>35320</v>
      </c>
    </row>
    <row r="17687" spans="6:8">
      <c r="H17687" t="s">
        <v>35321</v>
      </c>
    </row>
    <row r="17688" spans="6:8">
      <c r="H17688" t="s">
        <v>35322</v>
      </c>
    </row>
    <row r="17689" spans="6:8">
      <c r="F17689" t="s">
        <v>14321</v>
      </c>
      <c r="G17689" t="s">
        <v>18278</v>
      </c>
      <c r="H17689" t="s">
        <v>35328</v>
      </c>
    </row>
    <row r="17690" spans="6:8">
      <c r="F17690" t="s">
        <v>14322</v>
      </c>
      <c r="G17690" t="s">
        <v>18279</v>
      </c>
      <c r="H17690" t="s">
        <v>22358</v>
      </c>
    </row>
    <row r="17691" spans="6:8">
      <c r="H17691" t="s">
        <v>35329</v>
      </c>
    </row>
    <row r="17692" spans="6:8">
      <c r="H17692" t="s">
        <v>35330</v>
      </c>
    </row>
    <row r="17693" spans="6:8">
      <c r="F17693" t="s">
        <v>14323</v>
      </c>
      <c r="G17693" t="s">
        <v>18280</v>
      </c>
      <c r="H17693" t="s">
        <v>35333</v>
      </c>
    </row>
    <row r="17694" spans="6:8">
      <c r="H17694" t="s">
        <v>29840</v>
      </c>
    </row>
    <row r="17695" spans="6:8">
      <c r="H17695" t="s">
        <v>35334</v>
      </c>
    </row>
    <row r="17696" spans="6:8">
      <c r="H17696" t="s">
        <v>35335</v>
      </c>
    </row>
    <row r="17697" spans="1:8">
      <c r="H17697" t="s">
        <v>19007</v>
      </c>
    </row>
    <row r="17698" spans="1:8">
      <c r="H17698" t="s">
        <v>35336</v>
      </c>
    </row>
    <row r="17699" spans="1:8">
      <c r="F17699" t="s">
        <v>14324</v>
      </c>
      <c r="G17699" t="s">
        <v>18281</v>
      </c>
      <c r="H17699" t="s">
        <v>35338</v>
      </c>
    </row>
    <row r="17700" spans="1:8">
      <c r="H17700" t="s">
        <v>35339</v>
      </c>
    </row>
    <row r="17701" spans="1:8">
      <c r="H17701" t="s">
        <v>35340</v>
      </c>
    </row>
    <row r="17702" spans="1:8">
      <c r="H17702" t="s">
        <v>35341</v>
      </c>
    </row>
    <row r="17703" spans="1:8">
      <c r="H17703" t="s">
        <v>35342</v>
      </c>
    </row>
    <row r="17704" spans="1:8">
      <c r="F17704" t="s">
        <v>14102</v>
      </c>
      <c r="G17704" t="s">
        <v>18095</v>
      </c>
      <c r="H17704" t="s">
        <v>35349</v>
      </c>
    </row>
    <row r="17705" spans="1:8">
      <c r="H17705" t="s">
        <v>35350</v>
      </c>
    </row>
    <row r="17706" spans="1:8">
      <c r="H17706" t="s">
        <v>35351</v>
      </c>
    </row>
    <row r="17707" spans="1:8">
      <c r="H17707" t="s">
        <v>35352</v>
      </c>
    </row>
    <row r="17708" spans="1:8">
      <c r="H17708" t="s">
        <v>35353</v>
      </c>
    </row>
    <row r="17709" spans="1:8">
      <c r="H17709" t="s">
        <v>35354</v>
      </c>
    </row>
    <row r="17710" spans="1:8">
      <c r="H17710" t="s">
        <v>35357</v>
      </c>
    </row>
    <row r="17711" spans="1:8">
      <c r="H17711" t="s">
        <v>35359</v>
      </c>
    </row>
    <row r="17712" spans="1:8">
      <c r="A17712" t="s">
        <v>3503</v>
      </c>
      <c r="B17712">
        <f>HYPERLINK("https://android.googlesource.com/platform/cts/+/daf55da8c6be33c9421e0ff5d4f7e03c7c75c0bd", "daf55da8c6be33c9421e0ff5d4f7e03c7c75c0bd")</f>
        <v>0</v>
      </c>
      <c r="C17712">
        <f>HYPERLINK("https://android.googlesource.com/platform/cts/+/57a7572fe52032f6656b77decb0acb7846e62f36", "57a7572fe52032f6656b77decb0acb7846e62f36")</f>
        <v>0</v>
      </c>
      <c r="D17712" t="s">
        <v>5576</v>
      </c>
      <c r="E17712" t="s">
        <v>9197</v>
      </c>
      <c r="F17712" t="s">
        <v>13857</v>
      </c>
      <c r="G17712" t="s">
        <v>17899</v>
      </c>
      <c r="H17712" t="s">
        <v>34807</v>
      </c>
    </row>
    <row r="17713" spans="6:8">
      <c r="H17713" t="s">
        <v>34808</v>
      </c>
    </row>
    <row r="17714" spans="6:8">
      <c r="H17714" t="s">
        <v>34809</v>
      </c>
    </row>
    <row r="17715" spans="6:8">
      <c r="H17715" t="s">
        <v>34810</v>
      </c>
    </row>
    <row r="17716" spans="6:8">
      <c r="H17716" t="s">
        <v>34811</v>
      </c>
    </row>
    <row r="17717" spans="6:8">
      <c r="H17717" t="s">
        <v>34812</v>
      </c>
    </row>
    <row r="17718" spans="6:8">
      <c r="F17718" t="s">
        <v>13976</v>
      </c>
      <c r="G17718" t="s">
        <v>18001</v>
      </c>
      <c r="H17718" t="s">
        <v>34814</v>
      </c>
    </row>
    <row r="17719" spans="6:8">
      <c r="H17719" t="s">
        <v>34815</v>
      </c>
    </row>
    <row r="17720" spans="6:8">
      <c r="H17720" t="s">
        <v>34816</v>
      </c>
    </row>
    <row r="17721" spans="6:8">
      <c r="H17721" t="s">
        <v>34817</v>
      </c>
    </row>
    <row r="17722" spans="6:8">
      <c r="H17722" t="s">
        <v>34818</v>
      </c>
    </row>
    <row r="17723" spans="6:8">
      <c r="H17723" t="s">
        <v>34819</v>
      </c>
    </row>
    <row r="17724" spans="6:8">
      <c r="H17724" t="s">
        <v>34820</v>
      </c>
    </row>
    <row r="17725" spans="6:8">
      <c r="H17725" t="s">
        <v>34821</v>
      </c>
    </row>
    <row r="17726" spans="6:8">
      <c r="H17726" t="s">
        <v>34822</v>
      </c>
    </row>
    <row r="17727" spans="6:8">
      <c r="F17727" t="s">
        <v>13977</v>
      </c>
      <c r="G17727" t="s">
        <v>18002</v>
      </c>
      <c r="H17727" t="s">
        <v>33907</v>
      </c>
    </row>
    <row r="17728" spans="6:8">
      <c r="H17728" t="s">
        <v>33908</v>
      </c>
    </row>
    <row r="17729" spans="6:8">
      <c r="F17729" t="s">
        <v>12416</v>
      </c>
      <c r="G17729" t="s">
        <v>16638</v>
      </c>
      <c r="H17729" t="s">
        <v>26751</v>
      </c>
    </row>
    <row r="17730" spans="6:8">
      <c r="H17730" t="s">
        <v>34852</v>
      </c>
    </row>
    <row r="17731" spans="6:8">
      <c r="H17731" t="s">
        <v>34853</v>
      </c>
    </row>
    <row r="17732" spans="6:8">
      <c r="H17732" t="s">
        <v>34854</v>
      </c>
    </row>
    <row r="17733" spans="6:8">
      <c r="H17733" t="s">
        <v>34855</v>
      </c>
    </row>
    <row r="17734" spans="6:8">
      <c r="H17734" t="s">
        <v>34856</v>
      </c>
    </row>
    <row r="17735" spans="6:8">
      <c r="H17735" t="s">
        <v>34857</v>
      </c>
    </row>
    <row r="17736" spans="6:8">
      <c r="H17736" t="s">
        <v>34858</v>
      </c>
    </row>
    <row r="17737" spans="6:8">
      <c r="H17737" t="s">
        <v>34859</v>
      </c>
    </row>
    <row r="17738" spans="6:8">
      <c r="H17738" t="s">
        <v>34860</v>
      </c>
    </row>
    <row r="17739" spans="6:8">
      <c r="H17739" t="s">
        <v>34861</v>
      </c>
    </row>
    <row r="17740" spans="6:8">
      <c r="H17740" t="s">
        <v>34862</v>
      </c>
    </row>
    <row r="17741" spans="6:8">
      <c r="H17741" t="s">
        <v>34863</v>
      </c>
    </row>
    <row r="17742" spans="6:8">
      <c r="H17742" t="s">
        <v>34864</v>
      </c>
    </row>
    <row r="17743" spans="6:8">
      <c r="H17743" t="s">
        <v>34870</v>
      </c>
    </row>
    <row r="17744" spans="6:8">
      <c r="F17744" t="s">
        <v>14304</v>
      </c>
      <c r="G17744" t="s">
        <v>18262</v>
      </c>
      <c r="H17744" t="s">
        <v>34873</v>
      </c>
    </row>
    <row r="17745" spans="6:8">
      <c r="H17745" t="s">
        <v>34874</v>
      </c>
    </row>
    <row r="17746" spans="6:8">
      <c r="H17746" t="s">
        <v>34875</v>
      </c>
    </row>
    <row r="17747" spans="6:8">
      <c r="H17747" t="s">
        <v>31037</v>
      </c>
    </row>
    <row r="17748" spans="6:8">
      <c r="F17748" t="s">
        <v>13941</v>
      </c>
      <c r="G17748" t="s">
        <v>17972</v>
      </c>
      <c r="H17748" t="s">
        <v>32340</v>
      </c>
    </row>
    <row r="17749" spans="6:8">
      <c r="H17749" t="s">
        <v>32342</v>
      </c>
    </row>
    <row r="17750" spans="6:8">
      <c r="H17750" t="s">
        <v>32341</v>
      </c>
    </row>
    <row r="17751" spans="6:8">
      <c r="F17751" t="s">
        <v>14305</v>
      </c>
      <c r="G17751" t="s">
        <v>18005</v>
      </c>
      <c r="H17751" t="s">
        <v>34876</v>
      </c>
    </row>
    <row r="17752" spans="6:8">
      <c r="F17752" t="s">
        <v>14234</v>
      </c>
      <c r="G17752" t="s">
        <v>18204</v>
      </c>
      <c r="H17752" t="s">
        <v>34880</v>
      </c>
    </row>
    <row r="17753" spans="6:8">
      <c r="H17753" t="s">
        <v>34881</v>
      </c>
    </row>
    <row r="17754" spans="6:8">
      <c r="H17754" t="s">
        <v>34884</v>
      </c>
    </row>
    <row r="17755" spans="6:8">
      <c r="H17755" t="s">
        <v>34885</v>
      </c>
    </row>
    <row r="17756" spans="6:8">
      <c r="H17756" t="s">
        <v>34886</v>
      </c>
    </row>
    <row r="17757" spans="6:8">
      <c r="H17757" t="s">
        <v>34887</v>
      </c>
    </row>
    <row r="17758" spans="6:8">
      <c r="H17758" t="s">
        <v>34888</v>
      </c>
    </row>
    <row r="17759" spans="6:8">
      <c r="H17759" t="s">
        <v>34889</v>
      </c>
    </row>
    <row r="17760" spans="6:8">
      <c r="H17760" t="s">
        <v>34890</v>
      </c>
    </row>
    <row r="17761" spans="6:8">
      <c r="H17761" t="s">
        <v>34892</v>
      </c>
    </row>
    <row r="17762" spans="6:8">
      <c r="H17762" t="s">
        <v>34893</v>
      </c>
    </row>
    <row r="17763" spans="6:8">
      <c r="F17763" t="s">
        <v>10700</v>
      </c>
      <c r="G17763" t="s">
        <v>15100</v>
      </c>
      <c r="H17763" t="s">
        <v>34906</v>
      </c>
    </row>
    <row r="17764" spans="6:8">
      <c r="H17764" t="s">
        <v>22508</v>
      </c>
    </row>
    <row r="17765" spans="6:8">
      <c r="H17765" t="s">
        <v>34907</v>
      </c>
    </row>
    <row r="17766" spans="6:8">
      <c r="H17766" t="s">
        <v>34908</v>
      </c>
    </row>
    <row r="17767" spans="6:8">
      <c r="H17767" t="s">
        <v>34909</v>
      </c>
    </row>
    <row r="17768" spans="6:8">
      <c r="H17768" t="s">
        <v>34910</v>
      </c>
    </row>
    <row r="17769" spans="6:8">
      <c r="H17769" t="s">
        <v>34911</v>
      </c>
    </row>
    <row r="17770" spans="6:8">
      <c r="H17770" t="s">
        <v>25838</v>
      </c>
    </row>
    <row r="17771" spans="6:8">
      <c r="H17771" t="s">
        <v>34920</v>
      </c>
    </row>
    <row r="17772" spans="6:8">
      <c r="H17772" t="s">
        <v>25839</v>
      </c>
    </row>
    <row r="17773" spans="6:8">
      <c r="H17773" t="s">
        <v>27479</v>
      </c>
    </row>
    <row r="17774" spans="6:8">
      <c r="H17774" t="s">
        <v>34922</v>
      </c>
    </row>
    <row r="17775" spans="6:8">
      <c r="H17775" t="s">
        <v>34923</v>
      </c>
    </row>
    <row r="17776" spans="6:8">
      <c r="H17776" t="s">
        <v>34924</v>
      </c>
    </row>
    <row r="17777" spans="6:8">
      <c r="H17777" t="s">
        <v>34925</v>
      </c>
    </row>
    <row r="17778" spans="6:8">
      <c r="H17778" t="s">
        <v>34927</v>
      </c>
    </row>
    <row r="17779" spans="6:8">
      <c r="H17779" t="s">
        <v>34935</v>
      </c>
    </row>
    <row r="17780" spans="6:8">
      <c r="H17780" t="s">
        <v>34950</v>
      </c>
    </row>
    <row r="17781" spans="6:8">
      <c r="H17781" t="s">
        <v>34951</v>
      </c>
    </row>
    <row r="17782" spans="6:8">
      <c r="H17782" t="s">
        <v>34952</v>
      </c>
    </row>
    <row r="17783" spans="6:8">
      <c r="H17783" t="s">
        <v>34957</v>
      </c>
    </row>
    <row r="17784" spans="6:8">
      <c r="H17784" t="s">
        <v>34958</v>
      </c>
    </row>
    <row r="17785" spans="6:8">
      <c r="H17785" t="s">
        <v>34960</v>
      </c>
    </row>
    <row r="17786" spans="6:8">
      <c r="H17786" t="s">
        <v>34961</v>
      </c>
    </row>
    <row r="17787" spans="6:8">
      <c r="H17787" t="s">
        <v>34962</v>
      </c>
    </row>
    <row r="17788" spans="6:8">
      <c r="H17788" t="s">
        <v>34966</v>
      </c>
    </row>
    <row r="17789" spans="6:8">
      <c r="F17789" t="s">
        <v>14306</v>
      </c>
      <c r="G17789" t="s">
        <v>18263</v>
      </c>
      <c r="H17789" t="s">
        <v>34967</v>
      </c>
    </row>
    <row r="17790" spans="6:8">
      <c r="F17790" t="s">
        <v>13837</v>
      </c>
      <c r="G17790" t="s">
        <v>17880</v>
      </c>
      <c r="H17790" t="s">
        <v>31852</v>
      </c>
    </row>
    <row r="17791" spans="6:8">
      <c r="H17791" t="s">
        <v>34980</v>
      </c>
    </row>
    <row r="17792" spans="6:8">
      <c r="H17792" t="s">
        <v>34981</v>
      </c>
    </row>
    <row r="17793" spans="8:8">
      <c r="H17793" t="s">
        <v>34982</v>
      </c>
    </row>
    <row r="17794" spans="8:8">
      <c r="H17794" t="s">
        <v>34983</v>
      </c>
    </row>
    <row r="17795" spans="8:8">
      <c r="H17795" t="s">
        <v>34984</v>
      </c>
    </row>
    <row r="17796" spans="8:8">
      <c r="H17796" t="s">
        <v>34985</v>
      </c>
    </row>
    <row r="17797" spans="8:8">
      <c r="H17797" t="s">
        <v>34986</v>
      </c>
    </row>
    <row r="17798" spans="8:8">
      <c r="H17798" t="s">
        <v>34987</v>
      </c>
    </row>
    <row r="17799" spans="8:8">
      <c r="H17799" t="s">
        <v>34988</v>
      </c>
    </row>
    <row r="17800" spans="8:8">
      <c r="H17800" t="s">
        <v>34994</v>
      </c>
    </row>
    <row r="17801" spans="8:8">
      <c r="H17801" t="s">
        <v>34995</v>
      </c>
    </row>
    <row r="17802" spans="8:8">
      <c r="H17802" t="s">
        <v>34996</v>
      </c>
    </row>
    <row r="17803" spans="8:8">
      <c r="H17803" t="s">
        <v>35002</v>
      </c>
    </row>
    <row r="17804" spans="8:8">
      <c r="H17804" t="s">
        <v>35003</v>
      </c>
    </row>
    <row r="17805" spans="8:8">
      <c r="H17805" t="s">
        <v>35004</v>
      </c>
    </row>
    <row r="17806" spans="8:8">
      <c r="H17806" t="s">
        <v>35005</v>
      </c>
    </row>
    <row r="17807" spans="8:8">
      <c r="H17807" t="s">
        <v>35006</v>
      </c>
    </row>
    <row r="17808" spans="8:8">
      <c r="H17808" t="s">
        <v>35007</v>
      </c>
    </row>
    <row r="17809" spans="6:8">
      <c r="H17809" t="s">
        <v>35008</v>
      </c>
    </row>
    <row r="17810" spans="6:8">
      <c r="H17810" t="s">
        <v>35009</v>
      </c>
    </row>
    <row r="17811" spans="6:8">
      <c r="H17811" t="s">
        <v>35011</v>
      </c>
    </row>
    <row r="17812" spans="6:8">
      <c r="H17812" t="s">
        <v>35014</v>
      </c>
    </row>
    <row r="17813" spans="6:8">
      <c r="F17813" t="s">
        <v>12201</v>
      </c>
      <c r="G17813" t="s">
        <v>16439</v>
      </c>
      <c r="H17813" t="s">
        <v>21327</v>
      </c>
    </row>
    <row r="17814" spans="6:8">
      <c r="F17814" t="s">
        <v>14222</v>
      </c>
      <c r="G17814" t="s">
        <v>18195</v>
      </c>
      <c r="H17814" t="s">
        <v>35024</v>
      </c>
    </row>
    <row r="17815" spans="6:8">
      <c r="H17815" t="s">
        <v>35025</v>
      </c>
    </row>
    <row r="17816" spans="6:8">
      <c r="H17816" t="s">
        <v>35026</v>
      </c>
    </row>
    <row r="17817" spans="6:8">
      <c r="H17817" t="s">
        <v>35028</v>
      </c>
    </row>
    <row r="17818" spans="6:8">
      <c r="H17818" t="s">
        <v>35029</v>
      </c>
    </row>
    <row r="17819" spans="6:8">
      <c r="H17819" t="s">
        <v>35030</v>
      </c>
    </row>
    <row r="17820" spans="6:8">
      <c r="H17820" t="s">
        <v>35031</v>
      </c>
    </row>
    <row r="17821" spans="6:8">
      <c r="H17821" t="s">
        <v>35032</v>
      </c>
    </row>
    <row r="17822" spans="6:8">
      <c r="H17822" t="s">
        <v>35033</v>
      </c>
    </row>
    <row r="17823" spans="6:8">
      <c r="H17823" t="s">
        <v>35036</v>
      </c>
    </row>
    <row r="17824" spans="6:8">
      <c r="H17824" t="s">
        <v>35037</v>
      </c>
    </row>
    <row r="17825" spans="6:8">
      <c r="F17825" t="s">
        <v>14307</v>
      </c>
      <c r="G17825" t="s">
        <v>18264</v>
      </c>
      <c r="H17825" t="s">
        <v>35042</v>
      </c>
    </row>
    <row r="17826" spans="6:8">
      <c r="H17826" t="s">
        <v>35043</v>
      </c>
    </row>
    <row r="17827" spans="6:8">
      <c r="H17827" t="s">
        <v>35044</v>
      </c>
    </row>
    <row r="17828" spans="6:8">
      <c r="H17828" t="s">
        <v>35045</v>
      </c>
    </row>
    <row r="17829" spans="6:8">
      <c r="H17829" t="s">
        <v>35046</v>
      </c>
    </row>
    <row r="17830" spans="6:8">
      <c r="H17830" t="s">
        <v>35047</v>
      </c>
    </row>
    <row r="17831" spans="6:8">
      <c r="F17831" t="s">
        <v>14159</v>
      </c>
      <c r="G17831" t="s">
        <v>18145</v>
      </c>
      <c r="H17831" t="s">
        <v>18836</v>
      </c>
    </row>
    <row r="17832" spans="6:8">
      <c r="H17832" t="s">
        <v>35050</v>
      </c>
    </row>
    <row r="17833" spans="6:8">
      <c r="F17833" t="s">
        <v>14308</v>
      </c>
      <c r="G17833" t="s">
        <v>18265</v>
      </c>
      <c r="H17833" t="s">
        <v>35070</v>
      </c>
    </row>
    <row r="17834" spans="6:8">
      <c r="H17834" t="s">
        <v>35071</v>
      </c>
    </row>
    <row r="17835" spans="6:8">
      <c r="H17835" t="s">
        <v>35072</v>
      </c>
    </row>
    <row r="17836" spans="6:8">
      <c r="H17836" t="s">
        <v>35073</v>
      </c>
    </row>
    <row r="17837" spans="6:8">
      <c r="H17837" t="s">
        <v>35074</v>
      </c>
    </row>
    <row r="17838" spans="6:8">
      <c r="H17838" t="s">
        <v>35075</v>
      </c>
    </row>
    <row r="17839" spans="6:8">
      <c r="F17839" t="s">
        <v>13309</v>
      </c>
      <c r="G17839" t="s">
        <v>17442</v>
      </c>
      <c r="H17839" t="s">
        <v>29102</v>
      </c>
    </row>
    <row r="17840" spans="6:8">
      <c r="H17840" t="s">
        <v>29103</v>
      </c>
    </row>
    <row r="17841" spans="8:8">
      <c r="H17841" t="s">
        <v>35091</v>
      </c>
    </row>
    <row r="17842" spans="8:8">
      <c r="H17842" t="s">
        <v>35092</v>
      </c>
    </row>
    <row r="17843" spans="8:8">
      <c r="H17843" t="s">
        <v>35093</v>
      </c>
    </row>
    <row r="17844" spans="8:8">
      <c r="H17844" t="s">
        <v>35094</v>
      </c>
    </row>
    <row r="17845" spans="8:8">
      <c r="H17845" t="s">
        <v>35095</v>
      </c>
    </row>
    <row r="17846" spans="8:8">
      <c r="H17846" t="s">
        <v>35096</v>
      </c>
    </row>
    <row r="17847" spans="8:8">
      <c r="H17847" t="s">
        <v>35097</v>
      </c>
    </row>
    <row r="17848" spans="8:8">
      <c r="H17848" t="s">
        <v>35098</v>
      </c>
    </row>
    <row r="17849" spans="8:8">
      <c r="H17849" t="s">
        <v>35099</v>
      </c>
    </row>
    <row r="17850" spans="8:8">
      <c r="H17850" t="s">
        <v>35100</v>
      </c>
    </row>
    <row r="17851" spans="8:8">
      <c r="H17851" t="s">
        <v>35101</v>
      </c>
    </row>
    <row r="17852" spans="8:8">
      <c r="H17852" t="s">
        <v>35102</v>
      </c>
    </row>
    <row r="17853" spans="8:8">
      <c r="H17853" t="s">
        <v>35103</v>
      </c>
    </row>
    <row r="17854" spans="8:8">
      <c r="H17854" t="s">
        <v>35104</v>
      </c>
    </row>
    <row r="17855" spans="8:8">
      <c r="H17855" t="s">
        <v>35105</v>
      </c>
    </row>
    <row r="17856" spans="8:8">
      <c r="H17856" t="s">
        <v>35106</v>
      </c>
    </row>
    <row r="17857" spans="8:8">
      <c r="H17857" t="s">
        <v>35107</v>
      </c>
    </row>
    <row r="17858" spans="8:8">
      <c r="H17858" t="s">
        <v>35108</v>
      </c>
    </row>
    <row r="17859" spans="8:8">
      <c r="H17859" t="s">
        <v>35109</v>
      </c>
    </row>
    <row r="17860" spans="8:8">
      <c r="H17860" t="s">
        <v>35110</v>
      </c>
    </row>
    <row r="17861" spans="8:8">
      <c r="H17861" t="s">
        <v>35111</v>
      </c>
    </row>
    <row r="17862" spans="8:8">
      <c r="H17862" t="s">
        <v>35112</v>
      </c>
    </row>
    <row r="17863" spans="8:8">
      <c r="H17863" t="s">
        <v>35113</v>
      </c>
    </row>
    <row r="17864" spans="8:8">
      <c r="H17864" t="s">
        <v>35114</v>
      </c>
    </row>
    <row r="17865" spans="8:8">
      <c r="H17865" t="s">
        <v>35115</v>
      </c>
    </row>
    <row r="17866" spans="8:8">
      <c r="H17866" t="s">
        <v>35116</v>
      </c>
    </row>
    <row r="17867" spans="8:8">
      <c r="H17867" t="s">
        <v>35117</v>
      </c>
    </row>
    <row r="17868" spans="8:8">
      <c r="H17868" t="s">
        <v>35118</v>
      </c>
    </row>
    <row r="17869" spans="8:8">
      <c r="H17869" t="s">
        <v>35119</v>
      </c>
    </row>
    <row r="17870" spans="8:8">
      <c r="H17870" t="s">
        <v>35120</v>
      </c>
    </row>
    <row r="17871" spans="8:8">
      <c r="H17871" t="s">
        <v>35121</v>
      </c>
    </row>
    <row r="17872" spans="8:8">
      <c r="H17872" t="s">
        <v>35122</v>
      </c>
    </row>
    <row r="17873" spans="8:8">
      <c r="H17873" t="s">
        <v>35123</v>
      </c>
    </row>
    <row r="17874" spans="8:8">
      <c r="H17874" t="s">
        <v>35124</v>
      </c>
    </row>
    <row r="17875" spans="8:8">
      <c r="H17875" t="s">
        <v>35125</v>
      </c>
    </row>
    <row r="17876" spans="8:8">
      <c r="H17876" t="s">
        <v>35126</v>
      </c>
    </row>
    <row r="17877" spans="8:8">
      <c r="H17877" t="s">
        <v>35127</v>
      </c>
    </row>
    <row r="17878" spans="8:8">
      <c r="H17878" t="s">
        <v>35128</v>
      </c>
    </row>
    <row r="17879" spans="8:8">
      <c r="H17879" t="s">
        <v>35129</v>
      </c>
    </row>
    <row r="17880" spans="8:8">
      <c r="H17880" t="s">
        <v>35130</v>
      </c>
    </row>
    <row r="17881" spans="8:8">
      <c r="H17881" t="s">
        <v>35131</v>
      </c>
    </row>
    <row r="17882" spans="8:8">
      <c r="H17882" t="s">
        <v>35132</v>
      </c>
    </row>
    <row r="17883" spans="8:8">
      <c r="H17883" t="s">
        <v>35133</v>
      </c>
    </row>
    <row r="17884" spans="8:8">
      <c r="H17884" t="s">
        <v>35134</v>
      </c>
    </row>
    <row r="17885" spans="8:8">
      <c r="H17885" t="s">
        <v>35135</v>
      </c>
    </row>
    <row r="17886" spans="8:8">
      <c r="H17886" t="s">
        <v>35136</v>
      </c>
    </row>
    <row r="17887" spans="8:8">
      <c r="H17887" t="s">
        <v>35137</v>
      </c>
    </row>
    <row r="17888" spans="8:8">
      <c r="H17888" t="s">
        <v>35138</v>
      </c>
    </row>
    <row r="17889" spans="8:8">
      <c r="H17889" t="s">
        <v>35139</v>
      </c>
    </row>
    <row r="17890" spans="8:8">
      <c r="H17890" t="s">
        <v>35140</v>
      </c>
    </row>
    <row r="17891" spans="8:8">
      <c r="H17891" t="s">
        <v>35141</v>
      </c>
    </row>
    <row r="17892" spans="8:8">
      <c r="H17892" t="s">
        <v>35142</v>
      </c>
    </row>
    <row r="17893" spans="8:8">
      <c r="H17893" t="s">
        <v>35143</v>
      </c>
    </row>
    <row r="17894" spans="8:8">
      <c r="H17894" t="s">
        <v>35144</v>
      </c>
    </row>
    <row r="17895" spans="8:8">
      <c r="H17895" t="s">
        <v>35145</v>
      </c>
    </row>
    <row r="17896" spans="8:8">
      <c r="H17896" t="s">
        <v>35146</v>
      </c>
    </row>
    <row r="17897" spans="8:8">
      <c r="H17897" t="s">
        <v>35147</v>
      </c>
    </row>
    <row r="17898" spans="8:8">
      <c r="H17898" t="s">
        <v>35148</v>
      </c>
    </row>
    <row r="17899" spans="8:8">
      <c r="H17899" t="s">
        <v>35149</v>
      </c>
    </row>
    <row r="17900" spans="8:8">
      <c r="H17900" t="s">
        <v>35150</v>
      </c>
    </row>
    <row r="17901" spans="8:8">
      <c r="H17901" t="s">
        <v>35151</v>
      </c>
    </row>
    <row r="17902" spans="8:8">
      <c r="H17902" t="s">
        <v>35152</v>
      </c>
    </row>
    <row r="17903" spans="8:8">
      <c r="H17903" t="s">
        <v>35153</v>
      </c>
    </row>
    <row r="17904" spans="8:8">
      <c r="H17904" t="s">
        <v>35154</v>
      </c>
    </row>
    <row r="17905" spans="6:8">
      <c r="H17905" t="s">
        <v>35155</v>
      </c>
    </row>
    <row r="17906" spans="6:8">
      <c r="H17906" t="s">
        <v>35156</v>
      </c>
    </row>
    <row r="17907" spans="6:8">
      <c r="F17907" t="s">
        <v>13928</v>
      </c>
      <c r="G17907" t="s">
        <v>17964</v>
      </c>
      <c r="H17907" t="s">
        <v>35159</v>
      </c>
    </row>
    <row r="17908" spans="6:8">
      <c r="H17908" t="s">
        <v>35160</v>
      </c>
    </row>
    <row r="17909" spans="6:8">
      <c r="H17909" t="s">
        <v>35175</v>
      </c>
    </row>
    <row r="17910" spans="6:8">
      <c r="H17910" t="s">
        <v>35176</v>
      </c>
    </row>
    <row r="17911" spans="6:8">
      <c r="H17911" t="s">
        <v>35177</v>
      </c>
    </row>
    <row r="17912" spans="6:8">
      <c r="H17912" t="s">
        <v>35178</v>
      </c>
    </row>
    <row r="17913" spans="6:8">
      <c r="H17913" t="s">
        <v>35179</v>
      </c>
    </row>
    <row r="17914" spans="6:8">
      <c r="H17914" t="s">
        <v>35180</v>
      </c>
    </row>
    <row r="17915" spans="6:8">
      <c r="H17915" t="s">
        <v>35181</v>
      </c>
    </row>
    <row r="17916" spans="6:8">
      <c r="H17916" t="s">
        <v>35182</v>
      </c>
    </row>
    <row r="17917" spans="6:8">
      <c r="H17917" t="s">
        <v>35183</v>
      </c>
    </row>
    <row r="17918" spans="6:8">
      <c r="H17918" t="s">
        <v>35184</v>
      </c>
    </row>
    <row r="17919" spans="6:8">
      <c r="H17919" t="s">
        <v>35185</v>
      </c>
    </row>
    <row r="17920" spans="6:8">
      <c r="H17920" t="s">
        <v>35186</v>
      </c>
    </row>
    <row r="17921" spans="6:8">
      <c r="H17921" t="s">
        <v>35187</v>
      </c>
    </row>
    <row r="17922" spans="6:8">
      <c r="H17922" t="s">
        <v>35188</v>
      </c>
    </row>
    <row r="17923" spans="6:8">
      <c r="H17923" t="s">
        <v>35189</v>
      </c>
    </row>
    <row r="17924" spans="6:8">
      <c r="H17924" t="s">
        <v>35190</v>
      </c>
    </row>
    <row r="17925" spans="6:8">
      <c r="H17925" t="s">
        <v>35191</v>
      </c>
    </row>
    <row r="17926" spans="6:8">
      <c r="H17926" t="s">
        <v>35192</v>
      </c>
    </row>
    <row r="17927" spans="6:8">
      <c r="H17927" t="s">
        <v>35193</v>
      </c>
    </row>
    <row r="17928" spans="6:8">
      <c r="H17928" t="s">
        <v>35194</v>
      </c>
    </row>
    <row r="17929" spans="6:8">
      <c r="H17929" t="s">
        <v>35195</v>
      </c>
    </row>
    <row r="17930" spans="6:8">
      <c r="H17930" t="s">
        <v>35196</v>
      </c>
    </row>
    <row r="17931" spans="6:8">
      <c r="H17931" t="s">
        <v>35197</v>
      </c>
    </row>
    <row r="17932" spans="6:8">
      <c r="H17932" t="s">
        <v>35198</v>
      </c>
    </row>
    <row r="17933" spans="6:8">
      <c r="F17933" t="s">
        <v>12740</v>
      </c>
      <c r="G17933" t="s">
        <v>16932</v>
      </c>
      <c r="H17933" t="s">
        <v>35199</v>
      </c>
    </row>
    <row r="17934" spans="6:8">
      <c r="F17934" t="s">
        <v>10615</v>
      </c>
      <c r="G17934" t="s">
        <v>15018</v>
      </c>
      <c r="H17934" t="s">
        <v>35200</v>
      </c>
    </row>
    <row r="17935" spans="6:8">
      <c r="F17935" t="s">
        <v>10616</v>
      </c>
      <c r="G17935" t="s">
        <v>15019</v>
      </c>
      <c r="H17935" t="s">
        <v>19183</v>
      </c>
    </row>
    <row r="17936" spans="6:8">
      <c r="H17936" t="s">
        <v>19184</v>
      </c>
    </row>
    <row r="17937" spans="6:8">
      <c r="F17937" t="s">
        <v>13133</v>
      </c>
      <c r="G17937" t="s">
        <v>17291</v>
      </c>
      <c r="H17937" t="s">
        <v>35201</v>
      </c>
    </row>
    <row r="17938" spans="6:8">
      <c r="H17938" t="s">
        <v>25716</v>
      </c>
    </row>
    <row r="17939" spans="6:8">
      <c r="H17939" t="s">
        <v>28041</v>
      </c>
    </row>
    <row r="17940" spans="6:8">
      <c r="H17940" t="s">
        <v>28042</v>
      </c>
    </row>
    <row r="17941" spans="6:8">
      <c r="H17941" t="s">
        <v>35202</v>
      </c>
    </row>
    <row r="17942" spans="6:8">
      <c r="H17942" t="s">
        <v>35203</v>
      </c>
    </row>
    <row r="17943" spans="6:8">
      <c r="H17943" t="s">
        <v>35204</v>
      </c>
    </row>
    <row r="17944" spans="6:8">
      <c r="F17944" t="s">
        <v>14309</v>
      </c>
      <c r="G17944" t="s">
        <v>18266</v>
      </c>
      <c r="H17944" t="s">
        <v>35211</v>
      </c>
    </row>
    <row r="17945" spans="6:8">
      <c r="H17945" t="s">
        <v>35212</v>
      </c>
    </row>
    <row r="17946" spans="6:8">
      <c r="H17946" t="s">
        <v>35213</v>
      </c>
    </row>
    <row r="17947" spans="6:8">
      <c r="H17947" t="s">
        <v>35214</v>
      </c>
    </row>
    <row r="17948" spans="6:8">
      <c r="H17948" t="s">
        <v>35215</v>
      </c>
    </row>
    <row r="17949" spans="6:8">
      <c r="F17949" t="s">
        <v>14310</v>
      </c>
      <c r="G17949" t="s">
        <v>18267</v>
      </c>
      <c r="H17949" t="s">
        <v>35216</v>
      </c>
    </row>
    <row r="17950" spans="6:8">
      <c r="F17950" t="s">
        <v>14210</v>
      </c>
      <c r="G17950" t="s">
        <v>18186</v>
      </c>
      <c r="H17950" t="s">
        <v>35217</v>
      </c>
    </row>
    <row r="17951" spans="6:8">
      <c r="H17951" t="s">
        <v>35218</v>
      </c>
    </row>
    <row r="17952" spans="6:8">
      <c r="H17952" t="s">
        <v>35219</v>
      </c>
    </row>
    <row r="17953" spans="6:8">
      <c r="H17953" t="s">
        <v>35220</v>
      </c>
    </row>
    <row r="17954" spans="6:8">
      <c r="H17954" t="s">
        <v>35221</v>
      </c>
    </row>
    <row r="17955" spans="6:8">
      <c r="H17955" t="s">
        <v>35222</v>
      </c>
    </row>
    <row r="17956" spans="6:8">
      <c r="H17956" t="s">
        <v>35223</v>
      </c>
    </row>
    <row r="17957" spans="6:8">
      <c r="H17957" t="s">
        <v>35224</v>
      </c>
    </row>
    <row r="17958" spans="6:8">
      <c r="F17958" t="s">
        <v>10617</v>
      </c>
      <c r="G17958" t="s">
        <v>15020</v>
      </c>
      <c r="H17958" t="s">
        <v>19183</v>
      </c>
    </row>
    <row r="17959" spans="6:8">
      <c r="H17959" t="s">
        <v>19184</v>
      </c>
    </row>
    <row r="17960" spans="6:8">
      <c r="F17960" t="s">
        <v>10618</v>
      </c>
      <c r="G17960" t="s">
        <v>15021</v>
      </c>
      <c r="H17960" t="s">
        <v>19183</v>
      </c>
    </row>
    <row r="17961" spans="6:8">
      <c r="H17961" t="s">
        <v>19184</v>
      </c>
    </row>
    <row r="17962" spans="6:8">
      <c r="F17962" t="s">
        <v>13556</v>
      </c>
      <c r="G17962" t="s">
        <v>17663</v>
      </c>
      <c r="H17962" t="s">
        <v>35227</v>
      </c>
    </row>
    <row r="17963" spans="6:8">
      <c r="H17963" t="s">
        <v>35228</v>
      </c>
    </row>
    <row r="17964" spans="6:8">
      <c r="H17964" t="s">
        <v>35230</v>
      </c>
    </row>
    <row r="17965" spans="6:8">
      <c r="H17965" t="s">
        <v>35231</v>
      </c>
    </row>
    <row r="17966" spans="6:8">
      <c r="H17966" t="s">
        <v>35232</v>
      </c>
    </row>
    <row r="17967" spans="6:8">
      <c r="H17967" t="s">
        <v>35233</v>
      </c>
    </row>
    <row r="17968" spans="6:8">
      <c r="H17968" t="s">
        <v>35234</v>
      </c>
    </row>
    <row r="17969" spans="6:8">
      <c r="H17969" t="s">
        <v>35236</v>
      </c>
    </row>
    <row r="17970" spans="6:8">
      <c r="F17970" t="s">
        <v>14311</v>
      </c>
      <c r="G17970" t="s">
        <v>18268</v>
      </c>
      <c r="H17970" t="s">
        <v>35239</v>
      </c>
    </row>
    <row r="17971" spans="6:8">
      <c r="F17971" t="s">
        <v>14312</v>
      </c>
      <c r="G17971" t="s">
        <v>18269</v>
      </c>
      <c r="H17971" t="s">
        <v>35241</v>
      </c>
    </row>
    <row r="17972" spans="6:8">
      <c r="F17972" t="s">
        <v>14313</v>
      </c>
      <c r="G17972" t="s">
        <v>18270</v>
      </c>
      <c r="H17972" t="s">
        <v>18836</v>
      </c>
    </row>
    <row r="17973" spans="6:8">
      <c r="H17973" t="s">
        <v>35247</v>
      </c>
    </row>
    <row r="17974" spans="6:8">
      <c r="H17974" t="s">
        <v>35248</v>
      </c>
    </row>
    <row r="17975" spans="6:8">
      <c r="H17975" t="s">
        <v>35249</v>
      </c>
    </row>
    <row r="17976" spans="6:8">
      <c r="F17976" t="s">
        <v>10600</v>
      </c>
      <c r="G17976" t="s">
        <v>15003</v>
      </c>
      <c r="H17976" t="s">
        <v>18836</v>
      </c>
    </row>
    <row r="17977" spans="6:8">
      <c r="H17977" t="s">
        <v>35250</v>
      </c>
    </row>
    <row r="17978" spans="6:8">
      <c r="F17978" t="s">
        <v>14314</v>
      </c>
      <c r="G17978" t="s">
        <v>18271</v>
      </c>
      <c r="H17978" t="s">
        <v>35251</v>
      </c>
    </row>
    <row r="17979" spans="6:8">
      <c r="H17979" t="s">
        <v>35252</v>
      </c>
    </row>
    <row r="17980" spans="6:8">
      <c r="H17980" t="s">
        <v>35253</v>
      </c>
    </row>
    <row r="17981" spans="6:8">
      <c r="F17981" t="s">
        <v>13960</v>
      </c>
      <c r="G17981" t="s">
        <v>17986</v>
      </c>
      <c r="H17981" t="s">
        <v>35255</v>
      </c>
    </row>
    <row r="17982" spans="6:8">
      <c r="H17982" t="s">
        <v>35250</v>
      </c>
    </row>
    <row r="17983" spans="6:8">
      <c r="H17983" t="s">
        <v>35256</v>
      </c>
    </row>
    <row r="17984" spans="6:8">
      <c r="H17984" t="s">
        <v>35257</v>
      </c>
    </row>
    <row r="17985" spans="6:8">
      <c r="H17985" t="s">
        <v>35258</v>
      </c>
    </row>
    <row r="17986" spans="6:8">
      <c r="H17986" t="s">
        <v>35259</v>
      </c>
    </row>
    <row r="17987" spans="6:8">
      <c r="H17987" t="s">
        <v>35260</v>
      </c>
    </row>
    <row r="17988" spans="6:8">
      <c r="H17988" t="s">
        <v>35261</v>
      </c>
    </row>
    <row r="17989" spans="6:8">
      <c r="F17989" t="s">
        <v>14315</v>
      </c>
      <c r="G17989" t="s">
        <v>18272</v>
      </c>
      <c r="H17989" t="s">
        <v>35263</v>
      </c>
    </row>
    <row r="17990" spans="6:8">
      <c r="F17990" t="s">
        <v>10726</v>
      </c>
      <c r="G17990" t="s">
        <v>15125</v>
      </c>
      <c r="H17990" t="s">
        <v>35266</v>
      </c>
    </row>
    <row r="17991" spans="6:8">
      <c r="H17991" t="s">
        <v>35267</v>
      </c>
    </row>
    <row r="17992" spans="6:8">
      <c r="H17992" t="s">
        <v>35268</v>
      </c>
    </row>
    <row r="17993" spans="6:8">
      <c r="H17993" t="s">
        <v>35269</v>
      </c>
    </row>
    <row r="17994" spans="6:8">
      <c r="H17994" t="s">
        <v>35271</v>
      </c>
    </row>
    <row r="17995" spans="6:8">
      <c r="F17995" t="s">
        <v>11449</v>
      </c>
      <c r="G17995" t="s">
        <v>15689</v>
      </c>
      <c r="H17995" t="s">
        <v>31759</v>
      </c>
    </row>
    <row r="17996" spans="6:8">
      <c r="H17996" t="s">
        <v>35273</v>
      </c>
    </row>
    <row r="17997" spans="6:8">
      <c r="H17997" t="s">
        <v>35274</v>
      </c>
    </row>
    <row r="17998" spans="6:8">
      <c r="H17998" t="s">
        <v>35275</v>
      </c>
    </row>
    <row r="17999" spans="6:8">
      <c r="H17999" t="s">
        <v>35276</v>
      </c>
    </row>
    <row r="18000" spans="6:8">
      <c r="H18000" t="s">
        <v>35277</v>
      </c>
    </row>
    <row r="18001" spans="8:8">
      <c r="H18001" t="s">
        <v>35279</v>
      </c>
    </row>
    <row r="18002" spans="8:8">
      <c r="H18002" t="s">
        <v>35280</v>
      </c>
    </row>
    <row r="18003" spans="8:8">
      <c r="H18003" t="s">
        <v>35281</v>
      </c>
    </row>
    <row r="18004" spans="8:8">
      <c r="H18004" t="s">
        <v>35282</v>
      </c>
    </row>
    <row r="18005" spans="8:8">
      <c r="H18005" t="s">
        <v>35283</v>
      </c>
    </row>
    <row r="18006" spans="8:8">
      <c r="H18006" t="s">
        <v>35284</v>
      </c>
    </row>
    <row r="18007" spans="8:8">
      <c r="H18007" t="s">
        <v>35285</v>
      </c>
    </row>
    <row r="18008" spans="8:8">
      <c r="H18008" t="s">
        <v>35286</v>
      </c>
    </row>
    <row r="18009" spans="8:8">
      <c r="H18009" t="s">
        <v>35287</v>
      </c>
    </row>
    <row r="18010" spans="8:8">
      <c r="H18010" t="s">
        <v>35288</v>
      </c>
    </row>
    <row r="18011" spans="8:8">
      <c r="H18011" t="s">
        <v>35289</v>
      </c>
    </row>
    <row r="18012" spans="8:8">
      <c r="H18012" t="s">
        <v>35291</v>
      </c>
    </row>
    <row r="18013" spans="8:8">
      <c r="H18013" t="s">
        <v>35294</v>
      </c>
    </row>
    <row r="18014" spans="8:8">
      <c r="H18014" t="s">
        <v>35295</v>
      </c>
    </row>
    <row r="18015" spans="8:8">
      <c r="H18015" t="s">
        <v>35296</v>
      </c>
    </row>
    <row r="18016" spans="8:8">
      <c r="H18016" t="s">
        <v>35297</v>
      </c>
    </row>
    <row r="18017" spans="6:8">
      <c r="H18017" t="s">
        <v>35298</v>
      </c>
    </row>
    <row r="18018" spans="6:8">
      <c r="H18018" t="s">
        <v>35299</v>
      </c>
    </row>
    <row r="18019" spans="6:8">
      <c r="H18019" t="s">
        <v>35300</v>
      </c>
    </row>
    <row r="18020" spans="6:8">
      <c r="H18020" t="s">
        <v>35301</v>
      </c>
    </row>
    <row r="18021" spans="6:8">
      <c r="H18021" t="s">
        <v>35302</v>
      </c>
    </row>
    <row r="18022" spans="6:8">
      <c r="H18022" t="s">
        <v>35303</v>
      </c>
    </row>
    <row r="18023" spans="6:8">
      <c r="H18023" t="s">
        <v>35304</v>
      </c>
    </row>
    <row r="18024" spans="6:8">
      <c r="H18024" t="s">
        <v>35305</v>
      </c>
    </row>
    <row r="18025" spans="6:8">
      <c r="F18025" t="s">
        <v>14316</v>
      </c>
      <c r="G18025" t="s">
        <v>18273</v>
      </c>
      <c r="H18025" t="s">
        <v>35307</v>
      </c>
    </row>
    <row r="18026" spans="6:8">
      <c r="F18026" t="s">
        <v>14317</v>
      </c>
      <c r="G18026" t="s">
        <v>18274</v>
      </c>
      <c r="H18026" t="s">
        <v>35308</v>
      </c>
    </row>
    <row r="18027" spans="6:8">
      <c r="H18027" t="s">
        <v>35309</v>
      </c>
    </row>
    <row r="18028" spans="6:8">
      <c r="H18028" t="s">
        <v>35310</v>
      </c>
    </row>
    <row r="18029" spans="6:8">
      <c r="F18029" t="s">
        <v>14318</v>
      </c>
      <c r="G18029" t="s">
        <v>18275</v>
      </c>
      <c r="H18029" t="s">
        <v>35317</v>
      </c>
    </row>
    <row r="18030" spans="6:8">
      <c r="F18030" t="s">
        <v>14319</v>
      </c>
      <c r="G18030" t="s">
        <v>18276</v>
      </c>
      <c r="H18030" t="s">
        <v>18836</v>
      </c>
    </row>
    <row r="18031" spans="6:8">
      <c r="F18031" t="s">
        <v>14320</v>
      </c>
      <c r="G18031" t="s">
        <v>18277</v>
      </c>
      <c r="H18031" t="s">
        <v>30172</v>
      </c>
    </row>
    <row r="18032" spans="6:8">
      <c r="H18032" t="s">
        <v>35318</v>
      </c>
    </row>
    <row r="18033" spans="6:8">
      <c r="H18033" t="s">
        <v>35319</v>
      </c>
    </row>
    <row r="18034" spans="6:8">
      <c r="H18034" t="s">
        <v>35320</v>
      </c>
    </row>
    <row r="18035" spans="6:8">
      <c r="H18035" t="s">
        <v>35321</v>
      </c>
    </row>
    <row r="18036" spans="6:8">
      <c r="H18036" t="s">
        <v>35322</v>
      </c>
    </row>
    <row r="18037" spans="6:8">
      <c r="F18037" t="s">
        <v>14321</v>
      </c>
      <c r="G18037" t="s">
        <v>18278</v>
      </c>
      <c r="H18037" t="s">
        <v>35328</v>
      </c>
    </row>
    <row r="18038" spans="6:8">
      <c r="F18038" t="s">
        <v>14322</v>
      </c>
      <c r="G18038" t="s">
        <v>18279</v>
      </c>
      <c r="H18038" t="s">
        <v>22358</v>
      </c>
    </row>
    <row r="18039" spans="6:8">
      <c r="H18039" t="s">
        <v>35329</v>
      </c>
    </row>
    <row r="18040" spans="6:8">
      <c r="H18040" t="s">
        <v>35330</v>
      </c>
    </row>
    <row r="18041" spans="6:8">
      <c r="F18041" t="s">
        <v>14323</v>
      </c>
      <c r="G18041" t="s">
        <v>18280</v>
      </c>
      <c r="H18041" t="s">
        <v>35333</v>
      </c>
    </row>
    <row r="18042" spans="6:8">
      <c r="H18042" t="s">
        <v>29840</v>
      </c>
    </row>
    <row r="18043" spans="6:8">
      <c r="H18043" t="s">
        <v>35334</v>
      </c>
    </row>
    <row r="18044" spans="6:8">
      <c r="H18044" t="s">
        <v>35335</v>
      </c>
    </row>
    <row r="18045" spans="6:8">
      <c r="H18045" t="s">
        <v>19007</v>
      </c>
    </row>
    <row r="18046" spans="6:8">
      <c r="H18046" t="s">
        <v>35336</v>
      </c>
    </row>
    <row r="18047" spans="6:8">
      <c r="F18047" t="s">
        <v>14324</v>
      </c>
      <c r="G18047" t="s">
        <v>18281</v>
      </c>
      <c r="H18047" t="s">
        <v>35338</v>
      </c>
    </row>
    <row r="18048" spans="6:8">
      <c r="H18048" t="s">
        <v>35339</v>
      </c>
    </row>
    <row r="18049" spans="1:8">
      <c r="H18049" t="s">
        <v>35340</v>
      </c>
    </row>
    <row r="18050" spans="1:8">
      <c r="H18050" t="s">
        <v>35341</v>
      </c>
    </row>
    <row r="18051" spans="1:8">
      <c r="H18051" t="s">
        <v>35342</v>
      </c>
    </row>
    <row r="18052" spans="1:8">
      <c r="F18052" t="s">
        <v>14102</v>
      </c>
      <c r="G18052" t="s">
        <v>18095</v>
      </c>
      <c r="H18052" t="s">
        <v>35349</v>
      </c>
    </row>
    <row r="18053" spans="1:8">
      <c r="H18053" t="s">
        <v>35350</v>
      </c>
    </row>
    <row r="18054" spans="1:8">
      <c r="H18054" t="s">
        <v>35351</v>
      </c>
    </row>
    <row r="18055" spans="1:8">
      <c r="H18055" t="s">
        <v>35352</v>
      </c>
    </row>
    <row r="18056" spans="1:8">
      <c r="H18056" t="s">
        <v>35353</v>
      </c>
    </row>
    <row r="18057" spans="1:8">
      <c r="H18057" t="s">
        <v>35354</v>
      </c>
    </row>
    <row r="18058" spans="1:8">
      <c r="H18058" t="s">
        <v>35357</v>
      </c>
    </row>
    <row r="18059" spans="1:8">
      <c r="H18059" t="s">
        <v>35359</v>
      </c>
    </row>
    <row r="18060" spans="1:8">
      <c r="A18060" t="s">
        <v>3504</v>
      </c>
      <c r="B18060">
        <f>HYPERLINK("https://android.googlesource.com/platform/cts/+/11b7995d722e2365b1db426fadbeaac9e50d2f1e", "11b7995d722e2365b1db426fadbeaac9e50d2f1e")</f>
        <v>0</v>
      </c>
      <c r="C18060">
        <f>HYPERLINK("https://android.googlesource.com/platform/cts/+/ce5ac3c10780be2aab4f37342150eca46cc415d7", "ce5ac3c10780be2aab4f37342150eca46cc415d7")</f>
        <v>0</v>
      </c>
      <c r="D18060" t="s">
        <v>5485</v>
      </c>
      <c r="E18060" t="s">
        <v>9198</v>
      </c>
      <c r="F18060" t="s">
        <v>12617</v>
      </c>
      <c r="G18060" t="s">
        <v>15155</v>
      </c>
      <c r="H18060" t="s">
        <v>35360</v>
      </c>
    </row>
    <row r="18061" spans="1:8">
      <c r="A18061" t="s">
        <v>3505</v>
      </c>
      <c r="B18061">
        <f>HYPERLINK("https://android.googlesource.com/platform/cts/+/2bc5d17211e4bb9e9f60c08d3a82f7377c4080e5", "2bc5d17211e4bb9e9f60c08d3a82f7377c4080e5")</f>
        <v>0</v>
      </c>
      <c r="C18061">
        <f>HYPERLINK("https://android.googlesource.com/platform/cts/+/2cdb98fc16e2f854300adaa7a3b776a41ed40b77", "2cdb98fc16e2f854300adaa7a3b776a41ed40b77")</f>
        <v>0</v>
      </c>
      <c r="D18061" t="s">
        <v>5260</v>
      </c>
      <c r="E18061" t="s">
        <v>9199</v>
      </c>
      <c r="F18061" t="s">
        <v>14325</v>
      </c>
      <c r="G18061" t="s">
        <v>18282</v>
      </c>
      <c r="H18061" t="s">
        <v>35361</v>
      </c>
    </row>
    <row r="18062" spans="1:8">
      <c r="H18062" t="s">
        <v>35362</v>
      </c>
    </row>
    <row r="18063" spans="1:8">
      <c r="H18063" t="s">
        <v>35363</v>
      </c>
    </row>
    <row r="18064" spans="1:8">
      <c r="A18064" t="s">
        <v>3506</v>
      </c>
      <c r="B18064">
        <f>HYPERLINK("https://android.googlesource.com/platform/cts/+/5e5e6fab77295819ea83f742fba1a8ef5c147be8", "5e5e6fab77295819ea83f742fba1a8ef5c147be8")</f>
        <v>0</v>
      </c>
      <c r="C18064">
        <f>HYPERLINK("https://android.googlesource.com/platform/cts/+/c758cc645a3d0ff21ecdf8fcef5c43b8648e75ee", "c758cc645a3d0ff21ecdf8fcef5c43b8648e75ee")</f>
        <v>0</v>
      </c>
      <c r="D18064" t="s">
        <v>5576</v>
      </c>
      <c r="E18064" t="s">
        <v>9200</v>
      </c>
      <c r="F18064" t="s">
        <v>13857</v>
      </c>
      <c r="G18064" t="s">
        <v>17899</v>
      </c>
      <c r="H18064" t="s">
        <v>34807</v>
      </c>
    </row>
    <row r="18065" spans="6:8">
      <c r="H18065" t="s">
        <v>34808</v>
      </c>
    </row>
    <row r="18066" spans="6:8">
      <c r="H18066" t="s">
        <v>34809</v>
      </c>
    </row>
    <row r="18067" spans="6:8">
      <c r="H18067" t="s">
        <v>34810</v>
      </c>
    </row>
    <row r="18068" spans="6:8">
      <c r="H18068" t="s">
        <v>34811</v>
      </c>
    </row>
    <row r="18069" spans="6:8">
      <c r="H18069" t="s">
        <v>34812</v>
      </c>
    </row>
    <row r="18070" spans="6:8">
      <c r="F18070" t="s">
        <v>13976</v>
      </c>
      <c r="G18070" t="s">
        <v>18001</v>
      </c>
      <c r="H18070" t="s">
        <v>34814</v>
      </c>
    </row>
    <row r="18071" spans="6:8">
      <c r="H18071" t="s">
        <v>34815</v>
      </c>
    </row>
    <row r="18072" spans="6:8">
      <c r="H18072" t="s">
        <v>34816</v>
      </c>
    </row>
    <row r="18073" spans="6:8">
      <c r="H18073" t="s">
        <v>34817</v>
      </c>
    </row>
    <row r="18074" spans="6:8">
      <c r="H18074" t="s">
        <v>34818</v>
      </c>
    </row>
    <row r="18075" spans="6:8">
      <c r="H18075" t="s">
        <v>34819</v>
      </c>
    </row>
    <row r="18076" spans="6:8">
      <c r="H18076" t="s">
        <v>34820</v>
      </c>
    </row>
    <row r="18077" spans="6:8">
      <c r="H18077" t="s">
        <v>34821</v>
      </c>
    </row>
    <row r="18078" spans="6:8">
      <c r="H18078" t="s">
        <v>34822</v>
      </c>
    </row>
    <row r="18079" spans="6:8">
      <c r="F18079" t="s">
        <v>13977</v>
      </c>
      <c r="G18079" t="s">
        <v>18002</v>
      </c>
      <c r="H18079" t="s">
        <v>33907</v>
      </c>
    </row>
    <row r="18080" spans="6:8">
      <c r="H18080" t="s">
        <v>33908</v>
      </c>
    </row>
    <row r="18081" spans="6:8">
      <c r="F18081" t="s">
        <v>12416</v>
      </c>
      <c r="G18081" t="s">
        <v>16638</v>
      </c>
      <c r="H18081" t="s">
        <v>26751</v>
      </c>
    </row>
    <row r="18082" spans="6:8">
      <c r="H18082" t="s">
        <v>34852</v>
      </c>
    </row>
    <row r="18083" spans="6:8">
      <c r="H18083" t="s">
        <v>34853</v>
      </c>
    </row>
    <row r="18084" spans="6:8">
      <c r="H18084" t="s">
        <v>34854</v>
      </c>
    </row>
    <row r="18085" spans="6:8">
      <c r="H18085" t="s">
        <v>34855</v>
      </c>
    </row>
    <row r="18086" spans="6:8">
      <c r="H18086" t="s">
        <v>34856</v>
      </c>
    </row>
    <row r="18087" spans="6:8">
      <c r="H18087" t="s">
        <v>34857</v>
      </c>
    </row>
    <row r="18088" spans="6:8">
      <c r="H18088" t="s">
        <v>34858</v>
      </c>
    </row>
    <row r="18089" spans="6:8">
      <c r="H18089" t="s">
        <v>34859</v>
      </c>
    </row>
    <row r="18090" spans="6:8">
      <c r="H18090" t="s">
        <v>34860</v>
      </c>
    </row>
    <row r="18091" spans="6:8">
      <c r="H18091" t="s">
        <v>34861</v>
      </c>
    </row>
    <row r="18092" spans="6:8">
      <c r="H18092" t="s">
        <v>34862</v>
      </c>
    </row>
    <row r="18093" spans="6:8">
      <c r="H18093" t="s">
        <v>34863</v>
      </c>
    </row>
    <row r="18094" spans="6:8">
      <c r="H18094" t="s">
        <v>34864</v>
      </c>
    </row>
    <row r="18095" spans="6:8">
      <c r="F18095" t="s">
        <v>14304</v>
      </c>
      <c r="G18095" t="s">
        <v>18262</v>
      </c>
      <c r="H18095" t="s">
        <v>34873</v>
      </c>
    </row>
    <row r="18096" spans="6:8">
      <c r="H18096" t="s">
        <v>34874</v>
      </c>
    </row>
    <row r="18097" spans="6:8">
      <c r="H18097" t="s">
        <v>34875</v>
      </c>
    </row>
    <row r="18098" spans="6:8">
      <c r="H18098" t="s">
        <v>31037</v>
      </c>
    </row>
    <row r="18099" spans="6:8">
      <c r="F18099" t="s">
        <v>13941</v>
      </c>
      <c r="G18099" t="s">
        <v>17972</v>
      </c>
      <c r="H18099" t="s">
        <v>32340</v>
      </c>
    </row>
    <row r="18100" spans="6:8">
      <c r="H18100" t="s">
        <v>32342</v>
      </c>
    </row>
    <row r="18101" spans="6:8">
      <c r="H18101" t="s">
        <v>32341</v>
      </c>
    </row>
    <row r="18102" spans="6:8">
      <c r="F18102" t="s">
        <v>14305</v>
      </c>
      <c r="G18102" t="s">
        <v>18005</v>
      </c>
      <c r="H18102" t="s">
        <v>34876</v>
      </c>
    </row>
    <row r="18103" spans="6:8">
      <c r="F18103" t="s">
        <v>14234</v>
      </c>
      <c r="G18103" t="s">
        <v>18204</v>
      </c>
      <c r="H18103" t="s">
        <v>34880</v>
      </c>
    </row>
    <row r="18104" spans="6:8">
      <c r="H18104" t="s">
        <v>34881</v>
      </c>
    </row>
    <row r="18105" spans="6:8">
      <c r="H18105" t="s">
        <v>34884</v>
      </c>
    </row>
    <row r="18106" spans="6:8">
      <c r="H18106" t="s">
        <v>34885</v>
      </c>
    </row>
    <row r="18107" spans="6:8">
      <c r="H18107" t="s">
        <v>34886</v>
      </c>
    </row>
    <row r="18108" spans="6:8">
      <c r="H18108" t="s">
        <v>34887</v>
      </c>
    </row>
    <row r="18109" spans="6:8">
      <c r="H18109" t="s">
        <v>34888</v>
      </c>
    </row>
    <row r="18110" spans="6:8">
      <c r="H18110" t="s">
        <v>34889</v>
      </c>
    </row>
    <row r="18111" spans="6:8">
      <c r="H18111" t="s">
        <v>34890</v>
      </c>
    </row>
    <row r="18112" spans="6:8">
      <c r="H18112" t="s">
        <v>34892</v>
      </c>
    </row>
    <row r="18113" spans="6:8">
      <c r="H18113" t="s">
        <v>34893</v>
      </c>
    </row>
    <row r="18114" spans="6:8">
      <c r="F18114" t="s">
        <v>10700</v>
      </c>
      <c r="G18114" t="s">
        <v>15100</v>
      </c>
      <c r="H18114" t="s">
        <v>34906</v>
      </c>
    </row>
    <row r="18115" spans="6:8">
      <c r="H18115" t="s">
        <v>22508</v>
      </c>
    </row>
    <row r="18116" spans="6:8">
      <c r="H18116" t="s">
        <v>34907</v>
      </c>
    </row>
    <row r="18117" spans="6:8">
      <c r="H18117" t="s">
        <v>34908</v>
      </c>
    </row>
    <row r="18118" spans="6:8">
      <c r="H18118" t="s">
        <v>34909</v>
      </c>
    </row>
    <row r="18119" spans="6:8">
      <c r="H18119" t="s">
        <v>34910</v>
      </c>
    </row>
    <row r="18120" spans="6:8">
      <c r="H18120" t="s">
        <v>34911</v>
      </c>
    </row>
    <row r="18121" spans="6:8">
      <c r="H18121" t="s">
        <v>25838</v>
      </c>
    </row>
    <row r="18122" spans="6:8">
      <c r="H18122" t="s">
        <v>34920</v>
      </c>
    </row>
    <row r="18123" spans="6:8">
      <c r="H18123" t="s">
        <v>25839</v>
      </c>
    </row>
    <row r="18124" spans="6:8">
      <c r="H18124" t="s">
        <v>27479</v>
      </c>
    </row>
    <row r="18125" spans="6:8">
      <c r="H18125" t="s">
        <v>34922</v>
      </c>
    </row>
    <row r="18126" spans="6:8">
      <c r="H18126" t="s">
        <v>34923</v>
      </c>
    </row>
    <row r="18127" spans="6:8">
      <c r="H18127" t="s">
        <v>34924</v>
      </c>
    </row>
    <row r="18128" spans="6:8">
      <c r="H18128" t="s">
        <v>34925</v>
      </c>
    </row>
    <row r="18129" spans="6:8">
      <c r="H18129" t="s">
        <v>34927</v>
      </c>
    </row>
    <row r="18130" spans="6:8">
      <c r="H18130" t="s">
        <v>34935</v>
      </c>
    </row>
    <row r="18131" spans="6:8">
      <c r="H18131" t="s">
        <v>34950</v>
      </c>
    </row>
    <row r="18132" spans="6:8">
      <c r="H18132" t="s">
        <v>34951</v>
      </c>
    </row>
    <row r="18133" spans="6:8">
      <c r="H18133" t="s">
        <v>34952</v>
      </c>
    </row>
    <row r="18134" spans="6:8">
      <c r="H18134" t="s">
        <v>34957</v>
      </c>
    </row>
    <row r="18135" spans="6:8">
      <c r="H18135" t="s">
        <v>34958</v>
      </c>
    </row>
    <row r="18136" spans="6:8">
      <c r="H18136" t="s">
        <v>34960</v>
      </c>
    </row>
    <row r="18137" spans="6:8">
      <c r="H18137" t="s">
        <v>34961</v>
      </c>
    </row>
    <row r="18138" spans="6:8">
      <c r="F18138" t="s">
        <v>14306</v>
      </c>
      <c r="G18138" t="s">
        <v>18263</v>
      </c>
      <c r="H18138" t="s">
        <v>34967</v>
      </c>
    </row>
    <row r="18139" spans="6:8">
      <c r="F18139" t="s">
        <v>13837</v>
      </c>
      <c r="G18139" t="s">
        <v>17880</v>
      </c>
      <c r="H18139" t="s">
        <v>31852</v>
      </c>
    </row>
    <row r="18140" spans="6:8">
      <c r="H18140" t="s">
        <v>34980</v>
      </c>
    </row>
    <row r="18141" spans="6:8">
      <c r="H18141" t="s">
        <v>34981</v>
      </c>
    </row>
    <row r="18142" spans="6:8">
      <c r="H18142" t="s">
        <v>34982</v>
      </c>
    </row>
    <row r="18143" spans="6:8">
      <c r="H18143" t="s">
        <v>34983</v>
      </c>
    </row>
    <row r="18144" spans="6:8">
      <c r="H18144" t="s">
        <v>34984</v>
      </c>
    </row>
    <row r="18145" spans="8:8">
      <c r="H18145" t="s">
        <v>34985</v>
      </c>
    </row>
    <row r="18146" spans="8:8">
      <c r="H18146" t="s">
        <v>34986</v>
      </c>
    </row>
    <row r="18147" spans="8:8">
      <c r="H18147" t="s">
        <v>34987</v>
      </c>
    </row>
    <row r="18148" spans="8:8">
      <c r="H18148" t="s">
        <v>34988</v>
      </c>
    </row>
    <row r="18149" spans="8:8">
      <c r="H18149" t="s">
        <v>34994</v>
      </c>
    </row>
    <row r="18150" spans="8:8">
      <c r="H18150" t="s">
        <v>34995</v>
      </c>
    </row>
    <row r="18151" spans="8:8">
      <c r="H18151" t="s">
        <v>34996</v>
      </c>
    </row>
    <row r="18152" spans="8:8">
      <c r="H18152" t="s">
        <v>35002</v>
      </c>
    </row>
    <row r="18153" spans="8:8">
      <c r="H18153" t="s">
        <v>35003</v>
      </c>
    </row>
    <row r="18154" spans="8:8">
      <c r="H18154" t="s">
        <v>35004</v>
      </c>
    </row>
    <row r="18155" spans="8:8">
      <c r="H18155" t="s">
        <v>35005</v>
      </c>
    </row>
    <row r="18156" spans="8:8">
      <c r="H18156" t="s">
        <v>35006</v>
      </c>
    </row>
    <row r="18157" spans="8:8">
      <c r="H18157" t="s">
        <v>35007</v>
      </c>
    </row>
    <row r="18158" spans="8:8">
      <c r="H18158" t="s">
        <v>35008</v>
      </c>
    </row>
    <row r="18159" spans="8:8">
      <c r="H18159" t="s">
        <v>35009</v>
      </c>
    </row>
    <row r="18160" spans="8:8">
      <c r="H18160" t="s">
        <v>35011</v>
      </c>
    </row>
    <row r="18161" spans="6:8">
      <c r="H18161" t="s">
        <v>35014</v>
      </c>
    </row>
    <row r="18162" spans="6:8">
      <c r="F18162" t="s">
        <v>12201</v>
      </c>
      <c r="G18162" t="s">
        <v>16439</v>
      </c>
      <c r="H18162" t="s">
        <v>21327</v>
      </c>
    </row>
    <row r="18163" spans="6:8">
      <c r="F18163" t="s">
        <v>14222</v>
      </c>
      <c r="G18163" t="s">
        <v>18195</v>
      </c>
      <c r="H18163" t="s">
        <v>35024</v>
      </c>
    </row>
    <row r="18164" spans="6:8">
      <c r="H18164" t="s">
        <v>35025</v>
      </c>
    </row>
    <row r="18165" spans="6:8">
      <c r="H18165" t="s">
        <v>35026</v>
      </c>
    </row>
    <row r="18166" spans="6:8">
      <c r="H18166" t="s">
        <v>35028</v>
      </c>
    </row>
    <row r="18167" spans="6:8">
      <c r="H18167" t="s">
        <v>35029</v>
      </c>
    </row>
    <row r="18168" spans="6:8">
      <c r="H18168" t="s">
        <v>35030</v>
      </c>
    </row>
    <row r="18169" spans="6:8">
      <c r="H18169" t="s">
        <v>35031</v>
      </c>
    </row>
    <row r="18170" spans="6:8">
      <c r="H18170" t="s">
        <v>35032</v>
      </c>
    </row>
    <row r="18171" spans="6:8">
      <c r="H18171" t="s">
        <v>35033</v>
      </c>
    </row>
    <row r="18172" spans="6:8">
      <c r="H18172" t="s">
        <v>35036</v>
      </c>
    </row>
    <row r="18173" spans="6:8">
      <c r="H18173" t="s">
        <v>35037</v>
      </c>
    </row>
    <row r="18174" spans="6:8">
      <c r="F18174" t="s">
        <v>14307</v>
      </c>
      <c r="G18174" t="s">
        <v>18264</v>
      </c>
      <c r="H18174" t="s">
        <v>35042</v>
      </c>
    </row>
    <row r="18175" spans="6:8">
      <c r="H18175" t="s">
        <v>35043</v>
      </c>
    </row>
    <row r="18176" spans="6:8">
      <c r="H18176" t="s">
        <v>35044</v>
      </c>
    </row>
    <row r="18177" spans="6:8">
      <c r="H18177" t="s">
        <v>35045</v>
      </c>
    </row>
    <row r="18178" spans="6:8">
      <c r="H18178" t="s">
        <v>35046</v>
      </c>
    </row>
    <row r="18179" spans="6:8">
      <c r="H18179" t="s">
        <v>35047</v>
      </c>
    </row>
    <row r="18180" spans="6:8">
      <c r="F18180" t="s">
        <v>14159</v>
      </c>
      <c r="G18180" t="s">
        <v>18145</v>
      </c>
      <c r="H18180" t="s">
        <v>18836</v>
      </c>
    </row>
    <row r="18181" spans="6:8">
      <c r="H18181" t="s">
        <v>35050</v>
      </c>
    </row>
    <row r="18182" spans="6:8">
      <c r="F18182" t="s">
        <v>14308</v>
      </c>
      <c r="G18182" t="s">
        <v>18265</v>
      </c>
      <c r="H18182" t="s">
        <v>35070</v>
      </c>
    </row>
    <row r="18183" spans="6:8">
      <c r="H18183" t="s">
        <v>35071</v>
      </c>
    </row>
    <row r="18184" spans="6:8">
      <c r="H18184" t="s">
        <v>35072</v>
      </c>
    </row>
    <row r="18185" spans="6:8">
      <c r="H18185" t="s">
        <v>35073</v>
      </c>
    </row>
    <row r="18186" spans="6:8">
      <c r="H18186" t="s">
        <v>35074</v>
      </c>
    </row>
    <row r="18187" spans="6:8">
      <c r="H18187" t="s">
        <v>35075</v>
      </c>
    </row>
    <row r="18188" spans="6:8">
      <c r="F18188" t="s">
        <v>13309</v>
      </c>
      <c r="G18188" t="s">
        <v>17442</v>
      </c>
      <c r="H18188" t="s">
        <v>29102</v>
      </c>
    </row>
    <row r="18189" spans="6:8">
      <c r="H18189" t="s">
        <v>29103</v>
      </c>
    </row>
    <row r="18190" spans="6:8">
      <c r="H18190" t="s">
        <v>35091</v>
      </c>
    </row>
    <row r="18191" spans="6:8">
      <c r="H18191" t="s">
        <v>35092</v>
      </c>
    </row>
    <row r="18192" spans="6:8">
      <c r="H18192" t="s">
        <v>35093</v>
      </c>
    </row>
    <row r="18193" spans="8:8">
      <c r="H18193" t="s">
        <v>35094</v>
      </c>
    </row>
    <row r="18194" spans="8:8">
      <c r="H18194" t="s">
        <v>35095</v>
      </c>
    </row>
    <row r="18195" spans="8:8">
      <c r="H18195" t="s">
        <v>35096</v>
      </c>
    </row>
    <row r="18196" spans="8:8">
      <c r="H18196" t="s">
        <v>35097</v>
      </c>
    </row>
    <row r="18197" spans="8:8">
      <c r="H18197" t="s">
        <v>35098</v>
      </c>
    </row>
    <row r="18198" spans="8:8">
      <c r="H18198" t="s">
        <v>35099</v>
      </c>
    </row>
    <row r="18199" spans="8:8">
      <c r="H18199" t="s">
        <v>35100</v>
      </c>
    </row>
    <row r="18200" spans="8:8">
      <c r="H18200" t="s">
        <v>35101</v>
      </c>
    </row>
    <row r="18201" spans="8:8">
      <c r="H18201" t="s">
        <v>35102</v>
      </c>
    </row>
    <row r="18202" spans="8:8">
      <c r="H18202" t="s">
        <v>35103</v>
      </c>
    </row>
    <row r="18203" spans="8:8">
      <c r="H18203" t="s">
        <v>35104</v>
      </c>
    </row>
    <row r="18204" spans="8:8">
      <c r="H18204" t="s">
        <v>35105</v>
      </c>
    </row>
    <row r="18205" spans="8:8">
      <c r="H18205" t="s">
        <v>35106</v>
      </c>
    </row>
    <row r="18206" spans="8:8">
      <c r="H18206" t="s">
        <v>35107</v>
      </c>
    </row>
    <row r="18207" spans="8:8">
      <c r="H18207" t="s">
        <v>35108</v>
      </c>
    </row>
    <row r="18208" spans="8:8">
      <c r="H18208" t="s">
        <v>35109</v>
      </c>
    </row>
    <row r="18209" spans="8:8">
      <c r="H18209" t="s">
        <v>35110</v>
      </c>
    </row>
    <row r="18210" spans="8:8">
      <c r="H18210" t="s">
        <v>35111</v>
      </c>
    </row>
    <row r="18211" spans="8:8">
      <c r="H18211" t="s">
        <v>35112</v>
      </c>
    </row>
    <row r="18212" spans="8:8">
      <c r="H18212" t="s">
        <v>35113</v>
      </c>
    </row>
    <row r="18213" spans="8:8">
      <c r="H18213" t="s">
        <v>35114</v>
      </c>
    </row>
    <row r="18214" spans="8:8">
      <c r="H18214" t="s">
        <v>35115</v>
      </c>
    </row>
    <row r="18215" spans="8:8">
      <c r="H18215" t="s">
        <v>35116</v>
      </c>
    </row>
    <row r="18216" spans="8:8">
      <c r="H18216" t="s">
        <v>35117</v>
      </c>
    </row>
    <row r="18217" spans="8:8">
      <c r="H18217" t="s">
        <v>35118</v>
      </c>
    </row>
    <row r="18218" spans="8:8">
      <c r="H18218" t="s">
        <v>35119</v>
      </c>
    </row>
    <row r="18219" spans="8:8">
      <c r="H18219" t="s">
        <v>35120</v>
      </c>
    </row>
    <row r="18220" spans="8:8">
      <c r="H18220" t="s">
        <v>35121</v>
      </c>
    </row>
    <row r="18221" spans="8:8">
      <c r="H18221" t="s">
        <v>35122</v>
      </c>
    </row>
    <row r="18222" spans="8:8">
      <c r="H18222" t="s">
        <v>35123</v>
      </c>
    </row>
    <row r="18223" spans="8:8">
      <c r="H18223" t="s">
        <v>35124</v>
      </c>
    </row>
    <row r="18224" spans="8:8">
      <c r="H18224" t="s">
        <v>35125</v>
      </c>
    </row>
    <row r="18225" spans="8:8">
      <c r="H18225" t="s">
        <v>35126</v>
      </c>
    </row>
    <row r="18226" spans="8:8">
      <c r="H18226" t="s">
        <v>35127</v>
      </c>
    </row>
    <row r="18227" spans="8:8">
      <c r="H18227" t="s">
        <v>35128</v>
      </c>
    </row>
    <row r="18228" spans="8:8">
      <c r="H18228" t="s">
        <v>35129</v>
      </c>
    </row>
    <row r="18229" spans="8:8">
      <c r="H18229" t="s">
        <v>35130</v>
      </c>
    </row>
    <row r="18230" spans="8:8">
      <c r="H18230" t="s">
        <v>35131</v>
      </c>
    </row>
    <row r="18231" spans="8:8">
      <c r="H18231" t="s">
        <v>35132</v>
      </c>
    </row>
    <row r="18232" spans="8:8">
      <c r="H18232" t="s">
        <v>35133</v>
      </c>
    </row>
    <row r="18233" spans="8:8">
      <c r="H18233" t="s">
        <v>35134</v>
      </c>
    </row>
    <row r="18234" spans="8:8">
      <c r="H18234" t="s">
        <v>35135</v>
      </c>
    </row>
    <row r="18235" spans="8:8">
      <c r="H18235" t="s">
        <v>35136</v>
      </c>
    </row>
    <row r="18236" spans="8:8">
      <c r="H18236" t="s">
        <v>35137</v>
      </c>
    </row>
    <row r="18237" spans="8:8">
      <c r="H18237" t="s">
        <v>35138</v>
      </c>
    </row>
    <row r="18238" spans="8:8">
      <c r="H18238" t="s">
        <v>35139</v>
      </c>
    </row>
    <row r="18239" spans="8:8">
      <c r="H18239" t="s">
        <v>35140</v>
      </c>
    </row>
    <row r="18240" spans="8:8">
      <c r="H18240" t="s">
        <v>35141</v>
      </c>
    </row>
    <row r="18241" spans="6:8">
      <c r="H18241" t="s">
        <v>35142</v>
      </c>
    </row>
    <row r="18242" spans="6:8">
      <c r="H18242" t="s">
        <v>35143</v>
      </c>
    </row>
    <row r="18243" spans="6:8">
      <c r="H18243" t="s">
        <v>35144</v>
      </c>
    </row>
    <row r="18244" spans="6:8">
      <c r="H18244" t="s">
        <v>35145</v>
      </c>
    </row>
    <row r="18245" spans="6:8">
      <c r="H18245" t="s">
        <v>35146</v>
      </c>
    </row>
    <row r="18246" spans="6:8">
      <c r="H18246" t="s">
        <v>35147</v>
      </c>
    </row>
    <row r="18247" spans="6:8">
      <c r="H18247" t="s">
        <v>35148</v>
      </c>
    </row>
    <row r="18248" spans="6:8">
      <c r="H18248" t="s">
        <v>35149</v>
      </c>
    </row>
    <row r="18249" spans="6:8">
      <c r="H18249" t="s">
        <v>35150</v>
      </c>
    </row>
    <row r="18250" spans="6:8">
      <c r="H18250" t="s">
        <v>35151</v>
      </c>
    </row>
    <row r="18251" spans="6:8">
      <c r="H18251" t="s">
        <v>35152</v>
      </c>
    </row>
    <row r="18252" spans="6:8">
      <c r="H18252" t="s">
        <v>35153</v>
      </c>
    </row>
    <row r="18253" spans="6:8">
      <c r="H18253" t="s">
        <v>35154</v>
      </c>
    </row>
    <row r="18254" spans="6:8">
      <c r="H18254" t="s">
        <v>35155</v>
      </c>
    </row>
    <row r="18255" spans="6:8">
      <c r="H18255" t="s">
        <v>35156</v>
      </c>
    </row>
    <row r="18256" spans="6:8">
      <c r="F18256" t="s">
        <v>13928</v>
      </c>
      <c r="G18256" t="s">
        <v>17964</v>
      </c>
      <c r="H18256" t="s">
        <v>35159</v>
      </c>
    </row>
    <row r="18257" spans="8:8">
      <c r="H18257" t="s">
        <v>35160</v>
      </c>
    </row>
    <row r="18258" spans="8:8">
      <c r="H18258" t="s">
        <v>35175</v>
      </c>
    </row>
    <row r="18259" spans="8:8">
      <c r="H18259" t="s">
        <v>35176</v>
      </c>
    </row>
    <row r="18260" spans="8:8">
      <c r="H18260" t="s">
        <v>35177</v>
      </c>
    </row>
    <row r="18261" spans="8:8">
      <c r="H18261" t="s">
        <v>35178</v>
      </c>
    </row>
    <row r="18262" spans="8:8">
      <c r="H18262" t="s">
        <v>35179</v>
      </c>
    </row>
    <row r="18263" spans="8:8">
      <c r="H18263" t="s">
        <v>35180</v>
      </c>
    </row>
    <row r="18264" spans="8:8">
      <c r="H18264" t="s">
        <v>35181</v>
      </c>
    </row>
    <row r="18265" spans="8:8">
      <c r="H18265" t="s">
        <v>35182</v>
      </c>
    </row>
    <row r="18266" spans="8:8">
      <c r="H18266" t="s">
        <v>35183</v>
      </c>
    </row>
    <row r="18267" spans="8:8">
      <c r="H18267" t="s">
        <v>35184</v>
      </c>
    </row>
    <row r="18268" spans="8:8">
      <c r="H18268" t="s">
        <v>35185</v>
      </c>
    </row>
    <row r="18269" spans="8:8">
      <c r="H18269" t="s">
        <v>35186</v>
      </c>
    </row>
    <row r="18270" spans="8:8">
      <c r="H18270" t="s">
        <v>35187</v>
      </c>
    </row>
    <row r="18271" spans="8:8">
      <c r="H18271" t="s">
        <v>35188</v>
      </c>
    </row>
    <row r="18272" spans="8:8">
      <c r="H18272" t="s">
        <v>35189</v>
      </c>
    </row>
    <row r="18273" spans="6:8">
      <c r="H18273" t="s">
        <v>35190</v>
      </c>
    </row>
    <row r="18274" spans="6:8">
      <c r="H18274" t="s">
        <v>35191</v>
      </c>
    </row>
    <row r="18275" spans="6:8">
      <c r="H18275" t="s">
        <v>35192</v>
      </c>
    </row>
    <row r="18276" spans="6:8">
      <c r="H18276" t="s">
        <v>35193</v>
      </c>
    </row>
    <row r="18277" spans="6:8">
      <c r="H18277" t="s">
        <v>35194</v>
      </c>
    </row>
    <row r="18278" spans="6:8">
      <c r="H18278" t="s">
        <v>35195</v>
      </c>
    </row>
    <row r="18279" spans="6:8">
      <c r="H18279" t="s">
        <v>35196</v>
      </c>
    </row>
    <row r="18280" spans="6:8">
      <c r="H18280" t="s">
        <v>35197</v>
      </c>
    </row>
    <row r="18281" spans="6:8">
      <c r="H18281" t="s">
        <v>35198</v>
      </c>
    </row>
    <row r="18282" spans="6:8">
      <c r="F18282" t="s">
        <v>12740</v>
      </c>
      <c r="G18282" t="s">
        <v>16932</v>
      </c>
      <c r="H18282" t="s">
        <v>35199</v>
      </c>
    </row>
    <row r="18283" spans="6:8">
      <c r="F18283" t="s">
        <v>10615</v>
      </c>
      <c r="G18283" t="s">
        <v>15018</v>
      </c>
      <c r="H18283" t="s">
        <v>35200</v>
      </c>
    </row>
    <row r="18284" spans="6:8">
      <c r="F18284" t="s">
        <v>10616</v>
      </c>
      <c r="G18284" t="s">
        <v>15019</v>
      </c>
      <c r="H18284" t="s">
        <v>19183</v>
      </c>
    </row>
    <row r="18285" spans="6:8">
      <c r="H18285" t="s">
        <v>19184</v>
      </c>
    </row>
    <row r="18286" spans="6:8">
      <c r="F18286" t="s">
        <v>13133</v>
      </c>
      <c r="G18286" t="s">
        <v>17291</v>
      </c>
      <c r="H18286" t="s">
        <v>35201</v>
      </c>
    </row>
    <row r="18287" spans="6:8">
      <c r="H18287" t="s">
        <v>25716</v>
      </c>
    </row>
    <row r="18288" spans="6:8">
      <c r="H18288" t="s">
        <v>28041</v>
      </c>
    </row>
    <row r="18289" spans="6:8">
      <c r="H18289" t="s">
        <v>28042</v>
      </c>
    </row>
    <row r="18290" spans="6:8">
      <c r="H18290" t="s">
        <v>35202</v>
      </c>
    </row>
    <row r="18291" spans="6:8">
      <c r="H18291" t="s">
        <v>35203</v>
      </c>
    </row>
    <row r="18292" spans="6:8">
      <c r="H18292" t="s">
        <v>35204</v>
      </c>
    </row>
    <row r="18293" spans="6:8">
      <c r="F18293" t="s">
        <v>14309</v>
      </c>
      <c r="G18293" t="s">
        <v>18266</v>
      </c>
      <c r="H18293" t="s">
        <v>35211</v>
      </c>
    </row>
    <row r="18294" spans="6:8">
      <c r="H18294" t="s">
        <v>35212</v>
      </c>
    </row>
    <row r="18295" spans="6:8">
      <c r="H18295" t="s">
        <v>35213</v>
      </c>
    </row>
    <row r="18296" spans="6:8">
      <c r="H18296" t="s">
        <v>35214</v>
      </c>
    </row>
    <row r="18297" spans="6:8">
      <c r="H18297" t="s">
        <v>35215</v>
      </c>
    </row>
    <row r="18298" spans="6:8">
      <c r="F18298" t="s">
        <v>14310</v>
      </c>
      <c r="G18298" t="s">
        <v>18267</v>
      </c>
      <c r="H18298" t="s">
        <v>35216</v>
      </c>
    </row>
    <row r="18299" spans="6:8">
      <c r="F18299" t="s">
        <v>14210</v>
      </c>
      <c r="G18299" t="s">
        <v>18186</v>
      </c>
      <c r="H18299" t="s">
        <v>35217</v>
      </c>
    </row>
    <row r="18300" spans="6:8">
      <c r="H18300" t="s">
        <v>35218</v>
      </c>
    </row>
    <row r="18301" spans="6:8">
      <c r="H18301" t="s">
        <v>35219</v>
      </c>
    </row>
    <row r="18302" spans="6:8">
      <c r="H18302" t="s">
        <v>35220</v>
      </c>
    </row>
    <row r="18303" spans="6:8">
      <c r="H18303" t="s">
        <v>35221</v>
      </c>
    </row>
    <row r="18304" spans="6:8">
      <c r="H18304" t="s">
        <v>35222</v>
      </c>
    </row>
    <row r="18305" spans="6:8">
      <c r="H18305" t="s">
        <v>35223</v>
      </c>
    </row>
    <row r="18306" spans="6:8">
      <c r="H18306" t="s">
        <v>35224</v>
      </c>
    </row>
    <row r="18307" spans="6:8">
      <c r="F18307" t="s">
        <v>10617</v>
      </c>
      <c r="G18307" t="s">
        <v>15020</v>
      </c>
      <c r="H18307" t="s">
        <v>19183</v>
      </c>
    </row>
    <row r="18308" spans="6:8">
      <c r="H18308" t="s">
        <v>19184</v>
      </c>
    </row>
    <row r="18309" spans="6:8">
      <c r="F18309" t="s">
        <v>10618</v>
      </c>
      <c r="G18309" t="s">
        <v>15021</v>
      </c>
      <c r="H18309" t="s">
        <v>19183</v>
      </c>
    </row>
    <row r="18310" spans="6:8">
      <c r="H18310" t="s">
        <v>19184</v>
      </c>
    </row>
    <row r="18311" spans="6:8">
      <c r="F18311" t="s">
        <v>13556</v>
      </c>
      <c r="G18311" t="s">
        <v>17663</v>
      </c>
      <c r="H18311" t="s">
        <v>35227</v>
      </c>
    </row>
    <row r="18312" spans="6:8">
      <c r="H18312" t="s">
        <v>35228</v>
      </c>
    </row>
    <row r="18313" spans="6:8">
      <c r="H18313" t="s">
        <v>35230</v>
      </c>
    </row>
    <row r="18314" spans="6:8">
      <c r="H18314" t="s">
        <v>35231</v>
      </c>
    </row>
    <row r="18315" spans="6:8">
      <c r="H18315" t="s">
        <v>35232</v>
      </c>
    </row>
    <row r="18316" spans="6:8">
      <c r="H18316" t="s">
        <v>35233</v>
      </c>
    </row>
    <row r="18317" spans="6:8">
      <c r="H18317" t="s">
        <v>35234</v>
      </c>
    </row>
    <row r="18318" spans="6:8">
      <c r="H18318" t="s">
        <v>35236</v>
      </c>
    </row>
    <row r="18319" spans="6:8">
      <c r="F18319" t="s">
        <v>14311</v>
      </c>
      <c r="G18319" t="s">
        <v>18268</v>
      </c>
      <c r="H18319" t="s">
        <v>35239</v>
      </c>
    </row>
    <row r="18320" spans="6:8">
      <c r="F18320" t="s">
        <v>14312</v>
      </c>
      <c r="G18320" t="s">
        <v>18269</v>
      </c>
      <c r="H18320" t="s">
        <v>35241</v>
      </c>
    </row>
    <row r="18321" spans="6:8">
      <c r="F18321" t="s">
        <v>14313</v>
      </c>
      <c r="G18321" t="s">
        <v>18270</v>
      </c>
      <c r="H18321" t="s">
        <v>18836</v>
      </c>
    </row>
    <row r="18322" spans="6:8">
      <c r="H18322" t="s">
        <v>35247</v>
      </c>
    </row>
    <row r="18323" spans="6:8">
      <c r="H18323" t="s">
        <v>35248</v>
      </c>
    </row>
    <row r="18324" spans="6:8">
      <c r="H18324" t="s">
        <v>35249</v>
      </c>
    </row>
    <row r="18325" spans="6:8">
      <c r="F18325" t="s">
        <v>10600</v>
      </c>
      <c r="G18325" t="s">
        <v>15003</v>
      </c>
      <c r="H18325" t="s">
        <v>18836</v>
      </c>
    </row>
    <row r="18326" spans="6:8">
      <c r="H18326" t="s">
        <v>35250</v>
      </c>
    </row>
    <row r="18327" spans="6:8">
      <c r="F18327" t="s">
        <v>14314</v>
      </c>
      <c r="G18327" t="s">
        <v>18271</v>
      </c>
      <c r="H18327" t="s">
        <v>35251</v>
      </c>
    </row>
    <row r="18328" spans="6:8">
      <c r="H18328" t="s">
        <v>35252</v>
      </c>
    </row>
    <row r="18329" spans="6:8">
      <c r="H18329" t="s">
        <v>35253</v>
      </c>
    </row>
    <row r="18330" spans="6:8">
      <c r="F18330" t="s">
        <v>13960</v>
      </c>
      <c r="G18330" t="s">
        <v>17986</v>
      </c>
      <c r="H18330" t="s">
        <v>35255</v>
      </c>
    </row>
    <row r="18331" spans="6:8">
      <c r="H18331" t="s">
        <v>35250</v>
      </c>
    </row>
    <row r="18332" spans="6:8">
      <c r="H18332" t="s">
        <v>35256</v>
      </c>
    </row>
    <row r="18333" spans="6:8">
      <c r="H18333" t="s">
        <v>35257</v>
      </c>
    </row>
    <row r="18334" spans="6:8">
      <c r="H18334" t="s">
        <v>35258</v>
      </c>
    </row>
    <row r="18335" spans="6:8">
      <c r="H18335" t="s">
        <v>35259</v>
      </c>
    </row>
    <row r="18336" spans="6:8">
      <c r="H18336" t="s">
        <v>35260</v>
      </c>
    </row>
    <row r="18337" spans="6:8">
      <c r="H18337" t="s">
        <v>35261</v>
      </c>
    </row>
    <row r="18338" spans="6:8">
      <c r="F18338" t="s">
        <v>14315</v>
      </c>
      <c r="G18338" t="s">
        <v>18272</v>
      </c>
      <c r="H18338" t="s">
        <v>35263</v>
      </c>
    </row>
    <row r="18339" spans="6:8">
      <c r="F18339" t="s">
        <v>10726</v>
      </c>
      <c r="G18339" t="s">
        <v>15125</v>
      </c>
      <c r="H18339" t="s">
        <v>35266</v>
      </c>
    </row>
    <row r="18340" spans="6:8">
      <c r="H18340" t="s">
        <v>35267</v>
      </c>
    </row>
    <row r="18341" spans="6:8">
      <c r="H18341" t="s">
        <v>35268</v>
      </c>
    </row>
    <row r="18342" spans="6:8">
      <c r="H18342" t="s">
        <v>35269</v>
      </c>
    </row>
    <row r="18343" spans="6:8">
      <c r="H18343" t="s">
        <v>35271</v>
      </c>
    </row>
    <row r="18344" spans="6:8">
      <c r="F18344" t="s">
        <v>11449</v>
      </c>
      <c r="G18344" t="s">
        <v>15689</v>
      </c>
      <c r="H18344" t="s">
        <v>31759</v>
      </c>
    </row>
    <row r="18345" spans="6:8">
      <c r="H18345" t="s">
        <v>35273</v>
      </c>
    </row>
    <row r="18346" spans="6:8">
      <c r="H18346" t="s">
        <v>35274</v>
      </c>
    </row>
    <row r="18347" spans="6:8">
      <c r="H18347" t="s">
        <v>35275</v>
      </c>
    </row>
    <row r="18348" spans="6:8">
      <c r="H18348" t="s">
        <v>35276</v>
      </c>
    </row>
    <row r="18349" spans="6:8">
      <c r="H18349" t="s">
        <v>35277</v>
      </c>
    </row>
    <row r="18350" spans="6:8">
      <c r="H18350" t="s">
        <v>35279</v>
      </c>
    </row>
    <row r="18351" spans="6:8">
      <c r="H18351" t="s">
        <v>35280</v>
      </c>
    </row>
    <row r="18352" spans="6:8">
      <c r="H18352" t="s">
        <v>35281</v>
      </c>
    </row>
    <row r="18353" spans="8:8">
      <c r="H18353" t="s">
        <v>35282</v>
      </c>
    </row>
    <row r="18354" spans="8:8">
      <c r="H18354" t="s">
        <v>35283</v>
      </c>
    </row>
    <row r="18355" spans="8:8">
      <c r="H18355" t="s">
        <v>35284</v>
      </c>
    </row>
    <row r="18356" spans="8:8">
      <c r="H18356" t="s">
        <v>35285</v>
      </c>
    </row>
    <row r="18357" spans="8:8">
      <c r="H18357" t="s">
        <v>35286</v>
      </c>
    </row>
    <row r="18358" spans="8:8">
      <c r="H18358" t="s">
        <v>35287</v>
      </c>
    </row>
    <row r="18359" spans="8:8">
      <c r="H18359" t="s">
        <v>35288</v>
      </c>
    </row>
    <row r="18360" spans="8:8">
      <c r="H18360" t="s">
        <v>35289</v>
      </c>
    </row>
    <row r="18361" spans="8:8">
      <c r="H18361" t="s">
        <v>35291</v>
      </c>
    </row>
    <row r="18362" spans="8:8">
      <c r="H18362" t="s">
        <v>35294</v>
      </c>
    </row>
    <row r="18363" spans="8:8">
      <c r="H18363" t="s">
        <v>35295</v>
      </c>
    </row>
    <row r="18364" spans="8:8">
      <c r="H18364" t="s">
        <v>35296</v>
      </c>
    </row>
    <row r="18365" spans="8:8">
      <c r="H18365" t="s">
        <v>35297</v>
      </c>
    </row>
    <row r="18366" spans="8:8">
      <c r="H18366" t="s">
        <v>35298</v>
      </c>
    </row>
    <row r="18367" spans="8:8">
      <c r="H18367" t="s">
        <v>35299</v>
      </c>
    </row>
    <row r="18368" spans="8:8">
      <c r="H18368" t="s">
        <v>35300</v>
      </c>
    </row>
    <row r="18369" spans="6:8">
      <c r="H18369" t="s">
        <v>35301</v>
      </c>
    </row>
    <row r="18370" spans="6:8">
      <c r="H18370" t="s">
        <v>35302</v>
      </c>
    </row>
    <row r="18371" spans="6:8">
      <c r="H18371" t="s">
        <v>35303</v>
      </c>
    </row>
    <row r="18372" spans="6:8">
      <c r="H18372" t="s">
        <v>35304</v>
      </c>
    </row>
    <row r="18373" spans="6:8">
      <c r="H18373" t="s">
        <v>35305</v>
      </c>
    </row>
    <row r="18374" spans="6:8">
      <c r="F18374" t="s">
        <v>14316</v>
      </c>
      <c r="G18374" t="s">
        <v>18273</v>
      </c>
      <c r="H18374" t="s">
        <v>35307</v>
      </c>
    </row>
    <row r="18375" spans="6:8">
      <c r="F18375" t="s">
        <v>14317</v>
      </c>
      <c r="G18375" t="s">
        <v>18274</v>
      </c>
      <c r="H18375" t="s">
        <v>35308</v>
      </c>
    </row>
    <row r="18376" spans="6:8">
      <c r="H18376" t="s">
        <v>35309</v>
      </c>
    </row>
    <row r="18377" spans="6:8">
      <c r="H18377" t="s">
        <v>35310</v>
      </c>
    </row>
    <row r="18378" spans="6:8">
      <c r="F18378" t="s">
        <v>14318</v>
      </c>
      <c r="G18378" t="s">
        <v>18275</v>
      </c>
      <c r="H18378" t="s">
        <v>35317</v>
      </c>
    </row>
    <row r="18379" spans="6:8">
      <c r="F18379" t="s">
        <v>14319</v>
      </c>
      <c r="G18379" t="s">
        <v>18276</v>
      </c>
      <c r="H18379" t="s">
        <v>18836</v>
      </c>
    </row>
    <row r="18380" spans="6:8">
      <c r="F18380" t="s">
        <v>14320</v>
      </c>
      <c r="G18380" t="s">
        <v>18277</v>
      </c>
      <c r="H18380" t="s">
        <v>30172</v>
      </c>
    </row>
    <row r="18381" spans="6:8">
      <c r="H18381" t="s">
        <v>35318</v>
      </c>
    </row>
    <row r="18382" spans="6:8">
      <c r="H18382" t="s">
        <v>35319</v>
      </c>
    </row>
    <row r="18383" spans="6:8">
      <c r="H18383" t="s">
        <v>35320</v>
      </c>
    </row>
    <row r="18384" spans="6:8">
      <c r="H18384" t="s">
        <v>35321</v>
      </c>
    </row>
    <row r="18385" spans="6:8">
      <c r="H18385" t="s">
        <v>35322</v>
      </c>
    </row>
    <row r="18386" spans="6:8">
      <c r="F18386" t="s">
        <v>14321</v>
      </c>
      <c r="G18386" t="s">
        <v>18278</v>
      </c>
      <c r="H18386" t="s">
        <v>35328</v>
      </c>
    </row>
    <row r="18387" spans="6:8">
      <c r="F18387" t="s">
        <v>14322</v>
      </c>
      <c r="G18387" t="s">
        <v>18279</v>
      </c>
      <c r="H18387" t="s">
        <v>22358</v>
      </c>
    </row>
    <row r="18388" spans="6:8">
      <c r="H18388" t="s">
        <v>35329</v>
      </c>
    </row>
    <row r="18389" spans="6:8">
      <c r="H18389" t="s">
        <v>35330</v>
      </c>
    </row>
    <row r="18390" spans="6:8">
      <c r="F18390" t="s">
        <v>14323</v>
      </c>
      <c r="G18390" t="s">
        <v>18280</v>
      </c>
      <c r="H18390" t="s">
        <v>35333</v>
      </c>
    </row>
    <row r="18391" spans="6:8">
      <c r="H18391" t="s">
        <v>29840</v>
      </c>
    </row>
    <row r="18392" spans="6:8">
      <c r="H18392" t="s">
        <v>35334</v>
      </c>
    </row>
    <row r="18393" spans="6:8">
      <c r="H18393" t="s">
        <v>35335</v>
      </c>
    </row>
    <row r="18394" spans="6:8">
      <c r="H18394" t="s">
        <v>19007</v>
      </c>
    </row>
    <row r="18395" spans="6:8">
      <c r="H18395" t="s">
        <v>35336</v>
      </c>
    </row>
    <row r="18396" spans="6:8">
      <c r="F18396" t="s">
        <v>14324</v>
      </c>
      <c r="G18396" t="s">
        <v>18281</v>
      </c>
      <c r="H18396" t="s">
        <v>35338</v>
      </c>
    </row>
    <row r="18397" spans="6:8">
      <c r="H18397" t="s">
        <v>35339</v>
      </c>
    </row>
    <row r="18398" spans="6:8">
      <c r="H18398" t="s">
        <v>35340</v>
      </c>
    </row>
    <row r="18399" spans="6:8">
      <c r="H18399" t="s">
        <v>35341</v>
      </c>
    </row>
    <row r="18400" spans="6:8">
      <c r="H18400" t="s">
        <v>35342</v>
      </c>
    </row>
    <row r="18401" spans="1:8">
      <c r="F18401" t="s">
        <v>14102</v>
      </c>
      <c r="G18401" t="s">
        <v>18095</v>
      </c>
      <c r="H18401" t="s">
        <v>35349</v>
      </c>
    </row>
    <row r="18402" spans="1:8">
      <c r="H18402" t="s">
        <v>35350</v>
      </c>
    </row>
    <row r="18403" spans="1:8">
      <c r="H18403" t="s">
        <v>35351</v>
      </c>
    </row>
    <row r="18404" spans="1:8">
      <c r="H18404" t="s">
        <v>35352</v>
      </c>
    </row>
    <row r="18405" spans="1:8">
      <c r="H18405" t="s">
        <v>35353</v>
      </c>
    </row>
    <row r="18406" spans="1:8">
      <c r="H18406" t="s">
        <v>35354</v>
      </c>
    </row>
    <row r="18407" spans="1:8">
      <c r="H18407" t="s">
        <v>35357</v>
      </c>
    </row>
    <row r="18408" spans="1:8">
      <c r="H18408" t="s">
        <v>35359</v>
      </c>
    </row>
    <row r="18409" spans="1:8">
      <c r="A18409" t="s">
        <v>3507</v>
      </c>
      <c r="B18409">
        <f>HYPERLINK("https://android.googlesource.com/platform/cts/+/1e7db08346f5634967f8328fd48a265c6d7b001b", "1e7db08346f5634967f8328fd48a265c6d7b001b")</f>
        <v>0</v>
      </c>
      <c r="C18409">
        <f>HYPERLINK("https://android.googlesource.com/platform/cts/+/ce5ac3c10780be2aab4f37342150eca46cc415d7", "ce5ac3c10780be2aab4f37342150eca46cc415d7")</f>
        <v>0</v>
      </c>
      <c r="D18409" t="s">
        <v>5577</v>
      </c>
      <c r="E18409" t="s">
        <v>9201</v>
      </c>
      <c r="F18409" t="s">
        <v>13972</v>
      </c>
      <c r="G18409" t="s">
        <v>17997</v>
      </c>
      <c r="H18409" t="s">
        <v>35364</v>
      </c>
    </row>
    <row r="18410" spans="1:8">
      <c r="H18410" t="s">
        <v>35365</v>
      </c>
    </row>
    <row r="18411" spans="1:8">
      <c r="H18411" t="s">
        <v>35366</v>
      </c>
    </row>
    <row r="18412" spans="1:8">
      <c r="H18412" t="s">
        <v>35367</v>
      </c>
    </row>
    <row r="18413" spans="1:8">
      <c r="H18413" t="s">
        <v>35368</v>
      </c>
    </row>
    <row r="18414" spans="1:8">
      <c r="A18414" t="s">
        <v>3508</v>
      </c>
      <c r="B18414">
        <f>HYPERLINK("https://android.googlesource.com/platform/cts/+/6955d33cabced75ae1992638d0c2b7d2986ff53a", "6955d33cabced75ae1992638d0c2b7d2986ff53a")</f>
        <v>0</v>
      </c>
      <c r="C18414">
        <f>HYPERLINK("https://android.googlesource.com/platform/cts/+/0d43f7e9de7b3a689ec72a2db259160540f9a4f4", "0d43f7e9de7b3a689ec72a2db259160540f9a4f4")</f>
        <v>0</v>
      </c>
      <c r="D18414" t="s">
        <v>5576</v>
      </c>
      <c r="E18414" t="s">
        <v>9202</v>
      </c>
      <c r="F18414" t="s">
        <v>13857</v>
      </c>
      <c r="G18414" t="s">
        <v>17899</v>
      </c>
      <c r="H18414" t="s">
        <v>34807</v>
      </c>
    </row>
    <row r="18415" spans="1:8">
      <c r="H18415" t="s">
        <v>34808</v>
      </c>
    </row>
    <row r="18416" spans="1:8">
      <c r="H18416" t="s">
        <v>34809</v>
      </c>
    </row>
    <row r="18417" spans="6:8">
      <c r="H18417" t="s">
        <v>34810</v>
      </c>
    </row>
    <row r="18418" spans="6:8">
      <c r="H18418" t="s">
        <v>34811</v>
      </c>
    </row>
    <row r="18419" spans="6:8">
      <c r="H18419" t="s">
        <v>34812</v>
      </c>
    </row>
    <row r="18420" spans="6:8">
      <c r="F18420" t="s">
        <v>13976</v>
      </c>
      <c r="G18420" t="s">
        <v>18001</v>
      </c>
      <c r="H18420" t="s">
        <v>34814</v>
      </c>
    </row>
    <row r="18421" spans="6:8">
      <c r="H18421" t="s">
        <v>34815</v>
      </c>
    </row>
    <row r="18422" spans="6:8">
      <c r="H18422" t="s">
        <v>34816</v>
      </c>
    </row>
    <row r="18423" spans="6:8">
      <c r="H18423" t="s">
        <v>34817</v>
      </c>
    </row>
    <row r="18424" spans="6:8">
      <c r="H18424" t="s">
        <v>34818</v>
      </c>
    </row>
    <row r="18425" spans="6:8">
      <c r="H18425" t="s">
        <v>34819</v>
      </c>
    </row>
    <row r="18426" spans="6:8">
      <c r="H18426" t="s">
        <v>34820</v>
      </c>
    </row>
    <row r="18427" spans="6:8">
      <c r="H18427" t="s">
        <v>34821</v>
      </c>
    </row>
    <row r="18428" spans="6:8">
      <c r="H18428" t="s">
        <v>34822</v>
      </c>
    </row>
    <row r="18429" spans="6:8">
      <c r="F18429" t="s">
        <v>13977</v>
      </c>
      <c r="G18429" t="s">
        <v>18002</v>
      </c>
      <c r="H18429" t="s">
        <v>33907</v>
      </c>
    </row>
    <row r="18430" spans="6:8">
      <c r="H18430" t="s">
        <v>33908</v>
      </c>
    </row>
    <row r="18431" spans="6:8">
      <c r="F18431" t="s">
        <v>12416</v>
      </c>
      <c r="G18431" t="s">
        <v>16638</v>
      </c>
      <c r="H18431" t="s">
        <v>26751</v>
      </c>
    </row>
    <row r="18432" spans="6:8">
      <c r="H18432" t="s">
        <v>34852</v>
      </c>
    </row>
    <row r="18433" spans="6:8">
      <c r="H18433" t="s">
        <v>34853</v>
      </c>
    </row>
    <row r="18434" spans="6:8">
      <c r="H18434" t="s">
        <v>34854</v>
      </c>
    </row>
    <row r="18435" spans="6:8">
      <c r="H18435" t="s">
        <v>34855</v>
      </c>
    </row>
    <row r="18436" spans="6:8">
      <c r="H18436" t="s">
        <v>34856</v>
      </c>
    </row>
    <row r="18437" spans="6:8">
      <c r="H18437" t="s">
        <v>34857</v>
      </c>
    </row>
    <row r="18438" spans="6:8">
      <c r="H18438" t="s">
        <v>34858</v>
      </c>
    </row>
    <row r="18439" spans="6:8">
      <c r="H18439" t="s">
        <v>34859</v>
      </c>
    </row>
    <row r="18440" spans="6:8">
      <c r="H18440" t="s">
        <v>34860</v>
      </c>
    </row>
    <row r="18441" spans="6:8">
      <c r="H18441" t="s">
        <v>34861</v>
      </c>
    </row>
    <row r="18442" spans="6:8">
      <c r="H18442" t="s">
        <v>34862</v>
      </c>
    </row>
    <row r="18443" spans="6:8">
      <c r="H18443" t="s">
        <v>34863</v>
      </c>
    </row>
    <row r="18444" spans="6:8">
      <c r="H18444" t="s">
        <v>34864</v>
      </c>
    </row>
    <row r="18445" spans="6:8">
      <c r="H18445" t="s">
        <v>34870</v>
      </c>
    </row>
    <row r="18446" spans="6:8">
      <c r="F18446" t="s">
        <v>14304</v>
      </c>
      <c r="G18446" t="s">
        <v>18262</v>
      </c>
      <c r="H18446" t="s">
        <v>34873</v>
      </c>
    </row>
    <row r="18447" spans="6:8">
      <c r="H18447" t="s">
        <v>34874</v>
      </c>
    </row>
    <row r="18448" spans="6:8">
      <c r="H18448" t="s">
        <v>34875</v>
      </c>
    </row>
    <row r="18449" spans="6:8">
      <c r="H18449" t="s">
        <v>31037</v>
      </c>
    </row>
    <row r="18450" spans="6:8">
      <c r="F18450" t="s">
        <v>13941</v>
      </c>
      <c r="G18450" t="s">
        <v>17972</v>
      </c>
      <c r="H18450" t="s">
        <v>32340</v>
      </c>
    </row>
    <row r="18451" spans="6:8">
      <c r="H18451" t="s">
        <v>32342</v>
      </c>
    </row>
    <row r="18452" spans="6:8">
      <c r="H18452" t="s">
        <v>32341</v>
      </c>
    </row>
    <row r="18453" spans="6:8">
      <c r="F18453" t="s">
        <v>14305</v>
      </c>
      <c r="G18453" t="s">
        <v>18005</v>
      </c>
      <c r="H18453" t="s">
        <v>34876</v>
      </c>
    </row>
    <row r="18454" spans="6:8">
      <c r="F18454" t="s">
        <v>14234</v>
      </c>
      <c r="G18454" t="s">
        <v>18204</v>
      </c>
      <c r="H18454" t="s">
        <v>34880</v>
      </c>
    </row>
    <row r="18455" spans="6:8">
      <c r="H18455" t="s">
        <v>34881</v>
      </c>
    </row>
    <row r="18456" spans="6:8">
      <c r="H18456" t="s">
        <v>34884</v>
      </c>
    </row>
    <row r="18457" spans="6:8">
      <c r="H18457" t="s">
        <v>34885</v>
      </c>
    </row>
    <row r="18458" spans="6:8">
      <c r="H18458" t="s">
        <v>34886</v>
      </c>
    </row>
    <row r="18459" spans="6:8">
      <c r="H18459" t="s">
        <v>34887</v>
      </c>
    </row>
    <row r="18460" spans="6:8">
      <c r="H18460" t="s">
        <v>34888</v>
      </c>
    </row>
    <row r="18461" spans="6:8">
      <c r="H18461" t="s">
        <v>34889</v>
      </c>
    </row>
    <row r="18462" spans="6:8">
      <c r="H18462" t="s">
        <v>34890</v>
      </c>
    </row>
    <row r="18463" spans="6:8">
      <c r="H18463" t="s">
        <v>34892</v>
      </c>
    </row>
    <row r="18464" spans="6:8">
      <c r="H18464" t="s">
        <v>34893</v>
      </c>
    </row>
    <row r="18465" spans="6:8">
      <c r="F18465" t="s">
        <v>10700</v>
      </c>
      <c r="G18465" t="s">
        <v>15100</v>
      </c>
      <c r="H18465" t="s">
        <v>34906</v>
      </c>
    </row>
    <row r="18466" spans="6:8">
      <c r="H18466" t="s">
        <v>22508</v>
      </c>
    </row>
    <row r="18467" spans="6:8">
      <c r="H18467" t="s">
        <v>34907</v>
      </c>
    </row>
    <row r="18468" spans="6:8">
      <c r="H18468" t="s">
        <v>34908</v>
      </c>
    </row>
    <row r="18469" spans="6:8">
      <c r="H18469" t="s">
        <v>34909</v>
      </c>
    </row>
    <row r="18470" spans="6:8">
      <c r="H18470" t="s">
        <v>34910</v>
      </c>
    </row>
    <row r="18471" spans="6:8">
      <c r="H18471" t="s">
        <v>34911</v>
      </c>
    </row>
    <row r="18472" spans="6:8">
      <c r="H18472" t="s">
        <v>25838</v>
      </c>
    </row>
    <row r="18473" spans="6:8">
      <c r="H18473" t="s">
        <v>34920</v>
      </c>
    </row>
    <row r="18474" spans="6:8">
      <c r="H18474" t="s">
        <v>25839</v>
      </c>
    </row>
    <row r="18475" spans="6:8">
      <c r="H18475" t="s">
        <v>27479</v>
      </c>
    </row>
    <row r="18476" spans="6:8">
      <c r="H18476" t="s">
        <v>34922</v>
      </c>
    </row>
    <row r="18477" spans="6:8">
      <c r="H18477" t="s">
        <v>34923</v>
      </c>
    </row>
    <row r="18478" spans="6:8">
      <c r="H18478" t="s">
        <v>34924</v>
      </c>
    </row>
    <row r="18479" spans="6:8">
      <c r="H18479" t="s">
        <v>34925</v>
      </c>
    </row>
    <row r="18480" spans="6:8">
      <c r="H18480" t="s">
        <v>34927</v>
      </c>
    </row>
    <row r="18481" spans="6:8">
      <c r="H18481" t="s">
        <v>34935</v>
      </c>
    </row>
    <row r="18482" spans="6:8">
      <c r="H18482" t="s">
        <v>34950</v>
      </c>
    </row>
    <row r="18483" spans="6:8">
      <c r="H18483" t="s">
        <v>34951</v>
      </c>
    </row>
    <row r="18484" spans="6:8">
      <c r="H18484" t="s">
        <v>34952</v>
      </c>
    </row>
    <row r="18485" spans="6:8">
      <c r="H18485" t="s">
        <v>34957</v>
      </c>
    </row>
    <row r="18486" spans="6:8">
      <c r="H18486" t="s">
        <v>34958</v>
      </c>
    </row>
    <row r="18487" spans="6:8">
      <c r="H18487" t="s">
        <v>34960</v>
      </c>
    </row>
    <row r="18488" spans="6:8">
      <c r="H18488" t="s">
        <v>34961</v>
      </c>
    </row>
    <row r="18489" spans="6:8">
      <c r="H18489" t="s">
        <v>34962</v>
      </c>
    </row>
    <row r="18490" spans="6:8">
      <c r="H18490" t="s">
        <v>34966</v>
      </c>
    </row>
    <row r="18491" spans="6:8">
      <c r="F18491" t="s">
        <v>14306</v>
      </c>
      <c r="G18491" t="s">
        <v>18263</v>
      </c>
      <c r="H18491" t="s">
        <v>34967</v>
      </c>
    </row>
    <row r="18492" spans="6:8">
      <c r="F18492" t="s">
        <v>13837</v>
      </c>
      <c r="G18492" t="s">
        <v>17880</v>
      </c>
      <c r="H18492" t="s">
        <v>31852</v>
      </c>
    </row>
    <row r="18493" spans="6:8">
      <c r="H18493" t="s">
        <v>34980</v>
      </c>
    </row>
    <row r="18494" spans="6:8">
      <c r="H18494" t="s">
        <v>34981</v>
      </c>
    </row>
    <row r="18495" spans="6:8">
      <c r="H18495" t="s">
        <v>34982</v>
      </c>
    </row>
    <row r="18496" spans="6:8">
      <c r="H18496" t="s">
        <v>34983</v>
      </c>
    </row>
    <row r="18497" spans="8:8">
      <c r="H18497" t="s">
        <v>34984</v>
      </c>
    </row>
    <row r="18498" spans="8:8">
      <c r="H18498" t="s">
        <v>34985</v>
      </c>
    </row>
    <row r="18499" spans="8:8">
      <c r="H18499" t="s">
        <v>34986</v>
      </c>
    </row>
    <row r="18500" spans="8:8">
      <c r="H18500" t="s">
        <v>34987</v>
      </c>
    </row>
    <row r="18501" spans="8:8">
      <c r="H18501" t="s">
        <v>34988</v>
      </c>
    </row>
    <row r="18502" spans="8:8">
      <c r="H18502" t="s">
        <v>34994</v>
      </c>
    </row>
    <row r="18503" spans="8:8">
      <c r="H18503" t="s">
        <v>34995</v>
      </c>
    </row>
    <row r="18504" spans="8:8">
      <c r="H18504" t="s">
        <v>34996</v>
      </c>
    </row>
    <row r="18505" spans="8:8">
      <c r="H18505" t="s">
        <v>35002</v>
      </c>
    </row>
    <row r="18506" spans="8:8">
      <c r="H18506" t="s">
        <v>35003</v>
      </c>
    </row>
    <row r="18507" spans="8:8">
      <c r="H18507" t="s">
        <v>35004</v>
      </c>
    </row>
    <row r="18508" spans="8:8">
      <c r="H18508" t="s">
        <v>35005</v>
      </c>
    </row>
    <row r="18509" spans="8:8">
      <c r="H18509" t="s">
        <v>35006</v>
      </c>
    </row>
    <row r="18510" spans="8:8">
      <c r="H18510" t="s">
        <v>35007</v>
      </c>
    </row>
    <row r="18511" spans="8:8">
      <c r="H18511" t="s">
        <v>35008</v>
      </c>
    </row>
    <row r="18512" spans="8:8">
      <c r="H18512" t="s">
        <v>35009</v>
      </c>
    </row>
    <row r="18513" spans="6:8">
      <c r="H18513" t="s">
        <v>35011</v>
      </c>
    </row>
    <row r="18514" spans="6:8">
      <c r="H18514" t="s">
        <v>35014</v>
      </c>
    </row>
    <row r="18515" spans="6:8">
      <c r="F18515" t="s">
        <v>12201</v>
      </c>
      <c r="G18515" t="s">
        <v>16439</v>
      </c>
      <c r="H18515" t="s">
        <v>21327</v>
      </c>
    </row>
    <row r="18516" spans="6:8">
      <c r="F18516" t="s">
        <v>14222</v>
      </c>
      <c r="G18516" t="s">
        <v>18195</v>
      </c>
      <c r="H18516" t="s">
        <v>35024</v>
      </c>
    </row>
    <row r="18517" spans="6:8">
      <c r="H18517" t="s">
        <v>35025</v>
      </c>
    </row>
    <row r="18518" spans="6:8">
      <c r="H18518" t="s">
        <v>35026</v>
      </c>
    </row>
    <row r="18519" spans="6:8">
      <c r="H18519" t="s">
        <v>35028</v>
      </c>
    </row>
    <row r="18520" spans="6:8">
      <c r="H18520" t="s">
        <v>35029</v>
      </c>
    </row>
    <row r="18521" spans="6:8">
      <c r="H18521" t="s">
        <v>35030</v>
      </c>
    </row>
    <row r="18522" spans="6:8">
      <c r="H18522" t="s">
        <v>35031</v>
      </c>
    </row>
    <row r="18523" spans="6:8">
      <c r="H18523" t="s">
        <v>35032</v>
      </c>
    </row>
    <row r="18524" spans="6:8">
      <c r="H18524" t="s">
        <v>35033</v>
      </c>
    </row>
    <row r="18525" spans="6:8">
      <c r="H18525" t="s">
        <v>35036</v>
      </c>
    </row>
    <row r="18526" spans="6:8">
      <c r="H18526" t="s">
        <v>35037</v>
      </c>
    </row>
    <row r="18527" spans="6:8">
      <c r="F18527" t="s">
        <v>14307</v>
      </c>
      <c r="G18527" t="s">
        <v>18264</v>
      </c>
      <c r="H18527" t="s">
        <v>35042</v>
      </c>
    </row>
    <row r="18528" spans="6:8">
      <c r="H18528" t="s">
        <v>35043</v>
      </c>
    </row>
    <row r="18529" spans="6:8">
      <c r="H18529" t="s">
        <v>35044</v>
      </c>
    </row>
    <row r="18530" spans="6:8">
      <c r="H18530" t="s">
        <v>35045</v>
      </c>
    </row>
    <row r="18531" spans="6:8">
      <c r="H18531" t="s">
        <v>35046</v>
      </c>
    </row>
    <row r="18532" spans="6:8">
      <c r="H18532" t="s">
        <v>35047</v>
      </c>
    </row>
    <row r="18533" spans="6:8">
      <c r="F18533" t="s">
        <v>14159</v>
      </c>
      <c r="G18533" t="s">
        <v>18145</v>
      </c>
      <c r="H18533" t="s">
        <v>18836</v>
      </c>
    </row>
    <row r="18534" spans="6:8">
      <c r="H18534" t="s">
        <v>35050</v>
      </c>
    </row>
    <row r="18535" spans="6:8">
      <c r="F18535" t="s">
        <v>14308</v>
      </c>
      <c r="G18535" t="s">
        <v>18265</v>
      </c>
      <c r="H18535" t="s">
        <v>35070</v>
      </c>
    </row>
    <row r="18536" spans="6:8">
      <c r="H18536" t="s">
        <v>35071</v>
      </c>
    </row>
    <row r="18537" spans="6:8">
      <c r="H18537" t="s">
        <v>35072</v>
      </c>
    </row>
    <row r="18538" spans="6:8">
      <c r="H18538" t="s">
        <v>35073</v>
      </c>
    </row>
    <row r="18539" spans="6:8">
      <c r="H18539" t="s">
        <v>35074</v>
      </c>
    </row>
    <row r="18540" spans="6:8">
      <c r="H18540" t="s">
        <v>35075</v>
      </c>
    </row>
    <row r="18541" spans="6:8">
      <c r="F18541" t="s">
        <v>13309</v>
      </c>
      <c r="G18541" t="s">
        <v>17442</v>
      </c>
      <c r="H18541" t="s">
        <v>29102</v>
      </c>
    </row>
    <row r="18542" spans="6:8">
      <c r="H18542" t="s">
        <v>29103</v>
      </c>
    </row>
    <row r="18543" spans="6:8">
      <c r="H18543" t="s">
        <v>35091</v>
      </c>
    </row>
    <row r="18544" spans="6:8">
      <c r="H18544" t="s">
        <v>35092</v>
      </c>
    </row>
    <row r="18545" spans="8:8">
      <c r="H18545" t="s">
        <v>35093</v>
      </c>
    </row>
    <row r="18546" spans="8:8">
      <c r="H18546" t="s">
        <v>35094</v>
      </c>
    </row>
    <row r="18547" spans="8:8">
      <c r="H18547" t="s">
        <v>35095</v>
      </c>
    </row>
    <row r="18548" spans="8:8">
      <c r="H18548" t="s">
        <v>35096</v>
      </c>
    </row>
    <row r="18549" spans="8:8">
      <c r="H18549" t="s">
        <v>35097</v>
      </c>
    </row>
    <row r="18550" spans="8:8">
      <c r="H18550" t="s">
        <v>35098</v>
      </c>
    </row>
    <row r="18551" spans="8:8">
      <c r="H18551" t="s">
        <v>35099</v>
      </c>
    </row>
    <row r="18552" spans="8:8">
      <c r="H18552" t="s">
        <v>35100</v>
      </c>
    </row>
    <row r="18553" spans="8:8">
      <c r="H18553" t="s">
        <v>35101</v>
      </c>
    </row>
    <row r="18554" spans="8:8">
      <c r="H18554" t="s">
        <v>35102</v>
      </c>
    </row>
    <row r="18555" spans="8:8">
      <c r="H18555" t="s">
        <v>35103</v>
      </c>
    </row>
    <row r="18556" spans="8:8">
      <c r="H18556" t="s">
        <v>35104</v>
      </c>
    </row>
    <row r="18557" spans="8:8">
      <c r="H18557" t="s">
        <v>35105</v>
      </c>
    </row>
    <row r="18558" spans="8:8">
      <c r="H18558" t="s">
        <v>35106</v>
      </c>
    </row>
    <row r="18559" spans="8:8">
      <c r="H18559" t="s">
        <v>35107</v>
      </c>
    </row>
    <row r="18560" spans="8:8">
      <c r="H18560" t="s">
        <v>35108</v>
      </c>
    </row>
    <row r="18561" spans="8:8">
      <c r="H18561" t="s">
        <v>35109</v>
      </c>
    </row>
    <row r="18562" spans="8:8">
      <c r="H18562" t="s">
        <v>35110</v>
      </c>
    </row>
    <row r="18563" spans="8:8">
      <c r="H18563" t="s">
        <v>35111</v>
      </c>
    </row>
    <row r="18564" spans="8:8">
      <c r="H18564" t="s">
        <v>35112</v>
      </c>
    </row>
    <row r="18565" spans="8:8">
      <c r="H18565" t="s">
        <v>35113</v>
      </c>
    </row>
    <row r="18566" spans="8:8">
      <c r="H18566" t="s">
        <v>35114</v>
      </c>
    </row>
    <row r="18567" spans="8:8">
      <c r="H18567" t="s">
        <v>35115</v>
      </c>
    </row>
    <row r="18568" spans="8:8">
      <c r="H18568" t="s">
        <v>35116</v>
      </c>
    </row>
    <row r="18569" spans="8:8">
      <c r="H18569" t="s">
        <v>35117</v>
      </c>
    </row>
    <row r="18570" spans="8:8">
      <c r="H18570" t="s">
        <v>35118</v>
      </c>
    </row>
    <row r="18571" spans="8:8">
      <c r="H18571" t="s">
        <v>35119</v>
      </c>
    </row>
    <row r="18572" spans="8:8">
      <c r="H18572" t="s">
        <v>35120</v>
      </c>
    </row>
    <row r="18573" spans="8:8">
      <c r="H18573" t="s">
        <v>35121</v>
      </c>
    </row>
    <row r="18574" spans="8:8">
      <c r="H18574" t="s">
        <v>35122</v>
      </c>
    </row>
    <row r="18575" spans="8:8">
      <c r="H18575" t="s">
        <v>35123</v>
      </c>
    </row>
    <row r="18576" spans="8:8">
      <c r="H18576" t="s">
        <v>35124</v>
      </c>
    </row>
    <row r="18577" spans="8:8">
      <c r="H18577" t="s">
        <v>35125</v>
      </c>
    </row>
    <row r="18578" spans="8:8">
      <c r="H18578" t="s">
        <v>35126</v>
      </c>
    </row>
    <row r="18579" spans="8:8">
      <c r="H18579" t="s">
        <v>35127</v>
      </c>
    </row>
    <row r="18580" spans="8:8">
      <c r="H18580" t="s">
        <v>35128</v>
      </c>
    </row>
    <row r="18581" spans="8:8">
      <c r="H18581" t="s">
        <v>35129</v>
      </c>
    </row>
    <row r="18582" spans="8:8">
      <c r="H18582" t="s">
        <v>35130</v>
      </c>
    </row>
    <row r="18583" spans="8:8">
      <c r="H18583" t="s">
        <v>35131</v>
      </c>
    </row>
    <row r="18584" spans="8:8">
      <c r="H18584" t="s">
        <v>35132</v>
      </c>
    </row>
    <row r="18585" spans="8:8">
      <c r="H18585" t="s">
        <v>35133</v>
      </c>
    </row>
    <row r="18586" spans="8:8">
      <c r="H18586" t="s">
        <v>35134</v>
      </c>
    </row>
    <row r="18587" spans="8:8">
      <c r="H18587" t="s">
        <v>35135</v>
      </c>
    </row>
    <row r="18588" spans="8:8">
      <c r="H18588" t="s">
        <v>35136</v>
      </c>
    </row>
    <row r="18589" spans="8:8">
      <c r="H18589" t="s">
        <v>35137</v>
      </c>
    </row>
    <row r="18590" spans="8:8">
      <c r="H18590" t="s">
        <v>35138</v>
      </c>
    </row>
    <row r="18591" spans="8:8">
      <c r="H18591" t="s">
        <v>35139</v>
      </c>
    </row>
    <row r="18592" spans="8:8">
      <c r="H18592" t="s">
        <v>35140</v>
      </c>
    </row>
    <row r="18593" spans="8:8">
      <c r="H18593" t="s">
        <v>35141</v>
      </c>
    </row>
    <row r="18594" spans="8:8">
      <c r="H18594" t="s">
        <v>35142</v>
      </c>
    </row>
    <row r="18595" spans="8:8">
      <c r="H18595" t="s">
        <v>35143</v>
      </c>
    </row>
    <row r="18596" spans="8:8">
      <c r="H18596" t="s">
        <v>35144</v>
      </c>
    </row>
    <row r="18597" spans="8:8">
      <c r="H18597" t="s">
        <v>35145</v>
      </c>
    </row>
    <row r="18598" spans="8:8">
      <c r="H18598" t="s">
        <v>35146</v>
      </c>
    </row>
    <row r="18599" spans="8:8">
      <c r="H18599" t="s">
        <v>35147</v>
      </c>
    </row>
    <row r="18600" spans="8:8">
      <c r="H18600" t="s">
        <v>35148</v>
      </c>
    </row>
    <row r="18601" spans="8:8">
      <c r="H18601" t="s">
        <v>35149</v>
      </c>
    </row>
    <row r="18602" spans="8:8">
      <c r="H18602" t="s">
        <v>35150</v>
      </c>
    </row>
    <row r="18603" spans="8:8">
      <c r="H18603" t="s">
        <v>35151</v>
      </c>
    </row>
    <row r="18604" spans="8:8">
      <c r="H18604" t="s">
        <v>35152</v>
      </c>
    </row>
    <row r="18605" spans="8:8">
      <c r="H18605" t="s">
        <v>35153</v>
      </c>
    </row>
    <row r="18606" spans="8:8">
      <c r="H18606" t="s">
        <v>35154</v>
      </c>
    </row>
    <row r="18607" spans="8:8">
      <c r="H18607" t="s">
        <v>35155</v>
      </c>
    </row>
    <row r="18608" spans="8:8">
      <c r="H18608" t="s">
        <v>35156</v>
      </c>
    </row>
    <row r="18609" spans="6:8">
      <c r="F18609" t="s">
        <v>13928</v>
      </c>
      <c r="G18609" t="s">
        <v>17964</v>
      </c>
      <c r="H18609" t="s">
        <v>35159</v>
      </c>
    </row>
    <row r="18610" spans="6:8">
      <c r="H18610" t="s">
        <v>35160</v>
      </c>
    </row>
    <row r="18611" spans="6:8">
      <c r="H18611" t="s">
        <v>35175</v>
      </c>
    </row>
    <row r="18612" spans="6:8">
      <c r="H18612" t="s">
        <v>35176</v>
      </c>
    </row>
    <row r="18613" spans="6:8">
      <c r="H18613" t="s">
        <v>35177</v>
      </c>
    </row>
    <row r="18614" spans="6:8">
      <c r="H18614" t="s">
        <v>35178</v>
      </c>
    </row>
    <row r="18615" spans="6:8">
      <c r="H18615" t="s">
        <v>35179</v>
      </c>
    </row>
    <row r="18616" spans="6:8">
      <c r="H18616" t="s">
        <v>35180</v>
      </c>
    </row>
    <row r="18617" spans="6:8">
      <c r="H18617" t="s">
        <v>35181</v>
      </c>
    </row>
    <row r="18618" spans="6:8">
      <c r="H18618" t="s">
        <v>35182</v>
      </c>
    </row>
    <row r="18619" spans="6:8">
      <c r="H18619" t="s">
        <v>35183</v>
      </c>
    </row>
    <row r="18620" spans="6:8">
      <c r="H18620" t="s">
        <v>35184</v>
      </c>
    </row>
    <row r="18621" spans="6:8">
      <c r="H18621" t="s">
        <v>35185</v>
      </c>
    </row>
    <row r="18622" spans="6:8">
      <c r="H18622" t="s">
        <v>35186</v>
      </c>
    </row>
    <row r="18623" spans="6:8">
      <c r="H18623" t="s">
        <v>35187</v>
      </c>
    </row>
    <row r="18624" spans="6:8">
      <c r="H18624" t="s">
        <v>35188</v>
      </c>
    </row>
    <row r="18625" spans="6:8">
      <c r="H18625" t="s">
        <v>35189</v>
      </c>
    </row>
    <row r="18626" spans="6:8">
      <c r="H18626" t="s">
        <v>35190</v>
      </c>
    </row>
    <row r="18627" spans="6:8">
      <c r="H18627" t="s">
        <v>35191</v>
      </c>
    </row>
    <row r="18628" spans="6:8">
      <c r="H18628" t="s">
        <v>35192</v>
      </c>
    </row>
    <row r="18629" spans="6:8">
      <c r="H18629" t="s">
        <v>35193</v>
      </c>
    </row>
    <row r="18630" spans="6:8">
      <c r="H18630" t="s">
        <v>35194</v>
      </c>
    </row>
    <row r="18631" spans="6:8">
      <c r="H18631" t="s">
        <v>35195</v>
      </c>
    </row>
    <row r="18632" spans="6:8">
      <c r="H18632" t="s">
        <v>35196</v>
      </c>
    </row>
    <row r="18633" spans="6:8">
      <c r="H18633" t="s">
        <v>35197</v>
      </c>
    </row>
    <row r="18634" spans="6:8">
      <c r="H18634" t="s">
        <v>35198</v>
      </c>
    </row>
    <row r="18635" spans="6:8">
      <c r="F18635" t="s">
        <v>12740</v>
      </c>
      <c r="G18635" t="s">
        <v>16932</v>
      </c>
      <c r="H18635" t="s">
        <v>35199</v>
      </c>
    </row>
    <row r="18636" spans="6:8">
      <c r="F18636" t="s">
        <v>10615</v>
      </c>
      <c r="G18636" t="s">
        <v>15018</v>
      </c>
      <c r="H18636" t="s">
        <v>35200</v>
      </c>
    </row>
    <row r="18637" spans="6:8">
      <c r="F18637" t="s">
        <v>10616</v>
      </c>
      <c r="G18637" t="s">
        <v>15019</v>
      </c>
      <c r="H18637" t="s">
        <v>19183</v>
      </c>
    </row>
    <row r="18638" spans="6:8">
      <c r="H18638" t="s">
        <v>19184</v>
      </c>
    </row>
    <row r="18639" spans="6:8">
      <c r="F18639" t="s">
        <v>13133</v>
      </c>
      <c r="G18639" t="s">
        <v>17291</v>
      </c>
      <c r="H18639" t="s">
        <v>35201</v>
      </c>
    </row>
    <row r="18640" spans="6:8">
      <c r="H18640" t="s">
        <v>25716</v>
      </c>
    </row>
    <row r="18641" spans="6:8">
      <c r="H18641" t="s">
        <v>28041</v>
      </c>
    </row>
    <row r="18642" spans="6:8">
      <c r="H18642" t="s">
        <v>28042</v>
      </c>
    </row>
    <row r="18643" spans="6:8">
      <c r="H18643" t="s">
        <v>35202</v>
      </c>
    </row>
    <row r="18644" spans="6:8">
      <c r="H18644" t="s">
        <v>35203</v>
      </c>
    </row>
    <row r="18645" spans="6:8">
      <c r="H18645" t="s">
        <v>35204</v>
      </c>
    </row>
    <row r="18646" spans="6:8">
      <c r="F18646" t="s">
        <v>14309</v>
      </c>
      <c r="G18646" t="s">
        <v>18266</v>
      </c>
      <c r="H18646" t="s">
        <v>35211</v>
      </c>
    </row>
    <row r="18647" spans="6:8">
      <c r="H18647" t="s">
        <v>35212</v>
      </c>
    </row>
    <row r="18648" spans="6:8">
      <c r="H18648" t="s">
        <v>35213</v>
      </c>
    </row>
    <row r="18649" spans="6:8">
      <c r="H18649" t="s">
        <v>35214</v>
      </c>
    </row>
    <row r="18650" spans="6:8">
      <c r="H18650" t="s">
        <v>35215</v>
      </c>
    </row>
    <row r="18651" spans="6:8">
      <c r="F18651" t="s">
        <v>14310</v>
      </c>
      <c r="G18651" t="s">
        <v>18267</v>
      </c>
      <c r="H18651" t="s">
        <v>35216</v>
      </c>
    </row>
    <row r="18652" spans="6:8">
      <c r="F18652" t="s">
        <v>14210</v>
      </c>
      <c r="G18652" t="s">
        <v>18186</v>
      </c>
      <c r="H18652" t="s">
        <v>35217</v>
      </c>
    </row>
    <row r="18653" spans="6:8">
      <c r="H18653" t="s">
        <v>35218</v>
      </c>
    </row>
    <row r="18654" spans="6:8">
      <c r="H18654" t="s">
        <v>35219</v>
      </c>
    </row>
    <row r="18655" spans="6:8">
      <c r="H18655" t="s">
        <v>35220</v>
      </c>
    </row>
    <row r="18656" spans="6:8">
      <c r="H18656" t="s">
        <v>35221</v>
      </c>
    </row>
    <row r="18657" spans="6:8">
      <c r="H18657" t="s">
        <v>35222</v>
      </c>
    </row>
    <row r="18658" spans="6:8">
      <c r="H18658" t="s">
        <v>35223</v>
      </c>
    </row>
    <row r="18659" spans="6:8">
      <c r="H18659" t="s">
        <v>35224</v>
      </c>
    </row>
    <row r="18660" spans="6:8">
      <c r="F18660" t="s">
        <v>10617</v>
      </c>
      <c r="G18660" t="s">
        <v>15020</v>
      </c>
      <c r="H18660" t="s">
        <v>19183</v>
      </c>
    </row>
    <row r="18661" spans="6:8">
      <c r="H18661" t="s">
        <v>19184</v>
      </c>
    </row>
    <row r="18662" spans="6:8">
      <c r="F18662" t="s">
        <v>10618</v>
      </c>
      <c r="G18662" t="s">
        <v>15021</v>
      </c>
      <c r="H18662" t="s">
        <v>19183</v>
      </c>
    </row>
    <row r="18663" spans="6:8">
      <c r="H18663" t="s">
        <v>19184</v>
      </c>
    </row>
    <row r="18664" spans="6:8">
      <c r="F18664" t="s">
        <v>13556</v>
      </c>
      <c r="G18664" t="s">
        <v>17663</v>
      </c>
      <c r="H18664" t="s">
        <v>35227</v>
      </c>
    </row>
    <row r="18665" spans="6:8">
      <c r="H18665" t="s">
        <v>35228</v>
      </c>
    </row>
    <row r="18666" spans="6:8">
      <c r="H18666" t="s">
        <v>35230</v>
      </c>
    </row>
    <row r="18667" spans="6:8">
      <c r="H18667" t="s">
        <v>35231</v>
      </c>
    </row>
    <row r="18668" spans="6:8">
      <c r="H18668" t="s">
        <v>35232</v>
      </c>
    </row>
    <row r="18669" spans="6:8">
      <c r="H18669" t="s">
        <v>35233</v>
      </c>
    </row>
    <row r="18670" spans="6:8">
      <c r="H18670" t="s">
        <v>35234</v>
      </c>
    </row>
    <row r="18671" spans="6:8">
      <c r="H18671" t="s">
        <v>35236</v>
      </c>
    </row>
    <row r="18672" spans="6:8">
      <c r="F18672" t="s">
        <v>14311</v>
      </c>
      <c r="G18672" t="s">
        <v>18268</v>
      </c>
      <c r="H18672" t="s">
        <v>35239</v>
      </c>
    </row>
    <row r="18673" spans="6:8">
      <c r="F18673" t="s">
        <v>14312</v>
      </c>
      <c r="G18673" t="s">
        <v>18269</v>
      </c>
      <c r="H18673" t="s">
        <v>35241</v>
      </c>
    </row>
    <row r="18674" spans="6:8">
      <c r="F18674" t="s">
        <v>14313</v>
      </c>
      <c r="G18674" t="s">
        <v>18270</v>
      </c>
      <c r="H18674" t="s">
        <v>18836</v>
      </c>
    </row>
    <row r="18675" spans="6:8">
      <c r="H18675" t="s">
        <v>35247</v>
      </c>
    </row>
    <row r="18676" spans="6:8">
      <c r="H18676" t="s">
        <v>35248</v>
      </c>
    </row>
    <row r="18677" spans="6:8">
      <c r="H18677" t="s">
        <v>35249</v>
      </c>
    </row>
    <row r="18678" spans="6:8">
      <c r="F18678" t="s">
        <v>10600</v>
      </c>
      <c r="G18678" t="s">
        <v>15003</v>
      </c>
      <c r="H18678" t="s">
        <v>18836</v>
      </c>
    </row>
    <row r="18679" spans="6:8">
      <c r="H18679" t="s">
        <v>35250</v>
      </c>
    </row>
    <row r="18680" spans="6:8">
      <c r="F18680" t="s">
        <v>14314</v>
      </c>
      <c r="G18680" t="s">
        <v>18271</v>
      </c>
      <c r="H18680" t="s">
        <v>35251</v>
      </c>
    </row>
    <row r="18681" spans="6:8">
      <c r="H18681" t="s">
        <v>35252</v>
      </c>
    </row>
    <row r="18682" spans="6:8">
      <c r="H18682" t="s">
        <v>35253</v>
      </c>
    </row>
    <row r="18683" spans="6:8">
      <c r="F18683" t="s">
        <v>13960</v>
      </c>
      <c r="G18683" t="s">
        <v>17986</v>
      </c>
      <c r="H18683" t="s">
        <v>35255</v>
      </c>
    </row>
    <row r="18684" spans="6:8">
      <c r="H18684" t="s">
        <v>35250</v>
      </c>
    </row>
    <row r="18685" spans="6:8">
      <c r="H18685" t="s">
        <v>35256</v>
      </c>
    </row>
    <row r="18686" spans="6:8">
      <c r="H18686" t="s">
        <v>35257</v>
      </c>
    </row>
    <row r="18687" spans="6:8">
      <c r="H18687" t="s">
        <v>35258</v>
      </c>
    </row>
    <row r="18688" spans="6:8">
      <c r="H18688" t="s">
        <v>35259</v>
      </c>
    </row>
    <row r="18689" spans="6:8">
      <c r="H18689" t="s">
        <v>35260</v>
      </c>
    </row>
    <row r="18690" spans="6:8">
      <c r="H18690" t="s">
        <v>35261</v>
      </c>
    </row>
    <row r="18691" spans="6:8">
      <c r="F18691" t="s">
        <v>14315</v>
      </c>
      <c r="G18691" t="s">
        <v>18272</v>
      </c>
      <c r="H18691" t="s">
        <v>35263</v>
      </c>
    </row>
    <row r="18692" spans="6:8">
      <c r="F18692" t="s">
        <v>10726</v>
      </c>
      <c r="G18692" t="s">
        <v>15125</v>
      </c>
      <c r="H18692" t="s">
        <v>35266</v>
      </c>
    </row>
    <row r="18693" spans="6:8">
      <c r="H18693" t="s">
        <v>35267</v>
      </c>
    </row>
    <row r="18694" spans="6:8">
      <c r="H18694" t="s">
        <v>35268</v>
      </c>
    </row>
    <row r="18695" spans="6:8">
      <c r="H18695" t="s">
        <v>35269</v>
      </c>
    </row>
    <row r="18696" spans="6:8">
      <c r="H18696" t="s">
        <v>35271</v>
      </c>
    </row>
    <row r="18697" spans="6:8">
      <c r="F18697" t="s">
        <v>11449</v>
      </c>
      <c r="G18697" t="s">
        <v>15689</v>
      </c>
      <c r="H18697" t="s">
        <v>31759</v>
      </c>
    </row>
    <row r="18698" spans="6:8">
      <c r="H18698" t="s">
        <v>35273</v>
      </c>
    </row>
    <row r="18699" spans="6:8">
      <c r="H18699" t="s">
        <v>35274</v>
      </c>
    </row>
    <row r="18700" spans="6:8">
      <c r="H18700" t="s">
        <v>35275</v>
      </c>
    </row>
    <row r="18701" spans="6:8">
      <c r="H18701" t="s">
        <v>35276</v>
      </c>
    </row>
    <row r="18702" spans="6:8">
      <c r="H18702" t="s">
        <v>35277</v>
      </c>
    </row>
    <row r="18703" spans="6:8">
      <c r="H18703" t="s">
        <v>35279</v>
      </c>
    </row>
    <row r="18704" spans="6:8">
      <c r="H18704" t="s">
        <v>35280</v>
      </c>
    </row>
    <row r="18705" spans="8:8">
      <c r="H18705" t="s">
        <v>35281</v>
      </c>
    </row>
    <row r="18706" spans="8:8">
      <c r="H18706" t="s">
        <v>35282</v>
      </c>
    </row>
    <row r="18707" spans="8:8">
      <c r="H18707" t="s">
        <v>35283</v>
      </c>
    </row>
    <row r="18708" spans="8:8">
      <c r="H18708" t="s">
        <v>35284</v>
      </c>
    </row>
    <row r="18709" spans="8:8">
      <c r="H18709" t="s">
        <v>35285</v>
      </c>
    </row>
    <row r="18710" spans="8:8">
      <c r="H18710" t="s">
        <v>35286</v>
      </c>
    </row>
    <row r="18711" spans="8:8">
      <c r="H18711" t="s">
        <v>35287</v>
      </c>
    </row>
    <row r="18712" spans="8:8">
      <c r="H18712" t="s">
        <v>35288</v>
      </c>
    </row>
    <row r="18713" spans="8:8">
      <c r="H18713" t="s">
        <v>35289</v>
      </c>
    </row>
    <row r="18714" spans="8:8">
      <c r="H18714" t="s">
        <v>35291</v>
      </c>
    </row>
    <row r="18715" spans="8:8">
      <c r="H18715" t="s">
        <v>35294</v>
      </c>
    </row>
    <row r="18716" spans="8:8">
      <c r="H18716" t="s">
        <v>35295</v>
      </c>
    </row>
    <row r="18717" spans="8:8">
      <c r="H18717" t="s">
        <v>35296</v>
      </c>
    </row>
    <row r="18718" spans="8:8">
      <c r="H18718" t="s">
        <v>35297</v>
      </c>
    </row>
    <row r="18719" spans="8:8">
      <c r="H18719" t="s">
        <v>35298</v>
      </c>
    </row>
    <row r="18720" spans="8:8">
      <c r="H18720" t="s">
        <v>35299</v>
      </c>
    </row>
    <row r="18721" spans="6:8">
      <c r="H18721" t="s">
        <v>35300</v>
      </c>
    </row>
    <row r="18722" spans="6:8">
      <c r="H18722" t="s">
        <v>35301</v>
      </c>
    </row>
    <row r="18723" spans="6:8">
      <c r="H18723" t="s">
        <v>35302</v>
      </c>
    </row>
    <row r="18724" spans="6:8">
      <c r="H18724" t="s">
        <v>35303</v>
      </c>
    </row>
    <row r="18725" spans="6:8">
      <c r="H18725" t="s">
        <v>35304</v>
      </c>
    </row>
    <row r="18726" spans="6:8">
      <c r="H18726" t="s">
        <v>35305</v>
      </c>
    </row>
    <row r="18727" spans="6:8">
      <c r="F18727" t="s">
        <v>14316</v>
      </c>
      <c r="G18727" t="s">
        <v>18273</v>
      </c>
      <c r="H18727" t="s">
        <v>35307</v>
      </c>
    </row>
    <row r="18728" spans="6:8">
      <c r="F18728" t="s">
        <v>14317</v>
      </c>
      <c r="G18728" t="s">
        <v>18274</v>
      </c>
      <c r="H18728" t="s">
        <v>35308</v>
      </c>
    </row>
    <row r="18729" spans="6:8">
      <c r="H18729" t="s">
        <v>35309</v>
      </c>
    </row>
    <row r="18730" spans="6:8">
      <c r="H18730" t="s">
        <v>35310</v>
      </c>
    </row>
    <row r="18731" spans="6:8">
      <c r="F18731" t="s">
        <v>14318</v>
      </c>
      <c r="G18731" t="s">
        <v>18275</v>
      </c>
      <c r="H18731" t="s">
        <v>35317</v>
      </c>
    </row>
    <row r="18732" spans="6:8">
      <c r="F18732" t="s">
        <v>14319</v>
      </c>
      <c r="G18732" t="s">
        <v>18276</v>
      </c>
      <c r="H18732" t="s">
        <v>18836</v>
      </c>
    </row>
    <row r="18733" spans="6:8">
      <c r="F18733" t="s">
        <v>14320</v>
      </c>
      <c r="G18733" t="s">
        <v>18277</v>
      </c>
      <c r="H18733" t="s">
        <v>30172</v>
      </c>
    </row>
    <row r="18734" spans="6:8">
      <c r="H18734" t="s">
        <v>35318</v>
      </c>
    </row>
    <row r="18735" spans="6:8">
      <c r="H18735" t="s">
        <v>35319</v>
      </c>
    </row>
    <row r="18736" spans="6:8">
      <c r="H18736" t="s">
        <v>35320</v>
      </c>
    </row>
    <row r="18737" spans="6:8">
      <c r="H18737" t="s">
        <v>35321</v>
      </c>
    </row>
    <row r="18738" spans="6:8">
      <c r="H18738" t="s">
        <v>35322</v>
      </c>
    </row>
    <row r="18739" spans="6:8">
      <c r="F18739" t="s">
        <v>14321</v>
      </c>
      <c r="G18739" t="s">
        <v>18278</v>
      </c>
      <c r="H18739" t="s">
        <v>35328</v>
      </c>
    </row>
    <row r="18740" spans="6:8">
      <c r="F18740" t="s">
        <v>14322</v>
      </c>
      <c r="G18740" t="s">
        <v>18279</v>
      </c>
      <c r="H18740" t="s">
        <v>22358</v>
      </c>
    </row>
    <row r="18741" spans="6:8">
      <c r="H18741" t="s">
        <v>35329</v>
      </c>
    </row>
    <row r="18742" spans="6:8">
      <c r="H18742" t="s">
        <v>35330</v>
      </c>
    </row>
    <row r="18743" spans="6:8">
      <c r="F18743" t="s">
        <v>14323</v>
      </c>
      <c r="G18743" t="s">
        <v>18280</v>
      </c>
      <c r="H18743" t="s">
        <v>35333</v>
      </c>
    </row>
    <row r="18744" spans="6:8">
      <c r="H18744" t="s">
        <v>29840</v>
      </c>
    </row>
    <row r="18745" spans="6:8">
      <c r="H18745" t="s">
        <v>35334</v>
      </c>
    </row>
    <row r="18746" spans="6:8">
      <c r="H18746" t="s">
        <v>35335</v>
      </c>
    </row>
    <row r="18747" spans="6:8">
      <c r="H18747" t="s">
        <v>19007</v>
      </c>
    </row>
    <row r="18748" spans="6:8">
      <c r="H18748" t="s">
        <v>35336</v>
      </c>
    </row>
    <row r="18749" spans="6:8">
      <c r="F18749" t="s">
        <v>14324</v>
      </c>
      <c r="G18749" t="s">
        <v>18281</v>
      </c>
      <c r="H18749" t="s">
        <v>35338</v>
      </c>
    </row>
    <row r="18750" spans="6:8">
      <c r="H18750" t="s">
        <v>35339</v>
      </c>
    </row>
    <row r="18751" spans="6:8">
      <c r="H18751" t="s">
        <v>35340</v>
      </c>
    </row>
    <row r="18752" spans="6:8">
      <c r="H18752" t="s">
        <v>35341</v>
      </c>
    </row>
    <row r="18753" spans="1:8">
      <c r="H18753" t="s">
        <v>35342</v>
      </c>
    </row>
    <row r="18754" spans="1:8">
      <c r="F18754" t="s">
        <v>14102</v>
      </c>
      <c r="G18754" t="s">
        <v>18095</v>
      </c>
      <c r="H18754" t="s">
        <v>35349</v>
      </c>
    </row>
    <row r="18755" spans="1:8">
      <c r="H18755" t="s">
        <v>35350</v>
      </c>
    </row>
    <row r="18756" spans="1:8">
      <c r="H18756" t="s">
        <v>35351</v>
      </c>
    </row>
    <row r="18757" spans="1:8">
      <c r="H18757" t="s">
        <v>35352</v>
      </c>
    </row>
    <row r="18758" spans="1:8">
      <c r="H18758" t="s">
        <v>35353</v>
      </c>
    </row>
    <row r="18759" spans="1:8">
      <c r="H18759" t="s">
        <v>35354</v>
      </c>
    </row>
    <row r="18760" spans="1:8">
      <c r="H18760" t="s">
        <v>35357</v>
      </c>
    </row>
    <row r="18761" spans="1:8">
      <c r="H18761" t="s">
        <v>35359</v>
      </c>
    </row>
    <row r="18762" spans="1:8">
      <c r="A18762" t="s">
        <v>3509</v>
      </c>
      <c r="B18762">
        <f>HYPERLINK("https://android.googlesource.com/platform/cts/+/0422ee2cb32c900b3911f40c67f9dedb3f780da6", "0422ee2cb32c900b3911f40c67f9dedb3f780da6")</f>
        <v>0</v>
      </c>
      <c r="C18762">
        <f>HYPERLINK("https://android.googlesource.com/platform/cts/+/c29ffa3e5caa87117802312775d947a642d8798c", "c29ffa3e5caa87117802312775d947a642d8798c")</f>
        <v>0</v>
      </c>
      <c r="D18762" t="s">
        <v>5576</v>
      </c>
      <c r="E18762" t="s">
        <v>9203</v>
      </c>
      <c r="F18762" t="s">
        <v>13857</v>
      </c>
      <c r="G18762" t="s">
        <v>17899</v>
      </c>
      <c r="H18762" t="s">
        <v>34807</v>
      </c>
    </row>
    <row r="18763" spans="1:8">
      <c r="H18763" t="s">
        <v>34808</v>
      </c>
    </row>
    <row r="18764" spans="1:8">
      <c r="H18764" t="s">
        <v>34809</v>
      </c>
    </row>
    <row r="18765" spans="1:8">
      <c r="H18765" t="s">
        <v>34810</v>
      </c>
    </row>
    <row r="18766" spans="1:8">
      <c r="H18766" t="s">
        <v>34811</v>
      </c>
    </row>
    <row r="18767" spans="1:8">
      <c r="H18767" t="s">
        <v>34812</v>
      </c>
    </row>
    <row r="18768" spans="1:8">
      <c r="F18768" t="s">
        <v>13976</v>
      </c>
      <c r="G18768" t="s">
        <v>18001</v>
      </c>
      <c r="H18768" t="s">
        <v>34814</v>
      </c>
    </row>
    <row r="18769" spans="6:8">
      <c r="H18769" t="s">
        <v>34815</v>
      </c>
    </row>
    <row r="18770" spans="6:8">
      <c r="H18770" t="s">
        <v>34816</v>
      </c>
    </row>
    <row r="18771" spans="6:8">
      <c r="H18771" t="s">
        <v>34817</v>
      </c>
    </row>
    <row r="18772" spans="6:8">
      <c r="H18772" t="s">
        <v>34818</v>
      </c>
    </row>
    <row r="18773" spans="6:8">
      <c r="H18773" t="s">
        <v>34819</v>
      </c>
    </row>
    <row r="18774" spans="6:8">
      <c r="H18774" t="s">
        <v>34820</v>
      </c>
    </row>
    <row r="18775" spans="6:8">
      <c r="H18775" t="s">
        <v>34821</v>
      </c>
    </row>
    <row r="18776" spans="6:8">
      <c r="H18776" t="s">
        <v>34822</v>
      </c>
    </row>
    <row r="18777" spans="6:8">
      <c r="F18777" t="s">
        <v>13977</v>
      </c>
      <c r="G18777" t="s">
        <v>18002</v>
      </c>
      <c r="H18777" t="s">
        <v>33907</v>
      </c>
    </row>
    <row r="18778" spans="6:8">
      <c r="H18778" t="s">
        <v>33908</v>
      </c>
    </row>
    <row r="18779" spans="6:8">
      <c r="F18779" t="s">
        <v>12416</v>
      </c>
      <c r="G18779" t="s">
        <v>16638</v>
      </c>
      <c r="H18779" t="s">
        <v>26751</v>
      </c>
    </row>
    <row r="18780" spans="6:8">
      <c r="H18780" t="s">
        <v>34852</v>
      </c>
    </row>
    <row r="18781" spans="6:8">
      <c r="H18781" t="s">
        <v>34853</v>
      </c>
    </row>
    <row r="18782" spans="6:8">
      <c r="H18782" t="s">
        <v>34854</v>
      </c>
    </row>
    <row r="18783" spans="6:8">
      <c r="H18783" t="s">
        <v>34855</v>
      </c>
    </row>
    <row r="18784" spans="6:8">
      <c r="H18784" t="s">
        <v>34856</v>
      </c>
    </row>
    <row r="18785" spans="6:8">
      <c r="H18785" t="s">
        <v>34857</v>
      </c>
    </row>
    <row r="18786" spans="6:8">
      <c r="H18786" t="s">
        <v>34858</v>
      </c>
    </row>
    <row r="18787" spans="6:8">
      <c r="H18787" t="s">
        <v>34859</v>
      </c>
    </row>
    <row r="18788" spans="6:8">
      <c r="H18788" t="s">
        <v>34860</v>
      </c>
    </row>
    <row r="18789" spans="6:8">
      <c r="H18789" t="s">
        <v>34861</v>
      </c>
    </row>
    <row r="18790" spans="6:8">
      <c r="H18790" t="s">
        <v>34862</v>
      </c>
    </row>
    <row r="18791" spans="6:8">
      <c r="H18791" t="s">
        <v>34863</v>
      </c>
    </row>
    <row r="18792" spans="6:8">
      <c r="H18792" t="s">
        <v>34864</v>
      </c>
    </row>
    <row r="18793" spans="6:8">
      <c r="H18793" t="s">
        <v>34870</v>
      </c>
    </row>
    <row r="18794" spans="6:8">
      <c r="F18794" t="s">
        <v>14304</v>
      </c>
      <c r="G18794" t="s">
        <v>18262</v>
      </c>
      <c r="H18794" t="s">
        <v>34873</v>
      </c>
    </row>
    <row r="18795" spans="6:8">
      <c r="H18795" t="s">
        <v>34874</v>
      </c>
    </row>
    <row r="18796" spans="6:8">
      <c r="H18796" t="s">
        <v>34875</v>
      </c>
    </row>
    <row r="18797" spans="6:8">
      <c r="H18797" t="s">
        <v>31037</v>
      </c>
    </row>
    <row r="18798" spans="6:8">
      <c r="F18798" t="s">
        <v>13941</v>
      </c>
      <c r="G18798" t="s">
        <v>17972</v>
      </c>
      <c r="H18798" t="s">
        <v>32340</v>
      </c>
    </row>
    <row r="18799" spans="6:8">
      <c r="H18799" t="s">
        <v>32342</v>
      </c>
    </row>
    <row r="18800" spans="6:8">
      <c r="H18800" t="s">
        <v>32341</v>
      </c>
    </row>
    <row r="18801" spans="6:8">
      <c r="F18801" t="s">
        <v>14305</v>
      </c>
      <c r="G18801" t="s">
        <v>18005</v>
      </c>
      <c r="H18801" t="s">
        <v>34876</v>
      </c>
    </row>
    <row r="18802" spans="6:8">
      <c r="F18802" t="s">
        <v>14234</v>
      </c>
      <c r="G18802" t="s">
        <v>18204</v>
      </c>
      <c r="H18802" t="s">
        <v>34880</v>
      </c>
    </row>
    <row r="18803" spans="6:8">
      <c r="H18803" t="s">
        <v>34881</v>
      </c>
    </row>
    <row r="18804" spans="6:8">
      <c r="H18804" t="s">
        <v>34884</v>
      </c>
    </row>
    <row r="18805" spans="6:8">
      <c r="H18805" t="s">
        <v>34885</v>
      </c>
    </row>
    <row r="18806" spans="6:8">
      <c r="H18806" t="s">
        <v>34886</v>
      </c>
    </row>
    <row r="18807" spans="6:8">
      <c r="H18807" t="s">
        <v>34887</v>
      </c>
    </row>
    <row r="18808" spans="6:8">
      <c r="H18808" t="s">
        <v>34888</v>
      </c>
    </row>
    <row r="18809" spans="6:8">
      <c r="H18809" t="s">
        <v>34889</v>
      </c>
    </row>
    <row r="18810" spans="6:8">
      <c r="H18810" t="s">
        <v>34890</v>
      </c>
    </row>
    <row r="18811" spans="6:8">
      <c r="H18811" t="s">
        <v>34892</v>
      </c>
    </row>
    <row r="18812" spans="6:8">
      <c r="H18812" t="s">
        <v>34893</v>
      </c>
    </row>
    <row r="18813" spans="6:8">
      <c r="F18813" t="s">
        <v>10700</v>
      </c>
      <c r="G18813" t="s">
        <v>15100</v>
      </c>
      <c r="H18813" t="s">
        <v>34906</v>
      </c>
    </row>
    <row r="18814" spans="6:8">
      <c r="H18814" t="s">
        <v>22508</v>
      </c>
    </row>
    <row r="18815" spans="6:8">
      <c r="H18815" t="s">
        <v>34907</v>
      </c>
    </row>
    <row r="18816" spans="6:8">
      <c r="H18816" t="s">
        <v>34908</v>
      </c>
    </row>
    <row r="18817" spans="8:8">
      <c r="H18817" t="s">
        <v>34909</v>
      </c>
    </row>
    <row r="18818" spans="8:8">
      <c r="H18818" t="s">
        <v>34910</v>
      </c>
    </row>
    <row r="18819" spans="8:8">
      <c r="H18819" t="s">
        <v>34911</v>
      </c>
    </row>
    <row r="18820" spans="8:8">
      <c r="H18820" t="s">
        <v>25838</v>
      </c>
    </row>
    <row r="18821" spans="8:8">
      <c r="H18821" t="s">
        <v>34920</v>
      </c>
    </row>
    <row r="18822" spans="8:8">
      <c r="H18822" t="s">
        <v>25839</v>
      </c>
    </row>
    <row r="18823" spans="8:8">
      <c r="H18823" t="s">
        <v>27479</v>
      </c>
    </row>
    <row r="18824" spans="8:8">
      <c r="H18824" t="s">
        <v>34922</v>
      </c>
    </row>
    <row r="18825" spans="8:8">
      <c r="H18825" t="s">
        <v>34923</v>
      </c>
    </row>
    <row r="18826" spans="8:8">
      <c r="H18826" t="s">
        <v>34924</v>
      </c>
    </row>
    <row r="18827" spans="8:8">
      <c r="H18827" t="s">
        <v>34925</v>
      </c>
    </row>
    <row r="18828" spans="8:8">
      <c r="H18828" t="s">
        <v>34927</v>
      </c>
    </row>
    <row r="18829" spans="8:8">
      <c r="H18829" t="s">
        <v>34935</v>
      </c>
    </row>
    <row r="18830" spans="8:8">
      <c r="H18830" t="s">
        <v>34950</v>
      </c>
    </row>
    <row r="18831" spans="8:8">
      <c r="H18831" t="s">
        <v>34951</v>
      </c>
    </row>
    <row r="18832" spans="8:8">
      <c r="H18832" t="s">
        <v>34952</v>
      </c>
    </row>
    <row r="18833" spans="6:8">
      <c r="H18833" t="s">
        <v>34957</v>
      </c>
    </row>
    <row r="18834" spans="6:8">
      <c r="H18834" t="s">
        <v>34958</v>
      </c>
    </row>
    <row r="18835" spans="6:8">
      <c r="H18835" t="s">
        <v>34960</v>
      </c>
    </row>
    <row r="18836" spans="6:8">
      <c r="H18836" t="s">
        <v>34961</v>
      </c>
    </row>
    <row r="18837" spans="6:8">
      <c r="H18837" t="s">
        <v>34962</v>
      </c>
    </row>
    <row r="18838" spans="6:8">
      <c r="H18838" t="s">
        <v>34966</v>
      </c>
    </row>
    <row r="18839" spans="6:8">
      <c r="F18839" t="s">
        <v>14306</v>
      </c>
      <c r="G18839" t="s">
        <v>18263</v>
      </c>
      <c r="H18839" t="s">
        <v>34967</v>
      </c>
    </row>
    <row r="18840" spans="6:8">
      <c r="F18840" t="s">
        <v>13837</v>
      </c>
      <c r="G18840" t="s">
        <v>17880</v>
      </c>
      <c r="H18840" t="s">
        <v>31852</v>
      </c>
    </row>
    <row r="18841" spans="6:8">
      <c r="H18841" t="s">
        <v>34980</v>
      </c>
    </row>
    <row r="18842" spans="6:8">
      <c r="H18842" t="s">
        <v>34981</v>
      </c>
    </row>
    <row r="18843" spans="6:8">
      <c r="H18843" t="s">
        <v>34982</v>
      </c>
    </row>
    <row r="18844" spans="6:8">
      <c r="H18844" t="s">
        <v>34983</v>
      </c>
    </row>
    <row r="18845" spans="6:8">
      <c r="H18845" t="s">
        <v>34984</v>
      </c>
    </row>
    <row r="18846" spans="6:8">
      <c r="H18846" t="s">
        <v>34985</v>
      </c>
    </row>
    <row r="18847" spans="6:8">
      <c r="H18847" t="s">
        <v>34986</v>
      </c>
    </row>
    <row r="18848" spans="6:8">
      <c r="H18848" t="s">
        <v>34987</v>
      </c>
    </row>
    <row r="18849" spans="6:8">
      <c r="H18849" t="s">
        <v>34988</v>
      </c>
    </row>
    <row r="18850" spans="6:8">
      <c r="H18850" t="s">
        <v>34994</v>
      </c>
    </row>
    <row r="18851" spans="6:8">
      <c r="H18851" t="s">
        <v>34995</v>
      </c>
    </row>
    <row r="18852" spans="6:8">
      <c r="H18852" t="s">
        <v>34996</v>
      </c>
    </row>
    <row r="18853" spans="6:8">
      <c r="H18853" t="s">
        <v>35002</v>
      </c>
    </row>
    <row r="18854" spans="6:8">
      <c r="H18854" t="s">
        <v>35003</v>
      </c>
    </row>
    <row r="18855" spans="6:8">
      <c r="H18855" t="s">
        <v>35004</v>
      </c>
    </row>
    <row r="18856" spans="6:8">
      <c r="H18856" t="s">
        <v>35005</v>
      </c>
    </row>
    <row r="18857" spans="6:8">
      <c r="H18857" t="s">
        <v>35006</v>
      </c>
    </row>
    <row r="18858" spans="6:8">
      <c r="H18858" t="s">
        <v>35007</v>
      </c>
    </row>
    <row r="18859" spans="6:8">
      <c r="H18859" t="s">
        <v>35008</v>
      </c>
    </row>
    <row r="18860" spans="6:8">
      <c r="H18860" t="s">
        <v>35009</v>
      </c>
    </row>
    <row r="18861" spans="6:8">
      <c r="H18861" t="s">
        <v>35011</v>
      </c>
    </row>
    <row r="18862" spans="6:8">
      <c r="H18862" t="s">
        <v>35014</v>
      </c>
    </row>
    <row r="18863" spans="6:8">
      <c r="F18863" t="s">
        <v>12201</v>
      </c>
      <c r="G18863" t="s">
        <v>16439</v>
      </c>
      <c r="H18863" t="s">
        <v>21327</v>
      </c>
    </row>
    <row r="18864" spans="6:8">
      <c r="F18864" t="s">
        <v>14222</v>
      </c>
      <c r="G18864" t="s">
        <v>18195</v>
      </c>
      <c r="H18864" t="s">
        <v>35024</v>
      </c>
    </row>
    <row r="18865" spans="6:8">
      <c r="H18865" t="s">
        <v>35025</v>
      </c>
    </row>
    <row r="18866" spans="6:8">
      <c r="H18866" t="s">
        <v>35026</v>
      </c>
    </row>
    <row r="18867" spans="6:8">
      <c r="H18867" t="s">
        <v>35028</v>
      </c>
    </row>
    <row r="18868" spans="6:8">
      <c r="H18868" t="s">
        <v>35029</v>
      </c>
    </row>
    <row r="18869" spans="6:8">
      <c r="H18869" t="s">
        <v>35030</v>
      </c>
    </row>
    <row r="18870" spans="6:8">
      <c r="H18870" t="s">
        <v>35031</v>
      </c>
    </row>
    <row r="18871" spans="6:8">
      <c r="H18871" t="s">
        <v>35032</v>
      </c>
    </row>
    <row r="18872" spans="6:8">
      <c r="H18872" t="s">
        <v>35033</v>
      </c>
    </row>
    <row r="18873" spans="6:8">
      <c r="H18873" t="s">
        <v>35036</v>
      </c>
    </row>
    <row r="18874" spans="6:8">
      <c r="H18874" t="s">
        <v>35037</v>
      </c>
    </row>
    <row r="18875" spans="6:8">
      <c r="F18875" t="s">
        <v>14307</v>
      </c>
      <c r="G18875" t="s">
        <v>18264</v>
      </c>
      <c r="H18875" t="s">
        <v>35042</v>
      </c>
    </row>
    <row r="18876" spans="6:8">
      <c r="H18876" t="s">
        <v>35043</v>
      </c>
    </row>
    <row r="18877" spans="6:8">
      <c r="H18877" t="s">
        <v>35044</v>
      </c>
    </row>
    <row r="18878" spans="6:8">
      <c r="H18878" t="s">
        <v>35045</v>
      </c>
    </row>
    <row r="18879" spans="6:8">
      <c r="H18879" t="s">
        <v>35046</v>
      </c>
    </row>
    <row r="18880" spans="6:8">
      <c r="H18880" t="s">
        <v>35047</v>
      </c>
    </row>
    <row r="18881" spans="6:8">
      <c r="F18881" t="s">
        <v>14159</v>
      </c>
      <c r="G18881" t="s">
        <v>18145</v>
      </c>
      <c r="H18881" t="s">
        <v>18836</v>
      </c>
    </row>
    <row r="18882" spans="6:8">
      <c r="H18882" t="s">
        <v>35050</v>
      </c>
    </row>
    <row r="18883" spans="6:8">
      <c r="F18883" t="s">
        <v>14308</v>
      </c>
      <c r="G18883" t="s">
        <v>18265</v>
      </c>
      <c r="H18883" t="s">
        <v>35070</v>
      </c>
    </row>
    <row r="18884" spans="6:8">
      <c r="H18884" t="s">
        <v>35071</v>
      </c>
    </row>
    <row r="18885" spans="6:8">
      <c r="H18885" t="s">
        <v>35072</v>
      </c>
    </row>
    <row r="18886" spans="6:8">
      <c r="H18886" t="s">
        <v>35073</v>
      </c>
    </row>
    <row r="18887" spans="6:8">
      <c r="H18887" t="s">
        <v>35074</v>
      </c>
    </row>
    <row r="18888" spans="6:8">
      <c r="H18888" t="s">
        <v>35075</v>
      </c>
    </row>
    <row r="18889" spans="6:8">
      <c r="F18889" t="s">
        <v>13309</v>
      </c>
      <c r="G18889" t="s">
        <v>17442</v>
      </c>
      <c r="H18889" t="s">
        <v>29102</v>
      </c>
    </row>
    <row r="18890" spans="6:8">
      <c r="H18890" t="s">
        <v>29103</v>
      </c>
    </row>
    <row r="18891" spans="6:8">
      <c r="H18891" t="s">
        <v>35091</v>
      </c>
    </row>
    <row r="18892" spans="6:8">
      <c r="H18892" t="s">
        <v>35092</v>
      </c>
    </row>
    <row r="18893" spans="6:8">
      <c r="H18893" t="s">
        <v>35093</v>
      </c>
    </row>
    <row r="18894" spans="6:8">
      <c r="H18894" t="s">
        <v>35094</v>
      </c>
    </row>
    <row r="18895" spans="6:8">
      <c r="H18895" t="s">
        <v>35095</v>
      </c>
    </row>
    <row r="18896" spans="6:8">
      <c r="H18896" t="s">
        <v>35096</v>
      </c>
    </row>
    <row r="18897" spans="8:8">
      <c r="H18897" t="s">
        <v>35097</v>
      </c>
    </row>
    <row r="18898" spans="8:8">
      <c r="H18898" t="s">
        <v>35098</v>
      </c>
    </row>
    <row r="18899" spans="8:8">
      <c r="H18899" t="s">
        <v>35099</v>
      </c>
    </row>
    <row r="18900" spans="8:8">
      <c r="H18900" t="s">
        <v>35100</v>
      </c>
    </row>
    <row r="18901" spans="8:8">
      <c r="H18901" t="s">
        <v>35101</v>
      </c>
    </row>
    <row r="18902" spans="8:8">
      <c r="H18902" t="s">
        <v>35102</v>
      </c>
    </row>
    <row r="18903" spans="8:8">
      <c r="H18903" t="s">
        <v>35103</v>
      </c>
    </row>
    <row r="18904" spans="8:8">
      <c r="H18904" t="s">
        <v>35104</v>
      </c>
    </row>
    <row r="18905" spans="8:8">
      <c r="H18905" t="s">
        <v>35105</v>
      </c>
    </row>
    <row r="18906" spans="8:8">
      <c r="H18906" t="s">
        <v>35106</v>
      </c>
    </row>
    <row r="18907" spans="8:8">
      <c r="H18907" t="s">
        <v>35107</v>
      </c>
    </row>
    <row r="18908" spans="8:8">
      <c r="H18908" t="s">
        <v>35108</v>
      </c>
    </row>
    <row r="18909" spans="8:8">
      <c r="H18909" t="s">
        <v>35109</v>
      </c>
    </row>
    <row r="18910" spans="8:8">
      <c r="H18910" t="s">
        <v>35110</v>
      </c>
    </row>
    <row r="18911" spans="8:8">
      <c r="H18911" t="s">
        <v>35111</v>
      </c>
    </row>
    <row r="18912" spans="8:8">
      <c r="H18912" t="s">
        <v>35112</v>
      </c>
    </row>
    <row r="18913" spans="8:8">
      <c r="H18913" t="s">
        <v>35113</v>
      </c>
    </row>
    <row r="18914" spans="8:8">
      <c r="H18914" t="s">
        <v>35114</v>
      </c>
    </row>
    <row r="18915" spans="8:8">
      <c r="H18915" t="s">
        <v>35115</v>
      </c>
    </row>
    <row r="18916" spans="8:8">
      <c r="H18916" t="s">
        <v>35116</v>
      </c>
    </row>
    <row r="18917" spans="8:8">
      <c r="H18917" t="s">
        <v>35117</v>
      </c>
    </row>
    <row r="18918" spans="8:8">
      <c r="H18918" t="s">
        <v>35118</v>
      </c>
    </row>
    <row r="18919" spans="8:8">
      <c r="H18919" t="s">
        <v>35119</v>
      </c>
    </row>
    <row r="18920" spans="8:8">
      <c r="H18920" t="s">
        <v>35120</v>
      </c>
    </row>
    <row r="18921" spans="8:8">
      <c r="H18921" t="s">
        <v>35121</v>
      </c>
    </row>
    <row r="18922" spans="8:8">
      <c r="H18922" t="s">
        <v>35122</v>
      </c>
    </row>
    <row r="18923" spans="8:8">
      <c r="H18923" t="s">
        <v>35123</v>
      </c>
    </row>
    <row r="18924" spans="8:8">
      <c r="H18924" t="s">
        <v>35124</v>
      </c>
    </row>
    <row r="18925" spans="8:8">
      <c r="H18925" t="s">
        <v>35125</v>
      </c>
    </row>
    <row r="18926" spans="8:8">
      <c r="H18926" t="s">
        <v>35126</v>
      </c>
    </row>
    <row r="18927" spans="8:8">
      <c r="H18927" t="s">
        <v>35127</v>
      </c>
    </row>
    <row r="18928" spans="8:8">
      <c r="H18928" t="s">
        <v>35128</v>
      </c>
    </row>
    <row r="18929" spans="8:8">
      <c r="H18929" t="s">
        <v>35129</v>
      </c>
    </row>
    <row r="18930" spans="8:8">
      <c r="H18930" t="s">
        <v>35130</v>
      </c>
    </row>
    <row r="18931" spans="8:8">
      <c r="H18931" t="s">
        <v>35131</v>
      </c>
    </row>
    <row r="18932" spans="8:8">
      <c r="H18932" t="s">
        <v>35132</v>
      </c>
    </row>
    <row r="18933" spans="8:8">
      <c r="H18933" t="s">
        <v>35133</v>
      </c>
    </row>
    <row r="18934" spans="8:8">
      <c r="H18934" t="s">
        <v>35134</v>
      </c>
    </row>
    <row r="18935" spans="8:8">
      <c r="H18935" t="s">
        <v>35135</v>
      </c>
    </row>
    <row r="18936" spans="8:8">
      <c r="H18936" t="s">
        <v>35136</v>
      </c>
    </row>
    <row r="18937" spans="8:8">
      <c r="H18937" t="s">
        <v>35137</v>
      </c>
    </row>
    <row r="18938" spans="8:8">
      <c r="H18938" t="s">
        <v>35138</v>
      </c>
    </row>
    <row r="18939" spans="8:8">
      <c r="H18939" t="s">
        <v>35139</v>
      </c>
    </row>
    <row r="18940" spans="8:8">
      <c r="H18940" t="s">
        <v>35140</v>
      </c>
    </row>
    <row r="18941" spans="8:8">
      <c r="H18941" t="s">
        <v>35141</v>
      </c>
    </row>
    <row r="18942" spans="8:8">
      <c r="H18942" t="s">
        <v>35142</v>
      </c>
    </row>
    <row r="18943" spans="8:8">
      <c r="H18943" t="s">
        <v>35143</v>
      </c>
    </row>
    <row r="18944" spans="8:8">
      <c r="H18944" t="s">
        <v>35144</v>
      </c>
    </row>
    <row r="18945" spans="6:8">
      <c r="H18945" t="s">
        <v>35145</v>
      </c>
    </row>
    <row r="18946" spans="6:8">
      <c r="H18946" t="s">
        <v>35146</v>
      </c>
    </row>
    <row r="18947" spans="6:8">
      <c r="H18947" t="s">
        <v>35147</v>
      </c>
    </row>
    <row r="18948" spans="6:8">
      <c r="H18948" t="s">
        <v>35148</v>
      </c>
    </row>
    <row r="18949" spans="6:8">
      <c r="H18949" t="s">
        <v>35149</v>
      </c>
    </row>
    <row r="18950" spans="6:8">
      <c r="H18950" t="s">
        <v>35150</v>
      </c>
    </row>
    <row r="18951" spans="6:8">
      <c r="H18951" t="s">
        <v>35151</v>
      </c>
    </row>
    <row r="18952" spans="6:8">
      <c r="H18952" t="s">
        <v>35152</v>
      </c>
    </row>
    <row r="18953" spans="6:8">
      <c r="H18953" t="s">
        <v>35153</v>
      </c>
    </row>
    <row r="18954" spans="6:8">
      <c r="H18954" t="s">
        <v>35154</v>
      </c>
    </row>
    <row r="18955" spans="6:8">
      <c r="H18955" t="s">
        <v>35155</v>
      </c>
    </row>
    <row r="18956" spans="6:8">
      <c r="H18956" t="s">
        <v>35156</v>
      </c>
    </row>
    <row r="18957" spans="6:8">
      <c r="F18957" t="s">
        <v>13928</v>
      </c>
      <c r="G18957" t="s">
        <v>17964</v>
      </c>
      <c r="H18957" t="s">
        <v>35159</v>
      </c>
    </row>
    <row r="18958" spans="6:8">
      <c r="H18958" t="s">
        <v>35160</v>
      </c>
    </row>
    <row r="18959" spans="6:8">
      <c r="H18959" t="s">
        <v>35175</v>
      </c>
    </row>
    <row r="18960" spans="6:8">
      <c r="H18960" t="s">
        <v>35176</v>
      </c>
    </row>
    <row r="18961" spans="8:8">
      <c r="H18961" t="s">
        <v>35177</v>
      </c>
    </row>
    <row r="18962" spans="8:8">
      <c r="H18962" t="s">
        <v>35178</v>
      </c>
    </row>
    <row r="18963" spans="8:8">
      <c r="H18963" t="s">
        <v>35179</v>
      </c>
    </row>
    <row r="18964" spans="8:8">
      <c r="H18964" t="s">
        <v>35180</v>
      </c>
    </row>
    <row r="18965" spans="8:8">
      <c r="H18965" t="s">
        <v>35181</v>
      </c>
    </row>
    <row r="18966" spans="8:8">
      <c r="H18966" t="s">
        <v>35182</v>
      </c>
    </row>
    <row r="18967" spans="8:8">
      <c r="H18967" t="s">
        <v>35183</v>
      </c>
    </row>
    <row r="18968" spans="8:8">
      <c r="H18968" t="s">
        <v>35184</v>
      </c>
    </row>
    <row r="18969" spans="8:8">
      <c r="H18969" t="s">
        <v>35185</v>
      </c>
    </row>
    <row r="18970" spans="8:8">
      <c r="H18970" t="s">
        <v>35186</v>
      </c>
    </row>
    <row r="18971" spans="8:8">
      <c r="H18971" t="s">
        <v>35187</v>
      </c>
    </row>
    <row r="18972" spans="8:8">
      <c r="H18972" t="s">
        <v>35188</v>
      </c>
    </row>
    <row r="18973" spans="8:8">
      <c r="H18973" t="s">
        <v>35189</v>
      </c>
    </row>
    <row r="18974" spans="8:8">
      <c r="H18974" t="s">
        <v>35190</v>
      </c>
    </row>
    <row r="18975" spans="8:8">
      <c r="H18975" t="s">
        <v>35191</v>
      </c>
    </row>
    <row r="18976" spans="8:8">
      <c r="H18976" t="s">
        <v>35192</v>
      </c>
    </row>
    <row r="18977" spans="6:8">
      <c r="H18977" t="s">
        <v>35193</v>
      </c>
    </row>
    <row r="18978" spans="6:8">
      <c r="H18978" t="s">
        <v>35194</v>
      </c>
    </row>
    <row r="18979" spans="6:8">
      <c r="H18979" t="s">
        <v>35195</v>
      </c>
    </row>
    <row r="18980" spans="6:8">
      <c r="H18980" t="s">
        <v>35196</v>
      </c>
    </row>
    <row r="18981" spans="6:8">
      <c r="H18981" t="s">
        <v>35197</v>
      </c>
    </row>
    <row r="18982" spans="6:8">
      <c r="H18982" t="s">
        <v>35198</v>
      </c>
    </row>
    <row r="18983" spans="6:8">
      <c r="F18983" t="s">
        <v>12740</v>
      </c>
      <c r="G18983" t="s">
        <v>16932</v>
      </c>
      <c r="H18983" t="s">
        <v>35199</v>
      </c>
    </row>
    <row r="18984" spans="6:8">
      <c r="F18984" t="s">
        <v>10615</v>
      </c>
      <c r="G18984" t="s">
        <v>15018</v>
      </c>
      <c r="H18984" t="s">
        <v>35200</v>
      </c>
    </row>
    <row r="18985" spans="6:8">
      <c r="F18985" t="s">
        <v>10616</v>
      </c>
      <c r="G18985" t="s">
        <v>15019</v>
      </c>
      <c r="H18985" t="s">
        <v>19183</v>
      </c>
    </row>
    <row r="18986" spans="6:8">
      <c r="H18986" t="s">
        <v>19184</v>
      </c>
    </row>
    <row r="18987" spans="6:8">
      <c r="F18987" t="s">
        <v>13133</v>
      </c>
      <c r="G18987" t="s">
        <v>17291</v>
      </c>
      <c r="H18987" t="s">
        <v>35201</v>
      </c>
    </row>
    <row r="18988" spans="6:8">
      <c r="H18988" t="s">
        <v>25716</v>
      </c>
    </row>
    <row r="18989" spans="6:8">
      <c r="H18989" t="s">
        <v>28041</v>
      </c>
    </row>
    <row r="18990" spans="6:8">
      <c r="H18990" t="s">
        <v>28042</v>
      </c>
    </row>
    <row r="18991" spans="6:8">
      <c r="H18991" t="s">
        <v>35202</v>
      </c>
    </row>
    <row r="18992" spans="6:8">
      <c r="H18992" t="s">
        <v>35203</v>
      </c>
    </row>
    <row r="18993" spans="6:8">
      <c r="H18993" t="s">
        <v>35204</v>
      </c>
    </row>
    <row r="18994" spans="6:8">
      <c r="F18994" t="s">
        <v>14309</v>
      </c>
      <c r="G18994" t="s">
        <v>18266</v>
      </c>
      <c r="H18994" t="s">
        <v>35211</v>
      </c>
    </row>
    <row r="18995" spans="6:8">
      <c r="H18995" t="s">
        <v>35212</v>
      </c>
    </row>
    <row r="18996" spans="6:8">
      <c r="H18996" t="s">
        <v>35213</v>
      </c>
    </row>
    <row r="18997" spans="6:8">
      <c r="H18997" t="s">
        <v>35214</v>
      </c>
    </row>
    <row r="18998" spans="6:8">
      <c r="H18998" t="s">
        <v>35215</v>
      </c>
    </row>
    <row r="18999" spans="6:8">
      <c r="F18999" t="s">
        <v>14310</v>
      </c>
      <c r="G18999" t="s">
        <v>18267</v>
      </c>
      <c r="H18999" t="s">
        <v>35216</v>
      </c>
    </row>
    <row r="19000" spans="6:8">
      <c r="F19000" t="s">
        <v>14210</v>
      </c>
      <c r="G19000" t="s">
        <v>18186</v>
      </c>
      <c r="H19000" t="s">
        <v>35217</v>
      </c>
    </row>
    <row r="19001" spans="6:8">
      <c r="H19001" t="s">
        <v>35218</v>
      </c>
    </row>
    <row r="19002" spans="6:8">
      <c r="H19002" t="s">
        <v>35219</v>
      </c>
    </row>
    <row r="19003" spans="6:8">
      <c r="H19003" t="s">
        <v>35220</v>
      </c>
    </row>
    <row r="19004" spans="6:8">
      <c r="H19004" t="s">
        <v>35221</v>
      </c>
    </row>
    <row r="19005" spans="6:8">
      <c r="H19005" t="s">
        <v>35222</v>
      </c>
    </row>
    <row r="19006" spans="6:8">
      <c r="H19006" t="s">
        <v>35223</v>
      </c>
    </row>
    <row r="19007" spans="6:8">
      <c r="H19007" t="s">
        <v>35224</v>
      </c>
    </row>
    <row r="19008" spans="6:8">
      <c r="F19008" t="s">
        <v>10617</v>
      </c>
      <c r="G19008" t="s">
        <v>15020</v>
      </c>
      <c r="H19008" t="s">
        <v>19183</v>
      </c>
    </row>
    <row r="19009" spans="6:8">
      <c r="H19009" t="s">
        <v>19184</v>
      </c>
    </row>
    <row r="19010" spans="6:8">
      <c r="F19010" t="s">
        <v>10618</v>
      </c>
      <c r="G19010" t="s">
        <v>15021</v>
      </c>
      <c r="H19010" t="s">
        <v>19183</v>
      </c>
    </row>
    <row r="19011" spans="6:8">
      <c r="H19011" t="s">
        <v>19184</v>
      </c>
    </row>
    <row r="19012" spans="6:8">
      <c r="F19012" t="s">
        <v>13556</v>
      </c>
      <c r="G19012" t="s">
        <v>17663</v>
      </c>
      <c r="H19012" t="s">
        <v>35227</v>
      </c>
    </row>
    <row r="19013" spans="6:8">
      <c r="H19013" t="s">
        <v>35228</v>
      </c>
    </row>
    <row r="19014" spans="6:8">
      <c r="H19014" t="s">
        <v>35230</v>
      </c>
    </row>
    <row r="19015" spans="6:8">
      <c r="H19015" t="s">
        <v>35231</v>
      </c>
    </row>
    <row r="19016" spans="6:8">
      <c r="H19016" t="s">
        <v>35232</v>
      </c>
    </row>
    <row r="19017" spans="6:8">
      <c r="H19017" t="s">
        <v>35233</v>
      </c>
    </row>
    <row r="19018" spans="6:8">
      <c r="H19018" t="s">
        <v>35234</v>
      </c>
    </row>
    <row r="19019" spans="6:8">
      <c r="H19019" t="s">
        <v>35236</v>
      </c>
    </row>
    <row r="19020" spans="6:8">
      <c r="F19020" t="s">
        <v>14311</v>
      </c>
      <c r="G19020" t="s">
        <v>18268</v>
      </c>
      <c r="H19020" t="s">
        <v>35239</v>
      </c>
    </row>
    <row r="19021" spans="6:8">
      <c r="F19021" t="s">
        <v>14312</v>
      </c>
      <c r="G19021" t="s">
        <v>18269</v>
      </c>
      <c r="H19021" t="s">
        <v>35241</v>
      </c>
    </row>
    <row r="19022" spans="6:8">
      <c r="F19022" t="s">
        <v>14313</v>
      </c>
      <c r="G19022" t="s">
        <v>18270</v>
      </c>
      <c r="H19022" t="s">
        <v>18836</v>
      </c>
    </row>
    <row r="19023" spans="6:8">
      <c r="H19023" t="s">
        <v>35247</v>
      </c>
    </row>
    <row r="19024" spans="6:8">
      <c r="H19024" t="s">
        <v>35248</v>
      </c>
    </row>
    <row r="19025" spans="6:8">
      <c r="H19025" t="s">
        <v>35249</v>
      </c>
    </row>
    <row r="19026" spans="6:8">
      <c r="F19026" t="s">
        <v>10600</v>
      </c>
      <c r="G19026" t="s">
        <v>15003</v>
      </c>
      <c r="H19026" t="s">
        <v>18836</v>
      </c>
    </row>
    <row r="19027" spans="6:8">
      <c r="H19027" t="s">
        <v>35250</v>
      </c>
    </row>
    <row r="19028" spans="6:8">
      <c r="F19028" t="s">
        <v>14314</v>
      </c>
      <c r="G19028" t="s">
        <v>18271</v>
      </c>
      <c r="H19028" t="s">
        <v>35251</v>
      </c>
    </row>
    <row r="19029" spans="6:8">
      <c r="H19029" t="s">
        <v>35252</v>
      </c>
    </row>
    <row r="19030" spans="6:8">
      <c r="H19030" t="s">
        <v>35253</v>
      </c>
    </row>
    <row r="19031" spans="6:8">
      <c r="F19031" t="s">
        <v>13960</v>
      </c>
      <c r="G19031" t="s">
        <v>17986</v>
      </c>
      <c r="H19031" t="s">
        <v>35255</v>
      </c>
    </row>
    <row r="19032" spans="6:8">
      <c r="H19032" t="s">
        <v>35250</v>
      </c>
    </row>
    <row r="19033" spans="6:8">
      <c r="H19033" t="s">
        <v>35256</v>
      </c>
    </row>
    <row r="19034" spans="6:8">
      <c r="H19034" t="s">
        <v>35257</v>
      </c>
    </row>
    <row r="19035" spans="6:8">
      <c r="H19035" t="s">
        <v>35258</v>
      </c>
    </row>
    <row r="19036" spans="6:8">
      <c r="H19036" t="s">
        <v>35259</v>
      </c>
    </row>
    <row r="19037" spans="6:8">
      <c r="H19037" t="s">
        <v>35260</v>
      </c>
    </row>
    <row r="19038" spans="6:8">
      <c r="H19038" t="s">
        <v>35261</v>
      </c>
    </row>
    <row r="19039" spans="6:8">
      <c r="F19039" t="s">
        <v>14315</v>
      </c>
      <c r="G19039" t="s">
        <v>18272</v>
      </c>
      <c r="H19039" t="s">
        <v>35263</v>
      </c>
    </row>
    <row r="19040" spans="6:8">
      <c r="F19040" t="s">
        <v>10726</v>
      </c>
      <c r="G19040" t="s">
        <v>15125</v>
      </c>
      <c r="H19040" t="s">
        <v>35266</v>
      </c>
    </row>
    <row r="19041" spans="6:8">
      <c r="H19041" t="s">
        <v>35267</v>
      </c>
    </row>
    <row r="19042" spans="6:8">
      <c r="H19042" t="s">
        <v>35268</v>
      </c>
    </row>
    <row r="19043" spans="6:8">
      <c r="H19043" t="s">
        <v>35269</v>
      </c>
    </row>
    <row r="19044" spans="6:8">
      <c r="H19044" t="s">
        <v>35271</v>
      </c>
    </row>
    <row r="19045" spans="6:8">
      <c r="F19045" t="s">
        <v>11449</v>
      </c>
      <c r="G19045" t="s">
        <v>15689</v>
      </c>
      <c r="H19045" t="s">
        <v>31759</v>
      </c>
    </row>
    <row r="19046" spans="6:8">
      <c r="H19046" t="s">
        <v>35273</v>
      </c>
    </row>
    <row r="19047" spans="6:8">
      <c r="H19047" t="s">
        <v>35274</v>
      </c>
    </row>
    <row r="19048" spans="6:8">
      <c r="H19048" t="s">
        <v>35275</v>
      </c>
    </row>
    <row r="19049" spans="6:8">
      <c r="H19049" t="s">
        <v>35276</v>
      </c>
    </row>
    <row r="19050" spans="6:8">
      <c r="H19050" t="s">
        <v>35277</v>
      </c>
    </row>
    <row r="19051" spans="6:8">
      <c r="H19051" t="s">
        <v>35279</v>
      </c>
    </row>
    <row r="19052" spans="6:8">
      <c r="H19052" t="s">
        <v>35280</v>
      </c>
    </row>
    <row r="19053" spans="6:8">
      <c r="H19053" t="s">
        <v>35281</v>
      </c>
    </row>
    <row r="19054" spans="6:8">
      <c r="H19054" t="s">
        <v>35282</v>
      </c>
    </row>
    <row r="19055" spans="6:8">
      <c r="H19055" t="s">
        <v>35283</v>
      </c>
    </row>
    <row r="19056" spans="6:8">
      <c r="H19056" t="s">
        <v>35284</v>
      </c>
    </row>
    <row r="19057" spans="8:8">
      <c r="H19057" t="s">
        <v>35285</v>
      </c>
    </row>
    <row r="19058" spans="8:8">
      <c r="H19058" t="s">
        <v>35286</v>
      </c>
    </row>
    <row r="19059" spans="8:8">
      <c r="H19059" t="s">
        <v>35287</v>
      </c>
    </row>
    <row r="19060" spans="8:8">
      <c r="H19060" t="s">
        <v>35288</v>
      </c>
    </row>
    <row r="19061" spans="8:8">
      <c r="H19061" t="s">
        <v>35289</v>
      </c>
    </row>
    <row r="19062" spans="8:8">
      <c r="H19062" t="s">
        <v>35291</v>
      </c>
    </row>
    <row r="19063" spans="8:8">
      <c r="H19063" t="s">
        <v>35294</v>
      </c>
    </row>
    <row r="19064" spans="8:8">
      <c r="H19064" t="s">
        <v>35295</v>
      </c>
    </row>
    <row r="19065" spans="8:8">
      <c r="H19065" t="s">
        <v>35296</v>
      </c>
    </row>
    <row r="19066" spans="8:8">
      <c r="H19066" t="s">
        <v>35297</v>
      </c>
    </row>
    <row r="19067" spans="8:8">
      <c r="H19067" t="s">
        <v>35298</v>
      </c>
    </row>
    <row r="19068" spans="8:8">
      <c r="H19068" t="s">
        <v>35299</v>
      </c>
    </row>
    <row r="19069" spans="8:8">
      <c r="H19069" t="s">
        <v>35300</v>
      </c>
    </row>
    <row r="19070" spans="8:8">
      <c r="H19070" t="s">
        <v>35301</v>
      </c>
    </row>
    <row r="19071" spans="8:8">
      <c r="H19071" t="s">
        <v>35302</v>
      </c>
    </row>
    <row r="19072" spans="8:8">
      <c r="H19072" t="s">
        <v>35303</v>
      </c>
    </row>
    <row r="19073" spans="6:8">
      <c r="H19073" t="s">
        <v>35304</v>
      </c>
    </row>
    <row r="19074" spans="6:8">
      <c r="H19074" t="s">
        <v>35305</v>
      </c>
    </row>
    <row r="19075" spans="6:8">
      <c r="F19075" t="s">
        <v>14316</v>
      </c>
      <c r="G19075" t="s">
        <v>18273</v>
      </c>
      <c r="H19075" t="s">
        <v>35307</v>
      </c>
    </row>
    <row r="19076" spans="6:8">
      <c r="F19076" t="s">
        <v>14317</v>
      </c>
      <c r="G19076" t="s">
        <v>18274</v>
      </c>
      <c r="H19076" t="s">
        <v>35308</v>
      </c>
    </row>
    <row r="19077" spans="6:8">
      <c r="H19077" t="s">
        <v>35309</v>
      </c>
    </row>
    <row r="19078" spans="6:8">
      <c r="H19078" t="s">
        <v>35310</v>
      </c>
    </row>
    <row r="19079" spans="6:8">
      <c r="F19079" t="s">
        <v>14318</v>
      </c>
      <c r="G19079" t="s">
        <v>18275</v>
      </c>
      <c r="H19079" t="s">
        <v>35317</v>
      </c>
    </row>
    <row r="19080" spans="6:8">
      <c r="F19080" t="s">
        <v>14319</v>
      </c>
      <c r="G19080" t="s">
        <v>18276</v>
      </c>
      <c r="H19080" t="s">
        <v>18836</v>
      </c>
    </row>
    <row r="19081" spans="6:8">
      <c r="F19081" t="s">
        <v>14320</v>
      </c>
      <c r="G19081" t="s">
        <v>18277</v>
      </c>
      <c r="H19081" t="s">
        <v>30172</v>
      </c>
    </row>
    <row r="19082" spans="6:8">
      <c r="H19082" t="s">
        <v>35318</v>
      </c>
    </row>
    <row r="19083" spans="6:8">
      <c r="H19083" t="s">
        <v>35319</v>
      </c>
    </row>
    <row r="19084" spans="6:8">
      <c r="H19084" t="s">
        <v>35320</v>
      </c>
    </row>
    <row r="19085" spans="6:8">
      <c r="H19085" t="s">
        <v>35321</v>
      </c>
    </row>
    <row r="19086" spans="6:8">
      <c r="H19086" t="s">
        <v>35322</v>
      </c>
    </row>
    <row r="19087" spans="6:8">
      <c r="F19087" t="s">
        <v>14321</v>
      </c>
      <c r="G19087" t="s">
        <v>18278</v>
      </c>
      <c r="H19087" t="s">
        <v>35328</v>
      </c>
    </row>
    <row r="19088" spans="6:8">
      <c r="F19088" t="s">
        <v>14322</v>
      </c>
      <c r="G19088" t="s">
        <v>18279</v>
      </c>
      <c r="H19088" t="s">
        <v>22358</v>
      </c>
    </row>
    <row r="19089" spans="6:8">
      <c r="H19089" t="s">
        <v>35329</v>
      </c>
    </row>
    <row r="19090" spans="6:8">
      <c r="H19090" t="s">
        <v>35330</v>
      </c>
    </row>
    <row r="19091" spans="6:8">
      <c r="F19091" t="s">
        <v>14323</v>
      </c>
      <c r="G19091" t="s">
        <v>18280</v>
      </c>
      <c r="H19091" t="s">
        <v>35333</v>
      </c>
    </row>
    <row r="19092" spans="6:8">
      <c r="H19092" t="s">
        <v>29840</v>
      </c>
    </row>
    <row r="19093" spans="6:8">
      <c r="H19093" t="s">
        <v>35334</v>
      </c>
    </row>
    <row r="19094" spans="6:8">
      <c r="H19094" t="s">
        <v>35335</v>
      </c>
    </row>
    <row r="19095" spans="6:8">
      <c r="H19095" t="s">
        <v>19007</v>
      </c>
    </row>
    <row r="19096" spans="6:8">
      <c r="H19096" t="s">
        <v>35336</v>
      </c>
    </row>
    <row r="19097" spans="6:8">
      <c r="F19097" t="s">
        <v>14324</v>
      </c>
      <c r="G19097" t="s">
        <v>18281</v>
      </c>
      <c r="H19097" t="s">
        <v>35338</v>
      </c>
    </row>
    <row r="19098" spans="6:8">
      <c r="H19098" t="s">
        <v>35339</v>
      </c>
    </row>
    <row r="19099" spans="6:8">
      <c r="H19099" t="s">
        <v>35340</v>
      </c>
    </row>
    <row r="19100" spans="6:8">
      <c r="H19100" t="s">
        <v>35341</v>
      </c>
    </row>
    <row r="19101" spans="6:8">
      <c r="H19101" t="s">
        <v>35342</v>
      </c>
    </row>
    <row r="19102" spans="6:8">
      <c r="F19102" t="s">
        <v>14102</v>
      </c>
      <c r="G19102" t="s">
        <v>18095</v>
      </c>
      <c r="H19102" t="s">
        <v>35349</v>
      </c>
    </row>
    <row r="19103" spans="6:8">
      <c r="H19103" t="s">
        <v>35350</v>
      </c>
    </row>
    <row r="19104" spans="6:8">
      <c r="H19104" t="s">
        <v>35351</v>
      </c>
    </row>
    <row r="19105" spans="1:8">
      <c r="H19105" t="s">
        <v>35352</v>
      </c>
    </row>
    <row r="19106" spans="1:8">
      <c r="H19106" t="s">
        <v>35353</v>
      </c>
    </row>
    <row r="19107" spans="1:8">
      <c r="H19107" t="s">
        <v>35354</v>
      </c>
    </row>
    <row r="19108" spans="1:8">
      <c r="H19108" t="s">
        <v>35357</v>
      </c>
    </row>
    <row r="19109" spans="1:8">
      <c r="H19109" t="s">
        <v>35359</v>
      </c>
    </row>
    <row r="19110" spans="1:8">
      <c r="A19110" t="s">
        <v>3514</v>
      </c>
      <c r="B19110">
        <f>HYPERLINK("https://android.googlesource.com/platform/cts/+/b50578ed7ce9ed6be50be4bd7568948cf99888af", "b50578ed7ce9ed6be50be4bd7568948cf99888af")</f>
        <v>0</v>
      </c>
      <c r="C19110">
        <f>HYPERLINK("https://android.googlesource.com/platform/cts/+/5f42b0dbc3745b0f351ae0ab63dacefd105a903e", "5f42b0dbc3745b0f351ae0ab63dacefd105a903e")</f>
        <v>0</v>
      </c>
      <c r="D19110" t="s">
        <v>5180</v>
      </c>
      <c r="E19110" t="s">
        <v>9208</v>
      </c>
      <c r="F19110" t="s">
        <v>12610</v>
      </c>
      <c r="G19110" t="s">
        <v>16821</v>
      </c>
      <c r="H19110" t="s">
        <v>35372</v>
      </c>
    </row>
    <row r="19111" spans="1:8">
      <c r="A19111" t="s">
        <v>3515</v>
      </c>
      <c r="B19111">
        <f>HYPERLINK("https://android.googlesource.com/platform/cts/+/9beb020a9a174fbcc226a3802f1c5d5d22847024", "9beb020a9a174fbcc226a3802f1c5d5d22847024")</f>
        <v>0</v>
      </c>
      <c r="C19111">
        <f>HYPERLINK("https://android.googlesource.com/platform/cts/+/8c01d76146f53397207001a6e1bc2bc1c27b2b22", "8c01d76146f53397207001a6e1bc2bc1c27b2b22")</f>
        <v>0</v>
      </c>
      <c r="D19111" t="s">
        <v>5579</v>
      </c>
      <c r="E19111" t="s">
        <v>9209</v>
      </c>
      <c r="F19111" t="s">
        <v>14328</v>
      </c>
      <c r="G19111" t="s">
        <v>18167</v>
      </c>
      <c r="H19111" t="s">
        <v>35375</v>
      </c>
    </row>
    <row r="19112" spans="1:8">
      <c r="H19112" t="s">
        <v>35376</v>
      </c>
    </row>
    <row r="19113" spans="1:8">
      <c r="F19113" t="s">
        <v>13466</v>
      </c>
      <c r="G19113" t="s">
        <v>17585</v>
      </c>
      <c r="H19113" t="s">
        <v>35377</v>
      </c>
    </row>
    <row r="19114" spans="1:8">
      <c r="A19114" t="s">
        <v>3520</v>
      </c>
      <c r="B19114">
        <f>HYPERLINK("https://android.googlesource.com/platform/cts/+/42e049f49561e868640faa972618eaa1dfc124a9", "42e049f49561e868640faa972618eaa1dfc124a9")</f>
        <v>0</v>
      </c>
      <c r="C19114">
        <f>HYPERLINK("https://android.googlesource.com/platform/cts/+/c6fa98579501a4adadbb2f2607d869bbc7f0ee07", "c6fa98579501a4adadbb2f2607d869bbc7f0ee07")</f>
        <v>0</v>
      </c>
      <c r="D19114" t="s">
        <v>5581</v>
      </c>
      <c r="E19114" t="s">
        <v>9213</v>
      </c>
      <c r="F19114" t="s">
        <v>10794</v>
      </c>
      <c r="G19114" t="s">
        <v>15189</v>
      </c>
      <c r="H19114" t="s">
        <v>35382</v>
      </c>
    </row>
    <row r="19115" spans="1:8">
      <c r="H19115" t="s">
        <v>35383</v>
      </c>
    </row>
    <row r="19116" spans="1:8">
      <c r="H19116" t="s">
        <v>35384</v>
      </c>
    </row>
    <row r="19117" spans="1:8">
      <c r="H19117" t="s">
        <v>35385</v>
      </c>
    </row>
    <row r="19118" spans="1:8">
      <c r="H19118" t="s">
        <v>35386</v>
      </c>
    </row>
    <row r="19119" spans="1:8">
      <c r="A19119" t="s">
        <v>3522</v>
      </c>
      <c r="B19119">
        <f>HYPERLINK("https://android.googlesource.com/platform/cts/+/7bb543e2b767fc6856984980aab3a00d6299cdc6", "7bb543e2b767fc6856984980aab3a00d6299cdc6")</f>
        <v>0</v>
      </c>
      <c r="C19119">
        <f>HYPERLINK("https://android.googlesource.com/platform/cts/+/9971c5affac56ee76095f5aa38bad11719b1947c", "9971c5affac56ee76095f5aa38bad11719b1947c")</f>
        <v>0</v>
      </c>
      <c r="D19119" t="s">
        <v>5576</v>
      </c>
      <c r="E19119" t="s">
        <v>9215</v>
      </c>
      <c r="F19119" t="s">
        <v>14330</v>
      </c>
      <c r="G19119" t="s">
        <v>18285</v>
      </c>
      <c r="H19119" t="s">
        <v>35387</v>
      </c>
    </row>
    <row r="19120" spans="1:8">
      <c r="F19120" t="s">
        <v>14331</v>
      </c>
      <c r="G19120" t="s">
        <v>18286</v>
      </c>
      <c r="H19120" t="s">
        <v>35395</v>
      </c>
    </row>
    <row r="19121" spans="6:8">
      <c r="H19121" t="s">
        <v>35396</v>
      </c>
    </row>
    <row r="19122" spans="6:8">
      <c r="H19122" t="s">
        <v>35397</v>
      </c>
    </row>
    <row r="19123" spans="6:8">
      <c r="H19123" t="s">
        <v>35398</v>
      </c>
    </row>
    <row r="19124" spans="6:8">
      <c r="H19124" t="s">
        <v>35399</v>
      </c>
    </row>
    <row r="19125" spans="6:8">
      <c r="F19125" t="s">
        <v>14332</v>
      </c>
      <c r="G19125" t="s">
        <v>18287</v>
      </c>
      <c r="H19125" t="s">
        <v>35402</v>
      </c>
    </row>
    <row r="19126" spans="6:8">
      <c r="H19126" t="s">
        <v>35403</v>
      </c>
    </row>
    <row r="19127" spans="6:8">
      <c r="H19127" t="s">
        <v>35404</v>
      </c>
    </row>
    <row r="19128" spans="6:8">
      <c r="H19128" t="s">
        <v>35405</v>
      </c>
    </row>
    <row r="19129" spans="6:8">
      <c r="H19129" t="s">
        <v>35406</v>
      </c>
    </row>
    <row r="19130" spans="6:8">
      <c r="H19130" t="s">
        <v>35407</v>
      </c>
    </row>
    <row r="19131" spans="6:8">
      <c r="F19131" t="s">
        <v>14333</v>
      </c>
      <c r="G19131" t="s">
        <v>18288</v>
      </c>
      <c r="H19131" t="s">
        <v>35409</v>
      </c>
    </row>
    <row r="19132" spans="6:8">
      <c r="F19132" t="s">
        <v>14334</v>
      </c>
      <c r="G19132" t="s">
        <v>18289</v>
      </c>
      <c r="H19132" t="s">
        <v>35409</v>
      </c>
    </row>
    <row r="19133" spans="6:8">
      <c r="F19133" t="s">
        <v>14335</v>
      </c>
      <c r="G19133" t="s">
        <v>18170</v>
      </c>
      <c r="H19133" t="s">
        <v>35414</v>
      </c>
    </row>
    <row r="19134" spans="6:8">
      <c r="H19134" t="s">
        <v>35415</v>
      </c>
    </row>
    <row r="19135" spans="6:8">
      <c r="H19135" t="s">
        <v>35416</v>
      </c>
    </row>
    <row r="19136" spans="6:8">
      <c r="H19136" t="s">
        <v>35417</v>
      </c>
    </row>
    <row r="19137" spans="6:8">
      <c r="H19137" t="s">
        <v>35418</v>
      </c>
    </row>
    <row r="19138" spans="6:8">
      <c r="H19138" t="s">
        <v>35419</v>
      </c>
    </row>
    <row r="19139" spans="6:8">
      <c r="H19139" t="s">
        <v>35420</v>
      </c>
    </row>
    <row r="19140" spans="6:8">
      <c r="H19140" t="s">
        <v>35423</v>
      </c>
    </row>
    <row r="19141" spans="6:8">
      <c r="H19141" t="s">
        <v>35424</v>
      </c>
    </row>
    <row r="19142" spans="6:8">
      <c r="H19142" t="s">
        <v>35425</v>
      </c>
    </row>
    <row r="19143" spans="6:8">
      <c r="H19143" t="s">
        <v>35426</v>
      </c>
    </row>
    <row r="19144" spans="6:8">
      <c r="H19144" t="s">
        <v>35427</v>
      </c>
    </row>
    <row r="19145" spans="6:8">
      <c r="H19145" t="s">
        <v>35428</v>
      </c>
    </row>
    <row r="19146" spans="6:8">
      <c r="F19146" t="s">
        <v>14336</v>
      </c>
      <c r="G19146" t="s">
        <v>18188</v>
      </c>
      <c r="H19146" t="s">
        <v>35433</v>
      </c>
    </row>
    <row r="19147" spans="6:8">
      <c r="H19147" t="s">
        <v>35434</v>
      </c>
    </row>
    <row r="19148" spans="6:8">
      <c r="H19148" t="s">
        <v>35435</v>
      </c>
    </row>
    <row r="19149" spans="6:8">
      <c r="H19149" t="s">
        <v>35436</v>
      </c>
    </row>
    <row r="19150" spans="6:8">
      <c r="H19150" t="s">
        <v>35437</v>
      </c>
    </row>
    <row r="19151" spans="6:8">
      <c r="H19151" t="s">
        <v>35438</v>
      </c>
    </row>
    <row r="19152" spans="6:8">
      <c r="F19152" t="s">
        <v>14337</v>
      </c>
      <c r="G19152" t="s">
        <v>18290</v>
      </c>
      <c r="H19152" t="s">
        <v>35440</v>
      </c>
    </row>
    <row r="19153" spans="1:8">
      <c r="H19153" t="s">
        <v>35441</v>
      </c>
    </row>
    <row r="19154" spans="1:8">
      <c r="F19154" t="s">
        <v>14338</v>
      </c>
      <c r="G19154" t="s">
        <v>18165</v>
      </c>
      <c r="H19154" t="s">
        <v>35449</v>
      </c>
    </row>
    <row r="19155" spans="1:8">
      <c r="H19155" t="s">
        <v>35450</v>
      </c>
    </row>
    <row r="19156" spans="1:8">
      <c r="H19156" t="s">
        <v>35451</v>
      </c>
    </row>
    <row r="19157" spans="1:8">
      <c r="H19157" t="s">
        <v>35452</v>
      </c>
    </row>
    <row r="19158" spans="1:8">
      <c r="H19158" t="s">
        <v>35453</v>
      </c>
    </row>
    <row r="19159" spans="1:8">
      <c r="H19159" t="s">
        <v>35454</v>
      </c>
    </row>
    <row r="19160" spans="1:8">
      <c r="H19160" t="s">
        <v>35455</v>
      </c>
    </row>
    <row r="19161" spans="1:8">
      <c r="A19161" t="s">
        <v>3524</v>
      </c>
      <c r="B19161">
        <f>HYPERLINK("https://android.googlesource.com/platform/cts/+/eee4e833098ec6c7799f5e5af71b61b85b20d7c5", "eee4e833098ec6c7799f5e5af71b61b85b20d7c5")</f>
        <v>0</v>
      </c>
      <c r="C19161">
        <f>HYPERLINK("https://android.googlesource.com/platform/cts/+/a4a325463e1d603f6c3060bd06507bd4422b0e82", "a4a325463e1d603f6c3060bd06507bd4422b0e82")</f>
        <v>0</v>
      </c>
      <c r="D19161" t="s">
        <v>5195</v>
      </c>
      <c r="E19161" t="s">
        <v>9217</v>
      </c>
      <c r="F19161" t="s">
        <v>14341</v>
      </c>
      <c r="G19161" t="s">
        <v>18293</v>
      </c>
      <c r="H19161" t="s">
        <v>35456</v>
      </c>
    </row>
    <row r="19162" spans="1:8">
      <c r="H19162" t="s">
        <v>35457</v>
      </c>
    </row>
    <row r="19163" spans="1:8">
      <c r="H19163" t="s">
        <v>35458</v>
      </c>
    </row>
    <row r="19164" spans="1:8">
      <c r="A19164" t="s">
        <v>3525</v>
      </c>
      <c r="B19164">
        <f>HYPERLINK("https://android.googlesource.com/platform/cts/+/73301c9be01ef39f5d7adb5796316e150539e706", "73301c9be01ef39f5d7adb5796316e150539e706")</f>
        <v>0</v>
      </c>
      <c r="C19164">
        <f>HYPERLINK("https://android.googlesource.com/platform/cts/+/6ac169cbdf4698002b807010562a216445e75cc2", "6ac169cbdf4698002b807010562a216445e75cc2")</f>
        <v>0</v>
      </c>
      <c r="D19164" t="s">
        <v>5576</v>
      </c>
      <c r="E19164" t="s">
        <v>9218</v>
      </c>
      <c r="F19164" t="s">
        <v>14330</v>
      </c>
      <c r="G19164" t="s">
        <v>18285</v>
      </c>
      <c r="H19164" t="s">
        <v>35387</v>
      </c>
    </row>
    <row r="19165" spans="1:8">
      <c r="F19165" t="s">
        <v>14331</v>
      </c>
      <c r="G19165" t="s">
        <v>18286</v>
      </c>
      <c r="H19165" t="s">
        <v>35395</v>
      </c>
    </row>
    <row r="19166" spans="1:8">
      <c r="H19166" t="s">
        <v>35396</v>
      </c>
    </row>
    <row r="19167" spans="1:8">
      <c r="H19167" t="s">
        <v>35397</v>
      </c>
    </row>
    <row r="19168" spans="1:8">
      <c r="H19168" t="s">
        <v>35398</v>
      </c>
    </row>
    <row r="19169" spans="6:8">
      <c r="H19169" t="s">
        <v>35399</v>
      </c>
    </row>
    <row r="19170" spans="6:8">
      <c r="F19170" t="s">
        <v>14332</v>
      </c>
      <c r="G19170" t="s">
        <v>18287</v>
      </c>
      <c r="H19170" t="s">
        <v>35402</v>
      </c>
    </row>
    <row r="19171" spans="6:8">
      <c r="H19171" t="s">
        <v>35403</v>
      </c>
    </row>
    <row r="19172" spans="6:8">
      <c r="H19172" t="s">
        <v>35404</v>
      </c>
    </row>
    <row r="19173" spans="6:8">
      <c r="H19173" t="s">
        <v>35405</v>
      </c>
    </row>
    <row r="19174" spans="6:8">
      <c r="H19174" t="s">
        <v>35406</v>
      </c>
    </row>
    <row r="19175" spans="6:8">
      <c r="H19175" t="s">
        <v>35407</v>
      </c>
    </row>
    <row r="19176" spans="6:8">
      <c r="F19176" t="s">
        <v>14333</v>
      </c>
      <c r="G19176" t="s">
        <v>18288</v>
      </c>
      <c r="H19176" t="s">
        <v>35409</v>
      </c>
    </row>
    <row r="19177" spans="6:8">
      <c r="F19177" t="s">
        <v>14334</v>
      </c>
      <c r="G19177" t="s">
        <v>18289</v>
      </c>
      <c r="H19177" t="s">
        <v>35409</v>
      </c>
    </row>
    <row r="19178" spans="6:8">
      <c r="F19178" t="s">
        <v>14335</v>
      </c>
      <c r="G19178" t="s">
        <v>18170</v>
      </c>
      <c r="H19178" t="s">
        <v>35414</v>
      </c>
    </row>
    <row r="19179" spans="6:8">
      <c r="H19179" t="s">
        <v>35415</v>
      </c>
    </row>
    <row r="19180" spans="6:8">
      <c r="H19180" t="s">
        <v>35416</v>
      </c>
    </row>
    <row r="19181" spans="6:8">
      <c r="H19181" t="s">
        <v>35417</v>
      </c>
    </row>
    <row r="19182" spans="6:8">
      <c r="H19182" t="s">
        <v>35418</v>
      </c>
    </row>
    <row r="19183" spans="6:8">
      <c r="H19183" t="s">
        <v>35419</v>
      </c>
    </row>
    <row r="19184" spans="6:8">
      <c r="H19184" t="s">
        <v>35420</v>
      </c>
    </row>
    <row r="19185" spans="6:8">
      <c r="H19185" t="s">
        <v>35423</v>
      </c>
    </row>
    <row r="19186" spans="6:8">
      <c r="H19186" t="s">
        <v>35424</v>
      </c>
    </row>
    <row r="19187" spans="6:8">
      <c r="H19187" t="s">
        <v>35425</v>
      </c>
    </row>
    <row r="19188" spans="6:8">
      <c r="H19188" t="s">
        <v>35426</v>
      </c>
    </row>
    <row r="19189" spans="6:8">
      <c r="H19189" t="s">
        <v>35427</v>
      </c>
    </row>
    <row r="19190" spans="6:8">
      <c r="H19190" t="s">
        <v>35428</v>
      </c>
    </row>
    <row r="19191" spans="6:8">
      <c r="F19191" t="s">
        <v>14336</v>
      </c>
      <c r="G19191" t="s">
        <v>18188</v>
      </c>
      <c r="H19191" t="s">
        <v>35433</v>
      </c>
    </row>
    <row r="19192" spans="6:8">
      <c r="H19192" t="s">
        <v>35434</v>
      </c>
    </row>
    <row r="19193" spans="6:8">
      <c r="H19193" t="s">
        <v>35435</v>
      </c>
    </row>
    <row r="19194" spans="6:8">
      <c r="H19194" t="s">
        <v>35436</v>
      </c>
    </row>
    <row r="19195" spans="6:8">
      <c r="H19195" t="s">
        <v>35437</v>
      </c>
    </row>
    <row r="19196" spans="6:8">
      <c r="H19196" t="s">
        <v>35438</v>
      </c>
    </row>
    <row r="19197" spans="6:8">
      <c r="F19197" t="s">
        <v>14337</v>
      </c>
      <c r="G19197" t="s">
        <v>18290</v>
      </c>
      <c r="H19197" t="s">
        <v>35440</v>
      </c>
    </row>
    <row r="19198" spans="6:8">
      <c r="H19198" t="s">
        <v>35441</v>
      </c>
    </row>
    <row r="19199" spans="6:8">
      <c r="F19199" t="s">
        <v>14338</v>
      </c>
      <c r="G19199" t="s">
        <v>18165</v>
      </c>
      <c r="H19199" t="s">
        <v>35449</v>
      </c>
    </row>
    <row r="19200" spans="6:8">
      <c r="H19200" t="s">
        <v>35450</v>
      </c>
    </row>
    <row r="19201" spans="1:8">
      <c r="H19201" t="s">
        <v>35451</v>
      </c>
    </row>
    <row r="19202" spans="1:8">
      <c r="H19202" t="s">
        <v>35452</v>
      </c>
    </row>
    <row r="19203" spans="1:8">
      <c r="H19203" t="s">
        <v>35453</v>
      </c>
    </row>
    <row r="19204" spans="1:8">
      <c r="H19204" t="s">
        <v>35454</v>
      </c>
    </row>
    <row r="19205" spans="1:8">
      <c r="H19205" t="s">
        <v>35455</v>
      </c>
    </row>
    <row r="19206" spans="1:8">
      <c r="A19206" t="s">
        <v>3532</v>
      </c>
      <c r="B19206">
        <f>HYPERLINK("https://android.googlesource.com/platform/cts/+/815968ef87a93460aadc18235c586a40a0536641", "815968ef87a93460aadc18235c586a40a0536641")</f>
        <v>0</v>
      </c>
      <c r="C19206">
        <f>HYPERLINK("https://android.googlesource.com/platform/cts/+/e0664c07eef8171686c6c4341d5443c95e43a5a2", "e0664c07eef8171686c6c4341d5443c95e43a5a2")</f>
        <v>0</v>
      </c>
      <c r="D19206" t="s">
        <v>5585</v>
      </c>
      <c r="E19206" t="s">
        <v>9224</v>
      </c>
      <c r="F19206" t="s">
        <v>13788</v>
      </c>
      <c r="G19206" t="s">
        <v>17841</v>
      </c>
      <c r="H19206" t="s">
        <v>35469</v>
      </c>
    </row>
    <row r="19207" spans="1:8">
      <c r="A19207" t="s">
        <v>3533</v>
      </c>
      <c r="B19207">
        <f>HYPERLINK("https://android.googlesource.com/platform/cts/+/fd74311a40b5fda4ec9aa3b538fbaa1c1a7d60ec", "fd74311a40b5fda4ec9aa3b538fbaa1c1a7d60ec")</f>
        <v>0</v>
      </c>
      <c r="C19207">
        <f>HYPERLINK("https://android.googlesource.com/platform/cts/+/e9f54bd852b327c8b1df443a4e69e47b7032304e", "e9f54bd852b327c8b1df443a4e69e47b7032304e")</f>
        <v>0</v>
      </c>
      <c r="D19207" t="s">
        <v>5586</v>
      </c>
      <c r="E19207" t="s">
        <v>9225</v>
      </c>
      <c r="F19207" t="s">
        <v>13992</v>
      </c>
      <c r="G19207" t="s">
        <v>16620</v>
      </c>
      <c r="H19207" t="s">
        <v>35470</v>
      </c>
    </row>
    <row r="19208" spans="1:8">
      <c r="A19208" t="s">
        <v>3540</v>
      </c>
      <c r="B19208">
        <f>HYPERLINK("https://android.googlesource.com/platform/cts/+/1c6308ce4831b5f8bb9995054c61f2d8ba024825", "1c6308ce4831b5f8bb9995054c61f2d8ba024825")</f>
        <v>0</v>
      </c>
      <c r="C19208">
        <f>HYPERLINK("https://android.googlesource.com/platform/cts/+/487dbf47f9ccc9edbff96c69e4a473e2d5f1c17c", "487dbf47f9ccc9edbff96c69e4a473e2d5f1c17c")</f>
        <v>0</v>
      </c>
      <c r="D19208" t="s">
        <v>5195</v>
      </c>
      <c r="E19208" t="s">
        <v>9232</v>
      </c>
      <c r="F19208" t="s">
        <v>13992</v>
      </c>
      <c r="G19208" t="s">
        <v>16620</v>
      </c>
      <c r="H19208" t="s">
        <v>35488</v>
      </c>
    </row>
    <row r="19209" spans="1:8">
      <c r="H19209" t="s">
        <v>35490</v>
      </c>
    </row>
    <row r="19210" spans="1:8">
      <c r="H19210" t="s">
        <v>35492</v>
      </c>
    </row>
    <row r="19211" spans="1:8">
      <c r="H19211" t="s">
        <v>35494</v>
      </c>
    </row>
    <row r="19212" spans="1:8">
      <c r="H19212" t="s">
        <v>35496</v>
      </c>
    </row>
    <row r="19213" spans="1:8">
      <c r="A19213" t="s">
        <v>3540</v>
      </c>
      <c r="B19213">
        <f>HYPERLINK("https://android.googlesource.com/platform/cts/+/53a00c03d57d69a1a33684c393996e6a6dba9da7", "53a00c03d57d69a1a33684c393996e6a6dba9da7")</f>
        <v>0</v>
      </c>
      <c r="C19213">
        <f>HYPERLINK("https://android.googlesource.com/platform/cts/+/1c6308ce4831b5f8bb9995054c61f2d8ba024825", "1c6308ce4831b5f8bb9995054c61f2d8ba024825")</f>
        <v>0</v>
      </c>
      <c r="D19213" t="s">
        <v>5195</v>
      </c>
      <c r="E19213" t="s">
        <v>9233</v>
      </c>
      <c r="F19213" t="s">
        <v>13992</v>
      </c>
      <c r="G19213" t="s">
        <v>16620</v>
      </c>
      <c r="H19213" t="s">
        <v>35498</v>
      </c>
    </row>
    <row r="19214" spans="1:8">
      <c r="H19214" t="s">
        <v>35500</v>
      </c>
    </row>
    <row r="19215" spans="1:8">
      <c r="H19215" t="s">
        <v>35502</v>
      </c>
    </row>
    <row r="19216" spans="1:8">
      <c r="H19216" t="s">
        <v>35504</v>
      </c>
    </row>
    <row r="19217" spans="1:8">
      <c r="H19217" t="s">
        <v>35506</v>
      </c>
    </row>
    <row r="19218" spans="1:8">
      <c r="H19218" t="s">
        <v>35508</v>
      </c>
    </row>
    <row r="19219" spans="1:8">
      <c r="A19219" t="s">
        <v>3540</v>
      </c>
      <c r="B19219">
        <f>HYPERLINK("https://android.googlesource.com/platform/cts/+/95f64e7951a5ba6c2ace333a8d51c4658e07cfcd", "95f64e7951a5ba6c2ace333a8d51c4658e07cfcd")</f>
        <v>0</v>
      </c>
      <c r="C19219">
        <f>HYPERLINK("https://android.googlesource.com/platform/cts/+/53a00c03d57d69a1a33684c393996e6a6dba9da7", "53a00c03d57d69a1a33684c393996e6a6dba9da7")</f>
        <v>0</v>
      </c>
      <c r="D19219" t="s">
        <v>5195</v>
      </c>
      <c r="E19219" t="s">
        <v>9234</v>
      </c>
      <c r="F19219" t="s">
        <v>13992</v>
      </c>
      <c r="G19219" t="s">
        <v>16620</v>
      </c>
      <c r="H19219" t="s">
        <v>35510</v>
      </c>
    </row>
    <row r="19220" spans="1:8">
      <c r="H19220" t="s">
        <v>35512</v>
      </c>
    </row>
    <row r="19221" spans="1:8">
      <c r="H19221" t="s">
        <v>35514</v>
      </c>
    </row>
    <row r="19222" spans="1:8">
      <c r="H19222" t="s">
        <v>35517</v>
      </c>
    </row>
    <row r="19223" spans="1:8">
      <c r="H19223" t="s">
        <v>35519</v>
      </c>
    </row>
    <row r="19224" spans="1:8">
      <c r="H19224" t="s">
        <v>35521</v>
      </c>
    </row>
    <row r="19225" spans="1:8">
      <c r="A19225" t="s">
        <v>3540</v>
      </c>
      <c r="B19225">
        <f>HYPERLINK("https://android.googlesource.com/platform/cts/+/91b4c4b4ad3954cbfc45fbe006796e9a294e4d08", "91b4c4b4ad3954cbfc45fbe006796e9a294e4d08")</f>
        <v>0</v>
      </c>
      <c r="C19225">
        <f>HYPERLINK("https://android.googlesource.com/platform/cts/+/95f64e7951a5ba6c2ace333a8d51c4658e07cfcd", "95f64e7951a5ba6c2ace333a8d51c4658e07cfcd")</f>
        <v>0</v>
      </c>
      <c r="D19225" t="s">
        <v>5195</v>
      </c>
      <c r="E19225" t="s">
        <v>9235</v>
      </c>
      <c r="F19225" t="s">
        <v>13992</v>
      </c>
      <c r="G19225" t="s">
        <v>16620</v>
      </c>
      <c r="H19225" t="s">
        <v>35525</v>
      </c>
    </row>
    <row r="19226" spans="1:8">
      <c r="H19226" t="s">
        <v>35526</v>
      </c>
    </row>
    <row r="19227" spans="1:8">
      <c r="H19227" t="s">
        <v>35529</v>
      </c>
    </row>
    <row r="19228" spans="1:8">
      <c r="H19228" t="s">
        <v>35531</v>
      </c>
    </row>
    <row r="19229" spans="1:8">
      <c r="H19229" t="s">
        <v>35533</v>
      </c>
    </row>
    <row r="19230" spans="1:8">
      <c r="H19230" t="s">
        <v>35535</v>
      </c>
    </row>
    <row r="19231" spans="1:8">
      <c r="H19231" t="s">
        <v>35537</v>
      </c>
    </row>
    <row r="19232" spans="1:8">
      <c r="A19232" t="s">
        <v>3540</v>
      </c>
      <c r="B19232">
        <f>HYPERLINK("https://android.googlesource.com/platform/cts/+/c92831a16175036bee5059fb34a754e0a6613df8", "c92831a16175036bee5059fb34a754e0a6613df8")</f>
        <v>0</v>
      </c>
      <c r="C19232">
        <f>HYPERLINK("https://android.googlesource.com/platform/cts/+/91b4c4b4ad3954cbfc45fbe006796e9a294e4d08", "91b4c4b4ad3954cbfc45fbe006796e9a294e4d08")</f>
        <v>0</v>
      </c>
      <c r="D19232" t="s">
        <v>5195</v>
      </c>
      <c r="E19232" t="s">
        <v>9236</v>
      </c>
      <c r="F19232" t="s">
        <v>13816</v>
      </c>
      <c r="G19232" t="s">
        <v>15089</v>
      </c>
      <c r="H19232" t="s">
        <v>35538</v>
      </c>
    </row>
    <row r="19233" spans="1:8">
      <c r="A19233" t="s">
        <v>3541</v>
      </c>
      <c r="B19233">
        <f>HYPERLINK("https://android.googlesource.com/platform/cts/+/ab1c3c8886231e2990e6685a1e2d64153bf64c02", "ab1c3c8886231e2990e6685a1e2d64153bf64c02")</f>
        <v>0</v>
      </c>
      <c r="C19233">
        <f>HYPERLINK("https://android.googlesource.com/platform/cts/+/f59f868aacad66140bd7a383b9c9db7164edb346", "f59f868aacad66140bd7a383b9c9db7164edb346")</f>
        <v>0</v>
      </c>
      <c r="D19233" t="s">
        <v>5298</v>
      </c>
      <c r="E19233" t="s">
        <v>9237</v>
      </c>
      <c r="F19233" t="s">
        <v>14345</v>
      </c>
      <c r="G19233" t="s">
        <v>18297</v>
      </c>
      <c r="H19233" t="s">
        <v>35541</v>
      </c>
    </row>
    <row r="19234" spans="1:8">
      <c r="A19234" t="s">
        <v>3544</v>
      </c>
      <c r="B19234">
        <f>HYPERLINK("https://android.googlesource.com/platform/cts/+/0b118dc1f075d60904eabbd2f9f40710c4597a4a", "0b118dc1f075d60904eabbd2f9f40710c4597a4a")</f>
        <v>0</v>
      </c>
      <c r="C19234">
        <f>HYPERLINK("https://android.googlesource.com/platform/cts/+/8a158ee730271017ec3852f85e38afbe58cdb766", "8a158ee730271017ec3852f85e38afbe58cdb766")</f>
        <v>0</v>
      </c>
      <c r="D19234" t="s">
        <v>5182</v>
      </c>
      <c r="E19234" t="s">
        <v>9240</v>
      </c>
      <c r="F19234" t="s">
        <v>12820</v>
      </c>
      <c r="G19234" t="s">
        <v>16999</v>
      </c>
      <c r="H19234" t="s">
        <v>35542</v>
      </c>
    </row>
    <row r="19235" spans="1:8">
      <c r="A19235" t="s">
        <v>3545</v>
      </c>
      <c r="B19235">
        <f>HYPERLINK("https://android.googlesource.com/platform/cts/+/0be144a10f415dc7d47916df1100cc3dce305360", "0be144a10f415dc7d47916df1100cc3dce305360")</f>
        <v>0</v>
      </c>
      <c r="C19235">
        <f>HYPERLINK("https://android.googlesource.com/platform/cts/+/8809e6eba385c95eab69009050fcc5e218a8d6ca", "8809e6eba385c95eab69009050fcc5e218a8d6ca")</f>
        <v>0</v>
      </c>
      <c r="D19235" t="s">
        <v>5415</v>
      </c>
      <c r="E19235" t="s">
        <v>9241</v>
      </c>
      <c r="F19235" t="s">
        <v>14346</v>
      </c>
      <c r="G19235" t="s">
        <v>18045</v>
      </c>
      <c r="H19235" t="s">
        <v>35543</v>
      </c>
    </row>
    <row r="19236" spans="1:8">
      <c r="H19236" t="s">
        <v>35544</v>
      </c>
    </row>
    <row r="19237" spans="1:8">
      <c r="A19237" t="s">
        <v>3549</v>
      </c>
      <c r="B19237">
        <f>HYPERLINK("https://android.googlesource.com/platform/cts/+/206f1b68df1fccaab547759338ff334d22616c6f", "206f1b68df1fccaab547759338ff334d22616c6f")</f>
        <v>0</v>
      </c>
      <c r="C19237">
        <f>HYPERLINK("https://android.googlesource.com/platform/cts/+/ac008bf0ff1714ffb37154567d7fa9aaade91d57", "ac008bf0ff1714ffb37154567d7fa9aaade91d57")</f>
        <v>0</v>
      </c>
      <c r="D19237" t="s">
        <v>5586</v>
      </c>
      <c r="E19237" t="s">
        <v>9245</v>
      </c>
      <c r="F19237" t="s">
        <v>13992</v>
      </c>
      <c r="G19237" t="s">
        <v>16620</v>
      </c>
      <c r="H19237" t="s">
        <v>35470</v>
      </c>
    </row>
    <row r="19238" spans="1:8">
      <c r="A19238" t="s">
        <v>3550</v>
      </c>
      <c r="B19238">
        <f>HYPERLINK("https://android.googlesource.com/platform/cts/+/33f78ee32e879f6a0ef271264b391c370770d914", "33f78ee32e879f6a0ef271264b391c370770d914")</f>
        <v>0</v>
      </c>
      <c r="C19238">
        <f>HYPERLINK("https://android.googlesource.com/platform/cts/+/10721726f4477f534addc39b0291eacfab7734ed", "10721726f4477f534addc39b0291eacfab7734ed")</f>
        <v>0</v>
      </c>
      <c r="D19238" t="s">
        <v>5290</v>
      </c>
      <c r="E19238" t="s">
        <v>9246</v>
      </c>
      <c r="F19238" t="s">
        <v>14350</v>
      </c>
      <c r="G19238" t="s">
        <v>18301</v>
      </c>
      <c r="H19238" t="s">
        <v>35549</v>
      </c>
    </row>
    <row r="19239" spans="1:8">
      <c r="A19239" t="s">
        <v>3551</v>
      </c>
      <c r="B19239">
        <f>HYPERLINK("https://android.googlesource.com/platform/cts/+/0c35cc2e801c0deaa00c84b2f3753a16e5d5000f", "0c35cc2e801c0deaa00c84b2f3753a16e5d5000f")</f>
        <v>0</v>
      </c>
      <c r="C19239">
        <f>HYPERLINK("https://android.googlesource.com/platform/cts/+/48ed8de64232d459d14bfd50614f985e5d4163c2", "48ed8de64232d459d14bfd50614f985e5d4163c2")</f>
        <v>0</v>
      </c>
      <c r="D19239" t="s">
        <v>5474</v>
      </c>
      <c r="E19239" t="s">
        <v>9247</v>
      </c>
      <c r="F19239" t="s">
        <v>14351</v>
      </c>
      <c r="G19239" t="s">
        <v>18302</v>
      </c>
      <c r="H19239" t="s">
        <v>18916</v>
      </c>
    </row>
    <row r="19240" spans="1:8">
      <c r="A19240" t="s">
        <v>3553</v>
      </c>
      <c r="B19240">
        <f>HYPERLINK("https://android.googlesource.com/platform/cts/+/0138863190bbcf9572442132b155155dce02a367", "0138863190bbcf9572442132b155155dce02a367")</f>
        <v>0</v>
      </c>
      <c r="C19240">
        <f>HYPERLINK("https://android.googlesource.com/platform/cts/+/60dbc583890a78ed1945452520adc8610b0cd34d", "60dbc583890a78ed1945452520adc8610b0cd34d")</f>
        <v>0</v>
      </c>
      <c r="D19240" t="s">
        <v>5338</v>
      </c>
      <c r="E19240" t="s">
        <v>9249</v>
      </c>
      <c r="F19240" t="s">
        <v>14353</v>
      </c>
      <c r="G19240" t="s">
        <v>18303</v>
      </c>
      <c r="H19240" t="s">
        <v>35551</v>
      </c>
    </row>
    <row r="19241" spans="1:8">
      <c r="F19241" t="s">
        <v>14354</v>
      </c>
      <c r="G19241" t="s">
        <v>18304</v>
      </c>
      <c r="H19241" t="s">
        <v>35553</v>
      </c>
    </row>
    <row r="19242" spans="1:8">
      <c r="F19242" t="s">
        <v>14340</v>
      </c>
      <c r="G19242" t="s">
        <v>18292</v>
      </c>
      <c r="H19242" t="s">
        <v>34590</v>
      </c>
    </row>
    <row r="19243" spans="1:8">
      <c r="H19243" t="s">
        <v>34591</v>
      </c>
    </row>
    <row r="19244" spans="1:8">
      <c r="H19244" t="s">
        <v>34592</v>
      </c>
    </row>
    <row r="19245" spans="1:8">
      <c r="H19245" t="s">
        <v>34593</v>
      </c>
    </row>
    <row r="19246" spans="1:8">
      <c r="H19246" t="s">
        <v>34594</v>
      </c>
    </row>
    <row r="19247" spans="1:8">
      <c r="H19247" t="s">
        <v>34595</v>
      </c>
    </row>
    <row r="19248" spans="1:8">
      <c r="H19248" t="s">
        <v>34596</v>
      </c>
    </row>
    <row r="19249" spans="6:8">
      <c r="H19249" t="s">
        <v>34597</v>
      </c>
    </row>
    <row r="19250" spans="6:8">
      <c r="H19250" t="s">
        <v>34598</v>
      </c>
    </row>
    <row r="19251" spans="6:8">
      <c r="H19251" t="s">
        <v>34599</v>
      </c>
    </row>
    <row r="19252" spans="6:8">
      <c r="H19252" t="s">
        <v>34600</v>
      </c>
    </row>
    <row r="19253" spans="6:8">
      <c r="H19253" t="s">
        <v>34601</v>
      </c>
    </row>
    <row r="19254" spans="6:8">
      <c r="H19254" t="s">
        <v>34602</v>
      </c>
    </row>
    <row r="19255" spans="6:8">
      <c r="H19255" t="s">
        <v>34603</v>
      </c>
    </row>
    <row r="19256" spans="6:8">
      <c r="H19256" t="s">
        <v>34604</v>
      </c>
    </row>
    <row r="19257" spans="6:8">
      <c r="H19257" t="s">
        <v>34605</v>
      </c>
    </row>
    <row r="19258" spans="6:8">
      <c r="H19258" t="s">
        <v>34613</v>
      </c>
    </row>
    <row r="19259" spans="6:8">
      <c r="H19259" t="s">
        <v>35554</v>
      </c>
    </row>
    <row r="19260" spans="6:8">
      <c r="H19260" t="s">
        <v>34614</v>
      </c>
    </row>
    <row r="19261" spans="6:8">
      <c r="H19261" t="s">
        <v>34615</v>
      </c>
    </row>
    <row r="19262" spans="6:8">
      <c r="H19262" t="s">
        <v>34612</v>
      </c>
    </row>
    <row r="19263" spans="6:8">
      <c r="F19263" t="s">
        <v>14237</v>
      </c>
      <c r="G19263" t="s">
        <v>18207</v>
      </c>
      <c r="H19263" t="s">
        <v>35555</v>
      </c>
    </row>
    <row r="19264" spans="6:8">
      <c r="H19264" t="s">
        <v>35556</v>
      </c>
    </row>
    <row r="19265" spans="8:8">
      <c r="H19265" t="s">
        <v>35557</v>
      </c>
    </row>
    <row r="19266" spans="8:8">
      <c r="H19266" t="s">
        <v>35558</v>
      </c>
    </row>
    <row r="19267" spans="8:8">
      <c r="H19267" t="s">
        <v>35559</v>
      </c>
    </row>
    <row r="19268" spans="8:8">
      <c r="H19268" t="s">
        <v>35560</v>
      </c>
    </row>
    <row r="19269" spans="8:8">
      <c r="H19269" t="s">
        <v>35561</v>
      </c>
    </row>
    <row r="19270" spans="8:8">
      <c r="H19270" t="s">
        <v>35562</v>
      </c>
    </row>
    <row r="19271" spans="8:8">
      <c r="H19271" t="s">
        <v>35563</v>
      </c>
    </row>
    <row r="19272" spans="8:8">
      <c r="H19272" t="s">
        <v>35564</v>
      </c>
    </row>
    <row r="19273" spans="8:8">
      <c r="H19273" t="s">
        <v>35565</v>
      </c>
    </row>
    <row r="19274" spans="8:8">
      <c r="H19274" t="s">
        <v>35566</v>
      </c>
    </row>
    <row r="19275" spans="8:8">
      <c r="H19275" t="s">
        <v>34606</v>
      </c>
    </row>
    <row r="19276" spans="8:8">
      <c r="H19276" t="s">
        <v>35567</v>
      </c>
    </row>
    <row r="19277" spans="8:8">
      <c r="H19277" t="s">
        <v>35568</v>
      </c>
    </row>
    <row r="19278" spans="8:8">
      <c r="H19278" t="s">
        <v>35569</v>
      </c>
    </row>
    <row r="19279" spans="8:8">
      <c r="H19279" t="s">
        <v>35570</v>
      </c>
    </row>
    <row r="19280" spans="8:8">
      <c r="H19280" t="s">
        <v>35571</v>
      </c>
    </row>
    <row r="19281" spans="6:8">
      <c r="H19281" t="s">
        <v>35572</v>
      </c>
    </row>
    <row r="19282" spans="6:8">
      <c r="H19282" t="s">
        <v>35573</v>
      </c>
    </row>
    <row r="19283" spans="6:8">
      <c r="H19283" t="s">
        <v>35574</v>
      </c>
    </row>
    <row r="19284" spans="6:8">
      <c r="H19284" t="s">
        <v>35575</v>
      </c>
    </row>
    <row r="19285" spans="6:8">
      <c r="H19285" t="s">
        <v>35576</v>
      </c>
    </row>
    <row r="19286" spans="6:8">
      <c r="H19286" t="s">
        <v>34234</v>
      </c>
    </row>
    <row r="19287" spans="6:8">
      <c r="H19287" t="s">
        <v>35577</v>
      </c>
    </row>
    <row r="19288" spans="6:8">
      <c r="F19288" t="s">
        <v>14227</v>
      </c>
      <c r="G19288" t="s">
        <v>18199</v>
      </c>
      <c r="H19288" t="s">
        <v>34590</v>
      </c>
    </row>
    <row r="19289" spans="6:8">
      <c r="H19289" t="s">
        <v>34591</v>
      </c>
    </row>
    <row r="19290" spans="6:8">
      <c r="H19290" t="s">
        <v>34592</v>
      </c>
    </row>
    <row r="19291" spans="6:8">
      <c r="H19291" t="s">
        <v>35555</v>
      </c>
    </row>
    <row r="19292" spans="6:8">
      <c r="H19292" t="s">
        <v>34593</v>
      </c>
    </row>
    <row r="19293" spans="6:8">
      <c r="H19293" t="s">
        <v>34594</v>
      </c>
    </row>
    <row r="19294" spans="6:8">
      <c r="H19294" t="s">
        <v>35566</v>
      </c>
    </row>
    <row r="19295" spans="6:8">
      <c r="H19295" t="s">
        <v>35556</v>
      </c>
    </row>
    <row r="19296" spans="6:8">
      <c r="H19296" t="s">
        <v>35557</v>
      </c>
    </row>
    <row r="19297" spans="8:8">
      <c r="H19297" t="s">
        <v>34595</v>
      </c>
    </row>
    <row r="19298" spans="8:8">
      <c r="H19298" t="s">
        <v>34596</v>
      </c>
    </row>
    <row r="19299" spans="8:8">
      <c r="H19299" t="s">
        <v>34597</v>
      </c>
    </row>
    <row r="19300" spans="8:8">
      <c r="H19300" t="s">
        <v>35558</v>
      </c>
    </row>
    <row r="19301" spans="8:8">
      <c r="H19301" t="s">
        <v>35559</v>
      </c>
    </row>
    <row r="19302" spans="8:8">
      <c r="H19302" t="s">
        <v>34598</v>
      </c>
    </row>
    <row r="19303" spans="8:8">
      <c r="H19303" t="s">
        <v>34599</v>
      </c>
    </row>
    <row r="19304" spans="8:8">
      <c r="H19304" t="s">
        <v>35579</v>
      </c>
    </row>
    <row r="19305" spans="8:8">
      <c r="H19305" t="s">
        <v>35580</v>
      </c>
    </row>
    <row r="19306" spans="8:8">
      <c r="H19306" t="s">
        <v>35581</v>
      </c>
    </row>
    <row r="19307" spans="8:8">
      <c r="H19307" t="s">
        <v>35582</v>
      </c>
    </row>
    <row r="19308" spans="8:8">
      <c r="H19308" t="s">
        <v>35583</v>
      </c>
    </row>
    <row r="19309" spans="8:8">
      <c r="H19309" t="s">
        <v>35584</v>
      </c>
    </row>
    <row r="19310" spans="8:8">
      <c r="H19310" t="s">
        <v>35585</v>
      </c>
    </row>
    <row r="19311" spans="8:8">
      <c r="H19311" t="s">
        <v>35586</v>
      </c>
    </row>
    <row r="19312" spans="8:8">
      <c r="H19312" t="s">
        <v>35587</v>
      </c>
    </row>
    <row r="19313" spans="8:8">
      <c r="H19313" t="s">
        <v>35588</v>
      </c>
    </row>
    <row r="19314" spans="8:8">
      <c r="H19314" t="s">
        <v>35589</v>
      </c>
    </row>
    <row r="19315" spans="8:8">
      <c r="H19315" t="s">
        <v>35590</v>
      </c>
    </row>
    <row r="19316" spans="8:8">
      <c r="H19316" t="s">
        <v>35591</v>
      </c>
    </row>
    <row r="19317" spans="8:8">
      <c r="H19317" t="s">
        <v>35592</v>
      </c>
    </row>
    <row r="19318" spans="8:8">
      <c r="H19318" t="s">
        <v>35594</v>
      </c>
    </row>
    <row r="19319" spans="8:8">
      <c r="H19319" t="s">
        <v>35595</v>
      </c>
    </row>
    <row r="19320" spans="8:8">
      <c r="H19320" t="s">
        <v>35596</v>
      </c>
    </row>
    <row r="19321" spans="8:8">
      <c r="H19321" t="s">
        <v>35597</v>
      </c>
    </row>
    <row r="19322" spans="8:8">
      <c r="H19322" t="s">
        <v>35598</v>
      </c>
    </row>
    <row r="19323" spans="8:8">
      <c r="H19323" t="s">
        <v>35599</v>
      </c>
    </row>
    <row r="19324" spans="8:8">
      <c r="H19324" t="s">
        <v>35600</v>
      </c>
    </row>
    <row r="19325" spans="8:8">
      <c r="H19325" t="s">
        <v>35601</v>
      </c>
    </row>
    <row r="19326" spans="8:8">
      <c r="H19326" t="s">
        <v>34604</v>
      </c>
    </row>
    <row r="19327" spans="8:8">
      <c r="H19327" t="s">
        <v>34605</v>
      </c>
    </row>
    <row r="19328" spans="8:8">
      <c r="H19328" t="s">
        <v>34606</v>
      </c>
    </row>
    <row r="19329" spans="8:8">
      <c r="H19329" t="s">
        <v>35561</v>
      </c>
    </row>
    <row r="19330" spans="8:8">
      <c r="H19330" t="s">
        <v>35562</v>
      </c>
    </row>
    <row r="19331" spans="8:8">
      <c r="H19331" t="s">
        <v>34602</v>
      </c>
    </row>
    <row r="19332" spans="8:8">
      <c r="H19332" t="s">
        <v>35563</v>
      </c>
    </row>
    <row r="19333" spans="8:8">
      <c r="H19333" t="s">
        <v>34603</v>
      </c>
    </row>
    <row r="19334" spans="8:8">
      <c r="H19334" t="s">
        <v>35564</v>
      </c>
    </row>
    <row r="19335" spans="8:8">
      <c r="H19335" t="s">
        <v>35565</v>
      </c>
    </row>
    <row r="19336" spans="8:8">
      <c r="H19336" t="s">
        <v>35604</v>
      </c>
    </row>
    <row r="19337" spans="8:8">
      <c r="H19337" t="s">
        <v>34609</v>
      </c>
    </row>
    <row r="19338" spans="8:8">
      <c r="H19338" t="s">
        <v>34610</v>
      </c>
    </row>
    <row r="19339" spans="8:8">
      <c r="H19339" t="s">
        <v>34611</v>
      </c>
    </row>
    <row r="19340" spans="8:8">
      <c r="H19340" t="s">
        <v>35568</v>
      </c>
    </row>
    <row r="19341" spans="8:8">
      <c r="H19341" t="s">
        <v>35569</v>
      </c>
    </row>
    <row r="19342" spans="8:8">
      <c r="H19342" t="s">
        <v>35570</v>
      </c>
    </row>
    <row r="19343" spans="8:8">
      <c r="H19343" t="s">
        <v>35572</v>
      </c>
    </row>
    <row r="19344" spans="8:8">
      <c r="H19344" t="s">
        <v>35571</v>
      </c>
    </row>
    <row r="19345" spans="1:8">
      <c r="H19345" t="s">
        <v>34612</v>
      </c>
    </row>
    <row r="19346" spans="1:8">
      <c r="H19346" t="s">
        <v>35573</v>
      </c>
    </row>
    <row r="19347" spans="1:8">
      <c r="H19347" t="s">
        <v>34613</v>
      </c>
    </row>
    <row r="19348" spans="1:8">
      <c r="H19348" t="s">
        <v>34614</v>
      </c>
    </row>
    <row r="19349" spans="1:8">
      <c r="H19349" t="s">
        <v>34615</v>
      </c>
    </row>
    <row r="19350" spans="1:8">
      <c r="H19350" t="s">
        <v>35574</v>
      </c>
    </row>
    <row r="19351" spans="1:8">
      <c r="H19351" t="s">
        <v>35575</v>
      </c>
    </row>
    <row r="19352" spans="1:8">
      <c r="H19352" t="s">
        <v>35576</v>
      </c>
    </row>
    <row r="19353" spans="1:8">
      <c r="H19353" t="s">
        <v>34234</v>
      </c>
    </row>
    <row r="19354" spans="1:8">
      <c r="H19354" t="s">
        <v>35577</v>
      </c>
    </row>
    <row r="19355" spans="1:8">
      <c r="A19355" t="s">
        <v>3555</v>
      </c>
      <c r="B19355">
        <f>HYPERLINK("https://android.googlesource.com/platform/cts/+/669ff082132104e42230b68eb54a9a9817ed5736", "669ff082132104e42230b68eb54a9a9817ed5736")</f>
        <v>0</v>
      </c>
      <c r="C19355">
        <f>HYPERLINK("https://android.googlesource.com/platform/cts/+/6d3b722efa61fab0a10ab857a5cc83bbe949fd6e", "6d3b722efa61fab0a10ab857a5cc83bbe949fd6e")</f>
        <v>0</v>
      </c>
      <c r="D19355" t="s">
        <v>5509</v>
      </c>
      <c r="E19355" t="s">
        <v>9251</v>
      </c>
      <c r="F19355" t="s">
        <v>12368</v>
      </c>
      <c r="G19355" t="s">
        <v>16595</v>
      </c>
      <c r="H19355" t="s">
        <v>35607</v>
      </c>
    </row>
    <row r="19356" spans="1:8">
      <c r="H19356" t="s">
        <v>35608</v>
      </c>
    </row>
    <row r="19357" spans="1:8">
      <c r="A19357" t="s">
        <v>3564</v>
      </c>
      <c r="B19357">
        <f>HYPERLINK("https://android.googlesource.com/platform/cts/+/c450167c7626def6b8168e405a6fafd9c459a35e", "c450167c7626def6b8168e405a6fafd9c459a35e")</f>
        <v>0</v>
      </c>
      <c r="C19357">
        <f>HYPERLINK("https://android.googlesource.com/platform/cts/+/ab1c0376c6d774a555e09fb68886b57d27ad77b0", "ab1c0376c6d774a555e09fb68886b57d27ad77b0")</f>
        <v>0</v>
      </c>
      <c r="D19357" t="s">
        <v>5452</v>
      </c>
      <c r="E19357" t="s">
        <v>9260</v>
      </c>
      <c r="F19357" t="s">
        <v>14118</v>
      </c>
      <c r="G19357" t="s">
        <v>18110</v>
      </c>
      <c r="H19357" t="s">
        <v>35614</v>
      </c>
    </row>
    <row r="19358" spans="1:8">
      <c r="H19358" t="s">
        <v>35615</v>
      </c>
    </row>
    <row r="19359" spans="1:8">
      <c r="A19359" t="s">
        <v>3565</v>
      </c>
      <c r="B19359">
        <f>HYPERLINK("https://android.googlesource.com/platform/cts/+/5ee2d13e4f2e07a2605e6959b5aa8ef484d26f83", "5ee2d13e4f2e07a2605e6959b5aa8ef484d26f83")</f>
        <v>0</v>
      </c>
      <c r="C19359">
        <f>HYPERLINK("https://android.googlesource.com/platform/cts/+/a68a229ed2b39165a2dc51590490d012bc66dc10", "a68a229ed2b39165a2dc51590490d012bc66dc10")</f>
        <v>0</v>
      </c>
      <c r="D19359" t="s">
        <v>5589</v>
      </c>
      <c r="E19359" t="s">
        <v>9261</v>
      </c>
      <c r="F19359" t="s">
        <v>14356</v>
      </c>
      <c r="G19359" t="s">
        <v>18306</v>
      </c>
      <c r="H19359" t="s">
        <v>32846</v>
      </c>
    </row>
    <row r="19360" spans="1:8">
      <c r="A19360" t="s">
        <v>3567</v>
      </c>
      <c r="B19360">
        <f>HYPERLINK("https://android.googlesource.com/platform/cts/+/603232c8685fd1cdefe6649789882fabc9ae8208", "603232c8685fd1cdefe6649789882fabc9ae8208")</f>
        <v>0</v>
      </c>
      <c r="C19360">
        <f>HYPERLINK("https://android.googlesource.com/platform/cts/+/47b5f1e3a743b392cf329a8051dd1c24be9e5931", "47b5f1e3a743b392cf329a8051dd1c24be9e5931")</f>
        <v>0</v>
      </c>
      <c r="D19360" t="s">
        <v>5590</v>
      </c>
      <c r="E19360" t="s">
        <v>9263</v>
      </c>
      <c r="F19360" t="s">
        <v>12700</v>
      </c>
      <c r="G19360" t="s">
        <v>16903</v>
      </c>
      <c r="H19360" t="s">
        <v>30633</v>
      </c>
    </row>
    <row r="19361" spans="1:8">
      <c r="F19361" t="s">
        <v>14358</v>
      </c>
      <c r="G19361" t="s">
        <v>17681</v>
      </c>
      <c r="H19361" t="s">
        <v>25988</v>
      </c>
    </row>
    <row r="19362" spans="1:8">
      <c r="A19362" t="s">
        <v>3568</v>
      </c>
      <c r="B19362">
        <f>HYPERLINK("https://android.googlesource.com/platform/cts/+/94ea2cabb3eb6356287d2c3354cf894bd7cc6909", "94ea2cabb3eb6356287d2c3354cf894bd7cc6909")</f>
        <v>0</v>
      </c>
      <c r="C19362">
        <f>HYPERLINK("https://android.googlesource.com/platform/cts/+/1c6c7d1a81c513f20c04b1ad469370bf31d150c1", "1c6c7d1a81c513f20c04b1ad469370bf31d150c1")</f>
        <v>0</v>
      </c>
      <c r="D19362" t="s">
        <v>5591</v>
      </c>
      <c r="E19362" t="s">
        <v>9264</v>
      </c>
      <c r="F19362" t="s">
        <v>14359</v>
      </c>
      <c r="G19362" t="s">
        <v>17156</v>
      </c>
      <c r="H19362" t="s">
        <v>35616</v>
      </c>
    </row>
    <row r="19363" spans="1:8">
      <c r="A19363" t="s">
        <v>3570</v>
      </c>
      <c r="B19363">
        <f>HYPERLINK("https://android.googlesource.com/platform/cts/+/4629a0d02216300cccf54bbd117714b8816aeab7", "4629a0d02216300cccf54bbd117714b8816aeab7")</f>
        <v>0</v>
      </c>
      <c r="C19363">
        <f>HYPERLINK("https://android.googlesource.com/platform/cts/+/ab1c0376c6d774a555e09fb68886b57d27ad77b0", "ab1c0376c6d774a555e09fb68886b57d27ad77b0")</f>
        <v>0</v>
      </c>
      <c r="D19363" t="s">
        <v>5338</v>
      </c>
      <c r="E19363" t="s">
        <v>9267</v>
      </c>
      <c r="F19363" t="s">
        <v>14353</v>
      </c>
      <c r="G19363" t="s">
        <v>18303</v>
      </c>
      <c r="H19363" t="s">
        <v>35604</v>
      </c>
    </row>
    <row r="19364" spans="1:8">
      <c r="A19364" t="s">
        <v>3571</v>
      </c>
      <c r="B19364">
        <f>HYPERLINK("https://android.googlesource.com/platform/cts/+/8cffd0983c8722a4edfd8a0817bbf5dea9a879b4", "8cffd0983c8722a4edfd8a0817bbf5dea9a879b4")</f>
        <v>0</v>
      </c>
      <c r="C19364">
        <f>HYPERLINK("https://android.googlesource.com/platform/cts/+/e1f83e5e0d681c1f8ffd451342581afbd30727af", "e1f83e5e0d681c1f8ffd451342581afbd30727af")</f>
        <v>0</v>
      </c>
      <c r="D19364" t="s">
        <v>4965</v>
      </c>
      <c r="E19364" t="s">
        <v>9268</v>
      </c>
      <c r="F19364" t="s">
        <v>14361</v>
      </c>
      <c r="G19364" t="s">
        <v>18308</v>
      </c>
      <c r="H19364" t="s">
        <v>35619</v>
      </c>
    </row>
    <row r="19365" spans="1:8">
      <c r="A19365" t="s">
        <v>3572</v>
      </c>
      <c r="B19365">
        <f>HYPERLINK("https://android.googlesource.com/platform/cts/+/716d3968778d0cec3cdcf1d6f63f2e416cfbb3f2", "716d3968778d0cec3cdcf1d6f63f2e416cfbb3f2")</f>
        <v>0</v>
      </c>
      <c r="C19365">
        <f>HYPERLINK("https://android.googlesource.com/platform/cts/+/1b52f32fec75c7a352090de40099db51bca9bc9f", "1b52f32fec75c7a352090de40099db51bca9bc9f")</f>
        <v>0</v>
      </c>
      <c r="D19365" t="s">
        <v>5460</v>
      </c>
      <c r="E19365" t="s">
        <v>9269</v>
      </c>
      <c r="F19365" t="s">
        <v>14362</v>
      </c>
      <c r="G19365" t="s">
        <v>18309</v>
      </c>
      <c r="H19365" t="s">
        <v>35620</v>
      </c>
    </row>
    <row r="19366" spans="1:8">
      <c r="A19366" t="s">
        <v>3575</v>
      </c>
      <c r="B19366">
        <f>HYPERLINK("https://android.googlesource.com/platform/cts/+/740f57d2a3988a3322a39968ff78f2d455dedfe0", "740f57d2a3988a3322a39968ff78f2d455dedfe0")</f>
        <v>0</v>
      </c>
      <c r="C19366">
        <f>HYPERLINK("https://android.googlesource.com/platform/cts/+/e92a808cfdb80a10930dbc32004482c2d4378f6c", "e92a808cfdb80a10930dbc32004482c2d4378f6c")</f>
        <v>0</v>
      </c>
      <c r="D19366" t="s">
        <v>5172</v>
      </c>
      <c r="E19366" t="s">
        <v>9272</v>
      </c>
      <c r="F19366" t="s">
        <v>14363</v>
      </c>
      <c r="G19366" t="s">
        <v>18310</v>
      </c>
      <c r="H19366" t="s">
        <v>35621</v>
      </c>
    </row>
    <row r="19367" spans="1:8">
      <c r="A19367" t="s">
        <v>3577</v>
      </c>
      <c r="B19367">
        <f>HYPERLINK("https://android.googlesource.com/platform/cts/+/272a3dcd31e95978736040616d891ab02bc545b8", "272a3dcd31e95978736040616d891ab02bc545b8")</f>
        <v>0</v>
      </c>
      <c r="C19367">
        <f>HYPERLINK("https://android.googlesource.com/platform/cts/+/578efc8dc2444938788a8f38ed1c523209dd065e", "578efc8dc2444938788a8f38ed1c523209dd065e")</f>
        <v>0</v>
      </c>
      <c r="D19367" t="s">
        <v>5592</v>
      </c>
      <c r="E19367" t="s">
        <v>9274</v>
      </c>
      <c r="F19367" t="s">
        <v>13555</v>
      </c>
      <c r="G19367" t="s">
        <v>17362</v>
      </c>
      <c r="H19367" t="s">
        <v>28659</v>
      </c>
    </row>
    <row r="19368" spans="1:8">
      <c r="A19368" t="s">
        <v>3579</v>
      </c>
      <c r="B19368">
        <f>HYPERLINK("https://android.googlesource.com/platform/cts/+/965d590a9553482458b51d95821898ded81cc3f7", "965d590a9553482458b51d95821898ded81cc3f7")</f>
        <v>0</v>
      </c>
      <c r="C19368">
        <f>HYPERLINK("https://android.googlesource.com/platform/cts/+/72539ebe4ee947ba91b8dd8997232533f3d89f57", "72539ebe4ee947ba91b8dd8997232533f3d89f57")</f>
        <v>0</v>
      </c>
      <c r="D19368" t="s">
        <v>5576</v>
      </c>
      <c r="E19368" t="s">
        <v>9276</v>
      </c>
      <c r="F19368" t="s">
        <v>14364</v>
      </c>
      <c r="G19368" t="s">
        <v>18311</v>
      </c>
      <c r="H19368" t="s">
        <v>35624</v>
      </c>
    </row>
    <row r="19369" spans="1:8">
      <c r="H19369" t="s">
        <v>35625</v>
      </c>
    </row>
    <row r="19370" spans="1:8">
      <c r="F19370" t="s">
        <v>14365</v>
      </c>
      <c r="G19370" t="s">
        <v>18312</v>
      </c>
      <c r="H19370" t="s">
        <v>35631</v>
      </c>
    </row>
    <row r="19371" spans="1:8">
      <c r="H19371" t="s">
        <v>35632</v>
      </c>
    </row>
    <row r="19372" spans="1:8">
      <c r="H19372" t="s">
        <v>35633</v>
      </c>
    </row>
    <row r="19373" spans="1:8">
      <c r="H19373" t="s">
        <v>35634</v>
      </c>
    </row>
    <row r="19374" spans="1:8">
      <c r="H19374" t="s">
        <v>35635</v>
      </c>
    </row>
    <row r="19375" spans="1:8">
      <c r="A19375" t="s">
        <v>3580</v>
      </c>
      <c r="B19375">
        <f>HYPERLINK("https://android.googlesource.com/platform/cts/+/d1f33a1d9c9a362c4c7fd413f98c9caf59d7ef5f", "d1f33a1d9c9a362c4c7fd413f98c9caf59d7ef5f")</f>
        <v>0</v>
      </c>
      <c r="C19375">
        <f>HYPERLINK("https://android.googlesource.com/platform/cts/+/1d23325c7c40ba1953c0e9a144760cc71bc5466c", "1d23325c7c40ba1953c0e9a144760cc71bc5466c")</f>
        <v>0</v>
      </c>
      <c r="D19375" t="s">
        <v>5593</v>
      </c>
      <c r="E19375" t="s">
        <v>9277</v>
      </c>
      <c r="F19375" t="s">
        <v>14325</v>
      </c>
      <c r="G19375" t="s">
        <v>18282</v>
      </c>
      <c r="H19375" t="s">
        <v>35361</v>
      </c>
    </row>
    <row r="19376" spans="1:8">
      <c r="H19376" t="s">
        <v>35362</v>
      </c>
    </row>
    <row r="19377" spans="1:8">
      <c r="H19377" t="s">
        <v>35363</v>
      </c>
    </row>
    <row r="19378" spans="1:8">
      <c r="A19378" t="s">
        <v>3582</v>
      </c>
      <c r="B19378">
        <f>HYPERLINK("https://android.googlesource.com/platform/cts/+/137fe48ac871a5d7742c8d436cfd488499e33d02", "137fe48ac871a5d7742c8d436cfd488499e33d02")</f>
        <v>0</v>
      </c>
      <c r="C19378">
        <f>HYPERLINK("https://android.googlesource.com/platform/cts/+/29c178269ce848f702582b231b167c4a33a7b62f", "29c178269ce848f702582b231b167c4a33a7b62f")</f>
        <v>0</v>
      </c>
      <c r="D19378" t="s">
        <v>5576</v>
      </c>
      <c r="E19378" t="s">
        <v>9279</v>
      </c>
      <c r="F19378" t="s">
        <v>14364</v>
      </c>
      <c r="G19378" t="s">
        <v>18311</v>
      </c>
      <c r="H19378" t="s">
        <v>35624</v>
      </c>
    </row>
    <row r="19379" spans="1:8">
      <c r="H19379" t="s">
        <v>35625</v>
      </c>
    </row>
    <row r="19380" spans="1:8">
      <c r="F19380" t="s">
        <v>14365</v>
      </c>
      <c r="G19380" t="s">
        <v>18312</v>
      </c>
      <c r="H19380" t="s">
        <v>35631</v>
      </c>
    </row>
    <row r="19381" spans="1:8">
      <c r="H19381" t="s">
        <v>35632</v>
      </c>
    </row>
    <row r="19382" spans="1:8">
      <c r="H19382" t="s">
        <v>35633</v>
      </c>
    </row>
    <row r="19383" spans="1:8">
      <c r="H19383" t="s">
        <v>35634</v>
      </c>
    </row>
    <row r="19384" spans="1:8">
      <c r="H19384" t="s">
        <v>35635</v>
      </c>
    </row>
    <row r="19385" spans="1:8">
      <c r="A19385" t="s">
        <v>3583</v>
      </c>
      <c r="B19385">
        <f>HYPERLINK("https://android.googlesource.com/platform/cts/+/243c09441556d33d043498791e125ef23981aea8", "243c09441556d33d043498791e125ef23981aea8")</f>
        <v>0</v>
      </c>
      <c r="C19385">
        <f>HYPERLINK("https://android.googlesource.com/platform/cts/+/3492046a8020e91c6cc16af0dad9a03f06b60542", "3492046a8020e91c6cc16af0dad9a03f06b60542")</f>
        <v>0</v>
      </c>
      <c r="D19385" t="s">
        <v>5594</v>
      </c>
      <c r="E19385" t="s">
        <v>9280</v>
      </c>
      <c r="F19385" t="s">
        <v>14096</v>
      </c>
      <c r="G19385" t="s">
        <v>18089</v>
      </c>
      <c r="H19385" t="s">
        <v>33394</v>
      </c>
    </row>
    <row r="19386" spans="1:8">
      <c r="H19386" t="s">
        <v>33395</v>
      </c>
    </row>
    <row r="19387" spans="1:8">
      <c r="A19387" t="s">
        <v>3584</v>
      </c>
      <c r="B19387">
        <f>HYPERLINK("https://android.googlesource.com/platform/cts/+/518075bb2d2765a6dc909577ea2e4bfc2d32d752", "518075bb2d2765a6dc909577ea2e4bfc2d32d752")</f>
        <v>0</v>
      </c>
      <c r="C19387">
        <f>HYPERLINK("https://android.googlesource.com/platform/cts/+/2dfe0faf482d24553c66016598061e5c02d10a83", "2dfe0faf482d24553c66016598061e5c02d10a83")</f>
        <v>0</v>
      </c>
      <c r="D19387" t="s">
        <v>5594</v>
      </c>
      <c r="E19387" t="s">
        <v>9281</v>
      </c>
      <c r="F19387" t="s">
        <v>14096</v>
      </c>
      <c r="G19387" t="s">
        <v>18089</v>
      </c>
      <c r="H19387" t="s">
        <v>33394</v>
      </c>
    </row>
    <row r="19388" spans="1:8">
      <c r="H19388" t="s">
        <v>33395</v>
      </c>
    </row>
    <row r="19389" spans="1:8">
      <c r="A19389" t="s">
        <v>3585</v>
      </c>
      <c r="B19389">
        <f>HYPERLINK("https://android.googlesource.com/platform/cts/+/ac18702b07e2bd7f10b7670d768162524875ed88", "ac18702b07e2bd7f10b7670d768162524875ed88")</f>
        <v>0</v>
      </c>
      <c r="C19389">
        <f>HYPERLINK("https://android.googlesource.com/platform/cts/+/f4e8ac0fb21b1c376eb57dbe0fac8cdfe5ce2a63", "f4e8ac0fb21b1c376eb57dbe0fac8cdfe5ce2a63")</f>
        <v>0</v>
      </c>
      <c r="D19389" t="s">
        <v>5290</v>
      </c>
      <c r="E19389" t="s">
        <v>9282</v>
      </c>
      <c r="F19389" t="s">
        <v>14350</v>
      </c>
      <c r="G19389" t="s">
        <v>18301</v>
      </c>
      <c r="H19389" t="s">
        <v>35639</v>
      </c>
    </row>
    <row r="19390" spans="1:8">
      <c r="H19390" t="s">
        <v>35640</v>
      </c>
    </row>
    <row r="19391" spans="1:8">
      <c r="A19391" t="s">
        <v>3586</v>
      </c>
      <c r="B19391">
        <f>HYPERLINK("https://android.googlesource.com/platform/cts/+/8dbab4b1ebf95fb4115fb20712bb8be0725a3c6d", "8dbab4b1ebf95fb4115fb20712bb8be0725a3c6d")</f>
        <v>0</v>
      </c>
      <c r="C19391">
        <f>HYPERLINK("https://android.googlesource.com/platform/cts/+/ba62c613379fa1e1b05bb0cd234d50fe466fe14d", "ba62c613379fa1e1b05bb0cd234d50fe466fe14d")</f>
        <v>0</v>
      </c>
      <c r="D19391" t="s">
        <v>5189</v>
      </c>
      <c r="E19391" t="s">
        <v>9283</v>
      </c>
      <c r="F19391" t="s">
        <v>12768</v>
      </c>
      <c r="G19391" t="s">
        <v>15710</v>
      </c>
      <c r="H19391" t="s">
        <v>35641</v>
      </c>
    </row>
    <row r="19392" spans="1:8">
      <c r="H19392" t="s">
        <v>35642</v>
      </c>
    </row>
    <row r="19393" spans="1:8">
      <c r="A19393" t="s">
        <v>3587</v>
      </c>
      <c r="B19393">
        <f>HYPERLINK("https://android.googlesource.com/platform/cts/+/f7fba69af21ab9c6993215e6308c8cde11c43866", "f7fba69af21ab9c6993215e6308c8cde11c43866")</f>
        <v>0</v>
      </c>
      <c r="C19393">
        <f>HYPERLINK("https://android.googlesource.com/platform/cts/+/64cb5b554e879c06cd327c5798727ad187f0c1b6", "64cb5b554e879c06cd327c5798727ad187f0c1b6")</f>
        <v>0</v>
      </c>
      <c r="D19393" t="s">
        <v>5409</v>
      </c>
      <c r="E19393" t="s">
        <v>9284</v>
      </c>
      <c r="F19393" t="s">
        <v>14366</v>
      </c>
      <c r="G19393" t="s">
        <v>18313</v>
      </c>
      <c r="H19393" t="s">
        <v>35643</v>
      </c>
    </row>
    <row r="19394" spans="1:8">
      <c r="A19394" t="s">
        <v>3588</v>
      </c>
      <c r="B19394">
        <f>HYPERLINK("https://android.googlesource.com/platform/cts/+/d4e9864eefe0f85319b622aa131b7ed01c0ac549", "d4e9864eefe0f85319b622aa131b7ed01c0ac549")</f>
        <v>0</v>
      </c>
      <c r="C19394">
        <f>HYPERLINK("https://android.googlesource.com/platform/cts/+/497aa577f5f03992175b5b354f517224968f87f8", "497aa577f5f03992175b5b354f517224968f87f8")</f>
        <v>0</v>
      </c>
      <c r="D19394" t="s">
        <v>5576</v>
      </c>
      <c r="E19394" t="s">
        <v>9285</v>
      </c>
      <c r="F19394" t="s">
        <v>14364</v>
      </c>
      <c r="G19394" t="s">
        <v>18311</v>
      </c>
      <c r="H19394" t="s">
        <v>35624</v>
      </c>
    </row>
    <row r="19395" spans="1:8">
      <c r="H19395" t="s">
        <v>35625</v>
      </c>
    </row>
    <row r="19396" spans="1:8">
      <c r="F19396" t="s">
        <v>14365</v>
      </c>
      <c r="G19396" t="s">
        <v>18312</v>
      </c>
      <c r="H19396" t="s">
        <v>35631</v>
      </c>
    </row>
    <row r="19397" spans="1:8">
      <c r="H19397" t="s">
        <v>35632</v>
      </c>
    </row>
    <row r="19398" spans="1:8">
      <c r="H19398" t="s">
        <v>35633</v>
      </c>
    </row>
    <row r="19399" spans="1:8">
      <c r="H19399" t="s">
        <v>35634</v>
      </c>
    </row>
    <row r="19400" spans="1:8">
      <c r="H19400" t="s">
        <v>35635</v>
      </c>
    </row>
    <row r="19401" spans="1:8">
      <c r="A19401" t="s">
        <v>3589</v>
      </c>
      <c r="B19401">
        <f>HYPERLINK("https://android.googlesource.com/platform/cts/+/775dfac6979493ef28fd212f5d4402d3a676189c", "775dfac6979493ef28fd212f5d4402d3a676189c")</f>
        <v>0</v>
      </c>
      <c r="C19401">
        <f>HYPERLINK("https://android.googlesource.com/platform/cts/+/d1f9faf14717d527034d4ccee660f8e82f54487a", "d1f9faf14717d527034d4ccee660f8e82f54487a")</f>
        <v>0</v>
      </c>
      <c r="D19401" t="s">
        <v>5576</v>
      </c>
      <c r="E19401" t="s">
        <v>9286</v>
      </c>
      <c r="F19401" t="s">
        <v>14364</v>
      </c>
      <c r="G19401" t="s">
        <v>18311</v>
      </c>
      <c r="H19401" t="s">
        <v>35624</v>
      </c>
    </row>
    <row r="19402" spans="1:8">
      <c r="H19402" t="s">
        <v>35625</v>
      </c>
    </row>
    <row r="19403" spans="1:8">
      <c r="F19403" t="s">
        <v>14365</v>
      </c>
      <c r="G19403" t="s">
        <v>18312</v>
      </c>
      <c r="H19403" t="s">
        <v>35631</v>
      </c>
    </row>
    <row r="19404" spans="1:8">
      <c r="H19404" t="s">
        <v>35632</v>
      </c>
    </row>
    <row r="19405" spans="1:8">
      <c r="H19405" t="s">
        <v>35633</v>
      </c>
    </row>
    <row r="19406" spans="1:8">
      <c r="H19406" t="s">
        <v>35634</v>
      </c>
    </row>
    <row r="19407" spans="1:8">
      <c r="H19407" t="s">
        <v>35635</v>
      </c>
    </row>
    <row r="19408" spans="1:8">
      <c r="A19408" t="s">
        <v>3590</v>
      </c>
      <c r="B19408">
        <f>HYPERLINK("https://android.googlesource.com/platform/cts/+/bc993bf15fe67ee6a11ab083cb69fa77d9fc5157", "bc993bf15fe67ee6a11ab083cb69fa77d9fc5157")</f>
        <v>0</v>
      </c>
      <c r="C19408">
        <f>HYPERLINK("https://android.googlesource.com/platform/cts/+/27358bdf67dbdb345d9278f34b7859ed8fd55715", "27358bdf67dbdb345d9278f34b7859ed8fd55715")</f>
        <v>0</v>
      </c>
      <c r="D19408" t="s">
        <v>5576</v>
      </c>
      <c r="E19408" t="s">
        <v>9287</v>
      </c>
      <c r="F19408" t="s">
        <v>14364</v>
      </c>
      <c r="G19408" t="s">
        <v>18311</v>
      </c>
      <c r="H19408" t="s">
        <v>35624</v>
      </c>
    </row>
    <row r="19409" spans="1:8">
      <c r="H19409" t="s">
        <v>35625</v>
      </c>
    </row>
    <row r="19410" spans="1:8">
      <c r="F19410" t="s">
        <v>14365</v>
      </c>
      <c r="G19410" t="s">
        <v>18312</v>
      </c>
      <c r="H19410" t="s">
        <v>35631</v>
      </c>
    </row>
    <row r="19411" spans="1:8">
      <c r="H19411" t="s">
        <v>35632</v>
      </c>
    </row>
    <row r="19412" spans="1:8">
      <c r="H19412" t="s">
        <v>35633</v>
      </c>
    </row>
    <row r="19413" spans="1:8">
      <c r="H19413" t="s">
        <v>35634</v>
      </c>
    </row>
    <row r="19414" spans="1:8">
      <c r="H19414" t="s">
        <v>35635</v>
      </c>
    </row>
    <row r="19415" spans="1:8">
      <c r="A19415" t="s">
        <v>3592</v>
      </c>
      <c r="B19415">
        <f>HYPERLINK("https://android.googlesource.com/platform/cts/+/e7e79cf75ee4c8b9faf4145098cae0a19aa59f9b", "e7e79cf75ee4c8b9faf4145098cae0a19aa59f9b")</f>
        <v>0</v>
      </c>
      <c r="C19415">
        <f>HYPERLINK("https://android.googlesource.com/platform/cts/+/a55fddd08b1db6c4668d593bb05f4b7954e74d6f", "a55fddd08b1db6c4668d593bb05f4b7954e74d6f")</f>
        <v>0</v>
      </c>
      <c r="D19415" t="s">
        <v>5473</v>
      </c>
      <c r="E19415" t="s">
        <v>9289</v>
      </c>
      <c r="F19415" t="s">
        <v>13352</v>
      </c>
      <c r="G19415" t="s">
        <v>17479</v>
      </c>
      <c r="H19415" t="s">
        <v>35644</v>
      </c>
    </row>
    <row r="19416" spans="1:8">
      <c r="A19416" t="s">
        <v>3596</v>
      </c>
      <c r="B19416">
        <f>HYPERLINK("https://android.googlesource.com/platform/cts/+/0c63ecd7ca015f5c15fad83aaacc234ef6fbedae", "0c63ecd7ca015f5c15fad83aaacc234ef6fbedae")</f>
        <v>0</v>
      </c>
      <c r="C19416">
        <f>HYPERLINK("https://android.googlesource.com/platform/cts/+/bba5db52cb663c6a29f980bca1649a714361d747", "bba5db52cb663c6a29f980bca1649a714361d747")</f>
        <v>0</v>
      </c>
      <c r="D19416" t="s">
        <v>5172</v>
      </c>
      <c r="E19416" t="s">
        <v>9293</v>
      </c>
      <c r="F19416" t="s">
        <v>14363</v>
      </c>
      <c r="G19416" t="s">
        <v>18310</v>
      </c>
      <c r="H19416" t="s">
        <v>35645</v>
      </c>
    </row>
    <row r="19417" spans="1:8">
      <c r="H19417" t="s">
        <v>35646</v>
      </c>
    </row>
    <row r="19418" spans="1:8">
      <c r="H19418" t="s">
        <v>35647</v>
      </c>
    </row>
    <row r="19419" spans="1:8">
      <c r="H19419" t="s">
        <v>35648</v>
      </c>
    </row>
    <row r="19420" spans="1:8">
      <c r="H19420" t="s">
        <v>35649</v>
      </c>
    </row>
    <row r="19421" spans="1:8">
      <c r="A19421" t="s">
        <v>3597</v>
      </c>
      <c r="B19421">
        <f>HYPERLINK("https://android.googlesource.com/platform/cts/+/c1b50cb8d55c2ea2c58c7408bad15e531cffccbb", "c1b50cb8d55c2ea2c58c7408bad15e531cffccbb")</f>
        <v>0</v>
      </c>
      <c r="C19421">
        <f>HYPERLINK("https://android.googlesource.com/platform/cts/+/0c63ecd7ca015f5c15fad83aaacc234ef6fbedae", "0c63ecd7ca015f5c15fad83aaacc234ef6fbedae")</f>
        <v>0</v>
      </c>
      <c r="D19421" t="s">
        <v>5172</v>
      </c>
      <c r="E19421" t="s">
        <v>9294</v>
      </c>
      <c r="F19421" t="s">
        <v>14363</v>
      </c>
      <c r="G19421" t="s">
        <v>18310</v>
      </c>
      <c r="H19421" t="s">
        <v>35650</v>
      </c>
    </row>
    <row r="19422" spans="1:8">
      <c r="A19422" t="s">
        <v>3599</v>
      </c>
      <c r="B19422">
        <f>HYPERLINK("https://android.googlesource.com/platform/cts/+/c9b135f36a162148e2af4da01fcc6f7cab793d1c", "c9b135f36a162148e2af4da01fcc6f7cab793d1c")</f>
        <v>0</v>
      </c>
      <c r="C19422">
        <f>HYPERLINK("https://android.googlesource.com/platform/cts/+/31d7f2b85fbdbef585330d0f1321c224d757cb96", "31d7f2b85fbdbef585330d0f1321c224d757cb96")</f>
        <v>0</v>
      </c>
      <c r="D19422" t="s">
        <v>5595</v>
      </c>
      <c r="E19422" t="s">
        <v>9296</v>
      </c>
      <c r="F19422" t="s">
        <v>14069</v>
      </c>
      <c r="G19422" t="s">
        <v>18067</v>
      </c>
      <c r="H19422" t="s">
        <v>35651</v>
      </c>
    </row>
    <row r="19423" spans="1:8">
      <c r="A19423" t="s">
        <v>3600</v>
      </c>
      <c r="B19423">
        <f>HYPERLINK("https://android.googlesource.com/platform/cts/+/e4f4f1f7b7cab3292cc5b25e7a372b03139dfb94", "e4f4f1f7b7cab3292cc5b25e7a372b03139dfb94")</f>
        <v>0</v>
      </c>
      <c r="C19423">
        <f>HYPERLINK("https://android.googlesource.com/platform/cts/+/102b80f2a97d19bd72064826b925d7a09fa207e3", "102b80f2a97d19bd72064826b925d7a09fa207e3")</f>
        <v>0</v>
      </c>
      <c r="D19423" t="s">
        <v>5449</v>
      </c>
      <c r="E19423" t="s">
        <v>9297</v>
      </c>
      <c r="F19423" t="s">
        <v>14368</v>
      </c>
      <c r="G19423" t="s">
        <v>18018</v>
      </c>
      <c r="H19423" t="s">
        <v>35653</v>
      </c>
    </row>
    <row r="19424" spans="1:8">
      <c r="A19424" t="s">
        <v>3604</v>
      </c>
      <c r="B19424">
        <f>HYPERLINK("https://android.googlesource.com/platform/cts/+/79008dedb3ab0d5fc07e6de06b79aaa1e539f856", "79008dedb3ab0d5fc07e6de06b79aaa1e539f856")</f>
        <v>0</v>
      </c>
      <c r="C19424">
        <f>HYPERLINK("https://android.googlesource.com/platform/cts/+/7876640469b31c9df8f24b018b75880d667640ba", "7876640469b31c9df8f24b018b75880d667640ba")</f>
        <v>0</v>
      </c>
      <c r="D19424" t="s">
        <v>5272</v>
      </c>
      <c r="E19424" t="s">
        <v>9301</v>
      </c>
      <c r="F19424" t="s">
        <v>14371</v>
      </c>
      <c r="G19424" t="s">
        <v>18315</v>
      </c>
      <c r="H19424" t="s">
        <v>35656</v>
      </c>
    </row>
    <row r="19425" spans="1:8">
      <c r="F19425" t="s">
        <v>14372</v>
      </c>
      <c r="G19425" t="s">
        <v>18316</v>
      </c>
      <c r="H19425" t="s">
        <v>35657</v>
      </c>
    </row>
    <row r="19426" spans="1:8">
      <c r="A19426" t="s">
        <v>3605</v>
      </c>
      <c r="B19426">
        <f>HYPERLINK("https://android.googlesource.com/platform/cts/+/2da34fba3cb892d7f44894967765d00327c2ede7", "2da34fba3cb892d7f44894967765d00327c2ede7")</f>
        <v>0</v>
      </c>
      <c r="C19426">
        <f>HYPERLINK("https://android.googlesource.com/platform/cts/+/98f55d32f99c90afc570fb68feb2b2d7df8bbe53", "98f55d32f99c90afc570fb68feb2b2d7df8bbe53")</f>
        <v>0</v>
      </c>
      <c r="D19426" t="s">
        <v>5172</v>
      </c>
      <c r="E19426" t="s">
        <v>9302</v>
      </c>
      <c r="F19426" t="s">
        <v>14363</v>
      </c>
      <c r="G19426" t="s">
        <v>18310</v>
      </c>
      <c r="H19426" t="s">
        <v>35658</v>
      </c>
    </row>
    <row r="19427" spans="1:8">
      <c r="H19427" t="s">
        <v>35659</v>
      </c>
    </row>
    <row r="19428" spans="1:8">
      <c r="A19428" t="s">
        <v>3607</v>
      </c>
      <c r="B19428">
        <f>HYPERLINK("https://android.googlesource.com/platform/cts/+/863aa55514471331042305af1d22fd061d1b7758", "863aa55514471331042305af1d22fd061d1b7758")</f>
        <v>0</v>
      </c>
      <c r="C19428">
        <f>HYPERLINK("https://android.googlesource.com/platform/cts/+/29b85fc36501627b66c40529b001c3e0d5c9db69", "29b85fc36501627b66c40529b001c3e0d5c9db69")</f>
        <v>0</v>
      </c>
      <c r="D19428" t="s">
        <v>5476</v>
      </c>
      <c r="E19428" t="s">
        <v>9303</v>
      </c>
      <c r="F19428" t="s">
        <v>14076</v>
      </c>
      <c r="G19428" t="s">
        <v>18074</v>
      </c>
      <c r="H19428" t="s">
        <v>33154</v>
      </c>
    </row>
    <row r="19429" spans="1:8">
      <c r="H19429" t="s">
        <v>33512</v>
      </c>
    </row>
    <row r="19430" spans="1:8">
      <c r="H19430" t="s">
        <v>33513</v>
      </c>
    </row>
    <row r="19431" spans="1:8">
      <c r="H19431" t="s">
        <v>33217</v>
      </c>
    </row>
    <row r="19432" spans="1:8">
      <c r="H19432" t="s">
        <v>35660</v>
      </c>
    </row>
    <row r="19433" spans="1:8">
      <c r="H19433" t="s">
        <v>35661</v>
      </c>
    </row>
    <row r="19434" spans="1:8">
      <c r="H19434" t="s">
        <v>35662</v>
      </c>
    </row>
    <row r="19435" spans="1:8">
      <c r="F19435" t="s">
        <v>14373</v>
      </c>
      <c r="G19435" t="s">
        <v>18317</v>
      </c>
      <c r="H19435" t="s">
        <v>33217</v>
      </c>
    </row>
    <row r="19436" spans="1:8">
      <c r="A19436" t="s">
        <v>3609</v>
      </c>
      <c r="B19436">
        <f>HYPERLINK("https://android.googlesource.com/platform/cts/+/6ef52f01f25ae198973721b31b1513b525f4e356", "6ef52f01f25ae198973721b31b1513b525f4e356")</f>
        <v>0</v>
      </c>
      <c r="C19436">
        <f>HYPERLINK("https://android.googlesource.com/platform/cts/+/02bd4fff603ecb6b1fa01d986448dbdfa561ccfd", "02bd4fff603ecb6b1fa01d986448dbdfa561ccfd")</f>
        <v>0</v>
      </c>
      <c r="D19436" t="s">
        <v>5338</v>
      </c>
      <c r="E19436" t="s">
        <v>9305</v>
      </c>
      <c r="F19436" t="s">
        <v>14237</v>
      </c>
      <c r="G19436" t="s">
        <v>18207</v>
      </c>
      <c r="H19436" t="s">
        <v>35673</v>
      </c>
    </row>
    <row r="19437" spans="1:8">
      <c r="H19437" t="s">
        <v>35674</v>
      </c>
    </row>
    <row r="19438" spans="1:8">
      <c r="H19438" t="s">
        <v>35675</v>
      </c>
    </row>
    <row r="19439" spans="1:8">
      <c r="H19439" t="s">
        <v>35676</v>
      </c>
    </row>
    <row r="19440" spans="1:8">
      <c r="H19440" t="s">
        <v>35677</v>
      </c>
    </row>
    <row r="19441" spans="1:8">
      <c r="F19441" t="s">
        <v>14227</v>
      </c>
      <c r="G19441" t="s">
        <v>18199</v>
      </c>
      <c r="H19441" t="s">
        <v>35673</v>
      </c>
    </row>
    <row r="19442" spans="1:8">
      <c r="H19442" t="s">
        <v>35675</v>
      </c>
    </row>
    <row r="19443" spans="1:8">
      <c r="H19443" t="s">
        <v>35674</v>
      </c>
    </row>
    <row r="19444" spans="1:8">
      <c r="H19444" t="s">
        <v>35567</v>
      </c>
    </row>
    <row r="19445" spans="1:8">
      <c r="H19445" t="s">
        <v>35676</v>
      </c>
    </row>
    <row r="19446" spans="1:8">
      <c r="A19446" t="s">
        <v>3610</v>
      </c>
      <c r="B19446">
        <f>HYPERLINK("https://android.googlesource.com/platform/cts/+/2dfec23107b07ad604d67765ceb2e2db5996f6e0", "2dfec23107b07ad604d67765ceb2e2db5996f6e0")</f>
        <v>0</v>
      </c>
      <c r="C19446">
        <f>HYPERLINK("https://android.googlesource.com/platform/cts/+/02bd4fff603ecb6b1fa01d986448dbdfa561ccfd", "02bd4fff603ecb6b1fa01d986448dbdfa561ccfd")</f>
        <v>0</v>
      </c>
      <c r="D19446" t="s">
        <v>5447</v>
      </c>
      <c r="E19446" t="s">
        <v>9306</v>
      </c>
      <c r="F19446" t="s">
        <v>12842</v>
      </c>
      <c r="G19446" t="s">
        <v>15690</v>
      </c>
      <c r="H19446" t="s">
        <v>35701</v>
      </c>
    </row>
    <row r="19447" spans="1:8">
      <c r="A19447" t="s">
        <v>3614</v>
      </c>
      <c r="B19447">
        <f>HYPERLINK("https://android.googlesource.com/platform/cts/+/1a3672e1c4b7054baeeec804e831aa5c1ef3260e", "1a3672e1c4b7054baeeec804e831aa5c1ef3260e")</f>
        <v>0</v>
      </c>
      <c r="C19447">
        <f>HYPERLINK("https://android.googlesource.com/platform/cts/+/ec7950d61a925e755a4edb7b70dea037347b8d4e", "ec7950d61a925e755a4edb7b70dea037347b8d4e")</f>
        <v>0</v>
      </c>
      <c r="D19447" t="s">
        <v>5481</v>
      </c>
      <c r="E19447" t="s">
        <v>9310</v>
      </c>
      <c r="F19447" t="s">
        <v>14375</v>
      </c>
      <c r="G19447" t="s">
        <v>18319</v>
      </c>
      <c r="H19447" t="s">
        <v>35711</v>
      </c>
    </row>
    <row r="19448" spans="1:8">
      <c r="H19448" t="s">
        <v>35712</v>
      </c>
    </row>
    <row r="19449" spans="1:8">
      <c r="A19449" t="s">
        <v>3618</v>
      </c>
      <c r="B19449">
        <f>HYPERLINK("https://android.googlesource.com/platform/cts/+/04f61b186f7df0868b4e6276cf0e2718b49cdb05", "04f61b186f7df0868b4e6276cf0e2718b49cdb05")</f>
        <v>0</v>
      </c>
      <c r="C19449">
        <f>HYPERLINK("https://android.googlesource.com/platform/cts/+/621d4ce1dce580d11f915c86381afa43fbc4f09e", "621d4ce1dce580d11f915c86381afa43fbc4f09e")</f>
        <v>0</v>
      </c>
      <c r="D19449" t="s">
        <v>5484</v>
      </c>
      <c r="E19449" t="s">
        <v>9313</v>
      </c>
      <c r="F19449" t="s">
        <v>14377</v>
      </c>
      <c r="G19449" t="s">
        <v>18321</v>
      </c>
      <c r="H19449" t="s">
        <v>35724</v>
      </c>
    </row>
    <row r="19450" spans="1:8">
      <c r="A19450" t="s">
        <v>3622</v>
      </c>
      <c r="B19450">
        <f>HYPERLINK("https://android.googlesource.com/platform/cts/+/85c73c9b8703857367027ec7cf045db05cad3959", "85c73c9b8703857367027ec7cf045db05cad3959")</f>
        <v>0</v>
      </c>
      <c r="C19450">
        <f>HYPERLINK("https://android.googlesource.com/platform/cts/+/2327f3ef31c3b4517ab5cb1bb0ef910e673276b4", "2327f3ef31c3b4517ab5cb1bb0ef910e673276b4")</f>
        <v>0</v>
      </c>
      <c r="D19450" t="s">
        <v>5596</v>
      </c>
      <c r="E19450" t="s">
        <v>9317</v>
      </c>
      <c r="F19450" t="s">
        <v>14380</v>
      </c>
      <c r="G19450" t="s">
        <v>18324</v>
      </c>
      <c r="H19450" t="s">
        <v>35740</v>
      </c>
    </row>
    <row r="19451" spans="1:8">
      <c r="A19451" t="s">
        <v>3623</v>
      </c>
      <c r="B19451">
        <f>HYPERLINK("https://android.googlesource.com/platform/cts/+/8d65fd974abf0e9d7c010e7758da8a87914767a0", "8d65fd974abf0e9d7c010e7758da8a87914767a0")</f>
        <v>0</v>
      </c>
      <c r="C19451">
        <f>HYPERLINK("https://android.googlesource.com/platform/cts/+/daf833b5e400aacde5f312c0263c99230cfe145d", "daf833b5e400aacde5f312c0263c99230cfe145d")</f>
        <v>0</v>
      </c>
      <c r="D19451" t="s">
        <v>5355</v>
      </c>
      <c r="E19451" t="s">
        <v>9318</v>
      </c>
      <c r="F19451" t="s">
        <v>13728</v>
      </c>
      <c r="G19451" t="s">
        <v>17790</v>
      </c>
      <c r="H19451" t="s">
        <v>35741</v>
      </c>
    </row>
    <row r="19452" spans="1:8">
      <c r="A19452" t="s">
        <v>3625</v>
      </c>
      <c r="B19452">
        <f>HYPERLINK("https://android.googlesource.com/platform/cts/+/f0110fcea425a1f615cc211df217447ef22d42a0", "f0110fcea425a1f615cc211df217447ef22d42a0")</f>
        <v>0</v>
      </c>
      <c r="C19452">
        <f>HYPERLINK("https://android.googlesource.com/platform/cts/+/84c4af3ae992b5f70664b5fbf331c7d9bdbb2459", "84c4af3ae992b5f70664b5fbf331c7d9bdbb2459")</f>
        <v>0</v>
      </c>
      <c r="D19452" t="s">
        <v>5409</v>
      </c>
      <c r="E19452" t="s">
        <v>9320</v>
      </c>
      <c r="F19452" t="s">
        <v>14382</v>
      </c>
      <c r="G19452" t="s">
        <v>18326</v>
      </c>
      <c r="H19452" t="s">
        <v>35744</v>
      </c>
    </row>
    <row r="19453" spans="1:8">
      <c r="A19453" t="s">
        <v>3627</v>
      </c>
      <c r="B19453">
        <f>HYPERLINK("https://android.googlesource.com/platform/cts/+/f3df80250737314b0ae76ec1396a4604f91fdf85", "f3df80250737314b0ae76ec1396a4604f91fdf85")</f>
        <v>0</v>
      </c>
      <c r="C19453">
        <f>HYPERLINK("https://android.googlesource.com/platform/cts/+/14b8c6f04c32ee2aaa5871ffcf3573364c5229a6", "14b8c6f04c32ee2aaa5871ffcf3573364c5229a6")</f>
        <v>0</v>
      </c>
      <c r="D19453" t="s">
        <v>5363</v>
      </c>
      <c r="E19453" t="s">
        <v>9322</v>
      </c>
      <c r="F19453" t="s">
        <v>14097</v>
      </c>
      <c r="G19453" t="s">
        <v>18090</v>
      </c>
      <c r="H19453" t="s">
        <v>33400</v>
      </c>
    </row>
    <row r="19454" spans="1:8">
      <c r="F19454" t="s">
        <v>14189</v>
      </c>
      <c r="G19454" t="s">
        <v>14997</v>
      </c>
      <c r="H19454" t="s">
        <v>35746</v>
      </c>
    </row>
    <row r="19455" spans="1:8">
      <c r="H19455" t="s">
        <v>35747</v>
      </c>
    </row>
    <row r="19456" spans="1:8">
      <c r="H19456" t="s">
        <v>32922</v>
      </c>
    </row>
    <row r="19457" spans="1:8">
      <c r="H19457" t="s">
        <v>32904</v>
      </c>
    </row>
    <row r="19458" spans="1:8">
      <c r="A19458" t="s">
        <v>3629</v>
      </c>
      <c r="B19458">
        <f>HYPERLINK("https://android.googlesource.com/platform/cts/+/1986437989eb6d08436c7f2a88ebb90dd92e4243", "1986437989eb6d08436c7f2a88ebb90dd92e4243")</f>
        <v>0</v>
      </c>
      <c r="C19458">
        <f>HYPERLINK("https://android.googlesource.com/platform/cts/+/bba587afac2691d0375baf8a9dd96c9f077b6588", "bba587afac2691d0375baf8a9dd96c9f077b6588")</f>
        <v>0</v>
      </c>
      <c r="D19458" t="s">
        <v>5568</v>
      </c>
      <c r="E19458" t="s">
        <v>9323</v>
      </c>
      <c r="F19458" t="s">
        <v>14352</v>
      </c>
      <c r="G19458" t="s">
        <v>18261</v>
      </c>
      <c r="H19458" t="s">
        <v>34782</v>
      </c>
    </row>
    <row r="19459" spans="1:8">
      <c r="H19459" t="s">
        <v>34531</v>
      </c>
    </row>
    <row r="19460" spans="1:8">
      <c r="H19460" t="s">
        <v>34783</v>
      </c>
    </row>
    <row r="19461" spans="1:8">
      <c r="H19461" t="s">
        <v>34559</v>
      </c>
    </row>
    <row r="19462" spans="1:8">
      <c r="H19462" t="s">
        <v>34560</v>
      </c>
    </row>
    <row r="19463" spans="1:8">
      <c r="A19463" t="s">
        <v>3630</v>
      </c>
      <c r="B19463">
        <f>HYPERLINK("https://android.googlesource.com/platform/cts/+/4e8a6d367b6568614391b323a466f60b17d4ef01", "4e8a6d367b6568614391b323a466f60b17d4ef01")</f>
        <v>0</v>
      </c>
      <c r="C19463">
        <f>HYPERLINK("https://android.googlesource.com/platform/cts/+/9a6a60a64131de1fef055d296970d6a7fdd8f18a", "9a6a60a64131de1fef055d296970d6a7fdd8f18a")</f>
        <v>0</v>
      </c>
      <c r="D19463" t="s">
        <v>5563</v>
      </c>
      <c r="E19463" t="s">
        <v>9324</v>
      </c>
      <c r="F19463" t="s">
        <v>14260</v>
      </c>
      <c r="G19463" t="s">
        <v>18227</v>
      </c>
      <c r="H19463" t="s">
        <v>34457</v>
      </c>
    </row>
    <row r="19464" spans="1:8">
      <c r="A19464" t="s">
        <v>3634</v>
      </c>
      <c r="B19464">
        <f>HYPERLINK("https://android.googlesource.com/platform/cts/+/3b6d77bc0ef3b2e4f4ac099f0f0bd8edba0c9f31", "3b6d77bc0ef3b2e4f4ac099f0f0bd8edba0c9f31")</f>
        <v>0</v>
      </c>
      <c r="C19464">
        <f>HYPERLINK("https://android.googlesource.com/platform/cts/+/85a8d740a7253e3e6adb0e9e68cefa48ca754e27", "85a8d740a7253e3e6adb0e9e68cefa48ca754e27")</f>
        <v>0</v>
      </c>
      <c r="D19464" t="s">
        <v>5598</v>
      </c>
      <c r="E19464" t="s">
        <v>9328</v>
      </c>
      <c r="F19464" t="s">
        <v>14388</v>
      </c>
      <c r="G19464" t="s">
        <v>17644</v>
      </c>
      <c r="H19464" t="s">
        <v>35754</v>
      </c>
    </row>
    <row r="19465" spans="1:8">
      <c r="A19465" t="s">
        <v>3636</v>
      </c>
      <c r="B19465">
        <f>HYPERLINK("https://android.googlesource.com/platform/cts/+/ae7c11a66974c127bc3758d03b18bf8e0fb7782a", "ae7c11a66974c127bc3758d03b18bf8e0fb7782a")</f>
        <v>0</v>
      </c>
      <c r="C19465">
        <f>HYPERLINK("https://android.googlesource.com/platform/cts/+/ad91678eeeddc900ae09aa92ade770ecfb357b40", "ad91678eeeddc900ae09aa92ade770ecfb357b40")</f>
        <v>0</v>
      </c>
      <c r="D19465" t="s">
        <v>5290</v>
      </c>
      <c r="E19465" t="s">
        <v>9330</v>
      </c>
      <c r="F19465" t="s">
        <v>14390</v>
      </c>
      <c r="G19465" t="s">
        <v>18331</v>
      </c>
      <c r="H19465" t="s">
        <v>32593</v>
      </c>
    </row>
    <row r="19466" spans="1:8">
      <c r="A19466" t="s">
        <v>3637</v>
      </c>
      <c r="B19466">
        <f>HYPERLINK("https://android.googlesource.com/platform/cts/+/9e9e2aa88003e97ad566be85b70047799af0ee3a", "9e9e2aa88003e97ad566be85b70047799af0ee3a")</f>
        <v>0</v>
      </c>
      <c r="C19466">
        <f>HYPERLINK("https://android.googlesource.com/platform/cts/+/0b290d8c8e2fddfb0e5383e0c19d8df745e82849", "0b290d8c8e2fddfb0e5383e0c19d8df745e82849")</f>
        <v>0</v>
      </c>
      <c r="D19466" t="s">
        <v>5599</v>
      </c>
      <c r="E19466" t="s">
        <v>9331</v>
      </c>
      <c r="F19466" t="s">
        <v>14392</v>
      </c>
      <c r="G19466" t="s">
        <v>18333</v>
      </c>
      <c r="H19466" t="s">
        <v>35767</v>
      </c>
    </row>
    <row r="19467" spans="1:8">
      <c r="H19467" t="s">
        <v>35768</v>
      </c>
    </row>
    <row r="19468" spans="1:8">
      <c r="A19468" t="s">
        <v>3638</v>
      </c>
      <c r="B19468">
        <f>HYPERLINK("https://android.googlesource.com/platform/cts/+/c077873a2a067c9568b577581dd822dda900e3f6", "c077873a2a067c9568b577581dd822dda900e3f6")</f>
        <v>0</v>
      </c>
      <c r="C19468">
        <f>HYPERLINK("https://android.googlesource.com/platform/cts/+/ad91678eeeddc900ae09aa92ade770ecfb357b40", "ad91678eeeddc900ae09aa92ade770ecfb357b40")</f>
        <v>0</v>
      </c>
      <c r="D19468" t="s">
        <v>5569</v>
      </c>
      <c r="E19468" t="s">
        <v>9332</v>
      </c>
      <c r="F19468" t="s">
        <v>13511</v>
      </c>
      <c r="G19468" t="s">
        <v>17628</v>
      </c>
      <c r="H19468" t="s">
        <v>35770</v>
      </c>
    </row>
    <row r="19469" spans="1:8">
      <c r="H19469" t="s">
        <v>35771</v>
      </c>
    </row>
    <row r="19470" spans="1:8">
      <c r="A19470" t="s">
        <v>3643</v>
      </c>
      <c r="B19470">
        <f>HYPERLINK("https://android.googlesource.com/platform/cts/+/9a6929cc1f3dd26e1cfcbc594bc9a9e8602b3c2e", "9a6929cc1f3dd26e1cfcbc594bc9a9e8602b3c2e")</f>
        <v>0</v>
      </c>
      <c r="C19470">
        <f>HYPERLINK("https://android.googlesource.com/platform/cts/+/2e24a4c03186a289c6ac4b5afc188c1f2e99237f", "2e24a4c03186a289c6ac4b5afc188c1f2e99237f")</f>
        <v>0</v>
      </c>
      <c r="D19470" t="s">
        <v>5470</v>
      </c>
      <c r="E19470" t="s">
        <v>9337</v>
      </c>
      <c r="F19470" t="s">
        <v>14394</v>
      </c>
      <c r="G19470" t="s">
        <v>17002</v>
      </c>
      <c r="H19470" t="s">
        <v>35786</v>
      </c>
    </row>
    <row r="19471" spans="1:8">
      <c r="A19471" t="s">
        <v>3644</v>
      </c>
      <c r="B19471">
        <f>HYPERLINK("https://android.googlesource.com/platform/cts/+/2b476735d744b485904994a26aa49e98a8fce80e", "2b476735d744b485904994a26aa49e98a8fce80e")</f>
        <v>0</v>
      </c>
      <c r="C19471">
        <f>HYPERLINK("https://android.googlesource.com/platform/cts/+/4082124096862b4d0fdd891f9aab2e9ee8e949b7", "4082124096862b4d0fdd891f9aab2e9ee8e949b7")</f>
        <v>0</v>
      </c>
      <c r="D19471" t="s">
        <v>5481</v>
      </c>
      <c r="E19471" t="s">
        <v>9338</v>
      </c>
      <c r="F19471" t="s">
        <v>14395</v>
      </c>
      <c r="G19471" t="s">
        <v>18334</v>
      </c>
      <c r="H19471" t="s">
        <v>35789</v>
      </c>
    </row>
    <row r="19472" spans="1:8">
      <c r="A19472" t="s">
        <v>3645</v>
      </c>
      <c r="B19472">
        <f>HYPERLINK("https://android.googlesource.com/platform/cts/+/4f6e1a29557fb11b8e81860266aa6233aeb0a730", "4f6e1a29557fb11b8e81860266aa6233aeb0a730")</f>
        <v>0</v>
      </c>
      <c r="C19472">
        <f>HYPERLINK("https://android.googlesource.com/platform/cts/+/9fc28c83dd068fae4229d06f62d3a50f58578881", "9fc28c83dd068fae4229d06f62d3a50f58578881")</f>
        <v>0</v>
      </c>
      <c r="D19472" t="s">
        <v>5357</v>
      </c>
      <c r="E19472" t="s">
        <v>9339</v>
      </c>
      <c r="F19472" t="s">
        <v>14396</v>
      </c>
      <c r="G19472" t="s">
        <v>18335</v>
      </c>
      <c r="H19472" t="s">
        <v>35790</v>
      </c>
    </row>
    <row r="19473" spans="1:8">
      <c r="H19473" t="s">
        <v>35791</v>
      </c>
    </row>
    <row r="19474" spans="1:8">
      <c r="H19474" t="s">
        <v>35792</v>
      </c>
    </row>
    <row r="19475" spans="1:8">
      <c r="H19475" t="s">
        <v>35793</v>
      </c>
    </row>
    <row r="19476" spans="1:8">
      <c r="H19476" t="s">
        <v>35794</v>
      </c>
    </row>
    <row r="19477" spans="1:8">
      <c r="H19477" t="s">
        <v>35795</v>
      </c>
    </row>
    <row r="19478" spans="1:8">
      <c r="H19478" t="s">
        <v>35796</v>
      </c>
    </row>
    <row r="19479" spans="1:8">
      <c r="H19479" t="s">
        <v>35797</v>
      </c>
    </row>
    <row r="19480" spans="1:8">
      <c r="H19480" t="s">
        <v>35798</v>
      </c>
    </row>
    <row r="19481" spans="1:8">
      <c r="H19481" t="s">
        <v>35799</v>
      </c>
    </row>
    <row r="19482" spans="1:8">
      <c r="A19482" t="s">
        <v>3646</v>
      </c>
      <c r="B19482">
        <f>HYPERLINK("https://android.googlesource.com/platform/cts/+/b548aac6081a6899e966d7a8d961f2a47147e244", "b548aac6081a6899e966d7a8d961f2a47147e244")</f>
        <v>0</v>
      </c>
      <c r="C19482">
        <f>HYPERLINK("https://android.googlesource.com/platform/cts/+/57fc44dcc189019aa2e7fa534087e8dcbc5e4b6f", "57fc44dcc189019aa2e7fa534087e8dcbc5e4b6f")</f>
        <v>0</v>
      </c>
      <c r="D19482" t="s">
        <v>5600</v>
      </c>
      <c r="E19482" t="s">
        <v>9340</v>
      </c>
      <c r="F19482" t="s">
        <v>14398</v>
      </c>
      <c r="G19482" t="s">
        <v>18337</v>
      </c>
      <c r="H19482" t="s">
        <v>35806</v>
      </c>
    </row>
    <row r="19483" spans="1:8">
      <c r="H19483" t="s">
        <v>35807</v>
      </c>
    </row>
    <row r="19484" spans="1:8">
      <c r="H19484" t="s">
        <v>35808</v>
      </c>
    </row>
    <row r="19485" spans="1:8">
      <c r="H19485" t="s">
        <v>35809</v>
      </c>
    </row>
    <row r="19486" spans="1:8">
      <c r="A19486" t="s">
        <v>3647</v>
      </c>
      <c r="B19486">
        <f>HYPERLINK("https://android.googlesource.com/platform/cts/+/a17420bd2bf72cbe35f95e190432bad039482cce", "a17420bd2bf72cbe35f95e190432bad039482cce")</f>
        <v>0</v>
      </c>
      <c r="C19486">
        <f>HYPERLINK("https://android.googlesource.com/platform/cts/+/e2fce9947573bd82c5486779c6fdaac5bfd41694", "e2fce9947573bd82c5486779c6fdaac5bfd41694")</f>
        <v>0</v>
      </c>
      <c r="D19486" t="s">
        <v>5290</v>
      </c>
      <c r="E19486" t="s">
        <v>9341</v>
      </c>
      <c r="F19486" t="s">
        <v>13136</v>
      </c>
      <c r="G19486" t="s">
        <v>17293</v>
      </c>
      <c r="H19486" t="s">
        <v>31218</v>
      </c>
    </row>
    <row r="19487" spans="1:8">
      <c r="A19487" t="s">
        <v>3649</v>
      </c>
      <c r="B19487">
        <f>HYPERLINK("https://android.googlesource.com/platform/cts/+/cc667a6e7c04a873fe9e93d2e7736f2dab9c5f51", "cc667a6e7c04a873fe9e93d2e7736f2dab9c5f51")</f>
        <v>0</v>
      </c>
      <c r="C19487">
        <f>HYPERLINK("https://android.googlesource.com/platform/cts/+/85a53b87aa9787f81e33a8d37ee973e259cd788e", "85a53b87aa9787f81e33a8d37ee973e259cd788e")</f>
        <v>0</v>
      </c>
      <c r="D19487" t="s">
        <v>5122</v>
      </c>
      <c r="E19487" t="s">
        <v>9343</v>
      </c>
      <c r="F19487" t="s">
        <v>14399</v>
      </c>
      <c r="G19487" t="s">
        <v>18042</v>
      </c>
      <c r="H19487" t="s">
        <v>35810</v>
      </c>
    </row>
    <row r="19488" spans="1:8">
      <c r="A19488" t="s">
        <v>3650</v>
      </c>
      <c r="B19488">
        <f>HYPERLINK("https://android.googlesource.com/platform/cts/+/700041392600676be14d21f1f8d6211795cf7ea2", "700041392600676be14d21f1f8d6211795cf7ea2")</f>
        <v>0</v>
      </c>
      <c r="C19488">
        <f>HYPERLINK("https://android.googlesource.com/platform/cts/+/1eeed57bd9d9716017397afd6cd690d41ca34d0a", "1eeed57bd9d9716017397afd6cd690d41ca34d0a")</f>
        <v>0</v>
      </c>
      <c r="D19488" t="s">
        <v>5601</v>
      </c>
      <c r="E19488" t="s">
        <v>9344</v>
      </c>
      <c r="F19488" t="s">
        <v>14400</v>
      </c>
      <c r="G19488" t="s">
        <v>18338</v>
      </c>
      <c r="H19488" t="s">
        <v>35811</v>
      </c>
    </row>
    <row r="19489" spans="1:8">
      <c r="A19489" t="s">
        <v>3653</v>
      </c>
      <c r="B19489">
        <f>HYPERLINK("https://android.googlesource.com/platform/cts/+/96b2c8b149bd7844f6aecc38062ffc84532ffc98", "96b2c8b149bd7844f6aecc38062ffc84532ffc98")</f>
        <v>0</v>
      </c>
      <c r="C19489">
        <f>HYPERLINK("https://android.googlesource.com/platform/cts/+/9bb281447a206f2744b7a5013ff2923b08879dd3", "9bb281447a206f2744b7a5013ff2923b08879dd3")</f>
        <v>0</v>
      </c>
      <c r="D19489" t="s">
        <v>5602</v>
      </c>
      <c r="E19489" t="s">
        <v>9347</v>
      </c>
      <c r="F19489" t="s">
        <v>12659</v>
      </c>
      <c r="G19489" t="s">
        <v>16864</v>
      </c>
      <c r="H19489" t="s">
        <v>26118</v>
      </c>
    </row>
    <row r="19490" spans="1:8">
      <c r="F19490" t="s">
        <v>12646</v>
      </c>
      <c r="G19490" t="s">
        <v>14989</v>
      </c>
      <c r="H19490" t="s">
        <v>26118</v>
      </c>
    </row>
    <row r="19491" spans="1:8">
      <c r="A19491" t="s">
        <v>3655</v>
      </c>
      <c r="B19491">
        <f>HYPERLINK("https://android.googlesource.com/platform/cts/+/deb679b8f6c25eccf0ffcdcf19906cb108e526b0", "deb679b8f6c25eccf0ffcdcf19906cb108e526b0")</f>
        <v>0</v>
      </c>
      <c r="C19491">
        <f>HYPERLINK("https://android.googlesource.com/platform/cts/+/1ad342522f300c79503fe6c5e9f7be5e6e8a6ce8", "1ad342522f300c79503fe6c5e9f7be5e6e8a6ce8")</f>
        <v>0</v>
      </c>
      <c r="D19491" t="s">
        <v>5476</v>
      </c>
      <c r="E19491" t="s">
        <v>9349</v>
      </c>
      <c r="F19491" t="s">
        <v>14403</v>
      </c>
      <c r="G19491" t="s">
        <v>18341</v>
      </c>
      <c r="H19491" t="s">
        <v>35815</v>
      </c>
    </row>
    <row r="19492" spans="1:8">
      <c r="A19492" t="s">
        <v>3656</v>
      </c>
      <c r="B19492">
        <f>HYPERLINK("https://android.googlesource.com/platform/cts/+/66105c386ba0503ef3b6d6ef24b2e5420382d62d", "66105c386ba0503ef3b6d6ef24b2e5420382d62d")</f>
        <v>0</v>
      </c>
      <c r="C19492">
        <f>HYPERLINK("https://android.googlesource.com/platform/cts/+/bd4d419ab7ee040a7127faffb889d626a642c96c", "bd4d419ab7ee040a7127faffb889d626a642c96c")</f>
        <v>0</v>
      </c>
      <c r="D19492" t="s">
        <v>5172</v>
      </c>
      <c r="E19492" t="s">
        <v>9350</v>
      </c>
      <c r="F19492" t="s">
        <v>14404</v>
      </c>
      <c r="G19492" t="s">
        <v>18342</v>
      </c>
      <c r="H19492" t="s">
        <v>35816</v>
      </c>
    </row>
    <row r="19493" spans="1:8">
      <c r="A19493" t="s">
        <v>3657</v>
      </c>
      <c r="B19493">
        <f>HYPERLINK("https://android.googlesource.com/platform/cts/+/840728b25e4b5151a740d3ea022b9b5f5b974f29", "840728b25e4b5151a740d3ea022b9b5f5b974f29")</f>
        <v>0</v>
      </c>
      <c r="C19493">
        <f>HYPERLINK("https://android.googlesource.com/platform/cts/+/659cd92d3e2f52db91937af8bcec11f6256d21fb", "659cd92d3e2f52db91937af8bcec11f6256d21fb")</f>
        <v>0</v>
      </c>
      <c r="D19493" t="s">
        <v>5341</v>
      </c>
      <c r="E19493" t="s">
        <v>9351</v>
      </c>
      <c r="F19493" t="s">
        <v>13827</v>
      </c>
      <c r="G19493" t="s">
        <v>17871</v>
      </c>
      <c r="H19493" t="s">
        <v>35817</v>
      </c>
    </row>
    <row r="19494" spans="1:8">
      <c r="A19494" t="s">
        <v>3658</v>
      </c>
      <c r="B19494">
        <f>HYPERLINK("https://android.googlesource.com/platform/cts/+/7c6d5e5f21c3863f5b68715d297bee8d031edba0", "7c6d5e5f21c3863f5b68715d297bee8d031edba0")</f>
        <v>0</v>
      </c>
      <c r="C19494">
        <f>HYPERLINK("https://android.googlesource.com/platform/cts/+/45a4f985e46c5dfc7934b3d64a11ed0c31811b02", "45a4f985e46c5dfc7934b3d64a11ed0c31811b02")</f>
        <v>0</v>
      </c>
      <c r="D19494" t="s">
        <v>5134</v>
      </c>
      <c r="E19494" t="s">
        <v>9352</v>
      </c>
      <c r="F19494" t="s">
        <v>12746</v>
      </c>
      <c r="G19494" t="s">
        <v>16938</v>
      </c>
      <c r="H19494" t="s">
        <v>35820</v>
      </c>
    </row>
    <row r="19495" spans="1:8">
      <c r="A19495" t="s">
        <v>3660</v>
      </c>
      <c r="B19495">
        <f>HYPERLINK("https://android.googlesource.com/platform/cts/+/1ca518c1ec75b8307126991ae2d253911b2be10c", "1ca518c1ec75b8307126991ae2d253911b2be10c")</f>
        <v>0</v>
      </c>
      <c r="C19495">
        <f>HYPERLINK("https://android.googlesource.com/platform/cts/+/be11279225d8e713d04a92fbb67f5ee6a579e8ae", "be11279225d8e713d04a92fbb67f5ee6a579e8ae")</f>
        <v>0</v>
      </c>
      <c r="D19495" t="s">
        <v>5153</v>
      </c>
      <c r="E19495" t="s">
        <v>9354</v>
      </c>
      <c r="F19495" t="s">
        <v>14408</v>
      </c>
      <c r="G19495" t="s">
        <v>18346</v>
      </c>
      <c r="H19495" t="s">
        <v>35824</v>
      </c>
    </row>
    <row r="19496" spans="1:8">
      <c r="H19496" t="s">
        <v>35825</v>
      </c>
    </row>
    <row r="19497" spans="1:8">
      <c r="H19497" t="s">
        <v>35826</v>
      </c>
    </row>
    <row r="19498" spans="1:8">
      <c r="H19498" t="s">
        <v>35827</v>
      </c>
    </row>
    <row r="19499" spans="1:8">
      <c r="H19499" t="s">
        <v>35828</v>
      </c>
    </row>
    <row r="19500" spans="1:8">
      <c r="H19500" t="s">
        <v>35829</v>
      </c>
    </row>
    <row r="19501" spans="1:8">
      <c r="F19501" t="s">
        <v>14409</v>
      </c>
      <c r="G19501" t="s">
        <v>18347</v>
      </c>
      <c r="H19501" t="s">
        <v>35824</v>
      </c>
    </row>
    <row r="19502" spans="1:8">
      <c r="H19502" t="s">
        <v>35825</v>
      </c>
    </row>
    <row r="19503" spans="1:8">
      <c r="H19503" t="s">
        <v>35826</v>
      </c>
    </row>
    <row r="19504" spans="1:8">
      <c r="H19504" t="s">
        <v>35827</v>
      </c>
    </row>
    <row r="19505" spans="1:8">
      <c r="H19505" t="s">
        <v>35828</v>
      </c>
    </row>
    <row r="19506" spans="1:8">
      <c r="H19506" t="s">
        <v>35829</v>
      </c>
    </row>
    <row r="19507" spans="1:8">
      <c r="A19507" t="s">
        <v>3663</v>
      </c>
      <c r="B19507">
        <f>HYPERLINK("https://android.googlesource.com/platform/cts/+/c752d30b1b5ce680986f79ee5e3da80875bd0aaa", "c752d30b1b5ce680986f79ee5e3da80875bd0aaa")</f>
        <v>0</v>
      </c>
      <c r="C19507">
        <f>HYPERLINK("https://android.googlesource.com/platform/cts/+/7a4c4215fdc12ce3ee551dcc7c1d6356832aa8d2", "7a4c4215fdc12ce3ee551dcc7c1d6356832aa8d2")</f>
        <v>0</v>
      </c>
      <c r="D19507" t="s">
        <v>5454</v>
      </c>
      <c r="E19507" t="s">
        <v>9357</v>
      </c>
      <c r="F19507" t="s">
        <v>14261</v>
      </c>
      <c r="G19507" t="s">
        <v>18228</v>
      </c>
      <c r="H19507" t="s">
        <v>35834</v>
      </c>
    </row>
    <row r="19508" spans="1:8">
      <c r="A19508" t="s">
        <v>3666</v>
      </c>
      <c r="B19508">
        <f>HYPERLINK("https://android.googlesource.com/platform/cts/+/00a2a679bb6c1bb425295ee68f88cfa74e664cba", "00a2a679bb6c1bb425295ee68f88cfa74e664cba")</f>
        <v>0</v>
      </c>
      <c r="C19508">
        <f>HYPERLINK("https://android.googlesource.com/platform/cts/+/e9d1e5ec15a4498e236d8ed555bf2a58c0b94e96", "e9d1e5ec15a4498e236d8ed555bf2a58c0b94e96")</f>
        <v>0</v>
      </c>
      <c r="D19508" t="s">
        <v>5467</v>
      </c>
      <c r="E19508" t="s">
        <v>9360</v>
      </c>
      <c r="F19508" t="s">
        <v>14413</v>
      </c>
      <c r="G19508" t="s">
        <v>18351</v>
      </c>
      <c r="H19508" t="s">
        <v>35836</v>
      </c>
    </row>
    <row r="19509" spans="1:8">
      <c r="A19509" t="s">
        <v>3668</v>
      </c>
      <c r="B19509">
        <f>HYPERLINK("https://android.googlesource.com/platform/cts/+/fa59f3619cb53ca6dc028257425bf9fd732b80c5", "fa59f3619cb53ca6dc028257425bf9fd732b80c5")</f>
        <v>0</v>
      </c>
      <c r="C19509">
        <f>HYPERLINK("https://android.googlesource.com/platform/cts/+/fa136b4e17b354e7a5467c86ccdaeb91b9692b5b", "fa136b4e17b354e7a5467c86ccdaeb91b9692b5b")</f>
        <v>0</v>
      </c>
      <c r="D19509" t="s">
        <v>5603</v>
      </c>
      <c r="E19509" t="s">
        <v>9362</v>
      </c>
      <c r="F19509" t="s">
        <v>13812</v>
      </c>
      <c r="G19509" t="s">
        <v>17859</v>
      </c>
      <c r="H19509" t="s">
        <v>35838</v>
      </c>
    </row>
    <row r="19510" spans="1:8">
      <c r="A19510" t="s">
        <v>3670</v>
      </c>
      <c r="B19510">
        <f>HYPERLINK("https://android.googlesource.com/platform/cts/+/e61862fbf2ee482f7c6bf12c796e242f7292a544", "e61862fbf2ee482f7c6bf12c796e242f7292a544")</f>
        <v>0</v>
      </c>
      <c r="C19510">
        <f>HYPERLINK("https://android.googlesource.com/platform/cts/+/80add1aab6c2040bf283aa30d723bef3b90e7b17", "80add1aab6c2040bf283aa30d723bef3b90e7b17")</f>
        <v>0</v>
      </c>
      <c r="D19510" t="s">
        <v>5409</v>
      </c>
      <c r="E19510" t="s">
        <v>9364</v>
      </c>
      <c r="F19510" t="s">
        <v>14415</v>
      </c>
      <c r="G19510" t="s">
        <v>18353</v>
      </c>
      <c r="H19510" t="s">
        <v>35839</v>
      </c>
    </row>
    <row r="19511" spans="1:8">
      <c r="H19511" t="s">
        <v>35840</v>
      </c>
    </row>
    <row r="19512" spans="1:8">
      <c r="A19512" t="s">
        <v>3673</v>
      </c>
      <c r="B19512">
        <f>HYPERLINK("https://android.googlesource.com/platform/cts/+/1682aedd2fb21c28f1b6a1fb1b78d0627e6c5214", "1682aedd2fb21c28f1b6a1fb1b78d0627e6c5214")</f>
        <v>0</v>
      </c>
      <c r="C19512">
        <f>HYPERLINK("https://android.googlesource.com/platform/cts/+/b9a20510542359c8f2c1228b931742f0e51ecf6e", "b9a20510542359c8f2c1228b931742f0e51ecf6e")</f>
        <v>0</v>
      </c>
      <c r="D19512" t="s">
        <v>5604</v>
      </c>
      <c r="E19512" t="s">
        <v>9367</v>
      </c>
      <c r="F19512" t="s">
        <v>12931</v>
      </c>
      <c r="G19512" t="s">
        <v>17096</v>
      </c>
      <c r="H19512" t="s">
        <v>35847</v>
      </c>
    </row>
    <row r="19513" spans="1:8">
      <c r="H19513" t="s">
        <v>35848</v>
      </c>
    </row>
    <row r="19514" spans="1:8">
      <c r="A19514" t="s">
        <v>3681</v>
      </c>
      <c r="B19514">
        <f>HYPERLINK("https://android.googlesource.com/platform/cts/+/9c45f4205f7275431f35df51dbf72fee53c5c43f", "9c45f4205f7275431f35df51dbf72fee53c5c43f")</f>
        <v>0</v>
      </c>
      <c r="C19514">
        <f>HYPERLINK("https://android.googlesource.com/platform/cts/+/8954e8567aaa8a7b2fb2ef2d3fe6b0dfdcc1d72b", "8954e8567aaa8a7b2fb2ef2d3fe6b0dfdcc1d72b")</f>
        <v>0</v>
      </c>
      <c r="D19514" t="s">
        <v>5409</v>
      </c>
      <c r="E19514" t="s">
        <v>9374</v>
      </c>
      <c r="F19514" t="s">
        <v>14418</v>
      </c>
      <c r="G19514" t="s">
        <v>18356</v>
      </c>
      <c r="H19514" t="s">
        <v>35852</v>
      </c>
    </row>
    <row r="19515" spans="1:8">
      <c r="H19515" t="s">
        <v>35853</v>
      </c>
    </row>
    <row r="19516" spans="1:8">
      <c r="H19516" t="s">
        <v>35854</v>
      </c>
    </row>
    <row r="19517" spans="1:8">
      <c r="H19517" t="s">
        <v>35855</v>
      </c>
    </row>
    <row r="19518" spans="1:8">
      <c r="F19518" t="s">
        <v>14419</v>
      </c>
      <c r="G19518" t="s">
        <v>18357</v>
      </c>
      <c r="H19518" t="s">
        <v>35856</v>
      </c>
    </row>
    <row r="19519" spans="1:8">
      <c r="H19519" t="s">
        <v>35857</v>
      </c>
    </row>
    <row r="19520" spans="1:8">
      <c r="H19520" t="s">
        <v>35858</v>
      </c>
    </row>
    <row r="19521" spans="1:8">
      <c r="H19521" t="s">
        <v>35859</v>
      </c>
    </row>
    <row r="19522" spans="1:8">
      <c r="H19522" t="s">
        <v>35860</v>
      </c>
    </row>
    <row r="19523" spans="1:8">
      <c r="H19523" t="s">
        <v>35861</v>
      </c>
    </row>
    <row r="19524" spans="1:8">
      <c r="H19524" t="s">
        <v>35862</v>
      </c>
    </row>
    <row r="19525" spans="1:8">
      <c r="A19525" t="s">
        <v>3683</v>
      </c>
      <c r="B19525">
        <f>HYPERLINK("https://android.googlesource.com/platform/cts/+/24bcccc230dabfbaca82843ad91b887dad0a0a2e", "24bcccc230dabfbaca82843ad91b887dad0a0a2e")</f>
        <v>0</v>
      </c>
      <c r="C19525">
        <f>HYPERLINK("https://android.googlesource.com/platform/cts/+/7b3a54d3e7e54dcea549d309adebf67dc9ac4e7a", "7b3a54d3e7e54dcea549d309adebf67dc9ac4e7a")</f>
        <v>0</v>
      </c>
      <c r="D19525" t="s">
        <v>5605</v>
      </c>
      <c r="E19525" t="s">
        <v>9376</v>
      </c>
      <c r="F19525" t="s">
        <v>14165</v>
      </c>
      <c r="G19525" t="s">
        <v>17361</v>
      </c>
      <c r="H19525" t="s">
        <v>35864</v>
      </c>
    </row>
    <row r="19526" spans="1:8">
      <c r="A19526" t="s">
        <v>3684</v>
      </c>
      <c r="B19526">
        <f>HYPERLINK("https://android.googlesource.com/platform/cts/+/65d7e393944ad7754cb76b8cfff1148528094ad5", "65d7e393944ad7754cb76b8cfff1148528094ad5")</f>
        <v>0</v>
      </c>
      <c r="C19526">
        <f>HYPERLINK("https://android.googlesource.com/platform/cts/+/ff4749840999f59b24a3729f45d03f34f636d808", "ff4749840999f59b24a3729f45d03f34f636d808")</f>
        <v>0</v>
      </c>
      <c r="D19526" t="s">
        <v>5160</v>
      </c>
      <c r="E19526" t="s">
        <v>9377</v>
      </c>
      <c r="F19526" t="s">
        <v>14421</v>
      </c>
      <c r="G19526" t="s">
        <v>18359</v>
      </c>
      <c r="H19526" t="s">
        <v>35865</v>
      </c>
    </row>
    <row r="19527" spans="1:8">
      <c r="A19527" t="s">
        <v>3687</v>
      </c>
      <c r="B19527">
        <f>HYPERLINK("https://android.googlesource.com/platform/cts/+/109b7ea3a8556f30eb060af8fd366f31c10e323e", "109b7ea3a8556f30eb060af8fd366f31c10e323e")</f>
        <v>0</v>
      </c>
      <c r="C19527">
        <f>HYPERLINK("https://android.googlesource.com/platform/cts/+/4842a395a29440ea5092eb675cee9e7ec7270506", "4842a395a29440ea5092eb675cee9e7ec7270506")</f>
        <v>0</v>
      </c>
      <c r="D19527" t="s">
        <v>5556</v>
      </c>
      <c r="E19527" t="s">
        <v>9380</v>
      </c>
      <c r="F19527" t="s">
        <v>14423</v>
      </c>
      <c r="G19527" t="s">
        <v>18361</v>
      </c>
      <c r="H19527" t="s">
        <v>35868</v>
      </c>
    </row>
    <row r="19528" spans="1:8">
      <c r="H19528" t="s">
        <v>35869</v>
      </c>
    </row>
    <row r="19529" spans="1:8">
      <c r="H19529" t="s">
        <v>35870</v>
      </c>
    </row>
    <row r="19530" spans="1:8">
      <c r="H19530" t="s">
        <v>35871</v>
      </c>
    </row>
    <row r="19531" spans="1:8">
      <c r="H19531" t="s">
        <v>35872</v>
      </c>
    </row>
    <row r="19532" spans="1:8">
      <c r="H19532" t="s">
        <v>35873</v>
      </c>
    </row>
    <row r="19533" spans="1:8">
      <c r="H19533" t="s">
        <v>35874</v>
      </c>
    </row>
    <row r="19534" spans="1:8">
      <c r="H19534" t="s">
        <v>35875</v>
      </c>
    </row>
    <row r="19535" spans="1:8">
      <c r="H19535" t="s">
        <v>35876</v>
      </c>
    </row>
    <row r="19536" spans="1:8">
      <c r="F19536" t="s">
        <v>14401</v>
      </c>
      <c r="G19536" t="s">
        <v>18339</v>
      </c>
      <c r="H19536" t="s">
        <v>35868</v>
      </c>
    </row>
    <row r="19537" spans="1:8">
      <c r="A19537" t="s">
        <v>3689</v>
      </c>
      <c r="B19537">
        <f>HYPERLINK("https://android.googlesource.com/platform/cts/+/52523ea6f997e2e17c103f5a58a04c32903c5444", "52523ea6f997e2e17c103f5a58a04c32903c5444")</f>
        <v>0</v>
      </c>
      <c r="C19537">
        <f>HYPERLINK("https://android.googlesource.com/platform/cts/+/80e640446b498be1ab931f11b8e7b45621af3e05", "80e640446b498be1ab931f11b8e7b45621af3e05")</f>
        <v>0</v>
      </c>
      <c r="D19537" t="s">
        <v>5426</v>
      </c>
      <c r="E19537" t="s">
        <v>9382</v>
      </c>
      <c r="F19537" t="s">
        <v>14424</v>
      </c>
      <c r="G19537" t="s">
        <v>18362</v>
      </c>
      <c r="H19537" t="s">
        <v>35877</v>
      </c>
    </row>
    <row r="19538" spans="1:8">
      <c r="H19538" t="s">
        <v>35878</v>
      </c>
    </row>
    <row r="19539" spans="1:8">
      <c r="A19539" t="s">
        <v>3690</v>
      </c>
      <c r="B19539">
        <f>HYPERLINK("https://android.googlesource.com/platform/cts/+/8ac626d8c1bfe72bae4a2118f98287576768ef07", "8ac626d8c1bfe72bae4a2118f98287576768ef07")</f>
        <v>0</v>
      </c>
      <c r="C19539">
        <f>HYPERLINK("https://android.googlesource.com/platform/cts/+/254ce309f042650ee33d952d1c2fa6b30b879f92", "254ce309f042650ee33d952d1c2fa6b30b879f92")</f>
        <v>0</v>
      </c>
      <c r="D19539" t="s">
        <v>5591</v>
      </c>
      <c r="E19539" t="s">
        <v>9383</v>
      </c>
      <c r="F19539" t="s">
        <v>10794</v>
      </c>
      <c r="G19539" t="s">
        <v>15189</v>
      </c>
      <c r="H19539" t="s">
        <v>35879</v>
      </c>
    </row>
    <row r="19540" spans="1:8">
      <c r="A19540" t="s">
        <v>3691</v>
      </c>
      <c r="B19540">
        <f>HYPERLINK("https://android.googlesource.com/platform/cts/+/119b728e53bdda3042b9285cb9b9d2928221d68a", "119b728e53bdda3042b9285cb9b9d2928221d68a")</f>
        <v>0</v>
      </c>
      <c r="C19540">
        <f>HYPERLINK("https://android.googlesource.com/platform/cts/+/f6a2fb718b0b1e6ca3e6df81eb8b44d4beeee1a2", "f6a2fb718b0b1e6ca3e6df81eb8b44d4beeee1a2")</f>
        <v>0</v>
      </c>
      <c r="D19540" t="s">
        <v>5607</v>
      </c>
      <c r="E19540" t="s">
        <v>9384</v>
      </c>
      <c r="F19540" t="s">
        <v>13087</v>
      </c>
      <c r="G19540" t="s">
        <v>17249</v>
      </c>
      <c r="H19540" t="s">
        <v>35880</v>
      </c>
    </row>
    <row r="19541" spans="1:8">
      <c r="A19541" t="s">
        <v>3693</v>
      </c>
      <c r="B19541">
        <f>HYPERLINK("https://android.googlesource.com/platform/cts/+/e591a3a7fab090e387741a7a6a898d79a784adf0", "e591a3a7fab090e387741a7a6a898d79a784adf0")</f>
        <v>0</v>
      </c>
      <c r="C19541">
        <f>HYPERLINK("https://android.googlesource.com/platform/cts/+/66fcbbde6611cdac546e8128674526f4f1fad5ef", "66fcbbde6611cdac546e8128674526f4f1fad5ef")</f>
        <v>0</v>
      </c>
      <c r="D19541" t="s">
        <v>5608</v>
      </c>
      <c r="E19541" t="s">
        <v>9386</v>
      </c>
      <c r="F19541" t="s">
        <v>12787</v>
      </c>
      <c r="G19541" t="s">
        <v>16971</v>
      </c>
      <c r="H19541" t="s">
        <v>35881</v>
      </c>
    </row>
    <row r="19542" spans="1:8">
      <c r="A19542" t="s">
        <v>3697</v>
      </c>
      <c r="B19542">
        <f>HYPERLINK("https://android.googlesource.com/platform/cts/+/7b5150898bdd0642eab54c6431631f1c1f679f43", "7b5150898bdd0642eab54c6431631f1c1f679f43")</f>
        <v>0</v>
      </c>
      <c r="C19542">
        <f>HYPERLINK("https://android.googlesource.com/platform/cts/+/c8b1ca170f766b388b8489be5086b7b5f92dceef", "c8b1ca170f766b388b8489be5086b7b5f92dceef")</f>
        <v>0</v>
      </c>
      <c r="D19542" t="s">
        <v>5609</v>
      </c>
      <c r="E19542" t="s">
        <v>9390</v>
      </c>
      <c r="F19542" t="s">
        <v>14425</v>
      </c>
      <c r="G19542" t="s">
        <v>18363</v>
      </c>
      <c r="H19542" t="s">
        <v>35883</v>
      </c>
    </row>
    <row r="19543" spans="1:8">
      <c r="F19543" t="s">
        <v>14278</v>
      </c>
      <c r="G19543" t="s">
        <v>18225</v>
      </c>
      <c r="H19543" t="s">
        <v>34453</v>
      </c>
    </row>
    <row r="19544" spans="1:8">
      <c r="A19544" t="s">
        <v>3698</v>
      </c>
      <c r="B19544">
        <f>HYPERLINK("https://android.googlesource.com/platform/cts/+/1a37c61c41b35893eff1f7244092d2605bda45df", "1a37c61c41b35893eff1f7244092d2605bda45df")</f>
        <v>0</v>
      </c>
      <c r="C19544">
        <f>HYPERLINK("https://android.googlesource.com/platform/cts/+/13b39244db81f182ceaf2c666183b8605db44a4b", "13b39244db81f182ceaf2c666183b8605db44a4b")</f>
        <v>0</v>
      </c>
      <c r="D19544" t="s">
        <v>5272</v>
      </c>
      <c r="E19544" t="s">
        <v>9391</v>
      </c>
      <c r="F19544" t="s">
        <v>13398</v>
      </c>
      <c r="G19544" t="s">
        <v>17524</v>
      </c>
      <c r="H19544" t="s">
        <v>35884</v>
      </c>
    </row>
    <row r="19545" spans="1:8">
      <c r="A19545" t="s">
        <v>3699</v>
      </c>
      <c r="B19545">
        <f>HYPERLINK("https://android.googlesource.com/platform/cts/+/60e04b9a45de3cee64d371af0f4664798f7862d1", "60e04b9a45de3cee64d371af0f4664798f7862d1")</f>
        <v>0</v>
      </c>
      <c r="C19545">
        <f>HYPERLINK("https://android.googlesource.com/platform/cts/+/7083ebff8c4476e4e2e527740348fb9734e56859", "7083ebff8c4476e4e2e527740348fb9734e56859")</f>
        <v>0</v>
      </c>
      <c r="D19545" t="s">
        <v>5409</v>
      </c>
      <c r="E19545" t="s">
        <v>9392</v>
      </c>
      <c r="F19545" t="s">
        <v>14415</v>
      </c>
      <c r="G19545" t="s">
        <v>18353</v>
      </c>
      <c r="H19545" t="s">
        <v>35885</v>
      </c>
    </row>
    <row r="19546" spans="1:8">
      <c r="H19546" t="s">
        <v>35886</v>
      </c>
    </row>
    <row r="19547" spans="1:8">
      <c r="H19547" t="s">
        <v>35887</v>
      </c>
    </row>
    <row r="19548" spans="1:8">
      <c r="H19548" t="s">
        <v>35888</v>
      </c>
    </row>
    <row r="19549" spans="1:8">
      <c r="H19549" t="s">
        <v>35889</v>
      </c>
    </row>
    <row r="19550" spans="1:8">
      <c r="H19550" t="s">
        <v>35890</v>
      </c>
    </row>
    <row r="19551" spans="1:8">
      <c r="F19551" t="s">
        <v>14426</v>
      </c>
      <c r="G19551" t="s">
        <v>18364</v>
      </c>
      <c r="H19551" t="s">
        <v>35891</v>
      </c>
    </row>
    <row r="19552" spans="1:8">
      <c r="H19552" t="s">
        <v>35892</v>
      </c>
    </row>
    <row r="19553" spans="1:8">
      <c r="H19553" t="s">
        <v>35893</v>
      </c>
    </row>
    <row r="19554" spans="1:8">
      <c r="H19554" t="s">
        <v>35894</v>
      </c>
    </row>
    <row r="19555" spans="1:8">
      <c r="H19555" t="s">
        <v>35895</v>
      </c>
    </row>
    <row r="19556" spans="1:8">
      <c r="H19556" t="s">
        <v>35896</v>
      </c>
    </row>
    <row r="19557" spans="1:8">
      <c r="H19557" t="s">
        <v>35897</v>
      </c>
    </row>
    <row r="19558" spans="1:8">
      <c r="A19558" t="s">
        <v>3700</v>
      </c>
      <c r="B19558">
        <f>HYPERLINK("https://android.googlesource.com/platform/cts/+/fb4fb361a882e74aa927d893838387dc7b28f27c", "fb4fb361a882e74aa927d893838387dc7b28f27c")</f>
        <v>0</v>
      </c>
      <c r="C19558">
        <f>HYPERLINK("https://android.googlesource.com/platform/cts/+/21d7bfaa0431b14bfd2354df5188e90fd71eb8d1", "21d7bfaa0431b14bfd2354df5188e90fd71eb8d1")</f>
        <v>0</v>
      </c>
      <c r="D19558" t="s">
        <v>5472</v>
      </c>
      <c r="E19558" t="s">
        <v>9393</v>
      </c>
      <c r="F19558" t="s">
        <v>14428</v>
      </c>
      <c r="G19558" t="s">
        <v>18366</v>
      </c>
      <c r="H19558" t="s">
        <v>35898</v>
      </c>
    </row>
    <row r="19559" spans="1:8">
      <c r="A19559" t="s">
        <v>3701</v>
      </c>
      <c r="B19559">
        <f>HYPERLINK("https://android.googlesource.com/platform/cts/+/3290c2a651bf9f2178c115b104474e2decd939cf", "3290c2a651bf9f2178c115b104474e2decd939cf")</f>
        <v>0</v>
      </c>
      <c r="C19559">
        <f>HYPERLINK("https://android.googlesource.com/platform/cts/+/74d190b89db8bcd7f24965af1e2238293e508f38", "74d190b89db8bcd7f24965af1e2238293e508f38")</f>
        <v>0</v>
      </c>
      <c r="D19559" t="s">
        <v>5389</v>
      </c>
      <c r="E19559" t="s">
        <v>9394</v>
      </c>
      <c r="F19559" t="s">
        <v>13993</v>
      </c>
      <c r="G19559" t="s">
        <v>16600</v>
      </c>
      <c r="H19559" t="s">
        <v>35899</v>
      </c>
    </row>
    <row r="19560" spans="1:8">
      <c r="A19560" t="s">
        <v>3705</v>
      </c>
      <c r="B19560">
        <f>HYPERLINK("https://android.googlesource.com/platform/cts/+/bb88afe42f859b88c1c2a8bf284917fc3502d886", "bb88afe42f859b88c1c2a8bf284917fc3502d886")</f>
        <v>0</v>
      </c>
      <c r="C19560">
        <f>HYPERLINK("https://android.googlesource.com/platform/cts/+/03104aae3963e395ab9681f2b540b7168fa52849", "03104aae3963e395ab9681f2b540b7168fa52849")</f>
        <v>0</v>
      </c>
      <c r="D19560" t="s">
        <v>5320</v>
      </c>
      <c r="E19560" t="s">
        <v>9397</v>
      </c>
      <c r="F19560" t="s">
        <v>14430</v>
      </c>
      <c r="G19560" t="s">
        <v>18367</v>
      </c>
      <c r="H19560" t="s">
        <v>35903</v>
      </c>
    </row>
    <row r="19561" spans="1:8">
      <c r="H19561" t="s">
        <v>35904</v>
      </c>
    </row>
    <row r="19562" spans="1:8">
      <c r="F19562" t="s">
        <v>14431</v>
      </c>
      <c r="G19562" t="s">
        <v>18368</v>
      </c>
      <c r="H19562" t="s">
        <v>35905</v>
      </c>
    </row>
    <row r="19563" spans="1:8">
      <c r="H19563" t="s">
        <v>35906</v>
      </c>
    </row>
    <row r="19564" spans="1:8">
      <c r="H19564" t="s">
        <v>35907</v>
      </c>
    </row>
    <row r="19565" spans="1:8">
      <c r="A19565" t="s">
        <v>3706</v>
      </c>
      <c r="B19565">
        <f>HYPERLINK("https://android.googlesource.com/platform/cts/+/7db64a057729da5408b43f50d64539364ecdf04b", "7db64a057729da5408b43f50d64539364ecdf04b")</f>
        <v>0</v>
      </c>
      <c r="C19565">
        <f>HYPERLINK("https://android.googlesource.com/platform/cts/+/88f60bd816fd82adf5cf7ebb8e03936b21f31481", "88f60bd816fd82adf5cf7ebb8e03936b21f31481")</f>
        <v>0</v>
      </c>
      <c r="D19565" t="s">
        <v>5334</v>
      </c>
      <c r="E19565" t="s">
        <v>9398</v>
      </c>
      <c r="F19565" t="s">
        <v>14200</v>
      </c>
      <c r="G19565" t="s">
        <v>18179</v>
      </c>
      <c r="H19565" t="s">
        <v>35909</v>
      </c>
    </row>
    <row r="19566" spans="1:8">
      <c r="H19566" t="s">
        <v>35910</v>
      </c>
    </row>
    <row r="19567" spans="1:8">
      <c r="A19567" t="s">
        <v>3707</v>
      </c>
      <c r="B19567">
        <f>HYPERLINK("https://android.googlesource.com/platform/cts/+/5f47892997e6f9ce2541d4fcfc8b0e0d4ad6ca88", "5f47892997e6f9ce2541d4fcfc8b0e0d4ad6ca88")</f>
        <v>0</v>
      </c>
      <c r="C19567">
        <f>HYPERLINK("https://android.googlesource.com/platform/cts/+/5abab3cfc29f8edd91b916a07d5d6ae031dc3166", "5abab3cfc29f8edd91b916a07d5d6ae031dc3166")</f>
        <v>0</v>
      </c>
      <c r="D19567" t="s">
        <v>5610</v>
      </c>
      <c r="E19567" t="s">
        <v>9399</v>
      </c>
      <c r="F19567" t="s">
        <v>14432</v>
      </c>
      <c r="G19567" t="s">
        <v>18369</v>
      </c>
      <c r="H19567" t="s">
        <v>35911</v>
      </c>
    </row>
    <row r="19568" spans="1:8">
      <c r="A19568" t="s">
        <v>3708</v>
      </c>
      <c r="B19568">
        <f>HYPERLINK("https://android.googlesource.com/platform/cts/+/4b3e082fc5c8e47a636e56acc3fbc7df506d3832", "4b3e082fc5c8e47a636e56acc3fbc7df506d3832")</f>
        <v>0</v>
      </c>
      <c r="C19568">
        <f>HYPERLINK("https://android.googlesource.com/platform/cts/+/eae64ad64ceaae11cd57eb06321ce1a0ae4594da", "eae64ad64ceaae11cd57eb06321ce1a0ae4594da")</f>
        <v>0</v>
      </c>
      <c r="D19568" t="s">
        <v>5409</v>
      </c>
      <c r="E19568" t="s">
        <v>9400</v>
      </c>
      <c r="F19568" t="s">
        <v>14426</v>
      </c>
      <c r="G19568" t="s">
        <v>18364</v>
      </c>
      <c r="H19568" t="s">
        <v>35912</v>
      </c>
    </row>
    <row r="19569" spans="1:8">
      <c r="H19569" t="s">
        <v>35913</v>
      </c>
    </row>
    <row r="19570" spans="1:8">
      <c r="H19570" t="s">
        <v>35914</v>
      </c>
    </row>
    <row r="19571" spans="1:8">
      <c r="A19571" t="s">
        <v>3709</v>
      </c>
      <c r="B19571">
        <f>HYPERLINK("https://android.googlesource.com/platform/cts/+/aa4a265aaf1ba92a3ca0ddc99366ac38f710b389", "aa4a265aaf1ba92a3ca0ddc99366ac38f710b389")</f>
        <v>0</v>
      </c>
      <c r="C19571">
        <f>HYPERLINK("https://android.googlesource.com/platform/cts/+/4e0dc3077e494f20cf249ecdc2aaf52e39c32462", "4e0dc3077e494f20cf249ecdc2aaf52e39c32462")</f>
        <v>0</v>
      </c>
      <c r="D19571" t="s">
        <v>5611</v>
      </c>
      <c r="E19571" t="s">
        <v>9401</v>
      </c>
      <c r="F19571" t="s">
        <v>14433</v>
      </c>
      <c r="G19571" t="s">
        <v>17405</v>
      </c>
      <c r="H19571" t="s">
        <v>35915</v>
      </c>
    </row>
    <row r="19572" spans="1:8">
      <c r="H19572" t="s">
        <v>35916</v>
      </c>
    </row>
    <row r="19573" spans="1:8">
      <c r="H19573" t="s">
        <v>35917</v>
      </c>
    </row>
    <row r="19574" spans="1:8">
      <c r="H19574" t="s">
        <v>35918</v>
      </c>
    </row>
    <row r="19575" spans="1:8">
      <c r="A19575" t="s">
        <v>3710</v>
      </c>
      <c r="B19575">
        <f>HYPERLINK("https://android.googlesource.com/platform/cts/+/20266a1b0495455fc7ffe2392981f5675df5cda7", "20266a1b0495455fc7ffe2392981f5675df5cda7")</f>
        <v>0</v>
      </c>
      <c r="C19575">
        <f>HYPERLINK("https://android.googlesource.com/platform/cts/+/a1cb34db8a66ae88f9d889781faf0195031553e5", "a1cb34db8a66ae88f9d889781faf0195031553e5")</f>
        <v>0</v>
      </c>
      <c r="D19575" t="s">
        <v>5610</v>
      </c>
      <c r="E19575" t="s">
        <v>9402</v>
      </c>
      <c r="F19575" t="s">
        <v>14434</v>
      </c>
      <c r="G19575" t="s">
        <v>18370</v>
      </c>
      <c r="H19575" t="s">
        <v>35919</v>
      </c>
    </row>
    <row r="19576" spans="1:8">
      <c r="H19576" t="s">
        <v>35920</v>
      </c>
    </row>
    <row r="19577" spans="1:8">
      <c r="H19577" t="s">
        <v>35921</v>
      </c>
    </row>
    <row r="19578" spans="1:8">
      <c r="H19578" t="s">
        <v>35922</v>
      </c>
    </row>
    <row r="19579" spans="1:8">
      <c r="H19579" t="s">
        <v>35923</v>
      </c>
    </row>
    <row r="19580" spans="1:8">
      <c r="A19580" t="s">
        <v>3711</v>
      </c>
      <c r="B19580">
        <f>HYPERLINK("https://android.googlesource.com/platform/cts/+/bab2c0ec57f1bcfdc85290789ff68edaa958aed6", "bab2c0ec57f1bcfdc85290789ff68edaa958aed6")</f>
        <v>0</v>
      </c>
      <c r="C19580">
        <f>HYPERLINK("https://android.googlesource.com/platform/cts/+/aa4a265aaf1ba92a3ca0ddc99366ac38f710b389", "aa4a265aaf1ba92a3ca0ddc99366ac38f710b389")</f>
        <v>0</v>
      </c>
      <c r="D19580" t="s">
        <v>5611</v>
      </c>
      <c r="E19580" t="s">
        <v>9403</v>
      </c>
      <c r="F19580" t="s">
        <v>14433</v>
      </c>
      <c r="G19580" t="s">
        <v>17405</v>
      </c>
      <c r="H19580" t="s">
        <v>35924</v>
      </c>
    </row>
    <row r="19581" spans="1:8">
      <c r="H19581" t="s">
        <v>35925</v>
      </c>
    </row>
    <row r="19582" spans="1:8">
      <c r="A19582" t="s">
        <v>3713</v>
      </c>
      <c r="B19582">
        <f>HYPERLINK("https://android.googlesource.com/platform/cts/+/2d323220882daff57ff3ac004d613f38825417db", "2d323220882daff57ff3ac004d613f38825417db")</f>
        <v>0</v>
      </c>
      <c r="C19582">
        <f>HYPERLINK("https://android.googlesource.com/platform/cts/+/a18b0c73c187d2332aa628864fd31ba126301972", "a18b0c73c187d2332aa628864fd31ba126301972")</f>
        <v>0</v>
      </c>
      <c r="D19582" t="s">
        <v>5409</v>
      </c>
      <c r="E19582" t="s">
        <v>9405</v>
      </c>
      <c r="F19582" t="s">
        <v>14426</v>
      </c>
      <c r="G19582" t="s">
        <v>18364</v>
      </c>
      <c r="H19582" t="s">
        <v>35926</v>
      </c>
    </row>
    <row r="19583" spans="1:8">
      <c r="A19583" t="s">
        <v>3714</v>
      </c>
      <c r="B19583">
        <f>HYPERLINK("https://android.googlesource.com/platform/cts/+/6be532e67610c4b55a98a56bd39ff14ee08176c5", "6be532e67610c4b55a98a56bd39ff14ee08176c5")</f>
        <v>0</v>
      </c>
      <c r="C19583">
        <f>HYPERLINK("https://android.googlesource.com/platform/cts/+/5e87fed73f13a0d6e9e74b6c9934307888260260", "5e87fed73f13a0d6e9e74b6c9934307888260260")</f>
        <v>0</v>
      </c>
      <c r="D19583" t="s">
        <v>5612</v>
      </c>
      <c r="E19583" t="s">
        <v>9406</v>
      </c>
      <c r="F19583" t="s">
        <v>14349</v>
      </c>
      <c r="G19583" t="s">
        <v>18300</v>
      </c>
      <c r="H19583" t="s">
        <v>35927</v>
      </c>
    </row>
    <row r="19584" spans="1:8">
      <c r="F19584" t="s">
        <v>14436</v>
      </c>
      <c r="G19584" t="s">
        <v>18372</v>
      </c>
      <c r="H19584" t="s">
        <v>35928</v>
      </c>
    </row>
    <row r="19585" spans="1:8">
      <c r="A19585" t="s">
        <v>3715</v>
      </c>
      <c r="B19585">
        <f>HYPERLINK("https://android.googlesource.com/platform/cts/+/e7eb2de25c5a2d18319472ee45e813f9eea9ff47", "e7eb2de25c5a2d18319472ee45e813f9eea9ff47")</f>
        <v>0</v>
      </c>
      <c r="C19585">
        <f>HYPERLINK("https://android.googlesource.com/platform/cts/+/43f3cc5d4707d1ca15d34167f4ee4e92d1b59b16", "43f3cc5d4707d1ca15d34167f4ee4e92d1b59b16")</f>
        <v>0</v>
      </c>
      <c r="D19585" t="s">
        <v>5219</v>
      </c>
      <c r="E19585" t="s">
        <v>9407</v>
      </c>
      <c r="F19585" t="s">
        <v>13501</v>
      </c>
      <c r="G19585" t="s">
        <v>17619</v>
      </c>
      <c r="H19585" t="s">
        <v>35930</v>
      </c>
    </row>
    <row r="19586" spans="1:8">
      <c r="A19586" t="s">
        <v>3716</v>
      </c>
      <c r="B19586">
        <f>HYPERLINK("https://android.googlesource.com/platform/cts/+/11b15822fffd3792082d0cfa71ba9b1196b122fa", "11b15822fffd3792082d0cfa71ba9b1196b122fa")</f>
        <v>0</v>
      </c>
      <c r="C19586">
        <f>HYPERLINK("https://android.googlesource.com/platform/cts/+/9e948cd4f3af46dc80ea9b95c0fcd76295df5ee1", "9e948cd4f3af46dc80ea9b95c0fcd76295df5ee1")</f>
        <v>0</v>
      </c>
      <c r="D19586" t="s">
        <v>5139</v>
      </c>
      <c r="E19586" t="s">
        <v>9408</v>
      </c>
      <c r="F19586" t="s">
        <v>14437</v>
      </c>
      <c r="G19586" t="s">
        <v>18373</v>
      </c>
      <c r="H19586" t="s">
        <v>35936</v>
      </c>
    </row>
    <row r="19587" spans="1:8">
      <c r="H19587" t="s">
        <v>35937</v>
      </c>
    </row>
    <row r="19588" spans="1:8">
      <c r="H19588" t="s">
        <v>35938</v>
      </c>
    </row>
    <row r="19589" spans="1:8">
      <c r="H19589" t="s">
        <v>35939</v>
      </c>
    </row>
    <row r="19590" spans="1:8">
      <c r="A19590" t="s">
        <v>3717</v>
      </c>
      <c r="B19590">
        <f>HYPERLINK("https://android.googlesource.com/platform/cts/+/38cddea524fb05c850c637ee2b84c7a837b3d4f2", "38cddea524fb05c850c637ee2b84c7a837b3d4f2")</f>
        <v>0</v>
      </c>
      <c r="C19590">
        <f>HYPERLINK("https://android.googlesource.com/platform/cts/+/2ab5921beeb521e3c03db6a0140f4c8c9d8cb6f4", "2ab5921beeb521e3c03db6a0140f4c8c9d8cb6f4")</f>
        <v>0</v>
      </c>
      <c r="D19590" t="s">
        <v>5313</v>
      </c>
      <c r="E19590" t="s">
        <v>9409</v>
      </c>
      <c r="F19590" t="s">
        <v>14165</v>
      </c>
      <c r="G19590" t="s">
        <v>17361</v>
      </c>
      <c r="H19590" t="s">
        <v>35945</v>
      </c>
    </row>
    <row r="19591" spans="1:8">
      <c r="A19591" t="s">
        <v>3718</v>
      </c>
      <c r="B19591">
        <f>HYPERLINK("https://android.googlesource.com/platform/cts/+/21e5c3b197c57ef4db5f85a587fab78e738eaab2", "21e5c3b197c57ef4db5f85a587fab78e738eaab2")</f>
        <v>0</v>
      </c>
      <c r="C19591">
        <f>HYPERLINK("https://android.googlesource.com/platform/cts/+/5034b1b9858fec36dda3ab5ba6039d6c69fe326d", "5034b1b9858fec36dda3ab5ba6039d6c69fe326d")</f>
        <v>0</v>
      </c>
      <c r="D19591" t="s">
        <v>5322</v>
      </c>
      <c r="E19591" t="s">
        <v>9410</v>
      </c>
      <c r="F19591" t="s">
        <v>14438</v>
      </c>
      <c r="G19591" t="s">
        <v>18374</v>
      </c>
      <c r="H19591" t="s">
        <v>35946</v>
      </c>
    </row>
    <row r="19592" spans="1:8">
      <c r="H19592" t="s">
        <v>35947</v>
      </c>
    </row>
    <row r="19593" spans="1:8">
      <c r="H19593" t="s">
        <v>35948</v>
      </c>
    </row>
    <row r="19594" spans="1:8">
      <c r="A19594" t="s">
        <v>3719</v>
      </c>
      <c r="B19594">
        <f>HYPERLINK("https://android.googlesource.com/platform/cts/+/e1e15921ecf7a35f367bc14640c2bf96eed0adaf", "e1e15921ecf7a35f367bc14640c2bf96eed0adaf")</f>
        <v>0</v>
      </c>
      <c r="C19594">
        <f>HYPERLINK("https://android.googlesource.com/platform/cts/+/fce9afd1a2c3500404fd05d27d794cefa19cdfad", "fce9afd1a2c3500404fd05d27d794cefa19cdfad")</f>
        <v>0</v>
      </c>
      <c r="D19594" t="s">
        <v>5272</v>
      </c>
      <c r="E19594" t="s">
        <v>9411</v>
      </c>
      <c r="F19594" t="s">
        <v>14253</v>
      </c>
      <c r="G19594" t="s">
        <v>18218</v>
      </c>
      <c r="H19594" t="s">
        <v>35949</v>
      </c>
    </row>
    <row r="19595" spans="1:8">
      <c r="A19595" t="s">
        <v>3720</v>
      </c>
      <c r="B19595">
        <f>HYPERLINK("https://android.googlesource.com/platform/cts/+/2c54e55c23c43c4e8ac1c229120b5915d70bd85f", "2c54e55c23c43c4e8ac1c229120b5915d70bd85f")</f>
        <v>0</v>
      </c>
      <c r="C19595">
        <f>HYPERLINK("https://android.googlesource.com/platform/cts/+/fda263aa96497860500874dfa569fe087a7bb292", "fda263aa96497860500874dfa569fe087a7bb292")</f>
        <v>0</v>
      </c>
      <c r="D19595" t="s">
        <v>5172</v>
      </c>
      <c r="E19595" t="s">
        <v>9412</v>
      </c>
      <c r="F19595" t="s">
        <v>14363</v>
      </c>
      <c r="G19595" t="s">
        <v>18310</v>
      </c>
      <c r="H19595" t="s">
        <v>35950</v>
      </c>
    </row>
    <row r="19596" spans="1:8">
      <c r="A19596" t="s">
        <v>3721</v>
      </c>
      <c r="B19596">
        <f>HYPERLINK("https://android.googlesource.com/platform/cts/+/9d769516486602a8b75b5e7ef62586d7743fff4c", "9d769516486602a8b75b5e7ef62586d7743fff4c")</f>
        <v>0</v>
      </c>
      <c r="C19596">
        <f>HYPERLINK("https://android.googlesource.com/platform/cts/+/fce9afd1a2c3500404fd05d27d794cefa19cdfad", "fce9afd1a2c3500404fd05d27d794cefa19cdfad")</f>
        <v>0</v>
      </c>
      <c r="D19596" t="s">
        <v>4971</v>
      </c>
      <c r="E19596" t="s">
        <v>9413</v>
      </c>
      <c r="F19596" t="s">
        <v>10946</v>
      </c>
      <c r="G19596" t="s">
        <v>15339</v>
      </c>
      <c r="H19596" t="s">
        <v>35951</v>
      </c>
    </row>
    <row r="19597" spans="1:8">
      <c r="H19597" t="s">
        <v>35952</v>
      </c>
    </row>
    <row r="19598" spans="1:8">
      <c r="F19598" t="s">
        <v>10947</v>
      </c>
      <c r="G19598" t="s">
        <v>15340</v>
      </c>
      <c r="H19598" t="s">
        <v>35954</v>
      </c>
    </row>
    <row r="19599" spans="1:8">
      <c r="H19599" t="s">
        <v>35955</v>
      </c>
    </row>
    <row r="19600" spans="1:8">
      <c r="A19600" t="s">
        <v>3722</v>
      </c>
      <c r="B19600">
        <f>HYPERLINK("https://android.googlesource.com/platform/cts/+/68da822a574af9474011cdb165ef8810bcd2b6ab", "68da822a574af9474011cdb165ef8810bcd2b6ab")</f>
        <v>0</v>
      </c>
      <c r="C19600">
        <f>HYPERLINK("https://android.googlesource.com/platform/cts/+/113217ea9581c5ed37c868d242fee4f8484f3f6c", "113217ea9581c5ed37c868d242fee4f8484f3f6c")</f>
        <v>0</v>
      </c>
      <c r="D19600" t="s">
        <v>5511</v>
      </c>
      <c r="E19600" t="s">
        <v>9414</v>
      </c>
      <c r="F19600" t="s">
        <v>14274</v>
      </c>
      <c r="G19600" t="s">
        <v>18241</v>
      </c>
      <c r="H19600" t="s">
        <v>26751</v>
      </c>
    </row>
    <row r="19601" spans="1:8">
      <c r="H19601" t="s">
        <v>33708</v>
      </c>
    </row>
    <row r="19602" spans="1:8">
      <c r="F19602" t="s">
        <v>14275</v>
      </c>
      <c r="G19602" t="s">
        <v>18242</v>
      </c>
      <c r="H19602" t="s">
        <v>26751</v>
      </c>
    </row>
    <row r="19603" spans="1:8">
      <c r="H19603" t="s">
        <v>33708</v>
      </c>
    </row>
    <row r="19604" spans="1:8">
      <c r="F19604" t="s">
        <v>14276</v>
      </c>
      <c r="G19604" t="s">
        <v>18226</v>
      </c>
      <c r="H19604" t="s">
        <v>26751</v>
      </c>
    </row>
    <row r="19605" spans="1:8">
      <c r="H19605" t="s">
        <v>33708</v>
      </c>
    </row>
    <row r="19606" spans="1:8">
      <c r="H19606" t="s">
        <v>35956</v>
      </c>
    </row>
    <row r="19607" spans="1:8">
      <c r="H19607" t="s">
        <v>35957</v>
      </c>
    </row>
    <row r="19608" spans="1:8">
      <c r="F19608" t="s">
        <v>14277</v>
      </c>
      <c r="G19608" t="s">
        <v>18224</v>
      </c>
      <c r="H19608" t="s">
        <v>26751</v>
      </c>
    </row>
    <row r="19609" spans="1:8">
      <c r="H19609" t="s">
        <v>33708</v>
      </c>
    </row>
    <row r="19610" spans="1:8">
      <c r="F19610" t="s">
        <v>14278</v>
      </c>
      <c r="G19610" t="s">
        <v>18225</v>
      </c>
      <c r="H19610" t="s">
        <v>35958</v>
      </c>
    </row>
    <row r="19611" spans="1:8">
      <c r="H19611" t="s">
        <v>35956</v>
      </c>
    </row>
    <row r="19612" spans="1:8">
      <c r="H19612" t="s">
        <v>35957</v>
      </c>
    </row>
    <row r="19613" spans="1:8">
      <c r="A19613" t="s">
        <v>3723</v>
      </c>
      <c r="B19613">
        <f>HYPERLINK("https://android.googlesource.com/platform/cts/+/ef6edecf268527442dd90fbcc63f77a6561373d3", "ef6edecf268527442dd90fbcc63f77a6561373d3")</f>
        <v>0</v>
      </c>
      <c r="C19613">
        <f>HYPERLINK("https://android.googlesource.com/platform/cts/+/5418b106a946d65f469cfd96ff9434eff3c0a173", "5418b106a946d65f469cfd96ff9434eff3c0a173")</f>
        <v>0</v>
      </c>
      <c r="D19613" t="s">
        <v>5134</v>
      </c>
      <c r="E19613" t="s">
        <v>9415</v>
      </c>
      <c r="F19613" t="s">
        <v>12629</v>
      </c>
      <c r="G19613" t="s">
        <v>16838</v>
      </c>
      <c r="H19613" t="s">
        <v>35959</v>
      </c>
    </row>
    <row r="19614" spans="1:8">
      <c r="F19614" t="s">
        <v>12394</v>
      </c>
      <c r="G19614" t="s">
        <v>17294</v>
      </c>
      <c r="H19614" t="s">
        <v>35959</v>
      </c>
    </row>
    <row r="19615" spans="1:8">
      <c r="A19615" t="s">
        <v>3726</v>
      </c>
      <c r="B19615">
        <f>HYPERLINK("https://android.googlesource.com/platform/cts/+/83d6781e60e445f82d7d46f2fe5177466bfa9889", "83d6781e60e445f82d7d46f2fe5177466bfa9889")</f>
        <v>0</v>
      </c>
      <c r="C19615">
        <f>HYPERLINK("https://android.googlesource.com/platform/cts/+/d55e9ed1871c2a81cbd3e8f8f53645b0fb6ba1e0", "d55e9ed1871c2a81cbd3e8f8f53645b0fb6ba1e0")</f>
        <v>0</v>
      </c>
      <c r="D19615" t="s">
        <v>5526</v>
      </c>
      <c r="E19615" t="s">
        <v>9418</v>
      </c>
      <c r="F19615" t="s">
        <v>14439</v>
      </c>
      <c r="G19615" t="s">
        <v>18375</v>
      </c>
      <c r="H19615" t="s">
        <v>35962</v>
      </c>
    </row>
    <row r="19616" spans="1:8">
      <c r="A19616" t="s">
        <v>3728</v>
      </c>
      <c r="B19616">
        <f>HYPERLINK("https://android.googlesource.com/platform/cts/+/6fbcac0cdf2f256eb2811b931cc8a64af2654f35", "6fbcac0cdf2f256eb2811b931cc8a64af2654f35")</f>
        <v>0</v>
      </c>
      <c r="C19616">
        <f>HYPERLINK("https://android.googlesource.com/platform/cts/+/a069b5e6b7abbdae88b26c69845df0b8110e23d9", "a069b5e6b7abbdae88b26c69845df0b8110e23d9")</f>
        <v>0</v>
      </c>
      <c r="D19616" t="s">
        <v>5445</v>
      </c>
      <c r="E19616" t="s">
        <v>9420</v>
      </c>
      <c r="F19616" t="s">
        <v>14440</v>
      </c>
      <c r="G19616" t="s">
        <v>18376</v>
      </c>
      <c r="H19616" t="s">
        <v>35972</v>
      </c>
    </row>
    <row r="19617" spans="1:8">
      <c r="A19617" t="s">
        <v>3730</v>
      </c>
      <c r="B19617">
        <f>HYPERLINK("https://android.googlesource.com/platform/cts/+/4b6a943d058ea5390ed5e21cd3db26727049df05", "4b6a943d058ea5390ed5e21cd3db26727049df05")</f>
        <v>0</v>
      </c>
      <c r="C19617">
        <f>HYPERLINK("https://android.googlesource.com/platform/cts/+/1cb88b8acd7abb57f3e86bdd70a3476dfb42d5c6", "1cb88b8acd7abb57f3e86bdd70a3476dfb42d5c6")</f>
        <v>0</v>
      </c>
      <c r="D19617" t="s">
        <v>5613</v>
      </c>
      <c r="E19617" t="s">
        <v>9422</v>
      </c>
      <c r="F19617" t="s">
        <v>14444</v>
      </c>
      <c r="G19617" t="s">
        <v>18379</v>
      </c>
      <c r="H19617" t="s">
        <v>35997</v>
      </c>
    </row>
    <row r="19618" spans="1:8">
      <c r="F19618" t="s">
        <v>14445</v>
      </c>
      <c r="G19618" t="s">
        <v>18380</v>
      </c>
      <c r="H19618" t="s">
        <v>35998</v>
      </c>
    </row>
    <row r="19619" spans="1:8">
      <c r="A19619" t="s">
        <v>3732</v>
      </c>
      <c r="B19619">
        <f>HYPERLINK("https://android.googlesource.com/platform/cts/+/8fd8fdcc467953bcec65fddc8c0a237f2b3c6f31", "8fd8fdcc467953bcec65fddc8c0a237f2b3c6f31")</f>
        <v>0</v>
      </c>
      <c r="C19619">
        <f>HYPERLINK("https://android.googlesource.com/platform/cts/+/e5c823749a8cdd82b2d43997f1086fd424dd0e81", "e5c823749a8cdd82b2d43997f1086fd424dd0e81")</f>
        <v>0</v>
      </c>
      <c r="D19619" t="s">
        <v>5409</v>
      </c>
      <c r="E19619" t="s">
        <v>9424</v>
      </c>
      <c r="F19619" t="s">
        <v>14447</v>
      </c>
      <c r="G19619" t="s">
        <v>18382</v>
      </c>
      <c r="H19619" t="s">
        <v>36003</v>
      </c>
    </row>
    <row r="19620" spans="1:8">
      <c r="A19620" t="s">
        <v>3733</v>
      </c>
      <c r="B19620">
        <f>HYPERLINK("https://android.googlesource.com/platform/cts/+/b7cfa1e06a11b3c1a0f3ee3c29ab175e73200d13", "b7cfa1e06a11b3c1a0f3ee3c29ab175e73200d13")</f>
        <v>0</v>
      </c>
      <c r="C19620">
        <f>HYPERLINK("https://android.googlesource.com/platform/cts/+/8fd8fdcc467953bcec65fddc8c0a237f2b3c6f31", "8fd8fdcc467953bcec65fddc8c0a237f2b3c6f31")</f>
        <v>0</v>
      </c>
      <c r="D19620" t="s">
        <v>5409</v>
      </c>
      <c r="E19620" t="s">
        <v>9425</v>
      </c>
      <c r="F19620" t="s">
        <v>14448</v>
      </c>
      <c r="G19620" t="s">
        <v>18383</v>
      </c>
      <c r="H19620" t="s">
        <v>36004</v>
      </c>
    </row>
    <row r="19621" spans="1:8">
      <c r="H19621" t="s">
        <v>36005</v>
      </c>
    </row>
    <row r="19622" spans="1:8">
      <c r="A19622" t="s">
        <v>3734</v>
      </c>
      <c r="B19622">
        <f>HYPERLINK("https://android.googlesource.com/platform/cts/+/e4e67c08d245ccfb445fdf8e1ed1a44c1ee69322", "e4e67c08d245ccfb445fdf8e1ed1a44c1ee69322")</f>
        <v>0</v>
      </c>
      <c r="C19622">
        <f>HYPERLINK("https://android.googlesource.com/platform/cts/+/74edde3fcdbe3c546c535fa8fcd6ad465b7f0e09", "74edde3fcdbe3c546c535fa8fcd6ad465b7f0e09")</f>
        <v>0</v>
      </c>
      <c r="D19622" t="s">
        <v>5573</v>
      </c>
      <c r="E19622" t="s">
        <v>9426</v>
      </c>
      <c r="F19622" t="s">
        <v>14165</v>
      </c>
      <c r="G19622" t="s">
        <v>17361</v>
      </c>
      <c r="H19622" t="s">
        <v>36006</v>
      </c>
    </row>
    <row r="19623" spans="1:8">
      <c r="A19623" t="s">
        <v>3735</v>
      </c>
      <c r="B19623">
        <f>HYPERLINK("https://android.googlesource.com/platform/cts/+/af4876f720a1a3107e1eef2d8ae6a9a12cecdaec", "af4876f720a1a3107e1eef2d8ae6a9a12cecdaec")</f>
        <v>0</v>
      </c>
      <c r="C19623">
        <f>HYPERLINK("https://android.googlesource.com/platform/cts/+/571fec2537da2c7507d376de364938ca0001a8cd", "571fec2537da2c7507d376de364938ca0001a8cd")</f>
        <v>0</v>
      </c>
      <c r="D19623" t="s">
        <v>5614</v>
      </c>
      <c r="E19623" t="s">
        <v>9427</v>
      </c>
      <c r="F19623" t="s">
        <v>13171</v>
      </c>
      <c r="G19623" t="s">
        <v>16410</v>
      </c>
      <c r="H19623" t="s">
        <v>36007</v>
      </c>
    </row>
    <row r="19624" spans="1:8">
      <c r="A19624" t="s">
        <v>3736</v>
      </c>
      <c r="B19624">
        <f>HYPERLINK("https://android.googlesource.com/platform/cts/+/df8143501a2d0915714047e02e7035c292b49c6b", "df8143501a2d0915714047e02e7035c292b49c6b")</f>
        <v>0</v>
      </c>
      <c r="C19624">
        <f>HYPERLINK("https://android.googlesource.com/platform/cts/+/576ca5f604f7c35c7e3874f28b22d322fbca26de", "576ca5f604f7c35c7e3874f28b22d322fbca26de")</f>
        <v>0</v>
      </c>
      <c r="D19624" t="s">
        <v>5417</v>
      </c>
      <c r="E19624" t="s">
        <v>9428</v>
      </c>
      <c r="F19624" t="s">
        <v>14033</v>
      </c>
      <c r="G19624" t="s">
        <v>18030</v>
      </c>
      <c r="H19624" t="s">
        <v>36008</v>
      </c>
    </row>
    <row r="19625" spans="1:8">
      <c r="A19625" t="s">
        <v>3737</v>
      </c>
      <c r="B19625">
        <f>HYPERLINK("https://android.googlesource.com/platform/cts/+/db38189de799f2e5ea11db7f3c4db82ac2efbef6", "db38189de799f2e5ea11db7f3c4db82ac2efbef6")</f>
        <v>0</v>
      </c>
      <c r="C19625">
        <f>HYPERLINK("https://android.googlesource.com/platform/cts/+/6a446b36070a0063b94e1cbb0383316e1304ed18", "6a446b36070a0063b94e1cbb0383316e1304ed18")</f>
        <v>0</v>
      </c>
      <c r="D19625" t="s">
        <v>5406</v>
      </c>
      <c r="E19625" t="s">
        <v>9429</v>
      </c>
      <c r="F19625" t="s">
        <v>14449</v>
      </c>
      <c r="G19625" t="s">
        <v>18384</v>
      </c>
      <c r="H19625" t="s">
        <v>30030</v>
      </c>
    </row>
    <row r="19626" spans="1:8">
      <c r="A19626" t="s">
        <v>3740</v>
      </c>
      <c r="B19626">
        <f>HYPERLINK("https://android.googlesource.com/platform/cts/+/e6e62dc8404d042f071760f1335b35aa116d3236", "e6e62dc8404d042f071760f1335b35aa116d3236")</f>
        <v>0</v>
      </c>
      <c r="C19626">
        <f>HYPERLINK("https://android.googlesource.com/platform/cts/+/675d85d9a24003e0992475703249a98fed616496", "675d85d9a24003e0992475703249a98fed616496")</f>
        <v>0</v>
      </c>
      <c r="D19626" t="s">
        <v>5409</v>
      </c>
      <c r="E19626" t="s">
        <v>9432</v>
      </c>
      <c r="F19626" t="s">
        <v>14451</v>
      </c>
      <c r="G19626" t="s">
        <v>18386</v>
      </c>
      <c r="H19626" t="s">
        <v>36018</v>
      </c>
    </row>
    <row r="19627" spans="1:8">
      <c r="H19627" t="s">
        <v>36019</v>
      </c>
    </row>
    <row r="19628" spans="1:8">
      <c r="H19628" t="s">
        <v>36020</v>
      </c>
    </row>
    <row r="19629" spans="1:8">
      <c r="H19629" t="s">
        <v>36021</v>
      </c>
    </row>
    <row r="19630" spans="1:8">
      <c r="H19630" t="s">
        <v>36022</v>
      </c>
    </row>
    <row r="19631" spans="1:8">
      <c r="H19631" t="s">
        <v>36023</v>
      </c>
    </row>
    <row r="19632" spans="1:8">
      <c r="H19632" t="s">
        <v>36024</v>
      </c>
    </row>
    <row r="19633" spans="1:8">
      <c r="H19633" t="s">
        <v>36025</v>
      </c>
    </row>
    <row r="19634" spans="1:8">
      <c r="H19634" t="s">
        <v>36026</v>
      </c>
    </row>
    <row r="19635" spans="1:8">
      <c r="H19635" t="s">
        <v>36027</v>
      </c>
    </row>
    <row r="19636" spans="1:8">
      <c r="A19636" t="s">
        <v>3742</v>
      </c>
      <c r="B19636">
        <f>HYPERLINK("https://android.googlesource.com/platform/cts/+/c8fbdf78ba45998832f137231d153d9b2fef05b3", "c8fbdf78ba45998832f137231d153d9b2fef05b3")</f>
        <v>0</v>
      </c>
      <c r="C19636">
        <f>HYPERLINK("https://android.googlesource.com/platform/cts/+/41ae130b6e11d90518dc4a7d2477352499bf237f", "41ae130b6e11d90518dc4a7d2477352499bf237f")</f>
        <v>0</v>
      </c>
      <c r="D19636" t="s">
        <v>5409</v>
      </c>
      <c r="E19636" t="s">
        <v>9434</v>
      </c>
      <c r="F19636" t="s">
        <v>14426</v>
      </c>
      <c r="G19636" t="s">
        <v>18364</v>
      </c>
      <c r="H19636" t="s">
        <v>36030</v>
      </c>
    </row>
    <row r="19637" spans="1:8">
      <c r="H19637" t="s">
        <v>36031</v>
      </c>
    </row>
    <row r="19638" spans="1:8">
      <c r="H19638" t="s">
        <v>36032</v>
      </c>
    </row>
    <row r="19639" spans="1:8">
      <c r="A19639" t="s">
        <v>3745</v>
      </c>
      <c r="B19639">
        <f>HYPERLINK("https://android.googlesource.com/platform/cts/+/efee9aec2a652f3467d8da58ab9f70f673660c3c", "efee9aec2a652f3467d8da58ab9f70f673660c3c")</f>
        <v>0</v>
      </c>
      <c r="C19639">
        <f>HYPERLINK("https://android.googlesource.com/platform/cts/+/981000112934c5117c1d6e171dd85093e02a2086", "981000112934c5117c1d6e171dd85093e02a2086")</f>
        <v>0</v>
      </c>
      <c r="D19639" t="s">
        <v>5139</v>
      </c>
      <c r="E19639" t="s">
        <v>9437</v>
      </c>
      <c r="F19639" t="s">
        <v>13978</v>
      </c>
      <c r="G19639" t="s">
        <v>18003</v>
      </c>
      <c r="H19639" t="s">
        <v>36034</v>
      </c>
    </row>
    <row r="19640" spans="1:8">
      <c r="A19640" t="s">
        <v>3747</v>
      </c>
      <c r="B19640">
        <f>HYPERLINK("https://android.googlesource.com/platform/cts/+/206d8c16beeb10c6e074f9d11e912b08b7c9e334", "206d8c16beeb10c6e074f9d11e912b08b7c9e334")</f>
        <v>0</v>
      </c>
      <c r="C19640">
        <f>HYPERLINK("https://android.googlesource.com/platform/cts/+/bb6067542f038846f978ab964f226f8fd48f0012", "bb6067542f038846f978ab964f226f8fd48f0012")</f>
        <v>0</v>
      </c>
      <c r="D19640" t="s">
        <v>5408</v>
      </c>
      <c r="E19640" t="s">
        <v>9439</v>
      </c>
      <c r="F19640" t="s">
        <v>14128</v>
      </c>
      <c r="G19640" t="s">
        <v>18118</v>
      </c>
      <c r="H19640" t="s">
        <v>36035</v>
      </c>
    </row>
    <row r="19641" spans="1:8">
      <c r="A19641" t="s">
        <v>3748</v>
      </c>
      <c r="B19641">
        <f>HYPERLINK("https://android.googlesource.com/platform/cts/+/ffe16c9fc8cae179c6ac90cac988a5c6d5cf6f92", "ffe16c9fc8cae179c6ac90cac988a5c6d5cf6f92")</f>
        <v>0</v>
      </c>
      <c r="C19641">
        <f>HYPERLINK("https://android.googlesource.com/platform/cts/+/e25704d8305e8f7a556987f20a2bb869adb86e49", "e25704d8305e8f7a556987f20a2bb869adb86e49")</f>
        <v>0</v>
      </c>
      <c r="D19641" t="s">
        <v>5615</v>
      </c>
      <c r="E19641" t="s">
        <v>9440</v>
      </c>
      <c r="F19641" t="s">
        <v>14209</v>
      </c>
      <c r="G19641" t="s">
        <v>18185</v>
      </c>
      <c r="H19641" t="s">
        <v>36036</v>
      </c>
    </row>
    <row r="19642" spans="1:8">
      <c r="A19642" t="s">
        <v>3750</v>
      </c>
      <c r="B19642">
        <f>HYPERLINK("https://android.googlesource.com/platform/cts/+/fac247161a6b4f5b449c3f41a76d7884aa623227", "fac247161a6b4f5b449c3f41a76d7884aa623227")</f>
        <v>0</v>
      </c>
      <c r="C19642">
        <f>HYPERLINK("https://android.googlesource.com/platform/cts/+/f264954af926255a3811a0b9d09a7a8db2f084a7", "f264954af926255a3811a0b9d09a7a8db2f084a7")</f>
        <v>0</v>
      </c>
      <c r="D19642" t="s">
        <v>5493</v>
      </c>
      <c r="E19642" t="s">
        <v>9442</v>
      </c>
      <c r="F19642" t="s">
        <v>13271</v>
      </c>
      <c r="G19642" t="s">
        <v>17408</v>
      </c>
      <c r="H19642" t="s">
        <v>36037</v>
      </c>
    </row>
    <row r="19643" spans="1:8">
      <c r="H19643" t="s">
        <v>36038</v>
      </c>
    </row>
    <row r="19644" spans="1:8">
      <c r="A19644" t="s">
        <v>3756</v>
      </c>
      <c r="B19644">
        <f>HYPERLINK("https://android.googlesource.com/platform/cts/+/ab3f8b42c44441909df1ee36f1ffb555949cb4ef", "ab3f8b42c44441909df1ee36f1ffb555949cb4ef")</f>
        <v>0</v>
      </c>
      <c r="C19644">
        <f>HYPERLINK("https://android.googlesource.com/platform/cts/+/04dfa0ad01ed4ff3afd0547722f676bc4933b4f4", "04dfa0ad01ed4ff3afd0547722f676bc4933b4f4")</f>
        <v>0</v>
      </c>
      <c r="D19644" t="s">
        <v>5599</v>
      </c>
      <c r="E19644" t="s">
        <v>9448</v>
      </c>
      <c r="F19644" t="s">
        <v>14455</v>
      </c>
      <c r="G19644" t="s">
        <v>18390</v>
      </c>
      <c r="H19644" t="s">
        <v>36043</v>
      </c>
    </row>
    <row r="19645" spans="1:8">
      <c r="A19645" t="s">
        <v>3758</v>
      </c>
      <c r="B19645">
        <f>HYPERLINK("https://android.googlesource.com/platform/cts/+/57d9b6ae3fe73b4277251da50631c7837565655e", "57d9b6ae3fe73b4277251da50631c7837565655e")</f>
        <v>0</v>
      </c>
      <c r="C19645">
        <f>HYPERLINK("https://android.googlesource.com/platform/cts/+/1a74341cd5e78f2eb02c3edf78d06fae961e641e", "1a74341cd5e78f2eb02c3edf78d06fae961e641e")</f>
        <v>0</v>
      </c>
      <c r="D19645" t="s">
        <v>5485</v>
      </c>
      <c r="E19645" t="s">
        <v>9450</v>
      </c>
      <c r="F19645" t="s">
        <v>14457</v>
      </c>
      <c r="G19645" t="s">
        <v>18391</v>
      </c>
      <c r="H19645" t="s">
        <v>30378</v>
      </c>
    </row>
    <row r="19646" spans="1:8">
      <c r="F19646" t="s">
        <v>13790</v>
      </c>
      <c r="G19646" t="s">
        <v>17519</v>
      </c>
      <c r="H19646" t="s">
        <v>36045</v>
      </c>
    </row>
    <row r="19647" spans="1:8">
      <c r="A19647" t="s">
        <v>3760</v>
      </c>
      <c r="B19647">
        <f>HYPERLINK("https://android.googlesource.com/platform/cts/+/0d95ff431226ad9c44060b21464814f382123b0d", "0d95ff431226ad9c44060b21464814f382123b0d")</f>
        <v>0</v>
      </c>
      <c r="C19647">
        <f>HYPERLINK("https://android.googlesource.com/platform/cts/+/228e804a6f8f6a2e3b096a8120fcdcf42ab1c606", "228e804a6f8f6a2e3b096a8120fcdcf42ab1c606")</f>
        <v>0</v>
      </c>
      <c r="D19647" t="s">
        <v>4931</v>
      </c>
      <c r="E19647" t="s">
        <v>9452</v>
      </c>
      <c r="F19647" t="s">
        <v>14458</v>
      </c>
      <c r="G19647" t="s">
        <v>18392</v>
      </c>
      <c r="H19647" t="s">
        <v>36048</v>
      </c>
    </row>
    <row r="19648" spans="1:8">
      <c r="H19648" t="s">
        <v>36049</v>
      </c>
    </row>
    <row r="19649" spans="1:8">
      <c r="H19649" t="s">
        <v>36050</v>
      </c>
    </row>
    <row r="19650" spans="1:8">
      <c r="A19650" t="s">
        <v>3761</v>
      </c>
      <c r="B19650">
        <f>HYPERLINK("https://android.googlesource.com/platform/cts/+/d68e6af369d83ead7c67d6224ddaa88feefcdb19", "d68e6af369d83ead7c67d6224ddaa88feefcdb19")</f>
        <v>0</v>
      </c>
      <c r="C19650">
        <f>HYPERLINK("https://android.googlesource.com/platform/cts/+/655b2d4edc3ca285350ba44b3553e21024c5c841", "655b2d4edc3ca285350ba44b3553e21024c5c841")</f>
        <v>0</v>
      </c>
      <c r="D19650" t="s">
        <v>5610</v>
      </c>
      <c r="E19650" t="s">
        <v>9453</v>
      </c>
      <c r="F19650" t="s">
        <v>14459</v>
      </c>
      <c r="G19650" t="s">
        <v>18393</v>
      </c>
      <c r="H19650" t="s">
        <v>36051</v>
      </c>
    </row>
    <row r="19651" spans="1:8">
      <c r="A19651" t="s">
        <v>3762</v>
      </c>
      <c r="B19651">
        <f>HYPERLINK("https://android.googlesource.com/platform/cts/+/d4f6e6351acd502553b818af63aee91a5fc2a7e2", "d4f6e6351acd502553b818af63aee91a5fc2a7e2")</f>
        <v>0</v>
      </c>
      <c r="C19651">
        <f>HYPERLINK("https://android.googlesource.com/platform/cts/+/0f8ffe9f7c16c628cba8dd778566c6558666dd43", "0f8ffe9f7c16c628cba8dd778566c6558666dd43")</f>
        <v>0</v>
      </c>
      <c r="D19651" t="s">
        <v>5046</v>
      </c>
      <c r="E19651" t="s">
        <v>9454</v>
      </c>
      <c r="F19651" t="s">
        <v>13487</v>
      </c>
      <c r="G19651" t="s">
        <v>17044</v>
      </c>
      <c r="H19651" t="s">
        <v>36052</v>
      </c>
    </row>
    <row r="19652" spans="1:8">
      <c r="A19652" t="s">
        <v>3764</v>
      </c>
      <c r="B19652">
        <f>HYPERLINK("https://android.googlesource.com/platform/cts/+/308e143330eb08d91f584571049e53ba3f5c605a", "308e143330eb08d91f584571049e53ba3f5c605a")</f>
        <v>0</v>
      </c>
      <c r="C19652">
        <f>HYPERLINK("https://android.googlesource.com/platform/cts/+/9f49a7164a4f4ba8bc6c01bb7875425941f01e7a", "9f49a7164a4f4ba8bc6c01bb7875425941f01e7a")</f>
        <v>0</v>
      </c>
      <c r="D19652" t="s">
        <v>5421</v>
      </c>
      <c r="E19652" t="s">
        <v>9456</v>
      </c>
      <c r="F19652" t="s">
        <v>13480</v>
      </c>
      <c r="G19652" t="s">
        <v>17598</v>
      </c>
      <c r="H19652" t="s">
        <v>36053</v>
      </c>
    </row>
    <row r="19653" spans="1:8">
      <c r="H19653" t="s">
        <v>36054</v>
      </c>
    </row>
    <row r="19654" spans="1:8">
      <c r="H19654" t="s">
        <v>36055</v>
      </c>
    </row>
    <row r="19655" spans="1:8">
      <c r="H19655" t="s">
        <v>36056</v>
      </c>
    </row>
    <row r="19656" spans="1:8">
      <c r="H19656" t="s">
        <v>36057</v>
      </c>
    </row>
    <row r="19657" spans="1:8">
      <c r="H19657" t="s">
        <v>36058</v>
      </c>
    </row>
    <row r="19658" spans="1:8">
      <c r="H19658" t="s">
        <v>36059</v>
      </c>
    </row>
    <row r="19659" spans="1:8">
      <c r="A19659" t="s">
        <v>3767</v>
      </c>
      <c r="B19659">
        <f>HYPERLINK("https://android.googlesource.com/platform/cts/+/38deaf17b013c247c90537bb4ab3853be2d0a3e5", "38deaf17b013c247c90537bb4ab3853be2d0a3e5")</f>
        <v>0</v>
      </c>
      <c r="C19659">
        <f>HYPERLINK("https://android.googlesource.com/platform/cts/+/74edde3fcdbe3c546c535fa8fcd6ad465b7f0e09", "74edde3fcdbe3c546c535fa8fcd6ad465b7f0e09")</f>
        <v>0</v>
      </c>
      <c r="D19659" t="s">
        <v>5586</v>
      </c>
      <c r="E19659" t="s">
        <v>9459</v>
      </c>
      <c r="F19659" t="s">
        <v>13992</v>
      </c>
      <c r="G19659" t="s">
        <v>16620</v>
      </c>
      <c r="H19659" t="s">
        <v>35525</v>
      </c>
    </row>
    <row r="19660" spans="1:8">
      <c r="H19660" t="s">
        <v>35526</v>
      </c>
    </row>
    <row r="19661" spans="1:8">
      <c r="H19661" t="s">
        <v>35529</v>
      </c>
    </row>
    <row r="19662" spans="1:8">
      <c r="H19662" t="s">
        <v>35531</v>
      </c>
    </row>
    <row r="19663" spans="1:8">
      <c r="H19663" t="s">
        <v>35533</v>
      </c>
    </row>
    <row r="19664" spans="1:8">
      <c r="H19664" t="s">
        <v>35535</v>
      </c>
    </row>
    <row r="19665" spans="8:8">
      <c r="H19665" t="s">
        <v>35537</v>
      </c>
    </row>
    <row r="19666" spans="8:8">
      <c r="H19666" t="s">
        <v>35510</v>
      </c>
    </row>
    <row r="19667" spans="8:8">
      <c r="H19667" t="s">
        <v>35512</v>
      </c>
    </row>
    <row r="19668" spans="8:8">
      <c r="H19668" t="s">
        <v>35514</v>
      </c>
    </row>
    <row r="19669" spans="8:8">
      <c r="H19669" t="s">
        <v>35517</v>
      </c>
    </row>
    <row r="19670" spans="8:8">
      <c r="H19670" t="s">
        <v>35519</v>
      </c>
    </row>
    <row r="19671" spans="8:8">
      <c r="H19671" t="s">
        <v>35521</v>
      </c>
    </row>
    <row r="19672" spans="8:8">
      <c r="H19672" t="s">
        <v>35498</v>
      </c>
    </row>
    <row r="19673" spans="8:8">
      <c r="H19673" t="s">
        <v>35500</v>
      </c>
    </row>
    <row r="19674" spans="8:8">
      <c r="H19674" t="s">
        <v>35502</v>
      </c>
    </row>
    <row r="19675" spans="8:8">
      <c r="H19675" t="s">
        <v>35504</v>
      </c>
    </row>
    <row r="19676" spans="8:8">
      <c r="H19676" t="s">
        <v>35506</v>
      </c>
    </row>
    <row r="19677" spans="8:8">
      <c r="H19677" t="s">
        <v>35508</v>
      </c>
    </row>
    <row r="19678" spans="8:8">
      <c r="H19678" t="s">
        <v>35488</v>
      </c>
    </row>
    <row r="19679" spans="8:8">
      <c r="H19679" t="s">
        <v>35490</v>
      </c>
    </row>
    <row r="19680" spans="8:8">
      <c r="H19680" t="s">
        <v>35492</v>
      </c>
    </row>
    <row r="19681" spans="1:8">
      <c r="H19681" t="s">
        <v>35494</v>
      </c>
    </row>
    <row r="19682" spans="1:8">
      <c r="H19682" t="s">
        <v>35496</v>
      </c>
    </row>
    <row r="19683" spans="1:8">
      <c r="H19683" t="s">
        <v>36066</v>
      </c>
    </row>
    <row r="19684" spans="1:8">
      <c r="H19684" t="s">
        <v>36068</v>
      </c>
    </row>
    <row r="19685" spans="1:8">
      <c r="F19685" t="s">
        <v>13816</v>
      </c>
      <c r="G19685" t="s">
        <v>15089</v>
      </c>
      <c r="H19685" t="s">
        <v>36069</v>
      </c>
    </row>
    <row r="19686" spans="1:8">
      <c r="H19686" t="s">
        <v>36071</v>
      </c>
    </row>
    <row r="19687" spans="1:8">
      <c r="H19687" t="s">
        <v>35538</v>
      </c>
    </row>
    <row r="19688" spans="1:8">
      <c r="A19688" t="s">
        <v>3768</v>
      </c>
      <c r="B19688">
        <f>HYPERLINK("https://android.googlesource.com/platform/cts/+/20e3f9cd460947f6967fe34d7b1c4f14d84502e8", "20e3f9cd460947f6967fe34d7b1c4f14d84502e8")</f>
        <v>0</v>
      </c>
      <c r="C19688">
        <f>HYPERLINK("https://android.googlesource.com/platform/cts/+/426b88617c889d15a9b689e062095187af528213", "426b88617c889d15a9b689e062095187af528213")</f>
        <v>0</v>
      </c>
      <c r="D19688" t="s">
        <v>5617</v>
      </c>
      <c r="E19688" t="s">
        <v>9460</v>
      </c>
      <c r="F19688" t="s">
        <v>14460</v>
      </c>
      <c r="G19688" t="s">
        <v>18394</v>
      </c>
      <c r="H19688" t="s">
        <v>36074</v>
      </c>
    </row>
    <row r="19689" spans="1:8">
      <c r="A19689" t="s">
        <v>3769</v>
      </c>
      <c r="B19689">
        <f>HYPERLINK("https://android.googlesource.com/platform/cts/+/14c8d61ecaefa5c18ab02be789e018f522da64bc", "14c8d61ecaefa5c18ab02be789e018f522da64bc")</f>
        <v>0</v>
      </c>
      <c r="C19689">
        <f>HYPERLINK("https://android.googlesource.com/platform/cts/+/19835ead4b5423d48882dfcef9ae9f4d8d0735d9", "19835ead4b5423d48882dfcef9ae9f4d8d0735d9")</f>
        <v>0</v>
      </c>
      <c r="D19689" t="s">
        <v>5465</v>
      </c>
      <c r="E19689" t="s">
        <v>9461</v>
      </c>
      <c r="F19689" t="s">
        <v>14461</v>
      </c>
      <c r="G19689" t="s">
        <v>15710</v>
      </c>
      <c r="H19689" t="s">
        <v>36075</v>
      </c>
    </row>
    <row r="19690" spans="1:8">
      <c r="H19690" t="s">
        <v>36076</v>
      </c>
    </row>
    <row r="19691" spans="1:8">
      <c r="A19691" t="s">
        <v>3770</v>
      </c>
      <c r="B19691">
        <f>HYPERLINK("https://android.googlesource.com/platform/cts/+/507331e75a672ffd569b567664ace93f4ccd5aca", "507331e75a672ffd569b567664ace93f4ccd5aca")</f>
        <v>0</v>
      </c>
      <c r="C19691">
        <f>HYPERLINK("https://android.googlesource.com/platform/cts/+/14c8d61ecaefa5c18ab02be789e018f522da64bc", "14c8d61ecaefa5c18ab02be789e018f522da64bc")</f>
        <v>0</v>
      </c>
      <c r="D19691" t="s">
        <v>5465</v>
      </c>
      <c r="E19691" t="s">
        <v>9462</v>
      </c>
      <c r="F19691" t="s">
        <v>14461</v>
      </c>
      <c r="G19691" t="s">
        <v>15710</v>
      </c>
      <c r="H19691" t="s">
        <v>36079</v>
      </c>
    </row>
    <row r="19692" spans="1:8">
      <c r="H19692" t="s">
        <v>36080</v>
      </c>
    </row>
    <row r="19693" spans="1:8">
      <c r="H19693" t="s">
        <v>36081</v>
      </c>
    </row>
    <row r="19694" spans="1:8">
      <c r="H19694" t="s">
        <v>36082</v>
      </c>
    </row>
    <row r="19695" spans="1:8">
      <c r="A19695" t="s">
        <v>3771</v>
      </c>
      <c r="B19695">
        <f>HYPERLINK("https://android.googlesource.com/platform/cts/+/91ddf93d28ecb35f13ec398df0a7b2e9c830e1a0", "91ddf93d28ecb35f13ec398df0a7b2e9c830e1a0")</f>
        <v>0</v>
      </c>
      <c r="C19695">
        <f>HYPERLINK("https://android.googlesource.com/platform/cts/+/a0e4e03bd5e99e1718196b977f9dd87712ff851d", "a0e4e03bd5e99e1718196b977f9dd87712ff851d")</f>
        <v>0</v>
      </c>
      <c r="D19695" t="s">
        <v>5409</v>
      </c>
      <c r="E19695" t="s">
        <v>9463</v>
      </c>
      <c r="F19695" t="s">
        <v>14462</v>
      </c>
      <c r="G19695" t="s">
        <v>18326</v>
      </c>
      <c r="H19695" t="s">
        <v>36084</v>
      </c>
    </row>
    <row r="19696" spans="1:8">
      <c r="A19696" t="s">
        <v>3772</v>
      </c>
      <c r="B19696">
        <f>HYPERLINK("https://android.googlesource.com/platform/cts/+/e0bf90376a384064fcd28706caa018436b30c538", "e0bf90376a384064fcd28706caa018436b30c538")</f>
        <v>0</v>
      </c>
      <c r="C19696">
        <f>HYPERLINK("https://android.googlesource.com/platform/cts/+/a0e4e03bd5e99e1718196b977f9dd87712ff851d", "a0e4e03bd5e99e1718196b977f9dd87712ff851d")</f>
        <v>0</v>
      </c>
      <c r="D19696" t="s">
        <v>5409</v>
      </c>
      <c r="E19696" t="s">
        <v>9464</v>
      </c>
      <c r="F19696" t="s">
        <v>14451</v>
      </c>
      <c r="G19696" t="s">
        <v>18386</v>
      </c>
      <c r="H19696" t="s">
        <v>36087</v>
      </c>
    </row>
    <row r="19697" spans="1:8">
      <c r="A19697" t="s">
        <v>3774</v>
      </c>
      <c r="B19697">
        <f>HYPERLINK("https://android.googlesource.com/platform/cts/+/a879dd563b4a32f4e4ff43529e90b73ecd4f7cda", "a879dd563b4a32f4e4ff43529e90b73ecd4f7cda")</f>
        <v>0</v>
      </c>
      <c r="C19697">
        <f>HYPERLINK("https://android.googlesource.com/platform/cts/+/29bb7918fcecdd907e5433d4083ca0872f516fda", "29bb7918fcecdd907e5433d4083ca0872f516fda")</f>
        <v>0</v>
      </c>
      <c r="D19697" t="s">
        <v>5443</v>
      </c>
      <c r="E19697" t="s">
        <v>9466</v>
      </c>
      <c r="F19697" t="s">
        <v>12710</v>
      </c>
      <c r="G19697" t="s">
        <v>16911</v>
      </c>
      <c r="H19697" t="s">
        <v>30890</v>
      </c>
    </row>
    <row r="19698" spans="1:8">
      <c r="A19698" t="s">
        <v>3778</v>
      </c>
      <c r="B19698">
        <f>HYPERLINK("https://android.googlesource.com/platform/cts/+/c86d5462ac806dd2500bb44bac671e5e7f09cfd2", "c86d5462ac806dd2500bb44bac671e5e7f09cfd2")</f>
        <v>0</v>
      </c>
      <c r="C19698">
        <f>HYPERLINK("https://android.googlesource.com/platform/cts/+/e971fb9e2e58b48b22ffc66493d57edd755f5821", "e971fb9e2e58b48b22ffc66493d57edd755f5821")</f>
        <v>0</v>
      </c>
      <c r="D19698" t="s">
        <v>5619</v>
      </c>
      <c r="E19698" t="s">
        <v>9470</v>
      </c>
      <c r="F19698" t="s">
        <v>14467</v>
      </c>
      <c r="G19698" t="s">
        <v>18399</v>
      </c>
      <c r="H19698" t="s">
        <v>36093</v>
      </c>
    </row>
    <row r="19699" spans="1:8">
      <c r="A19699" t="s">
        <v>3781</v>
      </c>
      <c r="B19699">
        <f>HYPERLINK("https://android.googlesource.com/platform/cts/+/e48216b9c1fb548510656d4b986460c51b428432", "e48216b9c1fb548510656d4b986460c51b428432")</f>
        <v>0</v>
      </c>
      <c r="C19699">
        <f>HYPERLINK("https://android.googlesource.com/platform/cts/+/e06c631f3b4161cb873d351a7a72f69fc0133ddb", "e06c631f3b4161cb873d351a7a72f69fc0133ddb")</f>
        <v>0</v>
      </c>
      <c r="D19699" t="s">
        <v>5602</v>
      </c>
      <c r="E19699" t="s">
        <v>9473</v>
      </c>
      <c r="F19699" t="s">
        <v>12599</v>
      </c>
      <c r="G19699" t="s">
        <v>16812</v>
      </c>
      <c r="H19699" t="s">
        <v>36096</v>
      </c>
    </row>
    <row r="19700" spans="1:8">
      <c r="A19700" t="s">
        <v>3786</v>
      </c>
      <c r="B19700">
        <f>HYPERLINK("https://android.googlesource.com/platform/cts/+/a82a746f44649b689f330c035bebfb13dab3d967", "a82a746f44649b689f330c035bebfb13dab3d967")</f>
        <v>0</v>
      </c>
      <c r="C19700">
        <f>HYPERLINK("https://android.googlesource.com/platform/cts/+/c9239353f9b933687cdfcfafc7b61d45cf94593e", "c9239353f9b933687cdfcfafc7b61d45cf94593e")</f>
        <v>0</v>
      </c>
      <c r="D19700" t="s">
        <v>5141</v>
      </c>
      <c r="E19700" t="s">
        <v>9478</v>
      </c>
      <c r="F19700" t="s">
        <v>14470</v>
      </c>
      <c r="G19700" t="s">
        <v>18402</v>
      </c>
      <c r="H19700" t="s">
        <v>36102</v>
      </c>
    </row>
    <row r="19701" spans="1:8">
      <c r="A19701" t="s">
        <v>3787</v>
      </c>
      <c r="B19701">
        <f>HYPERLINK("https://android.googlesource.com/platform/cts/+/31ead20c54016e43b1368756f4cd7ff96818cb2c", "31ead20c54016e43b1368756f4cd7ff96818cb2c")</f>
        <v>0</v>
      </c>
      <c r="C19701">
        <f>HYPERLINK("https://android.googlesource.com/platform/cts/+/c8bfbf423dd30d19097b84a18138194cf0e1c283", "c8bfbf423dd30d19097b84a18138194cf0e1c283")</f>
        <v>0</v>
      </c>
      <c r="D19701" t="s">
        <v>5344</v>
      </c>
      <c r="E19701" t="s">
        <v>9479</v>
      </c>
      <c r="F19701" t="s">
        <v>14471</v>
      </c>
      <c r="G19701" t="s">
        <v>18403</v>
      </c>
      <c r="H19701" t="s">
        <v>36103</v>
      </c>
    </row>
    <row r="19702" spans="1:8">
      <c r="H19702" t="s">
        <v>36104</v>
      </c>
    </row>
    <row r="19703" spans="1:8">
      <c r="H19703" t="s">
        <v>36105</v>
      </c>
    </row>
    <row r="19704" spans="1:8">
      <c r="H19704" t="s">
        <v>36106</v>
      </c>
    </row>
    <row r="19705" spans="1:8">
      <c r="H19705" t="s">
        <v>36107</v>
      </c>
    </row>
    <row r="19706" spans="1:8">
      <c r="F19706" t="s">
        <v>14472</v>
      </c>
      <c r="G19706" t="s">
        <v>18404</v>
      </c>
      <c r="H19706" t="s">
        <v>36108</v>
      </c>
    </row>
    <row r="19707" spans="1:8">
      <c r="H19707" t="s">
        <v>36107</v>
      </c>
    </row>
    <row r="19708" spans="1:8">
      <c r="F19708" t="s">
        <v>14473</v>
      </c>
      <c r="G19708" t="s">
        <v>18405</v>
      </c>
      <c r="H19708" t="s">
        <v>36109</v>
      </c>
    </row>
    <row r="19709" spans="1:8">
      <c r="H19709" t="s">
        <v>36110</v>
      </c>
    </row>
    <row r="19710" spans="1:8">
      <c r="H19710" t="s">
        <v>36111</v>
      </c>
    </row>
    <row r="19711" spans="1:8">
      <c r="H19711" t="s">
        <v>36106</v>
      </c>
    </row>
    <row r="19712" spans="1:8">
      <c r="H19712" t="s">
        <v>36112</v>
      </c>
    </row>
    <row r="19713" spans="1:8">
      <c r="H19713" t="s">
        <v>36113</v>
      </c>
    </row>
    <row r="19714" spans="1:8">
      <c r="A19714" t="s">
        <v>3789</v>
      </c>
      <c r="B19714">
        <f>HYPERLINK("https://android.googlesource.com/platform/cts/+/83e8e03d3b181d87d807341e94be32afe52cb300", "83e8e03d3b181d87d807341e94be32afe52cb300")</f>
        <v>0</v>
      </c>
      <c r="C19714">
        <f>HYPERLINK("https://android.googlesource.com/platform/cts/+/8e4050810ef02c4a6a384ac6165cb0d6c904e304", "8e4050810ef02c4a6a384ac6165cb0d6c904e304")</f>
        <v>0</v>
      </c>
      <c r="D19714" t="s">
        <v>5400</v>
      </c>
      <c r="E19714" t="s">
        <v>9481</v>
      </c>
      <c r="F19714" t="s">
        <v>14474</v>
      </c>
      <c r="G19714" t="s">
        <v>18406</v>
      </c>
      <c r="H19714" t="s">
        <v>36115</v>
      </c>
    </row>
    <row r="19715" spans="1:8">
      <c r="H19715" t="s">
        <v>36116</v>
      </c>
    </row>
    <row r="19716" spans="1:8">
      <c r="A19716" t="s">
        <v>3790</v>
      </c>
      <c r="B19716">
        <f>HYPERLINK("https://android.googlesource.com/platform/cts/+/66ccad22914e25dd88ee6e9812883a5fa7ebff1e", "66ccad22914e25dd88ee6e9812883a5fa7ebff1e")</f>
        <v>0</v>
      </c>
      <c r="C19716">
        <f>HYPERLINK("https://android.googlesource.com/platform/cts/+/2eac328180a72a7e6a68880c18679be3ed4c68f2", "2eac328180a72a7e6a68880c18679be3ed4c68f2")</f>
        <v>0</v>
      </c>
      <c r="D19716" t="s">
        <v>5620</v>
      </c>
      <c r="E19716" t="s">
        <v>9482</v>
      </c>
      <c r="F19716" t="s">
        <v>14475</v>
      </c>
      <c r="G19716" t="s">
        <v>18407</v>
      </c>
      <c r="H19716" t="s">
        <v>36117</v>
      </c>
    </row>
    <row r="19717" spans="1:8">
      <c r="H19717" t="s">
        <v>36118</v>
      </c>
    </row>
    <row r="19718" spans="1:8">
      <c r="H19718" t="s">
        <v>36119</v>
      </c>
    </row>
    <row r="19719" spans="1:8">
      <c r="A19719" t="s">
        <v>3793</v>
      </c>
      <c r="B19719">
        <f>HYPERLINK("https://android.googlesource.com/platform/cts/+/ea4c9fa12bdf09e16698c66c3b9f15b470baa67f", "ea4c9fa12bdf09e16698c66c3b9f15b470baa67f")</f>
        <v>0</v>
      </c>
      <c r="C19719">
        <f>HYPERLINK("https://android.googlesource.com/platform/cts/+/d472e426a7e093dae9172360c4e2ed0a5540fd5a", "d472e426a7e093dae9172360c4e2ed0a5540fd5a")</f>
        <v>0</v>
      </c>
      <c r="D19719" t="s">
        <v>5243</v>
      </c>
      <c r="E19719" t="s">
        <v>9485</v>
      </c>
      <c r="F19719" t="s">
        <v>13103</v>
      </c>
      <c r="G19719" t="s">
        <v>17265</v>
      </c>
      <c r="H19719" t="s">
        <v>36123</v>
      </c>
    </row>
    <row r="19720" spans="1:8">
      <c r="A19720" t="s">
        <v>3794</v>
      </c>
      <c r="B19720">
        <f>HYPERLINK("https://android.googlesource.com/platform/cts/+/c4c7f6b73dbe72f4dd02c65419e1f2dcdc890036", "c4c7f6b73dbe72f4dd02c65419e1f2dcdc890036")</f>
        <v>0</v>
      </c>
      <c r="C19720">
        <f>HYPERLINK("https://android.googlesource.com/platform/cts/+/42875b120b2568e530a53193d1ba42601ddb725f", "42875b120b2568e530a53193d1ba42601ddb725f")</f>
        <v>0</v>
      </c>
      <c r="D19720" t="s">
        <v>5520</v>
      </c>
      <c r="E19720" t="s">
        <v>9486</v>
      </c>
      <c r="F19720" t="s">
        <v>14477</v>
      </c>
      <c r="G19720" t="s">
        <v>18409</v>
      </c>
      <c r="H19720" t="s">
        <v>36124</v>
      </c>
    </row>
    <row r="19721" spans="1:8">
      <c r="A19721" t="s">
        <v>3798</v>
      </c>
      <c r="B19721">
        <f>HYPERLINK("https://android.googlesource.com/platform/cts/+/ee99c17a59eddd5e819118e29c9c08b08560a61e", "ee99c17a59eddd5e819118e29c9c08b08560a61e")</f>
        <v>0</v>
      </c>
      <c r="C19721">
        <f>HYPERLINK("https://android.googlesource.com/platform/cts/+/9168462b987d9fd220094009c75b548517f1bf28", "9168462b987d9fd220094009c75b548517f1bf28")</f>
        <v>0</v>
      </c>
      <c r="D19721" t="s">
        <v>5359</v>
      </c>
      <c r="E19721" t="s">
        <v>9490</v>
      </c>
      <c r="F19721" t="s">
        <v>14480</v>
      </c>
      <c r="G19721" t="s">
        <v>18412</v>
      </c>
      <c r="H19721" t="s">
        <v>36129</v>
      </c>
    </row>
    <row r="19722" spans="1:8">
      <c r="A19722" t="s">
        <v>3799</v>
      </c>
      <c r="B19722">
        <f>HYPERLINK("https://android.googlesource.com/platform/cts/+/3358e6bbc28405c65a2778649f2391d9d356bed3", "3358e6bbc28405c65a2778649f2391d9d356bed3")</f>
        <v>0</v>
      </c>
      <c r="C19722">
        <f>HYPERLINK("https://android.googlesource.com/platform/cts/+/23e5bd0b7a8fcc173f56b56daa96007b4be983f8", "23e5bd0b7a8fcc173f56b56daa96007b4be983f8")</f>
        <v>0</v>
      </c>
      <c r="D19722" t="s">
        <v>5046</v>
      </c>
      <c r="E19722" t="s">
        <v>9491</v>
      </c>
      <c r="F19722" t="s">
        <v>13487</v>
      </c>
      <c r="G19722" t="s">
        <v>17044</v>
      </c>
      <c r="H19722" t="s">
        <v>36052</v>
      </c>
    </row>
    <row r="19723" spans="1:8">
      <c r="A19723" t="s">
        <v>3801</v>
      </c>
      <c r="B19723">
        <f>HYPERLINK("https://android.googlesource.com/platform/cts/+/712a07b43c1624643b2a482083d5cce0e09aaabc", "712a07b43c1624643b2a482083d5cce0e09aaabc")</f>
        <v>0</v>
      </c>
      <c r="C19723">
        <f>HYPERLINK("https://android.googlesource.com/platform/cts/+/38180946f4c2dfa7f126901524d62b0ce3942b2e", "38180946f4c2dfa7f126901524d62b0ce3942b2e")</f>
        <v>0</v>
      </c>
      <c r="D19723" t="s">
        <v>5621</v>
      </c>
      <c r="E19723" t="s">
        <v>9493</v>
      </c>
      <c r="F19723" t="s">
        <v>13816</v>
      </c>
      <c r="G19723" t="s">
        <v>15089</v>
      </c>
      <c r="H19723" t="s">
        <v>36133</v>
      </c>
    </row>
    <row r="19724" spans="1:8">
      <c r="A19724" t="s">
        <v>3806</v>
      </c>
      <c r="B19724">
        <f>HYPERLINK("https://android.googlesource.com/platform/cts/+/37e3cd4567aa37f49188f4675b8fb7513cea7f96", "37e3cd4567aa37f49188f4675b8fb7513cea7f96")</f>
        <v>0</v>
      </c>
      <c r="C19724">
        <f>HYPERLINK("https://android.googlesource.com/platform/cts/+/712a07b43c1624643b2a482083d5cce0e09aaabc", "712a07b43c1624643b2a482083d5cce0e09aaabc")</f>
        <v>0</v>
      </c>
      <c r="D19724" t="s">
        <v>5623</v>
      </c>
      <c r="E19724" t="s">
        <v>9498</v>
      </c>
      <c r="F19724" t="s">
        <v>14483</v>
      </c>
      <c r="G19724" t="s">
        <v>18415</v>
      </c>
      <c r="H19724" t="s">
        <v>36165</v>
      </c>
    </row>
    <row r="19725" spans="1:8">
      <c r="A19725" t="s">
        <v>3807</v>
      </c>
      <c r="B19725">
        <f>HYPERLINK("https://android.googlesource.com/platform/cts/+/5fc25d369ed05d9b8cd2fb3dbb5209926ac54923", "5fc25d369ed05d9b8cd2fb3dbb5209926ac54923")</f>
        <v>0</v>
      </c>
      <c r="C19725">
        <f>HYPERLINK("https://android.googlesource.com/platform/cts/+/d49a9a56d85eea82e7ea696183c2d564a3bd6eb3", "d49a9a56d85eea82e7ea696183c2d564a3bd6eb3")</f>
        <v>0</v>
      </c>
      <c r="D19725" t="s">
        <v>5180</v>
      </c>
      <c r="E19725" t="s">
        <v>9499</v>
      </c>
      <c r="F19725" t="s">
        <v>14481</v>
      </c>
      <c r="G19725" t="s">
        <v>18413</v>
      </c>
      <c r="H19725" t="s">
        <v>36166</v>
      </c>
    </row>
    <row r="19726" spans="1:8">
      <c r="H19726" t="s">
        <v>36167</v>
      </c>
    </row>
    <row r="19727" spans="1:8">
      <c r="H19727" t="s">
        <v>36168</v>
      </c>
    </row>
    <row r="19728" spans="1:8">
      <c r="A19728" t="s">
        <v>3808</v>
      </c>
      <c r="B19728">
        <f>HYPERLINK("https://android.googlesource.com/platform/cts/+/267489424548261ebf34db7c9938b07c1166c9cb", "267489424548261ebf34db7c9938b07c1166c9cb")</f>
        <v>0</v>
      </c>
      <c r="C19728">
        <f>HYPERLINK("https://android.googlesource.com/platform/cts/+/93d6d7aac39a81ab4b4e727cee3c8ea0a808c9b8", "93d6d7aac39a81ab4b4e727cee3c8ea0a808c9b8")</f>
        <v>0</v>
      </c>
      <c r="D19728" t="s">
        <v>5621</v>
      </c>
      <c r="E19728" t="s">
        <v>9500</v>
      </c>
      <c r="F19728" t="s">
        <v>13816</v>
      </c>
      <c r="G19728" t="s">
        <v>15089</v>
      </c>
      <c r="H19728" t="s">
        <v>36133</v>
      </c>
    </row>
    <row r="19729" spans="1:8">
      <c r="A19729" t="s">
        <v>3809</v>
      </c>
      <c r="B19729">
        <f>HYPERLINK("https://android.googlesource.com/platform/cts/+/92abe57f355a3f845b8bd100664766121f6c8f5c", "92abe57f355a3f845b8bd100664766121f6c8f5c")</f>
        <v>0</v>
      </c>
      <c r="C19729">
        <f>HYPERLINK("https://android.googlesource.com/platform/cts/+/ace4f4d8065734bc8e9d9ddd6af323331225c296", "ace4f4d8065734bc8e9d9ddd6af323331225c296")</f>
        <v>0</v>
      </c>
      <c r="D19729" t="s">
        <v>5624</v>
      </c>
      <c r="E19729" t="s">
        <v>9501</v>
      </c>
      <c r="F19729" t="s">
        <v>12176</v>
      </c>
      <c r="G19729" t="s">
        <v>16415</v>
      </c>
      <c r="H19729" t="s">
        <v>36169</v>
      </c>
    </row>
    <row r="19730" spans="1:8">
      <c r="A19730" t="s">
        <v>3810</v>
      </c>
      <c r="B19730">
        <f>HYPERLINK("https://android.googlesource.com/platform/cts/+/aefee4c9ff841ada03a631b13079d370dbcdb66f", "aefee4c9ff841ada03a631b13079d370dbcdb66f")</f>
        <v>0</v>
      </c>
      <c r="C19730">
        <f>HYPERLINK("https://android.googlesource.com/platform/cts/+/64687baae4d38761c49d6f1c274322e0e7cffd5f", "64687baae4d38761c49d6f1c274322e0e7cffd5f")</f>
        <v>0</v>
      </c>
      <c r="D19730" t="s">
        <v>5595</v>
      </c>
      <c r="E19730" t="s">
        <v>9502</v>
      </c>
      <c r="F19730" t="s">
        <v>14484</v>
      </c>
      <c r="G19730" t="s">
        <v>18416</v>
      </c>
      <c r="H19730" t="s">
        <v>36170</v>
      </c>
    </row>
    <row r="19731" spans="1:8">
      <c r="A19731" t="s">
        <v>3812</v>
      </c>
      <c r="B19731">
        <f>HYPERLINK("https://android.googlesource.com/platform/cts/+/ade68bcb5882e6b78e8cb3e26a625a54ee612675", "ade68bcb5882e6b78e8cb3e26a625a54ee612675")</f>
        <v>0</v>
      </c>
      <c r="C19731">
        <f>HYPERLINK("https://android.googlesource.com/platform/cts/+/ef3cae7c99ea4adb3a561ea6a69f4a8cd023aac9", "ef3cae7c99ea4adb3a561ea6a69f4a8cd023aac9")</f>
        <v>0</v>
      </c>
      <c r="D19731" t="s">
        <v>5313</v>
      </c>
      <c r="E19731" t="s">
        <v>9504</v>
      </c>
      <c r="F19731" t="s">
        <v>14165</v>
      </c>
      <c r="G19731" t="s">
        <v>17361</v>
      </c>
      <c r="H19731" t="s">
        <v>36173</v>
      </c>
    </row>
    <row r="19732" spans="1:8">
      <c r="A19732" t="s">
        <v>3813</v>
      </c>
      <c r="B19732">
        <f>HYPERLINK("https://android.googlesource.com/platform/cts/+/415954122309dd40be8c34a954a2e900161ffe5d", "415954122309dd40be8c34a954a2e900161ffe5d")</f>
        <v>0</v>
      </c>
      <c r="C19732">
        <f>HYPERLINK("https://android.googlesource.com/platform/cts/+/f26efb19e329f3adc61b0cd567ce6263349cbf83", "f26efb19e329f3adc61b0cd567ce6263349cbf83")</f>
        <v>0</v>
      </c>
      <c r="D19732" t="s">
        <v>5625</v>
      </c>
      <c r="E19732" t="s">
        <v>9505</v>
      </c>
      <c r="F19732" t="s">
        <v>13816</v>
      </c>
      <c r="G19732" t="s">
        <v>15089</v>
      </c>
      <c r="H19732" t="s">
        <v>36174</v>
      </c>
    </row>
    <row r="19733" spans="1:8">
      <c r="A19733" t="s">
        <v>3814</v>
      </c>
      <c r="B19733">
        <f>HYPERLINK("https://android.googlesource.com/platform/cts/+/90e66e3ab0c4644aa2fcc602417272181dc2ef58", "90e66e3ab0c4644aa2fcc602417272181dc2ef58")</f>
        <v>0</v>
      </c>
      <c r="C19733">
        <f>HYPERLINK("https://android.googlesource.com/platform/cts/+/7aab706761435cf5393bbb56649491d8c35ae02d", "7aab706761435cf5393bbb56649491d8c35ae02d")</f>
        <v>0</v>
      </c>
      <c r="D19733" t="s">
        <v>5585</v>
      </c>
      <c r="E19733" t="s">
        <v>9506</v>
      </c>
      <c r="F19733" t="s">
        <v>13788</v>
      </c>
      <c r="G19733" t="s">
        <v>17841</v>
      </c>
      <c r="H19733" t="s">
        <v>35469</v>
      </c>
    </row>
    <row r="19734" spans="1:8">
      <c r="A19734" t="s">
        <v>3817</v>
      </c>
      <c r="B19734">
        <f>HYPERLINK("https://android.googlesource.com/platform/cts/+/cb0ce7b15bf0597c67a121fe498a7b9187c7b93a", "cb0ce7b15bf0597c67a121fe498a7b9187c7b93a")</f>
        <v>0</v>
      </c>
      <c r="C19734">
        <f>HYPERLINK("https://android.googlesource.com/platform/cts/+/01923684d0485d039317f879049a910106d53aec", "01923684d0485d039317f879049a910106d53aec")</f>
        <v>0</v>
      </c>
      <c r="D19734" t="s">
        <v>5469</v>
      </c>
      <c r="E19734" t="s">
        <v>9509</v>
      </c>
      <c r="F19734" t="s">
        <v>14486</v>
      </c>
      <c r="G19734" t="s">
        <v>18417</v>
      </c>
      <c r="H19734" t="s">
        <v>36175</v>
      </c>
    </row>
    <row r="19735" spans="1:8">
      <c r="H19735" t="s">
        <v>36176</v>
      </c>
    </row>
    <row r="19736" spans="1:8">
      <c r="A19736" t="s">
        <v>3818</v>
      </c>
      <c r="B19736">
        <f>HYPERLINK("https://android.googlesource.com/platform/cts/+/1b14ed81f9d84f93ce74f9104dfd05c1bb14fc8c", "1b14ed81f9d84f93ce74f9104dfd05c1bb14fc8c")</f>
        <v>0</v>
      </c>
      <c r="C19736">
        <f>HYPERLINK("https://android.googlesource.com/platform/cts/+/6d40d66e7ef35c61117eac9a67756448c38e322a", "6d40d66e7ef35c61117eac9a67756448c38e322a")</f>
        <v>0</v>
      </c>
      <c r="D19736" t="s">
        <v>5139</v>
      </c>
      <c r="E19736" t="s">
        <v>9510</v>
      </c>
      <c r="F19736" t="s">
        <v>14487</v>
      </c>
      <c r="G19736" t="s">
        <v>18418</v>
      </c>
      <c r="H19736" t="s">
        <v>36178</v>
      </c>
    </row>
    <row r="19737" spans="1:8">
      <c r="H19737" t="s">
        <v>36179</v>
      </c>
    </row>
    <row r="19738" spans="1:8">
      <c r="F19738" t="s">
        <v>12931</v>
      </c>
      <c r="G19738" t="s">
        <v>17096</v>
      </c>
      <c r="H19738" t="s">
        <v>36180</v>
      </c>
    </row>
    <row r="19739" spans="1:8">
      <c r="A19739" t="s">
        <v>3819</v>
      </c>
      <c r="B19739">
        <f>HYPERLINK("https://android.googlesource.com/platform/cts/+/3e7ff67f105be00b55411abc7d138413c8077405", "3e7ff67f105be00b55411abc7d138413c8077405")</f>
        <v>0</v>
      </c>
      <c r="C19739">
        <f>HYPERLINK("https://android.googlesource.com/platform/cts/+/93d6d7aac39a81ab4b4e727cee3c8ea0a808c9b8", "93d6d7aac39a81ab4b4e727cee3c8ea0a808c9b8")</f>
        <v>0</v>
      </c>
      <c r="D19739" t="s">
        <v>5272</v>
      </c>
      <c r="E19739" t="s">
        <v>9511</v>
      </c>
      <c r="F19739" t="s">
        <v>13757</v>
      </c>
      <c r="G19739" t="s">
        <v>17816</v>
      </c>
      <c r="H19739" t="s">
        <v>36181</v>
      </c>
    </row>
    <row r="19740" spans="1:8">
      <c r="A19740" t="s">
        <v>3820</v>
      </c>
      <c r="B19740">
        <f>HYPERLINK("https://android.googlesource.com/platform/cts/+/1773bd5a8578ad9f4deac92814d405940f1b0066", "1773bd5a8578ad9f4deac92814d405940f1b0066")</f>
        <v>0</v>
      </c>
      <c r="C19740">
        <f>HYPERLINK("https://android.googlesource.com/platform/cts/+/87a4f8487a7063b22a5caf67f8c82c3c9a5d0193", "87a4f8487a7063b22a5caf67f8c82c3c9a5d0193")</f>
        <v>0</v>
      </c>
      <c r="D19740" t="s">
        <v>5344</v>
      </c>
      <c r="E19740" t="s">
        <v>9512</v>
      </c>
      <c r="F19740" t="s">
        <v>14473</v>
      </c>
      <c r="G19740" t="s">
        <v>18405</v>
      </c>
      <c r="H19740" t="s">
        <v>36182</v>
      </c>
    </row>
    <row r="19741" spans="1:8">
      <c r="H19741" t="s">
        <v>36183</v>
      </c>
    </row>
    <row r="19742" spans="1:8">
      <c r="A19742" t="s">
        <v>3821</v>
      </c>
      <c r="B19742">
        <f>HYPERLINK("https://android.googlesource.com/platform/cts/+/322fb2ba83471676eadc04fef924a89e207c8454", "322fb2ba83471676eadc04fef924a89e207c8454")</f>
        <v>0</v>
      </c>
      <c r="C19742">
        <f>HYPERLINK("https://android.googlesource.com/platform/cts/+/8ab92a6edc6d558a0a01b9ffd2d45c958ea93bcc", "8ab92a6edc6d558a0a01b9ffd2d45c958ea93bcc")</f>
        <v>0</v>
      </c>
      <c r="D19742" t="s">
        <v>5344</v>
      </c>
      <c r="E19742" t="s">
        <v>9513</v>
      </c>
      <c r="F19742" t="s">
        <v>14476</v>
      </c>
      <c r="G19742" t="s">
        <v>18408</v>
      </c>
      <c r="H19742" t="s">
        <v>36184</v>
      </c>
    </row>
    <row r="19743" spans="1:8">
      <c r="A19743" t="s">
        <v>3822</v>
      </c>
      <c r="B19743">
        <f>HYPERLINK("https://android.googlesource.com/platform/cts/+/7f65c7bbc4049f4e4f9fed4bc977e6b75b01b67c", "7f65c7bbc4049f4e4f9fed4bc977e6b75b01b67c")</f>
        <v>0</v>
      </c>
      <c r="C19743">
        <f>HYPERLINK("https://android.googlesource.com/platform/cts/+/4db3203acb645ecca876b22f5789ddcc182c852d", "4db3203acb645ecca876b22f5789ddcc182c852d")</f>
        <v>0</v>
      </c>
      <c r="D19743" t="s">
        <v>5528</v>
      </c>
      <c r="E19743" t="s">
        <v>9514</v>
      </c>
      <c r="F19743" t="s">
        <v>14488</v>
      </c>
      <c r="G19743" t="s">
        <v>17893</v>
      </c>
      <c r="H19743" t="s">
        <v>36185</v>
      </c>
    </row>
    <row r="19744" spans="1:8">
      <c r="A19744" t="s">
        <v>3823</v>
      </c>
      <c r="B19744">
        <f>HYPERLINK("https://android.googlesource.com/platform/cts/+/129e1a3d4626f32043cc33a4aab24edd35cc5433", "129e1a3d4626f32043cc33a4aab24edd35cc5433")</f>
        <v>0</v>
      </c>
      <c r="C19744">
        <f>HYPERLINK("https://android.googlesource.com/platform/cts/+/87e381e1c22ef37bf0f4cb8de27ee68262d9c494", "87e381e1c22ef37bf0f4cb8de27ee68262d9c494")</f>
        <v>0</v>
      </c>
      <c r="D19744" t="s">
        <v>5626</v>
      </c>
      <c r="E19744" t="s">
        <v>9515</v>
      </c>
      <c r="F19744" t="s">
        <v>14489</v>
      </c>
      <c r="G19744" t="s">
        <v>18419</v>
      </c>
      <c r="H19744" t="s">
        <v>36186</v>
      </c>
    </row>
    <row r="19745" spans="1:8">
      <c r="A19745" t="s">
        <v>3824</v>
      </c>
      <c r="B19745">
        <f>HYPERLINK("https://android.googlesource.com/platform/cts/+/b78ef2fcd435330b5ed4ae8eea5be2b14c775534", "b78ef2fcd435330b5ed4ae8eea5be2b14c775534")</f>
        <v>0</v>
      </c>
      <c r="C19745">
        <f>HYPERLINK("https://android.googlesource.com/platform/cts/+/0e4961682815c4e940a6bdb243f948c3ff77ce12", "0e4961682815c4e940a6bdb243f948c3ff77ce12")</f>
        <v>0</v>
      </c>
      <c r="D19745" t="s">
        <v>5465</v>
      </c>
      <c r="E19745" t="s">
        <v>9516</v>
      </c>
      <c r="F19745" t="s">
        <v>14490</v>
      </c>
      <c r="G19745" t="s">
        <v>18420</v>
      </c>
      <c r="H19745" t="s">
        <v>36187</v>
      </c>
    </row>
    <row r="19746" spans="1:8">
      <c r="H19746" t="s">
        <v>36188</v>
      </c>
    </row>
    <row r="19747" spans="1:8">
      <c r="F19747" t="s">
        <v>13213</v>
      </c>
      <c r="G19747" t="s">
        <v>17354</v>
      </c>
      <c r="H19747" t="s">
        <v>36195</v>
      </c>
    </row>
    <row r="19748" spans="1:8">
      <c r="H19748" t="s">
        <v>36196</v>
      </c>
    </row>
    <row r="19749" spans="1:8">
      <c r="H19749" t="s">
        <v>36197</v>
      </c>
    </row>
    <row r="19750" spans="1:8">
      <c r="H19750" t="s">
        <v>36198</v>
      </c>
    </row>
    <row r="19751" spans="1:8">
      <c r="H19751" t="s">
        <v>36199</v>
      </c>
    </row>
    <row r="19752" spans="1:8">
      <c r="H19752" t="s">
        <v>36200</v>
      </c>
    </row>
    <row r="19753" spans="1:8">
      <c r="H19753" t="s">
        <v>36201</v>
      </c>
    </row>
    <row r="19754" spans="1:8">
      <c r="F19754" t="s">
        <v>12629</v>
      </c>
      <c r="G19754" t="s">
        <v>16838</v>
      </c>
      <c r="H19754" t="s">
        <v>36208</v>
      </c>
    </row>
    <row r="19755" spans="1:8">
      <c r="F19755" t="s">
        <v>14491</v>
      </c>
      <c r="G19755" t="s">
        <v>18054</v>
      </c>
      <c r="H19755" t="s">
        <v>36209</v>
      </c>
    </row>
    <row r="19756" spans="1:8">
      <c r="H19756" t="s">
        <v>36210</v>
      </c>
    </row>
    <row r="19757" spans="1:8">
      <c r="H19757" t="s">
        <v>36199</v>
      </c>
    </row>
    <row r="19758" spans="1:8">
      <c r="H19758" t="s">
        <v>36211</v>
      </c>
    </row>
    <row r="19759" spans="1:8">
      <c r="H19759" t="s">
        <v>36212</v>
      </c>
    </row>
    <row r="19760" spans="1:8">
      <c r="H19760" t="s">
        <v>36213</v>
      </c>
    </row>
    <row r="19761" spans="1:8">
      <c r="A19761" t="s">
        <v>3825</v>
      </c>
      <c r="B19761">
        <f>HYPERLINK("https://android.googlesource.com/platform/cts/+/ae719f7fa897c98b65e737352a095f24bc03689b", "ae719f7fa897c98b65e737352a095f24bc03689b")</f>
        <v>0</v>
      </c>
      <c r="C19761">
        <f>HYPERLINK("https://android.googlesource.com/platform/cts/+/88e78f0599b97b0a76f48b785ddca4306e8aeb32", "88e78f0599b97b0a76f48b785ddca4306e8aeb32")</f>
        <v>0</v>
      </c>
      <c r="D19761" t="s">
        <v>5594</v>
      </c>
      <c r="E19761" t="s">
        <v>9517</v>
      </c>
      <c r="F19761" t="s">
        <v>14492</v>
      </c>
      <c r="G19761" t="s">
        <v>18421</v>
      </c>
      <c r="H19761" t="s">
        <v>36215</v>
      </c>
    </row>
    <row r="19762" spans="1:8">
      <c r="H19762" t="s">
        <v>36216</v>
      </c>
    </row>
    <row r="19763" spans="1:8">
      <c r="H19763" t="s">
        <v>36217</v>
      </c>
    </row>
    <row r="19764" spans="1:8">
      <c r="H19764" t="s">
        <v>36218</v>
      </c>
    </row>
    <row r="19765" spans="1:8">
      <c r="A19765" t="s">
        <v>3827</v>
      </c>
      <c r="B19765">
        <f>HYPERLINK("https://android.googlesource.com/platform/cts/+/2c97403b1cd8eab88a1040eb56b8c189ef26a18a", "2c97403b1cd8eab88a1040eb56b8c189ef26a18a")</f>
        <v>0</v>
      </c>
      <c r="C19765">
        <f>HYPERLINK("https://android.googlesource.com/platform/cts/+/3b004a9d735080674a304031cf798ce3250c6156", "3b004a9d735080674a304031cf798ce3250c6156")</f>
        <v>0</v>
      </c>
      <c r="D19765" t="s">
        <v>5409</v>
      </c>
      <c r="E19765" t="s">
        <v>9519</v>
      </c>
      <c r="F19765" t="s">
        <v>14448</v>
      </c>
      <c r="G19765" t="s">
        <v>18383</v>
      </c>
      <c r="H19765" t="s">
        <v>36219</v>
      </c>
    </row>
    <row r="19766" spans="1:8">
      <c r="H19766" t="s">
        <v>36220</v>
      </c>
    </row>
    <row r="19767" spans="1:8">
      <c r="A19767" t="s">
        <v>3828</v>
      </c>
      <c r="B19767">
        <f>HYPERLINK("https://android.googlesource.com/platform/cts/+/d92c21cc0f1d1ae1bbbd044f8aef1a8c0806e33d", "d92c21cc0f1d1ae1bbbd044f8aef1a8c0806e33d")</f>
        <v>0</v>
      </c>
      <c r="C19767">
        <f>HYPERLINK("https://android.googlesource.com/platform/cts/+/86d80e05f06f363b569c2c8944ca81df3d02f1ff", "86d80e05f06f363b569c2c8944ca81df3d02f1ff")</f>
        <v>0</v>
      </c>
      <c r="D19767" t="s">
        <v>5627</v>
      </c>
      <c r="E19767" t="s">
        <v>9520</v>
      </c>
      <c r="F19767" t="s">
        <v>14493</v>
      </c>
      <c r="G19767" t="s">
        <v>18422</v>
      </c>
      <c r="H19767" t="s">
        <v>36221</v>
      </c>
    </row>
    <row r="19768" spans="1:8">
      <c r="H19768" t="s">
        <v>36222</v>
      </c>
    </row>
    <row r="19769" spans="1:8">
      <c r="A19769" t="s">
        <v>3830</v>
      </c>
      <c r="B19769">
        <f>HYPERLINK("https://android.googlesource.com/platform/cts/+/df77d2ed74c46a61440ecc4678e53a1c5f2af9dc", "df77d2ed74c46a61440ecc4678e53a1c5f2af9dc")</f>
        <v>0</v>
      </c>
      <c r="C19769">
        <f>HYPERLINK("https://android.googlesource.com/platform/cts/+/4963dcfab9cbff7f76b45ab001eb22caad6857c5", "4963dcfab9cbff7f76b45ab001eb22caad6857c5")</f>
        <v>0</v>
      </c>
      <c r="D19769" t="s">
        <v>5389</v>
      </c>
      <c r="E19769" t="s">
        <v>9522</v>
      </c>
      <c r="F19769" t="s">
        <v>14136</v>
      </c>
      <c r="G19769" t="s">
        <v>18124</v>
      </c>
      <c r="H19769" t="s">
        <v>36223</v>
      </c>
    </row>
    <row r="19770" spans="1:8">
      <c r="F19770" t="s">
        <v>14494</v>
      </c>
      <c r="G19770" t="s">
        <v>18423</v>
      </c>
      <c r="H19770" t="s">
        <v>36224</v>
      </c>
    </row>
    <row r="19771" spans="1:8">
      <c r="F19771" t="s">
        <v>13136</v>
      </c>
      <c r="G19771" t="s">
        <v>17293</v>
      </c>
      <c r="H19771" t="s">
        <v>36225</v>
      </c>
    </row>
    <row r="19772" spans="1:8">
      <c r="H19772" t="s">
        <v>36226</v>
      </c>
    </row>
    <row r="19773" spans="1:8">
      <c r="F19773" t="s">
        <v>12768</v>
      </c>
      <c r="G19773" t="s">
        <v>15710</v>
      </c>
      <c r="H19773" t="s">
        <v>36227</v>
      </c>
    </row>
    <row r="19774" spans="1:8">
      <c r="A19774" t="s">
        <v>3833</v>
      </c>
      <c r="B19774">
        <f>HYPERLINK("https://android.googlesource.com/platform/cts/+/036a096e5b44895a3a640851143cf04784d0fc3d", "036a096e5b44895a3a640851143cf04784d0fc3d")</f>
        <v>0</v>
      </c>
      <c r="C19774">
        <f>HYPERLINK("https://android.googlesource.com/platform/cts/+/a653074e7458c1c5ce8303508da7392be4d9a98c", "a653074e7458c1c5ce8303508da7392be4d9a98c")</f>
        <v>0</v>
      </c>
      <c r="D19774" t="s">
        <v>5523</v>
      </c>
      <c r="E19774" t="s">
        <v>9525</v>
      </c>
      <c r="F19774" t="s">
        <v>14497</v>
      </c>
      <c r="G19774" t="s">
        <v>18425</v>
      </c>
      <c r="H19774" t="s">
        <v>36229</v>
      </c>
    </row>
    <row r="19775" spans="1:8">
      <c r="A19775" t="s">
        <v>3834</v>
      </c>
      <c r="B19775">
        <f>HYPERLINK("https://android.googlesource.com/platform/cts/+/137f731e1c8f3f558e70476792600cbbae3aeebe", "137f731e1c8f3f558e70476792600cbbae3aeebe")</f>
        <v>0</v>
      </c>
      <c r="C19775">
        <f>HYPERLINK("https://android.googlesource.com/platform/cts/+/e2a95e10930ff9d0365cf70a1e952545da7fef8e", "e2a95e10930ff9d0365cf70a1e952545da7fef8e")</f>
        <v>0</v>
      </c>
      <c r="D19775" t="s">
        <v>5476</v>
      </c>
      <c r="E19775" t="s">
        <v>9526</v>
      </c>
      <c r="F19775" t="s">
        <v>14403</v>
      </c>
      <c r="G19775" t="s">
        <v>18341</v>
      </c>
      <c r="H19775" t="s">
        <v>36230</v>
      </c>
    </row>
    <row r="19776" spans="1:8">
      <c r="A19776" t="s">
        <v>3836</v>
      </c>
      <c r="B19776">
        <f>HYPERLINK("https://android.googlesource.com/platform/cts/+/9990f53dda0866488947e35845a089d97ca2ffc1", "9990f53dda0866488947e35845a089d97ca2ffc1")</f>
        <v>0</v>
      </c>
      <c r="C19776">
        <f>HYPERLINK("https://android.googlesource.com/platform/cts/+/bfb199d5bec35cdee8dc05efccbcc3739ab15672", "bfb199d5bec35cdee8dc05efccbcc3739ab15672")</f>
        <v>0</v>
      </c>
      <c r="D19776" t="s">
        <v>5441</v>
      </c>
      <c r="E19776" t="s">
        <v>9528</v>
      </c>
      <c r="F19776" t="s">
        <v>14499</v>
      </c>
      <c r="G19776" t="s">
        <v>18426</v>
      </c>
      <c r="H19776" t="s">
        <v>36231</v>
      </c>
    </row>
    <row r="19777" spans="1:8">
      <c r="H19777" t="s">
        <v>36232</v>
      </c>
    </row>
    <row r="19778" spans="1:8">
      <c r="F19778" t="s">
        <v>14195</v>
      </c>
      <c r="G19778" t="s">
        <v>18174</v>
      </c>
      <c r="H19778" t="s">
        <v>36233</v>
      </c>
    </row>
    <row r="19779" spans="1:8">
      <c r="H19779" t="s">
        <v>36234</v>
      </c>
    </row>
    <row r="19780" spans="1:8">
      <c r="H19780" t="s">
        <v>36238</v>
      </c>
    </row>
    <row r="19781" spans="1:8">
      <c r="H19781" t="s">
        <v>36239</v>
      </c>
    </row>
    <row r="19782" spans="1:8">
      <c r="H19782" t="s">
        <v>36240</v>
      </c>
    </row>
    <row r="19783" spans="1:8">
      <c r="H19783" t="s">
        <v>36241</v>
      </c>
    </row>
    <row r="19784" spans="1:8">
      <c r="H19784" t="s">
        <v>36242</v>
      </c>
    </row>
    <row r="19785" spans="1:8">
      <c r="A19785" t="s">
        <v>3840</v>
      </c>
      <c r="B19785">
        <f>HYPERLINK("https://android.googlesource.com/platform/cts/+/5a2fbe8705fcdb0569dc3d15906bf3b81d6de1d3", "5a2fbe8705fcdb0569dc3d15906bf3b81d6de1d3")</f>
        <v>0</v>
      </c>
      <c r="C19785">
        <f>HYPERLINK("https://android.googlesource.com/platform/cts/+/4992324ec6dab3ac0d7ccf7ba1f5b9e3061b401c", "4992324ec6dab3ac0d7ccf7ba1f5b9e3061b401c")</f>
        <v>0</v>
      </c>
      <c r="D19785" t="s">
        <v>5512</v>
      </c>
      <c r="E19785" t="s">
        <v>9532</v>
      </c>
      <c r="F19785" t="s">
        <v>13716</v>
      </c>
      <c r="G19785" t="s">
        <v>17783</v>
      </c>
      <c r="H19785" t="s">
        <v>36247</v>
      </c>
    </row>
    <row r="19786" spans="1:8">
      <c r="A19786" t="s">
        <v>3841</v>
      </c>
      <c r="B19786">
        <f>HYPERLINK("https://android.googlesource.com/platform/cts/+/7e91f8d25623f323fee891b4adf3b57a391812e0", "7e91f8d25623f323fee891b4adf3b57a391812e0")</f>
        <v>0</v>
      </c>
      <c r="C19786">
        <f>HYPERLINK("https://android.googlesource.com/platform/cts/+/497968cea349588be5226ba17b9b7bc7ce63ada8", "497968cea349588be5226ba17b9b7bc7ce63ada8")</f>
        <v>0</v>
      </c>
      <c r="D19786" t="s">
        <v>5341</v>
      </c>
      <c r="E19786" t="s">
        <v>9533</v>
      </c>
      <c r="F19786" t="s">
        <v>13827</v>
      </c>
      <c r="G19786" t="s">
        <v>17871</v>
      </c>
      <c r="H19786" t="s">
        <v>36248</v>
      </c>
    </row>
    <row r="19787" spans="1:8">
      <c r="A19787" t="s">
        <v>3843</v>
      </c>
      <c r="B19787">
        <f>HYPERLINK("https://android.googlesource.com/platform/cts/+/155b85d90141ed12f4077f804253ffaf79e95f45", "155b85d90141ed12f4077f804253ffaf79e95f45")</f>
        <v>0</v>
      </c>
      <c r="C19787">
        <f>HYPERLINK("https://android.googlesource.com/platform/cts/+/5dd49e680a905b6fb0acd556f892c47f08f3c34e", "5dd49e680a905b6fb0acd556f892c47f08f3c34e")</f>
        <v>0</v>
      </c>
      <c r="D19787" t="s">
        <v>5585</v>
      </c>
      <c r="E19787" t="s">
        <v>9535</v>
      </c>
      <c r="F19787" t="s">
        <v>14501</v>
      </c>
      <c r="G19787" t="s">
        <v>18429</v>
      </c>
      <c r="H19787" t="s">
        <v>36271</v>
      </c>
    </row>
    <row r="19788" spans="1:8">
      <c r="H19788" t="s">
        <v>36272</v>
      </c>
    </row>
    <row r="19789" spans="1:8">
      <c r="H19789" t="s">
        <v>36273</v>
      </c>
    </row>
    <row r="19790" spans="1:8">
      <c r="H19790" t="s">
        <v>36274</v>
      </c>
    </row>
    <row r="19791" spans="1:8">
      <c r="H19791" t="s">
        <v>36275</v>
      </c>
    </row>
    <row r="19792" spans="1:8">
      <c r="H19792" t="s">
        <v>36276</v>
      </c>
    </row>
    <row r="19793" spans="1:8">
      <c r="A19793" t="s">
        <v>3845</v>
      </c>
      <c r="B19793">
        <f>HYPERLINK("https://android.googlesource.com/platform/cts/+/8e5161b9cebb8a05d3347d5faffce9a3cdbc2182", "8e5161b9cebb8a05d3347d5faffce9a3cdbc2182")</f>
        <v>0</v>
      </c>
      <c r="C19793">
        <f>HYPERLINK("https://android.googlesource.com/platform/cts/+/6873977dc86bf3e4877f57f33d3ee441c8542da6", "6873977dc86bf3e4877f57f33d3ee441c8542da6")</f>
        <v>0</v>
      </c>
      <c r="D19793" t="s">
        <v>5141</v>
      </c>
      <c r="E19793" t="s">
        <v>9537</v>
      </c>
      <c r="F19793" t="s">
        <v>14502</v>
      </c>
      <c r="G19793" t="s">
        <v>18430</v>
      </c>
      <c r="H19793" t="s">
        <v>36279</v>
      </c>
    </row>
    <row r="19794" spans="1:8">
      <c r="A19794" t="s">
        <v>3853</v>
      </c>
      <c r="B19794">
        <f>HYPERLINK("https://android.googlesource.com/platform/cts/+/4a06d3a2365c93d5c8687a6f87f5fccc67ddd8be", "4a06d3a2365c93d5c8687a6f87f5fccc67ddd8be")</f>
        <v>0</v>
      </c>
      <c r="C19794">
        <f>HYPERLINK("https://android.googlesource.com/platform/cts/+/617319a492cb64d548269743deecfd2a9ba0589f", "617319a492cb64d548269743deecfd2a9ba0589f")</f>
        <v>0</v>
      </c>
      <c r="D19794" t="s">
        <v>5298</v>
      </c>
      <c r="E19794" t="s">
        <v>9545</v>
      </c>
      <c r="F19794" t="s">
        <v>14345</v>
      </c>
      <c r="G19794" t="s">
        <v>18297</v>
      </c>
      <c r="H19794" t="s">
        <v>36318</v>
      </c>
    </row>
    <row r="19795" spans="1:8">
      <c r="H19795" t="s">
        <v>36319</v>
      </c>
    </row>
    <row r="19796" spans="1:8">
      <c r="H19796" t="s">
        <v>36320</v>
      </c>
    </row>
    <row r="19797" spans="1:8">
      <c r="H19797" t="s">
        <v>36321</v>
      </c>
    </row>
    <row r="19798" spans="1:8">
      <c r="H19798" t="s">
        <v>36322</v>
      </c>
    </row>
    <row r="19799" spans="1:8">
      <c r="H19799" t="s">
        <v>36323</v>
      </c>
    </row>
    <row r="19800" spans="1:8">
      <c r="H19800" t="s">
        <v>36325</v>
      </c>
    </row>
    <row r="19801" spans="1:8">
      <c r="H19801" t="s">
        <v>36327</v>
      </c>
    </row>
    <row r="19802" spans="1:8">
      <c r="H19802" t="s">
        <v>36329</v>
      </c>
    </row>
    <row r="19803" spans="1:8">
      <c r="H19803" t="s">
        <v>36331</v>
      </c>
    </row>
    <row r="19804" spans="1:8">
      <c r="H19804" t="s">
        <v>36332</v>
      </c>
    </row>
    <row r="19805" spans="1:8">
      <c r="H19805" t="s">
        <v>36333</v>
      </c>
    </row>
    <row r="19806" spans="1:8">
      <c r="H19806" t="s">
        <v>36334</v>
      </c>
    </row>
    <row r="19807" spans="1:8">
      <c r="H19807" t="s">
        <v>36336</v>
      </c>
    </row>
    <row r="19808" spans="1:8">
      <c r="H19808" t="s">
        <v>36338</v>
      </c>
    </row>
    <row r="19809" spans="1:8">
      <c r="H19809" t="s">
        <v>36339</v>
      </c>
    </row>
    <row r="19810" spans="1:8">
      <c r="H19810" t="s">
        <v>36341</v>
      </c>
    </row>
    <row r="19811" spans="1:8">
      <c r="H19811" t="s">
        <v>36343</v>
      </c>
    </row>
    <row r="19812" spans="1:8">
      <c r="A19812" t="s">
        <v>3854</v>
      </c>
      <c r="B19812">
        <f>HYPERLINK("https://android.googlesource.com/platform/cts/+/2485744cbe9766b086e1e620f12d69193821be1c", "2485744cbe9766b086e1e620f12d69193821be1c")</f>
        <v>0</v>
      </c>
      <c r="C19812">
        <f>HYPERLINK("https://android.googlesource.com/platform/cts/+/fe165bccc3dd7b623909137d9e796631fb2363f2", "fe165bccc3dd7b623909137d9e796631fb2363f2")</f>
        <v>0</v>
      </c>
      <c r="D19812" t="s">
        <v>5526</v>
      </c>
      <c r="E19812" t="s">
        <v>9546</v>
      </c>
      <c r="F19812" t="s">
        <v>13227</v>
      </c>
      <c r="G19812" t="s">
        <v>17368</v>
      </c>
      <c r="H19812" t="s">
        <v>36344</v>
      </c>
    </row>
    <row r="19813" spans="1:8">
      <c r="A19813" t="s">
        <v>3855</v>
      </c>
      <c r="B19813">
        <f>HYPERLINK("https://android.googlesource.com/platform/cts/+/b7c673f8986186279106945a59599712121cc18b", "b7c673f8986186279106945a59599712121cc18b")</f>
        <v>0</v>
      </c>
      <c r="C19813">
        <f>HYPERLINK("https://android.googlesource.com/platform/cts/+/2204a8616b54ff8af9c56acb8286be5eed11b683", "2204a8616b54ff8af9c56acb8286be5eed11b683")</f>
        <v>0</v>
      </c>
      <c r="D19813" t="s">
        <v>5030</v>
      </c>
      <c r="E19813" t="s">
        <v>9547</v>
      </c>
      <c r="F19813" t="s">
        <v>14506</v>
      </c>
      <c r="G19813" t="s">
        <v>18435</v>
      </c>
      <c r="H19813" t="s">
        <v>36345</v>
      </c>
    </row>
    <row r="19814" spans="1:8">
      <c r="A19814" t="s">
        <v>3857</v>
      </c>
      <c r="B19814">
        <f>HYPERLINK("https://android.googlesource.com/platform/cts/+/bc244ae8d96eaf24a9b4a74a69d41ccbc5348271", "bc244ae8d96eaf24a9b4a74a69d41ccbc5348271")</f>
        <v>0</v>
      </c>
      <c r="C19814">
        <f>HYPERLINK("https://android.googlesource.com/platform/cts/+/2a831adebbadade6146b71e0fea8ad4284ecb67d", "2a831adebbadade6146b71e0fea8ad4284ecb67d")</f>
        <v>0</v>
      </c>
      <c r="D19814" t="s">
        <v>5630</v>
      </c>
      <c r="E19814" t="s">
        <v>9549</v>
      </c>
      <c r="F19814" t="s">
        <v>14353</v>
      </c>
      <c r="G19814" t="s">
        <v>18303</v>
      </c>
      <c r="H19814" t="s">
        <v>36351</v>
      </c>
    </row>
    <row r="19815" spans="1:8">
      <c r="H19815" t="s">
        <v>36352</v>
      </c>
    </row>
    <row r="19816" spans="1:8">
      <c r="H19816" t="s">
        <v>36353</v>
      </c>
    </row>
    <row r="19817" spans="1:8">
      <c r="H19817" t="s">
        <v>36354</v>
      </c>
    </row>
    <row r="19818" spans="1:8">
      <c r="A19818" t="s">
        <v>3859</v>
      </c>
      <c r="B19818">
        <f>HYPERLINK("https://android.googlesource.com/platform/cts/+/36ad1c6050195a1f0d05117fcc439a96e1e070b1", "36ad1c6050195a1f0d05117fcc439a96e1e070b1")</f>
        <v>0</v>
      </c>
      <c r="C19818">
        <f>HYPERLINK("https://android.googlesource.com/platform/cts/+/849c933b77e09d0edd41b4a8988499f887d6f78a", "849c933b77e09d0edd41b4a8988499f887d6f78a")</f>
        <v>0</v>
      </c>
      <c r="D19818" t="s">
        <v>5594</v>
      </c>
      <c r="E19818" t="s">
        <v>9551</v>
      </c>
      <c r="F19818" t="s">
        <v>13275</v>
      </c>
      <c r="G19818" t="s">
        <v>17412</v>
      </c>
      <c r="H19818" t="s">
        <v>36356</v>
      </c>
    </row>
    <row r="19819" spans="1:8">
      <c r="A19819" t="s">
        <v>3863</v>
      </c>
      <c r="B19819">
        <f>HYPERLINK("https://android.googlesource.com/platform/cts/+/0247d320c26ae0befd0a618e66ee3e8ee1bae574", "0247d320c26ae0befd0a618e66ee3e8ee1bae574")</f>
        <v>0</v>
      </c>
      <c r="C19819">
        <f>HYPERLINK("https://android.googlesource.com/platform/cts/+/535f72d8c9ce450b62b0d484f88d91f299299930", "535f72d8c9ce450b62b0d484f88d91f299299930")</f>
        <v>0</v>
      </c>
      <c r="D19819" t="s">
        <v>4949</v>
      </c>
      <c r="E19819" t="s">
        <v>9555</v>
      </c>
      <c r="F19819" t="s">
        <v>12808</v>
      </c>
      <c r="G19819" t="s">
        <v>16989</v>
      </c>
      <c r="H19819" t="s">
        <v>36359</v>
      </c>
    </row>
    <row r="19820" spans="1:8">
      <c r="A19820" t="s">
        <v>3865</v>
      </c>
      <c r="B19820">
        <f>HYPERLINK("https://android.googlesource.com/platform/cts/+/23a30e752b64a391485cff67cf52ef1824b324bf", "23a30e752b64a391485cff67cf52ef1824b324bf")</f>
        <v>0</v>
      </c>
      <c r="C19820">
        <f>HYPERLINK("https://android.googlesource.com/platform/cts/+/2aa3e2cec3fedd0b12222737e503d6f37a7b9a68", "2aa3e2cec3fedd0b12222737e503d6f37a7b9a68")</f>
        <v>0</v>
      </c>
      <c r="D19820" t="s">
        <v>5207</v>
      </c>
      <c r="E19820" t="s">
        <v>9557</v>
      </c>
      <c r="F19820" t="s">
        <v>12345</v>
      </c>
      <c r="G19820" t="s">
        <v>16573</v>
      </c>
      <c r="H19820" t="s">
        <v>36360</v>
      </c>
    </row>
    <row r="19821" spans="1:8">
      <c r="A19821" t="s">
        <v>3866</v>
      </c>
      <c r="B19821">
        <f>HYPERLINK("https://android.googlesource.com/platform/cts/+/f26a0679bde669bb47e718683c159e86b2c80da4", "f26a0679bde669bb47e718683c159e86b2c80da4")</f>
        <v>0</v>
      </c>
      <c r="C19821">
        <f>HYPERLINK("https://android.googlesource.com/platform/cts/+/32cd41a8844ffa6d033286f93fea192f9c9ecfb8", "32cd41a8844ffa6d033286f93fea192f9c9ecfb8")</f>
        <v>0</v>
      </c>
      <c r="D19821" t="s">
        <v>5272</v>
      </c>
      <c r="E19821" t="s">
        <v>9558</v>
      </c>
      <c r="F19821" t="s">
        <v>13757</v>
      </c>
      <c r="G19821" t="s">
        <v>17816</v>
      </c>
      <c r="H19821" t="s">
        <v>36361</v>
      </c>
    </row>
    <row r="19822" spans="1:8">
      <c r="H19822" t="s">
        <v>36362</v>
      </c>
    </row>
    <row r="19823" spans="1:8">
      <c r="A19823" t="s">
        <v>3870</v>
      </c>
      <c r="B19823">
        <f>HYPERLINK("https://android.googlesource.com/platform/cts/+/bfb3c50d70c57d9968714548163f9b681f1ad5ad", "bfb3c50d70c57d9968714548163f9b681f1ad5ad")</f>
        <v>0</v>
      </c>
      <c r="C19823">
        <f>HYPERLINK("https://android.googlesource.com/platform/cts/+/41ffc7cfe08e49aa053ad7a05f57253a70aed66e", "41ffc7cfe08e49aa053ad7a05f57253a70aed66e")</f>
        <v>0</v>
      </c>
      <c r="D19823" t="s">
        <v>5620</v>
      </c>
      <c r="E19823" t="s">
        <v>9562</v>
      </c>
      <c r="F19823" t="s">
        <v>14475</v>
      </c>
      <c r="G19823" t="s">
        <v>18407</v>
      </c>
      <c r="H19823" t="s">
        <v>36370</v>
      </c>
    </row>
    <row r="19824" spans="1:8">
      <c r="H19824" t="s">
        <v>36371</v>
      </c>
    </row>
    <row r="19825" spans="1:8">
      <c r="H19825" t="s">
        <v>36372</v>
      </c>
    </row>
    <row r="19826" spans="1:8">
      <c r="A19826" t="s">
        <v>3873</v>
      </c>
      <c r="B19826">
        <f>HYPERLINK("https://android.googlesource.com/platform/cts/+/92fc57bfe3e17d8a84f7d0eab1d2b7797ef01c25", "92fc57bfe3e17d8a84f7d0eab1d2b7797ef01c25")</f>
        <v>0</v>
      </c>
      <c r="C19826">
        <f>HYPERLINK("https://android.googlesource.com/platform/cts/+/c653b31ee329e2d26400b3750f1ecf8363ab2e2e", "c653b31ee329e2d26400b3750f1ecf8363ab2e2e")</f>
        <v>0</v>
      </c>
      <c r="D19826" t="s">
        <v>5290</v>
      </c>
      <c r="E19826" t="s">
        <v>9565</v>
      </c>
      <c r="F19826" t="s">
        <v>14136</v>
      </c>
      <c r="G19826" t="s">
        <v>18124</v>
      </c>
      <c r="H19826" t="s">
        <v>36374</v>
      </c>
    </row>
    <row r="19827" spans="1:8">
      <c r="F19827" t="s">
        <v>14511</v>
      </c>
      <c r="G19827" t="s">
        <v>18439</v>
      </c>
      <c r="H19827" t="s">
        <v>36284</v>
      </c>
    </row>
    <row r="19828" spans="1:8">
      <c r="F19828" t="s">
        <v>13136</v>
      </c>
      <c r="G19828" t="s">
        <v>17293</v>
      </c>
      <c r="H19828" t="s">
        <v>36375</v>
      </c>
    </row>
    <row r="19829" spans="1:8">
      <c r="H19829" t="s">
        <v>36376</v>
      </c>
    </row>
    <row r="19830" spans="1:8">
      <c r="F19830" t="s">
        <v>12768</v>
      </c>
      <c r="G19830" t="s">
        <v>15710</v>
      </c>
      <c r="H19830" t="s">
        <v>36377</v>
      </c>
    </row>
    <row r="19831" spans="1:8">
      <c r="A19831" t="s">
        <v>3874</v>
      </c>
      <c r="B19831">
        <f>HYPERLINK("https://android.googlesource.com/platform/cts/+/0ce6ebc955bd89484985c77d45bdba9d997a48c3", "0ce6ebc955bd89484985c77d45bdba9d997a48c3")</f>
        <v>0</v>
      </c>
      <c r="C19831">
        <f>HYPERLINK("https://android.googlesource.com/platform/cts/+/e23c77cfcf5c8d8f64a00a511b39165f762f15f1", "e23c77cfcf5c8d8f64a00a511b39165f762f15f1")</f>
        <v>0</v>
      </c>
      <c r="D19831" t="s">
        <v>5631</v>
      </c>
      <c r="E19831" t="s">
        <v>9566</v>
      </c>
      <c r="F19831" t="s">
        <v>14437</v>
      </c>
      <c r="G19831" t="s">
        <v>18373</v>
      </c>
      <c r="H19831" t="s">
        <v>35939</v>
      </c>
    </row>
    <row r="19832" spans="1:8">
      <c r="A19832" t="s">
        <v>3875</v>
      </c>
      <c r="B19832">
        <f>HYPERLINK("https://android.googlesource.com/platform/cts/+/cb6630062f4e5a0c75257b7e9b7e10ca1f9eb60b", "cb6630062f4e5a0c75257b7e9b7e10ca1f9eb60b")</f>
        <v>0</v>
      </c>
      <c r="C19832">
        <f>HYPERLINK("https://android.googlesource.com/platform/cts/+/a5a7dbd10872f847887616679821ea469d7fdc09", "a5a7dbd10872f847887616679821ea469d7fdc09")</f>
        <v>0</v>
      </c>
      <c r="D19832" t="s">
        <v>5604</v>
      </c>
      <c r="E19832" t="s">
        <v>9567</v>
      </c>
      <c r="F19832" t="s">
        <v>12931</v>
      </c>
      <c r="G19832" t="s">
        <v>17096</v>
      </c>
      <c r="H19832" t="s">
        <v>36378</v>
      </c>
    </row>
    <row r="19833" spans="1:8">
      <c r="H19833" t="s">
        <v>36379</v>
      </c>
    </row>
    <row r="19834" spans="1:8">
      <c r="A19834" t="s">
        <v>3880</v>
      </c>
      <c r="B19834">
        <f>HYPERLINK("https://android.googlesource.com/platform/cts/+/10b09e0f6d041c770eca22b586752492b5dd4b55", "10b09e0f6d041c770eca22b586752492b5dd4b55")</f>
        <v>0</v>
      </c>
      <c r="C19834">
        <f>HYPERLINK("https://android.googlesource.com/platform/cts/+/0455d9d9931f79aca118aacbc6033a288d0cced0", "0455d9d9931f79aca118aacbc6033a288d0cced0")</f>
        <v>0</v>
      </c>
      <c r="D19834" t="s">
        <v>5633</v>
      </c>
      <c r="E19834" t="s">
        <v>9572</v>
      </c>
      <c r="F19834" t="s">
        <v>13398</v>
      </c>
      <c r="G19834" t="s">
        <v>17524</v>
      </c>
      <c r="H19834" t="s">
        <v>36383</v>
      </c>
    </row>
    <row r="19835" spans="1:8">
      <c r="H19835" t="s">
        <v>36384</v>
      </c>
    </row>
    <row r="19836" spans="1:8">
      <c r="A19836" t="s">
        <v>3881</v>
      </c>
      <c r="B19836">
        <f>HYPERLINK("https://android.googlesource.com/platform/cts/+/d177ed874400e7a0782310e97929039a6507e986", "d177ed874400e7a0782310e97929039a6507e986")</f>
        <v>0</v>
      </c>
      <c r="C19836">
        <f>HYPERLINK("https://android.googlesource.com/platform/cts/+/1f9efadea92989fd9a65ca110fac23db440c8189", "1f9efadea92989fd9a65ca110fac23db440c8189")</f>
        <v>0</v>
      </c>
      <c r="D19836" t="s">
        <v>5040</v>
      </c>
      <c r="E19836" t="s">
        <v>9573</v>
      </c>
      <c r="F19836" t="s">
        <v>14513</v>
      </c>
      <c r="G19836" t="s">
        <v>18440</v>
      </c>
      <c r="H19836" t="s">
        <v>36385</v>
      </c>
    </row>
    <row r="19837" spans="1:8">
      <c r="H19837" t="s">
        <v>36387</v>
      </c>
    </row>
    <row r="19838" spans="1:8">
      <c r="A19838" t="s">
        <v>3883</v>
      </c>
      <c r="B19838">
        <f>HYPERLINK("https://android.googlesource.com/platform/cts/+/54d3e58cb122b5a08c137dc1c5dabfd6dadaa6af", "54d3e58cb122b5a08c137dc1c5dabfd6dadaa6af")</f>
        <v>0</v>
      </c>
      <c r="C19838">
        <f>HYPERLINK("https://android.googlesource.com/platform/cts/+/27232fa1daf12885d9edc772a5e62b921ad2711c", "27232fa1daf12885d9edc772a5e62b921ad2711c")</f>
        <v>0</v>
      </c>
      <c r="D19838" t="s">
        <v>5392</v>
      </c>
      <c r="E19838" t="s">
        <v>9575</v>
      </c>
      <c r="F19838" t="s">
        <v>14516</v>
      </c>
      <c r="G19838" t="s">
        <v>18443</v>
      </c>
      <c r="H19838" t="s">
        <v>36391</v>
      </c>
    </row>
    <row r="19839" spans="1:8">
      <c r="A19839" t="s">
        <v>3884</v>
      </c>
      <c r="B19839">
        <f>HYPERLINK("https://android.googlesource.com/platform/cts/+/6aac6b9c19968d1c9210d33d8019c863e301d210", "6aac6b9c19968d1c9210d33d8019c863e301d210")</f>
        <v>0</v>
      </c>
      <c r="C19839">
        <f>HYPERLINK("https://android.googlesource.com/platform/cts/+/88503a163dfc59507c4ce11df70e894ce26321e1", "88503a163dfc59507c4ce11df70e894ce26321e1")</f>
        <v>0</v>
      </c>
      <c r="D19839" t="s">
        <v>5569</v>
      </c>
      <c r="E19839" t="s">
        <v>9576</v>
      </c>
      <c r="F19839" t="s">
        <v>14517</v>
      </c>
      <c r="G19839" t="s">
        <v>18444</v>
      </c>
      <c r="H19839" t="s">
        <v>36392</v>
      </c>
    </row>
    <row r="19840" spans="1:8">
      <c r="H19840" t="s">
        <v>36393</v>
      </c>
    </row>
    <row r="19841" spans="1:8">
      <c r="H19841" t="s">
        <v>36394</v>
      </c>
    </row>
    <row r="19842" spans="1:8">
      <c r="H19842" t="s">
        <v>36395</v>
      </c>
    </row>
    <row r="19843" spans="1:8">
      <c r="H19843" t="s">
        <v>36396</v>
      </c>
    </row>
    <row r="19844" spans="1:8">
      <c r="H19844" t="s">
        <v>36397</v>
      </c>
    </row>
    <row r="19845" spans="1:8">
      <c r="H19845" t="s">
        <v>36405</v>
      </c>
    </row>
    <row r="19846" spans="1:8">
      <c r="H19846" t="s">
        <v>36406</v>
      </c>
    </row>
    <row r="19847" spans="1:8">
      <c r="H19847" t="s">
        <v>36408</v>
      </c>
    </row>
    <row r="19848" spans="1:8">
      <c r="H19848" t="s">
        <v>36409</v>
      </c>
    </row>
    <row r="19849" spans="1:8">
      <c r="H19849" t="s">
        <v>36410</v>
      </c>
    </row>
    <row r="19850" spans="1:8">
      <c r="H19850" t="s">
        <v>36411</v>
      </c>
    </row>
    <row r="19851" spans="1:8">
      <c r="F19851" t="s">
        <v>14518</v>
      </c>
      <c r="G19851" t="s">
        <v>18445</v>
      </c>
      <c r="H19851" t="s">
        <v>36415</v>
      </c>
    </row>
    <row r="19852" spans="1:8">
      <c r="A19852" t="s">
        <v>3885</v>
      </c>
      <c r="B19852">
        <f>HYPERLINK("https://android.googlesource.com/platform/cts/+/7b63032221d28bb59e87740e830d4cc368cb9004", "7b63032221d28bb59e87740e830d4cc368cb9004")</f>
        <v>0</v>
      </c>
      <c r="C19852">
        <f>HYPERLINK("https://android.googlesource.com/platform/cts/+/fa2710bf92e23044f01ffda29209f698c50250e5", "fa2710bf92e23044f01ffda29209f698c50250e5")</f>
        <v>0</v>
      </c>
      <c r="D19852" t="s">
        <v>5546</v>
      </c>
      <c r="E19852" t="s">
        <v>9577</v>
      </c>
      <c r="F19852" t="s">
        <v>10599</v>
      </c>
      <c r="G19852" t="s">
        <v>15002</v>
      </c>
      <c r="H19852" t="s">
        <v>36416</v>
      </c>
    </row>
    <row r="19853" spans="1:8">
      <c r="H19853" t="s">
        <v>36417</v>
      </c>
    </row>
    <row r="19854" spans="1:8">
      <c r="H19854" t="s">
        <v>36418</v>
      </c>
    </row>
    <row r="19855" spans="1:8">
      <c r="H19855" t="s">
        <v>36419</v>
      </c>
    </row>
    <row r="19856" spans="1:8">
      <c r="A19856" t="s">
        <v>3889</v>
      </c>
      <c r="B19856">
        <f>HYPERLINK("https://android.googlesource.com/platform/cts/+/ebbe9219bfc3950da9e69f31619c4013b855e0a3", "ebbe9219bfc3950da9e69f31619c4013b855e0a3")</f>
        <v>0</v>
      </c>
      <c r="C19856">
        <f>HYPERLINK("https://android.googlesource.com/platform/cts/+/1f9efadea92989fd9a65ca110fac23db440c8189", "1f9efadea92989fd9a65ca110fac23db440c8189")</f>
        <v>0</v>
      </c>
      <c r="D19856" t="s">
        <v>5463</v>
      </c>
      <c r="E19856" t="s">
        <v>9581</v>
      </c>
      <c r="F19856" t="s">
        <v>14237</v>
      </c>
      <c r="G19856" t="s">
        <v>18207</v>
      </c>
      <c r="H19856" t="s">
        <v>36426</v>
      </c>
    </row>
    <row r="19857" spans="1:8">
      <c r="H19857" t="s">
        <v>36427</v>
      </c>
    </row>
    <row r="19858" spans="1:8">
      <c r="H19858" t="s">
        <v>36428</v>
      </c>
    </row>
    <row r="19859" spans="1:8">
      <c r="F19859" t="s">
        <v>14520</v>
      </c>
      <c r="G19859" t="s">
        <v>18447</v>
      </c>
      <c r="H19859" t="s">
        <v>36427</v>
      </c>
    </row>
    <row r="19860" spans="1:8">
      <c r="F19860" t="s">
        <v>14227</v>
      </c>
      <c r="G19860" t="s">
        <v>18199</v>
      </c>
      <c r="H19860" t="s">
        <v>36426</v>
      </c>
    </row>
    <row r="19861" spans="1:8">
      <c r="H19861" t="s">
        <v>36428</v>
      </c>
    </row>
    <row r="19862" spans="1:8">
      <c r="A19862" t="s">
        <v>3890</v>
      </c>
      <c r="B19862">
        <f>HYPERLINK("https://android.googlesource.com/platform/cts/+/51395fe94c356da5d782d2c52ce45ba8a60eadd4", "51395fe94c356da5d782d2c52ce45ba8a60eadd4")</f>
        <v>0</v>
      </c>
      <c r="C19862">
        <f>HYPERLINK("https://android.googlesource.com/platform/cts/+/1f9efadea92989fd9a65ca110fac23db440c8189", "1f9efadea92989fd9a65ca110fac23db440c8189")</f>
        <v>0</v>
      </c>
      <c r="D19862" t="s">
        <v>5463</v>
      </c>
      <c r="E19862" t="s">
        <v>9582</v>
      </c>
      <c r="F19862" t="s">
        <v>13887</v>
      </c>
      <c r="G19862" t="s">
        <v>17319</v>
      </c>
      <c r="H19862" t="s">
        <v>36430</v>
      </c>
    </row>
    <row r="19863" spans="1:8">
      <c r="A19863" t="s">
        <v>3891</v>
      </c>
      <c r="B19863">
        <f>HYPERLINK("https://android.googlesource.com/platform/cts/+/da0a4d8965039961eb3917c2aaf0ff2b7b101fb1", "da0a4d8965039961eb3917c2aaf0ff2b7b101fb1")</f>
        <v>0</v>
      </c>
      <c r="C19863">
        <f>HYPERLINK("https://android.googlesource.com/platform/cts/+/f8fa53406f9be9f737ae97ed09f3e08aa82765b7", "f8fa53406f9be9f737ae97ed09f3e08aa82765b7")</f>
        <v>0</v>
      </c>
      <c r="D19863" t="s">
        <v>5582</v>
      </c>
      <c r="E19863" t="s">
        <v>9583</v>
      </c>
      <c r="F19863" t="s">
        <v>12984</v>
      </c>
      <c r="G19863" t="s">
        <v>17148</v>
      </c>
      <c r="H19863" t="s">
        <v>36431</v>
      </c>
    </row>
    <row r="19864" spans="1:8">
      <c r="A19864" t="s">
        <v>3892</v>
      </c>
      <c r="B19864">
        <f>HYPERLINK("https://android.googlesource.com/platform/cts/+/e03dddfc786ce4889b5216a63344c83363b2cdf4", "e03dddfc786ce4889b5216a63344c83363b2cdf4")</f>
        <v>0</v>
      </c>
      <c r="C19864">
        <f>HYPERLINK("https://android.googlesource.com/platform/cts/+/f9e6392fb9738b91776c89897b665f493d927ef8", "f9e6392fb9738b91776c89897b665f493d927ef8")</f>
        <v>0</v>
      </c>
      <c r="D19864" t="s">
        <v>5634</v>
      </c>
      <c r="E19864" t="s">
        <v>9584</v>
      </c>
      <c r="F19864" t="s">
        <v>14522</v>
      </c>
      <c r="G19864" t="s">
        <v>18449</v>
      </c>
      <c r="H19864" t="s">
        <v>36432</v>
      </c>
    </row>
    <row r="19865" spans="1:8">
      <c r="H19865" t="s">
        <v>36433</v>
      </c>
    </row>
    <row r="19866" spans="1:8">
      <c r="H19866" t="s">
        <v>36434</v>
      </c>
    </row>
    <row r="19867" spans="1:8">
      <c r="H19867" t="s">
        <v>36435</v>
      </c>
    </row>
    <row r="19868" spans="1:8">
      <c r="A19868" t="s">
        <v>3893</v>
      </c>
      <c r="B19868">
        <f>HYPERLINK("https://android.googlesource.com/platform/cts/+/7def2ffd576dce4279f15b2469cbca68d9c9024c", "7def2ffd576dce4279f15b2469cbca68d9c9024c")</f>
        <v>0</v>
      </c>
      <c r="C19868">
        <f>HYPERLINK("https://android.googlesource.com/platform/cts/+/96233a1e3ed73a8ebeae228d84a082be28a1841d", "96233a1e3ed73a8ebeae228d84a082be28a1841d")</f>
        <v>0</v>
      </c>
      <c r="D19868" t="s">
        <v>5478</v>
      </c>
      <c r="E19868" t="s">
        <v>9585</v>
      </c>
      <c r="F19868" t="s">
        <v>14523</v>
      </c>
      <c r="G19868" t="s">
        <v>18450</v>
      </c>
      <c r="H19868" t="s">
        <v>36436</v>
      </c>
    </row>
    <row r="19869" spans="1:8">
      <c r="A19869" t="s">
        <v>3894</v>
      </c>
      <c r="B19869">
        <f>HYPERLINK("https://android.googlesource.com/platform/cts/+/13a8e822b3fe6c9ab29f3d271e6382e4078e69c2", "13a8e822b3fe6c9ab29f3d271e6382e4078e69c2")</f>
        <v>0</v>
      </c>
      <c r="C19869">
        <f>HYPERLINK("https://android.googlesource.com/platform/cts/+/aaf5749b7b609bd138fe96d7702279a4be8b49db", "aaf5749b7b609bd138fe96d7702279a4be8b49db")</f>
        <v>0</v>
      </c>
      <c r="D19869" t="s">
        <v>5635</v>
      </c>
      <c r="E19869" t="s">
        <v>9586</v>
      </c>
      <c r="F19869" t="s">
        <v>14524</v>
      </c>
      <c r="G19869" t="s">
        <v>18451</v>
      </c>
      <c r="H19869" t="s">
        <v>36437</v>
      </c>
    </row>
    <row r="19870" spans="1:8">
      <c r="A19870" t="s">
        <v>3896</v>
      </c>
      <c r="B19870">
        <f>HYPERLINK("https://android.googlesource.com/platform/cts/+/21cd4133ed9852c8682b15c4f580eccb9f106ffb", "21cd4133ed9852c8682b15c4f580eccb9f106ffb")</f>
        <v>0</v>
      </c>
      <c r="C19870">
        <f>HYPERLINK("https://android.googlesource.com/platform/cts/+/ecc80d464730c9406dfeae4e582b921bef7a32fa", "ecc80d464730c9406dfeae4e582b921bef7a32fa")</f>
        <v>0</v>
      </c>
      <c r="D19870" t="s">
        <v>5623</v>
      </c>
      <c r="E19870" t="s">
        <v>9588</v>
      </c>
      <c r="F19870" t="s">
        <v>14528</v>
      </c>
      <c r="G19870" t="s">
        <v>18446</v>
      </c>
      <c r="H19870" t="s">
        <v>36441</v>
      </c>
    </row>
    <row r="19871" spans="1:8">
      <c r="H19871" t="s">
        <v>36442</v>
      </c>
    </row>
    <row r="19872" spans="1:8">
      <c r="A19872" t="s">
        <v>3899</v>
      </c>
      <c r="B19872">
        <f>HYPERLINK("https://android.googlesource.com/platform/cts/+/a7edc3660e332275bf88b98308f4589a4a88d48a", "a7edc3660e332275bf88b98308f4589a4a88d48a")</f>
        <v>0</v>
      </c>
      <c r="C19872">
        <f>HYPERLINK("https://android.googlesource.com/platform/cts/+/70bd9fda65698f0faf7e48e2677b91b991c24f66", "70bd9fda65698f0faf7e48e2677b91b991c24f66")</f>
        <v>0</v>
      </c>
      <c r="D19872" t="s">
        <v>5636</v>
      </c>
      <c r="E19872" t="s">
        <v>9591</v>
      </c>
      <c r="F19872" t="s">
        <v>14531</v>
      </c>
      <c r="G19872" t="s">
        <v>18455</v>
      </c>
      <c r="H19872" t="s">
        <v>36444</v>
      </c>
    </row>
    <row r="19873" spans="1:8">
      <c r="A19873" t="s">
        <v>3902</v>
      </c>
      <c r="B19873">
        <f>HYPERLINK("https://android.googlesource.com/platform/cts/+/d6e85b08b71a74e4be91dabf61ace5bd59fd3c32", "d6e85b08b71a74e4be91dabf61ace5bd59fd3c32")</f>
        <v>0</v>
      </c>
      <c r="C19873">
        <f>HYPERLINK("https://android.googlesource.com/platform/cts/+/69d14fe9139bf919b895d05a27800fc0be24e611", "69d14fe9139bf919b895d05a27800fc0be24e611")</f>
        <v>0</v>
      </c>
      <c r="D19873" t="s">
        <v>5594</v>
      </c>
      <c r="E19873" t="s">
        <v>9593</v>
      </c>
      <c r="F19873" t="s">
        <v>13275</v>
      </c>
      <c r="G19873" t="s">
        <v>17412</v>
      </c>
      <c r="H19873" t="s">
        <v>36356</v>
      </c>
    </row>
    <row r="19874" spans="1:8">
      <c r="A19874" t="s">
        <v>3903</v>
      </c>
      <c r="B19874">
        <f>HYPERLINK("https://android.googlesource.com/platform/cts/+/3911d4c0e1ffd5e37b2bacab04ae8281be13c306", "3911d4c0e1ffd5e37b2bacab04ae8281be13c306")</f>
        <v>0</v>
      </c>
      <c r="C19874">
        <f>HYPERLINK("https://android.googlesource.com/platform/cts/+/904b58cbd4e8b8795ca5110f52f8e8e4e23b7263", "904b58cbd4e8b8795ca5110f52f8e8e4e23b7263")</f>
        <v>0</v>
      </c>
      <c r="D19874" t="s">
        <v>5637</v>
      </c>
      <c r="E19874" t="s">
        <v>9594</v>
      </c>
      <c r="F19874" t="s">
        <v>12931</v>
      </c>
      <c r="G19874" t="s">
        <v>17096</v>
      </c>
      <c r="H19874" t="s">
        <v>36450</v>
      </c>
    </row>
    <row r="19875" spans="1:8">
      <c r="A19875" t="s">
        <v>3906</v>
      </c>
      <c r="B19875">
        <f>HYPERLINK("https://android.googlesource.com/platform/cts/+/9f260ead83e7f4e05ffa15b9d6ea43dcd8317b7b", "9f260ead83e7f4e05ffa15b9d6ea43dcd8317b7b")</f>
        <v>0</v>
      </c>
      <c r="C19875">
        <f>HYPERLINK("https://android.googlesource.com/platform/cts/+/3ec279489fd11bf441131d9e1fd91d0e3f365d4a", "3ec279489fd11bf441131d9e1fd91d0e3f365d4a")</f>
        <v>0</v>
      </c>
      <c r="D19875" t="s">
        <v>4931</v>
      </c>
      <c r="E19875" t="s">
        <v>9597</v>
      </c>
      <c r="F19875" t="s">
        <v>12569</v>
      </c>
      <c r="G19875" t="s">
        <v>16785</v>
      </c>
      <c r="H19875" t="s">
        <v>36452</v>
      </c>
    </row>
    <row r="19876" spans="1:8">
      <c r="A19876" t="s">
        <v>3907</v>
      </c>
      <c r="B19876">
        <f>HYPERLINK("https://android.googlesource.com/platform/cts/+/c136e051a34aca1a0fc40b6867b38dc3c3167162", "c136e051a34aca1a0fc40b6867b38dc3c3167162")</f>
        <v>0</v>
      </c>
      <c r="C19876">
        <f>HYPERLINK("https://android.googlesource.com/platform/cts/+/05bfab14d70c8f8c575f25ac4269cb6d2d17a419", "05bfab14d70c8f8c575f25ac4269cb6d2d17a419")</f>
        <v>0</v>
      </c>
      <c r="D19876" t="s">
        <v>5476</v>
      </c>
      <c r="E19876" t="s">
        <v>9598</v>
      </c>
      <c r="F19876" t="s">
        <v>14403</v>
      </c>
      <c r="G19876" t="s">
        <v>18341</v>
      </c>
      <c r="H19876" t="s">
        <v>36453</v>
      </c>
    </row>
    <row r="19877" spans="1:8">
      <c r="F19877" t="s">
        <v>14535</v>
      </c>
      <c r="G19877" t="s">
        <v>18459</v>
      </c>
      <c r="H19877" t="s">
        <v>36454</v>
      </c>
    </row>
    <row r="19878" spans="1:8">
      <c r="A19878" t="s">
        <v>3908</v>
      </c>
      <c r="B19878">
        <f>HYPERLINK("https://android.googlesource.com/platform/cts/+/821c55cc9e5e26f6ddd684360b82fa4c009eb458", "821c55cc9e5e26f6ddd684360b82fa4c009eb458")</f>
        <v>0</v>
      </c>
      <c r="C19878">
        <f>HYPERLINK("https://android.googlesource.com/platform/cts/+/a06439cc4a47cc7592e6147a6dd3ad6d64bf6776", "a06439cc4a47cc7592e6147a6dd3ad6d64bf6776")</f>
        <v>0</v>
      </c>
      <c r="D19878" t="s">
        <v>5453</v>
      </c>
      <c r="E19878" t="s">
        <v>9599</v>
      </c>
      <c r="F19878" t="s">
        <v>14343</v>
      </c>
      <c r="G19878" t="s">
        <v>18295</v>
      </c>
      <c r="H19878" t="s">
        <v>36455</v>
      </c>
    </row>
    <row r="19879" spans="1:8">
      <c r="H19879" t="s">
        <v>36456</v>
      </c>
    </row>
    <row r="19880" spans="1:8">
      <c r="H19880" t="s">
        <v>36457</v>
      </c>
    </row>
    <row r="19881" spans="1:8">
      <c r="A19881" t="s">
        <v>3911</v>
      </c>
      <c r="B19881">
        <f>HYPERLINK("https://android.googlesource.com/platform/cts/+/2d7798c3dfed44dffd01d651632f090801e3c946", "2d7798c3dfed44dffd01d651632f090801e3c946")</f>
        <v>0</v>
      </c>
      <c r="C19881">
        <f>HYPERLINK("https://android.googlesource.com/platform/cts/+/5d9b8c1988379b202a8f2677adadc0e8313024ab", "5d9b8c1988379b202a8f2677adadc0e8313024ab")</f>
        <v>0</v>
      </c>
      <c r="D19881" t="s">
        <v>5304</v>
      </c>
      <c r="E19881" t="s">
        <v>9602</v>
      </c>
      <c r="F19881" t="s">
        <v>14384</v>
      </c>
      <c r="G19881" t="s">
        <v>18328</v>
      </c>
      <c r="H19881" t="s">
        <v>36468</v>
      </c>
    </row>
    <row r="19882" spans="1:8">
      <c r="A19882" t="s">
        <v>3913</v>
      </c>
      <c r="B19882">
        <f>HYPERLINK("https://android.googlesource.com/platform/cts/+/b424ed2794e6da17666a2a3820937e61ebf4a58f", "b424ed2794e6da17666a2a3820937e61ebf4a58f")</f>
        <v>0</v>
      </c>
      <c r="C19882">
        <f>HYPERLINK("https://android.googlesource.com/platform/cts/+/4551581bf692481b467415746d7b3da06bc73624", "4551581bf692481b467415746d7b3da06bc73624")</f>
        <v>0</v>
      </c>
      <c r="D19882" t="s">
        <v>5266</v>
      </c>
      <c r="E19882" t="s">
        <v>9604</v>
      </c>
      <c r="F19882" t="s">
        <v>14503</v>
      </c>
      <c r="G19882" t="s">
        <v>18431</v>
      </c>
      <c r="H19882" t="s">
        <v>36495</v>
      </c>
    </row>
    <row r="19883" spans="1:8">
      <c r="H19883" t="s">
        <v>36496</v>
      </c>
    </row>
    <row r="19884" spans="1:8">
      <c r="A19884" t="s">
        <v>3914</v>
      </c>
      <c r="B19884">
        <f>HYPERLINK("https://android.googlesource.com/platform/cts/+/8ecfdd5b6c59437fc53d7c0ed85fe4e9680770c8", "8ecfdd5b6c59437fc53d7c0ed85fe4e9680770c8")</f>
        <v>0</v>
      </c>
      <c r="C19884">
        <f>HYPERLINK("https://android.googlesource.com/platform/cts/+/bc3200842ce0ac40dc84ef8d8025615ed5c7be4c", "bc3200842ce0ac40dc84ef8d8025615ed5c7be4c")</f>
        <v>0</v>
      </c>
      <c r="D19884" t="s">
        <v>5096</v>
      </c>
      <c r="E19884" t="s">
        <v>9605</v>
      </c>
      <c r="F19884" t="s">
        <v>14536</v>
      </c>
      <c r="G19884" t="s">
        <v>18460</v>
      </c>
      <c r="H19884" t="s">
        <v>36497</v>
      </c>
    </row>
    <row r="19885" spans="1:8">
      <c r="A19885" t="s">
        <v>3915</v>
      </c>
      <c r="B19885">
        <f>HYPERLINK("https://android.googlesource.com/platform/cts/+/c60efa820a097ac13c0054f60b0689407fe9d06e", "c60efa820a097ac13c0054f60b0689407fe9d06e")</f>
        <v>0</v>
      </c>
      <c r="C19885">
        <f>HYPERLINK("https://android.googlesource.com/platform/cts/+/32d9ec12ff4847c9f1fdc18b6864d765bbb81def", "32d9ec12ff4847c9f1fdc18b6864d765bbb81def")</f>
        <v>0</v>
      </c>
      <c r="D19885" t="s">
        <v>5639</v>
      </c>
      <c r="E19885" t="s">
        <v>9606</v>
      </c>
      <c r="F19885" t="s">
        <v>14537</v>
      </c>
      <c r="G19885" t="s">
        <v>18461</v>
      </c>
      <c r="H19885" t="s">
        <v>36498</v>
      </c>
    </row>
    <row r="19886" spans="1:8">
      <c r="A19886" t="s">
        <v>3916</v>
      </c>
      <c r="B19886">
        <f>HYPERLINK("https://android.googlesource.com/platform/cts/+/7b07039d26e44c573a43f4673cd5be3ada726cc6", "7b07039d26e44c573a43f4673cd5be3ada726cc6")</f>
        <v>0</v>
      </c>
      <c r="C19886">
        <f>HYPERLINK("https://android.googlesource.com/platform/cts/+/aacd54a217f18d73880232520a022cc0519ef817", "aacd54a217f18d73880232520a022cc0519ef817")</f>
        <v>0</v>
      </c>
      <c r="D19886" t="s">
        <v>5191</v>
      </c>
      <c r="E19886" t="s">
        <v>9607</v>
      </c>
      <c r="F19886" t="s">
        <v>14538</v>
      </c>
      <c r="G19886" t="s">
        <v>18462</v>
      </c>
      <c r="H19886" t="s">
        <v>36499</v>
      </c>
    </row>
    <row r="19887" spans="1:8">
      <c r="A19887" t="s">
        <v>3918</v>
      </c>
      <c r="B19887">
        <f>HYPERLINK("https://android.googlesource.com/platform/cts/+/0a16cd0c2a2cf0fa966d08e69bfe9a42de6934a8", "0a16cd0c2a2cf0fa966d08e69bfe9a42de6934a8")</f>
        <v>0</v>
      </c>
      <c r="C19887">
        <f>HYPERLINK("https://android.googlesource.com/platform/cts/+/cd5f8c0e722ad87783c8a5f182f98d0c67f2893d", "cd5f8c0e722ad87783c8a5f182f98d0c67f2893d")</f>
        <v>0</v>
      </c>
      <c r="D19887" t="s">
        <v>5640</v>
      </c>
      <c r="E19887" t="s">
        <v>9609</v>
      </c>
      <c r="F19887" t="s">
        <v>12743</v>
      </c>
      <c r="G19887" t="s">
        <v>16935</v>
      </c>
      <c r="H19887" t="s">
        <v>36508</v>
      </c>
    </row>
    <row r="19888" spans="1:8">
      <c r="H19888" t="s">
        <v>36509</v>
      </c>
    </row>
    <row r="19889" spans="1:8">
      <c r="H19889" t="s">
        <v>36510</v>
      </c>
    </row>
    <row r="19890" spans="1:8">
      <c r="H19890" t="s">
        <v>36511</v>
      </c>
    </row>
    <row r="19891" spans="1:8">
      <c r="A19891" t="s">
        <v>3921</v>
      </c>
      <c r="B19891">
        <f>HYPERLINK("https://android.googlesource.com/platform/cts/+/8ab862bcb5fd005034f79d45dfc8441cbd3db374", "8ab862bcb5fd005034f79d45dfc8441cbd3db374")</f>
        <v>0</v>
      </c>
      <c r="C19891">
        <f>HYPERLINK("https://android.googlesource.com/platform/cts/+/0d3b33bbbb2b0289db3226da6eb17f7b0dc9f62f", "0d3b33bbbb2b0289db3226da6eb17f7b0dc9f62f")</f>
        <v>0</v>
      </c>
      <c r="D19891" t="s">
        <v>5409</v>
      </c>
      <c r="E19891" t="s">
        <v>9612</v>
      </c>
      <c r="F19891" t="s">
        <v>14542</v>
      </c>
      <c r="G19891" t="s">
        <v>18466</v>
      </c>
      <c r="H19891" t="s">
        <v>36513</v>
      </c>
    </row>
    <row r="19892" spans="1:8">
      <c r="A19892" t="s">
        <v>3923</v>
      </c>
      <c r="B19892">
        <f>HYPERLINK("https://android.googlesource.com/platform/cts/+/4e216176fc6af68d1168302f5ee74ca3c326b5df", "4e216176fc6af68d1168302f5ee74ca3c326b5df")</f>
        <v>0</v>
      </c>
      <c r="C19892">
        <f>HYPERLINK("https://android.googlesource.com/platform/cts/+/536f8e489877eda4f4a00a7f868cdd0838eaaa33", "536f8e489877eda4f4a00a7f868cdd0838eaaa33")</f>
        <v>0</v>
      </c>
      <c r="D19892" t="s">
        <v>5508</v>
      </c>
      <c r="E19892" t="s">
        <v>9614</v>
      </c>
      <c r="F19892" t="s">
        <v>13816</v>
      </c>
      <c r="G19892" t="s">
        <v>15089</v>
      </c>
      <c r="H19892" t="s">
        <v>36515</v>
      </c>
    </row>
    <row r="19893" spans="1:8">
      <c r="H19893" t="s">
        <v>36516</v>
      </c>
    </row>
    <row r="19894" spans="1:8">
      <c r="A19894" t="s">
        <v>3924</v>
      </c>
      <c r="B19894">
        <f>HYPERLINK("https://android.googlesource.com/platform/cts/+/98a24158d5d485cbc024668693fce88085679c97", "98a24158d5d485cbc024668693fce88085679c97")</f>
        <v>0</v>
      </c>
      <c r="C19894">
        <f>HYPERLINK("https://android.googlesource.com/platform/cts/+/dca1d50757c86b90e1ce97551c31b11f8e6d6b18", "dca1d50757c86b90e1ce97551c31b11f8e6d6b18")</f>
        <v>0</v>
      </c>
      <c r="D19894" t="s">
        <v>5546</v>
      </c>
      <c r="E19894" t="s">
        <v>9615</v>
      </c>
      <c r="F19894" t="s">
        <v>14353</v>
      </c>
      <c r="G19894" t="s">
        <v>18303</v>
      </c>
      <c r="H19894" t="s">
        <v>36518</v>
      </c>
    </row>
    <row r="19895" spans="1:8">
      <c r="H19895" t="s">
        <v>36519</v>
      </c>
    </row>
    <row r="19896" spans="1:8">
      <c r="H19896" t="s">
        <v>36520</v>
      </c>
    </row>
    <row r="19897" spans="1:8">
      <c r="H19897" t="s">
        <v>36521</v>
      </c>
    </row>
    <row r="19898" spans="1:8">
      <c r="H19898" t="s">
        <v>36522</v>
      </c>
    </row>
    <row r="19899" spans="1:8">
      <c r="H19899" t="s">
        <v>36523</v>
      </c>
    </row>
    <row r="19900" spans="1:8">
      <c r="H19900" t="s">
        <v>36524</v>
      </c>
    </row>
    <row r="19901" spans="1:8">
      <c r="H19901" t="s">
        <v>36525</v>
      </c>
    </row>
    <row r="19902" spans="1:8">
      <c r="H19902" t="s">
        <v>36526</v>
      </c>
    </row>
    <row r="19903" spans="1:8">
      <c r="H19903" t="s">
        <v>36527</v>
      </c>
    </row>
    <row r="19904" spans="1:8">
      <c r="H19904" t="s">
        <v>36528</v>
      </c>
    </row>
    <row r="19905" spans="1:8">
      <c r="H19905" t="s">
        <v>36529</v>
      </c>
    </row>
    <row r="19906" spans="1:8">
      <c r="H19906" t="s">
        <v>36530</v>
      </c>
    </row>
    <row r="19907" spans="1:8">
      <c r="H19907" t="s">
        <v>36531</v>
      </c>
    </row>
    <row r="19908" spans="1:8">
      <c r="H19908" t="s">
        <v>36532</v>
      </c>
    </row>
    <row r="19909" spans="1:8">
      <c r="H19909" t="s">
        <v>36533</v>
      </c>
    </row>
    <row r="19910" spans="1:8">
      <c r="H19910" t="s">
        <v>36534</v>
      </c>
    </row>
    <row r="19911" spans="1:8">
      <c r="A19911" t="s">
        <v>3926</v>
      </c>
      <c r="B19911">
        <f>HYPERLINK("https://android.googlesource.com/platform/cts/+/633e4f4068f650b1f079912fe5ac6f3547d98fdc", "633e4f4068f650b1f079912fe5ac6f3547d98fdc")</f>
        <v>0</v>
      </c>
      <c r="C19911">
        <f>HYPERLINK("https://android.googlesource.com/platform/cts/+/560f05d709c76c92850ddbdb410835601be778b1", "560f05d709c76c92850ddbdb410835601be778b1")</f>
        <v>0</v>
      </c>
      <c r="D19911" t="s">
        <v>5526</v>
      </c>
      <c r="E19911" t="s">
        <v>9617</v>
      </c>
      <c r="F19911" t="s">
        <v>14543</v>
      </c>
      <c r="G19911" t="s">
        <v>18467</v>
      </c>
      <c r="H19911" t="s">
        <v>36543</v>
      </c>
    </row>
    <row r="19912" spans="1:8">
      <c r="F19912" t="s">
        <v>14544</v>
      </c>
      <c r="G19912" t="s">
        <v>17541</v>
      </c>
      <c r="H19912" t="s">
        <v>29731</v>
      </c>
    </row>
    <row r="19913" spans="1:8">
      <c r="H19913" t="s">
        <v>36554</v>
      </c>
    </row>
    <row r="19914" spans="1:8">
      <c r="H19914" t="s">
        <v>29732</v>
      </c>
    </row>
    <row r="19915" spans="1:8">
      <c r="A19915" t="s">
        <v>3931</v>
      </c>
      <c r="B19915">
        <f>HYPERLINK("https://android.googlesource.com/platform/cts/+/1fa47a182037b1c5e4ad81f867853595d4e98eed", "1fa47a182037b1c5e4ad81f867853595d4e98eed")</f>
        <v>0</v>
      </c>
      <c r="C19915">
        <f>HYPERLINK("https://android.googlesource.com/platform/cts/+/294d9a77864d2b810fa0bd3499cef11c461baf0b", "294d9a77864d2b810fa0bd3499cef11c461baf0b")</f>
        <v>0</v>
      </c>
      <c r="D19915" t="s">
        <v>5046</v>
      </c>
      <c r="E19915" t="s">
        <v>9622</v>
      </c>
      <c r="F19915" t="s">
        <v>13923</v>
      </c>
      <c r="G19915" t="s">
        <v>17959</v>
      </c>
      <c r="H19915" t="s">
        <v>36563</v>
      </c>
    </row>
    <row r="19916" spans="1:8">
      <c r="A19916" t="s">
        <v>3932</v>
      </c>
      <c r="B19916">
        <f>HYPERLINK("https://android.googlesource.com/platform/cts/+/2ca5d92c679ef6253c10c35a3013b4b19fa684cd", "2ca5d92c679ef6253c10c35a3013b4b19fa684cd")</f>
        <v>0</v>
      </c>
      <c r="C19916">
        <f>HYPERLINK("https://android.googlesource.com/platform/cts/+/603535b6926382c888035747b4cba60c76772cbd", "603535b6926382c888035747b4cba60c76772cbd")</f>
        <v>0</v>
      </c>
      <c r="D19916" t="s">
        <v>5473</v>
      </c>
      <c r="E19916" t="s">
        <v>9623</v>
      </c>
      <c r="F19916" t="s">
        <v>14545</v>
      </c>
      <c r="G19916" t="s">
        <v>18468</v>
      </c>
      <c r="H19916" t="s">
        <v>36564</v>
      </c>
    </row>
    <row r="19917" spans="1:8">
      <c r="A19917" t="s">
        <v>3933</v>
      </c>
      <c r="B19917">
        <f>HYPERLINK("https://android.googlesource.com/platform/cts/+/1a968eacfec8c49f1c12b2f20be62c533b834f79", "1a968eacfec8c49f1c12b2f20be62c533b834f79")</f>
        <v>0</v>
      </c>
      <c r="C19917">
        <f>HYPERLINK("https://android.googlesource.com/platform/cts/+/c0fe20267e36ef21007d4a9ebc4b8d3d07effe12", "c0fe20267e36ef21007d4a9ebc4b8d3d07effe12")</f>
        <v>0</v>
      </c>
      <c r="D19917" t="s">
        <v>5642</v>
      </c>
      <c r="E19917" t="s">
        <v>9624</v>
      </c>
      <c r="F19917" t="s">
        <v>14546</v>
      </c>
      <c r="G19917" t="s">
        <v>18469</v>
      </c>
      <c r="H19917" t="s">
        <v>36566</v>
      </c>
    </row>
    <row r="19918" spans="1:8">
      <c r="H19918" t="s">
        <v>36567</v>
      </c>
    </row>
    <row r="19919" spans="1:8">
      <c r="H19919" t="s">
        <v>36568</v>
      </c>
    </row>
    <row r="19920" spans="1:8">
      <c r="H19920" t="s">
        <v>36569</v>
      </c>
    </row>
    <row r="19921" spans="1:8">
      <c r="H19921" t="s">
        <v>36570</v>
      </c>
    </row>
    <row r="19922" spans="1:8">
      <c r="F19922" t="s">
        <v>14547</v>
      </c>
      <c r="G19922" t="s">
        <v>18470</v>
      </c>
      <c r="H19922" t="s">
        <v>36571</v>
      </c>
    </row>
    <row r="19923" spans="1:8">
      <c r="H19923" t="s">
        <v>36572</v>
      </c>
    </row>
    <row r="19924" spans="1:8">
      <c r="H19924" t="s">
        <v>36573</v>
      </c>
    </row>
    <row r="19925" spans="1:8">
      <c r="H19925" t="s">
        <v>36574</v>
      </c>
    </row>
    <row r="19926" spans="1:8">
      <c r="H19926" t="s">
        <v>36575</v>
      </c>
    </row>
    <row r="19927" spans="1:8">
      <c r="A19927" t="s">
        <v>3936</v>
      </c>
      <c r="B19927">
        <f>HYPERLINK("https://android.googlesource.com/platform/cts/+/bec8a4d86fb8af213c49bb8d7a76ce0c5b0546d1", "bec8a4d86fb8af213c49bb8d7a76ce0c5b0546d1")</f>
        <v>0</v>
      </c>
      <c r="C19927">
        <f>HYPERLINK("https://android.googlesource.com/platform/cts/+/349fdad3e5fae9bfdc2d3ba7b5582d4cce8d3927", "349fdad3e5fae9bfdc2d3ba7b5582d4cce8d3927")</f>
        <v>0</v>
      </c>
      <c r="D19927" t="s">
        <v>4971</v>
      </c>
      <c r="E19927" t="s">
        <v>9627</v>
      </c>
      <c r="F19927" t="s">
        <v>10946</v>
      </c>
      <c r="G19927" t="s">
        <v>15339</v>
      </c>
      <c r="H19927" t="s">
        <v>36577</v>
      </c>
    </row>
    <row r="19928" spans="1:8">
      <c r="F19928" t="s">
        <v>10604</v>
      </c>
      <c r="G19928" t="s">
        <v>15007</v>
      </c>
      <c r="H19928" t="s">
        <v>36577</v>
      </c>
    </row>
    <row r="19929" spans="1:8">
      <c r="F19929" t="s">
        <v>10947</v>
      </c>
      <c r="G19929" t="s">
        <v>15340</v>
      </c>
      <c r="H19929" t="s">
        <v>36577</v>
      </c>
    </row>
    <row r="19930" spans="1:8">
      <c r="A19930" t="s">
        <v>3938</v>
      </c>
      <c r="B19930">
        <f>HYPERLINK("https://android.googlesource.com/platform/cts/+/0836ad1799b0943a327b28ded2ecbd753c4e4805", "0836ad1799b0943a327b28ded2ecbd753c4e4805")</f>
        <v>0</v>
      </c>
      <c r="C19930">
        <f>HYPERLINK("https://android.googlesource.com/platform/cts/+/6dfdbb1ab69462153c917408298e9e7d5c5233e7", "6dfdbb1ab69462153c917408298e9e7d5c5233e7")</f>
        <v>0</v>
      </c>
      <c r="D19930" t="s">
        <v>5644</v>
      </c>
      <c r="E19930" t="s">
        <v>9629</v>
      </c>
      <c r="F19930" t="s">
        <v>14549</v>
      </c>
      <c r="G19930" t="s">
        <v>18472</v>
      </c>
      <c r="H19930" t="s">
        <v>36580</v>
      </c>
    </row>
    <row r="19931" spans="1:8">
      <c r="H19931" t="s">
        <v>36581</v>
      </c>
    </row>
    <row r="19932" spans="1:8">
      <c r="H19932" t="s">
        <v>36582</v>
      </c>
    </row>
    <row r="19933" spans="1:8">
      <c r="H19933" t="s">
        <v>36583</v>
      </c>
    </row>
    <row r="19934" spans="1:8">
      <c r="A19934" t="s">
        <v>3939</v>
      </c>
      <c r="B19934">
        <f>HYPERLINK("https://android.googlesource.com/platform/cts/+/1a6dddbad00897cf6d326adc2b9257e016fb729c", "1a6dddbad00897cf6d326adc2b9257e016fb729c")</f>
        <v>0</v>
      </c>
      <c r="C19934">
        <f>HYPERLINK("https://android.googlesource.com/platform/cts/+/c95a016fa40b899ce9df434c47b15b2daad34411", "c95a016fa40b899ce9df434c47b15b2daad34411")</f>
        <v>0</v>
      </c>
      <c r="D19934" t="s">
        <v>5153</v>
      </c>
      <c r="E19934" t="s">
        <v>9630</v>
      </c>
      <c r="F19934" t="s">
        <v>13225</v>
      </c>
      <c r="G19934" t="s">
        <v>17366</v>
      </c>
      <c r="H19934" t="s">
        <v>36594</v>
      </c>
    </row>
    <row r="19935" spans="1:8">
      <c r="A19935" t="s">
        <v>3941</v>
      </c>
      <c r="B19935">
        <f>HYPERLINK("https://android.googlesource.com/platform/cts/+/cb1cf40fe21fc865edc78a2938f49a5f66b08881", "cb1cf40fe21fc865edc78a2938f49a5f66b08881")</f>
        <v>0</v>
      </c>
      <c r="C19935">
        <f>HYPERLINK("https://android.googlesource.com/platform/cts/+/0353ae5f34f5f847ae18aad4644bbc700d554534", "0353ae5f34f5f847ae18aad4644bbc700d554534")</f>
        <v>0</v>
      </c>
      <c r="D19935" t="s">
        <v>5579</v>
      </c>
      <c r="E19935" t="s">
        <v>9632</v>
      </c>
      <c r="F19935" t="s">
        <v>12741</v>
      </c>
      <c r="G19935" t="s">
        <v>16933</v>
      </c>
      <c r="H19935" t="s">
        <v>36596</v>
      </c>
    </row>
    <row r="19936" spans="1:8">
      <c r="H19936" t="s">
        <v>36597</v>
      </c>
    </row>
    <row r="19937" spans="1:8">
      <c r="A19937" t="s">
        <v>3942</v>
      </c>
      <c r="B19937">
        <f>HYPERLINK("https://android.googlesource.com/platform/cts/+/6019f9b2987cc25aec3c28abb01dce6d89e33e9c", "6019f9b2987cc25aec3c28abb01dce6d89e33e9c")</f>
        <v>0</v>
      </c>
      <c r="C19937">
        <f>HYPERLINK("https://android.googlesource.com/platform/cts/+/63d06190e7e8b86ec1fb67e0cef78209adfdcd34", "63d06190e7e8b86ec1fb67e0cef78209adfdcd34")</f>
        <v>0</v>
      </c>
      <c r="D19937" t="s">
        <v>5134</v>
      </c>
      <c r="E19937" t="s">
        <v>9633</v>
      </c>
      <c r="F19937" t="s">
        <v>14550</v>
      </c>
      <c r="G19937" t="s">
        <v>18473</v>
      </c>
      <c r="H19937" t="s">
        <v>36598</v>
      </c>
    </row>
    <row r="19938" spans="1:8">
      <c r="A19938" t="s">
        <v>3944</v>
      </c>
      <c r="B19938">
        <f>HYPERLINK("https://android.googlesource.com/platform/cts/+/65c15dcbeb754605a778f9cd5c908757fe966df7", "65c15dcbeb754605a778f9cd5c908757fe966df7")</f>
        <v>0</v>
      </c>
      <c r="C19938">
        <f>HYPERLINK("https://android.googlesource.com/platform/cts/+/98a24158d5d485cbc024668693fce88085679c97", "98a24158d5d485cbc024668693fce88085679c97")</f>
        <v>0</v>
      </c>
      <c r="D19938" t="s">
        <v>5546</v>
      </c>
      <c r="E19938" t="s">
        <v>9635</v>
      </c>
      <c r="F19938" t="s">
        <v>14551</v>
      </c>
      <c r="G19938" t="s">
        <v>18474</v>
      </c>
      <c r="H19938" t="s">
        <v>36599</v>
      </c>
    </row>
    <row r="19939" spans="1:8">
      <c r="A19939" t="s">
        <v>3947</v>
      </c>
      <c r="B19939">
        <f>HYPERLINK("https://android.googlesource.com/platform/cts/+/d76443927c8ab8b3a2fd230e8958f6b0c00b7450", "d76443927c8ab8b3a2fd230e8958f6b0c00b7450")</f>
        <v>0</v>
      </c>
      <c r="C19939">
        <f>HYPERLINK("https://android.googlesource.com/platform/cts/+/18964991d67521f07f9010d2a842cce7ed84b113", "18964991d67521f07f9010d2a842cce7ed84b113")</f>
        <v>0</v>
      </c>
      <c r="D19939" t="s">
        <v>5604</v>
      </c>
      <c r="E19939" t="s">
        <v>9638</v>
      </c>
      <c r="F19939" t="s">
        <v>14554</v>
      </c>
      <c r="G19939" t="s">
        <v>18477</v>
      </c>
      <c r="H19939" t="s">
        <v>36602</v>
      </c>
    </row>
    <row r="19940" spans="1:8">
      <c r="H19940" t="s">
        <v>36603</v>
      </c>
    </row>
    <row r="19941" spans="1:8">
      <c r="H19941" t="s">
        <v>36604</v>
      </c>
    </row>
    <row r="19942" spans="1:8">
      <c r="A19942" t="s">
        <v>3949</v>
      </c>
      <c r="B19942">
        <f>HYPERLINK("https://android.googlesource.com/platform/cts/+/4cfcf23543adcf3f4d6a792e393d0ce5b100da80", "4cfcf23543adcf3f4d6a792e393d0ce5b100da80")</f>
        <v>0</v>
      </c>
      <c r="C19942">
        <f>HYPERLINK("https://android.googlesource.com/platform/cts/+/c22b81480078da56968ef0b80e2f41b256ddbd8b", "c22b81480078da56968ef0b80e2f41b256ddbd8b")</f>
        <v>0</v>
      </c>
      <c r="D19942" t="s">
        <v>5085</v>
      </c>
      <c r="E19942" t="s">
        <v>9640</v>
      </c>
      <c r="F19942" t="s">
        <v>13224</v>
      </c>
      <c r="G19942" t="s">
        <v>15138</v>
      </c>
      <c r="H19942" t="s">
        <v>36606</v>
      </c>
    </row>
    <row r="19943" spans="1:8">
      <c r="A19943" t="s">
        <v>3955</v>
      </c>
      <c r="B19943">
        <f>HYPERLINK("https://android.googlesource.com/platform/cts/+/c23b3a56e611367f37468a26bf5a3887521e3ae9", "c23b3a56e611367f37468a26bf5a3887521e3ae9")</f>
        <v>0</v>
      </c>
      <c r="C19943">
        <f>HYPERLINK("https://android.googlesource.com/platform/cts/+/890ceb1193784d3637714c259cf13218da76bd4c", "890ceb1193784d3637714c259cf13218da76bd4c")</f>
        <v>0</v>
      </c>
      <c r="D19943" t="s">
        <v>5428</v>
      </c>
      <c r="E19943" t="s">
        <v>9644</v>
      </c>
      <c r="F19943" t="s">
        <v>14430</v>
      </c>
      <c r="G19943" t="s">
        <v>18367</v>
      </c>
      <c r="H19943" t="s">
        <v>36609</v>
      </c>
    </row>
    <row r="19944" spans="1:8">
      <c r="H19944" t="s">
        <v>36610</v>
      </c>
    </row>
    <row r="19945" spans="1:8">
      <c r="H19945" t="s">
        <v>36611</v>
      </c>
    </row>
    <row r="19946" spans="1:8">
      <c r="H19946" t="s">
        <v>36612</v>
      </c>
    </row>
    <row r="19947" spans="1:8">
      <c r="F19947" t="s">
        <v>14431</v>
      </c>
      <c r="G19947" t="s">
        <v>18368</v>
      </c>
      <c r="H19947" t="s">
        <v>36613</v>
      </c>
    </row>
    <row r="19948" spans="1:8">
      <c r="H19948" t="s">
        <v>36614</v>
      </c>
    </row>
    <row r="19949" spans="1:8">
      <c r="H19949" t="s">
        <v>36615</v>
      </c>
    </row>
    <row r="19950" spans="1:8">
      <c r="H19950" t="s">
        <v>36616</v>
      </c>
    </row>
    <row r="19951" spans="1:8">
      <c r="H19951" t="s">
        <v>36617</v>
      </c>
    </row>
    <row r="19952" spans="1:8">
      <c r="H19952" t="s">
        <v>36618</v>
      </c>
    </row>
    <row r="19953" spans="1:8">
      <c r="A19953" t="s">
        <v>3956</v>
      </c>
      <c r="B19953">
        <f>HYPERLINK("https://android.googlesource.com/platform/cts/+/1b00016229ebdc000ab729b94d303ee2cf77a418", "1b00016229ebdc000ab729b94d303ee2cf77a418")</f>
        <v>0</v>
      </c>
      <c r="C19953">
        <f>HYPERLINK("https://android.googlesource.com/platform/cts/+/84598b17873446d0c422c638626e0717d5b3e396", "84598b17873446d0c422c638626e0717d5b3e396")</f>
        <v>0</v>
      </c>
      <c r="D19953" t="s">
        <v>5493</v>
      </c>
      <c r="E19953" t="s">
        <v>9645</v>
      </c>
      <c r="F19953" t="s">
        <v>13968</v>
      </c>
      <c r="G19953" t="s">
        <v>17993</v>
      </c>
      <c r="H19953" t="s">
        <v>36620</v>
      </c>
    </row>
    <row r="19954" spans="1:8">
      <c r="H19954" t="s">
        <v>36621</v>
      </c>
    </row>
    <row r="19955" spans="1:8">
      <c r="H19955" t="s">
        <v>36622</v>
      </c>
    </row>
    <row r="19956" spans="1:8">
      <c r="H19956" t="s">
        <v>36623</v>
      </c>
    </row>
    <row r="19957" spans="1:8">
      <c r="A19957" t="s">
        <v>3957</v>
      </c>
      <c r="B19957">
        <f>HYPERLINK("https://android.googlesource.com/platform/cts/+/30dfdb35aac627e18dbb05bf8c7a905b1e89df8b", "30dfdb35aac627e18dbb05bf8c7a905b1e89df8b")</f>
        <v>0</v>
      </c>
      <c r="C19957">
        <f>HYPERLINK("https://android.googlesource.com/platform/cts/+/e7b3c7a8f4e852361474eb682e3e3bc3f13eda86", "e7b3c7a8f4e852361474eb682e3e3bc3f13eda86")</f>
        <v>0</v>
      </c>
      <c r="D19957" t="s">
        <v>5409</v>
      </c>
      <c r="E19957" t="s">
        <v>9646</v>
      </c>
      <c r="F19957" t="s">
        <v>14555</v>
      </c>
      <c r="G19957" t="s">
        <v>17862</v>
      </c>
      <c r="H19957" t="s">
        <v>36627</v>
      </c>
    </row>
    <row r="19958" spans="1:8">
      <c r="A19958" t="s">
        <v>3958</v>
      </c>
      <c r="B19958">
        <f>HYPERLINK("https://android.googlesource.com/platform/cts/+/65eb9c316b5c0fe3f2b5a55909fa4cd9ef6839c8", "65eb9c316b5c0fe3f2b5a55909fa4cd9ef6839c8")</f>
        <v>0</v>
      </c>
      <c r="C19958">
        <f>HYPERLINK("https://android.googlesource.com/platform/cts/+/32ee9ae735281cabb2660f1247ac8a0a268d315e", "32ee9ae735281cabb2660f1247ac8a0a268d315e")</f>
        <v>0</v>
      </c>
      <c r="D19958" t="s">
        <v>5646</v>
      </c>
      <c r="E19958" t="s">
        <v>9647</v>
      </c>
      <c r="F19958" t="s">
        <v>14165</v>
      </c>
      <c r="G19958" t="s">
        <v>17361</v>
      </c>
      <c r="H19958" t="s">
        <v>36628</v>
      </c>
    </row>
    <row r="19959" spans="1:8">
      <c r="A19959" t="s">
        <v>3959</v>
      </c>
      <c r="B19959">
        <f>HYPERLINK("https://android.googlesource.com/platform/cts/+/51ba130cf8573a5d485d394486b5ac68fdbf520e", "51ba130cf8573a5d485d394486b5ac68fdbf520e")</f>
        <v>0</v>
      </c>
      <c r="C19959">
        <f>HYPERLINK("https://android.googlesource.com/platform/cts/+/c3e61ad03e7e0a7e87d757f3e0bf960559bc1a9a", "c3e61ad03e7e0a7e87d757f3e0bf960559bc1a9a")</f>
        <v>0</v>
      </c>
      <c r="D19959" t="s">
        <v>5493</v>
      </c>
      <c r="E19959" t="s">
        <v>9648</v>
      </c>
      <c r="F19959" t="s">
        <v>13923</v>
      </c>
      <c r="G19959" t="s">
        <v>17959</v>
      </c>
      <c r="H19959" t="s">
        <v>26292</v>
      </c>
    </row>
    <row r="19960" spans="1:8">
      <c r="H19960" t="s">
        <v>36629</v>
      </c>
    </row>
    <row r="19961" spans="1:8">
      <c r="H19961" t="s">
        <v>36631</v>
      </c>
    </row>
    <row r="19962" spans="1:8">
      <c r="H19962" t="s">
        <v>36632</v>
      </c>
    </row>
    <row r="19963" spans="1:8">
      <c r="H19963" t="s">
        <v>36633</v>
      </c>
    </row>
    <row r="19964" spans="1:8">
      <c r="A19964" t="s">
        <v>3962</v>
      </c>
      <c r="B19964">
        <f>HYPERLINK("https://android.googlesource.com/platform/cts/+/8dc77bbe5f999ab7f15bea7fc8b4cd67319ca96f", "8dc77bbe5f999ab7f15bea7fc8b4cd67319ca96f")</f>
        <v>0</v>
      </c>
      <c r="C19964">
        <f>HYPERLINK("https://android.googlesource.com/platform/cts/+/365ce401c9ba381ac95218cb0bf4dea04e12f5e2", "365ce401c9ba381ac95218cb0bf4dea04e12f5e2")</f>
        <v>0</v>
      </c>
      <c r="D19964" t="s">
        <v>4947</v>
      </c>
      <c r="E19964" t="s">
        <v>9651</v>
      </c>
      <c r="F19964" t="s">
        <v>13990</v>
      </c>
      <c r="G19964" t="s">
        <v>18009</v>
      </c>
      <c r="H19964" t="s">
        <v>36636</v>
      </c>
    </row>
    <row r="19965" spans="1:8">
      <c r="A19965" t="s">
        <v>3967</v>
      </c>
      <c r="B19965">
        <f>HYPERLINK("https://android.googlesource.com/platform/cts/+/7cc41fccbf3b949dc86fe9d24c799d13d690a24b", "7cc41fccbf3b949dc86fe9d24c799d13d690a24b")</f>
        <v>0</v>
      </c>
      <c r="C19965">
        <f>HYPERLINK("https://android.googlesource.com/platform/cts/+/cf5f2a4dc0361cd2c513104a473c3d336810a2b5", "cf5f2a4dc0361cd2c513104a473c3d336810a2b5")</f>
        <v>0</v>
      </c>
      <c r="D19965" t="s">
        <v>5454</v>
      </c>
      <c r="E19965" t="s">
        <v>9656</v>
      </c>
      <c r="F19965" t="s">
        <v>14438</v>
      </c>
      <c r="G19965" t="s">
        <v>18374</v>
      </c>
      <c r="H19965" t="s">
        <v>36638</v>
      </c>
    </row>
    <row r="19966" spans="1:8">
      <c r="H19966" t="s">
        <v>36639</v>
      </c>
    </row>
    <row r="19967" spans="1:8">
      <c r="A19967" t="s">
        <v>3969</v>
      </c>
      <c r="B19967">
        <f>HYPERLINK("https://android.googlesource.com/platform/cts/+/512626d453eb2b7f1b2469ff2586a53be25738bd", "512626d453eb2b7f1b2469ff2586a53be25738bd")</f>
        <v>0</v>
      </c>
      <c r="C19967">
        <f>HYPERLINK("https://android.googlesource.com/platform/cts/+/64a74e69c7b246e522d98d489e5dd02a6e228a91", "64a74e69c7b246e522d98d489e5dd02a6e228a91")</f>
        <v>0</v>
      </c>
      <c r="D19967" t="s">
        <v>5409</v>
      </c>
      <c r="E19967" t="s">
        <v>9658</v>
      </c>
      <c r="F19967" t="s">
        <v>14558</v>
      </c>
      <c r="G19967" t="s">
        <v>18480</v>
      </c>
      <c r="H19967" t="s">
        <v>36642</v>
      </c>
    </row>
    <row r="19968" spans="1:8">
      <c r="A19968" t="s">
        <v>3970</v>
      </c>
      <c r="B19968">
        <f>HYPERLINK("https://android.googlesource.com/platform/cts/+/3050ab708df7c0c1b7e01bd6ca75733264b6416c", "3050ab708df7c0c1b7e01bd6ca75733264b6416c")</f>
        <v>0</v>
      </c>
      <c r="C19968">
        <f>HYPERLINK("https://android.googlesource.com/platform/cts/+/a8801b0d706b9476c802bb8888c5c20600bfe1f7", "a8801b0d706b9476c802bb8888c5c20600bfe1f7")</f>
        <v>0</v>
      </c>
      <c r="D19968" t="s">
        <v>5465</v>
      </c>
      <c r="E19968" t="s">
        <v>9659</v>
      </c>
      <c r="F19968" t="s">
        <v>14152</v>
      </c>
      <c r="G19968" t="s">
        <v>18052</v>
      </c>
      <c r="H19968" t="s">
        <v>33101</v>
      </c>
    </row>
    <row r="19969" spans="1:8">
      <c r="A19969" t="s">
        <v>3973</v>
      </c>
      <c r="B19969">
        <f>HYPERLINK("https://android.googlesource.com/platform/cts/+/e25ab39765a4aaad8199227c7356d6e0e94aa976", "e25ab39765a4aaad8199227c7356d6e0e94aa976")</f>
        <v>0</v>
      </c>
      <c r="C19969">
        <f>HYPERLINK("https://android.googlesource.com/platform/cts/+/7572eb0aa5ff5c36015189914bf79db3c6ec93af", "7572eb0aa5ff5c36015189914bf79db3c6ec93af")</f>
        <v>0</v>
      </c>
      <c r="D19969" t="s">
        <v>5649</v>
      </c>
      <c r="E19969" t="s">
        <v>9662</v>
      </c>
      <c r="F19969" t="s">
        <v>12629</v>
      </c>
      <c r="G19969" t="s">
        <v>16838</v>
      </c>
      <c r="H19969" t="s">
        <v>36645</v>
      </c>
    </row>
    <row r="19970" spans="1:8">
      <c r="A19970" t="s">
        <v>3975</v>
      </c>
      <c r="B19970">
        <f>HYPERLINK("https://android.googlesource.com/platform/cts/+/3c0172e93399bf203ce3d37653b5dd5d76c773a7", "3c0172e93399bf203ce3d37653b5dd5d76c773a7")</f>
        <v>0</v>
      </c>
      <c r="C19970">
        <f>HYPERLINK("https://android.googlesource.com/platform/cts/+/f07d11fad7e3d862a45019cbbca9a87e5e29f63f", "f07d11fad7e3d862a45019cbbca9a87e5e29f63f")</f>
        <v>0</v>
      </c>
      <c r="D19970" t="s">
        <v>5344</v>
      </c>
      <c r="E19970" t="s">
        <v>9664</v>
      </c>
      <c r="F19970" t="s">
        <v>14476</v>
      </c>
      <c r="G19970" t="s">
        <v>18408</v>
      </c>
      <c r="H19970" t="s">
        <v>36649</v>
      </c>
    </row>
    <row r="19971" spans="1:8">
      <c r="A19971" t="s">
        <v>3977</v>
      </c>
      <c r="B19971">
        <f>HYPERLINK("https://android.googlesource.com/platform/cts/+/3307dc96d60b1ccec4e7a66866e9a71fe3aced05", "3307dc96d60b1ccec4e7a66866e9a71fe3aced05")</f>
        <v>0</v>
      </c>
      <c r="C19971">
        <f>HYPERLINK("https://android.googlesource.com/platform/cts/+/cc4d2aeee47db733a28b20838518e21da895c38a", "cc4d2aeee47db733a28b20838518e21da895c38a")</f>
        <v>0</v>
      </c>
      <c r="D19971" t="s">
        <v>5467</v>
      </c>
      <c r="E19971" t="s">
        <v>9666</v>
      </c>
      <c r="F19971" t="s">
        <v>14177</v>
      </c>
      <c r="G19971" t="s">
        <v>18158</v>
      </c>
      <c r="H19971" t="s">
        <v>36651</v>
      </c>
    </row>
    <row r="19972" spans="1:8">
      <c r="A19972" t="s">
        <v>3978</v>
      </c>
      <c r="B19972">
        <f>HYPERLINK("https://android.googlesource.com/platform/cts/+/eaed0cdeee06f358e16ef7365ccc9616da08dc19", "eaed0cdeee06f358e16ef7365ccc9616da08dc19")</f>
        <v>0</v>
      </c>
      <c r="C19972">
        <f>HYPERLINK("https://android.googlesource.com/platform/cts/+/64a74e69c7b246e522d98d489e5dd02a6e228a91", "64a74e69c7b246e522d98d489e5dd02a6e228a91")</f>
        <v>0</v>
      </c>
      <c r="D19972" t="s">
        <v>5451</v>
      </c>
      <c r="E19972" t="s">
        <v>9667</v>
      </c>
      <c r="F19972" t="s">
        <v>14560</v>
      </c>
      <c r="G19972" t="s">
        <v>18482</v>
      </c>
      <c r="H19972" t="s">
        <v>36654</v>
      </c>
    </row>
    <row r="19973" spans="1:8">
      <c r="H19973" t="s">
        <v>36655</v>
      </c>
    </row>
    <row r="19974" spans="1:8">
      <c r="H19974" t="s">
        <v>36656</v>
      </c>
    </row>
    <row r="19975" spans="1:8">
      <c r="F19975" t="s">
        <v>14123</v>
      </c>
      <c r="G19975" t="s">
        <v>18113</v>
      </c>
      <c r="H19975" t="s">
        <v>36657</v>
      </c>
    </row>
    <row r="19976" spans="1:8">
      <c r="A19976" t="s">
        <v>3979</v>
      </c>
      <c r="B19976">
        <f>HYPERLINK("https://android.googlesource.com/platform/cts/+/cca9b202a3dd16fef484823d72a014c773e6342f", "cca9b202a3dd16fef484823d72a014c773e6342f")</f>
        <v>0</v>
      </c>
      <c r="C19976">
        <f>HYPERLINK("https://android.googlesource.com/platform/cts/+/60619110148c53629bbe5fefe44cd018ded529d7", "60619110148c53629bbe5fefe44cd018ded529d7")</f>
        <v>0</v>
      </c>
      <c r="D19976" t="s">
        <v>5642</v>
      </c>
      <c r="E19976" t="s">
        <v>9668</v>
      </c>
      <c r="F19976" t="s">
        <v>14546</v>
      </c>
      <c r="G19976" t="s">
        <v>18469</v>
      </c>
      <c r="H19976" t="s">
        <v>36658</v>
      </c>
    </row>
    <row r="19977" spans="1:8">
      <c r="H19977" t="s">
        <v>36659</v>
      </c>
    </row>
    <row r="19978" spans="1:8">
      <c r="H19978" t="s">
        <v>36660</v>
      </c>
    </row>
    <row r="19979" spans="1:8">
      <c r="H19979" t="s">
        <v>36661</v>
      </c>
    </row>
    <row r="19980" spans="1:8">
      <c r="H19980" t="s">
        <v>36662</v>
      </c>
    </row>
    <row r="19981" spans="1:8">
      <c r="H19981" t="s">
        <v>36663</v>
      </c>
    </row>
    <row r="19982" spans="1:8">
      <c r="H19982" t="s">
        <v>36664</v>
      </c>
    </row>
    <row r="19983" spans="1:8">
      <c r="H19983" t="s">
        <v>36665</v>
      </c>
    </row>
    <row r="19984" spans="1:8">
      <c r="H19984" t="s">
        <v>36666</v>
      </c>
    </row>
    <row r="19985" spans="1:8">
      <c r="F19985" t="s">
        <v>14547</v>
      </c>
      <c r="G19985" t="s">
        <v>18470</v>
      </c>
      <c r="H19985" t="s">
        <v>36667</v>
      </c>
    </row>
    <row r="19986" spans="1:8">
      <c r="H19986" t="s">
        <v>36668</v>
      </c>
    </row>
    <row r="19987" spans="1:8">
      <c r="H19987" t="s">
        <v>36669</v>
      </c>
    </row>
    <row r="19988" spans="1:8">
      <c r="H19988" t="s">
        <v>36670</v>
      </c>
    </row>
    <row r="19989" spans="1:8">
      <c r="H19989" t="s">
        <v>36671</v>
      </c>
    </row>
    <row r="19990" spans="1:8">
      <c r="H19990" t="s">
        <v>36672</v>
      </c>
    </row>
    <row r="19991" spans="1:8">
      <c r="H19991" t="s">
        <v>36673</v>
      </c>
    </row>
    <row r="19992" spans="1:8">
      <c r="H19992" t="s">
        <v>36674</v>
      </c>
    </row>
    <row r="19993" spans="1:8">
      <c r="H19993" t="s">
        <v>36675</v>
      </c>
    </row>
    <row r="19994" spans="1:8">
      <c r="A19994" t="s">
        <v>3981</v>
      </c>
      <c r="B19994">
        <f>HYPERLINK("https://android.googlesource.com/platform/cts/+/999e7f18512837d6b9442b692650f8302d1808c1", "999e7f18512837d6b9442b692650f8302d1808c1")</f>
        <v>0</v>
      </c>
      <c r="C19994">
        <f>HYPERLINK("https://android.googlesource.com/platform/cts/+/c0384579767bf4c9c004905b2f60943f45a69192", "c0384579767bf4c9c004905b2f60943f45a69192")</f>
        <v>0</v>
      </c>
      <c r="D19994" t="s">
        <v>5409</v>
      </c>
      <c r="E19994" t="s">
        <v>9670</v>
      </c>
      <c r="F19994" t="s">
        <v>13229</v>
      </c>
      <c r="G19994" t="s">
        <v>17370</v>
      </c>
      <c r="H19994" t="s">
        <v>36677</v>
      </c>
    </row>
    <row r="19995" spans="1:8">
      <c r="A19995" t="s">
        <v>3982</v>
      </c>
      <c r="B19995">
        <f>HYPERLINK("https://android.googlesource.com/platform/cts/+/c72e392a578ee108c35d810e58ba0d4a768fc5e4", "c72e392a578ee108c35d810e58ba0d4a768fc5e4")</f>
        <v>0</v>
      </c>
      <c r="C19995">
        <f>HYPERLINK("https://android.googlesource.com/platform/cts/+/b617825c0d3ae2dc4ddbffac91a8861fa6beaae1", "b617825c0d3ae2dc4ddbffac91a8861fa6beaae1")</f>
        <v>0</v>
      </c>
      <c r="D19995" t="s">
        <v>5409</v>
      </c>
      <c r="E19995" t="s">
        <v>9671</v>
      </c>
      <c r="F19995" t="s">
        <v>13229</v>
      </c>
      <c r="G19995" t="s">
        <v>17370</v>
      </c>
      <c r="H19995" t="s">
        <v>36678</v>
      </c>
    </row>
    <row r="19996" spans="1:8">
      <c r="A19996" t="s">
        <v>3987</v>
      </c>
      <c r="B19996">
        <f>HYPERLINK("https://android.googlesource.com/platform/cts/+/0b61e8e11d8ce7f23ce194801abc84f0109106da", "0b61e8e11d8ce7f23ce194801abc84f0109106da")</f>
        <v>0</v>
      </c>
      <c r="C19996">
        <f>HYPERLINK("https://android.googlesource.com/platform/cts/+/bb207989733952563c83deec304be828b5b37e25", "bb207989733952563c83deec304be828b5b37e25")</f>
        <v>0</v>
      </c>
      <c r="D19996" t="s">
        <v>5189</v>
      </c>
      <c r="E19996" t="s">
        <v>9676</v>
      </c>
      <c r="F19996" t="s">
        <v>14561</v>
      </c>
      <c r="G19996" t="s">
        <v>18483</v>
      </c>
      <c r="H19996" t="s">
        <v>36690</v>
      </c>
    </row>
    <row r="19997" spans="1:8">
      <c r="H19997" t="s">
        <v>36691</v>
      </c>
    </row>
    <row r="19998" spans="1:8">
      <c r="H19998" t="s">
        <v>36692</v>
      </c>
    </row>
    <row r="19999" spans="1:8">
      <c r="H19999" t="s">
        <v>36693</v>
      </c>
    </row>
    <row r="20000" spans="1:8">
      <c r="H20000" t="s">
        <v>36694</v>
      </c>
    </row>
    <row r="20001" spans="1:8">
      <c r="H20001" t="s">
        <v>36695</v>
      </c>
    </row>
    <row r="20002" spans="1:8">
      <c r="A20002" t="s">
        <v>3989</v>
      </c>
      <c r="B20002">
        <f>HYPERLINK("https://android.googlesource.com/platform/cts/+/8f869bdcbfbb654deca3922e59ee692c66746ad1", "8f869bdcbfbb654deca3922e59ee692c66746ad1")</f>
        <v>0</v>
      </c>
      <c r="C20002">
        <f>HYPERLINK("https://android.googlesource.com/platform/cts/+/8d9d2d19e0b77db9dfeb9d3dc0453be602fac546", "8d9d2d19e0b77db9dfeb9d3dc0453be602fac546")</f>
        <v>0</v>
      </c>
      <c r="D20002" t="s">
        <v>5277</v>
      </c>
      <c r="E20002" t="s">
        <v>9678</v>
      </c>
      <c r="F20002" t="s">
        <v>13912</v>
      </c>
      <c r="G20002" t="s">
        <v>17949</v>
      </c>
      <c r="H20002" t="s">
        <v>36699</v>
      </c>
    </row>
    <row r="20003" spans="1:8">
      <c r="A20003" t="s">
        <v>3990</v>
      </c>
      <c r="B20003">
        <f>HYPERLINK("https://android.googlesource.com/platform/cts/+/7c80c698f1db290fda5f79fb3b59fdbb5695397b", "7c80c698f1db290fda5f79fb3b59fdbb5695397b")</f>
        <v>0</v>
      </c>
      <c r="C20003">
        <f>HYPERLINK("https://android.googlesource.com/platform/cts/+/e8378ac231d78069d3642f1a62f8a1eb01b8afbe", "e8378ac231d78069d3642f1a62f8a1eb01b8afbe")</f>
        <v>0</v>
      </c>
      <c r="D20003" t="s">
        <v>5520</v>
      </c>
      <c r="E20003" t="s">
        <v>9679</v>
      </c>
      <c r="F20003" t="s">
        <v>14563</v>
      </c>
      <c r="G20003" t="s">
        <v>18409</v>
      </c>
      <c r="H20003" t="s">
        <v>36700</v>
      </c>
    </row>
    <row r="20004" spans="1:8">
      <c r="A20004" t="s">
        <v>3992</v>
      </c>
      <c r="B20004">
        <f>HYPERLINK("https://android.googlesource.com/platform/cts/+/f427ddbad01aee1673ed6544fe00d925c3a0a23b", "f427ddbad01aee1673ed6544fe00d925c3a0a23b")</f>
        <v>0</v>
      </c>
      <c r="C20004">
        <f>HYPERLINK("https://android.googlesource.com/platform/cts/+/00b9d2c21d7dc282db6f43954a615d9281f31b75", "00b9d2c21d7dc282db6f43954a615d9281f31b75")</f>
        <v>0</v>
      </c>
      <c r="D20004" t="s">
        <v>5344</v>
      </c>
      <c r="E20004" t="s">
        <v>9681</v>
      </c>
      <c r="F20004" t="s">
        <v>14472</v>
      </c>
      <c r="G20004" t="s">
        <v>18404</v>
      </c>
      <c r="H20004" t="s">
        <v>36703</v>
      </c>
    </row>
    <row r="20005" spans="1:8">
      <c r="A20005" t="s">
        <v>3994</v>
      </c>
      <c r="B20005">
        <f>HYPERLINK("https://android.googlesource.com/platform/cts/+/3bc123cd9dbf8b6e05c6ef1e6d69b71bd982bfb6", "3bc123cd9dbf8b6e05c6ef1e6d69b71bd982bfb6")</f>
        <v>0</v>
      </c>
      <c r="C20005">
        <f>HYPERLINK("https://android.googlesource.com/platform/cts/+/5cc331ecf031cec9fb46eab8fca4bded3f459899", "5cc331ecf031cec9fb46eab8fca4bded3f459899")</f>
        <v>0</v>
      </c>
      <c r="D20005" t="s">
        <v>4981</v>
      </c>
      <c r="E20005" t="s">
        <v>9683</v>
      </c>
      <c r="F20005" t="s">
        <v>14384</v>
      </c>
      <c r="G20005" t="s">
        <v>18328</v>
      </c>
      <c r="H20005" t="s">
        <v>36708</v>
      </c>
    </row>
    <row r="20006" spans="1:8">
      <c r="A20006" t="s">
        <v>4000</v>
      </c>
      <c r="B20006">
        <f>HYPERLINK("https://android.googlesource.com/platform/cts/+/76c3da108770f272bc2e110298483e7cca29248f", "76c3da108770f272bc2e110298483e7cca29248f")</f>
        <v>0</v>
      </c>
      <c r="C20006">
        <f>HYPERLINK("https://android.googlesource.com/platform/cts/+/fc8af023273af221f96bd49b5b456f48529071bb", "fc8af023273af221f96bd49b5b456f48529071bb")</f>
        <v>0</v>
      </c>
      <c r="D20006" t="s">
        <v>5481</v>
      </c>
      <c r="E20006" t="s">
        <v>9689</v>
      </c>
      <c r="F20006" t="s">
        <v>14408</v>
      </c>
      <c r="G20006" t="s">
        <v>18346</v>
      </c>
      <c r="H20006" t="s">
        <v>35824</v>
      </c>
    </row>
    <row r="20007" spans="1:8">
      <c r="H20007" t="s">
        <v>35825</v>
      </c>
    </row>
    <row r="20008" spans="1:8">
      <c r="H20008" t="s">
        <v>35826</v>
      </c>
    </row>
    <row r="20009" spans="1:8">
      <c r="F20009" t="s">
        <v>14409</v>
      </c>
      <c r="G20009" t="s">
        <v>18347</v>
      </c>
      <c r="H20009" t="s">
        <v>35824</v>
      </c>
    </row>
    <row r="20010" spans="1:8">
      <c r="H20010" t="s">
        <v>35825</v>
      </c>
    </row>
    <row r="20011" spans="1:8">
      <c r="H20011" t="s">
        <v>35826</v>
      </c>
    </row>
    <row r="20012" spans="1:8">
      <c r="A20012" t="s">
        <v>4002</v>
      </c>
      <c r="B20012">
        <f>HYPERLINK("https://android.googlesource.com/platform/cts/+/8277bbafcbea38acc4b788a941a8b0280fe48c45", "8277bbafcbea38acc4b788a941a8b0280fe48c45")</f>
        <v>0</v>
      </c>
      <c r="C20012">
        <f>HYPERLINK("https://android.googlesource.com/platform/cts/+/29172309bbf6435784e3b958a24f697f5136715a", "29172309bbf6435784e3b958a24f697f5136715a")</f>
        <v>0</v>
      </c>
      <c r="D20012" t="s">
        <v>5428</v>
      </c>
      <c r="E20012" t="s">
        <v>9691</v>
      </c>
      <c r="F20012" t="s">
        <v>14430</v>
      </c>
      <c r="G20012" t="s">
        <v>18367</v>
      </c>
      <c r="H20012" t="s">
        <v>36609</v>
      </c>
    </row>
    <row r="20013" spans="1:8">
      <c r="H20013" t="s">
        <v>36610</v>
      </c>
    </row>
    <row r="20014" spans="1:8">
      <c r="H20014" t="s">
        <v>36611</v>
      </c>
    </row>
    <row r="20015" spans="1:8">
      <c r="H20015" t="s">
        <v>36612</v>
      </c>
    </row>
    <row r="20016" spans="1:8">
      <c r="F20016" t="s">
        <v>14431</v>
      </c>
      <c r="G20016" t="s">
        <v>18368</v>
      </c>
      <c r="H20016" t="s">
        <v>36613</v>
      </c>
    </row>
    <row r="20017" spans="1:8">
      <c r="H20017" t="s">
        <v>36614</v>
      </c>
    </row>
    <row r="20018" spans="1:8">
      <c r="H20018" t="s">
        <v>36615</v>
      </c>
    </row>
    <row r="20019" spans="1:8">
      <c r="H20019" t="s">
        <v>36616</v>
      </c>
    </row>
    <row r="20020" spans="1:8">
      <c r="H20020" t="s">
        <v>36617</v>
      </c>
    </row>
    <row r="20021" spans="1:8">
      <c r="H20021" t="s">
        <v>36618</v>
      </c>
    </row>
    <row r="20022" spans="1:8">
      <c r="A20022" t="s">
        <v>4003</v>
      </c>
      <c r="B20022">
        <f>HYPERLINK("https://android.googlesource.com/platform/cts/+/90000c20030008d737f6ee65c81c8393e45194fe", "90000c20030008d737f6ee65c81c8393e45194fe")</f>
        <v>0</v>
      </c>
      <c r="C20022">
        <f>HYPERLINK("https://android.googlesource.com/platform/cts/+/e93a641857a9bb1fee90baa6cbba021807e53001", "e93a641857a9bb1fee90baa6cbba021807e53001")</f>
        <v>0</v>
      </c>
      <c r="D20022" t="s">
        <v>5409</v>
      </c>
      <c r="E20022" t="s">
        <v>9692</v>
      </c>
      <c r="F20022" t="s">
        <v>14462</v>
      </c>
      <c r="G20022" t="s">
        <v>18326</v>
      </c>
      <c r="H20022" t="s">
        <v>36722</v>
      </c>
    </row>
    <row r="20023" spans="1:8">
      <c r="H20023" t="s">
        <v>36723</v>
      </c>
    </row>
    <row r="20024" spans="1:8">
      <c r="H20024" t="s">
        <v>36724</v>
      </c>
    </row>
    <row r="20025" spans="1:8">
      <c r="H20025" t="s">
        <v>36725</v>
      </c>
    </row>
    <row r="20026" spans="1:8">
      <c r="H20026" t="s">
        <v>36726</v>
      </c>
    </row>
    <row r="20027" spans="1:8">
      <c r="H20027" t="s">
        <v>36727</v>
      </c>
    </row>
    <row r="20028" spans="1:8">
      <c r="H20028" t="s">
        <v>36728</v>
      </c>
    </row>
    <row r="20029" spans="1:8">
      <c r="H20029" t="s">
        <v>36729</v>
      </c>
    </row>
    <row r="20030" spans="1:8">
      <c r="A20030" t="s">
        <v>4004</v>
      </c>
      <c r="B20030">
        <f>HYPERLINK("https://android.googlesource.com/platform/cts/+/3e430f34b417a246fec3be79828f16d2947d5d96", "3e430f34b417a246fec3be79828f16d2947d5d96")</f>
        <v>0</v>
      </c>
      <c r="C20030">
        <f>HYPERLINK("https://android.googlesource.com/platform/cts/+/62ccea72b764ba0504c42f4c1af66ac341babee8", "62ccea72b764ba0504c42f4c1af66ac341babee8")</f>
        <v>0</v>
      </c>
      <c r="D20030" t="s">
        <v>5481</v>
      </c>
      <c r="E20030" t="s">
        <v>9693</v>
      </c>
      <c r="F20030" t="s">
        <v>14408</v>
      </c>
      <c r="G20030" t="s">
        <v>18346</v>
      </c>
      <c r="H20030" t="s">
        <v>36730</v>
      </c>
    </row>
    <row r="20031" spans="1:8">
      <c r="H20031" t="s">
        <v>36731</v>
      </c>
    </row>
    <row r="20032" spans="1:8">
      <c r="F20032" t="s">
        <v>14409</v>
      </c>
      <c r="G20032" t="s">
        <v>18347</v>
      </c>
      <c r="H20032" t="s">
        <v>36730</v>
      </c>
    </row>
    <row r="20033" spans="1:8">
      <c r="H20033" t="s">
        <v>36731</v>
      </c>
    </row>
    <row r="20034" spans="1:8">
      <c r="A20034" t="s">
        <v>4005</v>
      </c>
      <c r="B20034">
        <f>HYPERLINK("https://android.googlesource.com/platform/cts/+/d1cce47035b827bfa05746ab6d0c7cfed2812d67", "d1cce47035b827bfa05746ab6d0c7cfed2812d67")</f>
        <v>0</v>
      </c>
      <c r="C20034">
        <f>HYPERLINK("https://android.googlesource.com/platform/cts/+/b46e16b9dcb73ea672792315ca6a309fe82a591d", "b46e16b9dcb73ea672792315ca6a309fe82a591d")</f>
        <v>0</v>
      </c>
      <c r="D20034" t="s">
        <v>5650</v>
      </c>
      <c r="E20034" t="s">
        <v>9694</v>
      </c>
      <c r="F20034" t="s">
        <v>13026</v>
      </c>
      <c r="G20034" t="s">
        <v>17190</v>
      </c>
      <c r="H20034" t="s">
        <v>36732</v>
      </c>
    </row>
    <row r="20035" spans="1:8">
      <c r="A20035" t="s">
        <v>4006</v>
      </c>
      <c r="B20035">
        <f>HYPERLINK("https://android.googlesource.com/platform/cts/+/a04d6480062c773f3ec39059984e9fadfb085046", "a04d6480062c773f3ec39059984e9fadfb085046")</f>
        <v>0</v>
      </c>
      <c r="C20035">
        <f>HYPERLINK("https://android.googlesource.com/platform/cts/+/7664217338131316354a46ffe5f7591684f295f4", "7664217338131316354a46ffe5f7591684f295f4")</f>
        <v>0</v>
      </c>
      <c r="D20035" t="s">
        <v>5635</v>
      </c>
      <c r="E20035" t="s">
        <v>9695</v>
      </c>
      <c r="F20035" t="s">
        <v>14524</v>
      </c>
      <c r="G20035" t="s">
        <v>18451</v>
      </c>
      <c r="H20035" t="s">
        <v>36733</v>
      </c>
    </row>
    <row r="20036" spans="1:8">
      <c r="A20036" t="s">
        <v>4008</v>
      </c>
      <c r="B20036">
        <f>HYPERLINK("https://android.googlesource.com/platform/cts/+/3fa67914753253c5ab6f04b9e7d8392e3bebcbdd", "3fa67914753253c5ab6f04b9e7d8392e3bebcbdd")</f>
        <v>0</v>
      </c>
      <c r="C20036">
        <f>HYPERLINK("https://android.googlesource.com/platform/cts/+/377e15b74624e79e5047709d9a04c6f0185bdf61", "377e15b74624e79e5047709d9a04c6f0185bdf61")</f>
        <v>0</v>
      </c>
      <c r="D20036" t="s">
        <v>5244</v>
      </c>
      <c r="E20036" t="s">
        <v>9697</v>
      </c>
      <c r="F20036" t="s">
        <v>14565</v>
      </c>
      <c r="G20036" t="s">
        <v>18486</v>
      </c>
      <c r="H20036" t="s">
        <v>36734</v>
      </c>
    </row>
    <row r="20037" spans="1:8">
      <c r="A20037" t="s">
        <v>4021</v>
      </c>
      <c r="B20037">
        <f>HYPERLINK("https://android.googlesource.com/platform/cts/+/28f302011235238e450b81d5cd2785b043048f66", "28f302011235238e450b81d5cd2785b043048f66")</f>
        <v>0</v>
      </c>
      <c r="C20037">
        <f>HYPERLINK("https://android.googlesource.com/platform/cts/+/6a2236a6376053d35773150f4adceaa1a7d5d814", "6a2236a6376053d35773150f4adceaa1a7d5d814")</f>
        <v>0</v>
      </c>
      <c r="D20037" t="s">
        <v>5485</v>
      </c>
      <c r="E20037" t="s">
        <v>9710</v>
      </c>
      <c r="F20037" t="s">
        <v>13790</v>
      </c>
      <c r="G20037" t="s">
        <v>17519</v>
      </c>
      <c r="H20037" t="s">
        <v>36749</v>
      </c>
    </row>
    <row r="20038" spans="1:8">
      <c r="A20038" t="s">
        <v>4024</v>
      </c>
      <c r="B20038">
        <f>HYPERLINK("https://android.googlesource.com/platform/cts/+/f6c8f9156f57a8c7a7915965cd9221c038dc1848", "f6c8f9156f57a8c7a7915965cd9221c038dc1848")</f>
        <v>0</v>
      </c>
      <c r="C20038">
        <f>HYPERLINK("https://android.googlesource.com/platform/cts/+/88447a0721522681668c34a9adad9db2375f3ad3", "88447a0721522681668c34a9adad9db2375f3ad3")</f>
        <v>0</v>
      </c>
      <c r="D20038" t="s">
        <v>5652</v>
      </c>
      <c r="E20038" t="s">
        <v>9713</v>
      </c>
      <c r="F20038" t="s">
        <v>14568</v>
      </c>
      <c r="G20038" t="s">
        <v>18489</v>
      </c>
      <c r="H20038" t="s">
        <v>36751</v>
      </c>
    </row>
    <row r="20039" spans="1:8">
      <c r="A20039" t="s">
        <v>4026</v>
      </c>
      <c r="B20039">
        <f>HYPERLINK("https://android.googlesource.com/platform/cts/+/e4e0046a1199b2bcb76b5ffe14af94ebd3671cf2", "e4e0046a1199b2bcb76b5ffe14af94ebd3671cf2")</f>
        <v>0</v>
      </c>
      <c r="C20039">
        <f>HYPERLINK("https://android.googlesource.com/platform/cts/+/bf2229b5b21f4dbedd53df9c4fdbfd9cf6894750", "bf2229b5b21f4dbedd53df9c4fdbfd9cf6894750")</f>
        <v>0</v>
      </c>
      <c r="D20039" t="s">
        <v>5546</v>
      </c>
      <c r="E20039" t="s">
        <v>9715</v>
      </c>
      <c r="F20039" t="s">
        <v>14353</v>
      </c>
      <c r="G20039" t="s">
        <v>18303</v>
      </c>
      <c r="H20039" t="s">
        <v>35571</v>
      </c>
    </row>
    <row r="20040" spans="1:8">
      <c r="A20040" t="s">
        <v>4027</v>
      </c>
      <c r="B20040">
        <f>HYPERLINK("https://android.googlesource.com/platform/cts/+/844415b0fbdd3ba69e67263a0d7f220c4d45aad8", "844415b0fbdd3ba69e67263a0d7f220c4d45aad8")</f>
        <v>0</v>
      </c>
      <c r="C20040">
        <f>HYPERLINK("https://android.googlesource.com/platform/cts/+/ec975bf3456b3e0c4a645dd4d3ba6e25a443f5ac", "ec975bf3456b3e0c4a645dd4d3ba6e25a443f5ac")</f>
        <v>0</v>
      </c>
      <c r="D20040" t="s">
        <v>5416</v>
      </c>
      <c r="E20040" t="s">
        <v>9716</v>
      </c>
      <c r="F20040" t="s">
        <v>12419</v>
      </c>
      <c r="G20040" t="s">
        <v>16641</v>
      </c>
      <c r="H20040" t="s">
        <v>36754</v>
      </c>
    </row>
    <row r="20041" spans="1:8">
      <c r="H20041" t="s">
        <v>36755</v>
      </c>
    </row>
    <row r="20042" spans="1:8">
      <c r="A20042" t="s">
        <v>4028</v>
      </c>
      <c r="B20042">
        <f>HYPERLINK("https://android.googlesource.com/platform/cts/+/8d95e8991dabdfe1bb93216919153e247a55973a", "8d95e8991dabdfe1bb93216919153e247a55973a")</f>
        <v>0</v>
      </c>
      <c r="C20042">
        <f>HYPERLINK("https://android.googlesource.com/platform/cts/+/344a96ab723acee8861f98b5a9cf182326636e91", "344a96ab723acee8861f98b5a9cf182326636e91")</f>
        <v>0</v>
      </c>
      <c r="D20042" t="s">
        <v>5219</v>
      </c>
      <c r="E20042" t="s">
        <v>9717</v>
      </c>
      <c r="F20042" t="s">
        <v>14512</v>
      </c>
      <c r="G20042" t="s">
        <v>18414</v>
      </c>
      <c r="H20042" t="s">
        <v>36758</v>
      </c>
    </row>
    <row r="20043" spans="1:8">
      <c r="A20043" t="s">
        <v>4031</v>
      </c>
      <c r="B20043">
        <f>HYPERLINK("https://android.googlesource.com/platform/cts/+/c5da66ad93ecaf52420b8ff9667fe62e53fd71a5", "c5da66ad93ecaf52420b8ff9667fe62e53fd71a5")</f>
        <v>0</v>
      </c>
      <c r="C20043">
        <f>HYPERLINK("https://android.googlesource.com/platform/cts/+/8ebd21feea7d79325ce546f24d38cbd233704c37", "8ebd21feea7d79325ce546f24d38cbd233704c37")</f>
        <v>0</v>
      </c>
      <c r="D20043" t="s">
        <v>5479</v>
      </c>
      <c r="E20043" t="s">
        <v>9720</v>
      </c>
      <c r="F20043" t="s">
        <v>14570</v>
      </c>
      <c r="G20043" t="s">
        <v>17580</v>
      </c>
      <c r="H20043" t="s">
        <v>36760</v>
      </c>
    </row>
    <row r="20044" spans="1:8">
      <c r="A20044" t="s">
        <v>4033</v>
      </c>
      <c r="B20044">
        <f>HYPERLINK("https://android.googlesource.com/platform/cts/+/b851ea539e61adbc9938f1047e807fbceaf383e1", "b851ea539e61adbc9938f1047e807fbceaf383e1")</f>
        <v>0</v>
      </c>
      <c r="C20044">
        <f>HYPERLINK("https://android.googlesource.com/platform/cts/+/de8f3f8ffd1738d6dea5b0eb2d456dcf6e41e2bd", "de8f3f8ffd1738d6dea5b0eb2d456dcf6e41e2bd")</f>
        <v>0</v>
      </c>
      <c r="D20044" t="s">
        <v>4973</v>
      </c>
      <c r="E20044" t="s">
        <v>9722</v>
      </c>
      <c r="F20044" t="s">
        <v>13480</v>
      </c>
      <c r="G20044" t="s">
        <v>17598</v>
      </c>
      <c r="H20044" t="s">
        <v>36055</v>
      </c>
    </row>
    <row r="20045" spans="1:8">
      <c r="A20045" t="s">
        <v>4034</v>
      </c>
      <c r="B20045">
        <f>HYPERLINK("https://android.googlesource.com/platform/cts/+/12f01cc3944a9735c9cab69ba952992ffaf481c6", "12f01cc3944a9735c9cab69ba952992ffaf481c6")</f>
        <v>0</v>
      </c>
      <c r="C20045">
        <f>HYPERLINK("https://android.googlesource.com/platform/cts/+/eb567c0eeb21ce7177028fda238e5a49bc1f6f2d", "eb567c0eeb21ce7177028fda238e5a49bc1f6f2d")</f>
        <v>0</v>
      </c>
      <c r="D20045" t="s">
        <v>5595</v>
      </c>
      <c r="E20045" t="s">
        <v>9723</v>
      </c>
      <c r="F20045" t="s">
        <v>13851</v>
      </c>
      <c r="G20045" t="s">
        <v>17893</v>
      </c>
      <c r="H20045" t="s">
        <v>36170</v>
      </c>
    </row>
    <row r="20046" spans="1:8">
      <c r="A20046" t="s">
        <v>4035</v>
      </c>
      <c r="B20046">
        <f>HYPERLINK("https://android.googlesource.com/platform/cts/+/be1698d1575fe1eba163444f250dd4c08abc643e", "be1698d1575fe1eba163444f250dd4c08abc643e")</f>
        <v>0</v>
      </c>
      <c r="C20046">
        <f>HYPERLINK("https://android.googlesource.com/platform/cts/+/7aa548bd03e5f4ec9268b674d46b1c9f159e3ece", "7aa548bd03e5f4ec9268b674d46b1c9f159e3ece")</f>
        <v>0</v>
      </c>
      <c r="D20046" t="s">
        <v>5595</v>
      </c>
      <c r="E20046" t="s">
        <v>9724</v>
      </c>
      <c r="F20046" t="s">
        <v>13851</v>
      </c>
      <c r="G20046" t="s">
        <v>17893</v>
      </c>
      <c r="H20046" t="s">
        <v>36170</v>
      </c>
    </row>
    <row r="20047" spans="1:8">
      <c r="A20047" t="s">
        <v>4036</v>
      </c>
      <c r="B20047">
        <f>HYPERLINK("https://android.googlesource.com/platform/cts/+/d3420a571f0ad9dd0bda47069694ed3ff21414e5", "d3420a571f0ad9dd0bda47069694ed3ff21414e5")</f>
        <v>0</v>
      </c>
      <c r="C20047">
        <f>HYPERLINK("https://android.googlesource.com/platform/cts/+/46d4255b981b1251033bf4dc7d523d6f05fc8adf", "46d4255b981b1251033bf4dc7d523d6f05fc8adf")</f>
        <v>0</v>
      </c>
      <c r="D20047" t="s">
        <v>5541</v>
      </c>
      <c r="E20047" t="s">
        <v>9725</v>
      </c>
      <c r="F20047" t="s">
        <v>14577</v>
      </c>
      <c r="G20047" t="s">
        <v>18497</v>
      </c>
      <c r="H20047" t="s">
        <v>36761</v>
      </c>
    </row>
    <row r="20048" spans="1:8">
      <c r="A20048" t="s">
        <v>4038</v>
      </c>
      <c r="B20048">
        <f>HYPERLINK("https://android.googlesource.com/platform/cts/+/d21e4d043a67a278ff5c4a640f53fe4f9900c929", "d21e4d043a67a278ff5c4a640f53fe4f9900c929")</f>
        <v>0</v>
      </c>
      <c r="C20048">
        <f>HYPERLINK("https://android.googlesource.com/platform/cts/+/76b21a1a35b64496b837ceaf0a5d4040c4875180", "76b21a1a35b64496b837ceaf0a5d4040c4875180")</f>
        <v>0</v>
      </c>
      <c r="D20048" t="s">
        <v>5134</v>
      </c>
      <c r="E20048" t="s">
        <v>9727</v>
      </c>
      <c r="F20048" t="s">
        <v>13229</v>
      </c>
      <c r="G20048" t="s">
        <v>17370</v>
      </c>
      <c r="H20048" t="s">
        <v>30571</v>
      </c>
    </row>
    <row r="20049" spans="1:8">
      <c r="H20049" t="s">
        <v>36765</v>
      </c>
    </row>
    <row r="20050" spans="1:8">
      <c r="H20050" t="s">
        <v>36766</v>
      </c>
    </row>
    <row r="20051" spans="1:8">
      <c r="H20051" t="s">
        <v>36767</v>
      </c>
    </row>
    <row r="20052" spans="1:8">
      <c r="H20052" t="s">
        <v>36768</v>
      </c>
    </row>
    <row r="20053" spans="1:8">
      <c r="A20053" t="s">
        <v>4039</v>
      </c>
      <c r="B20053">
        <f>HYPERLINK("https://android.googlesource.com/platform/cts/+/cd2c57174f171f12274228663f107bf867671fef", "cd2c57174f171f12274228663f107bf867671fef")</f>
        <v>0</v>
      </c>
      <c r="C20053">
        <f>HYPERLINK("https://android.googlesource.com/platform/cts/+/c26dfa37666e07a9cb3cf2c236c4c814b0d634eb", "c26dfa37666e07a9cb3cf2c236c4c814b0d634eb")</f>
        <v>0</v>
      </c>
      <c r="D20053" t="s">
        <v>5460</v>
      </c>
      <c r="E20053" t="s">
        <v>9728</v>
      </c>
      <c r="F20053" t="s">
        <v>13417</v>
      </c>
      <c r="G20053" t="s">
        <v>17543</v>
      </c>
      <c r="H20053" t="s">
        <v>36769</v>
      </c>
    </row>
    <row r="20054" spans="1:8">
      <c r="A20054" t="s">
        <v>4040</v>
      </c>
      <c r="B20054">
        <f>HYPERLINK("https://android.googlesource.com/platform/cts/+/5ec64f5c564f9aeaab97766862c333181edeac44", "5ec64f5c564f9aeaab97766862c333181edeac44")</f>
        <v>0</v>
      </c>
      <c r="C20054">
        <f>HYPERLINK("https://android.googlesource.com/platform/cts/+/88fc0a0863c80320d29616186f6eaae47f71591e", "88fc0a0863c80320d29616186f6eaae47f71591e")</f>
        <v>0</v>
      </c>
      <c r="D20054" t="s">
        <v>5454</v>
      </c>
      <c r="E20054" t="s">
        <v>9729</v>
      </c>
      <c r="F20054" t="s">
        <v>14124</v>
      </c>
      <c r="G20054" t="s">
        <v>18114</v>
      </c>
      <c r="H20054" t="s">
        <v>36771</v>
      </c>
    </row>
    <row r="20055" spans="1:8">
      <c r="A20055" t="s">
        <v>4049</v>
      </c>
      <c r="B20055">
        <f>HYPERLINK("https://android.googlesource.com/platform/cts/+/74d03b55341050e0fbd7f398c4b013a79ae44f78", "74d03b55341050e0fbd7f398c4b013a79ae44f78")</f>
        <v>0</v>
      </c>
      <c r="C20055">
        <f>HYPERLINK("https://android.googlesource.com/platform/cts/+/82b92b436506bb7a814b2eb55e73fe1f9f7c58b6", "82b92b436506bb7a814b2eb55e73fe1f9f7c58b6")</f>
        <v>0</v>
      </c>
      <c r="D20055" t="s">
        <v>5633</v>
      </c>
      <c r="E20055" t="s">
        <v>9738</v>
      </c>
      <c r="F20055" t="s">
        <v>13398</v>
      </c>
      <c r="G20055" t="s">
        <v>17524</v>
      </c>
      <c r="H20055" t="s">
        <v>36787</v>
      </c>
    </row>
    <row r="20056" spans="1:8">
      <c r="H20056" t="s">
        <v>36788</v>
      </c>
    </row>
    <row r="20057" spans="1:8">
      <c r="A20057" t="s">
        <v>4050</v>
      </c>
      <c r="B20057">
        <f>HYPERLINK("https://android.googlesource.com/platform/cts/+/bd81f2228d771aac9808212899a600effc59ffc6", "bd81f2228d771aac9808212899a600effc59ffc6")</f>
        <v>0</v>
      </c>
      <c r="C20057">
        <f>HYPERLINK("https://android.googlesource.com/platform/cts/+/14aa702ef3f14ae40c56d77a0351e2713f15bd54", "14aa702ef3f14ae40c56d77a0351e2713f15bd54")</f>
        <v>0</v>
      </c>
      <c r="D20057" t="s">
        <v>5624</v>
      </c>
      <c r="E20057" t="s">
        <v>9739</v>
      </c>
      <c r="F20057" t="s">
        <v>12176</v>
      </c>
      <c r="G20057" t="s">
        <v>16415</v>
      </c>
      <c r="H20057" t="s">
        <v>36790</v>
      </c>
    </row>
    <row r="20058" spans="1:8">
      <c r="H20058" t="s">
        <v>36791</v>
      </c>
    </row>
    <row r="20059" spans="1:8">
      <c r="H20059" t="s">
        <v>36792</v>
      </c>
    </row>
    <row r="20060" spans="1:8">
      <c r="A20060" t="s">
        <v>4051</v>
      </c>
      <c r="B20060">
        <f>HYPERLINK("https://android.googlesource.com/platform/cts/+/f5066e1a1d349eb8ba7687117cd666695dedd65c", "f5066e1a1d349eb8ba7687117cd666695dedd65c")</f>
        <v>0</v>
      </c>
      <c r="C20060">
        <f>HYPERLINK("https://android.googlesource.com/platform/cts/+/c4742a3343b7ffff2408c760b1baee40d42d1ab0", "c4742a3343b7ffff2408c760b1baee40d42d1ab0")</f>
        <v>0</v>
      </c>
      <c r="D20060" t="s">
        <v>5135</v>
      </c>
      <c r="E20060" t="s">
        <v>9740</v>
      </c>
      <c r="F20060" t="s">
        <v>13391</v>
      </c>
      <c r="G20060" t="s">
        <v>17517</v>
      </c>
      <c r="H20060" t="s">
        <v>36793</v>
      </c>
    </row>
    <row r="20061" spans="1:8">
      <c r="A20061" t="s">
        <v>4053</v>
      </c>
      <c r="B20061">
        <f>HYPERLINK("https://android.googlesource.com/platform/cts/+/4abe91d464e849cdee2ad325cfdd24a8ae48e446", "4abe91d464e849cdee2ad325cfdd24a8ae48e446")</f>
        <v>0</v>
      </c>
      <c r="C20061">
        <f>HYPERLINK("https://android.googlesource.com/platform/cts/+/9a7361602b746fb1bc7d0d17f88b7d503eaffb46", "9a7361602b746fb1bc7d0d17f88b7d503eaffb46")</f>
        <v>0</v>
      </c>
      <c r="D20061" t="s">
        <v>5476</v>
      </c>
      <c r="E20061" t="s">
        <v>9742</v>
      </c>
      <c r="F20061" t="s">
        <v>14582</v>
      </c>
      <c r="G20061" t="s">
        <v>18501</v>
      </c>
      <c r="H20061" t="s">
        <v>36795</v>
      </c>
    </row>
    <row r="20062" spans="1:8">
      <c r="A20062" t="s">
        <v>4056</v>
      </c>
      <c r="B20062">
        <f>HYPERLINK("https://android.googlesource.com/platform/cts/+/25e29b0f9979ca7b2806491564f246376feb9e9f", "25e29b0f9979ca7b2806491564f246376feb9e9f")</f>
        <v>0</v>
      </c>
      <c r="C20062">
        <f>HYPERLINK("https://android.googlesource.com/platform/cts/+/33d78c89d164b033729f0ca17e87ab26afe9e423", "33d78c89d164b033729f0ca17e87ab26afe9e423")</f>
        <v>0</v>
      </c>
      <c r="D20062" t="s">
        <v>5409</v>
      </c>
      <c r="E20062" t="s">
        <v>9744</v>
      </c>
      <c r="F20062" t="s">
        <v>14584</v>
      </c>
      <c r="G20062" t="s">
        <v>18357</v>
      </c>
      <c r="H20062" t="s">
        <v>36797</v>
      </c>
    </row>
    <row r="20063" spans="1:8">
      <c r="H20063" t="s">
        <v>36798</v>
      </c>
    </row>
    <row r="20064" spans="1:8">
      <c r="H20064" t="s">
        <v>36799</v>
      </c>
    </row>
    <row r="20065" spans="6:8">
      <c r="H20065" t="s">
        <v>36800</v>
      </c>
    </row>
    <row r="20066" spans="6:8">
      <c r="F20066" t="s">
        <v>14585</v>
      </c>
      <c r="G20066" t="s">
        <v>18503</v>
      </c>
      <c r="H20066" t="s">
        <v>36797</v>
      </c>
    </row>
    <row r="20067" spans="6:8">
      <c r="H20067" t="s">
        <v>36798</v>
      </c>
    </row>
    <row r="20068" spans="6:8">
      <c r="H20068" t="s">
        <v>36799</v>
      </c>
    </row>
    <row r="20069" spans="6:8">
      <c r="H20069" t="s">
        <v>36800</v>
      </c>
    </row>
    <row r="20070" spans="6:8">
      <c r="F20070" t="s">
        <v>14586</v>
      </c>
      <c r="G20070" t="s">
        <v>18504</v>
      </c>
      <c r="H20070" t="s">
        <v>36797</v>
      </c>
    </row>
    <row r="20071" spans="6:8">
      <c r="H20071" t="s">
        <v>36798</v>
      </c>
    </row>
    <row r="20072" spans="6:8">
      <c r="H20072" t="s">
        <v>36799</v>
      </c>
    </row>
    <row r="20073" spans="6:8">
      <c r="H20073" t="s">
        <v>36800</v>
      </c>
    </row>
    <row r="20074" spans="6:8">
      <c r="F20074" t="s">
        <v>14587</v>
      </c>
      <c r="G20074" t="s">
        <v>18505</v>
      </c>
      <c r="H20074" t="s">
        <v>36797</v>
      </c>
    </row>
    <row r="20075" spans="6:8">
      <c r="H20075" t="s">
        <v>36798</v>
      </c>
    </row>
    <row r="20076" spans="6:8">
      <c r="H20076" t="s">
        <v>36799</v>
      </c>
    </row>
    <row r="20077" spans="6:8">
      <c r="H20077" t="s">
        <v>36800</v>
      </c>
    </row>
    <row r="20078" spans="6:8">
      <c r="F20078" t="s">
        <v>14588</v>
      </c>
      <c r="G20078" t="s">
        <v>18506</v>
      </c>
      <c r="H20078" t="s">
        <v>36797</v>
      </c>
    </row>
    <row r="20079" spans="6:8">
      <c r="H20079" t="s">
        <v>36798</v>
      </c>
    </row>
    <row r="20080" spans="6:8">
      <c r="H20080" t="s">
        <v>36799</v>
      </c>
    </row>
    <row r="20081" spans="1:8">
      <c r="H20081" t="s">
        <v>36800</v>
      </c>
    </row>
    <row r="20082" spans="1:8">
      <c r="F20082" t="s">
        <v>14589</v>
      </c>
      <c r="G20082" t="s">
        <v>18507</v>
      </c>
      <c r="H20082" t="s">
        <v>36797</v>
      </c>
    </row>
    <row r="20083" spans="1:8">
      <c r="H20083" t="s">
        <v>36798</v>
      </c>
    </row>
    <row r="20084" spans="1:8">
      <c r="H20084" t="s">
        <v>36799</v>
      </c>
    </row>
    <row r="20085" spans="1:8">
      <c r="H20085" t="s">
        <v>36800</v>
      </c>
    </row>
    <row r="20086" spans="1:8">
      <c r="F20086" t="s">
        <v>14590</v>
      </c>
      <c r="G20086" t="s">
        <v>18508</v>
      </c>
      <c r="H20086" t="s">
        <v>36797</v>
      </c>
    </row>
    <row r="20087" spans="1:8">
      <c r="H20087" t="s">
        <v>36798</v>
      </c>
    </row>
    <row r="20088" spans="1:8">
      <c r="H20088" t="s">
        <v>36799</v>
      </c>
    </row>
    <row r="20089" spans="1:8">
      <c r="H20089" t="s">
        <v>36800</v>
      </c>
    </row>
    <row r="20090" spans="1:8">
      <c r="F20090" t="s">
        <v>14591</v>
      </c>
      <c r="G20090" t="s">
        <v>15004</v>
      </c>
      <c r="H20090" t="s">
        <v>36801</v>
      </c>
    </row>
    <row r="20091" spans="1:8">
      <c r="H20091" t="s">
        <v>36802</v>
      </c>
    </row>
    <row r="20092" spans="1:8">
      <c r="H20092" t="s">
        <v>36803</v>
      </c>
    </row>
    <row r="20093" spans="1:8">
      <c r="H20093" t="s">
        <v>36804</v>
      </c>
    </row>
    <row r="20094" spans="1:8">
      <c r="A20094" t="s">
        <v>4057</v>
      </c>
      <c r="B20094">
        <f>HYPERLINK("https://android.googlesource.com/platform/cts/+/cfda91d6f75a354a484e9a44d80943016650280d", "cfda91d6f75a354a484e9a44d80943016650280d")</f>
        <v>0</v>
      </c>
      <c r="C20094">
        <f>HYPERLINK("https://android.googlesource.com/platform/cts/+/9e43735f96dc7b5f4107885469197498aa34c451", "9e43735f96dc7b5f4107885469197498aa34c451")</f>
        <v>0</v>
      </c>
      <c r="D20094" t="s">
        <v>5409</v>
      </c>
      <c r="E20094" t="s">
        <v>9745</v>
      </c>
      <c r="F20094" t="s">
        <v>14592</v>
      </c>
      <c r="G20094" t="s">
        <v>18509</v>
      </c>
      <c r="H20094" t="s">
        <v>36805</v>
      </c>
    </row>
    <row r="20095" spans="1:8">
      <c r="H20095" t="s">
        <v>36806</v>
      </c>
    </row>
    <row r="20096" spans="1:8">
      <c r="H20096" t="s">
        <v>36807</v>
      </c>
    </row>
    <row r="20097" spans="1:8">
      <c r="H20097" t="s">
        <v>36808</v>
      </c>
    </row>
    <row r="20098" spans="1:8">
      <c r="H20098" t="s">
        <v>36809</v>
      </c>
    </row>
    <row r="20099" spans="1:8">
      <c r="H20099" t="s">
        <v>36810</v>
      </c>
    </row>
    <row r="20100" spans="1:8">
      <c r="A20100" t="s">
        <v>4062</v>
      </c>
      <c r="B20100">
        <f>HYPERLINK("https://android.googlesource.com/platform/cts/+/a0193e8b64626f92c6a36cb0e0e2219fbcce0b4f", "a0193e8b64626f92c6a36cb0e0e2219fbcce0b4f")</f>
        <v>0</v>
      </c>
      <c r="C20100">
        <f>HYPERLINK("https://android.googlesource.com/platform/cts/+/b6457332199d648e6e29c0d6d8747740e9a04ee9", "b6457332199d648e6e29c0d6d8747740e9a04ee9")</f>
        <v>0</v>
      </c>
      <c r="D20100" t="s">
        <v>5409</v>
      </c>
      <c r="E20100" t="s">
        <v>9750</v>
      </c>
      <c r="F20100" t="s">
        <v>12743</v>
      </c>
      <c r="G20100" t="s">
        <v>16935</v>
      </c>
      <c r="H20100" t="s">
        <v>28698</v>
      </c>
    </row>
    <row r="20101" spans="1:8">
      <c r="F20101" t="s">
        <v>13229</v>
      </c>
      <c r="G20101" t="s">
        <v>17370</v>
      </c>
      <c r="H20101" t="s">
        <v>32650</v>
      </c>
    </row>
    <row r="20102" spans="1:8">
      <c r="A20102" t="s">
        <v>4063</v>
      </c>
      <c r="B20102">
        <f>HYPERLINK("https://android.googlesource.com/platform/cts/+/4465c1053e4c9d1b0fd47f79ab2fccef46cbfbc3", "4465c1053e4c9d1b0fd47f79ab2fccef46cbfbc3")</f>
        <v>0</v>
      </c>
      <c r="C20102">
        <f>HYPERLINK("https://android.googlesource.com/platform/cts/+/545ce33e994bc6d43612636f079859f9d0596986", "545ce33e994bc6d43612636f079859f9d0596986")</f>
        <v>0</v>
      </c>
      <c r="D20102" t="s">
        <v>5655</v>
      </c>
      <c r="E20102" t="s">
        <v>9751</v>
      </c>
      <c r="F20102" t="s">
        <v>13972</v>
      </c>
      <c r="G20102" t="s">
        <v>17997</v>
      </c>
      <c r="H20102" t="s">
        <v>36823</v>
      </c>
    </row>
    <row r="20103" spans="1:8">
      <c r="A20103" t="s">
        <v>4064</v>
      </c>
      <c r="B20103">
        <f>HYPERLINK("https://android.googlesource.com/platform/cts/+/829d5e4e7304464c4722555c3529fc6210df262f", "829d5e4e7304464c4722555c3529fc6210df262f")</f>
        <v>0</v>
      </c>
      <c r="C20103">
        <f>HYPERLINK("https://android.googlesource.com/platform/cts/+/bd81f2228d771aac9808212899a600effc59ffc6", "bd81f2228d771aac9808212899a600effc59ffc6")</f>
        <v>0</v>
      </c>
      <c r="D20103" t="s">
        <v>5656</v>
      </c>
      <c r="E20103" t="s">
        <v>9752</v>
      </c>
      <c r="F20103" t="s">
        <v>12176</v>
      </c>
      <c r="G20103" t="s">
        <v>16415</v>
      </c>
      <c r="H20103" t="s">
        <v>36825</v>
      </c>
    </row>
    <row r="20104" spans="1:8">
      <c r="H20104" t="s">
        <v>36826</v>
      </c>
    </row>
    <row r="20105" spans="1:8">
      <c r="H20105" t="s">
        <v>36827</v>
      </c>
    </row>
    <row r="20106" spans="1:8">
      <c r="H20106" t="s">
        <v>36829</v>
      </c>
    </row>
    <row r="20107" spans="1:8">
      <c r="H20107" t="s">
        <v>36830</v>
      </c>
    </row>
    <row r="20108" spans="1:8">
      <c r="H20108" t="s">
        <v>36831</v>
      </c>
    </row>
    <row r="20109" spans="1:8">
      <c r="A20109" t="s">
        <v>4065</v>
      </c>
      <c r="B20109">
        <f>HYPERLINK("https://android.googlesource.com/platform/cts/+/cb983479a294803844eed1b05d4cea08ed5b8546", "cb983479a294803844eed1b05d4cea08ed5b8546")</f>
        <v>0</v>
      </c>
      <c r="C20109">
        <f>HYPERLINK("https://android.googlesource.com/platform/cts/+/ef63312983f1770df44884684d8b2c7266eb1786", "ef63312983f1770df44884684d8b2c7266eb1786")</f>
        <v>0</v>
      </c>
      <c r="D20109" t="s">
        <v>5624</v>
      </c>
      <c r="E20109" t="s">
        <v>9753</v>
      </c>
      <c r="F20109" t="s">
        <v>12176</v>
      </c>
      <c r="G20109" t="s">
        <v>16415</v>
      </c>
      <c r="H20109" t="s">
        <v>36790</v>
      </c>
    </row>
    <row r="20110" spans="1:8">
      <c r="H20110" t="s">
        <v>36791</v>
      </c>
    </row>
    <row r="20111" spans="1:8">
      <c r="H20111" t="s">
        <v>36792</v>
      </c>
    </row>
    <row r="20112" spans="1:8">
      <c r="A20112" t="s">
        <v>4066</v>
      </c>
      <c r="B20112">
        <f>HYPERLINK("https://android.googlesource.com/platform/cts/+/f22c02928c1dbd70085f31d59da32d1f928a6469", "f22c02928c1dbd70085f31d59da32d1f928a6469")</f>
        <v>0</v>
      </c>
      <c r="C20112">
        <f>HYPERLINK("https://android.googlesource.com/platform/cts/+/fd59cf5951ea7faa766ff9d66dece20fba341965", "fd59cf5951ea7faa766ff9d66dece20fba341965")</f>
        <v>0</v>
      </c>
      <c r="D20112" t="s">
        <v>5366</v>
      </c>
      <c r="E20112" t="s">
        <v>9754</v>
      </c>
      <c r="F20112" t="s">
        <v>13753</v>
      </c>
      <c r="G20112" t="s">
        <v>17813</v>
      </c>
      <c r="H20112" t="s">
        <v>36832</v>
      </c>
    </row>
    <row r="20113" spans="1:8">
      <c r="H20113" t="s">
        <v>36833</v>
      </c>
    </row>
    <row r="20114" spans="1:8">
      <c r="H20114" t="s">
        <v>36834</v>
      </c>
    </row>
    <row r="20115" spans="1:8">
      <c r="H20115" t="s">
        <v>36835</v>
      </c>
    </row>
    <row r="20116" spans="1:8">
      <c r="F20116" t="s">
        <v>14252</v>
      </c>
      <c r="G20116" t="s">
        <v>18217</v>
      </c>
      <c r="H20116" t="s">
        <v>36838</v>
      </c>
    </row>
    <row r="20117" spans="1:8">
      <c r="H20117" t="s">
        <v>36839</v>
      </c>
    </row>
    <row r="20118" spans="1:8">
      <c r="A20118" t="s">
        <v>4067</v>
      </c>
      <c r="B20118">
        <f>HYPERLINK("https://android.googlesource.com/platform/cts/+/92236ff8b2cb5085333a6847e97fde12c2ed32d1", "92236ff8b2cb5085333a6847e97fde12c2ed32d1")</f>
        <v>0</v>
      </c>
      <c r="C20118">
        <f>HYPERLINK("https://android.googlesource.com/platform/cts/+/a22031ffe4e9c114edaf40f834602f42baf2e8ea", "a22031ffe4e9c114edaf40f834602f42baf2e8ea")</f>
        <v>0</v>
      </c>
      <c r="D20118" t="s">
        <v>5617</v>
      </c>
      <c r="E20118" t="s">
        <v>9755</v>
      </c>
      <c r="F20118" t="s">
        <v>14596</v>
      </c>
      <c r="G20118" t="s">
        <v>18513</v>
      </c>
      <c r="H20118" t="s">
        <v>36846</v>
      </c>
    </row>
    <row r="20119" spans="1:8">
      <c r="A20119" t="s">
        <v>4069</v>
      </c>
      <c r="B20119">
        <f>HYPERLINK("https://android.googlesource.com/platform/cts/+/929e35c4a53453d4d71d240e23c4822e86b7c1fb", "929e35c4a53453d4d71d240e23c4822e86b7c1fb")</f>
        <v>0</v>
      </c>
      <c r="C20119">
        <f>HYPERLINK("https://android.googlesource.com/platform/cts/+/96985e3eb9c520e19c00f1354a8fe26cf318db47", "96985e3eb9c520e19c00f1354a8fe26cf318db47")</f>
        <v>0</v>
      </c>
      <c r="D20119" t="s">
        <v>5633</v>
      </c>
      <c r="E20119" t="s">
        <v>9757</v>
      </c>
      <c r="F20119" t="s">
        <v>13398</v>
      </c>
      <c r="G20119" t="s">
        <v>17524</v>
      </c>
      <c r="H20119" t="s">
        <v>36848</v>
      </c>
    </row>
    <row r="20120" spans="1:8">
      <c r="A20120" t="s">
        <v>4070</v>
      </c>
      <c r="B20120">
        <f>HYPERLINK("https://android.googlesource.com/platform/cts/+/a28785a14c67a24877f1d48aa0956fd122c82a05", "a28785a14c67a24877f1d48aa0956fd122c82a05")</f>
        <v>0</v>
      </c>
      <c r="C20120">
        <f>HYPERLINK("https://android.googlesource.com/platform/cts/+/2351a964deb1dc06db025e0c433a8d696b84596b", "2351a964deb1dc06db025e0c433a8d696b84596b")</f>
        <v>0</v>
      </c>
      <c r="D20120" t="s">
        <v>5481</v>
      </c>
      <c r="E20120" t="s">
        <v>9758</v>
      </c>
      <c r="F20120" t="s">
        <v>14598</v>
      </c>
      <c r="G20120" t="s">
        <v>18514</v>
      </c>
      <c r="H20120" t="s">
        <v>36849</v>
      </c>
    </row>
    <row r="20121" spans="1:8">
      <c r="H20121" t="s">
        <v>36850</v>
      </c>
    </row>
    <row r="20122" spans="1:8">
      <c r="A20122" t="s">
        <v>4077</v>
      </c>
      <c r="B20122">
        <f>HYPERLINK("https://android.googlesource.com/platform/cts/+/e0453ae822136b3ee591aefeaa3efd9c9e8b4217", "e0453ae822136b3ee591aefeaa3efd9c9e8b4217")</f>
        <v>0</v>
      </c>
      <c r="C20122">
        <f>HYPERLINK("https://android.googlesource.com/platform/cts/+/20687daf1bffe90dcfeaf6fe0fc281f2c38f3b6d", "20687daf1bffe90dcfeaf6fe0fc281f2c38f3b6d")</f>
        <v>0</v>
      </c>
      <c r="D20122" t="s">
        <v>5272</v>
      </c>
      <c r="E20122" t="s">
        <v>9765</v>
      </c>
      <c r="F20122" t="s">
        <v>14602</v>
      </c>
      <c r="G20122" t="s">
        <v>18518</v>
      </c>
      <c r="H20122" t="s">
        <v>36860</v>
      </c>
    </row>
    <row r="20123" spans="1:8">
      <c r="A20123" t="s">
        <v>4079</v>
      </c>
      <c r="B20123">
        <f>HYPERLINK("https://android.googlesource.com/platform/cts/+/829386b620dde8170ae47533a3b6b7bd75bc7565", "829386b620dde8170ae47533a3b6b7bd75bc7565")</f>
        <v>0</v>
      </c>
      <c r="C20123">
        <f>HYPERLINK("https://android.googlesource.com/platform/cts/+/1355cadedc27797470a534de824c05beba313736", "1355cadedc27797470a534de824c05beba313736")</f>
        <v>0</v>
      </c>
      <c r="D20123" t="s">
        <v>5409</v>
      </c>
      <c r="E20123" t="s">
        <v>9767</v>
      </c>
      <c r="F20123" t="s">
        <v>14462</v>
      </c>
      <c r="G20123" t="s">
        <v>18326</v>
      </c>
      <c r="H20123" t="s">
        <v>36867</v>
      </c>
    </row>
    <row r="20124" spans="1:8">
      <c r="H20124" t="s">
        <v>36868</v>
      </c>
    </row>
    <row r="20125" spans="1:8">
      <c r="H20125" t="s">
        <v>36869</v>
      </c>
    </row>
    <row r="20126" spans="1:8">
      <c r="H20126" t="s">
        <v>36870</v>
      </c>
    </row>
    <row r="20127" spans="1:8">
      <c r="H20127" t="s">
        <v>36871</v>
      </c>
    </row>
    <row r="20128" spans="1:8">
      <c r="H20128" t="s">
        <v>36872</v>
      </c>
    </row>
    <row r="20129" spans="8:8">
      <c r="H20129" t="s">
        <v>36873</v>
      </c>
    </row>
    <row r="20130" spans="8:8">
      <c r="H20130" t="s">
        <v>36874</v>
      </c>
    </row>
    <row r="20131" spans="8:8">
      <c r="H20131" t="s">
        <v>36875</v>
      </c>
    </row>
    <row r="20132" spans="8:8">
      <c r="H20132" t="s">
        <v>36876</v>
      </c>
    </row>
    <row r="20133" spans="8:8">
      <c r="H20133" t="s">
        <v>36877</v>
      </c>
    </row>
    <row r="20134" spans="8:8">
      <c r="H20134" t="s">
        <v>36878</v>
      </c>
    </row>
    <row r="20135" spans="8:8">
      <c r="H20135" t="s">
        <v>36879</v>
      </c>
    </row>
    <row r="20136" spans="8:8">
      <c r="H20136" t="s">
        <v>36880</v>
      </c>
    </row>
    <row r="20137" spans="8:8">
      <c r="H20137" t="s">
        <v>36881</v>
      </c>
    </row>
    <row r="20138" spans="8:8">
      <c r="H20138" t="s">
        <v>36882</v>
      </c>
    </row>
    <row r="20139" spans="8:8">
      <c r="H20139" t="s">
        <v>36883</v>
      </c>
    </row>
    <row r="20140" spans="8:8">
      <c r="H20140" t="s">
        <v>36884</v>
      </c>
    </row>
    <row r="20141" spans="8:8">
      <c r="H20141" t="s">
        <v>36885</v>
      </c>
    </row>
    <row r="20142" spans="8:8">
      <c r="H20142" t="s">
        <v>36886</v>
      </c>
    </row>
    <row r="20143" spans="8:8">
      <c r="H20143" t="s">
        <v>36887</v>
      </c>
    </row>
    <row r="20144" spans="8:8">
      <c r="H20144" t="s">
        <v>36888</v>
      </c>
    </row>
    <row r="20145" spans="8:8">
      <c r="H20145" t="s">
        <v>36889</v>
      </c>
    </row>
    <row r="20146" spans="8:8">
      <c r="H20146" t="s">
        <v>36890</v>
      </c>
    </row>
    <row r="20147" spans="8:8">
      <c r="H20147" t="s">
        <v>36891</v>
      </c>
    </row>
    <row r="20148" spans="8:8">
      <c r="H20148" t="s">
        <v>36892</v>
      </c>
    </row>
    <row r="20149" spans="8:8">
      <c r="H20149" t="s">
        <v>36893</v>
      </c>
    </row>
    <row r="20150" spans="8:8">
      <c r="H20150" t="s">
        <v>36894</v>
      </c>
    </row>
    <row r="20151" spans="8:8">
      <c r="H20151" t="s">
        <v>36895</v>
      </c>
    </row>
    <row r="20152" spans="8:8">
      <c r="H20152" t="s">
        <v>36896</v>
      </c>
    </row>
    <row r="20153" spans="8:8">
      <c r="H20153" t="s">
        <v>36897</v>
      </c>
    </row>
    <row r="20154" spans="8:8">
      <c r="H20154" t="s">
        <v>36898</v>
      </c>
    </row>
    <row r="20155" spans="8:8">
      <c r="H20155" t="s">
        <v>36899</v>
      </c>
    </row>
    <row r="20156" spans="8:8">
      <c r="H20156" t="s">
        <v>36900</v>
      </c>
    </row>
    <row r="20157" spans="8:8">
      <c r="H20157" t="s">
        <v>36901</v>
      </c>
    </row>
    <row r="20158" spans="8:8">
      <c r="H20158" t="s">
        <v>36902</v>
      </c>
    </row>
    <row r="20159" spans="8:8">
      <c r="H20159" t="s">
        <v>36903</v>
      </c>
    </row>
    <row r="20160" spans="8:8">
      <c r="H20160" t="s">
        <v>36904</v>
      </c>
    </row>
    <row r="20161" spans="1:8">
      <c r="H20161" t="s">
        <v>36905</v>
      </c>
    </row>
    <row r="20162" spans="1:8">
      <c r="H20162" t="s">
        <v>36906</v>
      </c>
    </row>
    <row r="20163" spans="1:8">
      <c r="H20163" t="s">
        <v>36907</v>
      </c>
    </row>
    <row r="20164" spans="1:8">
      <c r="H20164" t="s">
        <v>36908</v>
      </c>
    </row>
    <row r="20165" spans="1:8">
      <c r="H20165" t="s">
        <v>36909</v>
      </c>
    </row>
    <row r="20166" spans="1:8">
      <c r="H20166" t="s">
        <v>36910</v>
      </c>
    </row>
    <row r="20167" spans="1:8">
      <c r="H20167" t="s">
        <v>36911</v>
      </c>
    </row>
    <row r="20168" spans="1:8">
      <c r="H20168" t="s">
        <v>36912</v>
      </c>
    </row>
    <row r="20169" spans="1:8">
      <c r="A20169" t="s">
        <v>4080</v>
      </c>
      <c r="B20169">
        <f>HYPERLINK("https://android.googlesource.com/platform/cts/+/177e833a9b25ec90501ee98f062177f2b57f2611", "177e833a9b25ec90501ee98f062177f2b57f2611")</f>
        <v>0</v>
      </c>
      <c r="C20169">
        <f>HYPERLINK("https://android.googlesource.com/platform/cts/+/a0193e8b64626f92c6a36cb0e0e2219fbcce0b4f", "a0193e8b64626f92c6a36cb0e0e2219fbcce0b4f")</f>
        <v>0</v>
      </c>
      <c r="D20169" t="s">
        <v>5409</v>
      </c>
      <c r="E20169" t="s">
        <v>9768</v>
      </c>
      <c r="F20169" t="s">
        <v>14603</v>
      </c>
      <c r="G20169" t="s">
        <v>18519</v>
      </c>
      <c r="H20169" t="s">
        <v>36913</v>
      </c>
    </row>
    <row r="20170" spans="1:8">
      <c r="H20170" t="s">
        <v>36914</v>
      </c>
    </row>
    <row r="20171" spans="1:8">
      <c r="F20171" t="s">
        <v>13136</v>
      </c>
      <c r="G20171" t="s">
        <v>17293</v>
      </c>
      <c r="H20171" t="s">
        <v>28698</v>
      </c>
    </row>
    <row r="20172" spans="1:8">
      <c r="A20172" t="s">
        <v>4081</v>
      </c>
      <c r="B20172">
        <f>HYPERLINK("https://android.googlesource.com/platform/cts/+/fc53507da74861adec8321847e7902418ff9a553", "fc53507da74861adec8321847e7902418ff9a553")</f>
        <v>0</v>
      </c>
      <c r="C20172">
        <f>HYPERLINK("https://android.googlesource.com/platform/cts/+/372cbf7570b4f701f9b9984d95586130d9de8e1c", "372cbf7570b4f701f9b9984d95586130d9de8e1c")</f>
        <v>0</v>
      </c>
      <c r="D20172" t="s">
        <v>5428</v>
      </c>
      <c r="E20172" t="s">
        <v>9769</v>
      </c>
      <c r="F20172" t="s">
        <v>14604</v>
      </c>
      <c r="G20172" t="s">
        <v>18520</v>
      </c>
      <c r="H20172" t="s">
        <v>36915</v>
      </c>
    </row>
    <row r="20173" spans="1:8">
      <c r="A20173" t="s">
        <v>4082</v>
      </c>
      <c r="B20173">
        <f>HYPERLINK("https://android.googlesource.com/platform/cts/+/d303182399bfc0d15f7687c9664521aacee236b0", "d303182399bfc0d15f7687c9664521aacee236b0")</f>
        <v>0</v>
      </c>
      <c r="C20173">
        <f>HYPERLINK("https://android.googlesource.com/platform/cts/+/2d04aecf20acc2f34db257d18ea37e8e10fe6590", "2d04aecf20acc2f34db257d18ea37e8e10fe6590")</f>
        <v>0</v>
      </c>
      <c r="D20173" t="s">
        <v>5658</v>
      </c>
      <c r="E20173" t="s">
        <v>9770</v>
      </c>
      <c r="F20173" t="s">
        <v>14605</v>
      </c>
      <c r="G20173" t="s">
        <v>18521</v>
      </c>
      <c r="H20173" t="s">
        <v>36918</v>
      </c>
    </row>
    <row r="20174" spans="1:8">
      <c r="H20174" t="s">
        <v>36919</v>
      </c>
    </row>
    <row r="20175" spans="1:8">
      <c r="H20175" t="s">
        <v>36920</v>
      </c>
    </row>
    <row r="20176" spans="1:8">
      <c r="A20176" t="s">
        <v>4084</v>
      </c>
      <c r="B20176">
        <f>HYPERLINK("https://android.googlesource.com/platform/cts/+/27aad09fd59b2d9395c2253b535de24753a801b5", "27aad09fd59b2d9395c2253b535de24753a801b5")</f>
        <v>0</v>
      </c>
      <c r="C20176">
        <f>HYPERLINK("https://android.googlesource.com/platform/cts/+/7f1a976ea7aff647838cd5552f26bce4d624b998", "7f1a976ea7aff647838cd5552f26bce4d624b998")</f>
        <v>0</v>
      </c>
      <c r="D20176" t="s">
        <v>5472</v>
      </c>
      <c r="E20176" t="s">
        <v>9772</v>
      </c>
      <c r="F20176" t="s">
        <v>12743</v>
      </c>
      <c r="G20176" t="s">
        <v>16935</v>
      </c>
      <c r="H20176" t="s">
        <v>36925</v>
      </c>
    </row>
    <row r="20177" spans="1:8">
      <c r="F20177" t="s">
        <v>13229</v>
      </c>
      <c r="G20177" t="s">
        <v>17370</v>
      </c>
      <c r="H20177" t="s">
        <v>36925</v>
      </c>
    </row>
    <row r="20178" spans="1:8">
      <c r="A20178" t="s">
        <v>4085</v>
      </c>
      <c r="B20178">
        <f>HYPERLINK("https://android.googlesource.com/platform/cts/+/bddb9a9d1df8b708ed8f1d7b0fd8a77bbdbed021", "bddb9a9d1df8b708ed8f1d7b0fd8a77bbdbed021")</f>
        <v>0</v>
      </c>
      <c r="C20178">
        <f>HYPERLINK("https://android.googlesource.com/platform/cts/+/2d04aecf20acc2f34db257d18ea37e8e10fe6590", "2d04aecf20acc2f34db257d18ea37e8e10fe6590")</f>
        <v>0</v>
      </c>
      <c r="D20178" t="s">
        <v>5657</v>
      </c>
      <c r="E20178" t="s">
        <v>9773</v>
      </c>
      <c r="F20178" t="s">
        <v>14023</v>
      </c>
      <c r="G20178" t="s">
        <v>18032</v>
      </c>
      <c r="H20178" t="s">
        <v>36926</v>
      </c>
    </row>
    <row r="20179" spans="1:8">
      <c r="A20179" t="s">
        <v>4087</v>
      </c>
      <c r="B20179">
        <f>HYPERLINK("https://android.googlesource.com/platform/cts/+/f0a2e426ffc1515f72cafa4ddc809faeb53ed8d2", "f0a2e426ffc1515f72cafa4ddc809faeb53ed8d2")</f>
        <v>0</v>
      </c>
      <c r="C20179">
        <f>HYPERLINK("https://android.googlesource.com/platform/cts/+/63ca350d8a39ce08ad874e32ea0dda329658c600", "63ca350d8a39ce08ad874e32ea0dda329658c600")</f>
        <v>0</v>
      </c>
      <c r="D20179" t="s">
        <v>5520</v>
      </c>
      <c r="E20179" t="s">
        <v>9775</v>
      </c>
      <c r="F20179" t="s">
        <v>14606</v>
      </c>
      <c r="G20179" t="s">
        <v>18522</v>
      </c>
      <c r="H20179" t="s">
        <v>36930</v>
      </c>
    </row>
    <row r="20180" spans="1:8">
      <c r="A20180" t="s">
        <v>4091</v>
      </c>
      <c r="B20180">
        <f>HYPERLINK("https://android.googlesource.com/platform/cts/+/dd4802c1ebb0605928c073857b0646d0612fe279", "dd4802c1ebb0605928c073857b0646d0612fe279")</f>
        <v>0</v>
      </c>
      <c r="C20180">
        <f>HYPERLINK("https://android.googlesource.com/platform/cts/+/6aee871b0542de20c263403b79734d4c8167ee86", "6aee871b0542de20c263403b79734d4c8167ee86")</f>
        <v>0</v>
      </c>
      <c r="D20180" t="s">
        <v>5409</v>
      </c>
      <c r="E20180" t="s">
        <v>9779</v>
      </c>
      <c r="F20180" t="s">
        <v>13971</v>
      </c>
      <c r="G20180" t="s">
        <v>17996</v>
      </c>
      <c r="H20180" t="s">
        <v>36935</v>
      </c>
    </row>
    <row r="20181" spans="1:8">
      <c r="F20181" t="s">
        <v>12743</v>
      </c>
      <c r="G20181" t="s">
        <v>16935</v>
      </c>
      <c r="H20181" t="s">
        <v>32976</v>
      </c>
    </row>
    <row r="20182" spans="1:8">
      <c r="F20182" t="s">
        <v>13136</v>
      </c>
      <c r="G20182" t="s">
        <v>17293</v>
      </c>
      <c r="H20182" t="s">
        <v>32976</v>
      </c>
    </row>
    <row r="20183" spans="1:8">
      <c r="A20183" t="s">
        <v>4092</v>
      </c>
      <c r="B20183">
        <f>HYPERLINK("https://android.googlesource.com/platform/cts/+/bfa8cabea09e163e7eb3610147d92b4bc4ebd67e", "bfa8cabea09e163e7eb3610147d92b4bc4ebd67e")</f>
        <v>0</v>
      </c>
      <c r="C20183">
        <f>HYPERLINK("https://android.googlesource.com/platform/cts/+/dd4802c1ebb0605928c073857b0646d0612fe279", "dd4802c1ebb0605928c073857b0646d0612fe279")</f>
        <v>0</v>
      </c>
      <c r="D20183" t="s">
        <v>5409</v>
      </c>
      <c r="E20183" t="s">
        <v>9780</v>
      </c>
      <c r="F20183" t="s">
        <v>13971</v>
      </c>
      <c r="G20183" t="s">
        <v>17996</v>
      </c>
      <c r="H20183" t="s">
        <v>36937</v>
      </c>
    </row>
    <row r="20184" spans="1:8">
      <c r="F20184" t="s">
        <v>12743</v>
      </c>
      <c r="G20184" t="s">
        <v>16935</v>
      </c>
      <c r="H20184" t="s">
        <v>36940</v>
      </c>
    </row>
    <row r="20185" spans="1:8">
      <c r="F20185" t="s">
        <v>13136</v>
      </c>
      <c r="G20185" t="s">
        <v>17293</v>
      </c>
      <c r="H20185" t="s">
        <v>36940</v>
      </c>
    </row>
    <row r="20186" spans="1:8">
      <c r="A20186" t="s">
        <v>4093</v>
      </c>
      <c r="B20186">
        <f>HYPERLINK("https://android.googlesource.com/platform/cts/+/4eb9d1b5d7b5c4cb5841dd49944b5545e8ad1ccf", "4eb9d1b5d7b5c4cb5841dd49944b5545e8ad1ccf")</f>
        <v>0</v>
      </c>
      <c r="C20186">
        <f>HYPERLINK("https://android.googlesource.com/platform/cts/+/bfa8cabea09e163e7eb3610147d92b4bc4ebd67e", "bfa8cabea09e163e7eb3610147d92b4bc4ebd67e")</f>
        <v>0</v>
      </c>
      <c r="D20186" t="s">
        <v>5409</v>
      </c>
      <c r="E20186" t="s">
        <v>9781</v>
      </c>
      <c r="F20186" t="s">
        <v>13971</v>
      </c>
      <c r="G20186" t="s">
        <v>17996</v>
      </c>
      <c r="H20186" t="s">
        <v>36942</v>
      </c>
    </row>
    <row r="20187" spans="1:8">
      <c r="F20187" t="s">
        <v>12743</v>
      </c>
      <c r="G20187" t="s">
        <v>16935</v>
      </c>
      <c r="H20187" t="s">
        <v>36944</v>
      </c>
    </row>
    <row r="20188" spans="1:8">
      <c r="F20188" t="s">
        <v>13136</v>
      </c>
      <c r="G20188" t="s">
        <v>17293</v>
      </c>
      <c r="H20188" t="s">
        <v>36944</v>
      </c>
    </row>
    <row r="20189" spans="1:8">
      <c r="F20189" t="s">
        <v>12745</v>
      </c>
      <c r="G20189" t="s">
        <v>16937</v>
      </c>
      <c r="H20189" t="s">
        <v>36944</v>
      </c>
    </row>
    <row r="20190" spans="1:8">
      <c r="A20190" t="s">
        <v>4099</v>
      </c>
      <c r="B20190">
        <f>HYPERLINK("https://android.googlesource.com/platform/cts/+/e8a1d649357008d9ca0c3ffbe2e287e1f00a6401", "e8a1d649357008d9ca0c3ffbe2e287e1f00a6401")</f>
        <v>0</v>
      </c>
      <c r="C20190">
        <f>HYPERLINK("https://android.googlesource.com/platform/cts/+/224d5d9a67370c56651e9aa00c4ca73f168e3d65", "224d5d9a67370c56651e9aa00c4ca73f168e3d65")</f>
        <v>0</v>
      </c>
      <c r="D20190" t="s">
        <v>5409</v>
      </c>
      <c r="E20190" t="s">
        <v>9785</v>
      </c>
      <c r="F20190" t="s">
        <v>13971</v>
      </c>
      <c r="G20190" t="s">
        <v>17996</v>
      </c>
      <c r="H20190" t="s">
        <v>36947</v>
      </c>
    </row>
    <row r="20191" spans="1:8">
      <c r="H20191" t="s">
        <v>36948</v>
      </c>
    </row>
    <row r="20192" spans="1:8">
      <c r="H20192" t="s">
        <v>34201</v>
      </c>
    </row>
    <row r="20193" spans="1:8">
      <c r="H20193" t="s">
        <v>36949</v>
      </c>
    </row>
    <row r="20194" spans="1:8">
      <c r="F20194" t="s">
        <v>12743</v>
      </c>
      <c r="G20194" t="s">
        <v>16935</v>
      </c>
      <c r="H20194" t="s">
        <v>36957</v>
      </c>
    </row>
    <row r="20195" spans="1:8">
      <c r="H20195" t="s">
        <v>36958</v>
      </c>
    </row>
    <row r="20196" spans="1:8">
      <c r="F20196" t="s">
        <v>13136</v>
      </c>
      <c r="G20196" t="s">
        <v>17293</v>
      </c>
      <c r="H20196" t="s">
        <v>36957</v>
      </c>
    </row>
    <row r="20197" spans="1:8">
      <c r="H20197" t="s">
        <v>36958</v>
      </c>
    </row>
    <row r="20198" spans="1:8">
      <c r="F20198" t="s">
        <v>12745</v>
      </c>
      <c r="G20198" t="s">
        <v>16937</v>
      </c>
      <c r="H20198" t="s">
        <v>36957</v>
      </c>
    </row>
    <row r="20199" spans="1:8">
      <c r="H20199" t="s">
        <v>36958</v>
      </c>
    </row>
    <row r="20200" spans="1:8">
      <c r="A20200" t="s">
        <v>4106</v>
      </c>
      <c r="B20200">
        <f>HYPERLINK("https://android.googlesource.com/platform/cts/+/f4140de1cfd9ea4966f65adb2d2d40395abe8d61", "f4140de1cfd9ea4966f65adb2d2d40395abe8d61")</f>
        <v>0</v>
      </c>
      <c r="C20200">
        <f>HYPERLINK("https://android.googlesource.com/platform/cts/+/f9cdcaf4eff95f4ba1bff3d5156b6d65a337dac8", "f9cdcaf4eff95f4ba1bff3d5156b6d65a337dac8")</f>
        <v>0</v>
      </c>
      <c r="D20200" t="s">
        <v>5040</v>
      </c>
      <c r="E20200" t="s">
        <v>9789</v>
      </c>
      <c r="F20200" t="s">
        <v>14505</v>
      </c>
      <c r="G20200" t="s">
        <v>18434</v>
      </c>
      <c r="H20200" t="s">
        <v>36993</v>
      </c>
    </row>
    <row r="20201" spans="1:8">
      <c r="A20201" t="s">
        <v>4107</v>
      </c>
      <c r="B20201">
        <f>HYPERLINK("https://android.googlesource.com/platform/cts/+/4ed995d6bdbff2993c520c4c5a1688b609efaf9b", "4ed995d6bdbff2993c520c4c5a1688b609efaf9b")</f>
        <v>0</v>
      </c>
      <c r="C20201">
        <f>HYPERLINK("https://android.googlesource.com/platform/cts/+/f515ec334c221252336d55e38d3a16ee2bf30c78", "f515ec334c221252336d55e38d3a16ee2bf30c78")</f>
        <v>0</v>
      </c>
      <c r="D20201" t="s">
        <v>5189</v>
      </c>
      <c r="E20201" t="s">
        <v>9790</v>
      </c>
      <c r="F20201" t="s">
        <v>14350</v>
      </c>
      <c r="G20201" t="s">
        <v>18301</v>
      </c>
      <c r="H20201" t="s">
        <v>36994</v>
      </c>
    </row>
    <row r="20202" spans="1:8">
      <c r="A20202" t="s">
        <v>4112</v>
      </c>
      <c r="B20202">
        <f>HYPERLINK("https://android.googlesource.com/platform/cts/+/c6ec277571d10682027a37194f6f7c4f41f8929b", "c6ec277571d10682027a37194f6f7c4f41f8929b")</f>
        <v>0</v>
      </c>
      <c r="C20202">
        <f>HYPERLINK("https://android.googlesource.com/platform/cts/+/dbfca04d79eb6b46f15ea3bc5c2112d21008e616", "dbfca04d79eb6b46f15ea3bc5c2112d21008e616")</f>
        <v>0</v>
      </c>
      <c r="D20202" t="s">
        <v>5586</v>
      </c>
      <c r="E20202" t="s">
        <v>9794</v>
      </c>
      <c r="F20202" t="s">
        <v>13972</v>
      </c>
      <c r="G20202" t="s">
        <v>17997</v>
      </c>
      <c r="H20202" t="s">
        <v>37000</v>
      </c>
    </row>
    <row r="20203" spans="1:8">
      <c r="H20203" t="s">
        <v>37001</v>
      </c>
    </row>
    <row r="20204" spans="1:8">
      <c r="A20204" t="s">
        <v>4113</v>
      </c>
      <c r="B20204">
        <f>HYPERLINK("https://android.googlesource.com/platform/cts/+/15c39ae7c0d7b43e799326b1d41767c2cec40771", "15c39ae7c0d7b43e799326b1d41767c2cec40771")</f>
        <v>0</v>
      </c>
      <c r="C20204">
        <f>HYPERLINK("https://android.googlesource.com/platform/cts/+/f438dd26f008117adbfeb5b41d5e929b715af86c", "f438dd26f008117adbfeb5b41d5e929b715af86c")</f>
        <v>0</v>
      </c>
      <c r="D20204" t="s">
        <v>5272</v>
      </c>
      <c r="E20204" t="s">
        <v>9795</v>
      </c>
      <c r="F20204" t="s">
        <v>13810</v>
      </c>
      <c r="G20204" t="s">
        <v>17734</v>
      </c>
      <c r="H20204" t="s">
        <v>37003</v>
      </c>
    </row>
    <row r="20205" spans="1:8">
      <c r="A20205" t="s">
        <v>4114</v>
      </c>
      <c r="B20205">
        <f>HYPERLINK("https://android.googlesource.com/platform/cts/+/30381cd9aaa8e3fb8a18e2160c242a1dd6b530e1", "30381cd9aaa8e3fb8a18e2160c242a1dd6b530e1")</f>
        <v>0</v>
      </c>
      <c r="C20205">
        <f>HYPERLINK("https://android.googlesource.com/platform/cts/+/8a46eff2d6e934eebe727f42c66d425870650f34", "8a46eff2d6e934eebe727f42c66d425870650f34")</f>
        <v>0</v>
      </c>
      <c r="D20205" t="s">
        <v>5134</v>
      </c>
      <c r="E20205" t="s">
        <v>9796</v>
      </c>
      <c r="F20205" t="s">
        <v>13229</v>
      </c>
      <c r="G20205" t="s">
        <v>17370</v>
      </c>
      <c r="H20205" t="s">
        <v>25795</v>
      </c>
    </row>
    <row r="20206" spans="1:8">
      <c r="A20206" t="s">
        <v>4115</v>
      </c>
      <c r="B20206">
        <f>HYPERLINK("https://android.googlesource.com/platform/cts/+/4e9be5a06fe5c6b92716f04b0bbb3bd82850d018", "4e9be5a06fe5c6b92716f04b0bbb3bd82850d018")</f>
        <v>0</v>
      </c>
      <c r="C20206">
        <f>HYPERLINK("https://android.googlesource.com/platform/cts/+/5357d91deeb60d0891f7a6a0011214d7edf30a76", "5357d91deeb60d0891f7a6a0011214d7edf30a76")</f>
        <v>0</v>
      </c>
      <c r="D20206" t="s">
        <v>5191</v>
      </c>
      <c r="E20206" t="s">
        <v>9797</v>
      </c>
      <c r="F20206" t="s">
        <v>14610</v>
      </c>
      <c r="G20206" t="s">
        <v>18524</v>
      </c>
      <c r="H20206" t="s">
        <v>37004</v>
      </c>
    </row>
    <row r="20207" spans="1:8">
      <c r="F20207" t="s">
        <v>12619</v>
      </c>
      <c r="G20207" t="s">
        <v>16829</v>
      </c>
      <c r="H20207" t="s">
        <v>27000</v>
      </c>
    </row>
    <row r="20208" spans="1:8">
      <c r="A20208" t="s">
        <v>4118</v>
      </c>
      <c r="B20208">
        <f>HYPERLINK("https://android.googlesource.com/platform/cts/+/641e7af30ebe486915a2bfe2c2f5016712e92833", "641e7af30ebe486915a2bfe2c2f5016712e92833")</f>
        <v>0</v>
      </c>
      <c r="C20208">
        <f>HYPERLINK("https://android.googlesource.com/platform/cts/+/add5ea10adafbbbd40efb51708a3a85491729a49", "add5ea10adafbbbd40efb51708a3a85491729a49")</f>
        <v>0</v>
      </c>
      <c r="D20208" t="s">
        <v>5662</v>
      </c>
      <c r="E20208" t="s">
        <v>9800</v>
      </c>
      <c r="F20208" t="s">
        <v>14613</v>
      </c>
      <c r="G20208" t="s">
        <v>18453</v>
      </c>
      <c r="H20208" t="s">
        <v>37008</v>
      </c>
    </row>
    <row r="20209" spans="1:8">
      <c r="F20209" t="s">
        <v>14527</v>
      </c>
      <c r="G20209" t="s">
        <v>18446</v>
      </c>
      <c r="H20209" t="s">
        <v>37009</v>
      </c>
    </row>
    <row r="20210" spans="1:8">
      <c r="A20210" t="s">
        <v>4119</v>
      </c>
      <c r="B20210">
        <f>HYPERLINK("https://android.googlesource.com/platform/cts/+/1f0a59bcff44d94eed97af80300081c2cbee1a94", "1f0a59bcff44d94eed97af80300081c2cbee1a94")</f>
        <v>0</v>
      </c>
      <c r="C20210">
        <f>HYPERLINK("https://android.googlesource.com/platform/cts/+/85ffe417e8a794c76b53d19ced86f54ab345f9d3", "85ffe417e8a794c76b53d19ced86f54ab345f9d3")</f>
        <v>0</v>
      </c>
      <c r="D20210" t="s">
        <v>5038</v>
      </c>
      <c r="E20210" t="s">
        <v>9801</v>
      </c>
      <c r="F20210" t="s">
        <v>14497</v>
      </c>
      <c r="G20210" t="s">
        <v>18425</v>
      </c>
      <c r="H20210" t="s">
        <v>37010</v>
      </c>
    </row>
    <row r="20211" spans="1:8">
      <c r="F20211" t="s">
        <v>14545</v>
      </c>
      <c r="G20211" t="s">
        <v>18468</v>
      </c>
      <c r="H20211" t="s">
        <v>37011</v>
      </c>
    </row>
    <row r="20212" spans="1:8">
      <c r="A20212" t="s">
        <v>4128</v>
      </c>
      <c r="B20212">
        <f>HYPERLINK("https://android.googlesource.com/platform/cts/+/fdc0962018be0098285695cb4b756011e904417d", "fdc0962018be0098285695cb4b756011e904417d")</f>
        <v>0</v>
      </c>
      <c r="C20212">
        <f>HYPERLINK("https://android.googlesource.com/platform/cts/+/ebda9875c3b7c5c9c4ea277c3b43e4c1d4a7b58a", "ebda9875c3b7c5c9c4ea277c3b43e4c1d4a7b58a")</f>
        <v>0</v>
      </c>
      <c r="D20212" t="s">
        <v>5663</v>
      </c>
      <c r="E20212" t="s">
        <v>9809</v>
      </c>
      <c r="F20212" t="s">
        <v>14615</v>
      </c>
      <c r="G20212" t="s">
        <v>18527</v>
      </c>
      <c r="H20212" t="s">
        <v>37016</v>
      </c>
    </row>
    <row r="20213" spans="1:8">
      <c r="F20213" t="s">
        <v>14616</v>
      </c>
      <c r="G20213" t="s">
        <v>18528</v>
      </c>
      <c r="H20213" t="s">
        <v>37016</v>
      </c>
    </row>
    <row r="20214" spans="1:8">
      <c r="A20214" t="s">
        <v>4130</v>
      </c>
      <c r="B20214">
        <f>HYPERLINK("https://android.googlesource.com/platform/cts/+/9ed23b903bd8d9b0196f5749c5a93a480f9733e0", "9ed23b903bd8d9b0196f5749c5a93a480f9733e0")</f>
        <v>0</v>
      </c>
      <c r="C20214">
        <f>HYPERLINK("https://android.googlesource.com/platform/cts/+/85ba0a083328904157d7029e5e2e6947377a94cc", "85ba0a083328904157d7029e5e2e6947377a94cc")</f>
        <v>0</v>
      </c>
      <c r="D20214" t="s">
        <v>5473</v>
      </c>
      <c r="E20214" t="s">
        <v>9811</v>
      </c>
      <c r="F20214" t="s">
        <v>14617</v>
      </c>
      <c r="G20214" t="s">
        <v>18529</v>
      </c>
      <c r="H20214" t="s">
        <v>37010</v>
      </c>
    </row>
    <row r="20215" spans="1:8">
      <c r="F20215" t="s">
        <v>14185</v>
      </c>
      <c r="G20215" t="s">
        <v>18166</v>
      </c>
      <c r="H20215" t="s">
        <v>37010</v>
      </c>
    </row>
    <row r="20216" spans="1:8">
      <c r="A20216" t="s">
        <v>4131</v>
      </c>
      <c r="B20216">
        <f>HYPERLINK("https://android.googlesource.com/platform/cts/+/06a84310f16c0aeaf323b1b2cbfb4c4e233c06ba", "06a84310f16c0aeaf323b1b2cbfb4c4e233c06ba")</f>
        <v>0</v>
      </c>
      <c r="C20216">
        <f>HYPERLINK("https://android.googlesource.com/platform/cts/+/d4b71441b44ccb6b687c1cf7b1bada503b60ad6b", "d4b71441b44ccb6b687c1cf7b1bada503b60ad6b")</f>
        <v>0</v>
      </c>
      <c r="D20216" t="s">
        <v>5409</v>
      </c>
      <c r="E20216" t="s">
        <v>9812</v>
      </c>
      <c r="F20216" t="s">
        <v>14618</v>
      </c>
      <c r="G20216" t="s">
        <v>18530</v>
      </c>
      <c r="H20216" t="s">
        <v>32598</v>
      </c>
    </row>
    <row r="20217" spans="1:8">
      <c r="H20217" t="s">
        <v>37022</v>
      </c>
    </row>
    <row r="20218" spans="1:8">
      <c r="H20218" t="s">
        <v>37023</v>
      </c>
    </row>
    <row r="20219" spans="1:8">
      <c r="H20219" t="s">
        <v>37024</v>
      </c>
    </row>
    <row r="20220" spans="1:8">
      <c r="F20220" t="s">
        <v>14619</v>
      </c>
      <c r="G20220" t="s">
        <v>18531</v>
      </c>
      <c r="H20220" t="s">
        <v>32598</v>
      </c>
    </row>
    <row r="20221" spans="1:8">
      <c r="H20221" t="s">
        <v>32599</v>
      </c>
    </row>
    <row r="20222" spans="1:8">
      <c r="H20222" t="s">
        <v>32600</v>
      </c>
    </row>
    <row r="20223" spans="1:8">
      <c r="H20223" t="s">
        <v>32601</v>
      </c>
    </row>
    <row r="20224" spans="1:8">
      <c r="A20224" t="s">
        <v>4132</v>
      </c>
      <c r="B20224">
        <f>HYPERLINK("https://android.googlesource.com/platform/cts/+/9adfa2d93b38785d0433065779cd7c4965fcc005", "9adfa2d93b38785d0433065779cd7c4965fcc005")</f>
        <v>0</v>
      </c>
      <c r="C20224">
        <f>HYPERLINK("https://android.googlesource.com/platform/cts/+/0ee905ad4b56b49066ae8e8596de2ecaa8b64072", "0ee905ad4b56b49066ae8e8596de2ecaa8b64072")</f>
        <v>0</v>
      </c>
      <c r="D20224" t="s">
        <v>5599</v>
      </c>
      <c r="E20224" t="s">
        <v>9813</v>
      </c>
      <c r="F20224" t="s">
        <v>14620</v>
      </c>
      <c r="G20224" t="s">
        <v>18532</v>
      </c>
      <c r="H20224" t="s">
        <v>37025</v>
      </c>
    </row>
    <row r="20225" spans="1:8">
      <c r="H20225" t="s">
        <v>37026</v>
      </c>
    </row>
    <row r="20226" spans="1:8">
      <c r="H20226" t="s">
        <v>37027</v>
      </c>
    </row>
    <row r="20227" spans="1:8">
      <c r="H20227" t="s">
        <v>37028</v>
      </c>
    </row>
    <row r="20228" spans="1:8">
      <c r="A20228" t="s">
        <v>4133</v>
      </c>
      <c r="B20228">
        <f>HYPERLINK("https://android.googlesource.com/platform/cts/+/7c5d2bc90886f36f7941698d2a4c766af1f07792", "7c5d2bc90886f36f7941698d2a4c766af1f07792")</f>
        <v>0</v>
      </c>
      <c r="C20228">
        <f>HYPERLINK("https://android.googlesource.com/platform/cts/+/dbedeae15ba8e966eb20bfbc5c0c0fb901567891", "dbedeae15ba8e966eb20bfbc5c0c0fb901567891")</f>
        <v>0</v>
      </c>
      <c r="D20228" t="s">
        <v>5313</v>
      </c>
      <c r="E20228" t="s">
        <v>9814</v>
      </c>
      <c r="F20228" t="s">
        <v>14165</v>
      </c>
      <c r="G20228" t="s">
        <v>17361</v>
      </c>
      <c r="H20228" t="s">
        <v>37029</v>
      </c>
    </row>
    <row r="20229" spans="1:8">
      <c r="A20229" t="s">
        <v>4134</v>
      </c>
      <c r="B20229">
        <f>HYPERLINK("https://android.googlesource.com/platform/cts/+/4ab8024b3c4dc967f3ac9c0addc917a76b19a13e", "4ab8024b3c4dc967f3ac9c0addc917a76b19a13e")</f>
        <v>0</v>
      </c>
      <c r="C20229">
        <f>HYPERLINK("https://android.googlesource.com/platform/cts/+/dbc6118981a8362b7cc671f4707a55a2f11978ec", "dbc6118981a8362b7cc671f4707a55a2f11978ec")</f>
        <v>0</v>
      </c>
      <c r="D20229" t="s">
        <v>5660</v>
      </c>
      <c r="E20229" t="s">
        <v>9815</v>
      </c>
      <c r="F20229" t="s">
        <v>13047</v>
      </c>
      <c r="G20229" t="s">
        <v>17211</v>
      </c>
      <c r="H20229" t="s">
        <v>37030</v>
      </c>
    </row>
    <row r="20230" spans="1:8">
      <c r="A20230" t="s">
        <v>4138</v>
      </c>
      <c r="B20230">
        <f>HYPERLINK("https://android.googlesource.com/platform/cts/+/17738536724f3cbe14f5f8816f12d8f4e493cdd6", "17738536724f3cbe14f5f8816f12d8f4e493cdd6")</f>
        <v>0</v>
      </c>
      <c r="C20230">
        <f>HYPERLINK("https://android.googlesource.com/platform/cts/+/4665da0fe48cbbea93d22a0988a3abdb303bc4a5", "4665da0fe48cbbea93d22a0988a3abdb303bc4a5")</f>
        <v>0</v>
      </c>
      <c r="D20230" t="s">
        <v>5313</v>
      </c>
      <c r="E20230" t="s">
        <v>9819</v>
      </c>
      <c r="F20230" t="s">
        <v>14165</v>
      </c>
      <c r="G20230" t="s">
        <v>17361</v>
      </c>
      <c r="H20230" t="s">
        <v>37042</v>
      </c>
    </row>
    <row r="20231" spans="1:8">
      <c r="A20231" t="s">
        <v>4143</v>
      </c>
      <c r="B20231">
        <f>HYPERLINK("https://android.googlesource.com/platform/cts/+/4d6b858e0f9a908d5503539d7f8093cce8272e05", "4d6b858e0f9a908d5503539d7f8093cce8272e05")</f>
        <v>0</v>
      </c>
      <c r="C20231">
        <f>HYPERLINK("https://android.googlesource.com/platform/cts/+/785f64789bf862a64d0ccab46a79e809e7ea5515", "785f64789bf862a64d0ccab46a79e809e7ea5515")</f>
        <v>0</v>
      </c>
      <c r="D20231" t="s">
        <v>5455</v>
      </c>
      <c r="E20231" t="s">
        <v>9822</v>
      </c>
      <c r="F20231" t="s">
        <v>14621</v>
      </c>
      <c r="G20231" t="s">
        <v>18534</v>
      </c>
      <c r="H20231" t="s">
        <v>37071</v>
      </c>
    </row>
    <row r="20232" spans="1:8">
      <c r="A20232" t="s">
        <v>4148</v>
      </c>
      <c r="B20232">
        <f>HYPERLINK("https://android.googlesource.com/platform/cts/+/5675d5b40e6688b093a2d05afb5daab2a28a388e", "5675d5b40e6688b093a2d05afb5daab2a28a388e")</f>
        <v>0</v>
      </c>
      <c r="C20232">
        <f>HYPERLINK("https://android.googlesource.com/platform/cts/+/27cdd58435b1aaf80186e02dd280d4a373644916", "27cdd58435b1aaf80186e02dd280d4a373644916")</f>
        <v>0</v>
      </c>
      <c r="D20232" t="s">
        <v>5409</v>
      </c>
      <c r="E20232" t="s">
        <v>9827</v>
      </c>
      <c r="F20232" t="s">
        <v>14622</v>
      </c>
      <c r="G20232" t="s">
        <v>16942</v>
      </c>
      <c r="H20232" t="s">
        <v>37073</v>
      </c>
    </row>
    <row r="20233" spans="1:8">
      <c r="H20233" t="s">
        <v>37074</v>
      </c>
    </row>
    <row r="20234" spans="1:8">
      <c r="F20234" t="s">
        <v>14623</v>
      </c>
      <c r="G20234" t="s">
        <v>18359</v>
      </c>
      <c r="H20234" t="s">
        <v>37076</v>
      </c>
    </row>
    <row r="20235" spans="1:8">
      <c r="A20235" t="s">
        <v>4151</v>
      </c>
      <c r="B20235">
        <f>HYPERLINK("https://android.googlesource.com/platform/cts/+/b68a484e6fa0b7992809ba583a0f5fe915c3b557", "b68a484e6fa0b7992809ba583a0f5fe915c3b557")</f>
        <v>0</v>
      </c>
      <c r="C20235">
        <f>HYPERLINK("https://android.googlesource.com/platform/cts/+/226041e349bd8b9bc6fd64e14ae1df7eeee8dff3", "226041e349bd8b9bc6fd64e14ae1df7eeee8dff3")</f>
        <v>0</v>
      </c>
      <c r="D20235" t="s">
        <v>5288</v>
      </c>
      <c r="E20235" t="s">
        <v>9830</v>
      </c>
      <c r="F20235" t="s">
        <v>12743</v>
      </c>
      <c r="G20235" t="s">
        <v>16935</v>
      </c>
      <c r="H20235" t="s">
        <v>37090</v>
      </c>
    </row>
    <row r="20236" spans="1:8">
      <c r="A20236" t="s">
        <v>4153</v>
      </c>
      <c r="B20236">
        <f>HYPERLINK("https://android.googlesource.com/platform/cts/+/cf99bde7f7c31557d5d769480cbc6b6a66613918", "cf99bde7f7c31557d5d769480cbc6b6a66613918")</f>
        <v>0</v>
      </c>
      <c r="C20236">
        <f>HYPERLINK("https://android.googlesource.com/platform/cts/+/48ce4d71dec5b37a874ddbdf7a7301dc60ebc810", "48ce4d71dec5b37a874ddbdf7a7301dc60ebc810")</f>
        <v>0</v>
      </c>
      <c r="D20236" t="s">
        <v>5307</v>
      </c>
      <c r="E20236" t="s">
        <v>9832</v>
      </c>
      <c r="F20236" t="s">
        <v>14531</v>
      </c>
      <c r="G20236" t="s">
        <v>18455</v>
      </c>
      <c r="H20236" t="s">
        <v>37092</v>
      </c>
    </row>
    <row r="20237" spans="1:8">
      <c r="A20237" t="s">
        <v>4154</v>
      </c>
      <c r="B20237">
        <f>HYPERLINK("https://android.googlesource.com/platform/cts/+/b7ba487215c7fd96fae16253a2f8beb76d7aa46b", "b7ba487215c7fd96fae16253a2f8beb76d7aa46b")</f>
        <v>0</v>
      </c>
      <c r="C20237">
        <f>HYPERLINK("https://android.googlesource.com/platform/cts/+/13fc085cb3a8641213a0a78511522bd864e3a4de", "13fc085cb3a8641213a0a78511522bd864e3a4de")</f>
        <v>0</v>
      </c>
      <c r="D20237" t="s">
        <v>5473</v>
      </c>
      <c r="E20237" t="s">
        <v>9833</v>
      </c>
      <c r="F20237" t="s">
        <v>10778</v>
      </c>
      <c r="G20237" t="s">
        <v>15174</v>
      </c>
      <c r="H20237" t="s">
        <v>32011</v>
      </c>
    </row>
    <row r="20238" spans="1:8">
      <c r="A20238" t="s">
        <v>4156</v>
      </c>
      <c r="B20238">
        <f>HYPERLINK("https://android.googlesource.com/platform/cts/+/f8b0e6ddd4a7e14ac23511da768d5930b868d6ba", "f8b0e6ddd4a7e14ac23511da768d5930b868d6ba")</f>
        <v>0</v>
      </c>
      <c r="C20238">
        <f>HYPERLINK("https://android.googlesource.com/platform/cts/+/1712c1bf1df20f4d3bed44ef98c2c69cbb56471e", "1712c1bf1df20f4d3bed44ef98c2c69cbb56471e")</f>
        <v>0</v>
      </c>
      <c r="D20238" t="s">
        <v>5265</v>
      </c>
      <c r="E20238" t="s">
        <v>9835</v>
      </c>
      <c r="F20238" t="s">
        <v>14626</v>
      </c>
      <c r="G20238" t="s">
        <v>18537</v>
      </c>
      <c r="H20238" t="s">
        <v>37096</v>
      </c>
    </row>
    <row r="20239" spans="1:8">
      <c r="H20239" t="s">
        <v>37097</v>
      </c>
    </row>
    <row r="20240" spans="1:8">
      <c r="A20240" t="s">
        <v>4157</v>
      </c>
      <c r="B20240">
        <f>HYPERLINK("https://android.googlesource.com/platform/cts/+/07f3063588719ff79a300753401b2f4a2b6e5b96", "07f3063588719ff79a300753401b2f4a2b6e5b96")</f>
        <v>0</v>
      </c>
      <c r="C20240">
        <f>HYPERLINK("https://android.googlesource.com/platform/cts/+/43fa93bdf1f6e22bf9dcaeca2a14b185f32a8c3a", "43fa93bdf1f6e22bf9dcaeca2a14b185f32a8c3a")</f>
        <v>0</v>
      </c>
      <c r="D20240" t="s">
        <v>5642</v>
      </c>
      <c r="E20240" t="s">
        <v>9836</v>
      </c>
      <c r="F20240" t="s">
        <v>14627</v>
      </c>
      <c r="G20240" t="s">
        <v>18538</v>
      </c>
      <c r="H20240" t="s">
        <v>37098</v>
      </c>
    </row>
    <row r="20241" spans="1:8">
      <c r="A20241" t="s">
        <v>4158</v>
      </c>
      <c r="B20241">
        <f>HYPERLINK("https://android.googlesource.com/platform/cts/+/69c74c5a51133f5d4bbc8e78b9447cc1eff5b816", "69c74c5a51133f5d4bbc8e78b9447cc1eff5b816")</f>
        <v>0</v>
      </c>
      <c r="C20241">
        <f>HYPERLINK("https://android.googlesource.com/platform/cts/+/8218922559bcb2b1e57f10d614cee4ea187fb511", "8218922559bcb2b1e57f10d614cee4ea187fb511")</f>
        <v>0</v>
      </c>
      <c r="D20241" t="s">
        <v>5570</v>
      </c>
      <c r="E20241" t="s">
        <v>9837</v>
      </c>
      <c r="F20241" t="s">
        <v>14628</v>
      </c>
      <c r="G20241" t="s">
        <v>18539</v>
      </c>
      <c r="H20241" t="s">
        <v>37099</v>
      </c>
    </row>
    <row r="20242" spans="1:8">
      <c r="H20242" t="s">
        <v>37100</v>
      </c>
    </row>
    <row r="20243" spans="1:8">
      <c r="H20243" t="s">
        <v>37101</v>
      </c>
    </row>
    <row r="20244" spans="1:8">
      <c r="H20244" t="s">
        <v>37102</v>
      </c>
    </row>
    <row r="20245" spans="1:8">
      <c r="H20245" t="s">
        <v>37103</v>
      </c>
    </row>
    <row r="20246" spans="1:8">
      <c r="H20246" t="s">
        <v>37104</v>
      </c>
    </row>
    <row r="20247" spans="1:8">
      <c r="H20247" t="s">
        <v>37105</v>
      </c>
    </row>
    <row r="20248" spans="1:8">
      <c r="H20248" t="s">
        <v>37106</v>
      </c>
    </row>
    <row r="20249" spans="1:8">
      <c r="H20249" t="s">
        <v>37107</v>
      </c>
    </row>
    <row r="20250" spans="1:8">
      <c r="H20250" t="s">
        <v>37108</v>
      </c>
    </row>
    <row r="20251" spans="1:8">
      <c r="H20251" t="s">
        <v>37109</v>
      </c>
    </row>
    <row r="20252" spans="1:8">
      <c r="A20252" t="s">
        <v>4160</v>
      </c>
      <c r="B20252">
        <f>HYPERLINK("https://android.googlesource.com/platform/cts/+/aafedb0bd34b07854d8a84e9a3d35478cbf920f9", "aafedb0bd34b07854d8a84e9a3d35478cbf920f9")</f>
        <v>0</v>
      </c>
      <c r="C20252">
        <f>HYPERLINK("https://android.googlesource.com/platform/cts/+/0be33f80cc418d8ae84d136c44a5d4146f03d7d8", "0be33f80cc418d8ae84d136c44a5d4146f03d7d8")</f>
        <v>0</v>
      </c>
      <c r="D20252" t="s">
        <v>5258</v>
      </c>
      <c r="E20252" t="s">
        <v>9839</v>
      </c>
      <c r="F20252" t="s">
        <v>14080</v>
      </c>
      <c r="G20252" t="s">
        <v>18077</v>
      </c>
      <c r="H20252" t="s">
        <v>37111</v>
      </c>
    </row>
    <row r="20253" spans="1:8">
      <c r="H20253" t="s">
        <v>37112</v>
      </c>
    </row>
    <row r="20254" spans="1:8">
      <c r="F20254" t="s">
        <v>12185</v>
      </c>
      <c r="G20254" t="s">
        <v>16424</v>
      </c>
      <c r="H20254" t="s">
        <v>37129</v>
      </c>
    </row>
    <row r="20255" spans="1:8">
      <c r="H20255" t="s">
        <v>37130</v>
      </c>
    </row>
    <row r="20256" spans="1:8">
      <c r="F20256" t="s">
        <v>14230</v>
      </c>
      <c r="G20256" t="s">
        <v>18202</v>
      </c>
      <c r="H20256" t="s">
        <v>37131</v>
      </c>
    </row>
    <row r="20257" spans="1:8">
      <c r="A20257" t="s">
        <v>4161</v>
      </c>
      <c r="B20257">
        <f>HYPERLINK("https://android.googlesource.com/platform/cts/+/1437ae85303879984e2a258f06426f71adf5be65", "1437ae85303879984e2a258f06426f71adf5be65")</f>
        <v>0</v>
      </c>
      <c r="C20257">
        <f>HYPERLINK("https://android.googlesource.com/platform/cts/+/1d6e7f8245a145cc885cb829cedce204ebc066e3", "1d6e7f8245a145cc885cb829cedce204ebc066e3")</f>
        <v>0</v>
      </c>
      <c r="D20257" t="s">
        <v>5569</v>
      </c>
      <c r="E20257" t="s">
        <v>9840</v>
      </c>
      <c r="F20257" t="s">
        <v>14446</v>
      </c>
      <c r="G20257" t="s">
        <v>18381</v>
      </c>
      <c r="H20257" t="s">
        <v>37132</v>
      </c>
    </row>
    <row r="20258" spans="1:8">
      <c r="H20258" t="s">
        <v>37133</v>
      </c>
    </row>
    <row r="20259" spans="1:8">
      <c r="F20259" t="s">
        <v>14414</v>
      </c>
      <c r="G20259" t="s">
        <v>18352</v>
      </c>
      <c r="H20259" t="s">
        <v>37132</v>
      </c>
    </row>
    <row r="20260" spans="1:8">
      <c r="H20260" t="s">
        <v>37133</v>
      </c>
    </row>
    <row r="20261" spans="1:8">
      <c r="A20261" t="s">
        <v>4162</v>
      </c>
      <c r="B20261">
        <f>HYPERLINK("https://android.googlesource.com/platform/cts/+/ec2e9aaa0957ec773c2d37008ba2af98313d4d58", "ec2e9aaa0957ec773c2d37008ba2af98313d4d58")</f>
        <v>0</v>
      </c>
      <c r="C20261">
        <f>HYPERLINK("https://android.googlesource.com/platform/cts/+/5cd84dbaef140091606678509c7824d6734012b8", "5cd84dbaef140091606678509c7824d6734012b8")</f>
        <v>0</v>
      </c>
      <c r="D20261" t="s">
        <v>5363</v>
      </c>
      <c r="E20261" t="s">
        <v>9841</v>
      </c>
      <c r="F20261" t="s">
        <v>14631</v>
      </c>
      <c r="G20261" t="s">
        <v>17876</v>
      </c>
      <c r="H20261" t="s">
        <v>18836</v>
      </c>
    </row>
    <row r="20262" spans="1:8">
      <c r="H20262" t="s">
        <v>19013</v>
      </c>
    </row>
    <row r="20263" spans="1:8">
      <c r="H20263" t="s">
        <v>37134</v>
      </c>
    </row>
    <row r="20264" spans="1:8">
      <c r="H20264" t="s">
        <v>37135</v>
      </c>
    </row>
    <row r="20265" spans="1:8">
      <c r="H20265" t="s">
        <v>37136</v>
      </c>
    </row>
    <row r="20266" spans="1:8">
      <c r="H20266" t="s">
        <v>37137</v>
      </c>
    </row>
    <row r="20267" spans="1:8">
      <c r="H20267" t="s">
        <v>37138</v>
      </c>
    </row>
    <row r="20268" spans="1:8">
      <c r="H20268" t="s">
        <v>37139</v>
      </c>
    </row>
    <row r="20269" spans="1:8">
      <c r="H20269" t="s">
        <v>37140</v>
      </c>
    </row>
    <row r="20270" spans="1:8">
      <c r="H20270" t="s">
        <v>37141</v>
      </c>
    </row>
    <row r="20271" spans="1:8">
      <c r="H20271" t="s">
        <v>37142</v>
      </c>
    </row>
    <row r="20272" spans="1:8">
      <c r="H20272" t="s">
        <v>37143</v>
      </c>
    </row>
    <row r="20273" spans="1:8">
      <c r="H20273" t="s">
        <v>37144</v>
      </c>
    </row>
    <row r="20274" spans="1:8">
      <c r="H20274" t="s">
        <v>37145</v>
      </c>
    </row>
    <row r="20275" spans="1:8">
      <c r="H20275" t="s">
        <v>37146</v>
      </c>
    </row>
    <row r="20276" spans="1:8">
      <c r="H20276" t="s">
        <v>31753</v>
      </c>
    </row>
    <row r="20277" spans="1:8">
      <c r="H20277" t="s">
        <v>37147</v>
      </c>
    </row>
    <row r="20278" spans="1:8">
      <c r="H20278" t="s">
        <v>19010</v>
      </c>
    </row>
    <row r="20279" spans="1:8">
      <c r="H20279" t="s">
        <v>18835</v>
      </c>
    </row>
    <row r="20280" spans="1:8">
      <c r="A20280" t="s">
        <v>4164</v>
      </c>
      <c r="B20280">
        <f>HYPERLINK("https://android.googlesource.com/platform/cts/+/5d39eece835c7b3f8afa474807b88b2ce0c86136", "5d39eece835c7b3f8afa474807b88b2ce0c86136")</f>
        <v>0</v>
      </c>
      <c r="C20280">
        <f>HYPERLINK("https://android.googlesource.com/platform/cts/+/01b5ce4de9ac67a8770f125e3b4f3fc601e090fa", "01b5ce4de9ac67a8770f125e3b4f3fc601e090fa")</f>
        <v>0</v>
      </c>
      <c r="D20280" t="s">
        <v>5460</v>
      </c>
      <c r="E20280" t="s">
        <v>9843</v>
      </c>
      <c r="F20280" t="s">
        <v>14362</v>
      </c>
      <c r="G20280" t="s">
        <v>18309</v>
      </c>
      <c r="H20280" t="s">
        <v>37152</v>
      </c>
    </row>
    <row r="20281" spans="1:8">
      <c r="H20281" t="s">
        <v>37153</v>
      </c>
    </row>
    <row r="20282" spans="1:8">
      <c r="A20282" t="s">
        <v>4165</v>
      </c>
      <c r="B20282">
        <f>HYPERLINK("https://android.googlesource.com/platform/cts/+/7eba48a7093a8e595cda21377d44f9419ee8815c", "7eba48a7093a8e595cda21377d44f9419ee8815c")</f>
        <v>0</v>
      </c>
      <c r="C20282">
        <f>HYPERLINK("https://android.googlesource.com/platform/cts/+/d2b6a605234e16ccf321e892d3dd961c3c546488", "d2b6a605234e16ccf321e892d3dd961c3c546488")</f>
        <v>0</v>
      </c>
      <c r="D20282" t="s">
        <v>5438</v>
      </c>
      <c r="E20282" t="s">
        <v>9844</v>
      </c>
      <c r="F20282" t="s">
        <v>14399</v>
      </c>
      <c r="G20282" t="s">
        <v>18042</v>
      </c>
      <c r="H20282" t="s">
        <v>37155</v>
      </c>
    </row>
    <row r="20283" spans="1:8">
      <c r="A20283" t="s">
        <v>4167</v>
      </c>
      <c r="B20283">
        <f>HYPERLINK("https://android.googlesource.com/platform/cts/+/3d2df9c448bea6fd762f047d9e86a5e32d2ee1c6", "3d2df9c448bea6fd762f047d9e86a5e32d2ee1c6")</f>
        <v>0</v>
      </c>
      <c r="C20283">
        <f>HYPERLINK("https://android.googlesource.com/platform/cts/+/0a911208cd0d0d1c6539d2fbcbe4bedea63a32e9", "0a911208cd0d0d1c6539d2fbcbe4bedea63a32e9")</f>
        <v>0</v>
      </c>
      <c r="D20283" t="s">
        <v>5160</v>
      </c>
      <c r="E20283" t="s">
        <v>9845</v>
      </c>
      <c r="F20283" t="s">
        <v>14632</v>
      </c>
      <c r="G20283" t="s">
        <v>18542</v>
      </c>
      <c r="H20283" t="s">
        <v>37156</v>
      </c>
    </row>
    <row r="20284" spans="1:8">
      <c r="A20284" t="s">
        <v>4170</v>
      </c>
      <c r="B20284">
        <f>HYPERLINK("https://android.googlesource.com/platform/cts/+/a56685ab1011ac99d472adb3a09e2e44673b4541", "a56685ab1011ac99d472adb3a09e2e44673b4541")</f>
        <v>0</v>
      </c>
      <c r="C20284">
        <f>HYPERLINK("https://android.googlesource.com/platform/cts/+/b20f83c51ed2d026c3da66669d398987e63bd305", "b20f83c51ed2d026c3da66669d398987e63bd305")</f>
        <v>0</v>
      </c>
      <c r="D20284" t="s">
        <v>5575</v>
      </c>
      <c r="E20284" t="s">
        <v>9848</v>
      </c>
      <c r="F20284" t="s">
        <v>14613</v>
      </c>
      <c r="G20284" t="s">
        <v>18453</v>
      </c>
      <c r="H20284" t="s">
        <v>36440</v>
      </c>
    </row>
    <row r="20285" spans="1:8">
      <c r="A20285" t="s">
        <v>4173</v>
      </c>
      <c r="B20285">
        <f>HYPERLINK("https://android.googlesource.com/platform/cts/+/58456bfeea410d2dcc44e9bdf96e0645b54d35fc", "58456bfeea410d2dcc44e9bdf96e0645b54d35fc")</f>
        <v>0</v>
      </c>
      <c r="C20285">
        <f>HYPERLINK("https://android.googlesource.com/platform/cts/+/5cd870fa497e364429757b1cc14fdc8f288ed83d", "5cd870fa497e364429757b1cc14fdc8f288ed83d")</f>
        <v>0</v>
      </c>
      <c r="D20285" t="s">
        <v>5353</v>
      </c>
      <c r="E20285" t="s">
        <v>9851</v>
      </c>
      <c r="F20285" t="s">
        <v>14633</v>
      </c>
      <c r="G20285" t="s">
        <v>18543</v>
      </c>
      <c r="H20285" t="s">
        <v>33071</v>
      </c>
    </row>
    <row r="20286" spans="1:8">
      <c r="A20286" t="s">
        <v>4176</v>
      </c>
      <c r="B20286">
        <f>HYPERLINK("https://android.googlesource.com/platform/cts/+/6c7a7c6f6199628b1d95b8789fb234bf4b1b319d", "6c7a7c6f6199628b1d95b8789fb234bf4b1b319d")</f>
        <v>0</v>
      </c>
      <c r="C20286">
        <f>HYPERLINK("https://android.googlesource.com/platform/cts/+/692d84644c93c20ba17cf97461fc13195bc4cfd9", "692d84644c93c20ba17cf97461fc13195bc4cfd9")</f>
        <v>0</v>
      </c>
      <c r="D20286" t="s">
        <v>5288</v>
      </c>
      <c r="E20286" t="s">
        <v>9854</v>
      </c>
      <c r="F20286" t="s">
        <v>12629</v>
      </c>
      <c r="G20286" t="s">
        <v>16838</v>
      </c>
      <c r="H20286" t="s">
        <v>37171</v>
      </c>
    </row>
    <row r="20287" spans="1:8">
      <c r="F20287" t="s">
        <v>12768</v>
      </c>
      <c r="G20287" t="s">
        <v>15710</v>
      </c>
      <c r="H20287" t="s">
        <v>37172</v>
      </c>
    </row>
    <row r="20288" spans="1:8">
      <c r="A20288" t="s">
        <v>4178</v>
      </c>
      <c r="B20288">
        <f>HYPERLINK("https://android.googlesource.com/platform/cts/+/34b6954075b3d1f4486f031ad82bbb9972638903", "34b6954075b3d1f4486f031ad82bbb9972638903")</f>
        <v>0</v>
      </c>
      <c r="C20288">
        <f>HYPERLINK("https://android.googlesource.com/platform/cts/+/9a84d939ebc0533f9ee1ef49d164382e3408566f", "9a84d939ebc0533f9ee1ef49d164382e3408566f")</f>
        <v>0</v>
      </c>
      <c r="D20288" t="s">
        <v>5649</v>
      </c>
      <c r="E20288" t="s">
        <v>9856</v>
      </c>
      <c r="F20288" t="s">
        <v>12629</v>
      </c>
      <c r="G20288" t="s">
        <v>16838</v>
      </c>
      <c r="H20288" t="s">
        <v>37175</v>
      </c>
    </row>
    <row r="20289" spans="1:8">
      <c r="H20289" t="s">
        <v>37176</v>
      </c>
    </row>
    <row r="20290" spans="1:8">
      <c r="A20290" t="s">
        <v>4179</v>
      </c>
      <c r="B20290">
        <f>HYPERLINK("https://android.googlesource.com/platform/cts/+/333d93e6992584bc81f43c4ce1dcb338244abdff", "333d93e6992584bc81f43c4ce1dcb338244abdff")</f>
        <v>0</v>
      </c>
      <c r="C20290">
        <f>HYPERLINK("https://android.googlesource.com/platform/cts/+/692d84644c93c20ba17cf97461fc13195bc4cfd9", "692d84644c93c20ba17cf97461fc13195bc4cfd9")</f>
        <v>0</v>
      </c>
      <c r="D20290" t="s">
        <v>5189</v>
      </c>
      <c r="E20290" t="s">
        <v>9857</v>
      </c>
      <c r="F20290" t="s">
        <v>14636</v>
      </c>
      <c r="G20290" t="s">
        <v>18546</v>
      </c>
      <c r="H20290" t="s">
        <v>37177</v>
      </c>
    </row>
    <row r="20291" spans="1:8">
      <c r="F20291" t="s">
        <v>14249</v>
      </c>
      <c r="G20291" t="s">
        <v>18214</v>
      </c>
      <c r="H20291" t="s">
        <v>37178</v>
      </c>
    </row>
    <row r="20292" spans="1:8">
      <c r="A20292" t="s">
        <v>4180</v>
      </c>
      <c r="B20292">
        <f>HYPERLINK("https://android.googlesource.com/platform/cts/+/bb0aa86013029d702e36ca359368fc22d0902a35", "bb0aa86013029d702e36ca359368fc22d0902a35")</f>
        <v>0</v>
      </c>
      <c r="C20292">
        <f>HYPERLINK("https://android.googlesource.com/platform/cts/+/132bc0d31ab56ca63a9fba2049885396bcb3e25e", "132bc0d31ab56ca63a9fba2049885396bcb3e25e")</f>
        <v>0</v>
      </c>
      <c r="D20292" t="s">
        <v>5472</v>
      </c>
      <c r="E20292" t="s">
        <v>9858</v>
      </c>
      <c r="F20292" t="s">
        <v>12743</v>
      </c>
      <c r="G20292" t="s">
        <v>16935</v>
      </c>
      <c r="H20292" t="s">
        <v>29575</v>
      </c>
    </row>
    <row r="20293" spans="1:8">
      <c r="F20293" t="s">
        <v>13229</v>
      </c>
      <c r="G20293" t="s">
        <v>17370</v>
      </c>
      <c r="H20293" t="s">
        <v>29575</v>
      </c>
    </row>
    <row r="20294" spans="1:8">
      <c r="F20294" t="s">
        <v>13136</v>
      </c>
      <c r="G20294" t="s">
        <v>17293</v>
      </c>
      <c r="H20294" t="s">
        <v>29575</v>
      </c>
    </row>
    <row r="20295" spans="1:8">
      <c r="A20295" t="s">
        <v>4181</v>
      </c>
      <c r="B20295">
        <f>HYPERLINK("https://android.googlesource.com/platform/cts/+/a63c7ddc934b566430c6054099aae0abaf8f47fb", "a63c7ddc934b566430c6054099aae0abaf8f47fb")</f>
        <v>0</v>
      </c>
      <c r="C20295">
        <f>HYPERLINK("https://android.googlesource.com/platform/cts/+/724a9cf12daf83c43f17a8a1a1b4ce65113adf58", "724a9cf12daf83c43f17a8a1a1b4ce65113adf58")</f>
        <v>0</v>
      </c>
      <c r="D20295" t="s">
        <v>5472</v>
      </c>
      <c r="E20295" t="s">
        <v>9859</v>
      </c>
      <c r="F20295" t="s">
        <v>12629</v>
      </c>
      <c r="G20295" t="s">
        <v>16838</v>
      </c>
      <c r="H20295" t="s">
        <v>37187</v>
      </c>
    </row>
    <row r="20296" spans="1:8">
      <c r="A20296" t="s">
        <v>4183</v>
      </c>
      <c r="B20296">
        <f>HYPERLINK("https://android.googlesource.com/platform/cts/+/f3e93d9f4eedff735ad6b8c576c33bf858528d10", "f3e93d9f4eedff735ad6b8c576c33bf858528d10")</f>
        <v>0</v>
      </c>
      <c r="C20296">
        <f>HYPERLINK("https://android.googlesource.com/platform/cts/+/b078cd136995ee5288808165a590fd60979c46a2", "b078cd136995ee5288808165a590fd60979c46a2")</f>
        <v>0</v>
      </c>
      <c r="D20296" t="s">
        <v>5649</v>
      </c>
      <c r="E20296" t="s">
        <v>9861</v>
      </c>
      <c r="F20296" t="s">
        <v>12629</v>
      </c>
      <c r="G20296" t="s">
        <v>16838</v>
      </c>
      <c r="H20296" t="s">
        <v>37188</v>
      </c>
    </row>
    <row r="20297" spans="1:8">
      <c r="H20297" t="s">
        <v>37189</v>
      </c>
    </row>
    <row r="20298" spans="1:8">
      <c r="A20298" t="s">
        <v>4185</v>
      </c>
      <c r="B20298">
        <f>HYPERLINK("https://android.googlesource.com/platform/cts/+/d7e31245820ee86f49afa885098d7ab422201a1f", "d7e31245820ee86f49afa885098d7ab422201a1f")</f>
        <v>0</v>
      </c>
      <c r="C20298">
        <f>HYPERLINK("https://android.googlesource.com/platform/cts/+/692d84644c93c20ba17cf97461fc13195bc4cfd9", "692d84644c93c20ba17cf97461fc13195bc4cfd9")</f>
        <v>0</v>
      </c>
      <c r="D20298" t="s">
        <v>5663</v>
      </c>
      <c r="E20298" t="s">
        <v>9863</v>
      </c>
      <c r="F20298" t="s">
        <v>12743</v>
      </c>
      <c r="G20298" t="s">
        <v>16935</v>
      </c>
      <c r="H20298" t="s">
        <v>25800</v>
      </c>
    </row>
    <row r="20299" spans="1:8">
      <c r="F20299" t="s">
        <v>13136</v>
      </c>
      <c r="G20299" t="s">
        <v>17293</v>
      </c>
      <c r="H20299" t="s">
        <v>26248</v>
      </c>
    </row>
    <row r="20300" spans="1:8">
      <c r="A20300" t="s">
        <v>4186</v>
      </c>
      <c r="B20300">
        <f>HYPERLINK("https://android.googlesource.com/platform/cts/+/4e07b5c3f7685350445cdfb00ae282b3f21839af", "4e07b5c3f7685350445cdfb00ae282b3f21839af")</f>
        <v>0</v>
      </c>
      <c r="C20300">
        <f>HYPERLINK("https://android.googlesource.com/platform/cts/+/ccb3ed48d3083d615f4d1ec1d9a5771a0e45bf84", "ccb3ed48d3083d615f4d1ec1d9a5771a0e45bf84")</f>
        <v>0</v>
      </c>
      <c r="D20300" t="s">
        <v>5108</v>
      </c>
      <c r="E20300" t="s">
        <v>9864</v>
      </c>
      <c r="F20300" t="s">
        <v>12743</v>
      </c>
      <c r="G20300" t="s">
        <v>16935</v>
      </c>
      <c r="H20300" t="s">
        <v>37191</v>
      </c>
    </row>
    <row r="20301" spans="1:8">
      <c r="H20301" t="s">
        <v>37192</v>
      </c>
    </row>
    <row r="20302" spans="1:8">
      <c r="H20302" t="s">
        <v>37193</v>
      </c>
    </row>
    <row r="20303" spans="1:8">
      <c r="F20303" t="s">
        <v>14637</v>
      </c>
      <c r="G20303" t="s">
        <v>18547</v>
      </c>
      <c r="H20303" t="s">
        <v>37194</v>
      </c>
    </row>
    <row r="20304" spans="1:8">
      <c r="H20304" t="s">
        <v>37195</v>
      </c>
    </row>
    <row r="20305" spans="1:8">
      <c r="H20305" t="s">
        <v>37196</v>
      </c>
    </row>
    <row r="20306" spans="1:8">
      <c r="A20306" t="s">
        <v>4188</v>
      </c>
      <c r="B20306">
        <f>HYPERLINK("https://android.googlesource.com/platform/cts/+/a3570f7505395d5be9f9b4177396ff4118614026", "a3570f7505395d5be9f9b4177396ff4118614026")</f>
        <v>0</v>
      </c>
      <c r="C20306">
        <f>HYPERLINK("https://android.googlesource.com/platform/cts/+/6c7a7c6f6199628b1d95b8789fb234bf4b1b319d", "6c7a7c6f6199628b1d95b8789fb234bf4b1b319d")</f>
        <v>0</v>
      </c>
      <c r="D20306" t="s">
        <v>5288</v>
      </c>
      <c r="E20306" t="s">
        <v>9866</v>
      </c>
      <c r="F20306" t="s">
        <v>14638</v>
      </c>
      <c r="G20306" t="s">
        <v>17583</v>
      </c>
      <c r="H20306" t="s">
        <v>26176</v>
      </c>
    </row>
    <row r="20307" spans="1:8">
      <c r="H20307" t="s">
        <v>29900</v>
      </c>
    </row>
    <row r="20308" spans="1:8">
      <c r="H20308" t="s">
        <v>37197</v>
      </c>
    </row>
    <row r="20309" spans="1:8">
      <c r="H20309" t="s">
        <v>37198</v>
      </c>
    </row>
    <row r="20310" spans="1:8">
      <c r="F20310" t="s">
        <v>12743</v>
      </c>
      <c r="G20310" t="s">
        <v>16935</v>
      </c>
      <c r="H20310" t="s">
        <v>37199</v>
      </c>
    </row>
    <row r="20311" spans="1:8">
      <c r="A20311" t="s">
        <v>4190</v>
      </c>
      <c r="B20311">
        <f>HYPERLINK("https://android.googlesource.com/platform/cts/+/5bdafc5dd23e9793aaed1a56d1806eb0205408a3", "5bdafc5dd23e9793aaed1a56d1806eb0205408a3")</f>
        <v>0</v>
      </c>
      <c r="C20311">
        <f>HYPERLINK("https://android.googlesource.com/platform/cts/+/ee6f4d3e44916542555311681c6716c8d1887550", "ee6f4d3e44916542555311681c6716c8d1887550")</f>
        <v>0</v>
      </c>
      <c r="D20311" t="s">
        <v>5649</v>
      </c>
      <c r="E20311" t="s">
        <v>9868</v>
      </c>
      <c r="F20311" t="s">
        <v>12768</v>
      </c>
      <c r="G20311" t="s">
        <v>15710</v>
      </c>
      <c r="H20311" t="s">
        <v>37200</v>
      </c>
    </row>
    <row r="20312" spans="1:8">
      <c r="H20312" t="s">
        <v>37201</v>
      </c>
    </row>
    <row r="20313" spans="1:8">
      <c r="A20313" t="s">
        <v>4192</v>
      </c>
      <c r="B20313">
        <f>HYPERLINK("https://android.googlesource.com/platform/cts/+/e99f8553bce8be74bd22516725ebb72c379e6c65", "e99f8553bce8be74bd22516725ebb72c379e6c65")</f>
        <v>0</v>
      </c>
      <c r="C20313">
        <f>HYPERLINK("https://android.googlesource.com/platform/cts/+/369712cd45cb8e0ef971df3e8a6fe352aefe5365", "369712cd45cb8e0ef971df3e8a6fe352aefe5365")</f>
        <v>0</v>
      </c>
      <c r="D20313" t="s">
        <v>5189</v>
      </c>
      <c r="E20313" t="s">
        <v>9870</v>
      </c>
      <c r="F20313" t="s">
        <v>14636</v>
      </c>
      <c r="G20313" t="s">
        <v>18546</v>
      </c>
      <c r="H20313" t="s">
        <v>19759</v>
      </c>
    </row>
    <row r="20314" spans="1:8">
      <c r="H20314" t="s">
        <v>37202</v>
      </c>
    </row>
    <row r="20315" spans="1:8">
      <c r="H20315" t="s">
        <v>37203</v>
      </c>
    </row>
    <row r="20316" spans="1:8">
      <c r="H20316" t="s">
        <v>37204</v>
      </c>
    </row>
    <row r="20317" spans="1:8">
      <c r="H20317" t="s">
        <v>37205</v>
      </c>
    </row>
    <row r="20318" spans="1:8">
      <c r="F20318" t="s">
        <v>14249</v>
      </c>
      <c r="G20318" t="s">
        <v>18214</v>
      </c>
      <c r="H20318" t="s">
        <v>32582</v>
      </c>
    </row>
    <row r="20319" spans="1:8">
      <c r="A20319" t="s">
        <v>4209</v>
      </c>
      <c r="B20319">
        <f>HYPERLINK("https://android.googlesource.com/platform/cts/+/d72f1a1a6f977a7e05fc96e24b4ecc6029e735f2", "d72f1a1a6f977a7e05fc96e24b4ecc6029e735f2")</f>
        <v>0</v>
      </c>
      <c r="C20319">
        <f>HYPERLINK("https://android.googlesource.com/platform/cts/+/9b7670cda1ca55700ecc1295d6b4a111594aeb56", "9b7670cda1ca55700ecc1295d6b4a111594aeb56")</f>
        <v>0</v>
      </c>
      <c r="D20319" t="s">
        <v>5396</v>
      </c>
      <c r="E20319" t="s">
        <v>9887</v>
      </c>
      <c r="F20319" t="s">
        <v>14051</v>
      </c>
      <c r="G20319" t="s">
        <v>18050</v>
      </c>
      <c r="H20319" t="s">
        <v>37211</v>
      </c>
    </row>
    <row r="20320" spans="1:8">
      <c r="H20320" t="s">
        <v>37212</v>
      </c>
    </row>
    <row r="20321" spans="1:8">
      <c r="H20321" t="s">
        <v>37213</v>
      </c>
    </row>
    <row r="20322" spans="1:8">
      <c r="H20322" t="s">
        <v>37214</v>
      </c>
    </row>
    <row r="20323" spans="1:8">
      <c r="H20323" t="s">
        <v>37215</v>
      </c>
    </row>
    <row r="20324" spans="1:8">
      <c r="H20324" t="s">
        <v>37216</v>
      </c>
    </row>
    <row r="20325" spans="1:8">
      <c r="H20325" t="s">
        <v>37217</v>
      </c>
    </row>
    <row r="20326" spans="1:8">
      <c r="H20326" t="s">
        <v>37219</v>
      </c>
    </row>
    <row r="20327" spans="1:8">
      <c r="H20327" t="s">
        <v>37220</v>
      </c>
    </row>
    <row r="20328" spans="1:8">
      <c r="F20328" t="s">
        <v>14640</v>
      </c>
      <c r="G20328" t="s">
        <v>18086</v>
      </c>
      <c r="H20328" t="s">
        <v>33378</v>
      </c>
    </row>
    <row r="20329" spans="1:8">
      <c r="H20329" t="s">
        <v>33379</v>
      </c>
    </row>
    <row r="20330" spans="1:8">
      <c r="H20330" t="s">
        <v>37226</v>
      </c>
    </row>
    <row r="20331" spans="1:8">
      <c r="F20331" t="s">
        <v>14190</v>
      </c>
      <c r="G20331" t="s">
        <v>18169</v>
      </c>
      <c r="H20331" t="s">
        <v>37226</v>
      </c>
    </row>
    <row r="20332" spans="1:8">
      <c r="H20332" t="s">
        <v>37230</v>
      </c>
    </row>
    <row r="20333" spans="1:8">
      <c r="H20333" t="s">
        <v>37231</v>
      </c>
    </row>
    <row r="20334" spans="1:8">
      <c r="H20334" t="s">
        <v>37232</v>
      </c>
    </row>
    <row r="20335" spans="1:8">
      <c r="A20335" t="s">
        <v>4213</v>
      </c>
      <c r="B20335">
        <f>HYPERLINK("https://android.googlesource.com/platform/cts/+/e61e07e55b7911c66487f86937bf59928c9bbf52", "e61e07e55b7911c66487f86937bf59928c9bbf52")</f>
        <v>0</v>
      </c>
      <c r="C20335">
        <f>HYPERLINK("https://android.googlesource.com/platform/cts/+/07172db3746d097bc55315f211abb9d7195ab48e", "07172db3746d097bc55315f211abb9d7195ab48e")</f>
        <v>0</v>
      </c>
      <c r="D20335" t="s">
        <v>5654</v>
      </c>
      <c r="E20335" t="s">
        <v>9891</v>
      </c>
      <c r="F20335" t="s">
        <v>14583</v>
      </c>
      <c r="G20335" t="s">
        <v>18502</v>
      </c>
      <c r="H20335" t="s">
        <v>37235</v>
      </c>
    </row>
    <row r="20336" spans="1:8">
      <c r="H20336" t="s">
        <v>37236</v>
      </c>
    </row>
    <row r="20337" spans="1:8">
      <c r="H20337" t="s">
        <v>37237</v>
      </c>
    </row>
    <row r="20338" spans="1:8">
      <c r="H20338" t="s">
        <v>37238</v>
      </c>
    </row>
    <row r="20339" spans="1:8">
      <c r="H20339" t="s">
        <v>37239</v>
      </c>
    </row>
    <row r="20340" spans="1:8">
      <c r="A20340" t="s">
        <v>4216</v>
      </c>
      <c r="B20340">
        <f>HYPERLINK("https://android.googlesource.com/platform/cts/+/9d1a22116b0fe7b3ecab3292e0178cdfa5e45e21", "9d1a22116b0fe7b3ecab3292e0178cdfa5e45e21")</f>
        <v>0</v>
      </c>
      <c r="C20340">
        <f>HYPERLINK("https://android.googlesource.com/platform/cts/+/c81ff0cd772ecd93d5f719bdc2d165354b4d0f9d", "c81ff0cd772ecd93d5f719bdc2d165354b4d0f9d")</f>
        <v>0</v>
      </c>
      <c r="D20340" t="s">
        <v>5512</v>
      </c>
      <c r="E20340" t="s">
        <v>9894</v>
      </c>
      <c r="F20340" t="s">
        <v>13990</v>
      </c>
      <c r="G20340" t="s">
        <v>18009</v>
      </c>
      <c r="H20340" t="s">
        <v>37244</v>
      </c>
    </row>
    <row r="20341" spans="1:8">
      <c r="A20341" t="s">
        <v>4218</v>
      </c>
      <c r="B20341">
        <f>HYPERLINK("https://android.googlesource.com/platform/cts/+/faf808e57b15bee8ad8fa360a64cdcd8fb698aa3", "faf808e57b15bee8ad8fa360a64cdcd8fb698aa3")</f>
        <v>0</v>
      </c>
      <c r="C20341">
        <f>HYPERLINK("https://android.googlesource.com/platform/cts/+/0c44a9950f9b243ab36ed6aeb7caf3cc2ca3d3e3", "0c44a9950f9b243ab36ed6aeb7caf3cc2ca3d3e3")</f>
        <v>0</v>
      </c>
      <c r="D20341" t="s">
        <v>5215</v>
      </c>
      <c r="E20341" t="s">
        <v>9896</v>
      </c>
      <c r="F20341" t="s">
        <v>12846</v>
      </c>
      <c r="G20341" t="s">
        <v>17017</v>
      </c>
      <c r="H20341" t="s">
        <v>37245</v>
      </c>
    </row>
    <row r="20342" spans="1:8">
      <c r="H20342" t="s">
        <v>37246</v>
      </c>
    </row>
    <row r="20343" spans="1:8">
      <c r="A20343" t="s">
        <v>4220</v>
      </c>
      <c r="B20343">
        <f>HYPERLINK("https://android.googlesource.com/platform/cts/+/f280bb0d2d8babbe7951eab386f57fce8e605d75", "f280bb0d2d8babbe7951eab386f57fce8e605d75")</f>
        <v>0</v>
      </c>
      <c r="C20343">
        <f>HYPERLINK("https://android.googlesource.com/platform/cts/+/c81ff0cd772ecd93d5f719bdc2d165354b4d0f9d", "c81ff0cd772ecd93d5f719bdc2d165354b4d0f9d")</f>
        <v>0</v>
      </c>
      <c r="D20343" t="s">
        <v>5512</v>
      </c>
      <c r="E20343" t="s">
        <v>9898</v>
      </c>
      <c r="F20343" t="s">
        <v>13990</v>
      </c>
      <c r="G20343" t="s">
        <v>18009</v>
      </c>
      <c r="H20343" t="s">
        <v>37248</v>
      </c>
    </row>
    <row r="20344" spans="1:8">
      <c r="A20344" t="s">
        <v>4222</v>
      </c>
      <c r="B20344">
        <f>HYPERLINK("https://android.googlesource.com/platform/cts/+/b8422223e6f72f5a3fc62f58f94b12f428dc8156", "b8422223e6f72f5a3fc62f58f94b12f428dc8156")</f>
        <v>0</v>
      </c>
      <c r="C20344">
        <f>HYPERLINK("https://android.googlesource.com/platform/cts/+/247d317952f8604e64046a342af2406b8024eee0", "247d317952f8604e64046a342af2406b8024eee0")</f>
        <v>0</v>
      </c>
      <c r="D20344" t="s">
        <v>5512</v>
      </c>
      <c r="E20344" t="s">
        <v>9899</v>
      </c>
      <c r="F20344" t="s">
        <v>13990</v>
      </c>
      <c r="G20344" t="s">
        <v>18009</v>
      </c>
      <c r="H20344" t="s">
        <v>37248</v>
      </c>
    </row>
    <row r="20345" spans="1:8">
      <c r="A20345" t="s">
        <v>4224</v>
      </c>
      <c r="B20345">
        <f>HYPERLINK("https://android.googlesource.com/platform/cts/+/4559a26f1cebd203ac2d509a1c7b4f694256b332", "4559a26f1cebd203ac2d509a1c7b4f694256b332")</f>
        <v>0</v>
      </c>
      <c r="C20345">
        <f>HYPERLINK("https://android.googlesource.com/platform/cts/+/dad33f1bc67fa8cde11c210bc928392216f9fb05", "dad33f1bc67fa8cde11c210bc928392216f9fb05")</f>
        <v>0</v>
      </c>
      <c r="D20345" t="s">
        <v>5288</v>
      </c>
      <c r="E20345" t="s">
        <v>9900</v>
      </c>
      <c r="F20345" t="s">
        <v>14642</v>
      </c>
      <c r="G20345" t="s">
        <v>16934</v>
      </c>
      <c r="H20345" t="s">
        <v>37249</v>
      </c>
    </row>
    <row r="20346" spans="1:8">
      <c r="H20346" t="s">
        <v>37250</v>
      </c>
    </row>
    <row r="20347" spans="1:8">
      <c r="F20347" t="s">
        <v>12696</v>
      </c>
      <c r="G20347" t="s">
        <v>16900</v>
      </c>
      <c r="H20347" t="s">
        <v>37251</v>
      </c>
    </row>
    <row r="20348" spans="1:8">
      <c r="A20348" t="s">
        <v>4227</v>
      </c>
      <c r="B20348">
        <f>HYPERLINK("https://android.googlesource.com/platform/cts/+/559e728eceb473d530c7210f09b3016e3350cfb9", "559e728eceb473d530c7210f09b3016e3350cfb9")</f>
        <v>0</v>
      </c>
      <c r="C20348">
        <f>HYPERLINK("https://android.googlesource.com/platform/cts/+/49714aca592ebd6e22a1ae41ad45848719806ac3", "49714aca592ebd6e22a1ae41ad45848719806ac3")</f>
        <v>0</v>
      </c>
      <c r="D20348" t="s">
        <v>5512</v>
      </c>
      <c r="E20348" t="s">
        <v>9902</v>
      </c>
      <c r="F20348" t="s">
        <v>14643</v>
      </c>
      <c r="G20348" t="s">
        <v>18549</v>
      </c>
      <c r="H20348" t="s">
        <v>26273</v>
      </c>
    </row>
    <row r="20349" spans="1:8">
      <c r="A20349" t="s">
        <v>4231</v>
      </c>
      <c r="B20349">
        <f>HYPERLINK("https://android.googlesource.com/platform/cts/+/519db55088c7ef993a9e86e1d906637f7bcdc7b9", "519db55088c7ef993a9e86e1d906637f7bcdc7b9")</f>
        <v>0</v>
      </c>
      <c r="C20349">
        <f>HYPERLINK("https://android.googlesource.com/platform/cts/+/e3116af2351c9b70b9cebadbd79fe91a5fdaa072", "e3116af2351c9b70b9cebadbd79fe91a5fdaa072")</f>
        <v>0</v>
      </c>
      <c r="D20349" t="s">
        <v>5562</v>
      </c>
      <c r="E20349" t="s">
        <v>9906</v>
      </c>
      <c r="F20349" t="s">
        <v>14644</v>
      </c>
      <c r="G20349" t="s">
        <v>18550</v>
      </c>
      <c r="H20349" t="s">
        <v>37253</v>
      </c>
    </row>
    <row r="20350" spans="1:8">
      <c r="A20350" t="s">
        <v>4235</v>
      </c>
      <c r="B20350">
        <f>HYPERLINK("https://android.googlesource.com/platform/cts/+/efb866daf8dedd01ddd5738f96d74cb1ed79b0fe", "efb866daf8dedd01ddd5738f96d74cb1ed79b0fe")</f>
        <v>0</v>
      </c>
      <c r="C20350">
        <f>HYPERLINK("https://android.googlesource.com/platform/cts/+/e3a4737b6971db40ebc94fc669c8fb88ee3adbf9", "e3a4737b6971db40ebc94fc669c8fb88ee3adbf9")</f>
        <v>0</v>
      </c>
      <c r="D20350" t="s">
        <v>5624</v>
      </c>
      <c r="E20350" t="s">
        <v>9909</v>
      </c>
      <c r="F20350" t="s">
        <v>12176</v>
      </c>
      <c r="G20350" t="s">
        <v>16415</v>
      </c>
      <c r="H20350" t="s">
        <v>36825</v>
      </c>
    </row>
    <row r="20351" spans="1:8">
      <c r="H20351" t="s">
        <v>36826</v>
      </c>
    </row>
    <row r="20352" spans="1:8">
      <c r="H20352" t="s">
        <v>36827</v>
      </c>
    </row>
    <row r="20353" spans="1:8">
      <c r="H20353" t="s">
        <v>36829</v>
      </c>
    </row>
    <row r="20354" spans="1:8">
      <c r="H20354" t="s">
        <v>36830</v>
      </c>
    </row>
    <row r="20355" spans="1:8">
      <c r="H20355" t="s">
        <v>36831</v>
      </c>
    </row>
    <row r="20356" spans="1:8">
      <c r="H20356" t="s">
        <v>37256</v>
      </c>
    </row>
    <row r="20357" spans="1:8">
      <c r="H20357" t="s">
        <v>37257</v>
      </c>
    </row>
    <row r="20358" spans="1:8">
      <c r="H20358" t="s">
        <v>37258</v>
      </c>
    </row>
    <row r="20359" spans="1:8">
      <c r="H20359" t="s">
        <v>37259</v>
      </c>
    </row>
    <row r="20360" spans="1:8">
      <c r="H20360" t="s">
        <v>37260</v>
      </c>
    </row>
    <row r="20361" spans="1:8">
      <c r="H20361" t="s">
        <v>37261</v>
      </c>
    </row>
    <row r="20362" spans="1:8">
      <c r="A20362" t="s">
        <v>4236</v>
      </c>
      <c r="B20362">
        <f>HYPERLINK("https://android.googlesource.com/platform/cts/+/e7e9836fe6538337de4030fd65924158da6e6e62", "e7e9836fe6538337de4030fd65924158da6e6e62")</f>
        <v>0</v>
      </c>
      <c r="C20362">
        <f>HYPERLINK("https://android.googlesource.com/platform/cts/+/341404f5c9cb1b87cc39e9d4b826310d8abc5cde", "341404f5c9cb1b87cc39e9d4b826310d8abc5cde")</f>
        <v>0</v>
      </c>
      <c r="D20362" t="s">
        <v>5626</v>
      </c>
      <c r="E20362" t="s">
        <v>9910</v>
      </c>
      <c r="F20362" t="s">
        <v>14646</v>
      </c>
      <c r="G20362" t="s">
        <v>18419</v>
      </c>
      <c r="H20362" t="s">
        <v>36186</v>
      </c>
    </row>
    <row r="20363" spans="1:8">
      <c r="A20363" t="s">
        <v>4237</v>
      </c>
      <c r="B20363">
        <f>HYPERLINK("https://android.googlesource.com/platform/cts/+/9bf2f6a87f59d9ce75edf3b81349772e82d37a13", "9bf2f6a87f59d9ce75edf3b81349772e82d37a13")</f>
        <v>0</v>
      </c>
      <c r="C20363">
        <f>HYPERLINK("https://android.googlesource.com/platform/cts/+/5a0e697f7dac86c2be46baf79293d8343690bf06", "5a0e697f7dac86c2be46baf79293d8343690bf06")</f>
        <v>0</v>
      </c>
      <c r="D20363" t="s">
        <v>5668</v>
      </c>
      <c r="E20363" t="s">
        <v>9911</v>
      </c>
      <c r="F20363" t="s">
        <v>14647</v>
      </c>
      <c r="G20363" t="s">
        <v>18552</v>
      </c>
      <c r="H20363" t="s">
        <v>20126</v>
      </c>
    </row>
    <row r="20364" spans="1:8">
      <c r="A20364" t="s">
        <v>4240</v>
      </c>
      <c r="B20364">
        <f>HYPERLINK("https://android.googlesource.com/platform/cts/+/a0e22c26d0c63153ee7bde4d675657d480f842ae", "a0e22c26d0c63153ee7bde4d675657d480f842ae")</f>
        <v>0</v>
      </c>
      <c r="C20364">
        <f>HYPERLINK("https://android.googlesource.com/platform/cts/+/127eae47a7b9470a550ac958cb68734c41beda42", "127eae47a7b9470a550ac958cb68734c41beda42")</f>
        <v>0</v>
      </c>
      <c r="D20364" t="s">
        <v>5353</v>
      </c>
      <c r="E20364" t="s">
        <v>9914</v>
      </c>
      <c r="F20364" t="s">
        <v>14633</v>
      </c>
      <c r="G20364" t="s">
        <v>18543</v>
      </c>
      <c r="H20364" t="s">
        <v>37268</v>
      </c>
    </row>
    <row r="20365" spans="1:8">
      <c r="A20365" t="s">
        <v>4242</v>
      </c>
      <c r="B20365">
        <f>HYPERLINK("https://android.googlesource.com/platform/cts/+/6632de7d76ddeb8e3ad48bc74cdb7974b14066a1", "6632de7d76ddeb8e3ad48bc74cdb7974b14066a1")</f>
        <v>0</v>
      </c>
      <c r="C20365">
        <f>HYPERLINK("https://android.googlesource.com/platform/cts/+/e590eabc49344c620255782d278c3d1528daef4e", "e590eabc49344c620255782d278c3d1528daef4e")</f>
        <v>0</v>
      </c>
      <c r="D20365" t="s">
        <v>5653</v>
      </c>
      <c r="E20365" t="s">
        <v>9916</v>
      </c>
      <c r="F20365" t="s">
        <v>14649</v>
      </c>
      <c r="G20365" t="s">
        <v>18553</v>
      </c>
      <c r="H20365" t="s">
        <v>37277</v>
      </c>
    </row>
    <row r="20366" spans="1:8">
      <c r="H20366" t="s">
        <v>37278</v>
      </c>
    </row>
    <row r="20367" spans="1:8">
      <c r="H20367" t="s">
        <v>37279</v>
      </c>
    </row>
    <row r="20368" spans="1:8">
      <c r="A20368" t="s">
        <v>4243</v>
      </c>
      <c r="B20368">
        <f>HYPERLINK("https://android.googlesource.com/platform/cts/+/9910ca9737f8838f6dc3a3d9d318f50339ff7cd4", "9910ca9737f8838f6dc3a3d9d318f50339ff7cd4")</f>
        <v>0</v>
      </c>
      <c r="C20368">
        <f>HYPERLINK("https://android.googlesource.com/platform/cts/+/0da7a74dc6555357aad4937ee257d37debc4c33e", "0da7a74dc6555357aad4937ee257d37debc4c33e")</f>
        <v>0</v>
      </c>
      <c r="D20368" t="s">
        <v>5669</v>
      </c>
      <c r="E20368" t="s">
        <v>9917</v>
      </c>
      <c r="F20368" t="s">
        <v>13277</v>
      </c>
      <c r="G20368" t="s">
        <v>17414</v>
      </c>
      <c r="H20368" t="s">
        <v>37281</v>
      </c>
    </row>
    <row r="20369" spans="1:8">
      <c r="A20369" t="s">
        <v>4245</v>
      </c>
      <c r="B20369">
        <f>HYPERLINK("https://android.googlesource.com/platform/cts/+/70649d9494a55051bd7d0ec8d76d0b46bc385680", "70649d9494a55051bd7d0ec8d76d0b46bc385680")</f>
        <v>0</v>
      </c>
      <c r="C20369">
        <f>HYPERLINK("https://android.googlesource.com/platform/cts/+/d15299ff4667d76dd3645a35828977554017e60c", "d15299ff4667d76dd3645a35828977554017e60c")</f>
        <v>0</v>
      </c>
      <c r="D20369" t="s">
        <v>5668</v>
      </c>
      <c r="E20369" t="s">
        <v>9919</v>
      </c>
      <c r="F20369" t="s">
        <v>14647</v>
      </c>
      <c r="G20369" t="s">
        <v>18552</v>
      </c>
      <c r="H20369" t="s">
        <v>37283</v>
      </c>
    </row>
    <row r="20370" spans="1:8">
      <c r="A20370" t="s">
        <v>4249</v>
      </c>
      <c r="B20370">
        <f>HYPERLINK("https://android.googlesource.com/platform/cts/+/11fd0b4694174f7495830e11119df13700b88ca4", "11fd0b4694174f7495830e11119df13700b88ca4")</f>
        <v>0</v>
      </c>
      <c r="C20370">
        <f>HYPERLINK("https://android.googlesource.com/platform/cts/+/716a822d4b1324a802bf67ff7e2250ecdd99e176", "716a822d4b1324a802bf67ff7e2250ecdd99e176")</f>
        <v>0</v>
      </c>
      <c r="D20370" t="s">
        <v>5642</v>
      </c>
      <c r="E20370" t="s">
        <v>9922</v>
      </c>
      <c r="F20370" t="s">
        <v>14627</v>
      </c>
      <c r="G20370" t="s">
        <v>18538</v>
      </c>
      <c r="H20370" t="s">
        <v>37299</v>
      </c>
    </row>
    <row r="20371" spans="1:8">
      <c r="A20371" t="s">
        <v>4250</v>
      </c>
      <c r="B20371">
        <f>HYPERLINK("https://android.googlesource.com/platform/cts/+/06a952a180e17fd5688b845566dbecb6411aa2a9", "06a952a180e17fd5688b845566dbecb6411aa2a9")</f>
        <v>0</v>
      </c>
      <c r="C20371">
        <f>HYPERLINK("https://android.googlesource.com/platform/cts/+/b003794023c050821258f5acf3988935784255c5", "b003794023c050821258f5acf3988935784255c5")</f>
        <v>0</v>
      </c>
      <c r="D20371" t="s">
        <v>5409</v>
      </c>
      <c r="E20371" t="s">
        <v>9923</v>
      </c>
      <c r="F20371" t="s">
        <v>14650</v>
      </c>
      <c r="G20371" t="s">
        <v>18554</v>
      </c>
      <c r="H20371" t="s">
        <v>37300</v>
      </c>
    </row>
    <row r="20372" spans="1:8">
      <c r="A20372" t="s">
        <v>4251</v>
      </c>
      <c r="B20372">
        <f>HYPERLINK("https://android.googlesource.com/platform/cts/+/1390ca540e3cc916e4a877207b7cc1c7928aa801", "1390ca540e3cc916e4a877207b7cc1c7928aa801")</f>
        <v>0</v>
      </c>
      <c r="C20372">
        <f>HYPERLINK("https://android.googlesource.com/platform/cts/+/06a952a180e17fd5688b845566dbecb6411aa2a9", "06a952a180e17fd5688b845566dbecb6411aa2a9")</f>
        <v>0</v>
      </c>
      <c r="D20372" t="s">
        <v>5409</v>
      </c>
      <c r="E20372" t="s">
        <v>9924</v>
      </c>
      <c r="F20372" t="s">
        <v>14558</v>
      </c>
      <c r="G20372" t="s">
        <v>18480</v>
      </c>
      <c r="H20372" t="s">
        <v>37302</v>
      </c>
    </row>
    <row r="20373" spans="1:8">
      <c r="H20373" t="s">
        <v>37303</v>
      </c>
    </row>
    <row r="20374" spans="1:8">
      <c r="F20374" t="s">
        <v>14652</v>
      </c>
      <c r="G20374" t="s">
        <v>18466</v>
      </c>
      <c r="H20374" t="s">
        <v>37304</v>
      </c>
    </row>
    <row r="20375" spans="1:8">
      <c r="H20375" t="s">
        <v>37305</v>
      </c>
    </row>
    <row r="20376" spans="1:8">
      <c r="H20376" t="s">
        <v>37306</v>
      </c>
    </row>
    <row r="20377" spans="1:8">
      <c r="H20377" t="s">
        <v>37307</v>
      </c>
    </row>
    <row r="20378" spans="1:8">
      <c r="H20378" t="s">
        <v>37308</v>
      </c>
    </row>
    <row r="20379" spans="1:8">
      <c r="H20379" t="s">
        <v>37309</v>
      </c>
    </row>
    <row r="20380" spans="1:8">
      <c r="H20380" t="s">
        <v>37310</v>
      </c>
    </row>
    <row r="20381" spans="1:8">
      <c r="H20381" t="s">
        <v>37311</v>
      </c>
    </row>
    <row r="20382" spans="1:8">
      <c r="H20382" t="s">
        <v>37312</v>
      </c>
    </row>
    <row r="20383" spans="1:8">
      <c r="H20383" t="s">
        <v>37313</v>
      </c>
    </row>
    <row r="20384" spans="1:8">
      <c r="A20384" t="s">
        <v>4252</v>
      </c>
      <c r="B20384">
        <f>HYPERLINK("https://android.googlesource.com/platform/cts/+/a3e396589b6417944e218d2b9bb471b8b7775b77", "a3e396589b6417944e218d2b9bb471b8b7775b77")</f>
        <v>0</v>
      </c>
      <c r="C20384">
        <f>HYPERLINK("https://android.googlesource.com/platform/cts/+/36cd61b368da3eb8f740708e1f076e5e262bd3a1", "36cd61b368da3eb8f740708e1f076e5e262bd3a1")</f>
        <v>0</v>
      </c>
      <c r="D20384" t="s">
        <v>5277</v>
      </c>
      <c r="E20384" t="s">
        <v>9925</v>
      </c>
      <c r="F20384" t="s">
        <v>10582</v>
      </c>
      <c r="G20384" t="s">
        <v>14985</v>
      </c>
      <c r="H20384" t="s">
        <v>37314</v>
      </c>
    </row>
    <row r="20385" spans="1:8">
      <c r="A20385" t="s">
        <v>4254</v>
      </c>
      <c r="B20385">
        <f>HYPERLINK("https://android.googlesource.com/platform/cts/+/ba3984a30526bc115511fae47e71242385fdb70a", "ba3984a30526bc115511fae47e71242385fdb70a")</f>
        <v>0</v>
      </c>
      <c r="C20385">
        <f>HYPERLINK("https://android.googlesource.com/platform/cts/+/4808ec344564a33650b5ddfe091f407e190283d8", "4808ec344564a33650b5ddfe091f407e190283d8")</f>
        <v>0</v>
      </c>
      <c r="D20385" t="s">
        <v>5668</v>
      </c>
      <c r="E20385" t="s">
        <v>9927</v>
      </c>
      <c r="F20385" t="s">
        <v>14647</v>
      </c>
      <c r="G20385" t="s">
        <v>18552</v>
      </c>
      <c r="H20385" t="s">
        <v>37315</v>
      </c>
    </row>
    <row r="20386" spans="1:8">
      <c r="A20386" t="s">
        <v>4256</v>
      </c>
      <c r="B20386">
        <f>HYPERLINK("https://android.googlesource.com/platform/cts/+/88a268b3acbe34a3bfe13a61d73e01fa984b6f52", "88a268b3acbe34a3bfe13a61d73e01fa984b6f52")</f>
        <v>0</v>
      </c>
      <c r="C20386">
        <f>HYPERLINK("https://android.googlesource.com/platform/cts/+/5959a156158a3d405f43fd6eb5dea1b8d9efbcdd", "5959a156158a3d405f43fd6eb5dea1b8d9efbcdd")</f>
        <v>0</v>
      </c>
      <c r="D20386" t="s">
        <v>5610</v>
      </c>
      <c r="E20386" t="s">
        <v>9929</v>
      </c>
      <c r="F20386" t="s">
        <v>14653</v>
      </c>
      <c r="G20386" t="s">
        <v>17776</v>
      </c>
      <c r="H20386" t="s">
        <v>37316</v>
      </c>
    </row>
    <row r="20387" spans="1:8">
      <c r="H20387" t="s">
        <v>37317</v>
      </c>
    </row>
    <row r="20388" spans="1:8">
      <c r="A20388" t="s">
        <v>4260</v>
      </c>
      <c r="B20388">
        <f>HYPERLINK("https://android.googlesource.com/platform/cts/+/8c62a604f50b975c4a80ea0d4a0015a89d73c074", "8c62a604f50b975c4a80ea0d4a0015a89d73c074")</f>
        <v>0</v>
      </c>
      <c r="C20388">
        <f>HYPERLINK("https://android.googlesource.com/platform/cts/+/d69c7d3193f631796241195d7bf40d3beac4871e", "d69c7d3193f631796241195d7bf40d3beac4871e")</f>
        <v>0</v>
      </c>
      <c r="D20388" t="s">
        <v>5277</v>
      </c>
      <c r="E20388" t="s">
        <v>9933</v>
      </c>
      <c r="F20388" t="s">
        <v>10649</v>
      </c>
      <c r="G20388" t="s">
        <v>15050</v>
      </c>
      <c r="H20388" t="s">
        <v>37329</v>
      </c>
    </row>
    <row r="20389" spans="1:8">
      <c r="A20389" t="s">
        <v>4262</v>
      </c>
      <c r="B20389">
        <f>HYPERLINK("https://android.googlesource.com/platform/cts/+/91b6c6ead2351220f97aef416f7a53dde3f81753", "91b6c6ead2351220f97aef416f7a53dde3f81753")</f>
        <v>0</v>
      </c>
      <c r="C20389">
        <f>HYPERLINK("https://android.googlesource.com/platform/cts/+/d573ace081783d694828d885c5ea30f1df08cdd9", "d573ace081783d694828d885c5ea30f1df08cdd9")</f>
        <v>0</v>
      </c>
      <c r="D20389" t="s">
        <v>5670</v>
      </c>
      <c r="E20389" t="s">
        <v>9935</v>
      </c>
      <c r="F20389" t="s">
        <v>12419</v>
      </c>
      <c r="G20389" t="s">
        <v>16641</v>
      </c>
      <c r="H20389" t="s">
        <v>37333</v>
      </c>
    </row>
    <row r="20390" spans="1:8">
      <c r="A20390" t="s">
        <v>4264</v>
      </c>
      <c r="B20390">
        <f>HYPERLINK("https://android.googlesource.com/platform/cts/+/bcafea0a02586d7f1365d5da15176f0ad2be06f4", "bcafea0a02586d7f1365d5da15176f0ad2be06f4")</f>
        <v>0</v>
      </c>
      <c r="C20390">
        <f>HYPERLINK("https://android.googlesource.com/platform/cts/+/d629e29541de27451217980d665aaec21d3d4f1b", "d629e29541de27451217980d665aaec21d3d4f1b")</f>
        <v>0</v>
      </c>
      <c r="D20390" t="s">
        <v>5647</v>
      </c>
      <c r="E20390" t="s">
        <v>9937</v>
      </c>
      <c r="F20390" t="s">
        <v>14657</v>
      </c>
      <c r="G20390" t="s">
        <v>18556</v>
      </c>
      <c r="H20390" t="s">
        <v>37338</v>
      </c>
    </row>
    <row r="20391" spans="1:8">
      <c r="H20391" t="s">
        <v>37339</v>
      </c>
    </row>
    <row r="20392" spans="1:8">
      <c r="A20392" t="s">
        <v>4266</v>
      </c>
      <c r="B20392">
        <f>HYPERLINK("https://android.googlesource.com/platform/cts/+/e08e076a9150b382f759c9ca106f964955484218", "e08e076a9150b382f759c9ca106f964955484218")</f>
        <v>0</v>
      </c>
      <c r="C20392">
        <f>HYPERLINK("https://android.googlesource.com/platform/cts/+/a5b1318612630ac196503a94d9c5148e4d6fcf3a", "a5b1318612630ac196503a94d9c5148e4d6fcf3a")</f>
        <v>0</v>
      </c>
      <c r="D20392" t="s">
        <v>5626</v>
      </c>
      <c r="E20392" t="s">
        <v>9939</v>
      </c>
      <c r="F20392" t="s">
        <v>14658</v>
      </c>
      <c r="G20392" t="s">
        <v>18019</v>
      </c>
      <c r="H20392" t="s">
        <v>37341</v>
      </c>
    </row>
    <row r="20393" spans="1:8">
      <c r="A20393" t="s">
        <v>4269</v>
      </c>
      <c r="B20393">
        <f>HYPERLINK("https://android.googlesource.com/platform/cts/+/76f8c4d9779305a1347a5e5fa4c927791929516a", "76f8c4d9779305a1347a5e5fa4c927791929516a")</f>
        <v>0</v>
      </c>
      <c r="C20393">
        <f>HYPERLINK("https://android.googlesource.com/platform/cts/+/d1ae1a7b200bccfe5f7ece3eb3be38d0e142a035", "d1ae1a7b200bccfe5f7ece3eb3be38d0e142a035")</f>
        <v>0</v>
      </c>
      <c r="D20393" t="s">
        <v>5668</v>
      </c>
      <c r="E20393" t="s">
        <v>9942</v>
      </c>
      <c r="F20393" t="s">
        <v>14647</v>
      </c>
      <c r="G20393" t="s">
        <v>18552</v>
      </c>
      <c r="H20393" t="s">
        <v>37342</v>
      </c>
    </row>
    <row r="20394" spans="1:8">
      <c r="A20394" t="s">
        <v>4270</v>
      </c>
      <c r="B20394">
        <f>HYPERLINK("https://android.googlesource.com/platform/cts/+/8e820b7745f9bf2d587ed13de43a9938938ae52c", "8e820b7745f9bf2d587ed13de43a9938938ae52c")</f>
        <v>0</v>
      </c>
      <c r="C20394">
        <f>HYPERLINK("https://android.googlesource.com/platform/cts/+/e1132f4bc6047d438e45338fc8ff5feb41ec02d6", "e1132f4bc6047d438e45338fc8ff5feb41ec02d6")</f>
        <v>0</v>
      </c>
      <c r="D20394" t="s">
        <v>5671</v>
      </c>
      <c r="E20394" t="s">
        <v>9943</v>
      </c>
      <c r="F20394" t="s">
        <v>13165</v>
      </c>
      <c r="G20394" t="s">
        <v>17315</v>
      </c>
      <c r="H20394" t="s">
        <v>37343</v>
      </c>
    </row>
    <row r="20395" spans="1:8">
      <c r="A20395" t="s">
        <v>4276</v>
      </c>
      <c r="B20395">
        <f>HYPERLINK("https://android.googlesource.com/platform/cts/+/e0d3ae4b5e0c4224dcfb615d44f8b4ebe23edfbe", "e0d3ae4b5e0c4224dcfb615d44f8b4ebe23edfbe")</f>
        <v>0</v>
      </c>
      <c r="C20395">
        <f>HYPERLINK("https://android.googlesource.com/platform/cts/+/052c74c16c5c0a4ad0d857b3ad7401a8b4efa23a", "052c74c16c5c0a4ad0d857b3ad7401a8b4efa23a")</f>
        <v>0</v>
      </c>
      <c r="D20395" t="s">
        <v>5653</v>
      </c>
      <c r="E20395" t="s">
        <v>9949</v>
      </c>
      <c r="F20395" t="s">
        <v>14659</v>
      </c>
      <c r="G20395" t="s">
        <v>18557</v>
      </c>
      <c r="H20395" t="s">
        <v>37344</v>
      </c>
    </row>
    <row r="20396" spans="1:8">
      <c r="A20396" t="s">
        <v>4278</v>
      </c>
      <c r="B20396">
        <f>HYPERLINK("https://android.googlesource.com/platform/cts/+/aa8eb177ed11b321be3581ad93ca356531e5fe19", "aa8eb177ed11b321be3581ad93ca356531e5fe19")</f>
        <v>0</v>
      </c>
      <c r="C20396">
        <f>HYPERLINK("https://android.googlesource.com/platform/cts/+/696ee033f29f135a22f16e8b0f8349314dda4244", "696ee033f29f135a22f16e8b0f8349314dda4244")</f>
        <v>0</v>
      </c>
      <c r="D20396" t="s">
        <v>5575</v>
      </c>
      <c r="E20396" t="s">
        <v>9951</v>
      </c>
      <c r="F20396" t="s">
        <v>14613</v>
      </c>
      <c r="G20396" t="s">
        <v>18453</v>
      </c>
      <c r="H20396" t="s">
        <v>37346</v>
      </c>
    </row>
    <row r="20397" spans="1:8">
      <c r="H20397" t="s">
        <v>37347</v>
      </c>
    </row>
    <row r="20398" spans="1:8">
      <c r="H20398" t="s">
        <v>37008</v>
      </c>
    </row>
    <row r="20399" spans="1:8">
      <c r="F20399" t="s">
        <v>14527</v>
      </c>
      <c r="G20399" t="s">
        <v>18446</v>
      </c>
      <c r="H20399" t="s">
        <v>37348</v>
      </c>
    </row>
    <row r="20400" spans="1:8">
      <c r="H20400" t="s">
        <v>37349</v>
      </c>
    </row>
    <row r="20401" spans="1:8">
      <c r="H20401" t="s">
        <v>37009</v>
      </c>
    </row>
    <row r="20402" spans="1:8">
      <c r="A20402" t="s">
        <v>4282</v>
      </c>
      <c r="B20402">
        <f>HYPERLINK("https://android.googlesource.com/platform/cts/+/e4aacccf55be1f03c5f65fd6f79f59729cbc948a", "e4aacccf55be1f03c5f65fd6f79f59729cbc948a")</f>
        <v>0</v>
      </c>
      <c r="C20402">
        <f>HYPERLINK("https://android.googlesource.com/platform/cts/+/cfa0265ccaa8a42b1be0fa3fe1ce1d19c0d94d65", "cfa0265ccaa8a42b1be0fa3fe1ce1d19c0d94d65")</f>
        <v>0</v>
      </c>
      <c r="D20402" t="s">
        <v>4947</v>
      </c>
      <c r="E20402" t="s">
        <v>9953</v>
      </c>
      <c r="F20402" t="s">
        <v>14660</v>
      </c>
      <c r="G20402" t="s">
        <v>18558</v>
      </c>
      <c r="H20402" t="s">
        <v>37350</v>
      </c>
    </row>
    <row r="20403" spans="1:8">
      <c r="A20403" t="s">
        <v>4283</v>
      </c>
      <c r="B20403">
        <f>HYPERLINK("https://android.googlesource.com/platform/cts/+/dce9826c8638ac0c60556b391e34114298e03424", "dce9826c8638ac0c60556b391e34114298e03424")</f>
        <v>0</v>
      </c>
      <c r="C20403">
        <f>HYPERLINK("https://android.googlesource.com/platform/cts/+/e31d5144fd8fca8795cf6e2c6aaa55af05f2c10f", "e31d5144fd8fca8795cf6e2c6aaa55af05f2c10f")</f>
        <v>0</v>
      </c>
      <c r="D20403" t="s">
        <v>5263</v>
      </c>
      <c r="E20403" t="s">
        <v>9954</v>
      </c>
      <c r="F20403" t="s">
        <v>13391</v>
      </c>
      <c r="G20403" t="s">
        <v>17517</v>
      </c>
      <c r="H20403" t="s">
        <v>37352</v>
      </c>
    </row>
    <row r="20404" spans="1:8">
      <c r="A20404" t="s">
        <v>4286</v>
      </c>
      <c r="B20404">
        <f>HYPERLINK("https://android.googlesource.com/platform/cts/+/7b58bec9b75ca5e1ea3d7c23180f3506d57046ef", "7b58bec9b75ca5e1ea3d7c23180f3506d57046ef")</f>
        <v>0</v>
      </c>
      <c r="C20404">
        <f>HYPERLINK("https://android.googlesource.com/platform/cts/+/ba40891553de3d439408716f24f743625f72c09d", "ba40891553de3d439408716f24f743625f72c09d")</f>
        <v>0</v>
      </c>
      <c r="D20404" t="s">
        <v>5040</v>
      </c>
      <c r="E20404" t="s">
        <v>9957</v>
      </c>
      <c r="F20404" t="s">
        <v>14505</v>
      </c>
      <c r="G20404" t="s">
        <v>18434</v>
      </c>
      <c r="H20404" t="s">
        <v>37353</v>
      </c>
    </row>
    <row r="20405" spans="1:8">
      <c r="A20405" t="s">
        <v>4287</v>
      </c>
      <c r="B20405">
        <f>HYPERLINK("https://android.googlesource.com/platform/cts/+/8746cf43fc15e57145b0b0fe82023ed8fb942f82", "8746cf43fc15e57145b0b0fe82023ed8fb942f82")</f>
        <v>0</v>
      </c>
      <c r="C20405">
        <f>HYPERLINK("https://android.googlesource.com/platform/cts/+/d8c72027aacb89e8ab4a3e37b81c22044c2ef001", "d8c72027aacb89e8ab4a3e37b81c22044c2ef001")</f>
        <v>0</v>
      </c>
      <c r="D20405" t="s">
        <v>5409</v>
      </c>
      <c r="E20405" t="s">
        <v>9958</v>
      </c>
      <c r="F20405" t="s">
        <v>14448</v>
      </c>
      <c r="G20405" t="s">
        <v>18383</v>
      </c>
      <c r="H20405" t="s">
        <v>37354</v>
      </c>
    </row>
    <row r="20406" spans="1:8">
      <c r="H20406" t="s">
        <v>37355</v>
      </c>
    </row>
    <row r="20407" spans="1:8">
      <c r="H20407" t="s">
        <v>37356</v>
      </c>
    </row>
    <row r="20408" spans="1:8">
      <c r="H20408" t="s">
        <v>37357</v>
      </c>
    </row>
    <row r="20409" spans="1:8">
      <c r="H20409" t="s">
        <v>37358</v>
      </c>
    </row>
    <row r="20410" spans="1:8">
      <c r="H20410" t="s">
        <v>37359</v>
      </c>
    </row>
    <row r="20411" spans="1:8">
      <c r="H20411" t="s">
        <v>37360</v>
      </c>
    </row>
    <row r="20412" spans="1:8">
      <c r="H20412" t="s">
        <v>37361</v>
      </c>
    </row>
    <row r="20413" spans="1:8">
      <c r="H20413" t="s">
        <v>37362</v>
      </c>
    </row>
    <row r="20414" spans="1:8">
      <c r="H20414" t="s">
        <v>37363</v>
      </c>
    </row>
    <row r="20415" spans="1:8">
      <c r="H20415" t="s">
        <v>37364</v>
      </c>
    </row>
    <row r="20416" spans="1:8">
      <c r="H20416" t="s">
        <v>37365</v>
      </c>
    </row>
    <row r="20417" spans="6:8">
      <c r="H20417" t="s">
        <v>37366</v>
      </c>
    </row>
    <row r="20418" spans="6:8">
      <c r="H20418" t="s">
        <v>37367</v>
      </c>
    </row>
    <row r="20419" spans="6:8">
      <c r="H20419" t="s">
        <v>37368</v>
      </c>
    </row>
    <row r="20420" spans="6:8">
      <c r="H20420" t="s">
        <v>37369</v>
      </c>
    </row>
    <row r="20421" spans="6:8">
      <c r="H20421" t="s">
        <v>37370</v>
      </c>
    </row>
    <row r="20422" spans="6:8">
      <c r="H20422" t="s">
        <v>37371</v>
      </c>
    </row>
    <row r="20423" spans="6:8">
      <c r="H20423" t="s">
        <v>37372</v>
      </c>
    </row>
    <row r="20424" spans="6:8">
      <c r="H20424" t="s">
        <v>37373</v>
      </c>
    </row>
    <row r="20425" spans="6:8">
      <c r="H20425" t="s">
        <v>37374</v>
      </c>
    </row>
    <row r="20426" spans="6:8">
      <c r="H20426" t="s">
        <v>37375</v>
      </c>
    </row>
    <row r="20427" spans="6:8">
      <c r="H20427" t="s">
        <v>37376</v>
      </c>
    </row>
    <row r="20428" spans="6:8">
      <c r="H20428" t="s">
        <v>37377</v>
      </c>
    </row>
    <row r="20429" spans="6:8">
      <c r="H20429" t="s">
        <v>37378</v>
      </c>
    </row>
    <row r="20430" spans="6:8">
      <c r="H20430" t="s">
        <v>37379</v>
      </c>
    </row>
    <row r="20431" spans="6:8">
      <c r="F20431" t="s">
        <v>14650</v>
      </c>
      <c r="G20431" t="s">
        <v>18554</v>
      </c>
      <c r="H20431" t="s">
        <v>37380</v>
      </c>
    </row>
    <row r="20432" spans="6:8">
      <c r="H20432" t="s">
        <v>37381</v>
      </c>
    </row>
    <row r="20433" spans="1:8">
      <c r="H20433" t="s">
        <v>37382</v>
      </c>
    </row>
    <row r="20434" spans="1:8">
      <c r="H20434" t="s">
        <v>37383</v>
      </c>
    </row>
    <row r="20435" spans="1:8">
      <c r="H20435" t="s">
        <v>37384</v>
      </c>
    </row>
    <row r="20436" spans="1:8">
      <c r="F20436" t="s">
        <v>14663</v>
      </c>
      <c r="G20436" t="s">
        <v>18560</v>
      </c>
      <c r="H20436" t="s">
        <v>37386</v>
      </c>
    </row>
    <row r="20437" spans="1:8">
      <c r="A20437" t="s">
        <v>4289</v>
      </c>
      <c r="B20437">
        <f>HYPERLINK("https://android.googlesource.com/platform/cts/+/c0bd8f59e55e1484d52cf2331fbbae9b344bce39", "c0bd8f59e55e1484d52cf2331fbbae9b344bce39")</f>
        <v>0</v>
      </c>
      <c r="C20437">
        <f>HYPERLINK("https://android.googlesource.com/platform/cts/+/fcefd7cc31eb8c7e66caea789ffc43531e9b4fcb", "fcefd7cc31eb8c7e66caea789ffc43531e9b4fcb")</f>
        <v>0</v>
      </c>
      <c r="D20437" t="s">
        <v>5610</v>
      </c>
      <c r="E20437" t="s">
        <v>9960</v>
      </c>
      <c r="F20437" t="s">
        <v>14434</v>
      </c>
      <c r="G20437" t="s">
        <v>18370</v>
      </c>
      <c r="H20437" t="s">
        <v>37391</v>
      </c>
    </row>
    <row r="20438" spans="1:8">
      <c r="H20438" t="s">
        <v>37392</v>
      </c>
    </row>
    <row r="20439" spans="1:8">
      <c r="H20439" t="s">
        <v>37393</v>
      </c>
    </row>
    <row r="20440" spans="1:8">
      <c r="A20440" t="s">
        <v>4290</v>
      </c>
      <c r="B20440">
        <f>HYPERLINK("https://android.googlesource.com/platform/cts/+/6891a89454eac3e86b7d7b09d8d8f48955e39e0d", "6891a89454eac3e86b7d7b09d8d8f48955e39e0d")</f>
        <v>0</v>
      </c>
      <c r="C20440">
        <f>HYPERLINK("https://android.googlesource.com/platform/cts/+/445a77d404624b63e4f3272c57cda1a8384b1d61", "445a77d404624b63e4f3272c57cda1a8384b1d61")</f>
        <v>0</v>
      </c>
      <c r="D20440" t="s">
        <v>5673</v>
      </c>
      <c r="E20440" t="s">
        <v>9961</v>
      </c>
      <c r="F20440" t="s">
        <v>14667</v>
      </c>
      <c r="G20440" t="s">
        <v>18562</v>
      </c>
      <c r="H20440" t="s">
        <v>37395</v>
      </c>
    </row>
    <row r="20441" spans="1:8">
      <c r="H20441" t="s">
        <v>37396</v>
      </c>
    </row>
    <row r="20442" spans="1:8">
      <c r="H20442" t="s">
        <v>37397</v>
      </c>
    </row>
    <row r="20443" spans="1:8">
      <c r="H20443" t="s">
        <v>37398</v>
      </c>
    </row>
    <row r="20444" spans="1:8">
      <c r="H20444" t="s">
        <v>37399</v>
      </c>
    </row>
    <row r="20445" spans="1:8">
      <c r="H20445" t="s">
        <v>37400</v>
      </c>
    </row>
    <row r="20446" spans="1:8">
      <c r="H20446" t="s">
        <v>37401</v>
      </c>
    </row>
    <row r="20447" spans="1:8">
      <c r="H20447" t="s">
        <v>37402</v>
      </c>
    </row>
    <row r="20448" spans="1:8">
      <c r="H20448" t="s">
        <v>37403</v>
      </c>
    </row>
    <row r="20449" spans="1:8">
      <c r="H20449" t="s">
        <v>37404</v>
      </c>
    </row>
    <row r="20450" spans="1:8">
      <c r="A20450" t="s">
        <v>4294</v>
      </c>
      <c r="B20450">
        <f>HYPERLINK("https://android.googlesource.com/platform/cts/+/5c3ede8306be0aefe3a5651f4bf1b6af58b57c0c", "5c3ede8306be0aefe3a5651f4bf1b6af58b57c0c")</f>
        <v>0</v>
      </c>
      <c r="C20450">
        <f>HYPERLINK("https://android.googlesource.com/platform/cts/+/a78dabbdef44377ccdbed97981bd57bf1d00c347", "a78dabbdef44377ccdbed97981bd57bf1d00c347")</f>
        <v>0</v>
      </c>
      <c r="D20450" t="s">
        <v>5670</v>
      </c>
      <c r="E20450" t="s">
        <v>9965</v>
      </c>
      <c r="F20450" t="s">
        <v>14678</v>
      </c>
      <c r="G20450" t="s">
        <v>18572</v>
      </c>
      <c r="H20450" t="s">
        <v>37428</v>
      </c>
    </row>
    <row r="20451" spans="1:8">
      <c r="H20451" t="s">
        <v>37429</v>
      </c>
    </row>
    <row r="20452" spans="1:8">
      <c r="H20452" t="s">
        <v>37430</v>
      </c>
    </row>
    <row r="20453" spans="1:8">
      <c r="H20453" t="s">
        <v>37431</v>
      </c>
    </row>
    <row r="20454" spans="1:8">
      <c r="F20454" t="s">
        <v>14603</v>
      </c>
      <c r="G20454" t="s">
        <v>18519</v>
      </c>
      <c r="H20454" t="s">
        <v>37428</v>
      </c>
    </row>
    <row r="20455" spans="1:8">
      <c r="H20455" t="s">
        <v>37429</v>
      </c>
    </row>
    <row r="20456" spans="1:8">
      <c r="H20456" t="s">
        <v>37430</v>
      </c>
    </row>
    <row r="20457" spans="1:8">
      <c r="H20457" t="s">
        <v>37431</v>
      </c>
    </row>
    <row r="20458" spans="1:8">
      <c r="A20458" t="s">
        <v>4297</v>
      </c>
      <c r="B20458">
        <f>HYPERLINK("https://android.googlesource.com/platform/cts/+/f86a88f62bb8f22de60202cd2932d41da2974024", "f86a88f62bb8f22de60202cd2932d41da2974024")</f>
        <v>0</v>
      </c>
      <c r="C20458">
        <f>HYPERLINK("https://android.googlesource.com/platform/cts/+/33ad3e3be507eb5dc60d73acc006fc4cb73b58f7", "33ad3e3be507eb5dc60d73acc006fc4cb73b58f7")</f>
        <v>0</v>
      </c>
      <c r="D20458" t="s">
        <v>5675</v>
      </c>
      <c r="E20458" t="s">
        <v>9968</v>
      </c>
      <c r="F20458" t="s">
        <v>10715</v>
      </c>
      <c r="G20458" t="s">
        <v>15114</v>
      </c>
      <c r="H20458" t="s">
        <v>37432</v>
      </c>
    </row>
    <row r="20459" spans="1:8">
      <c r="A20459" t="s">
        <v>4300</v>
      </c>
      <c r="B20459">
        <f>HYPERLINK("https://android.googlesource.com/platform/cts/+/cda88f95929b2109437ab16e5a00142f784678fe", "cda88f95929b2109437ab16e5a00142f784678fe")</f>
        <v>0</v>
      </c>
      <c r="C20459">
        <f>HYPERLINK("https://android.googlesource.com/platform/cts/+/f1b0d10eb9fd0ba811e2730928c3167aaf1c180e", "f1b0d10eb9fd0ba811e2730928c3167aaf1c180e")</f>
        <v>0</v>
      </c>
      <c r="D20459" t="s">
        <v>5676</v>
      </c>
      <c r="E20459" t="s">
        <v>9971</v>
      </c>
      <c r="F20459" t="s">
        <v>14679</v>
      </c>
      <c r="G20459" t="s">
        <v>18573</v>
      </c>
      <c r="H20459" t="s">
        <v>37433</v>
      </c>
    </row>
    <row r="20460" spans="1:8">
      <c r="F20460" t="s">
        <v>14680</v>
      </c>
      <c r="G20460" t="s">
        <v>18574</v>
      </c>
      <c r="H20460" t="s">
        <v>37433</v>
      </c>
    </row>
    <row r="20461" spans="1:8">
      <c r="F20461" t="s">
        <v>13912</v>
      </c>
      <c r="G20461" t="s">
        <v>17949</v>
      </c>
      <c r="H20461" t="s">
        <v>37434</v>
      </c>
    </row>
    <row r="20462" spans="1:8">
      <c r="H20462" t="s">
        <v>37435</v>
      </c>
    </row>
    <row r="20463" spans="1:8">
      <c r="A20463" t="s">
        <v>4302</v>
      </c>
      <c r="B20463">
        <f>HYPERLINK("https://android.googlesource.com/platform/cts/+/1037d0c4ff94272e92163fe0a34c5d2d4e1df426", "1037d0c4ff94272e92163fe0a34c5d2d4e1df426")</f>
        <v>0</v>
      </c>
      <c r="C20463">
        <f>HYPERLINK("https://android.googlesource.com/platform/cts/+/24278a9a5563b694edeaf2714c0cb309048994dc", "24278a9a5563b694edeaf2714c0cb309048994dc")</f>
        <v>0</v>
      </c>
      <c r="D20463" t="s">
        <v>5409</v>
      </c>
      <c r="E20463" t="s">
        <v>9973</v>
      </c>
      <c r="F20463" t="s">
        <v>14435</v>
      </c>
      <c r="G20463" t="s">
        <v>18371</v>
      </c>
      <c r="H20463" t="s">
        <v>35886</v>
      </c>
    </row>
    <row r="20464" spans="1:8">
      <c r="H20464" t="s">
        <v>35887</v>
      </c>
    </row>
    <row r="20465" spans="6:8">
      <c r="H20465" t="s">
        <v>35888</v>
      </c>
    </row>
    <row r="20466" spans="6:8">
      <c r="H20466" t="s">
        <v>37438</v>
      </c>
    </row>
    <row r="20467" spans="6:8">
      <c r="H20467" t="s">
        <v>37439</v>
      </c>
    </row>
    <row r="20468" spans="6:8">
      <c r="F20468" t="s">
        <v>14415</v>
      </c>
      <c r="G20468" t="s">
        <v>18353</v>
      </c>
      <c r="H20468" t="s">
        <v>37440</v>
      </c>
    </row>
    <row r="20469" spans="6:8">
      <c r="H20469" t="s">
        <v>37441</v>
      </c>
    </row>
    <row r="20470" spans="6:8">
      <c r="H20470" t="s">
        <v>37442</v>
      </c>
    </row>
    <row r="20471" spans="6:8">
      <c r="H20471" t="s">
        <v>37443</v>
      </c>
    </row>
    <row r="20472" spans="6:8">
      <c r="H20472" t="s">
        <v>37444</v>
      </c>
    </row>
    <row r="20473" spans="6:8">
      <c r="H20473" t="s">
        <v>37445</v>
      </c>
    </row>
    <row r="20474" spans="6:8">
      <c r="H20474" t="s">
        <v>37446</v>
      </c>
    </row>
    <row r="20475" spans="6:8">
      <c r="H20475" t="s">
        <v>37447</v>
      </c>
    </row>
    <row r="20476" spans="6:8">
      <c r="H20476" t="s">
        <v>37448</v>
      </c>
    </row>
    <row r="20477" spans="6:8">
      <c r="H20477" t="s">
        <v>37449</v>
      </c>
    </row>
    <row r="20478" spans="6:8">
      <c r="H20478" t="s">
        <v>37450</v>
      </c>
    </row>
    <row r="20479" spans="6:8">
      <c r="H20479" t="s">
        <v>37451</v>
      </c>
    </row>
    <row r="20480" spans="6:8">
      <c r="H20480" t="s">
        <v>37452</v>
      </c>
    </row>
    <row r="20481" spans="1:8">
      <c r="H20481" t="s">
        <v>37453</v>
      </c>
    </row>
    <row r="20482" spans="1:8">
      <c r="H20482" t="s">
        <v>37454</v>
      </c>
    </row>
    <row r="20483" spans="1:8">
      <c r="H20483" t="s">
        <v>37455</v>
      </c>
    </row>
    <row r="20484" spans="1:8">
      <c r="H20484" t="s">
        <v>37456</v>
      </c>
    </row>
    <row r="20485" spans="1:8">
      <c r="A20485" t="s">
        <v>4305</v>
      </c>
      <c r="B20485">
        <f>HYPERLINK("https://android.googlesource.com/platform/cts/+/c8ad0bfd00b8af7da8ec21c9fffb8ac5067eca25", "c8ad0bfd00b8af7da8ec21c9fffb8ac5067eca25")</f>
        <v>0</v>
      </c>
      <c r="C20485">
        <f>HYPERLINK("https://android.googlesource.com/platform/cts/+/e9a90d4104c283c003086afec8f84f0ab93c41a0", "e9a90d4104c283c003086afec8f84f0ab93c41a0")</f>
        <v>0</v>
      </c>
      <c r="D20485" t="s">
        <v>5478</v>
      </c>
      <c r="E20485" t="s">
        <v>9976</v>
      </c>
      <c r="F20485" t="s">
        <v>14633</v>
      </c>
      <c r="G20485" t="s">
        <v>18543</v>
      </c>
      <c r="H20485" t="s">
        <v>37461</v>
      </c>
    </row>
    <row r="20486" spans="1:8">
      <c r="A20486" t="s">
        <v>4307</v>
      </c>
      <c r="B20486">
        <f>HYPERLINK("https://android.googlesource.com/platform/cts/+/966f8171b9baef889ff9aef096174a42d7263348", "966f8171b9baef889ff9aef096174a42d7263348")</f>
        <v>0</v>
      </c>
      <c r="C20486">
        <f>HYPERLINK("https://android.googlesource.com/platform/cts/+/2412d99bff0623939582be5b8022d616307da6d8", "2412d99bff0623939582be5b8022d616307da6d8")</f>
        <v>0</v>
      </c>
      <c r="D20486" t="s">
        <v>5409</v>
      </c>
      <c r="E20486" t="s">
        <v>9978</v>
      </c>
      <c r="F20486" t="s">
        <v>13815</v>
      </c>
      <c r="G20486" t="s">
        <v>17862</v>
      </c>
      <c r="H20486" t="s">
        <v>37462</v>
      </c>
    </row>
    <row r="20487" spans="1:8">
      <c r="H20487" t="s">
        <v>37463</v>
      </c>
    </row>
    <row r="20488" spans="1:8">
      <c r="H20488" t="s">
        <v>37464</v>
      </c>
    </row>
    <row r="20489" spans="1:8">
      <c r="H20489" t="s">
        <v>37465</v>
      </c>
    </row>
    <row r="20490" spans="1:8">
      <c r="H20490" t="s">
        <v>37467</v>
      </c>
    </row>
    <row r="20491" spans="1:8">
      <c r="H20491" t="s">
        <v>37468</v>
      </c>
    </row>
    <row r="20492" spans="1:8">
      <c r="H20492" t="s">
        <v>37469</v>
      </c>
    </row>
    <row r="20493" spans="1:8">
      <c r="F20493" t="s">
        <v>12743</v>
      </c>
      <c r="G20493" t="s">
        <v>16935</v>
      </c>
      <c r="H20493" t="s">
        <v>25778</v>
      </c>
    </row>
    <row r="20494" spans="1:8">
      <c r="H20494" t="s">
        <v>37474</v>
      </c>
    </row>
    <row r="20495" spans="1:8">
      <c r="H20495" t="s">
        <v>37475</v>
      </c>
    </row>
    <row r="20496" spans="1:8">
      <c r="H20496" t="s">
        <v>37476</v>
      </c>
    </row>
    <row r="20497" spans="1:8">
      <c r="H20497" t="s">
        <v>37469</v>
      </c>
    </row>
    <row r="20498" spans="1:8">
      <c r="F20498" t="s">
        <v>13229</v>
      </c>
      <c r="G20498" t="s">
        <v>17370</v>
      </c>
      <c r="H20498" t="s">
        <v>37477</v>
      </c>
    </row>
    <row r="20499" spans="1:8">
      <c r="H20499" t="s">
        <v>37475</v>
      </c>
    </row>
    <row r="20500" spans="1:8">
      <c r="H20500" t="s">
        <v>37469</v>
      </c>
    </row>
    <row r="20501" spans="1:8">
      <c r="H20501" t="s">
        <v>25778</v>
      </c>
    </row>
    <row r="20502" spans="1:8">
      <c r="F20502" t="s">
        <v>13136</v>
      </c>
      <c r="G20502" t="s">
        <v>17293</v>
      </c>
      <c r="H20502" t="s">
        <v>25778</v>
      </c>
    </row>
    <row r="20503" spans="1:8">
      <c r="A20503" t="s">
        <v>4310</v>
      </c>
      <c r="B20503">
        <f>HYPERLINK("https://android.googlesource.com/platform/cts/+/b4d225ea634b26347abc1337446f0ab6adbc4949", "b4d225ea634b26347abc1337446f0ab6adbc4949")</f>
        <v>0</v>
      </c>
      <c r="C20503">
        <f>HYPERLINK("https://android.googlesource.com/platform/cts/+/b0082c2ed4828ccd4313c5005f1f5da51b82e0c7", "b0082c2ed4828ccd4313c5005f1f5da51b82e0c7")</f>
        <v>0</v>
      </c>
      <c r="D20503" t="s">
        <v>5677</v>
      </c>
      <c r="E20503" t="s">
        <v>9981</v>
      </c>
      <c r="F20503" t="s">
        <v>13165</v>
      </c>
      <c r="G20503" t="s">
        <v>17315</v>
      </c>
      <c r="H20503" t="s">
        <v>37484</v>
      </c>
    </row>
    <row r="20504" spans="1:8">
      <c r="H20504" t="s">
        <v>37485</v>
      </c>
    </row>
    <row r="20505" spans="1:8">
      <c r="H20505" t="s">
        <v>37486</v>
      </c>
    </row>
    <row r="20506" spans="1:8">
      <c r="A20506" t="s">
        <v>4312</v>
      </c>
      <c r="B20506">
        <f>HYPERLINK("https://android.googlesource.com/platform/cts/+/79511e16e638d5167d14b3b5585f7d69ef9264c9", "79511e16e638d5167d14b3b5585f7d69ef9264c9")</f>
        <v>0</v>
      </c>
      <c r="C20506">
        <f>HYPERLINK("https://android.googlesource.com/platform/cts/+/1aa123151cd9000ddcbd5dedf50526b412be91e3", "1aa123151cd9000ddcbd5dedf50526b412be91e3")</f>
        <v>0</v>
      </c>
      <c r="D20506" t="s">
        <v>5597</v>
      </c>
      <c r="E20506" t="s">
        <v>9983</v>
      </c>
      <c r="F20506" t="s">
        <v>14051</v>
      </c>
      <c r="G20506" t="s">
        <v>18050</v>
      </c>
      <c r="H20506" t="s">
        <v>37211</v>
      </c>
    </row>
    <row r="20507" spans="1:8">
      <c r="H20507" t="s">
        <v>37212</v>
      </c>
    </row>
    <row r="20508" spans="1:8">
      <c r="H20508" t="s">
        <v>37213</v>
      </c>
    </row>
    <row r="20509" spans="1:8">
      <c r="H20509" t="s">
        <v>37214</v>
      </c>
    </row>
    <row r="20510" spans="1:8">
      <c r="H20510" t="s">
        <v>37215</v>
      </c>
    </row>
    <row r="20511" spans="1:8">
      <c r="H20511" t="s">
        <v>37216</v>
      </c>
    </row>
    <row r="20512" spans="1:8">
      <c r="H20512" t="s">
        <v>37217</v>
      </c>
    </row>
    <row r="20513" spans="1:8">
      <c r="H20513" t="s">
        <v>37219</v>
      </c>
    </row>
    <row r="20514" spans="1:8">
      <c r="H20514" t="s">
        <v>37220</v>
      </c>
    </row>
    <row r="20515" spans="1:8">
      <c r="F20515" t="s">
        <v>14640</v>
      </c>
      <c r="G20515" t="s">
        <v>18086</v>
      </c>
      <c r="H20515" t="s">
        <v>33378</v>
      </c>
    </row>
    <row r="20516" spans="1:8">
      <c r="H20516" t="s">
        <v>33379</v>
      </c>
    </row>
    <row r="20517" spans="1:8">
      <c r="H20517" t="s">
        <v>37226</v>
      </c>
    </row>
    <row r="20518" spans="1:8">
      <c r="F20518" t="s">
        <v>14190</v>
      </c>
      <c r="G20518" t="s">
        <v>18169</v>
      </c>
      <c r="H20518" t="s">
        <v>37226</v>
      </c>
    </row>
    <row r="20519" spans="1:8">
      <c r="H20519" t="s">
        <v>37230</v>
      </c>
    </row>
    <row r="20520" spans="1:8">
      <c r="H20520" t="s">
        <v>37231</v>
      </c>
    </row>
    <row r="20521" spans="1:8">
      <c r="H20521" t="s">
        <v>37232</v>
      </c>
    </row>
    <row r="20522" spans="1:8">
      <c r="A20522" t="s">
        <v>4316</v>
      </c>
      <c r="B20522">
        <f>HYPERLINK("https://android.googlesource.com/platform/cts/+/3de21b017a508d5a6e7ca39604842297bec69c18", "3de21b017a508d5a6e7ca39604842297bec69c18")</f>
        <v>0</v>
      </c>
      <c r="C20522">
        <f>HYPERLINK("https://android.googlesource.com/platform/cts/+/efa04c02f21a2b6c0d6153c52966387daf58fc86", "efa04c02f21a2b6c0d6153c52966387daf58fc86")</f>
        <v>0</v>
      </c>
      <c r="D20522" t="s">
        <v>5409</v>
      </c>
      <c r="E20522" t="s">
        <v>9987</v>
      </c>
      <c r="F20522" t="s">
        <v>14688</v>
      </c>
      <c r="G20522" t="s">
        <v>18581</v>
      </c>
      <c r="H20522" t="s">
        <v>37535</v>
      </c>
    </row>
    <row r="20523" spans="1:8">
      <c r="A20523" t="s">
        <v>4317</v>
      </c>
      <c r="B20523">
        <f>HYPERLINK("https://android.googlesource.com/platform/cts/+/f8ddcfd6b5f99ed55dd88abaac5837dc5fd06785", "f8ddcfd6b5f99ed55dd88abaac5837dc5fd06785")</f>
        <v>0</v>
      </c>
      <c r="C20523">
        <f>HYPERLINK("https://android.googlesource.com/platform/cts/+/760afcef9baa18c51a5455facd2df551a5c4c944", "760afcef9baa18c51a5455facd2df551a5c4c944")</f>
        <v>0</v>
      </c>
      <c r="D20523" t="s">
        <v>5409</v>
      </c>
      <c r="E20523" t="s">
        <v>9988</v>
      </c>
      <c r="F20523" t="s">
        <v>14688</v>
      </c>
      <c r="G20523" t="s">
        <v>18581</v>
      </c>
      <c r="H20523" t="s">
        <v>37536</v>
      </c>
    </row>
    <row r="20524" spans="1:8">
      <c r="A20524" t="s">
        <v>4319</v>
      </c>
      <c r="B20524">
        <f>HYPERLINK("https://android.googlesource.com/platform/cts/+/0b68e70b5b975430b206336b27323d33ae3bb820", "0b68e70b5b975430b206336b27323d33ae3bb820")</f>
        <v>0</v>
      </c>
      <c r="C20524">
        <f>HYPERLINK("https://android.googlesource.com/platform/cts/+/77964de8d5eda6eb18964bd9cfa9a7c239cb3e30", "77964de8d5eda6eb18964bd9cfa9a7c239cb3e30")</f>
        <v>0</v>
      </c>
      <c r="D20524" t="s">
        <v>5409</v>
      </c>
      <c r="E20524" t="s">
        <v>9990</v>
      </c>
      <c r="F20524" t="s">
        <v>12743</v>
      </c>
      <c r="G20524" t="s">
        <v>16935</v>
      </c>
      <c r="H20524" t="s">
        <v>27107</v>
      </c>
    </row>
    <row r="20525" spans="1:8">
      <c r="H20525" t="s">
        <v>37559</v>
      </c>
    </row>
    <row r="20526" spans="1:8">
      <c r="F20526" t="s">
        <v>13229</v>
      </c>
      <c r="G20526" t="s">
        <v>17370</v>
      </c>
      <c r="H20526" t="s">
        <v>27107</v>
      </c>
    </row>
    <row r="20527" spans="1:8">
      <c r="H20527" t="s">
        <v>37559</v>
      </c>
    </row>
    <row r="20528" spans="1:8">
      <c r="F20528" t="s">
        <v>13136</v>
      </c>
      <c r="G20528" t="s">
        <v>17293</v>
      </c>
      <c r="H20528" t="s">
        <v>27107</v>
      </c>
    </row>
    <row r="20529" spans="1:8">
      <c r="F20529" t="s">
        <v>12745</v>
      </c>
      <c r="G20529" t="s">
        <v>16937</v>
      </c>
      <c r="H20529" t="s">
        <v>27107</v>
      </c>
    </row>
    <row r="20530" spans="1:8">
      <c r="H20530" t="s">
        <v>37559</v>
      </c>
    </row>
    <row r="20531" spans="1:8">
      <c r="A20531" t="s">
        <v>4320</v>
      </c>
      <c r="B20531">
        <f>HYPERLINK("https://android.googlesource.com/platform/cts/+/97f1e988c0958ac3fa878d980da3a1d62fdb2772", "97f1e988c0958ac3fa878d980da3a1d62fdb2772")</f>
        <v>0</v>
      </c>
      <c r="C20531">
        <f>HYPERLINK("https://android.googlesource.com/platform/cts/+/f7bbcd8b82329995948ad2d9dd0696df845f1fb6", "f7bbcd8b82329995948ad2d9dd0696df845f1fb6")</f>
        <v>0</v>
      </c>
      <c r="D20531" t="s">
        <v>5677</v>
      </c>
      <c r="E20531" t="s">
        <v>9991</v>
      </c>
      <c r="F20531" t="s">
        <v>14487</v>
      </c>
      <c r="G20531" t="s">
        <v>18418</v>
      </c>
      <c r="H20531" t="s">
        <v>37570</v>
      </c>
    </row>
    <row r="20532" spans="1:8">
      <c r="H20532" t="s">
        <v>37571</v>
      </c>
    </row>
    <row r="20533" spans="1:8">
      <c r="A20533" t="s">
        <v>4322</v>
      </c>
      <c r="B20533">
        <f>HYPERLINK("https://android.googlesource.com/platform/cts/+/9877a122d69add931a3329633212e33376c9c4d8", "9877a122d69add931a3329633212e33376c9c4d8")</f>
        <v>0</v>
      </c>
      <c r="C20533">
        <f>HYPERLINK("https://android.googlesource.com/platform/cts/+/2c5dba4cc56f6d7db151021c4cc307ca4ff44997", "2c5dba4cc56f6d7db151021c4cc307ca4ff44997")</f>
        <v>0</v>
      </c>
      <c r="D20533" t="s">
        <v>5678</v>
      </c>
      <c r="E20533" t="s">
        <v>9993</v>
      </c>
      <c r="F20533" t="s">
        <v>14635</v>
      </c>
      <c r="G20533" t="s">
        <v>18545</v>
      </c>
      <c r="H20533" t="s">
        <v>37572</v>
      </c>
    </row>
    <row r="20534" spans="1:8">
      <c r="H20534" t="s">
        <v>37573</v>
      </c>
    </row>
    <row r="20535" spans="1:8">
      <c r="A20535" t="s">
        <v>4323</v>
      </c>
      <c r="B20535">
        <f>HYPERLINK("https://android.googlesource.com/platform/cts/+/7c6fa74a61d3da48add4d787636dde4bd8e4bcb8", "7c6fa74a61d3da48add4d787636dde4bd8e4bcb8")</f>
        <v>0</v>
      </c>
      <c r="C20535">
        <f>HYPERLINK("https://android.googlesource.com/platform/cts/+/0458171720478d24085f5ee98616da8062f7169b", "0458171720478d24085f5ee98616da8062f7169b")</f>
        <v>0</v>
      </c>
      <c r="D20535" t="s">
        <v>5409</v>
      </c>
      <c r="E20535" t="s">
        <v>9994</v>
      </c>
      <c r="F20535" t="s">
        <v>14691</v>
      </c>
      <c r="G20535" t="s">
        <v>17364</v>
      </c>
      <c r="H20535" t="s">
        <v>36690</v>
      </c>
    </row>
    <row r="20536" spans="1:8">
      <c r="H20536" t="s">
        <v>37574</v>
      </c>
    </row>
    <row r="20537" spans="1:8">
      <c r="F20537" t="s">
        <v>12743</v>
      </c>
      <c r="G20537" t="s">
        <v>16935</v>
      </c>
      <c r="H20537" t="s">
        <v>25795</v>
      </c>
    </row>
    <row r="20538" spans="1:8">
      <c r="F20538" t="s">
        <v>13229</v>
      </c>
      <c r="G20538" t="s">
        <v>17370</v>
      </c>
      <c r="H20538" t="s">
        <v>25795</v>
      </c>
    </row>
    <row r="20539" spans="1:8">
      <c r="A20539" t="s">
        <v>4324</v>
      </c>
      <c r="B20539">
        <f>HYPERLINK("https://android.googlesource.com/platform/cts/+/b858732d7fe874bad9e7145fff66e11e4a1a2ba1", "b858732d7fe874bad9e7145fff66e11e4a1a2ba1")</f>
        <v>0</v>
      </c>
      <c r="C20539">
        <f>HYPERLINK("https://android.googlesource.com/platform/cts/+/fb95db167c44339730bde359cbeb5555f83f45ff", "fb95db167c44339730bde359cbeb5555f83f45ff")</f>
        <v>0</v>
      </c>
      <c r="D20539" t="s">
        <v>5409</v>
      </c>
      <c r="E20539" t="s">
        <v>9995</v>
      </c>
      <c r="F20539" t="s">
        <v>12768</v>
      </c>
      <c r="G20539" t="s">
        <v>15710</v>
      </c>
      <c r="H20539" t="s">
        <v>37582</v>
      </c>
    </row>
    <row r="20540" spans="1:8">
      <c r="A20540" t="s">
        <v>4325</v>
      </c>
      <c r="B20540">
        <f>HYPERLINK("https://android.googlesource.com/platform/cts/+/b03c1bdb0c5e0dd0d36a0fa1b0616dd92b2705ba", "b03c1bdb0c5e0dd0d36a0fa1b0616dd92b2705ba")</f>
        <v>0</v>
      </c>
      <c r="C20540">
        <f>HYPERLINK("https://android.googlesource.com/platform/cts/+/7f2735dd3157dcc98e8419296dcc8cab7e7467df", "7f2735dd3157dcc98e8419296dcc8cab7e7467df")</f>
        <v>0</v>
      </c>
      <c r="D20540" t="s">
        <v>5085</v>
      </c>
      <c r="E20540" t="s">
        <v>9996</v>
      </c>
      <c r="F20540" t="s">
        <v>14692</v>
      </c>
      <c r="G20540" t="s">
        <v>18582</v>
      </c>
      <c r="H20540" t="s">
        <v>37583</v>
      </c>
    </row>
    <row r="20541" spans="1:8">
      <c r="H20541" t="s">
        <v>37584</v>
      </c>
    </row>
    <row r="20542" spans="1:8">
      <c r="A20542" t="s">
        <v>4326</v>
      </c>
      <c r="B20542">
        <f>HYPERLINK("https://android.googlesource.com/platform/cts/+/4c3fb4564420b2437bf3e4cd69f32ef7c7ab0f38", "4c3fb4564420b2437bf3e4cd69f32ef7c7ab0f38")</f>
        <v>0</v>
      </c>
      <c r="C20542">
        <f>HYPERLINK("https://android.googlesource.com/platform/cts/+/efeb4c4858338c11217ba3d801f665e7a1806bc7", "efeb4c4858338c11217ba3d801f665e7a1806bc7")</f>
        <v>0</v>
      </c>
      <c r="D20542" t="s">
        <v>5570</v>
      </c>
      <c r="E20542" t="s">
        <v>9997</v>
      </c>
      <c r="F20542" t="s">
        <v>14196</v>
      </c>
      <c r="G20542" t="s">
        <v>18175</v>
      </c>
      <c r="H20542" t="s">
        <v>37586</v>
      </c>
    </row>
    <row r="20543" spans="1:8">
      <c r="H20543" t="s">
        <v>37587</v>
      </c>
    </row>
    <row r="20544" spans="1:8">
      <c r="H20544" t="s">
        <v>37588</v>
      </c>
    </row>
    <row r="20545" spans="1:8">
      <c r="H20545" t="s">
        <v>37589</v>
      </c>
    </row>
    <row r="20546" spans="1:8">
      <c r="A20546" t="s">
        <v>4328</v>
      </c>
      <c r="B20546">
        <f>HYPERLINK("https://android.googlesource.com/platform/cts/+/662f7f4f2bb0af0eb2bcea218c496779489875dd", "662f7f4f2bb0af0eb2bcea218c496779489875dd")</f>
        <v>0</v>
      </c>
      <c r="C20546">
        <f>HYPERLINK("https://android.googlesource.com/platform/cts/+/853b613e7cc9470562fa875feab0fa22b7332220", "853b613e7cc9470562fa875feab0fa22b7332220")</f>
        <v>0</v>
      </c>
      <c r="D20546" t="s">
        <v>5352</v>
      </c>
      <c r="E20546" t="s">
        <v>9999</v>
      </c>
      <c r="F20546" t="s">
        <v>14428</v>
      </c>
      <c r="G20546" t="s">
        <v>18366</v>
      </c>
      <c r="H20546" t="s">
        <v>37591</v>
      </c>
    </row>
    <row r="20547" spans="1:8">
      <c r="H20547" t="s">
        <v>37592</v>
      </c>
    </row>
    <row r="20548" spans="1:8">
      <c r="H20548" t="s">
        <v>37593</v>
      </c>
    </row>
    <row r="20549" spans="1:8">
      <c r="H20549" t="s">
        <v>37594</v>
      </c>
    </row>
    <row r="20550" spans="1:8">
      <c r="H20550" t="s">
        <v>37595</v>
      </c>
    </row>
    <row r="20551" spans="1:8">
      <c r="H20551" t="s">
        <v>37596</v>
      </c>
    </row>
    <row r="20552" spans="1:8">
      <c r="A20552" t="s">
        <v>4330</v>
      </c>
      <c r="B20552">
        <f>HYPERLINK("https://android.googlesource.com/platform/cts/+/978ec3378fb379d9b62421a3206de6bbe08e839d", "978ec3378fb379d9b62421a3206de6bbe08e839d")</f>
        <v>0</v>
      </c>
      <c r="C20552">
        <f>HYPERLINK("https://android.googlesource.com/platform/cts/+/d205bb118373b8351dd0ed612ba1daf267533e36", "d205bb118373b8351dd0ed612ba1daf267533e36")</f>
        <v>0</v>
      </c>
      <c r="D20552" t="s">
        <v>5679</v>
      </c>
      <c r="E20552" t="s">
        <v>10001</v>
      </c>
      <c r="F20552" t="s">
        <v>14694</v>
      </c>
      <c r="G20552" t="s">
        <v>18584</v>
      </c>
      <c r="H20552" t="s">
        <v>37601</v>
      </c>
    </row>
    <row r="20553" spans="1:8">
      <c r="A20553" t="s">
        <v>4331</v>
      </c>
      <c r="B20553">
        <f>HYPERLINK("https://android.googlesource.com/platform/cts/+/554993ed26ae4b9cf68e2da9869fc6b7c0a1cb83", "554993ed26ae4b9cf68e2da9869fc6b7c0a1cb83")</f>
        <v>0</v>
      </c>
      <c r="C20553">
        <f>HYPERLINK("https://android.googlesource.com/platform/cts/+/8c465936942e70ac62e5f046d8238b9ec2b5ac14", "8c465936942e70ac62e5f046d8238b9ec2b5ac14")</f>
        <v>0</v>
      </c>
      <c r="D20553" t="s">
        <v>5096</v>
      </c>
      <c r="E20553" t="s">
        <v>10002</v>
      </c>
      <c r="F20553" t="s">
        <v>14695</v>
      </c>
      <c r="G20553" t="s">
        <v>18585</v>
      </c>
      <c r="H20553" t="s">
        <v>37602</v>
      </c>
    </row>
    <row r="20554" spans="1:8">
      <c r="A20554" t="s">
        <v>4332</v>
      </c>
      <c r="B20554">
        <f>HYPERLINK("https://android.googlesource.com/platform/cts/+/a7b051d008f68f9b7df271d7c47014333e0ba6d2", "a7b051d008f68f9b7df271d7c47014333e0ba6d2")</f>
        <v>0</v>
      </c>
      <c r="C20554">
        <f>HYPERLINK("https://android.googlesource.com/platform/cts/+/93ddd47863fc9b38ce77a61758f736f29f692f4e", "93ddd47863fc9b38ce77a61758f736f29f692f4e")</f>
        <v>0</v>
      </c>
      <c r="D20554" t="s">
        <v>5528</v>
      </c>
      <c r="E20554" t="s">
        <v>10003</v>
      </c>
      <c r="F20554" t="s">
        <v>13816</v>
      </c>
      <c r="G20554" t="s">
        <v>15089</v>
      </c>
      <c r="H20554" t="s">
        <v>37603</v>
      </c>
    </row>
    <row r="20555" spans="1:8">
      <c r="H20555" t="s">
        <v>37604</v>
      </c>
    </row>
    <row r="20556" spans="1:8">
      <c r="A20556" t="s">
        <v>4337</v>
      </c>
      <c r="B20556">
        <f>HYPERLINK("https://android.googlesource.com/platform/cts/+/b739d8a9a3cef09e1ecc1655416d7fe1dbb3b252", "b739d8a9a3cef09e1ecc1655416d7fe1dbb3b252")</f>
        <v>0</v>
      </c>
      <c r="C20556">
        <f>HYPERLINK("https://android.googlesource.com/platform/cts/+/464610904b6cb7029e0b2c035af8524d7264df1d", "464610904b6cb7029e0b2c035af8524d7264df1d")</f>
        <v>0</v>
      </c>
      <c r="D20556" t="s">
        <v>5681</v>
      </c>
      <c r="E20556" t="s">
        <v>10008</v>
      </c>
      <c r="F20556" t="s">
        <v>14697</v>
      </c>
      <c r="G20556" t="s">
        <v>17316</v>
      </c>
      <c r="H20556" t="s">
        <v>37606</v>
      </c>
    </row>
    <row r="20557" spans="1:8">
      <c r="H20557" t="s">
        <v>37607</v>
      </c>
    </row>
    <row r="20558" spans="1:8">
      <c r="F20558" t="s">
        <v>13392</v>
      </c>
      <c r="G20558" t="s">
        <v>17518</v>
      </c>
      <c r="H20558" t="s">
        <v>37610</v>
      </c>
    </row>
    <row r="20559" spans="1:8">
      <c r="H20559" t="s">
        <v>37611</v>
      </c>
    </row>
    <row r="20560" spans="1:8">
      <c r="A20560" t="s">
        <v>4338</v>
      </c>
      <c r="B20560">
        <f>HYPERLINK("https://android.googlesource.com/platform/cts/+/bfea2b429a1c1d118a394be5078d3fc0be403477", "bfea2b429a1c1d118a394be5078d3fc0be403477")</f>
        <v>0</v>
      </c>
      <c r="C20560">
        <f>HYPERLINK("https://android.googlesource.com/platform/cts/+/e49c76f519bbd7f07828bb94296989de2fd03248", "e49c76f519bbd7f07828bb94296989de2fd03248")</f>
        <v>0</v>
      </c>
      <c r="D20560" t="s">
        <v>5682</v>
      </c>
      <c r="E20560" t="s">
        <v>10009</v>
      </c>
      <c r="F20560" t="s">
        <v>14461</v>
      </c>
      <c r="G20560" t="s">
        <v>15710</v>
      </c>
      <c r="H20560" t="s">
        <v>37612</v>
      </c>
    </row>
    <row r="20561" spans="1:8">
      <c r="H20561" t="s">
        <v>37613</v>
      </c>
    </row>
    <row r="20562" spans="1:8">
      <c r="A20562" t="s">
        <v>4343</v>
      </c>
      <c r="B20562">
        <f>HYPERLINK("https://android.googlesource.com/platform/cts/+/51d1e27002686c3271a10c3f3de48b8e75e19125", "51d1e27002686c3271a10c3f3de48b8e75e19125")</f>
        <v>0</v>
      </c>
      <c r="C20562">
        <f>HYPERLINK("https://android.googlesource.com/platform/cts/+/7734362ee7e3fe0fc1d5fe07b2ebdc17db3eb152", "7734362ee7e3fe0fc1d5fe07b2ebdc17db3eb152")</f>
        <v>0</v>
      </c>
      <c r="D20562" t="s">
        <v>5681</v>
      </c>
      <c r="E20562" t="s">
        <v>10014</v>
      </c>
      <c r="F20562" t="s">
        <v>14697</v>
      </c>
      <c r="G20562" t="s">
        <v>17316</v>
      </c>
      <c r="H20562" t="s">
        <v>37617</v>
      </c>
    </row>
    <row r="20563" spans="1:8">
      <c r="H20563" t="s">
        <v>37618</v>
      </c>
    </row>
    <row r="20564" spans="1:8">
      <c r="H20564" t="s">
        <v>37619</v>
      </c>
    </row>
    <row r="20565" spans="1:8">
      <c r="F20565" t="s">
        <v>13392</v>
      </c>
      <c r="G20565" t="s">
        <v>17518</v>
      </c>
      <c r="H20565" t="s">
        <v>37617</v>
      </c>
    </row>
    <row r="20566" spans="1:8">
      <c r="H20566" t="s">
        <v>37621</v>
      </c>
    </row>
    <row r="20567" spans="1:8">
      <c r="H20567" t="s">
        <v>37619</v>
      </c>
    </row>
    <row r="20568" spans="1:8">
      <c r="A20568" t="s">
        <v>4346</v>
      </c>
      <c r="B20568">
        <f>HYPERLINK("https://android.googlesource.com/platform/cts/+/c9168ca1af170451667da872bc6f041831841728", "c9168ca1af170451667da872bc6f041831841728")</f>
        <v>0</v>
      </c>
      <c r="C20568">
        <f>HYPERLINK("https://android.googlesource.com/platform/cts/+/07298ed28ee5051503d33afdc8b1343a6b57c4ee", "07298ed28ee5051503d33afdc8b1343a6b57c4ee")</f>
        <v>0</v>
      </c>
      <c r="D20568" t="s">
        <v>5645</v>
      </c>
      <c r="E20568" t="s">
        <v>10017</v>
      </c>
      <c r="F20568" t="s">
        <v>12176</v>
      </c>
      <c r="G20568" t="s">
        <v>16415</v>
      </c>
      <c r="H20568" t="s">
        <v>37622</v>
      </c>
    </row>
    <row r="20569" spans="1:8">
      <c r="A20569" t="s">
        <v>4347</v>
      </c>
      <c r="B20569">
        <f>HYPERLINK("https://android.googlesource.com/platform/cts/+/562583f26131f45b7db32c50d2d2ce1f1465c167", "562583f26131f45b7db32c50d2d2ce1f1465c167")</f>
        <v>0</v>
      </c>
      <c r="C20569">
        <f>HYPERLINK("https://android.googlesource.com/platform/cts/+/da2602313a3029c44df290b5c232b68052f7e806", "da2602313a3029c44df290b5c232b68052f7e806")</f>
        <v>0</v>
      </c>
      <c r="D20569" t="s">
        <v>5409</v>
      </c>
      <c r="E20569" t="s">
        <v>10018</v>
      </c>
      <c r="F20569" t="s">
        <v>14702</v>
      </c>
      <c r="G20569" t="s">
        <v>18590</v>
      </c>
      <c r="H20569" t="s">
        <v>37623</v>
      </c>
    </row>
    <row r="20570" spans="1:8">
      <c r="H20570" t="s">
        <v>37624</v>
      </c>
    </row>
    <row r="20571" spans="1:8">
      <c r="H20571" t="s">
        <v>37625</v>
      </c>
    </row>
    <row r="20572" spans="1:8">
      <c r="H20572" t="s">
        <v>37626</v>
      </c>
    </row>
    <row r="20573" spans="1:8">
      <c r="H20573" t="s">
        <v>37627</v>
      </c>
    </row>
    <row r="20574" spans="1:8">
      <c r="H20574" t="s">
        <v>37628</v>
      </c>
    </row>
    <row r="20575" spans="1:8">
      <c r="H20575" t="s">
        <v>37629</v>
      </c>
    </row>
    <row r="20576" spans="1:8">
      <c r="H20576" t="s">
        <v>37630</v>
      </c>
    </row>
    <row r="20577" spans="1:8">
      <c r="H20577" t="s">
        <v>37631</v>
      </c>
    </row>
    <row r="20578" spans="1:8">
      <c r="H20578" t="s">
        <v>37632</v>
      </c>
    </row>
    <row r="20579" spans="1:8">
      <c r="H20579" t="s">
        <v>37633</v>
      </c>
    </row>
    <row r="20580" spans="1:8">
      <c r="H20580" t="s">
        <v>37634</v>
      </c>
    </row>
    <row r="20581" spans="1:8">
      <c r="H20581" t="s">
        <v>37635</v>
      </c>
    </row>
    <row r="20582" spans="1:8">
      <c r="H20582" t="s">
        <v>37636</v>
      </c>
    </row>
    <row r="20583" spans="1:8">
      <c r="H20583" t="s">
        <v>37637</v>
      </c>
    </row>
    <row r="20584" spans="1:8">
      <c r="H20584" t="s">
        <v>37638</v>
      </c>
    </row>
    <row r="20585" spans="1:8">
      <c r="A20585" t="s">
        <v>4349</v>
      </c>
      <c r="B20585">
        <f>HYPERLINK("https://android.googlesource.com/platform/cts/+/3af98153ef190ab9c361f6ba4d3d5a26bebc8222", "3af98153ef190ab9c361f6ba4d3d5a26bebc8222")</f>
        <v>0</v>
      </c>
      <c r="C20585">
        <f>HYPERLINK("https://android.googlesource.com/platform/cts/+/74591bde48e5c7ade93c657e14aac80fed86a0eb", "74591bde48e5c7ade93c657e14aac80fed86a0eb")</f>
        <v>0</v>
      </c>
      <c r="D20585" t="s">
        <v>5685</v>
      </c>
      <c r="E20585" t="s">
        <v>10020</v>
      </c>
      <c r="F20585" t="s">
        <v>14540</v>
      </c>
      <c r="G20585" t="s">
        <v>18464</v>
      </c>
      <c r="H20585" t="s">
        <v>37639</v>
      </c>
    </row>
    <row r="20586" spans="1:8">
      <c r="F20586" t="s">
        <v>12743</v>
      </c>
      <c r="G20586" t="s">
        <v>16935</v>
      </c>
      <c r="H20586" t="s">
        <v>37639</v>
      </c>
    </row>
    <row r="20587" spans="1:8">
      <c r="A20587" t="s">
        <v>4351</v>
      </c>
      <c r="B20587">
        <f>HYPERLINK("https://android.googlesource.com/platform/cts/+/fac20484489a1521b93da8efb8afd7e9e181f3cd", "fac20484489a1521b93da8efb8afd7e9e181f3cd")</f>
        <v>0</v>
      </c>
      <c r="C20587">
        <f>HYPERLINK("https://android.googlesource.com/platform/cts/+/db86295685fb2d24a838b2b1ee3e56b0e3c358fc", "db86295685fb2d24a838b2b1ee3e56b0e3c358fc")</f>
        <v>0</v>
      </c>
      <c r="D20587" t="s">
        <v>5569</v>
      </c>
      <c r="E20587" t="s">
        <v>10022</v>
      </c>
      <c r="F20587" t="s">
        <v>14273</v>
      </c>
      <c r="G20587" t="s">
        <v>18240</v>
      </c>
      <c r="H20587" t="s">
        <v>22334</v>
      </c>
    </row>
    <row r="20588" spans="1:8">
      <c r="H20588" t="s">
        <v>37640</v>
      </c>
    </row>
    <row r="20589" spans="1:8">
      <c r="A20589" t="s">
        <v>4352</v>
      </c>
      <c r="B20589">
        <f>HYPERLINK("https://android.googlesource.com/platform/cts/+/f51224949188a760cf007302fc29640951a45e7d", "f51224949188a760cf007302fc29640951a45e7d")</f>
        <v>0</v>
      </c>
      <c r="C20589">
        <f>HYPERLINK("https://android.googlesource.com/platform/cts/+/93c0427f66b8918067e8f45f0ad62dcd21da52d0", "93c0427f66b8918067e8f45f0ad62dcd21da52d0")</f>
        <v>0</v>
      </c>
      <c r="D20589" t="s">
        <v>5670</v>
      </c>
      <c r="E20589" t="s">
        <v>10023</v>
      </c>
      <c r="F20589" t="s">
        <v>14703</v>
      </c>
      <c r="G20589" t="s">
        <v>18591</v>
      </c>
      <c r="H20589" t="s">
        <v>37641</v>
      </c>
    </row>
    <row r="20590" spans="1:8">
      <c r="F20590" t="s">
        <v>14704</v>
      </c>
      <c r="G20590" t="s">
        <v>18592</v>
      </c>
      <c r="H20590" t="s">
        <v>37642</v>
      </c>
    </row>
    <row r="20591" spans="1:8">
      <c r="H20591" t="s">
        <v>37643</v>
      </c>
    </row>
    <row r="20592" spans="1:8">
      <c r="F20592" t="s">
        <v>14706</v>
      </c>
      <c r="G20592" t="s">
        <v>18594</v>
      </c>
      <c r="H20592" t="s">
        <v>37641</v>
      </c>
    </row>
    <row r="20593" spans="1:8">
      <c r="A20593" t="s">
        <v>4353</v>
      </c>
      <c r="B20593">
        <f>HYPERLINK("https://android.googlesource.com/platform/cts/+/bc80a038f8de952f31ac9396f00b3908ccf134e7", "bc80a038f8de952f31ac9396f00b3908ccf134e7")</f>
        <v>0</v>
      </c>
      <c r="C20593">
        <f>HYPERLINK("https://android.googlesource.com/platform/cts/+/5cc0002148066a6bc92bc761e08e31a431667e71", "5cc0002148066a6bc92bc761e08e31a431667e71")</f>
        <v>0</v>
      </c>
      <c r="D20593" t="s">
        <v>5686</v>
      </c>
      <c r="E20593" t="s">
        <v>10024</v>
      </c>
      <c r="F20593" t="s">
        <v>13225</v>
      </c>
      <c r="G20593" t="s">
        <v>17366</v>
      </c>
      <c r="H20593" t="s">
        <v>37649</v>
      </c>
    </row>
    <row r="20594" spans="1:8">
      <c r="A20594" t="s">
        <v>4355</v>
      </c>
      <c r="B20594">
        <f>HYPERLINK("https://android.googlesource.com/platform/cts/+/4b73d374ef778ffcaa4bfd141a2b675872f93b24", "4b73d374ef778ffcaa4bfd141a2b675872f93b24")</f>
        <v>0</v>
      </c>
      <c r="C20594">
        <f>HYPERLINK("https://android.googlesource.com/platform/cts/+/35648503dfd4e0662e876614f883be2803c6c75e", "35648503dfd4e0662e876614f883be2803c6c75e")</f>
        <v>0</v>
      </c>
      <c r="D20594" t="s">
        <v>5688</v>
      </c>
      <c r="E20594" t="s">
        <v>10026</v>
      </c>
      <c r="F20594" t="s">
        <v>14536</v>
      </c>
      <c r="G20594" t="s">
        <v>18460</v>
      </c>
      <c r="H20594" t="s">
        <v>37650</v>
      </c>
    </row>
    <row r="20595" spans="1:8">
      <c r="A20595" t="s">
        <v>4357</v>
      </c>
      <c r="B20595">
        <f>HYPERLINK("https://android.googlesource.com/platform/cts/+/3fe97654b19ddd310ee47d7ff3ab8a5fb6eb823c", "3fe97654b19ddd310ee47d7ff3ab8a5fb6eb823c")</f>
        <v>0</v>
      </c>
      <c r="C20595">
        <f>HYPERLINK("https://android.googlesource.com/platform/cts/+/19e702e9d30c8e2fe6eac7b1fd2c447af5a84af9", "19e702e9d30c8e2fe6eac7b1fd2c447af5a84af9")</f>
        <v>0</v>
      </c>
      <c r="D20595" t="s">
        <v>5437</v>
      </c>
      <c r="E20595" t="s">
        <v>10028</v>
      </c>
      <c r="F20595" t="s">
        <v>12845</v>
      </c>
      <c r="G20595" t="s">
        <v>16561</v>
      </c>
      <c r="H20595" t="s">
        <v>37651</v>
      </c>
    </row>
    <row r="20596" spans="1:8">
      <c r="A20596" t="s">
        <v>4359</v>
      </c>
      <c r="B20596">
        <f>HYPERLINK("https://android.googlesource.com/platform/cts/+/e116edd8fc9e01bde4156ba43210c14a4190c7a5", "e116edd8fc9e01bde4156ba43210c14a4190c7a5")</f>
        <v>0</v>
      </c>
      <c r="C20596">
        <f>HYPERLINK("https://android.googlesource.com/platform/cts/+/74fad4d53b3e34921de625a64ae6d9f0aa1c832d", "74fad4d53b3e34921de625a64ae6d9f0aa1c832d")</f>
        <v>0</v>
      </c>
      <c r="D20596" t="s">
        <v>5610</v>
      </c>
      <c r="E20596" t="s">
        <v>10029</v>
      </c>
      <c r="F20596" t="s">
        <v>14653</v>
      </c>
      <c r="G20596" t="s">
        <v>17776</v>
      </c>
      <c r="H20596" t="s">
        <v>37652</v>
      </c>
    </row>
    <row r="20597" spans="1:8">
      <c r="H20597" t="s">
        <v>37653</v>
      </c>
    </row>
    <row r="20598" spans="1:8">
      <c r="A20598" t="s">
        <v>4360</v>
      </c>
      <c r="B20598">
        <f>HYPERLINK("https://android.googlesource.com/platform/cts/+/3219937dfdc8fd5981e62b6bdb9e00f3f4958450", "3219937dfdc8fd5981e62b6bdb9e00f3f4958450")</f>
        <v>0</v>
      </c>
      <c r="C20598">
        <f>HYPERLINK("https://android.googlesource.com/platform/cts/+/257528a5a6bcd0fb898f686b92cdb627fe6523ae", "257528a5a6bcd0fb898f686b92cdb627fe6523ae")</f>
        <v>0</v>
      </c>
      <c r="D20598" t="s">
        <v>5564</v>
      </c>
      <c r="E20598" t="s">
        <v>10030</v>
      </c>
      <c r="F20598" t="s">
        <v>11473</v>
      </c>
      <c r="G20598" t="s">
        <v>15713</v>
      </c>
      <c r="H20598" t="s">
        <v>37657</v>
      </c>
    </row>
    <row r="20599" spans="1:8">
      <c r="H20599" t="s">
        <v>37658</v>
      </c>
    </row>
    <row r="20600" spans="1:8">
      <c r="H20600" t="s">
        <v>37659</v>
      </c>
    </row>
    <row r="20601" spans="1:8">
      <c r="H20601" t="s">
        <v>37660</v>
      </c>
    </row>
    <row r="20602" spans="1:8">
      <c r="H20602" t="s">
        <v>37662</v>
      </c>
    </row>
    <row r="20603" spans="1:8">
      <c r="A20603" t="s">
        <v>4365</v>
      </c>
      <c r="B20603">
        <f>HYPERLINK("https://android.googlesource.com/platform/cts/+/baa38e9e92e8ba45bd30c8f5e0f073eaef3c742f", "baa38e9e92e8ba45bd30c8f5e0f073eaef3c742f")</f>
        <v>0</v>
      </c>
      <c r="C20603">
        <f>HYPERLINK("https://android.googlesource.com/platform/cts/+/7b1866771425dc22d5bb463997995878e86340d4", "7b1866771425dc22d5bb463997995878e86340d4")</f>
        <v>0</v>
      </c>
      <c r="D20603" t="s">
        <v>5581</v>
      </c>
      <c r="E20603" t="s">
        <v>10035</v>
      </c>
      <c r="F20603" t="s">
        <v>14707</v>
      </c>
      <c r="G20603" t="s">
        <v>18595</v>
      </c>
      <c r="H20603" t="s">
        <v>37665</v>
      </c>
    </row>
    <row r="20604" spans="1:8">
      <c r="H20604" t="s">
        <v>28456</v>
      </c>
    </row>
    <row r="20605" spans="1:8">
      <c r="A20605" t="s">
        <v>4369</v>
      </c>
      <c r="B20605">
        <f>HYPERLINK("https://android.googlesource.com/platform/cts/+/9a30fca9f8f4c6da04af1c5a8895a18749acb094", "9a30fca9f8f4c6da04af1c5a8895a18749acb094")</f>
        <v>0</v>
      </c>
      <c r="C20605">
        <f>HYPERLINK("https://android.googlesource.com/platform/cts/+/0ddee11e4fef17db7d7e5538e8ffd80b4fd70b39", "0ddee11e4fef17db7d7e5538e8ffd80b4fd70b39")</f>
        <v>0</v>
      </c>
      <c r="D20605" t="s">
        <v>5409</v>
      </c>
      <c r="E20605" t="s">
        <v>10039</v>
      </c>
      <c r="F20605" t="s">
        <v>12743</v>
      </c>
      <c r="G20605" t="s">
        <v>16935</v>
      </c>
      <c r="H20605" t="s">
        <v>37673</v>
      </c>
    </row>
    <row r="20606" spans="1:8">
      <c r="H20606" t="s">
        <v>37674</v>
      </c>
    </row>
    <row r="20607" spans="1:8">
      <c r="H20607" t="s">
        <v>37675</v>
      </c>
    </row>
    <row r="20608" spans="1:8">
      <c r="H20608" t="s">
        <v>37676</v>
      </c>
    </row>
    <row r="20609" spans="1:8">
      <c r="F20609" t="s">
        <v>13229</v>
      </c>
      <c r="G20609" t="s">
        <v>17370</v>
      </c>
      <c r="H20609" t="s">
        <v>37673</v>
      </c>
    </row>
    <row r="20610" spans="1:8">
      <c r="H20610" t="s">
        <v>37674</v>
      </c>
    </row>
    <row r="20611" spans="1:8">
      <c r="A20611" t="s">
        <v>4370</v>
      </c>
      <c r="B20611">
        <f>HYPERLINK("https://android.googlesource.com/platform/cts/+/18087f6e41d5e6cc40d9f79ef4e0ff87a23c01af", "18087f6e41d5e6cc40d9f79ef4e0ff87a23c01af")</f>
        <v>0</v>
      </c>
      <c r="C20611">
        <f>HYPERLINK("https://android.googlesource.com/platform/cts/+/55e11d1cbf4812e764e1de79426a1dc27d225405", "55e11d1cbf4812e764e1de79426a1dc27d225405")</f>
        <v>0</v>
      </c>
      <c r="D20611" t="s">
        <v>5669</v>
      </c>
      <c r="E20611" t="s">
        <v>10040</v>
      </c>
      <c r="F20611" t="s">
        <v>13277</v>
      </c>
      <c r="G20611" t="s">
        <v>17414</v>
      </c>
      <c r="H20611" t="s">
        <v>37677</v>
      </c>
    </row>
    <row r="20612" spans="1:8">
      <c r="H20612" t="s">
        <v>37678</v>
      </c>
    </row>
    <row r="20613" spans="1:8">
      <c r="A20613" t="s">
        <v>4375</v>
      </c>
      <c r="B20613">
        <f>HYPERLINK("https://android.googlesource.com/platform/cts/+/4d2e1d03ebe075af399c256ea998b8c84b33a406", "4d2e1d03ebe075af399c256ea998b8c84b33a406")</f>
        <v>0</v>
      </c>
      <c r="C20613">
        <f>HYPERLINK("https://android.googlesource.com/platform/cts/+/172b613630a350ada5db1deea6cca4df9f38597e", "172b613630a350ada5db1deea6cca4df9f38597e")</f>
        <v>0</v>
      </c>
      <c r="D20613" t="s">
        <v>4965</v>
      </c>
      <c r="E20613" t="s">
        <v>10045</v>
      </c>
      <c r="F20613" t="s">
        <v>14503</v>
      </c>
      <c r="G20613" t="s">
        <v>18431</v>
      </c>
      <c r="H20613" t="s">
        <v>37679</v>
      </c>
    </row>
    <row r="20614" spans="1:8">
      <c r="A20614" t="s">
        <v>4376</v>
      </c>
      <c r="B20614">
        <f>HYPERLINK("https://android.googlesource.com/platform/cts/+/6b74d5aeff94db009ed8bfe23dfa9ec6c3bceb14", "6b74d5aeff94db009ed8bfe23dfa9ec6c3bceb14")</f>
        <v>0</v>
      </c>
      <c r="C20614">
        <f>HYPERLINK("https://android.googlesource.com/platform/cts/+/f1e81a83b9900a2311d2402940fa0d98b5fd18f4", "f1e81a83b9900a2311d2402940fa0d98b5fd18f4")</f>
        <v>0</v>
      </c>
      <c r="D20614" t="s">
        <v>5409</v>
      </c>
      <c r="E20614" t="s">
        <v>10046</v>
      </c>
      <c r="F20614" t="s">
        <v>14578</v>
      </c>
      <c r="G20614" t="s">
        <v>16823</v>
      </c>
      <c r="H20614" t="s">
        <v>37680</v>
      </c>
    </row>
    <row r="20615" spans="1:8">
      <c r="A20615" t="s">
        <v>4378</v>
      </c>
      <c r="B20615">
        <f>HYPERLINK("https://android.googlesource.com/platform/cts/+/1f6856c65d27ec7adbbb54693bbd721e5e08a133", "1f6856c65d27ec7adbbb54693bbd721e5e08a133")</f>
        <v>0</v>
      </c>
      <c r="C20615">
        <f>HYPERLINK("https://android.googlesource.com/platform/cts/+/97d7d5f16429d09b8c23e66ff92c28074b491e14", "97d7d5f16429d09b8c23e66ff92c28074b491e14")</f>
        <v>0</v>
      </c>
      <c r="D20615" t="s">
        <v>5409</v>
      </c>
      <c r="E20615" t="s">
        <v>10048</v>
      </c>
      <c r="F20615" t="s">
        <v>14136</v>
      </c>
      <c r="G20615" t="s">
        <v>18124</v>
      </c>
      <c r="H20615" t="s">
        <v>37681</v>
      </c>
    </row>
    <row r="20616" spans="1:8">
      <c r="F20616" t="s">
        <v>14350</v>
      </c>
      <c r="G20616" t="s">
        <v>18301</v>
      </c>
      <c r="H20616" t="s">
        <v>37682</v>
      </c>
    </row>
    <row r="20617" spans="1:8">
      <c r="F20617" t="s">
        <v>12743</v>
      </c>
      <c r="G20617" t="s">
        <v>16935</v>
      </c>
      <c r="H20617" t="s">
        <v>37681</v>
      </c>
    </row>
    <row r="20618" spans="1:8">
      <c r="F20618" t="s">
        <v>14390</v>
      </c>
      <c r="G20618" t="s">
        <v>18331</v>
      </c>
      <c r="H20618" t="s">
        <v>30867</v>
      </c>
    </row>
    <row r="20619" spans="1:8">
      <c r="A20619" t="s">
        <v>4380</v>
      </c>
      <c r="B20619">
        <f>HYPERLINK("https://android.googlesource.com/platform/cts/+/b85019552d10cf6576d1c84f1af0eb87ad595f63", "b85019552d10cf6576d1c84f1af0eb87ad595f63")</f>
        <v>0</v>
      </c>
      <c r="C20619">
        <f>HYPERLINK("https://android.googlesource.com/platform/cts/+/d938ad3a3883b4a8671006380a4525c5e50c5d2d", "d938ad3a3883b4a8671006380a4525c5e50c5d2d")</f>
        <v>0</v>
      </c>
      <c r="D20619" t="s">
        <v>5685</v>
      </c>
      <c r="E20619" t="s">
        <v>10050</v>
      </c>
      <c r="F20619" t="s">
        <v>14539</v>
      </c>
      <c r="G20619" t="s">
        <v>18463</v>
      </c>
      <c r="H20619" t="s">
        <v>37684</v>
      </c>
    </row>
    <row r="20620" spans="1:8">
      <c r="F20620" t="s">
        <v>12743</v>
      </c>
      <c r="G20620" t="s">
        <v>16935</v>
      </c>
      <c r="H20620" t="s">
        <v>37684</v>
      </c>
    </row>
    <row r="20621" spans="1:8">
      <c r="A20621" t="s">
        <v>4383</v>
      </c>
      <c r="B20621">
        <f>HYPERLINK("https://android.googlesource.com/platform/cts/+/8107a505b9872245ca145c76eff85151d5a44862", "8107a505b9872245ca145c76eff85151d5a44862")</f>
        <v>0</v>
      </c>
      <c r="C20621">
        <f>HYPERLINK("https://android.googlesource.com/platform/cts/+/d43140e13c389ef286ff90b66836281c93a3d90e", "d43140e13c389ef286ff90b66836281c93a3d90e")</f>
        <v>0</v>
      </c>
      <c r="D20621" t="s">
        <v>5653</v>
      </c>
      <c r="E20621" t="s">
        <v>10053</v>
      </c>
      <c r="F20621" t="s">
        <v>14614</v>
      </c>
      <c r="G20621" t="s">
        <v>18526</v>
      </c>
      <c r="H20621" t="s">
        <v>37686</v>
      </c>
    </row>
    <row r="20622" spans="1:8">
      <c r="A20622" t="s">
        <v>4384</v>
      </c>
      <c r="B20622">
        <f>HYPERLINK("https://android.googlesource.com/platform/cts/+/b4454b4ac95ea4076cc07152e288c78c0ebcb404", "b4454b4ac95ea4076cc07152e288c78c0ebcb404")</f>
        <v>0</v>
      </c>
      <c r="C20622">
        <f>HYPERLINK("https://android.googlesource.com/platform/cts/+/55e11d1cbf4812e764e1de79426a1dc27d225405", "55e11d1cbf4812e764e1de79426a1dc27d225405")</f>
        <v>0</v>
      </c>
      <c r="D20622" t="s">
        <v>5526</v>
      </c>
      <c r="E20622" t="s">
        <v>10054</v>
      </c>
      <c r="F20622" t="s">
        <v>14708</v>
      </c>
      <c r="G20622" t="s">
        <v>18596</v>
      </c>
      <c r="H20622" t="s">
        <v>37687</v>
      </c>
    </row>
    <row r="20623" spans="1:8">
      <c r="A20623" t="s">
        <v>4385</v>
      </c>
      <c r="B20623">
        <f>HYPERLINK("https://android.googlesource.com/platform/cts/+/50436356e25589a71583567a7bb64cce54eb9bcd", "50436356e25589a71583567a7bb64cce54eb9bcd")</f>
        <v>0</v>
      </c>
      <c r="C20623">
        <f>HYPERLINK("https://android.googlesource.com/platform/cts/+/cf2d1c32f349e8db998188126f43140dd5907985", "cf2d1c32f349e8db998188126f43140dd5907985")</f>
        <v>0</v>
      </c>
      <c r="D20623" t="s">
        <v>5605</v>
      </c>
      <c r="E20623" t="s">
        <v>10055</v>
      </c>
      <c r="F20623" t="s">
        <v>14295</v>
      </c>
      <c r="G20623" t="s">
        <v>18257</v>
      </c>
      <c r="H20623" t="s">
        <v>37689</v>
      </c>
    </row>
    <row r="20624" spans="1:8">
      <c r="A20624" t="s">
        <v>4387</v>
      </c>
      <c r="B20624">
        <f>HYPERLINK("https://android.googlesource.com/platform/cts/+/24bfdb150a0ebeafa1e465a899bc63ca61663d78", "24bfdb150a0ebeafa1e465a899bc63ca61663d78")</f>
        <v>0</v>
      </c>
      <c r="C20624">
        <f>HYPERLINK("https://android.googlesource.com/platform/cts/+/96332e458ab5c8be69cdd7afbc07879eeb437059", "96332e458ab5c8be69cdd7afbc07879eeb437059")</f>
        <v>0</v>
      </c>
      <c r="D20624" t="s">
        <v>5409</v>
      </c>
      <c r="E20624" t="s">
        <v>10057</v>
      </c>
      <c r="F20624" t="s">
        <v>13974</v>
      </c>
      <c r="G20624" t="s">
        <v>17999</v>
      </c>
      <c r="H20624" t="s">
        <v>37690</v>
      </c>
    </row>
    <row r="20625" spans="1:8">
      <c r="F20625" t="s">
        <v>14038</v>
      </c>
      <c r="G20625" t="s">
        <v>18041</v>
      </c>
      <c r="H20625" t="s">
        <v>37690</v>
      </c>
    </row>
    <row r="20626" spans="1:8">
      <c r="F20626" t="s">
        <v>12762</v>
      </c>
      <c r="G20626" t="s">
        <v>16953</v>
      </c>
      <c r="H20626" t="s">
        <v>37690</v>
      </c>
    </row>
    <row r="20627" spans="1:8">
      <c r="F20627" t="s">
        <v>12743</v>
      </c>
      <c r="G20627" t="s">
        <v>16935</v>
      </c>
      <c r="H20627" t="s">
        <v>37690</v>
      </c>
    </row>
    <row r="20628" spans="1:8">
      <c r="F20628" t="s">
        <v>13229</v>
      </c>
      <c r="G20628" t="s">
        <v>17370</v>
      </c>
      <c r="H20628" t="s">
        <v>37690</v>
      </c>
    </row>
    <row r="20629" spans="1:8">
      <c r="A20629" t="s">
        <v>4391</v>
      </c>
      <c r="B20629">
        <f>HYPERLINK("https://android.googlesource.com/platform/cts/+/fa3a99538ff1124586f9bb889ab909a853d55d71", "fa3a99538ff1124586f9bb889ab909a853d55d71")</f>
        <v>0</v>
      </c>
      <c r="C20629">
        <f>HYPERLINK("https://android.googlesource.com/platform/cts/+/42df9fa626b9885f906594642591dc133c8ae506", "42df9fa626b9885f906594642591dc133c8ae506")</f>
        <v>0</v>
      </c>
      <c r="D20629" t="s">
        <v>5046</v>
      </c>
      <c r="E20629" t="s">
        <v>10061</v>
      </c>
      <c r="F20629" t="s">
        <v>14710</v>
      </c>
      <c r="G20629" t="s">
        <v>18598</v>
      </c>
      <c r="H20629" t="s">
        <v>37693</v>
      </c>
    </row>
    <row r="20630" spans="1:8">
      <c r="H20630" t="s">
        <v>37694</v>
      </c>
    </row>
    <row r="20631" spans="1:8">
      <c r="A20631" t="s">
        <v>4393</v>
      </c>
      <c r="B20631">
        <f>HYPERLINK("https://android.googlesource.com/platform/cts/+/fe2c9e9fb070ee40ae223375ed9143a927b96bf2", "fe2c9e9fb070ee40ae223375ed9143a927b96bf2")</f>
        <v>0</v>
      </c>
      <c r="C20631">
        <f>HYPERLINK("https://android.googlesource.com/platform/cts/+/473715dfebbe96a6b0b9bd4823a2402bbe81e537", "473715dfebbe96a6b0b9bd4823a2402bbe81e537")</f>
        <v>0</v>
      </c>
      <c r="D20631" t="s">
        <v>5341</v>
      </c>
      <c r="E20631" t="s">
        <v>10063</v>
      </c>
      <c r="F20631" t="s">
        <v>13827</v>
      </c>
      <c r="G20631" t="s">
        <v>17871</v>
      </c>
      <c r="H20631" t="s">
        <v>37697</v>
      </c>
    </row>
    <row r="20632" spans="1:8">
      <c r="A20632" t="s">
        <v>4398</v>
      </c>
      <c r="B20632">
        <f>HYPERLINK("https://android.googlesource.com/platform/cts/+/e648b106f405f1b0db568f1044dbd8405cc32c60", "e648b106f405f1b0db568f1044dbd8405cc32c60")</f>
        <v>0</v>
      </c>
      <c r="C20632">
        <f>HYPERLINK("https://android.googlesource.com/platform/cts/+/55438cc39c70b8e2c1c7e53e248de8fed7a9f2d6", "55438cc39c70b8e2c1c7e53e248de8fed7a9f2d6")</f>
        <v>0</v>
      </c>
      <c r="D20632" t="s">
        <v>5427</v>
      </c>
      <c r="E20632" t="s">
        <v>10068</v>
      </c>
      <c r="F20632" t="s">
        <v>13965</v>
      </c>
      <c r="G20632" t="s">
        <v>17990</v>
      </c>
      <c r="H20632" t="s">
        <v>37702</v>
      </c>
    </row>
    <row r="20633" spans="1:8">
      <c r="A20633" t="s">
        <v>4400</v>
      </c>
      <c r="B20633">
        <f>HYPERLINK("https://android.googlesource.com/platform/cts/+/7a60317b587417f071bc6ab0c670c66b488e35b9", "7a60317b587417f071bc6ab0c670c66b488e35b9")</f>
        <v>0</v>
      </c>
      <c r="C20633">
        <f>HYPERLINK("https://android.googlesource.com/platform/cts/+/17e848e89df07027c6a718bb33f24d06d2d15366", "17e848e89df07027c6a718bb33f24d06d2d15366")</f>
        <v>0</v>
      </c>
      <c r="D20633" t="s">
        <v>5182</v>
      </c>
      <c r="E20633" t="s">
        <v>10070</v>
      </c>
      <c r="F20633" t="s">
        <v>14715</v>
      </c>
      <c r="G20633" t="s">
        <v>18602</v>
      </c>
      <c r="H20633" t="s">
        <v>37706</v>
      </c>
    </row>
    <row r="20634" spans="1:8">
      <c r="H20634" t="s">
        <v>37707</v>
      </c>
    </row>
    <row r="20635" spans="1:8">
      <c r="H20635" t="s">
        <v>37708</v>
      </c>
    </row>
    <row r="20636" spans="1:8">
      <c r="H20636" t="s">
        <v>37709</v>
      </c>
    </row>
    <row r="20637" spans="1:8">
      <c r="A20637" t="s">
        <v>4401</v>
      </c>
      <c r="B20637">
        <f>HYPERLINK("https://android.googlesource.com/platform/cts/+/1455b08e43f78c20399e9fae64d91a92cb64e584", "1455b08e43f78c20399e9fae64d91a92cb64e584")</f>
        <v>0</v>
      </c>
      <c r="C20637">
        <f>HYPERLINK("https://android.googlesource.com/platform/cts/+/fb3e4e5a13220e05e6e7d90556ced0667f511bfa", "fb3e4e5a13220e05e6e7d90556ced0667f511bfa")</f>
        <v>0</v>
      </c>
      <c r="D20637" t="s">
        <v>5598</v>
      </c>
      <c r="E20637" t="s">
        <v>10071</v>
      </c>
      <c r="F20637" t="s">
        <v>14388</v>
      </c>
      <c r="G20637" t="s">
        <v>17644</v>
      </c>
      <c r="H20637" t="s">
        <v>37718</v>
      </c>
    </row>
    <row r="20638" spans="1:8">
      <c r="H20638" t="s">
        <v>37719</v>
      </c>
    </row>
    <row r="20639" spans="1:8">
      <c r="A20639" t="s">
        <v>4402</v>
      </c>
      <c r="B20639">
        <f>HYPERLINK("https://android.googlesource.com/platform/cts/+/54c31e41132932492fcccfe0336f405138bfa454", "54c31e41132932492fcccfe0336f405138bfa454")</f>
        <v>0</v>
      </c>
      <c r="C20639">
        <f>HYPERLINK("https://android.googlesource.com/platform/cts/+/1589ac3f1024c9db651b0288a86587035f940829", "1589ac3f1024c9db651b0288a86587035f940829")</f>
        <v>0</v>
      </c>
      <c r="D20639" t="s">
        <v>5473</v>
      </c>
      <c r="E20639" t="s">
        <v>10072</v>
      </c>
      <c r="F20639" t="s">
        <v>14185</v>
      </c>
      <c r="G20639" t="s">
        <v>18166</v>
      </c>
      <c r="H20639" t="s">
        <v>37720</v>
      </c>
    </row>
    <row r="20640" spans="1:8">
      <c r="A20640" t="s">
        <v>4404</v>
      </c>
      <c r="B20640">
        <f>HYPERLINK("https://android.googlesource.com/platform/cts/+/93e479813b6564b179d42d91bb5aed61b393f0a8", "93e479813b6564b179d42d91bb5aed61b393f0a8")</f>
        <v>0</v>
      </c>
      <c r="C20640">
        <f>HYPERLINK("https://android.googlesource.com/platform/cts/+/e8c1b8e3a818f990c7d2898c8987363316590b63", "e8c1b8e3a818f990c7d2898c8987363316590b63")</f>
        <v>0</v>
      </c>
      <c r="D20640" t="s">
        <v>5696</v>
      </c>
      <c r="E20640" t="s">
        <v>10074</v>
      </c>
      <c r="F20640" t="s">
        <v>13548</v>
      </c>
      <c r="G20640" t="s">
        <v>15171</v>
      </c>
      <c r="H20640" t="s">
        <v>37722</v>
      </c>
    </row>
    <row r="20641" spans="1:8">
      <c r="F20641" t="s">
        <v>14225</v>
      </c>
      <c r="G20641" t="s">
        <v>15691</v>
      </c>
      <c r="H20641" t="s">
        <v>37722</v>
      </c>
    </row>
    <row r="20642" spans="1:8">
      <c r="A20642" t="s">
        <v>4405</v>
      </c>
      <c r="B20642">
        <f>HYPERLINK("https://android.googlesource.com/platform/cts/+/2e9c8bf61f9d61cb7bd137cd4fb4b36114621e1e", "2e9c8bf61f9d61cb7bd137cd4fb4b36114621e1e")</f>
        <v>0</v>
      </c>
      <c r="C20642">
        <f>HYPERLINK("https://android.googlesource.com/platform/cts/+/b107357451d28bb9be485368feef246c9b2c7949", "b107357451d28bb9be485368feef246c9b2c7949")</f>
        <v>0</v>
      </c>
      <c r="D20642" t="s">
        <v>5697</v>
      </c>
      <c r="E20642" t="s">
        <v>10075</v>
      </c>
      <c r="F20642" t="s">
        <v>14267</v>
      </c>
      <c r="G20642" t="s">
        <v>18234</v>
      </c>
      <c r="H20642" t="s">
        <v>37723</v>
      </c>
    </row>
    <row r="20643" spans="1:8">
      <c r="A20643" t="s">
        <v>4406</v>
      </c>
      <c r="B20643">
        <f>HYPERLINK("https://android.googlesource.com/platform/cts/+/27887a50ff11a1e4769ff39979870923ce7e0f25", "27887a50ff11a1e4769ff39979870923ce7e0f25")</f>
        <v>0</v>
      </c>
      <c r="C20643">
        <f>HYPERLINK("https://android.googlesource.com/platform/cts/+/c21ab94d0d1ed450f5a0881103cbd5da616bec96", "c21ab94d0d1ed450f5a0881103cbd5da616bec96")</f>
        <v>0</v>
      </c>
      <c r="D20643" t="s">
        <v>5481</v>
      </c>
      <c r="E20643" t="s">
        <v>10076</v>
      </c>
      <c r="F20643" t="s">
        <v>14408</v>
      </c>
      <c r="G20643" t="s">
        <v>18346</v>
      </c>
      <c r="H20643" t="s">
        <v>36730</v>
      </c>
    </row>
    <row r="20644" spans="1:8">
      <c r="H20644" t="s">
        <v>36731</v>
      </c>
    </row>
    <row r="20645" spans="1:8">
      <c r="F20645" t="s">
        <v>14409</v>
      </c>
      <c r="G20645" t="s">
        <v>18347</v>
      </c>
      <c r="H20645" t="s">
        <v>36730</v>
      </c>
    </row>
    <row r="20646" spans="1:8">
      <c r="H20646" t="s">
        <v>36731</v>
      </c>
    </row>
    <row r="20647" spans="1:8">
      <c r="A20647" t="s">
        <v>4407</v>
      </c>
      <c r="B20647">
        <f>HYPERLINK("https://android.googlesource.com/platform/cts/+/7da23f3b662b11d051f54dd946cab27600ddde25", "7da23f3b662b11d051f54dd946cab27600ddde25")</f>
        <v>0</v>
      </c>
      <c r="C20647">
        <f>HYPERLINK("https://android.googlesource.com/platform/cts/+/f3e1e5af4472d6d8953e95add8e67a631ee3471d", "f3e1e5af4472d6d8953e95add8e67a631ee3471d")</f>
        <v>0</v>
      </c>
      <c r="D20647" t="s">
        <v>5038</v>
      </c>
      <c r="E20647" t="s">
        <v>10077</v>
      </c>
      <c r="F20647" t="s">
        <v>14716</v>
      </c>
      <c r="G20647" t="s">
        <v>18106</v>
      </c>
      <c r="H20647" t="s">
        <v>37724</v>
      </c>
    </row>
    <row r="20648" spans="1:8">
      <c r="A20648" t="s">
        <v>4408</v>
      </c>
      <c r="B20648">
        <f>HYPERLINK("https://android.googlesource.com/platform/cts/+/f2b0346a3b40f64394abea4d4a28de12fbca4938", "f2b0346a3b40f64394abea4d4a28de12fbca4938")</f>
        <v>0</v>
      </c>
      <c r="C20648">
        <f>HYPERLINK("https://android.googlesource.com/platform/cts/+/f3e1e5af4472d6d8953e95add8e67a631ee3471d", "f3e1e5af4472d6d8953e95add8e67a631ee3471d")</f>
        <v>0</v>
      </c>
      <c r="D20648" t="s">
        <v>5038</v>
      </c>
      <c r="E20648" t="s">
        <v>10078</v>
      </c>
      <c r="F20648" t="s">
        <v>14717</v>
      </c>
      <c r="G20648" t="s">
        <v>15723</v>
      </c>
      <c r="H20648" t="s">
        <v>37725</v>
      </c>
    </row>
    <row r="20649" spans="1:8">
      <c r="A20649" t="s">
        <v>4409</v>
      </c>
      <c r="B20649">
        <f>HYPERLINK("https://android.googlesource.com/platform/cts/+/8549571aef0edf62ecd5aea350e61c3fa600779c", "8549571aef0edf62ecd5aea350e61c3fa600779c")</f>
        <v>0</v>
      </c>
      <c r="C20649">
        <f>HYPERLINK("https://android.googlesource.com/platform/cts/+/f3e1e5af4472d6d8953e95add8e67a631ee3471d", "f3e1e5af4472d6d8953e95add8e67a631ee3471d")</f>
        <v>0</v>
      </c>
      <c r="D20649" t="s">
        <v>5038</v>
      </c>
      <c r="E20649" t="s">
        <v>10079</v>
      </c>
      <c r="F20649" t="s">
        <v>14717</v>
      </c>
      <c r="G20649" t="s">
        <v>15723</v>
      </c>
      <c r="H20649" t="s">
        <v>37726</v>
      </c>
    </row>
    <row r="20650" spans="1:8">
      <c r="A20650" t="s">
        <v>4410</v>
      </c>
      <c r="B20650">
        <f>HYPERLINK("https://android.googlesource.com/platform/cts/+/58725f2d18d1e28dfba444069d44859807dc37f0", "58725f2d18d1e28dfba444069d44859807dc37f0")</f>
        <v>0</v>
      </c>
      <c r="C20650">
        <f>HYPERLINK("https://android.googlesource.com/platform/cts/+/423bd800cc56d3a607c7b38af8913341ed0967bd", "423bd800cc56d3a607c7b38af8913341ed0967bd")</f>
        <v>0</v>
      </c>
      <c r="D20650" t="s">
        <v>5038</v>
      </c>
      <c r="E20650" t="s">
        <v>10080</v>
      </c>
      <c r="F20650" t="s">
        <v>14718</v>
      </c>
      <c r="G20650" t="s">
        <v>17454</v>
      </c>
      <c r="H20650" t="s">
        <v>37727</v>
      </c>
    </row>
    <row r="20651" spans="1:8">
      <c r="A20651" t="s">
        <v>4414</v>
      </c>
      <c r="B20651">
        <f>HYPERLINK("https://android.googlesource.com/platform/cts/+/c7115b27815a37eeff102305ac1e283b21a38e5f", "c7115b27815a37eeff102305ac1e283b21a38e5f")</f>
        <v>0</v>
      </c>
      <c r="C20651">
        <f>HYPERLINK("https://android.googlesource.com/platform/cts/+/423bd800cc56d3a607c7b38af8913341ed0967bd", "423bd800cc56d3a607c7b38af8913341ed0967bd")</f>
        <v>0</v>
      </c>
      <c r="D20651" t="s">
        <v>5038</v>
      </c>
      <c r="E20651" t="s">
        <v>10084</v>
      </c>
      <c r="F20651" t="s">
        <v>14718</v>
      </c>
      <c r="G20651" t="s">
        <v>17454</v>
      </c>
      <c r="H20651" t="s">
        <v>37729</v>
      </c>
    </row>
    <row r="20652" spans="1:8">
      <c r="A20652" t="s">
        <v>4415</v>
      </c>
      <c r="B20652">
        <f>HYPERLINK("https://android.googlesource.com/platform/cts/+/ef27be1739b96d9264cb686b936f810beda9ed73", "ef27be1739b96d9264cb686b936f810beda9ed73")</f>
        <v>0</v>
      </c>
      <c r="C20652">
        <f>HYPERLINK("https://android.googlesource.com/platform/cts/+/423bd800cc56d3a607c7b38af8913341ed0967bd", "423bd800cc56d3a607c7b38af8913341ed0967bd")</f>
        <v>0</v>
      </c>
      <c r="D20652" t="s">
        <v>5038</v>
      </c>
      <c r="E20652" t="s">
        <v>10085</v>
      </c>
      <c r="F20652" t="s">
        <v>14718</v>
      </c>
      <c r="G20652" t="s">
        <v>17454</v>
      </c>
      <c r="H20652" t="s">
        <v>37730</v>
      </c>
    </row>
    <row r="20653" spans="1:8">
      <c r="A20653" t="s">
        <v>4416</v>
      </c>
      <c r="B20653">
        <f>HYPERLINK("https://android.googlesource.com/platform/cts/+/bab82993f314f56913e72b908bfe77d723da5c93", "bab82993f314f56913e72b908bfe77d723da5c93")</f>
        <v>0</v>
      </c>
      <c r="C20653">
        <f>HYPERLINK("https://android.googlesource.com/platform/cts/+/423bd800cc56d3a607c7b38af8913341ed0967bd", "423bd800cc56d3a607c7b38af8913341ed0967bd")</f>
        <v>0</v>
      </c>
      <c r="D20653" t="s">
        <v>5038</v>
      </c>
      <c r="E20653" t="s">
        <v>10086</v>
      </c>
      <c r="F20653" t="s">
        <v>14718</v>
      </c>
      <c r="G20653" t="s">
        <v>17454</v>
      </c>
      <c r="H20653" t="s">
        <v>37731</v>
      </c>
    </row>
    <row r="20654" spans="1:8">
      <c r="A20654" t="s">
        <v>4419</v>
      </c>
      <c r="B20654">
        <f>HYPERLINK("https://android.googlesource.com/platform/cts/+/fed08fea4f75261469e972ba03abf027055f6dba", "fed08fea4f75261469e972ba03abf027055f6dba")</f>
        <v>0</v>
      </c>
      <c r="C20654">
        <f>HYPERLINK("https://android.googlesource.com/platform/cts/+/1a6463c44989289bc0a755a978bfdd134a08338d", "1a6463c44989289bc0a755a978bfdd134a08338d")</f>
        <v>0</v>
      </c>
      <c r="D20654" t="s">
        <v>5698</v>
      </c>
      <c r="E20654" t="s">
        <v>10089</v>
      </c>
      <c r="F20654" t="s">
        <v>14723</v>
      </c>
      <c r="G20654" t="s">
        <v>18604</v>
      </c>
      <c r="H20654" t="s">
        <v>37734</v>
      </c>
    </row>
    <row r="20655" spans="1:8">
      <c r="H20655" t="s">
        <v>37735</v>
      </c>
    </row>
    <row r="20656" spans="1:8">
      <c r="H20656" t="s">
        <v>37736</v>
      </c>
    </row>
    <row r="20657" spans="1:8">
      <c r="A20657" t="s">
        <v>4420</v>
      </c>
      <c r="B20657">
        <f>HYPERLINK("https://android.googlesource.com/platform/cts/+/a538215827f029dcd43de8dd5f978d4211003219", "a538215827f029dcd43de8dd5f978d4211003219")</f>
        <v>0</v>
      </c>
      <c r="C20657">
        <f>HYPERLINK("https://android.googlesource.com/platform/cts/+/6a7835b7b0fbf1fb1fdbc6e395fb7a5db6a3ec63", "6a7835b7b0fbf1fb1fdbc6e395fb7a5db6a3ec63")</f>
        <v>0</v>
      </c>
      <c r="D20657" t="s">
        <v>5481</v>
      </c>
      <c r="E20657" t="s">
        <v>10090</v>
      </c>
      <c r="F20657" t="s">
        <v>14724</v>
      </c>
      <c r="G20657" t="s">
        <v>18605</v>
      </c>
      <c r="H20657" t="s">
        <v>37741</v>
      </c>
    </row>
    <row r="20658" spans="1:8">
      <c r="A20658" t="s">
        <v>4422</v>
      </c>
      <c r="B20658">
        <f>HYPERLINK("https://android.googlesource.com/platform/cts/+/4f54a958350836f2ed080a9e926401d4471a4ceb", "4f54a958350836f2ed080a9e926401d4471a4ceb")</f>
        <v>0</v>
      </c>
      <c r="C20658">
        <f>HYPERLINK("https://android.googlesource.com/platform/cts/+/d8a0a4308bd39cbec9e3f6d96d14773143f48070", "d8a0a4308bd39cbec9e3f6d96d14773143f48070")</f>
        <v>0</v>
      </c>
      <c r="D20658" t="s">
        <v>5564</v>
      </c>
      <c r="E20658" t="s">
        <v>10092</v>
      </c>
      <c r="F20658" t="s">
        <v>12332</v>
      </c>
      <c r="G20658" t="s">
        <v>16560</v>
      </c>
      <c r="H20658" t="s">
        <v>37745</v>
      </c>
    </row>
    <row r="20659" spans="1:8">
      <c r="H20659" t="s">
        <v>37746</v>
      </c>
    </row>
    <row r="20660" spans="1:8">
      <c r="H20660" t="s">
        <v>37747</v>
      </c>
    </row>
    <row r="20661" spans="1:8">
      <c r="H20661" t="s">
        <v>37748</v>
      </c>
    </row>
    <row r="20662" spans="1:8">
      <c r="H20662" t="s">
        <v>37749</v>
      </c>
    </row>
    <row r="20663" spans="1:8">
      <c r="H20663" t="s">
        <v>37750</v>
      </c>
    </row>
    <row r="20664" spans="1:8">
      <c r="H20664" t="s">
        <v>37751</v>
      </c>
    </row>
    <row r="20665" spans="1:8">
      <c r="H20665" t="s">
        <v>37752</v>
      </c>
    </row>
    <row r="20666" spans="1:8">
      <c r="A20666" t="s">
        <v>4423</v>
      </c>
      <c r="B20666">
        <f>HYPERLINK("https://android.googlesource.com/platform/cts/+/c0ec3fa2f11f729621c49180e2181331b613a74b", "c0ec3fa2f11f729621c49180e2181331b613a74b")</f>
        <v>0</v>
      </c>
      <c r="C20666">
        <f>HYPERLINK("https://android.googlesource.com/platform/cts/+/2a77b6eeba9aab26f21b3eeb452b68f8f8f67e4f", "2a77b6eeba9aab26f21b3eeb452b68f8f8f67e4f")</f>
        <v>0</v>
      </c>
      <c r="D20666" t="s">
        <v>5038</v>
      </c>
      <c r="E20666" t="s">
        <v>10093</v>
      </c>
      <c r="F20666" t="s">
        <v>14718</v>
      </c>
      <c r="G20666" t="s">
        <v>17454</v>
      </c>
      <c r="H20666" t="s">
        <v>37757</v>
      </c>
    </row>
    <row r="20667" spans="1:8">
      <c r="A20667" t="s">
        <v>4424</v>
      </c>
      <c r="B20667">
        <f>HYPERLINK("https://android.googlesource.com/platform/cts/+/7f0dbcc6a79ca3db398cc7d3ac7bd596932f8917", "7f0dbcc6a79ca3db398cc7d3ac7bd596932f8917")</f>
        <v>0</v>
      </c>
      <c r="C20667">
        <f>HYPERLINK("https://android.googlesource.com/platform/cts/+/c0ec3fa2f11f729621c49180e2181331b613a74b", "c0ec3fa2f11f729621c49180e2181331b613a74b")</f>
        <v>0</v>
      </c>
      <c r="D20667" t="s">
        <v>5038</v>
      </c>
      <c r="E20667" t="s">
        <v>10094</v>
      </c>
      <c r="F20667" t="s">
        <v>14718</v>
      </c>
      <c r="G20667" t="s">
        <v>17454</v>
      </c>
      <c r="H20667" t="s">
        <v>37758</v>
      </c>
    </row>
    <row r="20668" spans="1:8">
      <c r="A20668" t="s">
        <v>4425</v>
      </c>
      <c r="B20668">
        <f>HYPERLINK("https://android.googlesource.com/platform/cts/+/77847af5fd63358fce91d9223a2fa410eb6ea74c", "77847af5fd63358fce91d9223a2fa410eb6ea74c")</f>
        <v>0</v>
      </c>
      <c r="C20668">
        <f>HYPERLINK("https://android.googlesource.com/platform/cts/+/a25121b8ed05d9395caceb2f777cd4f17b2e7409", "a25121b8ed05d9395caceb2f777cd4f17b2e7409")</f>
        <v>0</v>
      </c>
      <c r="D20668" t="s">
        <v>5191</v>
      </c>
      <c r="E20668" t="s">
        <v>10095</v>
      </c>
      <c r="F20668" t="s">
        <v>14727</v>
      </c>
      <c r="G20668" t="s">
        <v>18608</v>
      </c>
      <c r="H20668" t="s">
        <v>37759</v>
      </c>
    </row>
    <row r="20669" spans="1:8">
      <c r="A20669" t="s">
        <v>4426</v>
      </c>
      <c r="B20669">
        <f>HYPERLINK("https://android.googlesource.com/platform/cts/+/ed92b5d220fe0c2f4fcd34734e073c3fe9b48be8", "ed92b5d220fe0c2f4fcd34734e073c3fe9b48be8")</f>
        <v>0</v>
      </c>
      <c r="C20669">
        <f>HYPERLINK("https://android.googlesource.com/platform/cts/+/6f7f2e606bc096d2cac1da50b2c7b5b811bb7dbf", "6f7f2e606bc096d2cac1da50b2c7b5b811bb7dbf")</f>
        <v>0</v>
      </c>
      <c r="D20669" t="s">
        <v>5700</v>
      </c>
      <c r="E20669" t="s">
        <v>10096</v>
      </c>
      <c r="F20669" t="s">
        <v>14728</v>
      </c>
      <c r="G20669" t="s">
        <v>18609</v>
      </c>
      <c r="H20669" t="s">
        <v>37760</v>
      </c>
    </row>
    <row r="20670" spans="1:8">
      <c r="H20670" t="s">
        <v>37761</v>
      </c>
    </row>
    <row r="20671" spans="1:8">
      <c r="F20671" t="s">
        <v>14729</v>
      </c>
      <c r="G20671" t="s">
        <v>18610</v>
      </c>
      <c r="H20671" t="s">
        <v>37762</v>
      </c>
    </row>
    <row r="20672" spans="1:8">
      <c r="H20672" t="s">
        <v>27720</v>
      </c>
    </row>
    <row r="20673" spans="8:8">
      <c r="H20673" t="s">
        <v>37763</v>
      </c>
    </row>
    <row r="20674" spans="8:8">
      <c r="H20674" t="s">
        <v>37764</v>
      </c>
    </row>
    <row r="20675" spans="8:8">
      <c r="H20675" t="s">
        <v>37765</v>
      </c>
    </row>
    <row r="20676" spans="8:8">
      <c r="H20676" t="s">
        <v>37766</v>
      </c>
    </row>
    <row r="20677" spans="8:8">
      <c r="H20677" t="s">
        <v>37767</v>
      </c>
    </row>
    <row r="20678" spans="8:8">
      <c r="H20678" t="s">
        <v>37768</v>
      </c>
    </row>
    <row r="20679" spans="8:8">
      <c r="H20679" t="s">
        <v>37769</v>
      </c>
    </row>
    <row r="20680" spans="8:8">
      <c r="H20680" t="s">
        <v>37770</v>
      </c>
    </row>
    <row r="20681" spans="8:8">
      <c r="H20681" t="s">
        <v>37771</v>
      </c>
    </row>
    <row r="20682" spans="8:8">
      <c r="H20682" t="s">
        <v>37772</v>
      </c>
    </row>
    <row r="20683" spans="8:8">
      <c r="H20683" t="s">
        <v>37773</v>
      </c>
    </row>
    <row r="20684" spans="8:8">
      <c r="H20684" t="s">
        <v>37774</v>
      </c>
    </row>
    <row r="20685" spans="8:8">
      <c r="H20685" t="s">
        <v>37775</v>
      </c>
    </row>
    <row r="20686" spans="8:8">
      <c r="H20686" t="s">
        <v>37776</v>
      </c>
    </row>
    <row r="20687" spans="8:8">
      <c r="H20687" t="s">
        <v>37777</v>
      </c>
    </row>
    <row r="20688" spans="8:8">
      <c r="H20688" t="s">
        <v>37778</v>
      </c>
    </row>
    <row r="20689" spans="1:8">
      <c r="H20689" t="s">
        <v>37779</v>
      </c>
    </row>
    <row r="20690" spans="1:8">
      <c r="H20690" t="s">
        <v>37780</v>
      </c>
    </row>
    <row r="20691" spans="1:8">
      <c r="H20691" t="s">
        <v>37781</v>
      </c>
    </row>
    <row r="20692" spans="1:8">
      <c r="H20692" t="s">
        <v>37782</v>
      </c>
    </row>
    <row r="20693" spans="1:8">
      <c r="H20693" t="s">
        <v>37783</v>
      </c>
    </row>
    <row r="20694" spans="1:8">
      <c r="A20694" t="s">
        <v>4429</v>
      </c>
      <c r="B20694">
        <f>HYPERLINK("https://android.googlesource.com/platform/cts/+/b3fa9adc1430ad7e716bbe046bc0a6c9dac67013", "b3fa9adc1430ad7e716bbe046bc0a6c9dac67013")</f>
        <v>0</v>
      </c>
      <c r="C20694">
        <f>HYPERLINK("https://android.googlesource.com/platform/cts/+/fb33ad5df17245fc69ac1527a2e6d4f8a41be551", "fb33ad5df17245fc69ac1527a2e6d4f8a41be551")</f>
        <v>0</v>
      </c>
      <c r="D20694" t="s">
        <v>5243</v>
      </c>
      <c r="E20694" t="s">
        <v>10099</v>
      </c>
      <c r="F20694" t="s">
        <v>14696</v>
      </c>
      <c r="G20694" t="s">
        <v>18555</v>
      </c>
      <c r="H20694" t="s">
        <v>37319</v>
      </c>
    </row>
    <row r="20695" spans="1:8">
      <c r="A20695" t="s">
        <v>4430</v>
      </c>
      <c r="B20695">
        <f>HYPERLINK("https://android.googlesource.com/platform/cts/+/493b8d7d3b4d43e483c03b155d38057e3eacd3c9", "493b8d7d3b4d43e483c03b155d38057e3eacd3c9")</f>
        <v>0</v>
      </c>
      <c r="C20695">
        <f>HYPERLINK("https://android.googlesource.com/platform/cts/+/245f97758f65d5446b0ca2c0ab08b9c72c73a428", "245f97758f65d5446b0ca2c0ab08b9c72c73a428")</f>
        <v>0</v>
      </c>
      <c r="D20695" t="s">
        <v>5700</v>
      </c>
      <c r="E20695" t="s">
        <v>10100</v>
      </c>
      <c r="F20695" t="s">
        <v>14730</v>
      </c>
      <c r="G20695" t="s">
        <v>18611</v>
      </c>
      <c r="H20695" t="s">
        <v>37792</v>
      </c>
    </row>
    <row r="20696" spans="1:8">
      <c r="A20696" t="s">
        <v>4431</v>
      </c>
      <c r="B20696">
        <f>HYPERLINK("https://android.googlesource.com/platform/cts/+/93f558b615626e4a6a2e63c046d303000ddb96ea", "93f558b615626e4a6a2e63c046d303000ddb96ea")</f>
        <v>0</v>
      </c>
      <c r="C20696">
        <f>HYPERLINK("https://android.googlesource.com/platform/cts/+/a79a4f33e63a9f6f24efdfd0b914b89c31e59ff7", "a79a4f33e63a9f6f24efdfd0b914b89c31e59ff7")</f>
        <v>0</v>
      </c>
      <c r="D20696" t="s">
        <v>5118</v>
      </c>
      <c r="E20696" t="s">
        <v>10101</v>
      </c>
      <c r="F20696" t="s">
        <v>13165</v>
      </c>
      <c r="G20696" t="s">
        <v>17315</v>
      </c>
      <c r="H20696" t="s">
        <v>37793</v>
      </c>
    </row>
    <row r="20697" spans="1:8">
      <c r="A20697" t="s">
        <v>4435</v>
      </c>
      <c r="B20697">
        <f>HYPERLINK("https://android.googlesource.com/platform/cts/+/e71f66ecc0dacc8e5d53afc2ef05112f1a19fe0c", "e71f66ecc0dacc8e5d53afc2ef05112f1a19fe0c")</f>
        <v>0</v>
      </c>
      <c r="C20697">
        <f>HYPERLINK("https://android.googlesource.com/platform/cts/+/6a7835b7b0fbf1fb1fdbc6e395fb7a5db6a3ec63", "6a7835b7b0fbf1fb1fdbc6e395fb7a5db6a3ec63")</f>
        <v>0</v>
      </c>
      <c r="D20697" t="s">
        <v>5363</v>
      </c>
      <c r="E20697" t="s">
        <v>10102</v>
      </c>
      <c r="F20697" t="s">
        <v>14731</v>
      </c>
      <c r="G20697" t="s">
        <v>18612</v>
      </c>
      <c r="H20697" t="s">
        <v>18836</v>
      </c>
    </row>
    <row r="20698" spans="1:8">
      <c r="A20698" t="s">
        <v>4437</v>
      </c>
      <c r="B20698">
        <f>HYPERLINK("https://android.googlesource.com/platform/cts/+/54398272947bf56818ff304f57b8aa1781c78ac3", "54398272947bf56818ff304f57b8aa1781c78ac3")</f>
        <v>0</v>
      </c>
      <c r="C20698">
        <f>HYPERLINK("https://android.googlesource.com/platform/cts/+/ed7459d534cdc13be555b348ddcb25ecca4b3ab5", "ed7459d534cdc13be555b348ddcb25ecca4b3ab5")</f>
        <v>0</v>
      </c>
      <c r="D20698" t="s">
        <v>5523</v>
      </c>
      <c r="E20698" t="s">
        <v>10104</v>
      </c>
      <c r="F20698" t="s">
        <v>14733</v>
      </c>
      <c r="G20698" t="s">
        <v>18614</v>
      </c>
      <c r="H20698" t="s">
        <v>37803</v>
      </c>
    </row>
    <row r="20699" spans="1:8">
      <c r="A20699" t="s">
        <v>4440</v>
      </c>
      <c r="B20699">
        <f>HYPERLINK("https://android.googlesource.com/platform/cts/+/7948d4ce0835e16530bdc6668539e6f63d33f4c8", "7948d4ce0835e16530bdc6668539e6f63d33f4c8")</f>
        <v>0</v>
      </c>
      <c r="C20699">
        <f>HYPERLINK("https://android.googlesource.com/platform/cts/+/6ff2a32012af035eedfed15dc9d746e9c542f1de", "6ff2a32012af035eedfed15dc9d746e9c542f1de")</f>
        <v>0</v>
      </c>
      <c r="D20699" t="s">
        <v>5584</v>
      </c>
      <c r="E20699" t="s">
        <v>10107</v>
      </c>
      <c r="F20699" t="s">
        <v>14735</v>
      </c>
      <c r="G20699" t="s">
        <v>17345</v>
      </c>
      <c r="H20699" t="s">
        <v>37805</v>
      </c>
    </row>
    <row r="20700" spans="1:8">
      <c r="H20700" t="s">
        <v>37806</v>
      </c>
    </row>
    <row r="20701" spans="1:8">
      <c r="H20701" t="s">
        <v>37807</v>
      </c>
    </row>
    <row r="20702" spans="1:8">
      <c r="A20702" t="s">
        <v>4441</v>
      </c>
      <c r="B20702">
        <f>HYPERLINK("https://android.googlesource.com/platform/cts/+/2deb3b31533ac7e8cfbd434ebf69548ca0ec8e19", "2deb3b31533ac7e8cfbd434ebf69548ca0ec8e19")</f>
        <v>0</v>
      </c>
      <c r="C20702">
        <f>HYPERLINK("https://android.googlesource.com/platform/cts/+/89228705d002b34f8e6a55f36a5ad8e36b9c9e00", "89228705d002b34f8e6a55f36a5ad8e36b9c9e00")</f>
        <v>0</v>
      </c>
      <c r="D20702" t="s">
        <v>5504</v>
      </c>
      <c r="E20702" t="s">
        <v>10108</v>
      </c>
      <c r="F20702" t="s">
        <v>14300</v>
      </c>
      <c r="G20702" t="s">
        <v>18259</v>
      </c>
      <c r="H20702" t="s">
        <v>37809</v>
      </c>
    </row>
    <row r="20703" spans="1:8">
      <c r="H20703" t="s">
        <v>37810</v>
      </c>
    </row>
    <row r="20704" spans="1:8">
      <c r="H20704" t="s">
        <v>37811</v>
      </c>
    </row>
    <row r="20705" spans="1:8">
      <c r="H20705" t="s">
        <v>37812</v>
      </c>
    </row>
    <row r="20706" spans="1:8">
      <c r="H20706" t="s">
        <v>37813</v>
      </c>
    </row>
    <row r="20707" spans="1:8">
      <c r="H20707" t="s">
        <v>37814</v>
      </c>
    </row>
    <row r="20708" spans="1:8">
      <c r="H20708" t="s">
        <v>37815</v>
      </c>
    </row>
    <row r="20709" spans="1:8">
      <c r="A20709" t="s">
        <v>4445</v>
      </c>
      <c r="B20709">
        <f>HYPERLINK("https://android.googlesource.com/platform/cts/+/304ee81e08ef62d93f260ab298d9e3ed23bbcb03", "304ee81e08ef62d93f260ab298d9e3ed23bbcb03")</f>
        <v>0</v>
      </c>
      <c r="C20709">
        <f>HYPERLINK("https://android.googlesource.com/platform/cts/+/3f146cc6e7c777bd9fd454ed7aaf8183ef2ad64c", "3f146cc6e7c777bd9fd454ed7aaf8183ef2ad64c")</f>
        <v>0</v>
      </c>
      <c r="D20709" t="s">
        <v>5564</v>
      </c>
      <c r="E20709" t="s">
        <v>10112</v>
      </c>
      <c r="F20709" t="s">
        <v>14737</v>
      </c>
      <c r="G20709" t="s">
        <v>16621</v>
      </c>
      <c r="H20709" t="s">
        <v>37833</v>
      </c>
    </row>
    <row r="20710" spans="1:8">
      <c r="H20710" t="s">
        <v>37834</v>
      </c>
    </row>
    <row r="20711" spans="1:8">
      <c r="H20711" t="s">
        <v>37835</v>
      </c>
    </row>
    <row r="20712" spans="1:8">
      <c r="H20712" t="s">
        <v>37836</v>
      </c>
    </row>
    <row r="20713" spans="1:8">
      <c r="H20713" t="s">
        <v>37837</v>
      </c>
    </row>
    <row r="20714" spans="1:8">
      <c r="H20714" t="s">
        <v>37838</v>
      </c>
    </row>
    <row r="20715" spans="1:8">
      <c r="H20715" t="s">
        <v>37839</v>
      </c>
    </row>
    <row r="20716" spans="1:8">
      <c r="H20716" t="s">
        <v>37840</v>
      </c>
    </row>
    <row r="20717" spans="1:8">
      <c r="H20717" t="s">
        <v>37841</v>
      </c>
    </row>
    <row r="20718" spans="1:8">
      <c r="H20718" t="s">
        <v>37842</v>
      </c>
    </row>
    <row r="20719" spans="1:8">
      <c r="H20719" t="s">
        <v>37843</v>
      </c>
    </row>
    <row r="20720" spans="1:8">
      <c r="H20720" t="s">
        <v>37844</v>
      </c>
    </row>
    <row r="20721" spans="1:8">
      <c r="H20721" t="s">
        <v>37845</v>
      </c>
    </row>
    <row r="20722" spans="1:8">
      <c r="H20722" t="s">
        <v>37846</v>
      </c>
    </row>
    <row r="20723" spans="1:8">
      <c r="H20723" t="s">
        <v>37847</v>
      </c>
    </row>
    <row r="20724" spans="1:8">
      <c r="H20724" t="s">
        <v>37848</v>
      </c>
    </row>
    <row r="20725" spans="1:8">
      <c r="H20725" t="s">
        <v>37849</v>
      </c>
    </row>
    <row r="20726" spans="1:8">
      <c r="H20726" t="s">
        <v>37850</v>
      </c>
    </row>
    <row r="20727" spans="1:8">
      <c r="H20727" t="s">
        <v>37851</v>
      </c>
    </row>
    <row r="20728" spans="1:8">
      <c r="H20728" t="s">
        <v>37852</v>
      </c>
    </row>
    <row r="20729" spans="1:8">
      <c r="H20729" t="s">
        <v>37853</v>
      </c>
    </row>
    <row r="20730" spans="1:8">
      <c r="H20730" t="s">
        <v>37854</v>
      </c>
    </row>
    <row r="20731" spans="1:8">
      <c r="H20731" t="s">
        <v>37855</v>
      </c>
    </row>
    <row r="20732" spans="1:8">
      <c r="H20732" t="s">
        <v>37856</v>
      </c>
    </row>
    <row r="20733" spans="1:8">
      <c r="H20733" t="s">
        <v>37857</v>
      </c>
    </row>
    <row r="20734" spans="1:8">
      <c r="H20734" t="s">
        <v>37858</v>
      </c>
    </row>
    <row r="20735" spans="1:8">
      <c r="A20735" t="s">
        <v>4449</v>
      </c>
      <c r="B20735">
        <f>HYPERLINK("https://android.googlesource.com/platform/cts/+/da816eb1f661a6859d1ab89fffd49f04cf743ef2", "da816eb1f661a6859d1ab89fffd49f04cf743ef2")</f>
        <v>0</v>
      </c>
      <c r="C20735">
        <f>HYPERLINK("https://android.googlesource.com/platform/cts/+/de2d34fbe42917d2fccfc1b2e8f9fa13646ef0f7", "de2d34fbe42917d2fccfc1b2e8f9fa13646ef0f7")</f>
        <v>0</v>
      </c>
      <c r="D20735" t="s">
        <v>5660</v>
      </c>
      <c r="E20735" t="s">
        <v>10116</v>
      </c>
      <c r="F20735" t="s">
        <v>11433</v>
      </c>
      <c r="G20735" t="s">
        <v>15673</v>
      </c>
      <c r="H20735" t="s">
        <v>37860</v>
      </c>
    </row>
    <row r="20736" spans="1:8">
      <c r="H20736" t="s">
        <v>37861</v>
      </c>
    </row>
    <row r="20737" spans="1:8">
      <c r="H20737" t="s">
        <v>37862</v>
      </c>
    </row>
    <row r="20738" spans="1:8">
      <c r="H20738" t="s">
        <v>37863</v>
      </c>
    </row>
    <row r="20739" spans="1:8">
      <c r="H20739" t="s">
        <v>37864</v>
      </c>
    </row>
    <row r="20740" spans="1:8">
      <c r="H20740" t="s">
        <v>37865</v>
      </c>
    </row>
    <row r="20741" spans="1:8">
      <c r="A20741" t="s">
        <v>4451</v>
      </c>
      <c r="B20741">
        <f>HYPERLINK("https://android.googlesource.com/platform/cts/+/da70318e3d974aba9db05dcbaf77130e886134a1", "da70318e3d974aba9db05dcbaf77130e886134a1")</f>
        <v>0</v>
      </c>
      <c r="C20741">
        <f>HYPERLINK("https://android.googlesource.com/platform/cts/+/2deb3b31533ac7e8cfbd434ebf69548ca0ec8e19", "2deb3b31533ac7e8cfbd434ebf69548ca0ec8e19")</f>
        <v>0</v>
      </c>
      <c r="D20741" t="s">
        <v>5702</v>
      </c>
      <c r="E20741" t="s">
        <v>10117</v>
      </c>
      <c r="F20741" t="s">
        <v>14300</v>
      </c>
      <c r="G20741" t="s">
        <v>18259</v>
      </c>
      <c r="H20741" t="s">
        <v>37866</v>
      </c>
    </row>
    <row r="20742" spans="1:8">
      <c r="H20742" t="s">
        <v>37867</v>
      </c>
    </row>
    <row r="20743" spans="1:8">
      <c r="H20743" t="s">
        <v>37868</v>
      </c>
    </row>
    <row r="20744" spans="1:8">
      <c r="H20744" t="s">
        <v>37869</v>
      </c>
    </row>
    <row r="20745" spans="1:8">
      <c r="H20745" t="s">
        <v>37870</v>
      </c>
    </row>
    <row r="20746" spans="1:8">
      <c r="A20746" t="s">
        <v>4452</v>
      </c>
      <c r="B20746">
        <f>HYPERLINK("https://android.googlesource.com/platform/cts/+/9f48672fe8aefafc2bb544a5db923a95cfee61cd", "9f48672fe8aefafc2bb544a5db923a95cfee61cd")</f>
        <v>0</v>
      </c>
      <c r="C20746">
        <f>HYPERLINK("https://android.googlesource.com/platform/cts/+/79dac82f2c8826d01b0b228e42023568200ac911", "79dac82f2c8826d01b0b228e42023568200ac911")</f>
        <v>0</v>
      </c>
      <c r="D20746" t="s">
        <v>5504</v>
      </c>
      <c r="E20746" t="s">
        <v>10118</v>
      </c>
      <c r="F20746" t="s">
        <v>14300</v>
      </c>
      <c r="G20746" t="s">
        <v>18259</v>
      </c>
      <c r="H20746" t="s">
        <v>37809</v>
      </c>
    </row>
    <row r="20747" spans="1:8">
      <c r="H20747" t="s">
        <v>37810</v>
      </c>
    </row>
    <row r="20748" spans="1:8">
      <c r="H20748" t="s">
        <v>37811</v>
      </c>
    </row>
    <row r="20749" spans="1:8">
      <c r="H20749" t="s">
        <v>37812</v>
      </c>
    </row>
    <row r="20750" spans="1:8">
      <c r="H20750" t="s">
        <v>37813</v>
      </c>
    </row>
    <row r="20751" spans="1:8">
      <c r="H20751" t="s">
        <v>37814</v>
      </c>
    </row>
    <row r="20752" spans="1:8">
      <c r="H20752" t="s">
        <v>37815</v>
      </c>
    </row>
    <row r="20753" spans="1:8">
      <c r="A20753" t="s">
        <v>4453</v>
      </c>
      <c r="B20753">
        <f>HYPERLINK("https://android.googlesource.com/platform/cts/+/64ad0009d8e02a9b40c54e50092d7b87e7e38de8", "64ad0009d8e02a9b40c54e50092d7b87e7e38de8")</f>
        <v>0</v>
      </c>
      <c r="C20753">
        <f>HYPERLINK("https://android.googlesource.com/platform/cts/+/0af0ca796fa87eb06093341634a13ff57eafda4a", "0af0ca796fa87eb06093341634a13ff57eafda4a")</f>
        <v>0</v>
      </c>
      <c r="D20753" t="s">
        <v>5703</v>
      </c>
      <c r="E20753" t="s">
        <v>10119</v>
      </c>
      <c r="F20753" t="s">
        <v>12241</v>
      </c>
      <c r="G20753" t="s">
        <v>16472</v>
      </c>
      <c r="H20753" t="s">
        <v>37871</v>
      </c>
    </row>
    <row r="20754" spans="1:8">
      <c r="A20754" t="s">
        <v>4454</v>
      </c>
      <c r="B20754">
        <f>HYPERLINK("https://android.googlesource.com/platform/cts/+/a415f0739fccbe5407052b27a7de74965ae1c0e8", "a415f0739fccbe5407052b27a7de74965ae1c0e8")</f>
        <v>0</v>
      </c>
      <c r="C20754">
        <f>HYPERLINK("https://android.googlesource.com/platform/cts/+/c7f14c6cd2e17ab1908a1c3f3a42a50eda85ea82", "c7f14c6cd2e17ab1908a1c3f3a42a50eda85ea82")</f>
        <v>0</v>
      </c>
      <c r="D20754" t="s">
        <v>5704</v>
      </c>
      <c r="E20754" t="s">
        <v>10120</v>
      </c>
      <c r="F20754" t="s">
        <v>14738</v>
      </c>
      <c r="G20754" t="s">
        <v>18617</v>
      </c>
      <c r="H20754" t="s">
        <v>37872</v>
      </c>
    </row>
    <row r="20755" spans="1:8">
      <c r="A20755" t="s">
        <v>4459</v>
      </c>
      <c r="B20755">
        <f>HYPERLINK("https://android.googlesource.com/platform/cts/+/736bc60035915ba6b3613c2f685fa220d556b1b4", "736bc60035915ba6b3613c2f685fa220d556b1b4")</f>
        <v>0</v>
      </c>
      <c r="C20755">
        <f>HYPERLINK("https://android.googlesource.com/platform/cts/+/116d83e00060b1520cb36719a5e2fe78419e0843", "116d83e00060b1520cb36719a5e2fe78419e0843")</f>
        <v>0</v>
      </c>
      <c r="D20755" t="s">
        <v>5584</v>
      </c>
      <c r="E20755" t="s">
        <v>10122</v>
      </c>
      <c r="F20755" t="s">
        <v>14739</v>
      </c>
      <c r="G20755" t="s">
        <v>18618</v>
      </c>
      <c r="H20755" t="s">
        <v>37875</v>
      </c>
    </row>
    <row r="20756" spans="1:8">
      <c r="A20756" t="s">
        <v>4460</v>
      </c>
      <c r="B20756">
        <f>HYPERLINK("https://android.googlesource.com/platform/cts/+/ecd96cf01a5a3461749b167f849c669a889caebe", "ecd96cf01a5a3461749b167f849c669a889caebe")</f>
        <v>0</v>
      </c>
      <c r="C20756">
        <f>HYPERLINK("https://android.googlesource.com/platform/cts/+/83fd247f8b7357d064c8f809dd742db3238b79e3", "83fd247f8b7357d064c8f809dd742db3238b79e3")</f>
        <v>0</v>
      </c>
      <c r="D20756" t="s">
        <v>5315</v>
      </c>
      <c r="E20756" t="s">
        <v>10123</v>
      </c>
      <c r="F20756" t="s">
        <v>14067</v>
      </c>
      <c r="G20756" t="s">
        <v>18065</v>
      </c>
      <c r="H20756" t="s">
        <v>37876</v>
      </c>
    </row>
    <row r="20757" spans="1:8">
      <c r="F20757" t="s">
        <v>14068</v>
      </c>
      <c r="G20757" t="s">
        <v>18066</v>
      </c>
      <c r="H20757" t="s">
        <v>37876</v>
      </c>
    </row>
    <row r="20758" spans="1:8">
      <c r="A20758" t="s">
        <v>4465</v>
      </c>
      <c r="B20758">
        <f>HYPERLINK("https://android.googlesource.com/platform/cts/+/9607c0a2309d280580cff32fcfeabb550b15ce21", "9607c0a2309d280580cff32fcfeabb550b15ce21")</f>
        <v>0</v>
      </c>
      <c r="C20758">
        <f>HYPERLINK("https://android.googlesource.com/platform/cts/+/a8790bee06d961a03ca34a17577596f44f60dbc4", "a8790bee06d961a03ca34a17577596f44f60dbc4")</f>
        <v>0</v>
      </c>
      <c r="D20758" t="s">
        <v>5706</v>
      </c>
      <c r="E20758" t="s">
        <v>10127</v>
      </c>
      <c r="F20758" t="s">
        <v>13307</v>
      </c>
      <c r="G20758" t="s">
        <v>16817</v>
      </c>
      <c r="H20758" t="s">
        <v>37893</v>
      </c>
    </row>
    <row r="20759" spans="1:8">
      <c r="A20759" t="s">
        <v>4467</v>
      </c>
      <c r="B20759">
        <f>HYPERLINK("https://android.googlesource.com/platform/cts/+/9ca529aec0da8d804e80aab376e07a634e17a1ac", "9ca529aec0da8d804e80aab376e07a634e17a1ac")</f>
        <v>0</v>
      </c>
      <c r="C20759">
        <f>HYPERLINK("https://android.googlesource.com/platform/cts/+/f71c99c45dd3190e9e28c467c7a0d0b5366e1852", "f71c99c45dd3190e9e28c467c7a0d0b5366e1852")</f>
        <v>0</v>
      </c>
      <c r="D20759" t="s">
        <v>5584</v>
      </c>
      <c r="E20759" t="s">
        <v>10129</v>
      </c>
      <c r="F20759" t="s">
        <v>14743</v>
      </c>
      <c r="G20759" t="s">
        <v>18620</v>
      </c>
      <c r="H20759" t="s">
        <v>37894</v>
      </c>
    </row>
    <row r="20760" spans="1:8">
      <c r="A20760" t="s">
        <v>4469</v>
      </c>
      <c r="B20760">
        <f>HYPERLINK("https://android.googlesource.com/platform/cts/+/fd2772894b2be84bda85735053ce99cf5eb73019", "fd2772894b2be84bda85735053ce99cf5eb73019")</f>
        <v>0</v>
      </c>
      <c r="C20760">
        <f>HYPERLINK("https://android.googlesource.com/platform/cts/+/3cd74e0c5ade6c71ad28d2f22a81e3d513da28d1", "3cd74e0c5ade6c71ad28d2f22a81e3d513da28d1")</f>
        <v>0</v>
      </c>
      <c r="D20760" t="s">
        <v>5005</v>
      </c>
      <c r="E20760" t="s">
        <v>10131</v>
      </c>
      <c r="F20760" t="s">
        <v>11193</v>
      </c>
      <c r="G20760" t="s">
        <v>15582</v>
      </c>
      <c r="H20760" t="s">
        <v>37902</v>
      </c>
    </row>
    <row r="20761" spans="1:8">
      <c r="H20761" t="s">
        <v>37903</v>
      </c>
    </row>
    <row r="20762" spans="1:8">
      <c r="A20762" t="s">
        <v>4472</v>
      </c>
      <c r="B20762">
        <f>HYPERLINK("https://android.googlesource.com/platform/cts/+/000baddf77a33fb83fbb689673db0612e0fcd4c3", "000baddf77a33fb83fbb689673db0612e0fcd4c3")</f>
        <v>0</v>
      </c>
      <c r="C20762">
        <f>HYPERLINK("https://android.googlesource.com/platform/cts/+/fdad79e5a4b15ff11a43404e3b1d78da33c0e947", "fdad79e5a4b15ff11a43404e3b1d78da33c0e947")</f>
        <v>0</v>
      </c>
      <c r="D20762" t="s">
        <v>5708</v>
      </c>
      <c r="E20762" t="s">
        <v>10134</v>
      </c>
      <c r="F20762" t="s">
        <v>13887</v>
      </c>
      <c r="G20762" t="s">
        <v>17319</v>
      </c>
      <c r="H20762" t="s">
        <v>37907</v>
      </c>
    </row>
    <row r="20763" spans="1:8">
      <c r="H20763" t="s">
        <v>37908</v>
      </c>
    </row>
    <row r="20764" spans="1:8">
      <c r="H20764" t="s">
        <v>37909</v>
      </c>
    </row>
    <row r="20765" spans="1:8">
      <c r="A20765" t="s">
        <v>4473</v>
      </c>
      <c r="B20765">
        <f>HYPERLINK("https://android.googlesource.com/platform/cts/+/6d92b65a98866b9804f6dfa750f43a1ce667ecd5", "6d92b65a98866b9804f6dfa750f43a1ce667ecd5")</f>
        <v>0</v>
      </c>
      <c r="C20765">
        <f>HYPERLINK("https://android.googlesource.com/platform/cts/+/4b9a3c7741e48f5dfaba63bcb2e8eb714147baa5", "4b9a3c7741e48f5dfaba63bcb2e8eb714147baa5")</f>
        <v>0</v>
      </c>
      <c r="D20765" t="s">
        <v>5569</v>
      </c>
      <c r="E20765" t="s">
        <v>10135</v>
      </c>
      <c r="F20765" t="s">
        <v>14446</v>
      </c>
      <c r="G20765" t="s">
        <v>18381</v>
      </c>
      <c r="H20765" t="s">
        <v>37910</v>
      </c>
    </row>
    <row r="20766" spans="1:8">
      <c r="A20766" t="s">
        <v>4474</v>
      </c>
      <c r="B20766">
        <f>HYPERLINK("https://android.googlesource.com/platform/cts/+/708e39e0abdfe1e975e39b17bd9ba5c525e16bd9", "708e39e0abdfe1e975e39b17bd9ba5c525e16bd9")</f>
        <v>0</v>
      </c>
      <c r="C20766">
        <f>HYPERLINK("https://android.googlesource.com/platform/cts/+/12fd1eb916b7dc15aad74d72b9d150d46b0db061", "12fd1eb916b7dc15aad74d72b9d150d46b0db061")</f>
        <v>0</v>
      </c>
      <c r="D20766" t="s">
        <v>5709</v>
      </c>
      <c r="E20766" t="s">
        <v>10136</v>
      </c>
      <c r="F20766" t="s">
        <v>13165</v>
      </c>
      <c r="G20766" t="s">
        <v>17315</v>
      </c>
      <c r="H20766" t="s">
        <v>37928</v>
      </c>
    </row>
    <row r="20767" spans="1:8">
      <c r="H20767" t="s">
        <v>37929</v>
      </c>
    </row>
    <row r="20768" spans="1:8">
      <c r="H20768" t="s">
        <v>37930</v>
      </c>
    </row>
    <row r="20769" spans="8:8">
      <c r="H20769" t="s">
        <v>37931</v>
      </c>
    </row>
    <row r="20770" spans="8:8">
      <c r="H20770" t="s">
        <v>37932</v>
      </c>
    </row>
    <row r="20771" spans="8:8">
      <c r="H20771" t="s">
        <v>37933</v>
      </c>
    </row>
    <row r="20772" spans="8:8">
      <c r="H20772" t="s">
        <v>37934</v>
      </c>
    </row>
    <row r="20773" spans="8:8">
      <c r="H20773" t="s">
        <v>37935</v>
      </c>
    </row>
    <row r="20774" spans="8:8">
      <c r="H20774" t="s">
        <v>37936</v>
      </c>
    </row>
    <row r="20775" spans="8:8">
      <c r="H20775" t="s">
        <v>37937</v>
      </c>
    </row>
    <row r="20776" spans="8:8">
      <c r="H20776" t="s">
        <v>37938</v>
      </c>
    </row>
    <row r="20777" spans="8:8">
      <c r="H20777" t="s">
        <v>37939</v>
      </c>
    </row>
    <row r="20778" spans="8:8">
      <c r="H20778" t="s">
        <v>37940</v>
      </c>
    </row>
    <row r="20779" spans="8:8">
      <c r="H20779" t="s">
        <v>37941</v>
      </c>
    </row>
    <row r="20780" spans="8:8">
      <c r="H20780" t="s">
        <v>37942</v>
      </c>
    </row>
    <row r="20781" spans="8:8">
      <c r="H20781" t="s">
        <v>37943</v>
      </c>
    </row>
    <row r="20782" spans="8:8">
      <c r="H20782" t="s">
        <v>37944</v>
      </c>
    </row>
    <row r="20783" spans="8:8">
      <c r="H20783" t="s">
        <v>37945</v>
      </c>
    </row>
    <row r="20784" spans="8:8">
      <c r="H20784" t="s">
        <v>37946</v>
      </c>
    </row>
    <row r="20785" spans="1:8">
      <c r="H20785" t="s">
        <v>37947</v>
      </c>
    </row>
    <row r="20786" spans="1:8">
      <c r="H20786" t="s">
        <v>37948</v>
      </c>
    </row>
    <row r="20787" spans="1:8">
      <c r="H20787" t="s">
        <v>37949</v>
      </c>
    </row>
    <row r="20788" spans="1:8">
      <c r="H20788" t="s">
        <v>37950</v>
      </c>
    </row>
    <row r="20789" spans="1:8">
      <c r="H20789" t="s">
        <v>37951</v>
      </c>
    </row>
    <row r="20790" spans="1:8">
      <c r="H20790" t="s">
        <v>37952</v>
      </c>
    </row>
    <row r="20791" spans="1:8">
      <c r="H20791" t="s">
        <v>37953</v>
      </c>
    </row>
    <row r="20792" spans="1:8">
      <c r="H20792" t="s">
        <v>37954</v>
      </c>
    </row>
    <row r="20793" spans="1:8">
      <c r="H20793" t="s">
        <v>37955</v>
      </c>
    </row>
    <row r="20794" spans="1:8">
      <c r="H20794" t="s">
        <v>37956</v>
      </c>
    </row>
    <row r="20795" spans="1:8">
      <c r="H20795" t="s">
        <v>37957</v>
      </c>
    </row>
    <row r="20796" spans="1:8">
      <c r="H20796" t="s">
        <v>37958</v>
      </c>
    </row>
    <row r="20797" spans="1:8">
      <c r="H20797" t="s">
        <v>37959</v>
      </c>
    </row>
    <row r="20798" spans="1:8">
      <c r="H20798" t="s">
        <v>37960</v>
      </c>
    </row>
    <row r="20799" spans="1:8">
      <c r="A20799" t="s">
        <v>4475</v>
      </c>
      <c r="B20799">
        <f>HYPERLINK("https://android.googlesource.com/platform/cts/+/8aa2ff2b46c82bdf1e91adc9c0eae65ccf1da82d", "8aa2ff2b46c82bdf1e91adc9c0eae65ccf1da82d")</f>
        <v>0</v>
      </c>
      <c r="C20799">
        <f>HYPERLINK("https://android.googlesource.com/platform/cts/+/0bb0c6886c962b347f657b852e986a4b58431607", "0bb0c6886c962b347f657b852e986a4b58431607")</f>
        <v>0</v>
      </c>
      <c r="D20799" t="s">
        <v>5392</v>
      </c>
      <c r="E20799" t="s">
        <v>10137</v>
      </c>
      <c r="F20799" t="s">
        <v>14746</v>
      </c>
      <c r="G20799" t="s">
        <v>18622</v>
      </c>
      <c r="H20799" t="s">
        <v>37961</v>
      </c>
    </row>
    <row r="20800" spans="1:8">
      <c r="H20800" t="s">
        <v>37962</v>
      </c>
    </row>
    <row r="20801" spans="1:8">
      <c r="H20801" t="s">
        <v>28611</v>
      </c>
    </row>
    <row r="20802" spans="1:8">
      <c r="A20802" t="s">
        <v>4477</v>
      </c>
      <c r="B20802">
        <f>HYPERLINK("https://android.googlesource.com/platform/cts/+/13fa701c65c7bb3641a516bb174a184b6513c381", "13fa701c65c7bb3641a516bb174a184b6513c381")</f>
        <v>0</v>
      </c>
      <c r="C20802">
        <f>HYPERLINK("https://android.googlesource.com/platform/cts/+/6d92b65a98866b9804f6dfa750f43a1ce667ecd5", "6d92b65a98866b9804f6dfa750f43a1ce667ecd5")</f>
        <v>0</v>
      </c>
      <c r="D20802" t="s">
        <v>5569</v>
      </c>
      <c r="E20802" t="s">
        <v>10139</v>
      </c>
      <c r="F20802" t="s">
        <v>13511</v>
      </c>
      <c r="G20802" t="s">
        <v>17628</v>
      </c>
      <c r="H20802" t="s">
        <v>37964</v>
      </c>
    </row>
    <row r="20803" spans="1:8">
      <c r="H20803" t="s">
        <v>37965</v>
      </c>
    </row>
    <row r="20804" spans="1:8">
      <c r="A20804" t="s">
        <v>4482</v>
      </c>
      <c r="B20804">
        <f>HYPERLINK("https://android.googlesource.com/platform/cts/+/c6cb3f261cad3323f15c0c8dc848f11630baf62e", "c6cb3f261cad3323f15c0c8dc848f11630baf62e")</f>
        <v>0</v>
      </c>
      <c r="C20804">
        <f>HYPERLINK("https://android.googlesource.com/platform/cts/+/9aaf739ea6e18e54c61c24e8d4cba24e645d3225", "9aaf739ea6e18e54c61c24e8d4cba24e645d3225")</f>
        <v>0</v>
      </c>
      <c r="D20804" t="s">
        <v>5409</v>
      </c>
      <c r="E20804" t="s">
        <v>10144</v>
      </c>
      <c r="F20804" t="s">
        <v>14623</v>
      </c>
      <c r="G20804" t="s">
        <v>18359</v>
      </c>
      <c r="H20804" t="s">
        <v>37969</v>
      </c>
    </row>
    <row r="20805" spans="1:8">
      <c r="H20805" t="s">
        <v>37970</v>
      </c>
    </row>
    <row r="20806" spans="1:8">
      <c r="H20806" t="s">
        <v>37971</v>
      </c>
    </row>
    <row r="20807" spans="1:8">
      <c r="H20807" t="s">
        <v>37972</v>
      </c>
    </row>
    <row r="20808" spans="1:8">
      <c r="H20808" t="s">
        <v>37973</v>
      </c>
    </row>
    <row r="20809" spans="1:8">
      <c r="H20809" t="s">
        <v>37974</v>
      </c>
    </row>
    <row r="20810" spans="1:8">
      <c r="H20810" t="s">
        <v>37975</v>
      </c>
    </row>
    <row r="20811" spans="1:8">
      <c r="H20811" t="s">
        <v>37976</v>
      </c>
    </row>
    <row r="20812" spans="1:8">
      <c r="H20812" t="s">
        <v>37977</v>
      </c>
    </row>
    <row r="20813" spans="1:8">
      <c r="H20813" t="s">
        <v>37978</v>
      </c>
    </row>
    <row r="20814" spans="1:8">
      <c r="H20814" t="s">
        <v>37979</v>
      </c>
    </row>
    <row r="20815" spans="1:8">
      <c r="H20815" t="s">
        <v>37980</v>
      </c>
    </row>
    <row r="20816" spans="1:8">
      <c r="H20816" t="s">
        <v>37981</v>
      </c>
    </row>
    <row r="20817" spans="1:8">
      <c r="H20817" t="s">
        <v>37982</v>
      </c>
    </row>
    <row r="20818" spans="1:8">
      <c r="H20818" t="s">
        <v>37983</v>
      </c>
    </row>
    <row r="20819" spans="1:8">
      <c r="A20819" t="s">
        <v>4483</v>
      </c>
      <c r="B20819">
        <f>HYPERLINK("https://android.googlesource.com/platform/cts/+/0a5a256bb8e909e4085a117087aed92a49ddc5fe", "0a5a256bb8e909e4085a117087aed92a49ddc5fe")</f>
        <v>0</v>
      </c>
      <c r="C20819">
        <f>HYPERLINK("https://android.googlesource.com/platform/cts/+/062eadd2d34d9f4beb2a6eeea52e775f36735ad4", "062eadd2d34d9f4beb2a6eeea52e775f36735ad4")</f>
        <v>0</v>
      </c>
      <c r="D20819" t="s">
        <v>5313</v>
      </c>
      <c r="E20819" t="s">
        <v>10145</v>
      </c>
      <c r="F20819" t="s">
        <v>14165</v>
      </c>
      <c r="G20819" t="s">
        <v>17361</v>
      </c>
      <c r="H20819" t="s">
        <v>37984</v>
      </c>
    </row>
    <row r="20820" spans="1:8">
      <c r="A20820" t="s">
        <v>4484</v>
      </c>
      <c r="B20820">
        <f>HYPERLINK("https://android.googlesource.com/platform/cts/+/206f75cb972d6c216d3b2e79e14a689825b480cd", "206f75cb972d6c216d3b2e79e14a689825b480cd")</f>
        <v>0</v>
      </c>
      <c r="C20820">
        <f>HYPERLINK("https://android.googlesource.com/platform/cts/+/76ff53644c5ab373490dd6c0382f1e9193bbd2a2", "76ff53644c5ab373490dd6c0382f1e9193bbd2a2")</f>
        <v>0</v>
      </c>
      <c r="D20820" t="s">
        <v>5688</v>
      </c>
      <c r="E20820" t="s">
        <v>10146</v>
      </c>
      <c r="F20820" t="s">
        <v>14536</v>
      </c>
      <c r="G20820" t="s">
        <v>18460</v>
      </c>
      <c r="H20820" t="s">
        <v>37985</v>
      </c>
    </row>
    <row r="20821" spans="1:8">
      <c r="H20821" t="s">
        <v>37986</v>
      </c>
    </row>
    <row r="20822" spans="1:8">
      <c r="A20822" t="s">
        <v>4493</v>
      </c>
      <c r="B20822">
        <f>HYPERLINK("https://android.googlesource.com/platform/cts/+/449bf6037520ba672048764322f88ab607139348", "449bf6037520ba672048764322f88ab607139348")</f>
        <v>0</v>
      </c>
      <c r="C20822">
        <f>HYPERLINK("https://android.googlesource.com/platform/cts/+/7706876a3c8768b2ca2b0397bc97b4e93136f8e7", "7706876a3c8768b2ca2b0397bc97b4e93136f8e7")</f>
        <v>0</v>
      </c>
      <c r="D20822" t="s">
        <v>5667</v>
      </c>
      <c r="E20822" t="s">
        <v>10155</v>
      </c>
      <c r="F20822" t="s">
        <v>12743</v>
      </c>
      <c r="G20822" t="s">
        <v>16935</v>
      </c>
      <c r="H20822" t="s">
        <v>37991</v>
      </c>
    </row>
    <row r="20823" spans="1:8">
      <c r="H20823" t="s">
        <v>37992</v>
      </c>
    </row>
    <row r="20824" spans="1:8">
      <c r="H20824" t="s">
        <v>37989</v>
      </c>
    </row>
    <row r="20825" spans="1:8">
      <c r="H20825" t="s">
        <v>37990</v>
      </c>
    </row>
    <row r="20826" spans="1:8">
      <c r="A20826" t="s">
        <v>4497</v>
      </c>
      <c r="B20826">
        <f>HYPERLINK("https://android.googlesource.com/platform/cts/+/3588aa80da491ff2ab097421e43f9802e97b139e", "3588aa80da491ff2ab097421e43f9802e97b139e")</f>
        <v>0</v>
      </c>
      <c r="C20826">
        <f>HYPERLINK("https://android.googlesource.com/platform/cts/+/30f754c624014836f63937f4753400847fdecc27", "30f754c624014836f63937f4753400847fdecc27")</f>
        <v>0</v>
      </c>
      <c r="D20826" t="s">
        <v>5477</v>
      </c>
      <c r="E20826" t="s">
        <v>10159</v>
      </c>
      <c r="F20826" t="s">
        <v>14748</v>
      </c>
      <c r="G20826" t="s">
        <v>18624</v>
      </c>
      <c r="H20826" t="s">
        <v>37996</v>
      </c>
    </row>
    <row r="20827" spans="1:8">
      <c r="H20827" t="s">
        <v>37997</v>
      </c>
    </row>
    <row r="20828" spans="1:8">
      <c r="H20828" t="s">
        <v>37998</v>
      </c>
    </row>
    <row r="20829" spans="1:8">
      <c r="H20829" t="s">
        <v>37999</v>
      </c>
    </row>
    <row r="20830" spans="1:8">
      <c r="A20830" t="s">
        <v>4500</v>
      </c>
      <c r="B20830">
        <f>HYPERLINK("https://android.googlesource.com/platform/cts/+/5f007964ab6c31e8efe235b8fa07a9879dfab22d", "5f007964ab6c31e8efe235b8fa07a9879dfab22d")</f>
        <v>0</v>
      </c>
      <c r="C20830">
        <f>HYPERLINK("https://android.googlesource.com/platform/cts/+/f40938b2bc37c42b601f6a974ad1060a72e50680", "f40938b2bc37c42b601f6a974ad1060a72e50680")</f>
        <v>0</v>
      </c>
      <c r="D20830" t="s">
        <v>5523</v>
      </c>
      <c r="E20830" t="s">
        <v>10162</v>
      </c>
      <c r="F20830" t="s">
        <v>12369</v>
      </c>
      <c r="G20830" t="s">
        <v>16596</v>
      </c>
      <c r="H20830" t="s">
        <v>38002</v>
      </c>
    </row>
    <row r="20831" spans="1:8">
      <c r="A20831" t="s">
        <v>4502</v>
      </c>
      <c r="B20831">
        <f>HYPERLINK("https://android.googlesource.com/platform/cts/+/780465c10641027cc5c7f216a7f733174696a6ae", "780465c10641027cc5c7f216a7f733174696a6ae")</f>
        <v>0</v>
      </c>
      <c r="C20831">
        <f>HYPERLINK("https://android.googlesource.com/platform/cts/+/f0103aea9b747f6fa2037307d2e33fa77501182d", "f0103aea9b747f6fa2037307d2e33fa77501182d")</f>
        <v>0</v>
      </c>
      <c r="D20831" t="s">
        <v>5710</v>
      </c>
      <c r="E20831" t="s">
        <v>10164</v>
      </c>
      <c r="F20831" t="s">
        <v>14749</v>
      </c>
      <c r="G20831" t="s">
        <v>18625</v>
      </c>
      <c r="H20831" t="s">
        <v>32956</v>
      </c>
    </row>
    <row r="20832" spans="1:8">
      <c r="H20832" t="s">
        <v>38003</v>
      </c>
    </row>
    <row r="20833" spans="1:8">
      <c r="H20833" t="s">
        <v>38004</v>
      </c>
    </row>
    <row r="20834" spans="1:8">
      <c r="H20834" t="s">
        <v>38005</v>
      </c>
    </row>
    <row r="20835" spans="1:8">
      <c r="A20835" t="s">
        <v>4503</v>
      </c>
      <c r="B20835">
        <f>HYPERLINK("https://android.googlesource.com/platform/cts/+/a7c355bc059a44a659ce286169c8a69527bbe743", "a7c355bc059a44a659ce286169c8a69527bbe743")</f>
        <v>0</v>
      </c>
      <c r="C20835">
        <f>HYPERLINK("https://android.googlesource.com/platform/cts/+/8b7a46434b7b9db766dd20b76ab4ff6581ad92ac", "8b7a46434b7b9db766dd20b76ab4ff6581ad92ac")</f>
        <v>0</v>
      </c>
      <c r="D20835" t="s">
        <v>5711</v>
      </c>
      <c r="E20835" t="s">
        <v>10165</v>
      </c>
      <c r="F20835" t="s">
        <v>14750</v>
      </c>
      <c r="G20835" t="s">
        <v>18626</v>
      </c>
      <c r="H20835" t="s">
        <v>38008</v>
      </c>
    </row>
    <row r="20836" spans="1:8">
      <c r="A20836" t="s">
        <v>4504</v>
      </c>
      <c r="B20836">
        <f>HYPERLINK("https://android.googlesource.com/platform/cts/+/bb5a368b603bed8c9485a8fad616635364c47d61", "bb5a368b603bed8c9485a8fad616635364c47d61")</f>
        <v>0</v>
      </c>
      <c r="C20836">
        <f>HYPERLINK("https://android.googlesource.com/platform/cts/+/ca6344ead38423a6348f0240ce98982621d2f11d", "ca6344ead38423a6348f0240ce98982621d2f11d")</f>
        <v>0</v>
      </c>
      <c r="D20836" t="s">
        <v>5666</v>
      </c>
      <c r="E20836" t="s">
        <v>10166</v>
      </c>
      <c r="F20836" t="s">
        <v>14635</v>
      </c>
      <c r="G20836" t="s">
        <v>18545</v>
      </c>
      <c r="H20836" t="s">
        <v>38009</v>
      </c>
    </row>
    <row r="20837" spans="1:8">
      <c r="A20837" t="s">
        <v>4506</v>
      </c>
      <c r="B20837">
        <f>HYPERLINK("https://android.googlesource.com/platform/cts/+/2683d003443de436a50a86bdc3f6ab2049f31ef2", "2683d003443de436a50a86bdc3f6ab2049f31ef2")</f>
        <v>0</v>
      </c>
      <c r="C20837">
        <f>HYPERLINK("https://android.googlesource.com/platform/cts/+/f3a999b728f083276ae951a82b61a907092e2b81", "f3a999b728f083276ae951a82b61a907092e2b81")</f>
        <v>0</v>
      </c>
      <c r="D20837" t="s">
        <v>5065</v>
      </c>
      <c r="E20837" t="s">
        <v>10168</v>
      </c>
      <c r="F20837" t="s">
        <v>12626</v>
      </c>
      <c r="G20837" t="s">
        <v>16836</v>
      </c>
      <c r="H20837" t="s">
        <v>38024</v>
      </c>
    </row>
    <row r="20838" spans="1:8">
      <c r="H20838" t="s">
        <v>38025</v>
      </c>
    </row>
    <row r="20839" spans="1:8">
      <c r="H20839" t="s">
        <v>38026</v>
      </c>
    </row>
    <row r="20840" spans="1:8">
      <c r="H20840" t="s">
        <v>38027</v>
      </c>
    </row>
    <row r="20841" spans="1:8">
      <c r="H20841" t="s">
        <v>38028</v>
      </c>
    </row>
    <row r="20842" spans="1:8">
      <c r="H20842" t="s">
        <v>38029</v>
      </c>
    </row>
    <row r="20843" spans="1:8">
      <c r="H20843" t="s">
        <v>38034</v>
      </c>
    </row>
    <row r="20844" spans="1:8">
      <c r="H20844" t="s">
        <v>26401</v>
      </c>
    </row>
    <row r="20845" spans="1:8">
      <c r="A20845" t="s">
        <v>4508</v>
      </c>
      <c r="B20845">
        <f>HYPERLINK("https://android.googlesource.com/platform/cts/+/f8c1a7f1445b1213b3331e1499cd5064c72df349", "f8c1a7f1445b1213b3331e1499cd5064c72df349")</f>
        <v>0</v>
      </c>
      <c r="C20845">
        <f>HYPERLINK("https://android.googlesource.com/platform/cts/+/a624659b79f1b6e1e5bf5cb9a33a54739adfd577", "a624659b79f1b6e1e5bf5cb9a33a54739adfd577")</f>
        <v>0</v>
      </c>
      <c r="D20845" t="s">
        <v>5672</v>
      </c>
      <c r="E20845" t="s">
        <v>10170</v>
      </c>
      <c r="F20845" t="s">
        <v>14296</v>
      </c>
      <c r="G20845" t="s">
        <v>18022</v>
      </c>
      <c r="H20845" t="s">
        <v>38042</v>
      </c>
    </row>
    <row r="20846" spans="1:8">
      <c r="H20846" t="s">
        <v>38043</v>
      </c>
    </row>
    <row r="20847" spans="1:8">
      <c r="A20847" t="s">
        <v>4509</v>
      </c>
      <c r="B20847">
        <f>HYPERLINK("https://android.googlesource.com/platform/cts/+/54237ccae2b0d4f268c69061b053a909ca2665d6", "54237ccae2b0d4f268c69061b053a909ca2665d6")</f>
        <v>0</v>
      </c>
      <c r="C20847">
        <f>HYPERLINK("https://android.googlesource.com/platform/cts/+/a624659b79f1b6e1e5bf5cb9a33a54739adfd577", "a624659b79f1b6e1e5bf5cb9a33a54739adfd577")</f>
        <v>0</v>
      </c>
      <c r="D20847" t="s">
        <v>5712</v>
      </c>
      <c r="E20847" t="s">
        <v>10171</v>
      </c>
      <c r="F20847" t="s">
        <v>14752</v>
      </c>
      <c r="G20847" t="s">
        <v>18628</v>
      </c>
      <c r="H20847" t="s">
        <v>38044</v>
      </c>
    </row>
    <row r="20848" spans="1:8">
      <c r="A20848" t="s">
        <v>4510</v>
      </c>
      <c r="B20848">
        <f>HYPERLINK("https://android.googlesource.com/platform/cts/+/cf386e92dde2422b966f7558c484d3eccb83ff29", "cf386e92dde2422b966f7558c484d3eccb83ff29")</f>
        <v>0</v>
      </c>
      <c r="C20848">
        <f>HYPERLINK("https://android.googlesource.com/platform/cts/+/c7d1e0f6a3842529f08d969ca4f14adfdef97657", "c7d1e0f6a3842529f08d969ca4f14adfdef97657")</f>
        <v>0</v>
      </c>
      <c r="D20848" t="s">
        <v>5713</v>
      </c>
      <c r="E20848" t="s">
        <v>10172</v>
      </c>
      <c r="F20848" t="s">
        <v>14745</v>
      </c>
      <c r="G20848" t="s">
        <v>18621</v>
      </c>
      <c r="H20848" t="s">
        <v>38045</v>
      </c>
    </row>
    <row r="20849" spans="1:8">
      <c r="H20849" t="s">
        <v>38046</v>
      </c>
    </row>
    <row r="20850" spans="1:8">
      <c r="A20850" t="s">
        <v>4511</v>
      </c>
      <c r="B20850">
        <f>HYPERLINK("https://android.googlesource.com/platform/cts/+/90b48f79dafb34362d0246d4d12f35809edf9fa9", "90b48f79dafb34362d0246d4d12f35809edf9fa9")</f>
        <v>0</v>
      </c>
      <c r="C20850">
        <f>HYPERLINK("https://android.googlesource.com/platform/cts/+/be3222476c2e57009310d16f0b43ef8177cb2f47", "be3222476c2e57009310d16f0b43ef8177cb2f47")</f>
        <v>0</v>
      </c>
      <c r="D20850" t="s">
        <v>5584</v>
      </c>
      <c r="E20850" t="s">
        <v>10173</v>
      </c>
      <c r="F20850" t="s">
        <v>14753</v>
      </c>
      <c r="G20850" t="s">
        <v>18629</v>
      </c>
      <c r="H20850" t="s">
        <v>38047</v>
      </c>
    </row>
    <row r="20851" spans="1:8">
      <c r="H20851" t="s">
        <v>38048</v>
      </c>
    </row>
    <row r="20852" spans="1:8">
      <c r="A20852" t="s">
        <v>4512</v>
      </c>
      <c r="B20852">
        <f>HYPERLINK("https://android.googlesource.com/platform/cts/+/1a952ef8154e021527efd6dbeba142afeddc4163", "1a952ef8154e021527efd6dbeba142afeddc4163")</f>
        <v>0</v>
      </c>
      <c r="C20852">
        <f>HYPERLINK("https://android.googlesource.com/platform/cts/+/50572c908bb498661d86874639f7660c69f127f3", "50572c908bb498661d86874639f7660c69f127f3")</f>
        <v>0</v>
      </c>
      <c r="D20852" t="s">
        <v>5409</v>
      </c>
      <c r="E20852" t="s">
        <v>10174</v>
      </c>
      <c r="F20852" t="s">
        <v>14754</v>
      </c>
      <c r="G20852" t="s">
        <v>18630</v>
      </c>
      <c r="H20852" t="s">
        <v>38051</v>
      </c>
    </row>
    <row r="20853" spans="1:8">
      <c r="H20853" t="s">
        <v>38052</v>
      </c>
    </row>
    <row r="20854" spans="1:8">
      <c r="H20854" t="s">
        <v>38053</v>
      </c>
    </row>
    <row r="20855" spans="1:8">
      <c r="H20855" t="s">
        <v>38054</v>
      </c>
    </row>
    <row r="20856" spans="1:8">
      <c r="F20856" t="s">
        <v>14063</v>
      </c>
      <c r="G20856" t="s">
        <v>18061</v>
      </c>
      <c r="H20856" t="s">
        <v>38056</v>
      </c>
    </row>
    <row r="20857" spans="1:8">
      <c r="H20857" t="s">
        <v>38057</v>
      </c>
    </row>
    <row r="20858" spans="1:8">
      <c r="H20858" t="s">
        <v>38058</v>
      </c>
    </row>
    <row r="20859" spans="1:8">
      <c r="H20859" t="s">
        <v>38059</v>
      </c>
    </row>
    <row r="20860" spans="1:8">
      <c r="H20860" t="s">
        <v>38060</v>
      </c>
    </row>
    <row r="20861" spans="1:8">
      <c r="H20861" t="s">
        <v>38061</v>
      </c>
    </row>
    <row r="20862" spans="1:8">
      <c r="H20862" t="s">
        <v>38062</v>
      </c>
    </row>
    <row r="20863" spans="1:8">
      <c r="H20863" t="s">
        <v>38063</v>
      </c>
    </row>
    <row r="20864" spans="1:8">
      <c r="H20864" t="s">
        <v>38064</v>
      </c>
    </row>
    <row r="20865" spans="6:8">
      <c r="H20865" t="s">
        <v>38065</v>
      </c>
    </row>
    <row r="20866" spans="6:8">
      <c r="H20866" t="s">
        <v>38066</v>
      </c>
    </row>
    <row r="20867" spans="6:8">
      <c r="H20867" t="s">
        <v>38067</v>
      </c>
    </row>
    <row r="20868" spans="6:8">
      <c r="H20868" t="s">
        <v>38068</v>
      </c>
    </row>
    <row r="20869" spans="6:8">
      <c r="H20869" t="s">
        <v>38069</v>
      </c>
    </row>
    <row r="20870" spans="6:8">
      <c r="H20870" t="s">
        <v>38070</v>
      </c>
    </row>
    <row r="20871" spans="6:8">
      <c r="H20871" t="s">
        <v>38071</v>
      </c>
    </row>
    <row r="20872" spans="6:8">
      <c r="H20872" t="s">
        <v>38072</v>
      </c>
    </row>
    <row r="20873" spans="6:8">
      <c r="H20873" t="s">
        <v>38073</v>
      </c>
    </row>
    <row r="20874" spans="6:8">
      <c r="H20874" t="s">
        <v>38074</v>
      </c>
    </row>
    <row r="20875" spans="6:8">
      <c r="H20875" t="s">
        <v>38075</v>
      </c>
    </row>
    <row r="20876" spans="6:8">
      <c r="F20876" t="s">
        <v>14755</v>
      </c>
      <c r="G20876" t="s">
        <v>18631</v>
      </c>
      <c r="H20876" t="s">
        <v>38076</v>
      </c>
    </row>
    <row r="20877" spans="6:8">
      <c r="H20877" t="s">
        <v>33150</v>
      </c>
    </row>
    <row r="20878" spans="6:8">
      <c r="H20878" t="s">
        <v>33152</v>
      </c>
    </row>
    <row r="20879" spans="6:8">
      <c r="H20879" t="s">
        <v>38077</v>
      </c>
    </row>
    <row r="20880" spans="6:8">
      <c r="H20880" t="s">
        <v>33153</v>
      </c>
    </row>
    <row r="20881" spans="6:8">
      <c r="H20881" t="s">
        <v>38078</v>
      </c>
    </row>
    <row r="20882" spans="6:8">
      <c r="H20882" t="s">
        <v>38079</v>
      </c>
    </row>
    <row r="20883" spans="6:8">
      <c r="H20883" t="s">
        <v>38080</v>
      </c>
    </row>
    <row r="20884" spans="6:8">
      <c r="H20884" t="s">
        <v>38081</v>
      </c>
    </row>
    <row r="20885" spans="6:8">
      <c r="F20885" t="s">
        <v>14064</v>
      </c>
      <c r="G20885" t="s">
        <v>18062</v>
      </c>
      <c r="H20885" t="s">
        <v>38083</v>
      </c>
    </row>
    <row r="20886" spans="6:8">
      <c r="H20886" t="s">
        <v>38084</v>
      </c>
    </row>
    <row r="20887" spans="6:8">
      <c r="H20887" t="s">
        <v>38085</v>
      </c>
    </row>
    <row r="20888" spans="6:8">
      <c r="H20888" t="s">
        <v>38086</v>
      </c>
    </row>
    <row r="20889" spans="6:8">
      <c r="H20889" t="s">
        <v>38087</v>
      </c>
    </row>
    <row r="20890" spans="6:8">
      <c r="H20890" t="s">
        <v>38088</v>
      </c>
    </row>
    <row r="20891" spans="6:8">
      <c r="H20891" t="s">
        <v>38089</v>
      </c>
    </row>
    <row r="20892" spans="6:8">
      <c r="H20892" t="s">
        <v>38065</v>
      </c>
    </row>
    <row r="20893" spans="6:8">
      <c r="H20893" t="s">
        <v>38066</v>
      </c>
    </row>
    <row r="20894" spans="6:8">
      <c r="H20894" t="s">
        <v>38091</v>
      </c>
    </row>
    <row r="20895" spans="6:8">
      <c r="H20895" t="s">
        <v>38092</v>
      </c>
    </row>
    <row r="20896" spans="6:8">
      <c r="H20896" t="s">
        <v>38093</v>
      </c>
    </row>
    <row r="20897" spans="1:8">
      <c r="H20897" t="s">
        <v>38094</v>
      </c>
    </row>
    <row r="20898" spans="1:8">
      <c r="H20898" t="s">
        <v>38095</v>
      </c>
    </row>
    <row r="20899" spans="1:8">
      <c r="A20899" t="s">
        <v>4516</v>
      </c>
      <c r="B20899">
        <f>HYPERLINK("https://android.googlesource.com/platform/cts/+/0a51306a54f22103f5bdce145cc3e4cbf1579de4", "0a51306a54f22103f5bdce145cc3e4cbf1579de4")</f>
        <v>0</v>
      </c>
      <c r="C20899">
        <f>HYPERLINK("https://android.googlesource.com/platform/cts/+/ec618a2ae77136e2c4dd0a7f6744aa310dfabb79", "ec618a2ae77136e2c4dd0a7f6744aa310dfabb79")</f>
        <v>0</v>
      </c>
      <c r="D20899" t="s">
        <v>5714</v>
      </c>
      <c r="E20899" t="s">
        <v>10178</v>
      </c>
      <c r="F20899" t="s">
        <v>14711</v>
      </c>
      <c r="G20899" t="s">
        <v>18599</v>
      </c>
      <c r="H20899" t="s">
        <v>38103</v>
      </c>
    </row>
    <row r="20900" spans="1:8">
      <c r="A20900" t="s">
        <v>4517</v>
      </c>
      <c r="B20900">
        <f>HYPERLINK("https://android.googlesource.com/platform/cts/+/5dc82ea03202d37ac2df21f1e3e1e15a70350686", "5dc82ea03202d37ac2df21f1e3e1e15a70350686")</f>
        <v>0</v>
      </c>
      <c r="C20900">
        <f>HYPERLINK("https://android.googlesource.com/platform/cts/+/1a952ef8154e021527efd6dbeba142afeddc4163", "1a952ef8154e021527efd6dbeba142afeddc4163")</f>
        <v>0</v>
      </c>
      <c r="D20900" t="s">
        <v>5409</v>
      </c>
      <c r="E20900" t="s">
        <v>10179</v>
      </c>
      <c r="F20900" t="s">
        <v>14152</v>
      </c>
      <c r="G20900" t="s">
        <v>18052</v>
      </c>
      <c r="H20900" t="s">
        <v>33095</v>
      </c>
    </row>
    <row r="20901" spans="1:8">
      <c r="H20901" t="s">
        <v>33096</v>
      </c>
    </row>
    <row r="20902" spans="1:8">
      <c r="H20902" t="s">
        <v>33097</v>
      </c>
    </row>
    <row r="20903" spans="1:8">
      <c r="H20903" t="s">
        <v>33098</v>
      </c>
    </row>
    <row r="20904" spans="1:8">
      <c r="H20904" t="s">
        <v>33099</v>
      </c>
    </row>
    <row r="20905" spans="1:8">
      <c r="H20905" t="s">
        <v>33100</v>
      </c>
    </row>
    <row r="20906" spans="1:8">
      <c r="H20906" t="s">
        <v>38104</v>
      </c>
    </row>
    <row r="20907" spans="1:8">
      <c r="H20907" t="s">
        <v>38105</v>
      </c>
    </row>
    <row r="20908" spans="1:8">
      <c r="H20908" t="s">
        <v>33102</v>
      </c>
    </row>
    <row r="20909" spans="1:8">
      <c r="H20909" t="s">
        <v>38106</v>
      </c>
    </row>
    <row r="20910" spans="1:8">
      <c r="H20910" t="s">
        <v>38107</v>
      </c>
    </row>
    <row r="20911" spans="1:8">
      <c r="H20911" t="s">
        <v>38108</v>
      </c>
    </row>
    <row r="20912" spans="1:8">
      <c r="H20912" t="s">
        <v>38109</v>
      </c>
    </row>
    <row r="20913" spans="6:8">
      <c r="F20913" t="s">
        <v>14153</v>
      </c>
      <c r="G20913" t="s">
        <v>18140</v>
      </c>
      <c r="H20913" t="s">
        <v>38114</v>
      </c>
    </row>
    <row r="20914" spans="6:8">
      <c r="H20914" t="s">
        <v>38115</v>
      </c>
    </row>
    <row r="20915" spans="6:8">
      <c r="H20915" t="s">
        <v>38116</v>
      </c>
    </row>
    <row r="20916" spans="6:8">
      <c r="H20916" t="s">
        <v>38117</v>
      </c>
    </row>
    <row r="20917" spans="6:8">
      <c r="H20917" t="s">
        <v>38118</v>
      </c>
    </row>
    <row r="20918" spans="6:8">
      <c r="H20918" t="s">
        <v>38119</v>
      </c>
    </row>
    <row r="20919" spans="6:8">
      <c r="H20919" t="s">
        <v>38120</v>
      </c>
    </row>
    <row r="20920" spans="6:8">
      <c r="H20920" t="s">
        <v>33097</v>
      </c>
    </row>
    <row r="20921" spans="6:8">
      <c r="H20921" t="s">
        <v>33098</v>
      </c>
    </row>
    <row r="20922" spans="6:8">
      <c r="H20922" t="s">
        <v>33099</v>
      </c>
    </row>
    <row r="20923" spans="6:8">
      <c r="H20923" t="s">
        <v>33100</v>
      </c>
    </row>
    <row r="20924" spans="6:8">
      <c r="H20924" t="s">
        <v>38121</v>
      </c>
    </row>
    <row r="20925" spans="6:8">
      <c r="H20925" t="s">
        <v>33101</v>
      </c>
    </row>
    <row r="20926" spans="6:8">
      <c r="H20926" t="s">
        <v>33102</v>
      </c>
    </row>
    <row r="20927" spans="6:8">
      <c r="H20927" t="s">
        <v>38104</v>
      </c>
    </row>
    <row r="20928" spans="6:8">
      <c r="H20928" t="s">
        <v>38105</v>
      </c>
    </row>
    <row r="20929" spans="1:8">
      <c r="H20929" t="s">
        <v>38106</v>
      </c>
    </row>
    <row r="20930" spans="1:8">
      <c r="H20930" t="s">
        <v>38122</v>
      </c>
    </row>
    <row r="20931" spans="1:8">
      <c r="H20931" t="s">
        <v>38107</v>
      </c>
    </row>
    <row r="20932" spans="1:8">
      <c r="A20932" t="s">
        <v>4519</v>
      </c>
      <c r="B20932">
        <f>HYPERLINK("https://android.googlesource.com/platform/cts/+/53f1058e4f56fd7a38a354efb643568dd2423939", "53f1058e4f56fd7a38a354efb643568dd2423939")</f>
        <v>0</v>
      </c>
      <c r="C20932">
        <f>HYPERLINK("https://android.googlesource.com/platform/cts/+/2700ff9d2fb521999d26073d66136342e019e7c9", "2700ff9d2fb521999d26073d66136342e019e7c9")</f>
        <v>0</v>
      </c>
      <c r="D20932" t="s">
        <v>5705</v>
      </c>
      <c r="E20932" t="s">
        <v>10181</v>
      </c>
      <c r="F20932" t="s">
        <v>14741</v>
      </c>
      <c r="G20932" t="s">
        <v>18619</v>
      </c>
      <c r="H20932" t="s">
        <v>37885</v>
      </c>
    </row>
    <row r="20933" spans="1:8">
      <c r="A20933" t="s">
        <v>4520</v>
      </c>
      <c r="B20933">
        <f>HYPERLINK("https://android.googlesource.com/platform/cts/+/a5c7e7175f30ead1ecd0af37153a012f2140b569", "a5c7e7175f30ead1ecd0af37153a012f2140b569")</f>
        <v>0</v>
      </c>
      <c r="C20933">
        <f>HYPERLINK("https://android.googlesource.com/platform/cts/+/f5df5538418f9d873a71d518e9ed26429a68b4ec", "f5df5538418f9d873a71d518e9ed26429a68b4ec")</f>
        <v>0</v>
      </c>
      <c r="D20933" t="s">
        <v>5685</v>
      </c>
      <c r="E20933" t="s">
        <v>10182</v>
      </c>
      <c r="F20933" t="s">
        <v>14757</v>
      </c>
      <c r="G20933" t="s">
        <v>18633</v>
      </c>
      <c r="H20933" t="s">
        <v>38130</v>
      </c>
    </row>
    <row r="20934" spans="1:8">
      <c r="H20934" t="s">
        <v>38131</v>
      </c>
    </row>
    <row r="20935" spans="1:8">
      <c r="A20935" t="s">
        <v>4521</v>
      </c>
      <c r="B20935">
        <f>HYPERLINK("https://android.googlesource.com/platform/cts/+/c67fb38ca0b55e013644b1fa354a19e8ee019741", "c67fb38ca0b55e013644b1fa354a19e8ee019741")</f>
        <v>0</v>
      </c>
      <c r="C20935">
        <f>HYPERLINK("https://android.googlesource.com/platform/cts/+/206f54ea85c46c5495b0688515f6378609fdb9a3", "206f54ea85c46c5495b0688515f6378609fdb9a3")</f>
        <v>0</v>
      </c>
      <c r="D20935" t="s">
        <v>5409</v>
      </c>
      <c r="E20935" t="s">
        <v>10183</v>
      </c>
      <c r="F20935" t="s">
        <v>14265</v>
      </c>
      <c r="G20935" t="s">
        <v>18232</v>
      </c>
      <c r="H20935" t="s">
        <v>38132</v>
      </c>
    </row>
    <row r="20936" spans="1:8">
      <c r="H20936" t="s">
        <v>38133</v>
      </c>
    </row>
    <row r="20937" spans="1:8">
      <c r="H20937" t="s">
        <v>38134</v>
      </c>
    </row>
    <row r="20938" spans="1:8">
      <c r="H20938" t="s">
        <v>38135</v>
      </c>
    </row>
    <row r="20939" spans="1:8">
      <c r="H20939" t="s">
        <v>38136</v>
      </c>
    </row>
    <row r="20940" spans="1:8">
      <c r="H20940" t="s">
        <v>38137</v>
      </c>
    </row>
    <row r="20941" spans="1:8">
      <c r="H20941" t="s">
        <v>38138</v>
      </c>
    </row>
    <row r="20942" spans="1:8">
      <c r="H20942" t="s">
        <v>38139</v>
      </c>
    </row>
    <row r="20943" spans="1:8">
      <c r="H20943" t="s">
        <v>38140</v>
      </c>
    </row>
    <row r="20944" spans="1:8">
      <c r="H20944" t="s">
        <v>38141</v>
      </c>
    </row>
    <row r="20945" spans="8:8">
      <c r="H20945" t="s">
        <v>38142</v>
      </c>
    </row>
    <row r="20946" spans="8:8">
      <c r="H20946" t="s">
        <v>38143</v>
      </c>
    </row>
    <row r="20947" spans="8:8">
      <c r="H20947" t="s">
        <v>38144</v>
      </c>
    </row>
    <row r="20948" spans="8:8">
      <c r="H20948" t="s">
        <v>38145</v>
      </c>
    </row>
    <row r="20949" spans="8:8">
      <c r="H20949" t="s">
        <v>38146</v>
      </c>
    </row>
    <row r="20950" spans="8:8">
      <c r="H20950" t="s">
        <v>38147</v>
      </c>
    </row>
    <row r="20951" spans="8:8">
      <c r="H20951" t="s">
        <v>38148</v>
      </c>
    </row>
    <row r="20952" spans="8:8">
      <c r="H20952" t="s">
        <v>38149</v>
      </c>
    </row>
    <row r="20953" spans="8:8">
      <c r="H20953" t="s">
        <v>38150</v>
      </c>
    </row>
    <row r="20954" spans="8:8">
      <c r="H20954" t="s">
        <v>38151</v>
      </c>
    </row>
    <row r="20955" spans="8:8">
      <c r="H20955" t="s">
        <v>38152</v>
      </c>
    </row>
    <row r="20956" spans="8:8">
      <c r="H20956" t="s">
        <v>38153</v>
      </c>
    </row>
    <row r="20957" spans="8:8">
      <c r="H20957" t="s">
        <v>38154</v>
      </c>
    </row>
    <row r="20958" spans="8:8">
      <c r="H20958" t="s">
        <v>38155</v>
      </c>
    </row>
    <row r="20959" spans="8:8">
      <c r="H20959" t="s">
        <v>38156</v>
      </c>
    </row>
    <row r="20960" spans="8:8">
      <c r="H20960" t="s">
        <v>38157</v>
      </c>
    </row>
    <row r="20961" spans="1:8">
      <c r="H20961" t="s">
        <v>38158</v>
      </c>
    </row>
    <row r="20962" spans="1:8">
      <c r="A20962" t="s">
        <v>4522</v>
      </c>
      <c r="B20962">
        <f>HYPERLINK("https://android.googlesource.com/platform/cts/+/893c0e05e18d4eba2ce25b51bc0b9fc45e261ffd", "893c0e05e18d4eba2ce25b51bc0b9fc45e261ffd")</f>
        <v>0</v>
      </c>
      <c r="C20962">
        <f>HYPERLINK("https://android.googlesource.com/platform/cts/+/429bd018471287a008bb459c74d67a7af188649e", "429bd018471287a008bb459c74d67a7af188649e")</f>
        <v>0</v>
      </c>
      <c r="D20962" t="s">
        <v>5584</v>
      </c>
      <c r="E20962" t="s">
        <v>10184</v>
      </c>
      <c r="F20962" t="s">
        <v>14758</v>
      </c>
      <c r="G20962" t="s">
        <v>18634</v>
      </c>
      <c r="H20962" t="s">
        <v>38159</v>
      </c>
    </row>
    <row r="20963" spans="1:8">
      <c r="A20963" t="s">
        <v>4523</v>
      </c>
      <c r="B20963">
        <f>HYPERLINK("https://android.googlesource.com/platform/cts/+/0ec2c5fc64e8fa744a61ae51ffc180e608a6ec35", "0ec2c5fc64e8fa744a61ae51ffc180e608a6ec35")</f>
        <v>0</v>
      </c>
      <c r="C20963">
        <f>HYPERLINK("https://android.googlesource.com/platform/cts/+/bfe33c4986d5dd4f54a73759fb340f49ffd04ef8", "bfe33c4986d5dd4f54a73759fb340f49ffd04ef8")</f>
        <v>0</v>
      </c>
      <c r="D20963" t="s">
        <v>5499</v>
      </c>
      <c r="E20963" t="s">
        <v>10185</v>
      </c>
      <c r="F20963" t="s">
        <v>14759</v>
      </c>
      <c r="G20963" t="s">
        <v>18635</v>
      </c>
      <c r="H20963" t="s">
        <v>38160</v>
      </c>
    </row>
    <row r="20964" spans="1:8">
      <c r="A20964" t="s">
        <v>4525</v>
      </c>
      <c r="B20964">
        <f>HYPERLINK("https://android.googlesource.com/platform/cts/+/04eb8ac828f62f81cf46d4534cd196525cfe8318", "04eb8ac828f62f81cf46d4534cd196525cfe8318")</f>
        <v>0</v>
      </c>
      <c r="C20964">
        <f>HYPERLINK("https://android.googlesource.com/platform/cts/+/35eadc722c7679ce8dfec80c9d302642fd2de4a5", "35eadc722c7679ce8dfec80c9d302642fd2de4a5")</f>
        <v>0</v>
      </c>
      <c r="D20964" t="s">
        <v>5700</v>
      </c>
      <c r="E20964" t="s">
        <v>10187</v>
      </c>
      <c r="F20964" t="s">
        <v>14761</v>
      </c>
      <c r="G20964" t="s">
        <v>18637</v>
      </c>
      <c r="H20964" t="s">
        <v>38164</v>
      </c>
    </row>
    <row r="20965" spans="1:8">
      <c r="A20965" t="s">
        <v>4526</v>
      </c>
      <c r="B20965">
        <f>HYPERLINK("https://android.googlesource.com/platform/cts/+/ea4037d772c2cfeb02fbe64fd05c77ff270b14be", "ea4037d772c2cfeb02fbe64fd05c77ff270b14be")</f>
        <v>0</v>
      </c>
      <c r="C20965">
        <f>HYPERLINK("https://android.googlesource.com/platform/cts/+/665dad20499f35cca567b6598053c5420fafa987", "665dad20499f35cca567b6598053c5420fafa987")</f>
        <v>0</v>
      </c>
      <c r="D20965" t="s">
        <v>5445</v>
      </c>
      <c r="E20965" t="s">
        <v>10188</v>
      </c>
      <c r="F20965" t="s">
        <v>12642</v>
      </c>
      <c r="G20965" t="s">
        <v>16850</v>
      </c>
      <c r="H20965" t="s">
        <v>38165</v>
      </c>
    </row>
    <row r="20966" spans="1:8">
      <c r="F20966" t="s">
        <v>14762</v>
      </c>
      <c r="G20966" t="s">
        <v>18638</v>
      </c>
      <c r="H20966" t="s">
        <v>38166</v>
      </c>
    </row>
    <row r="20967" spans="1:8">
      <c r="H20967" t="s">
        <v>38167</v>
      </c>
    </row>
    <row r="20968" spans="1:8">
      <c r="H20968" t="s">
        <v>38168</v>
      </c>
    </row>
    <row r="20969" spans="1:8">
      <c r="H20969" t="s">
        <v>38169</v>
      </c>
    </row>
    <row r="20970" spans="1:8">
      <c r="H20970" t="s">
        <v>38170</v>
      </c>
    </row>
    <row r="20971" spans="1:8">
      <c r="F20971" t="s">
        <v>13993</v>
      </c>
      <c r="G20971" t="s">
        <v>16600</v>
      </c>
      <c r="H20971" t="s">
        <v>38172</v>
      </c>
    </row>
    <row r="20972" spans="1:8">
      <c r="A20972" t="s">
        <v>4529</v>
      </c>
      <c r="B20972">
        <f>HYPERLINK("https://android.googlesource.com/platform/cts/+/ebf22a6df73f85fd1ee9dcb69c0339272185d5ea", "ebf22a6df73f85fd1ee9dcb69c0339272185d5ea")</f>
        <v>0</v>
      </c>
      <c r="C20972">
        <f>HYPERLINK("https://android.googlesource.com/platform/cts/+/fd3e1c61479373172f884914dd72fb4507077db6", "fd3e1c61479373172f884914dd72fb4507077db6")</f>
        <v>0</v>
      </c>
      <c r="D20972" t="s">
        <v>5716</v>
      </c>
      <c r="E20972" t="s">
        <v>10191</v>
      </c>
      <c r="F20972" t="s">
        <v>14133</v>
      </c>
      <c r="G20972" t="s">
        <v>18122</v>
      </c>
      <c r="H20972" t="s">
        <v>38175</v>
      </c>
    </row>
    <row r="20973" spans="1:8">
      <c r="H20973" t="s">
        <v>38176</v>
      </c>
    </row>
    <row r="20974" spans="1:8">
      <c r="H20974" t="s">
        <v>38177</v>
      </c>
    </row>
    <row r="20975" spans="1:8">
      <c r="H20975" t="s">
        <v>38178</v>
      </c>
    </row>
    <row r="20976" spans="1:8">
      <c r="H20976" t="s">
        <v>33904</v>
      </c>
    </row>
    <row r="20977" spans="1:8">
      <c r="H20977" t="s">
        <v>38179</v>
      </c>
    </row>
    <row r="20978" spans="1:8">
      <c r="H20978" t="s">
        <v>38180</v>
      </c>
    </row>
    <row r="20979" spans="1:8">
      <c r="H20979" t="s">
        <v>38181</v>
      </c>
    </row>
    <row r="20980" spans="1:8">
      <c r="H20980" t="s">
        <v>38182</v>
      </c>
    </row>
    <row r="20981" spans="1:8">
      <c r="H20981" t="s">
        <v>38183</v>
      </c>
    </row>
    <row r="20982" spans="1:8">
      <c r="H20982" t="s">
        <v>38184</v>
      </c>
    </row>
    <row r="20983" spans="1:8">
      <c r="H20983" t="s">
        <v>38185</v>
      </c>
    </row>
    <row r="20984" spans="1:8">
      <c r="H20984" t="s">
        <v>38186</v>
      </c>
    </row>
    <row r="20985" spans="1:8">
      <c r="H20985" t="s">
        <v>38187</v>
      </c>
    </row>
    <row r="20986" spans="1:8">
      <c r="A20986" t="s">
        <v>4531</v>
      </c>
      <c r="B20986">
        <f>HYPERLINK("https://android.googlesource.com/platform/cts/+/61adcea84181a6bed4a4f5375af0592bbc6a8d6a", "61adcea84181a6bed4a4f5375af0592bbc6a8d6a")</f>
        <v>0</v>
      </c>
      <c r="C20986">
        <f>HYPERLINK("https://android.googlesource.com/platform/cts/+/0735a71ae62bf21bab2025425864d9b9c1624ffd", "0735a71ae62bf21bab2025425864d9b9c1624ffd")</f>
        <v>0</v>
      </c>
      <c r="D20986" t="s">
        <v>5717</v>
      </c>
      <c r="E20986" t="s">
        <v>10193</v>
      </c>
      <c r="F20986" t="s">
        <v>14765</v>
      </c>
      <c r="G20986" t="s">
        <v>18641</v>
      </c>
      <c r="H20986" t="s">
        <v>38189</v>
      </c>
    </row>
    <row r="20987" spans="1:8">
      <c r="H20987" t="s">
        <v>38190</v>
      </c>
    </row>
    <row r="20988" spans="1:8">
      <c r="A20988" t="s">
        <v>4532</v>
      </c>
      <c r="B20988">
        <f>HYPERLINK("https://android.googlesource.com/platform/cts/+/087aafafb4d70519f101fd46785f1c31ec7572b1", "087aafafb4d70519f101fd46785f1c31ec7572b1")</f>
        <v>0</v>
      </c>
      <c r="C20988">
        <f>HYPERLINK("https://android.googlesource.com/platform/cts/+/161b17471862eeabcb3aab12bbf2ccbb333175d6", "161b17471862eeabcb3aab12bbf2ccbb333175d6")</f>
        <v>0</v>
      </c>
      <c r="D20988" t="s">
        <v>5477</v>
      </c>
      <c r="E20988" t="s">
        <v>10194</v>
      </c>
      <c r="F20988" t="s">
        <v>14748</v>
      </c>
      <c r="G20988" t="s">
        <v>18624</v>
      </c>
      <c r="H20988" t="s">
        <v>38191</v>
      </c>
    </row>
    <row r="20989" spans="1:8">
      <c r="H20989" t="s">
        <v>38192</v>
      </c>
    </row>
    <row r="20990" spans="1:8">
      <c r="A20990" t="s">
        <v>4535</v>
      </c>
      <c r="B20990">
        <f>HYPERLINK("https://android.googlesource.com/platform/cts/+/9be135ac5c50799a2868922f670d28776ffe9aba", "9be135ac5c50799a2868922f670d28776ffe9aba")</f>
        <v>0</v>
      </c>
      <c r="C20990">
        <f>HYPERLINK("https://android.googlesource.com/platform/cts/+/ddc4da83e860f987e86c2ac9e5a7c8027850a2e7", "ddc4da83e860f987e86c2ac9e5a7c8027850a2e7")</f>
        <v>0</v>
      </c>
      <c r="D20990" t="s">
        <v>5485</v>
      </c>
      <c r="E20990" t="s">
        <v>10197</v>
      </c>
      <c r="F20990" t="s">
        <v>14092</v>
      </c>
      <c r="G20990" t="s">
        <v>18085</v>
      </c>
      <c r="H20990" t="s">
        <v>38193</v>
      </c>
    </row>
    <row r="20991" spans="1:8">
      <c r="A20991" t="s">
        <v>4536</v>
      </c>
      <c r="B20991">
        <f>HYPERLINK("https://android.googlesource.com/platform/cts/+/35d66c03de9fdb986d40833f227e19b4e8806aa3", "35d66c03de9fdb986d40833f227e19b4e8806aa3")</f>
        <v>0</v>
      </c>
      <c r="C20991">
        <f>HYPERLINK("https://android.googlesource.com/platform/cts/+/390aca5068b41475519d9201220d9e0d48338a89", "390aca5068b41475519d9201220d9e0d48338a89")</f>
        <v>0</v>
      </c>
      <c r="D20991" t="s">
        <v>5409</v>
      </c>
      <c r="E20991" t="s">
        <v>10198</v>
      </c>
      <c r="F20991" t="s">
        <v>13561</v>
      </c>
      <c r="G20991" t="s">
        <v>17667</v>
      </c>
      <c r="H20991" t="s">
        <v>29902</v>
      </c>
    </row>
    <row r="20992" spans="1:8">
      <c r="F20992" t="s">
        <v>14766</v>
      </c>
      <c r="G20992" t="s">
        <v>18642</v>
      </c>
      <c r="H20992" t="s">
        <v>38194</v>
      </c>
    </row>
    <row r="20993" spans="1:8">
      <c r="F20993" t="s">
        <v>13780</v>
      </c>
      <c r="G20993" t="s">
        <v>17667</v>
      </c>
      <c r="H20993" t="s">
        <v>29902</v>
      </c>
    </row>
    <row r="20994" spans="1:8">
      <c r="F20994" t="s">
        <v>12394</v>
      </c>
      <c r="G20994" t="s">
        <v>17294</v>
      </c>
      <c r="H20994" t="s">
        <v>31544</v>
      </c>
    </row>
    <row r="20995" spans="1:8">
      <c r="A20995" t="s">
        <v>4537</v>
      </c>
      <c r="B20995">
        <f>HYPERLINK("https://android.googlesource.com/platform/cts/+/9e9a19b29298c5c59d310b098add614e6531551e", "9e9a19b29298c5c59d310b098add614e6531551e")</f>
        <v>0</v>
      </c>
      <c r="C20995">
        <f>HYPERLINK("https://android.googlesource.com/platform/cts/+/a82d7550bc9c256375ecf8872bdbdf805daba83c", "a82d7550bc9c256375ecf8872bdbdf805daba83c")</f>
        <v>0</v>
      </c>
      <c r="D20995" t="s">
        <v>5460</v>
      </c>
      <c r="E20995" t="s">
        <v>10199</v>
      </c>
      <c r="F20995" t="s">
        <v>14362</v>
      </c>
      <c r="G20995" t="s">
        <v>18309</v>
      </c>
      <c r="H20995" t="s">
        <v>37152</v>
      </c>
    </row>
    <row r="20996" spans="1:8">
      <c r="H20996" t="s">
        <v>37153</v>
      </c>
    </row>
    <row r="20997" spans="1:8">
      <c r="A20997" t="s">
        <v>4541</v>
      </c>
      <c r="B20997">
        <f>HYPERLINK("https://android.googlesource.com/platform/cts/+/0744d7aacb7cb454655796841e64f8f9d6786f1a", "0744d7aacb7cb454655796841e64f8f9d6786f1a")</f>
        <v>0</v>
      </c>
      <c r="C20997">
        <f>HYPERLINK("https://android.googlesource.com/platform/cts/+/760a4df405e8d32c2601289f013bc69f6da7da08", "760a4df405e8d32c2601289f013bc69f6da7da08")</f>
        <v>0</v>
      </c>
      <c r="D20997" t="s">
        <v>5719</v>
      </c>
      <c r="E20997" t="s">
        <v>10202</v>
      </c>
      <c r="F20997" t="s">
        <v>14768</v>
      </c>
      <c r="G20997" t="s">
        <v>18644</v>
      </c>
      <c r="H20997" t="s">
        <v>38200</v>
      </c>
    </row>
    <row r="20998" spans="1:8">
      <c r="A20998" t="s">
        <v>4542</v>
      </c>
      <c r="B20998">
        <f>HYPERLINK("https://android.googlesource.com/platform/cts/+/ea932a560c115735da9fea197c7ef0dbf63bef3b", "ea932a560c115735da9fea197c7ef0dbf63bef3b")</f>
        <v>0</v>
      </c>
      <c r="C20998">
        <f>HYPERLINK("https://android.googlesource.com/platform/cts/+/e3e830216821a750a108ef4bd7e5e46388423f4d", "e3e830216821a750a108ef4bd7e5e46388423f4d")</f>
        <v>0</v>
      </c>
      <c r="D20998" t="s">
        <v>5618</v>
      </c>
      <c r="E20998" t="s">
        <v>10203</v>
      </c>
      <c r="F20998" t="s">
        <v>14466</v>
      </c>
      <c r="G20998" t="s">
        <v>18398</v>
      </c>
      <c r="H20998" t="s">
        <v>38201</v>
      </c>
    </row>
    <row r="20999" spans="1:8">
      <c r="A20999" t="s">
        <v>4543</v>
      </c>
      <c r="B20999">
        <f>HYPERLINK("https://android.googlesource.com/platform/cts/+/5eec84deae56cff374a2de89ac2d44abc1f750d2", "5eec84deae56cff374a2de89ac2d44abc1f750d2")</f>
        <v>0</v>
      </c>
      <c r="C20999">
        <f>HYPERLINK("https://android.googlesource.com/platform/cts/+/b82cb7ca0aea7104e7f94c5ba673bea4389d688b", "b82cb7ca0aea7104e7f94c5ba673bea4389d688b")</f>
        <v>0</v>
      </c>
      <c r="D20999" t="s">
        <v>5626</v>
      </c>
      <c r="E20999" t="s">
        <v>10204</v>
      </c>
      <c r="F20999" t="s">
        <v>14296</v>
      </c>
      <c r="G20999" t="s">
        <v>18022</v>
      </c>
      <c r="H20999" t="s">
        <v>38202</v>
      </c>
    </row>
    <row r="21000" spans="1:8">
      <c r="A21000" t="s">
        <v>4545</v>
      </c>
      <c r="B21000">
        <f>HYPERLINK("https://android.googlesource.com/platform/cts/+/55dd5ec4938a61d6a6e75a2b9b11b8129e70235a", "55dd5ec4938a61d6a6e75a2b9b11b8129e70235a")</f>
        <v>0</v>
      </c>
      <c r="C21000">
        <f>HYPERLINK("https://android.googlesource.com/platform/cts/+/3a5db353f240b980c1ed11871c9dac0e69899540", "3a5db353f240b980c1ed11871c9dac0e69899540")</f>
        <v>0</v>
      </c>
      <c r="D21000" t="s">
        <v>5564</v>
      </c>
      <c r="E21000" t="s">
        <v>10206</v>
      </c>
      <c r="F21000" t="s">
        <v>14770</v>
      </c>
      <c r="G21000" t="s">
        <v>17448</v>
      </c>
      <c r="H21000" t="s">
        <v>38204</v>
      </c>
    </row>
    <row r="21001" spans="1:8">
      <c r="H21001" t="s">
        <v>38205</v>
      </c>
    </row>
    <row r="21002" spans="1:8">
      <c r="H21002" t="s">
        <v>38206</v>
      </c>
    </row>
    <row r="21003" spans="1:8">
      <c r="H21003" t="s">
        <v>38207</v>
      </c>
    </row>
    <row r="21004" spans="1:8">
      <c r="H21004" t="s">
        <v>38208</v>
      </c>
    </row>
    <row r="21005" spans="1:8">
      <c r="H21005" t="s">
        <v>38209</v>
      </c>
    </row>
    <row r="21006" spans="1:8">
      <c r="H21006" t="s">
        <v>38210</v>
      </c>
    </row>
    <row r="21007" spans="1:8">
      <c r="H21007" t="s">
        <v>38211</v>
      </c>
    </row>
    <row r="21008" spans="1:8">
      <c r="H21008" t="s">
        <v>38212</v>
      </c>
    </row>
    <row r="21009" spans="8:8">
      <c r="H21009" t="s">
        <v>38213</v>
      </c>
    </row>
    <row r="21010" spans="8:8">
      <c r="H21010" t="s">
        <v>38214</v>
      </c>
    </row>
    <row r="21011" spans="8:8">
      <c r="H21011" t="s">
        <v>38215</v>
      </c>
    </row>
    <row r="21012" spans="8:8">
      <c r="H21012" t="s">
        <v>38216</v>
      </c>
    </row>
    <row r="21013" spans="8:8">
      <c r="H21013" t="s">
        <v>38217</v>
      </c>
    </row>
    <row r="21014" spans="8:8">
      <c r="H21014" t="s">
        <v>38218</v>
      </c>
    </row>
    <row r="21015" spans="8:8">
      <c r="H21015" t="s">
        <v>38219</v>
      </c>
    </row>
    <row r="21016" spans="8:8">
      <c r="H21016" t="s">
        <v>38220</v>
      </c>
    </row>
    <row r="21017" spans="8:8">
      <c r="H21017" t="s">
        <v>38221</v>
      </c>
    </row>
    <row r="21018" spans="8:8">
      <c r="H21018" t="s">
        <v>38222</v>
      </c>
    </row>
    <row r="21019" spans="8:8">
      <c r="H21019" t="s">
        <v>38223</v>
      </c>
    </row>
    <row r="21020" spans="8:8">
      <c r="H21020" t="s">
        <v>38224</v>
      </c>
    </row>
    <row r="21021" spans="8:8">
      <c r="H21021" t="s">
        <v>38225</v>
      </c>
    </row>
    <row r="21022" spans="8:8">
      <c r="H21022" t="s">
        <v>38226</v>
      </c>
    </row>
    <row r="21023" spans="8:8">
      <c r="H21023" t="s">
        <v>38227</v>
      </c>
    </row>
    <row r="21024" spans="8:8">
      <c r="H21024" t="s">
        <v>38228</v>
      </c>
    </row>
    <row r="21025" spans="8:8">
      <c r="H21025" t="s">
        <v>38229</v>
      </c>
    </row>
    <row r="21026" spans="8:8">
      <c r="H21026" t="s">
        <v>38230</v>
      </c>
    </row>
    <row r="21027" spans="8:8">
      <c r="H21027" t="s">
        <v>38231</v>
      </c>
    </row>
    <row r="21028" spans="8:8">
      <c r="H21028" t="s">
        <v>38232</v>
      </c>
    </row>
    <row r="21029" spans="8:8">
      <c r="H21029" t="s">
        <v>38233</v>
      </c>
    </row>
    <row r="21030" spans="8:8">
      <c r="H21030" t="s">
        <v>38234</v>
      </c>
    </row>
    <row r="21031" spans="8:8">
      <c r="H21031" t="s">
        <v>38235</v>
      </c>
    </row>
    <row r="21032" spans="8:8">
      <c r="H21032" t="s">
        <v>38236</v>
      </c>
    </row>
    <row r="21033" spans="8:8">
      <c r="H21033" t="s">
        <v>38237</v>
      </c>
    </row>
    <row r="21034" spans="8:8">
      <c r="H21034" t="s">
        <v>38238</v>
      </c>
    </row>
    <row r="21035" spans="8:8">
      <c r="H21035" t="s">
        <v>38239</v>
      </c>
    </row>
    <row r="21036" spans="8:8">
      <c r="H21036" t="s">
        <v>38240</v>
      </c>
    </row>
    <row r="21037" spans="8:8">
      <c r="H21037" t="s">
        <v>38241</v>
      </c>
    </row>
    <row r="21038" spans="8:8">
      <c r="H21038" t="s">
        <v>38242</v>
      </c>
    </row>
    <row r="21039" spans="8:8">
      <c r="H21039" t="s">
        <v>38243</v>
      </c>
    </row>
    <row r="21040" spans="8:8">
      <c r="H21040" t="s">
        <v>38244</v>
      </c>
    </row>
    <row r="21041" spans="8:8">
      <c r="H21041" t="s">
        <v>38245</v>
      </c>
    </row>
    <row r="21042" spans="8:8">
      <c r="H21042" t="s">
        <v>38246</v>
      </c>
    </row>
    <row r="21043" spans="8:8">
      <c r="H21043" t="s">
        <v>38247</v>
      </c>
    </row>
    <row r="21044" spans="8:8">
      <c r="H21044" t="s">
        <v>38248</v>
      </c>
    </row>
    <row r="21045" spans="8:8">
      <c r="H21045" t="s">
        <v>38249</v>
      </c>
    </row>
    <row r="21046" spans="8:8">
      <c r="H21046" t="s">
        <v>38250</v>
      </c>
    </row>
    <row r="21047" spans="8:8">
      <c r="H21047" t="s">
        <v>38251</v>
      </c>
    </row>
    <row r="21048" spans="8:8">
      <c r="H21048" t="s">
        <v>38252</v>
      </c>
    </row>
    <row r="21049" spans="8:8">
      <c r="H21049" t="s">
        <v>38253</v>
      </c>
    </row>
    <row r="21050" spans="8:8">
      <c r="H21050" t="s">
        <v>38254</v>
      </c>
    </row>
    <row r="21051" spans="8:8">
      <c r="H21051" t="s">
        <v>38255</v>
      </c>
    </row>
    <row r="21052" spans="8:8">
      <c r="H21052" t="s">
        <v>38256</v>
      </c>
    </row>
    <row r="21053" spans="8:8">
      <c r="H21053" t="s">
        <v>38257</v>
      </c>
    </row>
    <row r="21054" spans="8:8">
      <c r="H21054" t="s">
        <v>38258</v>
      </c>
    </row>
    <row r="21055" spans="8:8">
      <c r="H21055" t="s">
        <v>38259</v>
      </c>
    </row>
    <row r="21056" spans="8:8">
      <c r="H21056" t="s">
        <v>38260</v>
      </c>
    </row>
    <row r="21057" spans="8:8">
      <c r="H21057" t="s">
        <v>38261</v>
      </c>
    </row>
    <row r="21058" spans="8:8">
      <c r="H21058" t="s">
        <v>38262</v>
      </c>
    </row>
    <row r="21059" spans="8:8">
      <c r="H21059" t="s">
        <v>38263</v>
      </c>
    </row>
    <row r="21060" spans="8:8">
      <c r="H21060" t="s">
        <v>38264</v>
      </c>
    </row>
    <row r="21061" spans="8:8">
      <c r="H21061" t="s">
        <v>38265</v>
      </c>
    </row>
    <row r="21062" spans="8:8">
      <c r="H21062" t="s">
        <v>38266</v>
      </c>
    </row>
    <row r="21063" spans="8:8">
      <c r="H21063" t="s">
        <v>38267</v>
      </c>
    </row>
    <row r="21064" spans="8:8">
      <c r="H21064" t="s">
        <v>38268</v>
      </c>
    </row>
    <row r="21065" spans="8:8">
      <c r="H21065" t="s">
        <v>38269</v>
      </c>
    </row>
    <row r="21066" spans="8:8">
      <c r="H21066" t="s">
        <v>38270</v>
      </c>
    </row>
    <row r="21067" spans="8:8">
      <c r="H21067" t="s">
        <v>38271</v>
      </c>
    </row>
    <row r="21068" spans="8:8">
      <c r="H21068" t="s">
        <v>38272</v>
      </c>
    </row>
    <row r="21069" spans="8:8">
      <c r="H21069" t="s">
        <v>38273</v>
      </c>
    </row>
    <row r="21070" spans="8:8">
      <c r="H21070" t="s">
        <v>38274</v>
      </c>
    </row>
    <row r="21071" spans="8:8">
      <c r="H21071" t="s">
        <v>38275</v>
      </c>
    </row>
    <row r="21072" spans="8:8">
      <c r="H21072" t="s">
        <v>38276</v>
      </c>
    </row>
    <row r="21073" spans="8:8">
      <c r="H21073" t="s">
        <v>38277</v>
      </c>
    </row>
    <row r="21074" spans="8:8">
      <c r="H21074" t="s">
        <v>38278</v>
      </c>
    </row>
    <row r="21075" spans="8:8">
      <c r="H21075" t="s">
        <v>38279</v>
      </c>
    </row>
    <row r="21076" spans="8:8">
      <c r="H21076" t="s">
        <v>38280</v>
      </c>
    </row>
    <row r="21077" spans="8:8">
      <c r="H21077" t="s">
        <v>38281</v>
      </c>
    </row>
    <row r="21078" spans="8:8">
      <c r="H21078" t="s">
        <v>38282</v>
      </c>
    </row>
    <row r="21079" spans="8:8">
      <c r="H21079" t="s">
        <v>38283</v>
      </c>
    </row>
    <row r="21080" spans="8:8">
      <c r="H21080" t="s">
        <v>38284</v>
      </c>
    </row>
    <row r="21081" spans="8:8">
      <c r="H21081" t="s">
        <v>38285</v>
      </c>
    </row>
    <row r="21082" spans="8:8">
      <c r="H21082" t="s">
        <v>38286</v>
      </c>
    </row>
    <row r="21083" spans="8:8">
      <c r="H21083" t="s">
        <v>38287</v>
      </c>
    </row>
    <row r="21084" spans="8:8">
      <c r="H21084" t="s">
        <v>38288</v>
      </c>
    </row>
    <row r="21085" spans="8:8">
      <c r="H21085" t="s">
        <v>38289</v>
      </c>
    </row>
    <row r="21086" spans="8:8">
      <c r="H21086" t="s">
        <v>38290</v>
      </c>
    </row>
    <row r="21087" spans="8:8">
      <c r="H21087" t="s">
        <v>38291</v>
      </c>
    </row>
    <row r="21088" spans="8:8">
      <c r="H21088" t="s">
        <v>38292</v>
      </c>
    </row>
    <row r="21089" spans="1:8">
      <c r="H21089" t="s">
        <v>38293</v>
      </c>
    </row>
    <row r="21090" spans="1:8">
      <c r="H21090" t="s">
        <v>38294</v>
      </c>
    </row>
    <row r="21091" spans="1:8">
      <c r="H21091" t="s">
        <v>38295</v>
      </c>
    </row>
    <row r="21092" spans="1:8">
      <c r="A21092" t="s">
        <v>4546</v>
      </c>
      <c r="B21092">
        <f>HYPERLINK("https://android.googlesource.com/platform/cts/+/c5993a09d8ece9f95daf348cfe14108e4e90ccb9", "c5993a09d8ece9f95daf348cfe14108e4e90ccb9")</f>
        <v>0</v>
      </c>
      <c r="C21092">
        <f>HYPERLINK("https://android.googlesource.com/platform/cts/+/3a5db353f240b980c1ed11871c9dac0e69899540", "3a5db353f240b980c1ed11871c9dac0e69899540")</f>
        <v>0</v>
      </c>
      <c r="D21092" t="s">
        <v>5564</v>
      </c>
      <c r="E21092" t="s">
        <v>10207</v>
      </c>
      <c r="F21092" t="s">
        <v>14771</v>
      </c>
      <c r="G21092" t="s">
        <v>17076</v>
      </c>
      <c r="H21092" t="s">
        <v>38300</v>
      </c>
    </row>
    <row r="21093" spans="1:8">
      <c r="H21093" t="s">
        <v>38301</v>
      </c>
    </row>
    <row r="21094" spans="1:8">
      <c r="H21094" t="s">
        <v>38302</v>
      </c>
    </row>
    <row r="21095" spans="1:8">
      <c r="H21095" t="s">
        <v>38303</v>
      </c>
    </row>
    <row r="21096" spans="1:8">
      <c r="A21096" t="s">
        <v>4547</v>
      </c>
      <c r="B21096">
        <f>HYPERLINK("https://android.googlesource.com/platform/cts/+/d04911e7737437b0dcbf7535b7f287e38d2b599c", "d04911e7737437b0dcbf7535b7f287e38d2b599c")</f>
        <v>0</v>
      </c>
      <c r="C21096">
        <f>HYPERLINK("https://android.googlesource.com/platform/cts/+/3a5db353f240b980c1ed11871c9dac0e69899540", "3a5db353f240b980c1ed11871c9dac0e69899540")</f>
        <v>0</v>
      </c>
      <c r="D21096" t="s">
        <v>5564</v>
      </c>
      <c r="E21096" t="s">
        <v>10208</v>
      </c>
      <c r="F21096" t="s">
        <v>14772</v>
      </c>
      <c r="G21096" t="s">
        <v>16419</v>
      </c>
      <c r="H21096" t="s">
        <v>38304</v>
      </c>
    </row>
    <row r="21097" spans="1:8">
      <c r="H21097" t="s">
        <v>38305</v>
      </c>
    </row>
    <row r="21098" spans="1:8">
      <c r="H21098" t="s">
        <v>38306</v>
      </c>
    </row>
    <row r="21099" spans="1:8">
      <c r="H21099" t="s">
        <v>38307</v>
      </c>
    </row>
    <row r="21100" spans="1:8">
      <c r="H21100" t="s">
        <v>38308</v>
      </c>
    </row>
    <row r="21101" spans="1:8">
      <c r="H21101" t="s">
        <v>38309</v>
      </c>
    </row>
    <row r="21102" spans="1:8">
      <c r="H21102" t="s">
        <v>38310</v>
      </c>
    </row>
    <row r="21103" spans="1:8">
      <c r="H21103" t="s">
        <v>38311</v>
      </c>
    </row>
    <row r="21104" spans="1:8">
      <c r="H21104" t="s">
        <v>38312</v>
      </c>
    </row>
    <row r="21105" spans="8:8">
      <c r="H21105" t="s">
        <v>38313</v>
      </c>
    </row>
    <row r="21106" spans="8:8">
      <c r="H21106" t="s">
        <v>38314</v>
      </c>
    </row>
    <row r="21107" spans="8:8">
      <c r="H21107" t="s">
        <v>38315</v>
      </c>
    </row>
    <row r="21108" spans="8:8">
      <c r="H21108" t="s">
        <v>38316</v>
      </c>
    </row>
    <row r="21109" spans="8:8">
      <c r="H21109" t="s">
        <v>38317</v>
      </c>
    </row>
    <row r="21110" spans="8:8">
      <c r="H21110" t="s">
        <v>38318</v>
      </c>
    </row>
    <row r="21111" spans="8:8">
      <c r="H21111" t="s">
        <v>28847</v>
      </c>
    </row>
    <row r="21112" spans="8:8">
      <c r="H21112" t="s">
        <v>38319</v>
      </c>
    </row>
    <row r="21113" spans="8:8">
      <c r="H21113" t="s">
        <v>38320</v>
      </c>
    </row>
    <row r="21114" spans="8:8">
      <c r="H21114" t="s">
        <v>38321</v>
      </c>
    </row>
    <row r="21115" spans="8:8">
      <c r="H21115" t="s">
        <v>28848</v>
      </c>
    </row>
    <row r="21116" spans="8:8">
      <c r="H21116" t="s">
        <v>38322</v>
      </c>
    </row>
    <row r="21117" spans="8:8">
      <c r="H21117" t="s">
        <v>38323</v>
      </c>
    </row>
    <row r="21118" spans="8:8">
      <c r="H21118" t="s">
        <v>38324</v>
      </c>
    </row>
    <row r="21119" spans="8:8">
      <c r="H21119" t="s">
        <v>28849</v>
      </c>
    </row>
    <row r="21120" spans="8:8">
      <c r="H21120" t="s">
        <v>38325</v>
      </c>
    </row>
    <row r="21121" spans="1:8">
      <c r="H21121" t="s">
        <v>38326</v>
      </c>
    </row>
    <row r="21122" spans="1:8">
      <c r="H21122" t="s">
        <v>38327</v>
      </c>
    </row>
    <row r="21123" spans="1:8">
      <c r="H21123" t="s">
        <v>28850</v>
      </c>
    </row>
    <row r="21124" spans="1:8">
      <c r="A21124" t="s">
        <v>4548</v>
      </c>
      <c r="B21124">
        <f>HYPERLINK("https://android.googlesource.com/platform/cts/+/87cd8d2d4ba1c31de4070eaac2c674ed14c3ff9e", "87cd8d2d4ba1c31de4070eaac2c674ed14c3ff9e")</f>
        <v>0</v>
      </c>
      <c r="C21124">
        <f>HYPERLINK("https://android.googlesource.com/platform/cts/+/3a5db353f240b980c1ed11871c9dac0e69899540", "3a5db353f240b980c1ed11871c9dac0e69899540")</f>
        <v>0</v>
      </c>
      <c r="D21124" t="s">
        <v>5564</v>
      </c>
      <c r="E21124" t="s">
        <v>10209</v>
      </c>
      <c r="F21124" t="s">
        <v>14773</v>
      </c>
      <c r="G21124" t="s">
        <v>16648</v>
      </c>
      <c r="H21124" t="s">
        <v>38333</v>
      </c>
    </row>
    <row r="21125" spans="1:8">
      <c r="H21125" t="s">
        <v>38334</v>
      </c>
    </row>
    <row r="21126" spans="1:8">
      <c r="H21126" t="s">
        <v>38335</v>
      </c>
    </row>
    <row r="21127" spans="1:8">
      <c r="H21127" t="s">
        <v>38336</v>
      </c>
    </row>
    <row r="21128" spans="1:8">
      <c r="H21128" t="s">
        <v>38337</v>
      </c>
    </row>
    <row r="21129" spans="1:8">
      <c r="H21129" t="s">
        <v>38338</v>
      </c>
    </row>
    <row r="21130" spans="1:8">
      <c r="H21130" t="s">
        <v>38339</v>
      </c>
    </row>
    <row r="21131" spans="1:8">
      <c r="H21131" t="s">
        <v>38340</v>
      </c>
    </row>
    <row r="21132" spans="1:8">
      <c r="H21132" t="s">
        <v>38341</v>
      </c>
    </row>
    <row r="21133" spans="1:8">
      <c r="H21133" t="s">
        <v>38342</v>
      </c>
    </row>
    <row r="21134" spans="1:8">
      <c r="H21134" t="s">
        <v>38343</v>
      </c>
    </row>
    <row r="21135" spans="1:8">
      <c r="H21135" t="s">
        <v>38344</v>
      </c>
    </row>
    <row r="21136" spans="1:8">
      <c r="H21136" t="s">
        <v>38345</v>
      </c>
    </row>
    <row r="21137" spans="8:8">
      <c r="H21137" t="s">
        <v>38346</v>
      </c>
    </row>
    <row r="21138" spans="8:8">
      <c r="H21138" t="s">
        <v>38347</v>
      </c>
    </row>
    <row r="21139" spans="8:8">
      <c r="H21139" t="s">
        <v>38348</v>
      </c>
    </row>
    <row r="21140" spans="8:8">
      <c r="H21140" t="s">
        <v>38349</v>
      </c>
    </row>
    <row r="21141" spans="8:8">
      <c r="H21141" t="s">
        <v>38350</v>
      </c>
    </row>
    <row r="21142" spans="8:8">
      <c r="H21142" t="s">
        <v>38351</v>
      </c>
    </row>
    <row r="21143" spans="8:8">
      <c r="H21143" t="s">
        <v>38352</v>
      </c>
    </row>
    <row r="21144" spans="8:8">
      <c r="H21144" t="s">
        <v>38353</v>
      </c>
    </row>
    <row r="21145" spans="8:8">
      <c r="H21145" t="s">
        <v>38354</v>
      </c>
    </row>
    <row r="21146" spans="8:8">
      <c r="H21146" t="s">
        <v>38355</v>
      </c>
    </row>
    <row r="21147" spans="8:8">
      <c r="H21147" t="s">
        <v>38356</v>
      </c>
    </row>
    <row r="21148" spans="8:8">
      <c r="H21148" t="s">
        <v>38357</v>
      </c>
    </row>
    <row r="21149" spans="8:8">
      <c r="H21149" t="s">
        <v>38358</v>
      </c>
    </row>
    <row r="21150" spans="8:8">
      <c r="H21150" t="s">
        <v>38359</v>
      </c>
    </row>
    <row r="21151" spans="8:8">
      <c r="H21151" t="s">
        <v>38360</v>
      </c>
    </row>
    <row r="21152" spans="8:8">
      <c r="H21152" t="s">
        <v>38361</v>
      </c>
    </row>
    <row r="21153" spans="8:8">
      <c r="H21153" t="s">
        <v>38362</v>
      </c>
    </row>
    <row r="21154" spans="8:8">
      <c r="H21154" t="s">
        <v>38363</v>
      </c>
    </row>
    <row r="21155" spans="8:8">
      <c r="H21155" t="s">
        <v>38364</v>
      </c>
    </row>
    <row r="21156" spans="8:8">
      <c r="H21156" t="s">
        <v>38365</v>
      </c>
    </row>
    <row r="21157" spans="8:8">
      <c r="H21157" t="s">
        <v>38366</v>
      </c>
    </row>
    <row r="21158" spans="8:8">
      <c r="H21158" t="s">
        <v>38367</v>
      </c>
    </row>
    <row r="21159" spans="8:8">
      <c r="H21159" t="s">
        <v>38368</v>
      </c>
    </row>
    <row r="21160" spans="8:8">
      <c r="H21160" t="s">
        <v>38369</v>
      </c>
    </row>
    <row r="21161" spans="8:8">
      <c r="H21161" t="s">
        <v>38370</v>
      </c>
    </row>
    <row r="21162" spans="8:8">
      <c r="H21162" t="s">
        <v>38371</v>
      </c>
    </row>
    <row r="21163" spans="8:8">
      <c r="H21163" t="s">
        <v>38372</v>
      </c>
    </row>
    <row r="21164" spans="8:8">
      <c r="H21164" t="s">
        <v>38373</v>
      </c>
    </row>
    <row r="21165" spans="8:8">
      <c r="H21165" t="s">
        <v>38374</v>
      </c>
    </row>
    <row r="21166" spans="8:8">
      <c r="H21166" t="s">
        <v>38375</v>
      </c>
    </row>
    <row r="21167" spans="8:8">
      <c r="H21167" t="s">
        <v>38376</v>
      </c>
    </row>
    <row r="21168" spans="8:8">
      <c r="H21168" t="s">
        <v>38377</v>
      </c>
    </row>
    <row r="21169" spans="8:8">
      <c r="H21169" t="s">
        <v>38378</v>
      </c>
    </row>
    <row r="21170" spans="8:8">
      <c r="H21170" t="s">
        <v>38379</v>
      </c>
    </row>
    <row r="21171" spans="8:8">
      <c r="H21171" t="s">
        <v>38380</v>
      </c>
    </row>
    <row r="21172" spans="8:8">
      <c r="H21172" t="s">
        <v>38381</v>
      </c>
    </row>
    <row r="21173" spans="8:8">
      <c r="H21173" t="s">
        <v>38382</v>
      </c>
    </row>
    <row r="21174" spans="8:8">
      <c r="H21174" t="s">
        <v>38383</v>
      </c>
    </row>
    <row r="21175" spans="8:8">
      <c r="H21175" t="s">
        <v>38384</v>
      </c>
    </row>
    <row r="21176" spans="8:8">
      <c r="H21176" t="s">
        <v>38385</v>
      </c>
    </row>
    <row r="21177" spans="8:8">
      <c r="H21177" t="s">
        <v>38386</v>
      </c>
    </row>
    <row r="21178" spans="8:8">
      <c r="H21178" t="s">
        <v>38387</v>
      </c>
    </row>
    <row r="21179" spans="8:8">
      <c r="H21179" t="s">
        <v>38388</v>
      </c>
    </row>
    <row r="21180" spans="8:8">
      <c r="H21180" t="s">
        <v>38389</v>
      </c>
    </row>
    <row r="21181" spans="8:8">
      <c r="H21181" t="s">
        <v>38390</v>
      </c>
    </row>
    <row r="21182" spans="8:8">
      <c r="H21182" t="s">
        <v>38391</v>
      </c>
    </row>
    <row r="21183" spans="8:8">
      <c r="H21183" t="s">
        <v>38392</v>
      </c>
    </row>
    <row r="21184" spans="8:8">
      <c r="H21184" t="s">
        <v>38393</v>
      </c>
    </row>
    <row r="21185" spans="8:8">
      <c r="H21185" t="s">
        <v>38394</v>
      </c>
    </row>
    <row r="21186" spans="8:8">
      <c r="H21186" t="s">
        <v>38395</v>
      </c>
    </row>
    <row r="21187" spans="8:8">
      <c r="H21187" t="s">
        <v>38396</v>
      </c>
    </row>
    <row r="21188" spans="8:8">
      <c r="H21188" t="s">
        <v>38397</v>
      </c>
    </row>
    <row r="21189" spans="8:8">
      <c r="H21189" t="s">
        <v>38398</v>
      </c>
    </row>
    <row r="21190" spans="8:8">
      <c r="H21190" t="s">
        <v>38399</v>
      </c>
    </row>
    <row r="21191" spans="8:8">
      <c r="H21191" t="s">
        <v>38400</v>
      </c>
    </row>
    <row r="21192" spans="8:8">
      <c r="H21192" t="s">
        <v>38401</v>
      </c>
    </row>
    <row r="21193" spans="8:8">
      <c r="H21193" t="s">
        <v>38402</v>
      </c>
    </row>
    <row r="21194" spans="8:8">
      <c r="H21194" t="s">
        <v>38403</v>
      </c>
    </row>
    <row r="21195" spans="8:8">
      <c r="H21195" t="s">
        <v>38404</v>
      </c>
    </row>
    <row r="21196" spans="8:8">
      <c r="H21196" t="s">
        <v>38405</v>
      </c>
    </row>
    <row r="21197" spans="8:8">
      <c r="H21197" t="s">
        <v>38406</v>
      </c>
    </row>
    <row r="21198" spans="8:8">
      <c r="H21198" t="s">
        <v>38407</v>
      </c>
    </row>
    <row r="21199" spans="8:8">
      <c r="H21199" t="s">
        <v>38408</v>
      </c>
    </row>
    <row r="21200" spans="8:8">
      <c r="H21200" t="s">
        <v>38409</v>
      </c>
    </row>
    <row r="21201" spans="8:8">
      <c r="H21201" t="s">
        <v>38410</v>
      </c>
    </row>
    <row r="21202" spans="8:8">
      <c r="H21202" t="s">
        <v>38411</v>
      </c>
    </row>
    <row r="21203" spans="8:8">
      <c r="H21203" t="s">
        <v>38412</v>
      </c>
    </row>
    <row r="21204" spans="8:8">
      <c r="H21204" t="s">
        <v>38413</v>
      </c>
    </row>
    <row r="21205" spans="8:8">
      <c r="H21205" t="s">
        <v>38414</v>
      </c>
    </row>
    <row r="21206" spans="8:8">
      <c r="H21206" t="s">
        <v>38415</v>
      </c>
    </row>
    <row r="21207" spans="8:8">
      <c r="H21207" t="s">
        <v>38416</v>
      </c>
    </row>
    <row r="21208" spans="8:8">
      <c r="H21208" t="s">
        <v>38417</v>
      </c>
    </row>
    <row r="21209" spans="8:8">
      <c r="H21209" t="s">
        <v>38418</v>
      </c>
    </row>
    <row r="21210" spans="8:8">
      <c r="H21210" t="s">
        <v>38419</v>
      </c>
    </row>
    <row r="21211" spans="8:8">
      <c r="H21211" t="s">
        <v>38420</v>
      </c>
    </row>
    <row r="21212" spans="8:8">
      <c r="H21212" t="s">
        <v>38421</v>
      </c>
    </row>
    <row r="21213" spans="8:8">
      <c r="H21213" t="s">
        <v>38422</v>
      </c>
    </row>
    <row r="21214" spans="8:8">
      <c r="H21214" t="s">
        <v>38423</v>
      </c>
    </row>
    <row r="21215" spans="8:8">
      <c r="H21215" t="s">
        <v>38424</v>
      </c>
    </row>
    <row r="21216" spans="8:8">
      <c r="H21216" t="s">
        <v>38425</v>
      </c>
    </row>
    <row r="21217" spans="8:8">
      <c r="H21217" t="s">
        <v>38426</v>
      </c>
    </row>
    <row r="21218" spans="8:8">
      <c r="H21218" t="s">
        <v>38427</v>
      </c>
    </row>
    <row r="21219" spans="8:8">
      <c r="H21219" t="s">
        <v>38428</v>
      </c>
    </row>
    <row r="21220" spans="8:8">
      <c r="H21220" t="s">
        <v>38429</v>
      </c>
    </row>
    <row r="21221" spans="8:8">
      <c r="H21221" t="s">
        <v>38430</v>
      </c>
    </row>
    <row r="21222" spans="8:8">
      <c r="H21222" t="s">
        <v>38431</v>
      </c>
    </row>
    <row r="21223" spans="8:8">
      <c r="H21223" t="s">
        <v>38432</v>
      </c>
    </row>
    <row r="21224" spans="8:8">
      <c r="H21224" t="s">
        <v>38433</v>
      </c>
    </row>
    <row r="21225" spans="8:8">
      <c r="H21225" t="s">
        <v>38434</v>
      </c>
    </row>
    <row r="21226" spans="8:8">
      <c r="H21226" t="s">
        <v>38435</v>
      </c>
    </row>
    <row r="21227" spans="8:8">
      <c r="H21227" t="s">
        <v>38436</v>
      </c>
    </row>
    <row r="21228" spans="8:8">
      <c r="H21228" t="s">
        <v>38437</v>
      </c>
    </row>
    <row r="21229" spans="8:8">
      <c r="H21229" t="s">
        <v>38438</v>
      </c>
    </row>
    <row r="21230" spans="8:8">
      <c r="H21230" t="s">
        <v>38439</v>
      </c>
    </row>
    <row r="21231" spans="8:8">
      <c r="H21231" t="s">
        <v>38440</v>
      </c>
    </row>
    <row r="21232" spans="8:8">
      <c r="H21232" t="s">
        <v>38441</v>
      </c>
    </row>
    <row r="21233" spans="8:8">
      <c r="H21233" t="s">
        <v>38442</v>
      </c>
    </row>
    <row r="21234" spans="8:8">
      <c r="H21234" t="s">
        <v>38443</v>
      </c>
    </row>
    <row r="21235" spans="8:8">
      <c r="H21235" t="s">
        <v>38444</v>
      </c>
    </row>
    <row r="21236" spans="8:8">
      <c r="H21236" t="s">
        <v>38445</v>
      </c>
    </row>
    <row r="21237" spans="8:8">
      <c r="H21237" t="s">
        <v>38446</v>
      </c>
    </row>
    <row r="21238" spans="8:8">
      <c r="H21238" t="s">
        <v>38447</v>
      </c>
    </row>
    <row r="21239" spans="8:8">
      <c r="H21239" t="s">
        <v>38448</v>
      </c>
    </row>
    <row r="21240" spans="8:8">
      <c r="H21240" t="s">
        <v>38449</v>
      </c>
    </row>
    <row r="21241" spans="8:8">
      <c r="H21241" t="s">
        <v>38450</v>
      </c>
    </row>
    <row r="21242" spans="8:8">
      <c r="H21242" t="s">
        <v>38451</v>
      </c>
    </row>
    <row r="21243" spans="8:8">
      <c r="H21243" t="s">
        <v>38452</v>
      </c>
    </row>
    <row r="21244" spans="8:8">
      <c r="H21244" t="s">
        <v>38453</v>
      </c>
    </row>
    <row r="21245" spans="8:8">
      <c r="H21245" t="s">
        <v>38454</v>
      </c>
    </row>
    <row r="21246" spans="8:8">
      <c r="H21246" t="s">
        <v>38455</v>
      </c>
    </row>
    <row r="21247" spans="8:8">
      <c r="H21247" t="s">
        <v>38456</v>
      </c>
    </row>
    <row r="21248" spans="8:8">
      <c r="H21248" t="s">
        <v>38457</v>
      </c>
    </row>
    <row r="21249" spans="8:8">
      <c r="H21249" t="s">
        <v>38458</v>
      </c>
    </row>
    <row r="21250" spans="8:8">
      <c r="H21250" t="s">
        <v>38459</v>
      </c>
    </row>
    <row r="21251" spans="8:8">
      <c r="H21251" t="s">
        <v>38460</v>
      </c>
    </row>
    <row r="21252" spans="8:8">
      <c r="H21252" t="s">
        <v>38461</v>
      </c>
    </row>
    <row r="21253" spans="8:8">
      <c r="H21253" t="s">
        <v>38462</v>
      </c>
    </row>
    <row r="21254" spans="8:8">
      <c r="H21254" t="s">
        <v>38463</v>
      </c>
    </row>
    <row r="21255" spans="8:8">
      <c r="H21255" t="s">
        <v>38464</v>
      </c>
    </row>
    <row r="21256" spans="8:8">
      <c r="H21256" t="s">
        <v>38465</v>
      </c>
    </row>
    <row r="21257" spans="8:8">
      <c r="H21257" t="s">
        <v>38466</v>
      </c>
    </row>
    <row r="21258" spans="8:8">
      <c r="H21258" t="s">
        <v>38467</v>
      </c>
    </row>
    <row r="21259" spans="8:8">
      <c r="H21259" t="s">
        <v>38468</v>
      </c>
    </row>
    <row r="21260" spans="8:8">
      <c r="H21260" t="s">
        <v>38469</v>
      </c>
    </row>
    <row r="21261" spans="8:8">
      <c r="H21261" t="s">
        <v>38470</v>
      </c>
    </row>
    <row r="21262" spans="8:8">
      <c r="H21262" t="s">
        <v>38471</v>
      </c>
    </row>
    <row r="21263" spans="8:8">
      <c r="H21263" t="s">
        <v>38472</v>
      </c>
    </row>
    <row r="21264" spans="8:8">
      <c r="H21264" t="s">
        <v>38473</v>
      </c>
    </row>
    <row r="21265" spans="8:8">
      <c r="H21265" t="s">
        <v>38474</v>
      </c>
    </row>
    <row r="21266" spans="8:8">
      <c r="H21266" t="s">
        <v>38475</v>
      </c>
    </row>
    <row r="21267" spans="8:8">
      <c r="H21267" t="s">
        <v>38476</v>
      </c>
    </row>
    <row r="21268" spans="8:8">
      <c r="H21268" t="s">
        <v>38477</v>
      </c>
    </row>
    <row r="21269" spans="8:8">
      <c r="H21269" t="s">
        <v>38478</v>
      </c>
    </row>
    <row r="21270" spans="8:8">
      <c r="H21270" t="s">
        <v>38479</v>
      </c>
    </row>
    <row r="21271" spans="8:8">
      <c r="H21271" t="s">
        <v>38480</v>
      </c>
    </row>
    <row r="21272" spans="8:8">
      <c r="H21272" t="s">
        <v>38481</v>
      </c>
    </row>
    <row r="21273" spans="8:8">
      <c r="H21273" t="s">
        <v>38482</v>
      </c>
    </row>
    <row r="21274" spans="8:8">
      <c r="H21274" t="s">
        <v>38483</v>
      </c>
    </row>
    <row r="21275" spans="8:8">
      <c r="H21275" t="s">
        <v>38484</v>
      </c>
    </row>
    <row r="21276" spans="8:8">
      <c r="H21276" t="s">
        <v>38485</v>
      </c>
    </row>
    <row r="21277" spans="8:8">
      <c r="H21277" t="s">
        <v>38486</v>
      </c>
    </row>
    <row r="21278" spans="8:8">
      <c r="H21278" t="s">
        <v>38487</v>
      </c>
    </row>
    <row r="21279" spans="8:8">
      <c r="H21279" t="s">
        <v>38488</v>
      </c>
    </row>
    <row r="21280" spans="8:8">
      <c r="H21280" t="s">
        <v>38489</v>
      </c>
    </row>
    <row r="21281" spans="8:8">
      <c r="H21281" t="s">
        <v>38490</v>
      </c>
    </row>
    <row r="21282" spans="8:8">
      <c r="H21282" t="s">
        <v>38491</v>
      </c>
    </row>
    <row r="21283" spans="8:8">
      <c r="H21283" t="s">
        <v>38492</v>
      </c>
    </row>
    <row r="21284" spans="8:8">
      <c r="H21284" t="s">
        <v>38493</v>
      </c>
    </row>
    <row r="21285" spans="8:8">
      <c r="H21285" t="s">
        <v>38494</v>
      </c>
    </row>
    <row r="21286" spans="8:8">
      <c r="H21286" t="s">
        <v>38495</v>
      </c>
    </row>
    <row r="21287" spans="8:8">
      <c r="H21287" t="s">
        <v>38496</v>
      </c>
    </row>
    <row r="21288" spans="8:8">
      <c r="H21288" t="s">
        <v>38497</v>
      </c>
    </row>
    <row r="21289" spans="8:8">
      <c r="H21289" t="s">
        <v>38498</v>
      </c>
    </row>
    <row r="21290" spans="8:8">
      <c r="H21290" t="s">
        <v>38499</v>
      </c>
    </row>
    <row r="21291" spans="8:8">
      <c r="H21291" t="s">
        <v>38500</v>
      </c>
    </row>
    <row r="21292" spans="8:8">
      <c r="H21292" t="s">
        <v>38501</v>
      </c>
    </row>
    <row r="21293" spans="8:8">
      <c r="H21293" t="s">
        <v>38502</v>
      </c>
    </row>
    <row r="21294" spans="8:8">
      <c r="H21294" t="s">
        <v>38503</v>
      </c>
    </row>
    <row r="21295" spans="8:8">
      <c r="H21295" t="s">
        <v>38504</v>
      </c>
    </row>
    <row r="21296" spans="8:8">
      <c r="H21296" t="s">
        <v>38505</v>
      </c>
    </row>
    <row r="21297" spans="8:8">
      <c r="H21297" t="s">
        <v>38506</v>
      </c>
    </row>
    <row r="21298" spans="8:8">
      <c r="H21298" t="s">
        <v>38507</v>
      </c>
    </row>
    <row r="21299" spans="8:8">
      <c r="H21299" t="s">
        <v>38508</v>
      </c>
    </row>
    <row r="21300" spans="8:8">
      <c r="H21300" t="s">
        <v>38509</v>
      </c>
    </row>
    <row r="21301" spans="8:8">
      <c r="H21301" t="s">
        <v>38510</v>
      </c>
    </row>
    <row r="21302" spans="8:8">
      <c r="H21302" t="s">
        <v>38511</v>
      </c>
    </row>
    <row r="21303" spans="8:8">
      <c r="H21303" t="s">
        <v>38512</v>
      </c>
    </row>
    <row r="21304" spans="8:8">
      <c r="H21304" t="s">
        <v>38513</v>
      </c>
    </row>
    <row r="21305" spans="8:8">
      <c r="H21305" t="s">
        <v>38514</v>
      </c>
    </row>
    <row r="21306" spans="8:8">
      <c r="H21306" t="s">
        <v>38515</v>
      </c>
    </row>
    <row r="21307" spans="8:8">
      <c r="H21307" t="s">
        <v>38516</v>
      </c>
    </row>
    <row r="21308" spans="8:8">
      <c r="H21308" t="s">
        <v>38517</v>
      </c>
    </row>
    <row r="21309" spans="8:8">
      <c r="H21309" t="s">
        <v>38518</v>
      </c>
    </row>
    <row r="21310" spans="8:8">
      <c r="H21310" t="s">
        <v>38519</v>
      </c>
    </row>
    <row r="21311" spans="8:8">
      <c r="H21311" t="s">
        <v>38520</v>
      </c>
    </row>
    <row r="21312" spans="8:8">
      <c r="H21312" t="s">
        <v>38521</v>
      </c>
    </row>
    <row r="21313" spans="8:8">
      <c r="H21313" t="s">
        <v>38522</v>
      </c>
    </row>
    <row r="21314" spans="8:8">
      <c r="H21314" t="s">
        <v>38523</v>
      </c>
    </row>
    <row r="21315" spans="8:8">
      <c r="H21315" t="s">
        <v>38524</v>
      </c>
    </row>
    <row r="21316" spans="8:8">
      <c r="H21316" t="s">
        <v>38525</v>
      </c>
    </row>
    <row r="21317" spans="8:8">
      <c r="H21317" t="s">
        <v>38526</v>
      </c>
    </row>
    <row r="21318" spans="8:8">
      <c r="H21318" t="s">
        <v>38527</v>
      </c>
    </row>
    <row r="21319" spans="8:8">
      <c r="H21319" t="s">
        <v>38528</v>
      </c>
    </row>
    <row r="21320" spans="8:8">
      <c r="H21320" t="s">
        <v>38529</v>
      </c>
    </row>
    <row r="21321" spans="8:8">
      <c r="H21321" t="s">
        <v>38530</v>
      </c>
    </row>
    <row r="21322" spans="8:8">
      <c r="H21322" t="s">
        <v>38531</v>
      </c>
    </row>
    <row r="21323" spans="8:8">
      <c r="H21323" t="s">
        <v>38532</v>
      </c>
    </row>
    <row r="21324" spans="8:8">
      <c r="H21324" t="s">
        <v>38533</v>
      </c>
    </row>
    <row r="21325" spans="8:8">
      <c r="H21325" t="s">
        <v>38534</v>
      </c>
    </row>
    <row r="21326" spans="8:8">
      <c r="H21326" t="s">
        <v>38535</v>
      </c>
    </row>
    <row r="21327" spans="8:8">
      <c r="H21327" t="s">
        <v>38536</v>
      </c>
    </row>
    <row r="21328" spans="8:8">
      <c r="H21328" t="s">
        <v>38537</v>
      </c>
    </row>
    <row r="21329" spans="8:8">
      <c r="H21329" t="s">
        <v>38538</v>
      </c>
    </row>
    <row r="21330" spans="8:8">
      <c r="H21330" t="s">
        <v>38539</v>
      </c>
    </row>
    <row r="21331" spans="8:8">
      <c r="H21331" t="s">
        <v>38540</v>
      </c>
    </row>
    <row r="21332" spans="8:8">
      <c r="H21332" t="s">
        <v>38541</v>
      </c>
    </row>
    <row r="21333" spans="8:8">
      <c r="H21333" t="s">
        <v>38542</v>
      </c>
    </row>
    <row r="21334" spans="8:8">
      <c r="H21334" t="s">
        <v>38543</v>
      </c>
    </row>
    <row r="21335" spans="8:8">
      <c r="H21335" t="s">
        <v>38544</v>
      </c>
    </row>
    <row r="21336" spans="8:8">
      <c r="H21336" t="s">
        <v>38545</v>
      </c>
    </row>
    <row r="21337" spans="8:8">
      <c r="H21337" t="s">
        <v>38546</v>
      </c>
    </row>
    <row r="21338" spans="8:8">
      <c r="H21338" t="s">
        <v>38547</v>
      </c>
    </row>
    <row r="21339" spans="8:8">
      <c r="H21339" t="s">
        <v>38548</v>
      </c>
    </row>
    <row r="21340" spans="8:8">
      <c r="H21340" t="s">
        <v>38549</v>
      </c>
    </row>
    <row r="21341" spans="8:8">
      <c r="H21341" t="s">
        <v>38550</v>
      </c>
    </row>
    <row r="21342" spans="8:8">
      <c r="H21342" t="s">
        <v>38551</v>
      </c>
    </row>
    <row r="21343" spans="8:8">
      <c r="H21343" t="s">
        <v>38552</v>
      </c>
    </row>
    <row r="21344" spans="8:8">
      <c r="H21344" t="s">
        <v>38553</v>
      </c>
    </row>
    <row r="21345" spans="8:8">
      <c r="H21345" t="s">
        <v>38554</v>
      </c>
    </row>
    <row r="21346" spans="8:8">
      <c r="H21346" t="s">
        <v>38555</v>
      </c>
    </row>
    <row r="21347" spans="8:8">
      <c r="H21347" t="s">
        <v>38556</v>
      </c>
    </row>
    <row r="21348" spans="8:8">
      <c r="H21348" t="s">
        <v>38557</v>
      </c>
    </row>
    <row r="21349" spans="8:8">
      <c r="H21349" t="s">
        <v>38558</v>
      </c>
    </row>
    <row r="21350" spans="8:8">
      <c r="H21350" t="s">
        <v>38559</v>
      </c>
    </row>
    <row r="21351" spans="8:8">
      <c r="H21351" t="s">
        <v>38560</v>
      </c>
    </row>
    <row r="21352" spans="8:8">
      <c r="H21352" t="s">
        <v>38561</v>
      </c>
    </row>
    <row r="21353" spans="8:8">
      <c r="H21353" t="s">
        <v>38562</v>
      </c>
    </row>
    <row r="21354" spans="8:8">
      <c r="H21354" t="s">
        <v>38563</v>
      </c>
    </row>
    <row r="21355" spans="8:8">
      <c r="H21355" t="s">
        <v>38564</v>
      </c>
    </row>
    <row r="21356" spans="8:8">
      <c r="H21356" t="s">
        <v>38565</v>
      </c>
    </row>
    <row r="21357" spans="8:8">
      <c r="H21357" t="s">
        <v>38566</v>
      </c>
    </row>
    <row r="21358" spans="8:8">
      <c r="H21358" t="s">
        <v>38567</v>
      </c>
    </row>
    <row r="21359" spans="8:8">
      <c r="H21359" t="s">
        <v>38568</v>
      </c>
    </row>
    <row r="21360" spans="8:8">
      <c r="H21360" t="s">
        <v>38569</v>
      </c>
    </row>
    <row r="21361" spans="8:8">
      <c r="H21361" t="s">
        <v>38570</v>
      </c>
    </row>
    <row r="21362" spans="8:8">
      <c r="H21362" t="s">
        <v>38571</v>
      </c>
    </row>
    <row r="21363" spans="8:8">
      <c r="H21363" t="s">
        <v>38572</v>
      </c>
    </row>
    <row r="21364" spans="8:8">
      <c r="H21364" t="s">
        <v>38573</v>
      </c>
    </row>
    <row r="21365" spans="8:8">
      <c r="H21365" t="s">
        <v>38574</v>
      </c>
    </row>
    <row r="21366" spans="8:8">
      <c r="H21366" t="s">
        <v>38575</v>
      </c>
    </row>
    <row r="21367" spans="8:8">
      <c r="H21367" t="s">
        <v>38576</v>
      </c>
    </row>
    <row r="21368" spans="8:8">
      <c r="H21368" t="s">
        <v>38577</v>
      </c>
    </row>
    <row r="21369" spans="8:8">
      <c r="H21369" t="s">
        <v>38578</v>
      </c>
    </row>
    <row r="21370" spans="8:8">
      <c r="H21370" t="s">
        <v>38579</v>
      </c>
    </row>
    <row r="21371" spans="8:8">
      <c r="H21371" t="s">
        <v>38580</v>
      </c>
    </row>
    <row r="21372" spans="8:8">
      <c r="H21372" t="s">
        <v>38581</v>
      </c>
    </row>
    <row r="21373" spans="8:8">
      <c r="H21373" t="s">
        <v>38582</v>
      </c>
    </row>
    <row r="21374" spans="8:8">
      <c r="H21374" t="s">
        <v>38583</v>
      </c>
    </row>
    <row r="21375" spans="8:8">
      <c r="H21375" t="s">
        <v>38584</v>
      </c>
    </row>
    <row r="21376" spans="8:8">
      <c r="H21376" t="s">
        <v>38585</v>
      </c>
    </row>
    <row r="21377" spans="8:8">
      <c r="H21377" t="s">
        <v>38586</v>
      </c>
    </row>
    <row r="21378" spans="8:8">
      <c r="H21378" t="s">
        <v>38587</v>
      </c>
    </row>
    <row r="21379" spans="8:8">
      <c r="H21379" t="s">
        <v>38588</v>
      </c>
    </row>
    <row r="21380" spans="8:8">
      <c r="H21380" t="s">
        <v>38589</v>
      </c>
    </row>
    <row r="21381" spans="8:8">
      <c r="H21381" t="s">
        <v>38590</v>
      </c>
    </row>
    <row r="21382" spans="8:8">
      <c r="H21382" t="s">
        <v>38591</v>
      </c>
    </row>
    <row r="21383" spans="8:8">
      <c r="H21383" t="s">
        <v>38592</v>
      </c>
    </row>
    <row r="21384" spans="8:8">
      <c r="H21384" t="s">
        <v>38593</v>
      </c>
    </row>
    <row r="21385" spans="8:8">
      <c r="H21385" t="s">
        <v>38594</v>
      </c>
    </row>
    <row r="21386" spans="8:8">
      <c r="H21386" t="s">
        <v>38595</v>
      </c>
    </row>
    <row r="21387" spans="8:8">
      <c r="H21387" t="s">
        <v>38596</v>
      </c>
    </row>
    <row r="21388" spans="8:8">
      <c r="H21388" t="s">
        <v>38597</v>
      </c>
    </row>
    <row r="21389" spans="8:8">
      <c r="H21389" t="s">
        <v>38598</v>
      </c>
    </row>
    <row r="21390" spans="8:8">
      <c r="H21390" t="s">
        <v>38599</v>
      </c>
    </row>
    <row r="21391" spans="8:8">
      <c r="H21391" t="s">
        <v>38600</v>
      </c>
    </row>
    <row r="21392" spans="8:8">
      <c r="H21392" t="s">
        <v>38601</v>
      </c>
    </row>
    <row r="21393" spans="8:8">
      <c r="H21393" t="s">
        <v>38602</v>
      </c>
    </row>
    <row r="21394" spans="8:8">
      <c r="H21394" t="s">
        <v>38603</v>
      </c>
    </row>
    <row r="21395" spans="8:8">
      <c r="H21395" t="s">
        <v>38604</v>
      </c>
    </row>
    <row r="21396" spans="8:8">
      <c r="H21396" t="s">
        <v>38605</v>
      </c>
    </row>
    <row r="21397" spans="8:8">
      <c r="H21397" t="s">
        <v>38606</v>
      </c>
    </row>
    <row r="21398" spans="8:8">
      <c r="H21398" t="s">
        <v>38607</v>
      </c>
    </row>
    <row r="21399" spans="8:8">
      <c r="H21399" t="s">
        <v>38608</v>
      </c>
    </row>
    <row r="21400" spans="8:8">
      <c r="H21400" t="s">
        <v>38609</v>
      </c>
    </row>
    <row r="21401" spans="8:8">
      <c r="H21401" t="s">
        <v>38610</v>
      </c>
    </row>
    <row r="21402" spans="8:8">
      <c r="H21402" t="s">
        <v>38611</v>
      </c>
    </row>
    <row r="21403" spans="8:8">
      <c r="H21403" t="s">
        <v>38612</v>
      </c>
    </row>
    <row r="21404" spans="8:8">
      <c r="H21404" t="s">
        <v>38613</v>
      </c>
    </row>
    <row r="21405" spans="8:8">
      <c r="H21405" t="s">
        <v>38614</v>
      </c>
    </row>
    <row r="21406" spans="8:8">
      <c r="H21406" t="s">
        <v>38615</v>
      </c>
    </row>
    <row r="21407" spans="8:8">
      <c r="H21407" t="s">
        <v>38616</v>
      </c>
    </row>
    <row r="21408" spans="8:8">
      <c r="H21408" t="s">
        <v>38617</v>
      </c>
    </row>
    <row r="21409" spans="8:8">
      <c r="H21409" t="s">
        <v>38618</v>
      </c>
    </row>
    <row r="21410" spans="8:8">
      <c r="H21410" t="s">
        <v>38619</v>
      </c>
    </row>
    <row r="21411" spans="8:8">
      <c r="H21411" t="s">
        <v>38620</v>
      </c>
    </row>
    <row r="21412" spans="8:8">
      <c r="H21412" t="s">
        <v>38621</v>
      </c>
    </row>
    <row r="21413" spans="8:8">
      <c r="H21413" t="s">
        <v>38622</v>
      </c>
    </row>
    <row r="21414" spans="8:8">
      <c r="H21414" t="s">
        <v>38623</v>
      </c>
    </row>
    <row r="21415" spans="8:8">
      <c r="H21415" t="s">
        <v>38624</v>
      </c>
    </row>
    <row r="21416" spans="8:8">
      <c r="H21416" t="s">
        <v>38625</v>
      </c>
    </row>
    <row r="21417" spans="8:8">
      <c r="H21417" t="s">
        <v>38626</v>
      </c>
    </row>
    <row r="21418" spans="8:8">
      <c r="H21418" t="s">
        <v>38627</v>
      </c>
    </row>
    <row r="21419" spans="8:8">
      <c r="H21419" t="s">
        <v>38628</v>
      </c>
    </row>
    <row r="21420" spans="8:8">
      <c r="H21420" t="s">
        <v>38629</v>
      </c>
    </row>
    <row r="21421" spans="8:8">
      <c r="H21421" t="s">
        <v>38630</v>
      </c>
    </row>
    <row r="21422" spans="8:8">
      <c r="H21422" t="s">
        <v>38631</v>
      </c>
    </row>
    <row r="21423" spans="8:8">
      <c r="H21423" t="s">
        <v>38632</v>
      </c>
    </row>
    <row r="21424" spans="8:8">
      <c r="H21424" t="s">
        <v>38633</v>
      </c>
    </row>
    <row r="21425" spans="8:8">
      <c r="H21425" t="s">
        <v>38634</v>
      </c>
    </row>
    <row r="21426" spans="8:8">
      <c r="H21426" t="s">
        <v>38635</v>
      </c>
    </row>
    <row r="21427" spans="8:8">
      <c r="H21427" t="s">
        <v>38636</v>
      </c>
    </row>
    <row r="21428" spans="8:8">
      <c r="H21428" t="s">
        <v>38637</v>
      </c>
    </row>
    <row r="21429" spans="8:8">
      <c r="H21429" t="s">
        <v>38638</v>
      </c>
    </row>
    <row r="21430" spans="8:8">
      <c r="H21430" t="s">
        <v>38639</v>
      </c>
    </row>
    <row r="21431" spans="8:8">
      <c r="H21431" t="s">
        <v>38640</v>
      </c>
    </row>
    <row r="21432" spans="8:8">
      <c r="H21432" t="s">
        <v>38641</v>
      </c>
    </row>
    <row r="21433" spans="8:8">
      <c r="H21433" t="s">
        <v>38642</v>
      </c>
    </row>
    <row r="21434" spans="8:8">
      <c r="H21434" t="s">
        <v>38643</v>
      </c>
    </row>
    <row r="21435" spans="8:8">
      <c r="H21435" t="s">
        <v>38644</v>
      </c>
    </row>
    <row r="21436" spans="8:8">
      <c r="H21436" t="s">
        <v>38645</v>
      </c>
    </row>
    <row r="21437" spans="8:8">
      <c r="H21437" t="s">
        <v>38646</v>
      </c>
    </row>
    <row r="21438" spans="8:8">
      <c r="H21438" t="s">
        <v>38647</v>
      </c>
    </row>
    <row r="21439" spans="8:8">
      <c r="H21439" t="s">
        <v>38648</v>
      </c>
    </row>
    <row r="21440" spans="8:8">
      <c r="H21440" t="s">
        <v>38649</v>
      </c>
    </row>
    <row r="21441" spans="8:8">
      <c r="H21441" t="s">
        <v>38650</v>
      </c>
    </row>
    <row r="21442" spans="8:8">
      <c r="H21442" t="s">
        <v>38651</v>
      </c>
    </row>
    <row r="21443" spans="8:8">
      <c r="H21443" t="s">
        <v>38652</v>
      </c>
    </row>
    <row r="21444" spans="8:8">
      <c r="H21444" t="s">
        <v>38653</v>
      </c>
    </row>
    <row r="21445" spans="8:8">
      <c r="H21445" t="s">
        <v>38654</v>
      </c>
    </row>
    <row r="21446" spans="8:8">
      <c r="H21446" t="s">
        <v>38655</v>
      </c>
    </row>
    <row r="21447" spans="8:8">
      <c r="H21447" t="s">
        <v>38656</v>
      </c>
    </row>
    <row r="21448" spans="8:8">
      <c r="H21448" t="s">
        <v>38657</v>
      </c>
    </row>
    <row r="21449" spans="8:8">
      <c r="H21449" t="s">
        <v>38658</v>
      </c>
    </row>
    <row r="21450" spans="8:8">
      <c r="H21450" t="s">
        <v>38659</v>
      </c>
    </row>
    <row r="21451" spans="8:8">
      <c r="H21451" t="s">
        <v>38660</v>
      </c>
    </row>
    <row r="21452" spans="8:8">
      <c r="H21452" t="s">
        <v>38661</v>
      </c>
    </row>
    <row r="21453" spans="8:8">
      <c r="H21453" t="s">
        <v>38662</v>
      </c>
    </row>
    <row r="21454" spans="8:8">
      <c r="H21454" t="s">
        <v>38663</v>
      </c>
    </row>
    <row r="21455" spans="8:8">
      <c r="H21455" t="s">
        <v>38664</v>
      </c>
    </row>
    <row r="21456" spans="8:8">
      <c r="H21456" t="s">
        <v>38665</v>
      </c>
    </row>
    <row r="21457" spans="8:8">
      <c r="H21457" t="s">
        <v>38666</v>
      </c>
    </row>
    <row r="21458" spans="8:8">
      <c r="H21458" t="s">
        <v>38667</v>
      </c>
    </row>
    <row r="21459" spans="8:8">
      <c r="H21459" t="s">
        <v>38668</v>
      </c>
    </row>
    <row r="21460" spans="8:8">
      <c r="H21460" t="s">
        <v>38669</v>
      </c>
    </row>
    <row r="21461" spans="8:8">
      <c r="H21461" t="s">
        <v>38670</v>
      </c>
    </row>
    <row r="21462" spans="8:8">
      <c r="H21462" t="s">
        <v>38671</v>
      </c>
    </row>
    <row r="21463" spans="8:8">
      <c r="H21463" t="s">
        <v>38672</v>
      </c>
    </row>
    <row r="21464" spans="8:8">
      <c r="H21464" t="s">
        <v>38673</v>
      </c>
    </row>
    <row r="21465" spans="8:8">
      <c r="H21465" t="s">
        <v>38674</v>
      </c>
    </row>
    <row r="21466" spans="8:8">
      <c r="H21466" t="s">
        <v>38675</v>
      </c>
    </row>
    <row r="21467" spans="8:8">
      <c r="H21467" t="s">
        <v>38676</v>
      </c>
    </row>
    <row r="21468" spans="8:8">
      <c r="H21468" t="s">
        <v>38677</v>
      </c>
    </row>
    <row r="21469" spans="8:8">
      <c r="H21469" t="s">
        <v>38678</v>
      </c>
    </row>
    <row r="21470" spans="8:8">
      <c r="H21470" t="s">
        <v>38679</v>
      </c>
    </row>
    <row r="21471" spans="8:8">
      <c r="H21471" t="s">
        <v>38680</v>
      </c>
    </row>
    <row r="21472" spans="8:8">
      <c r="H21472" t="s">
        <v>38681</v>
      </c>
    </row>
    <row r="21473" spans="8:8">
      <c r="H21473" t="s">
        <v>38682</v>
      </c>
    </row>
    <row r="21474" spans="8:8">
      <c r="H21474" t="s">
        <v>38683</v>
      </c>
    </row>
    <row r="21475" spans="8:8">
      <c r="H21475" t="s">
        <v>38684</v>
      </c>
    </row>
    <row r="21476" spans="8:8">
      <c r="H21476" t="s">
        <v>38685</v>
      </c>
    </row>
    <row r="21477" spans="8:8">
      <c r="H21477" t="s">
        <v>38686</v>
      </c>
    </row>
    <row r="21478" spans="8:8">
      <c r="H21478" t="s">
        <v>38687</v>
      </c>
    </row>
    <row r="21479" spans="8:8">
      <c r="H21479" t="s">
        <v>38688</v>
      </c>
    </row>
    <row r="21480" spans="8:8">
      <c r="H21480" t="s">
        <v>38689</v>
      </c>
    </row>
    <row r="21481" spans="8:8">
      <c r="H21481" t="s">
        <v>38690</v>
      </c>
    </row>
    <row r="21482" spans="8:8">
      <c r="H21482" t="s">
        <v>38691</v>
      </c>
    </row>
    <row r="21483" spans="8:8">
      <c r="H21483" t="s">
        <v>38692</v>
      </c>
    </row>
    <row r="21484" spans="8:8">
      <c r="H21484" t="s">
        <v>38693</v>
      </c>
    </row>
    <row r="21485" spans="8:8">
      <c r="H21485" t="s">
        <v>38694</v>
      </c>
    </row>
    <row r="21486" spans="8:8">
      <c r="H21486" t="s">
        <v>38695</v>
      </c>
    </row>
    <row r="21487" spans="8:8">
      <c r="H21487" t="s">
        <v>38696</v>
      </c>
    </row>
    <row r="21488" spans="8:8">
      <c r="H21488" t="s">
        <v>38697</v>
      </c>
    </row>
    <row r="21489" spans="1:8">
      <c r="H21489" t="s">
        <v>38698</v>
      </c>
    </row>
    <row r="21490" spans="1:8">
      <c r="A21490" t="s">
        <v>4549</v>
      </c>
      <c r="B21490">
        <f>HYPERLINK("https://android.googlesource.com/platform/cts/+/b9642e074942f58947545180870dc26d0f54d642", "b9642e074942f58947545180870dc26d0f54d642")</f>
        <v>0</v>
      </c>
      <c r="C21490">
        <f>HYPERLINK("https://android.googlesource.com/platform/cts/+/457e773ef90b98c3fd0b765d9eef189a2177e8ef", "457e773ef90b98c3fd0b765d9eef189a2177e8ef")</f>
        <v>0</v>
      </c>
      <c r="D21490" t="s">
        <v>5720</v>
      </c>
      <c r="E21490" t="s">
        <v>10210</v>
      </c>
      <c r="F21490" t="s">
        <v>14774</v>
      </c>
      <c r="G21490" t="s">
        <v>18646</v>
      </c>
      <c r="H21490" t="s">
        <v>38699</v>
      </c>
    </row>
    <row r="21491" spans="1:8">
      <c r="F21491" t="s">
        <v>14775</v>
      </c>
      <c r="G21491" t="s">
        <v>18647</v>
      </c>
      <c r="H21491" t="s">
        <v>38700</v>
      </c>
    </row>
    <row r="21492" spans="1:8">
      <c r="F21492" t="s">
        <v>14776</v>
      </c>
      <c r="G21492" t="s">
        <v>18648</v>
      </c>
      <c r="H21492" t="s">
        <v>38702</v>
      </c>
    </row>
    <row r="21493" spans="1:8">
      <c r="F21493" t="s">
        <v>14777</v>
      </c>
      <c r="G21493" t="s">
        <v>17269</v>
      </c>
      <c r="H21493" t="s">
        <v>38704</v>
      </c>
    </row>
    <row r="21494" spans="1:8">
      <c r="F21494" t="s">
        <v>14778</v>
      </c>
      <c r="G21494" t="s">
        <v>18649</v>
      </c>
      <c r="H21494" t="s">
        <v>38705</v>
      </c>
    </row>
    <row r="21495" spans="1:8">
      <c r="F21495" t="s">
        <v>14779</v>
      </c>
      <c r="G21495" t="s">
        <v>18650</v>
      </c>
      <c r="H21495" t="s">
        <v>38706</v>
      </c>
    </row>
    <row r="21496" spans="1:8">
      <c r="H21496" t="s">
        <v>38707</v>
      </c>
    </row>
    <row r="21497" spans="1:8">
      <c r="F21497" t="s">
        <v>14780</v>
      </c>
      <c r="G21497" t="s">
        <v>18651</v>
      </c>
      <c r="H21497" t="s">
        <v>38708</v>
      </c>
    </row>
    <row r="21498" spans="1:8">
      <c r="F21498" t="s">
        <v>14781</v>
      </c>
      <c r="G21498" t="s">
        <v>18652</v>
      </c>
      <c r="H21498" t="s">
        <v>38709</v>
      </c>
    </row>
    <row r="21499" spans="1:8">
      <c r="F21499" t="s">
        <v>14782</v>
      </c>
      <c r="G21499" t="s">
        <v>18653</v>
      </c>
      <c r="H21499" t="s">
        <v>38710</v>
      </c>
    </row>
    <row r="21500" spans="1:8">
      <c r="F21500" t="s">
        <v>14783</v>
      </c>
      <c r="G21500" t="s">
        <v>18654</v>
      </c>
      <c r="H21500" t="s">
        <v>38711</v>
      </c>
    </row>
    <row r="21501" spans="1:8">
      <c r="A21501" t="s">
        <v>4553</v>
      </c>
      <c r="B21501">
        <f>HYPERLINK("https://android.googlesource.com/platform/cts/+/222bfeac56e87058c387158f6144681000bfd0bb", "222bfeac56e87058c387158f6144681000bfd0bb")</f>
        <v>0</v>
      </c>
      <c r="C21501">
        <f>HYPERLINK("https://android.googlesource.com/platform/cts/+/d482480e7bdae5cf7754f1516e45225586b8109c", "d482480e7bdae5cf7754f1516e45225586b8109c")</f>
        <v>0</v>
      </c>
      <c r="D21501" t="s">
        <v>5721</v>
      </c>
      <c r="E21501" t="s">
        <v>10214</v>
      </c>
      <c r="F21501" t="s">
        <v>14748</v>
      </c>
      <c r="G21501" t="s">
        <v>18624</v>
      </c>
      <c r="H21501" t="s">
        <v>38714</v>
      </c>
    </row>
    <row r="21502" spans="1:8">
      <c r="H21502" t="s">
        <v>38715</v>
      </c>
    </row>
    <row r="21503" spans="1:8">
      <c r="H21503" t="s">
        <v>38716</v>
      </c>
    </row>
    <row r="21504" spans="1:8">
      <c r="H21504" t="s">
        <v>38717</v>
      </c>
    </row>
    <row r="21505" spans="1:8">
      <c r="H21505" t="s">
        <v>38718</v>
      </c>
    </row>
    <row r="21506" spans="1:8">
      <c r="A21506" t="s">
        <v>4554</v>
      </c>
      <c r="B21506">
        <f>HYPERLINK("https://android.googlesource.com/platform/cts/+/b44c75d3d0080ce44d8793e8e38f0a38b3e9d216", "b44c75d3d0080ce44d8793e8e38f0a38b3e9d216")</f>
        <v>0</v>
      </c>
      <c r="C21506">
        <f>HYPERLINK("https://android.googlesource.com/platform/cts/+/d482480e7bdae5cf7754f1516e45225586b8109c", "d482480e7bdae5cf7754f1516e45225586b8109c")</f>
        <v>0</v>
      </c>
      <c r="D21506" t="s">
        <v>5564</v>
      </c>
      <c r="E21506" t="s">
        <v>10215</v>
      </c>
      <c r="F21506" t="s">
        <v>14721</v>
      </c>
      <c r="G21506" t="s">
        <v>17815</v>
      </c>
      <c r="H21506" t="s">
        <v>38719</v>
      </c>
    </row>
    <row r="21507" spans="1:8">
      <c r="A21507" t="s">
        <v>4558</v>
      </c>
      <c r="B21507">
        <f>HYPERLINK("https://android.googlesource.com/platform/cts/+/63f614d357563fef83cd4b09127a1e13e005fe99", "63f614d357563fef83cd4b09127a1e13e005fe99")</f>
        <v>0</v>
      </c>
      <c r="C21507">
        <f>HYPERLINK("https://android.googlesource.com/platform/cts/+/35d66c03de9fdb986d40833f227e19b4e8806aa3", "35d66c03de9fdb986d40833f227e19b4e8806aa3")</f>
        <v>0</v>
      </c>
      <c r="D21507" t="s">
        <v>5409</v>
      </c>
      <c r="E21507" t="s">
        <v>10219</v>
      </c>
      <c r="F21507" t="s">
        <v>12419</v>
      </c>
      <c r="G21507" t="s">
        <v>16641</v>
      </c>
      <c r="H21507" t="s">
        <v>38728</v>
      </c>
    </row>
    <row r="21508" spans="1:8">
      <c r="A21508" t="s">
        <v>4559</v>
      </c>
      <c r="B21508">
        <f>HYPERLINK("https://android.googlesource.com/platform/cts/+/13cbaa3a425d69b262c5ce7bbe8bb5310ec44b37", "13cbaa3a425d69b262c5ce7bbe8bb5310ec44b37")</f>
        <v>0</v>
      </c>
      <c r="C21508">
        <f>HYPERLINK("https://android.googlesource.com/platform/cts/+/63f614d357563fef83cd4b09127a1e13e005fe99", "63f614d357563fef83cd4b09127a1e13e005fe99")</f>
        <v>0</v>
      </c>
      <c r="D21508" t="s">
        <v>5409</v>
      </c>
      <c r="E21508" t="s">
        <v>10220</v>
      </c>
      <c r="F21508" t="s">
        <v>14574</v>
      </c>
      <c r="G21508" t="s">
        <v>18494</v>
      </c>
      <c r="H21508" t="s">
        <v>38729</v>
      </c>
    </row>
    <row r="21509" spans="1:8">
      <c r="H21509" t="s">
        <v>38730</v>
      </c>
    </row>
    <row r="21510" spans="1:8">
      <c r="H21510" t="s">
        <v>37605</v>
      </c>
    </row>
    <row r="21511" spans="1:8">
      <c r="A21511" t="s">
        <v>4560</v>
      </c>
      <c r="B21511">
        <f>HYPERLINK("https://android.googlesource.com/platform/cts/+/ccbd6dea4d9f7abceac9174136849e45b9cbd339", "ccbd6dea4d9f7abceac9174136849e45b9cbd339")</f>
        <v>0</v>
      </c>
      <c r="C21511">
        <f>HYPERLINK("https://android.googlesource.com/platform/cts/+/13cbaa3a425d69b262c5ce7bbe8bb5310ec44b37", "13cbaa3a425d69b262c5ce7bbe8bb5310ec44b37")</f>
        <v>0</v>
      </c>
      <c r="D21511" t="s">
        <v>5409</v>
      </c>
      <c r="E21511" t="s">
        <v>10221</v>
      </c>
      <c r="F21511" t="s">
        <v>14572</v>
      </c>
      <c r="G21511" t="s">
        <v>18492</v>
      </c>
      <c r="H21511" t="s">
        <v>36690</v>
      </c>
    </row>
    <row r="21512" spans="1:8">
      <c r="H21512" t="s">
        <v>37574</v>
      </c>
    </row>
    <row r="21513" spans="1:8">
      <c r="A21513" t="s">
        <v>4561</v>
      </c>
      <c r="B21513">
        <f>HYPERLINK("https://android.googlesource.com/platform/cts/+/1a57b7732297aab94a0649aef40a09a6cfc3b843", "1a57b7732297aab94a0649aef40a09a6cfc3b843")</f>
        <v>0</v>
      </c>
      <c r="C21513">
        <f>HYPERLINK("https://android.googlesource.com/platform/cts/+/e92e2eca5efe7947dd2563b73609c902d0ee185a", "e92e2eca5efe7947dd2563b73609c902d0ee185a")</f>
        <v>0</v>
      </c>
      <c r="D21513" t="s">
        <v>5723</v>
      </c>
      <c r="E21513" t="s">
        <v>10222</v>
      </c>
      <c r="F21513" t="s">
        <v>14768</v>
      </c>
      <c r="G21513" t="s">
        <v>18644</v>
      </c>
      <c r="H21513" t="s">
        <v>38732</v>
      </c>
    </row>
    <row r="21514" spans="1:8">
      <c r="H21514" t="s">
        <v>38733</v>
      </c>
    </row>
    <row r="21515" spans="1:8">
      <c r="A21515" t="s">
        <v>4562</v>
      </c>
      <c r="B21515">
        <f>HYPERLINK("https://android.googlesource.com/platform/cts/+/fd6135bf77a5d44fa4704c2c7acb67ed93841b17", "fd6135bf77a5d44fa4704c2c7acb67ed93841b17")</f>
        <v>0</v>
      </c>
      <c r="C21515">
        <f>HYPERLINK("https://android.googlesource.com/platform/cts/+/d482480e7bdae5cf7754f1516e45225586b8109c", "d482480e7bdae5cf7754f1516e45225586b8109c")</f>
        <v>0</v>
      </c>
      <c r="D21515" t="s">
        <v>5564</v>
      </c>
      <c r="E21515" t="s">
        <v>10223</v>
      </c>
      <c r="F21515" t="s">
        <v>14788</v>
      </c>
      <c r="G21515" t="s">
        <v>18008</v>
      </c>
      <c r="H21515" t="s">
        <v>38734</v>
      </c>
    </row>
    <row r="21516" spans="1:8">
      <c r="H21516" t="s">
        <v>38735</v>
      </c>
    </row>
    <row r="21517" spans="1:8">
      <c r="H21517" t="s">
        <v>38736</v>
      </c>
    </row>
    <row r="21518" spans="1:8">
      <c r="H21518" t="s">
        <v>38737</v>
      </c>
    </row>
    <row r="21519" spans="1:8">
      <c r="H21519" t="s">
        <v>38738</v>
      </c>
    </row>
    <row r="21520" spans="1:8">
      <c r="H21520" t="s">
        <v>38739</v>
      </c>
    </row>
    <row r="21521" spans="8:8">
      <c r="H21521" t="s">
        <v>38740</v>
      </c>
    </row>
    <row r="21522" spans="8:8">
      <c r="H21522" t="s">
        <v>38741</v>
      </c>
    </row>
    <row r="21523" spans="8:8">
      <c r="H21523" t="s">
        <v>38742</v>
      </c>
    </row>
    <row r="21524" spans="8:8">
      <c r="H21524" t="s">
        <v>38743</v>
      </c>
    </row>
    <row r="21525" spans="8:8">
      <c r="H21525" t="s">
        <v>38744</v>
      </c>
    </row>
    <row r="21526" spans="8:8">
      <c r="H21526" t="s">
        <v>38745</v>
      </c>
    </row>
    <row r="21527" spans="8:8">
      <c r="H21527" t="s">
        <v>38746</v>
      </c>
    </row>
    <row r="21528" spans="8:8">
      <c r="H21528" t="s">
        <v>38747</v>
      </c>
    </row>
    <row r="21529" spans="8:8">
      <c r="H21529" t="s">
        <v>38748</v>
      </c>
    </row>
    <row r="21530" spans="8:8">
      <c r="H21530" t="s">
        <v>38749</v>
      </c>
    </row>
    <row r="21531" spans="8:8">
      <c r="H21531" t="s">
        <v>38750</v>
      </c>
    </row>
    <row r="21532" spans="8:8">
      <c r="H21532" t="s">
        <v>38751</v>
      </c>
    </row>
    <row r="21533" spans="8:8">
      <c r="H21533" t="s">
        <v>38752</v>
      </c>
    </row>
    <row r="21534" spans="8:8">
      <c r="H21534" t="s">
        <v>38753</v>
      </c>
    </row>
    <row r="21535" spans="8:8">
      <c r="H21535" t="s">
        <v>38754</v>
      </c>
    </row>
    <row r="21536" spans="8:8">
      <c r="H21536" t="s">
        <v>38755</v>
      </c>
    </row>
    <row r="21537" spans="8:8">
      <c r="H21537" t="s">
        <v>38756</v>
      </c>
    </row>
    <row r="21538" spans="8:8">
      <c r="H21538" t="s">
        <v>38757</v>
      </c>
    </row>
    <row r="21539" spans="8:8">
      <c r="H21539" t="s">
        <v>38758</v>
      </c>
    </row>
    <row r="21540" spans="8:8">
      <c r="H21540" t="s">
        <v>38759</v>
      </c>
    </row>
    <row r="21541" spans="8:8">
      <c r="H21541" t="s">
        <v>38760</v>
      </c>
    </row>
    <row r="21542" spans="8:8">
      <c r="H21542" t="s">
        <v>38761</v>
      </c>
    </row>
    <row r="21543" spans="8:8">
      <c r="H21543" t="s">
        <v>38762</v>
      </c>
    </row>
    <row r="21544" spans="8:8">
      <c r="H21544" t="s">
        <v>38763</v>
      </c>
    </row>
    <row r="21545" spans="8:8">
      <c r="H21545" t="s">
        <v>38764</v>
      </c>
    </row>
    <row r="21546" spans="8:8">
      <c r="H21546" t="s">
        <v>38765</v>
      </c>
    </row>
    <row r="21547" spans="8:8">
      <c r="H21547" t="s">
        <v>38766</v>
      </c>
    </row>
    <row r="21548" spans="8:8">
      <c r="H21548" t="s">
        <v>38767</v>
      </c>
    </row>
    <row r="21549" spans="8:8">
      <c r="H21549" t="s">
        <v>38768</v>
      </c>
    </row>
    <row r="21550" spans="8:8">
      <c r="H21550" t="s">
        <v>38769</v>
      </c>
    </row>
    <row r="21551" spans="8:8">
      <c r="H21551" t="s">
        <v>38770</v>
      </c>
    </row>
    <row r="21552" spans="8:8">
      <c r="H21552" t="s">
        <v>38771</v>
      </c>
    </row>
    <row r="21553" spans="8:8">
      <c r="H21553" t="s">
        <v>38772</v>
      </c>
    </row>
    <row r="21554" spans="8:8">
      <c r="H21554" t="s">
        <v>38773</v>
      </c>
    </row>
    <row r="21555" spans="8:8">
      <c r="H21555" t="s">
        <v>38774</v>
      </c>
    </row>
    <row r="21556" spans="8:8">
      <c r="H21556" t="s">
        <v>38775</v>
      </c>
    </row>
    <row r="21557" spans="8:8">
      <c r="H21557" t="s">
        <v>38776</v>
      </c>
    </row>
    <row r="21558" spans="8:8">
      <c r="H21558" t="s">
        <v>38777</v>
      </c>
    </row>
    <row r="21559" spans="8:8">
      <c r="H21559" t="s">
        <v>38778</v>
      </c>
    </row>
    <row r="21560" spans="8:8">
      <c r="H21560" t="s">
        <v>38779</v>
      </c>
    </row>
    <row r="21561" spans="8:8">
      <c r="H21561" t="s">
        <v>38780</v>
      </c>
    </row>
    <row r="21562" spans="8:8">
      <c r="H21562" t="s">
        <v>38781</v>
      </c>
    </row>
    <row r="21563" spans="8:8">
      <c r="H21563" t="s">
        <v>38782</v>
      </c>
    </row>
    <row r="21564" spans="8:8">
      <c r="H21564" t="s">
        <v>38783</v>
      </c>
    </row>
    <row r="21565" spans="8:8">
      <c r="H21565" t="s">
        <v>38784</v>
      </c>
    </row>
    <row r="21566" spans="8:8">
      <c r="H21566" t="s">
        <v>38785</v>
      </c>
    </row>
    <row r="21567" spans="8:8">
      <c r="H21567" t="s">
        <v>38786</v>
      </c>
    </row>
    <row r="21568" spans="8:8">
      <c r="H21568" t="s">
        <v>38787</v>
      </c>
    </row>
    <row r="21569" spans="1:8">
      <c r="H21569" t="s">
        <v>38788</v>
      </c>
    </row>
    <row r="21570" spans="1:8">
      <c r="H21570" t="s">
        <v>38789</v>
      </c>
    </row>
    <row r="21571" spans="1:8">
      <c r="H21571" t="s">
        <v>32728</v>
      </c>
    </row>
    <row r="21572" spans="1:8">
      <c r="H21572" t="s">
        <v>32729</v>
      </c>
    </row>
    <row r="21573" spans="1:8">
      <c r="H21573" t="s">
        <v>38790</v>
      </c>
    </row>
    <row r="21574" spans="1:8">
      <c r="H21574" t="s">
        <v>38791</v>
      </c>
    </row>
    <row r="21575" spans="1:8">
      <c r="A21575" t="s">
        <v>4563</v>
      </c>
      <c r="B21575">
        <f>HYPERLINK("https://android.googlesource.com/platform/cts/+/a89d6eb2b8b11fea4c7fad9b8d845c80103088b7", "a89d6eb2b8b11fea4c7fad9b8d845c80103088b7")</f>
        <v>0</v>
      </c>
      <c r="C21575">
        <f>HYPERLINK("https://android.googlesource.com/platform/cts/+/b5dea30a85c58f41b8fe46a364c8f16bdc46e310", "b5dea30a85c58f41b8fe46a364c8f16bdc46e310")</f>
        <v>0</v>
      </c>
      <c r="D21575" t="s">
        <v>5724</v>
      </c>
      <c r="E21575" t="s">
        <v>10224</v>
      </c>
      <c r="F21575" t="s">
        <v>11433</v>
      </c>
      <c r="G21575" t="s">
        <v>15673</v>
      </c>
      <c r="H21575" t="s">
        <v>37860</v>
      </c>
    </row>
    <row r="21576" spans="1:8">
      <c r="H21576" t="s">
        <v>37861</v>
      </c>
    </row>
    <row r="21577" spans="1:8">
      <c r="H21577" t="s">
        <v>37862</v>
      </c>
    </row>
    <row r="21578" spans="1:8">
      <c r="H21578" t="s">
        <v>37863</v>
      </c>
    </row>
    <row r="21579" spans="1:8">
      <c r="H21579" t="s">
        <v>37864</v>
      </c>
    </row>
    <row r="21580" spans="1:8">
      <c r="H21580" t="s">
        <v>37865</v>
      </c>
    </row>
    <row r="21581" spans="1:8">
      <c r="A21581" t="s">
        <v>4565</v>
      </c>
      <c r="B21581">
        <f>HYPERLINK("https://android.googlesource.com/platform/cts/+/89e7db85873382dc2de717d7f668a911ba4b72cd", "89e7db85873382dc2de717d7f668a911ba4b72cd")</f>
        <v>0</v>
      </c>
      <c r="C21581">
        <f>HYPERLINK("https://android.googlesource.com/platform/cts/+/5ddeee4e9361d38048185b32ceef05150649890f", "5ddeee4e9361d38048185b32ceef05150649890f")</f>
        <v>0</v>
      </c>
      <c r="D21581" t="s">
        <v>5725</v>
      </c>
      <c r="E21581" t="s">
        <v>10226</v>
      </c>
      <c r="F21581" t="s">
        <v>14789</v>
      </c>
      <c r="G21581" t="s">
        <v>18658</v>
      </c>
      <c r="H21581" t="s">
        <v>38795</v>
      </c>
    </row>
    <row r="21582" spans="1:8">
      <c r="A21582" t="s">
        <v>4566</v>
      </c>
      <c r="B21582">
        <f>HYPERLINK("https://android.googlesource.com/platform/cts/+/89d40c2c28f41229c06e2a944f36b93e19e4b0f0", "89d40c2c28f41229c06e2a944f36b93e19e4b0f0")</f>
        <v>0</v>
      </c>
      <c r="C21582">
        <f>HYPERLINK("https://android.googlesource.com/platform/cts/+/6890b4b940b8c63ff3c8a3fee8ebdc99de8f446b", "6890b4b940b8c63ff3c8a3fee8ebdc99de8f446b")</f>
        <v>0</v>
      </c>
      <c r="D21582" t="s">
        <v>5244</v>
      </c>
      <c r="E21582" t="s">
        <v>10227</v>
      </c>
      <c r="F21582" t="s">
        <v>13398</v>
      </c>
      <c r="G21582" t="s">
        <v>17524</v>
      </c>
      <c r="H21582" t="s">
        <v>38796</v>
      </c>
    </row>
    <row r="21583" spans="1:8">
      <c r="A21583" t="s">
        <v>4567</v>
      </c>
      <c r="B21583">
        <f>HYPERLINK("https://android.googlesource.com/platform/cts/+/f796b85d994467ef4e6d4eebabe5eedda55571e2", "f796b85d994467ef4e6d4eebabe5eedda55571e2")</f>
        <v>0</v>
      </c>
      <c r="C21583">
        <f>HYPERLINK("https://android.googlesource.com/platform/cts/+/d482480e7bdae5cf7754f1516e45225586b8109c", "d482480e7bdae5cf7754f1516e45225586b8109c")</f>
        <v>0</v>
      </c>
      <c r="D21583" t="s">
        <v>5564</v>
      </c>
      <c r="E21583" t="s">
        <v>10228</v>
      </c>
      <c r="F21583" t="s">
        <v>14790</v>
      </c>
      <c r="G21583" t="s">
        <v>16861</v>
      </c>
      <c r="H21583" t="s">
        <v>38798</v>
      </c>
    </row>
    <row r="21584" spans="1:8">
      <c r="H21584" t="s">
        <v>38799</v>
      </c>
    </row>
    <row r="21585" spans="8:8">
      <c r="H21585" t="s">
        <v>38800</v>
      </c>
    </row>
    <row r="21586" spans="8:8">
      <c r="H21586" t="s">
        <v>38801</v>
      </c>
    </row>
    <row r="21587" spans="8:8">
      <c r="H21587" t="s">
        <v>38802</v>
      </c>
    </row>
    <row r="21588" spans="8:8">
      <c r="H21588" t="s">
        <v>38803</v>
      </c>
    </row>
    <row r="21589" spans="8:8">
      <c r="H21589" t="s">
        <v>38804</v>
      </c>
    </row>
    <row r="21590" spans="8:8">
      <c r="H21590" t="s">
        <v>38805</v>
      </c>
    </row>
    <row r="21591" spans="8:8">
      <c r="H21591" t="s">
        <v>38806</v>
      </c>
    </row>
    <row r="21592" spans="8:8">
      <c r="H21592" t="s">
        <v>38807</v>
      </c>
    </row>
    <row r="21593" spans="8:8">
      <c r="H21593" t="s">
        <v>38808</v>
      </c>
    </row>
    <row r="21594" spans="8:8">
      <c r="H21594" t="s">
        <v>38809</v>
      </c>
    </row>
    <row r="21595" spans="8:8">
      <c r="H21595" t="s">
        <v>38810</v>
      </c>
    </row>
    <row r="21596" spans="8:8">
      <c r="H21596" t="s">
        <v>38811</v>
      </c>
    </row>
    <row r="21597" spans="8:8">
      <c r="H21597" t="s">
        <v>38812</v>
      </c>
    </row>
    <row r="21598" spans="8:8">
      <c r="H21598" t="s">
        <v>38813</v>
      </c>
    </row>
    <row r="21599" spans="8:8">
      <c r="H21599" t="s">
        <v>38814</v>
      </c>
    </row>
    <row r="21600" spans="8:8">
      <c r="H21600" t="s">
        <v>38815</v>
      </c>
    </row>
    <row r="21601" spans="8:8">
      <c r="H21601" t="s">
        <v>38816</v>
      </c>
    </row>
    <row r="21602" spans="8:8">
      <c r="H21602" t="s">
        <v>38817</v>
      </c>
    </row>
    <row r="21603" spans="8:8">
      <c r="H21603" t="s">
        <v>38818</v>
      </c>
    </row>
    <row r="21604" spans="8:8">
      <c r="H21604" t="s">
        <v>38819</v>
      </c>
    </row>
    <row r="21605" spans="8:8">
      <c r="H21605" t="s">
        <v>38820</v>
      </c>
    </row>
    <row r="21606" spans="8:8">
      <c r="H21606" t="s">
        <v>38821</v>
      </c>
    </row>
    <row r="21607" spans="8:8">
      <c r="H21607" t="s">
        <v>38822</v>
      </c>
    </row>
    <row r="21608" spans="8:8">
      <c r="H21608" t="s">
        <v>38823</v>
      </c>
    </row>
    <row r="21609" spans="8:8">
      <c r="H21609" t="s">
        <v>38824</v>
      </c>
    </row>
    <row r="21610" spans="8:8">
      <c r="H21610" t="s">
        <v>38825</v>
      </c>
    </row>
    <row r="21611" spans="8:8">
      <c r="H21611" t="s">
        <v>38826</v>
      </c>
    </row>
    <row r="21612" spans="8:8">
      <c r="H21612" t="s">
        <v>38827</v>
      </c>
    </row>
    <row r="21613" spans="8:8">
      <c r="H21613" t="s">
        <v>38828</v>
      </c>
    </row>
    <row r="21614" spans="8:8">
      <c r="H21614" t="s">
        <v>38829</v>
      </c>
    </row>
    <row r="21615" spans="8:8">
      <c r="H21615" t="s">
        <v>38830</v>
      </c>
    </row>
    <row r="21616" spans="8:8">
      <c r="H21616" t="s">
        <v>38831</v>
      </c>
    </row>
    <row r="21617" spans="8:8">
      <c r="H21617" t="s">
        <v>38832</v>
      </c>
    </row>
    <row r="21618" spans="8:8">
      <c r="H21618" t="s">
        <v>38833</v>
      </c>
    </row>
    <row r="21619" spans="8:8">
      <c r="H21619" t="s">
        <v>38834</v>
      </c>
    </row>
    <row r="21620" spans="8:8">
      <c r="H21620" t="s">
        <v>38835</v>
      </c>
    </row>
    <row r="21621" spans="8:8">
      <c r="H21621" t="s">
        <v>38836</v>
      </c>
    </row>
    <row r="21622" spans="8:8">
      <c r="H21622" t="s">
        <v>38837</v>
      </c>
    </row>
    <row r="21623" spans="8:8">
      <c r="H21623" t="s">
        <v>38838</v>
      </c>
    </row>
    <row r="21624" spans="8:8">
      <c r="H21624" t="s">
        <v>38839</v>
      </c>
    </row>
    <row r="21625" spans="8:8">
      <c r="H21625" t="s">
        <v>38840</v>
      </c>
    </row>
    <row r="21626" spans="8:8">
      <c r="H21626" t="s">
        <v>38841</v>
      </c>
    </row>
    <row r="21627" spans="8:8">
      <c r="H21627" t="s">
        <v>38842</v>
      </c>
    </row>
    <row r="21628" spans="8:8">
      <c r="H21628" t="s">
        <v>38843</v>
      </c>
    </row>
    <row r="21629" spans="8:8">
      <c r="H21629" t="s">
        <v>38844</v>
      </c>
    </row>
    <row r="21630" spans="8:8">
      <c r="H21630" t="s">
        <v>38845</v>
      </c>
    </row>
    <row r="21631" spans="8:8">
      <c r="H21631" t="s">
        <v>38846</v>
      </c>
    </row>
    <row r="21632" spans="8:8">
      <c r="H21632" t="s">
        <v>38847</v>
      </c>
    </row>
    <row r="21633" spans="8:8">
      <c r="H21633" t="s">
        <v>38848</v>
      </c>
    </row>
    <row r="21634" spans="8:8">
      <c r="H21634" t="s">
        <v>38849</v>
      </c>
    </row>
    <row r="21635" spans="8:8">
      <c r="H21635" t="s">
        <v>38850</v>
      </c>
    </row>
    <row r="21636" spans="8:8">
      <c r="H21636" t="s">
        <v>38851</v>
      </c>
    </row>
    <row r="21637" spans="8:8">
      <c r="H21637" t="s">
        <v>38852</v>
      </c>
    </row>
    <row r="21638" spans="8:8">
      <c r="H21638" t="s">
        <v>38853</v>
      </c>
    </row>
    <row r="21639" spans="8:8">
      <c r="H21639" t="s">
        <v>38854</v>
      </c>
    </row>
    <row r="21640" spans="8:8">
      <c r="H21640" t="s">
        <v>38855</v>
      </c>
    </row>
    <row r="21641" spans="8:8">
      <c r="H21641" t="s">
        <v>38856</v>
      </c>
    </row>
    <row r="21642" spans="8:8">
      <c r="H21642" t="s">
        <v>38857</v>
      </c>
    </row>
    <row r="21643" spans="8:8">
      <c r="H21643" t="s">
        <v>38858</v>
      </c>
    </row>
    <row r="21644" spans="8:8">
      <c r="H21644" t="s">
        <v>38859</v>
      </c>
    </row>
    <row r="21645" spans="8:8">
      <c r="H21645" t="s">
        <v>38860</v>
      </c>
    </row>
    <row r="21646" spans="8:8">
      <c r="H21646" t="s">
        <v>38861</v>
      </c>
    </row>
    <row r="21647" spans="8:8">
      <c r="H21647" t="s">
        <v>38862</v>
      </c>
    </row>
    <row r="21648" spans="8:8">
      <c r="H21648" t="s">
        <v>38863</v>
      </c>
    </row>
    <row r="21649" spans="8:8">
      <c r="H21649" t="s">
        <v>38864</v>
      </c>
    </row>
    <row r="21650" spans="8:8">
      <c r="H21650" t="s">
        <v>38865</v>
      </c>
    </row>
    <row r="21651" spans="8:8">
      <c r="H21651" t="s">
        <v>38866</v>
      </c>
    </row>
    <row r="21652" spans="8:8">
      <c r="H21652" t="s">
        <v>38867</v>
      </c>
    </row>
    <row r="21653" spans="8:8">
      <c r="H21653" t="s">
        <v>38868</v>
      </c>
    </row>
    <row r="21654" spans="8:8">
      <c r="H21654" t="s">
        <v>38869</v>
      </c>
    </row>
    <row r="21655" spans="8:8">
      <c r="H21655" t="s">
        <v>38870</v>
      </c>
    </row>
    <row r="21656" spans="8:8">
      <c r="H21656" t="s">
        <v>38871</v>
      </c>
    </row>
    <row r="21657" spans="8:8">
      <c r="H21657" t="s">
        <v>38872</v>
      </c>
    </row>
    <row r="21658" spans="8:8">
      <c r="H21658" t="s">
        <v>38873</v>
      </c>
    </row>
    <row r="21659" spans="8:8">
      <c r="H21659" t="s">
        <v>38874</v>
      </c>
    </row>
    <row r="21660" spans="8:8">
      <c r="H21660" t="s">
        <v>38875</v>
      </c>
    </row>
    <row r="21661" spans="8:8">
      <c r="H21661" t="s">
        <v>38876</v>
      </c>
    </row>
    <row r="21662" spans="8:8">
      <c r="H21662" t="s">
        <v>38877</v>
      </c>
    </row>
    <row r="21663" spans="8:8">
      <c r="H21663" t="s">
        <v>38878</v>
      </c>
    </row>
    <row r="21664" spans="8:8">
      <c r="H21664" t="s">
        <v>38879</v>
      </c>
    </row>
    <row r="21665" spans="8:8">
      <c r="H21665" t="s">
        <v>38880</v>
      </c>
    </row>
    <row r="21666" spans="8:8">
      <c r="H21666" t="s">
        <v>38881</v>
      </c>
    </row>
    <row r="21667" spans="8:8">
      <c r="H21667" t="s">
        <v>38882</v>
      </c>
    </row>
    <row r="21668" spans="8:8">
      <c r="H21668" t="s">
        <v>38883</v>
      </c>
    </row>
    <row r="21669" spans="8:8">
      <c r="H21669" t="s">
        <v>38884</v>
      </c>
    </row>
    <row r="21670" spans="8:8">
      <c r="H21670" t="s">
        <v>38885</v>
      </c>
    </row>
    <row r="21671" spans="8:8">
      <c r="H21671" t="s">
        <v>38886</v>
      </c>
    </row>
    <row r="21672" spans="8:8">
      <c r="H21672" t="s">
        <v>38887</v>
      </c>
    </row>
    <row r="21673" spans="8:8">
      <c r="H21673" t="s">
        <v>38888</v>
      </c>
    </row>
    <row r="21674" spans="8:8">
      <c r="H21674" t="s">
        <v>38889</v>
      </c>
    </row>
    <row r="21675" spans="8:8">
      <c r="H21675" t="s">
        <v>38890</v>
      </c>
    </row>
    <row r="21676" spans="8:8">
      <c r="H21676" t="s">
        <v>38891</v>
      </c>
    </row>
    <row r="21677" spans="8:8">
      <c r="H21677" t="s">
        <v>38892</v>
      </c>
    </row>
    <row r="21678" spans="8:8">
      <c r="H21678" t="s">
        <v>38893</v>
      </c>
    </row>
    <row r="21679" spans="8:8">
      <c r="H21679" t="s">
        <v>38894</v>
      </c>
    </row>
    <row r="21680" spans="8:8">
      <c r="H21680" t="s">
        <v>38895</v>
      </c>
    </row>
    <row r="21681" spans="8:8">
      <c r="H21681" t="s">
        <v>38896</v>
      </c>
    </row>
    <row r="21682" spans="8:8">
      <c r="H21682" t="s">
        <v>38897</v>
      </c>
    </row>
    <row r="21683" spans="8:8">
      <c r="H21683" t="s">
        <v>38898</v>
      </c>
    </row>
    <row r="21684" spans="8:8">
      <c r="H21684" t="s">
        <v>38899</v>
      </c>
    </row>
    <row r="21685" spans="8:8">
      <c r="H21685" t="s">
        <v>38900</v>
      </c>
    </row>
    <row r="21686" spans="8:8">
      <c r="H21686" t="s">
        <v>38901</v>
      </c>
    </row>
    <row r="21687" spans="8:8">
      <c r="H21687" t="s">
        <v>38902</v>
      </c>
    </row>
    <row r="21688" spans="8:8">
      <c r="H21688" t="s">
        <v>38903</v>
      </c>
    </row>
    <row r="21689" spans="8:8">
      <c r="H21689" t="s">
        <v>38904</v>
      </c>
    </row>
    <row r="21690" spans="8:8">
      <c r="H21690" t="s">
        <v>38905</v>
      </c>
    </row>
    <row r="21691" spans="8:8">
      <c r="H21691" t="s">
        <v>38906</v>
      </c>
    </row>
    <row r="21692" spans="8:8">
      <c r="H21692" t="s">
        <v>38907</v>
      </c>
    </row>
    <row r="21693" spans="8:8">
      <c r="H21693" t="s">
        <v>38908</v>
      </c>
    </row>
    <row r="21694" spans="8:8">
      <c r="H21694" t="s">
        <v>38909</v>
      </c>
    </row>
    <row r="21695" spans="8:8">
      <c r="H21695" t="s">
        <v>38910</v>
      </c>
    </row>
    <row r="21696" spans="8:8">
      <c r="H21696" t="s">
        <v>38911</v>
      </c>
    </row>
    <row r="21697" spans="8:8">
      <c r="H21697" t="s">
        <v>38912</v>
      </c>
    </row>
    <row r="21698" spans="8:8">
      <c r="H21698" t="s">
        <v>38913</v>
      </c>
    </row>
    <row r="21699" spans="8:8">
      <c r="H21699" t="s">
        <v>38914</v>
      </c>
    </row>
    <row r="21700" spans="8:8">
      <c r="H21700" t="s">
        <v>38915</v>
      </c>
    </row>
    <row r="21701" spans="8:8">
      <c r="H21701" t="s">
        <v>38916</v>
      </c>
    </row>
    <row r="21702" spans="8:8">
      <c r="H21702" t="s">
        <v>38917</v>
      </c>
    </row>
    <row r="21703" spans="8:8">
      <c r="H21703" t="s">
        <v>38918</v>
      </c>
    </row>
    <row r="21704" spans="8:8">
      <c r="H21704" t="s">
        <v>38919</v>
      </c>
    </row>
    <row r="21705" spans="8:8">
      <c r="H21705" t="s">
        <v>38920</v>
      </c>
    </row>
    <row r="21706" spans="8:8">
      <c r="H21706" t="s">
        <v>38921</v>
      </c>
    </row>
    <row r="21707" spans="8:8">
      <c r="H21707" t="s">
        <v>38922</v>
      </c>
    </row>
    <row r="21708" spans="8:8">
      <c r="H21708" t="s">
        <v>38923</v>
      </c>
    </row>
    <row r="21709" spans="8:8">
      <c r="H21709" t="s">
        <v>38924</v>
      </c>
    </row>
    <row r="21710" spans="8:8">
      <c r="H21710" t="s">
        <v>38925</v>
      </c>
    </row>
    <row r="21711" spans="8:8">
      <c r="H21711" t="s">
        <v>38926</v>
      </c>
    </row>
    <row r="21712" spans="8:8">
      <c r="H21712" t="s">
        <v>38927</v>
      </c>
    </row>
    <row r="21713" spans="8:8">
      <c r="H21713" t="s">
        <v>38928</v>
      </c>
    </row>
    <row r="21714" spans="8:8">
      <c r="H21714" t="s">
        <v>38929</v>
      </c>
    </row>
    <row r="21715" spans="8:8">
      <c r="H21715" t="s">
        <v>38930</v>
      </c>
    </row>
    <row r="21716" spans="8:8">
      <c r="H21716" t="s">
        <v>38931</v>
      </c>
    </row>
    <row r="21717" spans="8:8">
      <c r="H21717" t="s">
        <v>38932</v>
      </c>
    </row>
    <row r="21718" spans="8:8">
      <c r="H21718" t="s">
        <v>38933</v>
      </c>
    </row>
    <row r="21719" spans="8:8">
      <c r="H21719" t="s">
        <v>38934</v>
      </c>
    </row>
    <row r="21720" spans="8:8">
      <c r="H21720" t="s">
        <v>38935</v>
      </c>
    </row>
    <row r="21721" spans="8:8">
      <c r="H21721" t="s">
        <v>38936</v>
      </c>
    </row>
    <row r="21722" spans="8:8">
      <c r="H21722" t="s">
        <v>38937</v>
      </c>
    </row>
    <row r="21723" spans="8:8">
      <c r="H21723" t="s">
        <v>38938</v>
      </c>
    </row>
    <row r="21724" spans="8:8">
      <c r="H21724" t="s">
        <v>38939</v>
      </c>
    </row>
    <row r="21725" spans="8:8">
      <c r="H21725" t="s">
        <v>38940</v>
      </c>
    </row>
    <row r="21726" spans="8:8">
      <c r="H21726" t="s">
        <v>38941</v>
      </c>
    </row>
    <row r="21727" spans="8:8">
      <c r="H21727" t="s">
        <v>38942</v>
      </c>
    </row>
    <row r="21728" spans="8:8">
      <c r="H21728" t="s">
        <v>38943</v>
      </c>
    </row>
    <row r="21729" spans="1:8">
      <c r="H21729" t="s">
        <v>38944</v>
      </c>
    </row>
    <row r="21730" spans="1:8">
      <c r="H21730" t="s">
        <v>38945</v>
      </c>
    </row>
    <row r="21731" spans="1:8">
      <c r="H21731" t="s">
        <v>38946</v>
      </c>
    </row>
    <row r="21732" spans="1:8">
      <c r="H21732" t="s">
        <v>38947</v>
      </c>
    </row>
    <row r="21733" spans="1:8">
      <c r="H21733" t="s">
        <v>38948</v>
      </c>
    </row>
    <row r="21734" spans="1:8">
      <c r="H21734" t="s">
        <v>38949</v>
      </c>
    </row>
    <row r="21735" spans="1:8">
      <c r="H21735" t="s">
        <v>38950</v>
      </c>
    </row>
    <row r="21736" spans="1:8">
      <c r="H21736" t="s">
        <v>38951</v>
      </c>
    </row>
    <row r="21737" spans="1:8">
      <c r="H21737" t="s">
        <v>38952</v>
      </c>
    </row>
    <row r="21738" spans="1:8">
      <c r="H21738" t="s">
        <v>38953</v>
      </c>
    </row>
    <row r="21739" spans="1:8">
      <c r="A21739" t="s">
        <v>4568</v>
      </c>
      <c r="B21739">
        <f>HYPERLINK("https://android.googlesource.com/platform/cts/+/739d8048ce8023ef7b1815a800c56d362ebf4799", "739d8048ce8023ef7b1815a800c56d362ebf4799")</f>
        <v>0</v>
      </c>
      <c r="C21739">
        <f>HYPERLINK("https://android.googlesource.com/platform/cts/+/bd1808ed24a442996d92483e55a72ee7d1e9e7d3", "bd1808ed24a442996d92483e55a72ee7d1e9e7d3")</f>
        <v>0</v>
      </c>
      <c r="D21739" t="s">
        <v>5437</v>
      </c>
      <c r="E21739" t="s">
        <v>10229</v>
      </c>
      <c r="F21739" t="s">
        <v>13965</v>
      </c>
      <c r="G21739" t="s">
        <v>17990</v>
      </c>
      <c r="H21739" t="s">
        <v>38954</v>
      </c>
    </row>
    <row r="21740" spans="1:8">
      <c r="A21740" t="s">
        <v>4571</v>
      </c>
      <c r="B21740">
        <f>HYPERLINK("https://android.googlesource.com/platform/cts/+/da263dfbf808a7c38322e0b430e98521f40b31bc", "da263dfbf808a7c38322e0b430e98521f40b31bc")</f>
        <v>0</v>
      </c>
      <c r="C21740">
        <f>HYPERLINK("https://android.googlesource.com/platform/cts/+/1cf3cbe51d0f2f0fdb21ec613192d68ec77d6d36", "1cf3cbe51d0f2f0fdb21ec613192d68ec77d6d36")</f>
        <v>0</v>
      </c>
      <c r="D21740" t="s">
        <v>5575</v>
      </c>
      <c r="E21740" t="s">
        <v>10232</v>
      </c>
      <c r="F21740" t="s">
        <v>14792</v>
      </c>
      <c r="G21740" t="s">
        <v>18660</v>
      </c>
      <c r="H21740" t="s">
        <v>38955</v>
      </c>
    </row>
    <row r="21741" spans="1:8">
      <c r="F21741" t="s">
        <v>14793</v>
      </c>
      <c r="G21741" t="s">
        <v>18661</v>
      </c>
      <c r="H21741" t="s">
        <v>38956</v>
      </c>
    </row>
    <row r="21742" spans="1:8">
      <c r="A21742" t="s">
        <v>4573</v>
      </c>
      <c r="B21742">
        <f>HYPERLINK("https://android.googlesource.com/platform/cts/+/d66107ddfaf1f02b4aff53522a29bdfc95d8d3ff", "d66107ddfaf1f02b4aff53522a29bdfc95d8d3ff")</f>
        <v>0</v>
      </c>
      <c r="C21742">
        <f>HYPERLINK("https://android.googlesource.com/platform/cts/+/80002ce9344238935804504482448046337cf8bb", "80002ce9344238935804504482448046337cf8bb")</f>
        <v>0</v>
      </c>
      <c r="D21742" t="s">
        <v>5720</v>
      </c>
      <c r="E21742" t="s">
        <v>10234</v>
      </c>
      <c r="F21742" t="s">
        <v>14795</v>
      </c>
      <c r="G21742" t="s">
        <v>18662</v>
      </c>
      <c r="H21742" t="s">
        <v>38959</v>
      </c>
    </row>
    <row r="21743" spans="1:8">
      <c r="H21743" t="s">
        <v>38960</v>
      </c>
    </row>
    <row r="21744" spans="1:8">
      <c r="H21744" t="s">
        <v>38961</v>
      </c>
    </row>
    <row r="21745" spans="1:8">
      <c r="A21745" t="s">
        <v>4575</v>
      </c>
      <c r="B21745">
        <f>HYPERLINK("https://android.googlesource.com/platform/cts/+/544fdc824095b625b6fc0efecf7a6bd31e6fe92f", "544fdc824095b625b6fc0efecf7a6bd31e6fe92f")</f>
        <v>0</v>
      </c>
      <c r="C21745">
        <f>HYPERLINK("https://android.googlesource.com/platform/cts/+/5b2835f16dc6e21362ee52d99e3386239a3293b6", "5b2835f16dc6e21362ee52d99e3386239a3293b6")</f>
        <v>0</v>
      </c>
      <c r="D21745" t="s">
        <v>5118</v>
      </c>
      <c r="E21745" t="s">
        <v>10236</v>
      </c>
      <c r="F21745" t="s">
        <v>13165</v>
      </c>
      <c r="G21745" t="s">
        <v>17315</v>
      </c>
      <c r="H21745" t="s">
        <v>37793</v>
      </c>
    </row>
    <row r="21746" spans="1:8">
      <c r="A21746" t="s">
        <v>4576</v>
      </c>
      <c r="B21746">
        <f>HYPERLINK("https://android.googlesource.com/platform/cts/+/2948cd38ac8d82413ca2f9f890a32b6f6d2b8e9c", "2948cd38ac8d82413ca2f9f890a32b6f6d2b8e9c")</f>
        <v>0</v>
      </c>
      <c r="C21746">
        <f>HYPERLINK("https://android.googlesource.com/platform/cts/+/a2048601bb93881f5767655ea8647631f0a15588", "a2048601bb93881f5767655ea8647631f0a15588")</f>
        <v>0</v>
      </c>
      <c r="D21746" t="s">
        <v>5118</v>
      </c>
      <c r="E21746" t="s">
        <v>10237</v>
      </c>
      <c r="F21746" t="s">
        <v>13165</v>
      </c>
      <c r="G21746" t="s">
        <v>17315</v>
      </c>
      <c r="H21746" t="s">
        <v>37793</v>
      </c>
    </row>
    <row r="21747" spans="1:8">
      <c r="A21747" t="s">
        <v>4577</v>
      </c>
      <c r="B21747">
        <f>HYPERLINK("https://android.googlesource.com/platform/cts/+/8efd3bb91838d0d0a70ac367e9e17f890cb004bd", "8efd3bb91838d0d0a70ac367e9e17f890cb004bd")</f>
        <v>0</v>
      </c>
      <c r="C21747">
        <f>HYPERLINK("https://android.googlesource.com/platform/cts/+/2cccd985a8b973c9dc0af4e44f9ef4f11a7b5707", "2cccd985a8b973c9dc0af4e44f9ef4f11a7b5707")</f>
        <v>0</v>
      </c>
      <c r="D21747" t="s">
        <v>5118</v>
      </c>
      <c r="E21747" t="s">
        <v>10238</v>
      </c>
      <c r="F21747" t="s">
        <v>13165</v>
      </c>
      <c r="G21747" t="s">
        <v>17315</v>
      </c>
      <c r="H21747" t="s">
        <v>37793</v>
      </c>
    </row>
    <row r="21748" spans="1:8">
      <c r="A21748" t="s">
        <v>4580</v>
      </c>
      <c r="B21748">
        <f>HYPERLINK("https://android.googlesource.com/platform/cts/+/593c2f9052170f50c55647de89cfdcc92dca8e32", "593c2f9052170f50c55647de89cfdcc92dca8e32")</f>
        <v>0</v>
      </c>
      <c r="C21748">
        <f>HYPERLINK("https://android.googlesource.com/platform/cts/+/41be8f7274a2ecac18ed30e3d00a7a4d91988d8d", "41be8f7274a2ecac18ed30e3d00a7a4d91988d8d")</f>
        <v>0</v>
      </c>
      <c r="D21748" t="s">
        <v>5463</v>
      </c>
      <c r="E21748" t="s">
        <v>10241</v>
      </c>
      <c r="F21748" t="s">
        <v>14798</v>
      </c>
      <c r="G21748" t="s">
        <v>18664</v>
      </c>
      <c r="H21748" t="s">
        <v>38963</v>
      </c>
    </row>
    <row r="21749" spans="1:8">
      <c r="A21749" t="s">
        <v>4583</v>
      </c>
      <c r="B21749">
        <f>HYPERLINK("https://android.googlesource.com/platform/cts/+/beea8a3f8faa3d8103a233908dc9dffbfdec33c1", "beea8a3f8faa3d8103a233908dc9dffbfdec33c1")</f>
        <v>0</v>
      </c>
      <c r="C21749">
        <f>HYPERLINK("https://android.googlesource.com/platform/cts/+/b620e85d0c87d87891ae1809dba11bb360784bab", "b620e85d0c87d87891ae1809dba11bb360784bab")</f>
        <v>0</v>
      </c>
      <c r="D21749" t="s">
        <v>5727</v>
      </c>
      <c r="E21749" t="s">
        <v>10243</v>
      </c>
      <c r="F21749" t="s">
        <v>14679</v>
      </c>
      <c r="G21749" t="s">
        <v>18573</v>
      </c>
      <c r="H21749" t="s">
        <v>38964</v>
      </c>
    </row>
    <row r="21750" spans="1:8">
      <c r="A21750" t="s">
        <v>4586</v>
      </c>
      <c r="B21750">
        <f>HYPERLINK("https://android.googlesource.com/platform/cts/+/a56ba0f83f0bde017249b787a51e69c3deac7f74", "a56ba0f83f0bde017249b787a51e69c3deac7f74")</f>
        <v>0</v>
      </c>
      <c r="C21750">
        <f>HYPERLINK("https://android.googlesource.com/platform/cts/+/fe29dcef0dc47151ef90278e57e503607cfe66a8", "fe29dcef0dc47151ef90278e57e503607cfe66a8")</f>
        <v>0</v>
      </c>
      <c r="D21750" t="s">
        <v>5729</v>
      </c>
      <c r="E21750" t="s">
        <v>10246</v>
      </c>
      <c r="F21750" t="s">
        <v>14801</v>
      </c>
      <c r="G21750" t="s">
        <v>18666</v>
      </c>
      <c r="H21750" t="s">
        <v>38967</v>
      </c>
    </row>
    <row r="21751" spans="1:8">
      <c r="H21751" t="s">
        <v>38968</v>
      </c>
    </row>
    <row r="21752" spans="1:8">
      <c r="F21752" t="s">
        <v>14802</v>
      </c>
      <c r="G21752" t="s">
        <v>18667</v>
      </c>
      <c r="H21752" t="s">
        <v>38969</v>
      </c>
    </row>
    <row r="21753" spans="1:8">
      <c r="A21753" t="s">
        <v>4587</v>
      </c>
      <c r="B21753">
        <f>HYPERLINK("https://android.googlesource.com/platform/cts/+/36bcf9747069aee2915e4ec3f1071cef365620a5", "36bcf9747069aee2915e4ec3f1071cef365620a5")</f>
        <v>0</v>
      </c>
      <c r="C21753">
        <f>HYPERLINK("https://android.googlesource.com/platform/cts/+/41c0abe56b4e5a15087d5a9da7bc4755be8068dd", "41c0abe56b4e5a15087d5a9da7bc4755be8068dd")</f>
        <v>0</v>
      </c>
      <c r="D21753" t="s">
        <v>5730</v>
      </c>
      <c r="E21753" t="s">
        <v>10247</v>
      </c>
      <c r="F21753" t="s">
        <v>14768</v>
      </c>
      <c r="G21753" t="s">
        <v>18644</v>
      </c>
      <c r="H21753" t="s">
        <v>38970</v>
      </c>
    </row>
    <row r="21754" spans="1:8">
      <c r="A21754" t="s">
        <v>4588</v>
      </c>
      <c r="B21754">
        <f>HYPERLINK("https://android.googlesource.com/platform/cts/+/5dc1f4f6c6cfa65d6fe278ee88a2ba6a3b2dc4bf", "5dc1f4f6c6cfa65d6fe278ee88a2ba6a3b2dc4bf")</f>
        <v>0</v>
      </c>
      <c r="C21754">
        <f>HYPERLINK("https://android.googlesource.com/platform/cts/+/3b427a15fbdc3a63c1d70ae2cefc883236ac0c79", "3b427a15fbdc3a63c1d70ae2cefc883236ac0c79")</f>
        <v>0</v>
      </c>
      <c r="D21754" t="s">
        <v>5396</v>
      </c>
      <c r="E21754" t="s">
        <v>10248</v>
      </c>
      <c r="F21754" t="s">
        <v>14014</v>
      </c>
      <c r="G21754" t="s">
        <v>18026</v>
      </c>
      <c r="H21754" t="s">
        <v>38971</v>
      </c>
    </row>
    <row r="21755" spans="1:8">
      <c r="H21755" t="s">
        <v>38972</v>
      </c>
    </row>
    <row r="21756" spans="1:8">
      <c r="H21756" t="s">
        <v>38973</v>
      </c>
    </row>
    <row r="21757" spans="1:8">
      <c r="H21757" t="s">
        <v>38974</v>
      </c>
    </row>
    <row r="21758" spans="1:8">
      <c r="F21758" t="s">
        <v>14803</v>
      </c>
      <c r="G21758" t="s">
        <v>18668</v>
      </c>
      <c r="H21758" t="s">
        <v>38975</v>
      </c>
    </row>
    <row r="21759" spans="1:8">
      <c r="H21759" t="s">
        <v>38976</v>
      </c>
    </row>
    <row r="21760" spans="1:8">
      <c r="A21760" t="s">
        <v>4589</v>
      </c>
      <c r="B21760">
        <f>HYPERLINK("https://android.googlesource.com/platform/cts/+/74adc0f1015cc2fff71cddec9864c78bbca43dca", "74adc0f1015cc2fff71cddec9864c78bbca43dca")</f>
        <v>0</v>
      </c>
      <c r="C21760">
        <f>HYPERLINK("https://android.googlesource.com/platform/cts/+/245208bcbadcb38c91995dc6dc781c0bdd78a175", "245208bcbadcb38c91995dc6dc781c0bdd78a175")</f>
        <v>0</v>
      </c>
      <c r="D21760" t="s">
        <v>5731</v>
      </c>
      <c r="E21760" t="s">
        <v>10249</v>
      </c>
      <c r="F21760" t="s">
        <v>14804</v>
      </c>
      <c r="G21760" t="s">
        <v>18669</v>
      </c>
      <c r="H21760" t="s">
        <v>38977</v>
      </c>
    </row>
    <row r="21761" spans="1:8">
      <c r="H21761" t="s">
        <v>38978</v>
      </c>
    </row>
    <row r="21762" spans="1:8">
      <c r="H21762" t="s">
        <v>38979</v>
      </c>
    </row>
    <row r="21763" spans="1:8">
      <c r="A21763" t="s">
        <v>4594</v>
      </c>
      <c r="B21763">
        <f>HYPERLINK("https://android.googlesource.com/platform/cts/+/e615f83e1b21bd74640cfc1f2bd60824c0dc2752", "e615f83e1b21bd74640cfc1f2bd60824c0dc2752")</f>
        <v>0</v>
      </c>
      <c r="C21763">
        <f>HYPERLINK("https://android.googlesource.com/platform/cts/+/bac8610cca30aeecb7e4428fcd77ff54897b1805", "bac8610cca30aeecb7e4428fcd77ff54897b1805")</f>
        <v>0</v>
      </c>
      <c r="D21763" t="s">
        <v>5733</v>
      </c>
      <c r="E21763" t="s">
        <v>10254</v>
      </c>
      <c r="F21763" t="s">
        <v>14806</v>
      </c>
      <c r="G21763" t="s">
        <v>18671</v>
      </c>
      <c r="H21763" t="s">
        <v>38982</v>
      </c>
    </row>
    <row r="21764" spans="1:8">
      <c r="A21764" t="s">
        <v>4595</v>
      </c>
      <c r="B21764">
        <f>HYPERLINK("https://android.googlesource.com/platform/cts/+/06a970b73b949dc413450c7ac465d270697544d3", "06a970b73b949dc413450c7ac465d270697544d3")</f>
        <v>0</v>
      </c>
      <c r="C21764">
        <f>HYPERLINK("https://android.googlesource.com/platform/cts/+/ef4c34a8b3ef5ed75649d3f8101dfab9f335b7c7", "ef4c34a8b3ef5ed75649d3f8101dfab9f335b7c7")</f>
        <v>0</v>
      </c>
      <c r="D21764" t="s">
        <v>5134</v>
      </c>
      <c r="E21764" t="s">
        <v>10255</v>
      </c>
      <c r="F21764" t="s">
        <v>13229</v>
      </c>
      <c r="G21764" t="s">
        <v>17370</v>
      </c>
      <c r="H21764" t="s">
        <v>30571</v>
      </c>
    </row>
    <row r="21765" spans="1:8">
      <c r="H21765" t="s">
        <v>36765</v>
      </c>
    </row>
    <row r="21766" spans="1:8">
      <c r="H21766" t="s">
        <v>36766</v>
      </c>
    </row>
    <row r="21767" spans="1:8">
      <c r="H21767" t="s">
        <v>36767</v>
      </c>
    </row>
    <row r="21768" spans="1:8">
      <c r="H21768" t="s">
        <v>36768</v>
      </c>
    </row>
    <row r="21769" spans="1:8">
      <c r="A21769" t="s">
        <v>4596</v>
      </c>
      <c r="B21769">
        <f>HYPERLINK("https://android.googlesource.com/platform/cts/+/f12ac476f00e90e804948617127f2af0a134c5b6", "f12ac476f00e90e804948617127f2af0a134c5b6")</f>
        <v>0</v>
      </c>
      <c r="C21769">
        <f>HYPERLINK("https://android.googlesource.com/platform/cts/+/c72b442cf7f9a6090d861fa2e40dfa06eaec46cf", "c72b442cf7f9a6090d861fa2e40dfa06eaec46cf")</f>
        <v>0</v>
      </c>
      <c r="D21769" t="s">
        <v>5734</v>
      </c>
      <c r="E21769" t="s">
        <v>10256</v>
      </c>
      <c r="F21769" t="s">
        <v>14807</v>
      </c>
      <c r="G21769" t="s">
        <v>18672</v>
      </c>
      <c r="H21769" t="s">
        <v>38983</v>
      </c>
    </row>
    <row r="21770" spans="1:8">
      <c r="A21770" t="s">
        <v>4598</v>
      </c>
      <c r="B21770">
        <f>HYPERLINK("https://android.googlesource.com/platform/cts/+/6ab10f6dde60edbf0b69c9fc91e0c347f6bfcf0e", "6ab10f6dde60edbf0b69c9fc91e0c347f6bfcf0e")</f>
        <v>0</v>
      </c>
      <c r="C21770">
        <f>HYPERLINK("https://android.googlesource.com/platform/cts/+/b8cf2c2c2811f179c5c6b4fe2168c31907a5c0be", "b8cf2c2c2811f179c5c6b4fe2168c31907a5c0be")</f>
        <v>0</v>
      </c>
      <c r="D21770" t="s">
        <v>5409</v>
      </c>
      <c r="E21770" t="s">
        <v>10258</v>
      </c>
      <c r="F21770" t="s">
        <v>14808</v>
      </c>
      <c r="G21770" t="s">
        <v>18673</v>
      </c>
      <c r="H21770" t="s">
        <v>38984</v>
      </c>
    </row>
    <row r="21771" spans="1:8">
      <c r="H21771" t="s">
        <v>38985</v>
      </c>
    </row>
    <row r="21772" spans="1:8">
      <c r="H21772" t="s">
        <v>38986</v>
      </c>
    </row>
    <row r="21773" spans="1:8">
      <c r="H21773" t="s">
        <v>38987</v>
      </c>
    </row>
    <row r="21774" spans="1:8">
      <c r="H21774" t="s">
        <v>38988</v>
      </c>
    </row>
    <row r="21775" spans="1:8">
      <c r="H21775" t="s">
        <v>38989</v>
      </c>
    </row>
    <row r="21776" spans="1:8">
      <c r="H21776" t="s">
        <v>38990</v>
      </c>
    </row>
    <row r="21777" spans="1:8">
      <c r="H21777" t="s">
        <v>38991</v>
      </c>
    </row>
    <row r="21778" spans="1:8">
      <c r="H21778" t="s">
        <v>38992</v>
      </c>
    </row>
    <row r="21779" spans="1:8">
      <c r="H21779" t="s">
        <v>38993</v>
      </c>
    </row>
    <row r="21780" spans="1:8">
      <c r="H21780" t="s">
        <v>38994</v>
      </c>
    </row>
    <row r="21781" spans="1:8">
      <c r="H21781" t="s">
        <v>38995</v>
      </c>
    </row>
    <row r="21782" spans="1:8">
      <c r="H21782" t="s">
        <v>38996</v>
      </c>
    </row>
    <row r="21783" spans="1:8">
      <c r="H21783" t="s">
        <v>38997</v>
      </c>
    </row>
    <row r="21784" spans="1:8">
      <c r="H21784" t="s">
        <v>38998</v>
      </c>
    </row>
    <row r="21785" spans="1:8">
      <c r="H21785" t="s">
        <v>38999</v>
      </c>
    </row>
    <row r="21786" spans="1:8">
      <c r="A21786" t="s">
        <v>4599</v>
      </c>
      <c r="B21786">
        <f>HYPERLINK("https://android.googlesource.com/platform/cts/+/bda932bd24875f53aa41309d8905398e3ca91d84", "bda932bd24875f53aa41309d8905398e3ca91d84")</f>
        <v>0</v>
      </c>
      <c r="C21786">
        <f>HYPERLINK("https://android.googlesource.com/platform/cts/+/dac827812f1f58322b9c5bf522b3d74cc20c1354", "dac827812f1f58322b9c5bf522b3d74cc20c1354")</f>
        <v>0</v>
      </c>
      <c r="D21786" t="s">
        <v>5645</v>
      </c>
      <c r="E21786" t="s">
        <v>10259</v>
      </c>
      <c r="F21786" t="s">
        <v>14809</v>
      </c>
      <c r="G21786" t="s">
        <v>18674</v>
      </c>
      <c r="H21786" t="s">
        <v>39000</v>
      </c>
    </row>
    <row r="21787" spans="1:8">
      <c r="H21787" t="s">
        <v>39001</v>
      </c>
    </row>
    <row r="21788" spans="1:8">
      <c r="H21788" t="s">
        <v>39002</v>
      </c>
    </row>
    <row r="21789" spans="1:8">
      <c r="H21789" t="s">
        <v>39003</v>
      </c>
    </row>
    <row r="21790" spans="1:8">
      <c r="H21790" t="s">
        <v>39004</v>
      </c>
    </row>
    <row r="21791" spans="1:8">
      <c r="A21791" t="s">
        <v>4603</v>
      </c>
      <c r="B21791">
        <f>HYPERLINK("https://android.googlesource.com/platform/cts/+/5e1aadb605c0058dc29ce4f5f57b253d8f2c764b", "5e1aadb605c0058dc29ce4f5f57b253d8f2c764b")</f>
        <v>0</v>
      </c>
      <c r="C21791">
        <f>HYPERLINK("https://android.googlesource.com/platform/cts/+/e1d4136e4b0eba8b728cd1516c3e8f259a1d0fc6", "e1d4136e4b0eba8b728cd1516c3e8f259a1d0fc6")</f>
        <v>0</v>
      </c>
      <c r="D21791" t="s">
        <v>5445</v>
      </c>
      <c r="E21791" t="s">
        <v>10263</v>
      </c>
      <c r="F21791" t="s">
        <v>14811</v>
      </c>
      <c r="G21791" t="s">
        <v>18676</v>
      </c>
      <c r="H21791" t="s">
        <v>39007</v>
      </c>
    </row>
    <row r="21792" spans="1:8">
      <c r="A21792" t="s">
        <v>4604</v>
      </c>
      <c r="B21792">
        <f>HYPERLINK("https://android.googlesource.com/platform/cts/+/386c5d861912227141aaa294856a22ead49dafbc", "386c5d861912227141aaa294856a22ead49dafbc")</f>
        <v>0</v>
      </c>
      <c r="C21792">
        <f>HYPERLINK("https://android.googlesource.com/platform/cts/+/09470e491420e2f4863e76dbd3a5d4ee25dd5a8e", "09470e491420e2f4863e76dbd3a5d4ee25dd5a8e")</f>
        <v>0</v>
      </c>
      <c r="D21792" t="s">
        <v>5724</v>
      </c>
      <c r="E21792" t="s">
        <v>10264</v>
      </c>
      <c r="F21792" t="s">
        <v>13037</v>
      </c>
      <c r="G21792" t="s">
        <v>17201</v>
      </c>
      <c r="H21792" t="s">
        <v>39008</v>
      </c>
    </row>
    <row r="21793" spans="1:8">
      <c r="A21793" t="s">
        <v>4606</v>
      </c>
      <c r="B21793">
        <f>HYPERLINK("https://android.googlesource.com/platform/cts/+/1babb54ac8a4d0bbd2264e230d7869ba425fdfa6", "1babb54ac8a4d0bbd2264e230d7869ba425fdfa6")</f>
        <v>0</v>
      </c>
      <c r="C21793">
        <f>HYPERLINK("https://android.googlesource.com/platform/cts/+/31c77e979172a1510c5d3fea58f7df42466703a6", "31c77e979172a1510c5d3fea58f7df42466703a6")</f>
        <v>0</v>
      </c>
      <c r="D21793" t="s">
        <v>5564</v>
      </c>
      <c r="E21793" t="s">
        <v>10266</v>
      </c>
      <c r="F21793" t="s">
        <v>14812</v>
      </c>
      <c r="G21793" t="s">
        <v>16423</v>
      </c>
      <c r="H21793" t="s">
        <v>39010</v>
      </c>
    </row>
    <row r="21794" spans="1:8">
      <c r="H21794" t="s">
        <v>39011</v>
      </c>
    </row>
    <row r="21795" spans="1:8">
      <c r="H21795" t="s">
        <v>39012</v>
      </c>
    </row>
    <row r="21796" spans="1:8">
      <c r="A21796" t="s">
        <v>4607</v>
      </c>
      <c r="B21796">
        <f>HYPERLINK("https://android.googlesource.com/platform/cts/+/125bbaf05c1228c7c75e529b2b379b79b82916ab", "125bbaf05c1228c7c75e529b2b379b79b82916ab")</f>
        <v>0</v>
      </c>
      <c r="C21796">
        <f>HYPERLINK("https://android.googlesource.com/platform/cts/+/130e2d1593374f335b3adcd804c234810d8d4a0c", "130e2d1593374f335b3adcd804c234810d8d4a0c")</f>
        <v>0</v>
      </c>
      <c r="D21796" t="s">
        <v>5284</v>
      </c>
      <c r="E21796" t="s">
        <v>10267</v>
      </c>
      <c r="F21796" t="s">
        <v>12984</v>
      </c>
      <c r="G21796" t="s">
        <v>17148</v>
      </c>
      <c r="H21796" t="s">
        <v>39013</v>
      </c>
    </row>
    <row r="21797" spans="1:8">
      <c r="A21797" t="s">
        <v>4608</v>
      </c>
      <c r="B21797">
        <f>HYPERLINK("https://android.googlesource.com/platform/cts/+/c4e5c8930716902464f25f929177ce27b9840651", "c4e5c8930716902464f25f929177ce27b9840651")</f>
        <v>0</v>
      </c>
      <c r="C21797">
        <f>HYPERLINK("https://android.googlesource.com/platform/cts/+/5e1411ed4474d19631643ac4b65be0be8d8f6bc4", "5e1411ed4474d19631643ac4b65be0be8d8f6bc4")</f>
        <v>0</v>
      </c>
      <c r="D21797" t="s">
        <v>5735</v>
      </c>
      <c r="E21797" t="s">
        <v>10268</v>
      </c>
      <c r="F21797" t="s">
        <v>14813</v>
      </c>
      <c r="G21797" t="s">
        <v>18677</v>
      </c>
      <c r="H21797" t="s">
        <v>39014</v>
      </c>
    </row>
    <row r="21798" spans="1:8">
      <c r="A21798" t="s">
        <v>4613</v>
      </c>
      <c r="B21798">
        <f>HYPERLINK("https://android.googlesource.com/platform/cts/+/a42f3a21b3982df646450277a638967af7e6d5ea", "a42f3a21b3982df646450277a638967af7e6d5ea")</f>
        <v>0</v>
      </c>
      <c r="C21798">
        <f>HYPERLINK("https://android.googlesource.com/platform/cts/+/72ea194b440702db7fa250179e59ce4cf444a814", "72ea194b440702db7fa250179e59ce4cf444a814")</f>
        <v>0</v>
      </c>
      <c r="D21798" t="s">
        <v>5721</v>
      </c>
      <c r="E21798" t="s">
        <v>10271</v>
      </c>
      <c r="F21798" t="s">
        <v>14814</v>
      </c>
      <c r="G21798" t="s">
        <v>18678</v>
      </c>
      <c r="H21798" t="s">
        <v>39016</v>
      </c>
    </row>
    <row r="21799" spans="1:8">
      <c r="A21799" t="s">
        <v>4615</v>
      </c>
      <c r="B21799">
        <f>HYPERLINK("https://android.googlesource.com/platform/cts/+/dc19e4de6b77cdcef67b5eec49eddbc0d896c963", "dc19e4de6b77cdcef67b5eec49eddbc0d896c963")</f>
        <v>0</v>
      </c>
      <c r="C21799">
        <f>HYPERLINK("https://android.googlesource.com/platform/cts/+/dda6933b8476190e4a8b4fdf63125dda5c7f0726", "dda6933b8476190e4a8b4fdf63125dda5c7f0726")</f>
        <v>0</v>
      </c>
      <c r="D21799" t="s">
        <v>5727</v>
      </c>
      <c r="E21799" t="s">
        <v>10273</v>
      </c>
      <c r="F21799" t="s">
        <v>14816</v>
      </c>
      <c r="G21799" t="s">
        <v>18680</v>
      </c>
      <c r="H21799" t="s">
        <v>19340</v>
      </c>
    </row>
    <row r="21800" spans="1:8">
      <c r="A21800" t="s">
        <v>4616</v>
      </c>
      <c r="B21800">
        <f>HYPERLINK("https://android.googlesource.com/platform/cts/+/f506f72ccb5e5d01e971b9b44adcf9703fed0c94", "f506f72ccb5e5d01e971b9b44adcf9703fed0c94")</f>
        <v>0</v>
      </c>
      <c r="C21800">
        <f>HYPERLINK("https://android.googlesource.com/platform/cts/+/1f266ef75f94d29551db2a59ecd7e36c447a21fe", "1f266ef75f94d29551db2a59ecd7e36c447a21fe")</f>
        <v>0</v>
      </c>
      <c r="D21800" t="s">
        <v>5723</v>
      </c>
      <c r="E21800" t="s">
        <v>10274</v>
      </c>
      <c r="F21800" t="s">
        <v>14784</v>
      </c>
      <c r="G21800" t="s">
        <v>18655</v>
      </c>
      <c r="H21800" t="s">
        <v>39029</v>
      </c>
    </row>
    <row r="21801" spans="1:8">
      <c r="A21801" t="s">
        <v>4617</v>
      </c>
      <c r="B21801">
        <f>HYPERLINK("https://android.googlesource.com/platform/cts/+/ea396918a4d920673ef8e38d724ddc80191933c4", "ea396918a4d920673ef8e38d724ddc80191933c4")</f>
        <v>0</v>
      </c>
      <c r="C21801">
        <f>HYPERLINK("https://android.googlesource.com/platform/cts/+/21200410f67a2cda0fd81a6582f8992fc6e8b1c7", "21200410f67a2cda0fd81a6582f8992fc6e8b1c7")</f>
        <v>0</v>
      </c>
      <c r="D21801" t="s">
        <v>5564</v>
      </c>
      <c r="E21801" t="s">
        <v>10275</v>
      </c>
      <c r="F21801" t="s">
        <v>14817</v>
      </c>
      <c r="G21801" t="s">
        <v>17457</v>
      </c>
      <c r="H21801" t="s">
        <v>39030</v>
      </c>
    </row>
    <row r="21802" spans="1:8">
      <c r="H21802" t="s">
        <v>39031</v>
      </c>
    </row>
    <row r="21803" spans="1:8">
      <c r="A21803" t="s">
        <v>4619</v>
      </c>
      <c r="B21803">
        <f>HYPERLINK("https://android.googlesource.com/platform/cts/+/ff2f108af4fe6ad980d7d346f3785588f31e56f2", "ff2f108af4fe6ad980d7d346f3785588f31e56f2")</f>
        <v>0</v>
      </c>
      <c r="C21803">
        <f>HYPERLINK("https://android.googlesource.com/platform/cts/+/486b3ec36384521da9940f46905fa3e7cc3a7cbe", "486b3ec36384521da9940f46905fa3e7cc3a7cbe")</f>
        <v>0</v>
      </c>
      <c r="D21803" t="s">
        <v>5738</v>
      </c>
      <c r="E21803" t="s">
        <v>10277</v>
      </c>
      <c r="F21803" t="s">
        <v>14819</v>
      </c>
      <c r="G21803" t="s">
        <v>18682</v>
      </c>
      <c r="H21803" t="s">
        <v>39035</v>
      </c>
    </row>
    <row r="21804" spans="1:8">
      <c r="H21804" t="s">
        <v>39036</v>
      </c>
    </row>
    <row r="21805" spans="1:8">
      <c r="A21805" t="s">
        <v>4620</v>
      </c>
      <c r="B21805">
        <f>HYPERLINK("https://android.googlesource.com/platform/cts/+/19280cc401f1d6b45ea93083022de3d6358102d5", "19280cc401f1d6b45ea93083022de3d6358102d5")</f>
        <v>0</v>
      </c>
      <c r="C21805">
        <f>HYPERLINK("https://android.googlesource.com/platform/cts/+/fd429ce9a5a96b6d20e5d49b3760989b980b4d8a", "fd429ce9a5a96b6d20e5d49b3760989b980b4d8a")</f>
        <v>0</v>
      </c>
      <c r="D21805" t="s">
        <v>5739</v>
      </c>
      <c r="E21805" t="s">
        <v>10278</v>
      </c>
      <c r="F21805" t="s">
        <v>14165</v>
      </c>
      <c r="G21805" t="s">
        <v>17361</v>
      </c>
      <c r="H21805" t="s">
        <v>39037</v>
      </c>
    </row>
    <row r="21806" spans="1:8">
      <c r="A21806" t="s">
        <v>4622</v>
      </c>
      <c r="B21806">
        <f>HYPERLINK("https://android.googlesource.com/platform/cts/+/c415858845f62ec0ab4d8bd51b95340f24aa9aef", "c415858845f62ec0ab4d8bd51b95340f24aa9aef")</f>
        <v>0</v>
      </c>
      <c r="C21806">
        <f>HYPERLINK("https://android.googlesource.com/platform/cts/+/46124d4b74141ba908658fd8decf7bfa77571da0", "46124d4b74141ba908658fd8decf7bfa77571da0")</f>
        <v>0</v>
      </c>
      <c r="D21806" t="s">
        <v>5610</v>
      </c>
      <c r="E21806" t="s">
        <v>10280</v>
      </c>
      <c r="F21806" t="s">
        <v>14821</v>
      </c>
      <c r="G21806" t="s">
        <v>18684</v>
      </c>
      <c r="H21806" t="s">
        <v>39039</v>
      </c>
    </row>
    <row r="21807" spans="1:8">
      <c r="A21807" t="s">
        <v>4623</v>
      </c>
      <c r="B21807">
        <f>HYPERLINK("https://android.googlesource.com/platform/cts/+/241e7bc1ebb77bcd158f7d23f56722c03125a5fa", "241e7bc1ebb77bcd158f7d23f56722c03125a5fa")</f>
        <v>0</v>
      </c>
      <c r="C21807">
        <f>HYPERLINK("https://android.googlesource.com/platform/cts/+/9aa5abe84f36637ec37d5900d84308b176ef4ee2", "9aa5abe84f36637ec37d5900d84308b176ef4ee2")</f>
        <v>0</v>
      </c>
      <c r="D21807" t="s">
        <v>5438</v>
      </c>
      <c r="E21807" t="s">
        <v>10281</v>
      </c>
      <c r="F21807" t="s">
        <v>14822</v>
      </c>
      <c r="G21807" t="s">
        <v>18685</v>
      </c>
      <c r="H21807" t="s">
        <v>39041</v>
      </c>
    </row>
    <row r="21808" spans="1:8">
      <c r="A21808" t="s">
        <v>4624</v>
      </c>
      <c r="B21808">
        <f>HYPERLINK("https://android.googlesource.com/platform/cts/+/a5c68d2a7c00dcef5970462df92404a9f8e8e233", "a5c68d2a7c00dcef5970462df92404a9f8e8e233")</f>
        <v>0</v>
      </c>
      <c r="C21808">
        <f>HYPERLINK("https://android.googlesource.com/platform/cts/+/01611e626999b312d3ad031e9452805424baab79", "01611e626999b312d3ad031e9452805424baab79")</f>
        <v>0</v>
      </c>
      <c r="D21808" t="s">
        <v>5474</v>
      </c>
      <c r="E21808" t="s">
        <v>10282</v>
      </c>
      <c r="F21808" t="s">
        <v>14823</v>
      </c>
      <c r="G21808" t="s">
        <v>18686</v>
      </c>
      <c r="H21808" t="s">
        <v>39042</v>
      </c>
    </row>
    <row r="21809" spans="1:8">
      <c r="A21809" t="s">
        <v>4626</v>
      </c>
      <c r="B21809">
        <f>HYPERLINK("https://android.googlesource.com/platform/cts/+/a8ba0474df932993db2898a6fce810411e6fcaa1", "a8ba0474df932993db2898a6fce810411e6fcaa1")</f>
        <v>0</v>
      </c>
      <c r="C21809">
        <f>HYPERLINK("https://android.googlesource.com/platform/cts/+/648d820065bacef57cee3015f01991fbc0ae7122", "648d820065bacef57cee3015f01991fbc0ae7122")</f>
        <v>0</v>
      </c>
      <c r="D21809" t="s">
        <v>5465</v>
      </c>
      <c r="E21809" t="s">
        <v>10284</v>
      </c>
      <c r="F21809" t="s">
        <v>14461</v>
      </c>
      <c r="G21809" t="s">
        <v>15710</v>
      </c>
      <c r="H21809" t="s">
        <v>39043</v>
      </c>
    </row>
    <row r="21810" spans="1:8">
      <c r="A21810" t="s">
        <v>4628</v>
      </c>
      <c r="B21810">
        <f>HYPERLINK("https://android.googlesource.com/platform/cts/+/e114243e1991fc169f07bd6a3db815b21265e6de", "e114243e1991fc169f07bd6a3db815b21265e6de")</f>
        <v>0</v>
      </c>
      <c r="C21810">
        <f>HYPERLINK("https://android.googlesource.com/platform/cts/+/d52568d1d940cadf5d08b3e700210333e5d2d083", "d52568d1d940cadf5d08b3e700210333e5d2d083")</f>
        <v>0</v>
      </c>
      <c r="D21810" t="s">
        <v>5729</v>
      </c>
      <c r="E21810" t="s">
        <v>10286</v>
      </c>
      <c r="F21810" t="s">
        <v>14825</v>
      </c>
      <c r="G21810" t="s">
        <v>18687</v>
      </c>
      <c r="H21810" t="s">
        <v>39044</v>
      </c>
    </row>
    <row r="21811" spans="1:8">
      <c r="H21811" t="s">
        <v>39045</v>
      </c>
    </row>
    <row r="21812" spans="1:8">
      <c r="H21812" t="s">
        <v>39046</v>
      </c>
    </row>
    <row r="21813" spans="1:8">
      <c r="A21813" t="s">
        <v>4629</v>
      </c>
      <c r="B21813">
        <f>HYPERLINK("https://android.googlesource.com/platform/cts/+/5a408a8b37b9953a37a8b05e84cbe25ed77ef369", "5a408a8b37b9953a37a8b05e84cbe25ed77ef369")</f>
        <v>0</v>
      </c>
      <c r="C21813">
        <f>HYPERLINK("https://android.googlesource.com/platform/cts/+/5722906555bccd1f17f0e056ca26e413fa2fbbee", "5722906555bccd1f17f0e056ca26e413fa2fbbee")</f>
        <v>0</v>
      </c>
      <c r="D21813" t="s">
        <v>5445</v>
      </c>
      <c r="E21813" t="s">
        <v>10287</v>
      </c>
      <c r="F21813" t="s">
        <v>14826</v>
      </c>
      <c r="G21813" t="s">
        <v>18688</v>
      </c>
      <c r="H21813" t="s">
        <v>39047</v>
      </c>
    </row>
    <row r="21814" spans="1:8">
      <c r="A21814" t="s">
        <v>4630</v>
      </c>
      <c r="B21814">
        <f>HYPERLINK("https://android.googlesource.com/platform/cts/+/f53d93a09cfbcdce88aa9c3ae7d4bebbb9f12339", "f53d93a09cfbcdce88aa9c3ae7d4bebbb9f12339")</f>
        <v>0</v>
      </c>
      <c r="C21814">
        <f>HYPERLINK("https://android.googlesource.com/platform/cts/+/ec1f01c815081d785fb53f08db91c6cfc1d8bdcd", "ec1f01c815081d785fb53f08db91c6cfc1d8bdcd")</f>
        <v>0</v>
      </c>
      <c r="D21814" t="s">
        <v>5740</v>
      </c>
      <c r="E21814" t="s">
        <v>10288</v>
      </c>
      <c r="F21814" t="s">
        <v>14121</v>
      </c>
      <c r="G21814" t="s">
        <v>16426</v>
      </c>
      <c r="H21814" t="s">
        <v>39048</v>
      </c>
    </row>
    <row r="21815" spans="1:8">
      <c r="A21815" t="s">
        <v>4631</v>
      </c>
      <c r="B21815">
        <f>HYPERLINK("https://android.googlesource.com/platform/cts/+/87963bd9590b142e4f90bb0e3199f066e2d96308", "87963bd9590b142e4f90bb0e3199f066e2d96308")</f>
        <v>0</v>
      </c>
      <c r="C21815">
        <f>HYPERLINK("https://android.googlesource.com/platform/cts/+/4ad20d3a4fabcb292b90b24896120b83a9da8271", "4ad20d3a4fabcb292b90b24896120b83a9da8271")</f>
        <v>0</v>
      </c>
      <c r="D21815" t="s">
        <v>5528</v>
      </c>
      <c r="E21815" t="s">
        <v>10289</v>
      </c>
      <c r="F21815" t="s">
        <v>14827</v>
      </c>
      <c r="G21815" t="s">
        <v>18689</v>
      </c>
      <c r="H21815" t="s">
        <v>39049</v>
      </c>
    </row>
    <row r="21816" spans="1:8">
      <c r="A21816" t="s">
        <v>4632</v>
      </c>
      <c r="B21816">
        <f>HYPERLINK("https://android.googlesource.com/platform/cts/+/a96cb6f65c0ab75f9de6cc8b8338ef39e21976ad", "a96cb6f65c0ab75f9de6cc8b8338ef39e21976ad")</f>
        <v>0</v>
      </c>
      <c r="C21816">
        <f>HYPERLINK("https://android.googlesource.com/platform/cts/+/da086e42779f95f995bddcd6bf5f1677277dba56", "da086e42779f95f995bddcd6bf5f1677277dba56")</f>
        <v>0</v>
      </c>
      <c r="D21816" t="s">
        <v>5741</v>
      </c>
      <c r="E21816" t="s">
        <v>10290</v>
      </c>
      <c r="F21816" t="s">
        <v>14529</v>
      </c>
      <c r="G21816" t="s">
        <v>18454</v>
      </c>
      <c r="H21816" t="s">
        <v>39050</v>
      </c>
    </row>
    <row r="21817" spans="1:8">
      <c r="A21817" t="s">
        <v>4633</v>
      </c>
      <c r="B21817">
        <f>HYPERLINK("https://android.googlesource.com/platform/cts/+/882dd354ba260f9360e8e11cb02132db6efd76c9", "882dd354ba260f9360e8e11cb02132db6efd76c9")</f>
        <v>0</v>
      </c>
      <c r="C21817">
        <f>HYPERLINK("https://android.googlesource.com/platform/cts/+/59d1899ae7939c584e7d7bf1f4cac9e3478c087d", "59d1899ae7939c584e7d7bf1f4cac9e3478c087d")</f>
        <v>0</v>
      </c>
      <c r="D21817" t="s">
        <v>5549</v>
      </c>
      <c r="E21817" t="s">
        <v>10291</v>
      </c>
      <c r="F21817" t="s">
        <v>14818</v>
      </c>
      <c r="G21817" t="s">
        <v>18681</v>
      </c>
      <c r="H21817" t="s">
        <v>39051</v>
      </c>
    </row>
    <row r="21818" spans="1:8">
      <c r="H21818" t="s">
        <v>39052</v>
      </c>
    </row>
    <row r="21819" spans="1:8">
      <c r="H21819" t="s">
        <v>39053</v>
      </c>
    </row>
    <row r="21820" spans="1:8">
      <c r="F21820" t="s">
        <v>14828</v>
      </c>
      <c r="G21820" t="s">
        <v>18690</v>
      </c>
      <c r="H21820" t="s">
        <v>39054</v>
      </c>
    </row>
    <row r="21821" spans="1:8">
      <c r="F21821" t="s">
        <v>14625</v>
      </c>
      <c r="G21821" t="s">
        <v>18536</v>
      </c>
      <c r="H21821" t="s">
        <v>39055</v>
      </c>
    </row>
    <row r="21822" spans="1:8">
      <c r="A21822" t="s">
        <v>4636</v>
      </c>
      <c r="B21822">
        <f>HYPERLINK("https://android.googlesource.com/platform/cts/+/236ddb95248fff927dcdad6f900dcc0915179441", "236ddb95248fff927dcdad6f900dcc0915179441")</f>
        <v>0</v>
      </c>
      <c r="C21822">
        <f>HYPERLINK("https://android.googlesource.com/platform/cts/+/97ce2a65d7d5b128a998a334720170753d674cc2", "97ce2a65d7d5b128a998a334720170753d674cc2")</f>
        <v>0</v>
      </c>
      <c r="D21822" t="s">
        <v>5467</v>
      </c>
      <c r="E21822" t="s">
        <v>10294</v>
      </c>
      <c r="F21822" t="s">
        <v>10794</v>
      </c>
      <c r="G21822" t="s">
        <v>15189</v>
      </c>
      <c r="H21822" t="s">
        <v>39058</v>
      </c>
    </row>
    <row r="21823" spans="1:8">
      <c r="A21823" t="s">
        <v>4637</v>
      </c>
      <c r="B21823">
        <f>HYPERLINK("https://android.googlesource.com/platform/cts/+/46bc074a1a06f7949ece808769433d18eaba70ba", "46bc074a1a06f7949ece808769433d18eaba70ba")</f>
        <v>0</v>
      </c>
      <c r="C21823">
        <f>HYPERLINK("https://android.googlesource.com/platform/cts/+/c48a92b480d71692b81560bf0a94b2775e9755e7", "c48a92b480d71692b81560bf0a94b2775e9755e7")</f>
        <v>0</v>
      </c>
      <c r="D21823" t="s">
        <v>5742</v>
      </c>
      <c r="E21823" t="s">
        <v>10295</v>
      </c>
      <c r="F21823" t="s">
        <v>14829</v>
      </c>
      <c r="G21823" t="s">
        <v>18691</v>
      </c>
      <c r="H21823" t="s">
        <v>39059</v>
      </c>
    </row>
    <row r="21824" spans="1:8">
      <c r="A21824" t="s">
        <v>4638</v>
      </c>
      <c r="B21824">
        <f>HYPERLINK("https://android.googlesource.com/platform/cts/+/33b247ad1c09497662e68c0e6cba20bdfe1c31f5", "33b247ad1c09497662e68c0e6cba20bdfe1c31f5")</f>
        <v>0</v>
      </c>
      <c r="C21824">
        <f>HYPERLINK("https://android.googlesource.com/platform/cts/+/1fb1e1c4c6338713cb666bd6218f40e93ade6561", "1fb1e1c4c6338713cb666bd6218f40e93ade6561")</f>
        <v>0</v>
      </c>
      <c r="D21824" t="s">
        <v>5523</v>
      </c>
      <c r="E21824" t="s">
        <v>10296</v>
      </c>
      <c r="F21824" t="s">
        <v>14830</v>
      </c>
      <c r="G21824" t="s">
        <v>18692</v>
      </c>
      <c r="H21824" t="s">
        <v>39061</v>
      </c>
    </row>
    <row r="21825" spans="1:8">
      <c r="A21825" t="s">
        <v>4639</v>
      </c>
      <c r="B21825">
        <f>HYPERLINK("https://android.googlesource.com/platform/cts/+/6b11a30926a5b4da80f072305b6f6f154cc3e820", "6b11a30926a5b4da80f072305b6f6f154cc3e820")</f>
        <v>0</v>
      </c>
      <c r="C21825">
        <f>HYPERLINK("https://android.googlesource.com/platform/cts/+/ec6bcd7598550c138ba0dba4b3af36d9afd88469", "ec6bcd7598550c138ba0dba4b3af36d9afd88469")</f>
        <v>0</v>
      </c>
      <c r="D21825" t="s">
        <v>5478</v>
      </c>
      <c r="E21825" t="s">
        <v>10297</v>
      </c>
      <c r="F21825" t="s">
        <v>14633</v>
      </c>
      <c r="G21825" t="s">
        <v>18543</v>
      </c>
      <c r="H21825" t="s">
        <v>39062</v>
      </c>
    </row>
    <row r="21826" spans="1:8">
      <c r="H21826" t="s">
        <v>39063</v>
      </c>
    </row>
    <row r="21827" spans="1:8">
      <c r="H21827" t="s">
        <v>39064</v>
      </c>
    </row>
    <row r="21828" spans="1:8">
      <c r="A21828" t="s">
        <v>4640</v>
      </c>
      <c r="B21828">
        <f>HYPERLINK("https://android.googlesource.com/platform/cts/+/deaebcace87bf09c26e075a17fc5c0c96b3e6cd0", "deaebcace87bf09c26e075a17fc5c0c96b3e6cd0")</f>
        <v>0</v>
      </c>
      <c r="C21828">
        <f>HYPERLINK("https://android.googlesource.com/platform/cts/+/ecfb8a0dda9d97e262cf8edb4b4613ba06289141", "ecfb8a0dda9d97e262cf8edb4b4613ba06289141")</f>
        <v>0</v>
      </c>
      <c r="D21828" t="s">
        <v>5409</v>
      </c>
      <c r="E21828" t="s">
        <v>10298</v>
      </c>
      <c r="F21828" t="s">
        <v>14571</v>
      </c>
      <c r="G21828" t="s">
        <v>18491</v>
      </c>
      <c r="H21828" t="s">
        <v>36690</v>
      </c>
    </row>
    <row r="21829" spans="1:8">
      <c r="H21829" t="s">
        <v>37574</v>
      </c>
    </row>
    <row r="21830" spans="1:8">
      <c r="F21830" t="s">
        <v>14136</v>
      </c>
      <c r="G21830" t="s">
        <v>18124</v>
      </c>
      <c r="H21830" t="s">
        <v>39066</v>
      </c>
    </row>
    <row r="21831" spans="1:8">
      <c r="F21831" t="s">
        <v>12743</v>
      </c>
      <c r="G21831" t="s">
        <v>16935</v>
      </c>
      <c r="H21831" t="s">
        <v>39066</v>
      </c>
    </row>
    <row r="21832" spans="1:8">
      <c r="F21832" t="s">
        <v>12768</v>
      </c>
      <c r="G21832" t="s">
        <v>15710</v>
      </c>
      <c r="H21832" t="s">
        <v>39067</v>
      </c>
    </row>
    <row r="21833" spans="1:8">
      <c r="H21833" t="s">
        <v>39068</v>
      </c>
    </row>
    <row r="21834" spans="1:8">
      <c r="A21834" t="s">
        <v>4641</v>
      </c>
      <c r="B21834">
        <f>HYPERLINK("https://android.googlesource.com/platform/cts/+/c74278489ff0d2b488fef4740f17371b2ff02e7e", "c74278489ff0d2b488fef4740f17371b2ff02e7e")</f>
        <v>0</v>
      </c>
      <c r="C21834">
        <f>HYPERLINK("https://android.googlesource.com/platform/cts/+/deaebcace87bf09c26e075a17fc5c0c96b3e6cd0", "deaebcace87bf09c26e075a17fc5c0c96b3e6cd0")</f>
        <v>0</v>
      </c>
      <c r="D21834" t="s">
        <v>5409</v>
      </c>
      <c r="E21834" t="s">
        <v>10299</v>
      </c>
      <c r="F21834" t="s">
        <v>14576</v>
      </c>
      <c r="G21834" t="s">
        <v>18496</v>
      </c>
      <c r="H21834" t="s">
        <v>36690</v>
      </c>
    </row>
    <row r="21835" spans="1:8">
      <c r="H21835" t="s">
        <v>37574</v>
      </c>
    </row>
    <row r="21836" spans="1:8">
      <c r="A21836" t="s">
        <v>4642</v>
      </c>
      <c r="B21836">
        <f>HYPERLINK("https://android.googlesource.com/platform/cts/+/3bea4bfc427b1d5f5415bedec5ee05467c874da0", "3bea4bfc427b1d5f5415bedec5ee05467c874da0")</f>
        <v>0</v>
      </c>
      <c r="C21836">
        <f>HYPERLINK("https://android.googlesource.com/platform/cts/+/c74278489ff0d2b488fef4740f17371b2ff02e7e", "c74278489ff0d2b488fef4740f17371b2ff02e7e")</f>
        <v>0</v>
      </c>
      <c r="D21836" t="s">
        <v>5409</v>
      </c>
      <c r="E21836" t="s">
        <v>10300</v>
      </c>
      <c r="F21836" t="s">
        <v>14575</v>
      </c>
      <c r="G21836" t="s">
        <v>18495</v>
      </c>
      <c r="H21836" t="s">
        <v>36690</v>
      </c>
    </row>
    <row r="21837" spans="1:8">
      <c r="H21837" t="s">
        <v>37574</v>
      </c>
    </row>
    <row r="21838" spans="1:8">
      <c r="A21838" t="s">
        <v>4643</v>
      </c>
      <c r="B21838">
        <f>HYPERLINK("https://android.googlesource.com/platform/cts/+/98695cb8832a794f106c1a5523455fb9cbfe406b", "98695cb8832a794f106c1a5523455fb9cbfe406b")</f>
        <v>0</v>
      </c>
      <c r="C21838">
        <f>HYPERLINK("https://android.googlesource.com/platform/cts/+/3bea4bfc427b1d5f5415bedec5ee05467c874da0", "3bea4bfc427b1d5f5415bedec5ee05467c874da0")</f>
        <v>0</v>
      </c>
      <c r="D21838" t="s">
        <v>5409</v>
      </c>
      <c r="E21838" t="s">
        <v>10301</v>
      </c>
      <c r="F21838" t="s">
        <v>14573</v>
      </c>
      <c r="G21838" t="s">
        <v>18493</v>
      </c>
      <c r="H21838" t="s">
        <v>36690</v>
      </c>
    </row>
    <row r="21839" spans="1:8">
      <c r="H21839" t="s">
        <v>37574</v>
      </c>
    </row>
    <row r="21840" spans="1:8">
      <c r="A21840" t="s">
        <v>4644</v>
      </c>
      <c r="B21840">
        <f>HYPERLINK("https://android.googlesource.com/platform/cts/+/bf3d7b260019d78e1309ea83e83b7f3724b4480d", "bf3d7b260019d78e1309ea83e83b7f3724b4480d")</f>
        <v>0</v>
      </c>
      <c r="C21840">
        <f>HYPERLINK("https://android.googlesource.com/platform/cts/+/98695cb8832a794f106c1a5523455fb9cbfe406b", "98695cb8832a794f106c1a5523455fb9cbfe406b")</f>
        <v>0</v>
      </c>
      <c r="D21840" t="s">
        <v>5409</v>
      </c>
      <c r="E21840" t="s">
        <v>10302</v>
      </c>
      <c r="F21840" t="s">
        <v>14427</v>
      </c>
      <c r="G21840" t="s">
        <v>18365</v>
      </c>
      <c r="H21840" t="s">
        <v>37574</v>
      </c>
    </row>
    <row r="21841" spans="1:8">
      <c r="H21841" t="s">
        <v>36690</v>
      </c>
    </row>
    <row r="21842" spans="1:8">
      <c r="H21842" t="s">
        <v>39073</v>
      </c>
    </row>
    <row r="21843" spans="1:8">
      <c r="F21843" t="s">
        <v>12743</v>
      </c>
      <c r="G21843" t="s">
        <v>16935</v>
      </c>
      <c r="H21843" t="s">
        <v>39077</v>
      </c>
    </row>
    <row r="21844" spans="1:8">
      <c r="A21844" t="s">
        <v>4645</v>
      </c>
      <c r="B21844">
        <f>HYPERLINK("https://android.googlesource.com/platform/cts/+/0866559d5a6e6cb5aa2964eaeba7b441f4a7fa9d", "0866559d5a6e6cb5aa2964eaeba7b441f4a7fa9d")</f>
        <v>0</v>
      </c>
      <c r="C21844">
        <f>HYPERLINK("https://android.googlesource.com/platform/cts/+/4c06e6602e8374324a3d8e5fa384d761b553ebd3", "4c06e6602e8374324a3d8e5fa384d761b553ebd3")</f>
        <v>0</v>
      </c>
      <c r="D21844" t="s">
        <v>5501</v>
      </c>
      <c r="E21844" t="s">
        <v>10303</v>
      </c>
      <c r="F21844" t="s">
        <v>14207</v>
      </c>
      <c r="G21844" t="s">
        <v>18183</v>
      </c>
      <c r="H21844" t="s">
        <v>39083</v>
      </c>
    </row>
    <row r="21845" spans="1:8">
      <c r="A21845" t="s">
        <v>4646</v>
      </c>
      <c r="B21845">
        <f>HYPERLINK("https://android.googlesource.com/platform/cts/+/077307cf61560d36af5a33f21266e200c2a11ce3", "077307cf61560d36af5a33f21266e200c2a11ce3")</f>
        <v>0</v>
      </c>
      <c r="C21845">
        <f>HYPERLINK("https://android.googlesource.com/platform/cts/+/4ca35fc14aa818e21fa7a64d6be01cc2090b2b41", "4ca35fc14aa818e21fa7a64d6be01cc2090b2b41")</f>
        <v>0</v>
      </c>
      <c r="D21845" t="s">
        <v>5277</v>
      </c>
      <c r="E21845" t="s">
        <v>10304</v>
      </c>
      <c r="F21845" t="s">
        <v>14300</v>
      </c>
      <c r="G21845" t="s">
        <v>18259</v>
      </c>
      <c r="H21845" t="s">
        <v>39084</v>
      </c>
    </row>
    <row r="21846" spans="1:8">
      <c r="H21846" t="s">
        <v>39085</v>
      </c>
    </row>
    <row r="21847" spans="1:8">
      <c r="H21847" t="s">
        <v>39086</v>
      </c>
    </row>
    <row r="21848" spans="1:8">
      <c r="A21848" t="s">
        <v>4647</v>
      </c>
      <c r="B21848">
        <f>HYPERLINK("https://android.googlesource.com/platform/cts/+/757388264180d3aa1644d1b3ca85042b57e01a00", "757388264180d3aa1644d1b3ca85042b57e01a00")</f>
        <v>0</v>
      </c>
      <c r="C21848">
        <f>HYPERLINK("https://android.googlesource.com/platform/cts/+/2429645f9b99ab7c635a00d546c8764db9bc4a92", "2429645f9b99ab7c635a00d546c8764db9bc4a92")</f>
        <v>0</v>
      </c>
      <c r="D21848" t="s">
        <v>5409</v>
      </c>
      <c r="E21848" t="s">
        <v>10305</v>
      </c>
      <c r="F21848" t="s">
        <v>13229</v>
      </c>
      <c r="G21848" t="s">
        <v>17370</v>
      </c>
      <c r="H21848" t="s">
        <v>39077</v>
      </c>
    </row>
    <row r="21849" spans="1:8">
      <c r="F21849" t="s">
        <v>14832</v>
      </c>
      <c r="G21849" t="s">
        <v>18694</v>
      </c>
      <c r="H21849" t="s">
        <v>35641</v>
      </c>
    </row>
    <row r="21850" spans="1:8">
      <c r="H21850" t="s">
        <v>35642</v>
      </c>
    </row>
    <row r="21851" spans="1:8">
      <c r="F21851" t="s">
        <v>14833</v>
      </c>
      <c r="G21851" t="s">
        <v>17513</v>
      </c>
      <c r="H21851" t="s">
        <v>37625</v>
      </c>
    </row>
    <row r="21852" spans="1:8">
      <c r="H21852" t="s">
        <v>37627</v>
      </c>
    </row>
    <row r="21853" spans="1:8">
      <c r="H21853" t="s">
        <v>37629</v>
      </c>
    </row>
    <row r="21854" spans="1:8">
      <c r="H21854" t="s">
        <v>37631</v>
      </c>
    </row>
    <row r="21855" spans="1:8">
      <c r="H21855" t="s">
        <v>37633</v>
      </c>
    </row>
    <row r="21856" spans="1:8">
      <c r="H21856" t="s">
        <v>37635</v>
      </c>
    </row>
    <row r="21857" spans="1:8">
      <c r="H21857" t="s">
        <v>37637</v>
      </c>
    </row>
    <row r="21858" spans="1:8">
      <c r="A21858" t="s">
        <v>4648</v>
      </c>
      <c r="B21858">
        <f>HYPERLINK("https://android.googlesource.com/platform/cts/+/943f97b48c4c3111cd479216ea508af9f8763186", "943f97b48c4c3111cd479216ea508af9f8763186")</f>
        <v>0</v>
      </c>
      <c r="C21858">
        <f>HYPERLINK("https://android.googlesource.com/platform/cts/+/959a69e68c5842efc1ccdd923f2b8646695d15ac", "959a69e68c5842efc1ccdd923f2b8646695d15ac")</f>
        <v>0</v>
      </c>
      <c r="D21858" t="s">
        <v>5416</v>
      </c>
      <c r="E21858" t="s">
        <v>10306</v>
      </c>
      <c r="F21858" t="s">
        <v>14014</v>
      </c>
      <c r="G21858" t="s">
        <v>18026</v>
      </c>
      <c r="H21858" t="s">
        <v>39087</v>
      </c>
    </row>
    <row r="21859" spans="1:8">
      <c r="H21859" t="s">
        <v>39089</v>
      </c>
    </row>
    <row r="21860" spans="1:8">
      <c r="A21860" t="s">
        <v>4650</v>
      </c>
      <c r="B21860">
        <f>HYPERLINK("https://android.googlesource.com/platform/cts/+/4adbe6c4ad7cb35259f0fc0d4d5956dc8a9c5ea8", "4adbe6c4ad7cb35259f0fc0d4d5956dc8a9c5ea8")</f>
        <v>0</v>
      </c>
      <c r="C21860">
        <f>HYPERLINK("https://android.googlesource.com/platform/cts/+/ac11e53be1100a0aece27ebb12dbf3bf3b9f8253", "ac11e53be1100a0aece27ebb12dbf3bf3b9f8253")</f>
        <v>0</v>
      </c>
      <c r="D21860" t="s">
        <v>5732</v>
      </c>
      <c r="E21860" t="s">
        <v>10308</v>
      </c>
      <c r="F21860" t="s">
        <v>14834</v>
      </c>
      <c r="G21860" t="s">
        <v>18549</v>
      </c>
      <c r="H21860" t="s">
        <v>39095</v>
      </c>
    </row>
    <row r="21861" spans="1:8">
      <c r="A21861" t="s">
        <v>4652</v>
      </c>
      <c r="B21861">
        <f>HYPERLINK("https://android.googlesource.com/platform/cts/+/a99fc8fdfee1535f1d4bd649a8d254d0828523f4", "a99fc8fdfee1535f1d4bd649a8d254d0828523f4")</f>
        <v>0</v>
      </c>
      <c r="C21861">
        <f>HYPERLINK("https://android.googlesource.com/platform/cts/+/b21f993a18adc928519ff0278a1b4c3bac9be5a4", "b21f993a18adc928519ff0278a1b4c3bac9be5a4")</f>
        <v>0</v>
      </c>
      <c r="D21861" t="s">
        <v>5744</v>
      </c>
      <c r="E21861" t="s">
        <v>10310</v>
      </c>
      <c r="F21861" t="s">
        <v>14835</v>
      </c>
      <c r="G21861" t="s">
        <v>18695</v>
      </c>
      <c r="H21861" t="s">
        <v>39098</v>
      </c>
    </row>
    <row r="21862" spans="1:8">
      <c r="A21862" t="s">
        <v>4655</v>
      </c>
      <c r="B21862">
        <f>HYPERLINK("https://android.googlesource.com/platform/cts/+/4f1fb1a13ed0626c0d474db66529bb8c7802ccc9", "4f1fb1a13ed0626c0d474db66529bb8c7802ccc9")</f>
        <v>0</v>
      </c>
      <c r="C21862">
        <f>HYPERLINK("https://android.googlesource.com/platform/cts/+/0d4194218598431217cb5bf2037115670039e2c6", "0d4194218598431217cb5bf2037115670039e2c6")</f>
        <v>0</v>
      </c>
      <c r="D21862" t="s">
        <v>5695</v>
      </c>
      <c r="E21862" t="s">
        <v>10313</v>
      </c>
      <c r="F21862" t="s">
        <v>14840</v>
      </c>
      <c r="G21862" t="s">
        <v>18699</v>
      </c>
      <c r="H21862" t="s">
        <v>39110</v>
      </c>
    </row>
    <row r="21863" spans="1:8">
      <c r="H21863" t="s">
        <v>39111</v>
      </c>
    </row>
    <row r="21864" spans="1:8">
      <c r="A21864" t="s">
        <v>4656</v>
      </c>
      <c r="B21864">
        <f>HYPERLINK("https://android.googlesource.com/platform/cts/+/d3decc0365d63779f9d37e2a1dfbd3e6644cc6b1", "d3decc0365d63779f9d37e2a1dfbd3e6644cc6b1")</f>
        <v>0</v>
      </c>
      <c r="C21864">
        <f>HYPERLINK("https://android.googlesource.com/platform/cts/+/418bad1a86c7ac887e26778cb141ffec6d321454", "418bad1a86c7ac887e26778cb141ffec6d321454")</f>
        <v>0</v>
      </c>
      <c r="D21864" t="s">
        <v>5745</v>
      </c>
      <c r="E21864" t="s">
        <v>10314</v>
      </c>
      <c r="F21864" t="s">
        <v>14841</v>
      </c>
      <c r="G21864" t="s">
        <v>18700</v>
      </c>
      <c r="H21864" t="s">
        <v>39112</v>
      </c>
    </row>
    <row r="21865" spans="1:8">
      <c r="A21865" t="s">
        <v>4657</v>
      </c>
      <c r="B21865">
        <f>HYPERLINK("https://android.googlesource.com/platform/cts/+/b11bb8226ac00742c2df05b86768549ac7464c7c", "b11bb8226ac00742c2df05b86768549ac7464c7c")</f>
        <v>0</v>
      </c>
      <c r="C21865">
        <f>HYPERLINK("https://android.googlesource.com/platform/cts/+/418bad1a86c7ac887e26778cb141ffec6d321454", "418bad1a86c7ac887e26778cb141ffec6d321454")</f>
        <v>0</v>
      </c>
      <c r="D21865" t="s">
        <v>5716</v>
      </c>
      <c r="E21865" t="s">
        <v>10315</v>
      </c>
      <c r="F21865" t="s">
        <v>14829</v>
      </c>
      <c r="G21865" t="s">
        <v>18691</v>
      </c>
      <c r="H21865" t="s">
        <v>39113</v>
      </c>
    </row>
    <row r="21866" spans="1:8">
      <c r="A21866" t="s">
        <v>4658</v>
      </c>
      <c r="B21866">
        <f>HYPERLINK("https://android.googlesource.com/platform/cts/+/83996185d176370dd02e1f3845e1b3ab5731a7a3", "83996185d176370dd02e1f3845e1b3ab5731a7a3")</f>
        <v>0</v>
      </c>
      <c r="C21866">
        <f>HYPERLINK("https://android.googlesource.com/platform/cts/+/948a007365ece4f8acd3bdb420d45a564f750ccf", "948a007365ece4f8acd3bdb420d45a564f750ccf")</f>
        <v>0</v>
      </c>
      <c r="D21866" t="s">
        <v>5477</v>
      </c>
      <c r="E21866" t="s">
        <v>10316</v>
      </c>
      <c r="F21866" t="s">
        <v>14801</v>
      </c>
      <c r="G21866" t="s">
        <v>18666</v>
      </c>
      <c r="H21866" t="s">
        <v>39114</v>
      </c>
    </row>
    <row r="21867" spans="1:8">
      <c r="H21867" t="s">
        <v>39115</v>
      </c>
    </row>
    <row r="21868" spans="1:8">
      <c r="H21868" t="s">
        <v>39116</v>
      </c>
    </row>
    <row r="21869" spans="1:8">
      <c r="H21869" t="s">
        <v>39117</v>
      </c>
    </row>
    <row r="21870" spans="1:8">
      <c r="F21870" t="s">
        <v>14802</v>
      </c>
      <c r="G21870" t="s">
        <v>18667</v>
      </c>
      <c r="H21870" t="s">
        <v>39118</v>
      </c>
    </row>
    <row r="21871" spans="1:8">
      <c r="A21871" t="s">
        <v>4660</v>
      </c>
      <c r="B21871">
        <f>HYPERLINK("https://android.googlesource.com/platform/cts/+/ecb536c1f8de1fc6823e6249c6a3e374310dfd46", "ecb536c1f8de1fc6823e6249c6a3e374310dfd46")</f>
        <v>0</v>
      </c>
      <c r="C21871">
        <f>HYPERLINK("https://android.googlesource.com/platform/cts/+/75c79a7cfeb03fd38d71b316e5a3924b481a5d35", "75c79a7cfeb03fd38d71b316e5a3924b481a5d35")</f>
        <v>0</v>
      </c>
      <c r="D21871" t="s">
        <v>5586</v>
      </c>
      <c r="E21871" t="s">
        <v>10318</v>
      </c>
      <c r="F21871" t="s">
        <v>13972</v>
      </c>
      <c r="G21871" t="s">
        <v>17997</v>
      </c>
      <c r="H21871" t="s">
        <v>39121</v>
      </c>
    </row>
    <row r="21872" spans="1:8">
      <c r="H21872" t="s">
        <v>39122</v>
      </c>
    </row>
    <row r="21873" spans="1:8">
      <c r="A21873" t="s">
        <v>4665</v>
      </c>
      <c r="B21873">
        <f>HYPERLINK("https://android.googlesource.com/platform/cts/+/ab981d25a97180a4168e716ce2817ecdec8d24fa", "ab981d25a97180a4168e716ce2817ecdec8d24fa")</f>
        <v>0</v>
      </c>
      <c r="C21873">
        <f>HYPERLINK("https://android.googlesource.com/platform/cts/+/ab3b7ef400fdc7855f9c9a949a5f50e2daebb320", "ab3b7ef400fdc7855f9c9a949a5f50e2daebb320")</f>
        <v>0</v>
      </c>
      <c r="D21873" t="s">
        <v>5695</v>
      </c>
      <c r="E21873" t="s">
        <v>10322</v>
      </c>
      <c r="F21873" t="s">
        <v>14840</v>
      </c>
      <c r="G21873" t="s">
        <v>18699</v>
      </c>
      <c r="H21873" t="s">
        <v>39124</v>
      </c>
    </row>
    <row r="21874" spans="1:8">
      <c r="H21874" t="s">
        <v>39125</v>
      </c>
    </row>
    <row r="21875" spans="1:8">
      <c r="A21875" t="s">
        <v>4667</v>
      </c>
      <c r="B21875">
        <f>HYPERLINK("https://android.googlesource.com/platform/cts/+/cad912720663f17b6cd7f355d111c93990d5a0b1", "cad912720663f17b6cd7f355d111c93990d5a0b1")</f>
        <v>0</v>
      </c>
      <c r="C21875">
        <f>HYPERLINK("https://android.googlesource.com/platform/cts/+/a6cb7ba3b7360f8399db3498149b1780862d1890", "a6cb7ba3b7360f8399db3498149b1780862d1890")</f>
        <v>0</v>
      </c>
      <c r="D21875" t="s">
        <v>5476</v>
      </c>
      <c r="E21875" t="s">
        <v>10324</v>
      </c>
      <c r="F21875" t="s">
        <v>14843</v>
      </c>
      <c r="G21875" t="s">
        <v>18702</v>
      </c>
      <c r="H21875" t="s">
        <v>39126</v>
      </c>
    </row>
    <row r="21876" spans="1:8">
      <c r="A21876" t="s">
        <v>4669</v>
      </c>
      <c r="B21876">
        <f>HYPERLINK("https://android.googlesource.com/platform/cts/+/3907a2e40a113baab238f8ed89d102f5248c286a", "3907a2e40a113baab238f8ed89d102f5248c286a")</f>
        <v>0</v>
      </c>
      <c r="C21876">
        <f>HYPERLINK("https://android.googlesource.com/platform/cts/+/1255471170d3db25e2014e11a628304ae236c80f", "1255471170d3db25e2014e11a628304ae236c80f")</f>
        <v>0</v>
      </c>
      <c r="D21876" t="s">
        <v>5676</v>
      </c>
      <c r="E21876" t="s">
        <v>10326</v>
      </c>
      <c r="F21876" t="s">
        <v>14844</v>
      </c>
      <c r="G21876" t="s">
        <v>18703</v>
      </c>
      <c r="H21876" t="s">
        <v>39128</v>
      </c>
    </row>
    <row r="21877" spans="1:8">
      <c r="H21877" t="s">
        <v>39129</v>
      </c>
    </row>
    <row r="21878" spans="1:8">
      <c r="H21878" t="s">
        <v>39130</v>
      </c>
    </row>
    <row r="21879" spans="1:8">
      <c r="H21879" t="s">
        <v>39131</v>
      </c>
    </row>
    <row r="21880" spans="1:8">
      <c r="H21880" t="s">
        <v>39132</v>
      </c>
    </row>
    <row r="21881" spans="1:8">
      <c r="A21881" t="s">
        <v>4670</v>
      </c>
      <c r="B21881">
        <f>HYPERLINK("https://android.googlesource.com/platform/cts/+/63c4911e244060d55f15698ff9fef0de41402679", "63c4911e244060d55f15698ff9fef0de41402679")</f>
        <v>0</v>
      </c>
      <c r="C21881">
        <f>HYPERLINK("https://android.googlesource.com/platform/cts/+/714a64d3c1264fe3cf75a6ebc2930530a6acd21a", "714a64d3c1264fe3cf75a6ebc2930530a6acd21a")</f>
        <v>0</v>
      </c>
      <c r="D21881" t="s">
        <v>5008</v>
      </c>
      <c r="E21881" t="s">
        <v>10327</v>
      </c>
      <c r="F21881" t="s">
        <v>14846</v>
      </c>
      <c r="G21881" t="s">
        <v>18704</v>
      </c>
      <c r="H21881" t="s">
        <v>39141</v>
      </c>
    </row>
    <row r="21882" spans="1:8">
      <c r="H21882" t="s">
        <v>39142</v>
      </c>
    </row>
    <row r="21883" spans="1:8">
      <c r="H21883" t="s">
        <v>26401</v>
      </c>
    </row>
    <row r="21884" spans="1:8">
      <c r="F21884" t="s">
        <v>14848</v>
      </c>
      <c r="G21884" t="s">
        <v>18085</v>
      </c>
      <c r="H21884" t="s">
        <v>39145</v>
      </c>
    </row>
    <row r="21885" spans="1:8">
      <c r="H21885" t="s">
        <v>39146</v>
      </c>
    </row>
    <row r="21886" spans="1:8">
      <c r="A21886" t="s">
        <v>4671</v>
      </c>
      <c r="B21886">
        <f>HYPERLINK("https://android.googlesource.com/platform/cts/+/380166093d5c034b8ef611a4270d8a05b615511f", "380166093d5c034b8ef611a4270d8a05b615511f")</f>
        <v>0</v>
      </c>
      <c r="C21886">
        <f>HYPERLINK("https://android.googlesource.com/platform/cts/+/0482d3cf980bf113c58b421bdf7fd090a0d3000e", "0482d3cf980bf113c58b421bdf7fd090a0d3000e")</f>
        <v>0</v>
      </c>
      <c r="D21886" t="s">
        <v>5523</v>
      </c>
      <c r="E21886" t="s">
        <v>10328</v>
      </c>
      <c r="F21886" t="s">
        <v>14830</v>
      </c>
      <c r="G21886" t="s">
        <v>18692</v>
      </c>
      <c r="H21886" t="s">
        <v>30172</v>
      </c>
    </row>
    <row r="21887" spans="1:8">
      <c r="A21887" t="s">
        <v>4672</v>
      </c>
      <c r="B21887">
        <f>HYPERLINK("https://android.googlesource.com/platform/cts/+/339cf7a8ced71546acefe7e54069ef4b6bcc91f9", "339cf7a8ced71546acefe7e54069ef4b6bcc91f9")</f>
        <v>0</v>
      </c>
      <c r="C21887">
        <f>HYPERLINK("https://android.googlesource.com/platform/cts/+/b5fb62324b2daeab4e2437bff932d8d1e0caf277", "b5fb62324b2daeab4e2437bff932d8d1e0caf277")</f>
        <v>0</v>
      </c>
      <c r="D21887" t="s">
        <v>5736</v>
      </c>
      <c r="E21887" t="s">
        <v>10329</v>
      </c>
      <c r="F21887" t="s">
        <v>14849</v>
      </c>
      <c r="G21887" t="s">
        <v>18679</v>
      </c>
      <c r="H21887" t="s">
        <v>39028</v>
      </c>
    </row>
    <row r="21888" spans="1:8">
      <c r="A21888" t="s">
        <v>4673</v>
      </c>
      <c r="B21888">
        <f>HYPERLINK("https://android.googlesource.com/platform/cts/+/8af1bba717594aa77eaba29dc68fded93d542e6a", "8af1bba717594aa77eaba29dc68fded93d542e6a")</f>
        <v>0</v>
      </c>
      <c r="C21888">
        <f>HYPERLINK("https://android.googlesource.com/platform/cts/+/edc861f6b18df5ea068585660323b32668877a28", "edc861f6b18df5ea068585660323b32668877a28")</f>
        <v>0</v>
      </c>
      <c r="D21888" t="s">
        <v>5564</v>
      </c>
      <c r="E21888" t="s">
        <v>10330</v>
      </c>
      <c r="F21888" t="s">
        <v>14773</v>
      </c>
      <c r="G21888" t="s">
        <v>16648</v>
      </c>
      <c r="H21888" t="s">
        <v>39147</v>
      </c>
    </row>
    <row r="21889" spans="1:8">
      <c r="H21889" t="s">
        <v>39148</v>
      </c>
    </row>
    <row r="21890" spans="1:8">
      <c r="A21890" t="s">
        <v>4675</v>
      </c>
      <c r="B21890">
        <f>HYPERLINK("https://android.googlesource.com/platform/cts/+/28f4cb3894b6e5d3fe29debd3244bd3a35068cff", "28f4cb3894b6e5d3fe29debd3244bd3a35068cff")</f>
        <v>0</v>
      </c>
      <c r="C21890">
        <f>HYPERLINK("https://android.googlesource.com/platform/cts/+/d78faea11707a5bd305394fcb6bbceb37675d12f", "d78faea11707a5bd305394fcb6bbceb37675d12f")</f>
        <v>0</v>
      </c>
      <c r="D21890" t="s">
        <v>5737</v>
      </c>
      <c r="E21890" t="s">
        <v>10332</v>
      </c>
      <c r="F21890" t="s">
        <v>14625</v>
      </c>
      <c r="G21890" t="s">
        <v>18536</v>
      </c>
      <c r="H21890" t="s">
        <v>39150</v>
      </c>
    </row>
    <row r="21891" spans="1:8">
      <c r="H21891" t="s">
        <v>39151</v>
      </c>
    </row>
    <row r="21892" spans="1:8">
      <c r="A21892" t="s">
        <v>4682</v>
      </c>
      <c r="B21892">
        <f>HYPERLINK("https://android.googlesource.com/platform/cts/+/5336f74a012f2143a258b71ed40624fc142efd3d", "5336f74a012f2143a258b71ed40624fc142efd3d")</f>
        <v>0</v>
      </c>
      <c r="C21892">
        <f>HYPERLINK("https://android.googlesource.com/platform/cts/+/a249eac2a1cce84b757141b126937db55886f540", "a249eac2a1cce84b757141b126937db55886f540")</f>
        <v>0</v>
      </c>
      <c r="D21892" t="s">
        <v>5551</v>
      </c>
      <c r="E21892" t="s">
        <v>10339</v>
      </c>
      <c r="F21892" t="s">
        <v>14461</v>
      </c>
      <c r="G21892" t="s">
        <v>15710</v>
      </c>
      <c r="H21892" t="s">
        <v>39155</v>
      </c>
    </row>
    <row r="21893" spans="1:8">
      <c r="H21893" t="s">
        <v>39156</v>
      </c>
    </row>
    <row r="21894" spans="1:8">
      <c r="A21894" t="s">
        <v>4684</v>
      </c>
      <c r="B21894">
        <f>HYPERLINK("https://android.googlesource.com/platform/cts/+/b655a486e66356a67ce7fd58bc2c2149e6fd4de8", "b655a486e66356a67ce7fd58bc2c2149e6fd4de8")</f>
        <v>0</v>
      </c>
      <c r="C21894">
        <f>HYPERLINK("https://android.googlesource.com/platform/cts/+/e9e634bbdd5f8eec7a7d2f936d124ed553766184", "e9e634bbdd5f8eec7a7d2f936d124ed553766184")</f>
        <v>0</v>
      </c>
      <c r="D21894" t="s">
        <v>5695</v>
      </c>
      <c r="E21894" t="s">
        <v>10341</v>
      </c>
      <c r="F21894" t="s">
        <v>14840</v>
      </c>
      <c r="G21894" t="s">
        <v>18699</v>
      </c>
      <c r="H21894" t="s">
        <v>39162</v>
      </c>
    </row>
    <row r="21895" spans="1:8">
      <c r="H21895" t="s">
        <v>39163</v>
      </c>
    </row>
    <row r="21896" spans="1:8">
      <c r="A21896" t="s">
        <v>4686</v>
      </c>
      <c r="B21896">
        <f>HYPERLINK("https://android.googlesource.com/platform/cts/+/8e09e0e1dfd2e88f6fcb2e68c01176c2bc36fa66", "8e09e0e1dfd2e88f6fcb2e68c01176c2bc36fa66")</f>
        <v>0</v>
      </c>
      <c r="C21896">
        <f>HYPERLINK("https://android.googlesource.com/platform/cts/+/54d3ae15b7dd72e2664dc928e98e8645b7eeab68", "54d3ae15b7dd72e2664dc928e98e8645b7eeab68")</f>
        <v>0</v>
      </c>
      <c r="D21896" t="s">
        <v>5747</v>
      </c>
      <c r="E21896" t="s">
        <v>10343</v>
      </c>
      <c r="F21896" t="s">
        <v>14851</v>
      </c>
      <c r="G21896" t="s">
        <v>18705</v>
      </c>
      <c r="H21896" t="s">
        <v>39164</v>
      </c>
    </row>
    <row r="21897" spans="1:8">
      <c r="H21897" t="s">
        <v>39165</v>
      </c>
    </row>
    <row r="21898" spans="1:8">
      <c r="H21898" t="s">
        <v>39166</v>
      </c>
    </row>
    <row r="21899" spans="1:8">
      <c r="H21899" t="s">
        <v>39167</v>
      </c>
    </row>
    <row r="21900" spans="1:8">
      <c r="H21900" t="s">
        <v>39168</v>
      </c>
    </row>
    <row r="21901" spans="1:8">
      <c r="H21901" t="s">
        <v>39169</v>
      </c>
    </row>
    <row r="21902" spans="1:8">
      <c r="A21902" t="s">
        <v>4690</v>
      </c>
      <c r="B21902">
        <f>HYPERLINK("https://android.googlesource.com/platform/cts/+/5b943ebfd9076841090a2fd54265118958d87ba4", "5b943ebfd9076841090a2fd54265118958d87ba4")</f>
        <v>0</v>
      </c>
      <c r="C21902">
        <f>HYPERLINK("https://android.googlesource.com/platform/cts/+/df075ecd70d6e9265e2b9cef04f1b1b343bddf0d", "df075ecd70d6e9265e2b9cef04f1b1b343bddf0d")</f>
        <v>0</v>
      </c>
      <c r="D21902" t="s">
        <v>5219</v>
      </c>
      <c r="E21902" t="s">
        <v>10346</v>
      </c>
      <c r="F21902" t="s">
        <v>14512</v>
      </c>
      <c r="G21902" t="s">
        <v>18414</v>
      </c>
      <c r="H21902" t="s">
        <v>39175</v>
      </c>
    </row>
    <row r="21903" spans="1:8">
      <c r="A21903" t="s">
        <v>4694</v>
      </c>
      <c r="B21903">
        <f>HYPERLINK("https://android.googlesource.com/platform/cts/+/a4a7fee64da605c444c8c04be1bb0741747dcad1", "a4a7fee64da605c444c8c04be1bb0741747dcad1")</f>
        <v>0</v>
      </c>
      <c r="C21903">
        <f>HYPERLINK("https://android.googlesource.com/platform/cts/+/0de19f421200e80706e501bc09c780672eaaa507", "0de19f421200e80706e501bc09c780672eaaa507")</f>
        <v>0</v>
      </c>
      <c r="D21903" t="s">
        <v>5748</v>
      </c>
      <c r="E21903" t="s">
        <v>10350</v>
      </c>
      <c r="F21903" t="s">
        <v>14854</v>
      </c>
      <c r="G21903" t="s">
        <v>18708</v>
      </c>
      <c r="H21903" t="s">
        <v>39177</v>
      </c>
    </row>
    <row r="21904" spans="1:8">
      <c r="H21904" t="s">
        <v>39178</v>
      </c>
    </row>
    <row r="21905" spans="1:8">
      <c r="A21905" t="s">
        <v>4695</v>
      </c>
      <c r="B21905">
        <f>HYPERLINK("https://android.googlesource.com/platform/cts/+/b3dcbf4d50c20953c151393422ca37ad05b1168a", "b3dcbf4d50c20953c151393422ca37ad05b1168a")</f>
        <v>0</v>
      </c>
      <c r="C21905">
        <f>HYPERLINK("https://android.googlesource.com/platform/cts/+/f2c57f544dc83591e95d2938c59af93a3a837807", "f2c57f544dc83591e95d2938c59af93a3a837807")</f>
        <v>0</v>
      </c>
      <c r="D21905" t="s">
        <v>5747</v>
      </c>
      <c r="E21905" t="s">
        <v>10351</v>
      </c>
      <c r="F21905" t="s">
        <v>14855</v>
      </c>
      <c r="G21905" t="s">
        <v>18709</v>
      </c>
      <c r="H21905" t="s">
        <v>39179</v>
      </c>
    </row>
    <row r="21906" spans="1:8">
      <c r="H21906" t="s">
        <v>39180</v>
      </c>
    </row>
    <row r="21907" spans="1:8">
      <c r="H21907" t="s">
        <v>39181</v>
      </c>
    </row>
    <row r="21908" spans="1:8">
      <c r="A21908" t="s">
        <v>4697</v>
      </c>
      <c r="B21908">
        <f>HYPERLINK("https://android.googlesource.com/platform/cts/+/7b5d3525f8fcd297f8ba207ea97b7b7a16624383", "7b5d3525f8fcd297f8ba207ea97b7b7a16624383")</f>
        <v>0</v>
      </c>
      <c r="C21908">
        <f>HYPERLINK("https://android.googlesource.com/platform/cts/+/b031a99c625f9e7bbef356acee98aedae018f44e", "b031a99c625f9e7bbef356acee98aedae018f44e")</f>
        <v>0</v>
      </c>
      <c r="D21908" t="s">
        <v>5750</v>
      </c>
      <c r="E21908" t="s">
        <v>10353</v>
      </c>
      <c r="F21908" t="s">
        <v>14193</v>
      </c>
      <c r="G21908" t="s">
        <v>18172</v>
      </c>
      <c r="H21908" t="s">
        <v>39184</v>
      </c>
    </row>
    <row r="21909" spans="1:8">
      <c r="H21909" t="s">
        <v>39185</v>
      </c>
    </row>
    <row r="21910" spans="1:8">
      <c r="A21910" t="s">
        <v>4702</v>
      </c>
      <c r="B21910">
        <f>HYPERLINK("https://android.googlesource.com/platform/cts/+/3b9ca0de773b43f742ebf7117f56cca779d1dad5", "3b9ca0de773b43f742ebf7117f56cca779d1dad5")</f>
        <v>0</v>
      </c>
      <c r="C21910">
        <f>HYPERLINK("https://android.googlesource.com/platform/cts/+/e647a87ab4b3518c9e1e602e6807913924b81345", "e647a87ab4b3518c9e1e602e6807913924b81345")</f>
        <v>0</v>
      </c>
      <c r="D21910" t="s">
        <v>5695</v>
      </c>
      <c r="E21910" t="s">
        <v>10358</v>
      </c>
      <c r="F21910" t="s">
        <v>14840</v>
      </c>
      <c r="G21910" t="s">
        <v>18699</v>
      </c>
      <c r="H21910" t="s">
        <v>39195</v>
      </c>
    </row>
    <row r="21911" spans="1:8">
      <c r="A21911" t="s">
        <v>4703</v>
      </c>
      <c r="B21911">
        <f>HYPERLINK("https://android.googlesource.com/platform/cts/+/b086d0ce101a703c9e7d37c2d4650327ad125619", "b086d0ce101a703c9e7d37c2d4650327ad125619")</f>
        <v>0</v>
      </c>
      <c r="C21911">
        <f>HYPERLINK("https://android.googlesource.com/platform/cts/+/b3c54c05d0b3aa00374644f8f389a562214dd09e", "b3c54c05d0b3aa00374644f8f389a562214dd09e")</f>
        <v>0</v>
      </c>
      <c r="D21911" t="s">
        <v>5644</v>
      </c>
      <c r="E21911" t="s">
        <v>10359</v>
      </c>
      <c r="F21911" t="s">
        <v>14859</v>
      </c>
      <c r="G21911" t="s">
        <v>18713</v>
      </c>
      <c r="H21911" t="s">
        <v>39196</v>
      </c>
    </row>
    <row r="21912" spans="1:8">
      <c r="H21912" t="s">
        <v>39197</v>
      </c>
    </row>
    <row r="21913" spans="1:8">
      <c r="H21913" t="s">
        <v>39198</v>
      </c>
    </row>
    <row r="21914" spans="1:8">
      <c r="A21914" t="s">
        <v>4704</v>
      </c>
      <c r="B21914">
        <f>HYPERLINK("https://android.googlesource.com/platform/cts/+/0c49b6f36afcfd2eeee924d03a88e90ed8e2793b", "0c49b6f36afcfd2eeee924d03a88e90ed8e2793b")</f>
        <v>0</v>
      </c>
      <c r="C21914">
        <f>HYPERLINK("https://android.googlesource.com/platform/cts/+/27596a017ce2c909198f68620cfa10e9fde9b9fe", "27596a017ce2c909198f68620cfa10e9fde9b9fe")</f>
        <v>0</v>
      </c>
      <c r="D21914" t="s">
        <v>5754</v>
      </c>
      <c r="E21914" t="s">
        <v>10360</v>
      </c>
      <c r="F21914" t="s">
        <v>14825</v>
      </c>
      <c r="G21914" t="s">
        <v>18687</v>
      </c>
      <c r="H21914" t="s">
        <v>39199</v>
      </c>
    </row>
    <row r="21915" spans="1:8">
      <c r="A21915" t="s">
        <v>4707</v>
      </c>
      <c r="B21915">
        <f>HYPERLINK("https://android.googlesource.com/platform/cts/+/c3d1d1fede665eaaf736127aef9d6e4295244f31", "c3d1d1fede665eaaf736127aef9d6e4295244f31")</f>
        <v>0</v>
      </c>
      <c r="C21915">
        <f>HYPERLINK("https://android.googlesource.com/platform/cts/+/64ead08b13ecad35b1a074601d67ca9a52875167", "64ead08b13ecad35b1a074601d67ca9a52875167")</f>
        <v>0</v>
      </c>
      <c r="D21915" t="s">
        <v>5740</v>
      </c>
      <c r="E21915" t="s">
        <v>10363</v>
      </c>
      <c r="F21915" t="s">
        <v>14121</v>
      </c>
      <c r="G21915" t="s">
        <v>16426</v>
      </c>
      <c r="H21915" t="s">
        <v>39202</v>
      </c>
    </row>
    <row r="21916" spans="1:8">
      <c r="A21916" t="s">
        <v>4709</v>
      </c>
      <c r="B21916">
        <f>HYPERLINK("https://android.googlesource.com/platform/cts/+/adf1cabbb66bbb034ba81cae648b3939b23a328e", "adf1cabbb66bbb034ba81cae648b3939b23a328e")</f>
        <v>0</v>
      </c>
      <c r="C21916">
        <f>HYPERLINK("https://android.googlesource.com/platform/cts/+/b351226f3c3dd8a592eb4b9fadd7e3712611a65a", "b351226f3c3dd8a592eb4b9fadd7e3712611a65a")</f>
        <v>0</v>
      </c>
      <c r="D21916" t="s">
        <v>5419</v>
      </c>
      <c r="E21916" t="s">
        <v>10365</v>
      </c>
      <c r="F21916" t="s">
        <v>14860</v>
      </c>
      <c r="G21916" t="s">
        <v>18714</v>
      </c>
      <c r="H21916" t="s">
        <v>32554</v>
      </c>
    </row>
    <row r="21917" spans="1:8">
      <c r="F21917" t="s">
        <v>14861</v>
      </c>
      <c r="G21917" t="s">
        <v>18715</v>
      </c>
      <c r="H21917" t="s">
        <v>39203</v>
      </c>
    </row>
    <row r="21918" spans="1:8">
      <c r="H21918" t="s">
        <v>39204</v>
      </c>
    </row>
    <row r="21919" spans="1:8">
      <c r="A21919" t="s">
        <v>4710</v>
      </c>
      <c r="B21919">
        <f>HYPERLINK("https://android.googlesource.com/platform/cts/+/69953912ae107a510145f3668228ca88975b86d6", "69953912ae107a510145f3668228ca88975b86d6")</f>
        <v>0</v>
      </c>
      <c r="C21919">
        <f>HYPERLINK("https://android.googlesource.com/platform/cts/+/eb4a719122fcc05073102084212e8a151f8b7708", "eb4a719122fcc05073102084212e8a151f8b7708")</f>
        <v>0</v>
      </c>
      <c r="D21919" t="s">
        <v>5564</v>
      </c>
      <c r="E21919" t="s">
        <v>10366</v>
      </c>
      <c r="F21919" t="s">
        <v>14773</v>
      </c>
      <c r="G21919" t="s">
        <v>16648</v>
      </c>
      <c r="H21919" t="s">
        <v>39214</v>
      </c>
    </row>
    <row r="21920" spans="1:8">
      <c r="H21920" t="s">
        <v>39215</v>
      </c>
    </row>
    <row r="21921" spans="8:8">
      <c r="H21921" t="s">
        <v>39216</v>
      </c>
    </row>
    <row r="21922" spans="8:8">
      <c r="H21922" t="s">
        <v>39217</v>
      </c>
    </row>
    <row r="21923" spans="8:8">
      <c r="H21923" t="s">
        <v>39218</v>
      </c>
    </row>
    <row r="21924" spans="8:8">
      <c r="H21924" t="s">
        <v>39219</v>
      </c>
    </row>
    <row r="21925" spans="8:8">
      <c r="H21925" t="s">
        <v>39220</v>
      </c>
    </row>
    <row r="21926" spans="8:8">
      <c r="H21926" t="s">
        <v>39221</v>
      </c>
    </row>
    <row r="21927" spans="8:8">
      <c r="H21927" t="s">
        <v>39222</v>
      </c>
    </row>
    <row r="21928" spans="8:8">
      <c r="H21928" t="s">
        <v>39223</v>
      </c>
    </row>
    <row r="21929" spans="8:8">
      <c r="H21929" t="s">
        <v>39224</v>
      </c>
    </row>
    <row r="21930" spans="8:8">
      <c r="H21930" t="s">
        <v>39225</v>
      </c>
    </row>
    <row r="21931" spans="8:8">
      <c r="H21931" t="s">
        <v>39226</v>
      </c>
    </row>
    <row r="21932" spans="8:8">
      <c r="H21932" t="s">
        <v>39227</v>
      </c>
    </row>
    <row r="21933" spans="8:8">
      <c r="H21933" t="s">
        <v>39228</v>
      </c>
    </row>
    <row r="21934" spans="8:8">
      <c r="H21934" t="s">
        <v>39229</v>
      </c>
    </row>
    <row r="21935" spans="8:8">
      <c r="H21935" t="s">
        <v>39230</v>
      </c>
    </row>
    <row r="21936" spans="8:8">
      <c r="H21936" t="s">
        <v>39231</v>
      </c>
    </row>
    <row r="21937" spans="8:8">
      <c r="H21937" t="s">
        <v>39232</v>
      </c>
    </row>
    <row r="21938" spans="8:8">
      <c r="H21938" t="s">
        <v>39233</v>
      </c>
    </row>
    <row r="21939" spans="8:8">
      <c r="H21939" t="s">
        <v>39234</v>
      </c>
    </row>
    <row r="21940" spans="8:8">
      <c r="H21940" t="s">
        <v>39235</v>
      </c>
    </row>
    <row r="21941" spans="8:8">
      <c r="H21941" t="s">
        <v>39236</v>
      </c>
    </row>
    <row r="21942" spans="8:8">
      <c r="H21942" t="s">
        <v>39237</v>
      </c>
    </row>
    <row r="21943" spans="8:8">
      <c r="H21943" t="s">
        <v>39238</v>
      </c>
    </row>
    <row r="21944" spans="8:8">
      <c r="H21944" t="s">
        <v>39239</v>
      </c>
    </row>
    <row r="21945" spans="8:8">
      <c r="H21945" t="s">
        <v>39240</v>
      </c>
    </row>
    <row r="21946" spans="8:8">
      <c r="H21946" t="s">
        <v>39241</v>
      </c>
    </row>
    <row r="21947" spans="8:8">
      <c r="H21947" t="s">
        <v>39242</v>
      </c>
    </row>
    <row r="21948" spans="8:8">
      <c r="H21948" t="s">
        <v>39243</v>
      </c>
    </row>
    <row r="21949" spans="8:8">
      <c r="H21949" t="s">
        <v>39244</v>
      </c>
    </row>
    <row r="21950" spans="8:8">
      <c r="H21950" t="s">
        <v>39245</v>
      </c>
    </row>
    <row r="21951" spans="8:8">
      <c r="H21951" t="s">
        <v>39246</v>
      </c>
    </row>
    <row r="21952" spans="8:8">
      <c r="H21952" t="s">
        <v>39247</v>
      </c>
    </row>
    <row r="21953" spans="1:8">
      <c r="H21953" t="s">
        <v>39248</v>
      </c>
    </row>
    <row r="21954" spans="1:8">
      <c r="H21954" t="s">
        <v>39249</v>
      </c>
    </row>
    <row r="21955" spans="1:8">
      <c r="H21955" t="s">
        <v>39250</v>
      </c>
    </row>
    <row r="21956" spans="1:8">
      <c r="A21956" t="s">
        <v>4711</v>
      </c>
      <c r="B21956">
        <f>HYPERLINK("https://android.googlesource.com/platform/cts/+/fab06b5658edd4b4a4a1f571fc5267954ceba853", "fab06b5658edd4b4a4a1f571fc5267954ceba853")</f>
        <v>0</v>
      </c>
      <c r="C21956">
        <f>HYPERLINK("https://android.googlesource.com/platform/cts/+/5340edfe0915e02d2542795fba35b03b9dac372a", "5340edfe0915e02d2542795fba35b03b9dac372a")</f>
        <v>0</v>
      </c>
      <c r="D21956" t="s">
        <v>5219</v>
      </c>
      <c r="E21956" t="s">
        <v>10367</v>
      </c>
      <c r="F21956" t="s">
        <v>14512</v>
      </c>
      <c r="G21956" t="s">
        <v>18414</v>
      </c>
      <c r="H21956" t="s">
        <v>36147</v>
      </c>
    </row>
    <row r="21957" spans="1:8">
      <c r="H21957" t="s">
        <v>39263</v>
      </c>
    </row>
    <row r="21958" spans="1:8">
      <c r="H21958" t="s">
        <v>39264</v>
      </c>
    </row>
    <row r="21959" spans="1:8">
      <c r="A21959" t="s">
        <v>4712</v>
      </c>
      <c r="B21959">
        <f>HYPERLINK("https://android.googlesource.com/platform/cts/+/16e10b778bc7d7051286d40d322bd2f24aa4c79f", "16e10b778bc7d7051286d40d322bd2f24aa4c79f")</f>
        <v>0</v>
      </c>
      <c r="C21959">
        <f>HYPERLINK("https://android.googlesource.com/platform/cts/+/d7d1dccb99eac55f4650a144fe7567a893036fd2", "d7d1dccb99eac55f4650a144fe7567a893036fd2")</f>
        <v>0</v>
      </c>
      <c r="D21959" t="s">
        <v>5609</v>
      </c>
      <c r="E21959" t="s">
        <v>10368</v>
      </c>
      <c r="F21959" t="s">
        <v>14863</v>
      </c>
      <c r="G21959" t="s">
        <v>18716</v>
      </c>
      <c r="H21959" t="s">
        <v>39265</v>
      </c>
    </row>
    <row r="21960" spans="1:8">
      <c r="A21960" t="s">
        <v>4714</v>
      </c>
      <c r="B21960">
        <f>HYPERLINK("https://android.googlesource.com/platform/cts/+/065fc21c378291a3fd4e5576db0a125bb833dfa4", "065fc21c378291a3fd4e5576db0a125bb833dfa4")</f>
        <v>0</v>
      </c>
      <c r="C21960">
        <f>HYPERLINK("https://android.googlesource.com/platform/cts/+/e76d856a110960b2f7e2952ff97aadfd1342c5fb", "e76d856a110960b2f7e2952ff97aadfd1342c5fb")</f>
        <v>0</v>
      </c>
      <c r="D21960" t="s">
        <v>5463</v>
      </c>
      <c r="E21960" t="s">
        <v>10370</v>
      </c>
      <c r="F21960" t="s">
        <v>14633</v>
      </c>
      <c r="G21960" t="s">
        <v>18543</v>
      </c>
      <c r="H21960" t="s">
        <v>39266</v>
      </c>
    </row>
    <row r="21961" spans="1:8">
      <c r="H21961" t="s">
        <v>39267</v>
      </c>
    </row>
    <row r="21962" spans="1:8">
      <c r="H21962" t="s">
        <v>39268</v>
      </c>
    </row>
    <row r="21963" spans="1:8">
      <c r="H21963" t="s">
        <v>39269</v>
      </c>
    </row>
    <row r="21964" spans="1:8">
      <c r="A21964" t="s">
        <v>4715</v>
      </c>
      <c r="B21964">
        <f>HYPERLINK("https://android.googlesource.com/platform/cts/+/2e763a69f91f24e1d694d22b47e19be591a7a313", "2e763a69f91f24e1d694d22b47e19be591a7a313")</f>
        <v>0</v>
      </c>
      <c r="C21964">
        <f>HYPERLINK("https://android.googlesource.com/platform/cts/+/ed80e62fa5f9d3f4074235f6f7f0a78107f026d8", "ed80e62fa5f9d3f4074235f6f7f0a78107f026d8")</f>
        <v>0</v>
      </c>
      <c r="D21964" t="s">
        <v>5040</v>
      </c>
      <c r="E21964" t="s">
        <v>10371</v>
      </c>
      <c r="F21964" t="s">
        <v>14864</v>
      </c>
      <c r="G21964" t="s">
        <v>18717</v>
      </c>
      <c r="H21964" t="s">
        <v>39271</v>
      </c>
    </row>
    <row r="21965" spans="1:8">
      <c r="A21965" t="s">
        <v>4716</v>
      </c>
      <c r="B21965">
        <f>HYPERLINK("https://android.googlesource.com/platform/cts/+/6de3c1cfdb62119e61f0c7d56b32b2fad338eb84", "6de3c1cfdb62119e61f0c7d56b32b2fad338eb84")</f>
        <v>0</v>
      </c>
      <c r="C21965">
        <f>HYPERLINK("https://android.googlesource.com/platform/cts/+/13625dd2dcdcf7f6c6e9fa5041e920f288ecb94b", "13625dd2dcdcf7f6c6e9fa5041e920f288ecb94b")</f>
        <v>0</v>
      </c>
      <c r="D21965" t="s">
        <v>5751</v>
      </c>
      <c r="E21965" t="s">
        <v>10372</v>
      </c>
      <c r="F21965" t="s">
        <v>14856</v>
      </c>
      <c r="G21965" t="s">
        <v>18710</v>
      </c>
      <c r="H21965" t="s">
        <v>39293</v>
      </c>
    </row>
    <row r="21966" spans="1:8">
      <c r="H21966" t="s">
        <v>39294</v>
      </c>
    </row>
    <row r="21967" spans="1:8">
      <c r="H21967" t="s">
        <v>39295</v>
      </c>
    </row>
    <row r="21968" spans="1:8">
      <c r="H21968" t="s">
        <v>39296</v>
      </c>
    </row>
    <row r="21969" spans="1:8">
      <c r="H21969" t="s">
        <v>39297</v>
      </c>
    </row>
    <row r="21970" spans="1:8">
      <c r="H21970" t="s">
        <v>31962</v>
      </c>
    </row>
    <row r="21971" spans="1:8">
      <c r="H21971" t="s">
        <v>39298</v>
      </c>
    </row>
    <row r="21972" spans="1:8">
      <c r="H21972" t="s">
        <v>39299</v>
      </c>
    </row>
    <row r="21973" spans="1:8">
      <c r="A21973" t="s">
        <v>4717</v>
      </c>
      <c r="B21973">
        <f>HYPERLINK("https://android.googlesource.com/platform/cts/+/5d371b0d6c23b89516dcd4e2f0cc125dda9bacc1", "5d371b0d6c23b89516dcd4e2f0cc125dda9bacc1")</f>
        <v>0</v>
      </c>
      <c r="C21973">
        <f>HYPERLINK("https://android.googlesource.com/platform/cts/+/ac98faf604503a6a45228181ba2dc35b7123a1b5", "ac98faf604503a6a45228181ba2dc35b7123a1b5")</f>
        <v>0</v>
      </c>
      <c r="D21973" t="s">
        <v>5477</v>
      </c>
      <c r="E21973" t="s">
        <v>10373</v>
      </c>
      <c r="F21973" t="s">
        <v>14865</v>
      </c>
      <c r="G21973" t="s">
        <v>18718</v>
      </c>
      <c r="H21973" t="s">
        <v>39016</v>
      </c>
    </row>
    <row r="21974" spans="1:8">
      <c r="H21974" t="s">
        <v>39300</v>
      </c>
    </row>
    <row r="21975" spans="1:8">
      <c r="H21975" t="s">
        <v>39301</v>
      </c>
    </row>
    <row r="21976" spans="1:8">
      <c r="A21976" t="s">
        <v>4720</v>
      </c>
      <c r="B21976">
        <f>HYPERLINK("https://android.googlesource.com/platform/cts/+/e9faaf6094445df7b5d1da37619daead34831acd", "e9faaf6094445df7b5d1da37619daead34831acd")</f>
        <v>0</v>
      </c>
      <c r="C21976">
        <f>HYPERLINK("https://android.googlesource.com/platform/cts/+/3375e00adf501e6895ea6c617f2f7e68b43ffce8", "3375e00adf501e6895ea6c617f2f7e68b43ffce8")</f>
        <v>0</v>
      </c>
      <c r="D21976" t="s">
        <v>5723</v>
      </c>
      <c r="E21976" t="s">
        <v>10376</v>
      </c>
      <c r="F21976" t="s">
        <v>14563</v>
      </c>
      <c r="G21976" t="s">
        <v>18409</v>
      </c>
      <c r="H21976" t="s">
        <v>39305</v>
      </c>
    </row>
    <row r="21977" spans="1:8">
      <c r="A21977" t="s">
        <v>4725</v>
      </c>
      <c r="B21977">
        <f>HYPERLINK("https://android.googlesource.com/platform/cts/+/981a84a72d7253aa71d4be0e7e544a04da3ee4a0", "981a84a72d7253aa71d4be0e7e544a04da3ee4a0")</f>
        <v>0</v>
      </c>
      <c r="C21977">
        <f>HYPERLINK("https://android.googlesource.com/platform/cts/+/fab06b5658edd4b4a4a1f571fc5267954ceba853", "fab06b5658edd4b4a4a1f571fc5267954ceba853")</f>
        <v>0</v>
      </c>
      <c r="D21977" t="s">
        <v>5219</v>
      </c>
      <c r="E21977" t="s">
        <v>10381</v>
      </c>
      <c r="F21977" t="s">
        <v>14512</v>
      </c>
      <c r="G21977" t="s">
        <v>18414</v>
      </c>
      <c r="H21977" t="s">
        <v>39309</v>
      </c>
    </row>
    <row r="21978" spans="1:8">
      <c r="H21978" t="s">
        <v>36150</v>
      </c>
    </row>
    <row r="21979" spans="1:8">
      <c r="H21979" t="s">
        <v>36152</v>
      </c>
    </row>
    <row r="21980" spans="1:8">
      <c r="H21980" t="s">
        <v>36155</v>
      </c>
    </row>
    <row r="21981" spans="1:8">
      <c r="A21981" t="s">
        <v>4727</v>
      </c>
      <c r="B21981">
        <f>HYPERLINK("https://android.googlesource.com/platform/cts/+/b67456050cb55793f026ae5b5de42631b21b9f5d", "b67456050cb55793f026ae5b5de42631b21b9f5d")</f>
        <v>0</v>
      </c>
      <c r="C21981">
        <f>HYPERLINK("https://android.googlesource.com/platform/cts/+/ea0f4db4a70a6a21d13c00ce9f9c272311ec1b4d", "ea0f4db4a70a6a21d13c00ce9f9c272311ec1b4d")</f>
        <v>0</v>
      </c>
      <c r="D21981" t="s">
        <v>5265</v>
      </c>
      <c r="E21981" t="s">
        <v>10383</v>
      </c>
      <c r="F21981" t="s">
        <v>14871</v>
      </c>
      <c r="G21981" t="s">
        <v>18722</v>
      </c>
      <c r="H21981" t="s">
        <v>39312</v>
      </c>
    </row>
    <row r="21982" spans="1:8">
      <c r="H21982" t="s">
        <v>39313</v>
      </c>
    </row>
    <row r="21983" spans="1:8">
      <c r="A21983" t="s">
        <v>4729</v>
      </c>
      <c r="B21983">
        <f>HYPERLINK("https://android.googlesource.com/platform/cts/+/f1f81112c4b9c79c44019d77a4095bd785feaadd", "f1f81112c4b9c79c44019d77a4095bd785feaadd")</f>
        <v>0</v>
      </c>
      <c r="C21983">
        <f>HYPERLINK("https://android.googlesource.com/platform/cts/+/f3c8c507b4659968a432adddd44b22d48d93ae8b", "f3c8c507b4659968a432adddd44b22d48d93ae8b")</f>
        <v>0</v>
      </c>
      <c r="D21983" t="s">
        <v>5277</v>
      </c>
      <c r="E21983" t="s">
        <v>10385</v>
      </c>
      <c r="F21983" t="s">
        <v>13165</v>
      </c>
      <c r="G21983" t="s">
        <v>17315</v>
      </c>
      <c r="H21983" t="s">
        <v>39314</v>
      </c>
    </row>
    <row r="21984" spans="1:8">
      <c r="H21984" t="s">
        <v>39315</v>
      </c>
    </row>
    <row r="21985" spans="1:8">
      <c r="A21985" t="s">
        <v>4731</v>
      </c>
      <c r="B21985">
        <f>HYPERLINK("https://android.googlesource.com/platform/cts/+/e261a36c97cefe31ff6a7b9055a2e1e321b696db", "e261a36c97cefe31ff6a7b9055a2e1e321b696db")</f>
        <v>0</v>
      </c>
      <c r="C21985">
        <f>HYPERLINK("https://android.googlesource.com/platform/cts/+/566b74f2a5a89675044cee37086ecc592a814326", "566b74f2a5a89675044cee37086ecc592a814326")</f>
        <v>0</v>
      </c>
      <c r="D21985" t="s">
        <v>5759</v>
      </c>
      <c r="E21985" t="s">
        <v>10387</v>
      </c>
      <c r="F21985" t="s">
        <v>14446</v>
      </c>
      <c r="G21985" t="s">
        <v>18381</v>
      </c>
      <c r="H21985" t="s">
        <v>39316</v>
      </c>
    </row>
    <row r="21986" spans="1:8">
      <c r="H21986" t="s">
        <v>39317</v>
      </c>
    </row>
    <row r="21987" spans="1:8">
      <c r="H21987" t="s">
        <v>39318</v>
      </c>
    </row>
    <row r="21988" spans="1:8">
      <c r="H21988" t="s">
        <v>39319</v>
      </c>
    </row>
    <row r="21989" spans="1:8">
      <c r="H21989" t="s">
        <v>39320</v>
      </c>
    </row>
    <row r="21990" spans="1:8">
      <c r="H21990" t="s">
        <v>39321</v>
      </c>
    </row>
    <row r="21991" spans="1:8">
      <c r="H21991" t="s">
        <v>39322</v>
      </c>
    </row>
    <row r="21992" spans="1:8">
      <c r="H21992" t="s">
        <v>39323</v>
      </c>
    </row>
    <row r="21993" spans="1:8">
      <c r="H21993" t="s">
        <v>39324</v>
      </c>
    </row>
    <row r="21994" spans="1:8">
      <c r="H21994" t="s">
        <v>39325</v>
      </c>
    </row>
    <row r="21995" spans="1:8">
      <c r="H21995" t="s">
        <v>39326</v>
      </c>
    </row>
    <row r="21996" spans="1:8">
      <c r="H21996" t="s">
        <v>39327</v>
      </c>
    </row>
    <row r="21997" spans="1:8">
      <c r="H21997" t="s">
        <v>39328</v>
      </c>
    </row>
    <row r="21998" spans="1:8">
      <c r="F21998" t="s">
        <v>14414</v>
      </c>
      <c r="G21998" t="s">
        <v>18352</v>
      </c>
      <c r="H21998" t="s">
        <v>39329</v>
      </c>
    </row>
    <row r="21999" spans="1:8">
      <c r="H21999" t="s">
        <v>39330</v>
      </c>
    </row>
    <row r="22000" spans="1:8">
      <c r="A22000" t="s">
        <v>4734</v>
      </c>
      <c r="B22000">
        <f>HYPERLINK("https://android.googlesource.com/platform/cts/+/ec57a60319c773cd46e43bccafa410ce01855222", "ec57a60319c773cd46e43bccafa410ce01855222")</f>
        <v>0</v>
      </c>
      <c r="C22000">
        <f>HYPERLINK("https://android.googlesource.com/platform/cts/+/20bd6fe0d4ca377bc8d01c7ad4bf220642cfa337", "20bd6fe0d4ca377bc8d01c7ad4bf220642cfa337")</f>
        <v>0</v>
      </c>
      <c r="D22000" t="s">
        <v>5021</v>
      </c>
      <c r="E22000" t="s">
        <v>10390</v>
      </c>
      <c r="F22000" t="s">
        <v>13806</v>
      </c>
      <c r="G22000" t="s">
        <v>17843</v>
      </c>
      <c r="H22000" t="s">
        <v>19536</v>
      </c>
    </row>
    <row r="22001" spans="1:8">
      <c r="H22001" t="s">
        <v>39333</v>
      </c>
    </row>
    <row r="22002" spans="1:8">
      <c r="F22002" t="s">
        <v>14873</v>
      </c>
      <c r="G22002" t="s">
        <v>14989</v>
      </c>
      <c r="H22002" t="s">
        <v>19536</v>
      </c>
    </row>
    <row r="22003" spans="1:8">
      <c r="A22003" t="s">
        <v>4735</v>
      </c>
      <c r="B22003">
        <f>HYPERLINK("https://android.googlesource.com/platform/cts/+/c3f1124f4e7775fce5cc2883ba6d888a30250892", "c3f1124f4e7775fce5cc2883ba6d888a30250892")</f>
        <v>0</v>
      </c>
      <c r="C22003">
        <f>HYPERLINK("https://android.googlesource.com/platform/cts/+/7fefb4cd3449e4e827a0ed89000148751a69829e", "7fefb4cd3449e4e827a0ed89000148751a69829e")</f>
        <v>0</v>
      </c>
      <c r="D22003" t="s">
        <v>5644</v>
      </c>
      <c r="E22003" t="s">
        <v>10391</v>
      </c>
      <c r="F22003" t="s">
        <v>14874</v>
      </c>
      <c r="G22003" t="s">
        <v>18724</v>
      </c>
      <c r="H22003" t="s">
        <v>29073</v>
      </c>
    </row>
    <row r="22004" spans="1:8">
      <c r="A22004" t="s">
        <v>4737</v>
      </c>
      <c r="B22004">
        <f>HYPERLINK("https://android.googlesource.com/platform/cts/+/26884f2d333c2cbc622c8cd8de45acf9b4b889ce", "26884f2d333c2cbc622c8cd8de45acf9b4b889ce")</f>
        <v>0</v>
      </c>
      <c r="C22004">
        <f>HYPERLINK("https://android.googlesource.com/platform/cts/+/eda95c8b387d821dfdd92e6feccae6f77e3a5c75", "eda95c8b387d821dfdd92e6feccae6f77e3a5c75")</f>
        <v>0</v>
      </c>
      <c r="D22004" t="s">
        <v>5465</v>
      </c>
      <c r="E22004" t="s">
        <v>10393</v>
      </c>
      <c r="F22004" t="s">
        <v>14461</v>
      </c>
      <c r="G22004" t="s">
        <v>15710</v>
      </c>
      <c r="H22004" t="s">
        <v>39335</v>
      </c>
    </row>
    <row r="22005" spans="1:8">
      <c r="H22005" t="s">
        <v>39336</v>
      </c>
    </row>
    <row r="22006" spans="1:8">
      <c r="H22006" t="s">
        <v>39337</v>
      </c>
    </row>
    <row r="22007" spans="1:8">
      <c r="H22007" t="s">
        <v>39338</v>
      </c>
    </row>
    <row r="22008" spans="1:8">
      <c r="H22008" t="s">
        <v>39339</v>
      </c>
    </row>
    <row r="22009" spans="1:8">
      <c r="A22009" t="s">
        <v>4738</v>
      </c>
      <c r="B22009">
        <f>HYPERLINK("https://android.googlesource.com/platform/cts/+/e98c2545ce2db68e37228f6c9a6b8f03790982c5", "e98c2545ce2db68e37228f6c9a6b8f03790982c5")</f>
        <v>0</v>
      </c>
      <c r="C22009">
        <f>HYPERLINK("https://android.googlesource.com/platform/cts/+/2c1213ebe06a48876da62f75062800a96571d871", "2c1213ebe06a48876da62f75062800a96571d871")</f>
        <v>0</v>
      </c>
      <c r="D22009" t="s">
        <v>5477</v>
      </c>
      <c r="E22009" t="s">
        <v>10394</v>
      </c>
      <c r="F22009" t="s">
        <v>14876</v>
      </c>
      <c r="G22009" t="s">
        <v>18726</v>
      </c>
      <c r="H22009" t="s">
        <v>39340</v>
      </c>
    </row>
    <row r="22010" spans="1:8">
      <c r="H22010" t="s">
        <v>39341</v>
      </c>
    </row>
    <row r="22011" spans="1:8">
      <c r="H22011" t="s">
        <v>39342</v>
      </c>
    </row>
    <row r="22012" spans="1:8">
      <c r="H22012" t="s">
        <v>39343</v>
      </c>
    </row>
    <row r="22013" spans="1:8">
      <c r="H22013" t="s">
        <v>39344</v>
      </c>
    </row>
    <row r="22014" spans="1:8">
      <c r="H22014" t="s">
        <v>39345</v>
      </c>
    </row>
    <row r="22015" spans="1:8">
      <c r="H22015" t="s">
        <v>39346</v>
      </c>
    </row>
    <row r="22016" spans="1:8">
      <c r="H22016" t="s">
        <v>39347</v>
      </c>
    </row>
    <row r="22017" spans="1:8">
      <c r="A22017" t="s">
        <v>4739</v>
      </c>
      <c r="B22017">
        <f>HYPERLINK("https://android.googlesource.com/platform/cts/+/aeb446b8363c32fbb57fb01dfc28f923f37365fa", "aeb446b8363c32fbb57fb01dfc28f923f37365fa")</f>
        <v>0</v>
      </c>
      <c r="C22017">
        <f>HYPERLINK("https://android.googlesource.com/platform/cts/+/13ab9ca1faaef7ce514867a4872b7101d0ffffbb", "13ab9ca1faaef7ce514867a4872b7101d0ffffbb")</f>
        <v>0</v>
      </c>
      <c r="D22017" t="s">
        <v>5463</v>
      </c>
      <c r="E22017" t="s">
        <v>10395</v>
      </c>
      <c r="F22017" t="s">
        <v>14877</v>
      </c>
      <c r="G22017" t="s">
        <v>18727</v>
      </c>
      <c r="H22017" t="s">
        <v>39266</v>
      </c>
    </row>
    <row r="22018" spans="1:8">
      <c r="H22018" t="s">
        <v>39267</v>
      </c>
    </row>
    <row r="22019" spans="1:8">
      <c r="H22019" t="s">
        <v>39268</v>
      </c>
    </row>
    <row r="22020" spans="1:8">
      <c r="H22020" t="s">
        <v>39269</v>
      </c>
    </row>
    <row r="22021" spans="1:8">
      <c r="A22021" t="s">
        <v>4743</v>
      </c>
      <c r="B22021">
        <f>HYPERLINK("https://android.googlesource.com/platform/cts/+/36bb40bf558dd34586fab0461ff4f55d7abf8234", "36bb40bf558dd34586fab0461ff4f55d7abf8234")</f>
        <v>0</v>
      </c>
      <c r="C22021">
        <f>HYPERLINK("https://android.googlesource.com/platform/cts/+/a77917c271d1245e4ed227f661a2eb3c401a153e", "a77917c271d1245e4ed227f661a2eb3c401a153e")</f>
        <v>0</v>
      </c>
      <c r="D22021" t="s">
        <v>5749</v>
      </c>
      <c r="E22021" t="s">
        <v>10399</v>
      </c>
      <c r="F22021" t="s">
        <v>14880</v>
      </c>
      <c r="G22021" t="s">
        <v>18730</v>
      </c>
      <c r="H22021" t="s">
        <v>39367</v>
      </c>
    </row>
    <row r="22022" spans="1:8">
      <c r="H22022" t="s">
        <v>39368</v>
      </c>
    </row>
    <row r="22023" spans="1:8">
      <c r="H22023" t="s">
        <v>39369</v>
      </c>
    </row>
    <row r="22024" spans="1:8">
      <c r="H22024" t="s">
        <v>39370</v>
      </c>
    </row>
    <row r="22025" spans="1:8">
      <c r="H22025" t="s">
        <v>39371</v>
      </c>
    </row>
    <row r="22026" spans="1:8">
      <c r="A22026" t="s">
        <v>4750</v>
      </c>
      <c r="B22026">
        <f>HYPERLINK("https://android.googlesource.com/platform/cts/+/79444c01647dbd2ec5658216e5a68693933e0177", "79444c01647dbd2ec5658216e5a68693933e0177")</f>
        <v>0</v>
      </c>
      <c r="C22026">
        <f>HYPERLINK("https://android.googlesource.com/platform/cts/+/a420bbaba9f1283a67a1c3416c2d1cf231cf07fe", "a420bbaba9f1283a67a1c3416c2d1cf231cf07fe")</f>
        <v>0</v>
      </c>
      <c r="D22026" t="s">
        <v>5420</v>
      </c>
      <c r="E22026" t="s">
        <v>10406</v>
      </c>
      <c r="F22026" t="s">
        <v>14882</v>
      </c>
      <c r="G22026" t="s">
        <v>18731</v>
      </c>
      <c r="H22026" t="s">
        <v>39385</v>
      </c>
    </row>
    <row r="22027" spans="1:8">
      <c r="H22027" t="s">
        <v>39386</v>
      </c>
    </row>
    <row r="22028" spans="1:8">
      <c r="A22028" t="s">
        <v>4751</v>
      </c>
      <c r="B22028">
        <f>HYPERLINK("https://android.googlesource.com/platform/cts/+/b7b274b49fdfc8c40205bbfee3cd191015263a56", "b7b274b49fdfc8c40205bbfee3cd191015263a56")</f>
        <v>0</v>
      </c>
      <c r="C22028">
        <f>HYPERLINK("https://android.googlesource.com/platform/cts/+/f7679a054c594286f0b2692e69a2d7ebe2831685", "f7679a054c594286f0b2692e69a2d7ebe2831685")</f>
        <v>0</v>
      </c>
      <c r="D22028" t="s">
        <v>5118</v>
      </c>
      <c r="E22028" t="s">
        <v>10407</v>
      </c>
      <c r="F22028" t="s">
        <v>13197</v>
      </c>
      <c r="G22028" t="s">
        <v>17340</v>
      </c>
      <c r="H22028" t="s">
        <v>39387</v>
      </c>
    </row>
    <row r="22029" spans="1:8">
      <c r="A22029" t="s">
        <v>4753</v>
      </c>
      <c r="B22029">
        <f>HYPERLINK("https://android.googlesource.com/platform/cts/+/3b5f633899c2081a800ee50342786905b7662c4c", "3b5f633899c2081a800ee50342786905b7662c4c")</f>
        <v>0</v>
      </c>
      <c r="C22029">
        <f>HYPERLINK("https://android.googlesource.com/platform/cts/+/f94afd8619ebfb6c77e3ba383c33cd775835b20c", "f94afd8619ebfb6c77e3ba383c33cd775835b20c")</f>
        <v>0</v>
      </c>
      <c r="D22029" t="s">
        <v>5650</v>
      </c>
      <c r="E22029" t="s">
        <v>10409</v>
      </c>
      <c r="F22029" t="s">
        <v>14884</v>
      </c>
      <c r="G22029" t="s">
        <v>18733</v>
      </c>
      <c r="H22029" t="s">
        <v>39390</v>
      </c>
    </row>
    <row r="22030" spans="1:8">
      <c r="A22030" t="s">
        <v>4758</v>
      </c>
      <c r="B22030">
        <f>HYPERLINK("https://android.googlesource.com/platform/cts/+/c9f95d3975115132df73b96c7370cb45efbe64c5", "c9f95d3975115132df73b96c7370cb45efbe64c5")</f>
        <v>0</v>
      </c>
      <c r="C22030">
        <f>HYPERLINK("https://android.googlesource.com/platform/cts/+/896dabb199ae349ddaa0a81acacb22913be1d301", "896dabb199ae349ddaa0a81acacb22913be1d301")</f>
        <v>0</v>
      </c>
      <c r="D22030" t="s">
        <v>5764</v>
      </c>
      <c r="E22030" t="s">
        <v>10415</v>
      </c>
      <c r="F22030" t="s">
        <v>13311</v>
      </c>
      <c r="G22030" t="s">
        <v>16471</v>
      </c>
      <c r="H22030" t="s">
        <v>39392</v>
      </c>
    </row>
    <row r="22031" spans="1:8">
      <c r="H22031" t="s">
        <v>39393</v>
      </c>
    </row>
    <row r="22032" spans="1:8">
      <c r="H22032" t="s">
        <v>39394</v>
      </c>
    </row>
    <row r="22033" spans="1:8">
      <c r="H22033" t="s">
        <v>39395</v>
      </c>
    </row>
    <row r="22034" spans="1:8">
      <c r="H22034" t="s">
        <v>39396</v>
      </c>
    </row>
    <row r="22035" spans="1:8">
      <c r="H22035" t="s">
        <v>39397</v>
      </c>
    </row>
    <row r="22036" spans="1:8">
      <c r="A22036" t="s">
        <v>4759</v>
      </c>
      <c r="B22036">
        <f>HYPERLINK("https://android.googlesource.com/platform/cts/+/e0e77cfc11e748dae78816942ef64b140fca8f91", "e0e77cfc11e748dae78816942ef64b140fca8f91")</f>
        <v>0</v>
      </c>
      <c r="C22036">
        <f>HYPERLINK("https://android.googlesource.com/platform/cts/+/1d65d64d19469ce35159aa7e9b2ecd793b50d3a9", "1d65d64d19469ce35159aa7e9b2ecd793b50d3a9")</f>
        <v>0</v>
      </c>
      <c r="D22036" t="s">
        <v>5509</v>
      </c>
      <c r="E22036" t="s">
        <v>10416</v>
      </c>
      <c r="F22036" t="s">
        <v>14880</v>
      </c>
      <c r="G22036" t="s">
        <v>18730</v>
      </c>
      <c r="H22036" t="s">
        <v>39367</v>
      </c>
    </row>
    <row r="22037" spans="1:8">
      <c r="H22037" t="s">
        <v>39368</v>
      </c>
    </row>
    <row r="22038" spans="1:8">
      <c r="H22038" t="s">
        <v>39369</v>
      </c>
    </row>
    <row r="22039" spans="1:8">
      <c r="H22039" t="s">
        <v>39370</v>
      </c>
    </row>
    <row r="22040" spans="1:8">
      <c r="H22040" t="s">
        <v>39371</v>
      </c>
    </row>
    <row r="22041" spans="1:8">
      <c r="A22041" t="s">
        <v>4760</v>
      </c>
      <c r="B22041">
        <f>HYPERLINK("https://android.googlesource.com/platform/cts/+/33b27055a5d318c7f330a3c6cab3c6f46dd82185", "33b27055a5d318c7f330a3c6cab3c6f46dd82185")</f>
        <v>0</v>
      </c>
      <c r="C22041">
        <f>HYPERLINK("https://android.googlesource.com/platform/cts/+/7f4cda2dfec21c62c439afa70f39d3331e39de92", "7f4cda2dfec21c62c439afa70f39d3331e39de92")</f>
        <v>0</v>
      </c>
      <c r="D22041" t="s">
        <v>5244</v>
      </c>
      <c r="E22041" t="s">
        <v>10417</v>
      </c>
      <c r="F22041" t="s">
        <v>13398</v>
      </c>
      <c r="G22041" t="s">
        <v>17524</v>
      </c>
      <c r="H22041" t="s">
        <v>39400</v>
      </c>
    </row>
    <row r="22042" spans="1:8">
      <c r="H22042" t="s">
        <v>39401</v>
      </c>
    </row>
    <row r="22043" spans="1:8">
      <c r="H22043" t="s">
        <v>39402</v>
      </c>
    </row>
    <row r="22044" spans="1:8">
      <c r="H22044" t="s">
        <v>39403</v>
      </c>
    </row>
    <row r="22045" spans="1:8">
      <c r="H22045" t="s">
        <v>39404</v>
      </c>
    </row>
    <row r="22046" spans="1:8">
      <c r="H22046" t="s">
        <v>39405</v>
      </c>
    </row>
    <row r="22047" spans="1:8">
      <c r="H22047" t="s">
        <v>39406</v>
      </c>
    </row>
    <row r="22048" spans="1:8">
      <c r="H22048" t="s">
        <v>39407</v>
      </c>
    </row>
    <row r="22049" spans="1:8">
      <c r="H22049" t="s">
        <v>39408</v>
      </c>
    </row>
    <row r="22050" spans="1:8">
      <c r="H22050" t="s">
        <v>39409</v>
      </c>
    </row>
    <row r="22051" spans="1:8">
      <c r="H22051" t="s">
        <v>39410</v>
      </c>
    </row>
    <row r="22052" spans="1:8">
      <c r="H22052" t="s">
        <v>39411</v>
      </c>
    </row>
    <row r="22053" spans="1:8">
      <c r="H22053" t="s">
        <v>39412</v>
      </c>
    </row>
    <row r="22054" spans="1:8">
      <c r="H22054" t="s">
        <v>39413</v>
      </c>
    </row>
    <row r="22055" spans="1:8">
      <c r="H22055" t="s">
        <v>39414</v>
      </c>
    </row>
    <row r="22056" spans="1:8">
      <c r="H22056" t="s">
        <v>39415</v>
      </c>
    </row>
    <row r="22057" spans="1:8">
      <c r="H22057" t="s">
        <v>39416</v>
      </c>
    </row>
    <row r="22058" spans="1:8">
      <c r="A22058" t="s">
        <v>4761</v>
      </c>
      <c r="B22058">
        <f>HYPERLINK("https://android.googlesource.com/platform/cts/+/68e276019e6387dbbe212a4d648323026277879e", "68e276019e6387dbbe212a4d648323026277879e")</f>
        <v>0</v>
      </c>
      <c r="C22058">
        <f>HYPERLINK("https://android.googlesource.com/platform/cts/+/c250a0e0a93028c64aecbd7af6fb5950235f0296", "c250a0e0a93028c64aecbd7af6fb5950235f0296")</f>
        <v>0</v>
      </c>
      <c r="D22058" t="s">
        <v>5219</v>
      </c>
      <c r="E22058" t="s">
        <v>10418</v>
      </c>
      <c r="F22058" t="s">
        <v>14512</v>
      </c>
      <c r="G22058" t="s">
        <v>18414</v>
      </c>
      <c r="H22058" t="s">
        <v>39422</v>
      </c>
    </row>
    <row r="22059" spans="1:8">
      <c r="A22059" t="s">
        <v>4763</v>
      </c>
      <c r="B22059">
        <f>HYPERLINK("https://android.googlesource.com/platform/cts/+/137660f2e4ae703233bc44963dbe32746d5964b3", "137660f2e4ae703233bc44963dbe32746d5964b3")</f>
        <v>0</v>
      </c>
      <c r="C22059">
        <f>HYPERLINK("https://android.googlesource.com/platform/cts/+/c65930353babed6dd3ad6d47c9a584d27deeb72b", "c65930353babed6dd3ad6d47c9a584d27deeb72b")</f>
        <v>0</v>
      </c>
      <c r="D22059" t="s">
        <v>5706</v>
      </c>
      <c r="E22059" t="s">
        <v>10420</v>
      </c>
      <c r="F22059" t="s">
        <v>14885</v>
      </c>
      <c r="G22059" t="s">
        <v>17948</v>
      </c>
      <c r="H22059" t="s">
        <v>39424</v>
      </c>
    </row>
    <row r="22060" spans="1:8">
      <c r="A22060" t="s">
        <v>4771</v>
      </c>
      <c r="B22060">
        <f>HYPERLINK("https://android.googlesource.com/platform/cts/+/97ec47e95030062c59a41cfc94c3876bb3b80892", "97ec47e95030062c59a41cfc94c3876bb3b80892")</f>
        <v>0</v>
      </c>
      <c r="C22060">
        <f>HYPERLINK("https://android.googlesource.com/platform/cts/+/66173380ca3e879679f90648adabfb7eb3279be8", "66173380ca3e879679f90648adabfb7eb3279be8")</f>
        <v>0</v>
      </c>
      <c r="D22060" t="s">
        <v>5268</v>
      </c>
      <c r="E22060" t="s">
        <v>10428</v>
      </c>
      <c r="F22060" t="s">
        <v>14887</v>
      </c>
      <c r="G22060" t="s">
        <v>18734</v>
      </c>
      <c r="H22060" t="s">
        <v>39432</v>
      </c>
    </row>
    <row r="22061" spans="1:8">
      <c r="A22061" t="s">
        <v>4773</v>
      </c>
      <c r="B22061">
        <f>HYPERLINK("https://android.googlesource.com/platform/cts/+/b6ef4e7df303c2fe540783d6341b4cd2d977a57f", "b6ef4e7df303c2fe540783d6341b4cd2d977a57f")</f>
        <v>0</v>
      </c>
      <c r="C22061">
        <f>HYPERLINK("https://android.googlesource.com/platform/cts/+/f8a585b599c38a3002eb8f190a74a09a8d18f2e7", "f8a585b599c38a3002eb8f190a74a09a8d18f2e7")</f>
        <v>0</v>
      </c>
      <c r="D22061" t="s">
        <v>5670</v>
      </c>
      <c r="E22061" t="s">
        <v>10430</v>
      </c>
      <c r="F22061" t="s">
        <v>14461</v>
      </c>
      <c r="G22061" t="s">
        <v>15710</v>
      </c>
      <c r="H22061" t="s">
        <v>39433</v>
      </c>
    </row>
    <row r="22062" spans="1:8">
      <c r="H22062" t="s">
        <v>39434</v>
      </c>
    </row>
    <row r="22063" spans="1:8">
      <c r="A22063" t="s">
        <v>4774</v>
      </c>
      <c r="B22063">
        <f>HYPERLINK("https://android.googlesource.com/platform/cts/+/8ae831bebba660d342c00a935918f0d38d8915ce", "8ae831bebba660d342c00a935918f0d38d8915ce")</f>
        <v>0</v>
      </c>
      <c r="C22063">
        <f>HYPERLINK("https://android.googlesource.com/platform/cts/+/4b7d8d4223eae0559866493a9cf74b727834d49f", "4b7d8d4223eae0559866493a9cf74b727834d49f")</f>
        <v>0</v>
      </c>
      <c r="D22063" t="s">
        <v>5675</v>
      </c>
      <c r="E22063" t="s">
        <v>10431</v>
      </c>
      <c r="F22063" t="s">
        <v>10715</v>
      </c>
      <c r="G22063" t="s">
        <v>15114</v>
      </c>
      <c r="H22063" t="s">
        <v>37432</v>
      </c>
    </row>
    <row r="22064" spans="1:8">
      <c r="A22064" t="s">
        <v>4776</v>
      </c>
      <c r="B22064">
        <f>HYPERLINK("https://android.googlesource.com/platform/cts/+/b2d0bd152176509b2793f0ce9ab5c3f858b2a97b", "b2d0bd152176509b2793f0ce9ab5c3f858b2a97b")</f>
        <v>0</v>
      </c>
      <c r="C22064">
        <f>HYPERLINK("https://android.googlesource.com/platform/cts/+/4123ca3d3422df5b3f7f3bbd43f0fab158cf251e", "4123ca3d3422df5b3f7f3bbd43f0fab158cf251e")</f>
        <v>0</v>
      </c>
      <c r="D22064" t="s">
        <v>5504</v>
      </c>
      <c r="E22064" t="s">
        <v>10433</v>
      </c>
      <c r="F22064" t="s">
        <v>14300</v>
      </c>
      <c r="G22064" t="s">
        <v>18259</v>
      </c>
      <c r="H22064" t="s">
        <v>37866</v>
      </c>
    </row>
    <row r="22065" spans="1:8">
      <c r="H22065" t="s">
        <v>37867</v>
      </c>
    </row>
    <row r="22066" spans="1:8">
      <c r="H22066" t="s">
        <v>37868</v>
      </c>
    </row>
    <row r="22067" spans="1:8">
      <c r="H22067" t="s">
        <v>37869</v>
      </c>
    </row>
    <row r="22068" spans="1:8">
      <c r="H22068" t="s">
        <v>37870</v>
      </c>
    </row>
    <row r="22069" spans="1:8">
      <c r="A22069" t="s">
        <v>4778</v>
      </c>
      <c r="B22069">
        <f>HYPERLINK("https://android.googlesource.com/platform/cts/+/023b2fd7401bc56efd86f3af9cbeff0560e5577d", "023b2fd7401bc56efd86f3af9cbeff0560e5577d")</f>
        <v>0</v>
      </c>
      <c r="C22069">
        <f>HYPERLINK("https://android.googlesource.com/platform/cts/+/e49c4260fbe6de61e96343999e471b83347c50a5", "e49c4260fbe6de61e96343999e471b83347c50a5")</f>
        <v>0</v>
      </c>
      <c r="D22069" t="s">
        <v>5520</v>
      </c>
      <c r="E22069" t="s">
        <v>10435</v>
      </c>
      <c r="F22069" t="s">
        <v>14888</v>
      </c>
      <c r="G22069" t="s">
        <v>18735</v>
      </c>
      <c r="H22069" t="s">
        <v>39436</v>
      </c>
    </row>
    <row r="22070" spans="1:8">
      <c r="A22070" t="s">
        <v>4783</v>
      </c>
      <c r="B22070">
        <f>HYPERLINK("https://android.googlesource.com/platform/cts/+/ed46c4eb87007c4e75fc6836cec64e990212b577", "ed46c4eb87007c4e75fc6836cec64e990212b577")</f>
        <v>0</v>
      </c>
      <c r="C22070">
        <f>HYPERLINK("https://android.googlesource.com/platform/cts/+/ba2f13d1a0b7fa21944c0d0f26cf22a86cf30c6f", "ba2f13d1a0b7fa21944c0d0f26cf22a86cf30c6f")</f>
        <v>0</v>
      </c>
      <c r="D22070" t="s">
        <v>5765</v>
      </c>
      <c r="E22070" t="s">
        <v>10440</v>
      </c>
      <c r="F22070" t="s">
        <v>14889</v>
      </c>
      <c r="G22070" t="s">
        <v>18736</v>
      </c>
      <c r="H22070" t="s">
        <v>39440</v>
      </c>
    </row>
    <row r="22071" spans="1:8">
      <c r="A22071" t="s">
        <v>4785</v>
      </c>
      <c r="B22071">
        <f>HYPERLINK("https://android.googlesource.com/platform/cts/+/6c4bf59a8414840ac62028eaf53cb27ea1c24790", "6c4bf59a8414840ac62028eaf53cb27ea1c24790")</f>
        <v>0</v>
      </c>
      <c r="C22071">
        <f>HYPERLINK("https://android.googlesource.com/platform/cts/+/4b0ba934087aa23af4b1c911e79c7b296775c5c8", "4b0ba934087aa23af4b1c911e79c7b296775c5c8")</f>
        <v>0</v>
      </c>
      <c r="D22071" t="s">
        <v>5769</v>
      </c>
      <c r="E22071" t="s">
        <v>10442</v>
      </c>
      <c r="F22071" t="s">
        <v>14890</v>
      </c>
      <c r="G22071" t="s">
        <v>18737</v>
      </c>
      <c r="H22071" t="s">
        <v>39441</v>
      </c>
    </row>
    <row r="22072" spans="1:8">
      <c r="A22072" t="s">
        <v>4789</v>
      </c>
      <c r="B22072">
        <f>HYPERLINK("https://android.googlesource.com/platform/cts/+/37750818ead45b0e582f467142f5f5e24940efc6", "37750818ead45b0e582f467142f5f5e24940efc6")</f>
        <v>0</v>
      </c>
      <c r="C22072">
        <f>HYPERLINK("https://android.googlesource.com/platform/cts/+/7c5997f39c85e0e29443fe88c0fdbf30d210031b", "7c5997f39c85e0e29443fe88c0fdbf30d210031b")</f>
        <v>0</v>
      </c>
      <c r="D22072" t="s">
        <v>5494</v>
      </c>
      <c r="E22072" t="s">
        <v>10446</v>
      </c>
      <c r="F22072" t="s">
        <v>14825</v>
      </c>
      <c r="G22072" t="s">
        <v>18687</v>
      </c>
      <c r="H22072" t="s">
        <v>39442</v>
      </c>
    </row>
    <row r="22073" spans="1:8">
      <c r="H22073" t="s">
        <v>39443</v>
      </c>
    </row>
    <row r="22074" spans="1:8">
      <c r="H22074" t="s">
        <v>39444</v>
      </c>
    </row>
    <row r="22075" spans="1:8">
      <c r="H22075" t="s">
        <v>39445</v>
      </c>
    </row>
    <row r="22076" spans="1:8">
      <c r="H22076" t="s">
        <v>39446</v>
      </c>
    </row>
    <row r="22077" spans="1:8">
      <c r="H22077" t="s">
        <v>39447</v>
      </c>
    </row>
    <row r="22078" spans="1:8">
      <c r="H22078" t="s">
        <v>26401</v>
      </c>
    </row>
    <row r="22079" spans="1:8">
      <c r="H22079" t="s">
        <v>39448</v>
      </c>
    </row>
    <row r="22080" spans="1:8">
      <c r="A22080" t="s">
        <v>4790</v>
      </c>
      <c r="B22080">
        <f>HYPERLINK("https://android.googlesource.com/platform/cts/+/2b256dab0280ec8e13daf1872c239370365d0f70", "2b256dab0280ec8e13daf1872c239370365d0f70")</f>
        <v>0</v>
      </c>
      <c r="C22080">
        <f>HYPERLINK("https://android.googlesource.com/platform/cts/+/7f9716d28b0fe1aa7362b02a85c082af1b6b0cc9", "7f9716d28b0fe1aa7362b02a85c082af1b6b0cc9")</f>
        <v>0</v>
      </c>
      <c r="D22080" t="s">
        <v>5451</v>
      </c>
      <c r="E22080" t="s">
        <v>10447</v>
      </c>
      <c r="F22080" t="s">
        <v>14891</v>
      </c>
      <c r="G22080" t="s">
        <v>17498</v>
      </c>
      <c r="H22080" t="s">
        <v>39449</v>
      </c>
    </row>
    <row r="22081" spans="1:8">
      <c r="A22081" t="s">
        <v>4791</v>
      </c>
      <c r="B22081">
        <f>HYPERLINK("https://android.googlesource.com/platform/cts/+/28017f9f9eb5b764c9721cbc6e7136067fb87ce7", "28017f9f9eb5b764c9721cbc6e7136067fb87ce7")</f>
        <v>0</v>
      </c>
      <c r="C22081">
        <f>HYPERLINK("https://android.googlesource.com/platform/cts/+/6893eb7b8555f40670e71ed607ed3a3b692ca55a", "6893eb7b8555f40670e71ed607ed3a3b692ca55a")</f>
        <v>0</v>
      </c>
      <c r="D22081" t="s">
        <v>5753</v>
      </c>
      <c r="E22081" t="s">
        <v>10448</v>
      </c>
      <c r="F22081" t="s">
        <v>14892</v>
      </c>
      <c r="G22081" t="s">
        <v>16415</v>
      </c>
      <c r="H22081" t="s">
        <v>36825</v>
      </c>
    </row>
    <row r="22082" spans="1:8">
      <c r="H22082" t="s">
        <v>36826</v>
      </c>
    </row>
    <row r="22083" spans="1:8">
      <c r="H22083" t="s">
        <v>36827</v>
      </c>
    </row>
    <row r="22084" spans="1:8">
      <c r="A22084" t="s">
        <v>4792</v>
      </c>
      <c r="B22084">
        <f>HYPERLINK("https://android.googlesource.com/platform/cts/+/ba91da5cfc514a65eb4aeaf7b7e9219af5fb6d31", "ba91da5cfc514a65eb4aeaf7b7e9219af5fb6d31")</f>
        <v>0</v>
      </c>
      <c r="C22084">
        <f>HYPERLINK("https://android.googlesource.com/platform/cts/+/574da0a5945c088d345e17894c242faa9bccf66b", "574da0a5945c088d345e17894c242faa9bccf66b")</f>
        <v>0</v>
      </c>
      <c r="D22084" t="s">
        <v>5564</v>
      </c>
      <c r="E22084" t="s">
        <v>10449</v>
      </c>
      <c r="F22084" t="s">
        <v>14889</v>
      </c>
      <c r="G22084" t="s">
        <v>18736</v>
      </c>
      <c r="H22084" t="s">
        <v>39450</v>
      </c>
    </row>
    <row r="22085" spans="1:8">
      <c r="H22085" t="s">
        <v>39451</v>
      </c>
    </row>
    <row r="22086" spans="1:8">
      <c r="F22086" t="s">
        <v>14893</v>
      </c>
      <c r="G22086" t="s">
        <v>18738</v>
      </c>
      <c r="H22086" t="s">
        <v>39440</v>
      </c>
    </row>
    <row r="22087" spans="1:8">
      <c r="A22087" t="s">
        <v>4794</v>
      </c>
      <c r="B22087">
        <f>HYPERLINK("https://android.googlesource.com/platform/cts/+/1aedebaa21449282ba559dac9becae26d90c6895", "1aedebaa21449282ba559dac9becae26d90c6895")</f>
        <v>0</v>
      </c>
      <c r="C22087">
        <f>HYPERLINK("https://android.googlesource.com/platform/cts/+/9d328bb1816862803ec81b61b65aa76990386994", "9d328bb1816862803ec81b61b65aa76990386994")</f>
        <v>0</v>
      </c>
      <c r="D22087" t="s">
        <v>5771</v>
      </c>
      <c r="E22087" t="s">
        <v>10451</v>
      </c>
      <c r="F22087" t="s">
        <v>13332</v>
      </c>
      <c r="G22087" t="s">
        <v>17462</v>
      </c>
      <c r="H22087" t="s">
        <v>39453</v>
      </c>
    </row>
    <row r="22088" spans="1:8">
      <c r="H22088" t="s">
        <v>39454</v>
      </c>
    </row>
    <row r="22089" spans="1:8">
      <c r="H22089" t="s">
        <v>39455</v>
      </c>
    </row>
    <row r="22090" spans="1:8">
      <c r="H22090" t="s">
        <v>39456</v>
      </c>
    </row>
    <row r="22091" spans="1:8">
      <c r="A22091" t="s">
        <v>4797</v>
      </c>
      <c r="B22091">
        <f>HYPERLINK("https://android.googlesource.com/platform/cts/+/e3618725cc0e2639652f0058273d9bfc96d87329", "e3618725cc0e2639652f0058273d9bfc96d87329")</f>
        <v>0</v>
      </c>
      <c r="C22091">
        <f>HYPERLINK("https://android.googlesource.com/platform/cts/+/57677d95c4dff0c37126fa1c24ec43016facb607", "57677d95c4dff0c37126fa1c24ec43016facb607")</f>
        <v>0</v>
      </c>
      <c r="D22091" t="s">
        <v>5494</v>
      </c>
      <c r="E22091" t="s">
        <v>10454</v>
      </c>
      <c r="F22091" t="s">
        <v>14895</v>
      </c>
      <c r="G22091" t="s">
        <v>18739</v>
      </c>
      <c r="H22091" t="s">
        <v>39458</v>
      </c>
    </row>
    <row r="22092" spans="1:8">
      <c r="H22092" t="s">
        <v>39459</v>
      </c>
    </row>
    <row r="22093" spans="1:8">
      <c r="H22093" t="s">
        <v>39460</v>
      </c>
    </row>
    <row r="22094" spans="1:8">
      <c r="H22094" t="s">
        <v>39461</v>
      </c>
    </row>
    <row r="22095" spans="1:8">
      <c r="H22095" t="s">
        <v>39462</v>
      </c>
    </row>
    <row r="22096" spans="1:8">
      <c r="H22096" t="s">
        <v>39463</v>
      </c>
    </row>
    <row r="22097" spans="1:8">
      <c r="F22097" t="s">
        <v>14896</v>
      </c>
      <c r="G22097" t="s">
        <v>18740</v>
      </c>
      <c r="H22097" t="s">
        <v>39464</v>
      </c>
    </row>
    <row r="22098" spans="1:8">
      <c r="H22098" t="s">
        <v>39465</v>
      </c>
    </row>
    <row r="22099" spans="1:8">
      <c r="H22099" t="s">
        <v>39466</v>
      </c>
    </row>
    <row r="22100" spans="1:8">
      <c r="H22100" t="s">
        <v>39468</v>
      </c>
    </row>
    <row r="22101" spans="1:8">
      <c r="A22101" t="s">
        <v>4799</v>
      </c>
      <c r="B22101">
        <f>HYPERLINK("https://android.googlesource.com/platform/cts/+/638f10f4bd2c764cf1fc7d9f5a39368b22eda899", "638f10f4bd2c764cf1fc7d9f5a39368b22eda899")</f>
        <v>0</v>
      </c>
      <c r="C22101">
        <f>HYPERLINK("https://android.googlesource.com/platform/cts/+/96dfbbe5394345cd537f671e084a0d0041125e60", "96dfbbe5394345cd537f671e084a0d0041125e60")</f>
        <v>0</v>
      </c>
      <c r="D22101" t="s">
        <v>5564</v>
      </c>
      <c r="E22101" t="s">
        <v>10456</v>
      </c>
      <c r="F22101" t="s">
        <v>14506</v>
      </c>
      <c r="G22101" t="s">
        <v>18435</v>
      </c>
      <c r="H22101" t="s">
        <v>39469</v>
      </c>
    </row>
    <row r="22102" spans="1:8">
      <c r="A22102" t="s">
        <v>4802</v>
      </c>
      <c r="B22102">
        <f>HYPERLINK("https://android.googlesource.com/platform/cts/+/25e472e906c6387fd0be74273e418c594010ddf4", "25e472e906c6387fd0be74273e418c594010ddf4")</f>
        <v>0</v>
      </c>
      <c r="C22102">
        <f>HYPERLINK("https://android.googlesource.com/platform/cts/+/41095a79333dc8bc163b8ade2289fc913396b9a1", "41095a79333dc8bc163b8ade2289fc913396b9a1")</f>
        <v>0</v>
      </c>
      <c r="D22102" t="s">
        <v>5773</v>
      </c>
      <c r="E22102" t="s">
        <v>10459</v>
      </c>
      <c r="F22102" t="s">
        <v>13495</v>
      </c>
      <c r="G22102" t="s">
        <v>17158</v>
      </c>
      <c r="H22102" t="s">
        <v>39471</v>
      </c>
    </row>
    <row r="22103" spans="1:8">
      <c r="A22103" t="s">
        <v>4803</v>
      </c>
      <c r="B22103">
        <f>HYPERLINK("https://android.googlesource.com/platform/cts/+/fe4217b822b3241017cb212273080e23c8f24783", "fe4217b822b3241017cb212273080e23c8f24783")</f>
        <v>0</v>
      </c>
      <c r="C22103">
        <f>HYPERLINK("https://android.googlesource.com/platform/cts/+/e2523757f289f625f21eeb58df03eb8e1eacb3fe", "e2523757f289f625f21eeb58df03eb8e1eacb3fe")</f>
        <v>0</v>
      </c>
      <c r="D22103" t="s">
        <v>5774</v>
      </c>
      <c r="E22103" t="s">
        <v>10460</v>
      </c>
      <c r="F22103" t="s">
        <v>14582</v>
      </c>
      <c r="G22103" t="s">
        <v>18501</v>
      </c>
      <c r="H22103" t="s">
        <v>39473</v>
      </c>
    </row>
    <row r="22104" spans="1:8">
      <c r="A22104" t="s">
        <v>4805</v>
      </c>
      <c r="B22104">
        <f>HYPERLINK("https://android.googlesource.com/platform/cts/+/c545b1462bdfc584123c922ae3e5a78eb0196e2a", "c545b1462bdfc584123c922ae3e5a78eb0196e2a")</f>
        <v>0</v>
      </c>
      <c r="C22104">
        <f>HYPERLINK("https://android.googlesource.com/platform/cts/+/5367028c3aa5fa31daf892dac161cdbaae3883cf", "5367028c3aa5fa31daf892dac161cdbaae3883cf")</f>
        <v>0</v>
      </c>
      <c r="D22104" t="s">
        <v>5508</v>
      </c>
      <c r="E22104" t="s">
        <v>10462</v>
      </c>
      <c r="F22104" t="s">
        <v>14483</v>
      </c>
      <c r="G22104" t="s">
        <v>18415</v>
      </c>
      <c r="H22104" t="s">
        <v>39475</v>
      </c>
    </row>
    <row r="22105" spans="1:8">
      <c r="A22105" t="s">
        <v>4806</v>
      </c>
      <c r="B22105">
        <f>HYPERLINK("https://android.googlesource.com/platform/cts/+/f28ef499cb253b5d8dc8ad19a65429dfb77ab9e2", "f28ef499cb253b5d8dc8ad19a65429dfb77ab9e2")</f>
        <v>0</v>
      </c>
      <c r="C22105">
        <f>HYPERLINK("https://android.googlesource.com/platform/cts/+/285a633164ca873d857c87f7e87f8831428bd50a", "285a633164ca873d857c87f7e87f8831428bd50a")</f>
        <v>0</v>
      </c>
      <c r="D22105" t="s">
        <v>5290</v>
      </c>
      <c r="E22105" t="s">
        <v>10463</v>
      </c>
      <c r="F22105" t="s">
        <v>13236</v>
      </c>
      <c r="G22105" t="s">
        <v>17375</v>
      </c>
      <c r="H22105" t="s">
        <v>39476</v>
      </c>
    </row>
    <row r="22106" spans="1:8">
      <c r="A22106" t="s">
        <v>4807</v>
      </c>
      <c r="B22106">
        <f>HYPERLINK("https://android.googlesource.com/platform/cts/+/ff0ea53ffb5594d6ac35ed3c2a21c7c1c8549464", "ff0ea53ffb5594d6ac35ed3c2a21c7c1c8549464")</f>
        <v>0</v>
      </c>
      <c r="C22106">
        <f>HYPERLINK("https://android.googlesource.com/platform/cts/+/898083518b58493227278eab2a9b035c9fcff62f", "898083518b58493227278eab2a9b035c9fcff62f")</f>
        <v>0</v>
      </c>
      <c r="D22106" t="s">
        <v>5776</v>
      </c>
      <c r="E22106" t="s">
        <v>10464</v>
      </c>
      <c r="F22106" t="s">
        <v>14200</v>
      </c>
      <c r="G22106" t="s">
        <v>18179</v>
      </c>
      <c r="H22106" t="s">
        <v>39477</v>
      </c>
    </row>
    <row r="22107" spans="1:8">
      <c r="H22107" t="s">
        <v>39478</v>
      </c>
    </row>
    <row r="22108" spans="1:8">
      <c r="H22108" t="s">
        <v>39479</v>
      </c>
    </row>
    <row r="22109" spans="1:8">
      <c r="A22109" t="s">
        <v>4808</v>
      </c>
      <c r="B22109">
        <f>HYPERLINK("https://android.googlesource.com/platform/cts/+/6740e3ed7234d0a2723aaa350fd3f2413b564b0b", "6740e3ed7234d0a2723aaa350fd3f2413b564b0b")</f>
        <v>0</v>
      </c>
      <c r="C22109">
        <f>HYPERLINK("https://android.googlesource.com/platform/cts/+/b167775c551d0bd06452c5362d576a5e223312b5", "b167775c551d0bd06452c5362d576a5e223312b5")</f>
        <v>0</v>
      </c>
      <c r="D22109" t="s">
        <v>5777</v>
      </c>
      <c r="E22109" t="s">
        <v>10465</v>
      </c>
      <c r="F22109" t="s">
        <v>13738</v>
      </c>
      <c r="G22109" t="s">
        <v>17798</v>
      </c>
      <c r="H22109" t="s">
        <v>39480</v>
      </c>
    </row>
    <row r="22110" spans="1:8">
      <c r="H22110" t="s">
        <v>39481</v>
      </c>
    </row>
    <row r="22111" spans="1:8">
      <c r="H22111" t="s">
        <v>39482</v>
      </c>
    </row>
    <row r="22112" spans="1:8">
      <c r="H22112" t="s">
        <v>39483</v>
      </c>
    </row>
    <row r="22113" spans="8:8">
      <c r="H22113" t="s">
        <v>39484</v>
      </c>
    </row>
    <row r="22114" spans="8:8">
      <c r="H22114" t="s">
        <v>39485</v>
      </c>
    </row>
    <row r="22115" spans="8:8">
      <c r="H22115" t="s">
        <v>39486</v>
      </c>
    </row>
    <row r="22116" spans="8:8">
      <c r="H22116" t="s">
        <v>39487</v>
      </c>
    </row>
    <row r="22117" spans="8:8">
      <c r="H22117" t="s">
        <v>39488</v>
      </c>
    </row>
    <row r="22118" spans="8:8">
      <c r="H22118" t="s">
        <v>39489</v>
      </c>
    </row>
    <row r="22119" spans="8:8">
      <c r="H22119" t="s">
        <v>39490</v>
      </c>
    </row>
    <row r="22120" spans="8:8">
      <c r="H22120" t="s">
        <v>39491</v>
      </c>
    </row>
    <row r="22121" spans="8:8">
      <c r="H22121" t="s">
        <v>39492</v>
      </c>
    </row>
    <row r="22122" spans="8:8">
      <c r="H22122" t="s">
        <v>39493</v>
      </c>
    </row>
    <row r="22123" spans="8:8">
      <c r="H22123" t="s">
        <v>39494</v>
      </c>
    </row>
    <row r="22124" spans="8:8">
      <c r="H22124" t="s">
        <v>39495</v>
      </c>
    </row>
    <row r="22125" spans="8:8">
      <c r="H22125" t="s">
        <v>39496</v>
      </c>
    </row>
    <row r="22126" spans="8:8">
      <c r="H22126" t="s">
        <v>39497</v>
      </c>
    </row>
    <row r="22127" spans="8:8">
      <c r="H22127" t="s">
        <v>39498</v>
      </c>
    </row>
    <row r="22128" spans="8:8">
      <c r="H22128" t="s">
        <v>39499</v>
      </c>
    </row>
    <row r="22129" spans="1:8">
      <c r="H22129" t="s">
        <v>39500</v>
      </c>
    </row>
    <row r="22130" spans="1:8">
      <c r="H22130" t="s">
        <v>39501</v>
      </c>
    </row>
    <row r="22131" spans="1:8">
      <c r="H22131" t="s">
        <v>39502</v>
      </c>
    </row>
    <row r="22132" spans="1:8">
      <c r="H22132" t="s">
        <v>39503</v>
      </c>
    </row>
    <row r="22133" spans="1:8">
      <c r="A22133" t="s">
        <v>4813</v>
      </c>
      <c r="B22133">
        <f>HYPERLINK("https://android.googlesource.com/platform/cts/+/2dc3ff45a5693fe0be99373289cdd7a4dda6734a", "2dc3ff45a5693fe0be99373289cdd7a4dda6734a")</f>
        <v>0</v>
      </c>
      <c r="C22133">
        <f>HYPERLINK("https://android.googlesource.com/platform/cts/+/64a586efd95fdefbc17ab9b48976b9705f177563", "64a586efd95fdefbc17ab9b48976b9705f177563")</f>
        <v>0</v>
      </c>
      <c r="D22133" t="s">
        <v>5728</v>
      </c>
      <c r="E22133" t="s">
        <v>10470</v>
      </c>
      <c r="F22133" t="s">
        <v>14901</v>
      </c>
      <c r="G22133" t="s">
        <v>15174</v>
      </c>
      <c r="H22133" t="s">
        <v>32012</v>
      </c>
    </row>
    <row r="22134" spans="1:8">
      <c r="A22134" t="s">
        <v>4814</v>
      </c>
      <c r="B22134">
        <f>HYPERLINK("https://android.googlesource.com/platform/cts/+/a7a959f780cfad1a516ae4e586eb65545d873c09", "a7a959f780cfad1a516ae4e586eb65545d873c09")</f>
        <v>0</v>
      </c>
      <c r="C22134">
        <f>HYPERLINK("https://android.googlesource.com/platform/cts/+/0af934d8b036620e2df481bf181fcb3228f6d1d9", "0af934d8b036620e2df481bf181fcb3228f6d1d9")</f>
        <v>0</v>
      </c>
      <c r="D22134" t="s">
        <v>5766</v>
      </c>
      <c r="E22134" t="s">
        <v>10471</v>
      </c>
      <c r="F22134" t="s">
        <v>14902</v>
      </c>
      <c r="G22134" t="s">
        <v>18549</v>
      </c>
      <c r="H22134" t="s">
        <v>39538</v>
      </c>
    </row>
    <row r="22135" spans="1:8">
      <c r="A22135" t="s">
        <v>4816</v>
      </c>
      <c r="B22135">
        <f>HYPERLINK("https://android.googlesource.com/platform/cts/+/941802f090caaed5f8e133ba5592c472a36262b5", "941802f090caaed5f8e133ba5592c472a36262b5")</f>
        <v>0</v>
      </c>
      <c r="C22135">
        <f>HYPERLINK("https://android.googlesource.com/platform/cts/+/509570b209623133796ee7818110816a95895d31", "509570b209623133796ee7818110816a95895d31")</f>
        <v>0</v>
      </c>
      <c r="D22135" t="s">
        <v>5778</v>
      </c>
      <c r="E22135" t="s">
        <v>10473</v>
      </c>
      <c r="F22135" t="s">
        <v>12618</v>
      </c>
      <c r="G22135" t="s">
        <v>16828</v>
      </c>
      <c r="H22135" t="s">
        <v>39539</v>
      </c>
    </row>
    <row r="22136" spans="1:8">
      <c r="A22136" t="s">
        <v>4817</v>
      </c>
      <c r="B22136">
        <f>HYPERLINK("https://android.googlesource.com/platform/cts/+/17c590b92beacd1b50fbe8d571e003003c819c52", "17c590b92beacd1b50fbe8d571e003003c819c52")</f>
        <v>0</v>
      </c>
      <c r="C22136">
        <f>HYPERLINK("https://android.googlesource.com/platform/cts/+/37452f5883d928446f949121374200820eb9e73d", "37452f5883d928446f949121374200820eb9e73d")</f>
        <v>0</v>
      </c>
      <c r="D22136" t="s">
        <v>5368</v>
      </c>
      <c r="E22136" t="s">
        <v>10474</v>
      </c>
      <c r="F22136" t="s">
        <v>14903</v>
      </c>
      <c r="G22136" t="s">
        <v>18743</v>
      </c>
      <c r="H22136" t="s">
        <v>39540</v>
      </c>
    </row>
    <row r="22137" spans="1:8">
      <c r="A22137" t="s">
        <v>4820</v>
      </c>
      <c r="B22137">
        <f>HYPERLINK("https://android.googlesource.com/platform/cts/+/f0ba81a3e629921a2286c25f35c3efa3124f762c", "f0ba81a3e629921a2286c25f35c3efa3124f762c")</f>
        <v>0</v>
      </c>
      <c r="C22137">
        <f>HYPERLINK("https://android.googlesource.com/platform/cts/+/45f8bdf33f822d71cd8f803ff753eb2de191a72f", "45f8bdf33f822d71cd8f803ff753eb2de191a72f")</f>
        <v>0</v>
      </c>
      <c r="D22137" t="s">
        <v>5564</v>
      </c>
      <c r="E22137" t="s">
        <v>10477</v>
      </c>
      <c r="F22137" t="s">
        <v>14892</v>
      </c>
      <c r="G22137" t="s">
        <v>16415</v>
      </c>
      <c r="H22137" t="s">
        <v>39541</v>
      </c>
    </row>
    <row r="22138" spans="1:8">
      <c r="H22138" t="s">
        <v>39542</v>
      </c>
    </row>
    <row r="22139" spans="1:8">
      <c r="H22139" t="s">
        <v>39543</v>
      </c>
    </row>
    <row r="22140" spans="1:8">
      <c r="H22140" t="s">
        <v>39544</v>
      </c>
    </row>
    <row r="22141" spans="1:8">
      <c r="H22141" t="s">
        <v>39545</v>
      </c>
    </row>
    <row r="22142" spans="1:8">
      <c r="H22142" t="s">
        <v>39551</v>
      </c>
    </row>
    <row r="22143" spans="1:8">
      <c r="H22143" t="s">
        <v>39552</v>
      </c>
    </row>
    <row r="22144" spans="1:8">
      <c r="H22144" t="s">
        <v>39553</v>
      </c>
    </row>
    <row r="22145" spans="1:8">
      <c r="H22145" t="s">
        <v>39554</v>
      </c>
    </row>
    <row r="22146" spans="1:8">
      <c r="H22146" t="s">
        <v>39555</v>
      </c>
    </row>
    <row r="22147" spans="1:8">
      <c r="A22147" t="s">
        <v>4823</v>
      </c>
      <c r="B22147">
        <f>HYPERLINK("https://android.googlesource.com/platform/cts/+/58d8c869e84e9164e83641c6b167a3de5ca71282", "58d8c869e84e9164e83641c6b167a3de5ca71282")</f>
        <v>0</v>
      </c>
      <c r="C22147">
        <f>HYPERLINK("https://android.googlesource.com/platform/cts/+/b9ecc2bd51054fd7ae105340fb54ce6ff014b4dc", "b9ecc2bd51054fd7ae105340fb54ce6ff014b4dc")</f>
        <v>0</v>
      </c>
      <c r="D22147" t="s">
        <v>5027</v>
      </c>
      <c r="E22147" t="s">
        <v>10480</v>
      </c>
      <c r="F22147" t="s">
        <v>14825</v>
      </c>
      <c r="G22147" t="s">
        <v>18687</v>
      </c>
      <c r="H22147" t="s">
        <v>39442</v>
      </c>
    </row>
    <row r="22148" spans="1:8">
      <c r="H22148" t="s">
        <v>39443</v>
      </c>
    </row>
    <row r="22149" spans="1:8">
      <c r="H22149" t="s">
        <v>39444</v>
      </c>
    </row>
    <row r="22150" spans="1:8">
      <c r="H22150" t="s">
        <v>39445</v>
      </c>
    </row>
    <row r="22151" spans="1:8">
      <c r="H22151" t="s">
        <v>39446</v>
      </c>
    </row>
    <row r="22152" spans="1:8">
      <c r="H22152" t="s">
        <v>39447</v>
      </c>
    </row>
    <row r="22153" spans="1:8">
      <c r="H22153" t="s">
        <v>26401</v>
      </c>
    </row>
    <row r="22154" spans="1:8">
      <c r="H22154" t="s">
        <v>39448</v>
      </c>
    </row>
    <row r="22155" spans="1:8">
      <c r="A22155" t="s">
        <v>4825</v>
      </c>
      <c r="B22155">
        <f>HYPERLINK("https://android.googlesource.com/platform/cts/+/06c709dddef8f5d21eff0a83117ab04a4be93aa0", "06c709dddef8f5d21eff0a83117ab04a4be93aa0")</f>
        <v>0</v>
      </c>
      <c r="C22155">
        <f>HYPERLINK("https://android.googlesource.com/platform/cts/+/83cc2c57e618247d676f1922a859888cadb2fcf5", "83cc2c57e618247d676f1922a859888cadb2fcf5")</f>
        <v>0</v>
      </c>
      <c r="D22155" t="s">
        <v>5753</v>
      </c>
      <c r="E22155" t="s">
        <v>10482</v>
      </c>
      <c r="F22155" t="s">
        <v>14892</v>
      </c>
      <c r="G22155" t="s">
        <v>16415</v>
      </c>
      <c r="H22155" t="s">
        <v>39559</v>
      </c>
    </row>
    <row r="22156" spans="1:8">
      <c r="H22156" t="s">
        <v>39560</v>
      </c>
    </row>
    <row r="22157" spans="1:8">
      <c r="H22157" t="s">
        <v>39561</v>
      </c>
    </row>
    <row r="22158" spans="1:8">
      <c r="H22158" t="s">
        <v>39563</v>
      </c>
    </row>
    <row r="22159" spans="1:8">
      <c r="H22159" t="s">
        <v>39564</v>
      </c>
    </row>
    <row r="22160" spans="1:8">
      <c r="H22160" t="s">
        <v>39565</v>
      </c>
    </row>
    <row r="22161" spans="1:8">
      <c r="H22161" t="s">
        <v>37259</v>
      </c>
    </row>
    <row r="22162" spans="1:8">
      <c r="H22162" t="s">
        <v>37260</v>
      </c>
    </row>
    <row r="22163" spans="1:8">
      <c r="H22163" t="s">
        <v>37261</v>
      </c>
    </row>
    <row r="22164" spans="1:8">
      <c r="A22164" t="s">
        <v>4826</v>
      </c>
      <c r="B22164">
        <f>HYPERLINK("https://android.googlesource.com/platform/cts/+/bb16c6856ab5b87c1292c01b70fffc158c515b72", "bb16c6856ab5b87c1292c01b70fffc158c515b72")</f>
        <v>0</v>
      </c>
      <c r="C22164">
        <f>HYPERLINK("https://android.googlesource.com/platform/cts/+/b9e4899889af5e08aba23c06506a5d14ef73c816", "b9e4899889af5e08aba23c06506a5d14ef73c816")</f>
        <v>0</v>
      </c>
      <c r="D22164" t="s">
        <v>5779</v>
      </c>
      <c r="E22164" t="s">
        <v>10483</v>
      </c>
      <c r="F22164" t="s">
        <v>14904</v>
      </c>
      <c r="G22164" t="s">
        <v>18744</v>
      </c>
      <c r="H22164" t="s">
        <v>39567</v>
      </c>
    </row>
    <row r="22165" spans="1:8">
      <c r="A22165" t="s">
        <v>4830</v>
      </c>
      <c r="B22165">
        <f>HYPERLINK("https://android.googlesource.com/platform/cts/+/1b5565481792cec88afc0cc62b9e042b1b533ec3", "1b5565481792cec88afc0cc62b9e042b1b533ec3")</f>
        <v>0</v>
      </c>
      <c r="C22165">
        <f>HYPERLINK("https://android.googlesource.com/platform/cts/+/f0ba81a3e629921a2286c25f35c3efa3124f762c", "f0ba81a3e629921a2286c25f35c3efa3124f762c")</f>
        <v>0</v>
      </c>
      <c r="D22165" t="s">
        <v>5564</v>
      </c>
      <c r="E22165" t="s">
        <v>10487</v>
      </c>
      <c r="F22165" t="s">
        <v>14905</v>
      </c>
      <c r="G22165" t="s">
        <v>18745</v>
      </c>
      <c r="H22165" t="s">
        <v>39541</v>
      </c>
    </row>
    <row r="22166" spans="1:8">
      <c r="H22166" t="s">
        <v>39542</v>
      </c>
    </row>
    <row r="22167" spans="1:8">
      <c r="H22167" t="s">
        <v>39543</v>
      </c>
    </row>
    <row r="22168" spans="1:8">
      <c r="H22168" t="s">
        <v>39544</v>
      </c>
    </row>
    <row r="22169" spans="1:8">
      <c r="H22169" t="s">
        <v>39545</v>
      </c>
    </row>
    <row r="22170" spans="1:8">
      <c r="H22170" t="s">
        <v>39551</v>
      </c>
    </row>
    <row r="22171" spans="1:8">
      <c r="H22171" t="s">
        <v>39552</v>
      </c>
    </row>
    <row r="22172" spans="1:8">
      <c r="H22172" t="s">
        <v>39553</v>
      </c>
    </row>
    <row r="22173" spans="1:8">
      <c r="H22173" t="s">
        <v>39554</v>
      </c>
    </row>
    <row r="22174" spans="1:8">
      <c r="H22174" t="s">
        <v>39555</v>
      </c>
    </row>
    <row r="22175" spans="1:8">
      <c r="A22175" t="s">
        <v>4831</v>
      </c>
      <c r="B22175">
        <f>HYPERLINK("https://android.googlesource.com/platform/cts/+/21df2b7e1a5b338dc0de421a09cd6c462ad76ac5", "21df2b7e1a5b338dc0de421a09cd6c462ad76ac5")</f>
        <v>0</v>
      </c>
      <c r="C22175">
        <f>HYPERLINK("https://android.googlesource.com/platform/cts/+/c8a8d5e01103bcdd2e675a02c5b2c56644bfbc85", "c8a8d5e01103bcdd2e675a02c5b2c56644bfbc85")</f>
        <v>0</v>
      </c>
      <c r="D22175" t="s">
        <v>5564</v>
      </c>
      <c r="E22175" t="s">
        <v>10488</v>
      </c>
      <c r="F22175" t="s">
        <v>14906</v>
      </c>
      <c r="G22175" t="s">
        <v>18746</v>
      </c>
      <c r="H22175" t="s">
        <v>39571</v>
      </c>
    </row>
    <row r="22176" spans="1:8">
      <c r="F22176" t="s">
        <v>14907</v>
      </c>
      <c r="G22176" t="s">
        <v>18747</v>
      </c>
      <c r="H22176" t="s">
        <v>39571</v>
      </c>
    </row>
    <row r="22177" spans="1:8">
      <c r="A22177" t="s">
        <v>4833</v>
      </c>
      <c r="B22177">
        <f>HYPERLINK("https://android.googlesource.com/platform/cts/+/ab9c6ce3df5f7aa4865f6f6835ff2a32a36d734f", "ab9c6ce3df5f7aa4865f6f6835ff2a32a36d734f")</f>
        <v>0</v>
      </c>
      <c r="C22177">
        <f>HYPERLINK("https://android.googlesource.com/platform/cts/+/03a52d7ec45303cc44889a6bd3201ae0b34c6b79", "03a52d7ec45303cc44889a6bd3201ae0b34c6b79")</f>
        <v>0</v>
      </c>
      <c r="D22177" t="s">
        <v>5781</v>
      </c>
      <c r="E22177" t="s">
        <v>10490</v>
      </c>
      <c r="F22177" t="s">
        <v>14909</v>
      </c>
      <c r="G22177" t="s">
        <v>18748</v>
      </c>
      <c r="H22177" t="s">
        <v>39580</v>
      </c>
    </row>
    <row r="22178" spans="1:8">
      <c r="H22178" t="s">
        <v>39581</v>
      </c>
    </row>
    <row r="22179" spans="1:8">
      <c r="A22179" t="s">
        <v>4834</v>
      </c>
      <c r="B22179">
        <f>HYPERLINK("https://android.googlesource.com/platform/cts/+/f6b05034a5f778987a624189914d620e28556860", "f6b05034a5f778987a624189914d620e28556860")</f>
        <v>0</v>
      </c>
      <c r="C22179">
        <f>HYPERLINK("https://android.googlesource.com/platform/cts/+/4f7cfc2ed41ef5085e139faef60633485513d0f7", "4f7cfc2ed41ef5085e139faef60633485513d0f7")</f>
        <v>0</v>
      </c>
      <c r="D22179" t="s">
        <v>5134</v>
      </c>
      <c r="E22179" t="s">
        <v>10491</v>
      </c>
      <c r="F22179" t="s">
        <v>14910</v>
      </c>
      <c r="G22179" t="s">
        <v>18749</v>
      </c>
      <c r="H22179" t="s">
        <v>39582</v>
      </c>
    </row>
    <row r="22180" spans="1:8">
      <c r="A22180" t="s">
        <v>4836</v>
      </c>
      <c r="B22180">
        <f>HYPERLINK("https://android.googlesource.com/platform/cts/+/4fabed17e8be6fc8f3adc9a7083b78bffe6a2e82", "4fabed17e8be6fc8f3adc9a7083b78bffe6a2e82")</f>
        <v>0</v>
      </c>
      <c r="C22180">
        <f>HYPERLINK("https://android.googlesource.com/platform/cts/+/8847958b108d4214deeb9500ee2985edf52acd9d", "8847958b108d4214deeb9500ee2985edf52acd9d")</f>
        <v>0</v>
      </c>
      <c r="D22180" t="s">
        <v>5134</v>
      </c>
      <c r="E22180" t="s">
        <v>10493</v>
      </c>
      <c r="F22180" t="s">
        <v>14910</v>
      </c>
      <c r="G22180" t="s">
        <v>18750</v>
      </c>
      <c r="H22180" t="s">
        <v>39583</v>
      </c>
    </row>
    <row r="22181" spans="1:8">
      <c r="F22181" t="s">
        <v>14911</v>
      </c>
      <c r="G22181" t="s">
        <v>18751</v>
      </c>
      <c r="H22181" t="s">
        <v>39583</v>
      </c>
    </row>
    <row r="22182" spans="1:8">
      <c r="A22182" t="s">
        <v>4842</v>
      </c>
      <c r="B22182">
        <f>HYPERLINK("https://android.googlesource.com/platform/cts/+/a1cf3404195b29470b42871775f7bcec15f035ff", "a1cf3404195b29470b42871775f7bcec15f035ff")</f>
        <v>0</v>
      </c>
      <c r="C22182">
        <f>HYPERLINK("https://android.googlesource.com/platform/cts/+/6b36abe11733cf295687b5f13ae0cef90fd46d66", "6b36abe11733cf295687b5f13ae0cef90fd46d66")</f>
        <v>0</v>
      </c>
      <c r="D22182" t="s">
        <v>5706</v>
      </c>
      <c r="E22182" t="s">
        <v>10499</v>
      </c>
      <c r="F22182" t="s">
        <v>14913</v>
      </c>
      <c r="G22182" t="s">
        <v>18752</v>
      </c>
      <c r="H22182" t="s">
        <v>39591</v>
      </c>
    </row>
    <row r="22183" spans="1:8">
      <c r="A22183" t="s">
        <v>4844</v>
      </c>
      <c r="B22183">
        <f>HYPERLINK("https://android.googlesource.com/platform/cts/+/2b0be2ff69b93ec81830a17733cd2cf25aea7468", "2b0be2ff69b93ec81830a17733cd2cf25aea7468")</f>
        <v>0</v>
      </c>
      <c r="C22183">
        <f>HYPERLINK("https://android.googlesource.com/platform/cts/+/ebe211e9a280b5594d7f7a292f8077aa580f2ceb", "ebe211e9a280b5594d7f7a292f8077aa580f2ceb")</f>
        <v>0</v>
      </c>
      <c r="D22183" t="s">
        <v>5784</v>
      </c>
      <c r="E22183" t="s">
        <v>10501</v>
      </c>
      <c r="F22183" t="s">
        <v>14379</v>
      </c>
      <c r="G22183" t="s">
        <v>18323</v>
      </c>
      <c r="H22183" t="s">
        <v>39593</v>
      </c>
    </row>
    <row r="22184" spans="1:8">
      <c r="A22184" t="s">
        <v>4849</v>
      </c>
      <c r="B22184">
        <f>HYPERLINK("https://android.googlesource.com/platform/cts/+/185d45a7784406393b1522c1231521b97eaf9ef6", "185d45a7784406393b1522c1231521b97eaf9ef6")</f>
        <v>0</v>
      </c>
      <c r="C22184">
        <f>HYPERLINK("https://android.googlesource.com/platform/cts/+/b46b1248d41e62f41f4206468ca0518ddae01af9", "b46b1248d41e62f41f4206468ca0518ddae01af9")</f>
        <v>0</v>
      </c>
      <c r="D22184" t="s">
        <v>5096</v>
      </c>
      <c r="E22184" t="s">
        <v>10506</v>
      </c>
      <c r="F22184" t="s">
        <v>14695</v>
      </c>
      <c r="G22184" t="s">
        <v>18585</v>
      </c>
      <c r="H22184" t="s">
        <v>39596</v>
      </c>
    </row>
    <row r="22185" spans="1:8">
      <c r="H22185" t="s">
        <v>39597</v>
      </c>
    </row>
    <row r="22186" spans="1:8">
      <c r="H22186" t="s">
        <v>39598</v>
      </c>
    </row>
    <row r="22187" spans="1:8">
      <c r="H22187" t="s">
        <v>39599</v>
      </c>
    </row>
    <row r="22188" spans="1:8">
      <c r="H22188" t="s">
        <v>39600</v>
      </c>
    </row>
    <row r="22189" spans="1:8">
      <c r="H22189" t="s">
        <v>39601</v>
      </c>
    </row>
    <row r="22190" spans="1:8">
      <c r="H22190" t="s">
        <v>39602</v>
      </c>
    </row>
    <row r="22191" spans="1:8">
      <c r="H22191" t="s">
        <v>39603</v>
      </c>
    </row>
    <row r="22192" spans="1:8">
      <c r="H22192" t="s">
        <v>39604</v>
      </c>
    </row>
    <row r="22193" spans="1:8">
      <c r="H22193" t="s">
        <v>39605</v>
      </c>
    </row>
    <row r="22194" spans="1:8">
      <c r="H22194" t="s">
        <v>39606</v>
      </c>
    </row>
    <row r="22195" spans="1:8">
      <c r="H22195" t="s">
        <v>39607</v>
      </c>
    </row>
    <row r="22196" spans="1:8">
      <c r="H22196" t="s">
        <v>39608</v>
      </c>
    </row>
    <row r="22197" spans="1:8">
      <c r="H22197" t="s">
        <v>39609</v>
      </c>
    </row>
    <row r="22198" spans="1:8">
      <c r="H22198" t="s">
        <v>39610</v>
      </c>
    </row>
    <row r="22199" spans="1:8">
      <c r="F22199" t="s">
        <v>14915</v>
      </c>
      <c r="G22199" t="s">
        <v>18754</v>
      </c>
      <c r="H22199" t="s">
        <v>26807</v>
      </c>
    </row>
    <row r="22200" spans="1:8">
      <c r="H22200" t="s">
        <v>35050</v>
      </c>
    </row>
    <row r="22201" spans="1:8">
      <c r="A22201" t="s">
        <v>4851</v>
      </c>
      <c r="B22201">
        <f>HYPERLINK("https://android.googlesource.com/platform/cts/+/752cb7b2874195c9997eab3cb6797b2664a7073b", "752cb7b2874195c9997eab3cb6797b2664a7073b")</f>
        <v>0</v>
      </c>
      <c r="C22201">
        <f>HYPERLINK("https://android.googlesource.com/platform/cts/+/e9b482e3505c00147ce6ac53ce8fdc196c53d91b", "e9b482e3505c00147ce6ac53ce8fdc196c53d91b")</f>
        <v>0</v>
      </c>
      <c r="D22201" t="s">
        <v>5781</v>
      </c>
      <c r="E22201" t="s">
        <v>10508</v>
      </c>
      <c r="F22201" t="s">
        <v>14909</v>
      </c>
      <c r="G22201" t="s">
        <v>18748</v>
      </c>
      <c r="H22201" t="s">
        <v>39580</v>
      </c>
    </row>
    <row r="22202" spans="1:8">
      <c r="A22202" t="s">
        <v>4852</v>
      </c>
      <c r="B22202">
        <f>HYPERLINK("https://android.googlesource.com/platform/cts/+/eadd9425a182a586dfba43c7600c54134bf1e1f7", "eadd9425a182a586dfba43c7600c54134bf1e1f7")</f>
        <v>0</v>
      </c>
      <c r="C22202">
        <f>HYPERLINK("https://android.googlesource.com/platform/cts/+/591bf009797df5b28efd75a3b9dd5b71b19787fc", "591bf009797df5b28efd75a3b9dd5b71b19787fc")</f>
        <v>0</v>
      </c>
      <c r="D22202" t="s">
        <v>5454</v>
      </c>
      <c r="E22202" t="s">
        <v>10509</v>
      </c>
      <c r="F22202" t="s">
        <v>14261</v>
      </c>
      <c r="G22202" t="s">
        <v>18228</v>
      </c>
      <c r="H22202" t="s">
        <v>39624</v>
      </c>
    </row>
    <row r="22203" spans="1:8">
      <c r="A22203" t="s">
        <v>4856</v>
      </c>
      <c r="B22203">
        <f>HYPERLINK("https://android.googlesource.com/platform/cts/+/669de2ae2dfe1074c6fd3671e44c08c79d738654", "669de2ae2dfe1074c6fd3671e44c08c79d738654")</f>
        <v>0</v>
      </c>
      <c r="C22203">
        <f>HYPERLINK("https://android.googlesource.com/platform/cts/+/447c90745ab1d00a388e7179d1f7520159219a38", "447c90745ab1d00a388e7179d1f7520159219a38")</f>
        <v>0</v>
      </c>
      <c r="D22203" t="s">
        <v>5737</v>
      </c>
      <c r="E22203" t="s">
        <v>10512</v>
      </c>
      <c r="F22203" t="s">
        <v>14828</v>
      </c>
      <c r="G22203" t="s">
        <v>18690</v>
      </c>
      <c r="H22203" t="s">
        <v>39625</v>
      </c>
    </row>
    <row r="22204" spans="1:8">
      <c r="H22204" t="s">
        <v>39626</v>
      </c>
    </row>
    <row r="22205" spans="1:8">
      <c r="H22205" t="s">
        <v>39627</v>
      </c>
    </row>
    <row r="22206" spans="1:8">
      <c r="A22206" t="s">
        <v>4857</v>
      </c>
      <c r="B22206">
        <f>HYPERLINK("https://android.googlesource.com/platform/cts/+/aa24dbbc34a6303309633d26cbdd8a4c15cda538", "aa24dbbc34a6303309633d26cbdd8a4c15cda538")</f>
        <v>0</v>
      </c>
      <c r="C22206">
        <f>HYPERLINK("https://android.googlesource.com/platform/cts/+/dae05fd867e0b5f82a1d514a89f34ef1a6ca9f25", "dae05fd867e0b5f82a1d514a89f34ef1a6ca9f25")</f>
        <v>0</v>
      </c>
      <c r="D22206" t="s">
        <v>5754</v>
      </c>
      <c r="E22206" t="s">
        <v>10513</v>
      </c>
      <c r="F22206" t="s">
        <v>14829</v>
      </c>
      <c r="G22206" t="s">
        <v>18691</v>
      </c>
      <c r="H22206" t="s">
        <v>39628</v>
      </c>
    </row>
    <row r="22207" spans="1:8">
      <c r="A22207" t="s">
        <v>4861</v>
      </c>
      <c r="B22207">
        <f>HYPERLINK("https://android.googlesource.com/platform/cts/+/ffffeb23be8f113263650fcffed6d30e163ef122", "ffffeb23be8f113263650fcffed6d30e163ef122")</f>
        <v>0</v>
      </c>
      <c r="C22207">
        <f>HYPERLINK("https://android.googlesource.com/platform/cts/+/af39c40ee5199c1eeb3dd94fcdb727d4ce2fcf45", "af39c40ee5199c1eeb3dd94fcdb727d4ce2fcf45")</f>
        <v>0</v>
      </c>
      <c r="D22207" t="s">
        <v>5787</v>
      </c>
      <c r="E22207" t="s">
        <v>10517</v>
      </c>
      <c r="F22207" t="s">
        <v>14917</v>
      </c>
      <c r="G22207" t="s">
        <v>17433</v>
      </c>
      <c r="H22207" t="s">
        <v>39631</v>
      </c>
    </row>
    <row r="22208" spans="1:8">
      <c r="A22208" t="s">
        <v>4863</v>
      </c>
      <c r="B22208">
        <f>HYPERLINK("https://android.googlesource.com/platform/cts/+/553f235d852e023722ea87ded7667bfb662ff1d0", "553f235d852e023722ea87ded7667bfb662ff1d0")</f>
        <v>0</v>
      </c>
      <c r="C22208">
        <f>HYPERLINK("https://android.googlesource.com/platform/cts/+/beb3bb71fbab2fcce5c61a59bf191e88afe9434f", "beb3bb71fbab2fcce5c61a59bf191e88afe9434f")</f>
        <v>0</v>
      </c>
      <c r="D22208" t="s">
        <v>5788</v>
      </c>
      <c r="E22208" t="s">
        <v>10519</v>
      </c>
      <c r="F22208" t="s">
        <v>14918</v>
      </c>
      <c r="G22208" t="s">
        <v>18756</v>
      </c>
      <c r="H22208" t="s">
        <v>39634</v>
      </c>
    </row>
    <row r="22209" spans="1:8">
      <c r="A22209" t="s">
        <v>4864</v>
      </c>
      <c r="B22209">
        <f>HYPERLINK("https://android.googlesource.com/platform/cts/+/63d186ca77805675f77c1dfe9c962b16a8aa48f7", "63d186ca77805675f77c1dfe9c962b16a8aa48f7")</f>
        <v>0</v>
      </c>
      <c r="C22209">
        <f>HYPERLINK("https://android.googlesource.com/platform/cts/+/cd258637b1be3230174e0a52044898ff7ab0aa1a", "cd258637b1be3230174e0a52044898ff7ab0aa1a")</f>
        <v>0</v>
      </c>
      <c r="D22209" t="s">
        <v>5584</v>
      </c>
      <c r="E22209" t="s">
        <v>10520</v>
      </c>
      <c r="F22209" t="s">
        <v>14758</v>
      </c>
      <c r="G22209" t="s">
        <v>18634</v>
      </c>
      <c r="H22209" t="s">
        <v>39635</v>
      </c>
    </row>
    <row r="22210" spans="1:8">
      <c r="A22210" t="s">
        <v>4865</v>
      </c>
      <c r="B22210">
        <f>HYPERLINK("https://android.googlesource.com/platform/cts/+/4a23b0199cb0f34499905f60461dc836d2a49cce", "4a23b0199cb0f34499905f60461dc836d2a49cce")</f>
        <v>0</v>
      </c>
      <c r="C22210">
        <f>HYPERLINK("https://android.googlesource.com/platform/cts/+/7146a3d61add08da111df4d408f399bcbbb4b1d2", "7146a3d61add08da111df4d408f399bcbbb4b1d2")</f>
        <v>0</v>
      </c>
      <c r="D22210" t="s">
        <v>5789</v>
      </c>
      <c r="E22210" t="s">
        <v>10521</v>
      </c>
      <c r="F22210" t="s">
        <v>14921</v>
      </c>
      <c r="G22210" t="s">
        <v>16935</v>
      </c>
      <c r="H22210" t="s">
        <v>30571</v>
      </c>
    </row>
    <row r="22211" spans="1:8">
      <c r="F22211" t="s">
        <v>14922</v>
      </c>
      <c r="G22211" t="s">
        <v>17370</v>
      </c>
      <c r="H22211" t="s">
        <v>30571</v>
      </c>
    </row>
    <row r="22212" spans="1:8">
      <c r="A22212" t="s">
        <v>4869</v>
      </c>
      <c r="B22212">
        <f>HYPERLINK("https://android.googlesource.com/platform/cts/+/2bdf737a3f697e394d5a5ee53c17180ac4d81ca5", "2bdf737a3f697e394d5a5ee53c17180ac4d81ca5")</f>
        <v>0</v>
      </c>
      <c r="C22212">
        <f>HYPERLINK("https://android.googlesource.com/platform/cts/+/12d861ce749ea2c78e7fbe3c9db756d04a1e0ae7", "12d861ce749ea2c78e7fbe3c9db756d04a1e0ae7")</f>
        <v>0</v>
      </c>
      <c r="D22212" t="s">
        <v>5635</v>
      </c>
      <c r="E22212" t="s">
        <v>10525</v>
      </c>
      <c r="F22212" t="s">
        <v>13990</v>
      </c>
      <c r="G22212" t="s">
        <v>18009</v>
      </c>
      <c r="H22212" t="s">
        <v>39668</v>
      </c>
    </row>
    <row r="22213" spans="1:8">
      <c r="H22213" t="s">
        <v>39669</v>
      </c>
    </row>
    <row r="22214" spans="1:8">
      <c r="A22214" t="s">
        <v>4872</v>
      </c>
      <c r="B22214">
        <f>HYPERLINK("https://android.googlesource.com/platform/cts/+/1975fdffb112c8e074f9cc2fa0cac6521d237f7f", "1975fdffb112c8e074f9cc2fa0cac6521d237f7f")</f>
        <v>0</v>
      </c>
      <c r="C22214">
        <f>HYPERLINK("https://android.googlesource.com/platform/cts/+/212b209bcbce8ab012d1734f283de74850a5ad9d", "212b209bcbce8ab012d1734f283de74850a5ad9d")</f>
        <v>0</v>
      </c>
      <c r="D22214" t="s">
        <v>5794</v>
      </c>
      <c r="E22214" t="s">
        <v>10528</v>
      </c>
      <c r="F22214" t="s">
        <v>14813</v>
      </c>
      <c r="G22214" t="s">
        <v>18677</v>
      </c>
      <c r="H22214" t="s">
        <v>39673</v>
      </c>
    </row>
    <row r="22215" spans="1:8">
      <c r="H22215" t="s">
        <v>39674</v>
      </c>
    </row>
    <row r="22216" spans="1:8">
      <c r="H22216" t="s">
        <v>39675</v>
      </c>
    </row>
    <row r="22217" spans="1:8">
      <c r="H22217" t="s">
        <v>39014</v>
      </c>
    </row>
    <row r="22218" spans="1:8">
      <c r="H22218" t="s">
        <v>39676</v>
      </c>
    </row>
    <row r="22219" spans="1:8">
      <c r="H22219" t="s">
        <v>39677</v>
      </c>
    </row>
    <row r="22220" spans="1:8">
      <c r="F22220" t="s">
        <v>14924</v>
      </c>
      <c r="G22220" t="s">
        <v>18758</v>
      </c>
      <c r="H22220" t="s">
        <v>39680</v>
      </c>
    </row>
    <row r="22221" spans="1:8">
      <c r="F22221" t="s">
        <v>14925</v>
      </c>
      <c r="G22221" t="s">
        <v>18759</v>
      </c>
      <c r="H22221" t="s">
        <v>39681</v>
      </c>
    </row>
    <row r="22222" spans="1:8">
      <c r="F22222" t="s">
        <v>14926</v>
      </c>
      <c r="G22222" t="s">
        <v>18760</v>
      </c>
      <c r="H22222" t="s">
        <v>39682</v>
      </c>
    </row>
    <row r="22223" spans="1:8">
      <c r="A22223" t="s">
        <v>4875</v>
      </c>
      <c r="B22223">
        <f>HYPERLINK("https://android.googlesource.com/platform/cts/+/73980fea0b7accb51cda5f5b72521ab9c9a02086", "73980fea0b7accb51cda5f5b72521ab9c9a02086")</f>
        <v>0</v>
      </c>
      <c r="C22223">
        <f>HYPERLINK("https://android.googlesource.com/platform/cts/+/4a60e12c0d8e25b3933d31f4b90fc53538c63900", "4a60e12c0d8e25b3933d31f4b90fc53538c63900")</f>
        <v>0</v>
      </c>
      <c r="D22223" t="s">
        <v>5564</v>
      </c>
      <c r="E22223" t="s">
        <v>10531</v>
      </c>
      <c r="F22223" t="s">
        <v>14892</v>
      </c>
      <c r="G22223" t="s">
        <v>16415</v>
      </c>
      <c r="H22223" t="s">
        <v>39685</v>
      </c>
    </row>
    <row r="22224" spans="1:8">
      <c r="H22224" t="s">
        <v>39686</v>
      </c>
    </row>
    <row r="22225" spans="8:8">
      <c r="H22225" t="s">
        <v>39687</v>
      </c>
    </row>
    <row r="22226" spans="8:8">
      <c r="H22226" t="s">
        <v>39689</v>
      </c>
    </row>
    <row r="22227" spans="8:8">
      <c r="H22227" t="s">
        <v>39690</v>
      </c>
    </row>
    <row r="22228" spans="8:8">
      <c r="H22228" t="s">
        <v>39691</v>
      </c>
    </row>
    <row r="22229" spans="8:8">
      <c r="H22229" t="s">
        <v>39693</v>
      </c>
    </row>
    <row r="22230" spans="8:8">
      <c r="H22230" t="s">
        <v>39694</v>
      </c>
    </row>
    <row r="22231" spans="8:8">
      <c r="H22231" t="s">
        <v>39695</v>
      </c>
    </row>
    <row r="22232" spans="8:8">
      <c r="H22232" t="s">
        <v>36829</v>
      </c>
    </row>
    <row r="22233" spans="8:8">
      <c r="H22233" t="s">
        <v>36830</v>
      </c>
    </row>
    <row r="22234" spans="8:8">
      <c r="H22234" t="s">
        <v>36831</v>
      </c>
    </row>
    <row r="22235" spans="8:8">
      <c r="H22235" t="s">
        <v>39697</v>
      </c>
    </row>
    <row r="22236" spans="8:8">
      <c r="H22236" t="s">
        <v>39698</v>
      </c>
    </row>
    <row r="22237" spans="8:8">
      <c r="H22237" t="s">
        <v>39699</v>
      </c>
    </row>
    <row r="22238" spans="8:8">
      <c r="H22238" t="s">
        <v>39701</v>
      </c>
    </row>
    <row r="22239" spans="8:8">
      <c r="H22239" t="s">
        <v>39702</v>
      </c>
    </row>
    <row r="22240" spans="8:8">
      <c r="H22240" t="s">
        <v>39703</v>
      </c>
    </row>
    <row r="22241" spans="1:8">
      <c r="H22241" t="s">
        <v>37256</v>
      </c>
    </row>
    <row r="22242" spans="1:8">
      <c r="H22242" t="s">
        <v>37257</v>
      </c>
    </row>
    <row r="22243" spans="1:8">
      <c r="H22243" t="s">
        <v>37258</v>
      </c>
    </row>
    <row r="22244" spans="1:8">
      <c r="H22244" t="s">
        <v>39705</v>
      </c>
    </row>
    <row r="22245" spans="1:8">
      <c r="H22245" t="s">
        <v>39706</v>
      </c>
    </row>
    <row r="22246" spans="1:8">
      <c r="H22246" t="s">
        <v>39707</v>
      </c>
    </row>
    <row r="22247" spans="1:8">
      <c r="H22247" t="s">
        <v>39709</v>
      </c>
    </row>
    <row r="22248" spans="1:8">
      <c r="H22248" t="s">
        <v>39710</v>
      </c>
    </row>
    <row r="22249" spans="1:8">
      <c r="H22249" t="s">
        <v>39711</v>
      </c>
    </row>
    <row r="22250" spans="1:8">
      <c r="A22250" t="s">
        <v>4876</v>
      </c>
      <c r="B22250">
        <f>HYPERLINK("https://android.googlesource.com/platform/cts/+/59692afee25bb600ce2c1825ab8b87cde232d314", "59692afee25bb600ce2c1825ab8b87cde232d314")</f>
        <v>0</v>
      </c>
      <c r="C22250">
        <f>HYPERLINK("https://android.googlesource.com/platform/cts/+/4b57f8d6f02f05585c414285308144f52286a239", "4b57f8d6f02f05585c414285308144f52286a239")</f>
        <v>0</v>
      </c>
      <c r="D22250" t="s">
        <v>5795</v>
      </c>
      <c r="E22250" t="s">
        <v>10532</v>
      </c>
      <c r="F22250" t="s">
        <v>14927</v>
      </c>
      <c r="G22250" t="s">
        <v>18761</v>
      </c>
      <c r="H22250" t="s">
        <v>39712</v>
      </c>
    </row>
    <row r="22251" spans="1:8">
      <c r="H22251" t="s">
        <v>39713</v>
      </c>
    </row>
    <row r="22252" spans="1:8">
      <c r="H22252" t="s">
        <v>39714</v>
      </c>
    </row>
    <row r="22253" spans="1:8">
      <c r="A22253" t="s">
        <v>4877</v>
      </c>
      <c r="B22253">
        <f>HYPERLINK("https://android.googlesource.com/platform/cts/+/794d1bc77887216cc065ec56a23c6ce5075f09c4", "794d1bc77887216cc065ec56a23c6ce5075f09c4")</f>
        <v>0</v>
      </c>
      <c r="C22253">
        <f>HYPERLINK("https://android.googlesource.com/platform/cts/+/412589a65c830025ca0eb25be1082b4bedbc2d44", "412589a65c830025ca0eb25be1082b4bedbc2d44")</f>
        <v>0</v>
      </c>
      <c r="D22253" t="s">
        <v>5794</v>
      </c>
      <c r="E22253" t="s">
        <v>10533</v>
      </c>
      <c r="F22253" t="s">
        <v>14813</v>
      </c>
      <c r="G22253" t="s">
        <v>18677</v>
      </c>
      <c r="H22253" t="s">
        <v>39673</v>
      </c>
    </row>
    <row r="22254" spans="1:8">
      <c r="H22254" t="s">
        <v>39674</v>
      </c>
    </row>
    <row r="22255" spans="1:8">
      <c r="H22255" t="s">
        <v>39675</v>
      </c>
    </row>
    <row r="22256" spans="1:8">
      <c r="H22256" t="s">
        <v>39014</v>
      </c>
    </row>
    <row r="22257" spans="1:8">
      <c r="H22257" t="s">
        <v>39676</v>
      </c>
    </row>
    <row r="22258" spans="1:8">
      <c r="H22258" t="s">
        <v>39677</v>
      </c>
    </row>
    <row r="22259" spans="1:8">
      <c r="F22259" t="s">
        <v>14924</v>
      </c>
      <c r="G22259" t="s">
        <v>18758</v>
      </c>
      <c r="H22259" t="s">
        <v>39680</v>
      </c>
    </row>
    <row r="22260" spans="1:8">
      <c r="F22260" t="s">
        <v>14925</v>
      </c>
      <c r="G22260" t="s">
        <v>18759</v>
      </c>
      <c r="H22260" t="s">
        <v>39681</v>
      </c>
    </row>
    <row r="22261" spans="1:8">
      <c r="F22261" t="s">
        <v>14926</v>
      </c>
      <c r="G22261" t="s">
        <v>18760</v>
      </c>
      <c r="H22261" t="s">
        <v>39682</v>
      </c>
    </row>
    <row r="22262" spans="1:8">
      <c r="A22262" t="s">
        <v>4878</v>
      </c>
      <c r="B22262">
        <f>HYPERLINK("https://android.googlesource.com/platform/cts/+/24acbee2c3b460cfbd0de035eb46351d9307a583", "24acbee2c3b460cfbd0de035eb46351d9307a583")</f>
        <v>0</v>
      </c>
      <c r="C22262">
        <f>HYPERLINK("https://android.googlesource.com/platform/cts/+/73980fea0b7accb51cda5f5b72521ab9c9a02086", "73980fea0b7accb51cda5f5b72521ab9c9a02086")</f>
        <v>0</v>
      </c>
      <c r="D22262" t="s">
        <v>5753</v>
      </c>
      <c r="E22262" t="s">
        <v>10534</v>
      </c>
      <c r="F22262" t="s">
        <v>14928</v>
      </c>
      <c r="G22262" t="s">
        <v>18762</v>
      </c>
      <c r="H22262" t="s">
        <v>39685</v>
      </c>
    </row>
    <row r="22263" spans="1:8">
      <c r="H22263" t="s">
        <v>39686</v>
      </c>
    </row>
    <row r="22264" spans="1:8">
      <c r="H22264" t="s">
        <v>39687</v>
      </c>
    </row>
    <row r="22265" spans="1:8">
      <c r="H22265" t="s">
        <v>39689</v>
      </c>
    </row>
    <row r="22266" spans="1:8">
      <c r="H22266" t="s">
        <v>39690</v>
      </c>
    </row>
    <row r="22267" spans="1:8">
      <c r="H22267" t="s">
        <v>39691</v>
      </c>
    </row>
    <row r="22268" spans="1:8">
      <c r="H22268" t="s">
        <v>39693</v>
      </c>
    </row>
    <row r="22269" spans="1:8">
      <c r="H22269" t="s">
        <v>39694</v>
      </c>
    </row>
    <row r="22270" spans="1:8">
      <c r="H22270" t="s">
        <v>39695</v>
      </c>
    </row>
    <row r="22271" spans="1:8">
      <c r="H22271" t="s">
        <v>36829</v>
      </c>
    </row>
    <row r="22272" spans="1:8">
      <c r="H22272" t="s">
        <v>36830</v>
      </c>
    </row>
    <row r="22273" spans="8:8">
      <c r="H22273" t="s">
        <v>36831</v>
      </c>
    </row>
    <row r="22274" spans="8:8">
      <c r="H22274" t="s">
        <v>39697</v>
      </c>
    </row>
    <row r="22275" spans="8:8">
      <c r="H22275" t="s">
        <v>39698</v>
      </c>
    </row>
    <row r="22276" spans="8:8">
      <c r="H22276" t="s">
        <v>39699</v>
      </c>
    </row>
    <row r="22277" spans="8:8">
      <c r="H22277" t="s">
        <v>39701</v>
      </c>
    </row>
    <row r="22278" spans="8:8">
      <c r="H22278" t="s">
        <v>39702</v>
      </c>
    </row>
    <row r="22279" spans="8:8">
      <c r="H22279" t="s">
        <v>39703</v>
      </c>
    </row>
    <row r="22280" spans="8:8">
      <c r="H22280" t="s">
        <v>37256</v>
      </c>
    </row>
    <row r="22281" spans="8:8">
      <c r="H22281" t="s">
        <v>37257</v>
      </c>
    </row>
    <row r="22282" spans="8:8">
      <c r="H22282" t="s">
        <v>37258</v>
      </c>
    </row>
    <row r="22283" spans="8:8">
      <c r="H22283" t="s">
        <v>39705</v>
      </c>
    </row>
    <row r="22284" spans="8:8">
      <c r="H22284" t="s">
        <v>39706</v>
      </c>
    </row>
    <row r="22285" spans="8:8">
      <c r="H22285" t="s">
        <v>39707</v>
      </c>
    </row>
    <row r="22286" spans="8:8">
      <c r="H22286" t="s">
        <v>39709</v>
      </c>
    </row>
    <row r="22287" spans="8:8">
      <c r="H22287" t="s">
        <v>39710</v>
      </c>
    </row>
    <row r="22288" spans="8:8">
      <c r="H22288" t="s">
        <v>39711</v>
      </c>
    </row>
    <row r="22289" spans="1:8">
      <c r="A22289" t="s">
        <v>4887</v>
      </c>
      <c r="B22289">
        <f>HYPERLINK("https://android.googlesource.com/platform/cts/+/211641656c26ea9576a5bb3c5a7ce4a6fd0a44e4", "211641656c26ea9576a5bb3c5a7ce4a6fd0a44e4")</f>
        <v>0</v>
      </c>
      <c r="C22289">
        <f>HYPERLINK("https://android.googlesource.com/platform/cts/+/381b557779fcecce0d7ce5e20a1c25ba093985bb", "381b557779fcecce0d7ce5e20a1c25ba093985bb")</f>
        <v>0</v>
      </c>
      <c r="D22289" t="s">
        <v>5796</v>
      </c>
      <c r="E22289" t="s">
        <v>10543</v>
      </c>
      <c r="F22289" t="s">
        <v>12817</v>
      </c>
      <c r="G22289" t="s">
        <v>16629</v>
      </c>
      <c r="H22289" t="s">
        <v>39724</v>
      </c>
    </row>
    <row r="22290" spans="1:8">
      <c r="H22290" t="s">
        <v>39725</v>
      </c>
    </row>
    <row r="22291" spans="1:8">
      <c r="A22291" t="s">
        <v>4888</v>
      </c>
      <c r="B22291">
        <f>HYPERLINK("https://android.googlesource.com/platform/cts/+/fc8ea55042eb95f116b5be31d7cfb6cf0d19f0fa", "fc8ea55042eb95f116b5be31d7cfb6cf0d19f0fa")</f>
        <v>0</v>
      </c>
      <c r="C22291">
        <f>HYPERLINK("https://android.googlesource.com/platform/cts/+/ad15d78d2462c8f3423cf6a34c929ab013215998", "ad15d78d2462c8f3423cf6a34c929ab013215998")</f>
        <v>0</v>
      </c>
      <c r="D22291" t="s">
        <v>5615</v>
      </c>
      <c r="E22291" t="s">
        <v>10544</v>
      </c>
      <c r="F22291" t="s">
        <v>14933</v>
      </c>
      <c r="G22291" t="s">
        <v>18766</v>
      </c>
      <c r="H22291" t="s">
        <v>39726</v>
      </c>
    </row>
    <row r="22292" spans="1:8">
      <c r="H22292" t="s">
        <v>39727</v>
      </c>
    </row>
    <row r="22293" spans="1:8">
      <c r="F22293" t="s">
        <v>13227</v>
      </c>
      <c r="G22293" t="s">
        <v>17368</v>
      </c>
      <c r="H22293" t="s">
        <v>39728</v>
      </c>
    </row>
    <row r="22294" spans="1:8">
      <c r="A22294" t="s">
        <v>4891</v>
      </c>
      <c r="B22294">
        <f>HYPERLINK("https://android.googlesource.com/platform/cts/+/443d2001aaeaae28a293b79e6260b98c88e3da17", "443d2001aaeaae28a293b79e6260b98c88e3da17")</f>
        <v>0</v>
      </c>
      <c r="C22294">
        <f>HYPERLINK("https://android.googlesource.com/platform/cts/+/86682abf2a60b5878cf3e7e1263dc77ab1145057", "86682abf2a60b5878cf3e7e1263dc77ab1145057")</f>
        <v>0</v>
      </c>
      <c r="D22294" t="s">
        <v>5660</v>
      </c>
      <c r="E22294" t="s">
        <v>10547</v>
      </c>
      <c r="F22294" t="s">
        <v>14935</v>
      </c>
      <c r="G22294" t="s">
        <v>18767</v>
      </c>
      <c r="H22294" t="s">
        <v>39731</v>
      </c>
    </row>
    <row r="22295" spans="1:8">
      <c r="F22295" t="s">
        <v>14936</v>
      </c>
      <c r="G22295" t="s">
        <v>18768</v>
      </c>
      <c r="H22295" t="s">
        <v>39731</v>
      </c>
    </row>
    <row r="22296" spans="1:8">
      <c r="F22296" t="s">
        <v>14937</v>
      </c>
      <c r="G22296" t="s">
        <v>18769</v>
      </c>
      <c r="H22296" t="s">
        <v>39733</v>
      </c>
    </row>
    <row r="22297" spans="1:8">
      <c r="F22297" t="s">
        <v>14748</v>
      </c>
      <c r="G22297" t="s">
        <v>18624</v>
      </c>
      <c r="H22297" t="s">
        <v>39731</v>
      </c>
    </row>
    <row r="22298" spans="1:8">
      <c r="F22298" t="s">
        <v>14938</v>
      </c>
      <c r="G22298" t="s">
        <v>18770</v>
      </c>
      <c r="H22298" t="s">
        <v>39731</v>
      </c>
    </row>
    <row r="22299" spans="1:8">
      <c r="F22299" t="s">
        <v>14939</v>
      </c>
      <c r="G22299" t="s">
        <v>18771</v>
      </c>
      <c r="H22299" t="s">
        <v>39731</v>
      </c>
    </row>
    <row r="22300" spans="1:8">
      <c r="F22300" t="s">
        <v>14940</v>
      </c>
      <c r="G22300" t="s">
        <v>18772</v>
      </c>
      <c r="H22300" t="s">
        <v>39731</v>
      </c>
    </row>
    <row r="22301" spans="1:8">
      <c r="F22301" t="s">
        <v>14941</v>
      </c>
      <c r="G22301" t="s">
        <v>18773</v>
      </c>
      <c r="H22301" t="s">
        <v>39731</v>
      </c>
    </row>
    <row r="22302" spans="1:8">
      <c r="F22302" t="s">
        <v>14825</v>
      </c>
      <c r="G22302" t="s">
        <v>18687</v>
      </c>
      <c r="H22302" t="s">
        <v>39731</v>
      </c>
    </row>
    <row r="22303" spans="1:8">
      <c r="F22303" t="s">
        <v>14876</v>
      </c>
      <c r="G22303" t="s">
        <v>18726</v>
      </c>
      <c r="H22303" t="s">
        <v>39733</v>
      </c>
    </row>
    <row r="22304" spans="1:8">
      <c r="F22304" t="s">
        <v>14942</v>
      </c>
      <c r="G22304" t="s">
        <v>18774</v>
      </c>
      <c r="H22304" t="s">
        <v>39733</v>
      </c>
    </row>
    <row r="22305" spans="1:8">
      <c r="F22305" t="s">
        <v>14943</v>
      </c>
      <c r="G22305" t="s">
        <v>18775</v>
      </c>
      <c r="H22305" t="s">
        <v>39731</v>
      </c>
    </row>
    <row r="22306" spans="1:8">
      <c r="F22306" t="s">
        <v>14944</v>
      </c>
      <c r="G22306" t="s">
        <v>18776</v>
      </c>
      <c r="H22306" t="s">
        <v>39731</v>
      </c>
    </row>
    <row r="22307" spans="1:8">
      <c r="F22307" t="s">
        <v>14945</v>
      </c>
      <c r="G22307" t="s">
        <v>18777</v>
      </c>
      <c r="H22307" t="s">
        <v>39731</v>
      </c>
    </row>
    <row r="22308" spans="1:8">
      <c r="F22308" t="s">
        <v>14946</v>
      </c>
      <c r="G22308" t="s">
        <v>18778</v>
      </c>
      <c r="H22308" t="s">
        <v>39731</v>
      </c>
    </row>
    <row r="22309" spans="1:8">
      <c r="F22309" t="s">
        <v>14947</v>
      </c>
      <c r="G22309" t="s">
        <v>18779</v>
      </c>
      <c r="H22309" t="s">
        <v>39731</v>
      </c>
    </row>
    <row r="22310" spans="1:8">
      <c r="F22310" t="s">
        <v>14948</v>
      </c>
      <c r="G22310" t="s">
        <v>18780</v>
      </c>
      <c r="H22310" t="s">
        <v>39731</v>
      </c>
    </row>
    <row r="22311" spans="1:8">
      <c r="F22311" t="s">
        <v>14949</v>
      </c>
      <c r="G22311" t="s">
        <v>18781</v>
      </c>
      <c r="H22311" t="s">
        <v>39733</v>
      </c>
    </row>
    <row r="22312" spans="1:8">
      <c r="F22312" t="s">
        <v>14201</v>
      </c>
      <c r="G22312" t="s">
        <v>18180</v>
      </c>
      <c r="H22312" t="s">
        <v>39731</v>
      </c>
    </row>
    <row r="22313" spans="1:8">
      <c r="A22313" t="s">
        <v>4892</v>
      </c>
      <c r="B22313">
        <f>HYPERLINK("https://android.googlesource.com/platform/cts/+/cb7a8edc9b545489b8e7ebeb895d857e2b1a267a", "cb7a8edc9b545489b8e7ebeb895d857e2b1a267a")</f>
        <v>0</v>
      </c>
      <c r="C22313">
        <f>HYPERLINK("https://android.googlesource.com/platform/cts/+/790fc53c20a5e453fff550a5298e2414812bdb49", "790fc53c20a5e453fff550a5298e2414812bdb49")</f>
        <v>0</v>
      </c>
      <c r="D22313" t="s">
        <v>5363</v>
      </c>
      <c r="E22313" t="s">
        <v>10548</v>
      </c>
      <c r="F22313" t="s">
        <v>14731</v>
      </c>
      <c r="G22313" t="s">
        <v>18612</v>
      </c>
      <c r="H22313" t="s">
        <v>39734</v>
      </c>
    </row>
    <row r="22314" spans="1:8">
      <c r="A22314" t="s">
        <v>4893</v>
      </c>
      <c r="B22314">
        <f>HYPERLINK("https://android.googlesource.com/platform/cts/+/cb981c7dd66fdcd3b6f2cc96cc34301c5d356ed0", "cb981c7dd66fdcd3b6f2cc96cc34301c5d356ed0")</f>
        <v>0</v>
      </c>
      <c r="C22314">
        <f>HYPERLINK("https://android.googlesource.com/platform/cts/+/b36ba2beb82b0f27b69eddc0ce6b2d3224c06246", "b36ba2beb82b0f27b69eddc0ce6b2d3224c06246")</f>
        <v>0</v>
      </c>
      <c r="D22314" t="s">
        <v>5363</v>
      </c>
      <c r="E22314" t="s">
        <v>10549</v>
      </c>
      <c r="F22314" t="s">
        <v>14731</v>
      </c>
      <c r="G22314" t="s">
        <v>18612</v>
      </c>
      <c r="H22314" t="s">
        <v>39734</v>
      </c>
    </row>
    <row r="22315" spans="1:8">
      <c r="A22315" t="s">
        <v>4894</v>
      </c>
      <c r="B22315">
        <f>HYPERLINK("https://android.googlesource.com/platform/cts/+/09ecd6a4f7e7b3fbcfb59a1b298766ad41987ac1", "09ecd6a4f7e7b3fbcfb59a1b298766ad41987ac1")</f>
        <v>0</v>
      </c>
      <c r="C22315">
        <f>HYPERLINK("https://android.googlesource.com/platform/cts/+/09b17d13eba22d7d3b8fc00c7f6c83324367975e", "09b17d13eba22d7d3b8fc00c7f6c83324367975e")</f>
        <v>0</v>
      </c>
      <c r="D22315" t="s">
        <v>5363</v>
      </c>
      <c r="E22315" t="s">
        <v>10550</v>
      </c>
      <c r="F22315" t="s">
        <v>14731</v>
      </c>
      <c r="G22315" t="s">
        <v>18612</v>
      </c>
      <c r="H22315" t="s">
        <v>39734</v>
      </c>
    </row>
    <row r="22316" spans="1:8">
      <c r="A22316" t="s">
        <v>4897</v>
      </c>
      <c r="B22316">
        <f>HYPERLINK("https://android.googlesource.com/platform/cts/+/2ad3512b597be6caa2eb4f6f51585538e5b33e83", "2ad3512b597be6caa2eb4f6f51585538e5b33e83")</f>
        <v>0</v>
      </c>
      <c r="C22316">
        <f>HYPERLINK("https://android.googlesource.com/platform/cts/+/7d07155e53cbe455b79bce3ce8dd01ed043476c4", "7d07155e53cbe455b79bce3ce8dd01ed043476c4")</f>
        <v>0</v>
      </c>
      <c r="D22316" t="s">
        <v>5798</v>
      </c>
      <c r="E22316" t="s">
        <v>10553</v>
      </c>
      <c r="F22316" t="s">
        <v>14207</v>
      </c>
      <c r="G22316" t="s">
        <v>18183</v>
      </c>
      <c r="H22316" t="s">
        <v>35204</v>
      </c>
    </row>
    <row r="22317" spans="1:8">
      <c r="H22317" t="s">
        <v>39736</v>
      </c>
    </row>
    <row r="22318" spans="1:8">
      <c r="A22318" t="s">
        <v>4898</v>
      </c>
      <c r="B22318">
        <f>HYPERLINK("https://android.googlesource.com/platform/cts/+/6e7dcd0862e931cab542fb097bc567bfc40f840b", "6e7dcd0862e931cab542fb097bc567bfc40f840b")</f>
        <v>0</v>
      </c>
      <c r="C22318">
        <f>HYPERLINK("https://android.googlesource.com/platform/cts/+/3b3581ec4f3acff221129319abf35bd46520e037", "3b3581ec4f3acff221129319abf35bd46520e037")</f>
        <v>0</v>
      </c>
      <c r="D22318" t="s">
        <v>5793</v>
      </c>
      <c r="E22318" t="s">
        <v>10554</v>
      </c>
      <c r="F22318" t="s">
        <v>12782</v>
      </c>
      <c r="G22318" t="s">
        <v>16420</v>
      </c>
      <c r="H22318" t="s">
        <v>38798</v>
      </c>
    </row>
    <row r="22319" spans="1:8">
      <c r="H22319" t="s">
        <v>39737</v>
      </c>
    </row>
    <row r="22320" spans="1:8">
      <c r="H22320" t="s">
        <v>38799</v>
      </c>
    </row>
    <row r="22321" spans="8:8">
      <c r="H22321" t="s">
        <v>39738</v>
      </c>
    </row>
    <row r="22322" spans="8:8">
      <c r="H22322" t="s">
        <v>38800</v>
      </c>
    </row>
    <row r="22323" spans="8:8">
      <c r="H22323" t="s">
        <v>39739</v>
      </c>
    </row>
    <row r="22324" spans="8:8">
      <c r="H22324" t="s">
        <v>38801</v>
      </c>
    </row>
    <row r="22325" spans="8:8">
      <c r="H22325" t="s">
        <v>39740</v>
      </c>
    </row>
    <row r="22326" spans="8:8">
      <c r="H22326" t="s">
        <v>38802</v>
      </c>
    </row>
    <row r="22327" spans="8:8">
      <c r="H22327" t="s">
        <v>39741</v>
      </c>
    </row>
    <row r="22328" spans="8:8">
      <c r="H22328" t="s">
        <v>38803</v>
      </c>
    </row>
    <row r="22329" spans="8:8">
      <c r="H22329" t="s">
        <v>39742</v>
      </c>
    </row>
    <row r="22330" spans="8:8">
      <c r="H22330" t="s">
        <v>38804</v>
      </c>
    </row>
    <row r="22331" spans="8:8">
      <c r="H22331" t="s">
        <v>38805</v>
      </c>
    </row>
    <row r="22332" spans="8:8">
      <c r="H22332" t="s">
        <v>39743</v>
      </c>
    </row>
    <row r="22333" spans="8:8">
      <c r="H22333" t="s">
        <v>38806</v>
      </c>
    </row>
    <row r="22334" spans="8:8">
      <c r="H22334" t="s">
        <v>39744</v>
      </c>
    </row>
    <row r="22335" spans="8:8">
      <c r="H22335" t="s">
        <v>38807</v>
      </c>
    </row>
    <row r="22336" spans="8:8">
      <c r="H22336" t="s">
        <v>39745</v>
      </c>
    </row>
    <row r="22337" spans="8:8">
      <c r="H22337" t="s">
        <v>38808</v>
      </c>
    </row>
    <row r="22338" spans="8:8">
      <c r="H22338" t="s">
        <v>39746</v>
      </c>
    </row>
    <row r="22339" spans="8:8">
      <c r="H22339" t="s">
        <v>38809</v>
      </c>
    </row>
    <row r="22340" spans="8:8">
      <c r="H22340" t="s">
        <v>39747</v>
      </c>
    </row>
    <row r="22341" spans="8:8">
      <c r="H22341" t="s">
        <v>38810</v>
      </c>
    </row>
    <row r="22342" spans="8:8">
      <c r="H22342" t="s">
        <v>39748</v>
      </c>
    </row>
    <row r="22343" spans="8:8">
      <c r="H22343" t="s">
        <v>38811</v>
      </c>
    </row>
    <row r="22344" spans="8:8">
      <c r="H22344" t="s">
        <v>38812</v>
      </c>
    </row>
    <row r="22345" spans="8:8">
      <c r="H22345" t="s">
        <v>39749</v>
      </c>
    </row>
    <row r="22346" spans="8:8">
      <c r="H22346" t="s">
        <v>38813</v>
      </c>
    </row>
    <row r="22347" spans="8:8">
      <c r="H22347" t="s">
        <v>39750</v>
      </c>
    </row>
    <row r="22348" spans="8:8">
      <c r="H22348" t="s">
        <v>38814</v>
      </c>
    </row>
    <row r="22349" spans="8:8">
      <c r="H22349" t="s">
        <v>39751</v>
      </c>
    </row>
    <row r="22350" spans="8:8">
      <c r="H22350" t="s">
        <v>38815</v>
      </c>
    </row>
    <row r="22351" spans="8:8">
      <c r="H22351" t="s">
        <v>39752</v>
      </c>
    </row>
    <row r="22352" spans="8:8">
      <c r="H22352" t="s">
        <v>38816</v>
      </c>
    </row>
    <row r="22353" spans="8:8">
      <c r="H22353" t="s">
        <v>39753</v>
      </c>
    </row>
    <row r="22354" spans="8:8">
      <c r="H22354" t="s">
        <v>38817</v>
      </c>
    </row>
    <row r="22355" spans="8:8">
      <c r="H22355" t="s">
        <v>39754</v>
      </c>
    </row>
    <row r="22356" spans="8:8">
      <c r="H22356" t="s">
        <v>38818</v>
      </c>
    </row>
    <row r="22357" spans="8:8">
      <c r="H22357" t="s">
        <v>38819</v>
      </c>
    </row>
    <row r="22358" spans="8:8">
      <c r="H22358" t="s">
        <v>39755</v>
      </c>
    </row>
    <row r="22359" spans="8:8">
      <c r="H22359" t="s">
        <v>38820</v>
      </c>
    </row>
    <row r="22360" spans="8:8">
      <c r="H22360" t="s">
        <v>39756</v>
      </c>
    </row>
    <row r="22361" spans="8:8">
      <c r="H22361" t="s">
        <v>38821</v>
      </c>
    </row>
    <row r="22362" spans="8:8">
      <c r="H22362" t="s">
        <v>39757</v>
      </c>
    </row>
    <row r="22363" spans="8:8">
      <c r="H22363" t="s">
        <v>38822</v>
      </c>
    </row>
    <row r="22364" spans="8:8">
      <c r="H22364" t="s">
        <v>39758</v>
      </c>
    </row>
    <row r="22365" spans="8:8">
      <c r="H22365" t="s">
        <v>38823</v>
      </c>
    </row>
    <row r="22366" spans="8:8">
      <c r="H22366" t="s">
        <v>39759</v>
      </c>
    </row>
    <row r="22367" spans="8:8">
      <c r="H22367" t="s">
        <v>38824</v>
      </c>
    </row>
    <row r="22368" spans="8:8">
      <c r="H22368" t="s">
        <v>39760</v>
      </c>
    </row>
    <row r="22369" spans="8:8">
      <c r="H22369" t="s">
        <v>38825</v>
      </c>
    </row>
    <row r="22370" spans="8:8">
      <c r="H22370" t="s">
        <v>38826</v>
      </c>
    </row>
    <row r="22371" spans="8:8">
      <c r="H22371" t="s">
        <v>39761</v>
      </c>
    </row>
    <row r="22372" spans="8:8">
      <c r="H22372" t="s">
        <v>38827</v>
      </c>
    </row>
    <row r="22373" spans="8:8">
      <c r="H22373" t="s">
        <v>39762</v>
      </c>
    </row>
    <row r="22374" spans="8:8">
      <c r="H22374" t="s">
        <v>38828</v>
      </c>
    </row>
    <row r="22375" spans="8:8">
      <c r="H22375" t="s">
        <v>39763</v>
      </c>
    </row>
    <row r="22376" spans="8:8">
      <c r="H22376" t="s">
        <v>38829</v>
      </c>
    </row>
    <row r="22377" spans="8:8">
      <c r="H22377" t="s">
        <v>39764</v>
      </c>
    </row>
    <row r="22378" spans="8:8">
      <c r="H22378" t="s">
        <v>38830</v>
      </c>
    </row>
    <row r="22379" spans="8:8">
      <c r="H22379" t="s">
        <v>38831</v>
      </c>
    </row>
    <row r="22380" spans="8:8">
      <c r="H22380" t="s">
        <v>39765</v>
      </c>
    </row>
    <row r="22381" spans="8:8">
      <c r="H22381" t="s">
        <v>38832</v>
      </c>
    </row>
    <row r="22382" spans="8:8">
      <c r="H22382" t="s">
        <v>39766</v>
      </c>
    </row>
    <row r="22383" spans="8:8">
      <c r="H22383" t="s">
        <v>38833</v>
      </c>
    </row>
    <row r="22384" spans="8:8">
      <c r="H22384" t="s">
        <v>39767</v>
      </c>
    </row>
    <row r="22385" spans="8:8">
      <c r="H22385" t="s">
        <v>38834</v>
      </c>
    </row>
    <row r="22386" spans="8:8">
      <c r="H22386" t="s">
        <v>39768</v>
      </c>
    </row>
    <row r="22387" spans="8:8">
      <c r="H22387" t="s">
        <v>38835</v>
      </c>
    </row>
    <row r="22388" spans="8:8">
      <c r="H22388" t="s">
        <v>39769</v>
      </c>
    </row>
    <row r="22389" spans="8:8">
      <c r="H22389" t="s">
        <v>39770</v>
      </c>
    </row>
    <row r="22390" spans="8:8">
      <c r="H22390" t="s">
        <v>39771</v>
      </c>
    </row>
    <row r="22391" spans="8:8">
      <c r="H22391" t="s">
        <v>39772</v>
      </c>
    </row>
    <row r="22392" spans="8:8">
      <c r="H22392" t="s">
        <v>39773</v>
      </c>
    </row>
    <row r="22393" spans="8:8">
      <c r="H22393" t="s">
        <v>39774</v>
      </c>
    </row>
    <row r="22394" spans="8:8">
      <c r="H22394" t="s">
        <v>39775</v>
      </c>
    </row>
    <row r="22395" spans="8:8">
      <c r="H22395" t="s">
        <v>39776</v>
      </c>
    </row>
    <row r="22396" spans="8:8">
      <c r="H22396" t="s">
        <v>39777</v>
      </c>
    </row>
    <row r="22397" spans="8:8">
      <c r="H22397" t="s">
        <v>39778</v>
      </c>
    </row>
    <row r="22398" spans="8:8">
      <c r="H22398" t="s">
        <v>39779</v>
      </c>
    </row>
    <row r="22399" spans="8:8">
      <c r="H22399" t="s">
        <v>39780</v>
      </c>
    </row>
    <row r="22400" spans="8:8">
      <c r="H22400" t="s">
        <v>39781</v>
      </c>
    </row>
    <row r="22401" spans="8:8">
      <c r="H22401" t="s">
        <v>39782</v>
      </c>
    </row>
    <row r="22402" spans="8:8">
      <c r="H22402" t="s">
        <v>39783</v>
      </c>
    </row>
    <row r="22403" spans="8:8">
      <c r="H22403" t="s">
        <v>39784</v>
      </c>
    </row>
    <row r="22404" spans="8:8">
      <c r="H22404" t="s">
        <v>39785</v>
      </c>
    </row>
    <row r="22405" spans="8:8">
      <c r="H22405" t="s">
        <v>39786</v>
      </c>
    </row>
    <row r="22406" spans="8:8">
      <c r="H22406" t="s">
        <v>39787</v>
      </c>
    </row>
    <row r="22407" spans="8:8">
      <c r="H22407" t="s">
        <v>39788</v>
      </c>
    </row>
    <row r="22408" spans="8:8">
      <c r="H22408" t="s">
        <v>39789</v>
      </c>
    </row>
    <row r="22409" spans="8:8">
      <c r="H22409" t="s">
        <v>39790</v>
      </c>
    </row>
    <row r="22410" spans="8:8">
      <c r="H22410" t="s">
        <v>39791</v>
      </c>
    </row>
    <row r="22411" spans="8:8">
      <c r="H22411" t="s">
        <v>39792</v>
      </c>
    </row>
    <row r="22412" spans="8:8">
      <c r="H22412" t="s">
        <v>39793</v>
      </c>
    </row>
    <row r="22413" spans="8:8">
      <c r="H22413" t="s">
        <v>39794</v>
      </c>
    </row>
    <row r="22414" spans="8:8">
      <c r="H22414" t="s">
        <v>39795</v>
      </c>
    </row>
    <row r="22415" spans="8:8">
      <c r="H22415" t="s">
        <v>38850</v>
      </c>
    </row>
    <row r="22416" spans="8:8">
      <c r="H22416" t="s">
        <v>39796</v>
      </c>
    </row>
    <row r="22417" spans="8:8">
      <c r="H22417" t="s">
        <v>38851</v>
      </c>
    </row>
    <row r="22418" spans="8:8">
      <c r="H22418" t="s">
        <v>39797</v>
      </c>
    </row>
    <row r="22419" spans="8:8">
      <c r="H22419" t="s">
        <v>38852</v>
      </c>
    </row>
    <row r="22420" spans="8:8">
      <c r="H22420" t="s">
        <v>39798</v>
      </c>
    </row>
    <row r="22421" spans="8:8">
      <c r="H22421" t="s">
        <v>38853</v>
      </c>
    </row>
    <row r="22422" spans="8:8">
      <c r="H22422" t="s">
        <v>39799</v>
      </c>
    </row>
    <row r="22423" spans="8:8">
      <c r="H22423" t="s">
        <v>38854</v>
      </c>
    </row>
    <row r="22424" spans="8:8">
      <c r="H22424" t="s">
        <v>39800</v>
      </c>
    </row>
    <row r="22425" spans="8:8">
      <c r="H22425" t="s">
        <v>38855</v>
      </c>
    </row>
    <row r="22426" spans="8:8">
      <c r="H22426" t="s">
        <v>39801</v>
      </c>
    </row>
    <row r="22427" spans="8:8">
      <c r="H22427" t="s">
        <v>38856</v>
      </c>
    </row>
    <row r="22428" spans="8:8">
      <c r="H22428" t="s">
        <v>38857</v>
      </c>
    </row>
    <row r="22429" spans="8:8">
      <c r="H22429" t="s">
        <v>39802</v>
      </c>
    </row>
    <row r="22430" spans="8:8">
      <c r="H22430" t="s">
        <v>38858</v>
      </c>
    </row>
    <row r="22431" spans="8:8">
      <c r="H22431" t="s">
        <v>39803</v>
      </c>
    </row>
    <row r="22432" spans="8:8">
      <c r="H22432" t="s">
        <v>38859</v>
      </c>
    </row>
    <row r="22433" spans="8:8">
      <c r="H22433" t="s">
        <v>39804</v>
      </c>
    </row>
    <row r="22434" spans="8:8">
      <c r="H22434" t="s">
        <v>38860</v>
      </c>
    </row>
    <row r="22435" spans="8:8">
      <c r="H22435" t="s">
        <v>39805</v>
      </c>
    </row>
    <row r="22436" spans="8:8">
      <c r="H22436" t="s">
        <v>38861</v>
      </c>
    </row>
    <row r="22437" spans="8:8">
      <c r="H22437" t="s">
        <v>39806</v>
      </c>
    </row>
    <row r="22438" spans="8:8">
      <c r="H22438" t="s">
        <v>38862</v>
      </c>
    </row>
    <row r="22439" spans="8:8">
      <c r="H22439" t="s">
        <v>39807</v>
      </c>
    </row>
    <row r="22440" spans="8:8">
      <c r="H22440" t="s">
        <v>38863</v>
      </c>
    </row>
    <row r="22441" spans="8:8">
      <c r="H22441" t="s">
        <v>38864</v>
      </c>
    </row>
    <row r="22442" spans="8:8">
      <c r="H22442" t="s">
        <v>39808</v>
      </c>
    </row>
    <row r="22443" spans="8:8">
      <c r="H22443" t="s">
        <v>38865</v>
      </c>
    </row>
    <row r="22444" spans="8:8">
      <c r="H22444" t="s">
        <v>39809</v>
      </c>
    </row>
    <row r="22445" spans="8:8">
      <c r="H22445" t="s">
        <v>38866</v>
      </c>
    </row>
    <row r="22446" spans="8:8">
      <c r="H22446" t="s">
        <v>39810</v>
      </c>
    </row>
    <row r="22447" spans="8:8">
      <c r="H22447" t="s">
        <v>38867</v>
      </c>
    </row>
    <row r="22448" spans="8:8">
      <c r="H22448" t="s">
        <v>39811</v>
      </c>
    </row>
    <row r="22449" spans="8:8">
      <c r="H22449" t="s">
        <v>38868</v>
      </c>
    </row>
    <row r="22450" spans="8:8">
      <c r="H22450" t="s">
        <v>39812</v>
      </c>
    </row>
    <row r="22451" spans="8:8">
      <c r="H22451" t="s">
        <v>38869</v>
      </c>
    </row>
    <row r="22452" spans="8:8">
      <c r="H22452" t="s">
        <v>39813</v>
      </c>
    </row>
    <row r="22453" spans="8:8">
      <c r="H22453" t="s">
        <v>38870</v>
      </c>
    </row>
    <row r="22454" spans="8:8">
      <c r="H22454" t="s">
        <v>38871</v>
      </c>
    </row>
    <row r="22455" spans="8:8">
      <c r="H22455" t="s">
        <v>39814</v>
      </c>
    </row>
    <row r="22456" spans="8:8">
      <c r="H22456" t="s">
        <v>38872</v>
      </c>
    </row>
    <row r="22457" spans="8:8">
      <c r="H22457" t="s">
        <v>39815</v>
      </c>
    </row>
    <row r="22458" spans="8:8">
      <c r="H22458" t="s">
        <v>38873</v>
      </c>
    </row>
    <row r="22459" spans="8:8">
      <c r="H22459" t="s">
        <v>39816</v>
      </c>
    </row>
    <row r="22460" spans="8:8">
      <c r="H22460" t="s">
        <v>38874</v>
      </c>
    </row>
    <row r="22461" spans="8:8">
      <c r="H22461" t="s">
        <v>39817</v>
      </c>
    </row>
    <row r="22462" spans="8:8">
      <c r="H22462" t="s">
        <v>38875</v>
      </c>
    </row>
    <row r="22463" spans="8:8">
      <c r="H22463" t="s">
        <v>39818</v>
      </c>
    </row>
    <row r="22464" spans="8:8">
      <c r="H22464" t="s">
        <v>38876</v>
      </c>
    </row>
    <row r="22465" spans="8:8">
      <c r="H22465" t="s">
        <v>39819</v>
      </c>
    </row>
    <row r="22466" spans="8:8">
      <c r="H22466" t="s">
        <v>38877</v>
      </c>
    </row>
    <row r="22467" spans="8:8">
      <c r="H22467" t="s">
        <v>39820</v>
      </c>
    </row>
    <row r="22468" spans="8:8">
      <c r="H22468" t="s">
        <v>39821</v>
      </c>
    </row>
    <row r="22469" spans="8:8">
      <c r="H22469" t="s">
        <v>39822</v>
      </c>
    </row>
    <row r="22470" spans="8:8">
      <c r="H22470" t="s">
        <v>39823</v>
      </c>
    </row>
    <row r="22471" spans="8:8">
      <c r="H22471" t="s">
        <v>39824</v>
      </c>
    </row>
    <row r="22472" spans="8:8">
      <c r="H22472" t="s">
        <v>39825</v>
      </c>
    </row>
    <row r="22473" spans="8:8">
      <c r="H22473" t="s">
        <v>39826</v>
      </c>
    </row>
    <row r="22474" spans="8:8">
      <c r="H22474" t="s">
        <v>39827</v>
      </c>
    </row>
    <row r="22475" spans="8:8">
      <c r="H22475" t="s">
        <v>39828</v>
      </c>
    </row>
    <row r="22476" spans="8:8">
      <c r="H22476" t="s">
        <v>39829</v>
      </c>
    </row>
    <row r="22477" spans="8:8">
      <c r="H22477" t="s">
        <v>39830</v>
      </c>
    </row>
    <row r="22478" spans="8:8">
      <c r="H22478" t="s">
        <v>39831</v>
      </c>
    </row>
    <row r="22479" spans="8:8">
      <c r="H22479" t="s">
        <v>39832</v>
      </c>
    </row>
    <row r="22480" spans="8:8">
      <c r="H22480" t="s">
        <v>39833</v>
      </c>
    </row>
    <row r="22481" spans="8:8">
      <c r="H22481" t="s">
        <v>39834</v>
      </c>
    </row>
    <row r="22482" spans="8:8">
      <c r="H22482" t="s">
        <v>39835</v>
      </c>
    </row>
    <row r="22483" spans="8:8">
      <c r="H22483" t="s">
        <v>39836</v>
      </c>
    </row>
    <row r="22484" spans="8:8">
      <c r="H22484" t="s">
        <v>39837</v>
      </c>
    </row>
    <row r="22485" spans="8:8">
      <c r="H22485" t="s">
        <v>39838</v>
      </c>
    </row>
    <row r="22486" spans="8:8">
      <c r="H22486" t="s">
        <v>39839</v>
      </c>
    </row>
    <row r="22487" spans="8:8">
      <c r="H22487" t="s">
        <v>39840</v>
      </c>
    </row>
    <row r="22488" spans="8:8">
      <c r="H22488" t="s">
        <v>39841</v>
      </c>
    </row>
    <row r="22489" spans="8:8">
      <c r="H22489" t="s">
        <v>39842</v>
      </c>
    </row>
    <row r="22490" spans="8:8">
      <c r="H22490" t="s">
        <v>39843</v>
      </c>
    </row>
    <row r="22491" spans="8:8">
      <c r="H22491" t="s">
        <v>39844</v>
      </c>
    </row>
    <row r="22492" spans="8:8">
      <c r="H22492" t="s">
        <v>39845</v>
      </c>
    </row>
    <row r="22493" spans="8:8">
      <c r="H22493" t="s">
        <v>39846</v>
      </c>
    </row>
    <row r="22494" spans="8:8">
      <c r="H22494" t="s">
        <v>39847</v>
      </c>
    </row>
    <row r="22495" spans="8:8">
      <c r="H22495" t="s">
        <v>39848</v>
      </c>
    </row>
    <row r="22496" spans="8:8">
      <c r="H22496" t="s">
        <v>39849</v>
      </c>
    </row>
    <row r="22497" spans="8:8">
      <c r="H22497" t="s">
        <v>39850</v>
      </c>
    </row>
    <row r="22498" spans="8:8">
      <c r="H22498" t="s">
        <v>39851</v>
      </c>
    </row>
    <row r="22499" spans="8:8">
      <c r="H22499" t="s">
        <v>39852</v>
      </c>
    </row>
    <row r="22500" spans="8:8">
      <c r="H22500" t="s">
        <v>39853</v>
      </c>
    </row>
    <row r="22501" spans="8:8">
      <c r="H22501" t="s">
        <v>39854</v>
      </c>
    </row>
    <row r="22502" spans="8:8">
      <c r="H22502" t="s">
        <v>39855</v>
      </c>
    </row>
    <row r="22503" spans="8:8">
      <c r="H22503" t="s">
        <v>39856</v>
      </c>
    </row>
    <row r="22504" spans="8:8">
      <c r="H22504" t="s">
        <v>39857</v>
      </c>
    </row>
    <row r="22505" spans="8:8">
      <c r="H22505" t="s">
        <v>39858</v>
      </c>
    </row>
    <row r="22506" spans="8:8">
      <c r="H22506" t="s">
        <v>39859</v>
      </c>
    </row>
    <row r="22507" spans="8:8">
      <c r="H22507" t="s">
        <v>39860</v>
      </c>
    </row>
    <row r="22508" spans="8:8">
      <c r="H22508" t="s">
        <v>39861</v>
      </c>
    </row>
    <row r="22509" spans="8:8">
      <c r="H22509" t="s">
        <v>39862</v>
      </c>
    </row>
    <row r="22510" spans="8:8">
      <c r="H22510" t="s">
        <v>39863</v>
      </c>
    </row>
    <row r="22511" spans="8:8">
      <c r="H22511" t="s">
        <v>39864</v>
      </c>
    </row>
    <row r="22512" spans="8:8">
      <c r="H22512" t="s">
        <v>39865</v>
      </c>
    </row>
    <row r="22513" spans="8:8">
      <c r="H22513" t="s">
        <v>39866</v>
      </c>
    </row>
    <row r="22514" spans="8:8">
      <c r="H22514" t="s">
        <v>39867</v>
      </c>
    </row>
    <row r="22515" spans="8:8">
      <c r="H22515" t="s">
        <v>39868</v>
      </c>
    </row>
    <row r="22516" spans="8:8">
      <c r="H22516" t="s">
        <v>39869</v>
      </c>
    </row>
    <row r="22517" spans="8:8">
      <c r="H22517" t="s">
        <v>39870</v>
      </c>
    </row>
    <row r="22518" spans="8:8">
      <c r="H22518" t="s">
        <v>39871</v>
      </c>
    </row>
    <row r="22519" spans="8:8">
      <c r="H22519" t="s">
        <v>39872</v>
      </c>
    </row>
    <row r="22520" spans="8:8">
      <c r="H22520" t="s">
        <v>39873</v>
      </c>
    </row>
    <row r="22521" spans="8:8">
      <c r="H22521" t="s">
        <v>39874</v>
      </c>
    </row>
    <row r="22522" spans="8:8">
      <c r="H22522" t="s">
        <v>39875</v>
      </c>
    </row>
    <row r="22523" spans="8:8">
      <c r="H22523" t="s">
        <v>39876</v>
      </c>
    </row>
    <row r="22524" spans="8:8">
      <c r="H22524" t="s">
        <v>39877</v>
      </c>
    </row>
    <row r="22525" spans="8:8">
      <c r="H22525" t="s">
        <v>39878</v>
      </c>
    </row>
    <row r="22526" spans="8:8">
      <c r="H22526" t="s">
        <v>39879</v>
      </c>
    </row>
    <row r="22527" spans="8:8">
      <c r="H22527" t="s">
        <v>39880</v>
      </c>
    </row>
    <row r="22528" spans="8:8">
      <c r="H22528" t="s">
        <v>39881</v>
      </c>
    </row>
    <row r="22529" spans="8:8">
      <c r="H22529" t="s">
        <v>39882</v>
      </c>
    </row>
    <row r="22530" spans="8:8">
      <c r="H22530" t="s">
        <v>39883</v>
      </c>
    </row>
    <row r="22531" spans="8:8">
      <c r="H22531" t="s">
        <v>39884</v>
      </c>
    </row>
    <row r="22532" spans="8:8">
      <c r="H22532" t="s">
        <v>38878</v>
      </c>
    </row>
    <row r="22533" spans="8:8">
      <c r="H22533" t="s">
        <v>39885</v>
      </c>
    </row>
    <row r="22534" spans="8:8">
      <c r="H22534" t="s">
        <v>38879</v>
      </c>
    </row>
    <row r="22535" spans="8:8">
      <c r="H22535" t="s">
        <v>39886</v>
      </c>
    </row>
    <row r="22536" spans="8:8">
      <c r="H22536" t="s">
        <v>38880</v>
      </c>
    </row>
    <row r="22537" spans="8:8">
      <c r="H22537" t="s">
        <v>39887</v>
      </c>
    </row>
    <row r="22538" spans="8:8">
      <c r="H22538" t="s">
        <v>38881</v>
      </c>
    </row>
    <row r="22539" spans="8:8">
      <c r="H22539" t="s">
        <v>39888</v>
      </c>
    </row>
    <row r="22540" spans="8:8">
      <c r="H22540" t="s">
        <v>38882</v>
      </c>
    </row>
    <row r="22541" spans="8:8">
      <c r="H22541" t="s">
        <v>39889</v>
      </c>
    </row>
    <row r="22542" spans="8:8">
      <c r="H22542" t="s">
        <v>38883</v>
      </c>
    </row>
    <row r="22543" spans="8:8">
      <c r="H22543" t="s">
        <v>39890</v>
      </c>
    </row>
    <row r="22544" spans="8:8">
      <c r="H22544" t="s">
        <v>38884</v>
      </c>
    </row>
    <row r="22545" spans="8:8">
      <c r="H22545" t="s">
        <v>39891</v>
      </c>
    </row>
    <row r="22546" spans="8:8">
      <c r="H22546" t="s">
        <v>39892</v>
      </c>
    </row>
    <row r="22547" spans="8:8">
      <c r="H22547" t="s">
        <v>39893</v>
      </c>
    </row>
    <row r="22548" spans="8:8">
      <c r="H22548" t="s">
        <v>39894</v>
      </c>
    </row>
    <row r="22549" spans="8:8">
      <c r="H22549" t="s">
        <v>39895</v>
      </c>
    </row>
    <row r="22550" spans="8:8">
      <c r="H22550" t="s">
        <v>39896</v>
      </c>
    </row>
    <row r="22551" spans="8:8">
      <c r="H22551" t="s">
        <v>39897</v>
      </c>
    </row>
    <row r="22552" spans="8:8">
      <c r="H22552" t="s">
        <v>39898</v>
      </c>
    </row>
    <row r="22553" spans="8:8">
      <c r="H22553" t="s">
        <v>39899</v>
      </c>
    </row>
    <row r="22554" spans="8:8">
      <c r="H22554" t="s">
        <v>39900</v>
      </c>
    </row>
    <row r="22555" spans="8:8">
      <c r="H22555" t="s">
        <v>39901</v>
      </c>
    </row>
    <row r="22556" spans="8:8">
      <c r="H22556" t="s">
        <v>39902</v>
      </c>
    </row>
    <row r="22557" spans="8:8">
      <c r="H22557" t="s">
        <v>39903</v>
      </c>
    </row>
    <row r="22558" spans="8:8">
      <c r="H22558" t="s">
        <v>39904</v>
      </c>
    </row>
    <row r="22559" spans="8:8">
      <c r="H22559" t="s">
        <v>39905</v>
      </c>
    </row>
    <row r="22560" spans="8:8">
      <c r="H22560" t="s">
        <v>39906</v>
      </c>
    </row>
    <row r="22561" spans="8:8">
      <c r="H22561" t="s">
        <v>39907</v>
      </c>
    </row>
    <row r="22562" spans="8:8">
      <c r="H22562" t="s">
        <v>39908</v>
      </c>
    </row>
    <row r="22563" spans="8:8">
      <c r="H22563" t="s">
        <v>39909</v>
      </c>
    </row>
    <row r="22564" spans="8:8">
      <c r="H22564" t="s">
        <v>39910</v>
      </c>
    </row>
    <row r="22565" spans="8:8">
      <c r="H22565" t="s">
        <v>39911</v>
      </c>
    </row>
    <row r="22566" spans="8:8">
      <c r="H22566" t="s">
        <v>39912</v>
      </c>
    </row>
    <row r="22567" spans="8:8">
      <c r="H22567" t="s">
        <v>39913</v>
      </c>
    </row>
    <row r="22568" spans="8:8">
      <c r="H22568" t="s">
        <v>39914</v>
      </c>
    </row>
    <row r="22569" spans="8:8">
      <c r="H22569" t="s">
        <v>39915</v>
      </c>
    </row>
    <row r="22570" spans="8:8">
      <c r="H22570" t="s">
        <v>39916</v>
      </c>
    </row>
    <row r="22571" spans="8:8">
      <c r="H22571" t="s">
        <v>38892</v>
      </c>
    </row>
    <row r="22572" spans="8:8">
      <c r="H22572" t="s">
        <v>39917</v>
      </c>
    </row>
    <row r="22573" spans="8:8">
      <c r="H22573" t="s">
        <v>38893</v>
      </c>
    </row>
    <row r="22574" spans="8:8">
      <c r="H22574" t="s">
        <v>39918</v>
      </c>
    </row>
    <row r="22575" spans="8:8">
      <c r="H22575" t="s">
        <v>38894</v>
      </c>
    </row>
    <row r="22576" spans="8:8">
      <c r="H22576" t="s">
        <v>39919</v>
      </c>
    </row>
    <row r="22577" spans="8:8">
      <c r="H22577" t="s">
        <v>38895</v>
      </c>
    </row>
    <row r="22578" spans="8:8">
      <c r="H22578" t="s">
        <v>39920</v>
      </c>
    </row>
    <row r="22579" spans="8:8">
      <c r="H22579" t="s">
        <v>38896</v>
      </c>
    </row>
    <row r="22580" spans="8:8">
      <c r="H22580" t="s">
        <v>39921</v>
      </c>
    </row>
    <row r="22581" spans="8:8">
      <c r="H22581" t="s">
        <v>38897</v>
      </c>
    </row>
    <row r="22582" spans="8:8">
      <c r="H22582" t="s">
        <v>39922</v>
      </c>
    </row>
    <row r="22583" spans="8:8">
      <c r="H22583" t="s">
        <v>38898</v>
      </c>
    </row>
    <row r="22584" spans="8:8">
      <c r="H22584" t="s">
        <v>38899</v>
      </c>
    </row>
    <row r="22585" spans="8:8">
      <c r="H22585" t="s">
        <v>39923</v>
      </c>
    </row>
    <row r="22586" spans="8:8">
      <c r="H22586" t="s">
        <v>38900</v>
      </c>
    </row>
    <row r="22587" spans="8:8">
      <c r="H22587" t="s">
        <v>39924</v>
      </c>
    </row>
    <row r="22588" spans="8:8">
      <c r="H22588" t="s">
        <v>38901</v>
      </c>
    </row>
    <row r="22589" spans="8:8">
      <c r="H22589" t="s">
        <v>39925</v>
      </c>
    </row>
    <row r="22590" spans="8:8">
      <c r="H22590" t="s">
        <v>38902</v>
      </c>
    </row>
    <row r="22591" spans="8:8">
      <c r="H22591" t="s">
        <v>39926</v>
      </c>
    </row>
    <row r="22592" spans="8:8">
      <c r="H22592" t="s">
        <v>38903</v>
      </c>
    </row>
    <row r="22593" spans="8:8">
      <c r="H22593" t="s">
        <v>38904</v>
      </c>
    </row>
    <row r="22594" spans="8:8">
      <c r="H22594" t="s">
        <v>39927</v>
      </c>
    </row>
    <row r="22595" spans="8:8">
      <c r="H22595" t="s">
        <v>38905</v>
      </c>
    </row>
    <row r="22596" spans="8:8">
      <c r="H22596" t="s">
        <v>39928</v>
      </c>
    </row>
    <row r="22597" spans="8:8">
      <c r="H22597" t="s">
        <v>38906</v>
      </c>
    </row>
    <row r="22598" spans="8:8">
      <c r="H22598" t="s">
        <v>39929</v>
      </c>
    </row>
    <row r="22599" spans="8:8">
      <c r="H22599" t="s">
        <v>38907</v>
      </c>
    </row>
    <row r="22600" spans="8:8">
      <c r="H22600" t="s">
        <v>39930</v>
      </c>
    </row>
    <row r="22601" spans="8:8">
      <c r="H22601" t="s">
        <v>38908</v>
      </c>
    </row>
    <row r="22602" spans="8:8">
      <c r="H22602" t="s">
        <v>38909</v>
      </c>
    </row>
    <row r="22603" spans="8:8">
      <c r="H22603" t="s">
        <v>39931</v>
      </c>
    </row>
    <row r="22604" spans="8:8">
      <c r="H22604" t="s">
        <v>38910</v>
      </c>
    </row>
    <row r="22605" spans="8:8">
      <c r="H22605" t="s">
        <v>39932</v>
      </c>
    </row>
    <row r="22606" spans="8:8">
      <c r="H22606" t="s">
        <v>38911</v>
      </c>
    </row>
    <row r="22607" spans="8:8">
      <c r="H22607" t="s">
        <v>39933</v>
      </c>
    </row>
    <row r="22608" spans="8:8">
      <c r="H22608" t="s">
        <v>38912</v>
      </c>
    </row>
    <row r="22609" spans="8:8">
      <c r="H22609" t="s">
        <v>39934</v>
      </c>
    </row>
    <row r="22610" spans="8:8">
      <c r="H22610" t="s">
        <v>38913</v>
      </c>
    </row>
    <row r="22611" spans="8:8">
      <c r="H22611" t="s">
        <v>38914</v>
      </c>
    </row>
    <row r="22612" spans="8:8">
      <c r="H22612" t="s">
        <v>39935</v>
      </c>
    </row>
    <row r="22613" spans="8:8">
      <c r="H22613" t="s">
        <v>38915</v>
      </c>
    </row>
    <row r="22614" spans="8:8">
      <c r="H22614" t="s">
        <v>39936</v>
      </c>
    </row>
    <row r="22615" spans="8:8">
      <c r="H22615" t="s">
        <v>38916</v>
      </c>
    </row>
    <row r="22616" spans="8:8">
      <c r="H22616" t="s">
        <v>39937</v>
      </c>
    </row>
    <row r="22617" spans="8:8">
      <c r="H22617" t="s">
        <v>38917</v>
      </c>
    </row>
    <row r="22618" spans="8:8">
      <c r="H22618" t="s">
        <v>39938</v>
      </c>
    </row>
    <row r="22619" spans="8:8">
      <c r="H22619" t="s">
        <v>38918</v>
      </c>
    </row>
    <row r="22620" spans="8:8">
      <c r="H22620" t="s">
        <v>38919</v>
      </c>
    </row>
    <row r="22621" spans="8:8">
      <c r="H22621" t="s">
        <v>39939</v>
      </c>
    </row>
    <row r="22622" spans="8:8">
      <c r="H22622" t="s">
        <v>38920</v>
      </c>
    </row>
    <row r="22623" spans="8:8">
      <c r="H22623" t="s">
        <v>39940</v>
      </c>
    </row>
    <row r="22624" spans="8:8">
      <c r="H22624" t="s">
        <v>38921</v>
      </c>
    </row>
    <row r="22625" spans="8:8">
      <c r="H22625" t="s">
        <v>39941</v>
      </c>
    </row>
    <row r="22626" spans="8:8">
      <c r="H22626" t="s">
        <v>38922</v>
      </c>
    </row>
    <row r="22627" spans="8:8">
      <c r="H22627" t="s">
        <v>39942</v>
      </c>
    </row>
    <row r="22628" spans="8:8">
      <c r="H22628" t="s">
        <v>38923</v>
      </c>
    </row>
    <row r="22629" spans="8:8">
      <c r="H22629" t="s">
        <v>39943</v>
      </c>
    </row>
    <row r="22630" spans="8:8">
      <c r="H22630" t="s">
        <v>38924</v>
      </c>
    </row>
    <row r="22631" spans="8:8">
      <c r="H22631" t="s">
        <v>39944</v>
      </c>
    </row>
    <row r="22632" spans="8:8">
      <c r="H22632" t="s">
        <v>38925</v>
      </c>
    </row>
    <row r="22633" spans="8:8">
      <c r="H22633" t="s">
        <v>38926</v>
      </c>
    </row>
    <row r="22634" spans="8:8">
      <c r="H22634" t="s">
        <v>39945</v>
      </c>
    </row>
    <row r="22635" spans="8:8">
      <c r="H22635" t="s">
        <v>38927</v>
      </c>
    </row>
    <row r="22636" spans="8:8">
      <c r="H22636" t="s">
        <v>39946</v>
      </c>
    </row>
    <row r="22637" spans="8:8">
      <c r="H22637" t="s">
        <v>38928</v>
      </c>
    </row>
    <row r="22638" spans="8:8">
      <c r="H22638" t="s">
        <v>39947</v>
      </c>
    </row>
    <row r="22639" spans="8:8">
      <c r="H22639" t="s">
        <v>38929</v>
      </c>
    </row>
    <row r="22640" spans="8:8">
      <c r="H22640" t="s">
        <v>39948</v>
      </c>
    </row>
    <row r="22641" spans="8:8">
      <c r="H22641" t="s">
        <v>38930</v>
      </c>
    </row>
    <row r="22642" spans="8:8">
      <c r="H22642" t="s">
        <v>39949</v>
      </c>
    </row>
    <row r="22643" spans="8:8">
      <c r="H22643" t="s">
        <v>38931</v>
      </c>
    </row>
    <row r="22644" spans="8:8">
      <c r="H22644" t="s">
        <v>39950</v>
      </c>
    </row>
    <row r="22645" spans="8:8">
      <c r="H22645" t="s">
        <v>38932</v>
      </c>
    </row>
    <row r="22646" spans="8:8">
      <c r="H22646" t="s">
        <v>38933</v>
      </c>
    </row>
    <row r="22647" spans="8:8">
      <c r="H22647" t="s">
        <v>39951</v>
      </c>
    </row>
    <row r="22648" spans="8:8">
      <c r="H22648" t="s">
        <v>38934</v>
      </c>
    </row>
    <row r="22649" spans="8:8">
      <c r="H22649" t="s">
        <v>39952</v>
      </c>
    </row>
    <row r="22650" spans="8:8">
      <c r="H22650" t="s">
        <v>38935</v>
      </c>
    </row>
    <row r="22651" spans="8:8">
      <c r="H22651" t="s">
        <v>39953</v>
      </c>
    </row>
    <row r="22652" spans="8:8">
      <c r="H22652" t="s">
        <v>38936</v>
      </c>
    </row>
    <row r="22653" spans="8:8">
      <c r="H22653" t="s">
        <v>39954</v>
      </c>
    </row>
    <row r="22654" spans="8:8">
      <c r="H22654" t="s">
        <v>38937</v>
      </c>
    </row>
    <row r="22655" spans="8:8">
      <c r="H22655" t="s">
        <v>39955</v>
      </c>
    </row>
    <row r="22656" spans="8:8">
      <c r="H22656" t="s">
        <v>38938</v>
      </c>
    </row>
    <row r="22657" spans="8:8">
      <c r="H22657" t="s">
        <v>39956</v>
      </c>
    </row>
    <row r="22658" spans="8:8">
      <c r="H22658" t="s">
        <v>38939</v>
      </c>
    </row>
    <row r="22659" spans="8:8">
      <c r="H22659" t="s">
        <v>38940</v>
      </c>
    </row>
    <row r="22660" spans="8:8">
      <c r="H22660" t="s">
        <v>39957</v>
      </c>
    </row>
    <row r="22661" spans="8:8">
      <c r="H22661" t="s">
        <v>38941</v>
      </c>
    </row>
    <row r="22662" spans="8:8">
      <c r="H22662" t="s">
        <v>39958</v>
      </c>
    </row>
    <row r="22663" spans="8:8">
      <c r="H22663" t="s">
        <v>38942</v>
      </c>
    </row>
    <row r="22664" spans="8:8">
      <c r="H22664" t="s">
        <v>39959</v>
      </c>
    </row>
    <row r="22665" spans="8:8">
      <c r="H22665" t="s">
        <v>38943</v>
      </c>
    </row>
    <row r="22666" spans="8:8">
      <c r="H22666" t="s">
        <v>39960</v>
      </c>
    </row>
    <row r="22667" spans="8:8">
      <c r="H22667" t="s">
        <v>38944</v>
      </c>
    </row>
    <row r="22668" spans="8:8">
      <c r="H22668" t="s">
        <v>39961</v>
      </c>
    </row>
    <row r="22669" spans="8:8">
      <c r="H22669" t="s">
        <v>38945</v>
      </c>
    </row>
    <row r="22670" spans="8:8">
      <c r="H22670" t="s">
        <v>39962</v>
      </c>
    </row>
    <row r="22671" spans="8:8">
      <c r="H22671" t="s">
        <v>38946</v>
      </c>
    </row>
    <row r="22672" spans="8:8">
      <c r="H22672" t="s">
        <v>38947</v>
      </c>
    </row>
    <row r="22673" spans="1:8">
      <c r="H22673" t="s">
        <v>39963</v>
      </c>
    </row>
    <row r="22674" spans="1:8">
      <c r="H22674" t="s">
        <v>38948</v>
      </c>
    </row>
    <row r="22675" spans="1:8">
      <c r="H22675" t="s">
        <v>39964</v>
      </c>
    </row>
    <row r="22676" spans="1:8">
      <c r="H22676" t="s">
        <v>38949</v>
      </c>
    </row>
    <row r="22677" spans="1:8">
      <c r="H22677" t="s">
        <v>39965</v>
      </c>
    </row>
    <row r="22678" spans="1:8">
      <c r="H22678" t="s">
        <v>38950</v>
      </c>
    </row>
    <row r="22679" spans="1:8">
      <c r="H22679" t="s">
        <v>39966</v>
      </c>
    </row>
    <row r="22680" spans="1:8">
      <c r="H22680" t="s">
        <v>38951</v>
      </c>
    </row>
    <row r="22681" spans="1:8">
      <c r="H22681" t="s">
        <v>39967</v>
      </c>
    </row>
    <row r="22682" spans="1:8">
      <c r="H22682" t="s">
        <v>38952</v>
      </c>
    </row>
    <row r="22683" spans="1:8">
      <c r="H22683" t="s">
        <v>39968</v>
      </c>
    </row>
    <row r="22684" spans="1:8">
      <c r="H22684" t="s">
        <v>38953</v>
      </c>
    </row>
    <row r="22685" spans="1:8">
      <c r="A22685" t="s">
        <v>4899</v>
      </c>
      <c r="B22685">
        <f>HYPERLINK("https://android.googlesource.com/platform/cts/+/21849f871d414d75426b33d2c790c8578032a17e", "21849f871d414d75426b33d2c790c8578032a17e")</f>
        <v>0</v>
      </c>
      <c r="C22685">
        <f>HYPERLINK("https://android.googlesource.com/platform/cts/+/befdfc5ae1214a6bf7e7390fb8fae57818d51310", "befdfc5ae1214a6bf7e7390fb8fae57818d51310")</f>
        <v>0</v>
      </c>
      <c r="D22685" t="s">
        <v>5576</v>
      </c>
      <c r="E22685" t="s">
        <v>10555</v>
      </c>
      <c r="F22685" t="s">
        <v>14449</v>
      </c>
      <c r="G22685" t="s">
        <v>18384</v>
      </c>
      <c r="H22685" t="s">
        <v>39969</v>
      </c>
    </row>
    <row r="22686" spans="1:8">
      <c r="H22686" t="s">
        <v>39970</v>
      </c>
    </row>
    <row r="22687" spans="1:8">
      <c r="H22687" t="s">
        <v>39971</v>
      </c>
    </row>
    <row r="22688" spans="1:8">
      <c r="H22688" t="s">
        <v>39972</v>
      </c>
    </row>
    <row r="22689" spans="6:8">
      <c r="H22689" t="s">
        <v>35050</v>
      </c>
    </row>
    <row r="22690" spans="6:8">
      <c r="F22690" t="s">
        <v>14450</v>
      </c>
      <c r="G22690" t="s">
        <v>18385</v>
      </c>
      <c r="H22690" t="s">
        <v>30030</v>
      </c>
    </row>
    <row r="22691" spans="6:8">
      <c r="H22691" t="s">
        <v>35050</v>
      </c>
    </row>
    <row r="22692" spans="6:8">
      <c r="F22692" t="s">
        <v>14950</v>
      </c>
      <c r="G22692" t="s">
        <v>18782</v>
      </c>
      <c r="H22692" t="s">
        <v>30030</v>
      </c>
    </row>
    <row r="22693" spans="6:8">
      <c r="H22693" t="s">
        <v>35050</v>
      </c>
    </row>
    <row r="22694" spans="6:8">
      <c r="F22694" t="s">
        <v>14951</v>
      </c>
      <c r="G22694" t="s">
        <v>18783</v>
      </c>
      <c r="H22694" t="s">
        <v>30030</v>
      </c>
    </row>
    <row r="22695" spans="6:8">
      <c r="H22695" t="s">
        <v>39974</v>
      </c>
    </row>
    <row r="22696" spans="6:8">
      <c r="H22696" t="s">
        <v>35050</v>
      </c>
    </row>
    <row r="22697" spans="6:8">
      <c r="F22697" t="s">
        <v>14952</v>
      </c>
      <c r="G22697" t="s">
        <v>18784</v>
      </c>
      <c r="H22697" t="s">
        <v>30030</v>
      </c>
    </row>
    <row r="22698" spans="6:8">
      <c r="H22698" t="s">
        <v>35050</v>
      </c>
    </row>
    <row r="22699" spans="6:8">
      <c r="F22699" t="s">
        <v>14953</v>
      </c>
      <c r="G22699" t="s">
        <v>18785</v>
      </c>
      <c r="H22699" t="s">
        <v>39976</v>
      </c>
    </row>
    <row r="22700" spans="6:8">
      <c r="H22700" t="s">
        <v>39977</v>
      </c>
    </row>
    <row r="22701" spans="6:8">
      <c r="H22701" t="s">
        <v>39980</v>
      </c>
    </row>
    <row r="22702" spans="6:8">
      <c r="H22702" t="s">
        <v>39981</v>
      </c>
    </row>
    <row r="22703" spans="6:8">
      <c r="F22703" t="s">
        <v>14954</v>
      </c>
      <c r="G22703" t="s">
        <v>18786</v>
      </c>
      <c r="H22703" t="s">
        <v>39983</v>
      </c>
    </row>
    <row r="22704" spans="6:8">
      <c r="F22704" t="s">
        <v>14536</v>
      </c>
      <c r="G22704" t="s">
        <v>18460</v>
      </c>
      <c r="H22704" t="s">
        <v>39985</v>
      </c>
    </row>
    <row r="22705" spans="8:8">
      <c r="H22705" t="s">
        <v>39986</v>
      </c>
    </row>
    <row r="22706" spans="8:8">
      <c r="H22706" t="s">
        <v>39987</v>
      </c>
    </row>
    <row r="22707" spans="8:8">
      <c r="H22707" t="s">
        <v>39988</v>
      </c>
    </row>
    <row r="22708" spans="8:8">
      <c r="H22708" t="s">
        <v>39989</v>
      </c>
    </row>
    <row r="22709" spans="8:8">
      <c r="H22709" t="s">
        <v>39990</v>
      </c>
    </row>
    <row r="22710" spans="8:8">
      <c r="H22710" t="s">
        <v>39991</v>
      </c>
    </row>
    <row r="22711" spans="8:8">
      <c r="H22711" t="s">
        <v>39992</v>
      </c>
    </row>
    <row r="22712" spans="8:8">
      <c r="H22712" t="s">
        <v>39993</v>
      </c>
    </row>
    <row r="22713" spans="8:8">
      <c r="H22713" t="s">
        <v>39994</v>
      </c>
    </row>
    <row r="22714" spans="8:8">
      <c r="H22714" t="s">
        <v>39995</v>
      </c>
    </row>
    <row r="22715" spans="8:8">
      <c r="H22715" t="s">
        <v>39996</v>
      </c>
    </row>
    <row r="22716" spans="8:8">
      <c r="H22716" t="s">
        <v>39997</v>
      </c>
    </row>
    <row r="22717" spans="8:8">
      <c r="H22717" t="s">
        <v>39998</v>
      </c>
    </row>
    <row r="22718" spans="8:8">
      <c r="H22718" t="s">
        <v>39999</v>
      </c>
    </row>
    <row r="22719" spans="8:8">
      <c r="H22719" t="s">
        <v>40000</v>
      </c>
    </row>
    <row r="22720" spans="8:8">
      <c r="H22720" t="s">
        <v>40001</v>
      </c>
    </row>
    <row r="22721" spans="8:8">
      <c r="H22721" t="s">
        <v>40002</v>
      </c>
    </row>
    <row r="22722" spans="8:8">
      <c r="H22722" t="s">
        <v>40006</v>
      </c>
    </row>
    <row r="22723" spans="8:8">
      <c r="H22723" t="s">
        <v>40007</v>
      </c>
    </row>
    <row r="22724" spans="8:8">
      <c r="H22724" t="s">
        <v>40011</v>
      </c>
    </row>
    <row r="22725" spans="8:8">
      <c r="H22725" t="s">
        <v>40012</v>
      </c>
    </row>
    <row r="22726" spans="8:8">
      <c r="H22726" t="s">
        <v>40013</v>
      </c>
    </row>
    <row r="22727" spans="8:8">
      <c r="H22727" t="s">
        <v>40022</v>
      </c>
    </row>
    <row r="22728" spans="8:8">
      <c r="H22728" t="s">
        <v>40023</v>
      </c>
    </row>
    <row r="22729" spans="8:8">
      <c r="H22729" t="s">
        <v>40024</v>
      </c>
    </row>
    <row r="22730" spans="8:8">
      <c r="H22730" t="s">
        <v>40025</v>
      </c>
    </row>
    <row r="22731" spans="8:8">
      <c r="H22731" t="s">
        <v>40026</v>
      </c>
    </row>
    <row r="22732" spans="8:8">
      <c r="H22732" t="s">
        <v>40027</v>
      </c>
    </row>
    <row r="22733" spans="8:8">
      <c r="H22733" t="s">
        <v>40028</v>
      </c>
    </row>
    <row r="22734" spans="8:8">
      <c r="H22734" t="s">
        <v>40031</v>
      </c>
    </row>
    <row r="22735" spans="8:8">
      <c r="H22735" t="s">
        <v>40032</v>
      </c>
    </row>
    <row r="22736" spans="8:8">
      <c r="H22736" t="s">
        <v>40033</v>
      </c>
    </row>
    <row r="22737" spans="1:8">
      <c r="H22737" t="s">
        <v>40035</v>
      </c>
    </row>
    <row r="22738" spans="1:8">
      <c r="H22738" t="s">
        <v>40036</v>
      </c>
    </row>
    <row r="22739" spans="1:8">
      <c r="H22739" t="s">
        <v>40037</v>
      </c>
    </row>
    <row r="22740" spans="1:8">
      <c r="A22740" t="s">
        <v>4906</v>
      </c>
      <c r="B22740">
        <f>HYPERLINK("https://android.googlesource.com/platform/cts/+/615edc2898ee26f3583cb74a4a4ac5958f7e87a7", "615edc2898ee26f3583cb74a4a4ac5958f7e87a7")</f>
        <v>0</v>
      </c>
      <c r="C22740">
        <f>HYPERLINK("https://android.googlesource.com/platform/cts/+/ab4b09f0e3bb97d3ddef637317c4ad2da055748d", "ab4b09f0e3bb97d3ddef637317c4ad2da055748d")</f>
        <v>0</v>
      </c>
      <c r="D22740" t="s">
        <v>5409</v>
      </c>
      <c r="E22740" t="s">
        <v>10562</v>
      </c>
      <c r="F22740" t="s">
        <v>14435</v>
      </c>
      <c r="G22740" t="s">
        <v>18371</v>
      </c>
      <c r="H22740" t="s">
        <v>40044</v>
      </c>
    </row>
    <row r="22741" spans="1:8">
      <c r="H22741" t="s">
        <v>40045</v>
      </c>
    </row>
    <row r="22742" spans="1:8">
      <c r="F22742" t="s">
        <v>14957</v>
      </c>
      <c r="G22742" t="s">
        <v>18788</v>
      </c>
      <c r="H22742" t="s">
        <v>40046</v>
      </c>
    </row>
    <row r="22743" spans="1:8">
      <c r="H22743" t="s">
        <v>40047</v>
      </c>
    </row>
    <row r="22744" spans="1:8">
      <c r="H22744" t="s">
        <v>40048</v>
      </c>
    </row>
    <row r="22745" spans="1:8">
      <c r="F22745" t="s">
        <v>14136</v>
      </c>
      <c r="G22745" t="s">
        <v>18124</v>
      </c>
      <c r="H22745" t="s">
        <v>40057</v>
      </c>
    </row>
    <row r="22746" spans="1:8">
      <c r="H22746" t="s">
        <v>40058</v>
      </c>
    </row>
    <row r="22747" spans="1:8">
      <c r="F22747" t="s">
        <v>14137</v>
      </c>
      <c r="G22747" t="s">
        <v>18125</v>
      </c>
      <c r="H22747" t="s">
        <v>40059</v>
      </c>
    </row>
    <row r="22748" spans="1:8">
      <c r="H22748" t="s">
        <v>40060</v>
      </c>
    </row>
    <row r="22749" spans="1:8">
      <c r="H22749" t="s">
        <v>40061</v>
      </c>
    </row>
    <row r="22750" spans="1:8">
      <c r="H22750" t="s">
        <v>19266</v>
      </c>
    </row>
    <row r="22751" spans="1:8">
      <c r="H22751" t="s">
        <v>40062</v>
      </c>
    </row>
    <row r="22752" spans="1:8">
      <c r="F22752" t="s">
        <v>14959</v>
      </c>
      <c r="G22752" t="s">
        <v>18790</v>
      </c>
      <c r="H22752" t="s">
        <v>40067</v>
      </c>
    </row>
    <row r="22753" spans="6:8">
      <c r="F22753" t="s">
        <v>14960</v>
      </c>
      <c r="G22753" t="s">
        <v>18791</v>
      </c>
      <c r="H22753" t="s">
        <v>40068</v>
      </c>
    </row>
    <row r="22754" spans="6:8">
      <c r="H22754" t="s">
        <v>40069</v>
      </c>
    </row>
    <row r="22755" spans="6:8">
      <c r="H22755" t="s">
        <v>40070</v>
      </c>
    </row>
    <row r="22756" spans="6:8">
      <c r="H22756" t="s">
        <v>40071</v>
      </c>
    </row>
    <row r="22757" spans="6:8">
      <c r="H22757" t="s">
        <v>40072</v>
      </c>
    </row>
    <row r="22758" spans="6:8">
      <c r="H22758" t="s">
        <v>40073</v>
      </c>
    </row>
    <row r="22759" spans="6:8">
      <c r="H22759" t="s">
        <v>40074</v>
      </c>
    </row>
    <row r="22760" spans="6:8">
      <c r="H22760" t="s">
        <v>40075</v>
      </c>
    </row>
    <row r="22761" spans="6:8">
      <c r="H22761" t="s">
        <v>40076</v>
      </c>
    </row>
    <row r="22762" spans="6:8">
      <c r="H22762" t="s">
        <v>40077</v>
      </c>
    </row>
    <row r="22763" spans="6:8">
      <c r="H22763" t="s">
        <v>40078</v>
      </c>
    </row>
    <row r="22764" spans="6:8">
      <c r="H22764" t="s">
        <v>40079</v>
      </c>
    </row>
    <row r="22765" spans="6:8">
      <c r="H22765" t="s">
        <v>40080</v>
      </c>
    </row>
    <row r="22766" spans="6:8">
      <c r="H22766" t="s">
        <v>40081</v>
      </c>
    </row>
    <row r="22767" spans="6:8">
      <c r="F22767" t="s">
        <v>12743</v>
      </c>
      <c r="G22767" t="s">
        <v>16935</v>
      </c>
      <c r="H22767" t="s">
        <v>33499</v>
      </c>
    </row>
    <row r="22768" spans="6:8">
      <c r="H22768" t="s">
        <v>40087</v>
      </c>
    </row>
    <row r="22769" spans="6:8">
      <c r="H22769" t="s">
        <v>40057</v>
      </c>
    </row>
    <row r="22770" spans="6:8">
      <c r="H22770" t="s">
        <v>40058</v>
      </c>
    </row>
    <row r="22771" spans="6:8">
      <c r="H22771" t="s">
        <v>40059</v>
      </c>
    </row>
    <row r="22772" spans="6:8">
      <c r="F22772" t="s">
        <v>14961</v>
      </c>
      <c r="G22772" t="s">
        <v>18792</v>
      </c>
      <c r="H22772" t="s">
        <v>40089</v>
      </c>
    </row>
    <row r="22773" spans="6:8">
      <c r="F22773" t="s">
        <v>13847</v>
      </c>
      <c r="G22773" t="s">
        <v>17890</v>
      </c>
      <c r="H22773" t="s">
        <v>40090</v>
      </c>
    </row>
    <row r="22774" spans="6:8">
      <c r="H22774" t="s">
        <v>31837</v>
      </c>
    </row>
    <row r="22775" spans="6:8">
      <c r="F22775" t="s">
        <v>13229</v>
      </c>
      <c r="G22775" t="s">
        <v>17370</v>
      </c>
      <c r="H22775" t="s">
        <v>40060</v>
      </c>
    </row>
    <row r="22776" spans="6:8">
      <c r="H22776" t="s">
        <v>19266</v>
      </c>
    </row>
    <row r="22777" spans="6:8">
      <c r="H22777" t="s">
        <v>33499</v>
      </c>
    </row>
    <row r="22778" spans="6:8">
      <c r="F22778" t="s">
        <v>13136</v>
      </c>
      <c r="G22778" t="s">
        <v>17293</v>
      </c>
      <c r="H22778" t="s">
        <v>40057</v>
      </c>
    </row>
    <row r="22779" spans="6:8">
      <c r="H22779" t="s">
        <v>40058</v>
      </c>
    </row>
    <row r="22780" spans="6:8">
      <c r="H22780" t="s">
        <v>40059</v>
      </c>
    </row>
    <row r="22781" spans="6:8">
      <c r="F22781" t="s">
        <v>12745</v>
      </c>
      <c r="G22781" t="s">
        <v>16937</v>
      </c>
      <c r="H22781" t="s">
        <v>40059</v>
      </c>
    </row>
    <row r="22782" spans="6:8">
      <c r="H22782" t="s">
        <v>40058</v>
      </c>
    </row>
    <row r="22783" spans="6:8">
      <c r="F22783" t="s">
        <v>14122</v>
      </c>
      <c r="G22783" t="s">
        <v>18112</v>
      </c>
      <c r="H22783" t="s">
        <v>40060</v>
      </c>
    </row>
    <row r="22784" spans="6:8">
      <c r="H22784" t="s">
        <v>19266</v>
      </c>
    </row>
    <row r="22785" spans="1:8">
      <c r="H22785" t="s">
        <v>40092</v>
      </c>
    </row>
    <row r="22786" spans="1:8">
      <c r="F22786" t="s">
        <v>14265</v>
      </c>
      <c r="G22786" t="s">
        <v>18232</v>
      </c>
      <c r="H22786" t="s">
        <v>40099</v>
      </c>
    </row>
    <row r="22787" spans="1:8">
      <c r="F22787" t="s">
        <v>14965</v>
      </c>
      <c r="G22787" t="s">
        <v>18795</v>
      </c>
      <c r="H22787" t="s">
        <v>40100</v>
      </c>
    </row>
    <row r="22788" spans="1:8">
      <c r="A22788" t="s">
        <v>4907</v>
      </c>
      <c r="B22788">
        <f>HYPERLINK("https://android.googlesource.com/platform/cts/+/e4d0798fcc1c95d1ffd8fc96db88efe94e07e0a0", "e4d0798fcc1c95d1ffd8fc96db88efe94e07e0a0")</f>
        <v>0</v>
      </c>
      <c r="C22788">
        <f>HYPERLINK("https://android.googlesource.com/platform/cts/+/e19ac68f85aaf96287e126a9c858e47ea86e442a", "e19ac68f85aaf96287e126a9c858e47ea86e442a")</f>
        <v>0</v>
      </c>
      <c r="D22788" t="s">
        <v>5796</v>
      </c>
      <c r="E22788" t="s">
        <v>10563</v>
      </c>
      <c r="F22788" t="s">
        <v>12402</v>
      </c>
      <c r="G22788" t="s">
        <v>16624</v>
      </c>
      <c r="H22788" t="s">
        <v>40185</v>
      </c>
    </row>
    <row r="22789" spans="1:8">
      <c r="A22789" t="s">
        <v>4909</v>
      </c>
      <c r="B22789">
        <f>HYPERLINK("https://android.googlesource.com/platform/cts/+/22dfbae5c5abf4979c39b1b6b1d081da635d4db9", "22dfbae5c5abf4979c39b1b6b1d081da635d4db9")</f>
        <v>0</v>
      </c>
      <c r="C22789">
        <f>HYPERLINK("https://android.googlesource.com/platform/cts/+/6ec225e65d165677efbc08a9323630f2f1371ee8", "6ec225e65d165677efbc08a9323630f2f1371ee8")</f>
        <v>0</v>
      </c>
      <c r="D22789" t="s">
        <v>5409</v>
      </c>
      <c r="E22789" t="s">
        <v>10565</v>
      </c>
      <c r="F22789" t="s">
        <v>14969</v>
      </c>
      <c r="G22789" t="s">
        <v>18108</v>
      </c>
      <c r="H22789" t="s">
        <v>33478</v>
      </c>
    </row>
    <row r="22790" spans="1:8">
      <c r="H22790" t="s">
        <v>33479</v>
      </c>
    </row>
    <row r="22791" spans="1:8">
      <c r="H22791" t="s">
        <v>33480</v>
      </c>
    </row>
    <row r="22792" spans="1:8">
      <c r="H22792" t="s">
        <v>40187</v>
      </c>
    </row>
    <row r="22793" spans="1:8">
      <c r="F22793" t="s">
        <v>14970</v>
      </c>
      <c r="G22793" t="s">
        <v>18797</v>
      </c>
      <c r="H22793" t="s">
        <v>33479</v>
      </c>
    </row>
    <row r="22794" spans="1:8">
      <c r="H22794" t="s">
        <v>33480</v>
      </c>
    </row>
    <row r="22795" spans="1:8">
      <c r="H22795" t="s">
        <v>33481</v>
      </c>
    </row>
    <row r="22796" spans="1:8">
      <c r="F22796" t="s">
        <v>14249</v>
      </c>
      <c r="G22796" t="s">
        <v>18214</v>
      </c>
      <c r="H22796" t="s">
        <v>22583</v>
      </c>
    </row>
    <row r="22797" spans="1:8">
      <c r="A22797" t="s">
        <v>4911</v>
      </c>
      <c r="B22797">
        <f>HYPERLINK("https://android.googlesource.com/platform/cts/+/d91e017a3f22a07278a3059f1eb480065d550ea7", "d91e017a3f22a07278a3059f1eb480065d550ea7")</f>
        <v>0</v>
      </c>
      <c r="C22797">
        <f>HYPERLINK("https://android.googlesource.com/platform/cts/+/90eef34764ce0f253e509a3cd83dfcc2b2caab56", "90eef34764ce0f253e509a3cd83dfcc2b2caab56")</f>
        <v>0</v>
      </c>
      <c r="D22797" t="s">
        <v>5802</v>
      </c>
      <c r="E22797" t="s">
        <v>10567</v>
      </c>
      <c r="F22797" t="s">
        <v>14748</v>
      </c>
      <c r="G22797" t="s">
        <v>18624</v>
      </c>
      <c r="H22797" t="s">
        <v>40190</v>
      </c>
    </row>
    <row r="22798" spans="1:8">
      <c r="H22798" t="s">
        <v>40191</v>
      </c>
    </row>
    <row r="22799" spans="1:8">
      <c r="H22799" t="s">
        <v>40192</v>
      </c>
    </row>
    <row r="22800" spans="1:8">
      <c r="H22800" t="s">
        <v>40193</v>
      </c>
    </row>
    <row r="22801" spans="1:8">
      <c r="A22801" t="s">
        <v>4913</v>
      </c>
      <c r="B22801">
        <f>HYPERLINK("https://android.googlesource.com/platform/cts/+/a703d7806a6b90a705fce5da33f5d898a51c62cc", "a703d7806a6b90a705fce5da33f5d898a51c62cc")</f>
        <v>0</v>
      </c>
      <c r="C22801">
        <f>HYPERLINK("https://android.googlesource.com/platform/cts/+/4663f22b9ccb5f51400522897128a11e2b0350bf", "4663f22b9ccb5f51400522897128a11e2b0350bf")</f>
        <v>0</v>
      </c>
      <c r="D22801" t="s">
        <v>5803</v>
      </c>
      <c r="E22801" t="s">
        <v>10569</v>
      </c>
      <c r="F22801" t="s">
        <v>13815</v>
      </c>
      <c r="G22801" t="s">
        <v>17862</v>
      </c>
      <c r="H22801" t="s">
        <v>40194</v>
      </c>
    </row>
    <row r="22802" spans="1:8">
      <c r="H22802" t="s">
        <v>40195</v>
      </c>
    </row>
    <row r="22803" spans="1:8">
      <c r="F22803" t="s">
        <v>12743</v>
      </c>
      <c r="G22803" t="s">
        <v>16935</v>
      </c>
      <c r="H22803" t="s">
        <v>25780</v>
      </c>
    </row>
    <row r="22804" spans="1:8">
      <c r="F22804" t="s">
        <v>13229</v>
      </c>
      <c r="G22804" t="s">
        <v>17370</v>
      </c>
      <c r="H22804" t="s">
        <v>25780</v>
      </c>
    </row>
    <row r="22805" spans="1:8">
      <c r="F22805" t="s">
        <v>13136</v>
      </c>
      <c r="G22805" t="s">
        <v>17293</v>
      </c>
      <c r="H22805" t="s">
        <v>25780</v>
      </c>
    </row>
    <row r="22806" spans="1:8">
      <c r="A22806" t="s">
        <v>4918</v>
      </c>
      <c r="B22806">
        <f>HYPERLINK("https://android.googlesource.com/platform/cts/+/5902dc69558ee2c7ff2a1361b78f5565a10370c2", "5902dc69558ee2c7ff2a1361b78f5565a10370c2")</f>
        <v>0</v>
      </c>
      <c r="C22806">
        <f>HYPERLINK("https://android.googlesource.com/platform/cts/+/70b2e1605dcf8603eae9c226538b7ef8ebf3f502", "70b2e1605dcf8603eae9c226538b7ef8ebf3f502")</f>
        <v>0</v>
      </c>
      <c r="D22806" t="s">
        <v>5801</v>
      </c>
      <c r="E22806" t="s">
        <v>10574</v>
      </c>
      <c r="F22806" t="s">
        <v>14976</v>
      </c>
      <c r="G22806" t="s">
        <v>18801</v>
      </c>
      <c r="H22806" t="s">
        <v>40207</v>
      </c>
    </row>
    <row r="22807" spans="1:8">
      <c r="A22807" t="s">
        <v>4920</v>
      </c>
      <c r="B22807">
        <f>HYPERLINK("https://android.googlesource.com/platform/cts/+/2fe132ff8f318ee564ff611e052148f0f1a68555", "2fe132ff8f318ee564ff611e052148f0f1a68555")</f>
        <v>0</v>
      </c>
      <c r="C22807">
        <f>HYPERLINK("https://android.googlesource.com/platform/cts/+/fa540923ebffc8504157d436e15f3a605f453345", "fa540923ebffc8504157d436e15f3a605f453345")</f>
        <v>0</v>
      </c>
      <c r="D22807" t="s">
        <v>5564</v>
      </c>
      <c r="E22807" t="s">
        <v>10576</v>
      </c>
      <c r="F22807" t="s">
        <v>10744</v>
      </c>
      <c r="G22807" t="s">
        <v>15143</v>
      </c>
      <c r="H22807" t="s">
        <v>40209</v>
      </c>
    </row>
    <row r="22808" spans="1:8">
      <c r="H22808" t="s">
        <v>40210</v>
      </c>
    </row>
    <row r="22809" spans="1:8">
      <c r="H22809" t="s">
        <v>40211</v>
      </c>
    </row>
    <row r="22810" spans="1:8">
      <c r="H22810" t="s">
        <v>40215</v>
      </c>
    </row>
    <row r="22811" spans="1:8">
      <c r="H22811" t="s">
        <v>40216</v>
      </c>
    </row>
    <row r="22812" spans="1:8">
      <c r="H22812" t="s">
        <v>40217</v>
      </c>
    </row>
    <row r="22813" spans="1:8">
      <c r="H22813" t="s">
        <v>40218</v>
      </c>
    </row>
    <row r="22814" spans="1:8">
      <c r="H22814" t="s">
        <v>40219</v>
      </c>
    </row>
    <row r="22815" spans="1:8">
      <c r="H22815" t="s">
        <v>40220</v>
      </c>
    </row>
    <row r="22816" spans="1:8">
      <c r="H22816" t="s">
        <v>40221</v>
      </c>
    </row>
    <row r="22817" spans="8:8">
      <c r="H22817" t="s">
        <v>40222</v>
      </c>
    </row>
    <row r="22818" spans="8:8">
      <c r="H22818" t="s">
        <v>40223</v>
      </c>
    </row>
    <row r="22819" spans="8:8">
      <c r="H22819" t="s">
        <v>40224</v>
      </c>
    </row>
    <row r="22820" spans="8:8">
      <c r="H22820" t="s">
        <v>40225</v>
      </c>
    </row>
    <row r="22821" spans="8:8">
      <c r="H22821" t="s">
        <v>40226</v>
      </c>
    </row>
    <row r="22822" spans="8:8">
      <c r="H22822" t="s">
        <v>40227</v>
      </c>
    </row>
    <row r="22823" spans="8:8">
      <c r="H22823" t="s">
        <v>40228</v>
      </c>
    </row>
    <row r="22824" spans="8:8">
      <c r="H22824" t="s">
        <v>40229</v>
      </c>
    </row>
    <row r="22825" spans="8:8">
      <c r="H22825" t="s">
        <v>26477</v>
      </c>
    </row>
    <row r="22826" spans="8:8">
      <c r="H22826" t="s">
        <v>40230</v>
      </c>
    </row>
    <row r="22827" spans="8:8">
      <c r="H22827" t="s">
        <v>40231</v>
      </c>
    </row>
    <row r="22828" spans="8:8">
      <c r="H22828" t="s">
        <v>40232</v>
      </c>
    </row>
    <row r="22829" spans="8:8">
      <c r="H22829" t="s">
        <v>40233</v>
      </c>
    </row>
    <row r="22830" spans="8:8">
      <c r="H22830" t="s">
        <v>40234</v>
      </c>
    </row>
    <row r="22831" spans="8:8">
      <c r="H22831" t="s">
        <v>40235</v>
      </c>
    </row>
    <row r="22832" spans="8:8">
      <c r="H22832" t="s">
        <v>40236</v>
      </c>
    </row>
    <row r="22833" spans="8:8">
      <c r="H22833" t="s">
        <v>40237</v>
      </c>
    </row>
    <row r="22834" spans="8:8">
      <c r="H22834" t="s">
        <v>40238</v>
      </c>
    </row>
    <row r="22835" spans="8:8">
      <c r="H22835" t="s">
        <v>40239</v>
      </c>
    </row>
    <row r="22836" spans="8:8">
      <c r="H22836" t="s">
        <v>40240</v>
      </c>
    </row>
    <row r="22837" spans="8:8">
      <c r="H22837" t="s">
        <v>40241</v>
      </c>
    </row>
    <row r="22838" spans="8:8">
      <c r="H22838" t="s">
        <v>40242</v>
      </c>
    </row>
    <row r="22839" spans="8:8">
      <c r="H22839" t="s">
        <v>40243</v>
      </c>
    </row>
    <row r="22840" spans="8:8">
      <c r="H22840" t="s">
        <v>40244</v>
      </c>
    </row>
    <row r="22841" spans="8:8">
      <c r="H22841" t="s">
        <v>40245</v>
      </c>
    </row>
    <row r="22842" spans="8:8">
      <c r="H22842" t="s">
        <v>40246</v>
      </c>
    </row>
    <row r="22843" spans="8:8">
      <c r="H22843" t="s">
        <v>40247</v>
      </c>
    </row>
    <row r="22844" spans="8:8">
      <c r="H22844" t="s">
        <v>40248</v>
      </c>
    </row>
    <row r="22845" spans="8:8">
      <c r="H22845" t="s">
        <v>40249</v>
      </c>
    </row>
    <row r="22846" spans="8:8">
      <c r="H22846" t="s">
        <v>40250</v>
      </c>
    </row>
    <row r="22847" spans="8:8">
      <c r="H22847" t="s">
        <v>40251</v>
      </c>
    </row>
    <row r="22848" spans="8:8">
      <c r="H22848" t="s">
        <v>40255</v>
      </c>
    </row>
    <row r="22849" spans="1:8">
      <c r="H22849" t="s">
        <v>40256</v>
      </c>
    </row>
    <row r="22850" spans="1:8">
      <c r="H22850" t="s">
        <v>40257</v>
      </c>
    </row>
    <row r="22851" spans="1:8">
      <c r="H22851" t="s">
        <v>40258</v>
      </c>
    </row>
    <row r="22852" spans="1:8">
      <c r="H22852" t="s">
        <v>40259</v>
      </c>
    </row>
    <row r="22853" spans="1:8">
      <c r="H22853" t="s">
        <v>40260</v>
      </c>
    </row>
    <row r="22854" spans="1:8">
      <c r="H22854" t="s">
        <v>40262</v>
      </c>
    </row>
    <row r="22855" spans="1:8">
      <c r="H22855" t="s">
        <v>40264</v>
      </c>
    </row>
    <row r="22856" spans="1:8">
      <c r="H22856" t="s">
        <v>40265</v>
      </c>
    </row>
    <row r="22857" spans="1:8">
      <c r="A22857" t="s">
        <v>4923</v>
      </c>
      <c r="B22857">
        <f>HYPERLINK("https://android.googlesource.com/platform/cts/+/c353f6eeacf82bec373874e0d199bd680ee7ae91", "c353f6eeacf82bec373874e0d199bd680ee7ae91")</f>
        <v>0</v>
      </c>
      <c r="C22857">
        <f>HYPERLINK("https://android.googlesource.com/platform/cts/+/9d9166ea12d663ca60fa7d0a4a4ef5c5cb758f5b", "9d9166ea12d663ca60fa7d0a4a4ef5c5cb758f5b")</f>
        <v>0</v>
      </c>
      <c r="D22857" t="s">
        <v>5806</v>
      </c>
      <c r="E22857" t="s">
        <v>10579</v>
      </c>
      <c r="F22857" t="s">
        <v>14981</v>
      </c>
      <c r="G22857" t="s">
        <v>18805</v>
      </c>
      <c r="H22857" t="s">
        <v>40272</v>
      </c>
    </row>
    <row r="22858" spans="1:8">
      <c r="A22858" t="s">
        <v>4924</v>
      </c>
      <c r="B22858">
        <f>HYPERLINK("https://android.googlesource.com/platform/cts/+/90a783823e7ede91f486f760499c04fd7744b35f", "90a783823e7ede91f486f760499c04fd7744b35f")</f>
        <v>0</v>
      </c>
      <c r="C22858">
        <f>HYPERLINK("https://android.googlesource.com/platform/cts/+/ba912b1574ed9407132c69e18dcbbc57bc44dcc7", "ba912b1574ed9407132c69e18dcbbc57bc44dcc7")</f>
        <v>0</v>
      </c>
      <c r="D22858" t="s">
        <v>4996</v>
      </c>
      <c r="E22858" t="s">
        <v>10580</v>
      </c>
      <c r="F22858" t="s">
        <v>14982</v>
      </c>
      <c r="G22858" t="s">
        <v>18806</v>
      </c>
      <c r="H22858" t="s">
        <v>40275</v>
      </c>
    </row>
    <row r="22859" spans="1:8">
      <c r="H22859" t="s">
        <v>32846</v>
      </c>
    </row>
    <row r="22860" spans="1:8">
      <c r="H22860" t="s">
        <v>32847</v>
      </c>
    </row>
    <row r="22861" spans="1:8">
      <c r="H22861" t="s">
        <v>37910</v>
      </c>
    </row>
    <row r="22862" spans="1:8">
      <c r="F22862" t="s">
        <v>14983</v>
      </c>
      <c r="G22862" t="s">
        <v>18807</v>
      </c>
      <c r="H22862" t="s">
        <v>32846</v>
      </c>
    </row>
    <row r="22863" spans="1:8">
      <c r="H22863" t="s">
        <v>32847</v>
      </c>
    </row>
    <row r="22864" spans="1:8">
      <c r="H22864" t="s">
        <v>37910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19491"/>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8</v>
      </c>
      <c r="B2">
        <f>HYPERLINK("https://android.googlesource.com/platform/cts/+/7ca56dfb7d78d0050a3da3d87c040ca7910b3344", "7ca56dfb7d78d0050a3da3d87c040ca7910b3344")</f>
        <v>0</v>
      </c>
      <c r="C2">
        <f>HYPERLINK("https://android.googlesource.com/platform/cts/+/f8057104af9cae031b544e971a52adafa7c0d9e1", "f8057104af9cae031b544e971a52adafa7c0d9e1")</f>
        <v>0</v>
      </c>
      <c r="D2" t="s">
        <v>4926</v>
      </c>
      <c r="E2" t="s">
        <v>5808</v>
      </c>
      <c r="F2" t="s">
        <v>10582</v>
      </c>
      <c r="G2" t="s">
        <v>14985</v>
      </c>
      <c r="H2" t="s">
        <v>18808</v>
      </c>
    </row>
    <row r="3" spans="1:8">
      <c r="A3" t="s">
        <v>22</v>
      </c>
      <c r="B3">
        <f>HYPERLINK("https://android.googlesource.com/platform/cts/+/309d0e9b1af033a536fd208720fed9b98a1a605d", "309d0e9b1af033a536fd208720fed9b98a1a605d")</f>
        <v>0</v>
      </c>
      <c r="C3">
        <f>HYPERLINK("https://android.googlesource.com/platform/cts/+/2d8a0a39019939e66b412fa528007d666316686c", "2d8a0a39019939e66b412fa528007d666316686c")</f>
        <v>0</v>
      </c>
      <c r="D3" t="s">
        <v>4926</v>
      </c>
      <c r="E3" t="s">
        <v>5822</v>
      </c>
      <c r="F3" t="s">
        <v>10594</v>
      </c>
      <c r="G3" t="s">
        <v>14997</v>
      </c>
      <c r="H3" t="s">
        <v>18834</v>
      </c>
    </row>
    <row r="4" spans="1:8">
      <c r="A4" t="s">
        <v>25</v>
      </c>
      <c r="B4">
        <f>HYPERLINK("https://android.googlesource.com/platform/cts/+/77357827ec785b86132b4ee135189beb96595729", "77357827ec785b86132b4ee135189beb96595729")</f>
        <v>0</v>
      </c>
      <c r="C4">
        <f>HYPERLINK("https://android.googlesource.com/platform/cts/+/3b518328bf6595230c0cf460801d53406b1084b3", "3b518328bf6595230c0cf460801d53406b1084b3")</f>
        <v>0</v>
      </c>
      <c r="D4" t="s">
        <v>4926</v>
      </c>
      <c r="E4" t="s">
        <v>5825</v>
      </c>
      <c r="F4" t="s">
        <v>10594</v>
      </c>
      <c r="G4" t="s">
        <v>14997</v>
      </c>
      <c r="H4" t="s">
        <v>18834</v>
      </c>
    </row>
    <row r="5" spans="1:8">
      <c r="A5" t="s">
        <v>26</v>
      </c>
      <c r="B5">
        <f>HYPERLINK("https://android.googlesource.com/platform/cts/+/2ef9a889f8ecd5e543cde0f87163544a5bb9265e", "2ef9a889f8ecd5e543cde0f87163544a5bb9265e")</f>
        <v>0</v>
      </c>
      <c r="C5">
        <f>HYPERLINK("https://android.googlesource.com/platform/cts/+/cb2832b92dbe9c57f5d283cfb4bd596528eb3917", "cb2832b92dbe9c57f5d283cfb4bd596528eb3917")</f>
        <v>0</v>
      </c>
      <c r="D5" t="s">
        <v>4926</v>
      </c>
      <c r="E5" t="s">
        <v>5826</v>
      </c>
      <c r="F5" t="s">
        <v>10594</v>
      </c>
      <c r="G5" t="s">
        <v>14997</v>
      </c>
      <c r="H5" t="s">
        <v>18834</v>
      </c>
    </row>
    <row r="6" spans="1:8">
      <c r="A6" t="s">
        <v>27</v>
      </c>
      <c r="B6">
        <f>HYPERLINK("https://android.googlesource.com/platform/cts/+/7ae786780ba025c5f49bff98109882b222c3806a", "7ae786780ba025c5f49bff98109882b222c3806a")</f>
        <v>0</v>
      </c>
      <c r="C6">
        <f>HYPERLINK("https://android.googlesource.com/platform/cts/+/ba45315bb7ce4d2b420067f8e157760c266374f1", "ba45315bb7ce4d2b420067f8e157760c266374f1")</f>
        <v>0</v>
      </c>
      <c r="D6" t="s">
        <v>4926</v>
      </c>
      <c r="E6" t="s">
        <v>5827</v>
      </c>
      <c r="F6" t="s">
        <v>10595</v>
      </c>
      <c r="G6" t="s">
        <v>14998</v>
      </c>
      <c r="H6" t="s">
        <v>18835</v>
      </c>
    </row>
    <row r="7" spans="1:8">
      <c r="A7" t="s">
        <v>28</v>
      </c>
      <c r="B7">
        <f>HYPERLINK("https://android.googlesource.com/platform/cts/+/5bf9da14fdf3608fc801a060b0956bf4a152e135", "5bf9da14fdf3608fc801a060b0956bf4a152e135")</f>
        <v>0</v>
      </c>
      <c r="C7">
        <f>HYPERLINK("https://android.googlesource.com/platform/cts/+/58a3e998f87ababe32253c888c1fa83a84132e02", "58a3e998f87ababe32253c888c1fa83a84132e02")</f>
        <v>0</v>
      </c>
      <c r="D7" t="s">
        <v>4926</v>
      </c>
      <c r="E7" t="s">
        <v>5828</v>
      </c>
      <c r="F7" t="s">
        <v>10595</v>
      </c>
      <c r="G7" t="s">
        <v>14998</v>
      </c>
      <c r="H7" t="s">
        <v>18836</v>
      </c>
    </row>
    <row r="8" spans="1:8">
      <c r="A8" t="s">
        <v>29</v>
      </c>
      <c r="B8">
        <f>HYPERLINK("https://android.googlesource.com/platform/cts/+/ab14214fd9813884722925098f4c914a2e6f4632", "ab14214fd9813884722925098f4c914a2e6f4632")</f>
        <v>0</v>
      </c>
      <c r="C8">
        <f>HYPERLINK("https://android.googlesource.com/platform/cts/+/5164ae32d55870a2a47b650ea1f81fae3bd415ea", "5164ae32d55870a2a47b650ea1f81fae3bd415ea")</f>
        <v>0</v>
      </c>
      <c r="D8" t="s">
        <v>4926</v>
      </c>
      <c r="E8" t="s">
        <v>5829</v>
      </c>
      <c r="F8" t="s">
        <v>10595</v>
      </c>
      <c r="G8" t="s">
        <v>14998</v>
      </c>
      <c r="H8" t="s">
        <v>18835</v>
      </c>
    </row>
    <row r="9" spans="1:8">
      <c r="A9" t="s">
        <v>30</v>
      </c>
      <c r="B9">
        <f>HYPERLINK("https://android.googlesource.com/platform/cts/+/d57807eb896c462d3c52b69e9f3280179f35f1e0", "d57807eb896c462d3c52b69e9f3280179f35f1e0")</f>
        <v>0</v>
      </c>
      <c r="C9">
        <f>HYPERLINK("https://android.googlesource.com/platform/cts/+/863f7d8a3af9f8a31fc1de391457afc3682efaaf", "863f7d8a3af9f8a31fc1de391457afc3682efaaf")</f>
        <v>0</v>
      </c>
      <c r="D9" t="s">
        <v>4926</v>
      </c>
      <c r="E9" t="s">
        <v>5830</v>
      </c>
      <c r="F9" t="s">
        <v>10595</v>
      </c>
      <c r="G9" t="s">
        <v>14998</v>
      </c>
      <c r="H9" t="s">
        <v>18836</v>
      </c>
    </row>
    <row r="10" spans="1:8">
      <c r="A10" t="s">
        <v>31</v>
      </c>
      <c r="B10">
        <f>HYPERLINK("https://android.googlesource.com/platform/cts/+/2cc3145e1b66d5e759346240708fd4dcb712ec62", "2cc3145e1b66d5e759346240708fd4dcb712ec62")</f>
        <v>0</v>
      </c>
      <c r="C10">
        <f>HYPERLINK("https://android.googlesource.com/platform/cts/+/39ef24a4f32d952686ade6e64e92f76ebb268e58", "39ef24a4f32d952686ade6e64e92f76ebb268e58")</f>
        <v>0</v>
      </c>
      <c r="D10" t="s">
        <v>4926</v>
      </c>
      <c r="E10" t="s">
        <v>5831</v>
      </c>
      <c r="F10" t="s">
        <v>10595</v>
      </c>
      <c r="G10" t="s">
        <v>14998</v>
      </c>
      <c r="H10" t="s">
        <v>18835</v>
      </c>
    </row>
    <row r="11" spans="1:8">
      <c r="A11" t="s">
        <v>32</v>
      </c>
      <c r="B11">
        <f>HYPERLINK("https://android.googlesource.com/platform/cts/+/31fb751e85a60b168139dd8f986f68c5066474e9", "31fb751e85a60b168139dd8f986f68c5066474e9")</f>
        <v>0</v>
      </c>
      <c r="C11">
        <f>HYPERLINK("https://android.googlesource.com/platform/cts/+/da7d28e55d788988c699cef67d3ef18accf42aa1", "da7d28e55d788988c699cef67d3ef18accf42aa1")</f>
        <v>0</v>
      </c>
      <c r="D11" t="s">
        <v>4926</v>
      </c>
      <c r="E11" t="s">
        <v>5832</v>
      </c>
      <c r="F11" t="s">
        <v>10595</v>
      </c>
      <c r="G11" t="s">
        <v>14998</v>
      </c>
      <c r="H11" t="s">
        <v>18836</v>
      </c>
    </row>
    <row r="12" spans="1:8">
      <c r="A12" t="s">
        <v>36</v>
      </c>
      <c r="B12">
        <f>HYPERLINK("https://android.googlesource.com/platform/cts/+/5461caa9e82511581178730ff7d3913050e62d27", "5461caa9e82511581178730ff7d3913050e62d27")</f>
        <v>0</v>
      </c>
      <c r="C12">
        <f>HYPERLINK("https://android.googlesource.com/platform/cts/+/c8a5cde6a4f8f126d29fd48a9c76ca205e46d6fc", "c8a5cde6a4f8f126d29fd48a9c76ca205e46d6fc")</f>
        <v>0</v>
      </c>
      <c r="D12" t="s">
        <v>4926</v>
      </c>
      <c r="E12" t="s">
        <v>5836</v>
      </c>
      <c r="F12" t="s">
        <v>10596</v>
      </c>
      <c r="G12" t="s">
        <v>14999</v>
      </c>
      <c r="H12" t="s">
        <v>18838</v>
      </c>
    </row>
    <row r="13" spans="1:8">
      <c r="H13" t="s">
        <v>18839</v>
      </c>
    </row>
    <row r="14" spans="1:8">
      <c r="H14" t="s">
        <v>18840</v>
      </c>
    </row>
    <row r="15" spans="1:8">
      <c r="H15" t="s">
        <v>18841</v>
      </c>
    </row>
    <row r="16" spans="1:8">
      <c r="H16" t="s">
        <v>18842</v>
      </c>
    </row>
    <row r="17" spans="1:8">
      <c r="H17" t="s">
        <v>18843</v>
      </c>
    </row>
    <row r="18" spans="1:8">
      <c r="H18" t="s">
        <v>18844</v>
      </c>
    </row>
    <row r="19" spans="1:8">
      <c r="H19" t="s">
        <v>18847</v>
      </c>
    </row>
    <row r="20" spans="1:8">
      <c r="H20" t="s">
        <v>18850</v>
      </c>
    </row>
    <row r="21" spans="1:8">
      <c r="A21" t="s">
        <v>37</v>
      </c>
      <c r="B21">
        <f>HYPERLINK("https://android.googlesource.com/platform/cts/+/7bdb3e9acf6a4f8250a79b9d1d0d75899f6bd430", "7bdb3e9acf6a4f8250a79b9d1d0d75899f6bd430")</f>
        <v>0</v>
      </c>
      <c r="C21">
        <f>HYPERLINK("https://android.googlesource.com/platform/cts/+/e42765e10fbb0d480460b9a640f3130ffbd0f0e4", "e42765e10fbb0d480460b9a640f3130ffbd0f0e4")</f>
        <v>0</v>
      </c>
      <c r="D21" t="s">
        <v>4926</v>
      </c>
      <c r="E21" t="s">
        <v>5837</v>
      </c>
      <c r="F21" t="s">
        <v>10596</v>
      </c>
      <c r="G21" t="s">
        <v>14999</v>
      </c>
      <c r="H21" t="s">
        <v>18838</v>
      </c>
    </row>
    <row r="22" spans="1:8">
      <c r="H22" t="s">
        <v>18839</v>
      </c>
    </row>
    <row r="23" spans="1:8">
      <c r="H23" t="s">
        <v>18840</v>
      </c>
    </row>
    <row r="24" spans="1:8">
      <c r="H24" t="s">
        <v>18841</v>
      </c>
    </row>
    <row r="25" spans="1:8">
      <c r="H25" t="s">
        <v>18842</v>
      </c>
    </row>
    <row r="26" spans="1:8">
      <c r="H26" t="s">
        <v>18843</v>
      </c>
    </row>
    <row r="27" spans="1:8">
      <c r="H27" t="s">
        <v>18844</v>
      </c>
    </row>
    <row r="28" spans="1:8">
      <c r="H28" t="s">
        <v>18847</v>
      </c>
    </row>
    <row r="29" spans="1:8">
      <c r="H29" t="s">
        <v>18850</v>
      </c>
    </row>
    <row r="30" spans="1:8">
      <c r="A30" t="s">
        <v>38</v>
      </c>
      <c r="B30">
        <f>HYPERLINK("https://android.googlesource.com/platform/cts/+/23546ce4f79a5fbc4bb6efba0e537425e419366b", "23546ce4f79a5fbc4bb6efba0e537425e419366b")</f>
        <v>0</v>
      </c>
      <c r="C30">
        <f>HYPERLINK("https://android.googlesource.com/platform/cts/+/3058575c7c48aab21858e969e070466160e65ef1", "3058575c7c48aab21858e969e070466160e65ef1")</f>
        <v>0</v>
      </c>
      <c r="D30" t="s">
        <v>4926</v>
      </c>
      <c r="E30" t="s">
        <v>5838</v>
      </c>
      <c r="F30" t="s">
        <v>10596</v>
      </c>
      <c r="G30" t="s">
        <v>14999</v>
      </c>
      <c r="H30" t="s">
        <v>18838</v>
      </c>
    </row>
    <row r="31" spans="1:8">
      <c r="H31" t="s">
        <v>18839</v>
      </c>
    </row>
    <row r="32" spans="1:8">
      <c r="H32" t="s">
        <v>18840</v>
      </c>
    </row>
    <row r="33" spans="1:8">
      <c r="H33" t="s">
        <v>18841</v>
      </c>
    </row>
    <row r="34" spans="1:8">
      <c r="H34" t="s">
        <v>18842</v>
      </c>
    </row>
    <row r="35" spans="1:8">
      <c r="H35" t="s">
        <v>18843</v>
      </c>
    </row>
    <row r="36" spans="1:8">
      <c r="H36" t="s">
        <v>18844</v>
      </c>
    </row>
    <row r="37" spans="1:8">
      <c r="H37" t="s">
        <v>18847</v>
      </c>
    </row>
    <row r="38" spans="1:8">
      <c r="H38" t="s">
        <v>18850</v>
      </c>
    </row>
    <row r="39" spans="1:8">
      <c r="A39" t="s">
        <v>39</v>
      </c>
      <c r="B39">
        <f>HYPERLINK("https://android.googlesource.com/platform/cts/+/86ed74f939f577097fa1069965fa6268581d914f", "86ed74f939f577097fa1069965fa6268581d914f")</f>
        <v>0</v>
      </c>
      <c r="C39">
        <f>HYPERLINK("https://android.googlesource.com/platform/cts/+/2cc27de07eb0cbb9196cc8d23a23e313b0861390", "2cc27de07eb0cbb9196cc8d23a23e313b0861390")</f>
        <v>0</v>
      </c>
      <c r="D39" t="s">
        <v>4926</v>
      </c>
      <c r="E39" t="s">
        <v>5839</v>
      </c>
      <c r="F39" t="s">
        <v>10597</v>
      </c>
      <c r="G39" t="s">
        <v>15000</v>
      </c>
      <c r="H39" t="s">
        <v>18851</v>
      </c>
    </row>
    <row r="40" spans="1:8">
      <c r="A40" t="s">
        <v>40</v>
      </c>
      <c r="B40">
        <f>HYPERLINK("https://android.googlesource.com/platform/cts/+/60db5a8fec187a5533b574ea408dd235595d28c5", "60db5a8fec187a5533b574ea408dd235595d28c5")</f>
        <v>0</v>
      </c>
      <c r="C40">
        <f>HYPERLINK("https://android.googlesource.com/platform/cts/+/cdeeb5b288e9c6a250884b3a9f7974ea91c42d24", "cdeeb5b288e9c6a250884b3a9f7974ea91c42d24")</f>
        <v>0</v>
      </c>
      <c r="D40" t="s">
        <v>4926</v>
      </c>
      <c r="E40" t="s">
        <v>5840</v>
      </c>
      <c r="F40" t="s">
        <v>10598</v>
      </c>
      <c r="G40" t="s">
        <v>15001</v>
      </c>
      <c r="H40" t="s">
        <v>18855</v>
      </c>
    </row>
    <row r="41" spans="1:8">
      <c r="H41" t="s">
        <v>18856</v>
      </c>
    </row>
    <row r="42" spans="1:8">
      <c r="H42" t="s">
        <v>18857</v>
      </c>
    </row>
    <row r="43" spans="1:8">
      <c r="H43" t="s">
        <v>18858</v>
      </c>
    </row>
    <row r="44" spans="1:8">
      <c r="H44" t="s">
        <v>18859</v>
      </c>
    </row>
    <row r="45" spans="1:8">
      <c r="H45" t="s">
        <v>18860</v>
      </c>
    </row>
    <row r="46" spans="1:8">
      <c r="A46" t="s">
        <v>42</v>
      </c>
      <c r="B46">
        <f>HYPERLINK("https://android.googlesource.com/platform/cts/+/35074ac61cf15ed16fa1cb3cbcaa60d29db7f4c8", "35074ac61cf15ed16fa1cb3cbcaa60d29db7f4c8")</f>
        <v>0</v>
      </c>
      <c r="C46">
        <f>HYPERLINK("https://android.googlesource.com/platform/cts/+/ea0ecf0189315993a707aa7c3a807bf215536932", "ea0ecf0189315993a707aa7c3a807bf215536932")</f>
        <v>0</v>
      </c>
      <c r="D46" t="s">
        <v>4927</v>
      </c>
      <c r="E46" t="s">
        <v>5842</v>
      </c>
      <c r="F46" t="s">
        <v>10599</v>
      </c>
      <c r="G46" t="s">
        <v>15002</v>
      </c>
      <c r="H46" t="s">
        <v>18862</v>
      </c>
    </row>
    <row r="47" spans="1:8">
      <c r="A47" t="s">
        <v>48</v>
      </c>
      <c r="B47">
        <f>HYPERLINK("https://android.googlesource.com/platform/cts/+/707e13f29c58725e8cd8b2feae36c989bf78dabb", "707e13f29c58725e8cd8b2feae36c989bf78dabb")</f>
        <v>0</v>
      </c>
      <c r="C47">
        <f>HYPERLINK("https://android.googlesource.com/platform/cts/+/debd3ce7a51a51bafa414bca3dd63f98fb9d978c", "debd3ce7a51a51bafa414bca3dd63f98fb9d978c")</f>
        <v>0</v>
      </c>
      <c r="D47" t="s">
        <v>4926</v>
      </c>
      <c r="E47" t="s">
        <v>5848</v>
      </c>
      <c r="F47" t="s">
        <v>10607</v>
      </c>
      <c r="G47" t="s">
        <v>15010</v>
      </c>
      <c r="H47" t="s">
        <v>18851</v>
      </c>
    </row>
    <row r="48" spans="1:8">
      <c r="A48" t="s">
        <v>49</v>
      </c>
      <c r="B48">
        <f>HYPERLINK("https://android.googlesource.com/platform/cts/+/b99c55b1a4098b369496068399f5f9eb7664f8e1", "b99c55b1a4098b369496068399f5f9eb7664f8e1")</f>
        <v>0</v>
      </c>
      <c r="C48">
        <f>HYPERLINK("https://android.googlesource.com/platform/cts/+/9c8b7ebce1208a6b5b788199b8d5cab7f78221d9", "9c8b7ebce1208a6b5b788199b8d5cab7f78221d9")</f>
        <v>0</v>
      </c>
      <c r="D48" t="s">
        <v>4928</v>
      </c>
      <c r="E48" t="s">
        <v>5849</v>
      </c>
      <c r="F48" t="s">
        <v>10608</v>
      </c>
      <c r="G48" t="s">
        <v>15011</v>
      </c>
      <c r="H48" t="s">
        <v>18873</v>
      </c>
    </row>
    <row r="49" spans="1:8">
      <c r="F49" t="s">
        <v>10609</v>
      </c>
      <c r="G49" t="s">
        <v>15012</v>
      </c>
      <c r="H49" t="s">
        <v>18873</v>
      </c>
    </row>
    <row r="50" spans="1:8">
      <c r="H50" t="s">
        <v>18874</v>
      </c>
    </row>
    <row r="51" spans="1:8">
      <c r="A51" t="s">
        <v>51</v>
      </c>
      <c r="B51">
        <f>HYPERLINK("https://android.googlesource.com/platform/cts/+/72b705b4df314c5cb81a9db2347fb6a6f9384b9a", "72b705b4df314c5cb81a9db2347fb6a6f9384b9a")</f>
        <v>0</v>
      </c>
      <c r="C51">
        <f>HYPERLINK("https://android.googlesource.com/platform/cts/+/5d79c6fabf27d80d9373fd10e1d5dbbb58370c22", "5d79c6fabf27d80d9373fd10e1d5dbbb58370c22")</f>
        <v>0</v>
      </c>
      <c r="D51" t="s">
        <v>4929</v>
      </c>
      <c r="E51" t="s">
        <v>5851</v>
      </c>
      <c r="F51" t="s">
        <v>10611</v>
      </c>
      <c r="G51" t="s">
        <v>15014</v>
      </c>
      <c r="H51" t="s">
        <v>18888</v>
      </c>
    </row>
    <row r="52" spans="1:8">
      <c r="H52" t="s">
        <v>18889</v>
      </c>
    </row>
    <row r="53" spans="1:8">
      <c r="A53" t="s">
        <v>57</v>
      </c>
      <c r="B53">
        <f>HYPERLINK("https://android.googlesource.com/platform/cts/+/ce5353465568cca84f2a0998cdc3eb27750aeaa0", "ce5353465568cca84f2a0998cdc3eb27750aeaa0")</f>
        <v>0</v>
      </c>
      <c r="C53">
        <f>HYPERLINK("https://android.googlesource.com/platform/cts/+/d9e4c123f8d24a1ae4395a0e649bf57c9d02a837", "d9e4c123f8d24a1ae4395a0e649bf57c9d02a837")</f>
        <v>0</v>
      </c>
      <c r="D53" t="s">
        <v>4930</v>
      </c>
      <c r="E53" t="s">
        <v>5857</v>
      </c>
      <c r="F53" t="s">
        <v>10623</v>
      </c>
      <c r="G53" t="s">
        <v>15026</v>
      </c>
      <c r="H53" t="s">
        <v>18906</v>
      </c>
    </row>
    <row r="54" spans="1:8">
      <c r="H54" t="s">
        <v>18907</v>
      </c>
    </row>
    <row r="55" spans="1:8">
      <c r="H55" t="s">
        <v>18908</v>
      </c>
    </row>
    <row r="56" spans="1:8">
      <c r="H56" t="s">
        <v>18909</v>
      </c>
    </row>
    <row r="57" spans="1:8">
      <c r="H57" t="s">
        <v>18910</v>
      </c>
    </row>
    <row r="58" spans="1:8">
      <c r="H58" t="s">
        <v>18911</v>
      </c>
    </row>
    <row r="59" spans="1:8">
      <c r="H59" t="s">
        <v>18912</v>
      </c>
    </row>
    <row r="60" spans="1:8">
      <c r="H60" t="s">
        <v>18913</v>
      </c>
    </row>
    <row r="61" spans="1:8">
      <c r="H61" t="s">
        <v>18914</v>
      </c>
    </row>
    <row r="62" spans="1:8">
      <c r="H62" t="s">
        <v>18915</v>
      </c>
    </row>
    <row r="63" spans="1:8">
      <c r="A63" t="s">
        <v>59</v>
      </c>
      <c r="B63">
        <f>HYPERLINK("https://android.googlesource.com/platform/cts/+/3ba0b6150db73d97daedc177f99ed480778ecf41", "3ba0b6150db73d97daedc177f99ed480778ecf41")</f>
        <v>0</v>
      </c>
      <c r="C63">
        <f>HYPERLINK("https://android.googlesource.com/platform/cts/+/7facad782078e7787e96b3992222ad1ff75a4573", "7facad782078e7787e96b3992222ad1ff75a4573")</f>
        <v>0</v>
      </c>
      <c r="D63" t="s">
        <v>4929</v>
      </c>
      <c r="E63" t="s">
        <v>5859</v>
      </c>
      <c r="F63" t="s">
        <v>10625</v>
      </c>
      <c r="G63" t="s">
        <v>15028</v>
      </c>
      <c r="H63" t="s">
        <v>18851</v>
      </c>
    </row>
    <row r="64" spans="1:8">
      <c r="F64" t="s">
        <v>10626</v>
      </c>
      <c r="G64" t="s">
        <v>15029</v>
      </c>
      <c r="H64" t="s">
        <v>18851</v>
      </c>
    </row>
    <row r="65" spans="1:8">
      <c r="F65" t="s">
        <v>10627</v>
      </c>
      <c r="G65" t="s">
        <v>15030</v>
      </c>
      <c r="H65" t="s">
        <v>18918</v>
      </c>
    </row>
    <row r="66" spans="1:8">
      <c r="F66" t="s">
        <v>10583</v>
      </c>
      <c r="G66" t="s">
        <v>14986</v>
      </c>
      <c r="H66" t="s">
        <v>18851</v>
      </c>
    </row>
    <row r="67" spans="1:8">
      <c r="H67" t="s">
        <v>18921</v>
      </c>
    </row>
    <row r="68" spans="1:8">
      <c r="H68" t="s">
        <v>18922</v>
      </c>
    </row>
    <row r="69" spans="1:8">
      <c r="F69" t="s">
        <v>10633</v>
      </c>
      <c r="G69" t="s">
        <v>15036</v>
      </c>
      <c r="H69" t="s">
        <v>18851</v>
      </c>
    </row>
    <row r="70" spans="1:8">
      <c r="F70" t="s">
        <v>10634</v>
      </c>
      <c r="G70" t="s">
        <v>15037</v>
      </c>
      <c r="H70" t="s">
        <v>18851</v>
      </c>
    </row>
    <row r="71" spans="1:8">
      <c r="F71" t="s">
        <v>10639</v>
      </c>
      <c r="G71" t="s">
        <v>15042</v>
      </c>
      <c r="H71" t="s">
        <v>18851</v>
      </c>
    </row>
    <row r="72" spans="1:8">
      <c r="A72" t="s">
        <v>61</v>
      </c>
      <c r="B72">
        <f>HYPERLINK("https://android.googlesource.com/platform/cts/+/746033319bd79b766bd82fca4a13ed66ff4aadec", "746033319bd79b766bd82fca4a13ed66ff4aadec")</f>
        <v>0</v>
      </c>
      <c r="C72">
        <f>HYPERLINK("https://android.googlesource.com/platform/cts/+/703563d0016f3cf307920d24f5151b0cdbf862dd", "703563d0016f3cf307920d24f5151b0cdbf862dd")</f>
        <v>0</v>
      </c>
      <c r="D72" t="s">
        <v>4929</v>
      </c>
      <c r="E72" t="s">
        <v>5861</v>
      </c>
      <c r="F72" t="s">
        <v>10605</v>
      </c>
      <c r="G72" t="s">
        <v>15008</v>
      </c>
      <c r="H72" t="s">
        <v>18969</v>
      </c>
    </row>
    <row r="73" spans="1:8">
      <c r="H73" t="s">
        <v>18970</v>
      </c>
    </row>
    <row r="74" spans="1:8">
      <c r="H74" t="s">
        <v>18971</v>
      </c>
    </row>
    <row r="75" spans="1:8">
      <c r="H75" t="s">
        <v>18972</v>
      </c>
    </row>
    <row r="76" spans="1:8">
      <c r="H76" t="s">
        <v>18973</v>
      </c>
    </row>
    <row r="77" spans="1:8">
      <c r="H77" t="s">
        <v>18974</v>
      </c>
    </row>
    <row r="78" spans="1:8">
      <c r="A78" t="s">
        <v>62</v>
      </c>
      <c r="B78">
        <f>HYPERLINK("https://android.googlesource.com/platform/cts/+/80b2b0414cfb461c562d4133e242daa341ed3bcb", "80b2b0414cfb461c562d4133e242daa341ed3bcb")</f>
        <v>0</v>
      </c>
      <c r="C78">
        <f>HYPERLINK("https://android.googlesource.com/platform/cts/+/4dd61d245f7903f483a74c3ce0261b7355c9a3c9", "4dd61d245f7903f483a74c3ce0261b7355c9a3c9")</f>
        <v>0</v>
      </c>
      <c r="D78" t="s">
        <v>4929</v>
      </c>
      <c r="E78" t="s">
        <v>5862</v>
      </c>
      <c r="F78" t="s">
        <v>10644</v>
      </c>
      <c r="G78" t="s">
        <v>15045</v>
      </c>
      <c r="H78" t="s">
        <v>18979</v>
      </c>
    </row>
    <row r="79" spans="1:8">
      <c r="H79" t="s">
        <v>18980</v>
      </c>
    </row>
    <row r="80" spans="1:8">
      <c r="H80" t="s">
        <v>18981</v>
      </c>
    </row>
    <row r="81" spans="1:8">
      <c r="F81" t="s">
        <v>10645</v>
      </c>
      <c r="G81" t="s">
        <v>15046</v>
      </c>
      <c r="H81" t="s">
        <v>18982</v>
      </c>
    </row>
    <row r="82" spans="1:8">
      <c r="H82" t="s">
        <v>18983</v>
      </c>
    </row>
    <row r="83" spans="1:8">
      <c r="H83" t="s">
        <v>18984</v>
      </c>
    </row>
    <row r="84" spans="1:8">
      <c r="F84" t="s">
        <v>10646</v>
      </c>
      <c r="G84" t="s">
        <v>15047</v>
      </c>
      <c r="H84" t="s">
        <v>18987</v>
      </c>
    </row>
    <row r="85" spans="1:8">
      <c r="A85" t="s">
        <v>64</v>
      </c>
      <c r="B85">
        <f>HYPERLINK("https://android.googlesource.com/platform/cts/+/e1a07a3a6fdd90d85ce7347a5fad4e4996942c3d", "e1a07a3a6fdd90d85ce7347a5fad4e4996942c3d")</f>
        <v>0</v>
      </c>
      <c r="C85">
        <f>HYPERLINK("https://android.googlesource.com/platform/cts/+/253ba6235e47a4b5b62e548be22b360fde0d593f", "253ba6235e47a4b5b62e548be22b360fde0d593f")</f>
        <v>0</v>
      </c>
      <c r="D85" t="s">
        <v>4931</v>
      </c>
      <c r="E85" t="s">
        <v>5864</v>
      </c>
      <c r="F85" t="s">
        <v>10648</v>
      </c>
      <c r="G85" t="s">
        <v>15049</v>
      </c>
      <c r="H85" t="s">
        <v>18992</v>
      </c>
    </row>
    <row r="86" spans="1:8">
      <c r="A86" t="s">
        <v>65</v>
      </c>
      <c r="B86">
        <f>HYPERLINK("https://android.googlesource.com/platform/cts/+/e15a994531cd2f8db19ce0bdd8baed98ba2bfef3", "e15a994531cd2f8db19ce0bdd8baed98ba2bfef3")</f>
        <v>0</v>
      </c>
      <c r="C86">
        <f>HYPERLINK("https://android.googlesource.com/platform/cts/+/ae9efdf0063cf26d5d148dc9bee645d23d95edc0", "ae9efdf0063cf26d5d148dc9bee645d23d95edc0")</f>
        <v>0</v>
      </c>
      <c r="D86" t="s">
        <v>4930</v>
      </c>
      <c r="E86" t="s">
        <v>5865</v>
      </c>
      <c r="F86" t="s">
        <v>10649</v>
      </c>
      <c r="G86" t="s">
        <v>15050</v>
      </c>
      <c r="H86" t="s">
        <v>18994</v>
      </c>
    </row>
    <row r="87" spans="1:8">
      <c r="F87" t="s">
        <v>10650</v>
      </c>
      <c r="G87" t="s">
        <v>15051</v>
      </c>
      <c r="H87" t="s">
        <v>18836</v>
      </c>
    </row>
    <row r="88" spans="1:8">
      <c r="H88" t="s">
        <v>18996</v>
      </c>
    </row>
    <row r="89" spans="1:8">
      <c r="H89" t="s">
        <v>18997</v>
      </c>
    </row>
    <row r="90" spans="1:8">
      <c r="H90" t="s">
        <v>18998</v>
      </c>
    </row>
    <row r="91" spans="1:8">
      <c r="H91" t="s">
        <v>18999</v>
      </c>
    </row>
    <row r="92" spans="1:8">
      <c r="F92" t="s">
        <v>10651</v>
      </c>
      <c r="G92" t="s">
        <v>15052</v>
      </c>
      <c r="H92" t="s">
        <v>18836</v>
      </c>
    </row>
    <row r="93" spans="1:8">
      <c r="H93" t="s">
        <v>19006</v>
      </c>
    </row>
    <row r="94" spans="1:8">
      <c r="H94" t="s">
        <v>19007</v>
      </c>
    </row>
    <row r="95" spans="1:8">
      <c r="H95" t="s">
        <v>19008</v>
      </c>
    </row>
    <row r="96" spans="1:8">
      <c r="H96" t="s">
        <v>19009</v>
      </c>
    </row>
    <row r="97" spans="1:8">
      <c r="H97" t="s">
        <v>19010</v>
      </c>
    </row>
    <row r="98" spans="1:8">
      <c r="H98" t="s">
        <v>19011</v>
      </c>
    </row>
    <row r="99" spans="1:8">
      <c r="H99" t="s">
        <v>18835</v>
      </c>
    </row>
    <row r="100" spans="1:8">
      <c r="H100" t="s">
        <v>19012</v>
      </c>
    </row>
    <row r="101" spans="1:8">
      <c r="H101" t="s">
        <v>19013</v>
      </c>
    </row>
    <row r="102" spans="1:8">
      <c r="H102" t="s">
        <v>19014</v>
      </c>
    </row>
    <row r="103" spans="1:8">
      <c r="F103" t="s">
        <v>10652</v>
      </c>
      <c r="G103" t="s">
        <v>15053</v>
      </c>
      <c r="H103" t="s">
        <v>18836</v>
      </c>
    </row>
    <row r="104" spans="1:8">
      <c r="H104" t="s">
        <v>18835</v>
      </c>
    </row>
    <row r="105" spans="1:8">
      <c r="H105" t="s">
        <v>19007</v>
      </c>
    </row>
    <row r="106" spans="1:8">
      <c r="H106" t="s">
        <v>19010</v>
      </c>
    </row>
    <row r="107" spans="1:8">
      <c r="H107" t="s">
        <v>19013</v>
      </c>
    </row>
    <row r="108" spans="1:8">
      <c r="A108" t="s">
        <v>70</v>
      </c>
      <c r="B108">
        <f>HYPERLINK("https://android.googlesource.com/platform/cts/+/e091316b9f7e7c1dfffa80623188b8496769d398", "e091316b9f7e7c1dfffa80623188b8496769d398")</f>
        <v>0</v>
      </c>
      <c r="C108">
        <f>HYPERLINK("https://android.googlesource.com/platform/cts/+/93dbdba7785edccaac70679a2e67b510912db056", "93dbdba7785edccaac70679a2e67b510912db056")</f>
        <v>0</v>
      </c>
      <c r="D108" t="s">
        <v>4932</v>
      </c>
      <c r="E108" t="s">
        <v>5870</v>
      </c>
      <c r="F108" t="s">
        <v>10658</v>
      </c>
      <c r="G108" t="s">
        <v>15059</v>
      </c>
      <c r="H108" t="s">
        <v>19027</v>
      </c>
    </row>
    <row r="109" spans="1:8">
      <c r="A109" t="s">
        <v>77</v>
      </c>
      <c r="B109">
        <f>HYPERLINK("https://android.googlesource.com/platform/cts/+/9fe411b2080259f227fbc90621bc2061572c8de4", "9fe411b2080259f227fbc90621bc2061572c8de4")</f>
        <v>0</v>
      </c>
      <c r="C109">
        <f>HYPERLINK("https://android.googlesource.com/platform/cts/+/455061f0b4c594e796084b7ee0afd7b98248d8aa", "455061f0b4c594e796084b7ee0afd7b98248d8aa")</f>
        <v>0</v>
      </c>
      <c r="D109" t="s">
        <v>4932</v>
      </c>
      <c r="E109" t="s">
        <v>5877</v>
      </c>
      <c r="F109" t="s">
        <v>10664</v>
      </c>
      <c r="G109" t="s">
        <v>15065</v>
      </c>
      <c r="H109" t="s">
        <v>19037</v>
      </c>
    </row>
    <row r="110" spans="1:8">
      <c r="H110" t="s">
        <v>19038</v>
      </c>
    </row>
    <row r="111" spans="1:8">
      <c r="A111" t="s">
        <v>78</v>
      </c>
      <c r="B111">
        <f>HYPERLINK("https://android.googlesource.com/platform/cts/+/199ed6a44ac161ab32cbab3f69c0fe5fdf3401c5", "199ed6a44ac161ab32cbab3f69c0fe5fdf3401c5")</f>
        <v>0</v>
      </c>
      <c r="C111">
        <f>HYPERLINK("https://android.googlesource.com/platform/cts/+/fb4736d7c9c802a16705843dfafd4c775a4f2226", "fb4736d7c9c802a16705843dfafd4c775a4f2226")</f>
        <v>0</v>
      </c>
      <c r="D111" t="s">
        <v>4934</v>
      </c>
      <c r="E111" t="s">
        <v>5878</v>
      </c>
      <c r="F111" t="s">
        <v>10665</v>
      </c>
      <c r="G111" t="s">
        <v>15066</v>
      </c>
      <c r="H111" t="s">
        <v>19039</v>
      </c>
    </row>
    <row r="112" spans="1:8">
      <c r="A112" t="s">
        <v>79</v>
      </c>
      <c r="B112">
        <f>HYPERLINK("https://android.googlesource.com/platform/cts/+/915bd6accb19cc43c295a313a556c0c9316a8259", "915bd6accb19cc43c295a313a556c0c9316a8259")</f>
        <v>0</v>
      </c>
      <c r="C112">
        <f>HYPERLINK("https://android.googlesource.com/platform/cts/+/b5e916bc4402ba3fa3411c4c52fc4af73ea61a43", "b5e916bc4402ba3fa3411c4c52fc4af73ea61a43")</f>
        <v>0</v>
      </c>
      <c r="D112" t="s">
        <v>4935</v>
      </c>
      <c r="E112" t="s">
        <v>5879</v>
      </c>
      <c r="F112" t="s">
        <v>10666</v>
      </c>
      <c r="G112" t="s">
        <v>15067</v>
      </c>
      <c r="H112" t="s">
        <v>19040</v>
      </c>
    </row>
    <row r="113" spans="1:8">
      <c r="A113" t="s">
        <v>80</v>
      </c>
      <c r="B113">
        <f>HYPERLINK("https://android.googlesource.com/platform/cts/+/d7af06ff44ee93a819dfa560fb6669e6c5e1d218", "d7af06ff44ee93a819dfa560fb6669e6c5e1d218")</f>
        <v>0</v>
      </c>
      <c r="C113">
        <f>HYPERLINK("https://android.googlesource.com/platform/cts/+/ec611467d3133d3c38af549a3cafa70567d5ec83", "ec611467d3133d3c38af549a3cafa70567d5ec83")</f>
        <v>0</v>
      </c>
      <c r="D113" t="s">
        <v>4932</v>
      </c>
      <c r="E113" t="s">
        <v>5880</v>
      </c>
      <c r="F113" t="s">
        <v>10667</v>
      </c>
      <c r="G113" t="s">
        <v>15068</v>
      </c>
      <c r="H113" t="s">
        <v>19043</v>
      </c>
    </row>
    <row r="114" spans="1:8">
      <c r="A114" t="s">
        <v>82</v>
      </c>
      <c r="B114">
        <f>HYPERLINK("https://android.googlesource.com/platform/cts/+/11ef4caff62219aedb606c44183712ff2f5458ab", "11ef4caff62219aedb606c44183712ff2f5458ab")</f>
        <v>0</v>
      </c>
      <c r="C114">
        <f>HYPERLINK("https://android.googlesource.com/platform/cts/+/ac48191873770c2f2652e41bb176e88fced6ac9a", "ac48191873770c2f2652e41bb176e88fced6ac9a")</f>
        <v>0</v>
      </c>
      <c r="D114" t="s">
        <v>4937</v>
      </c>
      <c r="E114" t="s">
        <v>5882</v>
      </c>
      <c r="F114" t="s">
        <v>10669</v>
      </c>
      <c r="G114" t="s">
        <v>15070</v>
      </c>
      <c r="H114" t="s">
        <v>19045</v>
      </c>
    </row>
    <row r="115" spans="1:8">
      <c r="H115" t="s">
        <v>19046</v>
      </c>
    </row>
    <row r="116" spans="1:8">
      <c r="A116" t="s">
        <v>85</v>
      </c>
      <c r="B116">
        <f>HYPERLINK("https://android.googlesource.com/platform/cts/+/26d49be7708dae2d53f29ec5c166ef6c75566a84", "26d49be7708dae2d53f29ec5c166ef6c75566a84")</f>
        <v>0</v>
      </c>
      <c r="C116">
        <f>HYPERLINK("https://android.googlesource.com/platform/cts/+/dfb26176839bc0727c4eec422f7579d9af2df948", "dfb26176839bc0727c4eec422f7579d9af2df948")</f>
        <v>0</v>
      </c>
      <c r="D116" t="s">
        <v>4939</v>
      </c>
      <c r="E116" t="s">
        <v>5885</v>
      </c>
      <c r="F116" t="s">
        <v>10671</v>
      </c>
      <c r="G116" t="s">
        <v>15071</v>
      </c>
      <c r="H116" t="s">
        <v>19049</v>
      </c>
    </row>
    <row r="117" spans="1:8">
      <c r="A117" t="s">
        <v>87</v>
      </c>
      <c r="B117">
        <f>HYPERLINK("https://android.googlesource.com/platform/cts/+/f6e0aac2f1cfa1a6c56dd38bcbb1b0f8d767ed5d", "f6e0aac2f1cfa1a6c56dd38bcbb1b0f8d767ed5d")</f>
        <v>0</v>
      </c>
      <c r="C117">
        <f>HYPERLINK("https://android.googlesource.com/platform/cts/+/e458cce47ae52437ab2c476fe4b62d6146a4d5fe", "e458cce47ae52437ab2c476fe4b62d6146a4d5fe")</f>
        <v>0</v>
      </c>
      <c r="D117" t="s">
        <v>4941</v>
      </c>
      <c r="E117" t="s">
        <v>5887</v>
      </c>
      <c r="F117" t="s">
        <v>10672</v>
      </c>
      <c r="G117" t="s">
        <v>15072</v>
      </c>
      <c r="H117" t="s">
        <v>19051</v>
      </c>
    </row>
    <row r="118" spans="1:8">
      <c r="A118" t="s">
        <v>88</v>
      </c>
      <c r="B118">
        <f>HYPERLINK("https://android.googlesource.com/platform/cts/+/719bcd0dfdbe2c015746dc9738390c59c53f8268", "719bcd0dfdbe2c015746dc9738390c59c53f8268")</f>
        <v>0</v>
      </c>
      <c r="C118">
        <f>HYPERLINK("https://android.googlesource.com/platform/cts/+/e458cce47ae52437ab2c476fe4b62d6146a4d5fe", "e458cce47ae52437ab2c476fe4b62d6146a4d5fe")</f>
        <v>0</v>
      </c>
      <c r="D118" t="s">
        <v>4941</v>
      </c>
      <c r="E118" t="s">
        <v>5888</v>
      </c>
      <c r="F118" t="s">
        <v>10673</v>
      </c>
      <c r="G118" t="s">
        <v>15073</v>
      </c>
      <c r="H118" t="s">
        <v>18878</v>
      </c>
    </row>
    <row r="119" spans="1:8">
      <c r="A119" t="s">
        <v>89</v>
      </c>
      <c r="B119">
        <f>HYPERLINK("https://android.googlesource.com/platform/cts/+/ffa439bfca7d15ee4d9e203d39e87a1cc0432dd1", "ffa439bfca7d15ee4d9e203d39e87a1cc0432dd1")</f>
        <v>0</v>
      </c>
      <c r="C119">
        <f>HYPERLINK("https://android.googlesource.com/platform/cts/+/e458cce47ae52437ab2c476fe4b62d6146a4d5fe", "e458cce47ae52437ab2c476fe4b62d6146a4d5fe")</f>
        <v>0</v>
      </c>
      <c r="D119" t="s">
        <v>4941</v>
      </c>
      <c r="E119" t="s">
        <v>5889</v>
      </c>
      <c r="F119" t="s">
        <v>10674</v>
      </c>
      <c r="G119" t="s">
        <v>15074</v>
      </c>
      <c r="H119" t="s">
        <v>19052</v>
      </c>
    </row>
    <row r="120" spans="1:8">
      <c r="A120" t="s">
        <v>90</v>
      </c>
      <c r="B120">
        <f>HYPERLINK("https://android.googlesource.com/platform/cts/+/799b05108a00f86f3e05292972a2e308b2b19c84", "799b05108a00f86f3e05292972a2e308b2b19c84")</f>
        <v>0</v>
      </c>
      <c r="C120">
        <f>HYPERLINK("https://android.googlesource.com/platform/cts/+/8ac9cae79f735bef473520c4675e666eb99f6820", "8ac9cae79f735bef473520c4675e666eb99f6820")</f>
        <v>0</v>
      </c>
      <c r="D120" t="s">
        <v>4941</v>
      </c>
      <c r="E120" t="s">
        <v>5890</v>
      </c>
      <c r="F120" t="s">
        <v>10584</v>
      </c>
      <c r="G120" t="s">
        <v>14987</v>
      </c>
      <c r="H120" t="s">
        <v>19053</v>
      </c>
    </row>
    <row r="121" spans="1:8">
      <c r="A121" t="s">
        <v>93</v>
      </c>
      <c r="B121">
        <f>HYPERLINK("https://android.googlesource.com/platform/cts/+/df56b8fd6e80dc2d9d487b86f5b71c54314ad475", "df56b8fd6e80dc2d9d487b86f5b71c54314ad475")</f>
        <v>0</v>
      </c>
      <c r="C121">
        <f>HYPERLINK("https://android.googlesource.com/platform/cts/+/33d66d69997986ee55b19ab216756e6df04b8fe1", "33d66d69997986ee55b19ab216756e6df04b8fe1")</f>
        <v>0</v>
      </c>
      <c r="D121" t="s">
        <v>4942</v>
      </c>
      <c r="E121" t="s">
        <v>5893</v>
      </c>
      <c r="F121" t="s">
        <v>10676</v>
      </c>
      <c r="G121" t="s">
        <v>15076</v>
      </c>
      <c r="H121" t="s">
        <v>19058</v>
      </c>
    </row>
    <row r="122" spans="1:8">
      <c r="H122" t="s">
        <v>19059</v>
      </c>
    </row>
    <row r="123" spans="1:8">
      <c r="H123" t="s">
        <v>19060</v>
      </c>
    </row>
    <row r="124" spans="1:8">
      <c r="H124" t="s">
        <v>19061</v>
      </c>
    </row>
    <row r="125" spans="1:8">
      <c r="H125" t="s">
        <v>19062</v>
      </c>
    </row>
    <row r="126" spans="1:8">
      <c r="A126" t="s">
        <v>94</v>
      </c>
      <c r="B126">
        <f>HYPERLINK("https://android.googlesource.com/platform/cts/+/0ad4bf40b2f105f372485b8fc5b83ed3c65b1ee7", "0ad4bf40b2f105f372485b8fc5b83ed3c65b1ee7")</f>
        <v>0</v>
      </c>
      <c r="C126">
        <f>HYPERLINK("https://android.googlesource.com/platform/cts/+/4bfdf82ee70de8e6fb674929cf973186d90a427c", "4bfdf82ee70de8e6fb674929cf973186d90a427c")</f>
        <v>0</v>
      </c>
      <c r="D126" t="s">
        <v>4932</v>
      </c>
      <c r="E126" t="s">
        <v>5894</v>
      </c>
      <c r="F126" t="s">
        <v>10608</v>
      </c>
      <c r="G126" t="s">
        <v>15011</v>
      </c>
      <c r="H126" t="s">
        <v>19063</v>
      </c>
    </row>
    <row r="127" spans="1:8">
      <c r="A127" t="s">
        <v>95</v>
      </c>
      <c r="B127">
        <f>HYPERLINK("https://android.googlesource.com/platform/cts/+/a202fccb97a003b35cf66f525d4963511614dae1", "a202fccb97a003b35cf66f525d4963511614dae1")</f>
        <v>0</v>
      </c>
      <c r="C127">
        <f>HYPERLINK("https://android.googlesource.com/platform/cts/+/a9629dbcc8eadddde0d4a2af6d9620bd293d2ec8", "a9629dbcc8eadddde0d4a2af6d9620bd293d2ec8")</f>
        <v>0</v>
      </c>
      <c r="D127" t="s">
        <v>4943</v>
      </c>
      <c r="E127" t="s">
        <v>5895</v>
      </c>
      <c r="F127" t="s">
        <v>10677</v>
      </c>
      <c r="G127" t="s">
        <v>15077</v>
      </c>
      <c r="H127" t="s">
        <v>19065</v>
      </c>
    </row>
    <row r="128" spans="1:8">
      <c r="H128" t="s">
        <v>19066</v>
      </c>
    </row>
    <row r="129" spans="1:8">
      <c r="H129" t="s">
        <v>19067</v>
      </c>
    </row>
    <row r="130" spans="1:8">
      <c r="H130" t="s">
        <v>19068</v>
      </c>
    </row>
    <row r="131" spans="1:8">
      <c r="H131" t="s">
        <v>19069</v>
      </c>
    </row>
    <row r="132" spans="1:8">
      <c r="H132" t="s">
        <v>19070</v>
      </c>
    </row>
    <row r="133" spans="1:8">
      <c r="H133" t="s">
        <v>19071</v>
      </c>
    </row>
    <row r="134" spans="1:8">
      <c r="H134" t="s">
        <v>19072</v>
      </c>
    </row>
    <row r="135" spans="1:8">
      <c r="H135" t="s">
        <v>19073</v>
      </c>
    </row>
    <row r="136" spans="1:8">
      <c r="H136" t="s">
        <v>19074</v>
      </c>
    </row>
    <row r="137" spans="1:8">
      <c r="A137" t="s">
        <v>97</v>
      </c>
      <c r="B137">
        <f>HYPERLINK("https://android.googlesource.com/platform/cts/+/2980da2061f1ae72280bcf5074888cbea4132fc1", "2980da2061f1ae72280bcf5074888cbea4132fc1")</f>
        <v>0</v>
      </c>
      <c r="C137">
        <f>HYPERLINK("https://android.googlesource.com/platform/cts/+/90c418e81f9deb7408f5927c39ca241685b2a2dd", "90c418e81f9deb7408f5927c39ca241685b2a2dd")</f>
        <v>0</v>
      </c>
      <c r="D137" t="s">
        <v>4938</v>
      </c>
      <c r="E137" t="s">
        <v>5897</v>
      </c>
      <c r="F137" t="s">
        <v>10670</v>
      </c>
      <c r="G137" t="s">
        <v>15029</v>
      </c>
      <c r="H137" t="s">
        <v>19086</v>
      </c>
    </row>
    <row r="138" spans="1:8">
      <c r="A138" t="s">
        <v>98</v>
      </c>
      <c r="B138">
        <f>HYPERLINK("https://android.googlesource.com/platform/cts/+/d97d17a43f5bb2cc383224bc5bd0dc04c406a010", "d97d17a43f5bb2cc383224bc5bd0dc04c406a010")</f>
        <v>0</v>
      </c>
      <c r="C138">
        <f>HYPERLINK("https://android.googlesource.com/platform/cts/+/c6384c5b383ba95bf39a360d2d480b0bc915c2a4", "c6384c5b383ba95bf39a360d2d480b0bc915c2a4")</f>
        <v>0</v>
      </c>
      <c r="D138" t="s">
        <v>4944</v>
      </c>
      <c r="E138" t="s">
        <v>5898</v>
      </c>
      <c r="F138" t="s">
        <v>10679</v>
      </c>
      <c r="G138" t="s">
        <v>15079</v>
      </c>
      <c r="H138" t="s">
        <v>19088</v>
      </c>
    </row>
    <row r="139" spans="1:8">
      <c r="A139" t="s">
        <v>99</v>
      </c>
      <c r="B139">
        <f>HYPERLINK("https://android.googlesource.com/platform/cts/+/89674de7bedbd28ae02a65ca7021f3c6be71a823", "89674de7bedbd28ae02a65ca7021f3c6be71a823")</f>
        <v>0</v>
      </c>
      <c r="C139">
        <f>HYPERLINK("https://android.googlesource.com/platform/cts/+/034fce8ab87890a3800fbf1c07fbc498132e5e54", "034fce8ab87890a3800fbf1c07fbc498132e5e54")</f>
        <v>0</v>
      </c>
      <c r="D139" t="s">
        <v>4942</v>
      </c>
      <c r="E139" t="s">
        <v>5899</v>
      </c>
      <c r="F139" t="s">
        <v>10680</v>
      </c>
      <c r="G139" t="s">
        <v>15080</v>
      </c>
      <c r="H139" t="s">
        <v>19089</v>
      </c>
    </row>
    <row r="140" spans="1:8">
      <c r="H140" t="s">
        <v>19090</v>
      </c>
    </row>
    <row r="141" spans="1:8">
      <c r="F141" t="s">
        <v>10681</v>
      </c>
      <c r="G141" t="s">
        <v>15081</v>
      </c>
      <c r="H141" t="s">
        <v>19090</v>
      </c>
    </row>
    <row r="142" spans="1:8">
      <c r="H142" t="s">
        <v>19091</v>
      </c>
    </row>
    <row r="143" spans="1:8">
      <c r="H143" t="s">
        <v>19089</v>
      </c>
    </row>
    <row r="144" spans="1:8">
      <c r="H144" t="s">
        <v>19092</v>
      </c>
    </row>
    <row r="145" spans="1:8">
      <c r="A145" t="s">
        <v>101</v>
      </c>
      <c r="B145">
        <f>HYPERLINK("https://android.googlesource.com/platform/cts/+/22cf08bd0066ec45b9f49c2f3a3cdce04f88fbed", "22cf08bd0066ec45b9f49c2f3a3cdce04f88fbed")</f>
        <v>0</v>
      </c>
      <c r="C145">
        <f>HYPERLINK("https://android.googlesource.com/platform/cts/+/83a4a1c6a6afafeddb1b4e38a012dc66b09f3a53", "83a4a1c6a6afafeddb1b4e38a012dc66b09f3a53")</f>
        <v>0</v>
      </c>
      <c r="D145" t="s">
        <v>4932</v>
      </c>
      <c r="E145" t="s">
        <v>5901</v>
      </c>
      <c r="F145" t="s">
        <v>10609</v>
      </c>
      <c r="G145" t="s">
        <v>15012</v>
      </c>
      <c r="H145" t="s">
        <v>19095</v>
      </c>
    </row>
    <row r="146" spans="1:8">
      <c r="H146" t="s">
        <v>19096</v>
      </c>
    </row>
    <row r="147" spans="1:8">
      <c r="A147" t="s">
        <v>104</v>
      </c>
      <c r="B147">
        <f>HYPERLINK("https://android.googlesource.com/platform/cts/+/3b3a92fec3aff9c20510b6e8703714164589ce26", "3b3a92fec3aff9c20510b6e8703714164589ce26")</f>
        <v>0</v>
      </c>
      <c r="C147">
        <f>HYPERLINK("https://android.googlesource.com/platform/cts/+/0f33a087b88c03b7b3f9fce146ae7251987936d2", "0f33a087b88c03b7b3f9fce146ae7251987936d2")</f>
        <v>0</v>
      </c>
      <c r="D147" t="s">
        <v>4937</v>
      </c>
      <c r="E147" t="s">
        <v>5904</v>
      </c>
      <c r="F147" t="s">
        <v>10685</v>
      </c>
      <c r="G147" t="s">
        <v>15085</v>
      </c>
      <c r="H147" t="s">
        <v>19099</v>
      </c>
    </row>
    <row r="148" spans="1:8">
      <c r="A148" t="s">
        <v>105</v>
      </c>
      <c r="B148">
        <f>HYPERLINK("https://android.googlesource.com/platform/cts/+/80b0625e9cf342c8bdc7eedb67cccc1f88131992", "80b0625e9cf342c8bdc7eedb67cccc1f88131992")</f>
        <v>0</v>
      </c>
      <c r="C148">
        <f>HYPERLINK("https://android.googlesource.com/platform/cts/+/213bcbfc082996cfd5096e6a67d3a160e0c46da1", "213bcbfc082996cfd5096e6a67d3a160e0c46da1")</f>
        <v>0</v>
      </c>
      <c r="D148" t="s">
        <v>4937</v>
      </c>
      <c r="E148" t="s">
        <v>5905</v>
      </c>
      <c r="F148" t="s">
        <v>10669</v>
      </c>
      <c r="G148" t="s">
        <v>15070</v>
      </c>
      <c r="H148" t="s">
        <v>19100</v>
      </c>
    </row>
    <row r="149" spans="1:8">
      <c r="H149" t="s">
        <v>19101</v>
      </c>
    </row>
    <row r="150" spans="1:8">
      <c r="H150" t="s">
        <v>19102</v>
      </c>
    </row>
    <row r="151" spans="1:8">
      <c r="H151" t="s">
        <v>19103</v>
      </c>
    </row>
    <row r="152" spans="1:8">
      <c r="A152" t="s">
        <v>106</v>
      </c>
      <c r="B152">
        <f>HYPERLINK("https://android.googlesource.com/platform/cts/+/622c658f450fa016b356756f90ab8911e6f2ab5d", "622c658f450fa016b356756f90ab8911e6f2ab5d")</f>
        <v>0</v>
      </c>
      <c r="C152">
        <f>HYPERLINK("https://android.googlesource.com/platform/cts/+/e9532898011d556124ec843b98fe8728f8e13fee", "e9532898011d556124ec843b98fe8728f8e13fee")</f>
        <v>0</v>
      </c>
      <c r="D152" t="s">
        <v>4942</v>
      </c>
      <c r="E152" t="s">
        <v>5906</v>
      </c>
      <c r="F152" t="s">
        <v>10608</v>
      </c>
      <c r="G152" t="s">
        <v>15011</v>
      </c>
      <c r="H152" t="s">
        <v>19095</v>
      </c>
    </row>
    <row r="153" spans="1:8">
      <c r="H153" t="s">
        <v>19096</v>
      </c>
    </row>
    <row r="154" spans="1:8">
      <c r="A154" t="s">
        <v>109</v>
      </c>
      <c r="B154">
        <f>HYPERLINK("https://android.googlesource.com/platform/cts/+/542d74c7677830fde06c2dc1e21397b241c5ca3c", "542d74c7677830fde06c2dc1e21397b241c5ca3c")</f>
        <v>0</v>
      </c>
      <c r="C154">
        <f>HYPERLINK("https://android.googlesource.com/platform/cts/+/1842a6238ce349ce5c610b43542cfc94cf6b078b", "1842a6238ce349ce5c610b43542cfc94cf6b078b")</f>
        <v>0</v>
      </c>
      <c r="D154" t="s">
        <v>4937</v>
      </c>
      <c r="E154" t="s">
        <v>5909</v>
      </c>
      <c r="F154" t="s">
        <v>10682</v>
      </c>
      <c r="G154" t="s">
        <v>15082</v>
      </c>
      <c r="H154" t="s">
        <v>19108</v>
      </c>
    </row>
    <row r="155" spans="1:8">
      <c r="H155" t="s">
        <v>19109</v>
      </c>
    </row>
    <row r="156" spans="1:8">
      <c r="A156" t="s">
        <v>110</v>
      </c>
      <c r="B156">
        <f>HYPERLINK("https://android.googlesource.com/platform/cts/+/f176eafe119e8065c29f6eb99d62d01274581174", "f176eafe119e8065c29f6eb99d62d01274581174")</f>
        <v>0</v>
      </c>
      <c r="C156">
        <f>HYPERLINK("https://android.googlesource.com/platform/cts/+/7ee6163b6a1a2cd0565f59b87c4b121df205443d", "7ee6163b6a1a2cd0565f59b87c4b121df205443d")</f>
        <v>0</v>
      </c>
      <c r="D156" t="s">
        <v>4945</v>
      </c>
      <c r="E156" t="s">
        <v>5910</v>
      </c>
      <c r="F156" t="s">
        <v>10680</v>
      </c>
      <c r="G156" t="s">
        <v>15080</v>
      </c>
      <c r="H156" t="s">
        <v>19089</v>
      </c>
    </row>
    <row r="157" spans="1:8">
      <c r="H157" t="s">
        <v>19090</v>
      </c>
    </row>
    <row r="158" spans="1:8">
      <c r="F158" t="s">
        <v>10676</v>
      </c>
      <c r="G158" t="s">
        <v>15076</v>
      </c>
      <c r="H158" t="s">
        <v>19058</v>
      </c>
    </row>
    <row r="159" spans="1:8">
      <c r="H159" t="s">
        <v>19059</v>
      </c>
    </row>
    <row r="160" spans="1:8">
      <c r="H160" t="s">
        <v>19060</v>
      </c>
    </row>
    <row r="161" spans="1:8">
      <c r="H161" t="s">
        <v>19061</v>
      </c>
    </row>
    <row r="162" spans="1:8">
      <c r="H162" t="s">
        <v>19062</v>
      </c>
    </row>
    <row r="163" spans="1:8">
      <c r="F163" t="s">
        <v>10681</v>
      </c>
      <c r="G163" t="s">
        <v>15081</v>
      </c>
      <c r="H163" t="s">
        <v>19090</v>
      </c>
    </row>
    <row r="164" spans="1:8">
      <c r="H164" t="s">
        <v>19091</v>
      </c>
    </row>
    <row r="165" spans="1:8">
      <c r="H165" t="s">
        <v>19089</v>
      </c>
    </row>
    <row r="166" spans="1:8">
      <c r="H166" t="s">
        <v>19092</v>
      </c>
    </row>
    <row r="167" spans="1:8">
      <c r="A167" t="s">
        <v>112</v>
      </c>
      <c r="B167">
        <f>HYPERLINK("https://android.googlesource.com/platform/cts/+/eac6cf4a3984ac8503794d24f54eda6282f037a5", "eac6cf4a3984ac8503794d24f54eda6282f037a5")</f>
        <v>0</v>
      </c>
      <c r="C167">
        <f>HYPERLINK("https://android.googlesource.com/platform/cts/+/23ada699c007cca6183b86dba8d563cc6f35e8dd", "23ada699c007cca6183b86dba8d563cc6f35e8dd")</f>
        <v>0</v>
      </c>
      <c r="D167" t="s">
        <v>4946</v>
      </c>
      <c r="E167" t="s">
        <v>5912</v>
      </c>
      <c r="F167" t="s">
        <v>10627</v>
      </c>
      <c r="G167" t="s">
        <v>15030</v>
      </c>
      <c r="H167" t="s">
        <v>19115</v>
      </c>
    </row>
    <row r="168" spans="1:8">
      <c r="H168" t="s">
        <v>19116</v>
      </c>
    </row>
    <row r="169" spans="1:8">
      <c r="H169" t="s">
        <v>19117</v>
      </c>
    </row>
    <row r="170" spans="1:8">
      <c r="A170" t="s">
        <v>113</v>
      </c>
      <c r="B170">
        <f>HYPERLINK("https://android.googlesource.com/platform/cts/+/fa6eb9e0cfdb6e4af6aa1e47f271ec04162feb83", "fa6eb9e0cfdb6e4af6aa1e47f271ec04162feb83")</f>
        <v>0</v>
      </c>
      <c r="C170">
        <f>HYPERLINK("https://android.googlesource.com/platform/cts/+/4ac2b06c8cb4128d7d6d9d6464accbb90208161b", "4ac2b06c8cb4128d7d6d9d6464accbb90208161b")</f>
        <v>0</v>
      </c>
      <c r="D170" t="s">
        <v>4947</v>
      </c>
      <c r="E170" t="s">
        <v>5913</v>
      </c>
      <c r="F170" t="s">
        <v>10690</v>
      </c>
      <c r="G170" t="s">
        <v>15090</v>
      </c>
      <c r="H170" t="s">
        <v>19118</v>
      </c>
    </row>
    <row r="171" spans="1:8">
      <c r="A171" t="s">
        <v>114</v>
      </c>
      <c r="B171">
        <f>HYPERLINK("https://android.googlesource.com/platform/cts/+/ac0073708acb7a7f6060189a71c4343092a64229", "ac0073708acb7a7f6060189a71c4343092a64229")</f>
        <v>0</v>
      </c>
      <c r="C171">
        <f>HYPERLINK("https://android.googlesource.com/platform/cts/+/bd7116f6d8917718675b670e41a7e6d76cf67f1c", "bd7116f6d8917718675b670e41a7e6d76cf67f1c")</f>
        <v>0</v>
      </c>
      <c r="D171" t="s">
        <v>4942</v>
      </c>
      <c r="E171" t="s">
        <v>5914</v>
      </c>
      <c r="F171" t="s">
        <v>10692</v>
      </c>
      <c r="G171" t="s">
        <v>15092</v>
      </c>
      <c r="H171" t="s">
        <v>19137</v>
      </c>
    </row>
    <row r="172" spans="1:8">
      <c r="A172" t="s">
        <v>115</v>
      </c>
      <c r="B172">
        <f>HYPERLINK("https://android.googlesource.com/platform/cts/+/214bcdba0dd3fca2db5a69eebfd56bd453786f54", "214bcdba0dd3fca2db5a69eebfd56bd453786f54")</f>
        <v>0</v>
      </c>
      <c r="C172">
        <f>HYPERLINK("https://android.googlesource.com/platform/cts/+/d77ea9ba42095ac336fbef72f5f638a92a7bac9f", "d77ea9ba42095ac336fbef72f5f638a92a7bac9f")</f>
        <v>0</v>
      </c>
      <c r="D172" t="s">
        <v>4928</v>
      </c>
      <c r="E172" t="s">
        <v>5915</v>
      </c>
      <c r="F172" t="s">
        <v>10693</v>
      </c>
      <c r="G172" t="s">
        <v>15093</v>
      </c>
      <c r="H172" t="s">
        <v>19142</v>
      </c>
    </row>
    <row r="173" spans="1:8">
      <c r="H173" t="s">
        <v>19143</v>
      </c>
    </row>
    <row r="174" spans="1:8">
      <c r="A174" t="s">
        <v>120</v>
      </c>
      <c r="B174">
        <f>HYPERLINK("https://android.googlesource.com/platform/cts/+/3f0ef587c512b19900b4d2c74f845f46815f14e1", "3f0ef587c512b19900b4d2c74f845f46815f14e1")</f>
        <v>0</v>
      </c>
      <c r="C174">
        <f>HYPERLINK("https://android.googlesource.com/platform/cts/+/bc9f17789ed0b12892920646b642161cf2a279fc", "bc9f17789ed0b12892920646b642161cf2a279fc")</f>
        <v>0</v>
      </c>
      <c r="D174" t="s">
        <v>4937</v>
      </c>
      <c r="E174" t="s">
        <v>5920</v>
      </c>
      <c r="F174" t="s">
        <v>10682</v>
      </c>
      <c r="G174" t="s">
        <v>15082</v>
      </c>
      <c r="H174" t="s">
        <v>19148</v>
      </c>
    </row>
    <row r="175" spans="1:8">
      <c r="A175" t="s">
        <v>125</v>
      </c>
      <c r="B175">
        <f>HYPERLINK("https://android.googlesource.com/platform/cts/+/450e99ae682d860d25a178be72fa0abf53ddf3e6", "450e99ae682d860d25a178be72fa0abf53ddf3e6")</f>
        <v>0</v>
      </c>
      <c r="C175">
        <f>HYPERLINK("https://android.googlesource.com/platform/cts/+/5248dea95549ed3b7607c76e6c76185771ddda9d", "5248dea95549ed3b7607c76e6c76185771ddda9d")</f>
        <v>0</v>
      </c>
      <c r="D175" t="s">
        <v>4932</v>
      </c>
      <c r="E175" t="s">
        <v>5925</v>
      </c>
      <c r="F175" t="s">
        <v>10696</v>
      </c>
      <c r="G175" t="s">
        <v>15096</v>
      </c>
      <c r="H175" t="s">
        <v>19159</v>
      </c>
    </row>
    <row r="176" spans="1:8">
      <c r="A176" t="s">
        <v>126</v>
      </c>
      <c r="B176">
        <f>HYPERLINK("https://android.googlesource.com/platform/cts/+/deef330158a6e3a94bbc13a97f892ad08386091b", "deef330158a6e3a94bbc13a97f892ad08386091b")</f>
        <v>0</v>
      </c>
      <c r="C176">
        <f>HYPERLINK("https://android.googlesource.com/platform/cts/+/0bb0f8bcf30ee2915ea5f25c49912b382d1e44e5", "0bb0f8bcf30ee2915ea5f25c49912b382d1e44e5")</f>
        <v>0</v>
      </c>
      <c r="D176" t="s">
        <v>4932</v>
      </c>
      <c r="E176" t="s">
        <v>5926</v>
      </c>
      <c r="F176" t="s">
        <v>10697</v>
      </c>
      <c r="G176" t="s">
        <v>15097</v>
      </c>
      <c r="H176" t="s">
        <v>19160</v>
      </c>
    </row>
    <row r="177" spans="1:8">
      <c r="A177" t="s">
        <v>128</v>
      </c>
      <c r="B177">
        <f>HYPERLINK("https://android.googlesource.com/platform/cts/+/1cb6e06af811b4d967c5dd08f19c8b8cdeedc9e8", "1cb6e06af811b4d967c5dd08f19c8b8cdeedc9e8")</f>
        <v>0</v>
      </c>
      <c r="C177">
        <f>HYPERLINK("https://android.googlesource.com/platform/cts/+/9518a7b53d9059de8f61614c88dac3eb8ed1cc52", "9518a7b53d9059de8f61614c88dac3eb8ed1cc52")</f>
        <v>0</v>
      </c>
      <c r="D177" t="s">
        <v>4941</v>
      </c>
      <c r="E177" t="s">
        <v>5928</v>
      </c>
      <c r="F177" t="s">
        <v>10687</v>
      </c>
      <c r="G177" t="s">
        <v>15087</v>
      </c>
      <c r="H177" t="s">
        <v>19162</v>
      </c>
    </row>
    <row r="178" spans="1:8">
      <c r="A178" t="s">
        <v>129</v>
      </c>
      <c r="B178">
        <f>HYPERLINK("https://android.googlesource.com/platform/cts/+/561e5e11c900b09b086bf8e40ba3d3bccc847758", "561e5e11c900b09b086bf8e40ba3d3bccc847758")</f>
        <v>0</v>
      </c>
      <c r="C178">
        <f>HYPERLINK("https://android.googlesource.com/platform/cts/+/41988d0a1ec52a13956b00df49a9a8e61ca8ebd9", "41988d0a1ec52a13956b00df49a9a8e61ca8ebd9")</f>
        <v>0</v>
      </c>
      <c r="D178" t="s">
        <v>4941</v>
      </c>
      <c r="E178" t="s">
        <v>5929</v>
      </c>
      <c r="F178" t="s">
        <v>10698</v>
      </c>
      <c r="G178" t="s">
        <v>15098</v>
      </c>
      <c r="H178" t="s">
        <v>19163</v>
      </c>
    </row>
    <row r="179" spans="1:8">
      <c r="F179" t="s">
        <v>10699</v>
      </c>
      <c r="G179" t="s">
        <v>15099</v>
      </c>
      <c r="H179" t="s">
        <v>19163</v>
      </c>
    </row>
    <row r="180" spans="1:8">
      <c r="A180" t="s">
        <v>130</v>
      </c>
      <c r="B180">
        <f>HYPERLINK("https://android.googlesource.com/platform/cts/+/d719cf92dfd46857dd90b83530b4c2f25c4f91c5", "d719cf92dfd46857dd90b83530b4c2f25c4f91c5")</f>
        <v>0</v>
      </c>
      <c r="C180">
        <f>HYPERLINK("https://android.googlesource.com/platform/cts/+/561e5e11c900b09b086bf8e40ba3d3bccc847758", "561e5e11c900b09b086bf8e40ba3d3bccc847758")</f>
        <v>0</v>
      </c>
      <c r="D180" t="s">
        <v>4941</v>
      </c>
      <c r="E180" t="s">
        <v>5930</v>
      </c>
      <c r="F180" t="s">
        <v>10699</v>
      </c>
      <c r="G180" t="s">
        <v>15099</v>
      </c>
      <c r="H180" t="s">
        <v>19164</v>
      </c>
    </row>
    <row r="181" spans="1:8">
      <c r="A181" t="s">
        <v>131</v>
      </c>
      <c r="B181">
        <f>HYPERLINK("https://android.googlesource.com/platform/cts/+/ef07f61a84dc70d668883edcbede50639038cb93", "ef07f61a84dc70d668883edcbede50639038cb93")</f>
        <v>0</v>
      </c>
      <c r="C181">
        <f>HYPERLINK("https://android.googlesource.com/platform/cts/+/61a7ca892ee196da93eb665b66622b60769da00c", "61a7ca892ee196da93eb665b66622b60769da00c")</f>
        <v>0</v>
      </c>
      <c r="D181" t="s">
        <v>4941</v>
      </c>
      <c r="E181" t="s">
        <v>5931</v>
      </c>
      <c r="F181" t="s">
        <v>10700</v>
      </c>
      <c r="G181" t="s">
        <v>15100</v>
      </c>
      <c r="H181" t="s">
        <v>19165</v>
      </c>
    </row>
    <row r="182" spans="1:8">
      <c r="A182" t="s">
        <v>135</v>
      </c>
      <c r="B182">
        <f>HYPERLINK("https://android.googlesource.com/platform/cts/+/7567b204d44b9b2d955effc1e941ea38236a9a03", "7567b204d44b9b2d955effc1e941ea38236a9a03")</f>
        <v>0</v>
      </c>
      <c r="C182">
        <f>HYPERLINK("https://android.googlesource.com/platform/cts/+/2f8435cd13a7f295d09e9e9372aff5b781b66bde", "2f8435cd13a7f295d09e9e9372aff5b781b66bde")</f>
        <v>0</v>
      </c>
      <c r="D182" t="s">
        <v>4942</v>
      </c>
      <c r="E182" t="s">
        <v>5935</v>
      </c>
      <c r="F182" t="s">
        <v>10705</v>
      </c>
      <c r="G182" t="s">
        <v>15105</v>
      </c>
      <c r="H182" t="s">
        <v>19176</v>
      </c>
    </row>
    <row r="183" spans="1:8">
      <c r="F183" t="s">
        <v>10706</v>
      </c>
      <c r="G183" t="s">
        <v>15106</v>
      </c>
      <c r="H183" t="s">
        <v>19176</v>
      </c>
    </row>
    <row r="184" spans="1:8">
      <c r="A184" t="s">
        <v>137</v>
      </c>
      <c r="B184">
        <f>HYPERLINK("https://android.googlesource.com/platform/cts/+/4005ea57a928432b803c268358fe9de709c65615", "4005ea57a928432b803c268358fe9de709c65615")</f>
        <v>0</v>
      </c>
      <c r="C184">
        <f>HYPERLINK("https://android.googlesource.com/platform/cts/+/48fa39dc596c026c182716675be5f4c613ee2190", "48fa39dc596c026c182716675be5f4c613ee2190")</f>
        <v>0</v>
      </c>
      <c r="D184" t="s">
        <v>4942</v>
      </c>
      <c r="E184" t="s">
        <v>5937</v>
      </c>
      <c r="F184" t="s">
        <v>10708</v>
      </c>
      <c r="G184" t="s">
        <v>15107</v>
      </c>
      <c r="H184" t="s">
        <v>19177</v>
      </c>
    </row>
    <row r="185" spans="1:8">
      <c r="F185" t="s">
        <v>10709</v>
      </c>
      <c r="G185" t="s">
        <v>15108</v>
      </c>
      <c r="H185" t="s">
        <v>19177</v>
      </c>
    </row>
    <row r="186" spans="1:8">
      <c r="F186" t="s">
        <v>10710</v>
      </c>
      <c r="G186" t="s">
        <v>15109</v>
      </c>
      <c r="H186" t="s">
        <v>19177</v>
      </c>
    </row>
    <row r="187" spans="1:8">
      <c r="F187" t="s">
        <v>10711</v>
      </c>
      <c r="G187" t="s">
        <v>15110</v>
      </c>
      <c r="H187" t="s">
        <v>19177</v>
      </c>
    </row>
    <row r="188" spans="1:8">
      <c r="A188" t="s">
        <v>138</v>
      </c>
      <c r="B188">
        <f>HYPERLINK("https://android.googlesource.com/platform/cts/+/f8c0a36cd3130cde3808790cfe5a1a31ff5807aa", "f8c0a36cd3130cde3808790cfe5a1a31ff5807aa")</f>
        <v>0</v>
      </c>
      <c r="C188">
        <f>HYPERLINK("https://android.googlesource.com/platform/cts/+/2bcf2450cc9c532a9416106565c75f10d46ecdf2", "2bcf2450cc9c532a9416106565c75f10d46ecdf2")</f>
        <v>0</v>
      </c>
      <c r="D188" t="s">
        <v>4942</v>
      </c>
      <c r="E188" t="s">
        <v>5938</v>
      </c>
      <c r="F188" t="s">
        <v>10712</v>
      </c>
      <c r="G188" t="s">
        <v>15111</v>
      </c>
      <c r="H188" t="s">
        <v>19178</v>
      </c>
    </row>
    <row r="189" spans="1:8">
      <c r="H189" t="s">
        <v>19179</v>
      </c>
    </row>
    <row r="190" spans="1:8">
      <c r="H190" t="s">
        <v>19180</v>
      </c>
    </row>
    <row r="191" spans="1:8">
      <c r="A191" t="s">
        <v>140</v>
      </c>
      <c r="B191">
        <f>HYPERLINK("https://android.googlesource.com/platform/cts/+/1e1ceaa036e58fa23148386bf7a32d02cfc66cdd", "1e1ceaa036e58fa23148386bf7a32d02cfc66cdd")</f>
        <v>0</v>
      </c>
      <c r="C191">
        <f>HYPERLINK("https://android.googlesource.com/platform/cts/+/9807ece9ab368c44f7519c320ca0e6a9930000e8", "9807ece9ab368c44f7519c320ca0e6a9930000e8")</f>
        <v>0</v>
      </c>
      <c r="D191" t="s">
        <v>4941</v>
      </c>
      <c r="E191" t="s">
        <v>5939</v>
      </c>
      <c r="F191" t="s">
        <v>10713</v>
      </c>
      <c r="G191" t="s">
        <v>15112</v>
      </c>
      <c r="H191" t="s">
        <v>19182</v>
      </c>
    </row>
    <row r="192" spans="1:8">
      <c r="A192" t="s">
        <v>141</v>
      </c>
      <c r="B192">
        <f>HYPERLINK("https://android.googlesource.com/platform/cts/+/498494b60da0c9f3ebef24af934c23bb8b3de3b3", "498494b60da0c9f3ebef24af934c23bb8b3de3b3")</f>
        <v>0</v>
      </c>
      <c r="C192">
        <f>HYPERLINK("https://android.googlesource.com/platform/cts/+/11a052eae5264365d8641e17c5ec2830c012a9ff", "11a052eae5264365d8641e17c5ec2830c012a9ff")</f>
        <v>0</v>
      </c>
      <c r="D192" t="s">
        <v>4941</v>
      </c>
      <c r="E192" t="s">
        <v>5940</v>
      </c>
      <c r="F192" t="s">
        <v>10637</v>
      </c>
      <c r="G192" t="s">
        <v>15040</v>
      </c>
      <c r="H192" t="s">
        <v>19183</v>
      </c>
    </row>
    <row r="193" spans="1:8">
      <c r="H193" t="s">
        <v>19184</v>
      </c>
    </row>
    <row r="194" spans="1:8">
      <c r="A194" t="s">
        <v>142</v>
      </c>
      <c r="B194">
        <f>HYPERLINK("https://android.googlesource.com/platform/cts/+/113cf67f683cba95e36af06e134511b363373abe", "113cf67f683cba95e36af06e134511b363373abe")</f>
        <v>0</v>
      </c>
      <c r="C194">
        <f>HYPERLINK("https://android.googlesource.com/platform/cts/+/d4edc186d4e8f69b4967f694dc8baf28534d566b", "d4edc186d4e8f69b4967f694dc8baf28534d566b")</f>
        <v>0</v>
      </c>
      <c r="D194" t="s">
        <v>4942</v>
      </c>
      <c r="E194" t="s">
        <v>5941</v>
      </c>
      <c r="F194" t="s">
        <v>10688</v>
      </c>
      <c r="G194" t="s">
        <v>15088</v>
      </c>
      <c r="H194" t="s">
        <v>19188</v>
      </c>
    </row>
    <row r="195" spans="1:8">
      <c r="H195" t="s">
        <v>19189</v>
      </c>
    </row>
    <row r="196" spans="1:8">
      <c r="A196" t="s">
        <v>144</v>
      </c>
      <c r="B196">
        <f>HYPERLINK("https://android.googlesource.com/platform/cts/+/8384c12edac19c20b8ffc115e2fb1c623d500e29", "8384c12edac19c20b8ffc115e2fb1c623d500e29")</f>
        <v>0</v>
      </c>
      <c r="C196">
        <f>HYPERLINK("https://android.googlesource.com/platform/cts/+/b9f9c181bbb3f0f00ca3e061560229f8a064cd8a", "b9f9c181bbb3f0f00ca3e061560229f8a064cd8a")</f>
        <v>0</v>
      </c>
      <c r="D196" t="s">
        <v>4941</v>
      </c>
      <c r="E196" t="s">
        <v>5943</v>
      </c>
      <c r="F196" t="s">
        <v>10698</v>
      </c>
      <c r="G196" t="s">
        <v>15098</v>
      </c>
      <c r="H196" t="s">
        <v>19194</v>
      </c>
    </row>
    <row r="197" spans="1:8">
      <c r="H197" t="s">
        <v>19195</v>
      </c>
    </row>
    <row r="198" spans="1:8">
      <c r="A198" t="s">
        <v>146</v>
      </c>
      <c r="B198">
        <f>HYPERLINK("https://android.googlesource.com/platform/cts/+/77cf8e683cfeb9a4c35c48a9ad62d9ffd48840d3", "77cf8e683cfeb9a4c35c48a9ad62d9ffd48840d3")</f>
        <v>0</v>
      </c>
      <c r="C198">
        <f>HYPERLINK("https://android.googlesource.com/platform/cts/+/8476626a9e9fd100a1238258250b7043927d9a1d", "8476626a9e9fd100a1238258250b7043927d9a1d")</f>
        <v>0</v>
      </c>
      <c r="D198" t="s">
        <v>4939</v>
      </c>
      <c r="E198" t="s">
        <v>5945</v>
      </c>
      <c r="F198" t="s">
        <v>10715</v>
      </c>
      <c r="G198" t="s">
        <v>15114</v>
      </c>
      <c r="H198" t="s">
        <v>19197</v>
      </c>
    </row>
    <row r="199" spans="1:8">
      <c r="A199" t="s">
        <v>147</v>
      </c>
      <c r="B199">
        <f>HYPERLINK("https://android.googlesource.com/platform/cts/+/0b9aac058d4f69e209c25a0ae382a62567c68ec7", "0b9aac058d4f69e209c25a0ae382a62567c68ec7")</f>
        <v>0</v>
      </c>
      <c r="C199">
        <f>HYPERLINK("https://android.googlesource.com/platform/cts/+/2ad4648a054aa57fd9092ab880be4c38850863d8", "2ad4648a054aa57fd9092ab880be4c38850863d8")</f>
        <v>0</v>
      </c>
      <c r="D199" t="s">
        <v>4942</v>
      </c>
      <c r="E199" t="s">
        <v>5946</v>
      </c>
      <c r="F199" t="s">
        <v>10716</v>
      </c>
      <c r="G199" t="s">
        <v>15115</v>
      </c>
      <c r="H199" t="s">
        <v>19199</v>
      </c>
    </row>
    <row r="200" spans="1:8">
      <c r="A200" t="s">
        <v>148</v>
      </c>
      <c r="B200">
        <f>HYPERLINK("https://android.googlesource.com/platform/cts/+/5c5c4c4625b08ff76d9369cb8faed9771cabe4ac", "5c5c4c4625b08ff76d9369cb8faed9771cabe4ac")</f>
        <v>0</v>
      </c>
      <c r="C200">
        <f>HYPERLINK("https://android.googlesource.com/platform/cts/+/2ad4648a054aa57fd9092ab880be4c38850863d8", "2ad4648a054aa57fd9092ab880be4c38850863d8")</f>
        <v>0</v>
      </c>
      <c r="D200" t="s">
        <v>4942</v>
      </c>
      <c r="E200" t="s">
        <v>5947</v>
      </c>
      <c r="F200" t="s">
        <v>10717</v>
      </c>
      <c r="G200" t="s">
        <v>15116</v>
      </c>
      <c r="H200" t="s">
        <v>19201</v>
      </c>
    </row>
    <row r="201" spans="1:8">
      <c r="A201" t="s">
        <v>149</v>
      </c>
      <c r="B201">
        <f>HYPERLINK("https://android.googlesource.com/platform/cts/+/f6ef098cd3a59a2f5af6f19278d0cf796f5b2f02", "f6ef098cd3a59a2f5af6f19278d0cf796f5b2f02")</f>
        <v>0</v>
      </c>
      <c r="C201">
        <f>HYPERLINK("https://android.googlesource.com/platform/cts/+/2ad4648a054aa57fd9092ab880be4c38850863d8", "2ad4648a054aa57fd9092ab880be4c38850863d8")</f>
        <v>0</v>
      </c>
      <c r="D201" t="s">
        <v>4942</v>
      </c>
      <c r="E201" t="s">
        <v>5948</v>
      </c>
      <c r="F201" t="s">
        <v>10679</v>
      </c>
      <c r="G201" t="s">
        <v>15079</v>
      </c>
      <c r="H201" t="s">
        <v>19202</v>
      </c>
    </row>
    <row r="202" spans="1:8">
      <c r="H202" t="s">
        <v>19203</v>
      </c>
    </row>
    <row r="203" spans="1:8">
      <c r="A203" t="s">
        <v>150</v>
      </c>
      <c r="B203">
        <f>HYPERLINK("https://android.googlesource.com/platform/cts/+/6aca89963bb79ca88941c79bd7d7316066eb8ec3", "6aca89963bb79ca88941c79bd7d7316066eb8ec3")</f>
        <v>0</v>
      </c>
      <c r="C203">
        <f>HYPERLINK("https://android.googlesource.com/platform/cts/+/2ad4648a054aa57fd9092ab880be4c38850863d8", "2ad4648a054aa57fd9092ab880be4c38850863d8")</f>
        <v>0</v>
      </c>
      <c r="D203" t="s">
        <v>4942</v>
      </c>
      <c r="E203" t="s">
        <v>5949</v>
      </c>
      <c r="F203" t="s">
        <v>10663</v>
      </c>
      <c r="G203" t="s">
        <v>15064</v>
      </c>
      <c r="H203" t="s">
        <v>19204</v>
      </c>
    </row>
    <row r="204" spans="1:8">
      <c r="A204" t="s">
        <v>151</v>
      </c>
      <c r="B204">
        <f>HYPERLINK("https://android.googlesource.com/platform/cts/+/8301a50347223c940cf4775497d92eac1935532f", "8301a50347223c940cf4775497d92eac1935532f")</f>
        <v>0</v>
      </c>
      <c r="C204">
        <f>HYPERLINK("https://android.googlesource.com/platform/cts/+/a59ff92b4dab5b9bfb301d0a49b5f6d0188b4389", "a59ff92b4dab5b9bfb301d0a49b5f6d0188b4389")</f>
        <v>0</v>
      </c>
      <c r="D204" t="s">
        <v>4942</v>
      </c>
      <c r="E204" t="s">
        <v>5950</v>
      </c>
      <c r="F204" t="s">
        <v>10718</v>
      </c>
      <c r="G204" t="s">
        <v>15117</v>
      </c>
      <c r="H204" t="s">
        <v>19208</v>
      </c>
    </row>
    <row r="205" spans="1:8">
      <c r="H205" t="s">
        <v>19210</v>
      </c>
    </row>
    <row r="206" spans="1:8">
      <c r="F206" t="s">
        <v>10719</v>
      </c>
      <c r="G206" t="s">
        <v>15118</v>
      </c>
      <c r="H206" t="s">
        <v>19211</v>
      </c>
    </row>
    <row r="207" spans="1:8">
      <c r="A207" t="s">
        <v>153</v>
      </c>
      <c r="B207">
        <f>HYPERLINK("https://android.googlesource.com/platform/cts/+/0dee316c165ec017d0456eb7fa041a839ef72190", "0dee316c165ec017d0456eb7fa041a839ef72190")</f>
        <v>0</v>
      </c>
      <c r="C207">
        <f>HYPERLINK("https://android.googlesource.com/platform/cts/+/b39a05306c3a46d9ca1cf434941c9bf44e3bf5dd", "b39a05306c3a46d9ca1cf434941c9bf44e3bf5dd")</f>
        <v>0</v>
      </c>
      <c r="D207" t="s">
        <v>4950</v>
      </c>
      <c r="E207" t="s">
        <v>5952</v>
      </c>
      <c r="F207" t="s">
        <v>10721</v>
      </c>
      <c r="G207" t="s">
        <v>15120</v>
      </c>
      <c r="H207" t="s">
        <v>19213</v>
      </c>
    </row>
    <row r="208" spans="1:8">
      <c r="A208" t="s">
        <v>155</v>
      </c>
      <c r="B208">
        <f>HYPERLINK("https://android.googlesource.com/platform/cts/+/3dcf631658eb54e51aa60a682134f40ee3bf9ad5", "3dcf631658eb54e51aa60a682134f40ee3bf9ad5")</f>
        <v>0</v>
      </c>
      <c r="C208">
        <f>HYPERLINK("https://android.googlesource.com/platform/cts/+/e0550b02f42dfa086e9515ee0ab9909aefd68473", "e0550b02f42dfa086e9515ee0ab9909aefd68473")</f>
        <v>0</v>
      </c>
      <c r="D208" t="s">
        <v>4942</v>
      </c>
      <c r="E208" t="s">
        <v>5954</v>
      </c>
      <c r="F208" t="s">
        <v>10598</v>
      </c>
      <c r="G208" t="s">
        <v>15001</v>
      </c>
      <c r="H208" t="s">
        <v>19216</v>
      </c>
    </row>
    <row r="209" spans="1:8">
      <c r="H209" t="s">
        <v>19217</v>
      </c>
    </row>
    <row r="210" spans="1:8">
      <c r="A210" t="s">
        <v>156</v>
      </c>
      <c r="B210">
        <f>HYPERLINK("https://android.googlesource.com/platform/cts/+/f7f1742e301a825b10ff14d1f03b1c38fc696c04", "f7f1742e301a825b10ff14d1f03b1c38fc696c04")</f>
        <v>0</v>
      </c>
      <c r="C210">
        <f>HYPERLINK("https://android.googlesource.com/platform/cts/+/e0550b02f42dfa086e9515ee0ab9909aefd68473", "e0550b02f42dfa086e9515ee0ab9909aefd68473")</f>
        <v>0</v>
      </c>
      <c r="D210" t="s">
        <v>4942</v>
      </c>
      <c r="E210" t="s">
        <v>5955</v>
      </c>
      <c r="F210" t="s">
        <v>10722</v>
      </c>
      <c r="G210" t="s">
        <v>15121</v>
      </c>
      <c r="H210" t="s">
        <v>19219</v>
      </c>
    </row>
    <row r="211" spans="1:8">
      <c r="H211" t="s">
        <v>19220</v>
      </c>
    </row>
    <row r="212" spans="1:8">
      <c r="A212" t="s">
        <v>157</v>
      </c>
      <c r="B212">
        <f>HYPERLINK("https://android.googlesource.com/platform/cts/+/8dc2b80b06032addf4a93543c90c3603bb6be023", "8dc2b80b06032addf4a93543c90c3603bb6be023")</f>
        <v>0</v>
      </c>
      <c r="C212">
        <f>HYPERLINK("https://android.googlesource.com/platform/cts/+/ace35f36291fdfc0bc49b39a395b8bea71a6c67b", "ace35f36291fdfc0bc49b39a395b8bea71a6c67b")</f>
        <v>0</v>
      </c>
      <c r="D212" t="s">
        <v>4952</v>
      </c>
      <c r="E212" t="s">
        <v>5956</v>
      </c>
      <c r="F212" t="s">
        <v>10723</v>
      </c>
      <c r="G212" t="s">
        <v>15122</v>
      </c>
      <c r="H212" t="s">
        <v>19221</v>
      </c>
    </row>
    <row r="213" spans="1:8">
      <c r="A213" t="s">
        <v>158</v>
      </c>
      <c r="B213">
        <f>HYPERLINK("https://android.googlesource.com/platform/cts/+/2b724c769821d931e8ba1dd3e1861378194c46f5", "2b724c769821d931e8ba1dd3e1861378194c46f5")</f>
        <v>0</v>
      </c>
      <c r="C213">
        <f>HYPERLINK("https://android.googlesource.com/platform/cts/+/56129c167239bd7beeb2562ed088bc81d6a684df", "56129c167239bd7beeb2562ed088bc81d6a684df")</f>
        <v>0</v>
      </c>
      <c r="D213" t="s">
        <v>4941</v>
      </c>
      <c r="E213" t="s">
        <v>5957</v>
      </c>
      <c r="F213" t="s">
        <v>10677</v>
      </c>
      <c r="G213" t="s">
        <v>15077</v>
      </c>
      <c r="H213" t="s">
        <v>19065</v>
      </c>
    </row>
    <row r="214" spans="1:8">
      <c r="H214" t="s">
        <v>19066</v>
      </c>
    </row>
    <row r="215" spans="1:8">
      <c r="H215" t="s">
        <v>19067</v>
      </c>
    </row>
    <row r="216" spans="1:8">
      <c r="H216" t="s">
        <v>19068</v>
      </c>
    </row>
    <row r="217" spans="1:8">
      <c r="H217" t="s">
        <v>19069</v>
      </c>
    </row>
    <row r="218" spans="1:8">
      <c r="H218" t="s">
        <v>19070</v>
      </c>
    </row>
    <row r="219" spans="1:8">
      <c r="H219" t="s">
        <v>19071</v>
      </c>
    </row>
    <row r="220" spans="1:8">
      <c r="H220" t="s">
        <v>19072</v>
      </c>
    </row>
    <row r="221" spans="1:8">
      <c r="H221" t="s">
        <v>19073</v>
      </c>
    </row>
    <row r="222" spans="1:8">
      <c r="H222" t="s">
        <v>19074</v>
      </c>
    </row>
    <row r="223" spans="1:8">
      <c r="A223" t="s">
        <v>160</v>
      </c>
      <c r="B223">
        <f>HYPERLINK("https://android.googlesource.com/platform/cts/+/56d8ae53f99e13b8b1dae7fdc505897ece31759d", "56d8ae53f99e13b8b1dae7fdc505897ece31759d")</f>
        <v>0</v>
      </c>
      <c r="C223">
        <f>HYPERLINK("https://android.googlesource.com/platform/cts/+/e0550b02f42dfa086e9515ee0ab9909aefd68473", "e0550b02f42dfa086e9515ee0ab9909aefd68473")</f>
        <v>0</v>
      </c>
      <c r="D223" t="s">
        <v>4942</v>
      </c>
      <c r="E223" t="s">
        <v>5959</v>
      </c>
      <c r="F223" t="s">
        <v>10696</v>
      </c>
      <c r="G223" t="s">
        <v>15096</v>
      </c>
      <c r="H223" t="s">
        <v>19223</v>
      </c>
    </row>
    <row r="224" spans="1:8">
      <c r="A224" t="s">
        <v>161</v>
      </c>
      <c r="B224">
        <f>HYPERLINK("https://android.googlesource.com/platform/cts/+/977522004dcea20d5e45fafa8e20e5d8502fab9c", "977522004dcea20d5e45fafa8e20e5d8502fab9c")</f>
        <v>0</v>
      </c>
      <c r="C224">
        <f>HYPERLINK("https://android.googlesource.com/platform/cts/+/e0550b02f42dfa086e9515ee0ab9909aefd68473", "e0550b02f42dfa086e9515ee0ab9909aefd68473")</f>
        <v>0</v>
      </c>
      <c r="D224" t="s">
        <v>4942</v>
      </c>
      <c r="E224" t="s">
        <v>5960</v>
      </c>
      <c r="F224" t="s">
        <v>10659</v>
      </c>
      <c r="G224" t="s">
        <v>15060</v>
      </c>
      <c r="H224" t="s">
        <v>19225</v>
      </c>
    </row>
    <row r="225" spans="1:8">
      <c r="H225" t="s">
        <v>19226</v>
      </c>
    </row>
    <row r="226" spans="1:8">
      <c r="A226" t="s">
        <v>162</v>
      </c>
      <c r="B226">
        <f>HYPERLINK("https://android.googlesource.com/platform/cts/+/0a32c81efdde76a4c95be703edbec65cdeeb8381", "0a32c81efdde76a4c95be703edbec65cdeeb8381")</f>
        <v>0</v>
      </c>
      <c r="C226">
        <f>HYPERLINK("https://android.googlesource.com/platform/cts/+/25d543e4f28575bd9deebdc7ddb7b05e9848bcd3", "25d543e4f28575bd9deebdc7ddb7b05e9848bcd3")</f>
        <v>0</v>
      </c>
      <c r="D226" t="s">
        <v>4942</v>
      </c>
      <c r="E226" t="s">
        <v>5961</v>
      </c>
      <c r="F226" t="s">
        <v>10724</v>
      </c>
      <c r="G226" t="s">
        <v>15123</v>
      </c>
      <c r="H226" t="s">
        <v>19227</v>
      </c>
    </row>
    <row r="227" spans="1:8">
      <c r="A227" t="s">
        <v>163</v>
      </c>
      <c r="B227">
        <f>HYPERLINK("https://android.googlesource.com/platform/cts/+/9393f4891ee3642b6268ec009a8552ff567d35b5", "9393f4891ee3642b6268ec009a8552ff567d35b5")</f>
        <v>0</v>
      </c>
      <c r="C227">
        <f>HYPERLINK("https://android.googlesource.com/platform/cts/+/25d543e4f28575bd9deebdc7ddb7b05e9848bcd3", "25d543e4f28575bd9deebdc7ddb7b05e9848bcd3")</f>
        <v>0</v>
      </c>
      <c r="D227" t="s">
        <v>4942</v>
      </c>
      <c r="E227" t="s">
        <v>5962</v>
      </c>
      <c r="F227" t="s">
        <v>10725</v>
      </c>
      <c r="G227" t="s">
        <v>15124</v>
      </c>
      <c r="H227" t="s">
        <v>19228</v>
      </c>
    </row>
    <row r="228" spans="1:8">
      <c r="A228" t="s">
        <v>164</v>
      </c>
      <c r="B228">
        <f>HYPERLINK("https://android.googlesource.com/platform/cts/+/dc9b86b38e05bc12e20137540285316dc3835e26", "dc9b86b38e05bc12e20137540285316dc3835e26")</f>
        <v>0</v>
      </c>
      <c r="C228">
        <f>HYPERLINK("https://android.googlesource.com/platform/cts/+/25d543e4f28575bd9deebdc7ddb7b05e9848bcd3", "25d543e4f28575bd9deebdc7ddb7b05e9848bcd3")</f>
        <v>0</v>
      </c>
      <c r="D228" t="s">
        <v>4942</v>
      </c>
      <c r="E228" t="s">
        <v>5963</v>
      </c>
      <c r="F228" t="s">
        <v>10726</v>
      </c>
      <c r="G228" t="s">
        <v>15125</v>
      </c>
      <c r="H228" t="s">
        <v>19229</v>
      </c>
    </row>
    <row r="229" spans="1:8">
      <c r="A229" t="s">
        <v>165</v>
      </c>
      <c r="B229">
        <f>HYPERLINK("https://android.googlesource.com/platform/cts/+/41d2452e4163df531046bab552faceeae45243dc", "41d2452e4163df531046bab552faceeae45243dc")</f>
        <v>0</v>
      </c>
      <c r="C229">
        <f>HYPERLINK("https://android.googlesource.com/platform/cts/+/8326d122c51d9eff2c9e8b08463851c7c50f5f26", "8326d122c51d9eff2c9e8b08463851c7c50f5f26")</f>
        <v>0</v>
      </c>
      <c r="D229" t="s">
        <v>4942</v>
      </c>
      <c r="E229" t="s">
        <v>5964</v>
      </c>
      <c r="F229" t="s">
        <v>10727</v>
      </c>
      <c r="G229" t="s">
        <v>15126</v>
      </c>
      <c r="H229" t="s">
        <v>19074</v>
      </c>
    </row>
    <row r="230" spans="1:8">
      <c r="A230" t="s">
        <v>167</v>
      </c>
      <c r="B230">
        <f>HYPERLINK("https://android.googlesource.com/platform/cts/+/36b78c1a9a9da0f938fed721602f164834b66f4d", "36b78c1a9a9da0f938fed721602f164834b66f4d")</f>
        <v>0</v>
      </c>
      <c r="C230">
        <f>HYPERLINK("https://android.googlesource.com/platform/cts/+/7ca0842d074c7b165e2f6f6fa45da6219c9fe288", "7ca0842d074c7b165e2f6f6fa45da6219c9fe288")</f>
        <v>0</v>
      </c>
      <c r="D230" t="s">
        <v>4942</v>
      </c>
      <c r="E230" t="s">
        <v>5966</v>
      </c>
      <c r="F230" t="s">
        <v>10729</v>
      </c>
      <c r="G230" t="s">
        <v>15128</v>
      </c>
      <c r="H230" t="s">
        <v>19231</v>
      </c>
    </row>
    <row r="231" spans="1:8">
      <c r="A231" t="s">
        <v>169</v>
      </c>
      <c r="B231">
        <f>HYPERLINK("https://android.googlesource.com/platform/cts/+/7a338e4eac14fd1b21c0d54a89c6ff9c3207f6c9", "7a338e4eac14fd1b21c0d54a89c6ff9c3207f6c9")</f>
        <v>0</v>
      </c>
      <c r="C231">
        <f>HYPERLINK("https://android.googlesource.com/platform/cts/+/17aa488bd56e5aeab5f28e3de5d95525c8694714", "17aa488bd56e5aeab5f28e3de5d95525c8694714")</f>
        <v>0</v>
      </c>
      <c r="D231" t="s">
        <v>4942</v>
      </c>
      <c r="E231" t="s">
        <v>5968</v>
      </c>
      <c r="F231" t="s">
        <v>10732</v>
      </c>
      <c r="G231" t="s">
        <v>15131</v>
      </c>
      <c r="H231" t="s">
        <v>19244</v>
      </c>
    </row>
    <row r="232" spans="1:8">
      <c r="A232" t="s">
        <v>170</v>
      </c>
      <c r="B232">
        <f>HYPERLINK("https://android.googlesource.com/platform/cts/+/2616419c0ddfd92b6ae9751ca4beef127bd16e7f", "2616419c0ddfd92b6ae9751ca4beef127bd16e7f")</f>
        <v>0</v>
      </c>
      <c r="C232">
        <f>HYPERLINK("https://android.googlesource.com/platform/cts/+/3e6372cabe2c3a5a7a7339bad98f7b9b8783bc04", "3e6372cabe2c3a5a7a7339bad98f7b9b8783bc04")</f>
        <v>0</v>
      </c>
      <c r="D232" t="s">
        <v>4942</v>
      </c>
      <c r="E232" t="s">
        <v>5969</v>
      </c>
      <c r="F232" t="s">
        <v>10696</v>
      </c>
      <c r="G232" t="s">
        <v>15096</v>
      </c>
      <c r="H232" t="s">
        <v>19159</v>
      </c>
    </row>
    <row r="233" spans="1:8">
      <c r="A233" t="s">
        <v>171</v>
      </c>
      <c r="B233">
        <f>HYPERLINK("https://android.googlesource.com/platform/cts/+/6cc97966e394e443fb65910766d8b3bd30ea2257", "6cc97966e394e443fb65910766d8b3bd30ea2257")</f>
        <v>0</v>
      </c>
      <c r="C233">
        <f>HYPERLINK("https://android.googlesource.com/platform/cts/+/e0973f3b254051cd7eaa3db843e1969c39019c48", "e0973f3b254051cd7eaa3db843e1969c39019c48")</f>
        <v>0</v>
      </c>
      <c r="D233" t="s">
        <v>4941</v>
      </c>
      <c r="E233" t="s">
        <v>5970</v>
      </c>
      <c r="F233" t="s">
        <v>10733</v>
      </c>
      <c r="G233" t="s">
        <v>15132</v>
      </c>
      <c r="H233" t="s">
        <v>19245</v>
      </c>
    </row>
    <row r="234" spans="1:8">
      <c r="A234" t="s">
        <v>173</v>
      </c>
      <c r="B234">
        <f>HYPERLINK("https://android.googlesource.com/platform/cts/+/ad74169a2048f5e0a1de5c17ead65743f71293b8", "ad74169a2048f5e0a1de5c17ead65743f71293b8")</f>
        <v>0</v>
      </c>
      <c r="C234">
        <f>HYPERLINK("https://android.googlesource.com/platform/cts/+/7cd393e2a59c7e392b15c40861c1852c90781101", "7cd393e2a59c7e392b15c40861c1852c90781101")</f>
        <v>0</v>
      </c>
      <c r="D234" t="s">
        <v>4941</v>
      </c>
      <c r="E234" t="s">
        <v>5972</v>
      </c>
      <c r="F234" t="s">
        <v>10722</v>
      </c>
      <c r="G234" t="s">
        <v>15121</v>
      </c>
      <c r="H234" t="s">
        <v>19249</v>
      </c>
    </row>
    <row r="235" spans="1:8">
      <c r="H235" t="s">
        <v>19250</v>
      </c>
    </row>
    <row r="236" spans="1:8">
      <c r="H236" t="s">
        <v>19251</v>
      </c>
    </row>
    <row r="237" spans="1:8">
      <c r="H237" t="s">
        <v>19252</v>
      </c>
    </row>
    <row r="238" spans="1:8">
      <c r="H238" t="s">
        <v>19253</v>
      </c>
    </row>
    <row r="239" spans="1:8">
      <c r="H239" t="s">
        <v>19254</v>
      </c>
    </row>
    <row r="240" spans="1:8">
      <c r="H240" t="s">
        <v>19255</v>
      </c>
    </row>
    <row r="241" spans="1:8">
      <c r="H241" t="s">
        <v>19256</v>
      </c>
    </row>
    <row r="242" spans="1:8">
      <c r="H242" t="s">
        <v>19257</v>
      </c>
    </row>
    <row r="243" spans="1:8">
      <c r="H243" t="s">
        <v>19258</v>
      </c>
    </row>
    <row r="244" spans="1:8">
      <c r="H244" t="s">
        <v>19259</v>
      </c>
    </row>
    <row r="245" spans="1:8">
      <c r="A245" t="s">
        <v>175</v>
      </c>
      <c r="B245">
        <f>HYPERLINK("https://android.googlesource.com/platform/cts/+/c9a13f11de7b1dd08bc05c84810eb17ce051c8f3", "c9a13f11de7b1dd08bc05c84810eb17ce051c8f3")</f>
        <v>0</v>
      </c>
      <c r="C245">
        <f>HYPERLINK("https://android.googlesource.com/platform/cts/+/77b77e65ce4be5b4c60053f901d5f245447c86bc", "77b77e65ce4be5b4c60053f901d5f245447c86bc")</f>
        <v>0</v>
      </c>
      <c r="D245" t="s">
        <v>4942</v>
      </c>
      <c r="E245" t="s">
        <v>5974</v>
      </c>
      <c r="F245" t="s">
        <v>10737</v>
      </c>
      <c r="G245" t="s">
        <v>15136</v>
      </c>
      <c r="H245" t="s">
        <v>19265</v>
      </c>
    </row>
    <row r="246" spans="1:8">
      <c r="A246" t="s">
        <v>176</v>
      </c>
      <c r="B246">
        <f>HYPERLINK("https://android.googlesource.com/platform/cts/+/2c3bd2c8b7dd410e8e774d1a0d5516c66ea3aaa0", "2c3bd2c8b7dd410e8e774d1a0d5516c66ea3aaa0")</f>
        <v>0</v>
      </c>
      <c r="C246">
        <f>HYPERLINK("https://android.googlesource.com/platform/cts/+/77b77e65ce4be5b4c60053f901d5f245447c86bc", "77b77e65ce4be5b4c60053f901d5f245447c86bc")</f>
        <v>0</v>
      </c>
      <c r="D246" t="s">
        <v>4942</v>
      </c>
      <c r="E246" t="s">
        <v>5975</v>
      </c>
      <c r="F246" t="s">
        <v>10738</v>
      </c>
      <c r="G246" t="s">
        <v>15137</v>
      </c>
      <c r="H246" t="s">
        <v>19266</v>
      </c>
    </row>
    <row r="247" spans="1:8">
      <c r="A247" t="s">
        <v>177</v>
      </c>
      <c r="B247">
        <f>HYPERLINK("https://android.googlesource.com/platform/cts/+/e4d5a1b752a009e87e73f0cabe70a22330b89e8e", "e4d5a1b752a009e87e73f0cabe70a22330b89e8e")</f>
        <v>0</v>
      </c>
      <c r="C247">
        <f>HYPERLINK("https://android.googlesource.com/platform/cts/+/8efbbfcffd5b440d476b9aa52496a83b8db70e41", "8efbbfcffd5b440d476b9aa52496a83b8db70e41")</f>
        <v>0</v>
      </c>
      <c r="D247" t="s">
        <v>4941</v>
      </c>
      <c r="E247" t="s">
        <v>5976</v>
      </c>
      <c r="F247" t="s">
        <v>10739</v>
      </c>
      <c r="G247" t="s">
        <v>15138</v>
      </c>
      <c r="H247" t="s">
        <v>19272</v>
      </c>
    </row>
    <row r="248" spans="1:8">
      <c r="H248" t="s">
        <v>19273</v>
      </c>
    </row>
    <row r="249" spans="1:8">
      <c r="H249" t="s">
        <v>19274</v>
      </c>
    </row>
    <row r="250" spans="1:8">
      <c r="H250" t="s">
        <v>19275</v>
      </c>
    </row>
    <row r="251" spans="1:8">
      <c r="A251" t="s">
        <v>178</v>
      </c>
      <c r="B251">
        <f>HYPERLINK("https://android.googlesource.com/platform/cts/+/d74adf607816b5a0df3ab90fc578400a8129756a", "d74adf607816b5a0df3ab90fc578400a8129756a")</f>
        <v>0</v>
      </c>
      <c r="C251">
        <f>HYPERLINK("https://android.googlesource.com/platform/cts/+/8efbbfcffd5b440d476b9aa52496a83b8db70e41", "8efbbfcffd5b440d476b9aa52496a83b8db70e41")</f>
        <v>0</v>
      </c>
      <c r="D251" t="s">
        <v>4941</v>
      </c>
      <c r="E251" t="s">
        <v>5977</v>
      </c>
      <c r="F251" t="s">
        <v>10683</v>
      </c>
      <c r="G251" t="s">
        <v>15083</v>
      </c>
      <c r="H251" t="s">
        <v>19276</v>
      </c>
    </row>
    <row r="252" spans="1:8">
      <c r="A252" t="s">
        <v>179</v>
      </c>
      <c r="B252">
        <f>HYPERLINK("https://android.googlesource.com/platform/cts/+/2fc80bc5a8f0e3d053491f8547264f15d166eb7f", "2fc80bc5a8f0e3d053491f8547264f15d166eb7f")</f>
        <v>0</v>
      </c>
      <c r="C252">
        <f>HYPERLINK("https://android.googlesource.com/platform/cts/+/b881d63217ba5609879256dddf916e2f8f8b7131", "b881d63217ba5609879256dddf916e2f8f8b7131")</f>
        <v>0</v>
      </c>
      <c r="D252" t="s">
        <v>4941</v>
      </c>
      <c r="E252" t="s">
        <v>5978</v>
      </c>
      <c r="F252" t="s">
        <v>10740</v>
      </c>
      <c r="G252" t="s">
        <v>15139</v>
      </c>
      <c r="H252" t="s">
        <v>19277</v>
      </c>
    </row>
    <row r="253" spans="1:8">
      <c r="A253" t="s">
        <v>180</v>
      </c>
      <c r="B253">
        <f>HYPERLINK("https://android.googlesource.com/platform/cts/+/4348bffb5f262c6026a5abbe440ee97524d22fb0", "4348bffb5f262c6026a5abbe440ee97524d22fb0")</f>
        <v>0</v>
      </c>
      <c r="C253">
        <f>HYPERLINK("https://android.googlesource.com/platform/cts/+/b881d63217ba5609879256dddf916e2f8f8b7131", "b881d63217ba5609879256dddf916e2f8f8b7131")</f>
        <v>0</v>
      </c>
      <c r="D253" t="s">
        <v>4941</v>
      </c>
      <c r="E253" t="s">
        <v>5979</v>
      </c>
      <c r="F253" t="s">
        <v>10684</v>
      </c>
      <c r="G253" t="s">
        <v>15084</v>
      </c>
      <c r="H253" t="s">
        <v>19278</v>
      </c>
    </row>
    <row r="254" spans="1:8">
      <c r="H254" t="s">
        <v>19279</v>
      </c>
    </row>
    <row r="255" spans="1:8">
      <c r="H255" t="s">
        <v>19280</v>
      </c>
    </row>
    <row r="256" spans="1:8">
      <c r="H256" t="s">
        <v>19281</v>
      </c>
    </row>
    <row r="257" spans="1:8">
      <c r="A257" t="s">
        <v>181</v>
      </c>
      <c r="B257">
        <f>HYPERLINK("https://android.googlesource.com/platform/cts/+/5df58d9a4a0c7a01a7a54c09730ee800ea3a600f", "5df58d9a4a0c7a01a7a54c09730ee800ea3a600f")</f>
        <v>0</v>
      </c>
      <c r="C257">
        <f>HYPERLINK("https://android.googlesource.com/platform/cts/+/6e4e6839f9fc6558a905cdafa31ecdc001c6c33c", "6e4e6839f9fc6558a905cdafa31ecdc001c6c33c")</f>
        <v>0</v>
      </c>
      <c r="D257" t="s">
        <v>4941</v>
      </c>
      <c r="E257" t="s">
        <v>5980</v>
      </c>
      <c r="F257" t="s">
        <v>10698</v>
      </c>
      <c r="G257" t="s">
        <v>15098</v>
      </c>
      <c r="H257" t="s">
        <v>19282</v>
      </c>
    </row>
    <row r="258" spans="1:8">
      <c r="A258" t="s">
        <v>183</v>
      </c>
      <c r="B258">
        <f>HYPERLINK("https://android.googlesource.com/platform/cts/+/f0083a84622e04d05b1eaf4bfb6e4777f76fc05b", "f0083a84622e04d05b1eaf4bfb6e4777f76fc05b")</f>
        <v>0</v>
      </c>
      <c r="C258">
        <f>HYPERLINK("https://android.googlesource.com/platform/cts/+/acbf1acfbf0ca165981c301fbf1627392d911a97", "acbf1acfbf0ca165981c301fbf1627392d911a97")</f>
        <v>0</v>
      </c>
      <c r="D258" t="s">
        <v>4942</v>
      </c>
      <c r="E258" t="s">
        <v>5982</v>
      </c>
      <c r="F258" t="s">
        <v>10742</v>
      </c>
      <c r="G258" t="s">
        <v>15141</v>
      </c>
      <c r="H258" t="s">
        <v>19303</v>
      </c>
    </row>
    <row r="259" spans="1:8">
      <c r="A259" t="s">
        <v>184</v>
      </c>
      <c r="B259">
        <f>HYPERLINK("https://android.googlesource.com/platform/cts/+/a4a1b97d3ca31d493d66dd9e45720c320d7d0943", "a4a1b97d3ca31d493d66dd9e45720c320d7d0943")</f>
        <v>0</v>
      </c>
      <c r="C259">
        <f>HYPERLINK("https://android.googlesource.com/platform/cts/+/9a9e583f1e863b55c4a38409d0ee03827bdb4ff3", "9a9e583f1e863b55c4a38409d0ee03827bdb4ff3")</f>
        <v>0</v>
      </c>
      <c r="D259" t="s">
        <v>4942</v>
      </c>
      <c r="E259" t="s">
        <v>5983</v>
      </c>
      <c r="F259" t="s">
        <v>10743</v>
      </c>
      <c r="G259" t="s">
        <v>15142</v>
      </c>
      <c r="H259" t="s">
        <v>19304</v>
      </c>
    </row>
    <row r="260" spans="1:8">
      <c r="H260" t="s">
        <v>19305</v>
      </c>
    </row>
    <row r="261" spans="1:8">
      <c r="H261" t="s">
        <v>19306</v>
      </c>
    </row>
    <row r="262" spans="1:8">
      <c r="A262" t="s">
        <v>185</v>
      </c>
      <c r="B262">
        <f>HYPERLINK("https://android.googlesource.com/platform/cts/+/bf0a74c6616cec161cd2820c4de2e3f2b43d8c03", "bf0a74c6616cec161cd2820c4de2e3f2b43d8c03")</f>
        <v>0</v>
      </c>
      <c r="C262">
        <f>HYPERLINK("https://android.googlesource.com/platform/cts/+/9a9e583f1e863b55c4a38409d0ee03827bdb4ff3", "9a9e583f1e863b55c4a38409d0ee03827bdb4ff3")</f>
        <v>0</v>
      </c>
      <c r="D262" t="s">
        <v>4942</v>
      </c>
      <c r="E262" t="s">
        <v>5984</v>
      </c>
      <c r="F262" t="s">
        <v>10744</v>
      </c>
      <c r="G262" t="s">
        <v>15143</v>
      </c>
      <c r="H262" t="s">
        <v>19307</v>
      </c>
    </row>
    <row r="263" spans="1:8">
      <c r="A263" t="s">
        <v>189</v>
      </c>
      <c r="B263">
        <f>HYPERLINK("https://android.googlesource.com/platform/cts/+/3fc406b283b622a22fff58666e0a8d7936434fd9", "3fc406b283b622a22fff58666e0a8d7936434fd9")</f>
        <v>0</v>
      </c>
      <c r="C263">
        <f>HYPERLINK("https://android.googlesource.com/platform/cts/+/653f4c3d61b58419d10d15f88f0a7b47d25b50d3", "653f4c3d61b58419d10d15f88f0a7b47d25b50d3")</f>
        <v>0</v>
      </c>
      <c r="D263" t="s">
        <v>4932</v>
      </c>
      <c r="E263" t="s">
        <v>5988</v>
      </c>
      <c r="F263" t="s">
        <v>10748</v>
      </c>
      <c r="G263" t="s">
        <v>15146</v>
      </c>
      <c r="H263" t="s">
        <v>19311</v>
      </c>
    </row>
    <row r="264" spans="1:8">
      <c r="A264" t="s">
        <v>190</v>
      </c>
      <c r="B264">
        <f>HYPERLINK("https://android.googlesource.com/platform/cts/+/c2fcc332aa2b84e9aeb95a1819b92df67449ca3c", "c2fcc332aa2b84e9aeb95a1819b92df67449ca3c")</f>
        <v>0</v>
      </c>
      <c r="C264">
        <f>HYPERLINK("https://android.googlesource.com/platform/cts/+/60d865967ce492e25840458045a0f23f68e41aa7", "60d865967ce492e25840458045a0f23f68e41aa7")</f>
        <v>0</v>
      </c>
      <c r="D264" t="s">
        <v>4942</v>
      </c>
      <c r="E264" t="s">
        <v>5989</v>
      </c>
      <c r="F264" t="s">
        <v>10597</v>
      </c>
      <c r="G264" t="s">
        <v>15000</v>
      </c>
      <c r="H264" t="s">
        <v>19312</v>
      </c>
    </row>
    <row r="265" spans="1:8">
      <c r="A265" t="s">
        <v>191</v>
      </c>
      <c r="B265">
        <f>HYPERLINK("https://android.googlesource.com/platform/cts/+/4a6fd724e96fea039184fd74bde97d7f840f32d8", "4a6fd724e96fea039184fd74bde97d7f840f32d8")</f>
        <v>0</v>
      </c>
      <c r="C265">
        <f>HYPERLINK("https://android.googlesource.com/platform/cts/+/60d865967ce492e25840458045a0f23f68e41aa7", "60d865967ce492e25840458045a0f23f68e41aa7")</f>
        <v>0</v>
      </c>
      <c r="D265" t="s">
        <v>4942</v>
      </c>
      <c r="E265" t="s">
        <v>5990</v>
      </c>
      <c r="F265" t="s">
        <v>10686</v>
      </c>
      <c r="G265" t="s">
        <v>15086</v>
      </c>
      <c r="H265" t="s">
        <v>19314</v>
      </c>
    </row>
    <row r="266" spans="1:8">
      <c r="A266" t="s">
        <v>192</v>
      </c>
      <c r="B266">
        <f>HYPERLINK("https://android.googlesource.com/platform/cts/+/7254f1e86a40d67adda0bda99ef8457c40e09a80", "7254f1e86a40d67adda0bda99ef8457c40e09a80")</f>
        <v>0</v>
      </c>
      <c r="C266">
        <f>HYPERLINK("https://android.googlesource.com/platform/cts/+/cc475551e4b72cf5d653bb29ba286ec1de171689", "cc475551e4b72cf5d653bb29ba286ec1de171689")</f>
        <v>0</v>
      </c>
      <c r="D266" t="s">
        <v>4942</v>
      </c>
      <c r="E266" t="s">
        <v>5991</v>
      </c>
      <c r="F266" t="s">
        <v>10597</v>
      </c>
      <c r="G266" t="s">
        <v>15000</v>
      </c>
      <c r="H266" t="s">
        <v>19315</v>
      </c>
    </row>
    <row r="267" spans="1:8">
      <c r="H267" t="s">
        <v>19316</v>
      </c>
    </row>
    <row r="268" spans="1:8">
      <c r="H268" t="s">
        <v>19317</v>
      </c>
    </row>
    <row r="269" spans="1:8">
      <c r="H269" t="s">
        <v>19318</v>
      </c>
    </row>
    <row r="270" spans="1:8">
      <c r="A270" t="s">
        <v>199</v>
      </c>
      <c r="B270">
        <f>HYPERLINK("https://android.googlesource.com/platform/cts/+/a8cd4da434335a265bfb4bca1f96fa44d65ab109", "a8cd4da434335a265bfb4bca1f96fa44d65ab109")</f>
        <v>0</v>
      </c>
      <c r="C270">
        <f>HYPERLINK("https://android.googlesource.com/platform/cts/+/394154b7ffa923facf69969c84b7425f56d4f005", "394154b7ffa923facf69969c84b7425f56d4f005")</f>
        <v>0</v>
      </c>
      <c r="D270" t="s">
        <v>4941</v>
      </c>
      <c r="E270" t="s">
        <v>5997</v>
      </c>
      <c r="F270" t="s">
        <v>10754</v>
      </c>
      <c r="G270" t="s">
        <v>15152</v>
      </c>
      <c r="H270" t="s">
        <v>19325</v>
      </c>
    </row>
    <row r="271" spans="1:8">
      <c r="H271" t="s">
        <v>19326</v>
      </c>
    </row>
    <row r="272" spans="1:8">
      <c r="A272" t="s">
        <v>201</v>
      </c>
      <c r="B272">
        <f>HYPERLINK("https://android.googlesource.com/platform/cts/+/03b5b3969ad30306d539e6fc6fd1c992099b1a3b", "03b5b3969ad30306d539e6fc6fd1c992099b1a3b")</f>
        <v>0</v>
      </c>
      <c r="C272">
        <f>HYPERLINK("https://android.googlesource.com/platform/cts/+/f776e7d14dd531a0b27baf6c3f8cdaebdd7820dd", "f776e7d14dd531a0b27baf6c3f8cdaebdd7820dd")</f>
        <v>0</v>
      </c>
      <c r="D272" t="s">
        <v>4954</v>
      </c>
      <c r="E272" t="s">
        <v>5999</v>
      </c>
      <c r="F272" t="s">
        <v>10755</v>
      </c>
      <c r="G272" t="s">
        <v>15153</v>
      </c>
      <c r="H272" t="s">
        <v>19329</v>
      </c>
    </row>
    <row r="273" spans="1:8">
      <c r="A273" t="s">
        <v>202</v>
      </c>
      <c r="B273">
        <f>HYPERLINK("https://android.googlesource.com/platform/cts/+/02e6f82ac5d07e52ef3a314eefb0b62dadcf4b4d", "02e6f82ac5d07e52ef3a314eefb0b62dadcf4b4d")</f>
        <v>0</v>
      </c>
      <c r="C273">
        <f>HYPERLINK("https://android.googlesource.com/platform/cts/+/d764b34d21f8d88421741d61bbe47c726dab089e", "d764b34d21f8d88421741d61bbe47c726dab089e")</f>
        <v>0</v>
      </c>
      <c r="D273" t="s">
        <v>4942</v>
      </c>
      <c r="E273" t="s">
        <v>6000</v>
      </c>
      <c r="F273" t="s">
        <v>10597</v>
      </c>
      <c r="G273" t="s">
        <v>15000</v>
      </c>
      <c r="H273" t="s">
        <v>19331</v>
      </c>
    </row>
    <row r="274" spans="1:8">
      <c r="H274" t="s">
        <v>19332</v>
      </c>
    </row>
    <row r="275" spans="1:8">
      <c r="A275" t="s">
        <v>203</v>
      </c>
      <c r="B275">
        <f>HYPERLINK("https://android.googlesource.com/platform/cts/+/e14b2966aa778de618898eb9cedc92b883868d91", "e14b2966aa778de618898eb9cedc92b883868d91")</f>
        <v>0</v>
      </c>
      <c r="C275">
        <f>HYPERLINK("https://android.googlesource.com/platform/cts/+/d764b34d21f8d88421741d61bbe47c726dab089e", "d764b34d21f8d88421741d61bbe47c726dab089e")</f>
        <v>0</v>
      </c>
      <c r="D275" t="s">
        <v>4942</v>
      </c>
      <c r="E275" t="s">
        <v>6001</v>
      </c>
      <c r="F275" t="s">
        <v>10756</v>
      </c>
      <c r="G275" t="s">
        <v>15154</v>
      </c>
      <c r="H275" t="s">
        <v>19334</v>
      </c>
    </row>
    <row r="276" spans="1:8">
      <c r="A276" t="s">
        <v>204</v>
      </c>
      <c r="B276">
        <f>HYPERLINK("https://android.googlesource.com/platform/cts/+/99718555204b181fdefc1af1fa5fbe7bb435d710", "99718555204b181fdefc1af1fa5fbe7bb435d710")</f>
        <v>0</v>
      </c>
      <c r="C276">
        <f>HYPERLINK("https://android.googlesource.com/platform/cts/+/d764b34d21f8d88421741d61bbe47c726dab089e", "d764b34d21f8d88421741d61bbe47c726dab089e")</f>
        <v>0</v>
      </c>
      <c r="D276" t="s">
        <v>4942</v>
      </c>
      <c r="E276" t="s">
        <v>6002</v>
      </c>
      <c r="F276" t="s">
        <v>10757</v>
      </c>
      <c r="G276" t="s">
        <v>15155</v>
      </c>
      <c r="H276" t="s">
        <v>18876</v>
      </c>
    </row>
    <row r="277" spans="1:8">
      <c r="H277" t="s">
        <v>19335</v>
      </c>
    </row>
    <row r="278" spans="1:8">
      <c r="A278" t="s">
        <v>206</v>
      </c>
      <c r="B278">
        <f>HYPERLINK("https://android.googlesource.com/platform/cts/+/ba6ba576280c6f9d0d8531be17a666415bdec5d9", "ba6ba576280c6f9d0d8531be17a666415bdec5d9")</f>
        <v>0</v>
      </c>
      <c r="C278">
        <f>HYPERLINK("https://android.googlesource.com/platform/cts/+/8fcbb1cee83ffa9b0c9146f59a5f265f086ef452", "8fcbb1cee83ffa9b0c9146f59a5f265f086ef452")</f>
        <v>0</v>
      </c>
      <c r="D278" t="s">
        <v>4942</v>
      </c>
      <c r="E278" t="s">
        <v>6004</v>
      </c>
      <c r="F278" t="s">
        <v>10729</v>
      </c>
      <c r="G278" t="s">
        <v>15128</v>
      </c>
      <c r="H278" t="s">
        <v>19337</v>
      </c>
    </row>
    <row r="279" spans="1:8">
      <c r="F279" t="s">
        <v>10759</v>
      </c>
      <c r="G279" t="s">
        <v>15157</v>
      </c>
      <c r="H279" t="s">
        <v>19339</v>
      </c>
    </row>
    <row r="280" spans="1:8">
      <c r="H280" t="s">
        <v>19340</v>
      </c>
    </row>
    <row r="281" spans="1:8">
      <c r="H281" t="s">
        <v>19341</v>
      </c>
    </row>
    <row r="282" spans="1:8">
      <c r="H282" t="s">
        <v>19342</v>
      </c>
    </row>
    <row r="283" spans="1:8">
      <c r="F283" t="s">
        <v>10687</v>
      </c>
      <c r="G283" t="s">
        <v>15087</v>
      </c>
      <c r="H283" t="s">
        <v>19350</v>
      </c>
    </row>
    <row r="284" spans="1:8">
      <c r="H284" t="s">
        <v>19351</v>
      </c>
    </row>
    <row r="285" spans="1:8">
      <c r="A285" t="s">
        <v>207</v>
      </c>
      <c r="B285">
        <f>HYPERLINK("https://android.googlesource.com/platform/cts/+/82c09945e8d6d7acdd65f505a3c0edcfa201537f", "82c09945e8d6d7acdd65f505a3c0edcfa201537f")</f>
        <v>0</v>
      </c>
      <c r="C285">
        <f>HYPERLINK("https://android.googlesource.com/platform/cts/+/8fcbb1cee83ffa9b0c9146f59a5f265f086ef452", "8fcbb1cee83ffa9b0c9146f59a5f265f086ef452")</f>
        <v>0</v>
      </c>
      <c r="D285" t="s">
        <v>4942</v>
      </c>
      <c r="E285" t="s">
        <v>6005</v>
      </c>
      <c r="F285" t="s">
        <v>10674</v>
      </c>
      <c r="G285" t="s">
        <v>15074</v>
      </c>
      <c r="H285" t="s">
        <v>19352</v>
      </c>
    </row>
    <row r="286" spans="1:8">
      <c r="F286" t="s">
        <v>10760</v>
      </c>
      <c r="G286" t="s">
        <v>15158</v>
      </c>
      <c r="H286" t="s">
        <v>19354</v>
      </c>
    </row>
    <row r="287" spans="1:8">
      <c r="F287" t="s">
        <v>10761</v>
      </c>
      <c r="G287" t="s">
        <v>15159</v>
      </c>
      <c r="H287" t="s">
        <v>19355</v>
      </c>
    </row>
    <row r="288" spans="1:8">
      <c r="A288" t="s">
        <v>208</v>
      </c>
      <c r="B288">
        <f>HYPERLINK("https://android.googlesource.com/platform/cts/+/40e62a6c4143d6312e2bf2e01d39c2bdf704949b", "40e62a6c4143d6312e2bf2e01d39c2bdf704949b")</f>
        <v>0</v>
      </c>
      <c r="C288">
        <f>HYPERLINK("https://android.googlesource.com/platform/cts/+/8fcbb1cee83ffa9b0c9146f59a5f265f086ef452", "8fcbb1cee83ffa9b0c9146f59a5f265f086ef452")</f>
        <v>0</v>
      </c>
      <c r="D288" t="s">
        <v>4942</v>
      </c>
      <c r="E288" t="s">
        <v>6006</v>
      </c>
      <c r="F288" t="s">
        <v>10597</v>
      </c>
      <c r="G288" t="s">
        <v>15000</v>
      </c>
      <c r="H288" t="s">
        <v>19356</v>
      </c>
    </row>
    <row r="289" spans="1:8">
      <c r="H289" t="s">
        <v>19357</v>
      </c>
    </row>
    <row r="290" spans="1:8">
      <c r="H290" t="s">
        <v>19358</v>
      </c>
    </row>
    <row r="291" spans="1:8">
      <c r="H291" t="s">
        <v>19359</v>
      </c>
    </row>
    <row r="292" spans="1:8">
      <c r="H292" t="s">
        <v>19360</v>
      </c>
    </row>
    <row r="293" spans="1:8">
      <c r="A293" t="s">
        <v>209</v>
      </c>
      <c r="B293">
        <f>HYPERLINK("https://android.googlesource.com/platform/cts/+/ad3337dad5c632e8eb55b7ac4b27f0cace622966", "ad3337dad5c632e8eb55b7ac4b27f0cace622966")</f>
        <v>0</v>
      </c>
      <c r="C293">
        <f>HYPERLINK("https://android.googlesource.com/platform/cts/+/88f05039c6b25935a7c6be796a7072df3821bc8f", "88f05039c6b25935a7c6be796a7072df3821bc8f")</f>
        <v>0</v>
      </c>
      <c r="D293" t="s">
        <v>4942</v>
      </c>
      <c r="E293" t="s">
        <v>6007</v>
      </c>
      <c r="F293" t="s">
        <v>10597</v>
      </c>
      <c r="G293" t="s">
        <v>15000</v>
      </c>
      <c r="H293" t="s">
        <v>19361</v>
      </c>
    </row>
    <row r="294" spans="1:8">
      <c r="A294" t="s">
        <v>210</v>
      </c>
      <c r="B294">
        <f>HYPERLINK("https://android.googlesource.com/platform/cts/+/014b13b2ddaf10beff931ee38c4396b1c06df3bd", "014b13b2ddaf10beff931ee38c4396b1c06df3bd")</f>
        <v>0</v>
      </c>
      <c r="C294">
        <f>HYPERLINK("https://android.googlesource.com/platform/cts/+/49bca3aafbcc877e4ea06bcdfab8dab060ef7244", "49bca3aafbcc877e4ea06bcdfab8dab060ef7244")</f>
        <v>0</v>
      </c>
      <c r="D294" t="s">
        <v>4942</v>
      </c>
      <c r="E294" t="s">
        <v>6008</v>
      </c>
      <c r="F294" t="s">
        <v>10761</v>
      </c>
      <c r="G294" t="s">
        <v>15159</v>
      </c>
      <c r="H294" t="s">
        <v>18876</v>
      </c>
    </row>
    <row r="295" spans="1:8">
      <c r="H295" t="s">
        <v>19362</v>
      </c>
    </row>
    <row r="296" spans="1:8">
      <c r="H296" t="s">
        <v>18878</v>
      </c>
    </row>
    <row r="297" spans="1:8">
      <c r="H297" t="s">
        <v>19363</v>
      </c>
    </row>
    <row r="298" spans="1:8">
      <c r="A298" t="s">
        <v>211</v>
      </c>
      <c r="B298">
        <f>HYPERLINK("https://android.googlesource.com/platform/cts/+/9cdd2ef81a52aac44660e10c97bf8d9d7e713a7e", "9cdd2ef81a52aac44660e10c97bf8d9d7e713a7e")</f>
        <v>0</v>
      </c>
      <c r="C298">
        <f>HYPERLINK("https://android.googlesource.com/platform/cts/+/49bca3aafbcc877e4ea06bcdfab8dab060ef7244", "49bca3aafbcc877e4ea06bcdfab8dab060ef7244")</f>
        <v>0</v>
      </c>
      <c r="D298" t="s">
        <v>4942</v>
      </c>
      <c r="E298" t="s">
        <v>6009</v>
      </c>
      <c r="F298" t="s">
        <v>10762</v>
      </c>
      <c r="G298" t="s">
        <v>14991</v>
      </c>
      <c r="H298" t="s">
        <v>19370</v>
      </c>
    </row>
    <row r="299" spans="1:8">
      <c r="A299" t="s">
        <v>212</v>
      </c>
      <c r="B299">
        <f>HYPERLINK("https://android.googlesource.com/platform/cts/+/e94b30f509953a7bc868a92ea03895129d33ed3e", "e94b30f509953a7bc868a92ea03895129d33ed3e")</f>
        <v>0</v>
      </c>
      <c r="C299">
        <f>HYPERLINK("https://android.googlesource.com/platform/cts/+/5491f0455b209e5fd9cc9f037b614a02dc2ddb5d", "5491f0455b209e5fd9cc9f037b614a02dc2ddb5d")</f>
        <v>0</v>
      </c>
      <c r="D299" t="s">
        <v>4941</v>
      </c>
      <c r="E299" t="s">
        <v>6010</v>
      </c>
      <c r="F299" t="s">
        <v>10767</v>
      </c>
      <c r="G299" t="s">
        <v>15163</v>
      </c>
      <c r="H299" t="s">
        <v>18836</v>
      </c>
    </row>
    <row r="300" spans="1:8">
      <c r="H300" t="s">
        <v>19454</v>
      </c>
    </row>
    <row r="301" spans="1:8">
      <c r="A301" t="s">
        <v>218</v>
      </c>
      <c r="B301">
        <f>HYPERLINK("https://android.googlesource.com/platform/cts/+/31dffc44798a121cd86fe1aa9d45fa717c455405", "31dffc44798a121cd86fe1aa9d45fa717c455405")</f>
        <v>0</v>
      </c>
      <c r="C301">
        <f>HYPERLINK("https://android.googlesource.com/platform/cts/+/0c0b54c704610067ab706ce5b7bd570ec3d1676d", "0c0b54c704610067ab706ce5b7bd570ec3d1676d")</f>
        <v>0</v>
      </c>
      <c r="D301" t="s">
        <v>4942</v>
      </c>
      <c r="E301" t="s">
        <v>6016</v>
      </c>
      <c r="F301" t="s">
        <v>10771</v>
      </c>
      <c r="G301" t="s">
        <v>15167</v>
      </c>
      <c r="H301" t="s">
        <v>19468</v>
      </c>
    </row>
    <row r="302" spans="1:8">
      <c r="H302" t="s">
        <v>19469</v>
      </c>
    </row>
    <row r="303" spans="1:8">
      <c r="H303" t="s">
        <v>19470</v>
      </c>
    </row>
    <row r="304" spans="1:8">
      <c r="F304" t="s">
        <v>10692</v>
      </c>
      <c r="G304" t="s">
        <v>15092</v>
      </c>
      <c r="H304" t="s">
        <v>19472</v>
      </c>
    </row>
    <row r="305" spans="1:8">
      <c r="H305" t="s">
        <v>19473</v>
      </c>
    </row>
    <row r="306" spans="1:8">
      <c r="F306" t="s">
        <v>10772</v>
      </c>
      <c r="G306" t="s">
        <v>15168</v>
      </c>
      <c r="H306" t="s">
        <v>19478</v>
      </c>
    </row>
    <row r="307" spans="1:8">
      <c r="F307" t="s">
        <v>10773</v>
      </c>
      <c r="G307" t="s">
        <v>15169</v>
      </c>
      <c r="H307" t="s">
        <v>19479</v>
      </c>
    </row>
    <row r="308" spans="1:8">
      <c r="A308" t="s">
        <v>220</v>
      </c>
      <c r="B308">
        <f>HYPERLINK("https://android.googlesource.com/platform/cts/+/96209017c2d7664ca607aedc19ba87ff322c6368", "96209017c2d7664ca607aedc19ba87ff322c6368")</f>
        <v>0</v>
      </c>
      <c r="C308">
        <f>HYPERLINK("https://android.googlesource.com/platform/cts/+/cfc435a9f0ab0197897d7d68b9c02edd79a78083", "cfc435a9f0ab0197897d7d68b9c02edd79a78083")</f>
        <v>0</v>
      </c>
      <c r="D308" t="s">
        <v>4951</v>
      </c>
      <c r="E308" t="s">
        <v>6018</v>
      </c>
      <c r="F308" t="s">
        <v>10687</v>
      </c>
      <c r="G308" t="s">
        <v>15087</v>
      </c>
      <c r="H308" t="s">
        <v>19483</v>
      </c>
    </row>
    <row r="309" spans="1:8">
      <c r="A309" t="s">
        <v>229</v>
      </c>
      <c r="B309">
        <f>HYPERLINK("https://android.googlesource.com/platform/cts/+/f583fe9b174699df169b4311d79499071786ee5f", "f583fe9b174699df169b4311d79499071786ee5f")</f>
        <v>0</v>
      </c>
      <c r="C309">
        <f>HYPERLINK("https://android.googlesource.com/platform/cts/+/4a66ef4ace3d9518b519cd5a44b0ce6e6d116930", "4a66ef4ace3d9518b519cd5a44b0ce6e6d116930")</f>
        <v>0</v>
      </c>
      <c r="D309" t="s">
        <v>4928</v>
      </c>
      <c r="E309" t="s">
        <v>6027</v>
      </c>
      <c r="F309" t="s">
        <v>10664</v>
      </c>
      <c r="G309" t="s">
        <v>15065</v>
      </c>
      <c r="H309" t="s">
        <v>19501</v>
      </c>
    </row>
    <row r="310" spans="1:8">
      <c r="A310" t="s">
        <v>236</v>
      </c>
      <c r="B310">
        <f>HYPERLINK("https://android.googlesource.com/platform/cts/+/476bd99d8a0ec86071e41af96bf6e1d0f98aefa9", "476bd99d8a0ec86071e41af96bf6e1d0f98aefa9")</f>
        <v>0</v>
      </c>
      <c r="C310">
        <f>HYPERLINK("https://android.googlesource.com/platform/cts/+/d9f4846f8eba556b85de3beaa57118ebdb926d6b", "d9f4846f8eba556b85de3beaa57118ebdb926d6b")</f>
        <v>0</v>
      </c>
      <c r="D310" t="s">
        <v>4957</v>
      </c>
      <c r="E310" t="s">
        <v>6033</v>
      </c>
      <c r="F310" t="s">
        <v>10777</v>
      </c>
      <c r="G310" t="s">
        <v>15173</v>
      </c>
      <c r="H310" t="s">
        <v>19508</v>
      </c>
    </row>
    <row r="311" spans="1:8">
      <c r="A311" t="s">
        <v>238</v>
      </c>
      <c r="B311">
        <f>HYPERLINK("https://android.googlesource.com/platform/cts/+/d05a0e34781c6b32624ef8eef98079e99a845283", "d05a0e34781c6b32624ef8eef98079e99a845283")</f>
        <v>0</v>
      </c>
      <c r="C311">
        <f>HYPERLINK("https://android.googlesource.com/platform/cts/+/81484bb31b4588198cbe6b01fd496d544a48f327", "81484bb31b4588198cbe6b01fd496d544a48f327")</f>
        <v>0</v>
      </c>
      <c r="D311" t="s">
        <v>4942</v>
      </c>
      <c r="E311" t="s">
        <v>6035</v>
      </c>
      <c r="F311" t="s">
        <v>10716</v>
      </c>
      <c r="G311" t="s">
        <v>15115</v>
      </c>
      <c r="H311" t="s">
        <v>19510</v>
      </c>
    </row>
    <row r="312" spans="1:8">
      <c r="A312" t="s">
        <v>240</v>
      </c>
      <c r="B312">
        <f>HYPERLINK("https://android.googlesource.com/platform/cts/+/0866696a341f481adb1d07e9a92eb634b942e10b", "0866696a341f481adb1d07e9a92eb634b942e10b")</f>
        <v>0</v>
      </c>
      <c r="C312">
        <f>HYPERLINK("https://android.googlesource.com/platform/cts/+/7c2e6b1c889a298839ce793382e73256262c13a9", "7c2e6b1c889a298839ce793382e73256262c13a9")</f>
        <v>0</v>
      </c>
      <c r="D312" t="s">
        <v>4942</v>
      </c>
      <c r="E312" t="s">
        <v>6037</v>
      </c>
      <c r="F312" t="s">
        <v>10716</v>
      </c>
      <c r="G312" t="s">
        <v>15115</v>
      </c>
      <c r="H312" t="s">
        <v>19510</v>
      </c>
    </row>
    <row r="313" spans="1:8">
      <c r="A313" t="s">
        <v>245</v>
      </c>
      <c r="B313">
        <f>HYPERLINK("https://android.googlesource.com/platform/cts/+/bb47ff02d552e5920d82dcc4716fcec9b196d9f2", "bb47ff02d552e5920d82dcc4716fcec9b196d9f2")</f>
        <v>0</v>
      </c>
      <c r="C313">
        <f>HYPERLINK("https://android.googlesource.com/platform/cts/+/0aa52f6ad574949f38315213af2fea0c0fd70cd4", "0aa52f6ad574949f38315213af2fea0c0fd70cd4")</f>
        <v>0</v>
      </c>
      <c r="D313" t="s">
        <v>4940</v>
      </c>
      <c r="E313" t="s">
        <v>6042</v>
      </c>
      <c r="F313" t="s">
        <v>10670</v>
      </c>
      <c r="G313" t="s">
        <v>15029</v>
      </c>
      <c r="H313" t="s">
        <v>19520</v>
      </c>
    </row>
    <row r="314" spans="1:8">
      <c r="A314" t="s">
        <v>249</v>
      </c>
      <c r="B314">
        <f>HYPERLINK("https://android.googlesource.com/platform/cts/+/cf4dd1c99ec3dfdfb08e38b76d69fbb12c65861a", "cf4dd1c99ec3dfdfb08e38b76d69fbb12c65861a")</f>
        <v>0</v>
      </c>
      <c r="C314">
        <f>HYPERLINK("https://android.googlesource.com/platform/cts/+/4c567436d5e6e8fd9c52e6086d26d67223948a68", "4c567436d5e6e8fd9c52e6086d26d67223948a68")</f>
        <v>0</v>
      </c>
      <c r="D314" t="s">
        <v>4951</v>
      </c>
      <c r="E314" t="s">
        <v>6046</v>
      </c>
      <c r="F314" t="s">
        <v>10787</v>
      </c>
      <c r="G314" t="s">
        <v>15183</v>
      </c>
      <c r="H314" t="s">
        <v>19526</v>
      </c>
    </row>
    <row r="315" spans="1:8">
      <c r="A315" t="s">
        <v>250</v>
      </c>
      <c r="B315">
        <f>HYPERLINK("https://android.googlesource.com/platform/cts/+/abd17ae36aa7c115b156f7910bc765539f2dc004", "abd17ae36aa7c115b156f7910bc765539f2dc004")</f>
        <v>0</v>
      </c>
      <c r="C315">
        <f>HYPERLINK("https://android.googlesource.com/platform/cts/+/2bb244906e847897e7cdebc896c72019c9d2fe48", "2bb244906e847897e7cdebc896c72019c9d2fe48")</f>
        <v>0</v>
      </c>
      <c r="D315" t="s">
        <v>4960</v>
      </c>
      <c r="E315" t="s">
        <v>6047</v>
      </c>
      <c r="F315" t="s">
        <v>10788</v>
      </c>
      <c r="G315" t="s">
        <v>15184</v>
      </c>
      <c r="H315" t="s">
        <v>19528</v>
      </c>
    </row>
    <row r="316" spans="1:8">
      <c r="H316" t="s">
        <v>19530</v>
      </c>
    </row>
    <row r="317" spans="1:8">
      <c r="A317" t="s">
        <v>252</v>
      </c>
      <c r="B317">
        <f>HYPERLINK("https://android.googlesource.com/platform/cts/+/677fe3459b2facdf1da53f106688e5f5ec3924eb", "677fe3459b2facdf1da53f106688e5f5ec3924eb")</f>
        <v>0</v>
      </c>
      <c r="C317">
        <f>HYPERLINK("https://android.googlesource.com/platform/cts/+/d1a9ec6b670009c6597b7d45015b2181daac3d72", "d1a9ec6b670009c6597b7d45015b2181daac3d72")</f>
        <v>0</v>
      </c>
      <c r="D317" t="s">
        <v>4941</v>
      </c>
      <c r="E317" t="s">
        <v>6049</v>
      </c>
      <c r="F317" t="s">
        <v>10701</v>
      </c>
      <c r="G317" t="s">
        <v>15101</v>
      </c>
      <c r="H317" t="s">
        <v>19532</v>
      </c>
    </row>
    <row r="318" spans="1:8">
      <c r="A318" t="s">
        <v>253</v>
      </c>
      <c r="B318">
        <f>HYPERLINK("https://android.googlesource.com/platform/cts/+/399ffdacc357d863058baa8de926e57dbedc4fc8", "399ffdacc357d863058baa8de926e57dbedc4fc8")</f>
        <v>0</v>
      </c>
      <c r="C318">
        <f>HYPERLINK("https://android.googlesource.com/platform/cts/+/f5a36645c1ed3cb3087f76d9cbb20f6271ead68f", "f5a36645c1ed3cb3087f76d9cbb20f6271ead68f")</f>
        <v>0</v>
      </c>
      <c r="D318" t="s">
        <v>4961</v>
      </c>
      <c r="E318" t="s">
        <v>6050</v>
      </c>
      <c r="F318" t="s">
        <v>10789</v>
      </c>
      <c r="G318" t="s">
        <v>15185</v>
      </c>
      <c r="H318" t="s">
        <v>19533</v>
      </c>
    </row>
    <row r="319" spans="1:8">
      <c r="A319" t="s">
        <v>254</v>
      </c>
      <c r="B319">
        <f>HYPERLINK("https://android.googlesource.com/platform/cts/+/b9d1670d9885556385811f4e52b0bb4b9b0076dc", "b9d1670d9885556385811f4e52b0bb4b9b0076dc")</f>
        <v>0</v>
      </c>
      <c r="C319">
        <f>HYPERLINK("https://android.googlesource.com/platform/cts/+/48c39254eb518647711af34ccfc462bbfffbe66b", "48c39254eb518647711af34ccfc462bbfffbe66b")</f>
        <v>0</v>
      </c>
      <c r="D319" t="s">
        <v>4962</v>
      </c>
      <c r="E319" t="s">
        <v>6051</v>
      </c>
      <c r="F319" t="s">
        <v>10790</v>
      </c>
      <c r="G319" t="s">
        <v>15186</v>
      </c>
      <c r="H319" t="s">
        <v>19534</v>
      </c>
    </row>
    <row r="320" spans="1:8">
      <c r="H320" t="s">
        <v>19535</v>
      </c>
    </row>
    <row r="321" spans="1:8">
      <c r="A321" t="s">
        <v>258</v>
      </c>
      <c r="B321">
        <f>HYPERLINK("https://android.googlesource.com/platform/cts/+/6adf2742b8fde0b80e9ae9b8891a18002cad72d0", "6adf2742b8fde0b80e9ae9b8891a18002cad72d0")</f>
        <v>0</v>
      </c>
      <c r="C321">
        <f>HYPERLINK("https://android.googlesource.com/platform/cts/+/d885c092aa25381fc060f4e825de7743f1aabe2c", "d885c092aa25381fc060f4e825de7743f1aabe2c")</f>
        <v>0</v>
      </c>
      <c r="D321" t="s">
        <v>4965</v>
      </c>
      <c r="E321" t="s">
        <v>6055</v>
      </c>
      <c r="F321" t="s">
        <v>10769</v>
      </c>
      <c r="G321" t="s">
        <v>15165</v>
      </c>
      <c r="H321" t="s">
        <v>19544</v>
      </c>
    </row>
    <row r="322" spans="1:8">
      <c r="H322" t="s">
        <v>19545</v>
      </c>
    </row>
    <row r="323" spans="1:8">
      <c r="H323" t="s">
        <v>19546</v>
      </c>
    </row>
    <row r="324" spans="1:8">
      <c r="H324" t="s">
        <v>19547</v>
      </c>
    </row>
    <row r="325" spans="1:8">
      <c r="H325" t="s">
        <v>19548</v>
      </c>
    </row>
    <row r="326" spans="1:8">
      <c r="H326" t="s">
        <v>19549</v>
      </c>
    </row>
    <row r="327" spans="1:8">
      <c r="H327" t="s">
        <v>19550</v>
      </c>
    </row>
    <row r="328" spans="1:8">
      <c r="H328" t="s">
        <v>19551</v>
      </c>
    </row>
    <row r="329" spans="1:8">
      <c r="H329" t="s">
        <v>19552</v>
      </c>
    </row>
    <row r="330" spans="1:8">
      <c r="H330" t="s">
        <v>19553</v>
      </c>
    </row>
    <row r="331" spans="1:8">
      <c r="H331" t="s">
        <v>19554</v>
      </c>
    </row>
    <row r="332" spans="1:8">
      <c r="H332" t="s">
        <v>19555</v>
      </c>
    </row>
    <row r="333" spans="1:8">
      <c r="H333" t="s">
        <v>19556</v>
      </c>
    </row>
    <row r="334" spans="1:8">
      <c r="H334" t="s">
        <v>19557</v>
      </c>
    </row>
    <row r="335" spans="1:8">
      <c r="H335" t="s">
        <v>19558</v>
      </c>
    </row>
    <row r="336" spans="1:8">
      <c r="H336" t="s">
        <v>19559</v>
      </c>
    </row>
    <row r="337" spans="8:8">
      <c r="H337" t="s">
        <v>19560</v>
      </c>
    </row>
    <row r="338" spans="8:8">
      <c r="H338" t="s">
        <v>19561</v>
      </c>
    </row>
    <row r="339" spans="8:8">
      <c r="H339" t="s">
        <v>19562</v>
      </c>
    </row>
    <row r="340" spans="8:8">
      <c r="H340" t="s">
        <v>19563</v>
      </c>
    </row>
    <row r="341" spans="8:8">
      <c r="H341" t="s">
        <v>19564</v>
      </c>
    </row>
    <row r="342" spans="8:8">
      <c r="H342" t="s">
        <v>19565</v>
      </c>
    </row>
    <row r="343" spans="8:8">
      <c r="H343" t="s">
        <v>19566</v>
      </c>
    </row>
    <row r="344" spans="8:8">
      <c r="H344" t="s">
        <v>19007</v>
      </c>
    </row>
    <row r="345" spans="8:8">
      <c r="H345" t="s">
        <v>19567</v>
      </c>
    </row>
    <row r="346" spans="8:8">
      <c r="H346" t="s">
        <v>19568</v>
      </c>
    </row>
    <row r="347" spans="8:8">
      <c r="H347" t="s">
        <v>19569</v>
      </c>
    </row>
    <row r="348" spans="8:8">
      <c r="H348" t="s">
        <v>19570</v>
      </c>
    </row>
    <row r="349" spans="8:8">
      <c r="H349" t="s">
        <v>19571</v>
      </c>
    </row>
    <row r="350" spans="8:8">
      <c r="H350" t="s">
        <v>19572</v>
      </c>
    </row>
    <row r="351" spans="8:8">
      <c r="H351" t="s">
        <v>19573</v>
      </c>
    </row>
    <row r="352" spans="8:8">
      <c r="H352" t="s">
        <v>19574</v>
      </c>
    </row>
    <row r="353" spans="8:8">
      <c r="H353" t="s">
        <v>19575</v>
      </c>
    </row>
    <row r="354" spans="8:8">
      <c r="H354" t="s">
        <v>19576</v>
      </c>
    </row>
    <row r="355" spans="8:8">
      <c r="H355" t="s">
        <v>19577</v>
      </c>
    </row>
    <row r="356" spans="8:8">
      <c r="H356" t="s">
        <v>19578</v>
      </c>
    </row>
    <row r="357" spans="8:8">
      <c r="H357" t="s">
        <v>19579</v>
      </c>
    </row>
    <row r="358" spans="8:8">
      <c r="H358" t="s">
        <v>19580</v>
      </c>
    </row>
    <row r="359" spans="8:8">
      <c r="H359" t="s">
        <v>19581</v>
      </c>
    </row>
    <row r="360" spans="8:8">
      <c r="H360" t="s">
        <v>19582</v>
      </c>
    </row>
    <row r="361" spans="8:8">
      <c r="H361" t="s">
        <v>19583</v>
      </c>
    </row>
    <row r="362" spans="8:8">
      <c r="H362" t="s">
        <v>19584</v>
      </c>
    </row>
    <row r="363" spans="8:8">
      <c r="H363" t="s">
        <v>19585</v>
      </c>
    </row>
    <row r="364" spans="8:8">
      <c r="H364" t="s">
        <v>19586</v>
      </c>
    </row>
    <row r="365" spans="8:8">
      <c r="H365" t="s">
        <v>19587</v>
      </c>
    </row>
    <row r="366" spans="8:8">
      <c r="H366" t="s">
        <v>19588</v>
      </c>
    </row>
    <row r="367" spans="8:8">
      <c r="H367" t="s">
        <v>19589</v>
      </c>
    </row>
    <row r="368" spans="8:8">
      <c r="H368" t="s">
        <v>19590</v>
      </c>
    </row>
    <row r="369" spans="8:8">
      <c r="H369" t="s">
        <v>19591</v>
      </c>
    </row>
    <row r="370" spans="8:8">
      <c r="H370" t="s">
        <v>19592</v>
      </c>
    </row>
    <row r="371" spans="8:8">
      <c r="H371" t="s">
        <v>19593</v>
      </c>
    </row>
    <row r="372" spans="8:8">
      <c r="H372" t="s">
        <v>19594</v>
      </c>
    </row>
    <row r="373" spans="8:8">
      <c r="H373" t="s">
        <v>19595</v>
      </c>
    </row>
    <row r="374" spans="8:8">
      <c r="H374" t="s">
        <v>19596</v>
      </c>
    </row>
    <row r="375" spans="8:8">
      <c r="H375" t="s">
        <v>19597</v>
      </c>
    </row>
    <row r="376" spans="8:8">
      <c r="H376" t="s">
        <v>19598</v>
      </c>
    </row>
    <row r="377" spans="8:8">
      <c r="H377" t="s">
        <v>19599</v>
      </c>
    </row>
    <row r="378" spans="8:8">
      <c r="H378" t="s">
        <v>19600</v>
      </c>
    </row>
    <row r="379" spans="8:8">
      <c r="H379" t="s">
        <v>19601</v>
      </c>
    </row>
    <row r="380" spans="8:8">
      <c r="H380" t="s">
        <v>19602</v>
      </c>
    </row>
    <row r="381" spans="8:8">
      <c r="H381" t="s">
        <v>19603</v>
      </c>
    </row>
    <row r="382" spans="8:8">
      <c r="H382" t="s">
        <v>19604</v>
      </c>
    </row>
    <row r="383" spans="8:8">
      <c r="H383" t="s">
        <v>19605</v>
      </c>
    </row>
    <row r="384" spans="8:8">
      <c r="H384" t="s">
        <v>19606</v>
      </c>
    </row>
    <row r="385" spans="8:8">
      <c r="H385" t="s">
        <v>19607</v>
      </c>
    </row>
    <row r="386" spans="8:8">
      <c r="H386" t="s">
        <v>19608</v>
      </c>
    </row>
    <row r="387" spans="8:8">
      <c r="H387" t="s">
        <v>19609</v>
      </c>
    </row>
    <row r="388" spans="8:8">
      <c r="H388" t="s">
        <v>19610</v>
      </c>
    </row>
    <row r="389" spans="8:8">
      <c r="H389" t="s">
        <v>19611</v>
      </c>
    </row>
    <row r="390" spans="8:8">
      <c r="H390" t="s">
        <v>19612</v>
      </c>
    </row>
    <row r="391" spans="8:8">
      <c r="H391" t="s">
        <v>19613</v>
      </c>
    </row>
    <row r="392" spans="8:8">
      <c r="H392" t="s">
        <v>19614</v>
      </c>
    </row>
    <row r="393" spans="8:8">
      <c r="H393" t="s">
        <v>19615</v>
      </c>
    </row>
    <row r="394" spans="8:8">
      <c r="H394" t="s">
        <v>19616</v>
      </c>
    </row>
    <row r="395" spans="8:8">
      <c r="H395" t="s">
        <v>19617</v>
      </c>
    </row>
    <row r="396" spans="8:8">
      <c r="H396" t="s">
        <v>19618</v>
      </c>
    </row>
    <row r="397" spans="8:8">
      <c r="H397" t="s">
        <v>19619</v>
      </c>
    </row>
    <row r="398" spans="8:8">
      <c r="H398" t="s">
        <v>19620</v>
      </c>
    </row>
    <row r="399" spans="8:8">
      <c r="H399" t="s">
        <v>19621</v>
      </c>
    </row>
    <row r="400" spans="8:8">
      <c r="H400" t="s">
        <v>19622</v>
      </c>
    </row>
    <row r="401" spans="8:8">
      <c r="H401" t="s">
        <v>19623</v>
      </c>
    </row>
    <row r="402" spans="8:8">
      <c r="H402" t="s">
        <v>19624</v>
      </c>
    </row>
    <row r="403" spans="8:8">
      <c r="H403" t="s">
        <v>19625</v>
      </c>
    </row>
    <row r="404" spans="8:8">
      <c r="H404" t="s">
        <v>19626</v>
      </c>
    </row>
    <row r="405" spans="8:8">
      <c r="H405" t="s">
        <v>19627</v>
      </c>
    </row>
    <row r="406" spans="8:8">
      <c r="H406" t="s">
        <v>19628</v>
      </c>
    </row>
    <row r="407" spans="8:8">
      <c r="H407" t="s">
        <v>19629</v>
      </c>
    </row>
    <row r="408" spans="8:8">
      <c r="H408" t="s">
        <v>19630</v>
      </c>
    </row>
    <row r="409" spans="8:8">
      <c r="H409" t="s">
        <v>19631</v>
      </c>
    </row>
    <row r="410" spans="8:8">
      <c r="H410" t="s">
        <v>19632</v>
      </c>
    </row>
    <row r="411" spans="8:8">
      <c r="H411" t="s">
        <v>19633</v>
      </c>
    </row>
    <row r="412" spans="8:8">
      <c r="H412" t="s">
        <v>19634</v>
      </c>
    </row>
    <row r="413" spans="8:8">
      <c r="H413" t="s">
        <v>19635</v>
      </c>
    </row>
    <row r="414" spans="8:8">
      <c r="H414" t="s">
        <v>19636</v>
      </c>
    </row>
    <row r="415" spans="8:8">
      <c r="H415" t="s">
        <v>19637</v>
      </c>
    </row>
    <row r="416" spans="8:8">
      <c r="H416" t="s">
        <v>19638</v>
      </c>
    </row>
    <row r="417" spans="1:8">
      <c r="H417" t="s">
        <v>19639</v>
      </c>
    </row>
    <row r="418" spans="1:8">
      <c r="H418" t="s">
        <v>19640</v>
      </c>
    </row>
    <row r="419" spans="1:8">
      <c r="A419" t="s">
        <v>259</v>
      </c>
      <c r="B419">
        <f>HYPERLINK("https://android.googlesource.com/platform/cts/+/45dd2f15092680526902b37d7118f039783fe893", "45dd2f15092680526902b37d7118f039783fe893")</f>
        <v>0</v>
      </c>
      <c r="C419">
        <f>HYPERLINK("https://android.googlesource.com/platform/cts/+/4c29d970b828238a25b4b708692bff0fe47d5449", "4c29d970b828238a25b4b708692bff0fe47d5449")</f>
        <v>0</v>
      </c>
      <c r="D419" t="s">
        <v>4964</v>
      </c>
      <c r="E419" t="s">
        <v>6056</v>
      </c>
      <c r="F419" t="s">
        <v>10778</v>
      </c>
      <c r="G419" t="s">
        <v>15174</v>
      </c>
      <c r="H419" t="s">
        <v>19646</v>
      </c>
    </row>
    <row r="420" spans="1:8">
      <c r="H420" t="s">
        <v>19647</v>
      </c>
    </row>
    <row r="421" spans="1:8">
      <c r="H421" t="s">
        <v>19648</v>
      </c>
    </row>
    <row r="422" spans="1:8">
      <c r="H422" t="s">
        <v>19649</v>
      </c>
    </row>
    <row r="423" spans="1:8">
      <c r="H423" t="s">
        <v>19650</v>
      </c>
    </row>
    <row r="424" spans="1:8">
      <c r="H424" t="s">
        <v>19651</v>
      </c>
    </row>
    <row r="425" spans="1:8">
      <c r="H425" t="s">
        <v>19652</v>
      </c>
    </row>
    <row r="426" spans="1:8">
      <c r="A426" t="s">
        <v>266</v>
      </c>
      <c r="B426">
        <f>HYPERLINK("https://android.googlesource.com/platform/cts/+/04b3c8e6f32aec2af720fee0e3a417b0433b5050", "04b3c8e6f32aec2af720fee0e3a417b0433b5050")</f>
        <v>0</v>
      </c>
      <c r="C426">
        <f>HYPERLINK("https://android.googlesource.com/platform/cts/+/9ea14d091071d56aef036237bf548998d62835b3", "9ea14d091071d56aef036237bf548998d62835b3")</f>
        <v>0</v>
      </c>
      <c r="D426" t="s">
        <v>4951</v>
      </c>
      <c r="E426" t="s">
        <v>6063</v>
      </c>
      <c r="F426" t="s">
        <v>10793</v>
      </c>
      <c r="G426" t="s">
        <v>15188</v>
      </c>
      <c r="H426" t="s">
        <v>19668</v>
      </c>
    </row>
    <row r="427" spans="1:8">
      <c r="A427" t="s">
        <v>269</v>
      </c>
      <c r="B427">
        <f>HYPERLINK("https://android.googlesource.com/platform/cts/+/4fda9ca3a281ea399282a3fb080c77dbdbb723bd", "4fda9ca3a281ea399282a3fb080c77dbdbb723bd")</f>
        <v>0</v>
      </c>
      <c r="C427">
        <f>HYPERLINK("https://android.googlesource.com/platform/cts/+/071f7991ee0ed8ffdaa0f29588a020a5c03364fe", "071f7991ee0ed8ffdaa0f29588a020a5c03364fe")</f>
        <v>0</v>
      </c>
      <c r="D427" t="s">
        <v>4966</v>
      </c>
      <c r="E427" t="s">
        <v>6066</v>
      </c>
      <c r="F427" t="s">
        <v>10795</v>
      </c>
      <c r="G427" t="s">
        <v>15190</v>
      </c>
      <c r="H427" t="s">
        <v>19706</v>
      </c>
    </row>
    <row r="428" spans="1:8">
      <c r="F428" t="s">
        <v>10796</v>
      </c>
      <c r="G428" t="s">
        <v>15191</v>
      </c>
      <c r="H428" t="s">
        <v>19706</v>
      </c>
    </row>
    <row r="429" spans="1:8">
      <c r="F429" t="s">
        <v>10797</v>
      </c>
      <c r="G429" t="s">
        <v>15192</v>
      </c>
      <c r="H429" t="s">
        <v>19707</v>
      </c>
    </row>
    <row r="430" spans="1:8">
      <c r="F430" t="s">
        <v>10798</v>
      </c>
      <c r="G430" t="s">
        <v>15193</v>
      </c>
      <c r="H430" t="s">
        <v>19707</v>
      </c>
    </row>
    <row r="431" spans="1:8">
      <c r="F431" t="s">
        <v>10799</v>
      </c>
      <c r="G431" t="s">
        <v>15194</v>
      </c>
      <c r="H431" t="s">
        <v>19708</v>
      </c>
    </row>
    <row r="432" spans="1:8">
      <c r="F432" t="s">
        <v>10800</v>
      </c>
      <c r="G432" t="s">
        <v>15195</v>
      </c>
      <c r="H432" t="s">
        <v>19708</v>
      </c>
    </row>
    <row r="433" spans="6:8">
      <c r="F433" t="s">
        <v>10801</v>
      </c>
      <c r="G433" t="s">
        <v>15196</v>
      </c>
      <c r="H433" t="s">
        <v>19708</v>
      </c>
    </row>
    <row r="434" spans="6:8">
      <c r="F434" t="s">
        <v>10802</v>
      </c>
      <c r="G434" t="s">
        <v>15197</v>
      </c>
      <c r="H434" t="s">
        <v>19708</v>
      </c>
    </row>
    <row r="435" spans="6:8">
      <c r="F435" t="s">
        <v>10803</v>
      </c>
      <c r="G435" t="s">
        <v>15198</v>
      </c>
      <c r="H435" t="s">
        <v>19706</v>
      </c>
    </row>
    <row r="436" spans="6:8">
      <c r="F436" t="s">
        <v>10804</v>
      </c>
      <c r="G436" t="s">
        <v>15199</v>
      </c>
      <c r="H436" t="s">
        <v>19706</v>
      </c>
    </row>
    <row r="437" spans="6:8">
      <c r="F437" t="s">
        <v>10805</v>
      </c>
      <c r="G437" t="s">
        <v>15200</v>
      </c>
      <c r="H437" t="s">
        <v>19709</v>
      </c>
    </row>
    <row r="438" spans="6:8">
      <c r="F438" t="s">
        <v>10806</v>
      </c>
      <c r="G438" t="s">
        <v>15201</v>
      </c>
      <c r="H438" t="s">
        <v>19709</v>
      </c>
    </row>
    <row r="439" spans="6:8">
      <c r="F439" t="s">
        <v>10807</v>
      </c>
      <c r="G439" t="s">
        <v>15202</v>
      </c>
      <c r="H439" t="s">
        <v>19709</v>
      </c>
    </row>
    <row r="440" spans="6:8">
      <c r="F440" t="s">
        <v>10808</v>
      </c>
      <c r="G440" t="s">
        <v>15203</v>
      </c>
      <c r="H440" t="s">
        <v>19709</v>
      </c>
    </row>
    <row r="441" spans="6:8">
      <c r="F441" t="s">
        <v>10809</v>
      </c>
      <c r="G441" t="s">
        <v>15204</v>
      </c>
      <c r="H441" t="s">
        <v>19709</v>
      </c>
    </row>
    <row r="442" spans="6:8">
      <c r="F442" t="s">
        <v>10810</v>
      </c>
      <c r="G442" t="s">
        <v>15205</v>
      </c>
      <c r="H442" t="s">
        <v>19709</v>
      </c>
    </row>
    <row r="443" spans="6:8">
      <c r="F443" t="s">
        <v>10811</v>
      </c>
      <c r="G443" t="s">
        <v>15206</v>
      </c>
      <c r="H443" t="s">
        <v>19706</v>
      </c>
    </row>
    <row r="444" spans="6:8">
      <c r="F444" t="s">
        <v>10812</v>
      </c>
      <c r="G444" t="s">
        <v>15207</v>
      </c>
      <c r="H444" t="s">
        <v>19706</v>
      </c>
    </row>
    <row r="445" spans="6:8">
      <c r="F445" t="s">
        <v>10813</v>
      </c>
      <c r="G445" t="s">
        <v>15208</v>
      </c>
      <c r="H445" t="s">
        <v>19706</v>
      </c>
    </row>
    <row r="446" spans="6:8">
      <c r="F446" t="s">
        <v>10814</v>
      </c>
      <c r="G446" t="s">
        <v>15209</v>
      </c>
      <c r="H446" t="s">
        <v>19706</v>
      </c>
    </row>
    <row r="447" spans="6:8">
      <c r="F447" t="s">
        <v>10815</v>
      </c>
      <c r="G447" t="s">
        <v>15210</v>
      </c>
      <c r="H447" t="s">
        <v>19706</v>
      </c>
    </row>
    <row r="448" spans="6:8">
      <c r="F448" t="s">
        <v>10816</v>
      </c>
      <c r="G448" t="s">
        <v>15211</v>
      </c>
      <c r="H448" t="s">
        <v>19706</v>
      </c>
    </row>
    <row r="449" spans="6:8">
      <c r="F449" t="s">
        <v>10817</v>
      </c>
      <c r="G449" t="s">
        <v>15212</v>
      </c>
      <c r="H449" t="s">
        <v>19706</v>
      </c>
    </row>
    <row r="450" spans="6:8">
      <c r="F450" t="s">
        <v>10818</v>
      </c>
      <c r="G450" t="s">
        <v>15213</v>
      </c>
      <c r="H450" t="s">
        <v>19709</v>
      </c>
    </row>
    <row r="451" spans="6:8">
      <c r="F451" t="s">
        <v>10819</v>
      </c>
      <c r="G451" t="s">
        <v>15214</v>
      </c>
      <c r="H451" t="s">
        <v>19709</v>
      </c>
    </row>
    <row r="452" spans="6:8">
      <c r="F452" t="s">
        <v>10820</v>
      </c>
      <c r="G452" t="s">
        <v>15215</v>
      </c>
      <c r="H452" t="s">
        <v>19709</v>
      </c>
    </row>
    <row r="453" spans="6:8">
      <c r="F453" t="s">
        <v>10821</v>
      </c>
      <c r="G453" t="s">
        <v>15216</v>
      </c>
      <c r="H453" t="s">
        <v>19709</v>
      </c>
    </row>
    <row r="454" spans="6:8">
      <c r="F454" t="s">
        <v>10822</v>
      </c>
      <c r="G454" t="s">
        <v>15217</v>
      </c>
      <c r="H454" t="s">
        <v>19707</v>
      </c>
    </row>
    <row r="455" spans="6:8">
      <c r="F455" t="s">
        <v>10823</v>
      </c>
      <c r="G455" t="s">
        <v>15218</v>
      </c>
      <c r="H455" t="s">
        <v>19709</v>
      </c>
    </row>
    <row r="456" spans="6:8">
      <c r="F456" t="s">
        <v>10824</v>
      </c>
      <c r="G456" t="s">
        <v>15219</v>
      </c>
      <c r="H456" t="s">
        <v>19706</v>
      </c>
    </row>
    <row r="457" spans="6:8">
      <c r="H457" t="s">
        <v>19707</v>
      </c>
    </row>
    <row r="458" spans="6:8">
      <c r="F458" t="s">
        <v>10825</v>
      </c>
      <c r="G458" t="s">
        <v>15220</v>
      </c>
      <c r="H458" t="s">
        <v>19706</v>
      </c>
    </row>
    <row r="459" spans="6:8">
      <c r="F459" t="s">
        <v>10826</v>
      </c>
      <c r="G459" t="s">
        <v>15221</v>
      </c>
      <c r="H459" t="s">
        <v>19706</v>
      </c>
    </row>
    <row r="460" spans="6:8">
      <c r="F460" t="s">
        <v>10827</v>
      </c>
      <c r="G460" t="s">
        <v>15222</v>
      </c>
      <c r="H460" t="s">
        <v>19706</v>
      </c>
    </row>
    <row r="461" spans="6:8">
      <c r="F461" t="s">
        <v>10828</v>
      </c>
      <c r="G461" t="s">
        <v>15223</v>
      </c>
      <c r="H461" t="s">
        <v>19706</v>
      </c>
    </row>
    <row r="462" spans="6:8">
      <c r="F462" t="s">
        <v>10829</v>
      </c>
      <c r="G462" t="s">
        <v>15224</v>
      </c>
      <c r="H462" t="s">
        <v>19706</v>
      </c>
    </row>
    <row r="463" spans="6:8">
      <c r="F463" t="s">
        <v>10830</v>
      </c>
      <c r="G463" t="s">
        <v>15225</v>
      </c>
      <c r="H463" t="s">
        <v>19707</v>
      </c>
    </row>
    <row r="464" spans="6:8">
      <c r="F464" t="s">
        <v>10831</v>
      </c>
      <c r="G464" t="s">
        <v>15226</v>
      </c>
      <c r="H464" t="s">
        <v>19707</v>
      </c>
    </row>
    <row r="465" spans="6:8">
      <c r="F465" t="s">
        <v>10832</v>
      </c>
      <c r="G465" t="s">
        <v>15227</v>
      </c>
      <c r="H465" t="s">
        <v>19706</v>
      </c>
    </row>
    <row r="466" spans="6:8">
      <c r="F466" t="s">
        <v>10833</v>
      </c>
      <c r="G466" t="s">
        <v>15228</v>
      </c>
      <c r="H466" t="s">
        <v>19706</v>
      </c>
    </row>
    <row r="467" spans="6:8">
      <c r="F467" t="s">
        <v>10834</v>
      </c>
      <c r="G467" t="s">
        <v>15229</v>
      </c>
      <c r="H467" t="s">
        <v>19708</v>
      </c>
    </row>
    <row r="468" spans="6:8">
      <c r="F468" t="s">
        <v>10835</v>
      </c>
      <c r="G468" t="s">
        <v>15230</v>
      </c>
      <c r="H468" t="s">
        <v>19708</v>
      </c>
    </row>
    <row r="469" spans="6:8">
      <c r="F469" t="s">
        <v>10836</v>
      </c>
      <c r="G469" t="s">
        <v>15231</v>
      </c>
      <c r="H469" t="s">
        <v>19708</v>
      </c>
    </row>
    <row r="470" spans="6:8">
      <c r="F470" t="s">
        <v>10837</v>
      </c>
      <c r="G470" t="s">
        <v>15232</v>
      </c>
      <c r="H470" t="s">
        <v>19708</v>
      </c>
    </row>
    <row r="471" spans="6:8">
      <c r="F471" t="s">
        <v>10838</v>
      </c>
      <c r="G471" t="s">
        <v>15233</v>
      </c>
      <c r="H471" t="s">
        <v>19708</v>
      </c>
    </row>
    <row r="472" spans="6:8">
      <c r="F472" t="s">
        <v>10839</v>
      </c>
      <c r="G472" t="s">
        <v>15234</v>
      </c>
      <c r="H472" t="s">
        <v>19708</v>
      </c>
    </row>
    <row r="473" spans="6:8">
      <c r="F473" t="s">
        <v>10840</v>
      </c>
      <c r="G473" t="s">
        <v>15235</v>
      </c>
      <c r="H473" t="s">
        <v>19706</v>
      </c>
    </row>
    <row r="474" spans="6:8">
      <c r="F474" t="s">
        <v>10841</v>
      </c>
      <c r="G474" t="s">
        <v>15236</v>
      </c>
      <c r="H474" t="s">
        <v>19706</v>
      </c>
    </row>
    <row r="475" spans="6:8">
      <c r="F475" t="s">
        <v>10842</v>
      </c>
      <c r="G475" t="s">
        <v>15237</v>
      </c>
      <c r="H475" t="s">
        <v>19706</v>
      </c>
    </row>
    <row r="476" spans="6:8">
      <c r="F476" t="s">
        <v>10843</v>
      </c>
      <c r="G476" t="s">
        <v>15238</v>
      </c>
      <c r="H476" t="s">
        <v>19706</v>
      </c>
    </row>
    <row r="477" spans="6:8">
      <c r="F477" t="s">
        <v>10844</v>
      </c>
      <c r="G477" t="s">
        <v>15239</v>
      </c>
      <c r="H477" t="s">
        <v>19706</v>
      </c>
    </row>
    <row r="478" spans="6:8">
      <c r="F478" t="s">
        <v>10845</v>
      </c>
      <c r="G478" t="s">
        <v>15240</v>
      </c>
      <c r="H478" t="s">
        <v>19706</v>
      </c>
    </row>
    <row r="479" spans="6:8">
      <c r="F479" t="s">
        <v>10846</v>
      </c>
      <c r="G479" t="s">
        <v>15241</v>
      </c>
      <c r="H479" t="s">
        <v>19708</v>
      </c>
    </row>
    <row r="480" spans="6:8">
      <c r="F480" t="s">
        <v>10847</v>
      </c>
      <c r="G480" t="s">
        <v>15242</v>
      </c>
      <c r="H480" t="s">
        <v>19709</v>
      </c>
    </row>
    <row r="481" spans="6:8">
      <c r="F481" t="s">
        <v>10848</v>
      </c>
      <c r="G481" t="s">
        <v>15243</v>
      </c>
      <c r="H481" t="s">
        <v>19706</v>
      </c>
    </row>
    <row r="482" spans="6:8">
      <c r="F482" t="s">
        <v>10849</v>
      </c>
      <c r="G482" t="s">
        <v>15244</v>
      </c>
      <c r="H482" t="s">
        <v>19709</v>
      </c>
    </row>
    <row r="483" spans="6:8">
      <c r="F483" t="s">
        <v>10850</v>
      </c>
      <c r="G483" t="s">
        <v>15245</v>
      </c>
      <c r="H483" t="s">
        <v>19706</v>
      </c>
    </row>
    <row r="484" spans="6:8">
      <c r="F484" t="s">
        <v>10851</v>
      </c>
      <c r="G484" t="s">
        <v>15246</v>
      </c>
      <c r="H484" t="s">
        <v>19709</v>
      </c>
    </row>
    <row r="485" spans="6:8">
      <c r="F485" t="s">
        <v>10852</v>
      </c>
      <c r="G485" t="s">
        <v>15247</v>
      </c>
      <c r="H485" t="s">
        <v>19706</v>
      </c>
    </row>
    <row r="486" spans="6:8">
      <c r="F486" t="s">
        <v>10853</v>
      </c>
      <c r="G486" t="s">
        <v>15248</v>
      </c>
      <c r="H486" t="s">
        <v>19709</v>
      </c>
    </row>
    <row r="487" spans="6:8">
      <c r="F487" t="s">
        <v>10854</v>
      </c>
      <c r="G487" t="s">
        <v>15249</v>
      </c>
      <c r="H487" t="s">
        <v>19706</v>
      </c>
    </row>
    <row r="488" spans="6:8">
      <c r="F488" t="s">
        <v>10855</v>
      </c>
      <c r="G488" t="s">
        <v>15250</v>
      </c>
      <c r="H488" t="s">
        <v>19709</v>
      </c>
    </row>
    <row r="489" spans="6:8">
      <c r="F489" t="s">
        <v>10856</v>
      </c>
      <c r="G489" t="s">
        <v>15251</v>
      </c>
      <c r="H489" t="s">
        <v>19708</v>
      </c>
    </row>
    <row r="490" spans="6:8">
      <c r="F490" t="s">
        <v>10857</v>
      </c>
      <c r="G490" t="s">
        <v>15252</v>
      </c>
      <c r="H490" t="s">
        <v>19706</v>
      </c>
    </row>
    <row r="491" spans="6:8">
      <c r="F491" t="s">
        <v>10858</v>
      </c>
      <c r="G491" t="s">
        <v>15253</v>
      </c>
      <c r="H491" t="s">
        <v>19708</v>
      </c>
    </row>
    <row r="492" spans="6:8">
      <c r="F492" t="s">
        <v>10859</v>
      </c>
      <c r="G492" t="s">
        <v>15254</v>
      </c>
      <c r="H492" t="s">
        <v>19707</v>
      </c>
    </row>
    <row r="493" spans="6:8">
      <c r="F493" t="s">
        <v>10860</v>
      </c>
      <c r="G493" t="s">
        <v>15255</v>
      </c>
      <c r="H493" t="s">
        <v>19710</v>
      </c>
    </row>
    <row r="494" spans="6:8">
      <c r="F494" t="s">
        <v>10861</v>
      </c>
      <c r="G494" t="s">
        <v>15256</v>
      </c>
      <c r="H494" t="s">
        <v>19707</v>
      </c>
    </row>
    <row r="495" spans="6:8">
      <c r="F495" t="s">
        <v>10862</v>
      </c>
      <c r="G495" t="s">
        <v>15257</v>
      </c>
      <c r="H495" t="s">
        <v>19710</v>
      </c>
    </row>
    <row r="496" spans="6:8">
      <c r="F496" t="s">
        <v>10863</v>
      </c>
      <c r="G496" t="s">
        <v>15258</v>
      </c>
      <c r="H496" t="s">
        <v>19710</v>
      </c>
    </row>
    <row r="497" spans="6:8">
      <c r="F497" t="s">
        <v>10864</v>
      </c>
      <c r="G497" t="s">
        <v>15259</v>
      </c>
      <c r="H497" t="s">
        <v>19711</v>
      </c>
    </row>
    <row r="498" spans="6:8">
      <c r="F498" t="s">
        <v>10865</v>
      </c>
      <c r="G498" t="s">
        <v>15260</v>
      </c>
      <c r="H498" t="s">
        <v>19706</v>
      </c>
    </row>
    <row r="499" spans="6:8">
      <c r="F499" t="s">
        <v>10866</v>
      </c>
      <c r="G499" t="s">
        <v>15261</v>
      </c>
      <c r="H499" t="s">
        <v>19706</v>
      </c>
    </row>
    <row r="500" spans="6:8">
      <c r="F500" t="s">
        <v>10867</v>
      </c>
      <c r="G500" t="s">
        <v>15262</v>
      </c>
      <c r="H500" t="s">
        <v>19707</v>
      </c>
    </row>
    <row r="501" spans="6:8">
      <c r="F501" t="s">
        <v>10868</v>
      </c>
      <c r="G501" t="s">
        <v>15263</v>
      </c>
      <c r="H501" t="s">
        <v>19706</v>
      </c>
    </row>
    <row r="502" spans="6:8">
      <c r="F502" t="s">
        <v>10869</v>
      </c>
      <c r="G502" t="s">
        <v>15264</v>
      </c>
      <c r="H502" t="s">
        <v>19706</v>
      </c>
    </row>
    <row r="503" spans="6:8">
      <c r="F503" t="s">
        <v>10870</v>
      </c>
      <c r="G503" t="s">
        <v>15265</v>
      </c>
      <c r="H503" t="s">
        <v>19706</v>
      </c>
    </row>
    <row r="504" spans="6:8">
      <c r="F504" t="s">
        <v>10871</v>
      </c>
      <c r="G504" t="s">
        <v>15266</v>
      </c>
      <c r="H504" t="s">
        <v>19706</v>
      </c>
    </row>
    <row r="505" spans="6:8">
      <c r="F505" t="s">
        <v>10872</v>
      </c>
      <c r="G505" t="s">
        <v>15267</v>
      </c>
      <c r="H505" t="s">
        <v>19707</v>
      </c>
    </row>
    <row r="506" spans="6:8">
      <c r="F506" t="s">
        <v>10873</v>
      </c>
      <c r="G506" t="s">
        <v>15268</v>
      </c>
      <c r="H506" t="s">
        <v>19707</v>
      </c>
    </row>
    <row r="507" spans="6:8">
      <c r="F507" t="s">
        <v>10874</v>
      </c>
      <c r="G507" t="s">
        <v>15269</v>
      </c>
      <c r="H507" t="s">
        <v>19707</v>
      </c>
    </row>
    <row r="508" spans="6:8">
      <c r="F508" t="s">
        <v>10875</v>
      </c>
      <c r="G508" t="s">
        <v>15270</v>
      </c>
      <c r="H508" t="s">
        <v>19707</v>
      </c>
    </row>
    <row r="509" spans="6:8">
      <c r="F509" t="s">
        <v>10876</v>
      </c>
      <c r="G509" t="s">
        <v>15271</v>
      </c>
      <c r="H509" t="s">
        <v>19706</v>
      </c>
    </row>
    <row r="510" spans="6:8">
      <c r="F510" t="s">
        <v>10877</v>
      </c>
      <c r="G510" t="s">
        <v>15272</v>
      </c>
      <c r="H510" t="s">
        <v>19706</v>
      </c>
    </row>
    <row r="511" spans="6:8">
      <c r="F511" t="s">
        <v>10878</v>
      </c>
      <c r="G511" t="s">
        <v>15273</v>
      </c>
      <c r="H511" t="s">
        <v>19707</v>
      </c>
    </row>
    <row r="512" spans="6:8">
      <c r="F512" t="s">
        <v>10879</v>
      </c>
      <c r="G512" t="s">
        <v>15274</v>
      </c>
      <c r="H512" t="s">
        <v>19707</v>
      </c>
    </row>
    <row r="513" spans="6:8">
      <c r="F513" t="s">
        <v>10880</v>
      </c>
      <c r="G513" t="s">
        <v>15275</v>
      </c>
      <c r="H513" t="s">
        <v>19711</v>
      </c>
    </row>
    <row r="514" spans="6:8">
      <c r="F514" t="s">
        <v>10881</v>
      </c>
      <c r="G514" t="s">
        <v>15276</v>
      </c>
      <c r="H514" t="s">
        <v>19707</v>
      </c>
    </row>
    <row r="515" spans="6:8">
      <c r="F515" t="s">
        <v>10882</v>
      </c>
      <c r="G515" t="s">
        <v>15277</v>
      </c>
      <c r="H515" t="s">
        <v>19706</v>
      </c>
    </row>
    <row r="516" spans="6:8">
      <c r="F516" t="s">
        <v>10883</v>
      </c>
      <c r="G516" t="s">
        <v>15278</v>
      </c>
      <c r="H516" t="s">
        <v>19706</v>
      </c>
    </row>
    <row r="517" spans="6:8">
      <c r="F517" t="s">
        <v>10884</v>
      </c>
      <c r="G517" t="s">
        <v>15279</v>
      </c>
      <c r="H517" t="s">
        <v>19706</v>
      </c>
    </row>
    <row r="518" spans="6:8">
      <c r="F518" t="s">
        <v>10885</v>
      </c>
      <c r="G518" t="s">
        <v>15280</v>
      </c>
      <c r="H518" t="s">
        <v>19706</v>
      </c>
    </row>
    <row r="519" spans="6:8">
      <c r="F519" t="s">
        <v>10886</v>
      </c>
      <c r="G519" t="s">
        <v>15281</v>
      </c>
      <c r="H519" t="s">
        <v>19706</v>
      </c>
    </row>
    <row r="520" spans="6:8">
      <c r="F520" t="s">
        <v>10887</v>
      </c>
      <c r="G520" t="s">
        <v>15282</v>
      </c>
      <c r="H520" t="s">
        <v>19706</v>
      </c>
    </row>
    <row r="521" spans="6:8">
      <c r="F521" t="s">
        <v>10888</v>
      </c>
      <c r="G521" t="s">
        <v>15283</v>
      </c>
      <c r="H521" t="s">
        <v>19706</v>
      </c>
    </row>
    <row r="522" spans="6:8">
      <c r="F522" t="s">
        <v>10889</v>
      </c>
      <c r="G522" t="s">
        <v>15284</v>
      </c>
      <c r="H522" t="s">
        <v>19706</v>
      </c>
    </row>
    <row r="523" spans="6:8">
      <c r="F523" t="s">
        <v>10890</v>
      </c>
      <c r="G523" t="s">
        <v>15285</v>
      </c>
      <c r="H523" t="s">
        <v>19712</v>
      </c>
    </row>
    <row r="524" spans="6:8">
      <c r="F524" t="s">
        <v>10891</v>
      </c>
      <c r="G524" t="s">
        <v>15286</v>
      </c>
      <c r="H524" t="s">
        <v>19706</v>
      </c>
    </row>
    <row r="525" spans="6:8">
      <c r="F525" t="s">
        <v>10892</v>
      </c>
      <c r="G525" t="s">
        <v>15287</v>
      </c>
      <c r="H525" t="s">
        <v>19706</v>
      </c>
    </row>
    <row r="526" spans="6:8">
      <c r="F526" t="s">
        <v>10893</v>
      </c>
      <c r="G526" t="s">
        <v>15288</v>
      </c>
      <c r="H526" t="s">
        <v>19706</v>
      </c>
    </row>
    <row r="527" spans="6:8">
      <c r="F527" t="s">
        <v>10894</v>
      </c>
      <c r="G527" t="s">
        <v>15289</v>
      </c>
      <c r="H527" t="s">
        <v>19706</v>
      </c>
    </row>
    <row r="528" spans="6:8">
      <c r="F528" t="s">
        <v>10895</v>
      </c>
      <c r="G528" t="s">
        <v>15290</v>
      </c>
      <c r="H528" t="s">
        <v>19708</v>
      </c>
    </row>
    <row r="529" spans="6:8">
      <c r="F529" t="s">
        <v>10896</v>
      </c>
      <c r="G529" t="s">
        <v>15291</v>
      </c>
      <c r="H529" t="s">
        <v>19708</v>
      </c>
    </row>
    <row r="530" spans="6:8">
      <c r="F530" t="s">
        <v>10897</v>
      </c>
      <c r="G530" t="s">
        <v>15292</v>
      </c>
      <c r="H530" t="s">
        <v>19708</v>
      </c>
    </row>
    <row r="531" spans="6:8">
      <c r="F531" t="s">
        <v>10898</v>
      </c>
      <c r="G531" t="s">
        <v>15293</v>
      </c>
      <c r="H531" t="s">
        <v>19708</v>
      </c>
    </row>
    <row r="532" spans="6:8">
      <c r="F532" t="s">
        <v>10899</v>
      </c>
      <c r="G532" t="s">
        <v>15294</v>
      </c>
      <c r="H532" t="s">
        <v>19708</v>
      </c>
    </row>
    <row r="533" spans="6:8">
      <c r="F533" t="s">
        <v>10900</v>
      </c>
      <c r="G533" t="s">
        <v>15295</v>
      </c>
      <c r="H533" t="s">
        <v>19708</v>
      </c>
    </row>
    <row r="534" spans="6:8">
      <c r="F534" t="s">
        <v>10901</v>
      </c>
      <c r="G534" t="s">
        <v>15296</v>
      </c>
      <c r="H534" t="s">
        <v>19709</v>
      </c>
    </row>
    <row r="535" spans="6:8">
      <c r="F535" t="s">
        <v>10902</v>
      </c>
      <c r="G535" t="s">
        <v>15297</v>
      </c>
      <c r="H535" t="s">
        <v>19709</v>
      </c>
    </row>
    <row r="536" spans="6:8">
      <c r="F536" t="s">
        <v>10903</v>
      </c>
      <c r="G536" t="s">
        <v>15298</v>
      </c>
      <c r="H536" t="s">
        <v>19711</v>
      </c>
    </row>
    <row r="537" spans="6:8">
      <c r="F537" t="s">
        <v>10904</v>
      </c>
      <c r="G537" t="s">
        <v>15299</v>
      </c>
      <c r="H537" t="s">
        <v>19711</v>
      </c>
    </row>
    <row r="538" spans="6:8">
      <c r="F538" t="s">
        <v>10905</v>
      </c>
      <c r="G538" t="s">
        <v>15300</v>
      </c>
      <c r="H538" t="s">
        <v>19711</v>
      </c>
    </row>
    <row r="539" spans="6:8">
      <c r="F539" t="s">
        <v>10906</v>
      </c>
      <c r="G539" t="s">
        <v>15301</v>
      </c>
      <c r="H539" t="s">
        <v>19711</v>
      </c>
    </row>
    <row r="540" spans="6:8">
      <c r="F540" t="s">
        <v>10907</v>
      </c>
      <c r="G540" t="s">
        <v>15302</v>
      </c>
      <c r="H540" t="s">
        <v>19711</v>
      </c>
    </row>
    <row r="541" spans="6:8">
      <c r="F541" t="s">
        <v>10908</v>
      </c>
      <c r="G541" t="s">
        <v>15303</v>
      </c>
      <c r="H541" t="s">
        <v>19711</v>
      </c>
    </row>
    <row r="542" spans="6:8">
      <c r="F542" t="s">
        <v>10909</v>
      </c>
      <c r="G542" t="s">
        <v>15304</v>
      </c>
      <c r="H542" t="s">
        <v>19711</v>
      </c>
    </row>
    <row r="543" spans="6:8">
      <c r="F543" t="s">
        <v>10910</v>
      </c>
      <c r="G543" t="s">
        <v>15305</v>
      </c>
      <c r="H543" t="s">
        <v>19711</v>
      </c>
    </row>
    <row r="544" spans="6:8">
      <c r="F544" t="s">
        <v>10911</v>
      </c>
      <c r="G544" t="s">
        <v>15306</v>
      </c>
      <c r="H544" t="s">
        <v>19711</v>
      </c>
    </row>
    <row r="545" spans="6:8">
      <c r="F545" t="s">
        <v>10912</v>
      </c>
      <c r="G545" t="s">
        <v>15307</v>
      </c>
      <c r="H545" t="s">
        <v>19711</v>
      </c>
    </row>
    <row r="546" spans="6:8">
      <c r="F546" t="s">
        <v>10913</v>
      </c>
      <c r="G546" t="s">
        <v>15308</v>
      </c>
      <c r="H546" t="s">
        <v>19712</v>
      </c>
    </row>
    <row r="547" spans="6:8">
      <c r="F547" t="s">
        <v>10914</v>
      </c>
      <c r="G547" t="s">
        <v>15309</v>
      </c>
      <c r="H547" t="s">
        <v>19711</v>
      </c>
    </row>
    <row r="548" spans="6:8">
      <c r="F548" t="s">
        <v>10915</v>
      </c>
      <c r="G548" t="s">
        <v>15310</v>
      </c>
      <c r="H548" t="s">
        <v>19706</v>
      </c>
    </row>
    <row r="549" spans="6:8">
      <c r="F549" t="s">
        <v>10916</v>
      </c>
      <c r="G549" t="s">
        <v>15311</v>
      </c>
      <c r="H549" t="s">
        <v>19706</v>
      </c>
    </row>
    <row r="550" spans="6:8">
      <c r="F550" t="s">
        <v>10917</v>
      </c>
      <c r="G550" t="s">
        <v>15312</v>
      </c>
      <c r="H550" t="s">
        <v>19706</v>
      </c>
    </row>
    <row r="551" spans="6:8">
      <c r="F551" t="s">
        <v>10918</v>
      </c>
      <c r="G551" t="s">
        <v>15313</v>
      </c>
      <c r="H551" t="s">
        <v>19706</v>
      </c>
    </row>
    <row r="552" spans="6:8">
      <c r="F552" t="s">
        <v>10919</v>
      </c>
      <c r="G552" t="s">
        <v>15314</v>
      </c>
      <c r="H552" t="s">
        <v>19707</v>
      </c>
    </row>
    <row r="553" spans="6:8">
      <c r="F553" t="s">
        <v>10920</v>
      </c>
      <c r="G553" t="s">
        <v>15315</v>
      </c>
      <c r="H553" t="s">
        <v>19707</v>
      </c>
    </row>
    <row r="554" spans="6:8">
      <c r="F554" t="s">
        <v>10921</v>
      </c>
      <c r="G554" t="s">
        <v>15316</v>
      </c>
      <c r="H554" t="s">
        <v>19706</v>
      </c>
    </row>
    <row r="555" spans="6:8">
      <c r="F555" t="s">
        <v>10922</v>
      </c>
      <c r="G555" t="s">
        <v>15317</v>
      </c>
      <c r="H555" t="s">
        <v>19706</v>
      </c>
    </row>
    <row r="556" spans="6:8">
      <c r="F556" t="s">
        <v>10923</v>
      </c>
      <c r="G556" t="s">
        <v>15318</v>
      </c>
      <c r="H556" t="s">
        <v>19711</v>
      </c>
    </row>
    <row r="557" spans="6:8">
      <c r="F557" t="s">
        <v>10924</v>
      </c>
      <c r="G557" t="s">
        <v>15319</v>
      </c>
      <c r="H557" t="s">
        <v>19711</v>
      </c>
    </row>
    <row r="558" spans="6:8">
      <c r="F558" t="s">
        <v>10925</v>
      </c>
      <c r="G558" t="s">
        <v>15320</v>
      </c>
      <c r="H558" t="s">
        <v>19711</v>
      </c>
    </row>
    <row r="559" spans="6:8">
      <c r="F559" t="s">
        <v>10926</v>
      </c>
      <c r="G559" t="s">
        <v>15321</v>
      </c>
      <c r="H559" t="s">
        <v>19708</v>
      </c>
    </row>
    <row r="560" spans="6:8">
      <c r="F560" t="s">
        <v>10927</v>
      </c>
      <c r="G560" t="s">
        <v>15322</v>
      </c>
      <c r="H560" t="s">
        <v>19708</v>
      </c>
    </row>
    <row r="561" spans="1:8">
      <c r="F561" t="s">
        <v>10928</v>
      </c>
      <c r="G561" t="s">
        <v>15323</v>
      </c>
      <c r="H561" t="s">
        <v>19706</v>
      </c>
    </row>
    <row r="562" spans="1:8">
      <c r="F562" t="s">
        <v>10929</v>
      </c>
      <c r="G562" t="s">
        <v>15324</v>
      </c>
      <c r="H562" t="s">
        <v>19706</v>
      </c>
    </row>
    <row r="563" spans="1:8">
      <c r="F563" t="s">
        <v>10930</v>
      </c>
      <c r="G563" t="s">
        <v>15325</v>
      </c>
      <c r="H563" t="s">
        <v>19709</v>
      </c>
    </row>
    <row r="564" spans="1:8">
      <c r="F564" t="s">
        <v>10931</v>
      </c>
      <c r="G564" t="s">
        <v>15326</v>
      </c>
      <c r="H564" t="s">
        <v>19709</v>
      </c>
    </row>
    <row r="565" spans="1:8">
      <c r="F565" t="s">
        <v>10932</v>
      </c>
      <c r="G565" t="s">
        <v>15327</v>
      </c>
      <c r="H565" t="s">
        <v>19706</v>
      </c>
    </row>
    <row r="566" spans="1:8">
      <c r="F566" t="s">
        <v>10933</v>
      </c>
      <c r="G566" t="s">
        <v>15328</v>
      </c>
      <c r="H566" t="s">
        <v>19706</v>
      </c>
    </row>
    <row r="567" spans="1:8">
      <c r="A567" t="s">
        <v>270</v>
      </c>
      <c r="B567">
        <f>HYPERLINK("https://android.googlesource.com/platform/cts/+/56f494ed9757c19bf9db6c608d66f9202b63a4ac", "56f494ed9757c19bf9db6c608d66f9202b63a4ac")</f>
        <v>0</v>
      </c>
      <c r="C567">
        <f>HYPERLINK("https://android.googlesource.com/platform/cts/+/4fda9ca3a281ea399282a3fb080c77dbdbb723bd", "4fda9ca3a281ea399282a3fb080c77dbdbb723bd")</f>
        <v>0</v>
      </c>
      <c r="D567" t="s">
        <v>4966</v>
      </c>
      <c r="E567" t="s">
        <v>6067</v>
      </c>
      <c r="F567" t="s">
        <v>10847</v>
      </c>
      <c r="G567" t="s">
        <v>15242</v>
      </c>
      <c r="H567" t="s">
        <v>19713</v>
      </c>
    </row>
    <row r="568" spans="1:8">
      <c r="H568" t="s">
        <v>19714</v>
      </c>
    </row>
    <row r="569" spans="1:8">
      <c r="A569" t="s">
        <v>271</v>
      </c>
      <c r="B569">
        <f>HYPERLINK("https://android.googlesource.com/platform/cts/+/40fbbf16e3e741950e337bcb3435de670dbe502d", "40fbbf16e3e741950e337bcb3435de670dbe502d")</f>
        <v>0</v>
      </c>
      <c r="C569">
        <f>HYPERLINK("https://android.googlesource.com/platform/cts/+/4081e7b9b8e3a522e1f5e99b7622b3afa3df083f", "4081e7b9b8e3a522e1f5e99b7622b3afa3df083f")</f>
        <v>0</v>
      </c>
      <c r="D569" t="s">
        <v>4967</v>
      </c>
      <c r="E569" t="s">
        <v>6068</v>
      </c>
      <c r="F569" t="s">
        <v>10679</v>
      </c>
      <c r="G569" t="s">
        <v>15079</v>
      </c>
      <c r="H569" t="s">
        <v>19715</v>
      </c>
    </row>
    <row r="570" spans="1:8">
      <c r="H570" t="s">
        <v>19716</v>
      </c>
    </row>
    <row r="571" spans="1:8">
      <c r="A571" t="s">
        <v>273</v>
      </c>
      <c r="B571">
        <f>HYPERLINK("https://android.googlesource.com/platform/cts/+/cf4b7436f9264b918abd49415de1c4eceb298bb3", "cf4b7436f9264b918abd49415de1c4eceb298bb3")</f>
        <v>0</v>
      </c>
      <c r="C571">
        <f>HYPERLINK("https://android.googlesource.com/platform/cts/+/5f5688987fe6049a7ac116fa588bbe8cd00c7858", "5f5688987fe6049a7ac116fa588bbe8cd00c7858")</f>
        <v>0</v>
      </c>
      <c r="D571" t="s">
        <v>4941</v>
      </c>
      <c r="E571" t="s">
        <v>6070</v>
      </c>
      <c r="F571" t="s">
        <v>10593</v>
      </c>
      <c r="G571" t="s">
        <v>14996</v>
      </c>
      <c r="H571" t="s">
        <v>19718</v>
      </c>
    </row>
    <row r="572" spans="1:8">
      <c r="A572" t="s">
        <v>274</v>
      </c>
      <c r="B572">
        <f>HYPERLINK("https://android.googlesource.com/platform/cts/+/fcfd502de1270c2d5565b386799240d9b68c2df5", "fcfd502de1270c2d5565b386799240d9b68c2df5")</f>
        <v>0</v>
      </c>
      <c r="C572">
        <f>HYPERLINK("https://android.googlesource.com/platform/cts/+/2c483d9492ac6014faea10f14b2f2743c081b75d", "2c483d9492ac6014faea10f14b2f2743c081b75d")</f>
        <v>0</v>
      </c>
      <c r="D572" t="s">
        <v>4967</v>
      </c>
      <c r="E572" t="s">
        <v>6071</v>
      </c>
      <c r="F572" t="s">
        <v>10678</v>
      </c>
      <c r="G572" t="s">
        <v>15078</v>
      </c>
      <c r="H572" t="s">
        <v>19719</v>
      </c>
    </row>
    <row r="573" spans="1:8">
      <c r="A573" t="s">
        <v>275</v>
      </c>
      <c r="B573">
        <f>HYPERLINK("https://android.googlesource.com/platform/cts/+/18dae332020a4123392230cac2ea609d4a895a01", "18dae332020a4123392230cac2ea609d4a895a01")</f>
        <v>0</v>
      </c>
      <c r="C573">
        <f>HYPERLINK("https://android.googlesource.com/platform/cts/+/33a1e5c6c64d246d27f4a8166586c7b846ad6784", "33a1e5c6c64d246d27f4a8166586c7b846ad6784")</f>
        <v>0</v>
      </c>
      <c r="D573" t="s">
        <v>4941</v>
      </c>
      <c r="E573" t="s">
        <v>6072</v>
      </c>
      <c r="F573" t="s">
        <v>10934</v>
      </c>
      <c r="G573" t="s">
        <v>15329</v>
      </c>
      <c r="H573" t="s">
        <v>19723</v>
      </c>
    </row>
    <row r="574" spans="1:8">
      <c r="A574" t="s">
        <v>285</v>
      </c>
      <c r="B574">
        <f>HYPERLINK("https://android.googlesource.com/platform/cts/+/358dc567fdf3b1d623659980f83c8085b702dc13", "358dc567fdf3b1d623659980f83c8085b702dc13")</f>
        <v>0</v>
      </c>
      <c r="C574">
        <f>HYPERLINK("https://android.googlesource.com/platform/cts/+/64011e7a0c6eb6945db3730652db792978ebfda0", "64011e7a0c6eb6945db3730652db792978ebfda0")</f>
        <v>0</v>
      </c>
      <c r="D574" t="s">
        <v>4932</v>
      </c>
      <c r="E574" t="s">
        <v>6081</v>
      </c>
      <c r="F574" t="s">
        <v>10748</v>
      </c>
      <c r="G574" t="s">
        <v>15146</v>
      </c>
      <c r="H574" t="s">
        <v>19758</v>
      </c>
    </row>
    <row r="575" spans="1:8">
      <c r="H575" t="s">
        <v>19759</v>
      </c>
    </row>
    <row r="576" spans="1:8">
      <c r="A576" t="s">
        <v>287</v>
      </c>
      <c r="B576">
        <f>HYPERLINK("https://android.googlesource.com/platform/cts/+/0953b3b17e715550651689f5256aaa60663812dc", "0953b3b17e715550651689f5256aaa60663812dc")</f>
        <v>0</v>
      </c>
      <c r="C576">
        <f>HYPERLINK("https://android.googlesource.com/platform/cts/+/8e88654143c3c8dacea2676d7cf8398b024aa136", "8e88654143c3c8dacea2676d7cf8398b024aa136")</f>
        <v>0</v>
      </c>
      <c r="D576" t="s">
        <v>4932</v>
      </c>
      <c r="E576" t="s">
        <v>6083</v>
      </c>
      <c r="F576" t="s">
        <v>10748</v>
      </c>
      <c r="G576" t="s">
        <v>15146</v>
      </c>
      <c r="H576" t="s">
        <v>19758</v>
      </c>
    </row>
    <row r="577" spans="1:8">
      <c r="H577" t="s">
        <v>19759</v>
      </c>
    </row>
    <row r="578" spans="1:8">
      <c r="A578" t="s">
        <v>292</v>
      </c>
      <c r="B578">
        <f>HYPERLINK("https://android.googlesource.com/platform/cts/+/e7cc8fd94d5bc32f5f70aa71aa8792376fd90b1f", "e7cc8fd94d5bc32f5f70aa71aa8792376fd90b1f")</f>
        <v>0</v>
      </c>
      <c r="C578">
        <f>HYPERLINK("https://android.googlesource.com/platform/cts/+/3e5a7ea50aa94819ca8defb2b6e7b4b78d94af2b", "3e5a7ea50aa94819ca8defb2b6e7b4b78d94af2b")</f>
        <v>0</v>
      </c>
      <c r="D578" t="s">
        <v>4941</v>
      </c>
      <c r="E578" t="s">
        <v>6088</v>
      </c>
      <c r="F578" t="s">
        <v>10956</v>
      </c>
      <c r="G578" t="s">
        <v>15348</v>
      </c>
      <c r="H578" t="s">
        <v>20045</v>
      </c>
    </row>
    <row r="579" spans="1:8">
      <c r="H579" t="s">
        <v>20046</v>
      </c>
    </row>
    <row r="580" spans="1:8">
      <c r="H580" t="s">
        <v>20047</v>
      </c>
    </row>
    <row r="581" spans="1:8">
      <c r="H581" t="s">
        <v>20048</v>
      </c>
    </row>
    <row r="582" spans="1:8">
      <c r="H582" t="s">
        <v>20049</v>
      </c>
    </row>
    <row r="583" spans="1:8">
      <c r="H583" t="s">
        <v>20050</v>
      </c>
    </row>
    <row r="584" spans="1:8">
      <c r="H584" t="s">
        <v>20051</v>
      </c>
    </row>
    <row r="585" spans="1:8">
      <c r="H585" t="s">
        <v>20052</v>
      </c>
    </row>
    <row r="586" spans="1:8">
      <c r="H586" t="s">
        <v>20053</v>
      </c>
    </row>
    <row r="587" spans="1:8">
      <c r="H587" t="s">
        <v>20054</v>
      </c>
    </row>
    <row r="588" spans="1:8">
      <c r="H588" t="s">
        <v>20055</v>
      </c>
    </row>
    <row r="589" spans="1:8">
      <c r="H589" t="s">
        <v>20056</v>
      </c>
    </row>
    <row r="590" spans="1:8">
      <c r="H590" t="s">
        <v>20057</v>
      </c>
    </row>
    <row r="591" spans="1:8">
      <c r="H591" t="s">
        <v>20058</v>
      </c>
    </row>
    <row r="592" spans="1:8">
      <c r="F592" t="s">
        <v>10957</v>
      </c>
      <c r="G592" t="s">
        <v>15349</v>
      </c>
      <c r="H592" t="s">
        <v>20059</v>
      </c>
    </row>
    <row r="593" spans="6:8">
      <c r="H593" t="s">
        <v>20060</v>
      </c>
    </row>
    <row r="594" spans="6:8">
      <c r="H594" t="s">
        <v>20061</v>
      </c>
    </row>
    <row r="595" spans="6:8">
      <c r="F595" t="s">
        <v>10958</v>
      </c>
      <c r="G595" t="s">
        <v>15350</v>
      </c>
      <c r="H595" t="s">
        <v>20062</v>
      </c>
    </row>
    <row r="596" spans="6:8">
      <c r="H596" t="s">
        <v>20063</v>
      </c>
    </row>
    <row r="597" spans="6:8">
      <c r="H597" t="s">
        <v>20064</v>
      </c>
    </row>
    <row r="598" spans="6:8">
      <c r="H598" t="s">
        <v>20065</v>
      </c>
    </row>
    <row r="599" spans="6:8">
      <c r="H599" t="s">
        <v>20066</v>
      </c>
    </row>
    <row r="600" spans="6:8">
      <c r="H600" t="s">
        <v>20067</v>
      </c>
    </row>
    <row r="601" spans="6:8">
      <c r="H601" t="s">
        <v>20068</v>
      </c>
    </row>
    <row r="602" spans="6:8">
      <c r="H602" t="s">
        <v>20069</v>
      </c>
    </row>
    <row r="603" spans="6:8">
      <c r="H603" t="s">
        <v>20070</v>
      </c>
    </row>
    <row r="604" spans="6:8">
      <c r="H604" t="s">
        <v>20071</v>
      </c>
    </row>
    <row r="605" spans="6:8">
      <c r="H605" t="s">
        <v>20072</v>
      </c>
    </row>
    <row r="606" spans="6:8">
      <c r="H606" t="s">
        <v>20073</v>
      </c>
    </row>
    <row r="607" spans="6:8">
      <c r="H607" t="s">
        <v>20074</v>
      </c>
    </row>
    <row r="608" spans="6:8">
      <c r="H608" t="s">
        <v>20075</v>
      </c>
    </row>
    <row r="609" spans="1:8">
      <c r="H609" t="s">
        <v>20076</v>
      </c>
    </row>
    <row r="610" spans="1:8">
      <c r="H610" t="s">
        <v>20077</v>
      </c>
    </row>
    <row r="611" spans="1:8">
      <c r="H611" t="s">
        <v>20078</v>
      </c>
    </row>
    <row r="612" spans="1:8">
      <c r="H612" t="s">
        <v>20079</v>
      </c>
    </row>
    <row r="613" spans="1:8">
      <c r="H613" t="s">
        <v>20080</v>
      </c>
    </row>
    <row r="614" spans="1:8">
      <c r="F614" t="s">
        <v>10959</v>
      </c>
      <c r="G614" t="s">
        <v>15351</v>
      </c>
      <c r="H614" t="s">
        <v>20081</v>
      </c>
    </row>
    <row r="615" spans="1:8">
      <c r="A615" t="s">
        <v>294</v>
      </c>
      <c r="B615">
        <f>HYPERLINK("https://android.googlesource.com/platform/cts/+/98b49198af2b7180b34d17378c0cee20a4f1ccaf", "98b49198af2b7180b34d17378c0cee20a4f1ccaf")</f>
        <v>0</v>
      </c>
      <c r="C615">
        <f>HYPERLINK("https://android.googlesource.com/platform/cts/+/36d4da20ca84a24d2d655b6b49bcca5ca973b73c", "36d4da20ca84a24d2d655b6b49bcca5ca973b73c")</f>
        <v>0</v>
      </c>
      <c r="D615" t="s">
        <v>4941</v>
      </c>
      <c r="E615" t="s">
        <v>6090</v>
      </c>
      <c r="F615" t="s">
        <v>10790</v>
      </c>
      <c r="G615" t="s">
        <v>15186</v>
      </c>
      <c r="H615" t="s">
        <v>20089</v>
      </c>
    </row>
    <row r="616" spans="1:8">
      <c r="A616" t="s">
        <v>295</v>
      </c>
      <c r="B616">
        <f>HYPERLINK("https://android.googlesource.com/platform/cts/+/9ba909f8ab7f3abd082bfdf7ffcdeba930ed1b9a", "9ba909f8ab7f3abd082bfdf7ffcdeba930ed1b9a")</f>
        <v>0</v>
      </c>
      <c r="C616">
        <f>HYPERLINK("https://android.googlesource.com/platform/cts/+/36d4da20ca84a24d2d655b6b49bcca5ca973b73c", "36d4da20ca84a24d2d655b6b49bcca5ca973b73c")</f>
        <v>0</v>
      </c>
      <c r="D616" t="s">
        <v>4941</v>
      </c>
      <c r="E616" t="s">
        <v>6091</v>
      </c>
      <c r="F616" t="s">
        <v>10963</v>
      </c>
      <c r="G616" t="s">
        <v>15354</v>
      </c>
      <c r="H616" t="s">
        <v>20091</v>
      </c>
    </row>
    <row r="617" spans="1:8">
      <c r="H617" t="s">
        <v>19712</v>
      </c>
    </row>
    <row r="618" spans="1:8">
      <c r="H618" t="s">
        <v>19709</v>
      </c>
    </row>
    <row r="619" spans="1:8">
      <c r="H619" t="s">
        <v>19706</v>
      </c>
    </row>
    <row r="620" spans="1:8">
      <c r="F620" t="s">
        <v>10964</v>
      </c>
      <c r="G620" t="s">
        <v>15355</v>
      </c>
      <c r="H620" t="s">
        <v>20091</v>
      </c>
    </row>
    <row r="621" spans="1:8">
      <c r="H621" t="s">
        <v>19712</v>
      </c>
    </row>
    <row r="622" spans="1:8">
      <c r="H622" t="s">
        <v>20092</v>
      </c>
    </row>
    <row r="623" spans="1:8">
      <c r="H623" t="s">
        <v>20093</v>
      </c>
    </row>
    <row r="624" spans="1:8">
      <c r="H624" t="s">
        <v>20094</v>
      </c>
    </row>
    <row r="625" spans="6:8">
      <c r="H625" t="s">
        <v>20095</v>
      </c>
    </row>
    <row r="626" spans="6:8">
      <c r="H626" t="s">
        <v>20096</v>
      </c>
    </row>
    <row r="627" spans="6:8">
      <c r="H627" t="s">
        <v>20097</v>
      </c>
    </row>
    <row r="628" spans="6:8">
      <c r="H628" t="s">
        <v>20098</v>
      </c>
    </row>
    <row r="629" spans="6:8">
      <c r="H629" t="s">
        <v>20099</v>
      </c>
    </row>
    <row r="630" spans="6:8">
      <c r="H630" t="s">
        <v>20100</v>
      </c>
    </row>
    <row r="631" spans="6:8">
      <c r="H631" t="s">
        <v>20101</v>
      </c>
    </row>
    <row r="632" spans="6:8">
      <c r="H632" t="s">
        <v>20102</v>
      </c>
    </row>
    <row r="633" spans="6:8">
      <c r="F633" t="s">
        <v>10965</v>
      </c>
      <c r="G633" t="s">
        <v>15356</v>
      </c>
      <c r="H633" t="s">
        <v>20091</v>
      </c>
    </row>
    <row r="634" spans="6:8">
      <c r="H634" t="s">
        <v>19712</v>
      </c>
    </row>
    <row r="635" spans="6:8">
      <c r="H635" t="s">
        <v>19709</v>
      </c>
    </row>
    <row r="636" spans="6:8">
      <c r="H636" t="s">
        <v>19706</v>
      </c>
    </row>
    <row r="637" spans="6:8">
      <c r="H637" t="s">
        <v>20092</v>
      </c>
    </row>
    <row r="638" spans="6:8">
      <c r="H638" t="s">
        <v>20093</v>
      </c>
    </row>
    <row r="639" spans="6:8">
      <c r="H639" t="s">
        <v>20094</v>
      </c>
    </row>
    <row r="640" spans="6:8">
      <c r="H640" t="s">
        <v>20103</v>
      </c>
    </row>
    <row r="641" spans="6:8">
      <c r="H641" t="s">
        <v>20095</v>
      </c>
    </row>
    <row r="642" spans="6:8">
      <c r="H642" t="s">
        <v>20096</v>
      </c>
    </row>
    <row r="643" spans="6:8">
      <c r="H643" t="s">
        <v>20097</v>
      </c>
    </row>
    <row r="644" spans="6:8">
      <c r="H644" t="s">
        <v>20098</v>
      </c>
    </row>
    <row r="645" spans="6:8">
      <c r="H645" t="s">
        <v>20099</v>
      </c>
    </row>
    <row r="646" spans="6:8">
      <c r="H646" t="s">
        <v>20100</v>
      </c>
    </row>
    <row r="647" spans="6:8">
      <c r="H647" t="s">
        <v>20101</v>
      </c>
    </row>
    <row r="648" spans="6:8">
      <c r="H648" t="s">
        <v>20102</v>
      </c>
    </row>
    <row r="649" spans="6:8">
      <c r="F649" t="s">
        <v>10966</v>
      </c>
      <c r="G649" t="s">
        <v>15357</v>
      </c>
      <c r="H649" t="s">
        <v>20091</v>
      </c>
    </row>
    <row r="650" spans="6:8">
      <c r="H650" t="s">
        <v>20095</v>
      </c>
    </row>
    <row r="651" spans="6:8">
      <c r="F651" t="s">
        <v>10967</v>
      </c>
      <c r="G651" t="s">
        <v>15358</v>
      </c>
      <c r="H651" t="s">
        <v>20091</v>
      </c>
    </row>
    <row r="652" spans="6:8">
      <c r="H652" t="s">
        <v>19712</v>
      </c>
    </row>
    <row r="653" spans="6:8">
      <c r="H653" t="s">
        <v>20095</v>
      </c>
    </row>
    <row r="654" spans="6:8">
      <c r="H654" t="s">
        <v>20096</v>
      </c>
    </row>
    <row r="655" spans="6:8">
      <c r="H655" t="s">
        <v>20097</v>
      </c>
    </row>
    <row r="656" spans="6:8">
      <c r="H656" t="s">
        <v>20098</v>
      </c>
    </row>
    <row r="657" spans="6:8">
      <c r="H657" t="s">
        <v>20099</v>
      </c>
    </row>
    <row r="658" spans="6:8">
      <c r="H658" t="s">
        <v>19709</v>
      </c>
    </row>
    <row r="659" spans="6:8">
      <c r="H659" t="s">
        <v>19706</v>
      </c>
    </row>
    <row r="660" spans="6:8">
      <c r="H660" t="s">
        <v>20100</v>
      </c>
    </row>
    <row r="661" spans="6:8">
      <c r="H661" t="s">
        <v>20101</v>
      </c>
    </row>
    <row r="662" spans="6:8">
      <c r="H662" t="s">
        <v>20102</v>
      </c>
    </row>
    <row r="663" spans="6:8">
      <c r="H663" t="s">
        <v>20104</v>
      </c>
    </row>
    <row r="664" spans="6:8">
      <c r="H664" t="s">
        <v>20105</v>
      </c>
    </row>
    <row r="665" spans="6:8">
      <c r="F665" t="s">
        <v>10968</v>
      </c>
      <c r="G665" t="s">
        <v>15359</v>
      </c>
      <c r="H665" t="s">
        <v>20091</v>
      </c>
    </row>
    <row r="666" spans="6:8">
      <c r="H666" t="s">
        <v>19712</v>
      </c>
    </row>
    <row r="667" spans="6:8">
      <c r="H667" t="s">
        <v>20095</v>
      </c>
    </row>
    <row r="668" spans="6:8">
      <c r="H668" t="s">
        <v>20096</v>
      </c>
    </row>
    <row r="669" spans="6:8">
      <c r="H669" t="s">
        <v>20097</v>
      </c>
    </row>
    <row r="670" spans="6:8">
      <c r="H670" t="s">
        <v>20098</v>
      </c>
    </row>
    <row r="671" spans="6:8">
      <c r="H671" t="s">
        <v>20099</v>
      </c>
    </row>
    <row r="672" spans="6:8">
      <c r="H672" t="s">
        <v>20100</v>
      </c>
    </row>
    <row r="673" spans="6:8">
      <c r="F673" t="s">
        <v>10969</v>
      </c>
      <c r="G673" t="s">
        <v>15360</v>
      </c>
      <c r="H673" t="s">
        <v>20091</v>
      </c>
    </row>
    <row r="674" spans="6:8">
      <c r="H674" t="s">
        <v>19712</v>
      </c>
    </row>
    <row r="675" spans="6:8">
      <c r="H675" t="s">
        <v>20095</v>
      </c>
    </row>
    <row r="676" spans="6:8">
      <c r="H676" t="s">
        <v>20096</v>
      </c>
    </row>
    <row r="677" spans="6:8">
      <c r="H677" t="s">
        <v>20097</v>
      </c>
    </row>
    <row r="678" spans="6:8">
      <c r="H678" t="s">
        <v>20098</v>
      </c>
    </row>
    <row r="679" spans="6:8">
      <c r="H679" t="s">
        <v>20099</v>
      </c>
    </row>
    <row r="680" spans="6:8">
      <c r="H680" t="s">
        <v>20100</v>
      </c>
    </row>
    <row r="681" spans="6:8">
      <c r="F681" t="s">
        <v>10970</v>
      </c>
      <c r="G681" t="s">
        <v>15361</v>
      </c>
      <c r="H681" t="s">
        <v>20091</v>
      </c>
    </row>
    <row r="682" spans="6:8">
      <c r="H682" t="s">
        <v>19712</v>
      </c>
    </row>
    <row r="683" spans="6:8">
      <c r="H683" t="s">
        <v>20095</v>
      </c>
    </row>
    <row r="684" spans="6:8">
      <c r="H684" t="s">
        <v>20096</v>
      </c>
    </row>
    <row r="685" spans="6:8">
      <c r="H685" t="s">
        <v>20097</v>
      </c>
    </row>
    <row r="686" spans="6:8">
      <c r="H686" t="s">
        <v>20098</v>
      </c>
    </row>
    <row r="687" spans="6:8">
      <c r="H687" t="s">
        <v>20099</v>
      </c>
    </row>
    <row r="688" spans="6:8">
      <c r="H688" t="s">
        <v>20100</v>
      </c>
    </row>
    <row r="689" spans="6:8">
      <c r="F689" t="s">
        <v>10971</v>
      </c>
      <c r="G689" t="s">
        <v>15362</v>
      </c>
      <c r="H689" t="s">
        <v>20091</v>
      </c>
    </row>
    <row r="690" spans="6:8">
      <c r="H690" t="s">
        <v>19712</v>
      </c>
    </row>
    <row r="691" spans="6:8">
      <c r="H691" t="s">
        <v>20095</v>
      </c>
    </row>
    <row r="692" spans="6:8">
      <c r="H692" t="s">
        <v>20096</v>
      </c>
    </row>
    <row r="693" spans="6:8">
      <c r="H693" t="s">
        <v>20097</v>
      </c>
    </row>
    <row r="694" spans="6:8">
      <c r="H694" t="s">
        <v>20098</v>
      </c>
    </row>
    <row r="695" spans="6:8">
      <c r="H695" t="s">
        <v>20099</v>
      </c>
    </row>
    <row r="696" spans="6:8">
      <c r="H696" t="s">
        <v>20100</v>
      </c>
    </row>
    <row r="697" spans="6:8">
      <c r="F697" t="s">
        <v>10972</v>
      </c>
      <c r="G697" t="s">
        <v>15363</v>
      </c>
      <c r="H697" t="s">
        <v>20091</v>
      </c>
    </row>
    <row r="698" spans="6:8">
      <c r="H698" t="s">
        <v>19712</v>
      </c>
    </row>
    <row r="699" spans="6:8">
      <c r="H699" t="s">
        <v>19709</v>
      </c>
    </row>
    <row r="700" spans="6:8">
      <c r="H700" t="s">
        <v>20092</v>
      </c>
    </row>
    <row r="701" spans="6:8">
      <c r="H701" t="s">
        <v>20093</v>
      </c>
    </row>
    <row r="702" spans="6:8">
      <c r="H702" t="s">
        <v>20094</v>
      </c>
    </row>
    <row r="703" spans="6:8">
      <c r="H703" t="s">
        <v>20103</v>
      </c>
    </row>
    <row r="704" spans="6:8">
      <c r="H704" t="s">
        <v>20095</v>
      </c>
    </row>
    <row r="705" spans="6:8">
      <c r="H705" t="s">
        <v>20096</v>
      </c>
    </row>
    <row r="706" spans="6:8">
      <c r="H706" t="s">
        <v>20097</v>
      </c>
    </row>
    <row r="707" spans="6:8">
      <c r="H707" t="s">
        <v>20098</v>
      </c>
    </row>
    <row r="708" spans="6:8">
      <c r="H708" t="s">
        <v>20099</v>
      </c>
    </row>
    <row r="709" spans="6:8">
      <c r="H709" t="s">
        <v>20100</v>
      </c>
    </row>
    <row r="710" spans="6:8">
      <c r="F710" t="s">
        <v>10973</v>
      </c>
      <c r="G710" t="s">
        <v>15364</v>
      </c>
      <c r="H710" t="s">
        <v>20091</v>
      </c>
    </row>
    <row r="711" spans="6:8">
      <c r="H711" t="s">
        <v>19712</v>
      </c>
    </row>
    <row r="712" spans="6:8">
      <c r="H712" t="s">
        <v>19709</v>
      </c>
    </row>
    <row r="713" spans="6:8">
      <c r="H713" t="s">
        <v>19706</v>
      </c>
    </row>
    <row r="714" spans="6:8">
      <c r="H714" t="s">
        <v>19707</v>
      </c>
    </row>
    <row r="715" spans="6:8">
      <c r="H715" t="s">
        <v>19711</v>
      </c>
    </row>
    <row r="716" spans="6:8">
      <c r="H716" t="s">
        <v>19708</v>
      </c>
    </row>
    <row r="717" spans="6:8">
      <c r="H717" t="s">
        <v>19710</v>
      </c>
    </row>
    <row r="718" spans="6:8">
      <c r="H718" t="s">
        <v>20092</v>
      </c>
    </row>
    <row r="719" spans="6:8">
      <c r="H719" t="s">
        <v>20093</v>
      </c>
    </row>
    <row r="720" spans="6:8">
      <c r="H720" t="s">
        <v>20095</v>
      </c>
    </row>
    <row r="721" spans="6:8">
      <c r="H721" t="s">
        <v>20096</v>
      </c>
    </row>
    <row r="722" spans="6:8">
      <c r="H722" t="s">
        <v>20097</v>
      </c>
    </row>
    <row r="723" spans="6:8">
      <c r="H723" t="s">
        <v>20098</v>
      </c>
    </row>
    <row r="724" spans="6:8">
      <c r="H724" t="s">
        <v>20099</v>
      </c>
    </row>
    <row r="725" spans="6:8">
      <c r="H725" t="s">
        <v>20100</v>
      </c>
    </row>
    <row r="726" spans="6:8">
      <c r="H726" t="s">
        <v>20101</v>
      </c>
    </row>
    <row r="727" spans="6:8">
      <c r="F727" t="s">
        <v>10974</v>
      </c>
      <c r="G727" t="s">
        <v>15365</v>
      </c>
      <c r="H727" t="s">
        <v>20091</v>
      </c>
    </row>
    <row r="728" spans="6:8">
      <c r="H728" t="s">
        <v>20106</v>
      </c>
    </row>
    <row r="729" spans="6:8">
      <c r="H729" t="s">
        <v>20096</v>
      </c>
    </row>
    <row r="730" spans="6:8">
      <c r="H730" t="s">
        <v>20095</v>
      </c>
    </row>
    <row r="731" spans="6:8">
      <c r="F731" t="s">
        <v>10975</v>
      </c>
      <c r="G731" t="s">
        <v>15366</v>
      </c>
      <c r="H731" t="s">
        <v>20091</v>
      </c>
    </row>
    <row r="732" spans="6:8">
      <c r="H732" t="s">
        <v>19712</v>
      </c>
    </row>
    <row r="733" spans="6:8">
      <c r="H733" t="s">
        <v>20095</v>
      </c>
    </row>
    <row r="734" spans="6:8">
      <c r="H734" t="s">
        <v>20096</v>
      </c>
    </row>
    <row r="735" spans="6:8">
      <c r="H735" t="s">
        <v>20097</v>
      </c>
    </row>
    <row r="736" spans="6:8">
      <c r="H736" t="s">
        <v>19709</v>
      </c>
    </row>
    <row r="737" spans="6:8">
      <c r="H737" t="s">
        <v>19706</v>
      </c>
    </row>
    <row r="738" spans="6:8">
      <c r="H738" t="s">
        <v>20098</v>
      </c>
    </row>
    <row r="739" spans="6:8">
      <c r="H739" t="s">
        <v>20099</v>
      </c>
    </row>
    <row r="740" spans="6:8">
      <c r="H740" t="s">
        <v>20100</v>
      </c>
    </row>
    <row r="741" spans="6:8">
      <c r="F741" t="s">
        <v>10976</v>
      </c>
      <c r="G741" t="s">
        <v>15367</v>
      </c>
      <c r="H741" t="s">
        <v>20091</v>
      </c>
    </row>
    <row r="742" spans="6:8">
      <c r="H742" t="s">
        <v>19712</v>
      </c>
    </row>
    <row r="743" spans="6:8">
      <c r="H743" t="s">
        <v>20095</v>
      </c>
    </row>
    <row r="744" spans="6:8">
      <c r="H744" t="s">
        <v>20096</v>
      </c>
    </row>
    <row r="745" spans="6:8">
      <c r="H745" t="s">
        <v>20097</v>
      </c>
    </row>
    <row r="746" spans="6:8">
      <c r="F746" t="s">
        <v>10977</v>
      </c>
      <c r="G746" t="s">
        <v>15368</v>
      </c>
      <c r="H746" t="s">
        <v>20091</v>
      </c>
    </row>
    <row r="747" spans="6:8">
      <c r="H747" t="s">
        <v>19712</v>
      </c>
    </row>
    <row r="748" spans="6:8">
      <c r="H748" t="s">
        <v>20095</v>
      </c>
    </row>
    <row r="749" spans="6:8">
      <c r="H749" t="s">
        <v>20096</v>
      </c>
    </row>
    <row r="750" spans="6:8">
      <c r="H750" t="s">
        <v>20097</v>
      </c>
    </row>
    <row r="751" spans="6:8">
      <c r="F751" t="s">
        <v>10978</v>
      </c>
      <c r="G751" t="s">
        <v>15369</v>
      </c>
      <c r="H751" t="s">
        <v>20091</v>
      </c>
    </row>
    <row r="752" spans="6:8">
      <c r="H752" t="s">
        <v>19712</v>
      </c>
    </row>
    <row r="753" spans="6:8">
      <c r="H753" t="s">
        <v>20095</v>
      </c>
    </row>
    <row r="754" spans="6:8">
      <c r="H754" t="s">
        <v>20096</v>
      </c>
    </row>
    <row r="755" spans="6:8">
      <c r="H755" t="s">
        <v>20097</v>
      </c>
    </row>
    <row r="756" spans="6:8">
      <c r="F756" t="s">
        <v>10979</v>
      </c>
      <c r="G756" t="s">
        <v>15370</v>
      </c>
      <c r="H756" t="s">
        <v>20091</v>
      </c>
    </row>
    <row r="757" spans="6:8">
      <c r="H757" t="s">
        <v>19712</v>
      </c>
    </row>
    <row r="758" spans="6:8">
      <c r="H758" t="s">
        <v>20095</v>
      </c>
    </row>
    <row r="759" spans="6:8">
      <c r="H759" t="s">
        <v>20096</v>
      </c>
    </row>
    <row r="760" spans="6:8">
      <c r="H760" t="s">
        <v>20097</v>
      </c>
    </row>
    <row r="761" spans="6:8">
      <c r="F761" t="s">
        <v>10980</v>
      </c>
      <c r="G761" t="s">
        <v>15371</v>
      </c>
      <c r="H761" t="s">
        <v>20091</v>
      </c>
    </row>
    <row r="762" spans="6:8">
      <c r="H762" t="s">
        <v>19712</v>
      </c>
    </row>
    <row r="763" spans="6:8">
      <c r="H763" t="s">
        <v>19709</v>
      </c>
    </row>
    <row r="764" spans="6:8">
      <c r="H764" t="s">
        <v>19706</v>
      </c>
    </row>
    <row r="765" spans="6:8">
      <c r="H765" t="s">
        <v>20092</v>
      </c>
    </row>
    <row r="766" spans="6:8">
      <c r="H766" t="s">
        <v>20093</v>
      </c>
    </row>
    <row r="767" spans="6:8">
      <c r="H767" t="s">
        <v>20094</v>
      </c>
    </row>
    <row r="768" spans="6:8">
      <c r="H768" t="s">
        <v>20095</v>
      </c>
    </row>
    <row r="769" spans="6:8">
      <c r="H769" t="s">
        <v>20096</v>
      </c>
    </row>
    <row r="770" spans="6:8">
      <c r="H770" t="s">
        <v>20097</v>
      </c>
    </row>
    <row r="771" spans="6:8">
      <c r="H771" t="s">
        <v>20098</v>
      </c>
    </row>
    <row r="772" spans="6:8">
      <c r="H772" t="s">
        <v>20099</v>
      </c>
    </row>
    <row r="773" spans="6:8">
      <c r="F773" t="s">
        <v>10981</v>
      </c>
      <c r="G773" t="s">
        <v>15372</v>
      </c>
      <c r="H773" t="s">
        <v>20091</v>
      </c>
    </row>
    <row r="774" spans="6:8">
      <c r="H774" t="s">
        <v>19712</v>
      </c>
    </row>
    <row r="775" spans="6:8">
      <c r="H775" t="s">
        <v>20092</v>
      </c>
    </row>
    <row r="776" spans="6:8">
      <c r="H776" t="s">
        <v>20093</v>
      </c>
    </row>
    <row r="777" spans="6:8">
      <c r="H777" t="s">
        <v>20094</v>
      </c>
    </row>
    <row r="778" spans="6:8">
      <c r="H778" t="s">
        <v>20095</v>
      </c>
    </row>
    <row r="779" spans="6:8">
      <c r="H779" t="s">
        <v>20096</v>
      </c>
    </row>
    <row r="780" spans="6:8">
      <c r="H780" t="s">
        <v>20097</v>
      </c>
    </row>
    <row r="781" spans="6:8">
      <c r="H781" t="s">
        <v>20098</v>
      </c>
    </row>
    <row r="782" spans="6:8">
      <c r="H782" t="s">
        <v>20099</v>
      </c>
    </row>
    <row r="783" spans="6:8">
      <c r="H783" t="s">
        <v>20100</v>
      </c>
    </row>
    <row r="784" spans="6:8">
      <c r="H784" t="s">
        <v>20101</v>
      </c>
    </row>
    <row r="785" spans="6:8">
      <c r="H785" t="s">
        <v>20102</v>
      </c>
    </row>
    <row r="786" spans="6:8">
      <c r="F786" t="s">
        <v>10982</v>
      </c>
      <c r="G786" t="s">
        <v>15373</v>
      </c>
      <c r="H786" t="s">
        <v>20091</v>
      </c>
    </row>
    <row r="787" spans="6:8">
      <c r="H787" t="s">
        <v>19712</v>
      </c>
    </row>
    <row r="788" spans="6:8">
      <c r="H788" t="s">
        <v>20092</v>
      </c>
    </row>
    <row r="789" spans="6:8">
      <c r="H789" t="s">
        <v>20093</v>
      </c>
    </row>
    <row r="790" spans="6:8">
      <c r="H790" t="s">
        <v>20094</v>
      </c>
    </row>
    <row r="791" spans="6:8">
      <c r="H791" t="s">
        <v>20095</v>
      </c>
    </row>
    <row r="792" spans="6:8">
      <c r="H792" t="s">
        <v>20096</v>
      </c>
    </row>
    <row r="793" spans="6:8">
      <c r="H793" t="s">
        <v>20097</v>
      </c>
    </row>
    <row r="794" spans="6:8">
      <c r="H794" t="s">
        <v>20098</v>
      </c>
    </row>
    <row r="795" spans="6:8">
      <c r="H795" t="s">
        <v>20099</v>
      </c>
    </row>
    <row r="796" spans="6:8">
      <c r="H796" t="s">
        <v>20100</v>
      </c>
    </row>
    <row r="797" spans="6:8">
      <c r="H797" t="s">
        <v>20101</v>
      </c>
    </row>
    <row r="798" spans="6:8">
      <c r="H798" t="s">
        <v>20102</v>
      </c>
    </row>
    <row r="799" spans="6:8">
      <c r="F799" t="s">
        <v>10983</v>
      </c>
      <c r="G799" t="s">
        <v>15374</v>
      </c>
      <c r="H799" t="s">
        <v>20091</v>
      </c>
    </row>
    <row r="800" spans="6:8">
      <c r="H800" t="s">
        <v>20107</v>
      </c>
    </row>
    <row r="801" spans="6:8">
      <c r="H801" t="s">
        <v>20108</v>
      </c>
    </row>
    <row r="802" spans="6:8">
      <c r="H802" t="s">
        <v>20095</v>
      </c>
    </row>
    <row r="803" spans="6:8">
      <c r="F803" t="s">
        <v>10984</v>
      </c>
      <c r="G803" t="s">
        <v>15375</v>
      </c>
      <c r="H803" t="s">
        <v>20091</v>
      </c>
    </row>
    <row r="804" spans="6:8">
      <c r="H804" t="s">
        <v>19712</v>
      </c>
    </row>
    <row r="805" spans="6:8">
      <c r="H805" t="s">
        <v>20092</v>
      </c>
    </row>
    <row r="806" spans="6:8">
      <c r="H806" t="s">
        <v>20093</v>
      </c>
    </row>
    <row r="807" spans="6:8">
      <c r="H807" t="s">
        <v>20094</v>
      </c>
    </row>
    <row r="808" spans="6:8">
      <c r="H808" t="s">
        <v>20095</v>
      </c>
    </row>
    <row r="809" spans="6:8">
      <c r="H809" t="s">
        <v>20096</v>
      </c>
    </row>
    <row r="810" spans="6:8">
      <c r="H810" t="s">
        <v>20097</v>
      </c>
    </row>
    <row r="811" spans="6:8">
      <c r="H811" t="s">
        <v>20098</v>
      </c>
    </row>
    <row r="812" spans="6:8">
      <c r="H812" t="s">
        <v>20099</v>
      </c>
    </row>
    <row r="813" spans="6:8">
      <c r="H813" t="s">
        <v>20100</v>
      </c>
    </row>
    <row r="814" spans="6:8">
      <c r="H814" t="s">
        <v>20101</v>
      </c>
    </row>
    <row r="815" spans="6:8">
      <c r="H815" t="s">
        <v>20102</v>
      </c>
    </row>
    <row r="816" spans="6:8">
      <c r="F816" t="s">
        <v>10985</v>
      </c>
      <c r="G816" t="s">
        <v>15376</v>
      </c>
      <c r="H816" t="s">
        <v>20091</v>
      </c>
    </row>
    <row r="817" spans="6:8">
      <c r="H817" t="s">
        <v>19712</v>
      </c>
    </row>
    <row r="818" spans="6:8">
      <c r="H818" t="s">
        <v>20092</v>
      </c>
    </row>
    <row r="819" spans="6:8">
      <c r="H819" t="s">
        <v>20093</v>
      </c>
    </row>
    <row r="820" spans="6:8">
      <c r="H820" t="s">
        <v>20094</v>
      </c>
    </row>
    <row r="821" spans="6:8">
      <c r="H821" t="s">
        <v>20095</v>
      </c>
    </row>
    <row r="822" spans="6:8">
      <c r="H822" t="s">
        <v>20096</v>
      </c>
    </row>
    <row r="823" spans="6:8">
      <c r="H823" t="s">
        <v>20097</v>
      </c>
    </row>
    <row r="824" spans="6:8">
      <c r="H824" t="s">
        <v>20098</v>
      </c>
    </row>
    <row r="825" spans="6:8">
      <c r="H825" t="s">
        <v>20099</v>
      </c>
    </row>
    <row r="826" spans="6:8">
      <c r="H826" t="s">
        <v>20100</v>
      </c>
    </row>
    <row r="827" spans="6:8">
      <c r="H827" t="s">
        <v>20101</v>
      </c>
    </row>
    <row r="828" spans="6:8">
      <c r="H828" t="s">
        <v>20102</v>
      </c>
    </row>
    <row r="829" spans="6:8">
      <c r="F829" t="s">
        <v>10986</v>
      </c>
      <c r="G829" t="s">
        <v>15377</v>
      </c>
      <c r="H829" t="s">
        <v>20091</v>
      </c>
    </row>
    <row r="830" spans="6:8">
      <c r="H830" t="s">
        <v>19712</v>
      </c>
    </row>
    <row r="831" spans="6:8">
      <c r="H831" t="s">
        <v>19706</v>
      </c>
    </row>
    <row r="832" spans="6:8">
      <c r="H832" t="s">
        <v>20092</v>
      </c>
    </row>
    <row r="833" spans="6:8">
      <c r="H833" t="s">
        <v>20093</v>
      </c>
    </row>
    <row r="834" spans="6:8">
      <c r="H834" t="s">
        <v>20094</v>
      </c>
    </row>
    <row r="835" spans="6:8">
      <c r="H835" t="s">
        <v>20095</v>
      </c>
    </row>
    <row r="836" spans="6:8">
      <c r="H836" t="s">
        <v>20096</v>
      </c>
    </row>
    <row r="837" spans="6:8">
      <c r="H837" t="s">
        <v>20097</v>
      </c>
    </row>
    <row r="838" spans="6:8">
      <c r="H838" t="s">
        <v>20098</v>
      </c>
    </row>
    <row r="839" spans="6:8">
      <c r="F839" t="s">
        <v>10987</v>
      </c>
      <c r="G839" t="s">
        <v>15378</v>
      </c>
      <c r="H839" t="s">
        <v>20091</v>
      </c>
    </row>
    <row r="840" spans="6:8">
      <c r="H840" t="s">
        <v>19712</v>
      </c>
    </row>
    <row r="841" spans="6:8">
      <c r="H841" t="s">
        <v>19709</v>
      </c>
    </row>
    <row r="842" spans="6:8">
      <c r="H842" t="s">
        <v>20107</v>
      </c>
    </row>
    <row r="843" spans="6:8">
      <c r="H843" t="s">
        <v>20108</v>
      </c>
    </row>
    <row r="844" spans="6:8">
      <c r="H844" t="s">
        <v>19713</v>
      </c>
    </row>
    <row r="845" spans="6:8">
      <c r="H845" t="s">
        <v>19714</v>
      </c>
    </row>
    <row r="846" spans="6:8">
      <c r="H846" t="s">
        <v>20109</v>
      </c>
    </row>
    <row r="847" spans="6:8">
      <c r="H847" t="s">
        <v>20110</v>
      </c>
    </row>
    <row r="848" spans="6:8">
      <c r="H848" t="s">
        <v>20111</v>
      </c>
    </row>
    <row r="849" spans="6:8">
      <c r="H849" t="s">
        <v>20095</v>
      </c>
    </row>
    <row r="850" spans="6:8">
      <c r="H850" t="s">
        <v>20096</v>
      </c>
    </row>
    <row r="851" spans="6:8">
      <c r="H851" t="s">
        <v>20097</v>
      </c>
    </row>
    <row r="852" spans="6:8">
      <c r="H852" t="s">
        <v>20098</v>
      </c>
    </row>
    <row r="853" spans="6:8">
      <c r="F853" t="s">
        <v>10988</v>
      </c>
      <c r="G853" t="s">
        <v>15379</v>
      </c>
      <c r="H853" t="s">
        <v>20091</v>
      </c>
    </row>
    <row r="854" spans="6:8">
      <c r="H854" t="s">
        <v>19712</v>
      </c>
    </row>
    <row r="855" spans="6:8">
      <c r="H855" t="s">
        <v>19709</v>
      </c>
    </row>
    <row r="856" spans="6:8">
      <c r="H856" t="s">
        <v>20107</v>
      </c>
    </row>
    <row r="857" spans="6:8">
      <c r="H857" t="s">
        <v>20108</v>
      </c>
    </row>
    <row r="858" spans="6:8">
      <c r="H858" t="s">
        <v>19713</v>
      </c>
    </row>
    <row r="859" spans="6:8">
      <c r="H859" t="s">
        <v>19714</v>
      </c>
    </row>
    <row r="860" spans="6:8">
      <c r="H860" t="s">
        <v>20109</v>
      </c>
    </row>
    <row r="861" spans="6:8">
      <c r="H861" t="s">
        <v>20110</v>
      </c>
    </row>
    <row r="862" spans="6:8">
      <c r="H862" t="s">
        <v>20095</v>
      </c>
    </row>
    <row r="863" spans="6:8">
      <c r="H863" t="s">
        <v>20096</v>
      </c>
    </row>
    <row r="864" spans="6:8">
      <c r="H864" t="s">
        <v>20097</v>
      </c>
    </row>
    <row r="865" spans="6:8">
      <c r="H865" t="s">
        <v>20098</v>
      </c>
    </row>
    <row r="866" spans="6:8">
      <c r="F866" t="s">
        <v>10989</v>
      </c>
      <c r="G866" t="s">
        <v>15380</v>
      </c>
      <c r="H866" t="s">
        <v>20091</v>
      </c>
    </row>
    <row r="867" spans="6:8">
      <c r="H867" t="s">
        <v>19712</v>
      </c>
    </row>
    <row r="868" spans="6:8">
      <c r="H868" t="s">
        <v>19709</v>
      </c>
    </row>
    <row r="869" spans="6:8">
      <c r="H869" t="s">
        <v>20107</v>
      </c>
    </row>
    <row r="870" spans="6:8">
      <c r="H870" t="s">
        <v>20108</v>
      </c>
    </row>
    <row r="871" spans="6:8">
      <c r="H871" t="s">
        <v>19713</v>
      </c>
    </row>
    <row r="872" spans="6:8">
      <c r="H872" t="s">
        <v>19714</v>
      </c>
    </row>
    <row r="873" spans="6:8">
      <c r="H873" t="s">
        <v>20109</v>
      </c>
    </row>
    <row r="874" spans="6:8">
      <c r="H874" t="s">
        <v>20110</v>
      </c>
    </row>
    <row r="875" spans="6:8">
      <c r="H875" t="s">
        <v>20095</v>
      </c>
    </row>
    <row r="876" spans="6:8">
      <c r="H876" t="s">
        <v>20096</v>
      </c>
    </row>
    <row r="877" spans="6:8">
      <c r="H877" t="s">
        <v>20097</v>
      </c>
    </row>
    <row r="878" spans="6:8">
      <c r="H878" t="s">
        <v>20098</v>
      </c>
    </row>
    <row r="879" spans="6:8">
      <c r="F879" t="s">
        <v>10990</v>
      </c>
      <c r="G879" t="s">
        <v>15381</v>
      </c>
      <c r="H879" t="s">
        <v>20091</v>
      </c>
    </row>
    <row r="880" spans="6:8">
      <c r="H880" t="s">
        <v>19712</v>
      </c>
    </row>
    <row r="881" spans="6:8">
      <c r="H881" t="s">
        <v>19709</v>
      </c>
    </row>
    <row r="882" spans="6:8">
      <c r="H882" t="s">
        <v>20107</v>
      </c>
    </row>
    <row r="883" spans="6:8">
      <c r="H883" t="s">
        <v>20108</v>
      </c>
    </row>
    <row r="884" spans="6:8">
      <c r="H884" t="s">
        <v>19713</v>
      </c>
    </row>
    <row r="885" spans="6:8">
      <c r="H885" t="s">
        <v>19714</v>
      </c>
    </row>
    <row r="886" spans="6:8">
      <c r="H886" t="s">
        <v>20109</v>
      </c>
    </row>
    <row r="887" spans="6:8">
      <c r="H887" t="s">
        <v>20110</v>
      </c>
    </row>
    <row r="888" spans="6:8">
      <c r="H888" t="s">
        <v>20111</v>
      </c>
    </row>
    <row r="889" spans="6:8">
      <c r="H889" t="s">
        <v>20112</v>
      </c>
    </row>
    <row r="890" spans="6:8">
      <c r="H890" t="s">
        <v>20113</v>
      </c>
    </row>
    <row r="891" spans="6:8">
      <c r="H891" t="s">
        <v>20095</v>
      </c>
    </row>
    <row r="892" spans="6:8">
      <c r="H892" t="s">
        <v>20096</v>
      </c>
    </row>
    <row r="893" spans="6:8">
      <c r="H893" t="s">
        <v>20097</v>
      </c>
    </row>
    <row r="894" spans="6:8">
      <c r="H894" t="s">
        <v>20098</v>
      </c>
    </row>
    <row r="895" spans="6:8">
      <c r="F895" t="s">
        <v>10991</v>
      </c>
      <c r="G895" t="s">
        <v>15382</v>
      </c>
      <c r="H895" t="s">
        <v>20091</v>
      </c>
    </row>
    <row r="896" spans="6:8">
      <c r="H896" t="s">
        <v>19712</v>
      </c>
    </row>
    <row r="897" spans="6:8">
      <c r="H897" t="s">
        <v>20092</v>
      </c>
    </row>
    <row r="898" spans="6:8">
      <c r="H898" t="s">
        <v>20093</v>
      </c>
    </row>
    <row r="899" spans="6:8">
      <c r="H899" t="s">
        <v>20094</v>
      </c>
    </row>
    <row r="900" spans="6:8">
      <c r="H900" t="s">
        <v>20095</v>
      </c>
    </row>
    <row r="901" spans="6:8">
      <c r="H901" t="s">
        <v>20096</v>
      </c>
    </row>
    <row r="902" spans="6:8">
      <c r="H902" t="s">
        <v>20097</v>
      </c>
    </row>
    <row r="903" spans="6:8">
      <c r="H903" t="s">
        <v>20098</v>
      </c>
    </row>
    <row r="904" spans="6:8">
      <c r="H904" t="s">
        <v>20099</v>
      </c>
    </row>
    <row r="905" spans="6:8">
      <c r="H905" t="s">
        <v>20100</v>
      </c>
    </row>
    <row r="906" spans="6:8">
      <c r="H906" t="s">
        <v>20101</v>
      </c>
    </row>
    <row r="907" spans="6:8">
      <c r="H907" t="s">
        <v>20102</v>
      </c>
    </row>
    <row r="908" spans="6:8">
      <c r="F908" t="s">
        <v>10992</v>
      </c>
      <c r="G908" t="s">
        <v>15383</v>
      </c>
      <c r="H908" t="s">
        <v>20091</v>
      </c>
    </row>
    <row r="909" spans="6:8">
      <c r="H909" t="s">
        <v>19712</v>
      </c>
    </row>
    <row r="910" spans="6:8">
      <c r="H910" t="s">
        <v>20092</v>
      </c>
    </row>
    <row r="911" spans="6:8">
      <c r="H911" t="s">
        <v>20093</v>
      </c>
    </row>
    <row r="912" spans="6:8">
      <c r="H912" t="s">
        <v>20094</v>
      </c>
    </row>
    <row r="913" spans="6:8">
      <c r="H913" t="s">
        <v>20095</v>
      </c>
    </row>
    <row r="914" spans="6:8">
      <c r="H914" t="s">
        <v>20096</v>
      </c>
    </row>
    <row r="915" spans="6:8">
      <c r="H915" t="s">
        <v>20097</v>
      </c>
    </row>
    <row r="916" spans="6:8">
      <c r="H916" t="s">
        <v>20098</v>
      </c>
    </row>
    <row r="917" spans="6:8">
      <c r="H917" t="s">
        <v>20099</v>
      </c>
    </row>
    <row r="918" spans="6:8">
      <c r="H918" t="s">
        <v>20100</v>
      </c>
    </row>
    <row r="919" spans="6:8">
      <c r="H919" t="s">
        <v>20101</v>
      </c>
    </row>
    <row r="920" spans="6:8">
      <c r="H920" t="s">
        <v>20102</v>
      </c>
    </row>
    <row r="921" spans="6:8">
      <c r="F921" t="s">
        <v>10993</v>
      </c>
      <c r="G921" t="s">
        <v>15384</v>
      </c>
      <c r="H921" t="s">
        <v>20091</v>
      </c>
    </row>
    <row r="922" spans="6:8">
      <c r="H922" t="s">
        <v>19712</v>
      </c>
    </row>
    <row r="923" spans="6:8">
      <c r="H923" t="s">
        <v>19709</v>
      </c>
    </row>
    <row r="924" spans="6:8">
      <c r="H924" t="s">
        <v>20107</v>
      </c>
    </row>
    <row r="925" spans="6:8">
      <c r="H925" t="s">
        <v>20108</v>
      </c>
    </row>
    <row r="926" spans="6:8">
      <c r="H926" t="s">
        <v>19713</v>
      </c>
    </row>
    <row r="927" spans="6:8">
      <c r="H927" t="s">
        <v>19714</v>
      </c>
    </row>
    <row r="928" spans="6:8">
      <c r="H928" t="s">
        <v>20109</v>
      </c>
    </row>
    <row r="929" spans="6:8">
      <c r="H929" t="s">
        <v>20095</v>
      </c>
    </row>
    <row r="930" spans="6:8">
      <c r="H930" t="s">
        <v>20096</v>
      </c>
    </row>
    <row r="931" spans="6:8">
      <c r="H931" t="s">
        <v>20097</v>
      </c>
    </row>
    <row r="932" spans="6:8">
      <c r="H932" t="s">
        <v>20098</v>
      </c>
    </row>
    <row r="933" spans="6:8">
      <c r="F933" t="s">
        <v>10994</v>
      </c>
      <c r="G933" t="s">
        <v>15385</v>
      </c>
      <c r="H933" t="s">
        <v>20091</v>
      </c>
    </row>
    <row r="934" spans="6:8">
      <c r="H934" t="s">
        <v>19712</v>
      </c>
    </row>
    <row r="935" spans="6:8">
      <c r="H935" t="s">
        <v>19709</v>
      </c>
    </row>
    <row r="936" spans="6:8">
      <c r="H936" t="s">
        <v>20107</v>
      </c>
    </row>
    <row r="937" spans="6:8">
      <c r="H937" t="s">
        <v>20108</v>
      </c>
    </row>
    <row r="938" spans="6:8">
      <c r="H938" t="s">
        <v>19713</v>
      </c>
    </row>
    <row r="939" spans="6:8">
      <c r="H939" t="s">
        <v>19714</v>
      </c>
    </row>
    <row r="940" spans="6:8">
      <c r="H940" t="s">
        <v>20109</v>
      </c>
    </row>
    <row r="941" spans="6:8">
      <c r="H941" t="s">
        <v>20095</v>
      </c>
    </row>
    <row r="942" spans="6:8">
      <c r="H942" t="s">
        <v>20096</v>
      </c>
    </row>
    <row r="943" spans="6:8">
      <c r="H943" t="s">
        <v>20097</v>
      </c>
    </row>
    <row r="944" spans="6:8">
      <c r="H944" t="s">
        <v>20098</v>
      </c>
    </row>
    <row r="945" spans="6:8">
      <c r="F945" t="s">
        <v>10995</v>
      </c>
      <c r="G945" t="s">
        <v>15386</v>
      </c>
      <c r="H945" t="s">
        <v>20091</v>
      </c>
    </row>
    <row r="946" spans="6:8">
      <c r="H946" t="s">
        <v>20095</v>
      </c>
    </row>
    <row r="947" spans="6:8">
      <c r="F947" t="s">
        <v>10996</v>
      </c>
      <c r="G947" t="s">
        <v>15387</v>
      </c>
      <c r="H947" t="s">
        <v>20091</v>
      </c>
    </row>
    <row r="948" spans="6:8">
      <c r="H948" t="s">
        <v>20095</v>
      </c>
    </row>
    <row r="949" spans="6:8">
      <c r="F949" t="s">
        <v>10997</v>
      </c>
      <c r="G949" t="s">
        <v>15388</v>
      </c>
      <c r="H949" t="s">
        <v>20091</v>
      </c>
    </row>
    <row r="950" spans="6:8">
      <c r="H950" t="s">
        <v>19712</v>
      </c>
    </row>
    <row r="951" spans="6:8">
      <c r="H951" t="s">
        <v>19709</v>
      </c>
    </row>
    <row r="952" spans="6:8">
      <c r="H952" t="s">
        <v>19706</v>
      </c>
    </row>
    <row r="953" spans="6:8">
      <c r="H953" t="s">
        <v>20108</v>
      </c>
    </row>
    <row r="954" spans="6:8">
      <c r="H954" t="s">
        <v>19713</v>
      </c>
    </row>
    <row r="955" spans="6:8">
      <c r="H955" t="s">
        <v>19714</v>
      </c>
    </row>
    <row r="956" spans="6:8">
      <c r="H956" t="s">
        <v>20109</v>
      </c>
    </row>
    <row r="957" spans="6:8">
      <c r="H957" t="s">
        <v>20110</v>
      </c>
    </row>
    <row r="958" spans="6:8">
      <c r="H958" t="s">
        <v>20111</v>
      </c>
    </row>
    <row r="959" spans="6:8">
      <c r="H959" t="s">
        <v>20112</v>
      </c>
    </row>
    <row r="960" spans="6:8">
      <c r="H960" t="s">
        <v>20113</v>
      </c>
    </row>
    <row r="961" spans="6:8">
      <c r="H961" t="s">
        <v>20095</v>
      </c>
    </row>
    <row r="962" spans="6:8">
      <c r="H962" t="s">
        <v>20096</v>
      </c>
    </row>
    <row r="963" spans="6:8">
      <c r="H963" t="s">
        <v>20097</v>
      </c>
    </row>
    <row r="964" spans="6:8">
      <c r="H964" t="s">
        <v>20098</v>
      </c>
    </row>
    <row r="965" spans="6:8">
      <c r="F965" t="s">
        <v>10998</v>
      </c>
      <c r="G965" t="s">
        <v>15389</v>
      </c>
      <c r="H965" t="s">
        <v>20091</v>
      </c>
    </row>
    <row r="966" spans="6:8">
      <c r="H966" t="s">
        <v>19712</v>
      </c>
    </row>
    <row r="967" spans="6:8">
      <c r="H967" t="s">
        <v>20095</v>
      </c>
    </row>
    <row r="968" spans="6:8">
      <c r="H968" t="s">
        <v>20096</v>
      </c>
    </row>
    <row r="969" spans="6:8">
      <c r="H969" t="s">
        <v>20097</v>
      </c>
    </row>
    <row r="970" spans="6:8">
      <c r="H970" t="s">
        <v>20098</v>
      </c>
    </row>
    <row r="971" spans="6:8">
      <c r="H971" t="s">
        <v>19709</v>
      </c>
    </row>
    <row r="972" spans="6:8">
      <c r="H972" t="s">
        <v>19706</v>
      </c>
    </row>
    <row r="973" spans="6:8">
      <c r="H973" t="s">
        <v>20099</v>
      </c>
    </row>
    <row r="974" spans="6:8">
      <c r="H974" t="s">
        <v>20100</v>
      </c>
    </row>
    <row r="975" spans="6:8">
      <c r="H975" t="s">
        <v>20101</v>
      </c>
    </row>
    <row r="976" spans="6:8">
      <c r="H976" t="s">
        <v>20102</v>
      </c>
    </row>
    <row r="977" spans="6:8">
      <c r="F977" t="s">
        <v>10999</v>
      </c>
      <c r="G977" t="s">
        <v>15390</v>
      </c>
      <c r="H977" t="s">
        <v>20091</v>
      </c>
    </row>
    <row r="978" spans="6:8">
      <c r="H978" t="s">
        <v>19712</v>
      </c>
    </row>
    <row r="979" spans="6:8">
      <c r="H979" t="s">
        <v>20095</v>
      </c>
    </row>
    <row r="980" spans="6:8">
      <c r="H980" t="s">
        <v>20096</v>
      </c>
    </row>
    <row r="981" spans="6:8">
      <c r="H981" t="s">
        <v>20097</v>
      </c>
    </row>
    <row r="982" spans="6:8">
      <c r="H982" t="s">
        <v>20098</v>
      </c>
    </row>
    <row r="983" spans="6:8">
      <c r="F983" t="s">
        <v>11000</v>
      </c>
      <c r="G983" t="s">
        <v>15391</v>
      </c>
      <c r="H983" t="s">
        <v>20091</v>
      </c>
    </row>
    <row r="984" spans="6:8">
      <c r="H984" t="s">
        <v>19712</v>
      </c>
    </row>
    <row r="985" spans="6:8">
      <c r="H985" t="s">
        <v>20095</v>
      </c>
    </row>
    <row r="986" spans="6:8">
      <c r="H986" t="s">
        <v>20096</v>
      </c>
    </row>
    <row r="987" spans="6:8">
      <c r="H987" t="s">
        <v>20097</v>
      </c>
    </row>
    <row r="988" spans="6:8">
      <c r="H988" t="s">
        <v>20098</v>
      </c>
    </row>
    <row r="989" spans="6:8">
      <c r="F989" t="s">
        <v>11001</v>
      </c>
      <c r="G989" t="s">
        <v>15392</v>
      </c>
      <c r="H989" t="s">
        <v>20091</v>
      </c>
    </row>
    <row r="990" spans="6:8">
      <c r="H990" t="s">
        <v>19712</v>
      </c>
    </row>
    <row r="991" spans="6:8">
      <c r="H991" t="s">
        <v>20095</v>
      </c>
    </row>
    <row r="992" spans="6:8">
      <c r="H992" t="s">
        <v>20096</v>
      </c>
    </row>
    <row r="993" spans="6:8">
      <c r="H993" t="s">
        <v>20097</v>
      </c>
    </row>
    <row r="994" spans="6:8">
      <c r="H994" t="s">
        <v>20098</v>
      </c>
    </row>
    <row r="995" spans="6:8">
      <c r="F995" t="s">
        <v>11002</v>
      </c>
      <c r="G995" t="s">
        <v>15393</v>
      </c>
      <c r="H995" t="s">
        <v>20091</v>
      </c>
    </row>
    <row r="996" spans="6:8">
      <c r="H996" t="s">
        <v>19712</v>
      </c>
    </row>
    <row r="997" spans="6:8">
      <c r="H997" t="s">
        <v>20095</v>
      </c>
    </row>
    <row r="998" spans="6:8">
      <c r="H998" t="s">
        <v>20096</v>
      </c>
    </row>
    <row r="999" spans="6:8">
      <c r="H999" t="s">
        <v>20097</v>
      </c>
    </row>
    <row r="1000" spans="6:8">
      <c r="H1000" t="s">
        <v>20098</v>
      </c>
    </row>
    <row r="1001" spans="6:8">
      <c r="F1001" t="s">
        <v>11003</v>
      </c>
      <c r="G1001" t="s">
        <v>15394</v>
      </c>
      <c r="H1001" t="s">
        <v>20091</v>
      </c>
    </row>
    <row r="1002" spans="6:8">
      <c r="H1002" t="s">
        <v>19712</v>
      </c>
    </row>
    <row r="1003" spans="6:8">
      <c r="H1003" t="s">
        <v>19709</v>
      </c>
    </row>
    <row r="1004" spans="6:8">
      <c r="H1004" t="s">
        <v>20107</v>
      </c>
    </row>
    <row r="1005" spans="6:8">
      <c r="H1005" t="s">
        <v>20108</v>
      </c>
    </row>
    <row r="1006" spans="6:8">
      <c r="H1006" t="s">
        <v>19713</v>
      </c>
    </row>
    <row r="1007" spans="6:8">
      <c r="H1007" t="s">
        <v>19714</v>
      </c>
    </row>
    <row r="1008" spans="6:8">
      <c r="H1008" t="s">
        <v>20109</v>
      </c>
    </row>
    <row r="1009" spans="6:8">
      <c r="H1009" t="s">
        <v>20110</v>
      </c>
    </row>
    <row r="1010" spans="6:8">
      <c r="H1010" t="s">
        <v>20111</v>
      </c>
    </row>
    <row r="1011" spans="6:8">
      <c r="H1011" t="s">
        <v>20112</v>
      </c>
    </row>
    <row r="1012" spans="6:8">
      <c r="H1012" t="s">
        <v>20095</v>
      </c>
    </row>
    <row r="1013" spans="6:8">
      <c r="H1013" t="s">
        <v>20096</v>
      </c>
    </row>
    <row r="1014" spans="6:8">
      <c r="H1014" t="s">
        <v>20097</v>
      </c>
    </row>
    <row r="1015" spans="6:8">
      <c r="H1015" t="s">
        <v>20098</v>
      </c>
    </row>
    <row r="1016" spans="6:8">
      <c r="F1016" t="s">
        <v>11004</v>
      </c>
      <c r="G1016" t="s">
        <v>15395</v>
      </c>
      <c r="H1016" t="s">
        <v>20091</v>
      </c>
    </row>
    <row r="1017" spans="6:8">
      <c r="H1017" t="s">
        <v>19712</v>
      </c>
    </row>
    <row r="1018" spans="6:8">
      <c r="H1018" t="s">
        <v>19709</v>
      </c>
    </row>
    <row r="1019" spans="6:8">
      <c r="H1019" t="s">
        <v>19706</v>
      </c>
    </row>
    <row r="1020" spans="6:8">
      <c r="H1020" t="s">
        <v>20107</v>
      </c>
    </row>
    <row r="1021" spans="6:8">
      <c r="H1021" t="s">
        <v>20108</v>
      </c>
    </row>
    <row r="1022" spans="6:8">
      <c r="H1022" t="s">
        <v>19713</v>
      </c>
    </row>
    <row r="1023" spans="6:8">
      <c r="H1023" t="s">
        <v>19714</v>
      </c>
    </row>
    <row r="1024" spans="6:8">
      <c r="H1024" t="s">
        <v>20109</v>
      </c>
    </row>
    <row r="1025" spans="6:8">
      <c r="H1025" t="s">
        <v>20095</v>
      </c>
    </row>
    <row r="1026" spans="6:8">
      <c r="H1026" t="s">
        <v>20096</v>
      </c>
    </row>
    <row r="1027" spans="6:8">
      <c r="H1027" t="s">
        <v>20097</v>
      </c>
    </row>
    <row r="1028" spans="6:8">
      <c r="H1028" t="s">
        <v>20098</v>
      </c>
    </row>
    <row r="1029" spans="6:8">
      <c r="F1029" t="s">
        <v>11005</v>
      </c>
      <c r="G1029" t="s">
        <v>15396</v>
      </c>
      <c r="H1029" t="s">
        <v>20091</v>
      </c>
    </row>
    <row r="1030" spans="6:8">
      <c r="H1030" t="s">
        <v>19712</v>
      </c>
    </row>
    <row r="1031" spans="6:8">
      <c r="H1031" t="s">
        <v>19709</v>
      </c>
    </row>
    <row r="1032" spans="6:8">
      <c r="H1032" t="s">
        <v>20107</v>
      </c>
    </row>
    <row r="1033" spans="6:8">
      <c r="H1033" t="s">
        <v>20108</v>
      </c>
    </row>
    <row r="1034" spans="6:8">
      <c r="H1034" t="s">
        <v>19713</v>
      </c>
    </row>
    <row r="1035" spans="6:8">
      <c r="H1035" t="s">
        <v>19714</v>
      </c>
    </row>
    <row r="1036" spans="6:8">
      <c r="H1036" t="s">
        <v>20109</v>
      </c>
    </row>
    <row r="1037" spans="6:8">
      <c r="H1037" t="s">
        <v>20110</v>
      </c>
    </row>
    <row r="1038" spans="6:8">
      <c r="H1038" t="s">
        <v>20111</v>
      </c>
    </row>
    <row r="1039" spans="6:8">
      <c r="H1039" t="s">
        <v>20112</v>
      </c>
    </row>
    <row r="1040" spans="6:8">
      <c r="H1040" t="s">
        <v>20113</v>
      </c>
    </row>
    <row r="1041" spans="6:8">
      <c r="H1041" t="s">
        <v>20095</v>
      </c>
    </row>
    <row r="1042" spans="6:8">
      <c r="H1042" t="s">
        <v>20096</v>
      </c>
    </row>
    <row r="1043" spans="6:8">
      <c r="H1043" t="s">
        <v>20097</v>
      </c>
    </row>
    <row r="1044" spans="6:8">
      <c r="H1044" t="s">
        <v>20098</v>
      </c>
    </row>
    <row r="1045" spans="6:8">
      <c r="F1045" t="s">
        <v>11006</v>
      </c>
      <c r="G1045" t="s">
        <v>15397</v>
      </c>
      <c r="H1045" t="s">
        <v>20091</v>
      </c>
    </row>
    <row r="1046" spans="6:8">
      <c r="H1046" t="s">
        <v>19712</v>
      </c>
    </row>
    <row r="1047" spans="6:8">
      <c r="H1047" t="s">
        <v>19709</v>
      </c>
    </row>
    <row r="1048" spans="6:8">
      <c r="H1048" t="s">
        <v>20092</v>
      </c>
    </row>
    <row r="1049" spans="6:8">
      <c r="H1049" t="s">
        <v>20093</v>
      </c>
    </row>
    <row r="1050" spans="6:8">
      <c r="H1050" t="s">
        <v>20095</v>
      </c>
    </row>
    <row r="1051" spans="6:8">
      <c r="H1051" t="s">
        <v>20096</v>
      </c>
    </row>
    <row r="1052" spans="6:8">
      <c r="H1052" t="s">
        <v>20097</v>
      </c>
    </row>
    <row r="1053" spans="6:8">
      <c r="H1053" t="s">
        <v>20098</v>
      </c>
    </row>
    <row r="1054" spans="6:8">
      <c r="H1054" t="s">
        <v>20099</v>
      </c>
    </row>
    <row r="1055" spans="6:8">
      <c r="H1055" t="s">
        <v>20100</v>
      </c>
    </row>
    <row r="1056" spans="6:8">
      <c r="F1056" t="s">
        <v>11007</v>
      </c>
      <c r="G1056" t="s">
        <v>15398</v>
      </c>
      <c r="H1056" t="s">
        <v>20091</v>
      </c>
    </row>
    <row r="1057" spans="6:8">
      <c r="H1057" t="s">
        <v>19712</v>
      </c>
    </row>
    <row r="1058" spans="6:8">
      <c r="H1058" t="s">
        <v>20095</v>
      </c>
    </row>
    <row r="1059" spans="6:8">
      <c r="H1059" t="s">
        <v>20096</v>
      </c>
    </row>
    <row r="1060" spans="6:8">
      <c r="H1060" t="s">
        <v>20097</v>
      </c>
    </row>
    <row r="1061" spans="6:8">
      <c r="H1061" t="s">
        <v>19709</v>
      </c>
    </row>
    <row r="1062" spans="6:8">
      <c r="H1062" t="s">
        <v>19706</v>
      </c>
    </row>
    <row r="1063" spans="6:8">
      <c r="H1063" t="s">
        <v>20098</v>
      </c>
    </row>
    <row r="1064" spans="6:8">
      <c r="H1064" t="s">
        <v>20099</v>
      </c>
    </row>
    <row r="1065" spans="6:8">
      <c r="H1065" t="s">
        <v>20100</v>
      </c>
    </row>
    <row r="1066" spans="6:8">
      <c r="F1066" t="s">
        <v>11008</v>
      </c>
      <c r="G1066" t="s">
        <v>15399</v>
      </c>
      <c r="H1066" t="s">
        <v>20091</v>
      </c>
    </row>
    <row r="1067" spans="6:8">
      <c r="H1067" t="s">
        <v>19712</v>
      </c>
    </row>
    <row r="1068" spans="6:8">
      <c r="H1068" t="s">
        <v>20095</v>
      </c>
    </row>
    <row r="1069" spans="6:8">
      <c r="H1069" t="s">
        <v>20096</v>
      </c>
    </row>
    <row r="1070" spans="6:8">
      <c r="H1070" t="s">
        <v>20097</v>
      </c>
    </row>
    <row r="1071" spans="6:8">
      <c r="F1071" t="s">
        <v>11009</v>
      </c>
      <c r="G1071" t="s">
        <v>15400</v>
      </c>
      <c r="H1071" t="s">
        <v>20091</v>
      </c>
    </row>
    <row r="1072" spans="6:8">
      <c r="H1072" t="s">
        <v>19712</v>
      </c>
    </row>
    <row r="1073" spans="6:8">
      <c r="H1073" t="s">
        <v>20095</v>
      </c>
    </row>
    <row r="1074" spans="6:8">
      <c r="H1074" t="s">
        <v>20096</v>
      </c>
    </row>
    <row r="1075" spans="6:8">
      <c r="H1075" t="s">
        <v>20097</v>
      </c>
    </row>
    <row r="1076" spans="6:8">
      <c r="F1076" t="s">
        <v>11010</v>
      </c>
      <c r="G1076" t="s">
        <v>15401</v>
      </c>
      <c r="H1076" t="s">
        <v>20091</v>
      </c>
    </row>
    <row r="1077" spans="6:8">
      <c r="H1077" t="s">
        <v>19712</v>
      </c>
    </row>
    <row r="1078" spans="6:8">
      <c r="H1078" t="s">
        <v>20095</v>
      </c>
    </row>
    <row r="1079" spans="6:8">
      <c r="H1079" t="s">
        <v>20096</v>
      </c>
    </row>
    <row r="1080" spans="6:8">
      <c r="H1080" t="s">
        <v>20097</v>
      </c>
    </row>
    <row r="1081" spans="6:8">
      <c r="F1081" t="s">
        <v>11011</v>
      </c>
      <c r="G1081" t="s">
        <v>15402</v>
      </c>
      <c r="H1081" t="s">
        <v>20091</v>
      </c>
    </row>
    <row r="1082" spans="6:8">
      <c r="H1082" t="s">
        <v>19712</v>
      </c>
    </row>
    <row r="1083" spans="6:8">
      <c r="H1083" t="s">
        <v>20095</v>
      </c>
    </row>
    <row r="1084" spans="6:8">
      <c r="H1084" t="s">
        <v>20096</v>
      </c>
    </row>
    <row r="1085" spans="6:8">
      <c r="H1085" t="s">
        <v>20097</v>
      </c>
    </row>
    <row r="1086" spans="6:8">
      <c r="F1086" t="s">
        <v>11012</v>
      </c>
      <c r="G1086" t="s">
        <v>15403</v>
      </c>
      <c r="H1086" t="s">
        <v>20091</v>
      </c>
    </row>
    <row r="1087" spans="6:8">
      <c r="H1087" t="s">
        <v>19712</v>
      </c>
    </row>
    <row r="1088" spans="6:8">
      <c r="H1088" t="s">
        <v>19709</v>
      </c>
    </row>
    <row r="1089" spans="6:8">
      <c r="H1089" t="s">
        <v>20107</v>
      </c>
    </row>
    <row r="1090" spans="6:8">
      <c r="H1090" t="s">
        <v>20108</v>
      </c>
    </row>
    <row r="1091" spans="6:8">
      <c r="H1091" t="s">
        <v>19713</v>
      </c>
    </row>
    <row r="1092" spans="6:8">
      <c r="H1092" t="s">
        <v>19714</v>
      </c>
    </row>
    <row r="1093" spans="6:8">
      <c r="H1093" t="s">
        <v>20109</v>
      </c>
    </row>
    <row r="1094" spans="6:8">
      <c r="H1094" t="s">
        <v>20110</v>
      </c>
    </row>
    <row r="1095" spans="6:8">
      <c r="H1095" t="s">
        <v>20111</v>
      </c>
    </row>
    <row r="1096" spans="6:8">
      <c r="H1096" t="s">
        <v>20112</v>
      </c>
    </row>
    <row r="1097" spans="6:8">
      <c r="H1097" t="s">
        <v>20113</v>
      </c>
    </row>
    <row r="1098" spans="6:8">
      <c r="H1098" t="s">
        <v>20114</v>
      </c>
    </row>
    <row r="1099" spans="6:8">
      <c r="H1099" t="s">
        <v>20095</v>
      </c>
    </row>
    <row r="1100" spans="6:8">
      <c r="H1100" t="s">
        <v>20096</v>
      </c>
    </row>
    <row r="1101" spans="6:8">
      <c r="H1101" t="s">
        <v>20097</v>
      </c>
    </row>
    <row r="1102" spans="6:8">
      <c r="H1102" t="s">
        <v>20098</v>
      </c>
    </row>
    <row r="1103" spans="6:8">
      <c r="F1103" t="s">
        <v>11013</v>
      </c>
      <c r="G1103" t="s">
        <v>15404</v>
      </c>
      <c r="H1103" t="s">
        <v>20091</v>
      </c>
    </row>
    <row r="1104" spans="6:8">
      <c r="H1104" t="s">
        <v>19712</v>
      </c>
    </row>
    <row r="1105" spans="6:8">
      <c r="H1105" t="s">
        <v>19709</v>
      </c>
    </row>
    <row r="1106" spans="6:8">
      <c r="H1106" t="s">
        <v>20095</v>
      </c>
    </row>
    <row r="1107" spans="6:8">
      <c r="H1107" t="s">
        <v>20096</v>
      </c>
    </row>
    <row r="1108" spans="6:8">
      <c r="H1108" t="s">
        <v>20097</v>
      </c>
    </row>
    <row r="1109" spans="6:8">
      <c r="H1109" t="s">
        <v>20098</v>
      </c>
    </row>
    <row r="1110" spans="6:8">
      <c r="F1110" t="s">
        <v>11014</v>
      </c>
      <c r="G1110" t="s">
        <v>15405</v>
      </c>
      <c r="H1110" t="s">
        <v>20091</v>
      </c>
    </row>
    <row r="1111" spans="6:8">
      <c r="H1111" t="s">
        <v>19712</v>
      </c>
    </row>
    <row r="1112" spans="6:8">
      <c r="H1112" t="s">
        <v>19709</v>
      </c>
    </row>
    <row r="1113" spans="6:8">
      <c r="H1113" t="s">
        <v>19706</v>
      </c>
    </row>
    <row r="1114" spans="6:8">
      <c r="H1114" t="s">
        <v>20095</v>
      </c>
    </row>
    <row r="1115" spans="6:8">
      <c r="H1115" t="s">
        <v>20098</v>
      </c>
    </row>
    <row r="1116" spans="6:8">
      <c r="F1116" t="s">
        <v>11015</v>
      </c>
      <c r="G1116" t="s">
        <v>15406</v>
      </c>
      <c r="H1116" t="s">
        <v>20091</v>
      </c>
    </row>
    <row r="1117" spans="6:8">
      <c r="H1117" t="s">
        <v>19712</v>
      </c>
    </row>
    <row r="1118" spans="6:8">
      <c r="H1118" t="s">
        <v>19709</v>
      </c>
    </row>
    <row r="1119" spans="6:8">
      <c r="H1119" t="s">
        <v>19706</v>
      </c>
    </row>
    <row r="1120" spans="6:8">
      <c r="H1120" t="s">
        <v>20095</v>
      </c>
    </row>
    <row r="1121" spans="6:8">
      <c r="H1121" t="s">
        <v>20098</v>
      </c>
    </row>
    <row r="1122" spans="6:8">
      <c r="F1122" t="s">
        <v>11016</v>
      </c>
      <c r="G1122" t="s">
        <v>15407</v>
      </c>
      <c r="H1122" t="s">
        <v>20091</v>
      </c>
    </row>
    <row r="1123" spans="6:8">
      <c r="H1123" t="s">
        <v>19712</v>
      </c>
    </row>
    <row r="1124" spans="6:8">
      <c r="H1124" t="s">
        <v>19709</v>
      </c>
    </row>
    <row r="1125" spans="6:8">
      <c r="H1125" t="s">
        <v>19706</v>
      </c>
    </row>
    <row r="1126" spans="6:8">
      <c r="H1126" t="s">
        <v>19707</v>
      </c>
    </row>
    <row r="1127" spans="6:8">
      <c r="H1127" t="s">
        <v>20095</v>
      </c>
    </row>
    <row r="1128" spans="6:8">
      <c r="H1128" t="s">
        <v>20098</v>
      </c>
    </row>
    <row r="1129" spans="6:8">
      <c r="F1129" t="s">
        <v>11017</v>
      </c>
      <c r="G1129" t="s">
        <v>15408</v>
      </c>
      <c r="H1129" t="s">
        <v>20091</v>
      </c>
    </row>
    <row r="1130" spans="6:8">
      <c r="H1130" t="s">
        <v>19712</v>
      </c>
    </row>
    <row r="1131" spans="6:8">
      <c r="H1131" t="s">
        <v>19709</v>
      </c>
    </row>
    <row r="1132" spans="6:8">
      <c r="H1132" t="s">
        <v>19706</v>
      </c>
    </row>
    <row r="1133" spans="6:8">
      <c r="H1133" t="s">
        <v>20095</v>
      </c>
    </row>
    <row r="1134" spans="6:8">
      <c r="H1134" t="s">
        <v>20096</v>
      </c>
    </row>
    <row r="1135" spans="6:8">
      <c r="H1135" t="s">
        <v>20097</v>
      </c>
    </row>
    <row r="1136" spans="6:8">
      <c r="H1136" t="s">
        <v>20098</v>
      </c>
    </row>
    <row r="1137" spans="6:8">
      <c r="F1137" t="s">
        <v>11018</v>
      </c>
      <c r="G1137" t="s">
        <v>15409</v>
      </c>
      <c r="H1137" t="s">
        <v>20091</v>
      </c>
    </row>
    <row r="1138" spans="6:8">
      <c r="H1138" t="s">
        <v>19712</v>
      </c>
    </row>
    <row r="1139" spans="6:8">
      <c r="H1139" t="s">
        <v>19709</v>
      </c>
    </row>
    <row r="1140" spans="6:8">
      <c r="H1140" t="s">
        <v>20095</v>
      </c>
    </row>
    <row r="1141" spans="6:8">
      <c r="H1141" t="s">
        <v>20096</v>
      </c>
    </row>
    <row r="1142" spans="6:8">
      <c r="H1142" t="s">
        <v>20097</v>
      </c>
    </row>
    <row r="1143" spans="6:8">
      <c r="H1143" t="s">
        <v>20098</v>
      </c>
    </row>
    <row r="1144" spans="6:8">
      <c r="F1144" t="s">
        <v>11019</v>
      </c>
      <c r="G1144" t="s">
        <v>15410</v>
      </c>
      <c r="H1144" t="s">
        <v>20091</v>
      </c>
    </row>
    <row r="1145" spans="6:8">
      <c r="H1145" t="s">
        <v>19712</v>
      </c>
    </row>
    <row r="1146" spans="6:8">
      <c r="H1146" t="s">
        <v>19709</v>
      </c>
    </row>
    <row r="1147" spans="6:8">
      <c r="H1147" t="s">
        <v>20107</v>
      </c>
    </row>
    <row r="1148" spans="6:8">
      <c r="H1148" t="s">
        <v>20108</v>
      </c>
    </row>
    <row r="1149" spans="6:8">
      <c r="H1149" t="s">
        <v>19713</v>
      </c>
    </row>
    <row r="1150" spans="6:8">
      <c r="H1150" t="s">
        <v>19714</v>
      </c>
    </row>
    <row r="1151" spans="6:8">
      <c r="H1151" t="s">
        <v>20109</v>
      </c>
    </row>
    <row r="1152" spans="6:8">
      <c r="H1152" t="s">
        <v>20110</v>
      </c>
    </row>
    <row r="1153" spans="6:8">
      <c r="H1153" t="s">
        <v>20095</v>
      </c>
    </row>
    <row r="1154" spans="6:8">
      <c r="H1154" t="s">
        <v>20096</v>
      </c>
    </row>
    <row r="1155" spans="6:8">
      <c r="H1155" t="s">
        <v>20097</v>
      </c>
    </row>
    <row r="1156" spans="6:8">
      <c r="H1156" t="s">
        <v>20098</v>
      </c>
    </row>
    <row r="1157" spans="6:8">
      <c r="H1157" t="s">
        <v>20099</v>
      </c>
    </row>
    <row r="1158" spans="6:8">
      <c r="F1158" t="s">
        <v>11020</v>
      </c>
      <c r="G1158" t="s">
        <v>15411</v>
      </c>
      <c r="H1158" t="s">
        <v>20091</v>
      </c>
    </row>
    <row r="1159" spans="6:8">
      <c r="H1159" t="s">
        <v>19712</v>
      </c>
    </row>
    <row r="1160" spans="6:8">
      <c r="H1160" t="s">
        <v>19709</v>
      </c>
    </row>
    <row r="1161" spans="6:8">
      <c r="H1161" t="s">
        <v>20107</v>
      </c>
    </row>
    <row r="1162" spans="6:8">
      <c r="H1162" t="s">
        <v>20108</v>
      </c>
    </row>
    <row r="1163" spans="6:8">
      <c r="H1163" t="s">
        <v>19713</v>
      </c>
    </row>
    <row r="1164" spans="6:8">
      <c r="H1164" t="s">
        <v>19714</v>
      </c>
    </row>
    <row r="1165" spans="6:8">
      <c r="H1165" t="s">
        <v>20109</v>
      </c>
    </row>
    <row r="1166" spans="6:8">
      <c r="H1166" t="s">
        <v>20110</v>
      </c>
    </row>
    <row r="1167" spans="6:8">
      <c r="H1167" t="s">
        <v>20095</v>
      </c>
    </row>
    <row r="1168" spans="6:8">
      <c r="H1168" t="s">
        <v>20096</v>
      </c>
    </row>
    <row r="1169" spans="6:8">
      <c r="H1169" t="s">
        <v>20097</v>
      </c>
    </row>
    <row r="1170" spans="6:8">
      <c r="H1170" t="s">
        <v>20098</v>
      </c>
    </row>
    <row r="1171" spans="6:8">
      <c r="F1171" t="s">
        <v>11021</v>
      </c>
      <c r="G1171" t="s">
        <v>15412</v>
      </c>
      <c r="H1171" t="s">
        <v>20091</v>
      </c>
    </row>
    <row r="1172" spans="6:8">
      <c r="H1172" t="s">
        <v>19712</v>
      </c>
    </row>
    <row r="1173" spans="6:8">
      <c r="H1173" t="s">
        <v>19709</v>
      </c>
    </row>
    <row r="1174" spans="6:8">
      <c r="H1174" t="s">
        <v>20107</v>
      </c>
    </row>
    <row r="1175" spans="6:8">
      <c r="H1175" t="s">
        <v>20108</v>
      </c>
    </row>
    <row r="1176" spans="6:8">
      <c r="H1176" t="s">
        <v>19713</v>
      </c>
    </row>
    <row r="1177" spans="6:8">
      <c r="H1177" t="s">
        <v>19714</v>
      </c>
    </row>
    <row r="1178" spans="6:8">
      <c r="H1178" t="s">
        <v>20109</v>
      </c>
    </row>
    <row r="1179" spans="6:8">
      <c r="H1179" t="s">
        <v>20110</v>
      </c>
    </row>
    <row r="1180" spans="6:8">
      <c r="H1180" t="s">
        <v>20095</v>
      </c>
    </row>
    <row r="1181" spans="6:8">
      <c r="H1181" t="s">
        <v>20096</v>
      </c>
    </row>
    <row r="1182" spans="6:8">
      <c r="H1182" t="s">
        <v>20097</v>
      </c>
    </row>
    <row r="1183" spans="6:8">
      <c r="H1183" t="s">
        <v>20098</v>
      </c>
    </row>
    <row r="1184" spans="6:8">
      <c r="H1184" t="s">
        <v>20099</v>
      </c>
    </row>
    <row r="1185" spans="6:8">
      <c r="F1185" t="s">
        <v>11022</v>
      </c>
      <c r="G1185" t="s">
        <v>15413</v>
      </c>
      <c r="H1185" t="s">
        <v>20091</v>
      </c>
    </row>
    <row r="1186" spans="6:8">
      <c r="H1186" t="s">
        <v>19712</v>
      </c>
    </row>
    <row r="1187" spans="6:8">
      <c r="H1187" t="s">
        <v>19709</v>
      </c>
    </row>
    <row r="1188" spans="6:8">
      <c r="H1188" t="s">
        <v>20107</v>
      </c>
    </row>
    <row r="1189" spans="6:8">
      <c r="H1189" t="s">
        <v>20108</v>
      </c>
    </row>
    <row r="1190" spans="6:8">
      <c r="H1190" t="s">
        <v>19713</v>
      </c>
    </row>
    <row r="1191" spans="6:8">
      <c r="H1191" t="s">
        <v>19714</v>
      </c>
    </row>
    <row r="1192" spans="6:8">
      <c r="H1192" t="s">
        <v>20109</v>
      </c>
    </row>
    <row r="1193" spans="6:8">
      <c r="H1193" t="s">
        <v>20110</v>
      </c>
    </row>
    <row r="1194" spans="6:8">
      <c r="H1194" t="s">
        <v>20111</v>
      </c>
    </row>
    <row r="1195" spans="6:8">
      <c r="H1195" t="s">
        <v>20112</v>
      </c>
    </row>
    <row r="1196" spans="6:8">
      <c r="H1196" t="s">
        <v>20113</v>
      </c>
    </row>
    <row r="1197" spans="6:8">
      <c r="H1197" t="s">
        <v>20095</v>
      </c>
    </row>
    <row r="1198" spans="6:8">
      <c r="H1198" t="s">
        <v>20096</v>
      </c>
    </row>
    <row r="1199" spans="6:8">
      <c r="H1199" t="s">
        <v>20097</v>
      </c>
    </row>
    <row r="1200" spans="6:8">
      <c r="H1200" t="s">
        <v>20098</v>
      </c>
    </row>
    <row r="1201" spans="6:8">
      <c r="F1201" t="s">
        <v>11023</v>
      </c>
      <c r="G1201" t="s">
        <v>15414</v>
      </c>
      <c r="H1201" t="s">
        <v>20091</v>
      </c>
    </row>
    <row r="1202" spans="6:8">
      <c r="H1202" t="s">
        <v>19712</v>
      </c>
    </row>
    <row r="1203" spans="6:8">
      <c r="H1203" t="s">
        <v>20092</v>
      </c>
    </row>
    <row r="1204" spans="6:8">
      <c r="H1204" t="s">
        <v>20093</v>
      </c>
    </row>
    <row r="1205" spans="6:8">
      <c r="H1205" t="s">
        <v>20094</v>
      </c>
    </row>
    <row r="1206" spans="6:8">
      <c r="H1206" t="s">
        <v>20095</v>
      </c>
    </row>
    <row r="1207" spans="6:8">
      <c r="H1207" t="s">
        <v>20096</v>
      </c>
    </row>
    <row r="1208" spans="6:8">
      <c r="H1208" t="s">
        <v>20097</v>
      </c>
    </row>
    <row r="1209" spans="6:8">
      <c r="H1209" t="s">
        <v>20098</v>
      </c>
    </row>
    <row r="1210" spans="6:8">
      <c r="H1210" t="s">
        <v>20099</v>
      </c>
    </row>
    <row r="1211" spans="6:8">
      <c r="H1211" t="s">
        <v>20100</v>
      </c>
    </row>
    <row r="1212" spans="6:8">
      <c r="H1212" t="s">
        <v>20101</v>
      </c>
    </row>
    <row r="1213" spans="6:8">
      <c r="H1213" t="s">
        <v>20102</v>
      </c>
    </row>
    <row r="1214" spans="6:8">
      <c r="F1214" t="s">
        <v>11024</v>
      </c>
      <c r="G1214" t="s">
        <v>15415</v>
      </c>
      <c r="H1214" t="s">
        <v>20091</v>
      </c>
    </row>
    <row r="1215" spans="6:8">
      <c r="H1215" t="s">
        <v>19712</v>
      </c>
    </row>
    <row r="1216" spans="6:8">
      <c r="H1216" t="s">
        <v>20092</v>
      </c>
    </row>
    <row r="1217" spans="6:8">
      <c r="H1217" t="s">
        <v>20093</v>
      </c>
    </row>
    <row r="1218" spans="6:8">
      <c r="H1218" t="s">
        <v>20094</v>
      </c>
    </row>
    <row r="1219" spans="6:8">
      <c r="H1219" t="s">
        <v>20095</v>
      </c>
    </row>
    <row r="1220" spans="6:8">
      <c r="H1220" t="s">
        <v>20096</v>
      </c>
    </row>
    <row r="1221" spans="6:8">
      <c r="H1221" t="s">
        <v>20097</v>
      </c>
    </row>
    <row r="1222" spans="6:8">
      <c r="H1222" t="s">
        <v>20098</v>
      </c>
    </row>
    <row r="1223" spans="6:8">
      <c r="H1223" t="s">
        <v>20099</v>
      </c>
    </row>
    <row r="1224" spans="6:8">
      <c r="H1224" t="s">
        <v>20100</v>
      </c>
    </row>
    <row r="1225" spans="6:8">
      <c r="H1225" t="s">
        <v>20101</v>
      </c>
    </row>
    <row r="1226" spans="6:8">
      <c r="H1226" t="s">
        <v>20102</v>
      </c>
    </row>
    <row r="1227" spans="6:8">
      <c r="F1227" t="s">
        <v>11025</v>
      </c>
      <c r="G1227" t="s">
        <v>15416</v>
      </c>
      <c r="H1227" t="s">
        <v>20091</v>
      </c>
    </row>
    <row r="1228" spans="6:8">
      <c r="H1228" t="s">
        <v>19712</v>
      </c>
    </row>
    <row r="1229" spans="6:8">
      <c r="H1229" t="s">
        <v>19709</v>
      </c>
    </row>
    <row r="1230" spans="6:8">
      <c r="H1230" t="s">
        <v>20107</v>
      </c>
    </row>
    <row r="1231" spans="6:8">
      <c r="H1231" t="s">
        <v>20108</v>
      </c>
    </row>
    <row r="1232" spans="6:8">
      <c r="H1232" t="s">
        <v>19713</v>
      </c>
    </row>
    <row r="1233" spans="6:8">
      <c r="H1233" t="s">
        <v>19714</v>
      </c>
    </row>
    <row r="1234" spans="6:8">
      <c r="H1234" t="s">
        <v>20109</v>
      </c>
    </row>
    <row r="1235" spans="6:8">
      <c r="H1235" t="s">
        <v>20095</v>
      </c>
    </row>
    <row r="1236" spans="6:8">
      <c r="H1236" t="s">
        <v>20096</v>
      </c>
    </row>
    <row r="1237" spans="6:8">
      <c r="H1237" t="s">
        <v>20097</v>
      </c>
    </row>
    <row r="1238" spans="6:8">
      <c r="H1238" t="s">
        <v>20098</v>
      </c>
    </row>
    <row r="1239" spans="6:8">
      <c r="F1239" t="s">
        <v>11026</v>
      </c>
      <c r="G1239" t="s">
        <v>15417</v>
      </c>
      <c r="H1239" t="s">
        <v>20091</v>
      </c>
    </row>
    <row r="1240" spans="6:8">
      <c r="H1240" t="s">
        <v>19712</v>
      </c>
    </row>
    <row r="1241" spans="6:8">
      <c r="H1241" t="s">
        <v>19709</v>
      </c>
    </row>
    <row r="1242" spans="6:8">
      <c r="H1242" t="s">
        <v>20107</v>
      </c>
    </row>
    <row r="1243" spans="6:8">
      <c r="H1243" t="s">
        <v>20108</v>
      </c>
    </row>
    <row r="1244" spans="6:8">
      <c r="H1244" t="s">
        <v>19713</v>
      </c>
    </row>
    <row r="1245" spans="6:8">
      <c r="H1245" t="s">
        <v>19714</v>
      </c>
    </row>
    <row r="1246" spans="6:8">
      <c r="H1246" t="s">
        <v>20109</v>
      </c>
    </row>
    <row r="1247" spans="6:8">
      <c r="H1247" t="s">
        <v>20095</v>
      </c>
    </row>
    <row r="1248" spans="6:8">
      <c r="H1248" t="s">
        <v>20096</v>
      </c>
    </row>
    <row r="1249" spans="6:8">
      <c r="H1249" t="s">
        <v>20097</v>
      </c>
    </row>
    <row r="1250" spans="6:8">
      <c r="H1250" t="s">
        <v>20098</v>
      </c>
    </row>
    <row r="1251" spans="6:8">
      <c r="F1251" t="s">
        <v>11027</v>
      </c>
      <c r="G1251" t="s">
        <v>15418</v>
      </c>
      <c r="H1251" t="s">
        <v>20091</v>
      </c>
    </row>
    <row r="1252" spans="6:8">
      <c r="H1252" t="s">
        <v>20095</v>
      </c>
    </row>
    <row r="1253" spans="6:8">
      <c r="F1253" t="s">
        <v>11028</v>
      </c>
      <c r="G1253" t="s">
        <v>15419</v>
      </c>
      <c r="H1253" t="s">
        <v>20091</v>
      </c>
    </row>
    <row r="1254" spans="6:8">
      <c r="H1254" t="s">
        <v>20095</v>
      </c>
    </row>
    <row r="1255" spans="6:8">
      <c r="F1255" t="s">
        <v>11029</v>
      </c>
      <c r="G1255" t="s">
        <v>15420</v>
      </c>
      <c r="H1255" t="s">
        <v>20091</v>
      </c>
    </row>
    <row r="1256" spans="6:8">
      <c r="H1256" t="s">
        <v>20095</v>
      </c>
    </row>
    <row r="1257" spans="6:8">
      <c r="F1257" t="s">
        <v>11030</v>
      </c>
      <c r="G1257" t="s">
        <v>15421</v>
      </c>
      <c r="H1257" t="s">
        <v>20091</v>
      </c>
    </row>
    <row r="1258" spans="6:8">
      <c r="H1258" t="s">
        <v>19712</v>
      </c>
    </row>
    <row r="1259" spans="6:8">
      <c r="H1259" t="s">
        <v>19709</v>
      </c>
    </row>
    <row r="1260" spans="6:8">
      <c r="H1260" t="s">
        <v>20107</v>
      </c>
    </row>
    <row r="1261" spans="6:8">
      <c r="H1261" t="s">
        <v>20108</v>
      </c>
    </row>
    <row r="1262" spans="6:8">
      <c r="H1262" t="s">
        <v>19713</v>
      </c>
    </row>
    <row r="1263" spans="6:8">
      <c r="H1263" t="s">
        <v>19714</v>
      </c>
    </row>
    <row r="1264" spans="6:8">
      <c r="H1264" t="s">
        <v>20109</v>
      </c>
    </row>
    <row r="1265" spans="6:8">
      <c r="H1265" t="s">
        <v>20110</v>
      </c>
    </row>
    <row r="1266" spans="6:8">
      <c r="H1266" t="s">
        <v>20111</v>
      </c>
    </row>
    <row r="1267" spans="6:8">
      <c r="H1267" t="s">
        <v>20112</v>
      </c>
    </row>
    <row r="1268" spans="6:8">
      <c r="H1268" t="s">
        <v>20113</v>
      </c>
    </row>
    <row r="1269" spans="6:8">
      <c r="H1269" t="s">
        <v>20095</v>
      </c>
    </row>
    <row r="1270" spans="6:8">
      <c r="H1270" t="s">
        <v>20096</v>
      </c>
    </row>
    <row r="1271" spans="6:8">
      <c r="H1271" t="s">
        <v>20097</v>
      </c>
    </row>
    <row r="1272" spans="6:8">
      <c r="H1272" t="s">
        <v>20098</v>
      </c>
    </row>
    <row r="1273" spans="6:8">
      <c r="F1273" t="s">
        <v>11031</v>
      </c>
      <c r="G1273" t="s">
        <v>15422</v>
      </c>
      <c r="H1273" t="s">
        <v>20091</v>
      </c>
    </row>
    <row r="1274" spans="6:8">
      <c r="H1274" t="s">
        <v>19712</v>
      </c>
    </row>
    <row r="1275" spans="6:8">
      <c r="H1275" t="s">
        <v>20095</v>
      </c>
    </row>
    <row r="1276" spans="6:8">
      <c r="H1276" t="s">
        <v>20096</v>
      </c>
    </row>
    <row r="1277" spans="6:8">
      <c r="H1277" t="s">
        <v>20097</v>
      </c>
    </row>
    <row r="1278" spans="6:8">
      <c r="H1278" t="s">
        <v>20098</v>
      </c>
    </row>
    <row r="1279" spans="6:8">
      <c r="H1279" t="s">
        <v>19709</v>
      </c>
    </row>
    <row r="1280" spans="6:8">
      <c r="H1280" t="s">
        <v>19706</v>
      </c>
    </row>
    <row r="1281" spans="6:8">
      <c r="H1281" t="s">
        <v>20099</v>
      </c>
    </row>
    <row r="1282" spans="6:8">
      <c r="H1282" t="s">
        <v>20100</v>
      </c>
    </row>
    <row r="1283" spans="6:8">
      <c r="H1283" t="s">
        <v>20101</v>
      </c>
    </row>
    <row r="1284" spans="6:8">
      <c r="H1284" t="s">
        <v>20102</v>
      </c>
    </row>
    <row r="1285" spans="6:8">
      <c r="F1285" t="s">
        <v>11032</v>
      </c>
      <c r="G1285" t="s">
        <v>15423</v>
      </c>
      <c r="H1285" t="s">
        <v>20091</v>
      </c>
    </row>
    <row r="1286" spans="6:8">
      <c r="H1286" t="s">
        <v>19712</v>
      </c>
    </row>
    <row r="1287" spans="6:8">
      <c r="H1287" t="s">
        <v>20095</v>
      </c>
    </row>
    <row r="1288" spans="6:8">
      <c r="H1288" t="s">
        <v>20096</v>
      </c>
    </row>
    <row r="1289" spans="6:8">
      <c r="H1289" t="s">
        <v>20097</v>
      </c>
    </row>
    <row r="1290" spans="6:8">
      <c r="H1290" t="s">
        <v>20098</v>
      </c>
    </row>
    <row r="1291" spans="6:8">
      <c r="F1291" t="s">
        <v>11033</v>
      </c>
      <c r="G1291" t="s">
        <v>15424</v>
      </c>
      <c r="H1291" t="s">
        <v>20091</v>
      </c>
    </row>
    <row r="1292" spans="6:8">
      <c r="H1292" t="s">
        <v>19712</v>
      </c>
    </row>
    <row r="1293" spans="6:8">
      <c r="H1293" t="s">
        <v>20095</v>
      </c>
    </row>
    <row r="1294" spans="6:8">
      <c r="H1294" t="s">
        <v>20096</v>
      </c>
    </row>
    <row r="1295" spans="6:8">
      <c r="H1295" t="s">
        <v>20097</v>
      </c>
    </row>
    <row r="1296" spans="6:8">
      <c r="H1296" t="s">
        <v>20098</v>
      </c>
    </row>
    <row r="1297" spans="6:8">
      <c r="F1297" t="s">
        <v>11034</v>
      </c>
      <c r="G1297" t="s">
        <v>15425</v>
      </c>
      <c r="H1297" t="s">
        <v>20091</v>
      </c>
    </row>
    <row r="1298" spans="6:8">
      <c r="H1298" t="s">
        <v>19712</v>
      </c>
    </row>
    <row r="1299" spans="6:8">
      <c r="H1299" t="s">
        <v>20095</v>
      </c>
    </row>
    <row r="1300" spans="6:8">
      <c r="H1300" t="s">
        <v>20096</v>
      </c>
    </row>
    <row r="1301" spans="6:8">
      <c r="H1301" t="s">
        <v>20097</v>
      </c>
    </row>
    <row r="1302" spans="6:8">
      <c r="H1302" t="s">
        <v>20098</v>
      </c>
    </row>
    <row r="1303" spans="6:8">
      <c r="F1303" t="s">
        <v>11035</v>
      </c>
      <c r="G1303" t="s">
        <v>15426</v>
      </c>
      <c r="H1303" t="s">
        <v>20091</v>
      </c>
    </row>
    <row r="1304" spans="6:8">
      <c r="H1304" t="s">
        <v>19712</v>
      </c>
    </row>
    <row r="1305" spans="6:8">
      <c r="H1305" t="s">
        <v>20095</v>
      </c>
    </row>
    <row r="1306" spans="6:8">
      <c r="H1306" t="s">
        <v>20096</v>
      </c>
    </row>
    <row r="1307" spans="6:8">
      <c r="H1307" t="s">
        <v>20097</v>
      </c>
    </row>
    <row r="1308" spans="6:8">
      <c r="H1308" t="s">
        <v>20098</v>
      </c>
    </row>
    <row r="1309" spans="6:8">
      <c r="F1309" t="s">
        <v>11036</v>
      </c>
      <c r="G1309" t="s">
        <v>15427</v>
      </c>
      <c r="H1309" t="s">
        <v>20091</v>
      </c>
    </row>
    <row r="1310" spans="6:8">
      <c r="H1310" t="s">
        <v>19712</v>
      </c>
    </row>
    <row r="1311" spans="6:8">
      <c r="H1311" t="s">
        <v>19709</v>
      </c>
    </row>
    <row r="1312" spans="6:8">
      <c r="H1312" t="s">
        <v>20107</v>
      </c>
    </row>
    <row r="1313" spans="6:8">
      <c r="H1313" t="s">
        <v>20108</v>
      </c>
    </row>
    <row r="1314" spans="6:8">
      <c r="H1314" t="s">
        <v>19713</v>
      </c>
    </row>
    <row r="1315" spans="6:8">
      <c r="H1315" t="s">
        <v>19714</v>
      </c>
    </row>
    <row r="1316" spans="6:8">
      <c r="H1316" t="s">
        <v>20109</v>
      </c>
    </row>
    <row r="1317" spans="6:8">
      <c r="H1317" t="s">
        <v>20110</v>
      </c>
    </row>
    <row r="1318" spans="6:8">
      <c r="H1318" t="s">
        <v>20111</v>
      </c>
    </row>
    <row r="1319" spans="6:8">
      <c r="H1319" t="s">
        <v>20112</v>
      </c>
    </row>
    <row r="1320" spans="6:8">
      <c r="H1320" t="s">
        <v>20095</v>
      </c>
    </row>
    <row r="1321" spans="6:8">
      <c r="H1321" t="s">
        <v>20096</v>
      </c>
    </row>
    <row r="1322" spans="6:8">
      <c r="H1322" t="s">
        <v>20097</v>
      </c>
    </row>
    <row r="1323" spans="6:8">
      <c r="H1323" t="s">
        <v>20098</v>
      </c>
    </row>
    <row r="1324" spans="6:8">
      <c r="F1324" t="s">
        <v>11037</v>
      </c>
      <c r="G1324" t="s">
        <v>15428</v>
      </c>
      <c r="H1324" t="s">
        <v>20091</v>
      </c>
    </row>
    <row r="1325" spans="6:8">
      <c r="H1325" t="s">
        <v>19712</v>
      </c>
    </row>
    <row r="1326" spans="6:8">
      <c r="H1326" t="s">
        <v>19709</v>
      </c>
    </row>
    <row r="1327" spans="6:8">
      <c r="H1327" t="s">
        <v>19706</v>
      </c>
    </row>
    <row r="1328" spans="6:8">
      <c r="H1328" t="s">
        <v>20107</v>
      </c>
    </row>
    <row r="1329" spans="6:8">
      <c r="H1329" t="s">
        <v>20108</v>
      </c>
    </row>
    <row r="1330" spans="6:8">
      <c r="H1330" t="s">
        <v>19713</v>
      </c>
    </row>
    <row r="1331" spans="6:8">
      <c r="H1331" t="s">
        <v>19714</v>
      </c>
    </row>
    <row r="1332" spans="6:8">
      <c r="H1332" t="s">
        <v>20109</v>
      </c>
    </row>
    <row r="1333" spans="6:8">
      <c r="H1333" t="s">
        <v>20095</v>
      </c>
    </row>
    <row r="1334" spans="6:8">
      <c r="H1334" t="s">
        <v>20096</v>
      </c>
    </row>
    <row r="1335" spans="6:8">
      <c r="H1335" t="s">
        <v>20097</v>
      </c>
    </row>
    <row r="1336" spans="6:8">
      <c r="H1336" t="s">
        <v>20098</v>
      </c>
    </row>
    <row r="1337" spans="6:8">
      <c r="F1337" t="s">
        <v>11038</v>
      </c>
      <c r="G1337" t="s">
        <v>15429</v>
      </c>
      <c r="H1337" t="s">
        <v>20091</v>
      </c>
    </row>
    <row r="1338" spans="6:8">
      <c r="H1338" t="s">
        <v>19712</v>
      </c>
    </row>
    <row r="1339" spans="6:8">
      <c r="H1339" t="s">
        <v>19709</v>
      </c>
    </row>
    <row r="1340" spans="6:8">
      <c r="H1340" t="s">
        <v>20107</v>
      </c>
    </row>
    <row r="1341" spans="6:8">
      <c r="H1341" t="s">
        <v>20108</v>
      </c>
    </row>
    <row r="1342" spans="6:8">
      <c r="H1342" t="s">
        <v>19713</v>
      </c>
    </row>
    <row r="1343" spans="6:8">
      <c r="H1343" t="s">
        <v>19714</v>
      </c>
    </row>
    <row r="1344" spans="6:8">
      <c r="H1344" t="s">
        <v>20109</v>
      </c>
    </row>
    <row r="1345" spans="6:8">
      <c r="H1345" t="s">
        <v>20110</v>
      </c>
    </row>
    <row r="1346" spans="6:8">
      <c r="H1346" t="s">
        <v>20111</v>
      </c>
    </row>
    <row r="1347" spans="6:8">
      <c r="H1347" t="s">
        <v>20112</v>
      </c>
    </row>
    <row r="1348" spans="6:8">
      <c r="H1348" t="s">
        <v>20113</v>
      </c>
    </row>
    <row r="1349" spans="6:8">
      <c r="H1349" t="s">
        <v>20095</v>
      </c>
    </row>
    <row r="1350" spans="6:8">
      <c r="H1350" t="s">
        <v>20096</v>
      </c>
    </row>
    <row r="1351" spans="6:8">
      <c r="H1351" t="s">
        <v>20097</v>
      </c>
    </row>
    <row r="1352" spans="6:8">
      <c r="H1352" t="s">
        <v>20098</v>
      </c>
    </row>
    <row r="1353" spans="6:8">
      <c r="F1353" t="s">
        <v>11039</v>
      </c>
      <c r="G1353" t="s">
        <v>15430</v>
      </c>
      <c r="H1353" t="s">
        <v>20091</v>
      </c>
    </row>
    <row r="1354" spans="6:8">
      <c r="H1354" t="s">
        <v>19712</v>
      </c>
    </row>
    <row r="1355" spans="6:8">
      <c r="H1355" t="s">
        <v>19709</v>
      </c>
    </row>
    <row r="1356" spans="6:8">
      <c r="H1356" t="s">
        <v>20092</v>
      </c>
    </row>
    <row r="1357" spans="6:8">
      <c r="H1357" t="s">
        <v>20093</v>
      </c>
    </row>
    <row r="1358" spans="6:8">
      <c r="H1358" t="s">
        <v>20095</v>
      </c>
    </row>
    <row r="1359" spans="6:8">
      <c r="H1359" t="s">
        <v>20096</v>
      </c>
    </row>
    <row r="1360" spans="6:8">
      <c r="H1360" t="s">
        <v>20097</v>
      </c>
    </row>
    <row r="1361" spans="6:8">
      <c r="H1361" t="s">
        <v>20098</v>
      </c>
    </row>
    <row r="1362" spans="6:8">
      <c r="H1362" t="s">
        <v>20099</v>
      </c>
    </row>
    <row r="1363" spans="6:8">
      <c r="H1363" t="s">
        <v>20100</v>
      </c>
    </row>
    <row r="1364" spans="6:8">
      <c r="F1364" t="s">
        <v>11040</v>
      </c>
      <c r="G1364" t="s">
        <v>15431</v>
      </c>
      <c r="H1364" t="s">
        <v>20091</v>
      </c>
    </row>
    <row r="1365" spans="6:8">
      <c r="H1365" t="s">
        <v>19712</v>
      </c>
    </row>
    <row r="1366" spans="6:8">
      <c r="H1366" t="s">
        <v>20095</v>
      </c>
    </row>
    <row r="1367" spans="6:8">
      <c r="H1367" t="s">
        <v>20096</v>
      </c>
    </row>
    <row r="1368" spans="6:8">
      <c r="H1368" t="s">
        <v>20097</v>
      </c>
    </row>
    <row r="1369" spans="6:8">
      <c r="H1369" t="s">
        <v>19709</v>
      </c>
    </row>
    <row r="1370" spans="6:8">
      <c r="H1370" t="s">
        <v>19706</v>
      </c>
    </row>
    <row r="1371" spans="6:8">
      <c r="H1371" t="s">
        <v>20098</v>
      </c>
    </row>
    <row r="1372" spans="6:8">
      <c r="H1372" t="s">
        <v>20099</v>
      </c>
    </row>
    <row r="1373" spans="6:8">
      <c r="H1373" t="s">
        <v>20100</v>
      </c>
    </row>
    <row r="1374" spans="6:8">
      <c r="F1374" t="s">
        <v>11041</v>
      </c>
      <c r="G1374" t="s">
        <v>15432</v>
      </c>
      <c r="H1374" t="s">
        <v>20091</v>
      </c>
    </row>
    <row r="1375" spans="6:8">
      <c r="H1375" t="s">
        <v>19712</v>
      </c>
    </row>
    <row r="1376" spans="6:8">
      <c r="H1376" t="s">
        <v>20095</v>
      </c>
    </row>
    <row r="1377" spans="6:8">
      <c r="H1377" t="s">
        <v>20096</v>
      </c>
    </row>
    <row r="1378" spans="6:8">
      <c r="H1378" t="s">
        <v>20097</v>
      </c>
    </row>
    <row r="1379" spans="6:8">
      <c r="F1379" t="s">
        <v>11042</v>
      </c>
      <c r="G1379" t="s">
        <v>15433</v>
      </c>
      <c r="H1379" t="s">
        <v>20091</v>
      </c>
    </row>
    <row r="1380" spans="6:8">
      <c r="H1380" t="s">
        <v>19712</v>
      </c>
    </row>
    <row r="1381" spans="6:8">
      <c r="H1381" t="s">
        <v>20095</v>
      </c>
    </row>
    <row r="1382" spans="6:8">
      <c r="H1382" t="s">
        <v>20096</v>
      </c>
    </row>
    <row r="1383" spans="6:8">
      <c r="H1383" t="s">
        <v>20097</v>
      </c>
    </row>
    <row r="1384" spans="6:8">
      <c r="F1384" t="s">
        <v>11043</v>
      </c>
      <c r="G1384" t="s">
        <v>15434</v>
      </c>
      <c r="H1384" t="s">
        <v>20091</v>
      </c>
    </row>
    <row r="1385" spans="6:8">
      <c r="H1385" t="s">
        <v>19712</v>
      </c>
    </row>
    <row r="1386" spans="6:8">
      <c r="H1386" t="s">
        <v>20095</v>
      </c>
    </row>
    <row r="1387" spans="6:8">
      <c r="H1387" t="s">
        <v>20096</v>
      </c>
    </row>
    <row r="1388" spans="6:8">
      <c r="H1388" t="s">
        <v>20097</v>
      </c>
    </row>
    <row r="1389" spans="6:8">
      <c r="F1389" t="s">
        <v>11044</v>
      </c>
      <c r="G1389" t="s">
        <v>15435</v>
      </c>
      <c r="H1389" t="s">
        <v>20091</v>
      </c>
    </row>
    <row r="1390" spans="6:8">
      <c r="H1390" t="s">
        <v>19712</v>
      </c>
    </row>
    <row r="1391" spans="6:8">
      <c r="H1391" t="s">
        <v>20095</v>
      </c>
    </row>
    <row r="1392" spans="6:8">
      <c r="H1392" t="s">
        <v>20096</v>
      </c>
    </row>
    <row r="1393" spans="6:8">
      <c r="H1393" t="s">
        <v>20097</v>
      </c>
    </row>
    <row r="1394" spans="6:8">
      <c r="F1394" t="s">
        <v>11045</v>
      </c>
      <c r="G1394" t="s">
        <v>15436</v>
      </c>
      <c r="H1394" t="s">
        <v>20091</v>
      </c>
    </row>
    <row r="1395" spans="6:8">
      <c r="H1395" t="s">
        <v>19712</v>
      </c>
    </row>
    <row r="1396" spans="6:8">
      <c r="H1396" t="s">
        <v>19709</v>
      </c>
    </row>
    <row r="1397" spans="6:8">
      <c r="H1397" t="s">
        <v>20107</v>
      </c>
    </row>
    <row r="1398" spans="6:8">
      <c r="H1398" t="s">
        <v>20108</v>
      </c>
    </row>
    <row r="1399" spans="6:8">
      <c r="H1399" t="s">
        <v>19713</v>
      </c>
    </row>
    <row r="1400" spans="6:8">
      <c r="H1400" t="s">
        <v>19714</v>
      </c>
    </row>
    <row r="1401" spans="6:8">
      <c r="H1401" t="s">
        <v>20109</v>
      </c>
    </row>
    <row r="1402" spans="6:8">
      <c r="H1402" t="s">
        <v>20110</v>
      </c>
    </row>
    <row r="1403" spans="6:8">
      <c r="H1403" t="s">
        <v>20111</v>
      </c>
    </row>
    <row r="1404" spans="6:8">
      <c r="H1404" t="s">
        <v>20112</v>
      </c>
    </row>
    <row r="1405" spans="6:8">
      <c r="H1405" t="s">
        <v>20113</v>
      </c>
    </row>
    <row r="1406" spans="6:8">
      <c r="H1406" t="s">
        <v>20114</v>
      </c>
    </row>
    <row r="1407" spans="6:8">
      <c r="H1407" t="s">
        <v>20115</v>
      </c>
    </row>
    <row r="1408" spans="6:8">
      <c r="H1408" t="s">
        <v>20095</v>
      </c>
    </row>
    <row r="1409" spans="6:8">
      <c r="H1409" t="s">
        <v>20096</v>
      </c>
    </row>
    <row r="1410" spans="6:8">
      <c r="H1410" t="s">
        <v>20097</v>
      </c>
    </row>
    <row r="1411" spans="6:8">
      <c r="H1411" t="s">
        <v>20098</v>
      </c>
    </row>
    <row r="1412" spans="6:8">
      <c r="F1412" t="s">
        <v>11046</v>
      </c>
      <c r="G1412" t="s">
        <v>15437</v>
      </c>
      <c r="H1412" t="s">
        <v>20091</v>
      </c>
    </row>
    <row r="1413" spans="6:8">
      <c r="H1413" t="s">
        <v>19712</v>
      </c>
    </row>
    <row r="1414" spans="6:8">
      <c r="H1414" t="s">
        <v>19709</v>
      </c>
    </row>
    <row r="1415" spans="6:8">
      <c r="H1415" t="s">
        <v>19706</v>
      </c>
    </row>
    <row r="1416" spans="6:8">
      <c r="H1416" t="s">
        <v>20092</v>
      </c>
    </row>
    <row r="1417" spans="6:8">
      <c r="H1417" t="s">
        <v>20093</v>
      </c>
    </row>
    <row r="1418" spans="6:8">
      <c r="H1418" t="s">
        <v>20094</v>
      </c>
    </row>
    <row r="1419" spans="6:8">
      <c r="H1419" t="s">
        <v>20103</v>
      </c>
    </row>
    <row r="1420" spans="6:8">
      <c r="H1420" t="s">
        <v>20116</v>
      </c>
    </row>
    <row r="1421" spans="6:8">
      <c r="H1421" t="s">
        <v>20117</v>
      </c>
    </row>
    <row r="1422" spans="6:8">
      <c r="H1422" t="s">
        <v>20118</v>
      </c>
    </row>
    <row r="1423" spans="6:8">
      <c r="H1423" t="s">
        <v>20119</v>
      </c>
    </row>
    <row r="1424" spans="6:8">
      <c r="H1424" t="s">
        <v>19176</v>
      </c>
    </row>
    <row r="1425" spans="6:8">
      <c r="H1425" t="s">
        <v>20095</v>
      </c>
    </row>
    <row r="1426" spans="6:8">
      <c r="H1426" t="s">
        <v>20096</v>
      </c>
    </row>
    <row r="1427" spans="6:8">
      <c r="H1427" t="s">
        <v>20097</v>
      </c>
    </row>
    <row r="1428" spans="6:8">
      <c r="H1428" t="s">
        <v>20098</v>
      </c>
    </row>
    <row r="1429" spans="6:8">
      <c r="F1429" t="s">
        <v>11047</v>
      </c>
      <c r="G1429" t="s">
        <v>15438</v>
      </c>
      <c r="H1429" t="s">
        <v>20091</v>
      </c>
    </row>
    <row r="1430" spans="6:8">
      <c r="H1430" t="s">
        <v>19712</v>
      </c>
    </row>
    <row r="1431" spans="6:8">
      <c r="H1431" t="s">
        <v>19709</v>
      </c>
    </row>
    <row r="1432" spans="6:8">
      <c r="H1432" t="s">
        <v>20092</v>
      </c>
    </row>
    <row r="1433" spans="6:8">
      <c r="H1433" t="s">
        <v>20093</v>
      </c>
    </row>
    <row r="1434" spans="6:8">
      <c r="H1434" t="s">
        <v>20094</v>
      </c>
    </row>
    <row r="1435" spans="6:8">
      <c r="H1435" t="s">
        <v>20103</v>
      </c>
    </row>
    <row r="1436" spans="6:8">
      <c r="H1436" t="s">
        <v>20116</v>
      </c>
    </row>
    <row r="1437" spans="6:8">
      <c r="H1437" t="s">
        <v>20117</v>
      </c>
    </row>
    <row r="1438" spans="6:8">
      <c r="H1438" t="s">
        <v>20118</v>
      </c>
    </row>
    <row r="1439" spans="6:8">
      <c r="H1439" t="s">
        <v>20095</v>
      </c>
    </row>
    <row r="1440" spans="6:8">
      <c r="H1440" t="s">
        <v>20096</v>
      </c>
    </row>
    <row r="1441" spans="6:8">
      <c r="H1441" t="s">
        <v>20097</v>
      </c>
    </row>
    <row r="1442" spans="6:8">
      <c r="F1442" t="s">
        <v>11048</v>
      </c>
      <c r="G1442" t="s">
        <v>15439</v>
      </c>
      <c r="H1442" t="s">
        <v>20091</v>
      </c>
    </row>
    <row r="1443" spans="6:8">
      <c r="H1443" t="s">
        <v>19712</v>
      </c>
    </row>
    <row r="1444" spans="6:8">
      <c r="H1444" t="s">
        <v>19709</v>
      </c>
    </row>
    <row r="1445" spans="6:8">
      <c r="H1445" t="s">
        <v>20095</v>
      </c>
    </row>
    <row r="1446" spans="6:8">
      <c r="H1446" t="s">
        <v>20096</v>
      </c>
    </row>
    <row r="1447" spans="6:8">
      <c r="H1447" t="s">
        <v>20097</v>
      </c>
    </row>
    <row r="1448" spans="6:8">
      <c r="F1448" t="s">
        <v>11049</v>
      </c>
      <c r="G1448" t="s">
        <v>15440</v>
      </c>
      <c r="H1448" t="s">
        <v>20091</v>
      </c>
    </row>
    <row r="1449" spans="6:8">
      <c r="H1449" t="s">
        <v>19712</v>
      </c>
    </row>
    <row r="1450" spans="6:8">
      <c r="H1450" t="s">
        <v>19709</v>
      </c>
    </row>
    <row r="1451" spans="6:8">
      <c r="H1451" t="s">
        <v>19706</v>
      </c>
    </row>
    <row r="1452" spans="6:8">
      <c r="H1452" t="s">
        <v>19707</v>
      </c>
    </row>
    <row r="1453" spans="6:8">
      <c r="H1453" t="s">
        <v>19711</v>
      </c>
    </row>
    <row r="1454" spans="6:8">
      <c r="H1454" t="s">
        <v>20107</v>
      </c>
    </row>
    <row r="1455" spans="6:8">
      <c r="H1455" t="s">
        <v>20108</v>
      </c>
    </row>
    <row r="1456" spans="6:8">
      <c r="H1456" t="s">
        <v>19713</v>
      </c>
    </row>
    <row r="1457" spans="6:8">
      <c r="H1457" t="s">
        <v>19714</v>
      </c>
    </row>
    <row r="1458" spans="6:8">
      <c r="H1458" t="s">
        <v>20109</v>
      </c>
    </row>
    <row r="1459" spans="6:8">
      <c r="H1459" t="s">
        <v>20110</v>
      </c>
    </row>
    <row r="1460" spans="6:8">
      <c r="H1460" t="s">
        <v>20111</v>
      </c>
    </row>
    <row r="1461" spans="6:8">
      <c r="H1461" t="s">
        <v>20095</v>
      </c>
    </row>
    <row r="1462" spans="6:8">
      <c r="H1462" t="s">
        <v>20096</v>
      </c>
    </row>
    <row r="1463" spans="6:8">
      <c r="H1463" t="s">
        <v>20097</v>
      </c>
    </row>
    <row r="1464" spans="6:8">
      <c r="H1464" t="s">
        <v>20098</v>
      </c>
    </row>
    <row r="1465" spans="6:8">
      <c r="F1465" t="s">
        <v>11050</v>
      </c>
      <c r="G1465" t="s">
        <v>15441</v>
      </c>
      <c r="H1465" t="s">
        <v>20091</v>
      </c>
    </row>
    <row r="1466" spans="6:8">
      <c r="H1466" t="s">
        <v>19712</v>
      </c>
    </row>
    <row r="1467" spans="6:8">
      <c r="H1467" t="s">
        <v>19709</v>
      </c>
    </row>
    <row r="1468" spans="6:8">
      <c r="H1468" t="s">
        <v>19706</v>
      </c>
    </row>
    <row r="1469" spans="6:8">
      <c r="H1469" t="s">
        <v>20107</v>
      </c>
    </row>
    <row r="1470" spans="6:8">
      <c r="H1470" t="s">
        <v>20108</v>
      </c>
    </row>
    <row r="1471" spans="6:8">
      <c r="H1471" t="s">
        <v>19713</v>
      </c>
    </row>
    <row r="1472" spans="6:8">
      <c r="H1472" t="s">
        <v>19714</v>
      </c>
    </row>
    <row r="1473" spans="6:8">
      <c r="H1473" t="s">
        <v>20095</v>
      </c>
    </row>
    <row r="1474" spans="6:8">
      <c r="H1474" t="s">
        <v>20096</v>
      </c>
    </row>
    <row r="1475" spans="6:8">
      <c r="H1475" t="s">
        <v>20097</v>
      </c>
    </row>
    <row r="1476" spans="6:8">
      <c r="H1476" t="s">
        <v>20098</v>
      </c>
    </row>
    <row r="1477" spans="6:8">
      <c r="F1477" t="s">
        <v>11051</v>
      </c>
      <c r="G1477" t="s">
        <v>15442</v>
      </c>
      <c r="H1477" t="s">
        <v>20091</v>
      </c>
    </row>
    <row r="1478" spans="6:8">
      <c r="H1478" t="s">
        <v>19712</v>
      </c>
    </row>
    <row r="1479" spans="6:8">
      <c r="H1479" t="s">
        <v>19709</v>
      </c>
    </row>
    <row r="1480" spans="6:8">
      <c r="H1480" t="s">
        <v>20107</v>
      </c>
    </row>
    <row r="1481" spans="6:8">
      <c r="H1481" t="s">
        <v>20108</v>
      </c>
    </row>
    <row r="1482" spans="6:8">
      <c r="H1482" t="s">
        <v>19713</v>
      </c>
    </row>
    <row r="1483" spans="6:8">
      <c r="H1483" t="s">
        <v>20095</v>
      </c>
    </row>
    <row r="1484" spans="6:8">
      <c r="H1484" t="s">
        <v>20096</v>
      </c>
    </row>
    <row r="1485" spans="6:8">
      <c r="H1485" t="s">
        <v>20097</v>
      </c>
    </row>
    <row r="1486" spans="6:8">
      <c r="H1486" t="s">
        <v>20098</v>
      </c>
    </row>
    <row r="1487" spans="6:8">
      <c r="H1487" t="s">
        <v>20099</v>
      </c>
    </row>
    <row r="1488" spans="6:8">
      <c r="F1488" t="s">
        <v>11052</v>
      </c>
      <c r="G1488" t="s">
        <v>15443</v>
      </c>
      <c r="H1488" t="s">
        <v>20091</v>
      </c>
    </row>
    <row r="1489" spans="6:8">
      <c r="H1489" t="s">
        <v>19712</v>
      </c>
    </row>
    <row r="1490" spans="6:8">
      <c r="H1490" t="s">
        <v>19709</v>
      </c>
    </row>
    <row r="1491" spans="6:8">
      <c r="H1491" t="s">
        <v>19706</v>
      </c>
    </row>
    <row r="1492" spans="6:8">
      <c r="H1492" t="s">
        <v>20107</v>
      </c>
    </row>
    <row r="1493" spans="6:8">
      <c r="H1493" t="s">
        <v>20108</v>
      </c>
    </row>
    <row r="1494" spans="6:8">
      <c r="H1494" t="s">
        <v>19713</v>
      </c>
    </row>
    <row r="1495" spans="6:8">
      <c r="H1495" t="s">
        <v>20095</v>
      </c>
    </row>
    <row r="1496" spans="6:8">
      <c r="H1496" t="s">
        <v>20096</v>
      </c>
    </row>
    <row r="1497" spans="6:8">
      <c r="H1497" t="s">
        <v>20097</v>
      </c>
    </row>
    <row r="1498" spans="6:8">
      <c r="H1498" t="s">
        <v>20098</v>
      </c>
    </row>
    <row r="1499" spans="6:8">
      <c r="F1499" t="s">
        <v>11053</v>
      </c>
      <c r="G1499" t="s">
        <v>15444</v>
      </c>
      <c r="H1499" t="s">
        <v>20091</v>
      </c>
    </row>
    <row r="1500" spans="6:8">
      <c r="H1500" t="s">
        <v>19712</v>
      </c>
    </row>
    <row r="1501" spans="6:8">
      <c r="H1501" t="s">
        <v>19709</v>
      </c>
    </row>
    <row r="1502" spans="6:8">
      <c r="H1502" t="s">
        <v>20107</v>
      </c>
    </row>
    <row r="1503" spans="6:8">
      <c r="H1503" t="s">
        <v>20108</v>
      </c>
    </row>
    <row r="1504" spans="6:8">
      <c r="H1504" t="s">
        <v>19713</v>
      </c>
    </row>
    <row r="1505" spans="6:8">
      <c r="H1505" t="s">
        <v>20095</v>
      </c>
    </row>
    <row r="1506" spans="6:8">
      <c r="H1506" t="s">
        <v>20096</v>
      </c>
    </row>
    <row r="1507" spans="6:8">
      <c r="H1507" t="s">
        <v>20097</v>
      </c>
    </row>
    <row r="1508" spans="6:8">
      <c r="H1508" t="s">
        <v>20098</v>
      </c>
    </row>
    <row r="1509" spans="6:8">
      <c r="H1509" t="s">
        <v>20099</v>
      </c>
    </row>
    <row r="1510" spans="6:8">
      <c r="F1510" t="s">
        <v>11054</v>
      </c>
      <c r="G1510" t="s">
        <v>15445</v>
      </c>
      <c r="H1510" t="s">
        <v>20091</v>
      </c>
    </row>
    <row r="1511" spans="6:8">
      <c r="H1511" t="s">
        <v>19712</v>
      </c>
    </row>
    <row r="1512" spans="6:8">
      <c r="H1512" t="s">
        <v>19709</v>
      </c>
    </row>
    <row r="1513" spans="6:8">
      <c r="H1513" t="s">
        <v>19706</v>
      </c>
    </row>
    <row r="1514" spans="6:8">
      <c r="H1514" t="s">
        <v>19707</v>
      </c>
    </row>
    <row r="1515" spans="6:8">
      <c r="H1515" t="s">
        <v>19711</v>
      </c>
    </row>
    <row r="1516" spans="6:8">
      <c r="H1516" t="s">
        <v>19708</v>
      </c>
    </row>
    <row r="1517" spans="6:8">
      <c r="H1517" t="s">
        <v>20107</v>
      </c>
    </row>
    <row r="1518" spans="6:8">
      <c r="H1518" t="s">
        <v>20108</v>
      </c>
    </row>
    <row r="1519" spans="6:8">
      <c r="H1519" t="s">
        <v>19713</v>
      </c>
    </row>
    <row r="1520" spans="6:8">
      <c r="H1520" t="s">
        <v>20095</v>
      </c>
    </row>
    <row r="1521" spans="6:8">
      <c r="H1521" t="s">
        <v>20096</v>
      </c>
    </row>
    <row r="1522" spans="6:8">
      <c r="H1522" t="s">
        <v>20097</v>
      </c>
    </row>
    <row r="1523" spans="6:8">
      <c r="H1523" t="s">
        <v>20098</v>
      </c>
    </row>
    <row r="1524" spans="6:8">
      <c r="F1524" t="s">
        <v>11055</v>
      </c>
      <c r="G1524" t="s">
        <v>15446</v>
      </c>
      <c r="H1524" t="s">
        <v>20091</v>
      </c>
    </row>
    <row r="1525" spans="6:8">
      <c r="H1525" t="s">
        <v>19712</v>
      </c>
    </row>
    <row r="1526" spans="6:8">
      <c r="H1526" t="s">
        <v>19709</v>
      </c>
    </row>
    <row r="1527" spans="6:8">
      <c r="H1527" t="s">
        <v>19706</v>
      </c>
    </row>
    <row r="1528" spans="6:8">
      <c r="H1528" t="s">
        <v>19707</v>
      </c>
    </row>
    <row r="1529" spans="6:8">
      <c r="H1529" t="s">
        <v>19711</v>
      </c>
    </row>
    <row r="1530" spans="6:8">
      <c r="H1530" t="s">
        <v>20107</v>
      </c>
    </row>
    <row r="1531" spans="6:8">
      <c r="H1531" t="s">
        <v>20108</v>
      </c>
    </row>
    <row r="1532" spans="6:8">
      <c r="H1532" t="s">
        <v>19713</v>
      </c>
    </row>
    <row r="1533" spans="6:8">
      <c r="H1533" t="s">
        <v>19714</v>
      </c>
    </row>
    <row r="1534" spans="6:8">
      <c r="H1534" t="s">
        <v>20109</v>
      </c>
    </row>
    <row r="1535" spans="6:8">
      <c r="H1535" t="s">
        <v>20110</v>
      </c>
    </row>
    <row r="1536" spans="6:8">
      <c r="H1536" t="s">
        <v>20095</v>
      </c>
    </row>
    <row r="1537" spans="6:8">
      <c r="H1537" t="s">
        <v>20096</v>
      </c>
    </row>
    <row r="1538" spans="6:8">
      <c r="H1538" t="s">
        <v>20097</v>
      </c>
    </row>
    <row r="1539" spans="6:8">
      <c r="H1539" t="s">
        <v>20098</v>
      </c>
    </row>
    <row r="1540" spans="6:8">
      <c r="F1540" t="s">
        <v>11056</v>
      </c>
      <c r="G1540" t="s">
        <v>15447</v>
      </c>
      <c r="H1540" t="s">
        <v>20091</v>
      </c>
    </row>
    <row r="1541" spans="6:8">
      <c r="H1541" t="s">
        <v>19712</v>
      </c>
    </row>
    <row r="1542" spans="6:8">
      <c r="H1542" t="s">
        <v>20092</v>
      </c>
    </row>
    <row r="1543" spans="6:8">
      <c r="H1543" t="s">
        <v>20093</v>
      </c>
    </row>
    <row r="1544" spans="6:8">
      <c r="H1544" t="s">
        <v>20094</v>
      </c>
    </row>
    <row r="1545" spans="6:8">
      <c r="H1545" t="s">
        <v>20095</v>
      </c>
    </row>
    <row r="1546" spans="6:8">
      <c r="H1546" t="s">
        <v>20096</v>
      </c>
    </row>
    <row r="1547" spans="6:8">
      <c r="H1547" t="s">
        <v>20097</v>
      </c>
    </row>
    <row r="1548" spans="6:8">
      <c r="H1548" t="s">
        <v>20098</v>
      </c>
    </row>
    <row r="1549" spans="6:8">
      <c r="H1549" t="s">
        <v>20099</v>
      </c>
    </row>
    <row r="1550" spans="6:8">
      <c r="H1550" t="s">
        <v>20100</v>
      </c>
    </row>
    <row r="1551" spans="6:8">
      <c r="H1551" t="s">
        <v>20101</v>
      </c>
    </row>
    <row r="1552" spans="6:8">
      <c r="H1552" t="s">
        <v>20102</v>
      </c>
    </row>
    <row r="1553" spans="6:8">
      <c r="F1553" t="s">
        <v>11057</v>
      </c>
      <c r="G1553" t="s">
        <v>15448</v>
      </c>
      <c r="H1553" t="s">
        <v>20091</v>
      </c>
    </row>
    <row r="1554" spans="6:8">
      <c r="H1554" t="s">
        <v>19712</v>
      </c>
    </row>
    <row r="1555" spans="6:8">
      <c r="H1555" t="s">
        <v>19709</v>
      </c>
    </row>
    <row r="1556" spans="6:8">
      <c r="H1556" t="s">
        <v>20107</v>
      </c>
    </row>
    <row r="1557" spans="6:8">
      <c r="H1557" t="s">
        <v>20108</v>
      </c>
    </row>
    <row r="1558" spans="6:8">
      <c r="H1558" t="s">
        <v>20095</v>
      </c>
    </row>
    <row r="1559" spans="6:8">
      <c r="H1559" t="s">
        <v>20096</v>
      </c>
    </row>
    <row r="1560" spans="6:8">
      <c r="H1560" t="s">
        <v>20097</v>
      </c>
    </row>
    <row r="1561" spans="6:8">
      <c r="H1561" t="s">
        <v>20098</v>
      </c>
    </row>
    <row r="1562" spans="6:8">
      <c r="F1562" t="s">
        <v>11058</v>
      </c>
      <c r="G1562" t="s">
        <v>15449</v>
      </c>
      <c r="H1562" t="s">
        <v>20091</v>
      </c>
    </row>
    <row r="1563" spans="6:8">
      <c r="H1563" t="s">
        <v>19712</v>
      </c>
    </row>
    <row r="1564" spans="6:8">
      <c r="H1564" t="s">
        <v>20092</v>
      </c>
    </row>
    <row r="1565" spans="6:8">
      <c r="H1565" t="s">
        <v>20093</v>
      </c>
    </row>
    <row r="1566" spans="6:8">
      <c r="H1566" t="s">
        <v>20094</v>
      </c>
    </row>
    <row r="1567" spans="6:8">
      <c r="H1567" t="s">
        <v>20095</v>
      </c>
    </row>
    <row r="1568" spans="6:8">
      <c r="H1568" t="s">
        <v>20096</v>
      </c>
    </row>
    <row r="1569" spans="6:8">
      <c r="H1569" t="s">
        <v>20097</v>
      </c>
    </row>
    <row r="1570" spans="6:8">
      <c r="H1570" t="s">
        <v>20098</v>
      </c>
    </row>
    <row r="1571" spans="6:8">
      <c r="H1571" t="s">
        <v>20099</v>
      </c>
    </row>
    <row r="1572" spans="6:8">
      <c r="H1572" t="s">
        <v>20100</v>
      </c>
    </row>
    <row r="1573" spans="6:8">
      <c r="H1573" t="s">
        <v>20101</v>
      </c>
    </row>
    <row r="1574" spans="6:8">
      <c r="H1574" t="s">
        <v>20102</v>
      </c>
    </row>
    <row r="1575" spans="6:8">
      <c r="F1575" t="s">
        <v>11059</v>
      </c>
      <c r="G1575" t="s">
        <v>15450</v>
      </c>
      <c r="H1575" t="s">
        <v>20091</v>
      </c>
    </row>
    <row r="1576" spans="6:8">
      <c r="H1576" t="s">
        <v>20095</v>
      </c>
    </row>
    <row r="1577" spans="6:8">
      <c r="F1577" t="s">
        <v>11060</v>
      </c>
      <c r="G1577" t="s">
        <v>15451</v>
      </c>
      <c r="H1577" t="s">
        <v>20091</v>
      </c>
    </row>
    <row r="1578" spans="6:8">
      <c r="H1578" t="s">
        <v>20095</v>
      </c>
    </row>
    <row r="1579" spans="6:8">
      <c r="F1579" t="s">
        <v>11061</v>
      </c>
      <c r="G1579" t="s">
        <v>15452</v>
      </c>
      <c r="H1579" t="s">
        <v>20091</v>
      </c>
    </row>
    <row r="1580" spans="6:8">
      <c r="H1580" t="s">
        <v>20095</v>
      </c>
    </row>
    <row r="1581" spans="6:8">
      <c r="F1581" t="s">
        <v>11062</v>
      </c>
      <c r="G1581" t="s">
        <v>15453</v>
      </c>
      <c r="H1581" t="s">
        <v>20091</v>
      </c>
    </row>
    <row r="1582" spans="6:8">
      <c r="H1582" t="s">
        <v>20095</v>
      </c>
    </row>
    <row r="1583" spans="6:8">
      <c r="F1583" t="s">
        <v>11063</v>
      </c>
      <c r="G1583" t="s">
        <v>15454</v>
      </c>
      <c r="H1583" t="s">
        <v>20091</v>
      </c>
    </row>
    <row r="1584" spans="6:8">
      <c r="H1584" t="s">
        <v>20095</v>
      </c>
    </row>
    <row r="1585" spans="6:8">
      <c r="F1585" t="s">
        <v>11064</v>
      </c>
      <c r="G1585" t="s">
        <v>15455</v>
      </c>
      <c r="H1585" t="s">
        <v>20091</v>
      </c>
    </row>
    <row r="1586" spans="6:8">
      <c r="H1586" t="s">
        <v>20095</v>
      </c>
    </row>
    <row r="1587" spans="6:8">
      <c r="F1587" t="s">
        <v>11065</v>
      </c>
      <c r="G1587" t="s">
        <v>15456</v>
      </c>
      <c r="H1587" t="s">
        <v>20091</v>
      </c>
    </row>
    <row r="1588" spans="6:8">
      <c r="H1588" t="s">
        <v>20095</v>
      </c>
    </row>
    <row r="1589" spans="6:8">
      <c r="F1589" t="s">
        <v>11066</v>
      </c>
      <c r="G1589" t="s">
        <v>15457</v>
      </c>
      <c r="H1589" t="s">
        <v>20091</v>
      </c>
    </row>
    <row r="1590" spans="6:8">
      <c r="H1590" t="s">
        <v>19712</v>
      </c>
    </row>
    <row r="1591" spans="6:8">
      <c r="H1591" t="s">
        <v>19709</v>
      </c>
    </row>
    <row r="1592" spans="6:8">
      <c r="H1592" t="s">
        <v>19706</v>
      </c>
    </row>
    <row r="1593" spans="6:8">
      <c r="H1593" t="s">
        <v>19707</v>
      </c>
    </row>
    <row r="1594" spans="6:8">
      <c r="H1594" t="s">
        <v>19711</v>
      </c>
    </row>
    <row r="1595" spans="6:8">
      <c r="H1595" t="s">
        <v>20107</v>
      </c>
    </row>
    <row r="1596" spans="6:8">
      <c r="H1596" t="s">
        <v>20108</v>
      </c>
    </row>
    <row r="1597" spans="6:8">
      <c r="H1597" t="s">
        <v>19713</v>
      </c>
    </row>
    <row r="1598" spans="6:8">
      <c r="H1598" t="s">
        <v>19714</v>
      </c>
    </row>
    <row r="1599" spans="6:8">
      <c r="H1599" t="s">
        <v>20109</v>
      </c>
    </row>
    <row r="1600" spans="6:8">
      <c r="H1600" t="s">
        <v>20110</v>
      </c>
    </row>
    <row r="1601" spans="6:8">
      <c r="H1601" t="s">
        <v>20092</v>
      </c>
    </row>
    <row r="1602" spans="6:8">
      <c r="H1602" t="s">
        <v>20095</v>
      </c>
    </row>
    <row r="1603" spans="6:8">
      <c r="H1603" t="s">
        <v>20096</v>
      </c>
    </row>
    <row r="1604" spans="6:8">
      <c r="H1604" t="s">
        <v>20097</v>
      </c>
    </row>
    <row r="1605" spans="6:8">
      <c r="H1605" t="s">
        <v>20098</v>
      </c>
    </row>
    <row r="1606" spans="6:8">
      <c r="F1606" t="s">
        <v>11067</v>
      </c>
      <c r="G1606" t="s">
        <v>15458</v>
      </c>
      <c r="H1606" t="s">
        <v>20091</v>
      </c>
    </row>
    <row r="1607" spans="6:8">
      <c r="H1607" t="s">
        <v>19712</v>
      </c>
    </row>
    <row r="1608" spans="6:8">
      <c r="H1608" t="s">
        <v>20107</v>
      </c>
    </row>
    <row r="1609" spans="6:8">
      <c r="H1609" t="s">
        <v>20095</v>
      </c>
    </row>
    <row r="1610" spans="6:8">
      <c r="H1610" t="s">
        <v>20096</v>
      </c>
    </row>
    <row r="1611" spans="6:8">
      <c r="H1611" t="s">
        <v>20097</v>
      </c>
    </row>
    <row r="1612" spans="6:8">
      <c r="H1612" t="s">
        <v>20098</v>
      </c>
    </row>
    <row r="1613" spans="6:8">
      <c r="H1613" t="s">
        <v>20099</v>
      </c>
    </row>
    <row r="1614" spans="6:8">
      <c r="F1614" t="s">
        <v>11068</v>
      </c>
      <c r="G1614" t="s">
        <v>15459</v>
      </c>
      <c r="H1614" t="s">
        <v>20091</v>
      </c>
    </row>
    <row r="1615" spans="6:8">
      <c r="H1615" t="s">
        <v>19712</v>
      </c>
    </row>
    <row r="1616" spans="6:8">
      <c r="H1616" t="s">
        <v>20107</v>
      </c>
    </row>
    <row r="1617" spans="6:8">
      <c r="H1617" t="s">
        <v>20095</v>
      </c>
    </row>
    <row r="1618" spans="6:8">
      <c r="H1618" t="s">
        <v>20096</v>
      </c>
    </row>
    <row r="1619" spans="6:8">
      <c r="H1619" t="s">
        <v>20097</v>
      </c>
    </row>
    <row r="1620" spans="6:8">
      <c r="H1620" t="s">
        <v>20098</v>
      </c>
    </row>
    <row r="1621" spans="6:8">
      <c r="H1621" t="s">
        <v>20099</v>
      </c>
    </row>
    <row r="1622" spans="6:8">
      <c r="F1622" t="s">
        <v>11069</v>
      </c>
      <c r="G1622" t="s">
        <v>15460</v>
      </c>
      <c r="H1622" t="s">
        <v>20091</v>
      </c>
    </row>
    <row r="1623" spans="6:8">
      <c r="H1623" t="s">
        <v>19712</v>
      </c>
    </row>
    <row r="1624" spans="6:8">
      <c r="H1624" t="s">
        <v>19709</v>
      </c>
    </row>
    <row r="1625" spans="6:8">
      <c r="H1625" t="s">
        <v>19706</v>
      </c>
    </row>
    <row r="1626" spans="6:8">
      <c r="H1626" t="s">
        <v>20107</v>
      </c>
    </row>
    <row r="1627" spans="6:8">
      <c r="H1627" t="s">
        <v>20108</v>
      </c>
    </row>
    <row r="1628" spans="6:8">
      <c r="H1628" t="s">
        <v>19713</v>
      </c>
    </row>
    <row r="1629" spans="6:8">
      <c r="H1629" t="s">
        <v>19714</v>
      </c>
    </row>
    <row r="1630" spans="6:8">
      <c r="H1630" t="s">
        <v>20095</v>
      </c>
    </row>
    <row r="1631" spans="6:8">
      <c r="H1631" t="s">
        <v>20096</v>
      </c>
    </row>
    <row r="1632" spans="6:8">
      <c r="H1632" t="s">
        <v>20097</v>
      </c>
    </row>
    <row r="1633" spans="6:8">
      <c r="H1633" t="s">
        <v>20098</v>
      </c>
    </row>
    <row r="1634" spans="6:8">
      <c r="H1634" t="s">
        <v>20099</v>
      </c>
    </row>
    <row r="1635" spans="6:8">
      <c r="H1635" t="s">
        <v>20100</v>
      </c>
    </row>
    <row r="1636" spans="6:8">
      <c r="F1636" t="s">
        <v>11070</v>
      </c>
      <c r="G1636" t="s">
        <v>15461</v>
      </c>
      <c r="H1636" t="s">
        <v>20091</v>
      </c>
    </row>
    <row r="1637" spans="6:8">
      <c r="H1637" t="s">
        <v>19712</v>
      </c>
    </row>
    <row r="1638" spans="6:8">
      <c r="H1638" t="s">
        <v>19709</v>
      </c>
    </row>
    <row r="1639" spans="6:8">
      <c r="H1639" t="s">
        <v>19706</v>
      </c>
    </row>
    <row r="1640" spans="6:8">
      <c r="H1640" t="s">
        <v>19707</v>
      </c>
    </row>
    <row r="1641" spans="6:8">
      <c r="H1641" t="s">
        <v>19711</v>
      </c>
    </row>
    <row r="1642" spans="6:8">
      <c r="H1642" t="s">
        <v>20107</v>
      </c>
    </row>
    <row r="1643" spans="6:8">
      <c r="H1643" t="s">
        <v>20108</v>
      </c>
    </row>
    <row r="1644" spans="6:8">
      <c r="H1644" t="s">
        <v>19713</v>
      </c>
    </row>
    <row r="1645" spans="6:8">
      <c r="H1645" t="s">
        <v>19714</v>
      </c>
    </row>
    <row r="1646" spans="6:8">
      <c r="H1646" t="s">
        <v>20109</v>
      </c>
    </row>
    <row r="1647" spans="6:8">
      <c r="H1647" t="s">
        <v>20095</v>
      </c>
    </row>
    <row r="1648" spans="6:8">
      <c r="H1648" t="s">
        <v>20096</v>
      </c>
    </row>
    <row r="1649" spans="6:8">
      <c r="H1649" t="s">
        <v>20097</v>
      </c>
    </row>
    <row r="1650" spans="6:8">
      <c r="H1650" t="s">
        <v>20098</v>
      </c>
    </row>
    <row r="1651" spans="6:8">
      <c r="H1651" t="s">
        <v>20099</v>
      </c>
    </row>
    <row r="1652" spans="6:8">
      <c r="H1652" t="s">
        <v>20100</v>
      </c>
    </row>
    <row r="1653" spans="6:8">
      <c r="F1653" t="s">
        <v>11071</v>
      </c>
      <c r="G1653" t="s">
        <v>15462</v>
      </c>
      <c r="H1653" t="s">
        <v>20091</v>
      </c>
    </row>
    <row r="1654" spans="6:8">
      <c r="H1654" t="s">
        <v>19712</v>
      </c>
    </row>
    <row r="1655" spans="6:8">
      <c r="H1655" t="s">
        <v>19709</v>
      </c>
    </row>
    <row r="1656" spans="6:8">
      <c r="H1656" t="s">
        <v>19706</v>
      </c>
    </row>
    <row r="1657" spans="6:8">
      <c r="H1657" t="s">
        <v>19707</v>
      </c>
    </row>
    <row r="1658" spans="6:8">
      <c r="H1658" t="s">
        <v>19711</v>
      </c>
    </row>
    <row r="1659" spans="6:8">
      <c r="H1659" t="s">
        <v>20107</v>
      </c>
    </row>
    <row r="1660" spans="6:8">
      <c r="H1660" t="s">
        <v>20108</v>
      </c>
    </row>
    <row r="1661" spans="6:8">
      <c r="H1661" t="s">
        <v>19713</v>
      </c>
    </row>
    <row r="1662" spans="6:8">
      <c r="H1662" t="s">
        <v>19714</v>
      </c>
    </row>
    <row r="1663" spans="6:8">
      <c r="H1663" t="s">
        <v>20109</v>
      </c>
    </row>
    <row r="1664" spans="6:8">
      <c r="H1664" t="s">
        <v>20095</v>
      </c>
    </row>
    <row r="1665" spans="6:8">
      <c r="H1665" t="s">
        <v>20096</v>
      </c>
    </row>
    <row r="1666" spans="6:8">
      <c r="H1666" t="s">
        <v>20097</v>
      </c>
    </row>
    <row r="1667" spans="6:8">
      <c r="H1667" t="s">
        <v>20098</v>
      </c>
    </row>
    <row r="1668" spans="6:8">
      <c r="H1668" t="s">
        <v>20099</v>
      </c>
    </row>
    <row r="1669" spans="6:8">
      <c r="H1669" t="s">
        <v>20100</v>
      </c>
    </row>
    <row r="1670" spans="6:8">
      <c r="F1670" t="s">
        <v>11072</v>
      </c>
      <c r="G1670" t="s">
        <v>15463</v>
      </c>
      <c r="H1670" t="s">
        <v>20091</v>
      </c>
    </row>
    <row r="1671" spans="6:8">
      <c r="H1671" t="s">
        <v>19712</v>
      </c>
    </row>
    <row r="1672" spans="6:8">
      <c r="H1672" t="s">
        <v>19709</v>
      </c>
    </row>
    <row r="1673" spans="6:8">
      <c r="H1673" t="s">
        <v>19706</v>
      </c>
    </row>
    <row r="1674" spans="6:8">
      <c r="H1674" t="s">
        <v>19707</v>
      </c>
    </row>
    <row r="1675" spans="6:8">
      <c r="H1675" t="s">
        <v>19711</v>
      </c>
    </row>
    <row r="1676" spans="6:8">
      <c r="H1676" t="s">
        <v>20107</v>
      </c>
    </row>
    <row r="1677" spans="6:8">
      <c r="H1677" t="s">
        <v>20108</v>
      </c>
    </row>
    <row r="1678" spans="6:8">
      <c r="H1678" t="s">
        <v>19713</v>
      </c>
    </row>
    <row r="1679" spans="6:8">
      <c r="H1679" t="s">
        <v>19714</v>
      </c>
    </row>
    <row r="1680" spans="6:8">
      <c r="H1680" t="s">
        <v>20109</v>
      </c>
    </row>
    <row r="1681" spans="6:8">
      <c r="H1681" t="s">
        <v>20095</v>
      </c>
    </row>
    <row r="1682" spans="6:8">
      <c r="H1682" t="s">
        <v>20096</v>
      </c>
    </row>
    <row r="1683" spans="6:8">
      <c r="H1683" t="s">
        <v>20097</v>
      </c>
    </row>
    <row r="1684" spans="6:8">
      <c r="H1684" t="s">
        <v>20098</v>
      </c>
    </row>
    <row r="1685" spans="6:8">
      <c r="H1685" t="s">
        <v>20099</v>
      </c>
    </row>
    <row r="1686" spans="6:8">
      <c r="H1686" t="s">
        <v>20100</v>
      </c>
    </row>
    <row r="1687" spans="6:8">
      <c r="F1687" t="s">
        <v>11073</v>
      </c>
      <c r="G1687" t="s">
        <v>15464</v>
      </c>
      <c r="H1687" t="s">
        <v>20091</v>
      </c>
    </row>
    <row r="1688" spans="6:8">
      <c r="H1688" t="s">
        <v>19712</v>
      </c>
    </row>
    <row r="1689" spans="6:8">
      <c r="H1689" t="s">
        <v>19709</v>
      </c>
    </row>
    <row r="1690" spans="6:8">
      <c r="H1690" t="s">
        <v>19706</v>
      </c>
    </row>
    <row r="1691" spans="6:8">
      <c r="H1691" t="s">
        <v>19707</v>
      </c>
    </row>
    <row r="1692" spans="6:8">
      <c r="H1692" t="s">
        <v>19711</v>
      </c>
    </row>
    <row r="1693" spans="6:8">
      <c r="H1693" t="s">
        <v>20107</v>
      </c>
    </row>
    <row r="1694" spans="6:8">
      <c r="H1694" t="s">
        <v>20108</v>
      </c>
    </row>
    <row r="1695" spans="6:8">
      <c r="H1695" t="s">
        <v>19713</v>
      </c>
    </row>
    <row r="1696" spans="6:8">
      <c r="H1696" t="s">
        <v>19714</v>
      </c>
    </row>
    <row r="1697" spans="6:8">
      <c r="H1697" t="s">
        <v>20109</v>
      </c>
    </row>
    <row r="1698" spans="6:8">
      <c r="H1698" t="s">
        <v>20095</v>
      </c>
    </row>
    <row r="1699" spans="6:8">
      <c r="H1699" t="s">
        <v>20096</v>
      </c>
    </row>
    <row r="1700" spans="6:8">
      <c r="H1700" t="s">
        <v>20097</v>
      </c>
    </row>
    <row r="1701" spans="6:8">
      <c r="H1701" t="s">
        <v>20098</v>
      </c>
    </row>
    <row r="1702" spans="6:8">
      <c r="H1702" t="s">
        <v>20099</v>
      </c>
    </row>
    <row r="1703" spans="6:8">
      <c r="H1703" t="s">
        <v>20100</v>
      </c>
    </row>
    <row r="1704" spans="6:8">
      <c r="F1704" t="s">
        <v>11074</v>
      </c>
      <c r="G1704" t="s">
        <v>15465</v>
      </c>
      <c r="H1704" t="s">
        <v>20091</v>
      </c>
    </row>
    <row r="1705" spans="6:8">
      <c r="H1705" t="s">
        <v>19712</v>
      </c>
    </row>
    <row r="1706" spans="6:8">
      <c r="H1706" t="s">
        <v>19709</v>
      </c>
    </row>
    <row r="1707" spans="6:8">
      <c r="H1707" t="s">
        <v>19706</v>
      </c>
    </row>
    <row r="1708" spans="6:8">
      <c r="H1708" t="s">
        <v>20107</v>
      </c>
    </row>
    <row r="1709" spans="6:8">
      <c r="H1709" t="s">
        <v>20108</v>
      </c>
    </row>
    <row r="1710" spans="6:8">
      <c r="H1710" t="s">
        <v>19713</v>
      </c>
    </row>
    <row r="1711" spans="6:8">
      <c r="H1711" t="s">
        <v>19714</v>
      </c>
    </row>
    <row r="1712" spans="6:8">
      <c r="H1712" t="s">
        <v>20095</v>
      </c>
    </row>
    <row r="1713" spans="6:8">
      <c r="H1713" t="s">
        <v>20096</v>
      </c>
    </row>
    <row r="1714" spans="6:8">
      <c r="H1714" t="s">
        <v>20097</v>
      </c>
    </row>
    <row r="1715" spans="6:8">
      <c r="H1715" t="s">
        <v>20098</v>
      </c>
    </row>
    <row r="1716" spans="6:8">
      <c r="H1716" t="s">
        <v>20099</v>
      </c>
    </row>
    <row r="1717" spans="6:8">
      <c r="H1717" t="s">
        <v>20100</v>
      </c>
    </row>
    <row r="1718" spans="6:8">
      <c r="F1718" t="s">
        <v>11075</v>
      </c>
      <c r="G1718" t="s">
        <v>15466</v>
      </c>
      <c r="H1718" t="s">
        <v>20091</v>
      </c>
    </row>
    <row r="1719" spans="6:8">
      <c r="H1719" t="s">
        <v>19712</v>
      </c>
    </row>
    <row r="1720" spans="6:8">
      <c r="H1720" t="s">
        <v>19709</v>
      </c>
    </row>
    <row r="1721" spans="6:8">
      <c r="H1721" t="s">
        <v>20107</v>
      </c>
    </row>
    <row r="1722" spans="6:8">
      <c r="H1722" t="s">
        <v>20108</v>
      </c>
    </row>
    <row r="1723" spans="6:8">
      <c r="H1723" t="s">
        <v>20095</v>
      </c>
    </row>
    <row r="1724" spans="6:8">
      <c r="H1724" t="s">
        <v>20096</v>
      </c>
    </row>
    <row r="1725" spans="6:8">
      <c r="H1725" t="s">
        <v>20097</v>
      </c>
    </row>
    <row r="1726" spans="6:8">
      <c r="H1726" t="s">
        <v>20098</v>
      </c>
    </row>
    <row r="1727" spans="6:8">
      <c r="H1727" t="s">
        <v>20099</v>
      </c>
    </row>
    <row r="1728" spans="6:8">
      <c r="H1728" t="s">
        <v>20100</v>
      </c>
    </row>
    <row r="1729" spans="6:8">
      <c r="F1729" t="s">
        <v>11076</v>
      </c>
      <c r="G1729" t="s">
        <v>15467</v>
      </c>
      <c r="H1729" t="s">
        <v>20091</v>
      </c>
    </row>
    <row r="1730" spans="6:8">
      <c r="H1730" t="s">
        <v>19712</v>
      </c>
    </row>
    <row r="1731" spans="6:8">
      <c r="H1731" t="s">
        <v>19709</v>
      </c>
    </row>
    <row r="1732" spans="6:8">
      <c r="H1732" t="s">
        <v>20107</v>
      </c>
    </row>
    <row r="1733" spans="6:8">
      <c r="H1733" t="s">
        <v>20108</v>
      </c>
    </row>
    <row r="1734" spans="6:8">
      <c r="H1734" t="s">
        <v>20095</v>
      </c>
    </row>
    <row r="1735" spans="6:8">
      <c r="H1735" t="s">
        <v>20096</v>
      </c>
    </row>
    <row r="1736" spans="6:8">
      <c r="H1736" t="s">
        <v>20097</v>
      </c>
    </row>
    <row r="1737" spans="6:8">
      <c r="H1737" t="s">
        <v>20098</v>
      </c>
    </row>
    <row r="1738" spans="6:8">
      <c r="H1738" t="s">
        <v>20099</v>
      </c>
    </row>
    <row r="1739" spans="6:8">
      <c r="H1739" t="s">
        <v>20100</v>
      </c>
    </row>
    <row r="1740" spans="6:8">
      <c r="F1740" t="s">
        <v>11077</v>
      </c>
      <c r="G1740" t="s">
        <v>15468</v>
      </c>
      <c r="H1740" t="s">
        <v>20091</v>
      </c>
    </row>
    <row r="1741" spans="6:8">
      <c r="H1741" t="s">
        <v>19712</v>
      </c>
    </row>
    <row r="1742" spans="6:8">
      <c r="H1742" t="s">
        <v>19709</v>
      </c>
    </row>
    <row r="1743" spans="6:8">
      <c r="H1743" t="s">
        <v>20107</v>
      </c>
    </row>
    <row r="1744" spans="6:8">
      <c r="H1744" t="s">
        <v>20108</v>
      </c>
    </row>
    <row r="1745" spans="6:8">
      <c r="H1745" t="s">
        <v>20095</v>
      </c>
    </row>
    <row r="1746" spans="6:8">
      <c r="H1746" t="s">
        <v>20096</v>
      </c>
    </row>
    <row r="1747" spans="6:8">
      <c r="H1747" t="s">
        <v>20097</v>
      </c>
    </row>
    <row r="1748" spans="6:8">
      <c r="H1748" t="s">
        <v>20098</v>
      </c>
    </row>
    <row r="1749" spans="6:8">
      <c r="H1749" t="s">
        <v>20099</v>
      </c>
    </row>
    <row r="1750" spans="6:8">
      <c r="H1750" t="s">
        <v>20100</v>
      </c>
    </row>
    <row r="1751" spans="6:8">
      <c r="F1751" t="s">
        <v>11078</v>
      </c>
      <c r="G1751" t="s">
        <v>15469</v>
      </c>
      <c r="H1751" t="s">
        <v>20091</v>
      </c>
    </row>
    <row r="1752" spans="6:8">
      <c r="H1752" t="s">
        <v>19712</v>
      </c>
    </row>
    <row r="1753" spans="6:8">
      <c r="H1753" t="s">
        <v>19709</v>
      </c>
    </row>
    <row r="1754" spans="6:8">
      <c r="H1754" t="s">
        <v>20107</v>
      </c>
    </row>
    <row r="1755" spans="6:8">
      <c r="H1755" t="s">
        <v>20108</v>
      </c>
    </row>
    <row r="1756" spans="6:8">
      <c r="H1756" t="s">
        <v>20095</v>
      </c>
    </row>
    <row r="1757" spans="6:8">
      <c r="H1757" t="s">
        <v>20096</v>
      </c>
    </row>
    <row r="1758" spans="6:8">
      <c r="H1758" t="s">
        <v>20097</v>
      </c>
    </row>
    <row r="1759" spans="6:8">
      <c r="H1759" t="s">
        <v>20098</v>
      </c>
    </row>
    <row r="1760" spans="6:8">
      <c r="H1760" t="s">
        <v>20099</v>
      </c>
    </row>
    <row r="1761" spans="6:8">
      <c r="H1761" t="s">
        <v>20100</v>
      </c>
    </row>
    <row r="1762" spans="6:8">
      <c r="F1762" t="s">
        <v>11079</v>
      </c>
      <c r="G1762" t="s">
        <v>15470</v>
      </c>
      <c r="H1762" t="s">
        <v>20091</v>
      </c>
    </row>
    <row r="1763" spans="6:8">
      <c r="H1763" t="s">
        <v>19712</v>
      </c>
    </row>
    <row r="1764" spans="6:8">
      <c r="H1764" t="s">
        <v>19709</v>
      </c>
    </row>
    <row r="1765" spans="6:8">
      <c r="H1765" t="s">
        <v>20107</v>
      </c>
    </row>
    <row r="1766" spans="6:8">
      <c r="H1766" t="s">
        <v>20108</v>
      </c>
    </row>
    <row r="1767" spans="6:8">
      <c r="H1767" t="s">
        <v>20095</v>
      </c>
    </row>
    <row r="1768" spans="6:8">
      <c r="H1768" t="s">
        <v>20096</v>
      </c>
    </row>
    <row r="1769" spans="6:8">
      <c r="H1769" t="s">
        <v>20097</v>
      </c>
    </row>
    <row r="1770" spans="6:8">
      <c r="H1770" t="s">
        <v>20098</v>
      </c>
    </row>
    <row r="1771" spans="6:8">
      <c r="H1771" t="s">
        <v>20099</v>
      </c>
    </row>
    <row r="1772" spans="6:8">
      <c r="H1772" t="s">
        <v>20100</v>
      </c>
    </row>
    <row r="1773" spans="6:8">
      <c r="F1773" t="s">
        <v>11080</v>
      </c>
      <c r="G1773" t="s">
        <v>15471</v>
      </c>
      <c r="H1773" t="s">
        <v>20091</v>
      </c>
    </row>
    <row r="1774" spans="6:8">
      <c r="H1774" t="s">
        <v>19712</v>
      </c>
    </row>
    <row r="1775" spans="6:8">
      <c r="H1775" t="s">
        <v>19709</v>
      </c>
    </row>
    <row r="1776" spans="6:8">
      <c r="H1776" t="s">
        <v>20107</v>
      </c>
    </row>
    <row r="1777" spans="6:8">
      <c r="H1777" t="s">
        <v>20108</v>
      </c>
    </row>
    <row r="1778" spans="6:8">
      <c r="H1778" t="s">
        <v>20095</v>
      </c>
    </row>
    <row r="1779" spans="6:8">
      <c r="H1779" t="s">
        <v>20096</v>
      </c>
    </row>
    <row r="1780" spans="6:8">
      <c r="H1780" t="s">
        <v>20097</v>
      </c>
    </row>
    <row r="1781" spans="6:8">
      <c r="H1781" t="s">
        <v>20098</v>
      </c>
    </row>
    <row r="1782" spans="6:8">
      <c r="H1782" t="s">
        <v>20099</v>
      </c>
    </row>
    <row r="1783" spans="6:8">
      <c r="H1783" t="s">
        <v>20100</v>
      </c>
    </row>
    <row r="1784" spans="6:8">
      <c r="F1784" t="s">
        <v>11081</v>
      </c>
      <c r="G1784" t="s">
        <v>15472</v>
      </c>
      <c r="H1784" t="s">
        <v>20091</v>
      </c>
    </row>
    <row r="1785" spans="6:8">
      <c r="H1785" t="s">
        <v>19712</v>
      </c>
    </row>
    <row r="1786" spans="6:8">
      <c r="H1786" t="s">
        <v>20095</v>
      </c>
    </row>
    <row r="1787" spans="6:8">
      <c r="H1787" t="s">
        <v>20096</v>
      </c>
    </row>
    <row r="1788" spans="6:8">
      <c r="H1788" t="s">
        <v>20097</v>
      </c>
    </row>
    <row r="1789" spans="6:8">
      <c r="H1789" t="s">
        <v>20098</v>
      </c>
    </row>
    <row r="1790" spans="6:8">
      <c r="H1790" t="s">
        <v>20099</v>
      </c>
    </row>
    <row r="1791" spans="6:8">
      <c r="F1791" t="s">
        <v>11082</v>
      </c>
      <c r="G1791" t="s">
        <v>15473</v>
      </c>
      <c r="H1791" t="s">
        <v>20091</v>
      </c>
    </row>
    <row r="1792" spans="6:8">
      <c r="H1792" t="s">
        <v>19712</v>
      </c>
    </row>
    <row r="1793" spans="6:8">
      <c r="H1793" t="s">
        <v>20095</v>
      </c>
    </row>
    <row r="1794" spans="6:8">
      <c r="H1794" t="s">
        <v>20096</v>
      </c>
    </row>
    <row r="1795" spans="6:8">
      <c r="H1795" t="s">
        <v>20097</v>
      </c>
    </row>
    <row r="1796" spans="6:8">
      <c r="H1796" t="s">
        <v>20098</v>
      </c>
    </row>
    <row r="1797" spans="6:8">
      <c r="H1797" t="s">
        <v>20099</v>
      </c>
    </row>
    <row r="1798" spans="6:8">
      <c r="F1798" t="s">
        <v>11083</v>
      </c>
      <c r="G1798" t="s">
        <v>15474</v>
      </c>
      <c r="H1798" t="s">
        <v>20091</v>
      </c>
    </row>
    <row r="1799" spans="6:8">
      <c r="H1799" t="s">
        <v>19712</v>
      </c>
    </row>
    <row r="1800" spans="6:8">
      <c r="H1800" t="s">
        <v>19709</v>
      </c>
    </row>
    <row r="1801" spans="6:8">
      <c r="H1801" t="s">
        <v>20107</v>
      </c>
    </row>
    <row r="1802" spans="6:8">
      <c r="H1802" t="s">
        <v>20108</v>
      </c>
    </row>
    <row r="1803" spans="6:8">
      <c r="H1803" t="s">
        <v>19713</v>
      </c>
    </row>
    <row r="1804" spans="6:8">
      <c r="H1804" t="s">
        <v>19714</v>
      </c>
    </row>
    <row r="1805" spans="6:8">
      <c r="H1805" t="s">
        <v>20109</v>
      </c>
    </row>
    <row r="1806" spans="6:8">
      <c r="H1806" t="s">
        <v>20110</v>
      </c>
    </row>
    <row r="1807" spans="6:8">
      <c r="H1807" t="s">
        <v>20111</v>
      </c>
    </row>
    <row r="1808" spans="6:8">
      <c r="H1808" t="s">
        <v>20095</v>
      </c>
    </row>
    <row r="1809" spans="8:8">
      <c r="H1809" t="s">
        <v>20096</v>
      </c>
    </row>
    <row r="1810" spans="8:8">
      <c r="H1810" t="s">
        <v>20097</v>
      </c>
    </row>
    <row r="1811" spans="8:8">
      <c r="H1811" t="s">
        <v>20098</v>
      </c>
    </row>
    <row r="1812" spans="8:8">
      <c r="H1812" t="s">
        <v>19706</v>
      </c>
    </row>
    <row r="1813" spans="8:8">
      <c r="H1813" t="s">
        <v>19707</v>
      </c>
    </row>
    <row r="1814" spans="8:8">
      <c r="H1814" t="s">
        <v>19711</v>
      </c>
    </row>
    <row r="1815" spans="8:8">
      <c r="H1815" t="s">
        <v>20112</v>
      </c>
    </row>
    <row r="1816" spans="8:8">
      <c r="H1816" t="s">
        <v>20113</v>
      </c>
    </row>
    <row r="1817" spans="8:8">
      <c r="H1817" t="s">
        <v>20114</v>
      </c>
    </row>
    <row r="1818" spans="8:8">
      <c r="H1818" t="s">
        <v>20115</v>
      </c>
    </row>
    <row r="1819" spans="8:8">
      <c r="H1819" t="s">
        <v>20120</v>
      </c>
    </row>
    <row r="1820" spans="8:8">
      <c r="H1820" t="s">
        <v>20121</v>
      </c>
    </row>
    <row r="1821" spans="8:8">
      <c r="H1821" t="s">
        <v>20122</v>
      </c>
    </row>
    <row r="1822" spans="8:8">
      <c r="H1822" t="s">
        <v>20099</v>
      </c>
    </row>
    <row r="1823" spans="8:8">
      <c r="H1823" t="s">
        <v>20100</v>
      </c>
    </row>
    <row r="1824" spans="8:8">
      <c r="H1824" t="s">
        <v>20101</v>
      </c>
    </row>
    <row r="1825" spans="6:8">
      <c r="H1825" t="s">
        <v>20102</v>
      </c>
    </row>
    <row r="1826" spans="6:8">
      <c r="F1826" t="s">
        <v>11084</v>
      </c>
      <c r="G1826" t="s">
        <v>15475</v>
      </c>
      <c r="H1826" t="s">
        <v>20091</v>
      </c>
    </row>
    <row r="1827" spans="6:8">
      <c r="H1827" t="s">
        <v>19712</v>
      </c>
    </row>
    <row r="1828" spans="6:8">
      <c r="H1828" t="s">
        <v>20095</v>
      </c>
    </row>
    <row r="1829" spans="6:8">
      <c r="H1829" t="s">
        <v>20096</v>
      </c>
    </row>
    <row r="1830" spans="6:8">
      <c r="H1830" t="s">
        <v>20097</v>
      </c>
    </row>
    <row r="1831" spans="6:8">
      <c r="H1831" t="s">
        <v>20098</v>
      </c>
    </row>
    <row r="1832" spans="6:8">
      <c r="H1832" t="s">
        <v>19709</v>
      </c>
    </row>
    <row r="1833" spans="6:8">
      <c r="H1833" t="s">
        <v>19706</v>
      </c>
    </row>
    <row r="1834" spans="6:8">
      <c r="H1834" t="s">
        <v>20099</v>
      </c>
    </row>
    <row r="1835" spans="6:8">
      <c r="H1835" t="s">
        <v>20100</v>
      </c>
    </row>
    <row r="1836" spans="6:8">
      <c r="H1836" t="s">
        <v>20101</v>
      </c>
    </row>
    <row r="1837" spans="6:8">
      <c r="H1837" t="s">
        <v>20102</v>
      </c>
    </row>
    <row r="1838" spans="6:8">
      <c r="F1838" t="s">
        <v>11085</v>
      </c>
      <c r="G1838" t="s">
        <v>15476</v>
      </c>
      <c r="H1838" t="s">
        <v>20091</v>
      </c>
    </row>
    <row r="1839" spans="6:8">
      <c r="H1839" t="s">
        <v>19712</v>
      </c>
    </row>
    <row r="1840" spans="6:8">
      <c r="H1840" t="s">
        <v>20095</v>
      </c>
    </row>
    <row r="1841" spans="6:8">
      <c r="H1841" t="s">
        <v>20096</v>
      </c>
    </row>
    <row r="1842" spans="6:8">
      <c r="H1842" t="s">
        <v>20097</v>
      </c>
    </row>
    <row r="1843" spans="6:8">
      <c r="H1843" t="s">
        <v>20098</v>
      </c>
    </row>
    <row r="1844" spans="6:8">
      <c r="F1844" t="s">
        <v>11086</v>
      </c>
      <c r="G1844" t="s">
        <v>15477</v>
      </c>
      <c r="H1844" t="s">
        <v>20091</v>
      </c>
    </row>
    <row r="1845" spans="6:8">
      <c r="H1845" t="s">
        <v>19712</v>
      </c>
    </row>
    <row r="1846" spans="6:8">
      <c r="H1846" t="s">
        <v>20095</v>
      </c>
    </row>
    <row r="1847" spans="6:8">
      <c r="H1847" t="s">
        <v>20096</v>
      </c>
    </row>
    <row r="1848" spans="6:8">
      <c r="H1848" t="s">
        <v>20097</v>
      </c>
    </row>
    <row r="1849" spans="6:8">
      <c r="H1849" t="s">
        <v>20098</v>
      </c>
    </row>
    <row r="1850" spans="6:8">
      <c r="F1850" t="s">
        <v>11087</v>
      </c>
      <c r="G1850" t="s">
        <v>15478</v>
      </c>
      <c r="H1850" t="s">
        <v>20091</v>
      </c>
    </row>
    <row r="1851" spans="6:8">
      <c r="H1851" t="s">
        <v>19712</v>
      </c>
    </row>
    <row r="1852" spans="6:8">
      <c r="H1852" t="s">
        <v>20095</v>
      </c>
    </row>
    <row r="1853" spans="6:8">
      <c r="H1853" t="s">
        <v>20096</v>
      </c>
    </row>
    <row r="1854" spans="6:8">
      <c r="H1854" t="s">
        <v>20097</v>
      </c>
    </row>
    <row r="1855" spans="6:8">
      <c r="H1855" t="s">
        <v>20098</v>
      </c>
    </row>
    <row r="1856" spans="6:8">
      <c r="F1856" t="s">
        <v>11088</v>
      </c>
      <c r="G1856" t="s">
        <v>15479</v>
      </c>
      <c r="H1856" t="s">
        <v>20091</v>
      </c>
    </row>
    <row r="1857" spans="6:8">
      <c r="H1857" t="s">
        <v>19712</v>
      </c>
    </row>
    <row r="1858" spans="6:8">
      <c r="H1858" t="s">
        <v>20095</v>
      </c>
    </row>
    <row r="1859" spans="6:8">
      <c r="H1859" t="s">
        <v>20096</v>
      </c>
    </row>
    <row r="1860" spans="6:8">
      <c r="H1860" t="s">
        <v>20097</v>
      </c>
    </row>
    <row r="1861" spans="6:8">
      <c r="H1861" t="s">
        <v>20098</v>
      </c>
    </row>
    <row r="1862" spans="6:8">
      <c r="F1862" t="s">
        <v>11089</v>
      </c>
      <c r="G1862" t="s">
        <v>15480</v>
      </c>
      <c r="H1862" t="s">
        <v>20091</v>
      </c>
    </row>
    <row r="1863" spans="6:8">
      <c r="H1863" t="s">
        <v>19712</v>
      </c>
    </row>
    <row r="1864" spans="6:8">
      <c r="H1864" t="s">
        <v>19709</v>
      </c>
    </row>
    <row r="1865" spans="6:8">
      <c r="H1865" t="s">
        <v>19706</v>
      </c>
    </row>
    <row r="1866" spans="6:8">
      <c r="H1866" t="s">
        <v>20107</v>
      </c>
    </row>
    <row r="1867" spans="6:8">
      <c r="H1867" t="s">
        <v>20108</v>
      </c>
    </row>
    <row r="1868" spans="6:8">
      <c r="H1868" t="s">
        <v>19713</v>
      </c>
    </row>
    <row r="1869" spans="6:8">
      <c r="H1869" t="s">
        <v>19714</v>
      </c>
    </row>
    <row r="1870" spans="6:8">
      <c r="H1870" t="s">
        <v>20109</v>
      </c>
    </row>
    <row r="1871" spans="6:8">
      <c r="H1871" t="s">
        <v>20095</v>
      </c>
    </row>
    <row r="1872" spans="6:8">
      <c r="H1872" t="s">
        <v>20096</v>
      </c>
    </row>
    <row r="1873" spans="6:8">
      <c r="H1873" t="s">
        <v>20097</v>
      </c>
    </row>
    <row r="1874" spans="6:8">
      <c r="H1874" t="s">
        <v>20098</v>
      </c>
    </row>
    <row r="1875" spans="6:8">
      <c r="F1875" t="s">
        <v>11090</v>
      </c>
      <c r="G1875" t="s">
        <v>15481</v>
      </c>
      <c r="H1875" t="s">
        <v>20091</v>
      </c>
    </row>
    <row r="1876" spans="6:8">
      <c r="H1876" t="s">
        <v>19712</v>
      </c>
    </row>
    <row r="1877" spans="6:8">
      <c r="H1877" t="s">
        <v>19709</v>
      </c>
    </row>
    <row r="1878" spans="6:8">
      <c r="H1878" t="s">
        <v>19706</v>
      </c>
    </row>
    <row r="1879" spans="6:8">
      <c r="H1879" t="s">
        <v>19707</v>
      </c>
    </row>
    <row r="1880" spans="6:8">
      <c r="H1880" t="s">
        <v>20107</v>
      </c>
    </row>
    <row r="1881" spans="6:8">
      <c r="H1881" t="s">
        <v>20108</v>
      </c>
    </row>
    <row r="1882" spans="6:8">
      <c r="H1882" t="s">
        <v>20095</v>
      </c>
    </row>
    <row r="1883" spans="6:8">
      <c r="H1883" t="s">
        <v>20096</v>
      </c>
    </row>
    <row r="1884" spans="6:8">
      <c r="H1884" t="s">
        <v>20097</v>
      </c>
    </row>
    <row r="1885" spans="6:8">
      <c r="H1885" t="s">
        <v>20098</v>
      </c>
    </row>
    <row r="1886" spans="6:8">
      <c r="F1886" t="s">
        <v>11091</v>
      </c>
      <c r="G1886" t="s">
        <v>15482</v>
      </c>
      <c r="H1886" t="s">
        <v>20091</v>
      </c>
    </row>
    <row r="1887" spans="6:8">
      <c r="H1887" t="s">
        <v>19712</v>
      </c>
    </row>
    <row r="1888" spans="6:8">
      <c r="H1888" t="s">
        <v>19709</v>
      </c>
    </row>
    <row r="1889" spans="8:8">
      <c r="H1889" t="s">
        <v>20092</v>
      </c>
    </row>
    <row r="1890" spans="8:8">
      <c r="H1890" t="s">
        <v>20093</v>
      </c>
    </row>
    <row r="1891" spans="8:8">
      <c r="H1891" t="s">
        <v>20094</v>
      </c>
    </row>
    <row r="1892" spans="8:8">
      <c r="H1892" t="s">
        <v>20103</v>
      </c>
    </row>
    <row r="1893" spans="8:8">
      <c r="H1893" t="s">
        <v>20116</v>
      </c>
    </row>
    <row r="1894" spans="8:8">
      <c r="H1894" t="s">
        <v>20117</v>
      </c>
    </row>
    <row r="1895" spans="8:8">
      <c r="H1895" t="s">
        <v>20118</v>
      </c>
    </row>
    <row r="1896" spans="8:8">
      <c r="H1896" t="s">
        <v>19176</v>
      </c>
    </row>
    <row r="1897" spans="8:8">
      <c r="H1897" t="s">
        <v>20095</v>
      </c>
    </row>
    <row r="1898" spans="8:8">
      <c r="H1898" t="s">
        <v>20096</v>
      </c>
    </row>
    <row r="1899" spans="8:8">
      <c r="H1899" t="s">
        <v>20099</v>
      </c>
    </row>
    <row r="1900" spans="8:8">
      <c r="H1900" t="s">
        <v>20100</v>
      </c>
    </row>
    <row r="1901" spans="8:8">
      <c r="H1901" t="s">
        <v>20101</v>
      </c>
    </row>
    <row r="1902" spans="8:8">
      <c r="H1902" t="s">
        <v>20102</v>
      </c>
    </row>
    <row r="1903" spans="8:8">
      <c r="H1903" t="s">
        <v>20104</v>
      </c>
    </row>
    <row r="1904" spans="8:8">
      <c r="H1904" t="s">
        <v>20105</v>
      </c>
    </row>
    <row r="1905" spans="6:8">
      <c r="H1905" t="s">
        <v>20123</v>
      </c>
    </row>
    <row r="1906" spans="6:8">
      <c r="H1906" t="s">
        <v>20124</v>
      </c>
    </row>
    <row r="1907" spans="6:8">
      <c r="F1907" t="s">
        <v>11092</v>
      </c>
      <c r="G1907" t="s">
        <v>15483</v>
      </c>
      <c r="H1907" t="s">
        <v>20091</v>
      </c>
    </row>
    <row r="1908" spans="6:8">
      <c r="H1908" t="s">
        <v>19712</v>
      </c>
    </row>
    <row r="1909" spans="6:8">
      <c r="H1909" t="s">
        <v>19709</v>
      </c>
    </row>
    <row r="1910" spans="6:8">
      <c r="H1910" t="s">
        <v>19706</v>
      </c>
    </row>
    <row r="1911" spans="6:8">
      <c r="H1911" t="s">
        <v>19707</v>
      </c>
    </row>
    <row r="1912" spans="6:8">
      <c r="H1912" t="s">
        <v>19711</v>
      </c>
    </row>
    <row r="1913" spans="6:8">
      <c r="H1913" t="s">
        <v>19708</v>
      </c>
    </row>
    <row r="1914" spans="6:8">
      <c r="H1914" t="s">
        <v>19710</v>
      </c>
    </row>
    <row r="1915" spans="6:8">
      <c r="H1915" t="s">
        <v>20092</v>
      </c>
    </row>
    <row r="1916" spans="6:8">
      <c r="H1916" t="s">
        <v>20093</v>
      </c>
    </row>
    <row r="1917" spans="6:8">
      <c r="H1917" t="s">
        <v>20094</v>
      </c>
    </row>
    <row r="1918" spans="6:8">
      <c r="H1918" t="s">
        <v>20103</v>
      </c>
    </row>
    <row r="1919" spans="6:8">
      <c r="H1919" t="s">
        <v>20116</v>
      </c>
    </row>
    <row r="1920" spans="6:8">
      <c r="H1920" t="s">
        <v>20117</v>
      </c>
    </row>
    <row r="1921" spans="6:8">
      <c r="H1921" t="s">
        <v>20118</v>
      </c>
    </row>
    <row r="1922" spans="6:8">
      <c r="H1922" t="s">
        <v>20095</v>
      </c>
    </row>
    <row r="1923" spans="6:8">
      <c r="H1923" t="s">
        <v>20096</v>
      </c>
    </row>
    <row r="1924" spans="6:8">
      <c r="H1924" t="s">
        <v>20097</v>
      </c>
    </row>
    <row r="1925" spans="6:8">
      <c r="H1925" t="s">
        <v>20098</v>
      </c>
    </row>
    <row r="1926" spans="6:8">
      <c r="H1926" t="s">
        <v>20099</v>
      </c>
    </row>
    <row r="1927" spans="6:8">
      <c r="H1927" t="s">
        <v>20100</v>
      </c>
    </row>
    <row r="1928" spans="6:8">
      <c r="H1928" t="s">
        <v>20101</v>
      </c>
    </row>
    <row r="1929" spans="6:8">
      <c r="H1929" t="s">
        <v>20102</v>
      </c>
    </row>
    <row r="1930" spans="6:8">
      <c r="H1930" t="s">
        <v>20104</v>
      </c>
    </row>
    <row r="1931" spans="6:8">
      <c r="H1931" t="s">
        <v>20105</v>
      </c>
    </row>
    <row r="1932" spans="6:8">
      <c r="H1932" t="s">
        <v>20123</v>
      </c>
    </row>
    <row r="1933" spans="6:8">
      <c r="F1933" t="s">
        <v>11094</v>
      </c>
      <c r="G1933" t="s">
        <v>15484</v>
      </c>
      <c r="H1933" t="s">
        <v>20091</v>
      </c>
    </row>
    <row r="1934" spans="6:8">
      <c r="H1934" t="s">
        <v>19712</v>
      </c>
    </row>
    <row r="1935" spans="6:8">
      <c r="H1935" t="s">
        <v>19709</v>
      </c>
    </row>
    <row r="1936" spans="6:8">
      <c r="H1936" t="s">
        <v>19706</v>
      </c>
    </row>
    <row r="1937" spans="8:8">
      <c r="H1937" t="s">
        <v>19707</v>
      </c>
    </row>
    <row r="1938" spans="8:8">
      <c r="H1938" t="s">
        <v>19711</v>
      </c>
    </row>
    <row r="1939" spans="8:8">
      <c r="H1939" t="s">
        <v>20092</v>
      </c>
    </row>
    <row r="1940" spans="8:8">
      <c r="H1940" t="s">
        <v>20093</v>
      </c>
    </row>
    <row r="1941" spans="8:8">
      <c r="H1941" t="s">
        <v>20094</v>
      </c>
    </row>
    <row r="1942" spans="8:8">
      <c r="H1942" t="s">
        <v>20116</v>
      </c>
    </row>
    <row r="1943" spans="8:8">
      <c r="H1943" t="s">
        <v>20117</v>
      </c>
    </row>
    <row r="1944" spans="8:8">
      <c r="H1944" t="s">
        <v>20118</v>
      </c>
    </row>
    <row r="1945" spans="8:8">
      <c r="H1945" t="s">
        <v>19176</v>
      </c>
    </row>
    <row r="1946" spans="8:8">
      <c r="H1946" t="s">
        <v>20119</v>
      </c>
    </row>
    <row r="1947" spans="8:8">
      <c r="H1947" t="s">
        <v>20095</v>
      </c>
    </row>
    <row r="1948" spans="8:8">
      <c r="H1948" t="s">
        <v>20096</v>
      </c>
    </row>
    <row r="1949" spans="8:8">
      <c r="H1949" t="s">
        <v>20097</v>
      </c>
    </row>
    <row r="1950" spans="8:8">
      <c r="H1950" t="s">
        <v>20098</v>
      </c>
    </row>
    <row r="1951" spans="8:8">
      <c r="H1951" t="s">
        <v>20099</v>
      </c>
    </row>
    <row r="1952" spans="8:8">
      <c r="H1952" t="s">
        <v>20100</v>
      </c>
    </row>
    <row r="1953" spans="6:8">
      <c r="F1953" t="s">
        <v>11097</v>
      </c>
      <c r="G1953" t="s">
        <v>15487</v>
      </c>
      <c r="H1953" t="s">
        <v>20091</v>
      </c>
    </row>
    <row r="1954" spans="6:8">
      <c r="H1954" t="s">
        <v>19712</v>
      </c>
    </row>
    <row r="1955" spans="6:8">
      <c r="H1955" t="s">
        <v>19709</v>
      </c>
    </row>
    <row r="1956" spans="6:8">
      <c r="H1956" t="s">
        <v>19706</v>
      </c>
    </row>
    <row r="1957" spans="6:8">
      <c r="H1957" t="s">
        <v>19707</v>
      </c>
    </row>
    <row r="1958" spans="6:8">
      <c r="H1958" t="s">
        <v>19711</v>
      </c>
    </row>
    <row r="1959" spans="6:8">
      <c r="H1959" t="s">
        <v>20092</v>
      </c>
    </row>
    <row r="1960" spans="6:8">
      <c r="H1960" t="s">
        <v>20093</v>
      </c>
    </row>
    <row r="1961" spans="6:8">
      <c r="H1961" t="s">
        <v>20094</v>
      </c>
    </row>
    <row r="1962" spans="6:8">
      <c r="H1962" t="s">
        <v>20103</v>
      </c>
    </row>
    <row r="1963" spans="6:8">
      <c r="H1963" t="s">
        <v>20116</v>
      </c>
    </row>
    <row r="1964" spans="6:8">
      <c r="H1964" t="s">
        <v>20117</v>
      </c>
    </row>
    <row r="1965" spans="6:8">
      <c r="H1965" t="s">
        <v>20118</v>
      </c>
    </row>
    <row r="1966" spans="6:8">
      <c r="H1966" t="s">
        <v>19176</v>
      </c>
    </row>
    <row r="1967" spans="6:8">
      <c r="H1967" t="s">
        <v>20095</v>
      </c>
    </row>
    <row r="1968" spans="6:8">
      <c r="H1968" t="s">
        <v>20096</v>
      </c>
    </row>
    <row r="1969" spans="6:8">
      <c r="H1969" t="s">
        <v>20097</v>
      </c>
    </row>
    <row r="1970" spans="6:8">
      <c r="H1970" t="s">
        <v>20098</v>
      </c>
    </row>
    <row r="1971" spans="6:8">
      <c r="H1971" t="s">
        <v>20099</v>
      </c>
    </row>
    <row r="1972" spans="6:8">
      <c r="H1972" t="s">
        <v>20100</v>
      </c>
    </row>
    <row r="1973" spans="6:8">
      <c r="H1973" t="s">
        <v>20101</v>
      </c>
    </row>
    <row r="1974" spans="6:8">
      <c r="H1974" t="s">
        <v>20102</v>
      </c>
    </row>
    <row r="1975" spans="6:8">
      <c r="H1975" t="s">
        <v>20104</v>
      </c>
    </row>
    <row r="1976" spans="6:8">
      <c r="F1976" t="s">
        <v>11098</v>
      </c>
      <c r="G1976" t="s">
        <v>15488</v>
      </c>
      <c r="H1976" t="s">
        <v>20091</v>
      </c>
    </row>
    <row r="1977" spans="6:8">
      <c r="H1977" t="s">
        <v>19712</v>
      </c>
    </row>
    <row r="1978" spans="6:8">
      <c r="H1978" t="s">
        <v>19709</v>
      </c>
    </row>
    <row r="1979" spans="6:8">
      <c r="H1979" t="s">
        <v>20107</v>
      </c>
    </row>
    <row r="1980" spans="6:8">
      <c r="H1980" t="s">
        <v>20108</v>
      </c>
    </row>
    <row r="1981" spans="6:8">
      <c r="H1981" t="s">
        <v>20095</v>
      </c>
    </row>
    <row r="1982" spans="6:8">
      <c r="H1982" t="s">
        <v>20096</v>
      </c>
    </row>
    <row r="1983" spans="6:8">
      <c r="H1983" t="s">
        <v>20097</v>
      </c>
    </row>
    <row r="1984" spans="6:8">
      <c r="H1984" t="s">
        <v>20098</v>
      </c>
    </row>
    <row r="1985" spans="6:8">
      <c r="F1985" t="s">
        <v>11099</v>
      </c>
      <c r="G1985" t="s">
        <v>15489</v>
      </c>
      <c r="H1985" t="s">
        <v>20091</v>
      </c>
    </row>
    <row r="1986" spans="6:8">
      <c r="H1986" t="s">
        <v>19712</v>
      </c>
    </row>
    <row r="1987" spans="6:8">
      <c r="H1987" t="s">
        <v>19709</v>
      </c>
    </row>
    <row r="1988" spans="6:8">
      <c r="H1988" t="s">
        <v>19706</v>
      </c>
    </row>
    <row r="1989" spans="6:8">
      <c r="H1989" t="s">
        <v>19707</v>
      </c>
    </row>
    <row r="1990" spans="6:8">
      <c r="H1990" t="s">
        <v>19711</v>
      </c>
    </row>
    <row r="1991" spans="6:8">
      <c r="H1991" t="s">
        <v>20107</v>
      </c>
    </row>
    <row r="1992" spans="6:8">
      <c r="H1992" t="s">
        <v>20108</v>
      </c>
    </row>
    <row r="1993" spans="6:8">
      <c r="H1993" t="s">
        <v>19713</v>
      </c>
    </row>
    <row r="1994" spans="6:8">
      <c r="H1994" t="s">
        <v>19714</v>
      </c>
    </row>
    <row r="1995" spans="6:8">
      <c r="H1995" t="s">
        <v>20109</v>
      </c>
    </row>
    <row r="1996" spans="6:8">
      <c r="H1996" t="s">
        <v>20110</v>
      </c>
    </row>
    <row r="1997" spans="6:8">
      <c r="H1997" t="s">
        <v>20092</v>
      </c>
    </row>
    <row r="1998" spans="6:8">
      <c r="H1998" t="s">
        <v>20095</v>
      </c>
    </row>
    <row r="1999" spans="6:8">
      <c r="H1999" t="s">
        <v>20096</v>
      </c>
    </row>
    <row r="2000" spans="6:8">
      <c r="H2000" t="s">
        <v>20097</v>
      </c>
    </row>
    <row r="2001" spans="6:8">
      <c r="H2001" t="s">
        <v>20098</v>
      </c>
    </row>
    <row r="2002" spans="6:8">
      <c r="F2002" t="s">
        <v>11100</v>
      </c>
      <c r="G2002" t="s">
        <v>15490</v>
      </c>
      <c r="H2002" t="s">
        <v>20091</v>
      </c>
    </row>
    <row r="2003" spans="6:8">
      <c r="H2003" t="s">
        <v>19712</v>
      </c>
    </row>
    <row r="2004" spans="6:8">
      <c r="H2004" t="s">
        <v>19709</v>
      </c>
    </row>
    <row r="2005" spans="6:8">
      <c r="H2005" t="s">
        <v>20092</v>
      </c>
    </row>
    <row r="2006" spans="6:8">
      <c r="H2006" t="s">
        <v>20093</v>
      </c>
    </row>
    <row r="2007" spans="6:8">
      <c r="H2007" t="s">
        <v>20095</v>
      </c>
    </row>
    <row r="2008" spans="6:8">
      <c r="H2008" t="s">
        <v>20096</v>
      </c>
    </row>
    <row r="2009" spans="6:8">
      <c r="H2009" t="s">
        <v>20097</v>
      </c>
    </row>
    <row r="2010" spans="6:8">
      <c r="H2010" t="s">
        <v>20098</v>
      </c>
    </row>
    <row r="2011" spans="6:8">
      <c r="H2011" t="s">
        <v>20099</v>
      </c>
    </row>
    <row r="2012" spans="6:8">
      <c r="H2012" t="s">
        <v>20100</v>
      </c>
    </row>
    <row r="2013" spans="6:8">
      <c r="F2013" t="s">
        <v>11101</v>
      </c>
      <c r="G2013" t="s">
        <v>15491</v>
      </c>
      <c r="H2013" t="s">
        <v>20091</v>
      </c>
    </row>
    <row r="2014" spans="6:8">
      <c r="H2014" t="s">
        <v>19712</v>
      </c>
    </row>
    <row r="2015" spans="6:8">
      <c r="H2015" t="s">
        <v>19709</v>
      </c>
    </row>
    <row r="2016" spans="6:8">
      <c r="H2016" t="s">
        <v>19706</v>
      </c>
    </row>
    <row r="2017" spans="6:8">
      <c r="H2017" t="s">
        <v>19707</v>
      </c>
    </row>
    <row r="2018" spans="6:8">
      <c r="H2018" t="s">
        <v>20107</v>
      </c>
    </row>
    <row r="2019" spans="6:8">
      <c r="H2019" t="s">
        <v>20108</v>
      </c>
    </row>
    <row r="2020" spans="6:8">
      <c r="H2020" t="s">
        <v>19713</v>
      </c>
    </row>
    <row r="2021" spans="6:8">
      <c r="H2021" t="s">
        <v>19714</v>
      </c>
    </row>
    <row r="2022" spans="6:8">
      <c r="H2022" t="s">
        <v>20095</v>
      </c>
    </row>
    <row r="2023" spans="6:8">
      <c r="H2023" t="s">
        <v>20096</v>
      </c>
    </row>
    <row r="2024" spans="6:8">
      <c r="H2024" t="s">
        <v>20097</v>
      </c>
    </row>
    <row r="2025" spans="6:8">
      <c r="H2025" t="s">
        <v>20098</v>
      </c>
    </row>
    <row r="2026" spans="6:8">
      <c r="F2026" t="s">
        <v>11102</v>
      </c>
      <c r="G2026" t="s">
        <v>15492</v>
      </c>
      <c r="H2026" t="s">
        <v>20091</v>
      </c>
    </row>
    <row r="2027" spans="6:8">
      <c r="H2027" t="s">
        <v>19712</v>
      </c>
    </row>
    <row r="2028" spans="6:8">
      <c r="H2028" t="s">
        <v>19709</v>
      </c>
    </row>
    <row r="2029" spans="6:8">
      <c r="H2029" t="s">
        <v>19706</v>
      </c>
    </row>
    <row r="2030" spans="6:8">
      <c r="H2030" t="s">
        <v>19707</v>
      </c>
    </row>
    <row r="2031" spans="6:8">
      <c r="H2031" t="s">
        <v>20107</v>
      </c>
    </row>
    <row r="2032" spans="6:8">
      <c r="H2032" t="s">
        <v>20108</v>
      </c>
    </row>
    <row r="2033" spans="6:8">
      <c r="H2033" t="s">
        <v>19713</v>
      </c>
    </row>
    <row r="2034" spans="6:8">
      <c r="H2034" t="s">
        <v>19714</v>
      </c>
    </row>
    <row r="2035" spans="6:8">
      <c r="H2035" t="s">
        <v>20095</v>
      </c>
    </row>
    <row r="2036" spans="6:8">
      <c r="H2036" t="s">
        <v>20096</v>
      </c>
    </row>
    <row r="2037" spans="6:8">
      <c r="H2037" t="s">
        <v>20097</v>
      </c>
    </row>
    <row r="2038" spans="6:8">
      <c r="H2038" t="s">
        <v>20098</v>
      </c>
    </row>
    <row r="2039" spans="6:8">
      <c r="F2039" t="s">
        <v>11103</v>
      </c>
      <c r="G2039" t="s">
        <v>15493</v>
      </c>
      <c r="H2039" t="s">
        <v>20091</v>
      </c>
    </row>
    <row r="2040" spans="6:8">
      <c r="H2040" t="s">
        <v>19712</v>
      </c>
    </row>
    <row r="2041" spans="6:8">
      <c r="H2041" t="s">
        <v>20095</v>
      </c>
    </row>
    <row r="2042" spans="6:8">
      <c r="H2042" t="s">
        <v>20096</v>
      </c>
    </row>
    <row r="2043" spans="6:8">
      <c r="H2043" t="s">
        <v>20097</v>
      </c>
    </row>
    <row r="2044" spans="6:8">
      <c r="H2044" t="s">
        <v>19709</v>
      </c>
    </row>
    <row r="2045" spans="6:8">
      <c r="H2045" t="s">
        <v>19706</v>
      </c>
    </row>
    <row r="2046" spans="6:8">
      <c r="H2046" t="s">
        <v>20098</v>
      </c>
    </row>
    <row r="2047" spans="6:8">
      <c r="H2047" t="s">
        <v>20099</v>
      </c>
    </row>
    <row r="2048" spans="6:8">
      <c r="H2048" t="s">
        <v>20100</v>
      </c>
    </row>
    <row r="2049" spans="6:8">
      <c r="F2049" t="s">
        <v>11104</v>
      </c>
      <c r="G2049" t="s">
        <v>15494</v>
      </c>
      <c r="H2049" t="s">
        <v>20091</v>
      </c>
    </row>
    <row r="2050" spans="6:8">
      <c r="H2050" t="s">
        <v>19712</v>
      </c>
    </row>
    <row r="2051" spans="6:8">
      <c r="H2051" t="s">
        <v>20095</v>
      </c>
    </row>
    <row r="2052" spans="6:8">
      <c r="H2052" t="s">
        <v>20096</v>
      </c>
    </row>
    <row r="2053" spans="6:8">
      <c r="H2053" t="s">
        <v>20097</v>
      </c>
    </row>
    <row r="2054" spans="6:8">
      <c r="F2054" t="s">
        <v>11105</v>
      </c>
      <c r="G2054" t="s">
        <v>15495</v>
      </c>
      <c r="H2054" t="s">
        <v>20091</v>
      </c>
    </row>
    <row r="2055" spans="6:8">
      <c r="H2055" t="s">
        <v>19712</v>
      </c>
    </row>
    <row r="2056" spans="6:8">
      <c r="H2056" t="s">
        <v>20095</v>
      </c>
    </row>
    <row r="2057" spans="6:8">
      <c r="H2057" t="s">
        <v>20096</v>
      </c>
    </row>
    <row r="2058" spans="6:8">
      <c r="H2058" t="s">
        <v>20097</v>
      </c>
    </row>
    <row r="2059" spans="6:8">
      <c r="F2059" t="s">
        <v>11106</v>
      </c>
      <c r="G2059" t="s">
        <v>15496</v>
      </c>
      <c r="H2059" t="s">
        <v>20091</v>
      </c>
    </row>
    <row r="2060" spans="6:8">
      <c r="H2060" t="s">
        <v>19712</v>
      </c>
    </row>
    <row r="2061" spans="6:8">
      <c r="H2061" t="s">
        <v>20095</v>
      </c>
    </row>
    <row r="2062" spans="6:8">
      <c r="H2062" t="s">
        <v>20096</v>
      </c>
    </row>
    <row r="2063" spans="6:8">
      <c r="H2063" t="s">
        <v>20097</v>
      </c>
    </row>
    <row r="2064" spans="6:8">
      <c r="F2064" t="s">
        <v>11107</v>
      </c>
      <c r="G2064" t="s">
        <v>15497</v>
      </c>
      <c r="H2064" t="s">
        <v>20091</v>
      </c>
    </row>
    <row r="2065" spans="6:8">
      <c r="H2065" t="s">
        <v>19712</v>
      </c>
    </row>
    <row r="2066" spans="6:8">
      <c r="H2066" t="s">
        <v>20095</v>
      </c>
    </row>
    <row r="2067" spans="6:8">
      <c r="H2067" t="s">
        <v>20096</v>
      </c>
    </row>
    <row r="2068" spans="6:8">
      <c r="H2068" t="s">
        <v>20097</v>
      </c>
    </row>
    <row r="2069" spans="6:8">
      <c r="F2069" t="s">
        <v>11108</v>
      </c>
      <c r="G2069" t="s">
        <v>15498</v>
      </c>
      <c r="H2069" t="s">
        <v>20091</v>
      </c>
    </row>
    <row r="2070" spans="6:8">
      <c r="H2070" t="s">
        <v>19712</v>
      </c>
    </row>
    <row r="2071" spans="6:8">
      <c r="H2071" t="s">
        <v>19709</v>
      </c>
    </row>
    <row r="2072" spans="6:8">
      <c r="H2072" t="s">
        <v>19706</v>
      </c>
    </row>
    <row r="2073" spans="6:8">
      <c r="H2073" t="s">
        <v>20107</v>
      </c>
    </row>
    <row r="2074" spans="6:8">
      <c r="H2074" t="s">
        <v>20108</v>
      </c>
    </row>
    <row r="2075" spans="6:8">
      <c r="H2075" t="s">
        <v>19713</v>
      </c>
    </row>
    <row r="2076" spans="6:8">
      <c r="H2076" t="s">
        <v>19714</v>
      </c>
    </row>
    <row r="2077" spans="6:8">
      <c r="H2077" t="s">
        <v>20109</v>
      </c>
    </row>
    <row r="2078" spans="6:8">
      <c r="H2078" t="s">
        <v>20110</v>
      </c>
    </row>
    <row r="2079" spans="6:8">
      <c r="H2079" t="s">
        <v>20111</v>
      </c>
    </row>
    <row r="2080" spans="6:8">
      <c r="H2080" t="s">
        <v>20112</v>
      </c>
    </row>
    <row r="2081" spans="6:8">
      <c r="H2081" t="s">
        <v>20113</v>
      </c>
    </row>
    <row r="2082" spans="6:8">
      <c r="H2082" t="s">
        <v>20095</v>
      </c>
    </row>
    <row r="2083" spans="6:8">
      <c r="H2083" t="s">
        <v>20096</v>
      </c>
    </row>
    <row r="2084" spans="6:8">
      <c r="H2084" t="s">
        <v>20097</v>
      </c>
    </row>
    <row r="2085" spans="6:8">
      <c r="H2085" t="s">
        <v>20098</v>
      </c>
    </row>
    <row r="2086" spans="6:8">
      <c r="F2086" t="s">
        <v>11109</v>
      </c>
      <c r="G2086" t="s">
        <v>15499</v>
      </c>
      <c r="H2086" t="s">
        <v>20091</v>
      </c>
    </row>
    <row r="2087" spans="6:8">
      <c r="H2087" t="s">
        <v>19712</v>
      </c>
    </row>
    <row r="2088" spans="6:8">
      <c r="H2088" t="s">
        <v>19709</v>
      </c>
    </row>
    <row r="2089" spans="6:8">
      <c r="H2089" t="s">
        <v>19706</v>
      </c>
    </row>
    <row r="2090" spans="6:8">
      <c r="H2090" t="s">
        <v>19707</v>
      </c>
    </row>
    <row r="2091" spans="6:8">
      <c r="H2091" t="s">
        <v>20107</v>
      </c>
    </row>
    <row r="2092" spans="6:8">
      <c r="H2092" t="s">
        <v>20108</v>
      </c>
    </row>
    <row r="2093" spans="6:8">
      <c r="H2093" t="s">
        <v>19713</v>
      </c>
    </row>
    <row r="2094" spans="6:8">
      <c r="H2094" t="s">
        <v>19714</v>
      </c>
    </row>
    <row r="2095" spans="6:8">
      <c r="H2095" t="s">
        <v>20095</v>
      </c>
    </row>
    <row r="2096" spans="6:8">
      <c r="H2096" t="s">
        <v>20096</v>
      </c>
    </row>
    <row r="2097" spans="6:8">
      <c r="H2097" t="s">
        <v>20097</v>
      </c>
    </row>
    <row r="2098" spans="6:8">
      <c r="H2098" t="s">
        <v>20098</v>
      </c>
    </row>
    <row r="2099" spans="6:8">
      <c r="F2099" t="s">
        <v>11110</v>
      </c>
      <c r="G2099" t="s">
        <v>15500</v>
      </c>
      <c r="H2099" t="s">
        <v>20091</v>
      </c>
    </row>
    <row r="2100" spans="6:8">
      <c r="H2100" t="s">
        <v>19712</v>
      </c>
    </row>
    <row r="2101" spans="6:8">
      <c r="H2101" t="s">
        <v>19709</v>
      </c>
    </row>
    <row r="2102" spans="6:8">
      <c r="H2102" t="s">
        <v>20107</v>
      </c>
    </row>
    <row r="2103" spans="6:8">
      <c r="H2103" t="s">
        <v>20108</v>
      </c>
    </row>
    <row r="2104" spans="6:8">
      <c r="H2104" t="s">
        <v>20095</v>
      </c>
    </row>
    <row r="2105" spans="6:8">
      <c r="H2105" t="s">
        <v>20096</v>
      </c>
    </row>
    <row r="2106" spans="6:8">
      <c r="H2106" t="s">
        <v>20097</v>
      </c>
    </row>
    <row r="2107" spans="6:8">
      <c r="H2107" t="s">
        <v>20098</v>
      </c>
    </row>
    <row r="2108" spans="6:8">
      <c r="F2108" t="s">
        <v>11111</v>
      </c>
      <c r="G2108" t="s">
        <v>15501</v>
      </c>
      <c r="H2108" t="s">
        <v>20091</v>
      </c>
    </row>
    <row r="2109" spans="6:8">
      <c r="H2109" t="s">
        <v>19712</v>
      </c>
    </row>
    <row r="2110" spans="6:8">
      <c r="H2110" t="s">
        <v>20095</v>
      </c>
    </row>
    <row r="2111" spans="6:8">
      <c r="H2111" t="s">
        <v>20096</v>
      </c>
    </row>
    <row r="2112" spans="6:8">
      <c r="H2112" t="s">
        <v>20097</v>
      </c>
    </row>
    <row r="2113" spans="6:8">
      <c r="F2113" t="s">
        <v>11112</v>
      </c>
      <c r="G2113" t="s">
        <v>15502</v>
      </c>
      <c r="H2113" t="s">
        <v>20091</v>
      </c>
    </row>
    <row r="2114" spans="6:8">
      <c r="H2114" t="s">
        <v>19712</v>
      </c>
    </row>
    <row r="2115" spans="6:8">
      <c r="H2115" t="s">
        <v>20095</v>
      </c>
    </row>
    <row r="2116" spans="6:8">
      <c r="H2116" t="s">
        <v>20096</v>
      </c>
    </row>
    <row r="2117" spans="6:8">
      <c r="H2117" t="s">
        <v>20097</v>
      </c>
    </row>
    <row r="2118" spans="6:8">
      <c r="F2118" t="s">
        <v>11113</v>
      </c>
      <c r="G2118" t="s">
        <v>15503</v>
      </c>
      <c r="H2118" t="s">
        <v>20091</v>
      </c>
    </row>
    <row r="2119" spans="6:8">
      <c r="H2119" t="s">
        <v>19712</v>
      </c>
    </row>
    <row r="2120" spans="6:8">
      <c r="H2120" t="s">
        <v>19709</v>
      </c>
    </row>
    <row r="2121" spans="6:8">
      <c r="H2121" t="s">
        <v>20107</v>
      </c>
    </row>
    <row r="2122" spans="6:8">
      <c r="H2122" t="s">
        <v>20108</v>
      </c>
    </row>
    <row r="2123" spans="6:8">
      <c r="H2123" t="s">
        <v>19713</v>
      </c>
    </row>
    <row r="2124" spans="6:8">
      <c r="H2124" t="s">
        <v>20095</v>
      </c>
    </row>
    <row r="2125" spans="6:8">
      <c r="H2125" t="s">
        <v>20096</v>
      </c>
    </row>
    <row r="2126" spans="6:8">
      <c r="H2126" t="s">
        <v>20097</v>
      </c>
    </row>
    <row r="2127" spans="6:8">
      <c r="H2127" t="s">
        <v>20098</v>
      </c>
    </row>
    <row r="2128" spans="6:8">
      <c r="F2128" t="s">
        <v>11114</v>
      </c>
      <c r="G2128" t="s">
        <v>15504</v>
      </c>
      <c r="H2128" t="s">
        <v>20091</v>
      </c>
    </row>
    <row r="2129" spans="6:8">
      <c r="H2129" t="s">
        <v>19712</v>
      </c>
    </row>
    <row r="2130" spans="6:8">
      <c r="H2130" t="s">
        <v>19709</v>
      </c>
    </row>
    <row r="2131" spans="6:8">
      <c r="H2131" t="s">
        <v>20107</v>
      </c>
    </row>
    <row r="2132" spans="6:8">
      <c r="H2132" t="s">
        <v>20108</v>
      </c>
    </row>
    <row r="2133" spans="6:8">
      <c r="H2133" t="s">
        <v>19713</v>
      </c>
    </row>
    <row r="2134" spans="6:8">
      <c r="H2134" t="s">
        <v>20095</v>
      </c>
    </row>
    <row r="2135" spans="6:8">
      <c r="H2135" t="s">
        <v>20096</v>
      </c>
    </row>
    <row r="2136" spans="6:8">
      <c r="H2136" t="s">
        <v>20097</v>
      </c>
    </row>
    <row r="2137" spans="6:8">
      <c r="H2137" t="s">
        <v>20098</v>
      </c>
    </row>
    <row r="2138" spans="6:8">
      <c r="F2138" t="s">
        <v>11115</v>
      </c>
      <c r="G2138" t="s">
        <v>15505</v>
      </c>
      <c r="H2138" t="s">
        <v>20091</v>
      </c>
    </row>
    <row r="2139" spans="6:8">
      <c r="H2139" t="s">
        <v>19712</v>
      </c>
    </row>
    <row r="2140" spans="6:8">
      <c r="H2140" t="s">
        <v>19709</v>
      </c>
    </row>
    <row r="2141" spans="6:8">
      <c r="H2141" t="s">
        <v>19706</v>
      </c>
    </row>
    <row r="2142" spans="6:8">
      <c r="H2142" t="s">
        <v>20107</v>
      </c>
    </row>
    <row r="2143" spans="6:8">
      <c r="H2143" t="s">
        <v>20108</v>
      </c>
    </row>
    <row r="2144" spans="6:8">
      <c r="H2144" t="s">
        <v>19713</v>
      </c>
    </row>
    <row r="2145" spans="6:8">
      <c r="H2145" t="s">
        <v>20095</v>
      </c>
    </row>
    <row r="2146" spans="6:8">
      <c r="H2146" t="s">
        <v>20096</v>
      </c>
    </row>
    <row r="2147" spans="6:8">
      <c r="H2147" t="s">
        <v>20097</v>
      </c>
    </row>
    <row r="2148" spans="6:8">
      <c r="H2148" t="s">
        <v>20098</v>
      </c>
    </row>
    <row r="2149" spans="6:8">
      <c r="F2149" t="s">
        <v>11116</v>
      </c>
      <c r="G2149" t="s">
        <v>15506</v>
      </c>
      <c r="H2149" t="s">
        <v>20091</v>
      </c>
    </row>
    <row r="2150" spans="6:8">
      <c r="H2150" t="s">
        <v>19712</v>
      </c>
    </row>
    <row r="2151" spans="6:8">
      <c r="H2151" t="s">
        <v>19709</v>
      </c>
    </row>
    <row r="2152" spans="6:8">
      <c r="H2152" t="s">
        <v>20107</v>
      </c>
    </row>
    <row r="2153" spans="6:8">
      <c r="H2153" t="s">
        <v>20108</v>
      </c>
    </row>
    <row r="2154" spans="6:8">
      <c r="H2154" t="s">
        <v>19713</v>
      </c>
    </row>
    <row r="2155" spans="6:8">
      <c r="H2155" t="s">
        <v>19714</v>
      </c>
    </row>
    <row r="2156" spans="6:8">
      <c r="H2156" t="s">
        <v>20109</v>
      </c>
    </row>
    <row r="2157" spans="6:8">
      <c r="H2157" t="s">
        <v>20110</v>
      </c>
    </row>
    <row r="2158" spans="6:8">
      <c r="H2158" t="s">
        <v>20111</v>
      </c>
    </row>
    <row r="2159" spans="6:8">
      <c r="H2159" t="s">
        <v>20112</v>
      </c>
    </row>
    <row r="2160" spans="6:8">
      <c r="H2160" t="s">
        <v>20095</v>
      </c>
    </row>
    <row r="2161" spans="6:8">
      <c r="H2161" t="s">
        <v>20096</v>
      </c>
    </row>
    <row r="2162" spans="6:8">
      <c r="H2162" t="s">
        <v>20097</v>
      </c>
    </row>
    <row r="2163" spans="6:8">
      <c r="H2163" t="s">
        <v>20098</v>
      </c>
    </row>
    <row r="2164" spans="6:8">
      <c r="H2164" t="s">
        <v>20099</v>
      </c>
    </row>
    <row r="2165" spans="6:8">
      <c r="F2165" t="s">
        <v>11117</v>
      </c>
      <c r="G2165" t="s">
        <v>15507</v>
      </c>
      <c r="H2165" t="s">
        <v>20091</v>
      </c>
    </row>
    <row r="2166" spans="6:8">
      <c r="H2166" t="s">
        <v>19712</v>
      </c>
    </row>
    <row r="2167" spans="6:8">
      <c r="H2167" t="s">
        <v>20092</v>
      </c>
    </row>
    <row r="2168" spans="6:8">
      <c r="H2168" t="s">
        <v>20093</v>
      </c>
    </row>
    <row r="2169" spans="6:8">
      <c r="H2169" t="s">
        <v>20094</v>
      </c>
    </row>
    <row r="2170" spans="6:8">
      <c r="H2170" t="s">
        <v>20095</v>
      </c>
    </row>
    <row r="2171" spans="6:8">
      <c r="H2171" t="s">
        <v>20096</v>
      </c>
    </row>
    <row r="2172" spans="6:8">
      <c r="H2172" t="s">
        <v>20097</v>
      </c>
    </row>
    <row r="2173" spans="6:8">
      <c r="H2173" t="s">
        <v>20098</v>
      </c>
    </row>
    <row r="2174" spans="6:8">
      <c r="H2174" t="s">
        <v>20099</v>
      </c>
    </row>
    <row r="2175" spans="6:8">
      <c r="H2175" t="s">
        <v>20100</v>
      </c>
    </row>
    <row r="2176" spans="6:8">
      <c r="H2176" t="s">
        <v>20101</v>
      </c>
    </row>
    <row r="2177" spans="6:8">
      <c r="H2177" t="s">
        <v>20102</v>
      </c>
    </row>
    <row r="2178" spans="6:8">
      <c r="H2178" t="s">
        <v>20104</v>
      </c>
    </row>
    <row r="2179" spans="6:8">
      <c r="F2179" t="s">
        <v>11118</v>
      </c>
      <c r="G2179" t="s">
        <v>15508</v>
      </c>
      <c r="H2179" t="s">
        <v>20091</v>
      </c>
    </row>
    <row r="2180" spans="6:8">
      <c r="H2180" t="s">
        <v>19712</v>
      </c>
    </row>
    <row r="2181" spans="6:8">
      <c r="H2181" t="s">
        <v>19709</v>
      </c>
    </row>
    <row r="2182" spans="6:8">
      <c r="H2182" t="s">
        <v>20107</v>
      </c>
    </row>
    <row r="2183" spans="6:8">
      <c r="H2183" t="s">
        <v>20108</v>
      </c>
    </row>
    <row r="2184" spans="6:8">
      <c r="H2184" t="s">
        <v>20095</v>
      </c>
    </row>
    <row r="2185" spans="6:8">
      <c r="H2185" t="s">
        <v>20096</v>
      </c>
    </row>
    <row r="2186" spans="6:8">
      <c r="H2186" t="s">
        <v>20097</v>
      </c>
    </row>
    <row r="2187" spans="6:8">
      <c r="H2187" t="s">
        <v>20098</v>
      </c>
    </row>
    <row r="2188" spans="6:8">
      <c r="F2188" t="s">
        <v>11119</v>
      </c>
      <c r="G2188" t="s">
        <v>15509</v>
      </c>
      <c r="H2188" t="s">
        <v>20091</v>
      </c>
    </row>
    <row r="2189" spans="6:8">
      <c r="H2189" t="s">
        <v>19712</v>
      </c>
    </row>
    <row r="2190" spans="6:8">
      <c r="H2190" t="s">
        <v>20092</v>
      </c>
    </row>
    <row r="2191" spans="6:8">
      <c r="H2191" t="s">
        <v>20093</v>
      </c>
    </row>
    <row r="2192" spans="6:8">
      <c r="H2192" t="s">
        <v>20094</v>
      </c>
    </row>
    <row r="2193" spans="6:8">
      <c r="H2193" t="s">
        <v>20095</v>
      </c>
    </row>
    <row r="2194" spans="6:8">
      <c r="H2194" t="s">
        <v>20096</v>
      </c>
    </row>
    <row r="2195" spans="6:8">
      <c r="H2195" t="s">
        <v>20097</v>
      </c>
    </row>
    <row r="2196" spans="6:8">
      <c r="H2196" t="s">
        <v>20098</v>
      </c>
    </row>
    <row r="2197" spans="6:8">
      <c r="H2197" t="s">
        <v>20099</v>
      </c>
    </row>
    <row r="2198" spans="6:8">
      <c r="H2198" t="s">
        <v>20100</v>
      </c>
    </row>
    <row r="2199" spans="6:8">
      <c r="H2199" t="s">
        <v>20101</v>
      </c>
    </row>
    <row r="2200" spans="6:8">
      <c r="H2200" t="s">
        <v>20102</v>
      </c>
    </row>
    <row r="2201" spans="6:8">
      <c r="F2201" t="s">
        <v>11120</v>
      </c>
      <c r="G2201" t="s">
        <v>15510</v>
      </c>
      <c r="H2201" t="s">
        <v>20091</v>
      </c>
    </row>
    <row r="2202" spans="6:8">
      <c r="H2202" t="s">
        <v>19712</v>
      </c>
    </row>
    <row r="2203" spans="6:8">
      <c r="H2203" t="s">
        <v>19709</v>
      </c>
    </row>
    <row r="2204" spans="6:8">
      <c r="H2204" t="s">
        <v>20107</v>
      </c>
    </row>
    <row r="2205" spans="6:8">
      <c r="H2205" t="s">
        <v>20108</v>
      </c>
    </row>
    <row r="2206" spans="6:8">
      <c r="H2206" t="s">
        <v>19713</v>
      </c>
    </row>
    <row r="2207" spans="6:8">
      <c r="H2207" t="s">
        <v>19714</v>
      </c>
    </row>
    <row r="2208" spans="6:8">
      <c r="H2208" t="s">
        <v>20109</v>
      </c>
    </row>
    <row r="2209" spans="6:8">
      <c r="H2209" t="s">
        <v>20110</v>
      </c>
    </row>
    <row r="2210" spans="6:8">
      <c r="H2210" t="s">
        <v>20095</v>
      </c>
    </row>
    <row r="2211" spans="6:8">
      <c r="H2211" t="s">
        <v>20096</v>
      </c>
    </row>
    <row r="2212" spans="6:8">
      <c r="H2212" t="s">
        <v>20097</v>
      </c>
    </row>
    <row r="2213" spans="6:8">
      <c r="H2213" t="s">
        <v>20098</v>
      </c>
    </row>
    <row r="2214" spans="6:8">
      <c r="H2214" t="s">
        <v>20099</v>
      </c>
    </row>
    <row r="2215" spans="6:8">
      <c r="F2215" t="s">
        <v>11121</v>
      </c>
      <c r="G2215" t="s">
        <v>15511</v>
      </c>
      <c r="H2215" t="s">
        <v>20091</v>
      </c>
    </row>
    <row r="2216" spans="6:8">
      <c r="H2216" t="s">
        <v>20095</v>
      </c>
    </row>
    <row r="2217" spans="6:8">
      <c r="F2217" t="s">
        <v>11122</v>
      </c>
      <c r="G2217" t="s">
        <v>15512</v>
      </c>
      <c r="H2217" t="s">
        <v>20091</v>
      </c>
    </row>
    <row r="2218" spans="6:8">
      <c r="H2218" t="s">
        <v>20095</v>
      </c>
    </row>
    <row r="2219" spans="6:8">
      <c r="F2219" t="s">
        <v>11123</v>
      </c>
      <c r="G2219" t="s">
        <v>15513</v>
      </c>
      <c r="H2219" t="s">
        <v>20091</v>
      </c>
    </row>
    <row r="2220" spans="6:8">
      <c r="H2220" t="s">
        <v>19712</v>
      </c>
    </row>
    <row r="2221" spans="6:8">
      <c r="H2221" t="s">
        <v>19709</v>
      </c>
    </row>
    <row r="2222" spans="6:8">
      <c r="H2222" t="s">
        <v>20095</v>
      </c>
    </row>
    <row r="2223" spans="6:8">
      <c r="H2223" t="s">
        <v>20096</v>
      </c>
    </row>
    <row r="2224" spans="6:8">
      <c r="F2224" t="s">
        <v>11124</v>
      </c>
      <c r="G2224" t="s">
        <v>15514</v>
      </c>
      <c r="H2224" t="s">
        <v>20091</v>
      </c>
    </row>
    <row r="2225" spans="6:8">
      <c r="H2225" t="s">
        <v>19712</v>
      </c>
    </row>
    <row r="2226" spans="6:8">
      <c r="H2226" t="s">
        <v>20095</v>
      </c>
    </row>
    <row r="2227" spans="6:8">
      <c r="H2227" t="s">
        <v>20096</v>
      </c>
    </row>
    <row r="2228" spans="6:8">
      <c r="F2228" t="s">
        <v>11125</v>
      </c>
      <c r="G2228" t="s">
        <v>15515</v>
      </c>
      <c r="H2228" t="s">
        <v>20091</v>
      </c>
    </row>
    <row r="2229" spans="6:8">
      <c r="H2229" t="s">
        <v>19712</v>
      </c>
    </row>
    <row r="2230" spans="6:8">
      <c r="H2230" t="s">
        <v>20095</v>
      </c>
    </row>
    <row r="2231" spans="6:8">
      <c r="H2231" t="s">
        <v>20096</v>
      </c>
    </row>
    <row r="2232" spans="6:8">
      <c r="F2232" t="s">
        <v>11126</v>
      </c>
      <c r="G2232" t="s">
        <v>15516</v>
      </c>
      <c r="H2232" t="s">
        <v>20091</v>
      </c>
    </row>
    <row r="2233" spans="6:8">
      <c r="H2233" t="s">
        <v>19712</v>
      </c>
    </row>
    <row r="2234" spans="6:8">
      <c r="H2234" t="s">
        <v>19709</v>
      </c>
    </row>
    <row r="2235" spans="6:8">
      <c r="H2235" t="s">
        <v>19706</v>
      </c>
    </row>
    <row r="2236" spans="6:8">
      <c r="H2236" t="s">
        <v>19707</v>
      </c>
    </row>
    <row r="2237" spans="6:8">
      <c r="H2237" t="s">
        <v>19711</v>
      </c>
    </row>
    <row r="2238" spans="6:8">
      <c r="H2238" t="s">
        <v>20107</v>
      </c>
    </row>
    <row r="2239" spans="6:8">
      <c r="H2239" t="s">
        <v>20108</v>
      </c>
    </row>
    <row r="2240" spans="6:8">
      <c r="H2240" t="s">
        <v>19713</v>
      </c>
    </row>
    <row r="2241" spans="6:8">
      <c r="H2241" t="s">
        <v>19714</v>
      </c>
    </row>
    <row r="2242" spans="6:8">
      <c r="H2242" t="s">
        <v>20109</v>
      </c>
    </row>
    <row r="2243" spans="6:8">
      <c r="H2243" t="s">
        <v>20110</v>
      </c>
    </row>
    <row r="2244" spans="6:8">
      <c r="H2244" t="s">
        <v>20092</v>
      </c>
    </row>
    <row r="2245" spans="6:8">
      <c r="H2245" t="s">
        <v>20095</v>
      </c>
    </row>
    <row r="2246" spans="6:8">
      <c r="H2246" t="s">
        <v>20096</v>
      </c>
    </row>
    <row r="2247" spans="6:8">
      <c r="H2247" t="s">
        <v>20097</v>
      </c>
    </row>
    <row r="2248" spans="6:8">
      <c r="H2248" t="s">
        <v>20098</v>
      </c>
    </row>
    <row r="2249" spans="6:8">
      <c r="H2249" t="s">
        <v>20099</v>
      </c>
    </row>
    <row r="2250" spans="6:8">
      <c r="H2250" t="s">
        <v>20100</v>
      </c>
    </row>
    <row r="2251" spans="6:8">
      <c r="F2251" t="s">
        <v>11127</v>
      </c>
      <c r="G2251" t="s">
        <v>15517</v>
      </c>
      <c r="H2251" t="s">
        <v>20091</v>
      </c>
    </row>
    <row r="2252" spans="6:8">
      <c r="H2252" t="s">
        <v>19712</v>
      </c>
    </row>
    <row r="2253" spans="6:8">
      <c r="H2253" t="s">
        <v>20095</v>
      </c>
    </row>
    <row r="2254" spans="6:8">
      <c r="H2254" t="s">
        <v>20096</v>
      </c>
    </row>
    <row r="2255" spans="6:8">
      <c r="H2255" t="s">
        <v>20097</v>
      </c>
    </row>
    <row r="2256" spans="6:8">
      <c r="H2256" t="s">
        <v>20098</v>
      </c>
    </row>
    <row r="2257" spans="6:8">
      <c r="H2257" t="s">
        <v>19709</v>
      </c>
    </row>
    <row r="2258" spans="6:8">
      <c r="H2258" t="s">
        <v>19706</v>
      </c>
    </row>
    <row r="2259" spans="6:8">
      <c r="H2259" t="s">
        <v>20099</v>
      </c>
    </row>
    <row r="2260" spans="6:8">
      <c r="H2260" t="s">
        <v>20100</v>
      </c>
    </row>
    <row r="2261" spans="6:8">
      <c r="H2261" t="s">
        <v>20101</v>
      </c>
    </row>
    <row r="2262" spans="6:8">
      <c r="H2262" t="s">
        <v>20102</v>
      </c>
    </row>
    <row r="2263" spans="6:8">
      <c r="F2263" t="s">
        <v>11128</v>
      </c>
      <c r="G2263" t="s">
        <v>15518</v>
      </c>
      <c r="H2263" t="s">
        <v>20091</v>
      </c>
    </row>
    <row r="2264" spans="6:8">
      <c r="H2264" t="s">
        <v>19712</v>
      </c>
    </row>
    <row r="2265" spans="6:8">
      <c r="H2265" t="s">
        <v>20095</v>
      </c>
    </row>
    <row r="2266" spans="6:8">
      <c r="H2266" t="s">
        <v>20096</v>
      </c>
    </row>
    <row r="2267" spans="6:8">
      <c r="H2267" t="s">
        <v>20097</v>
      </c>
    </row>
    <row r="2268" spans="6:8">
      <c r="H2268" t="s">
        <v>20098</v>
      </c>
    </row>
    <row r="2269" spans="6:8">
      <c r="F2269" t="s">
        <v>11129</v>
      </c>
      <c r="G2269" t="s">
        <v>15519</v>
      </c>
      <c r="H2269" t="s">
        <v>20091</v>
      </c>
    </row>
    <row r="2270" spans="6:8">
      <c r="H2270" t="s">
        <v>19712</v>
      </c>
    </row>
    <row r="2271" spans="6:8">
      <c r="H2271" t="s">
        <v>20095</v>
      </c>
    </row>
    <row r="2272" spans="6:8">
      <c r="H2272" t="s">
        <v>20096</v>
      </c>
    </row>
    <row r="2273" spans="6:8">
      <c r="H2273" t="s">
        <v>20097</v>
      </c>
    </row>
    <row r="2274" spans="6:8">
      <c r="H2274" t="s">
        <v>20098</v>
      </c>
    </row>
    <row r="2275" spans="6:8">
      <c r="F2275" t="s">
        <v>11130</v>
      </c>
      <c r="G2275" t="s">
        <v>15520</v>
      </c>
      <c r="H2275" t="s">
        <v>20091</v>
      </c>
    </row>
    <row r="2276" spans="6:8">
      <c r="H2276" t="s">
        <v>19712</v>
      </c>
    </row>
    <row r="2277" spans="6:8">
      <c r="H2277" t="s">
        <v>20095</v>
      </c>
    </row>
    <row r="2278" spans="6:8">
      <c r="H2278" t="s">
        <v>20096</v>
      </c>
    </row>
    <row r="2279" spans="6:8">
      <c r="H2279" t="s">
        <v>20097</v>
      </c>
    </row>
    <row r="2280" spans="6:8">
      <c r="H2280" t="s">
        <v>20098</v>
      </c>
    </row>
    <row r="2281" spans="6:8">
      <c r="F2281" t="s">
        <v>11131</v>
      </c>
      <c r="G2281" t="s">
        <v>15521</v>
      </c>
      <c r="H2281" t="s">
        <v>20091</v>
      </c>
    </row>
    <row r="2282" spans="6:8">
      <c r="H2282" t="s">
        <v>19712</v>
      </c>
    </row>
    <row r="2283" spans="6:8">
      <c r="H2283" t="s">
        <v>20095</v>
      </c>
    </row>
    <row r="2284" spans="6:8">
      <c r="H2284" t="s">
        <v>20096</v>
      </c>
    </row>
    <row r="2285" spans="6:8">
      <c r="H2285" t="s">
        <v>20097</v>
      </c>
    </row>
    <row r="2286" spans="6:8">
      <c r="H2286" t="s">
        <v>20098</v>
      </c>
    </row>
    <row r="2287" spans="6:8">
      <c r="F2287" t="s">
        <v>11132</v>
      </c>
      <c r="G2287" t="s">
        <v>15522</v>
      </c>
      <c r="H2287" t="s">
        <v>20091</v>
      </c>
    </row>
    <row r="2288" spans="6:8">
      <c r="H2288" t="s">
        <v>19712</v>
      </c>
    </row>
    <row r="2289" spans="6:8">
      <c r="H2289" t="s">
        <v>19709</v>
      </c>
    </row>
    <row r="2290" spans="6:8">
      <c r="H2290" t="s">
        <v>20107</v>
      </c>
    </row>
    <row r="2291" spans="6:8">
      <c r="H2291" t="s">
        <v>20108</v>
      </c>
    </row>
    <row r="2292" spans="6:8">
      <c r="H2292" t="s">
        <v>19713</v>
      </c>
    </row>
    <row r="2293" spans="6:8">
      <c r="H2293" t="s">
        <v>19714</v>
      </c>
    </row>
    <row r="2294" spans="6:8">
      <c r="H2294" t="s">
        <v>20109</v>
      </c>
    </row>
    <row r="2295" spans="6:8">
      <c r="H2295" t="s">
        <v>20110</v>
      </c>
    </row>
    <row r="2296" spans="6:8">
      <c r="H2296" t="s">
        <v>20111</v>
      </c>
    </row>
    <row r="2297" spans="6:8">
      <c r="H2297" t="s">
        <v>20095</v>
      </c>
    </row>
    <row r="2298" spans="6:8">
      <c r="H2298" t="s">
        <v>20096</v>
      </c>
    </row>
    <row r="2299" spans="6:8">
      <c r="H2299" t="s">
        <v>20097</v>
      </c>
    </row>
    <row r="2300" spans="6:8">
      <c r="H2300" t="s">
        <v>20098</v>
      </c>
    </row>
    <row r="2301" spans="6:8">
      <c r="H2301" t="s">
        <v>20099</v>
      </c>
    </row>
    <row r="2302" spans="6:8">
      <c r="H2302" t="s">
        <v>20100</v>
      </c>
    </row>
    <row r="2303" spans="6:8">
      <c r="F2303" t="s">
        <v>11133</v>
      </c>
      <c r="G2303" t="s">
        <v>15523</v>
      </c>
      <c r="H2303" t="s">
        <v>20091</v>
      </c>
    </row>
    <row r="2304" spans="6:8">
      <c r="H2304" t="s">
        <v>19712</v>
      </c>
    </row>
    <row r="2305" spans="6:8">
      <c r="H2305" t="s">
        <v>19709</v>
      </c>
    </row>
    <row r="2306" spans="6:8">
      <c r="H2306" t="s">
        <v>19706</v>
      </c>
    </row>
    <row r="2307" spans="6:8">
      <c r="H2307" t="s">
        <v>20107</v>
      </c>
    </row>
    <row r="2308" spans="6:8">
      <c r="H2308" t="s">
        <v>20108</v>
      </c>
    </row>
    <row r="2309" spans="6:8">
      <c r="H2309" t="s">
        <v>19713</v>
      </c>
    </row>
    <row r="2310" spans="6:8">
      <c r="H2310" t="s">
        <v>20095</v>
      </c>
    </row>
    <row r="2311" spans="6:8">
      <c r="H2311" t="s">
        <v>20096</v>
      </c>
    </row>
    <row r="2312" spans="6:8">
      <c r="H2312" t="s">
        <v>20097</v>
      </c>
    </row>
    <row r="2313" spans="6:8">
      <c r="H2313" t="s">
        <v>20098</v>
      </c>
    </row>
    <row r="2314" spans="6:8">
      <c r="H2314" t="s">
        <v>20099</v>
      </c>
    </row>
    <row r="2315" spans="6:8">
      <c r="F2315" t="s">
        <v>11134</v>
      </c>
      <c r="G2315" t="s">
        <v>15524</v>
      </c>
      <c r="H2315" t="s">
        <v>20091</v>
      </c>
    </row>
    <row r="2316" spans="6:8">
      <c r="H2316" t="s">
        <v>20107</v>
      </c>
    </row>
    <row r="2317" spans="6:8">
      <c r="H2317" t="s">
        <v>20108</v>
      </c>
    </row>
    <row r="2318" spans="6:8">
      <c r="H2318" t="s">
        <v>20095</v>
      </c>
    </row>
    <row r="2319" spans="6:8">
      <c r="H2319" t="s">
        <v>20096</v>
      </c>
    </row>
    <row r="2320" spans="6:8">
      <c r="H2320" t="s">
        <v>20097</v>
      </c>
    </row>
    <row r="2321" spans="6:8">
      <c r="H2321" t="s">
        <v>20098</v>
      </c>
    </row>
    <row r="2322" spans="6:8">
      <c r="H2322" t="s">
        <v>20099</v>
      </c>
    </row>
    <row r="2323" spans="6:8">
      <c r="H2323" t="s">
        <v>20100</v>
      </c>
    </row>
    <row r="2324" spans="6:8">
      <c r="H2324" t="s">
        <v>20101</v>
      </c>
    </row>
    <row r="2325" spans="6:8">
      <c r="H2325" t="s">
        <v>20102</v>
      </c>
    </row>
    <row r="2326" spans="6:8">
      <c r="H2326" t="s">
        <v>20104</v>
      </c>
    </row>
    <row r="2327" spans="6:8">
      <c r="F2327" t="s">
        <v>11135</v>
      </c>
      <c r="G2327" t="s">
        <v>15525</v>
      </c>
      <c r="H2327" t="s">
        <v>20091</v>
      </c>
    </row>
    <row r="2328" spans="6:8">
      <c r="H2328" t="s">
        <v>19712</v>
      </c>
    </row>
    <row r="2329" spans="6:8">
      <c r="H2329" t="s">
        <v>19709</v>
      </c>
    </row>
    <row r="2330" spans="6:8">
      <c r="H2330" t="s">
        <v>20107</v>
      </c>
    </row>
    <row r="2331" spans="6:8">
      <c r="H2331" t="s">
        <v>20108</v>
      </c>
    </row>
    <row r="2332" spans="6:8">
      <c r="H2332" t="s">
        <v>20095</v>
      </c>
    </row>
    <row r="2333" spans="6:8">
      <c r="H2333" t="s">
        <v>20096</v>
      </c>
    </row>
    <row r="2334" spans="6:8">
      <c r="H2334" t="s">
        <v>20097</v>
      </c>
    </row>
    <row r="2335" spans="6:8">
      <c r="H2335" t="s">
        <v>20098</v>
      </c>
    </row>
    <row r="2336" spans="6:8">
      <c r="H2336" t="s">
        <v>20099</v>
      </c>
    </row>
    <row r="2337" spans="6:8">
      <c r="F2337" t="s">
        <v>11136</v>
      </c>
      <c r="G2337" t="s">
        <v>15526</v>
      </c>
      <c r="H2337" t="s">
        <v>20091</v>
      </c>
    </row>
    <row r="2338" spans="6:8">
      <c r="H2338" t="s">
        <v>19712</v>
      </c>
    </row>
    <row r="2339" spans="6:8">
      <c r="H2339" t="s">
        <v>19709</v>
      </c>
    </row>
    <row r="2340" spans="6:8">
      <c r="H2340" t="s">
        <v>19706</v>
      </c>
    </row>
    <row r="2341" spans="6:8">
      <c r="H2341" t="s">
        <v>19707</v>
      </c>
    </row>
    <row r="2342" spans="6:8">
      <c r="H2342" t="s">
        <v>19711</v>
      </c>
    </row>
    <row r="2343" spans="6:8">
      <c r="H2343" t="s">
        <v>20107</v>
      </c>
    </row>
    <row r="2344" spans="6:8">
      <c r="H2344" t="s">
        <v>20108</v>
      </c>
    </row>
    <row r="2345" spans="6:8">
      <c r="H2345" t="s">
        <v>19713</v>
      </c>
    </row>
    <row r="2346" spans="6:8">
      <c r="H2346" t="s">
        <v>19714</v>
      </c>
    </row>
    <row r="2347" spans="6:8">
      <c r="H2347" t="s">
        <v>20109</v>
      </c>
    </row>
    <row r="2348" spans="6:8">
      <c r="H2348" t="s">
        <v>20110</v>
      </c>
    </row>
    <row r="2349" spans="6:8">
      <c r="H2349" t="s">
        <v>20092</v>
      </c>
    </row>
    <row r="2350" spans="6:8">
      <c r="H2350" t="s">
        <v>20095</v>
      </c>
    </row>
    <row r="2351" spans="6:8">
      <c r="H2351" t="s">
        <v>20096</v>
      </c>
    </row>
    <row r="2352" spans="6:8">
      <c r="H2352" t="s">
        <v>20097</v>
      </c>
    </row>
    <row r="2353" spans="6:8">
      <c r="H2353" t="s">
        <v>20098</v>
      </c>
    </row>
    <row r="2354" spans="6:8">
      <c r="H2354" t="s">
        <v>20099</v>
      </c>
    </row>
    <row r="2355" spans="6:8">
      <c r="F2355" t="s">
        <v>11137</v>
      </c>
      <c r="G2355" t="s">
        <v>15527</v>
      </c>
      <c r="H2355" t="s">
        <v>20091</v>
      </c>
    </row>
    <row r="2356" spans="6:8">
      <c r="H2356" t="s">
        <v>19712</v>
      </c>
    </row>
    <row r="2357" spans="6:8">
      <c r="H2357" t="s">
        <v>19709</v>
      </c>
    </row>
    <row r="2358" spans="6:8">
      <c r="H2358" t="s">
        <v>20092</v>
      </c>
    </row>
    <row r="2359" spans="6:8">
      <c r="H2359" t="s">
        <v>20095</v>
      </c>
    </row>
    <row r="2360" spans="6:8">
      <c r="H2360" t="s">
        <v>20096</v>
      </c>
    </row>
    <row r="2361" spans="6:8">
      <c r="H2361" t="s">
        <v>20097</v>
      </c>
    </row>
    <row r="2362" spans="6:8">
      <c r="H2362" t="s">
        <v>20098</v>
      </c>
    </row>
    <row r="2363" spans="6:8">
      <c r="H2363" t="s">
        <v>20099</v>
      </c>
    </row>
    <row r="2364" spans="6:8">
      <c r="H2364" t="s">
        <v>20100</v>
      </c>
    </row>
    <row r="2365" spans="6:8">
      <c r="F2365" t="s">
        <v>11138</v>
      </c>
      <c r="G2365" t="s">
        <v>15528</v>
      </c>
      <c r="H2365" t="s">
        <v>20091</v>
      </c>
    </row>
    <row r="2366" spans="6:8">
      <c r="H2366" t="s">
        <v>19712</v>
      </c>
    </row>
    <row r="2367" spans="6:8">
      <c r="H2367" t="s">
        <v>19709</v>
      </c>
    </row>
    <row r="2368" spans="6:8">
      <c r="H2368" t="s">
        <v>19706</v>
      </c>
    </row>
    <row r="2369" spans="6:8">
      <c r="H2369" t="s">
        <v>19707</v>
      </c>
    </row>
    <row r="2370" spans="6:8">
      <c r="H2370" t="s">
        <v>20107</v>
      </c>
    </row>
    <row r="2371" spans="6:8">
      <c r="H2371" t="s">
        <v>20108</v>
      </c>
    </row>
    <row r="2372" spans="6:8">
      <c r="H2372" t="s">
        <v>19713</v>
      </c>
    </row>
    <row r="2373" spans="6:8">
      <c r="H2373" t="s">
        <v>19714</v>
      </c>
    </row>
    <row r="2374" spans="6:8">
      <c r="H2374" t="s">
        <v>20095</v>
      </c>
    </row>
    <row r="2375" spans="6:8">
      <c r="H2375" t="s">
        <v>20096</v>
      </c>
    </row>
    <row r="2376" spans="6:8">
      <c r="H2376" t="s">
        <v>20097</v>
      </c>
    </row>
    <row r="2377" spans="6:8">
      <c r="H2377" t="s">
        <v>20098</v>
      </c>
    </row>
    <row r="2378" spans="6:8">
      <c r="H2378" t="s">
        <v>20099</v>
      </c>
    </row>
    <row r="2379" spans="6:8">
      <c r="F2379" t="s">
        <v>11139</v>
      </c>
      <c r="G2379" t="s">
        <v>15529</v>
      </c>
      <c r="H2379" t="s">
        <v>20091</v>
      </c>
    </row>
    <row r="2380" spans="6:8">
      <c r="H2380" t="s">
        <v>19712</v>
      </c>
    </row>
    <row r="2381" spans="6:8">
      <c r="H2381" t="s">
        <v>19709</v>
      </c>
    </row>
    <row r="2382" spans="6:8">
      <c r="H2382" t="s">
        <v>19706</v>
      </c>
    </row>
    <row r="2383" spans="6:8">
      <c r="H2383" t="s">
        <v>19707</v>
      </c>
    </row>
    <row r="2384" spans="6:8">
      <c r="H2384" t="s">
        <v>20107</v>
      </c>
    </row>
    <row r="2385" spans="6:8">
      <c r="H2385" t="s">
        <v>20108</v>
      </c>
    </row>
    <row r="2386" spans="6:8">
      <c r="H2386" t="s">
        <v>19713</v>
      </c>
    </row>
    <row r="2387" spans="6:8">
      <c r="H2387" t="s">
        <v>19714</v>
      </c>
    </row>
    <row r="2388" spans="6:8">
      <c r="H2388" t="s">
        <v>20095</v>
      </c>
    </row>
    <row r="2389" spans="6:8">
      <c r="H2389" t="s">
        <v>20096</v>
      </c>
    </row>
    <row r="2390" spans="6:8">
      <c r="H2390" t="s">
        <v>20097</v>
      </c>
    </row>
    <row r="2391" spans="6:8">
      <c r="H2391" t="s">
        <v>20098</v>
      </c>
    </row>
    <row r="2392" spans="6:8">
      <c r="H2392" t="s">
        <v>20099</v>
      </c>
    </row>
    <row r="2393" spans="6:8">
      <c r="F2393" t="s">
        <v>11140</v>
      </c>
      <c r="G2393" t="s">
        <v>15530</v>
      </c>
      <c r="H2393" t="s">
        <v>20091</v>
      </c>
    </row>
    <row r="2394" spans="6:8">
      <c r="H2394" t="s">
        <v>19712</v>
      </c>
    </row>
    <row r="2395" spans="6:8">
      <c r="H2395" t="s">
        <v>20095</v>
      </c>
    </row>
    <row r="2396" spans="6:8">
      <c r="H2396" t="s">
        <v>20096</v>
      </c>
    </row>
    <row r="2397" spans="6:8">
      <c r="H2397" t="s">
        <v>20097</v>
      </c>
    </row>
    <row r="2398" spans="6:8">
      <c r="H2398" t="s">
        <v>20098</v>
      </c>
    </row>
    <row r="2399" spans="6:8">
      <c r="H2399" t="s">
        <v>19709</v>
      </c>
    </row>
    <row r="2400" spans="6:8">
      <c r="H2400" t="s">
        <v>19706</v>
      </c>
    </row>
    <row r="2401" spans="6:8">
      <c r="H2401" t="s">
        <v>20099</v>
      </c>
    </row>
    <row r="2402" spans="6:8">
      <c r="H2402" t="s">
        <v>20100</v>
      </c>
    </row>
    <row r="2403" spans="6:8">
      <c r="H2403" t="s">
        <v>20101</v>
      </c>
    </row>
    <row r="2404" spans="6:8">
      <c r="H2404" t="s">
        <v>20102</v>
      </c>
    </row>
    <row r="2405" spans="6:8">
      <c r="F2405" t="s">
        <v>11141</v>
      </c>
      <c r="G2405" t="s">
        <v>15531</v>
      </c>
      <c r="H2405" t="s">
        <v>20091</v>
      </c>
    </row>
    <row r="2406" spans="6:8">
      <c r="H2406" t="s">
        <v>19712</v>
      </c>
    </row>
    <row r="2407" spans="6:8">
      <c r="H2407" t="s">
        <v>20095</v>
      </c>
    </row>
    <row r="2408" spans="6:8">
      <c r="H2408" t="s">
        <v>20096</v>
      </c>
    </row>
    <row r="2409" spans="6:8">
      <c r="H2409" t="s">
        <v>20097</v>
      </c>
    </row>
    <row r="2410" spans="6:8">
      <c r="H2410" t="s">
        <v>20098</v>
      </c>
    </row>
    <row r="2411" spans="6:8">
      <c r="F2411" t="s">
        <v>11142</v>
      </c>
      <c r="G2411" t="s">
        <v>15532</v>
      </c>
      <c r="H2411" t="s">
        <v>20091</v>
      </c>
    </row>
    <row r="2412" spans="6:8">
      <c r="H2412" t="s">
        <v>19712</v>
      </c>
    </row>
    <row r="2413" spans="6:8">
      <c r="H2413" t="s">
        <v>20095</v>
      </c>
    </row>
    <row r="2414" spans="6:8">
      <c r="H2414" t="s">
        <v>20096</v>
      </c>
    </row>
    <row r="2415" spans="6:8">
      <c r="H2415" t="s">
        <v>20097</v>
      </c>
    </row>
    <row r="2416" spans="6:8">
      <c r="H2416" t="s">
        <v>20098</v>
      </c>
    </row>
    <row r="2417" spans="6:8">
      <c r="F2417" t="s">
        <v>11143</v>
      </c>
      <c r="G2417" t="s">
        <v>15533</v>
      </c>
      <c r="H2417" t="s">
        <v>20091</v>
      </c>
    </row>
    <row r="2418" spans="6:8">
      <c r="H2418" t="s">
        <v>19712</v>
      </c>
    </row>
    <row r="2419" spans="6:8">
      <c r="H2419" t="s">
        <v>20095</v>
      </c>
    </row>
    <row r="2420" spans="6:8">
      <c r="H2420" t="s">
        <v>20096</v>
      </c>
    </row>
    <row r="2421" spans="6:8">
      <c r="H2421" t="s">
        <v>20097</v>
      </c>
    </row>
    <row r="2422" spans="6:8">
      <c r="H2422" t="s">
        <v>20098</v>
      </c>
    </row>
    <row r="2423" spans="6:8">
      <c r="F2423" t="s">
        <v>11144</v>
      </c>
      <c r="G2423" t="s">
        <v>15534</v>
      </c>
      <c r="H2423" t="s">
        <v>20091</v>
      </c>
    </row>
    <row r="2424" spans="6:8">
      <c r="H2424" t="s">
        <v>19712</v>
      </c>
    </row>
    <row r="2425" spans="6:8">
      <c r="H2425" t="s">
        <v>20095</v>
      </c>
    </row>
    <row r="2426" spans="6:8">
      <c r="H2426" t="s">
        <v>20096</v>
      </c>
    </row>
    <row r="2427" spans="6:8">
      <c r="H2427" t="s">
        <v>20097</v>
      </c>
    </row>
    <row r="2428" spans="6:8">
      <c r="H2428" t="s">
        <v>20098</v>
      </c>
    </row>
    <row r="2429" spans="6:8">
      <c r="F2429" t="s">
        <v>11145</v>
      </c>
      <c r="G2429" t="s">
        <v>15535</v>
      </c>
      <c r="H2429" t="s">
        <v>20091</v>
      </c>
    </row>
    <row r="2430" spans="6:8">
      <c r="H2430" t="s">
        <v>19712</v>
      </c>
    </row>
    <row r="2431" spans="6:8">
      <c r="H2431" t="s">
        <v>19709</v>
      </c>
    </row>
    <row r="2432" spans="6:8">
      <c r="H2432" t="s">
        <v>20107</v>
      </c>
    </row>
    <row r="2433" spans="6:8">
      <c r="H2433" t="s">
        <v>20108</v>
      </c>
    </row>
    <row r="2434" spans="6:8">
      <c r="H2434" t="s">
        <v>19713</v>
      </c>
    </row>
    <row r="2435" spans="6:8">
      <c r="H2435" t="s">
        <v>19714</v>
      </c>
    </row>
    <row r="2436" spans="6:8">
      <c r="H2436" t="s">
        <v>20109</v>
      </c>
    </row>
    <row r="2437" spans="6:8">
      <c r="H2437" t="s">
        <v>20110</v>
      </c>
    </row>
    <row r="2438" spans="6:8">
      <c r="H2438" t="s">
        <v>20095</v>
      </c>
    </row>
    <row r="2439" spans="6:8">
      <c r="H2439" t="s">
        <v>20096</v>
      </c>
    </row>
    <row r="2440" spans="6:8">
      <c r="H2440" t="s">
        <v>20097</v>
      </c>
    </row>
    <row r="2441" spans="6:8">
      <c r="H2441" t="s">
        <v>20098</v>
      </c>
    </row>
    <row r="2442" spans="6:8">
      <c r="H2442" t="s">
        <v>20099</v>
      </c>
    </row>
    <row r="2443" spans="6:8">
      <c r="F2443" t="s">
        <v>11146</v>
      </c>
      <c r="G2443" t="s">
        <v>15536</v>
      </c>
      <c r="H2443" t="s">
        <v>20091</v>
      </c>
    </row>
    <row r="2444" spans="6:8">
      <c r="H2444" t="s">
        <v>19712</v>
      </c>
    </row>
    <row r="2445" spans="6:8">
      <c r="H2445" t="s">
        <v>19709</v>
      </c>
    </row>
    <row r="2446" spans="6:8">
      <c r="H2446" t="s">
        <v>19706</v>
      </c>
    </row>
    <row r="2447" spans="6:8">
      <c r="H2447" t="s">
        <v>19707</v>
      </c>
    </row>
    <row r="2448" spans="6:8">
      <c r="H2448" t="s">
        <v>19711</v>
      </c>
    </row>
    <row r="2449" spans="6:8">
      <c r="H2449" t="s">
        <v>20107</v>
      </c>
    </row>
    <row r="2450" spans="6:8">
      <c r="H2450" t="s">
        <v>20108</v>
      </c>
    </row>
    <row r="2451" spans="6:8">
      <c r="H2451" t="s">
        <v>19713</v>
      </c>
    </row>
    <row r="2452" spans="6:8">
      <c r="H2452" t="s">
        <v>19714</v>
      </c>
    </row>
    <row r="2453" spans="6:8">
      <c r="H2453" t="s">
        <v>20095</v>
      </c>
    </row>
    <row r="2454" spans="6:8">
      <c r="H2454" t="s">
        <v>20096</v>
      </c>
    </row>
    <row r="2455" spans="6:8">
      <c r="H2455" t="s">
        <v>20097</v>
      </c>
    </row>
    <row r="2456" spans="6:8">
      <c r="H2456" t="s">
        <v>20098</v>
      </c>
    </row>
    <row r="2457" spans="6:8">
      <c r="H2457" t="s">
        <v>20099</v>
      </c>
    </row>
    <row r="2458" spans="6:8">
      <c r="F2458" t="s">
        <v>11147</v>
      </c>
      <c r="G2458" t="s">
        <v>15537</v>
      </c>
      <c r="H2458" t="s">
        <v>20091</v>
      </c>
    </row>
    <row r="2459" spans="6:8">
      <c r="H2459" t="s">
        <v>19712</v>
      </c>
    </row>
    <row r="2460" spans="6:8">
      <c r="H2460" t="s">
        <v>19709</v>
      </c>
    </row>
    <row r="2461" spans="6:8">
      <c r="H2461" t="s">
        <v>20107</v>
      </c>
    </row>
    <row r="2462" spans="6:8">
      <c r="H2462" t="s">
        <v>20108</v>
      </c>
    </row>
    <row r="2463" spans="6:8">
      <c r="H2463" t="s">
        <v>19713</v>
      </c>
    </row>
    <row r="2464" spans="6:8">
      <c r="H2464" t="s">
        <v>20095</v>
      </c>
    </row>
    <row r="2465" spans="6:8">
      <c r="H2465" t="s">
        <v>20096</v>
      </c>
    </row>
    <row r="2466" spans="6:8">
      <c r="H2466" t="s">
        <v>20097</v>
      </c>
    </row>
    <row r="2467" spans="6:8">
      <c r="H2467" t="s">
        <v>20098</v>
      </c>
    </row>
    <row r="2468" spans="6:8">
      <c r="H2468" t="s">
        <v>20099</v>
      </c>
    </row>
    <row r="2469" spans="6:8">
      <c r="F2469" t="s">
        <v>11148</v>
      </c>
      <c r="G2469" t="s">
        <v>15538</v>
      </c>
      <c r="H2469" t="s">
        <v>20091</v>
      </c>
    </row>
    <row r="2470" spans="6:8">
      <c r="H2470" t="s">
        <v>19712</v>
      </c>
    </row>
    <row r="2471" spans="6:8">
      <c r="H2471" t="s">
        <v>20092</v>
      </c>
    </row>
    <row r="2472" spans="6:8">
      <c r="H2472" t="s">
        <v>20095</v>
      </c>
    </row>
    <row r="2473" spans="6:8">
      <c r="H2473" t="s">
        <v>20096</v>
      </c>
    </row>
    <row r="2474" spans="6:8">
      <c r="F2474" t="s">
        <v>11149</v>
      </c>
      <c r="G2474" t="s">
        <v>15539</v>
      </c>
      <c r="H2474" t="s">
        <v>20092</v>
      </c>
    </row>
    <row r="2475" spans="6:8">
      <c r="H2475" t="s">
        <v>20093</v>
      </c>
    </row>
    <row r="2476" spans="6:8">
      <c r="H2476" t="s">
        <v>20094</v>
      </c>
    </row>
    <row r="2477" spans="6:8">
      <c r="H2477" t="s">
        <v>20095</v>
      </c>
    </row>
    <row r="2478" spans="6:8">
      <c r="H2478" t="s">
        <v>20096</v>
      </c>
    </row>
    <row r="2479" spans="6:8">
      <c r="F2479" t="s">
        <v>11150</v>
      </c>
      <c r="G2479" t="s">
        <v>15540</v>
      </c>
      <c r="H2479" t="s">
        <v>20091</v>
      </c>
    </row>
    <row r="2480" spans="6:8">
      <c r="H2480" t="s">
        <v>19712</v>
      </c>
    </row>
    <row r="2481" spans="6:8">
      <c r="H2481" t="s">
        <v>19709</v>
      </c>
    </row>
    <row r="2482" spans="6:8">
      <c r="H2482" t="s">
        <v>20092</v>
      </c>
    </row>
    <row r="2483" spans="6:8">
      <c r="H2483" t="s">
        <v>20093</v>
      </c>
    </row>
    <row r="2484" spans="6:8">
      <c r="H2484" t="s">
        <v>20094</v>
      </c>
    </row>
    <row r="2485" spans="6:8">
      <c r="H2485" t="s">
        <v>20095</v>
      </c>
    </row>
    <row r="2486" spans="6:8">
      <c r="H2486" t="s">
        <v>20096</v>
      </c>
    </row>
    <row r="2487" spans="6:8">
      <c r="H2487" t="s">
        <v>20097</v>
      </c>
    </row>
    <row r="2488" spans="6:8">
      <c r="H2488" t="s">
        <v>20098</v>
      </c>
    </row>
    <row r="2489" spans="6:8">
      <c r="H2489" t="s">
        <v>20099</v>
      </c>
    </row>
    <row r="2490" spans="6:8">
      <c r="H2490" t="s">
        <v>20100</v>
      </c>
    </row>
    <row r="2491" spans="6:8">
      <c r="F2491" t="s">
        <v>11151</v>
      </c>
      <c r="G2491" t="s">
        <v>15541</v>
      </c>
      <c r="H2491" t="s">
        <v>20091</v>
      </c>
    </row>
    <row r="2492" spans="6:8">
      <c r="H2492" t="s">
        <v>19712</v>
      </c>
    </row>
    <row r="2493" spans="6:8">
      <c r="H2493" t="s">
        <v>20092</v>
      </c>
    </row>
    <row r="2494" spans="6:8">
      <c r="H2494" t="s">
        <v>20107</v>
      </c>
    </row>
    <row r="2495" spans="6:8">
      <c r="H2495" t="s">
        <v>20095</v>
      </c>
    </row>
    <row r="2496" spans="6:8">
      <c r="H2496" t="s">
        <v>20096</v>
      </c>
    </row>
    <row r="2497" spans="6:8">
      <c r="H2497" t="s">
        <v>20097</v>
      </c>
    </row>
    <row r="2498" spans="6:8">
      <c r="H2498" t="s">
        <v>20098</v>
      </c>
    </row>
    <row r="2499" spans="6:8">
      <c r="F2499" t="s">
        <v>11152</v>
      </c>
      <c r="G2499" t="s">
        <v>15542</v>
      </c>
      <c r="H2499" t="s">
        <v>20091</v>
      </c>
    </row>
    <row r="2500" spans="6:8">
      <c r="F2500" t="s">
        <v>11153</v>
      </c>
      <c r="G2500" t="s">
        <v>15543</v>
      </c>
      <c r="H2500" t="s">
        <v>20091</v>
      </c>
    </row>
    <row r="2501" spans="6:8">
      <c r="H2501" t="s">
        <v>19712</v>
      </c>
    </row>
    <row r="2502" spans="6:8">
      <c r="H2502" t="s">
        <v>19709</v>
      </c>
    </row>
    <row r="2503" spans="6:8">
      <c r="H2503" t="s">
        <v>20095</v>
      </c>
    </row>
    <row r="2504" spans="6:8">
      <c r="H2504" t="s">
        <v>20096</v>
      </c>
    </row>
    <row r="2505" spans="6:8">
      <c r="H2505" t="s">
        <v>20097</v>
      </c>
    </row>
    <row r="2506" spans="6:8">
      <c r="F2506" t="s">
        <v>11154</v>
      </c>
      <c r="G2506" t="s">
        <v>15544</v>
      </c>
      <c r="H2506" t="s">
        <v>20091</v>
      </c>
    </row>
    <row r="2507" spans="6:8">
      <c r="H2507" t="s">
        <v>19712</v>
      </c>
    </row>
    <row r="2508" spans="6:8">
      <c r="H2508" t="s">
        <v>19709</v>
      </c>
    </row>
    <row r="2509" spans="6:8">
      <c r="H2509" t="s">
        <v>19706</v>
      </c>
    </row>
    <row r="2510" spans="6:8">
      <c r="H2510" t="s">
        <v>20092</v>
      </c>
    </row>
    <row r="2511" spans="6:8">
      <c r="H2511" t="s">
        <v>20093</v>
      </c>
    </row>
    <row r="2512" spans="6:8">
      <c r="H2512" t="s">
        <v>20095</v>
      </c>
    </row>
    <row r="2513" spans="6:8">
      <c r="H2513" t="s">
        <v>20096</v>
      </c>
    </row>
    <row r="2514" spans="6:8">
      <c r="H2514" t="s">
        <v>20097</v>
      </c>
    </row>
    <row r="2515" spans="6:8">
      <c r="H2515" t="s">
        <v>20098</v>
      </c>
    </row>
    <row r="2516" spans="6:8">
      <c r="F2516" t="s">
        <v>11155</v>
      </c>
      <c r="G2516" t="s">
        <v>15545</v>
      </c>
      <c r="H2516" t="s">
        <v>20091</v>
      </c>
    </row>
    <row r="2517" spans="6:8">
      <c r="H2517" t="s">
        <v>20092</v>
      </c>
    </row>
    <row r="2518" spans="6:8">
      <c r="H2518" t="s">
        <v>20093</v>
      </c>
    </row>
    <row r="2519" spans="6:8">
      <c r="H2519" t="s">
        <v>20094</v>
      </c>
    </row>
    <row r="2520" spans="6:8">
      <c r="H2520" t="s">
        <v>20103</v>
      </c>
    </row>
    <row r="2521" spans="6:8">
      <c r="H2521" t="s">
        <v>20116</v>
      </c>
    </row>
    <row r="2522" spans="6:8">
      <c r="H2522" t="s">
        <v>20095</v>
      </c>
    </row>
    <row r="2523" spans="6:8">
      <c r="H2523" t="s">
        <v>20096</v>
      </c>
    </row>
    <row r="2524" spans="6:8">
      <c r="H2524" t="s">
        <v>20097</v>
      </c>
    </row>
    <row r="2525" spans="6:8">
      <c r="H2525" t="s">
        <v>20098</v>
      </c>
    </row>
    <row r="2526" spans="6:8">
      <c r="F2526" t="s">
        <v>11157</v>
      </c>
      <c r="G2526" t="s">
        <v>15546</v>
      </c>
      <c r="H2526" t="s">
        <v>20091</v>
      </c>
    </row>
    <row r="2527" spans="6:8">
      <c r="H2527" t="s">
        <v>19712</v>
      </c>
    </row>
    <row r="2528" spans="6:8">
      <c r="H2528" t="s">
        <v>20092</v>
      </c>
    </row>
    <row r="2529" spans="6:8">
      <c r="H2529" t="s">
        <v>20093</v>
      </c>
    </row>
    <row r="2530" spans="6:8">
      <c r="H2530" t="s">
        <v>20095</v>
      </c>
    </row>
    <row r="2531" spans="6:8">
      <c r="H2531" t="s">
        <v>20096</v>
      </c>
    </row>
    <row r="2532" spans="6:8">
      <c r="F2532" t="s">
        <v>11158</v>
      </c>
      <c r="G2532" t="s">
        <v>15547</v>
      </c>
      <c r="H2532" t="s">
        <v>20091</v>
      </c>
    </row>
    <row r="2533" spans="6:8">
      <c r="H2533" t="s">
        <v>19712</v>
      </c>
    </row>
    <row r="2534" spans="6:8">
      <c r="H2534" t="s">
        <v>20095</v>
      </c>
    </row>
    <row r="2535" spans="6:8">
      <c r="H2535" t="s">
        <v>20096</v>
      </c>
    </row>
    <row r="2536" spans="6:8">
      <c r="F2536" t="s">
        <v>11159</v>
      </c>
      <c r="G2536" t="s">
        <v>15548</v>
      </c>
      <c r="H2536" t="s">
        <v>20091</v>
      </c>
    </row>
    <row r="2537" spans="6:8">
      <c r="H2537" t="s">
        <v>19712</v>
      </c>
    </row>
    <row r="2538" spans="6:8">
      <c r="H2538" t="s">
        <v>20095</v>
      </c>
    </row>
    <row r="2539" spans="6:8">
      <c r="H2539" t="s">
        <v>20096</v>
      </c>
    </row>
    <row r="2540" spans="6:8">
      <c r="F2540" t="s">
        <v>11160</v>
      </c>
      <c r="G2540" t="s">
        <v>15549</v>
      </c>
      <c r="H2540" t="s">
        <v>20091</v>
      </c>
    </row>
    <row r="2541" spans="6:8">
      <c r="H2541" t="s">
        <v>19712</v>
      </c>
    </row>
    <row r="2542" spans="6:8">
      <c r="H2542" t="s">
        <v>19709</v>
      </c>
    </row>
    <row r="2543" spans="6:8">
      <c r="H2543" t="s">
        <v>19706</v>
      </c>
    </row>
    <row r="2544" spans="6:8">
      <c r="H2544" t="s">
        <v>19707</v>
      </c>
    </row>
    <row r="2545" spans="6:8">
      <c r="H2545" t="s">
        <v>19711</v>
      </c>
    </row>
    <row r="2546" spans="6:8">
      <c r="H2546" t="s">
        <v>20092</v>
      </c>
    </row>
    <row r="2547" spans="6:8">
      <c r="H2547" t="s">
        <v>20093</v>
      </c>
    </row>
    <row r="2548" spans="6:8">
      <c r="H2548" t="s">
        <v>20094</v>
      </c>
    </row>
    <row r="2549" spans="6:8">
      <c r="H2549" t="s">
        <v>20103</v>
      </c>
    </row>
    <row r="2550" spans="6:8">
      <c r="H2550" t="s">
        <v>20116</v>
      </c>
    </row>
    <row r="2551" spans="6:8">
      <c r="H2551" t="s">
        <v>20117</v>
      </c>
    </row>
    <row r="2552" spans="6:8">
      <c r="H2552" t="s">
        <v>20118</v>
      </c>
    </row>
    <row r="2553" spans="6:8">
      <c r="H2553" t="s">
        <v>20095</v>
      </c>
    </row>
    <row r="2554" spans="6:8">
      <c r="H2554" t="s">
        <v>20096</v>
      </c>
    </row>
    <row r="2555" spans="6:8">
      <c r="H2555" t="s">
        <v>20097</v>
      </c>
    </row>
    <row r="2556" spans="6:8">
      <c r="H2556" t="s">
        <v>20098</v>
      </c>
    </row>
    <row r="2557" spans="6:8">
      <c r="H2557" t="s">
        <v>20099</v>
      </c>
    </row>
    <row r="2558" spans="6:8">
      <c r="H2558" t="s">
        <v>20100</v>
      </c>
    </row>
    <row r="2559" spans="6:8">
      <c r="F2559" t="s">
        <v>11161</v>
      </c>
      <c r="G2559" t="s">
        <v>15550</v>
      </c>
      <c r="H2559" t="s">
        <v>20091</v>
      </c>
    </row>
    <row r="2560" spans="6:8">
      <c r="H2560" t="s">
        <v>19712</v>
      </c>
    </row>
    <row r="2561" spans="8:8">
      <c r="H2561" t="s">
        <v>19709</v>
      </c>
    </row>
    <row r="2562" spans="8:8">
      <c r="H2562" t="s">
        <v>19706</v>
      </c>
    </row>
    <row r="2563" spans="8:8">
      <c r="H2563" t="s">
        <v>19707</v>
      </c>
    </row>
    <row r="2564" spans="8:8">
      <c r="H2564" t="s">
        <v>20092</v>
      </c>
    </row>
    <row r="2565" spans="8:8">
      <c r="H2565" t="s">
        <v>20093</v>
      </c>
    </row>
    <row r="2566" spans="8:8">
      <c r="H2566" t="s">
        <v>20094</v>
      </c>
    </row>
    <row r="2567" spans="8:8">
      <c r="H2567" t="s">
        <v>20103</v>
      </c>
    </row>
    <row r="2568" spans="8:8">
      <c r="H2568" t="s">
        <v>20116</v>
      </c>
    </row>
    <row r="2569" spans="8:8">
      <c r="H2569" t="s">
        <v>20117</v>
      </c>
    </row>
    <row r="2570" spans="8:8">
      <c r="H2570" t="s">
        <v>20118</v>
      </c>
    </row>
    <row r="2571" spans="8:8">
      <c r="H2571" t="s">
        <v>20095</v>
      </c>
    </row>
    <row r="2572" spans="8:8">
      <c r="H2572" t="s">
        <v>20096</v>
      </c>
    </row>
    <row r="2573" spans="8:8">
      <c r="H2573" t="s">
        <v>20097</v>
      </c>
    </row>
    <row r="2574" spans="8:8">
      <c r="H2574" t="s">
        <v>20098</v>
      </c>
    </row>
    <row r="2575" spans="8:8">
      <c r="H2575" t="s">
        <v>20099</v>
      </c>
    </row>
    <row r="2576" spans="8:8">
      <c r="H2576" t="s">
        <v>20100</v>
      </c>
    </row>
    <row r="2577" spans="6:8">
      <c r="F2577" t="s">
        <v>11162</v>
      </c>
      <c r="G2577" t="s">
        <v>15551</v>
      </c>
      <c r="H2577" t="s">
        <v>20091</v>
      </c>
    </row>
    <row r="2578" spans="6:8">
      <c r="H2578" t="s">
        <v>20095</v>
      </c>
    </row>
    <row r="2579" spans="6:8">
      <c r="H2579" t="s">
        <v>20096</v>
      </c>
    </row>
    <row r="2580" spans="6:8">
      <c r="H2580" t="s">
        <v>20099</v>
      </c>
    </row>
    <row r="2581" spans="6:8">
      <c r="H2581" t="s">
        <v>20101</v>
      </c>
    </row>
    <row r="2582" spans="6:8">
      <c r="H2582" t="s">
        <v>19712</v>
      </c>
    </row>
    <row r="2583" spans="6:8">
      <c r="H2583" t="s">
        <v>20097</v>
      </c>
    </row>
    <row r="2584" spans="6:8">
      <c r="H2584" t="s">
        <v>20098</v>
      </c>
    </row>
    <row r="2585" spans="6:8">
      <c r="H2585" t="s">
        <v>20100</v>
      </c>
    </row>
    <row r="2586" spans="6:8">
      <c r="H2586" t="s">
        <v>20102</v>
      </c>
    </row>
    <row r="2587" spans="6:8">
      <c r="F2587" t="s">
        <v>11163</v>
      </c>
      <c r="G2587" t="s">
        <v>15552</v>
      </c>
      <c r="H2587" t="s">
        <v>20091</v>
      </c>
    </row>
    <row r="2588" spans="6:8">
      <c r="H2588" t="s">
        <v>19712</v>
      </c>
    </row>
    <row r="2589" spans="6:8">
      <c r="H2589" t="s">
        <v>20092</v>
      </c>
    </row>
    <row r="2590" spans="6:8">
      <c r="H2590" t="s">
        <v>20093</v>
      </c>
    </row>
    <row r="2591" spans="6:8">
      <c r="H2591" t="s">
        <v>20094</v>
      </c>
    </row>
    <row r="2592" spans="6:8">
      <c r="H2592" t="s">
        <v>20095</v>
      </c>
    </row>
    <row r="2593" spans="6:8">
      <c r="H2593" t="s">
        <v>20096</v>
      </c>
    </row>
    <row r="2594" spans="6:8">
      <c r="H2594" t="s">
        <v>20097</v>
      </c>
    </row>
    <row r="2595" spans="6:8">
      <c r="H2595" t="s">
        <v>20098</v>
      </c>
    </row>
    <row r="2596" spans="6:8">
      <c r="H2596" t="s">
        <v>20099</v>
      </c>
    </row>
    <row r="2597" spans="6:8">
      <c r="H2597" t="s">
        <v>20100</v>
      </c>
    </row>
    <row r="2598" spans="6:8">
      <c r="H2598" t="s">
        <v>20101</v>
      </c>
    </row>
    <row r="2599" spans="6:8">
      <c r="H2599" t="s">
        <v>20102</v>
      </c>
    </row>
    <row r="2600" spans="6:8">
      <c r="F2600" t="s">
        <v>11164</v>
      </c>
      <c r="G2600" t="s">
        <v>15553</v>
      </c>
      <c r="H2600" t="s">
        <v>20091</v>
      </c>
    </row>
    <row r="2601" spans="6:8">
      <c r="H2601" t="s">
        <v>19712</v>
      </c>
    </row>
    <row r="2602" spans="6:8">
      <c r="H2602" t="s">
        <v>20092</v>
      </c>
    </row>
    <row r="2603" spans="6:8">
      <c r="H2603" t="s">
        <v>20093</v>
      </c>
    </row>
    <row r="2604" spans="6:8">
      <c r="H2604" t="s">
        <v>20094</v>
      </c>
    </row>
    <row r="2605" spans="6:8">
      <c r="H2605" t="s">
        <v>20095</v>
      </c>
    </row>
    <row r="2606" spans="6:8">
      <c r="H2606" t="s">
        <v>20096</v>
      </c>
    </row>
    <row r="2607" spans="6:8">
      <c r="H2607" t="s">
        <v>20097</v>
      </c>
    </row>
    <row r="2608" spans="6:8">
      <c r="H2608" t="s">
        <v>20098</v>
      </c>
    </row>
    <row r="2609" spans="6:8">
      <c r="H2609" t="s">
        <v>20099</v>
      </c>
    </row>
    <row r="2610" spans="6:8">
      <c r="H2610" t="s">
        <v>20100</v>
      </c>
    </row>
    <row r="2611" spans="6:8">
      <c r="H2611" t="s">
        <v>20101</v>
      </c>
    </row>
    <row r="2612" spans="6:8">
      <c r="H2612" t="s">
        <v>20102</v>
      </c>
    </row>
    <row r="2613" spans="6:8">
      <c r="F2613" t="s">
        <v>11165</v>
      </c>
      <c r="G2613" t="s">
        <v>15554</v>
      </c>
      <c r="H2613" t="s">
        <v>20091</v>
      </c>
    </row>
    <row r="2614" spans="6:8">
      <c r="H2614" t="s">
        <v>20107</v>
      </c>
    </row>
    <row r="2615" spans="6:8">
      <c r="H2615" t="s">
        <v>20108</v>
      </c>
    </row>
    <row r="2616" spans="6:8">
      <c r="H2616" t="s">
        <v>20095</v>
      </c>
    </row>
    <row r="2617" spans="6:8">
      <c r="F2617" t="s">
        <v>11166</v>
      </c>
      <c r="G2617" t="s">
        <v>15555</v>
      </c>
      <c r="H2617" t="s">
        <v>20091</v>
      </c>
    </row>
    <row r="2618" spans="6:8">
      <c r="H2618" t="s">
        <v>19712</v>
      </c>
    </row>
    <row r="2619" spans="6:8">
      <c r="H2619" t="s">
        <v>19709</v>
      </c>
    </row>
    <row r="2620" spans="6:8">
      <c r="H2620" t="s">
        <v>19706</v>
      </c>
    </row>
    <row r="2621" spans="6:8">
      <c r="H2621" t="s">
        <v>20095</v>
      </c>
    </row>
    <row r="2622" spans="6:8">
      <c r="H2622" t="s">
        <v>20096</v>
      </c>
    </row>
    <row r="2623" spans="6:8">
      <c r="H2623" t="s">
        <v>20097</v>
      </c>
    </row>
    <row r="2624" spans="6:8">
      <c r="H2624" t="s">
        <v>20098</v>
      </c>
    </row>
    <row r="2625" spans="6:8">
      <c r="F2625" t="s">
        <v>11167</v>
      </c>
      <c r="G2625" t="s">
        <v>15556</v>
      </c>
      <c r="H2625" t="s">
        <v>20091</v>
      </c>
    </row>
    <row r="2626" spans="6:8">
      <c r="H2626" t="s">
        <v>20107</v>
      </c>
    </row>
    <row r="2627" spans="6:8">
      <c r="H2627" t="s">
        <v>20108</v>
      </c>
    </row>
    <row r="2628" spans="6:8">
      <c r="H2628" t="s">
        <v>20095</v>
      </c>
    </row>
    <row r="2629" spans="6:8">
      <c r="H2629" t="s">
        <v>20096</v>
      </c>
    </row>
    <row r="2630" spans="6:8">
      <c r="H2630" t="s">
        <v>20097</v>
      </c>
    </row>
    <row r="2631" spans="6:8">
      <c r="H2631" t="s">
        <v>20098</v>
      </c>
    </row>
    <row r="2632" spans="6:8">
      <c r="H2632" t="s">
        <v>20099</v>
      </c>
    </row>
    <row r="2633" spans="6:8">
      <c r="H2633" t="s">
        <v>20100</v>
      </c>
    </row>
    <row r="2634" spans="6:8">
      <c r="H2634" t="s">
        <v>20101</v>
      </c>
    </row>
    <row r="2635" spans="6:8">
      <c r="H2635" t="s">
        <v>20102</v>
      </c>
    </row>
    <row r="2636" spans="6:8">
      <c r="F2636" t="s">
        <v>11168</v>
      </c>
      <c r="G2636" t="s">
        <v>15557</v>
      </c>
      <c r="H2636" t="s">
        <v>20095</v>
      </c>
    </row>
    <row r="2637" spans="6:8">
      <c r="H2637" t="s">
        <v>20096</v>
      </c>
    </row>
    <row r="2638" spans="6:8">
      <c r="F2638" t="s">
        <v>11169</v>
      </c>
      <c r="G2638" t="s">
        <v>15558</v>
      </c>
      <c r="H2638" t="s">
        <v>20095</v>
      </c>
    </row>
    <row r="2639" spans="6:8">
      <c r="F2639" t="s">
        <v>11170</v>
      </c>
      <c r="G2639" t="s">
        <v>15559</v>
      </c>
      <c r="H2639" t="s">
        <v>20095</v>
      </c>
    </row>
    <row r="2640" spans="6:8">
      <c r="F2640" t="s">
        <v>11171</v>
      </c>
      <c r="G2640" t="s">
        <v>15560</v>
      </c>
      <c r="H2640" t="s">
        <v>20095</v>
      </c>
    </row>
    <row r="2641" spans="6:8">
      <c r="F2641" t="s">
        <v>11172</v>
      </c>
      <c r="G2641" t="s">
        <v>15561</v>
      </c>
      <c r="H2641" t="s">
        <v>20095</v>
      </c>
    </row>
    <row r="2642" spans="6:8">
      <c r="H2642" t="s">
        <v>20096</v>
      </c>
    </row>
    <row r="2643" spans="6:8">
      <c r="H2643" t="s">
        <v>20097</v>
      </c>
    </row>
    <row r="2644" spans="6:8">
      <c r="H2644" t="s">
        <v>20098</v>
      </c>
    </row>
    <row r="2645" spans="6:8">
      <c r="F2645" t="s">
        <v>11173</v>
      </c>
      <c r="G2645" t="s">
        <v>15562</v>
      </c>
      <c r="H2645" t="s">
        <v>20095</v>
      </c>
    </row>
    <row r="2646" spans="6:8">
      <c r="F2646" t="s">
        <v>11174</v>
      </c>
      <c r="G2646" t="s">
        <v>15563</v>
      </c>
      <c r="H2646" t="s">
        <v>20095</v>
      </c>
    </row>
    <row r="2647" spans="6:8">
      <c r="H2647" t="s">
        <v>20096</v>
      </c>
    </row>
    <row r="2648" spans="6:8">
      <c r="F2648" t="s">
        <v>11175</v>
      </c>
      <c r="G2648" t="s">
        <v>15564</v>
      </c>
      <c r="H2648" t="s">
        <v>20091</v>
      </c>
    </row>
    <row r="2649" spans="6:8">
      <c r="H2649" t="s">
        <v>20095</v>
      </c>
    </row>
    <row r="2650" spans="6:8">
      <c r="H2650" t="s">
        <v>20096</v>
      </c>
    </row>
    <row r="2651" spans="6:8">
      <c r="F2651" t="s">
        <v>11176</v>
      </c>
      <c r="G2651" t="s">
        <v>15565</v>
      </c>
      <c r="H2651" t="s">
        <v>20095</v>
      </c>
    </row>
    <row r="2652" spans="6:8">
      <c r="H2652" t="s">
        <v>20096</v>
      </c>
    </row>
    <row r="2653" spans="6:8">
      <c r="F2653" t="s">
        <v>11177</v>
      </c>
      <c r="G2653" t="s">
        <v>15566</v>
      </c>
      <c r="H2653" t="s">
        <v>20095</v>
      </c>
    </row>
    <row r="2654" spans="6:8">
      <c r="F2654" t="s">
        <v>11178</v>
      </c>
      <c r="G2654" t="s">
        <v>15567</v>
      </c>
      <c r="H2654" t="s">
        <v>20095</v>
      </c>
    </row>
    <row r="2655" spans="6:8">
      <c r="F2655" t="s">
        <v>11179</v>
      </c>
      <c r="G2655" t="s">
        <v>15568</v>
      </c>
      <c r="H2655" t="s">
        <v>20095</v>
      </c>
    </row>
    <row r="2656" spans="6:8">
      <c r="H2656" t="s">
        <v>20096</v>
      </c>
    </row>
    <row r="2657" spans="1:8">
      <c r="F2657" t="s">
        <v>11180</v>
      </c>
      <c r="G2657" t="s">
        <v>15569</v>
      </c>
      <c r="H2657" t="s">
        <v>20095</v>
      </c>
    </row>
    <row r="2658" spans="1:8">
      <c r="H2658" t="s">
        <v>20096</v>
      </c>
    </row>
    <row r="2659" spans="1:8">
      <c r="H2659" t="s">
        <v>20097</v>
      </c>
    </row>
    <row r="2660" spans="1:8">
      <c r="F2660" t="s">
        <v>11181</v>
      </c>
      <c r="G2660" t="s">
        <v>15570</v>
      </c>
      <c r="H2660" t="s">
        <v>20095</v>
      </c>
    </row>
    <row r="2661" spans="1:8">
      <c r="H2661" t="s">
        <v>20096</v>
      </c>
    </row>
    <row r="2662" spans="1:8">
      <c r="F2662" t="s">
        <v>11182</v>
      </c>
      <c r="G2662" t="s">
        <v>15571</v>
      </c>
      <c r="H2662" t="s">
        <v>20095</v>
      </c>
    </row>
    <row r="2663" spans="1:8">
      <c r="H2663" t="s">
        <v>20096</v>
      </c>
    </row>
    <row r="2664" spans="1:8">
      <c r="A2664" t="s">
        <v>299</v>
      </c>
      <c r="B2664">
        <f>HYPERLINK("https://android.googlesource.com/platform/cts/+/66e57a3f34415ec36454bfafd405e8eafc934765", "66e57a3f34415ec36454bfafd405e8eafc934765")</f>
        <v>0</v>
      </c>
      <c r="C2664">
        <f>HYPERLINK("https://android.googlesource.com/platform/cts/+/c8ebe0c9f7868a84853148a30de456625f394ecb", "c8ebe0c9f7868a84853148a30de456625f394ecb")</f>
        <v>0</v>
      </c>
      <c r="D2664" t="s">
        <v>4941</v>
      </c>
      <c r="E2664" t="s">
        <v>6094</v>
      </c>
      <c r="F2664" t="s">
        <v>11187</v>
      </c>
      <c r="G2664" t="s">
        <v>15576</v>
      </c>
      <c r="H2664" t="s">
        <v>20174</v>
      </c>
    </row>
    <row r="2665" spans="1:8">
      <c r="F2665" t="s">
        <v>11188</v>
      </c>
      <c r="G2665" t="s">
        <v>15577</v>
      </c>
      <c r="H2665" t="s">
        <v>20178</v>
      </c>
    </row>
    <row r="2666" spans="1:8">
      <c r="H2666" t="s">
        <v>20179</v>
      </c>
    </row>
    <row r="2667" spans="1:8">
      <c r="H2667" t="s">
        <v>20180</v>
      </c>
    </row>
    <row r="2668" spans="1:8">
      <c r="H2668" t="s">
        <v>20183</v>
      </c>
    </row>
    <row r="2669" spans="1:8">
      <c r="A2669" t="s">
        <v>303</v>
      </c>
      <c r="B2669">
        <f>HYPERLINK("https://android.googlesource.com/platform/cts/+/354ed32eea151544f9f1d211c582f3553952cc4b", "354ed32eea151544f9f1d211c582f3553952cc4b")</f>
        <v>0</v>
      </c>
      <c r="C2669">
        <f>HYPERLINK("https://android.googlesource.com/platform/cts/+/1c7bf662162e865509122b68c0bf6fcf6f65fdc0", "1c7bf662162e865509122b68c0bf6fcf6f65fdc0")</f>
        <v>0</v>
      </c>
      <c r="D2669" t="s">
        <v>4964</v>
      </c>
      <c r="E2669" t="s">
        <v>6098</v>
      </c>
      <c r="F2669" t="s">
        <v>11194</v>
      </c>
      <c r="G2669" t="s">
        <v>15583</v>
      </c>
      <c r="H2669" t="s">
        <v>20186</v>
      </c>
    </row>
    <row r="2670" spans="1:8">
      <c r="H2670" t="s">
        <v>20187</v>
      </c>
    </row>
    <row r="2671" spans="1:8">
      <c r="H2671" t="s">
        <v>20188</v>
      </c>
    </row>
    <row r="2672" spans="1:8">
      <c r="H2672" t="s">
        <v>20189</v>
      </c>
    </row>
    <row r="2673" spans="1:8">
      <c r="H2673" t="s">
        <v>20190</v>
      </c>
    </row>
    <row r="2674" spans="1:8">
      <c r="H2674" t="s">
        <v>20191</v>
      </c>
    </row>
    <row r="2675" spans="1:8">
      <c r="A2675" t="s">
        <v>304</v>
      </c>
      <c r="B2675">
        <f>HYPERLINK("https://android.googlesource.com/platform/cts/+/9349ccb388ac3790315b87d7d5bf802cb0376560", "9349ccb388ac3790315b87d7d5bf802cb0376560")</f>
        <v>0</v>
      </c>
      <c r="C2675">
        <f>HYPERLINK("https://android.googlesource.com/platform/cts/+/611f9a02560d1726a82de9d4a0827ba49a4b682b", "611f9a02560d1726a82de9d4a0827ba49a4b682b")</f>
        <v>0</v>
      </c>
      <c r="D2675" t="s">
        <v>4941</v>
      </c>
      <c r="E2675" t="s">
        <v>6099</v>
      </c>
      <c r="F2675" t="s">
        <v>11195</v>
      </c>
      <c r="G2675" t="s">
        <v>15584</v>
      </c>
      <c r="H2675" t="s">
        <v>20095</v>
      </c>
    </row>
    <row r="2676" spans="1:8">
      <c r="H2676" t="s">
        <v>20096</v>
      </c>
    </row>
    <row r="2677" spans="1:8">
      <c r="H2677" t="s">
        <v>20097</v>
      </c>
    </row>
    <row r="2678" spans="1:8">
      <c r="H2678" t="s">
        <v>20098</v>
      </c>
    </row>
    <row r="2679" spans="1:8">
      <c r="H2679" t="s">
        <v>20099</v>
      </c>
    </row>
    <row r="2680" spans="1:8">
      <c r="H2680" t="s">
        <v>20100</v>
      </c>
    </row>
    <row r="2681" spans="1:8">
      <c r="H2681" t="s">
        <v>20101</v>
      </c>
    </row>
    <row r="2682" spans="1:8">
      <c r="H2682" t="s">
        <v>20102</v>
      </c>
    </row>
    <row r="2683" spans="1:8">
      <c r="H2683" t="s">
        <v>20104</v>
      </c>
    </row>
    <row r="2684" spans="1:8">
      <c r="H2684" t="s">
        <v>20123</v>
      </c>
    </row>
    <row r="2685" spans="1:8">
      <c r="H2685" t="s">
        <v>20124</v>
      </c>
    </row>
    <row r="2686" spans="1:8">
      <c r="F2686" t="s">
        <v>11196</v>
      </c>
      <c r="G2686" t="s">
        <v>15190</v>
      </c>
      <c r="H2686" t="s">
        <v>20091</v>
      </c>
    </row>
    <row r="2687" spans="1:8">
      <c r="H2687" t="s">
        <v>19712</v>
      </c>
    </row>
    <row r="2688" spans="1:8">
      <c r="H2688" t="s">
        <v>19709</v>
      </c>
    </row>
    <row r="2689" spans="6:8">
      <c r="H2689" t="s">
        <v>19706</v>
      </c>
    </row>
    <row r="2690" spans="6:8">
      <c r="H2690" t="s">
        <v>20107</v>
      </c>
    </row>
    <row r="2691" spans="6:8">
      <c r="H2691" t="s">
        <v>20108</v>
      </c>
    </row>
    <row r="2692" spans="6:8">
      <c r="H2692" t="s">
        <v>19713</v>
      </c>
    </row>
    <row r="2693" spans="6:8">
      <c r="H2693" t="s">
        <v>19714</v>
      </c>
    </row>
    <row r="2694" spans="6:8">
      <c r="H2694" t="s">
        <v>20109</v>
      </c>
    </row>
    <row r="2695" spans="6:8">
      <c r="H2695" t="s">
        <v>20110</v>
      </c>
    </row>
    <row r="2696" spans="6:8">
      <c r="H2696" t="s">
        <v>20111</v>
      </c>
    </row>
    <row r="2697" spans="6:8">
      <c r="H2697" t="s">
        <v>20112</v>
      </c>
    </row>
    <row r="2698" spans="6:8">
      <c r="H2698" t="s">
        <v>20113</v>
      </c>
    </row>
    <row r="2699" spans="6:8">
      <c r="H2699" t="s">
        <v>20095</v>
      </c>
    </row>
    <row r="2700" spans="6:8">
      <c r="H2700" t="s">
        <v>20096</v>
      </c>
    </row>
    <row r="2701" spans="6:8">
      <c r="H2701" t="s">
        <v>20097</v>
      </c>
    </row>
    <row r="2702" spans="6:8">
      <c r="H2702" t="s">
        <v>20098</v>
      </c>
    </row>
    <row r="2703" spans="6:8">
      <c r="F2703" t="s">
        <v>11197</v>
      </c>
      <c r="G2703" t="s">
        <v>15191</v>
      </c>
      <c r="H2703" t="s">
        <v>20091</v>
      </c>
    </row>
    <row r="2704" spans="6:8">
      <c r="H2704" t="s">
        <v>19712</v>
      </c>
    </row>
    <row r="2705" spans="6:8">
      <c r="H2705" t="s">
        <v>19709</v>
      </c>
    </row>
    <row r="2706" spans="6:8">
      <c r="H2706" t="s">
        <v>19706</v>
      </c>
    </row>
    <row r="2707" spans="6:8">
      <c r="H2707" t="s">
        <v>20107</v>
      </c>
    </row>
    <row r="2708" spans="6:8">
      <c r="H2708" t="s">
        <v>20108</v>
      </c>
    </row>
    <row r="2709" spans="6:8">
      <c r="H2709" t="s">
        <v>19713</v>
      </c>
    </row>
    <row r="2710" spans="6:8">
      <c r="H2710" t="s">
        <v>19714</v>
      </c>
    </row>
    <row r="2711" spans="6:8">
      <c r="H2711" t="s">
        <v>20109</v>
      </c>
    </row>
    <row r="2712" spans="6:8">
      <c r="H2712" t="s">
        <v>20110</v>
      </c>
    </row>
    <row r="2713" spans="6:8">
      <c r="H2713" t="s">
        <v>20111</v>
      </c>
    </row>
    <row r="2714" spans="6:8">
      <c r="H2714" t="s">
        <v>20112</v>
      </c>
    </row>
    <row r="2715" spans="6:8">
      <c r="H2715" t="s">
        <v>20113</v>
      </c>
    </row>
    <row r="2716" spans="6:8">
      <c r="H2716" t="s">
        <v>20095</v>
      </c>
    </row>
    <row r="2717" spans="6:8">
      <c r="H2717" t="s">
        <v>20096</v>
      </c>
    </row>
    <row r="2718" spans="6:8">
      <c r="H2718" t="s">
        <v>20097</v>
      </c>
    </row>
    <row r="2719" spans="6:8">
      <c r="H2719" t="s">
        <v>20098</v>
      </c>
    </row>
    <row r="2720" spans="6:8">
      <c r="F2720" t="s">
        <v>11198</v>
      </c>
      <c r="G2720" t="s">
        <v>15192</v>
      </c>
      <c r="H2720" t="s">
        <v>20091</v>
      </c>
    </row>
    <row r="2721" spans="8:8">
      <c r="H2721" t="s">
        <v>19712</v>
      </c>
    </row>
    <row r="2722" spans="8:8">
      <c r="H2722" t="s">
        <v>19709</v>
      </c>
    </row>
    <row r="2723" spans="8:8">
      <c r="H2723" t="s">
        <v>19707</v>
      </c>
    </row>
    <row r="2724" spans="8:8">
      <c r="H2724" t="s">
        <v>20107</v>
      </c>
    </row>
    <row r="2725" spans="8:8">
      <c r="H2725" t="s">
        <v>20108</v>
      </c>
    </row>
    <row r="2726" spans="8:8">
      <c r="H2726" t="s">
        <v>19713</v>
      </c>
    </row>
    <row r="2727" spans="8:8">
      <c r="H2727" t="s">
        <v>19714</v>
      </c>
    </row>
    <row r="2728" spans="8:8">
      <c r="H2728" t="s">
        <v>20109</v>
      </c>
    </row>
    <row r="2729" spans="8:8">
      <c r="H2729" t="s">
        <v>20110</v>
      </c>
    </row>
    <row r="2730" spans="8:8">
      <c r="H2730" t="s">
        <v>20111</v>
      </c>
    </row>
    <row r="2731" spans="8:8">
      <c r="H2731" t="s">
        <v>20112</v>
      </c>
    </row>
    <row r="2732" spans="8:8">
      <c r="H2732" t="s">
        <v>20113</v>
      </c>
    </row>
    <row r="2733" spans="8:8">
      <c r="H2733" t="s">
        <v>20095</v>
      </c>
    </row>
    <row r="2734" spans="8:8">
      <c r="H2734" t="s">
        <v>20096</v>
      </c>
    </row>
    <row r="2735" spans="8:8">
      <c r="H2735" t="s">
        <v>20097</v>
      </c>
    </row>
    <row r="2736" spans="8:8">
      <c r="H2736" t="s">
        <v>20098</v>
      </c>
    </row>
    <row r="2737" spans="6:8">
      <c r="F2737" t="s">
        <v>11199</v>
      </c>
      <c r="G2737" t="s">
        <v>15193</v>
      </c>
      <c r="H2737" t="s">
        <v>20091</v>
      </c>
    </row>
    <row r="2738" spans="6:8">
      <c r="H2738" t="s">
        <v>19712</v>
      </c>
    </row>
    <row r="2739" spans="6:8">
      <c r="H2739" t="s">
        <v>19709</v>
      </c>
    </row>
    <row r="2740" spans="6:8">
      <c r="H2740" t="s">
        <v>19707</v>
      </c>
    </row>
    <row r="2741" spans="6:8">
      <c r="H2741" t="s">
        <v>20107</v>
      </c>
    </row>
    <row r="2742" spans="6:8">
      <c r="H2742" t="s">
        <v>20108</v>
      </c>
    </row>
    <row r="2743" spans="6:8">
      <c r="H2743" t="s">
        <v>19713</v>
      </c>
    </row>
    <row r="2744" spans="6:8">
      <c r="H2744" t="s">
        <v>19714</v>
      </c>
    </row>
    <row r="2745" spans="6:8">
      <c r="H2745" t="s">
        <v>20109</v>
      </c>
    </row>
    <row r="2746" spans="6:8">
      <c r="H2746" t="s">
        <v>20110</v>
      </c>
    </row>
    <row r="2747" spans="6:8">
      <c r="H2747" t="s">
        <v>20111</v>
      </c>
    </row>
    <row r="2748" spans="6:8">
      <c r="H2748" t="s">
        <v>20112</v>
      </c>
    </row>
    <row r="2749" spans="6:8">
      <c r="H2749" t="s">
        <v>20113</v>
      </c>
    </row>
    <row r="2750" spans="6:8">
      <c r="H2750" t="s">
        <v>20095</v>
      </c>
    </row>
    <row r="2751" spans="6:8">
      <c r="H2751" t="s">
        <v>20096</v>
      </c>
    </row>
    <row r="2752" spans="6:8">
      <c r="H2752" t="s">
        <v>20097</v>
      </c>
    </row>
    <row r="2753" spans="6:8">
      <c r="H2753" t="s">
        <v>20098</v>
      </c>
    </row>
    <row r="2754" spans="6:8">
      <c r="F2754" t="s">
        <v>11200</v>
      </c>
      <c r="G2754" t="s">
        <v>15194</v>
      </c>
      <c r="H2754" t="s">
        <v>20091</v>
      </c>
    </row>
    <row r="2755" spans="6:8">
      <c r="H2755" t="s">
        <v>19712</v>
      </c>
    </row>
    <row r="2756" spans="6:8">
      <c r="H2756" t="s">
        <v>19709</v>
      </c>
    </row>
    <row r="2757" spans="6:8">
      <c r="H2757" t="s">
        <v>19706</v>
      </c>
    </row>
    <row r="2758" spans="6:8">
      <c r="H2758" t="s">
        <v>19707</v>
      </c>
    </row>
    <row r="2759" spans="6:8">
      <c r="H2759" t="s">
        <v>19711</v>
      </c>
    </row>
    <row r="2760" spans="6:8">
      <c r="H2760" t="s">
        <v>19708</v>
      </c>
    </row>
    <row r="2761" spans="6:8">
      <c r="H2761" t="s">
        <v>20107</v>
      </c>
    </row>
    <row r="2762" spans="6:8">
      <c r="H2762" t="s">
        <v>20108</v>
      </c>
    </row>
    <row r="2763" spans="6:8">
      <c r="H2763" t="s">
        <v>19713</v>
      </c>
    </row>
    <row r="2764" spans="6:8">
      <c r="H2764" t="s">
        <v>19714</v>
      </c>
    </row>
    <row r="2765" spans="6:8">
      <c r="H2765" t="s">
        <v>20109</v>
      </c>
    </row>
    <row r="2766" spans="6:8">
      <c r="H2766" t="s">
        <v>20110</v>
      </c>
    </row>
    <row r="2767" spans="6:8">
      <c r="H2767" t="s">
        <v>20095</v>
      </c>
    </row>
    <row r="2768" spans="6:8">
      <c r="H2768" t="s">
        <v>20096</v>
      </c>
    </row>
    <row r="2769" spans="6:8">
      <c r="H2769" t="s">
        <v>20097</v>
      </c>
    </row>
    <row r="2770" spans="6:8">
      <c r="H2770" t="s">
        <v>20098</v>
      </c>
    </row>
    <row r="2771" spans="6:8">
      <c r="F2771" t="s">
        <v>11201</v>
      </c>
      <c r="G2771" t="s">
        <v>15195</v>
      </c>
      <c r="H2771" t="s">
        <v>20091</v>
      </c>
    </row>
    <row r="2772" spans="6:8">
      <c r="H2772" t="s">
        <v>19712</v>
      </c>
    </row>
    <row r="2773" spans="6:8">
      <c r="H2773" t="s">
        <v>19709</v>
      </c>
    </row>
    <row r="2774" spans="6:8">
      <c r="H2774" t="s">
        <v>19706</v>
      </c>
    </row>
    <row r="2775" spans="6:8">
      <c r="H2775" t="s">
        <v>19707</v>
      </c>
    </row>
    <row r="2776" spans="6:8">
      <c r="H2776" t="s">
        <v>19711</v>
      </c>
    </row>
    <row r="2777" spans="6:8">
      <c r="H2777" t="s">
        <v>19708</v>
      </c>
    </row>
    <row r="2778" spans="6:8">
      <c r="H2778" t="s">
        <v>20107</v>
      </c>
    </row>
    <row r="2779" spans="6:8">
      <c r="H2779" t="s">
        <v>20108</v>
      </c>
    </row>
    <row r="2780" spans="6:8">
      <c r="H2780" t="s">
        <v>19713</v>
      </c>
    </row>
    <row r="2781" spans="6:8">
      <c r="H2781" t="s">
        <v>19714</v>
      </c>
    </row>
    <row r="2782" spans="6:8">
      <c r="H2782" t="s">
        <v>20109</v>
      </c>
    </row>
    <row r="2783" spans="6:8">
      <c r="H2783" t="s">
        <v>20110</v>
      </c>
    </row>
    <row r="2784" spans="6:8">
      <c r="H2784" t="s">
        <v>20095</v>
      </c>
    </row>
    <row r="2785" spans="6:8">
      <c r="H2785" t="s">
        <v>20096</v>
      </c>
    </row>
    <row r="2786" spans="6:8">
      <c r="H2786" t="s">
        <v>20097</v>
      </c>
    </row>
    <row r="2787" spans="6:8">
      <c r="H2787" t="s">
        <v>20098</v>
      </c>
    </row>
    <row r="2788" spans="6:8">
      <c r="F2788" t="s">
        <v>11202</v>
      </c>
      <c r="G2788" t="s">
        <v>15196</v>
      </c>
      <c r="H2788" t="s">
        <v>20091</v>
      </c>
    </row>
    <row r="2789" spans="6:8">
      <c r="H2789" t="s">
        <v>19712</v>
      </c>
    </row>
    <row r="2790" spans="6:8">
      <c r="H2790" t="s">
        <v>19709</v>
      </c>
    </row>
    <row r="2791" spans="6:8">
      <c r="H2791" t="s">
        <v>19706</v>
      </c>
    </row>
    <row r="2792" spans="6:8">
      <c r="H2792" t="s">
        <v>19707</v>
      </c>
    </row>
    <row r="2793" spans="6:8">
      <c r="H2793" t="s">
        <v>19711</v>
      </c>
    </row>
    <row r="2794" spans="6:8">
      <c r="H2794" t="s">
        <v>19708</v>
      </c>
    </row>
    <row r="2795" spans="6:8">
      <c r="H2795" t="s">
        <v>20107</v>
      </c>
    </row>
    <row r="2796" spans="6:8">
      <c r="H2796" t="s">
        <v>20108</v>
      </c>
    </row>
    <row r="2797" spans="6:8">
      <c r="H2797" t="s">
        <v>19713</v>
      </c>
    </row>
    <row r="2798" spans="6:8">
      <c r="H2798" t="s">
        <v>19714</v>
      </c>
    </row>
    <row r="2799" spans="6:8">
      <c r="H2799" t="s">
        <v>20109</v>
      </c>
    </row>
    <row r="2800" spans="6:8">
      <c r="H2800" t="s">
        <v>20110</v>
      </c>
    </row>
    <row r="2801" spans="6:8">
      <c r="H2801" t="s">
        <v>20095</v>
      </c>
    </row>
    <row r="2802" spans="6:8">
      <c r="H2802" t="s">
        <v>20096</v>
      </c>
    </row>
    <row r="2803" spans="6:8">
      <c r="H2803" t="s">
        <v>20097</v>
      </c>
    </row>
    <row r="2804" spans="6:8">
      <c r="H2804" t="s">
        <v>20098</v>
      </c>
    </row>
    <row r="2805" spans="6:8">
      <c r="F2805" t="s">
        <v>11203</v>
      </c>
      <c r="G2805" t="s">
        <v>15197</v>
      </c>
      <c r="H2805" t="s">
        <v>20091</v>
      </c>
    </row>
    <row r="2806" spans="6:8">
      <c r="H2806" t="s">
        <v>19712</v>
      </c>
    </row>
    <row r="2807" spans="6:8">
      <c r="H2807" t="s">
        <v>19709</v>
      </c>
    </row>
    <row r="2808" spans="6:8">
      <c r="H2808" t="s">
        <v>19706</v>
      </c>
    </row>
    <row r="2809" spans="6:8">
      <c r="H2809" t="s">
        <v>19707</v>
      </c>
    </row>
    <row r="2810" spans="6:8">
      <c r="H2810" t="s">
        <v>19711</v>
      </c>
    </row>
    <row r="2811" spans="6:8">
      <c r="H2811" t="s">
        <v>19708</v>
      </c>
    </row>
    <row r="2812" spans="6:8">
      <c r="H2812" t="s">
        <v>20107</v>
      </c>
    </row>
    <row r="2813" spans="6:8">
      <c r="H2813" t="s">
        <v>20108</v>
      </c>
    </row>
    <row r="2814" spans="6:8">
      <c r="H2814" t="s">
        <v>19713</v>
      </c>
    </row>
    <row r="2815" spans="6:8">
      <c r="H2815" t="s">
        <v>19714</v>
      </c>
    </row>
    <row r="2816" spans="6:8">
      <c r="H2816" t="s">
        <v>20109</v>
      </c>
    </row>
    <row r="2817" spans="6:8">
      <c r="H2817" t="s">
        <v>20110</v>
      </c>
    </row>
    <row r="2818" spans="6:8">
      <c r="H2818" t="s">
        <v>20095</v>
      </c>
    </row>
    <row r="2819" spans="6:8">
      <c r="H2819" t="s">
        <v>20096</v>
      </c>
    </row>
    <row r="2820" spans="6:8">
      <c r="H2820" t="s">
        <v>20097</v>
      </c>
    </row>
    <row r="2821" spans="6:8">
      <c r="H2821" t="s">
        <v>20098</v>
      </c>
    </row>
    <row r="2822" spans="6:8">
      <c r="F2822" t="s">
        <v>11204</v>
      </c>
      <c r="G2822" t="s">
        <v>15198</v>
      </c>
      <c r="H2822" t="s">
        <v>20091</v>
      </c>
    </row>
    <row r="2823" spans="6:8">
      <c r="H2823" t="s">
        <v>19712</v>
      </c>
    </row>
    <row r="2824" spans="6:8">
      <c r="H2824" t="s">
        <v>19709</v>
      </c>
    </row>
    <row r="2825" spans="6:8">
      <c r="H2825" t="s">
        <v>19706</v>
      </c>
    </row>
    <row r="2826" spans="6:8">
      <c r="H2826" t="s">
        <v>20107</v>
      </c>
    </row>
    <row r="2827" spans="6:8">
      <c r="H2827" t="s">
        <v>20108</v>
      </c>
    </row>
    <row r="2828" spans="6:8">
      <c r="H2828" t="s">
        <v>19713</v>
      </c>
    </row>
    <row r="2829" spans="6:8">
      <c r="H2829" t="s">
        <v>19714</v>
      </c>
    </row>
    <row r="2830" spans="6:8">
      <c r="H2830" t="s">
        <v>20109</v>
      </c>
    </row>
    <row r="2831" spans="6:8">
      <c r="H2831" t="s">
        <v>20110</v>
      </c>
    </row>
    <row r="2832" spans="6:8">
      <c r="H2832" t="s">
        <v>20111</v>
      </c>
    </row>
    <row r="2833" spans="6:8">
      <c r="H2833" t="s">
        <v>20112</v>
      </c>
    </row>
    <row r="2834" spans="6:8">
      <c r="H2834" t="s">
        <v>20095</v>
      </c>
    </row>
    <row r="2835" spans="6:8">
      <c r="H2835" t="s">
        <v>20096</v>
      </c>
    </row>
    <row r="2836" spans="6:8">
      <c r="H2836" t="s">
        <v>20097</v>
      </c>
    </row>
    <row r="2837" spans="6:8">
      <c r="H2837" t="s">
        <v>20098</v>
      </c>
    </row>
    <row r="2838" spans="6:8">
      <c r="F2838" t="s">
        <v>11205</v>
      </c>
      <c r="G2838" t="s">
        <v>15199</v>
      </c>
      <c r="H2838" t="s">
        <v>20091</v>
      </c>
    </row>
    <row r="2839" spans="6:8">
      <c r="H2839" t="s">
        <v>19712</v>
      </c>
    </row>
    <row r="2840" spans="6:8">
      <c r="H2840" t="s">
        <v>19709</v>
      </c>
    </row>
    <row r="2841" spans="6:8">
      <c r="H2841" t="s">
        <v>19706</v>
      </c>
    </row>
    <row r="2842" spans="6:8">
      <c r="H2842" t="s">
        <v>20107</v>
      </c>
    </row>
    <row r="2843" spans="6:8">
      <c r="H2843" t="s">
        <v>20108</v>
      </c>
    </row>
    <row r="2844" spans="6:8">
      <c r="H2844" t="s">
        <v>19713</v>
      </c>
    </row>
    <row r="2845" spans="6:8">
      <c r="H2845" t="s">
        <v>19714</v>
      </c>
    </row>
    <row r="2846" spans="6:8">
      <c r="H2846" t="s">
        <v>20109</v>
      </c>
    </row>
    <row r="2847" spans="6:8">
      <c r="H2847" t="s">
        <v>20110</v>
      </c>
    </row>
    <row r="2848" spans="6:8">
      <c r="H2848" t="s">
        <v>20111</v>
      </c>
    </row>
    <row r="2849" spans="6:8">
      <c r="H2849" t="s">
        <v>20112</v>
      </c>
    </row>
    <row r="2850" spans="6:8">
      <c r="H2850" t="s">
        <v>20096</v>
      </c>
    </row>
    <row r="2851" spans="6:8">
      <c r="H2851" t="s">
        <v>20097</v>
      </c>
    </row>
    <row r="2852" spans="6:8">
      <c r="H2852" t="s">
        <v>20098</v>
      </c>
    </row>
    <row r="2853" spans="6:8">
      <c r="H2853" t="s">
        <v>20099</v>
      </c>
    </row>
    <row r="2854" spans="6:8">
      <c r="F2854" t="s">
        <v>11206</v>
      </c>
      <c r="G2854" t="s">
        <v>15200</v>
      </c>
      <c r="H2854" t="s">
        <v>20091</v>
      </c>
    </row>
    <row r="2855" spans="6:8">
      <c r="H2855" t="s">
        <v>19712</v>
      </c>
    </row>
    <row r="2856" spans="6:8">
      <c r="H2856" t="s">
        <v>19709</v>
      </c>
    </row>
    <row r="2857" spans="6:8">
      <c r="H2857" t="s">
        <v>20092</v>
      </c>
    </row>
    <row r="2858" spans="6:8">
      <c r="H2858" t="s">
        <v>20093</v>
      </c>
    </row>
    <row r="2859" spans="6:8">
      <c r="H2859" t="s">
        <v>20094</v>
      </c>
    </row>
    <row r="2860" spans="6:8">
      <c r="H2860" t="s">
        <v>20095</v>
      </c>
    </row>
    <row r="2861" spans="6:8">
      <c r="H2861" t="s">
        <v>20096</v>
      </c>
    </row>
    <row r="2862" spans="6:8">
      <c r="H2862" t="s">
        <v>20097</v>
      </c>
    </row>
    <row r="2863" spans="6:8">
      <c r="H2863" t="s">
        <v>20098</v>
      </c>
    </row>
    <row r="2864" spans="6:8">
      <c r="H2864" t="s">
        <v>20099</v>
      </c>
    </row>
    <row r="2865" spans="6:8">
      <c r="H2865" t="s">
        <v>20100</v>
      </c>
    </row>
    <row r="2866" spans="6:8">
      <c r="H2866" t="s">
        <v>20101</v>
      </c>
    </row>
    <row r="2867" spans="6:8">
      <c r="F2867" t="s">
        <v>11207</v>
      </c>
      <c r="G2867" t="s">
        <v>15201</v>
      </c>
      <c r="H2867" t="s">
        <v>20091</v>
      </c>
    </row>
    <row r="2868" spans="6:8">
      <c r="H2868" t="s">
        <v>19712</v>
      </c>
    </row>
    <row r="2869" spans="6:8">
      <c r="H2869" t="s">
        <v>19709</v>
      </c>
    </row>
    <row r="2870" spans="6:8">
      <c r="H2870" t="s">
        <v>20092</v>
      </c>
    </row>
    <row r="2871" spans="6:8">
      <c r="H2871" t="s">
        <v>20093</v>
      </c>
    </row>
    <row r="2872" spans="6:8">
      <c r="H2872" t="s">
        <v>20094</v>
      </c>
    </row>
    <row r="2873" spans="6:8">
      <c r="H2873" t="s">
        <v>20095</v>
      </c>
    </row>
    <row r="2874" spans="6:8">
      <c r="H2874" t="s">
        <v>20096</v>
      </c>
    </row>
    <row r="2875" spans="6:8">
      <c r="H2875" t="s">
        <v>20097</v>
      </c>
    </row>
    <row r="2876" spans="6:8">
      <c r="H2876" t="s">
        <v>20098</v>
      </c>
    </row>
    <row r="2877" spans="6:8">
      <c r="H2877" t="s">
        <v>20099</v>
      </c>
    </row>
    <row r="2878" spans="6:8">
      <c r="H2878" t="s">
        <v>20100</v>
      </c>
    </row>
    <row r="2879" spans="6:8">
      <c r="H2879" t="s">
        <v>20101</v>
      </c>
    </row>
    <row r="2880" spans="6:8">
      <c r="F2880" t="s">
        <v>11208</v>
      </c>
      <c r="G2880" t="s">
        <v>15202</v>
      </c>
      <c r="H2880" t="s">
        <v>20091</v>
      </c>
    </row>
    <row r="2881" spans="6:8">
      <c r="H2881" t="s">
        <v>19712</v>
      </c>
    </row>
    <row r="2882" spans="6:8">
      <c r="H2882" t="s">
        <v>19709</v>
      </c>
    </row>
    <row r="2883" spans="6:8">
      <c r="H2883" t="s">
        <v>20092</v>
      </c>
    </row>
    <row r="2884" spans="6:8">
      <c r="H2884" t="s">
        <v>20093</v>
      </c>
    </row>
    <row r="2885" spans="6:8">
      <c r="H2885" t="s">
        <v>20094</v>
      </c>
    </row>
    <row r="2886" spans="6:8">
      <c r="H2886" t="s">
        <v>20095</v>
      </c>
    </row>
    <row r="2887" spans="6:8">
      <c r="H2887" t="s">
        <v>20096</v>
      </c>
    </row>
    <row r="2888" spans="6:8">
      <c r="H2888" t="s">
        <v>20097</v>
      </c>
    </row>
    <row r="2889" spans="6:8">
      <c r="H2889" t="s">
        <v>20098</v>
      </c>
    </row>
    <row r="2890" spans="6:8">
      <c r="H2890" t="s">
        <v>20099</v>
      </c>
    </row>
    <row r="2891" spans="6:8">
      <c r="H2891" t="s">
        <v>20100</v>
      </c>
    </row>
    <row r="2892" spans="6:8">
      <c r="H2892" t="s">
        <v>20101</v>
      </c>
    </row>
    <row r="2893" spans="6:8">
      <c r="F2893" t="s">
        <v>11209</v>
      </c>
      <c r="G2893" t="s">
        <v>15203</v>
      </c>
      <c r="H2893" t="s">
        <v>20091</v>
      </c>
    </row>
    <row r="2894" spans="6:8">
      <c r="H2894" t="s">
        <v>19712</v>
      </c>
    </row>
    <row r="2895" spans="6:8">
      <c r="H2895" t="s">
        <v>19709</v>
      </c>
    </row>
    <row r="2896" spans="6:8">
      <c r="H2896" t="s">
        <v>20092</v>
      </c>
    </row>
    <row r="2897" spans="6:8">
      <c r="H2897" t="s">
        <v>20093</v>
      </c>
    </row>
    <row r="2898" spans="6:8">
      <c r="H2898" t="s">
        <v>20094</v>
      </c>
    </row>
    <row r="2899" spans="6:8">
      <c r="H2899" t="s">
        <v>20095</v>
      </c>
    </row>
    <row r="2900" spans="6:8">
      <c r="H2900" t="s">
        <v>20096</v>
      </c>
    </row>
    <row r="2901" spans="6:8">
      <c r="H2901" t="s">
        <v>20097</v>
      </c>
    </row>
    <row r="2902" spans="6:8">
      <c r="H2902" t="s">
        <v>20098</v>
      </c>
    </row>
    <row r="2903" spans="6:8">
      <c r="H2903" t="s">
        <v>20099</v>
      </c>
    </row>
    <row r="2904" spans="6:8">
      <c r="H2904" t="s">
        <v>20100</v>
      </c>
    </row>
    <row r="2905" spans="6:8">
      <c r="H2905" t="s">
        <v>20101</v>
      </c>
    </row>
    <row r="2906" spans="6:8">
      <c r="F2906" t="s">
        <v>11210</v>
      </c>
      <c r="G2906" t="s">
        <v>15204</v>
      </c>
      <c r="H2906" t="s">
        <v>20091</v>
      </c>
    </row>
    <row r="2907" spans="6:8">
      <c r="H2907" t="s">
        <v>19712</v>
      </c>
    </row>
    <row r="2908" spans="6:8">
      <c r="H2908" t="s">
        <v>19709</v>
      </c>
    </row>
    <row r="2909" spans="6:8">
      <c r="H2909" t="s">
        <v>20092</v>
      </c>
    </row>
    <row r="2910" spans="6:8">
      <c r="H2910" t="s">
        <v>20093</v>
      </c>
    </row>
    <row r="2911" spans="6:8">
      <c r="H2911" t="s">
        <v>20094</v>
      </c>
    </row>
    <row r="2912" spans="6:8">
      <c r="H2912" t="s">
        <v>20095</v>
      </c>
    </row>
    <row r="2913" spans="6:8">
      <c r="H2913" t="s">
        <v>20096</v>
      </c>
    </row>
    <row r="2914" spans="6:8">
      <c r="H2914" t="s">
        <v>20097</v>
      </c>
    </row>
    <row r="2915" spans="6:8">
      <c r="H2915" t="s">
        <v>20098</v>
      </c>
    </row>
    <row r="2916" spans="6:8">
      <c r="H2916" t="s">
        <v>20099</v>
      </c>
    </row>
    <row r="2917" spans="6:8">
      <c r="H2917" t="s">
        <v>20100</v>
      </c>
    </row>
    <row r="2918" spans="6:8">
      <c r="H2918" t="s">
        <v>20101</v>
      </c>
    </row>
    <row r="2919" spans="6:8">
      <c r="F2919" t="s">
        <v>11211</v>
      </c>
      <c r="G2919" t="s">
        <v>15205</v>
      </c>
      <c r="H2919" t="s">
        <v>20091</v>
      </c>
    </row>
    <row r="2920" spans="6:8">
      <c r="H2920" t="s">
        <v>19712</v>
      </c>
    </row>
    <row r="2921" spans="6:8">
      <c r="H2921" t="s">
        <v>19709</v>
      </c>
    </row>
    <row r="2922" spans="6:8">
      <c r="H2922" t="s">
        <v>20092</v>
      </c>
    </row>
    <row r="2923" spans="6:8">
      <c r="H2923" t="s">
        <v>20093</v>
      </c>
    </row>
    <row r="2924" spans="6:8">
      <c r="H2924" t="s">
        <v>20094</v>
      </c>
    </row>
    <row r="2925" spans="6:8">
      <c r="H2925" t="s">
        <v>20095</v>
      </c>
    </row>
    <row r="2926" spans="6:8">
      <c r="H2926" t="s">
        <v>20096</v>
      </c>
    </row>
    <row r="2927" spans="6:8">
      <c r="H2927" t="s">
        <v>20097</v>
      </c>
    </row>
    <row r="2928" spans="6:8">
      <c r="H2928" t="s">
        <v>20098</v>
      </c>
    </row>
    <row r="2929" spans="6:8">
      <c r="H2929" t="s">
        <v>20099</v>
      </c>
    </row>
    <row r="2930" spans="6:8">
      <c r="H2930" t="s">
        <v>20100</v>
      </c>
    </row>
    <row r="2931" spans="6:8">
      <c r="H2931" t="s">
        <v>20101</v>
      </c>
    </row>
    <row r="2932" spans="6:8">
      <c r="F2932" t="s">
        <v>11212</v>
      </c>
      <c r="G2932" t="s">
        <v>15206</v>
      </c>
      <c r="H2932" t="s">
        <v>20091</v>
      </c>
    </row>
    <row r="2933" spans="6:8">
      <c r="H2933" t="s">
        <v>19712</v>
      </c>
    </row>
    <row r="2934" spans="6:8">
      <c r="H2934" t="s">
        <v>19709</v>
      </c>
    </row>
    <row r="2935" spans="6:8">
      <c r="H2935" t="s">
        <v>19706</v>
      </c>
    </row>
    <row r="2936" spans="6:8">
      <c r="H2936" t="s">
        <v>20092</v>
      </c>
    </row>
    <row r="2937" spans="6:8">
      <c r="H2937" t="s">
        <v>20093</v>
      </c>
    </row>
    <row r="2938" spans="6:8">
      <c r="H2938" t="s">
        <v>20094</v>
      </c>
    </row>
    <row r="2939" spans="6:8">
      <c r="H2939" t="s">
        <v>20095</v>
      </c>
    </row>
    <row r="2940" spans="6:8">
      <c r="H2940" t="s">
        <v>20096</v>
      </c>
    </row>
    <row r="2941" spans="6:8">
      <c r="H2941" t="s">
        <v>20097</v>
      </c>
    </row>
    <row r="2942" spans="6:8">
      <c r="H2942" t="s">
        <v>20098</v>
      </c>
    </row>
    <row r="2943" spans="6:8">
      <c r="H2943" t="s">
        <v>20099</v>
      </c>
    </row>
    <row r="2944" spans="6:8">
      <c r="H2944" t="s">
        <v>20100</v>
      </c>
    </row>
    <row r="2945" spans="6:8">
      <c r="H2945" t="s">
        <v>20101</v>
      </c>
    </row>
    <row r="2946" spans="6:8">
      <c r="F2946" t="s">
        <v>11213</v>
      </c>
      <c r="G2946" t="s">
        <v>15207</v>
      </c>
      <c r="H2946" t="s">
        <v>20091</v>
      </c>
    </row>
    <row r="2947" spans="6:8">
      <c r="H2947" t="s">
        <v>19712</v>
      </c>
    </row>
    <row r="2948" spans="6:8">
      <c r="H2948" t="s">
        <v>19709</v>
      </c>
    </row>
    <row r="2949" spans="6:8">
      <c r="H2949" t="s">
        <v>19706</v>
      </c>
    </row>
    <row r="2950" spans="6:8">
      <c r="H2950" t="s">
        <v>20107</v>
      </c>
    </row>
    <row r="2951" spans="6:8">
      <c r="H2951" t="s">
        <v>20108</v>
      </c>
    </row>
    <row r="2952" spans="6:8">
      <c r="H2952" t="s">
        <v>20096</v>
      </c>
    </row>
    <row r="2953" spans="6:8">
      <c r="H2953" t="s">
        <v>20097</v>
      </c>
    </row>
    <row r="2954" spans="6:8">
      <c r="H2954" t="s">
        <v>20098</v>
      </c>
    </row>
    <row r="2955" spans="6:8">
      <c r="H2955" t="s">
        <v>20099</v>
      </c>
    </row>
    <row r="2956" spans="6:8">
      <c r="F2956" t="s">
        <v>11214</v>
      </c>
      <c r="G2956" t="s">
        <v>15208</v>
      </c>
      <c r="H2956" t="s">
        <v>20091</v>
      </c>
    </row>
    <row r="2957" spans="6:8">
      <c r="H2957" t="s">
        <v>19712</v>
      </c>
    </row>
    <row r="2958" spans="6:8">
      <c r="H2958" t="s">
        <v>19709</v>
      </c>
    </row>
    <row r="2959" spans="6:8">
      <c r="H2959" t="s">
        <v>19706</v>
      </c>
    </row>
    <row r="2960" spans="6:8">
      <c r="H2960" t="s">
        <v>20107</v>
      </c>
    </row>
    <row r="2961" spans="6:8">
      <c r="H2961" t="s">
        <v>20108</v>
      </c>
    </row>
    <row r="2962" spans="6:8">
      <c r="H2962" t="s">
        <v>20096</v>
      </c>
    </row>
    <row r="2963" spans="6:8">
      <c r="H2963" t="s">
        <v>20097</v>
      </c>
    </row>
    <row r="2964" spans="6:8">
      <c r="H2964" t="s">
        <v>20098</v>
      </c>
    </row>
    <row r="2965" spans="6:8">
      <c r="H2965" t="s">
        <v>20099</v>
      </c>
    </row>
    <row r="2966" spans="6:8">
      <c r="F2966" t="s">
        <v>11215</v>
      </c>
      <c r="G2966" t="s">
        <v>15209</v>
      </c>
      <c r="H2966" t="s">
        <v>20091</v>
      </c>
    </row>
    <row r="2967" spans="6:8">
      <c r="H2967" t="s">
        <v>19712</v>
      </c>
    </row>
    <row r="2968" spans="6:8">
      <c r="H2968" t="s">
        <v>19709</v>
      </c>
    </row>
    <row r="2969" spans="6:8">
      <c r="H2969" t="s">
        <v>19706</v>
      </c>
    </row>
    <row r="2970" spans="6:8">
      <c r="H2970" t="s">
        <v>20107</v>
      </c>
    </row>
    <row r="2971" spans="6:8">
      <c r="H2971" t="s">
        <v>20108</v>
      </c>
    </row>
    <row r="2972" spans="6:8">
      <c r="H2972" t="s">
        <v>20095</v>
      </c>
    </row>
    <row r="2973" spans="6:8">
      <c r="H2973" t="s">
        <v>20096</v>
      </c>
    </row>
    <row r="2974" spans="6:8">
      <c r="H2974" t="s">
        <v>20097</v>
      </c>
    </row>
    <row r="2975" spans="6:8">
      <c r="H2975" t="s">
        <v>20099</v>
      </c>
    </row>
    <row r="2976" spans="6:8">
      <c r="F2976" t="s">
        <v>11216</v>
      </c>
      <c r="G2976" t="s">
        <v>15210</v>
      </c>
      <c r="H2976" t="s">
        <v>20091</v>
      </c>
    </row>
    <row r="2977" spans="6:8">
      <c r="H2977" t="s">
        <v>19712</v>
      </c>
    </row>
    <row r="2978" spans="6:8">
      <c r="H2978" t="s">
        <v>19709</v>
      </c>
    </row>
    <row r="2979" spans="6:8">
      <c r="H2979" t="s">
        <v>19706</v>
      </c>
    </row>
    <row r="2980" spans="6:8">
      <c r="H2980" t="s">
        <v>20107</v>
      </c>
    </row>
    <row r="2981" spans="6:8">
      <c r="H2981" t="s">
        <v>20108</v>
      </c>
    </row>
    <row r="2982" spans="6:8">
      <c r="H2982" t="s">
        <v>20095</v>
      </c>
    </row>
    <row r="2983" spans="6:8">
      <c r="H2983" t="s">
        <v>20096</v>
      </c>
    </row>
    <row r="2984" spans="6:8">
      <c r="H2984" t="s">
        <v>20097</v>
      </c>
    </row>
    <row r="2985" spans="6:8">
      <c r="H2985" t="s">
        <v>20099</v>
      </c>
    </row>
    <row r="2986" spans="6:8">
      <c r="F2986" t="s">
        <v>11217</v>
      </c>
      <c r="G2986" t="s">
        <v>15211</v>
      </c>
      <c r="H2986" t="s">
        <v>20091</v>
      </c>
    </row>
    <row r="2987" spans="6:8">
      <c r="H2987" t="s">
        <v>19712</v>
      </c>
    </row>
    <row r="2988" spans="6:8">
      <c r="H2988" t="s">
        <v>19709</v>
      </c>
    </row>
    <row r="2989" spans="6:8">
      <c r="H2989" t="s">
        <v>19706</v>
      </c>
    </row>
    <row r="2990" spans="6:8">
      <c r="H2990" t="s">
        <v>20107</v>
      </c>
    </row>
    <row r="2991" spans="6:8">
      <c r="H2991" t="s">
        <v>20108</v>
      </c>
    </row>
    <row r="2992" spans="6:8">
      <c r="H2992" t="s">
        <v>20095</v>
      </c>
    </row>
    <row r="2993" spans="6:8">
      <c r="H2993" t="s">
        <v>20096</v>
      </c>
    </row>
    <row r="2994" spans="6:8">
      <c r="H2994" t="s">
        <v>20097</v>
      </c>
    </row>
    <row r="2995" spans="6:8">
      <c r="H2995" t="s">
        <v>20098</v>
      </c>
    </row>
    <row r="2996" spans="6:8">
      <c r="F2996" t="s">
        <v>11218</v>
      </c>
      <c r="G2996" t="s">
        <v>15212</v>
      </c>
      <c r="H2996" t="s">
        <v>20091</v>
      </c>
    </row>
    <row r="2997" spans="6:8">
      <c r="H2997" t="s">
        <v>19712</v>
      </c>
    </row>
    <row r="2998" spans="6:8">
      <c r="H2998" t="s">
        <v>19709</v>
      </c>
    </row>
    <row r="2999" spans="6:8">
      <c r="H2999" t="s">
        <v>19706</v>
      </c>
    </row>
    <row r="3000" spans="6:8">
      <c r="H3000" t="s">
        <v>20107</v>
      </c>
    </row>
    <row r="3001" spans="6:8">
      <c r="H3001" t="s">
        <v>20108</v>
      </c>
    </row>
    <row r="3002" spans="6:8">
      <c r="H3002" t="s">
        <v>20095</v>
      </c>
    </row>
    <row r="3003" spans="6:8">
      <c r="H3003" t="s">
        <v>20096</v>
      </c>
    </row>
    <row r="3004" spans="6:8">
      <c r="H3004" t="s">
        <v>20097</v>
      </c>
    </row>
    <row r="3005" spans="6:8">
      <c r="H3005" t="s">
        <v>20098</v>
      </c>
    </row>
    <row r="3006" spans="6:8">
      <c r="F3006" t="s">
        <v>11219</v>
      </c>
      <c r="G3006" t="s">
        <v>15213</v>
      </c>
      <c r="H3006" t="s">
        <v>20091</v>
      </c>
    </row>
    <row r="3007" spans="6:8">
      <c r="H3007" t="s">
        <v>19712</v>
      </c>
    </row>
    <row r="3008" spans="6:8">
      <c r="H3008" t="s">
        <v>19709</v>
      </c>
    </row>
    <row r="3009" spans="6:8">
      <c r="H3009" t="s">
        <v>20092</v>
      </c>
    </row>
    <row r="3010" spans="6:8">
      <c r="H3010" t="s">
        <v>20093</v>
      </c>
    </row>
    <row r="3011" spans="6:8">
      <c r="H3011" t="s">
        <v>20094</v>
      </c>
    </row>
    <row r="3012" spans="6:8">
      <c r="H3012" t="s">
        <v>20095</v>
      </c>
    </row>
    <row r="3013" spans="6:8">
      <c r="H3013" t="s">
        <v>20096</v>
      </c>
    </row>
    <row r="3014" spans="6:8">
      <c r="H3014" t="s">
        <v>20097</v>
      </c>
    </row>
    <row r="3015" spans="6:8">
      <c r="H3015" t="s">
        <v>20098</v>
      </c>
    </row>
    <row r="3016" spans="6:8">
      <c r="H3016" t="s">
        <v>20099</v>
      </c>
    </row>
    <row r="3017" spans="6:8">
      <c r="H3017" t="s">
        <v>20100</v>
      </c>
    </row>
    <row r="3018" spans="6:8">
      <c r="H3018" t="s">
        <v>20101</v>
      </c>
    </row>
    <row r="3019" spans="6:8">
      <c r="F3019" t="s">
        <v>11220</v>
      </c>
      <c r="G3019" t="s">
        <v>15214</v>
      </c>
      <c r="H3019" t="s">
        <v>20091</v>
      </c>
    </row>
    <row r="3020" spans="6:8">
      <c r="H3020" t="s">
        <v>19712</v>
      </c>
    </row>
    <row r="3021" spans="6:8">
      <c r="H3021" t="s">
        <v>19709</v>
      </c>
    </row>
    <row r="3022" spans="6:8">
      <c r="H3022" t="s">
        <v>20092</v>
      </c>
    </row>
    <row r="3023" spans="6:8">
      <c r="H3023" t="s">
        <v>20093</v>
      </c>
    </row>
    <row r="3024" spans="6:8">
      <c r="H3024" t="s">
        <v>20094</v>
      </c>
    </row>
    <row r="3025" spans="6:8">
      <c r="H3025" t="s">
        <v>20095</v>
      </c>
    </row>
    <row r="3026" spans="6:8">
      <c r="H3026" t="s">
        <v>20096</v>
      </c>
    </row>
    <row r="3027" spans="6:8">
      <c r="H3027" t="s">
        <v>20097</v>
      </c>
    </row>
    <row r="3028" spans="6:8">
      <c r="H3028" t="s">
        <v>20098</v>
      </c>
    </row>
    <row r="3029" spans="6:8">
      <c r="H3029" t="s">
        <v>20099</v>
      </c>
    </row>
    <row r="3030" spans="6:8">
      <c r="H3030" t="s">
        <v>20100</v>
      </c>
    </row>
    <row r="3031" spans="6:8">
      <c r="H3031" t="s">
        <v>20101</v>
      </c>
    </row>
    <row r="3032" spans="6:8">
      <c r="H3032" t="s">
        <v>20104</v>
      </c>
    </row>
    <row r="3033" spans="6:8">
      <c r="F3033" t="s">
        <v>11221</v>
      </c>
      <c r="G3033" t="s">
        <v>15215</v>
      </c>
      <c r="H3033" t="s">
        <v>20091</v>
      </c>
    </row>
    <row r="3034" spans="6:8">
      <c r="H3034" t="s">
        <v>19712</v>
      </c>
    </row>
    <row r="3035" spans="6:8">
      <c r="H3035" t="s">
        <v>19709</v>
      </c>
    </row>
    <row r="3036" spans="6:8">
      <c r="H3036" t="s">
        <v>20092</v>
      </c>
    </row>
    <row r="3037" spans="6:8">
      <c r="H3037" t="s">
        <v>20093</v>
      </c>
    </row>
    <row r="3038" spans="6:8">
      <c r="H3038" t="s">
        <v>20094</v>
      </c>
    </row>
    <row r="3039" spans="6:8">
      <c r="H3039" t="s">
        <v>20095</v>
      </c>
    </row>
    <row r="3040" spans="6:8">
      <c r="H3040" t="s">
        <v>20096</v>
      </c>
    </row>
    <row r="3041" spans="6:8">
      <c r="H3041" t="s">
        <v>20097</v>
      </c>
    </row>
    <row r="3042" spans="6:8">
      <c r="H3042" t="s">
        <v>20098</v>
      </c>
    </row>
    <row r="3043" spans="6:8">
      <c r="H3043" t="s">
        <v>20099</v>
      </c>
    </row>
    <row r="3044" spans="6:8">
      <c r="H3044" t="s">
        <v>20100</v>
      </c>
    </row>
    <row r="3045" spans="6:8">
      <c r="H3045" t="s">
        <v>20101</v>
      </c>
    </row>
    <row r="3046" spans="6:8">
      <c r="H3046" t="s">
        <v>20102</v>
      </c>
    </row>
    <row r="3047" spans="6:8">
      <c r="F3047" t="s">
        <v>11222</v>
      </c>
      <c r="G3047" t="s">
        <v>15216</v>
      </c>
      <c r="H3047" t="s">
        <v>20091</v>
      </c>
    </row>
    <row r="3048" spans="6:8">
      <c r="H3048" t="s">
        <v>19712</v>
      </c>
    </row>
    <row r="3049" spans="6:8">
      <c r="H3049" t="s">
        <v>19709</v>
      </c>
    </row>
    <row r="3050" spans="6:8">
      <c r="H3050" t="s">
        <v>20092</v>
      </c>
    </row>
    <row r="3051" spans="6:8">
      <c r="H3051" t="s">
        <v>20093</v>
      </c>
    </row>
    <row r="3052" spans="6:8">
      <c r="H3052" t="s">
        <v>20094</v>
      </c>
    </row>
    <row r="3053" spans="6:8">
      <c r="H3053" t="s">
        <v>20095</v>
      </c>
    </row>
    <row r="3054" spans="6:8">
      <c r="H3054" t="s">
        <v>20096</v>
      </c>
    </row>
    <row r="3055" spans="6:8">
      <c r="H3055" t="s">
        <v>20097</v>
      </c>
    </row>
    <row r="3056" spans="6:8">
      <c r="H3056" t="s">
        <v>20098</v>
      </c>
    </row>
    <row r="3057" spans="6:8">
      <c r="H3057" t="s">
        <v>20099</v>
      </c>
    </row>
    <row r="3058" spans="6:8">
      <c r="H3058" t="s">
        <v>20100</v>
      </c>
    </row>
    <row r="3059" spans="6:8">
      <c r="H3059" t="s">
        <v>20101</v>
      </c>
    </row>
    <row r="3060" spans="6:8">
      <c r="H3060" t="s">
        <v>20104</v>
      </c>
    </row>
    <row r="3061" spans="6:8">
      <c r="F3061" t="s">
        <v>11223</v>
      </c>
      <c r="G3061" t="s">
        <v>15217</v>
      </c>
      <c r="H3061" t="s">
        <v>20091</v>
      </c>
    </row>
    <row r="3062" spans="6:8">
      <c r="H3062" t="s">
        <v>19712</v>
      </c>
    </row>
    <row r="3063" spans="6:8">
      <c r="H3063" t="s">
        <v>19709</v>
      </c>
    </row>
    <row r="3064" spans="6:8">
      <c r="H3064" t="s">
        <v>19706</v>
      </c>
    </row>
    <row r="3065" spans="6:8">
      <c r="H3065" t="s">
        <v>19707</v>
      </c>
    </row>
    <row r="3066" spans="6:8">
      <c r="H3066" t="s">
        <v>20092</v>
      </c>
    </row>
    <row r="3067" spans="6:8">
      <c r="H3067" t="s">
        <v>20093</v>
      </c>
    </row>
    <row r="3068" spans="6:8">
      <c r="H3068" t="s">
        <v>20094</v>
      </c>
    </row>
    <row r="3069" spans="6:8">
      <c r="H3069" t="s">
        <v>20103</v>
      </c>
    </row>
    <row r="3070" spans="6:8">
      <c r="H3070" t="s">
        <v>20095</v>
      </c>
    </row>
    <row r="3071" spans="6:8">
      <c r="H3071" t="s">
        <v>20096</v>
      </c>
    </row>
    <row r="3072" spans="6:8">
      <c r="H3072" t="s">
        <v>20097</v>
      </c>
    </row>
    <row r="3073" spans="6:8">
      <c r="H3073" t="s">
        <v>20098</v>
      </c>
    </row>
    <row r="3074" spans="6:8">
      <c r="H3074" t="s">
        <v>20099</v>
      </c>
    </row>
    <row r="3075" spans="6:8">
      <c r="H3075" t="s">
        <v>20100</v>
      </c>
    </row>
    <row r="3076" spans="6:8">
      <c r="H3076" t="s">
        <v>20101</v>
      </c>
    </row>
    <row r="3077" spans="6:8">
      <c r="H3077" t="s">
        <v>20102</v>
      </c>
    </row>
    <row r="3078" spans="6:8">
      <c r="F3078" t="s">
        <v>11224</v>
      </c>
      <c r="G3078" t="s">
        <v>15218</v>
      </c>
      <c r="H3078" t="s">
        <v>20091</v>
      </c>
    </row>
    <row r="3079" spans="6:8">
      <c r="H3079" t="s">
        <v>19712</v>
      </c>
    </row>
    <row r="3080" spans="6:8">
      <c r="H3080" t="s">
        <v>19709</v>
      </c>
    </row>
    <row r="3081" spans="6:8">
      <c r="H3081" t="s">
        <v>20092</v>
      </c>
    </row>
    <row r="3082" spans="6:8">
      <c r="H3082" t="s">
        <v>20093</v>
      </c>
    </row>
    <row r="3083" spans="6:8">
      <c r="H3083" t="s">
        <v>20094</v>
      </c>
    </row>
    <row r="3084" spans="6:8">
      <c r="H3084" t="s">
        <v>20095</v>
      </c>
    </row>
    <row r="3085" spans="6:8">
      <c r="H3085" t="s">
        <v>20096</v>
      </c>
    </row>
    <row r="3086" spans="6:8">
      <c r="H3086" t="s">
        <v>20097</v>
      </c>
    </row>
    <row r="3087" spans="6:8">
      <c r="H3087" t="s">
        <v>20098</v>
      </c>
    </row>
    <row r="3088" spans="6:8">
      <c r="H3088" t="s">
        <v>20099</v>
      </c>
    </row>
    <row r="3089" spans="6:8">
      <c r="H3089" t="s">
        <v>20100</v>
      </c>
    </row>
    <row r="3090" spans="6:8">
      <c r="H3090" t="s">
        <v>20101</v>
      </c>
    </row>
    <row r="3091" spans="6:8">
      <c r="H3091" t="s">
        <v>20102</v>
      </c>
    </row>
    <row r="3092" spans="6:8">
      <c r="F3092" t="s">
        <v>11225</v>
      </c>
      <c r="G3092" t="s">
        <v>15219</v>
      </c>
      <c r="H3092" t="s">
        <v>20091</v>
      </c>
    </row>
    <row r="3093" spans="6:8">
      <c r="H3093" t="s">
        <v>19712</v>
      </c>
    </row>
    <row r="3094" spans="6:8">
      <c r="H3094" t="s">
        <v>19709</v>
      </c>
    </row>
    <row r="3095" spans="6:8">
      <c r="H3095" t="s">
        <v>19706</v>
      </c>
    </row>
    <row r="3096" spans="6:8">
      <c r="H3096" t="s">
        <v>19707</v>
      </c>
    </row>
    <row r="3097" spans="6:8">
      <c r="H3097" t="s">
        <v>20092</v>
      </c>
    </row>
    <row r="3098" spans="6:8">
      <c r="H3098" t="s">
        <v>20093</v>
      </c>
    </row>
    <row r="3099" spans="6:8">
      <c r="H3099" t="s">
        <v>20094</v>
      </c>
    </row>
    <row r="3100" spans="6:8">
      <c r="H3100" t="s">
        <v>20095</v>
      </c>
    </row>
    <row r="3101" spans="6:8">
      <c r="H3101" t="s">
        <v>20096</v>
      </c>
    </row>
    <row r="3102" spans="6:8">
      <c r="H3102" t="s">
        <v>20097</v>
      </c>
    </row>
    <row r="3103" spans="6:8">
      <c r="H3103" t="s">
        <v>20099</v>
      </c>
    </row>
    <row r="3104" spans="6:8">
      <c r="H3104" t="s">
        <v>20100</v>
      </c>
    </row>
    <row r="3105" spans="6:8">
      <c r="H3105" t="s">
        <v>20101</v>
      </c>
    </row>
    <row r="3106" spans="6:8">
      <c r="F3106" t="s">
        <v>11226</v>
      </c>
      <c r="G3106" t="s">
        <v>15585</v>
      </c>
      <c r="H3106" t="s">
        <v>20091</v>
      </c>
    </row>
    <row r="3107" spans="6:8">
      <c r="H3107" t="s">
        <v>19712</v>
      </c>
    </row>
    <row r="3108" spans="6:8">
      <c r="H3108" t="s">
        <v>20106</v>
      </c>
    </row>
    <row r="3109" spans="6:8">
      <c r="H3109" t="s">
        <v>20095</v>
      </c>
    </row>
    <row r="3110" spans="6:8">
      <c r="H3110" t="s">
        <v>20096</v>
      </c>
    </row>
    <row r="3111" spans="6:8">
      <c r="H3111" t="s">
        <v>20097</v>
      </c>
    </row>
    <row r="3112" spans="6:8">
      <c r="F3112" t="s">
        <v>11227</v>
      </c>
      <c r="G3112" t="s">
        <v>15586</v>
      </c>
      <c r="H3112" t="s">
        <v>20091</v>
      </c>
    </row>
    <row r="3113" spans="6:8">
      <c r="H3113" t="s">
        <v>19712</v>
      </c>
    </row>
    <row r="3114" spans="6:8">
      <c r="H3114" t="s">
        <v>19706</v>
      </c>
    </row>
    <row r="3115" spans="6:8">
      <c r="H3115" t="s">
        <v>20092</v>
      </c>
    </row>
    <row r="3116" spans="6:8">
      <c r="H3116" t="s">
        <v>20095</v>
      </c>
    </row>
    <row r="3117" spans="6:8">
      <c r="H3117" t="s">
        <v>20096</v>
      </c>
    </row>
    <row r="3118" spans="6:8">
      <c r="H3118" t="s">
        <v>20097</v>
      </c>
    </row>
    <row r="3119" spans="6:8">
      <c r="H3119" t="s">
        <v>20098</v>
      </c>
    </row>
    <row r="3120" spans="6:8">
      <c r="H3120" t="s">
        <v>20099</v>
      </c>
    </row>
    <row r="3121" spans="6:8">
      <c r="H3121" t="s">
        <v>20100</v>
      </c>
    </row>
    <row r="3122" spans="6:8">
      <c r="H3122" t="s">
        <v>20101</v>
      </c>
    </row>
    <row r="3123" spans="6:8">
      <c r="F3123" t="s">
        <v>11228</v>
      </c>
      <c r="G3123" t="s">
        <v>15220</v>
      </c>
      <c r="H3123" t="s">
        <v>20091</v>
      </c>
    </row>
    <row r="3124" spans="6:8">
      <c r="H3124" t="s">
        <v>19712</v>
      </c>
    </row>
    <row r="3125" spans="6:8">
      <c r="H3125" t="s">
        <v>19709</v>
      </c>
    </row>
    <row r="3126" spans="6:8">
      <c r="H3126" t="s">
        <v>19706</v>
      </c>
    </row>
    <row r="3127" spans="6:8">
      <c r="H3127" t="s">
        <v>20107</v>
      </c>
    </row>
    <row r="3128" spans="6:8">
      <c r="H3128" t="s">
        <v>20108</v>
      </c>
    </row>
    <row r="3129" spans="6:8">
      <c r="H3129" t="s">
        <v>19713</v>
      </c>
    </row>
    <row r="3130" spans="6:8">
      <c r="H3130" t="s">
        <v>19714</v>
      </c>
    </row>
    <row r="3131" spans="6:8">
      <c r="H3131" t="s">
        <v>20109</v>
      </c>
    </row>
    <row r="3132" spans="6:8">
      <c r="H3132" t="s">
        <v>20110</v>
      </c>
    </row>
    <row r="3133" spans="6:8">
      <c r="H3133" t="s">
        <v>20095</v>
      </c>
    </row>
    <row r="3134" spans="6:8">
      <c r="H3134" t="s">
        <v>20096</v>
      </c>
    </row>
    <row r="3135" spans="6:8">
      <c r="H3135" t="s">
        <v>20097</v>
      </c>
    </row>
    <row r="3136" spans="6:8">
      <c r="H3136" t="s">
        <v>20098</v>
      </c>
    </row>
    <row r="3137" spans="6:8">
      <c r="F3137" t="s">
        <v>11229</v>
      </c>
      <c r="G3137" t="s">
        <v>15221</v>
      </c>
      <c r="H3137" t="s">
        <v>20091</v>
      </c>
    </row>
    <row r="3138" spans="6:8">
      <c r="H3138" t="s">
        <v>19712</v>
      </c>
    </row>
    <row r="3139" spans="6:8">
      <c r="H3139" t="s">
        <v>19709</v>
      </c>
    </row>
    <row r="3140" spans="6:8">
      <c r="H3140" t="s">
        <v>19706</v>
      </c>
    </row>
    <row r="3141" spans="6:8">
      <c r="H3141" t="s">
        <v>20107</v>
      </c>
    </row>
    <row r="3142" spans="6:8">
      <c r="H3142" t="s">
        <v>20108</v>
      </c>
    </row>
    <row r="3143" spans="6:8">
      <c r="H3143" t="s">
        <v>19713</v>
      </c>
    </row>
    <row r="3144" spans="6:8">
      <c r="H3144" t="s">
        <v>19714</v>
      </c>
    </row>
    <row r="3145" spans="6:8">
      <c r="H3145" t="s">
        <v>20109</v>
      </c>
    </row>
    <row r="3146" spans="6:8">
      <c r="H3146" t="s">
        <v>20095</v>
      </c>
    </row>
    <row r="3147" spans="6:8">
      <c r="H3147" t="s">
        <v>20096</v>
      </c>
    </row>
    <row r="3148" spans="6:8">
      <c r="H3148" t="s">
        <v>20097</v>
      </c>
    </row>
    <row r="3149" spans="6:8">
      <c r="H3149" t="s">
        <v>20098</v>
      </c>
    </row>
    <row r="3150" spans="6:8">
      <c r="F3150" t="s">
        <v>11230</v>
      </c>
      <c r="G3150" t="s">
        <v>15222</v>
      </c>
      <c r="H3150" t="s">
        <v>20091</v>
      </c>
    </row>
    <row r="3151" spans="6:8">
      <c r="H3151" t="s">
        <v>19712</v>
      </c>
    </row>
    <row r="3152" spans="6:8">
      <c r="H3152" t="s">
        <v>19709</v>
      </c>
    </row>
    <row r="3153" spans="6:8">
      <c r="H3153" t="s">
        <v>19706</v>
      </c>
    </row>
    <row r="3154" spans="6:8">
      <c r="H3154" t="s">
        <v>20107</v>
      </c>
    </row>
    <row r="3155" spans="6:8">
      <c r="H3155" t="s">
        <v>20108</v>
      </c>
    </row>
    <row r="3156" spans="6:8">
      <c r="H3156" t="s">
        <v>19713</v>
      </c>
    </row>
    <row r="3157" spans="6:8">
      <c r="H3157" t="s">
        <v>19714</v>
      </c>
    </row>
    <row r="3158" spans="6:8">
      <c r="H3158" t="s">
        <v>20109</v>
      </c>
    </row>
    <row r="3159" spans="6:8">
      <c r="H3159" t="s">
        <v>20095</v>
      </c>
    </row>
    <row r="3160" spans="6:8">
      <c r="H3160" t="s">
        <v>20096</v>
      </c>
    </row>
    <row r="3161" spans="6:8">
      <c r="H3161" t="s">
        <v>20097</v>
      </c>
    </row>
    <row r="3162" spans="6:8">
      <c r="H3162" t="s">
        <v>20098</v>
      </c>
    </row>
    <row r="3163" spans="6:8">
      <c r="F3163" t="s">
        <v>11231</v>
      </c>
      <c r="G3163" t="s">
        <v>15223</v>
      </c>
      <c r="H3163" t="s">
        <v>20091</v>
      </c>
    </row>
    <row r="3164" spans="6:8">
      <c r="H3164" t="s">
        <v>19712</v>
      </c>
    </row>
    <row r="3165" spans="6:8">
      <c r="H3165" t="s">
        <v>19709</v>
      </c>
    </row>
    <row r="3166" spans="6:8">
      <c r="H3166" t="s">
        <v>19706</v>
      </c>
    </row>
    <row r="3167" spans="6:8">
      <c r="H3167" t="s">
        <v>20107</v>
      </c>
    </row>
    <row r="3168" spans="6:8">
      <c r="H3168" t="s">
        <v>20108</v>
      </c>
    </row>
    <row r="3169" spans="6:8">
      <c r="H3169" t="s">
        <v>19713</v>
      </c>
    </row>
    <row r="3170" spans="6:8">
      <c r="H3170" t="s">
        <v>19714</v>
      </c>
    </row>
    <row r="3171" spans="6:8">
      <c r="H3171" t="s">
        <v>20109</v>
      </c>
    </row>
    <row r="3172" spans="6:8">
      <c r="H3172" t="s">
        <v>20095</v>
      </c>
    </row>
    <row r="3173" spans="6:8">
      <c r="H3173" t="s">
        <v>20096</v>
      </c>
    </row>
    <row r="3174" spans="6:8">
      <c r="H3174" t="s">
        <v>20097</v>
      </c>
    </row>
    <row r="3175" spans="6:8">
      <c r="H3175" t="s">
        <v>20098</v>
      </c>
    </row>
    <row r="3176" spans="6:8">
      <c r="F3176" t="s">
        <v>11232</v>
      </c>
      <c r="G3176" t="s">
        <v>15224</v>
      </c>
      <c r="H3176" t="s">
        <v>20091</v>
      </c>
    </row>
    <row r="3177" spans="6:8">
      <c r="H3177" t="s">
        <v>19712</v>
      </c>
    </row>
    <row r="3178" spans="6:8">
      <c r="H3178" t="s">
        <v>19709</v>
      </c>
    </row>
    <row r="3179" spans="6:8">
      <c r="H3179" t="s">
        <v>19706</v>
      </c>
    </row>
    <row r="3180" spans="6:8">
      <c r="H3180" t="s">
        <v>20107</v>
      </c>
    </row>
    <row r="3181" spans="6:8">
      <c r="H3181" t="s">
        <v>20108</v>
      </c>
    </row>
    <row r="3182" spans="6:8">
      <c r="H3182" t="s">
        <v>19713</v>
      </c>
    </row>
    <row r="3183" spans="6:8">
      <c r="H3183" t="s">
        <v>19714</v>
      </c>
    </row>
    <row r="3184" spans="6:8">
      <c r="H3184" t="s">
        <v>20109</v>
      </c>
    </row>
    <row r="3185" spans="6:8">
      <c r="H3185" t="s">
        <v>20095</v>
      </c>
    </row>
    <row r="3186" spans="6:8">
      <c r="H3186" t="s">
        <v>20096</v>
      </c>
    </row>
    <row r="3187" spans="6:8">
      <c r="H3187" t="s">
        <v>20097</v>
      </c>
    </row>
    <row r="3188" spans="6:8">
      <c r="H3188" t="s">
        <v>20098</v>
      </c>
    </row>
    <row r="3189" spans="6:8">
      <c r="F3189" t="s">
        <v>11233</v>
      </c>
      <c r="G3189" t="s">
        <v>15587</v>
      </c>
      <c r="H3189" t="s">
        <v>19712</v>
      </c>
    </row>
    <row r="3190" spans="6:8">
      <c r="H3190" t="s">
        <v>20095</v>
      </c>
    </row>
    <row r="3191" spans="6:8">
      <c r="H3191" t="s">
        <v>20096</v>
      </c>
    </row>
    <row r="3192" spans="6:8">
      <c r="F3192" t="s">
        <v>11234</v>
      </c>
      <c r="G3192" t="s">
        <v>15588</v>
      </c>
      <c r="H3192" t="s">
        <v>19712</v>
      </c>
    </row>
    <row r="3193" spans="6:8">
      <c r="H3193" t="s">
        <v>20095</v>
      </c>
    </row>
    <row r="3194" spans="6:8">
      <c r="H3194" t="s">
        <v>20096</v>
      </c>
    </row>
    <row r="3195" spans="6:8">
      <c r="F3195" t="s">
        <v>11235</v>
      </c>
      <c r="G3195" t="s">
        <v>15589</v>
      </c>
      <c r="H3195" t="s">
        <v>20091</v>
      </c>
    </row>
    <row r="3196" spans="6:8">
      <c r="H3196" t="s">
        <v>19712</v>
      </c>
    </row>
    <row r="3197" spans="6:8">
      <c r="H3197" t="s">
        <v>20092</v>
      </c>
    </row>
    <row r="3198" spans="6:8">
      <c r="H3198" t="s">
        <v>20093</v>
      </c>
    </row>
    <row r="3199" spans="6:8">
      <c r="H3199" t="s">
        <v>20095</v>
      </c>
    </row>
    <row r="3200" spans="6:8">
      <c r="H3200" t="s">
        <v>20096</v>
      </c>
    </row>
    <row r="3201" spans="6:8">
      <c r="H3201" t="s">
        <v>20097</v>
      </c>
    </row>
    <row r="3202" spans="6:8">
      <c r="F3202" t="s">
        <v>11236</v>
      </c>
      <c r="G3202" t="s">
        <v>15590</v>
      </c>
      <c r="H3202" t="s">
        <v>20091</v>
      </c>
    </row>
    <row r="3203" spans="6:8">
      <c r="H3203" t="s">
        <v>20095</v>
      </c>
    </row>
    <row r="3204" spans="6:8">
      <c r="H3204" t="s">
        <v>20096</v>
      </c>
    </row>
    <row r="3205" spans="6:8">
      <c r="F3205" t="s">
        <v>11237</v>
      </c>
      <c r="G3205" t="s">
        <v>15591</v>
      </c>
      <c r="H3205" t="s">
        <v>20091</v>
      </c>
    </row>
    <row r="3206" spans="6:8">
      <c r="H3206" t="s">
        <v>20095</v>
      </c>
    </row>
    <row r="3207" spans="6:8">
      <c r="H3207" t="s">
        <v>20096</v>
      </c>
    </row>
    <row r="3208" spans="6:8">
      <c r="H3208" t="s">
        <v>20097</v>
      </c>
    </row>
    <row r="3209" spans="6:8">
      <c r="F3209" t="s">
        <v>11238</v>
      </c>
      <c r="G3209" t="s">
        <v>15592</v>
      </c>
      <c r="H3209" t="s">
        <v>20091</v>
      </c>
    </row>
    <row r="3210" spans="6:8">
      <c r="H3210" t="s">
        <v>20095</v>
      </c>
    </row>
    <row r="3211" spans="6:8">
      <c r="H3211" t="s">
        <v>20096</v>
      </c>
    </row>
    <row r="3212" spans="6:8">
      <c r="H3212" t="s">
        <v>20097</v>
      </c>
    </row>
    <row r="3213" spans="6:8">
      <c r="F3213" t="s">
        <v>11239</v>
      </c>
      <c r="G3213" t="s">
        <v>15593</v>
      </c>
      <c r="H3213" t="s">
        <v>20091</v>
      </c>
    </row>
    <row r="3214" spans="6:8">
      <c r="H3214" t="s">
        <v>19712</v>
      </c>
    </row>
    <row r="3215" spans="6:8">
      <c r="H3215" t="s">
        <v>20095</v>
      </c>
    </row>
    <row r="3216" spans="6:8">
      <c r="H3216" t="s">
        <v>20096</v>
      </c>
    </row>
    <row r="3217" spans="6:8">
      <c r="F3217" t="s">
        <v>11240</v>
      </c>
      <c r="G3217" t="s">
        <v>15594</v>
      </c>
      <c r="H3217" t="s">
        <v>20091</v>
      </c>
    </row>
    <row r="3218" spans="6:8">
      <c r="H3218" t="s">
        <v>20095</v>
      </c>
    </row>
    <row r="3219" spans="6:8">
      <c r="H3219" t="s">
        <v>20096</v>
      </c>
    </row>
    <row r="3220" spans="6:8">
      <c r="F3220" t="s">
        <v>11241</v>
      </c>
      <c r="G3220" t="s">
        <v>15595</v>
      </c>
      <c r="H3220" t="s">
        <v>20091</v>
      </c>
    </row>
    <row r="3221" spans="6:8">
      <c r="H3221" t="s">
        <v>20095</v>
      </c>
    </row>
    <row r="3222" spans="6:8">
      <c r="H3222" t="s">
        <v>20096</v>
      </c>
    </row>
    <row r="3223" spans="6:8">
      <c r="F3223" t="s">
        <v>11242</v>
      </c>
      <c r="G3223" t="s">
        <v>15596</v>
      </c>
      <c r="H3223" t="s">
        <v>19712</v>
      </c>
    </row>
    <row r="3224" spans="6:8">
      <c r="H3224" t="s">
        <v>20095</v>
      </c>
    </row>
    <row r="3225" spans="6:8">
      <c r="H3225" t="s">
        <v>20096</v>
      </c>
    </row>
    <row r="3226" spans="6:8">
      <c r="F3226" t="s">
        <v>11243</v>
      </c>
      <c r="G3226" t="s">
        <v>15225</v>
      </c>
      <c r="H3226" t="s">
        <v>20091</v>
      </c>
    </row>
    <row r="3227" spans="6:8">
      <c r="H3227" t="s">
        <v>19712</v>
      </c>
    </row>
    <row r="3228" spans="6:8">
      <c r="H3228" t="s">
        <v>19709</v>
      </c>
    </row>
    <row r="3229" spans="6:8">
      <c r="H3229" t="s">
        <v>19706</v>
      </c>
    </row>
    <row r="3230" spans="6:8">
      <c r="H3230" t="s">
        <v>19707</v>
      </c>
    </row>
    <row r="3231" spans="6:8">
      <c r="H3231" t="s">
        <v>20108</v>
      </c>
    </row>
    <row r="3232" spans="6:8">
      <c r="H3232" t="s">
        <v>19713</v>
      </c>
    </row>
    <row r="3233" spans="6:8">
      <c r="H3233" t="s">
        <v>19714</v>
      </c>
    </row>
    <row r="3234" spans="6:8">
      <c r="H3234" t="s">
        <v>20109</v>
      </c>
    </row>
    <row r="3235" spans="6:8">
      <c r="H3235" t="s">
        <v>20110</v>
      </c>
    </row>
    <row r="3236" spans="6:8">
      <c r="H3236" t="s">
        <v>20111</v>
      </c>
    </row>
    <row r="3237" spans="6:8">
      <c r="H3237" t="s">
        <v>20112</v>
      </c>
    </row>
    <row r="3238" spans="6:8">
      <c r="H3238" t="s">
        <v>20113</v>
      </c>
    </row>
    <row r="3239" spans="6:8">
      <c r="H3239" t="s">
        <v>20095</v>
      </c>
    </row>
    <row r="3240" spans="6:8">
      <c r="H3240" t="s">
        <v>20096</v>
      </c>
    </row>
    <row r="3241" spans="6:8">
      <c r="H3241" t="s">
        <v>20097</v>
      </c>
    </row>
    <row r="3242" spans="6:8">
      <c r="H3242" t="s">
        <v>20098</v>
      </c>
    </row>
    <row r="3243" spans="6:8">
      <c r="F3243" t="s">
        <v>11244</v>
      </c>
      <c r="G3243" t="s">
        <v>15226</v>
      </c>
      <c r="H3243" t="s">
        <v>20091</v>
      </c>
    </row>
    <row r="3244" spans="6:8">
      <c r="H3244" t="s">
        <v>19712</v>
      </c>
    </row>
    <row r="3245" spans="6:8">
      <c r="H3245" t="s">
        <v>19709</v>
      </c>
    </row>
    <row r="3246" spans="6:8">
      <c r="H3246" t="s">
        <v>19706</v>
      </c>
    </row>
    <row r="3247" spans="6:8">
      <c r="H3247" t="s">
        <v>19707</v>
      </c>
    </row>
    <row r="3248" spans="6:8">
      <c r="H3248" t="s">
        <v>20108</v>
      </c>
    </row>
    <row r="3249" spans="6:8">
      <c r="H3249" t="s">
        <v>19713</v>
      </c>
    </row>
    <row r="3250" spans="6:8">
      <c r="H3250" t="s">
        <v>19714</v>
      </c>
    </row>
    <row r="3251" spans="6:8">
      <c r="H3251" t="s">
        <v>20109</v>
      </c>
    </row>
    <row r="3252" spans="6:8">
      <c r="H3252" t="s">
        <v>20110</v>
      </c>
    </row>
    <row r="3253" spans="6:8">
      <c r="H3253" t="s">
        <v>20111</v>
      </c>
    </row>
    <row r="3254" spans="6:8">
      <c r="H3254" t="s">
        <v>20112</v>
      </c>
    </row>
    <row r="3255" spans="6:8">
      <c r="H3255" t="s">
        <v>20113</v>
      </c>
    </row>
    <row r="3256" spans="6:8">
      <c r="H3256" t="s">
        <v>20095</v>
      </c>
    </row>
    <row r="3257" spans="6:8">
      <c r="H3257" t="s">
        <v>20096</v>
      </c>
    </row>
    <row r="3258" spans="6:8">
      <c r="H3258" t="s">
        <v>20097</v>
      </c>
    </row>
    <row r="3259" spans="6:8">
      <c r="H3259" t="s">
        <v>20098</v>
      </c>
    </row>
    <row r="3260" spans="6:8">
      <c r="F3260" t="s">
        <v>11245</v>
      </c>
      <c r="G3260" t="s">
        <v>15227</v>
      </c>
      <c r="H3260" t="s">
        <v>20091</v>
      </c>
    </row>
    <row r="3261" spans="6:8">
      <c r="H3261" t="s">
        <v>19712</v>
      </c>
    </row>
    <row r="3262" spans="6:8">
      <c r="H3262" t="s">
        <v>19709</v>
      </c>
    </row>
    <row r="3263" spans="6:8">
      <c r="H3263" t="s">
        <v>19706</v>
      </c>
    </row>
    <row r="3264" spans="6:8">
      <c r="H3264" t="s">
        <v>20107</v>
      </c>
    </row>
    <row r="3265" spans="6:8">
      <c r="H3265" t="s">
        <v>20108</v>
      </c>
    </row>
    <row r="3266" spans="6:8">
      <c r="H3266" t="s">
        <v>19713</v>
      </c>
    </row>
    <row r="3267" spans="6:8">
      <c r="H3267" t="s">
        <v>19714</v>
      </c>
    </row>
    <row r="3268" spans="6:8">
      <c r="H3268" t="s">
        <v>20109</v>
      </c>
    </row>
    <row r="3269" spans="6:8">
      <c r="H3269" t="s">
        <v>20110</v>
      </c>
    </row>
    <row r="3270" spans="6:8">
      <c r="H3270" t="s">
        <v>20111</v>
      </c>
    </row>
    <row r="3271" spans="6:8">
      <c r="H3271" t="s">
        <v>20112</v>
      </c>
    </row>
    <row r="3272" spans="6:8">
      <c r="H3272" t="s">
        <v>20113</v>
      </c>
    </row>
    <row r="3273" spans="6:8">
      <c r="H3273" t="s">
        <v>20095</v>
      </c>
    </row>
    <row r="3274" spans="6:8">
      <c r="H3274" t="s">
        <v>20096</v>
      </c>
    </row>
    <row r="3275" spans="6:8">
      <c r="H3275" t="s">
        <v>20097</v>
      </c>
    </row>
    <row r="3276" spans="6:8">
      <c r="H3276" t="s">
        <v>20098</v>
      </c>
    </row>
    <row r="3277" spans="6:8">
      <c r="F3277" t="s">
        <v>11246</v>
      </c>
      <c r="G3277" t="s">
        <v>15228</v>
      </c>
      <c r="H3277" t="s">
        <v>20091</v>
      </c>
    </row>
    <row r="3278" spans="6:8">
      <c r="H3278" t="s">
        <v>19712</v>
      </c>
    </row>
    <row r="3279" spans="6:8">
      <c r="H3279" t="s">
        <v>19709</v>
      </c>
    </row>
    <row r="3280" spans="6:8">
      <c r="H3280" t="s">
        <v>19706</v>
      </c>
    </row>
    <row r="3281" spans="6:8">
      <c r="H3281" t="s">
        <v>20107</v>
      </c>
    </row>
    <row r="3282" spans="6:8">
      <c r="H3282" t="s">
        <v>20108</v>
      </c>
    </row>
    <row r="3283" spans="6:8">
      <c r="H3283" t="s">
        <v>19713</v>
      </c>
    </row>
    <row r="3284" spans="6:8">
      <c r="H3284" t="s">
        <v>19714</v>
      </c>
    </row>
    <row r="3285" spans="6:8">
      <c r="H3285" t="s">
        <v>20109</v>
      </c>
    </row>
    <row r="3286" spans="6:8">
      <c r="H3286" t="s">
        <v>20110</v>
      </c>
    </row>
    <row r="3287" spans="6:8">
      <c r="H3287" t="s">
        <v>20111</v>
      </c>
    </row>
    <row r="3288" spans="6:8">
      <c r="H3288" t="s">
        <v>20112</v>
      </c>
    </row>
    <row r="3289" spans="6:8">
      <c r="H3289" t="s">
        <v>20113</v>
      </c>
    </row>
    <row r="3290" spans="6:8">
      <c r="H3290" t="s">
        <v>20095</v>
      </c>
    </row>
    <row r="3291" spans="6:8">
      <c r="H3291" t="s">
        <v>20096</v>
      </c>
    </row>
    <row r="3292" spans="6:8">
      <c r="H3292" t="s">
        <v>20097</v>
      </c>
    </row>
    <row r="3293" spans="6:8">
      <c r="H3293" t="s">
        <v>20098</v>
      </c>
    </row>
    <row r="3294" spans="6:8">
      <c r="F3294" t="s">
        <v>11247</v>
      </c>
      <c r="G3294" t="s">
        <v>15229</v>
      </c>
      <c r="H3294" t="s">
        <v>20091</v>
      </c>
    </row>
    <row r="3295" spans="6:8">
      <c r="H3295" t="s">
        <v>19712</v>
      </c>
    </row>
    <row r="3296" spans="6:8">
      <c r="H3296" t="s">
        <v>19709</v>
      </c>
    </row>
    <row r="3297" spans="6:8">
      <c r="H3297" t="s">
        <v>19706</v>
      </c>
    </row>
    <row r="3298" spans="6:8">
      <c r="H3298" t="s">
        <v>19707</v>
      </c>
    </row>
    <row r="3299" spans="6:8">
      <c r="H3299" t="s">
        <v>19711</v>
      </c>
    </row>
    <row r="3300" spans="6:8">
      <c r="H3300" t="s">
        <v>19708</v>
      </c>
    </row>
    <row r="3301" spans="6:8">
      <c r="H3301" t="s">
        <v>20107</v>
      </c>
    </row>
    <row r="3302" spans="6:8">
      <c r="H3302" t="s">
        <v>20108</v>
      </c>
    </row>
    <row r="3303" spans="6:8">
      <c r="H3303" t="s">
        <v>19713</v>
      </c>
    </row>
    <row r="3304" spans="6:8">
      <c r="H3304" t="s">
        <v>19714</v>
      </c>
    </row>
    <row r="3305" spans="6:8">
      <c r="H3305" t="s">
        <v>20109</v>
      </c>
    </row>
    <row r="3306" spans="6:8">
      <c r="H3306" t="s">
        <v>20110</v>
      </c>
    </row>
    <row r="3307" spans="6:8">
      <c r="H3307" t="s">
        <v>20092</v>
      </c>
    </row>
    <row r="3308" spans="6:8">
      <c r="H3308" t="s">
        <v>20095</v>
      </c>
    </row>
    <row r="3309" spans="6:8">
      <c r="H3309" t="s">
        <v>20096</v>
      </c>
    </row>
    <row r="3310" spans="6:8">
      <c r="H3310" t="s">
        <v>20097</v>
      </c>
    </row>
    <row r="3311" spans="6:8">
      <c r="H3311" t="s">
        <v>20098</v>
      </c>
    </row>
    <row r="3312" spans="6:8">
      <c r="F3312" t="s">
        <v>11248</v>
      </c>
      <c r="G3312" t="s">
        <v>15230</v>
      </c>
      <c r="H3312" t="s">
        <v>20091</v>
      </c>
    </row>
    <row r="3313" spans="8:8">
      <c r="H3313" t="s">
        <v>19712</v>
      </c>
    </row>
    <row r="3314" spans="8:8">
      <c r="H3314" t="s">
        <v>19709</v>
      </c>
    </row>
    <row r="3315" spans="8:8">
      <c r="H3315" t="s">
        <v>19706</v>
      </c>
    </row>
    <row r="3316" spans="8:8">
      <c r="H3316" t="s">
        <v>19707</v>
      </c>
    </row>
    <row r="3317" spans="8:8">
      <c r="H3317" t="s">
        <v>19711</v>
      </c>
    </row>
    <row r="3318" spans="8:8">
      <c r="H3318" t="s">
        <v>19708</v>
      </c>
    </row>
    <row r="3319" spans="8:8">
      <c r="H3319" t="s">
        <v>20107</v>
      </c>
    </row>
    <row r="3320" spans="8:8">
      <c r="H3320" t="s">
        <v>20108</v>
      </c>
    </row>
    <row r="3321" spans="8:8">
      <c r="H3321" t="s">
        <v>19713</v>
      </c>
    </row>
    <row r="3322" spans="8:8">
      <c r="H3322" t="s">
        <v>19714</v>
      </c>
    </row>
    <row r="3323" spans="8:8">
      <c r="H3323" t="s">
        <v>20109</v>
      </c>
    </row>
    <row r="3324" spans="8:8">
      <c r="H3324" t="s">
        <v>20110</v>
      </c>
    </row>
    <row r="3325" spans="8:8">
      <c r="H3325" t="s">
        <v>20092</v>
      </c>
    </row>
    <row r="3326" spans="8:8">
      <c r="H3326" t="s">
        <v>20095</v>
      </c>
    </row>
    <row r="3327" spans="8:8">
      <c r="H3327" t="s">
        <v>20096</v>
      </c>
    </row>
    <row r="3328" spans="8:8">
      <c r="H3328" t="s">
        <v>20097</v>
      </c>
    </row>
    <row r="3329" spans="6:8">
      <c r="H3329" t="s">
        <v>20098</v>
      </c>
    </row>
    <row r="3330" spans="6:8">
      <c r="F3330" t="s">
        <v>11249</v>
      </c>
      <c r="G3330" t="s">
        <v>15231</v>
      </c>
      <c r="H3330" t="s">
        <v>20091</v>
      </c>
    </row>
    <row r="3331" spans="6:8">
      <c r="H3331" t="s">
        <v>19712</v>
      </c>
    </row>
    <row r="3332" spans="6:8">
      <c r="H3332" t="s">
        <v>19709</v>
      </c>
    </row>
    <row r="3333" spans="6:8">
      <c r="H3333" t="s">
        <v>19706</v>
      </c>
    </row>
    <row r="3334" spans="6:8">
      <c r="H3334" t="s">
        <v>19707</v>
      </c>
    </row>
    <row r="3335" spans="6:8">
      <c r="H3335" t="s">
        <v>19711</v>
      </c>
    </row>
    <row r="3336" spans="6:8">
      <c r="H3336" t="s">
        <v>19708</v>
      </c>
    </row>
    <row r="3337" spans="6:8">
      <c r="H3337" t="s">
        <v>20107</v>
      </c>
    </row>
    <row r="3338" spans="6:8">
      <c r="H3338" t="s">
        <v>20108</v>
      </c>
    </row>
    <row r="3339" spans="6:8">
      <c r="H3339" t="s">
        <v>19713</v>
      </c>
    </row>
    <row r="3340" spans="6:8">
      <c r="H3340" t="s">
        <v>19714</v>
      </c>
    </row>
    <row r="3341" spans="6:8">
      <c r="H3341" t="s">
        <v>20109</v>
      </c>
    </row>
    <row r="3342" spans="6:8">
      <c r="H3342" t="s">
        <v>20110</v>
      </c>
    </row>
    <row r="3343" spans="6:8">
      <c r="H3343" t="s">
        <v>20092</v>
      </c>
    </row>
    <row r="3344" spans="6:8">
      <c r="H3344" t="s">
        <v>20095</v>
      </c>
    </row>
    <row r="3345" spans="6:8">
      <c r="H3345" t="s">
        <v>20096</v>
      </c>
    </row>
    <row r="3346" spans="6:8">
      <c r="H3346" t="s">
        <v>20097</v>
      </c>
    </row>
    <row r="3347" spans="6:8">
      <c r="H3347" t="s">
        <v>20098</v>
      </c>
    </row>
    <row r="3348" spans="6:8">
      <c r="F3348" t="s">
        <v>11250</v>
      </c>
      <c r="G3348" t="s">
        <v>15232</v>
      </c>
      <c r="H3348" t="s">
        <v>20091</v>
      </c>
    </row>
    <row r="3349" spans="6:8">
      <c r="H3349" t="s">
        <v>19712</v>
      </c>
    </row>
    <row r="3350" spans="6:8">
      <c r="H3350" t="s">
        <v>19709</v>
      </c>
    </row>
    <row r="3351" spans="6:8">
      <c r="H3351" t="s">
        <v>19706</v>
      </c>
    </row>
    <row r="3352" spans="6:8">
      <c r="H3352" t="s">
        <v>19707</v>
      </c>
    </row>
    <row r="3353" spans="6:8">
      <c r="H3353" t="s">
        <v>19711</v>
      </c>
    </row>
    <row r="3354" spans="6:8">
      <c r="H3354" t="s">
        <v>19708</v>
      </c>
    </row>
    <row r="3355" spans="6:8">
      <c r="H3355" t="s">
        <v>20107</v>
      </c>
    </row>
    <row r="3356" spans="6:8">
      <c r="H3356" t="s">
        <v>20108</v>
      </c>
    </row>
    <row r="3357" spans="6:8">
      <c r="H3357" t="s">
        <v>19713</v>
      </c>
    </row>
    <row r="3358" spans="6:8">
      <c r="H3358" t="s">
        <v>19714</v>
      </c>
    </row>
    <row r="3359" spans="6:8">
      <c r="H3359" t="s">
        <v>20109</v>
      </c>
    </row>
    <row r="3360" spans="6:8">
      <c r="H3360" t="s">
        <v>20110</v>
      </c>
    </row>
    <row r="3361" spans="6:8">
      <c r="H3361" t="s">
        <v>20092</v>
      </c>
    </row>
    <row r="3362" spans="6:8">
      <c r="H3362" t="s">
        <v>20095</v>
      </c>
    </row>
    <row r="3363" spans="6:8">
      <c r="H3363" t="s">
        <v>20096</v>
      </c>
    </row>
    <row r="3364" spans="6:8">
      <c r="H3364" t="s">
        <v>20097</v>
      </c>
    </row>
    <row r="3365" spans="6:8">
      <c r="H3365" t="s">
        <v>20098</v>
      </c>
    </row>
    <row r="3366" spans="6:8">
      <c r="F3366" t="s">
        <v>11251</v>
      </c>
      <c r="G3366" t="s">
        <v>15233</v>
      </c>
      <c r="H3366" t="s">
        <v>20091</v>
      </c>
    </row>
    <row r="3367" spans="6:8">
      <c r="H3367" t="s">
        <v>19712</v>
      </c>
    </row>
    <row r="3368" spans="6:8">
      <c r="H3368" t="s">
        <v>19709</v>
      </c>
    </row>
    <row r="3369" spans="6:8">
      <c r="H3369" t="s">
        <v>19706</v>
      </c>
    </row>
    <row r="3370" spans="6:8">
      <c r="H3370" t="s">
        <v>19707</v>
      </c>
    </row>
    <row r="3371" spans="6:8">
      <c r="H3371" t="s">
        <v>19711</v>
      </c>
    </row>
    <row r="3372" spans="6:8">
      <c r="H3372" t="s">
        <v>19708</v>
      </c>
    </row>
    <row r="3373" spans="6:8">
      <c r="H3373" t="s">
        <v>20107</v>
      </c>
    </row>
    <row r="3374" spans="6:8">
      <c r="H3374" t="s">
        <v>20108</v>
      </c>
    </row>
    <row r="3375" spans="6:8">
      <c r="H3375" t="s">
        <v>19713</v>
      </c>
    </row>
    <row r="3376" spans="6:8">
      <c r="H3376" t="s">
        <v>19714</v>
      </c>
    </row>
    <row r="3377" spans="6:8">
      <c r="H3377" t="s">
        <v>20109</v>
      </c>
    </row>
    <row r="3378" spans="6:8">
      <c r="H3378" t="s">
        <v>20110</v>
      </c>
    </row>
    <row r="3379" spans="6:8">
      <c r="H3379" t="s">
        <v>20092</v>
      </c>
    </row>
    <row r="3380" spans="6:8">
      <c r="H3380" t="s">
        <v>20095</v>
      </c>
    </row>
    <row r="3381" spans="6:8">
      <c r="H3381" t="s">
        <v>20096</v>
      </c>
    </row>
    <row r="3382" spans="6:8">
      <c r="H3382" t="s">
        <v>20097</v>
      </c>
    </row>
    <row r="3383" spans="6:8">
      <c r="H3383" t="s">
        <v>20098</v>
      </c>
    </row>
    <row r="3384" spans="6:8">
      <c r="F3384" t="s">
        <v>11252</v>
      </c>
      <c r="G3384" t="s">
        <v>15234</v>
      </c>
      <c r="H3384" t="s">
        <v>20091</v>
      </c>
    </row>
    <row r="3385" spans="6:8">
      <c r="H3385" t="s">
        <v>19712</v>
      </c>
    </row>
    <row r="3386" spans="6:8">
      <c r="H3386" t="s">
        <v>19709</v>
      </c>
    </row>
    <row r="3387" spans="6:8">
      <c r="H3387" t="s">
        <v>19706</v>
      </c>
    </row>
    <row r="3388" spans="6:8">
      <c r="H3388" t="s">
        <v>19707</v>
      </c>
    </row>
    <row r="3389" spans="6:8">
      <c r="H3389" t="s">
        <v>19711</v>
      </c>
    </row>
    <row r="3390" spans="6:8">
      <c r="H3390" t="s">
        <v>19708</v>
      </c>
    </row>
    <row r="3391" spans="6:8">
      <c r="H3391" t="s">
        <v>20107</v>
      </c>
    </row>
    <row r="3392" spans="6:8">
      <c r="H3392" t="s">
        <v>20108</v>
      </c>
    </row>
    <row r="3393" spans="6:8">
      <c r="H3393" t="s">
        <v>19713</v>
      </c>
    </row>
    <row r="3394" spans="6:8">
      <c r="H3394" t="s">
        <v>19714</v>
      </c>
    </row>
    <row r="3395" spans="6:8">
      <c r="H3395" t="s">
        <v>20109</v>
      </c>
    </row>
    <row r="3396" spans="6:8">
      <c r="H3396" t="s">
        <v>20110</v>
      </c>
    </row>
    <row r="3397" spans="6:8">
      <c r="H3397" t="s">
        <v>20092</v>
      </c>
    </row>
    <row r="3398" spans="6:8">
      <c r="H3398" t="s">
        <v>20095</v>
      </c>
    </row>
    <row r="3399" spans="6:8">
      <c r="H3399" t="s">
        <v>20096</v>
      </c>
    </row>
    <row r="3400" spans="6:8">
      <c r="H3400" t="s">
        <v>20097</v>
      </c>
    </row>
    <row r="3401" spans="6:8">
      <c r="H3401" t="s">
        <v>20098</v>
      </c>
    </row>
    <row r="3402" spans="6:8">
      <c r="F3402" t="s">
        <v>11253</v>
      </c>
      <c r="G3402" t="s">
        <v>15235</v>
      </c>
      <c r="H3402" t="s">
        <v>20091</v>
      </c>
    </row>
    <row r="3403" spans="6:8">
      <c r="H3403" t="s">
        <v>19712</v>
      </c>
    </row>
    <row r="3404" spans="6:8">
      <c r="H3404" t="s">
        <v>19709</v>
      </c>
    </row>
    <row r="3405" spans="6:8">
      <c r="H3405" t="s">
        <v>19706</v>
      </c>
    </row>
    <row r="3406" spans="6:8">
      <c r="H3406" t="s">
        <v>20107</v>
      </c>
    </row>
    <row r="3407" spans="6:8">
      <c r="H3407" t="s">
        <v>20108</v>
      </c>
    </row>
    <row r="3408" spans="6:8">
      <c r="H3408" t="s">
        <v>19713</v>
      </c>
    </row>
    <row r="3409" spans="6:8">
      <c r="H3409" t="s">
        <v>19714</v>
      </c>
    </row>
    <row r="3410" spans="6:8">
      <c r="H3410" t="s">
        <v>20109</v>
      </c>
    </row>
    <row r="3411" spans="6:8">
      <c r="H3411" t="s">
        <v>20110</v>
      </c>
    </row>
    <row r="3412" spans="6:8">
      <c r="H3412" t="s">
        <v>20111</v>
      </c>
    </row>
    <row r="3413" spans="6:8">
      <c r="H3413" t="s">
        <v>20096</v>
      </c>
    </row>
    <row r="3414" spans="6:8">
      <c r="H3414" t="s">
        <v>20097</v>
      </c>
    </row>
    <row r="3415" spans="6:8">
      <c r="H3415" t="s">
        <v>20098</v>
      </c>
    </row>
    <row r="3416" spans="6:8">
      <c r="H3416" t="s">
        <v>20099</v>
      </c>
    </row>
    <row r="3417" spans="6:8">
      <c r="F3417" t="s">
        <v>11254</v>
      </c>
      <c r="G3417" t="s">
        <v>15236</v>
      </c>
      <c r="H3417" t="s">
        <v>20091</v>
      </c>
    </row>
    <row r="3418" spans="6:8">
      <c r="H3418" t="s">
        <v>19712</v>
      </c>
    </row>
    <row r="3419" spans="6:8">
      <c r="H3419" t="s">
        <v>19709</v>
      </c>
    </row>
    <row r="3420" spans="6:8">
      <c r="H3420" t="s">
        <v>19706</v>
      </c>
    </row>
    <row r="3421" spans="6:8">
      <c r="H3421" t="s">
        <v>20107</v>
      </c>
    </row>
    <row r="3422" spans="6:8">
      <c r="H3422" t="s">
        <v>20108</v>
      </c>
    </row>
    <row r="3423" spans="6:8">
      <c r="H3423" t="s">
        <v>19713</v>
      </c>
    </row>
    <row r="3424" spans="6:8">
      <c r="H3424" t="s">
        <v>19714</v>
      </c>
    </row>
    <row r="3425" spans="6:8">
      <c r="H3425" t="s">
        <v>20109</v>
      </c>
    </row>
    <row r="3426" spans="6:8">
      <c r="H3426" t="s">
        <v>20110</v>
      </c>
    </row>
    <row r="3427" spans="6:8">
      <c r="H3427" t="s">
        <v>20096</v>
      </c>
    </row>
    <row r="3428" spans="6:8">
      <c r="H3428" t="s">
        <v>20097</v>
      </c>
    </row>
    <row r="3429" spans="6:8">
      <c r="H3429" t="s">
        <v>20098</v>
      </c>
    </row>
    <row r="3430" spans="6:8">
      <c r="H3430" t="s">
        <v>20099</v>
      </c>
    </row>
    <row r="3431" spans="6:8">
      <c r="F3431" t="s">
        <v>11255</v>
      </c>
      <c r="G3431" t="s">
        <v>15237</v>
      </c>
      <c r="H3431" t="s">
        <v>20091</v>
      </c>
    </row>
    <row r="3432" spans="6:8">
      <c r="H3432" t="s">
        <v>19712</v>
      </c>
    </row>
    <row r="3433" spans="6:8">
      <c r="H3433" t="s">
        <v>19709</v>
      </c>
    </row>
    <row r="3434" spans="6:8">
      <c r="H3434" t="s">
        <v>19706</v>
      </c>
    </row>
    <row r="3435" spans="6:8">
      <c r="H3435" t="s">
        <v>20107</v>
      </c>
    </row>
    <row r="3436" spans="6:8">
      <c r="H3436" t="s">
        <v>20108</v>
      </c>
    </row>
    <row r="3437" spans="6:8">
      <c r="H3437" t="s">
        <v>19713</v>
      </c>
    </row>
    <row r="3438" spans="6:8">
      <c r="H3438" t="s">
        <v>19714</v>
      </c>
    </row>
    <row r="3439" spans="6:8">
      <c r="H3439" t="s">
        <v>20109</v>
      </c>
    </row>
    <row r="3440" spans="6:8">
      <c r="H3440" t="s">
        <v>20110</v>
      </c>
    </row>
    <row r="3441" spans="6:8">
      <c r="H3441" t="s">
        <v>20095</v>
      </c>
    </row>
    <row r="3442" spans="6:8">
      <c r="H3442" t="s">
        <v>20096</v>
      </c>
    </row>
    <row r="3443" spans="6:8">
      <c r="H3443" t="s">
        <v>20097</v>
      </c>
    </row>
    <row r="3444" spans="6:8">
      <c r="H3444" t="s">
        <v>20098</v>
      </c>
    </row>
    <row r="3445" spans="6:8">
      <c r="F3445" t="s">
        <v>11256</v>
      </c>
      <c r="G3445" t="s">
        <v>15597</v>
      </c>
      <c r="H3445" t="s">
        <v>20091</v>
      </c>
    </row>
    <row r="3446" spans="6:8">
      <c r="H3446" t="s">
        <v>19712</v>
      </c>
    </row>
    <row r="3447" spans="6:8">
      <c r="H3447" t="s">
        <v>19709</v>
      </c>
    </row>
    <row r="3448" spans="6:8">
      <c r="H3448" t="s">
        <v>20092</v>
      </c>
    </row>
    <row r="3449" spans="6:8">
      <c r="H3449" t="s">
        <v>20093</v>
      </c>
    </row>
    <row r="3450" spans="6:8">
      <c r="H3450" t="s">
        <v>20095</v>
      </c>
    </row>
    <row r="3451" spans="6:8">
      <c r="H3451" t="s">
        <v>20096</v>
      </c>
    </row>
    <row r="3452" spans="6:8">
      <c r="H3452" t="s">
        <v>20097</v>
      </c>
    </row>
    <row r="3453" spans="6:8">
      <c r="H3453" t="s">
        <v>20098</v>
      </c>
    </row>
    <row r="3454" spans="6:8">
      <c r="H3454" t="s">
        <v>20099</v>
      </c>
    </row>
    <row r="3455" spans="6:8">
      <c r="H3455" t="s">
        <v>20100</v>
      </c>
    </row>
    <row r="3456" spans="6:8">
      <c r="H3456" t="s">
        <v>20101</v>
      </c>
    </row>
    <row r="3457" spans="6:8">
      <c r="H3457" t="s">
        <v>20104</v>
      </c>
    </row>
    <row r="3458" spans="6:8">
      <c r="H3458" t="s">
        <v>20105</v>
      </c>
    </row>
    <row r="3459" spans="6:8">
      <c r="H3459" t="s">
        <v>20123</v>
      </c>
    </row>
    <row r="3460" spans="6:8">
      <c r="F3460" t="s">
        <v>11257</v>
      </c>
      <c r="G3460" t="s">
        <v>15598</v>
      </c>
      <c r="H3460" t="s">
        <v>20091</v>
      </c>
    </row>
    <row r="3461" spans="6:8">
      <c r="H3461" t="s">
        <v>19712</v>
      </c>
    </row>
    <row r="3462" spans="6:8">
      <c r="H3462" t="s">
        <v>20095</v>
      </c>
    </row>
    <row r="3463" spans="6:8">
      <c r="H3463" t="s">
        <v>20096</v>
      </c>
    </row>
    <row r="3464" spans="6:8">
      <c r="H3464" t="s">
        <v>20097</v>
      </c>
    </row>
    <row r="3465" spans="6:8">
      <c r="H3465" t="s">
        <v>20098</v>
      </c>
    </row>
    <row r="3466" spans="6:8">
      <c r="H3466" t="s">
        <v>20099</v>
      </c>
    </row>
    <row r="3467" spans="6:8">
      <c r="H3467" t="s">
        <v>20100</v>
      </c>
    </row>
    <row r="3468" spans="6:8">
      <c r="H3468" t="s">
        <v>20101</v>
      </c>
    </row>
    <row r="3469" spans="6:8">
      <c r="H3469" t="s">
        <v>20102</v>
      </c>
    </row>
    <row r="3470" spans="6:8">
      <c r="H3470" t="s">
        <v>20104</v>
      </c>
    </row>
    <row r="3471" spans="6:8">
      <c r="F3471" t="s">
        <v>11258</v>
      </c>
      <c r="G3471" t="s">
        <v>15599</v>
      </c>
      <c r="H3471" t="s">
        <v>20091</v>
      </c>
    </row>
    <row r="3472" spans="6:8">
      <c r="H3472" t="s">
        <v>19712</v>
      </c>
    </row>
    <row r="3473" spans="6:8">
      <c r="H3473" t="s">
        <v>20095</v>
      </c>
    </row>
    <row r="3474" spans="6:8">
      <c r="H3474" t="s">
        <v>20096</v>
      </c>
    </row>
    <row r="3475" spans="6:8">
      <c r="H3475" t="s">
        <v>20097</v>
      </c>
    </row>
    <row r="3476" spans="6:8">
      <c r="H3476" t="s">
        <v>20098</v>
      </c>
    </row>
    <row r="3477" spans="6:8">
      <c r="H3477" t="s">
        <v>20099</v>
      </c>
    </row>
    <row r="3478" spans="6:8">
      <c r="H3478" t="s">
        <v>20100</v>
      </c>
    </row>
    <row r="3479" spans="6:8">
      <c r="H3479" t="s">
        <v>20101</v>
      </c>
    </row>
    <row r="3480" spans="6:8">
      <c r="H3480" t="s">
        <v>20102</v>
      </c>
    </row>
    <row r="3481" spans="6:8">
      <c r="H3481" t="s">
        <v>20104</v>
      </c>
    </row>
    <row r="3482" spans="6:8">
      <c r="F3482" t="s">
        <v>11259</v>
      </c>
      <c r="G3482" t="s">
        <v>15238</v>
      </c>
      <c r="H3482" t="s">
        <v>20091</v>
      </c>
    </row>
    <row r="3483" spans="6:8">
      <c r="H3483" t="s">
        <v>19712</v>
      </c>
    </row>
    <row r="3484" spans="6:8">
      <c r="H3484" t="s">
        <v>19709</v>
      </c>
    </row>
    <row r="3485" spans="6:8">
      <c r="H3485" t="s">
        <v>19706</v>
      </c>
    </row>
    <row r="3486" spans="6:8">
      <c r="H3486" t="s">
        <v>20107</v>
      </c>
    </row>
    <row r="3487" spans="6:8">
      <c r="H3487" t="s">
        <v>20108</v>
      </c>
    </row>
    <row r="3488" spans="6:8">
      <c r="H3488" t="s">
        <v>19713</v>
      </c>
    </row>
    <row r="3489" spans="6:8">
      <c r="H3489" t="s">
        <v>19714</v>
      </c>
    </row>
    <row r="3490" spans="6:8">
      <c r="H3490" t="s">
        <v>20109</v>
      </c>
    </row>
    <row r="3491" spans="6:8">
      <c r="H3491" t="s">
        <v>20110</v>
      </c>
    </row>
    <row r="3492" spans="6:8">
      <c r="H3492" t="s">
        <v>20095</v>
      </c>
    </row>
    <row r="3493" spans="6:8">
      <c r="H3493" t="s">
        <v>20096</v>
      </c>
    </row>
    <row r="3494" spans="6:8">
      <c r="H3494" t="s">
        <v>20097</v>
      </c>
    </row>
    <row r="3495" spans="6:8">
      <c r="H3495" t="s">
        <v>20098</v>
      </c>
    </row>
    <row r="3496" spans="6:8">
      <c r="H3496" t="s">
        <v>20099</v>
      </c>
    </row>
    <row r="3497" spans="6:8">
      <c r="F3497" t="s">
        <v>11260</v>
      </c>
      <c r="G3497" t="s">
        <v>15239</v>
      </c>
      <c r="H3497" t="s">
        <v>20091</v>
      </c>
    </row>
    <row r="3498" spans="6:8">
      <c r="H3498" t="s">
        <v>19712</v>
      </c>
    </row>
    <row r="3499" spans="6:8">
      <c r="H3499" t="s">
        <v>19709</v>
      </c>
    </row>
    <row r="3500" spans="6:8">
      <c r="H3500" t="s">
        <v>19706</v>
      </c>
    </row>
    <row r="3501" spans="6:8">
      <c r="H3501" t="s">
        <v>20107</v>
      </c>
    </row>
    <row r="3502" spans="6:8">
      <c r="H3502" t="s">
        <v>20108</v>
      </c>
    </row>
    <row r="3503" spans="6:8">
      <c r="H3503" t="s">
        <v>19713</v>
      </c>
    </row>
    <row r="3504" spans="6:8">
      <c r="H3504" t="s">
        <v>19714</v>
      </c>
    </row>
    <row r="3505" spans="6:8">
      <c r="H3505" t="s">
        <v>20109</v>
      </c>
    </row>
    <row r="3506" spans="6:8">
      <c r="H3506" t="s">
        <v>20110</v>
      </c>
    </row>
    <row r="3507" spans="6:8">
      <c r="H3507" t="s">
        <v>20096</v>
      </c>
    </row>
    <row r="3508" spans="6:8">
      <c r="H3508" t="s">
        <v>20097</v>
      </c>
    </row>
    <row r="3509" spans="6:8">
      <c r="H3509" t="s">
        <v>20098</v>
      </c>
    </row>
    <row r="3510" spans="6:8">
      <c r="H3510" t="s">
        <v>20099</v>
      </c>
    </row>
    <row r="3511" spans="6:8">
      <c r="F3511" t="s">
        <v>11261</v>
      </c>
      <c r="G3511" t="s">
        <v>15240</v>
      </c>
      <c r="H3511" t="s">
        <v>20091</v>
      </c>
    </row>
    <row r="3512" spans="6:8">
      <c r="H3512" t="s">
        <v>19712</v>
      </c>
    </row>
    <row r="3513" spans="6:8">
      <c r="H3513" t="s">
        <v>19709</v>
      </c>
    </row>
    <row r="3514" spans="6:8">
      <c r="H3514" t="s">
        <v>19706</v>
      </c>
    </row>
    <row r="3515" spans="6:8">
      <c r="H3515" t="s">
        <v>20107</v>
      </c>
    </row>
    <row r="3516" spans="6:8">
      <c r="H3516" t="s">
        <v>20108</v>
      </c>
    </row>
    <row r="3517" spans="6:8">
      <c r="H3517" t="s">
        <v>19713</v>
      </c>
    </row>
    <row r="3518" spans="6:8">
      <c r="H3518" t="s">
        <v>19714</v>
      </c>
    </row>
    <row r="3519" spans="6:8">
      <c r="H3519" t="s">
        <v>20109</v>
      </c>
    </row>
    <row r="3520" spans="6:8">
      <c r="H3520" t="s">
        <v>20110</v>
      </c>
    </row>
    <row r="3521" spans="6:8">
      <c r="H3521" t="s">
        <v>20095</v>
      </c>
    </row>
    <row r="3522" spans="6:8">
      <c r="H3522" t="s">
        <v>20096</v>
      </c>
    </row>
    <row r="3523" spans="6:8">
      <c r="H3523" t="s">
        <v>20097</v>
      </c>
    </row>
    <row r="3524" spans="6:8">
      <c r="H3524" t="s">
        <v>20098</v>
      </c>
    </row>
    <row r="3525" spans="6:8">
      <c r="H3525" t="s">
        <v>20099</v>
      </c>
    </row>
    <row r="3526" spans="6:8">
      <c r="H3526" t="s">
        <v>20100</v>
      </c>
    </row>
    <row r="3527" spans="6:8">
      <c r="F3527" t="s">
        <v>11262</v>
      </c>
      <c r="G3527" t="s">
        <v>15600</v>
      </c>
      <c r="H3527" t="s">
        <v>20091</v>
      </c>
    </row>
    <row r="3528" spans="6:8">
      <c r="H3528" t="s">
        <v>20095</v>
      </c>
    </row>
    <row r="3529" spans="6:8">
      <c r="H3529" t="s">
        <v>20096</v>
      </c>
    </row>
    <row r="3530" spans="6:8">
      <c r="H3530" t="s">
        <v>20097</v>
      </c>
    </row>
    <row r="3531" spans="6:8">
      <c r="F3531" t="s">
        <v>11263</v>
      </c>
      <c r="G3531" t="s">
        <v>15601</v>
      </c>
      <c r="H3531" t="s">
        <v>20091</v>
      </c>
    </row>
    <row r="3532" spans="6:8">
      <c r="H3532" t="s">
        <v>20095</v>
      </c>
    </row>
    <row r="3533" spans="6:8">
      <c r="H3533" t="s">
        <v>20096</v>
      </c>
    </row>
    <row r="3534" spans="6:8">
      <c r="H3534" t="s">
        <v>20097</v>
      </c>
    </row>
    <row r="3535" spans="6:8">
      <c r="F3535" t="s">
        <v>11264</v>
      </c>
      <c r="G3535" t="s">
        <v>15241</v>
      </c>
      <c r="H3535" t="s">
        <v>20091</v>
      </c>
    </row>
    <row r="3536" spans="6:8">
      <c r="H3536" t="s">
        <v>19712</v>
      </c>
    </row>
    <row r="3537" spans="8:8">
      <c r="H3537" t="s">
        <v>19709</v>
      </c>
    </row>
    <row r="3538" spans="8:8">
      <c r="H3538" t="s">
        <v>19706</v>
      </c>
    </row>
    <row r="3539" spans="8:8">
      <c r="H3539" t="s">
        <v>19707</v>
      </c>
    </row>
    <row r="3540" spans="8:8">
      <c r="H3540" t="s">
        <v>19711</v>
      </c>
    </row>
    <row r="3541" spans="8:8">
      <c r="H3541" t="s">
        <v>19708</v>
      </c>
    </row>
    <row r="3542" spans="8:8">
      <c r="H3542" t="s">
        <v>20107</v>
      </c>
    </row>
    <row r="3543" spans="8:8">
      <c r="H3543" t="s">
        <v>20108</v>
      </c>
    </row>
    <row r="3544" spans="8:8">
      <c r="H3544" t="s">
        <v>19713</v>
      </c>
    </row>
    <row r="3545" spans="8:8">
      <c r="H3545" t="s">
        <v>19714</v>
      </c>
    </row>
    <row r="3546" spans="8:8">
      <c r="H3546" t="s">
        <v>20109</v>
      </c>
    </row>
    <row r="3547" spans="8:8">
      <c r="H3547" t="s">
        <v>20095</v>
      </c>
    </row>
    <row r="3548" spans="8:8">
      <c r="H3548" t="s">
        <v>20096</v>
      </c>
    </row>
    <row r="3549" spans="8:8">
      <c r="H3549" t="s">
        <v>20097</v>
      </c>
    </row>
    <row r="3550" spans="8:8">
      <c r="H3550" t="s">
        <v>20098</v>
      </c>
    </row>
    <row r="3551" spans="8:8">
      <c r="H3551" t="s">
        <v>20099</v>
      </c>
    </row>
    <row r="3552" spans="8:8">
      <c r="H3552" t="s">
        <v>20100</v>
      </c>
    </row>
    <row r="3553" spans="6:8">
      <c r="H3553" t="s">
        <v>20101</v>
      </c>
    </row>
    <row r="3554" spans="6:8">
      <c r="F3554" t="s">
        <v>11265</v>
      </c>
      <c r="G3554" t="s">
        <v>15242</v>
      </c>
      <c r="H3554" t="s">
        <v>20091</v>
      </c>
    </row>
    <row r="3555" spans="6:8">
      <c r="H3555" t="s">
        <v>19712</v>
      </c>
    </row>
    <row r="3556" spans="6:8">
      <c r="H3556" t="s">
        <v>19709</v>
      </c>
    </row>
    <row r="3557" spans="6:8">
      <c r="H3557" t="s">
        <v>20107</v>
      </c>
    </row>
    <row r="3558" spans="6:8">
      <c r="H3558" t="s">
        <v>20108</v>
      </c>
    </row>
    <row r="3559" spans="6:8">
      <c r="H3559" t="s">
        <v>19713</v>
      </c>
    </row>
    <row r="3560" spans="6:8">
      <c r="H3560" t="s">
        <v>19714</v>
      </c>
    </row>
    <row r="3561" spans="6:8">
      <c r="H3561" t="s">
        <v>20109</v>
      </c>
    </row>
    <row r="3562" spans="6:8">
      <c r="H3562" t="s">
        <v>20110</v>
      </c>
    </row>
    <row r="3563" spans="6:8">
      <c r="H3563" t="s">
        <v>20095</v>
      </c>
    </row>
    <row r="3564" spans="6:8">
      <c r="H3564" t="s">
        <v>20096</v>
      </c>
    </row>
    <row r="3565" spans="6:8">
      <c r="H3565" t="s">
        <v>20097</v>
      </c>
    </row>
    <row r="3566" spans="6:8">
      <c r="H3566" t="s">
        <v>20098</v>
      </c>
    </row>
    <row r="3567" spans="6:8">
      <c r="H3567" t="s">
        <v>20099</v>
      </c>
    </row>
    <row r="3568" spans="6:8">
      <c r="H3568" t="s">
        <v>20100</v>
      </c>
    </row>
    <row r="3569" spans="6:8">
      <c r="F3569" t="s">
        <v>11266</v>
      </c>
      <c r="G3569" t="s">
        <v>15243</v>
      </c>
      <c r="H3569" t="s">
        <v>20091</v>
      </c>
    </row>
    <row r="3570" spans="6:8">
      <c r="H3570" t="s">
        <v>19712</v>
      </c>
    </row>
    <row r="3571" spans="6:8">
      <c r="H3571" t="s">
        <v>19709</v>
      </c>
    </row>
    <row r="3572" spans="6:8">
      <c r="H3572" t="s">
        <v>19706</v>
      </c>
    </row>
    <row r="3573" spans="6:8">
      <c r="H3573" t="s">
        <v>20107</v>
      </c>
    </row>
    <row r="3574" spans="6:8">
      <c r="H3574" t="s">
        <v>20108</v>
      </c>
    </row>
    <row r="3575" spans="6:8">
      <c r="H3575" t="s">
        <v>19713</v>
      </c>
    </row>
    <row r="3576" spans="6:8">
      <c r="H3576" t="s">
        <v>19714</v>
      </c>
    </row>
    <row r="3577" spans="6:8">
      <c r="H3577" t="s">
        <v>20109</v>
      </c>
    </row>
    <row r="3578" spans="6:8">
      <c r="H3578" t="s">
        <v>20095</v>
      </c>
    </row>
    <row r="3579" spans="6:8">
      <c r="H3579" t="s">
        <v>20096</v>
      </c>
    </row>
    <row r="3580" spans="6:8">
      <c r="H3580" t="s">
        <v>20097</v>
      </c>
    </row>
    <row r="3581" spans="6:8">
      <c r="H3581" t="s">
        <v>20098</v>
      </c>
    </row>
    <row r="3582" spans="6:8">
      <c r="H3582" t="s">
        <v>20100</v>
      </c>
    </row>
    <row r="3583" spans="6:8">
      <c r="H3583" t="s">
        <v>20101</v>
      </c>
    </row>
    <row r="3584" spans="6:8">
      <c r="H3584" t="s">
        <v>20102</v>
      </c>
    </row>
    <row r="3585" spans="6:8">
      <c r="F3585" t="s">
        <v>11267</v>
      </c>
      <c r="G3585" t="s">
        <v>15244</v>
      </c>
      <c r="H3585" t="s">
        <v>20091</v>
      </c>
    </row>
    <row r="3586" spans="6:8">
      <c r="H3586" t="s">
        <v>19712</v>
      </c>
    </row>
    <row r="3587" spans="6:8">
      <c r="H3587" t="s">
        <v>19709</v>
      </c>
    </row>
    <row r="3588" spans="6:8">
      <c r="H3588" t="s">
        <v>20107</v>
      </c>
    </row>
    <row r="3589" spans="6:8">
      <c r="H3589" t="s">
        <v>20108</v>
      </c>
    </row>
    <row r="3590" spans="6:8">
      <c r="H3590" t="s">
        <v>19713</v>
      </c>
    </row>
    <row r="3591" spans="6:8">
      <c r="H3591" t="s">
        <v>20095</v>
      </c>
    </row>
    <row r="3592" spans="6:8">
      <c r="H3592" t="s">
        <v>20096</v>
      </c>
    </row>
    <row r="3593" spans="6:8">
      <c r="H3593" t="s">
        <v>20097</v>
      </c>
    </row>
    <row r="3594" spans="6:8">
      <c r="H3594" t="s">
        <v>20098</v>
      </c>
    </row>
    <row r="3595" spans="6:8">
      <c r="H3595" t="s">
        <v>20099</v>
      </c>
    </row>
    <row r="3596" spans="6:8">
      <c r="H3596" t="s">
        <v>20100</v>
      </c>
    </row>
    <row r="3597" spans="6:8">
      <c r="H3597" t="s">
        <v>20101</v>
      </c>
    </row>
    <row r="3598" spans="6:8">
      <c r="F3598" t="s">
        <v>11268</v>
      </c>
      <c r="G3598" t="s">
        <v>15245</v>
      </c>
      <c r="H3598" t="s">
        <v>20091</v>
      </c>
    </row>
    <row r="3599" spans="6:8">
      <c r="H3599" t="s">
        <v>19712</v>
      </c>
    </row>
    <row r="3600" spans="6:8">
      <c r="H3600" t="s">
        <v>19709</v>
      </c>
    </row>
    <row r="3601" spans="6:8">
      <c r="H3601" t="s">
        <v>19706</v>
      </c>
    </row>
    <row r="3602" spans="6:8">
      <c r="H3602" t="s">
        <v>20107</v>
      </c>
    </row>
    <row r="3603" spans="6:8">
      <c r="H3603" t="s">
        <v>20108</v>
      </c>
    </row>
    <row r="3604" spans="6:8">
      <c r="H3604" t="s">
        <v>19713</v>
      </c>
    </row>
    <row r="3605" spans="6:8">
      <c r="H3605" t="s">
        <v>19714</v>
      </c>
    </row>
    <row r="3606" spans="6:8">
      <c r="H3606" t="s">
        <v>20109</v>
      </c>
    </row>
    <row r="3607" spans="6:8">
      <c r="H3607" t="s">
        <v>20095</v>
      </c>
    </row>
    <row r="3608" spans="6:8">
      <c r="H3608" t="s">
        <v>20096</v>
      </c>
    </row>
    <row r="3609" spans="6:8">
      <c r="H3609" t="s">
        <v>20097</v>
      </c>
    </row>
    <row r="3610" spans="6:8">
      <c r="H3610" t="s">
        <v>20098</v>
      </c>
    </row>
    <row r="3611" spans="6:8">
      <c r="H3611" t="s">
        <v>20099</v>
      </c>
    </row>
    <row r="3612" spans="6:8">
      <c r="H3612" t="s">
        <v>20100</v>
      </c>
    </row>
    <row r="3613" spans="6:8">
      <c r="H3613" t="s">
        <v>20101</v>
      </c>
    </row>
    <row r="3614" spans="6:8">
      <c r="F3614" t="s">
        <v>11269</v>
      </c>
      <c r="G3614" t="s">
        <v>15246</v>
      </c>
      <c r="H3614" t="s">
        <v>20091</v>
      </c>
    </row>
    <row r="3615" spans="6:8">
      <c r="H3615" t="s">
        <v>19712</v>
      </c>
    </row>
    <row r="3616" spans="6:8">
      <c r="H3616" t="s">
        <v>19709</v>
      </c>
    </row>
    <row r="3617" spans="6:8">
      <c r="H3617" t="s">
        <v>20107</v>
      </c>
    </row>
    <row r="3618" spans="6:8">
      <c r="H3618" t="s">
        <v>20108</v>
      </c>
    </row>
    <row r="3619" spans="6:8">
      <c r="H3619" t="s">
        <v>19713</v>
      </c>
    </row>
    <row r="3620" spans="6:8">
      <c r="H3620" t="s">
        <v>20095</v>
      </c>
    </row>
    <row r="3621" spans="6:8">
      <c r="H3621" t="s">
        <v>20096</v>
      </c>
    </row>
    <row r="3622" spans="6:8">
      <c r="H3622" t="s">
        <v>20097</v>
      </c>
    </row>
    <row r="3623" spans="6:8">
      <c r="H3623" t="s">
        <v>20098</v>
      </c>
    </row>
    <row r="3624" spans="6:8">
      <c r="H3624" t="s">
        <v>20099</v>
      </c>
    </row>
    <row r="3625" spans="6:8">
      <c r="H3625" t="s">
        <v>20100</v>
      </c>
    </row>
    <row r="3626" spans="6:8">
      <c r="H3626" t="s">
        <v>20101</v>
      </c>
    </row>
    <row r="3627" spans="6:8">
      <c r="F3627" t="s">
        <v>11270</v>
      </c>
      <c r="G3627" t="s">
        <v>15247</v>
      </c>
      <c r="H3627" t="s">
        <v>20091</v>
      </c>
    </row>
    <row r="3628" spans="6:8">
      <c r="H3628" t="s">
        <v>19712</v>
      </c>
    </row>
    <row r="3629" spans="6:8">
      <c r="H3629" t="s">
        <v>19709</v>
      </c>
    </row>
    <row r="3630" spans="6:8">
      <c r="H3630" t="s">
        <v>19706</v>
      </c>
    </row>
    <row r="3631" spans="6:8">
      <c r="H3631" t="s">
        <v>20107</v>
      </c>
    </row>
    <row r="3632" spans="6:8">
      <c r="H3632" t="s">
        <v>20108</v>
      </c>
    </row>
    <row r="3633" spans="6:8">
      <c r="H3633" t="s">
        <v>19713</v>
      </c>
    </row>
    <row r="3634" spans="6:8">
      <c r="H3634" t="s">
        <v>19714</v>
      </c>
    </row>
    <row r="3635" spans="6:8">
      <c r="H3635" t="s">
        <v>20109</v>
      </c>
    </row>
    <row r="3636" spans="6:8">
      <c r="H3636" t="s">
        <v>20095</v>
      </c>
    </row>
    <row r="3637" spans="6:8">
      <c r="H3637" t="s">
        <v>20096</v>
      </c>
    </row>
    <row r="3638" spans="6:8">
      <c r="H3638" t="s">
        <v>20097</v>
      </c>
    </row>
    <row r="3639" spans="6:8">
      <c r="H3639" t="s">
        <v>20098</v>
      </c>
    </row>
    <row r="3640" spans="6:8">
      <c r="H3640" t="s">
        <v>20099</v>
      </c>
    </row>
    <row r="3641" spans="6:8">
      <c r="H3641" t="s">
        <v>20100</v>
      </c>
    </row>
    <row r="3642" spans="6:8">
      <c r="H3642" t="s">
        <v>20101</v>
      </c>
    </row>
    <row r="3643" spans="6:8">
      <c r="F3643" t="s">
        <v>11271</v>
      </c>
      <c r="G3643" t="s">
        <v>15248</v>
      </c>
      <c r="H3643" t="s">
        <v>20091</v>
      </c>
    </row>
    <row r="3644" spans="6:8">
      <c r="H3644" t="s">
        <v>19712</v>
      </c>
    </row>
    <row r="3645" spans="6:8">
      <c r="H3645" t="s">
        <v>19709</v>
      </c>
    </row>
    <row r="3646" spans="6:8">
      <c r="H3646" t="s">
        <v>20107</v>
      </c>
    </row>
    <row r="3647" spans="6:8">
      <c r="H3647" t="s">
        <v>20108</v>
      </c>
    </row>
    <row r="3648" spans="6:8">
      <c r="H3648" t="s">
        <v>19713</v>
      </c>
    </row>
    <row r="3649" spans="6:8">
      <c r="H3649" t="s">
        <v>20095</v>
      </c>
    </row>
    <row r="3650" spans="6:8">
      <c r="H3650" t="s">
        <v>20096</v>
      </c>
    </row>
    <row r="3651" spans="6:8">
      <c r="H3651" t="s">
        <v>20097</v>
      </c>
    </row>
    <row r="3652" spans="6:8">
      <c r="H3652" t="s">
        <v>20098</v>
      </c>
    </row>
    <row r="3653" spans="6:8">
      <c r="H3653" t="s">
        <v>20099</v>
      </c>
    </row>
    <row r="3654" spans="6:8">
      <c r="H3654" t="s">
        <v>20100</v>
      </c>
    </row>
    <row r="3655" spans="6:8">
      <c r="H3655" t="s">
        <v>20101</v>
      </c>
    </row>
    <row r="3656" spans="6:8">
      <c r="F3656" t="s">
        <v>11272</v>
      </c>
      <c r="G3656" t="s">
        <v>15249</v>
      </c>
      <c r="H3656" t="s">
        <v>20091</v>
      </c>
    </row>
    <row r="3657" spans="6:8">
      <c r="H3657" t="s">
        <v>19712</v>
      </c>
    </row>
    <row r="3658" spans="6:8">
      <c r="H3658" t="s">
        <v>19709</v>
      </c>
    </row>
    <row r="3659" spans="6:8">
      <c r="H3659" t="s">
        <v>19706</v>
      </c>
    </row>
    <row r="3660" spans="6:8">
      <c r="H3660" t="s">
        <v>20107</v>
      </c>
    </row>
    <row r="3661" spans="6:8">
      <c r="H3661" t="s">
        <v>20108</v>
      </c>
    </row>
    <row r="3662" spans="6:8">
      <c r="H3662" t="s">
        <v>19713</v>
      </c>
    </row>
    <row r="3663" spans="6:8">
      <c r="H3663" t="s">
        <v>19714</v>
      </c>
    </row>
    <row r="3664" spans="6:8">
      <c r="H3664" t="s">
        <v>20109</v>
      </c>
    </row>
    <row r="3665" spans="6:8">
      <c r="H3665" t="s">
        <v>20095</v>
      </c>
    </row>
    <row r="3666" spans="6:8">
      <c r="H3666" t="s">
        <v>20096</v>
      </c>
    </row>
    <row r="3667" spans="6:8">
      <c r="H3667" t="s">
        <v>20097</v>
      </c>
    </row>
    <row r="3668" spans="6:8">
      <c r="H3668" t="s">
        <v>20098</v>
      </c>
    </row>
    <row r="3669" spans="6:8">
      <c r="H3669" t="s">
        <v>20099</v>
      </c>
    </row>
    <row r="3670" spans="6:8">
      <c r="H3670" t="s">
        <v>20100</v>
      </c>
    </row>
    <row r="3671" spans="6:8">
      <c r="H3671" t="s">
        <v>20101</v>
      </c>
    </row>
    <row r="3672" spans="6:8">
      <c r="F3672" t="s">
        <v>11273</v>
      </c>
      <c r="G3672" t="s">
        <v>15250</v>
      </c>
      <c r="H3672" t="s">
        <v>20091</v>
      </c>
    </row>
    <row r="3673" spans="6:8">
      <c r="H3673" t="s">
        <v>19712</v>
      </c>
    </row>
    <row r="3674" spans="6:8">
      <c r="H3674" t="s">
        <v>19709</v>
      </c>
    </row>
    <row r="3675" spans="6:8">
      <c r="H3675" t="s">
        <v>20107</v>
      </c>
    </row>
    <row r="3676" spans="6:8">
      <c r="H3676" t="s">
        <v>20108</v>
      </c>
    </row>
    <row r="3677" spans="6:8">
      <c r="H3677" t="s">
        <v>19713</v>
      </c>
    </row>
    <row r="3678" spans="6:8">
      <c r="H3678" t="s">
        <v>20095</v>
      </c>
    </row>
    <row r="3679" spans="6:8">
      <c r="H3679" t="s">
        <v>20096</v>
      </c>
    </row>
    <row r="3680" spans="6:8">
      <c r="H3680" t="s">
        <v>20097</v>
      </c>
    </row>
    <row r="3681" spans="6:8">
      <c r="H3681" t="s">
        <v>20098</v>
      </c>
    </row>
    <row r="3682" spans="6:8">
      <c r="H3682" t="s">
        <v>20099</v>
      </c>
    </row>
    <row r="3683" spans="6:8">
      <c r="H3683" t="s">
        <v>20100</v>
      </c>
    </row>
    <row r="3684" spans="6:8">
      <c r="H3684" t="s">
        <v>20101</v>
      </c>
    </row>
    <row r="3685" spans="6:8">
      <c r="F3685" t="s">
        <v>11274</v>
      </c>
      <c r="G3685" t="s">
        <v>15251</v>
      </c>
      <c r="H3685" t="s">
        <v>20091</v>
      </c>
    </row>
    <row r="3686" spans="6:8">
      <c r="H3686" t="s">
        <v>19712</v>
      </c>
    </row>
    <row r="3687" spans="6:8">
      <c r="H3687" t="s">
        <v>19709</v>
      </c>
    </row>
    <row r="3688" spans="6:8">
      <c r="H3688" t="s">
        <v>19706</v>
      </c>
    </row>
    <row r="3689" spans="6:8">
      <c r="H3689" t="s">
        <v>19707</v>
      </c>
    </row>
    <row r="3690" spans="6:8">
      <c r="H3690" t="s">
        <v>19711</v>
      </c>
    </row>
    <row r="3691" spans="6:8">
      <c r="H3691" t="s">
        <v>19708</v>
      </c>
    </row>
    <row r="3692" spans="6:8">
      <c r="H3692" t="s">
        <v>20107</v>
      </c>
    </row>
    <row r="3693" spans="6:8">
      <c r="H3693" t="s">
        <v>20108</v>
      </c>
    </row>
    <row r="3694" spans="6:8">
      <c r="H3694" t="s">
        <v>19713</v>
      </c>
    </row>
    <row r="3695" spans="6:8">
      <c r="H3695" t="s">
        <v>19714</v>
      </c>
    </row>
    <row r="3696" spans="6:8">
      <c r="H3696" t="s">
        <v>20109</v>
      </c>
    </row>
    <row r="3697" spans="6:8">
      <c r="H3697" t="s">
        <v>20095</v>
      </c>
    </row>
    <row r="3698" spans="6:8">
      <c r="H3698" t="s">
        <v>20096</v>
      </c>
    </row>
    <row r="3699" spans="6:8">
      <c r="H3699" t="s">
        <v>20097</v>
      </c>
    </row>
    <row r="3700" spans="6:8">
      <c r="H3700" t="s">
        <v>20098</v>
      </c>
    </row>
    <row r="3701" spans="6:8">
      <c r="H3701" t="s">
        <v>20099</v>
      </c>
    </row>
    <row r="3702" spans="6:8">
      <c r="H3702" t="s">
        <v>20100</v>
      </c>
    </row>
    <row r="3703" spans="6:8">
      <c r="H3703" t="s">
        <v>20101</v>
      </c>
    </row>
    <row r="3704" spans="6:8">
      <c r="F3704" t="s">
        <v>11275</v>
      </c>
      <c r="G3704" t="s">
        <v>15252</v>
      </c>
      <c r="H3704" t="s">
        <v>20091</v>
      </c>
    </row>
    <row r="3705" spans="6:8">
      <c r="H3705" t="s">
        <v>19712</v>
      </c>
    </row>
    <row r="3706" spans="6:8">
      <c r="H3706" t="s">
        <v>19709</v>
      </c>
    </row>
    <row r="3707" spans="6:8">
      <c r="H3707" t="s">
        <v>19706</v>
      </c>
    </row>
    <row r="3708" spans="6:8">
      <c r="H3708" t="s">
        <v>20107</v>
      </c>
    </row>
    <row r="3709" spans="6:8">
      <c r="H3709" t="s">
        <v>20108</v>
      </c>
    </row>
    <row r="3710" spans="6:8">
      <c r="H3710" t="s">
        <v>19713</v>
      </c>
    </row>
    <row r="3711" spans="6:8">
      <c r="H3711" t="s">
        <v>19714</v>
      </c>
    </row>
    <row r="3712" spans="6:8">
      <c r="H3712" t="s">
        <v>20095</v>
      </c>
    </row>
    <row r="3713" spans="6:8">
      <c r="H3713" t="s">
        <v>20096</v>
      </c>
    </row>
    <row r="3714" spans="6:8">
      <c r="H3714" t="s">
        <v>20097</v>
      </c>
    </row>
    <row r="3715" spans="6:8">
      <c r="H3715" t="s">
        <v>20099</v>
      </c>
    </row>
    <row r="3716" spans="6:8">
      <c r="H3716" t="s">
        <v>20100</v>
      </c>
    </row>
    <row r="3717" spans="6:8">
      <c r="H3717" t="s">
        <v>20101</v>
      </c>
    </row>
    <row r="3718" spans="6:8">
      <c r="F3718" t="s">
        <v>11276</v>
      </c>
      <c r="G3718" t="s">
        <v>15602</v>
      </c>
      <c r="H3718" t="s">
        <v>20091</v>
      </c>
    </row>
    <row r="3719" spans="6:8">
      <c r="H3719" t="s">
        <v>19712</v>
      </c>
    </row>
    <row r="3720" spans="6:8">
      <c r="H3720" t="s">
        <v>19709</v>
      </c>
    </row>
    <row r="3721" spans="6:8">
      <c r="H3721" t="s">
        <v>20093</v>
      </c>
    </row>
    <row r="3722" spans="6:8">
      <c r="H3722" t="s">
        <v>20095</v>
      </c>
    </row>
    <row r="3723" spans="6:8">
      <c r="H3723" t="s">
        <v>20096</v>
      </c>
    </row>
    <row r="3724" spans="6:8">
      <c r="H3724" t="s">
        <v>20097</v>
      </c>
    </row>
    <row r="3725" spans="6:8">
      <c r="H3725" t="s">
        <v>20098</v>
      </c>
    </row>
    <row r="3726" spans="6:8">
      <c r="H3726" t="s">
        <v>20099</v>
      </c>
    </row>
    <row r="3727" spans="6:8">
      <c r="H3727" t="s">
        <v>20100</v>
      </c>
    </row>
    <row r="3728" spans="6:8">
      <c r="H3728" t="s">
        <v>20101</v>
      </c>
    </row>
    <row r="3729" spans="6:8">
      <c r="H3729" t="s">
        <v>20102</v>
      </c>
    </row>
    <row r="3730" spans="6:8">
      <c r="H3730" t="s">
        <v>20104</v>
      </c>
    </row>
    <row r="3731" spans="6:8">
      <c r="H3731" t="s">
        <v>20105</v>
      </c>
    </row>
    <row r="3732" spans="6:8">
      <c r="H3732" t="s">
        <v>20123</v>
      </c>
    </row>
    <row r="3733" spans="6:8">
      <c r="H3733" t="s">
        <v>20124</v>
      </c>
    </row>
    <row r="3734" spans="6:8">
      <c r="H3734" t="s">
        <v>20192</v>
      </c>
    </row>
    <row r="3735" spans="6:8">
      <c r="H3735" t="s">
        <v>20193</v>
      </c>
    </row>
    <row r="3736" spans="6:8">
      <c r="H3736" t="s">
        <v>20194</v>
      </c>
    </row>
    <row r="3737" spans="6:8">
      <c r="H3737" t="s">
        <v>19177</v>
      </c>
    </row>
    <row r="3738" spans="6:8">
      <c r="H3738" t="s">
        <v>20195</v>
      </c>
    </row>
    <row r="3739" spans="6:8">
      <c r="F3739" t="s">
        <v>11277</v>
      </c>
      <c r="G3739" t="s">
        <v>15603</v>
      </c>
      <c r="H3739" t="s">
        <v>20091</v>
      </c>
    </row>
    <row r="3740" spans="6:8">
      <c r="H3740" t="s">
        <v>19709</v>
      </c>
    </row>
    <row r="3741" spans="6:8">
      <c r="H3741" t="s">
        <v>20093</v>
      </c>
    </row>
    <row r="3742" spans="6:8">
      <c r="H3742" t="s">
        <v>20095</v>
      </c>
    </row>
    <row r="3743" spans="6:8">
      <c r="H3743" t="s">
        <v>20096</v>
      </c>
    </row>
    <row r="3744" spans="6:8">
      <c r="H3744" t="s">
        <v>20097</v>
      </c>
    </row>
    <row r="3745" spans="6:8">
      <c r="H3745" t="s">
        <v>20098</v>
      </c>
    </row>
    <row r="3746" spans="6:8">
      <c r="H3746" t="s">
        <v>20099</v>
      </c>
    </row>
    <row r="3747" spans="6:8">
      <c r="H3747" t="s">
        <v>20100</v>
      </c>
    </row>
    <row r="3748" spans="6:8">
      <c r="H3748" t="s">
        <v>20101</v>
      </c>
    </row>
    <row r="3749" spans="6:8">
      <c r="H3749" t="s">
        <v>20102</v>
      </c>
    </row>
    <row r="3750" spans="6:8">
      <c r="H3750" t="s">
        <v>20104</v>
      </c>
    </row>
    <row r="3751" spans="6:8">
      <c r="H3751" t="s">
        <v>20105</v>
      </c>
    </row>
    <row r="3752" spans="6:8">
      <c r="H3752" t="s">
        <v>20123</v>
      </c>
    </row>
    <row r="3753" spans="6:8">
      <c r="H3753" t="s">
        <v>20124</v>
      </c>
    </row>
    <row r="3754" spans="6:8">
      <c r="H3754" t="s">
        <v>20192</v>
      </c>
    </row>
    <row r="3755" spans="6:8">
      <c r="H3755" t="s">
        <v>20193</v>
      </c>
    </row>
    <row r="3756" spans="6:8">
      <c r="H3756" t="s">
        <v>20194</v>
      </c>
    </row>
    <row r="3757" spans="6:8">
      <c r="H3757" t="s">
        <v>19177</v>
      </c>
    </row>
    <row r="3758" spans="6:8">
      <c r="H3758" t="s">
        <v>20195</v>
      </c>
    </row>
    <row r="3759" spans="6:8">
      <c r="F3759" t="s">
        <v>11278</v>
      </c>
      <c r="G3759" t="s">
        <v>15604</v>
      </c>
      <c r="H3759" t="s">
        <v>20091</v>
      </c>
    </row>
    <row r="3760" spans="6:8">
      <c r="H3760" t="s">
        <v>19709</v>
      </c>
    </row>
    <row r="3761" spans="8:8">
      <c r="H3761" t="s">
        <v>20093</v>
      </c>
    </row>
    <row r="3762" spans="8:8">
      <c r="H3762" t="s">
        <v>20095</v>
      </c>
    </row>
    <row r="3763" spans="8:8">
      <c r="H3763" t="s">
        <v>20096</v>
      </c>
    </row>
    <row r="3764" spans="8:8">
      <c r="H3764" t="s">
        <v>20097</v>
      </c>
    </row>
    <row r="3765" spans="8:8">
      <c r="H3765" t="s">
        <v>20098</v>
      </c>
    </row>
    <row r="3766" spans="8:8">
      <c r="H3766" t="s">
        <v>20099</v>
      </c>
    </row>
    <row r="3767" spans="8:8">
      <c r="H3767" t="s">
        <v>20100</v>
      </c>
    </row>
    <row r="3768" spans="8:8">
      <c r="H3768" t="s">
        <v>20101</v>
      </c>
    </row>
    <row r="3769" spans="8:8">
      <c r="H3769" t="s">
        <v>20102</v>
      </c>
    </row>
    <row r="3770" spans="8:8">
      <c r="H3770" t="s">
        <v>20104</v>
      </c>
    </row>
    <row r="3771" spans="8:8">
      <c r="H3771" t="s">
        <v>20105</v>
      </c>
    </row>
    <row r="3772" spans="8:8">
      <c r="H3772" t="s">
        <v>20123</v>
      </c>
    </row>
    <row r="3773" spans="8:8">
      <c r="H3773" t="s">
        <v>20124</v>
      </c>
    </row>
    <row r="3774" spans="8:8">
      <c r="H3774" t="s">
        <v>20192</v>
      </c>
    </row>
    <row r="3775" spans="8:8">
      <c r="H3775" t="s">
        <v>20193</v>
      </c>
    </row>
    <row r="3776" spans="8:8">
      <c r="H3776" t="s">
        <v>20194</v>
      </c>
    </row>
    <row r="3777" spans="6:8">
      <c r="H3777" t="s">
        <v>19177</v>
      </c>
    </row>
    <row r="3778" spans="6:8">
      <c r="H3778" t="s">
        <v>20195</v>
      </c>
    </row>
    <row r="3779" spans="6:8">
      <c r="F3779" t="s">
        <v>11279</v>
      </c>
      <c r="G3779" t="s">
        <v>15605</v>
      </c>
      <c r="H3779" t="s">
        <v>20091</v>
      </c>
    </row>
    <row r="3780" spans="6:8">
      <c r="H3780" t="s">
        <v>19709</v>
      </c>
    </row>
    <row r="3781" spans="6:8">
      <c r="H3781" t="s">
        <v>20093</v>
      </c>
    </row>
    <row r="3782" spans="6:8">
      <c r="H3782" t="s">
        <v>20095</v>
      </c>
    </row>
    <row r="3783" spans="6:8">
      <c r="H3783" t="s">
        <v>20096</v>
      </c>
    </row>
    <row r="3784" spans="6:8">
      <c r="H3784" t="s">
        <v>20097</v>
      </c>
    </row>
    <row r="3785" spans="6:8">
      <c r="H3785" t="s">
        <v>20098</v>
      </c>
    </row>
    <row r="3786" spans="6:8">
      <c r="H3786" t="s">
        <v>20099</v>
      </c>
    </row>
    <row r="3787" spans="6:8">
      <c r="H3787" t="s">
        <v>20100</v>
      </c>
    </row>
    <row r="3788" spans="6:8">
      <c r="H3788" t="s">
        <v>20101</v>
      </c>
    </row>
    <row r="3789" spans="6:8">
      <c r="H3789" t="s">
        <v>20102</v>
      </c>
    </row>
    <row r="3790" spans="6:8">
      <c r="H3790" t="s">
        <v>20104</v>
      </c>
    </row>
    <row r="3791" spans="6:8">
      <c r="H3791" t="s">
        <v>20105</v>
      </c>
    </row>
    <row r="3792" spans="6:8">
      <c r="H3792" t="s">
        <v>20123</v>
      </c>
    </row>
    <row r="3793" spans="6:8">
      <c r="H3793" t="s">
        <v>20124</v>
      </c>
    </row>
    <row r="3794" spans="6:8">
      <c r="H3794" t="s">
        <v>20192</v>
      </c>
    </row>
    <row r="3795" spans="6:8">
      <c r="H3795" t="s">
        <v>20193</v>
      </c>
    </row>
    <row r="3796" spans="6:8">
      <c r="H3796" t="s">
        <v>20194</v>
      </c>
    </row>
    <row r="3797" spans="6:8">
      <c r="H3797" t="s">
        <v>19177</v>
      </c>
    </row>
    <row r="3798" spans="6:8">
      <c r="H3798" t="s">
        <v>20195</v>
      </c>
    </row>
    <row r="3799" spans="6:8">
      <c r="F3799" t="s">
        <v>11280</v>
      </c>
      <c r="G3799" t="s">
        <v>15606</v>
      </c>
      <c r="H3799" t="s">
        <v>20091</v>
      </c>
    </row>
    <row r="3800" spans="6:8">
      <c r="H3800" t="s">
        <v>19709</v>
      </c>
    </row>
    <row r="3801" spans="6:8">
      <c r="H3801" t="s">
        <v>20093</v>
      </c>
    </row>
    <row r="3802" spans="6:8">
      <c r="H3802" t="s">
        <v>20095</v>
      </c>
    </row>
    <row r="3803" spans="6:8">
      <c r="H3803" t="s">
        <v>20096</v>
      </c>
    </row>
    <row r="3804" spans="6:8">
      <c r="H3804" t="s">
        <v>20097</v>
      </c>
    </row>
    <row r="3805" spans="6:8">
      <c r="H3805" t="s">
        <v>20098</v>
      </c>
    </row>
    <row r="3806" spans="6:8">
      <c r="H3806" t="s">
        <v>20099</v>
      </c>
    </row>
    <row r="3807" spans="6:8">
      <c r="H3807" t="s">
        <v>20100</v>
      </c>
    </row>
    <row r="3808" spans="6:8">
      <c r="H3808" t="s">
        <v>20101</v>
      </c>
    </row>
    <row r="3809" spans="6:8">
      <c r="H3809" t="s">
        <v>20102</v>
      </c>
    </row>
    <row r="3810" spans="6:8">
      <c r="H3810" t="s">
        <v>20104</v>
      </c>
    </row>
    <row r="3811" spans="6:8">
      <c r="H3811" t="s">
        <v>20105</v>
      </c>
    </row>
    <row r="3812" spans="6:8">
      <c r="H3812" t="s">
        <v>20123</v>
      </c>
    </row>
    <row r="3813" spans="6:8">
      <c r="H3813" t="s">
        <v>20124</v>
      </c>
    </row>
    <row r="3814" spans="6:8">
      <c r="H3814" t="s">
        <v>20192</v>
      </c>
    </row>
    <row r="3815" spans="6:8">
      <c r="H3815" t="s">
        <v>20193</v>
      </c>
    </row>
    <row r="3816" spans="6:8">
      <c r="H3816" t="s">
        <v>20194</v>
      </c>
    </row>
    <row r="3817" spans="6:8">
      <c r="H3817" t="s">
        <v>19177</v>
      </c>
    </row>
    <row r="3818" spans="6:8">
      <c r="H3818" t="s">
        <v>20196</v>
      </c>
    </row>
    <row r="3819" spans="6:8">
      <c r="H3819" t="s">
        <v>20195</v>
      </c>
    </row>
    <row r="3820" spans="6:8">
      <c r="F3820" t="s">
        <v>11281</v>
      </c>
      <c r="G3820" t="s">
        <v>15607</v>
      </c>
      <c r="H3820" t="s">
        <v>20091</v>
      </c>
    </row>
    <row r="3821" spans="6:8">
      <c r="H3821" t="s">
        <v>19709</v>
      </c>
    </row>
    <row r="3822" spans="6:8">
      <c r="H3822" t="s">
        <v>20093</v>
      </c>
    </row>
    <row r="3823" spans="6:8">
      <c r="H3823" t="s">
        <v>20095</v>
      </c>
    </row>
    <row r="3824" spans="6:8">
      <c r="H3824" t="s">
        <v>20096</v>
      </c>
    </row>
    <row r="3825" spans="6:8">
      <c r="H3825" t="s">
        <v>20097</v>
      </c>
    </row>
    <row r="3826" spans="6:8">
      <c r="H3826" t="s">
        <v>20098</v>
      </c>
    </row>
    <row r="3827" spans="6:8">
      <c r="H3827" t="s">
        <v>20099</v>
      </c>
    </row>
    <row r="3828" spans="6:8">
      <c r="H3828" t="s">
        <v>20100</v>
      </c>
    </row>
    <row r="3829" spans="6:8">
      <c r="H3829" t="s">
        <v>20101</v>
      </c>
    </row>
    <row r="3830" spans="6:8">
      <c r="H3830" t="s">
        <v>20102</v>
      </c>
    </row>
    <row r="3831" spans="6:8">
      <c r="H3831" t="s">
        <v>20104</v>
      </c>
    </row>
    <row r="3832" spans="6:8">
      <c r="H3832" t="s">
        <v>20105</v>
      </c>
    </row>
    <row r="3833" spans="6:8">
      <c r="H3833" t="s">
        <v>20123</v>
      </c>
    </row>
    <row r="3834" spans="6:8">
      <c r="H3834" t="s">
        <v>20124</v>
      </c>
    </row>
    <row r="3835" spans="6:8">
      <c r="H3835" t="s">
        <v>20192</v>
      </c>
    </row>
    <row r="3836" spans="6:8">
      <c r="H3836" t="s">
        <v>20193</v>
      </c>
    </row>
    <row r="3837" spans="6:8">
      <c r="H3837" t="s">
        <v>20194</v>
      </c>
    </row>
    <row r="3838" spans="6:8">
      <c r="H3838" t="s">
        <v>19177</v>
      </c>
    </row>
    <row r="3839" spans="6:8">
      <c r="H3839" t="s">
        <v>20195</v>
      </c>
    </row>
    <row r="3840" spans="6:8">
      <c r="F3840" t="s">
        <v>11282</v>
      </c>
      <c r="G3840" t="s">
        <v>15608</v>
      </c>
      <c r="H3840" t="s">
        <v>20091</v>
      </c>
    </row>
    <row r="3841" spans="8:8">
      <c r="H3841" t="s">
        <v>19712</v>
      </c>
    </row>
    <row r="3842" spans="8:8">
      <c r="H3842" t="s">
        <v>19709</v>
      </c>
    </row>
    <row r="3843" spans="8:8">
      <c r="H3843" t="s">
        <v>20093</v>
      </c>
    </row>
    <row r="3844" spans="8:8">
      <c r="H3844" t="s">
        <v>20095</v>
      </c>
    </row>
    <row r="3845" spans="8:8">
      <c r="H3845" t="s">
        <v>20096</v>
      </c>
    </row>
    <row r="3846" spans="8:8">
      <c r="H3846" t="s">
        <v>20097</v>
      </c>
    </row>
    <row r="3847" spans="8:8">
      <c r="H3847" t="s">
        <v>20098</v>
      </c>
    </row>
    <row r="3848" spans="8:8">
      <c r="H3848" t="s">
        <v>20099</v>
      </c>
    </row>
    <row r="3849" spans="8:8">
      <c r="H3849" t="s">
        <v>20100</v>
      </c>
    </row>
    <row r="3850" spans="8:8">
      <c r="H3850" t="s">
        <v>20101</v>
      </c>
    </row>
    <row r="3851" spans="8:8">
      <c r="H3851" t="s">
        <v>20102</v>
      </c>
    </row>
    <row r="3852" spans="8:8">
      <c r="H3852" t="s">
        <v>20104</v>
      </c>
    </row>
    <row r="3853" spans="8:8">
      <c r="H3853" t="s">
        <v>20105</v>
      </c>
    </row>
    <row r="3854" spans="8:8">
      <c r="H3854" t="s">
        <v>20123</v>
      </c>
    </row>
    <row r="3855" spans="8:8">
      <c r="H3855" t="s">
        <v>20124</v>
      </c>
    </row>
    <row r="3856" spans="8:8">
      <c r="H3856" t="s">
        <v>20192</v>
      </c>
    </row>
    <row r="3857" spans="6:8">
      <c r="H3857" t="s">
        <v>20193</v>
      </c>
    </row>
    <row r="3858" spans="6:8">
      <c r="H3858" t="s">
        <v>20194</v>
      </c>
    </row>
    <row r="3859" spans="6:8">
      <c r="H3859" t="s">
        <v>19177</v>
      </c>
    </row>
    <row r="3860" spans="6:8">
      <c r="H3860" t="s">
        <v>20195</v>
      </c>
    </row>
    <row r="3861" spans="6:8">
      <c r="F3861" t="s">
        <v>11283</v>
      </c>
      <c r="G3861" t="s">
        <v>15609</v>
      </c>
      <c r="H3861" t="s">
        <v>20091</v>
      </c>
    </row>
    <row r="3862" spans="6:8">
      <c r="H3862" t="s">
        <v>19712</v>
      </c>
    </row>
    <row r="3863" spans="6:8">
      <c r="H3863" t="s">
        <v>19706</v>
      </c>
    </row>
    <row r="3864" spans="6:8">
      <c r="H3864" t="s">
        <v>20092</v>
      </c>
    </row>
    <row r="3865" spans="6:8">
      <c r="H3865" t="s">
        <v>20093</v>
      </c>
    </row>
    <row r="3866" spans="6:8">
      <c r="H3866" t="s">
        <v>20094</v>
      </c>
    </row>
    <row r="3867" spans="6:8">
      <c r="H3867" t="s">
        <v>20095</v>
      </c>
    </row>
    <row r="3868" spans="6:8">
      <c r="H3868" t="s">
        <v>20096</v>
      </c>
    </row>
    <row r="3869" spans="6:8">
      <c r="H3869" t="s">
        <v>20097</v>
      </c>
    </row>
    <row r="3870" spans="6:8">
      <c r="H3870" t="s">
        <v>20098</v>
      </c>
    </row>
    <row r="3871" spans="6:8">
      <c r="F3871" t="s">
        <v>11284</v>
      </c>
      <c r="G3871" t="s">
        <v>15253</v>
      </c>
      <c r="H3871" t="s">
        <v>20091</v>
      </c>
    </row>
    <row r="3872" spans="6:8">
      <c r="H3872" t="s">
        <v>19712</v>
      </c>
    </row>
    <row r="3873" spans="8:8">
      <c r="H3873" t="s">
        <v>19709</v>
      </c>
    </row>
    <row r="3874" spans="8:8">
      <c r="H3874" t="s">
        <v>19706</v>
      </c>
    </row>
    <row r="3875" spans="8:8">
      <c r="H3875" t="s">
        <v>19707</v>
      </c>
    </row>
    <row r="3876" spans="8:8">
      <c r="H3876" t="s">
        <v>19711</v>
      </c>
    </row>
    <row r="3877" spans="8:8">
      <c r="H3877" t="s">
        <v>19708</v>
      </c>
    </row>
    <row r="3878" spans="8:8">
      <c r="H3878" t="s">
        <v>20107</v>
      </c>
    </row>
    <row r="3879" spans="8:8">
      <c r="H3879" t="s">
        <v>20108</v>
      </c>
    </row>
    <row r="3880" spans="8:8">
      <c r="H3880" t="s">
        <v>19713</v>
      </c>
    </row>
    <row r="3881" spans="8:8">
      <c r="H3881" t="s">
        <v>19714</v>
      </c>
    </row>
    <row r="3882" spans="8:8">
      <c r="H3882" t="s">
        <v>20109</v>
      </c>
    </row>
    <row r="3883" spans="8:8">
      <c r="H3883" t="s">
        <v>20110</v>
      </c>
    </row>
    <row r="3884" spans="8:8">
      <c r="H3884" t="s">
        <v>20111</v>
      </c>
    </row>
    <row r="3885" spans="8:8">
      <c r="H3885" t="s">
        <v>20095</v>
      </c>
    </row>
    <row r="3886" spans="8:8">
      <c r="H3886" t="s">
        <v>20096</v>
      </c>
    </row>
    <row r="3887" spans="8:8">
      <c r="H3887" t="s">
        <v>20097</v>
      </c>
    </row>
    <row r="3888" spans="8:8">
      <c r="H3888" t="s">
        <v>20098</v>
      </c>
    </row>
    <row r="3889" spans="6:8">
      <c r="F3889" t="s">
        <v>11285</v>
      </c>
      <c r="G3889" t="s">
        <v>15254</v>
      </c>
      <c r="H3889" t="s">
        <v>20091</v>
      </c>
    </row>
    <row r="3890" spans="6:8">
      <c r="H3890" t="s">
        <v>19712</v>
      </c>
    </row>
    <row r="3891" spans="6:8">
      <c r="H3891" t="s">
        <v>19709</v>
      </c>
    </row>
    <row r="3892" spans="6:8">
      <c r="H3892" t="s">
        <v>19706</v>
      </c>
    </row>
    <row r="3893" spans="6:8">
      <c r="H3893" t="s">
        <v>19707</v>
      </c>
    </row>
    <row r="3894" spans="6:8">
      <c r="H3894" t="s">
        <v>20107</v>
      </c>
    </row>
    <row r="3895" spans="6:8">
      <c r="H3895" t="s">
        <v>20108</v>
      </c>
    </row>
    <row r="3896" spans="6:8">
      <c r="H3896" t="s">
        <v>19713</v>
      </c>
    </row>
    <row r="3897" spans="6:8">
      <c r="H3897" t="s">
        <v>19714</v>
      </c>
    </row>
    <row r="3898" spans="6:8">
      <c r="H3898" t="s">
        <v>20096</v>
      </c>
    </row>
    <row r="3899" spans="6:8">
      <c r="H3899" t="s">
        <v>20097</v>
      </c>
    </row>
    <row r="3900" spans="6:8">
      <c r="H3900" t="s">
        <v>20098</v>
      </c>
    </row>
    <row r="3901" spans="6:8">
      <c r="H3901" t="s">
        <v>20099</v>
      </c>
    </row>
    <row r="3902" spans="6:8">
      <c r="F3902" t="s">
        <v>11286</v>
      </c>
      <c r="G3902" t="s">
        <v>15255</v>
      </c>
      <c r="H3902" t="s">
        <v>20091</v>
      </c>
    </row>
    <row r="3903" spans="6:8">
      <c r="H3903" t="s">
        <v>19712</v>
      </c>
    </row>
    <row r="3904" spans="6:8">
      <c r="H3904" t="s">
        <v>19709</v>
      </c>
    </row>
    <row r="3905" spans="6:8">
      <c r="H3905" t="s">
        <v>19710</v>
      </c>
    </row>
    <row r="3906" spans="6:8">
      <c r="H3906" t="s">
        <v>20107</v>
      </c>
    </row>
    <row r="3907" spans="6:8">
      <c r="H3907" t="s">
        <v>20108</v>
      </c>
    </row>
    <row r="3908" spans="6:8">
      <c r="H3908" t="s">
        <v>19713</v>
      </c>
    </row>
    <row r="3909" spans="6:8">
      <c r="H3909" t="s">
        <v>20095</v>
      </c>
    </row>
    <row r="3910" spans="6:8">
      <c r="H3910" t="s">
        <v>20096</v>
      </c>
    </row>
    <row r="3911" spans="6:8">
      <c r="H3911" t="s">
        <v>20097</v>
      </c>
    </row>
    <row r="3912" spans="6:8">
      <c r="H3912" t="s">
        <v>20098</v>
      </c>
    </row>
    <row r="3913" spans="6:8">
      <c r="F3913" t="s">
        <v>11287</v>
      </c>
      <c r="G3913" t="s">
        <v>15256</v>
      </c>
      <c r="H3913" t="s">
        <v>20091</v>
      </c>
    </row>
    <row r="3914" spans="6:8">
      <c r="H3914" t="s">
        <v>19712</v>
      </c>
    </row>
    <row r="3915" spans="6:8">
      <c r="H3915" t="s">
        <v>19709</v>
      </c>
    </row>
    <row r="3916" spans="6:8">
      <c r="H3916" t="s">
        <v>19706</v>
      </c>
    </row>
    <row r="3917" spans="6:8">
      <c r="H3917" t="s">
        <v>19707</v>
      </c>
    </row>
    <row r="3918" spans="6:8">
      <c r="H3918" t="s">
        <v>20107</v>
      </c>
    </row>
    <row r="3919" spans="6:8">
      <c r="H3919" t="s">
        <v>20108</v>
      </c>
    </row>
    <row r="3920" spans="6:8">
      <c r="H3920" t="s">
        <v>19713</v>
      </c>
    </row>
    <row r="3921" spans="6:8">
      <c r="H3921" t="s">
        <v>20095</v>
      </c>
    </row>
    <row r="3922" spans="6:8">
      <c r="H3922" t="s">
        <v>20096</v>
      </c>
    </row>
    <row r="3923" spans="6:8">
      <c r="H3923" t="s">
        <v>20097</v>
      </c>
    </row>
    <row r="3924" spans="6:8">
      <c r="H3924" t="s">
        <v>20098</v>
      </c>
    </row>
    <row r="3925" spans="6:8">
      <c r="F3925" t="s">
        <v>11288</v>
      </c>
      <c r="G3925" t="s">
        <v>15257</v>
      </c>
      <c r="H3925" t="s">
        <v>20091</v>
      </c>
    </row>
    <row r="3926" spans="6:8">
      <c r="H3926" t="s">
        <v>19712</v>
      </c>
    </row>
    <row r="3927" spans="6:8">
      <c r="H3927" t="s">
        <v>19709</v>
      </c>
    </row>
    <row r="3928" spans="6:8">
      <c r="H3928" t="s">
        <v>19710</v>
      </c>
    </row>
    <row r="3929" spans="6:8">
      <c r="H3929" t="s">
        <v>20107</v>
      </c>
    </row>
    <row r="3930" spans="6:8">
      <c r="H3930" t="s">
        <v>20108</v>
      </c>
    </row>
    <row r="3931" spans="6:8">
      <c r="H3931" t="s">
        <v>19713</v>
      </c>
    </row>
    <row r="3932" spans="6:8">
      <c r="H3932" t="s">
        <v>20095</v>
      </c>
    </row>
    <row r="3933" spans="6:8">
      <c r="H3933" t="s">
        <v>20096</v>
      </c>
    </row>
    <row r="3934" spans="6:8">
      <c r="H3934" t="s">
        <v>20097</v>
      </c>
    </row>
    <row r="3935" spans="6:8">
      <c r="H3935" t="s">
        <v>20098</v>
      </c>
    </row>
    <row r="3936" spans="6:8">
      <c r="H3936" t="s">
        <v>20099</v>
      </c>
    </row>
    <row r="3937" spans="6:8">
      <c r="F3937" t="s">
        <v>11289</v>
      </c>
      <c r="G3937" t="s">
        <v>15258</v>
      </c>
      <c r="H3937" t="s">
        <v>20091</v>
      </c>
    </row>
    <row r="3938" spans="6:8">
      <c r="H3938" t="s">
        <v>19712</v>
      </c>
    </row>
    <row r="3939" spans="6:8">
      <c r="H3939" t="s">
        <v>19709</v>
      </c>
    </row>
    <row r="3940" spans="6:8">
      <c r="H3940" t="s">
        <v>19706</v>
      </c>
    </row>
    <row r="3941" spans="6:8">
      <c r="H3941" t="s">
        <v>19707</v>
      </c>
    </row>
    <row r="3942" spans="6:8">
      <c r="H3942" t="s">
        <v>19711</v>
      </c>
    </row>
    <row r="3943" spans="6:8">
      <c r="H3943" t="s">
        <v>19708</v>
      </c>
    </row>
    <row r="3944" spans="6:8">
      <c r="H3944" t="s">
        <v>19710</v>
      </c>
    </row>
    <row r="3945" spans="6:8">
      <c r="H3945" t="s">
        <v>20107</v>
      </c>
    </row>
    <row r="3946" spans="6:8">
      <c r="H3946" t="s">
        <v>20108</v>
      </c>
    </row>
    <row r="3947" spans="6:8">
      <c r="H3947" t="s">
        <v>19713</v>
      </c>
    </row>
    <row r="3948" spans="6:8">
      <c r="H3948" t="s">
        <v>20095</v>
      </c>
    </row>
    <row r="3949" spans="6:8">
      <c r="H3949" t="s">
        <v>20096</v>
      </c>
    </row>
    <row r="3950" spans="6:8">
      <c r="H3950" t="s">
        <v>20097</v>
      </c>
    </row>
    <row r="3951" spans="6:8">
      <c r="H3951" t="s">
        <v>20098</v>
      </c>
    </row>
    <row r="3952" spans="6:8">
      <c r="F3952" t="s">
        <v>11290</v>
      </c>
      <c r="G3952" t="s">
        <v>15610</v>
      </c>
      <c r="H3952" t="s">
        <v>19712</v>
      </c>
    </row>
    <row r="3953" spans="8:8">
      <c r="H3953" t="s">
        <v>19708</v>
      </c>
    </row>
    <row r="3954" spans="8:8">
      <c r="H3954" t="s">
        <v>20094</v>
      </c>
    </row>
    <row r="3955" spans="8:8">
      <c r="H3955" t="s">
        <v>20116</v>
      </c>
    </row>
    <row r="3956" spans="8:8">
      <c r="H3956" t="s">
        <v>20095</v>
      </c>
    </row>
    <row r="3957" spans="8:8">
      <c r="H3957" t="s">
        <v>20097</v>
      </c>
    </row>
    <row r="3958" spans="8:8">
      <c r="H3958" t="s">
        <v>20098</v>
      </c>
    </row>
    <row r="3959" spans="8:8">
      <c r="H3959" t="s">
        <v>20099</v>
      </c>
    </row>
    <row r="3960" spans="8:8">
      <c r="H3960" t="s">
        <v>20100</v>
      </c>
    </row>
    <row r="3961" spans="8:8">
      <c r="H3961" t="s">
        <v>20102</v>
      </c>
    </row>
    <row r="3962" spans="8:8">
      <c r="H3962" t="s">
        <v>20104</v>
      </c>
    </row>
    <row r="3963" spans="8:8">
      <c r="H3963" t="s">
        <v>20105</v>
      </c>
    </row>
    <row r="3964" spans="8:8">
      <c r="H3964" t="s">
        <v>20123</v>
      </c>
    </row>
    <row r="3965" spans="8:8">
      <c r="H3965" t="s">
        <v>20124</v>
      </c>
    </row>
    <row r="3966" spans="8:8">
      <c r="H3966" t="s">
        <v>20192</v>
      </c>
    </row>
    <row r="3967" spans="8:8">
      <c r="H3967" t="s">
        <v>20193</v>
      </c>
    </row>
    <row r="3968" spans="8:8">
      <c r="H3968" t="s">
        <v>20194</v>
      </c>
    </row>
    <row r="3969" spans="6:8">
      <c r="H3969" t="s">
        <v>19177</v>
      </c>
    </row>
    <row r="3970" spans="6:8">
      <c r="H3970" t="s">
        <v>20196</v>
      </c>
    </row>
    <row r="3971" spans="6:8">
      <c r="H3971" t="s">
        <v>20197</v>
      </c>
    </row>
    <row r="3972" spans="6:8">
      <c r="H3972" t="s">
        <v>20198</v>
      </c>
    </row>
    <row r="3973" spans="6:8">
      <c r="H3973" t="s">
        <v>20199</v>
      </c>
    </row>
    <row r="3974" spans="6:8">
      <c r="H3974" t="s">
        <v>20200</v>
      </c>
    </row>
    <row r="3975" spans="6:8">
      <c r="F3975" t="s">
        <v>11291</v>
      </c>
      <c r="G3975" t="s">
        <v>15611</v>
      </c>
      <c r="H3975" t="s">
        <v>19712</v>
      </c>
    </row>
    <row r="3976" spans="6:8">
      <c r="H3976" t="s">
        <v>19708</v>
      </c>
    </row>
    <row r="3977" spans="6:8">
      <c r="H3977" t="s">
        <v>20094</v>
      </c>
    </row>
    <row r="3978" spans="6:8">
      <c r="H3978" t="s">
        <v>20116</v>
      </c>
    </row>
    <row r="3979" spans="6:8">
      <c r="H3979" t="s">
        <v>20095</v>
      </c>
    </row>
    <row r="3980" spans="6:8">
      <c r="H3980" t="s">
        <v>20097</v>
      </c>
    </row>
    <row r="3981" spans="6:8">
      <c r="H3981" t="s">
        <v>20098</v>
      </c>
    </row>
    <row r="3982" spans="6:8">
      <c r="H3982" t="s">
        <v>20099</v>
      </c>
    </row>
    <row r="3983" spans="6:8">
      <c r="H3983" t="s">
        <v>20100</v>
      </c>
    </row>
    <row r="3984" spans="6:8">
      <c r="H3984" t="s">
        <v>20102</v>
      </c>
    </row>
    <row r="3985" spans="6:8">
      <c r="H3985" t="s">
        <v>20104</v>
      </c>
    </row>
    <row r="3986" spans="6:8">
      <c r="H3986" t="s">
        <v>20105</v>
      </c>
    </row>
    <row r="3987" spans="6:8">
      <c r="H3987" t="s">
        <v>20123</v>
      </c>
    </row>
    <row r="3988" spans="6:8">
      <c r="H3988" t="s">
        <v>20124</v>
      </c>
    </row>
    <row r="3989" spans="6:8">
      <c r="H3989" t="s">
        <v>20192</v>
      </c>
    </row>
    <row r="3990" spans="6:8">
      <c r="H3990" t="s">
        <v>20193</v>
      </c>
    </row>
    <row r="3991" spans="6:8">
      <c r="H3991" t="s">
        <v>20194</v>
      </c>
    </row>
    <row r="3992" spans="6:8">
      <c r="H3992" t="s">
        <v>19177</v>
      </c>
    </row>
    <row r="3993" spans="6:8">
      <c r="H3993" t="s">
        <v>20196</v>
      </c>
    </row>
    <row r="3994" spans="6:8">
      <c r="H3994" t="s">
        <v>20197</v>
      </c>
    </row>
    <row r="3995" spans="6:8">
      <c r="H3995" t="s">
        <v>20198</v>
      </c>
    </row>
    <row r="3996" spans="6:8">
      <c r="H3996" t="s">
        <v>20199</v>
      </c>
    </row>
    <row r="3997" spans="6:8">
      <c r="H3997" t="s">
        <v>20200</v>
      </c>
    </row>
    <row r="3998" spans="6:8">
      <c r="F3998" t="s">
        <v>10705</v>
      </c>
      <c r="G3998" t="s">
        <v>15105</v>
      </c>
      <c r="H3998" t="s">
        <v>20091</v>
      </c>
    </row>
    <row r="3999" spans="6:8">
      <c r="H3999" t="s">
        <v>19712</v>
      </c>
    </row>
    <row r="4000" spans="6:8">
      <c r="H4000" t="s">
        <v>20094</v>
      </c>
    </row>
    <row r="4001" spans="6:8">
      <c r="H4001" t="s">
        <v>20103</v>
      </c>
    </row>
    <row r="4002" spans="6:8">
      <c r="H4002" t="s">
        <v>20116</v>
      </c>
    </row>
    <row r="4003" spans="6:8">
      <c r="H4003" t="s">
        <v>20117</v>
      </c>
    </row>
    <row r="4004" spans="6:8">
      <c r="H4004" t="s">
        <v>20095</v>
      </c>
    </row>
    <row r="4005" spans="6:8">
      <c r="H4005" t="s">
        <v>20096</v>
      </c>
    </row>
    <row r="4006" spans="6:8">
      <c r="H4006" t="s">
        <v>20099</v>
      </c>
    </row>
    <row r="4007" spans="6:8">
      <c r="H4007" t="s">
        <v>20100</v>
      </c>
    </row>
    <row r="4008" spans="6:8">
      <c r="H4008" t="s">
        <v>20104</v>
      </c>
    </row>
    <row r="4009" spans="6:8">
      <c r="H4009" t="s">
        <v>20105</v>
      </c>
    </row>
    <row r="4010" spans="6:8">
      <c r="H4010" t="s">
        <v>20123</v>
      </c>
    </row>
    <row r="4011" spans="6:8">
      <c r="H4011" t="s">
        <v>20124</v>
      </c>
    </row>
    <row r="4012" spans="6:8">
      <c r="H4012" t="s">
        <v>20192</v>
      </c>
    </row>
    <row r="4013" spans="6:8">
      <c r="H4013" t="s">
        <v>20193</v>
      </c>
    </row>
    <row r="4014" spans="6:8">
      <c r="H4014" t="s">
        <v>20194</v>
      </c>
    </row>
    <row r="4015" spans="6:8">
      <c r="H4015" t="s">
        <v>20200</v>
      </c>
    </row>
    <row r="4016" spans="6:8">
      <c r="F4016" t="s">
        <v>10706</v>
      </c>
      <c r="G4016" t="s">
        <v>15106</v>
      </c>
      <c r="H4016" t="s">
        <v>20091</v>
      </c>
    </row>
    <row r="4017" spans="8:8">
      <c r="H4017" t="s">
        <v>19712</v>
      </c>
    </row>
    <row r="4018" spans="8:8">
      <c r="H4018" t="s">
        <v>20094</v>
      </c>
    </row>
    <row r="4019" spans="8:8">
      <c r="H4019" t="s">
        <v>20103</v>
      </c>
    </row>
    <row r="4020" spans="8:8">
      <c r="H4020" t="s">
        <v>20116</v>
      </c>
    </row>
    <row r="4021" spans="8:8">
      <c r="H4021" t="s">
        <v>20117</v>
      </c>
    </row>
    <row r="4022" spans="8:8">
      <c r="H4022" t="s">
        <v>20095</v>
      </c>
    </row>
    <row r="4023" spans="8:8">
      <c r="H4023" t="s">
        <v>20096</v>
      </c>
    </row>
    <row r="4024" spans="8:8">
      <c r="H4024" t="s">
        <v>20099</v>
      </c>
    </row>
    <row r="4025" spans="8:8">
      <c r="H4025" t="s">
        <v>20100</v>
      </c>
    </row>
    <row r="4026" spans="8:8">
      <c r="H4026" t="s">
        <v>20104</v>
      </c>
    </row>
    <row r="4027" spans="8:8">
      <c r="H4027" t="s">
        <v>20105</v>
      </c>
    </row>
    <row r="4028" spans="8:8">
      <c r="H4028" t="s">
        <v>20123</v>
      </c>
    </row>
    <row r="4029" spans="8:8">
      <c r="H4029" t="s">
        <v>20124</v>
      </c>
    </row>
    <row r="4030" spans="8:8">
      <c r="H4030" t="s">
        <v>20192</v>
      </c>
    </row>
    <row r="4031" spans="8:8">
      <c r="H4031" t="s">
        <v>20193</v>
      </c>
    </row>
    <row r="4032" spans="8:8">
      <c r="H4032" t="s">
        <v>20194</v>
      </c>
    </row>
    <row r="4033" spans="6:8">
      <c r="H4033" t="s">
        <v>20200</v>
      </c>
    </row>
    <row r="4034" spans="6:8">
      <c r="F4034" t="s">
        <v>11293</v>
      </c>
      <c r="G4034" t="s">
        <v>15612</v>
      </c>
      <c r="H4034" t="s">
        <v>20091</v>
      </c>
    </row>
    <row r="4035" spans="6:8">
      <c r="H4035" t="s">
        <v>19712</v>
      </c>
    </row>
    <row r="4036" spans="6:8">
      <c r="H4036" t="s">
        <v>19709</v>
      </c>
    </row>
    <row r="4037" spans="6:8">
      <c r="H4037" t="s">
        <v>19707</v>
      </c>
    </row>
    <row r="4038" spans="6:8">
      <c r="H4038" t="s">
        <v>19711</v>
      </c>
    </row>
    <row r="4039" spans="6:8">
      <c r="H4039" t="s">
        <v>20093</v>
      </c>
    </row>
    <row r="4040" spans="6:8">
      <c r="H4040" t="s">
        <v>20118</v>
      </c>
    </row>
    <row r="4041" spans="6:8">
      <c r="H4041" t="s">
        <v>20095</v>
      </c>
    </row>
    <row r="4042" spans="6:8">
      <c r="H4042" t="s">
        <v>20097</v>
      </c>
    </row>
    <row r="4043" spans="6:8">
      <c r="H4043" t="s">
        <v>20098</v>
      </c>
    </row>
    <row r="4044" spans="6:8">
      <c r="H4044" t="s">
        <v>20099</v>
      </c>
    </row>
    <row r="4045" spans="6:8">
      <c r="H4045" t="s">
        <v>20100</v>
      </c>
    </row>
    <row r="4046" spans="6:8">
      <c r="H4046" t="s">
        <v>20101</v>
      </c>
    </row>
    <row r="4047" spans="6:8">
      <c r="H4047" t="s">
        <v>20102</v>
      </c>
    </row>
    <row r="4048" spans="6:8">
      <c r="H4048" t="s">
        <v>20104</v>
      </c>
    </row>
    <row r="4049" spans="6:8">
      <c r="H4049" t="s">
        <v>20105</v>
      </c>
    </row>
    <row r="4050" spans="6:8">
      <c r="H4050" t="s">
        <v>20124</v>
      </c>
    </row>
    <row r="4051" spans="6:8">
      <c r="H4051" t="s">
        <v>20192</v>
      </c>
    </row>
    <row r="4052" spans="6:8">
      <c r="H4052" t="s">
        <v>20197</v>
      </c>
    </row>
    <row r="4053" spans="6:8">
      <c r="F4053" t="s">
        <v>11295</v>
      </c>
      <c r="G4053" t="s">
        <v>15613</v>
      </c>
      <c r="H4053" t="s">
        <v>20091</v>
      </c>
    </row>
    <row r="4054" spans="6:8">
      <c r="H4054" t="s">
        <v>19712</v>
      </c>
    </row>
    <row r="4055" spans="6:8">
      <c r="H4055" t="s">
        <v>19709</v>
      </c>
    </row>
    <row r="4056" spans="6:8">
      <c r="H4056" t="s">
        <v>19707</v>
      </c>
    </row>
    <row r="4057" spans="6:8">
      <c r="H4057" t="s">
        <v>19711</v>
      </c>
    </row>
    <row r="4058" spans="6:8">
      <c r="H4058" t="s">
        <v>20093</v>
      </c>
    </row>
    <row r="4059" spans="6:8">
      <c r="H4059" t="s">
        <v>20118</v>
      </c>
    </row>
    <row r="4060" spans="6:8">
      <c r="H4060" t="s">
        <v>20095</v>
      </c>
    </row>
    <row r="4061" spans="6:8">
      <c r="H4061" t="s">
        <v>20097</v>
      </c>
    </row>
    <row r="4062" spans="6:8">
      <c r="H4062" t="s">
        <v>20098</v>
      </c>
    </row>
    <row r="4063" spans="6:8">
      <c r="H4063" t="s">
        <v>20099</v>
      </c>
    </row>
    <row r="4064" spans="6:8">
      <c r="H4064" t="s">
        <v>20100</v>
      </c>
    </row>
    <row r="4065" spans="6:8">
      <c r="H4065" t="s">
        <v>20101</v>
      </c>
    </row>
    <row r="4066" spans="6:8">
      <c r="H4066" t="s">
        <v>20102</v>
      </c>
    </row>
    <row r="4067" spans="6:8">
      <c r="H4067" t="s">
        <v>20104</v>
      </c>
    </row>
    <row r="4068" spans="6:8">
      <c r="H4068" t="s">
        <v>20105</v>
      </c>
    </row>
    <row r="4069" spans="6:8">
      <c r="H4069" t="s">
        <v>20124</v>
      </c>
    </row>
    <row r="4070" spans="6:8">
      <c r="H4070" t="s">
        <v>20192</v>
      </c>
    </row>
    <row r="4071" spans="6:8">
      <c r="H4071" t="s">
        <v>20197</v>
      </c>
    </row>
    <row r="4072" spans="6:8">
      <c r="F4072" t="s">
        <v>10708</v>
      </c>
      <c r="G4072" t="s">
        <v>15107</v>
      </c>
      <c r="H4072" t="s">
        <v>20091</v>
      </c>
    </row>
    <row r="4073" spans="6:8">
      <c r="H4073" t="s">
        <v>19709</v>
      </c>
    </row>
    <row r="4074" spans="6:8">
      <c r="H4074" t="s">
        <v>19707</v>
      </c>
    </row>
    <row r="4075" spans="6:8">
      <c r="H4075" t="s">
        <v>19711</v>
      </c>
    </row>
    <row r="4076" spans="6:8">
      <c r="H4076" t="s">
        <v>20092</v>
      </c>
    </row>
    <row r="4077" spans="6:8">
      <c r="H4077" t="s">
        <v>20093</v>
      </c>
    </row>
    <row r="4078" spans="6:8">
      <c r="H4078" t="s">
        <v>20103</v>
      </c>
    </row>
    <row r="4079" spans="6:8">
      <c r="H4079" t="s">
        <v>20095</v>
      </c>
    </row>
    <row r="4080" spans="6:8">
      <c r="H4080" t="s">
        <v>20097</v>
      </c>
    </row>
    <row r="4081" spans="6:8">
      <c r="H4081" t="s">
        <v>20098</v>
      </c>
    </row>
    <row r="4082" spans="6:8">
      <c r="H4082" t="s">
        <v>20099</v>
      </c>
    </row>
    <row r="4083" spans="6:8">
      <c r="H4083" t="s">
        <v>20100</v>
      </c>
    </row>
    <row r="4084" spans="6:8">
      <c r="H4084" t="s">
        <v>20102</v>
      </c>
    </row>
    <row r="4085" spans="6:8">
      <c r="H4085" t="s">
        <v>20104</v>
      </c>
    </row>
    <row r="4086" spans="6:8">
      <c r="H4086" t="s">
        <v>20105</v>
      </c>
    </row>
    <row r="4087" spans="6:8">
      <c r="H4087" t="s">
        <v>20124</v>
      </c>
    </row>
    <row r="4088" spans="6:8">
      <c r="H4088" t="s">
        <v>20192</v>
      </c>
    </row>
    <row r="4089" spans="6:8">
      <c r="H4089" t="s">
        <v>20193</v>
      </c>
    </row>
    <row r="4090" spans="6:8">
      <c r="H4090" t="s">
        <v>20194</v>
      </c>
    </row>
    <row r="4091" spans="6:8">
      <c r="H4091" t="s">
        <v>19177</v>
      </c>
    </row>
    <row r="4092" spans="6:8">
      <c r="H4092" t="s">
        <v>20196</v>
      </c>
    </row>
    <row r="4093" spans="6:8">
      <c r="H4093" t="s">
        <v>20197</v>
      </c>
    </row>
    <row r="4094" spans="6:8">
      <c r="H4094" t="s">
        <v>20198</v>
      </c>
    </row>
    <row r="4095" spans="6:8">
      <c r="F4095" t="s">
        <v>10709</v>
      </c>
      <c r="G4095" t="s">
        <v>15108</v>
      </c>
      <c r="H4095" t="s">
        <v>20091</v>
      </c>
    </row>
    <row r="4096" spans="6:8">
      <c r="H4096" t="s">
        <v>19709</v>
      </c>
    </row>
    <row r="4097" spans="8:8">
      <c r="H4097" t="s">
        <v>19707</v>
      </c>
    </row>
    <row r="4098" spans="8:8">
      <c r="H4098" t="s">
        <v>19711</v>
      </c>
    </row>
    <row r="4099" spans="8:8">
      <c r="H4099" t="s">
        <v>20092</v>
      </c>
    </row>
    <row r="4100" spans="8:8">
      <c r="H4100" t="s">
        <v>20093</v>
      </c>
    </row>
    <row r="4101" spans="8:8">
      <c r="H4101" t="s">
        <v>20103</v>
      </c>
    </row>
    <row r="4102" spans="8:8">
      <c r="H4102" t="s">
        <v>20095</v>
      </c>
    </row>
    <row r="4103" spans="8:8">
      <c r="H4103" t="s">
        <v>20097</v>
      </c>
    </row>
    <row r="4104" spans="8:8">
      <c r="H4104" t="s">
        <v>20098</v>
      </c>
    </row>
    <row r="4105" spans="8:8">
      <c r="H4105" t="s">
        <v>20099</v>
      </c>
    </row>
    <row r="4106" spans="8:8">
      <c r="H4106" t="s">
        <v>20100</v>
      </c>
    </row>
    <row r="4107" spans="8:8">
      <c r="H4107" t="s">
        <v>20102</v>
      </c>
    </row>
    <row r="4108" spans="8:8">
      <c r="H4108" t="s">
        <v>20104</v>
      </c>
    </row>
    <row r="4109" spans="8:8">
      <c r="H4109" t="s">
        <v>20105</v>
      </c>
    </row>
    <row r="4110" spans="8:8">
      <c r="H4110" t="s">
        <v>20124</v>
      </c>
    </row>
    <row r="4111" spans="8:8">
      <c r="H4111" t="s">
        <v>20192</v>
      </c>
    </row>
    <row r="4112" spans="8:8">
      <c r="H4112" t="s">
        <v>20193</v>
      </c>
    </row>
    <row r="4113" spans="6:8">
      <c r="H4113" t="s">
        <v>20194</v>
      </c>
    </row>
    <row r="4114" spans="6:8">
      <c r="H4114" t="s">
        <v>19177</v>
      </c>
    </row>
    <row r="4115" spans="6:8">
      <c r="H4115" t="s">
        <v>20196</v>
      </c>
    </row>
    <row r="4116" spans="6:8">
      <c r="H4116" t="s">
        <v>20197</v>
      </c>
    </row>
    <row r="4117" spans="6:8">
      <c r="H4117" t="s">
        <v>20198</v>
      </c>
    </row>
    <row r="4118" spans="6:8">
      <c r="F4118" t="s">
        <v>10710</v>
      </c>
      <c r="G4118" t="s">
        <v>15109</v>
      </c>
      <c r="H4118" t="s">
        <v>20091</v>
      </c>
    </row>
    <row r="4119" spans="6:8">
      <c r="H4119" t="s">
        <v>19709</v>
      </c>
    </row>
    <row r="4120" spans="6:8">
      <c r="H4120" t="s">
        <v>19707</v>
      </c>
    </row>
    <row r="4121" spans="6:8">
      <c r="H4121" t="s">
        <v>19711</v>
      </c>
    </row>
    <row r="4122" spans="6:8">
      <c r="H4122" t="s">
        <v>20092</v>
      </c>
    </row>
    <row r="4123" spans="6:8">
      <c r="H4123" t="s">
        <v>20093</v>
      </c>
    </row>
    <row r="4124" spans="6:8">
      <c r="H4124" t="s">
        <v>20103</v>
      </c>
    </row>
    <row r="4125" spans="6:8">
      <c r="H4125" t="s">
        <v>20095</v>
      </c>
    </row>
    <row r="4126" spans="6:8">
      <c r="H4126" t="s">
        <v>20097</v>
      </c>
    </row>
    <row r="4127" spans="6:8">
      <c r="H4127" t="s">
        <v>20098</v>
      </c>
    </row>
    <row r="4128" spans="6:8">
      <c r="H4128" t="s">
        <v>20099</v>
      </c>
    </row>
    <row r="4129" spans="6:8">
      <c r="H4129" t="s">
        <v>20100</v>
      </c>
    </row>
    <row r="4130" spans="6:8">
      <c r="H4130" t="s">
        <v>20102</v>
      </c>
    </row>
    <row r="4131" spans="6:8">
      <c r="H4131" t="s">
        <v>20104</v>
      </c>
    </row>
    <row r="4132" spans="6:8">
      <c r="H4132" t="s">
        <v>20105</v>
      </c>
    </row>
    <row r="4133" spans="6:8">
      <c r="H4133" t="s">
        <v>20124</v>
      </c>
    </row>
    <row r="4134" spans="6:8">
      <c r="H4134" t="s">
        <v>20192</v>
      </c>
    </row>
    <row r="4135" spans="6:8">
      <c r="H4135" t="s">
        <v>20193</v>
      </c>
    </row>
    <row r="4136" spans="6:8">
      <c r="H4136" t="s">
        <v>20194</v>
      </c>
    </row>
    <row r="4137" spans="6:8">
      <c r="H4137" t="s">
        <v>19177</v>
      </c>
    </row>
    <row r="4138" spans="6:8">
      <c r="H4138" t="s">
        <v>20196</v>
      </c>
    </row>
    <row r="4139" spans="6:8">
      <c r="H4139" t="s">
        <v>20197</v>
      </c>
    </row>
    <row r="4140" spans="6:8">
      <c r="H4140" t="s">
        <v>20198</v>
      </c>
    </row>
    <row r="4141" spans="6:8">
      <c r="F4141" t="s">
        <v>10711</v>
      </c>
      <c r="G4141" t="s">
        <v>15110</v>
      </c>
      <c r="H4141" t="s">
        <v>20091</v>
      </c>
    </row>
    <row r="4142" spans="6:8">
      <c r="H4142" t="s">
        <v>19709</v>
      </c>
    </row>
    <row r="4143" spans="6:8">
      <c r="H4143" t="s">
        <v>19707</v>
      </c>
    </row>
    <row r="4144" spans="6:8">
      <c r="H4144" t="s">
        <v>19711</v>
      </c>
    </row>
    <row r="4145" spans="8:8">
      <c r="H4145" t="s">
        <v>19708</v>
      </c>
    </row>
    <row r="4146" spans="8:8">
      <c r="H4146" t="s">
        <v>20092</v>
      </c>
    </row>
    <row r="4147" spans="8:8">
      <c r="H4147" t="s">
        <v>20093</v>
      </c>
    </row>
    <row r="4148" spans="8:8">
      <c r="H4148" t="s">
        <v>20103</v>
      </c>
    </row>
    <row r="4149" spans="8:8">
      <c r="H4149" t="s">
        <v>20095</v>
      </c>
    </row>
    <row r="4150" spans="8:8">
      <c r="H4150" t="s">
        <v>20097</v>
      </c>
    </row>
    <row r="4151" spans="8:8">
      <c r="H4151" t="s">
        <v>20098</v>
      </c>
    </row>
    <row r="4152" spans="8:8">
      <c r="H4152" t="s">
        <v>20099</v>
      </c>
    </row>
    <row r="4153" spans="8:8">
      <c r="H4153" t="s">
        <v>20100</v>
      </c>
    </row>
    <row r="4154" spans="8:8">
      <c r="H4154" t="s">
        <v>20102</v>
      </c>
    </row>
    <row r="4155" spans="8:8">
      <c r="H4155" t="s">
        <v>20104</v>
      </c>
    </row>
    <row r="4156" spans="8:8">
      <c r="H4156" t="s">
        <v>20105</v>
      </c>
    </row>
    <row r="4157" spans="8:8">
      <c r="H4157" t="s">
        <v>20124</v>
      </c>
    </row>
    <row r="4158" spans="8:8">
      <c r="H4158" t="s">
        <v>20192</v>
      </c>
    </row>
    <row r="4159" spans="8:8">
      <c r="H4159" t="s">
        <v>20193</v>
      </c>
    </row>
    <row r="4160" spans="8:8">
      <c r="H4160" t="s">
        <v>20194</v>
      </c>
    </row>
    <row r="4161" spans="6:8">
      <c r="H4161" t="s">
        <v>19177</v>
      </c>
    </row>
    <row r="4162" spans="6:8">
      <c r="H4162" t="s">
        <v>20196</v>
      </c>
    </row>
    <row r="4163" spans="6:8">
      <c r="H4163" t="s">
        <v>20197</v>
      </c>
    </row>
    <row r="4164" spans="6:8">
      <c r="H4164" t="s">
        <v>20198</v>
      </c>
    </row>
    <row r="4165" spans="6:8">
      <c r="F4165" t="s">
        <v>11300</v>
      </c>
      <c r="G4165" t="s">
        <v>15259</v>
      </c>
      <c r="H4165" t="s">
        <v>20091</v>
      </c>
    </row>
    <row r="4166" spans="6:8">
      <c r="H4166" t="s">
        <v>19712</v>
      </c>
    </row>
    <row r="4167" spans="6:8">
      <c r="H4167" t="s">
        <v>19709</v>
      </c>
    </row>
    <row r="4168" spans="6:8">
      <c r="H4168" t="s">
        <v>19706</v>
      </c>
    </row>
    <row r="4169" spans="6:8">
      <c r="H4169" t="s">
        <v>19711</v>
      </c>
    </row>
    <row r="4170" spans="6:8">
      <c r="H4170" t="s">
        <v>20093</v>
      </c>
    </row>
    <row r="4171" spans="6:8">
      <c r="H4171" t="s">
        <v>20095</v>
      </c>
    </row>
    <row r="4172" spans="6:8">
      <c r="H4172" t="s">
        <v>20096</v>
      </c>
    </row>
    <row r="4173" spans="6:8">
      <c r="H4173" t="s">
        <v>20099</v>
      </c>
    </row>
    <row r="4174" spans="6:8">
      <c r="H4174" t="s">
        <v>20101</v>
      </c>
    </row>
    <row r="4175" spans="6:8">
      <c r="H4175" t="s">
        <v>20102</v>
      </c>
    </row>
    <row r="4176" spans="6:8">
      <c r="H4176" t="s">
        <v>20104</v>
      </c>
    </row>
    <row r="4177" spans="6:8">
      <c r="H4177" t="s">
        <v>20105</v>
      </c>
    </row>
    <row r="4178" spans="6:8">
      <c r="H4178" t="s">
        <v>20123</v>
      </c>
    </row>
    <row r="4179" spans="6:8">
      <c r="H4179" t="s">
        <v>20124</v>
      </c>
    </row>
    <row r="4180" spans="6:8">
      <c r="H4180" t="s">
        <v>20192</v>
      </c>
    </row>
    <row r="4181" spans="6:8">
      <c r="H4181" t="s">
        <v>20193</v>
      </c>
    </row>
    <row r="4182" spans="6:8">
      <c r="H4182" t="s">
        <v>20194</v>
      </c>
    </row>
    <row r="4183" spans="6:8">
      <c r="H4183" t="s">
        <v>19177</v>
      </c>
    </row>
    <row r="4184" spans="6:8">
      <c r="H4184" t="s">
        <v>20196</v>
      </c>
    </row>
    <row r="4185" spans="6:8">
      <c r="H4185" t="s">
        <v>20197</v>
      </c>
    </row>
    <row r="4186" spans="6:8">
      <c r="H4186" t="s">
        <v>20195</v>
      </c>
    </row>
    <row r="4187" spans="6:8">
      <c r="H4187" t="s">
        <v>20116</v>
      </c>
    </row>
    <row r="4188" spans="6:8">
      <c r="F4188" t="s">
        <v>11301</v>
      </c>
      <c r="G4188" t="s">
        <v>15614</v>
      </c>
      <c r="H4188" t="s">
        <v>20091</v>
      </c>
    </row>
    <row r="4189" spans="6:8">
      <c r="H4189" t="s">
        <v>19712</v>
      </c>
    </row>
    <row r="4190" spans="6:8">
      <c r="H4190" t="s">
        <v>19706</v>
      </c>
    </row>
    <row r="4191" spans="6:8">
      <c r="H4191" t="s">
        <v>20093</v>
      </c>
    </row>
    <row r="4192" spans="6:8">
      <c r="H4192" t="s">
        <v>20095</v>
      </c>
    </row>
    <row r="4193" spans="8:8">
      <c r="H4193" t="s">
        <v>20096</v>
      </c>
    </row>
    <row r="4194" spans="8:8">
      <c r="H4194" t="s">
        <v>20099</v>
      </c>
    </row>
    <row r="4195" spans="8:8">
      <c r="H4195" t="s">
        <v>20100</v>
      </c>
    </row>
    <row r="4196" spans="8:8">
      <c r="H4196" t="s">
        <v>20101</v>
      </c>
    </row>
    <row r="4197" spans="8:8">
      <c r="H4197" t="s">
        <v>20102</v>
      </c>
    </row>
    <row r="4198" spans="8:8">
      <c r="H4198" t="s">
        <v>20104</v>
      </c>
    </row>
    <row r="4199" spans="8:8">
      <c r="H4199" t="s">
        <v>20105</v>
      </c>
    </row>
    <row r="4200" spans="8:8">
      <c r="H4200" t="s">
        <v>20123</v>
      </c>
    </row>
    <row r="4201" spans="8:8">
      <c r="H4201" t="s">
        <v>20124</v>
      </c>
    </row>
    <row r="4202" spans="8:8">
      <c r="H4202" t="s">
        <v>20192</v>
      </c>
    </row>
    <row r="4203" spans="8:8">
      <c r="H4203" t="s">
        <v>20193</v>
      </c>
    </row>
    <row r="4204" spans="8:8">
      <c r="H4204" t="s">
        <v>20194</v>
      </c>
    </row>
    <row r="4205" spans="8:8">
      <c r="H4205" t="s">
        <v>19177</v>
      </c>
    </row>
    <row r="4206" spans="8:8">
      <c r="H4206" t="s">
        <v>20196</v>
      </c>
    </row>
    <row r="4207" spans="8:8">
      <c r="H4207" t="s">
        <v>20197</v>
      </c>
    </row>
    <row r="4208" spans="8:8">
      <c r="H4208" t="s">
        <v>20195</v>
      </c>
    </row>
    <row r="4209" spans="6:8">
      <c r="H4209" t="s">
        <v>20198</v>
      </c>
    </row>
    <row r="4210" spans="6:8">
      <c r="F4210" t="s">
        <v>11302</v>
      </c>
      <c r="G4210" t="s">
        <v>15615</v>
      </c>
      <c r="H4210" t="s">
        <v>20091</v>
      </c>
    </row>
    <row r="4211" spans="6:8">
      <c r="H4211" t="s">
        <v>19712</v>
      </c>
    </row>
    <row r="4212" spans="6:8">
      <c r="H4212" t="s">
        <v>19706</v>
      </c>
    </row>
    <row r="4213" spans="6:8">
      <c r="H4213" t="s">
        <v>20093</v>
      </c>
    </row>
    <row r="4214" spans="6:8">
      <c r="H4214" t="s">
        <v>20095</v>
      </c>
    </row>
    <row r="4215" spans="6:8">
      <c r="H4215" t="s">
        <v>20096</v>
      </c>
    </row>
    <row r="4216" spans="6:8">
      <c r="H4216" t="s">
        <v>20099</v>
      </c>
    </row>
    <row r="4217" spans="6:8">
      <c r="H4217" t="s">
        <v>20100</v>
      </c>
    </row>
    <row r="4218" spans="6:8">
      <c r="H4218" t="s">
        <v>20101</v>
      </c>
    </row>
    <row r="4219" spans="6:8">
      <c r="H4219" t="s">
        <v>20102</v>
      </c>
    </row>
    <row r="4220" spans="6:8">
      <c r="H4220" t="s">
        <v>20104</v>
      </c>
    </row>
    <row r="4221" spans="6:8">
      <c r="H4221" t="s">
        <v>20105</v>
      </c>
    </row>
    <row r="4222" spans="6:8">
      <c r="H4222" t="s">
        <v>20123</v>
      </c>
    </row>
    <row r="4223" spans="6:8">
      <c r="H4223" t="s">
        <v>20124</v>
      </c>
    </row>
    <row r="4224" spans="6:8">
      <c r="H4224" t="s">
        <v>20192</v>
      </c>
    </row>
    <row r="4225" spans="6:8">
      <c r="H4225" t="s">
        <v>20193</v>
      </c>
    </row>
    <row r="4226" spans="6:8">
      <c r="H4226" t="s">
        <v>20194</v>
      </c>
    </row>
    <row r="4227" spans="6:8">
      <c r="H4227" t="s">
        <v>19177</v>
      </c>
    </row>
    <row r="4228" spans="6:8">
      <c r="H4228" t="s">
        <v>20196</v>
      </c>
    </row>
    <row r="4229" spans="6:8">
      <c r="H4229" t="s">
        <v>20197</v>
      </c>
    </row>
    <row r="4230" spans="6:8">
      <c r="H4230" t="s">
        <v>20195</v>
      </c>
    </row>
    <row r="4231" spans="6:8">
      <c r="H4231" t="s">
        <v>20198</v>
      </c>
    </row>
    <row r="4232" spans="6:8">
      <c r="F4232" t="s">
        <v>11303</v>
      </c>
      <c r="G4232" t="s">
        <v>15616</v>
      </c>
      <c r="H4232" t="s">
        <v>20091</v>
      </c>
    </row>
    <row r="4233" spans="6:8">
      <c r="H4233" t="s">
        <v>19712</v>
      </c>
    </row>
    <row r="4234" spans="6:8">
      <c r="H4234" t="s">
        <v>19706</v>
      </c>
    </row>
    <row r="4235" spans="6:8">
      <c r="H4235" t="s">
        <v>20093</v>
      </c>
    </row>
    <row r="4236" spans="6:8">
      <c r="H4236" t="s">
        <v>20095</v>
      </c>
    </row>
    <row r="4237" spans="6:8">
      <c r="H4237" t="s">
        <v>20096</v>
      </c>
    </row>
    <row r="4238" spans="6:8">
      <c r="H4238" t="s">
        <v>20099</v>
      </c>
    </row>
    <row r="4239" spans="6:8">
      <c r="H4239" t="s">
        <v>20100</v>
      </c>
    </row>
    <row r="4240" spans="6:8">
      <c r="H4240" t="s">
        <v>20101</v>
      </c>
    </row>
    <row r="4241" spans="6:8">
      <c r="H4241" t="s">
        <v>20102</v>
      </c>
    </row>
    <row r="4242" spans="6:8">
      <c r="H4242" t="s">
        <v>20104</v>
      </c>
    </row>
    <row r="4243" spans="6:8">
      <c r="H4243" t="s">
        <v>20105</v>
      </c>
    </row>
    <row r="4244" spans="6:8">
      <c r="H4244" t="s">
        <v>20123</v>
      </c>
    </row>
    <row r="4245" spans="6:8">
      <c r="H4245" t="s">
        <v>20124</v>
      </c>
    </row>
    <row r="4246" spans="6:8">
      <c r="H4246" t="s">
        <v>20192</v>
      </c>
    </row>
    <row r="4247" spans="6:8">
      <c r="H4247" t="s">
        <v>20193</v>
      </c>
    </row>
    <row r="4248" spans="6:8">
      <c r="H4248" t="s">
        <v>20194</v>
      </c>
    </row>
    <row r="4249" spans="6:8">
      <c r="H4249" t="s">
        <v>19177</v>
      </c>
    </row>
    <row r="4250" spans="6:8">
      <c r="H4250" t="s">
        <v>20196</v>
      </c>
    </row>
    <row r="4251" spans="6:8">
      <c r="H4251" t="s">
        <v>20197</v>
      </c>
    </row>
    <row r="4252" spans="6:8">
      <c r="H4252" t="s">
        <v>20195</v>
      </c>
    </row>
    <row r="4253" spans="6:8">
      <c r="H4253" t="s">
        <v>20198</v>
      </c>
    </row>
    <row r="4254" spans="6:8">
      <c r="F4254" t="s">
        <v>11304</v>
      </c>
      <c r="G4254" t="s">
        <v>15617</v>
      </c>
      <c r="H4254" t="s">
        <v>20091</v>
      </c>
    </row>
    <row r="4255" spans="6:8">
      <c r="H4255" t="s">
        <v>19712</v>
      </c>
    </row>
    <row r="4256" spans="6:8">
      <c r="H4256" t="s">
        <v>19706</v>
      </c>
    </row>
    <row r="4257" spans="8:8">
      <c r="H4257" t="s">
        <v>20093</v>
      </c>
    </row>
    <row r="4258" spans="8:8">
      <c r="H4258" t="s">
        <v>20095</v>
      </c>
    </row>
    <row r="4259" spans="8:8">
      <c r="H4259" t="s">
        <v>20096</v>
      </c>
    </row>
    <row r="4260" spans="8:8">
      <c r="H4260" t="s">
        <v>20099</v>
      </c>
    </row>
    <row r="4261" spans="8:8">
      <c r="H4261" t="s">
        <v>20101</v>
      </c>
    </row>
    <row r="4262" spans="8:8">
      <c r="H4262" t="s">
        <v>20102</v>
      </c>
    </row>
    <row r="4263" spans="8:8">
      <c r="H4263" t="s">
        <v>20104</v>
      </c>
    </row>
    <row r="4264" spans="8:8">
      <c r="H4264" t="s">
        <v>20105</v>
      </c>
    </row>
    <row r="4265" spans="8:8">
      <c r="H4265" t="s">
        <v>20123</v>
      </c>
    </row>
    <row r="4266" spans="8:8">
      <c r="H4266" t="s">
        <v>20124</v>
      </c>
    </row>
    <row r="4267" spans="8:8">
      <c r="H4267" t="s">
        <v>20192</v>
      </c>
    </row>
    <row r="4268" spans="8:8">
      <c r="H4268" t="s">
        <v>20193</v>
      </c>
    </row>
    <row r="4269" spans="8:8">
      <c r="H4269" t="s">
        <v>20194</v>
      </c>
    </row>
    <row r="4270" spans="8:8">
      <c r="H4270" t="s">
        <v>19177</v>
      </c>
    </row>
    <row r="4271" spans="8:8">
      <c r="H4271" t="s">
        <v>20196</v>
      </c>
    </row>
    <row r="4272" spans="8:8">
      <c r="H4272" t="s">
        <v>20197</v>
      </c>
    </row>
    <row r="4273" spans="6:8">
      <c r="H4273" t="s">
        <v>20100</v>
      </c>
    </row>
    <row r="4274" spans="6:8">
      <c r="H4274" t="s">
        <v>20195</v>
      </c>
    </row>
    <row r="4275" spans="6:8">
      <c r="H4275" t="s">
        <v>20198</v>
      </c>
    </row>
    <row r="4276" spans="6:8">
      <c r="F4276" t="s">
        <v>11305</v>
      </c>
      <c r="G4276" t="s">
        <v>15618</v>
      </c>
      <c r="H4276" t="s">
        <v>20091</v>
      </c>
    </row>
    <row r="4277" spans="6:8">
      <c r="H4277" t="s">
        <v>19712</v>
      </c>
    </row>
    <row r="4278" spans="6:8">
      <c r="H4278" t="s">
        <v>19706</v>
      </c>
    </row>
    <row r="4279" spans="6:8">
      <c r="H4279" t="s">
        <v>20093</v>
      </c>
    </row>
    <row r="4280" spans="6:8">
      <c r="H4280" t="s">
        <v>20095</v>
      </c>
    </row>
    <row r="4281" spans="6:8">
      <c r="H4281" t="s">
        <v>20096</v>
      </c>
    </row>
    <row r="4282" spans="6:8">
      <c r="H4282" t="s">
        <v>20099</v>
      </c>
    </row>
    <row r="4283" spans="6:8">
      <c r="H4283" t="s">
        <v>20100</v>
      </c>
    </row>
    <row r="4284" spans="6:8">
      <c r="H4284" t="s">
        <v>20101</v>
      </c>
    </row>
    <row r="4285" spans="6:8">
      <c r="H4285" t="s">
        <v>20102</v>
      </c>
    </row>
    <row r="4286" spans="6:8">
      <c r="H4286" t="s">
        <v>20104</v>
      </c>
    </row>
    <row r="4287" spans="6:8">
      <c r="H4287" t="s">
        <v>20105</v>
      </c>
    </row>
    <row r="4288" spans="6:8">
      <c r="H4288" t="s">
        <v>20123</v>
      </c>
    </row>
    <row r="4289" spans="6:8">
      <c r="H4289" t="s">
        <v>20124</v>
      </c>
    </row>
    <row r="4290" spans="6:8">
      <c r="H4290" t="s">
        <v>20192</v>
      </c>
    </row>
    <row r="4291" spans="6:8">
      <c r="H4291" t="s">
        <v>20193</v>
      </c>
    </row>
    <row r="4292" spans="6:8">
      <c r="H4292" t="s">
        <v>20194</v>
      </c>
    </row>
    <row r="4293" spans="6:8">
      <c r="H4293" t="s">
        <v>19177</v>
      </c>
    </row>
    <row r="4294" spans="6:8">
      <c r="H4294" t="s">
        <v>20196</v>
      </c>
    </row>
    <row r="4295" spans="6:8">
      <c r="H4295" t="s">
        <v>20197</v>
      </c>
    </row>
    <row r="4296" spans="6:8">
      <c r="H4296" t="s">
        <v>20195</v>
      </c>
    </row>
    <row r="4297" spans="6:8">
      <c r="H4297" t="s">
        <v>20198</v>
      </c>
    </row>
    <row r="4298" spans="6:8">
      <c r="F4298" t="s">
        <v>11306</v>
      </c>
      <c r="G4298" t="s">
        <v>15619</v>
      </c>
      <c r="H4298" t="s">
        <v>20091</v>
      </c>
    </row>
    <row r="4299" spans="6:8">
      <c r="H4299" t="s">
        <v>19712</v>
      </c>
    </row>
    <row r="4300" spans="6:8">
      <c r="H4300" t="s">
        <v>19709</v>
      </c>
    </row>
    <row r="4301" spans="6:8">
      <c r="H4301" t="s">
        <v>19706</v>
      </c>
    </row>
    <row r="4302" spans="6:8">
      <c r="H4302" t="s">
        <v>20093</v>
      </c>
    </row>
    <row r="4303" spans="6:8">
      <c r="H4303" t="s">
        <v>20095</v>
      </c>
    </row>
    <row r="4304" spans="6:8">
      <c r="H4304" t="s">
        <v>20096</v>
      </c>
    </row>
    <row r="4305" spans="8:8">
      <c r="H4305" t="s">
        <v>20099</v>
      </c>
    </row>
    <row r="4306" spans="8:8">
      <c r="H4306" t="s">
        <v>20101</v>
      </c>
    </row>
    <row r="4307" spans="8:8">
      <c r="H4307" t="s">
        <v>20102</v>
      </c>
    </row>
    <row r="4308" spans="8:8">
      <c r="H4308" t="s">
        <v>20104</v>
      </c>
    </row>
    <row r="4309" spans="8:8">
      <c r="H4309" t="s">
        <v>20105</v>
      </c>
    </row>
    <row r="4310" spans="8:8">
      <c r="H4310" t="s">
        <v>20123</v>
      </c>
    </row>
    <row r="4311" spans="8:8">
      <c r="H4311" t="s">
        <v>20124</v>
      </c>
    </row>
    <row r="4312" spans="8:8">
      <c r="H4312" t="s">
        <v>20192</v>
      </c>
    </row>
    <row r="4313" spans="8:8">
      <c r="H4313" t="s">
        <v>20193</v>
      </c>
    </row>
    <row r="4314" spans="8:8">
      <c r="H4314" t="s">
        <v>20194</v>
      </c>
    </row>
    <row r="4315" spans="8:8">
      <c r="H4315" t="s">
        <v>19177</v>
      </c>
    </row>
    <row r="4316" spans="8:8">
      <c r="H4316" t="s">
        <v>20196</v>
      </c>
    </row>
    <row r="4317" spans="8:8">
      <c r="H4317" t="s">
        <v>20197</v>
      </c>
    </row>
    <row r="4318" spans="8:8">
      <c r="H4318" t="s">
        <v>20100</v>
      </c>
    </row>
    <row r="4319" spans="8:8">
      <c r="H4319" t="s">
        <v>20195</v>
      </c>
    </row>
    <row r="4320" spans="8:8">
      <c r="H4320" t="s">
        <v>20116</v>
      </c>
    </row>
    <row r="4321" spans="6:8">
      <c r="F4321" t="s">
        <v>11307</v>
      </c>
      <c r="G4321" t="s">
        <v>15260</v>
      </c>
      <c r="H4321" t="s">
        <v>20091</v>
      </c>
    </row>
    <row r="4322" spans="6:8">
      <c r="H4322" t="s">
        <v>19712</v>
      </c>
    </row>
    <row r="4323" spans="6:8">
      <c r="H4323" t="s">
        <v>19709</v>
      </c>
    </row>
    <row r="4324" spans="6:8">
      <c r="H4324" t="s">
        <v>19706</v>
      </c>
    </row>
    <row r="4325" spans="6:8">
      <c r="H4325" t="s">
        <v>20107</v>
      </c>
    </row>
    <row r="4326" spans="6:8">
      <c r="H4326" t="s">
        <v>20108</v>
      </c>
    </row>
    <row r="4327" spans="6:8">
      <c r="H4327" t="s">
        <v>19713</v>
      </c>
    </row>
    <row r="4328" spans="6:8">
      <c r="H4328" t="s">
        <v>20095</v>
      </c>
    </row>
    <row r="4329" spans="6:8">
      <c r="H4329" t="s">
        <v>20096</v>
      </c>
    </row>
    <row r="4330" spans="6:8">
      <c r="H4330" t="s">
        <v>20097</v>
      </c>
    </row>
    <row r="4331" spans="6:8">
      <c r="H4331" t="s">
        <v>20098</v>
      </c>
    </row>
    <row r="4332" spans="6:8">
      <c r="F4332" t="s">
        <v>11308</v>
      </c>
      <c r="G4332" t="s">
        <v>15261</v>
      </c>
      <c r="H4332" t="s">
        <v>20091</v>
      </c>
    </row>
    <row r="4333" spans="6:8">
      <c r="H4333" t="s">
        <v>19712</v>
      </c>
    </row>
    <row r="4334" spans="6:8">
      <c r="H4334" t="s">
        <v>19709</v>
      </c>
    </row>
    <row r="4335" spans="6:8">
      <c r="H4335" t="s">
        <v>19706</v>
      </c>
    </row>
    <row r="4336" spans="6:8">
      <c r="H4336" t="s">
        <v>20107</v>
      </c>
    </row>
    <row r="4337" spans="6:8">
      <c r="H4337" t="s">
        <v>20108</v>
      </c>
    </row>
    <row r="4338" spans="6:8">
      <c r="H4338" t="s">
        <v>19713</v>
      </c>
    </row>
    <row r="4339" spans="6:8">
      <c r="H4339" t="s">
        <v>20096</v>
      </c>
    </row>
    <row r="4340" spans="6:8">
      <c r="H4340" t="s">
        <v>20097</v>
      </c>
    </row>
    <row r="4341" spans="6:8">
      <c r="H4341" t="s">
        <v>20098</v>
      </c>
    </row>
    <row r="4342" spans="6:8">
      <c r="F4342" t="s">
        <v>11309</v>
      </c>
      <c r="G4342" t="s">
        <v>15262</v>
      </c>
      <c r="H4342" t="s">
        <v>20091</v>
      </c>
    </row>
    <row r="4343" spans="6:8">
      <c r="H4343" t="s">
        <v>19712</v>
      </c>
    </row>
    <row r="4344" spans="6:8">
      <c r="H4344" t="s">
        <v>19709</v>
      </c>
    </row>
    <row r="4345" spans="6:8">
      <c r="H4345" t="s">
        <v>19706</v>
      </c>
    </row>
    <row r="4346" spans="6:8">
      <c r="H4346" t="s">
        <v>19707</v>
      </c>
    </row>
    <row r="4347" spans="6:8">
      <c r="H4347" t="s">
        <v>20107</v>
      </c>
    </row>
    <row r="4348" spans="6:8">
      <c r="H4348" t="s">
        <v>20108</v>
      </c>
    </row>
    <row r="4349" spans="6:8">
      <c r="H4349" t="s">
        <v>19713</v>
      </c>
    </row>
    <row r="4350" spans="6:8">
      <c r="H4350" t="s">
        <v>20095</v>
      </c>
    </row>
    <row r="4351" spans="6:8">
      <c r="H4351" t="s">
        <v>20096</v>
      </c>
    </row>
    <row r="4352" spans="6:8">
      <c r="H4352" t="s">
        <v>20097</v>
      </c>
    </row>
    <row r="4353" spans="6:8">
      <c r="H4353" t="s">
        <v>20098</v>
      </c>
    </row>
    <row r="4354" spans="6:8">
      <c r="F4354" t="s">
        <v>11310</v>
      </c>
      <c r="G4354" t="s">
        <v>15620</v>
      </c>
      <c r="H4354" t="s">
        <v>20091</v>
      </c>
    </row>
    <row r="4355" spans="6:8">
      <c r="H4355" t="s">
        <v>19712</v>
      </c>
    </row>
    <row r="4356" spans="6:8">
      <c r="H4356" t="s">
        <v>20092</v>
      </c>
    </row>
    <row r="4357" spans="6:8">
      <c r="H4357" t="s">
        <v>20095</v>
      </c>
    </row>
    <row r="4358" spans="6:8">
      <c r="H4358" t="s">
        <v>20096</v>
      </c>
    </row>
    <row r="4359" spans="6:8">
      <c r="H4359" t="s">
        <v>20097</v>
      </c>
    </row>
    <row r="4360" spans="6:8">
      <c r="H4360" t="s">
        <v>20098</v>
      </c>
    </row>
    <row r="4361" spans="6:8">
      <c r="H4361" t="s">
        <v>20099</v>
      </c>
    </row>
    <row r="4362" spans="6:8">
      <c r="F4362" t="s">
        <v>11311</v>
      </c>
      <c r="G4362" t="s">
        <v>15621</v>
      </c>
      <c r="H4362" t="s">
        <v>20092</v>
      </c>
    </row>
    <row r="4363" spans="6:8">
      <c r="H4363" t="s">
        <v>20094</v>
      </c>
    </row>
    <row r="4364" spans="6:8">
      <c r="H4364" t="s">
        <v>20095</v>
      </c>
    </row>
    <row r="4365" spans="6:8">
      <c r="H4365" t="s">
        <v>20096</v>
      </c>
    </row>
    <row r="4366" spans="6:8">
      <c r="H4366" t="s">
        <v>20097</v>
      </c>
    </row>
    <row r="4367" spans="6:8">
      <c r="H4367" t="s">
        <v>20098</v>
      </c>
    </row>
    <row r="4368" spans="6:8">
      <c r="H4368" t="s">
        <v>20099</v>
      </c>
    </row>
    <row r="4369" spans="6:8">
      <c r="F4369" t="s">
        <v>11312</v>
      </c>
      <c r="G4369" t="s">
        <v>15622</v>
      </c>
      <c r="H4369" t="s">
        <v>20091</v>
      </c>
    </row>
    <row r="4370" spans="6:8">
      <c r="H4370" t="s">
        <v>20095</v>
      </c>
    </row>
    <row r="4371" spans="6:8">
      <c r="H4371" t="s">
        <v>20096</v>
      </c>
    </row>
    <row r="4372" spans="6:8">
      <c r="H4372" t="s">
        <v>20097</v>
      </c>
    </row>
    <row r="4373" spans="6:8">
      <c r="H4373" t="s">
        <v>20098</v>
      </c>
    </row>
    <row r="4374" spans="6:8">
      <c r="H4374" t="s">
        <v>20099</v>
      </c>
    </row>
    <row r="4375" spans="6:8">
      <c r="H4375" t="s">
        <v>20100</v>
      </c>
    </row>
    <row r="4376" spans="6:8">
      <c r="F4376" t="s">
        <v>11313</v>
      </c>
      <c r="G4376" t="s">
        <v>15623</v>
      </c>
      <c r="H4376" t="s">
        <v>20091</v>
      </c>
    </row>
    <row r="4377" spans="6:8">
      <c r="H4377" t="s">
        <v>19712</v>
      </c>
    </row>
    <row r="4378" spans="6:8">
      <c r="H4378" t="s">
        <v>20095</v>
      </c>
    </row>
    <row r="4379" spans="6:8">
      <c r="H4379" t="s">
        <v>20096</v>
      </c>
    </row>
    <row r="4380" spans="6:8">
      <c r="H4380" t="s">
        <v>20097</v>
      </c>
    </row>
    <row r="4381" spans="6:8">
      <c r="H4381" t="s">
        <v>20098</v>
      </c>
    </row>
    <row r="4382" spans="6:8">
      <c r="H4382" t="s">
        <v>20099</v>
      </c>
    </row>
    <row r="4383" spans="6:8">
      <c r="H4383" t="s">
        <v>20100</v>
      </c>
    </row>
    <row r="4384" spans="6:8">
      <c r="F4384" t="s">
        <v>11314</v>
      </c>
      <c r="G4384" t="s">
        <v>15624</v>
      </c>
      <c r="H4384" t="s">
        <v>20091</v>
      </c>
    </row>
    <row r="4385" spans="6:8">
      <c r="H4385" t="s">
        <v>19712</v>
      </c>
    </row>
    <row r="4386" spans="6:8">
      <c r="H4386" t="s">
        <v>20095</v>
      </c>
    </row>
    <row r="4387" spans="6:8">
      <c r="H4387" t="s">
        <v>20097</v>
      </c>
    </row>
    <row r="4388" spans="6:8">
      <c r="F4388" t="s">
        <v>11315</v>
      </c>
      <c r="G4388" t="s">
        <v>15625</v>
      </c>
      <c r="H4388" t="s">
        <v>20091</v>
      </c>
    </row>
    <row r="4389" spans="6:8">
      <c r="H4389" t="s">
        <v>20095</v>
      </c>
    </row>
    <row r="4390" spans="6:8">
      <c r="H4390" t="s">
        <v>20096</v>
      </c>
    </row>
    <row r="4391" spans="6:8">
      <c r="H4391" t="s">
        <v>20097</v>
      </c>
    </row>
    <row r="4392" spans="6:8">
      <c r="H4392" t="s">
        <v>20098</v>
      </c>
    </row>
    <row r="4393" spans="6:8">
      <c r="H4393" t="s">
        <v>20099</v>
      </c>
    </row>
    <row r="4394" spans="6:8">
      <c r="H4394" t="s">
        <v>20100</v>
      </c>
    </row>
    <row r="4395" spans="6:8">
      <c r="F4395" t="s">
        <v>11316</v>
      </c>
      <c r="G4395" t="s">
        <v>15626</v>
      </c>
      <c r="H4395" t="s">
        <v>20091</v>
      </c>
    </row>
    <row r="4396" spans="6:8">
      <c r="H4396" t="s">
        <v>20095</v>
      </c>
    </row>
    <row r="4397" spans="6:8">
      <c r="H4397" t="s">
        <v>20096</v>
      </c>
    </row>
    <row r="4398" spans="6:8">
      <c r="H4398" t="s">
        <v>20097</v>
      </c>
    </row>
    <row r="4399" spans="6:8">
      <c r="H4399" t="s">
        <v>20098</v>
      </c>
    </row>
    <row r="4400" spans="6:8">
      <c r="H4400" t="s">
        <v>20099</v>
      </c>
    </row>
    <row r="4401" spans="6:8">
      <c r="H4401" t="s">
        <v>20100</v>
      </c>
    </row>
    <row r="4402" spans="6:8">
      <c r="F4402" t="s">
        <v>11317</v>
      </c>
      <c r="G4402" t="s">
        <v>15627</v>
      </c>
      <c r="H4402" t="s">
        <v>20091</v>
      </c>
    </row>
    <row r="4403" spans="6:8">
      <c r="H4403" t="s">
        <v>20095</v>
      </c>
    </row>
    <row r="4404" spans="6:8">
      <c r="H4404" t="s">
        <v>20096</v>
      </c>
    </row>
    <row r="4405" spans="6:8">
      <c r="H4405" t="s">
        <v>20097</v>
      </c>
    </row>
    <row r="4406" spans="6:8">
      <c r="H4406" t="s">
        <v>20098</v>
      </c>
    </row>
    <row r="4407" spans="6:8">
      <c r="H4407" t="s">
        <v>20099</v>
      </c>
    </row>
    <row r="4408" spans="6:8">
      <c r="H4408" t="s">
        <v>20100</v>
      </c>
    </row>
    <row r="4409" spans="6:8">
      <c r="F4409" t="s">
        <v>11318</v>
      </c>
      <c r="G4409" t="s">
        <v>15628</v>
      </c>
      <c r="H4409" t="s">
        <v>20091</v>
      </c>
    </row>
    <row r="4410" spans="6:8">
      <c r="H4410" t="s">
        <v>20095</v>
      </c>
    </row>
    <row r="4411" spans="6:8">
      <c r="H4411" t="s">
        <v>20096</v>
      </c>
    </row>
    <row r="4412" spans="6:8">
      <c r="H4412" t="s">
        <v>20097</v>
      </c>
    </row>
    <row r="4413" spans="6:8">
      <c r="H4413" t="s">
        <v>20098</v>
      </c>
    </row>
    <row r="4414" spans="6:8">
      <c r="H4414" t="s">
        <v>20099</v>
      </c>
    </row>
    <row r="4415" spans="6:8">
      <c r="H4415" t="s">
        <v>20100</v>
      </c>
    </row>
    <row r="4416" spans="6:8">
      <c r="F4416" t="s">
        <v>11319</v>
      </c>
      <c r="G4416" t="s">
        <v>15629</v>
      </c>
      <c r="H4416" t="s">
        <v>20091</v>
      </c>
    </row>
    <row r="4417" spans="6:8">
      <c r="H4417" t="s">
        <v>20095</v>
      </c>
    </row>
    <row r="4418" spans="6:8">
      <c r="H4418" t="s">
        <v>20096</v>
      </c>
    </row>
    <row r="4419" spans="6:8">
      <c r="H4419" t="s">
        <v>20097</v>
      </c>
    </row>
    <row r="4420" spans="6:8">
      <c r="H4420" t="s">
        <v>20098</v>
      </c>
    </row>
    <row r="4421" spans="6:8">
      <c r="H4421" t="s">
        <v>20099</v>
      </c>
    </row>
    <row r="4422" spans="6:8">
      <c r="H4422" t="s">
        <v>20100</v>
      </c>
    </row>
    <row r="4423" spans="6:8">
      <c r="H4423" t="s">
        <v>20101</v>
      </c>
    </row>
    <row r="4424" spans="6:8">
      <c r="F4424" t="s">
        <v>11320</v>
      </c>
      <c r="G4424" t="s">
        <v>15630</v>
      </c>
      <c r="H4424" t="s">
        <v>20091</v>
      </c>
    </row>
    <row r="4425" spans="6:8">
      <c r="H4425" t="s">
        <v>19712</v>
      </c>
    </row>
    <row r="4426" spans="6:8">
      <c r="H4426" t="s">
        <v>20095</v>
      </c>
    </row>
    <row r="4427" spans="6:8">
      <c r="H4427" t="s">
        <v>20096</v>
      </c>
    </row>
    <row r="4428" spans="6:8">
      <c r="H4428" t="s">
        <v>20097</v>
      </c>
    </row>
    <row r="4429" spans="6:8">
      <c r="H4429" t="s">
        <v>20098</v>
      </c>
    </row>
    <row r="4430" spans="6:8">
      <c r="H4430" t="s">
        <v>20099</v>
      </c>
    </row>
    <row r="4431" spans="6:8">
      <c r="H4431" t="s">
        <v>20100</v>
      </c>
    </row>
    <row r="4432" spans="6:8">
      <c r="H4432" t="s">
        <v>20101</v>
      </c>
    </row>
    <row r="4433" spans="6:8">
      <c r="F4433" t="s">
        <v>11321</v>
      </c>
      <c r="G4433" t="s">
        <v>15631</v>
      </c>
      <c r="H4433" t="s">
        <v>20091</v>
      </c>
    </row>
    <row r="4434" spans="6:8">
      <c r="H4434" t="s">
        <v>20095</v>
      </c>
    </row>
    <row r="4435" spans="6:8">
      <c r="H4435" t="s">
        <v>20096</v>
      </c>
    </row>
    <row r="4436" spans="6:8">
      <c r="H4436" t="s">
        <v>20097</v>
      </c>
    </row>
    <row r="4437" spans="6:8">
      <c r="H4437" t="s">
        <v>20098</v>
      </c>
    </row>
    <row r="4438" spans="6:8">
      <c r="H4438" t="s">
        <v>20099</v>
      </c>
    </row>
    <row r="4439" spans="6:8">
      <c r="H4439" t="s">
        <v>20100</v>
      </c>
    </row>
    <row r="4440" spans="6:8">
      <c r="H4440" t="s">
        <v>20101</v>
      </c>
    </row>
    <row r="4441" spans="6:8">
      <c r="F4441" t="s">
        <v>11322</v>
      </c>
      <c r="G4441" t="s">
        <v>15632</v>
      </c>
      <c r="H4441" t="s">
        <v>20091</v>
      </c>
    </row>
    <row r="4442" spans="6:8">
      <c r="H4442" t="s">
        <v>19712</v>
      </c>
    </row>
    <row r="4443" spans="6:8">
      <c r="H4443" t="s">
        <v>20095</v>
      </c>
    </row>
    <row r="4444" spans="6:8">
      <c r="H4444" t="s">
        <v>20096</v>
      </c>
    </row>
    <row r="4445" spans="6:8">
      <c r="H4445" t="s">
        <v>20097</v>
      </c>
    </row>
    <row r="4446" spans="6:8">
      <c r="H4446" t="s">
        <v>20098</v>
      </c>
    </row>
    <row r="4447" spans="6:8">
      <c r="H4447" t="s">
        <v>20100</v>
      </c>
    </row>
    <row r="4448" spans="6:8">
      <c r="F4448" t="s">
        <v>11323</v>
      </c>
      <c r="G4448" t="s">
        <v>15633</v>
      </c>
      <c r="H4448" t="s">
        <v>20091</v>
      </c>
    </row>
    <row r="4449" spans="6:8">
      <c r="H4449" t="s">
        <v>19712</v>
      </c>
    </row>
    <row r="4450" spans="6:8">
      <c r="H4450" t="s">
        <v>19709</v>
      </c>
    </row>
    <row r="4451" spans="6:8">
      <c r="H4451" t="s">
        <v>20095</v>
      </c>
    </row>
    <row r="4452" spans="6:8">
      <c r="H4452" t="s">
        <v>20096</v>
      </c>
    </row>
    <row r="4453" spans="6:8">
      <c r="H4453" t="s">
        <v>20097</v>
      </c>
    </row>
    <row r="4454" spans="6:8">
      <c r="H4454" t="s">
        <v>20098</v>
      </c>
    </row>
    <row r="4455" spans="6:8">
      <c r="H4455" t="s">
        <v>20099</v>
      </c>
    </row>
    <row r="4456" spans="6:8">
      <c r="H4456" t="s">
        <v>20100</v>
      </c>
    </row>
    <row r="4457" spans="6:8">
      <c r="F4457" t="s">
        <v>11324</v>
      </c>
      <c r="G4457" t="s">
        <v>15634</v>
      </c>
      <c r="H4457" t="s">
        <v>20091</v>
      </c>
    </row>
    <row r="4458" spans="6:8">
      <c r="H4458" t="s">
        <v>19712</v>
      </c>
    </row>
    <row r="4459" spans="6:8">
      <c r="H4459" t="s">
        <v>20095</v>
      </c>
    </row>
    <row r="4460" spans="6:8">
      <c r="H4460" t="s">
        <v>20096</v>
      </c>
    </row>
    <row r="4461" spans="6:8">
      <c r="H4461" t="s">
        <v>20097</v>
      </c>
    </row>
    <row r="4462" spans="6:8">
      <c r="H4462" t="s">
        <v>20098</v>
      </c>
    </row>
    <row r="4463" spans="6:8">
      <c r="H4463" t="s">
        <v>20099</v>
      </c>
    </row>
    <row r="4464" spans="6:8">
      <c r="H4464" t="s">
        <v>20100</v>
      </c>
    </row>
    <row r="4465" spans="6:8">
      <c r="F4465" t="s">
        <v>11325</v>
      </c>
      <c r="G4465" t="s">
        <v>15263</v>
      </c>
      <c r="H4465" t="s">
        <v>20091</v>
      </c>
    </row>
    <row r="4466" spans="6:8">
      <c r="H4466" t="s">
        <v>19712</v>
      </c>
    </row>
    <row r="4467" spans="6:8">
      <c r="H4467" t="s">
        <v>19709</v>
      </c>
    </row>
    <row r="4468" spans="6:8">
      <c r="H4468" t="s">
        <v>19706</v>
      </c>
    </row>
    <row r="4469" spans="6:8">
      <c r="H4469" t="s">
        <v>20107</v>
      </c>
    </row>
    <row r="4470" spans="6:8">
      <c r="H4470" t="s">
        <v>20108</v>
      </c>
    </row>
    <row r="4471" spans="6:8">
      <c r="H4471" t="s">
        <v>19713</v>
      </c>
    </row>
    <row r="4472" spans="6:8">
      <c r="H4472" t="s">
        <v>19714</v>
      </c>
    </row>
    <row r="4473" spans="6:8">
      <c r="H4473" t="s">
        <v>20109</v>
      </c>
    </row>
    <row r="4474" spans="6:8">
      <c r="H4474" t="s">
        <v>20110</v>
      </c>
    </row>
    <row r="4475" spans="6:8">
      <c r="H4475" t="s">
        <v>20111</v>
      </c>
    </row>
    <row r="4476" spans="6:8">
      <c r="H4476" t="s">
        <v>20112</v>
      </c>
    </row>
    <row r="4477" spans="6:8">
      <c r="H4477" t="s">
        <v>20095</v>
      </c>
    </row>
    <row r="4478" spans="6:8">
      <c r="H4478" t="s">
        <v>20096</v>
      </c>
    </row>
    <row r="4479" spans="6:8">
      <c r="H4479" t="s">
        <v>20097</v>
      </c>
    </row>
    <row r="4480" spans="6:8">
      <c r="F4480" t="s">
        <v>11326</v>
      </c>
      <c r="G4480" t="s">
        <v>15264</v>
      </c>
      <c r="H4480" t="s">
        <v>20091</v>
      </c>
    </row>
    <row r="4481" spans="6:8">
      <c r="H4481" t="s">
        <v>19712</v>
      </c>
    </row>
    <row r="4482" spans="6:8">
      <c r="H4482" t="s">
        <v>19709</v>
      </c>
    </row>
    <row r="4483" spans="6:8">
      <c r="H4483" t="s">
        <v>19706</v>
      </c>
    </row>
    <row r="4484" spans="6:8">
      <c r="H4484" t="s">
        <v>20107</v>
      </c>
    </row>
    <row r="4485" spans="6:8">
      <c r="H4485" t="s">
        <v>20108</v>
      </c>
    </row>
    <row r="4486" spans="6:8">
      <c r="H4486" t="s">
        <v>19713</v>
      </c>
    </row>
    <row r="4487" spans="6:8">
      <c r="H4487" t="s">
        <v>19714</v>
      </c>
    </row>
    <row r="4488" spans="6:8">
      <c r="H4488" t="s">
        <v>20109</v>
      </c>
    </row>
    <row r="4489" spans="6:8">
      <c r="H4489" t="s">
        <v>20110</v>
      </c>
    </row>
    <row r="4490" spans="6:8">
      <c r="H4490" t="s">
        <v>20111</v>
      </c>
    </row>
    <row r="4491" spans="6:8">
      <c r="H4491" t="s">
        <v>20112</v>
      </c>
    </row>
    <row r="4492" spans="6:8">
      <c r="H4492" t="s">
        <v>20095</v>
      </c>
    </row>
    <row r="4493" spans="6:8">
      <c r="H4493" t="s">
        <v>20096</v>
      </c>
    </row>
    <row r="4494" spans="6:8">
      <c r="H4494" t="s">
        <v>20097</v>
      </c>
    </row>
    <row r="4495" spans="6:8">
      <c r="F4495" t="s">
        <v>11327</v>
      </c>
      <c r="G4495" t="s">
        <v>15265</v>
      </c>
      <c r="H4495" t="s">
        <v>20091</v>
      </c>
    </row>
    <row r="4496" spans="6:8">
      <c r="H4496" t="s">
        <v>19712</v>
      </c>
    </row>
    <row r="4497" spans="6:8">
      <c r="H4497" t="s">
        <v>19709</v>
      </c>
    </row>
    <row r="4498" spans="6:8">
      <c r="H4498" t="s">
        <v>19706</v>
      </c>
    </row>
    <row r="4499" spans="6:8">
      <c r="H4499" t="s">
        <v>20107</v>
      </c>
    </row>
    <row r="4500" spans="6:8">
      <c r="H4500" t="s">
        <v>20108</v>
      </c>
    </row>
    <row r="4501" spans="6:8">
      <c r="H4501" t="s">
        <v>19713</v>
      </c>
    </row>
    <row r="4502" spans="6:8">
      <c r="H4502" t="s">
        <v>19714</v>
      </c>
    </row>
    <row r="4503" spans="6:8">
      <c r="H4503" t="s">
        <v>20109</v>
      </c>
    </row>
    <row r="4504" spans="6:8">
      <c r="H4504" t="s">
        <v>20110</v>
      </c>
    </row>
    <row r="4505" spans="6:8">
      <c r="H4505" t="s">
        <v>20111</v>
      </c>
    </row>
    <row r="4506" spans="6:8">
      <c r="H4506" t="s">
        <v>20112</v>
      </c>
    </row>
    <row r="4507" spans="6:8">
      <c r="H4507" t="s">
        <v>20095</v>
      </c>
    </row>
    <row r="4508" spans="6:8">
      <c r="H4508" t="s">
        <v>20096</v>
      </c>
    </row>
    <row r="4509" spans="6:8">
      <c r="H4509" t="s">
        <v>20097</v>
      </c>
    </row>
    <row r="4510" spans="6:8">
      <c r="H4510" t="s">
        <v>20098</v>
      </c>
    </row>
    <row r="4511" spans="6:8">
      <c r="F4511" t="s">
        <v>11328</v>
      </c>
      <c r="G4511" t="s">
        <v>15266</v>
      </c>
      <c r="H4511" t="s">
        <v>20091</v>
      </c>
    </row>
    <row r="4512" spans="6:8">
      <c r="H4512" t="s">
        <v>19712</v>
      </c>
    </row>
    <row r="4513" spans="6:8">
      <c r="H4513" t="s">
        <v>19709</v>
      </c>
    </row>
    <row r="4514" spans="6:8">
      <c r="H4514" t="s">
        <v>19706</v>
      </c>
    </row>
    <row r="4515" spans="6:8">
      <c r="H4515" t="s">
        <v>20107</v>
      </c>
    </row>
    <row r="4516" spans="6:8">
      <c r="H4516" t="s">
        <v>20108</v>
      </c>
    </row>
    <row r="4517" spans="6:8">
      <c r="H4517" t="s">
        <v>19713</v>
      </c>
    </row>
    <row r="4518" spans="6:8">
      <c r="H4518" t="s">
        <v>19714</v>
      </c>
    </row>
    <row r="4519" spans="6:8">
      <c r="H4519" t="s">
        <v>20109</v>
      </c>
    </row>
    <row r="4520" spans="6:8">
      <c r="H4520" t="s">
        <v>20110</v>
      </c>
    </row>
    <row r="4521" spans="6:8">
      <c r="H4521" t="s">
        <v>20111</v>
      </c>
    </row>
    <row r="4522" spans="6:8">
      <c r="H4522" t="s">
        <v>20112</v>
      </c>
    </row>
    <row r="4523" spans="6:8">
      <c r="H4523" t="s">
        <v>20095</v>
      </c>
    </row>
    <row r="4524" spans="6:8">
      <c r="H4524" t="s">
        <v>20096</v>
      </c>
    </row>
    <row r="4525" spans="6:8">
      <c r="H4525" t="s">
        <v>20097</v>
      </c>
    </row>
    <row r="4526" spans="6:8">
      <c r="H4526" t="s">
        <v>20098</v>
      </c>
    </row>
    <row r="4527" spans="6:8">
      <c r="F4527" t="s">
        <v>11329</v>
      </c>
      <c r="G4527" t="s">
        <v>15267</v>
      </c>
      <c r="H4527" t="s">
        <v>20091</v>
      </c>
    </row>
    <row r="4528" spans="6:8">
      <c r="H4528" t="s">
        <v>19712</v>
      </c>
    </row>
    <row r="4529" spans="6:8">
      <c r="H4529" t="s">
        <v>19709</v>
      </c>
    </row>
    <row r="4530" spans="6:8">
      <c r="H4530" t="s">
        <v>19706</v>
      </c>
    </row>
    <row r="4531" spans="6:8">
      <c r="H4531" t="s">
        <v>19707</v>
      </c>
    </row>
    <row r="4532" spans="6:8">
      <c r="H4532" t="s">
        <v>20107</v>
      </c>
    </row>
    <row r="4533" spans="6:8">
      <c r="H4533" t="s">
        <v>20108</v>
      </c>
    </row>
    <row r="4534" spans="6:8">
      <c r="H4534" t="s">
        <v>19713</v>
      </c>
    </row>
    <row r="4535" spans="6:8">
      <c r="H4535" t="s">
        <v>19714</v>
      </c>
    </row>
    <row r="4536" spans="6:8">
      <c r="H4536" t="s">
        <v>20109</v>
      </c>
    </row>
    <row r="4537" spans="6:8">
      <c r="H4537" t="s">
        <v>20095</v>
      </c>
    </row>
    <row r="4538" spans="6:8">
      <c r="H4538" t="s">
        <v>20096</v>
      </c>
    </row>
    <row r="4539" spans="6:8">
      <c r="H4539" t="s">
        <v>20097</v>
      </c>
    </row>
    <row r="4540" spans="6:8">
      <c r="H4540" t="s">
        <v>20098</v>
      </c>
    </row>
    <row r="4541" spans="6:8">
      <c r="F4541" t="s">
        <v>11330</v>
      </c>
      <c r="G4541" t="s">
        <v>15268</v>
      </c>
      <c r="H4541" t="s">
        <v>20091</v>
      </c>
    </row>
    <row r="4542" spans="6:8">
      <c r="H4542" t="s">
        <v>19712</v>
      </c>
    </row>
    <row r="4543" spans="6:8">
      <c r="H4543" t="s">
        <v>19709</v>
      </c>
    </row>
    <row r="4544" spans="6:8">
      <c r="H4544" t="s">
        <v>19706</v>
      </c>
    </row>
    <row r="4545" spans="6:8">
      <c r="H4545" t="s">
        <v>19707</v>
      </c>
    </row>
    <row r="4546" spans="6:8">
      <c r="H4546" t="s">
        <v>20107</v>
      </c>
    </row>
    <row r="4547" spans="6:8">
      <c r="H4547" t="s">
        <v>20108</v>
      </c>
    </row>
    <row r="4548" spans="6:8">
      <c r="H4548" t="s">
        <v>19713</v>
      </c>
    </row>
    <row r="4549" spans="6:8">
      <c r="H4549" t="s">
        <v>19714</v>
      </c>
    </row>
    <row r="4550" spans="6:8">
      <c r="H4550" t="s">
        <v>20109</v>
      </c>
    </row>
    <row r="4551" spans="6:8">
      <c r="H4551" t="s">
        <v>20095</v>
      </c>
    </row>
    <row r="4552" spans="6:8">
      <c r="H4552" t="s">
        <v>20096</v>
      </c>
    </row>
    <row r="4553" spans="6:8">
      <c r="H4553" t="s">
        <v>20097</v>
      </c>
    </row>
    <row r="4554" spans="6:8">
      <c r="H4554" t="s">
        <v>20098</v>
      </c>
    </row>
    <row r="4555" spans="6:8">
      <c r="F4555" t="s">
        <v>11331</v>
      </c>
      <c r="G4555" t="s">
        <v>15269</v>
      </c>
      <c r="H4555" t="s">
        <v>20091</v>
      </c>
    </row>
    <row r="4556" spans="6:8">
      <c r="H4556" t="s">
        <v>19712</v>
      </c>
    </row>
    <row r="4557" spans="6:8">
      <c r="H4557" t="s">
        <v>19709</v>
      </c>
    </row>
    <row r="4558" spans="6:8">
      <c r="H4558" t="s">
        <v>19706</v>
      </c>
    </row>
    <row r="4559" spans="6:8">
      <c r="H4559" t="s">
        <v>19707</v>
      </c>
    </row>
    <row r="4560" spans="6:8">
      <c r="H4560" t="s">
        <v>20107</v>
      </c>
    </row>
    <row r="4561" spans="6:8">
      <c r="H4561" t="s">
        <v>20108</v>
      </c>
    </row>
    <row r="4562" spans="6:8">
      <c r="H4562" t="s">
        <v>19713</v>
      </c>
    </row>
    <row r="4563" spans="6:8">
      <c r="H4563" t="s">
        <v>19714</v>
      </c>
    </row>
    <row r="4564" spans="6:8">
      <c r="H4564" t="s">
        <v>20109</v>
      </c>
    </row>
    <row r="4565" spans="6:8">
      <c r="H4565" t="s">
        <v>20095</v>
      </c>
    </row>
    <row r="4566" spans="6:8">
      <c r="H4566" t="s">
        <v>20096</v>
      </c>
    </row>
    <row r="4567" spans="6:8">
      <c r="H4567" t="s">
        <v>20097</v>
      </c>
    </row>
    <row r="4568" spans="6:8">
      <c r="H4568" t="s">
        <v>20098</v>
      </c>
    </row>
    <row r="4569" spans="6:8">
      <c r="F4569" t="s">
        <v>11332</v>
      </c>
      <c r="G4569" t="s">
        <v>15270</v>
      </c>
      <c r="H4569" t="s">
        <v>20091</v>
      </c>
    </row>
    <row r="4570" spans="6:8">
      <c r="H4570" t="s">
        <v>19712</v>
      </c>
    </row>
    <row r="4571" spans="6:8">
      <c r="H4571" t="s">
        <v>19709</v>
      </c>
    </row>
    <row r="4572" spans="6:8">
      <c r="H4572" t="s">
        <v>19706</v>
      </c>
    </row>
    <row r="4573" spans="6:8">
      <c r="H4573" t="s">
        <v>19707</v>
      </c>
    </row>
    <row r="4574" spans="6:8">
      <c r="H4574" t="s">
        <v>20107</v>
      </c>
    </row>
    <row r="4575" spans="6:8">
      <c r="H4575" t="s">
        <v>20108</v>
      </c>
    </row>
    <row r="4576" spans="6:8">
      <c r="H4576" t="s">
        <v>19713</v>
      </c>
    </row>
    <row r="4577" spans="6:8">
      <c r="H4577" t="s">
        <v>19714</v>
      </c>
    </row>
    <row r="4578" spans="6:8">
      <c r="H4578" t="s">
        <v>20109</v>
      </c>
    </row>
    <row r="4579" spans="6:8">
      <c r="H4579" t="s">
        <v>20095</v>
      </c>
    </row>
    <row r="4580" spans="6:8">
      <c r="H4580" t="s">
        <v>20096</v>
      </c>
    </row>
    <row r="4581" spans="6:8">
      <c r="H4581" t="s">
        <v>20097</v>
      </c>
    </row>
    <row r="4582" spans="6:8">
      <c r="H4582" t="s">
        <v>20098</v>
      </c>
    </row>
    <row r="4583" spans="6:8">
      <c r="F4583" t="s">
        <v>11333</v>
      </c>
      <c r="G4583" t="s">
        <v>15271</v>
      </c>
      <c r="H4583" t="s">
        <v>20091</v>
      </c>
    </row>
    <row r="4584" spans="6:8">
      <c r="H4584" t="s">
        <v>19712</v>
      </c>
    </row>
    <row r="4585" spans="6:8">
      <c r="H4585" t="s">
        <v>19709</v>
      </c>
    </row>
    <row r="4586" spans="6:8">
      <c r="H4586" t="s">
        <v>19706</v>
      </c>
    </row>
    <row r="4587" spans="6:8">
      <c r="H4587" t="s">
        <v>20107</v>
      </c>
    </row>
    <row r="4588" spans="6:8">
      <c r="H4588" t="s">
        <v>20108</v>
      </c>
    </row>
    <row r="4589" spans="6:8">
      <c r="H4589" t="s">
        <v>19713</v>
      </c>
    </row>
    <row r="4590" spans="6:8">
      <c r="H4590" t="s">
        <v>19714</v>
      </c>
    </row>
    <row r="4591" spans="6:8">
      <c r="H4591" t="s">
        <v>20109</v>
      </c>
    </row>
    <row r="4592" spans="6:8">
      <c r="H4592" t="s">
        <v>20110</v>
      </c>
    </row>
    <row r="4593" spans="6:8">
      <c r="H4593" t="s">
        <v>20111</v>
      </c>
    </row>
    <row r="4594" spans="6:8">
      <c r="H4594" t="s">
        <v>20095</v>
      </c>
    </row>
    <row r="4595" spans="6:8">
      <c r="H4595" t="s">
        <v>20096</v>
      </c>
    </row>
    <row r="4596" spans="6:8">
      <c r="H4596" t="s">
        <v>20097</v>
      </c>
    </row>
    <row r="4597" spans="6:8">
      <c r="H4597" t="s">
        <v>20098</v>
      </c>
    </row>
    <row r="4598" spans="6:8">
      <c r="F4598" t="s">
        <v>11334</v>
      </c>
      <c r="G4598" t="s">
        <v>15272</v>
      </c>
      <c r="H4598" t="s">
        <v>20091</v>
      </c>
    </row>
    <row r="4599" spans="6:8">
      <c r="H4599" t="s">
        <v>19712</v>
      </c>
    </row>
    <row r="4600" spans="6:8">
      <c r="H4600" t="s">
        <v>19709</v>
      </c>
    </row>
    <row r="4601" spans="6:8">
      <c r="H4601" t="s">
        <v>19706</v>
      </c>
    </row>
    <row r="4602" spans="6:8">
      <c r="H4602" t="s">
        <v>20107</v>
      </c>
    </row>
    <row r="4603" spans="6:8">
      <c r="H4603" t="s">
        <v>20108</v>
      </c>
    </row>
    <row r="4604" spans="6:8">
      <c r="H4604" t="s">
        <v>19713</v>
      </c>
    </row>
    <row r="4605" spans="6:8">
      <c r="H4605" t="s">
        <v>19714</v>
      </c>
    </row>
    <row r="4606" spans="6:8">
      <c r="H4606" t="s">
        <v>20109</v>
      </c>
    </row>
    <row r="4607" spans="6:8">
      <c r="H4607" t="s">
        <v>20110</v>
      </c>
    </row>
    <row r="4608" spans="6:8">
      <c r="H4608" t="s">
        <v>20111</v>
      </c>
    </row>
    <row r="4609" spans="6:8">
      <c r="H4609" t="s">
        <v>20095</v>
      </c>
    </row>
    <row r="4610" spans="6:8">
      <c r="H4610" t="s">
        <v>20096</v>
      </c>
    </row>
    <row r="4611" spans="6:8">
      <c r="H4611" t="s">
        <v>20097</v>
      </c>
    </row>
    <row r="4612" spans="6:8">
      <c r="H4612" t="s">
        <v>20098</v>
      </c>
    </row>
    <row r="4613" spans="6:8">
      <c r="F4613" t="s">
        <v>11335</v>
      </c>
      <c r="G4613" t="s">
        <v>15273</v>
      </c>
      <c r="H4613" t="s">
        <v>20091</v>
      </c>
    </row>
    <row r="4614" spans="6:8">
      <c r="H4614" t="s">
        <v>19712</v>
      </c>
    </row>
    <row r="4615" spans="6:8">
      <c r="H4615" t="s">
        <v>19709</v>
      </c>
    </row>
    <row r="4616" spans="6:8">
      <c r="H4616" t="s">
        <v>19706</v>
      </c>
    </row>
    <row r="4617" spans="6:8">
      <c r="H4617" t="s">
        <v>19707</v>
      </c>
    </row>
    <row r="4618" spans="6:8">
      <c r="H4618" t="s">
        <v>20107</v>
      </c>
    </row>
    <row r="4619" spans="6:8">
      <c r="H4619" t="s">
        <v>20108</v>
      </c>
    </row>
    <row r="4620" spans="6:8">
      <c r="H4620" t="s">
        <v>19713</v>
      </c>
    </row>
    <row r="4621" spans="6:8">
      <c r="H4621" t="s">
        <v>19714</v>
      </c>
    </row>
    <row r="4622" spans="6:8">
      <c r="H4622" t="s">
        <v>20109</v>
      </c>
    </row>
    <row r="4623" spans="6:8">
      <c r="H4623" t="s">
        <v>20095</v>
      </c>
    </row>
    <row r="4624" spans="6:8">
      <c r="H4624" t="s">
        <v>20096</v>
      </c>
    </row>
    <row r="4625" spans="6:8">
      <c r="H4625" t="s">
        <v>20097</v>
      </c>
    </row>
    <row r="4626" spans="6:8">
      <c r="H4626" t="s">
        <v>20098</v>
      </c>
    </row>
    <row r="4627" spans="6:8">
      <c r="F4627" t="s">
        <v>11336</v>
      </c>
      <c r="G4627" t="s">
        <v>15274</v>
      </c>
      <c r="H4627" t="s">
        <v>20091</v>
      </c>
    </row>
    <row r="4628" spans="6:8">
      <c r="H4628" t="s">
        <v>19712</v>
      </c>
    </row>
    <row r="4629" spans="6:8">
      <c r="H4629" t="s">
        <v>19709</v>
      </c>
    </row>
    <row r="4630" spans="6:8">
      <c r="H4630" t="s">
        <v>19706</v>
      </c>
    </row>
    <row r="4631" spans="6:8">
      <c r="H4631" t="s">
        <v>19707</v>
      </c>
    </row>
    <row r="4632" spans="6:8">
      <c r="H4632" t="s">
        <v>20107</v>
      </c>
    </row>
    <row r="4633" spans="6:8">
      <c r="H4633" t="s">
        <v>20108</v>
      </c>
    </row>
    <row r="4634" spans="6:8">
      <c r="H4634" t="s">
        <v>19713</v>
      </c>
    </row>
    <row r="4635" spans="6:8">
      <c r="H4635" t="s">
        <v>19714</v>
      </c>
    </row>
    <row r="4636" spans="6:8">
      <c r="H4636" t="s">
        <v>20109</v>
      </c>
    </row>
    <row r="4637" spans="6:8">
      <c r="H4637" t="s">
        <v>20095</v>
      </c>
    </row>
    <row r="4638" spans="6:8">
      <c r="H4638" t="s">
        <v>20096</v>
      </c>
    </row>
    <row r="4639" spans="6:8">
      <c r="H4639" t="s">
        <v>20097</v>
      </c>
    </row>
    <row r="4640" spans="6:8">
      <c r="H4640" t="s">
        <v>20098</v>
      </c>
    </row>
    <row r="4641" spans="6:8">
      <c r="F4641" t="s">
        <v>11337</v>
      </c>
      <c r="G4641" t="s">
        <v>15275</v>
      </c>
      <c r="H4641" t="s">
        <v>20091</v>
      </c>
    </row>
    <row r="4642" spans="6:8">
      <c r="H4642" t="s">
        <v>19712</v>
      </c>
    </row>
    <row r="4643" spans="6:8">
      <c r="H4643" t="s">
        <v>19709</v>
      </c>
    </row>
    <row r="4644" spans="6:8">
      <c r="H4644" t="s">
        <v>19706</v>
      </c>
    </row>
    <row r="4645" spans="6:8">
      <c r="H4645" t="s">
        <v>19707</v>
      </c>
    </row>
    <row r="4646" spans="6:8">
      <c r="H4646" t="s">
        <v>19711</v>
      </c>
    </row>
    <row r="4647" spans="6:8">
      <c r="H4647" t="s">
        <v>20107</v>
      </c>
    </row>
    <row r="4648" spans="6:8">
      <c r="H4648" t="s">
        <v>20108</v>
      </c>
    </row>
    <row r="4649" spans="6:8">
      <c r="H4649" t="s">
        <v>20095</v>
      </c>
    </row>
    <row r="4650" spans="6:8">
      <c r="H4650" t="s">
        <v>20096</v>
      </c>
    </row>
    <row r="4651" spans="6:8">
      <c r="H4651" t="s">
        <v>20097</v>
      </c>
    </row>
    <row r="4652" spans="6:8">
      <c r="H4652" t="s">
        <v>20098</v>
      </c>
    </row>
    <row r="4653" spans="6:8">
      <c r="F4653" t="s">
        <v>11338</v>
      </c>
      <c r="G4653" t="s">
        <v>15276</v>
      </c>
      <c r="H4653" t="s">
        <v>20091</v>
      </c>
    </row>
    <row r="4654" spans="6:8">
      <c r="H4654" t="s">
        <v>19712</v>
      </c>
    </row>
    <row r="4655" spans="6:8">
      <c r="H4655" t="s">
        <v>19709</v>
      </c>
    </row>
    <row r="4656" spans="6:8">
      <c r="H4656" t="s">
        <v>19706</v>
      </c>
    </row>
    <row r="4657" spans="6:8">
      <c r="H4657" t="s">
        <v>19707</v>
      </c>
    </row>
    <row r="4658" spans="6:8">
      <c r="H4658" t="s">
        <v>20107</v>
      </c>
    </row>
    <row r="4659" spans="6:8">
      <c r="H4659" t="s">
        <v>20108</v>
      </c>
    </row>
    <row r="4660" spans="6:8">
      <c r="H4660" t="s">
        <v>19713</v>
      </c>
    </row>
    <row r="4661" spans="6:8">
      <c r="H4661" t="s">
        <v>20095</v>
      </c>
    </row>
    <row r="4662" spans="6:8">
      <c r="H4662" t="s">
        <v>20096</v>
      </c>
    </row>
    <row r="4663" spans="6:8">
      <c r="H4663" t="s">
        <v>20097</v>
      </c>
    </row>
    <row r="4664" spans="6:8">
      <c r="H4664" t="s">
        <v>20098</v>
      </c>
    </row>
    <row r="4665" spans="6:8">
      <c r="F4665" t="s">
        <v>11339</v>
      </c>
      <c r="G4665" t="s">
        <v>15635</v>
      </c>
      <c r="H4665" t="s">
        <v>20091</v>
      </c>
    </row>
    <row r="4666" spans="6:8">
      <c r="H4666" t="s">
        <v>19712</v>
      </c>
    </row>
    <row r="4667" spans="6:8">
      <c r="H4667" t="s">
        <v>19709</v>
      </c>
    </row>
    <row r="4668" spans="6:8">
      <c r="H4668" t="s">
        <v>20107</v>
      </c>
    </row>
    <row r="4669" spans="6:8">
      <c r="H4669" t="s">
        <v>20092</v>
      </c>
    </row>
    <row r="4670" spans="6:8">
      <c r="H4670" t="s">
        <v>20095</v>
      </c>
    </row>
    <row r="4671" spans="6:8">
      <c r="H4671" t="s">
        <v>20096</v>
      </c>
    </row>
    <row r="4672" spans="6:8">
      <c r="H4672" t="s">
        <v>20097</v>
      </c>
    </row>
    <row r="4673" spans="6:8">
      <c r="H4673" t="s">
        <v>20098</v>
      </c>
    </row>
    <row r="4674" spans="6:8">
      <c r="H4674" t="s">
        <v>20099</v>
      </c>
    </row>
    <row r="4675" spans="6:8">
      <c r="H4675" t="s">
        <v>20100</v>
      </c>
    </row>
    <row r="4676" spans="6:8">
      <c r="H4676" t="s">
        <v>20101</v>
      </c>
    </row>
    <row r="4677" spans="6:8">
      <c r="H4677" t="s">
        <v>20102</v>
      </c>
    </row>
    <row r="4678" spans="6:8">
      <c r="F4678" t="s">
        <v>11340</v>
      </c>
      <c r="G4678" t="s">
        <v>15636</v>
      </c>
      <c r="H4678" t="s">
        <v>20091</v>
      </c>
    </row>
    <row r="4679" spans="6:8">
      <c r="H4679" t="s">
        <v>20092</v>
      </c>
    </row>
    <row r="4680" spans="6:8">
      <c r="H4680" t="s">
        <v>20103</v>
      </c>
    </row>
    <row r="4681" spans="6:8">
      <c r="H4681" t="s">
        <v>20116</v>
      </c>
    </row>
    <row r="4682" spans="6:8">
      <c r="H4682" t="s">
        <v>20095</v>
      </c>
    </row>
    <row r="4683" spans="6:8">
      <c r="H4683" t="s">
        <v>20096</v>
      </c>
    </row>
    <row r="4684" spans="6:8">
      <c r="H4684" t="s">
        <v>20097</v>
      </c>
    </row>
    <row r="4685" spans="6:8">
      <c r="H4685" t="s">
        <v>20098</v>
      </c>
    </row>
    <row r="4686" spans="6:8">
      <c r="H4686" t="s">
        <v>20099</v>
      </c>
    </row>
    <row r="4687" spans="6:8">
      <c r="H4687" t="s">
        <v>20100</v>
      </c>
    </row>
    <row r="4688" spans="6:8">
      <c r="H4688" t="s">
        <v>20101</v>
      </c>
    </row>
    <row r="4689" spans="6:8">
      <c r="H4689" t="s">
        <v>20102</v>
      </c>
    </row>
    <row r="4690" spans="6:8">
      <c r="F4690" t="s">
        <v>11341</v>
      </c>
      <c r="G4690" t="s">
        <v>15542</v>
      </c>
      <c r="H4690" t="s">
        <v>20091</v>
      </c>
    </row>
    <row r="4691" spans="6:8">
      <c r="F4691" t="s">
        <v>11342</v>
      </c>
      <c r="G4691" t="s">
        <v>15277</v>
      </c>
      <c r="H4691" t="s">
        <v>20091</v>
      </c>
    </row>
    <row r="4692" spans="6:8">
      <c r="H4692" t="s">
        <v>19712</v>
      </c>
    </row>
    <row r="4693" spans="6:8">
      <c r="H4693" t="s">
        <v>19709</v>
      </c>
    </row>
    <row r="4694" spans="6:8">
      <c r="H4694" t="s">
        <v>19706</v>
      </c>
    </row>
    <row r="4695" spans="6:8">
      <c r="H4695" t="s">
        <v>20107</v>
      </c>
    </row>
    <row r="4696" spans="6:8">
      <c r="H4696" t="s">
        <v>20108</v>
      </c>
    </row>
    <row r="4697" spans="6:8">
      <c r="H4697" t="s">
        <v>19713</v>
      </c>
    </row>
    <row r="4698" spans="6:8">
      <c r="H4698" t="s">
        <v>19714</v>
      </c>
    </row>
    <row r="4699" spans="6:8">
      <c r="H4699" t="s">
        <v>20109</v>
      </c>
    </row>
    <row r="4700" spans="6:8">
      <c r="H4700" t="s">
        <v>20110</v>
      </c>
    </row>
    <row r="4701" spans="6:8">
      <c r="H4701" t="s">
        <v>20111</v>
      </c>
    </row>
    <row r="4702" spans="6:8">
      <c r="H4702" t="s">
        <v>20095</v>
      </c>
    </row>
    <row r="4703" spans="6:8">
      <c r="H4703" t="s">
        <v>20096</v>
      </c>
    </row>
    <row r="4704" spans="6:8">
      <c r="H4704" t="s">
        <v>20097</v>
      </c>
    </row>
    <row r="4705" spans="6:8">
      <c r="H4705" t="s">
        <v>20098</v>
      </c>
    </row>
    <row r="4706" spans="6:8">
      <c r="F4706" t="s">
        <v>11343</v>
      </c>
      <c r="G4706" t="s">
        <v>15278</v>
      </c>
      <c r="H4706" t="s">
        <v>20091</v>
      </c>
    </row>
    <row r="4707" spans="6:8">
      <c r="H4707" t="s">
        <v>19712</v>
      </c>
    </row>
    <row r="4708" spans="6:8">
      <c r="H4708" t="s">
        <v>19709</v>
      </c>
    </row>
    <row r="4709" spans="6:8">
      <c r="H4709" t="s">
        <v>19706</v>
      </c>
    </row>
    <row r="4710" spans="6:8">
      <c r="H4710" t="s">
        <v>20107</v>
      </c>
    </row>
    <row r="4711" spans="6:8">
      <c r="H4711" t="s">
        <v>20108</v>
      </c>
    </row>
    <row r="4712" spans="6:8">
      <c r="H4712" t="s">
        <v>19713</v>
      </c>
    </row>
    <row r="4713" spans="6:8">
      <c r="H4713" t="s">
        <v>19714</v>
      </c>
    </row>
    <row r="4714" spans="6:8">
      <c r="H4714" t="s">
        <v>20109</v>
      </c>
    </row>
    <row r="4715" spans="6:8">
      <c r="H4715" t="s">
        <v>20095</v>
      </c>
    </row>
    <row r="4716" spans="6:8">
      <c r="H4716" t="s">
        <v>20096</v>
      </c>
    </row>
    <row r="4717" spans="6:8">
      <c r="H4717" t="s">
        <v>20097</v>
      </c>
    </row>
    <row r="4718" spans="6:8">
      <c r="H4718" t="s">
        <v>20098</v>
      </c>
    </row>
    <row r="4719" spans="6:8">
      <c r="F4719" t="s">
        <v>11344</v>
      </c>
      <c r="G4719" t="s">
        <v>15637</v>
      </c>
      <c r="H4719" t="s">
        <v>20091</v>
      </c>
    </row>
    <row r="4720" spans="6:8">
      <c r="H4720" t="s">
        <v>19712</v>
      </c>
    </row>
    <row r="4721" spans="6:8">
      <c r="H4721" t="s">
        <v>20095</v>
      </c>
    </row>
    <row r="4722" spans="6:8">
      <c r="H4722" t="s">
        <v>20096</v>
      </c>
    </row>
    <row r="4723" spans="6:8">
      <c r="F4723" t="s">
        <v>11345</v>
      </c>
      <c r="G4723" t="s">
        <v>15543</v>
      </c>
      <c r="H4723" t="s">
        <v>20091</v>
      </c>
    </row>
    <row r="4724" spans="6:8">
      <c r="H4724" t="s">
        <v>20095</v>
      </c>
    </row>
    <row r="4725" spans="6:8">
      <c r="H4725" t="s">
        <v>20096</v>
      </c>
    </row>
    <row r="4726" spans="6:8">
      <c r="H4726" t="s">
        <v>20097</v>
      </c>
    </row>
    <row r="4727" spans="6:8">
      <c r="F4727" t="s">
        <v>11346</v>
      </c>
      <c r="G4727" t="s">
        <v>15546</v>
      </c>
      <c r="H4727" t="s">
        <v>20091</v>
      </c>
    </row>
    <row r="4728" spans="6:8">
      <c r="H4728" t="s">
        <v>20092</v>
      </c>
    </row>
    <row r="4729" spans="6:8">
      <c r="H4729" t="s">
        <v>20095</v>
      </c>
    </row>
    <row r="4730" spans="6:8">
      <c r="H4730" t="s">
        <v>20096</v>
      </c>
    </row>
    <row r="4731" spans="6:8">
      <c r="H4731" t="s">
        <v>20097</v>
      </c>
    </row>
    <row r="4732" spans="6:8">
      <c r="H4732" t="s">
        <v>20098</v>
      </c>
    </row>
    <row r="4733" spans="6:8">
      <c r="F4733" t="s">
        <v>11347</v>
      </c>
      <c r="G4733" t="s">
        <v>15638</v>
      </c>
      <c r="H4733" t="s">
        <v>20091</v>
      </c>
    </row>
    <row r="4734" spans="6:8">
      <c r="H4734" t="s">
        <v>19712</v>
      </c>
    </row>
    <row r="4735" spans="6:8">
      <c r="H4735" t="s">
        <v>19709</v>
      </c>
    </row>
    <row r="4736" spans="6:8">
      <c r="H4736" t="s">
        <v>19706</v>
      </c>
    </row>
    <row r="4737" spans="6:8">
      <c r="H4737" t="s">
        <v>20092</v>
      </c>
    </row>
    <row r="4738" spans="6:8">
      <c r="H4738" t="s">
        <v>20093</v>
      </c>
    </row>
    <row r="4739" spans="6:8">
      <c r="H4739" t="s">
        <v>20096</v>
      </c>
    </row>
    <row r="4740" spans="6:8">
      <c r="H4740" t="s">
        <v>20097</v>
      </c>
    </row>
    <row r="4741" spans="6:8">
      <c r="H4741" t="s">
        <v>20098</v>
      </c>
    </row>
    <row r="4742" spans="6:8">
      <c r="H4742" t="s">
        <v>20099</v>
      </c>
    </row>
    <row r="4743" spans="6:8">
      <c r="F4743" t="s">
        <v>11348</v>
      </c>
      <c r="G4743" t="s">
        <v>15279</v>
      </c>
      <c r="H4743" t="s">
        <v>20091</v>
      </c>
    </row>
    <row r="4744" spans="6:8">
      <c r="H4744" t="s">
        <v>19712</v>
      </c>
    </row>
    <row r="4745" spans="6:8">
      <c r="H4745" t="s">
        <v>19709</v>
      </c>
    </row>
    <row r="4746" spans="6:8">
      <c r="H4746" t="s">
        <v>19706</v>
      </c>
    </row>
    <row r="4747" spans="6:8">
      <c r="H4747" t="s">
        <v>20107</v>
      </c>
    </row>
    <row r="4748" spans="6:8">
      <c r="H4748" t="s">
        <v>20108</v>
      </c>
    </row>
    <row r="4749" spans="6:8">
      <c r="H4749" t="s">
        <v>20095</v>
      </c>
    </row>
    <row r="4750" spans="6:8">
      <c r="H4750" t="s">
        <v>20096</v>
      </c>
    </row>
    <row r="4751" spans="6:8">
      <c r="H4751" t="s">
        <v>20097</v>
      </c>
    </row>
    <row r="4752" spans="6:8">
      <c r="H4752" t="s">
        <v>20098</v>
      </c>
    </row>
    <row r="4753" spans="6:8">
      <c r="F4753" t="s">
        <v>11349</v>
      </c>
      <c r="G4753" t="s">
        <v>15280</v>
      </c>
      <c r="H4753" t="s">
        <v>20091</v>
      </c>
    </row>
    <row r="4754" spans="6:8">
      <c r="H4754" t="s">
        <v>19712</v>
      </c>
    </row>
    <row r="4755" spans="6:8">
      <c r="H4755" t="s">
        <v>19709</v>
      </c>
    </row>
    <row r="4756" spans="6:8">
      <c r="H4756" t="s">
        <v>19706</v>
      </c>
    </row>
    <row r="4757" spans="6:8">
      <c r="H4757" t="s">
        <v>20107</v>
      </c>
    </row>
    <row r="4758" spans="6:8">
      <c r="H4758" t="s">
        <v>20108</v>
      </c>
    </row>
    <row r="4759" spans="6:8">
      <c r="H4759" t="s">
        <v>20095</v>
      </c>
    </row>
    <row r="4760" spans="6:8">
      <c r="H4760" t="s">
        <v>20096</v>
      </c>
    </row>
    <row r="4761" spans="6:8">
      <c r="H4761" t="s">
        <v>20097</v>
      </c>
    </row>
    <row r="4762" spans="6:8">
      <c r="H4762" t="s">
        <v>20098</v>
      </c>
    </row>
    <row r="4763" spans="6:8">
      <c r="F4763" t="s">
        <v>11350</v>
      </c>
      <c r="G4763" t="s">
        <v>15281</v>
      </c>
      <c r="H4763" t="s">
        <v>20091</v>
      </c>
    </row>
    <row r="4764" spans="6:8">
      <c r="H4764" t="s">
        <v>19712</v>
      </c>
    </row>
    <row r="4765" spans="6:8">
      <c r="H4765" t="s">
        <v>19709</v>
      </c>
    </row>
    <row r="4766" spans="6:8">
      <c r="H4766" t="s">
        <v>19706</v>
      </c>
    </row>
    <row r="4767" spans="6:8">
      <c r="H4767" t="s">
        <v>20107</v>
      </c>
    </row>
    <row r="4768" spans="6:8">
      <c r="H4768" t="s">
        <v>20108</v>
      </c>
    </row>
    <row r="4769" spans="6:8">
      <c r="H4769" t="s">
        <v>20095</v>
      </c>
    </row>
    <row r="4770" spans="6:8">
      <c r="H4770" t="s">
        <v>20096</v>
      </c>
    </row>
    <row r="4771" spans="6:8">
      <c r="H4771" t="s">
        <v>20097</v>
      </c>
    </row>
    <row r="4772" spans="6:8">
      <c r="H4772" t="s">
        <v>20098</v>
      </c>
    </row>
    <row r="4773" spans="6:8">
      <c r="F4773" t="s">
        <v>11351</v>
      </c>
      <c r="G4773" t="s">
        <v>15282</v>
      </c>
      <c r="H4773" t="s">
        <v>20091</v>
      </c>
    </row>
    <row r="4774" spans="6:8">
      <c r="H4774" t="s">
        <v>19712</v>
      </c>
    </row>
    <row r="4775" spans="6:8">
      <c r="H4775" t="s">
        <v>19709</v>
      </c>
    </row>
    <row r="4776" spans="6:8">
      <c r="H4776" t="s">
        <v>19706</v>
      </c>
    </row>
    <row r="4777" spans="6:8">
      <c r="H4777" t="s">
        <v>20107</v>
      </c>
    </row>
    <row r="4778" spans="6:8">
      <c r="H4778" t="s">
        <v>20108</v>
      </c>
    </row>
    <row r="4779" spans="6:8">
      <c r="H4779" t="s">
        <v>20095</v>
      </c>
    </row>
    <row r="4780" spans="6:8">
      <c r="H4780" t="s">
        <v>20096</v>
      </c>
    </row>
    <row r="4781" spans="6:8">
      <c r="H4781" t="s">
        <v>20097</v>
      </c>
    </row>
    <row r="4782" spans="6:8">
      <c r="H4782" t="s">
        <v>20098</v>
      </c>
    </row>
    <row r="4783" spans="6:8">
      <c r="F4783" t="s">
        <v>11352</v>
      </c>
      <c r="G4783" t="s">
        <v>15283</v>
      </c>
      <c r="H4783" t="s">
        <v>20091</v>
      </c>
    </row>
    <row r="4784" spans="6:8">
      <c r="H4784" t="s">
        <v>19712</v>
      </c>
    </row>
    <row r="4785" spans="6:8">
      <c r="H4785" t="s">
        <v>19709</v>
      </c>
    </row>
    <row r="4786" spans="6:8">
      <c r="H4786" t="s">
        <v>19706</v>
      </c>
    </row>
    <row r="4787" spans="6:8">
      <c r="H4787" t="s">
        <v>20107</v>
      </c>
    </row>
    <row r="4788" spans="6:8">
      <c r="H4788" t="s">
        <v>20108</v>
      </c>
    </row>
    <row r="4789" spans="6:8">
      <c r="H4789" t="s">
        <v>20095</v>
      </c>
    </row>
    <row r="4790" spans="6:8">
      <c r="H4790" t="s">
        <v>20096</v>
      </c>
    </row>
    <row r="4791" spans="6:8">
      <c r="H4791" t="s">
        <v>20097</v>
      </c>
    </row>
    <row r="4792" spans="6:8">
      <c r="H4792" t="s">
        <v>20098</v>
      </c>
    </row>
    <row r="4793" spans="6:8">
      <c r="F4793" t="s">
        <v>11353</v>
      </c>
      <c r="G4793" t="s">
        <v>15284</v>
      </c>
      <c r="H4793" t="s">
        <v>20091</v>
      </c>
    </row>
    <row r="4794" spans="6:8">
      <c r="H4794" t="s">
        <v>19712</v>
      </c>
    </row>
    <row r="4795" spans="6:8">
      <c r="H4795" t="s">
        <v>19709</v>
      </c>
    </row>
    <row r="4796" spans="6:8">
      <c r="H4796" t="s">
        <v>19706</v>
      </c>
    </row>
    <row r="4797" spans="6:8">
      <c r="H4797" t="s">
        <v>20107</v>
      </c>
    </row>
    <row r="4798" spans="6:8">
      <c r="H4798" t="s">
        <v>20108</v>
      </c>
    </row>
    <row r="4799" spans="6:8">
      <c r="H4799" t="s">
        <v>20095</v>
      </c>
    </row>
    <row r="4800" spans="6:8">
      <c r="H4800" t="s">
        <v>20096</v>
      </c>
    </row>
    <row r="4801" spans="6:8">
      <c r="H4801" t="s">
        <v>20097</v>
      </c>
    </row>
    <row r="4802" spans="6:8">
      <c r="H4802" t="s">
        <v>20098</v>
      </c>
    </row>
    <row r="4803" spans="6:8">
      <c r="F4803" t="s">
        <v>11354</v>
      </c>
      <c r="G4803" t="s">
        <v>15285</v>
      </c>
      <c r="H4803" t="s">
        <v>20091</v>
      </c>
    </row>
    <row r="4804" spans="6:8">
      <c r="H4804" t="s">
        <v>19712</v>
      </c>
    </row>
    <row r="4805" spans="6:8">
      <c r="H4805" t="s">
        <v>20107</v>
      </c>
    </row>
    <row r="4806" spans="6:8">
      <c r="H4806" t="s">
        <v>20108</v>
      </c>
    </row>
    <row r="4807" spans="6:8">
      <c r="H4807" t="s">
        <v>19713</v>
      </c>
    </row>
    <row r="4808" spans="6:8">
      <c r="H4808" t="s">
        <v>20095</v>
      </c>
    </row>
    <row r="4809" spans="6:8">
      <c r="H4809" t="s">
        <v>20096</v>
      </c>
    </row>
    <row r="4810" spans="6:8">
      <c r="H4810" t="s">
        <v>20097</v>
      </c>
    </row>
    <row r="4811" spans="6:8">
      <c r="H4811" t="s">
        <v>20098</v>
      </c>
    </row>
    <row r="4812" spans="6:8">
      <c r="H4812" t="s">
        <v>20099</v>
      </c>
    </row>
    <row r="4813" spans="6:8">
      <c r="H4813" t="s">
        <v>20100</v>
      </c>
    </row>
    <row r="4814" spans="6:8">
      <c r="H4814" t="s">
        <v>20101</v>
      </c>
    </row>
    <row r="4815" spans="6:8">
      <c r="H4815" t="s">
        <v>20104</v>
      </c>
    </row>
    <row r="4816" spans="6:8">
      <c r="H4816" t="s">
        <v>20105</v>
      </c>
    </row>
    <row r="4817" spans="6:8">
      <c r="H4817" t="s">
        <v>20123</v>
      </c>
    </row>
    <row r="4818" spans="6:8">
      <c r="F4818" t="s">
        <v>11355</v>
      </c>
      <c r="G4818" t="s">
        <v>15286</v>
      </c>
      <c r="H4818" t="s">
        <v>20091</v>
      </c>
    </row>
    <row r="4819" spans="6:8">
      <c r="H4819" t="s">
        <v>19712</v>
      </c>
    </row>
    <row r="4820" spans="6:8">
      <c r="H4820" t="s">
        <v>19709</v>
      </c>
    </row>
    <row r="4821" spans="6:8">
      <c r="H4821" t="s">
        <v>19706</v>
      </c>
    </row>
    <row r="4822" spans="6:8">
      <c r="H4822" t="s">
        <v>20107</v>
      </c>
    </row>
    <row r="4823" spans="6:8">
      <c r="H4823" t="s">
        <v>20108</v>
      </c>
    </row>
    <row r="4824" spans="6:8">
      <c r="H4824" t="s">
        <v>19713</v>
      </c>
    </row>
    <row r="4825" spans="6:8">
      <c r="H4825" t="s">
        <v>19714</v>
      </c>
    </row>
    <row r="4826" spans="6:8">
      <c r="H4826" t="s">
        <v>20109</v>
      </c>
    </row>
    <row r="4827" spans="6:8">
      <c r="H4827" t="s">
        <v>20110</v>
      </c>
    </row>
    <row r="4828" spans="6:8">
      <c r="H4828" t="s">
        <v>20111</v>
      </c>
    </row>
    <row r="4829" spans="6:8">
      <c r="H4829" t="s">
        <v>20112</v>
      </c>
    </row>
    <row r="4830" spans="6:8">
      <c r="H4830" t="s">
        <v>20113</v>
      </c>
    </row>
    <row r="4831" spans="6:8">
      <c r="H4831" t="s">
        <v>20095</v>
      </c>
    </row>
    <row r="4832" spans="6:8">
      <c r="H4832" t="s">
        <v>20096</v>
      </c>
    </row>
    <row r="4833" spans="6:8">
      <c r="H4833" t="s">
        <v>20097</v>
      </c>
    </row>
    <row r="4834" spans="6:8">
      <c r="H4834" t="s">
        <v>20098</v>
      </c>
    </row>
    <row r="4835" spans="6:8">
      <c r="F4835" t="s">
        <v>11356</v>
      </c>
      <c r="G4835" t="s">
        <v>15287</v>
      </c>
      <c r="H4835" t="s">
        <v>20091</v>
      </c>
    </row>
    <row r="4836" spans="6:8">
      <c r="H4836" t="s">
        <v>19712</v>
      </c>
    </row>
    <row r="4837" spans="6:8">
      <c r="H4837" t="s">
        <v>19709</v>
      </c>
    </row>
    <row r="4838" spans="6:8">
      <c r="H4838" t="s">
        <v>19706</v>
      </c>
    </row>
    <row r="4839" spans="6:8">
      <c r="H4839" t="s">
        <v>20107</v>
      </c>
    </row>
    <row r="4840" spans="6:8">
      <c r="H4840" t="s">
        <v>20108</v>
      </c>
    </row>
    <row r="4841" spans="6:8">
      <c r="H4841" t="s">
        <v>19713</v>
      </c>
    </row>
    <row r="4842" spans="6:8">
      <c r="H4842" t="s">
        <v>19714</v>
      </c>
    </row>
    <row r="4843" spans="6:8">
      <c r="H4843" t="s">
        <v>20109</v>
      </c>
    </row>
    <row r="4844" spans="6:8">
      <c r="H4844" t="s">
        <v>20110</v>
      </c>
    </row>
    <row r="4845" spans="6:8">
      <c r="H4845" t="s">
        <v>20111</v>
      </c>
    </row>
    <row r="4846" spans="6:8">
      <c r="H4846" t="s">
        <v>20112</v>
      </c>
    </row>
    <row r="4847" spans="6:8">
      <c r="H4847" t="s">
        <v>20113</v>
      </c>
    </row>
    <row r="4848" spans="6:8">
      <c r="H4848" t="s">
        <v>20095</v>
      </c>
    </row>
    <row r="4849" spans="6:8">
      <c r="H4849" t="s">
        <v>20096</v>
      </c>
    </row>
    <row r="4850" spans="6:8">
      <c r="H4850" t="s">
        <v>20097</v>
      </c>
    </row>
    <row r="4851" spans="6:8">
      <c r="H4851" t="s">
        <v>20098</v>
      </c>
    </row>
    <row r="4852" spans="6:8">
      <c r="F4852" t="s">
        <v>11357</v>
      </c>
      <c r="G4852" t="s">
        <v>15288</v>
      </c>
      <c r="H4852" t="s">
        <v>20091</v>
      </c>
    </row>
    <row r="4853" spans="6:8">
      <c r="H4853" t="s">
        <v>19712</v>
      </c>
    </row>
    <row r="4854" spans="6:8">
      <c r="H4854" t="s">
        <v>19709</v>
      </c>
    </row>
    <row r="4855" spans="6:8">
      <c r="H4855" t="s">
        <v>19706</v>
      </c>
    </row>
    <row r="4856" spans="6:8">
      <c r="H4856" t="s">
        <v>20107</v>
      </c>
    </row>
    <row r="4857" spans="6:8">
      <c r="H4857" t="s">
        <v>20108</v>
      </c>
    </row>
    <row r="4858" spans="6:8">
      <c r="H4858" t="s">
        <v>19713</v>
      </c>
    </row>
    <row r="4859" spans="6:8">
      <c r="H4859" t="s">
        <v>19714</v>
      </c>
    </row>
    <row r="4860" spans="6:8">
      <c r="H4860" t="s">
        <v>20109</v>
      </c>
    </row>
    <row r="4861" spans="6:8">
      <c r="H4861" t="s">
        <v>20110</v>
      </c>
    </row>
    <row r="4862" spans="6:8">
      <c r="H4862" t="s">
        <v>20111</v>
      </c>
    </row>
    <row r="4863" spans="6:8">
      <c r="H4863" t="s">
        <v>20112</v>
      </c>
    </row>
    <row r="4864" spans="6:8">
      <c r="H4864" t="s">
        <v>20113</v>
      </c>
    </row>
    <row r="4865" spans="6:8">
      <c r="H4865" t="s">
        <v>20095</v>
      </c>
    </row>
    <row r="4866" spans="6:8">
      <c r="H4866" t="s">
        <v>20096</v>
      </c>
    </row>
    <row r="4867" spans="6:8">
      <c r="H4867" t="s">
        <v>20097</v>
      </c>
    </row>
    <row r="4868" spans="6:8">
      <c r="H4868" t="s">
        <v>20098</v>
      </c>
    </row>
    <row r="4869" spans="6:8">
      <c r="F4869" t="s">
        <v>11358</v>
      </c>
      <c r="G4869" t="s">
        <v>15289</v>
      </c>
      <c r="H4869" t="s">
        <v>20091</v>
      </c>
    </row>
    <row r="4870" spans="6:8">
      <c r="H4870" t="s">
        <v>19712</v>
      </c>
    </row>
    <row r="4871" spans="6:8">
      <c r="H4871" t="s">
        <v>19709</v>
      </c>
    </row>
    <row r="4872" spans="6:8">
      <c r="H4872" t="s">
        <v>19706</v>
      </c>
    </row>
    <row r="4873" spans="6:8">
      <c r="H4873" t="s">
        <v>20107</v>
      </c>
    </row>
    <row r="4874" spans="6:8">
      <c r="H4874" t="s">
        <v>20108</v>
      </c>
    </row>
    <row r="4875" spans="6:8">
      <c r="H4875" t="s">
        <v>19713</v>
      </c>
    </row>
    <row r="4876" spans="6:8">
      <c r="H4876" t="s">
        <v>19714</v>
      </c>
    </row>
    <row r="4877" spans="6:8">
      <c r="H4877" t="s">
        <v>20109</v>
      </c>
    </row>
    <row r="4878" spans="6:8">
      <c r="H4878" t="s">
        <v>20110</v>
      </c>
    </row>
    <row r="4879" spans="6:8">
      <c r="H4879" t="s">
        <v>20111</v>
      </c>
    </row>
    <row r="4880" spans="6:8">
      <c r="H4880" t="s">
        <v>20112</v>
      </c>
    </row>
    <row r="4881" spans="6:8">
      <c r="H4881" t="s">
        <v>20113</v>
      </c>
    </row>
    <row r="4882" spans="6:8">
      <c r="H4882" t="s">
        <v>20095</v>
      </c>
    </row>
    <row r="4883" spans="6:8">
      <c r="H4883" t="s">
        <v>20096</v>
      </c>
    </row>
    <row r="4884" spans="6:8">
      <c r="H4884" t="s">
        <v>20097</v>
      </c>
    </row>
    <row r="4885" spans="6:8">
      <c r="H4885" t="s">
        <v>20098</v>
      </c>
    </row>
    <row r="4886" spans="6:8">
      <c r="F4886" t="s">
        <v>11359</v>
      </c>
      <c r="G4886" t="s">
        <v>15290</v>
      </c>
      <c r="H4886" t="s">
        <v>20091</v>
      </c>
    </row>
    <row r="4887" spans="6:8">
      <c r="H4887" t="s">
        <v>19712</v>
      </c>
    </row>
    <row r="4888" spans="6:8">
      <c r="H4888" t="s">
        <v>19709</v>
      </c>
    </row>
    <row r="4889" spans="6:8">
      <c r="H4889" t="s">
        <v>19706</v>
      </c>
    </row>
    <row r="4890" spans="6:8">
      <c r="H4890" t="s">
        <v>19707</v>
      </c>
    </row>
    <row r="4891" spans="6:8">
      <c r="H4891" t="s">
        <v>19711</v>
      </c>
    </row>
    <row r="4892" spans="6:8">
      <c r="H4892" t="s">
        <v>19708</v>
      </c>
    </row>
    <row r="4893" spans="6:8">
      <c r="H4893" t="s">
        <v>20107</v>
      </c>
    </row>
    <row r="4894" spans="6:8">
      <c r="H4894" t="s">
        <v>20108</v>
      </c>
    </row>
    <row r="4895" spans="6:8">
      <c r="H4895" t="s">
        <v>19713</v>
      </c>
    </row>
    <row r="4896" spans="6:8">
      <c r="H4896" t="s">
        <v>19714</v>
      </c>
    </row>
    <row r="4897" spans="6:8">
      <c r="H4897" t="s">
        <v>20109</v>
      </c>
    </row>
    <row r="4898" spans="6:8">
      <c r="H4898" t="s">
        <v>20110</v>
      </c>
    </row>
    <row r="4899" spans="6:8">
      <c r="H4899" t="s">
        <v>20092</v>
      </c>
    </row>
    <row r="4900" spans="6:8">
      <c r="H4900" t="s">
        <v>20095</v>
      </c>
    </row>
    <row r="4901" spans="6:8">
      <c r="H4901" t="s">
        <v>20096</v>
      </c>
    </row>
    <row r="4902" spans="6:8">
      <c r="H4902" t="s">
        <v>20097</v>
      </c>
    </row>
    <row r="4903" spans="6:8">
      <c r="H4903" t="s">
        <v>20098</v>
      </c>
    </row>
    <row r="4904" spans="6:8">
      <c r="F4904" t="s">
        <v>11360</v>
      </c>
      <c r="G4904" t="s">
        <v>15291</v>
      </c>
      <c r="H4904" t="s">
        <v>20091</v>
      </c>
    </row>
    <row r="4905" spans="6:8">
      <c r="H4905" t="s">
        <v>19712</v>
      </c>
    </row>
    <row r="4906" spans="6:8">
      <c r="H4906" t="s">
        <v>19709</v>
      </c>
    </row>
    <row r="4907" spans="6:8">
      <c r="H4907" t="s">
        <v>19706</v>
      </c>
    </row>
    <row r="4908" spans="6:8">
      <c r="H4908" t="s">
        <v>19707</v>
      </c>
    </row>
    <row r="4909" spans="6:8">
      <c r="H4909" t="s">
        <v>19711</v>
      </c>
    </row>
    <row r="4910" spans="6:8">
      <c r="H4910" t="s">
        <v>19708</v>
      </c>
    </row>
    <row r="4911" spans="6:8">
      <c r="H4911" t="s">
        <v>20107</v>
      </c>
    </row>
    <row r="4912" spans="6:8">
      <c r="H4912" t="s">
        <v>20108</v>
      </c>
    </row>
    <row r="4913" spans="6:8">
      <c r="H4913" t="s">
        <v>19713</v>
      </c>
    </row>
    <row r="4914" spans="6:8">
      <c r="H4914" t="s">
        <v>19714</v>
      </c>
    </row>
    <row r="4915" spans="6:8">
      <c r="H4915" t="s">
        <v>20109</v>
      </c>
    </row>
    <row r="4916" spans="6:8">
      <c r="H4916" t="s">
        <v>20110</v>
      </c>
    </row>
    <row r="4917" spans="6:8">
      <c r="H4917" t="s">
        <v>20092</v>
      </c>
    </row>
    <row r="4918" spans="6:8">
      <c r="H4918" t="s">
        <v>20095</v>
      </c>
    </row>
    <row r="4919" spans="6:8">
      <c r="H4919" t="s">
        <v>20096</v>
      </c>
    </row>
    <row r="4920" spans="6:8">
      <c r="H4920" t="s">
        <v>20097</v>
      </c>
    </row>
    <row r="4921" spans="6:8">
      <c r="H4921" t="s">
        <v>20098</v>
      </c>
    </row>
    <row r="4922" spans="6:8">
      <c r="F4922" t="s">
        <v>11361</v>
      </c>
      <c r="G4922" t="s">
        <v>15292</v>
      </c>
      <c r="H4922" t="s">
        <v>20091</v>
      </c>
    </row>
    <row r="4923" spans="6:8">
      <c r="H4923" t="s">
        <v>19712</v>
      </c>
    </row>
    <row r="4924" spans="6:8">
      <c r="H4924" t="s">
        <v>19709</v>
      </c>
    </row>
    <row r="4925" spans="6:8">
      <c r="H4925" t="s">
        <v>19706</v>
      </c>
    </row>
    <row r="4926" spans="6:8">
      <c r="H4926" t="s">
        <v>19707</v>
      </c>
    </row>
    <row r="4927" spans="6:8">
      <c r="H4927" t="s">
        <v>19711</v>
      </c>
    </row>
    <row r="4928" spans="6:8">
      <c r="H4928" t="s">
        <v>19708</v>
      </c>
    </row>
    <row r="4929" spans="6:8">
      <c r="H4929" t="s">
        <v>20107</v>
      </c>
    </row>
    <row r="4930" spans="6:8">
      <c r="H4930" t="s">
        <v>20108</v>
      </c>
    </row>
    <row r="4931" spans="6:8">
      <c r="H4931" t="s">
        <v>19713</v>
      </c>
    </row>
    <row r="4932" spans="6:8">
      <c r="H4932" t="s">
        <v>19714</v>
      </c>
    </row>
    <row r="4933" spans="6:8">
      <c r="H4933" t="s">
        <v>20109</v>
      </c>
    </row>
    <row r="4934" spans="6:8">
      <c r="H4934" t="s">
        <v>20110</v>
      </c>
    </row>
    <row r="4935" spans="6:8">
      <c r="H4935" t="s">
        <v>20092</v>
      </c>
    </row>
    <row r="4936" spans="6:8">
      <c r="H4936" t="s">
        <v>20095</v>
      </c>
    </row>
    <row r="4937" spans="6:8">
      <c r="H4937" t="s">
        <v>20096</v>
      </c>
    </row>
    <row r="4938" spans="6:8">
      <c r="H4938" t="s">
        <v>20097</v>
      </c>
    </row>
    <row r="4939" spans="6:8">
      <c r="H4939" t="s">
        <v>20098</v>
      </c>
    </row>
    <row r="4940" spans="6:8">
      <c r="F4940" t="s">
        <v>11362</v>
      </c>
      <c r="G4940" t="s">
        <v>15293</v>
      </c>
      <c r="H4940" t="s">
        <v>20091</v>
      </c>
    </row>
    <row r="4941" spans="6:8">
      <c r="H4941" t="s">
        <v>19712</v>
      </c>
    </row>
    <row r="4942" spans="6:8">
      <c r="H4942" t="s">
        <v>19709</v>
      </c>
    </row>
    <row r="4943" spans="6:8">
      <c r="H4943" t="s">
        <v>19706</v>
      </c>
    </row>
    <row r="4944" spans="6:8">
      <c r="H4944" t="s">
        <v>19707</v>
      </c>
    </row>
    <row r="4945" spans="6:8">
      <c r="H4945" t="s">
        <v>19711</v>
      </c>
    </row>
    <row r="4946" spans="6:8">
      <c r="H4946" t="s">
        <v>19708</v>
      </c>
    </row>
    <row r="4947" spans="6:8">
      <c r="H4947" t="s">
        <v>20107</v>
      </c>
    </row>
    <row r="4948" spans="6:8">
      <c r="H4948" t="s">
        <v>20108</v>
      </c>
    </row>
    <row r="4949" spans="6:8">
      <c r="H4949" t="s">
        <v>19713</v>
      </c>
    </row>
    <row r="4950" spans="6:8">
      <c r="H4950" t="s">
        <v>19714</v>
      </c>
    </row>
    <row r="4951" spans="6:8">
      <c r="H4951" t="s">
        <v>20109</v>
      </c>
    </row>
    <row r="4952" spans="6:8">
      <c r="H4952" t="s">
        <v>20110</v>
      </c>
    </row>
    <row r="4953" spans="6:8">
      <c r="H4953" t="s">
        <v>20092</v>
      </c>
    </row>
    <row r="4954" spans="6:8">
      <c r="H4954" t="s">
        <v>20095</v>
      </c>
    </row>
    <row r="4955" spans="6:8">
      <c r="H4955" t="s">
        <v>20096</v>
      </c>
    </row>
    <row r="4956" spans="6:8">
      <c r="H4956" t="s">
        <v>20097</v>
      </c>
    </row>
    <row r="4957" spans="6:8">
      <c r="H4957" t="s">
        <v>20098</v>
      </c>
    </row>
    <row r="4958" spans="6:8">
      <c r="F4958" t="s">
        <v>11363</v>
      </c>
      <c r="G4958" t="s">
        <v>15294</v>
      </c>
      <c r="H4958" t="s">
        <v>20091</v>
      </c>
    </row>
    <row r="4959" spans="6:8">
      <c r="H4959" t="s">
        <v>19712</v>
      </c>
    </row>
    <row r="4960" spans="6:8">
      <c r="H4960" t="s">
        <v>19709</v>
      </c>
    </row>
    <row r="4961" spans="6:8">
      <c r="H4961" t="s">
        <v>19706</v>
      </c>
    </row>
    <row r="4962" spans="6:8">
      <c r="H4962" t="s">
        <v>19707</v>
      </c>
    </row>
    <row r="4963" spans="6:8">
      <c r="H4963" t="s">
        <v>19711</v>
      </c>
    </row>
    <row r="4964" spans="6:8">
      <c r="H4964" t="s">
        <v>19708</v>
      </c>
    </row>
    <row r="4965" spans="6:8">
      <c r="H4965" t="s">
        <v>20107</v>
      </c>
    </row>
    <row r="4966" spans="6:8">
      <c r="H4966" t="s">
        <v>20108</v>
      </c>
    </row>
    <row r="4967" spans="6:8">
      <c r="H4967" t="s">
        <v>19713</v>
      </c>
    </row>
    <row r="4968" spans="6:8">
      <c r="H4968" t="s">
        <v>19714</v>
      </c>
    </row>
    <row r="4969" spans="6:8">
      <c r="H4969" t="s">
        <v>20109</v>
      </c>
    </row>
    <row r="4970" spans="6:8">
      <c r="H4970" t="s">
        <v>20110</v>
      </c>
    </row>
    <row r="4971" spans="6:8">
      <c r="H4971" t="s">
        <v>20092</v>
      </c>
    </row>
    <row r="4972" spans="6:8">
      <c r="H4972" t="s">
        <v>20095</v>
      </c>
    </row>
    <row r="4973" spans="6:8">
      <c r="H4973" t="s">
        <v>20096</v>
      </c>
    </row>
    <row r="4974" spans="6:8">
      <c r="H4974" t="s">
        <v>20097</v>
      </c>
    </row>
    <row r="4975" spans="6:8">
      <c r="H4975" t="s">
        <v>20098</v>
      </c>
    </row>
    <row r="4976" spans="6:8">
      <c r="F4976" t="s">
        <v>11364</v>
      </c>
      <c r="G4976" t="s">
        <v>15295</v>
      </c>
      <c r="H4976" t="s">
        <v>20091</v>
      </c>
    </row>
    <row r="4977" spans="8:8">
      <c r="H4977" t="s">
        <v>19712</v>
      </c>
    </row>
    <row r="4978" spans="8:8">
      <c r="H4978" t="s">
        <v>19709</v>
      </c>
    </row>
    <row r="4979" spans="8:8">
      <c r="H4979" t="s">
        <v>19706</v>
      </c>
    </row>
    <row r="4980" spans="8:8">
      <c r="H4980" t="s">
        <v>19707</v>
      </c>
    </row>
    <row r="4981" spans="8:8">
      <c r="H4981" t="s">
        <v>19711</v>
      </c>
    </row>
    <row r="4982" spans="8:8">
      <c r="H4982" t="s">
        <v>19708</v>
      </c>
    </row>
    <row r="4983" spans="8:8">
      <c r="H4983" t="s">
        <v>20107</v>
      </c>
    </row>
    <row r="4984" spans="8:8">
      <c r="H4984" t="s">
        <v>20108</v>
      </c>
    </row>
    <row r="4985" spans="8:8">
      <c r="H4985" t="s">
        <v>19713</v>
      </c>
    </row>
    <row r="4986" spans="8:8">
      <c r="H4986" t="s">
        <v>19714</v>
      </c>
    </row>
    <row r="4987" spans="8:8">
      <c r="H4987" t="s">
        <v>20109</v>
      </c>
    </row>
    <row r="4988" spans="8:8">
      <c r="H4988" t="s">
        <v>20110</v>
      </c>
    </row>
    <row r="4989" spans="8:8">
      <c r="H4989" t="s">
        <v>20092</v>
      </c>
    </row>
    <row r="4990" spans="8:8">
      <c r="H4990" t="s">
        <v>20095</v>
      </c>
    </row>
    <row r="4991" spans="8:8">
      <c r="H4991" t="s">
        <v>20096</v>
      </c>
    </row>
    <row r="4992" spans="8:8">
      <c r="H4992" t="s">
        <v>20097</v>
      </c>
    </row>
    <row r="4993" spans="6:8">
      <c r="H4993" t="s">
        <v>20098</v>
      </c>
    </row>
    <row r="4994" spans="6:8">
      <c r="F4994" t="s">
        <v>11365</v>
      </c>
      <c r="G4994" t="s">
        <v>15639</v>
      </c>
      <c r="H4994" t="s">
        <v>20091</v>
      </c>
    </row>
    <row r="4995" spans="6:8">
      <c r="H4995" t="s">
        <v>19712</v>
      </c>
    </row>
    <row r="4996" spans="6:8">
      <c r="H4996" t="s">
        <v>19706</v>
      </c>
    </row>
    <row r="4997" spans="6:8">
      <c r="H4997" t="s">
        <v>19707</v>
      </c>
    </row>
    <row r="4998" spans="6:8">
      <c r="H4998" t="s">
        <v>19708</v>
      </c>
    </row>
    <row r="4999" spans="6:8">
      <c r="H4999" t="s">
        <v>19710</v>
      </c>
    </row>
    <row r="5000" spans="6:8">
      <c r="H5000" t="s">
        <v>20092</v>
      </c>
    </row>
    <row r="5001" spans="6:8">
      <c r="H5001" t="s">
        <v>20095</v>
      </c>
    </row>
    <row r="5002" spans="6:8">
      <c r="H5002" t="s">
        <v>20096</v>
      </c>
    </row>
    <row r="5003" spans="6:8">
      <c r="H5003" t="s">
        <v>20097</v>
      </c>
    </row>
    <row r="5004" spans="6:8">
      <c r="H5004" t="s">
        <v>20098</v>
      </c>
    </row>
    <row r="5005" spans="6:8">
      <c r="H5005" t="s">
        <v>20100</v>
      </c>
    </row>
    <row r="5006" spans="6:8">
      <c r="H5006" t="s">
        <v>20101</v>
      </c>
    </row>
    <row r="5007" spans="6:8">
      <c r="H5007" t="s">
        <v>20102</v>
      </c>
    </row>
    <row r="5008" spans="6:8">
      <c r="H5008" t="s">
        <v>20104</v>
      </c>
    </row>
    <row r="5009" spans="6:8">
      <c r="F5009" t="s">
        <v>11366</v>
      </c>
      <c r="G5009" t="s">
        <v>15640</v>
      </c>
      <c r="H5009" t="s">
        <v>20091</v>
      </c>
    </row>
    <row r="5010" spans="6:8">
      <c r="H5010" t="s">
        <v>20092</v>
      </c>
    </row>
    <row r="5011" spans="6:8">
      <c r="H5011" t="s">
        <v>20095</v>
      </c>
    </row>
    <row r="5012" spans="6:8">
      <c r="H5012" t="s">
        <v>20096</v>
      </c>
    </row>
    <row r="5013" spans="6:8">
      <c r="H5013" t="s">
        <v>20097</v>
      </c>
    </row>
    <row r="5014" spans="6:8">
      <c r="F5014" t="s">
        <v>11367</v>
      </c>
      <c r="G5014" t="s">
        <v>15641</v>
      </c>
      <c r="H5014" t="s">
        <v>20091</v>
      </c>
    </row>
    <row r="5015" spans="6:8">
      <c r="H5015" t="s">
        <v>20092</v>
      </c>
    </row>
    <row r="5016" spans="6:8">
      <c r="H5016" t="s">
        <v>20095</v>
      </c>
    </row>
    <row r="5017" spans="6:8">
      <c r="H5017" t="s">
        <v>20096</v>
      </c>
    </row>
    <row r="5018" spans="6:8">
      <c r="H5018" t="s">
        <v>20097</v>
      </c>
    </row>
    <row r="5019" spans="6:8">
      <c r="H5019" t="s">
        <v>20098</v>
      </c>
    </row>
    <row r="5020" spans="6:8">
      <c r="F5020" t="s">
        <v>11368</v>
      </c>
      <c r="G5020" t="s">
        <v>15296</v>
      </c>
      <c r="H5020" t="s">
        <v>20091</v>
      </c>
    </row>
    <row r="5021" spans="6:8">
      <c r="H5021" t="s">
        <v>19712</v>
      </c>
    </row>
    <row r="5022" spans="6:8">
      <c r="H5022" t="s">
        <v>19709</v>
      </c>
    </row>
    <row r="5023" spans="6:8">
      <c r="H5023" t="s">
        <v>20107</v>
      </c>
    </row>
    <row r="5024" spans="6:8">
      <c r="H5024" t="s">
        <v>20108</v>
      </c>
    </row>
    <row r="5025" spans="6:8">
      <c r="H5025" t="s">
        <v>19713</v>
      </c>
    </row>
    <row r="5026" spans="6:8">
      <c r="H5026" t="s">
        <v>19714</v>
      </c>
    </row>
    <row r="5027" spans="6:8">
      <c r="H5027" t="s">
        <v>20109</v>
      </c>
    </row>
    <row r="5028" spans="6:8">
      <c r="H5028" t="s">
        <v>20110</v>
      </c>
    </row>
    <row r="5029" spans="6:8">
      <c r="H5029" t="s">
        <v>20111</v>
      </c>
    </row>
    <row r="5030" spans="6:8">
      <c r="H5030" t="s">
        <v>20112</v>
      </c>
    </row>
    <row r="5031" spans="6:8">
      <c r="H5031" t="s">
        <v>20113</v>
      </c>
    </row>
    <row r="5032" spans="6:8">
      <c r="H5032" t="s">
        <v>20114</v>
      </c>
    </row>
    <row r="5033" spans="6:8">
      <c r="H5033" t="s">
        <v>20115</v>
      </c>
    </row>
    <row r="5034" spans="6:8">
      <c r="H5034" t="s">
        <v>20120</v>
      </c>
    </row>
    <row r="5035" spans="6:8">
      <c r="H5035" t="s">
        <v>20095</v>
      </c>
    </row>
    <row r="5036" spans="6:8">
      <c r="H5036" t="s">
        <v>20096</v>
      </c>
    </row>
    <row r="5037" spans="6:8">
      <c r="H5037" t="s">
        <v>20097</v>
      </c>
    </row>
    <row r="5038" spans="6:8">
      <c r="H5038" t="s">
        <v>20098</v>
      </c>
    </row>
    <row r="5039" spans="6:8">
      <c r="F5039" t="s">
        <v>11369</v>
      </c>
      <c r="G5039" t="s">
        <v>15297</v>
      </c>
      <c r="H5039" t="s">
        <v>20091</v>
      </c>
    </row>
    <row r="5040" spans="6:8">
      <c r="H5040" t="s">
        <v>19712</v>
      </c>
    </row>
    <row r="5041" spans="8:8">
      <c r="H5041" t="s">
        <v>19709</v>
      </c>
    </row>
    <row r="5042" spans="8:8">
      <c r="H5042" t="s">
        <v>20107</v>
      </c>
    </row>
    <row r="5043" spans="8:8">
      <c r="H5043" t="s">
        <v>20108</v>
      </c>
    </row>
    <row r="5044" spans="8:8">
      <c r="H5044" t="s">
        <v>19713</v>
      </c>
    </row>
    <row r="5045" spans="8:8">
      <c r="H5045" t="s">
        <v>19714</v>
      </c>
    </row>
    <row r="5046" spans="8:8">
      <c r="H5046" t="s">
        <v>20109</v>
      </c>
    </row>
    <row r="5047" spans="8:8">
      <c r="H5047" t="s">
        <v>20110</v>
      </c>
    </row>
    <row r="5048" spans="8:8">
      <c r="H5048" t="s">
        <v>20111</v>
      </c>
    </row>
    <row r="5049" spans="8:8">
      <c r="H5049" t="s">
        <v>20112</v>
      </c>
    </row>
    <row r="5050" spans="8:8">
      <c r="H5050" t="s">
        <v>20113</v>
      </c>
    </row>
    <row r="5051" spans="8:8">
      <c r="H5051" t="s">
        <v>20114</v>
      </c>
    </row>
    <row r="5052" spans="8:8">
      <c r="H5052" t="s">
        <v>20115</v>
      </c>
    </row>
    <row r="5053" spans="8:8">
      <c r="H5053" t="s">
        <v>20120</v>
      </c>
    </row>
    <row r="5054" spans="8:8">
      <c r="H5054" t="s">
        <v>20095</v>
      </c>
    </row>
    <row r="5055" spans="8:8">
      <c r="H5055" t="s">
        <v>20096</v>
      </c>
    </row>
    <row r="5056" spans="8:8">
      <c r="H5056" t="s">
        <v>20097</v>
      </c>
    </row>
    <row r="5057" spans="6:8">
      <c r="H5057" t="s">
        <v>20098</v>
      </c>
    </row>
    <row r="5058" spans="6:8">
      <c r="F5058" t="s">
        <v>11370</v>
      </c>
      <c r="G5058" t="s">
        <v>15642</v>
      </c>
      <c r="H5058" t="s">
        <v>20091</v>
      </c>
    </row>
    <row r="5059" spans="6:8">
      <c r="H5059" t="s">
        <v>19712</v>
      </c>
    </row>
    <row r="5060" spans="6:8">
      <c r="H5060" t="s">
        <v>19709</v>
      </c>
    </row>
    <row r="5061" spans="6:8">
      <c r="H5061" t="s">
        <v>20092</v>
      </c>
    </row>
    <row r="5062" spans="6:8">
      <c r="H5062" t="s">
        <v>20117</v>
      </c>
    </row>
    <row r="5063" spans="6:8">
      <c r="H5063" t="s">
        <v>20095</v>
      </c>
    </row>
    <row r="5064" spans="6:8">
      <c r="H5064" t="s">
        <v>20096</v>
      </c>
    </row>
    <row r="5065" spans="6:8">
      <c r="H5065" t="s">
        <v>20097</v>
      </c>
    </row>
    <row r="5066" spans="6:8">
      <c r="H5066" t="s">
        <v>20098</v>
      </c>
    </row>
    <row r="5067" spans="6:8">
      <c r="H5067" t="s">
        <v>20099</v>
      </c>
    </row>
    <row r="5068" spans="6:8">
      <c r="H5068" t="s">
        <v>20100</v>
      </c>
    </row>
    <row r="5069" spans="6:8">
      <c r="H5069" t="s">
        <v>20101</v>
      </c>
    </row>
    <row r="5070" spans="6:8">
      <c r="H5070" t="s">
        <v>20102</v>
      </c>
    </row>
    <row r="5071" spans="6:8">
      <c r="H5071" t="s">
        <v>20104</v>
      </c>
    </row>
    <row r="5072" spans="6:8">
      <c r="H5072" t="s">
        <v>20105</v>
      </c>
    </row>
    <row r="5073" spans="6:8">
      <c r="H5073" t="s">
        <v>20123</v>
      </c>
    </row>
    <row r="5074" spans="6:8">
      <c r="H5074" t="s">
        <v>20124</v>
      </c>
    </row>
    <row r="5075" spans="6:8">
      <c r="H5075" t="s">
        <v>20192</v>
      </c>
    </row>
    <row r="5076" spans="6:8">
      <c r="H5076" t="s">
        <v>20193</v>
      </c>
    </row>
    <row r="5077" spans="6:8">
      <c r="F5077" t="s">
        <v>11371</v>
      </c>
      <c r="G5077" t="s">
        <v>15643</v>
      </c>
      <c r="H5077" t="s">
        <v>20091</v>
      </c>
    </row>
    <row r="5078" spans="6:8">
      <c r="H5078" t="s">
        <v>19709</v>
      </c>
    </row>
    <row r="5079" spans="6:8">
      <c r="H5079" t="s">
        <v>20092</v>
      </c>
    </row>
    <row r="5080" spans="6:8">
      <c r="H5080" t="s">
        <v>20117</v>
      </c>
    </row>
    <row r="5081" spans="6:8">
      <c r="H5081" t="s">
        <v>20095</v>
      </c>
    </row>
    <row r="5082" spans="6:8">
      <c r="H5082" t="s">
        <v>20096</v>
      </c>
    </row>
    <row r="5083" spans="6:8">
      <c r="H5083" t="s">
        <v>20097</v>
      </c>
    </row>
    <row r="5084" spans="6:8">
      <c r="H5084" t="s">
        <v>20098</v>
      </c>
    </row>
    <row r="5085" spans="6:8">
      <c r="H5085" t="s">
        <v>20099</v>
      </c>
    </row>
    <row r="5086" spans="6:8">
      <c r="H5086" t="s">
        <v>20100</v>
      </c>
    </row>
    <row r="5087" spans="6:8">
      <c r="H5087" t="s">
        <v>20101</v>
      </c>
    </row>
    <row r="5088" spans="6:8">
      <c r="H5088" t="s">
        <v>20102</v>
      </c>
    </row>
    <row r="5089" spans="6:8">
      <c r="H5089" t="s">
        <v>20104</v>
      </c>
    </row>
    <row r="5090" spans="6:8">
      <c r="H5090" t="s">
        <v>20105</v>
      </c>
    </row>
    <row r="5091" spans="6:8">
      <c r="H5091" t="s">
        <v>20123</v>
      </c>
    </row>
    <row r="5092" spans="6:8">
      <c r="H5092" t="s">
        <v>20124</v>
      </c>
    </row>
    <row r="5093" spans="6:8">
      <c r="H5093" t="s">
        <v>20192</v>
      </c>
    </row>
    <row r="5094" spans="6:8">
      <c r="H5094" t="s">
        <v>20193</v>
      </c>
    </row>
    <row r="5095" spans="6:8">
      <c r="F5095" t="s">
        <v>11372</v>
      </c>
      <c r="G5095" t="s">
        <v>15644</v>
      </c>
      <c r="H5095" t="s">
        <v>20091</v>
      </c>
    </row>
    <row r="5096" spans="6:8">
      <c r="H5096" t="s">
        <v>19709</v>
      </c>
    </row>
    <row r="5097" spans="6:8">
      <c r="H5097" t="s">
        <v>20092</v>
      </c>
    </row>
    <row r="5098" spans="6:8">
      <c r="H5098" t="s">
        <v>20117</v>
      </c>
    </row>
    <row r="5099" spans="6:8">
      <c r="H5099" t="s">
        <v>20095</v>
      </c>
    </row>
    <row r="5100" spans="6:8">
      <c r="H5100" t="s">
        <v>20096</v>
      </c>
    </row>
    <row r="5101" spans="6:8">
      <c r="H5101" t="s">
        <v>20097</v>
      </c>
    </row>
    <row r="5102" spans="6:8">
      <c r="H5102" t="s">
        <v>20098</v>
      </c>
    </row>
    <row r="5103" spans="6:8">
      <c r="H5103" t="s">
        <v>20099</v>
      </c>
    </row>
    <row r="5104" spans="6:8">
      <c r="H5104" t="s">
        <v>20100</v>
      </c>
    </row>
    <row r="5105" spans="6:8">
      <c r="H5105" t="s">
        <v>20101</v>
      </c>
    </row>
    <row r="5106" spans="6:8">
      <c r="H5106" t="s">
        <v>20102</v>
      </c>
    </row>
    <row r="5107" spans="6:8">
      <c r="H5107" t="s">
        <v>20104</v>
      </c>
    </row>
    <row r="5108" spans="6:8">
      <c r="H5108" t="s">
        <v>20105</v>
      </c>
    </row>
    <row r="5109" spans="6:8">
      <c r="H5109" t="s">
        <v>20123</v>
      </c>
    </row>
    <row r="5110" spans="6:8">
      <c r="H5110" t="s">
        <v>20124</v>
      </c>
    </row>
    <row r="5111" spans="6:8">
      <c r="H5111" t="s">
        <v>20192</v>
      </c>
    </row>
    <row r="5112" spans="6:8">
      <c r="H5112" t="s">
        <v>20193</v>
      </c>
    </row>
    <row r="5113" spans="6:8">
      <c r="F5113" t="s">
        <v>11373</v>
      </c>
      <c r="G5113" t="s">
        <v>15645</v>
      </c>
      <c r="H5113" t="s">
        <v>20091</v>
      </c>
    </row>
    <row r="5114" spans="6:8">
      <c r="H5114" t="s">
        <v>19709</v>
      </c>
    </row>
    <row r="5115" spans="6:8">
      <c r="H5115" t="s">
        <v>20092</v>
      </c>
    </row>
    <row r="5116" spans="6:8">
      <c r="H5116" t="s">
        <v>20117</v>
      </c>
    </row>
    <row r="5117" spans="6:8">
      <c r="H5117" t="s">
        <v>20095</v>
      </c>
    </row>
    <row r="5118" spans="6:8">
      <c r="H5118" t="s">
        <v>20096</v>
      </c>
    </row>
    <row r="5119" spans="6:8">
      <c r="H5119" t="s">
        <v>20097</v>
      </c>
    </row>
    <row r="5120" spans="6:8">
      <c r="H5120" t="s">
        <v>20098</v>
      </c>
    </row>
    <row r="5121" spans="6:8">
      <c r="H5121" t="s">
        <v>20099</v>
      </c>
    </row>
    <row r="5122" spans="6:8">
      <c r="H5122" t="s">
        <v>20100</v>
      </c>
    </row>
    <row r="5123" spans="6:8">
      <c r="H5123" t="s">
        <v>20101</v>
      </c>
    </row>
    <row r="5124" spans="6:8">
      <c r="H5124" t="s">
        <v>20102</v>
      </c>
    </row>
    <row r="5125" spans="6:8">
      <c r="H5125" t="s">
        <v>20104</v>
      </c>
    </row>
    <row r="5126" spans="6:8">
      <c r="H5126" t="s">
        <v>20105</v>
      </c>
    </row>
    <row r="5127" spans="6:8">
      <c r="H5127" t="s">
        <v>20123</v>
      </c>
    </row>
    <row r="5128" spans="6:8">
      <c r="H5128" t="s">
        <v>20124</v>
      </c>
    </row>
    <row r="5129" spans="6:8">
      <c r="H5129" t="s">
        <v>20192</v>
      </c>
    </row>
    <row r="5130" spans="6:8">
      <c r="H5130" t="s">
        <v>20193</v>
      </c>
    </row>
    <row r="5131" spans="6:8">
      <c r="F5131" t="s">
        <v>11374</v>
      </c>
      <c r="G5131" t="s">
        <v>15646</v>
      </c>
      <c r="H5131" t="s">
        <v>20091</v>
      </c>
    </row>
    <row r="5132" spans="6:8">
      <c r="H5132" t="s">
        <v>19709</v>
      </c>
    </row>
    <row r="5133" spans="6:8">
      <c r="H5133" t="s">
        <v>20092</v>
      </c>
    </row>
    <row r="5134" spans="6:8">
      <c r="H5134" t="s">
        <v>20117</v>
      </c>
    </row>
    <row r="5135" spans="6:8">
      <c r="H5135" t="s">
        <v>20095</v>
      </c>
    </row>
    <row r="5136" spans="6:8">
      <c r="H5136" t="s">
        <v>20096</v>
      </c>
    </row>
    <row r="5137" spans="6:8">
      <c r="H5137" t="s">
        <v>20097</v>
      </c>
    </row>
    <row r="5138" spans="6:8">
      <c r="H5138" t="s">
        <v>20098</v>
      </c>
    </row>
    <row r="5139" spans="6:8">
      <c r="H5139" t="s">
        <v>20099</v>
      </c>
    </row>
    <row r="5140" spans="6:8">
      <c r="H5140" t="s">
        <v>20100</v>
      </c>
    </row>
    <row r="5141" spans="6:8">
      <c r="H5141" t="s">
        <v>20101</v>
      </c>
    </row>
    <row r="5142" spans="6:8">
      <c r="H5142" t="s">
        <v>20102</v>
      </c>
    </row>
    <row r="5143" spans="6:8">
      <c r="H5143" t="s">
        <v>20104</v>
      </c>
    </row>
    <row r="5144" spans="6:8">
      <c r="H5144" t="s">
        <v>20105</v>
      </c>
    </row>
    <row r="5145" spans="6:8">
      <c r="H5145" t="s">
        <v>20123</v>
      </c>
    </row>
    <row r="5146" spans="6:8">
      <c r="H5146" t="s">
        <v>20124</v>
      </c>
    </row>
    <row r="5147" spans="6:8">
      <c r="H5147" t="s">
        <v>20192</v>
      </c>
    </row>
    <row r="5148" spans="6:8">
      <c r="H5148" t="s">
        <v>20193</v>
      </c>
    </row>
    <row r="5149" spans="6:8">
      <c r="H5149" t="s">
        <v>20194</v>
      </c>
    </row>
    <row r="5150" spans="6:8">
      <c r="F5150" t="s">
        <v>11375</v>
      </c>
      <c r="G5150" t="s">
        <v>15647</v>
      </c>
      <c r="H5150" t="s">
        <v>20091</v>
      </c>
    </row>
    <row r="5151" spans="6:8">
      <c r="H5151" t="s">
        <v>19709</v>
      </c>
    </row>
    <row r="5152" spans="6:8">
      <c r="H5152" t="s">
        <v>20092</v>
      </c>
    </row>
    <row r="5153" spans="6:8">
      <c r="H5153" t="s">
        <v>20117</v>
      </c>
    </row>
    <row r="5154" spans="6:8">
      <c r="H5154" t="s">
        <v>20095</v>
      </c>
    </row>
    <row r="5155" spans="6:8">
      <c r="H5155" t="s">
        <v>20096</v>
      </c>
    </row>
    <row r="5156" spans="6:8">
      <c r="H5156" t="s">
        <v>20097</v>
      </c>
    </row>
    <row r="5157" spans="6:8">
      <c r="H5157" t="s">
        <v>20098</v>
      </c>
    </row>
    <row r="5158" spans="6:8">
      <c r="H5158" t="s">
        <v>20099</v>
      </c>
    </row>
    <row r="5159" spans="6:8">
      <c r="H5159" t="s">
        <v>20100</v>
      </c>
    </row>
    <row r="5160" spans="6:8">
      <c r="H5160" t="s">
        <v>20101</v>
      </c>
    </row>
    <row r="5161" spans="6:8">
      <c r="H5161" t="s">
        <v>20102</v>
      </c>
    </row>
    <row r="5162" spans="6:8">
      <c r="H5162" t="s">
        <v>20104</v>
      </c>
    </row>
    <row r="5163" spans="6:8">
      <c r="H5163" t="s">
        <v>20105</v>
      </c>
    </row>
    <row r="5164" spans="6:8">
      <c r="H5164" t="s">
        <v>20123</v>
      </c>
    </row>
    <row r="5165" spans="6:8">
      <c r="H5165" t="s">
        <v>20124</v>
      </c>
    </row>
    <row r="5166" spans="6:8">
      <c r="H5166" t="s">
        <v>20192</v>
      </c>
    </row>
    <row r="5167" spans="6:8">
      <c r="H5167" t="s">
        <v>20193</v>
      </c>
    </row>
    <row r="5168" spans="6:8">
      <c r="F5168" t="s">
        <v>11376</v>
      </c>
      <c r="G5168" t="s">
        <v>15648</v>
      </c>
      <c r="H5168" t="s">
        <v>20091</v>
      </c>
    </row>
    <row r="5169" spans="8:8">
      <c r="H5169" t="s">
        <v>19712</v>
      </c>
    </row>
    <row r="5170" spans="8:8">
      <c r="H5170" t="s">
        <v>19709</v>
      </c>
    </row>
    <row r="5171" spans="8:8">
      <c r="H5171" t="s">
        <v>20092</v>
      </c>
    </row>
    <row r="5172" spans="8:8">
      <c r="H5172" t="s">
        <v>20117</v>
      </c>
    </row>
    <row r="5173" spans="8:8">
      <c r="H5173" t="s">
        <v>20095</v>
      </c>
    </row>
    <row r="5174" spans="8:8">
      <c r="H5174" t="s">
        <v>20096</v>
      </c>
    </row>
    <row r="5175" spans="8:8">
      <c r="H5175" t="s">
        <v>20097</v>
      </c>
    </row>
    <row r="5176" spans="8:8">
      <c r="H5176" t="s">
        <v>20098</v>
      </c>
    </row>
    <row r="5177" spans="8:8">
      <c r="H5177" t="s">
        <v>20099</v>
      </c>
    </row>
    <row r="5178" spans="8:8">
      <c r="H5178" t="s">
        <v>20100</v>
      </c>
    </row>
    <row r="5179" spans="8:8">
      <c r="H5179" t="s">
        <v>20101</v>
      </c>
    </row>
    <row r="5180" spans="8:8">
      <c r="H5180" t="s">
        <v>20102</v>
      </c>
    </row>
    <row r="5181" spans="8:8">
      <c r="H5181" t="s">
        <v>20104</v>
      </c>
    </row>
    <row r="5182" spans="8:8">
      <c r="H5182" t="s">
        <v>20105</v>
      </c>
    </row>
    <row r="5183" spans="8:8">
      <c r="H5183" t="s">
        <v>20123</v>
      </c>
    </row>
    <row r="5184" spans="8:8">
      <c r="H5184" t="s">
        <v>20124</v>
      </c>
    </row>
    <row r="5185" spans="6:8">
      <c r="H5185" t="s">
        <v>20192</v>
      </c>
    </row>
    <row r="5186" spans="6:8">
      <c r="H5186" t="s">
        <v>20193</v>
      </c>
    </row>
    <row r="5187" spans="6:8">
      <c r="F5187" t="s">
        <v>11377</v>
      </c>
      <c r="G5187" t="s">
        <v>15298</v>
      </c>
      <c r="H5187" t="s">
        <v>20091</v>
      </c>
    </row>
    <row r="5188" spans="6:8">
      <c r="H5188" t="s">
        <v>19712</v>
      </c>
    </row>
    <row r="5189" spans="6:8">
      <c r="H5189" t="s">
        <v>19709</v>
      </c>
    </row>
    <row r="5190" spans="6:8">
      <c r="H5190" t="s">
        <v>19706</v>
      </c>
    </row>
    <row r="5191" spans="6:8">
      <c r="H5191" t="s">
        <v>19707</v>
      </c>
    </row>
    <row r="5192" spans="6:8">
      <c r="H5192" t="s">
        <v>19711</v>
      </c>
    </row>
    <row r="5193" spans="6:8">
      <c r="H5193" t="s">
        <v>20107</v>
      </c>
    </row>
    <row r="5194" spans="6:8">
      <c r="H5194" t="s">
        <v>20108</v>
      </c>
    </row>
    <row r="5195" spans="6:8">
      <c r="H5195" t="s">
        <v>19713</v>
      </c>
    </row>
    <row r="5196" spans="6:8">
      <c r="H5196" t="s">
        <v>19714</v>
      </c>
    </row>
    <row r="5197" spans="6:8">
      <c r="H5197" t="s">
        <v>20095</v>
      </c>
    </row>
    <row r="5198" spans="6:8">
      <c r="H5198" t="s">
        <v>20096</v>
      </c>
    </row>
    <row r="5199" spans="6:8">
      <c r="H5199" t="s">
        <v>20097</v>
      </c>
    </row>
    <row r="5200" spans="6:8">
      <c r="H5200" t="s">
        <v>20098</v>
      </c>
    </row>
    <row r="5201" spans="6:8">
      <c r="F5201" t="s">
        <v>11378</v>
      </c>
      <c r="G5201" t="s">
        <v>15299</v>
      </c>
      <c r="H5201" t="s">
        <v>20091</v>
      </c>
    </row>
    <row r="5202" spans="6:8">
      <c r="H5202" t="s">
        <v>19712</v>
      </c>
    </row>
    <row r="5203" spans="6:8">
      <c r="H5203" t="s">
        <v>19709</v>
      </c>
    </row>
    <row r="5204" spans="6:8">
      <c r="H5204" t="s">
        <v>19706</v>
      </c>
    </row>
    <row r="5205" spans="6:8">
      <c r="H5205" t="s">
        <v>19707</v>
      </c>
    </row>
    <row r="5206" spans="6:8">
      <c r="H5206" t="s">
        <v>19711</v>
      </c>
    </row>
    <row r="5207" spans="6:8">
      <c r="H5207" t="s">
        <v>20107</v>
      </c>
    </row>
    <row r="5208" spans="6:8">
      <c r="H5208" t="s">
        <v>20108</v>
      </c>
    </row>
    <row r="5209" spans="6:8">
      <c r="H5209" t="s">
        <v>19713</v>
      </c>
    </row>
    <row r="5210" spans="6:8">
      <c r="H5210" t="s">
        <v>19714</v>
      </c>
    </row>
    <row r="5211" spans="6:8">
      <c r="H5211" t="s">
        <v>20095</v>
      </c>
    </row>
    <row r="5212" spans="6:8">
      <c r="H5212" t="s">
        <v>20096</v>
      </c>
    </row>
    <row r="5213" spans="6:8">
      <c r="H5213" t="s">
        <v>20097</v>
      </c>
    </row>
    <row r="5214" spans="6:8">
      <c r="H5214" t="s">
        <v>20098</v>
      </c>
    </row>
    <row r="5215" spans="6:8">
      <c r="F5215" t="s">
        <v>11379</v>
      </c>
      <c r="G5215" t="s">
        <v>15300</v>
      </c>
      <c r="H5215" t="s">
        <v>20091</v>
      </c>
    </row>
    <row r="5216" spans="6:8">
      <c r="H5216" t="s">
        <v>19712</v>
      </c>
    </row>
    <row r="5217" spans="6:8">
      <c r="H5217" t="s">
        <v>19709</v>
      </c>
    </row>
    <row r="5218" spans="6:8">
      <c r="H5218" t="s">
        <v>19706</v>
      </c>
    </row>
    <row r="5219" spans="6:8">
      <c r="H5219" t="s">
        <v>19707</v>
      </c>
    </row>
    <row r="5220" spans="6:8">
      <c r="H5220" t="s">
        <v>19711</v>
      </c>
    </row>
    <row r="5221" spans="6:8">
      <c r="H5221" t="s">
        <v>20107</v>
      </c>
    </row>
    <row r="5222" spans="6:8">
      <c r="H5222" t="s">
        <v>20108</v>
      </c>
    </row>
    <row r="5223" spans="6:8">
      <c r="H5223" t="s">
        <v>19713</v>
      </c>
    </row>
    <row r="5224" spans="6:8">
      <c r="H5224" t="s">
        <v>19714</v>
      </c>
    </row>
    <row r="5225" spans="6:8">
      <c r="H5225" t="s">
        <v>20095</v>
      </c>
    </row>
    <row r="5226" spans="6:8">
      <c r="H5226" t="s">
        <v>20096</v>
      </c>
    </row>
    <row r="5227" spans="6:8">
      <c r="H5227" t="s">
        <v>20097</v>
      </c>
    </row>
    <row r="5228" spans="6:8">
      <c r="H5228" t="s">
        <v>20098</v>
      </c>
    </row>
    <row r="5229" spans="6:8">
      <c r="F5229" t="s">
        <v>11380</v>
      </c>
      <c r="G5229" t="s">
        <v>15301</v>
      </c>
      <c r="H5229" t="s">
        <v>20091</v>
      </c>
    </row>
    <row r="5230" spans="6:8">
      <c r="H5230" t="s">
        <v>19712</v>
      </c>
    </row>
    <row r="5231" spans="6:8">
      <c r="H5231" t="s">
        <v>19709</v>
      </c>
    </row>
    <row r="5232" spans="6:8">
      <c r="H5232" t="s">
        <v>19706</v>
      </c>
    </row>
    <row r="5233" spans="6:8">
      <c r="H5233" t="s">
        <v>19707</v>
      </c>
    </row>
    <row r="5234" spans="6:8">
      <c r="H5234" t="s">
        <v>19711</v>
      </c>
    </row>
    <row r="5235" spans="6:8">
      <c r="H5235" t="s">
        <v>20107</v>
      </c>
    </row>
    <row r="5236" spans="6:8">
      <c r="H5236" t="s">
        <v>20108</v>
      </c>
    </row>
    <row r="5237" spans="6:8">
      <c r="H5237" t="s">
        <v>19713</v>
      </c>
    </row>
    <row r="5238" spans="6:8">
      <c r="H5238" t="s">
        <v>19714</v>
      </c>
    </row>
    <row r="5239" spans="6:8">
      <c r="H5239" t="s">
        <v>20095</v>
      </c>
    </row>
    <row r="5240" spans="6:8">
      <c r="H5240" t="s">
        <v>20096</v>
      </c>
    </row>
    <row r="5241" spans="6:8">
      <c r="H5241" t="s">
        <v>20097</v>
      </c>
    </row>
    <row r="5242" spans="6:8">
      <c r="H5242" t="s">
        <v>20098</v>
      </c>
    </row>
    <row r="5243" spans="6:8">
      <c r="H5243" t="s">
        <v>20099</v>
      </c>
    </row>
    <row r="5244" spans="6:8">
      <c r="F5244" t="s">
        <v>11381</v>
      </c>
      <c r="G5244" t="s">
        <v>15302</v>
      </c>
      <c r="H5244" t="s">
        <v>20091</v>
      </c>
    </row>
    <row r="5245" spans="6:8">
      <c r="H5245" t="s">
        <v>19712</v>
      </c>
    </row>
    <row r="5246" spans="6:8">
      <c r="H5246" t="s">
        <v>19709</v>
      </c>
    </row>
    <row r="5247" spans="6:8">
      <c r="H5247" t="s">
        <v>19706</v>
      </c>
    </row>
    <row r="5248" spans="6:8">
      <c r="H5248" t="s">
        <v>19707</v>
      </c>
    </row>
    <row r="5249" spans="6:8">
      <c r="H5249" t="s">
        <v>19711</v>
      </c>
    </row>
    <row r="5250" spans="6:8">
      <c r="H5250" t="s">
        <v>20107</v>
      </c>
    </row>
    <row r="5251" spans="6:8">
      <c r="H5251" t="s">
        <v>20108</v>
      </c>
    </row>
    <row r="5252" spans="6:8">
      <c r="H5252" t="s">
        <v>19713</v>
      </c>
    </row>
    <row r="5253" spans="6:8">
      <c r="H5253" t="s">
        <v>19714</v>
      </c>
    </row>
    <row r="5254" spans="6:8">
      <c r="H5254" t="s">
        <v>20095</v>
      </c>
    </row>
    <row r="5255" spans="6:8">
      <c r="H5255" t="s">
        <v>20096</v>
      </c>
    </row>
    <row r="5256" spans="6:8">
      <c r="H5256" t="s">
        <v>20097</v>
      </c>
    </row>
    <row r="5257" spans="6:8">
      <c r="H5257" t="s">
        <v>20098</v>
      </c>
    </row>
    <row r="5258" spans="6:8">
      <c r="H5258" t="s">
        <v>20099</v>
      </c>
    </row>
    <row r="5259" spans="6:8">
      <c r="F5259" t="s">
        <v>11382</v>
      </c>
      <c r="G5259" t="s">
        <v>15303</v>
      </c>
      <c r="H5259" t="s">
        <v>20091</v>
      </c>
    </row>
    <row r="5260" spans="6:8">
      <c r="H5260" t="s">
        <v>19712</v>
      </c>
    </row>
    <row r="5261" spans="6:8">
      <c r="H5261" t="s">
        <v>19709</v>
      </c>
    </row>
    <row r="5262" spans="6:8">
      <c r="H5262" t="s">
        <v>19706</v>
      </c>
    </row>
    <row r="5263" spans="6:8">
      <c r="H5263" t="s">
        <v>19707</v>
      </c>
    </row>
    <row r="5264" spans="6:8">
      <c r="H5264" t="s">
        <v>19711</v>
      </c>
    </row>
    <row r="5265" spans="6:8">
      <c r="H5265" t="s">
        <v>20107</v>
      </c>
    </row>
    <row r="5266" spans="6:8">
      <c r="H5266" t="s">
        <v>20108</v>
      </c>
    </row>
    <row r="5267" spans="6:8">
      <c r="H5267" t="s">
        <v>19713</v>
      </c>
    </row>
    <row r="5268" spans="6:8">
      <c r="H5268" t="s">
        <v>19714</v>
      </c>
    </row>
    <row r="5269" spans="6:8">
      <c r="H5269" t="s">
        <v>20095</v>
      </c>
    </row>
    <row r="5270" spans="6:8">
      <c r="H5270" t="s">
        <v>20096</v>
      </c>
    </row>
    <row r="5271" spans="6:8">
      <c r="H5271" t="s">
        <v>20097</v>
      </c>
    </row>
    <row r="5272" spans="6:8">
      <c r="H5272" t="s">
        <v>20098</v>
      </c>
    </row>
    <row r="5273" spans="6:8">
      <c r="F5273" t="s">
        <v>11383</v>
      </c>
      <c r="G5273" t="s">
        <v>15304</v>
      </c>
      <c r="H5273" t="s">
        <v>20091</v>
      </c>
    </row>
    <row r="5274" spans="6:8">
      <c r="H5274" t="s">
        <v>19712</v>
      </c>
    </row>
    <row r="5275" spans="6:8">
      <c r="H5275" t="s">
        <v>19709</v>
      </c>
    </row>
    <row r="5276" spans="6:8">
      <c r="H5276" t="s">
        <v>19706</v>
      </c>
    </row>
    <row r="5277" spans="6:8">
      <c r="H5277" t="s">
        <v>19707</v>
      </c>
    </row>
    <row r="5278" spans="6:8">
      <c r="H5278" t="s">
        <v>19711</v>
      </c>
    </row>
    <row r="5279" spans="6:8">
      <c r="H5279" t="s">
        <v>20107</v>
      </c>
    </row>
    <row r="5280" spans="6:8">
      <c r="H5280" t="s">
        <v>20108</v>
      </c>
    </row>
    <row r="5281" spans="6:8">
      <c r="H5281" t="s">
        <v>19713</v>
      </c>
    </row>
    <row r="5282" spans="6:8">
      <c r="H5282" t="s">
        <v>19714</v>
      </c>
    </row>
    <row r="5283" spans="6:8">
      <c r="H5283" t="s">
        <v>20095</v>
      </c>
    </row>
    <row r="5284" spans="6:8">
      <c r="H5284" t="s">
        <v>20096</v>
      </c>
    </row>
    <row r="5285" spans="6:8">
      <c r="H5285" t="s">
        <v>20097</v>
      </c>
    </row>
    <row r="5286" spans="6:8">
      <c r="H5286" t="s">
        <v>20098</v>
      </c>
    </row>
    <row r="5287" spans="6:8">
      <c r="F5287" t="s">
        <v>11384</v>
      </c>
      <c r="G5287" t="s">
        <v>15305</v>
      </c>
      <c r="H5287" t="s">
        <v>20091</v>
      </c>
    </row>
    <row r="5288" spans="6:8">
      <c r="H5288" t="s">
        <v>19712</v>
      </c>
    </row>
    <row r="5289" spans="6:8">
      <c r="H5289" t="s">
        <v>19709</v>
      </c>
    </row>
    <row r="5290" spans="6:8">
      <c r="H5290" t="s">
        <v>19706</v>
      </c>
    </row>
    <row r="5291" spans="6:8">
      <c r="H5291" t="s">
        <v>19707</v>
      </c>
    </row>
    <row r="5292" spans="6:8">
      <c r="H5292" t="s">
        <v>19711</v>
      </c>
    </row>
    <row r="5293" spans="6:8">
      <c r="H5293" t="s">
        <v>20107</v>
      </c>
    </row>
    <row r="5294" spans="6:8">
      <c r="H5294" t="s">
        <v>20108</v>
      </c>
    </row>
    <row r="5295" spans="6:8">
      <c r="H5295" t="s">
        <v>19713</v>
      </c>
    </row>
    <row r="5296" spans="6:8">
      <c r="H5296" t="s">
        <v>19714</v>
      </c>
    </row>
    <row r="5297" spans="6:8">
      <c r="H5297" t="s">
        <v>20095</v>
      </c>
    </row>
    <row r="5298" spans="6:8">
      <c r="H5298" t="s">
        <v>20096</v>
      </c>
    </row>
    <row r="5299" spans="6:8">
      <c r="H5299" t="s">
        <v>20097</v>
      </c>
    </row>
    <row r="5300" spans="6:8">
      <c r="H5300" t="s">
        <v>20098</v>
      </c>
    </row>
    <row r="5301" spans="6:8">
      <c r="F5301" t="s">
        <v>11385</v>
      </c>
      <c r="G5301" t="s">
        <v>15306</v>
      </c>
      <c r="H5301" t="s">
        <v>20091</v>
      </c>
    </row>
    <row r="5302" spans="6:8">
      <c r="H5302" t="s">
        <v>19712</v>
      </c>
    </row>
    <row r="5303" spans="6:8">
      <c r="H5303" t="s">
        <v>19709</v>
      </c>
    </row>
    <row r="5304" spans="6:8">
      <c r="H5304" t="s">
        <v>19706</v>
      </c>
    </row>
    <row r="5305" spans="6:8">
      <c r="H5305" t="s">
        <v>19707</v>
      </c>
    </row>
    <row r="5306" spans="6:8">
      <c r="H5306" t="s">
        <v>19711</v>
      </c>
    </row>
    <row r="5307" spans="6:8">
      <c r="H5307" t="s">
        <v>20107</v>
      </c>
    </row>
    <row r="5308" spans="6:8">
      <c r="H5308" t="s">
        <v>20108</v>
      </c>
    </row>
    <row r="5309" spans="6:8">
      <c r="H5309" t="s">
        <v>19713</v>
      </c>
    </row>
    <row r="5310" spans="6:8">
      <c r="H5310" t="s">
        <v>19714</v>
      </c>
    </row>
    <row r="5311" spans="6:8">
      <c r="H5311" t="s">
        <v>20095</v>
      </c>
    </row>
    <row r="5312" spans="6:8">
      <c r="H5312" t="s">
        <v>20096</v>
      </c>
    </row>
    <row r="5313" spans="6:8">
      <c r="H5313" t="s">
        <v>20097</v>
      </c>
    </row>
    <row r="5314" spans="6:8">
      <c r="H5314" t="s">
        <v>20098</v>
      </c>
    </row>
    <row r="5315" spans="6:8">
      <c r="H5315" t="s">
        <v>20099</v>
      </c>
    </row>
    <row r="5316" spans="6:8">
      <c r="F5316" t="s">
        <v>11386</v>
      </c>
      <c r="G5316" t="s">
        <v>15307</v>
      </c>
      <c r="H5316" t="s">
        <v>20091</v>
      </c>
    </row>
    <row r="5317" spans="6:8">
      <c r="H5317" t="s">
        <v>19712</v>
      </c>
    </row>
    <row r="5318" spans="6:8">
      <c r="H5318" t="s">
        <v>19709</v>
      </c>
    </row>
    <row r="5319" spans="6:8">
      <c r="H5319" t="s">
        <v>19706</v>
      </c>
    </row>
    <row r="5320" spans="6:8">
      <c r="H5320" t="s">
        <v>19707</v>
      </c>
    </row>
    <row r="5321" spans="6:8">
      <c r="H5321" t="s">
        <v>19711</v>
      </c>
    </row>
    <row r="5322" spans="6:8">
      <c r="H5322" t="s">
        <v>20107</v>
      </c>
    </row>
    <row r="5323" spans="6:8">
      <c r="H5323" t="s">
        <v>20108</v>
      </c>
    </row>
    <row r="5324" spans="6:8">
      <c r="H5324" t="s">
        <v>19713</v>
      </c>
    </row>
    <row r="5325" spans="6:8">
      <c r="H5325" t="s">
        <v>19714</v>
      </c>
    </row>
    <row r="5326" spans="6:8">
      <c r="H5326" t="s">
        <v>20095</v>
      </c>
    </row>
    <row r="5327" spans="6:8">
      <c r="H5327" t="s">
        <v>20096</v>
      </c>
    </row>
    <row r="5328" spans="6:8">
      <c r="H5328" t="s">
        <v>20097</v>
      </c>
    </row>
    <row r="5329" spans="6:8">
      <c r="H5329" t="s">
        <v>20098</v>
      </c>
    </row>
    <row r="5330" spans="6:8">
      <c r="H5330" t="s">
        <v>20099</v>
      </c>
    </row>
    <row r="5331" spans="6:8">
      <c r="F5331" t="s">
        <v>11387</v>
      </c>
      <c r="G5331" t="s">
        <v>15308</v>
      </c>
      <c r="H5331" t="s">
        <v>20091</v>
      </c>
    </row>
    <row r="5332" spans="6:8">
      <c r="H5332" t="s">
        <v>19712</v>
      </c>
    </row>
    <row r="5333" spans="6:8">
      <c r="H5333" t="s">
        <v>20107</v>
      </c>
    </row>
    <row r="5334" spans="6:8">
      <c r="H5334" t="s">
        <v>20108</v>
      </c>
    </row>
    <row r="5335" spans="6:8">
      <c r="H5335" t="s">
        <v>19713</v>
      </c>
    </row>
    <row r="5336" spans="6:8">
      <c r="H5336" t="s">
        <v>20095</v>
      </c>
    </row>
    <row r="5337" spans="6:8">
      <c r="H5337" t="s">
        <v>20096</v>
      </c>
    </row>
    <row r="5338" spans="6:8">
      <c r="H5338" t="s">
        <v>20097</v>
      </c>
    </row>
    <row r="5339" spans="6:8">
      <c r="H5339" t="s">
        <v>20098</v>
      </c>
    </row>
    <row r="5340" spans="6:8">
      <c r="H5340" t="s">
        <v>20099</v>
      </c>
    </row>
    <row r="5341" spans="6:8">
      <c r="H5341" t="s">
        <v>20100</v>
      </c>
    </row>
    <row r="5342" spans="6:8">
      <c r="H5342" t="s">
        <v>20101</v>
      </c>
    </row>
    <row r="5343" spans="6:8">
      <c r="H5343" t="s">
        <v>20104</v>
      </c>
    </row>
    <row r="5344" spans="6:8">
      <c r="H5344" t="s">
        <v>20105</v>
      </c>
    </row>
    <row r="5345" spans="6:8">
      <c r="H5345" t="s">
        <v>20123</v>
      </c>
    </row>
    <row r="5346" spans="6:8">
      <c r="H5346" t="s">
        <v>20124</v>
      </c>
    </row>
    <row r="5347" spans="6:8">
      <c r="F5347" t="s">
        <v>11388</v>
      </c>
      <c r="G5347" t="s">
        <v>15309</v>
      </c>
      <c r="H5347" t="s">
        <v>20091</v>
      </c>
    </row>
    <row r="5348" spans="6:8">
      <c r="H5348" t="s">
        <v>19712</v>
      </c>
    </row>
    <row r="5349" spans="6:8">
      <c r="H5349" t="s">
        <v>19709</v>
      </c>
    </row>
    <row r="5350" spans="6:8">
      <c r="H5350" t="s">
        <v>19706</v>
      </c>
    </row>
    <row r="5351" spans="6:8">
      <c r="H5351" t="s">
        <v>19711</v>
      </c>
    </row>
    <row r="5352" spans="6:8">
      <c r="H5352" t="s">
        <v>20117</v>
      </c>
    </row>
    <row r="5353" spans="6:8">
      <c r="H5353" t="s">
        <v>20095</v>
      </c>
    </row>
    <row r="5354" spans="6:8">
      <c r="H5354" t="s">
        <v>20096</v>
      </c>
    </row>
    <row r="5355" spans="6:8">
      <c r="H5355" t="s">
        <v>20099</v>
      </c>
    </row>
    <row r="5356" spans="6:8">
      <c r="H5356" t="s">
        <v>20101</v>
      </c>
    </row>
    <row r="5357" spans="6:8">
      <c r="H5357" t="s">
        <v>20102</v>
      </c>
    </row>
    <row r="5358" spans="6:8">
      <c r="H5358" t="s">
        <v>20104</v>
      </c>
    </row>
    <row r="5359" spans="6:8">
      <c r="H5359" t="s">
        <v>20105</v>
      </c>
    </row>
    <row r="5360" spans="6:8">
      <c r="H5360" t="s">
        <v>20123</v>
      </c>
    </row>
    <row r="5361" spans="6:8">
      <c r="H5361" t="s">
        <v>20124</v>
      </c>
    </row>
    <row r="5362" spans="6:8">
      <c r="H5362" t="s">
        <v>20192</v>
      </c>
    </row>
    <row r="5363" spans="6:8">
      <c r="H5363" t="s">
        <v>20193</v>
      </c>
    </row>
    <row r="5364" spans="6:8">
      <c r="H5364" t="s">
        <v>20194</v>
      </c>
    </row>
    <row r="5365" spans="6:8">
      <c r="H5365" t="s">
        <v>19177</v>
      </c>
    </row>
    <row r="5366" spans="6:8">
      <c r="H5366" t="s">
        <v>20196</v>
      </c>
    </row>
    <row r="5367" spans="6:8">
      <c r="H5367" t="s">
        <v>20197</v>
      </c>
    </row>
    <row r="5368" spans="6:8">
      <c r="H5368" t="s">
        <v>20198</v>
      </c>
    </row>
    <row r="5369" spans="6:8">
      <c r="F5369" t="s">
        <v>11389</v>
      </c>
      <c r="G5369" t="s">
        <v>15649</v>
      </c>
      <c r="H5369" t="s">
        <v>20091</v>
      </c>
    </row>
    <row r="5370" spans="6:8">
      <c r="H5370" t="s">
        <v>19712</v>
      </c>
    </row>
    <row r="5371" spans="6:8">
      <c r="H5371" t="s">
        <v>19706</v>
      </c>
    </row>
    <row r="5372" spans="6:8">
      <c r="H5372" t="s">
        <v>20117</v>
      </c>
    </row>
    <row r="5373" spans="6:8">
      <c r="H5373" t="s">
        <v>20095</v>
      </c>
    </row>
    <row r="5374" spans="6:8">
      <c r="H5374" t="s">
        <v>20096</v>
      </c>
    </row>
    <row r="5375" spans="6:8">
      <c r="H5375" t="s">
        <v>20099</v>
      </c>
    </row>
    <row r="5376" spans="6:8">
      <c r="H5376" t="s">
        <v>20100</v>
      </c>
    </row>
    <row r="5377" spans="6:8">
      <c r="H5377" t="s">
        <v>20101</v>
      </c>
    </row>
    <row r="5378" spans="6:8">
      <c r="H5378" t="s">
        <v>20102</v>
      </c>
    </row>
    <row r="5379" spans="6:8">
      <c r="H5379" t="s">
        <v>20104</v>
      </c>
    </row>
    <row r="5380" spans="6:8">
      <c r="H5380" t="s">
        <v>20105</v>
      </c>
    </row>
    <row r="5381" spans="6:8">
      <c r="H5381" t="s">
        <v>20123</v>
      </c>
    </row>
    <row r="5382" spans="6:8">
      <c r="H5382" t="s">
        <v>20124</v>
      </c>
    </row>
    <row r="5383" spans="6:8">
      <c r="H5383" t="s">
        <v>20192</v>
      </c>
    </row>
    <row r="5384" spans="6:8">
      <c r="H5384" t="s">
        <v>20193</v>
      </c>
    </row>
    <row r="5385" spans="6:8">
      <c r="H5385" t="s">
        <v>20194</v>
      </c>
    </row>
    <row r="5386" spans="6:8">
      <c r="H5386" t="s">
        <v>19177</v>
      </c>
    </row>
    <row r="5387" spans="6:8">
      <c r="H5387" t="s">
        <v>20196</v>
      </c>
    </row>
    <row r="5388" spans="6:8">
      <c r="H5388" t="s">
        <v>20197</v>
      </c>
    </row>
    <row r="5389" spans="6:8">
      <c r="H5389" t="s">
        <v>20198</v>
      </c>
    </row>
    <row r="5390" spans="6:8">
      <c r="F5390" t="s">
        <v>11390</v>
      </c>
      <c r="G5390" t="s">
        <v>15650</v>
      </c>
      <c r="H5390" t="s">
        <v>20091</v>
      </c>
    </row>
    <row r="5391" spans="6:8">
      <c r="H5391" t="s">
        <v>19712</v>
      </c>
    </row>
    <row r="5392" spans="6:8">
      <c r="H5392" t="s">
        <v>19706</v>
      </c>
    </row>
    <row r="5393" spans="8:8">
      <c r="H5393" t="s">
        <v>20117</v>
      </c>
    </row>
    <row r="5394" spans="8:8">
      <c r="H5394" t="s">
        <v>20095</v>
      </c>
    </row>
    <row r="5395" spans="8:8">
      <c r="H5395" t="s">
        <v>20096</v>
      </c>
    </row>
    <row r="5396" spans="8:8">
      <c r="H5396" t="s">
        <v>20099</v>
      </c>
    </row>
    <row r="5397" spans="8:8">
      <c r="H5397" t="s">
        <v>20100</v>
      </c>
    </row>
    <row r="5398" spans="8:8">
      <c r="H5398" t="s">
        <v>20101</v>
      </c>
    </row>
    <row r="5399" spans="8:8">
      <c r="H5399" t="s">
        <v>20102</v>
      </c>
    </row>
    <row r="5400" spans="8:8">
      <c r="H5400" t="s">
        <v>20104</v>
      </c>
    </row>
    <row r="5401" spans="8:8">
      <c r="H5401" t="s">
        <v>20105</v>
      </c>
    </row>
    <row r="5402" spans="8:8">
      <c r="H5402" t="s">
        <v>20123</v>
      </c>
    </row>
    <row r="5403" spans="8:8">
      <c r="H5403" t="s">
        <v>20124</v>
      </c>
    </row>
    <row r="5404" spans="8:8">
      <c r="H5404" t="s">
        <v>20192</v>
      </c>
    </row>
    <row r="5405" spans="8:8">
      <c r="H5405" t="s">
        <v>20193</v>
      </c>
    </row>
    <row r="5406" spans="8:8">
      <c r="H5406" t="s">
        <v>20194</v>
      </c>
    </row>
    <row r="5407" spans="8:8">
      <c r="H5407" t="s">
        <v>19177</v>
      </c>
    </row>
    <row r="5408" spans="8:8">
      <c r="H5408" t="s">
        <v>20196</v>
      </c>
    </row>
    <row r="5409" spans="6:8">
      <c r="H5409" t="s">
        <v>20197</v>
      </c>
    </row>
    <row r="5410" spans="6:8">
      <c r="H5410" t="s">
        <v>20198</v>
      </c>
    </row>
    <row r="5411" spans="6:8">
      <c r="F5411" t="s">
        <v>11391</v>
      </c>
      <c r="G5411" t="s">
        <v>15651</v>
      </c>
      <c r="H5411" t="s">
        <v>20091</v>
      </c>
    </row>
    <row r="5412" spans="6:8">
      <c r="H5412" t="s">
        <v>19712</v>
      </c>
    </row>
    <row r="5413" spans="6:8">
      <c r="H5413" t="s">
        <v>19706</v>
      </c>
    </row>
    <row r="5414" spans="6:8">
      <c r="H5414" t="s">
        <v>20117</v>
      </c>
    </row>
    <row r="5415" spans="6:8">
      <c r="H5415" t="s">
        <v>20095</v>
      </c>
    </row>
    <row r="5416" spans="6:8">
      <c r="H5416" t="s">
        <v>20096</v>
      </c>
    </row>
    <row r="5417" spans="6:8">
      <c r="H5417" t="s">
        <v>20099</v>
      </c>
    </row>
    <row r="5418" spans="6:8">
      <c r="H5418" t="s">
        <v>20100</v>
      </c>
    </row>
    <row r="5419" spans="6:8">
      <c r="H5419" t="s">
        <v>20101</v>
      </c>
    </row>
    <row r="5420" spans="6:8">
      <c r="H5420" t="s">
        <v>20102</v>
      </c>
    </row>
    <row r="5421" spans="6:8">
      <c r="H5421" t="s">
        <v>20104</v>
      </c>
    </row>
    <row r="5422" spans="6:8">
      <c r="H5422" t="s">
        <v>20105</v>
      </c>
    </row>
    <row r="5423" spans="6:8">
      <c r="H5423" t="s">
        <v>20123</v>
      </c>
    </row>
    <row r="5424" spans="6:8">
      <c r="H5424" t="s">
        <v>20124</v>
      </c>
    </row>
    <row r="5425" spans="6:8">
      <c r="H5425" t="s">
        <v>20192</v>
      </c>
    </row>
    <row r="5426" spans="6:8">
      <c r="H5426" t="s">
        <v>20193</v>
      </c>
    </row>
    <row r="5427" spans="6:8">
      <c r="H5427" t="s">
        <v>20194</v>
      </c>
    </row>
    <row r="5428" spans="6:8">
      <c r="H5428" t="s">
        <v>19177</v>
      </c>
    </row>
    <row r="5429" spans="6:8">
      <c r="H5429" t="s">
        <v>20196</v>
      </c>
    </row>
    <row r="5430" spans="6:8">
      <c r="H5430" t="s">
        <v>20197</v>
      </c>
    </row>
    <row r="5431" spans="6:8">
      <c r="H5431" t="s">
        <v>20198</v>
      </c>
    </row>
    <row r="5432" spans="6:8">
      <c r="F5432" t="s">
        <v>11392</v>
      </c>
      <c r="G5432" t="s">
        <v>15652</v>
      </c>
      <c r="H5432" t="s">
        <v>20091</v>
      </c>
    </row>
    <row r="5433" spans="6:8">
      <c r="H5433" t="s">
        <v>19712</v>
      </c>
    </row>
    <row r="5434" spans="6:8">
      <c r="H5434" t="s">
        <v>19706</v>
      </c>
    </row>
    <row r="5435" spans="6:8">
      <c r="H5435" t="s">
        <v>20117</v>
      </c>
    </row>
    <row r="5436" spans="6:8">
      <c r="H5436" t="s">
        <v>20095</v>
      </c>
    </row>
    <row r="5437" spans="6:8">
      <c r="H5437" t="s">
        <v>20096</v>
      </c>
    </row>
    <row r="5438" spans="6:8">
      <c r="H5438" t="s">
        <v>20099</v>
      </c>
    </row>
    <row r="5439" spans="6:8">
      <c r="H5439" t="s">
        <v>20101</v>
      </c>
    </row>
    <row r="5440" spans="6:8">
      <c r="H5440" t="s">
        <v>20102</v>
      </c>
    </row>
    <row r="5441" spans="6:8">
      <c r="H5441" t="s">
        <v>20104</v>
      </c>
    </row>
    <row r="5442" spans="6:8">
      <c r="H5442" t="s">
        <v>20105</v>
      </c>
    </row>
    <row r="5443" spans="6:8">
      <c r="H5443" t="s">
        <v>20123</v>
      </c>
    </row>
    <row r="5444" spans="6:8">
      <c r="H5444" t="s">
        <v>20124</v>
      </c>
    </row>
    <row r="5445" spans="6:8">
      <c r="H5445" t="s">
        <v>20192</v>
      </c>
    </row>
    <row r="5446" spans="6:8">
      <c r="H5446" t="s">
        <v>20193</v>
      </c>
    </row>
    <row r="5447" spans="6:8">
      <c r="H5447" t="s">
        <v>20194</v>
      </c>
    </row>
    <row r="5448" spans="6:8">
      <c r="H5448" t="s">
        <v>19177</v>
      </c>
    </row>
    <row r="5449" spans="6:8">
      <c r="H5449" t="s">
        <v>20196</v>
      </c>
    </row>
    <row r="5450" spans="6:8">
      <c r="H5450" t="s">
        <v>20197</v>
      </c>
    </row>
    <row r="5451" spans="6:8">
      <c r="H5451" t="s">
        <v>20100</v>
      </c>
    </row>
    <row r="5452" spans="6:8">
      <c r="H5452" t="s">
        <v>20198</v>
      </c>
    </row>
    <row r="5453" spans="6:8">
      <c r="F5453" t="s">
        <v>11393</v>
      </c>
      <c r="G5453" t="s">
        <v>15653</v>
      </c>
      <c r="H5453" t="s">
        <v>20091</v>
      </c>
    </row>
    <row r="5454" spans="6:8">
      <c r="H5454" t="s">
        <v>19712</v>
      </c>
    </row>
    <row r="5455" spans="6:8">
      <c r="H5455" t="s">
        <v>19706</v>
      </c>
    </row>
    <row r="5456" spans="6:8">
      <c r="H5456" t="s">
        <v>20117</v>
      </c>
    </row>
    <row r="5457" spans="8:8">
      <c r="H5457" t="s">
        <v>20095</v>
      </c>
    </row>
    <row r="5458" spans="8:8">
      <c r="H5458" t="s">
        <v>20096</v>
      </c>
    </row>
    <row r="5459" spans="8:8">
      <c r="H5459" t="s">
        <v>20099</v>
      </c>
    </row>
    <row r="5460" spans="8:8">
      <c r="H5460" t="s">
        <v>20100</v>
      </c>
    </row>
    <row r="5461" spans="8:8">
      <c r="H5461" t="s">
        <v>20101</v>
      </c>
    </row>
    <row r="5462" spans="8:8">
      <c r="H5462" t="s">
        <v>20102</v>
      </c>
    </row>
    <row r="5463" spans="8:8">
      <c r="H5463" t="s">
        <v>20104</v>
      </c>
    </row>
    <row r="5464" spans="8:8">
      <c r="H5464" t="s">
        <v>20105</v>
      </c>
    </row>
    <row r="5465" spans="8:8">
      <c r="H5465" t="s">
        <v>20123</v>
      </c>
    </row>
    <row r="5466" spans="8:8">
      <c r="H5466" t="s">
        <v>20124</v>
      </c>
    </row>
    <row r="5467" spans="8:8">
      <c r="H5467" t="s">
        <v>20192</v>
      </c>
    </row>
    <row r="5468" spans="8:8">
      <c r="H5468" t="s">
        <v>20193</v>
      </c>
    </row>
    <row r="5469" spans="8:8">
      <c r="H5469" t="s">
        <v>20194</v>
      </c>
    </row>
    <row r="5470" spans="8:8">
      <c r="H5470" t="s">
        <v>19177</v>
      </c>
    </row>
    <row r="5471" spans="8:8">
      <c r="H5471" t="s">
        <v>20196</v>
      </c>
    </row>
    <row r="5472" spans="8:8">
      <c r="H5472" t="s">
        <v>20197</v>
      </c>
    </row>
    <row r="5473" spans="6:8">
      <c r="H5473" t="s">
        <v>20198</v>
      </c>
    </row>
    <row r="5474" spans="6:8">
      <c r="F5474" t="s">
        <v>11394</v>
      </c>
      <c r="G5474" t="s">
        <v>15654</v>
      </c>
      <c r="H5474" t="s">
        <v>20091</v>
      </c>
    </row>
    <row r="5475" spans="6:8">
      <c r="H5475" t="s">
        <v>19712</v>
      </c>
    </row>
    <row r="5476" spans="6:8">
      <c r="H5476" t="s">
        <v>19709</v>
      </c>
    </row>
    <row r="5477" spans="6:8">
      <c r="H5477" t="s">
        <v>19706</v>
      </c>
    </row>
    <row r="5478" spans="6:8">
      <c r="H5478" t="s">
        <v>20117</v>
      </c>
    </row>
    <row r="5479" spans="6:8">
      <c r="H5479" t="s">
        <v>20095</v>
      </c>
    </row>
    <row r="5480" spans="6:8">
      <c r="H5480" t="s">
        <v>20096</v>
      </c>
    </row>
    <row r="5481" spans="6:8">
      <c r="H5481" t="s">
        <v>20099</v>
      </c>
    </row>
    <row r="5482" spans="6:8">
      <c r="H5482" t="s">
        <v>20101</v>
      </c>
    </row>
    <row r="5483" spans="6:8">
      <c r="H5483" t="s">
        <v>20102</v>
      </c>
    </row>
    <row r="5484" spans="6:8">
      <c r="H5484" t="s">
        <v>20104</v>
      </c>
    </row>
    <row r="5485" spans="6:8">
      <c r="H5485" t="s">
        <v>20105</v>
      </c>
    </row>
    <row r="5486" spans="6:8">
      <c r="H5486" t="s">
        <v>20123</v>
      </c>
    </row>
    <row r="5487" spans="6:8">
      <c r="H5487" t="s">
        <v>20124</v>
      </c>
    </row>
    <row r="5488" spans="6:8">
      <c r="H5488" t="s">
        <v>20192</v>
      </c>
    </row>
    <row r="5489" spans="6:8">
      <c r="H5489" t="s">
        <v>20193</v>
      </c>
    </row>
    <row r="5490" spans="6:8">
      <c r="H5490" t="s">
        <v>20194</v>
      </c>
    </row>
    <row r="5491" spans="6:8">
      <c r="H5491" t="s">
        <v>19177</v>
      </c>
    </row>
    <row r="5492" spans="6:8">
      <c r="H5492" t="s">
        <v>20196</v>
      </c>
    </row>
    <row r="5493" spans="6:8">
      <c r="H5493" t="s">
        <v>20197</v>
      </c>
    </row>
    <row r="5494" spans="6:8">
      <c r="H5494" t="s">
        <v>20100</v>
      </c>
    </row>
    <row r="5495" spans="6:8">
      <c r="H5495" t="s">
        <v>20198</v>
      </c>
    </row>
    <row r="5496" spans="6:8">
      <c r="F5496" t="s">
        <v>11395</v>
      </c>
      <c r="G5496" t="s">
        <v>15310</v>
      </c>
      <c r="H5496" t="s">
        <v>20091</v>
      </c>
    </row>
    <row r="5497" spans="6:8">
      <c r="H5497" t="s">
        <v>19712</v>
      </c>
    </row>
    <row r="5498" spans="6:8">
      <c r="H5498" t="s">
        <v>19709</v>
      </c>
    </row>
    <row r="5499" spans="6:8">
      <c r="H5499" t="s">
        <v>19706</v>
      </c>
    </row>
    <row r="5500" spans="6:8">
      <c r="H5500" t="s">
        <v>20107</v>
      </c>
    </row>
    <row r="5501" spans="6:8">
      <c r="H5501" t="s">
        <v>20108</v>
      </c>
    </row>
    <row r="5502" spans="6:8">
      <c r="H5502" t="s">
        <v>19713</v>
      </c>
    </row>
    <row r="5503" spans="6:8">
      <c r="H5503" t="s">
        <v>19714</v>
      </c>
    </row>
    <row r="5504" spans="6:8">
      <c r="H5504" t="s">
        <v>20109</v>
      </c>
    </row>
    <row r="5505" spans="6:8">
      <c r="H5505" t="s">
        <v>20110</v>
      </c>
    </row>
    <row r="5506" spans="6:8">
      <c r="H5506" t="s">
        <v>20111</v>
      </c>
    </row>
    <row r="5507" spans="6:8">
      <c r="H5507" t="s">
        <v>20112</v>
      </c>
    </row>
    <row r="5508" spans="6:8">
      <c r="H5508" t="s">
        <v>20113</v>
      </c>
    </row>
    <row r="5509" spans="6:8">
      <c r="H5509" t="s">
        <v>20114</v>
      </c>
    </row>
    <row r="5510" spans="6:8">
      <c r="H5510" t="s">
        <v>20095</v>
      </c>
    </row>
    <row r="5511" spans="6:8">
      <c r="H5511" t="s">
        <v>20096</v>
      </c>
    </row>
    <row r="5512" spans="6:8">
      <c r="H5512" t="s">
        <v>20097</v>
      </c>
    </row>
    <row r="5513" spans="6:8">
      <c r="H5513" t="s">
        <v>20098</v>
      </c>
    </row>
    <row r="5514" spans="6:8">
      <c r="F5514" t="s">
        <v>11396</v>
      </c>
      <c r="G5514" t="s">
        <v>15311</v>
      </c>
      <c r="H5514" t="s">
        <v>20091</v>
      </c>
    </row>
    <row r="5515" spans="6:8">
      <c r="H5515" t="s">
        <v>19712</v>
      </c>
    </row>
    <row r="5516" spans="6:8">
      <c r="H5516" t="s">
        <v>19709</v>
      </c>
    </row>
    <row r="5517" spans="6:8">
      <c r="H5517" t="s">
        <v>19706</v>
      </c>
    </row>
    <row r="5518" spans="6:8">
      <c r="H5518" t="s">
        <v>20107</v>
      </c>
    </row>
    <row r="5519" spans="6:8">
      <c r="H5519" t="s">
        <v>20108</v>
      </c>
    </row>
    <row r="5520" spans="6:8">
      <c r="H5520" t="s">
        <v>19713</v>
      </c>
    </row>
    <row r="5521" spans="6:8">
      <c r="H5521" t="s">
        <v>19714</v>
      </c>
    </row>
    <row r="5522" spans="6:8">
      <c r="H5522" t="s">
        <v>20109</v>
      </c>
    </row>
    <row r="5523" spans="6:8">
      <c r="H5523" t="s">
        <v>20110</v>
      </c>
    </row>
    <row r="5524" spans="6:8">
      <c r="H5524" t="s">
        <v>20111</v>
      </c>
    </row>
    <row r="5525" spans="6:8">
      <c r="H5525" t="s">
        <v>20112</v>
      </c>
    </row>
    <row r="5526" spans="6:8">
      <c r="H5526" t="s">
        <v>20113</v>
      </c>
    </row>
    <row r="5527" spans="6:8">
      <c r="H5527" t="s">
        <v>20114</v>
      </c>
    </row>
    <row r="5528" spans="6:8">
      <c r="H5528" t="s">
        <v>20095</v>
      </c>
    </row>
    <row r="5529" spans="6:8">
      <c r="H5529" t="s">
        <v>20096</v>
      </c>
    </row>
    <row r="5530" spans="6:8">
      <c r="H5530" t="s">
        <v>20097</v>
      </c>
    </row>
    <row r="5531" spans="6:8">
      <c r="H5531" t="s">
        <v>20098</v>
      </c>
    </row>
    <row r="5532" spans="6:8">
      <c r="F5532" t="s">
        <v>11397</v>
      </c>
      <c r="G5532" t="s">
        <v>15312</v>
      </c>
      <c r="H5532" t="s">
        <v>20091</v>
      </c>
    </row>
    <row r="5533" spans="6:8">
      <c r="H5533" t="s">
        <v>19712</v>
      </c>
    </row>
    <row r="5534" spans="6:8">
      <c r="H5534" t="s">
        <v>19709</v>
      </c>
    </row>
    <row r="5535" spans="6:8">
      <c r="H5535" t="s">
        <v>19706</v>
      </c>
    </row>
    <row r="5536" spans="6:8">
      <c r="H5536" t="s">
        <v>20107</v>
      </c>
    </row>
    <row r="5537" spans="6:8">
      <c r="H5537" t="s">
        <v>20108</v>
      </c>
    </row>
    <row r="5538" spans="6:8">
      <c r="H5538" t="s">
        <v>19713</v>
      </c>
    </row>
    <row r="5539" spans="6:8">
      <c r="H5539" t="s">
        <v>19714</v>
      </c>
    </row>
    <row r="5540" spans="6:8">
      <c r="H5540" t="s">
        <v>20109</v>
      </c>
    </row>
    <row r="5541" spans="6:8">
      <c r="H5541" t="s">
        <v>20110</v>
      </c>
    </row>
    <row r="5542" spans="6:8">
      <c r="H5542" t="s">
        <v>20111</v>
      </c>
    </row>
    <row r="5543" spans="6:8">
      <c r="H5543" t="s">
        <v>20112</v>
      </c>
    </row>
    <row r="5544" spans="6:8">
      <c r="H5544" t="s">
        <v>20113</v>
      </c>
    </row>
    <row r="5545" spans="6:8">
      <c r="H5545" t="s">
        <v>20114</v>
      </c>
    </row>
    <row r="5546" spans="6:8">
      <c r="H5546" t="s">
        <v>20115</v>
      </c>
    </row>
    <row r="5547" spans="6:8">
      <c r="H5547" t="s">
        <v>20096</v>
      </c>
    </row>
    <row r="5548" spans="6:8">
      <c r="H5548" t="s">
        <v>20097</v>
      </c>
    </row>
    <row r="5549" spans="6:8">
      <c r="H5549" t="s">
        <v>20098</v>
      </c>
    </row>
    <row r="5550" spans="6:8">
      <c r="H5550" t="s">
        <v>20099</v>
      </c>
    </row>
    <row r="5551" spans="6:8">
      <c r="F5551" t="s">
        <v>11398</v>
      </c>
      <c r="G5551" t="s">
        <v>15313</v>
      </c>
      <c r="H5551" t="s">
        <v>20091</v>
      </c>
    </row>
    <row r="5552" spans="6:8">
      <c r="H5552" t="s">
        <v>19712</v>
      </c>
    </row>
    <row r="5553" spans="8:8">
      <c r="H5553" t="s">
        <v>19709</v>
      </c>
    </row>
    <row r="5554" spans="8:8">
      <c r="H5554" t="s">
        <v>19706</v>
      </c>
    </row>
    <row r="5555" spans="8:8">
      <c r="H5555" t="s">
        <v>20107</v>
      </c>
    </row>
    <row r="5556" spans="8:8">
      <c r="H5556" t="s">
        <v>20108</v>
      </c>
    </row>
    <row r="5557" spans="8:8">
      <c r="H5557" t="s">
        <v>19713</v>
      </c>
    </row>
    <row r="5558" spans="8:8">
      <c r="H5558" t="s">
        <v>19714</v>
      </c>
    </row>
    <row r="5559" spans="8:8">
      <c r="H5559" t="s">
        <v>20109</v>
      </c>
    </row>
    <row r="5560" spans="8:8">
      <c r="H5560" t="s">
        <v>20110</v>
      </c>
    </row>
    <row r="5561" spans="8:8">
      <c r="H5561" t="s">
        <v>20111</v>
      </c>
    </row>
    <row r="5562" spans="8:8">
      <c r="H5562" t="s">
        <v>20112</v>
      </c>
    </row>
    <row r="5563" spans="8:8">
      <c r="H5563" t="s">
        <v>20113</v>
      </c>
    </row>
    <row r="5564" spans="8:8">
      <c r="H5564" t="s">
        <v>20114</v>
      </c>
    </row>
    <row r="5565" spans="8:8">
      <c r="H5565" t="s">
        <v>20115</v>
      </c>
    </row>
    <row r="5566" spans="8:8">
      <c r="H5566" t="s">
        <v>20096</v>
      </c>
    </row>
    <row r="5567" spans="8:8">
      <c r="H5567" t="s">
        <v>20097</v>
      </c>
    </row>
    <row r="5568" spans="8:8">
      <c r="H5568" t="s">
        <v>20098</v>
      </c>
    </row>
    <row r="5569" spans="6:8">
      <c r="H5569" t="s">
        <v>20099</v>
      </c>
    </row>
    <row r="5570" spans="6:8">
      <c r="F5570" t="s">
        <v>11399</v>
      </c>
      <c r="G5570" t="s">
        <v>15314</v>
      </c>
      <c r="H5570" t="s">
        <v>20091</v>
      </c>
    </row>
    <row r="5571" spans="6:8">
      <c r="H5571" t="s">
        <v>19712</v>
      </c>
    </row>
    <row r="5572" spans="6:8">
      <c r="H5572" t="s">
        <v>19709</v>
      </c>
    </row>
    <row r="5573" spans="6:8">
      <c r="H5573" t="s">
        <v>19706</v>
      </c>
    </row>
    <row r="5574" spans="6:8">
      <c r="H5574" t="s">
        <v>19707</v>
      </c>
    </row>
    <row r="5575" spans="6:8">
      <c r="H5575" t="s">
        <v>20107</v>
      </c>
    </row>
    <row r="5576" spans="6:8">
      <c r="H5576" t="s">
        <v>20108</v>
      </c>
    </row>
    <row r="5577" spans="6:8">
      <c r="H5577" t="s">
        <v>19713</v>
      </c>
    </row>
    <row r="5578" spans="6:8">
      <c r="H5578" t="s">
        <v>19714</v>
      </c>
    </row>
    <row r="5579" spans="6:8">
      <c r="H5579" t="s">
        <v>20109</v>
      </c>
    </row>
    <row r="5580" spans="6:8">
      <c r="H5580" t="s">
        <v>20110</v>
      </c>
    </row>
    <row r="5581" spans="6:8">
      <c r="H5581" t="s">
        <v>20111</v>
      </c>
    </row>
    <row r="5582" spans="6:8">
      <c r="H5582" t="s">
        <v>20112</v>
      </c>
    </row>
    <row r="5583" spans="6:8">
      <c r="H5583" t="s">
        <v>20113</v>
      </c>
    </row>
    <row r="5584" spans="6:8">
      <c r="H5584" t="s">
        <v>20096</v>
      </c>
    </row>
    <row r="5585" spans="6:8">
      <c r="H5585" t="s">
        <v>20097</v>
      </c>
    </row>
    <row r="5586" spans="6:8">
      <c r="H5586" t="s">
        <v>20098</v>
      </c>
    </row>
    <row r="5587" spans="6:8">
      <c r="H5587" t="s">
        <v>20099</v>
      </c>
    </row>
    <row r="5588" spans="6:8">
      <c r="F5588" t="s">
        <v>11400</v>
      </c>
      <c r="G5588" t="s">
        <v>15315</v>
      </c>
      <c r="H5588" t="s">
        <v>20091</v>
      </c>
    </row>
    <row r="5589" spans="6:8">
      <c r="H5589" t="s">
        <v>19712</v>
      </c>
    </row>
    <row r="5590" spans="6:8">
      <c r="H5590" t="s">
        <v>19709</v>
      </c>
    </row>
    <row r="5591" spans="6:8">
      <c r="H5591" t="s">
        <v>19706</v>
      </c>
    </row>
    <row r="5592" spans="6:8">
      <c r="H5592" t="s">
        <v>19707</v>
      </c>
    </row>
    <row r="5593" spans="6:8">
      <c r="H5593" t="s">
        <v>20107</v>
      </c>
    </row>
    <row r="5594" spans="6:8">
      <c r="H5594" t="s">
        <v>20108</v>
      </c>
    </row>
    <row r="5595" spans="6:8">
      <c r="H5595" t="s">
        <v>19713</v>
      </c>
    </row>
    <row r="5596" spans="6:8">
      <c r="H5596" t="s">
        <v>19714</v>
      </c>
    </row>
    <row r="5597" spans="6:8">
      <c r="H5597" t="s">
        <v>20109</v>
      </c>
    </row>
    <row r="5598" spans="6:8">
      <c r="H5598" t="s">
        <v>20110</v>
      </c>
    </row>
    <row r="5599" spans="6:8">
      <c r="H5599" t="s">
        <v>20111</v>
      </c>
    </row>
    <row r="5600" spans="6:8">
      <c r="H5600" t="s">
        <v>20112</v>
      </c>
    </row>
    <row r="5601" spans="6:8">
      <c r="H5601" t="s">
        <v>20113</v>
      </c>
    </row>
    <row r="5602" spans="6:8">
      <c r="H5602" t="s">
        <v>20096</v>
      </c>
    </row>
    <row r="5603" spans="6:8">
      <c r="H5603" t="s">
        <v>20097</v>
      </c>
    </row>
    <row r="5604" spans="6:8">
      <c r="H5604" t="s">
        <v>20098</v>
      </c>
    </row>
    <row r="5605" spans="6:8">
      <c r="H5605" t="s">
        <v>20099</v>
      </c>
    </row>
    <row r="5606" spans="6:8">
      <c r="F5606" t="s">
        <v>11401</v>
      </c>
      <c r="G5606" t="s">
        <v>15316</v>
      </c>
      <c r="H5606" t="s">
        <v>20091</v>
      </c>
    </row>
    <row r="5607" spans="6:8">
      <c r="H5607" t="s">
        <v>19712</v>
      </c>
    </row>
    <row r="5608" spans="6:8">
      <c r="H5608" t="s">
        <v>19709</v>
      </c>
    </row>
    <row r="5609" spans="6:8">
      <c r="H5609" t="s">
        <v>19706</v>
      </c>
    </row>
    <row r="5610" spans="6:8">
      <c r="H5610" t="s">
        <v>20107</v>
      </c>
    </row>
    <row r="5611" spans="6:8">
      <c r="H5611" t="s">
        <v>20108</v>
      </c>
    </row>
    <row r="5612" spans="6:8">
      <c r="H5612" t="s">
        <v>19713</v>
      </c>
    </row>
    <row r="5613" spans="6:8">
      <c r="H5613" t="s">
        <v>19714</v>
      </c>
    </row>
    <row r="5614" spans="6:8">
      <c r="H5614" t="s">
        <v>20109</v>
      </c>
    </row>
    <row r="5615" spans="6:8">
      <c r="H5615" t="s">
        <v>20110</v>
      </c>
    </row>
    <row r="5616" spans="6:8">
      <c r="H5616" t="s">
        <v>20095</v>
      </c>
    </row>
    <row r="5617" spans="6:8">
      <c r="H5617" t="s">
        <v>20096</v>
      </c>
    </row>
    <row r="5618" spans="6:8">
      <c r="H5618" t="s">
        <v>20097</v>
      </c>
    </row>
    <row r="5619" spans="6:8">
      <c r="H5619" t="s">
        <v>20098</v>
      </c>
    </row>
    <row r="5620" spans="6:8">
      <c r="F5620" t="s">
        <v>11402</v>
      </c>
      <c r="G5620" t="s">
        <v>15317</v>
      </c>
      <c r="H5620" t="s">
        <v>20091</v>
      </c>
    </row>
    <row r="5621" spans="6:8">
      <c r="H5621" t="s">
        <v>19712</v>
      </c>
    </row>
    <row r="5622" spans="6:8">
      <c r="H5622" t="s">
        <v>19709</v>
      </c>
    </row>
    <row r="5623" spans="6:8">
      <c r="H5623" t="s">
        <v>19706</v>
      </c>
    </row>
    <row r="5624" spans="6:8">
      <c r="H5624" t="s">
        <v>20107</v>
      </c>
    </row>
    <row r="5625" spans="6:8">
      <c r="H5625" t="s">
        <v>20108</v>
      </c>
    </row>
    <row r="5626" spans="6:8">
      <c r="H5626" t="s">
        <v>19713</v>
      </c>
    </row>
    <row r="5627" spans="6:8">
      <c r="H5627" t="s">
        <v>19714</v>
      </c>
    </row>
    <row r="5628" spans="6:8">
      <c r="H5628" t="s">
        <v>20109</v>
      </c>
    </row>
    <row r="5629" spans="6:8">
      <c r="H5629" t="s">
        <v>20110</v>
      </c>
    </row>
    <row r="5630" spans="6:8">
      <c r="H5630" t="s">
        <v>20095</v>
      </c>
    </row>
    <row r="5631" spans="6:8">
      <c r="H5631" t="s">
        <v>20097</v>
      </c>
    </row>
    <row r="5632" spans="6:8">
      <c r="H5632" t="s">
        <v>20098</v>
      </c>
    </row>
    <row r="5633" spans="6:8">
      <c r="H5633" t="s">
        <v>20099</v>
      </c>
    </row>
    <row r="5634" spans="6:8">
      <c r="F5634" t="s">
        <v>11403</v>
      </c>
      <c r="G5634" t="s">
        <v>15318</v>
      </c>
      <c r="H5634" t="s">
        <v>20091</v>
      </c>
    </row>
    <row r="5635" spans="6:8">
      <c r="H5635" t="s">
        <v>19712</v>
      </c>
    </row>
    <row r="5636" spans="6:8">
      <c r="H5636" t="s">
        <v>19709</v>
      </c>
    </row>
    <row r="5637" spans="6:8">
      <c r="H5637" t="s">
        <v>19706</v>
      </c>
    </row>
    <row r="5638" spans="6:8">
      <c r="H5638" t="s">
        <v>19707</v>
      </c>
    </row>
    <row r="5639" spans="6:8">
      <c r="H5639" t="s">
        <v>19711</v>
      </c>
    </row>
    <row r="5640" spans="6:8">
      <c r="H5640" t="s">
        <v>20107</v>
      </c>
    </row>
    <row r="5641" spans="6:8">
      <c r="H5641" t="s">
        <v>20108</v>
      </c>
    </row>
    <row r="5642" spans="6:8">
      <c r="H5642" t="s">
        <v>19713</v>
      </c>
    </row>
    <row r="5643" spans="6:8">
      <c r="H5643" t="s">
        <v>19714</v>
      </c>
    </row>
    <row r="5644" spans="6:8">
      <c r="H5644" t="s">
        <v>20095</v>
      </c>
    </row>
    <row r="5645" spans="6:8">
      <c r="H5645" t="s">
        <v>20096</v>
      </c>
    </row>
    <row r="5646" spans="6:8">
      <c r="H5646" t="s">
        <v>20097</v>
      </c>
    </row>
    <row r="5647" spans="6:8">
      <c r="H5647" t="s">
        <v>20098</v>
      </c>
    </row>
    <row r="5648" spans="6:8">
      <c r="F5648" t="s">
        <v>11404</v>
      </c>
      <c r="G5648" t="s">
        <v>15319</v>
      </c>
      <c r="H5648" t="s">
        <v>20091</v>
      </c>
    </row>
    <row r="5649" spans="6:8">
      <c r="H5649" t="s">
        <v>19712</v>
      </c>
    </row>
    <row r="5650" spans="6:8">
      <c r="H5650" t="s">
        <v>19709</v>
      </c>
    </row>
    <row r="5651" spans="6:8">
      <c r="H5651" t="s">
        <v>19706</v>
      </c>
    </row>
    <row r="5652" spans="6:8">
      <c r="H5652" t="s">
        <v>19707</v>
      </c>
    </row>
    <row r="5653" spans="6:8">
      <c r="H5653" t="s">
        <v>19711</v>
      </c>
    </row>
    <row r="5654" spans="6:8">
      <c r="H5654" t="s">
        <v>20107</v>
      </c>
    </row>
    <row r="5655" spans="6:8">
      <c r="H5655" t="s">
        <v>20108</v>
      </c>
    </row>
    <row r="5656" spans="6:8">
      <c r="H5656" t="s">
        <v>19713</v>
      </c>
    </row>
    <row r="5657" spans="6:8">
      <c r="H5657" t="s">
        <v>19714</v>
      </c>
    </row>
    <row r="5658" spans="6:8">
      <c r="H5658" t="s">
        <v>20095</v>
      </c>
    </row>
    <row r="5659" spans="6:8">
      <c r="H5659" t="s">
        <v>20096</v>
      </c>
    </row>
    <row r="5660" spans="6:8">
      <c r="H5660" t="s">
        <v>20097</v>
      </c>
    </row>
    <row r="5661" spans="6:8">
      <c r="H5661" t="s">
        <v>20098</v>
      </c>
    </row>
    <row r="5662" spans="6:8">
      <c r="F5662" t="s">
        <v>11405</v>
      </c>
      <c r="G5662" t="s">
        <v>15320</v>
      </c>
      <c r="H5662" t="s">
        <v>20091</v>
      </c>
    </row>
    <row r="5663" spans="6:8">
      <c r="H5663" t="s">
        <v>19712</v>
      </c>
    </row>
    <row r="5664" spans="6:8">
      <c r="H5664" t="s">
        <v>19709</v>
      </c>
    </row>
    <row r="5665" spans="6:8">
      <c r="H5665" t="s">
        <v>19706</v>
      </c>
    </row>
    <row r="5666" spans="6:8">
      <c r="H5666" t="s">
        <v>19707</v>
      </c>
    </row>
    <row r="5667" spans="6:8">
      <c r="H5667" t="s">
        <v>19711</v>
      </c>
    </row>
    <row r="5668" spans="6:8">
      <c r="H5668" t="s">
        <v>20107</v>
      </c>
    </row>
    <row r="5669" spans="6:8">
      <c r="H5669" t="s">
        <v>20108</v>
      </c>
    </row>
    <row r="5670" spans="6:8">
      <c r="H5670" t="s">
        <v>19713</v>
      </c>
    </row>
    <row r="5671" spans="6:8">
      <c r="H5671" t="s">
        <v>19714</v>
      </c>
    </row>
    <row r="5672" spans="6:8">
      <c r="H5672" t="s">
        <v>20095</v>
      </c>
    </row>
    <row r="5673" spans="6:8">
      <c r="H5673" t="s">
        <v>20096</v>
      </c>
    </row>
    <row r="5674" spans="6:8">
      <c r="H5674" t="s">
        <v>20097</v>
      </c>
    </row>
    <row r="5675" spans="6:8">
      <c r="H5675" t="s">
        <v>20098</v>
      </c>
    </row>
    <row r="5676" spans="6:8">
      <c r="F5676" t="s">
        <v>11406</v>
      </c>
      <c r="G5676" t="s">
        <v>15321</v>
      </c>
      <c r="H5676" t="s">
        <v>20091</v>
      </c>
    </row>
    <row r="5677" spans="6:8">
      <c r="H5677" t="s">
        <v>19712</v>
      </c>
    </row>
    <row r="5678" spans="6:8">
      <c r="H5678" t="s">
        <v>19709</v>
      </c>
    </row>
    <row r="5679" spans="6:8">
      <c r="H5679" t="s">
        <v>19706</v>
      </c>
    </row>
    <row r="5680" spans="6:8">
      <c r="H5680" t="s">
        <v>19707</v>
      </c>
    </row>
    <row r="5681" spans="6:8">
      <c r="H5681" t="s">
        <v>19711</v>
      </c>
    </row>
    <row r="5682" spans="6:8">
      <c r="H5682" t="s">
        <v>19708</v>
      </c>
    </row>
    <row r="5683" spans="6:8">
      <c r="H5683" t="s">
        <v>20107</v>
      </c>
    </row>
    <row r="5684" spans="6:8">
      <c r="H5684" t="s">
        <v>20108</v>
      </c>
    </row>
    <row r="5685" spans="6:8">
      <c r="H5685" t="s">
        <v>19713</v>
      </c>
    </row>
    <row r="5686" spans="6:8">
      <c r="H5686" t="s">
        <v>19714</v>
      </c>
    </row>
    <row r="5687" spans="6:8">
      <c r="H5687" t="s">
        <v>20095</v>
      </c>
    </row>
    <row r="5688" spans="6:8">
      <c r="H5688" t="s">
        <v>20096</v>
      </c>
    </row>
    <row r="5689" spans="6:8">
      <c r="H5689" t="s">
        <v>20097</v>
      </c>
    </row>
    <row r="5690" spans="6:8">
      <c r="H5690" t="s">
        <v>20098</v>
      </c>
    </row>
    <row r="5691" spans="6:8">
      <c r="H5691" t="s">
        <v>20099</v>
      </c>
    </row>
    <row r="5692" spans="6:8">
      <c r="F5692" t="s">
        <v>11407</v>
      </c>
      <c r="G5692" t="s">
        <v>15322</v>
      </c>
      <c r="H5692" t="s">
        <v>20091</v>
      </c>
    </row>
    <row r="5693" spans="6:8">
      <c r="H5693" t="s">
        <v>19712</v>
      </c>
    </row>
    <row r="5694" spans="6:8">
      <c r="H5694" t="s">
        <v>19709</v>
      </c>
    </row>
    <row r="5695" spans="6:8">
      <c r="H5695" t="s">
        <v>19706</v>
      </c>
    </row>
    <row r="5696" spans="6:8">
      <c r="H5696" t="s">
        <v>19707</v>
      </c>
    </row>
    <row r="5697" spans="6:8">
      <c r="H5697" t="s">
        <v>19711</v>
      </c>
    </row>
    <row r="5698" spans="6:8">
      <c r="H5698" t="s">
        <v>19708</v>
      </c>
    </row>
    <row r="5699" spans="6:8">
      <c r="H5699" t="s">
        <v>20107</v>
      </c>
    </row>
    <row r="5700" spans="6:8">
      <c r="H5700" t="s">
        <v>20108</v>
      </c>
    </row>
    <row r="5701" spans="6:8">
      <c r="H5701" t="s">
        <v>19713</v>
      </c>
    </row>
    <row r="5702" spans="6:8">
      <c r="H5702" t="s">
        <v>19714</v>
      </c>
    </row>
    <row r="5703" spans="6:8">
      <c r="H5703" t="s">
        <v>20095</v>
      </c>
    </row>
    <row r="5704" spans="6:8">
      <c r="H5704" t="s">
        <v>20096</v>
      </c>
    </row>
    <row r="5705" spans="6:8">
      <c r="H5705" t="s">
        <v>20097</v>
      </c>
    </row>
    <row r="5706" spans="6:8">
      <c r="H5706" t="s">
        <v>20098</v>
      </c>
    </row>
    <row r="5707" spans="6:8">
      <c r="H5707" t="s">
        <v>20099</v>
      </c>
    </row>
    <row r="5708" spans="6:8">
      <c r="F5708" t="s">
        <v>11408</v>
      </c>
      <c r="G5708" t="s">
        <v>15323</v>
      </c>
      <c r="H5708" t="s">
        <v>20091</v>
      </c>
    </row>
    <row r="5709" spans="6:8">
      <c r="H5709" t="s">
        <v>19712</v>
      </c>
    </row>
    <row r="5710" spans="6:8">
      <c r="H5710" t="s">
        <v>19709</v>
      </c>
    </row>
    <row r="5711" spans="6:8">
      <c r="H5711" t="s">
        <v>19706</v>
      </c>
    </row>
    <row r="5712" spans="6:8">
      <c r="H5712" t="s">
        <v>20107</v>
      </c>
    </row>
    <row r="5713" spans="6:8">
      <c r="H5713" t="s">
        <v>20108</v>
      </c>
    </row>
    <row r="5714" spans="6:8">
      <c r="H5714" t="s">
        <v>20095</v>
      </c>
    </row>
    <row r="5715" spans="6:8">
      <c r="H5715" t="s">
        <v>20096</v>
      </c>
    </row>
    <row r="5716" spans="6:8">
      <c r="H5716" t="s">
        <v>20097</v>
      </c>
    </row>
    <row r="5717" spans="6:8">
      <c r="F5717" t="s">
        <v>11409</v>
      </c>
      <c r="G5717" t="s">
        <v>15324</v>
      </c>
      <c r="H5717" t="s">
        <v>20091</v>
      </c>
    </row>
    <row r="5718" spans="6:8">
      <c r="H5718" t="s">
        <v>19712</v>
      </c>
    </row>
    <row r="5719" spans="6:8">
      <c r="H5719" t="s">
        <v>19709</v>
      </c>
    </row>
    <row r="5720" spans="6:8">
      <c r="H5720" t="s">
        <v>19706</v>
      </c>
    </row>
    <row r="5721" spans="6:8">
      <c r="H5721" t="s">
        <v>20107</v>
      </c>
    </row>
    <row r="5722" spans="6:8">
      <c r="H5722" t="s">
        <v>20108</v>
      </c>
    </row>
    <row r="5723" spans="6:8">
      <c r="H5723" t="s">
        <v>20095</v>
      </c>
    </row>
    <row r="5724" spans="6:8">
      <c r="H5724" t="s">
        <v>20096</v>
      </c>
    </row>
    <row r="5725" spans="6:8">
      <c r="H5725" t="s">
        <v>20097</v>
      </c>
    </row>
    <row r="5726" spans="6:8">
      <c r="F5726" t="s">
        <v>11410</v>
      </c>
      <c r="G5726" t="s">
        <v>15325</v>
      </c>
      <c r="H5726" t="s">
        <v>20091</v>
      </c>
    </row>
    <row r="5727" spans="6:8">
      <c r="H5727" t="s">
        <v>19712</v>
      </c>
    </row>
    <row r="5728" spans="6:8">
      <c r="H5728" t="s">
        <v>19709</v>
      </c>
    </row>
    <row r="5729" spans="6:8">
      <c r="H5729" t="s">
        <v>20107</v>
      </c>
    </row>
    <row r="5730" spans="6:8">
      <c r="H5730" t="s">
        <v>20108</v>
      </c>
    </row>
    <row r="5731" spans="6:8">
      <c r="H5731" t="s">
        <v>20095</v>
      </c>
    </row>
    <row r="5732" spans="6:8">
      <c r="H5732" t="s">
        <v>20096</v>
      </c>
    </row>
    <row r="5733" spans="6:8">
      <c r="H5733" t="s">
        <v>20097</v>
      </c>
    </row>
    <row r="5734" spans="6:8">
      <c r="F5734" t="s">
        <v>11411</v>
      </c>
      <c r="G5734" t="s">
        <v>15326</v>
      </c>
      <c r="H5734" t="s">
        <v>20091</v>
      </c>
    </row>
    <row r="5735" spans="6:8">
      <c r="H5735" t="s">
        <v>19712</v>
      </c>
    </row>
    <row r="5736" spans="6:8">
      <c r="H5736" t="s">
        <v>19709</v>
      </c>
    </row>
    <row r="5737" spans="6:8">
      <c r="H5737" t="s">
        <v>20107</v>
      </c>
    </row>
    <row r="5738" spans="6:8">
      <c r="H5738" t="s">
        <v>20108</v>
      </c>
    </row>
    <row r="5739" spans="6:8">
      <c r="H5739" t="s">
        <v>20095</v>
      </c>
    </row>
    <row r="5740" spans="6:8">
      <c r="H5740" t="s">
        <v>20096</v>
      </c>
    </row>
    <row r="5741" spans="6:8">
      <c r="H5741" t="s">
        <v>20097</v>
      </c>
    </row>
    <row r="5742" spans="6:8">
      <c r="F5742" t="s">
        <v>11412</v>
      </c>
      <c r="G5742" t="s">
        <v>15327</v>
      </c>
      <c r="H5742" t="s">
        <v>20091</v>
      </c>
    </row>
    <row r="5743" spans="6:8">
      <c r="H5743" t="s">
        <v>19712</v>
      </c>
    </row>
    <row r="5744" spans="6:8">
      <c r="H5744" t="s">
        <v>19709</v>
      </c>
    </row>
    <row r="5745" spans="6:8">
      <c r="H5745" t="s">
        <v>19706</v>
      </c>
    </row>
    <row r="5746" spans="6:8">
      <c r="H5746" t="s">
        <v>20107</v>
      </c>
    </row>
    <row r="5747" spans="6:8">
      <c r="H5747" t="s">
        <v>20108</v>
      </c>
    </row>
    <row r="5748" spans="6:8">
      <c r="H5748" t="s">
        <v>19713</v>
      </c>
    </row>
    <row r="5749" spans="6:8">
      <c r="H5749" t="s">
        <v>20095</v>
      </c>
    </row>
    <row r="5750" spans="6:8">
      <c r="H5750" t="s">
        <v>20096</v>
      </c>
    </row>
    <row r="5751" spans="6:8">
      <c r="H5751" t="s">
        <v>20097</v>
      </c>
    </row>
    <row r="5752" spans="6:8">
      <c r="H5752" t="s">
        <v>20098</v>
      </c>
    </row>
    <row r="5753" spans="6:8">
      <c r="F5753" t="s">
        <v>11413</v>
      </c>
      <c r="G5753" t="s">
        <v>15328</v>
      </c>
      <c r="H5753" t="s">
        <v>20091</v>
      </c>
    </row>
    <row r="5754" spans="6:8">
      <c r="H5754" t="s">
        <v>19712</v>
      </c>
    </row>
    <row r="5755" spans="6:8">
      <c r="H5755" t="s">
        <v>19709</v>
      </c>
    </row>
    <row r="5756" spans="6:8">
      <c r="H5756" t="s">
        <v>19706</v>
      </c>
    </row>
    <row r="5757" spans="6:8">
      <c r="H5757" t="s">
        <v>20107</v>
      </c>
    </row>
    <row r="5758" spans="6:8">
      <c r="H5758" t="s">
        <v>20108</v>
      </c>
    </row>
    <row r="5759" spans="6:8">
      <c r="H5759" t="s">
        <v>19713</v>
      </c>
    </row>
    <row r="5760" spans="6:8">
      <c r="H5760" t="s">
        <v>20095</v>
      </c>
    </row>
    <row r="5761" spans="1:8">
      <c r="H5761" t="s">
        <v>20096</v>
      </c>
    </row>
    <row r="5762" spans="1:8">
      <c r="H5762" t="s">
        <v>20097</v>
      </c>
    </row>
    <row r="5763" spans="1:8">
      <c r="H5763" t="s">
        <v>20098</v>
      </c>
    </row>
    <row r="5764" spans="1:8">
      <c r="F5764" t="s">
        <v>11414</v>
      </c>
      <c r="G5764" t="s">
        <v>15655</v>
      </c>
      <c r="H5764" t="s">
        <v>20095</v>
      </c>
    </row>
    <row r="5765" spans="1:8">
      <c r="F5765" t="s">
        <v>11415</v>
      </c>
      <c r="G5765" t="s">
        <v>15656</v>
      </c>
      <c r="H5765" t="s">
        <v>20095</v>
      </c>
    </row>
    <row r="5766" spans="1:8">
      <c r="F5766" t="s">
        <v>11416</v>
      </c>
      <c r="G5766" t="s">
        <v>15657</v>
      </c>
      <c r="H5766" t="s">
        <v>20095</v>
      </c>
    </row>
    <row r="5767" spans="1:8">
      <c r="F5767" t="s">
        <v>11417</v>
      </c>
      <c r="G5767" t="s">
        <v>15658</v>
      </c>
      <c r="H5767" t="s">
        <v>20095</v>
      </c>
    </row>
    <row r="5768" spans="1:8">
      <c r="F5768" t="s">
        <v>11418</v>
      </c>
      <c r="G5768" t="s">
        <v>15659</v>
      </c>
      <c r="H5768" t="s">
        <v>20095</v>
      </c>
    </row>
    <row r="5769" spans="1:8">
      <c r="H5769" t="s">
        <v>20096</v>
      </c>
    </row>
    <row r="5770" spans="1:8">
      <c r="H5770" t="s">
        <v>20097</v>
      </c>
    </row>
    <row r="5771" spans="1:8">
      <c r="H5771" t="s">
        <v>20098</v>
      </c>
    </row>
    <row r="5772" spans="1:8">
      <c r="H5772" t="s">
        <v>20099</v>
      </c>
    </row>
    <row r="5773" spans="1:8">
      <c r="F5773" t="s">
        <v>11419</v>
      </c>
      <c r="G5773" t="s">
        <v>15660</v>
      </c>
      <c r="H5773" t="s">
        <v>20095</v>
      </c>
    </row>
    <row r="5774" spans="1:8">
      <c r="H5774" t="s">
        <v>20096</v>
      </c>
    </row>
    <row r="5775" spans="1:8">
      <c r="A5775" t="s">
        <v>305</v>
      </c>
      <c r="B5775">
        <f>HYPERLINK("https://android.googlesource.com/platform/cts/+/68babe4ae21b48f005aff471db44d1fb1ec1995c", "68babe4ae21b48f005aff471db44d1fb1ec1995c")</f>
        <v>0</v>
      </c>
      <c r="C5775">
        <f>HYPERLINK("https://android.googlesource.com/platform/cts/+/98caf9a765885f0312116bc574498273cd80d1a6", "98caf9a765885f0312116bc574498273cd80d1a6")</f>
        <v>0</v>
      </c>
      <c r="D5775" t="s">
        <v>4972</v>
      </c>
      <c r="E5775" t="s">
        <v>6100</v>
      </c>
      <c r="F5775" t="s">
        <v>11420</v>
      </c>
      <c r="G5775" t="s">
        <v>15661</v>
      </c>
      <c r="H5775" t="s">
        <v>20203</v>
      </c>
    </row>
    <row r="5776" spans="1:8">
      <c r="H5776" t="s">
        <v>20204</v>
      </c>
    </row>
    <row r="5777" spans="1:8">
      <c r="A5777" t="s">
        <v>307</v>
      </c>
      <c r="B5777">
        <f>HYPERLINK("https://android.googlesource.com/platform/cts/+/e409dce9177ae8ee786a7a55ade9698993ff00ad", "e409dce9177ae8ee786a7a55ade9698993ff00ad")</f>
        <v>0</v>
      </c>
      <c r="C5777">
        <f>HYPERLINK("https://android.googlesource.com/platform/cts/+/4087565526d15a95b0492c585e363581303389ed", "4087565526d15a95b0492c585e363581303389ed")</f>
        <v>0</v>
      </c>
      <c r="D5777" t="s">
        <v>4941</v>
      </c>
      <c r="E5777" t="s">
        <v>6102</v>
      </c>
      <c r="F5777" t="s">
        <v>11421</v>
      </c>
      <c r="G5777" t="s">
        <v>15662</v>
      </c>
      <c r="H5777" t="s">
        <v>20212</v>
      </c>
    </row>
    <row r="5778" spans="1:8">
      <c r="A5778" t="s">
        <v>309</v>
      </c>
      <c r="B5778">
        <f>HYPERLINK("https://android.googlesource.com/platform/cts/+/29d34788f1320a14a7b16c7978dd9f7e12a55505", "29d34788f1320a14a7b16c7978dd9f7e12a55505")</f>
        <v>0</v>
      </c>
      <c r="C5778">
        <f>HYPERLINK("https://android.googlesource.com/platform/cts/+/b3d67202d3f5e4fdc41fe8ef51248ad7767d445d", "b3d67202d3f5e4fdc41fe8ef51248ad7767d445d")</f>
        <v>0</v>
      </c>
      <c r="D5778" t="s">
        <v>4941</v>
      </c>
      <c r="E5778" t="s">
        <v>6104</v>
      </c>
      <c r="F5778" t="s">
        <v>11422</v>
      </c>
      <c r="G5778" t="s">
        <v>15663</v>
      </c>
      <c r="H5778" t="s">
        <v>20216</v>
      </c>
    </row>
    <row r="5779" spans="1:8">
      <c r="H5779" t="s">
        <v>20217</v>
      </c>
    </row>
    <row r="5780" spans="1:8">
      <c r="A5780" t="s">
        <v>313</v>
      </c>
      <c r="B5780">
        <f>HYPERLINK("https://android.googlesource.com/platform/cts/+/6a7c5d58f70a9dda71b035608ae38a53dbbf084d", "6a7c5d58f70a9dda71b035608ae38a53dbbf084d")</f>
        <v>0</v>
      </c>
      <c r="C5780">
        <f>HYPERLINK("https://android.googlesource.com/platform/cts/+/d28b2da2c9a18010b7b884483255b19143e42061", "d28b2da2c9a18010b7b884483255b19143e42061")</f>
        <v>0</v>
      </c>
      <c r="D5780" t="s">
        <v>4951</v>
      </c>
      <c r="E5780" t="s">
        <v>6108</v>
      </c>
      <c r="F5780" t="s">
        <v>10687</v>
      </c>
      <c r="G5780" t="s">
        <v>15087</v>
      </c>
      <c r="H5780" t="s">
        <v>20227</v>
      </c>
    </row>
    <row r="5781" spans="1:8">
      <c r="A5781" t="s">
        <v>314</v>
      </c>
      <c r="B5781">
        <f>HYPERLINK("https://android.googlesource.com/platform/cts/+/1d67e1910954f77786396111cb4c1aebf9799d08", "1d67e1910954f77786396111cb4c1aebf9799d08")</f>
        <v>0</v>
      </c>
      <c r="C5781">
        <f>HYPERLINK("https://android.googlesource.com/platform/cts/+/b753eca9a8c7c911241e844951adba524bb95cd2", "b753eca9a8c7c911241e844951adba524bb95cd2")</f>
        <v>0</v>
      </c>
      <c r="D5781" t="s">
        <v>4941</v>
      </c>
      <c r="E5781" t="s">
        <v>6109</v>
      </c>
      <c r="F5781" t="s">
        <v>11424</v>
      </c>
      <c r="G5781" t="s">
        <v>15665</v>
      </c>
      <c r="H5781" t="s">
        <v>20229</v>
      </c>
    </row>
    <row r="5782" spans="1:8">
      <c r="A5782" t="s">
        <v>316</v>
      </c>
      <c r="B5782">
        <f>HYPERLINK("https://android.googlesource.com/platform/cts/+/df9378aa97f09d5b44a63e9e92069d63e5aab77a", "df9378aa97f09d5b44a63e9e92069d63e5aab77a")</f>
        <v>0</v>
      </c>
      <c r="C5782">
        <f>HYPERLINK("https://android.googlesource.com/platform/cts/+/6ee03aa5f2e63bca382907751fe9d34fc0a629e7", "6ee03aa5f2e63bca382907751fe9d34fc0a629e7")</f>
        <v>0</v>
      </c>
      <c r="D5782" t="s">
        <v>4941</v>
      </c>
      <c r="E5782" t="s">
        <v>6111</v>
      </c>
      <c r="F5782" t="s">
        <v>11424</v>
      </c>
      <c r="G5782" t="s">
        <v>15665</v>
      </c>
      <c r="H5782" t="s">
        <v>20232</v>
      </c>
    </row>
    <row r="5783" spans="1:8">
      <c r="H5783" t="s">
        <v>20233</v>
      </c>
    </row>
    <row r="5784" spans="1:8">
      <c r="A5784" t="s">
        <v>321</v>
      </c>
      <c r="B5784">
        <f>HYPERLINK("https://android.googlesource.com/platform/cts/+/0925bc0243c33008f9159cbf7a6948a8e5914af5", "0925bc0243c33008f9159cbf7a6948a8e5914af5")</f>
        <v>0</v>
      </c>
      <c r="C5784">
        <f>HYPERLINK("https://android.googlesource.com/platform/cts/+/7082f951c9b060e5900eae4b652eb0a4ae05953a", "7082f951c9b060e5900eae4b652eb0a4ae05953a")</f>
        <v>0</v>
      </c>
      <c r="D5784" t="s">
        <v>4941</v>
      </c>
      <c r="E5784" t="s">
        <v>6116</v>
      </c>
      <c r="F5784" t="s">
        <v>11429</v>
      </c>
      <c r="G5784" t="s">
        <v>15669</v>
      </c>
      <c r="H5784" t="s">
        <v>20239</v>
      </c>
    </row>
    <row r="5785" spans="1:8">
      <c r="A5785" t="s">
        <v>323</v>
      </c>
      <c r="B5785">
        <f>HYPERLINK("https://android.googlesource.com/platform/cts/+/22ba1bc139771beabcf0261b9b19ffab2757903a", "22ba1bc139771beabcf0261b9b19ffab2757903a")</f>
        <v>0</v>
      </c>
      <c r="C5785">
        <f>HYPERLINK("https://android.googlesource.com/platform/cts/+/e5ea9961bde2dbe585a004352ca9453cf77726c1", "e5ea9961bde2dbe585a004352ca9453cf77726c1")</f>
        <v>0</v>
      </c>
      <c r="D5785" t="s">
        <v>4941</v>
      </c>
      <c r="E5785" t="s">
        <v>6118</v>
      </c>
      <c r="F5785" t="s">
        <v>10963</v>
      </c>
      <c r="G5785" t="s">
        <v>15354</v>
      </c>
      <c r="H5785" t="s">
        <v>20091</v>
      </c>
    </row>
    <row r="5786" spans="1:8">
      <c r="H5786" t="s">
        <v>19712</v>
      </c>
    </row>
    <row r="5787" spans="1:8">
      <c r="H5787" t="s">
        <v>19709</v>
      </c>
    </row>
    <row r="5788" spans="1:8">
      <c r="H5788" t="s">
        <v>19706</v>
      </c>
    </row>
    <row r="5789" spans="1:8">
      <c r="F5789" t="s">
        <v>10964</v>
      </c>
      <c r="G5789" t="s">
        <v>15355</v>
      </c>
      <c r="H5789" t="s">
        <v>20091</v>
      </c>
    </row>
    <row r="5790" spans="1:8">
      <c r="H5790" t="s">
        <v>19712</v>
      </c>
    </row>
    <row r="5791" spans="1:8">
      <c r="H5791" t="s">
        <v>20092</v>
      </c>
    </row>
    <row r="5792" spans="1:8">
      <c r="H5792" t="s">
        <v>20093</v>
      </c>
    </row>
    <row r="5793" spans="6:8">
      <c r="H5793" t="s">
        <v>20094</v>
      </c>
    </row>
    <row r="5794" spans="6:8">
      <c r="H5794" t="s">
        <v>20095</v>
      </c>
    </row>
    <row r="5795" spans="6:8">
      <c r="H5795" t="s">
        <v>20096</v>
      </c>
    </row>
    <row r="5796" spans="6:8">
      <c r="H5796" t="s">
        <v>20097</v>
      </c>
    </row>
    <row r="5797" spans="6:8">
      <c r="H5797" t="s">
        <v>20098</v>
      </c>
    </row>
    <row r="5798" spans="6:8">
      <c r="H5798" t="s">
        <v>20099</v>
      </c>
    </row>
    <row r="5799" spans="6:8">
      <c r="H5799" t="s">
        <v>20100</v>
      </c>
    </row>
    <row r="5800" spans="6:8">
      <c r="H5800" t="s">
        <v>20101</v>
      </c>
    </row>
    <row r="5801" spans="6:8">
      <c r="H5801" t="s">
        <v>20102</v>
      </c>
    </row>
    <row r="5802" spans="6:8">
      <c r="F5802" t="s">
        <v>10965</v>
      </c>
      <c r="G5802" t="s">
        <v>15356</v>
      </c>
      <c r="H5802" t="s">
        <v>20091</v>
      </c>
    </row>
    <row r="5803" spans="6:8">
      <c r="H5803" t="s">
        <v>19712</v>
      </c>
    </row>
    <row r="5804" spans="6:8">
      <c r="H5804" t="s">
        <v>19709</v>
      </c>
    </row>
    <row r="5805" spans="6:8">
      <c r="H5805" t="s">
        <v>19706</v>
      </c>
    </row>
    <row r="5806" spans="6:8">
      <c r="H5806" t="s">
        <v>20092</v>
      </c>
    </row>
    <row r="5807" spans="6:8">
      <c r="H5807" t="s">
        <v>20093</v>
      </c>
    </row>
    <row r="5808" spans="6:8">
      <c r="H5808" t="s">
        <v>20094</v>
      </c>
    </row>
    <row r="5809" spans="6:8">
      <c r="H5809" t="s">
        <v>20103</v>
      </c>
    </row>
    <row r="5810" spans="6:8">
      <c r="H5810" t="s">
        <v>20095</v>
      </c>
    </row>
    <row r="5811" spans="6:8">
      <c r="H5811" t="s">
        <v>20096</v>
      </c>
    </row>
    <row r="5812" spans="6:8">
      <c r="H5812" t="s">
        <v>20097</v>
      </c>
    </row>
    <row r="5813" spans="6:8">
      <c r="H5813" t="s">
        <v>20098</v>
      </c>
    </row>
    <row r="5814" spans="6:8">
      <c r="H5814" t="s">
        <v>20099</v>
      </c>
    </row>
    <row r="5815" spans="6:8">
      <c r="H5815" t="s">
        <v>20100</v>
      </c>
    </row>
    <row r="5816" spans="6:8">
      <c r="H5816" t="s">
        <v>20101</v>
      </c>
    </row>
    <row r="5817" spans="6:8">
      <c r="H5817" t="s">
        <v>20102</v>
      </c>
    </row>
    <row r="5818" spans="6:8">
      <c r="F5818" t="s">
        <v>10966</v>
      </c>
      <c r="G5818" t="s">
        <v>15357</v>
      </c>
      <c r="H5818" t="s">
        <v>20091</v>
      </c>
    </row>
    <row r="5819" spans="6:8">
      <c r="H5819" t="s">
        <v>20095</v>
      </c>
    </row>
    <row r="5820" spans="6:8">
      <c r="F5820" t="s">
        <v>10967</v>
      </c>
      <c r="G5820" t="s">
        <v>15358</v>
      </c>
      <c r="H5820" t="s">
        <v>20091</v>
      </c>
    </row>
    <row r="5821" spans="6:8">
      <c r="H5821" t="s">
        <v>19712</v>
      </c>
    </row>
    <row r="5822" spans="6:8">
      <c r="H5822" t="s">
        <v>20095</v>
      </c>
    </row>
    <row r="5823" spans="6:8">
      <c r="H5823" t="s">
        <v>20096</v>
      </c>
    </row>
    <row r="5824" spans="6:8">
      <c r="H5824" t="s">
        <v>20097</v>
      </c>
    </row>
    <row r="5825" spans="6:8">
      <c r="H5825" t="s">
        <v>20098</v>
      </c>
    </row>
    <row r="5826" spans="6:8">
      <c r="H5826" t="s">
        <v>20099</v>
      </c>
    </row>
    <row r="5827" spans="6:8">
      <c r="H5827" t="s">
        <v>19709</v>
      </c>
    </row>
    <row r="5828" spans="6:8">
      <c r="H5828" t="s">
        <v>19706</v>
      </c>
    </row>
    <row r="5829" spans="6:8">
      <c r="H5829" t="s">
        <v>20100</v>
      </c>
    </row>
    <row r="5830" spans="6:8">
      <c r="H5830" t="s">
        <v>20101</v>
      </c>
    </row>
    <row r="5831" spans="6:8">
      <c r="H5831" t="s">
        <v>20102</v>
      </c>
    </row>
    <row r="5832" spans="6:8">
      <c r="H5832" t="s">
        <v>20104</v>
      </c>
    </row>
    <row r="5833" spans="6:8">
      <c r="H5833" t="s">
        <v>20105</v>
      </c>
    </row>
    <row r="5834" spans="6:8">
      <c r="F5834" t="s">
        <v>10968</v>
      </c>
      <c r="G5834" t="s">
        <v>15359</v>
      </c>
      <c r="H5834" t="s">
        <v>20091</v>
      </c>
    </row>
    <row r="5835" spans="6:8">
      <c r="H5835" t="s">
        <v>19712</v>
      </c>
    </row>
    <row r="5836" spans="6:8">
      <c r="H5836" t="s">
        <v>20095</v>
      </c>
    </row>
    <row r="5837" spans="6:8">
      <c r="H5837" t="s">
        <v>20096</v>
      </c>
    </row>
    <row r="5838" spans="6:8">
      <c r="H5838" t="s">
        <v>20097</v>
      </c>
    </row>
    <row r="5839" spans="6:8">
      <c r="H5839" t="s">
        <v>20098</v>
      </c>
    </row>
    <row r="5840" spans="6:8">
      <c r="H5840" t="s">
        <v>20099</v>
      </c>
    </row>
    <row r="5841" spans="6:8">
      <c r="H5841" t="s">
        <v>20100</v>
      </c>
    </row>
    <row r="5842" spans="6:8">
      <c r="F5842" t="s">
        <v>10969</v>
      </c>
      <c r="G5842" t="s">
        <v>15360</v>
      </c>
      <c r="H5842" t="s">
        <v>20091</v>
      </c>
    </row>
    <row r="5843" spans="6:8">
      <c r="H5843" t="s">
        <v>19712</v>
      </c>
    </row>
    <row r="5844" spans="6:8">
      <c r="H5844" t="s">
        <v>20095</v>
      </c>
    </row>
    <row r="5845" spans="6:8">
      <c r="H5845" t="s">
        <v>20096</v>
      </c>
    </row>
    <row r="5846" spans="6:8">
      <c r="H5846" t="s">
        <v>20097</v>
      </c>
    </row>
    <row r="5847" spans="6:8">
      <c r="H5847" t="s">
        <v>20098</v>
      </c>
    </row>
    <row r="5848" spans="6:8">
      <c r="H5848" t="s">
        <v>20099</v>
      </c>
    </row>
    <row r="5849" spans="6:8">
      <c r="H5849" t="s">
        <v>20100</v>
      </c>
    </row>
    <row r="5850" spans="6:8">
      <c r="F5850" t="s">
        <v>10970</v>
      </c>
      <c r="G5850" t="s">
        <v>15361</v>
      </c>
      <c r="H5850" t="s">
        <v>20091</v>
      </c>
    </row>
    <row r="5851" spans="6:8">
      <c r="H5851" t="s">
        <v>19712</v>
      </c>
    </row>
    <row r="5852" spans="6:8">
      <c r="H5852" t="s">
        <v>20095</v>
      </c>
    </row>
    <row r="5853" spans="6:8">
      <c r="H5853" t="s">
        <v>20096</v>
      </c>
    </row>
    <row r="5854" spans="6:8">
      <c r="H5854" t="s">
        <v>20097</v>
      </c>
    </row>
    <row r="5855" spans="6:8">
      <c r="H5855" t="s">
        <v>20098</v>
      </c>
    </row>
    <row r="5856" spans="6:8">
      <c r="H5856" t="s">
        <v>20099</v>
      </c>
    </row>
    <row r="5857" spans="6:8">
      <c r="H5857" t="s">
        <v>20100</v>
      </c>
    </row>
    <row r="5858" spans="6:8">
      <c r="F5858" t="s">
        <v>10971</v>
      </c>
      <c r="G5858" t="s">
        <v>15362</v>
      </c>
      <c r="H5858" t="s">
        <v>20091</v>
      </c>
    </row>
    <row r="5859" spans="6:8">
      <c r="H5859" t="s">
        <v>19712</v>
      </c>
    </row>
    <row r="5860" spans="6:8">
      <c r="H5860" t="s">
        <v>20095</v>
      </c>
    </row>
    <row r="5861" spans="6:8">
      <c r="H5861" t="s">
        <v>20096</v>
      </c>
    </row>
    <row r="5862" spans="6:8">
      <c r="H5862" t="s">
        <v>20097</v>
      </c>
    </row>
    <row r="5863" spans="6:8">
      <c r="H5863" t="s">
        <v>20098</v>
      </c>
    </row>
    <row r="5864" spans="6:8">
      <c r="H5864" t="s">
        <v>20099</v>
      </c>
    </row>
    <row r="5865" spans="6:8">
      <c r="H5865" t="s">
        <v>20100</v>
      </c>
    </row>
    <row r="5866" spans="6:8">
      <c r="F5866" t="s">
        <v>10972</v>
      </c>
      <c r="G5866" t="s">
        <v>15363</v>
      </c>
      <c r="H5866" t="s">
        <v>20091</v>
      </c>
    </row>
    <row r="5867" spans="6:8">
      <c r="H5867" t="s">
        <v>19712</v>
      </c>
    </row>
    <row r="5868" spans="6:8">
      <c r="H5868" t="s">
        <v>19709</v>
      </c>
    </row>
    <row r="5869" spans="6:8">
      <c r="H5869" t="s">
        <v>20092</v>
      </c>
    </row>
    <row r="5870" spans="6:8">
      <c r="H5870" t="s">
        <v>20093</v>
      </c>
    </row>
    <row r="5871" spans="6:8">
      <c r="H5871" t="s">
        <v>20094</v>
      </c>
    </row>
    <row r="5872" spans="6:8">
      <c r="H5872" t="s">
        <v>20103</v>
      </c>
    </row>
    <row r="5873" spans="6:8">
      <c r="H5873" t="s">
        <v>20095</v>
      </c>
    </row>
    <row r="5874" spans="6:8">
      <c r="H5874" t="s">
        <v>20096</v>
      </c>
    </row>
    <row r="5875" spans="6:8">
      <c r="H5875" t="s">
        <v>20097</v>
      </c>
    </row>
    <row r="5876" spans="6:8">
      <c r="H5876" t="s">
        <v>20098</v>
      </c>
    </row>
    <row r="5877" spans="6:8">
      <c r="H5877" t="s">
        <v>20099</v>
      </c>
    </row>
    <row r="5878" spans="6:8">
      <c r="H5878" t="s">
        <v>20100</v>
      </c>
    </row>
    <row r="5879" spans="6:8">
      <c r="F5879" t="s">
        <v>10973</v>
      </c>
      <c r="G5879" t="s">
        <v>15364</v>
      </c>
      <c r="H5879" t="s">
        <v>20091</v>
      </c>
    </row>
    <row r="5880" spans="6:8">
      <c r="H5880" t="s">
        <v>19712</v>
      </c>
    </row>
    <row r="5881" spans="6:8">
      <c r="H5881" t="s">
        <v>19709</v>
      </c>
    </row>
    <row r="5882" spans="6:8">
      <c r="H5882" t="s">
        <v>19706</v>
      </c>
    </row>
    <row r="5883" spans="6:8">
      <c r="H5883" t="s">
        <v>19707</v>
      </c>
    </row>
    <row r="5884" spans="6:8">
      <c r="H5884" t="s">
        <v>19711</v>
      </c>
    </row>
    <row r="5885" spans="6:8">
      <c r="H5885" t="s">
        <v>19708</v>
      </c>
    </row>
    <row r="5886" spans="6:8">
      <c r="H5886" t="s">
        <v>19710</v>
      </c>
    </row>
    <row r="5887" spans="6:8">
      <c r="H5887" t="s">
        <v>20092</v>
      </c>
    </row>
    <row r="5888" spans="6:8">
      <c r="H5888" t="s">
        <v>20093</v>
      </c>
    </row>
    <row r="5889" spans="6:8">
      <c r="H5889" t="s">
        <v>20095</v>
      </c>
    </row>
    <row r="5890" spans="6:8">
      <c r="H5890" t="s">
        <v>20096</v>
      </c>
    </row>
    <row r="5891" spans="6:8">
      <c r="H5891" t="s">
        <v>20097</v>
      </c>
    </row>
    <row r="5892" spans="6:8">
      <c r="H5892" t="s">
        <v>20098</v>
      </c>
    </row>
    <row r="5893" spans="6:8">
      <c r="H5893" t="s">
        <v>20099</v>
      </c>
    </row>
    <row r="5894" spans="6:8">
      <c r="H5894" t="s">
        <v>20100</v>
      </c>
    </row>
    <row r="5895" spans="6:8">
      <c r="H5895" t="s">
        <v>20101</v>
      </c>
    </row>
    <row r="5896" spans="6:8">
      <c r="F5896" t="s">
        <v>10974</v>
      </c>
      <c r="G5896" t="s">
        <v>15365</v>
      </c>
      <c r="H5896" t="s">
        <v>20091</v>
      </c>
    </row>
    <row r="5897" spans="6:8">
      <c r="H5897" t="s">
        <v>20106</v>
      </c>
    </row>
    <row r="5898" spans="6:8">
      <c r="H5898" t="s">
        <v>20096</v>
      </c>
    </row>
    <row r="5899" spans="6:8">
      <c r="H5899" t="s">
        <v>20095</v>
      </c>
    </row>
    <row r="5900" spans="6:8">
      <c r="F5900" t="s">
        <v>10975</v>
      </c>
      <c r="G5900" t="s">
        <v>15366</v>
      </c>
      <c r="H5900" t="s">
        <v>20091</v>
      </c>
    </row>
    <row r="5901" spans="6:8">
      <c r="H5901" t="s">
        <v>19712</v>
      </c>
    </row>
    <row r="5902" spans="6:8">
      <c r="H5902" t="s">
        <v>20095</v>
      </c>
    </row>
    <row r="5903" spans="6:8">
      <c r="H5903" t="s">
        <v>20096</v>
      </c>
    </row>
    <row r="5904" spans="6:8">
      <c r="H5904" t="s">
        <v>20097</v>
      </c>
    </row>
    <row r="5905" spans="6:8">
      <c r="H5905" t="s">
        <v>19709</v>
      </c>
    </row>
    <row r="5906" spans="6:8">
      <c r="H5906" t="s">
        <v>19706</v>
      </c>
    </row>
    <row r="5907" spans="6:8">
      <c r="H5907" t="s">
        <v>20098</v>
      </c>
    </row>
    <row r="5908" spans="6:8">
      <c r="H5908" t="s">
        <v>20099</v>
      </c>
    </row>
    <row r="5909" spans="6:8">
      <c r="H5909" t="s">
        <v>20100</v>
      </c>
    </row>
    <row r="5910" spans="6:8">
      <c r="F5910" t="s">
        <v>10976</v>
      </c>
      <c r="G5910" t="s">
        <v>15367</v>
      </c>
      <c r="H5910" t="s">
        <v>20091</v>
      </c>
    </row>
    <row r="5911" spans="6:8">
      <c r="H5911" t="s">
        <v>19712</v>
      </c>
    </row>
    <row r="5912" spans="6:8">
      <c r="H5912" t="s">
        <v>20095</v>
      </c>
    </row>
    <row r="5913" spans="6:8">
      <c r="H5913" t="s">
        <v>20096</v>
      </c>
    </row>
    <row r="5914" spans="6:8">
      <c r="H5914" t="s">
        <v>20097</v>
      </c>
    </row>
    <row r="5915" spans="6:8">
      <c r="F5915" t="s">
        <v>10977</v>
      </c>
      <c r="G5915" t="s">
        <v>15368</v>
      </c>
      <c r="H5915" t="s">
        <v>20091</v>
      </c>
    </row>
    <row r="5916" spans="6:8">
      <c r="H5916" t="s">
        <v>19712</v>
      </c>
    </row>
    <row r="5917" spans="6:8">
      <c r="H5917" t="s">
        <v>20095</v>
      </c>
    </row>
    <row r="5918" spans="6:8">
      <c r="H5918" t="s">
        <v>20096</v>
      </c>
    </row>
    <row r="5919" spans="6:8">
      <c r="H5919" t="s">
        <v>20097</v>
      </c>
    </row>
    <row r="5920" spans="6:8">
      <c r="F5920" t="s">
        <v>10978</v>
      </c>
      <c r="G5920" t="s">
        <v>15369</v>
      </c>
      <c r="H5920" t="s">
        <v>20091</v>
      </c>
    </row>
    <row r="5921" spans="6:8">
      <c r="H5921" t="s">
        <v>19712</v>
      </c>
    </row>
    <row r="5922" spans="6:8">
      <c r="H5922" t="s">
        <v>20095</v>
      </c>
    </row>
    <row r="5923" spans="6:8">
      <c r="H5923" t="s">
        <v>20096</v>
      </c>
    </row>
    <row r="5924" spans="6:8">
      <c r="H5924" t="s">
        <v>20097</v>
      </c>
    </row>
    <row r="5925" spans="6:8">
      <c r="F5925" t="s">
        <v>10979</v>
      </c>
      <c r="G5925" t="s">
        <v>15370</v>
      </c>
      <c r="H5925" t="s">
        <v>20091</v>
      </c>
    </row>
    <row r="5926" spans="6:8">
      <c r="H5926" t="s">
        <v>19712</v>
      </c>
    </row>
    <row r="5927" spans="6:8">
      <c r="H5927" t="s">
        <v>20095</v>
      </c>
    </row>
    <row r="5928" spans="6:8">
      <c r="H5928" t="s">
        <v>20096</v>
      </c>
    </row>
    <row r="5929" spans="6:8">
      <c r="H5929" t="s">
        <v>20097</v>
      </c>
    </row>
    <row r="5930" spans="6:8">
      <c r="F5930" t="s">
        <v>10980</v>
      </c>
      <c r="G5930" t="s">
        <v>15371</v>
      </c>
      <c r="H5930" t="s">
        <v>20091</v>
      </c>
    </row>
    <row r="5931" spans="6:8">
      <c r="H5931" t="s">
        <v>19712</v>
      </c>
    </row>
    <row r="5932" spans="6:8">
      <c r="H5932" t="s">
        <v>19709</v>
      </c>
    </row>
    <row r="5933" spans="6:8">
      <c r="H5933" t="s">
        <v>19706</v>
      </c>
    </row>
    <row r="5934" spans="6:8">
      <c r="H5934" t="s">
        <v>20092</v>
      </c>
    </row>
    <row r="5935" spans="6:8">
      <c r="H5935" t="s">
        <v>20093</v>
      </c>
    </row>
    <row r="5936" spans="6:8">
      <c r="H5936" t="s">
        <v>20094</v>
      </c>
    </row>
    <row r="5937" spans="6:8">
      <c r="H5937" t="s">
        <v>20095</v>
      </c>
    </row>
    <row r="5938" spans="6:8">
      <c r="H5938" t="s">
        <v>20096</v>
      </c>
    </row>
    <row r="5939" spans="6:8">
      <c r="H5939" t="s">
        <v>20097</v>
      </c>
    </row>
    <row r="5940" spans="6:8">
      <c r="H5940" t="s">
        <v>20098</v>
      </c>
    </row>
    <row r="5941" spans="6:8">
      <c r="H5941" t="s">
        <v>20099</v>
      </c>
    </row>
    <row r="5942" spans="6:8">
      <c r="F5942" t="s">
        <v>10981</v>
      </c>
      <c r="G5942" t="s">
        <v>15372</v>
      </c>
      <c r="H5942" t="s">
        <v>20091</v>
      </c>
    </row>
    <row r="5943" spans="6:8">
      <c r="H5943" t="s">
        <v>19712</v>
      </c>
    </row>
    <row r="5944" spans="6:8">
      <c r="H5944" t="s">
        <v>20092</v>
      </c>
    </row>
    <row r="5945" spans="6:8">
      <c r="H5945" t="s">
        <v>20093</v>
      </c>
    </row>
    <row r="5946" spans="6:8">
      <c r="H5946" t="s">
        <v>20094</v>
      </c>
    </row>
    <row r="5947" spans="6:8">
      <c r="H5947" t="s">
        <v>20095</v>
      </c>
    </row>
    <row r="5948" spans="6:8">
      <c r="H5948" t="s">
        <v>20096</v>
      </c>
    </row>
    <row r="5949" spans="6:8">
      <c r="H5949" t="s">
        <v>20097</v>
      </c>
    </row>
    <row r="5950" spans="6:8">
      <c r="H5950" t="s">
        <v>20098</v>
      </c>
    </row>
    <row r="5951" spans="6:8">
      <c r="H5951" t="s">
        <v>20099</v>
      </c>
    </row>
    <row r="5952" spans="6:8">
      <c r="H5952" t="s">
        <v>20100</v>
      </c>
    </row>
    <row r="5953" spans="6:8">
      <c r="H5953" t="s">
        <v>20101</v>
      </c>
    </row>
    <row r="5954" spans="6:8">
      <c r="H5954" t="s">
        <v>20102</v>
      </c>
    </row>
    <row r="5955" spans="6:8">
      <c r="F5955" t="s">
        <v>10982</v>
      </c>
      <c r="G5955" t="s">
        <v>15373</v>
      </c>
      <c r="H5955" t="s">
        <v>20091</v>
      </c>
    </row>
    <row r="5956" spans="6:8">
      <c r="H5956" t="s">
        <v>19712</v>
      </c>
    </row>
    <row r="5957" spans="6:8">
      <c r="H5957" t="s">
        <v>20092</v>
      </c>
    </row>
    <row r="5958" spans="6:8">
      <c r="H5958" t="s">
        <v>20093</v>
      </c>
    </row>
    <row r="5959" spans="6:8">
      <c r="H5959" t="s">
        <v>20094</v>
      </c>
    </row>
    <row r="5960" spans="6:8">
      <c r="H5960" t="s">
        <v>20095</v>
      </c>
    </row>
    <row r="5961" spans="6:8">
      <c r="H5961" t="s">
        <v>20096</v>
      </c>
    </row>
    <row r="5962" spans="6:8">
      <c r="H5962" t="s">
        <v>20097</v>
      </c>
    </row>
    <row r="5963" spans="6:8">
      <c r="H5963" t="s">
        <v>20098</v>
      </c>
    </row>
    <row r="5964" spans="6:8">
      <c r="H5964" t="s">
        <v>20099</v>
      </c>
    </row>
    <row r="5965" spans="6:8">
      <c r="H5965" t="s">
        <v>20100</v>
      </c>
    </row>
    <row r="5966" spans="6:8">
      <c r="H5966" t="s">
        <v>20101</v>
      </c>
    </row>
    <row r="5967" spans="6:8">
      <c r="H5967" t="s">
        <v>20102</v>
      </c>
    </row>
    <row r="5968" spans="6:8">
      <c r="F5968" t="s">
        <v>10983</v>
      </c>
      <c r="G5968" t="s">
        <v>15374</v>
      </c>
      <c r="H5968" t="s">
        <v>20091</v>
      </c>
    </row>
    <row r="5969" spans="6:8">
      <c r="H5969" t="s">
        <v>20107</v>
      </c>
    </row>
    <row r="5970" spans="6:8">
      <c r="H5970" t="s">
        <v>20108</v>
      </c>
    </row>
    <row r="5971" spans="6:8">
      <c r="H5971" t="s">
        <v>20095</v>
      </c>
    </row>
    <row r="5972" spans="6:8">
      <c r="F5972" t="s">
        <v>10984</v>
      </c>
      <c r="G5972" t="s">
        <v>15375</v>
      </c>
      <c r="H5972" t="s">
        <v>20091</v>
      </c>
    </row>
    <row r="5973" spans="6:8">
      <c r="H5973" t="s">
        <v>19712</v>
      </c>
    </row>
    <row r="5974" spans="6:8">
      <c r="H5974" t="s">
        <v>20092</v>
      </c>
    </row>
    <row r="5975" spans="6:8">
      <c r="H5975" t="s">
        <v>20093</v>
      </c>
    </row>
    <row r="5976" spans="6:8">
      <c r="H5976" t="s">
        <v>20094</v>
      </c>
    </row>
    <row r="5977" spans="6:8">
      <c r="H5977" t="s">
        <v>20095</v>
      </c>
    </row>
    <row r="5978" spans="6:8">
      <c r="H5978" t="s">
        <v>20096</v>
      </c>
    </row>
    <row r="5979" spans="6:8">
      <c r="H5979" t="s">
        <v>20097</v>
      </c>
    </row>
    <row r="5980" spans="6:8">
      <c r="H5980" t="s">
        <v>20098</v>
      </c>
    </row>
    <row r="5981" spans="6:8">
      <c r="H5981" t="s">
        <v>20099</v>
      </c>
    </row>
    <row r="5982" spans="6:8">
      <c r="H5982" t="s">
        <v>20100</v>
      </c>
    </row>
    <row r="5983" spans="6:8">
      <c r="H5983" t="s">
        <v>20101</v>
      </c>
    </row>
    <row r="5984" spans="6:8">
      <c r="H5984" t="s">
        <v>20102</v>
      </c>
    </row>
    <row r="5985" spans="6:8">
      <c r="F5985" t="s">
        <v>10985</v>
      </c>
      <c r="G5985" t="s">
        <v>15376</v>
      </c>
      <c r="H5985" t="s">
        <v>20091</v>
      </c>
    </row>
    <row r="5986" spans="6:8">
      <c r="H5986" t="s">
        <v>19712</v>
      </c>
    </row>
    <row r="5987" spans="6:8">
      <c r="H5987" t="s">
        <v>20092</v>
      </c>
    </row>
    <row r="5988" spans="6:8">
      <c r="H5988" t="s">
        <v>20093</v>
      </c>
    </row>
    <row r="5989" spans="6:8">
      <c r="H5989" t="s">
        <v>20094</v>
      </c>
    </row>
    <row r="5990" spans="6:8">
      <c r="H5990" t="s">
        <v>20095</v>
      </c>
    </row>
    <row r="5991" spans="6:8">
      <c r="H5991" t="s">
        <v>20096</v>
      </c>
    </row>
    <row r="5992" spans="6:8">
      <c r="H5992" t="s">
        <v>20097</v>
      </c>
    </row>
    <row r="5993" spans="6:8">
      <c r="H5993" t="s">
        <v>20098</v>
      </c>
    </row>
    <row r="5994" spans="6:8">
      <c r="H5994" t="s">
        <v>20099</v>
      </c>
    </row>
    <row r="5995" spans="6:8">
      <c r="H5995" t="s">
        <v>20100</v>
      </c>
    </row>
    <row r="5996" spans="6:8">
      <c r="H5996" t="s">
        <v>20101</v>
      </c>
    </row>
    <row r="5997" spans="6:8">
      <c r="H5997" t="s">
        <v>20102</v>
      </c>
    </row>
    <row r="5998" spans="6:8">
      <c r="F5998" t="s">
        <v>10986</v>
      </c>
      <c r="G5998" t="s">
        <v>15377</v>
      </c>
      <c r="H5998" t="s">
        <v>20091</v>
      </c>
    </row>
    <row r="5999" spans="6:8">
      <c r="H5999" t="s">
        <v>19712</v>
      </c>
    </row>
    <row r="6000" spans="6:8">
      <c r="H6000" t="s">
        <v>19706</v>
      </c>
    </row>
    <row r="6001" spans="6:8">
      <c r="H6001" t="s">
        <v>20092</v>
      </c>
    </row>
    <row r="6002" spans="6:8">
      <c r="H6002" t="s">
        <v>20093</v>
      </c>
    </row>
    <row r="6003" spans="6:8">
      <c r="H6003" t="s">
        <v>20094</v>
      </c>
    </row>
    <row r="6004" spans="6:8">
      <c r="H6004" t="s">
        <v>20095</v>
      </c>
    </row>
    <row r="6005" spans="6:8">
      <c r="H6005" t="s">
        <v>20096</v>
      </c>
    </row>
    <row r="6006" spans="6:8">
      <c r="H6006" t="s">
        <v>20097</v>
      </c>
    </row>
    <row r="6007" spans="6:8">
      <c r="H6007" t="s">
        <v>20098</v>
      </c>
    </row>
    <row r="6008" spans="6:8">
      <c r="F6008" t="s">
        <v>10987</v>
      </c>
      <c r="G6008" t="s">
        <v>15378</v>
      </c>
      <c r="H6008" t="s">
        <v>20091</v>
      </c>
    </row>
    <row r="6009" spans="6:8">
      <c r="H6009" t="s">
        <v>19712</v>
      </c>
    </row>
    <row r="6010" spans="6:8">
      <c r="H6010" t="s">
        <v>19709</v>
      </c>
    </row>
    <row r="6011" spans="6:8">
      <c r="H6011" t="s">
        <v>20107</v>
      </c>
    </row>
    <row r="6012" spans="6:8">
      <c r="H6012" t="s">
        <v>20108</v>
      </c>
    </row>
    <row r="6013" spans="6:8">
      <c r="H6013" t="s">
        <v>19713</v>
      </c>
    </row>
    <row r="6014" spans="6:8">
      <c r="H6014" t="s">
        <v>19714</v>
      </c>
    </row>
    <row r="6015" spans="6:8">
      <c r="H6015" t="s">
        <v>20109</v>
      </c>
    </row>
    <row r="6016" spans="6:8">
      <c r="H6016" t="s">
        <v>20110</v>
      </c>
    </row>
    <row r="6017" spans="6:8">
      <c r="H6017" t="s">
        <v>20111</v>
      </c>
    </row>
    <row r="6018" spans="6:8">
      <c r="H6018" t="s">
        <v>20095</v>
      </c>
    </row>
    <row r="6019" spans="6:8">
      <c r="H6019" t="s">
        <v>20096</v>
      </c>
    </row>
    <row r="6020" spans="6:8">
      <c r="H6020" t="s">
        <v>20097</v>
      </c>
    </row>
    <row r="6021" spans="6:8">
      <c r="H6021" t="s">
        <v>20098</v>
      </c>
    </row>
    <row r="6022" spans="6:8">
      <c r="F6022" t="s">
        <v>10988</v>
      </c>
      <c r="G6022" t="s">
        <v>15379</v>
      </c>
      <c r="H6022" t="s">
        <v>20091</v>
      </c>
    </row>
    <row r="6023" spans="6:8">
      <c r="H6023" t="s">
        <v>19712</v>
      </c>
    </row>
    <row r="6024" spans="6:8">
      <c r="H6024" t="s">
        <v>19709</v>
      </c>
    </row>
    <row r="6025" spans="6:8">
      <c r="H6025" t="s">
        <v>20107</v>
      </c>
    </row>
    <row r="6026" spans="6:8">
      <c r="H6026" t="s">
        <v>20108</v>
      </c>
    </row>
    <row r="6027" spans="6:8">
      <c r="H6027" t="s">
        <v>19713</v>
      </c>
    </row>
    <row r="6028" spans="6:8">
      <c r="H6028" t="s">
        <v>19714</v>
      </c>
    </row>
    <row r="6029" spans="6:8">
      <c r="H6029" t="s">
        <v>20109</v>
      </c>
    </row>
    <row r="6030" spans="6:8">
      <c r="H6030" t="s">
        <v>20110</v>
      </c>
    </row>
    <row r="6031" spans="6:8">
      <c r="H6031" t="s">
        <v>20095</v>
      </c>
    </row>
    <row r="6032" spans="6:8">
      <c r="H6032" t="s">
        <v>20096</v>
      </c>
    </row>
    <row r="6033" spans="6:8">
      <c r="H6033" t="s">
        <v>20097</v>
      </c>
    </row>
    <row r="6034" spans="6:8">
      <c r="H6034" t="s">
        <v>20098</v>
      </c>
    </row>
    <row r="6035" spans="6:8">
      <c r="F6035" t="s">
        <v>10989</v>
      </c>
      <c r="G6035" t="s">
        <v>15380</v>
      </c>
      <c r="H6035" t="s">
        <v>20091</v>
      </c>
    </row>
    <row r="6036" spans="6:8">
      <c r="H6036" t="s">
        <v>19712</v>
      </c>
    </row>
    <row r="6037" spans="6:8">
      <c r="H6037" t="s">
        <v>19709</v>
      </c>
    </row>
    <row r="6038" spans="6:8">
      <c r="H6038" t="s">
        <v>20107</v>
      </c>
    </row>
    <row r="6039" spans="6:8">
      <c r="H6039" t="s">
        <v>20108</v>
      </c>
    </row>
    <row r="6040" spans="6:8">
      <c r="H6040" t="s">
        <v>19713</v>
      </c>
    </row>
    <row r="6041" spans="6:8">
      <c r="H6041" t="s">
        <v>19714</v>
      </c>
    </row>
    <row r="6042" spans="6:8">
      <c r="H6042" t="s">
        <v>20109</v>
      </c>
    </row>
    <row r="6043" spans="6:8">
      <c r="H6043" t="s">
        <v>20110</v>
      </c>
    </row>
    <row r="6044" spans="6:8">
      <c r="H6044" t="s">
        <v>20095</v>
      </c>
    </row>
    <row r="6045" spans="6:8">
      <c r="H6045" t="s">
        <v>20096</v>
      </c>
    </row>
    <row r="6046" spans="6:8">
      <c r="H6046" t="s">
        <v>20097</v>
      </c>
    </row>
    <row r="6047" spans="6:8">
      <c r="H6047" t="s">
        <v>20098</v>
      </c>
    </row>
    <row r="6048" spans="6:8">
      <c r="F6048" t="s">
        <v>10990</v>
      </c>
      <c r="G6048" t="s">
        <v>15381</v>
      </c>
      <c r="H6048" t="s">
        <v>20091</v>
      </c>
    </row>
    <row r="6049" spans="6:8">
      <c r="H6049" t="s">
        <v>19712</v>
      </c>
    </row>
    <row r="6050" spans="6:8">
      <c r="H6050" t="s">
        <v>19709</v>
      </c>
    </row>
    <row r="6051" spans="6:8">
      <c r="H6051" t="s">
        <v>20107</v>
      </c>
    </row>
    <row r="6052" spans="6:8">
      <c r="H6052" t="s">
        <v>20108</v>
      </c>
    </row>
    <row r="6053" spans="6:8">
      <c r="H6053" t="s">
        <v>19713</v>
      </c>
    </row>
    <row r="6054" spans="6:8">
      <c r="H6054" t="s">
        <v>19714</v>
      </c>
    </row>
    <row r="6055" spans="6:8">
      <c r="H6055" t="s">
        <v>20109</v>
      </c>
    </row>
    <row r="6056" spans="6:8">
      <c r="H6056" t="s">
        <v>20110</v>
      </c>
    </row>
    <row r="6057" spans="6:8">
      <c r="H6057" t="s">
        <v>20111</v>
      </c>
    </row>
    <row r="6058" spans="6:8">
      <c r="H6058" t="s">
        <v>20112</v>
      </c>
    </row>
    <row r="6059" spans="6:8">
      <c r="H6059" t="s">
        <v>20113</v>
      </c>
    </row>
    <row r="6060" spans="6:8">
      <c r="H6060" t="s">
        <v>20095</v>
      </c>
    </row>
    <row r="6061" spans="6:8">
      <c r="H6061" t="s">
        <v>20096</v>
      </c>
    </row>
    <row r="6062" spans="6:8">
      <c r="H6062" t="s">
        <v>20097</v>
      </c>
    </row>
    <row r="6063" spans="6:8">
      <c r="H6063" t="s">
        <v>20098</v>
      </c>
    </row>
    <row r="6064" spans="6:8">
      <c r="F6064" t="s">
        <v>10991</v>
      </c>
      <c r="G6064" t="s">
        <v>15382</v>
      </c>
      <c r="H6064" t="s">
        <v>20091</v>
      </c>
    </row>
    <row r="6065" spans="6:8">
      <c r="H6065" t="s">
        <v>19712</v>
      </c>
    </row>
    <row r="6066" spans="6:8">
      <c r="H6066" t="s">
        <v>20092</v>
      </c>
    </row>
    <row r="6067" spans="6:8">
      <c r="H6067" t="s">
        <v>20093</v>
      </c>
    </row>
    <row r="6068" spans="6:8">
      <c r="H6068" t="s">
        <v>20094</v>
      </c>
    </row>
    <row r="6069" spans="6:8">
      <c r="H6069" t="s">
        <v>20095</v>
      </c>
    </row>
    <row r="6070" spans="6:8">
      <c r="H6070" t="s">
        <v>20096</v>
      </c>
    </row>
    <row r="6071" spans="6:8">
      <c r="H6071" t="s">
        <v>20097</v>
      </c>
    </row>
    <row r="6072" spans="6:8">
      <c r="H6072" t="s">
        <v>20098</v>
      </c>
    </row>
    <row r="6073" spans="6:8">
      <c r="H6073" t="s">
        <v>20099</v>
      </c>
    </row>
    <row r="6074" spans="6:8">
      <c r="H6074" t="s">
        <v>20100</v>
      </c>
    </row>
    <row r="6075" spans="6:8">
      <c r="H6075" t="s">
        <v>20101</v>
      </c>
    </row>
    <row r="6076" spans="6:8">
      <c r="H6076" t="s">
        <v>20102</v>
      </c>
    </row>
    <row r="6077" spans="6:8">
      <c r="F6077" t="s">
        <v>10992</v>
      </c>
      <c r="G6077" t="s">
        <v>15383</v>
      </c>
      <c r="H6077" t="s">
        <v>20091</v>
      </c>
    </row>
    <row r="6078" spans="6:8">
      <c r="H6078" t="s">
        <v>19712</v>
      </c>
    </row>
    <row r="6079" spans="6:8">
      <c r="H6079" t="s">
        <v>20092</v>
      </c>
    </row>
    <row r="6080" spans="6:8">
      <c r="H6080" t="s">
        <v>20093</v>
      </c>
    </row>
    <row r="6081" spans="6:8">
      <c r="H6081" t="s">
        <v>20094</v>
      </c>
    </row>
    <row r="6082" spans="6:8">
      <c r="H6082" t="s">
        <v>20095</v>
      </c>
    </row>
    <row r="6083" spans="6:8">
      <c r="H6083" t="s">
        <v>20096</v>
      </c>
    </row>
    <row r="6084" spans="6:8">
      <c r="H6084" t="s">
        <v>20097</v>
      </c>
    </row>
    <row r="6085" spans="6:8">
      <c r="H6085" t="s">
        <v>20098</v>
      </c>
    </row>
    <row r="6086" spans="6:8">
      <c r="H6086" t="s">
        <v>20099</v>
      </c>
    </row>
    <row r="6087" spans="6:8">
      <c r="H6087" t="s">
        <v>20100</v>
      </c>
    </row>
    <row r="6088" spans="6:8">
      <c r="H6088" t="s">
        <v>20101</v>
      </c>
    </row>
    <row r="6089" spans="6:8">
      <c r="H6089" t="s">
        <v>20102</v>
      </c>
    </row>
    <row r="6090" spans="6:8">
      <c r="F6090" t="s">
        <v>10993</v>
      </c>
      <c r="G6090" t="s">
        <v>15384</v>
      </c>
      <c r="H6090" t="s">
        <v>20091</v>
      </c>
    </row>
    <row r="6091" spans="6:8">
      <c r="H6091" t="s">
        <v>19712</v>
      </c>
    </row>
    <row r="6092" spans="6:8">
      <c r="H6092" t="s">
        <v>19709</v>
      </c>
    </row>
    <row r="6093" spans="6:8">
      <c r="H6093" t="s">
        <v>20107</v>
      </c>
    </row>
    <row r="6094" spans="6:8">
      <c r="H6094" t="s">
        <v>20108</v>
      </c>
    </row>
    <row r="6095" spans="6:8">
      <c r="H6095" t="s">
        <v>19713</v>
      </c>
    </row>
    <row r="6096" spans="6:8">
      <c r="H6096" t="s">
        <v>19714</v>
      </c>
    </row>
    <row r="6097" spans="6:8">
      <c r="H6097" t="s">
        <v>20109</v>
      </c>
    </row>
    <row r="6098" spans="6:8">
      <c r="H6098" t="s">
        <v>20095</v>
      </c>
    </row>
    <row r="6099" spans="6:8">
      <c r="H6099" t="s">
        <v>20096</v>
      </c>
    </row>
    <row r="6100" spans="6:8">
      <c r="H6100" t="s">
        <v>20097</v>
      </c>
    </row>
    <row r="6101" spans="6:8">
      <c r="H6101" t="s">
        <v>20098</v>
      </c>
    </row>
    <row r="6102" spans="6:8">
      <c r="F6102" t="s">
        <v>10994</v>
      </c>
      <c r="G6102" t="s">
        <v>15385</v>
      </c>
      <c r="H6102" t="s">
        <v>20091</v>
      </c>
    </row>
    <row r="6103" spans="6:8">
      <c r="H6103" t="s">
        <v>19712</v>
      </c>
    </row>
    <row r="6104" spans="6:8">
      <c r="H6104" t="s">
        <v>19709</v>
      </c>
    </row>
    <row r="6105" spans="6:8">
      <c r="H6105" t="s">
        <v>20107</v>
      </c>
    </row>
    <row r="6106" spans="6:8">
      <c r="H6106" t="s">
        <v>20108</v>
      </c>
    </row>
    <row r="6107" spans="6:8">
      <c r="H6107" t="s">
        <v>19713</v>
      </c>
    </row>
    <row r="6108" spans="6:8">
      <c r="H6108" t="s">
        <v>19714</v>
      </c>
    </row>
    <row r="6109" spans="6:8">
      <c r="H6109" t="s">
        <v>20109</v>
      </c>
    </row>
    <row r="6110" spans="6:8">
      <c r="H6110" t="s">
        <v>20095</v>
      </c>
    </row>
    <row r="6111" spans="6:8">
      <c r="H6111" t="s">
        <v>20096</v>
      </c>
    </row>
    <row r="6112" spans="6:8">
      <c r="H6112" t="s">
        <v>20097</v>
      </c>
    </row>
    <row r="6113" spans="6:8">
      <c r="H6113" t="s">
        <v>20098</v>
      </c>
    </row>
    <row r="6114" spans="6:8">
      <c r="F6114" t="s">
        <v>10995</v>
      </c>
      <c r="G6114" t="s">
        <v>15386</v>
      </c>
      <c r="H6114" t="s">
        <v>20091</v>
      </c>
    </row>
    <row r="6115" spans="6:8">
      <c r="H6115" t="s">
        <v>20095</v>
      </c>
    </row>
    <row r="6116" spans="6:8">
      <c r="F6116" t="s">
        <v>10996</v>
      </c>
      <c r="G6116" t="s">
        <v>15387</v>
      </c>
      <c r="H6116" t="s">
        <v>20091</v>
      </c>
    </row>
    <row r="6117" spans="6:8">
      <c r="H6117" t="s">
        <v>20095</v>
      </c>
    </row>
    <row r="6118" spans="6:8">
      <c r="F6118" t="s">
        <v>10997</v>
      </c>
      <c r="G6118" t="s">
        <v>15388</v>
      </c>
      <c r="H6118" t="s">
        <v>20091</v>
      </c>
    </row>
    <row r="6119" spans="6:8">
      <c r="H6119" t="s">
        <v>19712</v>
      </c>
    </row>
    <row r="6120" spans="6:8">
      <c r="H6120" t="s">
        <v>19709</v>
      </c>
    </row>
    <row r="6121" spans="6:8">
      <c r="H6121" t="s">
        <v>19706</v>
      </c>
    </row>
    <row r="6122" spans="6:8">
      <c r="H6122" t="s">
        <v>20108</v>
      </c>
    </row>
    <row r="6123" spans="6:8">
      <c r="H6123" t="s">
        <v>19713</v>
      </c>
    </row>
    <row r="6124" spans="6:8">
      <c r="H6124" t="s">
        <v>19714</v>
      </c>
    </row>
    <row r="6125" spans="6:8">
      <c r="H6125" t="s">
        <v>20109</v>
      </c>
    </row>
    <row r="6126" spans="6:8">
      <c r="H6126" t="s">
        <v>20110</v>
      </c>
    </row>
    <row r="6127" spans="6:8">
      <c r="H6127" t="s">
        <v>20111</v>
      </c>
    </row>
    <row r="6128" spans="6:8">
      <c r="H6128" t="s">
        <v>20112</v>
      </c>
    </row>
    <row r="6129" spans="6:8">
      <c r="H6129" t="s">
        <v>20113</v>
      </c>
    </row>
    <row r="6130" spans="6:8">
      <c r="H6130" t="s">
        <v>20095</v>
      </c>
    </row>
    <row r="6131" spans="6:8">
      <c r="H6131" t="s">
        <v>20096</v>
      </c>
    </row>
    <row r="6132" spans="6:8">
      <c r="H6132" t="s">
        <v>20097</v>
      </c>
    </row>
    <row r="6133" spans="6:8">
      <c r="H6133" t="s">
        <v>20098</v>
      </c>
    </row>
    <row r="6134" spans="6:8">
      <c r="F6134" t="s">
        <v>10998</v>
      </c>
      <c r="G6134" t="s">
        <v>15389</v>
      </c>
      <c r="H6134" t="s">
        <v>20091</v>
      </c>
    </row>
    <row r="6135" spans="6:8">
      <c r="H6135" t="s">
        <v>19712</v>
      </c>
    </row>
    <row r="6136" spans="6:8">
      <c r="H6136" t="s">
        <v>20095</v>
      </c>
    </row>
    <row r="6137" spans="6:8">
      <c r="H6137" t="s">
        <v>20096</v>
      </c>
    </row>
    <row r="6138" spans="6:8">
      <c r="H6138" t="s">
        <v>20097</v>
      </c>
    </row>
    <row r="6139" spans="6:8">
      <c r="H6139" t="s">
        <v>20098</v>
      </c>
    </row>
    <row r="6140" spans="6:8">
      <c r="H6140" t="s">
        <v>19709</v>
      </c>
    </row>
    <row r="6141" spans="6:8">
      <c r="H6141" t="s">
        <v>19706</v>
      </c>
    </row>
    <row r="6142" spans="6:8">
      <c r="H6142" t="s">
        <v>20099</v>
      </c>
    </row>
    <row r="6143" spans="6:8">
      <c r="H6143" t="s">
        <v>20100</v>
      </c>
    </row>
    <row r="6144" spans="6:8">
      <c r="H6144" t="s">
        <v>20101</v>
      </c>
    </row>
    <row r="6145" spans="6:8">
      <c r="H6145" t="s">
        <v>20102</v>
      </c>
    </row>
    <row r="6146" spans="6:8">
      <c r="F6146" t="s">
        <v>10999</v>
      </c>
      <c r="G6146" t="s">
        <v>15390</v>
      </c>
      <c r="H6146" t="s">
        <v>20091</v>
      </c>
    </row>
    <row r="6147" spans="6:8">
      <c r="H6147" t="s">
        <v>19712</v>
      </c>
    </row>
    <row r="6148" spans="6:8">
      <c r="H6148" t="s">
        <v>20095</v>
      </c>
    </row>
    <row r="6149" spans="6:8">
      <c r="H6149" t="s">
        <v>20096</v>
      </c>
    </row>
    <row r="6150" spans="6:8">
      <c r="H6150" t="s">
        <v>20097</v>
      </c>
    </row>
    <row r="6151" spans="6:8">
      <c r="H6151" t="s">
        <v>20098</v>
      </c>
    </row>
    <row r="6152" spans="6:8">
      <c r="F6152" t="s">
        <v>11000</v>
      </c>
      <c r="G6152" t="s">
        <v>15391</v>
      </c>
      <c r="H6152" t="s">
        <v>20091</v>
      </c>
    </row>
    <row r="6153" spans="6:8">
      <c r="H6153" t="s">
        <v>19712</v>
      </c>
    </row>
    <row r="6154" spans="6:8">
      <c r="H6154" t="s">
        <v>20095</v>
      </c>
    </row>
    <row r="6155" spans="6:8">
      <c r="H6155" t="s">
        <v>20096</v>
      </c>
    </row>
    <row r="6156" spans="6:8">
      <c r="H6156" t="s">
        <v>20097</v>
      </c>
    </row>
    <row r="6157" spans="6:8">
      <c r="H6157" t="s">
        <v>20098</v>
      </c>
    </row>
    <row r="6158" spans="6:8">
      <c r="F6158" t="s">
        <v>11001</v>
      </c>
      <c r="G6158" t="s">
        <v>15392</v>
      </c>
      <c r="H6158" t="s">
        <v>20091</v>
      </c>
    </row>
    <row r="6159" spans="6:8">
      <c r="H6159" t="s">
        <v>19712</v>
      </c>
    </row>
    <row r="6160" spans="6:8">
      <c r="H6160" t="s">
        <v>20095</v>
      </c>
    </row>
    <row r="6161" spans="6:8">
      <c r="H6161" t="s">
        <v>20096</v>
      </c>
    </row>
    <row r="6162" spans="6:8">
      <c r="H6162" t="s">
        <v>20097</v>
      </c>
    </row>
    <row r="6163" spans="6:8">
      <c r="H6163" t="s">
        <v>20098</v>
      </c>
    </row>
    <row r="6164" spans="6:8">
      <c r="F6164" t="s">
        <v>11002</v>
      </c>
      <c r="G6164" t="s">
        <v>15393</v>
      </c>
      <c r="H6164" t="s">
        <v>20091</v>
      </c>
    </row>
    <row r="6165" spans="6:8">
      <c r="H6165" t="s">
        <v>19712</v>
      </c>
    </row>
    <row r="6166" spans="6:8">
      <c r="H6166" t="s">
        <v>20095</v>
      </c>
    </row>
    <row r="6167" spans="6:8">
      <c r="H6167" t="s">
        <v>20096</v>
      </c>
    </row>
    <row r="6168" spans="6:8">
      <c r="H6168" t="s">
        <v>20097</v>
      </c>
    </row>
    <row r="6169" spans="6:8">
      <c r="H6169" t="s">
        <v>20098</v>
      </c>
    </row>
    <row r="6170" spans="6:8">
      <c r="F6170" t="s">
        <v>11003</v>
      </c>
      <c r="G6170" t="s">
        <v>15394</v>
      </c>
      <c r="H6170" t="s">
        <v>20091</v>
      </c>
    </row>
    <row r="6171" spans="6:8">
      <c r="H6171" t="s">
        <v>19712</v>
      </c>
    </row>
    <row r="6172" spans="6:8">
      <c r="H6172" t="s">
        <v>19709</v>
      </c>
    </row>
    <row r="6173" spans="6:8">
      <c r="H6173" t="s">
        <v>20107</v>
      </c>
    </row>
    <row r="6174" spans="6:8">
      <c r="H6174" t="s">
        <v>20108</v>
      </c>
    </row>
    <row r="6175" spans="6:8">
      <c r="H6175" t="s">
        <v>19713</v>
      </c>
    </row>
    <row r="6176" spans="6:8">
      <c r="H6176" t="s">
        <v>19714</v>
      </c>
    </row>
    <row r="6177" spans="6:8">
      <c r="H6177" t="s">
        <v>20109</v>
      </c>
    </row>
    <row r="6178" spans="6:8">
      <c r="H6178" t="s">
        <v>20110</v>
      </c>
    </row>
    <row r="6179" spans="6:8">
      <c r="H6179" t="s">
        <v>20111</v>
      </c>
    </row>
    <row r="6180" spans="6:8">
      <c r="H6180" t="s">
        <v>20112</v>
      </c>
    </row>
    <row r="6181" spans="6:8">
      <c r="H6181" t="s">
        <v>20095</v>
      </c>
    </row>
    <row r="6182" spans="6:8">
      <c r="H6182" t="s">
        <v>20096</v>
      </c>
    </row>
    <row r="6183" spans="6:8">
      <c r="H6183" t="s">
        <v>20097</v>
      </c>
    </row>
    <row r="6184" spans="6:8">
      <c r="H6184" t="s">
        <v>20098</v>
      </c>
    </row>
    <row r="6185" spans="6:8">
      <c r="F6185" t="s">
        <v>11004</v>
      </c>
      <c r="G6185" t="s">
        <v>15395</v>
      </c>
      <c r="H6185" t="s">
        <v>20091</v>
      </c>
    </row>
    <row r="6186" spans="6:8">
      <c r="H6186" t="s">
        <v>19712</v>
      </c>
    </row>
    <row r="6187" spans="6:8">
      <c r="H6187" t="s">
        <v>19709</v>
      </c>
    </row>
    <row r="6188" spans="6:8">
      <c r="H6188" t="s">
        <v>19706</v>
      </c>
    </row>
    <row r="6189" spans="6:8">
      <c r="H6189" t="s">
        <v>20107</v>
      </c>
    </row>
    <row r="6190" spans="6:8">
      <c r="H6190" t="s">
        <v>20108</v>
      </c>
    </row>
    <row r="6191" spans="6:8">
      <c r="H6191" t="s">
        <v>19713</v>
      </c>
    </row>
    <row r="6192" spans="6:8">
      <c r="H6192" t="s">
        <v>19714</v>
      </c>
    </row>
    <row r="6193" spans="6:8">
      <c r="H6193" t="s">
        <v>20109</v>
      </c>
    </row>
    <row r="6194" spans="6:8">
      <c r="H6194" t="s">
        <v>20095</v>
      </c>
    </row>
    <row r="6195" spans="6:8">
      <c r="H6195" t="s">
        <v>20096</v>
      </c>
    </row>
    <row r="6196" spans="6:8">
      <c r="H6196" t="s">
        <v>20097</v>
      </c>
    </row>
    <row r="6197" spans="6:8">
      <c r="H6197" t="s">
        <v>20098</v>
      </c>
    </row>
    <row r="6198" spans="6:8">
      <c r="F6198" t="s">
        <v>11005</v>
      </c>
      <c r="G6198" t="s">
        <v>15396</v>
      </c>
      <c r="H6198" t="s">
        <v>20091</v>
      </c>
    </row>
    <row r="6199" spans="6:8">
      <c r="H6199" t="s">
        <v>19712</v>
      </c>
    </row>
    <row r="6200" spans="6:8">
      <c r="H6200" t="s">
        <v>19709</v>
      </c>
    </row>
    <row r="6201" spans="6:8">
      <c r="H6201" t="s">
        <v>20107</v>
      </c>
    </row>
    <row r="6202" spans="6:8">
      <c r="H6202" t="s">
        <v>20108</v>
      </c>
    </row>
    <row r="6203" spans="6:8">
      <c r="H6203" t="s">
        <v>19713</v>
      </c>
    </row>
    <row r="6204" spans="6:8">
      <c r="H6204" t="s">
        <v>19714</v>
      </c>
    </row>
    <row r="6205" spans="6:8">
      <c r="H6205" t="s">
        <v>20109</v>
      </c>
    </row>
    <row r="6206" spans="6:8">
      <c r="H6206" t="s">
        <v>20110</v>
      </c>
    </row>
    <row r="6207" spans="6:8">
      <c r="H6207" t="s">
        <v>20111</v>
      </c>
    </row>
    <row r="6208" spans="6:8">
      <c r="H6208" t="s">
        <v>20112</v>
      </c>
    </row>
    <row r="6209" spans="6:8">
      <c r="H6209" t="s">
        <v>20113</v>
      </c>
    </row>
    <row r="6210" spans="6:8">
      <c r="H6210" t="s">
        <v>20095</v>
      </c>
    </row>
    <row r="6211" spans="6:8">
      <c r="H6211" t="s">
        <v>20096</v>
      </c>
    </row>
    <row r="6212" spans="6:8">
      <c r="H6212" t="s">
        <v>20097</v>
      </c>
    </row>
    <row r="6213" spans="6:8">
      <c r="H6213" t="s">
        <v>20098</v>
      </c>
    </row>
    <row r="6214" spans="6:8">
      <c r="F6214" t="s">
        <v>11006</v>
      </c>
      <c r="G6214" t="s">
        <v>15397</v>
      </c>
      <c r="H6214" t="s">
        <v>20091</v>
      </c>
    </row>
    <row r="6215" spans="6:8">
      <c r="H6215" t="s">
        <v>19712</v>
      </c>
    </row>
    <row r="6216" spans="6:8">
      <c r="H6216" t="s">
        <v>19709</v>
      </c>
    </row>
    <row r="6217" spans="6:8">
      <c r="H6217" t="s">
        <v>20092</v>
      </c>
    </row>
    <row r="6218" spans="6:8">
      <c r="H6218" t="s">
        <v>20093</v>
      </c>
    </row>
    <row r="6219" spans="6:8">
      <c r="H6219" t="s">
        <v>20095</v>
      </c>
    </row>
    <row r="6220" spans="6:8">
      <c r="H6220" t="s">
        <v>20096</v>
      </c>
    </row>
    <row r="6221" spans="6:8">
      <c r="H6221" t="s">
        <v>20097</v>
      </c>
    </row>
    <row r="6222" spans="6:8">
      <c r="H6222" t="s">
        <v>20098</v>
      </c>
    </row>
    <row r="6223" spans="6:8">
      <c r="H6223" t="s">
        <v>20099</v>
      </c>
    </row>
    <row r="6224" spans="6:8">
      <c r="H6224" t="s">
        <v>20100</v>
      </c>
    </row>
    <row r="6225" spans="6:8">
      <c r="F6225" t="s">
        <v>11007</v>
      </c>
      <c r="G6225" t="s">
        <v>15398</v>
      </c>
      <c r="H6225" t="s">
        <v>20091</v>
      </c>
    </row>
    <row r="6226" spans="6:8">
      <c r="H6226" t="s">
        <v>19712</v>
      </c>
    </row>
    <row r="6227" spans="6:8">
      <c r="H6227" t="s">
        <v>20095</v>
      </c>
    </row>
    <row r="6228" spans="6:8">
      <c r="H6228" t="s">
        <v>20096</v>
      </c>
    </row>
    <row r="6229" spans="6:8">
      <c r="H6229" t="s">
        <v>20097</v>
      </c>
    </row>
    <row r="6230" spans="6:8">
      <c r="H6230" t="s">
        <v>19709</v>
      </c>
    </row>
    <row r="6231" spans="6:8">
      <c r="H6231" t="s">
        <v>19706</v>
      </c>
    </row>
    <row r="6232" spans="6:8">
      <c r="H6232" t="s">
        <v>20098</v>
      </c>
    </row>
    <row r="6233" spans="6:8">
      <c r="H6233" t="s">
        <v>20099</v>
      </c>
    </row>
    <row r="6234" spans="6:8">
      <c r="H6234" t="s">
        <v>20100</v>
      </c>
    </row>
    <row r="6235" spans="6:8">
      <c r="F6235" t="s">
        <v>11008</v>
      </c>
      <c r="G6235" t="s">
        <v>15399</v>
      </c>
      <c r="H6235" t="s">
        <v>20091</v>
      </c>
    </row>
    <row r="6236" spans="6:8">
      <c r="H6236" t="s">
        <v>19712</v>
      </c>
    </row>
    <row r="6237" spans="6:8">
      <c r="H6237" t="s">
        <v>20095</v>
      </c>
    </row>
    <row r="6238" spans="6:8">
      <c r="H6238" t="s">
        <v>20096</v>
      </c>
    </row>
    <row r="6239" spans="6:8">
      <c r="H6239" t="s">
        <v>20097</v>
      </c>
    </row>
    <row r="6240" spans="6:8">
      <c r="F6240" t="s">
        <v>11009</v>
      </c>
      <c r="G6240" t="s">
        <v>15400</v>
      </c>
      <c r="H6240" t="s">
        <v>20091</v>
      </c>
    </row>
    <row r="6241" spans="6:8">
      <c r="H6241" t="s">
        <v>19712</v>
      </c>
    </row>
    <row r="6242" spans="6:8">
      <c r="H6242" t="s">
        <v>20095</v>
      </c>
    </row>
    <row r="6243" spans="6:8">
      <c r="H6243" t="s">
        <v>20096</v>
      </c>
    </row>
    <row r="6244" spans="6:8">
      <c r="H6244" t="s">
        <v>20097</v>
      </c>
    </row>
    <row r="6245" spans="6:8">
      <c r="F6245" t="s">
        <v>11010</v>
      </c>
      <c r="G6245" t="s">
        <v>15401</v>
      </c>
      <c r="H6245" t="s">
        <v>20091</v>
      </c>
    </row>
    <row r="6246" spans="6:8">
      <c r="H6246" t="s">
        <v>19712</v>
      </c>
    </row>
    <row r="6247" spans="6:8">
      <c r="H6247" t="s">
        <v>20095</v>
      </c>
    </row>
    <row r="6248" spans="6:8">
      <c r="H6248" t="s">
        <v>20096</v>
      </c>
    </row>
    <row r="6249" spans="6:8">
      <c r="H6249" t="s">
        <v>20097</v>
      </c>
    </row>
    <row r="6250" spans="6:8">
      <c r="F6250" t="s">
        <v>11011</v>
      </c>
      <c r="G6250" t="s">
        <v>15402</v>
      </c>
      <c r="H6250" t="s">
        <v>20091</v>
      </c>
    </row>
    <row r="6251" spans="6:8">
      <c r="H6251" t="s">
        <v>19712</v>
      </c>
    </row>
    <row r="6252" spans="6:8">
      <c r="H6252" t="s">
        <v>20095</v>
      </c>
    </row>
    <row r="6253" spans="6:8">
      <c r="H6253" t="s">
        <v>20096</v>
      </c>
    </row>
    <row r="6254" spans="6:8">
      <c r="H6254" t="s">
        <v>20097</v>
      </c>
    </row>
    <row r="6255" spans="6:8">
      <c r="F6255" t="s">
        <v>11012</v>
      </c>
      <c r="G6255" t="s">
        <v>15403</v>
      </c>
      <c r="H6255" t="s">
        <v>20091</v>
      </c>
    </row>
    <row r="6256" spans="6:8">
      <c r="H6256" t="s">
        <v>19712</v>
      </c>
    </row>
    <row r="6257" spans="6:8">
      <c r="H6257" t="s">
        <v>19709</v>
      </c>
    </row>
    <row r="6258" spans="6:8">
      <c r="H6258" t="s">
        <v>20107</v>
      </c>
    </row>
    <row r="6259" spans="6:8">
      <c r="H6259" t="s">
        <v>20108</v>
      </c>
    </row>
    <row r="6260" spans="6:8">
      <c r="H6260" t="s">
        <v>19713</v>
      </c>
    </row>
    <row r="6261" spans="6:8">
      <c r="H6261" t="s">
        <v>19714</v>
      </c>
    </row>
    <row r="6262" spans="6:8">
      <c r="H6262" t="s">
        <v>20109</v>
      </c>
    </row>
    <row r="6263" spans="6:8">
      <c r="H6263" t="s">
        <v>20110</v>
      </c>
    </row>
    <row r="6264" spans="6:8">
      <c r="H6264" t="s">
        <v>20111</v>
      </c>
    </row>
    <row r="6265" spans="6:8">
      <c r="H6265" t="s">
        <v>20112</v>
      </c>
    </row>
    <row r="6266" spans="6:8">
      <c r="H6266" t="s">
        <v>20113</v>
      </c>
    </row>
    <row r="6267" spans="6:8">
      <c r="H6267" t="s">
        <v>20114</v>
      </c>
    </row>
    <row r="6268" spans="6:8">
      <c r="H6268" t="s">
        <v>20095</v>
      </c>
    </row>
    <row r="6269" spans="6:8">
      <c r="H6269" t="s">
        <v>20096</v>
      </c>
    </row>
    <row r="6270" spans="6:8">
      <c r="H6270" t="s">
        <v>20097</v>
      </c>
    </row>
    <row r="6271" spans="6:8">
      <c r="H6271" t="s">
        <v>20098</v>
      </c>
    </row>
    <row r="6272" spans="6:8">
      <c r="F6272" t="s">
        <v>11013</v>
      </c>
      <c r="G6272" t="s">
        <v>15404</v>
      </c>
      <c r="H6272" t="s">
        <v>20091</v>
      </c>
    </row>
    <row r="6273" spans="6:8">
      <c r="H6273" t="s">
        <v>19712</v>
      </c>
    </row>
    <row r="6274" spans="6:8">
      <c r="H6274" t="s">
        <v>19709</v>
      </c>
    </row>
    <row r="6275" spans="6:8">
      <c r="H6275" t="s">
        <v>20095</v>
      </c>
    </row>
    <row r="6276" spans="6:8">
      <c r="H6276" t="s">
        <v>20096</v>
      </c>
    </row>
    <row r="6277" spans="6:8">
      <c r="H6277" t="s">
        <v>20097</v>
      </c>
    </row>
    <row r="6278" spans="6:8">
      <c r="H6278" t="s">
        <v>20098</v>
      </c>
    </row>
    <row r="6279" spans="6:8">
      <c r="F6279" t="s">
        <v>11014</v>
      </c>
      <c r="G6279" t="s">
        <v>15405</v>
      </c>
      <c r="H6279" t="s">
        <v>20091</v>
      </c>
    </row>
    <row r="6280" spans="6:8">
      <c r="H6280" t="s">
        <v>19712</v>
      </c>
    </row>
    <row r="6281" spans="6:8">
      <c r="H6281" t="s">
        <v>19709</v>
      </c>
    </row>
    <row r="6282" spans="6:8">
      <c r="H6282" t="s">
        <v>19706</v>
      </c>
    </row>
    <row r="6283" spans="6:8">
      <c r="H6283" t="s">
        <v>20095</v>
      </c>
    </row>
    <row r="6284" spans="6:8">
      <c r="H6284" t="s">
        <v>20098</v>
      </c>
    </row>
    <row r="6285" spans="6:8">
      <c r="F6285" t="s">
        <v>11015</v>
      </c>
      <c r="G6285" t="s">
        <v>15406</v>
      </c>
      <c r="H6285" t="s">
        <v>20091</v>
      </c>
    </row>
    <row r="6286" spans="6:8">
      <c r="H6286" t="s">
        <v>19712</v>
      </c>
    </row>
    <row r="6287" spans="6:8">
      <c r="H6287" t="s">
        <v>19709</v>
      </c>
    </row>
    <row r="6288" spans="6:8">
      <c r="H6288" t="s">
        <v>19706</v>
      </c>
    </row>
    <row r="6289" spans="6:8">
      <c r="H6289" t="s">
        <v>20095</v>
      </c>
    </row>
    <row r="6290" spans="6:8">
      <c r="H6290" t="s">
        <v>20098</v>
      </c>
    </row>
    <row r="6291" spans="6:8">
      <c r="F6291" t="s">
        <v>11016</v>
      </c>
      <c r="G6291" t="s">
        <v>15407</v>
      </c>
      <c r="H6291" t="s">
        <v>20091</v>
      </c>
    </row>
    <row r="6292" spans="6:8">
      <c r="H6292" t="s">
        <v>19712</v>
      </c>
    </row>
    <row r="6293" spans="6:8">
      <c r="H6293" t="s">
        <v>19709</v>
      </c>
    </row>
    <row r="6294" spans="6:8">
      <c r="H6294" t="s">
        <v>19706</v>
      </c>
    </row>
    <row r="6295" spans="6:8">
      <c r="H6295" t="s">
        <v>19707</v>
      </c>
    </row>
    <row r="6296" spans="6:8">
      <c r="H6296" t="s">
        <v>20095</v>
      </c>
    </row>
    <row r="6297" spans="6:8">
      <c r="H6297" t="s">
        <v>20098</v>
      </c>
    </row>
    <row r="6298" spans="6:8">
      <c r="F6298" t="s">
        <v>11017</v>
      </c>
      <c r="G6298" t="s">
        <v>15408</v>
      </c>
      <c r="H6298" t="s">
        <v>20091</v>
      </c>
    </row>
    <row r="6299" spans="6:8">
      <c r="H6299" t="s">
        <v>19712</v>
      </c>
    </row>
    <row r="6300" spans="6:8">
      <c r="H6300" t="s">
        <v>19709</v>
      </c>
    </row>
    <row r="6301" spans="6:8">
      <c r="H6301" t="s">
        <v>19706</v>
      </c>
    </row>
    <row r="6302" spans="6:8">
      <c r="H6302" t="s">
        <v>20095</v>
      </c>
    </row>
    <row r="6303" spans="6:8">
      <c r="H6303" t="s">
        <v>20096</v>
      </c>
    </row>
    <row r="6304" spans="6:8">
      <c r="H6304" t="s">
        <v>20097</v>
      </c>
    </row>
    <row r="6305" spans="6:8">
      <c r="H6305" t="s">
        <v>20098</v>
      </c>
    </row>
    <row r="6306" spans="6:8">
      <c r="F6306" t="s">
        <v>11018</v>
      </c>
      <c r="G6306" t="s">
        <v>15409</v>
      </c>
      <c r="H6306" t="s">
        <v>20091</v>
      </c>
    </row>
    <row r="6307" spans="6:8">
      <c r="H6307" t="s">
        <v>19712</v>
      </c>
    </row>
    <row r="6308" spans="6:8">
      <c r="H6308" t="s">
        <v>19709</v>
      </c>
    </row>
    <row r="6309" spans="6:8">
      <c r="H6309" t="s">
        <v>20095</v>
      </c>
    </row>
    <row r="6310" spans="6:8">
      <c r="H6310" t="s">
        <v>20096</v>
      </c>
    </row>
    <row r="6311" spans="6:8">
      <c r="H6311" t="s">
        <v>20097</v>
      </c>
    </row>
    <row r="6312" spans="6:8">
      <c r="H6312" t="s">
        <v>20098</v>
      </c>
    </row>
    <row r="6313" spans="6:8">
      <c r="F6313" t="s">
        <v>11019</v>
      </c>
      <c r="G6313" t="s">
        <v>15410</v>
      </c>
      <c r="H6313" t="s">
        <v>20091</v>
      </c>
    </row>
    <row r="6314" spans="6:8">
      <c r="H6314" t="s">
        <v>19712</v>
      </c>
    </row>
    <row r="6315" spans="6:8">
      <c r="H6315" t="s">
        <v>19709</v>
      </c>
    </row>
    <row r="6316" spans="6:8">
      <c r="H6316" t="s">
        <v>20107</v>
      </c>
    </row>
    <row r="6317" spans="6:8">
      <c r="H6317" t="s">
        <v>20108</v>
      </c>
    </row>
    <row r="6318" spans="6:8">
      <c r="H6318" t="s">
        <v>19713</v>
      </c>
    </row>
    <row r="6319" spans="6:8">
      <c r="H6319" t="s">
        <v>19714</v>
      </c>
    </row>
    <row r="6320" spans="6:8">
      <c r="H6320" t="s">
        <v>20109</v>
      </c>
    </row>
    <row r="6321" spans="6:8">
      <c r="H6321" t="s">
        <v>20110</v>
      </c>
    </row>
    <row r="6322" spans="6:8">
      <c r="H6322" t="s">
        <v>20095</v>
      </c>
    </row>
    <row r="6323" spans="6:8">
      <c r="H6323" t="s">
        <v>20096</v>
      </c>
    </row>
    <row r="6324" spans="6:8">
      <c r="H6324" t="s">
        <v>20097</v>
      </c>
    </row>
    <row r="6325" spans="6:8">
      <c r="H6325" t="s">
        <v>20098</v>
      </c>
    </row>
    <row r="6326" spans="6:8">
      <c r="H6326" t="s">
        <v>20099</v>
      </c>
    </row>
    <row r="6327" spans="6:8">
      <c r="F6327" t="s">
        <v>11020</v>
      </c>
      <c r="G6327" t="s">
        <v>15411</v>
      </c>
      <c r="H6327" t="s">
        <v>20091</v>
      </c>
    </row>
    <row r="6328" spans="6:8">
      <c r="H6328" t="s">
        <v>19712</v>
      </c>
    </row>
    <row r="6329" spans="6:8">
      <c r="H6329" t="s">
        <v>19709</v>
      </c>
    </row>
    <row r="6330" spans="6:8">
      <c r="H6330" t="s">
        <v>20107</v>
      </c>
    </row>
    <row r="6331" spans="6:8">
      <c r="H6331" t="s">
        <v>20108</v>
      </c>
    </row>
    <row r="6332" spans="6:8">
      <c r="H6332" t="s">
        <v>19713</v>
      </c>
    </row>
    <row r="6333" spans="6:8">
      <c r="H6333" t="s">
        <v>19714</v>
      </c>
    </row>
    <row r="6334" spans="6:8">
      <c r="H6334" t="s">
        <v>20109</v>
      </c>
    </row>
    <row r="6335" spans="6:8">
      <c r="H6335" t="s">
        <v>20110</v>
      </c>
    </row>
    <row r="6336" spans="6:8">
      <c r="H6336" t="s">
        <v>20095</v>
      </c>
    </row>
    <row r="6337" spans="6:8">
      <c r="H6337" t="s">
        <v>20096</v>
      </c>
    </row>
    <row r="6338" spans="6:8">
      <c r="H6338" t="s">
        <v>20097</v>
      </c>
    </row>
    <row r="6339" spans="6:8">
      <c r="H6339" t="s">
        <v>20098</v>
      </c>
    </row>
    <row r="6340" spans="6:8">
      <c r="F6340" t="s">
        <v>11021</v>
      </c>
      <c r="G6340" t="s">
        <v>15412</v>
      </c>
      <c r="H6340" t="s">
        <v>20091</v>
      </c>
    </row>
    <row r="6341" spans="6:8">
      <c r="H6341" t="s">
        <v>19712</v>
      </c>
    </row>
    <row r="6342" spans="6:8">
      <c r="H6342" t="s">
        <v>19709</v>
      </c>
    </row>
    <row r="6343" spans="6:8">
      <c r="H6343" t="s">
        <v>20107</v>
      </c>
    </row>
    <row r="6344" spans="6:8">
      <c r="H6344" t="s">
        <v>20108</v>
      </c>
    </row>
    <row r="6345" spans="6:8">
      <c r="H6345" t="s">
        <v>19713</v>
      </c>
    </row>
    <row r="6346" spans="6:8">
      <c r="H6346" t="s">
        <v>19714</v>
      </c>
    </row>
    <row r="6347" spans="6:8">
      <c r="H6347" t="s">
        <v>20109</v>
      </c>
    </row>
    <row r="6348" spans="6:8">
      <c r="H6348" t="s">
        <v>20110</v>
      </c>
    </row>
    <row r="6349" spans="6:8">
      <c r="H6349" t="s">
        <v>20095</v>
      </c>
    </row>
    <row r="6350" spans="6:8">
      <c r="H6350" t="s">
        <v>20096</v>
      </c>
    </row>
    <row r="6351" spans="6:8">
      <c r="H6351" t="s">
        <v>20097</v>
      </c>
    </row>
    <row r="6352" spans="6:8">
      <c r="H6352" t="s">
        <v>20098</v>
      </c>
    </row>
    <row r="6353" spans="6:8">
      <c r="H6353" t="s">
        <v>20099</v>
      </c>
    </row>
    <row r="6354" spans="6:8">
      <c r="F6354" t="s">
        <v>11022</v>
      </c>
      <c r="G6354" t="s">
        <v>15413</v>
      </c>
      <c r="H6354" t="s">
        <v>20091</v>
      </c>
    </row>
    <row r="6355" spans="6:8">
      <c r="H6355" t="s">
        <v>19712</v>
      </c>
    </row>
    <row r="6356" spans="6:8">
      <c r="H6356" t="s">
        <v>19709</v>
      </c>
    </row>
    <row r="6357" spans="6:8">
      <c r="H6357" t="s">
        <v>20107</v>
      </c>
    </row>
    <row r="6358" spans="6:8">
      <c r="H6358" t="s">
        <v>20108</v>
      </c>
    </row>
    <row r="6359" spans="6:8">
      <c r="H6359" t="s">
        <v>19713</v>
      </c>
    </row>
    <row r="6360" spans="6:8">
      <c r="H6360" t="s">
        <v>19714</v>
      </c>
    </row>
    <row r="6361" spans="6:8">
      <c r="H6361" t="s">
        <v>20109</v>
      </c>
    </row>
    <row r="6362" spans="6:8">
      <c r="H6362" t="s">
        <v>20110</v>
      </c>
    </row>
    <row r="6363" spans="6:8">
      <c r="H6363" t="s">
        <v>20111</v>
      </c>
    </row>
    <row r="6364" spans="6:8">
      <c r="H6364" t="s">
        <v>20112</v>
      </c>
    </row>
    <row r="6365" spans="6:8">
      <c r="H6365" t="s">
        <v>20113</v>
      </c>
    </row>
    <row r="6366" spans="6:8">
      <c r="H6366" t="s">
        <v>20095</v>
      </c>
    </row>
    <row r="6367" spans="6:8">
      <c r="H6367" t="s">
        <v>20096</v>
      </c>
    </row>
    <row r="6368" spans="6:8">
      <c r="H6368" t="s">
        <v>20097</v>
      </c>
    </row>
    <row r="6369" spans="6:8">
      <c r="H6369" t="s">
        <v>20098</v>
      </c>
    </row>
    <row r="6370" spans="6:8">
      <c r="F6370" t="s">
        <v>11023</v>
      </c>
      <c r="G6370" t="s">
        <v>15414</v>
      </c>
      <c r="H6370" t="s">
        <v>20091</v>
      </c>
    </row>
    <row r="6371" spans="6:8">
      <c r="H6371" t="s">
        <v>19712</v>
      </c>
    </row>
    <row r="6372" spans="6:8">
      <c r="H6372" t="s">
        <v>20092</v>
      </c>
    </row>
    <row r="6373" spans="6:8">
      <c r="H6373" t="s">
        <v>20093</v>
      </c>
    </row>
    <row r="6374" spans="6:8">
      <c r="H6374" t="s">
        <v>20094</v>
      </c>
    </row>
    <row r="6375" spans="6:8">
      <c r="H6375" t="s">
        <v>20095</v>
      </c>
    </row>
    <row r="6376" spans="6:8">
      <c r="H6376" t="s">
        <v>20096</v>
      </c>
    </row>
    <row r="6377" spans="6:8">
      <c r="H6377" t="s">
        <v>20097</v>
      </c>
    </row>
    <row r="6378" spans="6:8">
      <c r="H6378" t="s">
        <v>20098</v>
      </c>
    </row>
    <row r="6379" spans="6:8">
      <c r="H6379" t="s">
        <v>20099</v>
      </c>
    </row>
    <row r="6380" spans="6:8">
      <c r="H6380" t="s">
        <v>20100</v>
      </c>
    </row>
    <row r="6381" spans="6:8">
      <c r="H6381" t="s">
        <v>20101</v>
      </c>
    </row>
    <row r="6382" spans="6:8">
      <c r="H6382" t="s">
        <v>20102</v>
      </c>
    </row>
    <row r="6383" spans="6:8">
      <c r="F6383" t="s">
        <v>11024</v>
      </c>
      <c r="G6383" t="s">
        <v>15415</v>
      </c>
      <c r="H6383" t="s">
        <v>20091</v>
      </c>
    </row>
    <row r="6384" spans="6:8">
      <c r="H6384" t="s">
        <v>19712</v>
      </c>
    </row>
    <row r="6385" spans="6:8">
      <c r="H6385" t="s">
        <v>20092</v>
      </c>
    </row>
    <row r="6386" spans="6:8">
      <c r="H6386" t="s">
        <v>20093</v>
      </c>
    </row>
    <row r="6387" spans="6:8">
      <c r="H6387" t="s">
        <v>20094</v>
      </c>
    </row>
    <row r="6388" spans="6:8">
      <c r="H6388" t="s">
        <v>20095</v>
      </c>
    </row>
    <row r="6389" spans="6:8">
      <c r="H6389" t="s">
        <v>20096</v>
      </c>
    </row>
    <row r="6390" spans="6:8">
      <c r="H6390" t="s">
        <v>20097</v>
      </c>
    </row>
    <row r="6391" spans="6:8">
      <c r="H6391" t="s">
        <v>20098</v>
      </c>
    </row>
    <row r="6392" spans="6:8">
      <c r="H6392" t="s">
        <v>20099</v>
      </c>
    </row>
    <row r="6393" spans="6:8">
      <c r="H6393" t="s">
        <v>20100</v>
      </c>
    </row>
    <row r="6394" spans="6:8">
      <c r="H6394" t="s">
        <v>20101</v>
      </c>
    </row>
    <row r="6395" spans="6:8">
      <c r="H6395" t="s">
        <v>20102</v>
      </c>
    </row>
    <row r="6396" spans="6:8">
      <c r="F6396" t="s">
        <v>11025</v>
      </c>
      <c r="G6396" t="s">
        <v>15416</v>
      </c>
      <c r="H6396" t="s">
        <v>20091</v>
      </c>
    </row>
    <row r="6397" spans="6:8">
      <c r="H6397" t="s">
        <v>19712</v>
      </c>
    </row>
    <row r="6398" spans="6:8">
      <c r="H6398" t="s">
        <v>19709</v>
      </c>
    </row>
    <row r="6399" spans="6:8">
      <c r="H6399" t="s">
        <v>20107</v>
      </c>
    </row>
    <row r="6400" spans="6:8">
      <c r="H6400" t="s">
        <v>20108</v>
      </c>
    </row>
    <row r="6401" spans="6:8">
      <c r="H6401" t="s">
        <v>19713</v>
      </c>
    </row>
    <row r="6402" spans="6:8">
      <c r="H6402" t="s">
        <v>19714</v>
      </c>
    </row>
    <row r="6403" spans="6:8">
      <c r="H6403" t="s">
        <v>20109</v>
      </c>
    </row>
    <row r="6404" spans="6:8">
      <c r="H6404" t="s">
        <v>20095</v>
      </c>
    </row>
    <row r="6405" spans="6:8">
      <c r="H6405" t="s">
        <v>20096</v>
      </c>
    </row>
    <row r="6406" spans="6:8">
      <c r="H6406" t="s">
        <v>20097</v>
      </c>
    </row>
    <row r="6407" spans="6:8">
      <c r="H6407" t="s">
        <v>20098</v>
      </c>
    </row>
    <row r="6408" spans="6:8">
      <c r="F6408" t="s">
        <v>11026</v>
      </c>
      <c r="G6408" t="s">
        <v>15417</v>
      </c>
      <c r="H6408" t="s">
        <v>20091</v>
      </c>
    </row>
    <row r="6409" spans="6:8">
      <c r="H6409" t="s">
        <v>19712</v>
      </c>
    </row>
    <row r="6410" spans="6:8">
      <c r="H6410" t="s">
        <v>19709</v>
      </c>
    </row>
    <row r="6411" spans="6:8">
      <c r="H6411" t="s">
        <v>20107</v>
      </c>
    </row>
    <row r="6412" spans="6:8">
      <c r="H6412" t="s">
        <v>20108</v>
      </c>
    </row>
    <row r="6413" spans="6:8">
      <c r="H6413" t="s">
        <v>19713</v>
      </c>
    </row>
    <row r="6414" spans="6:8">
      <c r="H6414" t="s">
        <v>19714</v>
      </c>
    </row>
    <row r="6415" spans="6:8">
      <c r="H6415" t="s">
        <v>20109</v>
      </c>
    </row>
    <row r="6416" spans="6:8">
      <c r="H6416" t="s">
        <v>20095</v>
      </c>
    </row>
    <row r="6417" spans="6:8">
      <c r="H6417" t="s">
        <v>20096</v>
      </c>
    </row>
    <row r="6418" spans="6:8">
      <c r="H6418" t="s">
        <v>20097</v>
      </c>
    </row>
    <row r="6419" spans="6:8">
      <c r="H6419" t="s">
        <v>20098</v>
      </c>
    </row>
    <row r="6420" spans="6:8">
      <c r="F6420" t="s">
        <v>11027</v>
      </c>
      <c r="G6420" t="s">
        <v>15418</v>
      </c>
      <c r="H6420" t="s">
        <v>20091</v>
      </c>
    </row>
    <row r="6421" spans="6:8">
      <c r="H6421" t="s">
        <v>20095</v>
      </c>
    </row>
    <row r="6422" spans="6:8">
      <c r="F6422" t="s">
        <v>11028</v>
      </c>
      <c r="G6422" t="s">
        <v>15419</v>
      </c>
      <c r="H6422" t="s">
        <v>20091</v>
      </c>
    </row>
    <row r="6423" spans="6:8">
      <c r="H6423" t="s">
        <v>20095</v>
      </c>
    </row>
    <row r="6424" spans="6:8">
      <c r="F6424" t="s">
        <v>11029</v>
      </c>
      <c r="G6424" t="s">
        <v>15420</v>
      </c>
      <c r="H6424" t="s">
        <v>20091</v>
      </c>
    </row>
    <row r="6425" spans="6:8">
      <c r="H6425" t="s">
        <v>20095</v>
      </c>
    </row>
    <row r="6426" spans="6:8">
      <c r="F6426" t="s">
        <v>11030</v>
      </c>
      <c r="G6426" t="s">
        <v>15421</v>
      </c>
      <c r="H6426" t="s">
        <v>20091</v>
      </c>
    </row>
    <row r="6427" spans="6:8">
      <c r="H6427" t="s">
        <v>19712</v>
      </c>
    </row>
    <row r="6428" spans="6:8">
      <c r="H6428" t="s">
        <v>19709</v>
      </c>
    </row>
    <row r="6429" spans="6:8">
      <c r="H6429" t="s">
        <v>20107</v>
      </c>
    </row>
    <row r="6430" spans="6:8">
      <c r="H6430" t="s">
        <v>20108</v>
      </c>
    </row>
    <row r="6431" spans="6:8">
      <c r="H6431" t="s">
        <v>19713</v>
      </c>
    </row>
    <row r="6432" spans="6:8">
      <c r="H6432" t="s">
        <v>19714</v>
      </c>
    </row>
    <row r="6433" spans="6:8">
      <c r="H6433" t="s">
        <v>20109</v>
      </c>
    </row>
    <row r="6434" spans="6:8">
      <c r="H6434" t="s">
        <v>20110</v>
      </c>
    </row>
    <row r="6435" spans="6:8">
      <c r="H6435" t="s">
        <v>20111</v>
      </c>
    </row>
    <row r="6436" spans="6:8">
      <c r="H6436" t="s">
        <v>20112</v>
      </c>
    </row>
    <row r="6437" spans="6:8">
      <c r="H6437" t="s">
        <v>20113</v>
      </c>
    </row>
    <row r="6438" spans="6:8">
      <c r="H6438" t="s">
        <v>20095</v>
      </c>
    </row>
    <row r="6439" spans="6:8">
      <c r="H6439" t="s">
        <v>20096</v>
      </c>
    </row>
    <row r="6440" spans="6:8">
      <c r="H6440" t="s">
        <v>20097</v>
      </c>
    </row>
    <row r="6441" spans="6:8">
      <c r="H6441" t="s">
        <v>20098</v>
      </c>
    </row>
    <row r="6442" spans="6:8">
      <c r="F6442" t="s">
        <v>11031</v>
      </c>
      <c r="G6442" t="s">
        <v>15422</v>
      </c>
      <c r="H6442" t="s">
        <v>20091</v>
      </c>
    </row>
    <row r="6443" spans="6:8">
      <c r="H6443" t="s">
        <v>19712</v>
      </c>
    </row>
    <row r="6444" spans="6:8">
      <c r="H6444" t="s">
        <v>20095</v>
      </c>
    </row>
    <row r="6445" spans="6:8">
      <c r="H6445" t="s">
        <v>20096</v>
      </c>
    </row>
    <row r="6446" spans="6:8">
      <c r="H6446" t="s">
        <v>20097</v>
      </c>
    </row>
    <row r="6447" spans="6:8">
      <c r="H6447" t="s">
        <v>20098</v>
      </c>
    </row>
    <row r="6448" spans="6:8">
      <c r="H6448" t="s">
        <v>19709</v>
      </c>
    </row>
    <row r="6449" spans="6:8">
      <c r="H6449" t="s">
        <v>19706</v>
      </c>
    </row>
    <row r="6450" spans="6:8">
      <c r="H6450" t="s">
        <v>20099</v>
      </c>
    </row>
    <row r="6451" spans="6:8">
      <c r="H6451" t="s">
        <v>20100</v>
      </c>
    </row>
    <row r="6452" spans="6:8">
      <c r="H6452" t="s">
        <v>20101</v>
      </c>
    </row>
    <row r="6453" spans="6:8">
      <c r="H6453" t="s">
        <v>20102</v>
      </c>
    </row>
    <row r="6454" spans="6:8">
      <c r="F6454" t="s">
        <v>11032</v>
      </c>
      <c r="G6454" t="s">
        <v>15423</v>
      </c>
      <c r="H6454" t="s">
        <v>20091</v>
      </c>
    </row>
    <row r="6455" spans="6:8">
      <c r="H6455" t="s">
        <v>19712</v>
      </c>
    </row>
    <row r="6456" spans="6:8">
      <c r="H6456" t="s">
        <v>20095</v>
      </c>
    </row>
    <row r="6457" spans="6:8">
      <c r="H6457" t="s">
        <v>20096</v>
      </c>
    </row>
    <row r="6458" spans="6:8">
      <c r="H6458" t="s">
        <v>20097</v>
      </c>
    </row>
    <row r="6459" spans="6:8">
      <c r="H6459" t="s">
        <v>20098</v>
      </c>
    </row>
    <row r="6460" spans="6:8">
      <c r="F6460" t="s">
        <v>11033</v>
      </c>
      <c r="G6460" t="s">
        <v>15424</v>
      </c>
      <c r="H6460" t="s">
        <v>20091</v>
      </c>
    </row>
    <row r="6461" spans="6:8">
      <c r="H6461" t="s">
        <v>19712</v>
      </c>
    </row>
    <row r="6462" spans="6:8">
      <c r="H6462" t="s">
        <v>20095</v>
      </c>
    </row>
    <row r="6463" spans="6:8">
      <c r="H6463" t="s">
        <v>20096</v>
      </c>
    </row>
    <row r="6464" spans="6:8">
      <c r="H6464" t="s">
        <v>20097</v>
      </c>
    </row>
    <row r="6465" spans="6:8">
      <c r="H6465" t="s">
        <v>20098</v>
      </c>
    </row>
    <row r="6466" spans="6:8">
      <c r="F6466" t="s">
        <v>11034</v>
      </c>
      <c r="G6466" t="s">
        <v>15425</v>
      </c>
      <c r="H6466" t="s">
        <v>20091</v>
      </c>
    </row>
    <row r="6467" spans="6:8">
      <c r="H6467" t="s">
        <v>19712</v>
      </c>
    </row>
    <row r="6468" spans="6:8">
      <c r="H6468" t="s">
        <v>20095</v>
      </c>
    </row>
    <row r="6469" spans="6:8">
      <c r="H6469" t="s">
        <v>20096</v>
      </c>
    </row>
    <row r="6470" spans="6:8">
      <c r="H6470" t="s">
        <v>20097</v>
      </c>
    </row>
    <row r="6471" spans="6:8">
      <c r="H6471" t="s">
        <v>20098</v>
      </c>
    </row>
    <row r="6472" spans="6:8">
      <c r="F6472" t="s">
        <v>11035</v>
      </c>
      <c r="G6472" t="s">
        <v>15426</v>
      </c>
      <c r="H6472" t="s">
        <v>20091</v>
      </c>
    </row>
    <row r="6473" spans="6:8">
      <c r="H6473" t="s">
        <v>19712</v>
      </c>
    </row>
    <row r="6474" spans="6:8">
      <c r="H6474" t="s">
        <v>20095</v>
      </c>
    </row>
    <row r="6475" spans="6:8">
      <c r="H6475" t="s">
        <v>20096</v>
      </c>
    </row>
    <row r="6476" spans="6:8">
      <c r="H6476" t="s">
        <v>20097</v>
      </c>
    </row>
    <row r="6477" spans="6:8">
      <c r="H6477" t="s">
        <v>20098</v>
      </c>
    </row>
    <row r="6478" spans="6:8">
      <c r="F6478" t="s">
        <v>11036</v>
      </c>
      <c r="G6478" t="s">
        <v>15427</v>
      </c>
      <c r="H6478" t="s">
        <v>20091</v>
      </c>
    </row>
    <row r="6479" spans="6:8">
      <c r="H6479" t="s">
        <v>19712</v>
      </c>
    </row>
    <row r="6480" spans="6:8">
      <c r="H6480" t="s">
        <v>19709</v>
      </c>
    </row>
    <row r="6481" spans="6:8">
      <c r="H6481" t="s">
        <v>20107</v>
      </c>
    </row>
    <row r="6482" spans="6:8">
      <c r="H6482" t="s">
        <v>20108</v>
      </c>
    </row>
    <row r="6483" spans="6:8">
      <c r="H6483" t="s">
        <v>19713</v>
      </c>
    </row>
    <row r="6484" spans="6:8">
      <c r="H6484" t="s">
        <v>19714</v>
      </c>
    </row>
    <row r="6485" spans="6:8">
      <c r="H6485" t="s">
        <v>20109</v>
      </c>
    </row>
    <row r="6486" spans="6:8">
      <c r="H6486" t="s">
        <v>20110</v>
      </c>
    </row>
    <row r="6487" spans="6:8">
      <c r="H6487" t="s">
        <v>20111</v>
      </c>
    </row>
    <row r="6488" spans="6:8">
      <c r="H6488" t="s">
        <v>20112</v>
      </c>
    </row>
    <row r="6489" spans="6:8">
      <c r="H6489" t="s">
        <v>20095</v>
      </c>
    </row>
    <row r="6490" spans="6:8">
      <c r="H6490" t="s">
        <v>20096</v>
      </c>
    </row>
    <row r="6491" spans="6:8">
      <c r="H6491" t="s">
        <v>20097</v>
      </c>
    </row>
    <row r="6492" spans="6:8">
      <c r="H6492" t="s">
        <v>20098</v>
      </c>
    </row>
    <row r="6493" spans="6:8">
      <c r="F6493" t="s">
        <v>11037</v>
      </c>
      <c r="G6493" t="s">
        <v>15428</v>
      </c>
      <c r="H6493" t="s">
        <v>20091</v>
      </c>
    </row>
    <row r="6494" spans="6:8">
      <c r="H6494" t="s">
        <v>19712</v>
      </c>
    </row>
    <row r="6495" spans="6:8">
      <c r="H6495" t="s">
        <v>19709</v>
      </c>
    </row>
    <row r="6496" spans="6:8">
      <c r="H6496" t="s">
        <v>19706</v>
      </c>
    </row>
    <row r="6497" spans="6:8">
      <c r="H6497" t="s">
        <v>20107</v>
      </c>
    </row>
    <row r="6498" spans="6:8">
      <c r="H6498" t="s">
        <v>20108</v>
      </c>
    </row>
    <row r="6499" spans="6:8">
      <c r="H6499" t="s">
        <v>19713</v>
      </c>
    </row>
    <row r="6500" spans="6:8">
      <c r="H6500" t="s">
        <v>19714</v>
      </c>
    </row>
    <row r="6501" spans="6:8">
      <c r="H6501" t="s">
        <v>20109</v>
      </c>
    </row>
    <row r="6502" spans="6:8">
      <c r="H6502" t="s">
        <v>20095</v>
      </c>
    </row>
    <row r="6503" spans="6:8">
      <c r="H6503" t="s">
        <v>20096</v>
      </c>
    </row>
    <row r="6504" spans="6:8">
      <c r="H6504" t="s">
        <v>20097</v>
      </c>
    </row>
    <row r="6505" spans="6:8">
      <c r="H6505" t="s">
        <v>20098</v>
      </c>
    </row>
    <row r="6506" spans="6:8">
      <c r="F6506" t="s">
        <v>11038</v>
      </c>
      <c r="G6506" t="s">
        <v>15429</v>
      </c>
      <c r="H6506" t="s">
        <v>20091</v>
      </c>
    </row>
    <row r="6507" spans="6:8">
      <c r="H6507" t="s">
        <v>19712</v>
      </c>
    </row>
    <row r="6508" spans="6:8">
      <c r="H6508" t="s">
        <v>19709</v>
      </c>
    </row>
    <row r="6509" spans="6:8">
      <c r="H6509" t="s">
        <v>20107</v>
      </c>
    </row>
    <row r="6510" spans="6:8">
      <c r="H6510" t="s">
        <v>20108</v>
      </c>
    </row>
    <row r="6511" spans="6:8">
      <c r="H6511" t="s">
        <v>19713</v>
      </c>
    </row>
    <row r="6512" spans="6:8">
      <c r="H6512" t="s">
        <v>19714</v>
      </c>
    </row>
    <row r="6513" spans="6:8">
      <c r="H6513" t="s">
        <v>20109</v>
      </c>
    </row>
    <row r="6514" spans="6:8">
      <c r="H6514" t="s">
        <v>20110</v>
      </c>
    </row>
    <row r="6515" spans="6:8">
      <c r="H6515" t="s">
        <v>20111</v>
      </c>
    </row>
    <row r="6516" spans="6:8">
      <c r="H6516" t="s">
        <v>20112</v>
      </c>
    </row>
    <row r="6517" spans="6:8">
      <c r="H6517" t="s">
        <v>20113</v>
      </c>
    </row>
    <row r="6518" spans="6:8">
      <c r="H6518" t="s">
        <v>20095</v>
      </c>
    </row>
    <row r="6519" spans="6:8">
      <c r="H6519" t="s">
        <v>20096</v>
      </c>
    </row>
    <row r="6520" spans="6:8">
      <c r="H6520" t="s">
        <v>20097</v>
      </c>
    </row>
    <row r="6521" spans="6:8">
      <c r="H6521" t="s">
        <v>20098</v>
      </c>
    </row>
    <row r="6522" spans="6:8">
      <c r="F6522" t="s">
        <v>11039</v>
      </c>
      <c r="G6522" t="s">
        <v>15430</v>
      </c>
      <c r="H6522" t="s">
        <v>20091</v>
      </c>
    </row>
    <row r="6523" spans="6:8">
      <c r="H6523" t="s">
        <v>19712</v>
      </c>
    </row>
    <row r="6524" spans="6:8">
      <c r="H6524" t="s">
        <v>19709</v>
      </c>
    </row>
    <row r="6525" spans="6:8">
      <c r="H6525" t="s">
        <v>20092</v>
      </c>
    </row>
    <row r="6526" spans="6:8">
      <c r="H6526" t="s">
        <v>20093</v>
      </c>
    </row>
    <row r="6527" spans="6:8">
      <c r="H6527" t="s">
        <v>20095</v>
      </c>
    </row>
    <row r="6528" spans="6:8">
      <c r="H6528" t="s">
        <v>20096</v>
      </c>
    </row>
    <row r="6529" spans="6:8">
      <c r="H6529" t="s">
        <v>20097</v>
      </c>
    </row>
    <row r="6530" spans="6:8">
      <c r="H6530" t="s">
        <v>20098</v>
      </c>
    </row>
    <row r="6531" spans="6:8">
      <c r="H6531" t="s">
        <v>20099</v>
      </c>
    </row>
    <row r="6532" spans="6:8">
      <c r="H6532" t="s">
        <v>20100</v>
      </c>
    </row>
    <row r="6533" spans="6:8">
      <c r="F6533" t="s">
        <v>11040</v>
      </c>
      <c r="G6533" t="s">
        <v>15431</v>
      </c>
      <c r="H6533" t="s">
        <v>20091</v>
      </c>
    </row>
    <row r="6534" spans="6:8">
      <c r="H6534" t="s">
        <v>19712</v>
      </c>
    </row>
    <row r="6535" spans="6:8">
      <c r="H6535" t="s">
        <v>20095</v>
      </c>
    </row>
    <row r="6536" spans="6:8">
      <c r="H6536" t="s">
        <v>20096</v>
      </c>
    </row>
    <row r="6537" spans="6:8">
      <c r="H6537" t="s">
        <v>20097</v>
      </c>
    </row>
    <row r="6538" spans="6:8">
      <c r="H6538" t="s">
        <v>19709</v>
      </c>
    </row>
    <row r="6539" spans="6:8">
      <c r="H6539" t="s">
        <v>19706</v>
      </c>
    </row>
    <row r="6540" spans="6:8">
      <c r="H6540" t="s">
        <v>20098</v>
      </c>
    </row>
    <row r="6541" spans="6:8">
      <c r="H6541" t="s">
        <v>20099</v>
      </c>
    </row>
    <row r="6542" spans="6:8">
      <c r="H6542" t="s">
        <v>20100</v>
      </c>
    </row>
    <row r="6543" spans="6:8">
      <c r="F6543" t="s">
        <v>11041</v>
      </c>
      <c r="G6543" t="s">
        <v>15432</v>
      </c>
      <c r="H6543" t="s">
        <v>20091</v>
      </c>
    </row>
    <row r="6544" spans="6:8">
      <c r="H6544" t="s">
        <v>19712</v>
      </c>
    </row>
    <row r="6545" spans="6:8">
      <c r="H6545" t="s">
        <v>20095</v>
      </c>
    </row>
    <row r="6546" spans="6:8">
      <c r="H6546" t="s">
        <v>20096</v>
      </c>
    </row>
    <row r="6547" spans="6:8">
      <c r="H6547" t="s">
        <v>20097</v>
      </c>
    </row>
    <row r="6548" spans="6:8">
      <c r="F6548" t="s">
        <v>11042</v>
      </c>
      <c r="G6548" t="s">
        <v>15433</v>
      </c>
      <c r="H6548" t="s">
        <v>20091</v>
      </c>
    </row>
    <row r="6549" spans="6:8">
      <c r="H6549" t="s">
        <v>19712</v>
      </c>
    </row>
    <row r="6550" spans="6:8">
      <c r="H6550" t="s">
        <v>20095</v>
      </c>
    </row>
    <row r="6551" spans="6:8">
      <c r="H6551" t="s">
        <v>20096</v>
      </c>
    </row>
    <row r="6552" spans="6:8">
      <c r="H6552" t="s">
        <v>20097</v>
      </c>
    </row>
    <row r="6553" spans="6:8">
      <c r="F6553" t="s">
        <v>11043</v>
      </c>
      <c r="G6553" t="s">
        <v>15434</v>
      </c>
      <c r="H6553" t="s">
        <v>20091</v>
      </c>
    </row>
    <row r="6554" spans="6:8">
      <c r="H6554" t="s">
        <v>19712</v>
      </c>
    </row>
    <row r="6555" spans="6:8">
      <c r="H6555" t="s">
        <v>20095</v>
      </c>
    </row>
    <row r="6556" spans="6:8">
      <c r="H6556" t="s">
        <v>20096</v>
      </c>
    </row>
    <row r="6557" spans="6:8">
      <c r="H6557" t="s">
        <v>20097</v>
      </c>
    </row>
    <row r="6558" spans="6:8">
      <c r="F6558" t="s">
        <v>11044</v>
      </c>
      <c r="G6558" t="s">
        <v>15435</v>
      </c>
      <c r="H6558" t="s">
        <v>20091</v>
      </c>
    </row>
    <row r="6559" spans="6:8">
      <c r="H6559" t="s">
        <v>19712</v>
      </c>
    </row>
    <row r="6560" spans="6:8">
      <c r="H6560" t="s">
        <v>20095</v>
      </c>
    </row>
    <row r="6561" spans="6:8">
      <c r="H6561" t="s">
        <v>20096</v>
      </c>
    </row>
    <row r="6562" spans="6:8">
      <c r="H6562" t="s">
        <v>20097</v>
      </c>
    </row>
    <row r="6563" spans="6:8">
      <c r="F6563" t="s">
        <v>11045</v>
      </c>
      <c r="G6563" t="s">
        <v>15436</v>
      </c>
      <c r="H6563" t="s">
        <v>20091</v>
      </c>
    </row>
    <row r="6564" spans="6:8">
      <c r="H6564" t="s">
        <v>19712</v>
      </c>
    </row>
    <row r="6565" spans="6:8">
      <c r="H6565" t="s">
        <v>19709</v>
      </c>
    </row>
    <row r="6566" spans="6:8">
      <c r="H6566" t="s">
        <v>20107</v>
      </c>
    </row>
    <row r="6567" spans="6:8">
      <c r="H6567" t="s">
        <v>20108</v>
      </c>
    </row>
    <row r="6568" spans="6:8">
      <c r="H6568" t="s">
        <v>19713</v>
      </c>
    </row>
    <row r="6569" spans="6:8">
      <c r="H6569" t="s">
        <v>19714</v>
      </c>
    </row>
    <row r="6570" spans="6:8">
      <c r="H6570" t="s">
        <v>20109</v>
      </c>
    </row>
    <row r="6571" spans="6:8">
      <c r="H6571" t="s">
        <v>20110</v>
      </c>
    </row>
    <row r="6572" spans="6:8">
      <c r="H6572" t="s">
        <v>20111</v>
      </c>
    </row>
    <row r="6573" spans="6:8">
      <c r="H6573" t="s">
        <v>20112</v>
      </c>
    </row>
    <row r="6574" spans="6:8">
      <c r="H6574" t="s">
        <v>20113</v>
      </c>
    </row>
    <row r="6575" spans="6:8">
      <c r="H6575" t="s">
        <v>20114</v>
      </c>
    </row>
    <row r="6576" spans="6:8">
      <c r="H6576" t="s">
        <v>20115</v>
      </c>
    </row>
    <row r="6577" spans="6:8">
      <c r="H6577" t="s">
        <v>20095</v>
      </c>
    </row>
    <row r="6578" spans="6:8">
      <c r="H6578" t="s">
        <v>20096</v>
      </c>
    </row>
    <row r="6579" spans="6:8">
      <c r="H6579" t="s">
        <v>20097</v>
      </c>
    </row>
    <row r="6580" spans="6:8">
      <c r="H6580" t="s">
        <v>20098</v>
      </c>
    </row>
    <row r="6581" spans="6:8">
      <c r="F6581" t="s">
        <v>11046</v>
      </c>
      <c r="G6581" t="s">
        <v>15437</v>
      </c>
      <c r="H6581" t="s">
        <v>20091</v>
      </c>
    </row>
    <row r="6582" spans="6:8">
      <c r="H6582" t="s">
        <v>19712</v>
      </c>
    </row>
    <row r="6583" spans="6:8">
      <c r="H6583" t="s">
        <v>19709</v>
      </c>
    </row>
    <row r="6584" spans="6:8">
      <c r="H6584" t="s">
        <v>19706</v>
      </c>
    </row>
    <row r="6585" spans="6:8">
      <c r="H6585" t="s">
        <v>20092</v>
      </c>
    </row>
    <row r="6586" spans="6:8">
      <c r="H6586" t="s">
        <v>20093</v>
      </c>
    </row>
    <row r="6587" spans="6:8">
      <c r="H6587" t="s">
        <v>20094</v>
      </c>
    </row>
    <row r="6588" spans="6:8">
      <c r="H6588" t="s">
        <v>20103</v>
      </c>
    </row>
    <row r="6589" spans="6:8">
      <c r="H6589" t="s">
        <v>20116</v>
      </c>
    </row>
    <row r="6590" spans="6:8">
      <c r="H6590" t="s">
        <v>20117</v>
      </c>
    </row>
    <row r="6591" spans="6:8">
      <c r="H6591" t="s">
        <v>20118</v>
      </c>
    </row>
    <row r="6592" spans="6:8">
      <c r="H6592" t="s">
        <v>20119</v>
      </c>
    </row>
    <row r="6593" spans="6:8">
      <c r="H6593" t="s">
        <v>19176</v>
      </c>
    </row>
    <row r="6594" spans="6:8">
      <c r="H6594" t="s">
        <v>20095</v>
      </c>
    </row>
    <row r="6595" spans="6:8">
      <c r="H6595" t="s">
        <v>20096</v>
      </c>
    </row>
    <row r="6596" spans="6:8">
      <c r="H6596" t="s">
        <v>20097</v>
      </c>
    </row>
    <row r="6597" spans="6:8">
      <c r="H6597" t="s">
        <v>20098</v>
      </c>
    </row>
    <row r="6598" spans="6:8">
      <c r="F6598" t="s">
        <v>11047</v>
      </c>
      <c r="G6598" t="s">
        <v>15438</v>
      </c>
      <c r="H6598" t="s">
        <v>20091</v>
      </c>
    </row>
    <row r="6599" spans="6:8">
      <c r="H6599" t="s">
        <v>19712</v>
      </c>
    </row>
    <row r="6600" spans="6:8">
      <c r="H6600" t="s">
        <v>19709</v>
      </c>
    </row>
    <row r="6601" spans="6:8">
      <c r="H6601" t="s">
        <v>20092</v>
      </c>
    </row>
    <row r="6602" spans="6:8">
      <c r="H6602" t="s">
        <v>20093</v>
      </c>
    </row>
    <row r="6603" spans="6:8">
      <c r="H6603" t="s">
        <v>20094</v>
      </c>
    </row>
    <row r="6604" spans="6:8">
      <c r="H6604" t="s">
        <v>20103</v>
      </c>
    </row>
    <row r="6605" spans="6:8">
      <c r="H6605" t="s">
        <v>20116</v>
      </c>
    </row>
    <row r="6606" spans="6:8">
      <c r="H6606" t="s">
        <v>20117</v>
      </c>
    </row>
    <row r="6607" spans="6:8">
      <c r="H6607" t="s">
        <v>20118</v>
      </c>
    </row>
    <row r="6608" spans="6:8">
      <c r="H6608" t="s">
        <v>20095</v>
      </c>
    </row>
    <row r="6609" spans="6:8">
      <c r="H6609" t="s">
        <v>20096</v>
      </c>
    </row>
    <row r="6610" spans="6:8">
      <c r="H6610" t="s">
        <v>20097</v>
      </c>
    </row>
    <row r="6611" spans="6:8">
      <c r="F6611" t="s">
        <v>11048</v>
      </c>
      <c r="G6611" t="s">
        <v>15439</v>
      </c>
      <c r="H6611" t="s">
        <v>20091</v>
      </c>
    </row>
    <row r="6612" spans="6:8">
      <c r="H6612" t="s">
        <v>19712</v>
      </c>
    </row>
    <row r="6613" spans="6:8">
      <c r="H6613" t="s">
        <v>19709</v>
      </c>
    </row>
    <row r="6614" spans="6:8">
      <c r="H6614" t="s">
        <v>20095</v>
      </c>
    </row>
    <row r="6615" spans="6:8">
      <c r="H6615" t="s">
        <v>20096</v>
      </c>
    </row>
    <row r="6616" spans="6:8">
      <c r="H6616" t="s">
        <v>20097</v>
      </c>
    </row>
    <row r="6617" spans="6:8">
      <c r="F6617" t="s">
        <v>11049</v>
      </c>
      <c r="G6617" t="s">
        <v>15440</v>
      </c>
      <c r="H6617" t="s">
        <v>20091</v>
      </c>
    </row>
    <row r="6618" spans="6:8">
      <c r="H6618" t="s">
        <v>19712</v>
      </c>
    </row>
    <row r="6619" spans="6:8">
      <c r="H6619" t="s">
        <v>19709</v>
      </c>
    </row>
    <row r="6620" spans="6:8">
      <c r="H6620" t="s">
        <v>19706</v>
      </c>
    </row>
    <row r="6621" spans="6:8">
      <c r="H6621" t="s">
        <v>19707</v>
      </c>
    </row>
    <row r="6622" spans="6:8">
      <c r="H6622" t="s">
        <v>19711</v>
      </c>
    </row>
    <row r="6623" spans="6:8">
      <c r="H6623" t="s">
        <v>20107</v>
      </c>
    </row>
    <row r="6624" spans="6:8">
      <c r="H6624" t="s">
        <v>20108</v>
      </c>
    </row>
    <row r="6625" spans="6:8">
      <c r="H6625" t="s">
        <v>19713</v>
      </c>
    </row>
    <row r="6626" spans="6:8">
      <c r="H6626" t="s">
        <v>19714</v>
      </c>
    </row>
    <row r="6627" spans="6:8">
      <c r="H6627" t="s">
        <v>20109</v>
      </c>
    </row>
    <row r="6628" spans="6:8">
      <c r="H6628" t="s">
        <v>20110</v>
      </c>
    </row>
    <row r="6629" spans="6:8">
      <c r="H6629" t="s">
        <v>20111</v>
      </c>
    </row>
    <row r="6630" spans="6:8">
      <c r="H6630" t="s">
        <v>20095</v>
      </c>
    </row>
    <row r="6631" spans="6:8">
      <c r="H6631" t="s">
        <v>20096</v>
      </c>
    </row>
    <row r="6632" spans="6:8">
      <c r="H6632" t="s">
        <v>20097</v>
      </c>
    </row>
    <row r="6633" spans="6:8">
      <c r="H6633" t="s">
        <v>20098</v>
      </c>
    </row>
    <row r="6634" spans="6:8">
      <c r="F6634" t="s">
        <v>11050</v>
      </c>
      <c r="G6634" t="s">
        <v>15441</v>
      </c>
      <c r="H6634" t="s">
        <v>20091</v>
      </c>
    </row>
    <row r="6635" spans="6:8">
      <c r="H6635" t="s">
        <v>19712</v>
      </c>
    </row>
    <row r="6636" spans="6:8">
      <c r="H6636" t="s">
        <v>19709</v>
      </c>
    </row>
    <row r="6637" spans="6:8">
      <c r="H6637" t="s">
        <v>19706</v>
      </c>
    </row>
    <row r="6638" spans="6:8">
      <c r="H6638" t="s">
        <v>20107</v>
      </c>
    </row>
    <row r="6639" spans="6:8">
      <c r="H6639" t="s">
        <v>20108</v>
      </c>
    </row>
    <row r="6640" spans="6:8">
      <c r="H6640" t="s">
        <v>19713</v>
      </c>
    </row>
    <row r="6641" spans="6:8">
      <c r="H6641" t="s">
        <v>19714</v>
      </c>
    </row>
    <row r="6642" spans="6:8">
      <c r="H6642" t="s">
        <v>20095</v>
      </c>
    </row>
    <row r="6643" spans="6:8">
      <c r="H6643" t="s">
        <v>20096</v>
      </c>
    </row>
    <row r="6644" spans="6:8">
      <c r="H6644" t="s">
        <v>20097</v>
      </c>
    </row>
    <row r="6645" spans="6:8">
      <c r="H6645" t="s">
        <v>20098</v>
      </c>
    </row>
    <row r="6646" spans="6:8">
      <c r="F6646" t="s">
        <v>11051</v>
      </c>
      <c r="G6646" t="s">
        <v>15442</v>
      </c>
      <c r="H6646" t="s">
        <v>20091</v>
      </c>
    </row>
    <row r="6647" spans="6:8">
      <c r="H6647" t="s">
        <v>19712</v>
      </c>
    </row>
    <row r="6648" spans="6:8">
      <c r="H6648" t="s">
        <v>19709</v>
      </c>
    </row>
    <row r="6649" spans="6:8">
      <c r="H6649" t="s">
        <v>20107</v>
      </c>
    </row>
    <row r="6650" spans="6:8">
      <c r="H6650" t="s">
        <v>20108</v>
      </c>
    </row>
    <row r="6651" spans="6:8">
      <c r="H6651" t="s">
        <v>19713</v>
      </c>
    </row>
    <row r="6652" spans="6:8">
      <c r="H6652" t="s">
        <v>20095</v>
      </c>
    </row>
    <row r="6653" spans="6:8">
      <c r="H6653" t="s">
        <v>20096</v>
      </c>
    </row>
    <row r="6654" spans="6:8">
      <c r="H6654" t="s">
        <v>20097</v>
      </c>
    </row>
    <row r="6655" spans="6:8">
      <c r="H6655" t="s">
        <v>20098</v>
      </c>
    </row>
    <row r="6656" spans="6:8">
      <c r="H6656" t="s">
        <v>20099</v>
      </c>
    </row>
    <row r="6657" spans="6:8">
      <c r="F6657" t="s">
        <v>11052</v>
      </c>
      <c r="G6657" t="s">
        <v>15443</v>
      </c>
      <c r="H6657" t="s">
        <v>20091</v>
      </c>
    </row>
    <row r="6658" spans="6:8">
      <c r="H6658" t="s">
        <v>19712</v>
      </c>
    </row>
    <row r="6659" spans="6:8">
      <c r="H6659" t="s">
        <v>19709</v>
      </c>
    </row>
    <row r="6660" spans="6:8">
      <c r="H6660" t="s">
        <v>19706</v>
      </c>
    </row>
    <row r="6661" spans="6:8">
      <c r="H6661" t="s">
        <v>20107</v>
      </c>
    </row>
    <row r="6662" spans="6:8">
      <c r="H6662" t="s">
        <v>20108</v>
      </c>
    </row>
    <row r="6663" spans="6:8">
      <c r="H6663" t="s">
        <v>19713</v>
      </c>
    </row>
    <row r="6664" spans="6:8">
      <c r="H6664" t="s">
        <v>20095</v>
      </c>
    </row>
    <row r="6665" spans="6:8">
      <c r="H6665" t="s">
        <v>20096</v>
      </c>
    </row>
    <row r="6666" spans="6:8">
      <c r="H6666" t="s">
        <v>20097</v>
      </c>
    </row>
    <row r="6667" spans="6:8">
      <c r="H6667" t="s">
        <v>20098</v>
      </c>
    </row>
    <row r="6668" spans="6:8">
      <c r="F6668" t="s">
        <v>11053</v>
      </c>
      <c r="G6668" t="s">
        <v>15444</v>
      </c>
      <c r="H6668" t="s">
        <v>20091</v>
      </c>
    </row>
    <row r="6669" spans="6:8">
      <c r="H6669" t="s">
        <v>19712</v>
      </c>
    </row>
    <row r="6670" spans="6:8">
      <c r="H6670" t="s">
        <v>19709</v>
      </c>
    </row>
    <row r="6671" spans="6:8">
      <c r="H6671" t="s">
        <v>20107</v>
      </c>
    </row>
    <row r="6672" spans="6:8">
      <c r="H6672" t="s">
        <v>20108</v>
      </c>
    </row>
    <row r="6673" spans="6:8">
      <c r="H6673" t="s">
        <v>19713</v>
      </c>
    </row>
    <row r="6674" spans="6:8">
      <c r="H6674" t="s">
        <v>20095</v>
      </c>
    </row>
    <row r="6675" spans="6:8">
      <c r="H6675" t="s">
        <v>20096</v>
      </c>
    </row>
    <row r="6676" spans="6:8">
      <c r="H6676" t="s">
        <v>20097</v>
      </c>
    </row>
    <row r="6677" spans="6:8">
      <c r="H6677" t="s">
        <v>20098</v>
      </c>
    </row>
    <row r="6678" spans="6:8">
      <c r="H6678" t="s">
        <v>20099</v>
      </c>
    </row>
    <row r="6679" spans="6:8">
      <c r="F6679" t="s">
        <v>11054</v>
      </c>
      <c r="G6679" t="s">
        <v>15445</v>
      </c>
      <c r="H6679" t="s">
        <v>20091</v>
      </c>
    </row>
    <row r="6680" spans="6:8">
      <c r="H6680" t="s">
        <v>19712</v>
      </c>
    </row>
    <row r="6681" spans="6:8">
      <c r="H6681" t="s">
        <v>19709</v>
      </c>
    </row>
    <row r="6682" spans="6:8">
      <c r="H6682" t="s">
        <v>19706</v>
      </c>
    </row>
    <row r="6683" spans="6:8">
      <c r="H6683" t="s">
        <v>19707</v>
      </c>
    </row>
    <row r="6684" spans="6:8">
      <c r="H6684" t="s">
        <v>19711</v>
      </c>
    </row>
    <row r="6685" spans="6:8">
      <c r="H6685" t="s">
        <v>19708</v>
      </c>
    </row>
    <row r="6686" spans="6:8">
      <c r="H6686" t="s">
        <v>20107</v>
      </c>
    </row>
    <row r="6687" spans="6:8">
      <c r="H6687" t="s">
        <v>20108</v>
      </c>
    </row>
    <row r="6688" spans="6:8">
      <c r="H6688" t="s">
        <v>19713</v>
      </c>
    </row>
    <row r="6689" spans="6:8">
      <c r="H6689" t="s">
        <v>20095</v>
      </c>
    </row>
    <row r="6690" spans="6:8">
      <c r="H6690" t="s">
        <v>20096</v>
      </c>
    </row>
    <row r="6691" spans="6:8">
      <c r="H6691" t="s">
        <v>20097</v>
      </c>
    </row>
    <row r="6692" spans="6:8">
      <c r="H6692" t="s">
        <v>20098</v>
      </c>
    </row>
    <row r="6693" spans="6:8">
      <c r="F6693" t="s">
        <v>11055</v>
      </c>
      <c r="G6693" t="s">
        <v>15446</v>
      </c>
      <c r="H6693" t="s">
        <v>20091</v>
      </c>
    </row>
    <row r="6694" spans="6:8">
      <c r="H6694" t="s">
        <v>19712</v>
      </c>
    </row>
    <row r="6695" spans="6:8">
      <c r="H6695" t="s">
        <v>19709</v>
      </c>
    </row>
    <row r="6696" spans="6:8">
      <c r="H6696" t="s">
        <v>19706</v>
      </c>
    </row>
    <row r="6697" spans="6:8">
      <c r="H6697" t="s">
        <v>19707</v>
      </c>
    </row>
    <row r="6698" spans="6:8">
      <c r="H6698" t="s">
        <v>19711</v>
      </c>
    </row>
    <row r="6699" spans="6:8">
      <c r="H6699" t="s">
        <v>20107</v>
      </c>
    </row>
    <row r="6700" spans="6:8">
      <c r="H6700" t="s">
        <v>20108</v>
      </c>
    </row>
    <row r="6701" spans="6:8">
      <c r="H6701" t="s">
        <v>19713</v>
      </c>
    </row>
    <row r="6702" spans="6:8">
      <c r="H6702" t="s">
        <v>19714</v>
      </c>
    </row>
    <row r="6703" spans="6:8">
      <c r="H6703" t="s">
        <v>20109</v>
      </c>
    </row>
    <row r="6704" spans="6:8">
      <c r="H6704" t="s">
        <v>20110</v>
      </c>
    </row>
    <row r="6705" spans="6:8">
      <c r="H6705" t="s">
        <v>20095</v>
      </c>
    </row>
    <row r="6706" spans="6:8">
      <c r="H6706" t="s">
        <v>20096</v>
      </c>
    </row>
    <row r="6707" spans="6:8">
      <c r="H6707" t="s">
        <v>20097</v>
      </c>
    </row>
    <row r="6708" spans="6:8">
      <c r="H6708" t="s">
        <v>20098</v>
      </c>
    </row>
    <row r="6709" spans="6:8">
      <c r="F6709" t="s">
        <v>11056</v>
      </c>
      <c r="G6709" t="s">
        <v>15447</v>
      </c>
      <c r="H6709" t="s">
        <v>20091</v>
      </c>
    </row>
    <row r="6710" spans="6:8">
      <c r="H6710" t="s">
        <v>19712</v>
      </c>
    </row>
    <row r="6711" spans="6:8">
      <c r="H6711" t="s">
        <v>20092</v>
      </c>
    </row>
    <row r="6712" spans="6:8">
      <c r="H6712" t="s">
        <v>20093</v>
      </c>
    </row>
    <row r="6713" spans="6:8">
      <c r="H6713" t="s">
        <v>20094</v>
      </c>
    </row>
    <row r="6714" spans="6:8">
      <c r="H6714" t="s">
        <v>20095</v>
      </c>
    </row>
    <row r="6715" spans="6:8">
      <c r="H6715" t="s">
        <v>20096</v>
      </c>
    </row>
    <row r="6716" spans="6:8">
      <c r="H6716" t="s">
        <v>20097</v>
      </c>
    </row>
    <row r="6717" spans="6:8">
      <c r="H6717" t="s">
        <v>20098</v>
      </c>
    </row>
    <row r="6718" spans="6:8">
      <c r="H6718" t="s">
        <v>20099</v>
      </c>
    </row>
    <row r="6719" spans="6:8">
      <c r="H6719" t="s">
        <v>20100</v>
      </c>
    </row>
    <row r="6720" spans="6:8">
      <c r="H6720" t="s">
        <v>20101</v>
      </c>
    </row>
    <row r="6721" spans="6:8">
      <c r="H6721" t="s">
        <v>20102</v>
      </c>
    </row>
    <row r="6722" spans="6:8">
      <c r="F6722" t="s">
        <v>11057</v>
      </c>
      <c r="G6722" t="s">
        <v>15448</v>
      </c>
      <c r="H6722" t="s">
        <v>20091</v>
      </c>
    </row>
    <row r="6723" spans="6:8">
      <c r="H6723" t="s">
        <v>19712</v>
      </c>
    </row>
    <row r="6724" spans="6:8">
      <c r="H6724" t="s">
        <v>19709</v>
      </c>
    </row>
    <row r="6725" spans="6:8">
      <c r="H6725" t="s">
        <v>20107</v>
      </c>
    </row>
    <row r="6726" spans="6:8">
      <c r="H6726" t="s">
        <v>20108</v>
      </c>
    </row>
    <row r="6727" spans="6:8">
      <c r="H6727" t="s">
        <v>20095</v>
      </c>
    </row>
    <row r="6728" spans="6:8">
      <c r="H6728" t="s">
        <v>20096</v>
      </c>
    </row>
    <row r="6729" spans="6:8">
      <c r="H6729" t="s">
        <v>20097</v>
      </c>
    </row>
    <row r="6730" spans="6:8">
      <c r="H6730" t="s">
        <v>20098</v>
      </c>
    </row>
    <row r="6731" spans="6:8">
      <c r="F6731" t="s">
        <v>11058</v>
      </c>
      <c r="G6731" t="s">
        <v>15449</v>
      </c>
      <c r="H6731" t="s">
        <v>20091</v>
      </c>
    </row>
    <row r="6732" spans="6:8">
      <c r="H6732" t="s">
        <v>19712</v>
      </c>
    </row>
    <row r="6733" spans="6:8">
      <c r="H6733" t="s">
        <v>20092</v>
      </c>
    </row>
    <row r="6734" spans="6:8">
      <c r="H6734" t="s">
        <v>20093</v>
      </c>
    </row>
    <row r="6735" spans="6:8">
      <c r="H6735" t="s">
        <v>20094</v>
      </c>
    </row>
    <row r="6736" spans="6:8">
      <c r="H6736" t="s">
        <v>20095</v>
      </c>
    </row>
    <row r="6737" spans="6:8">
      <c r="H6737" t="s">
        <v>20096</v>
      </c>
    </row>
    <row r="6738" spans="6:8">
      <c r="H6738" t="s">
        <v>20097</v>
      </c>
    </row>
    <row r="6739" spans="6:8">
      <c r="H6739" t="s">
        <v>20098</v>
      </c>
    </row>
    <row r="6740" spans="6:8">
      <c r="H6740" t="s">
        <v>20099</v>
      </c>
    </row>
    <row r="6741" spans="6:8">
      <c r="H6741" t="s">
        <v>20100</v>
      </c>
    </row>
    <row r="6742" spans="6:8">
      <c r="H6742" t="s">
        <v>20101</v>
      </c>
    </row>
    <row r="6743" spans="6:8">
      <c r="H6743" t="s">
        <v>20102</v>
      </c>
    </row>
    <row r="6744" spans="6:8">
      <c r="F6744" t="s">
        <v>11059</v>
      </c>
      <c r="G6744" t="s">
        <v>15450</v>
      </c>
      <c r="H6744" t="s">
        <v>20091</v>
      </c>
    </row>
    <row r="6745" spans="6:8">
      <c r="H6745" t="s">
        <v>20095</v>
      </c>
    </row>
    <row r="6746" spans="6:8">
      <c r="F6746" t="s">
        <v>11060</v>
      </c>
      <c r="G6746" t="s">
        <v>15451</v>
      </c>
      <c r="H6746" t="s">
        <v>20091</v>
      </c>
    </row>
    <row r="6747" spans="6:8">
      <c r="H6747" t="s">
        <v>20095</v>
      </c>
    </row>
    <row r="6748" spans="6:8">
      <c r="F6748" t="s">
        <v>11061</v>
      </c>
      <c r="G6748" t="s">
        <v>15452</v>
      </c>
      <c r="H6748" t="s">
        <v>20091</v>
      </c>
    </row>
    <row r="6749" spans="6:8">
      <c r="H6749" t="s">
        <v>20095</v>
      </c>
    </row>
    <row r="6750" spans="6:8">
      <c r="F6750" t="s">
        <v>11062</v>
      </c>
      <c r="G6750" t="s">
        <v>15453</v>
      </c>
      <c r="H6750" t="s">
        <v>20091</v>
      </c>
    </row>
    <row r="6751" spans="6:8">
      <c r="H6751" t="s">
        <v>20095</v>
      </c>
    </row>
    <row r="6752" spans="6:8">
      <c r="F6752" t="s">
        <v>11063</v>
      </c>
      <c r="G6752" t="s">
        <v>15454</v>
      </c>
      <c r="H6752" t="s">
        <v>20091</v>
      </c>
    </row>
    <row r="6753" spans="6:8">
      <c r="H6753" t="s">
        <v>20095</v>
      </c>
    </row>
    <row r="6754" spans="6:8">
      <c r="F6754" t="s">
        <v>11064</v>
      </c>
      <c r="G6754" t="s">
        <v>15455</v>
      </c>
      <c r="H6754" t="s">
        <v>20091</v>
      </c>
    </row>
    <row r="6755" spans="6:8">
      <c r="H6755" t="s">
        <v>20095</v>
      </c>
    </row>
    <row r="6756" spans="6:8">
      <c r="F6756" t="s">
        <v>11065</v>
      </c>
      <c r="G6756" t="s">
        <v>15456</v>
      </c>
      <c r="H6756" t="s">
        <v>20091</v>
      </c>
    </row>
    <row r="6757" spans="6:8">
      <c r="H6757" t="s">
        <v>20095</v>
      </c>
    </row>
    <row r="6758" spans="6:8">
      <c r="F6758" t="s">
        <v>11066</v>
      </c>
      <c r="G6758" t="s">
        <v>15457</v>
      </c>
      <c r="H6758" t="s">
        <v>20091</v>
      </c>
    </row>
    <row r="6759" spans="6:8">
      <c r="H6759" t="s">
        <v>19712</v>
      </c>
    </row>
    <row r="6760" spans="6:8">
      <c r="H6760" t="s">
        <v>19709</v>
      </c>
    </row>
    <row r="6761" spans="6:8">
      <c r="H6761" t="s">
        <v>19706</v>
      </c>
    </row>
    <row r="6762" spans="6:8">
      <c r="H6762" t="s">
        <v>19707</v>
      </c>
    </row>
    <row r="6763" spans="6:8">
      <c r="H6763" t="s">
        <v>19711</v>
      </c>
    </row>
    <row r="6764" spans="6:8">
      <c r="H6764" t="s">
        <v>20107</v>
      </c>
    </row>
    <row r="6765" spans="6:8">
      <c r="H6765" t="s">
        <v>20108</v>
      </c>
    </row>
    <row r="6766" spans="6:8">
      <c r="H6766" t="s">
        <v>19713</v>
      </c>
    </row>
    <row r="6767" spans="6:8">
      <c r="H6767" t="s">
        <v>19714</v>
      </c>
    </row>
    <row r="6768" spans="6:8">
      <c r="H6768" t="s">
        <v>20109</v>
      </c>
    </row>
    <row r="6769" spans="6:8">
      <c r="H6769" t="s">
        <v>20110</v>
      </c>
    </row>
    <row r="6770" spans="6:8">
      <c r="H6770" t="s">
        <v>20092</v>
      </c>
    </row>
    <row r="6771" spans="6:8">
      <c r="H6771" t="s">
        <v>20095</v>
      </c>
    </row>
    <row r="6772" spans="6:8">
      <c r="H6772" t="s">
        <v>20096</v>
      </c>
    </row>
    <row r="6773" spans="6:8">
      <c r="H6773" t="s">
        <v>20097</v>
      </c>
    </row>
    <row r="6774" spans="6:8">
      <c r="H6774" t="s">
        <v>20098</v>
      </c>
    </row>
    <row r="6775" spans="6:8">
      <c r="F6775" t="s">
        <v>11067</v>
      </c>
      <c r="G6775" t="s">
        <v>15458</v>
      </c>
      <c r="H6775" t="s">
        <v>20091</v>
      </c>
    </row>
    <row r="6776" spans="6:8">
      <c r="H6776" t="s">
        <v>19712</v>
      </c>
    </row>
    <row r="6777" spans="6:8">
      <c r="H6777" t="s">
        <v>20107</v>
      </c>
    </row>
    <row r="6778" spans="6:8">
      <c r="H6778" t="s">
        <v>20095</v>
      </c>
    </row>
    <row r="6779" spans="6:8">
      <c r="H6779" t="s">
        <v>20096</v>
      </c>
    </row>
    <row r="6780" spans="6:8">
      <c r="H6780" t="s">
        <v>20097</v>
      </c>
    </row>
    <row r="6781" spans="6:8">
      <c r="H6781" t="s">
        <v>20098</v>
      </c>
    </row>
    <row r="6782" spans="6:8">
      <c r="H6782" t="s">
        <v>20099</v>
      </c>
    </row>
    <row r="6783" spans="6:8">
      <c r="F6783" t="s">
        <v>11068</v>
      </c>
      <c r="G6783" t="s">
        <v>15459</v>
      </c>
      <c r="H6783" t="s">
        <v>20091</v>
      </c>
    </row>
    <row r="6784" spans="6:8">
      <c r="H6784" t="s">
        <v>19712</v>
      </c>
    </row>
    <row r="6785" spans="6:8">
      <c r="H6785" t="s">
        <v>20107</v>
      </c>
    </row>
    <row r="6786" spans="6:8">
      <c r="H6786" t="s">
        <v>20095</v>
      </c>
    </row>
    <row r="6787" spans="6:8">
      <c r="H6787" t="s">
        <v>20096</v>
      </c>
    </row>
    <row r="6788" spans="6:8">
      <c r="H6788" t="s">
        <v>20097</v>
      </c>
    </row>
    <row r="6789" spans="6:8">
      <c r="H6789" t="s">
        <v>20098</v>
      </c>
    </row>
    <row r="6790" spans="6:8">
      <c r="H6790" t="s">
        <v>20099</v>
      </c>
    </row>
    <row r="6791" spans="6:8">
      <c r="F6791" t="s">
        <v>11069</v>
      </c>
      <c r="G6791" t="s">
        <v>15460</v>
      </c>
      <c r="H6791" t="s">
        <v>20091</v>
      </c>
    </row>
    <row r="6792" spans="6:8">
      <c r="H6792" t="s">
        <v>19712</v>
      </c>
    </row>
    <row r="6793" spans="6:8">
      <c r="H6793" t="s">
        <v>19709</v>
      </c>
    </row>
    <row r="6794" spans="6:8">
      <c r="H6794" t="s">
        <v>19706</v>
      </c>
    </row>
    <row r="6795" spans="6:8">
      <c r="H6795" t="s">
        <v>20107</v>
      </c>
    </row>
    <row r="6796" spans="6:8">
      <c r="H6796" t="s">
        <v>20108</v>
      </c>
    </row>
    <row r="6797" spans="6:8">
      <c r="H6797" t="s">
        <v>19713</v>
      </c>
    </row>
    <row r="6798" spans="6:8">
      <c r="H6798" t="s">
        <v>19714</v>
      </c>
    </row>
    <row r="6799" spans="6:8">
      <c r="H6799" t="s">
        <v>20095</v>
      </c>
    </row>
    <row r="6800" spans="6:8">
      <c r="H6800" t="s">
        <v>20096</v>
      </c>
    </row>
    <row r="6801" spans="6:8">
      <c r="H6801" t="s">
        <v>20097</v>
      </c>
    </row>
    <row r="6802" spans="6:8">
      <c r="H6802" t="s">
        <v>20098</v>
      </c>
    </row>
    <row r="6803" spans="6:8">
      <c r="H6803" t="s">
        <v>20099</v>
      </c>
    </row>
    <row r="6804" spans="6:8">
      <c r="H6804" t="s">
        <v>20100</v>
      </c>
    </row>
    <row r="6805" spans="6:8">
      <c r="F6805" t="s">
        <v>11070</v>
      </c>
      <c r="G6805" t="s">
        <v>15461</v>
      </c>
      <c r="H6805" t="s">
        <v>20091</v>
      </c>
    </row>
    <row r="6806" spans="6:8">
      <c r="H6806" t="s">
        <v>19712</v>
      </c>
    </row>
    <row r="6807" spans="6:8">
      <c r="H6807" t="s">
        <v>19709</v>
      </c>
    </row>
    <row r="6808" spans="6:8">
      <c r="H6808" t="s">
        <v>19706</v>
      </c>
    </row>
    <row r="6809" spans="6:8">
      <c r="H6809" t="s">
        <v>19707</v>
      </c>
    </row>
    <row r="6810" spans="6:8">
      <c r="H6810" t="s">
        <v>19711</v>
      </c>
    </row>
    <row r="6811" spans="6:8">
      <c r="H6811" t="s">
        <v>20107</v>
      </c>
    </row>
    <row r="6812" spans="6:8">
      <c r="H6812" t="s">
        <v>20108</v>
      </c>
    </row>
    <row r="6813" spans="6:8">
      <c r="H6813" t="s">
        <v>19713</v>
      </c>
    </row>
    <row r="6814" spans="6:8">
      <c r="H6814" t="s">
        <v>19714</v>
      </c>
    </row>
    <row r="6815" spans="6:8">
      <c r="H6815" t="s">
        <v>20109</v>
      </c>
    </row>
    <row r="6816" spans="6:8">
      <c r="H6816" t="s">
        <v>20095</v>
      </c>
    </row>
    <row r="6817" spans="6:8">
      <c r="H6817" t="s">
        <v>20096</v>
      </c>
    </row>
    <row r="6818" spans="6:8">
      <c r="H6818" t="s">
        <v>20097</v>
      </c>
    </row>
    <row r="6819" spans="6:8">
      <c r="H6819" t="s">
        <v>20098</v>
      </c>
    </row>
    <row r="6820" spans="6:8">
      <c r="H6820" t="s">
        <v>20099</v>
      </c>
    </row>
    <row r="6821" spans="6:8">
      <c r="H6821" t="s">
        <v>20100</v>
      </c>
    </row>
    <row r="6822" spans="6:8">
      <c r="F6822" t="s">
        <v>11071</v>
      </c>
      <c r="G6822" t="s">
        <v>15462</v>
      </c>
      <c r="H6822" t="s">
        <v>20091</v>
      </c>
    </row>
    <row r="6823" spans="6:8">
      <c r="H6823" t="s">
        <v>19712</v>
      </c>
    </row>
    <row r="6824" spans="6:8">
      <c r="H6824" t="s">
        <v>19709</v>
      </c>
    </row>
    <row r="6825" spans="6:8">
      <c r="H6825" t="s">
        <v>19706</v>
      </c>
    </row>
    <row r="6826" spans="6:8">
      <c r="H6826" t="s">
        <v>19707</v>
      </c>
    </row>
    <row r="6827" spans="6:8">
      <c r="H6827" t="s">
        <v>19711</v>
      </c>
    </row>
    <row r="6828" spans="6:8">
      <c r="H6828" t="s">
        <v>20107</v>
      </c>
    </row>
    <row r="6829" spans="6:8">
      <c r="H6829" t="s">
        <v>20108</v>
      </c>
    </row>
    <row r="6830" spans="6:8">
      <c r="H6830" t="s">
        <v>19713</v>
      </c>
    </row>
    <row r="6831" spans="6:8">
      <c r="H6831" t="s">
        <v>19714</v>
      </c>
    </row>
    <row r="6832" spans="6:8">
      <c r="H6832" t="s">
        <v>20109</v>
      </c>
    </row>
    <row r="6833" spans="6:8">
      <c r="H6833" t="s">
        <v>20095</v>
      </c>
    </row>
    <row r="6834" spans="6:8">
      <c r="H6834" t="s">
        <v>20096</v>
      </c>
    </row>
    <row r="6835" spans="6:8">
      <c r="H6835" t="s">
        <v>20097</v>
      </c>
    </row>
    <row r="6836" spans="6:8">
      <c r="H6836" t="s">
        <v>20098</v>
      </c>
    </row>
    <row r="6837" spans="6:8">
      <c r="H6837" t="s">
        <v>20099</v>
      </c>
    </row>
    <row r="6838" spans="6:8">
      <c r="H6838" t="s">
        <v>20100</v>
      </c>
    </row>
    <row r="6839" spans="6:8">
      <c r="F6839" t="s">
        <v>11072</v>
      </c>
      <c r="G6839" t="s">
        <v>15463</v>
      </c>
      <c r="H6839" t="s">
        <v>20091</v>
      </c>
    </row>
    <row r="6840" spans="6:8">
      <c r="H6840" t="s">
        <v>19712</v>
      </c>
    </row>
    <row r="6841" spans="6:8">
      <c r="H6841" t="s">
        <v>19709</v>
      </c>
    </row>
    <row r="6842" spans="6:8">
      <c r="H6842" t="s">
        <v>19706</v>
      </c>
    </row>
    <row r="6843" spans="6:8">
      <c r="H6843" t="s">
        <v>19707</v>
      </c>
    </row>
    <row r="6844" spans="6:8">
      <c r="H6844" t="s">
        <v>19711</v>
      </c>
    </row>
    <row r="6845" spans="6:8">
      <c r="H6845" t="s">
        <v>20107</v>
      </c>
    </row>
    <row r="6846" spans="6:8">
      <c r="H6846" t="s">
        <v>20108</v>
      </c>
    </row>
    <row r="6847" spans="6:8">
      <c r="H6847" t="s">
        <v>19713</v>
      </c>
    </row>
    <row r="6848" spans="6:8">
      <c r="H6848" t="s">
        <v>19714</v>
      </c>
    </row>
    <row r="6849" spans="6:8">
      <c r="H6849" t="s">
        <v>20109</v>
      </c>
    </row>
    <row r="6850" spans="6:8">
      <c r="H6850" t="s">
        <v>20095</v>
      </c>
    </row>
    <row r="6851" spans="6:8">
      <c r="H6851" t="s">
        <v>20096</v>
      </c>
    </row>
    <row r="6852" spans="6:8">
      <c r="H6852" t="s">
        <v>20097</v>
      </c>
    </row>
    <row r="6853" spans="6:8">
      <c r="H6853" t="s">
        <v>20098</v>
      </c>
    </row>
    <row r="6854" spans="6:8">
      <c r="H6854" t="s">
        <v>20099</v>
      </c>
    </row>
    <row r="6855" spans="6:8">
      <c r="H6855" t="s">
        <v>20100</v>
      </c>
    </row>
    <row r="6856" spans="6:8">
      <c r="F6856" t="s">
        <v>11073</v>
      </c>
      <c r="G6856" t="s">
        <v>15464</v>
      </c>
      <c r="H6856" t="s">
        <v>20091</v>
      </c>
    </row>
    <row r="6857" spans="6:8">
      <c r="H6857" t="s">
        <v>19712</v>
      </c>
    </row>
    <row r="6858" spans="6:8">
      <c r="H6858" t="s">
        <v>19709</v>
      </c>
    </row>
    <row r="6859" spans="6:8">
      <c r="H6859" t="s">
        <v>19706</v>
      </c>
    </row>
    <row r="6860" spans="6:8">
      <c r="H6860" t="s">
        <v>19707</v>
      </c>
    </row>
    <row r="6861" spans="6:8">
      <c r="H6861" t="s">
        <v>19711</v>
      </c>
    </row>
    <row r="6862" spans="6:8">
      <c r="H6862" t="s">
        <v>20107</v>
      </c>
    </row>
    <row r="6863" spans="6:8">
      <c r="H6863" t="s">
        <v>20108</v>
      </c>
    </row>
    <row r="6864" spans="6:8">
      <c r="H6864" t="s">
        <v>19713</v>
      </c>
    </row>
    <row r="6865" spans="6:8">
      <c r="H6865" t="s">
        <v>19714</v>
      </c>
    </row>
    <row r="6866" spans="6:8">
      <c r="H6866" t="s">
        <v>20109</v>
      </c>
    </row>
    <row r="6867" spans="6:8">
      <c r="H6867" t="s">
        <v>20095</v>
      </c>
    </row>
    <row r="6868" spans="6:8">
      <c r="H6868" t="s">
        <v>20096</v>
      </c>
    </row>
    <row r="6869" spans="6:8">
      <c r="H6869" t="s">
        <v>20097</v>
      </c>
    </row>
    <row r="6870" spans="6:8">
      <c r="H6870" t="s">
        <v>20098</v>
      </c>
    </row>
    <row r="6871" spans="6:8">
      <c r="H6871" t="s">
        <v>20099</v>
      </c>
    </row>
    <row r="6872" spans="6:8">
      <c r="H6872" t="s">
        <v>20100</v>
      </c>
    </row>
    <row r="6873" spans="6:8">
      <c r="F6873" t="s">
        <v>11074</v>
      </c>
      <c r="G6873" t="s">
        <v>15465</v>
      </c>
      <c r="H6873" t="s">
        <v>20091</v>
      </c>
    </row>
    <row r="6874" spans="6:8">
      <c r="H6874" t="s">
        <v>19712</v>
      </c>
    </row>
    <row r="6875" spans="6:8">
      <c r="H6875" t="s">
        <v>19709</v>
      </c>
    </row>
    <row r="6876" spans="6:8">
      <c r="H6876" t="s">
        <v>19706</v>
      </c>
    </row>
    <row r="6877" spans="6:8">
      <c r="H6877" t="s">
        <v>20107</v>
      </c>
    </row>
    <row r="6878" spans="6:8">
      <c r="H6878" t="s">
        <v>20108</v>
      </c>
    </row>
    <row r="6879" spans="6:8">
      <c r="H6879" t="s">
        <v>19713</v>
      </c>
    </row>
    <row r="6880" spans="6:8">
      <c r="H6880" t="s">
        <v>19714</v>
      </c>
    </row>
    <row r="6881" spans="6:8">
      <c r="H6881" t="s">
        <v>20095</v>
      </c>
    </row>
    <row r="6882" spans="6:8">
      <c r="H6882" t="s">
        <v>20096</v>
      </c>
    </row>
    <row r="6883" spans="6:8">
      <c r="H6883" t="s">
        <v>20097</v>
      </c>
    </row>
    <row r="6884" spans="6:8">
      <c r="H6884" t="s">
        <v>20098</v>
      </c>
    </row>
    <row r="6885" spans="6:8">
      <c r="H6885" t="s">
        <v>20099</v>
      </c>
    </row>
    <row r="6886" spans="6:8">
      <c r="H6886" t="s">
        <v>20100</v>
      </c>
    </row>
    <row r="6887" spans="6:8">
      <c r="F6887" t="s">
        <v>11075</v>
      </c>
      <c r="G6887" t="s">
        <v>15466</v>
      </c>
      <c r="H6887" t="s">
        <v>20091</v>
      </c>
    </row>
    <row r="6888" spans="6:8">
      <c r="H6888" t="s">
        <v>19712</v>
      </c>
    </row>
    <row r="6889" spans="6:8">
      <c r="H6889" t="s">
        <v>19709</v>
      </c>
    </row>
    <row r="6890" spans="6:8">
      <c r="H6890" t="s">
        <v>20107</v>
      </c>
    </row>
    <row r="6891" spans="6:8">
      <c r="H6891" t="s">
        <v>20108</v>
      </c>
    </row>
    <row r="6892" spans="6:8">
      <c r="H6892" t="s">
        <v>20095</v>
      </c>
    </row>
    <row r="6893" spans="6:8">
      <c r="H6893" t="s">
        <v>20096</v>
      </c>
    </row>
    <row r="6894" spans="6:8">
      <c r="H6894" t="s">
        <v>20097</v>
      </c>
    </row>
    <row r="6895" spans="6:8">
      <c r="H6895" t="s">
        <v>20098</v>
      </c>
    </row>
    <row r="6896" spans="6:8">
      <c r="H6896" t="s">
        <v>20099</v>
      </c>
    </row>
    <row r="6897" spans="6:8">
      <c r="H6897" t="s">
        <v>20100</v>
      </c>
    </row>
    <row r="6898" spans="6:8">
      <c r="F6898" t="s">
        <v>11076</v>
      </c>
      <c r="G6898" t="s">
        <v>15467</v>
      </c>
      <c r="H6898" t="s">
        <v>20091</v>
      </c>
    </row>
    <row r="6899" spans="6:8">
      <c r="H6899" t="s">
        <v>19712</v>
      </c>
    </row>
    <row r="6900" spans="6:8">
      <c r="H6900" t="s">
        <v>19709</v>
      </c>
    </row>
    <row r="6901" spans="6:8">
      <c r="H6901" t="s">
        <v>20107</v>
      </c>
    </row>
    <row r="6902" spans="6:8">
      <c r="H6902" t="s">
        <v>20108</v>
      </c>
    </row>
    <row r="6903" spans="6:8">
      <c r="H6903" t="s">
        <v>20095</v>
      </c>
    </row>
    <row r="6904" spans="6:8">
      <c r="H6904" t="s">
        <v>20096</v>
      </c>
    </row>
    <row r="6905" spans="6:8">
      <c r="H6905" t="s">
        <v>20097</v>
      </c>
    </row>
    <row r="6906" spans="6:8">
      <c r="H6906" t="s">
        <v>20098</v>
      </c>
    </row>
    <row r="6907" spans="6:8">
      <c r="H6907" t="s">
        <v>20099</v>
      </c>
    </row>
    <row r="6908" spans="6:8">
      <c r="H6908" t="s">
        <v>20100</v>
      </c>
    </row>
    <row r="6909" spans="6:8">
      <c r="F6909" t="s">
        <v>11077</v>
      </c>
      <c r="G6909" t="s">
        <v>15468</v>
      </c>
      <c r="H6909" t="s">
        <v>20091</v>
      </c>
    </row>
    <row r="6910" spans="6:8">
      <c r="H6910" t="s">
        <v>19712</v>
      </c>
    </row>
    <row r="6911" spans="6:8">
      <c r="H6911" t="s">
        <v>19709</v>
      </c>
    </row>
    <row r="6912" spans="6:8">
      <c r="H6912" t="s">
        <v>20107</v>
      </c>
    </row>
    <row r="6913" spans="6:8">
      <c r="H6913" t="s">
        <v>20108</v>
      </c>
    </row>
    <row r="6914" spans="6:8">
      <c r="H6914" t="s">
        <v>20095</v>
      </c>
    </row>
    <row r="6915" spans="6:8">
      <c r="H6915" t="s">
        <v>20096</v>
      </c>
    </row>
    <row r="6916" spans="6:8">
      <c r="H6916" t="s">
        <v>20097</v>
      </c>
    </row>
    <row r="6917" spans="6:8">
      <c r="H6917" t="s">
        <v>20098</v>
      </c>
    </row>
    <row r="6918" spans="6:8">
      <c r="H6918" t="s">
        <v>20099</v>
      </c>
    </row>
    <row r="6919" spans="6:8">
      <c r="H6919" t="s">
        <v>20100</v>
      </c>
    </row>
    <row r="6920" spans="6:8">
      <c r="F6920" t="s">
        <v>11078</v>
      </c>
      <c r="G6920" t="s">
        <v>15469</v>
      </c>
      <c r="H6920" t="s">
        <v>20091</v>
      </c>
    </row>
    <row r="6921" spans="6:8">
      <c r="H6921" t="s">
        <v>19712</v>
      </c>
    </row>
    <row r="6922" spans="6:8">
      <c r="H6922" t="s">
        <v>19709</v>
      </c>
    </row>
    <row r="6923" spans="6:8">
      <c r="H6923" t="s">
        <v>20107</v>
      </c>
    </row>
    <row r="6924" spans="6:8">
      <c r="H6924" t="s">
        <v>20108</v>
      </c>
    </row>
    <row r="6925" spans="6:8">
      <c r="H6925" t="s">
        <v>20095</v>
      </c>
    </row>
    <row r="6926" spans="6:8">
      <c r="H6926" t="s">
        <v>20096</v>
      </c>
    </row>
    <row r="6927" spans="6:8">
      <c r="H6927" t="s">
        <v>20097</v>
      </c>
    </row>
    <row r="6928" spans="6:8">
      <c r="H6928" t="s">
        <v>20098</v>
      </c>
    </row>
    <row r="6929" spans="6:8">
      <c r="H6929" t="s">
        <v>20099</v>
      </c>
    </row>
    <row r="6930" spans="6:8">
      <c r="H6930" t="s">
        <v>20100</v>
      </c>
    </row>
    <row r="6931" spans="6:8">
      <c r="F6931" t="s">
        <v>11079</v>
      </c>
      <c r="G6931" t="s">
        <v>15470</v>
      </c>
      <c r="H6931" t="s">
        <v>20091</v>
      </c>
    </row>
    <row r="6932" spans="6:8">
      <c r="H6932" t="s">
        <v>19712</v>
      </c>
    </row>
    <row r="6933" spans="6:8">
      <c r="H6933" t="s">
        <v>19709</v>
      </c>
    </row>
    <row r="6934" spans="6:8">
      <c r="H6934" t="s">
        <v>20107</v>
      </c>
    </row>
    <row r="6935" spans="6:8">
      <c r="H6935" t="s">
        <v>20108</v>
      </c>
    </row>
    <row r="6936" spans="6:8">
      <c r="H6936" t="s">
        <v>20095</v>
      </c>
    </row>
    <row r="6937" spans="6:8">
      <c r="H6937" t="s">
        <v>20096</v>
      </c>
    </row>
    <row r="6938" spans="6:8">
      <c r="H6938" t="s">
        <v>20097</v>
      </c>
    </row>
    <row r="6939" spans="6:8">
      <c r="H6939" t="s">
        <v>20098</v>
      </c>
    </row>
    <row r="6940" spans="6:8">
      <c r="H6940" t="s">
        <v>20099</v>
      </c>
    </row>
    <row r="6941" spans="6:8">
      <c r="H6941" t="s">
        <v>20100</v>
      </c>
    </row>
    <row r="6942" spans="6:8">
      <c r="F6942" t="s">
        <v>11080</v>
      </c>
      <c r="G6942" t="s">
        <v>15471</v>
      </c>
      <c r="H6942" t="s">
        <v>20091</v>
      </c>
    </row>
    <row r="6943" spans="6:8">
      <c r="H6943" t="s">
        <v>19712</v>
      </c>
    </row>
    <row r="6944" spans="6:8">
      <c r="H6944" t="s">
        <v>19709</v>
      </c>
    </row>
    <row r="6945" spans="6:8">
      <c r="H6945" t="s">
        <v>20107</v>
      </c>
    </row>
    <row r="6946" spans="6:8">
      <c r="H6946" t="s">
        <v>20108</v>
      </c>
    </row>
    <row r="6947" spans="6:8">
      <c r="H6947" t="s">
        <v>20095</v>
      </c>
    </row>
    <row r="6948" spans="6:8">
      <c r="H6948" t="s">
        <v>20096</v>
      </c>
    </row>
    <row r="6949" spans="6:8">
      <c r="H6949" t="s">
        <v>20097</v>
      </c>
    </row>
    <row r="6950" spans="6:8">
      <c r="H6950" t="s">
        <v>20098</v>
      </c>
    </row>
    <row r="6951" spans="6:8">
      <c r="H6951" t="s">
        <v>20099</v>
      </c>
    </row>
    <row r="6952" spans="6:8">
      <c r="H6952" t="s">
        <v>20100</v>
      </c>
    </row>
    <row r="6953" spans="6:8">
      <c r="F6953" t="s">
        <v>11081</v>
      </c>
      <c r="G6953" t="s">
        <v>15472</v>
      </c>
      <c r="H6953" t="s">
        <v>20091</v>
      </c>
    </row>
    <row r="6954" spans="6:8">
      <c r="H6954" t="s">
        <v>19712</v>
      </c>
    </row>
    <row r="6955" spans="6:8">
      <c r="H6955" t="s">
        <v>20095</v>
      </c>
    </row>
    <row r="6956" spans="6:8">
      <c r="H6956" t="s">
        <v>20096</v>
      </c>
    </row>
    <row r="6957" spans="6:8">
      <c r="H6957" t="s">
        <v>20097</v>
      </c>
    </row>
    <row r="6958" spans="6:8">
      <c r="H6958" t="s">
        <v>20098</v>
      </c>
    </row>
    <row r="6959" spans="6:8">
      <c r="H6959" t="s">
        <v>20099</v>
      </c>
    </row>
    <row r="6960" spans="6:8">
      <c r="F6960" t="s">
        <v>11082</v>
      </c>
      <c r="G6960" t="s">
        <v>15473</v>
      </c>
      <c r="H6960" t="s">
        <v>20091</v>
      </c>
    </row>
    <row r="6961" spans="6:8">
      <c r="H6961" t="s">
        <v>19712</v>
      </c>
    </row>
    <row r="6962" spans="6:8">
      <c r="H6962" t="s">
        <v>20095</v>
      </c>
    </row>
    <row r="6963" spans="6:8">
      <c r="H6963" t="s">
        <v>20096</v>
      </c>
    </row>
    <row r="6964" spans="6:8">
      <c r="H6964" t="s">
        <v>20097</v>
      </c>
    </row>
    <row r="6965" spans="6:8">
      <c r="H6965" t="s">
        <v>20098</v>
      </c>
    </row>
    <row r="6966" spans="6:8">
      <c r="H6966" t="s">
        <v>20099</v>
      </c>
    </row>
    <row r="6967" spans="6:8">
      <c r="F6967" t="s">
        <v>11083</v>
      </c>
      <c r="G6967" t="s">
        <v>15474</v>
      </c>
      <c r="H6967" t="s">
        <v>20091</v>
      </c>
    </row>
    <row r="6968" spans="6:8">
      <c r="H6968" t="s">
        <v>19712</v>
      </c>
    </row>
    <row r="6969" spans="6:8">
      <c r="H6969" t="s">
        <v>19709</v>
      </c>
    </row>
    <row r="6970" spans="6:8">
      <c r="H6970" t="s">
        <v>20107</v>
      </c>
    </row>
    <row r="6971" spans="6:8">
      <c r="H6971" t="s">
        <v>20108</v>
      </c>
    </row>
    <row r="6972" spans="6:8">
      <c r="H6972" t="s">
        <v>19713</v>
      </c>
    </row>
    <row r="6973" spans="6:8">
      <c r="H6973" t="s">
        <v>19714</v>
      </c>
    </row>
    <row r="6974" spans="6:8">
      <c r="H6974" t="s">
        <v>20109</v>
      </c>
    </row>
    <row r="6975" spans="6:8">
      <c r="H6975" t="s">
        <v>20110</v>
      </c>
    </row>
    <row r="6976" spans="6:8">
      <c r="H6976" t="s">
        <v>20111</v>
      </c>
    </row>
    <row r="6977" spans="8:8">
      <c r="H6977" t="s">
        <v>20095</v>
      </c>
    </row>
    <row r="6978" spans="8:8">
      <c r="H6978" t="s">
        <v>20096</v>
      </c>
    </row>
    <row r="6979" spans="8:8">
      <c r="H6979" t="s">
        <v>20097</v>
      </c>
    </row>
    <row r="6980" spans="8:8">
      <c r="H6980" t="s">
        <v>20098</v>
      </c>
    </row>
    <row r="6981" spans="8:8">
      <c r="H6981" t="s">
        <v>19706</v>
      </c>
    </row>
    <row r="6982" spans="8:8">
      <c r="H6982" t="s">
        <v>19707</v>
      </c>
    </row>
    <row r="6983" spans="8:8">
      <c r="H6983" t="s">
        <v>19711</v>
      </c>
    </row>
    <row r="6984" spans="8:8">
      <c r="H6984" t="s">
        <v>20112</v>
      </c>
    </row>
    <row r="6985" spans="8:8">
      <c r="H6985" t="s">
        <v>20113</v>
      </c>
    </row>
    <row r="6986" spans="8:8">
      <c r="H6986" t="s">
        <v>20114</v>
      </c>
    </row>
    <row r="6987" spans="8:8">
      <c r="H6987" t="s">
        <v>20115</v>
      </c>
    </row>
    <row r="6988" spans="8:8">
      <c r="H6988" t="s">
        <v>20120</v>
      </c>
    </row>
    <row r="6989" spans="8:8">
      <c r="H6989" t="s">
        <v>20121</v>
      </c>
    </row>
    <row r="6990" spans="8:8">
      <c r="H6990" t="s">
        <v>20122</v>
      </c>
    </row>
    <row r="6991" spans="8:8">
      <c r="H6991" t="s">
        <v>20099</v>
      </c>
    </row>
    <row r="6992" spans="8:8">
      <c r="H6992" t="s">
        <v>20100</v>
      </c>
    </row>
    <row r="6993" spans="6:8">
      <c r="H6993" t="s">
        <v>20101</v>
      </c>
    </row>
    <row r="6994" spans="6:8">
      <c r="H6994" t="s">
        <v>20102</v>
      </c>
    </row>
    <row r="6995" spans="6:8">
      <c r="F6995" t="s">
        <v>11084</v>
      </c>
      <c r="G6995" t="s">
        <v>15475</v>
      </c>
      <c r="H6995" t="s">
        <v>20091</v>
      </c>
    </row>
    <row r="6996" spans="6:8">
      <c r="H6996" t="s">
        <v>19712</v>
      </c>
    </row>
    <row r="6997" spans="6:8">
      <c r="H6997" t="s">
        <v>20095</v>
      </c>
    </row>
    <row r="6998" spans="6:8">
      <c r="H6998" t="s">
        <v>20096</v>
      </c>
    </row>
    <row r="6999" spans="6:8">
      <c r="H6999" t="s">
        <v>20097</v>
      </c>
    </row>
    <row r="7000" spans="6:8">
      <c r="H7000" t="s">
        <v>20098</v>
      </c>
    </row>
    <row r="7001" spans="6:8">
      <c r="H7001" t="s">
        <v>19709</v>
      </c>
    </row>
    <row r="7002" spans="6:8">
      <c r="H7002" t="s">
        <v>19706</v>
      </c>
    </row>
    <row r="7003" spans="6:8">
      <c r="H7003" t="s">
        <v>20099</v>
      </c>
    </row>
    <row r="7004" spans="6:8">
      <c r="H7004" t="s">
        <v>20100</v>
      </c>
    </row>
    <row r="7005" spans="6:8">
      <c r="H7005" t="s">
        <v>20101</v>
      </c>
    </row>
    <row r="7006" spans="6:8">
      <c r="H7006" t="s">
        <v>20102</v>
      </c>
    </row>
    <row r="7007" spans="6:8">
      <c r="F7007" t="s">
        <v>11085</v>
      </c>
      <c r="G7007" t="s">
        <v>15476</v>
      </c>
      <c r="H7007" t="s">
        <v>20091</v>
      </c>
    </row>
    <row r="7008" spans="6:8">
      <c r="H7008" t="s">
        <v>19712</v>
      </c>
    </row>
    <row r="7009" spans="6:8">
      <c r="H7009" t="s">
        <v>20095</v>
      </c>
    </row>
    <row r="7010" spans="6:8">
      <c r="H7010" t="s">
        <v>20096</v>
      </c>
    </row>
    <row r="7011" spans="6:8">
      <c r="H7011" t="s">
        <v>20097</v>
      </c>
    </row>
    <row r="7012" spans="6:8">
      <c r="H7012" t="s">
        <v>20098</v>
      </c>
    </row>
    <row r="7013" spans="6:8">
      <c r="F7013" t="s">
        <v>11086</v>
      </c>
      <c r="G7013" t="s">
        <v>15477</v>
      </c>
      <c r="H7013" t="s">
        <v>20091</v>
      </c>
    </row>
    <row r="7014" spans="6:8">
      <c r="H7014" t="s">
        <v>19712</v>
      </c>
    </row>
    <row r="7015" spans="6:8">
      <c r="H7015" t="s">
        <v>20095</v>
      </c>
    </row>
    <row r="7016" spans="6:8">
      <c r="H7016" t="s">
        <v>20096</v>
      </c>
    </row>
    <row r="7017" spans="6:8">
      <c r="H7017" t="s">
        <v>20097</v>
      </c>
    </row>
    <row r="7018" spans="6:8">
      <c r="H7018" t="s">
        <v>20098</v>
      </c>
    </row>
    <row r="7019" spans="6:8">
      <c r="F7019" t="s">
        <v>11087</v>
      </c>
      <c r="G7019" t="s">
        <v>15478</v>
      </c>
      <c r="H7019" t="s">
        <v>20091</v>
      </c>
    </row>
    <row r="7020" spans="6:8">
      <c r="H7020" t="s">
        <v>19712</v>
      </c>
    </row>
    <row r="7021" spans="6:8">
      <c r="H7021" t="s">
        <v>20095</v>
      </c>
    </row>
    <row r="7022" spans="6:8">
      <c r="H7022" t="s">
        <v>20096</v>
      </c>
    </row>
    <row r="7023" spans="6:8">
      <c r="H7023" t="s">
        <v>20097</v>
      </c>
    </row>
    <row r="7024" spans="6:8">
      <c r="H7024" t="s">
        <v>20098</v>
      </c>
    </row>
    <row r="7025" spans="6:8">
      <c r="F7025" t="s">
        <v>11088</v>
      </c>
      <c r="G7025" t="s">
        <v>15479</v>
      </c>
      <c r="H7025" t="s">
        <v>20091</v>
      </c>
    </row>
    <row r="7026" spans="6:8">
      <c r="H7026" t="s">
        <v>19712</v>
      </c>
    </row>
    <row r="7027" spans="6:8">
      <c r="H7027" t="s">
        <v>20095</v>
      </c>
    </row>
    <row r="7028" spans="6:8">
      <c r="H7028" t="s">
        <v>20096</v>
      </c>
    </row>
    <row r="7029" spans="6:8">
      <c r="H7029" t="s">
        <v>20097</v>
      </c>
    </row>
    <row r="7030" spans="6:8">
      <c r="H7030" t="s">
        <v>20098</v>
      </c>
    </row>
    <row r="7031" spans="6:8">
      <c r="F7031" t="s">
        <v>11089</v>
      </c>
      <c r="G7031" t="s">
        <v>15480</v>
      </c>
      <c r="H7031" t="s">
        <v>20091</v>
      </c>
    </row>
    <row r="7032" spans="6:8">
      <c r="H7032" t="s">
        <v>19712</v>
      </c>
    </row>
    <row r="7033" spans="6:8">
      <c r="H7033" t="s">
        <v>19709</v>
      </c>
    </row>
    <row r="7034" spans="6:8">
      <c r="H7034" t="s">
        <v>19706</v>
      </c>
    </row>
    <row r="7035" spans="6:8">
      <c r="H7035" t="s">
        <v>20107</v>
      </c>
    </row>
    <row r="7036" spans="6:8">
      <c r="H7036" t="s">
        <v>20108</v>
      </c>
    </row>
    <row r="7037" spans="6:8">
      <c r="H7037" t="s">
        <v>19713</v>
      </c>
    </row>
    <row r="7038" spans="6:8">
      <c r="H7038" t="s">
        <v>19714</v>
      </c>
    </row>
    <row r="7039" spans="6:8">
      <c r="H7039" t="s">
        <v>20109</v>
      </c>
    </row>
    <row r="7040" spans="6:8">
      <c r="H7040" t="s">
        <v>20095</v>
      </c>
    </row>
    <row r="7041" spans="6:8">
      <c r="H7041" t="s">
        <v>20096</v>
      </c>
    </row>
    <row r="7042" spans="6:8">
      <c r="H7042" t="s">
        <v>20097</v>
      </c>
    </row>
    <row r="7043" spans="6:8">
      <c r="H7043" t="s">
        <v>20098</v>
      </c>
    </row>
    <row r="7044" spans="6:8">
      <c r="F7044" t="s">
        <v>11090</v>
      </c>
      <c r="G7044" t="s">
        <v>15481</v>
      </c>
      <c r="H7044" t="s">
        <v>20091</v>
      </c>
    </row>
    <row r="7045" spans="6:8">
      <c r="H7045" t="s">
        <v>19712</v>
      </c>
    </row>
    <row r="7046" spans="6:8">
      <c r="H7046" t="s">
        <v>19709</v>
      </c>
    </row>
    <row r="7047" spans="6:8">
      <c r="H7047" t="s">
        <v>19706</v>
      </c>
    </row>
    <row r="7048" spans="6:8">
      <c r="H7048" t="s">
        <v>19707</v>
      </c>
    </row>
    <row r="7049" spans="6:8">
      <c r="H7049" t="s">
        <v>20107</v>
      </c>
    </row>
    <row r="7050" spans="6:8">
      <c r="H7050" t="s">
        <v>20108</v>
      </c>
    </row>
    <row r="7051" spans="6:8">
      <c r="H7051" t="s">
        <v>20095</v>
      </c>
    </row>
    <row r="7052" spans="6:8">
      <c r="H7052" t="s">
        <v>20096</v>
      </c>
    </row>
    <row r="7053" spans="6:8">
      <c r="H7053" t="s">
        <v>20097</v>
      </c>
    </row>
    <row r="7054" spans="6:8">
      <c r="H7054" t="s">
        <v>20098</v>
      </c>
    </row>
    <row r="7055" spans="6:8">
      <c r="F7055" t="s">
        <v>11091</v>
      </c>
      <c r="G7055" t="s">
        <v>15482</v>
      </c>
      <c r="H7055" t="s">
        <v>20091</v>
      </c>
    </row>
    <row r="7056" spans="6:8">
      <c r="H7056" t="s">
        <v>19712</v>
      </c>
    </row>
    <row r="7057" spans="8:8">
      <c r="H7057" t="s">
        <v>19709</v>
      </c>
    </row>
    <row r="7058" spans="8:8">
      <c r="H7058" t="s">
        <v>20092</v>
      </c>
    </row>
    <row r="7059" spans="8:8">
      <c r="H7059" t="s">
        <v>20093</v>
      </c>
    </row>
    <row r="7060" spans="8:8">
      <c r="H7060" t="s">
        <v>20094</v>
      </c>
    </row>
    <row r="7061" spans="8:8">
      <c r="H7061" t="s">
        <v>20103</v>
      </c>
    </row>
    <row r="7062" spans="8:8">
      <c r="H7062" t="s">
        <v>20116</v>
      </c>
    </row>
    <row r="7063" spans="8:8">
      <c r="H7063" t="s">
        <v>20117</v>
      </c>
    </row>
    <row r="7064" spans="8:8">
      <c r="H7064" t="s">
        <v>20118</v>
      </c>
    </row>
    <row r="7065" spans="8:8">
      <c r="H7065" t="s">
        <v>19176</v>
      </c>
    </row>
    <row r="7066" spans="8:8">
      <c r="H7066" t="s">
        <v>20095</v>
      </c>
    </row>
    <row r="7067" spans="8:8">
      <c r="H7067" t="s">
        <v>20096</v>
      </c>
    </row>
    <row r="7068" spans="8:8">
      <c r="H7068" t="s">
        <v>20099</v>
      </c>
    </row>
    <row r="7069" spans="8:8">
      <c r="H7069" t="s">
        <v>20100</v>
      </c>
    </row>
    <row r="7070" spans="8:8">
      <c r="H7070" t="s">
        <v>20101</v>
      </c>
    </row>
    <row r="7071" spans="8:8">
      <c r="H7071" t="s">
        <v>20102</v>
      </c>
    </row>
    <row r="7072" spans="8:8">
      <c r="H7072" t="s">
        <v>20104</v>
      </c>
    </row>
    <row r="7073" spans="6:8">
      <c r="H7073" t="s">
        <v>20105</v>
      </c>
    </row>
    <row r="7074" spans="6:8">
      <c r="H7074" t="s">
        <v>20123</v>
      </c>
    </row>
    <row r="7075" spans="6:8">
      <c r="H7075" t="s">
        <v>20124</v>
      </c>
    </row>
    <row r="7076" spans="6:8">
      <c r="F7076" t="s">
        <v>11092</v>
      </c>
      <c r="G7076" t="s">
        <v>15483</v>
      </c>
      <c r="H7076" t="s">
        <v>20091</v>
      </c>
    </row>
    <row r="7077" spans="6:8">
      <c r="H7077" t="s">
        <v>19712</v>
      </c>
    </row>
    <row r="7078" spans="6:8">
      <c r="H7078" t="s">
        <v>19709</v>
      </c>
    </row>
    <row r="7079" spans="6:8">
      <c r="H7079" t="s">
        <v>19706</v>
      </c>
    </row>
    <row r="7080" spans="6:8">
      <c r="H7080" t="s">
        <v>19707</v>
      </c>
    </row>
    <row r="7081" spans="6:8">
      <c r="H7081" t="s">
        <v>19711</v>
      </c>
    </row>
    <row r="7082" spans="6:8">
      <c r="H7082" t="s">
        <v>19708</v>
      </c>
    </row>
    <row r="7083" spans="6:8">
      <c r="H7083" t="s">
        <v>19710</v>
      </c>
    </row>
    <row r="7084" spans="6:8">
      <c r="H7084" t="s">
        <v>20092</v>
      </c>
    </row>
    <row r="7085" spans="6:8">
      <c r="H7085" t="s">
        <v>20093</v>
      </c>
    </row>
    <row r="7086" spans="6:8">
      <c r="H7086" t="s">
        <v>20094</v>
      </c>
    </row>
    <row r="7087" spans="6:8">
      <c r="H7087" t="s">
        <v>20103</v>
      </c>
    </row>
    <row r="7088" spans="6:8">
      <c r="H7088" t="s">
        <v>20116</v>
      </c>
    </row>
    <row r="7089" spans="6:8">
      <c r="H7089" t="s">
        <v>20117</v>
      </c>
    </row>
    <row r="7090" spans="6:8">
      <c r="H7090" t="s">
        <v>20118</v>
      </c>
    </row>
    <row r="7091" spans="6:8">
      <c r="H7091" t="s">
        <v>20095</v>
      </c>
    </row>
    <row r="7092" spans="6:8">
      <c r="H7092" t="s">
        <v>20096</v>
      </c>
    </row>
    <row r="7093" spans="6:8">
      <c r="H7093" t="s">
        <v>20097</v>
      </c>
    </row>
    <row r="7094" spans="6:8">
      <c r="H7094" t="s">
        <v>20098</v>
      </c>
    </row>
    <row r="7095" spans="6:8">
      <c r="H7095" t="s">
        <v>20099</v>
      </c>
    </row>
    <row r="7096" spans="6:8">
      <c r="H7096" t="s">
        <v>20100</v>
      </c>
    </row>
    <row r="7097" spans="6:8">
      <c r="H7097" t="s">
        <v>20101</v>
      </c>
    </row>
    <row r="7098" spans="6:8">
      <c r="H7098" t="s">
        <v>20102</v>
      </c>
    </row>
    <row r="7099" spans="6:8">
      <c r="H7099" t="s">
        <v>20104</v>
      </c>
    </row>
    <row r="7100" spans="6:8">
      <c r="H7100" t="s">
        <v>20105</v>
      </c>
    </row>
    <row r="7101" spans="6:8">
      <c r="H7101" t="s">
        <v>20123</v>
      </c>
    </row>
    <row r="7102" spans="6:8">
      <c r="F7102" t="s">
        <v>11094</v>
      </c>
      <c r="G7102" t="s">
        <v>15484</v>
      </c>
      <c r="H7102" t="s">
        <v>20091</v>
      </c>
    </row>
    <row r="7103" spans="6:8">
      <c r="H7103" t="s">
        <v>19712</v>
      </c>
    </row>
    <row r="7104" spans="6:8">
      <c r="H7104" t="s">
        <v>19709</v>
      </c>
    </row>
    <row r="7105" spans="8:8">
      <c r="H7105" t="s">
        <v>19706</v>
      </c>
    </row>
    <row r="7106" spans="8:8">
      <c r="H7106" t="s">
        <v>19707</v>
      </c>
    </row>
    <row r="7107" spans="8:8">
      <c r="H7107" t="s">
        <v>19711</v>
      </c>
    </row>
    <row r="7108" spans="8:8">
      <c r="H7108" t="s">
        <v>20092</v>
      </c>
    </row>
    <row r="7109" spans="8:8">
      <c r="H7109" t="s">
        <v>20093</v>
      </c>
    </row>
    <row r="7110" spans="8:8">
      <c r="H7110" t="s">
        <v>20094</v>
      </c>
    </row>
    <row r="7111" spans="8:8">
      <c r="H7111" t="s">
        <v>20116</v>
      </c>
    </row>
    <row r="7112" spans="8:8">
      <c r="H7112" t="s">
        <v>20117</v>
      </c>
    </row>
    <row r="7113" spans="8:8">
      <c r="H7113" t="s">
        <v>20118</v>
      </c>
    </row>
    <row r="7114" spans="8:8">
      <c r="H7114" t="s">
        <v>19176</v>
      </c>
    </row>
    <row r="7115" spans="8:8">
      <c r="H7115" t="s">
        <v>20119</v>
      </c>
    </row>
    <row r="7116" spans="8:8">
      <c r="H7116" t="s">
        <v>20095</v>
      </c>
    </row>
    <row r="7117" spans="8:8">
      <c r="H7117" t="s">
        <v>20096</v>
      </c>
    </row>
    <row r="7118" spans="8:8">
      <c r="H7118" t="s">
        <v>20097</v>
      </c>
    </row>
    <row r="7119" spans="8:8">
      <c r="H7119" t="s">
        <v>20098</v>
      </c>
    </row>
    <row r="7120" spans="8:8">
      <c r="H7120" t="s">
        <v>20099</v>
      </c>
    </row>
    <row r="7121" spans="6:8">
      <c r="H7121" t="s">
        <v>20100</v>
      </c>
    </row>
    <row r="7122" spans="6:8">
      <c r="F7122" t="s">
        <v>11097</v>
      </c>
      <c r="G7122" t="s">
        <v>15487</v>
      </c>
      <c r="H7122" t="s">
        <v>20091</v>
      </c>
    </row>
    <row r="7123" spans="6:8">
      <c r="H7123" t="s">
        <v>19712</v>
      </c>
    </row>
    <row r="7124" spans="6:8">
      <c r="H7124" t="s">
        <v>19709</v>
      </c>
    </row>
    <row r="7125" spans="6:8">
      <c r="H7125" t="s">
        <v>19706</v>
      </c>
    </row>
    <row r="7126" spans="6:8">
      <c r="H7126" t="s">
        <v>19707</v>
      </c>
    </row>
    <row r="7127" spans="6:8">
      <c r="H7127" t="s">
        <v>19711</v>
      </c>
    </row>
    <row r="7128" spans="6:8">
      <c r="H7128" t="s">
        <v>20092</v>
      </c>
    </row>
    <row r="7129" spans="6:8">
      <c r="H7129" t="s">
        <v>20093</v>
      </c>
    </row>
    <row r="7130" spans="6:8">
      <c r="H7130" t="s">
        <v>20094</v>
      </c>
    </row>
    <row r="7131" spans="6:8">
      <c r="H7131" t="s">
        <v>20103</v>
      </c>
    </row>
    <row r="7132" spans="6:8">
      <c r="H7132" t="s">
        <v>20116</v>
      </c>
    </row>
    <row r="7133" spans="6:8">
      <c r="H7133" t="s">
        <v>20117</v>
      </c>
    </row>
    <row r="7134" spans="6:8">
      <c r="H7134" t="s">
        <v>20118</v>
      </c>
    </row>
    <row r="7135" spans="6:8">
      <c r="H7135" t="s">
        <v>19176</v>
      </c>
    </row>
    <row r="7136" spans="6:8">
      <c r="H7136" t="s">
        <v>20095</v>
      </c>
    </row>
    <row r="7137" spans="6:8">
      <c r="H7137" t="s">
        <v>20096</v>
      </c>
    </row>
    <row r="7138" spans="6:8">
      <c r="H7138" t="s">
        <v>20097</v>
      </c>
    </row>
    <row r="7139" spans="6:8">
      <c r="H7139" t="s">
        <v>20098</v>
      </c>
    </row>
    <row r="7140" spans="6:8">
      <c r="H7140" t="s">
        <v>20099</v>
      </c>
    </row>
    <row r="7141" spans="6:8">
      <c r="H7141" t="s">
        <v>20100</v>
      </c>
    </row>
    <row r="7142" spans="6:8">
      <c r="H7142" t="s">
        <v>20101</v>
      </c>
    </row>
    <row r="7143" spans="6:8">
      <c r="H7143" t="s">
        <v>20102</v>
      </c>
    </row>
    <row r="7144" spans="6:8">
      <c r="H7144" t="s">
        <v>20104</v>
      </c>
    </row>
    <row r="7145" spans="6:8">
      <c r="F7145" t="s">
        <v>11098</v>
      </c>
      <c r="G7145" t="s">
        <v>15488</v>
      </c>
      <c r="H7145" t="s">
        <v>20091</v>
      </c>
    </row>
    <row r="7146" spans="6:8">
      <c r="H7146" t="s">
        <v>19712</v>
      </c>
    </row>
    <row r="7147" spans="6:8">
      <c r="H7147" t="s">
        <v>19709</v>
      </c>
    </row>
    <row r="7148" spans="6:8">
      <c r="H7148" t="s">
        <v>20107</v>
      </c>
    </row>
    <row r="7149" spans="6:8">
      <c r="H7149" t="s">
        <v>20108</v>
      </c>
    </row>
    <row r="7150" spans="6:8">
      <c r="H7150" t="s">
        <v>20095</v>
      </c>
    </row>
    <row r="7151" spans="6:8">
      <c r="H7151" t="s">
        <v>20096</v>
      </c>
    </row>
    <row r="7152" spans="6:8">
      <c r="H7152" t="s">
        <v>20097</v>
      </c>
    </row>
    <row r="7153" spans="6:8">
      <c r="H7153" t="s">
        <v>20098</v>
      </c>
    </row>
    <row r="7154" spans="6:8">
      <c r="F7154" t="s">
        <v>11099</v>
      </c>
      <c r="G7154" t="s">
        <v>15489</v>
      </c>
      <c r="H7154" t="s">
        <v>20091</v>
      </c>
    </row>
    <row r="7155" spans="6:8">
      <c r="H7155" t="s">
        <v>19712</v>
      </c>
    </row>
    <row r="7156" spans="6:8">
      <c r="H7156" t="s">
        <v>19709</v>
      </c>
    </row>
    <row r="7157" spans="6:8">
      <c r="H7157" t="s">
        <v>19706</v>
      </c>
    </row>
    <row r="7158" spans="6:8">
      <c r="H7158" t="s">
        <v>19707</v>
      </c>
    </row>
    <row r="7159" spans="6:8">
      <c r="H7159" t="s">
        <v>19711</v>
      </c>
    </row>
    <row r="7160" spans="6:8">
      <c r="H7160" t="s">
        <v>20107</v>
      </c>
    </row>
    <row r="7161" spans="6:8">
      <c r="H7161" t="s">
        <v>20108</v>
      </c>
    </row>
    <row r="7162" spans="6:8">
      <c r="H7162" t="s">
        <v>19713</v>
      </c>
    </row>
    <row r="7163" spans="6:8">
      <c r="H7163" t="s">
        <v>19714</v>
      </c>
    </row>
    <row r="7164" spans="6:8">
      <c r="H7164" t="s">
        <v>20109</v>
      </c>
    </row>
    <row r="7165" spans="6:8">
      <c r="H7165" t="s">
        <v>20110</v>
      </c>
    </row>
    <row r="7166" spans="6:8">
      <c r="H7166" t="s">
        <v>20092</v>
      </c>
    </row>
    <row r="7167" spans="6:8">
      <c r="H7167" t="s">
        <v>20095</v>
      </c>
    </row>
    <row r="7168" spans="6:8">
      <c r="H7168" t="s">
        <v>20096</v>
      </c>
    </row>
    <row r="7169" spans="6:8">
      <c r="H7169" t="s">
        <v>20097</v>
      </c>
    </row>
    <row r="7170" spans="6:8">
      <c r="H7170" t="s">
        <v>20098</v>
      </c>
    </row>
    <row r="7171" spans="6:8">
      <c r="F7171" t="s">
        <v>11100</v>
      </c>
      <c r="G7171" t="s">
        <v>15490</v>
      </c>
      <c r="H7171" t="s">
        <v>20091</v>
      </c>
    </row>
    <row r="7172" spans="6:8">
      <c r="H7172" t="s">
        <v>19712</v>
      </c>
    </row>
    <row r="7173" spans="6:8">
      <c r="H7173" t="s">
        <v>19709</v>
      </c>
    </row>
    <row r="7174" spans="6:8">
      <c r="H7174" t="s">
        <v>20092</v>
      </c>
    </row>
    <row r="7175" spans="6:8">
      <c r="H7175" t="s">
        <v>20093</v>
      </c>
    </row>
    <row r="7176" spans="6:8">
      <c r="H7176" t="s">
        <v>20095</v>
      </c>
    </row>
    <row r="7177" spans="6:8">
      <c r="H7177" t="s">
        <v>20096</v>
      </c>
    </row>
    <row r="7178" spans="6:8">
      <c r="H7178" t="s">
        <v>20097</v>
      </c>
    </row>
    <row r="7179" spans="6:8">
      <c r="H7179" t="s">
        <v>20098</v>
      </c>
    </row>
    <row r="7180" spans="6:8">
      <c r="H7180" t="s">
        <v>20099</v>
      </c>
    </row>
    <row r="7181" spans="6:8">
      <c r="H7181" t="s">
        <v>20100</v>
      </c>
    </row>
    <row r="7182" spans="6:8">
      <c r="F7182" t="s">
        <v>11101</v>
      </c>
      <c r="G7182" t="s">
        <v>15491</v>
      </c>
      <c r="H7182" t="s">
        <v>20091</v>
      </c>
    </row>
    <row r="7183" spans="6:8">
      <c r="H7183" t="s">
        <v>19712</v>
      </c>
    </row>
    <row r="7184" spans="6:8">
      <c r="H7184" t="s">
        <v>19709</v>
      </c>
    </row>
    <row r="7185" spans="6:8">
      <c r="H7185" t="s">
        <v>19706</v>
      </c>
    </row>
    <row r="7186" spans="6:8">
      <c r="H7186" t="s">
        <v>19707</v>
      </c>
    </row>
    <row r="7187" spans="6:8">
      <c r="H7187" t="s">
        <v>20107</v>
      </c>
    </row>
    <row r="7188" spans="6:8">
      <c r="H7188" t="s">
        <v>20108</v>
      </c>
    </row>
    <row r="7189" spans="6:8">
      <c r="H7189" t="s">
        <v>19713</v>
      </c>
    </row>
    <row r="7190" spans="6:8">
      <c r="H7190" t="s">
        <v>19714</v>
      </c>
    </row>
    <row r="7191" spans="6:8">
      <c r="H7191" t="s">
        <v>20095</v>
      </c>
    </row>
    <row r="7192" spans="6:8">
      <c r="H7192" t="s">
        <v>20096</v>
      </c>
    </row>
    <row r="7193" spans="6:8">
      <c r="H7193" t="s">
        <v>20097</v>
      </c>
    </row>
    <row r="7194" spans="6:8">
      <c r="H7194" t="s">
        <v>20098</v>
      </c>
    </row>
    <row r="7195" spans="6:8">
      <c r="F7195" t="s">
        <v>11102</v>
      </c>
      <c r="G7195" t="s">
        <v>15492</v>
      </c>
      <c r="H7195" t="s">
        <v>20091</v>
      </c>
    </row>
    <row r="7196" spans="6:8">
      <c r="H7196" t="s">
        <v>19712</v>
      </c>
    </row>
    <row r="7197" spans="6:8">
      <c r="H7197" t="s">
        <v>19709</v>
      </c>
    </row>
    <row r="7198" spans="6:8">
      <c r="H7198" t="s">
        <v>19706</v>
      </c>
    </row>
    <row r="7199" spans="6:8">
      <c r="H7199" t="s">
        <v>19707</v>
      </c>
    </row>
    <row r="7200" spans="6:8">
      <c r="H7200" t="s">
        <v>20107</v>
      </c>
    </row>
    <row r="7201" spans="6:8">
      <c r="H7201" t="s">
        <v>20108</v>
      </c>
    </row>
    <row r="7202" spans="6:8">
      <c r="H7202" t="s">
        <v>19713</v>
      </c>
    </row>
    <row r="7203" spans="6:8">
      <c r="H7203" t="s">
        <v>19714</v>
      </c>
    </row>
    <row r="7204" spans="6:8">
      <c r="H7204" t="s">
        <v>20095</v>
      </c>
    </row>
    <row r="7205" spans="6:8">
      <c r="H7205" t="s">
        <v>20096</v>
      </c>
    </row>
    <row r="7206" spans="6:8">
      <c r="H7206" t="s">
        <v>20097</v>
      </c>
    </row>
    <row r="7207" spans="6:8">
      <c r="H7207" t="s">
        <v>20098</v>
      </c>
    </row>
    <row r="7208" spans="6:8">
      <c r="F7208" t="s">
        <v>11103</v>
      </c>
      <c r="G7208" t="s">
        <v>15493</v>
      </c>
      <c r="H7208" t="s">
        <v>20091</v>
      </c>
    </row>
    <row r="7209" spans="6:8">
      <c r="H7209" t="s">
        <v>19712</v>
      </c>
    </row>
    <row r="7210" spans="6:8">
      <c r="H7210" t="s">
        <v>20095</v>
      </c>
    </row>
    <row r="7211" spans="6:8">
      <c r="H7211" t="s">
        <v>20096</v>
      </c>
    </row>
    <row r="7212" spans="6:8">
      <c r="H7212" t="s">
        <v>20097</v>
      </c>
    </row>
    <row r="7213" spans="6:8">
      <c r="H7213" t="s">
        <v>19709</v>
      </c>
    </row>
    <row r="7214" spans="6:8">
      <c r="H7214" t="s">
        <v>19706</v>
      </c>
    </row>
    <row r="7215" spans="6:8">
      <c r="H7215" t="s">
        <v>20098</v>
      </c>
    </row>
    <row r="7216" spans="6:8">
      <c r="H7216" t="s">
        <v>20099</v>
      </c>
    </row>
    <row r="7217" spans="6:8">
      <c r="H7217" t="s">
        <v>20100</v>
      </c>
    </row>
    <row r="7218" spans="6:8">
      <c r="F7218" t="s">
        <v>11104</v>
      </c>
      <c r="G7218" t="s">
        <v>15494</v>
      </c>
      <c r="H7218" t="s">
        <v>20091</v>
      </c>
    </row>
    <row r="7219" spans="6:8">
      <c r="H7219" t="s">
        <v>19712</v>
      </c>
    </row>
    <row r="7220" spans="6:8">
      <c r="H7220" t="s">
        <v>20095</v>
      </c>
    </row>
    <row r="7221" spans="6:8">
      <c r="H7221" t="s">
        <v>20096</v>
      </c>
    </row>
    <row r="7222" spans="6:8">
      <c r="H7222" t="s">
        <v>20097</v>
      </c>
    </row>
    <row r="7223" spans="6:8">
      <c r="F7223" t="s">
        <v>11105</v>
      </c>
      <c r="G7223" t="s">
        <v>15495</v>
      </c>
      <c r="H7223" t="s">
        <v>20091</v>
      </c>
    </row>
    <row r="7224" spans="6:8">
      <c r="H7224" t="s">
        <v>19712</v>
      </c>
    </row>
    <row r="7225" spans="6:8">
      <c r="H7225" t="s">
        <v>20095</v>
      </c>
    </row>
    <row r="7226" spans="6:8">
      <c r="H7226" t="s">
        <v>20096</v>
      </c>
    </row>
    <row r="7227" spans="6:8">
      <c r="H7227" t="s">
        <v>20097</v>
      </c>
    </row>
    <row r="7228" spans="6:8">
      <c r="F7228" t="s">
        <v>11106</v>
      </c>
      <c r="G7228" t="s">
        <v>15496</v>
      </c>
      <c r="H7228" t="s">
        <v>20091</v>
      </c>
    </row>
    <row r="7229" spans="6:8">
      <c r="H7229" t="s">
        <v>19712</v>
      </c>
    </row>
    <row r="7230" spans="6:8">
      <c r="H7230" t="s">
        <v>20095</v>
      </c>
    </row>
    <row r="7231" spans="6:8">
      <c r="H7231" t="s">
        <v>20096</v>
      </c>
    </row>
    <row r="7232" spans="6:8">
      <c r="H7232" t="s">
        <v>20097</v>
      </c>
    </row>
    <row r="7233" spans="6:8">
      <c r="F7233" t="s">
        <v>11107</v>
      </c>
      <c r="G7233" t="s">
        <v>15497</v>
      </c>
      <c r="H7233" t="s">
        <v>20091</v>
      </c>
    </row>
    <row r="7234" spans="6:8">
      <c r="H7234" t="s">
        <v>19712</v>
      </c>
    </row>
    <row r="7235" spans="6:8">
      <c r="H7235" t="s">
        <v>20095</v>
      </c>
    </row>
    <row r="7236" spans="6:8">
      <c r="H7236" t="s">
        <v>20096</v>
      </c>
    </row>
    <row r="7237" spans="6:8">
      <c r="H7237" t="s">
        <v>20097</v>
      </c>
    </row>
    <row r="7238" spans="6:8">
      <c r="F7238" t="s">
        <v>11108</v>
      </c>
      <c r="G7238" t="s">
        <v>15498</v>
      </c>
      <c r="H7238" t="s">
        <v>20091</v>
      </c>
    </row>
    <row r="7239" spans="6:8">
      <c r="H7239" t="s">
        <v>19712</v>
      </c>
    </row>
    <row r="7240" spans="6:8">
      <c r="H7240" t="s">
        <v>19709</v>
      </c>
    </row>
    <row r="7241" spans="6:8">
      <c r="H7241" t="s">
        <v>19706</v>
      </c>
    </row>
    <row r="7242" spans="6:8">
      <c r="H7242" t="s">
        <v>20107</v>
      </c>
    </row>
    <row r="7243" spans="6:8">
      <c r="H7243" t="s">
        <v>20108</v>
      </c>
    </row>
    <row r="7244" spans="6:8">
      <c r="H7244" t="s">
        <v>19713</v>
      </c>
    </row>
    <row r="7245" spans="6:8">
      <c r="H7245" t="s">
        <v>19714</v>
      </c>
    </row>
    <row r="7246" spans="6:8">
      <c r="H7246" t="s">
        <v>20109</v>
      </c>
    </row>
    <row r="7247" spans="6:8">
      <c r="H7247" t="s">
        <v>20110</v>
      </c>
    </row>
    <row r="7248" spans="6:8">
      <c r="H7248" t="s">
        <v>20111</v>
      </c>
    </row>
    <row r="7249" spans="6:8">
      <c r="H7249" t="s">
        <v>20112</v>
      </c>
    </row>
    <row r="7250" spans="6:8">
      <c r="H7250" t="s">
        <v>20113</v>
      </c>
    </row>
    <row r="7251" spans="6:8">
      <c r="H7251" t="s">
        <v>20095</v>
      </c>
    </row>
    <row r="7252" spans="6:8">
      <c r="H7252" t="s">
        <v>20096</v>
      </c>
    </row>
    <row r="7253" spans="6:8">
      <c r="H7253" t="s">
        <v>20097</v>
      </c>
    </row>
    <row r="7254" spans="6:8">
      <c r="H7254" t="s">
        <v>20098</v>
      </c>
    </row>
    <row r="7255" spans="6:8">
      <c r="F7255" t="s">
        <v>11109</v>
      </c>
      <c r="G7255" t="s">
        <v>15499</v>
      </c>
      <c r="H7255" t="s">
        <v>20091</v>
      </c>
    </row>
    <row r="7256" spans="6:8">
      <c r="H7256" t="s">
        <v>19712</v>
      </c>
    </row>
    <row r="7257" spans="6:8">
      <c r="H7257" t="s">
        <v>19709</v>
      </c>
    </row>
    <row r="7258" spans="6:8">
      <c r="H7258" t="s">
        <v>19706</v>
      </c>
    </row>
    <row r="7259" spans="6:8">
      <c r="H7259" t="s">
        <v>19707</v>
      </c>
    </row>
    <row r="7260" spans="6:8">
      <c r="H7260" t="s">
        <v>20107</v>
      </c>
    </row>
    <row r="7261" spans="6:8">
      <c r="H7261" t="s">
        <v>20108</v>
      </c>
    </row>
    <row r="7262" spans="6:8">
      <c r="H7262" t="s">
        <v>19713</v>
      </c>
    </row>
    <row r="7263" spans="6:8">
      <c r="H7263" t="s">
        <v>19714</v>
      </c>
    </row>
    <row r="7264" spans="6:8">
      <c r="H7264" t="s">
        <v>20095</v>
      </c>
    </row>
    <row r="7265" spans="6:8">
      <c r="H7265" t="s">
        <v>20096</v>
      </c>
    </row>
    <row r="7266" spans="6:8">
      <c r="H7266" t="s">
        <v>20097</v>
      </c>
    </row>
    <row r="7267" spans="6:8">
      <c r="H7267" t="s">
        <v>20098</v>
      </c>
    </row>
    <row r="7268" spans="6:8">
      <c r="F7268" t="s">
        <v>11110</v>
      </c>
      <c r="G7268" t="s">
        <v>15500</v>
      </c>
      <c r="H7268" t="s">
        <v>20091</v>
      </c>
    </row>
    <row r="7269" spans="6:8">
      <c r="H7269" t="s">
        <v>19712</v>
      </c>
    </row>
    <row r="7270" spans="6:8">
      <c r="H7270" t="s">
        <v>19709</v>
      </c>
    </row>
    <row r="7271" spans="6:8">
      <c r="H7271" t="s">
        <v>20107</v>
      </c>
    </row>
    <row r="7272" spans="6:8">
      <c r="H7272" t="s">
        <v>20108</v>
      </c>
    </row>
    <row r="7273" spans="6:8">
      <c r="H7273" t="s">
        <v>20095</v>
      </c>
    </row>
    <row r="7274" spans="6:8">
      <c r="H7274" t="s">
        <v>20096</v>
      </c>
    </row>
    <row r="7275" spans="6:8">
      <c r="H7275" t="s">
        <v>20097</v>
      </c>
    </row>
    <row r="7276" spans="6:8">
      <c r="H7276" t="s">
        <v>20098</v>
      </c>
    </row>
    <row r="7277" spans="6:8">
      <c r="F7277" t="s">
        <v>11111</v>
      </c>
      <c r="G7277" t="s">
        <v>15501</v>
      </c>
      <c r="H7277" t="s">
        <v>20091</v>
      </c>
    </row>
    <row r="7278" spans="6:8">
      <c r="H7278" t="s">
        <v>19712</v>
      </c>
    </row>
    <row r="7279" spans="6:8">
      <c r="H7279" t="s">
        <v>20095</v>
      </c>
    </row>
    <row r="7280" spans="6:8">
      <c r="H7280" t="s">
        <v>20096</v>
      </c>
    </row>
    <row r="7281" spans="6:8">
      <c r="H7281" t="s">
        <v>20097</v>
      </c>
    </row>
    <row r="7282" spans="6:8">
      <c r="F7282" t="s">
        <v>11112</v>
      </c>
      <c r="G7282" t="s">
        <v>15502</v>
      </c>
      <c r="H7282" t="s">
        <v>20091</v>
      </c>
    </row>
    <row r="7283" spans="6:8">
      <c r="H7283" t="s">
        <v>19712</v>
      </c>
    </row>
    <row r="7284" spans="6:8">
      <c r="H7284" t="s">
        <v>20095</v>
      </c>
    </row>
    <row r="7285" spans="6:8">
      <c r="H7285" t="s">
        <v>20096</v>
      </c>
    </row>
    <row r="7286" spans="6:8">
      <c r="H7286" t="s">
        <v>20097</v>
      </c>
    </row>
    <row r="7287" spans="6:8">
      <c r="F7287" t="s">
        <v>11113</v>
      </c>
      <c r="G7287" t="s">
        <v>15503</v>
      </c>
      <c r="H7287" t="s">
        <v>20091</v>
      </c>
    </row>
    <row r="7288" spans="6:8">
      <c r="H7288" t="s">
        <v>19712</v>
      </c>
    </row>
    <row r="7289" spans="6:8">
      <c r="H7289" t="s">
        <v>19709</v>
      </c>
    </row>
    <row r="7290" spans="6:8">
      <c r="H7290" t="s">
        <v>20107</v>
      </c>
    </row>
    <row r="7291" spans="6:8">
      <c r="H7291" t="s">
        <v>20108</v>
      </c>
    </row>
    <row r="7292" spans="6:8">
      <c r="H7292" t="s">
        <v>19713</v>
      </c>
    </row>
    <row r="7293" spans="6:8">
      <c r="H7293" t="s">
        <v>20095</v>
      </c>
    </row>
    <row r="7294" spans="6:8">
      <c r="H7294" t="s">
        <v>20096</v>
      </c>
    </row>
    <row r="7295" spans="6:8">
      <c r="H7295" t="s">
        <v>20097</v>
      </c>
    </row>
    <row r="7296" spans="6:8">
      <c r="H7296" t="s">
        <v>20098</v>
      </c>
    </row>
    <row r="7297" spans="6:8">
      <c r="F7297" t="s">
        <v>11114</v>
      </c>
      <c r="G7297" t="s">
        <v>15504</v>
      </c>
      <c r="H7297" t="s">
        <v>20091</v>
      </c>
    </row>
    <row r="7298" spans="6:8">
      <c r="H7298" t="s">
        <v>19712</v>
      </c>
    </row>
    <row r="7299" spans="6:8">
      <c r="H7299" t="s">
        <v>19709</v>
      </c>
    </row>
    <row r="7300" spans="6:8">
      <c r="H7300" t="s">
        <v>20107</v>
      </c>
    </row>
    <row r="7301" spans="6:8">
      <c r="H7301" t="s">
        <v>20108</v>
      </c>
    </row>
    <row r="7302" spans="6:8">
      <c r="H7302" t="s">
        <v>19713</v>
      </c>
    </row>
    <row r="7303" spans="6:8">
      <c r="H7303" t="s">
        <v>20095</v>
      </c>
    </row>
    <row r="7304" spans="6:8">
      <c r="H7304" t="s">
        <v>20096</v>
      </c>
    </row>
    <row r="7305" spans="6:8">
      <c r="H7305" t="s">
        <v>20097</v>
      </c>
    </row>
    <row r="7306" spans="6:8">
      <c r="H7306" t="s">
        <v>20098</v>
      </c>
    </row>
    <row r="7307" spans="6:8">
      <c r="F7307" t="s">
        <v>11115</v>
      </c>
      <c r="G7307" t="s">
        <v>15505</v>
      </c>
      <c r="H7307" t="s">
        <v>20091</v>
      </c>
    </row>
    <row r="7308" spans="6:8">
      <c r="H7308" t="s">
        <v>19712</v>
      </c>
    </row>
    <row r="7309" spans="6:8">
      <c r="H7309" t="s">
        <v>19709</v>
      </c>
    </row>
    <row r="7310" spans="6:8">
      <c r="H7310" t="s">
        <v>19706</v>
      </c>
    </row>
    <row r="7311" spans="6:8">
      <c r="H7311" t="s">
        <v>20107</v>
      </c>
    </row>
    <row r="7312" spans="6:8">
      <c r="H7312" t="s">
        <v>20108</v>
      </c>
    </row>
    <row r="7313" spans="6:8">
      <c r="H7313" t="s">
        <v>19713</v>
      </c>
    </row>
    <row r="7314" spans="6:8">
      <c r="H7314" t="s">
        <v>20095</v>
      </c>
    </row>
    <row r="7315" spans="6:8">
      <c r="H7315" t="s">
        <v>20096</v>
      </c>
    </row>
    <row r="7316" spans="6:8">
      <c r="H7316" t="s">
        <v>20097</v>
      </c>
    </row>
    <row r="7317" spans="6:8">
      <c r="H7317" t="s">
        <v>20098</v>
      </c>
    </row>
    <row r="7318" spans="6:8">
      <c r="F7318" t="s">
        <v>11116</v>
      </c>
      <c r="G7318" t="s">
        <v>15506</v>
      </c>
      <c r="H7318" t="s">
        <v>20091</v>
      </c>
    </row>
    <row r="7319" spans="6:8">
      <c r="H7319" t="s">
        <v>19712</v>
      </c>
    </row>
    <row r="7320" spans="6:8">
      <c r="H7320" t="s">
        <v>19709</v>
      </c>
    </row>
    <row r="7321" spans="6:8">
      <c r="H7321" t="s">
        <v>20107</v>
      </c>
    </row>
    <row r="7322" spans="6:8">
      <c r="H7322" t="s">
        <v>20108</v>
      </c>
    </row>
    <row r="7323" spans="6:8">
      <c r="H7323" t="s">
        <v>19713</v>
      </c>
    </row>
    <row r="7324" spans="6:8">
      <c r="H7324" t="s">
        <v>19714</v>
      </c>
    </row>
    <row r="7325" spans="6:8">
      <c r="H7325" t="s">
        <v>20109</v>
      </c>
    </row>
    <row r="7326" spans="6:8">
      <c r="H7326" t="s">
        <v>20110</v>
      </c>
    </row>
    <row r="7327" spans="6:8">
      <c r="H7327" t="s">
        <v>20111</v>
      </c>
    </row>
    <row r="7328" spans="6:8">
      <c r="H7328" t="s">
        <v>20112</v>
      </c>
    </row>
    <row r="7329" spans="6:8">
      <c r="H7329" t="s">
        <v>20095</v>
      </c>
    </row>
    <row r="7330" spans="6:8">
      <c r="H7330" t="s">
        <v>20096</v>
      </c>
    </row>
    <row r="7331" spans="6:8">
      <c r="H7331" t="s">
        <v>20097</v>
      </c>
    </row>
    <row r="7332" spans="6:8">
      <c r="H7332" t="s">
        <v>20098</v>
      </c>
    </row>
    <row r="7333" spans="6:8">
      <c r="H7333" t="s">
        <v>20099</v>
      </c>
    </row>
    <row r="7334" spans="6:8">
      <c r="F7334" t="s">
        <v>11117</v>
      </c>
      <c r="G7334" t="s">
        <v>15507</v>
      </c>
      <c r="H7334" t="s">
        <v>20091</v>
      </c>
    </row>
    <row r="7335" spans="6:8">
      <c r="H7335" t="s">
        <v>19712</v>
      </c>
    </row>
    <row r="7336" spans="6:8">
      <c r="H7336" t="s">
        <v>20092</v>
      </c>
    </row>
    <row r="7337" spans="6:8">
      <c r="H7337" t="s">
        <v>20093</v>
      </c>
    </row>
    <row r="7338" spans="6:8">
      <c r="H7338" t="s">
        <v>20094</v>
      </c>
    </row>
    <row r="7339" spans="6:8">
      <c r="H7339" t="s">
        <v>20095</v>
      </c>
    </row>
    <row r="7340" spans="6:8">
      <c r="H7340" t="s">
        <v>20096</v>
      </c>
    </row>
    <row r="7341" spans="6:8">
      <c r="H7341" t="s">
        <v>20097</v>
      </c>
    </row>
    <row r="7342" spans="6:8">
      <c r="H7342" t="s">
        <v>20098</v>
      </c>
    </row>
    <row r="7343" spans="6:8">
      <c r="H7343" t="s">
        <v>20099</v>
      </c>
    </row>
    <row r="7344" spans="6:8">
      <c r="H7344" t="s">
        <v>20100</v>
      </c>
    </row>
    <row r="7345" spans="6:8">
      <c r="H7345" t="s">
        <v>20101</v>
      </c>
    </row>
    <row r="7346" spans="6:8">
      <c r="H7346" t="s">
        <v>20102</v>
      </c>
    </row>
    <row r="7347" spans="6:8">
      <c r="H7347" t="s">
        <v>20104</v>
      </c>
    </row>
    <row r="7348" spans="6:8">
      <c r="F7348" t="s">
        <v>11118</v>
      </c>
      <c r="G7348" t="s">
        <v>15508</v>
      </c>
      <c r="H7348" t="s">
        <v>20091</v>
      </c>
    </row>
    <row r="7349" spans="6:8">
      <c r="H7349" t="s">
        <v>19712</v>
      </c>
    </row>
    <row r="7350" spans="6:8">
      <c r="H7350" t="s">
        <v>19709</v>
      </c>
    </row>
    <row r="7351" spans="6:8">
      <c r="H7351" t="s">
        <v>20107</v>
      </c>
    </row>
    <row r="7352" spans="6:8">
      <c r="H7352" t="s">
        <v>20108</v>
      </c>
    </row>
    <row r="7353" spans="6:8">
      <c r="H7353" t="s">
        <v>20095</v>
      </c>
    </row>
    <row r="7354" spans="6:8">
      <c r="H7354" t="s">
        <v>20096</v>
      </c>
    </row>
    <row r="7355" spans="6:8">
      <c r="H7355" t="s">
        <v>20097</v>
      </c>
    </row>
    <row r="7356" spans="6:8">
      <c r="H7356" t="s">
        <v>20098</v>
      </c>
    </row>
    <row r="7357" spans="6:8">
      <c r="F7357" t="s">
        <v>11119</v>
      </c>
      <c r="G7357" t="s">
        <v>15509</v>
      </c>
      <c r="H7357" t="s">
        <v>20091</v>
      </c>
    </row>
    <row r="7358" spans="6:8">
      <c r="H7358" t="s">
        <v>19712</v>
      </c>
    </row>
    <row r="7359" spans="6:8">
      <c r="H7359" t="s">
        <v>20092</v>
      </c>
    </row>
    <row r="7360" spans="6:8">
      <c r="H7360" t="s">
        <v>20093</v>
      </c>
    </row>
    <row r="7361" spans="6:8">
      <c r="H7361" t="s">
        <v>20094</v>
      </c>
    </row>
    <row r="7362" spans="6:8">
      <c r="H7362" t="s">
        <v>20095</v>
      </c>
    </row>
    <row r="7363" spans="6:8">
      <c r="H7363" t="s">
        <v>20096</v>
      </c>
    </row>
    <row r="7364" spans="6:8">
      <c r="H7364" t="s">
        <v>20097</v>
      </c>
    </row>
    <row r="7365" spans="6:8">
      <c r="H7365" t="s">
        <v>20098</v>
      </c>
    </row>
    <row r="7366" spans="6:8">
      <c r="H7366" t="s">
        <v>20099</v>
      </c>
    </row>
    <row r="7367" spans="6:8">
      <c r="H7367" t="s">
        <v>20100</v>
      </c>
    </row>
    <row r="7368" spans="6:8">
      <c r="H7368" t="s">
        <v>20101</v>
      </c>
    </row>
    <row r="7369" spans="6:8">
      <c r="H7369" t="s">
        <v>20102</v>
      </c>
    </row>
    <row r="7370" spans="6:8">
      <c r="F7370" t="s">
        <v>11120</v>
      </c>
      <c r="G7370" t="s">
        <v>15510</v>
      </c>
      <c r="H7370" t="s">
        <v>20091</v>
      </c>
    </row>
    <row r="7371" spans="6:8">
      <c r="H7371" t="s">
        <v>19712</v>
      </c>
    </row>
    <row r="7372" spans="6:8">
      <c r="H7372" t="s">
        <v>19709</v>
      </c>
    </row>
    <row r="7373" spans="6:8">
      <c r="H7373" t="s">
        <v>20107</v>
      </c>
    </row>
    <row r="7374" spans="6:8">
      <c r="H7374" t="s">
        <v>20108</v>
      </c>
    </row>
    <row r="7375" spans="6:8">
      <c r="H7375" t="s">
        <v>19713</v>
      </c>
    </row>
    <row r="7376" spans="6:8">
      <c r="H7376" t="s">
        <v>19714</v>
      </c>
    </row>
    <row r="7377" spans="6:8">
      <c r="H7377" t="s">
        <v>20109</v>
      </c>
    </row>
    <row r="7378" spans="6:8">
      <c r="H7378" t="s">
        <v>20110</v>
      </c>
    </row>
    <row r="7379" spans="6:8">
      <c r="H7379" t="s">
        <v>20095</v>
      </c>
    </row>
    <row r="7380" spans="6:8">
      <c r="H7380" t="s">
        <v>20096</v>
      </c>
    </row>
    <row r="7381" spans="6:8">
      <c r="H7381" t="s">
        <v>20097</v>
      </c>
    </row>
    <row r="7382" spans="6:8">
      <c r="H7382" t="s">
        <v>20098</v>
      </c>
    </row>
    <row r="7383" spans="6:8">
      <c r="H7383" t="s">
        <v>20099</v>
      </c>
    </row>
    <row r="7384" spans="6:8">
      <c r="F7384" t="s">
        <v>11121</v>
      </c>
      <c r="G7384" t="s">
        <v>15511</v>
      </c>
      <c r="H7384" t="s">
        <v>20091</v>
      </c>
    </row>
    <row r="7385" spans="6:8">
      <c r="H7385" t="s">
        <v>20095</v>
      </c>
    </row>
    <row r="7386" spans="6:8">
      <c r="F7386" t="s">
        <v>11122</v>
      </c>
      <c r="G7386" t="s">
        <v>15512</v>
      </c>
      <c r="H7386" t="s">
        <v>20091</v>
      </c>
    </row>
    <row r="7387" spans="6:8">
      <c r="H7387" t="s">
        <v>20095</v>
      </c>
    </row>
    <row r="7388" spans="6:8">
      <c r="F7388" t="s">
        <v>11123</v>
      </c>
      <c r="G7388" t="s">
        <v>15513</v>
      </c>
      <c r="H7388" t="s">
        <v>20091</v>
      </c>
    </row>
    <row r="7389" spans="6:8">
      <c r="H7389" t="s">
        <v>19712</v>
      </c>
    </row>
    <row r="7390" spans="6:8">
      <c r="H7390" t="s">
        <v>19709</v>
      </c>
    </row>
    <row r="7391" spans="6:8">
      <c r="H7391" t="s">
        <v>20095</v>
      </c>
    </row>
    <row r="7392" spans="6:8">
      <c r="H7392" t="s">
        <v>20096</v>
      </c>
    </row>
    <row r="7393" spans="6:8">
      <c r="F7393" t="s">
        <v>11124</v>
      </c>
      <c r="G7393" t="s">
        <v>15514</v>
      </c>
      <c r="H7393" t="s">
        <v>20091</v>
      </c>
    </row>
    <row r="7394" spans="6:8">
      <c r="H7394" t="s">
        <v>19712</v>
      </c>
    </row>
    <row r="7395" spans="6:8">
      <c r="H7395" t="s">
        <v>20095</v>
      </c>
    </row>
    <row r="7396" spans="6:8">
      <c r="H7396" t="s">
        <v>20096</v>
      </c>
    </row>
    <row r="7397" spans="6:8">
      <c r="F7397" t="s">
        <v>11125</v>
      </c>
      <c r="G7397" t="s">
        <v>15515</v>
      </c>
      <c r="H7397" t="s">
        <v>20091</v>
      </c>
    </row>
    <row r="7398" spans="6:8">
      <c r="H7398" t="s">
        <v>19712</v>
      </c>
    </row>
    <row r="7399" spans="6:8">
      <c r="H7399" t="s">
        <v>20095</v>
      </c>
    </row>
    <row r="7400" spans="6:8">
      <c r="H7400" t="s">
        <v>20096</v>
      </c>
    </row>
    <row r="7401" spans="6:8">
      <c r="F7401" t="s">
        <v>11126</v>
      </c>
      <c r="G7401" t="s">
        <v>15516</v>
      </c>
      <c r="H7401" t="s">
        <v>20091</v>
      </c>
    </row>
    <row r="7402" spans="6:8">
      <c r="H7402" t="s">
        <v>19712</v>
      </c>
    </row>
    <row r="7403" spans="6:8">
      <c r="H7403" t="s">
        <v>19709</v>
      </c>
    </row>
    <row r="7404" spans="6:8">
      <c r="H7404" t="s">
        <v>19706</v>
      </c>
    </row>
    <row r="7405" spans="6:8">
      <c r="H7405" t="s">
        <v>19707</v>
      </c>
    </row>
    <row r="7406" spans="6:8">
      <c r="H7406" t="s">
        <v>19711</v>
      </c>
    </row>
    <row r="7407" spans="6:8">
      <c r="H7407" t="s">
        <v>20107</v>
      </c>
    </row>
    <row r="7408" spans="6:8">
      <c r="H7408" t="s">
        <v>20108</v>
      </c>
    </row>
    <row r="7409" spans="6:8">
      <c r="H7409" t="s">
        <v>19713</v>
      </c>
    </row>
    <row r="7410" spans="6:8">
      <c r="H7410" t="s">
        <v>19714</v>
      </c>
    </row>
    <row r="7411" spans="6:8">
      <c r="H7411" t="s">
        <v>20109</v>
      </c>
    </row>
    <row r="7412" spans="6:8">
      <c r="H7412" t="s">
        <v>20110</v>
      </c>
    </row>
    <row r="7413" spans="6:8">
      <c r="H7413" t="s">
        <v>20092</v>
      </c>
    </row>
    <row r="7414" spans="6:8">
      <c r="H7414" t="s">
        <v>20095</v>
      </c>
    </row>
    <row r="7415" spans="6:8">
      <c r="H7415" t="s">
        <v>20096</v>
      </c>
    </row>
    <row r="7416" spans="6:8">
      <c r="H7416" t="s">
        <v>20097</v>
      </c>
    </row>
    <row r="7417" spans="6:8">
      <c r="H7417" t="s">
        <v>20098</v>
      </c>
    </row>
    <row r="7418" spans="6:8">
      <c r="H7418" t="s">
        <v>20099</v>
      </c>
    </row>
    <row r="7419" spans="6:8">
      <c r="H7419" t="s">
        <v>20100</v>
      </c>
    </row>
    <row r="7420" spans="6:8">
      <c r="F7420" t="s">
        <v>11127</v>
      </c>
      <c r="G7420" t="s">
        <v>15517</v>
      </c>
      <c r="H7420" t="s">
        <v>20091</v>
      </c>
    </row>
    <row r="7421" spans="6:8">
      <c r="H7421" t="s">
        <v>19712</v>
      </c>
    </row>
    <row r="7422" spans="6:8">
      <c r="H7422" t="s">
        <v>20095</v>
      </c>
    </row>
    <row r="7423" spans="6:8">
      <c r="H7423" t="s">
        <v>20096</v>
      </c>
    </row>
    <row r="7424" spans="6:8">
      <c r="H7424" t="s">
        <v>20097</v>
      </c>
    </row>
    <row r="7425" spans="6:8">
      <c r="H7425" t="s">
        <v>20098</v>
      </c>
    </row>
    <row r="7426" spans="6:8">
      <c r="H7426" t="s">
        <v>19709</v>
      </c>
    </row>
    <row r="7427" spans="6:8">
      <c r="H7427" t="s">
        <v>19706</v>
      </c>
    </row>
    <row r="7428" spans="6:8">
      <c r="H7428" t="s">
        <v>20099</v>
      </c>
    </row>
    <row r="7429" spans="6:8">
      <c r="H7429" t="s">
        <v>20100</v>
      </c>
    </row>
    <row r="7430" spans="6:8">
      <c r="H7430" t="s">
        <v>20101</v>
      </c>
    </row>
    <row r="7431" spans="6:8">
      <c r="H7431" t="s">
        <v>20102</v>
      </c>
    </row>
    <row r="7432" spans="6:8">
      <c r="F7432" t="s">
        <v>11128</v>
      </c>
      <c r="G7432" t="s">
        <v>15518</v>
      </c>
      <c r="H7432" t="s">
        <v>20091</v>
      </c>
    </row>
    <row r="7433" spans="6:8">
      <c r="H7433" t="s">
        <v>19712</v>
      </c>
    </row>
    <row r="7434" spans="6:8">
      <c r="H7434" t="s">
        <v>20095</v>
      </c>
    </row>
    <row r="7435" spans="6:8">
      <c r="H7435" t="s">
        <v>20096</v>
      </c>
    </row>
    <row r="7436" spans="6:8">
      <c r="H7436" t="s">
        <v>20097</v>
      </c>
    </row>
    <row r="7437" spans="6:8">
      <c r="H7437" t="s">
        <v>20098</v>
      </c>
    </row>
    <row r="7438" spans="6:8">
      <c r="F7438" t="s">
        <v>11129</v>
      </c>
      <c r="G7438" t="s">
        <v>15519</v>
      </c>
      <c r="H7438" t="s">
        <v>20091</v>
      </c>
    </row>
    <row r="7439" spans="6:8">
      <c r="H7439" t="s">
        <v>19712</v>
      </c>
    </row>
    <row r="7440" spans="6:8">
      <c r="H7440" t="s">
        <v>20095</v>
      </c>
    </row>
    <row r="7441" spans="6:8">
      <c r="H7441" t="s">
        <v>20096</v>
      </c>
    </row>
    <row r="7442" spans="6:8">
      <c r="H7442" t="s">
        <v>20097</v>
      </c>
    </row>
    <row r="7443" spans="6:8">
      <c r="H7443" t="s">
        <v>20098</v>
      </c>
    </row>
    <row r="7444" spans="6:8">
      <c r="F7444" t="s">
        <v>11130</v>
      </c>
      <c r="G7444" t="s">
        <v>15520</v>
      </c>
      <c r="H7444" t="s">
        <v>20091</v>
      </c>
    </row>
    <row r="7445" spans="6:8">
      <c r="H7445" t="s">
        <v>19712</v>
      </c>
    </row>
    <row r="7446" spans="6:8">
      <c r="H7446" t="s">
        <v>20095</v>
      </c>
    </row>
    <row r="7447" spans="6:8">
      <c r="H7447" t="s">
        <v>20096</v>
      </c>
    </row>
    <row r="7448" spans="6:8">
      <c r="H7448" t="s">
        <v>20097</v>
      </c>
    </row>
    <row r="7449" spans="6:8">
      <c r="H7449" t="s">
        <v>20098</v>
      </c>
    </row>
    <row r="7450" spans="6:8">
      <c r="F7450" t="s">
        <v>11131</v>
      </c>
      <c r="G7450" t="s">
        <v>15521</v>
      </c>
      <c r="H7450" t="s">
        <v>20091</v>
      </c>
    </row>
    <row r="7451" spans="6:8">
      <c r="H7451" t="s">
        <v>19712</v>
      </c>
    </row>
    <row r="7452" spans="6:8">
      <c r="H7452" t="s">
        <v>20095</v>
      </c>
    </row>
    <row r="7453" spans="6:8">
      <c r="H7453" t="s">
        <v>20096</v>
      </c>
    </row>
    <row r="7454" spans="6:8">
      <c r="H7454" t="s">
        <v>20097</v>
      </c>
    </row>
    <row r="7455" spans="6:8">
      <c r="H7455" t="s">
        <v>20098</v>
      </c>
    </row>
    <row r="7456" spans="6:8">
      <c r="F7456" t="s">
        <v>11132</v>
      </c>
      <c r="G7456" t="s">
        <v>15522</v>
      </c>
      <c r="H7456" t="s">
        <v>20091</v>
      </c>
    </row>
    <row r="7457" spans="6:8">
      <c r="H7457" t="s">
        <v>19712</v>
      </c>
    </row>
    <row r="7458" spans="6:8">
      <c r="H7458" t="s">
        <v>19709</v>
      </c>
    </row>
    <row r="7459" spans="6:8">
      <c r="H7459" t="s">
        <v>20107</v>
      </c>
    </row>
    <row r="7460" spans="6:8">
      <c r="H7460" t="s">
        <v>20108</v>
      </c>
    </row>
    <row r="7461" spans="6:8">
      <c r="H7461" t="s">
        <v>19713</v>
      </c>
    </row>
    <row r="7462" spans="6:8">
      <c r="H7462" t="s">
        <v>19714</v>
      </c>
    </row>
    <row r="7463" spans="6:8">
      <c r="H7463" t="s">
        <v>20109</v>
      </c>
    </row>
    <row r="7464" spans="6:8">
      <c r="H7464" t="s">
        <v>20110</v>
      </c>
    </row>
    <row r="7465" spans="6:8">
      <c r="H7465" t="s">
        <v>20111</v>
      </c>
    </row>
    <row r="7466" spans="6:8">
      <c r="H7466" t="s">
        <v>20095</v>
      </c>
    </row>
    <row r="7467" spans="6:8">
      <c r="H7467" t="s">
        <v>20096</v>
      </c>
    </row>
    <row r="7468" spans="6:8">
      <c r="H7468" t="s">
        <v>20097</v>
      </c>
    </row>
    <row r="7469" spans="6:8">
      <c r="H7469" t="s">
        <v>20098</v>
      </c>
    </row>
    <row r="7470" spans="6:8">
      <c r="H7470" t="s">
        <v>20099</v>
      </c>
    </row>
    <row r="7471" spans="6:8">
      <c r="H7471" t="s">
        <v>20100</v>
      </c>
    </row>
    <row r="7472" spans="6:8">
      <c r="F7472" t="s">
        <v>11133</v>
      </c>
      <c r="G7472" t="s">
        <v>15523</v>
      </c>
      <c r="H7472" t="s">
        <v>20091</v>
      </c>
    </row>
    <row r="7473" spans="6:8">
      <c r="H7473" t="s">
        <v>19712</v>
      </c>
    </row>
    <row r="7474" spans="6:8">
      <c r="H7474" t="s">
        <v>19709</v>
      </c>
    </row>
    <row r="7475" spans="6:8">
      <c r="H7475" t="s">
        <v>19706</v>
      </c>
    </row>
    <row r="7476" spans="6:8">
      <c r="H7476" t="s">
        <v>20107</v>
      </c>
    </row>
    <row r="7477" spans="6:8">
      <c r="H7477" t="s">
        <v>20108</v>
      </c>
    </row>
    <row r="7478" spans="6:8">
      <c r="H7478" t="s">
        <v>19713</v>
      </c>
    </row>
    <row r="7479" spans="6:8">
      <c r="H7479" t="s">
        <v>20095</v>
      </c>
    </row>
    <row r="7480" spans="6:8">
      <c r="H7480" t="s">
        <v>20096</v>
      </c>
    </row>
    <row r="7481" spans="6:8">
      <c r="H7481" t="s">
        <v>20097</v>
      </c>
    </row>
    <row r="7482" spans="6:8">
      <c r="H7482" t="s">
        <v>20098</v>
      </c>
    </row>
    <row r="7483" spans="6:8">
      <c r="H7483" t="s">
        <v>20099</v>
      </c>
    </row>
    <row r="7484" spans="6:8">
      <c r="F7484" t="s">
        <v>11134</v>
      </c>
      <c r="G7484" t="s">
        <v>15524</v>
      </c>
      <c r="H7484" t="s">
        <v>20091</v>
      </c>
    </row>
    <row r="7485" spans="6:8">
      <c r="H7485" t="s">
        <v>20107</v>
      </c>
    </row>
    <row r="7486" spans="6:8">
      <c r="H7486" t="s">
        <v>20108</v>
      </c>
    </row>
    <row r="7487" spans="6:8">
      <c r="H7487" t="s">
        <v>20095</v>
      </c>
    </row>
    <row r="7488" spans="6:8">
      <c r="H7488" t="s">
        <v>20096</v>
      </c>
    </row>
    <row r="7489" spans="6:8">
      <c r="H7489" t="s">
        <v>20097</v>
      </c>
    </row>
    <row r="7490" spans="6:8">
      <c r="H7490" t="s">
        <v>20098</v>
      </c>
    </row>
    <row r="7491" spans="6:8">
      <c r="H7491" t="s">
        <v>20099</v>
      </c>
    </row>
    <row r="7492" spans="6:8">
      <c r="H7492" t="s">
        <v>20100</v>
      </c>
    </row>
    <row r="7493" spans="6:8">
      <c r="H7493" t="s">
        <v>20101</v>
      </c>
    </row>
    <row r="7494" spans="6:8">
      <c r="H7494" t="s">
        <v>20102</v>
      </c>
    </row>
    <row r="7495" spans="6:8">
      <c r="H7495" t="s">
        <v>20104</v>
      </c>
    </row>
    <row r="7496" spans="6:8">
      <c r="F7496" t="s">
        <v>11135</v>
      </c>
      <c r="G7496" t="s">
        <v>15525</v>
      </c>
      <c r="H7496" t="s">
        <v>20091</v>
      </c>
    </row>
    <row r="7497" spans="6:8">
      <c r="H7497" t="s">
        <v>19712</v>
      </c>
    </row>
    <row r="7498" spans="6:8">
      <c r="H7498" t="s">
        <v>19709</v>
      </c>
    </row>
    <row r="7499" spans="6:8">
      <c r="H7499" t="s">
        <v>20107</v>
      </c>
    </row>
    <row r="7500" spans="6:8">
      <c r="H7500" t="s">
        <v>20108</v>
      </c>
    </row>
    <row r="7501" spans="6:8">
      <c r="H7501" t="s">
        <v>20095</v>
      </c>
    </row>
    <row r="7502" spans="6:8">
      <c r="H7502" t="s">
        <v>20096</v>
      </c>
    </row>
    <row r="7503" spans="6:8">
      <c r="H7503" t="s">
        <v>20097</v>
      </c>
    </row>
    <row r="7504" spans="6:8">
      <c r="H7504" t="s">
        <v>20098</v>
      </c>
    </row>
    <row r="7505" spans="6:8">
      <c r="H7505" t="s">
        <v>20099</v>
      </c>
    </row>
    <row r="7506" spans="6:8">
      <c r="F7506" t="s">
        <v>11136</v>
      </c>
      <c r="G7506" t="s">
        <v>15526</v>
      </c>
      <c r="H7506" t="s">
        <v>20091</v>
      </c>
    </row>
    <row r="7507" spans="6:8">
      <c r="H7507" t="s">
        <v>19712</v>
      </c>
    </row>
    <row r="7508" spans="6:8">
      <c r="H7508" t="s">
        <v>19709</v>
      </c>
    </row>
    <row r="7509" spans="6:8">
      <c r="H7509" t="s">
        <v>19706</v>
      </c>
    </row>
    <row r="7510" spans="6:8">
      <c r="H7510" t="s">
        <v>19707</v>
      </c>
    </row>
    <row r="7511" spans="6:8">
      <c r="H7511" t="s">
        <v>19711</v>
      </c>
    </row>
    <row r="7512" spans="6:8">
      <c r="H7512" t="s">
        <v>20107</v>
      </c>
    </row>
    <row r="7513" spans="6:8">
      <c r="H7513" t="s">
        <v>20108</v>
      </c>
    </row>
    <row r="7514" spans="6:8">
      <c r="H7514" t="s">
        <v>19713</v>
      </c>
    </row>
    <row r="7515" spans="6:8">
      <c r="H7515" t="s">
        <v>19714</v>
      </c>
    </row>
    <row r="7516" spans="6:8">
      <c r="H7516" t="s">
        <v>20109</v>
      </c>
    </row>
    <row r="7517" spans="6:8">
      <c r="H7517" t="s">
        <v>20110</v>
      </c>
    </row>
    <row r="7518" spans="6:8">
      <c r="H7518" t="s">
        <v>20092</v>
      </c>
    </row>
    <row r="7519" spans="6:8">
      <c r="H7519" t="s">
        <v>20095</v>
      </c>
    </row>
    <row r="7520" spans="6:8">
      <c r="H7520" t="s">
        <v>20096</v>
      </c>
    </row>
    <row r="7521" spans="6:8">
      <c r="H7521" t="s">
        <v>20097</v>
      </c>
    </row>
    <row r="7522" spans="6:8">
      <c r="H7522" t="s">
        <v>20098</v>
      </c>
    </row>
    <row r="7523" spans="6:8">
      <c r="H7523" t="s">
        <v>20099</v>
      </c>
    </row>
    <row r="7524" spans="6:8">
      <c r="F7524" t="s">
        <v>11137</v>
      </c>
      <c r="G7524" t="s">
        <v>15527</v>
      </c>
      <c r="H7524" t="s">
        <v>20091</v>
      </c>
    </row>
    <row r="7525" spans="6:8">
      <c r="H7525" t="s">
        <v>19712</v>
      </c>
    </row>
    <row r="7526" spans="6:8">
      <c r="H7526" t="s">
        <v>19709</v>
      </c>
    </row>
    <row r="7527" spans="6:8">
      <c r="H7527" t="s">
        <v>20092</v>
      </c>
    </row>
    <row r="7528" spans="6:8">
      <c r="H7528" t="s">
        <v>20095</v>
      </c>
    </row>
    <row r="7529" spans="6:8">
      <c r="H7529" t="s">
        <v>20096</v>
      </c>
    </row>
    <row r="7530" spans="6:8">
      <c r="H7530" t="s">
        <v>20097</v>
      </c>
    </row>
    <row r="7531" spans="6:8">
      <c r="H7531" t="s">
        <v>20098</v>
      </c>
    </row>
    <row r="7532" spans="6:8">
      <c r="H7532" t="s">
        <v>20099</v>
      </c>
    </row>
    <row r="7533" spans="6:8">
      <c r="H7533" t="s">
        <v>20100</v>
      </c>
    </row>
    <row r="7534" spans="6:8">
      <c r="F7534" t="s">
        <v>11138</v>
      </c>
      <c r="G7534" t="s">
        <v>15528</v>
      </c>
      <c r="H7534" t="s">
        <v>20091</v>
      </c>
    </row>
    <row r="7535" spans="6:8">
      <c r="H7535" t="s">
        <v>19712</v>
      </c>
    </row>
    <row r="7536" spans="6:8">
      <c r="H7536" t="s">
        <v>19709</v>
      </c>
    </row>
    <row r="7537" spans="6:8">
      <c r="H7537" t="s">
        <v>19706</v>
      </c>
    </row>
    <row r="7538" spans="6:8">
      <c r="H7538" t="s">
        <v>19707</v>
      </c>
    </row>
    <row r="7539" spans="6:8">
      <c r="H7539" t="s">
        <v>20107</v>
      </c>
    </row>
    <row r="7540" spans="6:8">
      <c r="H7540" t="s">
        <v>20108</v>
      </c>
    </row>
    <row r="7541" spans="6:8">
      <c r="H7541" t="s">
        <v>19713</v>
      </c>
    </row>
    <row r="7542" spans="6:8">
      <c r="H7542" t="s">
        <v>19714</v>
      </c>
    </row>
    <row r="7543" spans="6:8">
      <c r="H7543" t="s">
        <v>20095</v>
      </c>
    </row>
    <row r="7544" spans="6:8">
      <c r="H7544" t="s">
        <v>20096</v>
      </c>
    </row>
    <row r="7545" spans="6:8">
      <c r="H7545" t="s">
        <v>20097</v>
      </c>
    </row>
    <row r="7546" spans="6:8">
      <c r="H7546" t="s">
        <v>20098</v>
      </c>
    </row>
    <row r="7547" spans="6:8">
      <c r="H7547" t="s">
        <v>20099</v>
      </c>
    </row>
    <row r="7548" spans="6:8">
      <c r="F7548" t="s">
        <v>11139</v>
      </c>
      <c r="G7548" t="s">
        <v>15529</v>
      </c>
      <c r="H7548" t="s">
        <v>20091</v>
      </c>
    </row>
    <row r="7549" spans="6:8">
      <c r="H7549" t="s">
        <v>19712</v>
      </c>
    </row>
    <row r="7550" spans="6:8">
      <c r="H7550" t="s">
        <v>19709</v>
      </c>
    </row>
    <row r="7551" spans="6:8">
      <c r="H7551" t="s">
        <v>19706</v>
      </c>
    </row>
    <row r="7552" spans="6:8">
      <c r="H7552" t="s">
        <v>19707</v>
      </c>
    </row>
    <row r="7553" spans="6:8">
      <c r="H7553" t="s">
        <v>20107</v>
      </c>
    </row>
    <row r="7554" spans="6:8">
      <c r="H7554" t="s">
        <v>20108</v>
      </c>
    </row>
    <row r="7555" spans="6:8">
      <c r="H7555" t="s">
        <v>19713</v>
      </c>
    </row>
    <row r="7556" spans="6:8">
      <c r="H7556" t="s">
        <v>19714</v>
      </c>
    </row>
    <row r="7557" spans="6:8">
      <c r="H7557" t="s">
        <v>20095</v>
      </c>
    </row>
    <row r="7558" spans="6:8">
      <c r="H7558" t="s">
        <v>20096</v>
      </c>
    </row>
    <row r="7559" spans="6:8">
      <c r="H7559" t="s">
        <v>20097</v>
      </c>
    </row>
    <row r="7560" spans="6:8">
      <c r="H7560" t="s">
        <v>20098</v>
      </c>
    </row>
    <row r="7561" spans="6:8">
      <c r="H7561" t="s">
        <v>20099</v>
      </c>
    </row>
    <row r="7562" spans="6:8">
      <c r="F7562" t="s">
        <v>11140</v>
      </c>
      <c r="G7562" t="s">
        <v>15530</v>
      </c>
      <c r="H7562" t="s">
        <v>20091</v>
      </c>
    </row>
    <row r="7563" spans="6:8">
      <c r="H7563" t="s">
        <v>19712</v>
      </c>
    </row>
    <row r="7564" spans="6:8">
      <c r="H7564" t="s">
        <v>20095</v>
      </c>
    </row>
    <row r="7565" spans="6:8">
      <c r="H7565" t="s">
        <v>20096</v>
      </c>
    </row>
    <row r="7566" spans="6:8">
      <c r="H7566" t="s">
        <v>20097</v>
      </c>
    </row>
    <row r="7567" spans="6:8">
      <c r="H7567" t="s">
        <v>20098</v>
      </c>
    </row>
    <row r="7568" spans="6:8">
      <c r="H7568" t="s">
        <v>19709</v>
      </c>
    </row>
    <row r="7569" spans="6:8">
      <c r="H7569" t="s">
        <v>19706</v>
      </c>
    </row>
    <row r="7570" spans="6:8">
      <c r="H7570" t="s">
        <v>20099</v>
      </c>
    </row>
    <row r="7571" spans="6:8">
      <c r="H7571" t="s">
        <v>20100</v>
      </c>
    </row>
    <row r="7572" spans="6:8">
      <c r="H7572" t="s">
        <v>20101</v>
      </c>
    </row>
    <row r="7573" spans="6:8">
      <c r="H7573" t="s">
        <v>20102</v>
      </c>
    </row>
    <row r="7574" spans="6:8">
      <c r="F7574" t="s">
        <v>11141</v>
      </c>
      <c r="G7574" t="s">
        <v>15531</v>
      </c>
      <c r="H7574" t="s">
        <v>20091</v>
      </c>
    </row>
    <row r="7575" spans="6:8">
      <c r="H7575" t="s">
        <v>19712</v>
      </c>
    </row>
    <row r="7576" spans="6:8">
      <c r="H7576" t="s">
        <v>20095</v>
      </c>
    </row>
    <row r="7577" spans="6:8">
      <c r="H7577" t="s">
        <v>20096</v>
      </c>
    </row>
    <row r="7578" spans="6:8">
      <c r="H7578" t="s">
        <v>20097</v>
      </c>
    </row>
    <row r="7579" spans="6:8">
      <c r="H7579" t="s">
        <v>20098</v>
      </c>
    </row>
    <row r="7580" spans="6:8">
      <c r="F7580" t="s">
        <v>11142</v>
      </c>
      <c r="G7580" t="s">
        <v>15532</v>
      </c>
      <c r="H7580" t="s">
        <v>20091</v>
      </c>
    </row>
    <row r="7581" spans="6:8">
      <c r="H7581" t="s">
        <v>19712</v>
      </c>
    </row>
    <row r="7582" spans="6:8">
      <c r="H7582" t="s">
        <v>20095</v>
      </c>
    </row>
    <row r="7583" spans="6:8">
      <c r="H7583" t="s">
        <v>20096</v>
      </c>
    </row>
    <row r="7584" spans="6:8">
      <c r="H7584" t="s">
        <v>20097</v>
      </c>
    </row>
    <row r="7585" spans="6:8">
      <c r="H7585" t="s">
        <v>20098</v>
      </c>
    </row>
    <row r="7586" spans="6:8">
      <c r="F7586" t="s">
        <v>11143</v>
      </c>
      <c r="G7586" t="s">
        <v>15533</v>
      </c>
      <c r="H7586" t="s">
        <v>20091</v>
      </c>
    </row>
    <row r="7587" spans="6:8">
      <c r="H7587" t="s">
        <v>19712</v>
      </c>
    </row>
    <row r="7588" spans="6:8">
      <c r="H7588" t="s">
        <v>20095</v>
      </c>
    </row>
    <row r="7589" spans="6:8">
      <c r="H7589" t="s">
        <v>20096</v>
      </c>
    </row>
    <row r="7590" spans="6:8">
      <c r="H7590" t="s">
        <v>20097</v>
      </c>
    </row>
    <row r="7591" spans="6:8">
      <c r="H7591" t="s">
        <v>20098</v>
      </c>
    </row>
    <row r="7592" spans="6:8">
      <c r="F7592" t="s">
        <v>11144</v>
      </c>
      <c r="G7592" t="s">
        <v>15534</v>
      </c>
      <c r="H7592" t="s">
        <v>20091</v>
      </c>
    </row>
    <row r="7593" spans="6:8">
      <c r="H7593" t="s">
        <v>19712</v>
      </c>
    </row>
    <row r="7594" spans="6:8">
      <c r="H7594" t="s">
        <v>20095</v>
      </c>
    </row>
    <row r="7595" spans="6:8">
      <c r="H7595" t="s">
        <v>20096</v>
      </c>
    </row>
    <row r="7596" spans="6:8">
      <c r="H7596" t="s">
        <v>20097</v>
      </c>
    </row>
    <row r="7597" spans="6:8">
      <c r="H7597" t="s">
        <v>20098</v>
      </c>
    </row>
    <row r="7598" spans="6:8">
      <c r="F7598" t="s">
        <v>11145</v>
      </c>
      <c r="G7598" t="s">
        <v>15535</v>
      </c>
      <c r="H7598" t="s">
        <v>20091</v>
      </c>
    </row>
    <row r="7599" spans="6:8">
      <c r="H7599" t="s">
        <v>19712</v>
      </c>
    </row>
    <row r="7600" spans="6:8">
      <c r="H7600" t="s">
        <v>19709</v>
      </c>
    </row>
    <row r="7601" spans="6:8">
      <c r="H7601" t="s">
        <v>20107</v>
      </c>
    </row>
    <row r="7602" spans="6:8">
      <c r="H7602" t="s">
        <v>20108</v>
      </c>
    </row>
    <row r="7603" spans="6:8">
      <c r="H7603" t="s">
        <v>19713</v>
      </c>
    </row>
    <row r="7604" spans="6:8">
      <c r="H7604" t="s">
        <v>19714</v>
      </c>
    </row>
    <row r="7605" spans="6:8">
      <c r="H7605" t="s">
        <v>20109</v>
      </c>
    </row>
    <row r="7606" spans="6:8">
      <c r="H7606" t="s">
        <v>20110</v>
      </c>
    </row>
    <row r="7607" spans="6:8">
      <c r="H7607" t="s">
        <v>20095</v>
      </c>
    </row>
    <row r="7608" spans="6:8">
      <c r="H7608" t="s">
        <v>20096</v>
      </c>
    </row>
    <row r="7609" spans="6:8">
      <c r="H7609" t="s">
        <v>20097</v>
      </c>
    </row>
    <row r="7610" spans="6:8">
      <c r="H7610" t="s">
        <v>20098</v>
      </c>
    </row>
    <row r="7611" spans="6:8">
      <c r="H7611" t="s">
        <v>20099</v>
      </c>
    </row>
    <row r="7612" spans="6:8">
      <c r="F7612" t="s">
        <v>11146</v>
      </c>
      <c r="G7612" t="s">
        <v>15536</v>
      </c>
      <c r="H7612" t="s">
        <v>20091</v>
      </c>
    </row>
    <row r="7613" spans="6:8">
      <c r="H7613" t="s">
        <v>19712</v>
      </c>
    </row>
    <row r="7614" spans="6:8">
      <c r="H7614" t="s">
        <v>19709</v>
      </c>
    </row>
    <row r="7615" spans="6:8">
      <c r="H7615" t="s">
        <v>19706</v>
      </c>
    </row>
    <row r="7616" spans="6:8">
      <c r="H7616" t="s">
        <v>19707</v>
      </c>
    </row>
    <row r="7617" spans="6:8">
      <c r="H7617" t="s">
        <v>19711</v>
      </c>
    </row>
    <row r="7618" spans="6:8">
      <c r="H7618" t="s">
        <v>20107</v>
      </c>
    </row>
    <row r="7619" spans="6:8">
      <c r="H7619" t="s">
        <v>20108</v>
      </c>
    </row>
    <row r="7620" spans="6:8">
      <c r="H7620" t="s">
        <v>19713</v>
      </c>
    </row>
    <row r="7621" spans="6:8">
      <c r="H7621" t="s">
        <v>19714</v>
      </c>
    </row>
    <row r="7622" spans="6:8">
      <c r="H7622" t="s">
        <v>20095</v>
      </c>
    </row>
    <row r="7623" spans="6:8">
      <c r="H7623" t="s">
        <v>20096</v>
      </c>
    </row>
    <row r="7624" spans="6:8">
      <c r="H7624" t="s">
        <v>20097</v>
      </c>
    </row>
    <row r="7625" spans="6:8">
      <c r="H7625" t="s">
        <v>20098</v>
      </c>
    </row>
    <row r="7626" spans="6:8">
      <c r="H7626" t="s">
        <v>20099</v>
      </c>
    </row>
    <row r="7627" spans="6:8">
      <c r="F7627" t="s">
        <v>11147</v>
      </c>
      <c r="G7627" t="s">
        <v>15537</v>
      </c>
      <c r="H7627" t="s">
        <v>20091</v>
      </c>
    </row>
    <row r="7628" spans="6:8">
      <c r="H7628" t="s">
        <v>19712</v>
      </c>
    </row>
    <row r="7629" spans="6:8">
      <c r="H7629" t="s">
        <v>19709</v>
      </c>
    </row>
    <row r="7630" spans="6:8">
      <c r="H7630" t="s">
        <v>20107</v>
      </c>
    </row>
    <row r="7631" spans="6:8">
      <c r="H7631" t="s">
        <v>20108</v>
      </c>
    </row>
    <row r="7632" spans="6:8">
      <c r="H7632" t="s">
        <v>19713</v>
      </c>
    </row>
    <row r="7633" spans="6:8">
      <c r="H7633" t="s">
        <v>20095</v>
      </c>
    </row>
    <row r="7634" spans="6:8">
      <c r="H7634" t="s">
        <v>20096</v>
      </c>
    </row>
    <row r="7635" spans="6:8">
      <c r="H7635" t="s">
        <v>20097</v>
      </c>
    </row>
    <row r="7636" spans="6:8">
      <c r="H7636" t="s">
        <v>20098</v>
      </c>
    </row>
    <row r="7637" spans="6:8">
      <c r="H7637" t="s">
        <v>20099</v>
      </c>
    </row>
    <row r="7638" spans="6:8">
      <c r="F7638" t="s">
        <v>11148</v>
      </c>
      <c r="G7638" t="s">
        <v>15538</v>
      </c>
      <c r="H7638" t="s">
        <v>20091</v>
      </c>
    </row>
    <row r="7639" spans="6:8">
      <c r="H7639" t="s">
        <v>19712</v>
      </c>
    </row>
    <row r="7640" spans="6:8">
      <c r="H7640" t="s">
        <v>20092</v>
      </c>
    </row>
    <row r="7641" spans="6:8">
      <c r="H7641" t="s">
        <v>20095</v>
      </c>
    </row>
    <row r="7642" spans="6:8">
      <c r="H7642" t="s">
        <v>20096</v>
      </c>
    </row>
    <row r="7643" spans="6:8">
      <c r="F7643" t="s">
        <v>11149</v>
      </c>
      <c r="G7643" t="s">
        <v>15539</v>
      </c>
      <c r="H7643" t="s">
        <v>20092</v>
      </c>
    </row>
    <row r="7644" spans="6:8">
      <c r="H7644" t="s">
        <v>20093</v>
      </c>
    </row>
    <row r="7645" spans="6:8">
      <c r="H7645" t="s">
        <v>20094</v>
      </c>
    </row>
    <row r="7646" spans="6:8">
      <c r="H7646" t="s">
        <v>20095</v>
      </c>
    </row>
    <row r="7647" spans="6:8">
      <c r="H7647" t="s">
        <v>20096</v>
      </c>
    </row>
    <row r="7648" spans="6:8">
      <c r="F7648" t="s">
        <v>11150</v>
      </c>
      <c r="G7648" t="s">
        <v>15540</v>
      </c>
      <c r="H7648" t="s">
        <v>20091</v>
      </c>
    </row>
    <row r="7649" spans="6:8">
      <c r="H7649" t="s">
        <v>19712</v>
      </c>
    </row>
    <row r="7650" spans="6:8">
      <c r="H7650" t="s">
        <v>19709</v>
      </c>
    </row>
    <row r="7651" spans="6:8">
      <c r="H7651" t="s">
        <v>20092</v>
      </c>
    </row>
    <row r="7652" spans="6:8">
      <c r="H7652" t="s">
        <v>20093</v>
      </c>
    </row>
    <row r="7653" spans="6:8">
      <c r="H7653" t="s">
        <v>20094</v>
      </c>
    </row>
    <row r="7654" spans="6:8">
      <c r="H7654" t="s">
        <v>20095</v>
      </c>
    </row>
    <row r="7655" spans="6:8">
      <c r="H7655" t="s">
        <v>20096</v>
      </c>
    </row>
    <row r="7656" spans="6:8">
      <c r="H7656" t="s">
        <v>20097</v>
      </c>
    </row>
    <row r="7657" spans="6:8">
      <c r="H7657" t="s">
        <v>20098</v>
      </c>
    </row>
    <row r="7658" spans="6:8">
      <c r="H7658" t="s">
        <v>20099</v>
      </c>
    </row>
    <row r="7659" spans="6:8">
      <c r="H7659" t="s">
        <v>20100</v>
      </c>
    </row>
    <row r="7660" spans="6:8">
      <c r="F7660" t="s">
        <v>11151</v>
      </c>
      <c r="G7660" t="s">
        <v>15541</v>
      </c>
      <c r="H7660" t="s">
        <v>20091</v>
      </c>
    </row>
    <row r="7661" spans="6:8">
      <c r="H7661" t="s">
        <v>19712</v>
      </c>
    </row>
    <row r="7662" spans="6:8">
      <c r="H7662" t="s">
        <v>20092</v>
      </c>
    </row>
    <row r="7663" spans="6:8">
      <c r="H7663" t="s">
        <v>20107</v>
      </c>
    </row>
    <row r="7664" spans="6:8">
      <c r="H7664" t="s">
        <v>20095</v>
      </c>
    </row>
    <row r="7665" spans="6:8">
      <c r="H7665" t="s">
        <v>20096</v>
      </c>
    </row>
    <row r="7666" spans="6:8">
      <c r="H7666" t="s">
        <v>20097</v>
      </c>
    </row>
    <row r="7667" spans="6:8">
      <c r="H7667" t="s">
        <v>20098</v>
      </c>
    </row>
    <row r="7668" spans="6:8">
      <c r="F7668" t="s">
        <v>11152</v>
      </c>
      <c r="G7668" t="s">
        <v>15542</v>
      </c>
      <c r="H7668" t="s">
        <v>20091</v>
      </c>
    </row>
    <row r="7669" spans="6:8">
      <c r="F7669" t="s">
        <v>11153</v>
      </c>
      <c r="G7669" t="s">
        <v>15543</v>
      </c>
      <c r="H7669" t="s">
        <v>20091</v>
      </c>
    </row>
    <row r="7670" spans="6:8">
      <c r="H7670" t="s">
        <v>19712</v>
      </c>
    </row>
    <row r="7671" spans="6:8">
      <c r="H7671" t="s">
        <v>19709</v>
      </c>
    </row>
    <row r="7672" spans="6:8">
      <c r="H7672" t="s">
        <v>20095</v>
      </c>
    </row>
    <row r="7673" spans="6:8">
      <c r="H7673" t="s">
        <v>20096</v>
      </c>
    </row>
    <row r="7674" spans="6:8">
      <c r="H7674" t="s">
        <v>20097</v>
      </c>
    </row>
    <row r="7675" spans="6:8">
      <c r="F7675" t="s">
        <v>11154</v>
      </c>
      <c r="G7675" t="s">
        <v>15544</v>
      </c>
      <c r="H7675" t="s">
        <v>20091</v>
      </c>
    </row>
    <row r="7676" spans="6:8">
      <c r="H7676" t="s">
        <v>19712</v>
      </c>
    </row>
    <row r="7677" spans="6:8">
      <c r="H7677" t="s">
        <v>19709</v>
      </c>
    </row>
    <row r="7678" spans="6:8">
      <c r="H7678" t="s">
        <v>19706</v>
      </c>
    </row>
    <row r="7679" spans="6:8">
      <c r="H7679" t="s">
        <v>20092</v>
      </c>
    </row>
    <row r="7680" spans="6:8">
      <c r="H7680" t="s">
        <v>20093</v>
      </c>
    </row>
    <row r="7681" spans="6:8">
      <c r="H7681" t="s">
        <v>20095</v>
      </c>
    </row>
    <row r="7682" spans="6:8">
      <c r="H7682" t="s">
        <v>20096</v>
      </c>
    </row>
    <row r="7683" spans="6:8">
      <c r="H7683" t="s">
        <v>20097</v>
      </c>
    </row>
    <row r="7684" spans="6:8">
      <c r="H7684" t="s">
        <v>20098</v>
      </c>
    </row>
    <row r="7685" spans="6:8">
      <c r="F7685" t="s">
        <v>11155</v>
      </c>
      <c r="G7685" t="s">
        <v>15545</v>
      </c>
      <c r="H7685" t="s">
        <v>20091</v>
      </c>
    </row>
    <row r="7686" spans="6:8">
      <c r="H7686" t="s">
        <v>20092</v>
      </c>
    </row>
    <row r="7687" spans="6:8">
      <c r="H7687" t="s">
        <v>20093</v>
      </c>
    </row>
    <row r="7688" spans="6:8">
      <c r="H7688" t="s">
        <v>20094</v>
      </c>
    </row>
    <row r="7689" spans="6:8">
      <c r="H7689" t="s">
        <v>20103</v>
      </c>
    </row>
    <row r="7690" spans="6:8">
      <c r="H7690" t="s">
        <v>20116</v>
      </c>
    </row>
    <row r="7691" spans="6:8">
      <c r="H7691" t="s">
        <v>20095</v>
      </c>
    </row>
    <row r="7692" spans="6:8">
      <c r="H7692" t="s">
        <v>20096</v>
      </c>
    </row>
    <row r="7693" spans="6:8">
      <c r="H7693" t="s">
        <v>20097</v>
      </c>
    </row>
    <row r="7694" spans="6:8">
      <c r="H7694" t="s">
        <v>20098</v>
      </c>
    </row>
    <row r="7695" spans="6:8">
      <c r="F7695" t="s">
        <v>11157</v>
      </c>
      <c r="G7695" t="s">
        <v>15546</v>
      </c>
      <c r="H7695" t="s">
        <v>20091</v>
      </c>
    </row>
    <row r="7696" spans="6:8">
      <c r="H7696" t="s">
        <v>19712</v>
      </c>
    </row>
    <row r="7697" spans="6:8">
      <c r="H7697" t="s">
        <v>20092</v>
      </c>
    </row>
    <row r="7698" spans="6:8">
      <c r="H7698" t="s">
        <v>20093</v>
      </c>
    </row>
    <row r="7699" spans="6:8">
      <c r="H7699" t="s">
        <v>20095</v>
      </c>
    </row>
    <row r="7700" spans="6:8">
      <c r="H7700" t="s">
        <v>20096</v>
      </c>
    </row>
    <row r="7701" spans="6:8">
      <c r="F7701" t="s">
        <v>11158</v>
      </c>
      <c r="G7701" t="s">
        <v>15547</v>
      </c>
      <c r="H7701" t="s">
        <v>20091</v>
      </c>
    </row>
    <row r="7702" spans="6:8">
      <c r="H7702" t="s">
        <v>19712</v>
      </c>
    </row>
    <row r="7703" spans="6:8">
      <c r="H7703" t="s">
        <v>20095</v>
      </c>
    </row>
    <row r="7704" spans="6:8">
      <c r="H7704" t="s">
        <v>20096</v>
      </c>
    </row>
    <row r="7705" spans="6:8">
      <c r="F7705" t="s">
        <v>11159</v>
      </c>
      <c r="G7705" t="s">
        <v>15548</v>
      </c>
      <c r="H7705" t="s">
        <v>20091</v>
      </c>
    </row>
    <row r="7706" spans="6:8">
      <c r="H7706" t="s">
        <v>19712</v>
      </c>
    </row>
    <row r="7707" spans="6:8">
      <c r="H7707" t="s">
        <v>20095</v>
      </c>
    </row>
    <row r="7708" spans="6:8">
      <c r="H7708" t="s">
        <v>20096</v>
      </c>
    </row>
    <row r="7709" spans="6:8">
      <c r="F7709" t="s">
        <v>11160</v>
      </c>
      <c r="G7709" t="s">
        <v>15549</v>
      </c>
      <c r="H7709" t="s">
        <v>20091</v>
      </c>
    </row>
    <row r="7710" spans="6:8">
      <c r="H7710" t="s">
        <v>19712</v>
      </c>
    </row>
    <row r="7711" spans="6:8">
      <c r="H7711" t="s">
        <v>19709</v>
      </c>
    </row>
    <row r="7712" spans="6:8">
      <c r="H7712" t="s">
        <v>19706</v>
      </c>
    </row>
    <row r="7713" spans="6:8">
      <c r="H7713" t="s">
        <v>19707</v>
      </c>
    </row>
    <row r="7714" spans="6:8">
      <c r="H7714" t="s">
        <v>19711</v>
      </c>
    </row>
    <row r="7715" spans="6:8">
      <c r="H7715" t="s">
        <v>20092</v>
      </c>
    </row>
    <row r="7716" spans="6:8">
      <c r="H7716" t="s">
        <v>20093</v>
      </c>
    </row>
    <row r="7717" spans="6:8">
      <c r="H7717" t="s">
        <v>20094</v>
      </c>
    </row>
    <row r="7718" spans="6:8">
      <c r="H7718" t="s">
        <v>20103</v>
      </c>
    </row>
    <row r="7719" spans="6:8">
      <c r="H7719" t="s">
        <v>20116</v>
      </c>
    </row>
    <row r="7720" spans="6:8">
      <c r="H7720" t="s">
        <v>20117</v>
      </c>
    </row>
    <row r="7721" spans="6:8">
      <c r="H7721" t="s">
        <v>20118</v>
      </c>
    </row>
    <row r="7722" spans="6:8">
      <c r="H7722" t="s">
        <v>20095</v>
      </c>
    </row>
    <row r="7723" spans="6:8">
      <c r="H7723" t="s">
        <v>20096</v>
      </c>
    </row>
    <row r="7724" spans="6:8">
      <c r="H7724" t="s">
        <v>20097</v>
      </c>
    </row>
    <row r="7725" spans="6:8">
      <c r="H7725" t="s">
        <v>20098</v>
      </c>
    </row>
    <row r="7726" spans="6:8">
      <c r="H7726" t="s">
        <v>20099</v>
      </c>
    </row>
    <row r="7727" spans="6:8">
      <c r="H7727" t="s">
        <v>20100</v>
      </c>
    </row>
    <row r="7728" spans="6:8">
      <c r="F7728" t="s">
        <v>11161</v>
      </c>
      <c r="G7728" t="s">
        <v>15550</v>
      </c>
      <c r="H7728" t="s">
        <v>20091</v>
      </c>
    </row>
    <row r="7729" spans="8:8">
      <c r="H7729" t="s">
        <v>19712</v>
      </c>
    </row>
    <row r="7730" spans="8:8">
      <c r="H7730" t="s">
        <v>19709</v>
      </c>
    </row>
    <row r="7731" spans="8:8">
      <c r="H7731" t="s">
        <v>19706</v>
      </c>
    </row>
    <row r="7732" spans="8:8">
      <c r="H7732" t="s">
        <v>19707</v>
      </c>
    </row>
    <row r="7733" spans="8:8">
      <c r="H7733" t="s">
        <v>20092</v>
      </c>
    </row>
    <row r="7734" spans="8:8">
      <c r="H7734" t="s">
        <v>20093</v>
      </c>
    </row>
    <row r="7735" spans="8:8">
      <c r="H7735" t="s">
        <v>20094</v>
      </c>
    </row>
    <row r="7736" spans="8:8">
      <c r="H7736" t="s">
        <v>20103</v>
      </c>
    </row>
    <row r="7737" spans="8:8">
      <c r="H7737" t="s">
        <v>20116</v>
      </c>
    </row>
    <row r="7738" spans="8:8">
      <c r="H7738" t="s">
        <v>20117</v>
      </c>
    </row>
    <row r="7739" spans="8:8">
      <c r="H7739" t="s">
        <v>20118</v>
      </c>
    </row>
    <row r="7740" spans="8:8">
      <c r="H7740" t="s">
        <v>20095</v>
      </c>
    </row>
    <row r="7741" spans="8:8">
      <c r="H7741" t="s">
        <v>20096</v>
      </c>
    </row>
    <row r="7742" spans="8:8">
      <c r="H7742" t="s">
        <v>20097</v>
      </c>
    </row>
    <row r="7743" spans="8:8">
      <c r="H7743" t="s">
        <v>20098</v>
      </c>
    </row>
    <row r="7744" spans="8:8">
      <c r="H7744" t="s">
        <v>20099</v>
      </c>
    </row>
    <row r="7745" spans="6:8">
      <c r="H7745" t="s">
        <v>20100</v>
      </c>
    </row>
    <row r="7746" spans="6:8">
      <c r="F7746" t="s">
        <v>11162</v>
      </c>
      <c r="G7746" t="s">
        <v>15551</v>
      </c>
      <c r="H7746" t="s">
        <v>20091</v>
      </c>
    </row>
    <row r="7747" spans="6:8">
      <c r="H7747" t="s">
        <v>20095</v>
      </c>
    </row>
    <row r="7748" spans="6:8">
      <c r="H7748" t="s">
        <v>20096</v>
      </c>
    </row>
    <row r="7749" spans="6:8">
      <c r="H7749" t="s">
        <v>20099</v>
      </c>
    </row>
    <row r="7750" spans="6:8">
      <c r="H7750" t="s">
        <v>20101</v>
      </c>
    </row>
    <row r="7751" spans="6:8">
      <c r="H7751" t="s">
        <v>19712</v>
      </c>
    </row>
    <row r="7752" spans="6:8">
      <c r="H7752" t="s">
        <v>20097</v>
      </c>
    </row>
    <row r="7753" spans="6:8">
      <c r="H7753" t="s">
        <v>20098</v>
      </c>
    </row>
    <row r="7754" spans="6:8">
      <c r="H7754" t="s">
        <v>20100</v>
      </c>
    </row>
    <row r="7755" spans="6:8">
      <c r="H7755" t="s">
        <v>20102</v>
      </c>
    </row>
    <row r="7756" spans="6:8">
      <c r="F7756" t="s">
        <v>11163</v>
      </c>
      <c r="G7756" t="s">
        <v>15552</v>
      </c>
      <c r="H7756" t="s">
        <v>20091</v>
      </c>
    </row>
    <row r="7757" spans="6:8">
      <c r="H7757" t="s">
        <v>19712</v>
      </c>
    </row>
    <row r="7758" spans="6:8">
      <c r="H7758" t="s">
        <v>20092</v>
      </c>
    </row>
    <row r="7759" spans="6:8">
      <c r="H7759" t="s">
        <v>20093</v>
      </c>
    </row>
    <row r="7760" spans="6:8">
      <c r="H7760" t="s">
        <v>20094</v>
      </c>
    </row>
    <row r="7761" spans="6:8">
      <c r="H7761" t="s">
        <v>20095</v>
      </c>
    </row>
    <row r="7762" spans="6:8">
      <c r="H7762" t="s">
        <v>20096</v>
      </c>
    </row>
    <row r="7763" spans="6:8">
      <c r="H7763" t="s">
        <v>20097</v>
      </c>
    </row>
    <row r="7764" spans="6:8">
      <c r="H7764" t="s">
        <v>20098</v>
      </c>
    </row>
    <row r="7765" spans="6:8">
      <c r="H7765" t="s">
        <v>20099</v>
      </c>
    </row>
    <row r="7766" spans="6:8">
      <c r="H7766" t="s">
        <v>20100</v>
      </c>
    </row>
    <row r="7767" spans="6:8">
      <c r="H7767" t="s">
        <v>20101</v>
      </c>
    </row>
    <row r="7768" spans="6:8">
      <c r="H7768" t="s">
        <v>20102</v>
      </c>
    </row>
    <row r="7769" spans="6:8">
      <c r="F7769" t="s">
        <v>11164</v>
      </c>
      <c r="G7769" t="s">
        <v>15553</v>
      </c>
      <c r="H7769" t="s">
        <v>20091</v>
      </c>
    </row>
    <row r="7770" spans="6:8">
      <c r="H7770" t="s">
        <v>19712</v>
      </c>
    </row>
    <row r="7771" spans="6:8">
      <c r="H7771" t="s">
        <v>20092</v>
      </c>
    </row>
    <row r="7772" spans="6:8">
      <c r="H7772" t="s">
        <v>20093</v>
      </c>
    </row>
    <row r="7773" spans="6:8">
      <c r="H7773" t="s">
        <v>20094</v>
      </c>
    </row>
    <row r="7774" spans="6:8">
      <c r="H7774" t="s">
        <v>20095</v>
      </c>
    </row>
    <row r="7775" spans="6:8">
      <c r="H7775" t="s">
        <v>20096</v>
      </c>
    </row>
    <row r="7776" spans="6:8">
      <c r="H7776" t="s">
        <v>20097</v>
      </c>
    </row>
    <row r="7777" spans="6:8">
      <c r="H7777" t="s">
        <v>20098</v>
      </c>
    </row>
    <row r="7778" spans="6:8">
      <c r="H7778" t="s">
        <v>20099</v>
      </c>
    </row>
    <row r="7779" spans="6:8">
      <c r="H7779" t="s">
        <v>20100</v>
      </c>
    </row>
    <row r="7780" spans="6:8">
      <c r="H7780" t="s">
        <v>20101</v>
      </c>
    </row>
    <row r="7781" spans="6:8">
      <c r="H7781" t="s">
        <v>20102</v>
      </c>
    </row>
    <row r="7782" spans="6:8">
      <c r="F7782" t="s">
        <v>11165</v>
      </c>
      <c r="G7782" t="s">
        <v>15554</v>
      </c>
      <c r="H7782" t="s">
        <v>20091</v>
      </c>
    </row>
    <row r="7783" spans="6:8">
      <c r="H7783" t="s">
        <v>20107</v>
      </c>
    </row>
    <row r="7784" spans="6:8">
      <c r="H7784" t="s">
        <v>20108</v>
      </c>
    </row>
    <row r="7785" spans="6:8">
      <c r="H7785" t="s">
        <v>20095</v>
      </c>
    </row>
    <row r="7786" spans="6:8">
      <c r="F7786" t="s">
        <v>11166</v>
      </c>
      <c r="G7786" t="s">
        <v>15555</v>
      </c>
      <c r="H7786" t="s">
        <v>20091</v>
      </c>
    </row>
    <row r="7787" spans="6:8">
      <c r="H7787" t="s">
        <v>19712</v>
      </c>
    </row>
    <row r="7788" spans="6:8">
      <c r="H7788" t="s">
        <v>19709</v>
      </c>
    </row>
    <row r="7789" spans="6:8">
      <c r="H7789" t="s">
        <v>19706</v>
      </c>
    </row>
    <row r="7790" spans="6:8">
      <c r="H7790" t="s">
        <v>20095</v>
      </c>
    </row>
    <row r="7791" spans="6:8">
      <c r="H7791" t="s">
        <v>20096</v>
      </c>
    </row>
    <row r="7792" spans="6:8">
      <c r="H7792" t="s">
        <v>20097</v>
      </c>
    </row>
    <row r="7793" spans="6:8">
      <c r="H7793" t="s">
        <v>20098</v>
      </c>
    </row>
    <row r="7794" spans="6:8">
      <c r="F7794" t="s">
        <v>11167</v>
      </c>
      <c r="G7794" t="s">
        <v>15556</v>
      </c>
      <c r="H7794" t="s">
        <v>20091</v>
      </c>
    </row>
    <row r="7795" spans="6:8">
      <c r="H7795" t="s">
        <v>20107</v>
      </c>
    </row>
    <row r="7796" spans="6:8">
      <c r="H7796" t="s">
        <v>20108</v>
      </c>
    </row>
    <row r="7797" spans="6:8">
      <c r="H7797" t="s">
        <v>20095</v>
      </c>
    </row>
    <row r="7798" spans="6:8">
      <c r="H7798" t="s">
        <v>20096</v>
      </c>
    </row>
    <row r="7799" spans="6:8">
      <c r="H7799" t="s">
        <v>20097</v>
      </c>
    </row>
    <row r="7800" spans="6:8">
      <c r="H7800" t="s">
        <v>20098</v>
      </c>
    </row>
    <row r="7801" spans="6:8">
      <c r="H7801" t="s">
        <v>20099</v>
      </c>
    </row>
    <row r="7802" spans="6:8">
      <c r="H7802" t="s">
        <v>20100</v>
      </c>
    </row>
    <row r="7803" spans="6:8">
      <c r="H7803" t="s">
        <v>20101</v>
      </c>
    </row>
    <row r="7804" spans="6:8">
      <c r="H7804" t="s">
        <v>20102</v>
      </c>
    </row>
    <row r="7805" spans="6:8">
      <c r="F7805" t="s">
        <v>11168</v>
      </c>
      <c r="G7805" t="s">
        <v>15557</v>
      </c>
      <c r="H7805" t="s">
        <v>20095</v>
      </c>
    </row>
    <row r="7806" spans="6:8">
      <c r="H7806" t="s">
        <v>20096</v>
      </c>
    </row>
    <row r="7807" spans="6:8">
      <c r="F7807" t="s">
        <v>11169</v>
      </c>
      <c r="G7807" t="s">
        <v>15558</v>
      </c>
      <c r="H7807" t="s">
        <v>20095</v>
      </c>
    </row>
    <row r="7808" spans="6:8">
      <c r="F7808" t="s">
        <v>11170</v>
      </c>
      <c r="G7808" t="s">
        <v>15559</v>
      </c>
      <c r="H7808" t="s">
        <v>20095</v>
      </c>
    </row>
    <row r="7809" spans="6:8">
      <c r="F7809" t="s">
        <v>11171</v>
      </c>
      <c r="G7809" t="s">
        <v>15560</v>
      </c>
      <c r="H7809" t="s">
        <v>20095</v>
      </c>
    </row>
    <row r="7810" spans="6:8">
      <c r="F7810" t="s">
        <v>11172</v>
      </c>
      <c r="G7810" t="s">
        <v>15561</v>
      </c>
      <c r="H7810" t="s">
        <v>20095</v>
      </c>
    </row>
    <row r="7811" spans="6:8">
      <c r="H7811" t="s">
        <v>20096</v>
      </c>
    </row>
    <row r="7812" spans="6:8">
      <c r="H7812" t="s">
        <v>20097</v>
      </c>
    </row>
    <row r="7813" spans="6:8">
      <c r="H7813" t="s">
        <v>20098</v>
      </c>
    </row>
    <row r="7814" spans="6:8">
      <c r="F7814" t="s">
        <v>11173</v>
      </c>
      <c r="G7814" t="s">
        <v>15562</v>
      </c>
      <c r="H7814" t="s">
        <v>20095</v>
      </c>
    </row>
    <row r="7815" spans="6:8">
      <c r="F7815" t="s">
        <v>11174</v>
      </c>
      <c r="G7815" t="s">
        <v>15563</v>
      </c>
      <c r="H7815" t="s">
        <v>20095</v>
      </c>
    </row>
    <row r="7816" spans="6:8">
      <c r="H7816" t="s">
        <v>20096</v>
      </c>
    </row>
    <row r="7817" spans="6:8">
      <c r="F7817" t="s">
        <v>11175</v>
      </c>
      <c r="G7817" t="s">
        <v>15564</v>
      </c>
      <c r="H7817" t="s">
        <v>20091</v>
      </c>
    </row>
    <row r="7818" spans="6:8">
      <c r="H7818" t="s">
        <v>20095</v>
      </c>
    </row>
    <row r="7819" spans="6:8">
      <c r="H7819" t="s">
        <v>20096</v>
      </c>
    </row>
    <row r="7820" spans="6:8">
      <c r="F7820" t="s">
        <v>11176</v>
      </c>
      <c r="G7820" t="s">
        <v>15565</v>
      </c>
      <c r="H7820" t="s">
        <v>20095</v>
      </c>
    </row>
    <row r="7821" spans="6:8">
      <c r="H7821" t="s">
        <v>20096</v>
      </c>
    </row>
    <row r="7822" spans="6:8">
      <c r="F7822" t="s">
        <v>11177</v>
      </c>
      <c r="G7822" t="s">
        <v>15566</v>
      </c>
      <c r="H7822" t="s">
        <v>20095</v>
      </c>
    </row>
    <row r="7823" spans="6:8">
      <c r="F7823" t="s">
        <v>11178</v>
      </c>
      <c r="G7823" t="s">
        <v>15567</v>
      </c>
      <c r="H7823" t="s">
        <v>20095</v>
      </c>
    </row>
    <row r="7824" spans="6:8">
      <c r="F7824" t="s">
        <v>11179</v>
      </c>
      <c r="G7824" t="s">
        <v>15568</v>
      </c>
      <c r="H7824" t="s">
        <v>20095</v>
      </c>
    </row>
    <row r="7825" spans="1:8">
      <c r="H7825" t="s">
        <v>20096</v>
      </c>
    </row>
    <row r="7826" spans="1:8">
      <c r="F7826" t="s">
        <v>11180</v>
      </c>
      <c r="G7826" t="s">
        <v>15569</v>
      </c>
      <c r="H7826" t="s">
        <v>20095</v>
      </c>
    </row>
    <row r="7827" spans="1:8">
      <c r="H7827" t="s">
        <v>20096</v>
      </c>
    </row>
    <row r="7828" spans="1:8">
      <c r="H7828" t="s">
        <v>20097</v>
      </c>
    </row>
    <row r="7829" spans="1:8">
      <c r="F7829" t="s">
        <v>11181</v>
      </c>
      <c r="G7829" t="s">
        <v>15570</v>
      </c>
      <c r="H7829" t="s">
        <v>20095</v>
      </c>
    </row>
    <row r="7830" spans="1:8">
      <c r="H7830" t="s">
        <v>20096</v>
      </c>
    </row>
    <row r="7831" spans="1:8">
      <c r="F7831" t="s">
        <v>11182</v>
      </c>
      <c r="G7831" t="s">
        <v>15571</v>
      </c>
      <c r="H7831" t="s">
        <v>20095</v>
      </c>
    </row>
    <row r="7832" spans="1:8">
      <c r="H7832" t="s">
        <v>20096</v>
      </c>
    </row>
    <row r="7833" spans="1:8">
      <c r="A7833" t="s">
        <v>325</v>
      </c>
      <c r="B7833">
        <f>HYPERLINK("https://android.googlesource.com/platform/cts/+/bc9b467765c6b77506b88dc8c6f3a5dd585d1055", "bc9b467765c6b77506b88dc8c6f3a5dd585d1055")</f>
        <v>0</v>
      </c>
      <c r="C7833">
        <f>HYPERLINK("https://android.googlesource.com/platform/cts/+/c7ca40ff7593edb1902b4802e6a4517be61b658a", "c7ca40ff7593edb1902b4802e6a4517be61b658a")</f>
        <v>0</v>
      </c>
      <c r="D7833" t="s">
        <v>4957</v>
      </c>
      <c r="E7833" t="s">
        <v>6120</v>
      </c>
      <c r="F7833" t="s">
        <v>11432</v>
      </c>
      <c r="G7833" t="s">
        <v>15672</v>
      </c>
      <c r="H7833" t="s">
        <v>20247</v>
      </c>
    </row>
    <row r="7834" spans="1:8">
      <c r="A7834" t="s">
        <v>326</v>
      </c>
      <c r="B7834">
        <f>HYPERLINK("https://android.googlesource.com/platform/cts/+/d5f04893f0c1a7663ff195a9b373d100e2741518", "d5f04893f0c1a7663ff195a9b373d100e2741518")</f>
        <v>0</v>
      </c>
      <c r="C7834">
        <f>HYPERLINK("https://android.googlesource.com/platform/cts/+/68b0d0be0cf57b8d2b1efb674f263a8a23a38055", "68b0d0be0cf57b8d2b1efb674f263a8a23a38055")</f>
        <v>0</v>
      </c>
      <c r="D7834" t="s">
        <v>4967</v>
      </c>
      <c r="E7834" t="s">
        <v>6121</v>
      </c>
      <c r="F7834" t="s">
        <v>11433</v>
      </c>
      <c r="G7834" t="s">
        <v>15673</v>
      </c>
      <c r="H7834" t="s">
        <v>20248</v>
      </c>
    </row>
    <row r="7835" spans="1:8">
      <c r="H7835" t="s">
        <v>20249</v>
      </c>
    </row>
    <row r="7836" spans="1:8">
      <c r="H7836" t="s">
        <v>20250</v>
      </c>
    </row>
    <row r="7837" spans="1:8">
      <c r="H7837" t="s">
        <v>20251</v>
      </c>
    </row>
    <row r="7838" spans="1:8">
      <c r="H7838" t="s">
        <v>20252</v>
      </c>
    </row>
    <row r="7839" spans="1:8">
      <c r="H7839" t="s">
        <v>20253</v>
      </c>
    </row>
    <row r="7840" spans="1:8">
      <c r="H7840" t="s">
        <v>20254</v>
      </c>
    </row>
    <row r="7841" spans="1:8">
      <c r="H7841" t="s">
        <v>20255</v>
      </c>
    </row>
    <row r="7842" spans="1:8">
      <c r="A7842" t="s">
        <v>327</v>
      </c>
      <c r="B7842">
        <f>HYPERLINK("https://android.googlesource.com/platform/cts/+/3620919a4e2f4b7d2801411fee1dc8b16c6c9344", "3620919a4e2f4b7d2801411fee1dc8b16c6c9344")</f>
        <v>0</v>
      </c>
      <c r="C7842">
        <f>HYPERLINK("https://android.googlesource.com/platform/cts/+/98439bb945e0d32ff42f5ab98618ff50859c0fb8", "98439bb945e0d32ff42f5ab98618ff50859c0fb8")</f>
        <v>0</v>
      </c>
      <c r="D7842" t="s">
        <v>4967</v>
      </c>
      <c r="E7842" t="s">
        <v>6122</v>
      </c>
      <c r="F7842" t="s">
        <v>10736</v>
      </c>
      <c r="G7842" t="s">
        <v>15135</v>
      </c>
      <c r="H7842" t="s">
        <v>20261</v>
      </c>
    </row>
    <row r="7843" spans="1:8">
      <c r="A7843" t="s">
        <v>328</v>
      </c>
      <c r="B7843">
        <f>HYPERLINK("https://android.googlesource.com/platform/cts/+/af31fd0dd392fea5451421d61a3f904f2b56c6bd", "af31fd0dd392fea5451421d61a3f904f2b56c6bd")</f>
        <v>0</v>
      </c>
      <c r="C7843">
        <f>HYPERLINK("https://android.googlesource.com/platform/cts/+/dc6eef954a66e71b84489734d930290f289aa2ed", "dc6eef954a66e71b84489734d930290f289aa2ed")</f>
        <v>0</v>
      </c>
      <c r="D7843" t="s">
        <v>4976</v>
      </c>
      <c r="E7843" t="s">
        <v>6123</v>
      </c>
      <c r="F7843" t="s">
        <v>11193</v>
      </c>
      <c r="G7843" t="s">
        <v>15582</v>
      </c>
      <c r="H7843" t="s">
        <v>20263</v>
      </c>
    </row>
    <row r="7844" spans="1:8">
      <c r="H7844" t="s">
        <v>20264</v>
      </c>
    </row>
    <row r="7845" spans="1:8">
      <c r="A7845" t="s">
        <v>331</v>
      </c>
      <c r="B7845">
        <f>HYPERLINK("https://android.googlesource.com/platform/cts/+/b6d00d345818c037a9d2e40c8207326a6931ce36", "b6d00d345818c037a9d2e40c8207326a6931ce36")</f>
        <v>0</v>
      </c>
      <c r="C7845">
        <f>HYPERLINK("https://android.googlesource.com/platform/cts/+/e259e04c163a34a536dc8bde625593d9c386e758", "e259e04c163a34a536dc8bde625593d9c386e758")</f>
        <v>0</v>
      </c>
      <c r="D7845" t="s">
        <v>4967</v>
      </c>
      <c r="E7845" t="s">
        <v>6126</v>
      </c>
      <c r="F7845" t="s">
        <v>11433</v>
      </c>
      <c r="G7845" t="s">
        <v>15673</v>
      </c>
      <c r="H7845" t="s">
        <v>20270</v>
      </c>
    </row>
    <row r="7846" spans="1:8">
      <c r="H7846" t="s">
        <v>20271</v>
      </c>
    </row>
    <row r="7847" spans="1:8">
      <c r="A7847" t="s">
        <v>333</v>
      </c>
      <c r="B7847">
        <f>HYPERLINK("https://android.googlesource.com/platform/cts/+/b803f80f0fa6680dd8fe7606e7d9b6a908ddaaf4", "b803f80f0fa6680dd8fe7606e7d9b6a908ddaaf4")</f>
        <v>0</v>
      </c>
      <c r="C7847">
        <f>HYPERLINK("https://android.googlesource.com/platform/cts/+/d95ad171495887f9012d3fb75cf78341f4d4db59", "d95ad171495887f9012d3fb75cf78341f4d4db59")</f>
        <v>0</v>
      </c>
      <c r="D7847" t="s">
        <v>4949</v>
      </c>
      <c r="E7847" t="s">
        <v>6128</v>
      </c>
      <c r="F7847" t="s">
        <v>11436</v>
      </c>
      <c r="G7847" t="s">
        <v>15675</v>
      </c>
      <c r="H7847" t="s">
        <v>20273</v>
      </c>
    </row>
    <row r="7848" spans="1:8">
      <c r="H7848" t="s">
        <v>20274</v>
      </c>
    </row>
    <row r="7849" spans="1:8">
      <c r="H7849" t="s">
        <v>20275</v>
      </c>
    </row>
    <row r="7850" spans="1:8">
      <c r="H7850" t="s">
        <v>20276</v>
      </c>
    </row>
    <row r="7851" spans="1:8">
      <c r="H7851" t="s">
        <v>20277</v>
      </c>
    </row>
    <row r="7852" spans="1:8">
      <c r="H7852" t="s">
        <v>20278</v>
      </c>
    </row>
    <row r="7853" spans="1:8">
      <c r="H7853" t="s">
        <v>20279</v>
      </c>
    </row>
    <row r="7854" spans="1:8">
      <c r="H7854" t="s">
        <v>20280</v>
      </c>
    </row>
    <row r="7855" spans="1:8">
      <c r="H7855" t="s">
        <v>20281</v>
      </c>
    </row>
    <row r="7856" spans="1:8">
      <c r="H7856" t="s">
        <v>20282</v>
      </c>
    </row>
    <row r="7857" spans="1:8">
      <c r="H7857" t="s">
        <v>19506</v>
      </c>
    </row>
    <row r="7858" spans="1:8">
      <c r="H7858" t="s">
        <v>20283</v>
      </c>
    </row>
    <row r="7859" spans="1:8">
      <c r="H7859" t="s">
        <v>20284</v>
      </c>
    </row>
    <row r="7860" spans="1:8">
      <c r="H7860" t="s">
        <v>20285</v>
      </c>
    </row>
    <row r="7861" spans="1:8">
      <c r="H7861" t="s">
        <v>20286</v>
      </c>
    </row>
    <row r="7862" spans="1:8">
      <c r="H7862" t="s">
        <v>20287</v>
      </c>
    </row>
    <row r="7863" spans="1:8">
      <c r="H7863" t="s">
        <v>20288</v>
      </c>
    </row>
    <row r="7864" spans="1:8">
      <c r="H7864" t="s">
        <v>20289</v>
      </c>
    </row>
    <row r="7865" spans="1:8">
      <c r="A7865" t="s">
        <v>338</v>
      </c>
      <c r="B7865">
        <f>HYPERLINK("https://android.googlesource.com/platform/cts/+/c05d6814751ce3291539822528e689390e69da8d", "c05d6814751ce3291539822528e689390e69da8d")</f>
        <v>0</v>
      </c>
      <c r="C7865">
        <f>HYPERLINK("https://android.googlesource.com/platform/cts/+/a5e07f729e8c21c643c6913fe86cd326239bb1c4", "a5e07f729e8c21c643c6913fe86cd326239bb1c4")</f>
        <v>0</v>
      </c>
      <c r="D7865" t="s">
        <v>4967</v>
      </c>
      <c r="E7865" t="s">
        <v>6133</v>
      </c>
      <c r="F7865" t="s">
        <v>11433</v>
      </c>
      <c r="G7865" t="s">
        <v>15673</v>
      </c>
      <c r="H7865" t="s">
        <v>20318</v>
      </c>
    </row>
    <row r="7866" spans="1:8">
      <c r="H7866" t="s">
        <v>20319</v>
      </c>
    </row>
    <row r="7867" spans="1:8">
      <c r="H7867" t="s">
        <v>20322</v>
      </c>
    </row>
    <row r="7868" spans="1:8">
      <c r="H7868" t="s">
        <v>20323</v>
      </c>
    </row>
    <row r="7869" spans="1:8">
      <c r="A7869" t="s">
        <v>339</v>
      </c>
      <c r="B7869">
        <f>HYPERLINK("https://android.googlesource.com/platform/cts/+/e1cafc03a8c2559371dc199b9ae96e10d443bae5", "e1cafc03a8c2559371dc199b9ae96e10d443bae5")</f>
        <v>0</v>
      </c>
      <c r="C7869">
        <f>HYPERLINK("https://android.googlesource.com/platform/cts/+/bb828157aef048a28edefc2796fa64b472ab3c32", "bb828157aef048a28edefc2796fa64b472ab3c32")</f>
        <v>0</v>
      </c>
      <c r="D7869" t="s">
        <v>4952</v>
      </c>
      <c r="E7869" t="s">
        <v>6134</v>
      </c>
      <c r="F7869" t="s">
        <v>11438</v>
      </c>
      <c r="G7869" t="s">
        <v>15678</v>
      </c>
      <c r="H7869" t="s">
        <v>20327</v>
      </c>
    </row>
    <row r="7870" spans="1:8">
      <c r="H7870" t="s">
        <v>20328</v>
      </c>
    </row>
    <row r="7871" spans="1:8">
      <c r="H7871" t="s">
        <v>20329</v>
      </c>
    </row>
    <row r="7872" spans="1:8">
      <c r="H7872" t="s">
        <v>20330</v>
      </c>
    </row>
    <row r="7873" spans="1:8">
      <c r="H7873" t="s">
        <v>20331</v>
      </c>
    </row>
    <row r="7874" spans="1:8">
      <c r="A7874" t="s">
        <v>343</v>
      </c>
      <c r="B7874">
        <f>HYPERLINK("https://android.googlesource.com/platform/cts/+/5947eefac18b736441c8a488b32727fc8f9f0811", "5947eefac18b736441c8a488b32727fc8f9f0811")</f>
        <v>0</v>
      </c>
      <c r="C7874">
        <f>HYPERLINK("https://android.googlesource.com/platform/cts/+/b75e6c7911492de9acb4120c62c0654064d10846", "b75e6c7911492de9acb4120c62c0654064d10846")</f>
        <v>0</v>
      </c>
      <c r="D7874" t="s">
        <v>4980</v>
      </c>
      <c r="E7874" t="s">
        <v>6138</v>
      </c>
      <c r="F7874" t="s">
        <v>11193</v>
      </c>
      <c r="G7874" t="s">
        <v>15582</v>
      </c>
      <c r="H7874" t="s">
        <v>20357</v>
      </c>
    </row>
    <row r="7875" spans="1:8">
      <c r="H7875" t="s">
        <v>20358</v>
      </c>
    </row>
    <row r="7876" spans="1:8">
      <c r="H7876" t="s">
        <v>20359</v>
      </c>
    </row>
    <row r="7877" spans="1:8">
      <c r="H7877" t="s">
        <v>20360</v>
      </c>
    </row>
    <row r="7878" spans="1:8">
      <c r="H7878" t="s">
        <v>20361</v>
      </c>
    </row>
    <row r="7879" spans="1:8">
      <c r="A7879" t="s">
        <v>344</v>
      </c>
      <c r="B7879">
        <f>HYPERLINK("https://android.googlesource.com/platform/cts/+/e470100fe5b2f3e07c72e62dfe8437c4f9668e65", "e470100fe5b2f3e07c72e62dfe8437c4f9668e65")</f>
        <v>0</v>
      </c>
      <c r="C7879">
        <f>HYPERLINK("https://android.googlesource.com/platform/cts/+/678ed973b614c9e717aaf7b6c3f11962860d317a", "678ed973b614c9e717aaf7b6c3f11962860d317a")</f>
        <v>0</v>
      </c>
      <c r="D7879" t="s">
        <v>4941</v>
      </c>
      <c r="E7879" t="s">
        <v>6139</v>
      </c>
      <c r="F7879" t="s">
        <v>10690</v>
      </c>
      <c r="G7879" t="s">
        <v>15090</v>
      </c>
      <c r="H7879" t="s">
        <v>20364</v>
      </c>
    </row>
    <row r="7880" spans="1:8">
      <c r="F7880" t="s">
        <v>11440</v>
      </c>
      <c r="G7880" t="s">
        <v>15680</v>
      </c>
      <c r="H7880" t="s">
        <v>18836</v>
      </c>
    </row>
    <row r="7881" spans="1:8">
      <c r="A7881" t="s">
        <v>345</v>
      </c>
      <c r="B7881">
        <f>HYPERLINK("https://android.googlesource.com/platform/cts/+/da34b0e4b53f910e01e80bd463bf63b2f0996600", "da34b0e4b53f910e01e80bd463bf63b2f0996600")</f>
        <v>0</v>
      </c>
      <c r="C7881">
        <f>HYPERLINK("https://android.googlesource.com/platform/cts/+/3273b8230a2ab5cbe318a282c6db1d46a719ad59", "3273b8230a2ab5cbe318a282c6db1d46a719ad59")</f>
        <v>0</v>
      </c>
      <c r="D7881" t="s">
        <v>4949</v>
      </c>
      <c r="E7881" t="s">
        <v>6140</v>
      </c>
      <c r="F7881" t="s">
        <v>11441</v>
      </c>
      <c r="G7881" t="s">
        <v>15681</v>
      </c>
      <c r="H7881" t="s">
        <v>20368</v>
      </c>
    </row>
    <row r="7882" spans="1:8">
      <c r="H7882" t="s">
        <v>20370</v>
      </c>
    </row>
    <row r="7883" spans="1:8">
      <c r="H7883" t="s">
        <v>20371</v>
      </c>
    </row>
    <row r="7884" spans="1:8">
      <c r="A7884" t="s">
        <v>346</v>
      </c>
      <c r="B7884">
        <f>HYPERLINK("https://android.googlesource.com/platform/cts/+/91b820c64092393a3c06d8cbf5cd5e90be4827d1", "91b820c64092393a3c06d8cbf5cd5e90be4827d1")</f>
        <v>0</v>
      </c>
      <c r="C7884">
        <f>HYPERLINK("https://android.googlesource.com/platform/cts/+/04e5d7861c5885e2f8f7cbcbe508ac3d5dfd90e6", "04e5d7861c5885e2f8f7cbcbe508ac3d5dfd90e6")</f>
        <v>0</v>
      </c>
      <c r="D7884" t="s">
        <v>4941</v>
      </c>
      <c r="E7884" t="s">
        <v>6141</v>
      </c>
      <c r="F7884" t="s">
        <v>11442</v>
      </c>
      <c r="G7884" t="s">
        <v>15682</v>
      </c>
      <c r="H7884" t="s">
        <v>20372</v>
      </c>
    </row>
    <row r="7885" spans="1:8">
      <c r="A7885" t="s">
        <v>347</v>
      </c>
      <c r="B7885">
        <f>HYPERLINK("https://android.googlesource.com/platform/cts/+/673cc33a3b7268920c31d662319043b898d3a79c", "673cc33a3b7268920c31d662319043b898d3a79c")</f>
        <v>0</v>
      </c>
      <c r="C7885">
        <f>HYPERLINK("https://android.googlesource.com/platform/cts/+/bd21bedd2816c47bfba9b4e205e2c3dd10ede310", "bd21bedd2816c47bfba9b4e205e2c3dd10ede310")</f>
        <v>0</v>
      </c>
      <c r="D7885" t="s">
        <v>4952</v>
      </c>
      <c r="E7885" t="s">
        <v>6142</v>
      </c>
      <c r="F7885" t="s">
        <v>11443</v>
      </c>
      <c r="G7885" t="s">
        <v>15683</v>
      </c>
      <c r="H7885" t="s">
        <v>20375</v>
      </c>
    </row>
    <row r="7886" spans="1:8">
      <c r="A7886" t="s">
        <v>348</v>
      </c>
      <c r="B7886">
        <f>HYPERLINK("https://android.googlesource.com/platform/cts/+/c7b1d2ec404eb57add0efa4121316c7f766dae79", "c7b1d2ec404eb57add0efa4121316c7f766dae79")</f>
        <v>0</v>
      </c>
      <c r="C7886">
        <f>HYPERLINK("https://android.googlesource.com/platform/cts/+/ffff412d5dbf789f2cd1b17c173c309157775a0d", "ffff412d5dbf789f2cd1b17c173c309157775a0d")</f>
        <v>0</v>
      </c>
      <c r="D7886" t="s">
        <v>4936</v>
      </c>
      <c r="E7886" t="s">
        <v>6143</v>
      </c>
      <c r="F7886" t="s">
        <v>11444</v>
      </c>
      <c r="G7886" t="s">
        <v>15684</v>
      </c>
      <c r="H7886" t="s">
        <v>20378</v>
      </c>
    </row>
    <row r="7887" spans="1:8">
      <c r="F7887" t="s">
        <v>11445</v>
      </c>
      <c r="G7887" t="s">
        <v>15685</v>
      </c>
      <c r="H7887" t="s">
        <v>20380</v>
      </c>
    </row>
    <row r="7888" spans="1:8">
      <c r="F7888" t="s">
        <v>11446</v>
      </c>
      <c r="G7888" t="s">
        <v>15686</v>
      </c>
      <c r="H7888" t="s">
        <v>20383</v>
      </c>
    </row>
    <row r="7889" spans="1:8">
      <c r="H7889" t="s">
        <v>20385</v>
      </c>
    </row>
    <row r="7890" spans="1:8">
      <c r="H7890" t="s">
        <v>20387</v>
      </c>
    </row>
    <row r="7891" spans="1:8">
      <c r="H7891" t="s">
        <v>20389</v>
      </c>
    </row>
    <row r="7892" spans="1:8">
      <c r="F7892" t="s">
        <v>10794</v>
      </c>
      <c r="G7892" t="s">
        <v>15189</v>
      </c>
      <c r="H7892" t="s">
        <v>20390</v>
      </c>
    </row>
    <row r="7893" spans="1:8">
      <c r="H7893" t="s">
        <v>20391</v>
      </c>
    </row>
    <row r="7894" spans="1:8">
      <c r="H7894" t="s">
        <v>20392</v>
      </c>
    </row>
    <row r="7895" spans="1:8">
      <c r="H7895" t="s">
        <v>20393</v>
      </c>
    </row>
    <row r="7896" spans="1:8">
      <c r="H7896" t="s">
        <v>20394</v>
      </c>
    </row>
    <row r="7897" spans="1:8">
      <c r="H7897" t="s">
        <v>20395</v>
      </c>
    </row>
    <row r="7898" spans="1:8">
      <c r="H7898" t="s">
        <v>20396</v>
      </c>
    </row>
    <row r="7899" spans="1:8">
      <c r="H7899" t="s">
        <v>20397</v>
      </c>
    </row>
    <row r="7900" spans="1:8">
      <c r="H7900" t="s">
        <v>20398</v>
      </c>
    </row>
    <row r="7901" spans="1:8">
      <c r="H7901" t="s">
        <v>20399</v>
      </c>
    </row>
    <row r="7902" spans="1:8">
      <c r="H7902" t="s">
        <v>20400</v>
      </c>
    </row>
    <row r="7903" spans="1:8">
      <c r="H7903" t="s">
        <v>20401</v>
      </c>
    </row>
    <row r="7904" spans="1:8">
      <c r="A7904" t="s">
        <v>349</v>
      </c>
      <c r="B7904">
        <f>HYPERLINK("https://android.googlesource.com/platform/cts/+/6b8b6db2396fe7f3736e4668e8a03cf6cdd1d60a", "6b8b6db2396fe7f3736e4668e8a03cf6cdd1d60a")</f>
        <v>0</v>
      </c>
      <c r="C7904">
        <f>HYPERLINK("https://android.googlesource.com/platform/cts/+/5ae4c7de3dae3e6446726138ea553f2099f67f84", "5ae4c7de3dae3e6446726138ea553f2099f67f84")</f>
        <v>0</v>
      </c>
      <c r="D7904" t="s">
        <v>4936</v>
      </c>
      <c r="E7904" t="s">
        <v>6144</v>
      </c>
      <c r="F7904" t="s">
        <v>10597</v>
      </c>
      <c r="G7904" t="s">
        <v>15000</v>
      </c>
      <c r="H7904" t="s">
        <v>20402</v>
      </c>
    </row>
    <row r="7905" spans="1:8">
      <c r="A7905" t="s">
        <v>351</v>
      </c>
      <c r="B7905">
        <f>HYPERLINK("https://android.googlesource.com/platform/cts/+/2ebcb4f47fa183cea52366d36c4ac76e8690f2ae", "2ebcb4f47fa183cea52366d36c4ac76e8690f2ae")</f>
        <v>0</v>
      </c>
      <c r="C7905">
        <f>HYPERLINK("https://android.googlesource.com/platform/cts/+/c4201329bf1833d3582bce81b080708a1b70de3e", "c4201329bf1833d3582bce81b080708a1b70de3e")</f>
        <v>0</v>
      </c>
      <c r="D7905" t="s">
        <v>4952</v>
      </c>
      <c r="E7905" t="s">
        <v>6146</v>
      </c>
      <c r="F7905" t="s">
        <v>11447</v>
      </c>
      <c r="G7905" t="s">
        <v>15687</v>
      </c>
      <c r="H7905" t="s">
        <v>20404</v>
      </c>
    </row>
    <row r="7906" spans="1:8">
      <c r="A7906" t="s">
        <v>352</v>
      </c>
      <c r="B7906">
        <f>HYPERLINK("https://android.googlesource.com/platform/cts/+/7dddfd11f7eea14a100bd60f6b6feb1c4e8d7007", "7dddfd11f7eea14a100bd60f6b6feb1c4e8d7007")</f>
        <v>0</v>
      </c>
      <c r="C7906">
        <f>HYPERLINK("https://android.googlesource.com/platform/cts/+/9891cebb67d3d07d19440c6c2c7913b0372000a4", "9891cebb67d3d07d19440c6c2c7913b0372000a4")</f>
        <v>0</v>
      </c>
      <c r="D7906" t="s">
        <v>4936</v>
      </c>
      <c r="E7906" t="s">
        <v>6147</v>
      </c>
      <c r="F7906" t="s">
        <v>10740</v>
      </c>
      <c r="G7906" t="s">
        <v>15139</v>
      </c>
      <c r="H7906" t="s">
        <v>20405</v>
      </c>
    </row>
    <row r="7907" spans="1:8">
      <c r="F7907" t="s">
        <v>11448</v>
      </c>
      <c r="G7907" t="s">
        <v>15688</v>
      </c>
      <c r="H7907" t="s">
        <v>20406</v>
      </c>
    </row>
    <row r="7908" spans="1:8">
      <c r="H7908" t="s">
        <v>20407</v>
      </c>
    </row>
    <row r="7909" spans="1:8">
      <c r="A7909" t="s">
        <v>354</v>
      </c>
      <c r="B7909">
        <f>HYPERLINK("https://android.googlesource.com/platform/cts/+/6a3ac6d97642168b9aa85b6ed774fbbdd836265d", "6a3ac6d97642168b9aa85b6ed774fbbdd836265d")</f>
        <v>0</v>
      </c>
      <c r="C7909">
        <f>HYPERLINK("https://android.googlesource.com/platform/cts/+/57933a04caa41c019e6b9c40b88954adbfb96dbb", "57933a04caa41c019e6b9c40b88954adbfb96dbb")</f>
        <v>0</v>
      </c>
      <c r="D7909" t="s">
        <v>4949</v>
      </c>
      <c r="E7909" t="s">
        <v>6149</v>
      </c>
      <c r="F7909" t="s">
        <v>11450</v>
      </c>
      <c r="G7909" t="s">
        <v>15690</v>
      </c>
      <c r="H7909" t="s">
        <v>20409</v>
      </c>
    </row>
    <row r="7910" spans="1:8">
      <c r="H7910" t="s">
        <v>20410</v>
      </c>
    </row>
    <row r="7911" spans="1:8">
      <c r="H7911" t="s">
        <v>20411</v>
      </c>
    </row>
    <row r="7912" spans="1:8">
      <c r="H7912" t="s">
        <v>20412</v>
      </c>
    </row>
    <row r="7913" spans="1:8">
      <c r="A7913" t="s">
        <v>357</v>
      </c>
      <c r="B7913">
        <f>HYPERLINK("https://android.googlesource.com/platform/cts/+/1ea506ee94dc3e8bfe48d6fd1ce663cacef38d91", "1ea506ee94dc3e8bfe48d6fd1ce663cacef38d91")</f>
        <v>0</v>
      </c>
      <c r="C7913">
        <f>HYPERLINK("https://android.googlesource.com/platform/cts/+/82b8e073159a404379be354b30ca75475abe181c", "82b8e073159a404379be354b30ca75475abe181c")</f>
        <v>0</v>
      </c>
      <c r="D7913" t="s">
        <v>4941</v>
      </c>
      <c r="E7913" t="s">
        <v>6152</v>
      </c>
      <c r="F7913" t="s">
        <v>11452</v>
      </c>
      <c r="G7913" t="s">
        <v>15692</v>
      </c>
      <c r="H7913" t="s">
        <v>18876</v>
      </c>
    </row>
    <row r="7914" spans="1:8">
      <c r="A7914" t="s">
        <v>359</v>
      </c>
      <c r="B7914">
        <f>HYPERLINK("https://android.googlesource.com/platform/cts/+/5b7fa1892268a96b1481de768cafe67ca6edfc9d", "5b7fa1892268a96b1481de768cafe67ca6edfc9d")</f>
        <v>0</v>
      </c>
      <c r="C7914">
        <f>HYPERLINK("https://android.googlesource.com/platform/cts/+/0dbe847037fc266152965a6ca3d4645036f9ef2e", "0dbe847037fc266152965a6ca3d4645036f9ef2e")</f>
        <v>0</v>
      </c>
      <c r="D7914" t="s">
        <v>4967</v>
      </c>
      <c r="E7914" t="s">
        <v>6154</v>
      </c>
      <c r="F7914" t="s">
        <v>11453</v>
      </c>
      <c r="G7914" t="s">
        <v>15693</v>
      </c>
      <c r="H7914" t="s">
        <v>20415</v>
      </c>
    </row>
    <row r="7915" spans="1:8">
      <c r="H7915" t="s">
        <v>20416</v>
      </c>
    </row>
    <row r="7916" spans="1:8">
      <c r="H7916" t="s">
        <v>20417</v>
      </c>
    </row>
    <row r="7917" spans="1:8">
      <c r="A7917" t="s">
        <v>362</v>
      </c>
      <c r="B7917">
        <f>HYPERLINK("https://android.googlesource.com/platform/cts/+/b4bca5bf45f8b907c6f71dcad8e9972016eeabb5", "b4bca5bf45f8b907c6f71dcad8e9972016eeabb5")</f>
        <v>0</v>
      </c>
      <c r="C7917">
        <f>HYPERLINK("https://android.googlesource.com/platform/cts/+/b5b2307fc7eb12c13209c929fac86b23252b78dc", "b5b2307fc7eb12c13209c929fac86b23252b78dc")</f>
        <v>0</v>
      </c>
      <c r="D7917" t="s">
        <v>4941</v>
      </c>
      <c r="E7917" t="s">
        <v>6157</v>
      </c>
      <c r="F7917" t="s">
        <v>11457</v>
      </c>
      <c r="G7917" t="s">
        <v>15697</v>
      </c>
      <c r="H7917" t="s">
        <v>20419</v>
      </c>
    </row>
    <row r="7918" spans="1:8">
      <c r="A7918" t="s">
        <v>363</v>
      </c>
      <c r="B7918">
        <f>HYPERLINK("https://android.googlesource.com/platform/cts/+/a6570dcfa4b86bd4d473dfd5aba8956ea3ef4a89", "a6570dcfa4b86bd4d473dfd5aba8956ea3ef4a89")</f>
        <v>0</v>
      </c>
      <c r="C7918">
        <f>HYPERLINK("https://android.googlesource.com/platform/cts/+/e0d6e0d1a9d3364f0410bcda9ab1b93f358f45f9", "e0d6e0d1a9d3364f0410bcda9ab1b93f358f45f9")</f>
        <v>0</v>
      </c>
      <c r="D7918" t="s">
        <v>4941</v>
      </c>
      <c r="E7918" t="s">
        <v>6158</v>
      </c>
      <c r="F7918" t="s">
        <v>11457</v>
      </c>
      <c r="G7918" t="s">
        <v>15697</v>
      </c>
      <c r="H7918" t="s">
        <v>20419</v>
      </c>
    </row>
    <row r="7919" spans="1:8">
      <c r="A7919" t="s">
        <v>365</v>
      </c>
      <c r="B7919">
        <f>HYPERLINK("https://android.googlesource.com/platform/cts/+/2c6d380e7d8206949e25b045653ce71c73663c55", "2c6d380e7d8206949e25b045653ce71c73663c55")</f>
        <v>0</v>
      </c>
      <c r="C7919">
        <f>HYPERLINK("https://android.googlesource.com/platform/cts/+/0f6a860f9fcba915cbf1801ddf97fdddd8785c2f", "0f6a860f9fcba915cbf1801ddf97fdddd8785c2f")</f>
        <v>0</v>
      </c>
      <c r="D7919" t="s">
        <v>4973</v>
      </c>
      <c r="E7919" t="s">
        <v>6160</v>
      </c>
      <c r="F7919" t="s">
        <v>11469</v>
      </c>
      <c r="G7919" t="s">
        <v>15709</v>
      </c>
      <c r="H7919" t="s">
        <v>20421</v>
      </c>
    </row>
    <row r="7920" spans="1:8">
      <c r="H7920" t="s">
        <v>20422</v>
      </c>
    </row>
    <row r="7921" spans="1:8">
      <c r="A7921" t="s">
        <v>366</v>
      </c>
      <c r="B7921">
        <f>HYPERLINK("https://android.googlesource.com/platform/cts/+/2504acc530674e50ddb4cb44cd32c1f7805fcd0b", "2504acc530674e50ddb4cb44cd32c1f7805fcd0b")</f>
        <v>0</v>
      </c>
      <c r="C7921">
        <f>HYPERLINK("https://android.googlesource.com/platform/cts/+/2c6d380e7d8206949e25b045653ce71c73663c55", "2c6d380e7d8206949e25b045653ce71c73663c55")</f>
        <v>0</v>
      </c>
      <c r="D7921" t="s">
        <v>4941</v>
      </c>
      <c r="E7921" t="s">
        <v>6161</v>
      </c>
      <c r="F7921" t="s">
        <v>11470</v>
      </c>
      <c r="G7921" t="s">
        <v>15710</v>
      </c>
      <c r="H7921" t="s">
        <v>20423</v>
      </c>
    </row>
    <row r="7922" spans="1:8">
      <c r="A7922" t="s">
        <v>367</v>
      </c>
      <c r="B7922">
        <f>HYPERLINK("https://android.googlesource.com/platform/cts/+/fbfb026c4deca937184f2bb14daea3405d7e004b", "fbfb026c4deca937184f2bb14daea3405d7e004b")</f>
        <v>0</v>
      </c>
      <c r="C7922">
        <f>HYPERLINK("https://android.googlesource.com/platform/cts/+/ad8f4d4562562b62cbe694c46f9e11850fe1c82f", "ad8f4d4562562b62cbe694c46f9e11850fe1c82f")</f>
        <v>0</v>
      </c>
      <c r="D7922" t="s">
        <v>4979</v>
      </c>
      <c r="E7922" t="s">
        <v>6162</v>
      </c>
      <c r="F7922" t="s">
        <v>11471</v>
      </c>
      <c r="G7922" t="s">
        <v>15711</v>
      </c>
      <c r="H7922" t="s">
        <v>20424</v>
      </c>
    </row>
    <row r="7923" spans="1:8">
      <c r="H7923" t="s">
        <v>20425</v>
      </c>
    </row>
    <row r="7924" spans="1:8">
      <c r="A7924" t="s">
        <v>368</v>
      </c>
      <c r="B7924">
        <f>HYPERLINK("https://android.googlesource.com/platform/cts/+/775d37162a287fb6d3838c92879bfa1f9d2c32c7", "775d37162a287fb6d3838c92879bfa1f9d2c32c7")</f>
        <v>0</v>
      </c>
      <c r="C7924">
        <f>HYPERLINK("https://android.googlesource.com/platform/cts/+/8fdfc653ff74c5cb03722f165db608b9f63be978", "8fdfc653ff74c5cb03722f165db608b9f63be978")</f>
        <v>0</v>
      </c>
      <c r="D7924" t="s">
        <v>4949</v>
      </c>
      <c r="E7924" t="s">
        <v>6163</v>
      </c>
      <c r="F7924" t="s">
        <v>11472</v>
      </c>
      <c r="G7924" t="s">
        <v>15712</v>
      </c>
      <c r="H7924" t="s">
        <v>20427</v>
      </c>
    </row>
    <row r="7925" spans="1:8">
      <c r="H7925" t="s">
        <v>20428</v>
      </c>
    </row>
    <row r="7926" spans="1:8">
      <c r="H7926" t="s">
        <v>20429</v>
      </c>
    </row>
    <row r="7927" spans="1:8">
      <c r="H7927" t="s">
        <v>20430</v>
      </c>
    </row>
    <row r="7928" spans="1:8">
      <c r="A7928" t="s">
        <v>371</v>
      </c>
      <c r="B7928">
        <f>HYPERLINK("https://android.googlesource.com/platform/cts/+/a21bd2a58a73b0aac2700a551e82824c7a44f42a", "a21bd2a58a73b0aac2700a551e82824c7a44f42a")</f>
        <v>0</v>
      </c>
      <c r="C7928">
        <f>HYPERLINK("https://android.googlesource.com/platform/cts/+/98a6d451be2559e03ba221fb382764f85e3c2038", "98a6d451be2559e03ba221fb382764f85e3c2038")</f>
        <v>0</v>
      </c>
      <c r="D7928" t="s">
        <v>4980</v>
      </c>
      <c r="E7928" t="s">
        <v>6166</v>
      </c>
      <c r="F7928" t="s">
        <v>11474</v>
      </c>
      <c r="G7928" t="s">
        <v>15714</v>
      </c>
      <c r="H7928" t="s">
        <v>20434</v>
      </c>
    </row>
    <row r="7929" spans="1:8">
      <c r="A7929" t="s">
        <v>373</v>
      </c>
      <c r="B7929">
        <f>HYPERLINK("https://android.googlesource.com/platform/cts/+/521d0c6b88e4c6531b6ec360e2c244c8d13d34ef", "521d0c6b88e4c6531b6ec360e2c244c8d13d34ef")</f>
        <v>0</v>
      </c>
      <c r="C7929">
        <f>HYPERLINK("https://android.googlesource.com/platform/cts/+/29a837278f7974b6004574c6deb86bef59a98928", "29a837278f7974b6004574c6deb86bef59a98928")</f>
        <v>0</v>
      </c>
      <c r="D7929" t="s">
        <v>4984</v>
      </c>
      <c r="E7929" t="s">
        <v>6167</v>
      </c>
      <c r="F7929" t="s">
        <v>10662</v>
      </c>
      <c r="G7929" t="s">
        <v>15063</v>
      </c>
      <c r="H7929" t="s">
        <v>19729</v>
      </c>
    </row>
    <row r="7930" spans="1:8">
      <c r="A7930" t="s">
        <v>374</v>
      </c>
      <c r="B7930">
        <f>HYPERLINK("https://android.googlesource.com/platform/cts/+/50455b3f14f3cd835150e63bea640cb76c7c2cb4", "50455b3f14f3cd835150e63bea640cb76c7c2cb4")</f>
        <v>0</v>
      </c>
      <c r="C7930">
        <f>HYPERLINK("https://android.googlesource.com/platform/cts/+/b6ea46e3f074720ddae5e018b80e616f72272ed0", "b6ea46e3f074720ddae5e018b80e616f72272ed0")</f>
        <v>0</v>
      </c>
      <c r="D7930" t="s">
        <v>4980</v>
      </c>
      <c r="E7930" t="s">
        <v>6168</v>
      </c>
      <c r="F7930" t="s">
        <v>11475</v>
      </c>
      <c r="G7930" t="s">
        <v>15715</v>
      </c>
      <c r="H7930" t="s">
        <v>20435</v>
      </c>
    </row>
    <row r="7931" spans="1:8">
      <c r="F7931" t="s">
        <v>11476</v>
      </c>
      <c r="G7931" t="s">
        <v>15716</v>
      </c>
      <c r="H7931" t="s">
        <v>20436</v>
      </c>
    </row>
    <row r="7932" spans="1:8">
      <c r="H7932" t="s">
        <v>20437</v>
      </c>
    </row>
    <row r="7933" spans="1:8">
      <c r="H7933" t="s">
        <v>20438</v>
      </c>
    </row>
    <row r="7934" spans="1:8">
      <c r="F7934" t="s">
        <v>11477</v>
      </c>
      <c r="G7934" t="s">
        <v>15717</v>
      </c>
      <c r="H7934" t="s">
        <v>20440</v>
      </c>
    </row>
    <row r="7935" spans="1:8">
      <c r="H7935" t="s">
        <v>20441</v>
      </c>
    </row>
    <row r="7936" spans="1:8">
      <c r="F7936" t="s">
        <v>11478</v>
      </c>
      <c r="G7936" t="s">
        <v>15718</v>
      </c>
      <c r="H7936" t="s">
        <v>20443</v>
      </c>
    </row>
    <row r="7937" spans="1:8">
      <c r="A7937" t="s">
        <v>377</v>
      </c>
      <c r="B7937">
        <f>HYPERLINK("https://android.googlesource.com/platform/cts/+/952eb5628458766f4f5778aaf467be6854b69767", "952eb5628458766f4f5778aaf467be6854b69767")</f>
        <v>0</v>
      </c>
      <c r="C7937">
        <f>HYPERLINK("https://android.googlesource.com/platform/cts/+/86033165713af249c1daa8a825d1a5e64acbc048", "86033165713af249c1daa8a825d1a5e64acbc048")</f>
        <v>0</v>
      </c>
      <c r="D7937" t="s">
        <v>4936</v>
      </c>
      <c r="E7937" t="s">
        <v>6171</v>
      </c>
      <c r="F7937" t="s">
        <v>10699</v>
      </c>
      <c r="G7937" t="s">
        <v>15099</v>
      </c>
      <c r="H7937" t="s">
        <v>20449</v>
      </c>
    </row>
    <row r="7938" spans="1:8">
      <c r="A7938" t="s">
        <v>380</v>
      </c>
      <c r="B7938">
        <f>HYPERLINK("https://android.googlesource.com/platform/cts/+/b043cccc87014cf79e7d37a29b73e46e5294815f", "b043cccc87014cf79e7d37a29b73e46e5294815f")</f>
        <v>0</v>
      </c>
      <c r="C7938">
        <f>HYPERLINK("https://android.googlesource.com/platform/cts/+/2ffddecc8c3ae8942982fa8e34c442d4183946df", "2ffddecc8c3ae8942982fa8e34c442d4183946df")</f>
        <v>0</v>
      </c>
      <c r="D7938" t="s">
        <v>4967</v>
      </c>
      <c r="E7938" t="s">
        <v>6174</v>
      </c>
      <c r="F7938" t="s">
        <v>11480</v>
      </c>
      <c r="G7938" t="s">
        <v>15721</v>
      </c>
      <c r="H7938" t="s">
        <v>20450</v>
      </c>
    </row>
    <row r="7939" spans="1:8">
      <c r="A7939" t="s">
        <v>382</v>
      </c>
      <c r="B7939">
        <f>HYPERLINK("https://android.googlesource.com/platform/cts/+/95fe67721579ade45132e5225b55f887a60f69a1", "95fe67721579ade45132e5225b55f887a60f69a1")</f>
        <v>0</v>
      </c>
      <c r="C7939">
        <f>HYPERLINK("https://android.googlesource.com/platform/cts/+/01dc6706b3485cdc50330d9b7529baf8e4d83602", "01dc6706b3485cdc50330d9b7529baf8e4d83602")</f>
        <v>0</v>
      </c>
      <c r="D7939" t="s">
        <v>4986</v>
      </c>
      <c r="E7939" t="s">
        <v>6176</v>
      </c>
      <c r="F7939" t="s">
        <v>10645</v>
      </c>
      <c r="G7939" t="s">
        <v>15046</v>
      </c>
      <c r="H7939" t="s">
        <v>18980</v>
      </c>
    </row>
    <row r="7940" spans="1:8">
      <c r="A7940" t="s">
        <v>383</v>
      </c>
      <c r="B7940">
        <f>HYPERLINK("https://android.googlesource.com/platform/cts/+/c0ef6f802bbc0d40b1dc8e7cefa360f7434a9299", "c0ef6f802bbc0d40b1dc8e7cefa360f7434a9299")</f>
        <v>0</v>
      </c>
      <c r="C7940">
        <f>HYPERLINK("https://android.googlesource.com/platform/cts/+/976971e382bbe4a0d6528bf5690baa449fde61ce", "976971e382bbe4a0d6528bf5690baa449fde61ce")</f>
        <v>0</v>
      </c>
      <c r="D7940" t="s">
        <v>4973</v>
      </c>
      <c r="E7940" t="s">
        <v>6177</v>
      </c>
      <c r="F7940" t="s">
        <v>11482</v>
      </c>
      <c r="G7940" t="s">
        <v>15723</v>
      </c>
      <c r="H7940" t="s">
        <v>20452</v>
      </c>
    </row>
    <row r="7941" spans="1:8">
      <c r="A7941" t="s">
        <v>384</v>
      </c>
      <c r="B7941">
        <f>HYPERLINK("https://android.googlesource.com/platform/cts/+/25665383264fbedfb22e801e6c631333a40b2a35", "25665383264fbedfb22e801e6c631333a40b2a35")</f>
        <v>0</v>
      </c>
      <c r="C7941">
        <f>HYPERLINK("https://android.googlesource.com/platform/cts/+/976971e382bbe4a0d6528bf5690baa449fde61ce", "976971e382bbe4a0d6528bf5690baa449fde61ce")</f>
        <v>0</v>
      </c>
      <c r="D7941" t="s">
        <v>4973</v>
      </c>
      <c r="E7941" t="s">
        <v>6178</v>
      </c>
      <c r="F7941" t="s">
        <v>11483</v>
      </c>
      <c r="G7941" t="s">
        <v>15724</v>
      </c>
      <c r="H7941" t="s">
        <v>20454</v>
      </c>
    </row>
    <row r="7942" spans="1:8">
      <c r="F7942" t="s">
        <v>11484</v>
      </c>
      <c r="G7942" t="s">
        <v>15725</v>
      </c>
      <c r="H7942" t="s">
        <v>20454</v>
      </c>
    </row>
    <row r="7943" spans="1:8">
      <c r="F7943" t="s">
        <v>11485</v>
      </c>
      <c r="G7943" t="s">
        <v>15726</v>
      </c>
      <c r="H7943" t="s">
        <v>20454</v>
      </c>
    </row>
    <row r="7944" spans="1:8">
      <c r="F7944" t="s">
        <v>11486</v>
      </c>
      <c r="G7944" t="s">
        <v>15727</v>
      </c>
      <c r="H7944" t="s">
        <v>20454</v>
      </c>
    </row>
    <row r="7945" spans="1:8">
      <c r="F7945" t="s">
        <v>11487</v>
      </c>
      <c r="G7945" t="s">
        <v>15728</v>
      </c>
      <c r="H7945" t="s">
        <v>20454</v>
      </c>
    </row>
    <row r="7946" spans="1:8">
      <c r="F7946" t="s">
        <v>11488</v>
      </c>
      <c r="G7946" t="s">
        <v>15729</v>
      </c>
      <c r="H7946" t="s">
        <v>20454</v>
      </c>
    </row>
    <row r="7947" spans="1:8">
      <c r="F7947" t="s">
        <v>11489</v>
      </c>
      <c r="G7947" t="s">
        <v>15730</v>
      </c>
      <c r="H7947" t="s">
        <v>20454</v>
      </c>
    </row>
    <row r="7948" spans="1:8">
      <c r="F7948" t="s">
        <v>11490</v>
      </c>
      <c r="G7948" t="s">
        <v>15731</v>
      </c>
      <c r="H7948" t="s">
        <v>20454</v>
      </c>
    </row>
    <row r="7949" spans="1:8">
      <c r="F7949" t="s">
        <v>11491</v>
      </c>
      <c r="G7949" t="s">
        <v>15732</v>
      </c>
      <c r="H7949" t="s">
        <v>20454</v>
      </c>
    </row>
    <row r="7950" spans="1:8">
      <c r="F7950" t="s">
        <v>11492</v>
      </c>
      <c r="G7950" t="s">
        <v>15733</v>
      </c>
      <c r="H7950" t="s">
        <v>20454</v>
      </c>
    </row>
    <row r="7951" spans="1:8">
      <c r="F7951" t="s">
        <v>11493</v>
      </c>
      <c r="G7951" t="s">
        <v>15734</v>
      </c>
      <c r="H7951" t="s">
        <v>20454</v>
      </c>
    </row>
    <row r="7952" spans="1:8">
      <c r="F7952" t="s">
        <v>11494</v>
      </c>
      <c r="G7952" t="s">
        <v>15735</v>
      </c>
      <c r="H7952" t="s">
        <v>20454</v>
      </c>
    </row>
    <row r="7953" spans="6:8">
      <c r="F7953" t="s">
        <v>11495</v>
      </c>
      <c r="G7953" t="s">
        <v>15736</v>
      </c>
      <c r="H7953" t="s">
        <v>20454</v>
      </c>
    </row>
    <row r="7954" spans="6:8">
      <c r="F7954" t="s">
        <v>11496</v>
      </c>
      <c r="G7954" t="s">
        <v>15737</v>
      </c>
      <c r="H7954" t="s">
        <v>20454</v>
      </c>
    </row>
    <row r="7955" spans="6:8">
      <c r="F7955" t="s">
        <v>11497</v>
      </c>
      <c r="G7955" t="s">
        <v>15738</v>
      </c>
      <c r="H7955" t="s">
        <v>20454</v>
      </c>
    </row>
    <row r="7956" spans="6:8">
      <c r="F7956" t="s">
        <v>11498</v>
      </c>
      <c r="G7956" t="s">
        <v>15739</v>
      </c>
      <c r="H7956" t="s">
        <v>20454</v>
      </c>
    </row>
    <row r="7957" spans="6:8">
      <c r="F7957" t="s">
        <v>11499</v>
      </c>
      <c r="G7957" t="s">
        <v>15740</v>
      </c>
      <c r="H7957" t="s">
        <v>20454</v>
      </c>
    </row>
    <row r="7958" spans="6:8">
      <c r="F7958" t="s">
        <v>11500</v>
      </c>
      <c r="G7958" t="s">
        <v>15741</v>
      </c>
      <c r="H7958" t="s">
        <v>20454</v>
      </c>
    </row>
    <row r="7959" spans="6:8">
      <c r="F7959" t="s">
        <v>11501</v>
      </c>
      <c r="G7959" t="s">
        <v>15742</v>
      </c>
      <c r="H7959" t="s">
        <v>20454</v>
      </c>
    </row>
    <row r="7960" spans="6:8">
      <c r="F7960" t="s">
        <v>11502</v>
      </c>
      <c r="G7960" t="s">
        <v>15743</v>
      </c>
      <c r="H7960" t="s">
        <v>20454</v>
      </c>
    </row>
    <row r="7961" spans="6:8">
      <c r="F7961" t="s">
        <v>11503</v>
      </c>
      <c r="G7961" t="s">
        <v>15744</v>
      </c>
      <c r="H7961" t="s">
        <v>20454</v>
      </c>
    </row>
    <row r="7962" spans="6:8">
      <c r="F7962" t="s">
        <v>11504</v>
      </c>
      <c r="G7962" t="s">
        <v>15745</v>
      </c>
      <c r="H7962" t="s">
        <v>20454</v>
      </c>
    </row>
    <row r="7963" spans="6:8">
      <c r="F7963" t="s">
        <v>11505</v>
      </c>
      <c r="G7963" t="s">
        <v>15746</v>
      </c>
      <c r="H7963" t="s">
        <v>20454</v>
      </c>
    </row>
    <row r="7964" spans="6:8">
      <c r="F7964" t="s">
        <v>11506</v>
      </c>
      <c r="G7964" t="s">
        <v>15747</v>
      </c>
      <c r="H7964" t="s">
        <v>20454</v>
      </c>
    </row>
    <row r="7965" spans="6:8">
      <c r="F7965" t="s">
        <v>11507</v>
      </c>
      <c r="G7965" t="s">
        <v>15748</v>
      </c>
      <c r="H7965" t="s">
        <v>20454</v>
      </c>
    </row>
    <row r="7966" spans="6:8">
      <c r="F7966" t="s">
        <v>11508</v>
      </c>
      <c r="G7966" t="s">
        <v>15749</v>
      </c>
      <c r="H7966" t="s">
        <v>20454</v>
      </c>
    </row>
    <row r="7967" spans="6:8">
      <c r="F7967" t="s">
        <v>11509</v>
      </c>
      <c r="G7967" t="s">
        <v>15750</v>
      </c>
      <c r="H7967" t="s">
        <v>20454</v>
      </c>
    </row>
    <row r="7968" spans="6:8">
      <c r="F7968" t="s">
        <v>11510</v>
      </c>
      <c r="G7968" t="s">
        <v>15751</v>
      </c>
      <c r="H7968" t="s">
        <v>20454</v>
      </c>
    </row>
    <row r="7969" spans="6:8">
      <c r="F7969" t="s">
        <v>11511</v>
      </c>
      <c r="G7969" t="s">
        <v>15752</v>
      </c>
      <c r="H7969" t="s">
        <v>20454</v>
      </c>
    </row>
    <row r="7970" spans="6:8">
      <c r="F7970" t="s">
        <v>11512</v>
      </c>
      <c r="G7970" t="s">
        <v>15753</v>
      </c>
      <c r="H7970" t="s">
        <v>20454</v>
      </c>
    </row>
    <row r="7971" spans="6:8">
      <c r="F7971" t="s">
        <v>11513</v>
      </c>
      <c r="G7971" t="s">
        <v>15754</v>
      </c>
      <c r="H7971" t="s">
        <v>20454</v>
      </c>
    </row>
    <row r="7972" spans="6:8">
      <c r="F7972" t="s">
        <v>11514</v>
      </c>
      <c r="G7972" t="s">
        <v>15755</v>
      </c>
      <c r="H7972" t="s">
        <v>20454</v>
      </c>
    </row>
    <row r="7973" spans="6:8">
      <c r="F7973" t="s">
        <v>11515</v>
      </c>
      <c r="G7973" t="s">
        <v>15756</v>
      </c>
      <c r="H7973" t="s">
        <v>20454</v>
      </c>
    </row>
    <row r="7974" spans="6:8">
      <c r="F7974" t="s">
        <v>11516</v>
      </c>
      <c r="G7974" t="s">
        <v>15757</v>
      </c>
      <c r="H7974" t="s">
        <v>20454</v>
      </c>
    </row>
    <row r="7975" spans="6:8">
      <c r="F7975" t="s">
        <v>11517</v>
      </c>
      <c r="G7975" t="s">
        <v>15758</v>
      </c>
      <c r="H7975" t="s">
        <v>20454</v>
      </c>
    </row>
    <row r="7976" spans="6:8">
      <c r="F7976" t="s">
        <v>11518</v>
      </c>
      <c r="G7976" t="s">
        <v>15759</v>
      </c>
      <c r="H7976" t="s">
        <v>20454</v>
      </c>
    </row>
    <row r="7977" spans="6:8">
      <c r="F7977" t="s">
        <v>11519</v>
      </c>
      <c r="G7977" t="s">
        <v>15760</v>
      </c>
      <c r="H7977" t="s">
        <v>20454</v>
      </c>
    </row>
    <row r="7978" spans="6:8">
      <c r="F7978" t="s">
        <v>11520</v>
      </c>
      <c r="G7978" t="s">
        <v>15761</v>
      </c>
      <c r="H7978" t="s">
        <v>20454</v>
      </c>
    </row>
    <row r="7979" spans="6:8">
      <c r="F7979" t="s">
        <v>11521</v>
      </c>
      <c r="G7979" t="s">
        <v>15762</v>
      </c>
      <c r="H7979" t="s">
        <v>20454</v>
      </c>
    </row>
    <row r="7980" spans="6:8">
      <c r="F7980" t="s">
        <v>11522</v>
      </c>
      <c r="G7980" t="s">
        <v>15763</v>
      </c>
      <c r="H7980" t="s">
        <v>20454</v>
      </c>
    </row>
    <row r="7981" spans="6:8">
      <c r="F7981" t="s">
        <v>11523</v>
      </c>
      <c r="G7981" t="s">
        <v>15764</v>
      </c>
      <c r="H7981" t="s">
        <v>20454</v>
      </c>
    </row>
    <row r="7982" spans="6:8">
      <c r="F7982" t="s">
        <v>11524</v>
      </c>
      <c r="G7982" t="s">
        <v>15765</v>
      </c>
      <c r="H7982" t="s">
        <v>20454</v>
      </c>
    </row>
    <row r="7983" spans="6:8">
      <c r="F7983" t="s">
        <v>11525</v>
      </c>
      <c r="G7983" t="s">
        <v>15766</v>
      </c>
      <c r="H7983" t="s">
        <v>20454</v>
      </c>
    </row>
    <row r="7984" spans="6:8">
      <c r="F7984" t="s">
        <v>11526</v>
      </c>
      <c r="G7984" t="s">
        <v>15767</v>
      </c>
      <c r="H7984" t="s">
        <v>20454</v>
      </c>
    </row>
    <row r="7985" spans="6:8">
      <c r="F7985" t="s">
        <v>11527</v>
      </c>
      <c r="G7985" t="s">
        <v>15768</v>
      </c>
      <c r="H7985" t="s">
        <v>20454</v>
      </c>
    </row>
    <row r="7986" spans="6:8">
      <c r="F7986" t="s">
        <v>11528</v>
      </c>
      <c r="G7986" t="s">
        <v>15769</v>
      </c>
      <c r="H7986" t="s">
        <v>20454</v>
      </c>
    </row>
    <row r="7987" spans="6:8">
      <c r="F7987" t="s">
        <v>11529</v>
      </c>
      <c r="G7987" t="s">
        <v>15770</v>
      </c>
      <c r="H7987" t="s">
        <v>20454</v>
      </c>
    </row>
    <row r="7988" spans="6:8">
      <c r="F7988" t="s">
        <v>11530</v>
      </c>
      <c r="G7988" t="s">
        <v>15771</v>
      </c>
      <c r="H7988" t="s">
        <v>20454</v>
      </c>
    </row>
    <row r="7989" spans="6:8">
      <c r="F7989" t="s">
        <v>11531</v>
      </c>
      <c r="G7989" t="s">
        <v>15772</v>
      </c>
      <c r="H7989" t="s">
        <v>20454</v>
      </c>
    </row>
    <row r="7990" spans="6:8">
      <c r="F7990" t="s">
        <v>11532</v>
      </c>
      <c r="G7990" t="s">
        <v>15773</v>
      </c>
      <c r="H7990" t="s">
        <v>20454</v>
      </c>
    </row>
    <row r="7991" spans="6:8">
      <c r="F7991" t="s">
        <v>11533</v>
      </c>
      <c r="G7991" t="s">
        <v>15774</v>
      </c>
      <c r="H7991" t="s">
        <v>20454</v>
      </c>
    </row>
    <row r="7992" spans="6:8">
      <c r="F7992" t="s">
        <v>11534</v>
      </c>
      <c r="G7992" t="s">
        <v>15775</v>
      </c>
      <c r="H7992" t="s">
        <v>20454</v>
      </c>
    </row>
    <row r="7993" spans="6:8">
      <c r="F7993" t="s">
        <v>11535</v>
      </c>
      <c r="G7993" t="s">
        <v>15776</v>
      </c>
      <c r="H7993" t="s">
        <v>20454</v>
      </c>
    </row>
    <row r="7994" spans="6:8">
      <c r="F7994" t="s">
        <v>11536</v>
      </c>
      <c r="G7994" t="s">
        <v>15777</v>
      </c>
      <c r="H7994" t="s">
        <v>20454</v>
      </c>
    </row>
    <row r="7995" spans="6:8">
      <c r="F7995" t="s">
        <v>11537</v>
      </c>
      <c r="G7995" t="s">
        <v>15778</v>
      </c>
      <c r="H7995" t="s">
        <v>20454</v>
      </c>
    </row>
    <row r="7996" spans="6:8">
      <c r="F7996" t="s">
        <v>11538</v>
      </c>
      <c r="G7996" t="s">
        <v>15779</v>
      </c>
      <c r="H7996" t="s">
        <v>20454</v>
      </c>
    </row>
    <row r="7997" spans="6:8">
      <c r="F7997" t="s">
        <v>11539</v>
      </c>
      <c r="G7997" t="s">
        <v>15780</v>
      </c>
      <c r="H7997" t="s">
        <v>20454</v>
      </c>
    </row>
    <row r="7998" spans="6:8">
      <c r="F7998" t="s">
        <v>11540</v>
      </c>
      <c r="G7998" t="s">
        <v>15781</v>
      </c>
      <c r="H7998" t="s">
        <v>20454</v>
      </c>
    </row>
    <row r="7999" spans="6:8">
      <c r="F7999" t="s">
        <v>11541</v>
      </c>
      <c r="G7999" t="s">
        <v>15782</v>
      </c>
      <c r="H7999" t="s">
        <v>20454</v>
      </c>
    </row>
    <row r="8000" spans="6:8">
      <c r="F8000" t="s">
        <v>11542</v>
      </c>
      <c r="G8000" t="s">
        <v>15783</v>
      </c>
      <c r="H8000" t="s">
        <v>20454</v>
      </c>
    </row>
    <row r="8001" spans="6:8">
      <c r="F8001" t="s">
        <v>11543</v>
      </c>
      <c r="G8001" t="s">
        <v>15784</v>
      </c>
      <c r="H8001" t="s">
        <v>20454</v>
      </c>
    </row>
    <row r="8002" spans="6:8">
      <c r="F8002" t="s">
        <v>11544</v>
      </c>
      <c r="G8002" t="s">
        <v>15785</v>
      </c>
      <c r="H8002" t="s">
        <v>20454</v>
      </c>
    </row>
    <row r="8003" spans="6:8">
      <c r="F8003" t="s">
        <v>11545</v>
      </c>
      <c r="G8003" t="s">
        <v>15786</v>
      </c>
      <c r="H8003" t="s">
        <v>20454</v>
      </c>
    </row>
    <row r="8004" spans="6:8">
      <c r="F8004" t="s">
        <v>11546</v>
      </c>
      <c r="G8004" t="s">
        <v>15787</v>
      </c>
      <c r="H8004" t="s">
        <v>20454</v>
      </c>
    </row>
    <row r="8005" spans="6:8">
      <c r="F8005" t="s">
        <v>11547</v>
      </c>
      <c r="G8005" t="s">
        <v>15788</v>
      </c>
      <c r="H8005" t="s">
        <v>20454</v>
      </c>
    </row>
    <row r="8006" spans="6:8">
      <c r="F8006" t="s">
        <v>11548</v>
      </c>
      <c r="G8006" t="s">
        <v>15789</v>
      </c>
      <c r="H8006" t="s">
        <v>20454</v>
      </c>
    </row>
    <row r="8007" spans="6:8">
      <c r="F8007" t="s">
        <v>11549</v>
      </c>
      <c r="G8007" t="s">
        <v>15790</v>
      </c>
      <c r="H8007" t="s">
        <v>20454</v>
      </c>
    </row>
    <row r="8008" spans="6:8">
      <c r="F8008" t="s">
        <v>11550</v>
      </c>
      <c r="G8008" t="s">
        <v>15791</v>
      </c>
      <c r="H8008" t="s">
        <v>20454</v>
      </c>
    </row>
    <row r="8009" spans="6:8">
      <c r="F8009" t="s">
        <v>11551</v>
      </c>
      <c r="G8009" t="s">
        <v>15792</v>
      </c>
      <c r="H8009" t="s">
        <v>20454</v>
      </c>
    </row>
    <row r="8010" spans="6:8">
      <c r="F8010" t="s">
        <v>11552</v>
      </c>
      <c r="G8010" t="s">
        <v>15793</v>
      </c>
      <c r="H8010" t="s">
        <v>20454</v>
      </c>
    </row>
    <row r="8011" spans="6:8">
      <c r="F8011" t="s">
        <v>11553</v>
      </c>
      <c r="G8011" t="s">
        <v>15794</v>
      </c>
      <c r="H8011" t="s">
        <v>20454</v>
      </c>
    </row>
    <row r="8012" spans="6:8">
      <c r="F8012" t="s">
        <v>11554</v>
      </c>
      <c r="G8012" t="s">
        <v>15795</v>
      </c>
      <c r="H8012" t="s">
        <v>20454</v>
      </c>
    </row>
    <row r="8013" spans="6:8">
      <c r="F8013" t="s">
        <v>11555</v>
      </c>
      <c r="G8013" t="s">
        <v>15796</v>
      </c>
      <c r="H8013" t="s">
        <v>20454</v>
      </c>
    </row>
    <row r="8014" spans="6:8">
      <c r="F8014" t="s">
        <v>11556</v>
      </c>
      <c r="G8014" t="s">
        <v>15797</v>
      </c>
      <c r="H8014" t="s">
        <v>20454</v>
      </c>
    </row>
    <row r="8015" spans="6:8">
      <c r="F8015" t="s">
        <v>11557</v>
      </c>
      <c r="G8015" t="s">
        <v>15798</v>
      </c>
      <c r="H8015" t="s">
        <v>20454</v>
      </c>
    </row>
    <row r="8016" spans="6:8">
      <c r="F8016" t="s">
        <v>11558</v>
      </c>
      <c r="G8016" t="s">
        <v>15799</v>
      </c>
      <c r="H8016" t="s">
        <v>20454</v>
      </c>
    </row>
    <row r="8017" spans="6:8">
      <c r="F8017" t="s">
        <v>11559</v>
      </c>
      <c r="G8017" t="s">
        <v>15800</v>
      </c>
      <c r="H8017" t="s">
        <v>20454</v>
      </c>
    </row>
    <row r="8018" spans="6:8">
      <c r="F8018" t="s">
        <v>11560</v>
      </c>
      <c r="G8018" t="s">
        <v>15801</v>
      </c>
      <c r="H8018" t="s">
        <v>20454</v>
      </c>
    </row>
    <row r="8019" spans="6:8">
      <c r="F8019" t="s">
        <v>11561</v>
      </c>
      <c r="G8019" t="s">
        <v>15802</v>
      </c>
      <c r="H8019" t="s">
        <v>20454</v>
      </c>
    </row>
    <row r="8020" spans="6:8">
      <c r="F8020" t="s">
        <v>11562</v>
      </c>
      <c r="G8020" t="s">
        <v>15803</v>
      </c>
      <c r="H8020" t="s">
        <v>20454</v>
      </c>
    </row>
    <row r="8021" spans="6:8">
      <c r="F8021" t="s">
        <v>11563</v>
      </c>
      <c r="G8021" t="s">
        <v>15804</v>
      </c>
      <c r="H8021" t="s">
        <v>20454</v>
      </c>
    </row>
    <row r="8022" spans="6:8">
      <c r="F8022" t="s">
        <v>11564</v>
      </c>
      <c r="G8022" t="s">
        <v>15805</v>
      </c>
      <c r="H8022" t="s">
        <v>20454</v>
      </c>
    </row>
    <row r="8023" spans="6:8">
      <c r="F8023" t="s">
        <v>11565</v>
      </c>
      <c r="G8023" t="s">
        <v>15806</v>
      </c>
      <c r="H8023" t="s">
        <v>20454</v>
      </c>
    </row>
    <row r="8024" spans="6:8">
      <c r="F8024" t="s">
        <v>11566</v>
      </c>
      <c r="G8024" t="s">
        <v>15807</v>
      </c>
      <c r="H8024" t="s">
        <v>20454</v>
      </c>
    </row>
    <row r="8025" spans="6:8">
      <c r="F8025" t="s">
        <v>11567</v>
      </c>
      <c r="G8025" t="s">
        <v>15808</v>
      </c>
      <c r="H8025" t="s">
        <v>20454</v>
      </c>
    </row>
    <row r="8026" spans="6:8">
      <c r="F8026" t="s">
        <v>11568</v>
      </c>
      <c r="G8026" t="s">
        <v>15809</v>
      </c>
      <c r="H8026" t="s">
        <v>20454</v>
      </c>
    </row>
    <row r="8027" spans="6:8">
      <c r="F8027" t="s">
        <v>11569</v>
      </c>
      <c r="G8027" t="s">
        <v>15810</v>
      </c>
      <c r="H8027" t="s">
        <v>20454</v>
      </c>
    </row>
    <row r="8028" spans="6:8">
      <c r="F8028" t="s">
        <v>11570</v>
      </c>
      <c r="G8028" t="s">
        <v>15811</v>
      </c>
      <c r="H8028" t="s">
        <v>20454</v>
      </c>
    </row>
    <row r="8029" spans="6:8">
      <c r="F8029" t="s">
        <v>11571</v>
      </c>
      <c r="G8029" t="s">
        <v>15812</v>
      </c>
      <c r="H8029" t="s">
        <v>20454</v>
      </c>
    </row>
    <row r="8030" spans="6:8">
      <c r="F8030" t="s">
        <v>11572</v>
      </c>
      <c r="G8030" t="s">
        <v>15813</v>
      </c>
      <c r="H8030" t="s">
        <v>20454</v>
      </c>
    </row>
    <row r="8031" spans="6:8">
      <c r="F8031" t="s">
        <v>11573</v>
      </c>
      <c r="G8031" t="s">
        <v>15814</v>
      </c>
      <c r="H8031" t="s">
        <v>20454</v>
      </c>
    </row>
    <row r="8032" spans="6:8">
      <c r="F8032" t="s">
        <v>11574</v>
      </c>
      <c r="G8032" t="s">
        <v>15815</v>
      </c>
      <c r="H8032" t="s">
        <v>20454</v>
      </c>
    </row>
    <row r="8033" spans="6:8">
      <c r="F8033" t="s">
        <v>11575</v>
      </c>
      <c r="G8033" t="s">
        <v>15816</v>
      </c>
      <c r="H8033" t="s">
        <v>20454</v>
      </c>
    </row>
    <row r="8034" spans="6:8">
      <c r="F8034" t="s">
        <v>11576</v>
      </c>
      <c r="G8034" t="s">
        <v>15817</v>
      </c>
      <c r="H8034" t="s">
        <v>20454</v>
      </c>
    </row>
    <row r="8035" spans="6:8">
      <c r="F8035" t="s">
        <v>11577</v>
      </c>
      <c r="G8035" t="s">
        <v>15818</v>
      </c>
      <c r="H8035" t="s">
        <v>20454</v>
      </c>
    </row>
    <row r="8036" spans="6:8">
      <c r="F8036" t="s">
        <v>11578</v>
      </c>
      <c r="G8036" t="s">
        <v>15819</v>
      </c>
      <c r="H8036" t="s">
        <v>20454</v>
      </c>
    </row>
    <row r="8037" spans="6:8">
      <c r="F8037" t="s">
        <v>11579</v>
      </c>
      <c r="G8037" t="s">
        <v>15820</v>
      </c>
      <c r="H8037" t="s">
        <v>20454</v>
      </c>
    </row>
    <row r="8038" spans="6:8">
      <c r="F8038" t="s">
        <v>11580</v>
      </c>
      <c r="G8038" t="s">
        <v>15821</v>
      </c>
      <c r="H8038" t="s">
        <v>20454</v>
      </c>
    </row>
    <row r="8039" spans="6:8">
      <c r="F8039" t="s">
        <v>11581</v>
      </c>
      <c r="G8039" t="s">
        <v>15822</v>
      </c>
      <c r="H8039" t="s">
        <v>20454</v>
      </c>
    </row>
    <row r="8040" spans="6:8">
      <c r="F8040" t="s">
        <v>11582</v>
      </c>
      <c r="G8040" t="s">
        <v>15823</v>
      </c>
      <c r="H8040" t="s">
        <v>20454</v>
      </c>
    </row>
    <row r="8041" spans="6:8">
      <c r="F8041" t="s">
        <v>11583</v>
      </c>
      <c r="G8041" t="s">
        <v>15824</v>
      </c>
      <c r="H8041" t="s">
        <v>20454</v>
      </c>
    </row>
    <row r="8042" spans="6:8">
      <c r="F8042" t="s">
        <v>11584</v>
      </c>
      <c r="G8042" t="s">
        <v>15825</v>
      </c>
      <c r="H8042" t="s">
        <v>20454</v>
      </c>
    </row>
    <row r="8043" spans="6:8">
      <c r="F8043" t="s">
        <v>11585</v>
      </c>
      <c r="G8043" t="s">
        <v>15826</v>
      </c>
      <c r="H8043" t="s">
        <v>20454</v>
      </c>
    </row>
    <row r="8044" spans="6:8">
      <c r="F8044" t="s">
        <v>11586</v>
      </c>
      <c r="G8044" t="s">
        <v>15827</v>
      </c>
      <c r="H8044" t="s">
        <v>20454</v>
      </c>
    </row>
    <row r="8045" spans="6:8">
      <c r="F8045" t="s">
        <v>11587</v>
      </c>
      <c r="G8045" t="s">
        <v>15828</v>
      </c>
      <c r="H8045" t="s">
        <v>20454</v>
      </c>
    </row>
    <row r="8046" spans="6:8">
      <c r="F8046" t="s">
        <v>11588</v>
      </c>
      <c r="G8046" t="s">
        <v>15829</v>
      </c>
      <c r="H8046" t="s">
        <v>20454</v>
      </c>
    </row>
    <row r="8047" spans="6:8">
      <c r="F8047" t="s">
        <v>11589</v>
      </c>
      <c r="G8047" t="s">
        <v>15830</v>
      </c>
      <c r="H8047" t="s">
        <v>20454</v>
      </c>
    </row>
    <row r="8048" spans="6:8">
      <c r="F8048" t="s">
        <v>11590</v>
      </c>
      <c r="G8048" t="s">
        <v>15831</v>
      </c>
      <c r="H8048" t="s">
        <v>20454</v>
      </c>
    </row>
    <row r="8049" spans="6:8">
      <c r="F8049" t="s">
        <v>11591</v>
      </c>
      <c r="G8049" t="s">
        <v>15832</v>
      </c>
      <c r="H8049" t="s">
        <v>20454</v>
      </c>
    </row>
    <row r="8050" spans="6:8">
      <c r="F8050" t="s">
        <v>11592</v>
      </c>
      <c r="G8050" t="s">
        <v>15833</v>
      </c>
      <c r="H8050" t="s">
        <v>20454</v>
      </c>
    </row>
    <row r="8051" spans="6:8">
      <c r="F8051" t="s">
        <v>11593</v>
      </c>
      <c r="G8051" t="s">
        <v>15834</v>
      </c>
      <c r="H8051" t="s">
        <v>20454</v>
      </c>
    </row>
    <row r="8052" spans="6:8">
      <c r="F8052" t="s">
        <v>11594</v>
      </c>
      <c r="G8052" t="s">
        <v>15835</v>
      </c>
      <c r="H8052" t="s">
        <v>20454</v>
      </c>
    </row>
    <row r="8053" spans="6:8">
      <c r="F8053" t="s">
        <v>11595</v>
      </c>
      <c r="G8053" t="s">
        <v>15836</v>
      </c>
      <c r="H8053" t="s">
        <v>20454</v>
      </c>
    </row>
    <row r="8054" spans="6:8">
      <c r="F8054" t="s">
        <v>11596</v>
      </c>
      <c r="G8054" t="s">
        <v>15837</v>
      </c>
      <c r="H8054" t="s">
        <v>20454</v>
      </c>
    </row>
    <row r="8055" spans="6:8">
      <c r="F8055" t="s">
        <v>11597</v>
      </c>
      <c r="G8055" t="s">
        <v>15838</v>
      </c>
      <c r="H8055" t="s">
        <v>20454</v>
      </c>
    </row>
    <row r="8056" spans="6:8">
      <c r="F8056" t="s">
        <v>11598</v>
      </c>
      <c r="G8056" t="s">
        <v>15839</v>
      </c>
      <c r="H8056" t="s">
        <v>20454</v>
      </c>
    </row>
    <row r="8057" spans="6:8">
      <c r="F8057" t="s">
        <v>11599</v>
      </c>
      <c r="G8057" t="s">
        <v>15840</v>
      </c>
      <c r="H8057" t="s">
        <v>20454</v>
      </c>
    </row>
    <row r="8058" spans="6:8">
      <c r="F8058" t="s">
        <v>11600</v>
      </c>
      <c r="G8058" t="s">
        <v>15841</v>
      </c>
      <c r="H8058" t="s">
        <v>20454</v>
      </c>
    </row>
    <row r="8059" spans="6:8">
      <c r="F8059" t="s">
        <v>11601</v>
      </c>
      <c r="G8059" t="s">
        <v>15842</v>
      </c>
      <c r="H8059" t="s">
        <v>20454</v>
      </c>
    </row>
    <row r="8060" spans="6:8">
      <c r="F8060" t="s">
        <v>11602</v>
      </c>
      <c r="G8060" t="s">
        <v>15843</v>
      </c>
      <c r="H8060" t="s">
        <v>20454</v>
      </c>
    </row>
    <row r="8061" spans="6:8">
      <c r="F8061" t="s">
        <v>11603</v>
      </c>
      <c r="G8061" t="s">
        <v>15844</v>
      </c>
      <c r="H8061" t="s">
        <v>20454</v>
      </c>
    </row>
    <row r="8062" spans="6:8">
      <c r="F8062" t="s">
        <v>11604</v>
      </c>
      <c r="G8062" t="s">
        <v>15845</v>
      </c>
      <c r="H8062" t="s">
        <v>20454</v>
      </c>
    </row>
    <row r="8063" spans="6:8">
      <c r="F8063" t="s">
        <v>11605</v>
      </c>
      <c r="G8063" t="s">
        <v>15846</v>
      </c>
      <c r="H8063" t="s">
        <v>20454</v>
      </c>
    </row>
    <row r="8064" spans="6:8">
      <c r="F8064" t="s">
        <v>11606</v>
      </c>
      <c r="G8064" t="s">
        <v>15847</v>
      </c>
      <c r="H8064" t="s">
        <v>20454</v>
      </c>
    </row>
    <row r="8065" spans="6:8">
      <c r="F8065" t="s">
        <v>11607</v>
      </c>
      <c r="G8065" t="s">
        <v>15848</v>
      </c>
      <c r="H8065" t="s">
        <v>20454</v>
      </c>
    </row>
    <row r="8066" spans="6:8">
      <c r="F8066" t="s">
        <v>11608</v>
      </c>
      <c r="G8066" t="s">
        <v>15849</v>
      </c>
      <c r="H8066" t="s">
        <v>20454</v>
      </c>
    </row>
    <row r="8067" spans="6:8">
      <c r="F8067" t="s">
        <v>11609</v>
      </c>
      <c r="G8067" t="s">
        <v>15850</v>
      </c>
      <c r="H8067" t="s">
        <v>20454</v>
      </c>
    </row>
    <row r="8068" spans="6:8">
      <c r="F8068" t="s">
        <v>11610</v>
      </c>
      <c r="G8068" t="s">
        <v>15851</v>
      </c>
      <c r="H8068" t="s">
        <v>20454</v>
      </c>
    </row>
    <row r="8069" spans="6:8">
      <c r="F8069" t="s">
        <v>11611</v>
      </c>
      <c r="G8069" t="s">
        <v>15852</v>
      </c>
      <c r="H8069" t="s">
        <v>20454</v>
      </c>
    </row>
    <row r="8070" spans="6:8">
      <c r="F8070" t="s">
        <v>11612</v>
      </c>
      <c r="G8070" t="s">
        <v>15853</v>
      </c>
      <c r="H8070" t="s">
        <v>20454</v>
      </c>
    </row>
    <row r="8071" spans="6:8">
      <c r="F8071" t="s">
        <v>11613</v>
      </c>
      <c r="G8071" t="s">
        <v>15854</v>
      </c>
      <c r="H8071" t="s">
        <v>20454</v>
      </c>
    </row>
    <row r="8072" spans="6:8">
      <c r="F8072" t="s">
        <v>11614</v>
      </c>
      <c r="G8072" t="s">
        <v>15855</v>
      </c>
      <c r="H8072" t="s">
        <v>20454</v>
      </c>
    </row>
    <row r="8073" spans="6:8">
      <c r="F8073" t="s">
        <v>11615</v>
      </c>
      <c r="G8073" t="s">
        <v>15856</v>
      </c>
      <c r="H8073" t="s">
        <v>20454</v>
      </c>
    </row>
    <row r="8074" spans="6:8">
      <c r="F8074" t="s">
        <v>11616</v>
      </c>
      <c r="G8074" t="s">
        <v>15857</v>
      </c>
      <c r="H8074" t="s">
        <v>20454</v>
      </c>
    </row>
    <row r="8075" spans="6:8">
      <c r="F8075" t="s">
        <v>11617</v>
      </c>
      <c r="G8075" t="s">
        <v>15858</v>
      </c>
      <c r="H8075" t="s">
        <v>20454</v>
      </c>
    </row>
    <row r="8076" spans="6:8">
      <c r="F8076" t="s">
        <v>11618</v>
      </c>
      <c r="G8076" t="s">
        <v>15859</v>
      </c>
      <c r="H8076" t="s">
        <v>20454</v>
      </c>
    </row>
    <row r="8077" spans="6:8">
      <c r="F8077" t="s">
        <v>11619</v>
      </c>
      <c r="G8077" t="s">
        <v>15860</v>
      </c>
      <c r="H8077" t="s">
        <v>20454</v>
      </c>
    </row>
    <row r="8078" spans="6:8">
      <c r="F8078" t="s">
        <v>11620</v>
      </c>
      <c r="G8078" t="s">
        <v>15861</v>
      </c>
      <c r="H8078" t="s">
        <v>20454</v>
      </c>
    </row>
    <row r="8079" spans="6:8">
      <c r="F8079" t="s">
        <v>11621</v>
      </c>
      <c r="G8079" t="s">
        <v>15862</v>
      </c>
      <c r="H8079" t="s">
        <v>20454</v>
      </c>
    </row>
    <row r="8080" spans="6:8">
      <c r="F8080" t="s">
        <v>11622</v>
      </c>
      <c r="G8080" t="s">
        <v>15863</v>
      </c>
      <c r="H8080" t="s">
        <v>20454</v>
      </c>
    </row>
    <row r="8081" spans="6:8">
      <c r="F8081" t="s">
        <v>11623</v>
      </c>
      <c r="G8081" t="s">
        <v>15864</v>
      </c>
      <c r="H8081" t="s">
        <v>20454</v>
      </c>
    </row>
    <row r="8082" spans="6:8">
      <c r="F8082" t="s">
        <v>11624</v>
      </c>
      <c r="G8082" t="s">
        <v>15865</v>
      </c>
      <c r="H8082" t="s">
        <v>20454</v>
      </c>
    </row>
    <row r="8083" spans="6:8">
      <c r="F8083" t="s">
        <v>11625</v>
      </c>
      <c r="G8083" t="s">
        <v>15866</v>
      </c>
      <c r="H8083" t="s">
        <v>20454</v>
      </c>
    </row>
    <row r="8084" spans="6:8">
      <c r="F8084" t="s">
        <v>11626</v>
      </c>
      <c r="G8084" t="s">
        <v>15867</v>
      </c>
      <c r="H8084" t="s">
        <v>20454</v>
      </c>
    </row>
    <row r="8085" spans="6:8">
      <c r="F8085" t="s">
        <v>11627</v>
      </c>
      <c r="G8085" t="s">
        <v>15868</v>
      </c>
      <c r="H8085" t="s">
        <v>20454</v>
      </c>
    </row>
    <row r="8086" spans="6:8">
      <c r="F8086" t="s">
        <v>11628</v>
      </c>
      <c r="G8086" t="s">
        <v>15869</v>
      </c>
      <c r="H8086" t="s">
        <v>20454</v>
      </c>
    </row>
    <row r="8087" spans="6:8">
      <c r="F8087" t="s">
        <v>11629</v>
      </c>
      <c r="G8087" t="s">
        <v>15870</v>
      </c>
      <c r="H8087" t="s">
        <v>20454</v>
      </c>
    </row>
    <row r="8088" spans="6:8">
      <c r="F8088" t="s">
        <v>11630</v>
      </c>
      <c r="G8088" t="s">
        <v>15871</v>
      </c>
      <c r="H8088" t="s">
        <v>20454</v>
      </c>
    </row>
    <row r="8089" spans="6:8">
      <c r="F8089" t="s">
        <v>11631</v>
      </c>
      <c r="G8089" t="s">
        <v>15872</v>
      </c>
      <c r="H8089" t="s">
        <v>20454</v>
      </c>
    </row>
    <row r="8090" spans="6:8">
      <c r="F8090" t="s">
        <v>11632</v>
      </c>
      <c r="G8090" t="s">
        <v>15873</v>
      </c>
      <c r="H8090" t="s">
        <v>20454</v>
      </c>
    </row>
    <row r="8091" spans="6:8">
      <c r="F8091" t="s">
        <v>11633</v>
      </c>
      <c r="G8091" t="s">
        <v>15874</v>
      </c>
      <c r="H8091" t="s">
        <v>20454</v>
      </c>
    </row>
    <row r="8092" spans="6:8">
      <c r="F8092" t="s">
        <v>11634</v>
      </c>
      <c r="G8092" t="s">
        <v>15875</v>
      </c>
      <c r="H8092" t="s">
        <v>20454</v>
      </c>
    </row>
    <row r="8093" spans="6:8">
      <c r="F8093" t="s">
        <v>11635</v>
      </c>
      <c r="G8093" t="s">
        <v>15876</v>
      </c>
      <c r="H8093" t="s">
        <v>20454</v>
      </c>
    </row>
    <row r="8094" spans="6:8">
      <c r="F8094" t="s">
        <v>11636</v>
      </c>
      <c r="G8094" t="s">
        <v>15877</v>
      </c>
      <c r="H8094" t="s">
        <v>20454</v>
      </c>
    </row>
    <row r="8095" spans="6:8">
      <c r="F8095" t="s">
        <v>11637</v>
      </c>
      <c r="G8095" t="s">
        <v>15878</v>
      </c>
      <c r="H8095" t="s">
        <v>20454</v>
      </c>
    </row>
    <row r="8096" spans="6:8">
      <c r="F8096" t="s">
        <v>11638</v>
      </c>
      <c r="G8096" t="s">
        <v>15879</v>
      </c>
      <c r="H8096" t="s">
        <v>20454</v>
      </c>
    </row>
    <row r="8097" spans="6:8">
      <c r="F8097" t="s">
        <v>11639</v>
      </c>
      <c r="G8097" t="s">
        <v>15880</v>
      </c>
      <c r="H8097" t="s">
        <v>20454</v>
      </c>
    </row>
    <row r="8098" spans="6:8">
      <c r="F8098" t="s">
        <v>11640</v>
      </c>
      <c r="G8098" t="s">
        <v>15881</v>
      </c>
      <c r="H8098" t="s">
        <v>20454</v>
      </c>
    </row>
    <row r="8099" spans="6:8">
      <c r="F8099" t="s">
        <v>11641</v>
      </c>
      <c r="G8099" t="s">
        <v>15882</v>
      </c>
      <c r="H8099" t="s">
        <v>20454</v>
      </c>
    </row>
    <row r="8100" spans="6:8">
      <c r="F8100" t="s">
        <v>11642</v>
      </c>
      <c r="G8100" t="s">
        <v>15883</v>
      </c>
      <c r="H8100" t="s">
        <v>20454</v>
      </c>
    </row>
    <row r="8101" spans="6:8">
      <c r="F8101" t="s">
        <v>11643</v>
      </c>
      <c r="G8101" t="s">
        <v>15884</v>
      </c>
      <c r="H8101" t="s">
        <v>20454</v>
      </c>
    </row>
    <row r="8102" spans="6:8">
      <c r="F8102" t="s">
        <v>11644</v>
      </c>
      <c r="G8102" t="s">
        <v>15885</v>
      </c>
      <c r="H8102" t="s">
        <v>20454</v>
      </c>
    </row>
    <row r="8103" spans="6:8">
      <c r="F8103" t="s">
        <v>11645</v>
      </c>
      <c r="G8103" t="s">
        <v>15886</v>
      </c>
      <c r="H8103" t="s">
        <v>20454</v>
      </c>
    </row>
    <row r="8104" spans="6:8">
      <c r="F8104" t="s">
        <v>11646</v>
      </c>
      <c r="G8104" t="s">
        <v>15887</v>
      </c>
      <c r="H8104" t="s">
        <v>20454</v>
      </c>
    </row>
    <row r="8105" spans="6:8">
      <c r="F8105" t="s">
        <v>11647</v>
      </c>
      <c r="G8105" t="s">
        <v>15888</v>
      </c>
      <c r="H8105" t="s">
        <v>20454</v>
      </c>
    </row>
    <row r="8106" spans="6:8">
      <c r="F8106" t="s">
        <v>11648</v>
      </c>
      <c r="G8106" t="s">
        <v>15889</v>
      </c>
      <c r="H8106" t="s">
        <v>20454</v>
      </c>
    </row>
    <row r="8107" spans="6:8">
      <c r="F8107" t="s">
        <v>11649</v>
      </c>
      <c r="G8107" t="s">
        <v>15890</v>
      </c>
      <c r="H8107" t="s">
        <v>20454</v>
      </c>
    </row>
    <row r="8108" spans="6:8">
      <c r="F8108" t="s">
        <v>11650</v>
      </c>
      <c r="G8108" t="s">
        <v>15891</v>
      </c>
      <c r="H8108" t="s">
        <v>20454</v>
      </c>
    </row>
    <row r="8109" spans="6:8">
      <c r="F8109" t="s">
        <v>11651</v>
      </c>
      <c r="G8109" t="s">
        <v>15892</v>
      </c>
      <c r="H8109" t="s">
        <v>20454</v>
      </c>
    </row>
    <row r="8110" spans="6:8">
      <c r="F8110" t="s">
        <v>11652</v>
      </c>
      <c r="G8110" t="s">
        <v>15893</v>
      </c>
      <c r="H8110" t="s">
        <v>20454</v>
      </c>
    </row>
    <row r="8111" spans="6:8">
      <c r="F8111" t="s">
        <v>11653</v>
      </c>
      <c r="G8111" t="s">
        <v>15894</v>
      </c>
      <c r="H8111" t="s">
        <v>20454</v>
      </c>
    </row>
    <row r="8112" spans="6:8">
      <c r="F8112" t="s">
        <v>11654</v>
      </c>
      <c r="G8112" t="s">
        <v>15895</v>
      </c>
      <c r="H8112" t="s">
        <v>20454</v>
      </c>
    </row>
    <row r="8113" spans="6:8">
      <c r="F8113" t="s">
        <v>11655</v>
      </c>
      <c r="G8113" t="s">
        <v>15896</v>
      </c>
      <c r="H8113" t="s">
        <v>20454</v>
      </c>
    </row>
    <row r="8114" spans="6:8">
      <c r="F8114" t="s">
        <v>11656</v>
      </c>
      <c r="G8114" t="s">
        <v>15897</v>
      </c>
      <c r="H8114" t="s">
        <v>20454</v>
      </c>
    </row>
    <row r="8115" spans="6:8">
      <c r="F8115" t="s">
        <v>11657</v>
      </c>
      <c r="G8115" t="s">
        <v>15898</v>
      </c>
      <c r="H8115" t="s">
        <v>20454</v>
      </c>
    </row>
    <row r="8116" spans="6:8">
      <c r="F8116" t="s">
        <v>11658</v>
      </c>
      <c r="G8116" t="s">
        <v>15899</v>
      </c>
      <c r="H8116" t="s">
        <v>20454</v>
      </c>
    </row>
    <row r="8117" spans="6:8">
      <c r="F8117" t="s">
        <v>11659</v>
      </c>
      <c r="G8117" t="s">
        <v>15900</v>
      </c>
      <c r="H8117" t="s">
        <v>20454</v>
      </c>
    </row>
    <row r="8118" spans="6:8">
      <c r="F8118" t="s">
        <v>11660</v>
      </c>
      <c r="G8118" t="s">
        <v>15901</v>
      </c>
      <c r="H8118" t="s">
        <v>20454</v>
      </c>
    </row>
    <row r="8119" spans="6:8">
      <c r="F8119" t="s">
        <v>11661</v>
      </c>
      <c r="G8119" t="s">
        <v>15902</v>
      </c>
      <c r="H8119" t="s">
        <v>20454</v>
      </c>
    </row>
    <row r="8120" spans="6:8">
      <c r="F8120" t="s">
        <v>11662</v>
      </c>
      <c r="G8120" t="s">
        <v>15903</v>
      </c>
      <c r="H8120" t="s">
        <v>20454</v>
      </c>
    </row>
    <row r="8121" spans="6:8">
      <c r="F8121" t="s">
        <v>11663</v>
      </c>
      <c r="G8121" t="s">
        <v>15904</v>
      </c>
      <c r="H8121" t="s">
        <v>20454</v>
      </c>
    </row>
    <row r="8122" spans="6:8">
      <c r="F8122" t="s">
        <v>11664</v>
      </c>
      <c r="G8122" t="s">
        <v>15905</v>
      </c>
      <c r="H8122" t="s">
        <v>20454</v>
      </c>
    </row>
    <row r="8123" spans="6:8">
      <c r="F8123" t="s">
        <v>11665</v>
      </c>
      <c r="G8123" t="s">
        <v>15906</v>
      </c>
      <c r="H8123" t="s">
        <v>20454</v>
      </c>
    </row>
    <row r="8124" spans="6:8">
      <c r="F8124" t="s">
        <v>11666</v>
      </c>
      <c r="G8124" t="s">
        <v>15907</v>
      </c>
      <c r="H8124" t="s">
        <v>20454</v>
      </c>
    </row>
    <row r="8125" spans="6:8">
      <c r="F8125" t="s">
        <v>11667</v>
      </c>
      <c r="G8125" t="s">
        <v>15908</v>
      </c>
      <c r="H8125" t="s">
        <v>20454</v>
      </c>
    </row>
    <row r="8126" spans="6:8">
      <c r="F8126" t="s">
        <v>11668</v>
      </c>
      <c r="G8126" t="s">
        <v>15909</v>
      </c>
      <c r="H8126" t="s">
        <v>20454</v>
      </c>
    </row>
    <row r="8127" spans="6:8">
      <c r="F8127" t="s">
        <v>11669</v>
      </c>
      <c r="G8127" t="s">
        <v>15910</v>
      </c>
      <c r="H8127" t="s">
        <v>20454</v>
      </c>
    </row>
    <row r="8128" spans="6:8">
      <c r="F8128" t="s">
        <v>11670</v>
      </c>
      <c r="G8128" t="s">
        <v>15911</v>
      </c>
      <c r="H8128" t="s">
        <v>20454</v>
      </c>
    </row>
    <row r="8129" spans="6:8">
      <c r="F8129" t="s">
        <v>11671</v>
      </c>
      <c r="G8129" t="s">
        <v>15912</v>
      </c>
      <c r="H8129" t="s">
        <v>20454</v>
      </c>
    </row>
    <row r="8130" spans="6:8">
      <c r="F8130" t="s">
        <v>11672</v>
      </c>
      <c r="G8130" t="s">
        <v>15913</v>
      </c>
      <c r="H8130" t="s">
        <v>20454</v>
      </c>
    </row>
    <row r="8131" spans="6:8">
      <c r="F8131" t="s">
        <v>11673</v>
      </c>
      <c r="G8131" t="s">
        <v>15914</v>
      </c>
      <c r="H8131" t="s">
        <v>20454</v>
      </c>
    </row>
    <row r="8132" spans="6:8">
      <c r="F8132" t="s">
        <v>11674</v>
      </c>
      <c r="G8132" t="s">
        <v>15915</v>
      </c>
      <c r="H8132" t="s">
        <v>20454</v>
      </c>
    </row>
    <row r="8133" spans="6:8">
      <c r="F8133" t="s">
        <v>11675</v>
      </c>
      <c r="G8133" t="s">
        <v>15916</v>
      </c>
      <c r="H8133" t="s">
        <v>20454</v>
      </c>
    </row>
    <row r="8134" spans="6:8">
      <c r="F8134" t="s">
        <v>11676</v>
      </c>
      <c r="G8134" t="s">
        <v>15917</v>
      </c>
      <c r="H8134" t="s">
        <v>20454</v>
      </c>
    </row>
    <row r="8135" spans="6:8">
      <c r="F8135" t="s">
        <v>11677</v>
      </c>
      <c r="G8135" t="s">
        <v>15918</v>
      </c>
      <c r="H8135" t="s">
        <v>20454</v>
      </c>
    </row>
    <row r="8136" spans="6:8">
      <c r="F8136" t="s">
        <v>11678</v>
      </c>
      <c r="G8136" t="s">
        <v>15919</v>
      </c>
      <c r="H8136" t="s">
        <v>20454</v>
      </c>
    </row>
    <row r="8137" spans="6:8">
      <c r="F8137" t="s">
        <v>11679</v>
      </c>
      <c r="G8137" t="s">
        <v>15920</v>
      </c>
      <c r="H8137" t="s">
        <v>20454</v>
      </c>
    </row>
    <row r="8138" spans="6:8">
      <c r="F8138" t="s">
        <v>11680</v>
      </c>
      <c r="G8138" t="s">
        <v>15921</v>
      </c>
      <c r="H8138" t="s">
        <v>20454</v>
      </c>
    </row>
    <row r="8139" spans="6:8">
      <c r="F8139" t="s">
        <v>11681</v>
      </c>
      <c r="G8139" t="s">
        <v>15922</v>
      </c>
      <c r="H8139" t="s">
        <v>20454</v>
      </c>
    </row>
    <row r="8140" spans="6:8">
      <c r="F8140" t="s">
        <v>11682</v>
      </c>
      <c r="G8140" t="s">
        <v>15923</v>
      </c>
      <c r="H8140" t="s">
        <v>20454</v>
      </c>
    </row>
    <row r="8141" spans="6:8">
      <c r="F8141" t="s">
        <v>11683</v>
      </c>
      <c r="G8141" t="s">
        <v>15924</v>
      </c>
      <c r="H8141" t="s">
        <v>20454</v>
      </c>
    </row>
    <row r="8142" spans="6:8">
      <c r="F8142" t="s">
        <v>11684</v>
      </c>
      <c r="G8142" t="s">
        <v>15925</v>
      </c>
      <c r="H8142" t="s">
        <v>20454</v>
      </c>
    </row>
    <row r="8143" spans="6:8">
      <c r="F8143" t="s">
        <v>11685</v>
      </c>
      <c r="G8143" t="s">
        <v>15926</v>
      </c>
      <c r="H8143" t="s">
        <v>20454</v>
      </c>
    </row>
    <row r="8144" spans="6:8">
      <c r="F8144" t="s">
        <v>11686</v>
      </c>
      <c r="G8144" t="s">
        <v>15927</v>
      </c>
      <c r="H8144" t="s">
        <v>20454</v>
      </c>
    </row>
    <row r="8145" spans="6:8">
      <c r="F8145" t="s">
        <v>11687</v>
      </c>
      <c r="G8145" t="s">
        <v>15928</v>
      </c>
      <c r="H8145" t="s">
        <v>20454</v>
      </c>
    </row>
    <row r="8146" spans="6:8">
      <c r="F8146" t="s">
        <v>11688</v>
      </c>
      <c r="G8146" t="s">
        <v>15929</v>
      </c>
      <c r="H8146" t="s">
        <v>20454</v>
      </c>
    </row>
    <row r="8147" spans="6:8">
      <c r="F8147" t="s">
        <v>11689</v>
      </c>
      <c r="G8147" t="s">
        <v>15930</v>
      </c>
      <c r="H8147" t="s">
        <v>20454</v>
      </c>
    </row>
    <row r="8148" spans="6:8">
      <c r="F8148" t="s">
        <v>11690</v>
      </c>
      <c r="G8148" t="s">
        <v>15931</v>
      </c>
      <c r="H8148" t="s">
        <v>20454</v>
      </c>
    </row>
    <row r="8149" spans="6:8">
      <c r="F8149" t="s">
        <v>11691</v>
      </c>
      <c r="G8149" t="s">
        <v>15932</v>
      </c>
      <c r="H8149" t="s">
        <v>20454</v>
      </c>
    </row>
    <row r="8150" spans="6:8">
      <c r="F8150" t="s">
        <v>11692</v>
      </c>
      <c r="G8150" t="s">
        <v>15933</v>
      </c>
      <c r="H8150" t="s">
        <v>20454</v>
      </c>
    </row>
    <row r="8151" spans="6:8">
      <c r="F8151" t="s">
        <v>11693</v>
      </c>
      <c r="G8151" t="s">
        <v>15934</v>
      </c>
      <c r="H8151" t="s">
        <v>20454</v>
      </c>
    </row>
    <row r="8152" spans="6:8">
      <c r="F8152" t="s">
        <v>11694</v>
      </c>
      <c r="G8152" t="s">
        <v>15935</v>
      </c>
      <c r="H8152" t="s">
        <v>20454</v>
      </c>
    </row>
    <row r="8153" spans="6:8">
      <c r="F8153" t="s">
        <v>11695</v>
      </c>
      <c r="G8153" t="s">
        <v>15936</v>
      </c>
      <c r="H8153" t="s">
        <v>20454</v>
      </c>
    </row>
    <row r="8154" spans="6:8">
      <c r="F8154" t="s">
        <v>11696</v>
      </c>
      <c r="G8154" t="s">
        <v>15937</v>
      </c>
      <c r="H8154" t="s">
        <v>20454</v>
      </c>
    </row>
    <row r="8155" spans="6:8">
      <c r="F8155" t="s">
        <v>11697</v>
      </c>
      <c r="G8155" t="s">
        <v>15938</v>
      </c>
      <c r="H8155" t="s">
        <v>20454</v>
      </c>
    </row>
    <row r="8156" spans="6:8">
      <c r="F8156" t="s">
        <v>11698</v>
      </c>
      <c r="G8156" t="s">
        <v>15939</v>
      </c>
      <c r="H8156" t="s">
        <v>20454</v>
      </c>
    </row>
    <row r="8157" spans="6:8">
      <c r="F8157" t="s">
        <v>11699</v>
      </c>
      <c r="G8157" t="s">
        <v>15940</v>
      </c>
      <c r="H8157" t="s">
        <v>20454</v>
      </c>
    </row>
    <row r="8158" spans="6:8">
      <c r="F8158" t="s">
        <v>11700</v>
      </c>
      <c r="G8158" t="s">
        <v>15941</v>
      </c>
      <c r="H8158" t="s">
        <v>20454</v>
      </c>
    </row>
    <row r="8159" spans="6:8">
      <c r="F8159" t="s">
        <v>11701</v>
      </c>
      <c r="G8159" t="s">
        <v>15942</v>
      </c>
      <c r="H8159" t="s">
        <v>20454</v>
      </c>
    </row>
    <row r="8160" spans="6:8">
      <c r="F8160" t="s">
        <v>11702</v>
      </c>
      <c r="G8160" t="s">
        <v>15943</v>
      </c>
      <c r="H8160" t="s">
        <v>20454</v>
      </c>
    </row>
    <row r="8161" spans="6:8">
      <c r="F8161" t="s">
        <v>11703</v>
      </c>
      <c r="G8161" t="s">
        <v>15944</v>
      </c>
      <c r="H8161" t="s">
        <v>20454</v>
      </c>
    </row>
    <row r="8162" spans="6:8">
      <c r="F8162" t="s">
        <v>11704</v>
      </c>
      <c r="G8162" t="s">
        <v>15945</v>
      </c>
      <c r="H8162" t="s">
        <v>20454</v>
      </c>
    </row>
    <row r="8163" spans="6:8">
      <c r="F8163" t="s">
        <v>11705</v>
      </c>
      <c r="G8163" t="s">
        <v>15946</v>
      </c>
      <c r="H8163" t="s">
        <v>20454</v>
      </c>
    </row>
    <row r="8164" spans="6:8">
      <c r="F8164" t="s">
        <v>11706</v>
      </c>
      <c r="G8164" t="s">
        <v>15947</v>
      </c>
      <c r="H8164" t="s">
        <v>20454</v>
      </c>
    </row>
    <row r="8165" spans="6:8">
      <c r="F8165" t="s">
        <v>11707</v>
      </c>
      <c r="G8165" t="s">
        <v>15948</v>
      </c>
      <c r="H8165" t="s">
        <v>20454</v>
      </c>
    </row>
    <row r="8166" spans="6:8">
      <c r="F8166" t="s">
        <v>11708</v>
      </c>
      <c r="G8166" t="s">
        <v>15949</v>
      </c>
      <c r="H8166" t="s">
        <v>20454</v>
      </c>
    </row>
    <row r="8167" spans="6:8">
      <c r="F8167" t="s">
        <v>11709</v>
      </c>
      <c r="G8167" t="s">
        <v>15950</v>
      </c>
      <c r="H8167" t="s">
        <v>20454</v>
      </c>
    </row>
    <row r="8168" spans="6:8">
      <c r="F8168" t="s">
        <v>11710</v>
      </c>
      <c r="G8168" t="s">
        <v>15951</v>
      </c>
      <c r="H8168" t="s">
        <v>20454</v>
      </c>
    </row>
    <row r="8169" spans="6:8">
      <c r="F8169" t="s">
        <v>11711</v>
      </c>
      <c r="G8169" t="s">
        <v>15952</v>
      </c>
      <c r="H8169" t="s">
        <v>20454</v>
      </c>
    </row>
    <row r="8170" spans="6:8">
      <c r="F8170" t="s">
        <v>11712</v>
      </c>
      <c r="G8170" t="s">
        <v>15953</v>
      </c>
      <c r="H8170" t="s">
        <v>20454</v>
      </c>
    </row>
    <row r="8171" spans="6:8">
      <c r="F8171" t="s">
        <v>11713</v>
      </c>
      <c r="G8171" t="s">
        <v>15954</v>
      </c>
      <c r="H8171" t="s">
        <v>20454</v>
      </c>
    </row>
    <row r="8172" spans="6:8">
      <c r="F8172" t="s">
        <v>11714</v>
      </c>
      <c r="G8172" t="s">
        <v>15955</v>
      </c>
      <c r="H8172" t="s">
        <v>20454</v>
      </c>
    </row>
    <row r="8173" spans="6:8">
      <c r="F8173" t="s">
        <v>11715</v>
      </c>
      <c r="G8173" t="s">
        <v>15956</v>
      </c>
      <c r="H8173" t="s">
        <v>20454</v>
      </c>
    </row>
    <row r="8174" spans="6:8">
      <c r="F8174" t="s">
        <v>11716</v>
      </c>
      <c r="G8174" t="s">
        <v>15957</v>
      </c>
      <c r="H8174" t="s">
        <v>20454</v>
      </c>
    </row>
    <row r="8175" spans="6:8">
      <c r="F8175" t="s">
        <v>11717</v>
      </c>
      <c r="G8175" t="s">
        <v>15958</v>
      </c>
      <c r="H8175" t="s">
        <v>20454</v>
      </c>
    </row>
    <row r="8176" spans="6:8">
      <c r="F8176" t="s">
        <v>11718</v>
      </c>
      <c r="G8176" t="s">
        <v>15959</v>
      </c>
      <c r="H8176" t="s">
        <v>20454</v>
      </c>
    </row>
    <row r="8177" spans="6:8">
      <c r="F8177" t="s">
        <v>11719</v>
      </c>
      <c r="G8177" t="s">
        <v>15960</v>
      </c>
      <c r="H8177" t="s">
        <v>20454</v>
      </c>
    </row>
    <row r="8178" spans="6:8">
      <c r="F8178" t="s">
        <v>11720</v>
      </c>
      <c r="G8178" t="s">
        <v>15961</v>
      </c>
      <c r="H8178" t="s">
        <v>20454</v>
      </c>
    </row>
    <row r="8179" spans="6:8">
      <c r="F8179" t="s">
        <v>11721</v>
      </c>
      <c r="G8179" t="s">
        <v>15962</v>
      </c>
      <c r="H8179" t="s">
        <v>20454</v>
      </c>
    </row>
    <row r="8180" spans="6:8">
      <c r="F8180" t="s">
        <v>11722</v>
      </c>
      <c r="G8180" t="s">
        <v>15963</v>
      </c>
      <c r="H8180" t="s">
        <v>20454</v>
      </c>
    </row>
    <row r="8181" spans="6:8">
      <c r="F8181" t="s">
        <v>11723</v>
      </c>
      <c r="G8181" t="s">
        <v>15964</v>
      </c>
      <c r="H8181" t="s">
        <v>20454</v>
      </c>
    </row>
    <row r="8182" spans="6:8">
      <c r="F8182" t="s">
        <v>11724</v>
      </c>
      <c r="G8182" t="s">
        <v>15965</v>
      </c>
      <c r="H8182" t="s">
        <v>20454</v>
      </c>
    </row>
    <row r="8183" spans="6:8">
      <c r="F8183" t="s">
        <v>11725</v>
      </c>
      <c r="G8183" t="s">
        <v>15966</v>
      </c>
      <c r="H8183" t="s">
        <v>20454</v>
      </c>
    </row>
    <row r="8184" spans="6:8">
      <c r="F8184" t="s">
        <v>11726</v>
      </c>
      <c r="G8184" t="s">
        <v>15967</v>
      </c>
      <c r="H8184" t="s">
        <v>20454</v>
      </c>
    </row>
    <row r="8185" spans="6:8">
      <c r="F8185" t="s">
        <v>11727</v>
      </c>
      <c r="G8185" t="s">
        <v>15968</v>
      </c>
      <c r="H8185" t="s">
        <v>20454</v>
      </c>
    </row>
    <row r="8186" spans="6:8">
      <c r="F8186" t="s">
        <v>11728</v>
      </c>
      <c r="G8186" t="s">
        <v>15969</v>
      </c>
      <c r="H8186" t="s">
        <v>20454</v>
      </c>
    </row>
    <row r="8187" spans="6:8">
      <c r="F8187" t="s">
        <v>11729</v>
      </c>
      <c r="G8187" t="s">
        <v>15970</v>
      </c>
      <c r="H8187" t="s">
        <v>20454</v>
      </c>
    </row>
    <row r="8188" spans="6:8">
      <c r="F8188" t="s">
        <v>11730</v>
      </c>
      <c r="G8188" t="s">
        <v>15971</v>
      </c>
      <c r="H8188" t="s">
        <v>20454</v>
      </c>
    </row>
    <row r="8189" spans="6:8">
      <c r="F8189" t="s">
        <v>11731</v>
      </c>
      <c r="G8189" t="s">
        <v>15972</v>
      </c>
      <c r="H8189" t="s">
        <v>20454</v>
      </c>
    </row>
    <row r="8190" spans="6:8">
      <c r="F8190" t="s">
        <v>11732</v>
      </c>
      <c r="G8190" t="s">
        <v>15973</v>
      </c>
      <c r="H8190" t="s">
        <v>20454</v>
      </c>
    </row>
    <row r="8191" spans="6:8">
      <c r="F8191" t="s">
        <v>11733</v>
      </c>
      <c r="G8191" t="s">
        <v>15974</v>
      </c>
      <c r="H8191" t="s">
        <v>20454</v>
      </c>
    </row>
    <row r="8192" spans="6:8">
      <c r="F8192" t="s">
        <v>11734</v>
      </c>
      <c r="G8192" t="s">
        <v>15975</v>
      </c>
      <c r="H8192" t="s">
        <v>20454</v>
      </c>
    </row>
    <row r="8193" spans="6:8">
      <c r="F8193" t="s">
        <v>11735</v>
      </c>
      <c r="G8193" t="s">
        <v>15976</v>
      </c>
      <c r="H8193" t="s">
        <v>20454</v>
      </c>
    </row>
    <row r="8194" spans="6:8">
      <c r="F8194" t="s">
        <v>11736</v>
      </c>
      <c r="G8194" t="s">
        <v>15977</v>
      </c>
      <c r="H8194" t="s">
        <v>20454</v>
      </c>
    </row>
    <row r="8195" spans="6:8">
      <c r="F8195" t="s">
        <v>11737</v>
      </c>
      <c r="G8195" t="s">
        <v>15978</v>
      </c>
      <c r="H8195" t="s">
        <v>20454</v>
      </c>
    </row>
    <row r="8196" spans="6:8">
      <c r="F8196" t="s">
        <v>11738</v>
      </c>
      <c r="G8196" t="s">
        <v>15979</v>
      </c>
      <c r="H8196" t="s">
        <v>20454</v>
      </c>
    </row>
    <row r="8197" spans="6:8">
      <c r="F8197" t="s">
        <v>11739</v>
      </c>
      <c r="G8197" t="s">
        <v>15980</v>
      </c>
      <c r="H8197" t="s">
        <v>20454</v>
      </c>
    </row>
    <row r="8198" spans="6:8">
      <c r="F8198" t="s">
        <v>11740</v>
      </c>
      <c r="G8198" t="s">
        <v>15981</v>
      </c>
      <c r="H8198" t="s">
        <v>20454</v>
      </c>
    </row>
    <row r="8199" spans="6:8">
      <c r="F8199" t="s">
        <v>11741</v>
      </c>
      <c r="G8199" t="s">
        <v>15982</v>
      </c>
      <c r="H8199" t="s">
        <v>20454</v>
      </c>
    </row>
    <row r="8200" spans="6:8">
      <c r="F8200" t="s">
        <v>11742</v>
      </c>
      <c r="G8200" t="s">
        <v>15983</v>
      </c>
      <c r="H8200" t="s">
        <v>20454</v>
      </c>
    </row>
    <row r="8201" spans="6:8">
      <c r="F8201" t="s">
        <v>11743</v>
      </c>
      <c r="G8201" t="s">
        <v>15984</v>
      </c>
      <c r="H8201" t="s">
        <v>20454</v>
      </c>
    </row>
    <row r="8202" spans="6:8">
      <c r="F8202" t="s">
        <v>11744</v>
      </c>
      <c r="G8202" t="s">
        <v>15985</v>
      </c>
      <c r="H8202" t="s">
        <v>20454</v>
      </c>
    </row>
    <row r="8203" spans="6:8">
      <c r="F8203" t="s">
        <v>11745</v>
      </c>
      <c r="G8203" t="s">
        <v>15986</v>
      </c>
      <c r="H8203" t="s">
        <v>20454</v>
      </c>
    </row>
    <row r="8204" spans="6:8">
      <c r="F8204" t="s">
        <v>11746</v>
      </c>
      <c r="G8204" t="s">
        <v>15987</v>
      </c>
      <c r="H8204" t="s">
        <v>20454</v>
      </c>
    </row>
    <row r="8205" spans="6:8">
      <c r="F8205" t="s">
        <v>11747</v>
      </c>
      <c r="G8205" t="s">
        <v>15988</v>
      </c>
      <c r="H8205" t="s">
        <v>20454</v>
      </c>
    </row>
    <row r="8206" spans="6:8">
      <c r="F8206" t="s">
        <v>11748</v>
      </c>
      <c r="G8206" t="s">
        <v>15989</v>
      </c>
      <c r="H8206" t="s">
        <v>20454</v>
      </c>
    </row>
    <row r="8207" spans="6:8">
      <c r="F8207" t="s">
        <v>11749</v>
      </c>
      <c r="G8207" t="s">
        <v>15990</v>
      </c>
      <c r="H8207" t="s">
        <v>20454</v>
      </c>
    </row>
    <row r="8208" spans="6:8">
      <c r="F8208" t="s">
        <v>11750</v>
      </c>
      <c r="G8208" t="s">
        <v>15991</v>
      </c>
      <c r="H8208" t="s">
        <v>20454</v>
      </c>
    </row>
    <row r="8209" spans="6:8">
      <c r="F8209" t="s">
        <v>11751</v>
      </c>
      <c r="G8209" t="s">
        <v>15992</v>
      </c>
      <c r="H8209" t="s">
        <v>20454</v>
      </c>
    </row>
    <row r="8210" spans="6:8">
      <c r="F8210" t="s">
        <v>11752</v>
      </c>
      <c r="G8210" t="s">
        <v>15993</v>
      </c>
      <c r="H8210" t="s">
        <v>20454</v>
      </c>
    </row>
    <row r="8211" spans="6:8">
      <c r="F8211" t="s">
        <v>11753</v>
      </c>
      <c r="G8211" t="s">
        <v>15994</v>
      </c>
      <c r="H8211" t="s">
        <v>20454</v>
      </c>
    </row>
    <row r="8212" spans="6:8">
      <c r="F8212" t="s">
        <v>11754</v>
      </c>
      <c r="G8212" t="s">
        <v>15995</v>
      </c>
      <c r="H8212" t="s">
        <v>20454</v>
      </c>
    </row>
    <row r="8213" spans="6:8">
      <c r="F8213" t="s">
        <v>11755</v>
      </c>
      <c r="G8213" t="s">
        <v>15996</v>
      </c>
      <c r="H8213" t="s">
        <v>20454</v>
      </c>
    </row>
    <row r="8214" spans="6:8">
      <c r="F8214" t="s">
        <v>11756</v>
      </c>
      <c r="G8214" t="s">
        <v>15997</v>
      </c>
      <c r="H8214" t="s">
        <v>20454</v>
      </c>
    </row>
    <row r="8215" spans="6:8">
      <c r="F8215" t="s">
        <v>11757</v>
      </c>
      <c r="G8215" t="s">
        <v>15998</v>
      </c>
      <c r="H8215" t="s">
        <v>20454</v>
      </c>
    </row>
    <row r="8216" spans="6:8">
      <c r="F8216" t="s">
        <v>11758</v>
      </c>
      <c r="G8216" t="s">
        <v>15999</v>
      </c>
      <c r="H8216" t="s">
        <v>20454</v>
      </c>
    </row>
    <row r="8217" spans="6:8">
      <c r="F8217" t="s">
        <v>11759</v>
      </c>
      <c r="G8217" t="s">
        <v>16000</v>
      </c>
      <c r="H8217" t="s">
        <v>20454</v>
      </c>
    </row>
    <row r="8218" spans="6:8">
      <c r="F8218" t="s">
        <v>11760</v>
      </c>
      <c r="G8218" t="s">
        <v>16001</v>
      </c>
      <c r="H8218" t="s">
        <v>20454</v>
      </c>
    </row>
    <row r="8219" spans="6:8">
      <c r="F8219" t="s">
        <v>11761</v>
      </c>
      <c r="G8219" t="s">
        <v>16002</v>
      </c>
      <c r="H8219" t="s">
        <v>20454</v>
      </c>
    </row>
    <row r="8220" spans="6:8">
      <c r="F8220" t="s">
        <v>11762</v>
      </c>
      <c r="G8220" t="s">
        <v>16003</v>
      </c>
      <c r="H8220" t="s">
        <v>20454</v>
      </c>
    </row>
    <row r="8221" spans="6:8">
      <c r="F8221" t="s">
        <v>11763</v>
      </c>
      <c r="G8221" t="s">
        <v>16004</v>
      </c>
      <c r="H8221" t="s">
        <v>20454</v>
      </c>
    </row>
    <row r="8222" spans="6:8">
      <c r="F8222" t="s">
        <v>11764</v>
      </c>
      <c r="G8222" t="s">
        <v>16005</v>
      </c>
      <c r="H8222" t="s">
        <v>20454</v>
      </c>
    </row>
    <row r="8223" spans="6:8">
      <c r="F8223" t="s">
        <v>11765</v>
      </c>
      <c r="G8223" t="s">
        <v>16006</v>
      </c>
      <c r="H8223" t="s">
        <v>20454</v>
      </c>
    </row>
    <row r="8224" spans="6:8">
      <c r="F8224" t="s">
        <v>11766</v>
      </c>
      <c r="G8224" t="s">
        <v>16007</v>
      </c>
      <c r="H8224" t="s">
        <v>20454</v>
      </c>
    </row>
    <row r="8225" spans="6:8">
      <c r="F8225" t="s">
        <v>11767</v>
      </c>
      <c r="G8225" t="s">
        <v>16008</v>
      </c>
      <c r="H8225" t="s">
        <v>20454</v>
      </c>
    </row>
    <row r="8226" spans="6:8">
      <c r="F8226" t="s">
        <v>11768</v>
      </c>
      <c r="G8226" t="s">
        <v>16009</v>
      </c>
      <c r="H8226" t="s">
        <v>20454</v>
      </c>
    </row>
    <row r="8227" spans="6:8">
      <c r="F8227" t="s">
        <v>11769</v>
      </c>
      <c r="G8227" t="s">
        <v>16010</v>
      </c>
      <c r="H8227" t="s">
        <v>20454</v>
      </c>
    </row>
    <row r="8228" spans="6:8">
      <c r="F8228" t="s">
        <v>11770</v>
      </c>
      <c r="G8228" t="s">
        <v>16011</v>
      </c>
      <c r="H8228" t="s">
        <v>20454</v>
      </c>
    </row>
    <row r="8229" spans="6:8">
      <c r="F8229" t="s">
        <v>11771</v>
      </c>
      <c r="G8229" t="s">
        <v>16012</v>
      </c>
      <c r="H8229" t="s">
        <v>20454</v>
      </c>
    </row>
    <row r="8230" spans="6:8">
      <c r="F8230" t="s">
        <v>11772</v>
      </c>
      <c r="G8230" t="s">
        <v>16013</v>
      </c>
      <c r="H8230" t="s">
        <v>20454</v>
      </c>
    </row>
    <row r="8231" spans="6:8">
      <c r="F8231" t="s">
        <v>11773</v>
      </c>
      <c r="G8231" t="s">
        <v>16014</v>
      </c>
      <c r="H8231" t="s">
        <v>20454</v>
      </c>
    </row>
    <row r="8232" spans="6:8">
      <c r="F8232" t="s">
        <v>11774</v>
      </c>
      <c r="G8232" t="s">
        <v>16015</v>
      </c>
      <c r="H8232" t="s">
        <v>20454</v>
      </c>
    </row>
    <row r="8233" spans="6:8">
      <c r="F8233" t="s">
        <v>11775</v>
      </c>
      <c r="G8233" t="s">
        <v>16016</v>
      </c>
      <c r="H8233" t="s">
        <v>20454</v>
      </c>
    </row>
    <row r="8234" spans="6:8">
      <c r="F8234" t="s">
        <v>11776</v>
      </c>
      <c r="G8234" t="s">
        <v>16017</v>
      </c>
      <c r="H8234" t="s">
        <v>20454</v>
      </c>
    </row>
    <row r="8235" spans="6:8">
      <c r="F8235" t="s">
        <v>11777</v>
      </c>
      <c r="G8235" t="s">
        <v>16018</v>
      </c>
      <c r="H8235" t="s">
        <v>20454</v>
      </c>
    </row>
    <row r="8236" spans="6:8">
      <c r="F8236" t="s">
        <v>11778</v>
      </c>
      <c r="G8236" t="s">
        <v>16019</v>
      </c>
      <c r="H8236" t="s">
        <v>20454</v>
      </c>
    </row>
    <row r="8237" spans="6:8">
      <c r="F8237" t="s">
        <v>11779</v>
      </c>
      <c r="G8237" t="s">
        <v>16020</v>
      </c>
      <c r="H8237" t="s">
        <v>20454</v>
      </c>
    </row>
    <row r="8238" spans="6:8">
      <c r="F8238" t="s">
        <v>11780</v>
      </c>
      <c r="G8238" t="s">
        <v>16021</v>
      </c>
      <c r="H8238" t="s">
        <v>20454</v>
      </c>
    </row>
    <row r="8239" spans="6:8">
      <c r="F8239" t="s">
        <v>11781</v>
      </c>
      <c r="G8239" t="s">
        <v>16022</v>
      </c>
      <c r="H8239" t="s">
        <v>20454</v>
      </c>
    </row>
    <row r="8240" spans="6:8">
      <c r="F8240" t="s">
        <v>11782</v>
      </c>
      <c r="G8240" t="s">
        <v>16023</v>
      </c>
      <c r="H8240" t="s">
        <v>20454</v>
      </c>
    </row>
    <row r="8241" spans="6:8">
      <c r="F8241" t="s">
        <v>11783</v>
      </c>
      <c r="G8241" t="s">
        <v>16024</v>
      </c>
      <c r="H8241" t="s">
        <v>20454</v>
      </c>
    </row>
    <row r="8242" spans="6:8">
      <c r="F8242" t="s">
        <v>11784</v>
      </c>
      <c r="G8242" t="s">
        <v>16025</v>
      </c>
      <c r="H8242" t="s">
        <v>20454</v>
      </c>
    </row>
    <row r="8243" spans="6:8">
      <c r="F8243" t="s">
        <v>11785</v>
      </c>
      <c r="G8243" t="s">
        <v>16026</v>
      </c>
      <c r="H8243" t="s">
        <v>20454</v>
      </c>
    </row>
    <row r="8244" spans="6:8">
      <c r="F8244" t="s">
        <v>11786</v>
      </c>
      <c r="G8244" t="s">
        <v>16027</v>
      </c>
      <c r="H8244" t="s">
        <v>20454</v>
      </c>
    </row>
    <row r="8245" spans="6:8">
      <c r="F8245" t="s">
        <v>11787</v>
      </c>
      <c r="G8245" t="s">
        <v>16028</v>
      </c>
      <c r="H8245" t="s">
        <v>20454</v>
      </c>
    </row>
    <row r="8246" spans="6:8">
      <c r="F8246" t="s">
        <v>11788</v>
      </c>
      <c r="G8246" t="s">
        <v>16029</v>
      </c>
      <c r="H8246" t="s">
        <v>20454</v>
      </c>
    </row>
    <row r="8247" spans="6:8">
      <c r="F8247" t="s">
        <v>11789</v>
      </c>
      <c r="G8247" t="s">
        <v>16030</v>
      </c>
      <c r="H8247" t="s">
        <v>20454</v>
      </c>
    </row>
    <row r="8248" spans="6:8">
      <c r="F8248" t="s">
        <v>11790</v>
      </c>
      <c r="G8248" t="s">
        <v>16031</v>
      </c>
      <c r="H8248" t="s">
        <v>20454</v>
      </c>
    </row>
    <row r="8249" spans="6:8">
      <c r="F8249" t="s">
        <v>11791</v>
      </c>
      <c r="G8249" t="s">
        <v>16032</v>
      </c>
      <c r="H8249" t="s">
        <v>20454</v>
      </c>
    </row>
    <row r="8250" spans="6:8">
      <c r="F8250" t="s">
        <v>11792</v>
      </c>
      <c r="G8250" t="s">
        <v>16033</v>
      </c>
      <c r="H8250" t="s">
        <v>20454</v>
      </c>
    </row>
    <row r="8251" spans="6:8">
      <c r="F8251" t="s">
        <v>11793</v>
      </c>
      <c r="G8251" t="s">
        <v>16034</v>
      </c>
      <c r="H8251" t="s">
        <v>20454</v>
      </c>
    </row>
    <row r="8252" spans="6:8">
      <c r="F8252" t="s">
        <v>11794</v>
      </c>
      <c r="G8252" t="s">
        <v>16035</v>
      </c>
      <c r="H8252" t="s">
        <v>20454</v>
      </c>
    </row>
    <row r="8253" spans="6:8">
      <c r="F8253" t="s">
        <v>11795</v>
      </c>
      <c r="G8253" t="s">
        <v>16036</v>
      </c>
      <c r="H8253" t="s">
        <v>20454</v>
      </c>
    </row>
    <row r="8254" spans="6:8">
      <c r="F8254" t="s">
        <v>11796</v>
      </c>
      <c r="G8254" t="s">
        <v>16037</v>
      </c>
      <c r="H8254" t="s">
        <v>20454</v>
      </c>
    </row>
    <row r="8255" spans="6:8">
      <c r="F8255" t="s">
        <v>11797</v>
      </c>
      <c r="G8255" t="s">
        <v>16038</v>
      </c>
      <c r="H8255" t="s">
        <v>20454</v>
      </c>
    </row>
    <row r="8256" spans="6:8">
      <c r="F8256" t="s">
        <v>11798</v>
      </c>
      <c r="G8256" t="s">
        <v>16039</v>
      </c>
      <c r="H8256" t="s">
        <v>20454</v>
      </c>
    </row>
    <row r="8257" spans="6:8">
      <c r="F8257" t="s">
        <v>11799</v>
      </c>
      <c r="G8257" t="s">
        <v>16040</v>
      </c>
      <c r="H8257" t="s">
        <v>20454</v>
      </c>
    </row>
    <row r="8258" spans="6:8">
      <c r="F8258" t="s">
        <v>11800</v>
      </c>
      <c r="G8258" t="s">
        <v>16041</v>
      </c>
      <c r="H8258" t="s">
        <v>20454</v>
      </c>
    </row>
    <row r="8259" spans="6:8">
      <c r="F8259" t="s">
        <v>11801</v>
      </c>
      <c r="G8259" t="s">
        <v>16042</v>
      </c>
      <c r="H8259" t="s">
        <v>20454</v>
      </c>
    </row>
    <row r="8260" spans="6:8">
      <c r="F8260" t="s">
        <v>11802</v>
      </c>
      <c r="G8260" t="s">
        <v>16043</v>
      </c>
      <c r="H8260" t="s">
        <v>20454</v>
      </c>
    </row>
    <row r="8261" spans="6:8">
      <c r="F8261" t="s">
        <v>11803</v>
      </c>
      <c r="G8261" t="s">
        <v>16044</v>
      </c>
      <c r="H8261" t="s">
        <v>20454</v>
      </c>
    </row>
    <row r="8262" spans="6:8">
      <c r="F8262" t="s">
        <v>11804</v>
      </c>
      <c r="G8262" t="s">
        <v>16045</v>
      </c>
      <c r="H8262" t="s">
        <v>20454</v>
      </c>
    </row>
    <row r="8263" spans="6:8">
      <c r="F8263" t="s">
        <v>11805</v>
      </c>
      <c r="G8263" t="s">
        <v>16046</v>
      </c>
      <c r="H8263" t="s">
        <v>20454</v>
      </c>
    </row>
    <row r="8264" spans="6:8">
      <c r="F8264" t="s">
        <v>11806</v>
      </c>
      <c r="G8264" t="s">
        <v>16047</v>
      </c>
      <c r="H8264" t="s">
        <v>20454</v>
      </c>
    </row>
    <row r="8265" spans="6:8">
      <c r="F8265" t="s">
        <v>11807</v>
      </c>
      <c r="G8265" t="s">
        <v>16048</v>
      </c>
      <c r="H8265" t="s">
        <v>20454</v>
      </c>
    </row>
    <row r="8266" spans="6:8">
      <c r="F8266" t="s">
        <v>11808</v>
      </c>
      <c r="G8266" t="s">
        <v>16049</v>
      </c>
      <c r="H8266" t="s">
        <v>20454</v>
      </c>
    </row>
    <row r="8267" spans="6:8">
      <c r="F8267" t="s">
        <v>11809</v>
      </c>
      <c r="G8267" t="s">
        <v>16050</v>
      </c>
      <c r="H8267" t="s">
        <v>20454</v>
      </c>
    </row>
    <row r="8268" spans="6:8">
      <c r="F8268" t="s">
        <v>11810</v>
      </c>
      <c r="G8268" t="s">
        <v>16051</v>
      </c>
      <c r="H8268" t="s">
        <v>20454</v>
      </c>
    </row>
    <row r="8269" spans="6:8">
      <c r="F8269" t="s">
        <v>11811</v>
      </c>
      <c r="G8269" t="s">
        <v>16052</v>
      </c>
      <c r="H8269" t="s">
        <v>20454</v>
      </c>
    </row>
    <row r="8270" spans="6:8">
      <c r="F8270" t="s">
        <v>11812</v>
      </c>
      <c r="G8270" t="s">
        <v>16053</v>
      </c>
      <c r="H8270" t="s">
        <v>20454</v>
      </c>
    </row>
    <row r="8271" spans="6:8">
      <c r="F8271" t="s">
        <v>11813</v>
      </c>
      <c r="G8271" t="s">
        <v>16054</v>
      </c>
      <c r="H8271" t="s">
        <v>20454</v>
      </c>
    </row>
    <row r="8272" spans="6:8">
      <c r="F8272" t="s">
        <v>11814</v>
      </c>
      <c r="G8272" t="s">
        <v>16055</v>
      </c>
      <c r="H8272" t="s">
        <v>20454</v>
      </c>
    </row>
    <row r="8273" spans="6:8">
      <c r="F8273" t="s">
        <v>11815</v>
      </c>
      <c r="G8273" t="s">
        <v>16056</v>
      </c>
      <c r="H8273" t="s">
        <v>20454</v>
      </c>
    </row>
    <row r="8274" spans="6:8">
      <c r="F8274" t="s">
        <v>11816</v>
      </c>
      <c r="G8274" t="s">
        <v>16057</v>
      </c>
      <c r="H8274" t="s">
        <v>20454</v>
      </c>
    </row>
    <row r="8275" spans="6:8">
      <c r="F8275" t="s">
        <v>11817</v>
      </c>
      <c r="G8275" t="s">
        <v>16058</v>
      </c>
      <c r="H8275" t="s">
        <v>20454</v>
      </c>
    </row>
    <row r="8276" spans="6:8">
      <c r="F8276" t="s">
        <v>11818</v>
      </c>
      <c r="G8276" t="s">
        <v>16059</v>
      </c>
      <c r="H8276" t="s">
        <v>20454</v>
      </c>
    </row>
    <row r="8277" spans="6:8">
      <c r="F8277" t="s">
        <v>11819</v>
      </c>
      <c r="G8277" t="s">
        <v>16060</v>
      </c>
      <c r="H8277" t="s">
        <v>20454</v>
      </c>
    </row>
    <row r="8278" spans="6:8">
      <c r="F8278" t="s">
        <v>11820</v>
      </c>
      <c r="G8278" t="s">
        <v>16061</v>
      </c>
      <c r="H8278" t="s">
        <v>20454</v>
      </c>
    </row>
    <row r="8279" spans="6:8">
      <c r="F8279" t="s">
        <v>11821</v>
      </c>
      <c r="G8279" t="s">
        <v>16062</v>
      </c>
      <c r="H8279" t="s">
        <v>20454</v>
      </c>
    </row>
    <row r="8280" spans="6:8">
      <c r="F8280" t="s">
        <v>11822</v>
      </c>
      <c r="G8280" t="s">
        <v>16063</v>
      </c>
      <c r="H8280" t="s">
        <v>20454</v>
      </c>
    </row>
    <row r="8281" spans="6:8">
      <c r="F8281" t="s">
        <v>11823</v>
      </c>
      <c r="G8281" t="s">
        <v>16064</v>
      </c>
      <c r="H8281" t="s">
        <v>20454</v>
      </c>
    </row>
    <row r="8282" spans="6:8">
      <c r="F8282" t="s">
        <v>11824</v>
      </c>
      <c r="G8282" t="s">
        <v>16065</v>
      </c>
      <c r="H8282" t="s">
        <v>20454</v>
      </c>
    </row>
    <row r="8283" spans="6:8">
      <c r="F8283" t="s">
        <v>11825</v>
      </c>
      <c r="G8283" t="s">
        <v>16066</v>
      </c>
      <c r="H8283" t="s">
        <v>20454</v>
      </c>
    </row>
    <row r="8284" spans="6:8">
      <c r="F8284" t="s">
        <v>11826</v>
      </c>
      <c r="G8284" t="s">
        <v>16067</v>
      </c>
      <c r="H8284" t="s">
        <v>20454</v>
      </c>
    </row>
    <row r="8285" spans="6:8">
      <c r="F8285" t="s">
        <v>11827</v>
      </c>
      <c r="G8285" t="s">
        <v>16068</v>
      </c>
      <c r="H8285" t="s">
        <v>20454</v>
      </c>
    </row>
    <row r="8286" spans="6:8">
      <c r="F8286" t="s">
        <v>11828</v>
      </c>
      <c r="G8286" t="s">
        <v>16069</v>
      </c>
      <c r="H8286" t="s">
        <v>20454</v>
      </c>
    </row>
    <row r="8287" spans="6:8">
      <c r="F8287" t="s">
        <v>11829</v>
      </c>
      <c r="G8287" t="s">
        <v>16070</v>
      </c>
      <c r="H8287" t="s">
        <v>20454</v>
      </c>
    </row>
    <row r="8288" spans="6:8">
      <c r="F8288" t="s">
        <v>11830</v>
      </c>
      <c r="G8288" t="s">
        <v>16071</v>
      </c>
      <c r="H8288" t="s">
        <v>20454</v>
      </c>
    </row>
    <row r="8289" spans="6:8">
      <c r="F8289" t="s">
        <v>11831</v>
      </c>
      <c r="G8289" t="s">
        <v>16072</v>
      </c>
      <c r="H8289" t="s">
        <v>20454</v>
      </c>
    </row>
    <row r="8290" spans="6:8">
      <c r="F8290" t="s">
        <v>11832</v>
      </c>
      <c r="G8290" t="s">
        <v>16073</v>
      </c>
      <c r="H8290" t="s">
        <v>20454</v>
      </c>
    </row>
    <row r="8291" spans="6:8">
      <c r="F8291" t="s">
        <v>11833</v>
      </c>
      <c r="G8291" t="s">
        <v>16074</v>
      </c>
      <c r="H8291" t="s">
        <v>20454</v>
      </c>
    </row>
    <row r="8292" spans="6:8">
      <c r="F8292" t="s">
        <v>11834</v>
      </c>
      <c r="G8292" t="s">
        <v>16075</v>
      </c>
      <c r="H8292" t="s">
        <v>20454</v>
      </c>
    </row>
    <row r="8293" spans="6:8">
      <c r="F8293" t="s">
        <v>11835</v>
      </c>
      <c r="G8293" t="s">
        <v>16076</v>
      </c>
      <c r="H8293" t="s">
        <v>20454</v>
      </c>
    </row>
    <row r="8294" spans="6:8">
      <c r="F8294" t="s">
        <v>11836</v>
      </c>
      <c r="G8294" t="s">
        <v>16077</v>
      </c>
      <c r="H8294" t="s">
        <v>20454</v>
      </c>
    </row>
    <row r="8295" spans="6:8">
      <c r="F8295" t="s">
        <v>11837</v>
      </c>
      <c r="G8295" t="s">
        <v>16078</v>
      </c>
      <c r="H8295" t="s">
        <v>20454</v>
      </c>
    </row>
    <row r="8296" spans="6:8">
      <c r="F8296" t="s">
        <v>11838</v>
      </c>
      <c r="G8296" t="s">
        <v>16079</v>
      </c>
      <c r="H8296" t="s">
        <v>20454</v>
      </c>
    </row>
    <row r="8297" spans="6:8">
      <c r="F8297" t="s">
        <v>11839</v>
      </c>
      <c r="G8297" t="s">
        <v>16080</v>
      </c>
      <c r="H8297" t="s">
        <v>20454</v>
      </c>
    </row>
    <row r="8298" spans="6:8">
      <c r="F8298" t="s">
        <v>11840</v>
      </c>
      <c r="G8298" t="s">
        <v>16081</v>
      </c>
      <c r="H8298" t="s">
        <v>20454</v>
      </c>
    </row>
    <row r="8299" spans="6:8">
      <c r="F8299" t="s">
        <v>11841</v>
      </c>
      <c r="G8299" t="s">
        <v>16082</v>
      </c>
      <c r="H8299" t="s">
        <v>20454</v>
      </c>
    </row>
    <row r="8300" spans="6:8">
      <c r="F8300" t="s">
        <v>11842</v>
      </c>
      <c r="G8300" t="s">
        <v>16083</v>
      </c>
      <c r="H8300" t="s">
        <v>20454</v>
      </c>
    </row>
    <row r="8301" spans="6:8">
      <c r="F8301" t="s">
        <v>11843</v>
      </c>
      <c r="G8301" t="s">
        <v>16084</v>
      </c>
      <c r="H8301" t="s">
        <v>20454</v>
      </c>
    </row>
    <row r="8302" spans="6:8">
      <c r="F8302" t="s">
        <v>11844</v>
      </c>
      <c r="G8302" t="s">
        <v>16085</v>
      </c>
      <c r="H8302" t="s">
        <v>20454</v>
      </c>
    </row>
    <row r="8303" spans="6:8">
      <c r="F8303" t="s">
        <v>11845</v>
      </c>
      <c r="G8303" t="s">
        <v>16086</v>
      </c>
      <c r="H8303" t="s">
        <v>20454</v>
      </c>
    </row>
    <row r="8304" spans="6:8">
      <c r="F8304" t="s">
        <v>11846</v>
      </c>
      <c r="G8304" t="s">
        <v>16087</v>
      </c>
      <c r="H8304" t="s">
        <v>20454</v>
      </c>
    </row>
    <row r="8305" spans="6:8">
      <c r="F8305" t="s">
        <v>11847</v>
      </c>
      <c r="G8305" t="s">
        <v>16088</v>
      </c>
      <c r="H8305" t="s">
        <v>20454</v>
      </c>
    </row>
    <row r="8306" spans="6:8">
      <c r="F8306" t="s">
        <v>11848</v>
      </c>
      <c r="G8306" t="s">
        <v>16089</v>
      </c>
      <c r="H8306" t="s">
        <v>20454</v>
      </c>
    </row>
    <row r="8307" spans="6:8">
      <c r="F8307" t="s">
        <v>11849</v>
      </c>
      <c r="G8307" t="s">
        <v>16090</v>
      </c>
      <c r="H8307" t="s">
        <v>20454</v>
      </c>
    </row>
    <row r="8308" spans="6:8">
      <c r="F8308" t="s">
        <v>11850</v>
      </c>
      <c r="G8308" t="s">
        <v>16091</v>
      </c>
      <c r="H8308" t="s">
        <v>20454</v>
      </c>
    </row>
    <row r="8309" spans="6:8">
      <c r="F8309" t="s">
        <v>11851</v>
      </c>
      <c r="G8309" t="s">
        <v>16092</v>
      </c>
      <c r="H8309" t="s">
        <v>20454</v>
      </c>
    </row>
    <row r="8310" spans="6:8">
      <c r="F8310" t="s">
        <v>11852</v>
      </c>
      <c r="G8310" t="s">
        <v>16093</v>
      </c>
      <c r="H8310" t="s">
        <v>20454</v>
      </c>
    </row>
    <row r="8311" spans="6:8">
      <c r="F8311" t="s">
        <v>11853</v>
      </c>
      <c r="G8311" t="s">
        <v>16094</v>
      </c>
      <c r="H8311" t="s">
        <v>20454</v>
      </c>
    </row>
    <row r="8312" spans="6:8">
      <c r="F8312" t="s">
        <v>11854</v>
      </c>
      <c r="G8312" t="s">
        <v>16095</v>
      </c>
      <c r="H8312" t="s">
        <v>20454</v>
      </c>
    </row>
    <row r="8313" spans="6:8">
      <c r="F8313" t="s">
        <v>11855</v>
      </c>
      <c r="G8313" t="s">
        <v>16096</v>
      </c>
      <c r="H8313" t="s">
        <v>20454</v>
      </c>
    </row>
    <row r="8314" spans="6:8">
      <c r="F8314" t="s">
        <v>11856</v>
      </c>
      <c r="G8314" t="s">
        <v>16097</v>
      </c>
      <c r="H8314" t="s">
        <v>20454</v>
      </c>
    </row>
    <row r="8315" spans="6:8">
      <c r="F8315" t="s">
        <v>11857</v>
      </c>
      <c r="G8315" t="s">
        <v>16098</v>
      </c>
      <c r="H8315" t="s">
        <v>20454</v>
      </c>
    </row>
    <row r="8316" spans="6:8">
      <c r="F8316" t="s">
        <v>11858</v>
      </c>
      <c r="G8316" t="s">
        <v>16099</v>
      </c>
      <c r="H8316" t="s">
        <v>20454</v>
      </c>
    </row>
    <row r="8317" spans="6:8">
      <c r="F8317" t="s">
        <v>11859</v>
      </c>
      <c r="G8317" t="s">
        <v>16100</v>
      </c>
      <c r="H8317" t="s">
        <v>20454</v>
      </c>
    </row>
    <row r="8318" spans="6:8">
      <c r="F8318" t="s">
        <v>11860</v>
      </c>
      <c r="G8318" t="s">
        <v>16101</v>
      </c>
      <c r="H8318" t="s">
        <v>20454</v>
      </c>
    </row>
    <row r="8319" spans="6:8">
      <c r="F8319" t="s">
        <v>11861</v>
      </c>
      <c r="G8319" t="s">
        <v>16102</v>
      </c>
      <c r="H8319" t="s">
        <v>20454</v>
      </c>
    </row>
    <row r="8320" spans="6:8">
      <c r="F8320" t="s">
        <v>11862</v>
      </c>
      <c r="G8320" t="s">
        <v>16103</v>
      </c>
      <c r="H8320" t="s">
        <v>20454</v>
      </c>
    </row>
    <row r="8321" spans="6:8">
      <c r="F8321" t="s">
        <v>11863</v>
      </c>
      <c r="G8321" t="s">
        <v>16104</v>
      </c>
      <c r="H8321" t="s">
        <v>20454</v>
      </c>
    </row>
    <row r="8322" spans="6:8">
      <c r="F8322" t="s">
        <v>11864</v>
      </c>
      <c r="G8322" t="s">
        <v>16105</v>
      </c>
      <c r="H8322" t="s">
        <v>20454</v>
      </c>
    </row>
    <row r="8323" spans="6:8">
      <c r="F8323" t="s">
        <v>11865</v>
      </c>
      <c r="G8323" t="s">
        <v>16106</v>
      </c>
      <c r="H8323" t="s">
        <v>20454</v>
      </c>
    </row>
    <row r="8324" spans="6:8">
      <c r="F8324" t="s">
        <v>11866</v>
      </c>
      <c r="G8324" t="s">
        <v>16107</v>
      </c>
      <c r="H8324" t="s">
        <v>20454</v>
      </c>
    </row>
    <row r="8325" spans="6:8">
      <c r="F8325" t="s">
        <v>11867</v>
      </c>
      <c r="G8325" t="s">
        <v>16108</v>
      </c>
      <c r="H8325" t="s">
        <v>20454</v>
      </c>
    </row>
    <row r="8326" spans="6:8">
      <c r="F8326" t="s">
        <v>11868</v>
      </c>
      <c r="G8326" t="s">
        <v>16109</v>
      </c>
      <c r="H8326" t="s">
        <v>20454</v>
      </c>
    </row>
    <row r="8327" spans="6:8">
      <c r="F8327" t="s">
        <v>11869</v>
      </c>
      <c r="G8327" t="s">
        <v>16110</v>
      </c>
      <c r="H8327" t="s">
        <v>20454</v>
      </c>
    </row>
    <row r="8328" spans="6:8">
      <c r="F8328" t="s">
        <v>11870</v>
      </c>
      <c r="G8328" t="s">
        <v>16111</v>
      </c>
      <c r="H8328" t="s">
        <v>20454</v>
      </c>
    </row>
    <row r="8329" spans="6:8">
      <c r="F8329" t="s">
        <v>11871</v>
      </c>
      <c r="G8329" t="s">
        <v>16112</v>
      </c>
      <c r="H8329" t="s">
        <v>20454</v>
      </c>
    </row>
    <row r="8330" spans="6:8">
      <c r="F8330" t="s">
        <v>11872</v>
      </c>
      <c r="G8330" t="s">
        <v>16113</v>
      </c>
      <c r="H8330" t="s">
        <v>20454</v>
      </c>
    </row>
    <row r="8331" spans="6:8">
      <c r="F8331" t="s">
        <v>11873</v>
      </c>
      <c r="G8331" t="s">
        <v>16114</v>
      </c>
      <c r="H8331" t="s">
        <v>20454</v>
      </c>
    </row>
    <row r="8332" spans="6:8">
      <c r="F8332" t="s">
        <v>11874</v>
      </c>
      <c r="G8332" t="s">
        <v>16115</v>
      </c>
      <c r="H8332" t="s">
        <v>20454</v>
      </c>
    </row>
    <row r="8333" spans="6:8">
      <c r="F8333" t="s">
        <v>11875</v>
      </c>
      <c r="G8333" t="s">
        <v>16116</v>
      </c>
      <c r="H8333" t="s">
        <v>20454</v>
      </c>
    </row>
    <row r="8334" spans="6:8">
      <c r="F8334" t="s">
        <v>11876</v>
      </c>
      <c r="G8334" t="s">
        <v>16117</v>
      </c>
      <c r="H8334" t="s">
        <v>20454</v>
      </c>
    </row>
    <row r="8335" spans="6:8">
      <c r="F8335" t="s">
        <v>11877</v>
      </c>
      <c r="G8335" t="s">
        <v>16118</v>
      </c>
      <c r="H8335" t="s">
        <v>20454</v>
      </c>
    </row>
    <row r="8336" spans="6:8">
      <c r="F8336" t="s">
        <v>11878</v>
      </c>
      <c r="G8336" t="s">
        <v>16119</v>
      </c>
      <c r="H8336" t="s">
        <v>20454</v>
      </c>
    </row>
    <row r="8337" spans="6:8">
      <c r="F8337" t="s">
        <v>11879</v>
      </c>
      <c r="G8337" t="s">
        <v>16120</v>
      </c>
      <c r="H8337" t="s">
        <v>20454</v>
      </c>
    </row>
    <row r="8338" spans="6:8">
      <c r="F8338" t="s">
        <v>11880</v>
      </c>
      <c r="G8338" t="s">
        <v>16121</v>
      </c>
      <c r="H8338" t="s">
        <v>20454</v>
      </c>
    </row>
    <row r="8339" spans="6:8">
      <c r="F8339" t="s">
        <v>11881</v>
      </c>
      <c r="G8339" t="s">
        <v>16122</v>
      </c>
      <c r="H8339" t="s">
        <v>20454</v>
      </c>
    </row>
    <row r="8340" spans="6:8">
      <c r="F8340" t="s">
        <v>11882</v>
      </c>
      <c r="G8340" t="s">
        <v>16123</v>
      </c>
      <c r="H8340" t="s">
        <v>20454</v>
      </c>
    </row>
    <row r="8341" spans="6:8">
      <c r="F8341" t="s">
        <v>11883</v>
      </c>
      <c r="G8341" t="s">
        <v>16124</v>
      </c>
      <c r="H8341" t="s">
        <v>20454</v>
      </c>
    </row>
    <row r="8342" spans="6:8">
      <c r="F8342" t="s">
        <v>11884</v>
      </c>
      <c r="G8342" t="s">
        <v>16125</v>
      </c>
      <c r="H8342" t="s">
        <v>20454</v>
      </c>
    </row>
    <row r="8343" spans="6:8">
      <c r="F8343" t="s">
        <v>11885</v>
      </c>
      <c r="G8343" t="s">
        <v>16126</v>
      </c>
      <c r="H8343" t="s">
        <v>20454</v>
      </c>
    </row>
    <row r="8344" spans="6:8">
      <c r="F8344" t="s">
        <v>11886</v>
      </c>
      <c r="G8344" t="s">
        <v>16127</v>
      </c>
      <c r="H8344" t="s">
        <v>20454</v>
      </c>
    </row>
    <row r="8345" spans="6:8">
      <c r="F8345" t="s">
        <v>11887</v>
      </c>
      <c r="G8345" t="s">
        <v>16128</v>
      </c>
      <c r="H8345" t="s">
        <v>20454</v>
      </c>
    </row>
    <row r="8346" spans="6:8">
      <c r="F8346" t="s">
        <v>11888</v>
      </c>
      <c r="G8346" t="s">
        <v>16129</v>
      </c>
      <c r="H8346" t="s">
        <v>20454</v>
      </c>
    </row>
    <row r="8347" spans="6:8">
      <c r="F8347" t="s">
        <v>11889</v>
      </c>
      <c r="G8347" t="s">
        <v>16130</v>
      </c>
      <c r="H8347" t="s">
        <v>20454</v>
      </c>
    </row>
    <row r="8348" spans="6:8">
      <c r="F8348" t="s">
        <v>11890</v>
      </c>
      <c r="G8348" t="s">
        <v>16131</v>
      </c>
      <c r="H8348" t="s">
        <v>20454</v>
      </c>
    </row>
    <row r="8349" spans="6:8">
      <c r="F8349" t="s">
        <v>11891</v>
      </c>
      <c r="G8349" t="s">
        <v>16132</v>
      </c>
      <c r="H8349" t="s">
        <v>20454</v>
      </c>
    </row>
    <row r="8350" spans="6:8">
      <c r="F8350" t="s">
        <v>11892</v>
      </c>
      <c r="G8350" t="s">
        <v>16133</v>
      </c>
      <c r="H8350" t="s">
        <v>20454</v>
      </c>
    </row>
    <row r="8351" spans="6:8">
      <c r="F8351" t="s">
        <v>11893</v>
      </c>
      <c r="G8351" t="s">
        <v>16134</v>
      </c>
      <c r="H8351" t="s">
        <v>20454</v>
      </c>
    </row>
    <row r="8352" spans="6:8">
      <c r="F8352" t="s">
        <v>11894</v>
      </c>
      <c r="G8352" t="s">
        <v>16135</v>
      </c>
      <c r="H8352" t="s">
        <v>20454</v>
      </c>
    </row>
    <row r="8353" spans="6:8">
      <c r="F8353" t="s">
        <v>11895</v>
      </c>
      <c r="G8353" t="s">
        <v>16136</v>
      </c>
      <c r="H8353" t="s">
        <v>20454</v>
      </c>
    </row>
    <row r="8354" spans="6:8">
      <c r="F8354" t="s">
        <v>11896</v>
      </c>
      <c r="G8354" t="s">
        <v>16137</v>
      </c>
      <c r="H8354" t="s">
        <v>20454</v>
      </c>
    </row>
    <row r="8355" spans="6:8">
      <c r="F8355" t="s">
        <v>11897</v>
      </c>
      <c r="G8355" t="s">
        <v>16138</v>
      </c>
      <c r="H8355" t="s">
        <v>20454</v>
      </c>
    </row>
    <row r="8356" spans="6:8">
      <c r="F8356" t="s">
        <v>11898</v>
      </c>
      <c r="G8356" t="s">
        <v>16139</v>
      </c>
      <c r="H8356" t="s">
        <v>20454</v>
      </c>
    </row>
    <row r="8357" spans="6:8">
      <c r="F8357" t="s">
        <v>11899</v>
      </c>
      <c r="G8357" t="s">
        <v>16140</v>
      </c>
      <c r="H8357" t="s">
        <v>20454</v>
      </c>
    </row>
    <row r="8358" spans="6:8">
      <c r="F8358" t="s">
        <v>11900</v>
      </c>
      <c r="G8358" t="s">
        <v>16141</v>
      </c>
      <c r="H8358" t="s">
        <v>20454</v>
      </c>
    </row>
    <row r="8359" spans="6:8">
      <c r="F8359" t="s">
        <v>11901</v>
      </c>
      <c r="G8359" t="s">
        <v>16142</v>
      </c>
      <c r="H8359" t="s">
        <v>20454</v>
      </c>
    </row>
    <row r="8360" spans="6:8">
      <c r="F8360" t="s">
        <v>11902</v>
      </c>
      <c r="G8360" t="s">
        <v>16143</v>
      </c>
      <c r="H8360" t="s">
        <v>20454</v>
      </c>
    </row>
    <row r="8361" spans="6:8">
      <c r="F8361" t="s">
        <v>11903</v>
      </c>
      <c r="G8361" t="s">
        <v>16144</v>
      </c>
      <c r="H8361" t="s">
        <v>20454</v>
      </c>
    </row>
    <row r="8362" spans="6:8">
      <c r="F8362" t="s">
        <v>11904</v>
      </c>
      <c r="G8362" t="s">
        <v>16145</v>
      </c>
      <c r="H8362" t="s">
        <v>20454</v>
      </c>
    </row>
    <row r="8363" spans="6:8">
      <c r="F8363" t="s">
        <v>11905</v>
      </c>
      <c r="G8363" t="s">
        <v>16146</v>
      </c>
      <c r="H8363" t="s">
        <v>20454</v>
      </c>
    </row>
    <row r="8364" spans="6:8">
      <c r="F8364" t="s">
        <v>11906</v>
      </c>
      <c r="G8364" t="s">
        <v>16147</v>
      </c>
      <c r="H8364" t="s">
        <v>20454</v>
      </c>
    </row>
    <row r="8365" spans="6:8">
      <c r="F8365" t="s">
        <v>11907</v>
      </c>
      <c r="G8365" t="s">
        <v>16148</v>
      </c>
      <c r="H8365" t="s">
        <v>20454</v>
      </c>
    </row>
    <row r="8366" spans="6:8">
      <c r="F8366" t="s">
        <v>11908</v>
      </c>
      <c r="G8366" t="s">
        <v>16149</v>
      </c>
      <c r="H8366" t="s">
        <v>20454</v>
      </c>
    </row>
    <row r="8367" spans="6:8">
      <c r="F8367" t="s">
        <v>11909</v>
      </c>
      <c r="G8367" t="s">
        <v>16150</v>
      </c>
      <c r="H8367" t="s">
        <v>20454</v>
      </c>
    </row>
    <row r="8368" spans="6:8">
      <c r="F8368" t="s">
        <v>11910</v>
      </c>
      <c r="G8368" t="s">
        <v>16151</v>
      </c>
      <c r="H8368" t="s">
        <v>20454</v>
      </c>
    </row>
    <row r="8369" spans="6:8">
      <c r="F8369" t="s">
        <v>11911</v>
      </c>
      <c r="G8369" t="s">
        <v>16152</v>
      </c>
      <c r="H8369" t="s">
        <v>20454</v>
      </c>
    </row>
    <row r="8370" spans="6:8">
      <c r="F8370" t="s">
        <v>11912</v>
      </c>
      <c r="G8370" t="s">
        <v>16153</v>
      </c>
      <c r="H8370" t="s">
        <v>20454</v>
      </c>
    </row>
    <row r="8371" spans="6:8">
      <c r="F8371" t="s">
        <v>11913</v>
      </c>
      <c r="G8371" t="s">
        <v>16154</v>
      </c>
      <c r="H8371" t="s">
        <v>20454</v>
      </c>
    </row>
    <row r="8372" spans="6:8">
      <c r="F8372" t="s">
        <v>11914</v>
      </c>
      <c r="G8372" t="s">
        <v>16155</v>
      </c>
      <c r="H8372" t="s">
        <v>20454</v>
      </c>
    </row>
    <row r="8373" spans="6:8">
      <c r="F8373" t="s">
        <v>11915</v>
      </c>
      <c r="G8373" t="s">
        <v>16156</v>
      </c>
      <c r="H8373" t="s">
        <v>20454</v>
      </c>
    </row>
    <row r="8374" spans="6:8">
      <c r="F8374" t="s">
        <v>11916</v>
      </c>
      <c r="G8374" t="s">
        <v>16157</v>
      </c>
      <c r="H8374" t="s">
        <v>20454</v>
      </c>
    </row>
    <row r="8375" spans="6:8">
      <c r="F8375" t="s">
        <v>11917</v>
      </c>
      <c r="G8375" t="s">
        <v>16158</v>
      </c>
      <c r="H8375" t="s">
        <v>20454</v>
      </c>
    </row>
    <row r="8376" spans="6:8">
      <c r="F8376" t="s">
        <v>11918</v>
      </c>
      <c r="G8376" t="s">
        <v>16159</v>
      </c>
      <c r="H8376" t="s">
        <v>20454</v>
      </c>
    </row>
    <row r="8377" spans="6:8">
      <c r="F8377" t="s">
        <v>11919</v>
      </c>
      <c r="G8377" t="s">
        <v>16160</v>
      </c>
      <c r="H8377" t="s">
        <v>20454</v>
      </c>
    </row>
    <row r="8378" spans="6:8">
      <c r="F8378" t="s">
        <v>11920</v>
      </c>
      <c r="G8378" t="s">
        <v>16161</v>
      </c>
      <c r="H8378" t="s">
        <v>20454</v>
      </c>
    </row>
    <row r="8379" spans="6:8">
      <c r="F8379" t="s">
        <v>11921</v>
      </c>
      <c r="G8379" t="s">
        <v>16162</v>
      </c>
      <c r="H8379" t="s">
        <v>20454</v>
      </c>
    </row>
    <row r="8380" spans="6:8">
      <c r="F8380" t="s">
        <v>11922</v>
      </c>
      <c r="G8380" t="s">
        <v>16163</v>
      </c>
      <c r="H8380" t="s">
        <v>20454</v>
      </c>
    </row>
    <row r="8381" spans="6:8">
      <c r="F8381" t="s">
        <v>11923</v>
      </c>
      <c r="G8381" t="s">
        <v>16164</v>
      </c>
      <c r="H8381" t="s">
        <v>20454</v>
      </c>
    </row>
    <row r="8382" spans="6:8">
      <c r="F8382" t="s">
        <v>11924</v>
      </c>
      <c r="G8382" t="s">
        <v>16165</v>
      </c>
      <c r="H8382" t="s">
        <v>20454</v>
      </c>
    </row>
    <row r="8383" spans="6:8">
      <c r="F8383" t="s">
        <v>11925</v>
      </c>
      <c r="G8383" t="s">
        <v>16166</v>
      </c>
      <c r="H8383" t="s">
        <v>20454</v>
      </c>
    </row>
    <row r="8384" spans="6:8">
      <c r="F8384" t="s">
        <v>11926</v>
      </c>
      <c r="G8384" t="s">
        <v>16167</v>
      </c>
      <c r="H8384" t="s">
        <v>20454</v>
      </c>
    </row>
    <row r="8385" spans="6:8">
      <c r="F8385" t="s">
        <v>11927</v>
      </c>
      <c r="G8385" t="s">
        <v>16168</v>
      </c>
      <c r="H8385" t="s">
        <v>20454</v>
      </c>
    </row>
    <row r="8386" spans="6:8">
      <c r="F8386" t="s">
        <v>11928</v>
      </c>
      <c r="G8386" t="s">
        <v>16169</v>
      </c>
      <c r="H8386" t="s">
        <v>20454</v>
      </c>
    </row>
    <row r="8387" spans="6:8">
      <c r="F8387" t="s">
        <v>11929</v>
      </c>
      <c r="G8387" t="s">
        <v>16170</v>
      </c>
      <c r="H8387" t="s">
        <v>20454</v>
      </c>
    </row>
    <row r="8388" spans="6:8">
      <c r="F8388" t="s">
        <v>11930</v>
      </c>
      <c r="G8388" t="s">
        <v>16171</v>
      </c>
      <c r="H8388" t="s">
        <v>20454</v>
      </c>
    </row>
    <row r="8389" spans="6:8">
      <c r="F8389" t="s">
        <v>11931</v>
      </c>
      <c r="G8389" t="s">
        <v>16172</v>
      </c>
      <c r="H8389" t="s">
        <v>20454</v>
      </c>
    </row>
    <row r="8390" spans="6:8">
      <c r="F8390" t="s">
        <v>11932</v>
      </c>
      <c r="G8390" t="s">
        <v>16173</v>
      </c>
      <c r="H8390" t="s">
        <v>20454</v>
      </c>
    </row>
    <row r="8391" spans="6:8">
      <c r="F8391" t="s">
        <v>11933</v>
      </c>
      <c r="G8391" t="s">
        <v>16174</v>
      </c>
      <c r="H8391" t="s">
        <v>20454</v>
      </c>
    </row>
    <row r="8392" spans="6:8">
      <c r="F8392" t="s">
        <v>11934</v>
      </c>
      <c r="G8392" t="s">
        <v>16175</v>
      </c>
      <c r="H8392" t="s">
        <v>20454</v>
      </c>
    </row>
    <row r="8393" spans="6:8">
      <c r="F8393" t="s">
        <v>11935</v>
      </c>
      <c r="G8393" t="s">
        <v>16176</v>
      </c>
      <c r="H8393" t="s">
        <v>20454</v>
      </c>
    </row>
    <row r="8394" spans="6:8">
      <c r="F8394" t="s">
        <v>11936</v>
      </c>
      <c r="G8394" t="s">
        <v>16177</v>
      </c>
      <c r="H8394" t="s">
        <v>20454</v>
      </c>
    </row>
    <row r="8395" spans="6:8">
      <c r="F8395" t="s">
        <v>11937</v>
      </c>
      <c r="G8395" t="s">
        <v>16178</v>
      </c>
      <c r="H8395" t="s">
        <v>20454</v>
      </c>
    </row>
    <row r="8396" spans="6:8">
      <c r="F8396" t="s">
        <v>11938</v>
      </c>
      <c r="G8396" t="s">
        <v>16179</v>
      </c>
      <c r="H8396" t="s">
        <v>20454</v>
      </c>
    </row>
    <row r="8397" spans="6:8">
      <c r="F8397" t="s">
        <v>11939</v>
      </c>
      <c r="G8397" t="s">
        <v>16180</v>
      </c>
      <c r="H8397" t="s">
        <v>20454</v>
      </c>
    </row>
    <row r="8398" spans="6:8">
      <c r="F8398" t="s">
        <v>11940</v>
      </c>
      <c r="G8398" t="s">
        <v>16181</v>
      </c>
      <c r="H8398" t="s">
        <v>20454</v>
      </c>
    </row>
    <row r="8399" spans="6:8">
      <c r="F8399" t="s">
        <v>11941</v>
      </c>
      <c r="G8399" t="s">
        <v>16182</v>
      </c>
      <c r="H8399" t="s">
        <v>20454</v>
      </c>
    </row>
    <row r="8400" spans="6:8">
      <c r="F8400" t="s">
        <v>11942</v>
      </c>
      <c r="G8400" t="s">
        <v>16183</v>
      </c>
      <c r="H8400" t="s">
        <v>20454</v>
      </c>
    </row>
    <row r="8401" spans="6:8">
      <c r="F8401" t="s">
        <v>11943</v>
      </c>
      <c r="G8401" t="s">
        <v>16184</v>
      </c>
      <c r="H8401" t="s">
        <v>20454</v>
      </c>
    </row>
    <row r="8402" spans="6:8">
      <c r="F8402" t="s">
        <v>11944</v>
      </c>
      <c r="G8402" t="s">
        <v>16185</v>
      </c>
      <c r="H8402" t="s">
        <v>20454</v>
      </c>
    </row>
    <row r="8403" spans="6:8">
      <c r="F8403" t="s">
        <v>11945</v>
      </c>
      <c r="G8403" t="s">
        <v>16186</v>
      </c>
      <c r="H8403" t="s">
        <v>20454</v>
      </c>
    </row>
    <row r="8404" spans="6:8">
      <c r="F8404" t="s">
        <v>11946</v>
      </c>
      <c r="G8404" t="s">
        <v>16187</v>
      </c>
      <c r="H8404" t="s">
        <v>20454</v>
      </c>
    </row>
    <row r="8405" spans="6:8">
      <c r="F8405" t="s">
        <v>11947</v>
      </c>
      <c r="G8405" t="s">
        <v>16188</v>
      </c>
      <c r="H8405" t="s">
        <v>20454</v>
      </c>
    </row>
    <row r="8406" spans="6:8">
      <c r="F8406" t="s">
        <v>11948</v>
      </c>
      <c r="G8406" t="s">
        <v>16189</v>
      </c>
      <c r="H8406" t="s">
        <v>20454</v>
      </c>
    </row>
    <row r="8407" spans="6:8">
      <c r="F8407" t="s">
        <v>11949</v>
      </c>
      <c r="G8407" t="s">
        <v>16190</v>
      </c>
      <c r="H8407" t="s">
        <v>20454</v>
      </c>
    </row>
    <row r="8408" spans="6:8">
      <c r="F8408" t="s">
        <v>11950</v>
      </c>
      <c r="G8408" t="s">
        <v>16191</v>
      </c>
      <c r="H8408" t="s">
        <v>20454</v>
      </c>
    </row>
    <row r="8409" spans="6:8">
      <c r="F8409" t="s">
        <v>11951</v>
      </c>
      <c r="G8409" t="s">
        <v>16192</v>
      </c>
      <c r="H8409" t="s">
        <v>20454</v>
      </c>
    </row>
    <row r="8410" spans="6:8">
      <c r="F8410" t="s">
        <v>11952</v>
      </c>
      <c r="G8410" t="s">
        <v>16193</v>
      </c>
      <c r="H8410" t="s">
        <v>20454</v>
      </c>
    </row>
    <row r="8411" spans="6:8">
      <c r="F8411" t="s">
        <v>11953</v>
      </c>
      <c r="G8411" t="s">
        <v>16194</v>
      </c>
      <c r="H8411" t="s">
        <v>20454</v>
      </c>
    </row>
    <row r="8412" spans="6:8">
      <c r="F8412" t="s">
        <v>11954</v>
      </c>
      <c r="G8412" t="s">
        <v>16195</v>
      </c>
      <c r="H8412" t="s">
        <v>20454</v>
      </c>
    </row>
    <row r="8413" spans="6:8">
      <c r="F8413" t="s">
        <v>11955</v>
      </c>
      <c r="G8413" t="s">
        <v>16196</v>
      </c>
      <c r="H8413" t="s">
        <v>20454</v>
      </c>
    </row>
    <row r="8414" spans="6:8">
      <c r="F8414" t="s">
        <v>11956</v>
      </c>
      <c r="G8414" t="s">
        <v>16197</v>
      </c>
      <c r="H8414" t="s">
        <v>20454</v>
      </c>
    </row>
    <row r="8415" spans="6:8">
      <c r="F8415" t="s">
        <v>11957</v>
      </c>
      <c r="G8415" t="s">
        <v>16198</v>
      </c>
      <c r="H8415" t="s">
        <v>20454</v>
      </c>
    </row>
    <row r="8416" spans="6:8">
      <c r="F8416" t="s">
        <v>11958</v>
      </c>
      <c r="G8416" t="s">
        <v>16199</v>
      </c>
      <c r="H8416" t="s">
        <v>20454</v>
      </c>
    </row>
    <row r="8417" spans="6:8">
      <c r="F8417" t="s">
        <v>11959</v>
      </c>
      <c r="G8417" t="s">
        <v>16200</v>
      </c>
      <c r="H8417" t="s">
        <v>20454</v>
      </c>
    </row>
    <row r="8418" spans="6:8">
      <c r="F8418" t="s">
        <v>11960</v>
      </c>
      <c r="G8418" t="s">
        <v>16201</v>
      </c>
      <c r="H8418" t="s">
        <v>20454</v>
      </c>
    </row>
    <row r="8419" spans="6:8">
      <c r="F8419" t="s">
        <v>11961</v>
      </c>
      <c r="G8419" t="s">
        <v>16202</v>
      </c>
      <c r="H8419" t="s">
        <v>20454</v>
      </c>
    </row>
    <row r="8420" spans="6:8">
      <c r="F8420" t="s">
        <v>11962</v>
      </c>
      <c r="G8420" t="s">
        <v>16203</v>
      </c>
      <c r="H8420" t="s">
        <v>20454</v>
      </c>
    </row>
    <row r="8421" spans="6:8">
      <c r="F8421" t="s">
        <v>11963</v>
      </c>
      <c r="G8421" t="s">
        <v>16204</v>
      </c>
      <c r="H8421" t="s">
        <v>20454</v>
      </c>
    </row>
    <row r="8422" spans="6:8">
      <c r="F8422" t="s">
        <v>11964</v>
      </c>
      <c r="G8422" t="s">
        <v>16205</v>
      </c>
      <c r="H8422" t="s">
        <v>20454</v>
      </c>
    </row>
    <row r="8423" spans="6:8">
      <c r="F8423" t="s">
        <v>11965</v>
      </c>
      <c r="G8423" t="s">
        <v>16206</v>
      </c>
      <c r="H8423" t="s">
        <v>20454</v>
      </c>
    </row>
    <row r="8424" spans="6:8">
      <c r="F8424" t="s">
        <v>11966</v>
      </c>
      <c r="G8424" t="s">
        <v>16207</v>
      </c>
      <c r="H8424" t="s">
        <v>20454</v>
      </c>
    </row>
    <row r="8425" spans="6:8">
      <c r="F8425" t="s">
        <v>11967</v>
      </c>
      <c r="G8425" t="s">
        <v>16208</v>
      </c>
      <c r="H8425" t="s">
        <v>20454</v>
      </c>
    </row>
    <row r="8426" spans="6:8">
      <c r="F8426" t="s">
        <v>11968</v>
      </c>
      <c r="G8426" t="s">
        <v>16209</v>
      </c>
      <c r="H8426" t="s">
        <v>20454</v>
      </c>
    </row>
    <row r="8427" spans="6:8">
      <c r="F8427" t="s">
        <v>11969</v>
      </c>
      <c r="G8427" t="s">
        <v>16210</v>
      </c>
      <c r="H8427" t="s">
        <v>20454</v>
      </c>
    </row>
    <row r="8428" spans="6:8">
      <c r="F8428" t="s">
        <v>11970</v>
      </c>
      <c r="G8428" t="s">
        <v>16211</v>
      </c>
      <c r="H8428" t="s">
        <v>20454</v>
      </c>
    </row>
    <row r="8429" spans="6:8">
      <c r="F8429" t="s">
        <v>11971</v>
      </c>
      <c r="G8429" t="s">
        <v>16212</v>
      </c>
      <c r="H8429" t="s">
        <v>20454</v>
      </c>
    </row>
    <row r="8430" spans="6:8">
      <c r="F8430" t="s">
        <v>11972</v>
      </c>
      <c r="G8430" t="s">
        <v>16213</v>
      </c>
      <c r="H8430" t="s">
        <v>20454</v>
      </c>
    </row>
    <row r="8431" spans="6:8">
      <c r="F8431" t="s">
        <v>11973</v>
      </c>
      <c r="G8431" t="s">
        <v>16214</v>
      </c>
      <c r="H8431" t="s">
        <v>20454</v>
      </c>
    </row>
    <row r="8432" spans="6:8">
      <c r="F8432" t="s">
        <v>11974</v>
      </c>
      <c r="G8432" t="s">
        <v>16215</v>
      </c>
      <c r="H8432" t="s">
        <v>20454</v>
      </c>
    </row>
    <row r="8433" spans="6:8">
      <c r="F8433" t="s">
        <v>11975</v>
      </c>
      <c r="G8433" t="s">
        <v>16216</v>
      </c>
      <c r="H8433" t="s">
        <v>20454</v>
      </c>
    </row>
    <row r="8434" spans="6:8">
      <c r="F8434" t="s">
        <v>11976</v>
      </c>
      <c r="G8434" t="s">
        <v>16217</v>
      </c>
      <c r="H8434" t="s">
        <v>20454</v>
      </c>
    </row>
    <row r="8435" spans="6:8">
      <c r="F8435" t="s">
        <v>11977</v>
      </c>
      <c r="G8435" t="s">
        <v>16218</v>
      </c>
      <c r="H8435" t="s">
        <v>20454</v>
      </c>
    </row>
    <row r="8436" spans="6:8">
      <c r="F8436" t="s">
        <v>11978</v>
      </c>
      <c r="G8436" t="s">
        <v>16219</v>
      </c>
      <c r="H8436" t="s">
        <v>20454</v>
      </c>
    </row>
    <row r="8437" spans="6:8">
      <c r="F8437" t="s">
        <v>11979</v>
      </c>
      <c r="G8437" t="s">
        <v>16220</v>
      </c>
      <c r="H8437" t="s">
        <v>20454</v>
      </c>
    </row>
    <row r="8438" spans="6:8">
      <c r="F8438" t="s">
        <v>11980</v>
      </c>
      <c r="G8438" t="s">
        <v>16221</v>
      </c>
      <c r="H8438" t="s">
        <v>20454</v>
      </c>
    </row>
    <row r="8439" spans="6:8">
      <c r="F8439" t="s">
        <v>11981</v>
      </c>
      <c r="G8439" t="s">
        <v>16222</v>
      </c>
      <c r="H8439" t="s">
        <v>20454</v>
      </c>
    </row>
    <row r="8440" spans="6:8">
      <c r="F8440" t="s">
        <v>11982</v>
      </c>
      <c r="G8440" t="s">
        <v>16223</v>
      </c>
      <c r="H8440" t="s">
        <v>20454</v>
      </c>
    </row>
    <row r="8441" spans="6:8">
      <c r="F8441" t="s">
        <v>11983</v>
      </c>
      <c r="G8441" t="s">
        <v>16224</v>
      </c>
      <c r="H8441" t="s">
        <v>20454</v>
      </c>
    </row>
    <row r="8442" spans="6:8">
      <c r="F8442" t="s">
        <v>11984</v>
      </c>
      <c r="G8442" t="s">
        <v>16225</v>
      </c>
      <c r="H8442" t="s">
        <v>20454</v>
      </c>
    </row>
    <row r="8443" spans="6:8">
      <c r="F8443" t="s">
        <v>11985</v>
      </c>
      <c r="G8443" t="s">
        <v>16226</v>
      </c>
      <c r="H8443" t="s">
        <v>20454</v>
      </c>
    </row>
    <row r="8444" spans="6:8">
      <c r="F8444" t="s">
        <v>11986</v>
      </c>
      <c r="G8444" t="s">
        <v>16227</v>
      </c>
      <c r="H8444" t="s">
        <v>20454</v>
      </c>
    </row>
    <row r="8445" spans="6:8">
      <c r="F8445" t="s">
        <v>11987</v>
      </c>
      <c r="G8445" t="s">
        <v>16228</v>
      </c>
      <c r="H8445" t="s">
        <v>20454</v>
      </c>
    </row>
    <row r="8446" spans="6:8">
      <c r="F8446" t="s">
        <v>11988</v>
      </c>
      <c r="G8446" t="s">
        <v>16229</v>
      </c>
      <c r="H8446" t="s">
        <v>20454</v>
      </c>
    </row>
    <row r="8447" spans="6:8">
      <c r="F8447" t="s">
        <v>11989</v>
      </c>
      <c r="G8447" t="s">
        <v>16230</v>
      </c>
      <c r="H8447" t="s">
        <v>20454</v>
      </c>
    </row>
    <row r="8448" spans="6:8">
      <c r="F8448" t="s">
        <v>11990</v>
      </c>
      <c r="G8448" t="s">
        <v>16231</v>
      </c>
      <c r="H8448" t="s">
        <v>20454</v>
      </c>
    </row>
    <row r="8449" spans="6:8">
      <c r="F8449" t="s">
        <v>11991</v>
      </c>
      <c r="G8449" t="s">
        <v>16232</v>
      </c>
      <c r="H8449" t="s">
        <v>20454</v>
      </c>
    </row>
    <row r="8450" spans="6:8">
      <c r="F8450" t="s">
        <v>11992</v>
      </c>
      <c r="G8450" t="s">
        <v>16233</v>
      </c>
      <c r="H8450" t="s">
        <v>20454</v>
      </c>
    </row>
    <row r="8451" spans="6:8">
      <c r="F8451" t="s">
        <v>11993</v>
      </c>
      <c r="G8451" t="s">
        <v>16234</v>
      </c>
      <c r="H8451" t="s">
        <v>20454</v>
      </c>
    </row>
    <row r="8452" spans="6:8">
      <c r="F8452" t="s">
        <v>11994</v>
      </c>
      <c r="G8452" t="s">
        <v>16235</v>
      </c>
      <c r="H8452" t="s">
        <v>20454</v>
      </c>
    </row>
    <row r="8453" spans="6:8">
      <c r="F8453" t="s">
        <v>11995</v>
      </c>
      <c r="G8453" t="s">
        <v>16236</v>
      </c>
      <c r="H8453" t="s">
        <v>20454</v>
      </c>
    </row>
    <row r="8454" spans="6:8">
      <c r="F8454" t="s">
        <v>11996</v>
      </c>
      <c r="G8454" t="s">
        <v>16237</v>
      </c>
      <c r="H8454" t="s">
        <v>20454</v>
      </c>
    </row>
    <row r="8455" spans="6:8">
      <c r="F8455" t="s">
        <v>11997</v>
      </c>
      <c r="G8455" t="s">
        <v>16238</v>
      </c>
      <c r="H8455" t="s">
        <v>20454</v>
      </c>
    </row>
    <row r="8456" spans="6:8">
      <c r="F8456" t="s">
        <v>11998</v>
      </c>
      <c r="G8456" t="s">
        <v>16239</v>
      </c>
      <c r="H8456" t="s">
        <v>20454</v>
      </c>
    </row>
    <row r="8457" spans="6:8">
      <c r="F8457" t="s">
        <v>11999</v>
      </c>
      <c r="G8457" t="s">
        <v>16240</v>
      </c>
      <c r="H8457" t="s">
        <v>20454</v>
      </c>
    </row>
    <row r="8458" spans="6:8">
      <c r="F8458" t="s">
        <v>12000</v>
      </c>
      <c r="G8458" t="s">
        <v>16241</v>
      </c>
      <c r="H8458" t="s">
        <v>20454</v>
      </c>
    </row>
    <row r="8459" spans="6:8">
      <c r="F8459" t="s">
        <v>12001</v>
      </c>
      <c r="G8459" t="s">
        <v>16242</v>
      </c>
      <c r="H8459" t="s">
        <v>20454</v>
      </c>
    </row>
    <row r="8460" spans="6:8">
      <c r="F8460" t="s">
        <v>12002</v>
      </c>
      <c r="G8460" t="s">
        <v>16243</v>
      </c>
      <c r="H8460" t="s">
        <v>20454</v>
      </c>
    </row>
    <row r="8461" spans="6:8">
      <c r="F8461" t="s">
        <v>12003</v>
      </c>
      <c r="G8461" t="s">
        <v>16244</v>
      </c>
      <c r="H8461" t="s">
        <v>20454</v>
      </c>
    </row>
    <row r="8462" spans="6:8">
      <c r="F8462" t="s">
        <v>12004</v>
      </c>
      <c r="G8462" t="s">
        <v>16245</v>
      </c>
      <c r="H8462" t="s">
        <v>20454</v>
      </c>
    </row>
    <row r="8463" spans="6:8">
      <c r="F8463" t="s">
        <v>12005</v>
      </c>
      <c r="G8463" t="s">
        <v>16246</v>
      </c>
      <c r="H8463" t="s">
        <v>20454</v>
      </c>
    </row>
    <row r="8464" spans="6:8">
      <c r="F8464" t="s">
        <v>12006</v>
      </c>
      <c r="G8464" t="s">
        <v>16247</v>
      </c>
      <c r="H8464" t="s">
        <v>20454</v>
      </c>
    </row>
    <row r="8465" spans="6:8">
      <c r="F8465" t="s">
        <v>12007</v>
      </c>
      <c r="G8465" t="s">
        <v>16248</v>
      </c>
      <c r="H8465" t="s">
        <v>20454</v>
      </c>
    </row>
    <row r="8466" spans="6:8">
      <c r="F8466" t="s">
        <v>12008</v>
      </c>
      <c r="G8466" t="s">
        <v>16249</v>
      </c>
      <c r="H8466" t="s">
        <v>20454</v>
      </c>
    </row>
    <row r="8467" spans="6:8">
      <c r="F8467" t="s">
        <v>12009</v>
      </c>
      <c r="G8467" t="s">
        <v>16250</v>
      </c>
      <c r="H8467" t="s">
        <v>20454</v>
      </c>
    </row>
    <row r="8468" spans="6:8">
      <c r="F8468" t="s">
        <v>12010</v>
      </c>
      <c r="G8468" t="s">
        <v>16251</v>
      </c>
      <c r="H8468" t="s">
        <v>20454</v>
      </c>
    </row>
    <row r="8469" spans="6:8">
      <c r="F8469" t="s">
        <v>12011</v>
      </c>
      <c r="G8469" t="s">
        <v>16252</v>
      </c>
      <c r="H8469" t="s">
        <v>20454</v>
      </c>
    </row>
    <row r="8470" spans="6:8">
      <c r="F8470" t="s">
        <v>12012</v>
      </c>
      <c r="G8470" t="s">
        <v>16253</v>
      </c>
      <c r="H8470" t="s">
        <v>20454</v>
      </c>
    </row>
    <row r="8471" spans="6:8">
      <c r="F8471" t="s">
        <v>12013</v>
      </c>
      <c r="G8471" t="s">
        <v>16254</v>
      </c>
      <c r="H8471" t="s">
        <v>20454</v>
      </c>
    </row>
    <row r="8472" spans="6:8">
      <c r="F8472" t="s">
        <v>12014</v>
      </c>
      <c r="G8472" t="s">
        <v>16255</v>
      </c>
      <c r="H8472" t="s">
        <v>20454</v>
      </c>
    </row>
    <row r="8473" spans="6:8">
      <c r="F8473" t="s">
        <v>12015</v>
      </c>
      <c r="G8473" t="s">
        <v>16256</v>
      </c>
      <c r="H8473" t="s">
        <v>20454</v>
      </c>
    </row>
    <row r="8474" spans="6:8">
      <c r="F8474" t="s">
        <v>12016</v>
      </c>
      <c r="G8474" t="s">
        <v>16257</v>
      </c>
      <c r="H8474" t="s">
        <v>20454</v>
      </c>
    </row>
    <row r="8475" spans="6:8">
      <c r="F8475" t="s">
        <v>12017</v>
      </c>
      <c r="G8475" t="s">
        <v>16258</v>
      </c>
      <c r="H8475" t="s">
        <v>20454</v>
      </c>
    </row>
    <row r="8476" spans="6:8">
      <c r="F8476" t="s">
        <v>12018</v>
      </c>
      <c r="G8476" t="s">
        <v>16259</v>
      </c>
      <c r="H8476" t="s">
        <v>20454</v>
      </c>
    </row>
    <row r="8477" spans="6:8">
      <c r="F8477" t="s">
        <v>12019</v>
      </c>
      <c r="G8477" t="s">
        <v>16260</v>
      </c>
      <c r="H8477" t="s">
        <v>20454</v>
      </c>
    </row>
    <row r="8478" spans="6:8">
      <c r="F8478" t="s">
        <v>12020</v>
      </c>
      <c r="G8478" t="s">
        <v>16261</v>
      </c>
      <c r="H8478" t="s">
        <v>20454</v>
      </c>
    </row>
    <row r="8479" spans="6:8">
      <c r="F8479" t="s">
        <v>12021</v>
      </c>
      <c r="G8479" t="s">
        <v>16262</v>
      </c>
      <c r="H8479" t="s">
        <v>20454</v>
      </c>
    </row>
    <row r="8480" spans="6:8">
      <c r="F8480" t="s">
        <v>12022</v>
      </c>
      <c r="G8480" t="s">
        <v>16263</v>
      </c>
      <c r="H8480" t="s">
        <v>20454</v>
      </c>
    </row>
    <row r="8481" spans="6:8">
      <c r="F8481" t="s">
        <v>12023</v>
      </c>
      <c r="G8481" t="s">
        <v>16264</v>
      </c>
      <c r="H8481" t="s">
        <v>20454</v>
      </c>
    </row>
    <row r="8482" spans="6:8">
      <c r="F8482" t="s">
        <v>12024</v>
      </c>
      <c r="G8482" t="s">
        <v>16265</v>
      </c>
      <c r="H8482" t="s">
        <v>20454</v>
      </c>
    </row>
    <row r="8483" spans="6:8">
      <c r="F8483" t="s">
        <v>12025</v>
      </c>
      <c r="G8483" t="s">
        <v>16266</v>
      </c>
      <c r="H8483" t="s">
        <v>20454</v>
      </c>
    </row>
    <row r="8484" spans="6:8">
      <c r="F8484" t="s">
        <v>12026</v>
      </c>
      <c r="G8484" t="s">
        <v>16267</v>
      </c>
      <c r="H8484" t="s">
        <v>20454</v>
      </c>
    </row>
    <row r="8485" spans="6:8">
      <c r="F8485" t="s">
        <v>12027</v>
      </c>
      <c r="G8485" t="s">
        <v>16268</v>
      </c>
      <c r="H8485" t="s">
        <v>20454</v>
      </c>
    </row>
    <row r="8486" spans="6:8">
      <c r="F8486" t="s">
        <v>12028</v>
      </c>
      <c r="G8486" t="s">
        <v>16269</v>
      </c>
      <c r="H8486" t="s">
        <v>20454</v>
      </c>
    </row>
    <row r="8487" spans="6:8">
      <c r="F8487" t="s">
        <v>12029</v>
      </c>
      <c r="G8487" t="s">
        <v>16270</v>
      </c>
      <c r="H8487" t="s">
        <v>20454</v>
      </c>
    </row>
    <row r="8488" spans="6:8">
      <c r="F8488" t="s">
        <v>12030</v>
      </c>
      <c r="G8488" t="s">
        <v>16271</v>
      </c>
      <c r="H8488" t="s">
        <v>20454</v>
      </c>
    </row>
    <row r="8489" spans="6:8">
      <c r="F8489" t="s">
        <v>12031</v>
      </c>
      <c r="G8489" t="s">
        <v>16272</v>
      </c>
      <c r="H8489" t="s">
        <v>20454</v>
      </c>
    </row>
    <row r="8490" spans="6:8">
      <c r="F8490" t="s">
        <v>12032</v>
      </c>
      <c r="G8490" t="s">
        <v>16273</v>
      </c>
      <c r="H8490" t="s">
        <v>20454</v>
      </c>
    </row>
    <row r="8491" spans="6:8">
      <c r="F8491" t="s">
        <v>12033</v>
      </c>
      <c r="G8491" t="s">
        <v>16274</v>
      </c>
      <c r="H8491" t="s">
        <v>20454</v>
      </c>
    </row>
    <row r="8492" spans="6:8">
      <c r="F8492" t="s">
        <v>12034</v>
      </c>
      <c r="G8492" t="s">
        <v>16275</v>
      </c>
      <c r="H8492" t="s">
        <v>20454</v>
      </c>
    </row>
    <row r="8493" spans="6:8">
      <c r="F8493" t="s">
        <v>12035</v>
      </c>
      <c r="G8493" t="s">
        <v>16276</v>
      </c>
      <c r="H8493" t="s">
        <v>20454</v>
      </c>
    </row>
    <row r="8494" spans="6:8">
      <c r="F8494" t="s">
        <v>12036</v>
      </c>
      <c r="G8494" t="s">
        <v>16277</v>
      </c>
      <c r="H8494" t="s">
        <v>20454</v>
      </c>
    </row>
    <row r="8495" spans="6:8">
      <c r="F8495" t="s">
        <v>12037</v>
      </c>
      <c r="G8495" t="s">
        <v>16278</v>
      </c>
      <c r="H8495" t="s">
        <v>20454</v>
      </c>
    </row>
    <row r="8496" spans="6:8">
      <c r="F8496" t="s">
        <v>12038</v>
      </c>
      <c r="G8496" t="s">
        <v>16279</v>
      </c>
      <c r="H8496" t="s">
        <v>20454</v>
      </c>
    </row>
    <row r="8497" spans="6:8">
      <c r="F8497" t="s">
        <v>12039</v>
      </c>
      <c r="G8497" t="s">
        <v>16280</v>
      </c>
      <c r="H8497" t="s">
        <v>20454</v>
      </c>
    </row>
    <row r="8498" spans="6:8">
      <c r="F8498" t="s">
        <v>12040</v>
      </c>
      <c r="G8498" t="s">
        <v>16281</v>
      </c>
      <c r="H8498" t="s">
        <v>20454</v>
      </c>
    </row>
    <row r="8499" spans="6:8">
      <c r="F8499" t="s">
        <v>12041</v>
      </c>
      <c r="G8499" t="s">
        <v>16282</v>
      </c>
      <c r="H8499" t="s">
        <v>20454</v>
      </c>
    </row>
    <row r="8500" spans="6:8">
      <c r="F8500" t="s">
        <v>12042</v>
      </c>
      <c r="G8500" t="s">
        <v>16283</v>
      </c>
      <c r="H8500" t="s">
        <v>20454</v>
      </c>
    </row>
    <row r="8501" spans="6:8">
      <c r="F8501" t="s">
        <v>12043</v>
      </c>
      <c r="G8501" t="s">
        <v>16284</v>
      </c>
      <c r="H8501" t="s">
        <v>20454</v>
      </c>
    </row>
    <row r="8502" spans="6:8">
      <c r="F8502" t="s">
        <v>12044</v>
      </c>
      <c r="G8502" t="s">
        <v>16285</v>
      </c>
      <c r="H8502" t="s">
        <v>20454</v>
      </c>
    </row>
    <row r="8503" spans="6:8">
      <c r="F8503" t="s">
        <v>12045</v>
      </c>
      <c r="G8503" t="s">
        <v>16286</v>
      </c>
      <c r="H8503" t="s">
        <v>20454</v>
      </c>
    </row>
    <row r="8504" spans="6:8">
      <c r="F8504" t="s">
        <v>12046</v>
      </c>
      <c r="G8504" t="s">
        <v>16287</v>
      </c>
      <c r="H8504" t="s">
        <v>20454</v>
      </c>
    </row>
    <row r="8505" spans="6:8">
      <c r="F8505" t="s">
        <v>12047</v>
      </c>
      <c r="G8505" t="s">
        <v>16288</v>
      </c>
      <c r="H8505" t="s">
        <v>20454</v>
      </c>
    </row>
    <row r="8506" spans="6:8">
      <c r="F8506" t="s">
        <v>12048</v>
      </c>
      <c r="G8506" t="s">
        <v>16289</v>
      </c>
      <c r="H8506" t="s">
        <v>20454</v>
      </c>
    </row>
    <row r="8507" spans="6:8">
      <c r="F8507" t="s">
        <v>12049</v>
      </c>
      <c r="G8507" t="s">
        <v>16290</v>
      </c>
      <c r="H8507" t="s">
        <v>20454</v>
      </c>
    </row>
    <row r="8508" spans="6:8">
      <c r="F8508" t="s">
        <v>12050</v>
      </c>
      <c r="G8508" t="s">
        <v>16291</v>
      </c>
      <c r="H8508" t="s">
        <v>20454</v>
      </c>
    </row>
    <row r="8509" spans="6:8">
      <c r="F8509" t="s">
        <v>12051</v>
      </c>
      <c r="G8509" t="s">
        <v>16292</v>
      </c>
      <c r="H8509" t="s">
        <v>20454</v>
      </c>
    </row>
    <row r="8510" spans="6:8">
      <c r="F8510" t="s">
        <v>12052</v>
      </c>
      <c r="G8510" t="s">
        <v>16293</v>
      </c>
      <c r="H8510" t="s">
        <v>20454</v>
      </c>
    </row>
    <row r="8511" spans="6:8">
      <c r="F8511" t="s">
        <v>12053</v>
      </c>
      <c r="G8511" t="s">
        <v>16294</v>
      </c>
      <c r="H8511" t="s">
        <v>20454</v>
      </c>
    </row>
    <row r="8512" spans="6:8">
      <c r="F8512" t="s">
        <v>12054</v>
      </c>
      <c r="G8512" t="s">
        <v>16295</v>
      </c>
      <c r="H8512" t="s">
        <v>20454</v>
      </c>
    </row>
    <row r="8513" spans="6:8">
      <c r="F8513" t="s">
        <v>12055</v>
      </c>
      <c r="G8513" t="s">
        <v>16296</v>
      </c>
      <c r="H8513" t="s">
        <v>20454</v>
      </c>
    </row>
    <row r="8514" spans="6:8">
      <c r="F8514" t="s">
        <v>12056</v>
      </c>
      <c r="G8514" t="s">
        <v>16297</v>
      </c>
      <c r="H8514" t="s">
        <v>20454</v>
      </c>
    </row>
    <row r="8515" spans="6:8">
      <c r="F8515" t="s">
        <v>12057</v>
      </c>
      <c r="G8515" t="s">
        <v>16298</v>
      </c>
      <c r="H8515" t="s">
        <v>20454</v>
      </c>
    </row>
    <row r="8516" spans="6:8">
      <c r="F8516" t="s">
        <v>12058</v>
      </c>
      <c r="G8516" t="s">
        <v>16299</v>
      </c>
      <c r="H8516" t="s">
        <v>20454</v>
      </c>
    </row>
    <row r="8517" spans="6:8">
      <c r="F8517" t="s">
        <v>12059</v>
      </c>
      <c r="G8517" t="s">
        <v>16300</v>
      </c>
      <c r="H8517" t="s">
        <v>20454</v>
      </c>
    </row>
    <row r="8518" spans="6:8">
      <c r="F8518" t="s">
        <v>12060</v>
      </c>
      <c r="G8518" t="s">
        <v>16301</v>
      </c>
      <c r="H8518" t="s">
        <v>20454</v>
      </c>
    </row>
    <row r="8519" spans="6:8">
      <c r="F8519" t="s">
        <v>12061</v>
      </c>
      <c r="G8519" t="s">
        <v>16302</v>
      </c>
      <c r="H8519" t="s">
        <v>20454</v>
      </c>
    </row>
    <row r="8520" spans="6:8">
      <c r="F8520" t="s">
        <v>12062</v>
      </c>
      <c r="G8520" t="s">
        <v>16303</v>
      </c>
      <c r="H8520" t="s">
        <v>20454</v>
      </c>
    </row>
    <row r="8521" spans="6:8">
      <c r="F8521" t="s">
        <v>12063</v>
      </c>
      <c r="G8521" t="s">
        <v>16304</v>
      </c>
      <c r="H8521" t="s">
        <v>20454</v>
      </c>
    </row>
    <row r="8522" spans="6:8">
      <c r="F8522" t="s">
        <v>12064</v>
      </c>
      <c r="G8522" t="s">
        <v>16305</v>
      </c>
      <c r="H8522" t="s">
        <v>20454</v>
      </c>
    </row>
    <row r="8523" spans="6:8">
      <c r="F8523" t="s">
        <v>12065</v>
      </c>
      <c r="G8523" t="s">
        <v>16306</v>
      </c>
      <c r="H8523" t="s">
        <v>20454</v>
      </c>
    </row>
    <row r="8524" spans="6:8">
      <c r="F8524" t="s">
        <v>12066</v>
      </c>
      <c r="G8524" t="s">
        <v>16307</v>
      </c>
      <c r="H8524" t="s">
        <v>20454</v>
      </c>
    </row>
    <row r="8525" spans="6:8">
      <c r="F8525" t="s">
        <v>12067</v>
      </c>
      <c r="G8525" t="s">
        <v>16308</v>
      </c>
      <c r="H8525" t="s">
        <v>20454</v>
      </c>
    </row>
    <row r="8526" spans="6:8">
      <c r="F8526" t="s">
        <v>12068</v>
      </c>
      <c r="G8526" t="s">
        <v>16309</v>
      </c>
      <c r="H8526" t="s">
        <v>20454</v>
      </c>
    </row>
    <row r="8527" spans="6:8">
      <c r="F8527" t="s">
        <v>12069</v>
      </c>
      <c r="G8527" t="s">
        <v>16310</v>
      </c>
      <c r="H8527" t="s">
        <v>20454</v>
      </c>
    </row>
    <row r="8528" spans="6:8">
      <c r="F8528" t="s">
        <v>12070</v>
      </c>
      <c r="G8528" t="s">
        <v>16311</v>
      </c>
      <c r="H8528" t="s">
        <v>20454</v>
      </c>
    </row>
    <row r="8529" spans="6:8">
      <c r="F8529" t="s">
        <v>12071</v>
      </c>
      <c r="G8529" t="s">
        <v>16312</v>
      </c>
      <c r="H8529" t="s">
        <v>20454</v>
      </c>
    </row>
    <row r="8530" spans="6:8">
      <c r="F8530" t="s">
        <v>12072</v>
      </c>
      <c r="G8530" t="s">
        <v>16313</v>
      </c>
      <c r="H8530" t="s">
        <v>20454</v>
      </c>
    </row>
    <row r="8531" spans="6:8">
      <c r="F8531" t="s">
        <v>12073</v>
      </c>
      <c r="G8531" t="s">
        <v>16314</v>
      </c>
      <c r="H8531" t="s">
        <v>20454</v>
      </c>
    </row>
    <row r="8532" spans="6:8">
      <c r="F8532" t="s">
        <v>12074</v>
      </c>
      <c r="G8532" t="s">
        <v>16315</v>
      </c>
      <c r="H8532" t="s">
        <v>20454</v>
      </c>
    </row>
    <row r="8533" spans="6:8">
      <c r="F8533" t="s">
        <v>12075</v>
      </c>
      <c r="G8533" t="s">
        <v>16316</v>
      </c>
      <c r="H8533" t="s">
        <v>20454</v>
      </c>
    </row>
    <row r="8534" spans="6:8">
      <c r="F8534" t="s">
        <v>12076</v>
      </c>
      <c r="G8534" t="s">
        <v>16317</v>
      </c>
      <c r="H8534" t="s">
        <v>20454</v>
      </c>
    </row>
    <row r="8535" spans="6:8">
      <c r="F8535" t="s">
        <v>12077</v>
      </c>
      <c r="G8535" t="s">
        <v>16318</v>
      </c>
      <c r="H8535" t="s">
        <v>20454</v>
      </c>
    </row>
    <row r="8536" spans="6:8">
      <c r="F8536" t="s">
        <v>12078</v>
      </c>
      <c r="G8536" t="s">
        <v>16319</v>
      </c>
      <c r="H8536" t="s">
        <v>20454</v>
      </c>
    </row>
    <row r="8537" spans="6:8">
      <c r="F8537" t="s">
        <v>12079</v>
      </c>
      <c r="G8537" t="s">
        <v>16320</v>
      </c>
      <c r="H8537" t="s">
        <v>20454</v>
      </c>
    </row>
    <row r="8538" spans="6:8">
      <c r="F8538" t="s">
        <v>12080</v>
      </c>
      <c r="G8538" t="s">
        <v>16321</v>
      </c>
      <c r="H8538" t="s">
        <v>20454</v>
      </c>
    </row>
    <row r="8539" spans="6:8">
      <c r="F8539" t="s">
        <v>12081</v>
      </c>
      <c r="G8539" t="s">
        <v>16322</v>
      </c>
      <c r="H8539" t="s">
        <v>20454</v>
      </c>
    </row>
    <row r="8540" spans="6:8">
      <c r="F8540" t="s">
        <v>12082</v>
      </c>
      <c r="G8540" t="s">
        <v>16323</v>
      </c>
      <c r="H8540" t="s">
        <v>20454</v>
      </c>
    </row>
    <row r="8541" spans="6:8">
      <c r="F8541" t="s">
        <v>12083</v>
      </c>
      <c r="G8541" t="s">
        <v>16324</v>
      </c>
      <c r="H8541" t="s">
        <v>20454</v>
      </c>
    </row>
    <row r="8542" spans="6:8">
      <c r="F8542" t="s">
        <v>12084</v>
      </c>
      <c r="G8542" t="s">
        <v>16325</v>
      </c>
      <c r="H8542" t="s">
        <v>20454</v>
      </c>
    </row>
    <row r="8543" spans="6:8">
      <c r="F8543" t="s">
        <v>12085</v>
      </c>
      <c r="G8543" t="s">
        <v>16326</v>
      </c>
      <c r="H8543" t="s">
        <v>20454</v>
      </c>
    </row>
    <row r="8544" spans="6:8">
      <c r="F8544" t="s">
        <v>12086</v>
      </c>
      <c r="G8544" t="s">
        <v>16327</v>
      </c>
      <c r="H8544" t="s">
        <v>20454</v>
      </c>
    </row>
    <row r="8545" spans="6:8">
      <c r="F8545" t="s">
        <v>12087</v>
      </c>
      <c r="G8545" t="s">
        <v>16328</v>
      </c>
      <c r="H8545" t="s">
        <v>20454</v>
      </c>
    </row>
    <row r="8546" spans="6:8">
      <c r="F8546" t="s">
        <v>12088</v>
      </c>
      <c r="G8546" t="s">
        <v>16329</v>
      </c>
      <c r="H8546" t="s">
        <v>20454</v>
      </c>
    </row>
    <row r="8547" spans="6:8">
      <c r="F8547" t="s">
        <v>12089</v>
      </c>
      <c r="G8547" t="s">
        <v>16330</v>
      </c>
      <c r="H8547" t="s">
        <v>20454</v>
      </c>
    </row>
    <row r="8548" spans="6:8">
      <c r="F8548" t="s">
        <v>12090</v>
      </c>
      <c r="G8548" t="s">
        <v>16331</v>
      </c>
      <c r="H8548" t="s">
        <v>20454</v>
      </c>
    </row>
    <row r="8549" spans="6:8">
      <c r="F8549" t="s">
        <v>12091</v>
      </c>
      <c r="G8549" t="s">
        <v>16332</v>
      </c>
      <c r="H8549" t="s">
        <v>20454</v>
      </c>
    </row>
    <row r="8550" spans="6:8">
      <c r="F8550" t="s">
        <v>12092</v>
      </c>
      <c r="G8550" t="s">
        <v>16333</v>
      </c>
      <c r="H8550" t="s">
        <v>20454</v>
      </c>
    </row>
    <row r="8551" spans="6:8">
      <c r="F8551" t="s">
        <v>12093</v>
      </c>
      <c r="G8551" t="s">
        <v>16334</v>
      </c>
      <c r="H8551" t="s">
        <v>20454</v>
      </c>
    </row>
    <row r="8552" spans="6:8">
      <c r="F8552" t="s">
        <v>12094</v>
      </c>
      <c r="G8552" t="s">
        <v>16335</v>
      </c>
      <c r="H8552" t="s">
        <v>20454</v>
      </c>
    </row>
    <row r="8553" spans="6:8">
      <c r="F8553" t="s">
        <v>12095</v>
      </c>
      <c r="G8553" t="s">
        <v>16336</v>
      </c>
      <c r="H8553" t="s">
        <v>20454</v>
      </c>
    </row>
    <row r="8554" spans="6:8">
      <c r="F8554" t="s">
        <v>12096</v>
      </c>
      <c r="G8554" t="s">
        <v>16337</v>
      </c>
      <c r="H8554" t="s">
        <v>20454</v>
      </c>
    </row>
    <row r="8555" spans="6:8">
      <c r="F8555" t="s">
        <v>12097</v>
      </c>
      <c r="G8555" t="s">
        <v>16338</v>
      </c>
      <c r="H8555" t="s">
        <v>20454</v>
      </c>
    </row>
    <row r="8556" spans="6:8">
      <c r="F8556" t="s">
        <v>12098</v>
      </c>
      <c r="G8556" t="s">
        <v>16339</v>
      </c>
      <c r="H8556" t="s">
        <v>20454</v>
      </c>
    </row>
    <row r="8557" spans="6:8">
      <c r="F8557" t="s">
        <v>12099</v>
      </c>
      <c r="G8557" t="s">
        <v>16340</v>
      </c>
      <c r="H8557" t="s">
        <v>20454</v>
      </c>
    </row>
    <row r="8558" spans="6:8">
      <c r="F8558" t="s">
        <v>12100</v>
      </c>
      <c r="G8558" t="s">
        <v>16341</v>
      </c>
      <c r="H8558" t="s">
        <v>20454</v>
      </c>
    </row>
    <row r="8559" spans="6:8">
      <c r="F8559" t="s">
        <v>12101</v>
      </c>
      <c r="G8559" t="s">
        <v>16342</v>
      </c>
      <c r="H8559" t="s">
        <v>20454</v>
      </c>
    </row>
    <row r="8560" spans="6:8">
      <c r="F8560" t="s">
        <v>12102</v>
      </c>
      <c r="G8560" t="s">
        <v>16343</v>
      </c>
      <c r="H8560" t="s">
        <v>20454</v>
      </c>
    </row>
    <row r="8561" spans="6:8">
      <c r="F8561" t="s">
        <v>12103</v>
      </c>
      <c r="G8561" t="s">
        <v>16344</v>
      </c>
      <c r="H8561" t="s">
        <v>20454</v>
      </c>
    </row>
    <row r="8562" spans="6:8">
      <c r="F8562" t="s">
        <v>12104</v>
      </c>
      <c r="G8562" t="s">
        <v>16345</v>
      </c>
      <c r="H8562" t="s">
        <v>20454</v>
      </c>
    </row>
    <row r="8563" spans="6:8">
      <c r="F8563" t="s">
        <v>12105</v>
      </c>
      <c r="G8563" t="s">
        <v>16346</v>
      </c>
      <c r="H8563" t="s">
        <v>20454</v>
      </c>
    </row>
    <row r="8564" spans="6:8">
      <c r="F8564" t="s">
        <v>12106</v>
      </c>
      <c r="G8564" t="s">
        <v>16347</v>
      </c>
      <c r="H8564" t="s">
        <v>20454</v>
      </c>
    </row>
    <row r="8565" spans="6:8">
      <c r="F8565" t="s">
        <v>12107</v>
      </c>
      <c r="G8565" t="s">
        <v>16348</v>
      </c>
      <c r="H8565" t="s">
        <v>20454</v>
      </c>
    </row>
    <row r="8566" spans="6:8">
      <c r="F8566" t="s">
        <v>12108</v>
      </c>
      <c r="G8566" t="s">
        <v>16349</v>
      </c>
      <c r="H8566" t="s">
        <v>20454</v>
      </c>
    </row>
    <row r="8567" spans="6:8">
      <c r="F8567" t="s">
        <v>12109</v>
      </c>
      <c r="G8567" t="s">
        <v>16350</v>
      </c>
      <c r="H8567" t="s">
        <v>20454</v>
      </c>
    </row>
    <row r="8568" spans="6:8">
      <c r="F8568" t="s">
        <v>12110</v>
      </c>
      <c r="G8568" t="s">
        <v>16351</v>
      </c>
      <c r="H8568" t="s">
        <v>20454</v>
      </c>
    </row>
    <row r="8569" spans="6:8">
      <c r="F8569" t="s">
        <v>12111</v>
      </c>
      <c r="G8569" t="s">
        <v>16352</v>
      </c>
      <c r="H8569" t="s">
        <v>20454</v>
      </c>
    </row>
    <row r="8570" spans="6:8">
      <c r="F8570" t="s">
        <v>12112</v>
      </c>
      <c r="G8570" t="s">
        <v>16353</v>
      </c>
      <c r="H8570" t="s">
        <v>20454</v>
      </c>
    </row>
    <row r="8571" spans="6:8">
      <c r="F8571" t="s">
        <v>12113</v>
      </c>
      <c r="G8571" t="s">
        <v>16354</v>
      </c>
      <c r="H8571" t="s">
        <v>20454</v>
      </c>
    </row>
    <row r="8572" spans="6:8">
      <c r="F8572" t="s">
        <v>12114</v>
      </c>
      <c r="G8572" t="s">
        <v>16355</v>
      </c>
      <c r="H8572" t="s">
        <v>20454</v>
      </c>
    </row>
    <row r="8573" spans="6:8">
      <c r="F8573" t="s">
        <v>12115</v>
      </c>
      <c r="G8573" t="s">
        <v>16356</v>
      </c>
      <c r="H8573" t="s">
        <v>20454</v>
      </c>
    </row>
    <row r="8574" spans="6:8">
      <c r="F8574" t="s">
        <v>12116</v>
      </c>
      <c r="G8574" t="s">
        <v>16357</v>
      </c>
      <c r="H8574" t="s">
        <v>20454</v>
      </c>
    </row>
    <row r="8575" spans="6:8">
      <c r="F8575" t="s">
        <v>12117</v>
      </c>
      <c r="G8575" t="s">
        <v>16358</v>
      </c>
      <c r="H8575" t="s">
        <v>20454</v>
      </c>
    </row>
    <row r="8576" spans="6:8">
      <c r="F8576" t="s">
        <v>12118</v>
      </c>
      <c r="G8576" t="s">
        <v>16359</v>
      </c>
      <c r="H8576" t="s">
        <v>20454</v>
      </c>
    </row>
    <row r="8577" spans="6:8">
      <c r="F8577" t="s">
        <v>12119</v>
      </c>
      <c r="G8577" t="s">
        <v>16360</v>
      </c>
      <c r="H8577" t="s">
        <v>20454</v>
      </c>
    </row>
    <row r="8578" spans="6:8">
      <c r="F8578" t="s">
        <v>12120</v>
      </c>
      <c r="G8578" t="s">
        <v>16361</v>
      </c>
      <c r="H8578" t="s">
        <v>20454</v>
      </c>
    </row>
    <row r="8579" spans="6:8">
      <c r="F8579" t="s">
        <v>12121</v>
      </c>
      <c r="G8579" t="s">
        <v>16362</v>
      </c>
      <c r="H8579" t="s">
        <v>20454</v>
      </c>
    </row>
    <row r="8580" spans="6:8">
      <c r="F8580" t="s">
        <v>12122</v>
      </c>
      <c r="G8580" t="s">
        <v>16363</v>
      </c>
      <c r="H8580" t="s">
        <v>20454</v>
      </c>
    </row>
    <row r="8581" spans="6:8">
      <c r="F8581" t="s">
        <v>12123</v>
      </c>
      <c r="G8581" t="s">
        <v>16364</v>
      </c>
      <c r="H8581" t="s">
        <v>20454</v>
      </c>
    </row>
    <row r="8582" spans="6:8">
      <c r="F8582" t="s">
        <v>12124</v>
      </c>
      <c r="G8582" t="s">
        <v>16365</v>
      </c>
      <c r="H8582" t="s">
        <v>20454</v>
      </c>
    </row>
    <row r="8583" spans="6:8">
      <c r="F8583" t="s">
        <v>12125</v>
      </c>
      <c r="G8583" t="s">
        <v>16366</v>
      </c>
      <c r="H8583" t="s">
        <v>20454</v>
      </c>
    </row>
    <row r="8584" spans="6:8">
      <c r="F8584" t="s">
        <v>12126</v>
      </c>
      <c r="G8584" t="s">
        <v>16367</v>
      </c>
      <c r="H8584" t="s">
        <v>20454</v>
      </c>
    </row>
    <row r="8585" spans="6:8">
      <c r="F8585" t="s">
        <v>12127</v>
      </c>
      <c r="G8585" t="s">
        <v>16368</v>
      </c>
      <c r="H8585" t="s">
        <v>20454</v>
      </c>
    </row>
    <row r="8586" spans="6:8">
      <c r="F8586" t="s">
        <v>12128</v>
      </c>
      <c r="G8586" t="s">
        <v>16369</v>
      </c>
      <c r="H8586" t="s">
        <v>20454</v>
      </c>
    </row>
    <row r="8587" spans="6:8">
      <c r="F8587" t="s">
        <v>12129</v>
      </c>
      <c r="G8587" t="s">
        <v>16370</v>
      </c>
      <c r="H8587" t="s">
        <v>20454</v>
      </c>
    </row>
    <row r="8588" spans="6:8">
      <c r="F8588" t="s">
        <v>12130</v>
      </c>
      <c r="G8588" t="s">
        <v>16371</v>
      </c>
      <c r="H8588" t="s">
        <v>20454</v>
      </c>
    </row>
    <row r="8589" spans="6:8">
      <c r="F8589" t="s">
        <v>12131</v>
      </c>
      <c r="G8589" t="s">
        <v>16372</v>
      </c>
      <c r="H8589" t="s">
        <v>20454</v>
      </c>
    </row>
    <row r="8590" spans="6:8">
      <c r="F8590" t="s">
        <v>12132</v>
      </c>
      <c r="G8590" t="s">
        <v>16373</v>
      </c>
      <c r="H8590" t="s">
        <v>20454</v>
      </c>
    </row>
    <row r="8591" spans="6:8">
      <c r="F8591" t="s">
        <v>12133</v>
      </c>
      <c r="G8591" t="s">
        <v>16374</v>
      </c>
      <c r="H8591" t="s">
        <v>20454</v>
      </c>
    </row>
    <row r="8592" spans="6:8">
      <c r="F8592" t="s">
        <v>12134</v>
      </c>
      <c r="G8592" t="s">
        <v>16375</v>
      </c>
      <c r="H8592" t="s">
        <v>20454</v>
      </c>
    </row>
    <row r="8593" spans="6:8">
      <c r="F8593" t="s">
        <v>12135</v>
      </c>
      <c r="G8593" t="s">
        <v>16376</v>
      </c>
      <c r="H8593" t="s">
        <v>20454</v>
      </c>
    </row>
    <row r="8594" spans="6:8">
      <c r="F8594" t="s">
        <v>12136</v>
      </c>
      <c r="G8594" t="s">
        <v>16377</v>
      </c>
      <c r="H8594" t="s">
        <v>20454</v>
      </c>
    </row>
    <row r="8595" spans="6:8">
      <c r="F8595" t="s">
        <v>12137</v>
      </c>
      <c r="G8595" t="s">
        <v>16378</v>
      </c>
      <c r="H8595" t="s">
        <v>20454</v>
      </c>
    </row>
    <row r="8596" spans="6:8">
      <c r="F8596" t="s">
        <v>12138</v>
      </c>
      <c r="G8596" t="s">
        <v>16379</v>
      </c>
      <c r="H8596" t="s">
        <v>20454</v>
      </c>
    </row>
    <row r="8597" spans="6:8">
      <c r="F8597" t="s">
        <v>12139</v>
      </c>
      <c r="G8597" t="s">
        <v>16380</v>
      </c>
      <c r="H8597" t="s">
        <v>20454</v>
      </c>
    </row>
    <row r="8598" spans="6:8">
      <c r="F8598" t="s">
        <v>12140</v>
      </c>
      <c r="G8598" t="s">
        <v>16381</v>
      </c>
      <c r="H8598" t="s">
        <v>20454</v>
      </c>
    </row>
    <row r="8599" spans="6:8">
      <c r="F8599" t="s">
        <v>12141</v>
      </c>
      <c r="G8599" t="s">
        <v>16382</v>
      </c>
      <c r="H8599" t="s">
        <v>20454</v>
      </c>
    </row>
    <row r="8600" spans="6:8">
      <c r="F8600" t="s">
        <v>12142</v>
      </c>
      <c r="G8600" t="s">
        <v>16383</v>
      </c>
      <c r="H8600" t="s">
        <v>20454</v>
      </c>
    </row>
    <row r="8601" spans="6:8">
      <c r="F8601" t="s">
        <v>12143</v>
      </c>
      <c r="G8601" t="s">
        <v>16384</v>
      </c>
      <c r="H8601" t="s">
        <v>20454</v>
      </c>
    </row>
    <row r="8602" spans="6:8">
      <c r="F8602" t="s">
        <v>12144</v>
      </c>
      <c r="G8602" t="s">
        <v>16385</v>
      </c>
      <c r="H8602" t="s">
        <v>20454</v>
      </c>
    </row>
    <row r="8603" spans="6:8">
      <c r="F8603" t="s">
        <v>12145</v>
      </c>
      <c r="G8603" t="s">
        <v>16386</v>
      </c>
      <c r="H8603" t="s">
        <v>20454</v>
      </c>
    </row>
    <row r="8604" spans="6:8">
      <c r="F8604" t="s">
        <v>12146</v>
      </c>
      <c r="G8604" t="s">
        <v>16387</v>
      </c>
      <c r="H8604" t="s">
        <v>20454</v>
      </c>
    </row>
    <row r="8605" spans="6:8">
      <c r="F8605" t="s">
        <v>12147</v>
      </c>
      <c r="G8605" t="s">
        <v>16388</v>
      </c>
      <c r="H8605" t="s">
        <v>20454</v>
      </c>
    </row>
    <row r="8606" spans="6:8">
      <c r="F8606" t="s">
        <v>12148</v>
      </c>
      <c r="G8606" t="s">
        <v>16389</v>
      </c>
      <c r="H8606" t="s">
        <v>20454</v>
      </c>
    </row>
    <row r="8607" spans="6:8">
      <c r="F8607" t="s">
        <v>12149</v>
      </c>
      <c r="G8607" t="s">
        <v>16390</v>
      </c>
      <c r="H8607" t="s">
        <v>20454</v>
      </c>
    </row>
    <row r="8608" spans="6:8">
      <c r="F8608" t="s">
        <v>12150</v>
      </c>
      <c r="G8608" t="s">
        <v>16391</v>
      </c>
      <c r="H8608" t="s">
        <v>20454</v>
      </c>
    </row>
    <row r="8609" spans="1:8">
      <c r="F8609" t="s">
        <v>12151</v>
      </c>
      <c r="G8609" t="s">
        <v>16392</v>
      </c>
      <c r="H8609" t="s">
        <v>20454</v>
      </c>
    </row>
    <row r="8610" spans="1:8">
      <c r="F8610" t="s">
        <v>12152</v>
      </c>
      <c r="G8610" t="s">
        <v>16393</v>
      </c>
      <c r="H8610" t="s">
        <v>20454</v>
      </c>
    </row>
    <row r="8611" spans="1:8">
      <c r="F8611" t="s">
        <v>12153</v>
      </c>
      <c r="G8611" t="s">
        <v>16394</v>
      </c>
      <c r="H8611" t="s">
        <v>20454</v>
      </c>
    </row>
    <row r="8612" spans="1:8">
      <c r="F8612" t="s">
        <v>12154</v>
      </c>
      <c r="G8612" t="s">
        <v>16395</v>
      </c>
      <c r="H8612" t="s">
        <v>20454</v>
      </c>
    </row>
    <row r="8613" spans="1:8">
      <c r="F8613" t="s">
        <v>12155</v>
      </c>
      <c r="G8613" t="s">
        <v>16396</v>
      </c>
      <c r="H8613" t="s">
        <v>20454</v>
      </c>
    </row>
    <row r="8614" spans="1:8">
      <c r="F8614" t="s">
        <v>12156</v>
      </c>
      <c r="G8614" t="s">
        <v>16397</v>
      </c>
      <c r="H8614" t="s">
        <v>20454</v>
      </c>
    </row>
    <row r="8615" spans="1:8">
      <c r="F8615" t="s">
        <v>12157</v>
      </c>
      <c r="G8615" t="s">
        <v>16398</v>
      </c>
      <c r="H8615" t="s">
        <v>20454</v>
      </c>
    </row>
    <row r="8616" spans="1:8">
      <c r="F8616" t="s">
        <v>12158</v>
      </c>
      <c r="G8616" t="s">
        <v>16399</v>
      </c>
      <c r="H8616" t="s">
        <v>20454</v>
      </c>
    </row>
    <row r="8617" spans="1:8">
      <c r="F8617" t="s">
        <v>12159</v>
      </c>
      <c r="G8617" t="s">
        <v>16400</v>
      </c>
      <c r="H8617" t="s">
        <v>20454</v>
      </c>
    </row>
    <row r="8618" spans="1:8">
      <c r="F8618" t="s">
        <v>12160</v>
      </c>
      <c r="G8618" t="s">
        <v>16401</v>
      </c>
      <c r="H8618" t="s">
        <v>20454</v>
      </c>
    </row>
    <row r="8619" spans="1:8">
      <c r="F8619" t="s">
        <v>12161</v>
      </c>
      <c r="G8619" t="s">
        <v>16402</v>
      </c>
      <c r="H8619" t="s">
        <v>20454</v>
      </c>
    </row>
    <row r="8620" spans="1:8">
      <c r="F8620" t="s">
        <v>12162</v>
      </c>
      <c r="G8620" t="s">
        <v>16403</v>
      </c>
      <c r="H8620" t="s">
        <v>20454</v>
      </c>
    </row>
    <row r="8621" spans="1:8">
      <c r="F8621" t="s">
        <v>12163</v>
      </c>
      <c r="G8621" t="s">
        <v>16404</v>
      </c>
      <c r="H8621" t="s">
        <v>20454</v>
      </c>
    </row>
    <row r="8622" spans="1:8">
      <c r="A8622" t="s">
        <v>385</v>
      </c>
      <c r="B8622">
        <f>HYPERLINK("https://android.googlesource.com/platform/cts/+/4e6d45f82b77da6b36998ddf51d628753867d137", "4e6d45f82b77da6b36998ddf51d628753867d137")</f>
        <v>0</v>
      </c>
      <c r="C8622">
        <f>HYPERLINK("https://android.googlesource.com/platform/cts/+/a0296d64c0c18e1a892d0ef770830624a8af0411", "a0296d64c0c18e1a892d0ef770830624a8af0411")</f>
        <v>0</v>
      </c>
      <c r="D8622" t="s">
        <v>4973</v>
      </c>
      <c r="E8622" t="s">
        <v>6179</v>
      </c>
      <c r="F8622" t="s">
        <v>11454</v>
      </c>
      <c r="G8622" t="s">
        <v>15694</v>
      </c>
      <c r="H8622" t="s">
        <v>21135</v>
      </c>
    </row>
    <row r="8623" spans="1:8">
      <c r="A8623" t="s">
        <v>386</v>
      </c>
      <c r="B8623">
        <f>HYPERLINK("https://android.googlesource.com/platform/cts/+/249fe05dbee3fcf67a1fcbb6c5371f833c606450", "249fe05dbee3fcf67a1fcbb6c5371f833c606450")</f>
        <v>0</v>
      </c>
      <c r="C8623">
        <f>HYPERLINK("https://android.googlesource.com/platform/cts/+/355ac7ba6634755553f607c6cce0fb623bea5519", "355ac7ba6634755553f607c6cce0fb623bea5519")</f>
        <v>0</v>
      </c>
      <c r="D8623" t="s">
        <v>4987</v>
      </c>
      <c r="E8623" t="s">
        <v>6180</v>
      </c>
      <c r="F8623" t="s">
        <v>10721</v>
      </c>
      <c r="G8623" t="s">
        <v>15120</v>
      </c>
      <c r="H8623" t="s">
        <v>21137</v>
      </c>
    </row>
    <row r="8624" spans="1:8">
      <c r="H8624" t="s">
        <v>21138</v>
      </c>
    </row>
    <row r="8625" spans="1:8">
      <c r="H8625" t="s">
        <v>21139</v>
      </c>
    </row>
    <row r="8626" spans="1:8">
      <c r="H8626" t="s">
        <v>19213</v>
      </c>
    </row>
    <row r="8627" spans="1:8">
      <c r="F8627" t="s">
        <v>11190</v>
      </c>
      <c r="G8627" t="s">
        <v>15579</v>
      </c>
      <c r="H8627" t="s">
        <v>21141</v>
      </c>
    </row>
    <row r="8628" spans="1:8">
      <c r="F8628" t="s">
        <v>10687</v>
      </c>
      <c r="G8628" t="s">
        <v>15087</v>
      </c>
      <c r="H8628" t="s">
        <v>21142</v>
      </c>
    </row>
    <row r="8629" spans="1:8">
      <c r="A8629" t="s">
        <v>387</v>
      </c>
      <c r="B8629">
        <f>HYPERLINK("https://android.googlesource.com/platform/cts/+/b1677ec3ffc62cc9ca67e57ce0eeefdd63d20c5d", "b1677ec3ffc62cc9ca67e57ce0eeefdd63d20c5d")</f>
        <v>0</v>
      </c>
      <c r="C8629">
        <f>HYPERLINK("https://android.googlesource.com/platform/cts/+/d747becc7c644563f8003a78ffb3442dc61f672b", "d747becc7c644563f8003a78ffb3442dc61f672b")</f>
        <v>0</v>
      </c>
      <c r="D8629" t="s">
        <v>4973</v>
      </c>
      <c r="E8629" t="s">
        <v>6181</v>
      </c>
      <c r="F8629" t="s">
        <v>12164</v>
      </c>
      <c r="G8629" t="s">
        <v>16405</v>
      </c>
      <c r="H8629" t="s">
        <v>21143</v>
      </c>
    </row>
    <row r="8630" spans="1:8">
      <c r="H8630" t="s">
        <v>21144</v>
      </c>
    </row>
    <row r="8631" spans="1:8">
      <c r="H8631" t="s">
        <v>21145</v>
      </c>
    </row>
    <row r="8632" spans="1:8">
      <c r="H8632" t="s">
        <v>21146</v>
      </c>
    </row>
    <row r="8633" spans="1:8">
      <c r="H8633" t="s">
        <v>21147</v>
      </c>
    </row>
    <row r="8634" spans="1:8">
      <c r="H8634" t="s">
        <v>21148</v>
      </c>
    </row>
    <row r="8635" spans="1:8">
      <c r="H8635" t="s">
        <v>21149</v>
      </c>
    </row>
    <row r="8636" spans="1:8">
      <c r="A8636" t="s">
        <v>388</v>
      </c>
      <c r="B8636">
        <f>HYPERLINK("https://android.googlesource.com/platform/cts/+/24428b818f44db5a242b3858bb97a15becad2318", "24428b818f44db5a242b3858bb97a15becad2318")</f>
        <v>0</v>
      </c>
      <c r="C8636">
        <f>HYPERLINK("https://android.googlesource.com/platform/cts/+/640916170fd94f52afc42e116f5086165136785d", "640916170fd94f52afc42e116f5086165136785d")</f>
        <v>0</v>
      </c>
      <c r="D8636" t="s">
        <v>4973</v>
      </c>
      <c r="E8636" t="s">
        <v>6182</v>
      </c>
      <c r="F8636" t="s">
        <v>11454</v>
      </c>
      <c r="G8636" t="s">
        <v>15694</v>
      </c>
      <c r="H8636" t="s">
        <v>21150</v>
      </c>
    </row>
    <row r="8637" spans="1:8">
      <c r="A8637" t="s">
        <v>389</v>
      </c>
      <c r="B8637">
        <f>HYPERLINK("https://android.googlesource.com/platform/cts/+/70d002367c94dae15fe19029f5f8dc13ed5054c0", "70d002367c94dae15fe19029f5f8dc13ed5054c0")</f>
        <v>0</v>
      </c>
      <c r="C8637">
        <f>HYPERLINK("https://android.googlesource.com/platform/cts/+/bdbb8113ca5973ab7c8ea0433a2bd877d15b6d23", "bdbb8113ca5973ab7c8ea0433a2bd877d15b6d23")</f>
        <v>0</v>
      </c>
      <c r="D8637" t="s">
        <v>4973</v>
      </c>
      <c r="E8637" t="s">
        <v>6183</v>
      </c>
      <c r="F8637" t="s">
        <v>12165</v>
      </c>
      <c r="G8637" t="s">
        <v>15676</v>
      </c>
      <c r="H8637" t="s">
        <v>20298</v>
      </c>
    </row>
    <row r="8638" spans="1:8">
      <c r="H8638" t="s">
        <v>20299</v>
      </c>
    </row>
    <row r="8639" spans="1:8">
      <c r="H8639" t="s">
        <v>20300</v>
      </c>
    </row>
    <row r="8640" spans="1:8">
      <c r="H8640" t="s">
        <v>20301</v>
      </c>
    </row>
    <row r="8641" spans="1:8">
      <c r="H8641" t="s">
        <v>20302</v>
      </c>
    </row>
    <row r="8642" spans="1:8">
      <c r="H8642" t="s">
        <v>20303</v>
      </c>
    </row>
    <row r="8643" spans="1:8">
      <c r="A8643" t="s">
        <v>390</v>
      </c>
      <c r="B8643">
        <f>HYPERLINK("https://android.googlesource.com/platform/cts/+/0ed72c72490f37a7d31643b459300e67fd3a5a1b", "0ed72c72490f37a7d31643b459300e67fd3a5a1b")</f>
        <v>0</v>
      </c>
      <c r="C8643">
        <f>HYPERLINK("https://android.googlesource.com/platform/cts/+/eec74668cf14293cd66968b73146cf4471fdfe47", "eec74668cf14293cd66968b73146cf4471fdfe47")</f>
        <v>0</v>
      </c>
      <c r="D8643" t="s">
        <v>4973</v>
      </c>
      <c r="E8643" t="s">
        <v>6184</v>
      </c>
      <c r="F8643" t="s">
        <v>11454</v>
      </c>
      <c r="G8643" t="s">
        <v>15694</v>
      </c>
      <c r="H8643" t="s">
        <v>21151</v>
      </c>
    </row>
    <row r="8644" spans="1:8">
      <c r="H8644" t="s">
        <v>21152</v>
      </c>
    </row>
    <row r="8645" spans="1:8">
      <c r="H8645" t="s">
        <v>21153</v>
      </c>
    </row>
    <row r="8646" spans="1:8">
      <c r="F8646" t="s">
        <v>11455</v>
      </c>
      <c r="G8646" t="s">
        <v>15695</v>
      </c>
      <c r="H8646" t="s">
        <v>21152</v>
      </c>
    </row>
    <row r="8647" spans="1:8">
      <c r="H8647" t="s">
        <v>21153</v>
      </c>
    </row>
    <row r="8648" spans="1:8">
      <c r="A8648" t="s">
        <v>392</v>
      </c>
      <c r="B8648">
        <f>HYPERLINK("https://android.googlesource.com/platform/cts/+/ade195341f22c03b3a1b2f29729bcb3dbca8710a", "ade195341f22c03b3a1b2f29729bcb3dbca8710a")</f>
        <v>0</v>
      </c>
      <c r="C8648">
        <f>HYPERLINK("https://android.googlesource.com/platform/cts/+/8d13f3f8cbf991832117a68053905df1659d71e0", "8d13f3f8cbf991832117a68053905df1659d71e0")</f>
        <v>0</v>
      </c>
      <c r="D8648" t="s">
        <v>4980</v>
      </c>
      <c r="E8648" t="s">
        <v>6186</v>
      </c>
      <c r="F8648" t="s">
        <v>10750</v>
      </c>
      <c r="G8648" t="s">
        <v>15148</v>
      </c>
      <c r="H8648" t="s">
        <v>21156</v>
      </c>
    </row>
    <row r="8649" spans="1:8">
      <c r="H8649" t="s">
        <v>21157</v>
      </c>
    </row>
    <row r="8650" spans="1:8">
      <c r="A8650" t="s">
        <v>393</v>
      </c>
      <c r="B8650">
        <f>HYPERLINK("https://android.googlesource.com/platform/cts/+/2e8627ac963a680c941f8147dca784a8d58a9b35", "2e8627ac963a680c941f8147dca784a8d58a9b35")</f>
        <v>0</v>
      </c>
      <c r="C8650">
        <f>HYPERLINK("https://android.googlesource.com/platform/cts/+/72ebb23ef0dd074e1852bc4e9d4ff75c59787b1f", "72ebb23ef0dd074e1852bc4e9d4ff75c59787b1f")</f>
        <v>0</v>
      </c>
      <c r="D8650" t="s">
        <v>4957</v>
      </c>
      <c r="E8650" t="s">
        <v>6187</v>
      </c>
      <c r="F8650" t="s">
        <v>12167</v>
      </c>
      <c r="G8650" t="s">
        <v>16407</v>
      </c>
      <c r="H8650" t="s">
        <v>21158</v>
      </c>
    </row>
    <row r="8651" spans="1:8">
      <c r="H8651" t="s">
        <v>21159</v>
      </c>
    </row>
    <row r="8652" spans="1:8">
      <c r="H8652" t="s">
        <v>21160</v>
      </c>
    </row>
    <row r="8653" spans="1:8">
      <c r="A8653" t="s">
        <v>396</v>
      </c>
      <c r="B8653">
        <f>HYPERLINK("https://android.googlesource.com/platform/cts/+/7e0ac86763565fa9d1d287932302f3e70064bc29", "7e0ac86763565fa9d1d287932302f3e70064bc29")</f>
        <v>0</v>
      </c>
      <c r="C8653">
        <f>HYPERLINK("https://android.googlesource.com/platform/cts/+/a33c105bb8396eac924e1c662ba1704ac40566e9", "a33c105bb8396eac924e1c662ba1704ac40566e9")</f>
        <v>0</v>
      </c>
      <c r="D8653" t="s">
        <v>4980</v>
      </c>
      <c r="E8653" t="s">
        <v>6190</v>
      </c>
      <c r="F8653" t="s">
        <v>10687</v>
      </c>
      <c r="G8653" t="s">
        <v>15087</v>
      </c>
      <c r="H8653" t="s">
        <v>21163</v>
      </c>
    </row>
    <row r="8654" spans="1:8">
      <c r="A8654" t="s">
        <v>398</v>
      </c>
      <c r="B8654">
        <f>HYPERLINK("https://android.googlesource.com/platform/cts/+/37eaaa0ac1ead9561a6af2a1cc5106efee5a0855", "37eaaa0ac1ead9561a6af2a1cc5106efee5a0855")</f>
        <v>0</v>
      </c>
      <c r="C8654">
        <f>HYPERLINK("https://android.googlesource.com/platform/cts/+/ce692966d5e59fe10027cbcd0298c91d4754cd63", "ce692966d5e59fe10027cbcd0298c91d4754cd63")</f>
        <v>0</v>
      </c>
      <c r="D8654" t="s">
        <v>4989</v>
      </c>
      <c r="E8654" t="s">
        <v>6192</v>
      </c>
      <c r="F8654" t="s">
        <v>12171</v>
      </c>
      <c r="G8654" t="s">
        <v>15008</v>
      </c>
      <c r="H8654" t="s">
        <v>21165</v>
      </c>
    </row>
    <row r="8655" spans="1:8">
      <c r="H8655" t="s">
        <v>21166</v>
      </c>
    </row>
    <row r="8656" spans="1:8">
      <c r="A8656" t="s">
        <v>399</v>
      </c>
      <c r="B8656">
        <f>HYPERLINK("https://android.googlesource.com/platform/cts/+/abd7f62560b53c40bc22f3a19630fe9b1dae95d2", "abd7f62560b53c40bc22f3a19630fe9b1dae95d2")</f>
        <v>0</v>
      </c>
      <c r="C8656">
        <f>HYPERLINK("https://android.googlesource.com/platform/cts/+/54ea8079237becd99105093d1daf70f04d12bd24", "54ea8079237becd99105093d1daf70f04d12bd24")</f>
        <v>0</v>
      </c>
      <c r="D8656" t="s">
        <v>4980</v>
      </c>
      <c r="E8656" t="s">
        <v>6193</v>
      </c>
      <c r="F8656" t="s">
        <v>10687</v>
      </c>
      <c r="G8656" t="s">
        <v>15087</v>
      </c>
      <c r="H8656" t="s">
        <v>21167</v>
      </c>
    </row>
    <row r="8657" spans="1:8">
      <c r="A8657" t="s">
        <v>401</v>
      </c>
      <c r="B8657">
        <f>HYPERLINK("https://android.googlesource.com/platform/cts/+/f1a472051e8c56ff7b2a017129b405be6e184b20", "f1a472051e8c56ff7b2a017129b405be6e184b20")</f>
        <v>0</v>
      </c>
      <c r="C8657">
        <f>HYPERLINK("https://android.googlesource.com/platform/cts/+/5ed832af05ab5f61ae45206ca1ac589f2ba7903b", "5ed832af05ab5f61ae45206ca1ac589f2ba7903b")</f>
        <v>0</v>
      </c>
      <c r="D8657" t="s">
        <v>4973</v>
      </c>
      <c r="E8657" t="s">
        <v>6195</v>
      </c>
      <c r="F8657" t="s">
        <v>11477</v>
      </c>
      <c r="G8657" t="s">
        <v>15717</v>
      </c>
      <c r="H8657" t="s">
        <v>20440</v>
      </c>
    </row>
    <row r="8658" spans="1:8">
      <c r="H8658" t="s">
        <v>20441</v>
      </c>
    </row>
    <row r="8659" spans="1:8">
      <c r="A8659" t="s">
        <v>405</v>
      </c>
      <c r="B8659">
        <f>HYPERLINK("https://android.googlesource.com/platform/cts/+/7432633be5569b9cd08480468e716d35baf7ecfc", "7432633be5569b9cd08480468e716d35baf7ecfc")</f>
        <v>0</v>
      </c>
      <c r="C8659">
        <f>HYPERLINK("https://android.googlesource.com/platform/cts/+/1922bf5e3d9fa47134747fcf28734e21cbe3ead4", "1922bf5e3d9fa47134747fcf28734e21cbe3ead4")</f>
        <v>0</v>
      </c>
      <c r="D8659" t="s">
        <v>4990</v>
      </c>
      <c r="E8659" t="s">
        <v>6199</v>
      </c>
      <c r="F8659" t="s">
        <v>12175</v>
      </c>
      <c r="G8659" t="s">
        <v>16414</v>
      </c>
      <c r="H8659" t="s">
        <v>21171</v>
      </c>
    </row>
    <row r="8660" spans="1:8">
      <c r="A8660" t="s">
        <v>406</v>
      </c>
      <c r="B8660">
        <f>HYPERLINK("https://android.googlesource.com/platform/cts/+/454631c5c6e4ee54ae67193c045b52463f7438e1", "454631c5c6e4ee54ae67193c045b52463f7438e1")</f>
        <v>0</v>
      </c>
      <c r="C8660">
        <f>HYPERLINK("https://android.googlesource.com/platform/cts/+/df312ed807e97e83aaf6bbd407d2a6480bcc0958", "df312ed807e97e83aaf6bbd407d2a6480bcc0958")</f>
        <v>0</v>
      </c>
      <c r="D8660" t="s">
        <v>4990</v>
      </c>
      <c r="E8660" t="s">
        <v>6200</v>
      </c>
      <c r="F8660" t="s">
        <v>12175</v>
      </c>
      <c r="G8660" t="s">
        <v>16414</v>
      </c>
      <c r="H8660" t="s">
        <v>21172</v>
      </c>
    </row>
    <row r="8661" spans="1:8">
      <c r="A8661" t="s">
        <v>407</v>
      </c>
      <c r="B8661">
        <f>HYPERLINK("https://android.googlesource.com/platform/cts/+/0235daf4e9e397fe2152b469530dc16ad86fbc3b", "0235daf4e9e397fe2152b469530dc16ad86fbc3b")</f>
        <v>0</v>
      </c>
      <c r="C8661">
        <f>HYPERLINK("https://android.googlesource.com/platform/cts/+/67beea30c970c2f3e07e1ef4ce12b70a66b6d7ed", "67beea30c970c2f3e07e1ef4ce12b70a66b6d7ed")</f>
        <v>0</v>
      </c>
      <c r="D8661" t="s">
        <v>4991</v>
      </c>
      <c r="E8661" t="s">
        <v>6201</v>
      </c>
      <c r="F8661" t="s">
        <v>11193</v>
      </c>
      <c r="G8661" t="s">
        <v>15582</v>
      </c>
      <c r="H8661" t="s">
        <v>21173</v>
      </c>
    </row>
    <row r="8662" spans="1:8">
      <c r="A8662" t="s">
        <v>410</v>
      </c>
      <c r="B8662">
        <f>HYPERLINK("https://android.googlesource.com/platform/cts/+/a7212deb6ccbfc5705a19fb1beebbf061fc3a007", "a7212deb6ccbfc5705a19fb1beebbf061fc3a007")</f>
        <v>0</v>
      </c>
      <c r="C8662">
        <f>HYPERLINK("https://android.googlesource.com/platform/cts/+/4f0d3b9d18388d010f15dd0bf0b0596886ff5c1e", "4f0d3b9d18388d010f15dd0bf0b0596886ff5c1e")</f>
        <v>0</v>
      </c>
      <c r="D8662" t="s">
        <v>4976</v>
      </c>
      <c r="E8662" t="s">
        <v>6204</v>
      </c>
      <c r="F8662" t="s">
        <v>11193</v>
      </c>
      <c r="G8662" t="s">
        <v>15582</v>
      </c>
      <c r="H8662" t="s">
        <v>21176</v>
      </c>
    </row>
    <row r="8663" spans="1:8">
      <c r="A8663" t="s">
        <v>411</v>
      </c>
      <c r="B8663">
        <f>HYPERLINK("https://android.googlesource.com/platform/cts/+/a15f67ae7c0361db2c4fc8bdf7b27cf9cb32a312", "a15f67ae7c0361db2c4fc8bdf7b27cf9cb32a312")</f>
        <v>0</v>
      </c>
      <c r="C8663">
        <f>HYPERLINK("https://android.googlesource.com/platform/cts/+/4f0d3b9d18388d010f15dd0bf0b0596886ff5c1e", "4f0d3b9d18388d010f15dd0bf0b0596886ff5c1e")</f>
        <v>0</v>
      </c>
      <c r="D8663" t="s">
        <v>4976</v>
      </c>
      <c r="E8663" t="s">
        <v>6205</v>
      </c>
      <c r="F8663" t="s">
        <v>11193</v>
      </c>
      <c r="G8663" t="s">
        <v>15582</v>
      </c>
      <c r="H8663" t="s">
        <v>21177</v>
      </c>
    </row>
    <row r="8664" spans="1:8">
      <c r="A8664" t="s">
        <v>412</v>
      </c>
      <c r="B8664">
        <f>HYPERLINK("https://android.googlesource.com/platform/cts/+/fb5798629739e3a0343f50418aec7beea3ddd6f5", "fb5798629739e3a0343f50418aec7beea3ddd6f5")</f>
        <v>0</v>
      </c>
      <c r="C8664">
        <f>HYPERLINK("https://android.googlesource.com/platform/cts/+/df45c01962a8deca614d1ec004220d975978b1c1", "df45c01962a8deca614d1ec004220d975978b1c1")</f>
        <v>0</v>
      </c>
      <c r="D8664" t="s">
        <v>4992</v>
      </c>
      <c r="E8664" t="s">
        <v>6206</v>
      </c>
      <c r="F8664" t="s">
        <v>10687</v>
      </c>
      <c r="G8664" t="s">
        <v>15087</v>
      </c>
      <c r="H8664" t="s">
        <v>21178</v>
      </c>
    </row>
    <row r="8665" spans="1:8">
      <c r="A8665" t="s">
        <v>413</v>
      </c>
      <c r="B8665">
        <f>HYPERLINK("https://android.googlesource.com/platform/cts/+/96b6e21011bee83ce54dd0aff3206847fd43a385", "96b6e21011bee83ce54dd0aff3206847fd43a385")</f>
        <v>0</v>
      </c>
      <c r="C8665">
        <f>HYPERLINK("https://android.googlesource.com/platform/cts/+/13f9624353332f4045b1bcf5dce9523e5f54c923", "13f9624353332f4045b1bcf5dce9523e5f54c923")</f>
        <v>0</v>
      </c>
      <c r="D8665" t="s">
        <v>4991</v>
      </c>
      <c r="E8665" t="s">
        <v>6207</v>
      </c>
      <c r="F8665" t="s">
        <v>11193</v>
      </c>
      <c r="G8665" t="s">
        <v>15582</v>
      </c>
      <c r="H8665" t="s">
        <v>21179</v>
      </c>
    </row>
    <row r="8666" spans="1:8">
      <c r="F8666" t="s">
        <v>10687</v>
      </c>
      <c r="G8666" t="s">
        <v>15087</v>
      </c>
      <c r="H8666" t="s">
        <v>21180</v>
      </c>
    </row>
    <row r="8667" spans="1:8">
      <c r="A8667" t="s">
        <v>414</v>
      </c>
      <c r="B8667">
        <f>HYPERLINK("https://android.googlesource.com/platform/cts/+/eef4c57eef34cd90794afb9165c071f6be6e1fcd", "eef4c57eef34cd90794afb9165c071f6be6e1fcd")</f>
        <v>0</v>
      </c>
      <c r="C8667">
        <f>HYPERLINK("https://android.googlesource.com/platform/cts/+/b2a4b59e58cce4e65c7c9347295007a735e995a7", "b2a4b59e58cce4e65c7c9347295007a735e995a7")</f>
        <v>0</v>
      </c>
      <c r="D8667" t="s">
        <v>4973</v>
      </c>
      <c r="E8667" t="s">
        <v>6208</v>
      </c>
      <c r="F8667" t="s">
        <v>12177</v>
      </c>
      <c r="G8667" t="s">
        <v>16416</v>
      </c>
      <c r="H8667" t="s">
        <v>21182</v>
      </c>
    </row>
    <row r="8668" spans="1:8">
      <c r="F8668" t="s">
        <v>12178</v>
      </c>
      <c r="G8668" t="s">
        <v>16417</v>
      </c>
      <c r="H8668" t="s">
        <v>21182</v>
      </c>
    </row>
    <row r="8669" spans="1:8">
      <c r="A8669" t="s">
        <v>419</v>
      </c>
      <c r="B8669">
        <f>HYPERLINK("https://android.googlesource.com/platform/cts/+/d0de47e2090b27c5c5615008215ea90c17aa0117", "d0de47e2090b27c5c5615008215ea90c17aa0117")</f>
        <v>0</v>
      </c>
      <c r="C8669">
        <f>HYPERLINK("https://android.googlesource.com/platform/cts/+/53cd5d0e366465d89a77f7ad871a5fe3f00f53a2", "53cd5d0e366465d89a77f7ad871a5fe3f00f53a2")</f>
        <v>0</v>
      </c>
      <c r="D8669" t="s">
        <v>4994</v>
      </c>
      <c r="E8669" t="s">
        <v>6213</v>
      </c>
      <c r="F8669" t="s">
        <v>11192</v>
      </c>
      <c r="G8669" t="s">
        <v>15581</v>
      </c>
      <c r="H8669" t="s">
        <v>21203</v>
      </c>
    </row>
    <row r="8670" spans="1:8">
      <c r="A8670" t="s">
        <v>422</v>
      </c>
      <c r="B8670">
        <f>HYPERLINK("https://android.googlesource.com/platform/cts/+/8669cace0433b06591a93136ecbdf4acafe6eaac", "8669cace0433b06591a93136ecbdf4acafe6eaac")</f>
        <v>0</v>
      </c>
      <c r="C8670">
        <f>HYPERLINK("https://android.googlesource.com/platform/cts/+/1de065b9156d171f13e2998f7a0c7dcaf29fbdd0", "1de065b9156d171f13e2998f7a0c7dcaf29fbdd0")</f>
        <v>0</v>
      </c>
      <c r="D8670" t="s">
        <v>4980</v>
      </c>
      <c r="E8670" t="s">
        <v>6215</v>
      </c>
      <c r="F8670" t="s">
        <v>11193</v>
      </c>
      <c r="G8670" t="s">
        <v>15582</v>
      </c>
      <c r="H8670" t="s">
        <v>21207</v>
      </c>
    </row>
    <row r="8671" spans="1:8">
      <c r="H8671" t="s">
        <v>21208</v>
      </c>
    </row>
    <row r="8672" spans="1:8">
      <c r="A8672" t="s">
        <v>424</v>
      </c>
      <c r="B8672">
        <f>HYPERLINK("https://android.googlesource.com/platform/cts/+/cbd961455ce8342d0d01558bf352fae6f7250a59", "cbd961455ce8342d0d01558bf352fae6f7250a59")</f>
        <v>0</v>
      </c>
      <c r="C8672">
        <f>HYPERLINK("https://android.googlesource.com/platform/cts/+/e5f03443d32567748927b3eecfafe5a5ae78fd29", "e5f03443d32567748927b3eecfafe5a5ae78fd29")</f>
        <v>0</v>
      </c>
      <c r="D8672" t="s">
        <v>4991</v>
      </c>
      <c r="E8672" t="s">
        <v>6217</v>
      </c>
      <c r="F8672" t="s">
        <v>11193</v>
      </c>
      <c r="G8672" t="s">
        <v>15582</v>
      </c>
      <c r="H8672" t="s">
        <v>21207</v>
      </c>
    </row>
    <row r="8673" spans="1:8">
      <c r="A8673" t="s">
        <v>433</v>
      </c>
      <c r="B8673">
        <f>HYPERLINK("https://android.googlesource.com/platform/cts/+/663a13cfa108afe02620403c87061b0ff22f08ed", "663a13cfa108afe02620403c87061b0ff22f08ed")</f>
        <v>0</v>
      </c>
      <c r="C8673">
        <f>HYPERLINK("https://android.googlesource.com/platform/cts/+/f736ec122c72be8429afdf6cc89b128f71668a3d", "f736ec122c72be8429afdf6cc89b128f71668a3d")</f>
        <v>0</v>
      </c>
      <c r="D8673" t="s">
        <v>4995</v>
      </c>
      <c r="E8673" t="s">
        <v>6226</v>
      </c>
      <c r="F8673" t="s">
        <v>12187</v>
      </c>
      <c r="G8673" t="s">
        <v>16426</v>
      </c>
      <c r="H8673" t="s">
        <v>21222</v>
      </c>
    </row>
    <row r="8674" spans="1:8">
      <c r="H8674" t="s">
        <v>21223</v>
      </c>
    </row>
    <row r="8675" spans="1:8">
      <c r="H8675" t="s">
        <v>21224</v>
      </c>
    </row>
    <row r="8676" spans="1:8">
      <c r="H8676" t="s">
        <v>21225</v>
      </c>
    </row>
    <row r="8677" spans="1:8">
      <c r="A8677" t="s">
        <v>434</v>
      </c>
      <c r="B8677">
        <f>HYPERLINK("https://android.googlesource.com/platform/cts/+/9e0e27eeda44f2eb94dea4a97a3faa3a01adabc3", "9e0e27eeda44f2eb94dea4a97a3faa3a01adabc3")</f>
        <v>0</v>
      </c>
      <c r="C8677">
        <f>HYPERLINK("https://android.googlesource.com/platform/cts/+/9de4863318f50b9123b5e8ac446ac82f2080fca7", "9de4863318f50b9123b5e8ac446ac82f2080fca7")</f>
        <v>0</v>
      </c>
      <c r="D8677" t="s">
        <v>4952</v>
      </c>
      <c r="E8677" t="s">
        <v>6227</v>
      </c>
      <c r="F8677" t="s">
        <v>12188</v>
      </c>
      <c r="G8677" t="s">
        <v>16427</v>
      </c>
      <c r="H8677" t="s">
        <v>21229</v>
      </c>
    </row>
    <row r="8678" spans="1:8">
      <c r="A8678" t="s">
        <v>446</v>
      </c>
      <c r="B8678">
        <f>HYPERLINK("https://android.googlesource.com/platform/cts/+/03adeb8a1b69e14c20854ac3a7ff60f17b8527d2", "03adeb8a1b69e14c20854ac3a7ff60f17b8527d2")</f>
        <v>0</v>
      </c>
      <c r="C8678">
        <f>HYPERLINK("https://android.googlesource.com/platform/cts/+/7cf81f86af29125b792e4f29aa0780298232d004", "7cf81f86af29125b792e4f29aa0780298232d004")</f>
        <v>0</v>
      </c>
      <c r="D8678" t="s">
        <v>4973</v>
      </c>
      <c r="E8678" t="s">
        <v>6239</v>
      </c>
      <c r="F8678" t="s">
        <v>12193</v>
      </c>
      <c r="G8678" t="s">
        <v>16432</v>
      </c>
      <c r="H8678" t="s">
        <v>21181</v>
      </c>
    </row>
    <row r="8679" spans="1:8">
      <c r="F8679" t="s">
        <v>12172</v>
      </c>
      <c r="G8679" t="s">
        <v>16411</v>
      </c>
      <c r="H8679" t="s">
        <v>21256</v>
      </c>
    </row>
    <row r="8680" spans="1:8">
      <c r="H8680" t="s">
        <v>21257</v>
      </c>
    </row>
    <row r="8681" spans="1:8">
      <c r="H8681" t="s">
        <v>21258</v>
      </c>
    </row>
    <row r="8682" spans="1:8">
      <c r="H8682" t="s">
        <v>21259</v>
      </c>
    </row>
    <row r="8683" spans="1:8">
      <c r="H8683" t="s">
        <v>21260</v>
      </c>
    </row>
    <row r="8684" spans="1:8">
      <c r="H8684" t="s">
        <v>21261</v>
      </c>
    </row>
    <row r="8685" spans="1:8">
      <c r="H8685" t="s">
        <v>21262</v>
      </c>
    </row>
    <row r="8686" spans="1:8">
      <c r="H8686" t="s">
        <v>21263</v>
      </c>
    </row>
    <row r="8687" spans="1:8">
      <c r="H8687" t="s">
        <v>21264</v>
      </c>
    </row>
    <row r="8688" spans="1:8">
      <c r="H8688" t="s">
        <v>21265</v>
      </c>
    </row>
    <row r="8689" spans="8:8">
      <c r="H8689" t="s">
        <v>21266</v>
      </c>
    </row>
    <row r="8690" spans="8:8">
      <c r="H8690" t="s">
        <v>21267</v>
      </c>
    </row>
    <row r="8691" spans="8:8">
      <c r="H8691" t="s">
        <v>21268</v>
      </c>
    </row>
    <row r="8692" spans="8:8">
      <c r="H8692" t="s">
        <v>21269</v>
      </c>
    </row>
    <row r="8693" spans="8:8">
      <c r="H8693" t="s">
        <v>21270</v>
      </c>
    </row>
    <row r="8694" spans="8:8">
      <c r="H8694" t="s">
        <v>21271</v>
      </c>
    </row>
    <row r="8695" spans="8:8">
      <c r="H8695" t="s">
        <v>21272</v>
      </c>
    </row>
    <row r="8696" spans="8:8">
      <c r="H8696" t="s">
        <v>21273</v>
      </c>
    </row>
    <row r="8697" spans="8:8">
      <c r="H8697" t="s">
        <v>21274</v>
      </c>
    </row>
    <row r="8698" spans="8:8">
      <c r="H8698" t="s">
        <v>21275</v>
      </c>
    </row>
    <row r="8699" spans="8:8">
      <c r="H8699" t="s">
        <v>21276</v>
      </c>
    </row>
    <row r="8700" spans="8:8">
      <c r="H8700" t="s">
        <v>21277</v>
      </c>
    </row>
    <row r="8701" spans="8:8">
      <c r="H8701" t="s">
        <v>21278</v>
      </c>
    </row>
    <row r="8702" spans="8:8">
      <c r="H8702" t="s">
        <v>21279</v>
      </c>
    </row>
    <row r="8703" spans="8:8">
      <c r="H8703" t="s">
        <v>21280</v>
      </c>
    </row>
    <row r="8704" spans="8:8">
      <c r="H8704" t="s">
        <v>21281</v>
      </c>
    </row>
    <row r="8705" spans="6:8">
      <c r="F8705" t="s">
        <v>12194</v>
      </c>
      <c r="G8705" t="s">
        <v>16433</v>
      </c>
      <c r="H8705" t="s">
        <v>21285</v>
      </c>
    </row>
    <row r="8706" spans="6:8">
      <c r="H8706" t="s">
        <v>21286</v>
      </c>
    </row>
    <row r="8707" spans="6:8">
      <c r="H8707" t="s">
        <v>21287</v>
      </c>
    </row>
    <row r="8708" spans="6:8">
      <c r="F8708" t="s">
        <v>12195</v>
      </c>
      <c r="G8708" t="s">
        <v>16434</v>
      </c>
      <c r="H8708" t="s">
        <v>21286</v>
      </c>
    </row>
    <row r="8709" spans="6:8">
      <c r="H8709" t="s">
        <v>21287</v>
      </c>
    </row>
    <row r="8710" spans="6:8">
      <c r="F8710" t="s">
        <v>12196</v>
      </c>
      <c r="G8710" t="s">
        <v>15720</v>
      </c>
      <c r="H8710" t="s">
        <v>20436</v>
      </c>
    </row>
    <row r="8711" spans="6:8">
      <c r="H8711" t="s">
        <v>20437</v>
      </c>
    </row>
    <row r="8712" spans="6:8">
      <c r="H8712" t="s">
        <v>20438</v>
      </c>
    </row>
    <row r="8713" spans="6:8">
      <c r="F8713" t="s">
        <v>12197</v>
      </c>
      <c r="G8713" t="s">
        <v>16435</v>
      </c>
      <c r="H8713" t="s">
        <v>21288</v>
      </c>
    </row>
    <row r="8714" spans="6:8">
      <c r="H8714" t="s">
        <v>21289</v>
      </c>
    </row>
    <row r="8715" spans="6:8">
      <c r="H8715" t="s">
        <v>21290</v>
      </c>
    </row>
    <row r="8716" spans="6:8">
      <c r="H8716" t="s">
        <v>21291</v>
      </c>
    </row>
    <row r="8717" spans="6:8">
      <c r="H8717" t="s">
        <v>21292</v>
      </c>
    </row>
    <row r="8718" spans="6:8">
      <c r="H8718" t="s">
        <v>21293</v>
      </c>
    </row>
    <row r="8719" spans="6:8">
      <c r="H8719" t="s">
        <v>21294</v>
      </c>
    </row>
    <row r="8720" spans="6:8">
      <c r="H8720" t="s">
        <v>21295</v>
      </c>
    </row>
    <row r="8721" spans="1:8">
      <c r="F8721" t="s">
        <v>12189</v>
      </c>
      <c r="G8721" t="s">
        <v>16428</v>
      </c>
      <c r="H8721" t="s">
        <v>21300</v>
      </c>
    </row>
    <row r="8722" spans="1:8">
      <c r="F8722" t="s">
        <v>11478</v>
      </c>
      <c r="G8722" t="s">
        <v>15718</v>
      </c>
      <c r="H8722" t="s">
        <v>20443</v>
      </c>
    </row>
    <row r="8723" spans="1:8">
      <c r="F8723" t="s">
        <v>12181</v>
      </c>
      <c r="G8723" t="s">
        <v>16420</v>
      </c>
      <c r="H8723" t="s">
        <v>21301</v>
      </c>
    </row>
    <row r="8724" spans="1:8">
      <c r="H8724" t="s">
        <v>21302</v>
      </c>
    </row>
    <row r="8725" spans="1:8">
      <c r="H8725" t="s">
        <v>21303</v>
      </c>
    </row>
    <row r="8726" spans="1:8">
      <c r="H8726" t="s">
        <v>21304</v>
      </c>
    </row>
    <row r="8727" spans="1:8">
      <c r="H8727" t="s">
        <v>21305</v>
      </c>
    </row>
    <row r="8728" spans="1:8">
      <c r="F8728" t="s">
        <v>12190</v>
      </c>
      <c r="G8728" t="s">
        <v>16429</v>
      </c>
      <c r="H8728" t="s">
        <v>21320</v>
      </c>
    </row>
    <row r="8729" spans="1:8">
      <c r="F8729" t="s">
        <v>12198</v>
      </c>
      <c r="G8729" t="s">
        <v>16436</v>
      </c>
      <c r="H8729" t="s">
        <v>21322</v>
      </c>
    </row>
    <row r="8730" spans="1:8">
      <c r="F8730" t="s">
        <v>12199</v>
      </c>
      <c r="G8730" t="s">
        <v>16437</v>
      </c>
      <c r="H8730" t="s">
        <v>21324</v>
      </c>
    </row>
    <row r="8731" spans="1:8">
      <c r="F8731" t="s">
        <v>12200</v>
      </c>
      <c r="G8731" t="s">
        <v>16438</v>
      </c>
      <c r="H8731" t="s">
        <v>21325</v>
      </c>
    </row>
    <row r="8732" spans="1:8">
      <c r="H8732" t="s">
        <v>21326</v>
      </c>
    </row>
    <row r="8733" spans="1:8">
      <c r="A8733" t="s">
        <v>447</v>
      </c>
      <c r="B8733">
        <f>HYPERLINK("https://android.googlesource.com/platform/cts/+/46bd645d356b166411f193220f0aa3026b706b14", "46bd645d356b166411f193220f0aa3026b706b14")</f>
        <v>0</v>
      </c>
      <c r="C8733">
        <f>HYPERLINK("https://android.googlesource.com/platform/cts/+/15ac8230207ac6e9060e6087abaf4a14cf47779c", "15ac8230207ac6e9060e6087abaf4a14cf47779c")</f>
        <v>0</v>
      </c>
      <c r="D8733" t="s">
        <v>4999</v>
      </c>
      <c r="E8733" t="s">
        <v>6240</v>
      </c>
      <c r="F8733" t="s">
        <v>12201</v>
      </c>
      <c r="G8733" t="s">
        <v>16439</v>
      </c>
      <c r="H8733" t="s">
        <v>21327</v>
      </c>
    </row>
    <row r="8734" spans="1:8">
      <c r="A8734" t="s">
        <v>454</v>
      </c>
      <c r="B8734">
        <f>HYPERLINK("https://android.googlesource.com/platform/cts/+/5ad500949841d429f31db0ddf1bcd2a9aa692012", "5ad500949841d429f31db0ddf1bcd2a9aa692012")</f>
        <v>0</v>
      </c>
      <c r="C8734">
        <f>HYPERLINK("https://android.googlesource.com/platform/cts/+/ac20e81bc597ce3d7c301f6059ca82c13d1c32df", "ac20e81bc597ce3d7c301f6059ca82c13d1c32df")</f>
        <v>0</v>
      </c>
      <c r="D8734" t="s">
        <v>5002</v>
      </c>
      <c r="E8734" t="s">
        <v>6246</v>
      </c>
      <c r="F8734" t="s">
        <v>12209</v>
      </c>
      <c r="G8734" t="s">
        <v>16447</v>
      </c>
      <c r="H8734" t="s">
        <v>21348</v>
      </c>
    </row>
    <row r="8735" spans="1:8">
      <c r="A8735" t="s">
        <v>456</v>
      </c>
      <c r="B8735">
        <f>HYPERLINK("https://android.googlesource.com/platform/cts/+/11a6875d8748fdc5514cfc49af182681a781f957", "11a6875d8748fdc5514cfc49af182681a781f957")</f>
        <v>0</v>
      </c>
      <c r="C8735">
        <f>HYPERLINK("https://android.googlesource.com/platform/cts/+/15e47193a78a260d87f820d6845d49ddaf5c91a1", "15e47193a78a260d87f820d6845d49ddaf5c91a1")</f>
        <v>0</v>
      </c>
      <c r="D8735" t="s">
        <v>4947</v>
      </c>
      <c r="E8735" t="s">
        <v>6248</v>
      </c>
      <c r="F8735" t="s">
        <v>10746</v>
      </c>
      <c r="G8735" t="s">
        <v>15145</v>
      </c>
      <c r="H8735" t="s">
        <v>21361</v>
      </c>
    </row>
    <row r="8736" spans="1:8">
      <c r="A8736" t="s">
        <v>458</v>
      </c>
      <c r="B8736">
        <f>HYPERLINK("https://android.googlesource.com/platform/cts/+/5d7cb1678cea7eaf44ec641900379031ea74b62a", "5d7cb1678cea7eaf44ec641900379031ea74b62a")</f>
        <v>0</v>
      </c>
      <c r="C8736">
        <f>HYPERLINK("https://android.googlesource.com/platform/cts/+/5a1f0b0fb3478b89e2c79c2ca2a2f0446f0c869f", "5a1f0b0fb3478b89e2c79c2ca2a2f0446f0c869f")</f>
        <v>0</v>
      </c>
      <c r="D8736" t="s">
        <v>4966</v>
      </c>
      <c r="E8736" t="s">
        <v>6250</v>
      </c>
      <c r="F8736" t="s">
        <v>10819</v>
      </c>
      <c r="G8736" t="s">
        <v>15214</v>
      </c>
      <c r="H8736" t="s">
        <v>20104</v>
      </c>
    </row>
    <row r="8737" spans="1:8">
      <c r="F8737" t="s">
        <v>10820</v>
      </c>
      <c r="G8737" t="s">
        <v>15215</v>
      </c>
      <c r="H8737" t="s">
        <v>20102</v>
      </c>
    </row>
    <row r="8738" spans="1:8">
      <c r="F8738" t="s">
        <v>10821</v>
      </c>
      <c r="G8738" t="s">
        <v>15216</v>
      </c>
      <c r="H8738" t="s">
        <v>20104</v>
      </c>
    </row>
    <row r="8739" spans="1:8">
      <c r="F8739" t="s">
        <v>10823</v>
      </c>
      <c r="G8739" t="s">
        <v>15218</v>
      </c>
      <c r="H8739" t="s">
        <v>20102</v>
      </c>
    </row>
    <row r="8740" spans="1:8">
      <c r="F8740" t="s">
        <v>12212</v>
      </c>
      <c r="G8740" t="s">
        <v>15614</v>
      </c>
      <c r="H8740" t="s">
        <v>20100</v>
      </c>
    </row>
    <row r="8741" spans="1:8">
      <c r="F8741" t="s">
        <v>12213</v>
      </c>
      <c r="G8741" t="s">
        <v>15615</v>
      </c>
      <c r="H8741" t="s">
        <v>20100</v>
      </c>
    </row>
    <row r="8742" spans="1:8">
      <c r="F8742" t="s">
        <v>12214</v>
      </c>
      <c r="G8742" t="s">
        <v>15616</v>
      </c>
      <c r="H8742" t="s">
        <v>20100</v>
      </c>
    </row>
    <row r="8743" spans="1:8">
      <c r="F8743" t="s">
        <v>12215</v>
      </c>
      <c r="G8743" t="s">
        <v>15618</v>
      </c>
      <c r="H8743" t="s">
        <v>20100</v>
      </c>
    </row>
    <row r="8744" spans="1:8">
      <c r="F8744" t="s">
        <v>12216</v>
      </c>
      <c r="G8744" t="s">
        <v>15649</v>
      </c>
      <c r="H8744" t="s">
        <v>20100</v>
      </c>
    </row>
    <row r="8745" spans="1:8">
      <c r="F8745" t="s">
        <v>12217</v>
      </c>
      <c r="G8745" t="s">
        <v>15650</v>
      </c>
      <c r="H8745" t="s">
        <v>20100</v>
      </c>
    </row>
    <row r="8746" spans="1:8">
      <c r="F8746" t="s">
        <v>12218</v>
      </c>
      <c r="G8746" t="s">
        <v>15651</v>
      </c>
      <c r="H8746" t="s">
        <v>20100</v>
      </c>
    </row>
    <row r="8747" spans="1:8">
      <c r="F8747" t="s">
        <v>12219</v>
      </c>
      <c r="G8747" t="s">
        <v>15653</v>
      </c>
      <c r="H8747" t="s">
        <v>20100</v>
      </c>
    </row>
    <row r="8748" spans="1:8">
      <c r="A8748" t="s">
        <v>460</v>
      </c>
      <c r="B8748">
        <f>HYPERLINK("https://android.googlesource.com/platform/cts/+/3cdd0d4a151b81a68af45366314a753a5dab98a2", "3cdd0d4a151b81a68af45366314a753a5dab98a2")</f>
        <v>0</v>
      </c>
      <c r="C8748">
        <f>HYPERLINK("https://android.googlesource.com/platform/cts/+/efc60de3235a12bfd6ba3ddb9fb3cc9a56a1bfdb", "efc60de3235a12bfd6ba3ddb9fb3cc9a56a1bfdb")</f>
        <v>0</v>
      </c>
      <c r="D8748" t="s">
        <v>5002</v>
      </c>
      <c r="E8748" t="s">
        <v>6252</v>
      </c>
      <c r="F8748" t="s">
        <v>12189</v>
      </c>
      <c r="G8748" t="s">
        <v>16428</v>
      </c>
      <c r="H8748" t="s">
        <v>21300</v>
      </c>
    </row>
    <row r="8749" spans="1:8">
      <c r="A8749" t="s">
        <v>461</v>
      </c>
      <c r="B8749">
        <f>HYPERLINK("https://android.googlesource.com/platform/cts/+/ce9cb7f81aafc8429095dba1e046cfb3f0df1f15", "ce9cb7f81aafc8429095dba1e046cfb3f0df1f15")</f>
        <v>0</v>
      </c>
      <c r="C8749">
        <f>HYPERLINK("https://android.googlesource.com/platform/cts/+/c1e7f652fef7c6f5c9d5c92481485e047ce18083", "c1e7f652fef7c6f5c9d5c92481485e047ce18083")</f>
        <v>0</v>
      </c>
      <c r="D8749" t="s">
        <v>4981</v>
      </c>
      <c r="E8749" t="s">
        <v>6253</v>
      </c>
      <c r="F8749" t="s">
        <v>10599</v>
      </c>
      <c r="G8749" t="s">
        <v>15002</v>
      </c>
      <c r="H8749" t="s">
        <v>21368</v>
      </c>
    </row>
    <row r="8750" spans="1:8">
      <c r="A8750" t="s">
        <v>463</v>
      </c>
      <c r="B8750">
        <f>HYPERLINK("https://android.googlesource.com/platform/cts/+/d37bc1981a1ee1ca1e36cede69ad46933dacc963", "d37bc1981a1ee1ca1e36cede69ad46933dacc963")</f>
        <v>0</v>
      </c>
      <c r="C8750">
        <f>HYPERLINK("https://android.googlesource.com/platform/cts/+/86f5853419163efea85e9e3e95c1fe0ce0b80b60", "86f5853419163efea85e9e3e95c1fe0ce0b80b60")</f>
        <v>0</v>
      </c>
      <c r="D8750" t="s">
        <v>4952</v>
      </c>
      <c r="E8750" t="s">
        <v>6255</v>
      </c>
      <c r="F8750" t="s">
        <v>12222</v>
      </c>
      <c r="G8750" t="s">
        <v>16452</v>
      </c>
      <c r="H8750" t="s">
        <v>21370</v>
      </c>
    </row>
    <row r="8751" spans="1:8">
      <c r="A8751" t="s">
        <v>466</v>
      </c>
      <c r="B8751">
        <f>HYPERLINK("https://android.googlesource.com/platform/cts/+/a6886a2276483a64cec469a04ed09873809a00e4", "a6886a2276483a64cec469a04ed09873809a00e4")</f>
        <v>0</v>
      </c>
      <c r="C8751">
        <f>HYPERLINK("https://android.googlesource.com/platform/cts/+/d6e20d8f8d6b2ff1bfba5464b7089ee6e6ae617f", "d6e20d8f8d6b2ff1bfba5464b7089ee6e6ae617f")</f>
        <v>0</v>
      </c>
      <c r="D8751" t="s">
        <v>4947</v>
      </c>
      <c r="E8751" t="s">
        <v>6258</v>
      </c>
      <c r="F8751" t="s">
        <v>10746</v>
      </c>
      <c r="G8751" t="s">
        <v>15145</v>
      </c>
      <c r="H8751" t="s">
        <v>21374</v>
      </c>
    </row>
    <row r="8752" spans="1:8">
      <c r="A8752" t="s">
        <v>474</v>
      </c>
      <c r="B8752">
        <f>HYPERLINK("https://android.googlesource.com/platform/cts/+/af23ba4a948e5da5f820fc640cd168346e4778a7", "af23ba4a948e5da5f820fc640cd168346e4778a7")</f>
        <v>0</v>
      </c>
      <c r="C8752">
        <f>HYPERLINK("https://android.googlesource.com/platform/cts/+/17af2e602886a8d33716a4c745f757db029e0901", "17af2e602886a8d33716a4c745f757db029e0901")</f>
        <v>0</v>
      </c>
      <c r="D8752" t="s">
        <v>5007</v>
      </c>
      <c r="E8752" t="s">
        <v>6265</v>
      </c>
      <c r="F8752" t="s">
        <v>12226</v>
      </c>
      <c r="G8752" t="s">
        <v>16456</v>
      </c>
      <c r="H8752" t="s">
        <v>21382</v>
      </c>
    </row>
    <row r="8753" spans="1:8">
      <c r="H8753" t="s">
        <v>21383</v>
      </c>
    </row>
    <row r="8754" spans="1:8">
      <c r="A8754" t="s">
        <v>477</v>
      </c>
      <c r="B8754">
        <f>HYPERLINK("https://android.googlesource.com/platform/cts/+/3740265ff4396d162dd427c63da9d1705e7ebbe8", "3740265ff4396d162dd427c63da9d1705e7ebbe8")</f>
        <v>0</v>
      </c>
      <c r="C8754">
        <f>HYPERLINK("https://android.googlesource.com/platform/cts/+/0c1bf5ffb33614cd3aa16d0c99bbbff230e0f402", "0c1bf5ffb33614cd3aa16d0c99bbbff230e0f402")</f>
        <v>0</v>
      </c>
      <c r="D8754" t="s">
        <v>4981</v>
      </c>
      <c r="E8754" t="s">
        <v>6268</v>
      </c>
      <c r="F8754" t="s">
        <v>12227</v>
      </c>
      <c r="G8754" t="s">
        <v>16457</v>
      </c>
      <c r="H8754" t="s">
        <v>21397</v>
      </c>
    </row>
    <row r="8755" spans="1:8">
      <c r="A8755" t="s">
        <v>478</v>
      </c>
      <c r="B8755">
        <f>HYPERLINK("https://android.googlesource.com/platform/cts/+/9053ec5e25e6b6bc27912804812ba2b37991829f", "9053ec5e25e6b6bc27912804812ba2b37991829f")</f>
        <v>0</v>
      </c>
      <c r="C8755">
        <f>HYPERLINK("https://android.googlesource.com/platform/cts/+/3740265ff4396d162dd427c63da9d1705e7ebbe8", "3740265ff4396d162dd427c63da9d1705e7ebbe8")</f>
        <v>0</v>
      </c>
      <c r="D8755" t="s">
        <v>4981</v>
      </c>
      <c r="E8755" t="s">
        <v>6269</v>
      </c>
      <c r="F8755" t="s">
        <v>10649</v>
      </c>
      <c r="G8755" t="s">
        <v>15050</v>
      </c>
      <c r="H8755" t="s">
        <v>21398</v>
      </c>
    </row>
    <row r="8756" spans="1:8">
      <c r="A8756" t="s">
        <v>488</v>
      </c>
      <c r="B8756">
        <f>HYPERLINK("https://android.googlesource.com/platform/cts/+/9dbe417023e71a298cb9cb729959453a96d8d907", "9dbe417023e71a298cb9cb729959453a96d8d907")</f>
        <v>0</v>
      </c>
      <c r="C8756">
        <f>HYPERLINK("https://android.googlesource.com/platform/cts/+/f6dfa9eb7807ded78f4e740686d629e7eb346d87", "f6dfa9eb7807ded78f4e740686d629e7eb346d87")</f>
        <v>0</v>
      </c>
      <c r="D8756" t="s">
        <v>5004</v>
      </c>
      <c r="E8756" t="s">
        <v>6275</v>
      </c>
      <c r="F8756" t="s">
        <v>12225</v>
      </c>
      <c r="G8756" t="s">
        <v>16455</v>
      </c>
      <c r="H8756" t="s">
        <v>21446</v>
      </c>
    </row>
    <row r="8757" spans="1:8">
      <c r="A8757" t="s">
        <v>489</v>
      </c>
      <c r="B8757">
        <f>HYPERLINK("https://android.googlesource.com/platform/cts/+/95988bdc4f6cad1662215bcc4ae5c27ef496a38c", "95988bdc4f6cad1662215bcc4ae5c27ef496a38c")</f>
        <v>0</v>
      </c>
      <c r="C8757">
        <f>HYPERLINK("https://android.googlesource.com/platform/cts/+/27bb29f13838fcdb7536848ab54b9afa2e5c1322", "27bb29f13838fcdb7536848ab54b9afa2e5c1322")</f>
        <v>0</v>
      </c>
      <c r="D8757" t="s">
        <v>5012</v>
      </c>
      <c r="E8757" t="s">
        <v>6276</v>
      </c>
      <c r="F8757" t="s">
        <v>12230</v>
      </c>
      <c r="G8757" t="s">
        <v>16460</v>
      </c>
      <c r="H8757" t="s">
        <v>21447</v>
      </c>
    </row>
    <row r="8758" spans="1:8">
      <c r="A8758" t="s">
        <v>492</v>
      </c>
      <c r="B8758">
        <f>HYPERLINK("https://android.googlesource.com/platform/cts/+/85fb765e613f03b51203a1384f5343394fb21d98", "85fb765e613f03b51203a1384f5343394fb21d98")</f>
        <v>0</v>
      </c>
      <c r="C8758">
        <f>HYPERLINK("https://android.googlesource.com/platform/cts/+/7d378bec4412e41b2ca0f1d99261fecf3cd27900", "7d378bec4412e41b2ca0f1d99261fecf3cd27900")</f>
        <v>0</v>
      </c>
      <c r="D8758" t="s">
        <v>4981</v>
      </c>
      <c r="E8758" t="s">
        <v>6278</v>
      </c>
      <c r="F8758" t="s">
        <v>12227</v>
      </c>
      <c r="G8758" t="s">
        <v>16457</v>
      </c>
      <c r="H8758" t="s">
        <v>21450</v>
      </c>
    </row>
    <row r="8759" spans="1:8">
      <c r="A8759" t="s">
        <v>494</v>
      </c>
      <c r="B8759">
        <f>HYPERLINK("https://android.googlesource.com/platform/cts/+/20ecc0e2eb094fa6cc6b27b5efeb9be3df3adb91", "20ecc0e2eb094fa6cc6b27b5efeb9be3df3adb91")</f>
        <v>0</v>
      </c>
      <c r="C8759">
        <f>HYPERLINK("https://android.googlesource.com/platform/cts/+/2b7ae5139a7ed7bfa158c6213906736431de12e5", "2b7ae5139a7ed7bfa158c6213906736431de12e5")</f>
        <v>0</v>
      </c>
      <c r="D8759" t="s">
        <v>4981</v>
      </c>
      <c r="E8759" t="s">
        <v>6280</v>
      </c>
      <c r="F8759" t="s">
        <v>12233</v>
      </c>
      <c r="G8759" t="s">
        <v>16463</v>
      </c>
      <c r="H8759" t="s">
        <v>21460</v>
      </c>
    </row>
    <row r="8760" spans="1:8">
      <c r="A8760" t="s">
        <v>496</v>
      </c>
      <c r="B8760">
        <f>HYPERLINK("https://android.googlesource.com/platform/cts/+/e69403f4663ecab20cfc80f42afc7247f3efc24b", "e69403f4663ecab20cfc80f42afc7247f3efc24b")</f>
        <v>0</v>
      </c>
      <c r="C8760">
        <f>HYPERLINK("https://android.googlesource.com/platform/cts/+/02519dac4380f1302aad40d2b96c08aa1fad52e1", "02519dac4380f1302aad40d2b96c08aa1fad52e1")</f>
        <v>0</v>
      </c>
      <c r="D8760" t="s">
        <v>5013</v>
      </c>
      <c r="E8760" t="s">
        <v>6282</v>
      </c>
      <c r="F8760" t="s">
        <v>12234</v>
      </c>
      <c r="G8760" t="s">
        <v>16464</v>
      </c>
      <c r="H8760" t="s">
        <v>21464</v>
      </c>
    </row>
    <row r="8761" spans="1:8">
      <c r="F8761" t="s">
        <v>12235</v>
      </c>
      <c r="G8761" t="s">
        <v>16465</v>
      </c>
      <c r="H8761" t="s">
        <v>21464</v>
      </c>
    </row>
    <row r="8762" spans="1:8">
      <c r="F8762" t="s">
        <v>12236</v>
      </c>
      <c r="G8762" t="s">
        <v>16466</v>
      </c>
      <c r="H8762" t="s">
        <v>21464</v>
      </c>
    </row>
    <row r="8763" spans="1:8">
      <c r="A8763" t="s">
        <v>497</v>
      </c>
      <c r="B8763">
        <f>HYPERLINK("https://android.googlesource.com/platform/cts/+/2b0131ca8b401d80531706a20ad358b9bf99d259", "2b0131ca8b401d80531706a20ad358b9bf99d259")</f>
        <v>0</v>
      </c>
      <c r="C8763">
        <f>HYPERLINK("https://android.googlesource.com/platform/cts/+/5c7773621b2f0760d8bb4163a2f73ac5ac545e78", "5c7773621b2f0760d8bb4163a2f73ac5ac545e78")</f>
        <v>0</v>
      </c>
      <c r="D8763" t="s">
        <v>5014</v>
      </c>
      <c r="E8763" t="s">
        <v>6283</v>
      </c>
      <c r="F8763" t="s">
        <v>12237</v>
      </c>
      <c r="G8763" t="s">
        <v>16467</v>
      </c>
      <c r="H8763" t="s">
        <v>21465</v>
      </c>
    </row>
    <row r="8764" spans="1:8">
      <c r="H8764" t="s">
        <v>21466</v>
      </c>
    </row>
    <row r="8765" spans="1:8">
      <c r="A8765" t="s">
        <v>498</v>
      </c>
      <c r="B8765">
        <f>HYPERLINK("https://android.googlesource.com/platform/cts/+/228d1b55ea6976e00c80372613511a6900c8ba4b", "228d1b55ea6976e00c80372613511a6900c8ba4b")</f>
        <v>0</v>
      </c>
      <c r="C8765">
        <f>HYPERLINK("https://android.googlesource.com/platform/cts/+/75eea801bf237975246f34c564725db3dde10b4c", "75eea801bf237975246f34c564725db3dde10b4c")</f>
        <v>0</v>
      </c>
      <c r="D8765" t="s">
        <v>5013</v>
      </c>
      <c r="E8765" t="s">
        <v>6284</v>
      </c>
      <c r="F8765" t="s">
        <v>12234</v>
      </c>
      <c r="G8765" t="s">
        <v>16464</v>
      </c>
      <c r="H8765" t="s">
        <v>21471</v>
      </c>
    </row>
    <row r="8766" spans="1:8">
      <c r="H8766" t="s">
        <v>21472</v>
      </c>
    </row>
    <row r="8767" spans="1:8">
      <c r="F8767" t="s">
        <v>12235</v>
      </c>
      <c r="G8767" t="s">
        <v>16465</v>
      </c>
      <c r="H8767" t="s">
        <v>21471</v>
      </c>
    </row>
    <row r="8768" spans="1:8">
      <c r="H8768" t="s">
        <v>21472</v>
      </c>
    </row>
    <row r="8769" spans="1:8">
      <c r="F8769" t="s">
        <v>12236</v>
      </c>
      <c r="G8769" t="s">
        <v>16466</v>
      </c>
      <c r="H8769" t="s">
        <v>21471</v>
      </c>
    </row>
    <row r="8770" spans="1:8">
      <c r="H8770" t="s">
        <v>21472</v>
      </c>
    </row>
    <row r="8771" spans="1:8">
      <c r="A8771" t="s">
        <v>500</v>
      </c>
      <c r="B8771">
        <f>HYPERLINK("https://android.googlesource.com/platform/cts/+/c3329438041a9514d308cc03dd3cfac75573c356", "c3329438041a9514d308cc03dd3cfac75573c356")</f>
        <v>0</v>
      </c>
      <c r="C8771">
        <f>HYPERLINK("https://android.googlesource.com/platform/cts/+/6dacad5cdac2f9c44ec672043aa67a5bce631c0a", "6dacad5cdac2f9c44ec672043aa67a5bce631c0a")</f>
        <v>0</v>
      </c>
      <c r="D8771" t="s">
        <v>5002</v>
      </c>
      <c r="E8771" t="s">
        <v>6286</v>
      </c>
      <c r="F8771" t="s">
        <v>12189</v>
      </c>
      <c r="G8771" t="s">
        <v>16428</v>
      </c>
      <c r="H8771" t="s">
        <v>21300</v>
      </c>
    </row>
    <row r="8772" spans="1:8">
      <c r="A8772" t="s">
        <v>502</v>
      </c>
      <c r="B8772">
        <f>HYPERLINK("https://android.googlesource.com/platform/cts/+/d9a21093d7cc38749a3013f9b0b011f6610be3b0", "d9a21093d7cc38749a3013f9b0b011f6610be3b0")</f>
        <v>0</v>
      </c>
      <c r="C8772">
        <f>HYPERLINK("https://android.googlesource.com/platform/cts/+/f3c7daee9db73999a26d817ae35868ea633ee7ee", "f3c7daee9db73999a26d817ae35868ea633ee7ee")</f>
        <v>0</v>
      </c>
      <c r="D8772" t="s">
        <v>5002</v>
      </c>
      <c r="E8772" t="s">
        <v>6288</v>
      </c>
      <c r="F8772" t="s">
        <v>12190</v>
      </c>
      <c r="G8772" t="s">
        <v>16429</v>
      </c>
      <c r="H8772" t="s">
        <v>21320</v>
      </c>
    </row>
    <row r="8773" spans="1:8">
      <c r="A8773" t="s">
        <v>503</v>
      </c>
      <c r="B8773">
        <f>HYPERLINK("https://android.googlesource.com/platform/cts/+/6ab5bad82445b81f833f16a5ec21ee2498d6422b", "6ab5bad82445b81f833f16a5ec21ee2498d6422b")</f>
        <v>0</v>
      </c>
      <c r="C8773">
        <f>HYPERLINK("https://android.googlesource.com/platform/cts/+/65c7cdb401ab923b50e0f59d32e166223c8ab089", "65c7cdb401ab923b50e0f59d32e166223c8ab089")</f>
        <v>0</v>
      </c>
      <c r="D8773" t="s">
        <v>5015</v>
      </c>
      <c r="E8773" t="s">
        <v>6289</v>
      </c>
      <c r="F8773" t="s">
        <v>12238</v>
      </c>
      <c r="G8773" t="s">
        <v>16468</v>
      </c>
      <c r="H8773" t="s">
        <v>20441</v>
      </c>
    </row>
    <row r="8774" spans="1:8">
      <c r="H8774" t="s">
        <v>21474</v>
      </c>
    </row>
    <row r="8775" spans="1:8">
      <c r="H8775" t="s">
        <v>21475</v>
      </c>
    </row>
    <row r="8776" spans="1:8">
      <c r="A8776" t="s">
        <v>504</v>
      </c>
      <c r="B8776">
        <f>HYPERLINK("https://android.googlesource.com/platform/cts/+/562ec52401a65facf4b5f1a7af06d66ac95c9022", "562ec52401a65facf4b5f1a7af06d66ac95c9022")</f>
        <v>0</v>
      </c>
      <c r="C8776">
        <f>HYPERLINK("https://android.googlesource.com/platform/cts/+/ef2d2fa944318a8973e50045051fb525ca29a81a", "ef2d2fa944318a8973e50045051fb525ca29a81a")</f>
        <v>0</v>
      </c>
      <c r="D8776" t="s">
        <v>4998</v>
      </c>
      <c r="E8776" t="s">
        <v>6290</v>
      </c>
      <c r="F8776" t="s">
        <v>12239</v>
      </c>
      <c r="G8776" t="s">
        <v>16469</v>
      </c>
      <c r="H8776" t="s">
        <v>21476</v>
      </c>
    </row>
    <row r="8777" spans="1:8">
      <c r="A8777" t="s">
        <v>511</v>
      </c>
      <c r="B8777">
        <f>HYPERLINK("https://android.googlesource.com/platform/cts/+/d6fe85283594f959ea11e7567f28a28837f191b9", "d6fe85283594f959ea11e7567f28a28837f191b9")</f>
        <v>0</v>
      </c>
      <c r="C8777">
        <f>HYPERLINK("https://android.googlesource.com/platform/cts/+/779cca73143371093f2d910f2d013e9dcc2142c8", "779cca73143371093f2d910f2d013e9dcc2142c8")</f>
        <v>0</v>
      </c>
      <c r="D8777" t="s">
        <v>4992</v>
      </c>
      <c r="E8777" t="s">
        <v>6297</v>
      </c>
      <c r="F8777" t="s">
        <v>10687</v>
      </c>
      <c r="G8777" t="s">
        <v>15087</v>
      </c>
      <c r="H8777" t="s">
        <v>21495</v>
      </c>
    </row>
    <row r="8778" spans="1:8">
      <c r="H8778" t="s">
        <v>21496</v>
      </c>
    </row>
    <row r="8779" spans="1:8">
      <c r="A8779" t="s">
        <v>512</v>
      </c>
      <c r="B8779">
        <f>HYPERLINK("https://android.googlesource.com/platform/cts/+/923ac68a526f638f67942f70fffecb4ebff392e9", "923ac68a526f638f67942f70fffecb4ebff392e9")</f>
        <v>0</v>
      </c>
      <c r="C8779">
        <f>HYPERLINK("https://android.googlesource.com/platform/cts/+/496f375f4f39faf4861023b4a2868d289b424c44", "496f375f4f39faf4861023b4a2868d289b424c44")</f>
        <v>0</v>
      </c>
      <c r="D8779" t="s">
        <v>4991</v>
      </c>
      <c r="E8779" t="s">
        <v>6298</v>
      </c>
      <c r="F8779" t="s">
        <v>10687</v>
      </c>
      <c r="G8779" t="s">
        <v>15087</v>
      </c>
      <c r="H8779" t="s">
        <v>21499</v>
      </c>
    </row>
    <row r="8780" spans="1:8">
      <c r="A8780" t="s">
        <v>514</v>
      </c>
      <c r="B8780">
        <f>HYPERLINK("https://android.googlesource.com/platform/cts/+/d35f8eb44fe78cb7bfc2f7d92cb64c5ed013abfd", "d35f8eb44fe78cb7bfc2f7d92cb64c5ed013abfd")</f>
        <v>0</v>
      </c>
      <c r="C8780">
        <f>HYPERLINK("https://android.googlesource.com/platform/cts/+/af052deac87840e2a3af6335376020adc0f0fde3", "af052deac87840e2a3af6335376020adc0f0fde3")</f>
        <v>0</v>
      </c>
      <c r="D8780" t="s">
        <v>5002</v>
      </c>
      <c r="E8780" t="s">
        <v>6300</v>
      </c>
      <c r="F8780" t="s">
        <v>12244</v>
      </c>
      <c r="G8780" t="s">
        <v>16475</v>
      </c>
      <c r="H8780" t="s">
        <v>21520</v>
      </c>
    </row>
    <row r="8781" spans="1:8">
      <c r="F8781" t="s">
        <v>12245</v>
      </c>
      <c r="G8781" t="s">
        <v>16476</v>
      </c>
      <c r="H8781" t="s">
        <v>21521</v>
      </c>
    </row>
    <row r="8782" spans="1:8">
      <c r="A8782" t="s">
        <v>517</v>
      </c>
      <c r="B8782">
        <f>HYPERLINK("https://android.googlesource.com/platform/cts/+/e86f98dd5468f8c4cfa59ebcd3ccb49e75311156", "e86f98dd5468f8c4cfa59ebcd3ccb49e75311156")</f>
        <v>0</v>
      </c>
      <c r="C8782">
        <f>HYPERLINK("https://android.googlesource.com/platform/cts/+/c74e235e0e1be734b22d27b5dc1696aa7836fb60", "c74e235e0e1be734b22d27b5dc1696aa7836fb60")</f>
        <v>0</v>
      </c>
      <c r="D8782" t="s">
        <v>4967</v>
      </c>
      <c r="E8782" t="s">
        <v>6303</v>
      </c>
      <c r="F8782" t="s">
        <v>12249</v>
      </c>
      <c r="G8782" t="s">
        <v>16480</v>
      </c>
      <c r="H8782" t="s">
        <v>21523</v>
      </c>
    </row>
    <row r="8783" spans="1:8">
      <c r="A8783" t="s">
        <v>521</v>
      </c>
      <c r="B8783">
        <f>HYPERLINK("https://android.googlesource.com/platform/cts/+/aee83a27e9f7ee3c770bd8f863bad68d5fb33be9", "aee83a27e9f7ee3c770bd8f863bad68d5fb33be9")</f>
        <v>0</v>
      </c>
      <c r="C8783">
        <f>HYPERLINK("https://android.googlesource.com/platform/cts/+/4c77c14ba0a97c5fdee364cb063e6a1e124612aa", "4c77c14ba0a97c5fdee364cb063e6a1e124612aa")</f>
        <v>0</v>
      </c>
      <c r="D8783" t="s">
        <v>5018</v>
      </c>
      <c r="E8783" t="s">
        <v>6307</v>
      </c>
      <c r="F8783" t="s">
        <v>12250</v>
      </c>
      <c r="G8783" t="s">
        <v>16481</v>
      </c>
      <c r="H8783" t="s">
        <v>21525</v>
      </c>
    </row>
    <row r="8784" spans="1:8">
      <c r="A8784" t="s">
        <v>523</v>
      </c>
      <c r="B8784">
        <f>HYPERLINK("https://android.googlesource.com/platform/cts/+/2830d721b4173ac7a91e4fc8b9cc0cafaaf86460", "2830d721b4173ac7a91e4fc8b9cc0cafaaf86460")</f>
        <v>0</v>
      </c>
      <c r="C8784">
        <f>HYPERLINK("https://android.googlesource.com/platform/cts/+/b24876794d9324ecc36b42a0c6d0b69690710afd", "b24876794d9324ecc36b42a0c6d0b69690710afd")</f>
        <v>0</v>
      </c>
      <c r="D8784" t="s">
        <v>5020</v>
      </c>
      <c r="E8784" t="s">
        <v>6309</v>
      </c>
      <c r="F8784" t="s">
        <v>12252</v>
      </c>
      <c r="G8784" t="s">
        <v>16483</v>
      </c>
      <c r="H8784" t="s">
        <v>21531</v>
      </c>
    </row>
    <row r="8785" spans="1:8">
      <c r="A8785" t="s">
        <v>525</v>
      </c>
      <c r="B8785">
        <f>HYPERLINK("https://android.googlesource.com/platform/cts/+/3d3e58536fc469ba8eeabb5f2f7334c6323b4f51", "3d3e58536fc469ba8eeabb5f2f7334c6323b4f51")</f>
        <v>0</v>
      </c>
      <c r="C8785">
        <f>HYPERLINK("https://android.googlesource.com/platform/cts/+/9e9c892a17fc1b5335e50601ee20884d2288b152", "9e9c892a17fc1b5335e50601ee20884d2288b152")</f>
        <v>0</v>
      </c>
      <c r="D8785" t="s">
        <v>5017</v>
      </c>
      <c r="E8785" t="s">
        <v>6311</v>
      </c>
      <c r="F8785" t="s">
        <v>12253</v>
      </c>
      <c r="G8785" t="s">
        <v>16484</v>
      </c>
      <c r="H8785" t="s">
        <v>21535</v>
      </c>
    </row>
    <row r="8786" spans="1:8">
      <c r="H8786" t="s">
        <v>21536</v>
      </c>
    </row>
    <row r="8787" spans="1:8">
      <c r="H8787" t="s">
        <v>21537</v>
      </c>
    </row>
    <row r="8788" spans="1:8">
      <c r="H8788" t="s">
        <v>21538</v>
      </c>
    </row>
    <row r="8789" spans="1:8">
      <c r="H8789" t="s">
        <v>21539</v>
      </c>
    </row>
    <row r="8790" spans="1:8">
      <c r="H8790" t="s">
        <v>21540</v>
      </c>
    </row>
    <row r="8791" spans="1:8">
      <c r="H8791" t="s">
        <v>21541</v>
      </c>
    </row>
    <row r="8792" spans="1:8">
      <c r="H8792" t="s">
        <v>21542</v>
      </c>
    </row>
    <row r="8793" spans="1:8">
      <c r="F8793" t="s">
        <v>12254</v>
      </c>
      <c r="G8793" t="s">
        <v>16485</v>
      </c>
      <c r="H8793" t="s">
        <v>21543</v>
      </c>
    </row>
    <row r="8794" spans="1:8">
      <c r="H8794" t="s">
        <v>21544</v>
      </c>
    </row>
    <row r="8795" spans="1:8">
      <c r="H8795" t="s">
        <v>21545</v>
      </c>
    </row>
    <row r="8796" spans="1:8">
      <c r="H8796" t="s">
        <v>21546</v>
      </c>
    </row>
    <row r="8797" spans="1:8">
      <c r="H8797" t="s">
        <v>21547</v>
      </c>
    </row>
    <row r="8798" spans="1:8">
      <c r="H8798" t="s">
        <v>21548</v>
      </c>
    </row>
    <row r="8799" spans="1:8">
      <c r="H8799" t="s">
        <v>21549</v>
      </c>
    </row>
    <row r="8800" spans="1:8">
      <c r="H8800" t="s">
        <v>21550</v>
      </c>
    </row>
    <row r="8801" spans="6:8">
      <c r="F8801" t="s">
        <v>12255</v>
      </c>
      <c r="G8801" t="s">
        <v>16486</v>
      </c>
      <c r="H8801" t="s">
        <v>21551</v>
      </c>
    </row>
    <row r="8802" spans="6:8">
      <c r="H8802" t="s">
        <v>21552</v>
      </c>
    </row>
    <row r="8803" spans="6:8">
      <c r="H8803" t="s">
        <v>21553</v>
      </c>
    </row>
    <row r="8804" spans="6:8">
      <c r="H8804" t="s">
        <v>21554</v>
      </c>
    </row>
    <row r="8805" spans="6:8">
      <c r="H8805" t="s">
        <v>21555</v>
      </c>
    </row>
    <row r="8806" spans="6:8">
      <c r="H8806" t="s">
        <v>21556</v>
      </c>
    </row>
    <row r="8807" spans="6:8">
      <c r="H8807" t="s">
        <v>21557</v>
      </c>
    </row>
    <row r="8808" spans="6:8">
      <c r="H8808" t="s">
        <v>21558</v>
      </c>
    </row>
    <row r="8809" spans="6:8">
      <c r="F8809" t="s">
        <v>12256</v>
      </c>
      <c r="G8809" t="s">
        <v>16487</v>
      </c>
      <c r="H8809" t="s">
        <v>21559</v>
      </c>
    </row>
    <row r="8810" spans="6:8">
      <c r="H8810" t="s">
        <v>21560</v>
      </c>
    </row>
    <row r="8811" spans="6:8">
      <c r="H8811" t="s">
        <v>21561</v>
      </c>
    </row>
    <row r="8812" spans="6:8">
      <c r="H8812" t="s">
        <v>21562</v>
      </c>
    </row>
    <row r="8813" spans="6:8">
      <c r="H8813" t="s">
        <v>21563</v>
      </c>
    </row>
    <row r="8814" spans="6:8">
      <c r="H8814" t="s">
        <v>21564</v>
      </c>
    </row>
    <row r="8815" spans="6:8">
      <c r="H8815" t="s">
        <v>21565</v>
      </c>
    </row>
    <row r="8816" spans="6:8">
      <c r="H8816" t="s">
        <v>21566</v>
      </c>
    </row>
    <row r="8817" spans="6:8">
      <c r="F8817" t="s">
        <v>12257</v>
      </c>
      <c r="G8817" t="s">
        <v>16488</v>
      </c>
      <c r="H8817" t="s">
        <v>21567</v>
      </c>
    </row>
    <row r="8818" spans="6:8">
      <c r="H8818" t="s">
        <v>21568</v>
      </c>
    </row>
    <row r="8819" spans="6:8">
      <c r="H8819" t="s">
        <v>21569</v>
      </c>
    </row>
    <row r="8820" spans="6:8">
      <c r="H8820" t="s">
        <v>21570</v>
      </c>
    </row>
    <row r="8821" spans="6:8">
      <c r="H8821" t="s">
        <v>21571</v>
      </c>
    </row>
    <row r="8822" spans="6:8">
      <c r="H8822" t="s">
        <v>21572</v>
      </c>
    </row>
    <row r="8823" spans="6:8">
      <c r="H8823" t="s">
        <v>21573</v>
      </c>
    </row>
    <row r="8824" spans="6:8">
      <c r="H8824" t="s">
        <v>21574</v>
      </c>
    </row>
    <row r="8825" spans="6:8">
      <c r="F8825" t="s">
        <v>12258</v>
      </c>
      <c r="G8825" t="s">
        <v>16489</v>
      </c>
      <c r="H8825" t="s">
        <v>21575</v>
      </c>
    </row>
    <row r="8826" spans="6:8">
      <c r="H8826" t="s">
        <v>21576</v>
      </c>
    </row>
    <row r="8827" spans="6:8">
      <c r="H8827" t="s">
        <v>21577</v>
      </c>
    </row>
    <row r="8828" spans="6:8">
      <c r="H8828" t="s">
        <v>21578</v>
      </c>
    </row>
    <row r="8829" spans="6:8">
      <c r="H8829" t="s">
        <v>21579</v>
      </c>
    </row>
    <row r="8830" spans="6:8">
      <c r="H8830" t="s">
        <v>21580</v>
      </c>
    </row>
    <row r="8831" spans="6:8">
      <c r="H8831" t="s">
        <v>21581</v>
      </c>
    </row>
    <row r="8832" spans="6:8">
      <c r="H8832" t="s">
        <v>21582</v>
      </c>
    </row>
    <row r="8833" spans="6:8">
      <c r="F8833" t="s">
        <v>12259</v>
      </c>
      <c r="G8833" t="s">
        <v>16490</v>
      </c>
      <c r="H8833" t="s">
        <v>21585</v>
      </c>
    </row>
    <row r="8834" spans="6:8">
      <c r="H8834" t="s">
        <v>21586</v>
      </c>
    </row>
    <row r="8835" spans="6:8">
      <c r="H8835" t="s">
        <v>21587</v>
      </c>
    </row>
    <row r="8836" spans="6:8">
      <c r="H8836" t="s">
        <v>21588</v>
      </c>
    </row>
    <row r="8837" spans="6:8">
      <c r="H8837" t="s">
        <v>21589</v>
      </c>
    </row>
    <row r="8838" spans="6:8">
      <c r="H8838" t="s">
        <v>21590</v>
      </c>
    </row>
    <row r="8839" spans="6:8">
      <c r="H8839" t="s">
        <v>21591</v>
      </c>
    </row>
    <row r="8840" spans="6:8">
      <c r="H8840" t="s">
        <v>21592</v>
      </c>
    </row>
    <row r="8841" spans="6:8">
      <c r="F8841" t="s">
        <v>12260</v>
      </c>
      <c r="G8841" t="s">
        <v>16491</v>
      </c>
      <c r="H8841" t="s">
        <v>21593</v>
      </c>
    </row>
    <row r="8842" spans="6:8">
      <c r="H8842" t="s">
        <v>21594</v>
      </c>
    </row>
    <row r="8843" spans="6:8">
      <c r="H8843" t="s">
        <v>21595</v>
      </c>
    </row>
    <row r="8844" spans="6:8">
      <c r="H8844" t="s">
        <v>21596</v>
      </c>
    </row>
    <row r="8845" spans="6:8">
      <c r="H8845" t="s">
        <v>21597</v>
      </c>
    </row>
    <row r="8846" spans="6:8">
      <c r="H8846" t="s">
        <v>21598</v>
      </c>
    </row>
    <row r="8847" spans="6:8">
      <c r="H8847" t="s">
        <v>21599</v>
      </c>
    </row>
    <row r="8848" spans="6:8">
      <c r="H8848" t="s">
        <v>21600</v>
      </c>
    </row>
    <row r="8849" spans="6:8">
      <c r="F8849" t="s">
        <v>12261</v>
      </c>
      <c r="G8849" t="s">
        <v>16492</v>
      </c>
      <c r="H8849" t="s">
        <v>21601</v>
      </c>
    </row>
    <row r="8850" spans="6:8">
      <c r="H8850" t="s">
        <v>21602</v>
      </c>
    </row>
    <row r="8851" spans="6:8">
      <c r="H8851" t="s">
        <v>21603</v>
      </c>
    </row>
    <row r="8852" spans="6:8">
      <c r="H8852" t="s">
        <v>21604</v>
      </c>
    </row>
    <row r="8853" spans="6:8">
      <c r="H8853" t="s">
        <v>21605</v>
      </c>
    </row>
    <row r="8854" spans="6:8">
      <c r="H8854" t="s">
        <v>21606</v>
      </c>
    </row>
    <row r="8855" spans="6:8">
      <c r="H8855" t="s">
        <v>21607</v>
      </c>
    </row>
    <row r="8856" spans="6:8">
      <c r="H8856" t="s">
        <v>21608</v>
      </c>
    </row>
    <row r="8857" spans="6:8">
      <c r="F8857" t="s">
        <v>12262</v>
      </c>
      <c r="G8857" t="s">
        <v>16493</v>
      </c>
      <c r="H8857" t="s">
        <v>21609</v>
      </c>
    </row>
    <row r="8858" spans="6:8">
      <c r="H8858" t="s">
        <v>21610</v>
      </c>
    </row>
    <row r="8859" spans="6:8">
      <c r="H8859" t="s">
        <v>21611</v>
      </c>
    </row>
    <row r="8860" spans="6:8">
      <c r="H8860" t="s">
        <v>21612</v>
      </c>
    </row>
    <row r="8861" spans="6:8">
      <c r="H8861" t="s">
        <v>21613</v>
      </c>
    </row>
    <row r="8862" spans="6:8">
      <c r="H8862" t="s">
        <v>21614</v>
      </c>
    </row>
    <row r="8863" spans="6:8">
      <c r="H8863" t="s">
        <v>21615</v>
      </c>
    </row>
    <row r="8864" spans="6:8">
      <c r="H8864" t="s">
        <v>21616</v>
      </c>
    </row>
    <row r="8865" spans="6:8">
      <c r="F8865" t="s">
        <v>12263</v>
      </c>
      <c r="G8865" t="s">
        <v>16494</v>
      </c>
      <c r="H8865" t="s">
        <v>21617</v>
      </c>
    </row>
    <row r="8866" spans="6:8">
      <c r="H8866" t="s">
        <v>21618</v>
      </c>
    </row>
    <row r="8867" spans="6:8">
      <c r="H8867" t="s">
        <v>21619</v>
      </c>
    </row>
    <row r="8868" spans="6:8">
      <c r="H8868" t="s">
        <v>21620</v>
      </c>
    </row>
    <row r="8869" spans="6:8">
      <c r="H8869" t="s">
        <v>21621</v>
      </c>
    </row>
    <row r="8870" spans="6:8">
      <c r="H8870" t="s">
        <v>21622</v>
      </c>
    </row>
    <row r="8871" spans="6:8">
      <c r="H8871" t="s">
        <v>21623</v>
      </c>
    </row>
    <row r="8872" spans="6:8">
      <c r="H8872" t="s">
        <v>21624</v>
      </c>
    </row>
    <row r="8873" spans="6:8">
      <c r="F8873" t="s">
        <v>12264</v>
      </c>
      <c r="G8873" t="s">
        <v>16495</v>
      </c>
      <c r="H8873" t="s">
        <v>21625</v>
      </c>
    </row>
    <row r="8874" spans="6:8">
      <c r="H8874" t="s">
        <v>21626</v>
      </c>
    </row>
    <row r="8875" spans="6:8">
      <c r="H8875" t="s">
        <v>21627</v>
      </c>
    </row>
    <row r="8876" spans="6:8">
      <c r="H8876" t="s">
        <v>21628</v>
      </c>
    </row>
    <row r="8877" spans="6:8">
      <c r="H8877" t="s">
        <v>21629</v>
      </c>
    </row>
    <row r="8878" spans="6:8">
      <c r="H8878" t="s">
        <v>21630</v>
      </c>
    </row>
    <row r="8879" spans="6:8">
      <c r="H8879" t="s">
        <v>21631</v>
      </c>
    </row>
    <row r="8880" spans="6:8">
      <c r="H8880" t="s">
        <v>21632</v>
      </c>
    </row>
    <row r="8881" spans="6:8">
      <c r="F8881" t="s">
        <v>12265</v>
      </c>
      <c r="G8881" t="s">
        <v>16496</v>
      </c>
      <c r="H8881" t="s">
        <v>21633</v>
      </c>
    </row>
    <row r="8882" spans="6:8">
      <c r="H8882" t="s">
        <v>21634</v>
      </c>
    </row>
    <row r="8883" spans="6:8">
      <c r="H8883" t="s">
        <v>21635</v>
      </c>
    </row>
    <row r="8884" spans="6:8">
      <c r="H8884" t="s">
        <v>21636</v>
      </c>
    </row>
    <row r="8885" spans="6:8">
      <c r="H8885" t="s">
        <v>21637</v>
      </c>
    </row>
    <row r="8886" spans="6:8">
      <c r="H8886" t="s">
        <v>21638</v>
      </c>
    </row>
    <row r="8887" spans="6:8">
      <c r="H8887" t="s">
        <v>21639</v>
      </c>
    </row>
    <row r="8888" spans="6:8">
      <c r="H8888" t="s">
        <v>21640</v>
      </c>
    </row>
    <row r="8889" spans="6:8">
      <c r="F8889" t="s">
        <v>11432</v>
      </c>
      <c r="G8889" t="s">
        <v>15672</v>
      </c>
      <c r="H8889" t="s">
        <v>21641</v>
      </c>
    </row>
    <row r="8890" spans="6:8">
      <c r="H8890" t="s">
        <v>21642</v>
      </c>
    </row>
    <row r="8891" spans="6:8">
      <c r="F8891" t="s">
        <v>12266</v>
      </c>
      <c r="G8891" t="s">
        <v>16497</v>
      </c>
      <c r="H8891" t="s">
        <v>21643</v>
      </c>
    </row>
    <row r="8892" spans="6:8">
      <c r="H8892" t="s">
        <v>21644</v>
      </c>
    </row>
    <row r="8893" spans="6:8">
      <c r="H8893" t="s">
        <v>21645</v>
      </c>
    </row>
    <row r="8894" spans="6:8">
      <c r="H8894" t="s">
        <v>21646</v>
      </c>
    </row>
    <row r="8895" spans="6:8">
      <c r="H8895" t="s">
        <v>21647</v>
      </c>
    </row>
    <row r="8896" spans="6:8">
      <c r="H8896" t="s">
        <v>21648</v>
      </c>
    </row>
    <row r="8897" spans="6:8">
      <c r="H8897" t="s">
        <v>21649</v>
      </c>
    </row>
    <row r="8898" spans="6:8">
      <c r="H8898" t="s">
        <v>21650</v>
      </c>
    </row>
    <row r="8899" spans="6:8">
      <c r="F8899" t="s">
        <v>12267</v>
      </c>
      <c r="G8899" t="s">
        <v>16498</v>
      </c>
      <c r="H8899" t="s">
        <v>21651</v>
      </c>
    </row>
    <row r="8900" spans="6:8">
      <c r="H8900" t="s">
        <v>21652</v>
      </c>
    </row>
    <row r="8901" spans="6:8">
      <c r="H8901" t="s">
        <v>21653</v>
      </c>
    </row>
    <row r="8902" spans="6:8">
      <c r="H8902" t="s">
        <v>21654</v>
      </c>
    </row>
    <row r="8903" spans="6:8">
      <c r="H8903" t="s">
        <v>21655</v>
      </c>
    </row>
    <row r="8904" spans="6:8">
      <c r="H8904" t="s">
        <v>21656</v>
      </c>
    </row>
    <row r="8905" spans="6:8">
      <c r="H8905" t="s">
        <v>21657</v>
      </c>
    </row>
    <row r="8906" spans="6:8">
      <c r="H8906" t="s">
        <v>21658</v>
      </c>
    </row>
    <row r="8907" spans="6:8">
      <c r="F8907" t="s">
        <v>12268</v>
      </c>
      <c r="G8907" t="s">
        <v>16499</v>
      </c>
      <c r="H8907" t="s">
        <v>21659</v>
      </c>
    </row>
    <row r="8908" spans="6:8">
      <c r="H8908" t="s">
        <v>21660</v>
      </c>
    </row>
    <row r="8909" spans="6:8">
      <c r="H8909" t="s">
        <v>21661</v>
      </c>
    </row>
    <row r="8910" spans="6:8">
      <c r="H8910" t="s">
        <v>21662</v>
      </c>
    </row>
    <row r="8911" spans="6:8">
      <c r="H8911" t="s">
        <v>21663</v>
      </c>
    </row>
    <row r="8912" spans="6:8">
      <c r="H8912" t="s">
        <v>21664</v>
      </c>
    </row>
    <row r="8913" spans="6:8">
      <c r="H8913" t="s">
        <v>21665</v>
      </c>
    </row>
    <row r="8914" spans="6:8">
      <c r="H8914" t="s">
        <v>21666</v>
      </c>
    </row>
    <row r="8915" spans="6:8">
      <c r="F8915" t="s">
        <v>12226</v>
      </c>
      <c r="G8915" t="s">
        <v>16456</v>
      </c>
      <c r="H8915" t="s">
        <v>21667</v>
      </c>
    </row>
    <row r="8916" spans="6:8">
      <c r="H8916" t="s">
        <v>21668</v>
      </c>
    </row>
    <row r="8917" spans="6:8">
      <c r="F8917" t="s">
        <v>12269</v>
      </c>
      <c r="G8917" t="s">
        <v>16500</v>
      </c>
      <c r="H8917" t="s">
        <v>21669</v>
      </c>
    </row>
    <row r="8918" spans="6:8">
      <c r="H8918" t="s">
        <v>21670</v>
      </c>
    </row>
    <row r="8919" spans="6:8">
      <c r="H8919" t="s">
        <v>21671</v>
      </c>
    </row>
    <row r="8920" spans="6:8">
      <c r="H8920" t="s">
        <v>21672</v>
      </c>
    </row>
    <row r="8921" spans="6:8">
      <c r="H8921" t="s">
        <v>21673</v>
      </c>
    </row>
    <row r="8922" spans="6:8">
      <c r="H8922" t="s">
        <v>21674</v>
      </c>
    </row>
    <row r="8923" spans="6:8">
      <c r="H8923" t="s">
        <v>21675</v>
      </c>
    </row>
    <row r="8924" spans="6:8">
      <c r="H8924" t="s">
        <v>21676</v>
      </c>
    </row>
    <row r="8925" spans="6:8">
      <c r="F8925" t="s">
        <v>12270</v>
      </c>
      <c r="G8925" t="s">
        <v>16501</v>
      </c>
      <c r="H8925" t="s">
        <v>21677</v>
      </c>
    </row>
    <row r="8926" spans="6:8">
      <c r="H8926" t="s">
        <v>21678</v>
      </c>
    </row>
    <row r="8927" spans="6:8">
      <c r="H8927" t="s">
        <v>21679</v>
      </c>
    </row>
    <row r="8928" spans="6:8">
      <c r="H8928" t="s">
        <v>21680</v>
      </c>
    </row>
    <row r="8929" spans="6:8">
      <c r="H8929" t="s">
        <v>21681</v>
      </c>
    </row>
    <row r="8930" spans="6:8">
      <c r="H8930" t="s">
        <v>21682</v>
      </c>
    </row>
    <row r="8931" spans="6:8">
      <c r="H8931" t="s">
        <v>21683</v>
      </c>
    </row>
    <row r="8932" spans="6:8">
      <c r="H8932" t="s">
        <v>21684</v>
      </c>
    </row>
    <row r="8933" spans="6:8">
      <c r="F8933" t="s">
        <v>12271</v>
      </c>
      <c r="G8933" t="s">
        <v>16502</v>
      </c>
      <c r="H8933" t="s">
        <v>21685</v>
      </c>
    </row>
    <row r="8934" spans="6:8">
      <c r="H8934" t="s">
        <v>21686</v>
      </c>
    </row>
    <row r="8935" spans="6:8">
      <c r="H8935" t="s">
        <v>21687</v>
      </c>
    </row>
    <row r="8936" spans="6:8">
      <c r="H8936" t="s">
        <v>21688</v>
      </c>
    </row>
    <row r="8937" spans="6:8">
      <c r="H8937" t="s">
        <v>21689</v>
      </c>
    </row>
    <row r="8938" spans="6:8">
      <c r="H8938" t="s">
        <v>21690</v>
      </c>
    </row>
    <row r="8939" spans="6:8">
      <c r="H8939" t="s">
        <v>21691</v>
      </c>
    </row>
    <row r="8940" spans="6:8">
      <c r="H8940" t="s">
        <v>21692</v>
      </c>
    </row>
    <row r="8941" spans="6:8">
      <c r="F8941" t="s">
        <v>12272</v>
      </c>
      <c r="G8941" t="s">
        <v>16503</v>
      </c>
      <c r="H8941" t="s">
        <v>21693</v>
      </c>
    </row>
    <row r="8942" spans="6:8">
      <c r="H8942" t="s">
        <v>21694</v>
      </c>
    </row>
    <row r="8943" spans="6:8">
      <c r="H8943" t="s">
        <v>21695</v>
      </c>
    </row>
    <row r="8944" spans="6:8">
      <c r="H8944" t="s">
        <v>21696</v>
      </c>
    </row>
    <row r="8945" spans="6:8">
      <c r="H8945" t="s">
        <v>21697</v>
      </c>
    </row>
    <row r="8946" spans="6:8">
      <c r="H8946" t="s">
        <v>21698</v>
      </c>
    </row>
    <row r="8947" spans="6:8">
      <c r="H8947" t="s">
        <v>21699</v>
      </c>
    </row>
    <row r="8948" spans="6:8">
      <c r="H8948" t="s">
        <v>21700</v>
      </c>
    </row>
    <row r="8949" spans="6:8">
      <c r="F8949" t="s">
        <v>12273</v>
      </c>
      <c r="G8949" t="s">
        <v>16504</v>
      </c>
      <c r="H8949" t="s">
        <v>21701</v>
      </c>
    </row>
    <row r="8950" spans="6:8">
      <c r="H8950" t="s">
        <v>21702</v>
      </c>
    </row>
    <row r="8951" spans="6:8">
      <c r="H8951" t="s">
        <v>21703</v>
      </c>
    </row>
    <row r="8952" spans="6:8">
      <c r="H8952" t="s">
        <v>21704</v>
      </c>
    </row>
    <row r="8953" spans="6:8">
      <c r="H8953" t="s">
        <v>21705</v>
      </c>
    </row>
    <row r="8954" spans="6:8">
      <c r="H8954" t="s">
        <v>21706</v>
      </c>
    </row>
    <row r="8955" spans="6:8">
      <c r="H8955" t="s">
        <v>21707</v>
      </c>
    </row>
    <row r="8956" spans="6:8">
      <c r="H8956" t="s">
        <v>21708</v>
      </c>
    </row>
    <row r="8957" spans="6:8">
      <c r="F8957" t="s">
        <v>12274</v>
      </c>
      <c r="G8957" t="s">
        <v>16505</v>
      </c>
      <c r="H8957" t="s">
        <v>21709</v>
      </c>
    </row>
    <row r="8958" spans="6:8">
      <c r="H8958" t="s">
        <v>21710</v>
      </c>
    </row>
    <row r="8959" spans="6:8">
      <c r="H8959" t="s">
        <v>21711</v>
      </c>
    </row>
    <row r="8960" spans="6:8">
      <c r="H8960" t="s">
        <v>21712</v>
      </c>
    </row>
    <row r="8961" spans="6:8">
      <c r="H8961" t="s">
        <v>21713</v>
      </c>
    </row>
    <row r="8962" spans="6:8">
      <c r="H8962" t="s">
        <v>21714</v>
      </c>
    </row>
    <row r="8963" spans="6:8">
      <c r="H8963" t="s">
        <v>21715</v>
      </c>
    </row>
    <row r="8964" spans="6:8">
      <c r="H8964" t="s">
        <v>21716</v>
      </c>
    </row>
    <row r="8965" spans="6:8">
      <c r="F8965" t="s">
        <v>12275</v>
      </c>
      <c r="G8965" t="s">
        <v>16506</v>
      </c>
      <c r="H8965" t="s">
        <v>21717</v>
      </c>
    </row>
    <row r="8966" spans="6:8">
      <c r="H8966" t="s">
        <v>21718</v>
      </c>
    </row>
    <row r="8967" spans="6:8">
      <c r="H8967" t="s">
        <v>21719</v>
      </c>
    </row>
    <row r="8968" spans="6:8">
      <c r="H8968" t="s">
        <v>21720</v>
      </c>
    </row>
    <row r="8969" spans="6:8">
      <c r="H8969" t="s">
        <v>21721</v>
      </c>
    </row>
    <row r="8970" spans="6:8">
      <c r="H8970" t="s">
        <v>21722</v>
      </c>
    </row>
    <row r="8971" spans="6:8">
      <c r="H8971" t="s">
        <v>21723</v>
      </c>
    </row>
    <row r="8972" spans="6:8">
      <c r="H8972" t="s">
        <v>21724</v>
      </c>
    </row>
    <row r="8973" spans="6:8">
      <c r="F8973" t="s">
        <v>12276</v>
      </c>
      <c r="G8973" t="s">
        <v>16507</v>
      </c>
      <c r="H8973" t="s">
        <v>21725</v>
      </c>
    </row>
    <row r="8974" spans="6:8">
      <c r="H8974" t="s">
        <v>21726</v>
      </c>
    </row>
    <row r="8975" spans="6:8">
      <c r="H8975" t="s">
        <v>21727</v>
      </c>
    </row>
    <row r="8976" spans="6:8">
      <c r="H8976" t="s">
        <v>21728</v>
      </c>
    </row>
    <row r="8977" spans="6:8">
      <c r="H8977" t="s">
        <v>21729</v>
      </c>
    </row>
    <row r="8978" spans="6:8">
      <c r="H8978" t="s">
        <v>21730</v>
      </c>
    </row>
    <row r="8979" spans="6:8">
      <c r="H8979" t="s">
        <v>21731</v>
      </c>
    </row>
    <row r="8980" spans="6:8">
      <c r="H8980" t="s">
        <v>21732</v>
      </c>
    </row>
    <row r="8981" spans="6:8">
      <c r="F8981" t="s">
        <v>12277</v>
      </c>
      <c r="G8981" t="s">
        <v>16508</v>
      </c>
      <c r="H8981" t="s">
        <v>21733</v>
      </c>
    </row>
    <row r="8982" spans="6:8">
      <c r="H8982" t="s">
        <v>21734</v>
      </c>
    </row>
    <row r="8983" spans="6:8">
      <c r="H8983" t="s">
        <v>21735</v>
      </c>
    </row>
    <row r="8984" spans="6:8">
      <c r="H8984" t="s">
        <v>21736</v>
      </c>
    </row>
    <row r="8985" spans="6:8">
      <c r="H8985" t="s">
        <v>21737</v>
      </c>
    </row>
    <row r="8986" spans="6:8">
      <c r="H8986" t="s">
        <v>21738</v>
      </c>
    </row>
    <row r="8987" spans="6:8">
      <c r="H8987" t="s">
        <v>21739</v>
      </c>
    </row>
    <row r="8988" spans="6:8">
      <c r="H8988" t="s">
        <v>21740</v>
      </c>
    </row>
    <row r="8989" spans="6:8">
      <c r="F8989" t="s">
        <v>12278</v>
      </c>
      <c r="G8989" t="s">
        <v>16509</v>
      </c>
      <c r="H8989" t="s">
        <v>21741</v>
      </c>
    </row>
    <row r="8990" spans="6:8">
      <c r="H8990" t="s">
        <v>21742</v>
      </c>
    </row>
    <row r="8991" spans="6:8">
      <c r="H8991" t="s">
        <v>21743</v>
      </c>
    </row>
    <row r="8992" spans="6:8">
      <c r="H8992" t="s">
        <v>21744</v>
      </c>
    </row>
    <row r="8993" spans="6:8">
      <c r="H8993" t="s">
        <v>21745</v>
      </c>
    </row>
    <row r="8994" spans="6:8">
      <c r="H8994" t="s">
        <v>21746</v>
      </c>
    </row>
    <row r="8995" spans="6:8">
      <c r="H8995" t="s">
        <v>21747</v>
      </c>
    </row>
    <row r="8996" spans="6:8">
      <c r="H8996" t="s">
        <v>21748</v>
      </c>
    </row>
    <row r="8997" spans="6:8">
      <c r="F8997" t="s">
        <v>12279</v>
      </c>
      <c r="G8997" t="s">
        <v>16510</v>
      </c>
      <c r="H8997" t="s">
        <v>21749</v>
      </c>
    </row>
    <row r="8998" spans="6:8">
      <c r="H8998" t="s">
        <v>21750</v>
      </c>
    </row>
    <row r="8999" spans="6:8">
      <c r="H8999" t="s">
        <v>21751</v>
      </c>
    </row>
    <row r="9000" spans="6:8">
      <c r="H9000" t="s">
        <v>21752</v>
      </c>
    </row>
    <row r="9001" spans="6:8">
      <c r="H9001" t="s">
        <v>21753</v>
      </c>
    </row>
    <row r="9002" spans="6:8">
      <c r="H9002" t="s">
        <v>21754</v>
      </c>
    </row>
    <row r="9003" spans="6:8">
      <c r="H9003" t="s">
        <v>21755</v>
      </c>
    </row>
    <row r="9004" spans="6:8">
      <c r="H9004" t="s">
        <v>21756</v>
      </c>
    </row>
    <row r="9005" spans="6:8">
      <c r="F9005" t="s">
        <v>12280</v>
      </c>
      <c r="G9005" t="s">
        <v>16511</v>
      </c>
      <c r="H9005" t="s">
        <v>21757</v>
      </c>
    </row>
    <row r="9006" spans="6:8">
      <c r="H9006" t="s">
        <v>21758</v>
      </c>
    </row>
    <row r="9007" spans="6:8">
      <c r="H9007" t="s">
        <v>21759</v>
      </c>
    </row>
    <row r="9008" spans="6:8">
      <c r="H9008" t="s">
        <v>21760</v>
      </c>
    </row>
    <row r="9009" spans="6:8">
      <c r="H9009" t="s">
        <v>21761</v>
      </c>
    </row>
    <row r="9010" spans="6:8">
      <c r="H9010" t="s">
        <v>21762</v>
      </c>
    </row>
    <row r="9011" spans="6:8">
      <c r="H9011" t="s">
        <v>21763</v>
      </c>
    </row>
    <row r="9012" spans="6:8">
      <c r="H9012" t="s">
        <v>21764</v>
      </c>
    </row>
    <row r="9013" spans="6:8">
      <c r="F9013" t="s">
        <v>12281</v>
      </c>
      <c r="G9013" t="s">
        <v>16512</v>
      </c>
      <c r="H9013" t="s">
        <v>21765</v>
      </c>
    </row>
    <row r="9014" spans="6:8">
      <c r="H9014" t="s">
        <v>21766</v>
      </c>
    </row>
    <row r="9015" spans="6:8">
      <c r="H9015" t="s">
        <v>21767</v>
      </c>
    </row>
    <row r="9016" spans="6:8">
      <c r="H9016" t="s">
        <v>21768</v>
      </c>
    </row>
    <row r="9017" spans="6:8">
      <c r="H9017" t="s">
        <v>21769</v>
      </c>
    </row>
    <row r="9018" spans="6:8">
      <c r="H9018" t="s">
        <v>21770</v>
      </c>
    </row>
    <row r="9019" spans="6:8">
      <c r="H9019" t="s">
        <v>21771</v>
      </c>
    </row>
    <row r="9020" spans="6:8">
      <c r="H9020" t="s">
        <v>21772</v>
      </c>
    </row>
    <row r="9021" spans="6:8">
      <c r="F9021" t="s">
        <v>12282</v>
      </c>
      <c r="G9021" t="s">
        <v>16513</v>
      </c>
      <c r="H9021" t="s">
        <v>21773</v>
      </c>
    </row>
    <row r="9022" spans="6:8">
      <c r="H9022" t="s">
        <v>21774</v>
      </c>
    </row>
    <row r="9023" spans="6:8">
      <c r="H9023" t="s">
        <v>21775</v>
      </c>
    </row>
    <row r="9024" spans="6:8">
      <c r="H9024" t="s">
        <v>21776</v>
      </c>
    </row>
    <row r="9025" spans="6:8">
      <c r="H9025" t="s">
        <v>21777</v>
      </c>
    </row>
    <row r="9026" spans="6:8">
      <c r="H9026" t="s">
        <v>21778</v>
      </c>
    </row>
    <row r="9027" spans="6:8">
      <c r="H9027" t="s">
        <v>21779</v>
      </c>
    </row>
    <row r="9028" spans="6:8">
      <c r="H9028" t="s">
        <v>21780</v>
      </c>
    </row>
    <row r="9029" spans="6:8">
      <c r="F9029" t="s">
        <v>12283</v>
      </c>
      <c r="G9029" t="s">
        <v>16514</v>
      </c>
      <c r="H9029" t="s">
        <v>21781</v>
      </c>
    </row>
    <row r="9030" spans="6:8">
      <c r="H9030" t="s">
        <v>21782</v>
      </c>
    </row>
    <row r="9031" spans="6:8">
      <c r="H9031" t="s">
        <v>21783</v>
      </c>
    </row>
    <row r="9032" spans="6:8">
      <c r="H9032" t="s">
        <v>21784</v>
      </c>
    </row>
    <row r="9033" spans="6:8">
      <c r="H9033" t="s">
        <v>21785</v>
      </c>
    </row>
    <row r="9034" spans="6:8">
      <c r="H9034" t="s">
        <v>21786</v>
      </c>
    </row>
    <row r="9035" spans="6:8">
      <c r="H9035" t="s">
        <v>21787</v>
      </c>
    </row>
    <row r="9036" spans="6:8">
      <c r="H9036" t="s">
        <v>21788</v>
      </c>
    </row>
    <row r="9037" spans="6:8">
      <c r="F9037" t="s">
        <v>12284</v>
      </c>
      <c r="G9037" t="s">
        <v>16515</v>
      </c>
      <c r="H9037" t="s">
        <v>21789</v>
      </c>
    </row>
    <row r="9038" spans="6:8">
      <c r="H9038" t="s">
        <v>21790</v>
      </c>
    </row>
    <row r="9039" spans="6:8">
      <c r="H9039" t="s">
        <v>21791</v>
      </c>
    </row>
    <row r="9040" spans="6:8">
      <c r="H9040" t="s">
        <v>21792</v>
      </c>
    </row>
    <row r="9041" spans="6:8">
      <c r="H9041" t="s">
        <v>21793</v>
      </c>
    </row>
    <row r="9042" spans="6:8">
      <c r="H9042" t="s">
        <v>21794</v>
      </c>
    </row>
    <row r="9043" spans="6:8">
      <c r="H9043" t="s">
        <v>21795</v>
      </c>
    </row>
    <row r="9044" spans="6:8">
      <c r="H9044" t="s">
        <v>21796</v>
      </c>
    </row>
    <row r="9045" spans="6:8">
      <c r="F9045" t="s">
        <v>12285</v>
      </c>
      <c r="G9045" t="s">
        <v>16516</v>
      </c>
      <c r="H9045" t="s">
        <v>21797</v>
      </c>
    </row>
    <row r="9046" spans="6:8">
      <c r="H9046" t="s">
        <v>21798</v>
      </c>
    </row>
    <row r="9047" spans="6:8">
      <c r="H9047" t="s">
        <v>21799</v>
      </c>
    </row>
    <row r="9048" spans="6:8">
      <c r="H9048" t="s">
        <v>21800</v>
      </c>
    </row>
    <row r="9049" spans="6:8">
      <c r="H9049" t="s">
        <v>21801</v>
      </c>
    </row>
    <row r="9050" spans="6:8">
      <c r="H9050" t="s">
        <v>21802</v>
      </c>
    </row>
    <row r="9051" spans="6:8">
      <c r="H9051" t="s">
        <v>21803</v>
      </c>
    </row>
    <row r="9052" spans="6:8">
      <c r="H9052" t="s">
        <v>21804</v>
      </c>
    </row>
    <row r="9053" spans="6:8">
      <c r="F9053" t="s">
        <v>12286</v>
      </c>
      <c r="G9053" t="s">
        <v>16517</v>
      </c>
      <c r="H9053" t="s">
        <v>21805</v>
      </c>
    </row>
    <row r="9054" spans="6:8">
      <c r="H9054" t="s">
        <v>21806</v>
      </c>
    </row>
    <row r="9055" spans="6:8">
      <c r="H9055" t="s">
        <v>21807</v>
      </c>
    </row>
    <row r="9056" spans="6:8">
      <c r="H9056" t="s">
        <v>21808</v>
      </c>
    </row>
    <row r="9057" spans="6:8">
      <c r="H9057" t="s">
        <v>21809</v>
      </c>
    </row>
    <row r="9058" spans="6:8">
      <c r="H9058" t="s">
        <v>21810</v>
      </c>
    </row>
    <row r="9059" spans="6:8">
      <c r="H9059" t="s">
        <v>21811</v>
      </c>
    </row>
    <row r="9060" spans="6:8">
      <c r="H9060" t="s">
        <v>21812</v>
      </c>
    </row>
    <row r="9061" spans="6:8">
      <c r="F9061" t="s">
        <v>12287</v>
      </c>
      <c r="G9061" t="s">
        <v>16518</v>
      </c>
      <c r="H9061" t="s">
        <v>21813</v>
      </c>
    </row>
    <row r="9062" spans="6:8">
      <c r="H9062" t="s">
        <v>21814</v>
      </c>
    </row>
    <row r="9063" spans="6:8">
      <c r="H9063" t="s">
        <v>21815</v>
      </c>
    </row>
    <row r="9064" spans="6:8">
      <c r="H9064" t="s">
        <v>21816</v>
      </c>
    </row>
    <row r="9065" spans="6:8">
      <c r="H9065" t="s">
        <v>21817</v>
      </c>
    </row>
    <row r="9066" spans="6:8">
      <c r="H9066" t="s">
        <v>21818</v>
      </c>
    </row>
    <row r="9067" spans="6:8">
      <c r="H9067" t="s">
        <v>21819</v>
      </c>
    </row>
    <row r="9068" spans="6:8">
      <c r="H9068" t="s">
        <v>21820</v>
      </c>
    </row>
    <row r="9069" spans="6:8">
      <c r="F9069" t="s">
        <v>12288</v>
      </c>
      <c r="G9069" t="s">
        <v>16519</v>
      </c>
      <c r="H9069" t="s">
        <v>21821</v>
      </c>
    </row>
    <row r="9070" spans="6:8">
      <c r="H9070" t="s">
        <v>21822</v>
      </c>
    </row>
    <row r="9071" spans="6:8">
      <c r="H9071" t="s">
        <v>21823</v>
      </c>
    </row>
    <row r="9072" spans="6:8">
      <c r="H9072" t="s">
        <v>21824</v>
      </c>
    </row>
    <row r="9073" spans="6:8">
      <c r="H9073" t="s">
        <v>21825</v>
      </c>
    </row>
    <row r="9074" spans="6:8">
      <c r="H9074" t="s">
        <v>21826</v>
      </c>
    </row>
    <row r="9075" spans="6:8">
      <c r="H9075" t="s">
        <v>21827</v>
      </c>
    </row>
    <row r="9076" spans="6:8">
      <c r="H9076" t="s">
        <v>21828</v>
      </c>
    </row>
    <row r="9077" spans="6:8">
      <c r="F9077" t="s">
        <v>12247</v>
      </c>
      <c r="G9077" t="s">
        <v>16478</v>
      </c>
      <c r="H9077" t="s">
        <v>21830</v>
      </c>
    </row>
    <row r="9078" spans="6:8">
      <c r="H9078" t="s">
        <v>21831</v>
      </c>
    </row>
    <row r="9079" spans="6:8">
      <c r="H9079" t="s">
        <v>21832</v>
      </c>
    </row>
    <row r="9080" spans="6:8">
      <c r="H9080" t="s">
        <v>21833</v>
      </c>
    </row>
    <row r="9081" spans="6:8">
      <c r="H9081" t="s">
        <v>21834</v>
      </c>
    </row>
    <row r="9082" spans="6:8">
      <c r="H9082" t="s">
        <v>21835</v>
      </c>
    </row>
    <row r="9083" spans="6:8">
      <c r="H9083" t="s">
        <v>21836</v>
      </c>
    </row>
    <row r="9084" spans="6:8">
      <c r="H9084" t="s">
        <v>21837</v>
      </c>
    </row>
    <row r="9085" spans="6:8">
      <c r="F9085" t="s">
        <v>12289</v>
      </c>
      <c r="G9085" t="s">
        <v>16520</v>
      </c>
      <c r="H9085" t="s">
        <v>21838</v>
      </c>
    </row>
    <row r="9086" spans="6:8">
      <c r="H9086" t="s">
        <v>21839</v>
      </c>
    </row>
    <row r="9087" spans="6:8">
      <c r="H9087" t="s">
        <v>21840</v>
      </c>
    </row>
    <row r="9088" spans="6:8">
      <c r="H9088" t="s">
        <v>21841</v>
      </c>
    </row>
    <row r="9089" spans="6:8">
      <c r="H9089" t="s">
        <v>21842</v>
      </c>
    </row>
    <row r="9090" spans="6:8">
      <c r="H9090" t="s">
        <v>21843</v>
      </c>
    </row>
    <row r="9091" spans="6:8">
      <c r="H9091" t="s">
        <v>21844</v>
      </c>
    </row>
    <row r="9092" spans="6:8">
      <c r="H9092" t="s">
        <v>21845</v>
      </c>
    </row>
    <row r="9093" spans="6:8">
      <c r="F9093" t="s">
        <v>12248</v>
      </c>
      <c r="G9093" t="s">
        <v>16479</v>
      </c>
      <c r="H9093" t="s">
        <v>21846</v>
      </c>
    </row>
    <row r="9094" spans="6:8">
      <c r="H9094" t="s">
        <v>21847</v>
      </c>
    </row>
    <row r="9095" spans="6:8">
      <c r="H9095" t="s">
        <v>21848</v>
      </c>
    </row>
    <row r="9096" spans="6:8">
      <c r="H9096" t="s">
        <v>21849</v>
      </c>
    </row>
    <row r="9097" spans="6:8">
      <c r="H9097" t="s">
        <v>21850</v>
      </c>
    </row>
    <row r="9098" spans="6:8">
      <c r="H9098" t="s">
        <v>21851</v>
      </c>
    </row>
    <row r="9099" spans="6:8">
      <c r="H9099" t="s">
        <v>21852</v>
      </c>
    </row>
    <row r="9100" spans="6:8">
      <c r="H9100" t="s">
        <v>21853</v>
      </c>
    </row>
    <row r="9101" spans="6:8">
      <c r="F9101" t="s">
        <v>12290</v>
      </c>
      <c r="G9101" t="s">
        <v>16521</v>
      </c>
      <c r="H9101" t="s">
        <v>21854</v>
      </c>
    </row>
    <row r="9102" spans="6:8">
      <c r="H9102" t="s">
        <v>21855</v>
      </c>
    </row>
    <row r="9103" spans="6:8">
      <c r="H9103" t="s">
        <v>21856</v>
      </c>
    </row>
    <row r="9104" spans="6:8">
      <c r="H9104" t="s">
        <v>21857</v>
      </c>
    </row>
    <row r="9105" spans="6:8">
      <c r="H9105" t="s">
        <v>21858</v>
      </c>
    </row>
    <row r="9106" spans="6:8">
      <c r="H9106" t="s">
        <v>21859</v>
      </c>
    </row>
    <row r="9107" spans="6:8">
      <c r="H9107" t="s">
        <v>21860</v>
      </c>
    </row>
    <row r="9108" spans="6:8">
      <c r="H9108" t="s">
        <v>21861</v>
      </c>
    </row>
    <row r="9109" spans="6:8">
      <c r="F9109" t="s">
        <v>12291</v>
      </c>
      <c r="G9109" t="s">
        <v>16522</v>
      </c>
      <c r="H9109" t="s">
        <v>21862</v>
      </c>
    </row>
    <row r="9110" spans="6:8">
      <c r="H9110" t="s">
        <v>21863</v>
      </c>
    </row>
    <row r="9111" spans="6:8">
      <c r="H9111" t="s">
        <v>21864</v>
      </c>
    </row>
    <row r="9112" spans="6:8">
      <c r="H9112" t="s">
        <v>21865</v>
      </c>
    </row>
    <row r="9113" spans="6:8">
      <c r="H9113" t="s">
        <v>21866</v>
      </c>
    </row>
    <row r="9114" spans="6:8">
      <c r="H9114" t="s">
        <v>21867</v>
      </c>
    </row>
    <row r="9115" spans="6:8">
      <c r="H9115" t="s">
        <v>21868</v>
      </c>
    </row>
    <row r="9116" spans="6:8">
      <c r="H9116" t="s">
        <v>21869</v>
      </c>
    </row>
    <row r="9117" spans="6:8">
      <c r="F9117" t="s">
        <v>12292</v>
      </c>
      <c r="G9117" t="s">
        <v>16523</v>
      </c>
      <c r="H9117" t="s">
        <v>21870</v>
      </c>
    </row>
    <row r="9118" spans="6:8">
      <c r="H9118" t="s">
        <v>21871</v>
      </c>
    </row>
    <row r="9119" spans="6:8">
      <c r="H9119" t="s">
        <v>21872</v>
      </c>
    </row>
    <row r="9120" spans="6:8">
      <c r="H9120" t="s">
        <v>21873</v>
      </c>
    </row>
    <row r="9121" spans="6:8">
      <c r="H9121" t="s">
        <v>21874</v>
      </c>
    </row>
    <row r="9122" spans="6:8">
      <c r="H9122" t="s">
        <v>21875</v>
      </c>
    </row>
    <row r="9123" spans="6:8">
      <c r="H9123" t="s">
        <v>21876</v>
      </c>
    </row>
    <row r="9124" spans="6:8">
      <c r="H9124" t="s">
        <v>21877</v>
      </c>
    </row>
    <row r="9125" spans="6:8">
      <c r="F9125" t="s">
        <v>12293</v>
      </c>
      <c r="G9125" t="s">
        <v>16524</v>
      </c>
      <c r="H9125" t="s">
        <v>21878</v>
      </c>
    </row>
    <row r="9126" spans="6:8">
      <c r="H9126" t="s">
        <v>21879</v>
      </c>
    </row>
    <row r="9127" spans="6:8">
      <c r="H9127" t="s">
        <v>21880</v>
      </c>
    </row>
    <row r="9128" spans="6:8">
      <c r="H9128" t="s">
        <v>21881</v>
      </c>
    </row>
    <row r="9129" spans="6:8">
      <c r="H9129" t="s">
        <v>21882</v>
      </c>
    </row>
    <row r="9130" spans="6:8">
      <c r="H9130" t="s">
        <v>21883</v>
      </c>
    </row>
    <row r="9131" spans="6:8">
      <c r="H9131" t="s">
        <v>21884</v>
      </c>
    </row>
    <row r="9132" spans="6:8">
      <c r="H9132" t="s">
        <v>21885</v>
      </c>
    </row>
    <row r="9133" spans="6:8">
      <c r="F9133" t="s">
        <v>12294</v>
      </c>
      <c r="G9133" t="s">
        <v>16525</v>
      </c>
      <c r="H9133" t="s">
        <v>21886</v>
      </c>
    </row>
    <row r="9134" spans="6:8">
      <c r="H9134" t="s">
        <v>21887</v>
      </c>
    </row>
    <row r="9135" spans="6:8">
      <c r="H9135" t="s">
        <v>21888</v>
      </c>
    </row>
    <row r="9136" spans="6:8">
      <c r="H9136" t="s">
        <v>21889</v>
      </c>
    </row>
    <row r="9137" spans="6:8">
      <c r="H9137" t="s">
        <v>21890</v>
      </c>
    </row>
    <row r="9138" spans="6:8">
      <c r="H9138" t="s">
        <v>21891</v>
      </c>
    </row>
    <row r="9139" spans="6:8">
      <c r="H9139" t="s">
        <v>21892</v>
      </c>
    </row>
    <row r="9140" spans="6:8">
      <c r="H9140" t="s">
        <v>21893</v>
      </c>
    </row>
    <row r="9141" spans="6:8">
      <c r="F9141" t="s">
        <v>12295</v>
      </c>
      <c r="G9141" t="s">
        <v>16526</v>
      </c>
      <c r="H9141" t="s">
        <v>21894</v>
      </c>
    </row>
    <row r="9142" spans="6:8">
      <c r="H9142" t="s">
        <v>21895</v>
      </c>
    </row>
    <row r="9143" spans="6:8">
      <c r="F9143" t="s">
        <v>12296</v>
      </c>
      <c r="G9143" t="s">
        <v>16527</v>
      </c>
      <c r="H9143" t="s">
        <v>21896</v>
      </c>
    </row>
    <row r="9144" spans="6:8">
      <c r="H9144" t="s">
        <v>21897</v>
      </c>
    </row>
    <row r="9145" spans="6:8">
      <c r="H9145" t="s">
        <v>21898</v>
      </c>
    </row>
    <row r="9146" spans="6:8">
      <c r="H9146" t="s">
        <v>21899</v>
      </c>
    </row>
    <row r="9147" spans="6:8">
      <c r="H9147" t="s">
        <v>21900</v>
      </c>
    </row>
    <row r="9148" spans="6:8">
      <c r="H9148" t="s">
        <v>21901</v>
      </c>
    </row>
    <row r="9149" spans="6:8">
      <c r="H9149" t="s">
        <v>21902</v>
      </c>
    </row>
    <row r="9150" spans="6:8">
      <c r="H9150" t="s">
        <v>21903</v>
      </c>
    </row>
    <row r="9151" spans="6:8">
      <c r="F9151" t="s">
        <v>12297</v>
      </c>
      <c r="G9151" t="s">
        <v>16528</v>
      </c>
      <c r="H9151" t="s">
        <v>21904</v>
      </c>
    </row>
    <row r="9152" spans="6:8">
      <c r="H9152" t="s">
        <v>21905</v>
      </c>
    </row>
    <row r="9153" spans="6:8">
      <c r="H9153" t="s">
        <v>21906</v>
      </c>
    </row>
    <row r="9154" spans="6:8">
      <c r="H9154" t="s">
        <v>21907</v>
      </c>
    </row>
    <row r="9155" spans="6:8">
      <c r="H9155" t="s">
        <v>21908</v>
      </c>
    </row>
    <row r="9156" spans="6:8">
      <c r="H9156" t="s">
        <v>21909</v>
      </c>
    </row>
    <row r="9157" spans="6:8">
      <c r="H9157" t="s">
        <v>21910</v>
      </c>
    </row>
    <row r="9158" spans="6:8">
      <c r="H9158" t="s">
        <v>21911</v>
      </c>
    </row>
    <row r="9159" spans="6:8">
      <c r="F9159" t="s">
        <v>12298</v>
      </c>
      <c r="G9159" t="s">
        <v>16529</v>
      </c>
      <c r="H9159" t="s">
        <v>21912</v>
      </c>
    </row>
    <row r="9160" spans="6:8">
      <c r="H9160" t="s">
        <v>21913</v>
      </c>
    </row>
    <row r="9161" spans="6:8">
      <c r="H9161" t="s">
        <v>21914</v>
      </c>
    </row>
    <row r="9162" spans="6:8">
      <c r="H9162" t="s">
        <v>21915</v>
      </c>
    </row>
    <row r="9163" spans="6:8">
      <c r="H9163" t="s">
        <v>21916</v>
      </c>
    </row>
    <row r="9164" spans="6:8">
      <c r="H9164" t="s">
        <v>21917</v>
      </c>
    </row>
    <row r="9165" spans="6:8">
      <c r="H9165" t="s">
        <v>21918</v>
      </c>
    </row>
    <row r="9166" spans="6:8">
      <c r="H9166" t="s">
        <v>21919</v>
      </c>
    </row>
    <row r="9167" spans="6:8">
      <c r="F9167" t="s">
        <v>12299</v>
      </c>
      <c r="G9167" t="s">
        <v>16530</v>
      </c>
      <c r="H9167" t="s">
        <v>21920</v>
      </c>
    </row>
    <row r="9168" spans="6:8">
      <c r="H9168" t="s">
        <v>21921</v>
      </c>
    </row>
    <row r="9169" spans="6:8">
      <c r="H9169" t="s">
        <v>21922</v>
      </c>
    </row>
    <row r="9170" spans="6:8">
      <c r="H9170" t="s">
        <v>21923</v>
      </c>
    </row>
    <row r="9171" spans="6:8">
      <c r="H9171" t="s">
        <v>21924</v>
      </c>
    </row>
    <row r="9172" spans="6:8">
      <c r="H9172" t="s">
        <v>21925</v>
      </c>
    </row>
    <row r="9173" spans="6:8">
      <c r="H9173" t="s">
        <v>21926</v>
      </c>
    </row>
    <row r="9174" spans="6:8">
      <c r="H9174" t="s">
        <v>21927</v>
      </c>
    </row>
    <row r="9175" spans="6:8">
      <c r="F9175" t="s">
        <v>12300</v>
      </c>
      <c r="G9175" t="s">
        <v>16531</v>
      </c>
      <c r="H9175" t="s">
        <v>21928</v>
      </c>
    </row>
    <row r="9176" spans="6:8">
      <c r="H9176" t="s">
        <v>21929</v>
      </c>
    </row>
    <row r="9177" spans="6:8">
      <c r="H9177" t="s">
        <v>21930</v>
      </c>
    </row>
    <row r="9178" spans="6:8">
      <c r="H9178" t="s">
        <v>21931</v>
      </c>
    </row>
    <row r="9179" spans="6:8">
      <c r="H9179" t="s">
        <v>21932</v>
      </c>
    </row>
    <row r="9180" spans="6:8">
      <c r="H9180" t="s">
        <v>21933</v>
      </c>
    </row>
    <row r="9181" spans="6:8">
      <c r="H9181" t="s">
        <v>21934</v>
      </c>
    </row>
    <row r="9182" spans="6:8">
      <c r="H9182" t="s">
        <v>21935</v>
      </c>
    </row>
    <row r="9183" spans="6:8">
      <c r="F9183" t="s">
        <v>12301</v>
      </c>
      <c r="G9183" t="s">
        <v>16532</v>
      </c>
      <c r="H9183" t="s">
        <v>21936</v>
      </c>
    </row>
    <row r="9184" spans="6:8">
      <c r="H9184" t="s">
        <v>21937</v>
      </c>
    </row>
    <row r="9185" spans="6:8">
      <c r="H9185" t="s">
        <v>21938</v>
      </c>
    </row>
    <row r="9186" spans="6:8">
      <c r="H9186" t="s">
        <v>21939</v>
      </c>
    </row>
    <row r="9187" spans="6:8">
      <c r="H9187" t="s">
        <v>21940</v>
      </c>
    </row>
    <row r="9188" spans="6:8">
      <c r="H9188" t="s">
        <v>21941</v>
      </c>
    </row>
    <row r="9189" spans="6:8">
      <c r="H9189" t="s">
        <v>21942</v>
      </c>
    </row>
    <row r="9190" spans="6:8">
      <c r="H9190" t="s">
        <v>21943</v>
      </c>
    </row>
    <row r="9191" spans="6:8">
      <c r="F9191" t="s">
        <v>12302</v>
      </c>
      <c r="G9191" t="s">
        <v>16533</v>
      </c>
      <c r="H9191" t="s">
        <v>21944</v>
      </c>
    </row>
    <row r="9192" spans="6:8">
      <c r="H9192" t="s">
        <v>21945</v>
      </c>
    </row>
    <row r="9193" spans="6:8">
      <c r="H9193" t="s">
        <v>21946</v>
      </c>
    </row>
    <row r="9194" spans="6:8">
      <c r="H9194" t="s">
        <v>21947</v>
      </c>
    </row>
    <row r="9195" spans="6:8">
      <c r="H9195" t="s">
        <v>21948</v>
      </c>
    </row>
    <row r="9196" spans="6:8">
      <c r="H9196" t="s">
        <v>21949</v>
      </c>
    </row>
    <row r="9197" spans="6:8">
      <c r="H9197" t="s">
        <v>21950</v>
      </c>
    </row>
    <row r="9198" spans="6:8">
      <c r="H9198" t="s">
        <v>21951</v>
      </c>
    </row>
    <row r="9199" spans="6:8">
      <c r="F9199" t="s">
        <v>12303</v>
      </c>
      <c r="G9199" t="s">
        <v>16534</v>
      </c>
      <c r="H9199" t="s">
        <v>21952</v>
      </c>
    </row>
    <row r="9200" spans="6:8">
      <c r="H9200" t="s">
        <v>21953</v>
      </c>
    </row>
    <row r="9201" spans="1:8">
      <c r="H9201" t="s">
        <v>21954</v>
      </c>
    </row>
    <row r="9202" spans="1:8">
      <c r="H9202" t="s">
        <v>21955</v>
      </c>
    </row>
    <row r="9203" spans="1:8">
      <c r="H9203" t="s">
        <v>21956</v>
      </c>
    </row>
    <row r="9204" spans="1:8">
      <c r="H9204" t="s">
        <v>21957</v>
      </c>
    </row>
    <row r="9205" spans="1:8">
      <c r="H9205" t="s">
        <v>21958</v>
      </c>
    </row>
    <row r="9206" spans="1:8">
      <c r="H9206" t="s">
        <v>21959</v>
      </c>
    </row>
    <row r="9207" spans="1:8">
      <c r="F9207" t="s">
        <v>12304</v>
      </c>
      <c r="G9207" t="s">
        <v>16535</v>
      </c>
      <c r="H9207" t="s">
        <v>21960</v>
      </c>
    </row>
    <row r="9208" spans="1:8">
      <c r="H9208" t="s">
        <v>21961</v>
      </c>
    </row>
    <row r="9209" spans="1:8">
      <c r="H9209" t="s">
        <v>21962</v>
      </c>
    </row>
    <row r="9210" spans="1:8">
      <c r="H9210" t="s">
        <v>21963</v>
      </c>
    </row>
    <row r="9211" spans="1:8">
      <c r="H9211" t="s">
        <v>21964</v>
      </c>
    </row>
    <row r="9212" spans="1:8">
      <c r="H9212" t="s">
        <v>21965</v>
      </c>
    </row>
    <row r="9213" spans="1:8">
      <c r="H9213" t="s">
        <v>21966</v>
      </c>
    </row>
    <row r="9214" spans="1:8">
      <c r="H9214" t="s">
        <v>21967</v>
      </c>
    </row>
    <row r="9215" spans="1:8">
      <c r="A9215" t="s">
        <v>526</v>
      </c>
      <c r="B9215">
        <f>HYPERLINK("https://android.googlesource.com/platform/cts/+/ff0a994dacffeee9c7918401bca7cdd6ae402707", "ff0a994dacffeee9c7918401bca7cdd6ae402707")</f>
        <v>0</v>
      </c>
      <c r="C9215">
        <f>HYPERLINK("https://android.googlesource.com/platform/cts/+/001664d27c8fedf061b5439cbf0c42c3e615bdcc", "001664d27c8fedf061b5439cbf0c42c3e615bdcc")</f>
        <v>0</v>
      </c>
      <c r="D9215" t="s">
        <v>5020</v>
      </c>
      <c r="E9215" t="s">
        <v>6312</v>
      </c>
      <c r="F9215" t="s">
        <v>12252</v>
      </c>
      <c r="G9215" t="s">
        <v>16483</v>
      </c>
      <c r="H9215" t="s">
        <v>21531</v>
      </c>
    </row>
    <row r="9216" spans="1:8">
      <c r="A9216" t="s">
        <v>535</v>
      </c>
      <c r="B9216">
        <f>HYPERLINK("https://android.googlesource.com/platform/cts/+/38db26307da6ad8e7b539037fed1559668154e68", "38db26307da6ad8e7b539037fed1559668154e68")</f>
        <v>0</v>
      </c>
      <c r="C9216">
        <f>HYPERLINK("https://android.googlesource.com/platform/cts/+/91911fcbb39f138d043a7142e3dae912c4e6d12b", "91911fcbb39f138d043a7142e3dae912c4e6d12b")</f>
        <v>0</v>
      </c>
      <c r="D9216" t="s">
        <v>5023</v>
      </c>
      <c r="E9216" t="s">
        <v>6320</v>
      </c>
      <c r="F9216" t="s">
        <v>12314</v>
      </c>
      <c r="G9216" t="s">
        <v>16546</v>
      </c>
      <c r="H9216" t="s">
        <v>22007</v>
      </c>
    </row>
    <row r="9217" spans="1:8">
      <c r="A9217" t="s">
        <v>540</v>
      </c>
      <c r="B9217">
        <f>HYPERLINK("https://android.googlesource.com/platform/cts/+/d51e0c83207dabadb0d64d86c2b4fff7ca9bef7f", "d51e0c83207dabadb0d64d86c2b4fff7ca9bef7f")</f>
        <v>0</v>
      </c>
      <c r="C9217">
        <f>HYPERLINK("https://android.googlesource.com/platform/cts/+/e32c995b1b14ea670626ebf651a0fc45ed2c8c00", "e32c995b1b14ea670626ebf651a0fc45ed2c8c00")</f>
        <v>0</v>
      </c>
      <c r="D9217" t="s">
        <v>4973</v>
      </c>
      <c r="E9217" t="s">
        <v>6325</v>
      </c>
      <c r="F9217" t="s">
        <v>12319</v>
      </c>
      <c r="G9217" t="s">
        <v>16549</v>
      </c>
      <c r="H9217" t="s">
        <v>22039</v>
      </c>
    </row>
    <row r="9218" spans="1:8">
      <c r="A9218" t="s">
        <v>541</v>
      </c>
      <c r="B9218">
        <f>HYPERLINK("https://android.googlesource.com/platform/cts/+/7b44fee3487ee84d9c10a51dddaac4dc95229ba7", "7b44fee3487ee84d9c10a51dddaac4dc95229ba7")</f>
        <v>0</v>
      </c>
      <c r="C9218">
        <f>HYPERLINK("https://android.googlesource.com/platform/cts/+/fd4862555abcc1d8aaf80ce112c2fcd9acd52ec9", "fd4862555abcc1d8aaf80ce112c2fcd9acd52ec9")</f>
        <v>0</v>
      </c>
      <c r="D9218" t="s">
        <v>5024</v>
      </c>
      <c r="E9218" t="s">
        <v>6326</v>
      </c>
      <c r="F9218" t="s">
        <v>12320</v>
      </c>
      <c r="G9218" t="s">
        <v>16550</v>
      </c>
      <c r="H9218" t="s">
        <v>22044</v>
      </c>
    </row>
    <row r="9219" spans="1:8">
      <c r="H9219" t="s">
        <v>22045</v>
      </c>
    </row>
    <row r="9220" spans="1:8">
      <c r="H9220" t="s">
        <v>22046</v>
      </c>
    </row>
    <row r="9221" spans="1:8">
      <c r="H9221" t="s">
        <v>22047</v>
      </c>
    </row>
    <row r="9222" spans="1:8">
      <c r="H9222" t="s">
        <v>22048</v>
      </c>
    </row>
    <row r="9223" spans="1:8">
      <c r="F9223" t="s">
        <v>12321</v>
      </c>
      <c r="G9223" t="s">
        <v>16551</v>
      </c>
      <c r="H9223" t="s">
        <v>22050</v>
      </c>
    </row>
    <row r="9224" spans="1:8">
      <c r="H9224" t="s">
        <v>22051</v>
      </c>
    </row>
    <row r="9225" spans="1:8">
      <c r="H9225" t="s">
        <v>22052</v>
      </c>
    </row>
    <row r="9226" spans="1:8">
      <c r="H9226" t="s">
        <v>22053</v>
      </c>
    </row>
    <row r="9227" spans="1:8">
      <c r="H9227" t="s">
        <v>22054</v>
      </c>
    </row>
    <row r="9228" spans="1:8">
      <c r="H9228" t="s">
        <v>22055</v>
      </c>
    </row>
    <row r="9229" spans="1:8">
      <c r="H9229" t="s">
        <v>22056</v>
      </c>
    </row>
    <row r="9230" spans="1:8">
      <c r="A9230" t="s">
        <v>547</v>
      </c>
      <c r="B9230">
        <f>HYPERLINK("https://android.googlesource.com/platform/cts/+/ccb3315b017c17710f0f190a50dbf9f92687aa87", "ccb3315b017c17710f0f190a50dbf9f92687aa87")</f>
        <v>0</v>
      </c>
      <c r="C9230">
        <f>HYPERLINK("https://android.googlesource.com/platform/cts/+/f5e85145970257730305e9f2681825e24100c4e7", "f5e85145970257730305e9f2681825e24100c4e7")</f>
        <v>0</v>
      </c>
      <c r="D9230" t="s">
        <v>5007</v>
      </c>
      <c r="E9230" t="s">
        <v>6332</v>
      </c>
      <c r="F9230" t="s">
        <v>12325</v>
      </c>
      <c r="G9230" t="s">
        <v>16555</v>
      </c>
      <c r="H9230" t="s">
        <v>22088</v>
      </c>
    </row>
    <row r="9231" spans="1:8">
      <c r="A9231" t="s">
        <v>548</v>
      </c>
      <c r="B9231">
        <f>HYPERLINK("https://android.googlesource.com/platform/cts/+/863fadbcff87c8809e9d9fae1c64a1fe692b2ea2", "863fadbcff87c8809e9d9fae1c64a1fe692b2ea2")</f>
        <v>0</v>
      </c>
      <c r="C9231">
        <f>HYPERLINK("https://android.googlesource.com/platform/cts/+/f09eb74555a4c8d46fa908fa83099a26a28d80eb", "f09eb74555a4c8d46fa908fa83099a26a28d80eb")</f>
        <v>0</v>
      </c>
      <c r="D9231" t="s">
        <v>5019</v>
      </c>
      <c r="E9231" t="s">
        <v>6333</v>
      </c>
      <c r="F9231" t="s">
        <v>12326</v>
      </c>
      <c r="G9231" t="s">
        <v>16556</v>
      </c>
      <c r="H9231" t="s">
        <v>22108</v>
      </c>
    </row>
    <row r="9232" spans="1:8">
      <c r="A9232" t="s">
        <v>549</v>
      </c>
      <c r="B9232">
        <f>HYPERLINK("https://android.googlesource.com/platform/cts/+/5b70b978e78d4731c66a0a4320984a69e4a88690", "5b70b978e78d4731c66a0a4320984a69e4a88690")</f>
        <v>0</v>
      </c>
      <c r="C9232">
        <f>HYPERLINK("https://android.googlesource.com/platform/cts/+/b7f71268276f56cd4b15ac51bffbb14e55480788", "b7f71268276f56cd4b15ac51bffbb14e55480788")</f>
        <v>0</v>
      </c>
      <c r="D9232" t="s">
        <v>5026</v>
      </c>
      <c r="E9232" t="s">
        <v>6334</v>
      </c>
      <c r="F9232" t="s">
        <v>12327</v>
      </c>
      <c r="G9232" t="s">
        <v>16557</v>
      </c>
      <c r="H9232" t="s">
        <v>22109</v>
      </c>
    </row>
    <row r="9233" spans="1:8">
      <c r="A9233" t="s">
        <v>550</v>
      </c>
      <c r="B9233">
        <f>HYPERLINK("https://android.googlesource.com/platform/cts/+/c9bccc623c3d30d2fed4d2bbe321765598801545", "c9bccc623c3d30d2fed4d2bbe321765598801545")</f>
        <v>0</v>
      </c>
      <c r="C9233">
        <f>HYPERLINK("https://android.googlesource.com/platform/cts/+/76a03019d359f0d2a11862d49d3fc2b9e99c9167", "76a03019d359f0d2a11862d49d3fc2b9e99c9167")</f>
        <v>0</v>
      </c>
      <c r="D9233" t="s">
        <v>5004</v>
      </c>
      <c r="E9233" t="s">
        <v>6335</v>
      </c>
      <c r="F9233" t="s">
        <v>12328</v>
      </c>
      <c r="G9233" t="s">
        <v>16458</v>
      </c>
      <c r="H9233" t="s">
        <v>22110</v>
      </c>
    </row>
    <row r="9234" spans="1:8">
      <c r="A9234" t="s">
        <v>557</v>
      </c>
      <c r="B9234">
        <f>HYPERLINK("https://android.googlesource.com/platform/cts/+/c7d2f628194c794cac832a74fe415a04d76b0c25", "c7d2f628194c794cac832a74fe415a04d76b0c25")</f>
        <v>0</v>
      </c>
      <c r="C9234">
        <f>HYPERLINK("https://android.googlesource.com/platform/cts/+/e100b5fc27a7af6fe0e895b9c1a026602edaeda5", "e100b5fc27a7af6fe0e895b9c1a026602edaeda5")</f>
        <v>0</v>
      </c>
      <c r="D9234" t="s">
        <v>5028</v>
      </c>
      <c r="E9234" t="s">
        <v>6341</v>
      </c>
      <c r="F9234" t="s">
        <v>12221</v>
      </c>
      <c r="G9234" t="s">
        <v>16451</v>
      </c>
      <c r="H9234" t="s">
        <v>22119</v>
      </c>
    </row>
    <row r="9235" spans="1:8">
      <c r="A9235" t="s">
        <v>558</v>
      </c>
      <c r="B9235">
        <f>HYPERLINK("https://android.googlesource.com/platform/cts/+/ffb1ee597d9fb627774c13e9b5c9c049d201aefd", "ffb1ee597d9fb627774c13e9b5c9c049d201aefd")</f>
        <v>0</v>
      </c>
      <c r="C9235">
        <f>HYPERLINK("https://android.googlesource.com/platform/cts/+/6e0ef8958e5d1ed0b880e8ec8004bcd40fc456dc", "6e0ef8958e5d1ed0b880e8ec8004bcd40fc456dc")</f>
        <v>0</v>
      </c>
      <c r="D9235" t="s">
        <v>5010</v>
      </c>
      <c r="E9235" t="s">
        <v>6342</v>
      </c>
      <c r="F9235" t="s">
        <v>12328</v>
      </c>
      <c r="G9235" t="s">
        <v>16458</v>
      </c>
      <c r="H9235" t="s">
        <v>22121</v>
      </c>
    </row>
    <row r="9236" spans="1:8">
      <c r="H9236" t="s">
        <v>22122</v>
      </c>
    </row>
    <row r="9237" spans="1:8">
      <c r="H9237" t="s">
        <v>22123</v>
      </c>
    </row>
    <row r="9238" spans="1:8">
      <c r="H9238" t="s">
        <v>22124</v>
      </c>
    </row>
    <row r="9239" spans="1:8">
      <c r="H9239" t="s">
        <v>22125</v>
      </c>
    </row>
    <row r="9240" spans="1:8">
      <c r="H9240" t="s">
        <v>22126</v>
      </c>
    </row>
    <row r="9241" spans="1:8">
      <c r="H9241" t="s">
        <v>22128</v>
      </c>
    </row>
    <row r="9242" spans="1:8">
      <c r="H9242" t="s">
        <v>22129</v>
      </c>
    </row>
    <row r="9243" spans="1:8">
      <c r="A9243" t="s">
        <v>559</v>
      </c>
      <c r="B9243">
        <f>HYPERLINK("https://android.googlesource.com/platform/cts/+/9de0160cc34cad014ad2b26f849c042b911e4680", "9de0160cc34cad014ad2b26f849c042b911e4680")</f>
        <v>0</v>
      </c>
      <c r="C9243">
        <f>HYPERLINK("https://android.googlesource.com/platform/cts/+/1ad2dfcc524463008a27bfc53f60a41a64620e27", "1ad2dfcc524463008a27bfc53f60a41a64620e27")</f>
        <v>0</v>
      </c>
      <c r="D9243" t="s">
        <v>5018</v>
      </c>
      <c r="E9243" t="s">
        <v>6343</v>
      </c>
      <c r="F9243" t="s">
        <v>12330</v>
      </c>
      <c r="G9243" t="s">
        <v>16558</v>
      </c>
      <c r="H9243" t="s">
        <v>22130</v>
      </c>
    </row>
    <row r="9244" spans="1:8">
      <c r="A9244" t="s">
        <v>562</v>
      </c>
      <c r="B9244">
        <f>HYPERLINK("https://android.googlesource.com/platform/cts/+/24bcfcded83c94beb7f5c5dc7cf9df3c233aa8f3", "24bcfcded83c94beb7f5c5dc7cf9df3c233aa8f3")</f>
        <v>0</v>
      </c>
      <c r="C9244">
        <f>HYPERLINK("https://android.googlesource.com/platform/cts/+/94399746c7dfbd36c947b3c3b47de8e2a0a97c63", "94399746c7dfbd36c947b3c3b47de8e2a0a97c63")</f>
        <v>0</v>
      </c>
      <c r="D9244" t="s">
        <v>5004</v>
      </c>
      <c r="E9244" t="s">
        <v>6346</v>
      </c>
      <c r="F9244" t="s">
        <v>12328</v>
      </c>
      <c r="G9244" t="s">
        <v>16458</v>
      </c>
      <c r="H9244" t="s">
        <v>22132</v>
      </c>
    </row>
    <row r="9245" spans="1:8">
      <c r="A9245" t="s">
        <v>563</v>
      </c>
      <c r="B9245">
        <f>HYPERLINK("https://android.googlesource.com/platform/cts/+/f18f2a212328ee84a1fe80767421888009a1f690", "f18f2a212328ee84a1fe80767421888009a1f690")</f>
        <v>0</v>
      </c>
      <c r="C9245">
        <f>HYPERLINK("https://android.googlesource.com/platform/cts/+/94399746c7dfbd36c947b3c3b47de8e2a0a97c63", "94399746c7dfbd36c947b3c3b47de8e2a0a97c63")</f>
        <v>0</v>
      </c>
      <c r="D9245" t="s">
        <v>5026</v>
      </c>
      <c r="E9245" t="s">
        <v>6347</v>
      </c>
      <c r="F9245" t="s">
        <v>12327</v>
      </c>
      <c r="G9245" t="s">
        <v>16557</v>
      </c>
      <c r="H9245" t="s">
        <v>22133</v>
      </c>
    </row>
    <row r="9246" spans="1:8">
      <c r="A9246" t="s">
        <v>568</v>
      </c>
      <c r="B9246">
        <f>HYPERLINK("https://android.googlesource.com/platform/cts/+/a47c85a90f67b953ff4fffb408d17ce47b6440a1", "a47c85a90f67b953ff4fffb408d17ce47b6440a1")</f>
        <v>0</v>
      </c>
      <c r="C9246">
        <f>HYPERLINK("https://android.googlesource.com/platform/cts/+/bb24757ddf2be5d5858e2e24382b7342119d9a85", "bb24757ddf2be5d5858e2e24382b7342119d9a85")</f>
        <v>0</v>
      </c>
      <c r="D9246" t="s">
        <v>4978</v>
      </c>
      <c r="E9246" t="s">
        <v>6353</v>
      </c>
      <c r="F9246" t="s">
        <v>12328</v>
      </c>
      <c r="G9246" t="s">
        <v>16458</v>
      </c>
      <c r="H9246" t="s">
        <v>22143</v>
      </c>
    </row>
    <row r="9247" spans="1:8">
      <c r="A9247" t="s">
        <v>571</v>
      </c>
      <c r="B9247">
        <f>HYPERLINK("https://android.googlesource.com/platform/cts/+/6e3dd2818f782221f2953d0aca445735c8dfdc6e", "6e3dd2818f782221f2953d0aca445735c8dfdc6e")</f>
        <v>0</v>
      </c>
      <c r="C9247">
        <f>HYPERLINK("https://android.googlesource.com/platform/cts/+/92b5677aa6248e59c327779a9585e724cb65e52a", "92b5677aa6248e59c327779a9585e724cb65e52a")</f>
        <v>0</v>
      </c>
      <c r="D9247" t="s">
        <v>5028</v>
      </c>
      <c r="E9247" t="s">
        <v>6356</v>
      </c>
      <c r="F9247" t="s">
        <v>12334</v>
      </c>
      <c r="G9247" t="s">
        <v>16562</v>
      </c>
      <c r="H9247" t="s">
        <v>22145</v>
      </c>
    </row>
    <row r="9248" spans="1:8">
      <c r="A9248" t="s">
        <v>573</v>
      </c>
      <c r="B9248">
        <f>HYPERLINK("https://android.googlesource.com/platform/cts/+/887b66fa88701f8b5aac65efc1d24aed3610a53a", "887b66fa88701f8b5aac65efc1d24aed3610a53a")</f>
        <v>0</v>
      </c>
      <c r="C9248">
        <f>HYPERLINK("https://android.googlesource.com/platform/cts/+/8d829f61cd17f1f0f8c022e2a71447b366189df9", "8d829f61cd17f1f0f8c022e2a71447b366189df9")</f>
        <v>0</v>
      </c>
      <c r="D9248" t="s">
        <v>5004</v>
      </c>
      <c r="E9248" t="s">
        <v>6358</v>
      </c>
      <c r="F9248" t="s">
        <v>12328</v>
      </c>
      <c r="G9248" t="s">
        <v>16458</v>
      </c>
      <c r="H9248" t="s">
        <v>22147</v>
      </c>
    </row>
    <row r="9249" spans="1:8">
      <c r="A9249" t="s">
        <v>577</v>
      </c>
      <c r="B9249">
        <f>HYPERLINK("https://android.googlesource.com/platform/cts/+/b3da24d0a95d74b18f7dea88d2aa11c493044bd4", "b3da24d0a95d74b18f7dea88d2aa11c493044bd4")</f>
        <v>0</v>
      </c>
      <c r="C9249">
        <f>HYPERLINK("https://android.googlesource.com/platform/cts/+/8386822c69457adddca52bc9b7146dde368fec9d", "8386822c69457adddca52bc9b7146dde368fec9d")</f>
        <v>0</v>
      </c>
      <c r="D9249" t="s">
        <v>4967</v>
      </c>
      <c r="E9249" t="s">
        <v>6362</v>
      </c>
      <c r="F9249" t="s">
        <v>12335</v>
      </c>
      <c r="G9249" t="s">
        <v>16563</v>
      </c>
      <c r="H9249" t="s">
        <v>22151</v>
      </c>
    </row>
    <row r="9250" spans="1:8">
      <c r="F9250" t="s">
        <v>12336</v>
      </c>
      <c r="G9250" t="s">
        <v>16564</v>
      </c>
      <c r="H9250" t="s">
        <v>22151</v>
      </c>
    </row>
    <row r="9251" spans="1:8">
      <c r="F9251" t="s">
        <v>10780</v>
      </c>
      <c r="G9251" t="s">
        <v>15176</v>
      </c>
      <c r="H9251" t="s">
        <v>22151</v>
      </c>
    </row>
    <row r="9252" spans="1:8">
      <c r="F9252" t="s">
        <v>12316</v>
      </c>
      <c r="G9252" t="s">
        <v>16548</v>
      </c>
      <c r="H9252" t="s">
        <v>22151</v>
      </c>
    </row>
    <row r="9253" spans="1:8">
      <c r="F9253" t="s">
        <v>10646</v>
      </c>
      <c r="G9253" t="s">
        <v>15047</v>
      </c>
      <c r="H9253" t="s">
        <v>22151</v>
      </c>
    </row>
    <row r="9254" spans="1:8">
      <c r="A9254" t="s">
        <v>578</v>
      </c>
      <c r="B9254">
        <f>HYPERLINK("https://android.googlesource.com/platform/cts/+/e32c8ecba4fb2c7ec0ab8112cd8977e2f876cf98", "e32c8ecba4fb2c7ec0ab8112cd8977e2f876cf98")</f>
        <v>0</v>
      </c>
      <c r="C9254">
        <f>HYPERLINK("https://android.googlesource.com/platform/cts/+/8688ecffd952e610f1ed4ad4228d66fffdd6cb4b", "8688ecffd952e610f1ed4ad4228d66fffdd6cb4b")</f>
        <v>0</v>
      </c>
      <c r="D9254" t="s">
        <v>5033</v>
      </c>
      <c r="E9254" t="s">
        <v>6363</v>
      </c>
      <c r="F9254" t="s">
        <v>12337</v>
      </c>
      <c r="G9254" t="s">
        <v>16565</v>
      </c>
      <c r="H9254" t="s">
        <v>22156</v>
      </c>
    </row>
    <row r="9255" spans="1:8">
      <c r="H9255" t="s">
        <v>22157</v>
      </c>
    </row>
    <row r="9256" spans="1:8">
      <c r="H9256" t="s">
        <v>22158</v>
      </c>
    </row>
    <row r="9257" spans="1:8">
      <c r="H9257" t="s">
        <v>22159</v>
      </c>
    </row>
    <row r="9258" spans="1:8">
      <c r="H9258" t="s">
        <v>22160</v>
      </c>
    </row>
    <row r="9259" spans="1:8">
      <c r="H9259" t="s">
        <v>22161</v>
      </c>
    </row>
    <row r="9260" spans="1:8">
      <c r="H9260" t="s">
        <v>22162</v>
      </c>
    </row>
    <row r="9261" spans="1:8">
      <c r="H9261" t="s">
        <v>22163</v>
      </c>
    </row>
    <row r="9262" spans="1:8">
      <c r="H9262" t="s">
        <v>22164</v>
      </c>
    </row>
    <row r="9263" spans="1:8">
      <c r="H9263" t="s">
        <v>22165</v>
      </c>
    </row>
    <row r="9264" spans="1:8">
      <c r="H9264" t="s">
        <v>22166</v>
      </c>
    </row>
    <row r="9265" spans="1:8">
      <c r="H9265" t="s">
        <v>22167</v>
      </c>
    </row>
    <row r="9266" spans="1:8">
      <c r="H9266" t="s">
        <v>22168</v>
      </c>
    </row>
    <row r="9267" spans="1:8">
      <c r="H9267" t="s">
        <v>22169</v>
      </c>
    </row>
    <row r="9268" spans="1:8">
      <c r="H9268" t="s">
        <v>22170</v>
      </c>
    </row>
    <row r="9269" spans="1:8">
      <c r="H9269" t="s">
        <v>22171</v>
      </c>
    </row>
    <row r="9270" spans="1:8">
      <c r="H9270" t="s">
        <v>22172</v>
      </c>
    </row>
    <row r="9271" spans="1:8">
      <c r="H9271" t="s">
        <v>22173</v>
      </c>
    </row>
    <row r="9272" spans="1:8">
      <c r="H9272" t="s">
        <v>22174</v>
      </c>
    </row>
    <row r="9273" spans="1:8">
      <c r="H9273" t="s">
        <v>22175</v>
      </c>
    </row>
    <row r="9274" spans="1:8">
      <c r="H9274" t="s">
        <v>22176</v>
      </c>
    </row>
    <row r="9275" spans="1:8">
      <c r="H9275" t="s">
        <v>22177</v>
      </c>
    </row>
    <row r="9276" spans="1:8">
      <c r="H9276" t="s">
        <v>22178</v>
      </c>
    </row>
    <row r="9277" spans="1:8">
      <c r="H9277" t="s">
        <v>22179</v>
      </c>
    </row>
    <row r="9278" spans="1:8">
      <c r="A9278" t="s">
        <v>580</v>
      </c>
      <c r="B9278">
        <f>HYPERLINK("https://android.googlesource.com/platform/cts/+/2a40eb9f66e54a22be7c0d045f04cc24db029e2a", "2a40eb9f66e54a22be7c0d045f04cc24db029e2a")</f>
        <v>0</v>
      </c>
      <c r="C9278">
        <f>HYPERLINK("https://android.googlesource.com/platform/cts/+/0eb98efc9081fec29cc91a5d137b9cec69072891", "0eb98efc9081fec29cc91a5d137b9cec69072891")</f>
        <v>0</v>
      </c>
      <c r="D9278" t="s">
        <v>5031</v>
      </c>
      <c r="E9278" t="s">
        <v>6365</v>
      </c>
      <c r="F9278" t="s">
        <v>12339</v>
      </c>
      <c r="G9278" t="s">
        <v>16567</v>
      </c>
      <c r="H9278" t="s">
        <v>22182</v>
      </c>
    </row>
    <row r="9279" spans="1:8">
      <c r="A9279" t="s">
        <v>581</v>
      </c>
      <c r="B9279">
        <f>HYPERLINK("https://android.googlesource.com/platform/cts/+/6b6a5feab14ec08b7faecfcdbeb9d47689496dda", "6b6a5feab14ec08b7faecfcdbeb9d47689496dda")</f>
        <v>0</v>
      </c>
      <c r="C9279">
        <f>HYPERLINK("https://android.googlesource.com/platform/cts/+/2b83b8dbb354eb0ced02f257898ecfc40619b1ca", "2b83b8dbb354eb0ced02f257898ecfc40619b1ca")</f>
        <v>0</v>
      </c>
      <c r="D9279" t="s">
        <v>5011</v>
      </c>
      <c r="E9279" t="s">
        <v>6366</v>
      </c>
      <c r="F9279" t="s">
        <v>12340</v>
      </c>
      <c r="G9279" t="s">
        <v>16568</v>
      </c>
      <c r="H9279" t="s">
        <v>22184</v>
      </c>
    </row>
    <row r="9280" spans="1:8">
      <c r="H9280" t="s">
        <v>22185</v>
      </c>
    </row>
    <row r="9281" spans="1:8">
      <c r="A9281" t="s">
        <v>584</v>
      </c>
      <c r="B9281">
        <f>HYPERLINK("https://android.googlesource.com/platform/cts/+/9530de4762034f40d9e6b23e506da38590c3559d", "9530de4762034f40d9e6b23e506da38590c3559d")</f>
        <v>0</v>
      </c>
      <c r="C9281">
        <f>HYPERLINK("https://android.googlesource.com/platform/cts/+/3a42b2c7400880a5e403b31ce05584c95fa95482", "3a42b2c7400880a5e403b31ce05584c95fa95482")</f>
        <v>0</v>
      </c>
      <c r="D9281" t="s">
        <v>5029</v>
      </c>
      <c r="E9281" t="s">
        <v>6369</v>
      </c>
      <c r="F9281" t="s">
        <v>10794</v>
      </c>
      <c r="G9281" t="s">
        <v>15189</v>
      </c>
      <c r="H9281" t="s">
        <v>22191</v>
      </c>
    </row>
    <row r="9282" spans="1:8">
      <c r="A9282" t="s">
        <v>586</v>
      </c>
      <c r="B9282">
        <f>HYPERLINK("https://android.googlesource.com/platform/cts/+/62e961bdb11353f4ddec77525bb7a0cea7df3bb4", "62e961bdb11353f4ddec77525bb7a0cea7df3bb4")</f>
        <v>0</v>
      </c>
      <c r="C9282">
        <f>HYPERLINK("https://android.googlesource.com/platform/cts/+/16d4ceba244a857e1be11c849bb345fd06297c92", "16d4ceba244a857e1be11c849bb345fd06297c92")</f>
        <v>0</v>
      </c>
      <c r="D9282" t="s">
        <v>5031</v>
      </c>
      <c r="E9282" t="s">
        <v>6371</v>
      </c>
      <c r="F9282" t="s">
        <v>11191</v>
      </c>
      <c r="G9282" t="s">
        <v>15580</v>
      </c>
      <c r="H9282" t="s">
        <v>22221</v>
      </c>
    </row>
    <row r="9283" spans="1:8">
      <c r="A9283" t="s">
        <v>587</v>
      </c>
      <c r="B9283">
        <f>HYPERLINK("https://android.googlesource.com/platform/cts/+/a45e9bbb2e9a6948e879c49cf0a521a022ec8f31", "a45e9bbb2e9a6948e879c49cf0a521a022ec8f31")</f>
        <v>0</v>
      </c>
      <c r="C9283">
        <f>HYPERLINK("https://android.googlesource.com/platform/cts/+/9e1c67acefa2f0e180218be2753ea2a353acc82a", "9e1c67acefa2f0e180218be2753ea2a353acc82a")</f>
        <v>0</v>
      </c>
      <c r="D9283" t="s">
        <v>4952</v>
      </c>
      <c r="E9283" t="s">
        <v>6372</v>
      </c>
      <c r="F9283" t="s">
        <v>12342</v>
      </c>
      <c r="G9283" t="s">
        <v>16570</v>
      </c>
      <c r="H9283" t="s">
        <v>22222</v>
      </c>
    </row>
    <row r="9284" spans="1:8">
      <c r="A9284" t="s">
        <v>594</v>
      </c>
      <c r="B9284">
        <f>HYPERLINK("https://android.googlesource.com/platform/cts/+/c132d4188f17b2e408907e059ab58f5ae6c3f292", "c132d4188f17b2e408907e059ab58f5ae6c3f292")</f>
        <v>0</v>
      </c>
      <c r="C9284">
        <f>HYPERLINK("https://android.googlesource.com/platform/cts/+/cc9e0d5f8f03d01d34211699d1edc2a03f93ee62", "cc9e0d5f8f03d01d34211699d1edc2a03f93ee62")</f>
        <v>0</v>
      </c>
      <c r="D9284" t="s">
        <v>5040</v>
      </c>
      <c r="E9284" t="s">
        <v>6379</v>
      </c>
      <c r="F9284" t="s">
        <v>12344</v>
      </c>
      <c r="G9284" t="s">
        <v>16572</v>
      </c>
      <c r="H9284" t="s">
        <v>22229</v>
      </c>
    </row>
    <row r="9285" spans="1:8">
      <c r="H9285" t="s">
        <v>22232</v>
      </c>
    </row>
    <row r="9286" spans="1:8">
      <c r="H9286" t="s">
        <v>22233</v>
      </c>
    </row>
    <row r="9287" spans="1:8">
      <c r="H9287" t="s">
        <v>22234</v>
      </c>
    </row>
    <row r="9288" spans="1:8">
      <c r="H9288" t="s">
        <v>22235</v>
      </c>
    </row>
    <row r="9289" spans="1:8">
      <c r="A9289" t="s">
        <v>597</v>
      </c>
      <c r="B9289">
        <f>HYPERLINK("https://android.googlesource.com/platform/cts/+/d00d9f1cc4efbfe5437f8ae6f10b9fff417d4cf0", "d00d9f1cc4efbfe5437f8ae6f10b9fff417d4cf0")</f>
        <v>0</v>
      </c>
      <c r="C9289">
        <f>HYPERLINK("https://android.googlesource.com/platform/cts/+/7674e9510329a83d8ca479c97b1a423e90d15b63", "7674e9510329a83d8ca479c97b1a423e90d15b63")</f>
        <v>0</v>
      </c>
      <c r="D9289" t="s">
        <v>5040</v>
      </c>
      <c r="E9289" t="s">
        <v>6382</v>
      </c>
      <c r="F9289" t="s">
        <v>12344</v>
      </c>
      <c r="G9289" t="s">
        <v>16572</v>
      </c>
      <c r="H9289" t="s">
        <v>22229</v>
      </c>
    </row>
    <row r="9290" spans="1:8">
      <c r="H9290" t="s">
        <v>22232</v>
      </c>
    </row>
    <row r="9291" spans="1:8">
      <c r="H9291" t="s">
        <v>22233</v>
      </c>
    </row>
    <row r="9292" spans="1:8">
      <c r="H9292" t="s">
        <v>22234</v>
      </c>
    </row>
    <row r="9293" spans="1:8">
      <c r="H9293" t="s">
        <v>22235</v>
      </c>
    </row>
    <row r="9294" spans="1:8">
      <c r="A9294" t="s">
        <v>598</v>
      </c>
      <c r="B9294">
        <f>HYPERLINK("https://android.googlesource.com/platform/cts/+/4d2d2509b4997e3d27de9ddfe1ad50774b4487c3", "4d2d2509b4997e3d27de9ddfe1ad50774b4487c3")</f>
        <v>0</v>
      </c>
      <c r="C9294">
        <f>HYPERLINK("https://android.googlesource.com/platform/cts/+/d4b40bae92e42c89744d6e1453927c3a5b0e89fd", "d4b40bae92e42c89744d6e1453927c3a5b0e89fd")</f>
        <v>0</v>
      </c>
      <c r="D9294" t="s">
        <v>4952</v>
      </c>
      <c r="E9294" t="s">
        <v>6383</v>
      </c>
      <c r="F9294" t="s">
        <v>12345</v>
      </c>
      <c r="G9294" t="s">
        <v>16573</v>
      </c>
      <c r="H9294" t="s">
        <v>22241</v>
      </c>
    </row>
    <row r="9295" spans="1:8">
      <c r="H9295" t="s">
        <v>22242</v>
      </c>
    </row>
    <row r="9296" spans="1:8">
      <c r="H9296" t="s">
        <v>22243</v>
      </c>
    </row>
    <row r="9297" spans="1:8">
      <c r="H9297" t="s">
        <v>22244</v>
      </c>
    </row>
    <row r="9298" spans="1:8">
      <c r="H9298" t="s">
        <v>22245</v>
      </c>
    </row>
    <row r="9299" spans="1:8">
      <c r="H9299" t="s">
        <v>22246</v>
      </c>
    </row>
    <row r="9300" spans="1:8">
      <c r="H9300" t="s">
        <v>22247</v>
      </c>
    </row>
    <row r="9301" spans="1:8">
      <c r="H9301" t="s">
        <v>22248</v>
      </c>
    </row>
    <row r="9302" spans="1:8">
      <c r="H9302" t="s">
        <v>22249</v>
      </c>
    </row>
    <row r="9303" spans="1:8">
      <c r="H9303" t="s">
        <v>22250</v>
      </c>
    </row>
    <row r="9304" spans="1:8">
      <c r="H9304" t="s">
        <v>22251</v>
      </c>
    </row>
    <row r="9305" spans="1:8">
      <c r="H9305" t="s">
        <v>22252</v>
      </c>
    </row>
    <row r="9306" spans="1:8">
      <c r="H9306" t="s">
        <v>22253</v>
      </c>
    </row>
    <row r="9307" spans="1:8">
      <c r="H9307" t="s">
        <v>22254</v>
      </c>
    </row>
    <row r="9308" spans="1:8">
      <c r="H9308" t="s">
        <v>22255</v>
      </c>
    </row>
    <row r="9309" spans="1:8">
      <c r="H9309" t="s">
        <v>22256</v>
      </c>
    </row>
    <row r="9310" spans="1:8">
      <c r="H9310" t="s">
        <v>22257</v>
      </c>
    </row>
    <row r="9311" spans="1:8">
      <c r="H9311" t="s">
        <v>22258</v>
      </c>
    </row>
    <row r="9312" spans="1:8">
      <c r="A9312" t="s">
        <v>599</v>
      </c>
      <c r="B9312">
        <f>HYPERLINK("https://android.googlesource.com/platform/cts/+/f394f7a5e939fd9b503c52bb28e3989d1554e117", "f394f7a5e939fd9b503c52bb28e3989d1554e117")</f>
        <v>0</v>
      </c>
      <c r="C9312">
        <f>HYPERLINK("https://android.googlesource.com/platform/cts/+/247ecfc0ddb8cf1487a8a36f93ceb84d7abbbfe6", "247ecfc0ddb8cf1487a8a36f93ceb84d7abbbfe6")</f>
        <v>0</v>
      </c>
      <c r="D9312" t="s">
        <v>5036</v>
      </c>
      <c r="E9312" t="s">
        <v>6384</v>
      </c>
      <c r="F9312" t="s">
        <v>12328</v>
      </c>
      <c r="G9312" t="s">
        <v>16458</v>
      </c>
      <c r="H9312" t="s">
        <v>22278</v>
      </c>
    </row>
    <row r="9313" spans="1:8">
      <c r="A9313" t="s">
        <v>604</v>
      </c>
      <c r="B9313">
        <f>HYPERLINK("https://android.googlesource.com/platform/cts/+/42fe88944b4ac0b78132744e389bdd44b4fa2ceb", "42fe88944b4ac0b78132744e389bdd44b4fa2ceb")</f>
        <v>0</v>
      </c>
      <c r="C9313">
        <f>HYPERLINK("https://android.googlesource.com/platform/cts/+/c2b441b9c6c793fc3db16f8179f6e84859ec4f57", "c2b441b9c6c793fc3db16f8179f6e84859ec4f57")</f>
        <v>0</v>
      </c>
      <c r="D9313" t="s">
        <v>5042</v>
      </c>
      <c r="E9313" t="s">
        <v>6389</v>
      </c>
      <c r="F9313" t="s">
        <v>12324</v>
      </c>
      <c r="G9313" t="s">
        <v>16554</v>
      </c>
      <c r="H9313" t="s">
        <v>22294</v>
      </c>
    </row>
    <row r="9314" spans="1:8">
      <c r="H9314" t="s">
        <v>22295</v>
      </c>
    </row>
    <row r="9315" spans="1:8">
      <c r="H9315" t="s">
        <v>22296</v>
      </c>
    </row>
    <row r="9316" spans="1:8">
      <c r="H9316" t="s">
        <v>22297</v>
      </c>
    </row>
    <row r="9317" spans="1:8">
      <c r="H9317" t="s">
        <v>22298</v>
      </c>
    </row>
    <row r="9318" spans="1:8">
      <c r="H9318" t="s">
        <v>22299</v>
      </c>
    </row>
    <row r="9319" spans="1:8">
      <c r="A9319" t="s">
        <v>606</v>
      </c>
      <c r="B9319">
        <f>HYPERLINK("https://android.googlesource.com/platform/cts/+/bc2bee43698344db51b2ee8383c5fbd18d99fe43", "bc2bee43698344db51b2ee8383c5fbd18d99fe43")</f>
        <v>0</v>
      </c>
      <c r="C9319">
        <f>HYPERLINK("https://android.googlesource.com/platform/cts/+/ed017f02bfdb1d6a1cc86d76144724e45c9f1b4b", "ed017f02bfdb1d6a1cc86d76144724e45c9f1b4b")</f>
        <v>0</v>
      </c>
      <c r="D9319" t="s">
        <v>5043</v>
      </c>
      <c r="E9319" t="s">
        <v>6391</v>
      </c>
      <c r="F9319" t="s">
        <v>11471</v>
      </c>
      <c r="G9319" t="s">
        <v>15711</v>
      </c>
      <c r="H9319" t="s">
        <v>22305</v>
      </c>
    </row>
    <row r="9320" spans="1:8">
      <c r="H9320" t="s">
        <v>22306</v>
      </c>
    </row>
    <row r="9321" spans="1:8">
      <c r="H9321" t="s">
        <v>22307</v>
      </c>
    </row>
    <row r="9322" spans="1:8">
      <c r="H9322" t="s">
        <v>22308</v>
      </c>
    </row>
    <row r="9323" spans="1:8">
      <c r="A9323" t="s">
        <v>611</v>
      </c>
      <c r="B9323">
        <f>HYPERLINK("https://android.googlesource.com/platform/cts/+/ae0e42d4d921f0cdc1aefd5a478c763ebfcad576", "ae0e42d4d921f0cdc1aefd5a478c763ebfcad576")</f>
        <v>0</v>
      </c>
      <c r="C9323">
        <f>HYPERLINK("https://android.googlesource.com/platform/cts/+/ed28817fbc2ce98ceba3e9997b375bff4492ae4b", "ed28817fbc2ce98ceba3e9997b375bff4492ae4b")</f>
        <v>0</v>
      </c>
      <c r="D9323" t="s">
        <v>5044</v>
      </c>
      <c r="E9323" t="s">
        <v>6396</v>
      </c>
      <c r="F9323" t="s">
        <v>11470</v>
      </c>
      <c r="G9323" t="s">
        <v>15710</v>
      </c>
      <c r="H9323" t="s">
        <v>22315</v>
      </c>
    </row>
    <row r="9324" spans="1:8">
      <c r="A9324" t="s">
        <v>612</v>
      </c>
      <c r="B9324">
        <f>HYPERLINK("https://android.googlesource.com/platform/cts/+/ae1f018a3e15c2ed946fe99526c56712b25003f9", "ae1f018a3e15c2ed946fe99526c56712b25003f9")</f>
        <v>0</v>
      </c>
      <c r="C9324">
        <f>HYPERLINK("https://android.googlesource.com/platform/cts/+/cf2912d66443f9ca7dbd1c951ba3518bf3f51b5a", "cf2912d66443f9ca7dbd1c951ba3518bf3f51b5a")</f>
        <v>0</v>
      </c>
      <c r="D9324" t="s">
        <v>5045</v>
      </c>
      <c r="E9324" t="s">
        <v>6397</v>
      </c>
      <c r="F9324" t="s">
        <v>12351</v>
      </c>
      <c r="G9324" t="s">
        <v>16579</v>
      </c>
      <c r="H9324" t="s">
        <v>22317</v>
      </c>
    </row>
    <row r="9325" spans="1:8">
      <c r="A9325" t="s">
        <v>613</v>
      </c>
      <c r="B9325">
        <f>HYPERLINK("https://android.googlesource.com/platform/cts/+/74236261a8f1205501845c5ed884e0d6f998a65f", "74236261a8f1205501845c5ed884e0d6f998a65f")</f>
        <v>0</v>
      </c>
      <c r="C9325">
        <f>HYPERLINK("https://android.googlesource.com/platform/cts/+/58bb90a9c0482b0cb89a809906cf44290acab91c", "58bb90a9c0482b0cb89a809906cf44290acab91c")</f>
        <v>0</v>
      </c>
      <c r="D9325" t="s">
        <v>4952</v>
      </c>
      <c r="E9325" t="s">
        <v>6398</v>
      </c>
      <c r="F9325" t="s">
        <v>12222</v>
      </c>
      <c r="G9325" t="s">
        <v>16452</v>
      </c>
      <c r="H9325" t="s">
        <v>22318</v>
      </c>
    </row>
    <row r="9326" spans="1:8">
      <c r="A9326" t="s">
        <v>614</v>
      </c>
      <c r="B9326">
        <f>HYPERLINK("https://android.googlesource.com/platform/cts/+/53a0d6735b1296938b0db2b70c66e7ab75a66e76", "53a0d6735b1296938b0db2b70c66e7ab75a66e76")</f>
        <v>0</v>
      </c>
      <c r="C9326">
        <f>HYPERLINK("https://android.googlesource.com/platform/cts/+/ae1f018a3e15c2ed946fe99526c56712b25003f9", "ae1f018a3e15c2ed946fe99526c56712b25003f9")</f>
        <v>0</v>
      </c>
      <c r="D9326" t="s">
        <v>5045</v>
      </c>
      <c r="E9326" t="s">
        <v>6399</v>
      </c>
      <c r="F9326" t="s">
        <v>12352</v>
      </c>
      <c r="G9326" t="s">
        <v>16580</v>
      </c>
      <c r="H9326" t="s">
        <v>22319</v>
      </c>
    </row>
    <row r="9327" spans="1:8">
      <c r="F9327" t="s">
        <v>12353</v>
      </c>
      <c r="G9327" t="s">
        <v>16581</v>
      </c>
      <c r="H9327" t="s">
        <v>22321</v>
      </c>
    </row>
    <row r="9328" spans="1:8">
      <c r="H9328" t="s">
        <v>22322</v>
      </c>
    </row>
    <row r="9329" spans="6:8">
      <c r="H9329" t="s">
        <v>22323</v>
      </c>
    </row>
    <row r="9330" spans="6:8">
      <c r="F9330" t="s">
        <v>12354</v>
      </c>
      <c r="G9330" t="s">
        <v>16582</v>
      </c>
      <c r="H9330" t="s">
        <v>22324</v>
      </c>
    </row>
    <row r="9331" spans="6:8">
      <c r="H9331" t="s">
        <v>22325</v>
      </c>
    </row>
    <row r="9332" spans="6:8">
      <c r="H9332" t="s">
        <v>22326</v>
      </c>
    </row>
    <row r="9333" spans="6:8">
      <c r="H9333" t="s">
        <v>22327</v>
      </c>
    </row>
    <row r="9334" spans="6:8">
      <c r="H9334" t="s">
        <v>22328</v>
      </c>
    </row>
    <row r="9335" spans="6:8">
      <c r="H9335" t="s">
        <v>22329</v>
      </c>
    </row>
    <row r="9336" spans="6:8">
      <c r="H9336" t="s">
        <v>22330</v>
      </c>
    </row>
    <row r="9337" spans="6:8">
      <c r="H9337" t="s">
        <v>22331</v>
      </c>
    </row>
    <row r="9338" spans="6:8">
      <c r="H9338" t="s">
        <v>22332</v>
      </c>
    </row>
    <row r="9339" spans="6:8">
      <c r="H9339" t="s">
        <v>22333</v>
      </c>
    </row>
    <row r="9340" spans="6:8">
      <c r="F9340" t="s">
        <v>12355</v>
      </c>
      <c r="G9340" t="s">
        <v>15153</v>
      </c>
      <c r="H9340" t="s">
        <v>22334</v>
      </c>
    </row>
    <row r="9341" spans="6:8">
      <c r="H9341" t="s">
        <v>22333</v>
      </c>
    </row>
    <row r="9342" spans="6:8">
      <c r="H9342" t="s">
        <v>22325</v>
      </c>
    </row>
    <row r="9343" spans="6:8">
      <c r="H9343" t="s">
        <v>22335</v>
      </c>
    </row>
    <row r="9344" spans="6:8">
      <c r="H9344" t="s">
        <v>22324</v>
      </c>
    </row>
    <row r="9345" spans="6:8">
      <c r="F9345" t="s">
        <v>12356</v>
      </c>
      <c r="G9345" t="s">
        <v>16583</v>
      </c>
      <c r="H9345" t="s">
        <v>22336</v>
      </c>
    </row>
    <row r="9346" spans="6:8">
      <c r="H9346" t="s">
        <v>22337</v>
      </c>
    </row>
    <row r="9347" spans="6:8">
      <c r="H9347" t="s">
        <v>22339</v>
      </c>
    </row>
    <row r="9348" spans="6:8">
      <c r="H9348" t="s">
        <v>22340</v>
      </c>
    </row>
    <row r="9349" spans="6:8">
      <c r="F9349" t="s">
        <v>12357</v>
      </c>
      <c r="G9349" t="s">
        <v>16584</v>
      </c>
      <c r="H9349" t="s">
        <v>22342</v>
      </c>
    </row>
    <row r="9350" spans="6:8">
      <c r="H9350" t="s">
        <v>22343</v>
      </c>
    </row>
    <row r="9351" spans="6:8">
      <c r="F9351" t="s">
        <v>12358</v>
      </c>
      <c r="G9351" t="s">
        <v>16585</v>
      </c>
      <c r="H9351" t="s">
        <v>22346</v>
      </c>
    </row>
    <row r="9352" spans="6:8">
      <c r="H9352" t="s">
        <v>22347</v>
      </c>
    </row>
    <row r="9353" spans="6:8">
      <c r="H9353" t="s">
        <v>22348</v>
      </c>
    </row>
    <row r="9354" spans="6:8">
      <c r="F9354" t="s">
        <v>12359</v>
      </c>
      <c r="G9354" t="s">
        <v>16586</v>
      </c>
      <c r="H9354" t="s">
        <v>22349</v>
      </c>
    </row>
    <row r="9355" spans="6:8">
      <c r="H9355" t="s">
        <v>22350</v>
      </c>
    </row>
    <row r="9356" spans="6:8">
      <c r="H9356" t="s">
        <v>22351</v>
      </c>
    </row>
    <row r="9357" spans="6:8">
      <c r="F9357" t="s">
        <v>12360</v>
      </c>
      <c r="G9357" t="s">
        <v>15150</v>
      </c>
      <c r="H9357" t="s">
        <v>22353</v>
      </c>
    </row>
    <row r="9358" spans="6:8">
      <c r="H9358" t="s">
        <v>22354</v>
      </c>
    </row>
    <row r="9359" spans="6:8">
      <c r="H9359" t="s">
        <v>22355</v>
      </c>
    </row>
    <row r="9360" spans="6:8">
      <c r="H9360" t="s">
        <v>22356</v>
      </c>
    </row>
    <row r="9361" spans="1:8">
      <c r="H9361" t="s">
        <v>22357</v>
      </c>
    </row>
    <row r="9362" spans="1:8">
      <c r="F9362" t="s">
        <v>12361</v>
      </c>
      <c r="G9362" t="s">
        <v>16587</v>
      </c>
      <c r="H9362" t="s">
        <v>22358</v>
      </c>
    </row>
    <row r="9363" spans="1:8">
      <c r="F9363" t="s">
        <v>12362</v>
      </c>
      <c r="G9363" t="s">
        <v>16588</v>
      </c>
      <c r="H9363" t="s">
        <v>22361</v>
      </c>
    </row>
    <row r="9364" spans="1:8">
      <c r="H9364" t="s">
        <v>22362</v>
      </c>
    </row>
    <row r="9365" spans="1:8">
      <c r="F9365" t="s">
        <v>12363</v>
      </c>
      <c r="G9365" t="s">
        <v>16589</v>
      </c>
      <c r="H9365" t="s">
        <v>22363</v>
      </c>
    </row>
    <row r="9366" spans="1:8">
      <c r="H9366" t="s">
        <v>22364</v>
      </c>
    </row>
    <row r="9367" spans="1:8">
      <c r="H9367" t="s">
        <v>22365</v>
      </c>
    </row>
    <row r="9368" spans="1:8">
      <c r="H9368" t="s">
        <v>22366</v>
      </c>
    </row>
    <row r="9369" spans="1:8">
      <c r="H9369" t="s">
        <v>22367</v>
      </c>
    </row>
    <row r="9370" spans="1:8">
      <c r="F9370" t="s">
        <v>12364</v>
      </c>
      <c r="G9370" t="s">
        <v>16590</v>
      </c>
      <c r="H9370" t="s">
        <v>22368</v>
      </c>
    </row>
    <row r="9371" spans="1:8">
      <c r="H9371" t="s">
        <v>22369</v>
      </c>
    </row>
    <row r="9372" spans="1:8">
      <c r="H9372" t="s">
        <v>18981</v>
      </c>
    </row>
    <row r="9373" spans="1:8">
      <c r="H9373" t="s">
        <v>22370</v>
      </c>
    </row>
    <row r="9374" spans="1:8">
      <c r="H9374" t="s">
        <v>22371</v>
      </c>
    </row>
    <row r="9375" spans="1:8">
      <c r="H9375" t="s">
        <v>22372</v>
      </c>
    </row>
    <row r="9376" spans="1:8">
      <c r="A9376" t="s">
        <v>617</v>
      </c>
      <c r="B9376">
        <f>HYPERLINK("https://android.googlesource.com/platform/cts/+/3986d5e3a1b71843a982ece781251f40ccdf840d", "3986d5e3a1b71843a982ece781251f40ccdf840d")</f>
        <v>0</v>
      </c>
      <c r="C9376">
        <f>HYPERLINK("https://android.googlesource.com/platform/cts/+/09eea44a5067f5eaa6233d771e607897c25823ca", "09eea44a5067f5eaa6233d771e607897c25823ca")</f>
        <v>0</v>
      </c>
      <c r="D9376" t="s">
        <v>5047</v>
      </c>
      <c r="E9376" t="s">
        <v>6402</v>
      </c>
      <c r="F9376" t="s">
        <v>12337</v>
      </c>
      <c r="G9376" t="s">
        <v>16565</v>
      </c>
      <c r="H9376" t="s">
        <v>22156</v>
      </c>
    </row>
    <row r="9377" spans="8:8">
      <c r="H9377" t="s">
        <v>22157</v>
      </c>
    </row>
    <row r="9378" spans="8:8">
      <c r="H9378" t="s">
        <v>22158</v>
      </c>
    </row>
    <row r="9379" spans="8:8">
      <c r="H9379" t="s">
        <v>22159</v>
      </c>
    </row>
    <row r="9380" spans="8:8">
      <c r="H9380" t="s">
        <v>22160</v>
      </c>
    </row>
    <row r="9381" spans="8:8">
      <c r="H9381" t="s">
        <v>22161</v>
      </c>
    </row>
    <row r="9382" spans="8:8">
      <c r="H9382" t="s">
        <v>22162</v>
      </c>
    </row>
    <row r="9383" spans="8:8">
      <c r="H9383" t="s">
        <v>22163</v>
      </c>
    </row>
    <row r="9384" spans="8:8">
      <c r="H9384" t="s">
        <v>22164</v>
      </c>
    </row>
    <row r="9385" spans="8:8">
      <c r="H9385" t="s">
        <v>22165</v>
      </c>
    </row>
    <row r="9386" spans="8:8">
      <c r="H9386" t="s">
        <v>22166</v>
      </c>
    </row>
    <row r="9387" spans="8:8">
      <c r="H9387" t="s">
        <v>22167</v>
      </c>
    </row>
    <row r="9388" spans="8:8">
      <c r="H9388" t="s">
        <v>22168</v>
      </c>
    </row>
    <row r="9389" spans="8:8">
      <c r="H9389" t="s">
        <v>22169</v>
      </c>
    </row>
    <row r="9390" spans="8:8">
      <c r="H9390" t="s">
        <v>22170</v>
      </c>
    </row>
    <row r="9391" spans="8:8">
      <c r="H9391" t="s">
        <v>22171</v>
      </c>
    </row>
    <row r="9392" spans="8:8">
      <c r="H9392" t="s">
        <v>22172</v>
      </c>
    </row>
    <row r="9393" spans="1:8">
      <c r="H9393" t="s">
        <v>22173</v>
      </c>
    </row>
    <row r="9394" spans="1:8">
      <c r="H9394" t="s">
        <v>22174</v>
      </c>
    </row>
    <row r="9395" spans="1:8">
      <c r="H9395" t="s">
        <v>22175</v>
      </c>
    </row>
    <row r="9396" spans="1:8">
      <c r="H9396" t="s">
        <v>22176</v>
      </c>
    </row>
    <row r="9397" spans="1:8">
      <c r="H9397" t="s">
        <v>22177</v>
      </c>
    </row>
    <row r="9398" spans="1:8">
      <c r="H9398" t="s">
        <v>22178</v>
      </c>
    </row>
    <row r="9399" spans="1:8">
      <c r="H9399" t="s">
        <v>22179</v>
      </c>
    </row>
    <row r="9400" spans="1:8">
      <c r="A9400" t="s">
        <v>619</v>
      </c>
      <c r="B9400">
        <f>HYPERLINK("https://android.googlesource.com/platform/cts/+/8bd84f742639deeac362f660f8d304a6d9cce34b", "8bd84f742639deeac362f660f8d304a6d9cce34b")</f>
        <v>0</v>
      </c>
      <c r="C9400">
        <f>HYPERLINK("https://android.googlesource.com/platform/cts/+/a97a16bee3277b96ba836a8f1b653d7d638a2b41", "a97a16bee3277b96ba836a8f1b653d7d638a2b41")</f>
        <v>0</v>
      </c>
      <c r="D9400" t="s">
        <v>5047</v>
      </c>
      <c r="E9400" t="s">
        <v>6404</v>
      </c>
      <c r="F9400" t="s">
        <v>12337</v>
      </c>
      <c r="G9400" t="s">
        <v>16565</v>
      </c>
      <c r="H9400" t="s">
        <v>22156</v>
      </c>
    </row>
    <row r="9401" spans="1:8">
      <c r="H9401" t="s">
        <v>22157</v>
      </c>
    </row>
    <row r="9402" spans="1:8">
      <c r="H9402" t="s">
        <v>22158</v>
      </c>
    </row>
    <row r="9403" spans="1:8">
      <c r="H9403" t="s">
        <v>22159</v>
      </c>
    </row>
    <row r="9404" spans="1:8">
      <c r="H9404" t="s">
        <v>22160</v>
      </c>
    </row>
    <row r="9405" spans="1:8">
      <c r="H9405" t="s">
        <v>22161</v>
      </c>
    </row>
    <row r="9406" spans="1:8">
      <c r="H9406" t="s">
        <v>22162</v>
      </c>
    </row>
    <row r="9407" spans="1:8">
      <c r="H9407" t="s">
        <v>22163</v>
      </c>
    </row>
    <row r="9408" spans="1:8">
      <c r="H9408" t="s">
        <v>22164</v>
      </c>
    </row>
    <row r="9409" spans="1:8">
      <c r="H9409" t="s">
        <v>22165</v>
      </c>
    </row>
    <row r="9410" spans="1:8">
      <c r="H9410" t="s">
        <v>22166</v>
      </c>
    </row>
    <row r="9411" spans="1:8">
      <c r="H9411" t="s">
        <v>22167</v>
      </c>
    </row>
    <row r="9412" spans="1:8">
      <c r="H9412" t="s">
        <v>22168</v>
      </c>
    </row>
    <row r="9413" spans="1:8">
      <c r="H9413" t="s">
        <v>22169</v>
      </c>
    </row>
    <row r="9414" spans="1:8">
      <c r="H9414" t="s">
        <v>22170</v>
      </c>
    </row>
    <row r="9415" spans="1:8">
      <c r="H9415" t="s">
        <v>22171</v>
      </c>
    </row>
    <row r="9416" spans="1:8">
      <c r="H9416" t="s">
        <v>22172</v>
      </c>
    </row>
    <row r="9417" spans="1:8">
      <c r="H9417" t="s">
        <v>22173</v>
      </c>
    </row>
    <row r="9418" spans="1:8">
      <c r="H9418" t="s">
        <v>22174</v>
      </c>
    </row>
    <row r="9419" spans="1:8">
      <c r="H9419" t="s">
        <v>22175</v>
      </c>
    </row>
    <row r="9420" spans="1:8">
      <c r="H9420" t="s">
        <v>22176</v>
      </c>
    </row>
    <row r="9421" spans="1:8">
      <c r="H9421" t="s">
        <v>22177</v>
      </c>
    </row>
    <row r="9422" spans="1:8">
      <c r="H9422" t="s">
        <v>22178</v>
      </c>
    </row>
    <row r="9423" spans="1:8">
      <c r="H9423" t="s">
        <v>22179</v>
      </c>
    </row>
    <row r="9424" spans="1:8">
      <c r="A9424" t="s">
        <v>620</v>
      </c>
      <c r="B9424">
        <f>HYPERLINK("https://android.googlesource.com/platform/cts/+/c8d1d101a6ea2e18576da17733e31a566a12d0e6", "c8d1d101a6ea2e18576da17733e31a566a12d0e6")</f>
        <v>0</v>
      </c>
      <c r="C9424">
        <f>HYPERLINK("https://android.googlesource.com/platform/cts/+/b014cf523a2b089b6f7082585d8bcae25a89af63", "b014cf523a2b089b6f7082585d8bcae25a89af63")</f>
        <v>0</v>
      </c>
      <c r="D9424" t="s">
        <v>5010</v>
      </c>
      <c r="E9424" t="s">
        <v>6405</v>
      </c>
      <c r="F9424" t="s">
        <v>12328</v>
      </c>
      <c r="G9424" t="s">
        <v>16458</v>
      </c>
      <c r="H9424" t="s">
        <v>22378</v>
      </c>
    </row>
    <row r="9425" spans="8:8">
      <c r="H9425" t="s">
        <v>22379</v>
      </c>
    </row>
    <row r="9426" spans="8:8">
      <c r="H9426" t="s">
        <v>22380</v>
      </c>
    </row>
    <row r="9427" spans="8:8">
      <c r="H9427" t="s">
        <v>22381</v>
      </c>
    </row>
    <row r="9428" spans="8:8">
      <c r="H9428" t="s">
        <v>22382</v>
      </c>
    </row>
    <row r="9429" spans="8:8">
      <c r="H9429" t="s">
        <v>22383</v>
      </c>
    </row>
    <row r="9430" spans="8:8">
      <c r="H9430" t="s">
        <v>22384</v>
      </c>
    </row>
    <row r="9431" spans="8:8">
      <c r="H9431" t="s">
        <v>22385</v>
      </c>
    </row>
    <row r="9432" spans="8:8">
      <c r="H9432" t="s">
        <v>22386</v>
      </c>
    </row>
    <row r="9433" spans="8:8">
      <c r="H9433" t="s">
        <v>22387</v>
      </c>
    </row>
    <row r="9434" spans="8:8">
      <c r="H9434" t="s">
        <v>22388</v>
      </c>
    </row>
    <row r="9435" spans="8:8">
      <c r="H9435" t="s">
        <v>22389</v>
      </c>
    </row>
    <row r="9436" spans="8:8">
      <c r="H9436" t="s">
        <v>22390</v>
      </c>
    </row>
    <row r="9437" spans="8:8">
      <c r="H9437" t="s">
        <v>22391</v>
      </c>
    </row>
    <row r="9438" spans="8:8">
      <c r="H9438" t="s">
        <v>22392</v>
      </c>
    </row>
    <row r="9439" spans="8:8">
      <c r="H9439" t="s">
        <v>22393</v>
      </c>
    </row>
    <row r="9440" spans="8:8">
      <c r="H9440" t="s">
        <v>22394</v>
      </c>
    </row>
    <row r="9441" spans="8:8">
      <c r="H9441" t="s">
        <v>22395</v>
      </c>
    </row>
    <row r="9442" spans="8:8">
      <c r="H9442" t="s">
        <v>22396</v>
      </c>
    </row>
    <row r="9443" spans="8:8">
      <c r="H9443" t="s">
        <v>22397</v>
      </c>
    </row>
    <row r="9444" spans="8:8">
      <c r="H9444" t="s">
        <v>22398</v>
      </c>
    </row>
    <row r="9445" spans="8:8">
      <c r="H9445" t="s">
        <v>22399</v>
      </c>
    </row>
    <row r="9446" spans="8:8">
      <c r="H9446" t="s">
        <v>22400</v>
      </c>
    </row>
    <row r="9447" spans="8:8">
      <c r="H9447" t="s">
        <v>22401</v>
      </c>
    </row>
    <row r="9448" spans="8:8">
      <c r="H9448" t="s">
        <v>22402</v>
      </c>
    </row>
    <row r="9449" spans="8:8">
      <c r="H9449" t="s">
        <v>22403</v>
      </c>
    </row>
    <row r="9450" spans="8:8">
      <c r="H9450" t="s">
        <v>22404</v>
      </c>
    </row>
    <row r="9451" spans="8:8">
      <c r="H9451" t="s">
        <v>22405</v>
      </c>
    </row>
    <row r="9452" spans="8:8">
      <c r="H9452" t="s">
        <v>22406</v>
      </c>
    </row>
    <row r="9453" spans="8:8">
      <c r="H9453" t="s">
        <v>22407</v>
      </c>
    </row>
    <row r="9454" spans="8:8">
      <c r="H9454" t="s">
        <v>22408</v>
      </c>
    </row>
    <row r="9455" spans="8:8">
      <c r="H9455" t="s">
        <v>22409</v>
      </c>
    </row>
    <row r="9456" spans="8:8">
      <c r="H9456" t="s">
        <v>22410</v>
      </c>
    </row>
    <row r="9457" spans="8:8">
      <c r="H9457" t="s">
        <v>22411</v>
      </c>
    </row>
    <row r="9458" spans="8:8">
      <c r="H9458" t="s">
        <v>22412</v>
      </c>
    </row>
    <row r="9459" spans="8:8">
      <c r="H9459" t="s">
        <v>22413</v>
      </c>
    </row>
    <row r="9460" spans="8:8">
      <c r="H9460" t="s">
        <v>22414</v>
      </c>
    </row>
    <row r="9461" spans="8:8">
      <c r="H9461" t="s">
        <v>22415</v>
      </c>
    </row>
    <row r="9462" spans="8:8">
      <c r="H9462" t="s">
        <v>22416</v>
      </c>
    </row>
    <row r="9463" spans="8:8">
      <c r="H9463" t="s">
        <v>22417</v>
      </c>
    </row>
    <row r="9464" spans="8:8">
      <c r="H9464" t="s">
        <v>22418</v>
      </c>
    </row>
    <row r="9465" spans="8:8">
      <c r="H9465" t="s">
        <v>22419</v>
      </c>
    </row>
    <row r="9466" spans="8:8">
      <c r="H9466" t="s">
        <v>22420</v>
      </c>
    </row>
    <row r="9467" spans="8:8">
      <c r="H9467" t="s">
        <v>22421</v>
      </c>
    </row>
    <row r="9468" spans="8:8">
      <c r="H9468" t="s">
        <v>22422</v>
      </c>
    </row>
    <row r="9469" spans="8:8">
      <c r="H9469" t="s">
        <v>22423</v>
      </c>
    </row>
    <row r="9470" spans="8:8">
      <c r="H9470" t="s">
        <v>22424</v>
      </c>
    </row>
    <row r="9471" spans="8:8">
      <c r="H9471" t="s">
        <v>22425</v>
      </c>
    </row>
    <row r="9472" spans="8:8">
      <c r="H9472" t="s">
        <v>22426</v>
      </c>
    </row>
    <row r="9473" spans="1:8">
      <c r="H9473" t="s">
        <v>22427</v>
      </c>
    </row>
    <row r="9474" spans="1:8">
      <c r="H9474" t="s">
        <v>22428</v>
      </c>
    </row>
    <row r="9475" spans="1:8">
      <c r="H9475" t="s">
        <v>22429</v>
      </c>
    </row>
    <row r="9476" spans="1:8">
      <c r="H9476" t="s">
        <v>22430</v>
      </c>
    </row>
    <row r="9477" spans="1:8">
      <c r="H9477" t="s">
        <v>22431</v>
      </c>
    </row>
    <row r="9478" spans="1:8">
      <c r="H9478" t="s">
        <v>22432</v>
      </c>
    </row>
    <row r="9479" spans="1:8">
      <c r="H9479" t="s">
        <v>22433</v>
      </c>
    </row>
    <row r="9480" spans="1:8">
      <c r="H9480" t="s">
        <v>22434</v>
      </c>
    </row>
    <row r="9481" spans="1:8">
      <c r="H9481" t="s">
        <v>22435</v>
      </c>
    </row>
    <row r="9482" spans="1:8">
      <c r="H9482" t="s">
        <v>22436</v>
      </c>
    </row>
    <row r="9483" spans="1:8">
      <c r="H9483" t="s">
        <v>22437</v>
      </c>
    </row>
    <row r="9484" spans="1:8">
      <c r="H9484" t="s">
        <v>22438</v>
      </c>
    </row>
    <row r="9485" spans="1:8">
      <c r="H9485" t="s">
        <v>22439</v>
      </c>
    </row>
    <row r="9486" spans="1:8">
      <c r="H9486" t="s">
        <v>22440</v>
      </c>
    </row>
    <row r="9487" spans="1:8">
      <c r="H9487" t="s">
        <v>22441</v>
      </c>
    </row>
    <row r="9488" spans="1:8">
      <c r="A9488" t="s">
        <v>624</v>
      </c>
      <c r="B9488">
        <f>HYPERLINK("https://android.googlesource.com/platform/cts/+/aa2be984e409f2b4dc4ccf8602decd8000fe30d4", "aa2be984e409f2b4dc4ccf8602decd8000fe30d4")</f>
        <v>0</v>
      </c>
      <c r="C9488">
        <f>HYPERLINK("https://android.googlesource.com/platform/cts/+/7581090d38826db254d5b6c222ba79381e104365", "7581090d38826db254d5b6c222ba79381e104365")</f>
        <v>0</v>
      </c>
      <c r="D9488" t="s">
        <v>5049</v>
      </c>
      <c r="E9488" t="s">
        <v>6409</v>
      </c>
      <c r="F9488" t="s">
        <v>12370</v>
      </c>
      <c r="G9488" t="s">
        <v>16597</v>
      </c>
      <c r="H9488" t="s">
        <v>22454</v>
      </c>
    </row>
    <row r="9489" spans="1:8">
      <c r="A9489" t="s">
        <v>631</v>
      </c>
      <c r="B9489">
        <f>HYPERLINK("https://android.googlesource.com/platform/cts/+/7e48d4c1959396d08a315a237a456442137d80a6", "7e48d4c1959396d08a315a237a456442137d80a6")</f>
        <v>0</v>
      </c>
      <c r="C9489">
        <f>HYPERLINK("https://android.googlesource.com/platform/cts/+/beb727c733565b48db1c3ee5ff3ca990b4682fc7", "beb727c733565b48db1c3ee5ff3ca990b4682fc7")</f>
        <v>0</v>
      </c>
      <c r="D9489" t="s">
        <v>4952</v>
      </c>
      <c r="E9489" t="s">
        <v>6416</v>
      </c>
      <c r="F9489" t="s">
        <v>12376</v>
      </c>
      <c r="G9489" t="s">
        <v>16603</v>
      </c>
      <c r="H9489" t="s">
        <v>22464</v>
      </c>
    </row>
    <row r="9490" spans="1:8">
      <c r="H9490" t="s">
        <v>22465</v>
      </c>
    </row>
    <row r="9491" spans="1:8">
      <c r="H9491" t="s">
        <v>22466</v>
      </c>
    </row>
    <row r="9492" spans="1:8">
      <c r="A9492" t="s">
        <v>637</v>
      </c>
      <c r="B9492">
        <f>HYPERLINK("https://android.googlesource.com/platform/cts/+/e337f8e68faf3222f4d8493e031ca33e055d266f", "e337f8e68faf3222f4d8493e031ca33e055d266f")</f>
        <v>0</v>
      </c>
      <c r="C9492">
        <f>HYPERLINK("https://android.googlesource.com/platform/cts/+/9afe698a2605aa52b25454fd740848ac2d097bcd", "9afe698a2605aa52b25454fd740848ac2d097bcd")</f>
        <v>0</v>
      </c>
      <c r="D9492" t="s">
        <v>4949</v>
      </c>
      <c r="E9492" t="s">
        <v>6422</v>
      </c>
      <c r="F9492" t="s">
        <v>12333</v>
      </c>
      <c r="G9492" t="s">
        <v>16561</v>
      </c>
      <c r="H9492" t="s">
        <v>22499</v>
      </c>
    </row>
    <row r="9493" spans="1:8">
      <c r="H9493" t="s">
        <v>22500</v>
      </c>
    </row>
    <row r="9494" spans="1:8">
      <c r="A9494" t="s">
        <v>638</v>
      </c>
      <c r="B9494">
        <f>HYPERLINK("https://android.googlesource.com/platform/cts/+/814b63f9b79f80195679e66fb40e256e3fec953a", "814b63f9b79f80195679e66fb40e256e3fec953a")</f>
        <v>0</v>
      </c>
      <c r="C9494">
        <f>HYPERLINK("https://android.googlesource.com/platform/cts/+/f69d80cb31c34c0de186f17de65b281a5b4298e3", "f69d80cb31c34c0de186f17de65b281a5b4298e3")</f>
        <v>0</v>
      </c>
      <c r="D9494" t="s">
        <v>5052</v>
      </c>
      <c r="E9494" t="s">
        <v>6423</v>
      </c>
      <c r="F9494" t="s">
        <v>12384</v>
      </c>
      <c r="G9494" t="s">
        <v>16610</v>
      </c>
      <c r="H9494" t="s">
        <v>22501</v>
      </c>
    </row>
    <row r="9495" spans="1:8">
      <c r="H9495" t="s">
        <v>22502</v>
      </c>
    </row>
    <row r="9496" spans="1:8">
      <c r="H9496" t="s">
        <v>22503</v>
      </c>
    </row>
    <row r="9497" spans="1:8">
      <c r="F9497" t="s">
        <v>12385</v>
      </c>
      <c r="G9497" t="s">
        <v>16600</v>
      </c>
      <c r="H9497" t="s">
        <v>22459</v>
      </c>
    </row>
    <row r="9498" spans="1:8">
      <c r="A9498" t="s">
        <v>639</v>
      </c>
      <c r="B9498">
        <f>HYPERLINK("https://android.googlesource.com/platform/cts/+/8eb978837675fb5f785f51c357e83c8032c8cfb9", "8eb978837675fb5f785f51c357e83c8032c8cfb9")</f>
        <v>0</v>
      </c>
      <c r="C9498">
        <f>HYPERLINK("https://android.googlesource.com/platform/cts/+/f2071f60a465485ca9fcd6286a378975a35fd827", "f2071f60a465485ca9fcd6286a378975a35fd827")</f>
        <v>0</v>
      </c>
      <c r="D9498" t="s">
        <v>4952</v>
      </c>
      <c r="E9498" t="s">
        <v>6424</v>
      </c>
      <c r="F9498" t="s">
        <v>10695</v>
      </c>
      <c r="G9498" t="s">
        <v>15095</v>
      </c>
      <c r="H9498" t="s">
        <v>22506</v>
      </c>
    </row>
    <row r="9499" spans="1:8">
      <c r="A9499" t="s">
        <v>640</v>
      </c>
      <c r="B9499">
        <f>HYPERLINK("https://android.googlesource.com/platform/cts/+/903ea27402939e0559c5be028b6dde2b64a8dae6", "903ea27402939e0559c5be028b6dde2b64a8dae6")</f>
        <v>0</v>
      </c>
      <c r="C9499">
        <f>HYPERLINK("https://android.googlesource.com/platform/cts/+/7dab75cc1d566395701cd3aa337600dbc2de9f15", "7dab75cc1d566395701cd3aa337600dbc2de9f15")</f>
        <v>0</v>
      </c>
      <c r="D9499" t="s">
        <v>5053</v>
      </c>
      <c r="E9499" t="s">
        <v>6425</v>
      </c>
      <c r="F9499" t="s">
        <v>12386</v>
      </c>
      <c r="G9499" t="s">
        <v>16611</v>
      </c>
      <c r="H9499" t="s">
        <v>22507</v>
      </c>
    </row>
    <row r="9500" spans="1:8">
      <c r="H9500" t="s">
        <v>22508</v>
      </c>
    </row>
    <row r="9501" spans="1:8">
      <c r="H9501" t="s">
        <v>22509</v>
      </c>
    </row>
    <row r="9502" spans="1:8">
      <c r="F9502" t="s">
        <v>12387</v>
      </c>
      <c r="G9502" t="s">
        <v>16612</v>
      </c>
      <c r="H9502" t="s">
        <v>22507</v>
      </c>
    </row>
    <row r="9503" spans="1:8">
      <c r="H9503" t="s">
        <v>22508</v>
      </c>
    </row>
    <row r="9504" spans="1:8">
      <c r="H9504" t="s">
        <v>22510</v>
      </c>
    </row>
    <row r="9505" spans="1:8">
      <c r="A9505" t="s">
        <v>642</v>
      </c>
      <c r="B9505">
        <f>HYPERLINK("https://android.googlesource.com/platform/cts/+/60aa6c0d72bccf01cfc6752160decf5940c0d605", "60aa6c0d72bccf01cfc6752160decf5940c0d605")</f>
        <v>0</v>
      </c>
      <c r="C9505">
        <f>HYPERLINK("https://android.googlesource.com/platform/cts/+/594bce789f06a1499b54246b108c066cb2252d01", "594bce789f06a1499b54246b108c066cb2252d01")</f>
        <v>0</v>
      </c>
      <c r="D9505" t="s">
        <v>5054</v>
      </c>
      <c r="E9505" t="s">
        <v>6427</v>
      </c>
      <c r="F9505" t="s">
        <v>12370</v>
      </c>
      <c r="G9505" t="s">
        <v>16597</v>
      </c>
      <c r="H9505" t="s">
        <v>22516</v>
      </c>
    </row>
    <row r="9506" spans="1:8">
      <c r="H9506" t="s">
        <v>22517</v>
      </c>
    </row>
    <row r="9507" spans="1:8">
      <c r="H9507" t="s">
        <v>22518</v>
      </c>
    </row>
    <row r="9508" spans="1:8">
      <c r="H9508" t="s">
        <v>22519</v>
      </c>
    </row>
    <row r="9509" spans="1:8">
      <c r="H9509" t="s">
        <v>22520</v>
      </c>
    </row>
    <row r="9510" spans="1:8">
      <c r="H9510" t="s">
        <v>22521</v>
      </c>
    </row>
    <row r="9511" spans="1:8">
      <c r="H9511" t="s">
        <v>22522</v>
      </c>
    </row>
    <row r="9512" spans="1:8">
      <c r="H9512" t="s">
        <v>22523</v>
      </c>
    </row>
    <row r="9513" spans="1:8">
      <c r="H9513" t="s">
        <v>22524</v>
      </c>
    </row>
    <row r="9514" spans="1:8">
      <c r="H9514" t="s">
        <v>22525</v>
      </c>
    </row>
    <row r="9515" spans="1:8">
      <c r="H9515" t="s">
        <v>22526</v>
      </c>
    </row>
    <row r="9516" spans="1:8">
      <c r="H9516" t="s">
        <v>22527</v>
      </c>
    </row>
    <row r="9517" spans="1:8">
      <c r="H9517" t="s">
        <v>22528</v>
      </c>
    </row>
    <row r="9518" spans="1:8">
      <c r="H9518" t="s">
        <v>22529</v>
      </c>
    </row>
    <row r="9519" spans="1:8">
      <c r="H9519" t="s">
        <v>22530</v>
      </c>
    </row>
    <row r="9520" spans="1:8">
      <c r="H9520" t="s">
        <v>22531</v>
      </c>
    </row>
    <row r="9521" spans="1:8">
      <c r="H9521" t="s">
        <v>22532</v>
      </c>
    </row>
    <row r="9522" spans="1:8">
      <c r="H9522" t="s">
        <v>22533</v>
      </c>
    </row>
    <row r="9523" spans="1:8">
      <c r="H9523" t="s">
        <v>22534</v>
      </c>
    </row>
    <row r="9524" spans="1:8">
      <c r="H9524" t="s">
        <v>22535</v>
      </c>
    </row>
    <row r="9525" spans="1:8">
      <c r="A9525" t="s">
        <v>643</v>
      </c>
      <c r="B9525">
        <f>HYPERLINK("https://android.googlesource.com/platform/cts/+/f797404407641c7105c863b7cb75cc93e5e6cb88", "f797404407641c7105c863b7cb75cc93e5e6cb88")</f>
        <v>0</v>
      </c>
      <c r="C9525">
        <f>HYPERLINK("https://android.googlesource.com/platform/cts/+/a0277538f0ef4eec3fc686c78fe99d8fac1a1f41", "a0277538f0ef4eec3fc686c78fe99d8fac1a1f41")</f>
        <v>0</v>
      </c>
      <c r="D9525" t="s">
        <v>5055</v>
      </c>
      <c r="E9525" t="s">
        <v>6428</v>
      </c>
      <c r="F9525" t="s">
        <v>12389</v>
      </c>
      <c r="G9525" t="s">
        <v>16614</v>
      </c>
      <c r="H9525" t="s">
        <v>22536</v>
      </c>
    </row>
    <row r="9526" spans="1:8">
      <c r="A9526" t="s">
        <v>644</v>
      </c>
      <c r="B9526">
        <f>HYPERLINK("https://android.googlesource.com/platform/cts/+/31f5743c5522820b490404f8026b8051368dc106", "31f5743c5522820b490404f8026b8051368dc106")</f>
        <v>0</v>
      </c>
      <c r="C9526">
        <f>HYPERLINK("https://android.googlesource.com/platform/cts/+/ba8be2ffd90af05cbc882a52e54db6a7bf5acc7c", "ba8be2ffd90af05cbc882a52e54db6a7bf5acc7c")</f>
        <v>0</v>
      </c>
      <c r="D9526" t="s">
        <v>5013</v>
      </c>
      <c r="E9526" t="s">
        <v>6429</v>
      </c>
      <c r="F9526" t="s">
        <v>12390</v>
      </c>
      <c r="G9526" t="s">
        <v>16615</v>
      </c>
      <c r="H9526" t="s">
        <v>22537</v>
      </c>
    </row>
    <row r="9527" spans="1:8">
      <c r="A9527" t="s">
        <v>645</v>
      </c>
      <c r="B9527">
        <f>HYPERLINK("https://android.googlesource.com/platform/cts/+/e9ec75e038faf78fbfa9a44fcac7b861c8473aa5", "e9ec75e038faf78fbfa9a44fcac7b861c8473aa5")</f>
        <v>0</v>
      </c>
      <c r="C9527">
        <f>HYPERLINK("https://android.googlesource.com/platform/cts/+/ba8be2ffd90af05cbc882a52e54db6a7bf5acc7c", "ba8be2ffd90af05cbc882a52e54db6a7bf5acc7c")</f>
        <v>0</v>
      </c>
      <c r="D9527" t="s">
        <v>5007</v>
      </c>
      <c r="E9527" t="s">
        <v>6430</v>
      </c>
      <c r="F9527" t="s">
        <v>12391</v>
      </c>
      <c r="G9527" t="s">
        <v>16616</v>
      </c>
      <c r="H9527" t="s">
        <v>22548</v>
      </c>
    </row>
    <row r="9528" spans="1:8">
      <c r="A9528" t="s">
        <v>647</v>
      </c>
      <c r="B9528">
        <f>HYPERLINK("https://android.googlesource.com/platform/cts/+/17aafef6b643b07102d9a7284eca3d4c3296021f", "17aafef6b643b07102d9a7284eca3d4c3296021f")</f>
        <v>0</v>
      </c>
      <c r="C9528">
        <f>HYPERLINK("https://android.googlesource.com/platform/cts/+/a7fc8dbfef73bebd77d53f9083bb17daddcafc2a", "a7fc8dbfef73bebd77d53f9083bb17daddcafc2a")</f>
        <v>0</v>
      </c>
      <c r="D9528" t="s">
        <v>5044</v>
      </c>
      <c r="E9528" t="s">
        <v>6432</v>
      </c>
      <c r="F9528" t="s">
        <v>12393</v>
      </c>
      <c r="G9528" t="s">
        <v>16618</v>
      </c>
      <c r="H9528" t="s">
        <v>22579</v>
      </c>
    </row>
    <row r="9529" spans="1:8">
      <c r="A9529" t="s">
        <v>652</v>
      </c>
      <c r="B9529">
        <f>HYPERLINK("https://android.googlesource.com/platform/cts/+/d1301be379b0090f9f39a25a69fd0e77c02ac944", "d1301be379b0090f9f39a25a69fd0e77c02ac944")</f>
        <v>0</v>
      </c>
      <c r="C9529">
        <f>HYPERLINK("https://android.googlesource.com/platform/cts/+/4aa17ebc9e4c4e2566500a5d5b33767abeaaf8aa", "4aa17ebc9e4c4e2566500a5d5b33767abeaaf8aa")</f>
        <v>0</v>
      </c>
      <c r="D9529" t="s">
        <v>5007</v>
      </c>
      <c r="E9529" t="s">
        <v>6437</v>
      </c>
      <c r="F9529" t="s">
        <v>12391</v>
      </c>
      <c r="G9529" t="s">
        <v>16616</v>
      </c>
      <c r="H9529" t="s">
        <v>22548</v>
      </c>
    </row>
    <row r="9530" spans="1:8">
      <c r="A9530" t="s">
        <v>656</v>
      </c>
      <c r="B9530">
        <f>HYPERLINK("https://android.googlesource.com/platform/cts/+/49a11da037dd2b7aa283b48039a1da1c82c260a1", "49a11da037dd2b7aa283b48039a1da1c82c260a1")</f>
        <v>0</v>
      </c>
      <c r="C9530">
        <f>HYPERLINK("https://android.googlesource.com/platform/cts/+/206fb1022448bdd1a6496d40c638732aa994c432", "206fb1022448bdd1a6496d40c638732aa994c432")</f>
        <v>0</v>
      </c>
      <c r="D9530" t="s">
        <v>5059</v>
      </c>
      <c r="E9530" t="s">
        <v>6441</v>
      </c>
      <c r="F9530" t="s">
        <v>12389</v>
      </c>
      <c r="G9530" t="s">
        <v>16614</v>
      </c>
      <c r="H9530" t="s">
        <v>22623</v>
      </c>
    </row>
    <row r="9531" spans="1:8">
      <c r="H9531" t="s">
        <v>22624</v>
      </c>
    </row>
    <row r="9532" spans="1:8">
      <c r="A9532" t="s">
        <v>657</v>
      </c>
      <c r="B9532">
        <f>HYPERLINK("https://android.googlesource.com/platform/cts/+/a2a23157acd87e8618b7e7158e3644750a779905", "a2a23157acd87e8618b7e7158e3644750a779905")</f>
        <v>0</v>
      </c>
      <c r="C9532">
        <f>HYPERLINK("https://android.googlesource.com/platform/cts/+/c189d58d586eb7ff467f9ed1276462828ad21b8e", "c189d58d586eb7ff467f9ed1276462828ad21b8e")</f>
        <v>0</v>
      </c>
      <c r="D9532" t="s">
        <v>4952</v>
      </c>
      <c r="E9532" t="s">
        <v>6442</v>
      </c>
      <c r="F9532" t="s">
        <v>12404</v>
      </c>
      <c r="G9532" t="s">
        <v>16626</v>
      </c>
      <c r="H9532" t="s">
        <v>22626</v>
      </c>
    </row>
    <row r="9533" spans="1:8">
      <c r="A9533" t="s">
        <v>658</v>
      </c>
      <c r="B9533">
        <f>HYPERLINK("https://android.googlesource.com/platform/cts/+/1e4bf6161c7e771c48540cd77d8e7ada69af8c95", "1e4bf6161c7e771c48540cd77d8e7ada69af8c95")</f>
        <v>0</v>
      </c>
      <c r="C9533">
        <f>HYPERLINK("https://android.googlesource.com/platform/cts/+/82d999a624995f3a52856493dab133ebf10d3d7e", "82d999a624995f3a52856493dab133ebf10d3d7e")</f>
        <v>0</v>
      </c>
      <c r="D9533" t="s">
        <v>5060</v>
      </c>
      <c r="E9533" t="s">
        <v>6443</v>
      </c>
      <c r="F9533" t="s">
        <v>12342</v>
      </c>
      <c r="G9533" t="s">
        <v>16570</v>
      </c>
      <c r="H9533" t="s">
        <v>22627</v>
      </c>
    </row>
    <row r="9534" spans="1:8">
      <c r="A9534" t="s">
        <v>660</v>
      </c>
      <c r="B9534">
        <f>HYPERLINK("https://android.googlesource.com/platform/cts/+/74486465410b6bc86beb8ac346ca3574c0a8790c", "74486465410b6bc86beb8ac346ca3574c0a8790c")</f>
        <v>0</v>
      </c>
      <c r="C9534">
        <f>HYPERLINK("https://android.googlesource.com/platform/cts/+/8c8aa2eae6198f3fea628806d65c7d3698746eab", "8c8aa2eae6198f3fea628806d65c7d3698746eab")</f>
        <v>0</v>
      </c>
      <c r="D9534" t="s">
        <v>5061</v>
      </c>
      <c r="E9534" t="s">
        <v>6445</v>
      </c>
      <c r="F9534" t="s">
        <v>11470</v>
      </c>
      <c r="G9534" t="s">
        <v>15710</v>
      </c>
      <c r="H9534" t="s">
        <v>22630</v>
      </c>
    </row>
    <row r="9535" spans="1:8">
      <c r="A9535" t="s">
        <v>663</v>
      </c>
      <c r="B9535">
        <f>HYPERLINK("https://android.googlesource.com/platform/cts/+/76ea6326e7728a6f1c27e8f32db2e16efaaf0a98", "76ea6326e7728a6f1c27e8f32db2e16efaaf0a98")</f>
        <v>0</v>
      </c>
      <c r="C9535">
        <f>HYPERLINK("https://android.googlesource.com/platform/cts/+/b56fc59d78e60c9a89fc711f79ebc0c0884514dc", "b56fc59d78e60c9a89fc711f79ebc0c0884514dc")</f>
        <v>0</v>
      </c>
      <c r="D9535" t="s">
        <v>5029</v>
      </c>
      <c r="E9535" t="s">
        <v>6448</v>
      </c>
      <c r="F9535" t="s">
        <v>10945</v>
      </c>
      <c r="G9535" t="s">
        <v>15338</v>
      </c>
      <c r="H9535" t="s">
        <v>19072</v>
      </c>
    </row>
    <row r="9536" spans="1:8">
      <c r="H9536" t="s">
        <v>19073</v>
      </c>
    </row>
    <row r="9537" spans="1:8">
      <c r="A9537" t="s">
        <v>667</v>
      </c>
      <c r="B9537">
        <f>HYPERLINK("https://android.googlesource.com/platform/cts/+/583d2d3f49ffacaff1e647e1d9ed59d459e7df3c", "583d2d3f49ffacaff1e647e1d9ed59d459e7df3c")</f>
        <v>0</v>
      </c>
      <c r="C9537">
        <f>HYPERLINK("https://android.googlesource.com/platform/cts/+/7b101b6bcf2ceb5469479fa4211074f463e039e7", "7b101b6bcf2ceb5469479fa4211074f463e039e7")</f>
        <v>0</v>
      </c>
      <c r="D9537" t="s">
        <v>5060</v>
      </c>
      <c r="E9537" t="s">
        <v>6452</v>
      </c>
      <c r="F9537" t="s">
        <v>12342</v>
      </c>
      <c r="G9537" t="s">
        <v>16570</v>
      </c>
      <c r="H9537" t="s">
        <v>22627</v>
      </c>
    </row>
    <row r="9538" spans="1:8">
      <c r="A9538" t="s">
        <v>668</v>
      </c>
      <c r="B9538">
        <f>HYPERLINK("https://android.googlesource.com/platform/cts/+/8e1f6e4a0868bb0bfce4341b068898ec615cd6b8", "8e1f6e4a0868bb0bfce4341b068898ec615cd6b8")</f>
        <v>0</v>
      </c>
      <c r="C9538">
        <f>HYPERLINK("https://android.googlesource.com/platform/cts/+/736f60e4ee34c9d9bf23f217c300545c67c3a065", "736f60e4ee34c9d9bf23f217c300545c67c3a065")</f>
        <v>0</v>
      </c>
      <c r="D9538" t="s">
        <v>5060</v>
      </c>
      <c r="E9538" t="s">
        <v>6453</v>
      </c>
      <c r="F9538" t="s">
        <v>12407</v>
      </c>
      <c r="G9538" t="s">
        <v>16629</v>
      </c>
      <c r="H9538" t="s">
        <v>22647</v>
      </c>
    </row>
    <row r="9539" spans="1:8">
      <c r="A9539" t="s">
        <v>669</v>
      </c>
      <c r="B9539">
        <f>HYPERLINK("https://android.googlesource.com/platform/cts/+/6fe901d4fa1107d4f104d1722e4814031f8545f5", "6fe901d4fa1107d4f104d1722e4814031f8545f5")</f>
        <v>0</v>
      </c>
      <c r="C9539">
        <f>HYPERLINK("https://android.googlesource.com/platform/cts/+/9caf39821afcc9433e8c196a8ad42eb63cea4692", "9caf39821afcc9433e8c196a8ad42eb63cea4692")</f>
        <v>0</v>
      </c>
      <c r="D9539" t="s">
        <v>5064</v>
      </c>
      <c r="E9539" t="s">
        <v>6454</v>
      </c>
      <c r="F9539" t="s">
        <v>12370</v>
      </c>
      <c r="G9539" t="s">
        <v>16597</v>
      </c>
      <c r="H9539" t="s">
        <v>22517</v>
      </c>
    </row>
    <row r="9540" spans="1:8">
      <c r="H9540" t="s">
        <v>22518</v>
      </c>
    </row>
    <row r="9541" spans="1:8">
      <c r="H9541" t="s">
        <v>22519</v>
      </c>
    </row>
    <row r="9542" spans="1:8">
      <c r="A9542" t="s">
        <v>677</v>
      </c>
      <c r="B9542">
        <f>HYPERLINK("https://android.googlesource.com/platform/cts/+/df1c6d45f64d6f7b33a84bc1b089754cdbeaa4d2", "df1c6d45f64d6f7b33a84bc1b089754cdbeaa4d2")</f>
        <v>0</v>
      </c>
      <c r="C9542">
        <f>HYPERLINK("https://android.googlesource.com/platform/cts/+/b732a7a8aad6a7c7dea47dee464a8fee183f851b", "b732a7a8aad6a7c7dea47dee464a8fee183f851b")</f>
        <v>0</v>
      </c>
      <c r="D9542" t="s">
        <v>5030</v>
      </c>
      <c r="E9542" t="s">
        <v>6460</v>
      </c>
      <c r="F9542" t="s">
        <v>12413</v>
      </c>
      <c r="G9542" t="s">
        <v>16635</v>
      </c>
      <c r="H9542" t="s">
        <v>22658</v>
      </c>
    </row>
    <row r="9543" spans="1:8">
      <c r="H9543" t="s">
        <v>22659</v>
      </c>
    </row>
    <row r="9544" spans="1:8">
      <c r="H9544" t="s">
        <v>22660</v>
      </c>
    </row>
    <row r="9545" spans="1:8">
      <c r="H9545" t="s">
        <v>22661</v>
      </c>
    </row>
    <row r="9546" spans="1:8">
      <c r="A9546" t="s">
        <v>679</v>
      </c>
      <c r="B9546">
        <f>HYPERLINK("https://android.googlesource.com/platform/cts/+/247db5d542a79888b85915cbe72958bc30136d14", "247db5d542a79888b85915cbe72958bc30136d14")</f>
        <v>0</v>
      </c>
      <c r="C9546">
        <f>HYPERLINK("https://android.googlesource.com/platform/cts/+/3551f488f171a868ce2c1d18dc1086f6cae2158f", "3551f488f171a868ce2c1d18dc1086f6cae2158f")</f>
        <v>0</v>
      </c>
      <c r="D9546" t="s">
        <v>5060</v>
      </c>
      <c r="E9546" t="s">
        <v>6462</v>
      </c>
      <c r="F9546" t="s">
        <v>12414</v>
      </c>
      <c r="G9546" t="s">
        <v>16636</v>
      </c>
      <c r="H9546" t="s">
        <v>22665</v>
      </c>
    </row>
    <row r="9547" spans="1:8">
      <c r="A9547" t="s">
        <v>681</v>
      </c>
      <c r="B9547">
        <f>HYPERLINK("https://android.googlesource.com/platform/cts/+/72cdd8ea759d0681042361faad31ed6a5ac3fbe7", "72cdd8ea759d0681042361faad31ed6a5ac3fbe7")</f>
        <v>0</v>
      </c>
      <c r="C9547">
        <f>HYPERLINK("https://android.googlesource.com/platform/cts/+/f102f2a4198651d876a8482fc683724b209e347a", "f102f2a4198651d876a8482fc683724b209e347a")</f>
        <v>0</v>
      </c>
      <c r="D9547" t="s">
        <v>5029</v>
      </c>
      <c r="E9547" t="s">
        <v>6464</v>
      </c>
      <c r="F9547" t="s">
        <v>10945</v>
      </c>
      <c r="G9547" t="s">
        <v>15338</v>
      </c>
      <c r="H9547" t="s">
        <v>22666</v>
      </c>
    </row>
    <row r="9548" spans="1:8">
      <c r="A9548" t="s">
        <v>683</v>
      </c>
      <c r="B9548">
        <f>HYPERLINK("https://android.googlesource.com/platform/cts/+/e18732741b68c4bc2d92141a2fbe6e33d46dc19b", "e18732741b68c4bc2d92141a2fbe6e33d46dc19b")</f>
        <v>0</v>
      </c>
      <c r="C9548">
        <f>HYPERLINK("https://android.googlesource.com/platform/cts/+/dac4e3f459cb23b12b4d5180e17c00208acdbb23", "dac4e3f459cb23b12b4d5180e17c00208acdbb23")</f>
        <v>0</v>
      </c>
      <c r="D9548" t="s">
        <v>4952</v>
      </c>
      <c r="E9548" t="s">
        <v>6466</v>
      </c>
      <c r="F9548" t="s">
        <v>12309</v>
      </c>
      <c r="G9548" t="s">
        <v>16540</v>
      </c>
      <c r="H9548" t="s">
        <v>22668</v>
      </c>
    </row>
    <row r="9549" spans="1:8">
      <c r="A9549" t="s">
        <v>688</v>
      </c>
      <c r="B9549">
        <f>HYPERLINK("https://android.googlesource.com/platform/cts/+/75e210ce59f34d0caf3c1c07bce933cb9ad6e4c9", "75e210ce59f34d0caf3c1c07bce933cb9ad6e4c9")</f>
        <v>0</v>
      </c>
      <c r="C9549">
        <f>HYPERLINK("https://android.googlesource.com/platform/cts/+/122af17e0c46dc39bc9d468b6e2c10794c5968fd", "122af17e0c46dc39bc9d468b6e2c10794c5968fd")</f>
        <v>0</v>
      </c>
      <c r="D9549" t="s">
        <v>5066</v>
      </c>
      <c r="E9549" t="s">
        <v>6471</v>
      </c>
      <c r="F9549" t="s">
        <v>12418</v>
      </c>
      <c r="G9549" t="s">
        <v>16640</v>
      </c>
      <c r="H9549" t="s">
        <v>22672</v>
      </c>
    </row>
    <row r="9550" spans="1:8">
      <c r="H9550" t="s">
        <v>22673</v>
      </c>
    </row>
    <row r="9551" spans="1:8">
      <c r="H9551" t="s">
        <v>22674</v>
      </c>
    </row>
    <row r="9552" spans="1:8">
      <c r="H9552" t="s">
        <v>22633</v>
      </c>
    </row>
    <row r="9553" spans="1:8">
      <c r="H9553" t="s">
        <v>22675</v>
      </c>
    </row>
    <row r="9554" spans="1:8">
      <c r="H9554" t="s">
        <v>22676</v>
      </c>
    </row>
    <row r="9555" spans="1:8">
      <c r="F9555" t="s">
        <v>12419</v>
      </c>
      <c r="G9555" t="s">
        <v>16641</v>
      </c>
      <c r="H9555" t="s">
        <v>22677</v>
      </c>
    </row>
    <row r="9556" spans="1:8">
      <c r="A9556" t="s">
        <v>698</v>
      </c>
      <c r="B9556">
        <f>HYPERLINK("https://android.googlesource.com/platform/cts/+/30044c619ab3fa1924f8909ed91a3f7c7ad0e896", "30044c619ab3fa1924f8909ed91a3f7c7ad0e896")</f>
        <v>0</v>
      </c>
      <c r="C9556">
        <f>HYPERLINK("https://android.googlesource.com/platform/cts/+/13eae907470271d41619140c16bc4be62379821f", "13eae907470271d41619140c16bc4be62379821f")</f>
        <v>0</v>
      </c>
      <c r="D9556" t="s">
        <v>5060</v>
      </c>
      <c r="E9556" t="s">
        <v>6481</v>
      </c>
      <c r="F9556" t="s">
        <v>12342</v>
      </c>
      <c r="G9556" t="s">
        <v>16570</v>
      </c>
      <c r="H9556" t="s">
        <v>22627</v>
      </c>
    </row>
    <row r="9557" spans="1:8">
      <c r="A9557" t="s">
        <v>699</v>
      </c>
      <c r="B9557">
        <f>HYPERLINK("https://android.googlesource.com/platform/cts/+/fb28897f87bf1da442ae589a198981a23b3b0a06", "fb28897f87bf1da442ae589a198981a23b3b0a06")</f>
        <v>0</v>
      </c>
      <c r="C9557">
        <f>HYPERLINK("https://android.googlesource.com/platform/cts/+/511af23079438ecdc02e245759defc9773d32172", "511af23079438ecdc02e245759defc9773d32172")</f>
        <v>0</v>
      </c>
      <c r="D9557" t="s">
        <v>5060</v>
      </c>
      <c r="E9557" t="s">
        <v>6482</v>
      </c>
      <c r="F9557" t="s">
        <v>12407</v>
      </c>
      <c r="G9557" t="s">
        <v>16629</v>
      </c>
      <c r="H9557" t="s">
        <v>22647</v>
      </c>
    </row>
    <row r="9558" spans="1:8">
      <c r="A9558" t="s">
        <v>700</v>
      </c>
      <c r="B9558">
        <f>HYPERLINK("https://android.googlesource.com/platform/cts/+/7e08ff86fd06d9fbe2cdbbf81672e2cf1a011304", "7e08ff86fd06d9fbe2cdbbf81672e2cf1a011304")</f>
        <v>0</v>
      </c>
      <c r="C9558">
        <f>HYPERLINK("https://android.googlesource.com/platform/cts/+/499109841b9f35e0d4f0a7f89c04266b4267819c", "499109841b9f35e0d4f0a7f89c04266b4267819c")</f>
        <v>0</v>
      </c>
      <c r="D9558" t="s">
        <v>4949</v>
      </c>
      <c r="E9558" t="s">
        <v>6483</v>
      </c>
      <c r="F9558" t="s">
        <v>12427</v>
      </c>
      <c r="G9558" t="s">
        <v>16649</v>
      </c>
      <c r="H9558" t="s">
        <v>22793</v>
      </c>
    </row>
    <row r="9559" spans="1:8">
      <c r="A9559" t="s">
        <v>703</v>
      </c>
      <c r="B9559">
        <f>HYPERLINK("https://android.googlesource.com/platform/cts/+/a68a0e4b2e2ccf3272c434a11c3d4c085b094ed0", "a68a0e4b2e2ccf3272c434a11c3d4c085b094ed0")</f>
        <v>0</v>
      </c>
      <c r="C9559">
        <f>HYPERLINK("https://android.googlesource.com/platform/cts/+/f7c53bd0bc9162cf4d44126c3ce39219bab1fb23", "f7c53bd0bc9162cf4d44126c3ce39219bab1fb23")</f>
        <v>0</v>
      </c>
      <c r="D9559" t="s">
        <v>4952</v>
      </c>
      <c r="E9559" t="s">
        <v>6486</v>
      </c>
      <c r="F9559" t="s">
        <v>11443</v>
      </c>
      <c r="G9559" t="s">
        <v>15683</v>
      </c>
      <c r="H9559" t="s">
        <v>22795</v>
      </c>
    </row>
    <row r="9560" spans="1:8">
      <c r="H9560" t="s">
        <v>22796</v>
      </c>
    </row>
    <row r="9561" spans="1:8">
      <c r="A9561" t="s">
        <v>704</v>
      </c>
      <c r="B9561">
        <f>HYPERLINK("https://android.googlesource.com/platform/cts/+/60fae26b58b0264669f6d03c3c91f0251d49b3d5", "60fae26b58b0264669f6d03c3c91f0251d49b3d5")</f>
        <v>0</v>
      </c>
      <c r="C9561">
        <f>HYPERLINK("https://android.googlesource.com/platform/cts/+/18bc3b8eef686e7c5d2ca984441b55be38679e0c", "18bc3b8eef686e7c5d2ca984441b55be38679e0c")</f>
        <v>0</v>
      </c>
      <c r="D9561" t="s">
        <v>5069</v>
      </c>
      <c r="E9561" t="s">
        <v>6487</v>
      </c>
      <c r="F9561" t="s">
        <v>10794</v>
      </c>
      <c r="G9561" t="s">
        <v>15189</v>
      </c>
      <c r="H9561" t="s">
        <v>22798</v>
      </c>
    </row>
    <row r="9562" spans="1:8">
      <c r="H9562" t="s">
        <v>22799</v>
      </c>
    </row>
    <row r="9563" spans="1:8">
      <c r="H9563" t="s">
        <v>22800</v>
      </c>
    </row>
    <row r="9564" spans="1:8">
      <c r="A9564" t="s">
        <v>705</v>
      </c>
      <c r="B9564">
        <f>HYPERLINK("https://android.googlesource.com/platform/cts/+/411a105cc5363c33e795d25ebd7d5d37ab79a9e7", "411a105cc5363c33e795d25ebd7d5d37ab79a9e7")</f>
        <v>0</v>
      </c>
      <c r="C9564">
        <f>HYPERLINK("https://android.googlesource.com/platform/cts/+/2cd14b39dcac4f4e994fd05a4f035051a7abcf67", "2cd14b39dcac4f4e994fd05a4f035051a7abcf67")</f>
        <v>0</v>
      </c>
      <c r="D9564" t="s">
        <v>5070</v>
      </c>
      <c r="E9564" t="s">
        <v>6488</v>
      </c>
      <c r="F9564" t="s">
        <v>10794</v>
      </c>
      <c r="G9564" t="s">
        <v>15189</v>
      </c>
      <c r="H9564" t="s">
        <v>22801</v>
      </c>
    </row>
    <row r="9565" spans="1:8">
      <c r="A9565" t="s">
        <v>708</v>
      </c>
      <c r="B9565">
        <f>HYPERLINK("https://android.googlesource.com/platform/cts/+/e2d58b18da97e826cb29fcff792227b3b1131b99", "e2d58b18da97e826cb29fcff792227b3b1131b99")</f>
        <v>0</v>
      </c>
      <c r="C9565">
        <f>HYPERLINK("https://android.googlesource.com/platform/cts/+/5a50430b5e5dbdca944faceab51ff95bfcc10f1f", "5a50430b5e5dbdca944faceab51ff95bfcc10f1f")</f>
        <v>0</v>
      </c>
      <c r="D9565" t="s">
        <v>5071</v>
      </c>
      <c r="E9565" t="s">
        <v>6491</v>
      </c>
      <c r="F9565" t="s">
        <v>12430</v>
      </c>
      <c r="G9565" t="s">
        <v>16651</v>
      </c>
      <c r="H9565" t="s">
        <v>22805</v>
      </c>
    </row>
    <row r="9566" spans="1:8">
      <c r="H9566" t="s">
        <v>22806</v>
      </c>
    </row>
    <row r="9567" spans="1:8">
      <c r="H9567" t="s">
        <v>22807</v>
      </c>
    </row>
    <row r="9568" spans="1:8">
      <c r="H9568" t="s">
        <v>22808</v>
      </c>
    </row>
    <row r="9569" spans="8:8">
      <c r="H9569" t="s">
        <v>22809</v>
      </c>
    </row>
    <row r="9570" spans="8:8">
      <c r="H9570" t="s">
        <v>22810</v>
      </c>
    </row>
    <row r="9571" spans="8:8">
      <c r="H9571" t="s">
        <v>22811</v>
      </c>
    </row>
    <row r="9572" spans="8:8">
      <c r="H9572" t="s">
        <v>22812</v>
      </c>
    </row>
    <row r="9573" spans="8:8">
      <c r="H9573" t="s">
        <v>22813</v>
      </c>
    </row>
    <row r="9574" spans="8:8">
      <c r="H9574" t="s">
        <v>22814</v>
      </c>
    </row>
    <row r="9575" spans="8:8">
      <c r="H9575" t="s">
        <v>22815</v>
      </c>
    </row>
    <row r="9576" spans="8:8">
      <c r="H9576" t="s">
        <v>22816</v>
      </c>
    </row>
    <row r="9577" spans="8:8">
      <c r="H9577" t="s">
        <v>22817</v>
      </c>
    </row>
    <row r="9578" spans="8:8">
      <c r="H9578" t="s">
        <v>22818</v>
      </c>
    </row>
    <row r="9579" spans="8:8">
      <c r="H9579" t="s">
        <v>22819</v>
      </c>
    </row>
    <row r="9580" spans="8:8">
      <c r="H9580" t="s">
        <v>22820</v>
      </c>
    </row>
    <row r="9581" spans="8:8">
      <c r="H9581" t="s">
        <v>22821</v>
      </c>
    </row>
    <row r="9582" spans="8:8">
      <c r="H9582" t="s">
        <v>22822</v>
      </c>
    </row>
    <row r="9583" spans="8:8">
      <c r="H9583" t="s">
        <v>22823</v>
      </c>
    </row>
    <row r="9584" spans="8:8">
      <c r="H9584" t="s">
        <v>22824</v>
      </c>
    </row>
    <row r="9585" spans="1:8">
      <c r="A9585" t="s">
        <v>709</v>
      </c>
      <c r="B9585">
        <f>HYPERLINK("https://android.googlesource.com/platform/cts/+/5140c5ad600527a436d78317ae3f242ec54ba174", "5140c5ad600527a436d78317ae3f242ec54ba174")</f>
        <v>0</v>
      </c>
      <c r="C9585">
        <f>HYPERLINK("https://android.googlesource.com/platform/cts/+/e40052544128b76a63bded1c2353d16c23dee264", "e40052544128b76a63bded1c2353d16c23dee264")</f>
        <v>0</v>
      </c>
      <c r="D9585" t="s">
        <v>4952</v>
      </c>
      <c r="E9585" t="s">
        <v>6492</v>
      </c>
      <c r="F9585" t="s">
        <v>11447</v>
      </c>
      <c r="G9585" t="s">
        <v>15687</v>
      </c>
      <c r="H9585" t="s">
        <v>22825</v>
      </c>
    </row>
    <row r="9586" spans="1:8">
      <c r="H9586" t="s">
        <v>22826</v>
      </c>
    </row>
    <row r="9587" spans="1:8">
      <c r="A9587" t="s">
        <v>713</v>
      </c>
      <c r="B9587">
        <f>HYPERLINK("https://android.googlesource.com/platform/cts/+/86d46afe064937dbec95d91e64e27baec141ae97", "86d46afe064937dbec95d91e64e27baec141ae97")</f>
        <v>0</v>
      </c>
      <c r="C9587">
        <f>HYPERLINK("https://android.googlesource.com/platform/cts/+/d6cc66a89811b7b9e843baf48860976a992c33f3", "d6cc66a89811b7b9e843baf48860976a992c33f3")</f>
        <v>0</v>
      </c>
      <c r="D9587" t="s">
        <v>4952</v>
      </c>
      <c r="E9587" t="s">
        <v>6496</v>
      </c>
      <c r="F9587" t="s">
        <v>12431</v>
      </c>
      <c r="G9587" t="s">
        <v>16652</v>
      </c>
      <c r="H9587" t="s">
        <v>22845</v>
      </c>
    </row>
    <row r="9588" spans="1:8">
      <c r="A9588" t="s">
        <v>718</v>
      </c>
      <c r="B9588">
        <f>HYPERLINK("https://android.googlesource.com/platform/cts/+/8ea3666ae94ac8f4b9b9c4bdbbf0695561d978cb", "8ea3666ae94ac8f4b9b9c4bdbbf0695561d978cb")</f>
        <v>0</v>
      </c>
      <c r="C9588">
        <f>HYPERLINK("https://android.googlesource.com/platform/cts/+/bfe1405befe2138259d2fdcbd93a6011620b7a89", "bfe1405befe2138259d2fdcbd93a6011620b7a89")</f>
        <v>0</v>
      </c>
      <c r="D9588" t="s">
        <v>5073</v>
      </c>
      <c r="E9588" t="s">
        <v>6501</v>
      </c>
      <c r="F9588" t="s">
        <v>12561</v>
      </c>
      <c r="G9588" t="s">
        <v>16777</v>
      </c>
      <c r="H9588" t="s">
        <v>24972</v>
      </c>
    </row>
    <row r="9589" spans="1:8">
      <c r="H9589" t="s">
        <v>24973</v>
      </c>
    </row>
    <row r="9590" spans="1:8">
      <c r="H9590" t="s">
        <v>24974</v>
      </c>
    </row>
    <row r="9591" spans="1:8">
      <c r="H9591" t="s">
        <v>24975</v>
      </c>
    </row>
    <row r="9592" spans="1:8">
      <c r="H9592" t="s">
        <v>24976</v>
      </c>
    </row>
    <row r="9593" spans="1:8">
      <c r="A9593" t="s">
        <v>720</v>
      </c>
      <c r="B9593">
        <f>HYPERLINK("https://android.googlesource.com/platform/cts/+/8ea2becef97509aef884c82cff8d794714ea9a25", "8ea2becef97509aef884c82cff8d794714ea9a25")</f>
        <v>0</v>
      </c>
      <c r="C9593">
        <f>HYPERLINK("https://android.googlesource.com/platform/cts/+/e64a5aa37a56a2bc67d48e0f0d3ca29567ebc0ac", "e64a5aa37a56a2bc67d48e0f0d3ca29567ebc0ac")</f>
        <v>0</v>
      </c>
      <c r="D9593" t="s">
        <v>5074</v>
      </c>
      <c r="E9593" t="s">
        <v>6503</v>
      </c>
      <c r="F9593" t="s">
        <v>12407</v>
      </c>
      <c r="G9593" t="s">
        <v>16629</v>
      </c>
      <c r="H9593" t="s">
        <v>24982</v>
      </c>
    </row>
    <row r="9594" spans="1:8">
      <c r="H9594" t="s">
        <v>24983</v>
      </c>
    </row>
    <row r="9595" spans="1:8">
      <c r="H9595" t="s">
        <v>24985</v>
      </c>
    </row>
    <row r="9596" spans="1:8">
      <c r="H9596" t="s">
        <v>24986</v>
      </c>
    </row>
    <row r="9597" spans="1:8">
      <c r="H9597" t="s">
        <v>24987</v>
      </c>
    </row>
    <row r="9598" spans="1:8">
      <c r="H9598" t="s">
        <v>24988</v>
      </c>
    </row>
    <row r="9599" spans="1:8">
      <c r="H9599" t="s">
        <v>24989</v>
      </c>
    </row>
    <row r="9600" spans="1:8">
      <c r="H9600" t="s">
        <v>24990</v>
      </c>
    </row>
    <row r="9601" spans="6:8">
      <c r="H9601" t="s">
        <v>24991</v>
      </c>
    </row>
    <row r="9602" spans="6:8">
      <c r="H9602" t="s">
        <v>24992</v>
      </c>
    </row>
    <row r="9603" spans="6:8">
      <c r="F9603" t="s">
        <v>12224</v>
      </c>
      <c r="G9603" t="s">
        <v>16454</v>
      </c>
      <c r="H9603" t="s">
        <v>24995</v>
      </c>
    </row>
    <row r="9604" spans="6:8">
      <c r="F9604" t="s">
        <v>12176</v>
      </c>
      <c r="G9604" t="s">
        <v>16415</v>
      </c>
      <c r="H9604" t="s">
        <v>24996</v>
      </c>
    </row>
    <row r="9605" spans="6:8">
      <c r="F9605" t="s">
        <v>12563</v>
      </c>
      <c r="G9605" t="s">
        <v>16779</v>
      </c>
      <c r="H9605" t="s">
        <v>24997</v>
      </c>
    </row>
    <row r="9606" spans="6:8">
      <c r="H9606" t="s">
        <v>24998</v>
      </c>
    </row>
    <row r="9607" spans="6:8">
      <c r="H9607" t="s">
        <v>24999</v>
      </c>
    </row>
    <row r="9608" spans="6:8">
      <c r="H9608" t="s">
        <v>25000</v>
      </c>
    </row>
    <row r="9609" spans="6:8">
      <c r="H9609" t="s">
        <v>25001</v>
      </c>
    </row>
    <row r="9610" spans="6:8">
      <c r="H9610" t="s">
        <v>25002</v>
      </c>
    </row>
    <row r="9611" spans="6:8">
      <c r="H9611" t="s">
        <v>25003</v>
      </c>
    </row>
    <row r="9612" spans="6:8">
      <c r="H9612" t="s">
        <v>25004</v>
      </c>
    </row>
    <row r="9613" spans="6:8">
      <c r="F9613" t="s">
        <v>12564</v>
      </c>
      <c r="G9613" t="s">
        <v>16780</v>
      </c>
      <c r="H9613" t="s">
        <v>25006</v>
      </c>
    </row>
    <row r="9614" spans="6:8">
      <c r="F9614" t="s">
        <v>12565</v>
      </c>
      <c r="G9614" t="s">
        <v>16781</v>
      </c>
      <c r="H9614" t="s">
        <v>25008</v>
      </c>
    </row>
    <row r="9615" spans="6:8">
      <c r="H9615" t="s">
        <v>25009</v>
      </c>
    </row>
    <row r="9616" spans="6:8">
      <c r="F9616" t="s">
        <v>12566</v>
      </c>
      <c r="G9616" t="s">
        <v>16782</v>
      </c>
      <c r="H9616" t="s">
        <v>25010</v>
      </c>
    </row>
    <row r="9617" spans="1:8">
      <c r="F9617" t="s">
        <v>12342</v>
      </c>
      <c r="G9617" t="s">
        <v>16570</v>
      </c>
      <c r="H9617" t="s">
        <v>25011</v>
      </c>
    </row>
    <row r="9618" spans="1:8">
      <c r="A9618" t="s">
        <v>722</v>
      </c>
      <c r="B9618">
        <f>HYPERLINK("https://android.googlesource.com/platform/cts/+/cc9af6e6ffb2bef2cd094795c738ae2b10624dea", "cc9af6e6ffb2bef2cd094795c738ae2b10624dea")</f>
        <v>0</v>
      </c>
      <c r="C9618">
        <f>HYPERLINK("https://android.googlesource.com/platform/cts/+/3dd9f1ec1a97905ea1901d9450cfddb48966a382", "3dd9f1ec1a97905ea1901d9450cfddb48966a382")</f>
        <v>0</v>
      </c>
      <c r="D9618" t="s">
        <v>5075</v>
      </c>
      <c r="E9618" t="s">
        <v>6505</v>
      </c>
      <c r="F9618" t="s">
        <v>12568</v>
      </c>
      <c r="G9618" t="s">
        <v>16784</v>
      </c>
      <c r="H9618" t="s">
        <v>25014</v>
      </c>
    </row>
    <row r="9619" spans="1:8">
      <c r="H9619" t="s">
        <v>25015</v>
      </c>
    </row>
    <row r="9620" spans="1:8">
      <c r="A9620" t="s">
        <v>725</v>
      </c>
      <c r="B9620">
        <f>HYPERLINK("https://android.googlesource.com/platform/cts/+/4b7f7c01129b624947d9f9a84e9e851a2761fed7", "4b7f7c01129b624947d9f9a84e9e851a2761fed7")</f>
        <v>0</v>
      </c>
      <c r="C9620">
        <f>HYPERLINK("https://android.googlesource.com/platform/cts/+/9306115a474168ff12dd5312c5820e9c54134e9c", "9306115a474168ff12dd5312c5820e9c54134e9c")</f>
        <v>0</v>
      </c>
      <c r="D9620" t="s">
        <v>5018</v>
      </c>
      <c r="E9620" t="s">
        <v>6508</v>
      </c>
      <c r="F9620" t="s">
        <v>12571</v>
      </c>
      <c r="G9620" t="s">
        <v>16787</v>
      </c>
      <c r="H9620" t="s">
        <v>25026</v>
      </c>
    </row>
    <row r="9621" spans="1:8">
      <c r="A9621" t="s">
        <v>726</v>
      </c>
      <c r="B9621">
        <f>HYPERLINK("https://android.googlesource.com/platform/cts/+/0408b17d15c515c251c3544104112f859168c9d3", "0408b17d15c515c251c3544104112f859168c9d3")</f>
        <v>0</v>
      </c>
      <c r="C9621">
        <f>HYPERLINK("https://android.googlesource.com/platform/cts/+/7082fb8c9cc97300f36b714efe4f6d99c344fd6d", "7082fb8c9cc97300f36b714efe4f6d99c344fd6d")</f>
        <v>0</v>
      </c>
      <c r="D9621" t="s">
        <v>5077</v>
      </c>
      <c r="E9621" t="s">
        <v>6509</v>
      </c>
      <c r="F9621" t="s">
        <v>12223</v>
      </c>
      <c r="G9621" t="s">
        <v>16453</v>
      </c>
      <c r="H9621" t="s">
        <v>25028</v>
      </c>
    </row>
    <row r="9622" spans="1:8">
      <c r="H9622" t="s">
        <v>25029</v>
      </c>
    </row>
    <row r="9623" spans="1:8">
      <c r="H9623" t="s">
        <v>25030</v>
      </c>
    </row>
    <row r="9624" spans="1:8">
      <c r="F9624" t="s">
        <v>12224</v>
      </c>
      <c r="G9624" t="s">
        <v>16454</v>
      </c>
      <c r="H9624" t="s">
        <v>25032</v>
      </c>
    </row>
    <row r="9625" spans="1:8">
      <c r="A9625" t="s">
        <v>730</v>
      </c>
      <c r="B9625">
        <f>HYPERLINK("https://android.googlesource.com/platform/cts/+/ac8d674e13b3eaf97990cc3e6aa86de86155a6cd", "ac8d674e13b3eaf97990cc3e6aa86de86155a6cd")</f>
        <v>0</v>
      </c>
      <c r="C9625">
        <f>HYPERLINK("https://android.googlesource.com/platform/cts/+/82f583a8b9e5608f36d08d5add3880db2b8c512e", "82f583a8b9e5608f36d08d5add3880db2b8c512e")</f>
        <v>0</v>
      </c>
      <c r="D9625" t="s">
        <v>5002</v>
      </c>
      <c r="E9625" t="s">
        <v>6513</v>
      </c>
      <c r="F9625" t="s">
        <v>12592</v>
      </c>
      <c r="G9625" t="s">
        <v>16808</v>
      </c>
      <c r="H9625" t="s">
        <v>25056</v>
      </c>
    </row>
    <row r="9626" spans="1:8">
      <c r="H9626" t="s">
        <v>25057</v>
      </c>
    </row>
    <row r="9627" spans="1:8">
      <c r="H9627" t="s">
        <v>25058</v>
      </c>
    </row>
    <row r="9628" spans="1:8">
      <c r="F9628" t="s">
        <v>12593</v>
      </c>
      <c r="G9628" t="s">
        <v>16809</v>
      </c>
      <c r="H9628" t="s">
        <v>25060</v>
      </c>
    </row>
    <row r="9629" spans="1:8">
      <c r="H9629" t="s">
        <v>25061</v>
      </c>
    </row>
    <row r="9630" spans="1:8">
      <c r="H9630" t="s">
        <v>25062</v>
      </c>
    </row>
    <row r="9631" spans="1:8">
      <c r="F9631" t="s">
        <v>12598</v>
      </c>
      <c r="G9631" t="s">
        <v>16811</v>
      </c>
      <c r="H9631" t="s">
        <v>25065</v>
      </c>
    </row>
    <row r="9632" spans="1:8">
      <c r="H9632" t="s">
        <v>25066</v>
      </c>
    </row>
    <row r="9633" spans="1:8">
      <c r="H9633" t="s">
        <v>25067</v>
      </c>
    </row>
    <row r="9634" spans="1:8">
      <c r="H9634" t="s">
        <v>25068</v>
      </c>
    </row>
    <row r="9635" spans="1:8">
      <c r="H9635" t="s">
        <v>25069</v>
      </c>
    </row>
    <row r="9636" spans="1:8">
      <c r="H9636" t="s">
        <v>25070</v>
      </c>
    </row>
    <row r="9637" spans="1:8">
      <c r="A9637" t="s">
        <v>735</v>
      </c>
      <c r="B9637">
        <f>HYPERLINK("https://android.googlesource.com/platform/cts/+/20815e69e7d5c7f62b190b7ef337a1dd6ec3df83", "20815e69e7d5c7f62b190b7ef337a1dd6ec3df83")</f>
        <v>0</v>
      </c>
      <c r="C9637">
        <f>HYPERLINK("https://android.googlesource.com/platform/cts/+/8e7fb5257401578e6eb5aac7194be991831bd619", "8e7fb5257401578e6eb5aac7194be991831bd619")</f>
        <v>0</v>
      </c>
      <c r="D9637" t="s">
        <v>5077</v>
      </c>
      <c r="E9637" t="s">
        <v>6518</v>
      </c>
      <c r="F9637" t="s">
        <v>12599</v>
      </c>
      <c r="G9637" t="s">
        <v>16812</v>
      </c>
      <c r="H9637" t="s">
        <v>25076</v>
      </c>
    </row>
    <row r="9638" spans="1:8">
      <c r="H9638" t="s">
        <v>25077</v>
      </c>
    </row>
    <row r="9639" spans="1:8">
      <c r="H9639" t="s">
        <v>25078</v>
      </c>
    </row>
    <row r="9640" spans="1:8">
      <c r="H9640" t="s">
        <v>25079</v>
      </c>
    </row>
    <row r="9641" spans="1:8">
      <c r="A9641" t="s">
        <v>739</v>
      </c>
      <c r="B9641">
        <f>HYPERLINK("https://android.googlesource.com/platform/cts/+/bfe21539f8796fecab7ebc52e69fbad415466876", "bfe21539f8796fecab7ebc52e69fbad415466876")</f>
        <v>0</v>
      </c>
      <c r="C9641">
        <f>HYPERLINK("https://android.googlesource.com/platform/cts/+/d36d7bbfe4041684772d97a41e024d18034f0fb1", "d36d7bbfe4041684772d97a41e024d18034f0fb1")</f>
        <v>0</v>
      </c>
      <c r="D9641" t="s">
        <v>5057</v>
      </c>
      <c r="E9641" t="s">
        <v>6522</v>
      </c>
      <c r="F9641" t="s">
        <v>12601</v>
      </c>
      <c r="G9641" t="s">
        <v>16420</v>
      </c>
      <c r="H9641" t="s">
        <v>21301</v>
      </c>
    </row>
    <row r="9642" spans="1:8">
      <c r="H9642" t="s">
        <v>21302</v>
      </c>
    </row>
    <row r="9643" spans="1:8">
      <c r="A9643" t="s">
        <v>740</v>
      </c>
      <c r="B9643">
        <f>HYPERLINK("https://android.googlesource.com/platform/cts/+/92b89af07ac9f528228d44b71ce6131e5d36dc13", "92b89af07ac9f528228d44b71ce6131e5d36dc13")</f>
        <v>0</v>
      </c>
      <c r="C9643">
        <f>HYPERLINK("https://android.googlesource.com/platform/cts/+/00d083abecc0d0671ff6e71bf3664fd4e825e52f", "00d083abecc0d0671ff6e71bf3664fd4e825e52f")</f>
        <v>0</v>
      </c>
      <c r="D9643" t="s">
        <v>5040</v>
      </c>
      <c r="E9643" t="s">
        <v>6523</v>
      </c>
      <c r="F9643" t="s">
        <v>12602</v>
      </c>
      <c r="G9643" t="s">
        <v>16814</v>
      </c>
      <c r="H9643" t="s">
        <v>25081</v>
      </c>
    </row>
    <row r="9644" spans="1:8">
      <c r="A9644" t="s">
        <v>742</v>
      </c>
      <c r="B9644">
        <f>HYPERLINK("https://android.googlesource.com/platform/cts/+/e523556a72ecf97c782354c95b2c018981a31e62", "e523556a72ecf97c782354c95b2c018981a31e62")</f>
        <v>0</v>
      </c>
      <c r="C9644">
        <f>HYPERLINK("https://android.googlesource.com/platform/cts/+/769e48db74612b80c294b96d1a2286888d2da6b6", "769e48db74612b80c294b96d1a2286888d2da6b6")</f>
        <v>0</v>
      </c>
      <c r="D9644" t="s">
        <v>5057</v>
      </c>
      <c r="E9644" t="s">
        <v>6525</v>
      </c>
      <c r="F9644" t="s">
        <v>12601</v>
      </c>
      <c r="G9644" t="s">
        <v>16420</v>
      </c>
      <c r="H9644" t="s">
        <v>25083</v>
      </c>
    </row>
    <row r="9645" spans="1:8">
      <c r="H9645" t="s">
        <v>25084</v>
      </c>
    </row>
    <row r="9646" spans="1:8">
      <c r="H9646" t="s">
        <v>25087</v>
      </c>
    </row>
    <row r="9647" spans="1:8">
      <c r="H9647" t="s">
        <v>25088</v>
      </c>
    </row>
    <row r="9648" spans="1:8">
      <c r="A9648" t="s">
        <v>743</v>
      </c>
      <c r="B9648">
        <f>HYPERLINK("https://android.googlesource.com/platform/cts/+/64c494af71f3907cac19d2101032420000a7e8d7", "64c494af71f3907cac19d2101032420000a7e8d7")</f>
        <v>0</v>
      </c>
      <c r="C9648">
        <f>HYPERLINK("https://android.googlesource.com/platform/cts/+/aefcae4de7db38bf091921a0827c8c44cbeb8d9b", "aefcae4de7db38bf091921a0827c8c44cbeb8d9b")</f>
        <v>0</v>
      </c>
      <c r="D9648" t="s">
        <v>5080</v>
      </c>
      <c r="E9648" t="s">
        <v>6526</v>
      </c>
      <c r="F9648" t="s">
        <v>12604</v>
      </c>
      <c r="G9648" t="s">
        <v>16816</v>
      </c>
      <c r="H9648" t="s">
        <v>25089</v>
      </c>
    </row>
    <row r="9649" spans="1:8">
      <c r="H9649" t="s">
        <v>25090</v>
      </c>
    </row>
    <row r="9650" spans="1:8">
      <c r="A9650" t="s">
        <v>745</v>
      </c>
      <c r="B9650">
        <f>HYPERLINK("https://android.googlesource.com/platform/cts/+/e4b9293da1a463f1ab623db7f960a35c54e18ec1", "e4b9293da1a463f1ab623db7f960a35c54e18ec1")</f>
        <v>0</v>
      </c>
      <c r="C9650">
        <f>HYPERLINK("https://android.googlesource.com/platform/cts/+/6fd2a43158d2cb4fc0f662b7575baeae65286f64", "6fd2a43158d2cb4fc0f662b7575baeae65286f64")</f>
        <v>0</v>
      </c>
      <c r="D9650" t="s">
        <v>5077</v>
      </c>
      <c r="E9650" t="s">
        <v>6528</v>
      </c>
      <c r="F9650" t="s">
        <v>12599</v>
      </c>
      <c r="G9650" t="s">
        <v>16812</v>
      </c>
      <c r="H9650" t="s">
        <v>25093</v>
      </c>
    </row>
    <row r="9651" spans="1:8">
      <c r="H9651" t="s">
        <v>25094</v>
      </c>
    </row>
    <row r="9652" spans="1:8">
      <c r="H9652" t="s">
        <v>25095</v>
      </c>
    </row>
    <row r="9653" spans="1:8">
      <c r="H9653" t="s">
        <v>25096</v>
      </c>
    </row>
    <row r="9654" spans="1:8">
      <c r="A9654" t="s">
        <v>748</v>
      </c>
      <c r="B9654">
        <f>HYPERLINK("https://android.googlesource.com/platform/cts/+/faacd3e9325c6c32fceaf777a945a21007b59a16", "faacd3e9325c6c32fceaf777a945a21007b59a16")</f>
        <v>0</v>
      </c>
      <c r="C9654">
        <f>HYPERLINK("https://android.googlesource.com/platform/cts/+/0dccfe2f8ee2dc3197ca72a3f37d412dd491c99b", "0dccfe2f8ee2dc3197ca72a3f37d412dd491c99b")</f>
        <v>0</v>
      </c>
      <c r="D9654" t="s">
        <v>5081</v>
      </c>
      <c r="E9654" t="s">
        <v>6531</v>
      </c>
      <c r="F9654" t="s">
        <v>12607</v>
      </c>
      <c r="G9654" t="s">
        <v>16819</v>
      </c>
      <c r="H9654" t="s">
        <v>25100</v>
      </c>
    </row>
    <row r="9655" spans="1:8">
      <c r="H9655" t="s">
        <v>25101</v>
      </c>
    </row>
    <row r="9656" spans="1:8">
      <c r="H9656" t="s">
        <v>25102</v>
      </c>
    </row>
    <row r="9657" spans="1:8">
      <c r="A9657" t="s">
        <v>751</v>
      </c>
      <c r="B9657">
        <f>HYPERLINK("https://android.googlesource.com/platform/cts/+/c30bdbc6e992b53a9f12d50c5659a776e2da5a02", "c30bdbc6e992b53a9f12d50c5659a776e2da5a02")</f>
        <v>0</v>
      </c>
      <c r="C9657">
        <f>HYPERLINK("https://android.googlesource.com/platform/cts/+/fd61f1805c374867db63678062fec3c17d0ab956", "fd61f1805c374867db63678062fec3c17d0ab956")</f>
        <v>0</v>
      </c>
      <c r="D9657" t="s">
        <v>4987</v>
      </c>
      <c r="E9657" t="s">
        <v>6534</v>
      </c>
      <c r="F9657" t="s">
        <v>12371</v>
      </c>
      <c r="G9657" t="s">
        <v>16598</v>
      </c>
      <c r="H9657" t="s">
        <v>25110</v>
      </c>
    </row>
    <row r="9658" spans="1:8">
      <c r="H9658" t="s">
        <v>25111</v>
      </c>
    </row>
    <row r="9659" spans="1:8">
      <c r="H9659" t="s">
        <v>25112</v>
      </c>
    </row>
    <row r="9660" spans="1:8">
      <c r="H9660" t="s">
        <v>25113</v>
      </c>
    </row>
    <row r="9661" spans="1:8">
      <c r="H9661" t="s">
        <v>25114</v>
      </c>
    </row>
    <row r="9662" spans="1:8">
      <c r="H9662" t="s">
        <v>25115</v>
      </c>
    </row>
    <row r="9663" spans="1:8">
      <c r="H9663" t="s">
        <v>25116</v>
      </c>
    </row>
    <row r="9664" spans="1:8">
      <c r="H9664" t="s">
        <v>25117</v>
      </c>
    </row>
    <row r="9665" spans="8:8">
      <c r="H9665" t="s">
        <v>25118</v>
      </c>
    </row>
    <row r="9666" spans="8:8">
      <c r="H9666" t="s">
        <v>25119</v>
      </c>
    </row>
    <row r="9667" spans="8:8">
      <c r="H9667" t="s">
        <v>25120</v>
      </c>
    </row>
    <row r="9668" spans="8:8">
      <c r="H9668" t="s">
        <v>25121</v>
      </c>
    </row>
    <row r="9669" spans="8:8">
      <c r="H9669" t="s">
        <v>25122</v>
      </c>
    </row>
    <row r="9670" spans="8:8">
      <c r="H9670" t="s">
        <v>25123</v>
      </c>
    </row>
    <row r="9671" spans="8:8">
      <c r="H9671" t="s">
        <v>25124</v>
      </c>
    </row>
    <row r="9672" spans="8:8">
      <c r="H9672" t="s">
        <v>25125</v>
      </c>
    </row>
    <row r="9673" spans="8:8">
      <c r="H9673" t="s">
        <v>25126</v>
      </c>
    </row>
    <row r="9674" spans="8:8">
      <c r="H9674" t="s">
        <v>25127</v>
      </c>
    </row>
    <row r="9675" spans="8:8">
      <c r="H9675" t="s">
        <v>25128</v>
      </c>
    </row>
    <row r="9676" spans="8:8">
      <c r="H9676" t="s">
        <v>25129</v>
      </c>
    </row>
    <row r="9677" spans="8:8">
      <c r="H9677" t="s">
        <v>25130</v>
      </c>
    </row>
    <row r="9678" spans="8:8">
      <c r="H9678" t="s">
        <v>25131</v>
      </c>
    </row>
    <row r="9679" spans="8:8">
      <c r="H9679" t="s">
        <v>25132</v>
      </c>
    </row>
    <row r="9680" spans="8:8">
      <c r="H9680" t="s">
        <v>25133</v>
      </c>
    </row>
    <row r="9681" spans="8:8">
      <c r="H9681" t="s">
        <v>25134</v>
      </c>
    </row>
    <row r="9682" spans="8:8">
      <c r="H9682" t="s">
        <v>25135</v>
      </c>
    </row>
    <row r="9683" spans="8:8">
      <c r="H9683" t="s">
        <v>25136</v>
      </c>
    </row>
    <row r="9684" spans="8:8">
      <c r="H9684" t="s">
        <v>25137</v>
      </c>
    </row>
    <row r="9685" spans="8:8">
      <c r="H9685" t="s">
        <v>25138</v>
      </c>
    </row>
    <row r="9686" spans="8:8">
      <c r="H9686" t="s">
        <v>25139</v>
      </c>
    </row>
    <row r="9687" spans="8:8">
      <c r="H9687" t="s">
        <v>25140</v>
      </c>
    </row>
    <row r="9688" spans="8:8">
      <c r="H9688" t="s">
        <v>25141</v>
      </c>
    </row>
    <row r="9689" spans="8:8">
      <c r="H9689" t="s">
        <v>25142</v>
      </c>
    </row>
    <row r="9690" spans="8:8">
      <c r="H9690" t="s">
        <v>25143</v>
      </c>
    </row>
    <row r="9691" spans="8:8">
      <c r="H9691" t="s">
        <v>25144</v>
      </c>
    </row>
    <row r="9692" spans="8:8">
      <c r="H9692" t="s">
        <v>25145</v>
      </c>
    </row>
    <row r="9693" spans="8:8">
      <c r="H9693" t="s">
        <v>25146</v>
      </c>
    </row>
    <row r="9694" spans="8:8">
      <c r="H9694" t="s">
        <v>25147</v>
      </c>
    </row>
    <row r="9695" spans="8:8">
      <c r="H9695" t="s">
        <v>25148</v>
      </c>
    </row>
    <row r="9696" spans="8:8">
      <c r="H9696" t="s">
        <v>25149</v>
      </c>
    </row>
    <row r="9697" spans="8:8">
      <c r="H9697" t="s">
        <v>25150</v>
      </c>
    </row>
    <row r="9698" spans="8:8">
      <c r="H9698" t="s">
        <v>25151</v>
      </c>
    </row>
    <row r="9699" spans="8:8">
      <c r="H9699" t="s">
        <v>25152</v>
      </c>
    </row>
    <row r="9700" spans="8:8">
      <c r="H9700" t="s">
        <v>25153</v>
      </c>
    </row>
    <row r="9701" spans="8:8">
      <c r="H9701" t="s">
        <v>25154</v>
      </c>
    </row>
    <row r="9702" spans="8:8">
      <c r="H9702" t="s">
        <v>25155</v>
      </c>
    </row>
    <row r="9703" spans="8:8">
      <c r="H9703" t="s">
        <v>25156</v>
      </c>
    </row>
    <row r="9704" spans="8:8">
      <c r="H9704" t="s">
        <v>25157</v>
      </c>
    </row>
    <row r="9705" spans="8:8">
      <c r="H9705" t="s">
        <v>25158</v>
      </c>
    </row>
    <row r="9706" spans="8:8">
      <c r="H9706" t="s">
        <v>25159</v>
      </c>
    </row>
    <row r="9707" spans="8:8">
      <c r="H9707" t="s">
        <v>25160</v>
      </c>
    </row>
    <row r="9708" spans="8:8">
      <c r="H9708" t="s">
        <v>25161</v>
      </c>
    </row>
    <row r="9709" spans="8:8">
      <c r="H9709" t="s">
        <v>25162</v>
      </c>
    </row>
    <row r="9710" spans="8:8">
      <c r="H9710" t="s">
        <v>25163</v>
      </c>
    </row>
    <row r="9711" spans="8:8">
      <c r="H9711" t="s">
        <v>25164</v>
      </c>
    </row>
    <row r="9712" spans="8:8">
      <c r="H9712" t="s">
        <v>25165</v>
      </c>
    </row>
    <row r="9713" spans="8:8">
      <c r="H9713" t="s">
        <v>25166</v>
      </c>
    </row>
    <row r="9714" spans="8:8">
      <c r="H9714" t="s">
        <v>25167</v>
      </c>
    </row>
    <row r="9715" spans="8:8">
      <c r="H9715" t="s">
        <v>25168</v>
      </c>
    </row>
    <row r="9716" spans="8:8">
      <c r="H9716" t="s">
        <v>25169</v>
      </c>
    </row>
    <row r="9717" spans="8:8">
      <c r="H9717" t="s">
        <v>25170</v>
      </c>
    </row>
    <row r="9718" spans="8:8">
      <c r="H9718" t="s">
        <v>25171</v>
      </c>
    </row>
    <row r="9719" spans="8:8">
      <c r="H9719" t="s">
        <v>25172</v>
      </c>
    </row>
    <row r="9720" spans="8:8">
      <c r="H9720" t="s">
        <v>25173</v>
      </c>
    </row>
    <row r="9721" spans="8:8">
      <c r="H9721" t="s">
        <v>25174</v>
      </c>
    </row>
    <row r="9722" spans="8:8">
      <c r="H9722" t="s">
        <v>25175</v>
      </c>
    </row>
    <row r="9723" spans="8:8">
      <c r="H9723" t="s">
        <v>25176</v>
      </c>
    </row>
    <row r="9724" spans="8:8">
      <c r="H9724" t="s">
        <v>25177</v>
      </c>
    </row>
    <row r="9725" spans="8:8">
      <c r="H9725" t="s">
        <v>25178</v>
      </c>
    </row>
    <row r="9726" spans="8:8">
      <c r="H9726" t="s">
        <v>25179</v>
      </c>
    </row>
    <row r="9727" spans="8:8">
      <c r="H9727" t="s">
        <v>25180</v>
      </c>
    </row>
    <row r="9728" spans="8:8">
      <c r="H9728" t="s">
        <v>25181</v>
      </c>
    </row>
    <row r="9729" spans="8:8">
      <c r="H9729" t="s">
        <v>25182</v>
      </c>
    </row>
    <row r="9730" spans="8:8">
      <c r="H9730" t="s">
        <v>25183</v>
      </c>
    </row>
    <row r="9731" spans="8:8">
      <c r="H9731" t="s">
        <v>25184</v>
      </c>
    </row>
    <row r="9732" spans="8:8">
      <c r="H9732" t="s">
        <v>25185</v>
      </c>
    </row>
    <row r="9733" spans="8:8">
      <c r="H9733" t="s">
        <v>25186</v>
      </c>
    </row>
    <row r="9734" spans="8:8">
      <c r="H9734" t="s">
        <v>25187</v>
      </c>
    </row>
    <row r="9735" spans="8:8">
      <c r="H9735" t="s">
        <v>25188</v>
      </c>
    </row>
    <row r="9736" spans="8:8">
      <c r="H9736" t="s">
        <v>25189</v>
      </c>
    </row>
    <row r="9737" spans="8:8">
      <c r="H9737" t="s">
        <v>25190</v>
      </c>
    </row>
    <row r="9738" spans="8:8">
      <c r="H9738" t="s">
        <v>25191</v>
      </c>
    </row>
    <row r="9739" spans="8:8">
      <c r="H9739" t="s">
        <v>25192</v>
      </c>
    </row>
    <row r="9740" spans="8:8">
      <c r="H9740" t="s">
        <v>25193</v>
      </c>
    </row>
    <row r="9741" spans="8:8">
      <c r="H9741" t="s">
        <v>25194</v>
      </c>
    </row>
    <row r="9742" spans="8:8">
      <c r="H9742" t="s">
        <v>25195</v>
      </c>
    </row>
    <row r="9743" spans="8:8">
      <c r="H9743" t="s">
        <v>25196</v>
      </c>
    </row>
    <row r="9744" spans="8:8">
      <c r="H9744" t="s">
        <v>25197</v>
      </c>
    </row>
    <row r="9745" spans="8:8">
      <c r="H9745" t="s">
        <v>25198</v>
      </c>
    </row>
    <row r="9746" spans="8:8">
      <c r="H9746" t="s">
        <v>25199</v>
      </c>
    </row>
    <row r="9747" spans="8:8">
      <c r="H9747" t="s">
        <v>25200</v>
      </c>
    </row>
    <row r="9748" spans="8:8">
      <c r="H9748" t="s">
        <v>25201</v>
      </c>
    </row>
    <row r="9749" spans="8:8">
      <c r="H9749" t="s">
        <v>25202</v>
      </c>
    </row>
    <row r="9750" spans="8:8">
      <c r="H9750" t="s">
        <v>25203</v>
      </c>
    </row>
    <row r="9751" spans="8:8">
      <c r="H9751" t="s">
        <v>25204</v>
      </c>
    </row>
    <row r="9752" spans="8:8">
      <c r="H9752" t="s">
        <v>25205</v>
      </c>
    </row>
    <row r="9753" spans="8:8">
      <c r="H9753" t="s">
        <v>25206</v>
      </c>
    </row>
    <row r="9754" spans="8:8">
      <c r="H9754" t="s">
        <v>25207</v>
      </c>
    </row>
    <row r="9755" spans="8:8">
      <c r="H9755" t="s">
        <v>25208</v>
      </c>
    </row>
    <row r="9756" spans="8:8">
      <c r="H9756" t="s">
        <v>25209</v>
      </c>
    </row>
    <row r="9757" spans="8:8">
      <c r="H9757" t="s">
        <v>25210</v>
      </c>
    </row>
    <row r="9758" spans="8:8">
      <c r="H9758" t="s">
        <v>25211</v>
      </c>
    </row>
    <row r="9759" spans="8:8">
      <c r="H9759" t="s">
        <v>25212</v>
      </c>
    </row>
    <row r="9760" spans="8:8">
      <c r="H9760" t="s">
        <v>25213</v>
      </c>
    </row>
    <row r="9761" spans="8:8">
      <c r="H9761" t="s">
        <v>25214</v>
      </c>
    </row>
    <row r="9762" spans="8:8">
      <c r="H9762" t="s">
        <v>25215</v>
      </c>
    </row>
    <row r="9763" spans="8:8">
      <c r="H9763" t="s">
        <v>25216</v>
      </c>
    </row>
    <row r="9764" spans="8:8">
      <c r="H9764" t="s">
        <v>25217</v>
      </c>
    </row>
    <row r="9765" spans="8:8">
      <c r="H9765" t="s">
        <v>25218</v>
      </c>
    </row>
    <row r="9766" spans="8:8">
      <c r="H9766" t="s">
        <v>25219</v>
      </c>
    </row>
    <row r="9767" spans="8:8">
      <c r="H9767" t="s">
        <v>25220</v>
      </c>
    </row>
    <row r="9768" spans="8:8">
      <c r="H9768" t="s">
        <v>25221</v>
      </c>
    </row>
    <row r="9769" spans="8:8">
      <c r="H9769" t="s">
        <v>25222</v>
      </c>
    </row>
    <row r="9770" spans="8:8">
      <c r="H9770" t="s">
        <v>25223</v>
      </c>
    </row>
    <row r="9771" spans="8:8">
      <c r="H9771" t="s">
        <v>25224</v>
      </c>
    </row>
    <row r="9772" spans="8:8">
      <c r="H9772" t="s">
        <v>25225</v>
      </c>
    </row>
    <row r="9773" spans="8:8">
      <c r="H9773" t="s">
        <v>25226</v>
      </c>
    </row>
    <row r="9774" spans="8:8">
      <c r="H9774" t="s">
        <v>25227</v>
      </c>
    </row>
    <row r="9775" spans="8:8">
      <c r="H9775" t="s">
        <v>25228</v>
      </c>
    </row>
    <row r="9776" spans="8:8">
      <c r="H9776" t="s">
        <v>25229</v>
      </c>
    </row>
    <row r="9777" spans="8:8">
      <c r="H9777" t="s">
        <v>25230</v>
      </c>
    </row>
    <row r="9778" spans="8:8">
      <c r="H9778" t="s">
        <v>25231</v>
      </c>
    </row>
    <row r="9779" spans="8:8">
      <c r="H9779" t="s">
        <v>25232</v>
      </c>
    </row>
    <row r="9780" spans="8:8">
      <c r="H9780" t="s">
        <v>25233</v>
      </c>
    </row>
    <row r="9781" spans="8:8">
      <c r="H9781" t="s">
        <v>25234</v>
      </c>
    </row>
    <row r="9782" spans="8:8">
      <c r="H9782" t="s">
        <v>25235</v>
      </c>
    </row>
    <row r="9783" spans="8:8">
      <c r="H9783" t="s">
        <v>25236</v>
      </c>
    </row>
    <row r="9784" spans="8:8">
      <c r="H9784" t="s">
        <v>25237</v>
      </c>
    </row>
    <row r="9785" spans="8:8">
      <c r="H9785" t="s">
        <v>25238</v>
      </c>
    </row>
    <row r="9786" spans="8:8">
      <c r="H9786" t="s">
        <v>25239</v>
      </c>
    </row>
    <row r="9787" spans="8:8">
      <c r="H9787" t="s">
        <v>25240</v>
      </c>
    </row>
    <row r="9788" spans="8:8">
      <c r="H9788" t="s">
        <v>25241</v>
      </c>
    </row>
    <row r="9789" spans="8:8">
      <c r="H9789" t="s">
        <v>25242</v>
      </c>
    </row>
    <row r="9790" spans="8:8">
      <c r="H9790" t="s">
        <v>25243</v>
      </c>
    </row>
    <row r="9791" spans="8:8">
      <c r="H9791" t="s">
        <v>25244</v>
      </c>
    </row>
    <row r="9792" spans="8:8">
      <c r="H9792" t="s">
        <v>25245</v>
      </c>
    </row>
    <row r="9793" spans="8:8">
      <c r="H9793" t="s">
        <v>25246</v>
      </c>
    </row>
    <row r="9794" spans="8:8">
      <c r="H9794" t="s">
        <v>25247</v>
      </c>
    </row>
    <row r="9795" spans="8:8">
      <c r="H9795" t="s">
        <v>25248</v>
      </c>
    </row>
    <row r="9796" spans="8:8">
      <c r="H9796" t="s">
        <v>25249</v>
      </c>
    </row>
    <row r="9797" spans="8:8">
      <c r="H9797" t="s">
        <v>25250</v>
      </c>
    </row>
    <row r="9798" spans="8:8">
      <c r="H9798" t="s">
        <v>25251</v>
      </c>
    </row>
    <row r="9799" spans="8:8">
      <c r="H9799" t="s">
        <v>25252</v>
      </c>
    </row>
    <row r="9800" spans="8:8">
      <c r="H9800" t="s">
        <v>25253</v>
      </c>
    </row>
    <row r="9801" spans="8:8">
      <c r="H9801" t="s">
        <v>25254</v>
      </c>
    </row>
    <row r="9802" spans="8:8">
      <c r="H9802" t="s">
        <v>25255</v>
      </c>
    </row>
    <row r="9803" spans="8:8">
      <c r="H9803" t="s">
        <v>25256</v>
      </c>
    </row>
    <row r="9804" spans="8:8">
      <c r="H9804" t="s">
        <v>25257</v>
      </c>
    </row>
    <row r="9805" spans="8:8">
      <c r="H9805" t="s">
        <v>25258</v>
      </c>
    </row>
    <row r="9806" spans="8:8">
      <c r="H9806" t="s">
        <v>25259</v>
      </c>
    </row>
    <row r="9807" spans="8:8">
      <c r="H9807" t="s">
        <v>25260</v>
      </c>
    </row>
    <row r="9808" spans="8:8">
      <c r="H9808" t="s">
        <v>25261</v>
      </c>
    </row>
    <row r="9809" spans="8:8">
      <c r="H9809" t="s">
        <v>25262</v>
      </c>
    </row>
    <row r="9810" spans="8:8">
      <c r="H9810" t="s">
        <v>25263</v>
      </c>
    </row>
    <row r="9811" spans="8:8">
      <c r="H9811" t="s">
        <v>25264</v>
      </c>
    </row>
    <row r="9812" spans="8:8">
      <c r="H9812" t="s">
        <v>25265</v>
      </c>
    </row>
    <row r="9813" spans="8:8">
      <c r="H9813" t="s">
        <v>25266</v>
      </c>
    </row>
    <row r="9814" spans="8:8">
      <c r="H9814" t="s">
        <v>25267</v>
      </c>
    </row>
    <row r="9815" spans="8:8">
      <c r="H9815" t="s">
        <v>25268</v>
      </c>
    </row>
    <row r="9816" spans="8:8">
      <c r="H9816" t="s">
        <v>25269</v>
      </c>
    </row>
    <row r="9817" spans="8:8">
      <c r="H9817" t="s">
        <v>25270</v>
      </c>
    </row>
    <row r="9818" spans="8:8">
      <c r="H9818" t="s">
        <v>25271</v>
      </c>
    </row>
    <row r="9819" spans="8:8">
      <c r="H9819" t="s">
        <v>25272</v>
      </c>
    </row>
    <row r="9820" spans="8:8">
      <c r="H9820" t="s">
        <v>25273</v>
      </c>
    </row>
    <row r="9821" spans="8:8">
      <c r="H9821" t="s">
        <v>25274</v>
      </c>
    </row>
    <row r="9822" spans="8:8">
      <c r="H9822" t="s">
        <v>25275</v>
      </c>
    </row>
    <row r="9823" spans="8:8">
      <c r="H9823" t="s">
        <v>25276</v>
      </c>
    </row>
    <row r="9824" spans="8:8">
      <c r="H9824" t="s">
        <v>25277</v>
      </c>
    </row>
    <row r="9825" spans="8:8">
      <c r="H9825" t="s">
        <v>25278</v>
      </c>
    </row>
    <row r="9826" spans="8:8">
      <c r="H9826" t="s">
        <v>25279</v>
      </c>
    </row>
    <row r="9827" spans="8:8">
      <c r="H9827" t="s">
        <v>25280</v>
      </c>
    </row>
    <row r="9828" spans="8:8">
      <c r="H9828" t="s">
        <v>25281</v>
      </c>
    </row>
    <row r="9829" spans="8:8">
      <c r="H9829" t="s">
        <v>25282</v>
      </c>
    </row>
    <row r="9830" spans="8:8">
      <c r="H9830" t="s">
        <v>25283</v>
      </c>
    </row>
    <row r="9831" spans="8:8">
      <c r="H9831" t="s">
        <v>25284</v>
      </c>
    </row>
    <row r="9832" spans="8:8">
      <c r="H9832" t="s">
        <v>25285</v>
      </c>
    </row>
    <row r="9833" spans="8:8">
      <c r="H9833" t="s">
        <v>25286</v>
      </c>
    </row>
    <row r="9834" spans="8:8">
      <c r="H9834" t="s">
        <v>25287</v>
      </c>
    </row>
    <row r="9835" spans="8:8">
      <c r="H9835" t="s">
        <v>25288</v>
      </c>
    </row>
    <row r="9836" spans="8:8">
      <c r="H9836" t="s">
        <v>25289</v>
      </c>
    </row>
    <row r="9837" spans="8:8">
      <c r="H9837" t="s">
        <v>25290</v>
      </c>
    </row>
    <row r="9838" spans="8:8">
      <c r="H9838" t="s">
        <v>25291</v>
      </c>
    </row>
    <row r="9839" spans="8:8">
      <c r="H9839" t="s">
        <v>25292</v>
      </c>
    </row>
    <row r="9840" spans="8:8">
      <c r="H9840" t="s">
        <v>25293</v>
      </c>
    </row>
    <row r="9841" spans="8:8">
      <c r="H9841" t="s">
        <v>25294</v>
      </c>
    </row>
    <row r="9842" spans="8:8">
      <c r="H9842" t="s">
        <v>25295</v>
      </c>
    </row>
    <row r="9843" spans="8:8">
      <c r="H9843" t="s">
        <v>25296</v>
      </c>
    </row>
    <row r="9844" spans="8:8">
      <c r="H9844" t="s">
        <v>25297</v>
      </c>
    </row>
    <row r="9845" spans="8:8">
      <c r="H9845" t="s">
        <v>25298</v>
      </c>
    </row>
    <row r="9846" spans="8:8">
      <c r="H9846" t="s">
        <v>25299</v>
      </c>
    </row>
    <row r="9847" spans="8:8">
      <c r="H9847" t="s">
        <v>25300</v>
      </c>
    </row>
    <row r="9848" spans="8:8">
      <c r="H9848" t="s">
        <v>25301</v>
      </c>
    </row>
    <row r="9849" spans="8:8">
      <c r="H9849" t="s">
        <v>25302</v>
      </c>
    </row>
    <row r="9850" spans="8:8">
      <c r="H9850" t="s">
        <v>25303</v>
      </c>
    </row>
    <row r="9851" spans="8:8">
      <c r="H9851" t="s">
        <v>25304</v>
      </c>
    </row>
    <row r="9852" spans="8:8">
      <c r="H9852" t="s">
        <v>25305</v>
      </c>
    </row>
    <row r="9853" spans="8:8">
      <c r="H9853" t="s">
        <v>25306</v>
      </c>
    </row>
    <row r="9854" spans="8:8">
      <c r="H9854" t="s">
        <v>25307</v>
      </c>
    </row>
    <row r="9855" spans="8:8">
      <c r="H9855" t="s">
        <v>25308</v>
      </c>
    </row>
    <row r="9856" spans="8:8">
      <c r="H9856" t="s">
        <v>25309</v>
      </c>
    </row>
    <row r="9857" spans="8:8">
      <c r="H9857" t="s">
        <v>25310</v>
      </c>
    </row>
    <row r="9858" spans="8:8">
      <c r="H9858" t="s">
        <v>25311</v>
      </c>
    </row>
    <row r="9859" spans="8:8">
      <c r="H9859" t="s">
        <v>25312</v>
      </c>
    </row>
    <row r="9860" spans="8:8">
      <c r="H9860" t="s">
        <v>25313</v>
      </c>
    </row>
    <row r="9861" spans="8:8">
      <c r="H9861" t="s">
        <v>25314</v>
      </c>
    </row>
    <row r="9862" spans="8:8">
      <c r="H9862" t="s">
        <v>25315</v>
      </c>
    </row>
    <row r="9863" spans="8:8">
      <c r="H9863" t="s">
        <v>25316</v>
      </c>
    </row>
    <row r="9864" spans="8:8">
      <c r="H9864" t="s">
        <v>25317</v>
      </c>
    </row>
    <row r="9865" spans="8:8">
      <c r="H9865" t="s">
        <v>25318</v>
      </c>
    </row>
    <row r="9866" spans="8:8">
      <c r="H9866" t="s">
        <v>25319</v>
      </c>
    </row>
    <row r="9867" spans="8:8">
      <c r="H9867" t="s">
        <v>25320</v>
      </c>
    </row>
    <row r="9868" spans="8:8">
      <c r="H9868" t="s">
        <v>25321</v>
      </c>
    </row>
    <row r="9869" spans="8:8">
      <c r="H9869" t="s">
        <v>25322</v>
      </c>
    </row>
    <row r="9870" spans="8:8">
      <c r="H9870" t="s">
        <v>25323</v>
      </c>
    </row>
    <row r="9871" spans="8:8">
      <c r="H9871" t="s">
        <v>25324</v>
      </c>
    </row>
    <row r="9872" spans="8:8">
      <c r="H9872" t="s">
        <v>25325</v>
      </c>
    </row>
    <row r="9873" spans="8:8">
      <c r="H9873" t="s">
        <v>25326</v>
      </c>
    </row>
    <row r="9874" spans="8:8">
      <c r="H9874" t="s">
        <v>25327</v>
      </c>
    </row>
    <row r="9875" spans="8:8">
      <c r="H9875" t="s">
        <v>25328</v>
      </c>
    </row>
    <row r="9876" spans="8:8">
      <c r="H9876" t="s">
        <v>25329</v>
      </c>
    </row>
    <row r="9877" spans="8:8">
      <c r="H9877" t="s">
        <v>25330</v>
      </c>
    </row>
    <row r="9878" spans="8:8">
      <c r="H9878" t="s">
        <v>25331</v>
      </c>
    </row>
    <row r="9879" spans="8:8">
      <c r="H9879" t="s">
        <v>25332</v>
      </c>
    </row>
    <row r="9880" spans="8:8">
      <c r="H9880" t="s">
        <v>25333</v>
      </c>
    </row>
    <row r="9881" spans="8:8">
      <c r="H9881" t="s">
        <v>25334</v>
      </c>
    </row>
    <row r="9882" spans="8:8">
      <c r="H9882" t="s">
        <v>25335</v>
      </c>
    </row>
    <row r="9883" spans="8:8">
      <c r="H9883" t="s">
        <v>25336</v>
      </c>
    </row>
    <row r="9884" spans="8:8">
      <c r="H9884" t="s">
        <v>25337</v>
      </c>
    </row>
    <row r="9885" spans="8:8">
      <c r="H9885" t="s">
        <v>25338</v>
      </c>
    </row>
    <row r="9886" spans="8:8">
      <c r="H9886" t="s">
        <v>25339</v>
      </c>
    </row>
    <row r="9887" spans="8:8">
      <c r="H9887" t="s">
        <v>25340</v>
      </c>
    </row>
    <row r="9888" spans="8:8">
      <c r="H9888" t="s">
        <v>25341</v>
      </c>
    </row>
    <row r="9889" spans="8:8">
      <c r="H9889" t="s">
        <v>25342</v>
      </c>
    </row>
    <row r="9890" spans="8:8">
      <c r="H9890" t="s">
        <v>25343</v>
      </c>
    </row>
    <row r="9891" spans="8:8">
      <c r="H9891" t="s">
        <v>25344</v>
      </c>
    </row>
    <row r="9892" spans="8:8">
      <c r="H9892" t="s">
        <v>25345</v>
      </c>
    </row>
    <row r="9893" spans="8:8">
      <c r="H9893" t="s">
        <v>25346</v>
      </c>
    </row>
    <row r="9894" spans="8:8">
      <c r="H9894" t="s">
        <v>25347</v>
      </c>
    </row>
    <row r="9895" spans="8:8">
      <c r="H9895" t="s">
        <v>25348</v>
      </c>
    </row>
    <row r="9896" spans="8:8">
      <c r="H9896" t="s">
        <v>25349</v>
      </c>
    </row>
    <row r="9897" spans="8:8">
      <c r="H9897" t="s">
        <v>25350</v>
      </c>
    </row>
    <row r="9898" spans="8:8">
      <c r="H9898" t="s">
        <v>25351</v>
      </c>
    </row>
    <row r="9899" spans="8:8">
      <c r="H9899" t="s">
        <v>25352</v>
      </c>
    </row>
    <row r="9900" spans="8:8">
      <c r="H9900" t="s">
        <v>25353</v>
      </c>
    </row>
    <row r="9901" spans="8:8">
      <c r="H9901" t="s">
        <v>25354</v>
      </c>
    </row>
    <row r="9902" spans="8:8">
      <c r="H9902" t="s">
        <v>25355</v>
      </c>
    </row>
    <row r="9903" spans="8:8">
      <c r="H9903" t="s">
        <v>25356</v>
      </c>
    </row>
    <row r="9904" spans="8:8">
      <c r="H9904" t="s">
        <v>25357</v>
      </c>
    </row>
    <row r="9905" spans="8:8">
      <c r="H9905" t="s">
        <v>25358</v>
      </c>
    </row>
    <row r="9906" spans="8:8">
      <c r="H9906" t="s">
        <v>25359</v>
      </c>
    </row>
    <row r="9907" spans="8:8">
      <c r="H9907" t="s">
        <v>25360</v>
      </c>
    </row>
    <row r="9908" spans="8:8">
      <c r="H9908" t="s">
        <v>25361</v>
      </c>
    </row>
    <row r="9909" spans="8:8">
      <c r="H9909" t="s">
        <v>25362</v>
      </c>
    </row>
    <row r="9910" spans="8:8">
      <c r="H9910" t="s">
        <v>25363</v>
      </c>
    </row>
    <row r="9911" spans="8:8">
      <c r="H9911" t="s">
        <v>25364</v>
      </c>
    </row>
    <row r="9912" spans="8:8">
      <c r="H9912" t="s">
        <v>25365</v>
      </c>
    </row>
    <row r="9913" spans="8:8">
      <c r="H9913" t="s">
        <v>25366</v>
      </c>
    </row>
    <row r="9914" spans="8:8">
      <c r="H9914" t="s">
        <v>25367</v>
      </c>
    </row>
    <row r="9915" spans="8:8">
      <c r="H9915" t="s">
        <v>25368</v>
      </c>
    </row>
    <row r="9916" spans="8:8">
      <c r="H9916" t="s">
        <v>25369</v>
      </c>
    </row>
    <row r="9917" spans="8:8">
      <c r="H9917" t="s">
        <v>25370</v>
      </c>
    </row>
    <row r="9918" spans="8:8">
      <c r="H9918" t="s">
        <v>25371</v>
      </c>
    </row>
    <row r="9919" spans="8:8">
      <c r="H9919" t="s">
        <v>25372</v>
      </c>
    </row>
    <row r="9920" spans="8:8">
      <c r="H9920" t="s">
        <v>25373</v>
      </c>
    </row>
    <row r="9921" spans="8:8">
      <c r="H9921" t="s">
        <v>25374</v>
      </c>
    </row>
    <row r="9922" spans="8:8">
      <c r="H9922" t="s">
        <v>25375</v>
      </c>
    </row>
    <row r="9923" spans="8:8">
      <c r="H9923" t="s">
        <v>25376</v>
      </c>
    </row>
    <row r="9924" spans="8:8">
      <c r="H9924" t="s">
        <v>25377</v>
      </c>
    </row>
    <row r="9925" spans="8:8">
      <c r="H9925" t="s">
        <v>25378</v>
      </c>
    </row>
    <row r="9926" spans="8:8">
      <c r="H9926" t="s">
        <v>25379</v>
      </c>
    </row>
    <row r="9927" spans="8:8">
      <c r="H9927" t="s">
        <v>25380</v>
      </c>
    </row>
    <row r="9928" spans="8:8">
      <c r="H9928" t="s">
        <v>25381</v>
      </c>
    </row>
    <row r="9929" spans="8:8">
      <c r="H9929" t="s">
        <v>25382</v>
      </c>
    </row>
    <row r="9930" spans="8:8">
      <c r="H9930" t="s">
        <v>25383</v>
      </c>
    </row>
    <row r="9931" spans="8:8">
      <c r="H9931" t="s">
        <v>25384</v>
      </c>
    </row>
    <row r="9932" spans="8:8">
      <c r="H9932" t="s">
        <v>25385</v>
      </c>
    </row>
    <row r="9933" spans="8:8">
      <c r="H9933" t="s">
        <v>25386</v>
      </c>
    </row>
    <row r="9934" spans="8:8">
      <c r="H9934" t="s">
        <v>25387</v>
      </c>
    </row>
    <row r="9935" spans="8:8">
      <c r="H9935" t="s">
        <v>25388</v>
      </c>
    </row>
    <row r="9936" spans="8:8">
      <c r="H9936" t="s">
        <v>25389</v>
      </c>
    </row>
    <row r="9937" spans="8:8">
      <c r="H9937" t="s">
        <v>25390</v>
      </c>
    </row>
    <row r="9938" spans="8:8">
      <c r="H9938" t="s">
        <v>25391</v>
      </c>
    </row>
    <row r="9939" spans="8:8">
      <c r="H9939" t="s">
        <v>25392</v>
      </c>
    </row>
    <row r="9940" spans="8:8">
      <c r="H9940" t="s">
        <v>25393</v>
      </c>
    </row>
    <row r="9941" spans="8:8">
      <c r="H9941" t="s">
        <v>25394</v>
      </c>
    </row>
    <row r="9942" spans="8:8">
      <c r="H9942" t="s">
        <v>25395</v>
      </c>
    </row>
    <row r="9943" spans="8:8">
      <c r="H9943" t="s">
        <v>25396</v>
      </c>
    </row>
    <row r="9944" spans="8:8">
      <c r="H9944" t="s">
        <v>25397</v>
      </c>
    </row>
    <row r="9945" spans="8:8">
      <c r="H9945" t="s">
        <v>25398</v>
      </c>
    </row>
    <row r="9946" spans="8:8">
      <c r="H9946" t="s">
        <v>25399</v>
      </c>
    </row>
    <row r="9947" spans="8:8">
      <c r="H9947" t="s">
        <v>25400</v>
      </c>
    </row>
    <row r="9948" spans="8:8">
      <c r="H9948" t="s">
        <v>25401</v>
      </c>
    </row>
    <row r="9949" spans="8:8">
      <c r="H9949" t="s">
        <v>25402</v>
      </c>
    </row>
    <row r="9950" spans="8:8">
      <c r="H9950" t="s">
        <v>25403</v>
      </c>
    </row>
    <row r="9951" spans="8:8">
      <c r="H9951" t="s">
        <v>25404</v>
      </c>
    </row>
    <row r="9952" spans="8:8">
      <c r="H9952" t="s">
        <v>25405</v>
      </c>
    </row>
    <row r="9953" spans="8:8">
      <c r="H9953" t="s">
        <v>25406</v>
      </c>
    </row>
    <row r="9954" spans="8:8">
      <c r="H9954" t="s">
        <v>25407</v>
      </c>
    </row>
    <row r="9955" spans="8:8">
      <c r="H9955" t="s">
        <v>25408</v>
      </c>
    </row>
    <row r="9956" spans="8:8">
      <c r="H9956" t="s">
        <v>25409</v>
      </c>
    </row>
    <row r="9957" spans="8:8">
      <c r="H9957" t="s">
        <v>25410</v>
      </c>
    </row>
    <row r="9958" spans="8:8">
      <c r="H9958" t="s">
        <v>25411</v>
      </c>
    </row>
    <row r="9959" spans="8:8">
      <c r="H9959" t="s">
        <v>25412</v>
      </c>
    </row>
    <row r="9960" spans="8:8">
      <c r="H9960" t="s">
        <v>25413</v>
      </c>
    </row>
    <row r="9961" spans="8:8">
      <c r="H9961" t="s">
        <v>25414</v>
      </c>
    </row>
    <row r="9962" spans="8:8">
      <c r="H9962" t="s">
        <v>25415</v>
      </c>
    </row>
    <row r="9963" spans="8:8">
      <c r="H9963" t="s">
        <v>25416</v>
      </c>
    </row>
    <row r="9964" spans="8:8">
      <c r="H9964" t="s">
        <v>25417</v>
      </c>
    </row>
    <row r="9965" spans="8:8">
      <c r="H9965" t="s">
        <v>25418</v>
      </c>
    </row>
    <row r="9966" spans="8:8">
      <c r="H9966" t="s">
        <v>25419</v>
      </c>
    </row>
    <row r="9967" spans="8:8">
      <c r="H9967" t="s">
        <v>25420</v>
      </c>
    </row>
    <row r="9968" spans="8:8">
      <c r="H9968" t="s">
        <v>25421</v>
      </c>
    </row>
    <row r="9969" spans="8:8">
      <c r="H9969" t="s">
        <v>25422</v>
      </c>
    </row>
    <row r="9970" spans="8:8">
      <c r="H9970" t="s">
        <v>25423</v>
      </c>
    </row>
    <row r="9971" spans="8:8">
      <c r="H9971" t="s">
        <v>25424</v>
      </c>
    </row>
    <row r="9972" spans="8:8">
      <c r="H9972" t="s">
        <v>25425</v>
      </c>
    </row>
    <row r="9973" spans="8:8">
      <c r="H9973" t="s">
        <v>25426</v>
      </c>
    </row>
    <row r="9974" spans="8:8">
      <c r="H9974" t="s">
        <v>25427</v>
      </c>
    </row>
    <row r="9975" spans="8:8">
      <c r="H9975" t="s">
        <v>25428</v>
      </c>
    </row>
    <row r="9976" spans="8:8">
      <c r="H9976" t="s">
        <v>25429</v>
      </c>
    </row>
    <row r="9977" spans="8:8">
      <c r="H9977" t="s">
        <v>25430</v>
      </c>
    </row>
    <row r="9978" spans="8:8">
      <c r="H9978" t="s">
        <v>25431</v>
      </c>
    </row>
    <row r="9979" spans="8:8">
      <c r="H9979" t="s">
        <v>25432</v>
      </c>
    </row>
    <row r="9980" spans="8:8">
      <c r="H9980" t="s">
        <v>25433</v>
      </c>
    </row>
    <row r="9981" spans="8:8">
      <c r="H9981" t="s">
        <v>25434</v>
      </c>
    </row>
    <row r="9982" spans="8:8">
      <c r="H9982" t="s">
        <v>25435</v>
      </c>
    </row>
    <row r="9983" spans="8:8">
      <c r="H9983" t="s">
        <v>25436</v>
      </c>
    </row>
    <row r="9984" spans="8:8">
      <c r="H9984" t="s">
        <v>25437</v>
      </c>
    </row>
    <row r="9985" spans="8:8">
      <c r="H9985" t="s">
        <v>25438</v>
      </c>
    </row>
    <row r="9986" spans="8:8">
      <c r="H9986" t="s">
        <v>25439</v>
      </c>
    </row>
    <row r="9987" spans="8:8">
      <c r="H9987" t="s">
        <v>25440</v>
      </c>
    </row>
    <row r="9988" spans="8:8">
      <c r="H9988" t="s">
        <v>25441</v>
      </c>
    </row>
    <row r="9989" spans="8:8">
      <c r="H9989" t="s">
        <v>25442</v>
      </c>
    </row>
    <row r="9990" spans="8:8">
      <c r="H9990" t="s">
        <v>25443</v>
      </c>
    </row>
    <row r="9991" spans="8:8">
      <c r="H9991" t="s">
        <v>25444</v>
      </c>
    </row>
    <row r="9992" spans="8:8">
      <c r="H9992" t="s">
        <v>25445</v>
      </c>
    </row>
    <row r="9993" spans="8:8">
      <c r="H9993" t="s">
        <v>25446</v>
      </c>
    </row>
    <row r="9994" spans="8:8">
      <c r="H9994" t="s">
        <v>25447</v>
      </c>
    </row>
    <row r="9995" spans="8:8">
      <c r="H9995" t="s">
        <v>25448</v>
      </c>
    </row>
    <row r="9996" spans="8:8">
      <c r="H9996" t="s">
        <v>25449</v>
      </c>
    </row>
    <row r="9997" spans="8:8">
      <c r="H9997" t="s">
        <v>25450</v>
      </c>
    </row>
    <row r="9998" spans="8:8">
      <c r="H9998" t="s">
        <v>25451</v>
      </c>
    </row>
    <row r="9999" spans="8:8">
      <c r="H9999" t="s">
        <v>25452</v>
      </c>
    </row>
    <row r="10000" spans="8:8">
      <c r="H10000" t="s">
        <v>25453</v>
      </c>
    </row>
    <row r="10001" spans="1:8">
      <c r="H10001" t="s">
        <v>25454</v>
      </c>
    </row>
    <row r="10002" spans="1:8">
      <c r="H10002" t="s">
        <v>25455</v>
      </c>
    </row>
    <row r="10003" spans="1:8">
      <c r="H10003" t="s">
        <v>25456</v>
      </c>
    </row>
    <row r="10004" spans="1:8">
      <c r="H10004" t="s">
        <v>25457</v>
      </c>
    </row>
    <row r="10005" spans="1:8">
      <c r="H10005" t="s">
        <v>25458</v>
      </c>
    </row>
    <row r="10006" spans="1:8">
      <c r="H10006" t="s">
        <v>25459</v>
      </c>
    </row>
    <row r="10007" spans="1:8">
      <c r="H10007" t="s">
        <v>25460</v>
      </c>
    </row>
    <row r="10008" spans="1:8">
      <c r="H10008" t="s">
        <v>25461</v>
      </c>
    </row>
    <row r="10009" spans="1:8">
      <c r="A10009" t="s">
        <v>753</v>
      </c>
      <c r="B10009">
        <f>HYPERLINK("https://android.googlesource.com/platform/cts/+/91611e14f0e94c819be7490997c2ee15da62b609", "91611e14f0e94c819be7490997c2ee15da62b609")</f>
        <v>0</v>
      </c>
      <c r="C10009">
        <f>HYPERLINK("https://android.googlesource.com/platform/cts/+/6f810d464adad59709687428546b53a7784b92ec", "6f810d464adad59709687428546b53a7784b92ec")</f>
        <v>0</v>
      </c>
      <c r="D10009" t="s">
        <v>5083</v>
      </c>
      <c r="E10009" t="s">
        <v>6536</v>
      </c>
      <c r="F10009" t="s">
        <v>12419</v>
      </c>
      <c r="G10009" t="s">
        <v>16641</v>
      </c>
      <c r="H10009" t="s">
        <v>25466</v>
      </c>
    </row>
    <row r="10010" spans="1:8">
      <c r="A10010" t="s">
        <v>763</v>
      </c>
      <c r="B10010">
        <f>HYPERLINK("https://android.googlesource.com/platform/cts/+/76f0d6d67fa01d4d0355fdab09429f7363c95c88", "76f0d6d67fa01d4d0355fdab09429f7363c95c88")</f>
        <v>0</v>
      </c>
      <c r="C10010">
        <f>HYPERLINK("https://android.googlesource.com/platform/cts/+/f1210482f999d58dc442d8d0717b3dfee4fcd386", "f1210482f999d58dc442d8d0717b3dfee4fcd386")</f>
        <v>0</v>
      </c>
      <c r="D10010" t="s">
        <v>5002</v>
      </c>
      <c r="E10010" t="s">
        <v>6545</v>
      </c>
      <c r="F10010" t="s">
        <v>12615</v>
      </c>
      <c r="G10010" t="s">
        <v>16826</v>
      </c>
      <c r="H10010" t="s">
        <v>25477</v>
      </c>
    </row>
    <row r="10011" spans="1:8">
      <c r="A10011" t="s">
        <v>768</v>
      </c>
      <c r="B10011">
        <f>HYPERLINK("https://android.googlesource.com/platform/cts/+/fbdb8cba50e12f2c4a55ddde3dfb77262233b28d", "fbdb8cba50e12f2c4a55ddde3dfb77262233b28d")</f>
        <v>0</v>
      </c>
      <c r="C10011">
        <f>HYPERLINK("https://android.googlesource.com/platform/cts/+/3364cf1e0a6beaf89067a654ffc3745af31c6acd", "3364cf1e0a6beaf89067a654ffc3745af31c6acd")</f>
        <v>0</v>
      </c>
      <c r="D10011" t="s">
        <v>5026</v>
      </c>
      <c r="E10011" t="s">
        <v>6550</v>
      </c>
      <c r="F10011" t="s">
        <v>12616</v>
      </c>
      <c r="G10011" t="s">
        <v>16827</v>
      </c>
      <c r="H10011" t="s">
        <v>25487</v>
      </c>
    </row>
    <row r="10012" spans="1:8">
      <c r="A10012" t="s">
        <v>772</v>
      </c>
      <c r="B10012">
        <f>HYPERLINK("https://android.googlesource.com/platform/cts/+/5ae19e157ee023aa6ed2af8bb88e3dafb30efd27", "5ae19e157ee023aa6ed2af8bb88e3dafb30efd27")</f>
        <v>0</v>
      </c>
      <c r="C10012">
        <f>HYPERLINK("https://android.googlesource.com/platform/cts/+/d4f6589de0cd5a2bf21bcfdbedd40ad90c2de41e", "d4f6589de0cd5a2bf21bcfdbedd40ad90c2de41e")</f>
        <v>0</v>
      </c>
      <c r="D10012" t="s">
        <v>5002</v>
      </c>
      <c r="E10012" t="s">
        <v>6554</v>
      </c>
      <c r="F10012" t="s">
        <v>12620</v>
      </c>
      <c r="G10012" t="s">
        <v>16830</v>
      </c>
      <c r="H10012" t="s">
        <v>25498</v>
      </c>
    </row>
    <row r="10013" spans="1:8">
      <c r="H10013" t="s">
        <v>25499</v>
      </c>
    </row>
    <row r="10014" spans="1:8">
      <c r="A10014" t="s">
        <v>777</v>
      </c>
      <c r="B10014">
        <f>HYPERLINK("https://android.googlesource.com/platform/cts/+/0f50331cee4e3974ebfb3fafabe4a0ee545b5087", "0f50331cee4e3974ebfb3fafabe4a0ee545b5087")</f>
        <v>0</v>
      </c>
      <c r="C10014">
        <f>HYPERLINK("https://android.googlesource.com/platform/cts/+/9ec8a506b394d983d9b68bd2fb8c37e2abeb4a5c", "9ec8a506b394d983d9b68bd2fb8c37e2abeb4a5c")</f>
        <v>0</v>
      </c>
      <c r="D10014" t="s">
        <v>5091</v>
      </c>
      <c r="E10014" t="s">
        <v>6559</v>
      </c>
      <c r="F10014" t="s">
        <v>12370</v>
      </c>
      <c r="G10014" t="s">
        <v>16597</v>
      </c>
      <c r="H10014" t="s">
        <v>25515</v>
      </c>
    </row>
    <row r="10015" spans="1:8">
      <c r="A10015" t="s">
        <v>781</v>
      </c>
      <c r="B10015">
        <f>HYPERLINK("https://android.googlesource.com/platform/cts/+/82396dfe4a8743748207c380ebf4a08cd9bebe29", "82396dfe4a8743748207c380ebf4a08cd9bebe29")</f>
        <v>0</v>
      </c>
      <c r="C10015">
        <f>HYPERLINK("https://android.googlesource.com/platform/cts/+/42d6f25df59b1790bcdae68ecb3b9ff90ff32c9e", "42d6f25df59b1790bcdae68ecb3b9ff90ff32c9e")</f>
        <v>0</v>
      </c>
      <c r="D10015" t="s">
        <v>4949</v>
      </c>
      <c r="E10015" t="s">
        <v>6563</v>
      </c>
      <c r="F10015" t="s">
        <v>10624</v>
      </c>
      <c r="G10015" t="s">
        <v>15027</v>
      </c>
      <c r="H10015" t="s">
        <v>25527</v>
      </c>
    </row>
    <row r="10016" spans="1:8">
      <c r="H10016" t="s">
        <v>25528</v>
      </c>
    </row>
    <row r="10017" spans="1:8">
      <c r="H10017" t="s">
        <v>25529</v>
      </c>
    </row>
    <row r="10018" spans="1:8">
      <c r="H10018" t="s">
        <v>25530</v>
      </c>
    </row>
    <row r="10019" spans="1:8">
      <c r="A10019" t="s">
        <v>782</v>
      </c>
      <c r="B10019">
        <f>HYPERLINK("https://android.googlesource.com/platform/cts/+/0c456de8db8f4f357369a3bffae46cc259a20f7d", "0c456de8db8f4f357369a3bffae46cc259a20f7d")</f>
        <v>0</v>
      </c>
      <c r="C10019">
        <f>HYPERLINK("https://android.googlesource.com/platform/cts/+/605cfcf37b2f3e5572d491f72644741a7e2bd18d", "605cfcf37b2f3e5572d491f72644741a7e2bd18d")</f>
        <v>0</v>
      </c>
      <c r="D10019" t="s">
        <v>5092</v>
      </c>
      <c r="E10019" t="s">
        <v>6564</v>
      </c>
      <c r="F10019" t="s">
        <v>10687</v>
      </c>
      <c r="G10019" t="s">
        <v>15087</v>
      </c>
      <c r="H10019" t="s">
        <v>25531</v>
      </c>
    </row>
    <row r="10020" spans="1:8">
      <c r="A10020" t="s">
        <v>783</v>
      </c>
      <c r="B10020">
        <f>HYPERLINK("https://android.googlesource.com/platform/cts/+/237718628c30e3ec499cecffe63fb9994afe8121", "237718628c30e3ec499cecffe63fb9994afe8121")</f>
        <v>0</v>
      </c>
      <c r="C10020">
        <f>HYPERLINK("https://android.googlesource.com/platform/cts/+/3870203c78f8c4f9c55ba0b675d52eea9880aceb", "3870203c78f8c4f9c55ba0b675d52eea9880aceb")</f>
        <v>0</v>
      </c>
      <c r="D10020" t="s">
        <v>5093</v>
      </c>
      <c r="E10020" t="s">
        <v>6565</v>
      </c>
      <c r="F10020" t="s">
        <v>12625</v>
      </c>
      <c r="G10020" t="s">
        <v>16835</v>
      </c>
      <c r="H10020" t="s">
        <v>25532</v>
      </c>
    </row>
    <row r="10021" spans="1:8">
      <c r="H10021" t="s">
        <v>25533</v>
      </c>
    </row>
    <row r="10022" spans="1:8">
      <c r="H10022" t="s">
        <v>25534</v>
      </c>
    </row>
    <row r="10023" spans="1:8">
      <c r="A10023" t="s">
        <v>785</v>
      </c>
      <c r="B10023">
        <f>HYPERLINK("https://android.googlesource.com/platform/cts/+/4bd0ad8697cb789d227561b861c1176908de122d", "4bd0ad8697cb789d227561b861c1176908de122d")</f>
        <v>0</v>
      </c>
      <c r="C10023">
        <f>HYPERLINK("https://android.googlesource.com/platform/cts/+/d20715e02e83b45ecef83279de6a5ab321fad79b", "d20715e02e83b45ecef83279de6a5ab321fad79b")</f>
        <v>0</v>
      </c>
      <c r="D10023" t="s">
        <v>4949</v>
      </c>
      <c r="E10023" t="s">
        <v>6567</v>
      </c>
      <c r="F10023" t="s">
        <v>12627</v>
      </c>
      <c r="G10023" t="s">
        <v>16417</v>
      </c>
      <c r="H10023" t="s">
        <v>25541</v>
      </c>
    </row>
    <row r="10024" spans="1:8">
      <c r="H10024" t="s">
        <v>25542</v>
      </c>
    </row>
    <row r="10025" spans="1:8">
      <c r="H10025" t="s">
        <v>25543</v>
      </c>
    </row>
    <row r="10026" spans="1:8">
      <c r="H10026" t="s">
        <v>25544</v>
      </c>
    </row>
    <row r="10027" spans="1:8">
      <c r="H10027" t="s">
        <v>25545</v>
      </c>
    </row>
    <row r="10028" spans="1:8">
      <c r="H10028" t="s">
        <v>25546</v>
      </c>
    </row>
    <row r="10029" spans="1:8">
      <c r="H10029" t="s">
        <v>25547</v>
      </c>
    </row>
    <row r="10030" spans="1:8">
      <c r="H10030" t="s">
        <v>25548</v>
      </c>
    </row>
    <row r="10031" spans="1:8">
      <c r="H10031" t="s">
        <v>25551</v>
      </c>
    </row>
    <row r="10032" spans="1:8">
      <c r="H10032" t="s">
        <v>25552</v>
      </c>
    </row>
    <row r="10033" spans="1:8">
      <c r="A10033" t="s">
        <v>787</v>
      </c>
      <c r="B10033">
        <f>HYPERLINK("https://android.googlesource.com/platform/cts/+/b568bfcab520d1129c314481aef2c1fb37d6ea10", "b568bfcab520d1129c314481aef2c1fb37d6ea10")</f>
        <v>0</v>
      </c>
      <c r="C10033">
        <f>HYPERLINK("https://android.googlesource.com/platform/cts/+/5f3dfe8a0fbffea5f935d0378daf3f55df1a5ade", "5f3dfe8a0fbffea5f935d0378daf3f55df1a5ade")</f>
        <v>0</v>
      </c>
      <c r="D10033" t="s">
        <v>5077</v>
      </c>
      <c r="E10033" t="s">
        <v>6569</v>
      </c>
      <c r="F10033" t="s">
        <v>12223</v>
      </c>
      <c r="G10033" t="s">
        <v>16453</v>
      </c>
      <c r="H10033" t="s">
        <v>25554</v>
      </c>
    </row>
    <row r="10034" spans="1:8">
      <c r="H10034" t="s">
        <v>25557</v>
      </c>
    </row>
    <row r="10035" spans="1:8">
      <c r="H10035" t="s">
        <v>25558</v>
      </c>
    </row>
    <row r="10036" spans="1:8">
      <c r="H10036" t="s">
        <v>25559</v>
      </c>
    </row>
    <row r="10037" spans="1:8">
      <c r="H10037" t="s">
        <v>25560</v>
      </c>
    </row>
    <row r="10038" spans="1:8">
      <c r="H10038" t="s">
        <v>25561</v>
      </c>
    </row>
    <row r="10039" spans="1:8">
      <c r="H10039" t="s">
        <v>25562</v>
      </c>
    </row>
    <row r="10040" spans="1:8">
      <c r="A10040" t="s">
        <v>788</v>
      </c>
      <c r="B10040">
        <f>HYPERLINK("https://android.googlesource.com/platform/cts/+/032503cf437400f0371ebc5775104cec9e67ec15", "032503cf437400f0371ebc5775104cec9e67ec15")</f>
        <v>0</v>
      </c>
      <c r="C10040">
        <f>HYPERLINK("https://android.googlesource.com/platform/cts/+/5742d8c67eb1ec5ccdc06ff74d14ecd6ad173fd0", "5742d8c67eb1ec5ccdc06ff74d14ecd6ad173fd0")</f>
        <v>0</v>
      </c>
      <c r="D10040" t="s">
        <v>5069</v>
      </c>
      <c r="E10040" t="s">
        <v>6570</v>
      </c>
      <c r="F10040" t="s">
        <v>10794</v>
      </c>
      <c r="G10040" t="s">
        <v>15189</v>
      </c>
      <c r="H10040" t="s">
        <v>25566</v>
      </c>
    </row>
    <row r="10041" spans="1:8">
      <c r="A10041" t="s">
        <v>792</v>
      </c>
      <c r="B10041">
        <f>HYPERLINK("https://android.googlesource.com/platform/cts/+/fedb39dc0f97de7f90a7925318e951e254d97afd", "fedb39dc0f97de7f90a7925318e951e254d97afd")</f>
        <v>0</v>
      </c>
      <c r="C10041">
        <f>HYPERLINK("https://android.googlesource.com/platform/cts/+/51e36fced5d4b82ab7a9cf4b36ac1896a1d0a4f5", "51e36fced5d4b82ab7a9cf4b36ac1896a1d0a4f5")</f>
        <v>0</v>
      </c>
      <c r="D10041" t="s">
        <v>5040</v>
      </c>
      <c r="E10041" t="s">
        <v>6574</v>
      </c>
      <c r="F10041" t="s">
        <v>12632</v>
      </c>
      <c r="G10041" t="s">
        <v>16842</v>
      </c>
      <c r="H10041" t="s">
        <v>25618</v>
      </c>
    </row>
    <row r="10042" spans="1:8">
      <c r="H10042" t="s">
        <v>25619</v>
      </c>
    </row>
    <row r="10043" spans="1:8">
      <c r="A10043" t="s">
        <v>793</v>
      </c>
      <c r="B10043">
        <f>HYPERLINK("https://android.googlesource.com/platform/cts/+/7b113c86a64aeb7060ff35882a2f2def97cd0484", "7b113c86a64aeb7060ff35882a2f2def97cd0484")</f>
        <v>0</v>
      </c>
      <c r="C10043">
        <f>HYPERLINK("https://android.googlesource.com/platform/cts/+/a47d5d6948f50f3bbc8300b8656bb426edc2c746", "a47d5d6948f50f3bbc8300b8656bb426edc2c746")</f>
        <v>0</v>
      </c>
      <c r="D10043" t="s">
        <v>5077</v>
      </c>
      <c r="E10043" t="s">
        <v>6575</v>
      </c>
      <c r="F10043" t="s">
        <v>12633</v>
      </c>
      <c r="G10043" t="s">
        <v>16841</v>
      </c>
      <c r="H10043" t="s">
        <v>25589</v>
      </c>
    </row>
    <row r="10044" spans="1:8">
      <c r="H10044" t="s">
        <v>25590</v>
      </c>
    </row>
    <row r="10045" spans="1:8">
      <c r="H10045" t="s">
        <v>25591</v>
      </c>
    </row>
    <row r="10046" spans="1:8">
      <c r="H10046" t="s">
        <v>25592</v>
      </c>
    </row>
    <row r="10047" spans="1:8">
      <c r="A10047" t="s">
        <v>795</v>
      </c>
      <c r="B10047">
        <f>HYPERLINK("https://android.googlesource.com/platform/cts/+/66476a95a70d3f73320b82edf33ea76a3f0df7ac", "66476a95a70d3f73320b82edf33ea76a3f0df7ac")</f>
        <v>0</v>
      </c>
      <c r="C10047">
        <f>HYPERLINK("https://android.googlesource.com/platform/cts/+/dea56337c8a5ee10af912938f8a625bd9c21306f", "dea56337c8a5ee10af912938f8a625bd9c21306f")</f>
        <v>0</v>
      </c>
      <c r="D10047" t="s">
        <v>5002</v>
      </c>
      <c r="E10047" t="s">
        <v>6577</v>
      </c>
      <c r="F10047" t="s">
        <v>12636</v>
      </c>
      <c r="G10047" t="s">
        <v>16844</v>
      </c>
      <c r="H10047" t="s">
        <v>25631</v>
      </c>
    </row>
    <row r="10048" spans="1:8">
      <c r="A10048" t="s">
        <v>796</v>
      </c>
      <c r="B10048">
        <f>HYPERLINK("https://android.googlesource.com/platform/cts/+/cb59a502afba73e207420190fba0d9c8494a2763", "cb59a502afba73e207420190fba0d9c8494a2763")</f>
        <v>0</v>
      </c>
      <c r="C10048">
        <f>HYPERLINK("https://android.googlesource.com/platform/cts/+/85e7ffbf4b693bdea9403c116e17ce97e25795ec", "85e7ffbf4b693bdea9403c116e17ce97e25795ec")</f>
        <v>0</v>
      </c>
      <c r="D10048" t="s">
        <v>4949</v>
      </c>
      <c r="E10048" t="s">
        <v>6578</v>
      </c>
      <c r="F10048" t="s">
        <v>12638</v>
      </c>
      <c r="G10048" t="s">
        <v>16846</v>
      </c>
      <c r="H10048" t="s">
        <v>25633</v>
      </c>
    </row>
    <row r="10049" spans="1:8">
      <c r="H10049" t="s">
        <v>25634</v>
      </c>
    </row>
    <row r="10050" spans="1:8">
      <c r="H10050" t="s">
        <v>25635</v>
      </c>
    </row>
    <row r="10051" spans="1:8">
      <c r="H10051" t="s">
        <v>25636</v>
      </c>
    </row>
    <row r="10052" spans="1:8">
      <c r="F10052" t="s">
        <v>12639</v>
      </c>
      <c r="G10052" t="s">
        <v>16847</v>
      </c>
      <c r="H10052" t="s">
        <v>25637</v>
      </c>
    </row>
    <row r="10053" spans="1:8">
      <c r="H10053" t="s">
        <v>25638</v>
      </c>
    </row>
    <row r="10054" spans="1:8">
      <c r="A10054" t="s">
        <v>797</v>
      </c>
      <c r="B10054">
        <f>HYPERLINK("https://android.googlesource.com/platform/cts/+/e195d6834e63268748583b0f198220b7bd9788ae", "e195d6834e63268748583b0f198220b7bd9788ae")</f>
        <v>0</v>
      </c>
      <c r="C10054">
        <f>HYPERLINK("https://android.googlesource.com/platform/cts/+/297d1d6bb7143dc0f78e472a6939275270d5f38b", "297d1d6bb7143dc0f78e472a6939275270d5f38b")</f>
        <v>0</v>
      </c>
      <c r="D10054" t="s">
        <v>5029</v>
      </c>
      <c r="E10054" t="s">
        <v>6579</v>
      </c>
      <c r="F10054" t="s">
        <v>12335</v>
      </c>
      <c r="G10054" t="s">
        <v>16563</v>
      </c>
      <c r="H10054" t="s">
        <v>25639</v>
      </c>
    </row>
    <row r="10055" spans="1:8">
      <c r="F10055" t="s">
        <v>10780</v>
      </c>
      <c r="G10055" t="s">
        <v>15176</v>
      </c>
      <c r="H10055" t="s">
        <v>25639</v>
      </c>
    </row>
    <row r="10056" spans="1:8">
      <c r="F10056" t="s">
        <v>10644</v>
      </c>
      <c r="G10056" t="s">
        <v>15045</v>
      </c>
      <c r="H10056" t="s">
        <v>25639</v>
      </c>
    </row>
    <row r="10057" spans="1:8">
      <c r="F10057" t="s">
        <v>10645</v>
      </c>
      <c r="G10057" t="s">
        <v>15046</v>
      </c>
      <c r="H10057" t="s">
        <v>25639</v>
      </c>
    </row>
    <row r="10058" spans="1:8">
      <c r="F10058" t="s">
        <v>10781</v>
      </c>
      <c r="G10058" t="s">
        <v>15177</v>
      </c>
      <c r="H10058" t="s">
        <v>25639</v>
      </c>
    </row>
    <row r="10059" spans="1:8">
      <c r="F10059" t="s">
        <v>12316</v>
      </c>
      <c r="G10059" t="s">
        <v>16548</v>
      </c>
      <c r="H10059" t="s">
        <v>25639</v>
      </c>
    </row>
    <row r="10060" spans="1:8">
      <c r="F10060" t="s">
        <v>10646</v>
      </c>
      <c r="G10060" t="s">
        <v>15047</v>
      </c>
      <c r="H10060" t="s">
        <v>25639</v>
      </c>
    </row>
    <row r="10061" spans="1:8">
      <c r="A10061" t="s">
        <v>801</v>
      </c>
      <c r="B10061">
        <f>HYPERLINK("https://android.googlesource.com/platform/cts/+/f3b6b6771bfd40c4e27f5a48d1296da3b03008b6", "f3b6b6771bfd40c4e27f5a48d1296da3b03008b6")</f>
        <v>0</v>
      </c>
      <c r="C10061">
        <f>HYPERLINK("https://android.googlesource.com/platform/cts/+/8188149eacbc02670152d42d7417c116efff614f", "8188149eacbc02670152d42d7417c116efff614f")</f>
        <v>0</v>
      </c>
      <c r="D10061" t="s">
        <v>5097</v>
      </c>
      <c r="E10061" t="s">
        <v>6583</v>
      </c>
      <c r="F10061" t="s">
        <v>10668</v>
      </c>
      <c r="G10061" t="s">
        <v>15069</v>
      </c>
      <c r="H10061" t="s">
        <v>25647</v>
      </c>
    </row>
    <row r="10062" spans="1:8">
      <c r="A10062" t="s">
        <v>802</v>
      </c>
      <c r="B10062">
        <f>HYPERLINK("https://android.googlesource.com/platform/cts/+/17f1800667e726853dd987b94c2cf36d11cf9369", "17f1800667e726853dd987b94c2cf36d11cf9369")</f>
        <v>0</v>
      </c>
      <c r="C10062">
        <f>HYPERLINK("https://android.googlesource.com/platform/cts/+/948eda6f30123df653c313b24677543c994ab490", "948eda6f30123df653c313b24677543c994ab490")</f>
        <v>0</v>
      </c>
      <c r="D10062" t="s">
        <v>5098</v>
      </c>
      <c r="E10062" t="s">
        <v>6584</v>
      </c>
      <c r="F10062" t="s">
        <v>12642</v>
      </c>
      <c r="G10062" t="s">
        <v>16850</v>
      </c>
      <c r="H10062" t="s">
        <v>25648</v>
      </c>
    </row>
    <row r="10063" spans="1:8">
      <c r="A10063" t="s">
        <v>805</v>
      </c>
      <c r="B10063">
        <f>HYPERLINK("https://android.googlesource.com/platform/cts/+/4ed3b6c02b917394dfc68c4d421c4b935a3325c8", "4ed3b6c02b917394dfc68c4d421c4b935a3325c8")</f>
        <v>0</v>
      </c>
      <c r="C10063">
        <f>HYPERLINK("https://android.googlesource.com/platform/cts/+/95ee48203ed2c4dd64a5364fed26ae626a33c481", "95ee48203ed2c4dd64a5364fed26ae626a33c481")</f>
        <v>0</v>
      </c>
      <c r="D10063" t="s">
        <v>5069</v>
      </c>
      <c r="E10063" t="s">
        <v>6587</v>
      </c>
      <c r="F10063" t="s">
        <v>12644</v>
      </c>
      <c r="G10063" t="s">
        <v>16851</v>
      </c>
      <c r="H10063" t="s">
        <v>19010</v>
      </c>
    </row>
    <row r="10064" spans="1:8">
      <c r="H10064" t="s">
        <v>18835</v>
      </c>
    </row>
    <row r="10065" spans="1:8">
      <c r="A10065" t="s">
        <v>806</v>
      </c>
      <c r="B10065">
        <f>HYPERLINK("https://android.googlesource.com/platform/cts/+/1a073be447b96901937855af7fc944598f1f06bf", "1a073be447b96901937855af7fc944598f1f06bf")</f>
        <v>0</v>
      </c>
      <c r="C10065">
        <f>HYPERLINK("https://android.googlesource.com/platform/cts/+/fcc5aea0474bea66dc5b9d39498522a4128e01f3", "fcc5aea0474bea66dc5b9d39498522a4128e01f3")</f>
        <v>0</v>
      </c>
      <c r="D10065" t="s">
        <v>5084</v>
      </c>
      <c r="E10065" t="s">
        <v>6588</v>
      </c>
      <c r="F10065" t="s">
        <v>12645</v>
      </c>
      <c r="G10065" t="s">
        <v>16852</v>
      </c>
      <c r="H10065" t="s">
        <v>25655</v>
      </c>
    </row>
    <row r="10066" spans="1:8">
      <c r="H10066" t="s">
        <v>25656</v>
      </c>
    </row>
    <row r="10067" spans="1:8">
      <c r="H10067" t="s">
        <v>25657</v>
      </c>
    </row>
    <row r="10068" spans="1:8">
      <c r="H10068" t="s">
        <v>25658</v>
      </c>
    </row>
    <row r="10069" spans="1:8">
      <c r="H10069" t="s">
        <v>25659</v>
      </c>
    </row>
    <row r="10070" spans="1:8">
      <c r="H10070" t="s">
        <v>25660</v>
      </c>
    </row>
    <row r="10071" spans="1:8">
      <c r="H10071" t="s">
        <v>25661</v>
      </c>
    </row>
    <row r="10072" spans="1:8">
      <c r="H10072" t="s">
        <v>25662</v>
      </c>
    </row>
    <row r="10073" spans="1:8">
      <c r="A10073" t="s">
        <v>809</v>
      </c>
      <c r="B10073">
        <f>HYPERLINK("https://android.googlesource.com/platform/cts/+/dd68739a3062ffff7159a2342a31d85557364f89", "dd68739a3062ffff7159a2342a31d85557364f89")</f>
        <v>0</v>
      </c>
      <c r="C10073">
        <f>HYPERLINK("https://android.googlesource.com/platform/cts/+/44657d4fcbc722bafa2129d76aa1e40de82c8361", "44657d4fcbc722bafa2129d76aa1e40de82c8361")</f>
        <v>0</v>
      </c>
      <c r="D10073" t="s">
        <v>5094</v>
      </c>
      <c r="E10073" t="s">
        <v>6591</v>
      </c>
      <c r="F10073" t="s">
        <v>12647</v>
      </c>
      <c r="G10073" t="s">
        <v>16853</v>
      </c>
      <c r="H10073" t="s">
        <v>25664</v>
      </c>
    </row>
    <row r="10074" spans="1:8">
      <c r="H10074" t="s">
        <v>25665</v>
      </c>
    </row>
    <row r="10075" spans="1:8">
      <c r="H10075" t="s">
        <v>25666</v>
      </c>
    </row>
    <row r="10076" spans="1:8">
      <c r="H10076" t="s">
        <v>25667</v>
      </c>
    </row>
    <row r="10077" spans="1:8">
      <c r="A10077" t="s">
        <v>810</v>
      </c>
      <c r="B10077">
        <f>HYPERLINK("https://android.googlesource.com/platform/cts/+/8fabf134e6971e2d2e756dab2386a3ab752e0adb", "8fabf134e6971e2d2e756dab2386a3ab752e0adb")</f>
        <v>0</v>
      </c>
      <c r="C10077">
        <f>HYPERLINK("https://android.googlesource.com/platform/cts/+/f2812948ac52dd0fe854492e4201841abc61eaa1", "f2812948ac52dd0fe854492e4201841abc61eaa1")</f>
        <v>0</v>
      </c>
      <c r="D10077" t="s">
        <v>5029</v>
      </c>
      <c r="E10077" t="s">
        <v>6592</v>
      </c>
      <c r="F10077" t="s">
        <v>11183</v>
      </c>
      <c r="G10077" t="s">
        <v>15572</v>
      </c>
      <c r="H10077" t="s">
        <v>25672</v>
      </c>
    </row>
    <row r="10078" spans="1:8">
      <c r="H10078" t="s">
        <v>25673</v>
      </c>
    </row>
    <row r="10079" spans="1:8">
      <c r="A10079" t="s">
        <v>811</v>
      </c>
      <c r="B10079">
        <f>HYPERLINK("https://android.googlesource.com/platform/cts/+/71862d1d0fe88bf924c0ed3263b5c109cb24fb9a", "71862d1d0fe88bf924c0ed3263b5c109cb24fb9a")</f>
        <v>0</v>
      </c>
      <c r="C10079">
        <f>HYPERLINK("https://android.googlesource.com/platform/cts/+/ecab77f1f4e09ca23d2b40e54a64b809513372c3", "ecab77f1f4e09ca23d2b40e54a64b809513372c3")</f>
        <v>0</v>
      </c>
      <c r="D10079" t="s">
        <v>5029</v>
      </c>
      <c r="E10079" t="s">
        <v>6593</v>
      </c>
      <c r="F10079" t="s">
        <v>10676</v>
      </c>
      <c r="G10079" t="s">
        <v>15076</v>
      </c>
      <c r="H10079" t="s">
        <v>25675</v>
      </c>
    </row>
    <row r="10080" spans="1:8">
      <c r="F10080" t="s">
        <v>12648</v>
      </c>
      <c r="G10080" t="s">
        <v>16854</v>
      </c>
      <c r="H10080" t="s">
        <v>25676</v>
      </c>
    </row>
    <row r="10081" spans="1:8">
      <c r="F10081" t="s">
        <v>12649</v>
      </c>
      <c r="G10081" t="s">
        <v>16855</v>
      </c>
      <c r="H10081" t="s">
        <v>25677</v>
      </c>
    </row>
    <row r="10082" spans="1:8">
      <c r="H10082" t="s">
        <v>25678</v>
      </c>
    </row>
    <row r="10083" spans="1:8">
      <c r="A10083" t="s">
        <v>813</v>
      </c>
      <c r="B10083">
        <f>HYPERLINK("https://android.googlesource.com/platform/cts/+/b054026b4d0347f958de7c4b3eaa6a52ff3d20cd", "b054026b4d0347f958de7c4b3eaa6a52ff3d20cd")</f>
        <v>0</v>
      </c>
      <c r="C10083">
        <f>HYPERLINK("https://android.googlesource.com/platform/cts/+/329f4b93faf91fcd62f4cbfd93a29221c3768ebc", "329f4b93faf91fcd62f4cbfd93a29221c3768ebc")</f>
        <v>0</v>
      </c>
      <c r="D10083" t="s">
        <v>5002</v>
      </c>
      <c r="E10083" t="s">
        <v>6594</v>
      </c>
      <c r="F10083" t="s">
        <v>12562</v>
      </c>
      <c r="G10083" t="s">
        <v>16778</v>
      </c>
      <c r="H10083" t="s">
        <v>22188</v>
      </c>
    </row>
    <row r="10084" spans="1:8">
      <c r="H10084" t="s">
        <v>22189</v>
      </c>
    </row>
    <row r="10085" spans="1:8">
      <c r="A10085" t="s">
        <v>814</v>
      </c>
      <c r="B10085">
        <f>HYPERLINK("https://android.googlesource.com/platform/cts/+/992b459293c4dcae2a12cdf5923e3e26a476bd1a", "992b459293c4dcae2a12cdf5923e3e26a476bd1a")</f>
        <v>0</v>
      </c>
      <c r="C10085">
        <f>HYPERLINK("https://android.googlesource.com/platform/cts/+/b054026b4d0347f958de7c4b3eaa6a52ff3d20cd", "b054026b4d0347f958de7c4b3eaa6a52ff3d20cd")</f>
        <v>0</v>
      </c>
      <c r="D10085" t="s">
        <v>5100</v>
      </c>
      <c r="E10085" t="s">
        <v>6595</v>
      </c>
      <c r="F10085" t="s">
        <v>12650</v>
      </c>
      <c r="G10085" t="s">
        <v>16856</v>
      </c>
      <c r="H10085" t="s">
        <v>22189</v>
      </c>
    </row>
    <row r="10086" spans="1:8">
      <c r="A10086" t="s">
        <v>815</v>
      </c>
      <c r="B10086">
        <f>HYPERLINK("https://android.googlesource.com/platform/cts/+/92423df543c8e11070c57585a6450e7f4e9a1a42", "92423df543c8e11070c57585a6450e7f4e9a1a42")</f>
        <v>0</v>
      </c>
      <c r="C10086">
        <f>HYPERLINK("https://android.googlesource.com/platform/cts/+/1b545b6700621d46c4c85a83c39706e9f9a2b8af", "1b545b6700621d46c4c85a83c39706e9f9a2b8af")</f>
        <v>0</v>
      </c>
      <c r="D10086" t="s">
        <v>5002</v>
      </c>
      <c r="E10086" t="s">
        <v>6596</v>
      </c>
      <c r="F10086" t="s">
        <v>12562</v>
      </c>
      <c r="G10086" t="s">
        <v>16778</v>
      </c>
      <c r="H10086" t="s">
        <v>22188</v>
      </c>
    </row>
    <row r="10087" spans="1:8">
      <c r="H10087" t="s">
        <v>22189</v>
      </c>
    </row>
    <row r="10088" spans="1:8">
      <c r="A10088" t="s">
        <v>816</v>
      </c>
      <c r="B10088">
        <f>HYPERLINK("https://android.googlesource.com/platform/cts/+/707b5430004bfc7e59cd418262196a88754f7114", "707b5430004bfc7e59cd418262196a88754f7114")</f>
        <v>0</v>
      </c>
      <c r="C10088">
        <f>HYPERLINK("https://android.googlesource.com/platform/cts/+/9a3e1c7df595c35c338c43511d2568c1209d965b", "9a3e1c7df595c35c338c43511d2568c1209d965b")</f>
        <v>0</v>
      </c>
      <c r="D10088" t="s">
        <v>5002</v>
      </c>
      <c r="E10088" t="s">
        <v>6597</v>
      </c>
      <c r="F10088" t="s">
        <v>12651</v>
      </c>
      <c r="G10088" t="s">
        <v>16857</v>
      </c>
      <c r="H10088" t="s">
        <v>25689</v>
      </c>
    </row>
    <row r="10089" spans="1:8">
      <c r="A10089" t="s">
        <v>817</v>
      </c>
      <c r="B10089">
        <f>HYPERLINK("https://android.googlesource.com/platform/cts/+/ae663de2120beb9de33d57e2c0ebfa6662e1d9f8", "ae663de2120beb9de33d57e2c0ebfa6662e1d9f8")</f>
        <v>0</v>
      </c>
      <c r="C10089">
        <f>HYPERLINK("https://android.googlesource.com/platform/cts/+/84ed05f1db7927e492773055445cc180cf590f1c", "84ed05f1db7927e492773055445cc180cf590f1c")</f>
        <v>0</v>
      </c>
      <c r="D10089" t="s">
        <v>5029</v>
      </c>
      <c r="E10089" t="s">
        <v>6598</v>
      </c>
      <c r="F10089" t="s">
        <v>10674</v>
      </c>
      <c r="G10089" t="s">
        <v>15074</v>
      </c>
      <c r="H10089" t="s">
        <v>25690</v>
      </c>
    </row>
    <row r="10090" spans="1:8">
      <c r="A10090" t="s">
        <v>819</v>
      </c>
      <c r="B10090">
        <f>HYPERLINK("https://android.googlesource.com/platform/cts/+/1743a5db4b49e43e3c52a768eef6ec2fa54eb940", "1743a5db4b49e43e3c52a768eef6ec2fa54eb940")</f>
        <v>0</v>
      </c>
      <c r="C10090">
        <f>HYPERLINK("https://android.googlesource.com/platform/cts/+/1674b99db40fdebf9faa2cbdc7f64152ab15537a", "1674b99db40fdebf9faa2cbdc7f64152ab15537a")</f>
        <v>0</v>
      </c>
      <c r="D10090" t="s">
        <v>5077</v>
      </c>
      <c r="E10090" t="s">
        <v>6600</v>
      </c>
      <c r="F10090" t="s">
        <v>12652</v>
      </c>
      <c r="G10090" t="s">
        <v>16858</v>
      </c>
      <c r="H10090" t="s">
        <v>25713</v>
      </c>
    </row>
    <row r="10091" spans="1:8">
      <c r="A10091" t="s">
        <v>822</v>
      </c>
      <c r="B10091">
        <f>HYPERLINK("https://android.googlesource.com/platform/cts/+/555c73ad80728deb5c867d052423bb0c9f7d3235", "555c73ad80728deb5c867d052423bb0c9f7d3235")</f>
        <v>0</v>
      </c>
      <c r="C10091">
        <f>HYPERLINK("https://android.googlesource.com/platform/cts/+/0dc51bf02ef3fb6a152464888946493bffa92194", "0dc51bf02ef3fb6a152464888946493bffa92194")</f>
        <v>0</v>
      </c>
      <c r="D10091" t="s">
        <v>5084</v>
      </c>
      <c r="E10091" t="s">
        <v>6603</v>
      </c>
      <c r="F10091" t="s">
        <v>12645</v>
      </c>
      <c r="G10091" t="s">
        <v>16852</v>
      </c>
      <c r="H10091" t="s">
        <v>25655</v>
      </c>
    </row>
    <row r="10092" spans="1:8">
      <c r="H10092" t="s">
        <v>25659</v>
      </c>
    </row>
    <row r="10093" spans="1:8">
      <c r="A10093" t="s">
        <v>829</v>
      </c>
      <c r="B10093">
        <f>HYPERLINK("https://android.googlesource.com/platform/cts/+/233c38d4c89fb6cb65a6e6bdd48847ae2f9f7a2b", "233c38d4c89fb6cb65a6e6bdd48847ae2f9f7a2b")</f>
        <v>0</v>
      </c>
      <c r="C10093">
        <f>HYPERLINK("https://android.googlesource.com/platform/cts/+/2f73496079817471850f1dc77320f7f0be7e34fa", "2f73496079817471850f1dc77320f7f0be7e34fa")</f>
        <v>0</v>
      </c>
      <c r="D10093" t="s">
        <v>5102</v>
      </c>
      <c r="E10093" t="s">
        <v>6610</v>
      </c>
      <c r="F10093" t="s">
        <v>12660</v>
      </c>
      <c r="G10093" t="s">
        <v>16865</v>
      </c>
      <c r="H10093" t="s">
        <v>25744</v>
      </c>
    </row>
    <row r="10094" spans="1:8">
      <c r="A10094" t="s">
        <v>832</v>
      </c>
      <c r="B10094">
        <f>HYPERLINK("https://android.googlesource.com/platform/cts/+/3272ea6b27b39a78e3e1dd72b0486d48f21f3cb2", "3272ea6b27b39a78e3e1dd72b0486d48f21f3cb2")</f>
        <v>0</v>
      </c>
      <c r="C10094">
        <f>HYPERLINK("https://android.googlesource.com/platform/cts/+/27eff0c17a6733a3fdf8129b9c821b72025dcebb", "27eff0c17a6733a3fdf8129b9c821b72025dcebb")</f>
        <v>0</v>
      </c>
      <c r="D10094" t="s">
        <v>5002</v>
      </c>
      <c r="E10094" t="s">
        <v>6613</v>
      </c>
      <c r="F10094" t="s">
        <v>12662</v>
      </c>
      <c r="G10094" t="s">
        <v>16867</v>
      </c>
      <c r="H10094" t="s">
        <v>25756</v>
      </c>
    </row>
    <row r="10095" spans="1:8">
      <c r="F10095" t="s">
        <v>12664</v>
      </c>
      <c r="G10095" t="s">
        <v>16869</v>
      </c>
      <c r="H10095" t="s">
        <v>25759</v>
      </c>
    </row>
    <row r="10096" spans="1:8">
      <c r="H10096" t="s">
        <v>25761</v>
      </c>
    </row>
    <row r="10097" spans="1:8">
      <c r="H10097" t="s">
        <v>25763</v>
      </c>
    </row>
    <row r="10098" spans="1:8">
      <c r="H10098" t="s">
        <v>25765</v>
      </c>
    </row>
    <row r="10099" spans="1:8">
      <c r="H10099" t="s">
        <v>25767</v>
      </c>
    </row>
    <row r="10100" spans="1:8">
      <c r="H10100" t="s">
        <v>25769</v>
      </c>
    </row>
    <row r="10101" spans="1:8">
      <c r="H10101" t="s">
        <v>25771</v>
      </c>
    </row>
    <row r="10102" spans="1:8">
      <c r="H10102" t="s">
        <v>25773</v>
      </c>
    </row>
    <row r="10103" spans="1:8">
      <c r="A10103" t="s">
        <v>833</v>
      </c>
      <c r="B10103">
        <f>HYPERLINK("https://android.googlesource.com/platform/cts/+/ac45aaf8f6a9955af5dd17cded9b280b95449797", "ac45aaf8f6a9955af5dd17cded9b280b95449797")</f>
        <v>0</v>
      </c>
      <c r="C10103">
        <f>HYPERLINK("https://android.googlesource.com/platform/cts/+/322ac31215e70820d23deeda0eca7acd0d1aaf2d", "322ac31215e70820d23deeda0eca7acd0d1aaf2d")</f>
        <v>0</v>
      </c>
      <c r="D10103" t="s">
        <v>5086</v>
      </c>
      <c r="E10103" t="s">
        <v>6614</v>
      </c>
      <c r="F10103" t="s">
        <v>12665</v>
      </c>
      <c r="G10103" t="s">
        <v>16870</v>
      </c>
      <c r="H10103" t="s">
        <v>25774</v>
      </c>
    </row>
    <row r="10104" spans="1:8">
      <c r="A10104" t="s">
        <v>837</v>
      </c>
      <c r="B10104">
        <f>HYPERLINK("https://android.googlesource.com/platform/cts/+/f877c5a0f71713a6118f00af11744bed1540a802", "f877c5a0f71713a6118f00af11744bed1540a802")</f>
        <v>0</v>
      </c>
      <c r="C10104">
        <f>HYPERLINK("https://android.googlesource.com/platform/cts/+/5b5fb5e6be49bd395266ff003783ecfdf37cfb95", "5b5fb5e6be49bd395266ff003783ecfdf37cfb95")</f>
        <v>0</v>
      </c>
      <c r="D10104" t="s">
        <v>5086</v>
      </c>
      <c r="E10104" t="s">
        <v>6618</v>
      </c>
      <c r="F10104" t="s">
        <v>12629</v>
      </c>
      <c r="G10104" t="s">
        <v>16838</v>
      </c>
      <c r="H10104" t="s">
        <v>25795</v>
      </c>
    </row>
    <row r="10105" spans="1:8">
      <c r="A10105" t="s">
        <v>838</v>
      </c>
      <c r="B10105">
        <f>HYPERLINK("https://android.googlesource.com/platform/cts/+/1db396d56ceb9ab23937d3c833c8678ff9e9628a", "1db396d56ceb9ab23937d3c833c8678ff9e9628a")</f>
        <v>0</v>
      </c>
      <c r="C10105">
        <f>HYPERLINK("https://android.googlesource.com/platform/cts/+/f877c5a0f71713a6118f00af11744bed1540a802", "f877c5a0f71713a6118f00af11744bed1540a802")</f>
        <v>0</v>
      </c>
      <c r="D10105" t="s">
        <v>5086</v>
      </c>
      <c r="E10105" t="s">
        <v>6619</v>
      </c>
      <c r="F10105" t="s">
        <v>12629</v>
      </c>
      <c r="G10105" t="s">
        <v>16838</v>
      </c>
      <c r="H10105" t="s">
        <v>25800</v>
      </c>
    </row>
    <row r="10106" spans="1:8">
      <c r="A10106" t="s">
        <v>839</v>
      </c>
      <c r="B10106">
        <f>HYPERLINK("https://android.googlesource.com/platform/cts/+/e772d86ec7215f6976e8ff0418b70bc40f0dd327", "e772d86ec7215f6976e8ff0418b70bc40f0dd327")</f>
        <v>0</v>
      </c>
      <c r="C10106">
        <f>HYPERLINK("https://android.googlesource.com/platform/cts/+/1db396d56ceb9ab23937d3c833c8678ff9e9628a", "1db396d56ceb9ab23937d3c833c8678ff9e9628a")</f>
        <v>0</v>
      </c>
      <c r="D10106" t="s">
        <v>5086</v>
      </c>
      <c r="E10106" t="s">
        <v>6620</v>
      </c>
      <c r="F10106" t="s">
        <v>12629</v>
      </c>
      <c r="G10106" t="s">
        <v>16838</v>
      </c>
      <c r="H10106" t="s">
        <v>25801</v>
      </c>
    </row>
    <row r="10107" spans="1:8">
      <c r="A10107" t="s">
        <v>840</v>
      </c>
      <c r="B10107">
        <f>HYPERLINK("https://android.googlesource.com/platform/cts/+/84d67ea320b2ca5458c020bf2d68833b44f01e6b", "84d67ea320b2ca5458c020bf2d68833b44f01e6b")</f>
        <v>0</v>
      </c>
      <c r="C10107">
        <f>HYPERLINK("https://android.googlesource.com/platform/cts/+/3016c3204e8434e461c85cb9a8e6fb6cf37c0dbf", "3016c3204e8434e461c85cb9a8e6fb6cf37c0dbf")</f>
        <v>0</v>
      </c>
      <c r="D10107" t="s">
        <v>5103</v>
      </c>
      <c r="E10107" t="s">
        <v>6621</v>
      </c>
      <c r="F10107" t="s">
        <v>12399</v>
      </c>
      <c r="G10107" t="s">
        <v>16606</v>
      </c>
      <c r="H10107" t="s">
        <v>25803</v>
      </c>
    </row>
    <row r="10108" spans="1:8">
      <c r="H10108" t="s">
        <v>25804</v>
      </c>
    </row>
    <row r="10109" spans="1:8">
      <c r="A10109" t="s">
        <v>842</v>
      </c>
      <c r="B10109">
        <f>HYPERLINK("https://android.googlesource.com/platform/cts/+/682a07b9399f7fc80a025753884b6b621da96328", "682a07b9399f7fc80a025753884b6b621da96328")</f>
        <v>0</v>
      </c>
      <c r="C10109">
        <f>HYPERLINK("https://android.googlesource.com/platform/cts/+/e6b2323cee0957b36631473b3138de780b687e8a", "e6b2323cee0957b36631473b3138de780b687e8a")</f>
        <v>0</v>
      </c>
      <c r="D10109" t="s">
        <v>5105</v>
      </c>
      <c r="E10109" t="s">
        <v>6623</v>
      </c>
      <c r="F10109" t="s">
        <v>12670</v>
      </c>
      <c r="G10109" t="s">
        <v>16875</v>
      </c>
      <c r="H10109" t="s">
        <v>25806</v>
      </c>
    </row>
    <row r="10110" spans="1:8">
      <c r="A10110" t="s">
        <v>846</v>
      </c>
      <c r="B10110">
        <f>HYPERLINK("https://android.googlesource.com/platform/cts/+/b9ee1f9683356a1edcd32bca59ac16f78f1927e5", "b9ee1f9683356a1edcd32bca59ac16f78f1927e5")</f>
        <v>0</v>
      </c>
      <c r="C10110">
        <f>HYPERLINK("https://android.googlesource.com/platform/cts/+/6ae0bcd2944168838f86df6279abaa8b1bbf734c", "6ae0bcd2944168838f86df6279abaa8b1bbf734c")</f>
        <v>0</v>
      </c>
      <c r="D10110" t="s">
        <v>5092</v>
      </c>
      <c r="E10110" t="s">
        <v>6627</v>
      </c>
      <c r="F10110" t="s">
        <v>12627</v>
      </c>
      <c r="G10110" t="s">
        <v>16417</v>
      </c>
      <c r="H10110" t="s">
        <v>25541</v>
      </c>
    </row>
    <row r="10111" spans="1:8">
      <c r="H10111" t="s">
        <v>25542</v>
      </c>
    </row>
    <row r="10112" spans="1:8">
      <c r="H10112" t="s">
        <v>25543</v>
      </c>
    </row>
    <row r="10113" spans="1:8">
      <c r="H10113" t="s">
        <v>25544</v>
      </c>
    </row>
    <row r="10114" spans="1:8">
      <c r="H10114" t="s">
        <v>25545</v>
      </c>
    </row>
    <row r="10115" spans="1:8">
      <c r="H10115" t="s">
        <v>25546</v>
      </c>
    </row>
    <row r="10116" spans="1:8">
      <c r="H10116" t="s">
        <v>25547</v>
      </c>
    </row>
    <row r="10117" spans="1:8">
      <c r="H10117" t="s">
        <v>25548</v>
      </c>
    </row>
    <row r="10118" spans="1:8">
      <c r="H10118" t="s">
        <v>25551</v>
      </c>
    </row>
    <row r="10119" spans="1:8">
      <c r="H10119" t="s">
        <v>25552</v>
      </c>
    </row>
    <row r="10120" spans="1:8">
      <c r="A10120" t="s">
        <v>848</v>
      </c>
      <c r="B10120">
        <f>HYPERLINK("https://android.googlesource.com/platform/cts/+/69f4ec4191166d198355a77e5622aeae6f50cb94", "69f4ec4191166d198355a77e5622aeae6f50cb94")</f>
        <v>0</v>
      </c>
      <c r="C10120">
        <f>HYPERLINK("https://android.googlesource.com/platform/cts/+/b32579835faa095c1e068132252596c8fb62c12a", "b32579835faa095c1e068132252596c8fb62c12a")</f>
        <v>0</v>
      </c>
      <c r="D10120" t="s">
        <v>5107</v>
      </c>
      <c r="E10120" t="s">
        <v>6629</v>
      </c>
      <c r="F10120" t="s">
        <v>12674</v>
      </c>
      <c r="G10120" t="s">
        <v>16878</v>
      </c>
      <c r="H10120" t="s">
        <v>25835</v>
      </c>
    </row>
    <row r="10121" spans="1:8">
      <c r="A10121" t="s">
        <v>852</v>
      </c>
      <c r="B10121">
        <f>HYPERLINK("https://android.googlesource.com/platform/cts/+/7cac2e6a081e4b8c3d232291d69bfff1683b9a0c", "7cac2e6a081e4b8c3d232291d69bfff1683b9a0c")</f>
        <v>0</v>
      </c>
      <c r="C10121">
        <f>HYPERLINK("https://android.googlesource.com/platform/cts/+/16adf601b94734ce74deeadc0c9340e603f35726", "16adf601b94734ce74deeadc0c9340e603f35726")</f>
        <v>0</v>
      </c>
      <c r="D10121" t="s">
        <v>5040</v>
      </c>
      <c r="E10121" t="s">
        <v>6633</v>
      </c>
      <c r="F10121" t="s">
        <v>12675</v>
      </c>
      <c r="G10121" t="s">
        <v>16879</v>
      </c>
      <c r="H10121" t="s">
        <v>25840</v>
      </c>
    </row>
    <row r="10122" spans="1:8">
      <c r="H10122" t="s">
        <v>25841</v>
      </c>
    </row>
    <row r="10123" spans="1:8">
      <c r="F10123" t="s">
        <v>12676</v>
      </c>
      <c r="G10123" t="s">
        <v>16880</v>
      </c>
      <c r="H10123" t="s">
        <v>25842</v>
      </c>
    </row>
    <row r="10124" spans="1:8">
      <c r="H10124" t="s">
        <v>25843</v>
      </c>
    </row>
    <row r="10125" spans="1:8">
      <c r="H10125" t="s">
        <v>25844</v>
      </c>
    </row>
    <row r="10126" spans="1:8">
      <c r="H10126" t="s">
        <v>25845</v>
      </c>
    </row>
    <row r="10127" spans="1:8">
      <c r="H10127" t="s">
        <v>25846</v>
      </c>
    </row>
    <row r="10128" spans="1:8">
      <c r="H10128" t="s">
        <v>25847</v>
      </c>
    </row>
    <row r="10129" spans="6:8">
      <c r="H10129" t="s">
        <v>25848</v>
      </c>
    </row>
    <row r="10130" spans="6:8">
      <c r="H10130" t="s">
        <v>25849</v>
      </c>
    </row>
    <row r="10131" spans="6:8">
      <c r="H10131" t="s">
        <v>25850</v>
      </c>
    </row>
    <row r="10132" spans="6:8">
      <c r="H10132" t="s">
        <v>25851</v>
      </c>
    </row>
    <row r="10133" spans="6:8">
      <c r="H10133" t="s">
        <v>25852</v>
      </c>
    </row>
    <row r="10134" spans="6:8">
      <c r="H10134" t="s">
        <v>25853</v>
      </c>
    </row>
    <row r="10135" spans="6:8">
      <c r="H10135" t="s">
        <v>25854</v>
      </c>
    </row>
    <row r="10136" spans="6:8">
      <c r="H10136" t="s">
        <v>25855</v>
      </c>
    </row>
    <row r="10137" spans="6:8">
      <c r="H10137" t="s">
        <v>25856</v>
      </c>
    </row>
    <row r="10138" spans="6:8">
      <c r="H10138" t="s">
        <v>25857</v>
      </c>
    </row>
    <row r="10139" spans="6:8">
      <c r="H10139" t="s">
        <v>25858</v>
      </c>
    </row>
    <row r="10140" spans="6:8">
      <c r="H10140" t="s">
        <v>25859</v>
      </c>
    </row>
    <row r="10141" spans="6:8">
      <c r="H10141" t="s">
        <v>25860</v>
      </c>
    </row>
    <row r="10142" spans="6:8">
      <c r="F10142" t="s">
        <v>12677</v>
      </c>
      <c r="G10142" t="s">
        <v>16881</v>
      </c>
      <c r="H10142" t="s">
        <v>25861</v>
      </c>
    </row>
    <row r="10143" spans="6:8">
      <c r="H10143" t="s">
        <v>25862</v>
      </c>
    </row>
    <row r="10144" spans="6:8">
      <c r="H10144" t="s">
        <v>25863</v>
      </c>
    </row>
    <row r="10145" spans="6:8">
      <c r="H10145" t="s">
        <v>25864</v>
      </c>
    </row>
    <row r="10146" spans="6:8">
      <c r="F10146" t="s">
        <v>12679</v>
      </c>
      <c r="G10146" t="s">
        <v>16883</v>
      </c>
      <c r="H10146" t="s">
        <v>25868</v>
      </c>
    </row>
    <row r="10147" spans="6:8">
      <c r="H10147" t="s">
        <v>25869</v>
      </c>
    </row>
    <row r="10148" spans="6:8">
      <c r="H10148" t="s">
        <v>25870</v>
      </c>
    </row>
    <row r="10149" spans="6:8">
      <c r="H10149" t="s">
        <v>25871</v>
      </c>
    </row>
    <row r="10150" spans="6:8">
      <c r="H10150" t="s">
        <v>25872</v>
      </c>
    </row>
    <row r="10151" spans="6:8">
      <c r="H10151" t="s">
        <v>25873</v>
      </c>
    </row>
    <row r="10152" spans="6:8">
      <c r="H10152" t="s">
        <v>25874</v>
      </c>
    </row>
    <row r="10153" spans="6:8">
      <c r="H10153" t="s">
        <v>25875</v>
      </c>
    </row>
    <row r="10154" spans="6:8">
      <c r="H10154" t="s">
        <v>25876</v>
      </c>
    </row>
    <row r="10155" spans="6:8">
      <c r="H10155" t="s">
        <v>25877</v>
      </c>
    </row>
    <row r="10156" spans="6:8">
      <c r="H10156" t="s">
        <v>25878</v>
      </c>
    </row>
    <row r="10157" spans="6:8">
      <c r="H10157" t="s">
        <v>25879</v>
      </c>
    </row>
    <row r="10158" spans="6:8">
      <c r="H10158" t="s">
        <v>25880</v>
      </c>
    </row>
    <row r="10159" spans="6:8">
      <c r="H10159" t="s">
        <v>25881</v>
      </c>
    </row>
    <row r="10160" spans="6:8">
      <c r="H10160" t="s">
        <v>25882</v>
      </c>
    </row>
    <row r="10161" spans="6:8">
      <c r="H10161" t="s">
        <v>25883</v>
      </c>
    </row>
    <row r="10162" spans="6:8">
      <c r="H10162" t="s">
        <v>25884</v>
      </c>
    </row>
    <row r="10163" spans="6:8">
      <c r="H10163" t="s">
        <v>25885</v>
      </c>
    </row>
    <row r="10164" spans="6:8">
      <c r="H10164" t="s">
        <v>25886</v>
      </c>
    </row>
    <row r="10165" spans="6:8">
      <c r="H10165" t="s">
        <v>25887</v>
      </c>
    </row>
    <row r="10166" spans="6:8">
      <c r="H10166" t="s">
        <v>25888</v>
      </c>
    </row>
    <row r="10167" spans="6:8">
      <c r="H10167" t="s">
        <v>25889</v>
      </c>
    </row>
    <row r="10168" spans="6:8">
      <c r="H10168" t="s">
        <v>25890</v>
      </c>
    </row>
    <row r="10169" spans="6:8">
      <c r="H10169" t="s">
        <v>25891</v>
      </c>
    </row>
    <row r="10170" spans="6:8">
      <c r="F10170" t="s">
        <v>12680</v>
      </c>
      <c r="G10170" t="s">
        <v>16884</v>
      </c>
      <c r="H10170" t="s">
        <v>25892</v>
      </c>
    </row>
    <row r="10171" spans="6:8">
      <c r="H10171" t="s">
        <v>25893</v>
      </c>
    </row>
    <row r="10172" spans="6:8">
      <c r="H10172" t="s">
        <v>25894</v>
      </c>
    </row>
    <row r="10173" spans="6:8">
      <c r="H10173" t="s">
        <v>25895</v>
      </c>
    </row>
    <row r="10174" spans="6:8">
      <c r="H10174" t="s">
        <v>25896</v>
      </c>
    </row>
    <row r="10175" spans="6:8">
      <c r="H10175" t="s">
        <v>25897</v>
      </c>
    </row>
    <row r="10176" spans="6:8">
      <c r="H10176" t="s">
        <v>25898</v>
      </c>
    </row>
    <row r="10177" spans="8:8">
      <c r="H10177" t="s">
        <v>25899</v>
      </c>
    </row>
    <row r="10178" spans="8:8">
      <c r="H10178" t="s">
        <v>25900</v>
      </c>
    </row>
    <row r="10179" spans="8:8">
      <c r="H10179" t="s">
        <v>25901</v>
      </c>
    </row>
    <row r="10180" spans="8:8">
      <c r="H10180" t="s">
        <v>25902</v>
      </c>
    </row>
    <row r="10181" spans="8:8">
      <c r="H10181" t="s">
        <v>25903</v>
      </c>
    </row>
    <row r="10182" spans="8:8">
      <c r="H10182" t="s">
        <v>25904</v>
      </c>
    </row>
    <row r="10183" spans="8:8">
      <c r="H10183" t="s">
        <v>25905</v>
      </c>
    </row>
    <row r="10184" spans="8:8">
      <c r="H10184" t="s">
        <v>25906</v>
      </c>
    </row>
    <row r="10185" spans="8:8">
      <c r="H10185" t="s">
        <v>25907</v>
      </c>
    </row>
    <row r="10186" spans="8:8">
      <c r="H10186" t="s">
        <v>25908</v>
      </c>
    </row>
    <row r="10187" spans="8:8">
      <c r="H10187" t="s">
        <v>25909</v>
      </c>
    </row>
    <row r="10188" spans="8:8">
      <c r="H10188" t="s">
        <v>25910</v>
      </c>
    </row>
    <row r="10189" spans="8:8">
      <c r="H10189" t="s">
        <v>25911</v>
      </c>
    </row>
    <row r="10190" spans="8:8">
      <c r="H10190" t="s">
        <v>25912</v>
      </c>
    </row>
    <row r="10191" spans="8:8">
      <c r="H10191" t="s">
        <v>25913</v>
      </c>
    </row>
    <row r="10192" spans="8:8">
      <c r="H10192" t="s">
        <v>25914</v>
      </c>
    </row>
    <row r="10193" spans="6:8">
      <c r="H10193" t="s">
        <v>25915</v>
      </c>
    </row>
    <row r="10194" spans="6:8">
      <c r="H10194" t="s">
        <v>25916</v>
      </c>
    </row>
    <row r="10195" spans="6:8">
      <c r="H10195" t="s">
        <v>25917</v>
      </c>
    </row>
    <row r="10196" spans="6:8">
      <c r="H10196" t="s">
        <v>25918</v>
      </c>
    </row>
    <row r="10197" spans="6:8">
      <c r="H10197" t="s">
        <v>25919</v>
      </c>
    </row>
    <row r="10198" spans="6:8">
      <c r="H10198" t="s">
        <v>25920</v>
      </c>
    </row>
    <row r="10199" spans="6:8">
      <c r="H10199" t="s">
        <v>25921</v>
      </c>
    </row>
    <row r="10200" spans="6:8">
      <c r="H10200" t="s">
        <v>25922</v>
      </c>
    </row>
    <row r="10201" spans="6:8">
      <c r="H10201" t="s">
        <v>25923</v>
      </c>
    </row>
    <row r="10202" spans="6:8">
      <c r="H10202" t="s">
        <v>25924</v>
      </c>
    </row>
    <row r="10203" spans="6:8">
      <c r="F10203" t="s">
        <v>12681</v>
      </c>
      <c r="G10203" t="s">
        <v>16885</v>
      </c>
      <c r="H10203" t="s">
        <v>25925</v>
      </c>
    </row>
    <row r="10204" spans="6:8">
      <c r="H10204" t="s">
        <v>25926</v>
      </c>
    </row>
    <row r="10205" spans="6:8">
      <c r="H10205" t="s">
        <v>25927</v>
      </c>
    </row>
    <row r="10206" spans="6:8">
      <c r="H10206" t="s">
        <v>25928</v>
      </c>
    </row>
    <row r="10207" spans="6:8">
      <c r="F10207" t="s">
        <v>12682</v>
      </c>
      <c r="G10207" t="s">
        <v>16886</v>
      </c>
      <c r="H10207" t="s">
        <v>25929</v>
      </c>
    </row>
    <row r="10208" spans="6:8">
      <c r="H10208" t="s">
        <v>25930</v>
      </c>
    </row>
    <row r="10209" spans="6:8">
      <c r="H10209" t="s">
        <v>25931</v>
      </c>
    </row>
    <row r="10210" spans="6:8">
      <c r="F10210" t="s">
        <v>12683</v>
      </c>
      <c r="G10210" t="s">
        <v>16887</v>
      </c>
      <c r="H10210" t="s">
        <v>25932</v>
      </c>
    </row>
    <row r="10211" spans="6:8">
      <c r="H10211" t="s">
        <v>25933</v>
      </c>
    </row>
    <row r="10212" spans="6:8">
      <c r="H10212" t="s">
        <v>25934</v>
      </c>
    </row>
    <row r="10213" spans="6:8">
      <c r="H10213" t="s">
        <v>25935</v>
      </c>
    </row>
    <row r="10214" spans="6:8">
      <c r="H10214" t="s">
        <v>25936</v>
      </c>
    </row>
    <row r="10215" spans="6:8">
      <c r="F10215" t="s">
        <v>12684</v>
      </c>
      <c r="G10215" t="s">
        <v>16888</v>
      </c>
      <c r="H10215" t="s">
        <v>25937</v>
      </c>
    </row>
    <row r="10216" spans="6:8">
      <c r="H10216" t="s">
        <v>25938</v>
      </c>
    </row>
    <row r="10217" spans="6:8">
      <c r="H10217" t="s">
        <v>25939</v>
      </c>
    </row>
    <row r="10218" spans="6:8">
      <c r="H10218" t="s">
        <v>25940</v>
      </c>
    </row>
    <row r="10219" spans="6:8">
      <c r="H10219" t="s">
        <v>25941</v>
      </c>
    </row>
    <row r="10220" spans="6:8">
      <c r="H10220" t="s">
        <v>25942</v>
      </c>
    </row>
    <row r="10221" spans="6:8">
      <c r="H10221" t="s">
        <v>25943</v>
      </c>
    </row>
    <row r="10222" spans="6:8">
      <c r="H10222" t="s">
        <v>25944</v>
      </c>
    </row>
    <row r="10223" spans="6:8">
      <c r="F10223" t="s">
        <v>12685</v>
      </c>
      <c r="G10223" t="s">
        <v>16889</v>
      </c>
      <c r="H10223" t="s">
        <v>25945</v>
      </c>
    </row>
    <row r="10224" spans="6:8">
      <c r="H10224" t="s">
        <v>25933</v>
      </c>
    </row>
    <row r="10225" spans="1:8">
      <c r="F10225" t="s">
        <v>12686</v>
      </c>
      <c r="G10225" t="s">
        <v>16890</v>
      </c>
      <c r="H10225" t="s">
        <v>25946</v>
      </c>
    </row>
    <row r="10226" spans="1:8">
      <c r="F10226" t="s">
        <v>12687</v>
      </c>
      <c r="G10226" t="s">
        <v>16891</v>
      </c>
      <c r="H10226" t="s">
        <v>25948</v>
      </c>
    </row>
    <row r="10227" spans="1:8">
      <c r="H10227" t="s">
        <v>25949</v>
      </c>
    </row>
    <row r="10228" spans="1:8">
      <c r="H10228" t="s">
        <v>25950</v>
      </c>
    </row>
    <row r="10229" spans="1:8">
      <c r="H10229" t="s">
        <v>25951</v>
      </c>
    </row>
    <row r="10230" spans="1:8">
      <c r="H10230" t="s">
        <v>25952</v>
      </c>
    </row>
    <row r="10231" spans="1:8">
      <c r="F10231" t="s">
        <v>12688</v>
      </c>
      <c r="G10231" t="s">
        <v>16892</v>
      </c>
      <c r="H10231" t="s">
        <v>25952</v>
      </c>
    </row>
    <row r="10232" spans="1:8">
      <c r="A10232" t="s">
        <v>853</v>
      </c>
      <c r="B10232">
        <f>HYPERLINK("https://android.googlesource.com/platform/cts/+/cdd549d382c1b8a27cfaf0daf048b493713ffe2e", "cdd549d382c1b8a27cfaf0daf048b493713ffe2e")</f>
        <v>0</v>
      </c>
      <c r="C10232">
        <f>HYPERLINK("https://android.googlesource.com/platform/cts/+/5eb0beea1659a29d1a0d8bff4e6ee2d583c860d3", "5eb0beea1659a29d1a0d8bff4e6ee2d583c860d3")</f>
        <v>0</v>
      </c>
      <c r="D10232" t="s">
        <v>5002</v>
      </c>
      <c r="E10232" t="s">
        <v>6634</v>
      </c>
      <c r="F10232" t="s">
        <v>12690</v>
      </c>
      <c r="G10232" t="s">
        <v>16894</v>
      </c>
      <c r="H10232" t="s">
        <v>25716</v>
      </c>
    </row>
    <row r="10233" spans="1:8">
      <c r="A10233" t="s">
        <v>858</v>
      </c>
      <c r="B10233">
        <f>HYPERLINK("https://android.googlesource.com/platform/cts/+/0ce632b8a1c66dc41690aec328f086eeda429768", "0ce632b8a1c66dc41690aec328f086eeda429768")</f>
        <v>0</v>
      </c>
      <c r="C10233">
        <f>HYPERLINK("https://android.googlesource.com/platform/cts/+/1c28c69c33fd2e8b84b22b240ca96c1df105e2fd", "1c28c69c33fd2e8b84b22b240ca96c1df105e2fd")</f>
        <v>0</v>
      </c>
      <c r="D10233" t="s">
        <v>5002</v>
      </c>
      <c r="E10233" t="s">
        <v>6639</v>
      </c>
      <c r="F10233" t="s">
        <v>12690</v>
      </c>
      <c r="G10233" t="s">
        <v>16894</v>
      </c>
      <c r="H10233" t="s">
        <v>25716</v>
      </c>
    </row>
    <row r="10234" spans="1:8">
      <c r="A10234" t="s">
        <v>869</v>
      </c>
      <c r="B10234">
        <f>HYPERLINK("https://android.googlesource.com/platform/cts/+/e65428769e4a484882f1f5ad4c002f53f8fff984", "e65428769e4a484882f1f5ad4c002f53f8fff984")</f>
        <v>0</v>
      </c>
      <c r="C10234">
        <f>HYPERLINK("https://android.googlesource.com/platform/cts/+/58581c3d1286052a6552c8c9c180f0fff89c3dad", "58581c3d1286052a6552c8c9c180f0fff89c3dad")</f>
        <v>0</v>
      </c>
      <c r="D10234" t="s">
        <v>5096</v>
      </c>
      <c r="E10234" t="s">
        <v>6650</v>
      </c>
      <c r="F10234" t="s">
        <v>12622</v>
      </c>
      <c r="G10234" t="s">
        <v>16832</v>
      </c>
      <c r="H10234" t="s">
        <v>25994</v>
      </c>
    </row>
    <row r="10235" spans="1:8">
      <c r="H10235" t="s">
        <v>25995</v>
      </c>
    </row>
    <row r="10236" spans="1:8">
      <c r="A10236" t="s">
        <v>870</v>
      </c>
      <c r="B10236">
        <f>HYPERLINK("https://android.googlesource.com/platform/cts/+/d8b2afae65d0b261d6ff3aaa77863a32adea6aa7", "d8b2afae65d0b261d6ff3aaa77863a32adea6aa7")</f>
        <v>0</v>
      </c>
      <c r="C10236">
        <f>HYPERLINK("https://android.googlesource.com/platform/cts/+/be10ebbd9d0fa1e05bbb1b654f4ee539b29e2869", "be10ebbd9d0fa1e05bbb1b654f4ee539b29e2869")</f>
        <v>0</v>
      </c>
      <c r="D10236" t="s">
        <v>5065</v>
      </c>
      <c r="E10236" t="s">
        <v>6651</v>
      </c>
      <c r="F10236" t="s">
        <v>12386</v>
      </c>
      <c r="G10236" t="s">
        <v>16611</v>
      </c>
      <c r="H10236" t="s">
        <v>25839</v>
      </c>
    </row>
    <row r="10237" spans="1:8">
      <c r="A10237" t="s">
        <v>872</v>
      </c>
      <c r="B10237">
        <f>HYPERLINK("https://android.googlesource.com/platform/cts/+/a99ccd9b2069ad63a404c8fe6b613fa37fd908c8", "a99ccd9b2069ad63a404c8fe6b613fa37fd908c8")</f>
        <v>0</v>
      </c>
      <c r="C10237">
        <f>HYPERLINK("https://android.googlesource.com/platform/cts/+/0bad9e7cd049ef3379708d030a19ce355cc3472d", "0bad9e7cd049ef3379708d030a19ce355cc3472d")</f>
        <v>0</v>
      </c>
      <c r="D10237" t="s">
        <v>5111</v>
      </c>
      <c r="E10237" t="s">
        <v>6653</v>
      </c>
      <c r="F10237" t="s">
        <v>12705</v>
      </c>
      <c r="G10237" t="s">
        <v>16907</v>
      </c>
      <c r="H10237" t="s">
        <v>25996</v>
      </c>
    </row>
    <row r="10238" spans="1:8">
      <c r="F10238" t="s">
        <v>12706</v>
      </c>
      <c r="G10238" t="s">
        <v>16908</v>
      </c>
      <c r="H10238" t="s">
        <v>25997</v>
      </c>
    </row>
    <row r="10239" spans="1:8">
      <c r="H10239" t="s">
        <v>25998</v>
      </c>
    </row>
    <row r="10240" spans="1:8">
      <c r="A10240" t="s">
        <v>873</v>
      </c>
      <c r="B10240">
        <f>HYPERLINK("https://android.googlesource.com/platform/cts/+/b36d21caa07701fab51142ee3880406402b3a9d2", "b36d21caa07701fab51142ee3880406402b3a9d2")</f>
        <v>0</v>
      </c>
      <c r="C10240">
        <f>HYPERLINK("https://android.googlesource.com/platform/cts/+/f5f73c32459a18fc8809c3f13603b86db7e3d2ea", "f5f73c32459a18fc8809c3f13603b86db7e3d2ea")</f>
        <v>0</v>
      </c>
      <c r="D10240" t="s">
        <v>5111</v>
      </c>
      <c r="E10240" t="s">
        <v>6654</v>
      </c>
      <c r="F10240" t="s">
        <v>12705</v>
      </c>
      <c r="G10240" t="s">
        <v>16907</v>
      </c>
      <c r="H10240" t="s">
        <v>25996</v>
      </c>
    </row>
    <row r="10241" spans="1:8">
      <c r="F10241" t="s">
        <v>12706</v>
      </c>
      <c r="G10241" t="s">
        <v>16908</v>
      </c>
      <c r="H10241" t="s">
        <v>25997</v>
      </c>
    </row>
    <row r="10242" spans="1:8">
      <c r="H10242" t="s">
        <v>25998</v>
      </c>
    </row>
    <row r="10243" spans="1:8">
      <c r="A10243" t="s">
        <v>879</v>
      </c>
      <c r="B10243">
        <f>HYPERLINK("https://android.googlesource.com/platform/cts/+/6085547eed5ccd4982a2ed0fa9ea69bbf620f435", "6085547eed5ccd4982a2ed0fa9ea69bbf620f435")</f>
        <v>0</v>
      </c>
      <c r="C10243">
        <f>HYPERLINK("https://android.googlesource.com/platform/cts/+/79ed2fbc34e4c1c740e5ceb8f9aaef164d8cbe7c", "79ed2fbc34e4c1c740e5ceb8f9aaef164d8cbe7c")</f>
        <v>0</v>
      </c>
      <c r="D10243" t="s">
        <v>5011</v>
      </c>
      <c r="E10243" t="s">
        <v>6660</v>
      </c>
      <c r="F10243" t="s">
        <v>12703</v>
      </c>
      <c r="G10243" t="s">
        <v>16906</v>
      </c>
      <c r="H10243" t="s">
        <v>26004</v>
      </c>
    </row>
    <row r="10244" spans="1:8">
      <c r="A10244" t="s">
        <v>883</v>
      </c>
      <c r="B10244">
        <f>HYPERLINK("https://android.googlesource.com/platform/cts/+/6b345c6f97dcc722caa93454db51f79417bfa07f", "6b345c6f97dcc722caa93454db51f79417bfa07f")</f>
        <v>0</v>
      </c>
      <c r="C10244">
        <f>HYPERLINK("https://android.googlesource.com/platform/cts/+/0e9f6c97bd7c7b514c0ff491ea9b0b7700db9da8", "0e9f6c97bd7c7b514c0ff491ea9b0b7700db9da8")</f>
        <v>0</v>
      </c>
      <c r="D10244" t="s">
        <v>4997</v>
      </c>
      <c r="E10244" t="s">
        <v>6664</v>
      </c>
      <c r="F10244" t="s">
        <v>12714</v>
      </c>
      <c r="G10244" t="s">
        <v>16914</v>
      </c>
      <c r="H10244" t="s">
        <v>26005</v>
      </c>
    </row>
    <row r="10245" spans="1:8">
      <c r="H10245" t="s">
        <v>26006</v>
      </c>
    </row>
    <row r="10246" spans="1:8">
      <c r="A10246" t="s">
        <v>886</v>
      </c>
      <c r="B10246">
        <f>HYPERLINK("https://android.googlesource.com/platform/cts/+/7f70ff05c578db6bf7ef6d51563a440d9afe6a91", "7f70ff05c578db6bf7ef6d51563a440d9afe6a91")</f>
        <v>0</v>
      </c>
      <c r="C10246">
        <f>HYPERLINK("https://android.googlesource.com/platform/cts/+/88137b334ea55a358860a470da58b0b8989acc3a", "88137b334ea55a358860a470da58b0b8989acc3a")</f>
        <v>0</v>
      </c>
      <c r="D10246" t="s">
        <v>5113</v>
      </c>
      <c r="E10246" t="s">
        <v>6667</v>
      </c>
      <c r="F10246" t="s">
        <v>12173</v>
      </c>
      <c r="G10246" t="s">
        <v>16412</v>
      </c>
      <c r="H10246" t="s">
        <v>26063</v>
      </c>
    </row>
    <row r="10247" spans="1:8">
      <c r="A10247" t="s">
        <v>892</v>
      </c>
      <c r="B10247">
        <f>HYPERLINK("https://android.googlesource.com/platform/cts/+/cdff076b35898bc9649f3fe4fcafc265022b4acb", "cdff076b35898bc9649f3fe4fcafc265022b4acb")</f>
        <v>0</v>
      </c>
      <c r="C10247">
        <f>HYPERLINK("https://android.googlesource.com/platform/cts/+/c87c845e78c253d88ce4fbac03d9bc62b6bd056d", "c87c845e78c253d88ce4fbac03d9bc62b6bd056d")</f>
        <v>0</v>
      </c>
      <c r="D10247" t="s">
        <v>5115</v>
      </c>
      <c r="E10247" t="s">
        <v>6673</v>
      </c>
      <c r="F10247" t="s">
        <v>12720</v>
      </c>
      <c r="G10247" t="s">
        <v>16920</v>
      </c>
      <c r="H10247" t="s">
        <v>26074</v>
      </c>
    </row>
    <row r="10248" spans="1:8">
      <c r="F10248" t="s">
        <v>12721</v>
      </c>
      <c r="G10248" t="s">
        <v>16920</v>
      </c>
      <c r="H10248" t="s">
        <v>26074</v>
      </c>
    </row>
    <row r="10249" spans="1:8">
      <c r="F10249" t="s">
        <v>12722</v>
      </c>
      <c r="G10249" t="s">
        <v>16920</v>
      </c>
      <c r="H10249" t="s">
        <v>26074</v>
      </c>
    </row>
    <row r="10250" spans="1:8">
      <c r="F10250" t="s">
        <v>12723</v>
      </c>
      <c r="G10250" t="s">
        <v>16920</v>
      </c>
      <c r="H10250" t="s">
        <v>26074</v>
      </c>
    </row>
    <row r="10251" spans="1:8">
      <c r="F10251" t="s">
        <v>12724</v>
      </c>
      <c r="G10251" t="s">
        <v>16920</v>
      </c>
      <c r="H10251" t="s">
        <v>26074</v>
      </c>
    </row>
    <row r="10252" spans="1:8">
      <c r="A10252" t="s">
        <v>894</v>
      </c>
      <c r="B10252">
        <f>HYPERLINK("https://android.googlesource.com/platform/cts/+/bf2b39b52934c754024d426b069ace1719d4f7ce", "bf2b39b52934c754024d426b069ace1719d4f7ce")</f>
        <v>0</v>
      </c>
      <c r="C10252">
        <f>HYPERLINK("https://android.googlesource.com/platform/cts/+/a36acb55ca5a134b3bbae31d74b524ce0272dbdf", "a36acb55ca5a134b3bbae31d74b524ce0272dbdf")</f>
        <v>0</v>
      </c>
      <c r="D10252" t="s">
        <v>5115</v>
      </c>
      <c r="E10252" t="s">
        <v>6675</v>
      </c>
      <c r="F10252" t="s">
        <v>12727</v>
      </c>
      <c r="G10252" t="s">
        <v>16922</v>
      </c>
      <c r="H10252" t="s">
        <v>26077</v>
      </c>
    </row>
    <row r="10253" spans="1:8">
      <c r="H10253" t="s">
        <v>26078</v>
      </c>
    </row>
    <row r="10254" spans="1:8">
      <c r="H10254" t="s">
        <v>26079</v>
      </c>
    </row>
    <row r="10255" spans="1:8">
      <c r="H10255" t="s">
        <v>26080</v>
      </c>
    </row>
    <row r="10256" spans="1:8">
      <c r="A10256" t="s">
        <v>895</v>
      </c>
      <c r="B10256">
        <f>HYPERLINK("https://android.googlesource.com/platform/cts/+/a41d49723a200eec6af9c9504a961cb2df306295", "a41d49723a200eec6af9c9504a961cb2df306295")</f>
        <v>0</v>
      </c>
      <c r="C10256">
        <f>HYPERLINK("https://android.googlesource.com/platform/cts/+/b54aa51c35a40855fd6fae092a831a7807f39ea2", "b54aa51c35a40855fd6fae092a831a7807f39ea2")</f>
        <v>0</v>
      </c>
      <c r="D10256" t="s">
        <v>5079</v>
      </c>
      <c r="E10256" t="s">
        <v>6676</v>
      </c>
      <c r="F10256" t="s">
        <v>12622</v>
      </c>
      <c r="G10256" t="s">
        <v>16832</v>
      </c>
      <c r="H10256" t="s">
        <v>25994</v>
      </c>
    </row>
    <row r="10257" spans="1:8">
      <c r="H10257" t="s">
        <v>25995</v>
      </c>
    </row>
    <row r="10258" spans="1:8">
      <c r="F10258" t="s">
        <v>12703</v>
      </c>
      <c r="G10258" t="s">
        <v>16906</v>
      </c>
      <c r="H10258" t="s">
        <v>26004</v>
      </c>
    </row>
    <row r="10259" spans="1:8">
      <c r="A10259" t="s">
        <v>897</v>
      </c>
      <c r="B10259">
        <f>HYPERLINK("https://android.googlesource.com/platform/cts/+/c12f929f29d662edf9cdaf54fc692c117c891e06", "c12f929f29d662edf9cdaf54fc692c117c891e06")</f>
        <v>0</v>
      </c>
      <c r="C10259">
        <f>HYPERLINK("https://android.googlesource.com/platform/cts/+/0689c24229072071cfe5c4fa89e27b815e506523", "0689c24229072071cfe5c4fa89e27b815e506523")</f>
        <v>0</v>
      </c>
      <c r="D10259" t="s">
        <v>5002</v>
      </c>
      <c r="E10259" t="s">
        <v>6678</v>
      </c>
      <c r="F10259" t="s">
        <v>12662</v>
      </c>
      <c r="G10259" t="s">
        <v>16867</v>
      </c>
      <c r="H10259" t="s">
        <v>26086</v>
      </c>
    </row>
    <row r="10260" spans="1:8">
      <c r="H10260" t="s">
        <v>26088</v>
      </c>
    </row>
    <row r="10261" spans="1:8">
      <c r="H10261" t="s">
        <v>26089</v>
      </c>
    </row>
    <row r="10262" spans="1:8">
      <c r="H10262" t="s">
        <v>21326</v>
      </c>
    </row>
    <row r="10263" spans="1:8">
      <c r="H10263" t="s">
        <v>26090</v>
      </c>
    </row>
    <row r="10264" spans="1:8">
      <c r="H10264" t="s">
        <v>21254</v>
      </c>
    </row>
    <row r="10265" spans="1:8">
      <c r="H10265" t="s">
        <v>26091</v>
      </c>
    </row>
    <row r="10266" spans="1:8">
      <c r="H10266" t="s">
        <v>26092</v>
      </c>
    </row>
    <row r="10267" spans="1:8">
      <c r="H10267" t="s">
        <v>26093</v>
      </c>
    </row>
    <row r="10268" spans="1:8">
      <c r="H10268" t="s">
        <v>26094</v>
      </c>
    </row>
    <row r="10269" spans="1:8">
      <c r="H10269" t="s">
        <v>24168</v>
      </c>
    </row>
    <row r="10270" spans="1:8">
      <c r="A10270" t="s">
        <v>899</v>
      </c>
      <c r="B10270">
        <f>HYPERLINK("https://android.googlesource.com/platform/cts/+/afa94ea2a9c9e1bd2db4e9c3536821eee79dee6c", "afa94ea2a9c9e1bd2db4e9c3536821eee79dee6c")</f>
        <v>0</v>
      </c>
      <c r="C10270">
        <f>HYPERLINK("https://android.googlesource.com/platform/cts/+/eefc845878e8586207a84257a72e37e4ef4e295f", "eefc845878e8586207a84257a72e37e4ef4e295f")</f>
        <v>0</v>
      </c>
      <c r="D10270" t="s">
        <v>5002</v>
      </c>
      <c r="E10270" t="s">
        <v>6680</v>
      </c>
      <c r="F10270" t="s">
        <v>12729</v>
      </c>
      <c r="G10270" t="s">
        <v>16924</v>
      </c>
      <c r="H10270" t="s">
        <v>26100</v>
      </c>
    </row>
    <row r="10271" spans="1:8">
      <c r="A10271" t="s">
        <v>901</v>
      </c>
      <c r="B10271">
        <f>HYPERLINK("https://android.googlesource.com/platform/cts/+/e989c0c16d0ff19ee509c994d0099181117ae3db", "e989c0c16d0ff19ee509c994d0099181117ae3db")</f>
        <v>0</v>
      </c>
      <c r="C10271">
        <f>HYPERLINK("https://android.googlesource.com/platform/cts/+/d8972ff406ad5af7c281ba88c184690aaf6e43c6", "d8972ff406ad5af7c281ba88c184690aaf6e43c6")</f>
        <v>0</v>
      </c>
      <c r="D10271" t="s">
        <v>5115</v>
      </c>
      <c r="E10271" t="s">
        <v>6682</v>
      </c>
      <c r="F10271" t="s">
        <v>12730</v>
      </c>
      <c r="G10271" t="s">
        <v>16925</v>
      </c>
      <c r="H10271" t="s">
        <v>26103</v>
      </c>
    </row>
    <row r="10272" spans="1:8">
      <c r="H10272" t="s">
        <v>26104</v>
      </c>
    </row>
    <row r="10273" spans="1:8">
      <c r="H10273" t="s">
        <v>26105</v>
      </c>
    </row>
    <row r="10274" spans="1:8">
      <c r="H10274" t="s">
        <v>26106</v>
      </c>
    </row>
    <row r="10275" spans="1:8">
      <c r="H10275" t="s">
        <v>26074</v>
      </c>
    </row>
    <row r="10276" spans="1:8">
      <c r="H10276" t="s">
        <v>26107</v>
      </c>
    </row>
    <row r="10277" spans="1:8">
      <c r="H10277" t="s">
        <v>26108</v>
      </c>
    </row>
    <row r="10278" spans="1:8">
      <c r="H10278" t="s">
        <v>26109</v>
      </c>
    </row>
    <row r="10279" spans="1:8">
      <c r="H10279" t="s">
        <v>26110</v>
      </c>
    </row>
    <row r="10280" spans="1:8">
      <c r="H10280" t="s">
        <v>26111</v>
      </c>
    </row>
    <row r="10281" spans="1:8">
      <c r="H10281" t="s">
        <v>26112</v>
      </c>
    </row>
    <row r="10282" spans="1:8">
      <c r="H10282" t="s">
        <v>26113</v>
      </c>
    </row>
    <row r="10283" spans="1:8">
      <c r="H10283" t="s">
        <v>26114</v>
      </c>
    </row>
    <row r="10284" spans="1:8">
      <c r="A10284" t="s">
        <v>902</v>
      </c>
      <c r="B10284">
        <f>HYPERLINK("https://android.googlesource.com/platform/cts/+/92eba402188adeefdcc42c0c0724b359cb8a3f52", "92eba402188adeefdcc42c0c0724b359cb8a3f52")</f>
        <v>0</v>
      </c>
      <c r="C10284">
        <f>HYPERLINK("https://android.googlesource.com/platform/cts/+/b9ac18d7a2bb7775816d265ee33eef636b79a99a", "b9ac18d7a2bb7775816d265ee33eef636b79a99a")</f>
        <v>0</v>
      </c>
      <c r="D10284" t="s">
        <v>5079</v>
      </c>
      <c r="E10284" t="s">
        <v>6683</v>
      </c>
      <c r="F10284" t="s">
        <v>12731</v>
      </c>
      <c r="G10284" t="s">
        <v>16920</v>
      </c>
      <c r="H10284" t="s">
        <v>26115</v>
      </c>
    </row>
    <row r="10285" spans="1:8">
      <c r="H10285" t="s">
        <v>26116</v>
      </c>
    </row>
    <row r="10286" spans="1:8">
      <c r="A10286" t="s">
        <v>903</v>
      </c>
      <c r="B10286">
        <f>HYPERLINK("https://android.googlesource.com/platform/cts/+/be782e94eed4d3892f3b74446a2b4d16a92ec2e6", "be782e94eed4d3892f3b74446a2b4d16a92ec2e6")</f>
        <v>0</v>
      </c>
      <c r="C10286">
        <f>HYPERLINK("https://android.googlesource.com/platform/cts/+/d9efe7ad69a351621f1e0e8282bc182d4b789ca2", "d9efe7ad69a351621f1e0e8282bc182d4b789ca2")</f>
        <v>0</v>
      </c>
      <c r="D10286" t="s">
        <v>4949</v>
      </c>
      <c r="E10286" t="s">
        <v>6684</v>
      </c>
      <c r="F10286" t="s">
        <v>12732</v>
      </c>
      <c r="G10286" t="s">
        <v>16926</v>
      </c>
      <c r="H10286" t="s">
        <v>26117</v>
      </c>
    </row>
    <row r="10287" spans="1:8">
      <c r="A10287" t="s">
        <v>911</v>
      </c>
      <c r="B10287">
        <f>HYPERLINK("https://android.googlesource.com/platform/cts/+/b0c1112c5cbcb837943e0b060f2c8a0400b2158a", "b0c1112c5cbcb837943e0b060f2c8a0400b2158a")</f>
        <v>0</v>
      </c>
      <c r="C10287">
        <f>HYPERLINK("https://android.googlesource.com/platform/cts/+/13c1585464a6ba445180e4d0d7d20aaaa418fcee", "13c1585464a6ba445180e4d0d7d20aaaa418fcee")</f>
        <v>0</v>
      </c>
      <c r="D10287" t="s">
        <v>5120</v>
      </c>
      <c r="E10287" t="s">
        <v>6692</v>
      </c>
      <c r="F10287" t="s">
        <v>12570</v>
      </c>
      <c r="G10287" t="s">
        <v>16786</v>
      </c>
      <c r="H10287" t="s">
        <v>26132</v>
      </c>
    </row>
    <row r="10288" spans="1:8">
      <c r="A10288" t="s">
        <v>912</v>
      </c>
      <c r="B10288">
        <f>HYPERLINK("https://android.googlesource.com/platform/cts/+/326bd0aad9db82b8d867364ad45d09a3968ea635", "326bd0aad9db82b8d867364ad45d09a3968ea635")</f>
        <v>0</v>
      </c>
      <c r="C10288">
        <f>HYPERLINK("https://android.googlesource.com/platform/cts/+/209cd9857903dfd589e1870e37d16917983476eb", "209cd9857903dfd589e1870e37d16917983476eb")</f>
        <v>0</v>
      </c>
      <c r="D10288" t="s">
        <v>4971</v>
      </c>
      <c r="E10288" t="s">
        <v>6693</v>
      </c>
      <c r="F10288" t="s">
        <v>12738</v>
      </c>
      <c r="G10288" t="s">
        <v>16931</v>
      </c>
      <c r="H10288" t="s">
        <v>26134</v>
      </c>
    </row>
    <row r="10289" spans="1:8">
      <c r="H10289" t="s">
        <v>26135</v>
      </c>
    </row>
    <row r="10290" spans="1:8">
      <c r="H10290" t="s">
        <v>26136</v>
      </c>
    </row>
    <row r="10291" spans="1:8">
      <c r="H10291" t="s">
        <v>26137</v>
      </c>
    </row>
    <row r="10292" spans="1:8">
      <c r="H10292" t="s">
        <v>26138</v>
      </c>
    </row>
    <row r="10293" spans="1:8">
      <c r="H10293" t="s">
        <v>26139</v>
      </c>
    </row>
    <row r="10294" spans="1:8">
      <c r="A10294" t="s">
        <v>919</v>
      </c>
      <c r="B10294">
        <f>HYPERLINK("https://android.googlesource.com/platform/cts/+/227bf2637d48c121b44836d9d10971c05430d804", "227bf2637d48c121b44836d9d10971c05430d804")</f>
        <v>0</v>
      </c>
      <c r="C10294">
        <f>HYPERLINK("https://android.googlesource.com/platform/cts/+/25893824f1793f56c5856807f9f0d5837b5d42bf", "25893824f1793f56c5856807f9f0d5837b5d42bf")</f>
        <v>0</v>
      </c>
      <c r="D10294" t="s">
        <v>5069</v>
      </c>
      <c r="E10294" t="s">
        <v>6699</v>
      </c>
      <c r="F10294" t="s">
        <v>10794</v>
      </c>
      <c r="G10294" t="s">
        <v>15189</v>
      </c>
      <c r="H10294" t="s">
        <v>26151</v>
      </c>
    </row>
    <row r="10295" spans="1:8">
      <c r="A10295" t="s">
        <v>926</v>
      </c>
      <c r="B10295">
        <f>HYPERLINK("https://android.googlesource.com/platform/cts/+/55c7c7f2cea318c56ebe3194708909fbde20e3e6", "55c7c7f2cea318c56ebe3194708909fbde20e3e6")</f>
        <v>0</v>
      </c>
      <c r="C10295">
        <f>HYPERLINK("https://android.googlesource.com/platform/cts/+/75a542318ed766f6d2b651306f4a1d041fa85ee1", "75a542318ed766f6d2b651306f4a1d041fa85ee1")</f>
        <v>0</v>
      </c>
      <c r="D10295" t="s">
        <v>5018</v>
      </c>
      <c r="E10295" t="s">
        <v>6705</v>
      </c>
      <c r="F10295" t="s">
        <v>12619</v>
      </c>
      <c r="G10295" t="s">
        <v>16829</v>
      </c>
      <c r="H10295" t="s">
        <v>26161</v>
      </c>
    </row>
    <row r="10296" spans="1:8">
      <c r="F10296" t="s">
        <v>12697</v>
      </c>
      <c r="G10296" t="s">
        <v>16901</v>
      </c>
      <c r="H10296" t="s">
        <v>26161</v>
      </c>
    </row>
    <row r="10297" spans="1:8">
      <c r="A10297" t="s">
        <v>928</v>
      </c>
      <c r="B10297">
        <f>HYPERLINK("https://android.googlesource.com/platform/cts/+/fca666e9af8d4d98e63cb4d391f27c362bd454a8", "fca666e9af8d4d98e63cb4d391f27c362bd454a8")</f>
        <v>0</v>
      </c>
      <c r="C10297">
        <f>HYPERLINK("https://android.googlesource.com/platform/cts/+/d711e3d97912467a49915fea4ca0d1a44e9b2b0c", "d711e3d97912467a49915fea4ca0d1a44e9b2b0c")</f>
        <v>0</v>
      </c>
      <c r="D10297" t="s">
        <v>5018</v>
      </c>
      <c r="E10297" t="s">
        <v>6707</v>
      </c>
      <c r="F10297" t="s">
        <v>12619</v>
      </c>
      <c r="G10297" t="s">
        <v>16829</v>
      </c>
      <c r="H10297" t="s">
        <v>26172</v>
      </c>
    </row>
    <row r="10298" spans="1:8">
      <c r="F10298" t="s">
        <v>12697</v>
      </c>
      <c r="G10298" t="s">
        <v>16901</v>
      </c>
      <c r="H10298" t="s">
        <v>26172</v>
      </c>
    </row>
    <row r="10299" spans="1:8">
      <c r="A10299" t="s">
        <v>929</v>
      </c>
      <c r="B10299">
        <f>HYPERLINK("https://android.googlesource.com/platform/cts/+/0e4f87371722474b2f74854c2cee1b8359dec6c0", "0e4f87371722474b2f74854c2cee1b8359dec6c0")</f>
        <v>0</v>
      </c>
      <c r="C10299">
        <f>HYPERLINK("https://android.googlesource.com/platform/cts/+/2ea6404f987026d4ded8eedc948ed40a010bc614", "2ea6404f987026d4ded8eedc948ed40a010bc614")</f>
        <v>0</v>
      </c>
      <c r="D10299" t="s">
        <v>5086</v>
      </c>
      <c r="E10299" t="s">
        <v>6708</v>
      </c>
      <c r="F10299" t="s">
        <v>12742</v>
      </c>
      <c r="G10299" t="s">
        <v>16934</v>
      </c>
      <c r="H10299" t="s">
        <v>26174</v>
      </c>
    </row>
    <row r="10300" spans="1:8">
      <c r="F10300" t="s">
        <v>12743</v>
      </c>
      <c r="G10300" t="s">
        <v>16935</v>
      </c>
      <c r="H10300" t="s">
        <v>26182</v>
      </c>
    </row>
    <row r="10301" spans="1:8">
      <c r="A10301" t="s">
        <v>930</v>
      </c>
      <c r="B10301">
        <f>HYPERLINK("https://android.googlesource.com/platform/cts/+/4dff480ff7b745c6e39da6559b5ab95f26e01ebb", "4dff480ff7b745c6e39da6559b5ab95f26e01ebb")</f>
        <v>0</v>
      </c>
      <c r="C10301">
        <f>HYPERLINK("https://android.googlesource.com/platform/cts/+/529bf964a2c298ba89a4342aaa28cd276fbe10be", "529bf964a2c298ba89a4342aaa28cd276fbe10be")</f>
        <v>0</v>
      </c>
      <c r="D10301" t="s">
        <v>5029</v>
      </c>
      <c r="E10301" t="s">
        <v>6709</v>
      </c>
      <c r="F10301" t="s">
        <v>10610</v>
      </c>
      <c r="G10301" t="s">
        <v>15013</v>
      </c>
      <c r="H10301" t="s">
        <v>26183</v>
      </c>
    </row>
    <row r="10302" spans="1:8">
      <c r="A10302" t="s">
        <v>931</v>
      </c>
      <c r="B10302">
        <f>HYPERLINK("https://android.googlesource.com/platform/cts/+/745b4d9fbe962ba5a7d3b4e289773ab133723498", "745b4d9fbe962ba5a7d3b4e289773ab133723498")</f>
        <v>0</v>
      </c>
      <c r="C10302">
        <f>HYPERLINK("https://android.googlesource.com/platform/cts/+/e6572c08c3bf2061cd81a333bb78f189e2db4a6b", "e6572c08c3bf2061cd81a333bb78f189e2db4a6b")</f>
        <v>0</v>
      </c>
      <c r="D10302" t="s">
        <v>5123</v>
      </c>
      <c r="E10302" t="s">
        <v>6710</v>
      </c>
      <c r="F10302" t="s">
        <v>10668</v>
      </c>
      <c r="G10302" t="s">
        <v>15069</v>
      </c>
      <c r="H10302" t="s">
        <v>26184</v>
      </c>
    </row>
    <row r="10303" spans="1:8">
      <c r="H10303" t="s">
        <v>26185</v>
      </c>
    </row>
    <row r="10304" spans="1:8">
      <c r="H10304" t="s">
        <v>26186</v>
      </c>
    </row>
    <row r="10305" spans="1:8">
      <c r="H10305" t="s">
        <v>26187</v>
      </c>
    </row>
    <row r="10306" spans="1:8">
      <c r="H10306" t="s">
        <v>26188</v>
      </c>
    </row>
    <row r="10307" spans="1:8">
      <c r="H10307" t="s">
        <v>26189</v>
      </c>
    </row>
    <row r="10308" spans="1:8">
      <c r="H10308" t="s">
        <v>26190</v>
      </c>
    </row>
    <row r="10309" spans="1:8">
      <c r="H10309" t="s">
        <v>26191</v>
      </c>
    </row>
    <row r="10310" spans="1:8">
      <c r="H10310" t="s">
        <v>26192</v>
      </c>
    </row>
    <row r="10311" spans="1:8">
      <c r="H10311" t="s">
        <v>26193</v>
      </c>
    </row>
    <row r="10312" spans="1:8">
      <c r="H10312" t="s">
        <v>26194</v>
      </c>
    </row>
    <row r="10313" spans="1:8">
      <c r="H10313" t="s">
        <v>26195</v>
      </c>
    </row>
    <row r="10314" spans="1:8">
      <c r="H10314" t="s">
        <v>26196</v>
      </c>
    </row>
    <row r="10315" spans="1:8">
      <c r="A10315" t="s">
        <v>932</v>
      </c>
      <c r="B10315">
        <f>HYPERLINK("https://android.googlesource.com/platform/cts/+/afed489c8b5d045e533efee015a9030b49a30c75", "afed489c8b5d045e533efee015a9030b49a30c75")</f>
        <v>0</v>
      </c>
      <c r="C10315">
        <f>HYPERLINK("https://android.googlesource.com/platform/cts/+/6f8eea9229412914ecd90f8840da2d8eb06634cc", "6f8eea9229412914ecd90f8840da2d8eb06634cc")</f>
        <v>0</v>
      </c>
      <c r="D10315" t="s">
        <v>5123</v>
      </c>
      <c r="E10315" t="s">
        <v>6711</v>
      </c>
      <c r="F10315" t="s">
        <v>10668</v>
      </c>
      <c r="G10315" t="s">
        <v>15069</v>
      </c>
      <c r="H10315" t="s">
        <v>26203</v>
      </c>
    </row>
    <row r="10316" spans="1:8">
      <c r="H10316" t="s">
        <v>26204</v>
      </c>
    </row>
    <row r="10317" spans="1:8">
      <c r="H10317" t="s">
        <v>26205</v>
      </c>
    </row>
    <row r="10318" spans="1:8">
      <c r="H10318" t="s">
        <v>26206</v>
      </c>
    </row>
    <row r="10319" spans="1:8">
      <c r="H10319" t="s">
        <v>26207</v>
      </c>
    </row>
    <row r="10320" spans="1:8">
      <c r="H10320" t="s">
        <v>26208</v>
      </c>
    </row>
    <row r="10321" spans="1:8">
      <c r="A10321" t="s">
        <v>933</v>
      </c>
      <c r="B10321">
        <f>HYPERLINK("https://android.googlesource.com/platform/cts/+/41db3385f518722e12a9b95a470f629b5715a902", "41db3385f518722e12a9b95a470f629b5715a902")</f>
        <v>0</v>
      </c>
      <c r="C10321">
        <f>HYPERLINK("https://android.googlesource.com/platform/cts/+/13e033da3568e4897c6df9c41225e92e85e8fde3", "13e033da3568e4897c6df9c41225e92e85e8fde3")</f>
        <v>0</v>
      </c>
      <c r="D10321" t="s">
        <v>5123</v>
      </c>
      <c r="E10321" t="s">
        <v>6712</v>
      </c>
      <c r="F10321" t="s">
        <v>10668</v>
      </c>
      <c r="G10321" t="s">
        <v>15069</v>
      </c>
      <c r="H10321" t="s">
        <v>26216</v>
      </c>
    </row>
    <row r="10322" spans="1:8">
      <c r="H10322" t="s">
        <v>26217</v>
      </c>
    </row>
    <row r="10323" spans="1:8">
      <c r="H10323" t="s">
        <v>26218</v>
      </c>
    </row>
    <row r="10324" spans="1:8">
      <c r="H10324" t="s">
        <v>26219</v>
      </c>
    </row>
    <row r="10325" spans="1:8">
      <c r="H10325" t="s">
        <v>26220</v>
      </c>
    </row>
    <row r="10326" spans="1:8">
      <c r="H10326" t="s">
        <v>26221</v>
      </c>
    </row>
    <row r="10327" spans="1:8">
      <c r="A10327" t="s">
        <v>934</v>
      </c>
      <c r="B10327">
        <f>HYPERLINK("https://android.googlesource.com/platform/cts/+/3f51455dc25c8e5582bb6981a0f6737d1f058c1a", "3f51455dc25c8e5582bb6981a0f6737d1f058c1a")</f>
        <v>0</v>
      </c>
      <c r="C10327">
        <f>HYPERLINK("https://android.googlesource.com/platform/cts/+/4fa953d62f751214b5f7563c83414a017ab67d27", "4fa953d62f751214b5f7563c83414a017ab67d27")</f>
        <v>0</v>
      </c>
      <c r="D10327" t="s">
        <v>5079</v>
      </c>
      <c r="E10327" t="s">
        <v>6713</v>
      </c>
      <c r="F10327" t="s">
        <v>12705</v>
      </c>
      <c r="G10327" t="s">
        <v>16907</v>
      </c>
      <c r="H10327" t="s">
        <v>25996</v>
      </c>
    </row>
    <row r="10328" spans="1:8">
      <c r="A10328" t="s">
        <v>938</v>
      </c>
      <c r="B10328">
        <f>HYPERLINK("https://android.googlesource.com/platform/cts/+/20bf624c17e25d1d98af47e26905bc288587ff1f", "20bf624c17e25d1d98af47e26905bc288587ff1f")</f>
        <v>0</v>
      </c>
      <c r="C10328">
        <f>HYPERLINK("https://android.googlesource.com/platform/cts/+/91f61b6cb1ebfeda88b506e55188681f582a88d7", "91f61b6cb1ebfeda88b506e55188681f582a88d7")</f>
        <v>0</v>
      </c>
      <c r="D10328" t="s">
        <v>5125</v>
      </c>
      <c r="E10328" t="s">
        <v>6717</v>
      </c>
      <c r="F10328" t="s">
        <v>10664</v>
      </c>
      <c r="G10328" t="s">
        <v>15065</v>
      </c>
      <c r="H10328" t="s">
        <v>26236</v>
      </c>
    </row>
    <row r="10329" spans="1:8">
      <c r="H10329" t="s">
        <v>26237</v>
      </c>
    </row>
    <row r="10330" spans="1:8">
      <c r="H10330" t="s">
        <v>26238</v>
      </c>
    </row>
    <row r="10331" spans="1:8">
      <c r="H10331" t="s">
        <v>26239</v>
      </c>
    </row>
    <row r="10332" spans="1:8">
      <c r="H10332" t="s">
        <v>26240</v>
      </c>
    </row>
    <row r="10333" spans="1:8">
      <c r="H10333" t="s">
        <v>26241</v>
      </c>
    </row>
    <row r="10334" spans="1:8">
      <c r="A10334" t="s">
        <v>947</v>
      </c>
      <c r="B10334">
        <f>HYPERLINK("https://android.googlesource.com/platform/cts/+/91a42b6b6329b2e65886bb99f0731a56ce947b2d", "91a42b6b6329b2e65886bb99f0731a56ce947b2d")</f>
        <v>0</v>
      </c>
      <c r="C10334">
        <f>HYPERLINK("https://android.googlesource.com/platform/cts/+/3feb77eaae0e114f6ae67578997ac741512cbf77", "3feb77eaae0e114f6ae67578997ac741512cbf77")</f>
        <v>0</v>
      </c>
      <c r="D10334" t="s">
        <v>5129</v>
      </c>
      <c r="E10334" t="s">
        <v>6726</v>
      </c>
      <c r="F10334" t="s">
        <v>12748</v>
      </c>
      <c r="G10334" t="s">
        <v>16939</v>
      </c>
      <c r="H10334" t="s">
        <v>26256</v>
      </c>
    </row>
    <row r="10335" spans="1:8">
      <c r="A10335" t="s">
        <v>951</v>
      </c>
      <c r="B10335">
        <f>HYPERLINK("https://android.googlesource.com/platform/cts/+/cb76377cef1653c62955555aff1f13f5c30c7480", "cb76377cef1653c62955555aff1f13f5c30c7480")</f>
        <v>0</v>
      </c>
      <c r="C10335">
        <f>HYPERLINK("https://android.googlesource.com/platform/cts/+/952879d26caf5afe9bc56d87608fc4f88d253347", "952879d26caf5afe9bc56d87608fc4f88d253347")</f>
        <v>0</v>
      </c>
      <c r="D10335" t="s">
        <v>5131</v>
      </c>
      <c r="E10335" t="s">
        <v>6730</v>
      </c>
      <c r="F10335" t="s">
        <v>12754</v>
      </c>
      <c r="G10335" t="s">
        <v>16945</v>
      </c>
      <c r="H10335" t="s">
        <v>26271</v>
      </c>
    </row>
    <row r="10336" spans="1:8">
      <c r="H10336" t="s">
        <v>26272</v>
      </c>
    </row>
    <row r="10337" spans="1:8">
      <c r="H10337" t="s">
        <v>26273</v>
      </c>
    </row>
    <row r="10338" spans="1:8">
      <c r="F10338" t="s">
        <v>12756</v>
      </c>
      <c r="G10338" t="s">
        <v>16947</v>
      </c>
      <c r="H10338" t="s">
        <v>26286</v>
      </c>
    </row>
    <row r="10339" spans="1:8">
      <c r="H10339" t="s">
        <v>26287</v>
      </c>
    </row>
    <row r="10340" spans="1:8">
      <c r="H10340" t="s">
        <v>26288</v>
      </c>
    </row>
    <row r="10341" spans="1:8">
      <c r="H10341" t="s">
        <v>26289</v>
      </c>
    </row>
    <row r="10342" spans="1:8">
      <c r="H10342" t="s">
        <v>26290</v>
      </c>
    </row>
    <row r="10343" spans="1:8">
      <c r="H10343" t="s">
        <v>26273</v>
      </c>
    </row>
    <row r="10344" spans="1:8">
      <c r="H10344" t="s">
        <v>26291</v>
      </c>
    </row>
    <row r="10345" spans="1:8">
      <c r="H10345" t="s">
        <v>26292</v>
      </c>
    </row>
    <row r="10346" spans="1:8">
      <c r="A10346" t="s">
        <v>954</v>
      </c>
      <c r="B10346">
        <f>HYPERLINK("https://android.googlesource.com/platform/cts/+/dc7e6f841006bd45e17fd3e9a0321e89e1849dbd", "dc7e6f841006bd45e17fd3e9a0321e89e1849dbd")</f>
        <v>0</v>
      </c>
      <c r="C10346">
        <f>HYPERLINK("https://android.googlesource.com/platform/cts/+/9c8a63587008c75a494531b6a747c76cf5cbbc33", "9c8a63587008c75a494531b6a747c76cf5cbbc33")</f>
        <v>0</v>
      </c>
      <c r="D10346" t="s">
        <v>5060</v>
      </c>
      <c r="E10346" t="s">
        <v>6733</v>
      </c>
      <c r="F10346" t="s">
        <v>12714</v>
      </c>
      <c r="G10346" t="s">
        <v>16914</v>
      </c>
      <c r="H10346" t="s">
        <v>26005</v>
      </c>
    </row>
    <row r="10347" spans="1:8">
      <c r="H10347" t="s">
        <v>26006</v>
      </c>
    </row>
    <row r="10348" spans="1:8">
      <c r="A10348" t="s">
        <v>955</v>
      </c>
      <c r="B10348">
        <f>HYPERLINK("https://android.googlesource.com/platform/cts/+/663bd12dc4f64ca00b26dd1d72f3a2f0b34b84d4", "663bd12dc4f64ca00b26dd1d72f3a2f0b34b84d4")</f>
        <v>0</v>
      </c>
      <c r="C10348">
        <f>HYPERLINK("https://android.googlesource.com/platform/cts/+/dc7e6f841006bd45e17fd3e9a0321e89e1849dbd", "dc7e6f841006bd45e17fd3e9a0321e89e1849dbd")</f>
        <v>0</v>
      </c>
      <c r="D10348" t="s">
        <v>5060</v>
      </c>
      <c r="E10348" t="s">
        <v>6734</v>
      </c>
      <c r="F10348" t="s">
        <v>12759</v>
      </c>
      <c r="G10348" t="s">
        <v>16950</v>
      </c>
      <c r="H10348" t="s">
        <v>26295</v>
      </c>
    </row>
    <row r="10349" spans="1:8">
      <c r="A10349" t="s">
        <v>958</v>
      </c>
      <c r="B10349">
        <f>HYPERLINK("https://android.googlesource.com/platform/cts/+/0fc33180d15abf5efff5e1327a696f1a2d748247", "0fc33180d15abf5efff5e1327a696f1a2d748247")</f>
        <v>0</v>
      </c>
      <c r="C10349">
        <f>HYPERLINK("https://android.googlesource.com/platform/cts/+/1784dee4390648dce2e5603e6576dd4e5db2ff32", "1784dee4390648dce2e5603e6576dd4e5db2ff32")</f>
        <v>0</v>
      </c>
      <c r="D10349" t="s">
        <v>5085</v>
      </c>
      <c r="E10349" t="s">
        <v>6737</v>
      </c>
      <c r="F10349" t="s">
        <v>12762</v>
      </c>
      <c r="G10349" t="s">
        <v>16953</v>
      </c>
      <c r="H10349" t="s">
        <v>26304</v>
      </c>
    </row>
    <row r="10350" spans="1:8">
      <c r="A10350" t="s">
        <v>964</v>
      </c>
      <c r="B10350">
        <f>HYPERLINK("https://android.googlesource.com/platform/cts/+/d012d2f8b50f9c336c3dd9b1be4e3acb01fa1fe8", "d012d2f8b50f9c336c3dd9b1be4e3acb01fa1fe8")</f>
        <v>0</v>
      </c>
      <c r="C10350">
        <f>HYPERLINK("https://android.googlesource.com/platform/cts/+/f15cf53fd0180c60b538e56a47f30ef12db91ca6", "f15cf53fd0180c60b538e56a47f30ef12db91ca6")</f>
        <v>0</v>
      </c>
      <c r="D10350" t="s">
        <v>5133</v>
      </c>
      <c r="E10350" t="s">
        <v>6742</v>
      </c>
      <c r="F10350" t="s">
        <v>12765</v>
      </c>
      <c r="G10350" t="s">
        <v>16954</v>
      </c>
      <c r="H10350" t="s">
        <v>26320</v>
      </c>
    </row>
    <row r="10351" spans="1:8">
      <c r="H10351" t="s">
        <v>26321</v>
      </c>
    </row>
    <row r="10352" spans="1:8">
      <c r="A10352" t="s">
        <v>966</v>
      </c>
      <c r="B10352">
        <f>HYPERLINK("https://android.googlesource.com/platform/cts/+/3732f6692eab24553b62b81b762e45e1e187061b", "3732f6692eab24553b62b81b762e45e1e187061b")</f>
        <v>0</v>
      </c>
      <c r="C10352">
        <f>HYPERLINK("https://android.googlesource.com/platform/cts/+/4a4ac91534edc4304a0eb6bdabcfba60fa7ec652", "4a4ac91534edc4304a0eb6bdabcfba60fa7ec652")</f>
        <v>0</v>
      </c>
      <c r="D10352" t="s">
        <v>5085</v>
      </c>
      <c r="E10352" t="s">
        <v>6744</v>
      </c>
      <c r="F10352" t="s">
        <v>12766</v>
      </c>
      <c r="G10352" t="s">
        <v>16940</v>
      </c>
      <c r="H10352" t="s">
        <v>26323</v>
      </c>
    </row>
    <row r="10353" spans="1:8">
      <c r="F10353" t="s">
        <v>12768</v>
      </c>
      <c r="G10353" t="s">
        <v>15710</v>
      </c>
      <c r="H10353" t="s">
        <v>26345</v>
      </c>
    </row>
    <row r="10354" spans="1:8">
      <c r="H10354" t="s">
        <v>26346</v>
      </c>
    </row>
    <row r="10355" spans="1:8">
      <c r="A10355" t="s">
        <v>970</v>
      </c>
      <c r="B10355">
        <f>HYPERLINK("https://android.googlesource.com/platform/cts/+/daffcecfeebd53e06e4e43dfe6905a84742a16e7", "daffcecfeebd53e06e4e43dfe6905a84742a16e7")</f>
        <v>0</v>
      </c>
      <c r="C10355">
        <f>HYPERLINK("https://android.googlesource.com/platform/cts/+/a3f94678cb10cbb9b1ad997591c98c22c7e71358", "a3f94678cb10cbb9b1ad997591c98c22c7e71358")</f>
        <v>0</v>
      </c>
      <c r="D10355" t="s">
        <v>5134</v>
      </c>
      <c r="E10355" t="s">
        <v>6748</v>
      </c>
      <c r="F10355" t="s">
        <v>12771</v>
      </c>
      <c r="G10355" t="s">
        <v>16958</v>
      </c>
      <c r="H10355" t="s">
        <v>26355</v>
      </c>
    </row>
    <row r="10356" spans="1:8">
      <c r="A10356" t="s">
        <v>971</v>
      </c>
      <c r="B10356">
        <f>HYPERLINK("https://android.googlesource.com/platform/cts/+/19dd977c92c89d3b2702ecabfd9d2d48c5bdd070", "19dd977c92c89d3b2702ecabfd9d2d48c5bdd070")</f>
        <v>0</v>
      </c>
      <c r="C10356">
        <f>HYPERLINK("https://android.googlesource.com/platform/cts/+/b1b723186902c71913b16ca2d6daae77b700bf36", "b1b723186902c71913b16ca2d6daae77b700bf36")</f>
        <v>0</v>
      </c>
      <c r="D10356" t="s">
        <v>5118</v>
      </c>
      <c r="E10356" t="s">
        <v>6749</v>
      </c>
      <c r="F10356" t="s">
        <v>12733</v>
      </c>
      <c r="G10356" t="s">
        <v>16854</v>
      </c>
      <c r="H10356" t="s">
        <v>26356</v>
      </c>
    </row>
    <row r="10357" spans="1:8">
      <c r="A10357" t="s">
        <v>973</v>
      </c>
      <c r="B10357">
        <f>HYPERLINK("https://android.googlesource.com/platform/cts/+/50a0db7e76e2380940e5ec1cf7fafd9592a062f5", "50a0db7e76e2380940e5ec1cf7fafd9592a062f5")</f>
        <v>0</v>
      </c>
      <c r="C10357">
        <f>HYPERLINK("https://android.googlesource.com/platform/cts/+/98c5cb02cc2f63cb403e83c38afb37736780a897", "98c5cb02cc2f63cb403e83c38afb37736780a897")</f>
        <v>0</v>
      </c>
      <c r="D10357" t="s">
        <v>5060</v>
      </c>
      <c r="E10357" t="s">
        <v>6751</v>
      </c>
      <c r="F10357" t="s">
        <v>12342</v>
      </c>
      <c r="G10357" t="s">
        <v>16570</v>
      </c>
      <c r="H10357" t="s">
        <v>24992</v>
      </c>
    </row>
    <row r="10358" spans="1:8">
      <c r="A10358" t="s">
        <v>974</v>
      </c>
      <c r="B10358">
        <f>HYPERLINK("https://android.googlesource.com/platform/cts/+/ae4a5536526101acf98eea60db85536d1819b203", "ae4a5536526101acf98eea60db85536d1819b203")</f>
        <v>0</v>
      </c>
      <c r="C10358">
        <f>HYPERLINK("https://android.googlesource.com/platform/cts/+/e4ba0dcedf949349880eb547b90ca878c66a375e", "e4ba0dcedf949349880eb547b90ca878c66a375e")</f>
        <v>0</v>
      </c>
      <c r="D10358" t="s">
        <v>5060</v>
      </c>
      <c r="E10358" t="s">
        <v>6752</v>
      </c>
      <c r="F10358" t="s">
        <v>12342</v>
      </c>
      <c r="G10358" t="s">
        <v>16570</v>
      </c>
      <c r="H10358" t="s">
        <v>24992</v>
      </c>
    </row>
    <row r="10359" spans="1:8">
      <c r="A10359" t="s">
        <v>976</v>
      </c>
      <c r="B10359">
        <f>HYPERLINK("https://android.googlesource.com/platform/cts/+/286f6fcd85c64eac9bb778303d114f5eb8bc46d1", "286f6fcd85c64eac9bb778303d114f5eb8bc46d1")</f>
        <v>0</v>
      </c>
      <c r="C10359">
        <f>HYPERLINK("https://android.googlesource.com/platform/cts/+/7c1d6150506403cb33e0f0f7d593789acfdaa628", "7c1d6150506403cb33e0f0f7d593789acfdaa628")</f>
        <v>0</v>
      </c>
      <c r="D10359" t="s">
        <v>5134</v>
      </c>
      <c r="E10359" t="s">
        <v>6754</v>
      </c>
      <c r="F10359" t="s">
        <v>12773</v>
      </c>
      <c r="G10359" t="s">
        <v>15100</v>
      </c>
      <c r="H10359" t="s">
        <v>26361</v>
      </c>
    </row>
    <row r="10360" spans="1:8">
      <c r="H10360" t="s">
        <v>26362</v>
      </c>
    </row>
    <row r="10361" spans="1:8">
      <c r="A10361" t="s">
        <v>977</v>
      </c>
      <c r="B10361">
        <f>HYPERLINK("https://android.googlesource.com/platform/cts/+/71a1a7085bb98d48ea9f10347d0c7f714a7c6e0c", "71a1a7085bb98d48ea9f10347d0c7f714a7c6e0c")</f>
        <v>0</v>
      </c>
      <c r="C10361">
        <f>HYPERLINK("https://android.googlesource.com/platform/cts/+/180f7fd154eada6fa82bf13b36bd392f349a6c61", "180f7fd154eada6fa82bf13b36bd392f349a6c61")</f>
        <v>0</v>
      </c>
      <c r="D10361" t="s">
        <v>5137</v>
      </c>
      <c r="E10361" t="s">
        <v>6755</v>
      </c>
      <c r="F10361" t="s">
        <v>12768</v>
      </c>
      <c r="G10361" t="s">
        <v>15710</v>
      </c>
      <c r="H10361" t="s">
        <v>26364</v>
      </c>
    </row>
    <row r="10362" spans="1:8">
      <c r="H10362" t="s">
        <v>26365</v>
      </c>
    </row>
    <row r="10363" spans="1:8">
      <c r="A10363" t="s">
        <v>978</v>
      </c>
      <c r="B10363">
        <f>HYPERLINK("https://android.googlesource.com/platform/cts/+/4fd3ca36abd6437ff8bf4d4ff24ffe1321413d0a", "4fd3ca36abd6437ff8bf4d4ff24ffe1321413d0a")</f>
        <v>0</v>
      </c>
      <c r="C10363">
        <f>HYPERLINK("https://android.googlesource.com/platform/cts/+/dc7d94929e909289731a833df59e39a5d5daab1f", "dc7d94929e909289731a833df59e39a5d5daab1f")</f>
        <v>0</v>
      </c>
      <c r="D10363" t="s">
        <v>5085</v>
      </c>
      <c r="E10363" t="s">
        <v>6756</v>
      </c>
      <c r="F10363" t="s">
        <v>12745</v>
      </c>
      <c r="G10363" t="s">
        <v>16937</v>
      </c>
      <c r="H10363" t="s">
        <v>25782</v>
      </c>
    </row>
    <row r="10364" spans="1:8">
      <c r="H10364" t="s">
        <v>25781</v>
      </c>
    </row>
    <row r="10365" spans="1:8">
      <c r="A10365" t="s">
        <v>983</v>
      </c>
      <c r="B10365">
        <f>HYPERLINK("https://android.googlesource.com/platform/cts/+/987019298727695c2b202081153a2bd67de1b063", "987019298727695c2b202081153a2bd67de1b063")</f>
        <v>0</v>
      </c>
      <c r="C10365">
        <f>HYPERLINK("https://android.googlesource.com/platform/cts/+/f480e061734cc4f08aa141a18b0985fbcc2e4f5b", "f480e061734cc4f08aa141a18b0985fbcc2e4f5b")</f>
        <v>0</v>
      </c>
      <c r="D10365" t="s">
        <v>5073</v>
      </c>
      <c r="E10365" t="s">
        <v>6761</v>
      </c>
      <c r="F10365" t="s">
        <v>12776</v>
      </c>
      <c r="G10365" t="s">
        <v>16961</v>
      </c>
      <c r="H10365" t="s">
        <v>26370</v>
      </c>
    </row>
    <row r="10366" spans="1:8">
      <c r="A10366" t="s">
        <v>984</v>
      </c>
      <c r="B10366">
        <f>HYPERLINK("https://android.googlesource.com/platform/cts/+/0f095ca986d7558f9f5260c71a12cef4474d9da3", "0f095ca986d7558f9f5260c71a12cef4474d9da3")</f>
        <v>0</v>
      </c>
      <c r="C10366">
        <f>HYPERLINK("https://android.googlesource.com/platform/cts/+/d8232b1acfa2fafb2329f4ac70015d2411fa862f", "d8232b1acfa2fafb2329f4ac70015d2411fa862f")</f>
        <v>0</v>
      </c>
      <c r="D10366" t="s">
        <v>5132</v>
      </c>
      <c r="E10366" t="s">
        <v>6762</v>
      </c>
      <c r="F10366" t="s">
        <v>10794</v>
      </c>
      <c r="G10366" t="s">
        <v>15189</v>
      </c>
      <c r="H10366" t="s">
        <v>26371</v>
      </c>
    </row>
    <row r="10367" spans="1:8">
      <c r="A10367" t="s">
        <v>985</v>
      </c>
      <c r="B10367">
        <f>HYPERLINK("https://android.googlesource.com/platform/cts/+/219c1171cf01c735ee805132084e79add5c5aa7e", "219c1171cf01c735ee805132084e79add5c5aa7e")</f>
        <v>0</v>
      </c>
      <c r="C10367">
        <f>HYPERLINK("https://android.googlesource.com/platform/cts/+/931d2695337f70f1abf31253c42e3bdf6eb338e2", "931d2695337f70f1abf31253c42e3bdf6eb338e2")</f>
        <v>0</v>
      </c>
      <c r="D10367" t="s">
        <v>4997</v>
      </c>
      <c r="E10367" t="s">
        <v>6763</v>
      </c>
      <c r="F10367" t="s">
        <v>12714</v>
      </c>
      <c r="G10367" t="s">
        <v>16914</v>
      </c>
      <c r="H10367" t="s">
        <v>26005</v>
      </c>
    </row>
    <row r="10368" spans="1:8">
      <c r="H10368" t="s">
        <v>26006</v>
      </c>
    </row>
    <row r="10369" spans="1:8">
      <c r="A10369" t="s">
        <v>987</v>
      </c>
      <c r="B10369">
        <f>HYPERLINK("https://android.googlesource.com/platform/cts/+/e5955cd84c0af809e11d232b1d1139cbfc3b4e6e", "e5955cd84c0af809e11d232b1d1139cbfc3b4e6e")</f>
        <v>0</v>
      </c>
      <c r="C10369">
        <f>HYPERLINK("https://android.googlesource.com/platform/cts/+/dbdf5086ddaa5bdc6d4793a930bc05f9fdba3609", "dbdf5086ddaa5bdc6d4793a930bc05f9fdba3609")</f>
        <v>0</v>
      </c>
      <c r="D10369" t="s">
        <v>5028</v>
      </c>
      <c r="E10369" t="s">
        <v>6765</v>
      </c>
      <c r="F10369" t="s">
        <v>12778</v>
      </c>
      <c r="G10369" t="s">
        <v>16963</v>
      </c>
      <c r="H10369" t="s">
        <v>26379</v>
      </c>
    </row>
    <row r="10370" spans="1:8">
      <c r="A10370" t="s">
        <v>992</v>
      </c>
      <c r="B10370">
        <f>HYPERLINK("https://android.googlesource.com/platform/cts/+/4767e57cc2cd10c648ef9c6cdab8d72c17410021", "4767e57cc2cd10c648ef9c6cdab8d72c17410021")</f>
        <v>0</v>
      </c>
      <c r="C10370">
        <f>HYPERLINK("https://android.googlesource.com/platform/cts/+/f0fd1a60a6f389bed1eaf2959d581506de8d84dc", "f0fd1a60a6f389bed1eaf2959d581506de8d84dc")</f>
        <v>0</v>
      </c>
      <c r="D10370" t="s">
        <v>4973</v>
      </c>
      <c r="E10370" t="s">
        <v>6770</v>
      </c>
      <c r="F10370" t="s">
        <v>12781</v>
      </c>
      <c r="G10370" t="s">
        <v>16966</v>
      </c>
      <c r="H10370" t="s">
        <v>26389</v>
      </c>
    </row>
    <row r="10371" spans="1:8">
      <c r="H10371" t="s">
        <v>26390</v>
      </c>
    </row>
    <row r="10372" spans="1:8">
      <c r="A10372" t="s">
        <v>996</v>
      </c>
      <c r="B10372">
        <f>HYPERLINK("https://android.googlesource.com/platform/cts/+/c65fc930b0d82ed2836c3c869a8c8123299ad877", "c65fc930b0d82ed2836c3c869a8c8123299ad877")</f>
        <v>0</v>
      </c>
      <c r="C10372">
        <f>HYPERLINK("https://android.googlesource.com/platform/cts/+/0e478bc1c528df4d395557d077c4f3a7e0291105", "0e478bc1c528df4d395557d077c4f3a7e0291105")</f>
        <v>0</v>
      </c>
      <c r="D10372" t="s">
        <v>5114</v>
      </c>
      <c r="E10372" t="s">
        <v>6774</v>
      </c>
      <c r="F10372" t="s">
        <v>12783</v>
      </c>
      <c r="G10372" t="s">
        <v>16968</v>
      </c>
      <c r="H10372" t="s">
        <v>26407</v>
      </c>
    </row>
    <row r="10373" spans="1:8">
      <c r="F10373" t="s">
        <v>12785</v>
      </c>
      <c r="G10373" t="s">
        <v>16970</v>
      </c>
      <c r="H10373" t="s">
        <v>26407</v>
      </c>
    </row>
    <row r="10374" spans="1:8">
      <c r="A10374" t="s">
        <v>999</v>
      </c>
      <c r="B10374">
        <f>HYPERLINK("https://android.googlesource.com/platform/cts/+/5da72853ae42b0443c57bad37d543d5f02d40f81", "5da72853ae42b0443c57bad37d543d5f02d40f81")</f>
        <v>0</v>
      </c>
      <c r="C10374">
        <f>HYPERLINK("https://android.googlesource.com/platform/cts/+/3b62e6a7073fae56b662ba813cfe04dab6bd2c51", "3b62e6a7073fae56b662ba813cfe04dab6bd2c51")</f>
        <v>0</v>
      </c>
      <c r="D10374" t="s">
        <v>5029</v>
      </c>
      <c r="E10374" t="s">
        <v>6777</v>
      </c>
      <c r="F10374" t="s">
        <v>10645</v>
      </c>
      <c r="G10374" t="s">
        <v>15046</v>
      </c>
      <c r="H10374" t="s">
        <v>26409</v>
      </c>
    </row>
    <row r="10375" spans="1:8">
      <c r="H10375" t="s">
        <v>26410</v>
      </c>
    </row>
    <row r="10376" spans="1:8">
      <c r="A10376" t="s">
        <v>1000</v>
      </c>
      <c r="B10376">
        <f>HYPERLINK("https://android.googlesource.com/platform/cts/+/62a8f5963039a89980f1d24374f514872cc5bf43", "62a8f5963039a89980f1d24374f514872cc5bf43")</f>
        <v>0</v>
      </c>
      <c r="C10376">
        <f>HYPERLINK("https://android.googlesource.com/platform/cts/+/3b62e6a7073fae56b662ba813cfe04dab6bd2c51", "3b62e6a7073fae56b662ba813cfe04dab6bd2c51")</f>
        <v>0</v>
      </c>
      <c r="D10376" t="s">
        <v>5029</v>
      </c>
      <c r="E10376" t="s">
        <v>6778</v>
      </c>
      <c r="F10376" t="s">
        <v>10644</v>
      </c>
      <c r="G10376" t="s">
        <v>15045</v>
      </c>
      <c r="H10376" t="s">
        <v>26413</v>
      </c>
    </row>
    <row r="10377" spans="1:8">
      <c r="A10377" t="s">
        <v>1004</v>
      </c>
      <c r="B10377">
        <f>HYPERLINK("https://android.googlesource.com/platform/cts/+/7ac81e5517486a0b57a0882e5fbbc30d26c5cd34", "7ac81e5517486a0b57a0882e5fbbc30d26c5cd34")</f>
        <v>0</v>
      </c>
      <c r="C10377">
        <f>HYPERLINK("https://android.googlesource.com/platform/cts/+/a8c33dfd623fc76e9f568e91f8d39549aae95222", "a8c33dfd623fc76e9f568e91f8d39549aae95222")</f>
        <v>0</v>
      </c>
      <c r="D10377" t="s">
        <v>5144</v>
      </c>
      <c r="E10377" t="s">
        <v>6782</v>
      </c>
      <c r="F10377" t="s">
        <v>12789</v>
      </c>
      <c r="G10377" t="s">
        <v>16972</v>
      </c>
      <c r="H10377" t="s">
        <v>26419</v>
      </c>
    </row>
    <row r="10378" spans="1:8">
      <c r="F10378" t="s">
        <v>12790</v>
      </c>
      <c r="G10378" t="s">
        <v>16973</v>
      </c>
      <c r="H10378" t="s">
        <v>19183</v>
      </c>
    </row>
    <row r="10379" spans="1:8">
      <c r="H10379" t="s">
        <v>19184</v>
      </c>
    </row>
    <row r="10380" spans="1:8">
      <c r="F10380" t="s">
        <v>12791</v>
      </c>
      <c r="G10380" t="s">
        <v>16974</v>
      </c>
      <c r="H10380" t="s">
        <v>26420</v>
      </c>
    </row>
    <row r="10381" spans="1:8">
      <c r="A10381" t="s">
        <v>1006</v>
      </c>
      <c r="B10381">
        <f>HYPERLINK("https://android.googlesource.com/platform/cts/+/ffe206d0fa6f5aab66da6af8d74714b2ea6fbca8", "ffe206d0fa6f5aab66da6af8d74714b2ea6fbca8")</f>
        <v>0</v>
      </c>
      <c r="C10381">
        <f>HYPERLINK("https://android.googlesource.com/platform/cts/+/79d03fac83c57fb659ba628a6375a8a8c3b28f07", "79d03fac83c57fb659ba628a6375a8a8c3b28f07")</f>
        <v>0</v>
      </c>
      <c r="D10381" t="s">
        <v>5029</v>
      </c>
      <c r="E10381" t="s">
        <v>6784</v>
      </c>
      <c r="F10381" t="s">
        <v>12793</v>
      </c>
      <c r="G10381" t="s">
        <v>16976</v>
      </c>
      <c r="H10381" t="s">
        <v>26424</v>
      </c>
    </row>
    <row r="10382" spans="1:8">
      <c r="F10382" t="s">
        <v>12794</v>
      </c>
      <c r="G10382" t="s">
        <v>16977</v>
      </c>
      <c r="H10382" t="s">
        <v>26424</v>
      </c>
    </row>
    <row r="10383" spans="1:8">
      <c r="A10383" t="s">
        <v>1009</v>
      </c>
      <c r="B10383">
        <f>HYPERLINK("https://android.googlesource.com/platform/cts/+/dc7920db557edae6f3ce67918995d2216efb6942", "dc7920db557edae6f3ce67918995d2216efb6942")</f>
        <v>0</v>
      </c>
      <c r="C10383">
        <f>HYPERLINK("https://android.googlesource.com/platform/cts/+/ceceb252dd6a5102144373bd5aebef6fcb962b20", "ceceb252dd6a5102144373bd5aebef6fcb962b20")</f>
        <v>0</v>
      </c>
      <c r="D10383" t="s">
        <v>5141</v>
      </c>
      <c r="E10383" t="s">
        <v>6787</v>
      </c>
      <c r="F10383" t="s">
        <v>12798</v>
      </c>
      <c r="G10383" t="s">
        <v>16980</v>
      </c>
      <c r="H10383" t="s">
        <v>26428</v>
      </c>
    </row>
    <row r="10384" spans="1:8">
      <c r="H10384" t="s">
        <v>26429</v>
      </c>
    </row>
    <row r="10385" spans="1:8">
      <c r="F10385" t="s">
        <v>12799</v>
      </c>
      <c r="G10385" t="s">
        <v>16981</v>
      </c>
      <c r="H10385" t="s">
        <v>26430</v>
      </c>
    </row>
    <row r="10386" spans="1:8">
      <c r="H10386" t="s">
        <v>26429</v>
      </c>
    </row>
    <row r="10387" spans="1:8">
      <c r="A10387" t="s">
        <v>1010</v>
      </c>
      <c r="B10387">
        <f>HYPERLINK("https://android.googlesource.com/platform/cts/+/88e3b22925216a9916d38e9ec67a2911699fd207", "88e3b22925216a9916d38e9ec67a2911699fd207")</f>
        <v>0</v>
      </c>
      <c r="C10387">
        <f>HYPERLINK("https://android.googlesource.com/platform/cts/+/ceceb252dd6a5102144373bd5aebef6fcb962b20", "ceceb252dd6a5102144373bd5aebef6fcb962b20")</f>
        <v>0</v>
      </c>
      <c r="D10387" t="s">
        <v>5145</v>
      </c>
      <c r="E10387" t="s">
        <v>6788</v>
      </c>
      <c r="F10387" t="s">
        <v>12800</v>
      </c>
      <c r="G10387" t="s">
        <v>16982</v>
      </c>
      <c r="H10387" t="s">
        <v>26431</v>
      </c>
    </row>
    <row r="10388" spans="1:8">
      <c r="A10388" t="s">
        <v>1011</v>
      </c>
      <c r="B10388">
        <f>HYPERLINK("https://android.googlesource.com/platform/cts/+/db006ec1c828f532a84c5015e45dd9313324bc80", "db006ec1c828f532a84c5015e45dd9313324bc80")</f>
        <v>0</v>
      </c>
      <c r="C10388">
        <f>HYPERLINK("https://android.googlesource.com/platform/cts/+/b12e1a10acae150e4d9c4fe8083fe2c069a0f96d", "b12e1a10acae150e4d9c4fe8083fe2c069a0f96d")</f>
        <v>0</v>
      </c>
      <c r="D10388" t="s">
        <v>5029</v>
      </c>
      <c r="E10388" t="s">
        <v>6789</v>
      </c>
      <c r="F10388" t="s">
        <v>12801</v>
      </c>
      <c r="G10388" t="s">
        <v>16983</v>
      </c>
      <c r="H10388" t="s">
        <v>26432</v>
      </c>
    </row>
    <row r="10389" spans="1:8">
      <c r="A10389" t="s">
        <v>1013</v>
      </c>
      <c r="B10389">
        <f>HYPERLINK("https://android.googlesource.com/platform/cts/+/adca35a2393600069563826b6f7fc23fe2be929d", "adca35a2393600069563826b6f7fc23fe2be929d")</f>
        <v>0</v>
      </c>
      <c r="C10389">
        <f>HYPERLINK("https://android.googlesource.com/platform/cts/+/427501f4c2964b0b6e1d84a2ccf450830c3b8d9a", "427501f4c2964b0b6e1d84a2ccf450830c3b8d9a")</f>
        <v>0</v>
      </c>
      <c r="D10389" t="s">
        <v>5143</v>
      </c>
      <c r="E10389" t="s">
        <v>6791</v>
      </c>
      <c r="F10389" t="s">
        <v>12734</v>
      </c>
      <c r="G10389" t="s">
        <v>16927</v>
      </c>
      <c r="H10389" t="s">
        <v>26438</v>
      </c>
    </row>
    <row r="10390" spans="1:8">
      <c r="A10390" t="s">
        <v>1014</v>
      </c>
      <c r="B10390">
        <f>HYPERLINK("https://android.googlesource.com/platform/cts/+/5bd64517bf00af002c4c5febb6cdce7fb62a5b16", "5bd64517bf00af002c4c5febb6cdce7fb62a5b16")</f>
        <v>0</v>
      </c>
      <c r="C10390">
        <f>HYPERLINK("https://android.googlesource.com/platform/cts/+/3ccbf12472866c72a393ea42838213c292db37d1", "3ccbf12472866c72a393ea42838213c292db37d1")</f>
        <v>0</v>
      </c>
      <c r="D10390" t="s">
        <v>5146</v>
      </c>
      <c r="E10390" t="s">
        <v>6792</v>
      </c>
      <c r="F10390" t="s">
        <v>12803</v>
      </c>
      <c r="G10390" t="s">
        <v>16985</v>
      </c>
      <c r="H10390" t="s">
        <v>26439</v>
      </c>
    </row>
    <row r="10391" spans="1:8">
      <c r="H10391" t="s">
        <v>26440</v>
      </c>
    </row>
    <row r="10392" spans="1:8">
      <c r="H10392" t="s">
        <v>26441</v>
      </c>
    </row>
    <row r="10393" spans="1:8">
      <c r="H10393" t="s">
        <v>26442</v>
      </c>
    </row>
    <row r="10394" spans="1:8">
      <c r="H10394" t="s">
        <v>26443</v>
      </c>
    </row>
    <row r="10395" spans="1:8">
      <c r="H10395" t="s">
        <v>26444</v>
      </c>
    </row>
    <row r="10396" spans="1:8">
      <c r="H10396" t="s">
        <v>26445</v>
      </c>
    </row>
    <row r="10397" spans="1:8">
      <c r="H10397" t="s">
        <v>26446</v>
      </c>
    </row>
    <row r="10398" spans="1:8">
      <c r="H10398" t="s">
        <v>26447</v>
      </c>
    </row>
    <row r="10399" spans="1:8">
      <c r="H10399" t="s">
        <v>26448</v>
      </c>
    </row>
    <row r="10400" spans="1:8">
      <c r="H10400" t="s">
        <v>26449</v>
      </c>
    </row>
    <row r="10401" spans="1:8">
      <c r="H10401" t="s">
        <v>26450</v>
      </c>
    </row>
    <row r="10402" spans="1:8">
      <c r="H10402" t="s">
        <v>26451</v>
      </c>
    </row>
    <row r="10403" spans="1:8">
      <c r="H10403" t="s">
        <v>26452</v>
      </c>
    </row>
    <row r="10404" spans="1:8">
      <c r="H10404" t="s">
        <v>26453</v>
      </c>
    </row>
    <row r="10405" spans="1:8">
      <c r="H10405" t="s">
        <v>26454</v>
      </c>
    </row>
    <row r="10406" spans="1:8">
      <c r="H10406" t="s">
        <v>26455</v>
      </c>
    </row>
    <row r="10407" spans="1:8">
      <c r="H10407" t="s">
        <v>26456</v>
      </c>
    </row>
    <row r="10408" spans="1:8">
      <c r="A10408" t="s">
        <v>1015</v>
      </c>
      <c r="B10408">
        <f>HYPERLINK("https://android.googlesource.com/platform/cts/+/7b6cd266cc67dc7b6972c9fd1e3586071648bcdb", "7b6cd266cc67dc7b6972c9fd1e3586071648bcdb")</f>
        <v>0</v>
      </c>
      <c r="C10408">
        <f>HYPERLINK("https://android.googlesource.com/platform/cts/+/e38e6229bfe5502698b5d51f5beff3a1b179b4e8", "e38e6229bfe5502698b5d51f5beff3a1b179b4e8")</f>
        <v>0</v>
      </c>
      <c r="D10408" t="s">
        <v>5147</v>
      </c>
      <c r="E10408" t="s">
        <v>6793</v>
      </c>
      <c r="F10408" t="s">
        <v>12804</v>
      </c>
      <c r="G10408" t="s">
        <v>16986</v>
      </c>
      <c r="H10408" t="s">
        <v>26457</v>
      </c>
    </row>
    <row r="10409" spans="1:8">
      <c r="A10409" t="s">
        <v>1020</v>
      </c>
      <c r="B10409">
        <f>HYPERLINK("https://android.googlesource.com/platform/cts/+/b94e0ec10073287283b579424cc2a2de80295984", "b94e0ec10073287283b579424cc2a2de80295984")</f>
        <v>0</v>
      </c>
      <c r="C10409">
        <f>HYPERLINK("https://android.googlesource.com/platform/cts/+/ceceb252dd6a5102144373bd5aebef6fcb962b20", "ceceb252dd6a5102144373bd5aebef6fcb962b20")</f>
        <v>0</v>
      </c>
      <c r="D10409" t="s">
        <v>5145</v>
      </c>
      <c r="E10409" t="s">
        <v>6798</v>
      </c>
      <c r="F10409" t="s">
        <v>12800</v>
      </c>
      <c r="G10409" t="s">
        <v>16982</v>
      </c>
      <c r="H10409" t="s">
        <v>26431</v>
      </c>
    </row>
    <row r="10410" spans="1:8">
      <c r="A10410" t="s">
        <v>1022</v>
      </c>
      <c r="B10410">
        <f>HYPERLINK("https://android.googlesource.com/platform/cts/+/2330f4564c94283c21eaf5461baa987cc68556c8", "2330f4564c94283c21eaf5461baa987cc68556c8")</f>
        <v>0</v>
      </c>
      <c r="C10410">
        <f>HYPERLINK("https://android.googlesource.com/platform/cts/+/75b1984a8a84243bc3b3aa2ccdf563fa33200af2", "75b1984a8a84243bc3b3aa2ccdf563fa33200af2")</f>
        <v>0</v>
      </c>
      <c r="D10410" t="s">
        <v>5118</v>
      </c>
      <c r="E10410" t="s">
        <v>6800</v>
      </c>
      <c r="F10410" t="s">
        <v>10744</v>
      </c>
      <c r="G10410" t="s">
        <v>15143</v>
      </c>
      <c r="H10410" t="s">
        <v>26477</v>
      </c>
    </row>
    <row r="10411" spans="1:8">
      <c r="A10411" t="s">
        <v>1025</v>
      </c>
      <c r="B10411">
        <f>HYPERLINK("https://android.googlesource.com/platform/cts/+/2a855feb22706cf2e757938e19bd9cf9f4c749c2", "2a855feb22706cf2e757938e19bd9cf9f4c749c2")</f>
        <v>0</v>
      </c>
      <c r="C10411">
        <f>HYPERLINK("https://android.googlesource.com/platform/cts/+/2cae0e6925eb37e78c3697b0b8fa9a3c0d30992b", "2cae0e6925eb37e78c3697b0b8fa9a3c0d30992b")</f>
        <v>0</v>
      </c>
      <c r="D10411" t="s">
        <v>5134</v>
      </c>
      <c r="E10411" t="s">
        <v>6803</v>
      </c>
      <c r="F10411" t="s">
        <v>12809</v>
      </c>
      <c r="G10411" t="s">
        <v>16990</v>
      </c>
      <c r="H10411" t="s">
        <v>26484</v>
      </c>
    </row>
    <row r="10412" spans="1:8">
      <c r="H10412" t="s">
        <v>26485</v>
      </c>
    </row>
    <row r="10413" spans="1:8">
      <c r="H10413" t="s">
        <v>26487</v>
      </c>
    </row>
    <row r="10414" spans="1:8">
      <c r="H10414" t="s">
        <v>26488</v>
      </c>
    </row>
    <row r="10415" spans="1:8">
      <c r="H10415" t="s">
        <v>26489</v>
      </c>
    </row>
    <row r="10416" spans="1:8">
      <c r="A10416" t="s">
        <v>1028</v>
      </c>
      <c r="B10416">
        <f>HYPERLINK("https://android.googlesource.com/platform/cts/+/8f9c5318b57196ac7d2df256f8ecc757ca87733f", "8f9c5318b57196ac7d2df256f8ecc757ca87733f")</f>
        <v>0</v>
      </c>
      <c r="C10416">
        <f>HYPERLINK("https://android.googlesource.com/platform/cts/+/b8d88313e62b5ea6036e34a77e603c6505fea4a5", "b8d88313e62b5ea6036e34a77e603c6505fea4a5")</f>
        <v>0</v>
      </c>
      <c r="D10416" t="s">
        <v>5151</v>
      </c>
      <c r="E10416" t="s">
        <v>6806</v>
      </c>
      <c r="F10416" t="s">
        <v>12812</v>
      </c>
      <c r="G10416" t="s">
        <v>16993</v>
      </c>
      <c r="H10416" t="s">
        <v>26519</v>
      </c>
    </row>
    <row r="10417" spans="1:8">
      <c r="A10417" t="s">
        <v>1030</v>
      </c>
      <c r="B10417">
        <f>HYPERLINK("https://android.googlesource.com/platform/cts/+/545a9d771dc758bac9863a06db922e3f0356c230", "545a9d771dc758bac9863a06db922e3f0356c230")</f>
        <v>0</v>
      </c>
      <c r="C10417">
        <f>HYPERLINK("https://android.googlesource.com/platform/cts/+/aa8ed1d506635768dc1f45b4e95f636341844d75", "aa8ed1d506635768dc1f45b4e95f636341844d75")</f>
        <v>0</v>
      </c>
      <c r="D10417" t="s">
        <v>5152</v>
      </c>
      <c r="E10417" t="s">
        <v>6808</v>
      </c>
      <c r="F10417" t="s">
        <v>12714</v>
      </c>
      <c r="G10417" t="s">
        <v>16914</v>
      </c>
      <c r="H10417" t="s">
        <v>26005</v>
      </c>
    </row>
    <row r="10418" spans="1:8">
      <c r="H10418" t="s">
        <v>26006</v>
      </c>
    </row>
    <row r="10419" spans="1:8">
      <c r="A10419" t="s">
        <v>1034</v>
      </c>
      <c r="B10419">
        <f>HYPERLINK("https://android.googlesource.com/platform/cts/+/2d82709451bda4243a2b542e69f61c09423ec248", "2d82709451bda4243a2b542e69f61c09423ec248")</f>
        <v>0</v>
      </c>
      <c r="C10419">
        <f>HYPERLINK("https://android.googlesource.com/platform/cts/+/0f31c5a7aaf741612ec159d58e8246a611bf6f2f", "0f31c5a7aaf741612ec159d58e8246a611bf6f2f")</f>
        <v>0</v>
      </c>
      <c r="D10419" t="s">
        <v>4952</v>
      </c>
      <c r="E10419" t="s">
        <v>6812</v>
      </c>
      <c r="F10419" t="s">
        <v>12817</v>
      </c>
      <c r="G10419" t="s">
        <v>16629</v>
      </c>
      <c r="H10419" t="s">
        <v>22747</v>
      </c>
    </row>
    <row r="10420" spans="1:8">
      <c r="A10420" t="s">
        <v>1036</v>
      </c>
      <c r="B10420">
        <f>HYPERLINK("https://android.googlesource.com/platform/cts/+/bbcc0f185fd3b2cd6faeea1b4a8bbb885628d9b5", "bbcc0f185fd3b2cd6faeea1b4a8bbb885628d9b5")</f>
        <v>0</v>
      </c>
      <c r="C10420">
        <f>HYPERLINK("https://android.googlesource.com/platform/cts/+/c9acf324cd32f7bc7668b428927f21c67ad1c765", "c9acf324cd32f7bc7668b428927f21c67ad1c765")</f>
        <v>0</v>
      </c>
      <c r="D10420" t="s">
        <v>5143</v>
      </c>
      <c r="E10420" t="s">
        <v>6814</v>
      </c>
      <c r="F10420" t="s">
        <v>11442</v>
      </c>
      <c r="G10420" t="s">
        <v>15682</v>
      </c>
      <c r="H10420" t="s">
        <v>26530</v>
      </c>
    </row>
    <row r="10421" spans="1:8">
      <c r="H10421" t="s">
        <v>18981</v>
      </c>
    </row>
    <row r="10422" spans="1:8">
      <c r="H10422" t="s">
        <v>26531</v>
      </c>
    </row>
    <row r="10423" spans="1:8">
      <c r="A10423" t="s">
        <v>1039</v>
      </c>
      <c r="B10423">
        <f>HYPERLINK("https://android.googlesource.com/platform/cts/+/a42b7b4142cda75ed37ef6cc5f3e84f5aa07797c", "a42b7b4142cda75ed37ef6cc5f3e84f5aa07797c")</f>
        <v>0</v>
      </c>
      <c r="C10423">
        <f>HYPERLINK("https://android.googlesource.com/platform/cts/+/2a445cb1df8840f90ec49b1d08b8c1a2661250b9", "2a445cb1df8840f90ec49b1d08b8c1a2661250b9")</f>
        <v>0</v>
      </c>
      <c r="D10423" t="s">
        <v>5152</v>
      </c>
      <c r="E10423" t="s">
        <v>6817</v>
      </c>
      <c r="F10423" t="s">
        <v>12759</v>
      </c>
      <c r="G10423" t="s">
        <v>16950</v>
      </c>
      <c r="H10423" t="s">
        <v>26295</v>
      </c>
    </row>
    <row r="10424" spans="1:8">
      <c r="A10424" t="s">
        <v>1052</v>
      </c>
      <c r="B10424">
        <f>HYPERLINK("https://android.googlesource.com/platform/cts/+/d31f7df59f21c51b7bf2abaeb415292ace61fb76", "d31f7df59f21c51b7bf2abaeb415292ace61fb76")</f>
        <v>0</v>
      </c>
      <c r="C10424">
        <f>HYPERLINK("https://android.googlesource.com/platform/cts/+/b5daad8c1685e65d4af2197a496a2cd39fe1872e", "b5daad8c1685e65d4af2197a496a2cd39fe1872e")</f>
        <v>0</v>
      </c>
      <c r="D10424" t="s">
        <v>5132</v>
      </c>
      <c r="E10424" t="s">
        <v>6829</v>
      </c>
      <c r="F10424" t="s">
        <v>10794</v>
      </c>
      <c r="G10424" t="s">
        <v>15189</v>
      </c>
      <c r="H10424" t="s">
        <v>26558</v>
      </c>
    </row>
    <row r="10425" spans="1:8">
      <c r="H10425" t="s">
        <v>26559</v>
      </c>
    </row>
    <row r="10426" spans="1:8">
      <c r="H10426" t="s">
        <v>26560</v>
      </c>
    </row>
    <row r="10427" spans="1:8">
      <c r="A10427" t="s">
        <v>1054</v>
      </c>
      <c r="B10427">
        <f>HYPERLINK("https://android.googlesource.com/platform/cts/+/6c4b47cd022d9d2fdadbca2716fea168245bdff2", "6c4b47cd022d9d2fdadbca2716fea168245bdff2")</f>
        <v>0</v>
      </c>
      <c r="C10427">
        <f>HYPERLINK("https://android.googlesource.com/platform/cts/+/f986270bdc2fc78fec95a8f9e6e886d829846433", "f986270bdc2fc78fec95a8f9e6e886d829846433")</f>
        <v>0</v>
      </c>
      <c r="D10427" t="s">
        <v>5006</v>
      </c>
      <c r="E10427" t="s">
        <v>6831</v>
      </c>
      <c r="F10427" t="s">
        <v>12833</v>
      </c>
      <c r="G10427" t="s">
        <v>16915</v>
      </c>
      <c r="H10427" t="s">
        <v>26010</v>
      </c>
    </row>
    <row r="10428" spans="1:8">
      <c r="H10428" t="s">
        <v>26011</v>
      </c>
    </row>
    <row r="10429" spans="1:8">
      <c r="H10429" t="s">
        <v>26012</v>
      </c>
    </row>
    <row r="10430" spans="1:8">
      <c r="H10430" t="s">
        <v>26013</v>
      </c>
    </row>
    <row r="10431" spans="1:8">
      <c r="H10431" t="s">
        <v>26014</v>
      </c>
    </row>
    <row r="10432" spans="1:8">
      <c r="H10432" t="s">
        <v>26015</v>
      </c>
    </row>
    <row r="10433" spans="8:8">
      <c r="H10433" t="s">
        <v>26016</v>
      </c>
    </row>
    <row r="10434" spans="8:8">
      <c r="H10434" t="s">
        <v>26017</v>
      </c>
    </row>
    <row r="10435" spans="8:8">
      <c r="H10435" t="s">
        <v>26018</v>
      </c>
    </row>
    <row r="10436" spans="8:8">
      <c r="H10436" t="s">
        <v>26019</v>
      </c>
    </row>
    <row r="10437" spans="8:8">
      <c r="H10437" t="s">
        <v>26020</v>
      </c>
    </row>
    <row r="10438" spans="8:8">
      <c r="H10438" t="s">
        <v>26021</v>
      </c>
    </row>
    <row r="10439" spans="8:8">
      <c r="H10439" t="s">
        <v>26022</v>
      </c>
    </row>
    <row r="10440" spans="8:8">
      <c r="H10440" t="s">
        <v>26023</v>
      </c>
    </row>
    <row r="10441" spans="8:8">
      <c r="H10441" t="s">
        <v>26024</v>
      </c>
    </row>
    <row r="10442" spans="8:8">
      <c r="H10442" t="s">
        <v>26025</v>
      </c>
    </row>
    <row r="10443" spans="8:8">
      <c r="H10443" t="s">
        <v>26026</v>
      </c>
    </row>
    <row r="10444" spans="8:8">
      <c r="H10444" t="s">
        <v>26027</v>
      </c>
    </row>
    <row r="10445" spans="8:8">
      <c r="H10445" t="s">
        <v>26028</v>
      </c>
    </row>
    <row r="10446" spans="8:8">
      <c r="H10446" t="s">
        <v>26029</v>
      </c>
    </row>
    <row r="10447" spans="8:8">
      <c r="H10447" t="s">
        <v>26030</v>
      </c>
    </row>
    <row r="10448" spans="8:8">
      <c r="H10448" t="s">
        <v>26031</v>
      </c>
    </row>
    <row r="10449" spans="8:8">
      <c r="H10449" t="s">
        <v>26032</v>
      </c>
    </row>
    <row r="10450" spans="8:8">
      <c r="H10450" t="s">
        <v>26033</v>
      </c>
    </row>
    <row r="10451" spans="8:8">
      <c r="H10451" t="s">
        <v>26034</v>
      </c>
    </row>
    <row r="10452" spans="8:8">
      <c r="H10452" t="s">
        <v>26035</v>
      </c>
    </row>
    <row r="10453" spans="8:8">
      <c r="H10453" t="s">
        <v>26036</v>
      </c>
    </row>
    <row r="10454" spans="8:8">
      <c r="H10454" t="s">
        <v>26037</v>
      </c>
    </row>
    <row r="10455" spans="8:8">
      <c r="H10455" t="s">
        <v>26038</v>
      </c>
    </row>
    <row r="10456" spans="8:8">
      <c r="H10456" t="s">
        <v>26039</v>
      </c>
    </row>
    <row r="10457" spans="8:8">
      <c r="H10457" t="s">
        <v>26040</v>
      </c>
    </row>
    <row r="10458" spans="8:8">
      <c r="H10458" t="s">
        <v>26041</v>
      </c>
    </row>
    <row r="10459" spans="8:8">
      <c r="H10459" t="s">
        <v>26042</v>
      </c>
    </row>
    <row r="10460" spans="8:8">
      <c r="H10460" t="s">
        <v>26043</v>
      </c>
    </row>
    <row r="10461" spans="8:8">
      <c r="H10461" t="s">
        <v>26044</v>
      </c>
    </row>
    <row r="10462" spans="8:8">
      <c r="H10462" t="s">
        <v>26045</v>
      </c>
    </row>
    <row r="10463" spans="8:8">
      <c r="H10463" t="s">
        <v>26046</v>
      </c>
    </row>
    <row r="10464" spans="8:8">
      <c r="H10464" t="s">
        <v>26047</v>
      </c>
    </row>
    <row r="10465" spans="1:8">
      <c r="H10465" t="s">
        <v>26048</v>
      </c>
    </row>
    <row r="10466" spans="1:8">
      <c r="H10466" t="s">
        <v>26049</v>
      </c>
    </row>
    <row r="10467" spans="1:8">
      <c r="A10467" t="s">
        <v>1062</v>
      </c>
      <c r="B10467">
        <f>HYPERLINK("https://android.googlesource.com/platform/cts/+/a23bb8c6b9ce153e5be73168fd153dc1b3004ea9", "a23bb8c6b9ce153e5be73168fd153dc1b3004ea9")</f>
        <v>0</v>
      </c>
      <c r="C10467">
        <f>HYPERLINK("https://android.googlesource.com/platform/cts/+/bab3e3b57d481b40f5e602a6b5ebfabdbeffc27d", "bab3e3b57d481b40f5e602a6b5ebfabdbeffc27d")</f>
        <v>0</v>
      </c>
      <c r="D10467" t="s">
        <v>5146</v>
      </c>
      <c r="E10467" t="s">
        <v>6839</v>
      </c>
      <c r="F10467" t="s">
        <v>12846</v>
      </c>
      <c r="G10467" t="s">
        <v>17017</v>
      </c>
      <c r="H10467" t="s">
        <v>26613</v>
      </c>
    </row>
    <row r="10468" spans="1:8">
      <c r="A10468" t="s">
        <v>1064</v>
      </c>
      <c r="B10468">
        <f>HYPERLINK("https://android.googlesource.com/platform/cts/+/2037e79742e618fd3e35163165398ac8c57fe012", "2037e79742e618fd3e35163165398ac8c57fe012")</f>
        <v>0</v>
      </c>
      <c r="C10468">
        <f>HYPERLINK("https://android.googlesource.com/platform/cts/+/1e33d3d5406db08edc3fa43c62d8b4a77a541732", "1e33d3d5406db08edc3fa43c62d8b4a77a541732")</f>
        <v>0</v>
      </c>
      <c r="D10468" t="s">
        <v>5060</v>
      </c>
      <c r="E10468" t="s">
        <v>6841</v>
      </c>
      <c r="F10468" t="s">
        <v>12849</v>
      </c>
      <c r="G10468" t="s">
        <v>17019</v>
      </c>
      <c r="H10468" t="s">
        <v>26623</v>
      </c>
    </row>
    <row r="10469" spans="1:8">
      <c r="F10469" t="s">
        <v>12850</v>
      </c>
      <c r="G10469" t="s">
        <v>17020</v>
      </c>
      <c r="H10469" t="s">
        <v>26625</v>
      </c>
    </row>
    <row r="10470" spans="1:8">
      <c r="H10470" t="s">
        <v>26626</v>
      </c>
    </row>
    <row r="10471" spans="1:8">
      <c r="H10471" t="s">
        <v>26627</v>
      </c>
    </row>
    <row r="10472" spans="1:8">
      <c r="H10472" t="s">
        <v>26628</v>
      </c>
    </row>
    <row r="10473" spans="1:8">
      <c r="H10473" t="s">
        <v>26629</v>
      </c>
    </row>
    <row r="10474" spans="1:8">
      <c r="H10474" t="s">
        <v>26630</v>
      </c>
    </row>
    <row r="10475" spans="1:8">
      <c r="F10475" t="s">
        <v>12705</v>
      </c>
      <c r="G10475" t="s">
        <v>16907</v>
      </c>
      <c r="H10475" t="s">
        <v>26631</v>
      </c>
    </row>
    <row r="10476" spans="1:8">
      <c r="H10476" t="s">
        <v>26632</v>
      </c>
    </row>
    <row r="10477" spans="1:8">
      <c r="H10477" t="s">
        <v>26633</v>
      </c>
    </row>
    <row r="10478" spans="1:8">
      <c r="H10478" t="s">
        <v>26634</v>
      </c>
    </row>
    <row r="10479" spans="1:8">
      <c r="H10479" t="s">
        <v>25996</v>
      </c>
    </row>
    <row r="10480" spans="1:8">
      <c r="H10480" t="s">
        <v>26635</v>
      </c>
    </row>
    <row r="10481" spans="1:8">
      <c r="F10481" t="s">
        <v>12851</v>
      </c>
      <c r="G10481" t="s">
        <v>17021</v>
      </c>
      <c r="H10481" t="s">
        <v>26636</v>
      </c>
    </row>
    <row r="10482" spans="1:8">
      <c r="H10482" t="s">
        <v>26637</v>
      </c>
    </row>
    <row r="10483" spans="1:8">
      <c r="F10483" t="s">
        <v>12852</v>
      </c>
      <c r="G10483" t="s">
        <v>17022</v>
      </c>
      <c r="H10483" t="s">
        <v>26638</v>
      </c>
    </row>
    <row r="10484" spans="1:8">
      <c r="F10484" t="s">
        <v>12706</v>
      </c>
      <c r="G10484" t="s">
        <v>16908</v>
      </c>
      <c r="H10484" t="s">
        <v>25997</v>
      </c>
    </row>
    <row r="10485" spans="1:8">
      <c r="H10485" t="s">
        <v>25998</v>
      </c>
    </row>
    <row r="10486" spans="1:8">
      <c r="A10486" t="s">
        <v>1066</v>
      </c>
      <c r="B10486">
        <f>HYPERLINK("https://android.googlesource.com/platform/cts/+/ee2588bbc0bdb2cf2f755327fcd3acffe0473206", "ee2588bbc0bdb2cf2f755327fcd3acffe0473206")</f>
        <v>0</v>
      </c>
      <c r="C10486">
        <f>HYPERLINK("https://android.googlesource.com/platform/cts/+/c2f9d8f3db67f3802ed9a2cd0e91575674b12d58", "c2f9d8f3db67f3802ed9a2cd0e91575674b12d58")</f>
        <v>0</v>
      </c>
      <c r="D10486" t="s">
        <v>5145</v>
      </c>
      <c r="E10486" t="s">
        <v>6843</v>
      </c>
      <c r="F10486" t="s">
        <v>12854</v>
      </c>
      <c r="G10486" t="s">
        <v>17024</v>
      </c>
      <c r="H10486" t="s">
        <v>19013</v>
      </c>
    </row>
    <row r="10487" spans="1:8">
      <c r="H10487" t="s">
        <v>18835</v>
      </c>
    </row>
    <row r="10488" spans="1:8">
      <c r="A10488" t="s">
        <v>1067</v>
      </c>
      <c r="B10488">
        <f>HYPERLINK("https://android.googlesource.com/platform/cts/+/05b3b03b4d262d3868cde3cf4b8260405506734a", "05b3b03b4d262d3868cde3cf4b8260405506734a")</f>
        <v>0</v>
      </c>
      <c r="C10488">
        <f>HYPERLINK("https://android.googlesource.com/platform/cts/+/9ab4d52013d3e426eb61631db3dcc4775524b3f8", "9ab4d52013d3e426eb61631db3dcc4775524b3f8")</f>
        <v>0</v>
      </c>
      <c r="D10488" t="s">
        <v>5159</v>
      </c>
      <c r="E10488" t="s">
        <v>6844</v>
      </c>
      <c r="F10488" t="s">
        <v>12850</v>
      </c>
      <c r="G10488" t="s">
        <v>17020</v>
      </c>
      <c r="H10488" t="s">
        <v>26628</v>
      </c>
    </row>
    <row r="10489" spans="1:8">
      <c r="A10489" t="s">
        <v>1069</v>
      </c>
      <c r="B10489">
        <f>HYPERLINK("https://android.googlesource.com/platform/cts/+/4f6c30d1fb50043bcbc4ee94799ebe8dbeabf334", "4f6c30d1fb50043bcbc4ee94799ebe8dbeabf334")</f>
        <v>0</v>
      </c>
      <c r="C10489">
        <f>HYPERLINK("https://android.googlesource.com/platform/cts/+/dccba47f570a23f7b49f3515b8e1b432a686bfa5", "dccba47f570a23f7b49f3515b8e1b432a686bfa5")</f>
        <v>0</v>
      </c>
      <c r="D10489" t="s">
        <v>5152</v>
      </c>
      <c r="E10489" t="s">
        <v>6846</v>
      </c>
      <c r="F10489" t="s">
        <v>12342</v>
      </c>
      <c r="G10489" t="s">
        <v>16570</v>
      </c>
      <c r="H10489" t="s">
        <v>26647</v>
      </c>
    </row>
    <row r="10490" spans="1:8">
      <c r="H10490" t="s">
        <v>26648</v>
      </c>
    </row>
    <row r="10491" spans="1:8">
      <c r="H10491" t="s">
        <v>26649</v>
      </c>
    </row>
    <row r="10492" spans="1:8">
      <c r="H10492" t="s">
        <v>26650</v>
      </c>
    </row>
    <row r="10493" spans="1:8">
      <c r="H10493" t="s">
        <v>26651</v>
      </c>
    </row>
    <row r="10494" spans="1:8">
      <c r="A10494" t="s">
        <v>1071</v>
      </c>
      <c r="B10494">
        <f>HYPERLINK("https://android.googlesource.com/platform/cts/+/551c7913ec661fcd4d883dbf1259b275f4a200b7", "551c7913ec661fcd4d883dbf1259b275f4a200b7")</f>
        <v>0</v>
      </c>
      <c r="C10494">
        <f>HYPERLINK("https://android.googlesource.com/platform/cts/+/33caf82ccf75749eabf9461064a90c9c7e9ffd1d", "33caf82ccf75749eabf9461064a90c9c7e9ffd1d")</f>
        <v>0</v>
      </c>
      <c r="D10494" t="s">
        <v>5143</v>
      </c>
      <c r="E10494" t="s">
        <v>6848</v>
      </c>
      <c r="F10494" t="s">
        <v>10584</v>
      </c>
      <c r="G10494" t="s">
        <v>14987</v>
      </c>
      <c r="H10494" t="s">
        <v>26659</v>
      </c>
    </row>
    <row r="10495" spans="1:8">
      <c r="H10495" t="s">
        <v>26660</v>
      </c>
    </row>
    <row r="10496" spans="1:8">
      <c r="H10496" t="s">
        <v>18888</v>
      </c>
    </row>
    <row r="10497" spans="1:8">
      <c r="H10497" t="s">
        <v>26661</v>
      </c>
    </row>
    <row r="10498" spans="1:8">
      <c r="A10498" t="s">
        <v>1074</v>
      </c>
      <c r="B10498">
        <f>HYPERLINK("https://android.googlesource.com/platform/cts/+/a4ad1a40e3fb65d8eb21816009b08fd2129c6aed", "a4ad1a40e3fb65d8eb21816009b08fd2129c6aed")</f>
        <v>0</v>
      </c>
      <c r="C10498">
        <f>HYPERLINK("https://android.googlesource.com/platform/cts/+/ee869092e862e5ade5a519e8cc702b53ba2d8649", "ee869092e862e5ade5a519e8cc702b53ba2d8649")</f>
        <v>0</v>
      </c>
      <c r="D10498" t="s">
        <v>5143</v>
      </c>
      <c r="E10498" t="s">
        <v>6851</v>
      </c>
      <c r="F10498" t="s">
        <v>12382</v>
      </c>
      <c r="G10498" t="s">
        <v>16608</v>
      </c>
      <c r="H10498" t="s">
        <v>26680</v>
      </c>
    </row>
    <row r="10499" spans="1:8">
      <c r="A10499" t="s">
        <v>1077</v>
      </c>
      <c r="B10499">
        <f>HYPERLINK("https://android.googlesource.com/platform/cts/+/93f3f6838de0c518413a677fe7b72facbcb8183d", "93f3f6838de0c518413a677fe7b72facbcb8183d")</f>
        <v>0</v>
      </c>
      <c r="C10499">
        <f>HYPERLINK("https://android.googlesource.com/platform/cts/+/ee9cfbc0b46a07d24a6caec5c98c3652c3b77f84", "ee9cfbc0b46a07d24a6caec5c98c3652c3b77f84")</f>
        <v>0</v>
      </c>
      <c r="D10499" t="s">
        <v>5132</v>
      </c>
      <c r="E10499" t="s">
        <v>6854</v>
      </c>
      <c r="F10499" t="s">
        <v>12857</v>
      </c>
      <c r="G10499" t="s">
        <v>17027</v>
      </c>
      <c r="H10499" t="s">
        <v>26683</v>
      </c>
    </row>
    <row r="10500" spans="1:8">
      <c r="A10500" t="s">
        <v>1081</v>
      </c>
      <c r="B10500">
        <f>HYPERLINK("https://android.googlesource.com/platform/cts/+/dc782f228cd376fe8e20e7762402bc859164a6e1", "dc782f228cd376fe8e20e7762402bc859164a6e1")</f>
        <v>0</v>
      </c>
      <c r="C10500">
        <f>HYPERLINK("https://android.googlesource.com/platform/cts/+/5a1cbf9b51eaa72e7269fc0354b9eb7b13b15cc4", "5a1cbf9b51eaa72e7269fc0354b9eb7b13b15cc4")</f>
        <v>0</v>
      </c>
      <c r="D10500" t="s">
        <v>5117</v>
      </c>
      <c r="E10500" t="s">
        <v>6858</v>
      </c>
      <c r="F10500" t="s">
        <v>12859</v>
      </c>
      <c r="G10500" t="s">
        <v>17028</v>
      </c>
      <c r="H10500" t="s">
        <v>26689</v>
      </c>
    </row>
    <row r="10501" spans="1:8">
      <c r="A10501" t="s">
        <v>1083</v>
      </c>
      <c r="B10501">
        <f>HYPERLINK("https://android.googlesource.com/platform/cts/+/b112f44e5dde4e2c37968c0d4b45b86e28e5fb84", "b112f44e5dde4e2c37968c0d4b45b86e28e5fb84")</f>
        <v>0</v>
      </c>
      <c r="C10501">
        <f>HYPERLINK("https://android.googlesource.com/platform/cts/+/baafc246e58bf2ca31f58af51efc9564db45fa80", "baafc246e58bf2ca31f58af51efc9564db45fa80")</f>
        <v>0</v>
      </c>
      <c r="D10501" t="s">
        <v>5051</v>
      </c>
      <c r="E10501" t="s">
        <v>6860</v>
      </c>
      <c r="F10501" t="s">
        <v>12642</v>
      </c>
      <c r="G10501" t="s">
        <v>16850</v>
      </c>
      <c r="H10501" t="s">
        <v>26692</v>
      </c>
    </row>
    <row r="10502" spans="1:8">
      <c r="H10502" t="s">
        <v>26693</v>
      </c>
    </row>
    <row r="10503" spans="1:8">
      <c r="H10503" t="s">
        <v>26694</v>
      </c>
    </row>
    <row r="10504" spans="1:8">
      <c r="H10504" t="s">
        <v>26695</v>
      </c>
    </row>
    <row r="10505" spans="1:8">
      <c r="H10505" t="s">
        <v>26696</v>
      </c>
    </row>
    <row r="10506" spans="1:8">
      <c r="H10506" t="s">
        <v>26697</v>
      </c>
    </row>
    <row r="10507" spans="1:8">
      <c r="F10507" t="s">
        <v>12861</v>
      </c>
      <c r="G10507" t="s">
        <v>17030</v>
      </c>
      <c r="H10507" t="s">
        <v>26698</v>
      </c>
    </row>
    <row r="10508" spans="1:8">
      <c r="H10508" t="s">
        <v>26699</v>
      </c>
    </row>
    <row r="10509" spans="1:8">
      <c r="H10509" t="s">
        <v>26700</v>
      </c>
    </row>
    <row r="10510" spans="1:8">
      <c r="H10510" t="s">
        <v>26701</v>
      </c>
    </row>
    <row r="10511" spans="1:8">
      <c r="F10511" t="s">
        <v>12862</v>
      </c>
      <c r="G10511" t="s">
        <v>16610</v>
      </c>
      <c r="H10511" t="s">
        <v>26702</v>
      </c>
    </row>
    <row r="10512" spans="1:8">
      <c r="H10512" t="s">
        <v>26703</v>
      </c>
    </row>
    <row r="10513" spans="1:8">
      <c r="H10513" t="s">
        <v>26704</v>
      </c>
    </row>
    <row r="10514" spans="1:8">
      <c r="H10514" t="s">
        <v>26705</v>
      </c>
    </row>
    <row r="10515" spans="1:8">
      <c r="H10515" t="s">
        <v>26706</v>
      </c>
    </row>
    <row r="10516" spans="1:8">
      <c r="F10516" t="s">
        <v>12863</v>
      </c>
      <c r="G10516" t="s">
        <v>17031</v>
      </c>
      <c r="H10516" t="s">
        <v>26684</v>
      </c>
    </row>
    <row r="10517" spans="1:8">
      <c r="H10517" t="s">
        <v>26707</v>
      </c>
    </row>
    <row r="10518" spans="1:8">
      <c r="F10518" t="s">
        <v>12864</v>
      </c>
      <c r="G10518" t="s">
        <v>17032</v>
      </c>
      <c r="H10518" t="s">
        <v>26708</v>
      </c>
    </row>
    <row r="10519" spans="1:8">
      <c r="F10519" t="s">
        <v>12865</v>
      </c>
      <c r="G10519" t="s">
        <v>17033</v>
      </c>
      <c r="H10519" t="s">
        <v>26709</v>
      </c>
    </row>
    <row r="10520" spans="1:8">
      <c r="H10520" t="s">
        <v>26710</v>
      </c>
    </row>
    <row r="10521" spans="1:8">
      <c r="H10521" t="s">
        <v>26711</v>
      </c>
    </row>
    <row r="10522" spans="1:8">
      <c r="A10522" t="s">
        <v>1085</v>
      </c>
      <c r="B10522">
        <f>HYPERLINK("https://android.googlesource.com/platform/cts/+/fe9883f2e9025d8f86982749e631bbef14b10361", "fe9883f2e9025d8f86982749e631bbef14b10361")</f>
        <v>0</v>
      </c>
      <c r="C10522">
        <f>HYPERLINK("https://android.googlesource.com/platform/cts/+/9adcd0087f4103298af0f3d9031353bca92d6b22", "9adcd0087f4103298af0f3d9031353bca92d6b22")</f>
        <v>0</v>
      </c>
      <c r="D10522" t="s">
        <v>5128</v>
      </c>
      <c r="E10522" t="s">
        <v>6862</v>
      </c>
      <c r="F10522" t="s">
        <v>12866</v>
      </c>
      <c r="G10522" t="s">
        <v>17034</v>
      </c>
      <c r="H10522" t="s">
        <v>26719</v>
      </c>
    </row>
    <row r="10523" spans="1:8">
      <c r="A10523" t="s">
        <v>1087</v>
      </c>
      <c r="B10523">
        <f>HYPERLINK("https://android.googlesource.com/platform/cts/+/ca3e9d13bfb15a8b94584549da8a4e23132e719f", "ca3e9d13bfb15a8b94584549da8a4e23132e719f")</f>
        <v>0</v>
      </c>
      <c r="C10523">
        <f>HYPERLINK("https://android.googlesource.com/platform/cts/+/248e1c8c79560e9344cf6efaf7f4a0e328b06b0d", "248e1c8c79560e9344cf6efaf7f4a0e328b06b0d")</f>
        <v>0</v>
      </c>
      <c r="D10523" t="s">
        <v>5143</v>
      </c>
      <c r="E10523" t="s">
        <v>6864</v>
      </c>
      <c r="F10523" t="s">
        <v>12867</v>
      </c>
      <c r="G10523" t="s">
        <v>17035</v>
      </c>
      <c r="H10523" t="s">
        <v>26721</v>
      </c>
    </row>
    <row r="10524" spans="1:8">
      <c r="A10524" t="s">
        <v>1088</v>
      </c>
      <c r="B10524">
        <f>HYPERLINK("https://android.googlesource.com/platform/cts/+/5c7da2012ca43a5a4e7b6936c8edd034729922bb", "5c7da2012ca43a5a4e7b6936c8edd034729922bb")</f>
        <v>0</v>
      </c>
      <c r="C10524">
        <f>HYPERLINK("https://android.googlesource.com/platform/cts/+/248e1c8c79560e9344cf6efaf7f4a0e328b06b0d", "248e1c8c79560e9344cf6efaf7f4a0e328b06b0d")</f>
        <v>0</v>
      </c>
      <c r="D10524" t="s">
        <v>5143</v>
      </c>
      <c r="E10524" t="s">
        <v>6865</v>
      </c>
      <c r="F10524" t="s">
        <v>12868</v>
      </c>
      <c r="G10524" t="s">
        <v>17036</v>
      </c>
      <c r="H10524" t="s">
        <v>20372</v>
      </c>
    </row>
    <row r="10525" spans="1:8">
      <c r="A10525" t="s">
        <v>1091</v>
      </c>
      <c r="B10525">
        <f>HYPERLINK("https://android.googlesource.com/platform/cts/+/d024365293b05aaa94b9015a27702b7d1ce7a0c6", "d024365293b05aaa94b9015a27702b7d1ce7a0c6")</f>
        <v>0</v>
      </c>
      <c r="C10525">
        <f>HYPERLINK("https://android.googlesource.com/platform/cts/+/8de4a1468f121bf1befe0eb9ac695499ba0243d7", "8de4a1468f121bf1befe0eb9ac695499ba0243d7")</f>
        <v>0</v>
      </c>
      <c r="D10525" t="s">
        <v>5163</v>
      </c>
      <c r="E10525" t="s">
        <v>6868</v>
      </c>
      <c r="F10525" t="s">
        <v>12872</v>
      </c>
      <c r="G10525" t="s">
        <v>17040</v>
      </c>
      <c r="H10525" t="s">
        <v>26725</v>
      </c>
    </row>
    <row r="10526" spans="1:8">
      <c r="F10526" t="s">
        <v>12629</v>
      </c>
      <c r="G10526" t="s">
        <v>16838</v>
      </c>
      <c r="H10526" t="s">
        <v>26728</v>
      </c>
    </row>
    <row r="10527" spans="1:8">
      <c r="A10527" t="s">
        <v>1092</v>
      </c>
      <c r="B10527">
        <f>HYPERLINK("https://android.googlesource.com/platform/cts/+/c4fa4dbd5a83c10d33021d9c8dfaa56c82248087", "c4fa4dbd5a83c10d33021d9c8dfaa56c82248087")</f>
        <v>0</v>
      </c>
      <c r="C10527">
        <f>HYPERLINK("https://android.googlesource.com/platform/cts/+/9a70fff3358270d42595c2f0106cedd777213b33", "9a70fff3358270d42595c2f0106cedd777213b33")</f>
        <v>0</v>
      </c>
      <c r="D10527" t="s">
        <v>5143</v>
      </c>
      <c r="E10527" t="s">
        <v>6869</v>
      </c>
      <c r="F10527" t="s">
        <v>12873</v>
      </c>
      <c r="G10527" t="s">
        <v>17041</v>
      </c>
      <c r="H10527" t="s">
        <v>18877</v>
      </c>
    </row>
    <row r="10528" spans="1:8">
      <c r="H10528" t="s">
        <v>26729</v>
      </c>
    </row>
    <row r="10529" spans="1:8">
      <c r="A10529" t="s">
        <v>1098</v>
      </c>
      <c r="B10529">
        <f>HYPERLINK("https://android.googlesource.com/platform/cts/+/acccd2a2f455e6216e14f5730e1d35f399bb9a11", "acccd2a2f455e6216e14f5730e1d35f399bb9a11")</f>
        <v>0</v>
      </c>
      <c r="C10529">
        <f>HYPERLINK("https://android.googlesource.com/platform/cts/+/f3ade32f6f48ce3ae5bff75a42b18ef40173441d", "f3ade32f6f48ce3ae5bff75a42b18ef40173441d")</f>
        <v>0</v>
      </c>
      <c r="D10529" t="s">
        <v>5157</v>
      </c>
      <c r="E10529" t="s">
        <v>6875</v>
      </c>
      <c r="F10529" t="s">
        <v>12651</v>
      </c>
      <c r="G10529" t="s">
        <v>16857</v>
      </c>
      <c r="H10529" t="s">
        <v>26744</v>
      </c>
    </row>
    <row r="10530" spans="1:8">
      <c r="A10530" t="s">
        <v>1101</v>
      </c>
      <c r="B10530">
        <f>HYPERLINK("https://android.googlesource.com/platform/cts/+/9209cad77e695d57dfff4cce26d8b8d9c1b614cc", "9209cad77e695d57dfff4cce26d8b8d9c1b614cc")</f>
        <v>0</v>
      </c>
      <c r="C10530">
        <f>HYPERLINK("https://android.googlesource.com/platform/cts/+/054bec79abb50148dc59ef558e86686c153e3a50", "054bec79abb50148dc59ef558e86686c153e3a50")</f>
        <v>0</v>
      </c>
      <c r="D10530" t="s">
        <v>5046</v>
      </c>
      <c r="E10530" t="s">
        <v>6878</v>
      </c>
      <c r="F10530" t="s">
        <v>12877</v>
      </c>
      <c r="G10530" t="s">
        <v>17044</v>
      </c>
      <c r="H10530" t="s">
        <v>26748</v>
      </c>
    </row>
    <row r="10531" spans="1:8">
      <c r="A10531" t="s">
        <v>1104</v>
      </c>
      <c r="B10531">
        <f>HYPERLINK("https://android.googlesource.com/platform/cts/+/1a761d37d96c42714a2f758f5194c3da836e4619", "1a761d37d96c42714a2f758f5194c3da836e4619")</f>
        <v>0</v>
      </c>
      <c r="C10531">
        <f>HYPERLINK("https://android.googlesource.com/platform/cts/+/dc5f5356758fe292c570e7d25c01cf65111c71d8", "dc5f5356758fe292c570e7d25c01cf65111c71d8")</f>
        <v>0</v>
      </c>
      <c r="D10531" t="s">
        <v>4949</v>
      </c>
      <c r="E10531" t="s">
        <v>6881</v>
      </c>
      <c r="F10531" t="s">
        <v>12880</v>
      </c>
      <c r="G10531" t="s">
        <v>17047</v>
      </c>
      <c r="H10531" t="s">
        <v>26762</v>
      </c>
    </row>
    <row r="10532" spans="1:8">
      <c r="H10532" t="s">
        <v>26754</v>
      </c>
    </row>
    <row r="10533" spans="1:8">
      <c r="H10533" t="s">
        <v>26755</v>
      </c>
    </row>
    <row r="10534" spans="1:8">
      <c r="A10534" t="s">
        <v>1106</v>
      </c>
      <c r="B10534">
        <f>HYPERLINK("https://android.googlesource.com/platform/cts/+/b9baf3c299f438a2a5124c71cde23c6a53e2f519", "b9baf3c299f438a2a5124c71cde23c6a53e2f519")</f>
        <v>0</v>
      </c>
      <c r="C10534">
        <f>HYPERLINK("https://android.googlesource.com/platform/cts/+/fa6888bc1d53d2f041be010b0fbba089a9966226", "fa6888bc1d53d2f041be010b0fbba089a9966226")</f>
        <v>0</v>
      </c>
      <c r="D10534" t="s">
        <v>5098</v>
      </c>
      <c r="E10534" t="s">
        <v>6883</v>
      </c>
      <c r="F10534" t="s">
        <v>12883</v>
      </c>
      <c r="G10534" t="s">
        <v>17050</v>
      </c>
      <c r="H10534" t="s">
        <v>26764</v>
      </c>
    </row>
    <row r="10535" spans="1:8">
      <c r="A10535" t="s">
        <v>1107</v>
      </c>
      <c r="B10535">
        <f>HYPERLINK("https://android.googlesource.com/platform/cts/+/68de967aa4b55a550db4e20401d30c48e671b597", "68de967aa4b55a550db4e20401d30c48e671b597")</f>
        <v>0</v>
      </c>
      <c r="C10535">
        <f>HYPERLINK("https://android.googlesource.com/platform/cts/+/be5bc373a6117cfcc2efd691d7ed08f4e10290d2", "be5bc373a6117cfcc2efd691d7ed08f4e10290d2")</f>
        <v>0</v>
      </c>
      <c r="D10535" t="s">
        <v>5098</v>
      </c>
      <c r="E10535" t="s">
        <v>6884</v>
      </c>
      <c r="F10535" t="s">
        <v>12884</v>
      </c>
      <c r="G10535" t="s">
        <v>17051</v>
      </c>
      <c r="H10535" t="s">
        <v>26765</v>
      </c>
    </row>
    <row r="10536" spans="1:8">
      <c r="H10536" t="s">
        <v>26766</v>
      </c>
    </row>
    <row r="10537" spans="1:8">
      <c r="A10537" t="s">
        <v>1110</v>
      </c>
      <c r="B10537">
        <f>HYPERLINK("https://android.googlesource.com/platform/cts/+/e91f1a61e8f1cede1cc994c9e9477f4700a3c1c4", "e91f1a61e8f1cede1cc994c9e9477f4700a3c1c4")</f>
        <v>0</v>
      </c>
      <c r="C10537">
        <f>HYPERLINK("https://android.googlesource.com/platform/cts/+/ceeb146d581f8c81d46a964c1909adc345ada9df", "ceeb146d581f8c81d46a964c1909adc345ada9df")</f>
        <v>0</v>
      </c>
      <c r="D10537" t="s">
        <v>5068</v>
      </c>
      <c r="E10537" t="s">
        <v>6885</v>
      </c>
      <c r="F10537" t="s">
        <v>12750</v>
      </c>
      <c r="G10537" t="s">
        <v>16941</v>
      </c>
      <c r="H10537" t="s">
        <v>26770</v>
      </c>
    </row>
    <row r="10538" spans="1:8">
      <c r="A10538" t="s">
        <v>1112</v>
      </c>
      <c r="B10538">
        <f>HYPERLINK("https://android.googlesource.com/platform/cts/+/5e051e4ecce662083562475ce77272a15a01b88c", "5e051e4ecce662083562475ce77272a15a01b88c")</f>
        <v>0</v>
      </c>
      <c r="C10538">
        <f>HYPERLINK("https://android.googlesource.com/platform/cts/+/cdb30f18e44f14b32cfe76c572af22f82a816a00", "cdb30f18e44f14b32cfe76c572af22f82a816a00")</f>
        <v>0</v>
      </c>
      <c r="D10538" t="s">
        <v>4949</v>
      </c>
      <c r="E10538" t="s">
        <v>6887</v>
      </c>
      <c r="F10538" t="s">
        <v>12879</v>
      </c>
      <c r="G10538" t="s">
        <v>17046</v>
      </c>
      <c r="H10538" t="s">
        <v>26779</v>
      </c>
    </row>
    <row r="10539" spans="1:8">
      <c r="A10539" t="s">
        <v>1117</v>
      </c>
      <c r="B10539">
        <f>HYPERLINK("https://android.googlesource.com/platform/cts/+/de50080008f733baf2c87b4384ac823731ea11f3", "de50080008f733baf2c87b4384ac823731ea11f3")</f>
        <v>0</v>
      </c>
      <c r="C10539">
        <f>HYPERLINK("https://android.googlesource.com/platform/cts/+/b621e74e87636961f61bc2366f65a2626cb0f40c", "b621e74e87636961f61bc2366f65a2626cb0f40c")</f>
        <v>0</v>
      </c>
      <c r="D10539" t="s">
        <v>4991</v>
      </c>
      <c r="E10539" t="s">
        <v>6892</v>
      </c>
      <c r="F10539" t="s">
        <v>12886</v>
      </c>
      <c r="G10539" t="s">
        <v>16432</v>
      </c>
      <c r="H10539" t="s">
        <v>21181</v>
      </c>
    </row>
    <row r="10540" spans="1:8">
      <c r="A10540" t="s">
        <v>1118</v>
      </c>
      <c r="B10540">
        <f>HYPERLINK("https://android.googlesource.com/platform/cts/+/93b72fd0a567552f45575ea066a7ed04d65b24f1", "93b72fd0a567552f45575ea066a7ed04d65b24f1")</f>
        <v>0</v>
      </c>
      <c r="C10540">
        <f>HYPERLINK("https://android.googlesource.com/platform/cts/+/4880a1efe0e27bb369be7749edec6de06637517d", "4880a1efe0e27bb369be7749edec6de06637517d")</f>
        <v>0</v>
      </c>
      <c r="D10540" t="s">
        <v>5085</v>
      </c>
      <c r="E10540" t="s">
        <v>6893</v>
      </c>
      <c r="F10540" t="s">
        <v>12887</v>
      </c>
      <c r="G10540" t="s">
        <v>17053</v>
      </c>
      <c r="H10540" t="s">
        <v>26790</v>
      </c>
    </row>
    <row r="10541" spans="1:8">
      <c r="F10541" t="s">
        <v>12888</v>
      </c>
      <c r="G10541" t="s">
        <v>17054</v>
      </c>
      <c r="H10541" t="s">
        <v>26791</v>
      </c>
    </row>
    <row r="10542" spans="1:8">
      <c r="H10542" t="s">
        <v>26792</v>
      </c>
    </row>
    <row r="10543" spans="1:8">
      <c r="H10543" t="s">
        <v>26793</v>
      </c>
    </row>
    <row r="10544" spans="1:8">
      <c r="F10544" t="s">
        <v>12889</v>
      </c>
      <c r="G10544" t="s">
        <v>17055</v>
      </c>
      <c r="H10544" t="s">
        <v>26795</v>
      </c>
    </row>
    <row r="10545" spans="1:8">
      <c r="H10545" t="s">
        <v>26796</v>
      </c>
    </row>
    <row r="10546" spans="1:8">
      <c r="F10546" t="s">
        <v>12890</v>
      </c>
      <c r="G10546" t="s">
        <v>17056</v>
      </c>
      <c r="H10546" t="s">
        <v>26802</v>
      </c>
    </row>
    <row r="10547" spans="1:8">
      <c r="H10547" t="s">
        <v>26804</v>
      </c>
    </row>
    <row r="10548" spans="1:8">
      <c r="H10548" t="s">
        <v>26805</v>
      </c>
    </row>
    <row r="10549" spans="1:8">
      <c r="H10549" t="s">
        <v>26806</v>
      </c>
    </row>
    <row r="10550" spans="1:8">
      <c r="A10550" t="s">
        <v>1120</v>
      </c>
      <c r="B10550">
        <f>HYPERLINK("https://android.googlesource.com/platform/cts/+/b835b21675bf4a6a0ef67f9c2817ce22c6b4a0c8", "b835b21675bf4a6a0ef67f9c2817ce22c6b4a0c8")</f>
        <v>0</v>
      </c>
      <c r="C10550">
        <f>HYPERLINK("https://android.googlesource.com/platform/cts/+/41f5c3808f443bd507c1c018805a0dc57ec3e08d", "41f5c3808f443bd507c1c018805a0dc57ec3e08d")</f>
        <v>0</v>
      </c>
      <c r="D10550" t="s">
        <v>5167</v>
      </c>
      <c r="E10550" t="s">
        <v>6895</v>
      </c>
      <c r="F10550" t="s">
        <v>12891</v>
      </c>
      <c r="G10550" t="s">
        <v>17058</v>
      </c>
      <c r="H10550" t="s">
        <v>26812</v>
      </c>
    </row>
    <row r="10551" spans="1:8">
      <c r="A10551" t="s">
        <v>1121</v>
      </c>
      <c r="B10551">
        <f>HYPERLINK("https://android.googlesource.com/platform/cts/+/34c10c16614ff6d4a5e2b50aeb86ed1d1fc603ec", "34c10c16614ff6d4a5e2b50aeb86ed1d1fc603ec")</f>
        <v>0</v>
      </c>
      <c r="C10551">
        <f>HYPERLINK("https://android.googlesource.com/platform/cts/+/e249caf4b8025d42dc5b8430b5930076c69c5d9e", "e249caf4b8025d42dc5b8430b5930076c69c5d9e")</f>
        <v>0</v>
      </c>
      <c r="D10551" t="s">
        <v>5168</v>
      </c>
      <c r="E10551" t="s">
        <v>6896</v>
      </c>
      <c r="F10551" t="s">
        <v>12892</v>
      </c>
      <c r="G10551" t="s">
        <v>17059</v>
      </c>
      <c r="H10551" t="s">
        <v>26813</v>
      </c>
    </row>
    <row r="10552" spans="1:8">
      <c r="H10552" t="s">
        <v>26814</v>
      </c>
    </row>
    <row r="10553" spans="1:8">
      <c r="A10553" t="s">
        <v>1126</v>
      </c>
      <c r="B10553">
        <f>HYPERLINK("https://android.googlesource.com/platform/cts/+/d65fda34d9ddff1f5c660f4a2a2064ca07f6aade", "d65fda34d9ddff1f5c660f4a2a2064ca07f6aade")</f>
        <v>0</v>
      </c>
      <c r="C10553">
        <f>HYPERLINK("https://android.googlesource.com/platform/cts/+/41f5c3808f443bd507c1c018805a0dc57ec3e08d", "41f5c3808f443bd507c1c018805a0dc57ec3e08d")</f>
        <v>0</v>
      </c>
      <c r="D10553" t="s">
        <v>5169</v>
      </c>
      <c r="E10553" t="s">
        <v>6901</v>
      </c>
      <c r="F10553" t="s">
        <v>12895</v>
      </c>
      <c r="G10553" t="s">
        <v>17062</v>
      </c>
      <c r="H10553" t="s">
        <v>26823</v>
      </c>
    </row>
    <row r="10554" spans="1:8">
      <c r="H10554" t="s">
        <v>26824</v>
      </c>
    </row>
    <row r="10555" spans="1:8">
      <c r="H10555" t="s">
        <v>26825</v>
      </c>
    </row>
    <row r="10556" spans="1:8">
      <c r="H10556" t="s">
        <v>26826</v>
      </c>
    </row>
    <row r="10557" spans="1:8">
      <c r="H10557" t="s">
        <v>26827</v>
      </c>
    </row>
    <row r="10558" spans="1:8">
      <c r="H10558" t="s">
        <v>26828</v>
      </c>
    </row>
    <row r="10559" spans="1:8">
      <c r="A10559" t="s">
        <v>1128</v>
      </c>
      <c r="B10559">
        <f>HYPERLINK("https://android.googlesource.com/platform/cts/+/9bcd39d84ee7e9c9194125b0402feb761a3bfb54", "9bcd39d84ee7e9c9194125b0402feb761a3bfb54")</f>
        <v>0</v>
      </c>
      <c r="C10559">
        <f>HYPERLINK("https://android.googlesource.com/platform/cts/+/51759978839bab562fe92594562814c82a33013a", "51759978839bab562fe92594562814c82a33013a")</f>
        <v>0</v>
      </c>
      <c r="D10559" t="s">
        <v>5000</v>
      </c>
      <c r="E10559" t="s">
        <v>6903</v>
      </c>
      <c r="F10559" t="s">
        <v>10699</v>
      </c>
      <c r="G10559" t="s">
        <v>15099</v>
      </c>
      <c r="H10559" t="s">
        <v>26835</v>
      </c>
    </row>
    <row r="10560" spans="1:8">
      <c r="A10560" t="s">
        <v>1129</v>
      </c>
      <c r="B10560">
        <f>HYPERLINK("https://android.googlesource.com/platform/cts/+/22f4e0e92c6192f633c2829ca175f5730440fc98", "22f4e0e92c6192f633c2829ca175f5730440fc98")</f>
        <v>0</v>
      </c>
      <c r="C10560">
        <f>HYPERLINK("https://android.googlesource.com/platform/cts/+/cea90b5de4bd499d7c25e34c5377d36870f8f2bf", "cea90b5de4bd499d7c25e34c5377d36870f8f2bf")</f>
        <v>0</v>
      </c>
      <c r="D10560" t="s">
        <v>5018</v>
      </c>
      <c r="E10560" t="s">
        <v>6904</v>
      </c>
      <c r="F10560" t="s">
        <v>12896</v>
      </c>
      <c r="G10560" t="s">
        <v>17063</v>
      </c>
      <c r="H10560" t="s">
        <v>26836</v>
      </c>
    </row>
    <row r="10561" spans="1:8">
      <c r="H10561" t="s">
        <v>26837</v>
      </c>
    </row>
    <row r="10562" spans="1:8">
      <c r="A10562" t="s">
        <v>1131</v>
      </c>
      <c r="B10562">
        <f>HYPERLINK("https://android.googlesource.com/platform/cts/+/b95d14358ff33f73d5bfc7e2a232af3a38a6abe6", "b95d14358ff33f73d5bfc7e2a232af3a38a6abe6")</f>
        <v>0</v>
      </c>
      <c r="C10562">
        <f>HYPERLINK("https://android.googlesource.com/platform/cts/+/cea90b5de4bd499d7c25e34c5377d36870f8f2bf", "cea90b5de4bd499d7c25e34c5377d36870f8f2bf")</f>
        <v>0</v>
      </c>
      <c r="D10562" t="s">
        <v>5018</v>
      </c>
      <c r="E10562" t="s">
        <v>6906</v>
      </c>
      <c r="F10562" t="s">
        <v>12897</v>
      </c>
      <c r="G10562" t="s">
        <v>16824</v>
      </c>
      <c r="H10562" t="s">
        <v>26839</v>
      </c>
    </row>
    <row r="10563" spans="1:8">
      <c r="A10563" t="s">
        <v>1136</v>
      </c>
      <c r="B10563">
        <f>HYPERLINK("https://android.googlesource.com/platform/cts/+/1d9207f4426374749088757954df80562efbb254", "1d9207f4426374749088757954df80562efbb254")</f>
        <v>0</v>
      </c>
      <c r="C10563">
        <f>HYPERLINK("https://android.googlesource.com/platform/cts/+/24e4936458d92528733f6692df9233e74e254e0c", "24e4936458d92528733f6692df9233e74e254e0c")</f>
        <v>0</v>
      </c>
      <c r="D10563" t="s">
        <v>5170</v>
      </c>
      <c r="E10563" t="s">
        <v>6911</v>
      </c>
      <c r="F10563" t="s">
        <v>12899</v>
      </c>
      <c r="G10563" t="s">
        <v>17066</v>
      </c>
      <c r="H10563" t="s">
        <v>26866</v>
      </c>
    </row>
    <row r="10564" spans="1:8">
      <c r="A10564" t="s">
        <v>1137</v>
      </c>
      <c r="B10564">
        <f>HYPERLINK("https://android.googlesource.com/platform/cts/+/2349d88103b1f0b8dc515dd3dc0b981226215336", "2349d88103b1f0b8dc515dd3dc0b981226215336")</f>
        <v>0</v>
      </c>
      <c r="C10564">
        <f>HYPERLINK("https://android.googlesource.com/platform/cts/+/39181956664b201d22dc935c9c2c4c57db9233cf", "39181956664b201d22dc935c9c2c4c57db9233cf")</f>
        <v>0</v>
      </c>
      <c r="D10564" t="s">
        <v>5085</v>
      </c>
      <c r="E10564" t="s">
        <v>6912</v>
      </c>
      <c r="F10564" t="s">
        <v>12743</v>
      </c>
      <c r="G10564" t="s">
        <v>16935</v>
      </c>
      <c r="H10564" t="s">
        <v>25781</v>
      </c>
    </row>
    <row r="10565" spans="1:8">
      <c r="A10565" t="s">
        <v>1139</v>
      </c>
      <c r="B10565">
        <f>HYPERLINK("https://android.googlesource.com/platform/cts/+/62ce8e98ee142432879185a1ba9052bf4aa9aa05", "62ce8e98ee142432879185a1ba9052bf4aa9aa05")</f>
        <v>0</v>
      </c>
      <c r="C10565">
        <f>HYPERLINK("https://android.googlesource.com/platform/cts/+/cf4047f982062307852cbec418e937c11473e29f", "cf4047f982062307852cbec418e937c11473e29f")</f>
        <v>0</v>
      </c>
      <c r="D10565" t="s">
        <v>5171</v>
      </c>
      <c r="E10565" t="s">
        <v>6913</v>
      </c>
      <c r="F10565" t="s">
        <v>12900</v>
      </c>
      <c r="G10565" t="s">
        <v>17067</v>
      </c>
      <c r="H10565" t="s">
        <v>26871</v>
      </c>
    </row>
    <row r="10566" spans="1:8">
      <c r="A10566" t="s">
        <v>1141</v>
      </c>
      <c r="B10566">
        <f>HYPERLINK("https://android.googlesource.com/platform/cts/+/4ace7a6f4e116f801c9b8691952a860fe2f193fe", "4ace7a6f4e116f801c9b8691952a860fe2f193fe")</f>
        <v>0</v>
      </c>
      <c r="C10566">
        <f>HYPERLINK("https://android.googlesource.com/platform/cts/+/50a0214fbe219f12405c01fcf8bf7f213996d39e", "50a0214fbe219f12405c01fcf8bf7f213996d39e")</f>
        <v>0</v>
      </c>
      <c r="D10566" t="s">
        <v>5164</v>
      </c>
      <c r="E10566" t="s">
        <v>6914</v>
      </c>
      <c r="F10566" t="s">
        <v>12900</v>
      </c>
      <c r="G10566" t="s">
        <v>17067</v>
      </c>
      <c r="H10566" t="s">
        <v>26871</v>
      </c>
    </row>
    <row r="10567" spans="1:8">
      <c r="A10567" t="s">
        <v>1142</v>
      </c>
      <c r="B10567">
        <f>HYPERLINK("https://android.googlesource.com/platform/cts/+/c84c2fbc89b2208775b9cadba2f6e8f0153a47af", "c84c2fbc89b2208775b9cadba2f6e8f0153a47af")</f>
        <v>0</v>
      </c>
      <c r="C10567">
        <f>HYPERLINK("https://android.googlesource.com/platform/cts/+/c0850410102620f5961facaebc7440ba4499aa4d", "c0850410102620f5961facaebc7440ba4499aa4d")</f>
        <v>0</v>
      </c>
      <c r="D10567" t="s">
        <v>5085</v>
      </c>
      <c r="E10567" t="s">
        <v>6915</v>
      </c>
      <c r="F10567" t="s">
        <v>12901</v>
      </c>
      <c r="G10567" t="s">
        <v>17068</v>
      </c>
      <c r="H10567" t="s">
        <v>26876</v>
      </c>
    </row>
    <row r="10568" spans="1:8">
      <c r="H10568" t="s">
        <v>26877</v>
      </c>
    </row>
    <row r="10569" spans="1:8">
      <c r="H10569" t="s">
        <v>26878</v>
      </c>
    </row>
    <row r="10570" spans="1:8">
      <c r="H10570" t="s">
        <v>26879</v>
      </c>
    </row>
    <row r="10571" spans="1:8">
      <c r="H10571" t="s">
        <v>26880</v>
      </c>
    </row>
    <row r="10572" spans="1:8">
      <c r="H10572" t="s">
        <v>26881</v>
      </c>
    </row>
    <row r="10573" spans="1:8">
      <c r="A10573" t="s">
        <v>1143</v>
      </c>
      <c r="B10573">
        <f>HYPERLINK("https://android.googlesource.com/platform/cts/+/89ab1d4a7a140736aaa8f53ac211ebd8b0a3b4b9", "89ab1d4a7a140736aaa8f53ac211ebd8b0a3b4b9")</f>
        <v>0</v>
      </c>
      <c r="C10573">
        <f>HYPERLINK("https://android.googlesource.com/platform/cts/+/e7114fdc88400aad8480d376a6d95bc1924cd1fc", "e7114fdc88400aad8480d376a6d95bc1924cd1fc")</f>
        <v>0</v>
      </c>
      <c r="D10573" t="s">
        <v>4991</v>
      </c>
      <c r="E10573" t="s">
        <v>6916</v>
      </c>
      <c r="F10573" t="s">
        <v>12902</v>
      </c>
      <c r="G10573" t="s">
        <v>17069</v>
      </c>
      <c r="H10573" t="s">
        <v>26882</v>
      </c>
    </row>
    <row r="10574" spans="1:8">
      <c r="A10574" t="s">
        <v>1144</v>
      </c>
      <c r="B10574">
        <f>HYPERLINK("https://android.googlesource.com/platform/cts/+/9d3de9076844ce66be815cb335026233b6fa4f8b", "9d3de9076844ce66be815cb335026233b6fa4f8b")</f>
        <v>0</v>
      </c>
      <c r="C10574">
        <f>HYPERLINK("https://android.googlesource.com/platform/cts/+/bf1667dd5bd7f6fb01c3a1baec8058cdb1f24f2b", "bf1667dd5bd7f6fb01c3a1baec8058cdb1f24f2b")</f>
        <v>0</v>
      </c>
      <c r="D10574" t="s">
        <v>5167</v>
      </c>
      <c r="E10574" t="s">
        <v>6917</v>
      </c>
      <c r="F10574" t="s">
        <v>12903</v>
      </c>
      <c r="G10574" t="s">
        <v>17064</v>
      </c>
      <c r="H10574" t="s">
        <v>26843</v>
      </c>
    </row>
    <row r="10575" spans="1:8">
      <c r="H10575" t="s">
        <v>26845</v>
      </c>
    </row>
    <row r="10576" spans="1:8">
      <c r="H10576" t="s">
        <v>26846</v>
      </c>
    </row>
    <row r="10577" spans="1:8">
      <c r="A10577" t="s">
        <v>1145</v>
      </c>
      <c r="B10577">
        <f>HYPERLINK("https://android.googlesource.com/platform/cts/+/f13cf4947850b3aad778ac8ea4b81477e23d352a", "f13cf4947850b3aad778ac8ea4b81477e23d352a")</f>
        <v>0</v>
      </c>
      <c r="C10577">
        <f>HYPERLINK("https://android.googlesource.com/platform/cts/+/890e3e23c801bdca308698f83b6cf6d50d0b3088", "890e3e23c801bdca308698f83b6cf6d50d0b3088")</f>
        <v>0</v>
      </c>
      <c r="D10577" t="s">
        <v>5137</v>
      </c>
      <c r="E10577" t="s">
        <v>6918</v>
      </c>
      <c r="F10577" t="s">
        <v>12629</v>
      </c>
      <c r="G10577" t="s">
        <v>16838</v>
      </c>
      <c r="H10577" t="s">
        <v>26876</v>
      </c>
    </row>
    <row r="10578" spans="1:8">
      <c r="H10578" t="s">
        <v>26883</v>
      </c>
    </row>
    <row r="10579" spans="1:8">
      <c r="H10579" t="s">
        <v>26878</v>
      </c>
    </row>
    <row r="10580" spans="1:8">
      <c r="H10580" t="s">
        <v>26879</v>
      </c>
    </row>
    <row r="10581" spans="1:8">
      <c r="H10581" t="s">
        <v>26880</v>
      </c>
    </row>
    <row r="10582" spans="1:8">
      <c r="H10582" t="s">
        <v>26881</v>
      </c>
    </row>
    <row r="10583" spans="1:8">
      <c r="A10583" t="s">
        <v>1146</v>
      </c>
      <c r="B10583">
        <f>HYPERLINK("https://android.googlesource.com/platform/cts/+/a909221fee3cf9192c7a9a656d736a64932ca150", "a909221fee3cf9192c7a9a656d736a64932ca150")</f>
        <v>0</v>
      </c>
      <c r="C10583">
        <f>HYPERLINK("https://android.googlesource.com/platform/cts/+/57b8deb9d49b902da3e69dd3b2fed9943ebe7e2c", "57b8deb9d49b902da3e69dd3b2fed9943ebe7e2c")</f>
        <v>0</v>
      </c>
      <c r="D10583" t="s">
        <v>5126</v>
      </c>
      <c r="E10583" t="s">
        <v>6919</v>
      </c>
      <c r="F10583" t="s">
        <v>12744</v>
      </c>
      <c r="G10583" t="s">
        <v>16936</v>
      </c>
      <c r="H10583" t="s">
        <v>26891</v>
      </c>
    </row>
    <row r="10584" spans="1:8">
      <c r="H10584" t="s">
        <v>19195</v>
      </c>
    </row>
    <row r="10585" spans="1:8">
      <c r="H10585" t="s">
        <v>26892</v>
      </c>
    </row>
    <row r="10586" spans="1:8">
      <c r="H10586" t="s">
        <v>26893</v>
      </c>
    </row>
    <row r="10587" spans="1:8">
      <c r="H10587" t="s">
        <v>26894</v>
      </c>
    </row>
    <row r="10588" spans="1:8">
      <c r="H10588" t="s">
        <v>26895</v>
      </c>
    </row>
    <row r="10589" spans="1:8">
      <c r="H10589" t="s">
        <v>26896</v>
      </c>
    </row>
    <row r="10590" spans="1:8">
      <c r="H10590" t="s">
        <v>26897</v>
      </c>
    </row>
    <row r="10591" spans="1:8">
      <c r="H10591" t="s">
        <v>26898</v>
      </c>
    </row>
    <row r="10592" spans="1:8">
      <c r="H10592" t="s">
        <v>26899</v>
      </c>
    </row>
    <row r="10593" spans="1:8">
      <c r="H10593" t="s">
        <v>26900</v>
      </c>
    </row>
    <row r="10594" spans="1:8">
      <c r="H10594" t="s">
        <v>26901</v>
      </c>
    </row>
    <row r="10595" spans="1:8">
      <c r="H10595" t="s">
        <v>26902</v>
      </c>
    </row>
    <row r="10596" spans="1:8">
      <c r="H10596" t="s">
        <v>26903</v>
      </c>
    </row>
    <row r="10597" spans="1:8">
      <c r="H10597" t="s">
        <v>26904</v>
      </c>
    </row>
    <row r="10598" spans="1:8">
      <c r="A10598" t="s">
        <v>1149</v>
      </c>
      <c r="B10598">
        <f>HYPERLINK("https://android.googlesource.com/platform/cts/+/d105427337086371c08b7f89f3e88c7a8f425dd5", "d105427337086371c08b7f89f3e88c7a8f425dd5")</f>
        <v>0</v>
      </c>
      <c r="C10598">
        <f>HYPERLINK("https://android.googlesource.com/platform/cts/+/023a728b2d838e61fb49c255f251b7e0b57eeb26", "023a728b2d838e61fb49c255f251b7e0b57eeb26")</f>
        <v>0</v>
      </c>
      <c r="D10598" t="s">
        <v>5172</v>
      </c>
      <c r="E10598" t="s">
        <v>6922</v>
      </c>
      <c r="F10598" t="s">
        <v>12176</v>
      </c>
      <c r="G10598" t="s">
        <v>16415</v>
      </c>
      <c r="H10598" t="s">
        <v>26906</v>
      </c>
    </row>
    <row r="10599" spans="1:8">
      <c r="A10599" t="s">
        <v>1150</v>
      </c>
      <c r="B10599">
        <f>HYPERLINK("https://android.googlesource.com/platform/cts/+/4d1c7f14f1ca857c554bcb2eb94823af7765a43f", "4d1c7f14f1ca857c554bcb2eb94823af7765a43f")</f>
        <v>0</v>
      </c>
      <c r="C10599">
        <f>HYPERLINK("https://android.googlesource.com/platform/cts/+/21464c8370f1f19ea935bb9046414f05706fbd0c", "21464c8370f1f19ea935bb9046414f05706fbd0c")</f>
        <v>0</v>
      </c>
      <c r="D10599" t="s">
        <v>5000</v>
      </c>
      <c r="E10599" t="s">
        <v>6923</v>
      </c>
      <c r="F10599" t="s">
        <v>10699</v>
      </c>
      <c r="G10599" t="s">
        <v>15099</v>
      </c>
      <c r="H10599" t="s">
        <v>26835</v>
      </c>
    </row>
    <row r="10600" spans="1:8">
      <c r="A10600" t="s">
        <v>1153</v>
      </c>
      <c r="B10600">
        <f>HYPERLINK("https://android.googlesource.com/platform/cts/+/8cf1a0f0257c2528c54c002ef4733d5e1362d549", "8cf1a0f0257c2528c54c002ef4733d5e1362d549")</f>
        <v>0</v>
      </c>
      <c r="C10600">
        <f>HYPERLINK("https://android.googlesource.com/platform/cts/+/44c8e95cf7ee3c4ea8c4b6b60bf14ce27bad75df", "44c8e95cf7ee3c4ea8c4b6b60bf14ce27bad75df")</f>
        <v>0</v>
      </c>
      <c r="D10600" t="s">
        <v>5173</v>
      </c>
      <c r="E10600" t="s">
        <v>6926</v>
      </c>
      <c r="F10600" t="s">
        <v>12717</v>
      </c>
      <c r="G10600" t="s">
        <v>16917</v>
      </c>
      <c r="H10600" t="s">
        <v>26948</v>
      </c>
    </row>
    <row r="10601" spans="1:8">
      <c r="A10601" t="s">
        <v>1157</v>
      </c>
      <c r="B10601">
        <f>HYPERLINK("https://android.googlesource.com/platform/cts/+/86394041978113e596212eae6da62642dfc91c71", "86394041978113e596212eae6da62642dfc91c71")</f>
        <v>0</v>
      </c>
      <c r="C10601">
        <f>HYPERLINK("https://android.googlesource.com/platform/cts/+/8cd88929b2a726ea27eaae32d9baab545c626143", "8cd88929b2a726ea27eaae32d9baab545c626143")</f>
        <v>0</v>
      </c>
      <c r="D10601" t="s">
        <v>5115</v>
      </c>
      <c r="E10601" t="s">
        <v>6930</v>
      </c>
      <c r="F10601" t="s">
        <v>12662</v>
      </c>
      <c r="G10601" t="s">
        <v>16867</v>
      </c>
      <c r="H10601" t="s">
        <v>26967</v>
      </c>
    </row>
    <row r="10602" spans="1:8">
      <c r="A10602" t="s">
        <v>1158</v>
      </c>
      <c r="B10602">
        <f>HYPERLINK("https://android.googlesource.com/platform/cts/+/cfd9f2f6ae34f7cd2f4a4ee91afc67b558c75efa", "cfd9f2f6ae34f7cd2f4a4ee91afc67b558c75efa")</f>
        <v>0</v>
      </c>
      <c r="C10602">
        <f>HYPERLINK("https://android.googlesource.com/platform/cts/+/c80ea7b46c845c8ea41b5bf186d7c42b7fb32851", "c80ea7b46c845c8ea41b5bf186d7c42b7fb32851")</f>
        <v>0</v>
      </c>
      <c r="D10602" t="s">
        <v>5174</v>
      </c>
      <c r="E10602" t="s">
        <v>6931</v>
      </c>
      <c r="F10602" t="s">
        <v>12909</v>
      </c>
      <c r="G10602" t="s">
        <v>17075</v>
      </c>
      <c r="H10602" t="s">
        <v>26968</v>
      </c>
    </row>
    <row r="10603" spans="1:8">
      <c r="A10603" t="s">
        <v>1165</v>
      </c>
      <c r="B10603">
        <f>HYPERLINK("https://android.googlesource.com/platform/cts/+/4d48fa2917d59a56c65d54e1931e6b90545dd4a1", "4d48fa2917d59a56c65d54e1931e6b90545dd4a1")</f>
        <v>0</v>
      </c>
      <c r="C10603">
        <f>HYPERLINK("https://android.googlesource.com/platform/cts/+/10f180031a50c7cfe09fdb6460705ce303d97211", "10f180031a50c7cfe09fdb6460705ce303d97211")</f>
        <v>0</v>
      </c>
      <c r="D10603" t="s">
        <v>5030</v>
      </c>
      <c r="E10603" t="s">
        <v>6938</v>
      </c>
      <c r="F10603" t="s">
        <v>12656</v>
      </c>
      <c r="G10603" t="s">
        <v>16861</v>
      </c>
      <c r="H10603" t="s">
        <v>27001</v>
      </c>
    </row>
    <row r="10604" spans="1:8">
      <c r="H10604" t="s">
        <v>27002</v>
      </c>
    </row>
    <row r="10605" spans="1:8">
      <c r="H10605" t="s">
        <v>27003</v>
      </c>
    </row>
    <row r="10606" spans="1:8">
      <c r="H10606" t="s">
        <v>27004</v>
      </c>
    </row>
    <row r="10607" spans="1:8">
      <c r="H10607" t="s">
        <v>27005</v>
      </c>
    </row>
    <row r="10608" spans="1:8">
      <c r="H10608" t="s">
        <v>27006</v>
      </c>
    </row>
    <row r="10609" spans="8:8">
      <c r="H10609" t="s">
        <v>27007</v>
      </c>
    </row>
    <row r="10610" spans="8:8">
      <c r="H10610" t="s">
        <v>27008</v>
      </c>
    </row>
    <row r="10611" spans="8:8">
      <c r="H10611" t="s">
        <v>27009</v>
      </c>
    </row>
    <row r="10612" spans="8:8">
      <c r="H10612" t="s">
        <v>27010</v>
      </c>
    </row>
    <row r="10613" spans="8:8">
      <c r="H10613" t="s">
        <v>27011</v>
      </c>
    </row>
    <row r="10614" spans="8:8">
      <c r="H10614" t="s">
        <v>27012</v>
      </c>
    </row>
    <row r="10615" spans="8:8">
      <c r="H10615" t="s">
        <v>27013</v>
      </c>
    </row>
    <row r="10616" spans="8:8">
      <c r="H10616" t="s">
        <v>27014</v>
      </c>
    </row>
    <row r="10617" spans="8:8">
      <c r="H10617" t="s">
        <v>27015</v>
      </c>
    </row>
    <row r="10618" spans="8:8">
      <c r="H10618" t="s">
        <v>27016</v>
      </c>
    </row>
    <row r="10619" spans="8:8">
      <c r="H10619" t="s">
        <v>27017</v>
      </c>
    </row>
    <row r="10620" spans="8:8">
      <c r="H10620" t="s">
        <v>27018</v>
      </c>
    </row>
    <row r="10621" spans="8:8">
      <c r="H10621" t="s">
        <v>27019</v>
      </c>
    </row>
    <row r="10622" spans="8:8">
      <c r="H10622" t="s">
        <v>27020</v>
      </c>
    </row>
    <row r="10623" spans="8:8">
      <c r="H10623" t="s">
        <v>27021</v>
      </c>
    </row>
    <row r="10624" spans="8:8">
      <c r="H10624" t="s">
        <v>27022</v>
      </c>
    </row>
    <row r="10625" spans="8:8">
      <c r="H10625" t="s">
        <v>27023</v>
      </c>
    </row>
    <row r="10626" spans="8:8">
      <c r="H10626" t="s">
        <v>27024</v>
      </c>
    </row>
    <row r="10627" spans="8:8">
      <c r="H10627" t="s">
        <v>27025</v>
      </c>
    </row>
    <row r="10628" spans="8:8">
      <c r="H10628" t="s">
        <v>27026</v>
      </c>
    </row>
    <row r="10629" spans="8:8">
      <c r="H10629" t="s">
        <v>27027</v>
      </c>
    </row>
    <row r="10630" spans="8:8">
      <c r="H10630" t="s">
        <v>27028</v>
      </c>
    </row>
    <row r="10631" spans="8:8">
      <c r="H10631" t="s">
        <v>27029</v>
      </c>
    </row>
    <row r="10632" spans="8:8">
      <c r="H10632" t="s">
        <v>27030</v>
      </c>
    </row>
    <row r="10633" spans="8:8">
      <c r="H10633" t="s">
        <v>27031</v>
      </c>
    </row>
    <row r="10634" spans="8:8">
      <c r="H10634" t="s">
        <v>27032</v>
      </c>
    </row>
    <row r="10635" spans="8:8">
      <c r="H10635" t="s">
        <v>27033</v>
      </c>
    </row>
    <row r="10636" spans="8:8">
      <c r="H10636" t="s">
        <v>27034</v>
      </c>
    </row>
    <row r="10637" spans="8:8">
      <c r="H10637" t="s">
        <v>27035</v>
      </c>
    </row>
    <row r="10638" spans="8:8">
      <c r="H10638" t="s">
        <v>27036</v>
      </c>
    </row>
    <row r="10639" spans="8:8">
      <c r="H10639" t="s">
        <v>27037</v>
      </c>
    </row>
    <row r="10640" spans="8:8">
      <c r="H10640" t="s">
        <v>27038</v>
      </c>
    </row>
    <row r="10641" spans="6:8">
      <c r="H10641" t="s">
        <v>27039</v>
      </c>
    </row>
    <row r="10642" spans="6:8">
      <c r="H10642" t="s">
        <v>27040</v>
      </c>
    </row>
    <row r="10643" spans="6:8">
      <c r="H10643" t="s">
        <v>27041</v>
      </c>
    </row>
    <row r="10644" spans="6:8">
      <c r="H10644" t="s">
        <v>27042</v>
      </c>
    </row>
    <row r="10645" spans="6:8">
      <c r="H10645" t="s">
        <v>27043</v>
      </c>
    </row>
    <row r="10646" spans="6:8">
      <c r="H10646" t="s">
        <v>27044</v>
      </c>
    </row>
    <row r="10647" spans="6:8">
      <c r="H10647" t="s">
        <v>27045</v>
      </c>
    </row>
    <row r="10648" spans="6:8">
      <c r="H10648" t="s">
        <v>27046</v>
      </c>
    </row>
    <row r="10649" spans="6:8">
      <c r="F10649" t="s">
        <v>12782</v>
      </c>
      <c r="G10649" t="s">
        <v>16420</v>
      </c>
      <c r="H10649" t="s">
        <v>21301</v>
      </c>
    </row>
    <row r="10650" spans="6:8">
      <c r="H10650" t="s">
        <v>21302</v>
      </c>
    </row>
    <row r="10651" spans="6:8">
      <c r="H10651" t="s">
        <v>21303</v>
      </c>
    </row>
    <row r="10652" spans="6:8">
      <c r="H10652" t="s">
        <v>21304</v>
      </c>
    </row>
    <row r="10653" spans="6:8">
      <c r="H10653" t="s">
        <v>21305</v>
      </c>
    </row>
    <row r="10654" spans="6:8">
      <c r="H10654" t="s">
        <v>27047</v>
      </c>
    </row>
    <row r="10655" spans="6:8">
      <c r="H10655" t="s">
        <v>27048</v>
      </c>
    </row>
    <row r="10656" spans="6:8">
      <c r="H10656" t="s">
        <v>27049</v>
      </c>
    </row>
    <row r="10657" spans="8:8">
      <c r="H10657" t="s">
        <v>27050</v>
      </c>
    </row>
    <row r="10658" spans="8:8">
      <c r="H10658" t="s">
        <v>27051</v>
      </c>
    </row>
    <row r="10659" spans="8:8">
      <c r="H10659" t="s">
        <v>27052</v>
      </c>
    </row>
    <row r="10660" spans="8:8">
      <c r="H10660" t="s">
        <v>27053</v>
      </c>
    </row>
    <row r="10661" spans="8:8">
      <c r="H10661" t="s">
        <v>27054</v>
      </c>
    </row>
    <row r="10662" spans="8:8">
      <c r="H10662" t="s">
        <v>27055</v>
      </c>
    </row>
    <row r="10663" spans="8:8">
      <c r="H10663" t="s">
        <v>27056</v>
      </c>
    </row>
    <row r="10664" spans="8:8">
      <c r="H10664" t="s">
        <v>27057</v>
      </c>
    </row>
    <row r="10665" spans="8:8">
      <c r="H10665" t="s">
        <v>27058</v>
      </c>
    </row>
    <row r="10666" spans="8:8">
      <c r="H10666" t="s">
        <v>27059</v>
      </c>
    </row>
    <row r="10667" spans="8:8">
      <c r="H10667" t="s">
        <v>27060</v>
      </c>
    </row>
    <row r="10668" spans="8:8">
      <c r="H10668" t="s">
        <v>27061</v>
      </c>
    </row>
    <row r="10669" spans="8:8">
      <c r="H10669" t="s">
        <v>27062</v>
      </c>
    </row>
    <row r="10670" spans="8:8">
      <c r="H10670" t="s">
        <v>27037</v>
      </c>
    </row>
    <row r="10671" spans="8:8">
      <c r="H10671" t="s">
        <v>27038</v>
      </c>
    </row>
    <row r="10672" spans="8:8">
      <c r="H10672" t="s">
        <v>27039</v>
      </c>
    </row>
    <row r="10673" spans="8:8">
      <c r="H10673" t="s">
        <v>27040</v>
      </c>
    </row>
    <row r="10674" spans="8:8">
      <c r="H10674" t="s">
        <v>27063</v>
      </c>
    </row>
    <row r="10675" spans="8:8">
      <c r="H10675" t="s">
        <v>27064</v>
      </c>
    </row>
    <row r="10676" spans="8:8">
      <c r="H10676" t="s">
        <v>27065</v>
      </c>
    </row>
    <row r="10677" spans="8:8">
      <c r="H10677" t="s">
        <v>27066</v>
      </c>
    </row>
    <row r="10678" spans="8:8">
      <c r="H10678" t="s">
        <v>27067</v>
      </c>
    </row>
    <row r="10679" spans="8:8">
      <c r="H10679" t="s">
        <v>27068</v>
      </c>
    </row>
    <row r="10680" spans="8:8">
      <c r="H10680" t="s">
        <v>27069</v>
      </c>
    </row>
    <row r="10681" spans="8:8">
      <c r="H10681" t="s">
        <v>27070</v>
      </c>
    </row>
    <row r="10682" spans="8:8">
      <c r="H10682" t="s">
        <v>27071</v>
      </c>
    </row>
    <row r="10683" spans="8:8">
      <c r="H10683" t="s">
        <v>27072</v>
      </c>
    </row>
    <row r="10684" spans="8:8">
      <c r="H10684" t="s">
        <v>27073</v>
      </c>
    </row>
    <row r="10685" spans="8:8">
      <c r="H10685" t="s">
        <v>27074</v>
      </c>
    </row>
    <row r="10686" spans="8:8">
      <c r="H10686" t="s">
        <v>27075</v>
      </c>
    </row>
    <row r="10687" spans="8:8">
      <c r="H10687" t="s">
        <v>27076</v>
      </c>
    </row>
    <row r="10688" spans="8:8">
      <c r="H10688" t="s">
        <v>27077</v>
      </c>
    </row>
    <row r="10689" spans="1:8">
      <c r="H10689" t="s">
        <v>27078</v>
      </c>
    </row>
    <row r="10690" spans="1:8">
      <c r="H10690" t="s">
        <v>27079</v>
      </c>
    </row>
    <row r="10691" spans="1:8">
      <c r="H10691" t="s">
        <v>27080</v>
      </c>
    </row>
    <row r="10692" spans="1:8">
      <c r="A10692" t="s">
        <v>1170</v>
      </c>
      <c r="B10692">
        <f>HYPERLINK("https://android.googlesource.com/platform/cts/+/354a3744faf4006b2d997ca71ffedef1da823c5e", "354a3744faf4006b2d997ca71ffedef1da823c5e")</f>
        <v>0</v>
      </c>
      <c r="C10692">
        <f>HYPERLINK("https://android.googlesource.com/platform/cts/+/a8d728bc7aca7aa34b192e0cbe10b96a38e8217c", "a8d728bc7aca7aa34b192e0cbe10b96a38e8217c")</f>
        <v>0</v>
      </c>
      <c r="D10692" t="s">
        <v>5143</v>
      </c>
      <c r="E10692" t="s">
        <v>6944</v>
      </c>
      <c r="F10692" t="s">
        <v>10794</v>
      </c>
      <c r="G10692" t="s">
        <v>15189</v>
      </c>
      <c r="H10692" t="s">
        <v>27100</v>
      </c>
    </row>
    <row r="10693" spans="1:8">
      <c r="A10693" t="s">
        <v>1172</v>
      </c>
      <c r="B10693">
        <f>HYPERLINK("https://android.googlesource.com/platform/cts/+/f520f93dc4f0fb9e78e2d0af54c1fb9d1d16b8e1", "f520f93dc4f0fb9e78e2d0af54c1fb9d1d16b8e1")</f>
        <v>0</v>
      </c>
      <c r="C10693">
        <f>HYPERLINK("https://android.googlesource.com/platform/cts/+/46e06084c56019021aa7d6559596f5fab65b9a4d", "46e06084c56019021aa7d6559596f5fab65b9a4d")</f>
        <v>0</v>
      </c>
      <c r="D10693" t="s">
        <v>5094</v>
      </c>
      <c r="E10693" t="s">
        <v>6946</v>
      </c>
      <c r="F10693" t="s">
        <v>12629</v>
      </c>
      <c r="G10693" t="s">
        <v>16838</v>
      </c>
      <c r="H10693" t="s">
        <v>27107</v>
      </c>
    </row>
    <row r="10694" spans="1:8">
      <c r="A10694" t="s">
        <v>1173</v>
      </c>
      <c r="B10694">
        <f>HYPERLINK("https://android.googlesource.com/platform/cts/+/e2784be7dd616af44b2058b76e701e74ed41961b", "e2784be7dd616af44b2058b76e701e74ed41961b")</f>
        <v>0</v>
      </c>
      <c r="C10694">
        <f>HYPERLINK("https://android.googlesource.com/platform/cts/+/dec771a026285784ff5c82ad975de3964bd50f91", "dec771a026285784ff5c82ad975de3964bd50f91")</f>
        <v>0</v>
      </c>
      <c r="D10694" t="s">
        <v>4994</v>
      </c>
      <c r="E10694" t="s">
        <v>6947</v>
      </c>
      <c r="F10694" t="s">
        <v>10634</v>
      </c>
      <c r="G10694" t="s">
        <v>15037</v>
      </c>
      <c r="H10694" t="s">
        <v>27108</v>
      </c>
    </row>
    <row r="10695" spans="1:8">
      <c r="H10695" t="s">
        <v>27109</v>
      </c>
    </row>
    <row r="10696" spans="1:8">
      <c r="H10696" t="s">
        <v>27110</v>
      </c>
    </row>
    <row r="10697" spans="1:8">
      <c r="A10697" t="s">
        <v>1174</v>
      </c>
      <c r="B10697">
        <f>HYPERLINK("https://android.googlesource.com/platform/cts/+/0a304b0786021b6bba39b170e3193f56f0d0d244", "0a304b0786021b6bba39b170e3193f56f0d0d244")</f>
        <v>0</v>
      </c>
      <c r="C10697">
        <f>HYPERLINK("https://android.googlesource.com/platform/cts/+/dec771a026285784ff5c82ad975de3964bd50f91", "dec771a026285784ff5c82ad975de3964bd50f91")</f>
        <v>0</v>
      </c>
      <c r="D10697" t="s">
        <v>4994</v>
      </c>
      <c r="E10697" t="s">
        <v>6948</v>
      </c>
      <c r="F10697" t="s">
        <v>12912</v>
      </c>
      <c r="G10697" t="s">
        <v>17078</v>
      </c>
      <c r="H10697" t="s">
        <v>27112</v>
      </c>
    </row>
    <row r="10698" spans="1:8">
      <c r="A10698" t="s">
        <v>1175</v>
      </c>
      <c r="B10698">
        <f>HYPERLINK("https://android.googlesource.com/platform/cts/+/f92fb0b81547e780896b00e3c2198a1e133f36e7", "f92fb0b81547e780896b00e3c2198a1e133f36e7")</f>
        <v>0</v>
      </c>
      <c r="C10698">
        <f>HYPERLINK("https://android.googlesource.com/platform/cts/+/68e28793a646128d60b0d0976ee07e0fe82ab943", "68e28793a646128d60b0d0976ee07e0fe82ab943")</f>
        <v>0</v>
      </c>
      <c r="D10698" t="s">
        <v>4991</v>
      </c>
      <c r="E10698" t="s">
        <v>6949</v>
      </c>
      <c r="F10698" t="s">
        <v>12913</v>
      </c>
      <c r="G10698" t="s">
        <v>16432</v>
      </c>
      <c r="H10698" t="s">
        <v>21181</v>
      </c>
    </row>
    <row r="10699" spans="1:8">
      <c r="A10699" t="s">
        <v>1180</v>
      </c>
      <c r="B10699">
        <f>HYPERLINK("https://android.googlesource.com/platform/cts/+/d7e1292ea59b3e9e783b637b2d2a5ea7f05eff2d", "d7e1292ea59b3e9e783b637b2d2a5ea7f05eff2d")</f>
        <v>0</v>
      </c>
      <c r="C10699">
        <f>HYPERLINK("https://android.googlesource.com/platform/cts/+/f563004303232d068794d5126a48da0d183c9227", "f563004303232d068794d5126a48da0d183c9227")</f>
        <v>0</v>
      </c>
      <c r="D10699" t="s">
        <v>5176</v>
      </c>
      <c r="E10699" t="s">
        <v>6954</v>
      </c>
      <c r="F10699" t="s">
        <v>10604</v>
      </c>
      <c r="G10699" t="s">
        <v>15007</v>
      </c>
      <c r="H10699" t="s">
        <v>27125</v>
      </c>
    </row>
    <row r="10700" spans="1:8">
      <c r="A10700" t="s">
        <v>1181</v>
      </c>
      <c r="B10700">
        <f>HYPERLINK("https://android.googlesource.com/platform/cts/+/6a7d70f520117b679dc0e8af433e4241b47fe8b6", "6a7d70f520117b679dc0e8af433e4241b47fe8b6")</f>
        <v>0</v>
      </c>
      <c r="C10700">
        <f>HYPERLINK("https://android.googlesource.com/platform/cts/+/10c23a76924810fc364c9f0f8a9898a546d856c7", "10c23a76924810fc364c9f0f8a9898a546d856c7")</f>
        <v>0</v>
      </c>
      <c r="D10700" t="s">
        <v>5132</v>
      </c>
      <c r="E10700" t="s">
        <v>6955</v>
      </c>
      <c r="F10700" t="s">
        <v>10794</v>
      </c>
      <c r="G10700" t="s">
        <v>15189</v>
      </c>
      <c r="H10700" t="s">
        <v>27127</v>
      </c>
    </row>
    <row r="10701" spans="1:8">
      <c r="A10701" t="s">
        <v>1184</v>
      </c>
      <c r="B10701">
        <f>HYPERLINK("https://android.googlesource.com/platform/cts/+/5cf8f7dbe912ca3d4b88fe4e599e4268668c43c3", "5cf8f7dbe912ca3d4b88fe4e599e4268668c43c3")</f>
        <v>0</v>
      </c>
      <c r="C10701">
        <f>HYPERLINK("https://android.googlesource.com/platform/cts/+/d34c9a36230e6ae4136e8c2cdeb57842d955141d", "d34c9a36230e6ae4136e8c2cdeb57842d955141d")</f>
        <v>0</v>
      </c>
      <c r="D10701" t="s">
        <v>5157</v>
      </c>
      <c r="E10701" t="s">
        <v>6958</v>
      </c>
      <c r="F10701" t="s">
        <v>12916</v>
      </c>
      <c r="G10701" t="s">
        <v>17081</v>
      </c>
      <c r="H10701" t="s">
        <v>27138</v>
      </c>
    </row>
    <row r="10702" spans="1:8">
      <c r="A10702" t="s">
        <v>1186</v>
      </c>
      <c r="B10702">
        <f>HYPERLINK("https://android.googlesource.com/platform/cts/+/2ecc93edcf13ec84e8504e6359fd1865e6d6f312", "2ecc93edcf13ec84e8504e6359fd1865e6d6f312")</f>
        <v>0</v>
      </c>
      <c r="C10702">
        <f>HYPERLINK("https://android.googlesource.com/platform/cts/+/909228941c074db41bb99328ed815db60b5b344a", "909228941c074db41bb99328ed815db60b5b344a")</f>
        <v>0</v>
      </c>
      <c r="D10702" t="s">
        <v>5029</v>
      </c>
      <c r="E10702" t="s">
        <v>6960</v>
      </c>
      <c r="F10702" t="s">
        <v>12920</v>
      </c>
      <c r="G10702" t="s">
        <v>17085</v>
      </c>
      <c r="H10702" t="s">
        <v>27139</v>
      </c>
    </row>
    <row r="10703" spans="1:8">
      <c r="A10703" t="s">
        <v>1188</v>
      </c>
      <c r="B10703">
        <f>HYPERLINK("https://android.googlesource.com/platform/cts/+/91048540b3ac76f1ca6f2fd2b541a49b530bea05", "91048540b3ac76f1ca6f2fd2b541a49b530bea05")</f>
        <v>0</v>
      </c>
      <c r="C10703">
        <f>HYPERLINK("https://android.googlesource.com/platform/cts/+/76ccc07da0da845affc45b5569837aba65cae8df", "76ccc07da0da845affc45b5569837aba65cae8df")</f>
        <v>0</v>
      </c>
      <c r="D10703" t="s">
        <v>5143</v>
      </c>
      <c r="E10703" t="s">
        <v>6962</v>
      </c>
      <c r="F10703" t="s">
        <v>10732</v>
      </c>
      <c r="G10703" t="s">
        <v>15131</v>
      </c>
      <c r="H10703" t="s">
        <v>26183</v>
      </c>
    </row>
    <row r="10704" spans="1:8">
      <c r="A10704" t="s">
        <v>1191</v>
      </c>
      <c r="B10704">
        <f>HYPERLINK("https://android.googlesource.com/platform/cts/+/3e171ee627440299c8b1f7a544e00ceefc3330be", "3e171ee627440299c8b1f7a544e00ceefc3330be")</f>
        <v>0</v>
      </c>
      <c r="C10704">
        <f>HYPERLINK("https://android.googlesource.com/platform/cts/+/18781f81bd0eed56e97abb7c49bed1caf1278720", "18781f81bd0eed56e97abb7c49bed1caf1278720")</f>
        <v>0</v>
      </c>
      <c r="D10704" t="s">
        <v>4971</v>
      </c>
      <c r="E10704" t="s">
        <v>6965</v>
      </c>
      <c r="F10704" t="s">
        <v>12930</v>
      </c>
      <c r="G10704" t="s">
        <v>17095</v>
      </c>
      <c r="H10704" t="s">
        <v>27180</v>
      </c>
    </row>
    <row r="10705" spans="1:8">
      <c r="A10705" t="s">
        <v>1192</v>
      </c>
      <c r="B10705">
        <f>HYPERLINK("https://android.googlesource.com/platform/cts/+/8cb17c4476640323883be925aca42adf0d721b7f", "8cb17c4476640323883be925aca42adf0d721b7f")</f>
        <v>0</v>
      </c>
      <c r="C10705">
        <f>HYPERLINK("https://android.googlesource.com/platform/cts/+/064188951c3adcd8a3e777660b74a32a4ff8f238", "064188951c3adcd8a3e777660b74a32a4ff8f238")</f>
        <v>0</v>
      </c>
      <c r="D10705" t="s">
        <v>5143</v>
      </c>
      <c r="E10705" t="s">
        <v>6966</v>
      </c>
      <c r="F10705" t="s">
        <v>10611</v>
      </c>
      <c r="G10705" t="s">
        <v>15014</v>
      </c>
      <c r="H10705" t="s">
        <v>26183</v>
      </c>
    </row>
    <row r="10706" spans="1:8">
      <c r="A10706" t="s">
        <v>1193</v>
      </c>
      <c r="B10706">
        <f>HYPERLINK("https://android.googlesource.com/platform/cts/+/e493cde8b5f861930a1aaa2f93908cd5ea2d68bf", "e493cde8b5f861930a1aaa2f93908cd5ea2d68bf")</f>
        <v>0</v>
      </c>
      <c r="C10706">
        <f>HYPERLINK("https://android.googlesource.com/platform/cts/+/064188951c3adcd8a3e777660b74a32a4ff8f238", "064188951c3adcd8a3e777660b74a32a4ff8f238")</f>
        <v>0</v>
      </c>
      <c r="D10706" t="s">
        <v>5143</v>
      </c>
      <c r="E10706" t="s">
        <v>6967</v>
      </c>
      <c r="F10706" t="s">
        <v>12931</v>
      </c>
      <c r="G10706" t="s">
        <v>17096</v>
      </c>
      <c r="H10706" t="s">
        <v>27181</v>
      </c>
    </row>
    <row r="10707" spans="1:8">
      <c r="A10707" t="s">
        <v>1206</v>
      </c>
      <c r="B10707">
        <f>HYPERLINK("https://android.googlesource.com/platform/cts/+/38d1340b0dfd57ba0448257682f1c2eadfec08dd", "38d1340b0dfd57ba0448257682f1c2eadfec08dd")</f>
        <v>0</v>
      </c>
      <c r="C10707">
        <f>HYPERLINK("https://android.googlesource.com/platform/cts/+/0a0f260eccdcfffd07ad0bed93dd6986051c6756", "0a0f260eccdcfffd07ad0bed93dd6986051c6756")</f>
        <v>0</v>
      </c>
      <c r="D10707" t="s">
        <v>5143</v>
      </c>
      <c r="E10707" t="s">
        <v>6980</v>
      </c>
      <c r="F10707" t="s">
        <v>10732</v>
      </c>
      <c r="G10707" t="s">
        <v>15131</v>
      </c>
      <c r="H10707" t="s">
        <v>18836</v>
      </c>
    </row>
    <row r="10708" spans="1:8">
      <c r="H10708" t="s">
        <v>18979</v>
      </c>
    </row>
    <row r="10709" spans="1:8">
      <c r="H10709" t="s">
        <v>27213</v>
      </c>
    </row>
    <row r="10710" spans="1:8">
      <c r="A10710" t="s">
        <v>1210</v>
      </c>
      <c r="B10710">
        <f>HYPERLINK("https://android.googlesource.com/platform/cts/+/62277f51d453e7dd38828d01ff7146055296418e", "62277f51d453e7dd38828d01ff7146055296418e")</f>
        <v>0</v>
      </c>
      <c r="C10710">
        <f>HYPERLINK("https://android.googlesource.com/platform/cts/+/741a685f14117f040c5afad35014f630e926ff40", "741a685f14117f040c5afad35014f630e926ff40")</f>
        <v>0</v>
      </c>
      <c r="D10710" t="s">
        <v>5143</v>
      </c>
      <c r="E10710" t="s">
        <v>6984</v>
      </c>
      <c r="F10710" t="s">
        <v>12949</v>
      </c>
      <c r="G10710" t="s">
        <v>17114</v>
      </c>
      <c r="H10710" t="s">
        <v>27237</v>
      </c>
    </row>
    <row r="10711" spans="1:8">
      <c r="H10711" t="s">
        <v>18878</v>
      </c>
    </row>
    <row r="10712" spans="1:8">
      <c r="F10712" t="s">
        <v>12950</v>
      </c>
      <c r="G10712" t="s">
        <v>17115</v>
      </c>
      <c r="H10712" t="s">
        <v>18878</v>
      </c>
    </row>
    <row r="10713" spans="1:8">
      <c r="H10713" t="s">
        <v>26680</v>
      </c>
    </row>
    <row r="10714" spans="1:8">
      <c r="F10714" t="s">
        <v>12908</v>
      </c>
      <c r="G10714" t="s">
        <v>17074</v>
      </c>
      <c r="H10714" t="s">
        <v>27241</v>
      </c>
    </row>
    <row r="10715" spans="1:8">
      <c r="H10715" t="s">
        <v>26680</v>
      </c>
    </row>
    <row r="10716" spans="1:8">
      <c r="F10716" t="s">
        <v>12952</v>
      </c>
      <c r="G10716" t="s">
        <v>17117</v>
      </c>
      <c r="H10716" t="s">
        <v>18878</v>
      </c>
    </row>
    <row r="10717" spans="1:8">
      <c r="H10717" t="s">
        <v>18879</v>
      </c>
    </row>
    <row r="10718" spans="1:8">
      <c r="H10718" t="s">
        <v>18877</v>
      </c>
    </row>
    <row r="10719" spans="1:8">
      <c r="H10719" t="s">
        <v>18888</v>
      </c>
    </row>
    <row r="10720" spans="1:8">
      <c r="H10720" t="s">
        <v>26659</v>
      </c>
    </row>
    <row r="10721" spans="1:8">
      <c r="F10721" t="s">
        <v>12906</v>
      </c>
      <c r="G10721" t="s">
        <v>17072</v>
      </c>
      <c r="H10721" t="s">
        <v>27243</v>
      </c>
    </row>
    <row r="10722" spans="1:8">
      <c r="A10722" t="s">
        <v>1216</v>
      </c>
      <c r="B10722">
        <f>HYPERLINK("https://android.googlesource.com/platform/cts/+/09e7fe030a1d5f72a4e593017be9943c0b73651e", "09e7fe030a1d5f72a4e593017be9943c0b73651e")</f>
        <v>0</v>
      </c>
      <c r="C10722">
        <f>HYPERLINK("https://android.googlesource.com/platform/cts/+/36951ce4bd1b58915031daf98ec1921a7f01e072", "36951ce4bd1b58915031daf98ec1921a7f01e072")</f>
        <v>0</v>
      </c>
      <c r="D10722" t="s">
        <v>5085</v>
      </c>
      <c r="E10722" t="s">
        <v>6990</v>
      </c>
      <c r="F10722" t="s">
        <v>12887</v>
      </c>
      <c r="G10722" t="s">
        <v>17053</v>
      </c>
      <c r="H10722" t="s">
        <v>26790</v>
      </c>
    </row>
    <row r="10723" spans="1:8">
      <c r="A10723" t="s">
        <v>1217</v>
      </c>
      <c r="B10723">
        <f>HYPERLINK("https://android.googlesource.com/platform/cts/+/ab716dca257f9d22dd5ed844ff33f0e94eceebfd", "ab716dca257f9d22dd5ed844ff33f0e94eceebfd")</f>
        <v>0</v>
      </c>
      <c r="C10723">
        <f>HYPERLINK("https://android.googlesource.com/platform/cts/+/26dd268476311f024bdd2ff1f15464b76c0854a0", "26dd268476311f024bdd2ff1f15464b76c0854a0")</f>
        <v>0</v>
      </c>
      <c r="D10723" t="s">
        <v>5143</v>
      </c>
      <c r="E10723" t="s">
        <v>6991</v>
      </c>
      <c r="F10723" t="s">
        <v>10674</v>
      </c>
      <c r="G10723" t="s">
        <v>15074</v>
      </c>
      <c r="H10723" t="s">
        <v>27259</v>
      </c>
    </row>
    <row r="10724" spans="1:8">
      <c r="H10724" t="s">
        <v>26183</v>
      </c>
    </row>
    <row r="10725" spans="1:8">
      <c r="H10725" t="s">
        <v>27260</v>
      </c>
    </row>
    <row r="10726" spans="1:8">
      <c r="H10726" t="s">
        <v>27261</v>
      </c>
    </row>
    <row r="10727" spans="1:8">
      <c r="F10727" t="s">
        <v>10725</v>
      </c>
      <c r="G10727" t="s">
        <v>15124</v>
      </c>
      <c r="H10727" t="s">
        <v>18878</v>
      </c>
    </row>
    <row r="10728" spans="1:8">
      <c r="A10728" t="s">
        <v>1218</v>
      </c>
      <c r="B10728">
        <f>HYPERLINK("https://android.googlesource.com/platform/cts/+/5fae2c3104aa04ab14e2273cca8398c991ff34cd", "5fae2c3104aa04ab14e2273cca8398c991ff34cd")</f>
        <v>0</v>
      </c>
      <c r="C10728">
        <f>HYPERLINK("https://android.googlesource.com/platform/cts/+/c5d853c1932eb4cd202824983c69f94f8691cab6", "c5d853c1932eb4cd202824983c69f94f8691cab6")</f>
        <v>0</v>
      </c>
      <c r="D10728" t="s">
        <v>5143</v>
      </c>
      <c r="E10728" t="s">
        <v>6992</v>
      </c>
      <c r="F10728" t="s">
        <v>12957</v>
      </c>
      <c r="G10728" t="s">
        <v>17121</v>
      </c>
      <c r="H10728" t="s">
        <v>27269</v>
      </c>
    </row>
    <row r="10729" spans="1:8">
      <c r="H10729" t="s">
        <v>27270</v>
      </c>
    </row>
    <row r="10730" spans="1:8">
      <c r="F10730" t="s">
        <v>12907</v>
      </c>
      <c r="G10730" t="s">
        <v>17073</v>
      </c>
      <c r="H10730" t="s">
        <v>27278</v>
      </c>
    </row>
    <row r="10731" spans="1:8">
      <c r="F10731" t="s">
        <v>12348</v>
      </c>
      <c r="G10731" t="s">
        <v>16576</v>
      </c>
      <c r="H10731" t="s">
        <v>27283</v>
      </c>
    </row>
    <row r="10732" spans="1:8">
      <c r="H10732" t="s">
        <v>26680</v>
      </c>
    </row>
    <row r="10733" spans="1:8">
      <c r="H10733" t="s">
        <v>18878</v>
      </c>
    </row>
    <row r="10734" spans="1:8">
      <c r="H10734" t="s">
        <v>18879</v>
      </c>
    </row>
    <row r="10735" spans="1:8">
      <c r="A10735" t="s">
        <v>1219</v>
      </c>
      <c r="B10735">
        <f>HYPERLINK("https://android.googlesource.com/platform/cts/+/499c3d43f20d3ea1044c7bfc992df9833bb375d8", "499c3d43f20d3ea1044c7bfc992df9833bb375d8")</f>
        <v>0</v>
      </c>
      <c r="C10735">
        <f>HYPERLINK("https://android.googlesource.com/platform/cts/+/6c7f090fea84d2d3ec33bd45c6f9c11e0a70f07a", "6c7f090fea84d2d3ec33bd45c6f9c11e0a70f07a")</f>
        <v>0</v>
      </c>
      <c r="D10735" t="s">
        <v>5143</v>
      </c>
      <c r="E10735" t="s">
        <v>6993</v>
      </c>
      <c r="F10735" t="s">
        <v>10946</v>
      </c>
      <c r="G10735" t="s">
        <v>15339</v>
      </c>
      <c r="H10735" t="s">
        <v>26680</v>
      </c>
    </row>
    <row r="10736" spans="1:8">
      <c r="H10736" t="s">
        <v>18878</v>
      </c>
    </row>
    <row r="10737" spans="1:8">
      <c r="H10737" t="s">
        <v>27285</v>
      </c>
    </row>
    <row r="10738" spans="1:8">
      <c r="H10738" t="s">
        <v>27286</v>
      </c>
    </row>
    <row r="10739" spans="1:8">
      <c r="H10739" t="s">
        <v>18879</v>
      </c>
    </row>
    <row r="10740" spans="1:8">
      <c r="H10740" t="s">
        <v>19335</v>
      </c>
    </row>
    <row r="10741" spans="1:8">
      <c r="H10741" t="s">
        <v>27287</v>
      </c>
    </row>
    <row r="10742" spans="1:8">
      <c r="H10742" t="s">
        <v>18876</v>
      </c>
    </row>
    <row r="10743" spans="1:8">
      <c r="A10743" t="s">
        <v>1221</v>
      </c>
      <c r="B10743">
        <f>HYPERLINK("https://android.googlesource.com/platform/cts/+/070bd2c60ecb566ee1ff1097bd22c743ff25f39c", "070bd2c60ecb566ee1ff1097bd22c743ff25f39c")</f>
        <v>0</v>
      </c>
      <c r="C10743">
        <f>HYPERLINK("https://android.googlesource.com/platform/cts/+/8997149778741c16c35e386a62379dfb86ec5c19", "8997149778741c16c35e386a62379dfb86ec5c19")</f>
        <v>0</v>
      </c>
      <c r="D10743" t="s">
        <v>5143</v>
      </c>
      <c r="E10743" t="s">
        <v>6995</v>
      </c>
      <c r="F10743" t="s">
        <v>10737</v>
      </c>
      <c r="G10743" t="s">
        <v>15136</v>
      </c>
      <c r="H10743" t="s">
        <v>18877</v>
      </c>
    </row>
    <row r="10744" spans="1:8">
      <c r="H10744" t="s">
        <v>18878</v>
      </c>
    </row>
    <row r="10745" spans="1:8">
      <c r="H10745" t="s">
        <v>27306</v>
      </c>
    </row>
    <row r="10746" spans="1:8">
      <c r="H10746" t="s">
        <v>27283</v>
      </c>
    </row>
    <row r="10747" spans="1:8">
      <c r="A10747" t="s">
        <v>1222</v>
      </c>
      <c r="B10747">
        <f>HYPERLINK("https://android.googlesource.com/platform/cts/+/7c00e3017424ff1c3eeb22236fea3607ee8a3843", "7c00e3017424ff1c3eeb22236fea3607ee8a3843")</f>
        <v>0</v>
      </c>
      <c r="C10747">
        <f>HYPERLINK("https://android.googlesource.com/platform/cts/+/8997149778741c16c35e386a62379dfb86ec5c19", "8997149778741c16c35e386a62379dfb86ec5c19")</f>
        <v>0</v>
      </c>
      <c r="D10747" t="s">
        <v>5143</v>
      </c>
      <c r="E10747" t="s">
        <v>6996</v>
      </c>
      <c r="F10747" t="s">
        <v>12882</v>
      </c>
      <c r="G10747" t="s">
        <v>17049</v>
      </c>
      <c r="H10747" t="s">
        <v>18878</v>
      </c>
    </row>
    <row r="10748" spans="1:8">
      <c r="H10748" t="s">
        <v>26680</v>
      </c>
    </row>
    <row r="10749" spans="1:8">
      <c r="F10749" t="s">
        <v>10947</v>
      </c>
      <c r="G10749" t="s">
        <v>15340</v>
      </c>
      <c r="H10749" t="s">
        <v>26680</v>
      </c>
    </row>
    <row r="10750" spans="1:8">
      <c r="H10750" t="s">
        <v>18878</v>
      </c>
    </row>
    <row r="10751" spans="1:8">
      <c r="H10751" t="s">
        <v>27285</v>
      </c>
    </row>
    <row r="10752" spans="1:8">
      <c r="H10752" t="s">
        <v>27286</v>
      </c>
    </row>
    <row r="10753" spans="1:8">
      <c r="H10753" t="s">
        <v>18879</v>
      </c>
    </row>
    <row r="10754" spans="1:8">
      <c r="H10754" t="s">
        <v>19335</v>
      </c>
    </row>
    <row r="10755" spans="1:8">
      <c r="H10755" t="s">
        <v>27287</v>
      </c>
    </row>
    <row r="10756" spans="1:8">
      <c r="H10756" t="s">
        <v>18876</v>
      </c>
    </row>
    <row r="10757" spans="1:8">
      <c r="A10757" t="s">
        <v>1223</v>
      </c>
      <c r="B10757">
        <f>HYPERLINK("https://android.googlesource.com/platform/cts/+/748ef71cd450ae0e4bdefa5e311c49fd7801589b", "748ef71cd450ae0e4bdefa5e311c49fd7801589b")</f>
        <v>0</v>
      </c>
      <c r="C10757">
        <f>HYPERLINK("https://android.googlesource.com/platform/cts/+/6229ca67116093f61b98099d1f3b28718d05b62c", "6229ca67116093f61b98099d1f3b28718d05b62c")</f>
        <v>0</v>
      </c>
      <c r="D10757" t="s">
        <v>5179</v>
      </c>
      <c r="E10757" t="s">
        <v>6997</v>
      </c>
      <c r="F10757" t="s">
        <v>12969</v>
      </c>
      <c r="G10757" t="s">
        <v>17133</v>
      </c>
      <c r="H10757" t="s">
        <v>27316</v>
      </c>
    </row>
    <row r="10758" spans="1:8">
      <c r="A10758" t="s">
        <v>1224</v>
      </c>
      <c r="B10758">
        <f>HYPERLINK("https://android.googlesource.com/platform/cts/+/068461843e9fef9d9559f4ebdc59d5ca6edaec3c", "068461843e9fef9d9559f4ebdc59d5ca6edaec3c")</f>
        <v>0</v>
      </c>
      <c r="C10758">
        <f>HYPERLINK("https://android.googlesource.com/platform/cts/+/8997149778741c16c35e386a62379dfb86ec5c19", "8997149778741c16c35e386a62379dfb86ec5c19")</f>
        <v>0</v>
      </c>
      <c r="D10758" t="s">
        <v>5143</v>
      </c>
      <c r="E10758" t="s">
        <v>6998</v>
      </c>
      <c r="F10758" t="s">
        <v>12927</v>
      </c>
      <c r="G10758" t="s">
        <v>17092</v>
      </c>
      <c r="H10758" t="s">
        <v>26680</v>
      </c>
    </row>
    <row r="10759" spans="1:8">
      <c r="H10759" t="s">
        <v>18878</v>
      </c>
    </row>
    <row r="10760" spans="1:8">
      <c r="H10760" t="s">
        <v>27269</v>
      </c>
    </row>
    <row r="10761" spans="1:8">
      <c r="H10761" t="s">
        <v>19051</v>
      </c>
    </row>
    <row r="10762" spans="1:8">
      <c r="H10762" t="s">
        <v>27287</v>
      </c>
    </row>
    <row r="10763" spans="1:8">
      <c r="H10763" t="s">
        <v>18876</v>
      </c>
    </row>
    <row r="10764" spans="1:8">
      <c r="F10764" t="s">
        <v>12813</v>
      </c>
      <c r="G10764" t="s">
        <v>16994</v>
      </c>
      <c r="H10764" t="s">
        <v>27321</v>
      </c>
    </row>
    <row r="10765" spans="1:8">
      <c r="H10765" t="s">
        <v>19335</v>
      </c>
    </row>
    <row r="10766" spans="1:8">
      <c r="H10766" t="s">
        <v>27322</v>
      </c>
    </row>
    <row r="10767" spans="1:8">
      <c r="H10767" t="s">
        <v>27323</v>
      </c>
    </row>
    <row r="10768" spans="1:8">
      <c r="A10768" t="s">
        <v>1232</v>
      </c>
      <c r="B10768">
        <f>HYPERLINK("https://android.googlesource.com/platform/cts/+/a75fb03266b58562af9ed30eff91f2a67d177adc", "a75fb03266b58562af9ed30eff91f2a67d177adc")</f>
        <v>0</v>
      </c>
      <c r="C10768">
        <f>HYPERLINK("https://android.googlesource.com/platform/cts/+/1debc5ae7441f649b5b0f89bfc7353b75e285455", "1debc5ae7441f649b5b0f89bfc7353b75e285455")</f>
        <v>0</v>
      </c>
      <c r="D10768" t="s">
        <v>5143</v>
      </c>
      <c r="E10768" t="s">
        <v>7006</v>
      </c>
      <c r="F10768" t="s">
        <v>12982</v>
      </c>
      <c r="G10768" t="s">
        <v>17146</v>
      </c>
      <c r="H10768" t="s">
        <v>19051</v>
      </c>
    </row>
    <row r="10769" spans="6:8">
      <c r="H10769" t="s">
        <v>27348</v>
      </c>
    </row>
    <row r="10770" spans="6:8">
      <c r="H10770" t="s">
        <v>18879</v>
      </c>
    </row>
    <row r="10771" spans="6:8">
      <c r="F10771" t="s">
        <v>10794</v>
      </c>
      <c r="G10771" t="s">
        <v>15189</v>
      </c>
      <c r="H10771" t="s">
        <v>27351</v>
      </c>
    </row>
    <row r="10772" spans="6:8">
      <c r="H10772" t="s">
        <v>19053</v>
      </c>
    </row>
    <row r="10773" spans="6:8">
      <c r="H10773" t="s">
        <v>18876</v>
      </c>
    </row>
    <row r="10774" spans="6:8">
      <c r="H10774" t="s">
        <v>19363</v>
      </c>
    </row>
    <row r="10775" spans="6:8">
      <c r="H10775" t="s">
        <v>27352</v>
      </c>
    </row>
    <row r="10776" spans="6:8">
      <c r="H10776" t="s">
        <v>27353</v>
      </c>
    </row>
    <row r="10777" spans="6:8">
      <c r="H10777" t="s">
        <v>27354</v>
      </c>
    </row>
    <row r="10778" spans="6:8">
      <c r="H10778" t="s">
        <v>27355</v>
      </c>
    </row>
    <row r="10779" spans="6:8">
      <c r="H10779" t="s">
        <v>18888</v>
      </c>
    </row>
    <row r="10780" spans="6:8">
      <c r="H10780" t="s">
        <v>18877</v>
      </c>
    </row>
    <row r="10781" spans="6:8">
      <c r="H10781" t="s">
        <v>27270</v>
      </c>
    </row>
    <row r="10782" spans="6:8">
      <c r="H10782" t="s">
        <v>18878</v>
      </c>
    </row>
    <row r="10783" spans="6:8">
      <c r="H10783" t="s">
        <v>27356</v>
      </c>
    </row>
    <row r="10784" spans="6:8">
      <c r="H10784" t="s">
        <v>19163</v>
      </c>
    </row>
    <row r="10785" spans="1:8">
      <c r="H10785" t="s">
        <v>27357</v>
      </c>
    </row>
    <row r="10786" spans="1:8">
      <c r="H10786" t="s">
        <v>26183</v>
      </c>
    </row>
    <row r="10787" spans="1:8">
      <c r="A10787" t="s">
        <v>1233</v>
      </c>
      <c r="B10787">
        <f>HYPERLINK("https://android.googlesource.com/platform/cts/+/5129ad2e8340004b04bf5d49ceb73f4a5803531f", "5129ad2e8340004b04bf5d49ceb73f4a5803531f")</f>
        <v>0</v>
      </c>
      <c r="C10787">
        <f>HYPERLINK("https://android.googlesource.com/platform/cts/+/1debc5ae7441f649b5b0f89bfc7353b75e285455", "1debc5ae7441f649b5b0f89bfc7353b75e285455")</f>
        <v>0</v>
      </c>
      <c r="D10787" t="s">
        <v>5143</v>
      </c>
      <c r="E10787" t="s">
        <v>7007</v>
      </c>
      <c r="F10787" t="s">
        <v>12984</v>
      </c>
      <c r="G10787" t="s">
        <v>17148</v>
      </c>
      <c r="H10787" t="s">
        <v>27362</v>
      </c>
    </row>
    <row r="10788" spans="1:8">
      <c r="H10788" t="s">
        <v>27363</v>
      </c>
    </row>
    <row r="10789" spans="1:8">
      <c r="F10789" t="s">
        <v>10761</v>
      </c>
      <c r="G10789" t="s">
        <v>15159</v>
      </c>
      <c r="H10789" t="s">
        <v>27370</v>
      </c>
    </row>
    <row r="10790" spans="1:8">
      <c r="A10790" t="s">
        <v>1234</v>
      </c>
      <c r="B10790">
        <f>HYPERLINK("https://android.googlesource.com/platform/cts/+/46fe04bdbe926961c24d7a7919ba2eec2fd28f60", "46fe04bdbe926961c24d7a7919ba2eec2fd28f60")</f>
        <v>0</v>
      </c>
      <c r="C10790">
        <f>HYPERLINK("https://android.googlesource.com/platform/cts/+/816b5243faf117ef5a18ae7c923341d8a50348f6", "816b5243faf117ef5a18ae7c923341d8a50348f6")</f>
        <v>0</v>
      </c>
      <c r="D10790" t="s">
        <v>5170</v>
      </c>
      <c r="E10790" t="s">
        <v>7008</v>
      </c>
      <c r="F10790" t="s">
        <v>11443</v>
      </c>
      <c r="G10790" t="s">
        <v>15683</v>
      </c>
      <c r="H10790" t="s">
        <v>27371</v>
      </c>
    </row>
    <row r="10791" spans="1:8">
      <c r="A10791" t="s">
        <v>1235</v>
      </c>
      <c r="B10791">
        <f>HYPERLINK("https://android.googlesource.com/platform/cts/+/81cdbecce93d53fbdbc89e4f6f16721d0e9e79d3", "81cdbecce93d53fbdbc89e4f6f16721d0e9e79d3")</f>
        <v>0</v>
      </c>
      <c r="C10791">
        <f>HYPERLINK("https://android.googlesource.com/platform/cts/+/838417eb912600a0177b910449400c08288b34eb", "838417eb912600a0177b910449400c08288b34eb")</f>
        <v>0</v>
      </c>
      <c r="D10791" t="s">
        <v>5143</v>
      </c>
      <c r="E10791" t="s">
        <v>7009</v>
      </c>
      <c r="F10791" t="s">
        <v>12914</v>
      </c>
      <c r="G10791" t="s">
        <v>17079</v>
      </c>
      <c r="H10791" t="s">
        <v>18876</v>
      </c>
    </row>
    <row r="10792" spans="1:8">
      <c r="H10792" t="s">
        <v>27376</v>
      </c>
    </row>
    <row r="10793" spans="1:8">
      <c r="F10793" t="s">
        <v>10654</v>
      </c>
      <c r="G10793" t="s">
        <v>15055</v>
      </c>
      <c r="H10793" t="s">
        <v>18876</v>
      </c>
    </row>
    <row r="10794" spans="1:8">
      <c r="A10794" t="s">
        <v>1236</v>
      </c>
      <c r="B10794">
        <f>HYPERLINK("https://android.googlesource.com/platform/cts/+/e6ded0fa8cca4fc81feb23a50113848afe430698", "e6ded0fa8cca4fc81feb23a50113848afe430698")</f>
        <v>0</v>
      </c>
      <c r="C10794">
        <f>HYPERLINK("https://android.googlesource.com/platform/cts/+/3763966148d1d014b62a1bd27a68021c5ca17240", "3763966148d1d014b62a1bd27a68021c5ca17240")</f>
        <v>0</v>
      </c>
      <c r="D10794" t="s">
        <v>5143</v>
      </c>
      <c r="E10794" t="s">
        <v>7010</v>
      </c>
      <c r="F10794" t="s">
        <v>12993</v>
      </c>
      <c r="G10794" t="s">
        <v>17157</v>
      </c>
      <c r="H10794" t="s">
        <v>27405</v>
      </c>
    </row>
    <row r="10795" spans="1:8">
      <c r="H10795" t="s">
        <v>27406</v>
      </c>
    </row>
    <row r="10796" spans="1:8">
      <c r="A10796" t="s">
        <v>1239</v>
      </c>
      <c r="B10796">
        <f>HYPERLINK("https://android.googlesource.com/platform/cts/+/71762feb5610142e29ee6266ce4edf7bcdbb8aee", "71762feb5610142e29ee6266ce4edf7bcdbb8aee")</f>
        <v>0</v>
      </c>
      <c r="C10796">
        <f>HYPERLINK("https://android.googlesource.com/platform/cts/+/86af933a388ec4591f879449cb7758b356d951e1", "86af933a388ec4591f879449cb7758b356d951e1")</f>
        <v>0</v>
      </c>
      <c r="D10796" t="s">
        <v>5143</v>
      </c>
      <c r="E10796" t="s">
        <v>7013</v>
      </c>
      <c r="F10796" t="s">
        <v>11183</v>
      </c>
      <c r="G10796" t="s">
        <v>15572</v>
      </c>
      <c r="H10796" t="s">
        <v>27430</v>
      </c>
    </row>
    <row r="10797" spans="1:8">
      <c r="H10797" t="s">
        <v>27431</v>
      </c>
    </row>
    <row r="10798" spans="1:8">
      <c r="A10798" t="s">
        <v>1242</v>
      </c>
      <c r="B10798">
        <f>HYPERLINK("https://android.googlesource.com/platform/cts/+/437a0d948cf623dcc632e0f9df04e06e56d8e383", "437a0d948cf623dcc632e0f9df04e06e56d8e383")</f>
        <v>0</v>
      </c>
      <c r="C10798">
        <f>HYPERLINK("https://android.googlesource.com/platform/cts/+/1dc269dd661ed94e150625f19acd7fec3ed82d33", "1dc269dd661ed94e150625f19acd7fec3ed82d33")</f>
        <v>0</v>
      </c>
      <c r="D10798" t="s">
        <v>5143</v>
      </c>
      <c r="E10798" t="s">
        <v>7016</v>
      </c>
      <c r="F10798" t="s">
        <v>13017</v>
      </c>
      <c r="G10798" t="s">
        <v>17181</v>
      </c>
      <c r="H10798" t="s">
        <v>27451</v>
      </c>
    </row>
    <row r="10799" spans="1:8">
      <c r="F10799" t="s">
        <v>13018</v>
      </c>
      <c r="G10799" t="s">
        <v>17182</v>
      </c>
      <c r="H10799" t="s">
        <v>27454</v>
      </c>
    </row>
    <row r="10800" spans="1:8">
      <c r="A10800" t="s">
        <v>1243</v>
      </c>
      <c r="B10800">
        <f>HYPERLINK("https://android.googlesource.com/platform/cts/+/480a3a50174befdcf57de666587a8e1b4267d7f3", "480a3a50174befdcf57de666587a8e1b4267d7f3")</f>
        <v>0</v>
      </c>
      <c r="C10800">
        <f>HYPERLINK("https://android.googlesource.com/platform/cts/+/9dfbc395958780704bd8f65e7bd8cdc635033d04", "9dfbc395958780704bd8f65e7bd8cdc635033d04")</f>
        <v>0</v>
      </c>
      <c r="D10800" t="s">
        <v>5079</v>
      </c>
      <c r="E10800" t="s">
        <v>7017</v>
      </c>
      <c r="F10800" t="s">
        <v>13019</v>
      </c>
      <c r="G10800" t="s">
        <v>17183</v>
      </c>
      <c r="H10800" t="s">
        <v>27459</v>
      </c>
    </row>
    <row r="10801" spans="1:8">
      <c r="A10801" t="s">
        <v>1245</v>
      </c>
      <c r="B10801">
        <f>HYPERLINK("https://android.googlesource.com/platform/cts/+/2ff3e016655b94de327766b57d0db1e026db49e0", "2ff3e016655b94de327766b57d0db1e026db49e0")</f>
        <v>0</v>
      </c>
      <c r="C10801">
        <f>HYPERLINK("https://android.googlesource.com/platform/cts/+/86af933a388ec4591f879449cb7758b356d951e1", "86af933a388ec4591f879449cb7758b356d951e1")</f>
        <v>0</v>
      </c>
      <c r="D10801" t="s">
        <v>5180</v>
      </c>
      <c r="E10801" t="s">
        <v>7019</v>
      </c>
      <c r="F10801" t="s">
        <v>13023</v>
      </c>
      <c r="G10801" t="s">
        <v>17187</v>
      </c>
      <c r="H10801" t="s">
        <v>27466</v>
      </c>
    </row>
    <row r="10802" spans="1:8">
      <c r="A10802" t="s">
        <v>1247</v>
      </c>
      <c r="B10802">
        <f>HYPERLINK("https://android.googlesource.com/platform/cts/+/e13e14add99479d0b24325d632d0b9ace62e3e0f", "e13e14add99479d0b24325d632d0b9ace62e3e0f")</f>
        <v>0</v>
      </c>
      <c r="C10802">
        <f>HYPERLINK("https://android.googlesource.com/platform/cts/+/f6fba7a67b60792b0032f0fc3a0053d5724ec5bd", "f6fba7a67b60792b0032f0fc3a0053d5724ec5bd")</f>
        <v>0</v>
      </c>
      <c r="D10802" t="s">
        <v>5143</v>
      </c>
      <c r="E10802" t="s">
        <v>7021</v>
      </c>
      <c r="F10802" t="s">
        <v>13025</v>
      </c>
      <c r="G10802" t="s">
        <v>17189</v>
      </c>
      <c r="H10802" t="s">
        <v>27468</v>
      </c>
    </row>
    <row r="10803" spans="1:8">
      <c r="A10803" t="s">
        <v>1248</v>
      </c>
      <c r="B10803">
        <f>HYPERLINK("https://android.googlesource.com/platform/cts/+/157cea9e79dc71f14a15f0a9f6d5722fa61fef04", "157cea9e79dc71f14a15f0a9f6d5722fa61fef04")</f>
        <v>0</v>
      </c>
      <c r="C10803">
        <f>HYPERLINK("https://android.googlesource.com/platform/cts/+/018093626cfaaadebd4fb1e8d17c0ec992961d48", "018093626cfaaadebd4fb1e8d17c0ec992961d48")</f>
        <v>0</v>
      </c>
      <c r="D10803" t="s">
        <v>5143</v>
      </c>
      <c r="E10803" t="s">
        <v>7022</v>
      </c>
      <c r="F10803" t="s">
        <v>13035</v>
      </c>
      <c r="G10803" t="s">
        <v>17199</v>
      </c>
      <c r="H10803" t="s">
        <v>18836</v>
      </c>
    </row>
    <row r="10804" spans="1:8">
      <c r="A10804" t="s">
        <v>1251</v>
      </c>
      <c r="B10804">
        <f>HYPERLINK("https://android.googlesource.com/platform/cts/+/1763ba33ceeedcbaefb8de8a0554c3bfffa1afb2", "1763ba33ceeedcbaefb8de8a0554c3bfffa1afb2")</f>
        <v>0</v>
      </c>
      <c r="C10804">
        <f>HYPERLINK("https://android.googlesource.com/platform/cts/+/7235b2427b2ccbca14181806b14f46154587dcb2", "7235b2427b2ccbca14181806b14f46154587dcb2")</f>
        <v>0</v>
      </c>
      <c r="D10804" t="s">
        <v>5143</v>
      </c>
      <c r="E10804" t="s">
        <v>7025</v>
      </c>
      <c r="F10804" t="s">
        <v>10672</v>
      </c>
      <c r="G10804" t="s">
        <v>15072</v>
      </c>
      <c r="H10804" t="s">
        <v>27533</v>
      </c>
    </row>
    <row r="10805" spans="1:8">
      <c r="F10805" t="s">
        <v>13048</v>
      </c>
      <c r="G10805" t="s">
        <v>17212</v>
      </c>
      <c r="H10805" t="s">
        <v>27536</v>
      </c>
    </row>
    <row r="10806" spans="1:8">
      <c r="F10806" t="s">
        <v>10684</v>
      </c>
      <c r="G10806" t="s">
        <v>15084</v>
      </c>
      <c r="H10806" t="s">
        <v>27538</v>
      </c>
    </row>
    <row r="10807" spans="1:8">
      <c r="H10807" t="s">
        <v>27540</v>
      </c>
    </row>
    <row r="10808" spans="1:8">
      <c r="H10808" t="s">
        <v>27541</v>
      </c>
    </row>
    <row r="10809" spans="1:8">
      <c r="H10809" t="s">
        <v>27542</v>
      </c>
    </row>
    <row r="10810" spans="1:8">
      <c r="H10810" t="s">
        <v>27543</v>
      </c>
    </row>
    <row r="10811" spans="1:8">
      <c r="H10811" t="s">
        <v>27544</v>
      </c>
    </row>
    <row r="10812" spans="1:8">
      <c r="H10812" t="s">
        <v>27545</v>
      </c>
    </row>
    <row r="10813" spans="1:8">
      <c r="H10813" t="s">
        <v>27546</v>
      </c>
    </row>
    <row r="10814" spans="1:8">
      <c r="H10814" t="s">
        <v>27547</v>
      </c>
    </row>
    <row r="10815" spans="1:8">
      <c r="A10815" t="s">
        <v>1253</v>
      </c>
      <c r="B10815">
        <f>HYPERLINK("https://android.googlesource.com/platform/cts/+/6adcaba10b92ddc83476478d64fe9604a0bc5816", "6adcaba10b92ddc83476478d64fe9604a0bc5816")</f>
        <v>0</v>
      </c>
      <c r="C10815">
        <f>HYPERLINK("https://android.googlesource.com/platform/cts/+/8770be349e17ce4c758ab04f6bf286569354ea37", "8770be349e17ce4c758ab04f6bf286569354ea37")</f>
        <v>0</v>
      </c>
      <c r="D10815" t="s">
        <v>5143</v>
      </c>
      <c r="E10815" t="s">
        <v>7027</v>
      </c>
      <c r="F10815" t="s">
        <v>10699</v>
      </c>
      <c r="G10815" t="s">
        <v>15099</v>
      </c>
      <c r="H10815" t="s">
        <v>27572</v>
      </c>
    </row>
    <row r="10816" spans="1:8">
      <c r="A10816" t="s">
        <v>1255</v>
      </c>
      <c r="B10816">
        <f>HYPERLINK("https://android.googlesource.com/platform/cts/+/0544ac91f67c413d9261f15ea1c24a757ab7a8e6", "0544ac91f67c413d9261f15ea1c24a757ab7a8e6")</f>
        <v>0</v>
      </c>
      <c r="C10816">
        <f>HYPERLINK("https://android.googlesource.com/platform/cts/+/66b3c5ec4e0431f525038e0de8851440e98554c9", "66b3c5ec4e0431f525038e0de8851440e98554c9")</f>
        <v>0</v>
      </c>
      <c r="D10816" t="s">
        <v>5114</v>
      </c>
      <c r="E10816" t="s">
        <v>7029</v>
      </c>
      <c r="F10816" t="s">
        <v>13040</v>
      </c>
      <c r="G10816" t="s">
        <v>17204</v>
      </c>
      <c r="H10816" t="s">
        <v>27590</v>
      </c>
    </row>
    <row r="10817" spans="1:8">
      <c r="A10817" t="s">
        <v>1260</v>
      </c>
      <c r="B10817">
        <f>HYPERLINK("https://android.googlesource.com/platform/cts/+/8434bc28e852bbf68b5b81322b22598f0b177070", "8434bc28e852bbf68b5b81322b22598f0b177070")</f>
        <v>0</v>
      </c>
      <c r="C10817">
        <f>HYPERLINK("https://android.googlesource.com/platform/cts/+/3e6e41d1018c050b745986503f4d3acf0539a6da", "3e6e41d1018c050b745986503f4d3acf0539a6da")</f>
        <v>0</v>
      </c>
      <c r="D10817" t="s">
        <v>5117</v>
      </c>
      <c r="E10817" t="s">
        <v>7034</v>
      </c>
      <c r="F10817" t="s">
        <v>12243</v>
      </c>
      <c r="G10817" t="s">
        <v>16474</v>
      </c>
      <c r="H10817" t="s">
        <v>27660</v>
      </c>
    </row>
    <row r="10818" spans="1:8">
      <c r="H10818" t="s">
        <v>27661</v>
      </c>
    </row>
    <row r="10819" spans="1:8">
      <c r="H10819" t="s">
        <v>27662</v>
      </c>
    </row>
    <row r="10820" spans="1:8">
      <c r="H10820" t="s">
        <v>27663</v>
      </c>
    </row>
    <row r="10821" spans="1:8">
      <c r="H10821" t="s">
        <v>27664</v>
      </c>
    </row>
    <row r="10822" spans="1:8">
      <c r="H10822" t="s">
        <v>27665</v>
      </c>
    </row>
    <row r="10823" spans="1:8">
      <c r="H10823" t="s">
        <v>27666</v>
      </c>
    </row>
    <row r="10824" spans="1:8">
      <c r="H10824" t="s">
        <v>27667</v>
      </c>
    </row>
    <row r="10825" spans="1:8">
      <c r="H10825" t="s">
        <v>27668</v>
      </c>
    </row>
    <row r="10826" spans="1:8">
      <c r="H10826" t="s">
        <v>27669</v>
      </c>
    </row>
    <row r="10827" spans="1:8">
      <c r="H10827" t="s">
        <v>27670</v>
      </c>
    </row>
    <row r="10828" spans="1:8">
      <c r="H10828" t="s">
        <v>27671</v>
      </c>
    </row>
    <row r="10829" spans="1:8">
      <c r="H10829" t="s">
        <v>27672</v>
      </c>
    </row>
    <row r="10830" spans="1:8">
      <c r="H10830" t="s">
        <v>27673</v>
      </c>
    </row>
    <row r="10831" spans="1:8">
      <c r="H10831" t="s">
        <v>27674</v>
      </c>
    </row>
    <row r="10832" spans="1:8">
      <c r="H10832" t="s">
        <v>27675</v>
      </c>
    </row>
    <row r="10833" spans="1:8">
      <c r="H10833" t="s">
        <v>27676</v>
      </c>
    </row>
    <row r="10834" spans="1:8">
      <c r="H10834" t="s">
        <v>27677</v>
      </c>
    </row>
    <row r="10835" spans="1:8">
      <c r="H10835" t="s">
        <v>27678</v>
      </c>
    </row>
    <row r="10836" spans="1:8">
      <c r="H10836" t="s">
        <v>27679</v>
      </c>
    </row>
    <row r="10837" spans="1:8">
      <c r="H10837" t="s">
        <v>27681</v>
      </c>
    </row>
    <row r="10838" spans="1:8">
      <c r="H10838" t="s">
        <v>27682</v>
      </c>
    </row>
    <row r="10839" spans="1:8">
      <c r="H10839" t="s">
        <v>27683</v>
      </c>
    </row>
    <row r="10840" spans="1:8">
      <c r="H10840" t="s">
        <v>27684</v>
      </c>
    </row>
    <row r="10841" spans="1:8">
      <c r="H10841" t="s">
        <v>27685</v>
      </c>
    </row>
    <row r="10842" spans="1:8">
      <c r="H10842" t="s">
        <v>27686</v>
      </c>
    </row>
    <row r="10843" spans="1:8">
      <c r="H10843" t="s">
        <v>27687</v>
      </c>
    </row>
    <row r="10844" spans="1:8">
      <c r="H10844" t="s">
        <v>27688</v>
      </c>
    </row>
    <row r="10845" spans="1:8">
      <c r="F10845" t="s">
        <v>12943</v>
      </c>
      <c r="G10845" t="s">
        <v>17107</v>
      </c>
      <c r="H10845" t="s">
        <v>27698</v>
      </c>
    </row>
    <row r="10846" spans="1:8">
      <c r="F10846" t="s">
        <v>12947</v>
      </c>
      <c r="G10846" t="s">
        <v>17112</v>
      </c>
      <c r="H10846" t="s">
        <v>27716</v>
      </c>
    </row>
    <row r="10847" spans="1:8">
      <c r="A10847" t="s">
        <v>1263</v>
      </c>
      <c r="B10847">
        <f>HYPERLINK("https://android.googlesource.com/platform/cts/+/6828f2e7323dd14481977986bf98be47f9b6069f", "6828f2e7323dd14481977986bf98be47f9b6069f")</f>
        <v>0</v>
      </c>
      <c r="C10847">
        <f>HYPERLINK("https://android.googlesource.com/platform/cts/+/6b1b1ae5068fc009f44c191b17b14288822f8f82", "6b1b1ae5068fc009f44c191b17b14288822f8f82")</f>
        <v>0</v>
      </c>
      <c r="D10847" t="s">
        <v>5143</v>
      </c>
      <c r="E10847" t="s">
        <v>7037</v>
      </c>
      <c r="F10847" t="s">
        <v>12310</v>
      </c>
      <c r="G10847" t="s">
        <v>16541</v>
      </c>
      <c r="H10847" t="s">
        <v>27720</v>
      </c>
    </row>
    <row r="10848" spans="1:8">
      <c r="F10848" t="s">
        <v>13067</v>
      </c>
      <c r="G10848" t="s">
        <v>17230</v>
      </c>
      <c r="H10848" t="s">
        <v>27723</v>
      </c>
    </row>
    <row r="10849" spans="1:8">
      <c r="A10849" t="s">
        <v>1264</v>
      </c>
      <c r="B10849">
        <f>HYPERLINK("https://android.googlesource.com/platform/cts/+/4495565d1c6a2a979937006e6d452b3b4deeef4c", "4495565d1c6a2a979937006e6d452b3b4deeef4c")</f>
        <v>0</v>
      </c>
      <c r="C10849">
        <f>HYPERLINK("https://android.googlesource.com/platform/cts/+/4c7b18e85be78095069bbfb59c6ecf4046dce466", "4c7b18e85be78095069bbfb59c6ecf4046dce466")</f>
        <v>0</v>
      </c>
      <c r="D10849" t="s">
        <v>5085</v>
      </c>
      <c r="E10849" t="s">
        <v>7038</v>
      </c>
      <c r="F10849" t="s">
        <v>13073</v>
      </c>
      <c r="G10849" t="s">
        <v>17056</v>
      </c>
      <c r="H10849" t="s">
        <v>27739</v>
      </c>
    </row>
    <row r="10850" spans="1:8">
      <c r="A10850" t="s">
        <v>1265</v>
      </c>
      <c r="B10850">
        <f>HYPERLINK("https://android.googlesource.com/platform/cts/+/0adb9d13b173219730eec4e9a07b9f68c3964fcc", "0adb9d13b173219730eec4e9a07b9f68c3964fcc")</f>
        <v>0</v>
      </c>
      <c r="C10850">
        <f>HYPERLINK("https://android.googlesource.com/platform/cts/+/6b1b1ae5068fc009f44c191b17b14288822f8f82", "6b1b1ae5068fc009f44c191b17b14288822f8f82")</f>
        <v>0</v>
      </c>
      <c r="D10850" t="s">
        <v>5143</v>
      </c>
      <c r="E10850" t="s">
        <v>7039</v>
      </c>
      <c r="F10850" t="s">
        <v>12344</v>
      </c>
      <c r="G10850" t="s">
        <v>16572</v>
      </c>
      <c r="H10850" t="s">
        <v>27742</v>
      </c>
    </row>
    <row r="10851" spans="1:8">
      <c r="F10851" t="s">
        <v>12857</v>
      </c>
      <c r="G10851" t="s">
        <v>17027</v>
      </c>
      <c r="H10851" t="s">
        <v>27759</v>
      </c>
    </row>
    <row r="10852" spans="1:8">
      <c r="A10852" t="s">
        <v>1266</v>
      </c>
      <c r="B10852">
        <f>HYPERLINK("https://android.googlesource.com/platform/cts/+/4b87605eb5dda80fad0c770b46342cdfbae44fd4", "4b87605eb5dda80fad0c770b46342cdfbae44fd4")</f>
        <v>0</v>
      </c>
      <c r="C10852">
        <f>HYPERLINK("https://android.googlesource.com/platform/cts/+/4c7b18e85be78095069bbfb59c6ecf4046dce466", "4c7b18e85be78095069bbfb59c6ecf4046dce466")</f>
        <v>0</v>
      </c>
      <c r="D10852" t="s">
        <v>5143</v>
      </c>
      <c r="E10852" t="s">
        <v>7040</v>
      </c>
      <c r="F10852" t="s">
        <v>13076</v>
      </c>
      <c r="G10852" t="s">
        <v>17238</v>
      </c>
      <c r="H10852" t="s">
        <v>27772</v>
      </c>
    </row>
    <row r="10853" spans="1:8">
      <c r="F10853" t="s">
        <v>13077</v>
      </c>
      <c r="G10853" t="s">
        <v>17239</v>
      </c>
      <c r="H10853" t="s">
        <v>27776</v>
      </c>
    </row>
    <row r="10854" spans="1:8">
      <c r="A10854" t="s">
        <v>1267</v>
      </c>
      <c r="B10854">
        <f>HYPERLINK("https://android.googlesource.com/platform/cts/+/77bf127037cf0245b224277ca7e9aab232cd9224", "77bf127037cf0245b224277ca7e9aab232cd9224")</f>
        <v>0</v>
      </c>
      <c r="C10854">
        <f>HYPERLINK("https://android.googlesource.com/platform/cts/+/4ae020cf4c653de69ab4c216dd10fc44b8a099e5", "4ae020cf4c653de69ab4c216dd10fc44b8a099e5")</f>
        <v>0</v>
      </c>
      <c r="D10854" t="s">
        <v>5143</v>
      </c>
      <c r="E10854" t="s">
        <v>7041</v>
      </c>
      <c r="F10854" t="s">
        <v>10733</v>
      </c>
      <c r="G10854" t="s">
        <v>15132</v>
      </c>
      <c r="H10854" t="s">
        <v>27786</v>
      </c>
    </row>
    <row r="10855" spans="1:8">
      <c r="H10855" t="s">
        <v>27787</v>
      </c>
    </row>
    <row r="10856" spans="1:8">
      <c r="A10856" t="s">
        <v>1268</v>
      </c>
      <c r="B10856">
        <f>HYPERLINK("https://android.googlesource.com/platform/cts/+/7c83e14b70e7a87e2331fb9d7d6a390c848db51d", "7c83e14b70e7a87e2331fb9d7d6a390c848db51d")</f>
        <v>0</v>
      </c>
      <c r="C10856">
        <f>HYPERLINK("https://android.googlesource.com/platform/cts/+/4ae020cf4c653de69ab4c216dd10fc44b8a099e5", "4ae020cf4c653de69ab4c216dd10fc44b8a099e5")</f>
        <v>0</v>
      </c>
      <c r="D10856" t="s">
        <v>5143</v>
      </c>
      <c r="E10856" t="s">
        <v>7042</v>
      </c>
      <c r="F10856" t="s">
        <v>13082</v>
      </c>
      <c r="G10856" t="s">
        <v>17244</v>
      </c>
      <c r="H10856" t="s">
        <v>27795</v>
      </c>
    </row>
    <row r="10857" spans="1:8">
      <c r="A10857" t="s">
        <v>1269</v>
      </c>
      <c r="B10857">
        <f>HYPERLINK("https://android.googlesource.com/platform/cts/+/5c2e80fb5930c72fbe18a16972df16283995f9e8", "5c2e80fb5930c72fbe18a16972df16283995f9e8")</f>
        <v>0</v>
      </c>
      <c r="C10857">
        <f>HYPERLINK("https://android.googlesource.com/platform/cts/+/77bf127037cf0245b224277ca7e9aab232cd9224", "77bf127037cf0245b224277ca7e9aab232cd9224")</f>
        <v>0</v>
      </c>
      <c r="D10857" t="s">
        <v>5143</v>
      </c>
      <c r="E10857" t="s">
        <v>7043</v>
      </c>
      <c r="F10857" t="s">
        <v>13090</v>
      </c>
      <c r="G10857" t="s">
        <v>17252</v>
      </c>
      <c r="H10857" t="s">
        <v>27808</v>
      </c>
    </row>
    <row r="10858" spans="1:8">
      <c r="H10858" t="s">
        <v>27809</v>
      </c>
    </row>
    <row r="10859" spans="1:8">
      <c r="F10859" t="s">
        <v>11471</v>
      </c>
      <c r="G10859" t="s">
        <v>15711</v>
      </c>
      <c r="H10859" t="s">
        <v>27810</v>
      </c>
    </row>
    <row r="10860" spans="1:8">
      <c r="H10860" t="s">
        <v>27811</v>
      </c>
    </row>
    <row r="10861" spans="1:8">
      <c r="H10861" t="s">
        <v>27812</v>
      </c>
    </row>
    <row r="10862" spans="1:8">
      <c r="A10862" t="s">
        <v>1274</v>
      </c>
      <c r="B10862">
        <f>HYPERLINK("https://android.googlesource.com/platform/cts/+/9aa6451ba5b071f40b4c38d05858203696284eff", "9aa6451ba5b071f40b4c38d05858203696284eff")</f>
        <v>0</v>
      </c>
      <c r="C10862">
        <f>HYPERLINK("https://android.googlesource.com/platform/cts/+/e9766ec7a3bfd338e1865ecf8700d7d196206312", "e9766ec7a3bfd338e1865ecf8700d7d196206312")</f>
        <v>0</v>
      </c>
      <c r="D10862" t="s">
        <v>5143</v>
      </c>
      <c r="E10862" t="s">
        <v>7048</v>
      </c>
      <c r="F10862" t="s">
        <v>12335</v>
      </c>
      <c r="G10862" t="s">
        <v>16563</v>
      </c>
      <c r="H10862" t="s">
        <v>18983</v>
      </c>
    </row>
    <row r="10863" spans="1:8">
      <c r="A10863" t="s">
        <v>1275</v>
      </c>
      <c r="B10863">
        <f>HYPERLINK("https://android.googlesource.com/platform/cts/+/24fee45e900df980543f9248238b3854ad2a258d", "24fee45e900df980543f9248238b3854ad2a258d")</f>
        <v>0</v>
      </c>
      <c r="C10863">
        <f>HYPERLINK("https://android.googlesource.com/platform/cts/+/330dd441bc45b601749c1dd3c3a3595d1b1267f5", "330dd441bc45b601749c1dd3c3a3595d1b1267f5")</f>
        <v>0</v>
      </c>
      <c r="D10863" t="s">
        <v>5085</v>
      </c>
      <c r="E10863" t="s">
        <v>7049</v>
      </c>
      <c r="F10863" t="s">
        <v>13073</v>
      </c>
      <c r="G10863" t="s">
        <v>17056</v>
      </c>
      <c r="H10863" t="s">
        <v>27739</v>
      </c>
    </row>
    <row r="10864" spans="1:8">
      <c r="A10864" t="s">
        <v>1278</v>
      </c>
      <c r="B10864">
        <f>HYPERLINK("https://android.googlesource.com/platform/cts/+/f2c0f4bdb245a805552f40039f0c5256df029547", "f2c0f4bdb245a805552f40039f0c5256df029547")</f>
        <v>0</v>
      </c>
      <c r="C10864">
        <f>HYPERLINK("https://android.googlesource.com/platform/cts/+/ef1a6197a0994cbc10807e85d4a196d17e86ebe1", "ef1a6197a0994cbc10807e85d4a196d17e86ebe1")</f>
        <v>0</v>
      </c>
      <c r="D10864" t="s">
        <v>5143</v>
      </c>
      <c r="E10864" t="s">
        <v>7052</v>
      </c>
      <c r="F10864" t="s">
        <v>13101</v>
      </c>
      <c r="G10864" t="s">
        <v>17263</v>
      </c>
      <c r="H10864" t="s">
        <v>19073</v>
      </c>
    </row>
    <row r="10865" spans="1:8">
      <c r="F10865" t="s">
        <v>10782</v>
      </c>
      <c r="G10865" t="s">
        <v>15178</v>
      </c>
      <c r="H10865" t="s">
        <v>26410</v>
      </c>
    </row>
    <row r="10866" spans="1:8">
      <c r="F10866" t="s">
        <v>10646</v>
      </c>
      <c r="G10866" t="s">
        <v>15047</v>
      </c>
      <c r="H10866" t="s">
        <v>18983</v>
      </c>
    </row>
    <row r="10867" spans="1:8">
      <c r="H10867" t="s">
        <v>19074</v>
      </c>
    </row>
    <row r="10868" spans="1:8">
      <c r="F10868" t="s">
        <v>13104</v>
      </c>
      <c r="G10868" t="s">
        <v>17266</v>
      </c>
      <c r="H10868" t="s">
        <v>19073</v>
      </c>
    </row>
    <row r="10869" spans="1:8">
      <c r="A10869" t="s">
        <v>1281</v>
      </c>
      <c r="B10869">
        <f>HYPERLINK("https://android.googlesource.com/platform/cts/+/b4be6a5eb49690759c8a6c921050909a178bb880", "b4be6a5eb49690759c8a6c921050909a178bb880")</f>
        <v>0</v>
      </c>
      <c r="C10869">
        <f>HYPERLINK("https://android.googlesource.com/platform/cts/+/d51ba4034a02227b21a6326b04f874420d842aed", "d51ba4034a02227b21a6326b04f874420d842aed")</f>
        <v>0</v>
      </c>
      <c r="D10869" t="s">
        <v>5085</v>
      </c>
      <c r="E10869" t="s">
        <v>7055</v>
      </c>
      <c r="F10869" t="s">
        <v>13073</v>
      </c>
      <c r="G10869" t="s">
        <v>17056</v>
      </c>
      <c r="H10869" t="s">
        <v>27739</v>
      </c>
    </row>
    <row r="10870" spans="1:8">
      <c r="A10870" t="s">
        <v>1283</v>
      </c>
      <c r="B10870">
        <f>HYPERLINK("https://android.googlesource.com/platform/cts/+/0ca4f08cf337e15452e8c5ce23ea49837f6346b2", "0ca4f08cf337e15452e8c5ce23ea49837f6346b2")</f>
        <v>0</v>
      </c>
      <c r="C10870">
        <f>HYPERLINK("https://android.googlesource.com/platform/cts/+/5a8f0d5cdbf2af65e8613f6431c71ea882539a31", "5a8f0d5cdbf2af65e8613f6431c71ea882539a31")</f>
        <v>0</v>
      </c>
      <c r="D10870" t="s">
        <v>5143</v>
      </c>
      <c r="E10870" t="s">
        <v>7057</v>
      </c>
      <c r="F10870" t="s">
        <v>13110</v>
      </c>
      <c r="G10870" t="s">
        <v>17272</v>
      </c>
      <c r="H10870" t="s">
        <v>27916</v>
      </c>
    </row>
    <row r="10871" spans="1:8">
      <c r="H10871" t="s">
        <v>27917</v>
      </c>
    </row>
    <row r="10872" spans="1:8">
      <c r="A10872" t="s">
        <v>1285</v>
      </c>
      <c r="B10872">
        <f>HYPERLINK("https://android.googlesource.com/platform/cts/+/b3f0a0aff12a1d24b3c570286c059c3f0d22fc03", "b3f0a0aff12a1d24b3c570286c059c3f0d22fc03")</f>
        <v>0</v>
      </c>
      <c r="C10872">
        <f>HYPERLINK("https://android.googlesource.com/platform/cts/+/0ca4f08cf337e15452e8c5ce23ea49837f6346b2", "0ca4f08cf337e15452e8c5ce23ea49837f6346b2")</f>
        <v>0</v>
      </c>
      <c r="D10872" t="s">
        <v>5143</v>
      </c>
      <c r="E10872" t="s">
        <v>7058</v>
      </c>
      <c r="F10872" t="s">
        <v>10627</v>
      </c>
      <c r="G10872" t="s">
        <v>15030</v>
      </c>
      <c r="H10872" t="s">
        <v>27921</v>
      </c>
    </row>
    <row r="10873" spans="1:8">
      <c r="H10873" t="s">
        <v>27922</v>
      </c>
    </row>
    <row r="10874" spans="1:8">
      <c r="H10874" t="s">
        <v>27925</v>
      </c>
    </row>
    <row r="10875" spans="1:8">
      <c r="H10875" t="s">
        <v>27926</v>
      </c>
    </row>
    <row r="10876" spans="1:8">
      <c r="H10876" t="s">
        <v>27927</v>
      </c>
    </row>
    <row r="10877" spans="1:8">
      <c r="H10877" t="s">
        <v>27928</v>
      </c>
    </row>
    <row r="10878" spans="1:8">
      <c r="H10878" t="s">
        <v>27929</v>
      </c>
    </row>
    <row r="10879" spans="1:8">
      <c r="H10879" t="s">
        <v>27931</v>
      </c>
    </row>
    <row r="10880" spans="1:8">
      <c r="H10880" t="s">
        <v>27933</v>
      </c>
    </row>
    <row r="10881" spans="1:8">
      <c r="H10881" t="s">
        <v>27935</v>
      </c>
    </row>
    <row r="10882" spans="1:8">
      <c r="H10882" t="s">
        <v>27936</v>
      </c>
    </row>
    <row r="10883" spans="1:8">
      <c r="H10883" t="s">
        <v>27937</v>
      </c>
    </row>
    <row r="10884" spans="1:8">
      <c r="H10884" t="s">
        <v>27938</v>
      </c>
    </row>
    <row r="10885" spans="1:8">
      <c r="A10885" t="s">
        <v>1286</v>
      </c>
      <c r="B10885">
        <f>HYPERLINK("https://android.googlesource.com/platform/cts/+/6c6ebc13b2a14a7eb141ddbd9fbcc3e8279acec7", "6c6ebc13b2a14a7eb141ddbd9fbcc3e8279acec7")</f>
        <v>0</v>
      </c>
      <c r="C10885">
        <f>HYPERLINK("https://android.googlesource.com/platform/cts/+/0ca4f08cf337e15452e8c5ce23ea49837f6346b2", "0ca4f08cf337e15452e8c5ce23ea49837f6346b2")</f>
        <v>0</v>
      </c>
      <c r="D10885" t="s">
        <v>5143</v>
      </c>
      <c r="E10885" t="s">
        <v>7059</v>
      </c>
      <c r="F10885" t="s">
        <v>12912</v>
      </c>
      <c r="G10885" t="s">
        <v>17078</v>
      </c>
      <c r="H10885" t="s">
        <v>27943</v>
      </c>
    </row>
    <row r="10886" spans="1:8">
      <c r="A10886" t="s">
        <v>1287</v>
      </c>
      <c r="B10886">
        <f>HYPERLINK("https://android.googlesource.com/platform/cts/+/edb8aec92abd43a13f7982844c0d53cac681f580", "edb8aec92abd43a13f7982844c0d53cac681f580")</f>
        <v>0</v>
      </c>
      <c r="C10886">
        <f>HYPERLINK("https://android.googlesource.com/platform/cts/+/0ca4f08cf337e15452e8c5ce23ea49837f6346b2", "0ca4f08cf337e15452e8c5ce23ea49837f6346b2")</f>
        <v>0</v>
      </c>
      <c r="D10886" t="s">
        <v>5143</v>
      </c>
      <c r="E10886" t="s">
        <v>7060</v>
      </c>
      <c r="F10886" t="s">
        <v>10597</v>
      </c>
      <c r="G10886" t="s">
        <v>15000</v>
      </c>
      <c r="H10886" t="s">
        <v>27956</v>
      </c>
    </row>
    <row r="10887" spans="1:8">
      <c r="H10887" t="s">
        <v>27957</v>
      </c>
    </row>
    <row r="10888" spans="1:8">
      <c r="H10888" t="s">
        <v>27958</v>
      </c>
    </row>
    <row r="10889" spans="1:8">
      <c r="H10889" t="s">
        <v>27959</v>
      </c>
    </row>
    <row r="10890" spans="1:8">
      <c r="A10890" t="s">
        <v>1288</v>
      </c>
      <c r="B10890">
        <f>HYPERLINK("https://android.googlesource.com/platform/cts/+/31758c5853246db35cf44e1cf837210612d936f6", "31758c5853246db35cf44e1cf837210612d936f6")</f>
        <v>0</v>
      </c>
      <c r="C10890">
        <f>HYPERLINK("https://android.googlesource.com/platform/cts/+/f49ff4fd1ba6c741f7435d7c39772b87e66d89a9", "f49ff4fd1ba6c741f7435d7c39772b87e66d89a9")</f>
        <v>0</v>
      </c>
      <c r="D10890" t="s">
        <v>5143</v>
      </c>
      <c r="E10890" t="s">
        <v>7061</v>
      </c>
      <c r="F10890" t="s">
        <v>10634</v>
      </c>
      <c r="G10890" t="s">
        <v>15037</v>
      </c>
      <c r="H10890" t="s">
        <v>27961</v>
      </c>
    </row>
    <row r="10891" spans="1:8">
      <c r="A10891" t="s">
        <v>1289</v>
      </c>
      <c r="B10891">
        <f>HYPERLINK("https://android.googlesource.com/platform/cts/+/15e8f60a46b91864e039f608f5df8098b4483203", "15e8f60a46b91864e039f608f5df8098b4483203")</f>
        <v>0</v>
      </c>
      <c r="C10891">
        <f>HYPERLINK("https://android.googlesource.com/platform/cts/+/f49ff4fd1ba6c741f7435d7c39772b87e66d89a9", "f49ff4fd1ba6c741f7435d7c39772b87e66d89a9")</f>
        <v>0</v>
      </c>
      <c r="D10891" t="s">
        <v>5143</v>
      </c>
      <c r="E10891" t="s">
        <v>7062</v>
      </c>
      <c r="F10891" t="s">
        <v>13121</v>
      </c>
      <c r="G10891" t="s">
        <v>17283</v>
      </c>
      <c r="H10891" t="s">
        <v>28004</v>
      </c>
    </row>
    <row r="10892" spans="1:8">
      <c r="A10892" t="s">
        <v>1294</v>
      </c>
      <c r="B10892">
        <f>HYPERLINK("https://android.googlesource.com/platform/cts/+/66fe1509996c1e502fe306cd90cdccf512deaacc", "66fe1509996c1e502fe306cd90cdccf512deaacc")</f>
        <v>0</v>
      </c>
      <c r="C10892">
        <f>HYPERLINK("https://android.googlesource.com/platform/cts/+/90b60f9f09df1a72566ae19db1987575179ae2c9", "90b60f9f09df1a72566ae19db1987575179ae2c9")</f>
        <v>0</v>
      </c>
      <c r="D10892" t="s">
        <v>4965</v>
      </c>
      <c r="E10892" t="s">
        <v>7067</v>
      </c>
      <c r="F10892" t="s">
        <v>13127</v>
      </c>
      <c r="G10892" t="s">
        <v>17203</v>
      </c>
      <c r="H10892" t="s">
        <v>27500</v>
      </c>
    </row>
    <row r="10893" spans="1:8">
      <c r="A10893" t="s">
        <v>1296</v>
      </c>
      <c r="B10893">
        <f>HYPERLINK("https://android.googlesource.com/platform/cts/+/767d645f06defd335d7d4696d4639e7e0b6808bc", "767d645f06defd335d7d4696d4639e7e0b6808bc")</f>
        <v>0</v>
      </c>
      <c r="C10893">
        <f>HYPERLINK("https://android.googlesource.com/platform/cts/+/d8c0a46fb7b3085fc579312b64f595ed09a58a92", "d8c0a46fb7b3085fc579312b64f595ed09a58a92")</f>
        <v>0</v>
      </c>
      <c r="D10893" t="s">
        <v>5143</v>
      </c>
      <c r="E10893" t="s">
        <v>7069</v>
      </c>
      <c r="F10893" t="s">
        <v>13026</v>
      </c>
      <c r="G10893" t="s">
        <v>17190</v>
      </c>
      <c r="H10893" t="s">
        <v>28011</v>
      </c>
    </row>
    <row r="10894" spans="1:8">
      <c r="H10894" t="s">
        <v>28012</v>
      </c>
    </row>
    <row r="10895" spans="1:8">
      <c r="H10895" t="s">
        <v>28013</v>
      </c>
    </row>
    <row r="10896" spans="1:8">
      <c r="H10896" t="s">
        <v>28014</v>
      </c>
    </row>
    <row r="10897" spans="1:8">
      <c r="H10897" t="s">
        <v>28015</v>
      </c>
    </row>
    <row r="10898" spans="1:8">
      <c r="A10898" t="s">
        <v>1299</v>
      </c>
      <c r="B10898">
        <f>HYPERLINK("https://android.googlesource.com/platform/cts/+/f684504f461432b3688cd61350765ff48754d65e", "f684504f461432b3688cd61350765ff48754d65e")</f>
        <v>0</v>
      </c>
      <c r="C10898">
        <f>HYPERLINK("https://android.googlesource.com/platform/cts/+/f97935a20e2cfedc2a4e79cf4c0bb3efce1faa89", "f97935a20e2cfedc2a4e79cf4c0bb3efce1faa89")</f>
        <v>0</v>
      </c>
      <c r="D10898" t="s">
        <v>5183</v>
      </c>
      <c r="E10898" t="s">
        <v>7072</v>
      </c>
      <c r="F10898" t="s">
        <v>13129</v>
      </c>
      <c r="G10898" t="s">
        <v>17288</v>
      </c>
      <c r="H10898" t="s">
        <v>28022</v>
      </c>
    </row>
    <row r="10899" spans="1:8">
      <c r="H10899" t="s">
        <v>28023</v>
      </c>
    </row>
    <row r="10900" spans="1:8">
      <c r="H10900" t="s">
        <v>28024</v>
      </c>
    </row>
    <row r="10901" spans="1:8">
      <c r="H10901" t="s">
        <v>28025</v>
      </c>
    </row>
    <row r="10902" spans="1:8">
      <c r="H10902" t="s">
        <v>28026</v>
      </c>
    </row>
    <row r="10903" spans="1:8">
      <c r="A10903" t="s">
        <v>1300</v>
      </c>
      <c r="B10903">
        <f>HYPERLINK("https://android.googlesource.com/platform/cts/+/d9006caf57db7fe3a5f563d70ef60169d07e7ff7", "d9006caf57db7fe3a5f563d70ef60169d07e7ff7")</f>
        <v>0</v>
      </c>
      <c r="C10903">
        <f>HYPERLINK("https://android.googlesource.com/platform/cts/+/1192f209d52a9efd25d56a72a4805b61df9f3b24", "1192f209d52a9efd25d56a72a4805b61df9f3b24")</f>
        <v>0</v>
      </c>
      <c r="D10903" t="s">
        <v>5184</v>
      </c>
      <c r="E10903" t="s">
        <v>7073</v>
      </c>
      <c r="F10903" t="s">
        <v>13132</v>
      </c>
      <c r="G10903" t="s">
        <v>17290</v>
      </c>
      <c r="H10903" t="s">
        <v>28030</v>
      </c>
    </row>
    <row r="10904" spans="1:8">
      <c r="H10904" t="s">
        <v>28031</v>
      </c>
    </row>
    <row r="10905" spans="1:8">
      <c r="H10905" t="s">
        <v>28032</v>
      </c>
    </row>
    <row r="10906" spans="1:8">
      <c r="H10906" t="s">
        <v>28033</v>
      </c>
    </row>
    <row r="10907" spans="1:8">
      <c r="H10907" t="s">
        <v>28034</v>
      </c>
    </row>
    <row r="10908" spans="1:8">
      <c r="H10908" t="s">
        <v>28035</v>
      </c>
    </row>
    <row r="10909" spans="1:8">
      <c r="F10909" t="s">
        <v>13133</v>
      </c>
      <c r="G10909" t="s">
        <v>17291</v>
      </c>
      <c r="H10909" t="s">
        <v>28041</v>
      </c>
    </row>
    <row r="10910" spans="1:8">
      <c r="H10910" t="s">
        <v>28042</v>
      </c>
    </row>
    <row r="10911" spans="1:8">
      <c r="A10911" t="s">
        <v>1301</v>
      </c>
      <c r="B10911">
        <f>HYPERLINK("https://android.googlesource.com/platform/cts/+/e4200e69813353bfb78c36075139d6be646b40cb", "e4200e69813353bfb78c36075139d6be646b40cb")</f>
        <v>0</v>
      </c>
      <c r="C10911">
        <f>HYPERLINK("https://android.googlesource.com/platform/cts/+/e3d4bc066071c3e875896a4b224c7685d7160a12", "e3d4bc066071c3e875896a4b224c7685d7160a12")</f>
        <v>0</v>
      </c>
      <c r="D10911" t="s">
        <v>5042</v>
      </c>
      <c r="E10911" t="s">
        <v>7074</v>
      </c>
      <c r="F10911" t="s">
        <v>13134</v>
      </c>
      <c r="G10911" t="s">
        <v>17292</v>
      </c>
      <c r="H10911" t="s">
        <v>28049</v>
      </c>
    </row>
    <row r="10912" spans="1:8">
      <c r="A10912" t="s">
        <v>1305</v>
      </c>
      <c r="B10912">
        <f>HYPERLINK("https://android.googlesource.com/platform/cts/+/5e6da147809b4593f59c427b5205257e39e29f8e", "5e6da147809b4593f59c427b5205257e39e29f8e")</f>
        <v>0</v>
      </c>
      <c r="C10912">
        <f>HYPERLINK("https://android.googlesource.com/platform/cts/+/32971863a54533aa511889ae226e0a6fd9b0da8c", "32971863a54533aa511889ae226e0a6fd9b0da8c")</f>
        <v>0</v>
      </c>
      <c r="D10912" t="s">
        <v>5143</v>
      </c>
      <c r="E10912" t="s">
        <v>7078</v>
      </c>
      <c r="F10912" t="s">
        <v>10667</v>
      </c>
      <c r="G10912" t="s">
        <v>15068</v>
      </c>
      <c r="H10912" t="s">
        <v>28065</v>
      </c>
    </row>
    <row r="10913" spans="1:8">
      <c r="H10913" t="s">
        <v>28066</v>
      </c>
    </row>
    <row r="10914" spans="1:8">
      <c r="H10914" t="s">
        <v>28067</v>
      </c>
    </row>
    <row r="10915" spans="1:8">
      <c r="A10915" t="s">
        <v>1306</v>
      </c>
      <c r="B10915">
        <f>HYPERLINK("https://android.googlesource.com/platform/cts/+/616c3c4ff953538324d3b85b2f3d682a0bfd1cdb", "616c3c4ff953538324d3b85b2f3d682a0bfd1cdb")</f>
        <v>0</v>
      </c>
      <c r="C10915">
        <f>HYPERLINK("https://android.googlesource.com/platform/cts/+/58d4c3540bdd76be6ddef3118bf52a2bca8bb6eb", "58d4c3540bdd76be6ddef3118bf52a2bca8bb6eb")</f>
        <v>0</v>
      </c>
      <c r="D10915" t="s">
        <v>5085</v>
      </c>
      <c r="E10915" t="s">
        <v>7079</v>
      </c>
      <c r="F10915" t="s">
        <v>12394</v>
      </c>
      <c r="G10915" t="s">
        <v>17294</v>
      </c>
      <c r="H10915" t="s">
        <v>28068</v>
      </c>
    </row>
    <row r="10916" spans="1:8">
      <c r="A10916" t="s">
        <v>1308</v>
      </c>
      <c r="B10916">
        <f>HYPERLINK("https://android.googlesource.com/platform/cts/+/5b9ad98f81b3da14f5c2ca21722cd730d1a240fc", "5b9ad98f81b3da14f5c2ca21722cd730d1a240fc")</f>
        <v>0</v>
      </c>
      <c r="C10916">
        <f>HYPERLINK("https://android.googlesource.com/platform/cts/+/28df8eb84cc7779570cdaa39997bf65914472912", "28df8eb84cc7779570cdaa39997bf65914472912")</f>
        <v>0</v>
      </c>
      <c r="D10916" t="s">
        <v>4991</v>
      </c>
      <c r="E10916" t="s">
        <v>7081</v>
      </c>
      <c r="F10916" t="s">
        <v>10687</v>
      </c>
      <c r="G10916" t="s">
        <v>15087</v>
      </c>
      <c r="H10916" t="s">
        <v>28069</v>
      </c>
    </row>
    <row r="10917" spans="1:8">
      <c r="A10917" t="s">
        <v>1310</v>
      </c>
      <c r="B10917">
        <f>HYPERLINK("https://android.googlesource.com/platform/cts/+/1418a40f30d0316108794a8acd8da82a8b4b3b03", "1418a40f30d0316108794a8acd8da82a8b4b3b03")</f>
        <v>0</v>
      </c>
      <c r="C10917">
        <f>HYPERLINK("https://android.googlesource.com/platform/cts/+/ea04caf88fad4addb8cbf7e7ff2bb3d020f96272", "ea04caf88fad4addb8cbf7e7ff2bb3d020f96272")</f>
        <v>0</v>
      </c>
      <c r="D10917" t="s">
        <v>5006</v>
      </c>
      <c r="E10917" t="s">
        <v>7083</v>
      </c>
      <c r="F10917" t="s">
        <v>13143</v>
      </c>
      <c r="G10917" t="s">
        <v>17298</v>
      </c>
      <c r="H10917" t="s">
        <v>28215</v>
      </c>
    </row>
    <row r="10918" spans="1:8">
      <c r="H10918" t="s">
        <v>28216</v>
      </c>
    </row>
    <row r="10919" spans="1:8">
      <c r="F10919" t="s">
        <v>13144</v>
      </c>
      <c r="G10919" t="s">
        <v>17299</v>
      </c>
      <c r="H10919" t="s">
        <v>28218</v>
      </c>
    </row>
    <row r="10920" spans="1:8">
      <c r="H10920" t="s">
        <v>28219</v>
      </c>
    </row>
    <row r="10921" spans="1:8">
      <c r="H10921" t="s">
        <v>28220</v>
      </c>
    </row>
    <row r="10922" spans="1:8">
      <c r="H10922" t="s">
        <v>28221</v>
      </c>
    </row>
    <row r="10923" spans="1:8">
      <c r="H10923" t="s">
        <v>28222</v>
      </c>
    </row>
    <row r="10924" spans="1:8">
      <c r="F10924" t="s">
        <v>11424</v>
      </c>
      <c r="G10924" t="s">
        <v>15665</v>
      </c>
      <c r="H10924" t="s">
        <v>28224</v>
      </c>
    </row>
    <row r="10925" spans="1:8">
      <c r="H10925" t="s">
        <v>28225</v>
      </c>
    </row>
    <row r="10926" spans="1:8">
      <c r="H10926" t="s">
        <v>28226</v>
      </c>
    </row>
    <row r="10927" spans="1:8">
      <c r="H10927" t="s">
        <v>28227</v>
      </c>
    </row>
    <row r="10928" spans="1:8">
      <c r="H10928" t="s">
        <v>28229</v>
      </c>
    </row>
    <row r="10929" spans="6:8">
      <c r="H10929" t="s">
        <v>28230</v>
      </c>
    </row>
    <row r="10930" spans="6:8">
      <c r="F10930" t="s">
        <v>13145</v>
      </c>
      <c r="G10930" t="s">
        <v>17300</v>
      </c>
      <c r="H10930" t="s">
        <v>28232</v>
      </c>
    </row>
    <row r="10931" spans="6:8">
      <c r="H10931" t="s">
        <v>28233</v>
      </c>
    </row>
    <row r="10932" spans="6:8">
      <c r="H10932" t="s">
        <v>28234</v>
      </c>
    </row>
    <row r="10933" spans="6:8">
      <c r="H10933" t="s">
        <v>28235</v>
      </c>
    </row>
    <row r="10934" spans="6:8">
      <c r="H10934" t="s">
        <v>28236</v>
      </c>
    </row>
    <row r="10935" spans="6:8">
      <c r="H10935" t="s">
        <v>28237</v>
      </c>
    </row>
    <row r="10936" spans="6:8">
      <c r="H10936" t="s">
        <v>28238</v>
      </c>
    </row>
    <row r="10937" spans="6:8">
      <c r="H10937" t="s">
        <v>28239</v>
      </c>
    </row>
    <row r="10938" spans="6:8">
      <c r="H10938" t="s">
        <v>28240</v>
      </c>
    </row>
    <row r="10939" spans="6:8">
      <c r="H10939" t="s">
        <v>28241</v>
      </c>
    </row>
    <row r="10940" spans="6:8">
      <c r="H10940" t="s">
        <v>28242</v>
      </c>
    </row>
    <row r="10941" spans="6:8">
      <c r="H10941" t="s">
        <v>28243</v>
      </c>
    </row>
    <row r="10942" spans="6:8">
      <c r="H10942" t="s">
        <v>20077</v>
      </c>
    </row>
    <row r="10943" spans="6:8">
      <c r="H10943" t="s">
        <v>28244</v>
      </c>
    </row>
    <row r="10944" spans="6:8">
      <c r="F10944" t="s">
        <v>13146</v>
      </c>
      <c r="G10944" t="s">
        <v>17301</v>
      </c>
      <c r="H10944" t="s">
        <v>28246</v>
      </c>
    </row>
    <row r="10945" spans="6:8">
      <c r="F10945" t="s">
        <v>13147</v>
      </c>
      <c r="G10945" t="s">
        <v>17302</v>
      </c>
      <c r="H10945" t="s">
        <v>28247</v>
      </c>
    </row>
    <row r="10946" spans="6:8">
      <c r="H10946" t="s">
        <v>28248</v>
      </c>
    </row>
    <row r="10947" spans="6:8">
      <c r="H10947" t="s">
        <v>28249</v>
      </c>
    </row>
    <row r="10948" spans="6:8">
      <c r="H10948" t="s">
        <v>28250</v>
      </c>
    </row>
    <row r="10949" spans="6:8">
      <c r="F10949" t="s">
        <v>13148</v>
      </c>
      <c r="G10949" t="s">
        <v>17303</v>
      </c>
      <c r="H10949" t="s">
        <v>18836</v>
      </c>
    </row>
    <row r="10950" spans="6:8">
      <c r="H10950" t="s">
        <v>19729</v>
      </c>
    </row>
    <row r="10951" spans="6:8">
      <c r="H10951" t="s">
        <v>28251</v>
      </c>
    </row>
    <row r="10952" spans="6:8">
      <c r="F10952" t="s">
        <v>13149</v>
      </c>
      <c r="G10952" t="s">
        <v>15717</v>
      </c>
      <c r="H10952" t="s">
        <v>28253</v>
      </c>
    </row>
    <row r="10953" spans="6:8">
      <c r="H10953" t="s">
        <v>28254</v>
      </c>
    </row>
    <row r="10954" spans="6:8">
      <c r="H10954" t="s">
        <v>28255</v>
      </c>
    </row>
    <row r="10955" spans="6:8">
      <c r="H10955" t="s">
        <v>28256</v>
      </c>
    </row>
    <row r="10956" spans="6:8">
      <c r="H10956" t="s">
        <v>28257</v>
      </c>
    </row>
    <row r="10957" spans="6:8">
      <c r="F10957" t="s">
        <v>10735</v>
      </c>
      <c r="G10957" t="s">
        <v>15134</v>
      </c>
      <c r="H10957" t="s">
        <v>28258</v>
      </c>
    </row>
    <row r="10958" spans="6:8">
      <c r="H10958" t="s">
        <v>28259</v>
      </c>
    </row>
    <row r="10959" spans="6:8">
      <c r="H10959" t="s">
        <v>28260</v>
      </c>
    </row>
    <row r="10960" spans="6:8">
      <c r="H10960" t="s">
        <v>28261</v>
      </c>
    </row>
    <row r="10961" spans="6:8">
      <c r="H10961" t="s">
        <v>28262</v>
      </c>
    </row>
    <row r="10962" spans="6:8">
      <c r="H10962" t="s">
        <v>28263</v>
      </c>
    </row>
    <row r="10963" spans="6:8">
      <c r="H10963" t="s">
        <v>28264</v>
      </c>
    </row>
    <row r="10964" spans="6:8">
      <c r="H10964" t="s">
        <v>28267</v>
      </c>
    </row>
    <row r="10965" spans="6:8">
      <c r="H10965" t="s">
        <v>28268</v>
      </c>
    </row>
    <row r="10966" spans="6:8">
      <c r="H10966" t="s">
        <v>28269</v>
      </c>
    </row>
    <row r="10967" spans="6:8">
      <c r="H10967" t="s">
        <v>28270</v>
      </c>
    </row>
    <row r="10968" spans="6:8">
      <c r="H10968" t="s">
        <v>28271</v>
      </c>
    </row>
    <row r="10969" spans="6:8">
      <c r="H10969" t="s">
        <v>28272</v>
      </c>
    </row>
    <row r="10970" spans="6:8">
      <c r="H10970" t="s">
        <v>28273</v>
      </c>
    </row>
    <row r="10971" spans="6:8">
      <c r="H10971" t="s">
        <v>28274</v>
      </c>
    </row>
    <row r="10972" spans="6:8">
      <c r="H10972" t="s">
        <v>28275</v>
      </c>
    </row>
    <row r="10973" spans="6:8">
      <c r="F10973" t="s">
        <v>12399</v>
      </c>
      <c r="G10973" t="s">
        <v>16606</v>
      </c>
      <c r="H10973" t="s">
        <v>28281</v>
      </c>
    </row>
    <row r="10974" spans="6:8">
      <c r="H10974" t="s">
        <v>28282</v>
      </c>
    </row>
    <row r="10975" spans="6:8">
      <c r="H10975" t="s">
        <v>28283</v>
      </c>
    </row>
    <row r="10976" spans="6:8">
      <c r="H10976" t="s">
        <v>28284</v>
      </c>
    </row>
    <row r="10977" spans="8:8">
      <c r="H10977" t="s">
        <v>22481</v>
      </c>
    </row>
    <row r="10978" spans="8:8">
      <c r="H10978" t="s">
        <v>22482</v>
      </c>
    </row>
    <row r="10979" spans="8:8">
      <c r="H10979" t="s">
        <v>22483</v>
      </c>
    </row>
    <row r="10980" spans="8:8">
      <c r="H10980" t="s">
        <v>22484</v>
      </c>
    </row>
    <row r="10981" spans="8:8">
      <c r="H10981" t="s">
        <v>22485</v>
      </c>
    </row>
    <row r="10982" spans="8:8">
      <c r="H10982" t="s">
        <v>22486</v>
      </c>
    </row>
    <row r="10983" spans="8:8">
      <c r="H10983" t="s">
        <v>22487</v>
      </c>
    </row>
    <row r="10984" spans="8:8">
      <c r="H10984" t="s">
        <v>22488</v>
      </c>
    </row>
    <row r="10985" spans="8:8">
      <c r="H10985" t="s">
        <v>22489</v>
      </c>
    </row>
    <row r="10986" spans="8:8">
      <c r="H10986" t="s">
        <v>22490</v>
      </c>
    </row>
    <row r="10987" spans="8:8">
      <c r="H10987" t="s">
        <v>22491</v>
      </c>
    </row>
    <row r="10988" spans="8:8">
      <c r="H10988" t="s">
        <v>22492</v>
      </c>
    </row>
    <row r="10989" spans="8:8">
      <c r="H10989" t="s">
        <v>22493</v>
      </c>
    </row>
    <row r="10990" spans="8:8">
      <c r="H10990" t="s">
        <v>22494</v>
      </c>
    </row>
    <row r="10991" spans="8:8">
      <c r="H10991" t="s">
        <v>22495</v>
      </c>
    </row>
    <row r="10992" spans="8:8">
      <c r="H10992" t="s">
        <v>28286</v>
      </c>
    </row>
    <row r="10993" spans="8:8">
      <c r="H10993" t="s">
        <v>28287</v>
      </c>
    </row>
    <row r="10994" spans="8:8">
      <c r="H10994" t="s">
        <v>28288</v>
      </c>
    </row>
    <row r="10995" spans="8:8">
      <c r="H10995" t="s">
        <v>28289</v>
      </c>
    </row>
    <row r="10996" spans="8:8">
      <c r="H10996" t="s">
        <v>28290</v>
      </c>
    </row>
    <row r="10997" spans="8:8">
      <c r="H10997" t="s">
        <v>28291</v>
      </c>
    </row>
    <row r="10998" spans="8:8">
      <c r="H10998" t="s">
        <v>28292</v>
      </c>
    </row>
    <row r="10999" spans="8:8">
      <c r="H10999" t="s">
        <v>28293</v>
      </c>
    </row>
    <row r="11000" spans="8:8">
      <c r="H11000" t="s">
        <v>28294</v>
      </c>
    </row>
    <row r="11001" spans="8:8">
      <c r="H11001" t="s">
        <v>28295</v>
      </c>
    </row>
    <row r="11002" spans="8:8">
      <c r="H11002" t="s">
        <v>28296</v>
      </c>
    </row>
    <row r="11003" spans="8:8">
      <c r="H11003" t="s">
        <v>28297</v>
      </c>
    </row>
    <row r="11004" spans="8:8">
      <c r="H11004" t="s">
        <v>28298</v>
      </c>
    </row>
    <row r="11005" spans="8:8">
      <c r="H11005" t="s">
        <v>28299</v>
      </c>
    </row>
    <row r="11006" spans="8:8">
      <c r="H11006" t="s">
        <v>28301</v>
      </c>
    </row>
    <row r="11007" spans="8:8">
      <c r="H11007" t="s">
        <v>28302</v>
      </c>
    </row>
    <row r="11008" spans="8:8">
      <c r="H11008" t="s">
        <v>28312</v>
      </c>
    </row>
    <row r="11009" spans="8:8">
      <c r="H11009" t="s">
        <v>28313</v>
      </c>
    </row>
    <row r="11010" spans="8:8">
      <c r="H11010" t="s">
        <v>28314</v>
      </c>
    </row>
    <row r="11011" spans="8:8">
      <c r="H11011" t="s">
        <v>28315</v>
      </c>
    </row>
    <row r="11012" spans="8:8">
      <c r="H11012" t="s">
        <v>28316</v>
      </c>
    </row>
    <row r="11013" spans="8:8">
      <c r="H11013" t="s">
        <v>28317</v>
      </c>
    </row>
    <row r="11014" spans="8:8">
      <c r="H11014" t="s">
        <v>28318</v>
      </c>
    </row>
    <row r="11015" spans="8:8">
      <c r="H11015" t="s">
        <v>28319</v>
      </c>
    </row>
    <row r="11016" spans="8:8">
      <c r="H11016" t="s">
        <v>28320</v>
      </c>
    </row>
    <row r="11017" spans="8:8">
      <c r="H11017" t="s">
        <v>28321</v>
      </c>
    </row>
    <row r="11018" spans="8:8">
      <c r="H11018" t="s">
        <v>28322</v>
      </c>
    </row>
    <row r="11019" spans="8:8">
      <c r="H11019" t="s">
        <v>28323</v>
      </c>
    </row>
    <row r="11020" spans="8:8">
      <c r="H11020" t="s">
        <v>28324</v>
      </c>
    </row>
    <row r="11021" spans="8:8">
      <c r="H11021" t="s">
        <v>28325</v>
      </c>
    </row>
    <row r="11022" spans="8:8">
      <c r="H11022" t="s">
        <v>28326</v>
      </c>
    </row>
    <row r="11023" spans="8:8">
      <c r="H11023" t="s">
        <v>28327</v>
      </c>
    </row>
    <row r="11024" spans="8:8">
      <c r="H11024" t="s">
        <v>28328</v>
      </c>
    </row>
    <row r="11025" spans="6:8">
      <c r="H11025" t="s">
        <v>28329</v>
      </c>
    </row>
    <row r="11026" spans="6:8">
      <c r="H11026" t="s">
        <v>28330</v>
      </c>
    </row>
    <row r="11027" spans="6:8">
      <c r="H11027" t="s">
        <v>28331</v>
      </c>
    </row>
    <row r="11028" spans="6:8">
      <c r="H11028" t="s">
        <v>28332</v>
      </c>
    </row>
    <row r="11029" spans="6:8">
      <c r="F11029" t="s">
        <v>13150</v>
      </c>
      <c r="G11029" t="s">
        <v>17304</v>
      </c>
      <c r="H11029" t="s">
        <v>28334</v>
      </c>
    </row>
    <row r="11030" spans="6:8">
      <c r="H11030" t="s">
        <v>28335</v>
      </c>
    </row>
    <row r="11031" spans="6:8">
      <c r="H11031" t="s">
        <v>28336</v>
      </c>
    </row>
    <row r="11032" spans="6:8">
      <c r="H11032" t="s">
        <v>28337</v>
      </c>
    </row>
    <row r="11033" spans="6:8">
      <c r="F11033" t="s">
        <v>13151</v>
      </c>
      <c r="G11033" t="s">
        <v>17305</v>
      </c>
      <c r="H11033" t="s">
        <v>26183</v>
      </c>
    </row>
    <row r="11034" spans="6:8">
      <c r="H11034" t="s">
        <v>19241</v>
      </c>
    </row>
    <row r="11035" spans="6:8">
      <c r="F11035" t="s">
        <v>13152</v>
      </c>
      <c r="G11035" t="s">
        <v>16869</v>
      </c>
      <c r="H11035" t="s">
        <v>28339</v>
      </c>
    </row>
    <row r="11036" spans="6:8">
      <c r="H11036" t="s">
        <v>28340</v>
      </c>
    </row>
    <row r="11037" spans="6:8">
      <c r="H11037" t="s">
        <v>28341</v>
      </c>
    </row>
    <row r="11038" spans="6:8">
      <c r="H11038" t="s">
        <v>28342</v>
      </c>
    </row>
    <row r="11039" spans="6:8">
      <c r="H11039" t="s">
        <v>28343</v>
      </c>
    </row>
    <row r="11040" spans="6:8">
      <c r="H11040" t="s">
        <v>28344</v>
      </c>
    </row>
    <row r="11041" spans="6:8">
      <c r="H11041" t="s">
        <v>28345</v>
      </c>
    </row>
    <row r="11042" spans="6:8">
      <c r="H11042" t="s">
        <v>28346</v>
      </c>
    </row>
    <row r="11043" spans="6:8">
      <c r="H11043" t="s">
        <v>28347</v>
      </c>
    </row>
    <row r="11044" spans="6:8">
      <c r="H11044" t="s">
        <v>28348</v>
      </c>
    </row>
    <row r="11045" spans="6:8">
      <c r="H11045" t="s">
        <v>28349</v>
      </c>
    </row>
    <row r="11046" spans="6:8">
      <c r="H11046" t="s">
        <v>28350</v>
      </c>
    </row>
    <row r="11047" spans="6:8">
      <c r="F11047" t="s">
        <v>13153</v>
      </c>
      <c r="G11047" t="s">
        <v>17306</v>
      </c>
      <c r="H11047" t="s">
        <v>28351</v>
      </c>
    </row>
    <row r="11048" spans="6:8">
      <c r="F11048" t="s">
        <v>13154</v>
      </c>
      <c r="G11048" t="s">
        <v>15103</v>
      </c>
      <c r="H11048" t="s">
        <v>19170</v>
      </c>
    </row>
    <row r="11049" spans="6:8">
      <c r="H11049" t="s">
        <v>19171</v>
      </c>
    </row>
    <row r="11050" spans="6:8">
      <c r="H11050" t="s">
        <v>28352</v>
      </c>
    </row>
    <row r="11051" spans="6:8">
      <c r="H11051" t="s">
        <v>19172</v>
      </c>
    </row>
    <row r="11052" spans="6:8">
      <c r="H11052" t="s">
        <v>28353</v>
      </c>
    </row>
    <row r="11053" spans="6:8">
      <c r="H11053" t="s">
        <v>28354</v>
      </c>
    </row>
    <row r="11054" spans="6:8">
      <c r="H11054" t="s">
        <v>19173</v>
      </c>
    </row>
    <row r="11055" spans="6:8">
      <c r="H11055" t="s">
        <v>28356</v>
      </c>
    </row>
    <row r="11056" spans="6:8">
      <c r="H11056" t="s">
        <v>28357</v>
      </c>
    </row>
    <row r="11057" spans="1:8">
      <c r="H11057" t="s">
        <v>28358</v>
      </c>
    </row>
    <row r="11058" spans="1:8">
      <c r="H11058" t="s">
        <v>28359</v>
      </c>
    </row>
    <row r="11059" spans="1:8">
      <c r="F11059" t="s">
        <v>13155</v>
      </c>
      <c r="G11059" t="s">
        <v>15332</v>
      </c>
      <c r="H11059" t="s">
        <v>19729</v>
      </c>
    </row>
    <row r="11060" spans="1:8">
      <c r="H11060" t="s">
        <v>19730</v>
      </c>
    </row>
    <row r="11061" spans="1:8">
      <c r="H11061" t="s">
        <v>19731</v>
      </c>
    </row>
    <row r="11062" spans="1:8">
      <c r="H11062" t="s">
        <v>19732</v>
      </c>
    </row>
    <row r="11063" spans="1:8">
      <c r="H11063" t="s">
        <v>28362</v>
      </c>
    </row>
    <row r="11064" spans="1:8">
      <c r="H11064" t="s">
        <v>28363</v>
      </c>
    </row>
    <row r="11065" spans="1:8">
      <c r="H11065" t="s">
        <v>28364</v>
      </c>
    </row>
    <row r="11066" spans="1:8">
      <c r="F11066" t="s">
        <v>13156</v>
      </c>
      <c r="G11066" t="s">
        <v>17307</v>
      </c>
      <c r="H11066" t="s">
        <v>28366</v>
      </c>
    </row>
    <row r="11067" spans="1:8">
      <c r="H11067" t="s">
        <v>28367</v>
      </c>
    </row>
    <row r="11068" spans="1:8">
      <c r="A11068" t="s">
        <v>1314</v>
      </c>
      <c r="B11068">
        <f>HYPERLINK("https://android.googlesource.com/platform/cts/+/03072b376deffd4953ec4487e133ee1ec3e33428", "03072b376deffd4953ec4487e133ee1ec3e33428")</f>
        <v>0</v>
      </c>
      <c r="C11068">
        <f>HYPERLINK("https://android.googlesource.com/platform/cts/+/e56fe3ca0e098885581ef6e53a8fd28280ffc00a", "e56fe3ca0e098885581ef6e53a8fd28280ffc00a")</f>
        <v>0</v>
      </c>
      <c r="D11068" t="s">
        <v>4973</v>
      </c>
      <c r="E11068" t="s">
        <v>7087</v>
      </c>
      <c r="F11068" t="s">
        <v>13159</v>
      </c>
      <c r="G11068" t="s">
        <v>17310</v>
      </c>
      <c r="H11068" t="s">
        <v>28373</v>
      </c>
    </row>
    <row r="11069" spans="1:8">
      <c r="A11069" t="s">
        <v>1316</v>
      </c>
      <c r="B11069">
        <f>HYPERLINK("https://android.googlesource.com/platform/cts/+/6bc778960e5b34c8a362607c2848426a3f5c91d5", "6bc778960e5b34c8a362607c2848426a3f5c91d5")</f>
        <v>0</v>
      </c>
      <c r="C11069">
        <f>HYPERLINK("https://android.googlesource.com/platform/cts/+/8ec14850a3cbf38f61136c875d8d21add3c95762", "8ec14850a3cbf38f61136c875d8d21add3c95762")</f>
        <v>0</v>
      </c>
      <c r="D11069" t="s">
        <v>4973</v>
      </c>
      <c r="E11069" t="s">
        <v>7089</v>
      </c>
      <c r="F11069" t="s">
        <v>13160</v>
      </c>
      <c r="G11069" t="s">
        <v>17311</v>
      </c>
      <c r="H11069" t="s">
        <v>28375</v>
      </c>
    </row>
    <row r="11070" spans="1:8">
      <c r="H11070" t="s">
        <v>28376</v>
      </c>
    </row>
    <row r="11071" spans="1:8">
      <c r="A11071" t="s">
        <v>1324</v>
      </c>
      <c r="B11071">
        <f>HYPERLINK("https://android.googlesource.com/platform/cts/+/bf1605d391ba80e4a942e779b604fd0177724e83", "bf1605d391ba80e4a942e779b604fd0177724e83")</f>
        <v>0</v>
      </c>
      <c r="C11071">
        <f>HYPERLINK("https://android.googlesource.com/platform/cts/+/0e71b18cb619be99e01aaf64fa3f913370254ece", "0e71b18cb619be99e01aaf64fa3f913370254ece")</f>
        <v>0</v>
      </c>
      <c r="D11071" t="s">
        <v>5146</v>
      </c>
      <c r="E11071" t="s">
        <v>7096</v>
      </c>
      <c r="F11071" t="s">
        <v>12839</v>
      </c>
      <c r="G11071" t="s">
        <v>17014</v>
      </c>
      <c r="H11071" t="s">
        <v>28386</v>
      </c>
    </row>
    <row r="11072" spans="1:8">
      <c r="H11072" t="s">
        <v>28387</v>
      </c>
    </row>
    <row r="11073" spans="1:8">
      <c r="A11073" t="s">
        <v>1325</v>
      </c>
      <c r="B11073">
        <f>HYPERLINK("https://android.googlesource.com/platform/cts/+/92cd9119d1dbcb9664a830f216920d5bbde961a1", "92cd9119d1dbcb9664a830f216920d5bbde961a1")</f>
        <v>0</v>
      </c>
      <c r="C11073">
        <f>HYPERLINK("https://android.googlesource.com/platform/cts/+/ea862a6bd2f49df4bc0204743f955749b0230c26", "ea862a6bd2f49df4bc0204743f955749b0230c26")</f>
        <v>0</v>
      </c>
      <c r="D11073" t="s">
        <v>5132</v>
      </c>
      <c r="E11073" t="s">
        <v>7097</v>
      </c>
      <c r="F11073" t="s">
        <v>10794</v>
      </c>
      <c r="G11073" t="s">
        <v>15189</v>
      </c>
      <c r="H11073" t="s">
        <v>28389</v>
      </c>
    </row>
    <row r="11074" spans="1:8">
      <c r="H11074" t="s">
        <v>28390</v>
      </c>
    </row>
    <row r="11075" spans="1:8">
      <c r="A11075" t="s">
        <v>1326</v>
      </c>
      <c r="B11075">
        <f>HYPERLINK("https://android.googlesource.com/platform/cts/+/ed85533fa030ca397a36a0b8bac3189eae9d23c9", "ed85533fa030ca397a36a0b8bac3189eae9d23c9")</f>
        <v>0</v>
      </c>
      <c r="C11075">
        <f>HYPERLINK("https://android.googlesource.com/platform/cts/+/50d641d9ce7db1f7f7b7c2c945525026d8f07e1c", "50d641d9ce7db1f7f7b7c2c945525026d8f07e1c")</f>
        <v>0</v>
      </c>
      <c r="D11075" t="s">
        <v>5186</v>
      </c>
      <c r="E11075" t="s">
        <v>7098</v>
      </c>
      <c r="F11075" t="s">
        <v>13136</v>
      </c>
      <c r="G11075" t="s">
        <v>17293</v>
      </c>
      <c r="H11075" t="s">
        <v>25984</v>
      </c>
    </row>
    <row r="11076" spans="1:8">
      <c r="A11076" t="s">
        <v>1328</v>
      </c>
      <c r="B11076">
        <f>HYPERLINK("https://android.googlesource.com/platform/cts/+/52781c7c29f20abd6b9a1c49a67aebf1e2592014", "52781c7c29f20abd6b9a1c49a67aebf1e2592014")</f>
        <v>0</v>
      </c>
      <c r="C11076">
        <f>HYPERLINK("https://android.googlesource.com/platform/cts/+/2eb66d66b0f2a6bfc71c217e12bcb6f002ecf336", "2eb66d66b0f2a6bfc71c217e12bcb6f002ecf336")</f>
        <v>0</v>
      </c>
      <c r="D11076" t="s">
        <v>4986</v>
      </c>
      <c r="E11076" t="s">
        <v>7100</v>
      </c>
      <c r="F11076" t="s">
        <v>13164</v>
      </c>
      <c r="G11076" t="s">
        <v>17314</v>
      </c>
      <c r="H11076" t="s">
        <v>28393</v>
      </c>
    </row>
    <row r="11077" spans="1:8">
      <c r="H11077" t="s">
        <v>28394</v>
      </c>
    </row>
    <row r="11078" spans="1:8">
      <c r="H11078" t="s">
        <v>28395</v>
      </c>
    </row>
    <row r="11079" spans="1:8">
      <c r="H11079" t="s">
        <v>28396</v>
      </c>
    </row>
    <row r="11080" spans="1:8">
      <c r="A11080" t="s">
        <v>1330</v>
      </c>
      <c r="B11080">
        <f>HYPERLINK("https://android.googlesource.com/platform/cts/+/eba4da29339b68bcf5049d2382f6a2f79b05f66e", "eba4da29339b68bcf5049d2382f6a2f79b05f66e")</f>
        <v>0</v>
      </c>
      <c r="C11080">
        <f>HYPERLINK("https://android.googlesource.com/platform/cts/+/ed5f855f5a888399e2f0eed3639e95ae1af04fdf", "ed5f855f5a888399e2f0eed3639e95ae1af04fdf")</f>
        <v>0</v>
      </c>
      <c r="D11080" t="s">
        <v>5118</v>
      </c>
      <c r="E11080" t="s">
        <v>7102</v>
      </c>
      <c r="F11080" t="s">
        <v>13165</v>
      </c>
      <c r="G11080" t="s">
        <v>17315</v>
      </c>
      <c r="H11080" t="s">
        <v>28397</v>
      </c>
    </row>
    <row r="11081" spans="1:8">
      <c r="H11081" t="s">
        <v>28398</v>
      </c>
    </row>
    <row r="11082" spans="1:8">
      <c r="A11082" t="s">
        <v>1331</v>
      </c>
      <c r="B11082">
        <f>HYPERLINK("https://android.googlesource.com/platform/cts/+/ef6033e792d96dd9ebcb01849d579c483240dfa2", "ef6033e792d96dd9ebcb01849d579c483240dfa2")</f>
        <v>0</v>
      </c>
      <c r="C11082">
        <f>HYPERLINK("https://android.googlesource.com/platform/cts/+/e0761dc1fbfed28a5b058c945cc0ce4d7344b62b", "e0761dc1fbfed28a5b058c945cc0ce4d7344b62b")</f>
        <v>0</v>
      </c>
      <c r="D11082" t="s">
        <v>5111</v>
      </c>
      <c r="E11082" t="s">
        <v>7103</v>
      </c>
      <c r="F11082" t="s">
        <v>10778</v>
      </c>
      <c r="G11082" t="s">
        <v>15174</v>
      </c>
      <c r="H11082" t="s">
        <v>28399</v>
      </c>
    </row>
    <row r="11083" spans="1:8">
      <c r="A11083" t="s">
        <v>1337</v>
      </c>
      <c r="B11083">
        <f>HYPERLINK("https://android.googlesource.com/platform/cts/+/048475048be8820e538e1dffc3b0e06468d97969", "048475048be8820e538e1dffc3b0e06468d97969")</f>
        <v>0</v>
      </c>
      <c r="C11083">
        <f>HYPERLINK("https://android.googlesource.com/platform/cts/+/e3eee99b576e4418ccfcd172b9a989fc79d683f4", "e3eee99b576e4418ccfcd172b9a989fc79d683f4")</f>
        <v>0</v>
      </c>
      <c r="D11083" t="s">
        <v>5019</v>
      </c>
      <c r="E11083" t="s">
        <v>7109</v>
      </c>
      <c r="F11083" t="s">
        <v>13166</v>
      </c>
      <c r="G11083" t="s">
        <v>17317</v>
      </c>
      <c r="H11083" t="s">
        <v>28403</v>
      </c>
    </row>
    <row r="11084" spans="1:8">
      <c r="A11084" t="s">
        <v>1343</v>
      </c>
      <c r="B11084">
        <f>HYPERLINK("https://android.googlesource.com/platform/cts/+/fc47e20cdfdbc53af890799cbd60bc97801b4e40", "fc47e20cdfdbc53af890799cbd60bc97801b4e40")</f>
        <v>0</v>
      </c>
      <c r="C11084">
        <f>HYPERLINK("https://android.googlesource.com/platform/cts/+/02aaa0c7a1ef11fefd5f0c83f7f90ba4dd2c88be", "02aaa0c7a1ef11fefd5f0c83f7f90ba4dd2c88be")</f>
        <v>0</v>
      </c>
      <c r="D11084" t="s">
        <v>5194</v>
      </c>
      <c r="E11084" t="s">
        <v>7115</v>
      </c>
      <c r="F11084" t="s">
        <v>12647</v>
      </c>
      <c r="G11084" t="s">
        <v>16853</v>
      </c>
      <c r="H11084" t="s">
        <v>25667</v>
      </c>
    </row>
    <row r="11085" spans="1:8">
      <c r="A11085" t="s">
        <v>1347</v>
      </c>
      <c r="B11085">
        <f>HYPERLINK("https://android.googlesource.com/platform/cts/+/1cf5c9afda9d3ed2c5f85f6040633932a0325630", "1cf5c9afda9d3ed2c5f85f6040633932a0325630")</f>
        <v>0</v>
      </c>
      <c r="C11085">
        <f>HYPERLINK("https://android.googlesource.com/platform/cts/+/d2c04c8a8a1c6d9a177aef91895f9c88dee5fd69", "d2c04c8a8a1c6d9a177aef91895f9c88dee5fd69")</f>
        <v>0</v>
      </c>
      <c r="D11085" t="s">
        <v>5156</v>
      </c>
      <c r="E11085" t="s">
        <v>7118</v>
      </c>
      <c r="F11085" t="s">
        <v>13171</v>
      </c>
      <c r="G11085" t="s">
        <v>16410</v>
      </c>
      <c r="H11085" t="s">
        <v>28411</v>
      </c>
    </row>
    <row r="11086" spans="1:8">
      <c r="A11086" t="s">
        <v>1350</v>
      </c>
      <c r="B11086">
        <f>HYPERLINK("https://android.googlesource.com/platform/cts/+/7b1462fa47277d2451dd45a8f8d9116e06509102", "7b1462fa47277d2451dd45a8f8d9116e06509102")</f>
        <v>0</v>
      </c>
      <c r="C11086">
        <f>HYPERLINK("https://android.googlesource.com/platform/cts/+/b080702ad7f5e61e3793cc4335e55b6bec128975", "b080702ad7f5e61e3793cc4335e55b6bec128975")</f>
        <v>0</v>
      </c>
      <c r="D11086" t="s">
        <v>5191</v>
      </c>
      <c r="E11086" t="s">
        <v>7121</v>
      </c>
      <c r="F11086" t="s">
        <v>13172</v>
      </c>
      <c r="G11086" t="s">
        <v>17320</v>
      </c>
      <c r="H11086" t="s">
        <v>28415</v>
      </c>
    </row>
    <row r="11087" spans="1:8">
      <c r="H11087" t="s">
        <v>28416</v>
      </c>
    </row>
    <row r="11088" spans="1:8">
      <c r="A11088" t="s">
        <v>1353</v>
      </c>
      <c r="B11088">
        <f>HYPERLINK("https://android.googlesource.com/platform/cts/+/76d27ce7c94d7559716fa779051f3cdc1af488b0", "76d27ce7c94d7559716fa779051f3cdc1af488b0")</f>
        <v>0</v>
      </c>
      <c r="C11088">
        <f>HYPERLINK("https://android.googlesource.com/platform/cts/+/2d3020b24fbc9db60e3fc94a075a9dce0ff9d4d6", "2d3020b24fbc9db60e3fc94a075a9dce0ff9d4d6")</f>
        <v>0</v>
      </c>
      <c r="D11088" t="s">
        <v>5127</v>
      </c>
      <c r="E11088" t="s">
        <v>7124</v>
      </c>
      <c r="F11088" t="s">
        <v>13173</v>
      </c>
      <c r="G11088" t="s">
        <v>17321</v>
      </c>
      <c r="H11088" t="s">
        <v>28422</v>
      </c>
    </row>
    <row r="11089" spans="1:8">
      <c r="H11089" t="s">
        <v>28423</v>
      </c>
    </row>
    <row r="11090" spans="1:8">
      <c r="H11090" t="s">
        <v>28424</v>
      </c>
    </row>
    <row r="11091" spans="1:8">
      <c r="F11091" t="s">
        <v>12629</v>
      </c>
      <c r="G11091" t="s">
        <v>16838</v>
      </c>
      <c r="H11091" t="s">
        <v>28429</v>
      </c>
    </row>
    <row r="11092" spans="1:8">
      <c r="A11092" t="s">
        <v>1355</v>
      </c>
      <c r="B11092">
        <f>HYPERLINK("https://android.googlesource.com/platform/cts/+/483ab8e405360430b806b04aee51fedc32c4a34f", "483ab8e405360430b806b04aee51fedc32c4a34f")</f>
        <v>0</v>
      </c>
      <c r="C11092">
        <f>HYPERLINK("https://android.googlesource.com/platform/cts/+/00d2bbc0310e81973f5a9e9f37d3159ee3361c91", "00d2bbc0310e81973f5a9e9f37d3159ee3361c91")</f>
        <v>0</v>
      </c>
      <c r="D11092" t="s">
        <v>5198</v>
      </c>
      <c r="E11092" t="s">
        <v>7126</v>
      </c>
      <c r="F11092" t="s">
        <v>10668</v>
      </c>
      <c r="G11092" t="s">
        <v>15069</v>
      </c>
      <c r="H11092" t="s">
        <v>28434</v>
      </c>
    </row>
    <row r="11093" spans="1:8">
      <c r="A11093" t="s">
        <v>1356</v>
      </c>
      <c r="B11093">
        <f>HYPERLINK("https://android.googlesource.com/platform/cts/+/2fbc4fb2fec3bd955d6933feb5d4d63e357bc55b", "2fbc4fb2fec3bd955d6933feb5d4d63e357bc55b")</f>
        <v>0</v>
      </c>
      <c r="C11093">
        <f>HYPERLINK("https://android.googlesource.com/platform/cts/+/a57f7aacff3602f8a26ca01e300cf3a6965adcf3", "a57f7aacff3602f8a26ca01e300cf3a6965adcf3")</f>
        <v>0</v>
      </c>
      <c r="D11093" t="s">
        <v>5002</v>
      </c>
      <c r="E11093" t="s">
        <v>7127</v>
      </c>
      <c r="F11093" t="s">
        <v>12252</v>
      </c>
      <c r="G11093" t="s">
        <v>16483</v>
      </c>
      <c r="H11093" t="s">
        <v>25060</v>
      </c>
    </row>
    <row r="11094" spans="1:8">
      <c r="H11094" t="s">
        <v>25061</v>
      </c>
    </row>
    <row r="11095" spans="1:8">
      <c r="H11095" t="s">
        <v>25062</v>
      </c>
    </row>
    <row r="11096" spans="1:8">
      <c r="A11096" t="s">
        <v>1357</v>
      </c>
      <c r="B11096">
        <f>HYPERLINK("https://android.googlesource.com/platform/cts/+/8ab04d76cdd0b3c57ea2b94f9819c5ba1dc35525", "8ab04d76cdd0b3c57ea2b94f9819c5ba1dc35525")</f>
        <v>0</v>
      </c>
      <c r="C11096">
        <f>HYPERLINK("https://android.googlesource.com/platform/cts/+/69f13316b8c6b44e6f14593db351d9a2d878e338", "69f13316b8c6b44e6f14593db351d9a2d878e338")</f>
        <v>0</v>
      </c>
      <c r="D11096" t="s">
        <v>5021</v>
      </c>
      <c r="E11096" t="s">
        <v>7128</v>
      </c>
      <c r="F11096" t="s">
        <v>12252</v>
      </c>
      <c r="G11096" t="s">
        <v>16483</v>
      </c>
      <c r="H11096" t="s">
        <v>25060</v>
      </c>
    </row>
    <row r="11097" spans="1:8">
      <c r="H11097" t="s">
        <v>25061</v>
      </c>
    </row>
    <row r="11098" spans="1:8">
      <c r="H11098" t="s">
        <v>25062</v>
      </c>
    </row>
    <row r="11099" spans="1:8">
      <c r="A11099" t="s">
        <v>1359</v>
      </c>
      <c r="B11099">
        <f>HYPERLINK("https://android.googlesource.com/platform/cts/+/b15da1e1d851994fd4fde3665349ed43ac27d5f4", "b15da1e1d851994fd4fde3665349ed43ac27d5f4")</f>
        <v>0</v>
      </c>
      <c r="C11099">
        <f>HYPERLINK("https://android.googlesource.com/platform/cts/+/b7f33fffee58de858e2da2c769f21dcf79a7f0f3", "b7f33fffee58de858e2da2c769f21dcf79a7f0f3")</f>
        <v>0</v>
      </c>
      <c r="D11099" t="s">
        <v>5115</v>
      </c>
      <c r="E11099" t="s">
        <v>7130</v>
      </c>
      <c r="F11099" t="s">
        <v>13178</v>
      </c>
      <c r="G11099" t="s">
        <v>17322</v>
      </c>
      <c r="H11099" t="s">
        <v>26112</v>
      </c>
    </row>
    <row r="11100" spans="1:8">
      <c r="H11100" t="s">
        <v>26113</v>
      </c>
    </row>
    <row r="11101" spans="1:8">
      <c r="A11101" t="s">
        <v>1362</v>
      </c>
      <c r="B11101">
        <f>HYPERLINK("https://android.googlesource.com/platform/cts/+/58cdefa1792732ae895078450f76b53f861140c1", "58cdefa1792732ae895078450f76b53f861140c1")</f>
        <v>0</v>
      </c>
      <c r="C11101">
        <f>HYPERLINK("https://android.googlesource.com/platform/cts/+/7f750fbc36a64379f6f340143b159b15af48103f", "7f750fbc36a64379f6f340143b159b15af48103f")</f>
        <v>0</v>
      </c>
      <c r="D11101" t="s">
        <v>5191</v>
      </c>
      <c r="E11101" t="s">
        <v>7133</v>
      </c>
      <c r="F11101" t="s">
        <v>13179</v>
      </c>
      <c r="G11101" t="s">
        <v>17323</v>
      </c>
      <c r="H11101" t="s">
        <v>28448</v>
      </c>
    </row>
    <row r="11102" spans="1:8">
      <c r="A11102" t="s">
        <v>1365</v>
      </c>
      <c r="B11102">
        <f>HYPERLINK("https://android.googlesource.com/platform/cts/+/2c01b4761a1e5f31245c9ea50d610449ff1b6f33", "2c01b4761a1e5f31245c9ea50d610449ff1b6f33")</f>
        <v>0</v>
      </c>
      <c r="C11102">
        <f>HYPERLINK("https://android.googlesource.com/platform/cts/+/d3b60bbf30c1a99efd1576c4cb7880b1319d7565", "d3b60bbf30c1a99efd1576c4cb7880b1319d7565")</f>
        <v>0</v>
      </c>
      <c r="D11102" t="s">
        <v>5144</v>
      </c>
      <c r="E11102" t="s">
        <v>7136</v>
      </c>
      <c r="F11102" t="s">
        <v>10629</v>
      </c>
      <c r="G11102" t="s">
        <v>15032</v>
      </c>
      <c r="H11102" t="s">
        <v>18836</v>
      </c>
    </row>
    <row r="11103" spans="1:8">
      <c r="H11103" t="s">
        <v>28452</v>
      </c>
    </row>
    <row r="11104" spans="1:8">
      <c r="H11104" t="s">
        <v>28453</v>
      </c>
    </row>
    <row r="11105" spans="1:8">
      <c r="F11105" t="s">
        <v>10597</v>
      </c>
      <c r="G11105" t="s">
        <v>15000</v>
      </c>
      <c r="H11105" t="s">
        <v>28454</v>
      </c>
    </row>
    <row r="11106" spans="1:8">
      <c r="F11106" t="s">
        <v>13180</v>
      </c>
      <c r="G11106" t="s">
        <v>17324</v>
      </c>
      <c r="H11106" t="s">
        <v>18851</v>
      </c>
    </row>
    <row r="11107" spans="1:8">
      <c r="F11107" t="s">
        <v>13181</v>
      </c>
      <c r="G11107" t="s">
        <v>17325</v>
      </c>
      <c r="H11107" t="s">
        <v>18836</v>
      </c>
    </row>
    <row r="11108" spans="1:8">
      <c r="H11108" t="s">
        <v>28455</v>
      </c>
    </row>
    <row r="11109" spans="1:8">
      <c r="H11109" t="s">
        <v>28456</v>
      </c>
    </row>
    <row r="11110" spans="1:8">
      <c r="H11110" t="s">
        <v>28457</v>
      </c>
    </row>
    <row r="11111" spans="1:8">
      <c r="A11111" t="s">
        <v>1370</v>
      </c>
      <c r="B11111">
        <f>HYPERLINK("https://android.googlesource.com/platform/cts/+/db6000bf3923b236411ae253016c40ff09d43447", "db6000bf3923b236411ae253016c40ff09d43447")</f>
        <v>0</v>
      </c>
      <c r="C11111">
        <f>HYPERLINK("https://android.googlesource.com/platform/cts/+/e91e18261e4fac8d10549a16f0b55e74b8391da0", "e91e18261e4fac8d10549a16f0b55e74b8391da0")</f>
        <v>0</v>
      </c>
      <c r="D11111" t="s">
        <v>4965</v>
      </c>
      <c r="E11111" t="s">
        <v>7141</v>
      </c>
      <c r="F11111" t="s">
        <v>13127</v>
      </c>
      <c r="G11111" t="s">
        <v>17203</v>
      </c>
      <c r="H11111" t="s">
        <v>28463</v>
      </c>
    </row>
    <row r="11112" spans="1:8">
      <c r="A11112" t="s">
        <v>1375</v>
      </c>
      <c r="B11112">
        <f>HYPERLINK("https://android.googlesource.com/platform/cts/+/0e08bccac0267a702b62ddd93d4c3940ac60f5bc", "0e08bccac0267a702b62ddd93d4c3940ac60f5bc")</f>
        <v>0</v>
      </c>
      <c r="C11112">
        <f>HYPERLINK("https://android.googlesource.com/platform/cts/+/1c8a56a335d186d554634f26ef3135ab4fe6f838", "1c8a56a335d186d554634f26ef3135ab4fe6f838")</f>
        <v>0</v>
      </c>
      <c r="D11112" t="s">
        <v>5202</v>
      </c>
      <c r="E11112" t="s">
        <v>7146</v>
      </c>
      <c r="F11112" t="s">
        <v>13192</v>
      </c>
      <c r="G11112" t="s">
        <v>17335</v>
      </c>
      <c r="H11112" t="s">
        <v>28468</v>
      </c>
    </row>
    <row r="11113" spans="1:8">
      <c r="A11113" t="s">
        <v>1377</v>
      </c>
      <c r="B11113">
        <f>HYPERLINK("https://android.googlesource.com/platform/cts/+/3bb2f327a046fb1389d3c71cb2ef26baada0eb96", "3bb2f327a046fb1389d3c71cb2ef26baada0eb96")</f>
        <v>0</v>
      </c>
      <c r="C11113">
        <f>HYPERLINK("https://android.googlesource.com/platform/cts/+/ee8e5c25e7239ee42ac9f817d5a40dbf5ed9cc8b", "ee8e5c25e7239ee42ac9f817d5a40dbf5ed9cc8b")</f>
        <v>0</v>
      </c>
      <c r="D11113" t="s">
        <v>4949</v>
      </c>
      <c r="E11113" t="s">
        <v>7148</v>
      </c>
      <c r="F11113" t="s">
        <v>12879</v>
      </c>
      <c r="G11113" t="s">
        <v>17046</v>
      </c>
      <c r="H11113" t="s">
        <v>28470</v>
      </c>
    </row>
    <row r="11114" spans="1:8">
      <c r="A11114" t="s">
        <v>1378</v>
      </c>
      <c r="B11114">
        <f>HYPERLINK("https://android.googlesource.com/platform/cts/+/aef954739ac695b5e17c9b3ac281b3429a36014d", "aef954739ac695b5e17c9b3ac281b3429a36014d")</f>
        <v>0</v>
      </c>
      <c r="C11114">
        <f>HYPERLINK("https://android.googlesource.com/platform/cts/+/abe70ae7ee1768851233c37333f929752317bdd4", "abe70ae7ee1768851233c37333f929752317bdd4")</f>
        <v>0</v>
      </c>
      <c r="D11114" t="s">
        <v>5144</v>
      </c>
      <c r="E11114" t="s">
        <v>7149</v>
      </c>
      <c r="F11114" t="s">
        <v>10627</v>
      </c>
      <c r="G11114" t="s">
        <v>15030</v>
      </c>
      <c r="H11114" t="s">
        <v>28471</v>
      </c>
    </row>
    <row r="11115" spans="1:8">
      <c r="H11115" t="s">
        <v>28472</v>
      </c>
    </row>
    <row r="11116" spans="1:8">
      <c r="H11116" t="s">
        <v>28473</v>
      </c>
    </row>
    <row r="11117" spans="1:8">
      <c r="H11117" t="s">
        <v>28474</v>
      </c>
    </row>
    <row r="11118" spans="1:8">
      <c r="A11118" t="s">
        <v>1379</v>
      </c>
      <c r="B11118">
        <f>HYPERLINK("https://android.googlesource.com/platform/cts/+/f734aa60e8524882ef7664e6d574844f3803e17f", "f734aa60e8524882ef7664e6d574844f3803e17f")</f>
        <v>0</v>
      </c>
      <c r="C11118">
        <f>HYPERLINK("https://android.googlesource.com/platform/cts/+/8317906b3dd1fde437d44c320facab49c0193205", "8317906b3dd1fde437d44c320facab49c0193205")</f>
        <v>0</v>
      </c>
      <c r="D11118" t="s">
        <v>5062</v>
      </c>
      <c r="E11118" t="s">
        <v>7150</v>
      </c>
      <c r="F11118" t="s">
        <v>13188</v>
      </c>
      <c r="G11118" t="s">
        <v>17332</v>
      </c>
      <c r="H11118" t="s">
        <v>28489</v>
      </c>
    </row>
    <row r="11119" spans="1:8">
      <c r="F11119" t="s">
        <v>13189</v>
      </c>
      <c r="G11119" t="s">
        <v>17333</v>
      </c>
      <c r="H11119" t="s">
        <v>28489</v>
      </c>
    </row>
    <row r="11120" spans="1:8">
      <c r="A11120" t="s">
        <v>1381</v>
      </c>
      <c r="B11120">
        <f>HYPERLINK("https://android.googlesource.com/platform/cts/+/32908a51b1d83203d997ca2602e63060f6613c3b", "32908a51b1d83203d997ca2602e63060f6613c3b")</f>
        <v>0</v>
      </c>
      <c r="C11120">
        <f>HYPERLINK("https://android.googlesource.com/platform/cts/+/9e9010d06fe77db0c33a9ba504dc4d2bc94aa20d", "9e9010d06fe77db0c33a9ba504dc4d2bc94aa20d")</f>
        <v>0</v>
      </c>
      <c r="D11120" t="s">
        <v>5055</v>
      </c>
      <c r="E11120" t="s">
        <v>7152</v>
      </c>
      <c r="F11120" t="s">
        <v>12411</v>
      </c>
      <c r="G11120" t="s">
        <v>16633</v>
      </c>
      <c r="H11120" t="s">
        <v>28491</v>
      </c>
    </row>
    <row r="11121" spans="1:8">
      <c r="A11121" t="s">
        <v>1382</v>
      </c>
      <c r="B11121">
        <f>HYPERLINK("https://android.googlesource.com/platform/cts/+/6b3c15923fab701d06ef6a0eca198b06dd0f7288", "6b3c15923fab701d06ef6a0eca198b06dd0f7288")</f>
        <v>0</v>
      </c>
      <c r="C11121">
        <f>HYPERLINK("https://android.googlesource.com/platform/cts/+/0df066684bbee8c5e2091b3c068054619b768a42", "0df066684bbee8c5e2091b3c068054619b768a42")</f>
        <v>0</v>
      </c>
      <c r="D11121" t="s">
        <v>5118</v>
      </c>
      <c r="E11121" t="s">
        <v>7153</v>
      </c>
      <c r="F11121" t="s">
        <v>13197</v>
      </c>
      <c r="G11121" t="s">
        <v>17340</v>
      </c>
      <c r="H11121" t="s">
        <v>28492</v>
      </c>
    </row>
    <row r="11122" spans="1:8">
      <c r="A11122" t="s">
        <v>1384</v>
      </c>
      <c r="B11122">
        <f>HYPERLINK("https://android.googlesource.com/platform/cts/+/5ad9feddf1244892f29eaf73ad32685f383ff579", "5ad9feddf1244892f29eaf73ad32685f383ff579")</f>
        <v>0</v>
      </c>
      <c r="C11122">
        <f>HYPERLINK("https://android.googlesource.com/platform/cts/+/109ad258780a542117825a3b5236d7339b4f5e2a", "109ad258780a542117825a3b5236d7339b4f5e2a")</f>
        <v>0</v>
      </c>
      <c r="D11122" t="s">
        <v>5204</v>
      </c>
      <c r="E11122" t="s">
        <v>7155</v>
      </c>
      <c r="F11122" t="s">
        <v>12904</v>
      </c>
      <c r="G11122" t="s">
        <v>17070</v>
      </c>
      <c r="H11122" t="s">
        <v>28495</v>
      </c>
    </row>
    <row r="11123" spans="1:8">
      <c r="A11123" t="s">
        <v>1385</v>
      </c>
      <c r="B11123">
        <f>HYPERLINK("https://android.googlesource.com/platform/cts/+/8832678e057cd9fed36eed89ba5316b949c8b922", "8832678e057cd9fed36eed89ba5316b949c8b922")</f>
        <v>0</v>
      </c>
      <c r="C11123">
        <f>HYPERLINK("https://android.googlesource.com/platform/cts/+/23fd68a7e7dcaafd8319dd178fbecff690567e59", "23fd68a7e7dcaafd8319dd178fbecff690567e59")</f>
        <v>0</v>
      </c>
      <c r="D11123" t="s">
        <v>5062</v>
      </c>
      <c r="E11123" t="s">
        <v>7156</v>
      </c>
      <c r="F11123" t="s">
        <v>13198</v>
      </c>
      <c r="G11123" t="s">
        <v>16941</v>
      </c>
      <c r="H11123" t="s">
        <v>26770</v>
      </c>
    </row>
    <row r="11124" spans="1:8">
      <c r="A11124" t="s">
        <v>1386</v>
      </c>
      <c r="B11124">
        <f>HYPERLINK("https://android.googlesource.com/platform/cts/+/010c93a1abdd4cd50bdacacb9a5a44047e5f7a7f", "010c93a1abdd4cd50bdacacb9a5a44047e5f7a7f")</f>
        <v>0</v>
      </c>
      <c r="C11124">
        <f>HYPERLINK("https://android.googlesource.com/platform/cts/+/23fd68a7e7dcaafd8319dd178fbecff690567e59", "23fd68a7e7dcaafd8319dd178fbecff690567e59")</f>
        <v>0</v>
      </c>
      <c r="D11124" t="s">
        <v>5062</v>
      </c>
      <c r="E11124" t="s">
        <v>7157</v>
      </c>
      <c r="F11124" t="s">
        <v>13200</v>
      </c>
      <c r="G11124" t="s">
        <v>17342</v>
      </c>
      <c r="H11124" t="s">
        <v>28497</v>
      </c>
    </row>
    <row r="11125" spans="1:8">
      <c r="F11125" t="s">
        <v>13201</v>
      </c>
      <c r="G11125" t="s">
        <v>17343</v>
      </c>
      <c r="H11125" t="s">
        <v>28498</v>
      </c>
    </row>
    <row r="11126" spans="1:8">
      <c r="A11126" t="s">
        <v>1388</v>
      </c>
      <c r="B11126">
        <f>HYPERLINK("https://android.googlesource.com/platform/cts/+/d4904876d7075fe752f3f03b31ec541f516e36f2", "d4904876d7075fe752f3f03b31ec541f516e36f2")</f>
        <v>0</v>
      </c>
      <c r="C11126">
        <f>HYPERLINK("https://android.googlesource.com/platform/cts/+/a7f8f18ea4043c8a2b43de11ea6f44028d9c150c", "a7f8f18ea4043c8a2b43de11ea6f44028d9c150c")</f>
        <v>0</v>
      </c>
      <c r="D11126" t="s">
        <v>5094</v>
      </c>
      <c r="E11126" t="s">
        <v>7159</v>
      </c>
      <c r="F11126" t="s">
        <v>13202</v>
      </c>
      <c r="G11126" t="s">
        <v>17344</v>
      </c>
      <c r="H11126" t="s">
        <v>28499</v>
      </c>
    </row>
    <row r="11127" spans="1:8">
      <c r="A11127" t="s">
        <v>1390</v>
      </c>
      <c r="B11127">
        <f>HYPERLINK("https://android.googlesource.com/platform/cts/+/069b4a9d9beacb7ae994d97ef44b696917822d21", "069b4a9d9beacb7ae994d97ef44b696917822d21")</f>
        <v>0</v>
      </c>
      <c r="C11127">
        <f>HYPERLINK("https://android.googlesource.com/platform/cts/+/e17b591ff58af048c7eaf3e4b7c0b5791cc7e970", "e17b591ff58af048c7eaf3e4b7c0b5791cc7e970")</f>
        <v>0</v>
      </c>
      <c r="D11127" t="s">
        <v>5176</v>
      </c>
      <c r="E11127" t="s">
        <v>7161</v>
      </c>
      <c r="F11127" t="s">
        <v>10794</v>
      </c>
      <c r="G11127" t="s">
        <v>15189</v>
      </c>
      <c r="H11127" t="s">
        <v>28518</v>
      </c>
    </row>
    <row r="11128" spans="1:8">
      <c r="H11128" t="s">
        <v>28519</v>
      </c>
    </row>
    <row r="11129" spans="1:8">
      <c r="H11129" t="s">
        <v>28520</v>
      </c>
    </row>
    <row r="11130" spans="1:8">
      <c r="A11130" t="s">
        <v>1394</v>
      </c>
      <c r="B11130">
        <f>HYPERLINK("https://android.googlesource.com/platform/cts/+/19f8cfa39892e468831d0998954cfdd5a1a8dfa4", "19f8cfa39892e468831d0998954cfdd5a1a8dfa4")</f>
        <v>0</v>
      </c>
      <c r="C11130">
        <f>HYPERLINK("https://android.googlesource.com/platform/cts/+/d57bb4d0ec59016f842c19e8b8483799f97a1ff2", "d57bb4d0ec59016f842c19e8b8483799f97a1ff2")</f>
        <v>0</v>
      </c>
      <c r="D11130" t="s">
        <v>5085</v>
      </c>
      <c r="E11130" t="s">
        <v>7165</v>
      </c>
      <c r="F11130" t="s">
        <v>13204</v>
      </c>
      <c r="G11130" t="s">
        <v>17346</v>
      </c>
      <c r="H11130" t="s">
        <v>28526</v>
      </c>
    </row>
    <row r="11131" spans="1:8">
      <c r="H11131" t="s">
        <v>28527</v>
      </c>
    </row>
    <row r="11132" spans="1:8">
      <c r="A11132" t="s">
        <v>1396</v>
      </c>
      <c r="B11132">
        <f>HYPERLINK("https://android.googlesource.com/platform/cts/+/a87a656a10ce2430c7aed66d876fd365cff3405f", "a87a656a10ce2430c7aed66d876fd365cff3405f")</f>
        <v>0</v>
      </c>
      <c r="C11132">
        <f>HYPERLINK("https://android.googlesource.com/platform/cts/+/9c5780640ab32bc81130583d28189dd21b6e9c2a", "9c5780640ab32bc81130583d28189dd21b6e9c2a")</f>
        <v>0</v>
      </c>
      <c r="D11132" t="s">
        <v>5044</v>
      </c>
      <c r="E11132" t="s">
        <v>7167</v>
      </c>
      <c r="F11132" t="s">
        <v>13205</v>
      </c>
      <c r="G11132" t="s">
        <v>17347</v>
      </c>
      <c r="H11132" t="s">
        <v>28528</v>
      </c>
    </row>
    <row r="11133" spans="1:8">
      <c r="F11133" t="s">
        <v>13206</v>
      </c>
      <c r="G11133" t="s">
        <v>17348</v>
      </c>
      <c r="H11133" t="s">
        <v>28529</v>
      </c>
    </row>
    <row r="11134" spans="1:8">
      <c r="F11134" t="s">
        <v>13162</v>
      </c>
      <c r="G11134" t="s">
        <v>16987</v>
      </c>
      <c r="H11134" t="s">
        <v>28533</v>
      </c>
    </row>
    <row r="11135" spans="1:8">
      <c r="A11135" t="s">
        <v>1397</v>
      </c>
      <c r="B11135">
        <f>HYPERLINK("https://android.googlesource.com/platform/cts/+/8b9f2a468aa8fc6c542256066c400ffd3a2fd48f", "8b9f2a468aa8fc6c542256066c400ffd3a2fd48f")</f>
        <v>0</v>
      </c>
      <c r="C11135">
        <f>HYPERLINK("https://android.googlesource.com/platform/cts/+/48eb162532cb33875f1a8d761a22e704790714f2", "48eb162532cb33875f1a8d761a22e704790714f2")</f>
        <v>0</v>
      </c>
      <c r="D11135" t="s">
        <v>5206</v>
      </c>
      <c r="E11135" t="s">
        <v>7168</v>
      </c>
      <c r="F11135" t="s">
        <v>13207</v>
      </c>
      <c r="G11135" t="s">
        <v>17349</v>
      </c>
      <c r="H11135" t="s">
        <v>28536</v>
      </c>
    </row>
    <row r="11136" spans="1:8">
      <c r="H11136" t="s">
        <v>28537</v>
      </c>
    </row>
    <row r="11137" spans="1:8">
      <c r="H11137" t="s">
        <v>28538</v>
      </c>
    </row>
    <row r="11138" spans="1:8">
      <c r="F11138" t="s">
        <v>13208</v>
      </c>
      <c r="G11138" t="s">
        <v>17334</v>
      </c>
      <c r="H11138" t="s">
        <v>28536</v>
      </c>
    </row>
    <row r="11139" spans="1:8">
      <c r="H11139" t="s">
        <v>28539</v>
      </c>
    </row>
    <row r="11140" spans="1:8">
      <c r="H11140" t="s">
        <v>28540</v>
      </c>
    </row>
    <row r="11141" spans="1:8">
      <c r="H11141" t="s">
        <v>28541</v>
      </c>
    </row>
    <row r="11142" spans="1:8">
      <c r="A11142" t="s">
        <v>1400</v>
      </c>
      <c r="B11142">
        <f>HYPERLINK("https://android.googlesource.com/platform/cts/+/d52ec60d388f560db1eca69e849dbeeccc5d9025", "d52ec60d388f560db1eca69e849dbeeccc5d9025")</f>
        <v>0</v>
      </c>
      <c r="C11142">
        <f>HYPERLINK("https://android.googlesource.com/platform/cts/+/4a41ad004e4843a0216fb9881e4d6ff5d5221bf8", "4a41ad004e4843a0216fb9881e4d6ff5d5221bf8")</f>
        <v>0</v>
      </c>
      <c r="D11142" t="s">
        <v>5115</v>
      </c>
      <c r="E11142" t="s">
        <v>7171</v>
      </c>
      <c r="F11142" t="s">
        <v>13178</v>
      </c>
      <c r="G11142" t="s">
        <v>17322</v>
      </c>
      <c r="H11142" t="s">
        <v>26112</v>
      </c>
    </row>
    <row r="11143" spans="1:8">
      <c r="H11143" t="s">
        <v>26113</v>
      </c>
    </row>
    <row r="11144" spans="1:8">
      <c r="A11144" t="s">
        <v>1401</v>
      </c>
      <c r="B11144">
        <f>HYPERLINK("https://android.googlesource.com/platform/cts/+/9e50016a271f806f7d09d673496f137d59090864", "9e50016a271f806f7d09d673496f137d59090864")</f>
        <v>0</v>
      </c>
      <c r="C11144">
        <f>HYPERLINK("https://android.googlesource.com/platform/cts/+/2e6f9b1133ed9930957fa285d008e4d6927ced51", "2e6f9b1133ed9930957fa285d008e4d6927ced51")</f>
        <v>0</v>
      </c>
      <c r="D11144" t="s">
        <v>5132</v>
      </c>
      <c r="E11144" t="s">
        <v>7172</v>
      </c>
      <c r="F11144" t="s">
        <v>10597</v>
      </c>
      <c r="G11144" t="s">
        <v>15000</v>
      </c>
      <c r="H11144" t="s">
        <v>28546</v>
      </c>
    </row>
    <row r="11145" spans="1:8">
      <c r="F11145" t="s">
        <v>10794</v>
      </c>
      <c r="G11145" t="s">
        <v>15189</v>
      </c>
      <c r="H11145" t="s">
        <v>28546</v>
      </c>
    </row>
    <row r="11146" spans="1:8">
      <c r="A11146" t="s">
        <v>1404</v>
      </c>
      <c r="B11146">
        <f>HYPERLINK("https://android.googlesource.com/platform/cts/+/e8dfea147452ea19fc8c0b8968241569baba3d65", "e8dfea147452ea19fc8c0b8968241569baba3d65")</f>
        <v>0</v>
      </c>
      <c r="C11146">
        <f>HYPERLINK("https://android.googlesource.com/platform/cts/+/43bc783fbd3790b99e5a60b67b44204aecaa35e8", "43bc783fbd3790b99e5a60b67b44204aecaa35e8")</f>
        <v>0</v>
      </c>
      <c r="D11146" t="s">
        <v>5208</v>
      </c>
      <c r="E11146" t="s">
        <v>7175</v>
      </c>
      <c r="F11146" t="s">
        <v>13212</v>
      </c>
      <c r="G11146" t="s">
        <v>17353</v>
      </c>
      <c r="H11146" t="s">
        <v>18836</v>
      </c>
    </row>
    <row r="11147" spans="1:8">
      <c r="H11147" t="s">
        <v>28549</v>
      </c>
    </row>
    <row r="11148" spans="1:8">
      <c r="H11148" t="s">
        <v>28550</v>
      </c>
    </row>
    <row r="11149" spans="1:8">
      <c r="H11149" t="s">
        <v>28551</v>
      </c>
    </row>
    <row r="11150" spans="1:8">
      <c r="H11150" t="s">
        <v>28552</v>
      </c>
    </row>
    <row r="11151" spans="1:8">
      <c r="H11151" t="s">
        <v>28553</v>
      </c>
    </row>
    <row r="11152" spans="1:8">
      <c r="A11152" t="s">
        <v>1405</v>
      </c>
      <c r="B11152">
        <f>HYPERLINK("https://android.googlesource.com/platform/cts/+/110a80b8b189741885e285d92e84f8810643e411", "110a80b8b189741885e285d92e84f8810643e411")</f>
        <v>0</v>
      </c>
      <c r="C11152">
        <f>HYPERLINK("https://android.googlesource.com/platform/cts/+/81ef9b5be48b0d28318a1f702a823a6a9aae41f5", "81ef9b5be48b0d28318a1f702a823a6a9aae41f5")</f>
        <v>0</v>
      </c>
      <c r="D11152" t="s">
        <v>5209</v>
      </c>
      <c r="E11152" t="s">
        <v>7176</v>
      </c>
      <c r="F11152" t="s">
        <v>13021</v>
      </c>
      <c r="G11152" t="s">
        <v>17185</v>
      </c>
      <c r="H11152" t="s">
        <v>28555</v>
      </c>
    </row>
    <row r="11153" spans="1:8">
      <c r="H11153" t="s">
        <v>28556</v>
      </c>
    </row>
    <row r="11154" spans="1:8">
      <c r="F11154" t="s">
        <v>10740</v>
      </c>
      <c r="G11154" t="s">
        <v>15139</v>
      </c>
      <c r="H11154" t="s">
        <v>28558</v>
      </c>
    </row>
    <row r="11155" spans="1:8">
      <c r="H11155" t="s">
        <v>28559</v>
      </c>
    </row>
    <row r="11156" spans="1:8">
      <c r="H11156" t="s">
        <v>28560</v>
      </c>
    </row>
    <row r="11157" spans="1:8">
      <c r="A11157" t="s">
        <v>1407</v>
      </c>
      <c r="B11157">
        <f>HYPERLINK("https://android.googlesource.com/platform/cts/+/639ea8ac68c171f3edc1fdd5938bf122da89cf5a", "639ea8ac68c171f3edc1fdd5938bf122da89cf5a")</f>
        <v>0</v>
      </c>
      <c r="C11157">
        <f>HYPERLINK("https://android.googlesource.com/platform/cts/+/d61f52ec3dc8955173c897aebde485e26ba490f4", "d61f52ec3dc8955173c897aebde485e26ba490f4")</f>
        <v>0</v>
      </c>
      <c r="D11157" t="s">
        <v>5085</v>
      </c>
      <c r="E11157" t="s">
        <v>7177</v>
      </c>
      <c r="F11157" t="s">
        <v>13211</v>
      </c>
      <c r="G11157" t="s">
        <v>17352</v>
      </c>
      <c r="H11157" t="s">
        <v>28563</v>
      </c>
    </row>
    <row r="11158" spans="1:8">
      <c r="A11158" t="s">
        <v>1414</v>
      </c>
      <c r="B11158">
        <f>HYPERLINK("https://android.googlesource.com/platform/cts/+/b8c644768450339f62a52b4ecf97b6048568e4b9", "b8c644768450339f62a52b4ecf97b6048568e4b9")</f>
        <v>0</v>
      </c>
      <c r="C11158">
        <f>HYPERLINK("https://android.googlesource.com/platform/cts/+/01ef79d7d555b043d4aba1ced575a4ec1c58d60d", "01ef79d7d555b043d4aba1ced575a4ec1c58d60d")</f>
        <v>0</v>
      </c>
      <c r="D11158" t="s">
        <v>5211</v>
      </c>
      <c r="E11158" t="s">
        <v>7183</v>
      </c>
      <c r="F11158" t="s">
        <v>12991</v>
      </c>
      <c r="G11158" t="s">
        <v>17155</v>
      </c>
      <c r="H11158" t="s">
        <v>28575</v>
      </c>
    </row>
    <row r="11159" spans="1:8">
      <c r="H11159" t="s">
        <v>28576</v>
      </c>
    </row>
    <row r="11160" spans="1:8">
      <c r="H11160" t="s">
        <v>28577</v>
      </c>
    </row>
    <row r="11161" spans="1:8">
      <c r="H11161" t="s">
        <v>28578</v>
      </c>
    </row>
    <row r="11162" spans="1:8">
      <c r="H11162" t="s">
        <v>28579</v>
      </c>
    </row>
    <row r="11163" spans="1:8">
      <c r="H11163" t="s">
        <v>28580</v>
      </c>
    </row>
    <row r="11164" spans="1:8">
      <c r="H11164" t="s">
        <v>28583</v>
      </c>
    </row>
    <row r="11165" spans="1:8">
      <c r="H11165" t="s">
        <v>28585</v>
      </c>
    </row>
    <row r="11166" spans="1:8">
      <c r="H11166" t="s">
        <v>28586</v>
      </c>
    </row>
    <row r="11167" spans="1:8">
      <c r="H11167" t="s">
        <v>28587</v>
      </c>
    </row>
    <row r="11168" spans="1:8">
      <c r="H11168" t="s">
        <v>28588</v>
      </c>
    </row>
    <row r="11169" spans="6:8">
      <c r="F11169" t="s">
        <v>13215</v>
      </c>
      <c r="G11169" t="s">
        <v>17356</v>
      </c>
      <c r="H11169" t="s">
        <v>28589</v>
      </c>
    </row>
    <row r="11170" spans="6:8">
      <c r="F11170" t="s">
        <v>12992</v>
      </c>
      <c r="G11170" t="s">
        <v>17156</v>
      </c>
      <c r="H11170" t="s">
        <v>28591</v>
      </c>
    </row>
    <row r="11171" spans="6:8">
      <c r="H11171" t="s">
        <v>28592</v>
      </c>
    </row>
    <row r="11172" spans="6:8">
      <c r="F11172" t="s">
        <v>13216</v>
      </c>
      <c r="G11172" t="s">
        <v>17357</v>
      </c>
      <c r="H11172" t="s">
        <v>28593</v>
      </c>
    </row>
    <row r="11173" spans="6:8">
      <c r="F11173" t="s">
        <v>13217</v>
      </c>
      <c r="G11173" t="s">
        <v>17358</v>
      </c>
      <c r="H11173" t="s">
        <v>18835</v>
      </c>
    </row>
    <row r="11174" spans="6:8">
      <c r="F11174" t="s">
        <v>13218</v>
      </c>
      <c r="G11174" t="s">
        <v>17359</v>
      </c>
      <c r="H11174" t="s">
        <v>28594</v>
      </c>
    </row>
    <row r="11175" spans="6:8">
      <c r="F11175" t="s">
        <v>10758</v>
      </c>
      <c r="G11175" t="s">
        <v>15156</v>
      </c>
      <c r="H11175" t="s">
        <v>28595</v>
      </c>
    </row>
    <row r="11176" spans="6:8">
      <c r="F11176" t="s">
        <v>12993</v>
      </c>
      <c r="G11176" t="s">
        <v>17157</v>
      </c>
      <c r="H11176" t="s">
        <v>28596</v>
      </c>
    </row>
    <row r="11177" spans="6:8">
      <c r="H11177" t="s">
        <v>28597</v>
      </c>
    </row>
    <row r="11178" spans="6:8">
      <c r="H11178" t="s">
        <v>28598</v>
      </c>
    </row>
    <row r="11179" spans="6:8">
      <c r="H11179" t="s">
        <v>28599</v>
      </c>
    </row>
    <row r="11180" spans="6:8">
      <c r="H11180" t="s">
        <v>28600</v>
      </c>
    </row>
    <row r="11181" spans="6:8">
      <c r="H11181" t="s">
        <v>28601</v>
      </c>
    </row>
    <row r="11182" spans="6:8">
      <c r="H11182" t="s">
        <v>28602</v>
      </c>
    </row>
    <row r="11183" spans="6:8">
      <c r="H11183" t="s">
        <v>28603</v>
      </c>
    </row>
    <row r="11184" spans="6:8">
      <c r="H11184" t="s">
        <v>28604</v>
      </c>
    </row>
    <row r="11185" spans="1:8">
      <c r="F11185" t="s">
        <v>12179</v>
      </c>
      <c r="G11185" t="s">
        <v>16418</v>
      </c>
      <c r="H11185" t="s">
        <v>28605</v>
      </c>
    </row>
    <row r="11186" spans="1:8">
      <c r="H11186" t="s">
        <v>28606</v>
      </c>
    </row>
    <row r="11187" spans="1:8">
      <c r="H11187" t="s">
        <v>28609</v>
      </c>
    </row>
    <row r="11188" spans="1:8">
      <c r="H11188" t="s">
        <v>28610</v>
      </c>
    </row>
    <row r="11189" spans="1:8">
      <c r="H11189" t="s">
        <v>28611</v>
      </c>
    </row>
    <row r="11190" spans="1:8">
      <c r="H11190" t="s">
        <v>28612</v>
      </c>
    </row>
    <row r="11191" spans="1:8">
      <c r="H11191" t="s">
        <v>28613</v>
      </c>
    </row>
    <row r="11192" spans="1:8">
      <c r="H11192" t="s">
        <v>28614</v>
      </c>
    </row>
    <row r="11193" spans="1:8">
      <c r="H11193" t="s">
        <v>28615</v>
      </c>
    </row>
    <row r="11194" spans="1:8">
      <c r="H11194" t="s">
        <v>28616</v>
      </c>
    </row>
    <row r="11195" spans="1:8">
      <c r="F11195" t="s">
        <v>12994</v>
      </c>
      <c r="G11195" t="s">
        <v>17158</v>
      </c>
      <c r="H11195" t="s">
        <v>28619</v>
      </c>
    </row>
    <row r="11196" spans="1:8">
      <c r="F11196" t="s">
        <v>13219</v>
      </c>
      <c r="G11196" t="s">
        <v>17360</v>
      </c>
      <c r="H11196" t="s">
        <v>28620</v>
      </c>
    </row>
    <row r="11197" spans="1:8">
      <c r="A11197" t="s">
        <v>1424</v>
      </c>
      <c r="B11197">
        <f>HYPERLINK("https://android.googlesource.com/platform/cts/+/24200411473729b7b4637c81784589374742453d", "24200411473729b7b4637c81784589374742453d")</f>
        <v>0</v>
      </c>
      <c r="C11197">
        <f>HYPERLINK("https://android.googlesource.com/platform/cts/+/aae10c62b8d172a7c49e77474c6a88ef48680616", "aae10c62b8d172a7c49e77474c6a88ef48680616")</f>
        <v>0</v>
      </c>
      <c r="D11197" t="s">
        <v>4960</v>
      </c>
      <c r="E11197" t="s">
        <v>7193</v>
      </c>
      <c r="F11197" t="s">
        <v>13226</v>
      </c>
      <c r="G11197" t="s">
        <v>17367</v>
      </c>
      <c r="H11197" t="s">
        <v>28697</v>
      </c>
    </row>
    <row r="11198" spans="1:8">
      <c r="A11198" t="s">
        <v>1429</v>
      </c>
      <c r="B11198">
        <f>HYPERLINK("https://android.googlesource.com/platform/cts/+/77f017c2b1076d464811fc9c61c49f8f5dd39ced", "77f017c2b1076d464811fc9c61c49f8f5dd39ced")</f>
        <v>0</v>
      </c>
      <c r="C11198">
        <f>HYPERLINK("https://android.googlesource.com/platform/cts/+/78dcd89f04d2e14ae4eff468d1386d8c2adfdede", "78dcd89f04d2e14ae4eff468d1386d8c2adfdede")</f>
        <v>0</v>
      </c>
      <c r="D11198" t="s">
        <v>5044</v>
      </c>
      <c r="E11198" t="s">
        <v>7197</v>
      </c>
      <c r="F11198" t="s">
        <v>13228</v>
      </c>
      <c r="G11198" t="s">
        <v>17369</v>
      </c>
      <c r="H11198" t="s">
        <v>28701</v>
      </c>
    </row>
    <row r="11199" spans="1:8">
      <c r="A11199" t="s">
        <v>1431</v>
      </c>
      <c r="B11199">
        <f>HYPERLINK("https://android.googlesource.com/platform/cts/+/ecbabc89501897e16a776e6eb40b4d6c0d25692e", "ecbabc89501897e16a776e6eb40b4d6c0d25692e")</f>
        <v>0</v>
      </c>
      <c r="C11199">
        <f>HYPERLINK("https://android.googlesource.com/platform/cts/+/d4d49d0b2ce756e79a2a70c550a2e81bd352db4b", "d4d49d0b2ce756e79a2a70c550a2e81bd352db4b")</f>
        <v>0</v>
      </c>
      <c r="D11199" t="s">
        <v>4928</v>
      </c>
      <c r="E11199" t="s">
        <v>7199</v>
      </c>
      <c r="F11199" t="s">
        <v>12739</v>
      </c>
      <c r="G11199" t="s">
        <v>15083</v>
      </c>
      <c r="H11199" t="s">
        <v>18836</v>
      </c>
    </row>
    <row r="11200" spans="1:8">
      <c r="A11200" t="s">
        <v>1437</v>
      </c>
      <c r="B11200">
        <f>HYPERLINK("https://android.googlesource.com/platform/cts/+/73ce569899313f0f9497770f9e6584f47adf93c7", "73ce569899313f0f9497770f9e6584f47adf93c7")</f>
        <v>0</v>
      </c>
      <c r="C11200">
        <f>HYPERLINK("https://android.googlesource.com/platform/cts/+/271f35c4d3924d2d3bc0bdbd3f80699c70d83416", "271f35c4d3924d2d3bc0bdbd3f80699c70d83416")</f>
        <v>0</v>
      </c>
      <c r="D11200" t="s">
        <v>5207</v>
      </c>
      <c r="E11200" t="s">
        <v>7203</v>
      </c>
      <c r="F11200" t="s">
        <v>12696</v>
      </c>
      <c r="G11200" t="s">
        <v>16900</v>
      </c>
      <c r="H11200" t="s">
        <v>28713</v>
      </c>
    </row>
    <row r="11201" spans="1:8">
      <c r="H11201" t="s">
        <v>28714</v>
      </c>
    </row>
    <row r="11202" spans="1:8">
      <c r="A11202" t="s">
        <v>1441</v>
      </c>
      <c r="B11202">
        <f>HYPERLINK("https://android.googlesource.com/platform/cts/+/37cd26d47468d246a9e3a8a7bff43f0f931a22e1", "37cd26d47468d246a9e3a8a7bff43f0f931a22e1")</f>
        <v>0</v>
      </c>
      <c r="C11202">
        <f>HYPERLINK("https://android.googlesource.com/platform/cts/+/9154927fb626c199405e8a1661029c6dfcd1988a", "9154927fb626c199405e8a1661029c6dfcd1988a")</f>
        <v>0</v>
      </c>
      <c r="D11202" t="s">
        <v>4963</v>
      </c>
      <c r="E11202" t="s">
        <v>7207</v>
      </c>
      <c r="F11202" t="s">
        <v>12250</v>
      </c>
      <c r="G11202" t="s">
        <v>16481</v>
      </c>
      <c r="H11202" t="s">
        <v>21525</v>
      </c>
    </row>
    <row r="11203" spans="1:8">
      <c r="A11203" t="s">
        <v>1442</v>
      </c>
      <c r="B11203">
        <f>HYPERLINK("https://android.googlesource.com/platform/cts/+/dcaac2d294b1b45ebddbbd44203729a2d0064562", "dcaac2d294b1b45ebddbbd44203729a2d0064562")</f>
        <v>0</v>
      </c>
      <c r="C11203">
        <f>HYPERLINK("https://android.googlesource.com/platform/cts/+/60e4b34abdba08423d798afeaceb44a76ab32ba0", "60e4b34abdba08423d798afeaceb44a76ab32ba0")</f>
        <v>0</v>
      </c>
      <c r="D11203" t="s">
        <v>5112</v>
      </c>
      <c r="E11203" t="s">
        <v>7208</v>
      </c>
      <c r="F11203" t="s">
        <v>12414</v>
      </c>
      <c r="G11203" t="s">
        <v>16636</v>
      </c>
      <c r="H11203" t="s">
        <v>28732</v>
      </c>
    </row>
    <row r="11204" spans="1:8">
      <c r="A11204" t="s">
        <v>1444</v>
      </c>
      <c r="B11204">
        <f>HYPERLINK("https://android.googlesource.com/platform/cts/+/cfc39597bd8c2eab3a1845bded4fb403ecb14fd2", "cfc39597bd8c2eab3a1845bded4fb403ecb14fd2")</f>
        <v>0</v>
      </c>
      <c r="C11204">
        <f>HYPERLINK("https://android.googlesource.com/platform/cts/+/1e90b1e471ebe46e0e28fa5764cfe7f287d76b73", "1e90b1e471ebe46e0e28fa5764cfe7f287d76b73")</f>
        <v>0</v>
      </c>
      <c r="D11204" t="s">
        <v>5198</v>
      </c>
      <c r="E11204" t="s">
        <v>7210</v>
      </c>
      <c r="F11204" t="s">
        <v>10668</v>
      </c>
      <c r="G11204" t="s">
        <v>15069</v>
      </c>
      <c r="H11204" t="s">
        <v>28734</v>
      </c>
    </row>
    <row r="11205" spans="1:8">
      <c r="A11205" t="s">
        <v>1445</v>
      </c>
      <c r="B11205">
        <f>HYPERLINK("https://android.googlesource.com/platform/cts/+/c34eb130380ea58023fbabbf74288bb144627d3e", "c34eb130380ea58023fbabbf74288bb144627d3e")</f>
        <v>0</v>
      </c>
      <c r="C11205">
        <f>HYPERLINK("https://android.googlesource.com/platform/cts/+/408ffa36528328dbf9017eb156844e0b4a19e3ac", "408ffa36528328dbf9017eb156844e0b4a19e3ac")</f>
        <v>0</v>
      </c>
      <c r="D11205" t="s">
        <v>4949</v>
      </c>
      <c r="E11205" t="s">
        <v>7211</v>
      </c>
      <c r="F11205" t="s">
        <v>13230</v>
      </c>
      <c r="G11205" t="s">
        <v>17371</v>
      </c>
      <c r="H11205" t="s">
        <v>28735</v>
      </c>
    </row>
    <row r="11206" spans="1:8">
      <c r="A11206" t="s">
        <v>1446</v>
      </c>
      <c r="B11206">
        <f>HYPERLINK("https://android.googlesource.com/platform/cts/+/a579c2904470f3932be6e5e880e9c89325888c3b", "a579c2904470f3932be6e5e880e9c89325888c3b")</f>
        <v>0</v>
      </c>
      <c r="C11206">
        <f>HYPERLINK("https://android.googlesource.com/platform/cts/+/2668813c025884936baf705a0b042eff1791ac2c", "2668813c025884936baf705a0b042eff1791ac2c")</f>
        <v>0</v>
      </c>
      <c r="D11206" t="s">
        <v>5216</v>
      </c>
      <c r="E11206" t="s">
        <v>7212</v>
      </c>
      <c r="F11206" t="s">
        <v>10689</v>
      </c>
      <c r="G11206" t="s">
        <v>15089</v>
      </c>
      <c r="H11206" t="s">
        <v>28736</v>
      </c>
    </row>
    <row r="11207" spans="1:8">
      <c r="A11207" t="s">
        <v>1447</v>
      </c>
      <c r="B11207">
        <f>HYPERLINK("https://android.googlesource.com/platform/cts/+/ea5dbe1802a1a619824d5ce5dfeed6b70364d871", "ea5dbe1802a1a619824d5ce5dfeed6b70364d871")</f>
        <v>0</v>
      </c>
      <c r="C11207">
        <f>HYPERLINK("https://android.googlesource.com/platform/cts/+/94c2c84530ba3eea31ecc6e3f4907920bf618ea6", "94c2c84530ba3eea31ecc6e3f4907920bf618ea6")</f>
        <v>0</v>
      </c>
      <c r="D11207" t="s">
        <v>5176</v>
      </c>
      <c r="E11207" t="s">
        <v>7213</v>
      </c>
      <c r="F11207" t="s">
        <v>10794</v>
      </c>
      <c r="G11207" t="s">
        <v>15189</v>
      </c>
      <c r="H11207" t="s">
        <v>28737</v>
      </c>
    </row>
    <row r="11208" spans="1:8">
      <c r="H11208" t="s">
        <v>28738</v>
      </c>
    </row>
    <row r="11209" spans="1:8">
      <c r="H11209" t="s">
        <v>28739</v>
      </c>
    </row>
    <row r="11210" spans="1:8">
      <c r="A11210" t="s">
        <v>1448</v>
      </c>
      <c r="B11210">
        <f>HYPERLINK("https://android.googlesource.com/platform/cts/+/5eb19bfe1bda7f6dfe75b55e320a01ee15bae035", "5eb19bfe1bda7f6dfe75b55e320a01ee15bae035")</f>
        <v>0</v>
      </c>
      <c r="C11210">
        <f>HYPERLINK("https://android.googlesource.com/platform/cts/+/871fe1eb1ee80ec48899e7396539e496ab1719e3", "871fe1eb1ee80ec48899e7396539e496ab1719e3")</f>
        <v>0</v>
      </c>
      <c r="D11210" t="s">
        <v>5217</v>
      </c>
      <c r="E11210" t="s">
        <v>7214</v>
      </c>
      <c r="F11210" t="s">
        <v>12817</v>
      </c>
      <c r="G11210" t="s">
        <v>16629</v>
      </c>
      <c r="H11210" t="s">
        <v>22743</v>
      </c>
    </row>
    <row r="11211" spans="1:8">
      <c r="A11211" t="s">
        <v>1449</v>
      </c>
      <c r="B11211">
        <f>HYPERLINK("https://android.googlesource.com/platform/cts/+/4b4f5dd8dd01bc83d6870d490ccb81280796d8bb", "4b4f5dd8dd01bc83d6870d490ccb81280796d8bb")</f>
        <v>0</v>
      </c>
      <c r="C11211">
        <f>HYPERLINK("https://android.googlesource.com/platform/cts/+/5eb19bfe1bda7f6dfe75b55e320a01ee15bae035", "5eb19bfe1bda7f6dfe75b55e320a01ee15bae035")</f>
        <v>0</v>
      </c>
      <c r="D11211" t="s">
        <v>5217</v>
      </c>
      <c r="E11211" t="s">
        <v>7215</v>
      </c>
      <c r="F11211" t="s">
        <v>13234</v>
      </c>
      <c r="G11211" t="s">
        <v>17373</v>
      </c>
      <c r="H11211" t="s">
        <v>28740</v>
      </c>
    </row>
    <row r="11212" spans="1:8">
      <c r="A11212" t="s">
        <v>1450</v>
      </c>
      <c r="B11212">
        <f>HYPERLINK("https://android.googlesource.com/platform/cts/+/3747b9fe9a50d3ae38633c60e65d23a0003d84ad", "3747b9fe9a50d3ae38633c60e65d23a0003d84ad")</f>
        <v>0</v>
      </c>
      <c r="C11212">
        <f>HYPERLINK("https://android.googlesource.com/platform/cts/+/80f196062b9cf3d3ff3043328bb8039c86f78e88", "80f196062b9cf3d3ff3043328bb8039c86f78e88")</f>
        <v>0</v>
      </c>
      <c r="D11212" t="s">
        <v>5218</v>
      </c>
      <c r="E11212" t="s">
        <v>7216</v>
      </c>
      <c r="F11212" t="s">
        <v>13235</v>
      </c>
      <c r="G11212" t="s">
        <v>17374</v>
      </c>
      <c r="H11212" t="s">
        <v>28741</v>
      </c>
    </row>
    <row r="11213" spans="1:8">
      <c r="A11213" t="s">
        <v>1453</v>
      </c>
      <c r="B11213">
        <f>HYPERLINK("https://android.googlesource.com/platform/cts/+/e687ad77936d09e6bb1baf555c3b7bc18cc65867", "e687ad77936d09e6bb1baf555c3b7bc18cc65867")</f>
        <v>0</v>
      </c>
      <c r="C11213">
        <f>HYPERLINK("https://android.googlesource.com/platform/cts/+/7115fc9fb8e8a44bebafc804eab4d1fa5795a886", "7115fc9fb8e8a44bebafc804eab4d1fa5795a886")</f>
        <v>0</v>
      </c>
      <c r="D11213" t="s">
        <v>5198</v>
      </c>
      <c r="E11213" t="s">
        <v>7219</v>
      </c>
      <c r="F11213" t="s">
        <v>10668</v>
      </c>
      <c r="G11213" t="s">
        <v>15069</v>
      </c>
      <c r="H11213" t="s">
        <v>28746</v>
      </c>
    </row>
    <row r="11214" spans="1:8">
      <c r="H11214" t="s">
        <v>28747</v>
      </c>
    </row>
    <row r="11215" spans="1:8">
      <c r="A11215" t="s">
        <v>1455</v>
      </c>
      <c r="B11215">
        <f>HYPERLINK("https://android.googlesource.com/platform/cts/+/017121aef8762229e700e97328c978fd36b8a9f4", "017121aef8762229e700e97328c978fd36b8a9f4")</f>
        <v>0</v>
      </c>
      <c r="C11215">
        <f>HYPERLINK("https://android.googlesource.com/platform/cts/+/d1038b4ed244bf5cd9186e01f432cabf0acd2fc6", "d1038b4ed244bf5cd9186e01f432cabf0acd2fc6")</f>
        <v>0</v>
      </c>
      <c r="D11215" t="s">
        <v>5219</v>
      </c>
      <c r="E11215" t="s">
        <v>7221</v>
      </c>
      <c r="F11215" t="s">
        <v>13237</v>
      </c>
      <c r="G11215" t="s">
        <v>17377</v>
      </c>
      <c r="H11215" t="s">
        <v>28749</v>
      </c>
    </row>
    <row r="11216" spans="1:8">
      <c r="A11216" t="s">
        <v>1457</v>
      </c>
      <c r="B11216">
        <f>HYPERLINK("https://android.googlesource.com/platform/cts/+/09244bcc810dd789f4b222c76c582510f1ba4a10", "09244bcc810dd789f4b222c76c582510f1ba4a10")</f>
        <v>0</v>
      </c>
      <c r="C11216">
        <f>HYPERLINK("https://android.googlesource.com/platform/cts/+/d0979c3132a14e50546601a817270d7839a8e864", "d0979c3132a14e50546601a817270d7839a8e864")</f>
        <v>0</v>
      </c>
      <c r="D11216" t="s">
        <v>5220</v>
      </c>
      <c r="E11216" t="s">
        <v>7223</v>
      </c>
      <c r="F11216" t="s">
        <v>12222</v>
      </c>
      <c r="G11216" t="s">
        <v>16452</v>
      </c>
      <c r="H11216" t="s">
        <v>28751</v>
      </c>
    </row>
    <row r="11217" spans="1:8">
      <c r="A11217" t="s">
        <v>1458</v>
      </c>
      <c r="B11217">
        <f>HYPERLINK("https://android.googlesource.com/platform/cts/+/5c18b9727bc2e9ce91a948a677be33aaeb9c4214", "5c18b9727bc2e9ce91a948a677be33aaeb9c4214")</f>
        <v>0</v>
      </c>
      <c r="C11217">
        <f>HYPERLINK("https://android.googlesource.com/platform/cts/+/824ada18e8c59f8f14d34e2732cdf139e2d143fd", "824ada18e8c59f8f14d34e2732cdf139e2d143fd")</f>
        <v>0</v>
      </c>
      <c r="D11217" t="s">
        <v>5108</v>
      </c>
      <c r="E11217" t="s">
        <v>7224</v>
      </c>
      <c r="F11217" t="s">
        <v>13136</v>
      </c>
      <c r="G11217" t="s">
        <v>17293</v>
      </c>
      <c r="H11217" t="s">
        <v>28753</v>
      </c>
    </row>
    <row r="11218" spans="1:8">
      <c r="A11218" t="s">
        <v>1460</v>
      </c>
      <c r="B11218">
        <f>HYPERLINK("https://android.googlesource.com/platform/cts/+/fbb7d80e9d647a6dbe05d811a5521e155e8f532a", "fbb7d80e9d647a6dbe05d811a5521e155e8f532a")</f>
        <v>0</v>
      </c>
      <c r="C11218">
        <f>HYPERLINK("https://android.googlesource.com/platform/cts/+/bde13c23346d7c5e1f464cae949c844ddf404dc5", "bde13c23346d7c5e1f464cae949c844ddf404dc5")</f>
        <v>0</v>
      </c>
      <c r="D11218" t="s">
        <v>5132</v>
      </c>
      <c r="E11218" t="s">
        <v>7226</v>
      </c>
      <c r="F11218" t="s">
        <v>13239</v>
      </c>
      <c r="G11218" t="s">
        <v>17379</v>
      </c>
      <c r="H11218" t="s">
        <v>28758</v>
      </c>
    </row>
    <row r="11219" spans="1:8">
      <c r="F11219" t="s">
        <v>13240</v>
      </c>
      <c r="G11219" t="s">
        <v>17380</v>
      </c>
      <c r="H11219" t="s">
        <v>28758</v>
      </c>
    </row>
    <row r="11220" spans="1:8">
      <c r="A11220" t="s">
        <v>1463</v>
      </c>
      <c r="B11220">
        <f>HYPERLINK("https://android.googlesource.com/platform/cts/+/059319ad2d844f036d1ab02538dcd44f16f58bf0", "059319ad2d844f036d1ab02538dcd44f16f58bf0")</f>
        <v>0</v>
      </c>
      <c r="C11220">
        <f>HYPERLINK("https://android.googlesource.com/platform/cts/+/650896ae232cf95b5ebe8792b829127ee731d366", "650896ae232cf95b5ebe8792b829127ee731d366")</f>
        <v>0</v>
      </c>
      <c r="D11220" t="s">
        <v>5132</v>
      </c>
      <c r="E11220" t="s">
        <v>7229</v>
      </c>
      <c r="F11220" t="s">
        <v>10794</v>
      </c>
      <c r="G11220" t="s">
        <v>15189</v>
      </c>
      <c r="H11220" t="s">
        <v>28767</v>
      </c>
    </row>
    <row r="11221" spans="1:8">
      <c r="A11221" t="s">
        <v>1464</v>
      </c>
      <c r="B11221">
        <f>HYPERLINK("https://android.googlesource.com/platform/cts/+/09b6eccae5812a1f72b97ceaa9f03790dfdc51c0", "09b6eccae5812a1f72b97ceaa9f03790dfdc51c0")</f>
        <v>0</v>
      </c>
      <c r="C11221">
        <f>HYPERLINK("https://android.googlesource.com/platform/cts/+/e58adc6aae7aeb2e64ae9e61177be19739ee9ca6", "e58adc6aae7aeb2e64ae9e61177be19739ee9ca6")</f>
        <v>0</v>
      </c>
      <c r="D11221" t="s">
        <v>5221</v>
      </c>
      <c r="E11221" t="s">
        <v>7230</v>
      </c>
      <c r="F11221" t="s">
        <v>10794</v>
      </c>
      <c r="G11221" t="s">
        <v>15189</v>
      </c>
      <c r="H11221" t="s">
        <v>28768</v>
      </c>
    </row>
    <row r="11222" spans="1:8">
      <c r="A11222" t="s">
        <v>1469</v>
      </c>
      <c r="B11222">
        <f>HYPERLINK("https://android.googlesource.com/platform/cts/+/de6fec89b81cccfd0f880b20f16a560acb1a9818", "de6fec89b81cccfd0f880b20f16a560acb1a9818")</f>
        <v>0</v>
      </c>
      <c r="C11222">
        <f>HYPERLINK("https://android.googlesource.com/platform/cts/+/7166244312a84d08088d6385c5022ef30ba52b49", "7166244312a84d08088d6385c5022ef30ba52b49")</f>
        <v>0</v>
      </c>
      <c r="D11222" t="s">
        <v>5090</v>
      </c>
      <c r="E11222" t="s">
        <v>7234</v>
      </c>
      <c r="F11222" t="s">
        <v>13245</v>
      </c>
      <c r="G11222" t="s">
        <v>17385</v>
      </c>
      <c r="H11222" t="s">
        <v>28778</v>
      </c>
    </row>
    <row r="11223" spans="1:8">
      <c r="H11223" t="s">
        <v>28779</v>
      </c>
    </row>
    <row r="11224" spans="1:8">
      <c r="A11224" t="s">
        <v>1470</v>
      </c>
      <c r="B11224">
        <f>HYPERLINK("https://android.googlesource.com/platform/cts/+/48c25a12da73045d802603624423d1ac22f98aec", "48c25a12da73045d802603624423d1ac22f98aec")</f>
        <v>0</v>
      </c>
      <c r="C11224">
        <f>HYPERLINK("https://android.googlesource.com/platform/cts/+/dfb3576b3c5846e80b3e60429870ab95c3142fd3", "dfb3576b3c5846e80b3e60429870ab95c3142fd3")</f>
        <v>0</v>
      </c>
      <c r="D11224" t="s">
        <v>5222</v>
      </c>
      <c r="E11224" t="s">
        <v>7235</v>
      </c>
      <c r="F11224" t="s">
        <v>13246</v>
      </c>
      <c r="G11224" t="s">
        <v>17386</v>
      </c>
      <c r="H11224" t="s">
        <v>28780</v>
      </c>
    </row>
    <row r="11225" spans="1:8">
      <c r="A11225" t="s">
        <v>1472</v>
      </c>
      <c r="B11225">
        <f>HYPERLINK("https://android.googlesource.com/platform/cts/+/500c917bdfa75fd734581d7ea825a7bd7383fab7", "500c917bdfa75fd734581d7ea825a7bd7383fab7")</f>
        <v>0</v>
      </c>
      <c r="C11225">
        <f>HYPERLINK("https://android.googlesource.com/platform/cts/+/43af5942cdd113fad21368fb22d7cbbf0f11443d", "43af5942cdd113fad21368fb22d7cbbf0f11443d")</f>
        <v>0</v>
      </c>
      <c r="D11225" t="s">
        <v>5223</v>
      </c>
      <c r="E11225" t="s">
        <v>7237</v>
      </c>
      <c r="F11225" t="s">
        <v>13247</v>
      </c>
      <c r="G11225" t="s">
        <v>17387</v>
      </c>
      <c r="H11225" t="s">
        <v>28782</v>
      </c>
    </row>
    <row r="11226" spans="1:8">
      <c r="A11226" t="s">
        <v>1475</v>
      </c>
      <c r="B11226">
        <f>HYPERLINK("https://android.googlesource.com/platform/cts/+/d88e016656aded7c8f4e808287225a80f829cf8b", "d88e016656aded7c8f4e808287225a80f829cf8b")</f>
        <v>0</v>
      </c>
      <c r="C11226">
        <f>HYPERLINK("https://android.googlesource.com/platform/cts/+/eb97c880df596df6575f0f22995c565797f03486", "eb97c880df596df6575f0f22995c565797f03486")</f>
        <v>0</v>
      </c>
      <c r="D11226" t="s">
        <v>5225</v>
      </c>
      <c r="E11226" t="s">
        <v>7240</v>
      </c>
      <c r="F11226" t="s">
        <v>13250</v>
      </c>
      <c r="G11226" t="s">
        <v>17390</v>
      </c>
      <c r="H11226" t="s">
        <v>28787</v>
      </c>
    </row>
    <row r="11227" spans="1:8">
      <c r="H11227" t="s">
        <v>28788</v>
      </c>
    </row>
    <row r="11228" spans="1:8">
      <c r="H11228" t="s">
        <v>28789</v>
      </c>
    </row>
    <row r="11229" spans="1:8">
      <c r="H11229" t="s">
        <v>28790</v>
      </c>
    </row>
    <row r="11230" spans="1:8">
      <c r="H11230" t="s">
        <v>28792</v>
      </c>
    </row>
    <row r="11231" spans="1:8">
      <c r="F11231" t="s">
        <v>13251</v>
      </c>
      <c r="G11231" t="s">
        <v>17391</v>
      </c>
      <c r="H11231" t="s">
        <v>28793</v>
      </c>
    </row>
    <row r="11232" spans="1:8">
      <c r="H11232" t="s">
        <v>28794</v>
      </c>
    </row>
    <row r="11233" spans="1:8">
      <c r="F11233" t="s">
        <v>13235</v>
      </c>
      <c r="G11233" t="s">
        <v>17374</v>
      </c>
      <c r="H11233" t="s">
        <v>28795</v>
      </c>
    </row>
    <row r="11234" spans="1:8">
      <c r="F11234" t="s">
        <v>13252</v>
      </c>
      <c r="G11234" t="s">
        <v>17392</v>
      </c>
      <c r="H11234" t="s">
        <v>28741</v>
      </c>
    </row>
    <row r="11235" spans="1:8">
      <c r="H11235" t="s">
        <v>28787</v>
      </c>
    </row>
    <row r="11236" spans="1:8">
      <c r="H11236" t="s">
        <v>28796</v>
      </c>
    </row>
    <row r="11237" spans="1:8">
      <c r="H11237" t="s">
        <v>28797</v>
      </c>
    </row>
    <row r="11238" spans="1:8">
      <c r="H11238" t="s">
        <v>28798</v>
      </c>
    </row>
    <row r="11239" spans="1:8">
      <c r="H11239" t="s">
        <v>28799</v>
      </c>
    </row>
    <row r="11240" spans="1:8">
      <c r="A11240" t="s">
        <v>1480</v>
      </c>
      <c r="B11240">
        <f>HYPERLINK("https://android.googlesource.com/platform/cts/+/902cd35d2e77a3193d1e6f4298b572a924a21135", "902cd35d2e77a3193d1e6f4298b572a924a21135")</f>
        <v>0</v>
      </c>
      <c r="C11240">
        <f>HYPERLINK("https://android.googlesource.com/platform/cts/+/23ebed0e9c50733a353b3c97f74f9a8d71f696df", "23ebed0e9c50733a353b3c97f74f9a8d71f696df")</f>
        <v>0</v>
      </c>
      <c r="D11240" t="s">
        <v>5227</v>
      </c>
      <c r="E11240" t="s">
        <v>7245</v>
      </c>
      <c r="F11240" t="s">
        <v>13121</v>
      </c>
      <c r="G11240" t="s">
        <v>17283</v>
      </c>
      <c r="H11240" t="s">
        <v>28809</v>
      </c>
    </row>
    <row r="11241" spans="1:8">
      <c r="A11241" t="s">
        <v>1482</v>
      </c>
      <c r="B11241">
        <f>HYPERLINK("https://android.googlesource.com/platform/cts/+/4b3b9e34f262e475b90c83a45684880ba2d266f6", "4b3b9e34f262e475b90c83a45684880ba2d266f6")</f>
        <v>0</v>
      </c>
      <c r="C11241">
        <f>HYPERLINK("https://android.googlesource.com/platform/cts/+/8a5510f9d795b1532dd18e40fd7a7c8a2440f047", "8a5510f9d795b1532dd18e40fd7a7c8a2440f047")</f>
        <v>0</v>
      </c>
      <c r="D11241" t="s">
        <v>5117</v>
      </c>
      <c r="E11241" t="s">
        <v>7247</v>
      </c>
      <c r="F11241" t="s">
        <v>13241</v>
      </c>
      <c r="G11241" t="s">
        <v>17381</v>
      </c>
      <c r="H11241" t="s">
        <v>28811</v>
      </c>
    </row>
    <row r="11242" spans="1:8">
      <c r="H11242" t="s">
        <v>28812</v>
      </c>
    </row>
    <row r="11243" spans="1:8">
      <c r="A11243" t="s">
        <v>1483</v>
      </c>
      <c r="B11243">
        <f>HYPERLINK("https://android.googlesource.com/platform/cts/+/bf9348aac3303cec06bbcbfe5eb0c2dc1faeded6", "bf9348aac3303cec06bbcbfe5eb0c2dc1faeded6")</f>
        <v>0</v>
      </c>
      <c r="C11243">
        <f>HYPERLINK("https://android.googlesource.com/platform/cts/+/1b6437cd718e963c1038be43008d76ff678ac14d", "1b6437cd718e963c1038be43008d76ff678ac14d")</f>
        <v>0</v>
      </c>
      <c r="D11243" t="s">
        <v>5229</v>
      </c>
      <c r="E11243" t="s">
        <v>7248</v>
      </c>
      <c r="F11243" t="s">
        <v>10627</v>
      </c>
      <c r="G11243" t="s">
        <v>15030</v>
      </c>
      <c r="H11243" t="s">
        <v>28813</v>
      </c>
    </row>
    <row r="11244" spans="1:8">
      <c r="H11244" t="s">
        <v>28814</v>
      </c>
    </row>
    <row r="11245" spans="1:8">
      <c r="A11245" t="s">
        <v>1488</v>
      </c>
      <c r="B11245">
        <f>HYPERLINK("https://android.googlesource.com/platform/cts/+/9a997d5b3fd37c298822714294930b716010d7bf", "9a997d5b3fd37c298822714294930b716010d7bf")</f>
        <v>0</v>
      </c>
      <c r="C11245">
        <f>HYPERLINK("https://android.googlesource.com/platform/cts/+/0c5f797dc250f308f3cc16330c7e3aa8bf380fd4", "0c5f797dc250f308f3cc16330c7e3aa8bf380fd4")</f>
        <v>0</v>
      </c>
      <c r="D11245" t="s">
        <v>5118</v>
      </c>
      <c r="E11245" t="s">
        <v>7253</v>
      </c>
      <c r="F11245" t="s">
        <v>13165</v>
      </c>
      <c r="G11245" t="s">
        <v>17315</v>
      </c>
      <c r="H11245" t="s">
        <v>28821</v>
      </c>
    </row>
    <row r="11246" spans="1:8">
      <c r="A11246" t="s">
        <v>1492</v>
      </c>
      <c r="B11246">
        <f>HYPERLINK("https://android.googlesource.com/platform/cts/+/14909e430c33f3ea065d4f61973b885ba0f3c19e", "14909e430c33f3ea065d4f61973b885ba0f3c19e")</f>
        <v>0</v>
      </c>
      <c r="C11246">
        <f>HYPERLINK("https://android.googlesource.com/platform/cts/+/11c086d028fa315d7f1149c59994c1e390164f1b", "11c086d028fa315d7f1149c59994c1e390164f1b")</f>
        <v>0</v>
      </c>
      <c r="D11246" t="s">
        <v>4966</v>
      </c>
      <c r="E11246" t="s">
        <v>7257</v>
      </c>
      <c r="F11246" t="s">
        <v>13259</v>
      </c>
      <c r="G11246" t="s">
        <v>17397</v>
      </c>
      <c r="H11246" t="s">
        <v>28825</v>
      </c>
    </row>
    <row r="11247" spans="1:8">
      <c r="F11247" t="s">
        <v>13260</v>
      </c>
      <c r="G11247" t="s">
        <v>17398</v>
      </c>
      <c r="H11247" t="s">
        <v>28825</v>
      </c>
    </row>
    <row r="11248" spans="1:8">
      <c r="A11248" t="s">
        <v>1493</v>
      </c>
      <c r="B11248">
        <f>HYPERLINK("https://android.googlesource.com/platform/cts/+/821a2c99bf3d64b427c0bf1dc8e16d5ac86192ee", "821a2c99bf3d64b427c0bf1dc8e16d5ac86192ee")</f>
        <v>0</v>
      </c>
      <c r="C11248">
        <f>HYPERLINK("https://android.googlesource.com/platform/cts/+/cf3d24a7b9d6532644d8ddaf0bfa183a7176d517", "cf3d24a7b9d6532644d8ddaf0bfa183a7176d517")</f>
        <v>0</v>
      </c>
      <c r="D11248" t="s">
        <v>4966</v>
      </c>
      <c r="E11248" t="s">
        <v>7258</v>
      </c>
      <c r="F11248" t="s">
        <v>13259</v>
      </c>
      <c r="G11248" t="s">
        <v>17397</v>
      </c>
      <c r="H11248" t="s">
        <v>28825</v>
      </c>
    </row>
    <row r="11249" spans="1:8">
      <c r="F11249" t="s">
        <v>13260</v>
      </c>
      <c r="G11249" t="s">
        <v>17398</v>
      </c>
      <c r="H11249" t="s">
        <v>28825</v>
      </c>
    </row>
    <row r="11250" spans="1:8">
      <c r="A11250" t="s">
        <v>1494</v>
      </c>
      <c r="B11250">
        <f>HYPERLINK("https://android.googlesource.com/platform/cts/+/d3389ea01af8c7388fe7f77b7d4cf0a2e70b2fd7", "d3389ea01af8c7388fe7f77b7d4cf0a2e70b2fd7")</f>
        <v>0</v>
      </c>
      <c r="C11250">
        <f>HYPERLINK("https://android.googlesource.com/platform/cts/+/62c121c39d347c9eec8569de20480f192ed791b5", "62c121c39d347c9eec8569de20480f192ed791b5")</f>
        <v>0</v>
      </c>
      <c r="D11250" t="s">
        <v>4981</v>
      </c>
      <c r="E11250" t="s">
        <v>7259</v>
      </c>
      <c r="F11250" t="s">
        <v>13261</v>
      </c>
      <c r="G11250" t="s">
        <v>17399</v>
      </c>
      <c r="H11250" t="s">
        <v>28826</v>
      </c>
    </row>
    <row r="11251" spans="1:8">
      <c r="H11251" t="s">
        <v>28837</v>
      </c>
    </row>
    <row r="11252" spans="1:8">
      <c r="A11252" t="s">
        <v>1498</v>
      </c>
      <c r="B11252">
        <f>HYPERLINK("https://android.googlesource.com/platform/cts/+/84f58b784f4772cb4747c017646c14f786d12f7b", "84f58b784f4772cb4747c017646c14f786d12f7b")</f>
        <v>0</v>
      </c>
      <c r="C11252">
        <f>HYPERLINK("https://android.googlesource.com/platform/cts/+/afca158ab14b6f01854c11bcec42e58306765926", "afca158ab14b6f01854c11bcec42e58306765926")</f>
        <v>0</v>
      </c>
      <c r="D11252" t="s">
        <v>5111</v>
      </c>
      <c r="E11252" t="s">
        <v>7263</v>
      </c>
      <c r="F11252" t="s">
        <v>12180</v>
      </c>
      <c r="G11252" t="s">
        <v>16419</v>
      </c>
      <c r="H11252" t="s">
        <v>28847</v>
      </c>
    </row>
    <row r="11253" spans="1:8">
      <c r="H11253" t="s">
        <v>28848</v>
      </c>
    </row>
    <row r="11254" spans="1:8">
      <c r="H11254" t="s">
        <v>28849</v>
      </c>
    </row>
    <row r="11255" spans="1:8">
      <c r="H11255" t="s">
        <v>28850</v>
      </c>
    </row>
    <row r="11256" spans="1:8">
      <c r="A11256" t="s">
        <v>1501</v>
      </c>
      <c r="B11256">
        <f>HYPERLINK("https://android.googlesource.com/platform/cts/+/13c4120cab912ffc93d9fff1added9efa962ae08", "13c4120cab912ffc93d9fff1added9efa962ae08")</f>
        <v>0</v>
      </c>
      <c r="C11256">
        <f>HYPERLINK("https://android.googlesource.com/platform/cts/+/ab0227b5f6601858aa2052c59116bdf8ec6288d4", "ab0227b5f6601858aa2052c59116bdf8ec6288d4")</f>
        <v>0</v>
      </c>
      <c r="D11256" t="s">
        <v>5231</v>
      </c>
      <c r="E11256" t="s">
        <v>7266</v>
      </c>
      <c r="F11256" t="s">
        <v>10689</v>
      </c>
      <c r="G11256" t="s">
        <v>15089</v>
      </c>
      <c r="H11256" t="s">
        <v>28857</v>
      </c>
    </row>
    <row r="11257" spans="1:8">
      <c r="A11257" t="s">
        <v>1503</v>
      </c>
      <c r="B11257">
        <f>HYPERLINK("https://android.googlesource.com/platform/cts/+/3cc3dc6c786ee3000cc66c2a3c1d96ba3bb0a823", "3cc3dc6c786ee3000cc66c2a3c1d96ba3bb0a823")</f>
        <v>0</v>
      </c>
      <c r="C11257">
        <f>HYPERLINK("https://android.googlesource.com/platform/cts/+/ed106a26167f71600fe264b0aef16ac249d926f1", "ed106a26167f71600fe264b0aef16ac249d926f1")</f>
        <v>0</v>
      </c>
      <c r="D11257" t="s">
        <v>5219</v>
      </c>
      <c r="E11257" t="s">
        <v>7268</v>
      </c>
      <c r="F11257" t="s">
        <v>13265</v>
      </c>
      <c r="G11257" t="s">
        <v>17403</v>
      </c>
      <c r="H11257" t="s">
        <v>28867</v>
      </c>
    </row>
    <row r="11258" spans="1:8">
      <c r="F11258" t="s">
        <v>13266</v>
      </c>
      <c r="G11258" t="s">
        <v>17404</v>
      </c>
      <c r="H11258" t="s">
        <v>28867</v>
      </c>
    </row>
    <row r="11259" spans="1:8">
      <c r="A11259" t="s">
        <v>1504</v>
      </c>
      <c r="B11259">
        <f>HYPERLINK("https://android.googlesource.com/platform/cts/+/0b20b47edcd7741be6dfa5b20398e1986ab80357", "0b20b47edcd7741be6dfa5b20398e1986ab80357")</f>
        <v>0</v>
      </c>
      <c r="C11259">
        <f>HYPERLINK("https://android.googlesource.com/platform/cts/+/65e01ca94335701d0d1b1bbdc748d3cf56c31c9a", "65e01ca94335701d0d1b1bbdc748d3cf56c31c9a")</f>
        <v>0</v>
      </c>
      <c r="D11259" t="s">
        <v>5232</v>
      </c>
      <c r="E11259" t="s">
        <v>7269</v>
      </c>
      <c r="F11259" t="s">
        <v>12817</v>
      </c>
      <c r="G11259" t="s">
        <v>16629</v>
      </c>
      <c r="H11259" t="s">
        <v>22751</v>
      </c>
    </row>
    <row r="11260" spans="1:8">
      <c r="A11260" t="s">
        <v>1506</v>
      </c>
      <c r="B11260">
        <f>HYPERLINK("https://android.googlesource.com/platform/cts/+/7a181b9da390a480e24d0fcf0db713d1d4024234", "7a181b9da390a480e24d0fcf0db713d1d4024234")</f>
        <v>0</v>
      </c>
      <c r="C11260">
        <f>HYPERLINK("https://android.googlesource.com/platform/cts/+/84fa53842716e4e0a58eb7de6eae145cb5135e60", "84fa53842716e4e0a58eb7de6eae145cb5135e60")</f>
        <v>0</v>
      </c>
      <c r="D11260" t="s">
        <v>5130</v>
      </c>
      <c r="E11260" t="s">
        <v>7271</v>
      </c>
      <c r="F11260" t="s">
        <v>12211</v>
      </c>
      <c r="G11260" t="s">
        <v>16449</v>
      </c>
      <c r="H11260" t="s">
        <v>28869</v>
      </c>
    </row>
    <row r="11261" spans="1:8">
      <c r="A11261" t="s">
        <v>1507</v>
      </c>
      <c r="B11261">
        <f>HYPERLINK("https://android.googlesource.com/platform/cts/+/25ea2597fb9cba7d63d22bb322e58b136785bd6c", "25ea2597fb9cba7d63d22bb322e58b136785bd6c")</f>
        <v>0</v>
      </c>
      <c r="C11261">
        <f>HYPERLINK("https://android.googlesource.com/platform/cts/+/8399eefd05a32ad1b52a82e4a0465bb9564c462e", "8399eefd05a32ad1b52a82e4a0465bb9564c462e")</f>
        <v>0</v>
      </c>
      <c r="D11261" t="s">
        <v>5141</v>
      </c>
      <c r="E11261" t="s">
        <v>7272</v>
      </c>
      <c r="F11261" t="s">
        <v>13267</v>
      </c>
      <c r="G11261" t="s">
        <v>17405</v>
      </c>
      <c r="H11261" t="s">
        <v>28870</v>
      </c>
    </row>
    <row r="11262" spans="1:8">
      <c r="A11262" t="s">
        <v>1508</v>
      </c>
      <c r="B11262">
        <f>HYPERLINK("https://android.googlesource.com/platform/cts/+/07418524352c75ca9b293c035246995d2d550f8b", "07418524352c75ca9b293c035246995d2d550f8b")</f>
        <v>0</v>
      </c>
      <c r="C11262">
        <f>HYPERLINK("https://android.googlesource.com/platform/cts/+/b864109ea4648b4ce838a097f6f3ae4c78207876", "b864109ea4648b4ce838a097f6f3ae4c78207876")</f>
        <v>0</v>
      </c>
      <c r="D11262" t="s">
        <v>5163</v>
      </c>
      <c r="E11262" t="s">
        <v>7273</v>
      </c>
      <c r="F11262" t="s">
        <v>13268</v>
      </c>
      <c r="G11262" t="s">
        <v>17406</v>
      </c>
      <c r="H11262" t="s">
        <v>28871</v>
      </c>
    </row>
    <row r="11263" spans="1:8">
      <c r="H11263" t="s">
        <v>28872</v>
      </c>
    </row>
    <row r="11264" spans="1:8">
      <c r="H11264" t="s">
        <v>28873</v>
      </c>
    </row>
    <row r="11265" spans="1:8">
      <c r="H11265" t="s">
        <v>28874</v>
      </c>
    </row>
    <row r="11266" spans="1:8">
      <c r="H11266" t="s">
        <v>28875</v>
      </c>
    </row>
    <row r="11267" spans="1:8">
      <c r="F11267" t="s">
        <v>13269</v>
      </c>
      <c r="G11267" t="s">
        <v>17407</v>
      </c>
      <c r="H11267" t="s">
        <v>28881</v>
      </c>
    </row>
    <row r="11268" spans="1:8">
      <c r="H11268" t="s">
        <v>28882</v>
      </c>
    </row>
    <row r="11269" spans="1:8">
      <c r="H11269" t="s">
        <v>28883</v>
      </c>
    </row>
    <row r="11270" spans="1:8">
      <c r="H11270" t="s">
        <v>28884</v>
      </c>
    </row>
    <row r="11271" spans="1:8">
      <c r="A11271" t="s">
        <v>1510</v>
      </c>
      <c r="B11271">
        <f>HYPERLINK("https://android.googlesource.com/platform/cts/+/cc8b18507041fb1e9387c03135bf7ac173b5ae46", "cc8b18507041fb1e9387c03135bf7ac173b5ae46")</f>
        <v>0</v>
      </c>
      <c r="C11271">
        <f>HYPERLINK("https://android.googlesource.com/platform/cts/+/c651567f7e8859cef31ba61cba7a979b4297b720", "c651567f7e8859cef31ba61cba7a979b4297b720")</f>
        <v>0</v>
      </c>
      <c r="D11271" t="s">
        <v>5059</v>
      </c>
      <c r="E11271" t="s">
        <v>7275</v>
      </c>
      <c r="F11271" t="s">
        <v>13271</v>
      </c>
      <c r="G11271" t="s">
        <v>17408</v>
      </c>
      <c r="H11271" t="s">
        <v>28892</v>
      </c>
    </row>
    <row r="11272" spans="1:8">
      <c r="A11272" t="s">
        <v>1511</v>
      </c>
      <c r="B11272">
        <f>HYPERLINK("https://android.googlesource.com/platform/cts/+/b4f0b90b0103bc9643f92ebfa0aa54865b0fadee", "b4f0b90b0103bc9643f92ebfa0aa54865b0fadee")</f>
        <v>0</v>
      </c>
      <c r="C11272">
        <f>HYPERLINK("https://android.googlesource.com/platform/cts/+/8ed63f6fef3b2e5cdd4ea617e55a8803a00f4e38", "8ed63f6fef3b2e5cdd4ea617e55a8803a00f4e38")</f>
        <v>0</v>
      </c>
      <c r="D11272" t="s">
        <v>4997</v>
      </c>
      <c r="E11272" t="s">
        <v>7276</v>
      </c>
      <c r="F11272" t="s">
        <v>13272</v>
      </c>
      <c r="G11272" t="s">
        <v>17409</v>
      </c>
      <c r="H11272" t="s">
        <v>28893</v>
      </c>
    </row>
    <row r="11273" spans="1:8">
      <c r="A11273" t="s">
        <v>1512</v>
      </c>
      <c r="B11273">
        <f>HYPERLINK("https://android.googlesource.com/platform/cts/+/f61fa2b6db49f4c6133c9ef465995061b6a882d7", "f61fa2b6db49f4c6133c9ef465995061b6a882d7")</f>
        <v>0</v>
      </c>
      <c r="C11273">
        <f>HYPERLINK("https://android.googlesource.com/platform/cts/+/f134dd48f68a72306f9682f9572d7d9546603b32", "f134dd48f68a72306f9682f9572d7d9546603b32")</f>
        <v>0</v>
      </c>
      <c r="D11273" t="s">
        <v>5118</v>
      </c>
      <c r="E11273" t="s">
        <v>7277</v>
      </c>
      <c r="F11273" t="s">
        <v>13273</v>
      </c>
      <c r="G11273" t="s">
        <v>17410</v>
      </c>
      <c r="H11273" t="s">
        <v>19013</v>
      </c>
    </row>
    <row r="11274" spans="1:8">
      <c r="H11274" t="s">
        <v>18836</v>
      </c>
    </row>
    <row r="11275" spans="1:8">
      <c r="H11275" t="s">
        <v>18835</v>
      </c>
    </row>
    <row r="11276" spans="1:8">
      <c r="F11276" t="s">
        <v>13274</v>
      </c>
      <c r="G11276" t="s">
        <v>17411</v>
      </c>
      <c r="H11276" t="s">
        <v>19013</v>
      </c>
    </row>
    <row r="11277" spans="1:8">
      <c r="H11277" t="s">
        <v>18836</v>
      </c>
    </row>
    <row r="11278" spans="1:8">
      <c r="H11278" t="s">
        <v>18835</v>
      </c>
    </row>
    <row r="11279" spans="1:8">
      <c r="A11279" t="s">
        <v>1514</v>
      </c>
      <c r="B11279">
        <f>HYPERLINK("https://android.googlesource.com/platform/cts/+/ae13020ad3b8dbf51cb7231cf3921a0850affb19", "ae13020ad3b8dbf51cb7231cf3921a0850affb19")</f>
        <v>0</v>
      </c>
      <c r="C11279">
        <f>HYPERLINK("https://android.googlesource.com/platform/cts/+/b5a1aff1c339940d8598866e31e27cd564e935c0", "b5a1aff1c339940d8598866e31e27cd564e935c0")</f>
        <v>0</v>
      </c>
      <c r="D11279" t="s">
        <v>5141</v>
      </c>
      <c r="E11279" t="s">
        <v>7279</v>
      </c>
      <c r="F11279" t="s">
        <v>13267</v>
      </c>
      <c r="G11279" t="s">
        <v>17405</v>
      </c>
      <c r="H11279" t="s">
        <v>28895</v>
      </c>
    </row>
    <row r="11280" spans="1:8">
      <c r="H11280" t="s">
        <v>28896</v>
      </c>
    </row>
    <row r="11281" spans="1:8">
      <c r="A11281" t="s">
        <v>1516</v>
      </c>
      <c r="B11281">
        <f>HYPERLINK("https://android.googlesource.com/platform/cts/+/f931bf800c3cd1423bda09c5da2bc623dfe6cd49", "f931bf800c3cd1423bda09c5da2bc623dfe6cd49")</f>
        <v>0</v>
      </c>
      <c r="C11281">
        <f>HYPERLINK("https://android.googlesource.com/platform/cts/+/c651567f7e8859cef31ba61cba7a979b4297b720", "c651567f7e8859cef31ba61cba7a979b4297b720")</f>
        <v>0</v>
      </c>
      <c r="D11281" t="s">
        <v>5085</v>
      </c>
      <c r="E11281" t="s">
        <v>7281</v>
      </c>
      <c r="F11281" t="s">
        <v>13275</v>
      </c>
      <c r="G11281" t="s">
        <v>17412</v>
      </c>
      <c r="H11281" t="s">
        <v>28899</v>
      </c>
    </row>
    <row r="11282" spans="1:8">
      <c r="F11282" t="s">
        <v>13276</v>
      </c>
      <c r="G11282" t="s">
        <v>17413</v>
      </c>
      <c r="H11282" t="s">
        <v>28900</v>
      </c>
    </row>
    <row r="11283" spans="1:8">
      <c r="A11283" t="s">
        <v>1517</v>
      </c>
      <c r="B11283">
        <f>HYPERLINK("https://android.googlesource.com/platform/cts/+/aa447ec5f85d97d9f1c793ed71463e1955292678", "aa447ec5f85d97d9f1c793ed71463e1955292678")</f>
        <v>0</v>
      </c>
      <c r="C11283">
        <f>HYPERLINK("https://android.googlesource.com/platform/cts/+/706e4886d5474f0a1513faa0d71cb0fedd96f9c3", "706e4886d5474f0a1513faa0d71cb0fedd96f9c3")</f>
        <v>0</v>
      </c>
      <c r="D11283" t="s">
        <v>5146</v>
      </c>
      <c r="E11283" t="s">
        <v>7282</v>
      </c>
      <c r="F11283" t="s">
        <v>13277</v>
      </c>
      <c r="G11283" t="s">
        <v>17414</v>
      </c>
      <c r="H11283" t="s">
        <v>28901</v>
      </c>
    </row>
    <row r="11284" spans="1:8">
      <c r="H11284" t="s">
        <v>28902</v>
      </c>
    </row>
    <row r="11285" spans="1:8">
      <c r="A11285" t="s">
        <v>1518</v>
      </c>
      <c r="B11285">
        <f>HYPERLINK("https://android.googlesource.com/platform/cts/+/b8acf2c7fe6b6da101a490d2c805526810fe26bc", "b8acf2c7fe6b6da101a490d2c805526810fe26bc")</f>
        <v>0</v>
      </c>
      <c r="C11285">
        <f>HYPERLINK("https://android.googlesource.com/platform/cts/+/2aaaf6a018413cc44149727c8f9c1d0f5345f0f6", "2aaaf6a018413cc44149727c8f9c1d0f5345f0f6")</f>
        <v>0</v>
      </c>
      <c r="D11285" t="s">
        <v>5234</v>
      </c>
      <c r="E11285" t="s">
        <v>7283</v>
      </c>
      <c r="F11285" t="s">
        <v>13278</v>
      </c>
      <c r="G11285" t="s">
        <v>17415</v>
      </c>
      <c r="H11285" t="s">
        <v>28912</v>
      </c>
    </row>
    <row r="11286" spans="1:8">
      <c r="H11286" t="s">
        <v>28913</v>
      </c>
    </row>
    <row r="11287" spans="1:8">
      <c r="H11287" t="s">
        <v>28914</v>
      </c>
    </row>
    <row r="11288" spans="1:8">
      <c r="H11288" t="s">
        <v>28915</v>
      </c>
    </row>
    <row r="11289" spans="1:8">
      <c r="H11289" t="s">
        <v>28916</v>
      </c>
    </row>
    <row r="11290" spans="1:8">
      <c r="H11290" t="s">
        <v>28917</v>
      </c>
    </row>
    <row r="11291" spans="1:8">
      <c r="H11291" t="s">
        <v>28918</v>
      </c>
    </row>
    <row r="11292" spans="1:8">
      <c r="H11292" t="s">
        <v>28919</v>
      </c>
    </row>
    <row r="11293" spans="1:8">
      <c r="H11293" t="s">
        <v>28920</v>
      </c>
    </row>
    <row r="11294" spans="1:8">
      <c r="H11294" t="s">
        <v>28921</v>
      </c>
    </row>
    <row r="11295" spans="1:8">
      <c r="H11295" t="s">
        <v>28922</v>
      </c>
    </row>
    <row r="11296" spans="1:8">
      <c r="A11296" t="s">
        <v>1519</v>
      </c>
      <c r="B11296">
        <f>HYPERLINK("https://android.googlesource.com/platform/cts/+/ae78af7f8b8f81b27591427d8d6202e8bab97978", "ae78af7f8b8f81b27591427d8d6202e8bab97978")</f>
        <v>0</v>
      </c>
      <c r="C11296">
        <f>HYPERLINK("https://android.googlesource.com/platform/cts/+/801b62a16a99ed89dbac8ac46f8437f97f24a0a9", "801b62a16a99ed89dbac8ac46f8437f97f24a0a9")</f>
        <v>0</v>
      </c>
      <c r="D11296" t="s">
        <v>5235</v>
      </c>
      <c r="E11296" t="s">
        <v>7284</v>
      </c>
      <c r="F11296" t="s">
        <v>13279</v>
      </c>
      <c r="G11296" t="s">
        <v>17416</v>
      </c>
      <c r="H11296" t="s">
        <v>28930</v>
      </c>
    </row>
    <row r="11297" spans="1:8">
      <c r="H11297" t="s">
        <v>28931</v>
      </c>
    </row>
    <row r="11298" spans="1:8">
      <c r="H11298" t="s">
        <v>28932</v>
      </c>
    </row>
    <row r="11299" spans="1:8">
      <c r="H11299" t="s">
        <v>28934</v>
      </c>
    </row>
    <row r="11300" spans="1:8">
      <c r="H11300" t="s">
        <v>28938</v>
      </c>
    </row>
    <row r="11301" spans="1:8">
      <c r="H11301" t="s">
        <v>28939</v>
      </c>
    </row>
    <row r="11302" spans="1:8">
      <c r="A11302" t="s">
        <v>1520</v>
      </c>
      <c r="B11302">
        <f>HYPERLINK("https://android.googlesource.com/platform/cts/+/d4c99081b67c01194b63c4e3bef959b220c3f66a", "d4c99081b67c01194b63c4e3bef959b220c3f66a")</f>
        <v>0</v>
      </c>
      <c r="C11302">
        <f>HYPERLINK("https://android.googlesource.com/platform/cts/+/ae78af7f8b8f81b27591427d8d6202e8bab97978", "ae78af7f8b8f81b27591427d8d6202e8bab97978")</f>
        <v>0</v>
      </c>
      <c r="D11302" t="s">
        <v>5235</v>
      </c>
      <c r="E11302" t="s">
        <v>7285</v>
      </c>
      <c r="F11302" t="s">
        <v>13280</v>
      </c>
      <c r="G11302" t="s">
        <v>17417</v>
      </c>
      <c r="H11302" t="s">
        <v>28942</v>
      </c>
    </row>
    <row r="11303" spans="1:8">
      <c r="A11303" t="s">
        <v>1521</v>
      </c>
      <c r="B11303">
        <f>HYPERLINK("https://android.googlesource.com/platform/cts/+/394fd446ee9641e0af74ec779302612f83d84acf", "394fd446ee9641e0af74ec779302612f83d84acf")</f>
        <v>0</v>
      </c>
      <c r="C11303">
        <f>HYPERLINK("https://android.googlesource.com/platform/cts/+/d4c99081b67c01194b63c4e3bef959b220c3f66a", "d4c99081b67c01194b63c4e3bef959b220c3f66a")</f>
        <v>0</v>
      </c>
      <c r="D11303" t="s">
        <v>5235</v>
      </c>
      <c r="E11303" t="s">
        <v>7286</v>
      </c>
      <c r="F11303" t="s">
        <v>13281</v>
      </c>
      <c r="G11303" t="s">
        <v>17418</v>
      </c>
      <c r="H11303" t="s">
        <v>28946</v>
      </c>
    </row>
    <row r="11304" spans="1:8">
      <c r="H11304" t="s">
        <v>28947</v>
      </c>
    </row>
    <row r="11305" spans="1:8">
      <c r="H11305" t="s">
        <v>28948</v>
      </c>
    </row>
    <row r="11306" spans="1:8">
      <c r="A11306" t="s">
        <v>1522</v>
      </c>
      <c r="B11306">
        <f>HYPERLINK("https://android.googlesource.com/platform/cts/+/b2c00541678ad24c0a1775ebef65e43cb08dc65b", "b2c00541678ad24c0a1775ebef65e43cb08dc65b")</f>
        <v>0</v>
      </c>
      <c r="C11306">
        <f>HYPERLINK("https://android.googlesource.com/platform/cts/+/394fd446ee9641e0af74ec779302612f83d84acf", "394fd446ee9641e0af74ec779302612f83d84acf")</f>
        <v>0</v>
      </c>
      <c r="D11306" t="s">
        <v>5235</v>
      </c>
      <c r="E11306" t="s">
        <v>7287</v>
      </c>
      <c r="F11306" t="s">
        <v>13282</v>
      </c>
      <c r="G11306" t="s">
        <v>17419</v>
      </c>
      <c r="H11306" t="s">
        <v>28952</v>
      </c>
    </row>
    <row r="11307" spans="1:8">
      <c r="H11307" t="s">
        <v>26091</v>
      </c>
    </row>
    <row r="11308" spans="1:8">
      <c r="H11308" t="s">
        <v>21326</v>
      </c>
    </row>
    <row r="11309" spans="1:8">
      <c r="H11309" t="s">
        <v>21254</v>
      </c>
    </row>
    <row r="11310" spans="1:8">
      <c r="H11310" t="s">
        <v>26090</v>
      </c>
    </row>
    <row r="11311" spans="1:8">
      <c r="H11311" t="s">
        <v>26093</v>
      </c>
    </row>
    <row r="11312" spans="1:8">
      <c r="H11312" t="s">
        <v>26094</v>
      </c>
    </row>
    <row r="11313" spans="1:8">
      <c r="H11313" t="s">
        <v>26088</v>
      </c>
    </row>
    <row r="11314" spans="1:8">
      <c r="H11314" t="s">
        <v>26092</v>
      </c>
    </row>
    <row r="11315" spans="1:8">
      <c r="H11315" t="s">
        <v>26089</v>
      </c>
    </row>
    <row r="11316" spans="1:8">
      <c r="A11316" t="s">
        <v>1528</v>
      </c>
      <c r="B11316">
        <f>HYPERLINK("https://android.googlesource.com/platform/cts/+/c0f551a272e721750084ff1b46189d0f2eba8fd0", "c0f551a272e721750084ff1b46189d0f2eba8fd0")</f>
        <v>0</v>
      </c>
      <c r="C11316">
        <f>HYPERLINK("https://android.googlesource.com/platform/cts/+/410b4ee5f545f93ceadd968fba84a431b86a7c05", "410b4ee5f545f93ceadd968fba84a431b86a7c05")</f>
        <v>0</v>
      </c>
      <c r="D11316" t="s">
        <v>5144</v>
      </c>
      <c r="E11316" t="s">
        <v>7293</v>
      </c>
      <c r="F11316" t="s">
        <v>10627</v>
      </c>
      <c r="G11316" t="s">
        <v>15030</v>
      </c>
      <c r="H11316" t="s">
        <v>28970</v>
      </c>
    </row>
    <row r="11317" spans="1:8">
      <c r="H11317" t="s">
        <v>28972</v>
      </c>
    </row>
    <row r="11318" spans="1:8">
      <c r="A11318" t="s">
        <v>1529</v>
      </c>
      <c r="B11318">
        <f>HYPERLINK("https://android.googlesource.com/platform/cts/+/8a2b05f64c050b1538953b595d332fc4fcd35259", "8a2b05f64c050b1538953b595d332fc4fcd35259")</f>
        <v>0</v>
      </c>
      <c r="C11318">
        <f>HYPERLINK("https://android.googlesource.com/platform/cts/+/c4d237b847c6682724386119d68a50ac8b653323", "c4d237b847c6682724386119d68a50ac8b653323")</f>
        <v>0</v>
      </c>
      <c r="D11318" t="s">
        <v>5128</v>
      </c>
      <c r="E11318" t="s">
        <v>7294</v>
      </c>
      <c r="F11318" t="s">
        <v>13203</v>
      </c>
      <c r="G11318" t="s">
        <v>17345</v>
      </c>
      <c r="H11318" t="s">
        <v>28974</v>
      </c>
    </row>
    <row r="11319" spans="1:8">
      <c r="A11319" t="s">
        <v>1533</v>
      </c>
      <c r="B11319">
        <f>HYPERLINK("https://android.googlesource.com/platform/cts/+/c546d35e6069f77b76a6fef3d4912f014b956cda", "c546d35e6069f77b76a6fef3d4912f014b956cda")</f>
        <v>0</v>
      </c>
      <c r="C11319">
        <f>HYPERLINK("https://android.googlesource.com/platform/cts/+/fa2bc101b0b5d435a8389a7f52ed08bc2b5e05fe", "fa2bc101b0b5d435a8389a7f52ed08bc2b5e05fe")</f>
        <v>0</v>
      </c>
      <c r="D11319" t="s">
        <v>4991</v>
      </c>
      <c r="E11319" t="s">
        <v>7298</v>
      </c>
      <c r="F11319" t="s">
        <v>11193</v>
      </c>
      <c r="G11319" t="s">
        <v>15582</v>
      </c>
      <c r="H11319" t="s">
        <v>28977</v>
      </c>
    </row>
    <row r="11320" spans="1:8">
      <c r="F11320" t="s">
        <v>10687</v>
      </c>
      <c r="G11320" t="s">
        <v>15087</v>
      </c>
      <c r="H11320" t="s">
        <v>19350</v>
      </c>
    </row>
    <row r="11321" spans="1:8">
      <c r="A11321" t="s">
        <v>1534</v>
      </c>
      <c r="B11321">
        <f>HYPERLINK("https://android.googlesource.com/platform/cts/+/be3621bcbb1df37364e00f91bcf2ec2211c98609", "be3621bcbb1df37364e00f91bcf2ec2211c98609")</f>
        <v>0</v>
      </c>
      <c r="C11321">
        <f>HYPERLINK("https://android.googlesource.com/platform/cts/+/bba14f67c803d7d61c845599509c70d64d42264a", "bba14f67c803d7d61c845599509c70d64d42264a")</f>
        <v>0</v>
      </c>
      <c r="D11321" t="s">
        <v>5046</v>
      </c>
      <c r="E11321" t="s">
        <v>7299</v>
      </c>
      <c r="F11321" t="s">
        <v>10780</v>
      </c>
      <c r="G11321" t="s">
        <v>15176</v>
      </c>
      <c r="H11321" t="s">
        <v>28978</v>
      </c>
    </row>
    <row r="11322" spans="1:8">
      <c r="H11322" t="s">
        <v>28979</v>
      </c>
    </row>
    <row r="11323" spans="1:8">
      <c r="F11323" t="s">
        <v>10781</v>
      </c>
      <c r="G11323" t="s">
        <v>15177</v>
      </c>
      <c r="H11323" t="s">
        <v>28978</v>
      </c>
    </row>
    <row r="11324" spans="1:8">
      <c r="H11324" t="s">
        <v>28979</v>
      </c>
    </row>
    <row r="11325" spans="1:8">
      <c r="A11325" t="s">
        <v>1537</v>
      </c>
      <c r="B11325">
        <f>HYPERLINK("https://android.googlesource.com/platform/cts/+/4b518951431367b6bc0568d4b3dae028d0daa664", "4b518951431367b6bc0568d4b3dae028d0daa664")</f>
        <v>0</v>
      </c>
      <c r="C11325">
        <f>HYPERLINK("https://android.googlesource.com/platform/cts/+/fa2bc101b0b5d435a8389a7f52ed08bc2b5e05fe", "fa2bc101b0b5d435a8389a7f52ed08bc2b5e05fe")</f>
        <v>0</v>
      </c>
      <c r="D11325" t="s">
        <v>5085</v>
      </c>
      <c r="E11325" t="s">
        <v>7302</v>
      </c>
      <c r="F11325" t="s">
        <v>13286</v>
      </c>
      <c r="G11325" t="s">
        <v>17423</v>
      </c>
      <c r="H11325" t="s">
        <v>28609</v>
      </c>
    </row>
    <row r="11326" spans="1:8">
      <c r="A11326" t="s">
        <v>1538</v>
      </c>
      <c r="B11326">
        <f>HYPERLINK("https://android.googlesource.com/platform/cts/+/07a824b3c05d9521f360d6dbdd5c424bb19e302a", "07a824b3c05d9521f360d6dbdd5c424bb19e302a")</f>
        <v>0</v>
      </c>
      <c r="C11326">
        <f>HYPERLINK("https://android.googlesource.com/platform/cts/+/311e21950d09d9e5ef37f2a818d4a390f54124b1", "311e21950d09d9e5ef37f2a818d4a390f54124b1")</f>
        <v>0</v>
      </c>
      <c r="D11326" t="s">
        <v>5219</v>
      </c>
      <c r="E11326" t="s">
        <v>7303</v>
      </c>
      <c r="F11326" t="s">
        <v>13287</v>
      </c>
      <c r="G11326" t="s">
        <v>17424</v>
      </c>
      <c r="H11326" t="s">
        <v>28989</v>
      </c>
    </row>
    <row r="11327" spans="1:8">
      <c r="A11327" t="s">
        <v>1544</v>
      </c>
      <c r="B11327">
        <f>HYPERLINK("https://android.googlesource.com/platform/cts/+/af1227e4063604cd64561a5e574cdf750897ea7a", "af1227e4063604cd64561a5e574cdf750897ea7a")</f>
        <v>0</v>
      </c>
      <c r="C11327">
        <f>HYPERLINK("https://android.googlesource.com/platform/cts/+/df73d5fd6b60d9db038de439227e4574f0251f77", "df73d5fd6b60d9db038de439227e4574f0251f77")</f>
        <v>0</v>
      </c>
      <c r="D11327" t="s">
        <v>5134</v>
      </c>
      <c r="E11327" t="s">
        <v>7309</v>
      </c>
      <c r="F11327" t="s">
        <v>13230</v>
      </c>
      <c r="G11327" t="s">
        <v>17371</v>
      </c>
      <c r="H11327" t="s">
        <v>28999</v>
      </c>
    </row>
    <row r="11328" spans="1:8">
      <c r="A11328" t="s">
        <v>1548</v>
      </c>
      <c r="B11328">
        <f>HYPERLINK("https://android.googlesource.com/platform/cts/+/6243ff729f6652552812ac1198e06cba90fb2d67", "6243ff729f6652552812ac1198e06cba90fb2d67")</f>
        <v>0</v>
      </c>
      <c r="C11328">
        <f>HYPERLINK("https://android.googlesource.com/platform/cts/+/4dc99fcc9f8f72b43f2c8fd54884e5182f2f24f7", "4dc99fcc9f8f72b43f2c8fd54884e5182f2f24f7")</f>
        <v>0</v>
      </c>
      <c r="D11328" t="s">
        <v>4952</v>
      </c>
      <c r="E11328" t="s">
        <v>7313</v>
      </c>
      <c r="F11328" t="s">
        <v>13131</v>
      </c>
      <c r="G11328" t="s">
        <v>15683</v>
      </c>
      <c r="H11328" t="s">
        <v>26720</v>
      </c>
    </row>
    <row r="11329" spans="1:8">
      <c r="F11329" t="s">
        <v>11443</v>
      </c>
      <c r="G11329" t="s">
        <v>15683</v>
      </c>
      <c r="H11329" t="s">
        <v>26720</v>
      </c>
    </row>
    <row r="11330" spans="1:8">
      <c r="A11330" t="s">
        <v>1550</v>
      </c>
      <c r="B11330">
        <f>HYPERLINK("https://android.googlesource.com/platform/cts/+/9798b8e1409915c09ae44698d76056b6c8c1cbfc", "9798b8e1409915c09ae44698d76056b6c8c1cbfc")</f>
        <v>0</v>
      </c>
      <c r="C11330">
        <f>HYPERLINK("https://android.googlesource.com/platform/cts/+/b8b9920778a6f672bafa149295ecebcc27f95444", "b8b9920778a6f672bafa149295ecebcc27f95444")</f>
        <v>0</v>
      </c>
      <c r="D11330" t="s">
        <v>5092</v>
      </c>
      <c r="E11330" t="s">
        <v>7315</v>
      </c>
      <c r="F11330" t="s">
        <v>13290</v>
      </c>
      <c r="G11330" t="s">
        <v>17427</v>
      </c>
      <c r="H11330" t="s">
        <v>29005</v>
      </c>
    </row>
    <row r="11331" spans="1:8">
      <c r="A11331" t="s">
        <v>1552</v>
      </c>
      <c r="B11331">
        <f>HYPERLINK("https://android.googlesource.com/platform/cts/+/542699d4f3adaea3fdeb10cccac56837d979b19b", "542699d4f3adaea3fdeb10cccac56837d979b19b")</f>
        <v>0</v>
      </c>
      <c r="C11331">
        <f>HYPERLINK("https://android.googlesource.com/platform/cts/+/177cc6ed7aaadf0418001bf1aeff0395605be751", "177cc6ed7aaadf0418001bf1aeff0395605be751")</f>
        <v>0</v>
      </c>
      <c r="D11331" t="s">
        <v>5115</v>
      </c>
      <c r="E11331" t="s">
        <v>7316</v>
      </c>
      <c r="F11331" t="s">
        <v>13291</v>
      </c>
      <c r="G11331" t="s">
        <v>17426</v>
      </c>
      <c r="H11331" t="s">
        <v>28993</v>
      </c>
    </row>
    <row r="11332" spans="1:8">
      <c r="F11332" t="s">
        <v>13292</v>
      </c>
      <c r="G11332" t="s">
        <v>17428</v>
      </c>
      <c r="H11332" t="s">
        <v>29006</v>
      </c>
    </row>
    <row r="11333" spans="1:8">
      <c r="H11333" t="s">
        <v>29007</v>
      </c>
    </row>
    <row r="11334" spans="1:8">
      <c r="A11334" t="s">
        <v>1554</v>
      </c>
      <c r="B11334">
        <f>HYPERLINK("https://android.googlesource.com/platform/cts/+/0fabc671de7e98de064bb0e8e18a386e5f8a440a", "0fabc671de7e98de064bb0e8e18a386e5f8a440a")</f>
        <v>0</v>
      </c>
      <c r="C11334">
        <f>HYPERLINK("https://android.googlesource.com/platform/cts/+/601a32b0f87188d5fc4573757a232b0dd807d7fc", "601a32b0f87188d5fc4573757a232b0dd807d7fc")</f>
        <v>0</v>
      </c>
      <c r="D11334" t="s">
        <v>4949</v>
      </c>
      <c r="E11334" t="s">
        <v>7318</v>
      </c>
      <c r="F11334" t="s">
        <v>13230</v>
      </c>
      <c r="G11334" t="s">
        <v>17371</v>
      </c>
      <c r="H11334" t="s">
        <v>29008</v>
      </c>
    </row>
    <row r="11335" spans="1:8">
      <c r="H11335" t="s">
        <v>29009</v>
      </c>
    </row>
    <row r="11336" spans="1:8">
      <c r="A11336" t="s">
        <v>1557</v>
      </c>
      <c r="B11336">
        <f>HYPERLINK("https://android.googlesource.com/platform/cts/+/fc25beca4c74953ff1c6e8be18f5c0a9a20ceebc", "fc25beca4c74953ff1c6e8be18f5c0a9a20ceebc")</f>
        <v>0</v>
      </c>
      <c r="C11336">
        <f>HYPERLINK("https://android.googlesource.com/platform/cts/+/6bd3e7168a5712630eca7838616287b32497ab36", "6bd3e7168a5712630eca7838616287b32497ab36")</f>
        <v>0</v>
      </c>
      <c r="D11336" t="s">
        <v>5214</v>
      </c>
      <c r="E11336" t="s">
        <v>7321</v>
      </c>
      <c r="F11336" t="s">
        <v>13225</v>
      </c>
      <c r="G11336" t="s">
        <v>17366</v>
      </c>
      <c r="H11336" t="s">
        <v>29013</v>
      </c>
    </row>
    <row r="11337" spans="1:8">
      <c r="H11337" t="s">
        <v>29015</v>
      </c>
    </row>
    <row r="11338" spans="1:8">
      <c r="H11338" t="s">
        <v>29016</v>
      </c>
    </row>
    <row r="11339" spans="1:8">
      <c r="A11339" t="s">
        <v>1563</v>
      </c>
      <c r="B11339">
        <f>HYPERLINK("https://android.googlesource.com/platform/cts/+/41a16ca7b6f16ebd7ec83a6b4d2691c1ec0f940d", "41a16ca7b6f16ebd7ec83a6b4d2691c1ec0f940d")</f>
        <v>0</v>
      </c>
      <c r="C11339">
        <f>HYPERLINK("https://android.googlesource.com/platform/cts/+/a8d86dac2f94f8d97d76c5ac27a68f1cf3d6ccc1", "a8d86dac2f94f8d97d76c5ac27a68f1cf3d6ccc1")</f>
        <v>0</v>
      </c>
      <c r="D11339" t="s">
        <v>5126</v>
      </c>
      <c r="E11339" t="s">
        <v>7327</v>
      </c>
      <c r="F11339" t="s">
        <v>10699</v>
      </c>
      <c r="G11339" t="s">
        <v>15099</v>
      </c>
      <c r="H11339" t="s">
        <v>29020</v>
      </c>
    </row>
    <row r="11340" spans="1:8">
      <c r="A11340" t="s">
        <v>1564</v>
      </c>
      <c r="B11340">
        <f>HYPERLINK("https://android.googlesource.com/platform/cts/+/59a36621969cd6b14755d5483a3cc38e78898de2", "59a36621969cd6b14755d5483a3cc38e78898de2")</f>
        <v>0</v>
      </c>
      <c r="C11340">
        <f>HYPERLINK("https://android.googlesource.com/platform/cts/+/51b0f0a9c9af6192e0601789714b843d36a514b3", "51b0f0a9c9af6192e0601789714b843d36a514b3")</f>
        <v>0</v>
      </c>
      <c r="D11340" t="s">
        <v>4931</v>
      </c>
      <c r="E11340" t="s">
        <v>7328</v>
      </c>
      <c r="F11340" t="s">
        <v>13296</v>
      </c>
      <c r="G11340" t="s">
        <v>17432</v>
      </c>
      <c r="H11340" t="s">
        <v>29021</v>
      </c>
    </row>
    <row r="11341" spans="1:8">
      <c r="A11341" t="s">
        <v>1566</v>
      </c>
      <c r="B11341">
        <f>HYPERLINK("https://android.googlesource.com/platform/cts/+/7435d710f41a7d4d94cb2b8eecb3297155c58a27", "7435d710f41a7d4d94cb2b8eecb3297155c58a27")</f>
        <v>0</v>
      </c>
      <c r="C11341">
        <f>HYPERLINK("https://android.googlesource.com/platform/cts/+/f770e20ef1b86bf3b9eb22fb07ae5ea9695060c5", "f770e20ef1b86bf3b9eb22fb07ae5ea9695060c5")</f>
        <v>0</v>
      </c>
      <c r="D11341" t="s">
        <v>5027</v>
      </c>
      <c r="E11341" t="s">
        <v>7330</v>
      </c>
      <c r="F11341" t="s">
        <v>13187</v>
      </c>
      <c r="G11341" t="s">
        <v>17331</v>
      </c>
      <c r="H11341" t="s">
        <v>29023</v>
      </c>
    </row>
    <row r="11342" spans="1:8">
      <c r="A11342" t="s">
        <v>1567</v>
      </c>
      <c r="B11342">
        <f>HYPERLINK("https://android.googlesource.com/platform/cts/+/0c62b6d65b1d22355d0ead1a6e96aabb5ac8e151", "0c62b6d65b1d22355d0ead1a6e96aabb5ac8e151")</f>
        <v>0</v>
      </c>
      <c r="C11342">
        <f>HYPERLINK("https://android.googlesource.com/platform/cts/+/7435d710f41a7d4d94cb2b8eecb3297155c58a27", "7435d710f41a7d4d94cb2b8eecb3297155c58a27")</f>
        <v>0</v>
      </c>
      <c r="D11342" t="s">
        <v>5027</v>
      </c>
      <c r="E11342" t="s">
        <v>7331</v>
      </c>
      <c r="F11342" t="s">
        <v>12617</v>
      </c>
      <c r="G11342" t="s">
        <v>15155</v>
      </c>
      <c r="H11342" t="s">
        <v>29027</v>
      </c>
    </row>
    <row r="11343" spans="1:8">
      <c r="A11343" t="s">
        <v>1569</v>
      </c>
      <c r="B11343">
        <f>HYPERLINK("https://android.googlesource.com/platform/cts/+/9a05c717ca6ae16344cbe0471cb2e6dff0c7282f", "9a05c717ca6ae16344cbe0471cb2e6dff0c7282f")</f>
        <v>0</v>
      </c>
      <c r="C11343">
        <f>HYPERLINK("https://android.googlesource.com/platform/cts/+/c2c2493886f74212c518cbbdb7928579ad2d27c8", "c2c2493886f74212c518cbbdb7928579ad2d27c8")</f>
        <v>0</v>
      </c>
      <c r="D11343" t="s">
        <v>5077</v>
      </c>
      <c r="E11343" t="s">
        <v>7333</v>
      </c>
      <c r="F11343" t="s">
        <v>12817</v>
      </c>
      <c r="G11343" t="s">
        <v>16629</v>
      </c>
      <c r="H11343" t="s">
        <v>29035</v>
      </c>
    </row>
    <row r="11344" spans="1:8">
      <c r="H11344" t="s">
        <v>29036</v>
      </c>
    </row>
    <row r="11345" spans="1:8">
      <c r="A11345" t="s">
        <v>1570</v>
      </c>
      <c r="B11345">
        <f>HYPERLINK("https://android.googlesource.com/platform/cts/+/d793e4256716618d77ef129ce0c0bf519e679b00", "d793e4256716618d77ef129ce0c0bf519e679b00")</f>
        <v>0</v>
      </c>
      <c r="C11345">
        <f>HYPERLINK("https://android.googlesource.com/platform/cts/+/929244f1b79abc6958f876bbc5c5e88756f73bc5", "929244f1b79abc6958f876bbc5c5e88756f73bc5")</f>
        <v>0</v>
      </c>
      <c r="D11345" t="s">
        <v>5077</v>
      </c>
      <c r="E11345" t="s">
        <v>7334</v>
      </c>
      <c r="F11345" t="s">
        <v>12817</v>
      </c>
      <c r="G11345" t="s">
        <v>16629</v>
      </c>
      <c r="H11345" t="s">
        <v>29035</v>
      </c>
    </row>
    <row r="11346" spans="1:8">
      <c r="H11346" t="s">
        <v>29036</v>
      </c>
    </row>
    <row r="11347" spans="1:8">
      <c r="A11347" t="s">
        <v>1571</v>
      </c>
      <c r="B11347">
        <f>HYPERLINK("https://android.googlesource.com/platform/cts/+/400e7d594809ca2cb52c2a69cefbf92c21526237", "400e7d594809ca2cb52c2a69cefbf92c21526237")</f>
        <v>0</v>
      </c>
      <c r="C11347">
        <f>HYPERLINK("https://android.googlesource.com/platform/cts/+/36cd300c3d253eb36ec710e14be84e7e6ae4ffed", "36cd300c3d253eb36ec710e14be84e7e6ae4ffed")</f>
        <v>0</v>
      </c>
      <c r="D11347" t="s">
        <v>5117</v>
      </c>
      <c r="E11347" t="s">
        <v>7335</v>
      </c>
      <c r="F11347" t="s">
        <v>13241</v>
      </c>
      <c r="G11347" t="s">
        <v>17381</v>
      </c>
      <c r="H11347" t="s">
        <v>29041</v>
      </c>
    </row>
    <row r="11348" spans="1:8">
      <c r="H11348" t="s">
        <v>29042</v>
      </c>
    </row>
    <row r="11349" spans="1:8">
      <c r="H11349" t="s">
        <v>29043</v>
      </c>
    </row>
    <row r="11350" spans="1:8">
      <c r="H11350" t="s">
        <v>29044</v>
      </c>
    </row>
    <row r="11351" spans="1:8">
      <c r="H11351" t="s">
        <v>29045</v>
      </c>
    </row>
    <row r="11352" spans="1:8">
      <c r="H11352" t="s">
        <v>29046</v>
      </c>
    </row>
    <row r="11353" spans="1:8">
      <c r="H11353" t="s">
        <v>29047</v>
      </c>
    </row>
    <row r="11354" spans="1:8">
      <c r="H11354" t="s">
        <v>29048</v>
      </c>
    </row>
    <row r="11355" spans="1:8">
      <c r="H11355" t="s">
        <v>29049</v>
      </c>
    </row>
    <row r="11356" spans="1:8">
      <c r="H11356" t="s">
        <v>29050</v>
      </c>
    </row>
    <row r="11357" spans="1:8">
      <c r="H11357" t="s">
        <v>29051</v>
      </c>
    </row>
    <row r="11358" spans="1:8">
      <c r="H11358" t="s">
        <v>29052</v>
      </c>
    </row>
    <row r="11359" spans="1:8">
      <c r="H11359" t="s">
        <v>29053</v>
      </c>
    </row>
    <row r="11360" spans="1:8">
      <c r="H11360" t="s">
        <v>29054</v>
      </c>
    </row>
    <row r="11361" spans="1:8">
      <c r="H11361" t="s">
        <v>29055</v>
      </c>
    </row>
    <row r="11362" spans="1:8">
      <c r="H11362" t="s">
        <v>29056</v>
      </c>
    </row>
    <row r="11363" spans="1:8">
      <c r="H11363" t="s">
        <v>29057</v>
      </c>
    </row>
    <row r="11364" spans="1:8">
      <c r="H11364" t="s">
        <v>29058</v>
      </c>
    </row>
    <row r="11365" spans="1:8">
      <c r="H11365" t="s">
        <v>29059</v>
      </c>
    </row>
    <row r="11366" spans="1:8">
      <c r="H11366" t="s">
        <v>29060</v>
      </c>
    </row>
    <row r="11367" spans="1:8">
      <c r="A11367" t="s">
        <v>1572</v>
      </c>
      <c r="B11367">
        <f>HYPERLINK("https://android.googlesource.com/platform/cts/+/132add28bb79b857e866241a858695b933fd9dea", "132add28bb79b857e866241a858695b933fd9dea")</f>
        <v>0</v>
      </c>
      <c r="C11367">
        <f>HYPERLINK("https://android.googlesource.com/platform/cts/+/9ea549238750212c55861b249c4ea66c2a0662c6", "9ea549238750212c55861b249c4ea66c2a0662c6")</f>
        <v>0</v>
      </c>
      <c r="D11367" t="s">
        <v>5221</v>
      </c>
      <c r="E11367" t="s">
        <v>7336</v>
      </c>
      <c r="F11367" t="s">
        <v>13298</v>
      </c>
      <c r="G11367" t="s">
        <v>17434</v>
      </c>
      <c r="H11367" t="s">
        <v>29061</v>
      </c>
    </row>
    <row r="11368" spans="1:8">
      <c r="H11368" t="s">
        <v>29062</v>
      </c>
    </row>
    <row r="11369" spans="1:8">
      <c r="H11369" t="s">
        <v>29063</v>
      </c>
    </row>
    <row r="11370" spans="1:8">
      <c r="H11370" t="s">
        <v>29064</v>
      </c>
    </row>
    <row r="11371" spans="1:8">
      <c r="H11371" t="s">
        <v>29065</v>
      </c>
    </row>
    <row r="11372" spans="1:8">
      <c r="A11372" t="s">
        <v>1573</v>
      </c>
      <c r="B11372">
        <f>HYPERLINK("https://android.googlesource.com/platform/cts/+/651e374d7496f97f955c746c53fce77db5c21fc7", "651e374d7496f97f955c746c53fce77db5c21fc7")</f>
        <v>0</v>
      </c>
      <c r="C11372">
        <f>HYPERLINK("https://android.googlesource.com/platform/cts/+/3eb548948ae9ff26f05f03726586a9e0e0603d62", "3eb548948ae9ff26f05f03726586a9e0e0603d62")</f>
        <v>0</v>
      </c>
      <c r="D11372" t="s">
        <v>4994</v>
      </c>
      <c r="E11372" t="s">
        <v>7337</v>
      </c>
      <c r="F11372" t="s">
        <v>13105</v>
      </c>
      <c r="G11372" t="s">
        <v>17267</v>
      </c>
      <c r="H11372" t="s">
        <v>29070</v>
      </c>
    </row>
    <row r="11373" spans="1:8">
      <c r="F11373" t="s">
        <v>13108</v>
      </c>
      <c r="G11373" t="s">
        <v>17270</v>
      </c>
      <c r="H11373" t="s">
        <v>29071</v>
      </c>
    </row>
    <row r="11374" spans="1:8">
      <c r="H11374" t="s">
        <v>29072</v>
      </c>
    </row>
    <row r="11375" spans="1:8">
      <c r="F11375" t="s">
        <v>13299</v>
      </c>
      <c r="G11375" t="s">
        <v>17435</v>
      </c>
      <c r="H11375" t="s">
        <v>29073</v>
      </c>
    </row>
    <row r="11376" spans="1:8">
      <c r="H11376" t="s">
        <v>29074</v>
      </c>
    </row>
    <row r="11377" spans="1:8">
      <c r="F11377" t="s">
        <v>13113</v>
      </c>
      <c r="G11377" t="s">
        <v>17275</v>
      </c>
      <c r="H11377" t="s">
        <v>29075</v>
      </c>
    </row>
    <row r="11378" spans="1:8">
      <c r="H11378" t="s">
        <v>29076</v>
      </c>
    </row>
    <row r="11379" spans="1:8">
      <c r="F11379" t="s">
        <v>13300</v>
      </c>
      <c r="G11379" t="s">
        <v>17436</v>
      </c>
      <c r="H11379" t="s">
        <v>29073</v>
      </c>
    </row>
    <row r="11380" spans="1:8">
      <c r="F11380" t="s">
        <v>13301</v>
      </c>
      <c r="G11380" t="s">
        <v>17437</v>
      </c>
      <c r="H11380" t="s">
        <v>29075</v>
      </c>
    </row>
    <row r="11381" spans="1:8">
      <c r="H11381" t="s">
        <v>29076</v>
      </c>
    </row>
    <row r="11382" spans="1:8">
      <c r="F11382" t="s">
        <v>10754</v>
      </c>
      <c r="G11382" t="s">
        <v>15152</v>
      </c>
      <c r="H11382" t="s">
        <v>29073</v>
      </c>
    </row>
    <row r="11383" spans="1:8">
      <c r="F11383" t="s">
        <v>13120</v>
      </c>
      <c r="G11383" t="s">
        <v>17282</v>
      </c>
      <c r="H11383" t="s">
        <v>29073</v>
      </c>
    </row>
    <row r="11384" spans="1:8">
      <c r="A11384" t="s">
        <v>1578</v>
      </c>
      <c r="B11384">
        <f>HYPERLINK("https://android.googlesource.com/platform/cts/+/ae9ebfdb0a376e36b80b5d365e2e62d1502530bd", "ae9ebfdb0a376e36b80b5d365e2e62d1502530bd")</f>
        <v>0</v>
      </c>
      <c r="C11384">
        <f>HYPERLINK("https://android.googlesource.com/platform/cts/+/76ef62330b22abc31f9dd9cdaa14ee657328515b", "76ef62330b22abc31f9dd9cdaa14ee657328515b")</f>
        <v>0</v>
      </c>
      <c r="D11384" t="s">
        <v>5239</v>
      </c>
      <c r="E11384" t="s">
        <v>7342</v>
      </c>
      <c r="F11384" t="s">
        <v>10687</v>
      </c>
      <c r="G11384" t="s">
        <v>15087</v>
      </c>
      <c r="H11384" t="s">
        <v>29084</v>
      </c>
    </row>
    <row r="11385" spans="1:8">
      <c r="A11385" t="s">
        <v>1579</v>
      </c>
      <c r="B11385">
        <f>HYPERLINK("https://android.googlesource.com/platform/cts/+/80dd8b16b5907dc8142f519b73bc9836be6684d8", "80dd8b16b5907dc8142f519b73bc9836be6684d8")</f>
        <v>0</v>
      </c>
      <c r="C11385">
        <f>HYPERLINK("https://android.googlesource.com/platform/cts/+/9f1408142475d7f202609fd324467cb373d8abe7", "9f1408142475d7f202609fd324467cb373d8abe7")</f>
        <v>0</v>
      </c>
      <c r="D11385" t="s">
        <v>5146</v>
      </c>
      <c r="E11385" t="s">
        <v>7343</v>
      </c>
      <c r="F11385" t="s">
        <v>13277</v>
      </c>
      <c r="G11385" t="s">
        <v>17414</v>
      </c>
      <c r="H11385" t="s">
        <v>29085</v>
      </c>
    </row>
    <row r="11386" spans="1:8">
      <c r="A11386" t="s">
        <v>1580</v>
      </c>
      <c r="B11386">
        <f>HYPERLINK("https://android.googlesource.com/platform/cts/+/e66e55cc3151a2c3138df76fbf1721821d18398c", "e66e55cc3151a2c3138df76fbf1721821d18398c")</f>
        <v>0</v>
      </c>
      <c r="C11386">
        <f>HYPERLINK("https://android.googlesource.com/platform/cts/+/a0d4982aec29ab2f1d5948560a56e4e38c24b9f4", "a0d4982aec29ab2f1d5948560a56e4e38c24b9f4")</f>
        <v>0</v>
      </c>
      <c r="D11386" t="s">
        <v>5205</v>
      </c>
      <c r="E11386" t="s">
        <v>7344</v>
      </c>
      <c r="F11386" t="s">
        <v>13305</v>
      </c>
      <c r="G11386" t="s">
        <v>17148</v>
      </c>
      <c r="H11386" t="s">
        <v>29088</v>
      </c>
    </row>
    <row r="11387" spans="1:8">
      <c r="A11387" t="s">
        <v>1582</v>
      </c>
      <c r="B11387">
        <f>HYPERLINK("https://android.googlesource.com/platform/cts/+/eec9f23a429b22bfbccbe4781679fedcbb526f7a", "eec9f23a429b22bfbccbe4781679fedcbb526f7a")</f>
        <v>0</v>
      </c>
      <c r="C11387">
        <f>HYPERLINK("https://android.googlesource.com/platform/cts/+/4cdee18aba37aee11a98fa08903e5671099f45a9", "4cdee18aba37aee11a98fa08903e5671099f45a9")</f>
        <v>0</v>
      </c>
      <c r="D11387" t="s">
        <v>5221</v>
      </c>
      <c r="E11387" t="s">
        <v>7346</v>
      </c>
      <c r="F11387" t="s">
        <v>13298</v>
      </c>
      <c r="G11387" t="s">
        <v>17434</v>
      </c>
      <c r="H11387" t="s">
        <v>29089</v>
      </c>
    </row>
    <row r="11388" spans="1:8">
      <c r="A11388" t="s">
        <v>1583</v>
      </c>
      <c r="B11388">
        <f>HYPERLINK("https://android.googlesource.com/platform/cts/+/c21996a3198d8f0cc40759a828ff5ecb343bf281", "c21996a3198d8f0cc40759a828ff5ecb343bf281")</f>
        <v>0</v>
      </c>
      <c r="C11388">
        <f>HYPERLINK("https://android.googlesource.com/platform/cts/+/5625dd670ca4f36967343375f0e7b4875bb1b56d", "5625dd670ca4f36967343375f0e7b4875bb1b56d")</f>
        <v>0</v>
      </c>
      <c r="D11388" t="s">
        <v>5167</v>
      </c>
      <c r="E11388" t="s">
        <v>7347</v>
      </c>
      <c r="F11388" t="s">
        <v>12402</v>
      </c>
      <c r="G11388" t="s">
        <v>16624</v>
      </c>
      <c r="H11388" t="s">
        <v>29090</v>
      </c>
    </row>
    <row r="11389" spans="1:8">
      <c r="H11389" t="s">
        <v>29091</v>
      </c>
    </row>
    <row r="11390" spans="1:8">
      <c r="A11390" t="s">
        <v>1585</v>
      </c>
      <c r="B11390">
        <f>HYPERLINK("https://android.googlesource.com/platform/cts/+/97a8973fe9374294f44d915e9d11a28f57e9adc4", "97a8973fe9374294f44d915e9d11a28f57e9adc4")</f>
        <v>0</v>
      </c>
      <c r="C11390">
        <f>HYPERLINK("https://android.googlesource.com/platform/cts/+/fe2e7b214a5d42dc21ef078cec968bb9e7b5062c", "fe2e7b214a5d42dc21ef078cec968bb9e7b5062c")</f>
        <v>0</v>
      </c>
      <c r="D11390" t="s">
        <v>5167</v>
      </c>
      <c r="E11390" t="s">
        <v>7349</v>
      </c>
      <c r="F11390" t="s">
        <v>12402</v>
      </c>
      <c r="G11390" t="s">
        <v>16624</v>
      </c>
      <c r="H11390" t="s">
        <v>29090</v>
      </c>
    </row>
    <row r="11391" spans="1:8">
      <c r="H11391" t="s">
        <v>29091</v>
      </c>
    </row>
    <row r="11392" spans="1:8">
      <c r="A11392" t="s">
        <v>1586</v>
      </c>
      <c r="B11392">
        <f>HYPERLINK("https://android.googlesource.com/platform/cts/+/0bbc76997e8205fe8b93e6b875c19ed1993f5a75", "0bbc76997e8205fe8b93e6b875c19ed1993f5a75")</f>
        <v>0</v>
      </c>
      <c r="C11392">
        <f>HYPERLINK("https://android.googlesource.com/platform/cts/+/829b934ca4b4dd88d312ccb41af3ef2b44cf68e0", "829b934ca4b4dd88d312ccb41af3ef2b44cf68e0")</f>
        <v>0</v>
      </c>
      <c r="D11392" t="s">
        <v>5141</v>
      </c>
      <c r="E11392" t="s">
        <v>7350</v>
      </c>
      <c r="F11392" t="s">
        <v>13121</v>
      </c>
      <c r="G11392" t="s">
        <v>17283</v>
      </c>
      <c r="H11392" t="s">
        <v>29095</v>
      </c>
    </row>
    <row r="11393" spans="1:8">
      <c r="F11393" t="s">
        <v>13306</v>
      </c>
      <c r="G11393" t="s">
        <v>17440</v>
      </c>
      <c r="H11393" t="s">
        <v>18835</v>
      </c>
    </row>
    <row r="11394" spans="1:8">
      <c r="H11394" t="s">
        <v>29096</v>
      </c>
    </row>
    <row r="11395" spans="1:8">
      <c r="H11395" t="s">
        <v>29097</v>
      </c>
    </row>
    <row r="11396" spans="1:8">
      <c r="A11396" t="s">
        <v>1587</v>
      </c>
      <c r="B11396">
        <f>HYPERLINK("https://android.googlesource.com/platform/cts/+/fa00c81e658f7ad149f16f0f021bf9924578ea60", "fa00c81e658f7ad149f16f0f021bf9924578ea60")</f>
        <v>0</v>
      </c>
      <c r="C11396">
        <f>HYPERLINK("https://android.googlesource.com/platform/cts/+/2c4fc540e0e4cbbe67122d66aee957a02aec4274", "2c4fc540e0e4cbbe67122d66aee957a02aec4274")</f>
        <v>0</v>
      </c>
      <c r="D11396" t="s">
        <v>4978</v>
      </c>
      <c r="E11396" t="s">
        <v>7351</v>
      </c>
      <c r="F11396" t="s">
        <v>13307</v>
      </c>
      <c r="G11396" t="s">
        <v>16817</v>
      </c>
      <c r="H11396" t="s">
        <v>29100</v>
      </c>
    </row>
    <row r="11397" spans="1:8">
      <c r="A11397" t="s">
        <v>1595</v>
      </c>
      <c r="B11397">
        <f>HYPERLINK("https://android.googlesource.com/platform/cts/+/3a51173a3a762b576dd3c0d29c883e8763a9f95b", "3a51173a3a762b576dd3c0d29c883e8763a9f95b")</f>
        <v>0</v>
      </c>
      <c r="C11397">
        <f>HYPERLINK("https://android.googlesource.com/platform/cts/+/eb6e330495e48493247cd6f5dd06698d74cb585d", "eb6e330495e48493247cd6f5dd06698d74cb585d")</f>
        <v>0</v>
      </c>
      <c r="D11397" t="s">
        <v>5242</v>
      </c>
      <c r="E11397" t="s">
        <v>7356</v>
      </c>
      <c r="F11397" t="s">
        <v>13309</v>
      </c>
      <c r="G11397" t="s">
        <v>17442</v>
      </c>
      <c r="H11397" t="s">
        <v>29102</v>
      </c>
    </row>
    <row r="11398" spans="1:8">
      <c r="H11398" t="s">
        <v>29103</v>
      </c>
    </row>
    <row r="11399" spans="1:8">
      <c r="A11399" t="s">
        <v>1600</v>
      </c>
      <c r="B11399">
        <f>HYPERLINK("https://android.googlesource.com/platform/cts/+/4704484d8f314b8879c7e1c659deec2b774f0902", "4704484d8f314b8879c7e1c659deec2b774f0902")</f>
        <v>0</v>
      </c>
      <c r="C11399">
        <f>HYPERLINK("https://android.googlesource.com/platform/cts/+/e19e0b274b15640731746916df2e83156d87f165", "e19e0b274b15640731746916df2e83156d87f165")</f>
        <v>0</v>
      </c>
      <c r="D11399" t="s">
        <v>5141</v>
      </c>
      <c r="E11399" t="s">
        <v>7361</v>
      </c>
      <c r="F11399" t="s">
        <v>13245</v>
      </c>
      <c r="G11399" t="s">
        <v>17385</v>
      </c>
      <c r="H11399" t="s">
        <v>18835</v>
      </c>
    </row>
    <row r="11400" spans="1:8">
      <c r="H11400" t="s">
        <v>29106</v>
      </c>
    </row>
    <row r="11401" spans="1:8">
      <c r="A11401" t="s">
        <v>1606</v>
      </c>
      <c r="B11401">
        <f>HYPERLINK("https://android.googlesource.com/platform/cts/+/bf1931551bb500f36ac35aeb1e2d098d2a14e87d", "bf1931551bb500f36ac35aeb1e2d098d2a14e87d")</f>
        <v>0</v>
      </c>
      <c r="C11401">
        <f>HYPERLINK("https://android.googlesource.com/platform/cts/+/3d442a2c83119052e291987cd865b2522be94417", "3d442a2c83119052e291987cd865b2522be94417")</f>
        <v>0</v>
      </c>
      <c r="D11401" t="s">
        <v>4994</v>
      </c>
      <c r="E11401" t="s">
        <v>7367</v>
      </c>
      <c r="F11401" t="s">
        <v>10627</v>
      </c>
      <c r="G11401" t="s">
        <v>15030</v>
      </c>
      <c r="H11401" t="s">
        <v>29129</v>
      </c>
    </row>
    <row r="11402" spans="1:8">
      <c r="A11402" t="s">
        <v>1607</v>
      </c>
      <c r="B11402">
        <f>HYPERLINK("https://android.googlesource.com/platform/cts/+/1a51e0490717cbbc9719ba76074a32eba6554d0b", "1a51e0490717cbbc9719ba76074a32eba6554d0b")</f>
        <v>0</v>
      </c>
      <c r="C11402">
        <f>HYPERLINK("https://android.googlesource.com/platform/cts/+/2227b6ad4e3987bf498ec2af84a1b9b047e46d23", "2227b6ad4e3987bf498ec2af84a1b9b047e46d23")</f>
        <v>0</v>
      </c>
      <c r="D11402" t="s">
        <v>4994</v>
      </c>
      <c r="E11402" t="s">
        <v>7368</v>
      </c>
      <c r="F11402" t="s">
        <v>10627</v>
      </c>
      <c r="G11402" t="s">
        <v>15030</v>
      </c>
      <c r="H11402" t="s">
        <v>29130</v>
      </c>
    </row>
    <row r="11403" spans="1:8">
      <c r="A11403" t="s">
        <v>1612</v>
      </c>
      <c r="B11403">
        <f>HYPERLINK("https://android.googlesource.com/platform/cts/+/d5ddcc51caeecd5ca89f56b29242ee22248efbaf", "d5ddcc51caeecd5ca89f56b29242ee22248efbaf")</f>
        <v>0</v>
      </c>
      <c r="C11403">
        <f>HYPERLINK("https://android.googlesource.com/platform/cts/+/387c3fddcb28a357b2af54a010fd851cfa1e87ef", "387c3fddcb28a357b2af54a010fd851cfa1e87ef")</f>
        <v>0</v>
      </c>
      <c r="D11403" t="s">
        <v>4994</v>
      </c>
      <c r="E11403" t="s">
        <v>7373</v>
      </c>
      <c r="F11403" t="s">
        <v>13315</v>
      </c>
      <c r="G11403" t="s">
        <v>17446</v>
      </c>
      <c r="H11403" t="s">
        <v>29142</v>
      </c>
    </row>
    <row r="11404" spans="1:8">
      <c r="H11404" t="s">
        <v>29143</v>
      </c>
    </row>
    <row r="11405" spans="1:8">
      <c r="H11405" t="s">
        <v>29144</v>
      </c>
    </row>
    <row r="11406" spans="1:8">
      <c r="F11406" t="s">
        <v>12336</v>
      </c>
      <c r="G11406" t="s">
        <v>16564</v>
      </c>
      <c r="H11406" t="s">
        <v>29145</v>
      </c>
    </row>
    <row r="11407" spans="1:8">
      <c r="A11407" t="s">
        <v>1613</v>
      </c>
      <c r="B11407">
        <f>HYPERLINK("https://android.googlesource.com/platform/cts/+/d09f0795c44bf98fbba6f28e62b86aa0ce536648", "d09f0795c44bf98fbba6f28e62b86aa0ce536648")</f>
        <v>0</v>
      </c>
      <c r="C11407">
        <f>HYPERLINK("https://android.googlesource.com/platform/cts/+/9ba11729349ba2572cd751974c76d72860dc4159", "9ba11729349ba2572cd751974c76d72860dc4159")</f>
        <v>0</v>
      </c>
      <c r="D11407" t="s">
        <v>5146</v>
      </c>
      <c r="E11407" t="s">
        <v>7374</v>
      </c>
      <c r="F11407" t="s">
        <v>12803</v>
      </c>
      <c r="G11407" t="s">
        <v>16985</v>
      </c>
      <c r="H11407" t="s">
        <v>29148</v>
      </c>
    </row>
    <row r="11408" spans="1:8">
      <c r="A11408" t="s">
        <v>1618</v>
      </c>
      <c r="B11408">
        <f>HYPERLINK("https://android.googlesource.com/platform/cts/+/c27fcc2b4804a1869f178fb0eef68ff53b94eac9", "c27fcc2b4804a1869f178fb0eef68ff53b94eac9")</f>
        <v>0</v>
      </c>
      <c r="C11408">
        <f>HYPERLINK("https://android.googlesource.com/platform/cts/+/d6a61e047471a52019df334e69d04b5ca90703ad", "d6a61e047471a52019df334e69d04b5ca90703ad")</f>
        <v>0</v>
      </c>
      <c r="D11408" t="s">
        <v>5247</v>
      </c>
      <c r="E11408" t="s">
        <v>7379</v>
      </c>
      <c r="F11408" t="s">
        <v>10659</v>
      </c>
      <c r="G11408" t="s">
        <v>15060</v>
      </c>
      <c r="H11408" t="s">
        <v>29152</v>
      </c>
    </row>
    <row r="11409" spans="1:8">
      <c r="H11409" t="s">
        <v>29153</v>
      </c>
    </row>
    <row r="11410" spans="1:8">
      <c r="H11410" t="s">
        <v>29154</v>
      </c>
    </row>
    <row r="11411" spans="1:8">
      <c r="A11411" t="s">
        <v>1624</v>
      </c>
      <c r="B11411">
        <f>HYPERLINK("https://android.googlesource.com/platform/cts/+/86c62b976108d4e302ac59834bbac5004e6279bd", "86c62b976108d4e302ac59834bbac5004e6279bd")</f>
        <v>0</v>
      </c>
      <c r="C11411">
        <f>HYPERLINK("https://android.googlesource.com/platform/cts/+/2a4aeb16e29061d358cfbf9a03a052ddb41e800a", "2a4aeb16e29061d358cfbf9a03a052ddb41e800a")</f>
        <v>0</v>
      </c>
      <c r="D11411" t="s">
        <v>5146</v>
      </c>
      <c r="E11411" t="s">
        <v>7385</v>
      </c>
      <c r="F11411" t="s">
        <v>13318</v>
      </c>
      <c r="G11411" t="s">
        <v>17449</v>
      </c>
      <c r="H11411" t="s">
        <v>29164</v>
      </c>
    </row>
    <row r="11412" spans="1:8">
      <c r="A11412" t="s">
        <v>1627</v>
      </c>
      <c r="B11412">
        <f>HYPERLINK("https://android.googlesource.com/platform/cts/+/883fccda545906be3db121bc6b2420790747f99f", "883fccda545906be3db121bc6b2420790747f99f")</f>
        <v>0</v>
      </c>
      <c r="C11412">
        <f>HYPERLINK("https://android.googlesource.com/platform/cts/+/b46dc4767cdaa44992c2083c915d28cb1a94cc96", "b46dc4767cdaa44992c2083c915d28cb1a94cc96")</f>
        <v>0</v>
      </c>
      <c r="D11412" t="s">
        <v>5249</v>
      </c>
      <c r="E11412" t="s">
        <v>7388</v>
      </c>
      <c r="F11412" t="s">
        <v>13320</v>
      </c>
      <c r="G11412" t="s">
        <v>17451</v>
      </c>
      <c r="H11412" t="s">
        <v>29170</v>
      </c>
    </row>
    <row r="11413" spans="1:8">
      <c r="A11413" t="s">
        <v>1629</v>
      </c>
      <c r="B11413">
        <f>HYPERLINK("https://android.googlesource.com/platform/cts/+/4938b4d5ef8f2246784e919113331420ae541208", "4938b4d5ef8f2246784e919113331420ae541208")</f>
        <v>0</v>
      </c>
      <c r="C11413">
        <f>HYPERLINK("https://android.googlesource.com/platform/cts/+/12644d30d10a3c25826cd4b2f0a20bc645d464a5", "12644d30d10a3c25826cd4b2f0a20bc645d464a5")</f>
        <v>0</v>
      </c>
      <c r="D11413" t="s">
        <v>4952</v>
      </c>
      <c r="E11413" t="s">
        <v>7390</v>
      </c>
      <c r="F11413" t="s">
        <v>12222</v>
      </c>
      <c r="G11413" t="s">
        <v>16452</v>
      </c>
      <c r="H11413" t="s">
        <v>29172</v>
      </c>
    </row>
    <row r="11414" spans="1:8">
      <c r="A11414" t="s">
        <v>1632</v>
      </c>
      <c r="B11414">
        <f>HYPERLINK("https://android.googlesource.com/platform/cts/+/86acc4015bd61a081ca8b79f22ab471ca0e9e4f7", "86acc4015bd61a081ca8b79f22ab471ca0e9e4f7")</f>
        <v>0</v>
      </c>
      <c r="C11414">
        <f>HYPERLINK("https://android.googlesource.com/platform/cts/+/ed6a097fa82e6ce3eb30ed85d65fd229ac6dded8", "ed6a097fa82e6ce3eb30ed85d65fd229ac6dded8")</f>
        <v>0</v>
      </c>
      <c r="D11414" t="s">
        <v>5216</v>
      </c>
      <c r="E11414" t="s">
        <v>7393</v>
      </c>
      <c r="F11414" t="s">
        <v>13324</v>
      </c>
      <c r="G11414" t="s">
        <v>17455</v>
      </c>
      <c r="H11414" t="s">
        <v>29182</v>
      </c>
    </row>
    <row r="11415" spans="1:8">
      <c r="H11415" t="s">
        <v>29183</v>
      </c>
    </row>
    <row r="11416" spans="1:8">
      <c r="A11416" t="s">
        <v>1634</v>
      </c>
      <c r="B11416">
        <f>HYPERLINK("https://android.googlesource.com/platform/cts/+/773de498feb509c58075b5655749497b9edf09ab", "773de498feb509c58075b5655749497b9edf09ab")</f>
        <v>0</v>
      </c>
      <c r="C11416">
        <f>HYPERLINK("https://android.googlesource.com/platform/cts/+/5117a58ddd340b64c294fa98a9f0691678edd8bd", "5117a58ddd340b64c294fa98a9f0691678edd8bd")</f>
        <v>0</v>
      </c>
      <c r="D11416" t="s">
        <v>5169</v>
      </c>
      <c r="E11416" t="s">
        <v>7395</v>
      </c>
      <c r="F11416" t="s">
        <v>12895</v>
      </c>
      <c r="G11416" t="s">
        <v>17062</v>
      </c>
      <c r="H11416" t="s">
        <v>29185</v>
      </c>
    </row>
    <row r="11417" spans="1:8">
      <c r="H11417" t="s">
        <v>29186</v>
      </c>
    </row>
    <row r="11418" spans="1:8">
      <c r="H11418" t="s">
        <v>29187</v>
      </c>
    </row>
    <row r="11419" spans="1:8">
      <c r="H11419" t="s">
        <v>29188</v>
      </c>
    </row>
    <row r="11420" spans="1:8">
      <c r="H11420" t="s">
        <v>29189</v>
      </c>
    </row>
    <row r="11421" spans="1:8">
      <c r="H11421" t="s">
        <v>29190</v>
      </c>
    </row>
    <row r="11422" spans="1:8">
      <c r="H11422" t="s">
        <v>29191</v>
      </c>
    </row>
    <row r="11423" spans="1:8">
      <c r="H11423" t="s">
        <v>29192</v>
      </c>
    </row>
    <row r="11424" spans="1:8">
      <c r="H11424" t="s">
        <v>29193</v>
      </c>
    </row>
    <row r="11425" spans="1:8">
      <c r="H11425" t="s">
        <v>29194</v>
      </c>
    </row>
    <row r="11426" spans="1:8">
      <c r="H11426" t="s">
        <v>29195</v>
      </c>
    </row>
    <row r="11427" spans="1:8">
      <c r="H11427" t="s">
        <v>29196</v>
      </c>
    </row>
    <row r="11428" spans="1:8">
      <c r="H11428" t="s">
        <v>29197</v>
      </c>
    </row>
    <row r="11429" spans="1:8">
      <c r="H11429" t="s">
        <v>29198</v>
      </c>
    </row>
    <row r="11430" spans="1:8">
      <c r="A11430" t="s">
        <v>1635</v>
      </c>
      <c r="B11430">
        <f>HYPERLINK("https://android.googlesource.com/platform/cts/+/d3e185ac001ba84d0efa5be69dbfdd328c759cf3", "d3e185ac001ba84d0efa5be69dbfdd328c759cf3")</f>
        <v>0</v>
      </c>
      <c r="C11430">
        <f>HYPERLINK("https://android.googlesource.com/platform/cts/+/9aca2a73bfc04c9443a7d3b04a0b796f5f06891a", "9aca2a73bfc04c9443a7d3b04a0b796f5f06891a")</f>
        <v>0</v>
      </c>
      <c r="D11430" t="s">
        <v>5163</v>
      </c>
      <c r="E11430" t="s">
        <v>7396</v>
      </c>
      <c r="F11430" t="s">
        <v>13325</v>
      </c>
      <c r="G11430" t="s">
        <v>17456</v>
      </c>
      <c r="H11430" t="s">
        <v>29203</v>
      </c>
    </row>
    <row r="11431" spans="1:8">
      <c r="A11431" t="s">
        <v>1636</v>
      </c>
      <c r="B11431">
        <f>HYPERLINK("https://android.googlesource.com/platform/cts/+/274f3552effd7d59ff0ee2ced9fc5872541eba9f", "274f3552effd7d59ff0ee2ced9fc5872541eba9f")</f>
        <v>0</v>
      </c>
      <c r="C11431">
        <f>HYPERLINK("https://android.googlesource.com/platform/cts/+/8f43b55c939164fa93bc06c34ca1b2af04d0fee7", "8f43b55c939164fa93bc06c34ca1b2af04d0fee7")</f>
        <v>0</v>
      </c>
      <c r="D11431" t="s">
        <v>5250</v>
      </c>
      <c r="E11431" t="s">
        <v>7397</v>
      </c>
      <c r="F11431" t="s">
        <v>10625</v>
      </c>
      <c r="G11431" t="s">
        <v>15028</v>
      </c>
      <c r="H11431" t="s">
        <v>29216</v>
      </c>
    </row>
    <row r="11432" spans="1:8">
      <c r="A11432" t="s">
        <v>1644</v>
      </c>
      <c r="B11432">
        <f>HYPERLINK("https://android.googlesource.com/platform/cts/+/48f1a7bd20f5287061b80149cf4fe1ff0b4d4f13", "48f1a7bd20f5287061b80149cf4fe1ff0b4d4f13")</f>
        <v>0</v>
      </c>
      <c r="C11432">
        <f>HYPERLINK("https://android.googlesource.com/platform/cts/+/e8ddc79ad79915cb7df91841a42d9536220e86db", "e8ddc79ad79915cb7df91841a42d9536220e86db")</f>
        <v>0</v>
      </c>
      <c r="D11432" t="s">
        <v>5252</v>
      </c>
      <c r="E11432" t="s">
        <v>7405</v>
      </c>
      <c r="F11432" t="s">
        <v>13330</v>
      </c>
      <c r="G11432" t="s">
        <v>17460</v>
      </c>
      <c r="H11432" t="s">
        <v>29224</v>
      </c>
    </row>
    <row r="11433" spans="1:8">
      <c r="A11433" t="s">
        <v>1647</v>
      </c>
      <c r="B11433">
        <f>HYPERLINK("https://android.googlesource.com/platform/cts/+/c6b8a08f4356649e1ab9f0a043622bdfe4d34c20", "c6b8a08f4356649e1ab9f0a043622bdfe4d34c20")</f>
        <v>0</v>
      </c>
      <c r="C11433">
        <f>HYPERLINK("https://android.googlesource.com/platform/cts/+/58a88d15d921b2ef3a36366cb456fc07e5449c8b", "58a88d15d921b2ef3a36366cb456fc07e5449c8b")</f>
        <v>0</v>
      </c>
      <c r="D11433" t="s">
        <v>4981</v>
      </c>
      <c r="E11433" t="s">
        <v>7408</v>
      </c>
      <c r="F11433" t="s">
        <v>13261</v>
      </c>
      <c r="G11433" t="s">
        <v>17399</v>
      </c>
      <c r="H11433" t="s">
        <v>29231</v>
      </c>
    </row>
    <row r="11434" spans="1:8">
      <c r="A11434" t="s">
        <v>1652</v>
      </c>
      <c r="B11434">
        <f>HYPERLINK("https://android.googlesource.com/platform/cts/+/5a69a63bd4f5a9533312c09f00bdd0404620b1f9", "5a69a63bd4f5a9533312c09f00bdd0404620b1f9")</f>
        <v>0</v>
      </c>
      <c r="C11434">
        <f>HYPERLINK("https://android.googlesource.com/platform/cts/+/66562c058c978be66d333f7a641cb7959049e0ba", "66562c058c978be66d333f7a641cb7959049e0ba")</f>
        <v>0</v>
      </c>
      <c r="D11434" t="s">
        <v>4974</v>
      </c>
      <c r="E11434" t="s">
        <v>7413</v>
      </c>
      <c r="F11434" t="s">
        <v>12710</v>
      </c>
      <c r="G11434" t="s">
        <v>16911</v>
      </c>
      <c r="H11434" t="s">
        <v>29256</v>
      </c>
    </row>
    <row r="11435" spans="1:8">
      <c r="H11435" t="s">
        <v>29257</v>
      </c>
    </row>
    <row r="11436" spans="1:8">
      <c r="H11436" t="s">
        <v>29258</v>
      </c>
    </row>
    <row r="11437" spans="1:8">
      <c r="A11437" t="s">
        <v>1654</v>
      </c>
      <c r="B11437">
        <f>HYPERLINK("https://android.googlesource.com/platform/cts/+/74e17361be356ff8a46c96989f4e67a34e345ce4", "74e17361be356ff8a46c96989f4e67a34e345ce4")</f>
        <v>0</v>
      </c>
      <c r="C11437">
        <f>HYPERLINK("https://android.googlesource.com/platform/cts/+/6c11e6dd7b660544650fb8fbccb924b75b227a74", "6c11e6dd7b660544650fb8fbccb924b75b227a74")</f>
        <v>0</v>
      </c>
      <c r="D11437" t="s">
        <v>5132</v>
      </c>
      <c r="E11437" t="s">
        <v>7414</v>
      </c>
      <c r="F11437" t="s">
        <v>13338</v>
      </c>
      <c r="G11437" t="s">
        <v>17468</v>
      </c>
      <c r="H11437" t="s">
        <v>29262</v>
      </c>
    </row>
    <row r="11438" spans="1:8">
      <c r="A11438" t="s">
        <v>1656</v>
      </c>
      <c r="B11438">
        <f>HYPERLINK("https://android.googlesource.com/platform/cts/+/5148a3338ec3e0833d49047f8d478776b6686ad0", "5148a3338ec3e0833d49047f8d478776b6686ad0")</f>
        <v>0</v>
      </c>
      <c r="C11438">
        <f>HYPERLINK("https://android.googlesource.com/platform/cts/+/02c12dde10d73f9a17a0e7fd957094ecb0f4678e", "02c12dde10d73f9a17a0e7fd957094ecb0f4678e")</f>
        <v>0</v>
      </c>
      <c r="D11438" t="s">
        <v>5239</v>
      </c>
      <c r="E11438" t="s">
        <v>7416</v>
      </c>
      <c r="F11438" t="s">
        <v>10687</v>
      </c>
      <c r="G11438" t="s">
        <v>15087</v>
      </c>
      <c r="H11438" t="s">
        <v>29084</v>
      </c>
    </row>
    <row r="11439" spans="1:8">
      <c r="A11439" t="s">
        <v>1658</v>
      </c>
      <c r="B11439">
        <f>HYPERLINK("https://android.googlesource.com/platform/cts/+/5384ec0341ad4a8110bf4fd80c76d667618f8706", "5384ec0341ad4a8110bf4fd80c76d667618f8706")</f>
        <v>0</v>
      </c>
      <c r="C11439">
        <f>HYPERLINK("https://android.googlesource.com/platform/cts/+/5513323484daba314c3715aa5a4b2532a2fe5417", "5513323484daba314c3715aa5a4b2532a2fe5417")</f>
        <v>0</v>
      </c>
      <c r="D11439" t="s">
        <v>4974</v>
      </c>
      <c r="E11439" t="s">
        <v>7418</v>
      </c>
      <c r="F11439" t="s">
        <v>12710</v>
      </c>
      <c r="G11439" t="s">
        <v>16911</v>
      </c>
      <c r="H11439" t="s">
        <v>29267</v>
      </c>
    </row>
    <row r="11440" spans="1:8">
      <c r="A11440" t="s">
        <v>1660</v>
      </c>
      <c r="B11440">
        <f>HYPERLINK("https://android.googlesource.com/platform/cts/+/67d8501d4667cba8a6e2ddc64f3db54880831d2f", "67d8501d4667cba8a6e2ddc64f3db54880831d2f")</f>
        <v>0</v>
      </c>
      <c r="C11440">
        <f>HYPERLINK("https://android.googlesource.com/platform/cts/+/17415fa2106275cddf97b9f0ce6361cca1088a88", "17415fa2106275cddf97b9f0ce6361cca1088a88")</f>
        <v>0</v>
      </c>
      <c r="D11440" t="s">
        <v>5125</v>
      </c>
      <c r="E11440" t="s">
        <v>7420</v>
      </c>
      <c r="F11440" t="s">
        <v>13340</v>
      </c>
      <c r="G11440" t="s">
        <v>16431</v>
      </c>
      <c r="H11440" t="s">
        <v>21245</v>
      </c>
    </row>
    <row r="11441" spans="6:8">
      <c r="H11441" t="s">
        <v>21246</v>
      </c>
    </row>
    <row r="11442" spans="6:8">
      <c r="F11442" t="s">
        <v>10722</v>
      </c>
      <c r="G11442" t="s">
        <v>15121</v>
      </c>
      <c r="H11442" t="s">
        <v>18836</v>
      </c>
    </row>
    <row r="11443" spans="6:8">
      <c r="H11443" t="s">
        <v>29268</v>
      </c>
    </row>
    <row r="11444" spans="6:8">
      <c r="H11444" t="s">
        <v>29269</v>
      </c>
    </row>
    <row r="11445" spans="6:8">
      <c r="H11445" t="s">
        <v>29270</v>
      </c>
    </row>
    <row r="11446" spans="6:8">
      <c r="H11446" t="s">
        <v>29271</v>
      </c>
    </row>
    <row r="11447" spans="6:8">
      <c r="H11447" t="s">
        <v>29272</v>
      </c>
    </row>
    <row r="11448" spans="6:8">
      <c r="H11448" t="s">
        <v>29273</v>
      </c>
    </row>
    <row r="11449" spans="6:8">
      <c r="H11449" t="s">
        <v>29274</v>
      </c>
    </row>
    <row r="11450" spans="6:8">
      <c r="H11450" t="s">
        <v>29275</v>
      </c>
    </row>
    <row r="11451" spans="6:8">
      <c r="H11451" t="s">
        <v>29276</v>
      </c>
    </row>
    <row r="11452" spans="6:8">
      <c r="H11452" t="s">
        <v>29277</v>
      </c>
    </row>
    <row r="11453" spans="6:8">
      <c r="H11453" t="s">
        <v>29278</v>
      </c>
    </row>
    <row r="11454" spans="6:8">
      <c r="H11454" t="s">
        <v>29279</v>
      </c>
    </row>
    <row r="11455" spans="6:8">
      <c r="H11455" t="s">
        <v>29280</v>
      </c>
    </row>
    <row r="11456" spans="6:8">
      <c r="H11456" t="s">
        <v>29281</v>
      </c>
    </row>
    <row r="11457" spans="6:8">
      <c r="H11457" t="s">
        <v>29282</v>
      </c>
    </row>
    <row r="11458" spans="6:8">
      <c r="H11458" t="s">
        <v>29283</v>
      </c>
    </row>
    <row r="11459" spans="6:8">
      <c r="H11459" t="s">
        <v>29284</v>
      </c>
    </row>
    <row r="11460" spans="6:8">
      <c r="H11460" t="s">
        <v>29285</v>
      </c>
    </row>
    <row r="11461" spans="6:8">
      <c r="H11461" t="s">
        <v>29286</v>
      </c>
    </row>
    <row r="11462" spans="6:8">
      <c r="H11462" t="s">
        <v>29287</v>
      </c>
    </row>
    <row r="11463" spans="6:8">
      <c r="H11463" t="s">
        <v>29288</v>
      </c>
    </row>
    <row r="11464" spans="6:8">
      <c r="H11464" t="s">
        <v>29289</v>
      </c>
    </row>
    <row r="11465" spans="6:8">
      <c r="H11465" t="s">
        <v>19220</v>
      </c>
    </row>
    <row r="11466" spans="6:8">
      <c r="H11466" t="s">
        <v>19258</v>
      </c>
    </row>
    <row r="11467" spans="6:8">
      <c r="H11467" t="s">
        <v>18979</v>
      </c>
    </row>
    <row r="11468" spans="6:8">
      <c r="F11468" t="s">
        <v>13090</v>
      </c>
      <c r="G11468" t="s">
        <v>17252</v>
      </c>
      <c r="H11468" t="s">
        <v>29306</v>
      </c>
    </row>
    <row r="11469" spans="6:8">
      <c r="F11469" t="s">
        <v>11471</v>
      </c>
      <c r="G11469" t="s">
        <v>15711</v>
      </c>
      <c r="H11469" t="s">
        <v>29316</v>
      </c>
    </row>
    <row r="11470" spans="6:8">
      <c r="H11470" t="s">
        <v>29317</v>
      </c>
    </row>
    <row r="11471" spans="6:8">
      <c r="H11471" t="s">
        <v>29318</v>
      </c>
    </row>
    <row r="11472" spans="6:8">
      <c r="H11472" t="s">
        <v>29319</v>
      </c>
    </row>
    <row r="11473" spans="6:8">
      <c r="H11473" t="s">
        <v>29320</v>
      </c>
    </row>
    <row r="11474" spans="6:8">
      <c r="H11474" t="s">
        <v>29321</v>
      </c>
    </row>
    <row r="11475" spans="6:8">
      <c r="H11475" t="s">
        <v>29322</v>
      </c>
    </row>
    <row r="11476" spans="6:8">
      <c r="H11476" t="s">
        <v>29323</v>
      </c>
    </row>
    <row r="11477" spans="6:8">
      <c r="H11477" t="s">
        <v>29325</v>
      </c>
    </row>
    <row r="11478" spans="6:8">
      <c r="H11478" t="s">
        <v>29326</v>
      </c>
    </row>
    <row r="11479" spans="6:8">
      <c r="H11479" t="s">
        <v>29327</v>
      </c>
    </row>
    <row r="11480" spans="6:8">
      <c r="H11480" t="s">
        <v>29328</v>
      </c>
    </row>
    <row r="11481" spans="6:8">
      <c r="F11481" t="s">
        <v>13091</v>
      </c>
      <c r="G11481" t="s">
        <v>17253</v>
      </c>
      <c r="H11481" t="s">
        <v>29329</v>
      </c>
    </row>
    <row r="11482" spans="6:8">
      <c r="H11482" t="s">
        <v>29330</v>
      </c>
    </row>
    <row r="11483" spans="6:8">
      <c r="F11483" t="s">
        <v>10746</v>
      </c>
      <c r="G11483" t="s">
        <v>15145</v>
      </c>
      <c r="H11483" t="s">
        <v>29331</v>
      </c>
    </row>
    <row r="11484" spans="6:8">
      <c r="F11484" t="s">
        <v>13081</v>
      </c>
      <c r="G11484" t="s">
        <v>17243</v>
      </c>
      <c r="H11484" t="s">
        <v>27720</v>
      </c>
    </row>
    <row r="11485" spans="6:8">
      <c r="H11485" t="s">
        <v>29336</v>
      </c>
    </row>
    <row r="11486" spans="6:8">
      <c r="H11486" t="s">
        <v>29337</v>
      </c>
    </row>
    <row r="11487" spans="6:8">
      <c r="H11487" t="s">
        <v>29338</v>
      </c>
    </row>
    <row r="11488" spans="6:8">
      <c r="H11488" t="s">
        <v>29339</v>
      </c>
    </row>
    <row r="11489" spans="1:8">
      <c r="F11489" t="s">
        <v>13338</v>
      </c>
      <c r="G11489" t="s">
        <v>17468</v>
      </c>
      <c r="H11489" t="s">
        <v>29341</v>
      </c>
    </row>
    <row r="11490" spans="1:8">
      <c r="F11490" t="s">
        <v>12857</v>
      </c>
      <c r="G11490" t="s">
        <v>17027</v>
      </c>
      <c r="H11490" t="s">
        <v>29342</v>
      </c>
    </row>
    <row r="11491" spans="1:8">
      <c r="H11491" t="s">
        <v>29343</v>
      </c>
    </row>
    <row r="11492" spans="1:8">
      <c r="H11492" t="s">
        <v>29344</v>
      </c>
    </row>
    <row r="11493" spans="1:8">
      <c r="H11493" t="s">
        <v>29345</v>
      </c>
    </row>
    <row r="11494" spans="1:8">
      <c r="A11494" t="s">
        <v>1661</v>
      </c>
      <c r="B11494">
        <f>HYPERLINK("https://android.googlesource.com/platform/cts/+/39a3a6f8fe03d18a497d358859fe031be1971381", "39a3a6f8fe03d18a497d358859fe031be1971381")</f>
        <v>0</v>
      </c>
      <c r="C11494">
        <f>HYPERLINK("https://android.googlesource.com/platform/cts/+/66f165a05785e7e010e0e62db0e7d103ba255ff2", "66f165a05785e7e010e0e62db0e7d103ba255ff2")</f>
        <v>0</v>
      </c>
      <c r="D11494" t="s">
        <v>4952</v>
      </c>
      <c r="E11494" t="s">
        <v>7421</v>
      </c>
      <c r="F11494" t="s">
        <v>12222</v>
      </c>
      <c r="G11494" t="s">
        <v>16452</v>
      </c>
      <c r="H11494" t="s">
        <v>29172</v>
      </c>
    </row>
    <row r="11495" spans="1:8">
      <c r="A11495" t="s">
        <v>1663</v>
      </c>
      <c r="B11495">
        <f>HYPERLINK("https://android.googlesource.com/platform/cts/+/94cf78b794bab790856b75dc4e285a73794182a6", "94cf78b794bab790856b75dc4e285a73794182a6")</f>
        <v>0</v>
      </c>
      <c r="C11495">
        <f>HYPERLINK("https://android.googlesource.com/platform/cts/+/42bc75bd71d6aa4572bfde94ca1e00bfaae86bd7", "42bc75bd71d6aa4572bfde94ca1e00bfaae86bd7")</f>
        <v>0</v>
      </c>
      <c r="D11495" t="s">
        <v>5176</v>
      </c>
      <c r="E11495" t="s">
        <v>7423</v>
      </c>
      <c r="F11495" t="s">
        <v>12953</v>
      </c>
      <c r="G11495" t="s">
        <v>17118</v>
      </c>
      <c r="H11495" t="s">
        <v>29346</v>
      </c>
    </row>
    <row r="11496" spans="1:8">
      <c r="A11496" t="s">
        <v>1664</v>
      </c>
      <c r="B11496">
        <f>HYPERLINK("https://android.googlesource.com/platform/cts/+/feea9012c87cdb04e563c0cd28daea315617e6db", "feea9012c87cdb04e563c0cd28daea315617e6db")</f>
        <v>0</v>
      </c>
      <c r="C11496">
        <f>HYPERLINK("https://android.googlesource.com/platform/cts/+/2fdac95fe1f450f11774c97f23f626b5a12a646a", "2fdac95fe1f450f11774c97f23f626b5a12a646a")</f>
        <v>0</v>
      </c>
      <c r="D11496" t="s">
        <v>5244</v>
      </c>
      <c r="E11496" t="s">
        <v>7424</v>
      </c>
      <c r="F11496" t="s">
        <v>13227</v>
      </c>
      <c r="G11496" t="s">
        <v>17368</v>
      </c>
      <c r="H11496" t="s">
        <v>29348</v>
      </c>
    </row>
    <row r="11497" spans="1:8">
      <c r="H11497" t="s">
        <v>29349</v>
      </c>
    </row>
    <row r="11498" spans="1:8">
      <c r="H11498" t="s">
        <v>29350</v>
      </c>
    </row>
    <row r="11499" spans="1:8">
      <c r="H11499" t="s">
        <v>29351</v>
      </c>
    </row>
    <row r="11500" spans="1:8">
      <c r="A11500" t="s">
        <v>1666</v>
      </c>
      <c r="B11500">
        <f>HYPERLINK("https://android.googlesource.com/platform/cts/+/b3d5a1ed057218055c79c220905b97c972891545", "b3d5a1ed057218055c79c220905b97c972891545")</f>
        <v>0</v>
      </c>
      <c r="C11500">
        <f>HYPERLINK("https://android.googlesource.com/platform/cts/+/3573dc71085071a75fc0d18fdaee0393be9bb87a", "3573dc71085071a75fc0d18fdaee0393be9bb87a")</f>
        <v>0</v>
      </c>
      <c r="D11500" t="s">
        <v>5134</v>
      </c>
      <c r="E11500" t="s">
        <v>7426</v>
      </c>
      <c r="F11500" t="s">
        <v>13230</v>
      </c>
      <c r="G11500" t="s">
        <v>17371</v>
      </c>
      <c r="H11500" t="s">
        <v>29353</v>
      </c>
    </row>
    <row r="11501" spans="1:8">
      <c r="A11501" t="s">
        <v>1667</v>
      </c>
      <c r="B11501">
        <f>HYPERLINK("https://android.googlesource.com/platform/cts/+/38aba70dee86f7f24850f283bb5d4ea62923df76", "38aba70dee86f7f24850f283bb5d4ea62923df76")</f>
        <v>0</v>
      </c>
      <c r="C11501">
        <f>HYPERLINK("https://android.googlesource.com/platform/cts/+/6ef7ab7b6621dd6c570ecaa0165d6b7a3f17ba01", "6ef7ab7b6621dd6c570ecaa0165d6b7a3f17ba01")</f>
        <v>0</v>
      </c>
      <c r="D11501" t="s">
        <v>5111</v>
      </c>
      <c r="E11501" t="s">
        <v>7427</v>
      </c>
      <c r="F11501" t="s">
        <v>13343</v>
      </c>
      <c r="G11501" t="s">
        <v>17472</v>
      </c>
      <c r="H11501" t="s">
        <v>29354</v>
      </c>
    </row>
    <row r="11502" spans="1:8">
      <c r="H11502" t="s">
        <v>29355</v>
      </c>
    </row>
    <row r="11503" spans="1:8">
      <c r="H11503" t="s">
        <v>29356</v>
      </c>
    </row>
    <row r="11504" spans="1:8">
      <c r="H11504" t="s">
        <v>29357</v>
      </c>
    </row>
    <row r="11505" spans="8:8">
      <c r="H11505" t="s">
        <v>29358</v>
      </c>
    </row>
    <row r="11506" spans="8:8">
      <c r="H11506" t="s">
        <v>29359</v>
      </c>
    </row>
    <row r="11507" spans="8:8">
      <c r="H11507" t="s">
        <v>29360</v>
      </c>
    </row>
    <row r="11508" spans="8:8">
      <c r="H11508" t="s">
        <v>29361</v>
      </c>
    </row>
    <row r="11509" spans="8:8">
      <c r="H11509" t="s">
        <v>29362</v>
      </c>
    </row>
    <row r="11510" spans="8:8">
      <c r="H11510" t="s">
        <v>29363</v>
      </c>
    </row>
    <row r="11511" spans="8:8">
      <c r="H11511" t="s">
        <v>29364</v>
      </c>
    </row>
    <row r="11512" spans="8:8">
      <c r="H11512" t="s">
        <v>29365</v>
      </c>
    </row>
    <row r="11513" spans="8:8">
      <c r="H11513" t="s">
        <v>29366</v>
      </c>
    </row>
    <row r="11514" spans="8:8">
      <c r="H11514" t="s">
        <v>29367</v>
      </c>
    </row>
    <row r="11515" spans="8:8">
      <c r="H11515" t="s">
        <v>29368</v>
      </c>
    </row>
    <row r="11516" spans="8:8">
      <c r="H11516" t="s">
        <v>29369</v>
      </c>
    </row>
    <row r="11517" spans="8:8">
      <c r="H11517" t="s">
        <v>29370</v>
      </c>
    </row>
    <row r="11518" spans="8:8">
      <c r="H11518" t="s">
        <v>29371</v>
      </c>
    </row>
    <row r="11519" spans="8:8">
      <c r="H11519" t="s">
        <v>29372</v>
      </c>
    </row>
    <row r="11520" spans="8:8">
      <c r="H11520" t="s">
        <v>29373</v>
      </c>
    </row>
    <row r="11521" spans="8:8">
      <c r="H11521" t="s">
        <v>29374</v>
      </c>
    </row>
    <row r="11522" spans="8:8">
      <c r="H11522" t="s">
        <v>29375</v>
      </c>
    </row>
    <row r="11523" spans="8:8">
      <c r="H11523" t="s">
        <v>29376</v>
      </c>
    </row>
    <row r="11524" spans="8:8">
      <c r="H11524" t="s">
        <v>29377</v>
      </c>
    </row>
    <row r="11525" spans="8:8">
      <c r="H11525" t="s">
        <v>29378</v>
      </c>
    </row>
    <row r="11526" spans="8:8">
      <c r="H11526" t="s">
        <v>29379</v>
      </c>
    </row>
    <row r="11527" spans="8:8">
      <c r="H11527" t="s">
        <v>29380</v>
      </c>
    </row>
    <row r="11528" spans="8:8">
      <c r="H11528" t="s">
        <v>29381</v>
      </c>
    </row>
    <row r="11529" spans="8:8">
      <c r="H11529" t="s">
        <v>29382</v>
      </c>
    </row>
    <row r="11530" spans="8:8">
      <c r="H11530" t="s">
        <v>29383</v>
      </c>
    </row>
    <row r="11531" spans="8:8">
      <c r="H11531" t="s">
        <v>29384</v>
      </c>
    </row>
    <row r="11532" spans="8:8">
      <c r="H11532" t="s">
        <v>29385</v>
      </c>
    </row>
    <row r="11533" spans="8:8">
      <c r="H11533" t="s">
        <v>29386</v>
      </c>
    </row>
    <row r="11534" spans="8:8">
      <c r="H11534" t="s">
        <v>29387</v>
      </c>
    </row>
    <row r="11535" spans="8:8">
      <c r="H11535" t="s">
        <v>29388</v>
      </c>
    </row>
    <row r="11536" spans="8:8">
      <c r="H11536" t="s">
        <v>29389</v>
      </c>
    </row>
    <row r="11537" spans="8:8">
      <c r="H11537" t="s">
        <v>29390</v>
      </c>
    </row>
    <row r="11538" spans="8:8">
      <c r="H11538" t="s">
        <v>29391</v>
      </c>
    </row>
    <row r="11539" spans="8:8">
      <c r="H11539" t="s">
        <v>29392</v>
      </c>
    </row>
    <row r="11540" spans="8:8">
      <c r="H11540" t="s">
        <v>29393</v>
      </c>
    </row>
    <row r="11541" spans="8:8">
      <c r="H11541" t="s">
        <v>29394</v>
      </c>
    </row>
    <row r="11542" spans="8:8">
      <c r="H11542" t="s">
        <v>29395</v>
      </c>
    </row>
    <row r="11543" spans="8:8">
      <c r="H11543" t="s">
        <v>29396</v>
      </c>
    </row>
    <row r="11544" spans="8:8">
      <c r="H11544" t="s">
        <v>29397</v>
      </c>
    </row>
    <row r="11545" spans="8:8">
      <c r="H11545" t="s">
        <v>29398</v>
      </c>
    </row>
    <row r="11546" spans="8:8">
      <c r="H11546" t="s">
        <v>29399</v>
      </c>
    </row>
    <row r="11547" spans="8:8">
      <c r="H11547" t="s">
        <v>29400</v>
      </c>
    </row>
    <row r="11548" spans="8:8">
      <c r="H11548" t="s">
        <v>29401</v>
      </c>
    </row>
    <row r="11549" spans="8:8">
      <c r="H11549" t="s">
        <v>29402</v>
      </c>
    </row>
    <row r="11550" spans="8:8">
      <c r="H11550" t="s">
        <v>29403</v>
      </c>
    </row>
    <row r="11551" spans="8:8">
      <c r="H11551" t="s">
        <v>29404</v>
      </c>
    </row>
    <row r="11552" spans="8:8">
      <c r="H11552" t="s">
        <v>29405</v>
      </c>
    </row>
    <row r="11553" spans="1:8">
      <c r="H11553" t="s">
        <v>29406</v>
      </c>
    </row>
    <row r="11554" spans="1:8">
      <c r="H11554" t="s">
        <v>29407</v>
      </c>
    </row>
    <row r="11555" spans="1:8">
      <c r="H11555" t="s">
        <v>29408</v>
      </c>
    </row>
    <row r="11556" spans="1:8">
      <c r="H11556" t="s">
        <v>29409</v>
      </c>
    </row>
    <row r="11557" spans="1:8">
      <c r="H11557" t="s">
        <v>29410</v>
      </c>
    </row>
    <row r="11558" spans="1:8">
      <c r="H11558" t="s">
        <v>29411</v>
      </c>
    </row>
    <row r="11559" spans="1:8">
      <c r="H11559" t="s">
        <v>29412</v>
      </c>
    </row>
    <row r="11560" spans="1:8">
      <c r="H11560" t="s">
        <v>29413</v>
      </c>
    </row>
    <row r="11561" spans="1:8">
      <c r="H11561" t="s">
        <v>29414</v>
      </c>
    </row>
    <row r="11562" spans="1:8">
      <c r="A11562" t="s">
        <v>1668</v>
      </c>
      <c r="B11562">
        <f>HYPERLINK("https://android.googlesource.com/platform/cts/+/2cb7d26192a1940b8095608784611c57e0908fd7", "2cb7d26192a1940b8095608784611c57e0908fd7")</f>
        <v>0</v>
      </c>
      <c r="C11562">
        <f>HYPERLINK("https://android.googlesource.com/platform/cts/+/8f9d151902104aa8cc461bfcb639a6e2d647fe89", "8f9d151902104aa8cc461bfcb639a6e2d647fe89")</f>
        <v>0</v>
      </c>
      <c r="D11562" t="s">
        <v>5153</v>
      </c>
      <c r="E11562" t="s">
        <v>7428</v>
      </c>
      <c r="F11562" t="s">
        <v>13190</v>
      </c>
      <c r="G11562" t="s">
        <v>17334</v>
      </c>
      <c r="H11562" t="s">
        <v>28974</v>
      </c>
    </row>
    <row r="11563" spans="1:8">
      <c r="A11563" t="s">
        <v>1673</v>
      </c>
      <c r="B11563">
        <f>HYPERLINK("https://android.googlesource.com/platform/cts/+/bc54e8d160db726199c746d8270ba5d73c03f127", "bc54e8d160db726199c746d8270ba5d73c03f127")</f>
        <v>0</v>
      </c>
      <c r="C11563">
        <f>HYPERLINK("https://android.googlesource.com/platform/cts/+/b89de9e8a0cf689d3dce0a76e50e3a4f1a261da3", "b89de9e8a0cf689d3dce0a76e50e3a4f1a261da3")</f>
        <v>0</v>
      </c>
      <c r="D11563" t="s">
        <v>5248</v>
      </c>
      <c r="E11563" t="s">
        <v>7433</v>
      </c>
      <c r="F11563" t="s">
        <v>13347</v>
      </c>
      <c r="G11563" t="s">
        <v>17458</v>
      </c>
      <c r="H11563" t="s">
        <v>29420</v>
      </c>
    </row>
    <row r="11564" spans="1:8">
      <c r="H11564" t="s">
        <v>29425</v>
      </c>
    </row>
    <row r="11565" spans="1:8">
      <c r="A11565" t="s">
        <v>1676</v>
      </c>
      <c r="B11565">
        <f>HYPERLINK("https://android.googlesource.com/platform/cts/+/dbf28bf616e859b17e59c43ab96f565413d8c78d", "dbf28bf616e859b17e59c43ab96f565413d8c78d")</f>
        <v>0</v>
      </c>
      <c r="C11565">
        <f>HYPERLINK("https://android.googlesource.com/platform/cts/+/70c775a000fb83d29495306b5c7ceb902dd50938", "70c775a000fb83d29495306b5c7ceb902dd50938")</f>
        <v>0</v>
      </c>
      <c r="D11565" t="s">
        <v>5174</v>
      </c>
      <c r="E11565" t="s">
        <v>7436</v>
      </c>
      <c r="F11565" t="s">
        <v>13350</v>
      </c>
      <c r="G11565" t="s">
        <v>17477</v>
      </c>
      <c r="H11565" t="s">
        <v>29428</v>
      </c>
    </row>
    <row r="11566" spans="1:8">
      <c r="A11566" t="s">
        <v>1682</v>
      </c>
      <c r="B11566">
        <f>HYPERLINK("https://android.googlesource.com/platform/cts/+/93d133b66ca4802958653e9d4be45dc1611d38fb", "93d133b66ca4802958653e9d4be45dc1611d38fb")</f>
        <v>0</v>
      </c>
      <c r="C11566">
        <f>HYPERLINK("https://android.googlesource.com/platform/cts/+/83c967c3374356707e96ef3683c2c2e597fa2d0f", "83c967c3374356707e96ef3683c2c2e597fa2d0f")</f>
        <v>0</v>
      </c>
      <c r="D11566" t="s">
        <v>5222</v>
      </c>
      <c r="E11566" t="s">
        <v>7438</v>
      </c>
      <c r="F11566" t="s">
        <v>13352</v>
      </c>
      <c r="G11566" t="s">
        <v>17479</v>
      </c>
      <c r="H11566" t="s">
        <v>29429</v>
      </c>
    </row>
    <row r="11567" spans="1:8">
      <c r="A11567" t="s">
        <v>1683</v>
      </c>
      <c r="B11567">
        <f>HYPERLINK("https://android.googlesource.com/platform/cts/+/6b1cf9ac70c362d07081d7ca35801d243108fd93", "6b1cf9ac70c362d07081d7ca35801d243108fd93")</f>
        <v>0</v>
      </c>
      <c r="C11567">
        <f>HYPERLINK("https://android.googlesource.com/platform/cts/+/69357089886c9ab7401f039ec769f86d42c82fe4", "69357089886c9ab7401f039ec769f86d42c82fe4")</f>
        <v>0</v>
      </c>
      <c r="D11567" t="s">
        <v>5243</v>
      </c>
      <c r="E11567" t="s">
        <v>7439</v>
      </c>
      <c r="F11567" t="s">
        <v>13353</v>
      </c>
      <c r="G11567" t="s">
        <v>17480</v>
      </c>
      <c r="H11567" t="s">
        <v>29430</v>
      </c>
    </row>
    <row r="11568" spans="1:8">
      <c r="H11568" t="s">
        <v>29431</v>
      </c>
    </row>
    <row r="11569" spans="1:8">
      <c r="A11569" t="s">
        <v>1688</v>
      </c>
      <c r="B11569">
        <f>HYPERLINK("https://android.googlesource.com/platform/cts/+/ffd8d565cc3b8a32e72bede4d6f677e2024ee817", "ffd8d565cc3b8a32e72bede4d6f677e2024ee817")</f>
        <v>0</v>
      </c>
      <c r="C11569">
        <f>HYPERLINK("https://android.googlesource.com/platform/cts/+/a561dc74a9ccbced2a3777e9c632579d9bdc0de6", "a561dc74a9ccbced2a3777e9c632579d9bdc0de6")</f>
        <v>0</v>
      </c>
      <c r="D11569" t="s">
        <v>5255</v>
      </c>
      <c r="E11569" t="s">
        <v>7444</v>
      </c>
      <c r="F11569" t="s">
        <v>11443</v>
      </c>
      <c r="G11569" t="s">
        <v>15683</v>
      </c>
      <c r="H11569" t="s">
        <v>29477</v>
      </c>
    </row>
    <row r="11570" spans="1:8">
      <c r="A11570" t="s">
        <v>1692</v>
      </c>
      <c r="B11570">
        <f>HYPERLINK("https://android.googlesource.com/platform/cts/+/000a9f0c6cf4ff800c5258784ad2aa962bf14ef5", "000a9f0c6cf4ff800c5258784ad2aa962bf14ef5")</f>
        <v>0</v>
      </c>
      <c r="C11570">
        <f>HYPERLINK("https://android.googlesource.com/platform/cts/+/5de9a55092a5e6f386ad103b20cf922e797fcc3d", "5de9a55092a5e6f386ad103b20cf922e797fcc3d")</f>
        <v>0</v>
      </c>
      <c r="D11570" t="s">
        <v>5215</v>
      </c>
      <c r="E11570" t="s">
        <v>7448</v>
      </c>
      <c r="F11570" t="s">
        <v>13032</v>
      </c>
      <c r="G11570" t="s">
        <v>17196</v>
      </c>
      <c r="H11570" t="s">
        <v>29486</v>
      </c>
    </row>
    <row r="11571" spans="1:8">
      <c r="H11571" t="s">
        <v>29487</v>
      </c>
    </row>
    <row r="11572" spans="1:8">
      <c r="H11572" t="s">
        <v>29488</v>
      </c>
    </row>
    <row r="11573" spans="1:8">
      <c r="A11573" t="s">
        <v>1695</v>
      </c>
      <c r="B11573">
        <f>HYPERLINK("https://android.googlesource.com/platform/cts/+/558049842ce8ec671f893b9859f9af197097964a", "558049842ce8ec671f893b9859f9af197097964a")</f>
        <v>0</v>
      </c>
      <c r="C11573">
        <f>HYPERLINK("https://android.googlesource.com/platform/cts/+/4e45605036a84257eb64b6966e6b62e15944ed53", "4e45605036a84257eb64b6966e6b62e15944ed53")</f>
        <v>0</v>
      </c>
      <c r="D11573" t="s">
        <v>5134</v>
      </c>
      <c r="E11573" t="s">
        <v>7451</v>
      </c>
      <c r="F11573" t="s">
        <v>13358</v>
      </c>
      <c r="G11573" t="s">
        <v>17485</v>
      </c>
      <c r="H11573" t="s">
        <v>29489</v>
      </c>
    </row>
    <row r="11574" spans="1:8">
      <c r="F11574" t="s">
        <v>13359</v>
      </c>
      <c r="G11574" t="s">
        <v>17486</v>
      </c>
      <c r="H11574" t="s">
        <v>29489</v>
      </c>
    </row>
    <row r="11575" spans="1:8">
      <c r="F11575" t="s">
        <v>13360</v>
      </c>
      <c r="G11575" t="s">
        <v>17487</v>
      </c>
      <c r="H11575" t="s">
        <v>29490</v>
      </c>
    </row>
    <row r="11576" spans="1:8">
      <c r="A11576" t="s">
        <v>1701</v>
      </c>
      <c r="B11576">
        <f>HYPERLINK("https://android.googlesource.com/platform/cts/+/55ac8e34cae48bd42687924874fdeefd531a7fe0", "55ac8e34cae48bd42687924874fdeefd531a7fe0")</f>
        <v>0</v>
      </c>
      <c r="C11576">
        <f>HYPERLINK("https://android.googlesource.com/platform/cts/+/5483fb6a0e7064ce44fb31d97d0d3f30c5815fa4", "5483fb6a0e7064ce44fb31d97d0d3f30c5815fa4")</f>
        <v>0</v>
      </c>
      <c r="D11576" t="s">
        <v>5163</v>
      </c>
      <c r="E11576" t="s">
        <v>7456</v>
      </c>
      <c r="F11576" t="s">
        <v>13325</v>
      </c>
      <c r="G11576" t="s">
        <v>17456</v>
      </c>
      <c r="H11576" t="s">
        <v>29203</v>
      </c>
    </row>
    <row r="11577" spans="1:8">
      <c r="A11577" t="s">
        <v>1702</v>
      </c>
      <c r="B11577">
        <f>HYPERLINK("https://android.googlesource.com/platform/cts/+/37170b2a35525b897ca6636779545d6e7bd5097f", "37170b2a35525b897ca6636779545d6e7bd5097f")</f>
        <v>0</v>
      </c>
      <c r="C11577">
        <f>HYPERLINK("https://android.googlesource.com/platform/cts/+/300f7ed158e6648ca9af08356d783e28b0bd6e54", "300f7ed158e6648ca9af08356d783e28b0bd6e54")</f>
        <v>0</v>
      </c>
      <c r="D11577" t="s">
        <v>5163</v>
      </c>
      <c r="E11577" t="s">
        <v>7457</v>
      </c>
      <c r="F11577" t="s">
        <v>13325</v>
      </c>
      <c r="G11577" t="s">
        <v>17456</v>
      </c>
      <c r="H11577" t="s">
        <v>29203</v>
      </c>
    </row>
    <row r="11578" spans="1:8">
      <c r="A11578" t="s">
        <v>1703</v>
      </c>
      <c r="B11578">
        <f>HYPERLINK("https://android.googlesource.com/platform/cts/+/4b64d4ae01184d7335e3eeaf66a984daca620a38", "4b64d4ae01184d7335e3eeaf66a984daca620a38")</f>
        <v>0</v>
      </c>
      <c r="C11578">
        <f>HYPERLINK("https://android.googlesource.com/platform/cts/+/6affb830627d16d216942c7fcb13826fe90a1124", "6affb830627d16d216942c7fcb13826fe90a1124")</f>
        <v>0</v>
      </c>
      <c r="D11578" t="s">
        <v>5163</v>
      </c>
      <c r="E11578" t="s">
        <v>7458</v>
      </c>
      <c r="F11578" t="s">
        <v>13325</v>
      </c>
      <c r="G11578" t="s">
        <v>17456</v>
      </c>
      <c r="H11578" t="s">
        <v>29203</v>
      </c>
    </row>
    <row r="11579" spans="1:8">
      <c r="A11579" t="s">
        <v>1707</v>
      </c>
      <c r="B11579">
        <f>HYPERLINK("https://android.googlesource.com/platform/cts/+/82d248bb78d1b41eaa111eea19ea78f79722a6fb", "82d248bb78d1b41eaa111eea19ea78f79722a6fb")</f>
        <v>0</v>
      </c>
      <c r="C11579">
        <f>HYPERLINK("https://android.googlesource.com/platform/cts/+/c3f441e2dc3cbef33935bd5a595f1b32fe728129", "c3f441e2dc3cbef33935bd5a595f1b32fe728129")</f>
        <v>0</v>
      </c>
      <c r="D11579" t="s">
        <v>5125</v>
      </c>
      <c r="E11579" t="s">
        <v>7462</v>
      </c>
      <c r="F11579" t="s">
        <v>12936</v>
      </c>
      <c r="G11579" t="s">
        <v>17101</v>
      </c>
      <c r="H11579" t="s">
        <v>29511</v>
      </c>
    </row>
    <row r="11580" spans="1:8">
      <c r="H11580" t="s">
        <v>29512</v>
      </c>
    </row>
    <row r="11581" spans="1:8">
      <c r="H11581" t="s">
        <v>29513</v>
      </c>
    </row>
    <row r="11582" spans="1:8">
      <c r="F11582" t="s">
        <v>13091</v>
      </c>
      <c r="G11582" t="s">
        <v>17253</v>
      </c>
      <c r="H11582" t="s">
        <v>29515</v>
      </c>
    </row>
    <row r="11583" spans="1:8">
      <c r="H11583" t="s">
        <v>29516</v>
      </c>
    </row>
    <row r="11584" spans="1:8">
      <c r="H11584" t="s">
        <v>29517</v>
      </c>
    </row>
    <row r="11585" spans="1:8">
      <c r="F11585" t="s">
        <v>10596</v>
      </c>
      <c r="G11585" t="s">
        <v>14999</v>
      </c>
      <c r="H11585" t="s">
        <v>29515</v>
      </c>
    </row>
    <row r="11586" spans="1:8">
      <c r="H11586" t="s">
        <v>29516</v>
      </c>
    </row>
    <row r="11587" spans="1:8">
      <c r="H11587" t="s">
        <v>29517</v>
      </c>
    </row>
    <row r="11588" spans="1:8">
      <c r="A11588" t="s">
        <v>1708</v>
      </c>
      <c r="B11588">
        <f>HYPERLINK("https://android.googlesource.com/platform/cts/+/c3cc4568561dd6af3023c41a9afa288dea906572", "c3cc4568561dd6af3023c41a9afa288dea906572")</f>
        <v>0</v>
      </c>
      <c r="C11588">
        <f>HYPERLINK("https://android.googlesource.com/platform/cts/+/50d71fab486cda44b5961798edce7af89a6d7054", "50d71fab486cda44b5961798edce7af89a6d7054")</f>
        <v>0</v>
      </c>
      <c r="D11588" t="s">
        <v>5125</v>
      </c>
      <c r="E11588" t="s">
        <v>7463</v>
      </c>
      <c r="F11588" t="s">
        <v>12936</v>
      </c>
      <c r="G11588" t="s">
        <v>17101</v>
      </c>
      <c r="H11588" t="s">
        <v>29511</v>
      </c>
    </row>
    <row r="11589" spans="1:8">
      <c r="H11589" t="s">
        <v>29512</v>
      </c>
    </row>
    <row r="11590" spans="1:8">
      <c r="H11590" t="s">
        <v>29513</v>
      </c>
    </row>
    <row r="11591" spans="1:8">
      <c r="F11591" t="s">
        <v>13087</v>
      </c>
      <c r="G11591" t="s">
        <v>17249</v>
      </c>
      <c r="H11591" t="s">
        <v>29518</v>
      </c>
    </row>
    <row r="11592" spans="1:8">
      <c r="F11592" t="s">
        <v>13091</v>
      </c>
      <c r="G11592" t="s">
        <v>17253</v>
      </c>
      <c r="H11592" t="s">
        <v>29515</v>
      </c>
    </row>
    <row r="11593" spans="1:8">
      <c r="H11593" t="s">
        <v>29519</v>
      </c>
    </row>
    <row r="11594" spans="1:8">
      <c r="H11594" t="s">
        <v>29516</v>
      </c>
    </row>
    <row r="11595" spans="1:8">
      <c r="H11595" t="s">
        <v>29517</v>
      </c>
    </row>
    <row r="11596" spans="1:8">
      <c r="F11596" t="s">
        <v>10596</v>
      </c>
      <c r="G11596" t="s">
        <v>14999</v>
      </c>
      <c r="H11596" t="s">
        <v>29515</v>
      </c>
    </row>
    <row r="11597" spans="1:8">
      <c r="H11597" t="s">
        <v>29519</v>
      </c>
    </row>
    <row r="11598" spans="1:8">
      <c r="H11598" t="s">
        <v>29516</v>
      </c>
    </row>
    <row r="11599" spans="1:8">
      <c r="H11599" t="s">
        <v>29517</v>
      </c>
    </row>
    <row r="11600" spans="1:8">
      <c r="A11600" t="s">
        <v>1709</v>
      </c>
      <c r="B11600">
        <f>HYPERLINK("https://android.googlesource.com/platform/cts/+/98eaa48a1d0858bdd24bada492570ef0e39552db", "98eaa48a1d0858bdd24bada492570ef0e39552db")</f>
        <v>0</v>
      </c>
      <c r="C11600">
        <f>HYPERLINK("https://android.googlesource.com/platform/cts/+/e67470d31e38ed74ffd10ee5a3ce11ead9a33c2e", "e67470d31e38ed74ffd10ee5a3ce11ead9a33c2e")</f>
        <v>0</v>
      </c>
      <c r="D11600" t="s">
        <v>4965</v>
      </c>
      <c r="E11600" t="s">
        <v>7464</v>
      </c>
      <c r="F11600" t="s">
        <v>13366</v>
      </c>
      <c r="G11600" t="s">
        <v>15583</v>
      </c>
      <c r="H11600" t="s">
        <v>29520</v>
      </c>
    </row>
    <row r="11601" spans="1:8">
      <c r="H11601" t="s">
        <v>29521</v>
      </c>
    </row>
    <row r="11602" spans="1:8">
      <c r="H11602" t="s">
        <v>29522</v>
      </c>
    </row>
    <row r="11603" spans="1:8">
      <c r="A11603" t="s">
        <v>1712</v>
      </c>
      <c r="B11603">
        <f>HYPERLINK("https://android.googlesource.com/platform/cts/+/0c0fffcaacf948c3d8e27570e313cccd331c35b9", "0c0fffcaacf948c3d8e27570e313cccd331c35b9")</f>
        <v>0</v>
      </c>
      <c r="C11603">
        <f>HYPERLINK("https://android.googlesource.com/platform/cts/+/8243446d847699e25b29b914e67e329efbf8b510", "8243446d847699e25b29b914e67e329efbf8b510")</f>
        <v>0</v>
      </c>
      <c r="D11603" t="s">
        <v>5117</v>
      </c>
      <c r="E11603" t="s">
        <v>7467</v>
      </c>
      <c r="F11603" t="s">
        <v>13367</v>
      </c>
      <c r="G11603" t="s">
        <v>17493</v>
      </c>
      <c r="H11603" t="s">
        <v>29526</v>
      </c>
    </row>
    <row r="11604" spans="1:8">
      <c r="F11604" t="s">
        <v>13368</v>
      </c>
      <c r="G11604" t="s">
        <v>17494</v>
      </c>
      <c r="H11604" t="s">
        <v>29532</v>
      </c>
    </row>
    <row r="11605" spans="1:8">
      <c r="H11605" t="s">
        <v>29533</v>
      </c>
    </row>
    <row r="11606" spans="1:8">
      <c r="H11606" t="s">
        <v>29534</v>
      </c>
    </row>
    <row r="11607" spans="1:8">
      <c r="H11607" t="s">
        <v>29535</v>
      </c>
    </row>
    <row r="11608" spans="1:8">
      <c r="H11608" t="s">
        <v>29536</v>
      </c>
    </row>
    <row r="11609" spans="1:8">
      <c r="H11609" t="s">
        <v>29537</v>
      </c>
    </row>
    <row r="11610" spans="1:8">
      <c r="A11610" t="s">
        <v>1713</v>
      </c>
      <c r="B11610">
        <f>HYPERLINK("https://android.googlesource.com/platform/cts/+/dc976f5856199b8f7ddc6053f28561fffdd7eb84", "dc976f5856199b8f7ddc6053f28561fffdd7eb84")</f>
        <v>0</v>
      </c>
      <c r="C11610">
        <f>HYPERLINK("https://android.googlesource.com/platform/cts/+/ac02fe5c79e0f246048f67bf388489a2841410e6", "ac02fe5c79e0f246048f67bf388489a2841410e6")</f>
        <v>0</v>
      </c>
      <c r="D11610" t="s">
        <v>4965</v>
      </c>
      <c r="E11610" t="s">
        <v>7468</v>
      </c>
      <c r="F11610" t="s">
        <v>13369</v>
      </c>
      <c r="G11610" t="s">
        <v>17495</v>
      </c>
      <c r="H11610" t="s">
        <v>29538</v>
      </c>
    </row>
    <row r="11611" spans="1:8">
      <c r="A11611" t="s">
        <v>1719</v>
      </c>
      <c r="B11611">
        <f>HYPERLINK("https://android.googlesource.com/platform/cts/+/17e3661bea3c7bc2d91be719f15006bfb1526bf0", "17e3661bea3c7bc2d91be719f15006bfb1526bf0")</f>
        <v>0</v>
      </c>
      <c r="C11611">
        <f>HYPERLINK("https://android.googlesource.com/platform/cts/+/5b5b371171f8f5987a246c9e3b95714c46637533", "5b5b371171f8f5987a246c9e3b95714c46637533")</f>
        <v>0</v>
      </c>
      <c r="D11611" t="s">
        <v>5134</v>
      </c>
      <c r="E11611" t="s">
        <v>7473</v>
      </c>
      <c r="F11611" t="s">
        <v>13230</v>
      </c>
      <c r="G11611" t="s">
        <v>17371</v>
      </c>
      <c r="H11611" t="s">
        <v>29549</v>
      </c>
    </row>
    <row r="11612" spans="1:8">
      <c r="F11612" t="s">
        <v>13371</v>
      </c>
      <c r="G11612" t="s">
        <v>17498</v>
      </c>
      <c r="H11612" t="s">
        <v>29550</v>
      </c>
    </row>
    <row r="11613" spans="1:8">
      <c r="A11613" t="s">
        <v>1720</v>
      </c>
      <c r="B11613">
        <f>HYPERLINK("https://android.googlesource.com/platform/cts/+/3ddad7723800310ec73eea4ff65bca0038ec3c20", "3ddad7723800310ec73eea4ff65bca0038ec3c20")</f>
        <v>0</v>
      </c>
      <c r="C11613">
        <f>HYPERLINK("https://android.googlesource.com/platform/cts/+/6ca2a7dded89d14f7f937d3c2ed01960b2f0ba66", "6ca2a7dded89d14f7f937d3c2ed01960b2f0ba66")</f>
        <v>0</v>
      </c>
      <c r="D11613" t="s">
        <v>5111</v>
      </c>
      <c r="E11613" t="s">
        <v>7474</v>
      </c>
      <c r="F11613" t="s">
        <v>13372</v>
      </c>
      <c r="G11613" t="s">
        <v>17499</v>
      </c>
      <c r="H11613" t="s">
        <v>29553</v>
      </c>
    </row>
    <row r="11614" spans="1:8">
      <c r="F11614" t="s">
        <v>13373</v>
      </c>
      <c r="G11614" t="s">
        <v>17500</v>
      </c>
      <c r="H11614" t="s">
        <v>29553</v>
      </c>
    </row>
    <row r="11615" spans="1:8">
      <c r="F11615" t="s">
        <v>13374</v>
      </c>
      <c r="G11615" t="s">
        <v>17501</v>
      </c>
      <c r="H11615" t="s">
        <v>29553</v>
      </c>
    </row>
    <row r="11616" spans="1:8">
      <c r="F11616" t="s">
        <v>13375</v>
      </c>
      <c r="G11616" t="s">
        <v>17502</v>
      </c>
      <c r="H11616" t="s">
        <v>29553</v>
      </c>
    </row>
    <row r="11617" spans="1:8">
      <c r="F11617" t="s">
        <v>13376</v>
      </c>
      <c r="G11617" t="s">
        <v>17503</v>
      </c>
      <c r="H11617" t="s">
        <v>29553</v>
      </c>
    </row>
    <row r="11618" spans="1:8">
      <c r="F11618" t="s">
        <v>13377</v>
      </c>
      <c r="G11618" t="s">
        <v>17504</v>
      </c>
      <c r="H11618" t="s">
        <v>29553</v>
      </c>
    </row>
    <row r="11619" spans="1:8">
      <c r="F11619" t="s">
        <v>13378</v>
      </c>
      <c r="G11619" t="s">
        <v>17505</v>
      </c>
      <c r="H11619" t="s">
        <v>29553</v>
      </c>
    </row>
    <row r="11620" spans="1:8">
      <c r="F11620" t="s">
        <v>13379</v>
      </c>
      <c r="G11620" t="s">
        <v>17506</v>
      </c>
      <c r="H11620" t="s">
        <v>29553</v>
      </c>
    </row>
    <row r="11621" spans="1:8">
      <c r="F11621" t="s">
        <v>13380</v>
      </c>
      <c r="G11621" t="s">
        <v>17507</v>
      </c>
      <c r="H11621" t="s">
        <v>29553</v>
      </c>
    </row>
    <row r="11622" spans="1:8">
      <c r="F11622" t="s">
        <v>13381</v>
      </c>
      <c r="G11622" t="s">
        <v>17508</v>
      </c>
      <c r="H11622" t="s">
        <v>29553</v>
      </c>
    </row>
    <row r="11623" spans="1:8">
      <c r="F11623" t="s">
        <v>13382</v>
      </c>
      <c r="G11623" t="s">
        <v>17509</v>
      </c>
      <c r="H11623" t="s">
        <v>29553</v>
      </c>
    </row>
    <row r="11624" spans="1:8">
      <c r="A11624" t="s">
        <v>1721</v>
      </c>
      <c r="B11624">
        <f>HYPERLINK("https://android.googlesource.com/platform/cts/+/165b5f2c56f4f0bc38842751e9932912c155bd05", "165b5f2c56f4f0bc38842751e9932912c155bd05")</f>
        <v>0</v>
      </c>
      <c r="C11624">
        <f>HYPERLINK("https://android.googlesource.com/platform/cts/+/5b5b371171f8f5987a246c9e3b95714c46637533", "5b5b371171f8f5987a246c9e3b95714c46637533")</f>
        <v>0</v>
      </c>
      <c r="D11624" t="s">
        <v>5260</v>
      </c>
      <c r="E11624" t="s">
        <v>7475</v>
      </c>
      <c r="F11624" t="s">
        <v>10687</v>
      </c>
      <c r="G11624" t="s">
        <v>15087</v>
      </c>
      <c r="H11624" t="s">
        <v>29567</v>
      </c>
    </row>
    <row r="11625" spans="1:8">
      <c r="A11625" t="s">
        <v>1722</v>
      </c>
      <c r="B11625">
        <f>HYPERLINK("https://android.googlesource.com/platform/cts/+/1ced57ac92c0c93dae407d3e26702f2df4b41a24", "1ced57ac92c0c93dae407d3e26702f2df4b41a24")</f>
        <v>0</v>
      </c>
      <c r="C11625">
        <f>HYPERLINK("https://android.googlesource.com/platform/cts/+/2c133721cfc4d1e0327d9aa7865473771ecf83c3", "2c133721cfc4d1e0327d9aa7865473771ecf83c3")</f>
        <v>0</v>
      </c>
      <c r="D11625" t="s">
        <v>5134</v>
      </c>
      <c r="E11625" t="s">
        <v>7476</v>
      </c>
      <c r="F11625" t="s">
        <v>13230</v>
      </c>
      <c r="G11625" t="s">
        <v>17371</v>
      </c>
      <c r="H11625" t="s">
        <v>29568</v>
      </c>
    </row>
    <row r="11626" spans="1:8">
      <c r="H11626" t="s">
        <v>29569</v>
      </c>
    </row>
    <row r="11627" spans="1:8">
      <c r="F11627" t="s">
        <v>13371</v>
      </c>
      <c r="G11627" t="s">
        <v>17498</v>
      </c>
      <c r="H11627" t="s">
        <v>29570</v>
      </c>
    </row>
    <row r="11628" spans="1:8">
      <c r="A11628" t="s">
        <v>1725</v>
      </c>
      <c r="B11628">
        <f>HYPERLINK("https://android.googlesource.com/platform/cts/+/930b1d3afaa9cbaa5f206459b182c7b32ef471cd", "930b1d3afaa9cbaa5f206459b182c7b32ef471cd")</f>
        <v>0</v>
      </c>
      <c r="C11628">
        <f>HYPERLINK("https://android.googlesource.com/platform/cts/+/404f16249b9131913fedf8b65ecb093dc53a72a8", "404f16249b9131913fedf8b65ecb093dc53a72a8")</f>
        <v>0</v>
      </c>
      <c r="D11628" t="s">
        <v>5086</v>
      </c>
      <c r="E11628" t="s">
        <v>7479</v>
      </c>
      <c r="F11628" t="s">
        <v>12629</v>
      </c>
      <c r="G11628" t="s">
        <v>16838</v>
      </c>
      <c r="H11628" t="s">
        <v>26883</v>
      </c>
    </row>
    <row r="11629" spans="1:8">
      <c r="F11629" t="s">
        <v>12746</v>
      </c>
      <c r="G11629" t="s">
        <v>16938</v>
      </c>
      <c r="H11629" t="s">
        <v>29572</v>
      </c>
    </row>
    <row r="11630" spans="1:8">
      <c r="A11630" t="s">
        <v>1733</v>
      </c>
      <c r="B11630">
        <f>HYPERLINK("https://android.googlesource.com/platform/cts/+/fadc96a6125877b9dd110f35ee1f7973aa5deb5e", "fadc96a6125877b9dd110f35ee1f7973aa5deb5e")</f>
        <v>0</v>
      </c>
      <c r="C11630">
        <f>HYPERLINK("https://android.googlesource.com/platform/cts/+/0f05863bde96b03b8052c40b2622395c73370bdd", "0f05863bde96b03b8052c40b2622395c73370bdd")</f>
        <v>0</v>
      </c>
      <c r="D11630" t="s">
        <v>5219</v>
      </c>
      <c r="E11630" t="s">
        <v>7487</v>
      </c>
      <c r="F11630" t="s">
        <v>13388</v>
      </c>
      <c r="G11630" t="s">
        <v>17515</v>
      </c>
      <c r="H11630" t="s">
        <v>29578</v>
      </c>
    </row>
    <row r="11631" spans="1:8">
      <c r="F11631" t="s">
        <v>13389</v>
      </c>
      <c r="G11631" t="s">
        <v>17516</v>
      </c>
      <c r="H11631" t="s">
        <v>29580</v>
      </c>
    </row>
    <row r="11632" spans="1:8">
      <c r="H11632" t="s">
        <v>29581</v>
      </c>
    </row>
    <row r="11633" spans="1:8">
      <c r="H11633" t="s">
        <v>29582</v>
      </c>
    </row>
    <row r="11634" spans="1:8">
      <c r="A11634" t="s">
        <v>1735</v>
      </c>
      <c r="B11634">
        <f>HYPERLINK("https://android.googlesource.com/platform/cts/+/4ed82b2f6d1ba89d9cd9cfb6f030ed18b0c046db", "4ed82b2f6d1ba89d9cd9cfb6f030ed18b0c046db")</f>
        <v>0</v>
      </c>
      <c r="C11634">
        <f>HYPERLINK("https://android.googlesource.com/platform/cts/+/409c6ffbfad64ec15869fedbc496ee6344a53050", "409c6ffbfad64ec15869fedbc496ee6344a53050")</f>
        <v>0</v>
      </c>
      <c r="D11634" t="s">
        <v>5240</v>
      </c>
      <c r="E11634" t="s">
        <v>7489</v>
      </c>
      <c r="F11634" t="s">
        <v>12710</v>
      </c>
      <c r="G11634" t="s">
        <v>16911</v>
      </c>
      <c r="H11634" t="s">
        <v>29584</v>
      </c>
    </row>
    <row r="11635" spans="1:8">
      <c r="A11635" t="s">
        <v>1736</v>
      </c>
      <c r="B11635">
        <f>HYPERLINK("https://android.googlesource.com/platform/cts/+/aed7867d94870503abbc128a0bdf6879534f09f7", "aed7867d94870503abbc128a0bdf6879534f09f7")</f>
        <v>0</v>
      </c>
      <c r="C11635">
        <f>HYPERLINK("https://android.googlesource.com/platform/cts/+/65fe1dab9d2fb50a6cb4c47b1efdf4ab876a7608", "65fe1dab9d2fb50a6cb4c47b1efdf4ab876a7608")</f>
        <v>0</v>
      </c>
      <c r="D11635" t="s">
        <v>5240</v>
      </c>
      <c r="E11635" t="s">
        <v>7490</v>
      </c>
      <c r="F11635" t="s">
        <v>12710</v>
      </c>
      <c r="G11635" t="s">
        <v>16911</v>
      </c>
      <c r="H11635" t="s">
        <v>29584</v>
      </c>
    </row>
    <row r="11636" spans="1:8">
      <c r="A11636" t="s">
        <v>1742</v>
      </c>
      <c r="B11636">
        <f>HYPERLINK("https://android.googlesource.com/platform/cts/+/fa933bc0434e153347cb870f3f4b32cb311919f7", "fa933bc0434e153347cb870f3f4b32cb311919f7")</f>
        <v>0</v>
      </c>
      <c r="C11636">
        <f>HYPERLINK("https://android.googlesource.com/platform/cts/+/99148f08e24473d8b08fe25c5ceafed6862c71bd", "99148f08e24473d8b08fe25c5ceafed6862c71bd")</f>
        <v>0</v>
      </c>
      <c r="D11636" t="s">
        <v>5132</v>
      </c>
      <c r="E11636" t="s">
        <v>7494</v>
      </c>
      <c r="F11636" t="s">
        <v>12959</v>
      </c>
      <c r="G11636" t="s">
        <v>17123</v>
      </c>
      <c r="H11636" t="s">
        <v>29586</v>
      </c>
    </row>
    <row r="11637" spans="1:8">
      <c r="A11637" t="s">
        <v>1747</v>
      </c>
      <c r="B11637">
        <f>HYPERLINK("https://android.googlesource.com/platform/cts/+/d2b1f52389c1851861284189244641967db76a19", "d2b1f52389c1851861284189244641967db76a19")</f>
        <v>0</v>
      </c>
      <c r="C11637">
        <f>HYPERLINK("https://android.googlesource.com/platform/cts/+/f9e65045f2590a5409618dce3c0a38ed17c8a859", "f9e65045f2590a5409618dce3c0a38ed17c8a859")</f>
        <v>0</v>
      </c>
      <c r="D11637" t="s">
        <v>5267</v>
      </c>
      <c r="E11637" t="s">
        <v>7499</v>
      </c>
      <c r="F11637" t="s">
        <v>13395</v>
      </c>
      <c r="G11637" t="s">
        <v>17521</v>
      </c>
      <c r="H11637" t="s">
        <v>29597</v>
      </c>
    </row>
    <row r="11638" spans="1:8">
      <c r="H11638" t="s">
        <v>29598</v>
      </c>
    </row>
    <row r="11639" spans="1:8">
      <c r="A11639" t="s">
        <v>1748</v>
      </c>
      <c r="B11639">
        <f>HYPERLINK("https://android.googlesource.com/platform/cts/+/bcbca6ec2ca9d3b4e983851d72502012d2af6de7", "bcbca6ec2ca9d3b4e983851d72502012d2af6de7")</f>
        <v>0</v>
      </c>
      <c r="C11639">
        <f>HYPERLINK("https://android.googlesource.com/platform/cts/+/0c612c312efa04e1137ed62580ddaed739c153de", "0c612c312efa04e1137ed62580ddaed739c153de")</f>
        <v>0</v>
      </c>
      <c r="D11639" t="s">
        <v>4952</v>
      </c>
      <c r="E11639" t="s">
        <v>7500</v>
      </c>
      <c r="F11639" t="s">
        <v>13396</v>
      </c>
      <c r="G11639" t="s">
        <v>17522</v>
      </c>
      <c r="H11639" t="s">
        <v>29599</v>
      </c>
    </row>
    <row r="11640" spans="1:8">
      <c r="H11640" t="s">
        <v>29600</v>
      </c>
    </row>
    <row r="11641" spans="1:8">
      <c r="H11641" t="s">
        <v>29601</v>
      </c>
    </row>
    <row r="11642" spans="1:8">
      <c r="F11642" t="s">
        <v>13397</v>
      </c>
      <c r="G11642" t="s">
        <v>17523</v>
      </c>
      <c r="H11642" t="s">
        <v>29632</v>
      </c>
    </row>
    <row r="11643" spans="1:8">
      <c r="H11643" t="s">
        <v>29633</v>
      </c>
    </row>
    <row r="11644" spans="1:8">
      <c r="H11644" t="s">
        <v>29634</v>
      </c>
    </row>
    <row r="11645" spans="1:8">
      <c r="A11645" t="s">
        <v>1749</v>
      </c>
      <c r="B11645">
        <f>HYPERLINK("https://android.googlesource.com/platform/cts/+/06347b16cfda7ee0ca87b4dc68cf478c5b6559df", "06347b16cfda7ee0ca87b4dc68cf478c5b6559df")</f>
        <v>0</v>
      </c>
      <c r="C11645">
        <f>HYPERLINK("https://android.googlesource.com/platform/cts/+/1249be8a6157fb3140afd9879eecd80624541bc8", "1249be8a6157fb3140afd9879eecd80624541bc8")</f>
        <v>0</v>
      </c>
      <c r="D11645" t="s">
        <v>5268</v>
      </c>
      <c r="E11645" t="s">
        <v>7501</v>
      </c>
      <c r="F11645" t="s">
        <v>12710</v>
      </c>
      <c r="G11645" t="s">
        <v>16911</v>
      </c>
      <c r="H11645" t="s">
        <v>29656</v>
      </c>
    </row>
    <row r="11646" spans="1:8">
      <c r="A11646" t="s">
        <v>1753</v>
      </c>
      <c r="B11646">
        <f>HYPERLINK("https://android.googlesource.com/platform/cts/+/400d169e3b1b3b17f100a7d5ba856d85d50d3782", "400d169e3b1b3b17f100a7d5ba856d85d50d3782")</f>
        <v>0</v>
      </c>
      <c r="C11646">
        <f>HYPERLINK("https://android.googlesource.com/platform/cts/+/13e1eb3e9f0abfb6d95e8c6b94a9070ab5e1cad5", "13e1eb3e9f0abfb6d95e8c6b94a9070ab5e1cad5")</f>
        <v>0</v>
      </c>
      <c r="D11646" t="s">
        <v>5191</v>
      </c>
      <c r="E11646" t="s">
        <v>7505</v>
      </c>
      <c r="F11646" t="s">
        <v>13401</v>
      </c>
      <c r="G11646" t="s">
        <v>17527</v>
      </c>
      <c r="H11646" t="s">
        <v>29660</v>
      </c>
    </row>
    <row r="11647" spans="1:8">
      <c r="H11647" t="s">
        <v>29661</v>
      </c>
    </row>
    <row r="11648" spans="1:8">
      <c r="H11648" t="s">
        <v>29662</v>
      </c>
    </row>
    <row r="11649" spans="1:8">
      <c r="H11649" t="s">
        <v>29663</v>
      </c>
    </row>
    <row r="11650" spans="1:8">
      <c r="H11650" t="s">
        <v>29664</v>
      </c>
    </row>
    <row r="11651" spans="1:8">
      <c r="H11651" t="s">
        <v>29665</v>
      </c>
    </row>
    <row r="11652" spans="1:8">
      <c r="A11652" t="s">
        <v>1759</v>
      </c>
      <c r="B11652">
        <f>HYPERLINK("https://android.googlesource.com/platform/cts/+/53d494eb091e9e598091f5298689dcbd1c41314e", "53d494eb091e9e598091f5298689dcbd1c41314e")</f>
        <v>0</v>
      </c>
      <c r="C11652">
        <f>HYPERLINK("https://android.googlesource.com/platform/cts/+/f8c88838fef98b165d706235b3da9b36bf896067", "f8c88838fef98b165d706235b3da9b36bf896067")</f>
        <v>0</v>
      </c>
      <c r="D11652" t="s">
        <v>5191</v>
      </c>
      <c r="E11652" t="s">
        <v>7511</v>
      </c>
      <c r="F11652" t="s">
        <v>13404</v>
      </c>
      <c r="G11652" t="s">
        <v>17530</v>
      </c>
      <c r="H11652" t="s">
        <v>29686</v>
      </c>
    </row>
    <row r="11653" spans="1:8">
      <c r="H11653" t="s">
        <v>29687</v>
      </c>
    </row>
    <row r="11654" spans="1:8">
      <c r="H11654" t="s">
        <v>29688</v>
      </c>
    </row>
    <row r="11655" spans="1:8">
      <c r="H11655" t="s">
        <v>29689</v>
      </c>
    </row>
    <row r="11656" spans="1:8">
      <c r="H11656" t="s">
        <v>29690</v>
      </c>
    </row>
    <row r="11657" spans="1:8">
      <c r="H11657" t="s">
        <v>29691</v>
      </c>
    </row>
    <row r="11658" spans="1:8">
      <c r="H11658" t="s">
        <v>29692</v>
      </c>
    </row>
    <row r="11659" spans="1:8">
      <c r="H11659" t="s">
        <v>29693</v>
      </c>
    </row>
    <row r="11660" spans="1:8">
      <c r="H11660" t="s">
        <v>29694</v>
      </c>
    </row>
    <row r="11661" spans="1:8">
      <c r="H11661" t="s">
        <v>29695</v>
      </c>
    </row>
    <row r="11662" spans="1:8">
      <c r="H11662" t="s">
        <v>29696</v>
      </c>
    </row>
    <row r="11663" spans="1:8">
      <c r="H11663" t="s">
        <v>29697</v>
      </c>
    </row>
    <row r="11664" spans="1:8">
      <c r="H11664" t="s">
        <v>29698</v>
      </c>
    </row>
    <row r="11665" spans="1:8">
      <c r="H11665" t="s">
        <v>29699</v>
      </c>
    </row>
    <row r="11666" spans="1:8">
      <c r="H11666" t="s">
        <v>29700</v>
      </c>
    </row>
    <row r="11667" spans="1:8">
      <c r="A11667" t="s">
        <v>1762</v>
      </c>
      <c r="B11667">
        <f>HYPERLINK("https://android.googlesource.com/platform/cts/+/8fb399b5028e0bfeba9334d055a19a3009e479b6", "8fb399b5028e0bfeba9334d055a19a3009e479b6")</f>
        <v>0</v>
      </c>
      <c r="C11667">
        <f>HYPERLINK("https://android.googlesource.com/platform/cts/+/e2837b79959f4a2505f18d3f821326df2182a944", "e2837b79959f4a2505f18d3f821326df2182a944")</f>
        <v>0</v>
      </c>
      <c r="D11667" t="s">
        <v>5272</v>
      </c>
      <c r="E11667" t="s">
        <v>7514</v>
      </c>
      <c r="F11667" t="s">
        <v>13406</v>
      </c>
      <c r="G11667" t="s">
        <v>17532</v>
      </c>
      <c r="H11667" t="s">
        <v>29704</v>
      </c>
    </row>
    <row r="11668" spans="1:8">
      <c r="A11668" t="s">
        <v>1766</v>
      </c>
      <c r="B11668">
        <f>HYPERLINK("https://android.googlesource.com/platform/cts/+/f259159ca7ba7c2996c5083cac1d9f469ad2a12c", "f259159ca7ba7c2996c5083cac1d9f469ad2a12c")</f>
        <v>0</v>
      </c>
      <c r="C11668">
        <f>HYPERLINK("https://android.googlesource.com/platform/cts/+/f8c88838fef98b165d706235b3da9b36bf896067", "f8c88838fef98b165d706235b3da9b36bf896067")</f>
        <v>0</v>
      </c>
      <c r="D11668" t="s">
        <v>5265</v>
      </c>
      <c r="E11668" t="s">
        <v>7518</v>
      </c>
      <c r="F11668" t="s">
        <v>10756</v>
      </c>
      <c r="G11668" t="s">
        <v>15154</v>
      </c>
      <c r="H11668" t="s">
        <v>18876</v>
      </c>
    </row>
    <row r="11669" spans="1:8">
      <c r="A11669" t="s">
        <v>1767</v>
      </c>
      <c r="B11669">
        <f>HYPERLINK("https://android.googlesource.com/platform/cts/+/e29b8e0f467c80bfedd4795938b3e04b3177c566", "e29b8e0f467c80bfedd4795938b3e04b3177c566")</f>
        <v>0</v>
      </c>
      <c r="C11669">
        <f>HYPERLINK("https://android.googlesource.com/platform/cts/+/b042a4415dbe145728a49dee81aa92b594c601de", "b042a4415dbe145728a49dee81aa92b594c601de")</f>
        <v>0</v>
      </c>
      <c r="D11669" t="s">
        <v>5191</v>
      </c>
      <c r="E11669" t="s">
        <v>7519</v>
      </c>
      <c r="F11669" t="s">
        <v>13410</v>
      </c>
      <c r="G11669" t="s">
        <v>17536</v>
      </c>
      <c r="H11669" t="s">
        <v>29715</v>
      </c>
    </row>
    <row r="11670" spans="1:8">
      <c r="H11670" t="s">
        <v>29717</v>
      </c>
    </row>
    <row r="11671" spans="1:8">
      <c r="A11671" t="s">
        <v>1768</v>
      </c>
      <c r="B11671">
        <f>HYPERLINK("https://android.googlesource.com/platform/cts/+/c57c89091963b9eb0428277d1ece22b1fda8d524", "c57c89091963b9eb0428277d1ece22b1fda8d524")</f>
        <v>0</v>
      </c>
      <c r="C11671">
        <f>HYPERLINK("https://android.googlesource.com/platform/cts/+/a8b3fdfef93dc139a7edcb2bd44cb379f2526e1d", "a8b3fdfef93dc139a7edcb2bd44cb379f2526e1d")</f>
        <v>0</v>
      </c>
      <c r="D11671" t="s">
        <v>5273</v>
      </c>
      <c r="E11671" t="s">
        <v>7520</v>
      </c>
      <c r="F11671" t="s">
        <v>13350</v>
      </c>
      <c r="G11671" t="s">
        <v>17477</v>
      </c>
      <c r="H11671" t="s">
        <v>29428</v>
      </c>
    </row>
    <row r="11672" spans="1:8">
      <c r="F11672" t="s">
        <v>13411</v>
      </c>
      <c r="G11672" t="s">
        <v>17537</v>
      </c>
      <c r="H11672" t="s">
        <v>29718</v>
      </c>
    </row>
    <row r="11673" spans="1:8">
      <c r="A11673" t="s">
        <v>1770</v>
      </c>
      <c r="B11673">
        <f>HYPERLINK("https://android.googlesource.com/platform/cts/+/ffc30d238afb7a0832d11a6740cd7fa973fa127f", "ffc30d238afb7a0832d11a6740cd7fa973fa127f")</f>
        <v>0</v>
      </c>
      <c r="C11673">
        <f>HYPERLINK("https://android.googlesource.com/platform/cts/+/ddde083e52bea0b6c4c36a963b81fcb547ccc114", "ddde083e52bea0b6c4c36a963b81fcb547ccc114")</f>
        <v>0</v>
      </c>
      <c r="D11673" t="s">
        <v>5110</v>
      </c>
      <c r="E11673" t="s">
        <v>7522</v>
      </c>
      <c r="F11673" t="s">
        <v>12901</v>
      </c>
      <c r="G11673" t="s">
        <v>17068</v>
      </c>
      <c r="H11673" t="s">
        <v>26877</v>
      </c>
    </row>
    <row r="11674" spans="1:8">
      <c r="A11674" t="s">
        <v>1771</v>
      </c>
      <c r="B11674">
        <f>HYPERLINK("https://android.googlesource.com/platform/cts/+/3ae8059ea47c78869bc8aa1d0a8a4a7b726bf019", "3ae8059ea47c78869bc8aa1d0a8a4a7b726bf019")</f>
        <v>0</v>
      </c>
      <c r="C11674">
        <f>HYPERLINK("https://android.googlesource.com/platform/cts/+/3ddbd06f88653089694dca05c673227b6f5b9204", "3ddbd06f88653089694dca05c673227b6f5b9204")</f>
        <v>0</v>
      </c>
      <c r="D11674" t="s">
        <v>5215</v>
      </c>
      <c r="E11674" t="s">
        <v>7523</v>
      </c>
      <c r="F11674" t="s">
        <v>13032</v>
      </c>
      <c r="G11674" t="s">
        <v>17196</v>
      </c>
      <c r="H11674" t="s">
        <v>29486</v>
      </c>
    </row>
    <row r="11675" spans="1:8">
      <c r="H11675" t="s">
        <v>29487</v>
      </c>
    </row>
    <row r="11676" spans="1:8">
      <c r="H11676" t="s">
        <v>29488</v>
      </c>
    </row>
    <row r="11677" spans="1:8">
      <c r="A11677" t="s">
        <v>1773</v>
      </c>
      <c r="B11677">
        <f>HYPERLINK("https://android.googlesource.com/platform/cts/+/1167a04c6665713c3eb45906fa2c96d897e45cc5", "1167a04c6665713c3eb45906fa2c96d897e45cc5")</f>
        <v>0</v>
      </c>
      <c r="C11677">
        <f>HYPERLINK("https://android.googlesource.com/platform/cts/+/24c13049d91476ac27ca097212fbe4b558776c41", "24c13049d91476ac27ca097212fbe4b558776c41")</f>
        <v>0</v>
      </c>
      <c r="D11677" t="s">
        <v>5273</v>
      </c>
      <c r="E11677" t="s">
        <v>7525</v>
      </c>
      <c r="F11677" t="s">
        <v>13411</v>
      </c>
      <c r="G11677" t="s">
        <v>17537</v>
      </c>
      <c r="H11677" t="s">
        <v>29718</v>
      </c>
    </row>
    <row r="11678" spans="1:8">
      <c r="A11678" t="s">
        <v>1778</v>
      </c>
      <c r="B11678">
        <f>HYPERLINK("https://android.googlesource.com/platform/cts/+/622e278dec59cd44af2e8a80bbac3fd58a95d028", "622e278dec59cd44af2e8a80bbac3fd58a95d028")</f>
        <v>0</v>
      </c>
      <c r="C11678">
        <f>HYPERLINK("https://android.googlesource.com/platform/cts/+/2976943ffe98aa57891ae482ab299bb43cb172dd", "2976943ffe98aa57891ae482ab299bb43cb172dd")</f>
        <v>0</v>
      </c>
      <c r="D11678" t="s">
        <v>5215</v>
      </c>
      <c r="E11678" t="s">
        <v>7530</v>
      </c>
      <c r="F11678" t="s">
        <v>13032</v>
      </c>
      <c r="G11678" t="s">
        <v>17196</v>
      </c>
      <c r="H11678" t="s">
        <v>29735</v>
      </c>
    </row>
    <row r="11679" spans="1:8">
      <c r="A11679" t="s">
        <v>1780</v>
      </c>
      <c r="B11679">
        <f>HYPERLINK("https://android.googlesource.com/platform/cts/+/d358aeaf0219351bddbbae3d9659b4dde476d228", "d358aeaf0219351bddbbae3d9659b4dde476d228")</f>
        <v>0</v>
      </c>
      <c r="C11679">
        <f>HYPERLINK("https://android.googlesource.com/platform/cts/+/0f49b808388f10b13b5d805b8324309b4817f4f2", "0f49b808388f10b13b5d805b8324309b4817f4f2")</f>
        <v>0</v>
      </c>
      <c r="D11679" t="s">
        <v>5134</v>
      </c>
      <c r="E11679" t="s">
        <v>7532</v>
      </c>
      <c r="F11679" t="s">
        <v>13416</v>
      </c>
      <c r="G11679" t="s">
        <v>17542</v>
      </c>
      <c r="H11679" t="s">
        <v>29739</v>
      </c>
    </row>
    <row r="11680" spans="1:8">
      <c r="H11680" t="s">
        <v>29740</v>
      </c>
    </row>
    <row r="11681" spans="1:8">
      <c r="H11681" t="s">
        <v>29741</v>
      </c>
    </row>
    <row r="11682" spans="1:8">
      <c r="H11682" t="s">
        <v>29742</v>
      </c>
    </row>
    <row r="11683" spans="1:8">
      <c r="H11683" t="s">
        <v>29743</v>
      </c>
    </row>
    <row r="11684" spans="1:8">
      <c r="H11684" t="s">
        <v>29744</v>
      </c>
    </row>
    <row r="11685" spans="1:8">
      <c r="A11685" t="s">
        <v>1783</v>
      </c>
      <c r="B11685">
        <f>HYPERLINK("https://android.googlesource.com/platform/cts/+/2052c7b87c9d9f129bae3808169bea604d3fc7ec", "2052c7b87c9d9f129bae3808169bea604d3fc7ec")</f>
        <v>0</v>
      </c>
      <c r="C11685">
        <f>HYPERLINK("https://android.googlesource.com/platform/cts/+/d38861f49e61da295b315b44e387d8218cb6aacd", "d38861f49e61da295b315b44e387d8218cb6aacd")</f>
        <v>0</v>
      </c>
      <c r="D11685" t="s">
        <v>5278</v>
      </c>
      <c r="E11685" t="s">
        <v>7535</v>
      </c>
      <c r="F11685" t="s">
        <v>13418</v>
      </c>
      <c r="G11685" t="s">
        <v>17544</v>
      </c>
      <c r="H11685" t="s">
        <v>29747</v>
      </c>
    </row>
    <row r="11686" spans="1:8">
      <c r="H11686" t="s">
        <v>29748</v>
      </c>
    </row>
    <row r="11687" spans="1:8">
      <c r="H11687" t="s">
        <v>29749</v>
      </c>
    </row>
    <row r="11688" spans="1:8">
      <c r="H11688" t="s">
        <v>29750</v>
      </c>
    </row>
    <row r="11689" spans="1:8">
      <c r="H11689" t="s">
        <v>29751</v>
      </c>
    </row>
    <row r="11690" spans="1:8">
      <c r="H11690" t="s">
        <v>29752</v>
      </c>
    </row>
    <row r="11691" spans="1:8">
      <c r="H11691" t="s">
        <v>29753</v>
      </c>
    </row>
    <row r="11692" spans="1:8">
      <c r="H11692" t="s">
        <v>29754</v>
      </c>
    </row>
    <row r="11693" spans="1:8">
      <c r="A11693" t="s">
        <v>1784</v>
      </c>
      <c r="B11693">
        <f>HYPERLINK("https://android.googlesource.com/platform/cts/+/a1f4131c8170703ea9bd2ec476ab940c555468b0", "a1f4131c8170703ea9bd2ec476ab940c555468b0")</f>
        <v>0</v>
      </c>
      <c r="C11693">
        <f>HYPERLINK("https://android.googlesource.com/platform/cts/+/6ea911e6e23e9204b2be7104c64b58069d1d2ef8", "6ea911e6e23e9204b2be7104c64b58069d1d2ef8")</f>
        <v>0</v>
      </c>
      <c r="D11693" t="s">
        <v>5258</v>
      </c>
      <c r="E11693" t="s">
        <v>7536</v>
      </c>
      <c r="F11693" t="s">
        <v>12406</v>
      </c>
      <c r="G11693" t="s">
        <v>16628</v>
      </c>
      <c r="H11693" t="s">
        <v>29756</v>
      </c>
    </row>
    <row r="11694" spans="1:8">
      <c r="A11694" t="s">
        <v>1785</v>
      </c>
      <c r="B11694">
        <f>HYPERLINK("https://android.googlesource.com/platform/cts/+/caeffb4cc5cda772f760694bcf32a6026f70fae4", "caeffb4cc5cda772f760694bcf32a6026f70fae4")</f>
        <v>0</v>
      </c>
      <c r="C11694">
        <f>HYPERLINK("https://android.googlesource.com/platform/cts/+/1b7de239759b6cbbc13e81f92823ff388fcf9988", "1b7de239759b6cbbc13e81f92823ff388fcf9988")</f>
        <v>0</v>
      </c>
      <c r="D11694" t="s">
        <v>5134</v>
      </c>
      <c r="E11694" t="s">
        <v>7537</v>
      </c>
      <c r="F11694" t="s">
        <v>13420</v>
      </c>
      <c r="G11694" t="s">
        <v>17546</v>
      </c>
      <c r="H11694" t="s">
        <v>29762</v>
      </c>
    </row>
    <row r="11695" spans="1:8">
      <c r="H11695" t="s">
        <v>29763</v>
      </c>
    </row>
    <row r="11696" spans="1:8">
      <c r="A11696" t="s">
        <v>1786</v>
      </c>
      <c r="B11696">
        <f>HYPERLINK("https://android.googlesource.com/platform/cts/+/c245c4bbb7349060e10a7006edf8fad5646d8e95", "c245c4bbb7349060e10a7006edf8fad5646d8e95")</f>
        <v>0</v>
      </c>
      <c r="C11696">
        <f>HYPERLINK("https://android.googlesource.com/platform/cts/+/50e2160d0b8f6f6f53c2d621aa7bf4cd5bb14f78", "50e2160d0b8f6f6f53c2d621aa7bf4cd5bb14f78")</f>
        <v>0</v>
      </c>
      <c r="D11696" t="s">
        <v>5269</v>
      </c>
      <c r="E11696" t="s">
        <v>7538</v>
      </c>
      <c r="F11696" t="s">
        <v>12841</v>
      </c>
      <c r="G11696" t="s">
        <v>15119</v>
      </c>
      <c r="H11696" t="s">
        <v>29766</v>
      </c>
    </row>
    <row r="11697" spans="1:8">
      <c r="A11697" t="s">
        <v>1792</v>
      </c>
      <c r="B11697">
        <f>HYPERLINK("https://android.googlesource.com/platform/cts/+/d84fb8030c0cd185ca4462fcfb2d61ec61b4f50a", "d84fb8030c0cd185ca4462fcfb2d61ec61b4f50a")</f>
        <v>0</v>
      </c>
      <c r="C11697">
        <f>HYPERLINK("https://android.googlesource.com/platform/cts/+/0ac259c1d056e7e5814baacbfea4916f7453b3e5", "0ac259c1d056e7e5814baacbfea4916f7453b3e5")</f>
        <v>0</v>
      </c>
      <c r="D11697" t="s">
        <v>5046</v>
      </c>
      <c r="E11697" t="s">
        <v>7543</v>
      </c>
      <c r="F11697" t="s">
        <v>13422</v>
      </c>
      <c r="G11697" t="s">
        <v>16418</v>
      </c>
      <c r="H11697" t="s">
        <v>28615</v>
      </c>
    </row>
    <row r="11698" spans="1:8">
      <c r="A11698" t="s">
        <v>1794</v>
      </c>
      <c r="B11698">
        <f>HYPERLINK("https://android.googlesource.com/platform/cts/+/fc614de2bc767334108662c001a024da63971ec5", "fc614de2bc767334108662c001a024da63971ec5")</f>
        <v>0</v>
      </c>
      <c r="C11698">
        <f>HYPERLINK("https://android.googlesource.com/platform/cts/+/fb6eb1c90d5a7205f881b794e8ed146e75f88966", "fb6eb1c90d5a7205f881b794e8ed146e75f88966")</f>
        <v>0</v>
      </c>
      <c r="D11698" t="s">
        <v>5046</v>
      </c>
      <c r="E11698" t="s">
        <v>7545</v>
      </c>
      <c r="F11698" t="s">
        <v>13424</v>
      </c>
      <c r="G11698" t="s">
        <v>17548</v>
      </c>
      <c r="H11698" t="s">
        <v>29770</v>
      </c>
    </row>
    <row r="11699" spans="1:8">
      <c r="A11699" t="s">
        <v>1797</v>
      </c>
      <c r="B11699">
        <f>HYPERLINK("https://android.googlesource.com/platform/cts/+/df9f00f93c144b32442f31df26ec97d6e123d57f", "df9f00f93c144b32442f31df26ec97d6e123d57f")</f>
        <v>0</v>
      </c>
      <c r="C11699">
        <f>HYPERLINK("https://android.googlesource.com/platform/cts/+/1b09e54155e343105d236ab86d7a288ab0523428", "1b09e54155e343105d236ab86d7a288ab0523428")</f>
        <v>0</v>
      </c>
      <c r="D11699" t="s">
        <v>4960</v>
      </c>
      <c r="E11699" t="s">
        <v>7548</v>
      </c>
      <c r="F11699" t="s">
        <v>13426</v>
      </c>
      <c r="G11699" t="s">
        <v>17550</v>
      </c>
      <c r="H11699" t="s">
        <v>29789</v>
      </c>
    </row>
    <row r="11700" spans="1:8">
      <c r="H11700" t="s">
        <v>29790</v>
      </c>
    </row>
    <row r="11701" spans="1:8">
      <c r="H11701" t="s">
        <v>29791</v>
      </c>
    </row>
    <row r="11702" spans="1:8">
      <c r="A11702" t="s">
        <v>1798</v>
      </c>
      <c r="B11702">
        <f>HYPERLINK("https://android.googlesource.com/platform/cts/+/d4b42453e338a44dbe752ebcc4657655d2c08b88", "d4b42453e338a44dbe752ebcc4657655d2c08b88")</f>
        <v>0</v>
      </c>
      <c r="C11702">
        <f>HYPERLINK("https://android.googlesource.com/platform/cts/+/0405f295e97122381e1243e134d43457366a87f0", "0405f295e97122381e1243e134d43457366a87f0")</f>
        <v>0</v>
      </c>
      <c r="D11702" t="s">
        <v>5193</v>
      </c>
      <c r="E11702" t="s">
        <v>7549</v>
      </c>
      <c r="F11702" t="s">
        <v>13427</v>
      </c>
      <c r="G11702" t="s">
        <v>17551</v>
      </c>
      <c r="H11702" t="s">
        <v>29792</v>
      </c>
    </row>
    <row r="11703" spans="1:8">
      <c r="H11703" t="s">
        <v>29793</v>
      </c>
    </row>
    <row r="11704" spans="1:8">
      <c r="A11704" t="s">
        <v>1802</v>
      </c>
      <c r="B11704">
        <f>HYPERLINK("https://android.googlesource.com/platform/cts/+/a2e1390f05a5f7b55795ab111a4f7d374ad08c4f", "a2e1390f05a5f7b55795ab111a4f7d374ad08c4f")</f>
        <v>0</v>
      </c>
      <c r="C11704">
        <f>HYPERLINK("https://android.googlesource.com/platform/cts/+/75ae3e1c15aeb84bb08e5ff49e62ccc6ae2e2665", "75ae3e1c15aeb84bb08e5ff49e62ccc6ae2e2665")</f>
        <v>0</v>
      </c>
      <c r="D11704" t="s">
        <v>5280</v>
      </c>
      <c r="E11704" t="s">
        <v>7553</v>
      </c>
      <c r="F11704" t="s">
        <v>12710</v>
      </c>
      <c r="G11704" t="s">
        <v>16911</v>
      </c>
      <c r="H11704" t="s">
        <v>29797</v>
      </c>
    </row>
    <row r="11705" spans="1:8">
      <c r="A11705" t="s">
        <v>1803</v>
      </c>
      <c r="B11705">
        <f>HYPERLINK("https://android.googlesource.com/platform/cts/+/06c47e3298a42ca6b70aa1d516edec019aca9d45", "06c47e3298a42ca6b70aa1d516edec019aca9d45")</f>
        <v>0</v>
      </c>
      <c r="C11705">
        <f>HYPERLINK("https://android.googlesource.com/platform/cts/+/b75fac9354e55876b0e50dde329da61d65f0bfbe", "b75fac9354e55876b0e50dde329da61d65f0bfbe")</f>
        <v>0</v>
      </c>
      <c r="D11705" t="s">
        <v>5281</v>
      </c>
      <c r="E11705" t="s">
        <v>7554</v>
      </c>
      <c r="F11705" t="s">
        <v>13431</v>
      </c>
      <c r="G11705" t="s">
        <v>17555</v>
      </c>
      <c r="H11705" t="s">
        <v>29798</v>
      </c>
    </row>
    <row r="11706" spans="1:8">
      <c r="A11706" t="s">
        <v>1806</v>
      </c>
      <c r="B11706">
        <f>HYPERLINK("https://android.googlesource.com/platform/cts/+/a6490cbf87d8a2ab182b30af44ca00933cb9ab5b", "a6490cbf87d8a2ab182b30af44ca00933cb9ab5b")</f>
        <v>0</v>
      </c>
      <c r="C11706">
        <f>HYPERLINK("https://android.googlesource.com/platform/cts/+/c0bd71ea57614aafaf9eb287e5e4c3f308221fec", "c0bd71ea57614aafaf9eb287e5e4c3f308221fec")</f>
        <v>0</v>
      </c>
      <c r="D11706" t="s">
        <v>5046</v>
      </c>
      <c r="E11706" t="s">
        <v>7556</v>
      </c>
      <c r="F11706" t="s">
        <v>13432</v>
      </c>
      <c r="G11706" t="s">
        <v>17556</v>
      </c>
      <c r="H11706" t="s">
        <v>29799</v>
      </c>
    </row>
    <row r="11707" spans="1:8">
      <c r="F11707" t="s">
        <v>13433</v>
      </c>
      <c r="G11707" t="s">
        <v>17557</v>
      </c>
      <c r="H11707" t="s">
        <v>29800</v>
      </c>
    </row>
    <row r="11708" spans="1:8">
      <c r="A11708" t="s">
        <v>1807</v>
      </c>
      <c r="B11708">
        <f>HYPERLINK("https://android.googlesource.com/platform/cts/+/807291f0bc780df7c37169fc4e340937f7f321d2", "807291f0bc780df7c37169fc4e340937f7f321d2")</f>
        <v>0</v>
      </c>
      <c r="C11708">
        <f>HYPERLINK("https://android.googlesource.com/platform/cts/+/b6cb77792e3abf2fbf4d4abbd32d01809713db15", "b6cb77792e3abf2fbf4d4abbd32d01809713db15")</f>
        <v>0</v>
      </c>
      <c r="D11708" t="s">
        <v>5046</v>
      </c>
      <c r="E11708" t="s">
        <v>7557</v>
      </c>
      <c r="F11708" t="s">
        <v>13432</v>
      </c>
      <c r="G11708" t="s">
        <v>17556</v>
      </c>
      <c r="H11708" t="s">
        <v>29801</v>
      </c>
    </row>
    <row r="11709" spans="1:8">
      <c r="H11709" t="s">
        <v>29802</v>
      </c>
    </row>
    <row r="11710" spans="1:8">
      <c r="F11710" t="s">
        <v>13433</v>
      </c>
      <c r="G11710" t="s">
        <v>17557</v>
      </c>
      <c r="H11710" t="s">
        <v>29804</v>
      </c>
    </row>
    <row r="11711" spans="1:8">
      <c r="H11711" t="s">
        <v>29805</v>
      </c>
    </row>
    <row r="11712" spans="1:8">
      <c r="A11712" t="s">
        <v>1816</v>
      </c>
      <c r="B11712">
        <f>HYPERLINK("https://android.googlesource.com/platform/cts/+/02f7f4a5bfc8749962f1634ef83b96ab2a3150ac", "02f7f4a5bfc8749962f1634ef83b96ab2a3150ac")</f>
        <v>0</v>
      </c>
      <c r="C11712">
        <f>HYPERLINK("https://android.googlesource.com/platform/cts/+/40d7fbd4b39b1a6751ddf12dbd2d1639e99d3d45", "40d7fbd4b39b1a6751ddf12dbd2d1639e99d3d45")</f>
        <v>0</v>
      </c>
      <c r="D11712" t="s">
        <v>5046</v>
      </c>
      <c r="E11712" t="s">
        <v>7564</v>
      </c>
      <c r="F11712" t="s">
        <v>13432</v>
      </c>
      <c r="G11712" t="s">
        <v>17556</v>
      </c>
      <c r="H11712" t="s">
        <v>29817</v>
      </c>
    </row>
    <row r="11713" spans="1:8">
      <c r="A11713" t="s">
        <v>1818</v>
      </c>
      <c r="B11713">
        <f>HYPERLINK("https://android.googlesource.com/platform/cts/+/f6949d08c0ece339cbfeaa653e1e69c36529559f", "f6949d08c0ece339cbfeaa653e1e69c36529559f")</f>
        <v>0</v>
      </c>
      <c r="C11713">
        <f>HYPERLINK("https://android.googlesource.com/platform/cts/+/99d9d9718502356286e0b1847d2e06da0347c4b4", "99d9d9718502356286e0b1847d2e06da0347c4b4")</f>
        <v>0</v>
      </c>
      <c r="D11713" t="s">
        <v>5046</v>
      </c>
      <c r="E11713" t="s">
        <v>7566</v>
      </c>
      <c r="F11713" t="s">
        <v>13432</v>
      </c>
      <c r="G11713" t="s">
        <v>17556</v>
      </c>
      <c r="H11713" t="s">
        <v>29818</v>
      </c>
    </row>
    <row r="11714" spans="1:8">
      <c r="H11714" t="s">
        <v>29819</v>
      </c>
    </row>
    <row r="11715" spans="1:8">
      <c r="A11715" t="s">
        <v>1821</v>
      </c>
      <c r="B11715">
        <f>HYPERLINK("https://android.googlesource.com/platform/cts/+/27a09701c8190a1aaf829de288c34bdf9bc43d54", "27a09701c8190a1aaf829de288c34bdf9bc43d54")</f>
        <v>0</v>
      </c>
      <c r="C11715">
        <f>HYPERLINK("https://android.googlesource.com/platform/cts/+/a2e1390f05a5f7b55795ab111a4f7d374ad08c4f", "a2e1390f05a5f7b55795ab111a4f7d374ad08c4f")</f>
        <v>0</v>
      </c>
      <c r="D11715" t="s">
        <v>5280</v>
      </c>
      <c r="E11715" t="s">
        <v>7568</v>
      </c>
      <c r="F11715" t="s">
        <v>12710</v>
      </c>
      <c r="G11715" t="s">
        <v>16911</v>
      </c>
      <c r="H11715" t="s">
        <v>29826</v>
      </c>
    </row>
    <row r="11716" spans="1:8">
      <c r="A11716" t="s">
        <v>1822</v>
      </c>
      <c r="B11716">
        <f>HYPERLINK("https://android.googlesource.com/platform/cts/+/8b285538aaca0f6945a74c90309d5f2c2fd73288", "8b285538aaca0f6945a74c90309d5f2c2fd73288")</f>
        <v>0</v>
      </c>
      <c r="C11716">
        <f>HYPERLINK("https://android.googlesource.com/platform/cts/+/e5683a73191951a9e19b3c998da88cfd955ca022", "e5683a73191951a9e19b3c998da88cfd955ca022")</f>
        <v>0</v>
      </c>
      <c r="D11716" t="s">
        <v>5283</v>
      </c>
      <c r="E11716" t="s">
        <v>7569</v>
      </c>
      <c r="F11716" t="s">
        <v>13440</v>
      </c>
      <c r="G11716" t="s">
        <v>17562</v>
      </c>
      <c r="H11716" t="s">
        <v>29827</v>
      </c>
    </row>
    <row r="11717" spans="1:8">
      <c r="A11717" t="s">
        <v>1823</v>
      </c>
      <c r="B11717">
        <f>HYPERLINK("https://android.googlesource.com/platform/cts/+/07383f52e40d18baeac3a1188f8b472f4b0672ab", "07383f52e40d18baeac3a1188f8b472f4b0672ab")</f>
        <v>0</v>
      </c>
      <c r="C11717">
        <f>HYPERLINK("https://android.googlesource.com/platform/cts/+/4cd3817c07355301dab0f158bbe3d44c182c1849", "4cd3817c07355301dab0f158bbe3d44c182c1849")</f>
        <v>0</v>
      </c>
      <c r="D11717" t="s">
        <v>5146</v>
      </c>
      <c r="E11717" t="s">
        <v>7570</v>
      </c>
      <c r="F11717" t="s">
        <v>12845</v>
      </c>
      <c r="G11717" t="s">
        <v>16561</v>
      </c>
      <c r="H11717" t="s">
        <v>20276</v>
      </c>
    </row>
    <row r="11718" spans="1:8">
      <c r="F11718" t="s">
        <v>12860</v>
      </c>
      <c r="G11718" t="s">
        <v>17029</v>
      </c>
      <c r="H11718" t="s">
        <v>29831</v>
      </c>
    </row>
    <row r="11719" spans="1:8">
      <c r="A11719" t="s">
        <v>1827</v>
      </c>
      <c r="B11719">
        <f>HYPERLINK("https://android.googlesource.com/platform/cts/+/8b022c8c608ebaa48a5b94880a1eeb125aefc042", "8b022c8c608ebaa48a5b94880a1eeb125aefc042")</f>
        <v>0</v>
      </c>
      <c r="C11719">
        <f>HYPERLINK("https://android.googlesource.com/platform/cts/+/ee58e66f8526ac1eb6985f209ce116aa1aed2b45", "ee58e66f8526ac1eb6985f209ce116aa1aed2b45")</f>
        <v>0</v>
      </c>
      <c r="D11719" t="s">
        <v>5285</v>
      </c>
      <c r="E11719" t="s">
        <v>7574</v>
      </c>
      <c r="F11719" t="s">
        <v>12629</v>
      </c>
      <c r="G11719" t="s">
        <v>16838</v>
      </c>
      <c r="H11719" t="s">
        <v>29837</v>
      </c>
    </row>
    <row r="11720" spans="1:8">
      <c r="H11720" t="s">
        <v>29838</v>
      </c>
    </row>
    <row r="11721" spans="1:8">
      <c r="A11721" t="s">
        <v>1830</v>
      </c>
      <c r="B11721">
        <f>HYPERLINK("https://android.googlesource.com/platform/cts/+/4fcbb81d4fdff0fab6aebffebff67af697d90986", "4fcbb81d4fdff0fab6aebffebff67af697d90986")</f>
        <v>0</v>
      </c>
      <c r="C11721">
        <f>HYPERLINK("https://android.googlesource.com/platform/cts/+/98c0df34658acc8fdf27d6cd44050d4844770b63", "98c0df34658acc8fdf27d6cd44050d4844770b63")</f>
        <v>0</v>
      </c>
      <c r="D11721" t="s">
        <v>5280</v>
      </c>
      <c r="E11721" t="s">
        <v>7577</v>
      </c>
      <c r="F11721" t="s">
        <v>12710</v>
      </c>
      <c r="G11721" t="s">
        <v>16911</v>
      </c>
      <c r="H11721" t="s">
        <v>29584</v>
      </c>
    </row>
    <row r="11722" spans="1:8">
      <c r="A11722" t="s">
        <v>1832</v>
      </c>
      <c r="B11722">
        <f>HYPERLINK("https://android.googlesource.com/platform/cts/+/14ebdc825353c2b16f66c3a276cb865cab96e69e", "14ebdc825353c2b16f66c3a276cb865cab96e69e")</f>
        <v>0</v>
      </c>
      <c r="C11722">
        <f>HYPERLINK("https://android.googlesource.com/platform/cts/+/4d75df2d3e7bca502354af043fc51c1caf8dfe09", "4d75df2d3e7bca502354af043fc51c1caf8dfe09")</f>
        <v>0</v>
      </c>
      <c r="D11722" t="s">
        <v>5288</v>
      </c>
      <c r="E11722" t="s">
        <v>7579</v>
      </c>
      <c r="F11722" t="s">
        <v>13445</v>
      </c>
      <c r="G11722" t="s">
        <v>17567</v>
      </c>
      <c r="H11722" t="s">
        <v>29844</v>
      </c>
    </row>
    <row r="11723" spans="1:8">
      <c r="H11723" t="s">
        <v>29845</v>
      </c>
    </row>
    <row r="11724" spans="1:8">
      <c r="H11724" t="s">
        <v>29846</v>
      </c>
    </row>
    <row r="11725" spans="1:8">
      <c r="H11725" t="s">
        <v>29847</v>
      </c>
    </row>
    <row r="11726" spans="1:8">
      <c r="A11726" t="s">
        <v>1834</v>
      </c>
      <c r="B11726">
        <f>HYPERLINK("https://android.googlesource.com/platform/cts/+/5d268e23679340f6217b77b32480a2c331cc62ee", "5d268e23679340f6217b77b32480a2c331cc62ee")</f>
        <v>0</v>
      </c>
      <c r="C11726">
        <f>HYPERLINK("https://android.googlesource.com/platform/cts/+/dfdcc0eda744be765642560c5f9583822da3907a", "dfdcc0eda744be765642560c5f9583822da3907a")</f>
        <v>0</v>
      </c>
      <c r="D11726" t="s">
        <v>5134</v>
      </c>
      <c r="E11726" t="s">
        <v>7581</v>
      </c>
      <c r="F11726" t="s">
        <v>13446</v>
      </c>
      <c r="G11726" t="s">
        <v>17568</v>
      </c>
      <c r="H11726" t="s">
        <v>29779</v>
      </c>
    </row>
    <row r="11727" spans="1:8">
      <c r="H11727" t="s">
        <v>29780</v>
      </c>
    </row>
    <row r="11728" spans="1:8">
      <c r="H11728" t="s">
        <v>29781</v>
      </c>
    </row>
    <row r="11729" spans="1:8">
      <c r="H11729" t="s">
        <v>29782</v>
      </c>
    </row>
    <row r="11730" spans="1:8">
      <c r="H11730" t="s">
        <v>29783</v>
      </c>
    </row>
    <row r="11731" spans="1:8">
      <c r="H11731" t="s">
        <v>29784</v>
      </c>
    </row>
    <row r="11732" spans="1:8">
      <c r="H11732" t="s">
        <v>29785</v>
      </c>
    </row>
    <row r="11733" spans="1:8">
      <c r="A11733" t="s">
        <v>1836</v>
      </c>
      <c r="B11733">
        <f>HYPERLINK("https://android.googlesource.com/platform/cts/+/a1d2c8086f63aaeb87313a778c274e80161b0f46", "a1d2c8086f63aaeb87313a778c274e80161b0f46")</f>
        <v>0</v>
      </c>
      <c r="C11733">
        <f>HYPERLINK("https://android.googlesource.com/platform/cts/+/e7ed22a14357e43b65b6a9258843bfdaa255e0a1", "e7ed22a14357e43b65b6a9258843bfdaa255e0a1")</f>
        <v>0</v>
      </c>
      <c r="D11733" t="s">
        <v>5110</v>
      </c>
      <c r="E11733" t="s">
        <v>7583</v>
      </c>
      <c r="F11733" t="s">
        <v>12629</v>
      </c>
      <c r="G11733" t="s">
        <v>16838</v>
      </c>
      <c r="H11733" t="s">
        <v>29852</v>
      </c>
    </row>
    <row r="11734" spans="1:8">
      <c r="A11734" t="s">
        <v>1837</v>
      </c>
      <c r="B11734">
        <f>HYPERLINK("https://android.googlesource.com/platform/cts/+/a15c8f1c5618f6c28da8a94fc608b7c114eab34c", "a15c8f1c5618f6c28da8a94fc608b7c114eab34c")</f>
        <v>0</v>
      </c>
      <c r="C11734">
        <f>HYPERLINK("https://android.googlesource.com/platform/cts/+/9eb0439a016e0f757b527a94a9c25fa7e69c48f2", "9eb0439a016e0f757b527a94a9c25fa7e69c48f2")</f>
        <v>0</v>
      </c>
      <c r="D11734" t="s">
        <v>5117</v>
      </c>
      <c r="E11734" t="s">
        <v>7584</v>
      </c>
      <c r="F11734" t="s">
        <v>13448</v>
      </c>
      <c r="G11734" t="s">
        <v>17570</v>
      </c>
      <c r="H11734" t="s">
        <v>29853</v>
      </c>
    </row>
    <row r="11735" spans="1:8">
      <c r="H11735" t="s">
        <v>29854</v>
      </c>
    </row>
    <row r="11736" spans="1:8">
      <c r="A11736" t="s">
        <v>1841</v>
      </c>
      <c r="B11736">
        <f>HYPERLINK("https://android.googlesource.com/platform/cts/+/392b9300fbc3f1ddf7c3e2b8e2d5d6e0b94d1637", "392b9300fbc3f1ddf7c3e2b8e2d5d6e0b94d1637")</f>
        <v>0</v>
      </c>
      <c r="C11736">
        <f>HYPERLINK("https://android.googlesource.com/platform/cts/+/a9e2ea44e979164178abc23740d882db3c297f7a", "a9e2ea44e979164178abc23740d882db3c297f7a")</f>
        <v>0</v>
      </c>
      <c r="D11736" t="s">
        <v>5191</v>
      </c>
      <c r="E11736" t="s">
        <v>7587</v>
      </c>
      <c r="F11736" t="s">
        <v>13404</v>
      </c>
      <c r="G11736" t="s">
        <v>17530</v>
      </c>
      <c r="H11736" t="s">
        <v>29862</v>
      </c>
    </row>
    <row r="11737" spans="1:8">
      <c r="A11737" t="s">
        <v>1850</v>
      </c>
      <c r="B11737">
        <f>HYPERLINK("https://android.googlesource.com/platform/cts/+/d82f3c3a53e3b0cb12dbd3dffb68418ef6e9f019", "d82f3c3a53e3b0cb12dbd3dffb68418ef6e9f019")</f>
        <v>0</v>
      </c>
      <c r="C11737">
        <f>HYPERLINK("https://android.googlesource.com/platform/cts/+/c7712f92b8353a19c68fe49b28ceed88c07403db", "c7712f92b8353a19c68fe49b28ceed88c07403db")</f>
        <v>0</v>
      </c>
      <c r="D11737" t="s">
        <v>5141</v>
      </c>
      <c r="E11737" t="s">
        <v>7596</v>
      </c>
      <c r="F11737" t="s">
        <v>13459</v>
      </c>
      <c r="G11737" t="s">
        <v>17577</v>
      </c>
      <c r="H11737" t="s">
        <v>29869</v>
      </c>
    </row>
    <row r="11738" spans="1:8">
      <c r="A11738" t="s">
        <v>1851</v>
      </c>
      <c r="B11738">
        <f>HYPERLINK("https://android.googlesource.com/platform/cts/+/9a0291cdd28ffa333414a4c0789689f65e98f95d", "9a0291cdd28ffa333414a4c0789689f65e98f95d")</f>
        <v>0</v>
      </c>
      <c r="C11738">
        <f>HYPERLINK("https://android.googlesource.com/platform/cts/+/c8b4800811bf9e9d388e524bee77ba7d17b1e2b2", "c8b4800811bf9e9d388e524bee77ba7d17b1e2b2")</f>
        <v>0</v>
      </c>
      <c r="D11738" t="s">
        <v>4947</v>
      </c>
      <c r="E11738" t="s">
        <v>7597</v>
      </c>
      <c r="F11738" t="s">
        <v>13460</v>
      </c>
      <c r="G11738" t="s">
        <v>16411</v>
      </c>
      <c r="H11738" t="s">
        <v>21256</v>
      </c>
    </row>
    <row r="11739" spans="1:8">
      <c r="H11739" t="s">
        <v>21257</v>
      </c>
    </row>
    <row r="11740" spans="1:8">
      <c r="H11740" t="s">
        <v>21258</v>
      </c>
    </row>
    <row r="11741" spans="1:8">
      <c r="H11741" t="s">
        <v>21259</v>
      </c>
    </row>
    <row r="11742" spans="1:8">
      <c r="H11742" t="s">
        <v>21260</v>
      </c>
    </row>
    <row r="11743" spans="1:8">
      <c r="H11743" t="s">
        <v>21261</v>
      </c>
    </row>
    <row r="11744" spans="1:8">
      <c r="H11744" t="s">
        <v>21262</v>
      </c>
    </row>
    <row r="11745" spans="8:8">
      <c r="H11745" t="s">
        <v>21263</v>
      </c>
    </row>
    <row r="11746" spans="8:8">
      <c r="H11746" t="s">
        <v>21264</v>
      </c>
    </row>
    <row r="11747" spans="8:8">
      <c r="H11747" t="s">
        <v>21265</v>
      </c>
    </row>
    <row r="11748" spans="8:8">
      <c r="H11748" t="s">
        <v>21266</v>
      </c>
    </row>
    <row r="11749" spans="8:8">
      <c r="H11749" t="s">
        <v>21267</v>
      </c>
    </row>
    <row r="11750" spans="8:8">
      <c r="H11750" t="s">
        <v>21268</v>
      </c>
    </row>
    <row r="11751" spans="8:8">
      <c r="H11751" t="s">
        <v>21269</v>
      </c>
    </row>
    <row r="11752" spans="8:8">
      <c r="H11752" t="s">
        <v>21270</v>
      </c>
    </row>
    <row r="11753" spans="8:8">
      <c r="H11753" t="s">
        <v>21271</v>
      </c>
    </row>
    <row r="11754" spans="8:8">
      <c r="H11754" t="s">
        <v>21272</v>
      </c>
    </row>
    <row r="11755" spans="8:8">
      <c r="H11755" t="s">
        <v>21273</v>
      </c>
    </row>
    <row r="11756" spans="8:8">
      <c r="H11756" t="s">
        <v>21274</v>
      </c>
    </row>
    <row r="11757" spans="8:8">
      <c r="H11757" t="s">
        <v>21275</v>
      </c>
    </row>
    <row r="11758" spans="8:8">
      <c r="H11758" t="s">
        <v>21276</v>
      </c>
    </row>
    <row r="11759" spans="8:8">
      <c r="H11759" t="s">
        <v>21277</v>
      </c>
    </row>
    <row r="11760" spans="8:8">
      <c r="H11760" t="s">
        <v>21278</v>
      </c>
    </row>
    <row r="11761" spans="1:8">
      <c r="H11761" t="s">
        <v>21279</v>
      </c>
    </row>
    <row r="11762" spans="1:8">
      <c r="H11762" t="s">
        <v>21280</v>
      </c>
    </row>
    <row r="11763" spans="1:8">
      <c r="H11763" t="s">
        <v>21281</v>
      </c>
    </row>
    <row r="11764" spans="1:8">
      <c r="A11764" t="s">
        <v>1853</v>
      </c>
      <c r="B11764">
        <f>HYPERLINK("https://android.googlesource.com/platform/cts/+/72c3317b2ab88df346760baa026afb4bcbb51609", "72c3317b2ab88df346760baa026afb4bcbb51609")</f>
        <v>0</v>
      </c>
      <c r="C11764">
        <f>HYPERLINK("https://android.googlesource.com/platform/cts/+/0e926eb597738fe9483785c5492c861ac731c65f", "0e926eb597738fe9483785c5492c861ac731c65f")</f>
        <v>0</v>
      </c>
      <c r="D11764" t="s">
        <v>5147</v>
      </c>
      <c r="E11764" t="s">
        <v>7599</v>
      </c>
      <c r="F11764" t="s">
        <v>13462</v>
      </c>
      <c r="G11764" t="s">
        <v>17581</v>
      </c>
      <c r="H11764" t="s">
        <v>29897</v>
      </c>
    </row>
    <row r="11765" spans="1:8">
      <c r="A11765" t="s">
        <v>1860</v>
      </c>
      <c r="B11765">
        <f>HYPERLINK("https://android.googlesource.com/platform/cts/+/5a70255ea615f3df3507455fcb8ad4c359ce2a19", "5a70255ea615f3df3507455fcb8ad4c359ce2a19")</f>
        <v>0</v>
      </c>
      <c r="C11765">
        <f>HYPERLINK("https://android.googlesource.com/platform/cts/+/7e8443e1d9d38ac375adeffae964e04348aa6045", "7e8443e1d9d38ac375adeffae964e04348aa6045")</f>
        <v>0</v>
      </c>
      <c r="D11765" t="s">
        <v>5292</v>
      </c>
      <c r="E11765" t="s">
        <v>7606</v>
      </c>
      <c r="F11765" t="s">
        <v>12841</v>
      </c>
      <c r="G11765" t="s">
        <v>15119</v>
      </c>
      <c r="H11765" t="s">
        <v>29905</v>
      </c>
    </row>
    <row r="11766" spans="1:8">
      <c r="H11766" t="s">
        <v>29906</v>
      </c>
    </row>
    <row r="11767" spans="1:8">
      <c r="A11767" t="s">
        <v>1865</v>
      </c>
      <c r="B11767">
        <f>HYPERLINK("https://android.googlesource.com/platform/cts/+/e57dd1d63d14fa87eba7c8ba665b1fb1b9704cc7", "e57dd1d63d14fa87eba7c8ba665b1fb1b9704cc7")</f>
        <v>0</v>
      </c>
      <c r="C11767">
        <f>HYPERLINK("https://android.googlesource.com/platform/cts/+/f7518117c62da09af067223ebe550b920d0445d2", "f7518117c62da09af067223ebe550b920d0445d2")</f>
        <v>0</v>
      </c>
      <c r="D11767" t="s">
        <v>5295</v>
      </c>
      <c r="E11767" t="s">
        <v>7611</v>
      </c>
      <c r="F11767" t="s">
        <v>13082</v>
      </c>
      <c r="G11767" t="s">
        <v>17244</v>
      </c>
      <c r="H11767" t="s">
        <v>18836</v>
      </c>
    </row>
    <row r="11768" spans="1:8">
      <c r="A11768" t="s">
        <v>1867</v>
      </c>
      <c r="B11768">
        <f>HYPERLINK("https://android.googlesource.com/platform/cts/+/25b8f1757a77388f87a327f50aa21761f31f6428", "25b8f1757a77388f87a327f50aa21761f31f6428")</f>
        <v>0</v>
      </c>
      <c r="C11768">
        <f>HYPERLINK("https://android.googlesource.com/platform/cts/+/f029795ed4a00a352a0bd79a7d2f7e179906a443", "f029795ed4a00a352a0bd79a7d2f7e179906a443")</f>
        <v>0</v>
      </c>
      <c r="D11768" t="s">
        <v>5296</v>
      </c>
      <c r="E11768" t="s">
        <v>7613</v>
      </c>
      <c r="F11768" t="s">
        <v>13471</v>
      </c>
      <c r="G11768" t="s">
        <v>17590</v>
      </c>
      <c r="H11768" t="s">
        <v>29928</v>
      </c>
    </row>
    <row r="11769" spans="1:8">
      <c r="A11769" t="s">
        <v>1868</v>
      </c>
      <c r="B11769">
        <f>HYPERLINK("https://android.googlesource.com/platform/cts/+/3720a52d7039b67d5576f1c3410565df32a7167f", "3720a52d7039b67d5576f1c3410565df32a7167f")</f>
        <v>0</v>
      </c>
      <c r="C11769">
        <f>HYPERLINK("https://android.googlesource.com/platform/cts/+/9b142f2af737ed712a04247394db854e28afe6da", "9b142f2af737ed712a04247394db854e28afe6da")</f>
        <v>0</v>
      </c>
      <c r="D11769" t="s">
        <v>5240</v>
      </c>
      <c r="E11769" t="s">
        <v>7614</v>
      </c>
      <c r="F11769" t="s">
        <v>12710</v>
      </c>
      <c r="G11769" t="s">
        <v>16911</v>
      </c>
      <c r="H11769" t="s">
        <v>29584</v>
      </c>
    </row>
    <row r="11770" spans="1:8">
      <c r="A11770" t="s">
        <v>1869</v>
      </c>
      <c r="B11770">
        <f>HYPERLINK("https://android.googlesource.com/platform/cts/+/5f5e49c57e82e5d88193c5d2dfc594a91cb8f1b5", "5f5e49c57e82e5d88193c5d2dfc594a91cb8f1b5")</f>
        <v>0</v>
      </c>
      <c r="C11770">
        <f>HYPERLINK("https://android.googlesource.com/platform/cts/+/e3f806aae3ad3ee4df5ba7890f53ef0b153a30df", "e3f806aae3ad3ee4df5ba7890f53ef0b153a30df")</f>
        <v>0</v>
      </c>
      <c r="D11770" t="s">
        <v>5281</v>
      </c>
      <c r="E11770" t="s">
        <v>7615</v>
      </c>
      <c r="F11770" t="s">
        <v>13431</v>
      </c>
      <c r="G11770" t="s">
        <v>17555</v>
      </c>
      <c r="H11770" t="s">
        <v>29798</v>
      </c>
    </row>
    <row r="11771" spans="1:8">
      <c r="A11771" t="s">
        <v>1870</v>
      </c>
      <c r="B11771">
        <f>HYPERLINK("https://android.googlesource.com/platform/cts/+/b246155abd7e6d362d144fa27e2039f3398ab2a2", "b246155abd7e6d362d144fa27e2039f3398ab2a2")</f>
        <v>0</v>
      </c>
      <c r="C11771">
        <f>HYPERLINK("https://android.googlesource.com/platform/cts/+/a483d20dfb42caec47b66c2a7acb7c64453839c9", "a483d20dfb42caec47b66c2a7acb7c64453839c9")</f>
        <v>0</v>
      </c>
      <c r="D11771" t="s">
        <v>5132</v>
      </c>
      <c r="E11771" t="s">
        <v>7616</v>
      </c>
      <c r="F11771" t="s">
        <v>12936</v>
      </c>
      <c r="G11771" t="s">
        <v>17101</v>
      </c>
      <c r="H11771" t="s">
        <v>29511</v>
      </c>
    </row>
    <row r="11772" spans="1:8">
      <c r="H11772" t="s">
        <v>29512</v>
      </c>
    </row>
    <row r="11773" spans="1:8">
      <c r="H11773" t="s">
        <v>29513</v>
      </c>
    </row>
    <row r="11774" spans="1:8">
      <c r="F11774" t="s">
        <v>13087</v>
      </c>
      <c r="G11774" t="s">
        <v>17249</v>
      </c>
      <c r="H11774" t="s">
        <v>29518</v>
      </c>
    </row>
    <row r="11775" spans="1:8">
      <c r="F11775" t="s">
        <v>13091</v>
      </c>
      <c r="G11775" t="s">
        <v>17253</v>
      </c>
      <c r="H11775" t="s">
        <v>29515</v>
      </c>
    </row>
    <row r="11776" spans="1:8">
      <c r="H11776" t="s">
        <v>29519</v>
      </c>
    </row>
    <row r="11777" spans="1:8">
      <c r="H11777" t="s">
        <v>29516</v>
      </c>
    </row>
    <row r="11778" spans="1:8">
      <c r="H11778" t="s">
        <v>29517</v>
      </c>
    </row>
    <row r="11779" spans="1:8">
      <c r="F11779" t="s">
        <v>10596</v>
      </c>
      <c r="G11779" t="s">
        <v>14999</v>
      </c>
      <c r="H11779" t="s">
        <v>29515</v>
      </c>
    </row>
    <row r="11780" spans="1:8">
      <c r="H11780" t="s">
        <v>29519</v>
      </c>
    </row>
    <row r="11781" spans="1:8">
      <c r="H11781" t="s">
        <v>29516</v>
      </c>
    </row>
    <row r="11782" spans="1:8">
      <c r="H11782" t="s">
        <v>29517</v>
      </c>
    </row>
    <row r="11783" spans="1:8">
      <c r="A11783" t="s">
        <v>1871</v>
      </c>
      <c r="B11783">
        <f>HYPERLINK("https://android.googlesource.com/platform/cts/+/45d5ecd5cffb7e6399264e1b9aebc021e42d0787", "45d5ecd5cffb7e6399264e1b9aebc021e42d0787")</f>
        <v>0</v>
      </c>
      <c r="C11783">
        <f>HYPERLINK("https://android.googlesource.com/platform/cts/+/22e8a28e678566d7d944a37dc40842b1e0e5d525", "22e8a28e678566d7d944a37dc40842b1e0e5d525")</f>
        <v>0</v>
      </c>
      <c r="D11783" t="s">
        <v>5272</v>
      </c>
      <c r="E11783" t="s">
        <v>7617</v>
      </c>
      <c r="F11783" t="s">
        <v>13472</v>
      </c>
      <c r="G11783" t="s">
        <v>17591</v>
      </c>
      <c r="H11783" t="s">
        <v>29929</v>
      </c>
    </row>
    <row r="11784" spans="1:8">
      <c r="H11784" t="s">
        <v>29930</v>
      </c>
    </row>
    <row r="11785" spans="1:8">
      <c r="H11785" t="s">
        <v>29931</v>
      </c>
    </row>
    <row r="11786" spans="1:8">
      <c r="H11786" t="s">
        <v>29932</v>
      </c>
    </row>
    <row r="11787" spans="1:8">
      <c r="H11787" t="s">
        <v>29933</v>
      </c>
    </row>
    <row r="11788" spans="1:8">
      <c r="H11788" t="s">
        <v>28841</v>
      </c>
    </row>
    <row r="11789" spans="1:8">
      <c r="H11789" t="s">
        <v>29934</v>
      </c>
    </row>
    <row r="11790" spans="1:8">
      <c r="H11790" t="s">
        <v>29935</v>
      </c>
    </row>
    <row r="11791" spans="1:8">
      <c r="H11791" t="s">
        <v>29936</v>
      </c>
    </row>
    <row r="11792" spans="1:8">
      <c r="H11792" t="s">
        <v>29937</v>
      </c>
    </row>
    <row r="11793" spans="1:8">
      <c r="A11793" t="s">
        <v>1872</v>
      </c>
      <c r="B11793">
        <f>HYPERLINK("https://android.googlesource.com/platform/cts/+/0eaa8a0839097911b69283873e07885d35575e4c", "0eaa8a0839097911b69283873e07885d35575e4c")</f>
        <v>0</v>
      </c>
      <c r="C11793">
        <f>HYPERLINK("https://android.googlesource.com/platform/cts/+/a483d20dfb42caec47b66c2a7acb7c64453839c9", "a483d20dfb42caec47b66c2a7acb7c64453839c9")</f>
        <v>0</v>
      </c>
      <c r="D11793" t="s">
        <v>5032</v>
      </c>
      <c r="E11793" t="s">
        <v>7618</v>
      </c>
      <c r="F11793" t="s">
        <v>13473</v>
      </c>
      <c r="G11793" t="s">
        <v>17592</v>
      </c>
      <c r="H11793" t="s">
        <v>29938</v>
      </c>
    </row>
    <row r="11794" spans="1:8">
      <c r="A11794" t="s">
        <v>1873</v>
      </c>
      <c r="B11794">
        <f>HYPERLINK("https://android.googlesource.com/platform/cts/+/923b97d33e6c0fddb102ed0d81768f92b60e4121", "923b97d33e6c0fddb102ed0d81768f92b60e4121")</f>
        <v>0</v>
      </c>
      <c r="C11794">
        <f>HYPERLINK("https://android.googlesource.com/platform/cts/+/774f3a229ef8f43ed224c94884ce1abe1d73b258", "774f3a229ef8f43ed224c94884ce1abe1d73b258")</f>
        <v>0</v>
      </c>
      <c r="D11794" t="s">
        <v>5163</v>
      </c>
      <c r="E11794" t="s">
        <v>7619</v>
      </c>
      <c r="F11794" t="s">
        <v>13474</v>
      </c>
      <c r="G11794" t="s">
        <v>17593</v>
      </c>
      <c r="H11794" t="s">
        <v>29939</v>
      </c>
    </row>
    <row r="11795" spans="1:8">
      <c r="A11795" t="s">
        <v>1879</v>
      </c>
      <c r="B11795">
        <f>HYPERLINK("https://android.googlesource.com/platform/cts/+/5103ab556f4a82a7234776b212d057bf2f507c52", "5103ab556f4a82a7234776b212d057bf2f507c52")</f>
        <v>0</v>
      </c>
      <c r="C11795">
        <f>HYPERLINK("https://android.googlesource.com/platform/cts/+/9c36162953f5e4d1a9aa6305abba562f3f7b8e63", "9c36162953f5e4d1a9aa6305abba562f3f7b8e63")</f>
        <v>0</v>
      </c>
      <c r="D11795" t="s">
        <v>5297</v>
      </c>
      <c r="E11795" t="s">
        <v>7625</v>
      </c>
      <c r="F11795" t="s">
        <v>13480</v>
      </c>
      <c r="G11795" t="s">
        <v>17598</v>
      </c>
      <c r="H11795" t="s">
        <v>29943</v>
      </c>
    </row>
    <row r="11796" spans="1:8">
      <c r="H11796" t="s">
        <v>29944</v>
      </c>
    </row>
    <row r="11797" spans="1:8">
      <c r="A11797" t="s">
        <v>1880</v>
      </c>
      <c r="B11797">
        <f>HYPERLINK("https://android.googlesource.com/platform/cts/+/d7a77455b5262d906a0c6731b7208d8135269b14", "d7a77455b5262d906a0c6731b7208d8135269b14")</f>
        <v>0</v>
      </c>
      <c r="C11797">
        <f>HYPERLINK("https://android.googlesource.com/platform/cts/+/98a9e20123eac5e130acf75d84f07fbf7a59e68f", "98a9e20123eac5e130acf75d84f07fbf7a59e68f")</f>
        <v>0</v>
      </c>
      <c r="D11797" t="s">
        <v>5224</v>
      </c>
      <c r="E11797" t="s">
        <v>7626</v>
      </c>
      <c r="F11797" t="s">
        <v>13248</v>
      </c>
      <c r="G11797" t="s">
        <v>17388</v>
      </c>
      <c r="H11797" t="s">
        <v>29945</v>
      </c>
    </row>
    <row r="11798" spans="1:8">
      <c r="H11798" t="s">
        <v>29946</v>
      </c>
    </row>
    <row r="11799" spans="1:8">
      <c r="A11799" t="s">
        <v>1888</v>
      </c>
      <c r="B11799">
        <f>HYPERLINK("https://android.googlesource.com/platform/cts/+/e6d8b9841b1bd3af635ceda614576c43f1b2a581", "e6d8b9841b1bd3af635ceda614576c43f1b2a581")</f>
        <v>0</v>
      </c>
      <c r="C11799">
        <f>HYPERLINK("https://android.googlesource.com/platform/cts/+/f0082c2a9392cba97d35130516a59441d58cf7c9", "f0082c2a9392cba97d35130516a59441d58cf7c9")</f>
        <v>0</v>
      </c>
      <c r="D11799" t="s">
        <v>5134</v>
      </c>
      <c r="E11799" t="s">
        <v>7634</v>
      </c>
      <c r="F11799" t="s">
        <v>13255</v>
      </c>
      <c r="G11799" t="s">
        <v>17393</v>
      </c>
      <c r="H11799" t="s">
        <v>29964</v>
      </c>
    </row>
    <row r="11800" spans="1:8">
      <c r="A11800" t="s">
        <v>1889</v>
      </c>
      <c r="B11800">
        <f>HYPERLINK("https://android.googlesource.com/platform/cts/+/cab55143adff46d9a4437821efd3bbb6170d8f6a", "cab55143adff46d9a4437821efd3bbb6170d8f6a")</f>
        <v>0</v>
      </c>
      <c r="C11800">
        <f>HYPERLINK("https://android.googlesource.com/platform/cts/+/7cf0fcfd504b195919ecac0e79ad37a0d0cf76a4", "7cf0fcfd504b195919ecac0e79ad37a0d0cf76a4")</f>
        <v>0</v>
      </c>
      <c r="D11800" t="s">
        <v>5287</v>
      </c>
      <c r="E11800" t="s">
        <v>7635</v>
      </c>
      <c r="F11800" t="s">
        <v>10663</v>
      </c>
      <c r="G11800" t="s">
        <v>15064</v>
      </c>
      <c r="H11800" t="s">
        <v>29965</v>
      </c>
    </row>
    <row r="11801" spans="1:8">
      <c r="H11801" t="s">
        <v>29968</v>
      </c>
    </row>
    <row r="11802" spans="1:8">
      <c r="A11802" t="s">
        <v>1896</v>
      </c>
      <c r="B11802">
        <f>HYPERLINK("https://android.googlesource.com/platform/cts/+/d1a8687d6cad7c651d7bd3de89923e46c774350e", "d1a8687d6cad7c651d7bd3de89923e46c774350e")</f>
        <v>0</v>
      </c>
      <c r="C11802">
        <f>HYPERLINK("https://android.googlesource.com/platform/cts/+/9272b86c66eb3e6bce0efb056ae13fec18094ce9", "9272b86c66eb3e6bce0efb056ae13fec18094ce9")</f>
        <v>0</v>
      </c>
      <c r="D11802" t="s">
        <v>5280</v>
      </c>
      <c r="E11802" t="s">
        <v>7642</v>
      </c>
      <c r="F11802" t="s">
        <v>12710</v>
      </c>
      <c r="G11802" t="s">
        <v>16911</v>
      </c>
      <c r="H11802" t="s">
        <v>29980</v>
      </c>
    </row>
    <row r="11803" spans="1:8">
      <c r="A11803" t="s">
        <v>1900</v>
      </c>
      <c r="B11803">
        <f>HYPERLINK("https://android.googlesource.com/platform/cts/+/2e0f78f003fab010e53b0029b4fea4445887b8b4", "2e0f78f003fab010e53b0029b4fea4445887b8b4")</f>
        <v>0</v>
      </c>
      <c r="C11803">
        <f>HYPERLINK("https://android.googlesource.com/platform/cts/+/3a2aa75e2172e88bc10cb557c48fe9c8376e9e96", "3a2aa75e2172e88bc10cb557c48fe9c8376e9e96")</f>
        <v>0</v>
      </c>
      <c r="D11803" t="s">
        <v>5300</v>
      </c>
      <c r="E11803" t="s">
        <v>7646</v>
      </c>
      <c r="F11803" t="s">
        <v>13242</v>
      </c>
      <c r="G11803" t="s">
        <v>17382</v>
      </c>
      <c r="H11803" t="s">
        <v>30010</v>
      </c>
    </row>
    <row r="11804" spans="1:8">
      <c r="A11804" t="s">
        <v>1902</v>
      </c>
      <c r="B11804">
        <f>HYPERLINK("https://android.googlesource.com/platform/cts/+/8113771c537b8dbbe17c3d2b14e740e73194cdac", "8113771c537b8dbbe17c3d2b14e740e73194cdac")</f>
        <v>0</v>
      </c>
      <c r="C11804">
        <f>HYPERLINK("https://android.googlesource.com/platform/cts/+/f642f7de3a5e79086b24b64d6e34c82311a756d9", "f642f7de3a5e79086b24b64d6e34c82311a756d9")</f>
        <v>0</v>
      </c>
      <c r="D11804" t="s">
        <v>5288</v>
      </c>
      <c r="E11804" t="s">
        <v>7648</v>
      </c>
      <c r="F11804" t="s">
        <v>13450</v>
      </c>
      <c r="G11804" t="s">
        <v>17572</v>
      </c>
      <c r="H11804" t="s">
        <v>30016</v>
      </c>
    </row>
    <row r="11805" spans="1:8">
      <c r="A11805" t="s">
        <v>1904</v>
      </c>
      <c r="B11805">
        <f>HYPERLINK("https://android.googlesource.com/platform/cts/+/ce21d512ff3faea6f93c05a6b34021d45d483169", "ce21d512ff3faea6f93c05a6b34021d45d483169")</f>
        <v>0</v>
      </c>
      <c r="C11805">
        <f>HYPERLINK("https://android.googlesource.com/platform/cts/+/082c3dde5bb6b048bdc394d5306ea455415668e9", "082c3dde5bb6b048bdc394d5306ea455415668e9")</f>
        <v>0</v>
      </c>
      <c r="D11805" t="s">
        <v>5189</v>
      </c>
      <c r="E11805" t="s">
        <v>7650</v>
      </c>
      <c r="F11805" t="s">
        <v>13162</v>
      </c>
      <c r="G11805" t="s">
        <v>16987</v>
      </c>
      <c r="H11805" t="s">
        <v>30018</v>
      </c>
    </row>
    <row r="11806" spans="1:8">
      <c r="A11806" t="s">
        <v>1906</v>
      </c>
      <c r="B11806">
        <f>HYPERLINK("https://android.googlesource.com/platform/cts/+/85a2b52602a3f7a0624a707934d20d36f050c4c6", "85a2b52602a3f7a0624a707934d20d36f050c4c6")</f>
        <v>0</v>
      </c>
      <c r="C11806">
        <f>HYPERLINK("https://android.googlesource.com/platform/cts/+/73eae3ab1e9141aca38d0ce3689a1708b2253d95", "73eae3ab1e9141aca38d0ce3689a1708b2253d95")</f>
        <v>0</v>
      </c>
      <c r="D11806" t="s">
        <v>4978</v>
      </c>
      <c r="E11806" t="s">
        <v>7652</v>
      </c>
      <c r="F11806" t="s">
        <v>13253</v>
      </c>
      <c r="G11806" t="s">
        <v>16455</v>
      </c>
      <c r="H11806" t="s">
        <v>30028</v>
      </c>
    </row>
    <row r="11807" spans="1:8">
      <c r="F11807" t="s">
        <v>13391</v>
      </c>
      <c r="G11807" t="s">
        <v>17517</v>
      </c>
      <c r="H11807" t="s">
        <v>30029</v>
      </c>
    </row>
    <row r="11808" spans="1:8">
      <c r="A11808" t="s">
        <v>1907</v>
      </c>
      <c r="B11808">
        <f>HYPERLINK("https://android.googlesource.com/platform/cts/+/83fdac5acda66ca69dcef777a4f43e744473ad7d", "83fdac5acda66ca69dcef777a4f43e744473ad7d")</f>
        <v>0</v>
      </c>
      <c r="C11808">
        <f>HYPERLINK("https://android.googlesource.com/platform/cts/+/73eae3ab1e9141aca38d0ce3689a1708b2253d95", "73eae3ab1e9141aca38d0ce3689a1708b2253d95")</f>
        <v>0</v>
      </c>
      <c r="D11808" t="s">
        <v>5141</v>
      </c>
      <c r="E11808" t="s">
        <v>7653</v>
      </c>
      <c r="F11808" t="s">
        <v>13459</v>
      </c>
      <c r="G11808" t="s">
        <v>17577</v>
      </c>
      <c r="H11808" t="s">
        <v>30032</v>
      </c>
    </row>
    <row r="11809" spans="1:8">
      <c r="H11809" t="s">
        <v>29871</v>
      </c>
    </row>
    <row r="11810" spans="1:8">
      <c r="H11810" t="s">
        <v>29872</v>
      </c>
    </row>
    <row r="11811" spans="1:8">
      <c r="H11811" t="s">
        <v>29873</v>
      </c>
    </row>
    <row r="11812" spans="1:8">
      <c r="H11812" t="s">
        <v>29269</v>
      </c>
    </row>
    <row r="11813" spans="1:8">
      <c r="H11813" t="s">
        <v>29874</v>
      </c>
    </row>
    <row r="11814" spans="1:8">
      <c r="H11814" t="s">
        <v>29875</v>
      </c>
    </row>
    <row r="11815" spans="1:8">
      <c r="H11815" t="s">
        <v>29270</v>
      </c>
    </row>
    <row r="11816" spans="1:8">
      <c r="H11816" t="s">
        <v>30033</v>
      </c>
    </row>
    <row r="11817" spans="1:8">
      <c r="H11817" t="s">
        <v>30034</v>
      </c>
    </row>
    <row r="11818" spans="1:8">
      <c r="H11818" t="s">
        <v>29876</v>
      </c>
    </row>
    <row r="11819" spans="1:8">
      <c r="F11819" t="s">
        <v>10794</v>
      </c>
      <c r="G11819" t="s">
        <v>15189</v>
      </c>
      <c r="H11819" t="s">
        <v>30036</v>
      </c>
    </row>
    <row r="11820" spans="1:8">
      <c r="A11820" t="s">
        <v>1908</v>
      </c>
      <c r="B11820">
        <f>HYPERLINK("https://android.googlesource.com/platform/cts/+/2bef4b4abfea88204bd21f093dbc2452212e80d0", "2bef4b4abfea88204bd21f093dbc2452212e80d0")</f>
        <v>0</v>
      </c>
      <c r="C11820">
        <f>HYPERLINK("https://android.googlesource.com/platform/cts/+/eb77ff4565af76f79c4b3576780add82c745d779", "eb77ff4565af76f79c4b3576780add82c745d779")</f>
        <v>0</v>
      </c>
      <c r="D11820" t="s">
        <v>5290</v>
      </c>
      <c r="E11820" t="s">
        <v>7654</v>
      </c>
      <c r="F11820" t="s">
        <v>12640</v>
      </c>
      <c r="G11820" t="s">
        <v>16848</v>
      </c>
      <c r="H11820" t="s">
        <v>30037</v>
      </c>
    </row>
    <row r="11821" spans="1:8">
      <c r="H11821" t="s">
        <v>30038</v>
      </c>
    </row>
    <row r="11822" spans="1:8">
      <c r="A11822" t="s">
        <v>1909</v>
      </c>
      <c r="B11822">
        <f>HYPERLINK("https://android.googlesource.com/platform/cts/+/06658d9196b28a7a82f07a9c6cb883110043b9f3", "06658d9196b28a7a82f07a9c6cb883110043b9f3")</f>
        <v>0</v>
      </c>
      <c r="C11822">
        <f>HYPERLINK("https://android.googlesource.com/platform/cts/+/cb66003bbf84ed10276db5c9d5c7bc28cb12a118", "cb66003bbf84ed10276db5c9d5c7bc28cb12a118")</f>
        <v>0</v>
      </c>
      <c r="D11822" t="s">
        <v>5141</v>
      </c>
      <c r="E11822" t="s">
        <v>7655</v>
      </c>
      <c r="F11822" t="s">
        <v>10597</v>
      </c>
      <c r="G11822" t="s">
        <v>15000</v>
      </c>
      <c r="H11822" t="s">
        <v>30039</v>
      </c>
    </row>
    <row r="11823" spans="1:8">
      <c r="F11823" t="s">
        <v>13491</v>
      </c>
      <c r="G11823" t="s">
        <v>17610</v>
      </c>
      <c r="H11823" t="s">
        <v>30041</v>
      </c>
    </row>
    <row r="11824" spans="1:8">
      <c r="H11824" t="s">
        <v>30042</v>
      </c>
    </row>
    <row r="11825" spans="1:8">
      <c r="H11825" t="s">
        <v>30043</v>
      </c>
    </row>
    <row r="11826" spans="1:8">
      <c r="H11826" t="s">
        <v>29269</v>
      </c>
    </row>
    <row r="11827" spans="1:8">
      <c r="H11827" t="s">
        <v>29876</v>
      </c>
    </row>
    <row r="11828" spans="1:8">
      <c r="F11828" t="s">
        <v>13091</v>
      </c>
      <c r="G11828" t="s">
        <v>17253</v>
      </c>
      <c r="H11828" t="s">
        <v>30050</v>
      </c>
    </row>
    <row r="11829" spans="1:8">
      <c r="F11829" t="s">
        <v>10794</v>
      </c>
      <c r="G11829" t="s">
        <v>15189</v>
      </c>
      <c r="H11829" t="s">
        <v>30051</v>
      </c>
    </row>
    <row r="11830" spans="1:8">
      <c r="H11830" t="s">
        <v>30052</v>
      </c>
    </row>
    <row r="11831" spans="1:8">
      <c r="H11831" t="s">
        <v>30053</v>
      </c>
    </row>
    <row r="11832" spans="1:8">
      <c r="A11832" t="s">
        <v>1910</v>
      </c>
      <c r="B11832">
        <f>HYPERLINK("https://android.googlesource.com/platform/cts/+/02511db57c32a567644b3de0ccc33492e4441de1", "02511db57c32a567644b3de0ccc33492e4441de1")</f>
        <v>0</v>
      </c>
      <c r="C11832">
        <f>HYPERLINK("https://android.googlesource.com/platform/cts/+/11a8e678c564145010e7004cd80daf9a647ff8a9", "11a8e678c564145010e7004cd80daf9a647ff8a9")</f>
        <v>0</v>
      </c>
      <c r="D11832" t="s">
        <v>5302</v>
      </c>
      <c r="E11832" t="s">
        <v>7656</v>
      </c>
      <c r="F11832" t="s">
        <v>13492</v>
      </c>
      <c r="G11832" t="s">
        <v>17611</v>
      </c>
      <c r="H11832" t="s">
        <v>30055</v>
      </c>
    </row>
    <row r="11833" spans="1:8">
      <c r="H11833" t="s">
        <v>30056</v>
      </c>
    </row>
    <row r="11834" spans="1:8">
      <c r="H11834" t="s">
        <v>30057</v>
      </c>
    </row>
    <row r="11835" spans="1:8">
      <c r="H11835" t="s">
        <v>30058</v>
      </c>
    </row>
    <row r="11836" spans="1:8">
      <c r="A11836" t="s">
        <v>1911</v>
      </c>
      <c r="B11836">
        <f>HYPERLINK("https://android.googlesource.com/platform/cts/+/0aaeb75c6628eb12d4800a5691b531f1d38ae214", "0aaeb75c6628eb12d4800a5691b531f1d38ae214")</f>
        <v>0</v>
      </c>
      <c r="C11836">
        <f>HYPERLINK("https://android.googlesource.com/platform/cts/+/6ac5c9fc162bea7eae363b8834418b291288aafd", "6ac5c9fc162bea7eae363b8834418b291288aafd")</f>
        <v>0</v>
      </c>
      <c r="D11836" t="s">
        <v>5134</v>
      </c>
      <c r="E11836" t="s">
        <v>7657</v>
      </c>
      <c r="F11836" t="s">
        <v>13493</v>
      </c>
      <c r="G11836" t="s">
        <v>17612</v>
      </c>
      <c r="H11836" t="s">
        <v>30060</v>
      </c>
    </row>
    <row r="11837" spans="1:8">
      <c r="A11837" t="s">
        <v>1912</v>
      </c>
      <c r="B11837">
        <f>HYPERLINK("https://android.googlesource.com/platform/cts/+/92e5073e104cd4b8c085e0e8489da81b9245cf30", "92e5073e104cd4b8c085e0e8489da81b9245cf30")</f>
        <v>0</v>
      </c>
      <c r="C11837">
        <f>HYPERLINK("https://android.googlesource.com/platform/cts/+/bd1b7b952c29405fd0c927e832814b975f147f42", "bd1b7b952c29405fd0c927e832814b975f147f42")</f>
        <v>0</v>
      </c>
      <c r="D11837" t="s">
        <v>5284</v>
      </c>
      <c r="E11837" t="s">
        <v>7658</v>
      </c>
      <c r="F11837" t="s">
        <v>13165</v>
      </c>
      <c r="G11837" t="s">
        <v>17315</v>
      </c>
      <c r="H11837" t="s">
        <v>30062</v>
      </c>
    </row>
    <row r="11838" spans="1:8">
      <c r="H11838" t="s">
        <v>30063</v>
      </c>
    </row>
    <row r="11839" spans="1:8">
      <c r="A11839" t="s">
        <v>1913</v>
      </c>
      <c r="B11839">
        <f>HYPERLINK("https://android.googlesource.com/platform/cts/+/77acca434bdbafea5e8c6197b5f74738a7af8047", "77acca434bdbafea5e8c6197b5f74738a7af8047")</f>
        <v>0</v>
      </c>
      <c r="C11839">
        <f>HYPERLINK("https://android.googlesource.com/platform/cts/+/076583a6c4e39db3bd6612d70d7e439c74876ddf", "076583a6c4e39db3bd6612d70d7e439c74876ddf")</f>
        <v>0</v>
      </c>
      <c r="D11839" t="s">
        <v>5303</v>
      </c>
      <c r="E11839" t="s">
        <v>7659</v>
      </c>
      <c r="F11839" t="s">
        <v>12839</v>
      </c>
      <c r="G11839" t="s">
        <v>17014</v>
      </c>
      <c r="H11839" t="s">
        <v>30064</v>
      </c>
    </row>
    <row r="11840" spans="1:8">
      <c r="A11840" t="s">
        <v>1914</v>
      </c>
      <c r="B11840">
        <f>HYPERLINK("https://android.googlesource.com/platform/cts/+/112d2e758eecc40682acb91736660d5f1272b3b4", "112d2e758eecc40682acb91736660d5f1272b3b4")</f>
        <v>0</v>
      </c>
      <c r="C11840">
        <f>HYPERLINK("https://android.googlesource.com/platform/cts/+/4870e49977adecccff410088539ee859b75848db", "4870e49977adecccff410088539ee859b75848db")</f>
        <v>0</v>
      </c>
      <c r="D11840" t="s">
        <v>5303</v>
      </c>
      <c r="E11840" t="s">
        <v>7660</v>
      </c>
      <c r="F11840" t="s">
        <v>12839</v>
      </c>
      <c r="G11840" t="s">
        <v>17014</v>
      </c>
      <c r="H11840" t="s">
        <v>30064</v>
      </c>
    </row>
    <row r="11841" spans="1:8">
      <c r="A11841" t="s">
        <v>1916</v>
      </c>
      <c r="B11841">
        <f>HYPERLINK("https://android.googlesource.com/platform/cts/+/0d65517f0143a75a4dd29a2c82c0a20743edf050", "0d65517f0143a75a4dd29a2c82c0a20743edf050")</f>
        <v>0</v>
      </c>
      <c r="C11841">
        <f>HYPERLINK("https://android.googlesource.com/platform/cts/+/6cd66a486320ce682125dfebc229e0aecf20226e", "6cd66a486320ce682125dfebc229e0aecf20226e")</f>
        <v>0</v>
      </c>
      <c r="D11841" t="s">
        <v>5046</v>
      </c>
      <c r="E11841" t="s">
        <v>7662</v>
      </c>
      <c r="F11841" t="s">
        <v>13495</v>
      </c>
      <c r="G11841" t="s">
        <v>17158</v>
      </c>
      <c r="H11841" t="s">
        <v>28619</v>
      </c>
    </row>
    <row r="11842" spans="1:8">
      <c r="A11842" t="s">
        <v>1917</v>
      </c>
      <c r="B11842">
        <f>HYPERLINK("https://android.googlesource.com/platform/cts/+/82d73119016e321a8f90347bded84e25c87a0675", "82d73119016e321a8f90347bded84e25c87a0675")</f>
        <v>0</v>
      </c>
      <c r="C11842">
        <f>HYPERLINK("https://android.googlesource.com/platform/cts/+/9b73ba5302fd9740787284949b1b1197f1c16a49", "9b73ba5302fd9740787284949b1b1197f1c16a49")</f>
        <v>0</v>
      </c>
      <c r="D11842" t="s">
        <v>5141</v>
      </c>
      <c r="E11842" t="s">
        <v>7663</v>
      </c>
      <c r="F11842" t="s">
        <v>13459</v>
      </c>
      <c r="G11842" t="s">
        <v>17577</v>
      </c>
      <c r="H11842" t="s">
        <v>30032</v>
      </c>
    </row>
    <row r="11843" spans="1:8">
      <c r="H11843" t="s">
        <v>29872</v>
      </c>
    </row>
    <row r="11844" spans="1:8">
      <c r="H11844" t="s">
        <v>29269</v>
      </c>
    </row>
    <row r="11845" spans="1:8">
      <c r="H11845" t="s">
        <v>29874</v>
      </c>
    </row>
    <row r="11846" spans="1:8">
      <c r="H11846" t="s">
        <v>29875</v>
      </c>
    </row>
    <row r="11847" spans="1:8">
      <c r="H11847" t="s">
        <v>29270</v>
      </c>
    </row>
    <row r="11848" spans="1:8">
      <c r="H11848" t="s">
        <v>30033</v>
      </c>
    </row>
    <row r="11849" spans="1:8">
      <c r="H11849" t="s">
        <v>30034</v>
      </c>
    </row>
    <row r="11850" spans="1:8">
      <c r="H11850" t="s">
        <v>29876</v>
      </c>
    </row>
    <row r="11851" spans="1:8">
      <c r="A11851" t="s">
        <v>1919</v>
      </c>
      <c r="B11851">
        <f>HYPERLINK("https://android.googlesource.com/platform/cts/+/7374294785d6186fb63cad13b44d7ce203cdb810", "7374294785d6186fb63cad13b44d7ce203cdb810")</f>
        <v>0</v>
      </c>
      <c r="C11851">
        <f>HYPERLINK("https://android.googlesource.com/platform/cts/+/dd4aaaf3e39d73f1d1b532132e246de4e756ab48", "dd4aaaf3e39d73f1d1b532132e246de4e756ab48")</f>
        <v>0</v>
      </c>
      <c r="D11851" t="s">
        <v>5305</v>
      </c>
      <c r="E11851" t="s">
        <v>7665</v>
      </c>
      <c r="F11851" t="s">
        <v>13496</v>
      </c>
      <c r="G11851" t="s">
        <v>17614</v>
      </c>
      <c r="H11851" t="s">
        <v>30070</v>
      </c>
    </row>
    <row r="11852" spans="1:8">
      <c r="H11852" t="s">
        <v>30071</v>
      </c>
    </row>
    <row r="11853" spans="1:8">
      <c r="H11853" t="s">
        <v>30072</v>
      </c>
    </row>
    <row r="11854" spans="1:8">
      <c r="A11854" t="s">
        <v>1920</v>
      </c>
      <c r="B11854">
        <f>HYPERLINK("https://android.googlesource.com/platform/cts/+/dc938f33da9427dfdfd76dbdcd3459486007191d", "dc938f33da9427dfdfd76dbdcd3459486007191d")</f>
        <v>0</v>
      </c>
      <c r="C11854">
        <f>HYPERLINK("https://android.googlesource.com/platform/cts/+/56f2cbfaf29f8ca2f9a8b93ca493485bd3385151", "56f2cbfaf29f8ca2f9a8b93ca493485bd3385151")</f>
        <v>0</v>
      </c>
      <c r="D11854" t="s">
        <v>5305</v>
      </c>
      <c r="E11854" t="s">
        <v>7666</v>
      </c>
      <c r="F11854" t="s">
        <v>10593</v>
      </c>
      <c r="G11854" t="s">
        <v>14996</v>
      </c>
      <c r="H11854" t="s">
        <v>30073</v>
      </c>
    </row>
    <row r="11855" spans="1:8">
      <c r="A11855" t="s">
        <v>1921</v>
      </c>
      <c r="B11855">
        <f>HYPERLINK("https://android.googlesource.com/platform/cts/+/5b31af70b29f61919af889557ee15849c6695de3", "5b31af70b29f61919af889557ee15849c6695de3")</f>
        <v>0</v>
      </c>
      <c r="C11855">
        <f>HYPERLINK("https://android.googlesource.com/platform/cts/+/d6a6157f73cccd815307efbaa946711f90872885", "d6a6157f73cccd815307efbaa946711f90872885")</f>
        <v>0</v>
      </c>
      <c r="D11855" t="s">
        <v>5306</v>
      </c>
      <c r="E11855" t="s">
        <v>7667</v>
      </c>
      <c r="F11855" t="s">
        <v>13497</v>
      </c>
      <c r="G11855" t="s">
        <v>17615</v>
      </c>
      <c r="H11855" t="s">
        <v>30074</v>
      </c>
    </row>
    <row r="11856" spans="1:8">
      <c r="A11856" t="s">
        <v>1925</v>
      </c>
      <c r="B11856">
        <f>HYPERLINK("https://android.googlesource.com/platform/cts/+/1ea7cb7111e32c44e52752e8846e8d0212233def", "1ea7cb7111e32c44e52752e8846e8d0212233def")</f>
        <v>0</v>
      </c>
      <c r="C11856">
        <f>HYPERLINK("https://android.googlesource.com/platform/cts/+/8a1539ec7620fe24ec792105c0a062593374066b", "8a1539ec7620fe24ec792105c0a062593374066b")</f>
        <v>0</v>
      </c>
      <c r="D11856" t="s">
        <v>5287</v>
      </c>
      <c r="E11856" t="s">
        <v>7671</v>
      </c>
      <c r="F11856" t="s">
        <v>10608</v>
      </c>
      <c r="G11856" t="s">
        <v>15011</v>
      </c>
      <c r="H11856" t="s">
        <v>30077</v>
      </c>
    </row>
    <row r="11857" spans="1:8">
      <c r="A11857" t="s">
        <v>1933</v>
      </c>
      <c r="B11857">
        <f>HYPERLINK("https://android.googlesource.com/platform/cts/+/756e78f3db6dba07e830cdf67953460cad225e4e", "756e78f3db6dba07e830cdf67953460cad225e4e")</f>
        <v>0</v>
      </c>
      <c r="C11857">
        <f>HYPERLINK("https://android.googlesource.com/platform/cts/+/cbf8be0b50d70f4ff51bbfc8f1342a10deb5c86e", "cbf8be0b50d70f4ff51bbfc8f1342a10deb5c86e")</f>
        <v>0</v>
      </c>
      <c r="D11857" t="s">
        <v>5134</v>
      </c>
      <c r="E11857" t="s">
        <v>7679</v>
      </c>
      <c r="F11857" t="s">
        <v>13230</v>
      </c>
      <c r="G11857" t="s">
        <v>17371</v>
      </c>
      <c r="H11857" t="s">
        <v>30133</v>
      </c>
    </row>
    <row r="11858" spans="1:8">
      <c r="F11858" t="s">
        <v>13371</v>
      </c>
      <c r="G11858" t="s">
        <v>17498</v>
      </c>
      <c r="H11858" t="s">
        <v>30135</v>
      </c>
    </row>
    <row r="11859" spans="1:8">
      <c r="A11859" t="s">
        <v>1936</v>
      </c>
      <c r="B11859">
        <f>HYPERLINK("https://android.googlesource.com/platform/cts/+/f8ee864e2f403f55a39262ea9b5bc2d41815c9a5", "f8ee864e2f403f55a39262ea9b5bc2d41815c9a5")</f>
        <v>0</v>
      </c>
      <c r="C11859">
        <f>HYPERLINK("https://android.googlesource.com/platform/cts/+/4241d4a3ca12764c063cd0c712a4f79e6b34853c", "4241d4a3ca12764c063cd0c712a4f79e6b34853c")</f>
        <v>0</v>
      </c>
      <c r="D11859" t="s">
        <v>5180</v>
      </c>
      <c r="E11859" t="s">
        <v>7682</v>
      </c>
      <c r="F11859" t="s">
        <v>13505</v>
      </c>
      <c r="G11859" t="s">
        <v>17622</v>
      </c>
      <c r="H11859" t="s">
        <v>30148</v>
      </c>
    </row>
    <row r="11860" spans="1:8">
      <c r="H11860" t="s">
        <v>30149</v>
      </c>
    </row>
    <row r="11861" spans="1:8">
      <c r="H11861" t="s">
        <v>30150</v>
      </c>
    </row>
    <row r="11862" spans="1:8">
      <c r="H11862" t="s">
        <v>30151</v>
      </c>
    </row>
    <row r="11863" spans="1:8">
      <c r="H11863" t="s">
        <v>30152</v>
      </c>
    </row>
    <row r="11864" spans="1:8">
      <c r="H11864" t="s">
        <v>30153</v>
      </c>
    </row>
    <row r="11865" spans="1:8">
      <c r="H11865" t="s">
        <v>29023</v>
      </c>
    </row>
    <row r="11866" spans="1:8">
      <c r="H11866" t="s">
        <v>30154</v>
      </c>
    </row>
    <row r="11867" spans="1:8">
      <c r="H11867" t="s">
        <v>30155</v>
      </c>
    </row>
    <row r="11868" spans="1:8">
      <c r="H11868" t="s">
        <v>30156</v>
      </c>
    </row>
    <row r="11869" spans="1:8">
      <c r="H11869" t="s">
        <v>30157</v>
      </c>
    </row>
    <row r="11870" spans="1:8">
      <c r="H11870" t="s">
        <v>30158</v>
      </c>
    </row>
    <row r="11871" spans="1:8">
      <c r="F11871" t="s">
        <v>13506</v>
      </c>
      <c r="G11871" t="s">
        <v>17623</v>
      </c>
      <c r="H11871" t="s">
        <v>30167</v>
      </c>
    </row>
    <row r="11872" spans="1:8">
      <c r="H11872" t="s">
        <v>30168</v>
      </c>
    </row>
    <row r="11873" spans="8:8">
      <c r="H11873" t="s">
        <v>30169</v>
      </c>
    </row>
    <row r="11874" spans="8:8">
      <c r="H11874" t="s">
        <v>30170</v>
      </c>
    </row>
    <row r="11875" spans="8:8">
      <c r="H11875" t="s">
        <v>30171</v>
      </c>
    </row>
    <row r="11876" spans="8:8">
      <c r="H11876" t="s">
        <v>30172</v>
      </c>
    </row>
    <row r="11877" spans="8:8">
      <c r="H11877" t="s">
        <v>30173</v>
      </c>
    </row>
    <row r="11878" spans="8:8">
      <c r="H11878" t="s">
        <v>30174</v>
      </c>
    </row>
    <row r="11879" spans="8:8">
      <c r="H11879" t="s">
        <v>30175</v>
      </c>
    </row>
    <row r="11880" spans="8:8">
      <c r="H11880" t="s">
        <v>30176</v>
      </c>
    </row>
    <row r="11881" spans="8:8">
      <c r="H11881" t="s">
        <v>30177</v>
      </c>
    </row>
    <row r="11882" spans="8:8">
      <c r="H11882" t="s">
        <v>30178</v>
      </c>
    </row>
    <row r="11883" spans="8:8">
      <c r="H11883" t="s">
        <v>30179</v>
      </c>
    </row>
    <row r="11884" spans="8:8">
      <c r="H11884" t="s">
        <v>30180</v>
      </c>
    </row>
    <row r="11885" spans="8:8">
      <c r="H11885" t="s">
        <v>30181</v>
      </c>
    </row>
    <row r="11886" spans="8:8">
      <c r="H11886" t="s">
        <v>30182</v>
      </c>
    </row>
    <row r="11887" spans="8:8">
      <c r="H11887" t="s">
        <v>30183</v>
      </c>
    </row>
    <row r="11888" spans="8:8">
      <c r="H11888" t="s">
        <v>30184</v>
      </c>
    </row>
    <row r="11889" spans="8:8">
      <c r="H11889" t="s">
        <v>30185</v>
      </c>
    </row>
    <row r="11890" spans="8:8">
      <c r="H11890" t="s">
        <v>30186</v>
      </c>
    </row>
    <row r="11891" spans="8:8">
      <c r="H11891" t="s">
        <v>30187</v>
      </c>
    </row>
    <row r="11892" spans="8:8">
      <c r="H11892" t="s">
        <v>30188</v>
      </c>
    </row>
    <row r="11893" spans="8:8">
      <c r="H11893" t="s">
        <v>30189</v>
      </c>
    </row>
    <row r="11894" spans="8:8">
      <c r="H11894" t="s">
        <v>30190</v>
      </c>
    </row>
    <row r="11895" spans="8:8">
      <c r="H11895" t="s">
        <v>30191</v>
      </c>
    </row>
    <row r="11896" spans="8:8">
      <c r="H11896" t="s">
        <v>30192</v>
      </c>
    </row>
    <row r="11897" spans="8:8">
      <c r="H11897" t="s">
        <v>30193</v>
      </c>
    </row>
    <row r="11898" spans="8:8">
      <c r="H11898" t="s">
        <v>30194</v>
      </c>
    </row>
    <row r="11899" spans="8:8">
      <c r="H11899" t="s">
        <v>30195</v>
      </c>
    </row>
    <row r="11900" spans="8:8">
      <c r="H11900" t="s">
        <v>30196</v>
      </c>
    </row>
    <row r="11901" spans="8:8">
      <c r="H11901" t="s">
        <v>30198</v>
      </c>
    </row>
    <row r="11902" spans="8:8">
      <c r="H11902" t="s">
        <v>30199</v>
      </c>
    </row>
    <row r="11903" spans="8:8">
      <c r="H11903" t="s">
        <v>30200</v>
      </c>
    </row>
    <row r="11904" spans="8:8">
      <c r="H11904" t="s">
        <v>30201</v>
      </c>
    </row>
    <row r="11905" spans="6:8">
      <c r="H11905" t="s">
        <v>30202</v>
      </c>
    </row>
    <row r="11906" spans="6:8">
      <c r="H11906" t="s">
        <v>30203</v>
      </c>
    </row>
    <row r="11907" spans="6:8">
      <c r="H11907" t="s">
        <v>30204</v>
      </c>
    </row>
    <row r="11908" spans="6:8">
      <c r="H11908" t="s">
        <v>30205</v>
      </c>
    </row>
    <row r="11909" spans="6:8">
      <c r="H11909" t="s">
        <v>30206</v>
      </c>
    </row>
    <row r="11910" spans="6:8">
      <c r="H11910" t="s">
        <v>30207</v>
      </c>
    </row>
    <row r="11911" spans="6:8">
      <c r="F11911" t="s">
        <v>13507</v>
      </c>
      <c r="G11911" t="s">
        <v>17624</v>
      </c>
      <c r="H11911" t="s">
        <v>30030</v>
      </c>
    </row>
    <row r="11912" spans="6:8">
      <c r="F11912" t="s">
        <v>13508</v>
      </c>
      <c r="G11912" t="s">
        <v>17625</v>
      </c>
      <c r="H11912" t="s">
        <v>30030</v>
      </c>
    </row>
    <row r="11913" spans="6:8">
      <c r="H11913" t="s">
        <v>30214</v>
      </c>
    </row>
    <row r="11914" spans="6:8">
      <c r="H11914" t="s">
        <v>30215</v>
      </c>
    </row>
    <row r="11915" spans="6:8">
      <c r="H11915" t="s">
        <v>30167</v>
      </c>
    </row>
    <row r="11916" spans="6:8">
      <c r="H11916" t="s">
        <v>30168</v>
      </c>
    </row>
    <row r="11917" spans="6:8">
      <c r="H11917" t="s">
        <v>30171</v>
      </c>
    </row>
    <row r="11918" spans="6:8">
      <c r="H11918" t="s">
        <v>30170</v>
      </c>
    </row>
    <row r="11919" spans="6:8">
      <c r="H11919" t="s">
        <v>30169</v>
      </c>
    </row>
    <row r="11920" spans="6:8">
      <c r="H11920" t="s">
        <v>30216</v>
      </c>
    </row>
    <row r="11921" spans="1:8">
      <c r="H11921" t="s">
        <v>30217</v>
      </c>
    </row>
    <row r="11922" spans="1:8">
      <c r="H11922" t="s">
        <v>30218</v>
      </c>
    </row>
    <row r="11923" spans="1:8">
      <c r="H11923" t="s">
        <v>30219</v>
      </c>
    </row>
    <row r="11924" spans="1:8">
      <c r="H11924" t="s">
        <v>30222</v>
      </c>
    </row>
    <row r="11925" spans="1:8">
      <c r="H11925" t="s">
        <v>30223</v>
      </c>
    </row>
    <row r="11926" spans="1:8">
      <c r="H11926" t="s">
        <v>30224</v>
      </c>
    </row>
    <row r="11927" spans="1:8">
      <c r="H11927" t="s">
        <v>30225</v>
      </c>
    </row>
    <row r="11928" spans="1:8">
      <c r="F11928" t="s">
        <v>13509</v>
      </c>
      <c r="G11928" t="s">
        <v>17626</v>
      </c>
      <c r="H11928" t="s">
        <v>30231</v>
      </c>
    </row>
    <row r="11929" spans="1:8">
      <c r="H11929" t="s">
        <v>30232</v>
      </c>
    </row>
    <row r="11930" spans="1:8">
      <c r="A11930" t="s">
        <v>1939</v>
      </c>
      <c r="B11930">
        <f>HYPERLINK("https://android.googlesource.com/platform/cts/+/a53385fe82d8f569fc0cf6cc91fee60749c7ced2", "a53385fe82d8f569fc0cf6cc91fee60749c7ced2")</f>
        <v>0</v>
      </c>
      <c r="C11930">
        <f>HYPERLINK("https://android.googlesource.com/platform/cts/+/aa7171d9987238b20bacd7e651e3aad3a86dd74d", "aa7171d9987238b20bacd7e651e3aad3a86dd74d")</f>
        <v>0</v>
      </c>
      <c r="D11930" t="s">
        <v>5309</v>
      </c>
      <c r="E11930" t="s">
        <v>7685</v>
      </c>
      <c r="F11930" t="s">
        <v>13511</v>
      </c>
      <c r="G11930" t="s">
        <v>17628</v>
      </c>
      <c r="H11930" t="s">
        <v>30245</v>
      </c>
    </row>
    <row r="11931" spans="1:8">
      <c r="A11931" t="s">
        <v>1940</v>
      </c>
      <c r="B11931">
        <f>HYPERLINK("https://android.googlesource.com/platform/cts/+/5b51ce3002e1a6e1bc94e42bc9788a0b8d32b1eb", "5b51ce3002e1a6e1bc94e42bc9788a0b8d32b1eb")</f>
        <v>0</v>
      </c>
      <c r="C11931">
        <f>HYPERLINK("https://android.googlesource.com/platform/cts/+/47ff52cab976338b5db19e2f646a7703dcecc830", "47ff52cab976338b5db19e2f646a7703dcecc830")</f>
        <v>0</v>
      </c>
      <c r="D11931" t="s">
        <v>5046</v>
      </c>
      <c r="E11931" t="s">
        <v>7686</v>
      </c>
      <c r="F11931" t="s">
        <v>13512</v>
      </c>
      <c r="G11931" t="s">
        <v>17629</v>
      </c>
      <c r="H11931" t="s">
        <v>30246</v>
      </c>
    </row>
    <row r="11932" spans="1:8">
      <c r="A11932" t="s">
        <v>1946</v>
      </c>
      <c r="B11932">
        <f>HYPERLINK("https://android.googlesource.com/platform/cts/+/17cd23fa6d9784467051916d0495e633cbf02f31", "17cd23fa6d9784467051916d0495e633cbf02f31")</f>
        <v>0</v>
      </c>
      <c r="C11932">
        <f>HYPERLINK("https://android.googlesource.com/platform/cts/+/74a0dc8acb34356a69ea77167f304583fbbd41b7", "74a0dc8acb34356a69ea77167f304583fbbd41b7")</f>
        <v>0</v>
      </c>
      <c r="D11932" t="s">
        <v>5131</v>
      </c>
      <c r="E11932" t="s">
        <v>7692</v>
      </c>
      <c r="F11932" t="s">
        <v>13515</v>
      </c>
      <c r="G11932" t="s">
        <v>17632</v>
      </c>
      <c r="H11932" t="s">
        <v>30260</v>
      </c>
    </row>
    <row r="11933" spans="1:8">
      <c r="H11933" t="s">
        <v>26401</v>
      </c>
    </row>
    <row r="11934" spans="1:8">
      <c r="A11934" t="s">
        <v>1953</v>
      </c>
      <c r="B11934">
        <f>HYPERLINK("https://android.googlesource.com/platform/cts/+/d91dbd832273ba506c5d2fc648f0504ff7b6b5e2", "d91dbd832273ba506c5d2fc648f0504ff7b6b5e2")</f>
        <v>0</v>
      </c>
      <c r="C11934">
        <f>HYPERLINK("https://android.googlesource.com/platform/cts/+/ddf263ced807b1611300115134f8a8b16622dfe5", "ddf263ced807b1611300115134f8a8b16622dfe5")</f>
        <v>0</v>
      </c>
      <c r="D11934" t="s">
        <v>5131</v>
      </c>
      <c r="E11934" t="s">
        <v>7698</v>
      </c>
      <c r="F11934" t="s">
        <v>13515</v>
      </c>
      <c r="G11934" t="s">
        <v>17632</v>
      </c>
      <c r="H11934" t="s">
        <v>30267</v>
      </c>
    </row>
    <row r="11935" spans="1:8">
      <c r="A11935" t="s">
        <v>1959</v>
      </c>
      <c r="B11935">
        <f>HYPERLINK("https://android.googlesource.com/platform/cts/+/9bcce19398e895110eaf7d630c94f403a5cbddf6", "9bcce19398e895110eaf7d630c94f403a5cbddf6")</f>
        <v>0</v>
      </c>
      <c r="C11935">
        <f>HYPERLINK("https://android.googlesource.com/platform/cts/+/c15a6dee26ba117c61e482778f478bb16b32a1c8", "c15a6dee26ba117c61e482778f478bb16b32a1c8")</f>
        <v>0</v>
      </c>
      <c r="D11935" t="s">
        <v>5180</v>
      </c>
      <c r="E11935" t="s">
        <v>7704</v>
      </c>
      <c r="F11935" t="s">
        <v>13506</v>
      </c>
      <c r="G11935" t="s">
        <v>17623</v>
      </c>
      <c r="H11935" t="s">
        <v>30181</v>
      </c>
    </row>
    <row r="11936" spans="1:8">
      <c r="F11936" t="s">
        <v>13508</v>
      </c>
      <c r="G11936" t="s">
        <v>17625</v>
      </c>
      <c r="H11936" t="s">
        <v>30218</v>
      </c>
    </row>
    <row r="11937" spans="1:8">
      <c r="A11937" t="s">
        <v>1961</v>
      </c>
      <c r="B11937">
        <f>HYPERLINK("https://android.googlesource.com/platform/cts/+/759ad0a1239a9bf031ac6592b1ab1069d494bd45", "759ad0a1239a9bf031ac6592b1ab1069d494bd45")</f>
        <v>0</v>
      </c>
      <c r="C11937">
        <f>HYPERLINK("https://android.googlesource.com/platform/cts/+/74a0dc8acb34356a69ea77167f304583fbbd41b7", "74a0dc8acb34356a69ea77167f304583fbbd41b7")</f>
        <v>0</v>
      </c>
      <c r="D11937" t="s">
        <v>5313</v>
      </c>
      <c r="E11937" t="s">
        <v>7706</v>
      </c>
      <c r="F11937" t="s">
        <v>13525</v>
      </c>
      <c r="G11937" t="s">
        <v>17640</v>
      </c>
      <c r="H11937" t="s">
        <v>30275</v>
      </c>
    </row>
    <row r="11938" spans="1:8">
      <c r="A11938" t="s">
        <v>1962</v>
      </c>
      <c r="B11938">
        <f>HYPERLINK("https://android.googlesource.com/platform/cts/+/2171101ef129d9b6e0c941204038b17ffe560e7c", "2171101ef129d9b6e0c941204038b17ffe560e7c")</f>
        <v>0</v>
      </c>
      <c r="C11938">
        <f>HYPERLINK("https://android.googlesource.com/platform/cts/+/d413d2095eb2e30ab08bb9dc4a9cba3a845401c3", "d413d2095eb2e30ab08bb9dc4a9cba3a845401c3")</f>
        <v>0</v>
      </c>
      <c r="D11938" t="s">
        <v>5264</v>
      </c>
      <c r="E11938" t="s">
        <v>7707</v>
      </c>
      <c r="F11938" t="s">
        <v>13526</v>
      </c>
      <c r="G11938" t="s">
        <v>17641</v>
      </c>
      <c r="H11938" t="s">
        <v>30217</v>
      </c>
    </row>
    <row r="11939" spans="1:8">
      <c r="A11939" t="s">
        <v>1963</v>
      </c>
      <c r="B11939">
        <f>HYPERLINK("https://android.googlesource.com/platform/cts/+/97f475f92dff10849f09e1b1a341a94dba2da855", "97f475f92dff10849f09e1b1a341a94dba2da855")</f>
        <v>0</v>
      </c>
      <c r="C11939">
        <f>HYPERLINK("https://android.googlesource.com/platform/cts/+/7c1fa37b3aa710cd145ca048cf125dfbba62bad0", "7c1fa37b3aa710cd145ca048cf125dfbba62bad0")</f>
        <v>0</v>
      </c>
      <c r="D11939" t="s">
        <v>5306</v>
      </c>
      <c r="E11939" t="s">
        <v>7708</v>
      </c>
      <c r="F11939" t="s">
        <v>13527</v>
      </c>
      <c r="G11939" t="s">
        <v>17642</v>
      </c>
      <c r="H11939" t="s">
        <v>30276</v>
      </c>
    </row>
    <row r="11940" spans="1:8">
      <c r="A11940" t="s">
        <v>1964</v>
      </c>
      <c r="B11940">
        <f>HYPERLINK("https://android.googlesource.com/platform/cts/+/41c9292ded58ea61d14ea263e70d44e5b6d524f2", "41c9292ded58ea61d14ea263e70d44e5b6d524f2")</f>
        <v>0</v>
      </c>
      <c r="C11940">
        <f>HYPERLINK("https://android.googlesource.com/platform/cts/+/d88102d92d872d562d56c3c64b91d952a76d8b45", "d88102d92d872d562d56c3c64b91d952a76d8b45")</f>
        <v>0</v>
      </c>
      <c r="D11940" t="s">
        <v>5306</v>
      </c>
      <c r="E11940" t="s">
        <v>7709</v>
      </c>
      <c r="F11940" t="s">
        <v>13527</v>
      </c>
      <c r="G11940" t="s">
        <v>17642</v>
      </c>
      <c r="H11940" t="s">
        <v>30276</v>
      </c>
    </row>
    <row r="11941" spans="1:8">
      <c r="A11941" t="s">
        <v>1967</v>
      </c>
      <c r="B11941">
        <f>HYPERLINK("https://android.googlesource.com/platform/cts/+/e124269509f91ecae170db8eba71cc29f638c94f", "e124269509f91ecae170db8eba71cc29f638c94f")</f>
        <v>0</v>
      </c>
      <c r="C11941">
        <f>HYPERLINK("https://android.googlesource.com/platform/cts/+/8b2b45404e3d7220911703db6c238eeb73d53dde", "8b2b45404e3d7220911703db6c238eeb73d53dde")</f>
        <v>0</v>
      </c>
      <c r="D11941" t="s">
        <v>5224</v>
      </c>
      <c r="E11941" t="s">
        <v>7712</v>
      </c>
      <c r="F11941" t="s">
        <v>13529</v>
      </c>
      <c r="G11941" t="s">
        <v>17644</v>
      </c>
      <c r="H11941" t="s">
        <v>30277</v>
      </c>
    </row>
    <row r="11942" spans="1:8">
      <c r="A11942" t="s">
        <v>1969</v>
      </c>
      <c r="B11942">
        <f>HYPERLINK("https://android.googlesource.com/platform/cts/+/b431c251965eadd6206812df66a1b63ab8e952d0", "b431c251965eadd6206812df66a1b63ab8e952d0")</f>
        <v>0</v>
      </c>
      <c r="C11942">
        <f>HYPERLINK("https://android.googlesource.com/platform/cts/+/2b60832a126adcb73d1d57e9e2460aa51baf9631", "2b60832a126adcb73d1d57e9e2460aa51baf9631")</f>
        <v>0</v>
      </c>
      <c r="D11942" t="s">
        <v>5264</v>
      </c>
      <c r="E11942" t="s">
        <v>7714</v>
      </c>
      <c r="F11942" t="s">
        <v>13506</v>
      </c>
      <c r="G11942" t="s">
        <v>17623</v>
      </c>
      <c r="H11942" t="s">
        <v>30177</v>
      </c>
    </row>
    <row r="11943" spans="1:8">
      <c r="F11943" t="s">
        <v>13508</v>
      </c>
      <c r="G11943" t="s">
        <v>17625</v>
      </c>
      <c r="H11943" t="s">
        <v>30217</v>
      </c>
    </row>
    <row r="11944" spans="1:8">
      <c r="A11944" t="s">
        <v>1972</v>
      </c>
      <c r="B11944">
        <f>HYPERLINK("https://android.googlesource.com/platform/cts/+/bdf29769f0c7750eda72926adfc33cbae3ae3273", "bdf29769f0c7750eda72926adfc33cbae3ae3273")</f>
        <v>0</v>
      </c>
      <c r="C11944">
        <f>HYPERLINK("https://android.googlesource.com/platform/cts/+/04d14540a4766c1b96eb26c98d7a0d99bad24e47", "04d14540a4766c1b96eb26c98d7a0d99bad24e47")</f>
        <v>0</v>
      </c>
      <c r="D11944" t="s">
        <v>5141</v>
      </c>
      <c r="E11944" t="s">
        <v>7717</v>
      </c>
      <c r="F11944" t="s">
        <v>13491</v>
      </c>
      <c r="G11944" t="s">
        <v>17610</v>
      </c>
      <c r="H11944" t="s">
        <v>30284</v>
      </c>
    </row>
    <row r="11945" spans="1:8">
      <c r="H11945" t="s">
        <v>30285</v>
      </c>
    </row>
    <row r="11946" spans="1:8">
      <c r="H11946" t="s">
        <v>30286</v>
      </c>
    </row>
    <row r="11947" spans="1:8">
      <c r="A11947" t="s">
        <v>1980</v>
      </c>
      <c r="B11947">
        <f>HYPERLINK("https://android.googlesource.com/platform/cts/+/c9ec3b31d4cd6b064f59400fbe1f01695efee77e", "c9ec3b31d4cd6b064f59400fbe1f01695efee77e")</f>
        <v>0</v>
      </c>
      <c r="C11947">
        <f>HYPERLINK("https://android.googlesource.com/platform/cts/+/1106a1fd641972a38b97417ef598f4b3a5bf8df0", "1106a1fd641972a38b97417ef598f4b3a5bf8df0")</f>
        <v>0</v>
      </c>
      <c r="D11947" t="s">
        <v>5131</v>
      </c>
      <c r="E11947" t="s">
        <v>7725</v>
      </c>
      <c r="F11947" t="s">
        <v>13537</v>
      </c>
      <c r="G11947" t="s">
        <v>17649</v>
      </c>
      <c r="H11947" t="s">
        <v>30303</v>
      </c>
    </row>
    <row r="11948" spans="1:8">
      <c r="H11948" t="s">
        <v>30304</v>
      </c>
    </row>
    <row r="11949" spans="1:8">
      <c r="H11949" t="s">
        <v>30305</v>
      </c>
    </row>
    <row r="11950" spans="1:8">
      <c r="H11950" t="s">
        <v>30306</v>
      </c>
    </row>
    <row r="11951" spans="1:8">
      <c r="H11951" t="s">
        <v>30307</v>
      </c>
    </row>
    <row r="11952" spans="1:8">
      <c r="H11952" t="s">
        <v>30308</v>
      </c>
    </row>
    <row r="11953" spans="1:8">
      <c r="H11953" t="s">
        <v>29953</v>
      </c>
    </row>
    <row r="11954" spans="1:8">
      <c r="H11954" t="s">
        <v>30309</v>
      </c>
    </row>
    <row r="11955" spans="1:8">
      <c r="A11955" t="s">
        <v>1981</v>
      </c>
      <c r="B11955">
        <f>HYPERLINK("https://android.googlesource.com/platform/cts/+/3b9071a2280d021e41c800ac3b77ed44cdc98d5e", "3b9071a2280d021e41c800ac3b77ed44cdc98d5e")</f>
        <v>0</v>
      </c>
      <c r="C11955">
        <f>HYPERLINK("https://android.googlesource.com/platform/cts/+/d7a8f7f6d7f46f5d51353613c40467dc97996d3d", "d7a8f7f6d7f46f5d51353613c40467dc97996d3d")</f>
        <v>0</v>
      </c>
      <c r="D11955" t="s">
        <v>5315</v>
      </c>
      <c r="E11955" t="s">
        <v>7726</v>
      </c>
      <c r="F11955" t="s">
        <v>13227</v>
      </c>
      <c r="G11955" t="s">
        <v>17368</v>
      </c>
      <c r="H11955" t="s">
        <v>30310</v>
      </c>
    </row>
    <row r="11956" spans="1:8">
      <c r="H11956" t="s">
        <v>30311</v>
      </c>
    </row>
    <row r="11957" spans="1:8">
      <c r="A11957" t="s">
        <v>1984</v>
      </c>
      <c r="B11957">
        <f>HYPERLINK("https://android.googlesource.com/platform/cts/+/90363eeabae5a3b97dc2f6c04f88ba404e877833", "90363eeabae5a3b97dc2f6c04f88ba404e877833")</f>
        <v>0</v>
      </c>
      <c r="C11957">
        <f>HYPERLINK("https://android.googlesource.com/platform/cts/+/ca2f49e4fd9037b22e91615be58be96f3774a149", "ca2f49e4fd9037b22e91615be58be96f3774a149")</f>
        <v>0</v>
      </c>
      <c r="D11957" t="s">
        <v>5316</v>
      </c>
      <c r="E11957" t="s">
        <v>7729</v>
      </c>
      <c r="F11957" t="s">
        <v>13320</v>
      </c>
      <c r="G11957" t="s">
        <v>17451</v>
      </c>
      <c r="H11957" t="s">
        <v>29170</v>
      </c>
    </row>
    <row r="11958" spans="1:8">
      <c r="A11958" t="s">
        <v>1987</v>
      </c>
      <c r="B11958">
        <f>HYPERLINK("https://android.googlesource.com/platform/cts/+/a54f36953bca823296434f6563fcfac142bf4e4e", "a54f36953bca823296434f6563fcfac142bf4e4e")</f>
        <v>0</v>
      </c>
      <c r="C11958">
        <f>HYPERLINK("https://android.googlesource.com/platform/cts/+/498fae8550d8f0b1d2d75299b33c57285dc0c3f6", "498fae8550d8f0b1d2d75299b33c57285dc0c3f6")</f>
        <v>0</v>
      </c>
      <c r="D11958" t="s">
        <v>5046</v>
      </c>
      <c r="E11958" t="s">
        <v>7731</v>
      </c>
      <c r="F11958" t="s">
        <v>13539</v>
      </c>
      <c r="G11958" t="s">
        <v>17155</v>
      </c>
      <c r="H11958" t="s">
        <v>28579</v>
      </c>
    </row>
    <row r="11959" spans="1:8">
      <c r="A11959" t="s">
        <v>1992</v>
      </c>
      <c r="B11959">
        <f>HYPERLINK("https://android.googlesource.com/platform/cts/+/b4fa0373b298d92eea4dfb209ab4dda6b1ef1c07", "b4fa0373b298d92eea4dfb209ab4dda6b1ef1c07")</f>
        <v>0</v>
      </c>
      <c r="C11959">
        <f>HYPERLINK("https://android.googlesource.com/platform/cts/+/4f8f314f1f0286b942f061896dd43cdca05d61b1", "4f8f314f1f0286b942f061896dd43cdca05d61b1")</f>
        <v>0</v>
      </c>
      <c r="D11959" t="s">
        <v>5287</v>
      </c>
      <c r="E11959" t="s">
        <v>7736</v>
      </c>
      <c r="F11959" t="s">
        <v>10663</v>
      </c>
      <c r="G11959" t="s">
        <v>15064</v>
      </c>
      <c r="H11959" t="s">
        <v>30378</v>
      </c>
    </row>
    <row r="11960" spans="1:8">
      <c r="H11960" t="s">
        <v>30379</v>
      </c>
    </row>
    <row r="11961" spans="1:8">
      <c r="A11961" t="s">
        <v>2002</v>
      </c>
      <c r="B11961">
        <f>HYPERLINK("https://android.googlesource.com/platform/cts/+/eaa2bbee9517de527137c0ca5488545124ba7e1c", "eaa2bbee9517de527137c0ca5488545124ba7e1c")</f>
        <v>0</v>
      </c>
      <c r="C11961">
        <f>HYPERLINK("https://android.googlesource.com/platform/cts/+/e907b0ac85ef8640a5e285256d4319b06b4add6d", "e907b0ac85ef8640a5e285256d4319b06b4add6d")</f>
        <v>0</v>
      </c>
      <c r="D11961" t="s">
        <v>5264</v>
      </c>
      <c r="E11961" t="s">
        <v>7744</v>
      </c>
      <c r="F11961" t="s">
        <v>12617</v>
      </c>
      <c r="G11961" t="s">
        <v>15155</v>
      </c>
      <c r="H11961" t="s">
        <v>30398</v>
      </c>
    </row>
    <row r="11962" spans="1:8">
      <c r="A11962" t="s">
        <v>2003</v>
      </c>
      <c r="B11962">
        <f>HYPERLINK("https://android.googlesource.com/platform/cts/+/b22c4ea6428a357cfc50928def4f6c42d684ffce", "b22c4ea6428a357cfc50928def4f6c42d684ffce")</f>
        <v>0</v>
      </c>
      <c r="C11962">
        <f>HYPERLINK("https://android.googlesource.com/platform/cts/+/2e63d86c2da34f4fdd19bf347b4c02449518cb28", "2e63d86c2da34f4fdd19bf347b4c02449518cb28")</f>
        <v>0</v>
      </c>
      <c r="D11962" t="s">
        <v>5264</v>
      </c>
      <c r="E11962" t="s">
        <v>7745</v>
      </c>
      <c r="F11962" t="s">
        <v>13508</v>
      </c>
      <c r="G11962" t="s">
        <v>17625</v>
      </c>
      <c r="H11962" t="s">
        <v>30173</v>
      </c>
    </row>
    <row r="11963" spans="1:8">
      <c r="H11963" t="s">
        <v>30174</v>
      </c>
    </row>
    <row r="11964" spans="1:8">
      <c r="A11964" t="s">
        <v>2005</v>
      </c>
      <c r="B11964">
        <f>HYPERLINK("https://android.googlesource.com/platform/cts/+/e11b314c0abd734e2e659490ddb556b36e53e6ab", "e11b314c0abd734e2e659490ddb556b36e53e6ab")</f>
        <v>0</v>
      </c>
      <c r="C11964">
        <f>HYPERLINK("https://android.googlesource.com/platform/cts/+/814f1d8184f1b52323015351a308b4f0e437295a", "814f1d8184f1b52323015351a308b4f0e437295a")</f>
        <v>0</v>
      </c>
      <c r="D11964" t="s">
        <v>5144</v>
      </c>
      <c r="E11964" t="s">
        <v>7747</v>
      </c>
      <c r="F11964" t="s">
        <v>10627</v>
      </c>
      <c r="G11964" t="s">
        <v>15030</v>
      </c>
      <c r="H11964" t="s">
        <v>30401</v>
      </c>
    </row>
    <row r="11965" spans="1:8">
      <c r="H11965" t="s">
        <v>30402</v>
      </c>
    </row>
    <row r="11966" spans="1:8">
      <c r="H11966" t="s">
        <v>30403</v>
      </c>
    </row>
    <row r="11967" spans="1:8">
      <c r="H11967" t="s">
        <v>30404</v>
      </c>
    </row>
    <row r="11968" spans="1:8">
      <c r="H11968" t="s">
        <v>30405</v>
      </c>
    </row>
    <row r="11969" spans="1:8">
      <c r="H11969" t="s">
        <v>30406</v>
      </c>
    </row>
    <row r="11970" spans="1:8">
      <c r="H11970" t="s">
        <v>30407</v>
      </c>
    </row>
    <row r="11971" spans="1:8">
      <c r="H11971" t="s">
        <v>30408</v>
      </c>
    </row>
    <row r="11972" spans="1:8">
      <c r="H11972" t="s">
        <v>30409</v>
      </c>
    </row>
    <row r="11973" spans="1:8">
      <c r="H11973" t="s">
        <v>30410</v>
      </c>
    </row>
    <row r="11974" spans="1:8">
      <c r="H11974" t="s">
        <v>30411</v>
      </c>
    </row>
    <row r="11975" spans="1:8">
      <c r="A11975" t="s">
        <v>2006</v>
      </c>
      <c r="B11975">
        <f>HYPERLINK("https://android.googlesource.com/platform/cts/+/f2e0092e0858c3257dca4fdea419f08051346419", "f2e0092e0858c3257dca4fdea419f08051346419")</f>
        <v>0</v>
      </c>
      <c r="C11975">
        <f>HYPERLINK("https://android.googlesource.com/platform/cts/+/afe3d3ee615bfea1a1aa6e46a5ede9c9f582faca", "afe3d3ee615bfea1a1aa6e46a5ede9c9f582faca")</f>
        <v>0</v>
      </c>
      <c r="D11975" t="s">
        <v>5320</v>
      </c>
      <c r="E11975" t="s">
        <v>7748</v>
      </c>
      <c r="F11975" t="s">
        <v>10664</v>
      </c>
      <c r="G11975" t="s">
        <v>15065</v>
      </c>
      <c r="H11975" t="s">
        <v>30413</v>
      </c>
    </row>
    <row r="11976" spans="1:8">
      <c r="A11976" t="s">
        <v>2008</v>
      </c>
      <c r="B11976">
        <f>HYPERLINK("https://android.googlesource.com/platform/cts/+/b3394f2c9fc07f8ad73541b42e7972ffd2ec0444", "b3394f2c9fc07f8ad73541b42e7972ffd2ec0444")</f>
        <v>0</v>
      </c>
      <c r="C11976">
        <f>HYPERLINK("https://android.googlesource.com/platform/cts/+/677fc6381fac76f77bfa20af89b4adf2127c439d", "677fc6381fac76f77bfa20af89b4adf2127c439d")</f>
        <v>0</v>
      </c>
      <c r="D11976" t="s">
        <v>5310</v>
      </c>
      <c r="E11976" t="s">
        <v>7750</v>
      </c>
      <c r="F11976" t="s">
        <v>13432</v>
      </c>
      <c r="G11976" t="s">
        <v>17556</v>
      </c>
      <c r="H11976" t="s">
        <v>29799</v>
      </c>
    </row>
    <row r="11977" spans="1:8">
      <c r="F11977" t="s">
        <v>13433</v>
      </c>
      <c r="G11977" t="s">
        <v>17557</v>
      </c>
      <c r="H11977" t="s">
        <v>29800</v>
      </c>
    </row>
    <row r="11978" spans="1:8">
      <c r="A11978" t="s">
        <v>2010</v>
      </c>
      <c r="B11978">
        <f>HYPERLINK("https://android.googlesource.com/platform/cts/+/3151f8d0a27659e826f8338e7ebe598ba82b4a76", "3151f8d0a27659e826f8338e7ebe598ba82b4a76")</f>
        <v>0</v>
      </c>
      <c r="C11978">
        <f>HYPERLINK("https://android.googlesource.com/platform/cts/+/e33d09d45b475bdd9d7cc7532b2c750fa3790faf", "e33d09d45b475bdd9d7cc7532b2c750fa3790faf")</f>
        <v>0</v>
      </c>
      <c r="D11978" t="s">
        <v>5293</v>
      </c>
      <c r="E11978" t="s">
        <v>7752</v>
      </c>
      <c r="F11978" t="s">
        <v>13468</v>
      </c>
      <c r="G11978" t="s">
        <v>17587</v>
      </c>
      <c r="H11978" t="s">
        <v>30416</v>
      </c>
    </row>
    <row r="11979" spans="1:8">
      <c r="A11979" t="s">
        <v>2011</v>
      </c>
      <c r="B11979">
        <f>HYPERLINK("https://android.googlesource.com/platform/cts/+/ffe52878f6ee7695de02412d4a46f93abe3748ed", "ffe52878f6ee7695de02412d4a46f93abe3748ed")</f>
        <v>0</v>
      </c>
      <c r="C11979">
        <f>HYPERLINK("https://android.googlesource.com/platform/cts/+/38d5bec8b7cc788383c61ef48d6e9cb0afb038a0", "38d5bec8b7cc788383c61ef48d6e9cb0afb038a0")</f>
        <v>0</v>
      </c>
      <c r="D11979" t="s">
        <v>5221</v>
      </c>
      <c r="E11979" t="s">
        <v>7753</v>
      </c>
      <c r="F11979" t="s">
        <v>13542</v>
      </c>
      <c r="G11979" t="s">
        <v>17609</v>
      </c>
      <c r="H11979" t="s">
        <v>30418</v>
      </c>
    </row>
    <row r="11980" spans="1:8">
      <c r="H11980" t="s">
        <v>30419</v>
      </c>
    </row>
    <row r="11981" spans="1:8">
      <c r="H11981" t="s">
        <v>30420</v>
      </c>
    </row>
    <row r="11982" spans="1:8">
      <c r="H11982" t="s">
        <v>30421</v>
      </c>
    </row>
    <row r="11983" spans="1:8">
      <c r="H11983" t="s">
        <v>30422</v>
      </c>
    </row>
    <row r="11984" spans="1:8">
      <c r="F11984" t="s">
        <v>13298</v>
      </c>
      <c r="G11984" t="s">
        <v>17434</v>
      </c>
      <c r="H11984" t="s">
        <v>30424</v>
      </c>
    </row>
    <row r="11985" spans="1:8">
      <c r="H11985" t="s">
        <v>30425</v>
      </c>
    </row>
    <row r="11986" spans="1:8">
      <c r="A11986" t="s">
        <v>2012</v>
      </c>
      <c r="B11986">
        <f>HYPERLINK("https://android.googlesource.com/platform/cts/+/a9fe06c1f87e5df88942cf694672a4e41df5502e", "a9fe06c1f87e5df88942cf694672a4e41df5502e")</f>
        <v>0</v>
      </c>
      <c r="C11986">
        <f>HYPERLINK("https://android.googlesource.com/platform/cts/+/bdf7a2099c7a2e63881ae362414f2ee1aa6a0e2a", "bdf7a2099c7a2e63881ae362414f2ee1aa6a0e2a")</f>
        <v>0</v>
      </c>
      <c r="D11986" t="s">
        <v>5321</v>
      </c>
      <c r="E11986" t="s">
        <v>7754</v>
      </c>
      <c r="F11986" t="s">
        <v>12817</v>
      </c>
      <c r="G11986" t="s">
        <v>16629</v>
      </c>
      <c r="H11986" t="s">
        <v>30426</v>
      </c>
    </row>
    <row r="11987" spans="1:8">
      <c r="H11987" t="s">
        <v>30427</v>
      </c>
    </row>
    <row r="11988" spans="1:8">
      <c r="A11988" t="s">
        <v>2013</v>
      </c>
      <c r="B11988">
        <f>HYPERLINK("https://android.googlesource.com/platform/cts/+/5788d466601e202fb81eaffda73c4e99fd8ad269", "5788d466601e202fb81eaffda73c4e99fd8ad269")</f>
        <v>0</v>
      </c>
      <c r="C11988">
        <f>HYPERLINK("https://android.googlesource.com/platform/cts/+/3c74c0ebc468b879d7fac9f7638fff2f6e8e2eed", "3c74c0ebc468b879d7fac9f7638fff2f6e8e2eed")</f>
        <v>0</v>
      </c>
      <c r="D11988" t="s">
        <v>5108</v>
      </c>
      <c r="E11988" t="s">
        <v>7755</v>
      </c>
      <c r="F11988" t="s">
        <v>13543</v>
      </c>
      <c r="G11988" t="s">
        <v>17654</v>
      </c>
      <c r="H11988" t="s">
        <v>30428</v>
      </c>
    </row>
    <row r="11989" spans="1:8">
      <c r="H11989" t="s">
        <v>30429</v>
      </c>
    </row>
    <row r="11990" spans="1:8">
      <c r="H11990" t="s">
        <v>30430</v>
      </c>
    </row>
    <row r="11991" spans="1:8">
      <c r="H11991" t="s">
        <v>30431</v>
      </c>
    </row>
    <row r="11992" spans="1:8">
      <c r="H11992" t="s">
        <v>30432</v>
      </c>
    </row>
    <row r="11993" spans="1:8">
      <c r="H11993" t="s">
        <v>30433</v>
      </c>
    </row>
    <row r="11994" spans="1:8">
      <c r="H11994" t="s">
        <v>30434</v>
      </c>
    </row>
    <row r="11995" spans="1:8">
      <c r="H11995" t="s">
        <v>30435</v>
      </c>
    </row>
    <row r="11996" spans="1:8">
      <c r="H11996" t="s">
        <v>30436</v>
      </c>
    </row>
    <row r="11997" spans="1:8">
      <c r="H11997" t="s">
        <v>30437</v>
      </c>
    </row>
    <row r="11998" spans="1:8">
      <c r="H11998" t="s">
        <v>30438</v>
      </c>
    </row>
    <row r="11999" spans="1:8">
      <c r="H11999" t="s">
        <v>30439</v>
      </c>
    </row>
    <row r="12000" spans="1:8">
      <c r="H12000" t="s">
        <v>30440</v>
      </c>
    </row>
    <row r="12001" spans="1:8">
      <c r="H12001" t="s">
        <v>30441</v>
      </c>
    </row>
    <row r="12002" spans="1:8">
      <c r="H12002" t="s">
        <v>30442</v>
      </c>
    </row>
    <row r="12003" spans="1:8">
      <c r="H12003" t="s">
        <v>30443</v>
      </c>
    </row>
    <row r="12004" spans="1:8">
      <c r="H12004" t="s">
        <v>30444</v>
      </c>
    </row>
    <row r="12005" spans="1:8">
      <c r="F12005" t="s">
        <v>12743</v>
      </c>
      <c r="G12005" t="s">
        <v>16935</v>
      </c>
      <c r="H12005" t="s">
        <v>30447</v>
      </c>
    </row>
    <row r="12006" spans="1:8">
      <c r="F12006" t="s">
        <v>12768</v>
      </c>
      <c r="G12006" t="s">
        <v>15710</v>
      </c>
      <c r="H12006" t="s">
        <v>30448</v>
      </c>
    </row>
    <row r="12007" spans="1:8">
      <c r="H12007" t="s">
        <v>30449</v>
      </c>
    </row>
    <row r="12008" spans="1:8">
      <c r="A12008" t="s">
        <v>2014</v>
      </c>
      <c r="B12008">
        <f>HYPERLINK("https://android.googlesource.com/platform/cts/+/62df704ccbdd956a6018310d4e389223a436fe4e", "62df704ccbdd956a6018310d4e389223a436fe4e")</f>
        <v>0</v>
      </c>
      <c r="C12008">
        <f>HYPERLINK("https://android.googlesource.com/platform/cts/+/c3c270b6a9f795cd52975e3d6829e6e420300d64", "c3c270b6a9f795cd52975e3d6829e6e420300d64")</f>
        <v>0</v>
      </c>
      <c r="D12008" t="s">
        <v>5314</v>
      </c>
      <c r="E12008" t="s">
        <v>7756</v>
      </c>
      <c r="F12008" t="s">
        <v>12629</v>
      </c>
      <c r="G12008" t="s">
        <v>16838</v>
      </c>
      <c r="H12008" t="s">
        <v>30453</v>
      </c>
    </row>
    <row r="12009" spans="1:8">
      <c r="A12009" t="s">
        <v>2016</v>
      </c>
      <c r="B12009">
        <f>HYPERLINK("https://android.googlesource.com/platform/cts/+/ca860dfb4a56aae4871151bec87ebf7c8c21b054", "ca860dfb4a56aae4871151bec87ebf7c8c21b054")</f>
        <v>0</v>
      </c>
      <c r="C12009">
        <f>HYPERLINK("https://android.googlesource.com/platform/cts/+/425334c29c09fabcb7ced887234c682994d4c996", "425334c29c09fabcb7ced887234c682994d4c996")</f>
        <v>0</v>
      </c>
      <c r="D12009" t="s">
        <v>5221</v>
      </c>
      <c r="E12009" t="s">
        <v>7758</v>
      </c>
      <c r="F12009" t="s">
        <v>12857</v>
      </c>
      <c r="G12009" t="s">
        <v>17027</v>
      </c>
      <c r="H12009" t="s">
        <v>30454</v>
      </c>
    </row>
    <row r="12010" spans="1:8">
      <c r="F12010" t="s">
        <v>13545</v>
      </c>
      <c r="G12010" t="s">
        <v>17656</v>
      </c>
      <c r="H12010" t="s">
        <v>30455</v>
      </c>
    </row>
    <row r="12011" spans="1:8">
      <c r="H12011" t="s">
        <v>30458</v>
      </c>
    </row>
    <row r="12012" spans="1:8">
      <c r="H12012" t="s">
        <v>30461</v>
      </c>
    </row>
    <row r="12013" spans="1:8">
      <c r="A12013" t="s">
        <v>2017</v>
      </c>
      <c r="B12013">
        <f>HYPERLINK("https://android.googlesource.com/platform/cts/+/bba47e7e77e7ffc0fe0870679dca70c29ad1cde0", "bba47e7e77e7ffc0fe0870679dca70c29ad1cde0")</f>
        <v>0</v>
      </c>
      <c r="C12013">
        <f>HYPERLINK("https://android.googlesource.com/platform/cts/+/76b34c577d58d088426280d28fd223d0bf4bb4a8", "76b34c577d58d088426280d28fd223d0bf4bb4a8")</f>
        <v>0</v>
      </c>
      <c r="D12013" t="s">
        <v>5310</v>
      </c>
      <c r="E12013" t="s">
        <v>7759</v>
      </c>
      <c r="F12013" t="s">
        <v>13438</v>
      </c>
      <c r="G12013" t="s">
        <v>17561</v>
      </c>
      <c r="H12013" t="s">
        <v>30462</v>
      </c>
    </row>
    <row r="12014" spans="1:8">
      <c r="H12014" t="s">
        <v>30463</v>
      </c>
    </row>
    <row r="12015" spans="1:8">
      <c r="A12015" t="s">
        <v>2019</v>
      </c>
      <c r="B12015">
        <f>HYPERLINK("https://android.googlesource.com/platform/cts/+/e2fcb9d64ba10f07a69a6b96a7f7e1465856172a", "e2fcb9d64ba10f07a69a6b96a7f7e1465856172a")</f>
        <v>0</v>
      </c>
      <c r="C12015">
        <f>HYPERLINK("https://android.googlesource.com/platform/cts/+/7ee57eb05b56a186d67e7fb98a4a9bfaea722814", "7ee57eb05b56a186d67e7fb98a4a9bfaea722814")</f>
        <v>0</v>
      </c>
      <c r="D12015" t="s">
        <v>5271</v>
      </c>
      <c r="E12015" t="s">
        <v>7761</v>
      </c>
      <c r="F12015" t="s">
        <v>13309</v>
      </c>
      <c r="G12015" t="s">
        <v>17442</v>
      </c>
      <c r="H12015" t="s">
        <v>30467</v>
      </c>
    </row>
    <row r="12016" spans="1:8">
      <c r="A12016" t="s">
        <v>2023</v>
      </c>
      <c r="B12016">
        <f>HYPERLINK("https://android.googlesource.com/platform/cts/+/7cfffe08c841abdc01b0e29e90083493495df8a7", "7cfffe08c841abdc01b0e29e90083493495df8a7")</f>
        <v>0</v>
      </c>
      <c r="C12016">
        <f>HYPERLINK("https://android.googlesource.com/platform/cts/+/67e9da2b4df5f86501e9195e7d0f46017ddc5616", "67e9da2b4df5f86501e9195e7d0f46017ddc5616")</f>
        <v>0</v>
      </c>
      <c r="D12016" t="s">
        <v>5046</v>
      </c>
      <c r="E12016" t="s">
        <v>7765</v>
      </c>
      <c r="F12016" t="s">
        <v>10794</v>
      </c>
      <c r="G12016" t="s">
        <v>15189</v>
      </c>
      <c r="H12016" t="s">
        <v>30471</v>
      </c>
    </row>
    <row r="12017" spans="1:8">
      <c r="A12017" t="s">
        <v>2028</v>
      </c>
      <c r="B12017">
        <f>HYPERLINK("https://android.googlesource.com/platform/cts/+/ad7327c6b72caba39a2d8625f048d907715a911c", "ad7327c6b72caba39a2d8625f048d907715a911c")</f>
        <v>0</v>
      </c>
      <c r="C12017">
        <f>HYPERLINK("https://android.googlesource.com/platform/cts/+/e3b6ea84b938ed570f1088f94ad100558231b7dd", "e3b6ea84b938ed570f1088f94ad100558231b7dd")</f>
        <v>0</v>
      </c>
      <c r="D12017" t="s">
        <v>5141</v>
      </c>
      <c r="E12017" t="s">
        <v>7769</v>
      </c>
      <c r="F12017" t="s">
        <v>13491</v>
      </c>
      <c r="G12017" t="s">
        <v>17610</v>
      </c>
      <c r="H12017" t="s">
        <v>29269</v>
      </c>
    </row>
    <row r="12018" spans="1:8">
      <c r="A12018" t="s">
        <v>2030</v>
      </c>
      <c r="B12018">
        <f>HYPERLINK("https://android.googlesource.com/platform/cts/+/0e3b362d39e012c4c2a29c2319ee1b8c57ceb322", "0e3b362d39e012c4c2a29c2319ee1b8c57ceb322")</f>
        <v>0</v>
      </c>
      <c r="C12018">
        <f>HYPERLINK("https://android.googlesource.com/platform/cts/+/7532a8453a3013b9386d67b237e5f336c90d5e76", "7532a8453a3013b9386d67b237e5f336c90d5e76")</f>
        <v>0</v>
      </c>
      <c r="D12018" t="s">
        <v>5146</v>
      </c>
      <c r="E12018" t="s">
        <v>7771</v>
      </c>
      <c r="F12018" t="s">
        <v>13548</v>
      </c>
      <c r="G12018" t="s">
        <v>15171</v>
      </c>
      <c r="H12018" t="s">
        <v>30475</v>
      </c>
    </row>
    <row r="12019" spans="1:8">
      <c r="F12019" t="s">
        <v>13549</v>
      </c>
      <c r="G12019" t="s">
        <v>17658</v>
      </c>
      <c r="H12019" t="s">
        <v>30475</v>
      </c>
    </row>
    <row r="12020" spans="1:8">
      <c r="A12020" t="s">
        <v>2032</v>
      </c>
      <c r="B12020">
        <f>HYPERLINK("https://android.googlesource.com/platform/cts/+/1f1196586f2035e09377ba5da2b654617846177b", "1f1196586f2035e09377ba5da2b654617846177b")</f>
        <v>0</v>
      </c>
      <c r="C12020">
        <f>HYPERLINK("https://android.googlesource.com/platform/cts/+/4ab736571a2546da9015c2a82e49964f21602e9e", "4ab736571a2546da9015c2a82e49964f21602e9e")</f>
        <v>0</v>
      </c>
      <c r="D12020" t="s">
        <v>5006</v>
      </c>
      <c r="E12020" t="s">
        <v>7773</v>
      </c>
      <c r="F12020" t="s">
        <v>13552</v>
      </c>
      <c r="G12020" t="s">
        <v>17660</v>
      </c>
      <c r="H12020" t="s">
        <v>30477</v>
      </c>
    </row>
    <row r="12021" spans="1:8">
      <c r="H12021" t="s">
        <v>30478</v>
      </c>
    </row>
    <row r="12022" spans="1:8">
      <c r="H12022" t="s">
        <v>30480</v>
      </c>
    </row>
    <row r="12023" spans="1:8">
      <c r="H12023" t="s">
        <v>30481</v>
      </c>
    </row>
    <row r="12024" spans="1:8">
      <c r="H12024" t="s">
        <v>30482</v>
      </c>
    </row>
    <row r="12025" spans="1:8">
      <c r="H12025" t="s">
        <v>30485</v>
      </c>
    </row>
    <row r="12026" spans="1:8">
      <c r="H12026" t="s">
        <v>30486</v>
      </c>
    </row>
    <row r="12027" spans="1:8">
      <c r="H12027" t="s">
        <v>30488</v>
      </c>
    </row>
    <row r="12028" spans="1:8">
      <c r="H12028" t="s">
        <v>30489</v>
      </c>
    </row>
    <row r="12029" spans="1:8">
      <c r="H12029" t="s">
        <v>30490</v>
      </c>
    </row>
    <row r="12030" spans="1:8">
      <c r="F12030" t="s">
        <v>13553</v>
      </c>
      <c r="G12030" t="s">
        <v>17661</v>
      </c>
      <c r="H12030" t="s">
        <v>30492</v>
      </c>
    </row>
    <row r="12031" spans="1:8">
      <c r="A12031" t="s">
        <v>2036</v>
      </c>
      <c r="B12031">
        <f>HYPERLINK("https://android.googlesource.com/platform/cts/+/7ac93cd7f402475654367c47119f34b08de40b02", "7ac93cd7f402475654367c47119f34b08de40b02")</f>
        <v>0</v>
      </c>
      <c r="C12031">
        <f>HYPERLINK("https://android.googlesource.com/platform/cts/+/f25e7b6acdbd6c749656d8bf8d38f2e6ce0f4819", "f25e7b6acdbd6c749656d8bf8d38f2e6ce0f4819")</f>
        <v>0</v>
      </c>
      <c r="D12031" t="s">
        <v>5065</v>
      </c>
      <c r="E12031" t="s">
        <v>7777</v>
      </c>
      <c r="F12031" t="s">
        <v>13556</v>
      </c>
      <c r="G12031" t="s">
        <v>17663</v>
      </c>
      <c r="H12031" t="s">
        <v>30495</v>
      </c>
    </row>
    <row r="12032" spans="1:8">
      <c r="H12032" t="s">
        <v>30496</v>
      </c>
    </row>
    <row r="12033" spans="1:8">
      <c r="A12033" t="s">
        <v>2037</v>
      </c>
      <c r="B12033">
        <f>HYPERLINK("https://android.googlesource.com/platform/cts/+/d8de21b0f4f2cbe5790aa2395741308b0e257db6", "d8de21b0f4f2cbe5790aa2395741308b0e257db6")</f>
        <v>0</v>
      </c>
      <c r="C12033">
        <f>HYPERLINK("https://android.googlesource.com/platform/cts/+/ac893b69c1f75fa4b6fa0f38967c5cfae85e2bd0", "ac893b69c1f75fa4b6fa0f38967c5cfae85e2bd0")</f>
        <v>0</v>
      </c>
      <c r="D12033" t="s">
        <v>5279</v>
      </c>
      <c r="E12033" t="s">
        <v>7778</v>
      </c>
      <c r="F12033" t="s">
        <v>13557</v>
      </c>
      <c r="G12033" t="s">
        <v>17664</v>
      </c>
      <c r="H12033" t="s">
        <v>30497</v>
      </c>
    </row>
    <row r="12034" spans="1:8">
      <c r="H12034" t="s">
        <v>30498</v>
      </c>
    </row>
    <row r="12035" spans="1:8">
      <c r="H12035" t="s">
        <v>30499</v>
      </c>
    </row>
    <row r="12036" spans="1:8">
      <c r="A12036" t="s">
        <v>2043</v>
      </c>
      <c r="B12036">
        <f>HYPERLINK("https://android.googlesource.com/platform/cts/+/601ef229f895fdf7d8d482e194b9f9ff8df27c82", "601ef229f895fdf7d8d482e194b9f9ff8df27c82")</f>
        <v>0</v>
      </c>
      <c r="C12036">
        <f>HYPERLINK("https://android.googlesource.com/platform/cts/+/a31b7c55e1bb228420ead613b1bfe37d7fe0c119", "a31b7c55e1bb228420ead613b1bfe37d7fe0c119")</f>
        <v>0</v>
      </c>
      <c r="D12036" t="s">
        <v>5127</v>
      </c>
      <c r="E12036" t="s">
        <v>7784</v>
      </c>
      <c r="F12036" t="s">
        <v>13560</v>
      </c>
      <c r="G12036" t="s">
        <v>17666</v>
      </c>
      <c r="H12036" t="s">
        <v>30507</v>
      </c>
    </row>
    <row r="12037" spans="1:8">
      <c r="H12037" t="s">
        <v>30508</v>
      </c>
    </row>
    <row r="12038" spans="1:8">
      <c r="H12038" t="s">
        <v>30509</v>
      </c>
    </row>
    <row r="12039" spans="1:8">
      <c r="H12039" t="s">
        <v>30510</v>
      </c>
    </row>
    <row r="12040" spans="1:8">
      <c r="F12040" t="s">
        <v>13536</v>
      </c>
      <c r="G12040" t="s">
        <v>17648</v>
      </c>
      <c r="H12040" t="s">
        <v>30512</v>
      </c>
    </row>
    <row r="12041" spans="1:8">
      <c r="H12041" t="s">
        <v>30513</v>
      </c>
    </row>
    <row r="12042" spans="1:8">
      <c r="F12042" t="s">
        <v>13561</v>
      </c>
      <c r="G12042" t="s">
        <v>17667</v>
      </c>
      <c r="H12042" t="s">
        <v>30518</v>
      </c>
    </row>
    <row r="12043" spans="1:8">
      <c r="F12043" t="s">
        <v>12629</v>
      </c>
      <c r="G12043" t="s">
        <v>16838</v>
      </c>
      <c r="H12043" t="s">
        <v>30518</v>
      </c>
    </row>
    <row r="12044" spans="1:8">
      <c r="A12044" t="s">
        <v>2046</v>
      </c>
      <c r="B12044">
        <f>HYPERLINK("https://android.googlesource.com/platform/cts/+/bb780622d28bf567da45f32f2df4230730180508", "bb780622d28bf567da45f32f2df4230730180508")</f>
        <v>0</v>
      </c>
      <c r="C12044">
        <f>HYPERLINK("https://android.googlesource.com/platform/cts/+/892a77796ccf07bd0ff814f6075a1adb0aac4775", "892a77796ccf07bd0ff814f6075a1adb0aac4775")</f>
        <v>0</v>
      </c>
      <c r="D12044" t="s">
        <v>5300</v>
      </c>
      <c r="E12044" t="s">
        <v>7787</v>
      </c>
      <c r="F12044" t="s">
        <v>10689</v>
      </c>
      <c r="G12044" t="s">
        <v>15089</v>
      </c>
      <c r="H12044" t="s">
        <v>30520</v>
      </c>
    </row>
    <row r="12045" spans="1:8">
      <c r="A12045" t="s">
        <v>2051</v>
      </c>
      <c r="B12045">
        <f>HYPERLINK("https://android.googlesource.com/platform/cts/+/696e60e4922ea5a7b612d170303f4311b560900f", "696e60e4922ea5a7b612d170303f4311b560900f")</f>
        <v>0</v>
      </c>
      <c r="C12045">
        <f>HYPERLINK("https://android.googlesource.com/platform/cts/+/621f1d895b134099c0c95b86ba802c86332ecaca", "621f1d895b134099c0c95b86ba802c86332ecaca")</f>
        <v>0</v>
      </c>
      <c r="D12045" t="s">
        <v>5040</v>
      </c>
      <c r="E12045" t="s">
        <v>7792</v>
      </c>
      <c r="F12045" t="s">
        <v>12344</v>
      </c>
      <c r="G12045" t="s">
        <v>16572</v>
      </c>
      <c r="H12045" t="s">
        <v>30523</v>
      </c>
    </row>
    <row r="12046" spans="1:8">
      <c r="A12046" t="s">
        <v>2057</v>
      </c>
      <c r="B12046">
        <f>HYPERLINK("https://android.googlesource.com/platform/cts/+/fa3e2f4288ecc0a865ecb84f5e76132b5207cd6b", "fa3e2f4288ecc0a865ecb84f5e76132b5207cd6b")</f>
        <v>0</v>
      </c>
      <c r="C12046">
        <f>HYPERLINK("https://android.googlesource.com/platform/cts/+/79fbdf440d32149b074504c9aa086e304f8b2cd6", "79fbdf440d32149b074504c9aa086e304f8b2cd6")</f>
        <v>0</v>
      </c>
      <c r="D12046" t="s">
        <v>5326</v>
      </c>
      <c r="E12046" t="s">
        <v>7795</v>
      </c>
      <c r="F12046" t="s">
        <v>13562</v>
      </c>
      <c r="G12046" t="s">
        <v>17668</v>
      </c>
      <c r="H12046" t="s">
        <v>30524</v>
      </c>
    </row>
    <row r="12047" spans="1:8">
      <c r="H12047" t="s">
        <v>30525</v>
      </c>
    </row>
    <row r="12048" spans="1:8">
      <c r="H12048" t="s">
        <v>30526</v>
      </c>
    </row>
    <row r="12049" spans="1:8">
      <c r="H12049" t="s">
        <v>30527</v>
      </c>
    </row>
    <row r="12050" spans="1:8">
      <c r="H12050" t="s">
        <v>30528</v>
      </c>
    </row>
    <row r="12051" spans="1:8">
      <c r="H12051" t="s">
        <v>30529</v>
      </c>
    </row>
    <row r="12052" spans="1:8">
      <c r="F12052" t="s">
        <v>13563</v>
      </c>
      <c r="G12052" t="s">
        <v>17669</v>
      </c>
      <c r="H12052" t="s">
        <v>30530</v>
      </c>
    </row>
    <row r="12053" spans="1:8">
      <c r="H12053" t="s">
        <v>30531</v>
      </c>
    </row>
    <row r="12054" spans="1:8">
      <c r="H12054" t="s">
        <v>30532</v>
      </c>
    </row>
    <row r="12055" spans="1:8">
      <c r="H12055" t="s">
        <v>30533</v>
      </c>
    </row>
    <row r="12056" spans="1:8">
      <c r="H12056" t="s">
        <v>30534</v>
      </c>
    </row>
    <row r="12057" spans="1:8">
      <c r="H12057" t="s">
        <v>30535</v>
      </c>
    </row>
    <row r="12058" spans="1:8">
      <c r="F12058" t="s">
        <v>13565</v>
      </c>
      <c r="G12058" t="s">
        <v>17671</v>
      </c>
      <c r="H12058" t="s">
        <v>30542</v>
      </c>
    </row>
    <row r="12059" spans="1:8">
      <c r="H12059" t="s">
        <v>30543</v>
      </c>
    </row>
    <row r="12060" spans="1:8">
      <c r="A12060" t="s">
        <v>2058</v>
      </c>
      <c r="B12060">
        <f>HYPERLINK("https://android.googlesource.com/platform/cts/+/c6fdbfb44670545ce1083d02adcdfb85ac8aa9f2", "c6fdbfb44670545ce1083d02adcdfb85ac8aa9f2")</f>
        <v>0</v>
      </c>
      <c r="C12060">
        <f>HYPERLINK("https://android.googlesource.com/platform/cts/+/d9d2de0755c97a700e2e5613903fb681ec606f3b", "d9d2de0755c97a700e2e5613903fb681ec606f3b")</f>
        <v>0</v>
      </c>
      <c r="D12060" t="s">
        <v>5134</v>
      </c>
      <c r="E12060" t="s">
        <v>7796</v>
      </c>
      <c r="F12060" t="s">
        <v>13255</v>
      </c>
      <c r="G12060" t="s">
        <v>17393</v>
      </c>
      <c r="H12060" t="s">
        <v>30549</v>
      </c>
    </row>
    <row r="12061" spans="1:8">
      <c r="A12061" t="s">
        <v>2059</v>
      </c>
      <c r="B12061">
        <f>HYPERLINK("https://android.googlesource.com/platform/cts/+/6480e20315b40a4c3081b2b08247429462b99ffd", "6480e20315b40a4c3081b2b08247429462b99ffd")</f>
        <v>0</v>
      </c>
      <c r="C12061">
        <f>HYPERLINK("https://android.googlesource.com/platform/cts/+/d78f76f20eea814b1c5ffae38c796c38e8d6eb54", "d78f76f20eea814b1c5ffae38c796c38e8d6eb54")</f>
        <v>0</v>
      </c>
      <c r="D12061" t="s">
        <v>5311</v>
      </c>
      <c r="E12061" t="s">
        <v>7797</v>
      </c>
      <c r="F12061" t="s">
        <v>13518</v>
      </c>
      <c r="G12061" t="s">
        <v>17540</v>
      </c>
      <c r="H12061" t="s">
        <v>30550</v>
      </c>
    </row>
    <row r="12062" spans="1:8">
      <c r="A12062" t="s">
        <v>2061</v>
      </c>
      <c r="B12062">
        <f>HYPERLINK("https://android.googlesource.com/platform/cts/+/a065c04eef3682374b0442674ee8225e8bc9abde", "a065c04eef3682374b0442674ee8225e8bc9abde")</f>
        <v>0</v>
      </c>
      <c r="C12062">
        <f>HYPERLINK("https://android.googlesource.com/platform/cts/+/a2bd05c1af762adc0536324e6defba8f3bc12934", "a2bd05c1af762adc0536324e6defba8f3bc12934")</f>
        <v>0</v>
      </c>
      <c r="D12062" t="s">
        <v>5134</v>
      </c>
      <c r="E12062" t="s">
        <v>7799</v>
      </c>
      <c r="F12062" t="s">
        <v>13341</v>
      </c>
      <c r="G12062" t="s">
        <v>17470</v>
      </c>
      <c r="H12062" t="s">
        <v>30552</v>
      </c>
    </row>
    <row r="12063" spans="1:8">
      <c r="H12063" t="s">
        <v>30553</v>
      </c>
    </row>
    <row r="12064" spans="1:8">
      <c r="A12064" t="s">
        <v>2063</v>
      </c>
      <c r="B12064">
        <f>HYPERLINK("https://android.googlesource.com/platform/cts/+/1d551a383eee23de704aa721e56c0251e1e50f75", "1d551a383eee23de704aa721e56c0251e1e50f75")</f>
        <v>0</v>
      </c>
      <c r="C12064">
        <f>HYPERLINK("https://android.googlesource.com/platform/cts/+/9c2005a0e798a72d27f696cd9ef52fc628dde752", "9c2005a0e798a72d27f696cd9ef52fc628dde752")</f>
        <v>0</v>
      </c>
      <c r="D12064" t="s">
        <v>5287</v>
      </c>
      <c r="E12064" t="s">
        <v>7801</v>
      </c>
      <c r="F12064" t="s">
        <v>12808</v>
      </c>
      <c r="G12064" t="s">
        <v>16989</v>
      </c>
      <c r="H12064" t="s">
        <v>30363</v>
      </c>
    </row>
    <row r="12065" spans="1:8">
      <c r="A12065" t="s">
        <v>2065</v>
      </c>
      <c r="B12065">
        <f>HYPERLINK("https://android.googlesource.com/platform/cts/+/3bda23003206500de60bc67e247d2bf4d85c73b1", "3bda23003206500de60bc67e247d2bf4d85c73b1")</f>
        <v>0</v>
      </c>
      <c r="C12065">
        <f>HYPERLINK("https://android.googlesource.com/platform/cts/+/0db3fbf059c97df7f872948e5eba0f564eb425d0", "0db3fbf059c97df7f872948e5eba0f564eb425d0")</f>
        <v>0</v>
      </c>
      <c r="D12065" t="s">
        <v>5117</v>
      </c>
      <c r="E12065" t="s">
        <v>7803</v>
      </c>
      <c r="F12065" t="s">
        <v>10697</v>
      </c>
      <c r="G12065" t="s">
        <v>15097</v>
      </c>
      <c r="H12065" t="s">
        <v>30556</v>
      </c>
    </row>
    <row r="12066" spans="1:8">
      <c r="F12066" t="s">
        <v>13568</v>
      </c>
      <c r="G12066" t="s">
        <v>17673</v>
      </c>
      <c r="H12066" t="s">
        <v>30557</v>
      </c>
    </row>
    <row r="12067" spans="1:8">
      <c r="F12067" t="s">
        <v>13569</v>
      </c>
      <c r="G12067" t="s">
        <v>17674</v>
      </c>
      <c r="H12067" t="s">
        <v>30557</v>
      </c>
    </row>
    <row r="12068" spans="1:8">
      <c r="H12068" t="s">
        <v>30558</v>
      </c>
    </row>
    <row r="12069" spans="1:8">
      <c r="F12069" t="s">
        <v>13570</v>
      </c>
      <c r="G12069" t="s">
        <v>17675</v>
      </c>
      <c r="H12069" t="s">
        <v>30559</v>
      </c>
    </row>
    <row r="12070" spans="1:8">
      <c r="H12070" t="s">
        <v>30560</v>
      </c>
    </row>
    <row r="12071" spans="1:8">
      <c r="A12071" t="s">
        <v>2066</v>
      </c>
      <c r="B12071">
        <f>HYPERLINK("https://android.googlesource.com/platform/cts/+/24f453a13d35fec32fded688a902003321c88961", "24f453a13d35fec32fded688a902003321c88961")</f>
        <v>0</v>
      </c>
      <c r="C12071">
        <f>HYPERLINK("https://android.googlesource.com/platform/cts/+/d1860181cb5cbe60ae590c8a549ef25386d5b9c8", "d1860181cb5cbe60ae590c8a549ef25386d5b9c8")</f>
        <v>0</v>
      </c>
      <c r="D12071" t="s">
        <v>5279</v>
      </c>
      <c r="E12071" t="s">
        <v>7804</v>
      </c>
      <c r="F12071" t="s">
        <v>13571</v>
      </c>
      <c r="G12071" t="s">
        <v>17676</v>
      </c>
      <c r="H12071" t="s">
        <v>30561</v>
      </c>
    </row>
    <row r="12072" spans="1:8">
      <c r="H12072" t="s">
        <v>30562</v>
      </c>
    </row>
    <row r="12073" spans="1:8">
      <c r="A12073" t="s">
        <v>2067</v>
      </c>
      <c r="B12073">
        <f>HYPERLINK("https://android.googlesource.com/platform/cts/+/4ff4d32eb076dbb3cad80aada0000d4dc84ac40b", "4ff4d32eb076dbb3cad80aada0000d4dc84ac40b")</f>
        <v>0</v>
      </c>
      <c r="C12073">
        <f>HYPERLINK("https://android.googlesource.com/platform/cts/+/be215eac7d741a20ae06ea0e5bb4f36a32ae42a5", "be215eac7d741a20ae06ea0e5bb4f36a32ae42a5")</f>
        <v>0</v>
      </c>
      <c r="D12073" t="s">
        <v>5219</v>
      </c>
      <c r="E12073" t="s">
        <v>7805</v>
      </c>
      <c r="F12073" t="s">
        <v>13568</v>
      </c>
      <c r="G12073" t="s">
        <v>17673</v>
      </c>
      <c r="H12073" t="s">
        <v>30557</v>
      </c>
    </row>
    <row r="12074" spans="1:8">
      <c r="A12074" t="s">
        <v>2068</v>
      </c>
      <c r="B12074">
        <f>HYPERLINK("https://android.googlesource.com/platform/cts/+/c4dc6918abd1e3558d0df10e94a9fd5f99d9e0a4", "c4dc6918abd1e3558d0df10e94a9fd5f99d9e0a4")</f>
        <v>0</v>
      </c>
      <c r="C12074">
        <f>HYPERLINK("https://android.googlesource.com/platform/cts/+/6f5696320483e7e849c4121ee94738f84e22368b", "6f5696320483e7e849c4121ee94738f84e22368b")</f>
        <v>0</v>
      </c>
      <c r="D12074" t="s">
        <v>5287</v>
      </c>
      <c r="E12074" t="s">
        <v>7806</v>
      </c>
      <c r="F12074" t="s">
        <v>10608</v>
      </c>
      <c r="G12074" t="s">
        <v>15011</v>
      </c>
      <c r="H12074" t="s">
        <v>30563</v>
      </c>
    </row>
    <row r="12075" spans="1:8">
      <c r="A12075" t="s">
        <v>2070</v>
      </c>
      <c r="B12075">
        <f>HYPERLINK("https://android.googlesource.com/platform/cts/+/4a53881b2650669471b8acc610cdf515f5bfc7bb", "4a53881b2650669471b8acc610cdf515f5bfc7bb")</f>
        <v>0</v>
      </c>
      <c r="C12075">
        <f>HYPERLINK("https://android.googlesource.com/platform/cts/+/2efafca4896c3fc616610e0858d847eaf7823372", "2efafca4896c3fc616610e0858d847eaf7823372")</f>
        <v>0</v>
      </c>
      <c r="D12075" t="s">
        <v>4997</v>
      </c>
      <c r="E12075" t="s">
        <v>7808</v>
      </c>
      <c r="F12075" t="s">
        <v>13572</v>
      </c>
      <c r="G12075" t="s">
        <v>17605</v>
      </c>
      <c r="H12075" t="s">
        <v>30566</v>
      </c>
    </row>
    <row r="12076" spans="1:8">
      <c r="H12076" t="s">
        <v>30567</v>
      </c>
    </row>
    <row r="12077" spans="1:8">
      <c r="A12077" t="s">
        <v>2071</v>
      </c>
      <c r="B12077">
        <f>HYPERLINK("https://android.googlesource.com/platform/cts/+/d8fc67cbc5ef8c922a737bd1d27fc9a2ccb0a975", "d8fc67cbc5ef8c922a737bd1d27fc9a2ccb0a975")</f>
        <v>0</v>
      </c>
      <c r="C12077">
        <f>HYPERLINK("https://android.googlesource.com/platform/cts/+/1574189f36cf8149bdbc65986352dd310f417bd1", "1574189f36cf8149bdbc65986352dd310f417bd1")</f>
        <v>0</v>
      </c>
      <c r="D12077" t="s">
        <v>5311</v>
      </c>
      <c r="E12077" t="s">
        <v>7809</v>
      </c>
      <c r="F12077" t="s">
        <v>10593</v>
      </c>
      <c r="G12077" t="s">
        <v>14996</v>
      </c>
      <c r="H12077" t="s">
        <v>30568</v>
      </c>
    </row>
    <row r="12078" spans="1:8">
      <c r="H12078" t="s">
        <v>30569</v>
      </c>
    </row>
    <row r="12079" spans="1:8">
      <c r="A12079" t="s">
        <v>2073</v>
      </c>
      <c r="B12079">
        <f>HYPERLINK("https://android.googlesource.com/platform/cts/+/a72063cfbae501fa4d7b2dfb23c1b588d8eb74ce", "a72063cfbae501fa4d7b2dfb23c1b588d8eb74ce")</f>
        <v>0</v>
      </c>
      <c r="C12079">
        <f>HYPERLINK("https://android.googlesource.com/platform/cts/+/0ac0251c90072d03bd1524ea8657a2936538f3c2", "0ac0251c90072d03bd1524ea8657a2936538f3c2")</f>
        <v>0</v>
      </c>
      <c r="D12079" t="s">
        <v>4947</v>
      </c>
      <c r="E12079" t="s">
        <v>7811</v>
      </c>
      <c r="F12079" t="s">
        <v>10770</v>
      </c>
      <c r="G12079" t="s">
        <v>15166</v>
      </c>
      <c r="H12079" t="s">
        <v>30577</v>
      </c>
    </row>
    <row r="12080" spans="1:8">
      <c r="H12080" t="s">
        <v>30578</v>
      </c>
    </row>
    <row r="12081" spans="1:8">
      <c r="H12081" t="s">
        <v>30579</v>
      </c>
    </row>
    <row r="12082" spans="1:8">
      <c r="H12082" t="s">
        <v>30580</v>
      </c>
    </row>
    <row r="12083" spans="1:8">
      <c r="H12083" t="s">
        <v>30581</v>
      </c>
    </row>
    <row r="12084" spans="1:8">
      <c r="A12084" t="s">
        <v>2078</v>
      </c>
      <c r="B12084">
        <f>HYPERLINK("https://android.googlesource.com/platform/cts/+/bda4fa92a84de697a2595a281223243c40f7eee2", "bda4fa92a84de697a2595a281223243c40f7eee2")</f>
        <v>0</v>
      </c>
      <c r="C12084">
        <f>HYPERLINK("https://android.googlesource.com/platform/cts/+/00645d98f82d577b5cd9702247ffc99d644c1401", "00645d98f82d577b5cd9702247ffc99d644c1401")</f>
        <v>0</v>
      </c>
      <c r="D12084" t="s">
        <v>5327</v>
      </c>
      <c r="E12084" t="s">
        <v>7816</v>
      </c>
      <c r="F12084" t="s">
        <v>12404</v>
      </c>
      <c r="G12084" t="s">
        <v>16626</v>
      </c>
      <c r="H12084" t="s">
        <v>30591</v>
      </c>
    </row>
    <row r="12085" spans="1:8">
      <c r="A12085" t="s">
        <v>2080</v>
      </c>
      <c r="B12085">
        <f>HYPERLINK("https://android.googlesource.com/platform/cts/+/a51b8b5095cf7d63f8bcd527f6f9c75888dfa2d5", "a51b8b5095cf7d63f8bcd527f6f9c75888dfa2d5")</f>
        <v>0</v>
      </c>
      <c r="C12085">
        <f>HYPERLINK("https://android.googlesource.com/platform/cts/+/15b0e26d5558a889c5b58012dfb4771076ee6e67", "15b0e26d5558a889c5b58012dfb4771076ee6e67")</f>
        <v>0</v>
      </c>
      <c r="D12085" t="s">
        <v>5328</v>
      </c>
      <c r="E12085" t="s">
        <v>7818</v>
      </c>
      <c r="F12085" t="s">
        <v>13578</v>
      </c>
      <c r="G12085" t="s">
        <v>17681</v>
      </c>
      <c r="H12085" t="s">
        <v>25988</v>
      </c>
    </row>
    <row r="12086" spans="1:8">
      <c r="F12086" t="s">
        <v>13581</v>
      </c>
      <c r="G12086" t="s">
        <v>15144</v>
      </c>
      <c r="H12086" t="s">
        <v>26088</v>
      </c>
    </row>
    <row r="12087" spans="1:8">
      <c r="F12087" t="s">
        <v>13583</v>
      </c>
      <c r="G12087" t="s">
        <v>16894</v>
      </c>
      <c r="H12087" t="s">
        <v>30633</v>
      </c>
    </row>
    <row r="12088" spans="1:8">
      <c r="H12088" t="s">
        <v>25959</v>
      </c>
    </row>
    <row r="12089" spans="1:8">
      <c r="H12089" t="s">
        <v>25956</v>
      </c>
    </row>
    <row r="12090" spans="1:8">
      <c r="H12090" t="s">
        <v>25957</v>
      </c>
    </row>
    <row r="12091" spans="1:8">
      <c r="H12091" t="s">
        <v>30634</v>
      </c>
    </row>
    <row r="12092" spans="1:8">
      <c r="H12092" t="s">
        <v>30635</v>
      </c>
    </row>
    <row r="12093" spans="1:8">
      <c r="H12093" t="s">
        <v>30636</v>
      </c>
    </row>
    <row r="12094" spans="1:8">
      <c r="F12094" t="s">
        <v>13584</v>
      </c>
      <c r="G12094" t="s">
        <v>16826</v>
      </c>
      <c r="H12094" t="s">
        <v>30637</v>
      </c>
    </row>
    <row r="12095" spans="1:8">
      <c r="H12095" t="s">
        <v>30638</v>
      </c>
    </row>
    <row r="12096" spans="1:8">
      <c r="H12096" t="s">
        <v>30639</v>
      </c>
    </row>
    <row r="12097" spans="6:8">
      <c r="F12097" t="s">
        <v>13585</v>
      </c>
      <c r="G12097" t="s">
        <v>17323</v>
      </c>
      <c r="H12097" t="s">
        <v>30640</v>
      </c>
    </row>
    <row r="12098" spans="6:8">
      <c r="F12098" t="s">
        <v>13586</v>
      </c>
      <c r="G12098" t="s">
        <v>17684</v>
      </c>
      <c r="H12098" t="s">
        <v>30641</v>
      </c>
    </row>
    <row r="12099" spans="6:8">
      <c r="H12099" t="s">
        <v>30642</v>
      </c>
    </row>
    <row r="12100" spans="6:8">
      <c r="F12100" t="s">
        <v>13587</v>
      </c>
      <c r="G12100" t="s">
        <v>17685</v>
      </c>
      <c r="H12100" t="s">
        <v>30643</v>
      </c>
    </row>
    <row r="12101" spans="6:8">
      <c r="F12101" t="s">
        <v>13588</v>
      </c>
      <c r="G12101" t="s">
        <v>17686</v>
      </c>
      <c r="H12101" t="s">
        <v>30645</v>
      </c>
    </row>
    <row r="12102" spans="6:8">
      <c r="H12102" t="s">
        <v>30646</v>
      </c>
    </row>
    <row r="12103" spans="6:8">
      <c r="H12103" t="s">
        <v>30647</v>
      </c>
    </row>
    <row r="12104" spans="6:8">
      <c r="H12104" t="s">
        <v>30648</v>
      </c>
    </row>
    <row r="12105" spans="6:8">
      <c r="H12105" t="s">
        <v>30649</v>
      </c>
    </row>
    <row r="12106" spans="6:8">
      <c r="H12106" t="s">
        <v>30650</v>
      </c>
    </row>
    <row r="12107" spans="6:8">
      <c r="H12107" t="s">
        <v>30653</v>
      </c>
    </row>
    <row r="12108" spans="6:8">
      <c r="H12108" t="s">
        <v>30654</v>
      </c>
    </row>
    <row r="12109" spans="6:8">
      <c r="H12109" t="s">
        <v>30655</v>
      </c>
    </row>
    <row r="12110" spans="6:8">
      <c r="F12110" t="s">
        <v>13589</v>
      </c>
      <c r="G12110" t="s">
        <v>17687</v>
      </c>
      <c r="H12110" t="s">
        <v>30656</v>
      </c>
    </row>
    <row r="12111" spans="6:8">
      <c r="H12111" t="s">
        <v>30657</v>
      </c>
    </row>
    <row r="12112" spans="6:8">
      <c r="H12112" t="s">
        <v>30658</v>
      </c>
    </row>
    <row r="12113" spans="6:8">
      <c r="H12113" t="s">
        <v>30659</v>
      </c>
    </row>
    <row r="12114" spans="6:8">
      <c r="F12114" t="s">
        <v>13590</v>
      </c>
      <c r="G12114" t="s">
        <v>17688</v>
      </c>
      <c r="H12114" t="s">
        <v>30661</v>
      </c>
    </row>
    <row r="12115" spans="6:8">
      <c r="H12115" t="s">
        <v>30662</v>
      </c>
    </row>
    <row r="12116" spans="6:8">
      <c r="F12116" t="s">
        <v>13591</v>
      </c>
      <c r="G12116" t="s">
        <v>17372</v>
      </c>
      <c r="H12116" t="s">
        <v>30663</v>
      </c>
    </row>
    <row r="12117" spans="6:8">
      <c r="H12117" t="s">
        <v>30664</v>
      </c>
    </row>
    <row r="12118" spans="6:8">
      <c r="F12118" t="s">
        <v>13592</v>
      </c>
      <c r="G12118" t="s">
        <v>17689</v>
      </c>
      <c r="H12118" t="s">
        <v>30665</v>
      </c>
    </row>
    <row r="12119" spans="6:8">
      <c r="F12119" t="s">
        <v>13593</v>
      </c>
      <c r="G12119" t="s">
        <v>16924</v>
      </c>
      <c r="H12119" t="s">
        <v>22847</v>
      </c>
    </row>
    <row r="12120" spans="6:8">
      <c r="H12120" t="s">
        <v>25718</v>
      </c>
    </row>
    <row r="12121" spans="6:8">
      <c r="H12121" t="s">
        <v>26100</v>
      </c>
    </row>
    <row r="12122" spans="6:8">
      <c r="H12122" t="s">
        <v>30669</v>
      </c>
    </row>
    <row r="12123" spans="6:8">
      <c r="H12123" t="s">
        <v>30670</v>
      </c>
    </row>
    <row r="12124" spans="6:8">
      <c r="H12124" t="s">
        <v>30671</v>
      </c>
    </row>
    <row r="12125" spans="6:8">
      <c r="H12125" t="s">
        <v>30672</v>
      </c>
    </row>
    <row r="12126" spans="6:8">
      <c r="H12126" t="s">
        <v>30673</v>
      </c>
    </row>
    <row r="12127" spans="6:8">
      <c r="H12127" t="s">
        <v>30674</v>
      </c>
    </row>
    <row r="12128" spans="6:8">
      <c r="H12128" t="s">
        <v>30675</v>
      </c>
    </row>
    <row r="12129" spans="6:8">
      <c r="H12129" t="s">
        <v>30676</v>
      </c>
    </row>
    <row r="12130" spans="6:8">
      <c r="H12130" t="s">
        <v>30677</v>
      </c>
    </row>
    <row r="12131" spans="6:8">
      <c r="F12131" t="s">
        <v>13594</v>
      </c>
      <c r="G12131" t="s">
        <v>17426</v>
      </c>
      <c r="H12131" t="s">
        <v>28993</v>
      </c>
    </row>
    <row r="12132" spans="6:8">
      <c r="H12132" t="s">
        <v>30678</v>
      </c>
    </row>
    <row r="12133" spans="6:8">
      <c r="H12133" t="s">
        <v>30679</v>
      </c>
    </row>
    <row r="12134" spans="6:8">
      <c r="H12134" t="s">
        <v>30680</v>
      </c>
    </row>
    <row r="12135" spans="6:8">
      <c r="H12135" t="s">
        <v>30681</v>
      </c>
    </row>
    <row r="12136" spans="6:8">
      <c r="F12136" t="s">
        <v>13595</v>
      </c>
      <c r="G12136" t="s">
        <v>17690</v>
      </c>
      <c r="H12136" t="s">
        <v>30682</v>
      </c>
    </row>
    <row r="12137" spans="6:8">
      <c r="F12137" t="s">
        <v>13596</v>
      </c>
      <c r="G12137" t="s">
        <v>17691</v>
      </c>
      <c r="H12137" t="s">
        <v>30684</v>
      </c>
    </row>
    <row r="12138" spans="6:8">
      <c r="H12138" t="s">
        <v>30685</v>
      </c>
    </row>
    <row r="12139" spans="6:8">
      <c r="H12139" t="s">
        <v>30686</v>
      </c>
    </row>
    <row r="12140" spans="6:8">
      <c r="H12140" t="s">
        <v>30687</v>
      </c>
    </row>
    <row r="12141" spans="6:8">
      <c r="H12141" t="s">
        <v>30688</v>
      </c>
    </row>
    <row r="12142" spans="6:8">
      <c r="H12142" t="s">
        <v>19759</v>
      </c>
    </row>
    <row r="12143" spans="6:8">
      <c r="F12143" t="s">
        <v>13597</v>
      </c>
      <c r="G12143" t="s">
        <v>17322</v>
      </c>
      <c r="H12143" t="s">
        <v>30689</v>
      </c>
    </row>
    <row r="12144" spans="6:8">
      <c r="H12144" t="s">
        <v>30690</v>
      </c>
    </row>
    <row r="12145" spans="6:8">
      <c r="H12145" t="s">
        <v>30691</v>
      </c>
    </row>
    <row r="12146" spans="6:8">
      <c r="H12146" t="s">
        <v>30692</v>
      </c>
    </row>
    <row r="12147" spans="6:8">
      <c r="H12147" t="s">
        <v>26114</v>
      </c>
    </row>
    <row r="12148" spans="6:8">
      <c r="F12148" t="s">
        <v>13598</v>
      </c>
      <c r="G12148" t="s">
        <v>16923</v>
      </c>
      <c r="H12148" t="s">
        <v>26081</v>
      </c>
    </row>
    <row r="12149" spans="6:8">
      <c r="H12149" t="s">
        <v>26082</v>
      </c>
    </row>
    <row r="12150" spans="6:8">
      <c r="H12150" t="s">
        <v>26083</v>
      </c>
    </row>
    <row r="12151" spans="6:8">
      <c r="H12151" t="s">
        <v>26084</v>
      </c>
    </row>
    <row r="12152" spans="6:8">
      <c r="F12152" t="s">
        <v>13599</v>
      </c>
      <c r="G12152" t="s">
        <v>16918</v>
      </c>
      <c r="H12152" t="s">
        <v>26069</v>
      </c>
    </row>
    <row r="12153" spans="6:8">
      <c r="H12153" t="s">
        <v>26070</v>
      </c>
    </row>
    <row r="12154" spans="6:8">
      <c r="H12154" t="s">
        <v>26071</v>
      </c>
    </row>
    <row r="12155" spans="6:8">
      <c r="H12155" t="s">
        <v>26072</v>
      </c>
    </row>
    <row r="12156" spans="6:8">
      <c r="H12156" t="s">
        <v>26073</v>
      </c>
    </row>
    <row r="12157" spans="6:8">
      <c r="H12157" t="s">
        <v>30693</v>
      </c>
    </row>
    <row r="12158" spans="6:8">
      <c r="H12158" t="s">
        <v>30694</v>
      </c>
    </row>
    <row r="12159" spans="6:8">
      <c r="F12159" t="s">
        <v>13600</v>
      </c>
      <c r="G12159" t="s">
        <v>16845</v>
      </c>
      <c r="H12159" t="s">
        <v>29660</v>
      </c>
    </row>
    <row r="12160" spans="6:8">
      <c r="H12160" t="s">
        <v>29661</v>
      </c>
    </row>
    <row r="12161" spans="6:8">
      <c r="H12161" t="s">
        <v>29662</v>
      </c>
    </row>
    <row r="12162" spans="6:8">
      <c r="H12162" t="s">
        <v>29663</v>
      </c>
    </row>
    <row r="12163" spans="6:8">
      <c r="H12163" t="s">
        <v>29664</v>
      </c>
    </row>
    <row r="12164" spans="6:8">
      <c r="H12164" t="s">
        <v>29665</v>
      </c>
    </row>
    <row r="12165" spans="6:8">
      <c r="H12165" t="s">
        <v>30695</v>
      </c>
    </row>
    <row r="12166" spans="6:8">
      <c r="H12166" t="s">
        <v>30696</v>
      </c>
    </row>
    <row r="12167" spans="6:8">
      <c r="H12167" t="s">
        <v>30697</v>
      </c>
    </row>
    <row r="12168" spans="6:8">
      <c r="H12168" t="s">
        <v>30698</v>
      </c>
    </row>
    <row r="12169" spans="6:8">
      <c r="H12169" t="s">
        <v>30699</v>
      </c>
    </row>
    <row r="12170" spans="6:8">
      <c r="H12170" t="s">
        <v>30700</v>
      </c>
    </row>
    <row r="12171" spans="6:8">
      <c r="H12171" t="s">
        <v>30701</v>
      </c>
    </row>
    <row r="12172" spans="6:8">
      <c r="H12172" t="s">
        <v>30702</v>
      </c>
    </row>
    <row r="12173" spans="6:8">
      <c r="H12173" t="s">
        <v>30703</v>
      </c>
    </row>
    <row r="12174" spans="6:8">
      <c r="F12174" t="s">
        <v>13601</v>
      </c>
      <c r="G12174" t="s">
        <v>17305</v>
      </c>
      <c r="H12174" t="s">
        <v>30707</v>
      </c>
    </row>
    <row r="12175" spans="6:8">
      <c r="H12175" t="s">
        <v>30709</v>
      </c>
    </row>
    <row r="12176" spans="6:8">
      <c r="H12176" t="s">
        <v>30710</v>
      </c>
    </row>
    <row r="12177" spans="6:8">
      <c r="H12177" t="s">
        <v>30711</v>
      </c>
    </row>
    <row r="12178" spans="6:8">
      <c r="H12178" t="s">
        <v>30712</v>
      </c>
    </row>
    <row r="12179" spans="6:8">
      <c r="H12179" t="s">
        <v>30714</v>
      </c>
    </row>
    <row r="12180" spans="6:8">
      <c r="H12180" t="s">
        <v>30715</v>
      </c>
    </row>
    <row r="12181" spans="6:8">
      <c r="F12181" t="s">
        <v>13602</v>
      </c>
      <c r="G12181" t="s">
        <v>16867</v>
      </c>
      <c r="H12181" t="s">
        <v>25716</v>
      </c>
    </row>
    <row r="12182" spans="6:8">
      <c r="H12182" t="s">
        <v>30716</v>
      </c>
    </row>
    <row r="12183" spans="6:8">
      <c r="F12183" t="s">
        <v>13603</v>
      </c>
      <c r="G12183" t="s">
        <v>17320</v>
      </c>
      <c r="H12183" t="s">
        <v>30718</v>
      </c>
    </row>
    <row r="12184" spans="6:8">
      <c r="H12184" t="s">
        <v>30719</v>
      </c>
    </row>
    <row r="12185" spans="6:8">
      <c r="H12185" t="s">
        <v>30720</v>
      </c>
    </row>
    <row r="12186" spans="6:8">
      <c r="H12186" t="s">
        <v>30721</v>
      </c>
    </row>
    <row r="12187" spans="6:8">
      <c r="H12187" t="s">
        <v>30722</v>
      </c>
    </row>
    <row r="12188" spans="6:8">
      <c r="H12188" t="s">
        <v>30723</v>
      </c>
    </row>
    <row r="12189" spans="6:8">
      <c r="H12189" t="s">
        <v>30724</v>
      </c>
    </row>
    <row r="12190" spans="6:8">
      <c r="H12190" t="s">
        <v>30725</v>
      </c>
    </row>
    <row r="12191" spans="6:8">
      <c r="H12191" t="s">
        <v>30726</v>
      </c>
    </row>
    <row r="12192" spans="6:8">
      <c r="H12192" t="s">
        <v>30727</v>
      </c>
    </row>
    <row r="12193" spans="8:8">
      <c r="H12193" t="s">
        <v>26001</v>
      </c>
    </row>
    <row r="12194" spans="8:8">
      <c r="H12194" t="s">
        <v>30695</v>
      </c>
    </row>
    <row r="12195" spans="8:8">
      <c r="H12195" t="s">
        <v>30729</v>
      </c>
    </row>
    <row r="12196" spans="8:8">
      <c r="H12196" t="s">
        <v>30730</v>
      </c>
    </row>
    <row r="12197" spans="8:8">
      <c r="H12197" t="s">
        <v>30731</v>
      </c>
    </row>
    <row r="12198" spans="8:8">
      <c r="H12198" t="s">
        <v>29686</v>
      </c>
    </row>
    <row r="12199" spans="8:8">
      <c r="H12199" t="s">
        <v>29687</v>
      </c>
    </row>
    <row r="12200" spans="8:8">
      <c r="H12200" t="s">
        <v>29688</v>
      </c>
    </row>
    <row r="12201" spans="8:8">
      <c r="H12201" t="s">
        <v>29689</v>
      </c>
    </row>
    <row r="12202" spans="8:8">
      <c r="H12202" t="s">
        <v>29690</v>
      </c>
    </row>
    <row r="12203" spans="8:8">
      <c r="H12203" t="s">
        <v>29691</v>
      </c>
    </row>
    <row r="12204" spans="8:8">
      <c r="H12204" t="s">
        <v>29692</v>
      </c>
    </row>
    <row r="12205" spans="8:8">
      <c r="H12205" t="s">
        <v>29693</v>
      </c>
    </row>
    <row r="12206" spans="8:8">
      <c r="H12206" t="s">
        <v>29694</v>
      </c>
    </row>
    <row r="12207" spans="8:8">
      <c r="H12207" t="s">
        <v>29695</v>
      </c>
    </row>
    <row r="12208" spans="8:8">
      <c r="H12208" t="s">
        <v>29696</v>
      </c>
    </row>
    <row r="12209" spans="6:8">
      <c r="H12209" t="s">
        <v>29697</v>
      </c>
    </row>
    <row r="12210" spans="6:8">
      <c r="H12210" t="s">
        <v>29698</v>
      </c>
    </row>
    <row r="12211" spans="6:8">
      <c r="H12211" t="s">
        <v>29699</v>
      </c>
    </row>
    <row r="12212" spans="6:8">
      <c r="H12212" t="s">
        <v>29700</v>
      </c>
    </row>
    <row r="12213" spans="6:8">
      <c r="H12213" t="s">
        <v>29862</v>
      </c>
    </row>
    <row r="12214" spans="6:8">
      <c r="F12214" t="s">
        <v>13604</v>
      </c>
      <c r="G12214" t="s">
        <v>17287</v>
      </c>
      <c r="H12214" t="s">
        <v>26000</v>
      </c>
    </row>
    <row r="12215" spans="6:8">
      <c r="H12215" t="s">
        <v>26001</v>
      </c>
    </row>
    <row r="12216" spans="6:8">
      <c r="F12216" t="s">
        <v>13607</v>
      </c>
      <c r="G12216" t="s">
        <v>17510</v>
      </c>
      <c r="H12216" t="s">
        <v>30735</v>
      </c>
    </row>
    <row r="12217" spans="6:8">
      <c r="H12217" t="s">
        <v>30736</v>
      </c>
    </row>
    <row r="12218" spans="6:8">
      <c r="H12218" t="s">
        <v>25956</v>
      </c>
    </row>
    <row r="12219" spans="6:8">
      <c r="F12219" t="s">
        <v>13608</v>
      </c>
      <c r="G12219" t="s">
        <v>17694</v>
      </c>
      <c r="H12219" t="s">
        <v>30737</v>
      </c>
    </row>
    <row r="12220" spans="6:8">
      <c r="F12220" t="s">
        <v>13609</v>
      </c>
      <c r="G12220" t="s">
        <v>17695</v>
      </c>
      <c r="H12220" t="s">
        <v>30739</v>
      </c>
    </row>
    <row r="12221" spans="6:8">
      <c r="H12221" t="s">
        <v>30740</v>
      </c>
    </row>
    <row r="12222" spans="6:8">
      <c r="H12222" t="s">
        <v>30741</v>
      </c>
    </row>
    <row r="12223" spans="6:8">
      <c r="H12223" t="s">
        <v>30742</v>
      </c>
    </row>
    <row r="12224" spans="6:8">
      <c r="H12224" t="s">
        <v>30743</v>
      </c>
    </row>
    <row r="12225" spans="6:8">
      <c r="F12225" t="s">
        <v>13610</v>
      </c>
      <c r="G12225" t="s">
        <v>17696</v>
      </c>
      <c r="H12225" t="s">
        <v>30744</v>
      </c>
    </row>
    <row r="12226" spans="6:8">
      <c r="H12226" t="s">
        <v>30745</v>
      </c>
    </row>
    <row r="12227" spans="6:8">
      <c r="H12227" t="s">
        <v>30746</v>
      </c>
    </row>
    <row r="12228" spans="6:8">
      <c r="F12228" t="s">
        <v>13611</v>
      </c>
      <c r="G12228" t="s">
        <v>17428</v>
      </c>
      <c r="H12228" t="s">
        <v>29006</v>
      </c>
    </row>
    <row r="12229" spans="6:8">
      <c r="H12229" t="s">
        <v>29007</v>
      </c>
    </row>
    <row r="12230" spans="6:8">
      <c r="F12230" t="s">
        <v>13612</v>
      </c>
      <c r="G12230" t="s">
        <v>17697</v>
      </c>
      <c r="H12230" t="s">
        <v>30747</v>
      </c>
    </row>
    <row r="12231" spans="6:8">
      <c r="H12231" t="s">
        <v>30748</v>
      </c>
    </row>
    <row r="12232" spans="6:8">
      <c r="H12232" t="s">
        <v>30749</v>
      </c>
    </row>
    <row r="12233" spans="6:8">
      <c r="H12233" t="s">
        <v>30750</v>
      </c>
    </row>
    <row r="12234" spans="6:8">
      <c r="F12234" t="s">
        <v>13614</v>
      </c>
      <c r="G12234" t="s">
        <v>17698</v>
      </c>
      <c r="H12234" t="s">
        <v>30752</v>
      </c>
    </row>
    <row r="12235" spans="6:8">
      <c r="H12235" t="s">
        <v>30753</v>
      </c>
    </row>
    <row r="12236" spans="6:8">
      <c r="H12236" t="s">
        <v>30754</v>
      </c>
    </row>
    <row r="12237" spans="6:8">
      <c r="H12237" t="s">
        <v>30755</v>
      </c>
    </row>
    <row r="12238" spans="6:8">
      <c r="H12238" t="s">
        <v>30756</v>
      </c>
    </row>
    <row r="12239" spans="6:8">
      <c r="H12239" t="s">
        <v>30757</v>
      </c>
    </row>
    <row r="12240" spans="6:8">
      <c r="H12240" t="s">
        <v>30758</v>
      </c>
    </row>
    <row r="12241" spans="6:8">
      <c r="H12241" t="s">
        <v>30759</v>
      </c>
    </row>
    <row r="12242" spans="6:8">
      <c r="H12242" t="s">
        <v>30760</v>
      </c>
    </row>
    <row r="12243" spans="6:8">
      <c r="H12243" t="s">
        <v>30761</v>
      </c>
    </row>
    <row r="12244" spans="6:8">
      <c r="H12244" t="s">
        <v>30762</v>
      </c>
    </row>
    <row r="12245" spans="6:8">
      <c r="H12245" t="s">
        <v>30763</v>
      </c>
    </row>
    <row r="12246" spans="6:8">
      <c r="H12246" t="s">
        <v>30764</v>
      </c>
    </row>
    <row r="12247" spans="6:8">
      <c r="H12247" t="s">
        <v>30765</v>
      </c>
    </row>
    <row r="12248" spans="6:8">
      <c r="H12248" t="s">
        <v>30766</v>
      </c>
    </row>
    <row r="12249" spans="6:8">
      <c r="H12249" t="s">
        <v>30767</v>
      </c>
    </row>
    <row r="12250" spans="6:8">
      <c r="H12250" t="s">
        <v>30768</v>
      </c>
    </row>
    <row r="12251" spans="6:8">
      <c r="H12251" t="s">
        <v>30769</v>
      </c>
    </row>
    <row r="12252" spans="6:8">
      <c r="H12252" t="s">
        <v>30770</v>
      </c>
    </row>
    <row r="12253" spans="6:8">
      <c r="H12253" t="s">
        <v>30771</v>
      </c>
    </row>
    <row r="12254" spans="6:8">
      <c r="F12254" t="s">
        <v>13615</v>
      </c>
      <c r="G12254" t="s">
        <v>17699</v>
      </c>
      <c r="H12254" t="s">
        <v>30782</v>
      </c>
    </row>
    <row r="12255" spans="6:8">
      <c r="F12255" t="s">
        <v>13616</v>
      </c>
      <c r="G12255" t="s">
        <v>16860</v>
      </c>
      <c r="H12255" t="s">
        <v>25716</v>
      </c>
    </row>
    <row r="12256" spans="6:8">
      <c r="H12256" t="s">
        <v>25717</v>
      </c>
    </row>
    <row r="12257" spans="6:8">
      <c r="H12257" t="s">
        <v>25719</v>
      </c>
    </row>
    <row r="12258" spans="6:8">
      <c r="H12258" t="s">
        <v>30784</v>
      </c>
    </row>
    <row r="12259" spans="6:8">
      <c r="H12259" t="s">
        <v>30785</v>
      </c>
    </row>
    <row r="12260" spans="6:8">
      <c r="H12260" t="s">
        <v>30786</v>
      </c>
    </row>
    <row r="12261" spans="6:8">
      <c r="F12261" t="s">
        <v>13617</v>
      </c>
      <c r="G12261" t="s">
        <v>16869</v>
      </c>
      <c r="H12261" t="s">
        <v>30787</v>
      </c>
    </row>
    <row r="12262" spans="6:8">
      <c r="H12262" t="s">
        <v>30788</v>
      </c>
    </row>
    <row r="12263" spans="6:8">
      <c r="H12263" t="s">
        <v>30789</v>
      </c>
    </row>
    <row r="12264" spans="6:8">
      <c r="H12264" t="s">
        <v>30790</v>
      </c>
    </row>
    <row r="12265" spans="6:8">
      <c r="H12265" t="s">
        <v>30791</v>
      </c>
    </row>
    <row r="12266" spans="6:8">
      <c r="H12266" t="s">
        <v>30792</v>
      </c>
    </row>
    <row r="12267" spans="6:8">
      <c r="H12267" t="s">
        <v>30793</v>
      </c>
    </row>
    <row r="12268" spans="6:8">
      <c r="H12268" t="s">
        <v>30794</v>
      </c>
    </row>
    <row r="12269" spans="6:8">
      <c r="F12269" t="s">
        <v>13620</v>
      </c>
      <c r="G12269" t="s">
        <v>17701</v>
      </c>
      <c r="H12269" t="s">
        <v>30804</v>
      </c>
    </row>
    <row r="12270" spans="6:8">
      <c r="H12270" t="s">
        <v>30805</v>
      </c>
    </row>
    <row r="12271" spans="6:8">
      <c r="F12271" t="s">
        <v>13621</v>
      </c>
      <c r="G12271" t="s">
        <v>17702</v>
      </c>
      <c r="H12271" t="s">
        <v>25716</v>
      </c>
    </row>
    <row r="12272" spans="6:8">
      <c r="H12272" t="s">
        <v>25717</v>
      </c>
    </row>
    <row r="12273" spans="6:8">
      <c r="H12273" t="s">
        <v>25718</v>
      </c>
    </row>
    <row r="12274" spans="6:8">
      <c r="H12274" t="s">
        <v>25719</v>
      </c>
    </row>
    <row r="12275" spans="6:8">
      <c r="H12275" t="s">
        <v>30806</v>
      </c>
    </row>
    <row r="12276" spans="6:8">
      <c r="H12276" t="s">
        <v>30807</v>
      </c>
    </row>
    <row r="12277" spans="6:8">
      <c r="H12277" t="s">
        <v>30808</v>
      </c>
    </row>
    <row r="12278" spans="6:8">
      <c r="F12278" t="s">
        <v>13622</v>
      </c>
      <c r="G12278" t="s">
        <v>17703</v>
      </c>
      <c r="H12278" t="s">
        <v>30809</v>
      </c>
    </row>
    <row r="12279" spans="6:8">
      <c r="H12279" t="s">
        <v>30810</v>
      </c>
    </row>
    <row r="12280" spans="6:8">
      <c r="F12280" t="s">
        <v>13623</v>
      </c>
      <c r="G12280" t="s">
        <v>17704</v>
      </c>
      <c r="H12280" t="s">
        <v>30811</v>
      </c>
    </row>
    <row r="12281" spans="6:8">
      <c r="F12281" t="s">
        <v>13624</v>
      </c>
      <c r="G12281" t="s">
        <v>17705</v>
      </c>
      <c r="H12281" t="s">
        <v>30812</v>
      </c>
    </row>
    <row r="12282" spans="6:8">
      <c r="H12282" t="s">
        <v>30813</v>
      </c>
    </row>
    <row r="12283" spans="6:8">
      <c r="H12283" t="s">
        <v>20077</v>
      </c>
    </row>
    <row r="12284" spans="6:8">
      <c r="F12284" t="s">
        <v>13625</v>
      </c>
      <c r="G12284" t="s">
        <v>17706</v>
      </c>
      <c r="H12284" t="s">
        <v>30814</v>
      </c>
    </row>
    <row r="12285" spans="6:8">
      <c r="F12285" t="s">
        <v>13626</v>
      </c>
      <c r="G12285" t="s">
        <v>16857</v>
      </c>
      <c r="H12285" t="s">
        <v>30812</v>
      </c>
    </row>
    <row r="12286" spans="6:8">
      <c r="H12286" t="s">
        <v>30813</v>
      </c>
    </row>
    <row r="12287" spans="6:8">
      <c r="H12287" t="s">
        <v>30815</v>
      </c>
    </row>
    <row r="12288" spans="6:8">
      <c r="H12288" t="s">
        <v>30816</v>
      </c>
    </row>
    <row r="12289" spans="6:8">
      <c r="H12289" t="s">
        <v>30817</v>
      </c>
    </row>
    <row r="12290" spans="6:8">
      <c r="H12290" t="s">
        <v>30818</v>
      </c>
    </row>
    <row r="12291" spans="6:8">
      <c r="H12291" t="s">
        <v>19173</v>
      </c>
    </row>
    <row r="12292" spans="6:8">
      <c r="H12292" t="s">
        <v>30819</v>
      </c>
    </row>
    <row r="12293" spans="6:8">
      <c r="H12293" t="s">
        <v>30820</v>
      </c>
    </row>
    <row r="12294" spans="6:8">
      <c r="H12294" t="s">
        <v>30821</v>
      </c>
    </row>
    <row r="12295" spans="6:8">
      <c r="H12295" t="s">
        <v>30822</v>
      </c>
    </row>
    <row r="12296" spans="6:8">
      <c r="H12296" t="s">
        <v>30823</v>
      </c>
    </row>
    <row r="12297" spans="6:8">
      <c r="F12297" t="s">
        <v>13627</v>
      </c>
      <c r="G12297" t="s">
        <v>16910</v>
      </c>
      <c r="H12297" t="s">
        <v>26000</v>
      </c>
    </row>
    <row r="12298" spans="6:8">
      <c r="H12298" t="s">
        <v>26001</v>
      </c>
    </row>
    <row r="12299" spans="6:8">
      <c r="H12299" t="s">
        <v>30824</v>
      </c>
    </row>
    <row r="12300" spans="6:8">
      <c r="H12300" t="s">
        <v>30825</v>
      </c>
    </row>
    <row r="12301" spans="6:8">
      <c r="H12301" t="s">
        <v>30826</v>
      </c>
    </row>
    <row r="12302" spans="6:8">
      <c r="F12302" t="s">
        <v>13628</v>
      </c>
      <c r="G12302" t="s">
        <v>16856</v>
      </c>
      <c r="H12302" t="s">
        <v>22186</v>
      </c>
    </row>
    <row r="12303" spans="6:8">
      <c r="H12303" t="s">
        <v>25686</v>
      </c>
    </row>
    <row r="12304" spans="6:8">
      <c r="H12304" t="s">
        <v>22189</v>
      </c>
    </row>
    <row r="12305" spans="1:8">
      <c r="F12305" t="s">
        <v>13629</v>
      </c>
      <c r="G12305" t="s">
        <v>17707</v>
      </c>
      <c r="H12305" t="s">
        <v>25716</v>
      </c>
    </row>
    <row r="12306" spans="1:8">
      <c r="F12306" t="s">
        <v>13630</v>
      </c>
      <c r="G12306" t="s">
        <v>16903</v>
      </c>
      <c r="H12306" t="s">
        <v>30633</v>
      </c>
    </row>
    <row r="12307" spans="1:8">
      <c r="A12307" t="s">
        <v>2081</v>
      </c>
      <c r="B12307">
        <f>HYPERLINK("https://android.googlesource.com/platform/cts/+/dbc2e98f56fe79d07b9ac2f299388f314340c94b", "dbc2e98f56fe79d07b9ac2f299388f314340c94b")</f>
        <v>0</v>
      </c>
      <c r="C12307">
        <f>HYPERLINK("https://android.googlesource.com/platform/cts/+/ea174456d821a8464447c3f8fdc40ed8f57ed67f", "ea174456d821a8464447c3f8fdc40ed8f57ed67f")</f>
        <v>0</v>
      </c>
      <c r="D12307" t="s">
        <v>5328</v>
      </c>
      <c r="E12307" t="s">
        <v>7819</v>
      </c>
      <c r="F12307" t="s">
        <v>13578</v>
      </c>
      <c r="G12307" t="s">
        <v>17681</v>
      </c>
      <c r="H12307" t="s">
        <v>25988</v>
      </c>
    </row>
    <row r="12308" spans="1:8">
      <c r="F12308" t="s">
        <v>13581</v>
      </c>
      <c r="G12308" t="s">
        <v>15144</v>
      </c>
      <c r="H12308" t="s">
        <v>26088</v>
      </c>
    </row>
    <row r="12309" spans="1:8">
      <c r="F12309" t="s">
        <v>13583</v>
      </c>
      <c r="G12309" t="s">
        <v>16894</v>
      </c>
      <c r="H12309" t="s">
        <v>30633</v>
      </c>
    </row>
    <row r="12310" spans="1:8">
      <c r="H12310" t="s">
        <v>25959</v>
      </c>
    </row>
    <row r="12311" spans="1:8">
      <c r="H12311" t="s">
        <v>25956</v>
      </c>
    </row>
    <row r="12312" spans="1:8">
      <c r="H12312" t="s">
        <v>25957</v>
      </c>
    </row>
    <row r="12313" spans="1:8">
      <c r="H12313" t="s">
        <v>30634</v>
      </c>
    </row>
    <row r="12314" spans="1:8">
      <c r="H12314" t="s">
        <v>30635</v>
      </c>
    </row>
    <row r="12315" spans="1:8">
      <c r="H12315" t="s">
        <v>30636</v>
      </c>
    </row>
    <row r="12316" spans="1:8">
      <c r="F12316" t="s">
        <v>13584</v>
      </c>
      <c r="G12316" t="s">
        <v>16826</v>
      </c>
      <c r="H12316" t="s">
        <v>30637</v>
      </c>
    </row>
    <row r="12317" spans="1:8">
      <c r="H12317" t="s">
        <v>30638</v>
      </c>
    </row>
    <row r="12318" spans="1:8">
      <c r="H12318" t="s">
        <v>30639</v>
      </c>
    </row>
    <row r="12319" spans="1:8">
      <c r="F12319" t="s">
        <v>13585</v>
      </c>
      <c r="G12319" t="s">
        <v>17323</v>
      </c>
      <c r="H12319" t="s">
        <v>30640</v>
      </c>
    </row>
    <row r="12320" spans="1:8">
      <c r="F12320" t="s">
        <v>13586</v>
      </c>
      <c r="G12320" t="s">
        <v>17684</v>
      </c>
      <c r="H12320" t="s">
        <v>30641</v>
      </c>
    </row>
    <row r="12321" spans="6:8">
      <c r="H12321" t="s">
        <v>30642</v>
      </c>
    </row>
    <row r="12322" spans="6:8">
      <c r="F12322" t="s">
        <v>13587</v>
      </c>
      <c r="G12322" t="s">
        <v>17685</v>
      </c>
      <c r="H12322" t="s">
        <v>30643</v>
      </c>
    </row>
    <row r="12323" spans="6:8">
      <c r="F12323" t="s">
        <v>13588</v>
      </c>
      <c r="G12323" t="s">
        <v>17686</v>
      </c>
      <c r="H12323" t="s">
        <v>30645</v>
      </c>
    </row>
    <row r="12324" spans="6:8">
      <c r="H12324" t="s">
        <v>30646</v>
      </c>
    </row>
    <row r="12325" spans="6:8">
      <c r="H12325" t="s">
        <v>30647</v>
      </c>
    </row>
    <row r="12326" spans="6:8">
      <c r="H12326" t="s">
        <v>30648</v>
      </c>
    </row>
    <row r="12327" spans="6:8">
      <c r="H12327" t="s">
        <v>30649</v>
      </c>
    </row>
    <row r="12328" spans="6:8">
      <c r="H12328" t="s">
        <v>30650</v>
      </c>
    </row>
    <row r="12329" spans="6:8">
      <c r="H12329" t="s">
        <v>30653</v>
      </c>
    </row>
    <row r="12330" spans="6:8">
      <c r="H12330" t="s">
        <v>30654</v>
      </c>
    </row>
    <row r="12331" spans="6:8">
      <c r="H12331" t="s">
        <v>30655</v>
      </c>
    </row>
    <row r="12332" spans="6:8">
      <c r="F12332" t="s">
        <v>13589</v>
      </c>
      <c r="G12332" t="s">
        <v>17687</v>
      </c>
      <c r="H12332" t="s">
        <v>30656</v>
      </c>
    </row>
    <row r="12333" spans="6:8">
      <c r="H12333" t="s">
        <v>30657</v>
      </c>
    </row>
    <row r="12334" spans="6:8">
      <c r="H12334" t="s">
        <v>30658</v>
      </c>
    </row>
    <row r="12335" spans="6:8">
      <c r="H12335" t="s">
        <v>30659</v>
      </c>
    </row>
    <row r="12336" spans="6:8">
      <c r="F12336" t="s">
        <v>13590</v>
      </c>
      <c r="G12336" t="s">
        <v>17688</v>
      </c>
      <c r="H12336" t="s">
        <v>30661</v>
      </c>
    </row>
    <row r="12337" spans="6:8">
      <c r="H12337" t="s">
        <v>30662</v>
      </c>
    </row>
    <row r="12338" spans="6:8">
      <c r="F12338" t="s">
        <v>13591</v>
      </c>
      <c r="G12338" t="s">
        <v>17372</v>
      </c>
      <c r="H12338" t="s">
        <v>30663</v>
      </c>
    </row>
    <row r="12339" spans="6:8">
      <c r="H12339" t="s">
        <v>30664</v>
      </c>
    </row>
    <row r="12340" spans="6:8">
      <c r="F12340" t="s">
        <v>13592</v>
      </c>
      <c r="G12340" t="s">
        <v>17689</v>
      </c>
      <c r="H12340" t="s">
        <v>30665</v>
      </c>
    </row>
    <row r="12341" spans="6:8">
      <c r="F12341" t="s">
        <v>13593</v>
      </c>
      <c r="G12341" t="s">
        <v>16924</v>
      </c>
      <c r="H12341" t="s">
        <v>22847</v>
      </c>
    </row>
    <row r="12342" spans="6:8">
      <c r="H12342" t="s">
        <v>25718</v>
      </c>
    </row>
    <row r="12343" spans="6:8">
      <c r="H12343" t="s">
        <v>26100</v>
      </c>
    </row>
    <row r="12344" spans="6:8">
      <c r="H12344" t="s">
        <v>30669</v>
      </c>
    </row>
    <row r="12345" spans="6:8">
      <c r="H12345" t="s">
        <v>30670</v>
      </c>
    </row>
    <row r="12346" spans="6:8">
      <c r="H12346" t="s">
        <v>30671</v>
      </c>
    </row>
    <row r="12347" spans="6:8">
      <c r="H12347" t="s">
        <v>30672</v>
      </c>
    </row>
    <row r="12348" spans="6:8">
      <c r="H12348" t="s">
        <v>30673</v>
      </c>
    </row>
    <row r="12349" spans="6:8">
      <c r="H12349" t="s">
        <v>30674</v>
      </c>
    </row>
    <row r="12350" spans="6:8">
      <c r="H12350" t="s">
        <v>30675</v>
      </c>
    </row>
    <row r="12351" spans="6:8">
      <c r="H12351" t="s">
        <v>30676</v>
      </c>
    </row>
    <row r="12352" spans="6:8">
      <c r="H12352" t="s">
        <v>30677</v>
      </c>
    </row>
    <row r="12353" spans="6:8">
      <c r="F12353" t="s">
        <v>13594</v>
      </c>
      <c r="G12353" t="s">
        <v>17426</v>
      </c>
      <c r="H12353" t="s">
        <v>28993</v>
      </c>
    </row>
    <row r="12354" spans="6:8">
      <c r="H12354" t="s">
        <v>30678</v>
      </c>
    </row>
    <row r="12355" spans="6:8">
      <c r="H12355" t="s">
        <v>30679</v>
      </c>
    </row>
    <row r="12356" spans="6:8">
      <c r="H12356" t="s">
        <v>30680</v>
      </c>
    </row>
    <row r="12357" spans="6:8">
      <c r="H12357" t="s">
        <v>30681</v>
      </c>
    </row>
    <row r="12358" spans="6:8">
      <c r="F12358" t="s">
        <v>13595</v>
      </c>
      <c r="G12358" t="s">
        <v>17690</v>
      </c>
      <c r="H12358" t="s">
        <v>30682</v>
      </c>
    </row>
    <row r="12359" spans="6:8">
      <c r="F12359" t="s">
        <v>13596</v>
      </c>
      <c r="G12359" t="s">
        <v>17691</v>
      </c>
      <c r="H12359" t="s">
        <v>30684</v>
      </c>
    </row>
    <row r="12360" spans="6:8">
      <c r="H12360" t="s">
        <v>30685</v>
      </c>
    </row>
    <row r="12361" spans="6:8">
      <c r="H12361" t="s">
        <v>30686</v>
      </c>
    </row>
    <row r="12362" spans="6:8">
      <c r="H12362" t="s">
        <v>30687</v>
      </c>
    </row>
    <row r="12363" spans="6:8">
      <c r="H12363" t="s">
        <v>30688</v>
      </c>
    </row>
    <row r="12364" spans="6:8">
      <c r="H12364" t="s">
        <v>19759</v>
      </c>
    </row>
    <row r="12365" spans="6:8">
      <c r="F12365" t="s">
        <v>13597</v>
      </c>
      <c r="G12365" t="s">
        <v>17322</v>
      </c>
      <c r="H12365" t="s">
        <v>30689</v>
      </c>
    </row>
    <row r="12366" spans="6:8">
      <c r="H12366" t="s">
        <v>30690</v>
      </c>
    </row>
    <row r="12367" spans="6:8">
      <c r="H12367" t="s">
        <v>30691</v>
      </c>
    </row>
    <row r="12368" spans="6:8">
      <c r="H12368" t="s">
        <v>30692</v>
      </c>
    </row>
    <row r="12369" spans="6:8">
      <c r="H12369" t="s">
        <v>26114</v>
      </c>
    </row>
    <row r="12370" spans="6:8">
      <c r="F12370" t="s">
        <v>13598</v>
      </c>
      <c r="G12370" t="s">
        <v>16923</v>
      </c>
      <c r="H12370" t="s">
        <v>26081</v>
      </c>
    </row>
    <row r="12371" spans="6:8">
      <c r="H12371" t="s">
        <v>26082</v>
      </c>
    </row>
    <row r="12372" spans="6:8">
      <c r="H12372" t="s">
        <v>26083</v>
      </c>
    </row>
    <row r="12373" spans="6:8">
      <c r="H12373" t="s">
        <v>26084</v>
      </c>
    </row>
    <row r="12374" spans="6:8">
      <c r="F12374" t="s">
        <v>13599</v>
      </c>
      <c r="G12374" t="s">
        <v>16918</v>
      </c>
      <c r="H12374" t="s">
        <v>26069</v>
      </c>
    </row>
    <row r="12375" spans="6:8">
      <c r="H12375" t="s">
        <v>26070</v>
      </c>
    </row>
    <row r="12376" spans="6:8">
      <c r="H12376" t="s">
        <v>26071</v>
      </c>
    </row>
    <row r="12377" spans="6:8">
      <c r="H12377" t="s">
        <v>26072</v>
      </c>
    </row>
    <row r="12378" spans="6:8">
      <c r="H12378" t="s">
        <v>26073</v>
      </c>
    </row>
    <row r="12379" spans="6:8">
      <c r="H12379" t="s">
        <v>30693</v>
      </c>
    </row>
    <row r="12380" spans="6:8">
      <c r="H12380" t="s">
        <v>30694</v>
      </c>
    </row>
    <row r="12381" spans="6:8">
      <c r="F12381" t="s">
        <v>13600</v>
      </c>
      <c r="G12381" t="s">
        <v>16845</v>
      </c>
      <c r="H12381" t="s">
        <v>29660</v>
      </c>
    </row>
    <row r="12382" spans="6:8">
      <c r="H12382" t="s">
        <v>29661</v>
      </c>
    </row>
    <row r="12383" spans="6:8">
      <c r="H12383" t="s">
        <v>29662</v>
      </c>
    </row>
    <row r="12384" spans="6:8">
      <c r="H12384" t="s">
        <v>29663</v>
      </c>
    </row>
    <row r="12385" spans="6:8">
      <c r="H12385" t="s">
        <v>29664</v>
      </c>
    </row>
    <row r="12386" spans="6:8">
      <c r="H12386" t="s">
        <v>29665</v>
      </c>
    </row>
    <row r="12387" spans="6:8">
      <c r="H12387" t="s">
        <v>30695</v>
      </c>
    </row>
    <row r="12388" spans="6:8">
      <c r="H12388" t="s">
        <v>30696</v>
      </c>
    </row>
    <row r="12389" spans="6:8">
      <c r="H12389" t="s">
        <v>30697</v>
      </c>
    </row>
    <row r="12390" spans="6:8">
      <c r="H12390" t="s">
        <v>30698</v>
      </c>
    </row>
    <row r="12391" spans="6:8">
      <c r="H12391" t="s">
        <v>30699</v>
      </c>
    </row>
    <row r="12392" spans="6:8">
      <c r="H12392" t="s">
        <v>30700</v>
      </c>
    </row>
    <row r="12393" spans="6:8">
      <c r="H12393" t="s">
        <v>30701</v>
      </c>
    </row>
    <row r="12394" spans="6:8">
      <c r="H12394" t="s">
        <v>30702</v>
      </c>
    </row>
    <row r="12395" spans="6:8">
      <c r="H12395" t="s">
        <v>30703</v>
      </c>
    </row>
    <row r="12396" spans="6:8">
      <c r="F12396" t="s">
        <v>13601</v>
      </c>
      <c r="G12396" t="s">
        <v>17305</v>
      </c>
      <c r="H12396" t="s">
        <v>30707</v>
      </c>
    </row>
    <row r="12397" spans="6:8">
      <c r="H12397" t="s">
        <v>30709</v>
      </c>
    </row>
    <row r="12398" spans="6:8">
      <c r="H12398" t="s">
        <v>30710</v>
      </c>
    </row>
    <row r="12399" spans="6:8">
      <c r="H12399" t="s">
        <v>30711</v>
      </c>
    </row>
    <row r="12400" spans="6:8">
      <c r="H12400" t="s">
        <v>30712</v>
      </c>
    </row>
    <row r="12401" spans="6:8">
      <c r="H12401" t="s">
        <v>30714</v>
      </c>
    </row>
    <row r="12402" spans="6:8">
      <c r="H12402" t="s">
        <v>30715</v>
      </c>
    </row>
    <row r="12403" spans="6:8">
      <c r="F12403" t="s">
        <v>13602</v>
      </c>
      <c r="G12403" t="s">
        <v>16867</v>
      </c>
      <c r="H12403" t="s">
        <v>25716</v>
      </c>
    </row>
    <row r="12404" spans="6:8">
      <c r="H12404" t="s">
        <v>30716</v>
      </c>
    </row>
    <row r="12405" spans="6:8">
      <c r="F12405" t="s">
        <v>13603</v>
      </c>
      <c r="G12405" t="s">
        <v>17320</v>
      </c>
      <c r="H12405" t="s">
        <v>30718</v>
      </c>
    </row>
    <row r="12406" spans="6:8">
      <c r="H12406" t="s">
        <v>30719</v>
      </c>
    </row>
    <row r="12407" spans="6:8">
      <c r="H12407" t="s">
        <v>30720</v>
      </c>
    </row>
    <row r="12408" spans="6:8">
      <c r="H12408" t="s">
        <v>30721</v>
      </c>
    </row>
    <row r="12409" spans="6:8">
      <c r="H12409" t="s">
        <v>30722</v>
      </c>
    </row>
    <row r="12410" spans="6:8">
      <c r="H12410" t="s">
        <v>30723</v>
      </c>
    </row>
    <row r="12411" spans="6:8">
      <c r="H12411" t="s">
        <v>30724</v>
      </c>
    </row>
    <row r="12412" spans="6:8">
      <c r="H12412" t="s">
        <v>30725</v>
      </c>
    </row>
    <row r="12413" spans="6:8">
      <c r="H12413" t="s">
        <v>30726</v>
      </c>
    </row>
    <row r="12414" spans="6:8">
      <c r="H12414" t="s">
        <v>30727</v>
      </c>
    </row>
    <row r="12415" spans="6:8">
      <c r="H12415" t="s">
        <v>26001</v>
      </c>
    </row>
    <row r="12416" spans="6:8">
      <c r="H12416" t="s">
        <v>30695</v>
      </c>
    </row>
    <row r="12417" spans="8:8">
      <c r="H12417" t="s">
        <v>30729</v>
      </c>
    </row>
    <row r="12418" spans="8:8">
      <c r="H12418" t="s">
        <v>30730</v>
      </c>
    </row>
    <row r="12419" spans="8:8">
      <c r="H12419" t="s">
        <v>30731</v>
      </c>
    </row>
    <row r="12420" spans="8:8">
      <c r="H12420" t="s">
        <v>29686</v>
      </c>
    </row>
    <row r="12421" spans="8:8">
      <c r="H12421" t="s">
        <v>29687</v>
      </c>
    </row>
    <row r="12422" spans="8:8">
      <c r="H12422" t="s">
        <v>29688</v>
      </c>
    </row>
    <row r="12423" spans="8:8">
      <c r="H12423" t="s">
        <v>29689</v>
      </c>
    </row>
    <row r="12424" spans="8:8">
      <c r="H12424" t="s">
        <v>29690</v>
      </c>
    </row>
    <row r="12425" spans="8:8">
      <c r="H12425" t="s">
        <v>29691</v>
      </c>
    </row>
    <row r="12426" spans="8:8">
      <c r="H12426" t="s">
        <v>29692</v>
      </c>
    </row>
    <row r="12427" spans="8:8">
      <c r="H12427" t="s">
        <v>29693</v>
      </c>
    </row>
    <row r="12428" spans="8:8">
      <c r="H12428" t="s">
        <v>29694</v>
      </c>
    </row>
    <row r="12429" spans="8:8">
      <c r="H12429" t="s">
        <v>29695</v>
      </c>
    </row>
    <row r="12430" spans="8:8">
      <c r="H12430" t="s">
        <v>29696</v>
      </c>
    </row>
    <row r="12431" spans="8:8">
      <c r="H12431" t="s">
        <v>29697</v>
      </c>
    </row>
    <row r="12432" spans="8:8">
      <c r="H12432" t="s">
        <v>29698</v>
      </c>
    </row>
    <row r="12433" spans="6:8">
      <c r="H12433" t="s">
        <v>29699</v>
      </c>
    </row>
    <row r="12434" spans="6:8">
      <c r="H12434" t="s">
        <v>29700</v>
      </c>
    </row>
    <row r="12435" spans="6:8">
      <c r="H12435" t="s">
        <v>29862</v>
      </c>
    </row>
    <row r="12436" spans="6:8">
      <c r="F12436" t="s">
        <v>13604</v>
      </c>
      <c r="G12436" t="s">
        <v>17287</v>
      </c>
      <c r="H12436" t="s">
        <v>26000</v>
      </c>
    </row>
    <row r="12437" spans="6:8">
      <c r="H12437" t="s">
        <v>26001</v>
      </c>
    </row>
    <row r="12438" spans="6:8">
      <c r="F12438" t="s">
        <v>13607</v>
      </c>
      <c r="G12438" t="s">
        <v>17510</v>
      </c>
      <c r="H12438" t="s">
        <v>30735</v>
      </c>
    </row>
    <row r="12439" spans="6:8">
      <c r="H12439" t="s">
        <v>30736</v>
      </c>
    </row>
    <row r="12440" spans="6:8">
      <c r="H12440" t="s">
        <v>25956</v>
      </c>
    </row>
    <row r="12441" spans="6:8">
      <c r="F12441" t="s">
        <v>13608</v>
      </c>
      <c r="G12441" t="s">
        <v>17694</v>
      </c>
      <c r="H12441" t="s">
        <v>30737</v>
      </c>
    </row>
    <row r="12442" spans="6:8">
      <c r="F12442" t="s">
        <v>13609</v>
      </c>
      <c r="G12442" t="s">
        <v>17695</v>
      </c>
      <c r="H12442" t="s">
        <v>30739</v>
      </c>
    </row>
    <row r="12443" spans="6:8">
      <c r="H12443" t="s">
        <v>30740</v>
      </c>
    </row>
    <row r="12444" spans="6:8">
      <c r="H12444" t="s">
        <v>30741</v>
      </c>
    </row>
    <row r="12445" spans="6:8">
      <c r="H12445" t="s">
        <v>30742</v>
      </c>
    </row>
    <row r="12446" spans="6:8">
      <c r="H12446" t="s">
        <v>30743</v>
      </c>
    </row>
    <row r="12447" spans="6:8">
      <c r="F12447" t="s">
        <v>13610</v>
      </c>
      <c r="G12447" t="s">
        <v>17696</v>
      </c>
      <c r="H12447" t="s">
        <v>30744</v>
      </c>
    </row>
    <row r="12448" spans="6:8">
      <c r="H12448" t="s">
        <v>30745</v>
      </c>
    </row>
    <row r="12449" spans="6:8">
      <c r="H12449" t="s">
        <v>30746</v>
      </c>
    </row>
    <row r="12450" spans="6:8">
      <c r="F12450" t="s">
        <v>13611</v>
      </c>
      <c r="G12450" t="s">
        <v>17428</v>
      </c>
      <c r="H12450" t="s">
        <v>29006</v>
      </c>
    </row>
    <row r="12451" spans="6:8">
      <c r="H12451" t="s">
        <v>29007</v>
      </c>
    </row>
    <row r="12452" spans="6:8">
      <c r="F12452" t="s">
        <v>13612</v>
      </c>
      <c r="G12452" t="s">
        <v>17697</v>
      </c>
      <c r="H12452" t="s">
        <v>30747</v>
      </c>
    </row>
    <row r="12453" spans="6:8">
      <c r="H12453" t="s">
        <v>30748</v>
      </c>
    </row>
    <row r="12454" spans="6:8">
      <c r="H12454" t="s">
        <v>30749</v>
      </c>
    </row>
    <row r="12455" spans="6:8">
      <c r="H12455" t="s">
        <v>30750</v>
      </c>
    </row>
    <row r="12456" spans="6:8">
      <c r="F12456" t="s">
        <v>13614</v>
      </c>
      <c r="G12456" t="s">
        <v>17698</v>
      </c>
      <c r="H12456" t="s">
        <v>30752</v>
      </c>
    </row>
    <row r="12457" spans="6:8">
      <c r="H12457" t="s">
        <v>30753</v>
      </c>
    </row>
    <row r="12458" spans="6:8">
      <c r="H12458" t="s">
        <v>30754</v>
      </c>
    </row>
    <row r="12459" spans="6:8">
      <c r="H12459" t="s">
        <v>30755</v>
      </c>
    </row>
    <row r="12460" spans="6:8">
      <c r="H12460" t="s">
        <v>30756</v>
      </c>
    </row>
    <row r="12461" spans="6:8">
      <c r="H12461" t="s">
        <v>30757</v>
      </c>
    </row>
    <row r="12462" spans="6:8">
      <c r="H12462" t="s">
        <v>30758</v>
      </c>
    </row>
    <row r="12463" spans="6:8">
      <c r="H12463" t="s">
        <v>30759</v>
      </c>
    </row>
    <row r="12464" spans="6:8">
      <c r="H12464" t="s">
        <v>30760</v>
      </c>
    </row>
    <row r="12465" spans="6:8">
      <c r="H12465" t="s">
        <v>30761</v>
      </c>
    </row>
    <row r="12466" spans="6:8">
      <c r="H12466" t="s">
        <v>30762</v>
      </c>
    </row>
    <row r="12467" spans="6:8">
      <c r="H12467" t="s">
        <v>30763</v>
      </c>
    </row>
    <row r="12468" spans="6:8">
      <c r="H12468" t="s">
        <v>30764</v>
      </c>
    </row>
    <row r="12469" spans="6:8">
      <c r="H12469" t="s">
        <v>30765</v>
      </c>
    </row>
    <row r="12470" spans="6:8">
      <c r="H12470" t="s">
        <v>30766</v>
      </c>
    </row>
    <row r="12471" spans="6:8">
      <c r="H12471" t="s">
        <v>30767</v>
      </c>
    </row>
    <row r="12472" spans="6:8">
      <c r="H12472" t="s">
        <v>30768</v>
      </c>
    </row>
    <row r="12473" spans="6:8">
      <c r="H12473" t="s">
        <v>30769</v>
      </c>
    </row>
    <row r="12474" spans="6:8">
      <c r="H12474" t="s">
        <v>30770</v>
      </c>
    </row>
    <row r="12475" spans="6:8">
      <c r="H12475" t="s">
        <v>30771</v>
      </c>
    </row>
    <row r="12476" spans="6:8">
      <c r="F12476" t="s">
        <v>13615</v>
      </c>
      <c r="G12476" t="s">
        <v>17699</v>
      </c>
      <c r="H12476" t="s">
        <v>30782</v>
      </c>
    </row>
    <row r="12477" spans="6:8">
      <c r="F12477" t="s">
        <v>13616</v>
      </c>
      <c r="G12477" t="s">
        <v>16860</v>
      </c>
      <c r="H12477" t="s">
        <v>25716</v>
      </c>
    </row>
    <row r="12478" spans="6:8">
      <c r="H12478" t="s">
        <v>25717</v>
      </c>
    </row>
    <row r="12479" spans="6:8">
      <c r="H12479" t="s">
        <v>25719</v>
      </c>
    </row>
    <row r="12480" spans="6:8">
      <c r="H12480" t="s">
        <v>30784</v>
      </c>
    </row>
    <row r="12481" spans="6:8">
      <c r="H12481" t="s">
        <v>30785</v>
      </c>
    </row>
    <row r="12482" spans="6:8">
      <c r="H12482" t="s">
        <v>30786</v>
      </c>
    </row>
    <row r="12483" spans="6:8">
      <c r="F12483" t="s">
        <v>13617</v>
      </c>
      <c r="G12483" t="s">
        <v>16869</v>
      </c>
      <c r="H12483" t="s">
        <v>30787</v>
      </c>
    </row>
    <row r="12484" spans="6:8">
      <c r="H12484" t="s">
        <v>30788</v>
      </c>
    </row>
    <row r="12485" spans="6:8">
      <c r="H12485" t="s">
        <v>30789</v>
      </c>
    </row>
    <row r="12486" spans="6:8">
      <c r="H12486" t="s">
        <v>30790</v>
      </c>
    </row>
    <row r="12487" spans="6:8">
      <c r="H12487" t="s">
        <v>30791</v>
      </c>
    </row>
    <row r="12488" spans="6:8">
      <c r="H12488" t="s">
        <v>30792</v>
      </c>
    </row>
    <row r="12489" spans="6:8">
      <c r="H12489" t="s">
        <v>30793</v>
      </c>
    </row>
    <row r="12490" spans="6:8">
      <c r="H12490" t="s">
        <v>30794</v>
      </c>
    </row>
    <row r="12491" spans="6:8">
      <c r="F12491" t="s">
        <v>13620</v>
      </c>
      <c r="G12491" t="s">
        <v>17701</v>
      </c>
      <c r="H12491" t="s">
        <v>30804</v>
      </c>
    </row>
    <row r="12492" spans="6:8">
      <c r="H12492" t="s">
        <v>30805</v>
      </c>
    </row>
    <row r="12493" spans="6:8">
      <c r="F12493" t="s">
        <v>13621</v>
      </c>
      <c r="G12493" t="s">
        <v>17702</v>
      </c>
      <c r="H12493" t="s">
        <v>25716</v>
      </c>
    </row>
    <row r="12494" spans="6:8">
      <c r="H12494" t="s">
        <v>25717</v>
      </c>
    </row>
    <row r="12495" spans="6:8">
      <c r="H12495" t="s">
        <v>25718</v>
      </c>
    </row>
    <row r="12496" spans="6:8">
      <c r="H12496" t="s">
        <v>25719</v>
      </c>
    </row>
    <row r="12497" spans="6:8">
      <c r="H12497" t="s">
        <v>30806</v>
      </c>
    </row>
    <row r="12498" spans="6:8">
      <c r="H12498" t="s">
        <v>30807</v>
      </c>
    </row>
    <row r="12499" spans="6:8">
      <c r="H12499" t="s">
        <v>30808</v>
      </c>
    </row>
    <row r="12500" spans="6:8">
      <c r="F12500" t="s">
        <v>13622</v>
      </c>
      <c r="G12500" t="s">
        <v>17703</v>
      </c>
      <c r="H12500" t="s">
        <v>30809</v>
      </c>
    </row>
    <row r="12501" spans="6:8">
      <c r="H12501" t="s">
        <v>30810</v>
      </c>
    </row>
    <row r="12502" spans="6:8">
      <c r="F12502" t="s">
        <v>13623</v>
      </c>
      <c r="G12502" t="s">
        <v>17704</v>
      </c>
      <c r="H12502" t="s">
        <v>30811</v>
      </c>
    </row>
    <row r="12503" spans="6:8">
      <c r="F12503" t="s">
        <v>13624</v>
      </c>
      <c r="G12503" t="s">
        <v>17705</v>
      </c>
      <c r="H12503" t="s">
        <v>30812</v>
      </c>
    </row>
    <row r="12504" spans="6:8">
      <c r="H12504" t="s">
        <v>30813</v>
      </c>
    </row>
    <row r="12505" spans="6:8">
      <c r="H12505" t="s">
        <v>20077</v>
      </c>
    </row>
    <row r="12506" spans="6:8">
      <c r="F12506" t="s">
        <v>13625</v>
      </c>
      <c r="G12506" t="s">
        <v>17706</v>
      </c>
      <c r="H12506" t="s">
        <v>30814</v>
      </c>
    </row>
    <row r="12507" spans="6:8">
      <c r="F12507" t="s">
        <v>13626</v>
      </c>
      <c r="G12507" t="s">
        <v>16857</v>
      </c>
      <c r="H12507" t="s">
        <v>30812</v>
      </c>
    </row>
    <row r="12508" spans="6:8">
      <c r="H12508" t="s">
        <v>30813</v>
      </c>
    </row>
    <row r="12509" spans="6:8">
      <c r="H12509" t="s">
        <v>30815</v>
      </c>
    </row>
    <row r="12510" spans="6:8">
      <c r="H12510" t="s">
        <v>30816</v>
      </c>
    </row>
    <row r="12511" spans="6:8">
      <c r="H12511" t="s">
        <v>30817</v>
      </c>
    </row>
    <row r="12512" spans="6:8">
      <c r="H12512" t="s">
        <v>30818</v>
      </c>
    </row>
    <row r="12513" spans="6:8">
      <c r="H12513" t="s">
        <v>19173</v>
      </c>
    </row>
    <row r="12514" spans="6:8">
      <c r="H12514" t="s">
        <v>30819</v>
      </c>
    </row>
    <row r="12515" spans="6:8">
      <c r="H12515" t="s">
        <v>30820</v>
      </c>
    </row>
    <row r="12516" spans="6:8">
      <c r="H12516" t="s">
        <v>30821</v>
      </c>
    </row>
    <row r="12517" spans="6:8">
      <c r="H12517" t="s">
        <v>30822</v>
      </c>
    </row>
    <row r="12518" spans="6:8">
      <c r="H12518" t="s">
        <v>30823</v>
      </c>
    </row>
    <row r="12519" spans="6:8">
      <c r="F12519" t="s">
        <v>13627</v>
      </c>
      <c r="G12519" t="s">
        <v>16910</v>
      </c>
      <c r="H12519" t="s">
        <v>26000</v>
      </c>
    </row>
    <row r="12520" spans="6:8">
      <c r="H12520" t="s">
        <v>26001</v>
      </c>
    </row>
    <row r="12521" spans="6:8">
      <c r="H12521" t="s">
        <v>30824</v>
      </c>
    </row>
    <row r="12522" spans="6:8">
      <c r="H12522" t="s">
        <v>30825</v>
      </c>
    </row>
    <row r="12523" spans="6:8">
      <c r="H12523" t="s">
        <v>30826</v>
      </c>
    </row>
    <row r="12524" spans="6:8">
      <c r="F12524" t="s">
        <v>13628</v>
      </c>
      <c r="G12524" t="s">
        <v>16856</v>
      </c>
      <c r="H12524" t="s">
        <v>22186</v>
      </c>
    </row>
    <row r="12525" spans="6:8">
      <c r="H12525" t="s">
        <v>25686</v>
      </c>
    </row>
    <row r="12526" spans="6:8">
      <c r="H12526" t="s">
        <v>22189</v>
      </c>
    </row>
    <row r="12527" spans="6:8">
      <c r="F12527" t="s">
        <v>13629</v>
      </c>
      <c r="G12527" t="s">
        <v>17707</v>
      </c>
      <c r="H12527" t="s">
        <v>25716</v>
      </c>
    </row>
    <row r="12528" spans="6:8">
      <c r="F12528" t="s">
        <v>13630</v>
      </c>
      <c r="G12528" t="s">
        <v>16903</v>
      </c>
      <c r="H12528" t="s">
        <v>30633</v>
      </c>
    </row>
    <row r="12529" spans="1:8">
      <c r="A12529" t="s">
        <v>2085</v>
      </c>
      <c r="B12529">
        <f>HYPERLINK("https://android.googlesource.com/platform/cts/+/7c45ef23464d75996ff8f7a3a3013770dfe34753", "7c45ef23464d75996ff8f7a3a3013770dfe34753")</f>
        <v>0</v>
      </c>
      <c r="C12529">
        <f>HYPERLINK("https://android.googlesource.com/platform/cts/+/2076ba66b0838a1960e1ade90decbaef9eb2728e", "2076ba66b0838a1960e1ade90decbaef9eb2728e")</f>
        <v>0</v>
      </c>
      <c r="D12529" t="s">
        <v>5146</v>
      </c>
      <c r="E12529" t="s">
        <v>7823</v>
      </c>
      <c r="F12529" t="s">
        <v>13318</v>
      </c>
      <c r="G12529" t="s">
        <v>17449</v>
      </c>
      <c r="H12529" t="s">
        <v>30839</v>
      </c>
    </row>
    <row r="12530" spans="1:8">
      <c r="A12530" t="s">
        <v>2087</v>
      </c>
      <c r="B12530">
        <f>HYPERLINK("https://android.googlesource.com/platform/cts/+/ba785743db70b7c69db08109a285083ead05bf99", "ba785743db70b7c69db08109a285083ead05bf99")</f>
        <v>0</v>
      </c>
      <c r="C12530">
        <f>HYPERLINK("https://android.googlesource.com/platform/cts/+/628980712d5fa82520dd98692f559f8a6d8b46e1", "628980712d5fa82520dd98692f559f8a6d8b46e1")</f>
        <v>0</v>
      </c>
      <c r="D12530" t="s">
        <v>5330</v>
      </c>
      <c r="E12530" t="s">
        <v>7825</v>
      </c>
      <c r="F12530" t="s">
        <v>13255</v>
      </c>
      <c r="G12530" t="s">
        <v>17393</v>
      </c>
      <c r="H12530" t="s">
        <v>30549</v>
      </c>
    </row>
    <row r="12531" spans="1:8">
      <c r="A12531" t="s">
        <v>2088</v>
      </c>
      <c r="B12531">
        <f>HYPERLINK("https://android.googlesource.com/platform/cts/+/3e753f74127b87ca83fab047530992d29480e10c", "3e753f74127b87ca83fab047530992d29480e10c")</f>
        <v>0</v>
      </c>
      <c r="C12531">
        <f>HYPERLINK("https://android.googlesource.com/platform/cts/+/c23c0c20b926e4f4c6f41697a3655b487ad48c5e", "c23c0c20b926e4f4c6f41697a3655b487ad48c5e")</f>
        <v>0</v>
      </c>
      <c r="D12531" t="s">
        <v>5330</v>
      </c>
      <c r="E12531" t="s">
        <v>7826</v>
      </c>
      <c r="F12531" t="s">
        <v>13255</v>
      </c>
      <c r="G12531" t="s">
        <v>17393</v>
      </c>
      <c r="H12531" t="s">
        <v>30549</v>
      </c>
    </row>
    <row r="12532" spans="1:8">
      <c r="A12532" t="s">
        <v>2090</v>
      </c>
      <c r="B12532">
        <f>HYPERLINK("https://android.googlesource.com/platform/cts/+/094f6abf1cd1cc35e66f7d841da928442a3118c1", "094f6abf1cd1cc35e66f7d841da928442a3118c1")</f>
        <v>0</v>
      </c>
      <c r="C12532">
        <f>HYPERLINK("https://android.googlesource.com/platform/cts/+/b19203e123f30bf454d49a8dfc8abbda3d438b9a", "b19203e123f30bf454d49a8dfc8abbda3d438b9a")</f>
        <v>0</v>
      </c>
      <c r="D12532" t="s">
        <v>5127</v>
      </c>
      <c r="E12532" t="s">
        <v>7828</v>
      </c>
      <c r="F12532" t="s">
        <v>13637</v>
      </c>
      <c r="G12532" t="s">
        <v>17714</v>
      </c>
      <c r="H12532" t="s">
        <v>30843</v>
      </c>
    </row>
    <row r="12533" spans="1:8">
      <c r="H12533" t="s">
        <v>30844</v>
      </c>
    </row>
    <row r="12534" spans="1:8">
      <c r="F12534" t="s">
        <v>12629</v>
      </c>
      <c r="G12534" t="s">
        <v>16838</v>
      </c>
      <c r="H12534" t="s">
        <v>30843</v>
      </c>
    </row>
    <row r="12535" spans="1:8">
      <c r="H12535" t="s">
        <v>30845</v>
      </c>
    </row>
    <row r="12536" spans="1:8">
      <c r="H12536" t="s">
        <v>30846</v>
      </c>
    </row>
    <row r="12537" spans="1:8">
      <c r="H12537" t="s">
        <v>30847</v>
      </c>
    </row>
    <row r="12538" spans="1:8">
      <c r="H12538" t="s">
        <v>30848</v>
      </c>
    </row>
    <row r="12539" spans="1:8">
      <c r="A12539" t="s">
        <v>2096</v>
      </c>
      <c r="B12539">
        <f>HYPERLINK("https://android.googlesource.com/platform/cts/+/7825c39aca72b2ed63c11b2326003899a7767d6f", "7825c39aca72b2ed63c11b2326003899a7767d6f")</f>
        <v>0</v>
      </c>
      <c r="C12539">
        <f>HYPERLINK("https://android.googlesource.com/platform/cts/+/ce605f2a2c842cc644a2f353bc5984ff04681387", "ce605f2a2c842cc644a2f353bc5984ff04681387")</f>
        <v>0</v>
      </c>
      <c r="D12539" t="s">
        <v>5177</v>
      </c>
      <c r="E12539" t="s">
        <v>7834</v>
      </c>
      <c r="F12539" t="s">
        <v>10659</v>
      </c>
      <c r="G12539" t="s">
        <v>15060</v>
      </c>
      <c r="H12539" t="s">
        <v>19028</v>
      </c>
    </row>
    <row r="12540" spans="1:8">
      <c r="A12540" t="s">
        <v>2101</v>
      </c>
      <c r="B12540">
        <f>HYPERLINK("https://android.googlesource.com/platform/cts/+/3b8e8a72da86e50492fb7769f2e30e9a1e24c654", "3b8e8a72da86e50492fb7769f2e30e9a1e24c654")</f>
        <v>0</v>
      </c>
      <c r="C12540">
        <f>HYPERLINK("https://android.googlesource.com/platform/cts/+/4e3f64e3a25c08f9a3ec8f38fa1114310b141799", "4e3f64e3a25c08f9a3ec8f38fa1114310b141799")</f>
        <v>0</v>
      </c>
      <c r="D12540" t="s">
        <v>5332</v>
      </c>
      <c r="E12540" t="s">
        <v>7838</v>
      </c>
      <c r="F12540" t="s">
        <v>13640</v>
      </c>
      <c r="G12540" t="s">
        <v>17458</v>
      </c>
      <c r="H12540" t="s">
        <v>29420</v>
      </c>
    </row>
    <row r="12541" spans="1:8">
      <c r="A12541" t="s">
        <v>2102</v>
      </c>
      <c r="B12541">
        <f>HYPERLINK("https://android.googlesource.com/platform/cts/+/b630a8980abf4736df56fdab7c194bdb5c0bf28f", "b630a8980abf4736df56fdab7c194bdb5c0bf28f")</f>
        <v>0</v>
      </c>
      <c r="C12541">
        <f>HYPERLINK("https://android.googlesource.com/platform/cts/+/971433bb42e7d2321f0c61a0f048070d1099c582", "971433bb42e7d2321f0c61a0f048070d1099c582")</f>
        <v>0</v>
      </c>
      <c r="D12541" t="s">
        <v>5117</v>
      </c>
      <c r="E12541" t="s">
        <v>7839</v>
      </c>
      <c r="F12541" t="s">
        <v>13642</v>
      </c>
      <c r="G12541" t="s">
        <v>17718</v>
      </c>
      <c r="H12541" t="s">
        <v>30862</v>
      </c>
    </row>
    <row r="12542" spans="1:8">
      <c r="H12542" t="s">
        <v>30863</v>
      </c>
    </row>
    <row r="12543" spans="1:8">
      <c r="H12543" t="s">
        <v>30864</v>
      </c>
    </row>
    <row r="12544" spans="1:8">
      <c r="F12544" t="s">
        <v>13337</v>
      </c>
      <c r="G12544" t="s">
        <v>17467</v>
      </c>
      <c r="H12544" t="s">
        <v>30862</v>
      </c>
    </row>
    <row r="12545" spans="1:8">
      <c r="H12545" t="s">
        <v>30863</v>
      </c>
    </row>
    <row r="12546" spans="1:8">
      <c r="H12546" t="s">
        <v>30864</v>
      </c>
    </row>
    <row r="12547" spans="1:8">
      <c r="H12547" t="s">
        <v>30865</v>
      </c>
    </row>
    <row r="12548" spans="1:8">
      <c r="A12548" t="s">
        <v>2104</v>
      </c>
      <c r="B12548">
        <f>HYPERLINK("https://android.googlesource.com/platform/cts/+/9348c7db0c61e1be414c24cc24a40b6bf7c99fe9", "9348c7db0c61e1be414c24cc24a40b6bf7c99fe9")</f>
        <v>0</v>
      </c>
      <c r="C12548">
        <f>HYPERLINK("https://android.googlesource.com/platform/cts/+/30404131f75131fba975b74981c0cb1231c96638", "30404131f75131fba975b74981c0cb1231c96638")</f>
        <v>0</v>
      </c>
      <c r="D12548" t="s">
        <v>5108</v>
      </c>
      <c r="E12548" t="s">
        <v>7841</v>
      </c>
      <c r="F12548" t="s">
        <v>13643</v>
      </c>
      <c r="G12548" t="s">
        <v>17719</v>
      </c>
      <c r="H12548" t="s">
        <v>30867</v>
      </c>
    </row>
    <row r="12549" spans="1:8">
      <c r="F12549" t="s">
        <v>13390</v>
      </c>
      <c r="G12549" t="s">
        <v>17513</v>
      </c>
      <c r="H12549" t="s">
        <v>30869</v>
      </c>
    </row>
    <row r="12550" spans="1:8">
      <c r="A12550" t="s">
        <v>2108</v>
      </c>
      <c r="B12550">
        <f>HYPERLINK("https://android.googlesource.com/platform/cts/+/d8643fabad317fd027d8d2f9b33a9ebe769b65e6", "d8643fabad317fd027d8d2f9b33a9ebe769b65e6")</f>
        <v>0</v>
      </c>
      <c r="C12550">
        <f>HYPERLINK("https://android.googlesource.com/platform/cts/+/9cabcc170e3bf5ad32c3ba2017ed0afdf3f5c7e0", "9cabcc170e3bf5ad32c3ba2017ed0afdf3f5c7e0")</f>
        <v>0</v>
      </c>
      <c r="D12550" t="s">
        <v>5315</v>
      </c>
      <c r="E12550" t="s">
        <v>7845</v>
      </c>
      <c r="F12550" t="s">
        <v>13227</v>
      </c>
      <c r="G12550" t="s">
        <v>17368</v>
      </c>
      <c r="H12550" t="s">
        <v>30886</v>
      </c>
    </row>
    <row r="12551" spans="1:8">
      <c r="A12551" t="s">
        <v>2111</v>
      </c>
      <c r="B12551">
        <f>HYPERLINK("https://android.googlesource.com/platform/cts/+/c90bb4b67f6b202c4c4d73702ad4fc07cd4e196d", "c90bb4b67f6b202c4c4d73702ad4fc07cd4e196d")</f>
        <v>0</v>
      </c>
      <c r="C12551">
        <f>HYPERLINK("https://android.googlesource.com/platform/cts/+/480e5be10ac8e7b307a1987a0806058a83e50b53", "480e5be10ac8e7b307a1987a0806058a83e50b53")</f>
        <v>0</v>
      </c>
      <c r="D12551" t="s">
        <v>5240</v>
      </c>
      <c r="E12551" t="s">
        <v>7848</v>
      </c>
      <c r="F12551" t="s">
        <v>12710</v>
      </c>
      <c r="G12551" t="s">
        <v>16911</v>
      </c>
      <c r="H12551" t="s">
        <v>30890</v>
      </c>
    </row>
    <row r="12552" spans="1:8">
      <c r="A12552" t="s">
        <v>2114</v>
      </c>
      <c r="B12552">
        <f>HYPERLINK("https://android.googlesource.com/platform/cts/+/37972d530a566db0d68f6a367b4302671e5b02bc", "37972d530a566db0d68f6a367b4302671e5b02bc")</f>
        <v>0</v>
      </c>
      <c r="C12552">
        <f>HYPERLINK("https://android.googlesource.com/platform/cts/+/306c88bd58c581ed6710b881523cf88cbd49ae4f", "306c88bd58c581ed6710b881523cf88cbd49ae4f")</f>
        <v>0</v>
      </c>
      <c r="D12552" t="s">
        <v>5334</v>
      </c>
      <c r="E12552" t="s">
        <v>7851</v>
      </c>
      <c r="F12552" t="s">
        <v>13662</v>
      </c>
      <c r="G12552" t="s">
        <v>15122</v>
      </c>
      <c r="H12552" t="s">
        <v>30894</v>
      </c>
    </row>
    <row r="12553" spans="1:8">
      <c r="A12553" t="s">
        <v>2115</v>
      </c>
      <c r="B12553">
        <f>HYPERLINK("https://android.googlesource.com/platform/cts/+/b6ba44e26d97d5df59b657694e7ec1c2a7001a0d", "b6ba44e26d97d5df59b657694e7ec1c2a7001a0d")</f>
        <v>0</v>
      </c>
      <c r="C12553">
        <f>HYPERLINK("https://android.googlesource.com/platform/cts/+/6ebd08b079ba3f75b78c99c4fab7e89e7e4a5c13", "6ebd08b079ba3f75b78c99c4fab7e89e7e4a5c13")</f>
        <v>0</v>
      </c>
      <c r="D12553" t="s">
        <v>4974</v>
      </c>
      <c r="E12553" t="s">
        <v>7852</v>
      </c>
      <c r="F12553" t="s">
        <v>12710</v>
      </c>
      <c r="G12553" t="s">
        <v>16911</v>
      </c>
      <c r="H12553" t="s">
        <v>30895</v>
      </c>
    </row>
    <row r="12554" spans="1:8">
      <c r="A12554" t="s">
        <v>2116</v>
      </c>
      <c r="B12554">
        <f>HYPERLINK("https://android.googlesource.com/platform/cts/+/52a3ab25986ac0332139140bfa8fbb575bdb92c5", "52a3ab25986ac0332139140bfa8fbb575bdb92c5")</f>
        <v>0</v>
      </c>
      <c r="C12554">
        <f>HYPERLINK("https://android.googlesource.com/platform/cts/+/d49f63fe6f7746fe0bc08b78bce082d89052f9e9", "d49f63fe6f7746fe0bc08b78bce082d89052f9e9")</f>
        <v>0</v>
      </c>
      <c r="D12554" t="s">
        <v>5014</v>
      </c>
      <c r="E12554" t="s">
        <v>7853</v>
      </c>
      <c r="F12554" t="s">
        <v>13663</v>
      </c>
      <c r="G12554" t="s">
        <v>17736</v>
      </c>
      <c r="H12554" t="s">
        <v>19231</v>
      </c>
    </row>
    <row r="12555" spans="1:8">
      <c r="A12555" t="s">
        <v>2119</v>
      </c>
      <c r="B12555">
        <f>HYPERLINK("https://android.googlesource.com/platform/cts/+/9bb06a0118cd578a33635491afc4844649e05eeb", "9bb06a0118cd578a33635491afc4844649e05eeb")</f>
        <v>0</v>
      </c>
      <c r="C12555">
        <f>HYPERLINK("https://android.googlesource.com/platform/cts/+/7f58167a26b4376ff39bdfaed5ed1e11c6087efa", "7f58167a26b4376ff39bdfaed5ed1e11c6087efa")</f>
        <v>0</v>
      </c>
      <c r="D12555" t="s">
        <v>5335</v>
      </c>
      <c r="E12555" t="s">
        <v>7855</v>
      </c>
      <c r="F12555" t="s">
        <v>12843</v>
      </c>
      <c r="G12555" t="s">
        <v>16556</v>
      </c>
      <c r="H12555" t="s">
        <v>30897</v>
      </c>
    </row>
    <row r="12556" spans="1:8">
      <c r="H12556" t="s">
        <v>30898</v>
      </c>
    </row>
    <row r="12557" spans="1:8">
      <c r="A12557" t="s">
        <v>2123</v>
      </c>
      <c r="B12557">
        <f>HYPERLINK("https://android.googlesource.com/platform/cts/+/89925ec62138d6b48c40a3886c8d179285ae1349", "89925ec62138d6b48c40a3886c8d179285ae1349")</f>
        <v>0</v>
      </c>
      <c r="C12557">
        <f>HYPERLINK("https://android.googlesource.com/platform/cts/+/ce743c9c3509f6635c9f34dcc50bb2f97154e47b", "ce743c9c3509f6635c9f34dcc50bb2f97154e47b")</f>
        <v>0</v>
      </c>
      <c r="D12557" t="s">
        <v>5284</v>
      </c>
      <c r="E12557" t="s">
        <v>7858</v>
      </c>
      <c r="F12557" t="s">
        <v>10744</v>
      </c>
      <c r="G12557" t="s">
        <v>15143</v>
      </c>
      <c r="H12557" t="s">
        <v>30909</v>
      </c>
    </row>
    <row r="12558" spans="1:8">
      <c r="A12558" t="s">
        <v>2126</v>
      </c>
      <c r="B12558">
        <f>HYPERLINK("https://android.googlesource.com/platform/cts/+/8f42d8cd939af4aa2bd696ad6f87e10fe297c7a7", "8f42d8cd939af4aa2bd696ad6f87e10fe297c7a7")</f>
        <v>0</v>
      </c>
      <c r="C12558">
        <f>HYPERLINK("https://android.googlesource.com/platform/cts/+/e68ca48d224c8f3f0c112192ff57777f82e631f5", "e68ca48d224c8f3f0c112192ff57777f82e631f5")</f>
        <v>0</v>
      </c>
      <c r="D12558" t="s">
        <v>5110</v>
      </c>
      <c r="E12558" t="s">
        <v>7861</v>
      </c>
      <c r="F12558" t="s">
        <v>12901</v>
      </c>
      <c r="G12558" t="s">
        <v>17068</v>
      </c>
      <c r="H12558" t="s">
        <v>26879</v>
      </c>
    </row>
    <row r="12559" spans="1:8">
      <c r="F12559" t="s">
        <v>12629</v>
      </c>
      <c r="G12559" t="s">
        <v>16838</v>
      </c>
      <c r="H12559" t="s">
        <v>26879</v>
      </c>
    </row>
    <row r="12560" spans="1:8">
      <c r="A12560" t="s">
        <v>2128</v>
      </c>
      <c r="B12560">
        <f>HYPERLINK("https://android.googlesource.com/platform/cts/+/330cbd18e6cd92df3510ad985f60dbaf349bb767", "330cbd18e6cd92df3510ad985f60dbaf349bb767")</f>
        <v>0</v>
      </c>
      <c r="C12560">
        <f>HYPERLINK("https://android.googlesource.com/platform/cts/+/542156bd4afaf77c3ad6fd08d3b1b0605d3f7e1c", "542156bd4afaf77c3ad6fd08d3b1b0605d3f7e1c")</f>
        <v>0</v>
      </c>
      <c r="D12560" t="s">
        <v>4981</v>
      </c>
      <c r="E12560" t="s">
        <v>7863</v>
      </c>
      <c r="F12560" t="s">
        <v>10613</v>
      </c>
      <c r="G12560" t="s">
        <v>15016</v>
      </c>
      <c r="H12560" t="s">
        <v>30913</v>
      </c>
    </row>
    <row r="12561" spans="1:8">
      <c r="H12561" t="s">
        <v>30914</v>
      </c>
    </row>
    <row r="12562" spans="1:8">
      <c r="A12562" t="s">
        <v>2132</v>
      </c>
      <c r="B12562">
        <f>HYPERLINK("https://android.googlesource.com/platform/cts/+/614ee878edea1bdeb5d114d6b443e8a4918808ee", "614ee878edea1bdeb5d114d6b443e8a4918808ee")</f>
        <v>0</v>
      </c>
      <c r="C12562">
        <f>HYPERLINK("https://android.googlesource.com/platform/cts/+/34c5f99bcc0d439446460293e90a810a39f88385", "34c5f99bcc0d439446460293e90a810a39f88385")</f>
        <v>0</v>
      </c>
      <c r="D12562" t="s">
        <v>5100</v>
      </c>
      <c r="E12562" t="s">
        <v>7867</v>
      </c>
      <c r="F12562" t="s">
        <v>12857</v>
      </c>
      <c r="G12562" t="s">
        <v>17027</v>
      </c>
      <c r="H12562" t="s">
        <v>30929</v>
      </c>
    </row>
    <row r="12563" spans="1:8">
      <c r="H12563" t="s">
        <v>30930</v>
      </c>
    </row>
    <row r="12564" spans="1:8">
      <c r="H12564" t="s">
        <v>30931</v>
      </c>
    </row>
    <row r="12565" spans="1:8">
      <c r="A12565" t="s">
        <v>2133</v>
      </c>
      <c r="B12565">
        <f>HYPERLINK("https://android.googlesource.com/platform/cts/+/ae65fd8ebb17b8686aa02c8fcf784aaf01419eef", "ae65fd8ebb17b8686aa02c8fcf784aaf01419eef")</f>
        <v>0</v>
      </c>
      <c r="C12565">
        <f>HYPERLINK("https://android.googlesource.com/platform/cts/+/ee7a193ea70c64c72c69796365f1c7dff52621ee", "ee7a193ea70c64c72c69796365f1c7dff52621ee")</f>
        <v>0</v>
      </c>
      <c r="D12565" t="s">
        <v>5336</v>
      </c>
      <c r="E12565" t="s">
        <v>7868</v>
      </c>
      <c r="F12565" t="s">
        <v>13670</v>
      </c>
      <c r="G12565" t="s">
        <v>17742</v>
      </c>
      <c r="H12565" t="s">
        <v>30925</v>
      </c>
    </row>
    <row r="12566" spans="1:8">
      <c r="H12566" t="s">
        <v>30932</v>
      </c>
    </row>
    <row r="12567" spans="1:8">
      <c r="H12567" t="s">
        <v>30933</v>
      </c>
    </row>
    <row r="12568" spans="1:8">
      <c r="A12568" t="s">
        <v>2139</v>
      </c>
      <c r="B12568">
        <f>HYPERLINK("https://android.googlesource.com/platform/cts/+/7fd2a1b4bcc8b3485c5ed88b8824620a1cec584d", "7fd2a1b4bcc8b3485c5ed88b8824620a1cec584d")</f>
        <v>0</v>
      </c>
      <c r="C12568">
        <f>HYPERLINK("https://android.googlesource.com/platform/cts/+/6551f1f0ead0366619091235401073993cdfe220", "6551f1f0ead0366619091235401073993cdfe220")</f>
        <v>0</v>
      </c>
      <c r="D12568" t="s">
        <v>5240</v>
      </c>
      <c r="E12568" t="s">
        <v>7871</v>
      </c>
      <c r="F12568" t="s">
        <v>13670</v>
      </c>
      <c r="G12568" t="s">
        <v>17742</v>
      </c>
      <c r="H12568" t="s">
        <v>30934</v>
      </c>
    </row>
    <row r="12569" spans="1:8">
      <c r="A12569" t="s">
        <v>2140</v>
      </c>
      <c r="B12569">
        <f>HYPERLINK("https://android.googlesource.com/platform/cts/+/787d67a1c7609cb60ef558b07a067c1fdaa610aa", "787d67a1c7609cb60ef558b07a067c1fdaa610aa")</f>
        <v>0</v>
      </c>
      <c r="C12569">
        <f>HYPERLINK("https://android.googlesource.com/platform/cts/+/dabaaeaae7298057b0b208d59ede4359b9221a7a", "dabaaeaae7298057b0b208d59ede4359b9221a7a")</f>
        <v>0</v>
      </c>
      <c r="D12569" t="s">
        <v>5240</v>
      </c>
      <c r="E12569" t="s">
        <v>7872</v>
      </c>
      <c r="F12569" t="s">
        <v>13670</v>
      </c>
      <c r="G12569" t="s">
        <v>17742</v>
      </c>
      <c r="H12569" t="s">
        <v>30934</v>
      </c>
    </row>
    <row r="12570" spans="1:8">
      <c r="A12570" t="s">
        <v>2141</v>
      </c>
      <c r="B12570">
        <f>HYPERLINK("https://android.googlesource.com/platform/cts/+/6ed653922659e5c1ec21b35d97ef625942660cd0", "6ed653922659e5c1ec21b35d97ef625942660cd0")</f>
        <v>0</v>
      </c>
      <c r="C12570">
        <f>HYPERLINK("https://android.googlesource.com/platform/cts/+/27896e90fb8e3f211c241073673c8303ce32bac1", "27896e90fb8e3f211c241073673c8303ce32bac1")</f>
        <v>0</v>
      </c>
      <c r="D12570" t="s">
        <v>5240</v>
      </c>
      <c r="E12570" t="s">
        <v>7873</v>
      </c>
      <c r="F12570" t="s">
        <v>13670</v>
      </c>
      <c r="G12570" t="s">
        <v>17742</v>
      </c>
      <c r="H12570" t="s">
        <v>30934</v>
      </c>
    </row>
    <row r="12571" spans="1:8">
      <c r="A12571" t="s">
        <v>2143</v>
      </c>
      <c r="B12571">
        <f>HYPERLINK("https://android.googlesource.com/platform/cts/+/49cdceaeb2e8723e84b035f4efed3a709392d302", "49cdceaeb2e8723e84b035f4efed3a709392d302")</f>
        <v>0</v>
      </c>
      <c r="C12571">
        <f>HYPERLINK("https://android.googlesource.com/platform/cts/+/ea59d40acfb0c76786c9f977370dbf52391e695b", "ea59d40acfb0c76786c9f977370dbf52391e695b")</f>
        <v>0</v>
      </c>
      <c r="D12571" t="s">
        <v>5293</v>
      </c>
      <c r="E12571" t="s">
        <v>7875</v>
      </c>
      <c r="F12571" t="s">
        <v>13468</v>
      </c>
      <c r="G12571" t="s">
        <v>17587</v>
      </c>
      <c r="H12571" t="s">
        <v>30935</v>
      </c>
    </row>
    <row r="12572" spans="1:8">
      <c r="A12572" t="s">
        <v>2147</v>
      </c>
      <c r="B12572">
        <f>HYPERLINK("https://android.googlesource.com/platform/cts/+/49a35715580d1e2b81773453afb877dbcc5b6115", "49a35715580d1e2b81773453afb877dbcc5b6115")</f>
        <v>0</v>
      </c>
      <c r="C12572">
        <f>HYPERLINK("https://android.googlesource.com/platform/cts/+/7bad9982003616cc4e3e553df713b9c9aefdeda9", "7bad9982003616cc4e3e553df713b9c9aefdeda9")</f>
        <v>0</v>
      </c>
      <c r="D12572" t="s">
        <v>4981</v>
      </c>
      <c r="E12572" t="s">
        <v>7878</v>
      </c>
      <c r="F12572" t="s">
        <v>13671</v>
      </c>
      <c r="G12572" t="s">
        <v>17743</v>
      </c>
      <c r="H12572" t="s">
        <v>30937</v>
      </c>
    </row>
    <row r="12573" spans="1:8">
      <c r="A12573" t="s">
        <v>2148</v>
      </c>
      <c r="B12573">
        <f>HYPERLINK("https://android.googlesource.com/platform/cts/+/fc6f3d001b46e5c5d40d16c9180a8b0fc3753608", "fc6f3d001b46e5c5d40d16c9180a8b0fc3753608")</f>
        <v>0</v>
      </c>
      <c r="C12573">
        <f>HYPERLINK("https://android.googlesource.com/platform/cts/+/0d5f6d5cd05713bac06c6edd84ee4ae24fc8c085", "0d5f6d5cd05713bac06c6edd84ee4ae24fc8c085")</f>
        <v>0</v>
      </c>
      <c r="D12573" t="s">
        <v>5275</v>
      </c>
      <c r="E12573" t="s">
        <v>7879</v>
      </c>
      <c r="F12573" t="s">
        <v>13671</v>
      </c>
      <c r="G12573" t="s">
        <v>17743</v>
      </c>
      <c r="H12573" t="s">
        <v>30937</v>
      </c>
    </row>
    <row r="12574" spans="1:8">
      <c r="A12574" t="s">
        <v>2152</v>
      </c>
      <c r="B12574">
        <f>HYPERLINK("https://android.googlesource.com/platform/cts/+/b1805d386d9f0aef22b909d1ef1e3e7ff9e7ba80", "b1805d386d9f0aef22b909d1ef1e3e7ff9e7ba80")</f>
        <v>0</v>
      </c>
      <c r="C12574">
        <f>HYPERLINK("https://android.googlesource.com/platform/cts/+/f36bf11ca3d149b4bdae4ed46a8c8bb329a336dc", "f36bf11ca3d149b4bdae4ed46a8c8bb329a336dc")</f>
        <v>0</v>
      </c>
      <c r="D12574" t="s">
        <v>5337</v>
      </c>
      <c r="E12574" t="s">
        <v>7883</v>
      </c>
      <c r="F12574" t="s">
        <v>13674</v>
      </c>
      <c r="G12574" t="s">
        <v>17745</v>
      </c>
      <c r="H12574" t="s">
        <v>30942</v>
      </c>
    </row>
    <row r="12575" spans="1:8">
      <c r="H12575" t="s">
        <v>30943</v>
      </c>
    </row>
    <row r="12576" spans="1:8">
      <c r="F12576" t="s">
        <v>13675</v>
      </c>
      <c r="G12576" t="s">
        <v>17746</v>
      </c>
      <c r="H12576" t="s">
        <v>30942</v>
      </c>
    </row>
    <row r="12577" spans="1:8">
      <c r="H12577" t="s">
        <v>30943</v>
      </c>
    </row>
    <row r="12578" spans="1:8">
      <c r="A12578" t="s">
        <v>2157</v>
      </c>
      <c r="B12578">
        <f>HYPERLINK("https://android.googlesource.com/platform/cts/+/8b21abe5919b4788e9fc0e7cd94919b06ff9c2ec", "8b21abe5919b4788e9fc0e7cd94919b06ff9c2ec")</f>
        <v>0</v>
      </c>
      <c r="C12578">
        <f>HYPERLINK("https://android.googlesource.com/platform/cts/+/4db221c5f048754ef4fb5c1dcbc94a72553c6ce5", "4db221c5f048754ef4fb5c1dcbc94a72553c6ce5")</f>
        <v>0</v>
      </c>
      <c r="D12578" t="s">
        <v>5336</v>
      </c>
      <c r="E12578" t="s">
        <v>7888</v>
      </c>
      <c r="F12578" t="s">
        <v>13670</v>
      </c>
      <c r="G12578" t="s">
        <v>17742</v>
      </c>
      <c r="H12578" t="s">
        <v>30925</v>
      </c>
    </row>
    <row r="12579" spans="1:8">
      <c r="H12579" t="s">
        <v>30926</v>
      </c>
    </row>
    <row r="12580" spans="1:8">
      <c r="H12580" t="s">
        <v>30932</v>
      </c>
    </row>
    <row r="12581" spans="1:8">
      <c r="H12581" t="s">
        <v>30933</v>
      </c>
    </row>
    <row r="12582" spans="1:8">
      <c r="A12582" t="s">
        <v>2165</v>
      </c>
      <c r="B12582">
        <f>HYPERLINK("https://android.googlesource.com/platform/cts/+/b86772daee6915549a02db62508ce593f5e44315", "b86772daee6915549a02db62508ce593f5e44315")</f>
        <v>0</v>
      </c>
      <c r="C12582">
        <f>HYPERLINK("https://android.googlesource.com/platform/cts/+/ac638e0f5f287d2baef0bbb150712a4fc761220d", "ac638e0f5f287d2baef0bbb150712a4fc761220d")</f>
        <v>0</v>
      </c>
      <c r="D12582" t="s">
        <v>5114</v>
      </c>
      <c r="E12582" t="s">
        <v>7896</v>
      </c>
      <c r="F12582" t="s">
        <v>13680</v>
      </c>
      <c r="G12582" t="s">
        <v>17750</v>
      </c>
      <c r="H12582" t="s">
        <v>30967</v>
      </c>
    </row>
    <row r="12583" spans="1:8">
      <c r="H12583" t="s">
        <v>30968</v>
      </c>
    </row>
    <row r="12584" spans="1:8">
      <c r="A12584" t="s">
        <v>2166</v>
      </c>
      <c r="B12584">
        <f>HYPERLINK("https://android.googlesource.com/platform/cts/+/82cade3e78381475053b9691ef718a46a9a6dd24", "82cade3e78381475053b9691ef718a46a9a6dd24")</f>
        <v>0</v>
      </c>
      <c r="C12584">
        <f>HYPERLINK("https://android.googlesource.com/platform/cts/+/6864b4f0a98bcee87beb874eb6cdfde97b530ecb", "6864b4f0a98bcee87beb874eb6cdfde97b530ecb")</f>
        <v>0</v>
      </c>
      <c r="D12584" t="s">
        <v>5143</v>
      </c>
      <c r="E12584" t="s">
        <v>7897</v>
      </c>
      <c r="F12584" t="s">
        <v>12914</v>
      </c>
      <c r="G12584" t="s">
        <v>17079</v>
      </c>
      <c r="H12584" t="s">
        <v>30970</v>
      </c>
    </row>
    <row r="12585" spans="1:8">
      <c r="A12585" t="s">
        <v>2171</v>
      </c>
      <c r="B12585">
        <f>HYPERLINK("https://android.googlesource.com/platform/cts/+/ef0ad61e0db620e4b29307ac2a8ac7bd205118f6", "ef0ad61e0db620e4b29307ac2a8ac7bd205118f6")</f>
        <v>0</v>
      </c>
      <c r="C12585">
        <f>HYPERLINK("https://android.googlesource.com/platform/cts/+/0be23ea9bf3bbd75da1ec866da97ea51b40cd3c0", "0be23ea9bf3bbd75da1ec866da97ea51b40cd3c0")</f>
        <v>0</v>
      </c>
      <c r="D12585" t="s">
        <v>5235</v>
      </c>
      <c r="E12585" t="s">
        <v>7902</v>
      </c>
      <c r="F12585" t="s">
        <v>13684</v>
      </c>
      <c r="G12585" t="s">
        <v>17754</v>
      </c>
      <c r="H12585" t="s">
        <v>20091</v>
      </c>
    </row>
    <row r="12586" spans="1:8">
      <c r="H12586" t="s">
        <v>19712</v>
      </c>
    </row>
    <row r="12587" spans="1:8">
      <c r="H12587" t="s">
        <v>19709</v>
      </c>
    </row>
    <row r="12588" spans="1:8">
      <c r="H12588" t="s">
        <v>20107</v>
      </c>
    </row>
    <row r="12589" spans="1:8">
      <c r="H12589" t="s">
        <v>20108</v>
      </c>
    </row>
    <row r="12590" spans="1:8">
      <c r="H12590" t="s">
        <v>19713</v>
      </c>
    </row>
    <row r="12591" spans="1:8">
      <c r="H12591" t="s">
        <v>19714</v>
      </c>
    </row>
    <row r="12592" spans="1:8">
      <c r="H12592" t="s">
        <v>20109</v>
      </c>
    </row>
    <row r="12593" spans="6:8">
      <c r="H12593" t="s">
        <v>20110</v>
      </c>
    </row>
    <row r="12594" spans="6:8">
      <c r="H12594" t="s">
        <v>20111</v>
      </c>
    </row>
    <row r="12595" spans="6:8">
      <c r="H12595" t="s">
        <v>20112</v>
      </c>
    </row>
    <row r="12596" spans="6:8">
      <c r="H12596" t="s">
        <v>20113</v>
      </c>
    </row>
    <row r="12597" spans="6:8">
      <c r="F12597" t="s">
        <v>13685</v>
      </c>
      <c r="G12597" t="s">
        <v>17755</v>
      </c>
      <c r="H12597" t="s">
        <v>20091</v>
      </c>
    </row>
    <row r="12598" spans="6:8">
      <c r="H12598" t="s">
        <v>19712</v>
      </c>
    </row>
    <row r="12599" spans="6:8">
      <c r="H12599" t="s">
        <v>19709</v>
      </c>
    </row>
    <row r="12600" spans="6:8">
      <c r="H12600" t="s">
        <v>20107</v>
      </c>
    </row>
    <row r="12601" spans="6:8">
      <c r="H12601" t="s">
        <v>20108</v>
      </c>
    </row>
    <row r="12602" spans="6:8">
      <c r="H12602" t="s">
        <v>19713</v>
      </c>
    </row>
    <row r="12603" spans="6:8">
      <c r="H12603" t="s">
        <v>19714</v>
      </c>
    </row>
    <row r="12604" spans="6:8">
      <c r="H12604" t="s">
        <v>20109</v>
      </c>
    </row>
    <row r="12605" spans="6:8">
      <c r="H12605" t="s">
        <v>20110</v>
      </c>
    </row>
    <row r="12606" spans="6:8">
      <c r="H12606" t="s">
        <v>20111</v>
      </c>
    </row>
    <row r="12607" spans="6:8">
      <c r="H12607" t="s">
        <v>20112</v>
      </c>
    </row>
    <row r="12608" spans="6:8">
      <c r="H12608" t="s">
        <v>20113</v>
      </c>
    </row>
    <row r="12609" spans="6:8">
      <c r="F12609" t="s">
        <v>13686</v>
      </c>
      <c r="G12609" t="s">
        <v>17756</v>
      </c>
      <c r="H12609" t="s">
        <v>20091</v>
      </c>
    </row>
    <row r="12610" spans="6:8">
      <c r="H12610" t="s">
        <v>19712</v>
      </c>
    </row>
    <row r="12611" spans="6:8">
      <c r="H12611" t="s">
        <v>19709</v>
      </c>
    </row>
    <row r="12612" spans="6:8">
      <c r="H12612" t="s">
        <v>20107</v>
      </c>
    </row>
    <row r="12613" spans="6:8">
      <c r="H12613" t="s">
        <v>20108</v>
      </c>
    </row>
    <row r="12614" spans="6:8">
      <c r="H12614" t="s">
        <v>19713</v>
      </c>
    </row>
    <row r="12615" spans="6:8">
      <c r="H12615" t="s">
        <v>19714</v>
      </c>
    </row>
    <row r="12616" spans="6:8">
      <c r="H12616" t="s">
        <v>20109</v>
      </c>
    </row>
    <row r="12617" spans="6:8">
      <c r="H12617" t="s">
        <v>20110</v>
      </c>
    </row>
    <row r="12618" spans="6:8">
      <c r="H12618" t="s">
        <v>20111</v>
      </c>
    </row>
    <row r="12619" spans="6:8">
      <c r="H12619" t="s">
        <v>20112</v>
      </c>
    </row>
    <row r="12620" spans="6:8">
      <c r="H12620" t="s">
        <v>20113</v>
      </c>
    </row>
    <row r="12621" spans="6:8">
      <c r="F12621" t="s">
        <v>13687</v>
      </c>
      <c r="G12621" t="s">
        <v>17757</v>
      </c>
      <c r="H12621" t="s">
        <v>20091</v>
      </c>
    </row>
    <row r="12622" spans="6:8">
      <c r="H12622" t="s">
        <v>19712</v>
      </c>
    </row>
    <row r="12623" spans="6:8">
      <c r="H12623" t="s">
        <v>19709</v>
      </c>
    </row>
    <row r="12624" spans="6:8">
      <c r="H12624" t="s">
        <v>20107</v>
      </c>
    </row>
    <row r="12625" spans="6:8">
      <c r="H12625" t="s">
        <v>20108</v>
      </c>
    </row>
    <row r="12626" spans="6:8">
      <c r="H12626" t="s">
        <v>19713</v>
      </c>
    </row>
    <row r="12627" spans="6:8">
      <c r="H12627" t="s">
        <v>19714</v>
      </c>
    </row>
    <row r="12628" spans="6:8">
      <c r="H12628" t="s">
        <v>20109</v>
      </c>
    </row>
    <row r="12629" spans="6:8">
      <c r="H12629" t="s">
        <v>20110</v>
      </c>
    </row>
    <row r="12630" spans="6:8">
      <c r="H12630" t="s">
        <v>20111</v>
      </c>
    </row>
    <row r="12631" spans="6:8">
      <c r="H12631" t="s">
        <v>20112</v>
      </c>
    </row>
    <row r="12632" spans="6:8">
      <c r="H12632" t="s">
        <v>20113</v>
      </c>
    </row>
    <row r="12633" spans="6:8">
      <c r="F12633" t="s">
        <v>13688</v>
      </c>
      <c r="G12633" t="s">
        <v>17758</v>
      </c>
      <c r="H12633" t="s">
        <v>20091</v>
      </c>
    </row>
    <row r="12634" spans="6:8">
      <c r="H12634" t="s">
        <v>19712</v>
      </c>
    </row>
    <row r="12635" spans="6:8">
      <c r="H12635" t="s">
        <v>19709</v>
      </c>
    </row>
    <row r="12636" spans="6:8">
      <c r="H12636" t="s">
        <v>19706</v>
      </c>
    </row>
    <row r="12637" spans="6:8">
      <c r="H12637" t="s">
        <v>19707</v>
      </c>
    </row>
    <row r="12638" spans="6:8">
      <c r="H12638" t="s">
        <v>19711</v>
      </c>
    </row>
    <row r="12639" spans="6:8">
      <c r="H12639" t="s">
        <v>20107</v>
      </c>
    </row>
    <row r="12640" spans="6:8">
      <c r="H12640" t="s">
        <v>20108</v>
      </c>
    </row>
    <row r="12641" spans="6:8">
      <c r="H12641" t="s">
        <v>19713</v>
      </c>
    </row>
    <row r="12642" spans="6:8">
      <c r="H12642" t="s">
        <v>19714</v>
      </c>
    </row>
    <row r="12643" spans="6:8">
      <c r="H12643" t="s">
        <v>20109</v>
      </c>
    </row>
    <row r="12644" spans="6:8">
      <c r="H12644" t="s">
        <v>20110</v>
      </c>
    </row>
    <row r="12645" spans="6:8">
      <c r="F12645" t="s">
        <v>13689</v>
      </c>
      <c r="G12645" t="s">
        <v>17759</v>
      </c>
      <c r="H12645" t="s">
        <v>20091</v>
      </c>
    </row>
    <row r="12646" spans="6:8">
      <c r="H12646" t="s">
        <v>19712</v>
      </c>
    </row>
    <row r="12647" spans="6:8">
      <c r="H12647" t="s">
        <v>19709</v>
      </c>
    </row>
    <row r="12648" spans="6:8">
      <c r="H12648" t="s">
        <v>19706</v>
      </c>
    </row>
    <row r="12649" spans="6:8">
      <c r="H12649" t="s">
        <v>19707</v>
      </c>
    </row>
    <row r="12650" spans="6:8">
      <c r="H12650" t="s">
        <v>19711</v>
      </c>
    </row>
    <row r="12651" spans="6:8">
      <c r="H12651" t="s">
        <v>20107</v>
      </c>
    </row>
    <row r="12652" spans="6:8">
      <c r="H12652" t="s">
        <v>20108</v>
      </c>
    </row>
    <row r="12653" spans="6:8">
      <c r="H12653" t="s">
        <v>19713</v>
      </c>
    </row>
    <row r="12654" spans="6:8">
      <c r="H12654" t="s">
        <v>19714</v>
      </c>
    </row>
    <row r="12655" spans="6:8">
      <c r="H12655" t="s">
        <v>20109</v>
      </c>
    </row>
    <row r="12656" spans="6:8">
      <c r="H12656" t="s">
        <v>20110</v>
      </c>
    </row>
    <row r="12657" spans="6:8">
      <c r="F12657" t="s">
        <v>13690</v>
      </c>
      <c r="G12657" t="s">
        <v>17760</v>
      </c>
      <c r="H12657" t="s">
        <v>20091</v>
      </c>
    </row>
    <row r="12658" spans="6:8">
      <c r="H12658" t="s">
        <v>19712</v>
      </c>
    </row>
    <row r="12659" spans="6:8">
      <c r="H12659" t="s">
        <v>19709</v>
      </c>
    </row>
    <row r="12660" spans="6:8">
      <c r="H12660" t="s">
        <v>19706</v>
      </c>
    </row>
    <row r="12661" spans="6:8">
      <c r="H12661" t="s">
        <v>19707</v>
      </c>
    </row>
    <row r="12662" spans="6:8">
      <c r="H12662" t="s">
        <v>19711</v>
      </c>
    </row>
    <row r="12663" spans="6:8">
      <c r="H12663" t="s">
        <v>20107</v>
      </c>
    </row>
    <row r="12664" spans="6:8">
      <c r="H12664" t="s">
        <v>20108</v>
      </c>
    </row>
    <row r="12665" spans="6:8">
      <c r="H12665" t="s">
        <v>19713</v>
      </c>
    </row>
    <row r="12666" spans="6:8">
      <c r="H12666" t="s">
        <v>19714</v>
      </c>
    </row>
    <row r="12667" spans="6:8">
      <c r="H12667" t="s">
        <v>20109</v>
      </c>
    </row>
    <row r="12668" spans="6:8">
      <c r="H12668" t="s">
        <v>20110</v>
      </c>
    </row>
    <row r="12669" spans="6:8">
      <c r="F12669" t="s">
        <v>13691</v>
      </c>
      <c r="G12669" t="s">
        <v>17761</v>
      </c>
      <c r="H12669" t="s">
        <v>20091</v>
      </c>
    </row>
    <row r="12670" spans="6:8">
      <c r="H12670" t="s">
        <v>19712</v>
      </c>
    </row>
    <row r="12671" spans="6:8">
      <c r="H12671" t="s">
        <v>19709</v>
      </c>
    </row>
    <row r="12672" spans="6:8">
      <c r="H12672" t="s">
        <v>20107</v>
      </c>
    </row>
    <row r="12673" spans="6:8">
      <c r="H12673" t="s">
        <v>20108</v>
      </c>
    </row>
    <row r="12674" spans="6:8">
      <c r="H12674" t="s">
        <v>19713</v>
      </c>
    </row>
    <row r="12675" spans="6:8">
      <c r="H12675" t="s">
        <v>19714</v>
      </c>
    </row>
    <row r="12676" spans="6:8">
      <c r="H12676" t="s">
        <v>20109</v>
      </c>
    </row>
    <row r="12677" spans="6:8">
      <c r="H12677" t="s">
        <v>20110</v>
      </c>
    </row>
    <row r="12678" spans="6:8">
      <c r="H12678" t="s">
        <v>20111</v>
      </c>
    </row>
    <row r="12679" spans="6:8">
      <c r="H12679" t="s">
        <v>20112</v>
      </c>
    </row>
    <row r="12680" spans="6:8">
      <c r="F12680" t="s">
        <v>13692</v>
      </c>
      <c r="G12680" t="s">
        <v>17762</v>
      </c>
      <c r="H12680" t="s">
        <v>20091</v>
      </c>
    </row>
    <row r="12681" spans="6:8">
      <c r="H12681" t="s">
        <v>19712</v>
      </c>
    </row>
    <row r="12682" spans="6:8">
      <c r="H12682" t="s">
        <v>19709</v>
      </c>
    </row>
    <row r="12683" spans="6:8">
      <c r="H12683" t="s">
        <v>20107</v>
      </c>
    </row>
    <row r="12684" spans="6:8">
      <c r="H12684" t="s">
        <v>20108</v>
      </c>
    </row>
    <row r="12685" spans="6:8">
      <c r="H12685" t="s">
        <v>19713</v>
      </c>
    </row>
    <row r="12686" spans="6:8">
      <c r="H12686" t="s">
        <v>19714</v>
      </c>
    </row>
    <row r="12687" spans="6:8">
      <c r="H12687" t="s">
        <v>20109</v>
      </c>
    </row>
    <row r="12688" spans="6:8">
      <c r="H12688" t="s">
        <v>20110</v>
      </c>
    </row>
    <row r="12689" spans="1:8">
      <c r="H12689" t="s">
        <v>20111</v>
      </c>
    </row>
    <row r="12690" spans="1:8">
      <c r="H12690" t="s">
        <v>20112</v>
      </c>
    </row>
    <row r="12691" spans="1:8">
      <c r="A12691" t="s">
        <v>2174</v>
      </c>
      <c r="B12691">
        <f>HYPERLINK("https://android.googlesource.com/platform/cts/+/a3e3acf6c1da02dd6b11770d3a7d107b313e74e2", "a3e3acf6c1da02dd6b11770d3a7d107b313e74e2")</f>
        <v>0</v>
      </c>
      <c r="C12691">
        <f>HYPERLINK("https://android.googlesource.com/platform/cts/+/a355251d43a97f8c364bde6ff88500c2d672f0e5", "a355251d43a97f8c364bde6ff88500c2d672f0e5")</f>
        <v>0</v>
      </c>
      <c r="D12691" t="s">
        <v>5338</v>
      </c>
      <c r="E12691" t="s">
        <v>7905</v>
      </c>
      <c r="F12691" t="s">
        <v>13203</v>
      </c>
      <c r="G12691" t="s">
        <v>17345</v>
      </c>
      <c r="H12691" t="s">
        <v>30981</v>
      </c>
    </row>
    <row r="12692" spans="1:8">
      <c r="A12692" t="s">
        <v>2176</v>
      </c>
      <c r="B12692">
        <f>HYPERLINK("https://android.googlesource.com/platform/cts/+/1b77d561d522c0d872c3f1eb69e80a1d41370bd1", "1b77d561d522c0d872c3f1eb69e80a1d41370bd1")</f>
        <v>0</v>
      </c>
      <c r="C12692">
        <f>HYPERLINK("https://android.googlesource.com/platform/cts/+/ea2f11de3135e433a74ebbb0d360bc541b95faae", "ea2f11de3135e433a74ebbb0d360bc541b95faae")</f>
        <v>0</v>
      </c>
      <c r="D12692" t="s">
        <v>5117</v>
      </c>
      <c r="E12692" t="s">
        <v>7907</v>
      </c>
      <c r="F12692" t="s">
        <v>13442</v>
      </c>
      <c r="G12692" t="s">
        <v>17564</v>
      </c>
      <c r="H12692" t="s">
        <v>30984</v>
      </c>
    </row>
    <row r="12693" spans="1:8">
      <c r="A12693" t="s">
        <v>2184</v>
      </c>
      <c r="B12693">
        <f>HYPERLINK("https://android.googlesource.com/platform/cts/+/7e1f50625214ae6ec16bdd98539180b7494ee26f", "7e1f50625214ae6ec16bdd98539180b7494ee26f")</f>
        <v>0</v>
      </c>
      <c r="C12693">
        <f>HYPERLINK("https://android.googlesource.com/platform/cts/+/80ad63a28cc803de4cd3ee9596ac64a5ce8e3521", "80ad63a28cc803de4cd3ee9596ac64a5ce8e3521")</f>
        <v>0</v>
      </c>
      <c r="D12693" t="s">
        <v>5134</v>
      </c>
      <c r="E12693" t="s">
        <v>7915</v>
      </c>
      <c r="F12693" t="s">
        <v>13693</v>
      </c>
      <c r="G12693" t="s">
        <v>17763</v>
      </c>
      <c r="H12693" t="s">
        <v>31004</v>
      </c>
    </row>
    <row r="12694" spans="1:8">
      <c r="H12694" t="s">
        <v>31005</v>
      </c>
    </row>
    <row r="12695" spans="1:8">
      <c r="A12695" t="s">
        <v>2185</v>
      </c>
      <c r="B12695">
        <f>HYPERLINK("https://android.googlesource.com/platform/cts/+/4e66220ff665dfc1f84679acfbbca71db656a17c", "4e66220ff665dfc1f84679acfbbca71db656a17c")</f>
        <v>0</v>
      </c>
      <c r="C12695">
        <f>HYPERLINK("https://android.googlesource.com/platform/cts/+/5711e85d02f5e46559b20338e0c8a05c187509c2", "5711e85d02f5e46559b20338e0c8a05c187509c2")</f>
        <v>0</v>
      </c>
      <c r="D12695" t="s">
        <v>5343</v>
      </c>
      <c r="E12695" t="s">
        <v>7916</v>
      </c>
      <c r="F12695" t="s">
        <v>13697</v>
      </c>
      <c r="G12695" t="s">
        <v>17766</v>
      </c>
      <c r="H12695" t="s">
        <v>31009</v>
      </c>
    </row>
    <row r="12696" spans="1:8">
      <c r="A12696" t="s">
        <v>2187</v>
      </c>
      <c r="B12696">
        <f>HYPERLINK("https://android.googlesource.com/platform/cts/+/6f71ec65409cdea4ed36d3c2f71fd6baffa81e18", "6f71ec65409cdea4ed36d3c2f71fd6baffa81e18")</f>
        <v>0</v>
      </c>
      <c r="C12696">
        <f>HYPERLINK("https://android.googlesource.com/platform/cts/+/b815e0a71d5a411f640b614bc9a4b4d3fe26dc00", "b815e0a71d5a411f640b614bc9a4b4d3fe26dc00")</f>
        <v>0</v>
      </c>
      <c r="D12696" t="s">
        <v>5308</v>
      </c>
      <c r="E12696" t="s">
        <v>7918</v>
      </c>
      <c r="F12696" t="s">
        <v>13700</v>
      </c>
      <c r="G12696" t="s">
        <v>17768</v>
      </c>
      <c r="H12696" t="s">
        <v>31020</v>
      </c>
    </row>
    <row r="12697" spans="1:8">
      <c r="H12697" t="s">
        <v>31021</v>
      </c>
    </row>
    <row r="12698" spans="1:8">
      <c r="H12698" t="s">
        <v>31022</v>
      </c>
    </row>
    <row r="12699" spans="1:8">
      <c r="A12699" t="s">
        <v>2192</v>
      </c>
      <c r="B12699">
        <f>HYPERLINK("https://android.googlesource.com/platform/cts/+/d3bfceba7af51900359649a5a8502c54d48118fa", "d3bfceba7af51900359649a5a8502c54d48118fa")</f>
        <v>0</v>
      </c>
      <c r="C12699">
        <f>HYPERLINK("https://android.googlesource.com/platform/cts/+/397c71276f5667bdf432dc113dbc23abacca5734", "397c71276f5667bdf432dc113dbc23abacca5734")</f>
        <v>0</v>
      </c>
      <c r="D12699" t="s">
        <v>5132</v>
      </c>
      <c r="E12699" t="s">
        <v>7923</v>
      </c>
      <c r="F12699" t="s">
        <v>13089</v>
      </c>
      <c r="G12699" t="s">
        <v>17251</v>
      </c>
      <c r="H12699" t="s">
        <v>31027</v>
      </c>
    </row>
    <row r="12700" spans="1:8">
      <c r="A12700" t="s">
        <v>2194</v>
      </c>
      <c r="B12700">
        <f>HYPERLINK("https://android.googlesource.com/platform/cts/+/1a5bf7bbf82a4f8ed323ab32b2612b8333d64742", "1a5bf7bbf82a4f8ed323ab32b2612b8333d64742")</f>
        <v>0</v>
      </c>
      <c r="C12700">
        <f>HYPERLINK("https://android.googlesource.com/platform/cts/+/5ac82de7bf7042dc965d9ea4a09b7e9b43fa2387", "5ac82de7bf7042dc965d9ea4a09b7e9b43fa2387")</f>
        <v>0</v>
      </c>
      <c r="D12700" t="s">
        <v>5345</v>
      </c>
      <c r="E12700" t="s">
        <v>7925</v>
      </c>
      <c r="F12700" t="s">
        <v>12817</v>
      </c>
      <c r="G12700" t="s">
        <v>16629</v>
      </c>
      <c r="H12700" t="s">
        <v>22751</v>
      </c>
    </row>
    <row r="12701" spans="1:8">
      <c r="A12701" t="s">
        <v>2195</v>
      </c>
      <c r="B12701">
        <f>HYPERLINK("https://android.googlesource.com/platform/cts/+/b1d786b775a892c92f3003fadcc0bdba860d793a", "b1d786b775a892c92f3003fadcc0bdba860d793a")</f>
        <v>0</v>
      </c>
      <c r="C12701">
        <f>HYPERLINK("https://android.googlesource.com/platform/cts/+/007e4d2085c4066edd4fd57ffcd08d6d1b1684f6", "007e4d2085c4066edd4fd57ffcd08d6d1b1684f6")</f>
        <v>0</v>
      </c>
      <c r="D12701" t="s">
        <v>5147</v>
      </c>
      <c r="E12701" t="s">
        <v>7926</v>
      </c>
      <c r="F12701" t="s">
        <v>10700</v>
      </c>
      <c r="G12701" t="s">
        <v>15100</v>
      </c>
      <c r="H12701" t="s">
        <v>31035</v>
      </c>
    </row>
    <row r="12702" spans="1:8">
      <c r="H12702" t="s">
        <v>31036</v>
      </c>
    </row>
    <row r="12703" spans="1:8">
      <c r="H12703" t="s">
        <v>31038</v>
      </c>
    </row>
    <row r="12704" spans="1:8">
      <c r="A12704" t="s">
        <v>2196</v>
      </c>
      <c r="B12704">
        <f>HYPERLINK("https://android.googlesource.com/platform/cts/+/45349ecfef242b3b61205df954c49792fce74710", "45349ecfef242b3b61205df954c49792fce74710")</f>
        <v>0</v>
      </c>
      <c r="C12704">
        <f>HYPERLINK("https://android.googlesource.com/platform/cts/+/4dce4146751513f24b4cb93668be05217075a1a0", "4dce4146751513f24b4cb93668be05217075a1a0")</f>
        <v>0</v>
      </c>
      <c r="D12704" t="s">
        <v>5346</v>
      </c>
      <c r="E12704" t="s">
        <v>7927</v>
      </c>
      <c r="F12704" t="s">
        <v>13707</v>
      </c>
      <c r="G12704" t="s">
        <v>17775</v>
      </c>
      <c r="H12704" t="s">
        <v>31045</v>
      </c>
    </row>
    <row r="12705" spans="1:8">
      <c r="A12705" t="s">
        <v>2197</v>
      </c>
      <c r="B12705">
        <f>HYPERLINK("https://android.googlesource.com/platform/cts/+/51610aef93901fce897e0ca502195848c981740d", "51610aef93901fce897e0ca502195848c981740d")</f>
        <v>0</v>
      </c>
      <c r="C12705">
        <f>HYPERLINK("https://android.googlesource.com/platform/cts/+/123e1413fed13c69421dae351fdd115dcd61b2bb", "123e1413fed13c69421dae351fdd115dcd61b2bb")</f>
        <v>0</v>
      </c>
      <c r="D12705" t="s">
        <v>5346</v>
      </c>
      <c r="E12705" t="s">
        <v>7928</v>
      </c>
      <c r="F12705" t="s">
        <v>13707</v>
      </c>
      <c r="G12705" t="s">
        <v>17775</v>
      </c>
      <c r="H12705" t="s">
        <v>31045</v>
      </c>
    </row>
    <row r="12706" spans="1:8">
      <c r="A12706" t="s">
        <v>2198</v>
      </c>
      <c r="B12706">
        <f>HYPERLINK("https://android.googlesource.com/platform/cts/+/83a470242cdd0fe89b3d6bc92edf7f02ff784689", "83a470242cdd0fe89b3d6bc92edf7f02ff784689")</f>
        <v>0</v>
      </c>
      <c r="C12706">
        <f>HYPERLINK("https://android.googlesource.com/platform/cts/+/01b53c305fcd43352d1c592a75cda7ee5df78648", "01b53c305fcd43352d1c592a75cda7ee5df78648")</f>
        <v>0</v>
      </c>
      <c r="D12706" t="s">
        <v>5346</v>
      </c>
      <c r="E12706" t="s">
        <v>7929</v>
      </c>
      <c r="F12706" t="s">
        <v>13707</v>
      </c>
      <c r="G12706" t="s">
        <v>17775</v>
      </c>
      <c r="H12706" t="s">
        <v>31045</v>
      </c>
    </row>
    <row r="12707" spans="1:8">
      <c r="A12707" t="s">
        <v>2200</v>
      </c>
      <c r="B12707">
        <f>HYPERLINK("https://android.googlesource.com/platform/cts/+/6636907b037a817011c74fcf36636335760c939f", "6636907b037a817011c74fcf36636335760c939f")</f>
        <v>0</v>
      </c>
      <c r="C12707">
        <f>HYPERLINK("https://android.googlesource.com/platform/cts/+/e69d57706c20b217820bcb45fc860986468721cd", "e69d57706c20b217820bcb45fc860986468721cd")</f>
        <v>0</v>
      </c>
      <c r="D12707" t="s">
        <v>5085</v>
      </c>
      <c r="E12707" t="s">
        <v>7931</v>
      </c>
      <c r="F12707" t="s">
        <v>13708</v>
      </c>
      <c r="G12707" t="s">
        <v>17776</v>
      </c>
      <c r="H12707" t="s">
        <v>31046</v>
      </c>
    </row>
    <row r="12708" spans="1:8">
      <c r="A12708" t="s">
        <v>2201</v>
      </c>
      <c r="B12708">
        <f>HYPERLINK("https://android.googlesource.com/platform/cts/+/9286697901c3a39a449cd9b2f7d6478bc94ba5be", "9286697901c3a39a449cd9b2f7d6478bc94ba5be")</f>
        <v>0</v>
      </c>
      <c r="C12708">
        <f>HYPERLINK("https://android.googlesource.com/platform/cts/+/032e6c45051a10e2fcf583e4592c3fdce970f048", "032e6c45051a10e2fcf583e4592c3fdce970f048")</f>
        <v>0</v>
      </c>
      <c r="D12708" t="s">
        <v>5347</v>
      </c>
      <c r="E12708" t="s">
        <v>7932</v>
      </c>
      <c r="F12708" t="s">
        <v>10627</v>
      </c>
      <c r="G12708" t="s">
        <v>15030</v>
      </c>
      <c r="H12708" t="s">
        <v>31049</v>
      </c>
    </row>
    <row r="12709" spans="1:8">
      <c r="H12709" t="s">
        <v>31051</v>
      </c>
    </row>
    <row r="12710" spans="1:8">
      <c r="H12710" t="s">
        <v>31054</v>
      </c>
    </row>
    <row r="12711" spans="1:8">
      <c r="H12711" t="s">
        <v>28813</v>
      </c>
    </row>
    <row r="12712" spans="1:8">
      <c r="H12712" t="s">
        <v>28814</v>
      </c>
    </row>
    <row r="12713" spans="1:8">
      <c r="H12713" t="s">
        <v>31055</v>
      </c>
    </row>
    <row r="12714" spans="1:8">
      <c r="H12714" t="s">
        <v>31056</v>
      </c>
    </row>
    <row r="12715" spans="1:8">
      <c r="H12715" t="s">
        <v>31057</v>
      </c>
    </row>
    <row r="12716" spans="1:8">
      <c r="H12716" t="s">
        <v>31058</v>
      </c>
    </row>
    <row r="12717" spans="1:8">
      <c r="H12717" t="s">
        <v>31059</v>
      </c>
    </row>
    <row r="12718" spans="1:8">
      <c r="H12718" t="s">
        <v>31060</v>
      </c>
    </row>
    <row r="12719" spans="1:8">
      <c r="H12719" t="s">
        <v>31061</v>
      </c>
    </row>
    <row r="12720" spans="1:8">
      <c r="H12720" t="s">
        <v>31062</v>
      </c>
    </row>
    <row r="12721" spans="8:8">
      <c r="H12721" t="s">
        <v>31063</v>
      </c>
    </row>
    <row r="12722" spans="8:8">
      <c r="H12722" t="s">
        <v>31064</v>
      </c>
    </row>
    <row r="12723" spans="8:8">
      <c r="H12723" t="s">
        <v>31065</v>
      </c>
    </row>
    <row r="12724" spans="8:8">
      <c r="H12724" t="s">
        <v>31066</v>
      </c>
    </row>
    <row r="12725" spans="8:8">
      <c r="H12725" t="s">
        <v>31067</v>
      </c>
    </row>
    <row r="12726" spans="8:8">
      <c r="H12726" t="s">
        <v>31068</v>
      </c>
    </row>
    <row r="12727" spans="8:8">
      <c r="H12727" t="s">
        <v>31069</v>
      </c>
    </row>
    <row r="12728" spans="8:8">
      <c r="H12728" t="s">
        <v>31070</v>
      </c>
    </row>
    <row r="12729" spans="8:8">
      <c r="H12729" t="s">
        <v>31071</v>
      </c>
    </row>
    <row r="12730" spans="8:8">
      <c r="H12730" t="s">
        <v>31072</v>
      </c>
    </row>
    <row r="12731" spans="8:8">
      <c r="H12731" t="s">
        <v>31073</v>
      </c>
    </row>
    <row r="12732" spans="8:8">
      <c r="H12732" t="s">
        <v>31074</v>
      </c>
    </row>
    <row r="12733" spans="8:8">
      <c r="H12733" t="s">
        <v>31075</v>
      </c>
    </row>
    <row r="12734" spans="8:8">
      <c r="H12734" t="s">
        <v>31076</v>
      </c>
    </row>
    <row r="12735" spans="8:8">
      <c r="H12735" t="s">
        <v>31077</v>
      </c>
    </row>
    <row r="12736" spans="8:8">
      <c r="H12736" t="s">
        <v>31078</v>
      </c>
    </row>
    <row r="12737" spans="8:8">
      <c r="H12737" t="s">
        <v>31079</v>
      </c>
    </row>
    <row r="12738" spans="8:8">
      <c r="H12738" t="s">
        <v>31080</v>
      </c>
    </row>
    <row r="12739" spans="8:8">
      <c r="H12739" t="s">
        <v>31081</v>
      </c>
    </row>
    <row r="12740" spans="8:8">
      <c r="H12740" t="s">
        <v>31082</v>
      </c>
    </row>
    <row r="12741" spans="8:8">
      <c r="H12741" t="s">
        <v>31083</v>
      </c>
    </row>
    <row r="12742" spans="8:8">
      <c r="H12742" t="s">
        <v>31084</v>
      </c>
    </row>
    <row r="12743" spans="8:8">
      <c r="H12743" t="s">
        <v>31085</v>
      </c>
    </row>
    <row r="12744" spans="8:8">
      <c r="H12744" t="s">
        <v>31086</v>
      </c>
    </row>
    <row r="12745" spans="8:8">
      <c r="H12745" t="s">
        <v>31087</v>
      </c>
    </row>
    <row r="12746" spans="8:8">
      <c r="H12746" t="s">
        <v>31088</v>
      </c>
    </row>
    <row r="12747" spans="8:8">
      <c r="H12747" t="s">
        <v>31089</v>
      </c>
    </row>
    <row r="12748" spans="8:8">
      <c r="H12748" t="s">
        <v>31090</v>
      </c>
    </row>
    <row r="12749" spans="8:8">
      <c r="H12749" t="s">
        <v>31091</v>
      </c>
    </row>
    <row r="12750" spans="8:8">
      <c r="H12750" t="s">
        <v>31092</v>
      </c>
    </row>
    <row r="12751" spans="8:8">
      <c r="H12751" t="s">
        <v>31093</v>
      </c>
    </row>
    <row r="12752" spans="8:8">
      <c r="H12752" t="s">
        <v>31094</v>
      </c>
    </row>
    <row r="12753" spans="8:8">
      <c r="H12753" t="s">
        <v>31095</v>
      </c>
    </row>
    <row r="12754" spans="8:8">
      <c r="H12754" t="s">
        <v>31096</v>
      </c>
    </row>
    <row r="12755" spans="8:8">
      <c r="H12755" t="s">
        <v>31098</v>
      </c>
    </row>
    <row r="12756" spans="8:8">
      <c r="H12756" t="s">
        <v>31099</v>
      </c>
    </row>
    <row r="12757" spans="8:8">
      <c r="H12757" t="s">
        <v>31100</v>
      </c>
    </row>
    <row r="12758" spans="8:8">
      <c r="H12758" t="s">
        <v>31101</v>
      </c>
    </row>
    <row r="12759" spans="8:8">
      <c r="H12759" t="s">
        <v>31102</v>
      </c>
    </row>
    <row r="12760" spans="8:8">
      <c r="H12760" t="s">
        <v>31103</v>
      </c>
    </row>
    <row r="12761" spans="8:8">
      <c r="H12761" t="s">
        <v>31104</v>
      </c>
    </row>
    <row r="12762" spans="8:8">
      <c r="H12762" t="s">
        <v>31105</v>
      </c>
    </row>
    <row r="12763" spans="8:8">
      <c r="H12763" t="s">
        <v>31106</v>
      </c>
    </row>
    <row r="12764" spans="8:8">
      <c r="H12764" t="s">
        <v>31107</v>
      </c>
    </row>
    <row r="12765" spans="8:8">
      <c r="H12765" t="s">
        <v>31108</v>
      </c>
    </row>
    <row r="12766" spans="8:8">
      <c r="H12766" t="s">
        <v>31109</v>
      </c>
    </row>
    <row r="12767" spans="8:8">
      <c r="H12767" t="s">
        <v>31110</v>
      </c>
    </row>
    <row r="12768" spans="8:8">
      <c r="H12768" t="s">
        <v>31111</v>
      </c>
    </row>
    <row r="12769" spans="8:8">
      <c r="H12769" t="s">
        <v>31112</v>
      </c>
    </row>
    <row r="12770" spans="8:8">
      <c r="H12770" t="s">
        <v>31114</v>
      </c>
    </row>
    <row r="12771" spans="8:8">
      <c r="H12771" t="s">
        <v>31115</v>
      </c>
    </row>
    <row r="12772" spans="8:8">
      <c r="H12772" t="s">
        <v>31116</v>
      </c>
    </row>
    <row r="12773" spans="8:8">
      <c r="H12773" t="s">
        <v>31117</v>
      </c>
    </row>
    <row r="12774" spans="8:8">
      <c r="H12774" t="s">
        <v>31118</v>
      </c>
    </row>
    <row r="12775" spans="8:8">
      <c r="H12775" t="s">
        <v>31119</v>
      </c>
    </row>
    <row r="12776" spans="8:8">
      <c r="H12776" t="s">
        <v>31120</v>
      </c>
    </row>
    <row r="12777" spans="8:8">
      <c r="H12777" t="s">
        <v>31121</v>
      </c>
    </row>
    <row r="12778" spans="8:8">
      <c r="H12778" t="s">
        <v>31122</v>
      </c>
    </row>
    <row r="12779" spans="8:8">
      <c r="H12779" t="s">
        <v>31123</v>
      </c>
    </row>
    <row r="12780" spans="8:8">
      <c r="H12780" t="s">
        <v>31124</v>
      </c>
    </row>
    <row r="12781" spans="8:8">
      <c r="H12781" t="s">
        <v>31125</v>
      </c>
    </row>
    <row r="12782" spans="8:8">
      <c r="H12782" t="s">
        <v>31126</v>
      </c>
    </row>
    <row r="12783" spans="8:8">
      <c r="H12783" t="s">
        <v>31127</v>
      </c>
    </row>
    <row r="12784" spans="8:8">
      <c r="H12784" t="s">
        <v>31128</v>
      </c>
    </row>
    <row r="12785" spans="8:8">
      <c r="H12785" t="s">
        <v>31129</v>
      </c>
    </row>
    <row r="12786" spans="8:8">
      <c r="H12786" t="s">
        <v>31130</v>
      </c>
    </row>
    <row r="12787" spans="8:8">
      <c r="H12787" t="s">
        <v>31131</v>
      </c>
    </row>
    <row r="12788" spans="8:8">
      <c r="H12788" t="s">
        <v>31132</v>
      </c>
    </row>
    <row r="12789" spans="8:8">
      <c r="H12789" t="s">
        <v>31133</v>
      </c>
    </row>
    <row r="12790" spans="8:8">
      <c r="H12790" t="s">
        <v>31134</v>
      </c>
    </row>
    <row r="12791" spans="8:8">
      <c r="H12791" t="s">
        <v>31135</v>
      </c>
    </row>
    <row r="12792" spans="8:8">
      <c r="H12792" t="s">
        <v>31136</v>
      </c>
    </row>
    <row r="12793" spans="8:8">
      <c r="H12793" t="s">
        <v>31137</v>
      </c>
    </row>
    <row r="12794" spans="8:8">
      <c r="H12794" t="s">
        <v>31138</v>
      </c>
    </row>
    <row r="12795" spans="8:8">
      <c r="H12795" t="s">
        <v>31139</v>
      </c>
    </row>
    <row r="12796" spans="8:8">
      <c r="H12796" t="s">
        <v>31140</v>
      </c>
    </row>
    <row r="12797" spans="8:8">
      <c r="H12797" t="s">
        <v>31141</v>
      </c>
    </row>
    <row r="12798" spans="8:8">
      <c r="H12798" t="s">
        <v>31142</v>
      </c>
    </row>
    <row r="12799" spans="8:8">
      <c r="H12799" t="s">
        <v>31143</v>
      </c>
    </row>
    <row r="12800" spans="8:8">
      <c r="H12800" t="s">
        <v>31144</v>
      </c>
    </row>
    <row r="12801" spans="8:8">
      <c r="H12801" t="s">
        <v>31145</v>
      </c>
    </row>
    <row r="12802" spans="8:8">
      <c r="H12802" t="s">
        <v>31146</v>
      </c>
    </row>
    <row r="12803" spans="8:8">
      <c r="H12803" t="s">
        <v>31147</v>
      </c>
    </row>
    <row r="12804" spans="8:8">
      <c r="H12804" t="s">
        <v>31148</v>
      </c>
    </row>
    <row r="12805" spans="8:8">
      <c r="H12805" t="s">
        <v>31149</v>
      </c>
    </row>
    <row r="12806" spans="8:8">
      <c r="H12806" t="s">
        <v>31150</v>
      </c>
    </row>
    <row r="12807" spans="8:8">
      <c r="H12807" t="s">
        <v>31151</v>
      </c>
    </row>
    <row r="12808" spans="8:8">
      <c r="H12808" t="s">
        <v>31152</v>
      </c>
    </row>
    <row r="12809" spans="8:8">
      <c r="H12809" t="s">
        <v>31153</v>
      </c>
    </row>
    <row r="12810" spans="8:8">
      <c r="H12810" t="s">
        <v>31154</v>
      </c>
    </row>
    <row r="12811" spans="8:8">
      <c r="H12811" t="s">
        <v>31155</v>
      </c>
    </row>
    <row r="12812" spans="8:8">
      <c r="H12812" t="s">
        <v>31156</v>
      </c>
    </row>
    <row r="12813" spans="8:8">
      <c r="H12813" t="s">
        <v>31157</v>
      </c>
    </row>
    <row r="12814" spans="8:8">
      <c r="H12814" t="s">
        <v>31158</v>
      </c>
    </row>
    <row r="12815" spans="8:8">
      <c r="H12815" t="s">
        <v>31159</v>
      </c>
    </row>
    <row r="12816" spans="8:8">
      <c r="H12816" t="s">
        <v>31160</v>
      </c>
    </row>
    <row r="12817" spans="8:8">
      <c r="H12817" t="s">
        <v>31161</v>
      </c>
    </row>
    <row r="12818" spans="8:8">
      <c r="H12818" t="s">
        <v>31162</v>
      </c>
    </row>
    <row r="12819" spans="8:8">
      <c r="H12819" t="s">
        <v>31163</v>
      </c>
    </row>
    <row r="12820" spans="8:8">
      <c r="H12820" t="s">
        <v>31164</v>
      </c>
    </row>
    <row r="12821" spans="8:8">
      <c r="H12821" t="s">
        <v>31165</v>
      </c>
    </row>
    <row r="12822" spans="8:8">
      <c r="H12822" t="s">
        <v>31166</v>
      </c>
    </row>
    <row r="12823" spans="8:8">
      <c r="H12823" t="s">
        <v>31167</v>
      </c>
    </row>
    <row r="12824" spans="8:8">
      <c r="H12824" t="s">
        <v>31168</v>
      </c>
    </row>
    <row r="12825" spans="8:8">
      <c r="H12825" t="s">
        <v>31169</v>
      </c>
    </row>
    <row r="12826" spans="8:8">
      <c r="H12826" t="s">
        <v>31170</v>
      </c>
    </row>
    <row r="12827" spans="8:8">
      <c r="H12827" t="s">
        <v>31171</v>
      </c>
    </row>
    <row r="12828" spans="8:8">
      <c r="H12828" t="s">
        <v>31172</v>
      </c>
    </row>
    <row r="12829" spans="8:8">
      <c r="H12829" t="s">
        <v>31173</v>
      </c>
    </row>
    <row r="12830" spans="8:8">
      <c r="H12830" t="s">
        <v>31174</v>
      </c>
    </row>
    <row r="12831" spans="8:8">
      <c r="H12831" t="s">
        <v>31175</v>
      </c>
    </row>
    <row r="12832" spans="8:8">
      <c r="H12832" t="s">
        <v>31176</v>
      </c>
    </row>
    <row r="12833" spans="8:8">
      <c r="H12833" t="s">
        <v>31177</v>
      </c>
    </row>
    <row r="12834" spans="8:8">
      <c r="H12834" t="s">
        <v>31178</v>
      </c>
    </row>
    <row r="12835" spans="8:8">
      <c r="H12835" t="s">
        <v>31179</v>
      </c>
    </row>
    <row r="12836" spans="8:8">
      <c r="H12836" t="s">
        <v>31180</v>
      </c>
    </row>
    <row r="12837" spans="8:8">
      <c r="H12837" t="s">
        <v>31181</v>
      </c>
    </row>
    <row r="12838" spans="8:8">
      <c r="H12838" t="s">
        <v>31182</v>
      </c>
    </row>
    <row r="12839" spans="8:8">
      <c r="H12839" t="s">
        <v>31183</v>
      </c>
    </row>
    <row r="12840" spans="8:8">
      <c r="H12840" t="s">
        <v>31184</v>
      </c>
    </row>
    <row r="12841" spans="8:8">
      <c r="H12841" t="s">
        <v>31185</v>
      </c>
    </row>
    <row r="12842" spans="8:8">
      <c r="H12842" t="s">
        <v>31186</v>
      </c>
    </row>
    <row r="12843" spans="8:8">
      <c r="H12843" t="s">
        <v>31187</v>
      </c>
    </row>
    <row r="12844" spans="8:8">
      <c r="H12844" t="s">
        <v>31188</v>
      </c>
    </row>
    <row r="12845" spans="8:8">
      <c r="H12845" t="s">
        <v>31189</v>
      </c>
    </row>
    <row r="12846" spans="8:8">
      <c r="H12846" t="s">
        <v>31190</v>
      </c>
    </row>
    <row r="12847" spans="8:8">
      <c r="H12847" t="s">
        <v>31191</v>
      </c>
    </row>
    <row r="12848" spans="8:8">
      <c r="H12848" t="s">
        <v>31192</v>
      </c>
    </row>
    <row r="12849" spans="1:8">
      <c r="H12849" t="s">
        <v>31193</v>
      </c>
    </row>
    <row r="12850" spans="1:8">
      <c r="H12850" t="s">
        <v>31194</v>
      </c>
    </row>
    <row r="12851" spans="1:8">
      <c r="H12851" t="s">
        <v>31195</v>
      </c>
    </row>
    <row r="12852" spans="1:8">
      <c r="H12852" t="s">
        <v>31196</v>
      </c>
    </row>
    <row r="12853" spans="1:8">
      <c r="H12853" t="s">
        <v>31197</v>
      </c>
    </row>
    <row r="12854" spans="1:8">
      <c r="H12854" t="s">
        <v>31198</v>
      </c>
    </row>
    <row r="12855" spans="1:8">
      <c r="H12855" t="s">
        <v>31199</v>
      </c>
    </row>
    <row r="12856" spans="1:8">
      <c r="H12856" t="s">
        <v>31201</v>
      </c>
    </row>
    <row r="12857" spans="1:8">
      <c r="H12857" t="s">
        <v>29130</v>
      </c>
    </row>
    <row r="12858" spans="1:8">
      <c r="A12858" t="s">
        <v>2204</v>
      </c>
      <c r="B12858">
        <f>HYPERLINK("https://android.googlesource.com/platform/cts/+/72f161c5b17442e227e4d2aec895aca863681fb5", "72f161c5b17442e227e4d2aec895aca863681fb5")</f>
        <v>0</v>
      </c>
      <c r="C12858">
        <f>HYPERLINK("https://android.googlesource.com/platform/cts/+/f9d5044212ec4529ee691544dd627943712aa83d", "f9d5044212ec4529ee691544dd627943712aa83d")</f>
        <v>0</v>
      </c>
      <c r="D12858" t="s">
        <v>5348</v>
      </c>
      <c r="E12858" t="s">
        <v>7935</v>
      </c>
      <c r="F12858" t="s">
        <v>12710</v>
      </c>
      <c r="G12858" t="s">
        <v>16911</v>
      </c>
      <c r="H12858" t="s">
        <v>31204</v>
      </c>
    </row>
    <row r="12859" spans="1:8">
      <c r="A12859" t="s">
        <v>2205</v>
      </c>
      <c r="B12859">
        <f>HYPERLINK("https://android.googlesource.com/platform/cts/+/5101344599c7407945461434853f491cae929480", "5101344599c7407945461434853f491cae929480")</f>
        <v>0</v>
      </c>
      <c r="C12859">
        <f>HYPERLINK("https://android.googlesource.com/platform/cts/+/15894f5be206541a5ad380aef49d6a4ce0c3232f", "15894f5be206541a5ad380aef49d6a4ce0c3232f")</f>
        <v>0</v>
      </c>
      <c r="D12859" t="s">
        <v>5349</v>
      </c>
      <c r="E12859" t="s">
        <v>7936</v>
      </c>
      <c r="F12859" t="s">
        <v>12710</v>
      </c>
      <c r="G12859" t="s">
        <v>16911</v>
      </c>
      <c r="H12859" t="s">
        <v>31205</v>
      </c>
    </row>
    <row r="12860" spans="1:8">
      <c r="A12860" t="s">
        <v>2206</v>
      </c>
      <c r="B12860">
        <f>HYPERLINK("https://android.googlesource.com/platform/cts/+/190c5a3c785aedd1fc5607ff322c06f298b9866a", "190c5a3c785aedd1fc5607ff322c06f298b9866a")</f>
        <v>0</v>
      </c>
      <c r="C12860">
        <f>HYPERLINK("https://android.googlesource.com/platform/cts/+/fc5c43cc0fabeadc300c377a487645a694b3e270", "fc5c43cc0fabeadc300c377a487645a694b3e270")</f>
        <v>0</v>
      </c>
      <c r="D12860" t="s">
        <v>5350</v>
      </c>
      <c r="E12860" t="s">
        <v>7937</v>
      </c>
      <c r="F12860" t="s">
        <v>13711</v>
      </c>
      <c r="G12860" t="s">
        <v>17779</v>
      </c>
      <c r="H12860" t="s">
        <v>31206</v>
      </c>
    </row>
    <row r="12861" spans="1:8">
      <c r="H12861" t="s">
        <v>31207</v>
      </c>
    </row>
    <row r="12862" spans="1:8">
      <c r="H12862" t="s">
        <v>31208</v>
      </c>
    </row>
    <row r="12863" spans="1:8">
      <c r="H12863" t="s">
        <v>31209</v>
      </c>
    </row>
    <row r="12864" spans="1:8">
      <c r="H12864" t="s">
        <v>31210</v>
      </c>
    </row>
    <row r="12865" spans="1:8">
      <c r="H12865" t="s">
        <v>31211</v>
      </c>
    </row>
    <row r="12866" spans="1:8">
      <c r="H12866" t="s">
        <v>31212</v>
      </c>
    </row>
    <row r="12867" spans="1:8">
      <c r="H12867" t="s">
        <v>31213</v>
      </c>
    </row>
    <row r="12868" spans="1:8">
      <c r="H12868" t="s">
        <v>31214</v>
      </c>
    </row>
    <row r="12869" spans="1:8">
      <c r="A12869" t="s">
        <v>2208</v>
      </c>
      <c r="B12869">
        <f>HYPERLINK("https://android.googlesource.com/platform/cts/+/4879e642c08d8b8207cb04c1a15aa34d62c2bfeb", "4879e642c08d8b8207cb04c1a15aa34d62c2bfeb")</f>
        <v>0</v>
      </c>
      <c r="C12869">
        <f>HYPERLINK("https://android.googlesource.com/platform/cts/+/c0e865ff53bc603ae329ee00980f2f7c38ec54dc", "c0e865ff53bc603ae329ee00980f2f7c38ec54dc")</f>
        <v>0</v>
      </c>
      <c r="D12869" t="s">
        <v>5230</v>
      </c>
      <c r="E12869" t="s">
        <v>7939</v>
      </c>
      <c r="F12869" t="s">
        <v>12224</v>
      </c>
      <c r="G12869" t="s">
        <v>16454</v>
      </c>
      <c r="H12869" t="s">
        <v>31215</v>
      </c>
    </row>
    <row r="12870" spans="1:8">
      <c r="A12870" t="s">
        <v>2213</v>
      </c>
      <c r="B12870">
        <f>HYPERLINK("https://android.googlesource.com/platform/cts/+/cd1ad722080039a38249175cb2e707a4cd18da73", "cd1ad722080039a38249175cb2e707a4cd18da73")</f>
        <v>0</v>
      </c>
      <c r="C12870">
        <f>HYPERLINK("https://android.googlesource.com/platform/cts/+/2c35e49fc446b0ab4dfee5fdcfe4a05631df552e", "2c35e49fc446b0ab4dfee5fdcfe4a05631df552e")</f>
        <v>0</v>
      </c>
      <c r="D12870" t="s">
        <v>5352</v>
      </c>
      <c r="E12870" t="s">
        <v>7944</v>
      </c>
      <c r="F12870" t="s">
        <v>13715</v>
      </c>
      <c r="G12870" t="s">
        <v>17782</v>
      </c>
      <c r="H12870" t="s">
        <v>31219</v>
      </c>
    </row>
    <row r="12871" spans="1:8">
      <c r="H12871" t="s">
        <v>31220</v>
      </c>
    </row>
    <row r="12872" spans="1:8">
      <c r="H12872" t="s">
        <v>31221</v>
      </c>
    </row>
    <row r="12873" spans="1:8">
      <c r="H12873" t="s">
        <v>31222</v>
      </c>
    </row>
    <row r="12874" spans="1:8">
      <c r="A12874" t="s">
        <v>2214</v>
      </c>
      <c r="B12874">
        <f>HYPERLINK("https://android.googlesource.com/platform/cts/+/5a564328c3c4a1e71e87ec2fbc3e0cc07714c846", "5a564328c3c4a1e71e87ec2fbc3e0cc07714c846")</f>
        <v>0</v>
      </c>
      <c r="C12874">
        <f>HYPERLINK("https://android.googlesource.com/platform/cts/+/0b6c2a5ad8fe399c592306b8de02eda59986e313", "0b6c2a5ad8fe399c592306b8de02eda59986e313")</f>
        <v>0</v>
      </c>
      <c r="D12874" t="s">
        <v>5349</v>
      </c>
      <c r="E12874" t="s">
        <v>7945</v>
      </c>
      <c r="F12874" t="s">
        <v>12710</v>
      </c>
      <c r="G12874" t="s">
        <v>16911</v>
      </c>
      <c r="H12874" t="s">
        <v>31204</v>
      </c>
    </row>
    <row r="12875" spans="1:8">
      <c r="A12875" t="s">
        <v>2217</v>
      </c>
      <c r="B12875">
        <f>HYPERLINK("https://android.googlesource.com/platform/cts/+/ceb1866c29226f9703cbf63a5e155b00fd0c060c", "ceb1866c29226f9703cbf63a5e155b00fd0c060c")</f>
        <v>0</v>
      </c>
      <c r="C12875">
        <f>HYPERLINK("https://android.googlesource.com/platform/cts/+/068b2ab654ae1eaf8f4ca8fd783fe05d94f214d6", "068b2ab654ae1eaf8f4ca8fd783fe05d94f214d6")</f>
        <v>0</v>
      </c>
      <c r="D12875" t="s">
        <v>5128</v>
      </c>
      <c r="E12875" t="s">
        <v>7948</v>
      </c>
      <c r="F12875" t="s">
        <v>13717</v>
      </c>
      <c r="G12875" t="s">
        <v>17784</v>
      </c>
      <c r="H12875" t="s">
        <v>31229</v>
      </c>
    </row>
    <row r="12876" spans="1:8">
      <c r="A12876" t="s">
        <v>2218</v>
      </c>
      <c r="B12876">
        <f>HYPERLINK("https://android.googlesource.com/platform/cts/+/913b9144fe9d1594f9944a38f1a67bd5791cf169", "913b9144fe9d1594f9944a38f1a67bd5791cf169")</f>
        <v>0</v>
      </c>
      <c r="C12876">
        <f>HYPERLINK("https://android.googlesource.com/platform/cts/+/6e83813ff33d9236771386be698300cb4e65b309", "6e83813ff33d9236771386be698300cb4e65b309")</f>
        <v>0</v>
      </c>
      <c r="D12876" t="s">
        <v>5334</v>
      </c>
      <c r="E12876" t="s">
        <v>7949</v>
      </c>
      <c r="F12876" t="s">
        <v>13718</v>
      </c>
      <c r="G12876" t="s">
        <v>17785</v>
      </c>
      <c r="H12876" t="s">
        <v>31230</v>
      </c>
    </row>
    <row r="12877" spans="1:8">
      <c r="F12877" t="s">
        <v>13719</v>
      </c>
      <c r="G12877" t="s">
        <v>17785</v>
      </c>
      <c r="H12877" t="s">
        <v>31230</v>
      </c>
    </row>
    <row r="12878" spans="1:8">
      <c r="A12878" t="s">
        <v>2226</v>
      </c>
      <c r="B12878">
        <f>HYPERLINK("https://android.googlesource.com/platform/cts/+/611b91affbb7b90f18ec34c347a995718690c281", "611b91affbb7b90f18ec34c347a995718690c281")</f>
        <v>0</v>
      </c>
      <c r="C12878">
        <f>HYPERLINK("https://android.googlesource.com/platform/cts/+/19a9801d51b081e7a335b323b156554e58d195d7", "19a9801d51b081e7a335b323b156554e58d195d7")</f>
        <v>0</v>
      </c>
      <c r="D12878" t="s">
        <v>5250</v>
      </c>
      <c r="E12878" t="s">
        <v>7957</v>
      </c>
      <c r="F12878" t="s">
        <v>13727</v>
      </c>
      <c r="G12878" t="s">
        <v>17789</v>
      </c>
      <c r="H12878" t="s">
        <v>31249</v>
      </c>
    </row>
    <row r="12879" spans="1:8">
      <c r="A12879" t="s">
        <v>2229</v>
      </c>
      <c r="B12879">
        <f>HYPERLINK("https://android.googlesource.com/platform/cts/+/fe80fa41fe7d2f567614a70c4a8c064a852051d9", "fe80fa41fe7d2f567614a70c4a8c064a852051d9")</f>
        <v>0</v>
      </c>
      <c r="C12879">
        <f>HYPERLINK("https://android.googlesource.com/platform/cts/+/8551ca012dea78ffa3e4fad645b9c35622b49997", "8551ca012dea78ffa3e4fad645b9c35622b49997")</f>
        <v>0</v>
      </c>
      <c r="D12879" t="s">
        <v>5349</v>
      </c>
      <c r="E12879" t="s">
        <v>7960</v>
      </c>
      <c r="F12879" t="s">
        <v>12710</v>
      </c>
      <c r="G12879" t="s">
        <v>16911</v>
      </c>
      <c r="H12879" t="s">
        <v>31252</v>
      </c>
    </row>
    <row r="12880" spans="1:8">
      <c r="A12880" t="s">
        <v>2230</v>
      </c>
      <c r="B12880">
        <f>HYPERLINK("https://android.googlesource.com/platform/cts/+/1012df8405b6e0e03da3a73d82b2a2a8a098d3ef", "1012df8405b6e0e03da3a73d82b2a2a8a098d3ef")</f>
        <v>0</v>
      </c>
      <c r="C12880">
        <f>HYPERLINK("https://android.googlesource.com/platform/cts/+/fe80fa41fe7d2f567614a70c4a8c064a852051d9", "fe80fa41fe7d2f567614a70c4a8c064a852051d9")</f>
        <v>0</v>
      </c>
      <c r="D12880" t="s">
        <v>5349</v>
      </c>
      <c r="E12880" t="s">
        <v>7961</v>
      </c>
      <c r="F12880" t="s">
        <v>12710</v>
      </c>
      <c r="G12880" t="s">
        <v>16911</v>
      </c>
      <c r="H12880" t="s">
        <v>31205</v>
      </c>
    </row>
    <row r="12881" spans="1:8">
      <c r="A12881" t="s">
        <v>2231</v>
      </c>
      <c r="B12881">
        <f>HYPERLINK("https://android.googlesource.com/platform/cts/+/f4af5fa24fd367be9b692e4003b074dd28cf31af", "f4af5fa24fd367be9b692e4003b074dd28cf31af")</f>
        <v>0</v>
      </c>
      <c r="C12881">
        <f>HYPERLINK("https://android.googlesource.com/platform/cts/+/1012df8405b6e0e03da3a73d82b2a2a8a098d3ef", "1012df8405b6e0e03da3a73d82b2a2a8a098d3ef")</f>
        <v>0</v>
      </c>
      <c r="D12881" t="s">
        <v>5349</v>
      </c>
      <c r="E12881" t="s">
        <v>7962</v>
      </c>
      <c r="F12881" t="s">
        <v>12710</v>
      </c>
      <c r="G12881" t="s">
        <v>16911</v>
      </c>
      <c r="H12881" t="s">
        <v>31253</v>
      </c>
    </row>
    <row r="12882" spans="1:8">
      <c r="A12882" t="s">
        <v>2232</v>
      </c>
      <c r="B12882">
        <f>HYPERLINK("https://android.googlesource.com/platform/cts/+/35ac03a6eaebe585348391728b6523ee5fa80478", "35ac03a6eaebe585348391728b6523ee5fa80478")</f>
        <v>0</v>
      </c>
      <c r="C12882">
        <f>HYPERLINK("https://android.googlesource.com/platform/cts/+/1573b2a6613ddec885873e8b34c350f6a1f27d3d", "1573b2a6613ddec885873e8b34c350f6a1f27d3d")</f>
        <v>0</v>
      </c>
      <c r="D12882" t="s">
        <v>5356</v>
      </c>
      <c r="E12882" t="s">
        <v>7963</v>
      </c>
      <c r="F12882" t="s">
        <v>13729</v>
      </c>
      <c r="G12882" t="s">
        <v>17791</v>
      </c>
      <c r="H12882" t="s">
        <v>31254</v>
      </c>
    </row>
    <row r="12883" spans="1:8">
      <c r="H12883" t="s">
        <v>31257</v>
      </c>
    </row>
    <row r="12884" spans="1:8">
      <c r="H12884" t="s">
        <v>31258</v>
      </c>
    </row>
    <row r="12885" spans="1:8">
      <c r="H12885" t="s">
        <v>31259</v>
      </c>
    </row>
    <row r="12886" spans="1:8">
      <c r="H12886" t="s">
        <v>31260</v>
      </c>
    </row>
    <row r="12887" spans="1:8">
      <c r="H12887" t="s">
        <v>31261</v>
      </c>
    </row>
    <row r="12888" spans="1:8">
      <c r="H12888" t="s">
        <v>31262</v>
      </c>
    </row>
    <row r="12889" spans="1:8">
      <c r="F12889" t="s">
        <v>13049</v>
      </c>
      <c r="G12889" t="s">
        <v>17213</v>
      </c>
      <c r="H12889" t="s">
        <v>31255</v>
      </c>
    </row>
    <row r="12890" spans="1:8">
      <c r="H12890" t="s">
        <v>31256</v>
      </c>
    </row>
    <row r="12891" spans="1:8">
      <c r="H12891" t="s">
        <v>31257</v>
      </c>
    </row>
    <row r="12892" spans="1:8">
      <c r="H12892" t="s">
        <v>31264</v>
      </c>
    </row>
    <row r="12893" spans="1:8">
      <c r="H12893" t="s">
        <v>31259</v>
      </c>
    </row>
    <row r="12894" spans="1:8">
      <c r="H12894" t="s">
        <v>31260</v>
      </c>
    </row>
    <row r="12895" spans="1:8">
      <c r="H12895" t="s">
        <v>31266</v>
      </c>
    </row>
    <row r="12896" spans="1:8">
      <c r="H12896" t="s">
        <v>31267</v>
      </c>
    </row>
    <row r="12897" spans="1:8">
      <c r="H12897" t="s">
        <v>31261</v>
      </c>
    </row>
    <row r="12898" spans="1:8">
      <c r="H12898" t="s">
        <v>31262</v>
      </c>
    </row>
    <row r="12899" spans="1:8">
      <c r="A12899" t="s">
        <v>2234</v>
      </c>
      <c r="B12899">
        <f>HYPERLINK("https://android.googlesource.com/platform/cts/+/0b654f1f2ec31da6b04e42d0a79c7d0970cb0999", "0b654f1f2ec31da6b04e42d0a79c7d0970cb0999")</f>
        <v>0</v>
      </c>
      <c r="C12899">
        <f>HYPERLINK("https://android.googlesource.com/platform/cts/+/e47528b296da38c074dc2aefa365bd51ba570f2c", "e47528b296da38c074dc2aefa365bd51ba570f2c")</f>
        <v>0</v>
      </c>
      <c r="D12899" t="s">
        <v>5358</v>
      </c>
      <c r="E12899" t="s">
        <v>7965</v>
      </c>
      <c r="F12899" t="s">
        <v>13707</v>
      </c>
      <c r="G12899" t="s">
        <v>17775</v>
      </c>
      <c r="H12899" t="s">
        <v>31045</v>
      </c>
    </row>
    <row r="12900" spans="1:8">
      <c r="A12900" t="s">
        <v>2235</v>
      </c>
      <c r="B12900">
        <f>HYPERLINK("https://android.googlesource.com/platform/cts/+/1d7eef8d1421ab71182ff4f7f399276f23a42451", "1d7eef8d1421ab71182ff4f7f399276f23a42451")</f>
        <v>0</v>
      </c>
      <c r="C12900">
        <f>HYPERLINK("https://android.googlesource.com/platform/cts/+/5fa17a1be97aa3edca2f7d9ffd2d1e6bbecf4877", "5fa17a1be97aa3edca2f7d9ffd2d1e6bbecf4877")</f>
        <v>0</v>
      </c>
      <c r="D12900" t="s">
        <v>5359</v>
      </c>
      <c r="E12900" t="s">
        <v>7966</v>
      </c>
      <c r="F12900" t="s">
        <v>13730</v>
      </c>
      <c r="G12900" t="s">
        <v>16824</v>
      </c>
      <c r="H12900" t="s">
        <v>31275</v>
      </c>
    </row>
    <row r="12901" spans="1:8">
      <c r="A12901" t="s">
        <v>2237</v>
      </c>
      <c r="B12901">
        <f>HYPERLINK("https://android.googlesource.com/platform/cts/+/05b3c093bdc5e38715909d4a2f9e920586f37dd8", "05b3c093bdc5e38715909d4a2f9e920586f37dd8")</f>
        <v>0</v>
      </c>
      <c r="C12901">
        <f>HYPERLINK("https://android.googlesource.com/platform/cts/+/810c260130d1d8c7714d2949e8c2fdb3df444a76", "810c260130d1d8c7714d2949e8c2fdb3df444a76")</f>
        <v>0</v>
      </c>
      <c r="D12901" t="s">
        <v>5360</v>
      </c>
      <c r="E12901" t="s">
        <v>7968</v>
      </c>
      <c r="F12901" t="s">
        <v>13731</v>
      </c>
      <c r="G12901" t="s">
        <v>17792</v>
      </c>
      <c r="H12901" t="s">
        <v>31287</v>
      </c>
    </row>
    <row r="12902" spans="1:8">
      <c r="H12902" t="s">
        <v>31288</v>
      </c>
    </row>
    <row r="12903" spans="1:8">
      <c r="A12903" t="s">
        <v>2239</v>
      </c>
      <c r="B12903">
        <f>HYPERLINK("https://android.googlesource.com/platform/cts/+/6962ed73b6544e9975d44fe2f15150d0ebb7e224", "6962ed73b6544e9975d44fe2f15150d0ebb7e224")</f>
        <v>0</v>
      </c>
      <c r="C12903">
        <f>HYPERLINK("https://android.googlesource.com/platform/cts/+/f06589057f3eb1768d78e7ffe51dfcb6271c7019", "f06589057f3eb1768d78e7ffe51dfcb6271c7019")</f>
        <v>0</v>
      </c>
      <c r="D12903" t="s">
        <v>5361</v>
      </c>
      <c r="E12903" t="s">
        <v>7970</v>
      </c>
      <c r="F12903" t="s">
        <v>12710</v>
      </c>
      <c r="G12903" t="s">
        <v>16911</v>
      </c>
      <c r="H12903" t="s">
        <v>31289</v>
      </c>
    </row>
    <row r="12904" spans="1:8">
      <c r="A12904" t="s">
        <v>2242</v>
      </c>
      <c r="B12904">
        <f>HYPERLINK("https://android.googlesource.com/platform/cts/+/6a8bc649f745053964fa5c9f8d55f08d40d787d6", "6a8bc649f745053964fa5c9f8d55f08d40d787d6")</f>
        <v>0</v>
      </c>
      <c r="C12904">
        <f>HYPERLINK("https://android.googlesource.com/platform/cts/+/070ac7a2da8aa0dfc146fa40940dc5e4ed7d0d84", "070ac7a2da8aa0dfc146fa40940dc5e4ed7d0d84")</f>
        <v>0</v>
      </c>
      <c r="D12904" t="s">
        <v>5363</v>
      </c>
      <c r="E12904" t="s">
        <v>7973</v>
      </c>
      <c r="F12904" t="s">
        <v>10605</v>
      </c>
      <c r="G12904" t="s">
        <v>15008</v>
      </c>
      <c r="H12904" t="s">
        <v>31291</v>
      </c>
    </row>
    <row r="12905" spans="1:8">
      <c r="F12905" t="s">
        <v>10594</v>
      </c>
      <c r="G12905" t="s">
        <v>14997</v>
      </c>
      <c r="H12905" t="s">
        <v>31291</v>
      </c>
    </row>
    <row r="12906" spans="1:8">
      <c r="H12906" t="s">
        <v>18973</v>
      </c>
    </row>
    <row r="12907" spans="1:8">
      <c r="A12907" t="s">
        <v>2243</v>
      </c>
      <c r="B12907">
        <f>HYPERLINK("https://android.googlesource.com/platform/cts/+/486cf57860e8370aaa15d9b9e51f42015e08ebd1", "486cf57860e8370aaa15d9b9e51f42015e08ebd1")</f>
        <v>0</v>
      </c>
      <c r="C12907">
        <f>HYPERLINK("https://android.googlesource.com/platform/cts/+/a71fbada39924cd4717506a14b69a79d39952d0b", "a71fbada39924cd4717506a14b69a79d39952d0b")</f>
        <v>0</v>
      </c>
      <c r="D12907" t="s">
        <v>5096</v>
      </c>
      <c r="E12907" t="s">
        <v>7974</v>
      </c>
      <c r="F12907" t="s">
        <v>13220</v>
      </c>
      <c r="G12907" t="s">
        <v>17361</v>
      </c>
      <c r="H12907" t="s">
        <v>31293</v>
      </c>
    </row>
    <row r="12908" spans="1:8">
      <c r="H12908" t="s">
        <v>31294</v>
      </c>
    </row>
    <row r="12909" spans="1:8">
      <c r="H12909" t="s">
        <v>31297</v>
      </c>
    </row>
    <row r="12910" spans="1:8">
      <c r="A12910" t="s">
        <v>2246</v>
      </c>
      <c r="B12910">
        <f>HYPERLINK("https://android.googlesource.com/platform/cts/+/b1bc37ee4b886f1d979a9c6ebf0ebf3742314244", "b1bc37ee4b886f1d979a9c6ebf0ebf3742314244")</f>
        <v>0</v>
      </c>
      <c r="C12910">
        <f>HYPERLINK("https://android.googlesource.com/platform/cts/+/aca12a2af434a87b59a9500f64dba5797fca8fec", "aca12a2af434a87b59a9500f64dba5797fca8fec")</f>
        <v>0</v>
      </c>
      <c r="D12910" t="s">
        <v>5027</v>
      </c>
      <c r="E12910" t="s">
        <v>7977</v>
      </c>
      <c r="F12910" t="s">
        <v>13733</v>
      </c>
      <c r="G12910" t="s">
        <v>17794</v>
      </c>
      <c r="H12910" t="s">
        <v>18836</v>
      </c>
    </row>
    <row r="12911" spans="1:8">
      <c r="H12911" t="s">
        <v>31300</v>
      </c>
    </row>
    <row r="12912" spans="1:8">
      <c r="H12912" t="s">
        <v>31301</v>
      </c>
    </row>
    <row r="12913" spans="1:8">
      <c r="A12913" t="s">
        <v>2250</v>
      </c>
      <c r="B12913">
        <f>HYPERLINK("https://android.googlesource.com/platform/cts/+/dec34053d18ca5cff7c482eadb7673818b5e8c8f", "dec34053d18ca5cff7c482eadb7673818b5e8c8f")</f>
        <v>0</v>
      </c>
      <c r="C12913">
        <f>HYPERLINK("https://android.googlesource.com/platform/cts/+/10b81daa165b7e6b182cf4457b7f919ad5680f73", "10b81daa165b7e6b182cf4457b7f919ad5680f73")</f>
        <v>0</v>
      </c>
      <c r="D12913" t="s">
        <v>5027</v>
      </c>
      <c r="E12913" t="s">
        <v>7981</v>
      </c>
      <c r="F12913" t="s">
        <v>13505</v>
      </c>
      <c r="G12913" t="s">
        <v>17622</v>
      </c>
      <c r="H12913" t="s">
        <v>31309</v>
      </c>
    </row>
    <row r="12914" spans="1:8">
      <c r="H12914" t="s">
        <v>30148</v>
      </c>
    </row>
    <row r="12915" spans="1:8">
      <c r="H12915" t="s">
        <v>30149</v>
      </c>
    </row>
    <row r="12916" spans="1:8">
      <c r="H12916" t="s">
        <v>30150</v>
      </c>
    </row>
    <row r="12917" spans="1:8">
      <c r="H12917" t="s">
        <v>30151</v>
      </c>
    </row>
    <row r="12918" spans="1:8">
      <c r="H12918" t="s">
        <v>30152</v>
      </c>
    </row>
    <row r="12919" spans="1:8">
      <c r="H12919" t="s">
        <v>30153</v>
      </c>
    </row>
    <row r="12920" spans="1:8">
      <c r="H12920" t="s">
        <v>29023</v>
      </c>
    </row>
    <row r="12921" spans="1:8">
      <c r="H12921" t="s">
        <v>30154</v>
      </c>
    </row>
    <row r="12922" spans="1:8">
      <c r="H12922" t="s">
        <v>30155</v>
      </c>
    </row>
    <row r="12923" spans="1:8">
      <c r="H12923" t="s">
        <v>30156</v>
      </c>
    </row>
    <row r="12924" spans="1:8">
      <c r="H12924" t="s">
        <v>30157</v>
      </c>
    </row>
    <row r="12925" spans="1:8">
      <c r="H12925" t="s">
        <v>30158</v>
      </c>
    </row>
    <row r="12926" spans="1:8">
      <c r="F12926" t="s">
        <v>13506</v>
      </c>
      <c r="G12926" t="s">
        <v>17623</v>
      </c>
      <c r="H12926" t="s">
        <v>30196</v>
      </c>
    </row>
    <row r="12927" spans="1:8">
      <c r="H12927" t="s">
        <v>30198</v>
      </c>
    </row>
    <row r="12928" spans="1:8">
      <c r="H12928" t="s">
        <v>30199</v>
      </c>
    </row>
    <row r="12929" spans="1:8">
      <c r="H12929" t="s">
        <v>30200</v>
      </c>
    </row>
    <row r="12930" spans="1:8">
      <c r="H12930" t="s">
        <v>30202</v>
      </c>
    </row>
    <row r="12931" spans="1:8">
      <c r="H12931" t="s">
        <v>30206</v>
      </c>
    </row>
    <row r="12932" spans="1:8">
      <c r="H12932" t="s">
        <v>30207</v>
      </c>
    </row>
    <row r="12933" spans="1:8">
      <c r="F12933" t="s">
        <v>13524</v>
      </c>
      <c r="G12933" t="s">
        <v>17639</v>
      </c>
      <c r="H12933" t="s">
        <v>31318</v>
      </c>
    </row>
    <row r="12934" spans="1:8">
      <c r="H12934" t="s">
        <v>31319</v>
      </c>
    </row>
    <row r="12935" spans="1:8">
      <c r="H12935" t="s">
        <v>31320</v>
      </c>
    </row>
    <row r="12936" spans="1:8">
      <c r="H12936" t="s">
        <v>31321</v>
      </c>
    </row>
    <row r="12937" spans="1:8">
      <c r="H12937" t="s">
        <v>31322</v>
      </c>
    </row>
    <row r="12938" spans="1:8">
      <c r="H12938" t="s">
        <v>31323</v>
      </c>
    </row>
    <row r="12939" spans="1:8">
      <c r="H12939" t="s">
        <v>31324</v>
      </c>
    </row>
    <row r="12940" spans="1:8">
      <c r="F12940" t="s">
        <v>13509</v>
      </c>
      <c r="G12940" t="s">
        <v>17626</v>
      </c>
      <c r="H12940" t="s">
        <v>30231</v>
      </c>
    </row>
    <row r="12941" spans="1:8">
      <c r="H12941" t="s">
        <v>30232</v>
      </c>
    </row>
    <row r="12942" spans="1:8">
      <c r="A12942" t="s">
        <v>2252</v>
      </c>
      <c r="B12942">
        <f>HYPERLINK("https://android.googlesource.com/platform/cts/+/d3dfe4f7b33630f6b51dccd8409136e91c7e8332", "d3dfe4f7b33630f6b51dccd8409136e91c7e8332")</f>
        <v>0</v>
      </c>
      <c r="C12942">
        <f>HYPERLINK("https://android.googlesource.com/platform/cts/+/136849cf31b240fd229e30887898677c0a063a41", "136849cf31b240fd229e30887898677c0a063a41")</f>
        <v>0</v>
      </c>
      <c r="D12942" t="s">
        <v>5365</v>
      </c>
      <c r="E12942" t="s">
        <v>7983</v>
      </c>
      <c r="F12942" t="s">
        <v>13736</v>
      </c>
      <c r="G12942" t="s">
        <v>17796</v>
      </c>
      <c r="H12942" t="s">
        <v>31329</v>
      </c>
    </row>
    <row r="12943" spans="1:8">
      <c r="H12943" t="s">
        <v>31330</v>
      </c>
    </row>
    <row r="12944" spans="1:8">
      <c r="H12944" t="s">
        <v>31331</v>
      </c>
    </row>
    <row r="12945" spans="1:8">
      <c r="H12945" t="s">
        <v>31333</v>
      </c>
    </row>
    <row r="12946" spans="1:8">
      <c r="A12946" t="s">
        <v>2254</v>
      </c>
      <c r="B12946">
        <f>HYPERLINK("https://android.googlesource.com/platform/cts/+/36ac203ccee730c89e7cd4dfa46ad4455719c19b", "36ac203ccee730c89e7cd4dfa46ad4455719c19b")</f>
        <v>0</v>
      </c>
      <c r="C12946">
        <f>HYPERLINK("https://android.googlesource.com/platform/cts/+/a46868fca645ed193ec15c6790ccb970dd81d495", "a46868fca645ed193ec15c6790ccb970dd81d495")</f>
        <v>0</v>
      </c>
      <c r="D12946" t="s">
        <v>5330</v>
      </c>
      <c r="E12946" t="s">
        <v>7985</v>
      </c>
      <c r="F12946" t="s">
        <v>12250</v>
      </c>
      <c r="G12946" t="s">
        <v>16481</v>
      </c>
      <c r="H12946" t="s">
        <v>21525</v>
      </c>
    </row>
    <row r="12947" spans="1:8">
      <c r="A12947" t="s">
        <v>2255</v>
      </c>
      <c r="B12947">
        <f>HYPERLINK("https://android.googlesource.com/platform/cts/+/16d6c358e5dfdc820d614a49fb686548d4a2886b", "16d6c358e5dfdc820d614a49fb686548d4a2886b")</f>
        <v>0</v>
      </c>
      <c r="C12947">
        <f>HYPERLINK("https://android.googlesource.com/platform/cts/+/308c221271dad29c89b5885fc0a5cc05d3419100", "308c221271dad29c89b5885fc0a5cc05d3419100")</f>
        <v>0</v>
      </c>
      <c r="D12947" t="s">
        <v>5027</v>
      </c>
      <c r="E12947" t="s">
        <v>7986</v>
      </c>
      <c r="F12947" t="s">
        <v>13506</v>
      </c>
      <c r="G12947" t="s">
        <v>17623</v>
      </c>
      <c r="H12947" t="s">
        <v>31336</v>
      </c>
    </row>
    <row r="12948" spans="1:8">
      <c r="H12948" t="s">
        <v>30167</v>
      </c>
    </row>
    <row r="12949" spans="1:8">
      <c r="H12949" t="s">
        <v>30168</v>
      </c>
    </row>
    <row r="12950" spans="1:8">
      <c r="H12950" t="s">
        <v>30171</v>
      </c>
    </row>
    <row r="12951" spans="1:8">
      <c r="H12951" t="s">
        <v>30172</v>
      </c>
    </row>
    <row r="12952" spans="1:8">
      <c r="H12952" t="s">
        <v>30173</v>
      </c>
    </row>
    <row r="12953" spans="1:8">
      <c r="H12953" t="s">
        <v>30174</v>
      </c>
    </row>
    <row r="12954" spans="1:8">
      <c r="H12954" t="s">
        <v>30175</v>
      </c>
    </row>
    <row r="12955" spans="1:8">
      <c r="H12955" t="s">
        <v>31337</v>
      </c>
    </row>
    <row r="12956" spans="1:8">
      <c r="H12956" t="s">
        <v>30176</v>
      </c>
    </row>
    <row r="12957" spans="1:8">
      <c r="H12957" t="s">
        <v>30216</v>
      </c>
    </row>
    <row r="12958" spans="1:8">
      <c r="H12958" t="s">
        <v>31338</v>
      </c>
    </row>
    <row r="12959" spans="1:8">
      <c r="H12959" t="s">
        <v>31339</v>
      </c>
    </row>
    <row r="12960" spans="1:8">
      <c r="H12960" t="s">
        <v>31340</v>
      </c>
    </row>
    <row r="12961" spans="8:8">
      <c r="H12961" t="s">
        <v>31341</v>
      </c>
    </row>
    <row r="12962" spans="8:8">
      <c r="H12962" t="s">
        <v>31342</v>
      </c>
    </row>
    <row r="12963" spans="8:8">
      <c r="H12963" t="s">
        <v>31343</v>
      </c>
    </row>
    <row r="12964" spans="8:8">
      <c r="H12964" t="s">
        <v>31344</v>
      </c>
    </row>
    <row r="12965" spans="8:8">
      <c r="H12965" t="s">
        <v>31345</v>
      </c>
    </row>
    <row r="12966" spans="8:8">
      <c r="H12966" t="s">
        <v>31346</v>
      </c>
    </row>
    <row r="12967" spans="8:8">
      <c r="H12967" t="s">
        <v>31347</v>
      </c>
    </row>
    <row r="12968" spans="8:8">
      <c r="H12968" t="s">
        <v>31348</v>
      </c>
    </row>
    <row r="12969" spans="8:8">
      <c r="H12969" t="s">
        <v>31349</v>
      </c>
    </row>
    <row r="12970" spans="8:8">
      <c r="H12970" t="s">
        <v>31350</v>
      </c>
    </row>
    <row r="12971" spans="8:8">
      <c r="H12971" t="s">
        <v>31351</v>
      </c>
    </row>
    <row r="12972" spans="8:8">
      <c r="H12972" t="s">
        <v>30178</v>
      </c>
    </row>
    <row r="12973" spans="8:8">
      <c r="H12973" t="s">
        <v>30179</v>
      </c>
    </row>
    <row r="12974" spans="8:8">
      <c r="H12974" t="s">
        <v>30180</v>
      </c>
    </row>
    <row r="12975" spans="8:8">
      <c r="H12975" t="s">
        <v>30182</v>
      </c>
    </row>
    <row r="12976" spans="8:8">
      <c r="H12976" t="s">
        <v>30183</v>
      </c>
    </row>
    <row r="12977" spans="8:8">
      <c r="H12977" t="s">
        <v>30184</v>
      </c>
    </row>
    <row r="12978" spans="8:8">
      <c r="H12978" t="s">
        <v>30185</v>
      </c>
    </row>
    <row r="12979" spans="8:8">
      <c r="H12979" t="s">
        <v>30186</v>
      </c>
    </row>
    <row r="12980" spans="8:8">
      <c r="H12980" t="s">
        <v>30187</v>
      </c>
    </row>
    <row r="12981" spans="8:8">
      <c r="H12981" t="s">
        <v>30188</v>
      </c>
    </row>
    <row r="12982" spans="8:8">
      <c r="H12982" t="s">
        <v>30189</v>
      </c>
    </row>
    <row r="12983" spans="8:8">
      <c r="H12983" t="s">
        <v>30190</v>
      </c>
    </row>
    <row r="12984" spans="8:8">
      <c r="H12984" t="s">
        <v>30191</v>
      </c>
    </row>
    <row r="12985" spans="8:8">
      <c r="H12985" t="s">
        <v>30192</v>
      </c>
    </row>
    <row r="12986" spans="8:8">
      <c r="H12986" t="s">
        <v>30193</v>
      </c>
    </row>
    <row r="12987" spans="8:8">
      <c r="H12987" t="s">
        <v>30194</v>
      </c>
    </row>
    <row r="12988" spans="8:8">
      <c r="H12988" t="s">
        <v>30195</v>
      </c>
    </row>
    <row r="12989" spans="8:8">
      <c r="H12989" t="s">
        <v>30201</v>
      </c>
    </row>
    <row r="12990" spans="8:8">
      <c r="H12990" t="s">
        <v>30203</v>
      </c>
    </row>
    <row r="12991" spans="8:8">
      <c r="H12991" t="s">
        <v>30204</v>
      </c>
    </row>
    <row r="12992" spans="8:8">
      <c r="H12992" t="s">
        <v>30205</v>
      </c>
    </row>
    <row r="12993" spans="6:8">
      <c r="F12993" t="s">
        <v>13507</v>
      </c>
      <c r="G12993" t="s">
        <v>17624</v>
      </c>
      <c r="H12993" t="s">
        <v>30030</v>
      </c>
    </row>
    <row r="12994" spans="6:8">
      <c r="F12994" t="s">
        <v>13508</v>
      </c>
      <c r="G12994" t="s">
        <v>17625</v>
      </c>
      <c r="H12994" t="s">
        <v>30030</v>
      </c>
    </row>
    <row r="12995" spans="6:8">
      <c r="H12995" t="s">
        <v>31352</v>
      </c>
    </row>
    <row r="12996" spans="6:8">
      <c r="H12996" t="s">
        <v>31353</v>
      </c>
    </row>
    <row r="12997" spans="6:8">
      <c r="H12997" t="s">
        <v>31354</v>
      </c>
    </row>
    <row r="12998" spans="6:8">
      <c r="H12998" t="s">
        <v>31355</v>
      </c>
    </row>
    <row r="12999" spans="6:8">
      <c r="H12999" t="s">
        <v>31356</v>
      </c>
    </row>
    <row r="13000" spans="6:8">
      <c r="H13000" t="s">
        <v>30215</v>
      </c>
    </row>
    <row r="13001" spans="6:8">
      <c r="H13001" t="s">
        <v>30167</v>
      </c>
    </row>
    <row r="13002" spans="6:8">
      <c r="H13002" t="s">
        <v>30168</v>
      </c>
    </row>
    <row r="13003" spans="6:8">
      <c r="H13003" t="s">
        <v>30171</v>
      </c>
    </row>
    <row r="13004" spans="6:8">
      <c r="H13004" t="s">
        <v>31345</v>
      </c>
    </row>
    <row r="13005" spans="6:8">
      <c r="H13005" t="s">
        <v>31346</v>
      </c>
    </row>
    <row r="13006" spans="6:8">
      <c r="H13006" t="s">
        <v>31347</v>
      </c>
    </row>
    <row r="13007" spans="6:8">
      <c r="H13007" t="s">
        <v>31357</v>
      </c>
    </row>
    <row r="13008" spans="6:8">
      <c r="H13008" t="s">
        <v>31358</v>
      </c>
    </row>
    <row r="13009" spans="8:8">
      <c r="H13009" t="s">
        <v>31359</v>
      </c>
    </row>
    <row r="13010" spans="8:8">
      <c r="H13010" t="s">
        <v>30216</v>
      </c>
    </row>
    <row r="13011" spans="8:8">
      <c r="H13011" t="s">
        <v>31338</v>
      </c>
    </row>
    <row r="13012" spans="8:8">
      <c r="H13012" t="s">
        <v>31339</v>
      </c>
    </row>
    <row r="13013" spans="8:8">
      <c r="H13013" t="s">
        <v>31340</v>
      </c>
    </row>
    <row r="13014" spans="8:8">
      <c r="H13014" t="s">
        <v>31360</v>
      </c>
    </row>
    <row r="13015" spans="8:8">
      <c r="H13015" t="s">
        <v>31342</v>
      </c>
    </row>
    <row r="13016" spans="8:8">
      <c r="H13016" t="s">
        <v>31343</v>
      </c>
    </row>
    <row r="13017" spans="8:8">
      <c r="H13017" t="s">
        <v>31344</v>
      </c>
    </row>
    <row r="13018" spans="8:8">
      <c r="H13018" t="s">
        <v>31348</v>
      </c>
    </row>
    <row r="13019" spans="8:8">
      <c r="H13019" t="s">
        <v>31349</v>
      </c>
    </row>
    <row r="13020" spans="8:8">
      <c r="H13020" t="s">
        <v>31350</v>
      </c>
    </row>
    <row r="13021" spans="8:8">
      <c r="H13021" t="s">
        <v>31351</v>
      </c>
    </row>
    <row r="13022" spans="8:8">
      <c r="H13022" t="s">
        <v>30219</v>
      </c>
    </row>
    <row r="13023" spans="8:8">
      <c r="H13023" t="s">
        <v>30222</v>
      </c>
    </row>
    <row r="13024" spans="8:8">
      <c r="H13024" t="s">
        <v>30223</v>
      </c>
    </row>
    <row r="13025" spans="6:8">
      <c r="H13025" t="s">
        <v>31362</v>
      </c>
    </row>
    <row r="13026" spans="6:8">
      <c r="H13026" t="s">
        <v>30224</v>
      </c>
    </row>
    <row r="13027" spans="6:8">
      <c r="H13027" t="s">
        <v>31363</v>
      </c>
    </row>
    <row r="13028" spans="6:8">
      <c r="H13028" t="s">
        <v>30225</v>
      </c>
    </row>
    <row r="13029" spans="6:8">
      <c r="H13029" t="s">
        <v>31364</v>
      </c>
    </row>
    <row r="13030" spans="6:8">
      <c r="F13030" t="s">
        <v>13526</v>
      </c>
      <c r="G13030" t="s">
        <v>17641</v>
      </c>
      <c r="H13030" t="s">
        <v>30167</v>
      </c>
    </row>
    <row r="13031" spans="6:8">
      <c r="H13031" t="s">
        <v>30168</v>
      </c>
    </row>
    <row r="13032" spans="6:8">
      <c r="H13032" t="s">
        <v>30171</v>
      </c>
    </row>
    <row r="13033" spans="6:8">
      <c r="H13033" t="s">
        <v>30173</v>
      </c>
    </row>
    <row r="13034" spans="6:8">
      <c r="H13034" t="s">
        <v>30174</v>
      </c>
    </row>
    <row r="13035" spans="6:8">
      <c r="H13035" t="s">
        <v>30175</v>
      </c>
    </row>
    <row r="13036" spans="6:8">
      <c r="H13036" t="s">
        <v>30170</v>
      </c>
    </row>
    <row r="13037" spans="6:8">
      <c r="H13037" t="s">
        <v>30169</v>
      </c>
    </row>
    <row r="13038" spans="6:8">
      <c r="H13038" t="s">
        <v>31347</v>
      </c>
    </row>
    <row r="13039" spans="6:8">
      <c r="H13039" t="s">
        <v>30216</v>
      </c>
    </row>
    <row r="13040" spans="6:8">
      <c r="H13040" t="s">
        <v>31339</v>
      </c>
    </row>
    <row r="13041" spans="1:8">
      <c r="H13041" t="s">
        <v>31342</v>
      </c>
    </row>
    <row r="13042" spans="1:8">
      <c r="H13042" t="s">
        <v>31343</v>
      </c>
    </row>
    <row r="13043" spans="1:8">
      <c r="H13043" t="s">
        <v>31344</v>
      </c>
    </row>
    <row r="13044" spans="1:8">
      <c r="H13044" t="s">
        <v>31369</v>
      </c>
    </row>
    <row r="13045" spans="1:8">
      <c r="H13045" t="s">
        <v>30189</v>
      </c>
    </row>
    <row r="13046" spans="1:8">
      <c r="H13046" t="s">
        <v>30188</v>
      </c>
    </row>
    <row r="13047" spans="1:8">
      <c r="H13047" t="s">
        <v>30187</v>
      </c>
    </row>
    <row r="13048" spans="1:8">
      <c r="H13048" t="s">
        <v>30192</v>
      </c>
    </row>
    <row r="13049" spans="1:8">
      <c r="H13049" t="s">
        <v>30191</v>
      </c>
    </row>
    <row r="13050" spans="1:8">
      <c r="H13050" t="s">
        <v>30190</v>
      </c>
    </row>
    <row r="13051" spans="1:8">
      <c r="H13051" t="s">
        <v>31370</v>
      </c>
    </row>
    <row r="13052" spans="1:8">
      <c r="A13052" t="s">
        <v>2261</v>
      </c>
      <c r="B13052">
        <f>HYPERLINK("https://android.googlesource.com/platform/cts/+/c43e9230fe4e25cae6e75f5f988a3031342b2985", "c43e9230fe4e25cae6e75f5f988a3031342b2985")</f>
        <v>0</v>
      </c>
      <c r="C13052">
        <f>HYPERLINK("https://android.googlesource.com/platform/cts/+/040243712635014fc5e65c434e918a6b6394031b", "040243712635014fc5e65c434e918a6b6394031b")</f>
        <v>0</v>
      </c>
      <c r="D13052" t="s">
        <v>5349</v>
      </c>
      <c r="E13052" t="s">
        <v>7992</v>
      </c>
      <c r="F13052" t="s">
        <v>12710</v>
      </c>
      <c r="G13052" t="s">
        <v>16911</v>
      </c>
      <c r="H13052" t="s">
        <v>31253</v>
      </c>
    </row>
    <row r="13053" spans="1:8">
      <c r="A13053" t="s">
        <v>2267</v>
      </c>
      <c r="B13053">
        <f>HYPERLINK("https://android.googlesource.com/platform/cts/+/e9dcebaa79ba68e79386bd26a50b5fd80b44b128", "e9dcebaa79ba68e79386bd26a50b5fd80b44b128")</f>
        <v>0</v>
      </c>
      <c r="C13053">
        <f>HYPERLINK("https://android.googlesource.com/platform/cts/+/075556b827c47c475db6d6dced9100d9d6349deb", "075556b827c47c475db6d6dced9100d9d6349deb")</f>
        <v>0</v>
      </c>
      <c r="D13053" t="s">
        <v>5349</v>
      </c>
      <c r="E13053" t="s">
        <v>7997</v>
      </c>
      <c r="F13053" t="s">
        <v>12710</v>
      </c>
      <c r="G13053" t="s">
        <v>16911</v>
      </c>
      <c r="H13053" t="s">
        <v>31252</v>
      </c>
    </row>
    <row r="13054" spans="1:8">
      <c r="A13054" t="s">
        <v>2269</v>
      </c>
      <c r="B13054">
        <f>HYPERLINK("https://android.googlesource.com/platform/cts/+/40495120a03a113bed24556da01d386d5557e81b", "40495120a03a113bed24556da01d386d5557e81b")</f>
        <v>0</v>
      </c>
      <c r="C13054">
        <f>HYPERLINK("https://android.googlesource.com/platform/cts/+/53797c14fde6a4002927e06f77ad28441f1f1dd6", "53797c14fde6a4002927e06f77ad28441f1f1dd6")</f>
        <v>0</v>
      </c>
      <c r="D13054" t="s">
        <v>5349</v>
      </c>
      <c r="E13054" t="s">
        <v>7998</v>
      </c>
      <c r="F13054" t="s">
        <v>12710</v>
      </c>
      <c r="G13054" t="s">
        <v>16911</v>
      </c>
      <c r="H13054" t="s">
        <v>31416</v>
      </c>
    </row>
    <row r="13055" spans="1:8">
      <c r="A13055" t="s">
        <v>2273</v>
      </c>
      <c r="B13055">
        <f>HYPERLINK("https://android.googlesource.com/platform/cts/+/5fd4c3970fb386b0e753dcee4c5d742476e71788", "5fd4c3970fb386b0e753dcee4c5d742476e71788")</f>
        <v>0</v>
      </c>
      <c r="C13055">
        <f>HYPERLINK("https://android.googlesource.com/platform/cts/+/437f4c508dc8292f1d835649393ab073ea634b9e", "437f4c508dc8292f1d835649393ab073ea634b9e")</f>
        <v>0</v>
      </c>
      <c r="D13055" t="s">
        <v>5366</v>
      </c>
      <c r="E13055" t="s">
        <v>8002</v>
      </c>
      <c r="F13055" t="s">
        <v>13750</v>
      </c>
      <c r="G13055" t="s">
        <v>17810</v>
      </c>
      <c r="H13055" t="s">
        <v>31423</v>
      </c>
    </row>
    <row r="13056" spans="1:8">
      <c r="H13056" t="s">
        <v>31424</v>
      </c>
    </row>
    <row r="13057" spans="1:8">
      <c r="A13057" t="s">
        <v>2274</v>
      </c>
      <c r="B13057">
        <f>HYPERLINK("https://android.googlesource.com/platform/cts/+/a16afd3dae0a8ae24de4a585ada8cec3c7816635", "a16afd3dae0a8ae24de4a585ada8cec3c7816635")</f>
        <v>0</v>
      </c>
      <c r="C13057">
        <f>HYPERLINK("https://android.googlesource.com/platform/cts/+/ac8c5e9ba9dcf9022a38b75f7bc812582b652e64", "ac8c5e9ba9dcf9022a38b75f7bc812582b652e64")</f>
        <v>0</v>
      </c>
      <c r="D13057" t="s">
        <v>5349</v>
      </c>
      <c r="E13057" t="s">
        <v>8003</v>
      </c>
      <c r="F13057" t="s">
        <v>12710</v>
      </c>
      <c r="G13057" t="s">
        <v>16911</v>
      </c>
      <c r="H13057" t="s">
        <v>29656</v>
      </c>
    </row>
    <row r="13058" spans="1:8">
      <c r="A13058" t="s">
        <v>2275</v>
      </c>
      <c r="B13058">
        <f>HYPERLINK("https://android.googlesource.com/platform/cts/+/6ca6442a18d645ceb2889f3e06eda6c9c41c76ef", "6ca6442a18d645ceb2889f3e06eda6c9c41c76ef")</f>
        <v>0</v>
      </c>
      <c r="C13058">
        <f>HYPERLINK("https://android.googlesource.com/platform/cts/+/b039c8494e91029faa9d6757a5231584dc596e15", "b039c8494e91029faa9d6757a5231584dc596e15")</f>
        <v>0</v>
      </c>
      <c r="D13058" t="s">
        <v>5349</v>
      </c>
      <c r="E13058" t="s">
        <v>8004</v>
      </c>
      <c r="F13058" t="s">
        <v>12710</v>
      </c>
      <c r="G13058" t="s">
        <v>16911</v>
      </c>
      <c r="H13058" t="s">
        <v>31289</v>
      </c>
    </row>
    <row r="13059" spans="1:8">
      <c r="A13059" t="s">
        <v>2279</v>
      </c>
      <c r="B13059">
        <f>HYPERLINK("https://android.googlesource.com/platform/cts/+/c8c9ddc1d53889c777ac77f2155d6ff1d646cc97", "c8c9ddc1d53889c777ac77f2155d6ff1d646cc97")</f>
        <v>0</v>
      </c>
      <c r="C13059">
        <f>HYPERLINK("https://android.googlesource.com/platform/cts/+/8ce8bacf87e1b6acaca9663f80d3cb3de87be1ba", "8ce8bacf87e1b6acaca9663f80d3cb3de87be1ba")</f>
        <v>0</v>
      </c>
      <c r="D13059" t="s">
        <v>5349</v>
      </c>
      <c r="E13059" t="s">
        <v>8008</v>
      </c>
      <c r="F13059" t="s">
        <v>12710</v>
      </c>
      <c r="G13059" t="s">
        <v>16911</v>
      </c>
      <c r="H13059" t="s">
        <v>31289</v>
      </c>
    </row>
    <row r="13060" spans="1:8">
      <c r="A13060" t="s">
        <v>2280</v>
      </c>
      <c r="B13060">
        <f>HYPERLINK("https://android.googlesource.com/platform/cts/+/4f6721eccec8f51c8ec4555d310509f4570ba3b8", "4f6721eccec8f51c8ec4555d310509f4570ba3b8")</f>
        <v>0</v>
      </c>
      <c r="C13060">
        <f>HYPERLINK("https://android.googlesource.com/platform/cts/+/08434c07d24ad5f27d9d49476b1c2f97a2d1a62f", "08434c07d24ad5f27d9d49476b1c2f97a2d1a62f")</f>
        <v>0</v>
      </c>
      <c r="D13060" t="s">
        <v>5349</v>
      </c>
      <c r="E13060" t="s">
        <v>8009</v>
      </c>
      <c r="F13060" t="s">
        <v>12710</v>
      </c>
      <c r="G13060" t="s">
        <v>16911</v>
      </c>
      <c r="H13060" t="s">
        <v>29656</v>
      </c>
    </row>
    <row r="13061" spans="1:8">
      <c r="A13061" t="s">
        <v>2281</v>
      </c>
      <c r="B13061">
        <f>HYPERLINK("https://android.googlesource.com/platform/cts/+/3b108de29b1de33d1a02dd4d9f225df8e82f7260", "3b108de29b1de33d1a02dd4d9f225df8e82f7260")</f>
        <v>0</v>
      </c>
      <c r="C13061">
        <f>HYPERLINK("https://android.googlesource.com/platform/cts/+/1c5495adbfee486fd9b2d3c848f7d606bb696e0f", "1c5495adbfee486fd9b2d3c848f7d606bb696e0f")</f>
        <v>0</v>
      </c>
      <c r="D13061" t="s">
        <v>5349</v>
      </c>
      <c r="E13061" t="s">
        <v>8010</v>
      </c>
      <c r="F13061" t="s">
        <v>12710</v>
      </c>
      <c r="G13061" t="s">
        <v>16911</v>
      </c>
      <c r="H13061" t="s">
        <v>29656</v>
      </c>
    </row>
    <row r="13062" spans="1:8">
      <c r="A13062" t="s">
        <v>2283</v>
      </c>
      <c r="B13062">
        <f>HYPERLINK("https://android.googlesource.com/platform/cts/+/e4140b01c65a28655766124813c880460729d56f", "e4140b01c65a28655766124813c880460729d56f")</f>
        <v>0</v>
      </c>
      <c r="C13062">
        <f>HYPERLINK("https://android.googlesource.com/platform/cts/+/a41f813eacf3c9accbf00fc195a81f3d662da7d7", "a41f813eacf3c9accbf00fc195a81f3d662da7d7")</f>
        <v>0</v>
      </c>
      <c r="D13062" t="s">
        <v>5349</v>
      </c>
      <c r="E13062" t="s">
        <v>8012</v>
      </c>
      <c r="F13062" t="s">
        <v>12710</v>
      </c>
      <c r="G13062" t="s">
        <v>16911</v>
      </c>
      <c r="H13062" t="s">
        <v>29656</v>
      </c>
    </row>
    <row r="13063" spans="1:8">
      <c r="A13063" t="s">
        <v>2293</v>
      </c>
      <c r="B13063">
        <f>HYPERLINK("https://android.googlesource.com/platform/cts/+/dbbe76b15b806cf916db2f412899de2b4a78acd4", "dbbe76b15b806cf916db2f412899de2b4a78acd4")</f>
        <v>0</v>
      </c>
      <c r="C13063">
        <f>HYPERLINK("https://android.googlesource.com/platform/cts/+/762edcf69a7b86916230b932713281388a82d3ad", "762edcf69a7b86916230b932713281388a82d3ad")</f>
        <v>0</v>
      </c>
      <c r="D13063" t="s">
        <v>5118</v>
      </c>
      <c r="E13063" t="s">
        <v>8023</v>
      </c>
      <c r="F13063" t="s">
        <v>13759</v>
      </c>
      <c r="G13063" t="s">
        <v>17818</v>
      </c>
      <c r="H13063" t="s">
        <v>31445</v>
      </c>
    </row>
    <row r="13064" spans="1:8">
      <c r="A13064" t="s">
        <v>2296</v>
      </c>
      <c r="B13064">
        <f>HYPERLINK("https://android.googlesource.com/platform/cts/+/7a68b335b97a687d416b83d526596e3ea8d6e466", "7a68b335b97a687d416b83d526596e3ea8d6e466")</f>
        <v>0</v>
      </c>
      <c r="C13064">
        <f>HYPERLINK("https://android.googlesource.com/platform/cts/+/4dabd7f52b987bf9626bedf6b20fea559428359a", "4dabd7f52b987bf9626bedf6b20fea559428359a")</f>
        <v>0</v>
      </c>
      <c r="D13064" t="s">
        <v>5370</v>
      </c>
      <c r="E13064" t="s">
        <v>8026</v>
      </c>
      <c r="F13064" t="s">
        <v>10624</v>
      </c>
      <c r="G13064" t="s">
        <v>15027</v>
      </c>
      <c r="H13064" t="s">
        <v>31448</v>
      </c>
    </row>
    <row r="13065" spans="1:8">
      <c r="A13065" t="s">
        <v>2297</v>
      </c>
      <c r="B13065">
        <f>HYPERLINK("https://android.googlesource.com/platform/cts/+/d4482f89d50919f5b2c877e2e4bd9e8d4d8e519e", "d4482f89d50919f5b2c877e2e4bd9e8d4d8e519e")</f>
        <v>0</v>
      </c>
      <c r="C13065">
        <f>HYPERLINK("https://android.googlesource.com/platform/cts/+/40e8a005594e31e970ea64af430b96b20f95d32c", "40e8a005594e31e970ea64af430b96b20f95d32c")</f>
        <v>0</v>
      </c>
      <c r="D13065" t="s">
        <v>5141</v>
      </c>
      <c r="E13065" t="s">
        <v>8027</v>
      </c>
      <c r="F13065" t="s">
        <v>13089</v>
      </c>
      <c r="G13065" t="s">
        <v>17251</v>
      </c>
      <c r="H13065" t="s">
        <v>31449</v>
      </c>
    </row>
    <row r="13066" spans="1:8">
      <c r="H13066" t="s">
        <v>31450</v>
      </c>
    </row>
    <row r="13067" spans="1:8">
      <c r="A13067" t="s">
        <v>2299</v>
      </c>
      <c r="B13067">
        <f>HYPERLINK("https://android.googlesource.com/platform/cts/+/66b81c8cb962ac72163dd079e42f97e6abe58d67", "66b81c8cb962ac72163dd079e42f97e6abe58d67")</f>
        <v>0</v>
      </c>
      <c r="C13067">
        <f>HYPERLINK("https://android.googlesource.com/platform/cts/+/3524bf597d35361cc790c89f4d75691c366f566e", "3524bf597d35361cc790c89f4d75691c366f566e")</f>
        <v>0</v>
      </c>
      <c r="D13067" t="s">
        <v>5224</v>
      </c>
      <c r="E13067" t="s">
        <v>8029</v>
      </c>
      <c r="F13067" t="s">
        <v>13761</v>
      </c>
      <c r="G13067" t="s">
        <v>17819</v>
      </c>
      <c r="H13067" t="s">
        <v>31452</v>
      </c>
    </row>
    <row r="13068" spans="1:8">
      <c r="A13068" t="s">
        <v>2304</v>
      </c>
      <c r="B13068">
        <f>HYPERLINK("https://android.googlesource.com/platform/cts/+/dca9bf76d76aa9b2023f2ec3d22e1c61102539d1", "dca9bf76d76aa9b2023f2ec3d22e1c61102539d1")</f>
        <v>0</v>
      </c>
      <c r="C13068">
        <f>HYPERLINK("https://android.googlesource.com/platform/cts/+/c6b9d4351cc48c644a6ddd8b4c0250de84549f7b", "c6b9d4351cc48c644a6ddd8b4c0250de84549f7b")</f>
        <v>0</v>
      </c>
      <c r="D13068" t="s">
        <v>5263</v>
      </c>
      <c r="E13068" t="s">
        <v>8034</v>
      </c>
      <c r="F13068" t="s">
        <v>13673</v>
      </c>
      <c r="G13068" t="s">
        <v>15029</v>
      </c>
      <c r="H13068" t="s">
        <v>31464</v>
      </c>
    </row>
    <row r="13069" spans="1:8">
      <c r="A13069" t="s">
        <v>2305</v>
      </c>
      <c r="B13069">
        <f>HYPERLINK("https://android.googlesource.com/platform/cts/+/6190d13a522a0901a3cae568fe003f9cc4f58bc9", "6190d13a522a0901a3cae568fe003f9cc4f58bc9")</f>
        <v>0</v>
      </c>
      <c r="C13069">
        <f>HYPERLINK("https://android.googlesource.com/platform/cts/+/67b715293484e2c455150be0b9ddad96cc902db7", "67b715293484e2c455150be0b9ddad96cc902db7")</f>
        <v>0</v>
      </c>
      <c r="D13069" t="s">
        <v>4981</v>
      </c>
      <c r="E13069" t="s">
        <v>8035</v>
      </c>
      <c r="F13069" t="s">
        <v>13764</v>
      </c>
      <c r="G13069" t="s">
        <v>17821</v>
      </c>
      <c r="H13069" t="s">
        <v>31465</v>
      </c>
    </row>
    <row r="13070" spans="1:8">
      <c r="A13070" t="s">
        <v>2310</v>
      </c>
      <c r="B13070">
        <f>HYPERLINK("https://android.googlesource.com/platform/cts/+/f5b5cecb825d166fee6c92daa42c45973445c763", "f5b5cecb825d166fee6c92daa42c45973445c763")</f>
        <v>0</v>
      </c>
      <c r="C13070">
        <f>HYPERLINK("https://android.googlesource.com/platform/cts/+/11b56a4fe5944b0ced825622d155bfe8e2c4e652", "11b56a4fe5944b0ced825622d155bfe8e2c4e652")</f>
        <v>0</v>
      </c>
      <c r="D13070" t="s">
        <v>5363</v>
      </c>
      <c r="E13070" t="s">
        <v>8040</v>
      </c>
      <c r="F13070" t="s">
        <v>10605</v>
      </c>
      <c r="G13070" t="s">
        <v>15008</v>
      </c>
      <c r="H13070" t="s">
        <v>31476</v>
      </c>
    </row>
    <row r="13071" spans="1:8">
      <c r="A13071" t="s">
        <v>2315</v>
      </c>
      <c r="B13071">
        <f>HYPERLINK("https://android.googlesource.com/platform/cts/+/7137ccad4f425a80832afaee8d82bbbfe1fa544a", "7137ccad4f425a80832afaee8d82bbbfe1fa544a")</f>
        <v>0</v>
      </c>
      <c r="C13071">
        <f>HYPERLINK("https://android.googlesource.com/platform/cts/+/2c65204a1e7db9267ef43d67f06e029e73ab43da", "2c65204a1e7db9267ef43d67f06e029e73ab43da")</f>
        <v>0</v>
      </c>
      <c r="D13071" t="s">
        <v>5365</v>
      </c>
      <c r="E13071" t="s">
        <v>8045</v>
      </c>
      <c r="F13071" t="s">
        <v>10794</v>
      </c>
      <c r="G13071" t="s">
        <v>15189</v>
      </c>
      <c r="H13071" t="s">
        <v>31480</v>
      </c>
    </row>
    <row r="13072" spans="1:8">
      <c r="H13072" t="s">
        <v>31481</v>
      </c>
    </row>
    <row r="13073" spans="1:8">
      <c r="H13073" t="s">
        <v>31482</v>
      </c>
    </row>
    <row r="13074" spans="1:8">
      <c r="H13074" t="s">
        <v>31483</v>
      </c>
    </row>
    <row r="13075" spans="1:8">
      <c r="A13075" t="s">
        <v>2316</v>
      </c>
      <c r="B13075">
        <f>HYPERLINK("https://android.googlesource.com/platform/cts/+/b04e27263001428b9f343010f422e71bd8713fe1", "b04e27263001428b9f343010f422e71bd8713fe1")</f>
        <v>0</v>
      </c>
      <c r="C13075">
        <f>HYPERLINK("https://android.googlesource.com/platform/cts/+/69bb567e68e3ea6ea9e8071b3d899da51ed996eb", "69bb567e68e3ea6ea9e8071b3d899da51ed996eb")</f>
        <v>0</v>
      </c>
      <c r="D13075" t="s">
        <v>4949</v>
      </c>
      <c r="E13075" t="s">
        <v>8046</v>
      </c>
      <c r="F13075" t="s">
        <v>13442</v>
      </c>
      <c r="G13075" t="s">
        <v>17564</v>
      </c>
      <c r="H13075" t="s">
        <v>31484</v>
      </c>
    </row>
    <row r="13076" spans="1:8">
      <c r="H13076" t="s">
        <v>31485</v>
      </c>
    </row>
    <row r="13077" spans="1:8">
      <c r="H13077" t="s">
        <v>31486</v>
      </c>
    </row>
    <row r="13078" spans="1:8">
      <c r="H13078" t="s">
        <v>31487</v>
      </c>
    </row>
    <row r="13079" spans="1:8">
      <c r="H13079" t="s">
        <v>31488</v>
      </c>
    </row>
    <row r="13080" spans="1:8">
      <c r="H13080" t="s">
        <v>30984</v>
      </c>
    </row>
    <row r="13081" spans="1:8">
      <c r="H13081" t="s">
        <v>31489</v>
      </c>
    </row>
    <row r="13082" spans="1:8">
      <c r="H13082" t="s">
        <v>31491</v>
      </c>
    </row>
    <row r="13083" spans="1:8">
      <c r="H13083" t="s">
        <v>31492</v>
      </c>
    </row>
    <row r="13084" spans="1:8">
      <c r="H13084" t="s">
        <v>31493</v>
      </c>
    </row>
    <row r="13085" spans="1:8">
      <c r="H13085" t="s">
        <v>31494</v>
      </c>
    </row>
    <row r="13086" spans="1:8">
      <c r="A13086" t="s">
        <v>2321</v>
      </c>
      <c r="B13086">
        <f>HYPERLINK("https://android.googlesource.com/platform/cts/+/5100ab9b0a698ff561ab95b3ba115e47302daccd", "5100ab9b0a698ff561ab95b3ba115e47302daccd")</f>
        <v>0</v>
      </c>
      <c r="C13086">
        <f>HYPERLINK("https://android.googlesource.com/platform/cts/+/eddcacf11881de9baec30662d61563f332c0edca", "eddcacf11881de9baec30662d61563f332c0edca")</f>
        <v>0</v>
      </c>
      <c r="D13086" t="s">
        <v>5132</v>
      </c>
      <c r="E13086" t="s">
        <v>8051</v>
      </c>
      <c r="F13086" t="s">
        <v>12857</v>
      </c>
      <c r="G13086" t="s">
        <v>17027</v>
      </c>
      <c r="H13086" t="s">
        <v>30931</v>
      </c>
    </row>
    <row r="13087" spans="1:8">
      <c r="A13087" t="s">
        <v>2325</v>
      </c>
      <c r="B13087">
        <f>HYPERLINK("https://android.googlesource.com/platform/cts/+/7e609b9d2e8b2875270c6747b141e913180f0059", "7e609b9d2e8b2875270c6747b141e913180f0059")</f>
        <v>0</v>
      </c>
      <c r="C13087">
        <f>HYPERLINK("https://android.googlesource.com/platform/cts/+/83b03f0cd86afea1e3b98fac119f1b943275c6fa", "83b03f0cd86afea1e3b98fac119f1b943275c6fa")</f>
        <v>0</v>
      </c>
      <c r="D13087" t="s">
        <v>5363</v>
      </c>
      <c r="E13087" t="s">
        <v>8055</v>
      </c>
      <c r="F13087" t="s">
        <v>13770</v>
      </c>
      <c r="G13087" t="s">
        <v>14997</v>
      </c>
      <c r="H13087" t="s">
        <v>18974</v>
      </c>
    </row>
    <row r="13088" spans="1:8">
      <c r="A13088" t="s">
        <v>2326</v>
      </c>
      <c r="B13088">
        <f>HYPERLINK("https://android.googlesource.com/platform/cts/+/45fb5484c9a882b8f0974e925075ecd46f3f6aa0", "45fb5484c9a882b8f0974e925075ecd46f3f6aa0")</f>
        <v>0</v>
      </c>
      <c r="C13088">
        <f>HYPERLINK("https://android.googlesource.com/platform/cts/+/de1a06a8c534d6ae497d022cc188be26d95089d0", "de1a06a8c534d6ae497d022cc188be26d95089d0")</f>
        <v>0</v>
      </c>
      <c r="D13088" t="s">
        <v>5375</v>
      </c>
      <c r="E13088" t="s">
        <v>8056</v>
      </c>
      <c r="F13088" t="s">
        <v>13771</v>
      </c>
      <c r="G13088" t="s">
        <v>17826</v>
      </c>
      <c r="H13088" t="s">
        <v>31507</v>
      </c>
    </row>
    <row r="13089" spans="1:8">
      <c r="A13089" t="s">
        <v>2327</v>
      </c>
      <c r="B13089">
        <f>HYPERLINK("https://android.googlesource.com/platform/cts/+/9381b17063063adcf07d795631ec0e81b2b9400d", "9381b17063063adcf07d795631ec0e81b2b9400d")</f>
        <v>0</v>
      </c>
      <c r="C13089">
        <f>HYPERLINK("https://android.googlesource.com/platform/cts/+/f9174105834b117674efb98a8a27ad435a196356", "f9174105834b117674efb98a8a27ad435a196356")</f>
        <v>0</v>
      </c>
      <c r="D13089" t="s">
        <v>5376</v>
      </c>
      <c r="E13089" t="s">
        <v>8057</v>
      </c>
      <c r="F13089" t="s">
        <v>13540</v>
      </c>
      <c r="G13089" t="s">
        <v>17651</v>
      </c>
      <c r="H13089" t="s">
        <v>31508</v>
      </c>
    </row>
    <row r="13090" spans="1:8">
      <c r="H13090" t="s">
        <v>31509</v>
      </c>
    </row>
    <row r="13091" spans="1:8">
      <c r="A13091" t="s">
        <v>2331</v>
      </c>
      <c r="B13091">
        <f>HYPERLINK("https://android.googlesource.com/platform/cts/+/7209dcd2cf7e13f7a1645ba9abdb1da1627fac76", "7209dcd2cf7e13f7a1645ba9abdb1da1627fac76")</f>
        <v>0</v>
      </c>
      <c r="C13091">
        <f>HYPERLINK("https://android.googlesource.com/platform/cts/+/7e7880da7b530fff2e0867ba7e9cc52783f7a28d", "7e7880da7b530fff2e0867ba7e9cc52783f7a28d")</f>
        <v>0</v>
      </c>
      <c r="D13091" t="s">
        <v>5363</v>
      </c>
      <c r="E13091" t="s">
        <v>8061</v>
      </c>
      <c r="F13091" t="s">
        <v>10605</v>
      </c>
      <c r="G13091" t="s">
        <v>15008</v>
      </c>
      <c r="H13091" t="s">
        <v>31512</v>
      </c>
    </row>
    <row r="13092" spans="1:8">
      <c r="A13092" t="s">
        <v>2333</v>
      </c>
      <c r="B13092">
        <f>HYPERLINK("https://android.googlesource.com/platform/cts/+/c0537b5d27438b175132bdc1f9feee52da96797c", "c0537b5d27438b175132bdc1f9feee52da96797c")</f>
        <v>0</v>
      </c>
      <c r="C13092">
        <f>HYPERLINK("https://android.googlesource.com/platform/cts/+/0ad6166affd9adcfd17624c5b20e3a29c04b9ccb", "0ad6166affd9adcfd17624c5b20e3a29c04b9ccb")</f>
        <v>0</v>
      </c>
      <c r="D13092" t="s">
        <v>4981</v>
      </c>
      <c r="E13092" t="s">
        <v>8063</v>
      </c>
      <c r="F13092" t="s">
        <v>13742</v>
      </c>
      <c r="G13092" t="s">
        <v>17802</v>
      </c>
      <c r="H13092" t="s">
        <v>31515</v>
      </c>
    </row>
    <row r="13093" spans="1:8">
      <c r="H13093" t="s">
        <v>31516</v>
      </c>
    </row>
    <row r="13094" spans="1:8">
      <c r="F13094" t="s">
        <v>13743</v>
      </c>
      <c r="G13094" t="s">
        <v>17803</v>
      </c>
      <c r="H13094" t="s">
        <v>31518</v>
      </c>
    </row>
    <row r="13095" spans="1:8">
      <c r="H13095" t="s">
        <v>31519</v>
      </c>
    </row>
    <row r="13096" spans="1:8">
      <c r="F13096" t="s">
        <v>13744</v>
      </c>
      <c r="G13096" t="s">
        <v>17804</v>
      </c>
      <c r="H13096" t="s">
        <v>31521</v>
      </c>
    </row>
    <row r="13097" spans="1:8">
      <c r="H13097" t="s">
        <v>31522</v>
      </c>
    </row>
    <row r="13098" spans="1:8">
      <c r="F13098" t="s">
        <v>13745</v>
      </c>
      <c r="G13098" t="s">
        <v>17805</v>
      </c>
      <c r="H13098" t="s">
        <v>31524</v>
      </c>
    </row>
    <row r="13099" spans="1:8">
      <c r="H13099" t="s">
        <v>31525</v>
      </c>
    </row>
    <row r="13100" spans="1:8">
      <c r="A13100" t="s">
        <v>2334</v>
      </c>
      <c r="B13100">
        <f>HYPERLINK("https://android.googlesource.com/platform/cts/+/1c2bbff7696e02fc7c20afc630be6a1ef635f153", "1c2bbff7696e02fc7c20afc630be6a1ef635f153")</f>
        <v>0</v>
      </c>
      <c r="C13100">
        <f>HYPERLINK("https://android.googlesource.com/platform/cts/+/3b4167f594d9829299a6690e2e1d0920520e5d6f", "3b4167f594d9829299a6690e2e1d0920520e5d6f")</f>
        <v>0</v>
      </c>
      <c r="D13100" t="s">
        <v>5298</v>
      </c>
      <c r="E13100" t="s">
        <v>8064</v>
      </c>
      <c r="F13100" t="s">
        <v>13776</v>
      </c>
      <c r="G13100" t="s">
        <v>17831</v>
      </c>
      <c r="H13100" t="s">
        <v>31533</v>
      </c>
    </row>
    <row r="13101" spans="1:8">
      <c r="A13101" t="s">
        <v>2335</v>
      </c>
      <c r="B13101">
        <f>HYPERLINK("https://android.googlesource.com/platform/cts/+/d6d609a42c9f4a28a9f9b0c69e0fbfcfdd99ce20", "d6d609a42c9f4a28a9f9b0c69e0fbfcfdd99ce20")</f>
        <v>0</v>
      </c>
      <c r="C13101">
        <f>HYPERLINK("https://android.googlesource.com/platform/cts/+/daedc89bb402d6ffa1a383b0b88916fd7b728605", "daedc89bb402d6ffa1a383b0b88916fd7b728605")</f>
        <v>0</v>
      </c>
      <c r="D13101" t="s">
        <v>4981</v>
      </c>
      <c r="E13101" t="s">
        <v>8065</v>
      </c>
      <c r="F13101" t="s">
        <v>13777</v>
      </c>
      <c r="G13101" t="s">
        <v>17832</v>
      </c>
      <c r="H13101" t="s">
        <v>31534</v>
      </c>
    </row>
    <row r="13102" spans="1:8">
      <c r="F13102" t="s">
        <v>13778</v>
      </c>
      <c r="G13102" t="s">
        <v>17833</v>
      </c>
      <c r="H13102" t="s">
        <v>31535</v>
      </c>
    </row>
    <row r="13103" spans="1:8">
      <c r="A13103" t="s">
        <v>2339</v>
      </c>
      <c r="B13103">
        <f>HYPERLINK("https://android.googlesource.com/platform/cts/+/8ed62f56415387ca4671068ffd2d08dfbc27d43e", "8ed62f56415387ca4671068ffd2d08dfbc27d43e")</f>
        <v>0</v>
      </c>
      <c r="C13103">
        <f>HYPERLINK("https://android.googlesource.com/platform/cts/+/7a94e257c39f67f7c61d23e6ea50078bdc0e20ae", "7a94e257c39f67f7c61d23e6ea50078bdc0e20ae")</f>
        <v>0</v>
      </c>
      <c r="D13103" t="s">
        <v>5377</v>
      </c>
      <c r="E13103" t="s">
        <v>8069</v>
      </c>
      <c r="F13103" t="s">
        <v>13780</v>
      </c>
      <c r="G13103" t="s">
        <v>17667</v>
      </c>
      <c r="H13103" t="s">
        <v>29902</v>
      </c>
    </row>
    <row r="13104" spans="1:8">
      <c r="F13104" t="s">
        <v>12394</v>
      </c>
      <c r="G13104" t="s">
        <v>17294</v>
      </c>
      <c r="H13104" t="s">
        <v>31544</v>
      </c>
    </row>
    <row r="13105" spans="1:8">
      <c r="A13105" t="s">
        <v>2347</v>
      </c>
      <c r="B13105">
        <f>HYPERLINK("https://android.googlesource.com/platform/cts/+/25e9b80303296b012d020961ddf34f44150cf60b", "25e9b80303296b012d020961ddf34f44150cf60b")</f>
        <v>0</v>
      </c>
      <c r="C13105">
        <f>HYPERLINK("https://android.googlesource.com/platform/cts/+/b6a914dc4ef14a018d3bddae1cc03eb860a74640", "b6a914dc4ef14a018d3bddae1cc03eb860a74640")</f>
        <v>0</v>
      </c>
      <c r="D13105" t="s">
        <v>5378</v>
      </c>
      <c r="E13105" t="s">
        <v>8077</v>
      </c>
      <c r="F13105" t="s">
        <v>13315</v>
      </c>
      <c r="G13105" t="s">
        <v>17446</v>
      </c>
      <c r="H13105" t="s">
        <v>31550</v>
      </c>
    </row>
    <row r="13106" spans="1:8">
      <c r="H13106" t="s">
        <v>31551</v>
      </c>
    </row>
    <row r="13107" spans="1:8">
      <c r="H13107" t="s">
        <v>31552</v>
      </c>
    </row>
    <row r="13108" spans="1:8">
      <c r="A13108" t="s">
        <v>2348</v>
      </c>
      <c r="B13108">
        <f>HYPERLINK("https://android.googlesource.com/platform/cts/+/32015bc6a975972f6d6424f18f7fc5ba020e4240", "32015bc6a975972f6d6424f18f7fc5ba020e4240")</f>
        <v>0</v>
      </c>
      <c r="C13108">
        <f>HYPERLINK("https://android.googlesource.com/platform/cts/+/d3e71df48b4f858e8fd681025dad93e6117572f8", "d3e71df48b4f858e8fd681025dad93e6117572f8")</f>
        <v>0</v>
      </c>
      <c r="D13108" t="s">
        <v>4981</v>
      </c>
      <c r="E13108" t="s">
        <v>8078</v>
      </c>
      <c r="F13108" t="s">
        <v>13786</v>
      </c>
      <c r="G13108" t="s">
        <v>17840</v>
      </c>
      <c r="H13108" t="s">
        <v>31555</v>
      </c>
    </row>
    <row r="13109" spans="1:8">
      <c r="H13109" t="s">
        <v>31556</v>
      </c>
    </row>
    <row r="13110" spans="1:8">
      <c r="F13110" t="s">
        <v>13787</v>
      </c>
      <c r="G13110" t="s">
        <v>15664</v>
      </c>
      <c r="H13110" t="s">
        <v>31555</v>
      </c>
    </row>
    <row r="13111" spans="1:8">
      <c r="H13111" t="s">
        <v>27405</v>
      </c>
    </row>
    <row r="13112" spans="1:8">
      <c r="A13112" t="s">
        <v>2354</v>
      </c>
      <c r="B13112">
        <f>HYPERLINK("https://android.googlesource.com/platform/cts/+/ab27d3418059c0a89767942a7c8555d4a6d6555a", "ab27d3418059c0a89767942a7c8555d4a6d6555a")</f>
        <v>0</v>
      </c>
      <c r="C13112">
        <f>HYPERLINK("https://android.googlesource.com/platform/cts/+/afea8423d7537d170546be57829986c3c5f21a2a", "afea8423d7537d170546be57829986c3c5f21a2a")</f>
        <v>0</v>
      </c>
      <c r="D13112" t="s">
        <v>5379</v>
      </c>
      <c r="E13112" t="s">
        <v>8084</v>
      </c>
      <c r="F13112" t="s">
        <v>13791</v>
      </c>
      <c r="G13112" t="s">
        <v>17843</v>
      </c>
      <c r="H13112" t="s">
        <v>19536</v>
      </c>
    </row>
    <row r="13113" spans="1:8">
      <c r="A13113" t="s">
        <v>2357</v>
      </c>
      <c r="B13113">
        <f>HYPERLINK("https://android.googlesource.com/platform/cts/+/6e7ba057839a7c2030703081ec7af34fc5d9828e", "6e7ba057839a7c2030703081ec7af34fc5d9828e")</f>
        <v>0</v>
      </c>
      <c r="C13113">
        <f>HYPERLINK("https://android.googlesource.com/platform/cts/+/334f23923d2d46f3e57f17015049d0fee2aceafa", "334f23923d2d46f3e57f17015049d0fee2aceafa")</f>
        <v>0</v>
      </c>
      <c r="D13113" t="s">
        <v>5365</v>
      </c>
      <c r="E13113" t="s">
        <v>8087</v>
      </c>
      <c r="F13113" t="s">
        <v>13736</v>
      </c>
      <c r="G13113" t="s">
        <v>17796</v>
      </c>
      <c r="H13113" t="s">
        <v>31594</v>
      </c>
    </row>
    <row r="13114" spans="1:8">
      <c r="A13114" t="s">
        <v>2358</v>
      </c>
      <c r="B13114">
        <f>HYPERLINK("https://android.googlesource.com/platform/cts/+/2e0f588fa1dcb486ee7a2a790b2f147d2449f892", "2e0f588fa1dcb486ee7a2a790b2f147d2449f892")</f>
        <v>0</v>
      </c>
      <c r="C13114">
        <f>HYPERLINK("https://android.googlesource.com/platform/cts/+/41dcf09dcf5d9832331d87424da46c21cdf590f6", "41dcf09dcf5d9832331d87424da46c21cdf590f6")</f>
        <v>0</v>
      </c>
      <c r="D13114" t="s">
        <v>5096</v>
      </c>
      <c r="E13114" t="s">
        <v>8088</v>
      </c>
      <c r="F13114" t="s">
        <v>12419</v>
      </c>
      <c r="G13114" t="s">
        <v>16641</v>
      </c>
      <c r="H13114" t="s">
        <v>31595</v>
      </c>
    </row>
    <row r="13115" spans="1:8">
      <c r="A13115" t="s">
        <v>2360</v>
      </c>
      <c r="B13115">
        <f>HYPERLINK("https://android.googlesource.com/platform/cts/+/e81877cca7ebbb4bc2f3d9fb46e3a6aef53a81ec", "e81877cca7ebbb4bc2f3d9fb46e3a6aef53a81ec")</f>
        <v>0</v>
      </c>
      <c r="C13115">
        <f>HYPERLINK("https://android.googlesource.com/platform/cts/+/0fc1b7851e546b06d34638ba6bd4719983635b9a", "0fc1b7851e546b06d34638ba6bd4719983635b9a")</f>
        <v>0</v>
      </c>
      <c r="D13115" t="s">
        <v>5380</v>
      </c>
      <c r="E13115" t="s">
        <v>8090</v>
      </c>
      <c r="F13115" t="s">
        <v>13792</v>
      </c>
      <c r="G13115" t="s">
        <v>17844</v>
      </c>
      <c r="H13115" t="s">
        <v>29930</v>
      </c>
    </row>
    <row r="13116" spans="1:8">
      <c r="A13116" t="s">
        <v>2363</v>
      </c>
      <c r="B13116">
        <f>HYPERLINK("https://android.googlesource.com/platform/cts/+/8c23de2732feaff86aa43cd32c659a32beafd7b6", "8c23de2732feaff86aa43cd32c659a32beafd7b6")</f>
        <v>0</v>
      </c>
      <c r="C13116">
        <f>HYPERLINK("https://android.googlesource.com/platform/cts/+/9284c6e1157295c95fe55c40f4c6bbbc2747ffd1", "9284c6e1157295c95fe55c40f4c6bbbc2747ffd1")</f>
        <v>0</v>
      </c>
      <c r="D13116" t="s">
        <v>5180</v>
      </c>
      <c r="E13116" t="s">
        <v>8093</v>
      </c>
      <c r="F13116" t="s">
        <v>13790</v>
      </c>
      <c r="G13116" t="s">
        <v>17519</v>
      </c>
      <c r="H13116" t="s">
        <v>31601</v>
      </c>
    </row>
    <row r="13117" spans="1:8">
      <c r="H13117" t="s">
        <v>31602</v>
      </c>
    </row>
    <row r="13118" spans="1:8">
      <c r="A13118" t="s">
        <v>2364</v>
      </c>
      <c r="B13118">
        <f>HYPERLINK("https://android.googlesource.com/platform/cts/+/c0c6d59aa09fc3e8f003a8e322d00846b3e6d316", "c0c6d59aa09fc3e8f003a8e322d00846b3e6d316")</f>
        <v>0</v>
      </c>
      <c r="C13118">
        <f>HYPERLINK("https://android.googlesource.com/platform/cts/+/a215eb85d4703cc2cfed58495a16be1c99c54830", "a215eb85d4703cc2cfed58495a16be1c99c54830")</f>
        <v>0</v>
      </c>
      <c r="D13118" t="s">
        <v>5134</v>
      </c>
      <c r="E13118" t="s">
        <v>8094</v>
      </c>
      <c r="F13118" t="s">
        <v>13765</v>
      </c>
      <c r="G13118" t="s">
        <v>17822</v>
      </c>
      <c r="H13118" t="s">
        <v>31603</v>
      </c>
    </row>
    <row r="13119" spans="1:8">
      <c r="F13119" t="s">
        <v>13756</v>
      </c>
      <c r="G13119" t="s">
        <v>17371</v>
      </c>
      <c r="H13119" t="s">
        <v>31604</v>
      </c>
    </row>
    <row r="13120" spans="1:8">
      <c r="H13120" t="s">
        <v>31605</v>
      </c>
    </row>
    <row r="13121" spans="1:8">
      <c r="H13121" t="s">
        <v>31606</v>
      </c>
    </row>
    <row r="13122" spans="1:8">
      <c r="A13122" t="s">
        <v>2366</v>
      </c>
      <c r="B13122">
        <f>HYPERLINK("https://android.googlesource.com/platform/cts/+/6f80be06c44349a4c1945c9ef298d5e4f7f28dc6", "6f80be06c44349a4c1945c9ef298d5e4f7f28dc6")</f>
        <v>0</v>
      </c>
      <c r="C13122">
        <f>HYPERLINK("https://android.googlesource.com/platform/cts/+/3d32635e90e7f3faf5916351555e1d9de59fb078", "3d32635e90e7f3faf5916351555e1d9de59fb078")</f>
        <v>0</v>
      </c>
      <c r="D13122" t="s">
        <v>5382</v>
      </c>
      <c r="E13122" t="s">
        <v>8096</v>
      </c>
      <c r="F13122" t="s">
        <v>13795</v>
      </c>
      <c r="G13122" t="s">
        <v>17847</v>
      </c>
      <c r="H13122" t="s">
        <v>31608</v>
      </c>
    </row>
    <row r="13123" spans="1:8">
      <c r="H13123" t="s">
        <v>31609</v>
      </c>
    </row>
    <row r="13124" spans="1:8">
      <c r="H13124" t="s">
        <v>31610</v>
      </c>
    </row>
    <row r="13125" spans="1:8">
      <c r="H13125" t="s">
        <v>31611</v>
      </c>
    </row>
    <row r="13126" spans="1:8">
      <c r="H13126" t="s">
        <v>31612</v>
      </c>
    </row>
    <row r="13127" spans="1:8">
      <c r="H13127" t="s">
        <v>31613</v>
      </c>
    </row>
    <row r="13128" spans="1:8">
      <c r="H13128" t="s">
        <v>31614</v>
      </c>
    </row>
    <row r="13129" spans="1:8">
      <c r="H13129" t="s">
        <v>31615</v>
      </c>
    </row>
    <row r="13130" spans="1:8">
      <c r="A13130" t="s">
        <v>2367</v>
      </c>
      <c r="B13130">
        <f>HYPERLINK("https://android.googlesource.com/platform/cts/+/4af30d7440df06d9779a2177283ed7a08e66af98", "4af30d7440df06d9779a2177283ed7a08e66af98")</f>
        <v>0</v>
      </c>
      <c r="C13130">
        <f>HYPERLINK("https://android.googlesource.com/platform/cts/+/8cfc3b6dc2e1bd4ae45bdfe56d410305bc4bd27b", "8cfc3b6dc2e1bd4ae45bdfe56d410305bc4bd27b")</f>
        <v>0</v>
      </c>
      <c r="D13130" t="s">
        <v>5382</v>
      </c>
      <c r="E13130" t="s">
        <v>8097</v>
      </c>
      <c r="F13130" t="s">
        <v>13795</v>
      </c>
      <c r="G13130" t="s">
        <v>17847</v>
      </c>
      <c r="H13130" t="s">
        <v>31608</v>
      </c>
    </row>
    <row r="13131" spans="1:8">
      <c r="H13131" t="s">
        <v>31609</v>
      </c>
    </row>
    <row r="13132" spans="1:8">
      <c r="H13132" t="s">
        <v>31610</v>
      </c>
    </row>
    <row r="13133" spans="1:8">
      <c r="H13133" t="s">
        <v>31611</v>
      </c>
    </row>
    <row r="13134" spans="1:8">
      <c r="H13134" t="s">
        <v>31612</v>
      </c>
    </row>
    <row r="13135" spans="1:8">
      <c r="H13135" t="s">
        <v>31613</v>
      </c>
    </row>
    <row r="13136" spans="1:8">
      <c r="H13136" t="s">
        <v>31614</v>
      </c>
    </row>
    <row r="13137" spans="1:8">
      <c r="H13137" t="s">
        <v>31615</v>
      </c>
    </row>
    <row r="13138" spans="1:8">
      <c r="A13138" t="s">
        <v>2368</v>
      </c>
      <c r="B13138">
        <f>HYPERLINK("https://android.googlesource.com/platform/cts/+/b01752955ffac6640183feb36433033eb69d0232", "b01752955ffac6640183feb36433033eb69d0232")</f>
        <v>0</v>
      </c>
      <c r="C13138">
        <f>HYPERLINK("https://android.googlesource.com/platform/cts/+/6ed86fb21b871da99052bd1fcb8ff68f383160e9", "6ed86fb21b871da99052bd1fcb8ff68f383160e9")</f>
        <v>0</v>
      </c>
      <c r="D13138" t="s">
        <v>5382</v>
      </c>
      <c r="E13138" t="s">
        <v>8098</v>
      </c>
      <c r="F13138" t="s">
        <v>13795</v>
      </c>
      <c r="G13138" t="s">
        <v>17847</v>
      </c>
      <c r="H13138" t="s">
        <v>31608</v>
      </c>
    </row>
    <row r="13139" spans="1:8">
      <c r="H13139" t="s">
        <v>31609</v>
      </c>
    </row>
    <row r="13140" spans="1:8">
      <c r="H13140" t="s">
        <v>31610</v>
      </c>
    </row>
    <row r="13141" spans="1:8">
      <c r="H13141" t="s">
        <v>31611</v>
      </c>
    </row>
    <row r="13142" spans="1:8">
      <c r="H13142" t="s">
        <v>31612</v>
      </c>
    </row>
    <row r="13143" spans="1:8">
      <c r="H13143" t="s">
        <v>31613</v>
      </c>
    </row>
    <row r="13144" spans="1:8">
      <c r="H13144" t="s">
        <v>31614</v>
      </c>
    </row>
    <row r="13145" spans="1:8">
      <c r="H13145" t="s">
        <v>31615</v>
      </c>
    </row>
    <row r="13146" spans="1:8">
      <c r="A13146" t="s">
        <v>2369</v>
      </c>
      <c r="B13146">
        <f>HYPERLINK("https://android.googlesource.com/platform/cts/+/a56c508c589f37cea9aa28cec18c26665aee2e39", "a56c508c589f37cea9aa28cec18c26665aee2e39")</f>
        <v>0</v>
      </c>
      <c r="C13146">
        <f>HYPERLINK("https://android.googlesource.com/platform/cts/+/3b4167f594d9829299a6690e2e1d0920520e5d6f", "3b4167f594d9829299a6690e2e1d0920520e5d6f")</f>
        <v>0</v>
      </c>
      <c r="D13146" t="s">
        <v>5298</v>
      </c>
      <c r="E13146" t="s">
        <v>8099</v>
      </c>
      <c r="F13146" t="s">
        <v>13776</v>
      </c>
      <c r="G13146" t="s">
        <v>17831</v>
      </c>
      <c r="H13146" t="s">
        <v>31533</v>
      </c>
    </row>
    <row r="13147" spans="1:8">
      <c r="A13147" t="s">
        <v>2370</v>
      </c>
      <c r="B13147">
        <f>HYPERLINK("https://android.googlesource.com/platform/cts/+/d834029ae5a4d29afb15c1e96a53c6be317209a8", "d834029ae5a4d29afb15c1e96a53c6be317209a8")</f>
        <v>0</v>
      </c>
      <c r="C13147">
        <f>HYPERLINK("https://android.googlesource.com/platform/cts/+/72919e867b673e218449b6edae714dda749cb573", "72919e867b673e218449b6edae714dda749cb573")</f>
        <v>0</v>
      </c>
      <c r="D13147" t="s">
        <v>5134</v>
      </c>
      <c r="E13147" t="s">
        <v>8100</v>
      </c>
      <c r="F13147" t="s">
        <v>13428</v>
      </c>
      <c r="G13147" t="s">
        <v>17552</v>
      </c>
      <c r="H13147" t="s">
        <v>31617</v>
      </c>
    </row>
    <row r="13148" spans="1:8">
      <c r="A13148" t="s">
        <v>2379</v>
      </c>
      <c r="B13148">
        <f>HYPERLINK("https://android.googlesource.com/platform/cts/+/83ea2a67c60155fdff8194474dee2d9178d48461", "83ea2a67c60155fdff8194474dee2d9178d48461")</f>
        <v>0</v>
      </c>
      <c r="C13148">
        <f>HYPERLINK("https://android.googlesource.com/platform/cts/+/de4ddc0452fdead5ded61d2bb47a8ef32274bade", "de4ddc0452fdead5ded61d2bb47a8ef32274bade")</f>
        <v>0</v>
      </c>
      <c r="D13148" t="s">
        <v>5128</v>
      </c>
      <c r="E13148" t="s">
        <v>8109</v>
      </c>
      <c r="F13148" t="s">
        <v>13798</v>
      </c>
      <c r="G13148" t="s">
        <v>17850</v>
      </c>
      <c r="H13148" t="s">
        <v>26807</v>
      </c>
    </row>
    <row r="13149" spans="1:8">
      <c r="H13149" t="s">
        <v>31629</v>
      </c>
    </row>
    <row r="13150" spans="1:8">
      <c r="H13150" t="s">
        <v>31630</v>
      </c>
    </row>
    <row r="13151" spans="1:8">
      <c r="H13151" t="s">
        <v>31631</v>
      </c>
    </row>
    <row r="13152" spans="1:8">
      <c r="H13152" t="s">
        <v>31632</v>
      </c>
    </row>
    <row r="13153" spans="1:8">
      <c r="A13153" t="s">
        <v>2382</v>
      </c>
      <c r="B13153">
        <f>HYPERLINK("https://android.googlesource.com/platform/cts/+/2ac8add1d429cdf0aa63d753a3f6cc96c5a0a65a", "2ac8add1d429cdf0aa63d753a3f6cc96c5a0a65a")</f>
        <v>0</v>
      </c>
      <c r="C13153">
        <f>HYPERLINK("https://android.googlesource.com/platform/cts/+/a6e1a886435bbbca18470f4370607e7e977f92e0", "a6e1a886435bbbca18470f4370607e7e977f92e0")</f>
        <v>0</v>
      </c>
      <c r="D13153" t="s">
        <v>5384</v>
      </c>
      <c r="E13153" t="s">
        <v>8112</v>
      </c>
      <c r="F13153" t="s">
        <v>13801</v>
      </c>
      <c r="G13153" t="s">
        <v>16597</v>
      </c>
      <c r="H13153" t="s">
        <v>22521</v>
      </c>
    </row>
    <row r="13154" spans="1:8">
      <c r="H13154" t="s">
        <v>22528</v>
      </c>
    </row>
    <row r="13155" spans="1:8">
      <c r="H13155" t="s">
        <v>22529</v>
      </c>
    </row>
    <row r="13156" spans="1:8">
      <c r="A13156" t="s">
        <v>2385</v>
      </c>
      <c r="B13156">
        <f>HYPERLINK("https://android.googlesource.com/platform/cts/+/15adc74127c14192af55ad176c7d341d257f7e53", "15adc74127c14192af55ad176c7d341d257f7e53")</f>
        <v>0</v>
      </c>
      <c r="C13156">
        <f>HYPERLINK("https://android.googlesource.com/platform/cts/+/065a4af81935925843c8af215faaef9d37ced9dd", "065a4af81935925843c8af215faaef9d37ced9dd")</f>
        <v>0</v>
      </c>
      <c r="D13156" t="s">
        <v>4981</v>
      </c>
      <c r="E13156" t="s">
        <v>8115</v>
      </c>
      <c r="F13156" t="s">
        <v>13727</v>
      </c>
      <c r="G13156" t="s">
        <v>17789</v>
      </c>
      <c r="H13156" t="s">
        <v>31644</v>
      </c>
    </row>
    <row r="13157" spans="1:8">
      <c r="F13157" t="s">
        <v>13803</v>
      </c>
      <c r="G13157" t="s">
        <v>17853</v>
      </c>
      <c r="H13157" t="s">
        <v>31645</v>
      </c>
    </row>
    <row r="13158" spans="1:8">
      <c r="H13158" t="s">
        <v>31646</v>
      </c>
    </row>
    <row r="13159" spans="1:8">
      <c r="A13159" t="s">
        <v>2386</v>
      </c>
      <c r="B13159">
        <f>HYPERLINK("https://android.googlesource.com/platform/cts/+/9266cc482e77c36e3770fe9ca0bafa2ba5efedf3", "9266cc482e77c36e3770fe9ca0bafa2ba5efedf3")</f>
        <v>0</v>
      </c>
      <c r="C13159">
        <f>HYPERLINK("https://android.googlesource.com/platform/cts/+/5490e152f631371feaf326124b9bf8494e004673", "5490e152f631371feaf326124b9bf8494e004673")</f>
        <v>0</v>
      </c>
      <c r="D13159" t="s">
        <v>5386</v>
      </c>
      <c r="E13159" t="s">
        <v>8116</v>
      </c>
      <c r="F13159" t="s">
        <v>13000</v>
      </c>
      <c r="G13159" t="s">
        <v>17164</v>
      </c>
      <c r="H13159" t="s">
        <v>31648</v>
      </c>
    </row>
    <row r="13160" spans="1:8">
      <c r="A13160" t="s">
        <v>2389</v>
      </c>
      <c r="B13160">
        <f>HYPERLINK("https://android.googlesource.com/platform/cts/+/89abe2222c580a3c53ed464f03079a7b6f6b65ef", "89abe2222c580a3c53ed464f03079a7b6f6b65ef")</f>
        <v>0</v>
      </c>
      <c r="C13160">
        <f>HYPERLINK("https://android.googlesource.com/platform/cts/+/b8c1e574fa53d17bd9698ea61a24ada0738ba5f3", "b8c1e574fa53d17bd9698ea61a24ada0738ba5f3")</f>
        <v>0</v>
      </c>
      <c r="D13160" t="s">
        <v>5371</v>
      </c>
      <c r="E13160" t="s">
        <v>8119</v>
      </c>
      <c r="F13160" t="s">
        <v>10687</v>
      </c>
      <c r="G13160" t="s">
        <v>15087</v>
      </c>
      <c r="H13160" t="s">
        <v>19520</v>
      </c>
    </row>
    <row r="13161" spans="1:8">
      <c r="H13161" t="s">
        <v>31659</v>
      </c>
    </row>
    <row r="13162" spans="1:8">
      <c r="A13162" t="s">
        <v>2390</v>
      </c>
      <c r="B13162">
        <f>HYPERLINK("https://android.googlesource.com/platform/cts/+/95cd19ec1ae583905ef4a6d3bb949bc41a84173d", "95cd19ec1ae583905ef4a6d3bb949bc41a84173d")</f>
        <v>0</v>
      </c>
      <c r="C13162">
        <f>HYPERLINK("https://android.googlesource.com/platform/cts/+/065a4af81935925843c8af215faaef9d37ced9dd", "065a4af81935925843c8af215faaef9d37ced9dd")</f>
        <v>0</v>
      </c>
      <c r="D13162" t="s">
        <v>5260</v>
      </c>
      <c r="E13162" t="s">
        <v>8120</v>
      </c>
      <c r="F13162" t="s">
        <v>10687</v>
      </c>
      <c r="G13162" t="s">
        <v>15087</v>
      </c>
      <c r="H13162" t="s">
        <v>31667</v>
      </c>
    </row>
    <row r="13163" spans="1:8">
      <c r="A13163" t="s">
        <v>2391</v>
      </c>
      <c r="B13163">
        <f>HYPERLINK("https://android.googlesource.com/platform/cts/+/99f6caabbfe25cd292362686f475756fd04430c9", "99f6caabbfe25cd292362686f475756fd04430c9")</f>
        <v>0</v>
      </c>
      <c r="C13163">
        <f>HYPERLINK("https://android.googlesource.com/platform/cts/+/462659424c433c84a2f0da1bc40404a1ded46856", "462659424c433c84a2f0da1bc40404a1ded46856")</f>
        <v>0</v>
      </c>
      <c r="D13163" t="s">
        <v>5233</v>
      </c>
      <c r="E13163" t="s">
        <v>8121</v>
      </c>
      <c r="F13163" t="s">
        <v>13805</v>
      </c>
      <c r="G13163" t="s">
        <v>15718</v>
      </c>
      <c r="H13163" t="s">
        <v>20443</v>
      </c>
    </row>
    <row r="13164" spans="1:8">
      <c r="A13164" t="s">
        <v>2396</v>
      </c>
      <c r="B13164">
        <f>HYPERLINK("https://android.googlesource.com/platform/cts/+/9eeedd679010c78c9c0fac6cea97ad4fc417bc28", "9eeedd679010c78c9c0fac6cea97ad4fc417bc28")</f>
        <v>0</v>
      </c>
      <c r="C13164">
        <f>HYPERLINK("https://android.googlesource.com/platform/cts/+/805c99940609fb19a0c1f9820619a148e4429c34", "805c99940609fb19a0c1f9820619a148e4429c34")</f>
        <v>0</v>
      </c>
      <c r="D13164" t="s">
        <v>5233</v>
      </c>
      <c r="E13164" t="s">
        <v>8126</v>
      </c>
      <c r="F13164" t="s">
        <v>13805</v>
      </c>
      <c r="G13164" t="s">
        <v>15718</v>
      </c>
      <c r="H13164" t="s">
        <v>20443</v>
      </c>
    </row>
    <row r="13165" spans="1:8">
      <c r="A13165" t="s">
        <v>2403</v>
      </c>
      <c r="B13165">
        <f>HYPERLINK("https://android.googlesource.com/platform/cts/+/2e7d7929f8bdbc477882dba9bb5108e1235a4f43", "2e7d7929f8bdbc477882dba9bb5108e1235a4f43")</f>
        <v>0</v>
      </c>
      <c r="C13165">
        <f>HYPERLINK("https://android.googlesource.com/platform/cts/+/b733e464763564bf471eb2443199361b2b464460", "b733e464763564bf471eb2443199361b2b464460")</f>
        <v>0</v>
      </c>
      <c r="D13165" t="s">
        <v>5388</v>
      </c>
      <c r="E13165" t="s">
        <v>8133</v>
      </c>
      <c r="F13165" t="s">
        <v>13811</v>
      </c>
      <c r="G13165" t="s">
        <v>17858</v>
      </c>
      <c r="H13165" t="s">
        <v>31689</v>
      </c>
    </row>
    <row r="13166" spans="1:8">
      <c r="A13166" t="s">
        <v>2406</v>
      </c>
      <c r="B13166">
        <f>HYPERLINK("https://android.googlesource.com/platform/cts/+/2d0c7a10382fdedc4c2ede0498c9c6cf2ef73006", "2d0c7a10382fdedc4c2ede0498c9c6cf2ef73006")</f>
        <v>0</v>
      </c>
      <c r="C13166">
        <f>HYPERLINK("https://android.googlesource.com/platform/cts/+/5674d8e23177c06053b2081182cb192707a1fd6e", "5674d8e23177c06053b2081182cb192707a1fd6e")</f>
        <v>0</v>
      </c>
      <c r="D13166" t="s">
        <v>5134</v>
      </c>
      <c r="E13166" t="s">
        <v>8136</v>
      </c>
      <c r="F13166" t="s">
        <v>13813</v>
      </c>
      <c r="G13166" t="s">
        <v>17860</v>
      </c>
      <c r="H13166" t="s">
        <v>31694</v>
      </c>
    </row>
    <row r="13167" spans="1:8">
      <c r="H13167" t="s">
        <v>31695</v>
      </c>
    </row>
    <row r="13168" spans="1:8">
      <c r="H13168" t="s">
        <v>31696</v>
      </c>
    </row>
    <row r="13169" spans="1:8">
      <c r="H13169" t="s">
        <v>31697</v>
      </c>
    </row>
    <row r="13170" spans="1:8">
      <c r="H13170" t="s">
        <v>31698</v>
      </c>
    </row>
    <row r="13171" spans="1:8">
      <c r="A13171" t="s">
        <v>2407</v>
      </c>
      <c r="B13171">
        <f>HYPERLINK("https://android.googlesource.com/platform/cts/+/90e5b6bba4c9f5754a3c2cfe517c70c24b6f34e1", "90e5b6bba4c9f5754a3c2cfe517c70c24b6f34e1")</f>
        <v>0</v>
      </c>
      <c r="C13171">
        <f>HYPERLINK("https://android.googlesource.com/platform/cts/+/ffd1807fbf182f969fc022c7d13328ea2aa19860", "ffd1807fbf182f969fc022c7d13328ea2aa19860")</f>
        <v>0</v>
      </c>
      <c r="D13171" t="s">
        <v>5134</v>
      </c>
      <c r="E13171" t="s">
        <v>8137</v>
      </c>
      <c r="F13171" t="s">
        <v>13765</v>
      </c>
      <c r="G13171" t="s">
        <v>17822</v>
      </c>
      <c r="H13171" t="s">
        <v>31703</v>
      </c>
    </row>
    <row r="13172" spans="1:8">
      <c r="A13172" t="s">
        <v>2409</v>
      </c>
      <c r="B13172">
        <f>HYPERLINK("https://android.googlesource.com/platform/cts/+/c914f09595b760b16ae5897f843f4b05e2e2ce2e", "c914f09595b760b16ae5897f843f4b05e2e2ce2e")</f>
        <v>0</v>
      </c>
      <c r="C13172">
        <f>HYPERLINK("https://android.googlesource.com/platform/cts/+/4c9a008f627d23f85490a850b53060aae375019e", "4c9a008f627d23f85490a850b53060aae375019e")</f>
        <v>0</v>
      </c>
      <c r="D13172" t="s">
        <v>4960</v>
      </c>
      <c r="E13172" t="s">
        <v>8139</v>
      </c>
      <c r="F13172" t="s">
        <v>10682</v>
      </c>
      <c r="G13172" t="s">
        <v>15082</v>
      </c>
      <c r="H13172" t="s">
        <v>31705</v>
      </c>
    </row>
    <row r="13173" spans="1:8">
      <c r="A13173" t="s">
        <v>2412</v>
      </c>
      <c r="B13173">
        <f>HYPERLINK("https://android.googlesource.com/platform/cts/+/fdc5165862fc54337b714ab6f5c7df1b98eec0b3", "fdc5165862fc54337b714ab6f5c7df1b98eec0b3")</f>
        <v>0</v>
      </c>
      <c r="C13173">
        <f>HYPERLINK("https://android.googlesource.com/platform/cts/+/3d81df75ae6d04d0581a50b35e758279ed760b93", "3d81df75ae6d04d0581a50b35e758279ed760b93")</f>
        <v>0</v>
      </c>
      <c r="D13173" t="s">
        <v>5195</v>
      </c>
      <c r="E13173" t="s">
        <v>8142</v>
      </c>
      <c r="F13173" t="s">
        <v>10594</v>
      </c>
      <c r="G13173" t="s">
        <v>14997</v>
      </c>
      <c r="H13173" t="s">
        <v>31710</v>
      </c>
    </row>
    <row r="13174" spans="1:8">
      <c r="A13174" t="s">
        <v>2417</v>
      </c>
      <c r="B13174">
        <f>HYPERLINK("https://android.googlesource.com/platform/cts/+/5d6ca17d58062a6747d49af06a66a7cb3cb61f91", "5d6ca17d58062a6747d49af06a66a7cb3cb61f91")</f>
        <v>0</v>
      </c>
      <c r="C13174">
        <f>HYPERLINK("https://android.googlesource.com/platform/cts/+/a7d12a320775746cd9564f6d89e8d2b511ee4782", "a7d12a320775746cd9564f6d89e8d2b511ee4782")</f>
        <v>0</v>
      </c>
      <c r="D13174" t="s">
        <v>5372</v>
      </c>
      <c r="E13174" t="s">
        <v>8147</v>
      </c>
      <c r="F13174" t="s">
        <v>13768</v>
      </c>
      <c r="G13174" t="s">
        <v>17825</v>
      </c>
      <c r="H13174" t="s">
        <v>31712</v>
      </c>
    </row>
    <row r="13175" spans="1:8">
      <c r="H13175" t="s">
        <v>31714</v>
      </c>
    </row>
    <row r="13176" spans="1:8">
      <c r="H13176" t="s">
        <v>31715</v>
      </c>
    </row>
    <row r="13177" spans="1:8">
      <c r="A13177" t="s">
        <v>2418</v>
      </c>
      <c r="B13177">
        <f>HYPERLINK("https://android.googlesource.com/platform/cts/+/9e64e27feaed46f6c7d942fd3b45745d3ee64a9c", "9e64e27feaed46f6c7d942fd3b45745d3ee64a9c")</f>
        <v>0</v>
      </c>
      <c r="C13177">
        <f>HYPERLINK("https://android.googlesource.com/platform/cts/+/54526dee3443d0b16e12fe2665663f371087dc2d", "54526dee3443d0b16e12fe2665663f371087dc2d")</f>
        <v>0</v>
      </c>
      <c r="D13177" t="s">
        <v>5225</v>
      </c>
      <c r="E13177" t="s">
        <v>8148</v>
      </c>
      <c r="F13177" t="s">
        <v>13822</v>
      </c>
      <c r="G13177" t="s">
        <v>17866</v>
      </c>
      <c r="H13177" t="s">
        <v>29933</v>
      </c>
    </row>
    <row r="13178" spans="1:8">
      <c r="F13178" t="s">
        <v>13823</v>
      </c>
      <c r="G13178" t="s">
        <v>17867</v>
      </c>
      <c r="H13178" t="s">
        <v>29933</v>
      </c>
    </row>
    <row r="13179" spans="1:8">
      <c r="F13179" t="s">
        <v>13824</v>
      </c>
      <c r="G13179" t="s">
        <v>17868</v>
      </c>
      <c r="H13179" t="s">
        <v>29933</v>
      </c>
    </row>
    <row r="13180" spans="1:8">
      <c r="F13180" t="s">
        <v>13825</v>
      </c>
      <c r="G13180" t="s">
        <v>17869</v>
      </c>
      <c r="H13180" t="s">
        <v>29933</v>
      </c>
    </row>
    <row r="13181" spans="1:8">
      <c r="A13181" t="s">
        <v>2420</v>
      </c>
      <c r="B13181">
        <f>HYPERLINK("https://android.googlesource.com/platform/cts/+/d551acf22ffd8d62555d367ef6beac5c2f9c77d5", "d551acf22ffd8d62555d367ef6beac5c2f9c77d5")</f>
        <v>0</v>
      </c>
      <c r="C13181">
        <f>HYPERLINK("https://android.googlesource.com/platform/cts/+/f9a4592e8c79a4388009143df53574583f43c785", "f9a4592e8c79a4388009143df53574583f43c785")</f>
        <v>0</v>
      </c>
      <c r="D13181" t="s">
        <v>5341</v>
      </c>
      <c r="E13181" t="s">
        <v>8150</v>
      </c>
      <c r="F13181" t="s">
        <v>13827</v>
      </c>
      <c r="G13181" t="s">
        <v>17871</v>
      </c>
      <c r="H13181" t="s">
        <v>31722</v>
      </c>
    </row>
    <row r="13182" spans="1:8">
      <c r="A13182" t="s">
        <v>2421</v>
      </c>
      <c r="B13182">
        <f>HYPERLINK("https://android.googlesource.com/platform/cts/+/6217410640d9d20fe453d4f31a2be8324eb3b4e5", "6217410640d9d20fe453d4f31a2be8324eb3b4e5")</f>
        <v>0</v>
      </c>
      <c r="C13182">
        <f>HYPERLINK("https://android.googlesource.com/platform/cts/+/5a72ff3e93ea1d83a78cd6b9d602ebbce1211590", "5a72ff3e93ea1d83a78cd6b9d602ebbce1211590")</f>
        <v>0</v>
      </c>
      <c r="D13182" t="s">
        <v>5117</v>
      </c>
      <c r="E13182" t="s">
        <v>8151</v>
      </c>
      <c r="F13182" t="s">
        <v>13788</v>
      </c>
      <c r="G13182" t="s">
        <v>17841</v>
      </c>
      <c r="H13182" t="s">
        <v>31723</v>
      </c>
    </row>
    <row r="13183" spans="1:8">
      <c r="A13183" t="s">
        <v>2422</v>
      </c>
      <c r="B13183">
        <f>HYPERLINK("https://android.googlesource.com/platform/cts/+/1a47a8bebbac45f67d05c718859a10909fdc7cb1", "1a47a8bebbac45f67d05c718859a10909fdc7cb1")</f>
        <v>0</v>
      </c>
      <c r="C13183">
        <f>HYPERLINK("https://android.googlesource.com/platform/cts/+/b87bcd54900dc4365cd53cb2d952c53a56be3918", "b87bcd54900dc4365cd53cb2d952c53a56be3918")</f>
        <v>0</v>
      </c>
      <c r="D13183" t="s">
        <v>5363</v>
      </c>
      <c r="E13183" t="s">
        <v>8152</v>
      </c>
      <c r="F13183" t="s">
        <v>13828</v>
      </c>
      <c r="G13183" t="s">
        <v>17872</v>
      </c>
      <c r="H13183" t="s">
        <v>31724</v>
      </c>
    </row>
    <row r="13184" spans="1:8">
      <c r="H13184" t="s">
        <v>31725</v>
      </c>
    </row>
    <row r="13185" spans="1:8">
      <c r="H13185" t="s">
        <v>31726</v>
      </c>
    </row>
    <row r="13186" spans="1:8">
      <c r="H13186" t="s">
        <v>31727</v>
      </c>
    </row>
    <row r="13187" spans="1:8">
      <c r="H13187" t="s">
        <v>31728</v>
      </c>
    </row>
    <row r="13188" spans="1:8">
      <c r="H13188" t="s">
        <v>31729</v>
      </c>
    </row>
    <row r="13189" spans="1:8">
      <c r="H13189" t="s">
        <v>31730</v>
      </c>
    </row>
    <row r="13190" spans="1:8">
      <c r="F13190" t="s">
        <v>13829</v>
      </c>
      <c r="G13190" t="s">
        <v>17873</v>
      </c>
      <c r="H13190" t="s">
        <v>31731</v>
      </c>
    </row>
    <row r="13191" spans="1:8">
      <c r="H13191" t="s">
        <v>31732</v>
      </c>
    </row>
    <row r="13192" spans="1:8">
      <c r="F13192" t="s">
        <v>10605</v>
      </c>
      <c r="G13192" t="s">
        <v>15008</v>
      </c>
      <c r="H13192" t="s">
        <v>31733</v>
      </c>
    </row>
    <row r="13193" spans="1:8">
      <c r="F13193" t="s">
        <v>12171</v>
      </c>
      <c r="G13193" t="s">
        <v>15008</v>
      </c>
      <c r="H13193" t="s">
        <v>31733</v>
      </c>
    </row>
    <row r="13194" spans="1:8">
      <c r="A13194" t="s">
        <v>2425</v>
      </c>
      <c r="B13194">
        <f>HYPERLINK("https://android.googlesource.com/platform/cts/+/7293b1224b2b96feed4aaaaf84d268e3e77d4b23", "7293b1224b2b96feed4aaaaf84d268e3e77d4b23")</f>
        <v>0</v>
      </c>
      <c r="C13194">
        <f>HYPERLINK("https://android.googlesource.com/platform/cts/+/4e522d6d9231c1ed79b118a6ca0cccc71854f2e1", "4e522d6d9231c1ed79b118a6ca0cccc71854f2e1")</f>
        <v>0</v>
      </c>
      <c r="D13194" t="s">
        <v>5374</v>
      </c>
      <c r="E13194" t="s">
        <v>8155</v>
      </c>
      <c r="F13194" t="s">
        <v>12733</v>
      </c>
      <c r="G13194" t="s">
        <v>16854</v>
      </c>
      <c r="H13194" t="s">
        <v>31747</v>
      </c>
    </row>
    <row r="13195" spans="1:8">
      <c r="A13195" t="s">
        <v>2427</v>
      </c>
      <c r="B13195">
        <f>HYPERLINK("https://android.googlesource.com/platform/cts/+/93767c370f0cde262c3f746b6cfea9b1d2475b48", "93767c370f0cde262c3f746b6cfea9b1d2475b48")</f>
        <v>0</v>
      </c>
      <c r="C13195">
        <f>HYPERLINK("https://android.googlesource.com/platform/cts/+/4d3fa970a0d5b6eae5f382afc9ef46012c72502c", "4d3fa970a0d5b6eae5f382afc9ef46012c72502c")</f>
        <v>0</v>
      </c>
      <c r="D13195" t="s">
        <v>5262</v>
      </c>
      <c r="E13195" t="s">
        <v>8157</v>
      </c>
      <c r="F13195" t="s">
        <v>13833</v>
      </c>
      <c r="G13195" t="s">
        <v>17876</v>
      </c>
      <c r="H13195" t="s">
        <v>31753</v>
      </c>
    </row>
    <row r="13196" spans="1:8">
      <c r="A13196" t="s">
        <v>2428</v>
      </c>
      <c r="B13196">
        <f>HYPERLINK("https://android.googlesource.com/platform/cts/+/1565e443df4bb1becb0d0a216a5659ed68a76093", "1565e443df4bb1becb0d0a216a5659ed68a76093")</f>
        <v>0</v>
      </c>
      <c r="C13196">
        <f>HYPERLINK("https://android.googlesource.com/platform/cts/+/6a10361096d695cca25a05a240ecf5aa6c364d67", "6a10361096d695cca25a05a240ecf5aa6c364d67")</f>
        <v>0</v>
      </c>
      <c r="D13196" t="s">
        <v>5118</v>
      </c>
      <c r="E13196" t="s">
        <v>8158</v>
      </c>
      <c r="F13196" t="s">
        <v>13273</v>
      </c>
      <c r="G13196" t="s">
        <v>17410</v>
      </c>
      <c r="H13196" t="s">
        <v>31754</v>
      </c>
    </row>
    <row r="13197" spans="1:8">
      <c r="H13197" t="s">
        <v>31755</v>
      </c>
    </row>
    <row r="13198" spans="1:8">
      <c r="H13198" t="s">
        <v>31756</v>
      </c>
    </row>
    <row r="13199" spans="1:8">
      <c r="H13199" t="s">
        <v>31757</v>
      </c>
    </row>
    <row r="13200" spans="1:8">
      <c r="H13200" t="s">
        <v>31758</v>
      </c>
    </row>
    <row r="13201" spans="1:8">
      <c r="H13201" t="s">
        <v>19013</v>
      </c>
    </row>
    <row r="13202" spans="1:8">
      <c r="H13202" t="s">
        <v>31759</v>
      </c>
    </row>
    <row r="13203" spans="1:8">
      <c r="F13203" t="s">
        <v>13834</v>
      </c>
      <c r="G13203" t="s">
        <v>17877</v>
      </c>
      <c r="H13203" t="s">
        <v>31760</v>
      </c>
    </row>
    <row r="13204" spans="1:8">
      <c r="H13204" t="s">
        <v>31761</v>
      </c>
    </row>
    <row r="13205" spans="1:8">
      <c r="H13205" t="s">
        <v>31762</v>
      </c>
    </row>
    <row r="13206" spans="1:8">
      <c r="H13206" t="s">
        <v>31763</v>
      </c>
    </row>
    <row r="13207" spans="1:8">
      <c r="H13207" t="s">
        <v>31764</v>
      </c>
    </row>
    <row r="13208" spans="1:8">
      <c r="H13208" t="s">
        <v>31765</v>
      </c>
    </row>
    <row r="13209" spans="1:8">
      <c r="H13209" t="s">
        <v>31766</v>
      </c>
    </row>
    <row r="13210" spans="1:8">
      <c r="H13210" t="s">
        <v>31767</v>
      </c>
    </row>
    <row r="13211" spans="1:8">
      <c r="H13211" t="s">
        <v>31768</v>
      </c>
    </row>
    <row r="13212" spans="1:8">
      <c r="H13212" t="s">
        <v>31769</v>
      </c>
    </row>
    <row r="13213" spans="1:8">
      <c r="A13213" t="s">
        <v>2433</v>
      </c>
      <c r="B13213">
        <f>HYPERLINK("https://android.googlesource.com/platform/cts/+/0a4b52835219a6dff395ad95caf159120dd1679b", "0a4b52835219a6dff395ad95caf159120dd1679b")</f>
        <v>0</v>
      </c>
      <c r="C13213">
        <f>HYPERLINK("https://android.googlesource.com/platform/cts/+/32086afe3ce09f24babba099c51dd6fefac5fe80", "32086afe3ce09f24babba099c51dd6fefac5fe80")</f>
        <v>0</v>
      </c>
      <c r="D13213" t="s">
        <v>5290</v>
      </c>
      <c r="E13213" t="s">
        <v>8163</v>
      </c>
      <c r="F13213" t="s">
        <v>13838</v>
      </c>
      <c r="G13213" t="s">
        <v>17881</v>
      </c>
      <c r="H13213" t="s">
        <v>31785</v>
      </c>
    </row>
    <row r="13214" spans="1:8">
      <c r="A13214" t="s">
        <v>2440</v>
      </c>
      <c r="B13214">
        <f>HYPERLINK("https://android.googlesource.com/platform/cts/+/2bbee6e1e5f35136311749b061a468b9b223d840", "2bbee6e1e5f35136311749b061a468b9b223d840")</f>
        <v>0</v>
      </c>
      <c r="C13214">
        <f>HYPERLINK("https://android.googlesource.com/platform/cts/+/be6d34f5c3b4e92204a1128d90b34e330e52f768", "be6d34f5c3b4e92204a1128d90b34e330e52f768")</f>
        <v>0</v>
      </c>
      <c r="D13214" t="s">
        <v>5392</v>
      </c>
      <c r="E13214" t="s">
        <v>8170</v>
      </c>
      <c r="F13214" t="s">
        <v>13220</v>
      </c>
      <c r="G13214" t="s">
        <v>17361</v>
      </c>
      <c r="H13214" t="s">
        <v>31810</v>
      </c>
    </row>
    <row r="13215" spans="1:8">
      <c r="H13215" t="s">
        <v>31811</v>
      </c>
    </row>
    <row r="13216" spans="1:8">
      <c r="H13216" t="s">
        <v>31812</v>
      </c>
    </row>
    <row r="13217" spans="1:8">
      <c r="A13217" t="s">
        <v>2442</v>
      </c>
      <c r="B13217">
        <f>HYPERLINK("https://android.googlesource.com/platform/cts/+/61097212329e37c755dddac701c56daee8916620", "61097212329e37c755dddac701c56daee8916620")</f>
        <v>0</v>
      </c>
      <c r="C13217">
        <f>HYPERLINK("https://android.googlesource.com/platform/cts/+/7a7a4d51783339d3fe1b8f861c9c104ad8d5127b", "7a7a4d51783339d3fe1b8f861c9c104ad8d5127b")</f>
        <v>0</v>
      </c>
      <c r="D13217" t="s">
        <v>5375</v>
      </c>
      <c r="E13217" t="s">
        <v>8172</v>
      </c>
      <c r="F13217" t="s">
        <v>13771</v>
      </c>
      <c r="G13217" t="s">
        <v>17826</v>
      </c>
      <c r="H13217" t="s">
        <v>31819</v>
      </c>
    </row>
    <row r="13218" spans="1:8">
      <c r="H13218" t="s">
        <v>31820</v>
      </c>
    </row>
    <row r="13219" spans="1:8">
      <c r="H13219" t="s">
        <v>31821</v>
      </c>
    </row>
    <row r="13220" spans="1:8">
      <c r="H13220" t="s">
        <v>31822</v>
      </c>
    </row>
    <row r="13221" spans="1:8">
      <c r="A13221" t="s">
        <v>2444</v>
      </c>
      <c r="B13221">
        <f>HYPERLINK("https://android.googlesource.com/platform/cts/+/e05ffed599d17559af16e04d17fcf74d075b7939", "e05ffed599d17559af16e04d17fcf74d075b7939")</f>
        <v>0</v>
      </c>
      <c r="C13221">
        <f>HYPERLINK("https://android.googlesource.com/platform/cts/+/b9b5147fcf9e2006cdac7baa91394a628439620a", "b9b5147fcf9e2006cdac7baa91394a628439620a")</f>
        <v>0</v>
      </c>
      <c r="D13221" t="s">
        <v>5393</v>
      </c>
      <c r="E13221" t="s">
        <v>8174</v>
      </c>
      <c r="F13221" t="s">
        <v>13844</v>
      </c>
      <c r="G13221" t="s">
        <v>17887</v>
      </c>
      <c r="H13221" t="s">
        <v>31825</v>
      </c>
    </row>
    <row r="13222" spans="1:8">
      <c r="F13222" t="s">
        <v>12743</v>
      </c>
      <c r="G13222" t="s">
        <v>16935</v>
      </c>
      <c r="H13222" t="s">
        <v>31825</v>
      </c>
    </row>
    <row r="13223" spans="1:8">
      <c r="A13223" t="s">
        <v>2454</v>
      </c>
      <c r="B13223">
        <f>HYPERLINK("https://android.googlesource.com/platform/cts/+/d4cb745ba90cc3238a7bdd66cfd7b449339dc00e", "d4cb745ba90cc3238a7bdd66cfd7b449339dc00e")</f>
        <v>0</v>
      </c>
      <c r="C13223">
        <f>HYPERLINK("https://android.googlesource.com/platform/cts/+/ed8e97f57d294609dc9322445c9d1989360eefb9", "ed8e97f57d294609dc9322445c9d1989360eefb9")</f>
        <v>0</v>
      </c>
      <c r="D13223" t="s">
        <v>5334</v>
      </c>
      <c r="E13223" t="s">
        <v>8184</v>
      </c>
      <c r="F13223" t="s">
        <v>13719</v>
      </c>
      <c r="G13223" t="s">
        <v>17785</v>
      </c>
      <c r="H13223" t="s">
        <v>31842</v>
      </c>
    </row>
    <row r="13224" spans="1:8">
      <c r="H13224" t="s">
        <v>22533</v>
      </c>
    </row>
    <row r="13225" spans="1:8">
      <c r="H13225" t="s">
        <v>31843</v>
      </c>
    </row>
    <row r="13226" spans="1:8">
      <c r="A13226" t="s">
        <v>2455</v>
      </c>
      <c r="B13226">
        <f>HYPERLINK("https://android.googlesource.com/platform/cts/+/58c1321beba42398115e525df60059df0a17e814", "58c1321beba42398115e525df60059df0a17e814")</f>
        <v>0</v>
      </c>
      <c r="C13226">
        <f>HYPERLINK("https://android.googlesource.com/platform/cts/+/f06f5486579e9214594ca76cd78fdea30ce5c287", "f06f5486579e9214594ca76cd78fdea30ce5c287")</f>
        <v>0</v>
      </c>
      <c r="D13226" t="s">
        <v>5141</v>
      </c>
      <c r="E13226" t="s">
        <v>8185</v>
      </c>
      <c r="F13226" t="s">
        <v>13848</v>
      </c>
      <c r="G13226" t="s">
        <v>17891</v>
      </c>
      <c r="H13226" t="s">
        <v>31845</v>
      </c>
    </row>
    <row r="13227" spans="1:8">
      <c r="F13227" t="s">
        <v>10794</v>
      </c>
      <c r="G13227" t="s">
        <v>15189</v>
      </c>
      <c r="H13227" t="s">
        <v>31846</v>
      </c>
    </row>
    <row r="13228" spans="1:8">
      <c r="A13228" t="s">
        <v>2459</v>
      </c>
      <c r="B13228">
        <f>HYPERLINK("https://android.googlesource.com/platform/cts/+/ce91955c966b69c05f299d60fca5a7ee3243c1a5", "ce91955c966b69c05f299d60fca5a7ee3243c1a5")</f>
        <v>0</v>
      </c>
      <c r="C13228">
        <f>HYPERLINK("https://android.googlesource.com/platform/cts/+/b52083dc1e389a8e6174514eb6893c6dd5c31fbb", "b52083dc1e389a8e6174514eb6893c6dd5c31fbb")</f>
        <v>0</v>
      </c>
      <c r="D13228" t="s">
        <v>5390</v>
      </c>
      <c r="E13228" t="s">
        <v>8189</v>
      </c>
      <c r="F13228" t="s">
        <v>13837</v>
      </c>
      <c r="G13228" t="s">
        <v>17880</v>
      </c>
      <c r="H13228" t="s">
        <v>31855</v>
      </c>
    </row>
    <row r="13229" spans="1:8">
      <c r="A13229" t="s">
        <v>2463</v>
      </c>
      <c r="B13229">
        <f>HYPERLINK("https://android.googlesource.com/platform/cts/+/6bd5826a807f5019d6275b006745c1b456522d63", "6bd5826a807f5019d6275b006745c1b456522d63")</f>
        <v>0</v>
      </c>
      <c r="C13229">
        <f>HYPERLINK("https://android.googlesource.com/platform/cts/+/3d15986fe0412e7bf631c484a595578484478897", "3d15986fe0412e7bf631c484a595578484478897")</f>
        <v>0</v>
      </c>
      <c r="D13229" t="s">
        <v>5399</v>
      </c>
      <c r="E13229" t="s">
        <v>8193</v>
      </c>
      <c r="F13229" t="s">
        <v>13850</v>
      </c>
      <c r="G13229" t="s">
        <v>16816</v>
      </c>
      <c r="H13229" t="s">
        <v>31858</v>
      </c>
    </row>
    <row r="13230" spans="1:8">
      <c r="A13230" t="s">
        <v>2467</v>
      </c>
      <c r="B13230">
        <f>HYPERLINK("https://android.googlesource.com/platform/cts/+/51fb83a17e721abcf9c606ec29e88dd9824ecb05", "51fb83a17e721abcf9c606ec29e88dd9824ecb05")</f>
        <v>0</v>
      </c>
      <c r="C13230">
        <f>HYPERLINK("https://android.googlesource.com/platform/cts/+/0a8e5dd7da2eba0094d91c05ec2f5c0886d48c21", "0a8e5dd7da2eba0094d91c05ec2f5c0886d48c21")</f>
        <v>0</v>
      </c>
      <c r="D13230" t="s">
        <v>5400</v>
      </c>
      <c r="E13230" t="s">
        <v>8197</v>
      </c>
      <c r="F13230" t="s">
        <v>13851</v>
      </c>
      <c r="G13230" t="s">
        <v>17893</v>
      </c>
      <c r="H13230" t="s">
        <v>31863</v>
      </c>
    </row>
    <row r="13231" spans="1:8">
      <c r="A13231" t="s">
        <v>2468</v>
      </c>
      <c r="B13231">
        <f>HYPERLINK("https://android.googlesource.com/platform/cts/+/7d4879a70546d47847b30e8845aa64a2b9fb883d", "7d4879a70546d47847b30e8845aa64a2b9fb883d")</f>
        <v>0</v>
      </c>
      <c r="C13231">
        <f>HYPERLINK("https://android.googlesource.com/platform/cts/+/e5f7c87e9dec9ad21bec25feec24050d247b2a08", "e5f7c87e9dec9ad21bec25feec24050d247b2a08")</f>
        <v>0</v>
      </c>
      <c r="D13231" t="s">
        <v>5084</v>
      </c>
      <c r="E13231" t="s">
        <v>8198</v>
      </c>
      <c r="F13231" t="s">
        <v>13852</v>
      </c>
      <c r="G13231" t="s">
        <v>17894</v>
      </c>
      <c r="H13231" t="s">
        <v>31864</v>
      </c>
    </row>
    <row r="13232" spans="1:8">
      <c r="F13232" t="s">
        <v>13853</v>
      </c>
      <c r="G13232" t="s">
        <v>17895</v>
      </c>
      <c r="H13232" t="s">
        <v>31865</v>
      </c>
    </row>
    <row r="13233" spans="1:8">
      <c r="F13233" t="s">
        <v>13854</v>
      </c>
      <c r="G13233" t="s">
        <v>17896</v>
      </c>
      <c r="H13233" t="s">
        <v>31866</v>
      </c>
    </row>
    <row r="13234" spans="1:8">
      <c r="A13234" t="s">
        <v>2469</v>
      </c>
      <c r="B13234">
        <f>HYPERLINK("https://android.googlesource.com/platform/cts/+/2c51332c2c4f7e8303cf1bf7f544623af2289899", "2c51332c2c4f7e8303cf1bf7f544623af2289899")</f>
        <v>0</v>
      </c>
      <c r="C13234">
        <f>HYPERLINK("https://android.googlesource.com/platform/cts/+/f4f7d59a8069c0769d4d7932059d6358923c9881", "f4f7d59a8069c0769d4d7932059d6358923c9881")</f>
        <v>0</v>
      </c>
      <c r="D13234" t="s">
        <v>5375</v>
      </c>
      <c r="E13234" t="s">
        <v>8199</v>
      </c>
      <c r="F13234" t="s">
        <v>13789</v>
      </c>
      <c r="G13234" t="s">
        <v>17842</v>
      </c>
      <c r="H13234" t="s">
        <v>31867</v>
      </c>
    </row>
    <row r="13235" spans="1:8">
      <c r="A13235" t="s">
        <v>2471</v>
      </c>
      <c r="B13235">
        <f>HYPERLINK("https://android.googlesource.com/platform/cts/+/51ca6c2113f8e64921ac108b19b862799891b3fa", "51ca6c2113f8e64921ac108b19b862799891b3fa")</f>
        <v>0</v>
      </c>
      <c r="C13235">
        <f>HYPERLINK("https://android.googlesource.com/platform/cts/+/f160a5db69338148d798f10bd0b40d087e661613", "f160a5db69338148d798f10bd0b40d087e661613")</f>
        <v>0</v>
      </c>
      <c r="D13235" t="s">
        <v>5084</v>
      </c>
      <c r="E13235" t="s">
        <v>8201</v>
      </c>
      <c r="F13235" t="s">
        <v>13739</v>
      </c>
      <c r="G13235" t="s">
        <v>17799</v>
      </c>
      <c r="H13235" t="s">
        <v>31873</v>
      </c>
    </row>
    <row r="13236" spans="1:8">
      <c r="H13236" t="s">
        <v>31874</v>
      </c>
    </row>
    <row r="13237" spans="1:8">
      <c r="A13237" t="s">
        <v>2473</v>
      </c>
      <c r="B13237">
        <f>HYPERLINK("https://android.googlesource.com/platform/cts/+/9808ee8a72f59bfb258ce9cbc7bdc0f8e40297d0", "9808ee8a72f59bfb258ce9cbc7bdc0f8e40297d0")</f>
        <v>0</v>
      </c>
      <c r="C13237">
        <f>HYPERLINK("https://android.googlesource.com/platform/cts/+/498adeb5ad1686b85916abfb36ec90aadd41e1a3", "498adeb5ad1686b85916abfb36ec90aadd41e1a3")</f>
        <v>0</v>
      </c>
      <c r="D13237" t="s">
        <v>5307</v>
      </c>
      <c r="E13237" t="s">
        <v>8203</v>
      </c>
      <c r="F13237" t="s">
        <v>13773</v>
      </c>
      <c r="G13237" t="s">
        <v>17828</v>
      </c>
      <c r="H13237" t="s">
        <v>31877</v>
      </c>
    </row>
    <row r="13238" spans="1:8">
      <c r="A13238" t="s">
        <v>2474</v>
      </c>
      <c r="B13238">
        <f>HYPERLINK("https://android.googlesource.com/platform/cts/+/cf3185badfb6618311b7ddf2676670a4a01f7bd7", "cf3185badfb6618311b7ddf2676670a4a01f7bd7")</f>
        <v>0</v>
      </c>
      <c r="C13238">
        <f>HYPERLINK("https://android.googlesource.com/platform/cts/+/5ba191c27cf50d56cd9d61144ec2b16c6fc7f483", "5ba191c27cf50d56cd9d61144ec2b16c6fc7f483")</f>
        <v>0</v>
      </c>
      <c r="D13238" t="s">
        <v>5027</v>
      </c>
      <c r="E13238" t="s">
        <v>8204</v>
      </c>
      <c r="F13238" t="s">
        <v>13505</v>
      </c>
      <c r="G13238" t="s">
        <v>17622</v>
      </c>
      <c r="H13238" t="s">
        <v>31309</v>
      </c>
    </row>
    <row r="13239" spans="1:8">
      <c r="H13239" t="s">
        <v>30148</v>
      </c>
    </row>
    <row r="13240" spans="1:8">
      <c r="H13240" t="s">
        <v>30149</v>
      </c>
    </row>
    <row r="13241" spans="1:8">
      <c r="H13241" t="s">
        <v>30150</v>
      </c>
    </row>
    <row r="13242" spans="1:8">
      <c r="H13242" t="s">
        <v>30151</v>
      </c>
    </row>
    <row r="13243" spans="1:8">
      <c r="H13243" t="s">
        <v>30152</v>
      </c>
    </row>
    <row r="13244" spans="1:8">
      <c r="H13244" t="s">
        <v>30153</v>
      </c>
    </row>
    <row r="13245" spans="1:8">
      <c r="H13245" t="s">
        <v>29023</v>
      </c>
    </row>
    <row r="13246" spans="1:8">
      <c r="H13246" t="s">
        <v>30154</v>
      </c>
    </row>
    <row r="13247" spans="1:8">
      <c r="H13247" t="s">
        <v>30155</v>
      </c>
    </row>
    <row r="13248" spans="1:8">
      <c r="H13248" t="s">
        <v>30156</v>
      </c>
    </row>
    <row r="13249" spans="6:8">
      <c r="H13249" t="s">
        <v>30157</v>
      </c>
    </row>
    <row r="13250" spans="6:8">
      <c r="H13250" t="s">
        <v>30158</v>
      </c>
    </row>
    <row r="13251" spans="6:8">
      <c r="F13251" t="s">
        <v>13506</v>
      </c>
      <c r="G13251" t="s">
        <v>17623</v>
      </c>
      <c r="H13251" t="s">
        <v>31336</v>
      </c>
    </row>
    <row r="13252" spans="6:8">
      <c r="H13252" t="s">
        <v>30167</v>
      </c>
    </row>
    <row r="13253" spans="6:8">
      <c r="H13253" t="s">
        <v>30168</v>
      </c>
    </row>
    <row r="13254" spans="6:8">
      <c r="H13254" t="s">
        <v>30171</v>
      </c>
    </row>
    <row r="13255" spans="6:8">
      <c r="H13255" t="s">
        <v>30172</v>
      </c>
    </row>
    <row r="13256" spans="6:8">
      <c r="H13256" t="s">
        <v>30173</v>
      </c>
    </row>
    <row r="13257" spans="6:8">
      <c r="H13257" t="s">
        <v>30174</v>
      </c>
    </row>
    <row r="13258" spans="6:8">
      <c r="H13258" t="s">
        <v>30175</v>
      </c>
    </row>
    <row r="13259" spans="6:8">
      <c r="H13259" t="s">
        <v>31337</v>
      </c>
    </row>
    <row r="13260" spans="6:8">
      <c r="H13260" t="s">
        <v>30176</v>
      </c>
    </row>
    <row r="13261" spans="6:8">
      <c r="H13261" t="s">
        <v>30216</v>
      </c>
    </row>
    <row r="13262" spans="6:8">
      <c r="H13262" t="s">
        <v>31338</v>
      </c>
    </row>
    <row r="13263" spans="6:8">
      <c r="H13263" t="s">
        <v>31339</v>
      </c>
    </row>
    <row r="13264" spans="6:8">
      <c r="H13264" t="s">
        <v>31340</v>
      </c>
    </row>
    <row r="13265" spans="8:8">
      <c r="H13265" t="s">
        <v>31341</v>
      </c>
    </row>
    <row r="13266" spans="8:8">
      <c r="H13266" t="s">
        <v>31342</v>
      </c>
    </row>
    <row r="13267" spans="8:8">
      <c r="H13267" t="s">
        <v>31343</v>
      </c>
    </row>
    <row r="13268" spans="8:8">
      <c r="H13268" t="s">
        <v>31344</v>
      </c>
    </row>
    <row r="13269" spans="8:8">
      <c r="H13269" t="s">
        <v>31345</v>
      </c>
    </row>
    <row r="13270" spans="8:8">
      <c r="H13270" t="s">
        <v>31346</v>
      </c>
    </row>
    <row r="13271" spans="8:8">
      <c r="H13271" t="s">
        <v>31347</v>
      </c>
    </row>
    <row r="13272" spans="8:8">
      <c r="H13272" t="s">
        <v>31348</v>
      </c>
    </row>
    <row r="13273" spans="8:8">
      <c r="H13273" t="s">
        <v>31349</v>
      </c>
    </row>
    <row r="13274" spans="8:8">
      <c r="H13274" t="s">
        <v>31350</v>
      </c>
    </row>
    <row r="13275" spans="8:8">
      <c r="H13275" t="s">
        <v>31351</v>
      </c>
    </row>
    <row r="13276" spans="8:8">
      <c r="H13276" t="s">
        <v>30178</v>
      </c>
    </row>
    <row r="13277" spans="8:8">
      <c r="H13277" t="s">
        <v>30179</v>
      </c>
    </row>
    <row r="13278" spans="8:8">
      <c r="H13278" t="s">
        <v>30180</v>
      </c>
    </row>
    <row r="13279" spans="8:8">
      <c r="H13279" t="s">
        <v>30182</v>
      </c>
    </row>
    <row r="13280" spans="8:8">
      <c r="H13280" t="s">
        <v>30183</v>
      </c>
    </row>
    <row r="13281" spans="8:8">
      <c r="H13281" t="s">
        <v>30184</v>
      </c>
    </row>
    <row r="13282" spans="8:8">
      <c r="H13282" t="s">
        <v>30185</v>
      </c>
    </row>
    <row r="13283" spans="8:8">
      <c r="H13283" t="s">
        <v>30186</v>
      </c>
    </row>
    <row r="13284" spans="8:8">
      <c r="H13284" t="s">
        <v>30187</v>
      </c>
    </row>
    <row r="13285" spans="8:8">
      <c r="H13285" t="s">
        <v>30188</v>
      </c>
    </row>
    <row r="13286" spans="8:8">
      <c r="H13286" t="s">
        <v>30189</v>
      </c>
    </row>
    <row r="13287" spans="8:8">
      <c r="H13287" t="s">
        <v>30190</v>
      </c>
    </row>
    <row r="13288" spans="8:8">
      <c r="H13288" t="s">
        <v>30191</v>
      </c>
    </row>
    <row r="13289" spans="8:8">
      <c r="H13289" t="s">
        <v>30192</v>
      </c>
    </row>
    <row r="13290" spans="8:8">
      <c r="H13290" t="s">
        <v>30193</v>
      </c>
    </row>
    <row r="13291" spans="8:8">
      <c r="H13291" t="s">
        <v>30194</v>
      </c>
    </row>
    <row r="13292" spans="8:8">
      <c r="H13292" t="s">
        <v>30195</v>
      </c>
    </row>
    <row r="13293" spans="8:8">
      <c r="H13293" t="s">
        <v>30196</v>
      </c>
    </row>
    <row r="13294" spans="8:8">
      <c r="H13294" t="s">
        <v>30198</v>
      </c>
    </row>
    <row r="13295" spans="8:8">
      <c r="H13295" t="s">
        <v>30199</v>
      </c>
    </row>
    <row r="13296" spans="8:8">
      <c r="H13296" t="s">
        <v>30200</v>
      </c>
    </row>
    <row r="13297" spans="6:8">
      <c r="H13297" t="s">
        <v>30201</v>
      </c>
    </row>
    <row r="13298" spans="6:8">
      <c r="H13298" t="s">
        <v>30202</v>
      </c>
    </row>
    <row r="13299" spans="6:8">
      <c r="H13299" t="s">
        <v>30203</v>
      </c>
    </row>
    <row r="13300" spans="6:8">
      <c r="H13300" t="s">
        <v>30204</v>
      </c>
    </row>
    <row r="13301" spans="6:8">
      <c r="H13301" t="s">
        <v>30205</v>
      </c>
    </row>
    <row r="13302" spans="6:8">
      <c r="H13302" t="s">
        <v>30206</v>
      </c>
    </row>
    <row r="13303" spans="6:8">
      <c r="H13303" t="s">
        <v>30207</v>
      </c>
    </row>
    <row r="13304" spans="6:8">
      <c r="F13304" t="s">
        <v>13507</v>
      </c>
      <c r="G13304" t="s">
        <v>17624</v>
      </c>
      <c r="H13304" t="s">
        <v>30030</v>
      </c>
    </row>
    <row r="13305" spans="6:8">
      <c r="F13305" t="s">
        <v>13508</v>
      </c>
      <c r="G13305" t="s">
        <v>17625</v>
      </c>
      <c r="H13305" t="s">
        <v>30030</v>
      </c>
    </row>
    <row r="13306" spans="6:8">
      <c r="H13306" t="s">
        <v>31352</v>
      </c>
    </row>
    <row r="13307" spans="6:8">
      <c r="H13307" t="s">
        <v>31353</v>
      </c>
    </row>
    <row r="13308" spans="6:8">
      <c r="H13308" t="s">
        <v>31354</v>
      </c>
    </row>
    <row r="13309" spans="6:8">
      <c r="H13309" t="s">
        <v>31355</v>
      </c>
    </row>
    <row r="13310" spans="6:8">
      <c r="H13310" t="s">
        <v>31356</v>
      </c>
    </row>
    <row r="13311" spans="6:8">
      <c r="H13311" t="s">
        <v>30215</v>
      </c>
    </row>
    <row r="13312" spans="6:8">
      <c r="H13312" t="s">
        <v>30167</v>
      </c>
    </row>
    <row r="13313" spans="8:8">
      <c r="H13313" t="s">
        <v>30168</v>
      </c>
    </row>
    <row r="13314" spans="8:8">
      <c r="H13314" t="s">
        <v>30171</v>
      </c>
    </row>
    <row r="13315" spans="8:8">
      <c r="H13315" t="s">
        <v>31345</v>
      </c>
    </row>
    <row r="13316" spans="8:8">
      <c r="H13316" t="s">
        <v>31346</v>
      </c>
    </row>
    <row r="13317" spans="8:8">
      <c r="H13317" t="s">
        <v>31347</v>
      </c>
    </row>
    <row r="13318" spans="8:8">
      <c r="H13318" t="s">
        <v>31357</v>
      </c>
    </row>
    <row r="13319" spans="8:8">
      <c r="H13319" t="s">
        <v>31358</v>
      </c>
    </row>
    <row r="13320" spans="8:8">
      <c r="H13320" t="s">
        <v>31359</v>
      </c>
    </row>
    <row r="13321" spans="8:8">
      <c r="H13321" t="s">
        <v>30216</v>
      </c>
    </row>
    <row r="13322" spans="8:8">
      <c r="H13322" t="s">
        <v>31338</v>
      </c>
    </row>
    <row r="13323" spans="8:8">
      <c r="H13323" t="s">
        <v>31339</v>
      </c>
    </row>
    <row r="13324" spans="8:8">
      <c r="H13324" t="s">
        <v>31340</v>
      </c>
    </row>
    <row r="13325" spans="8:8">
      <c r="H13325" t="s">
        <v>31360</v>
      </c>
    </row>
    <row r="13326" spans="8:8">
      <c r="H13326" t="s">
        <v>31342</v>
      </c>
    </row>
    <row r="13327" spans="8:8">
      <c r="H13327" t="s">
        <v>31343</v>
      </c>
    </row>
    <row r="13328" spans="8:8">
      <c r="H13328" t="s">
        <v>31344</v>
      </c>
    </row>
    <row r="13329" spans="6:8">
      <c r="H13329" t="s">
        <v>31348</v>
      </c>
    </row>
    <row r="13330" spans="6:8">
      <c r="H13330" t="s">
        <v>31349</v>
      </c>
    </row>
    <row r="13331" spans="6:8">
      <c r="H13331" t="s">
        <v>31350</v>
      </c>
    </row>
    <row r="13332" spans="6:8">
      <c r="H13332" t="s">
        <v>31351</v>
      </c>
    </row>
    <row r="13333" spans="6:8">
      <c r="H13333" t="s">
        <v>30219</v>
      </c>
    </row>
    <row r="13334" spans="6:8">
      <c r="H13334" t="s">
        <v>30222</v>
      </c>
    </row>
    <row r="13335" spans="6:8">
      <c r="H13335" t="s">
        <v>30223</v>
      </c>
    </row>
    <row r="13336" spans="6:8">
      <c r="H13336" t="s">
        <v>31362</v>
      </c>
    </row>
    <row r="13337" spans="6:8">
      <c r="H13337" t="s">
        <v>30224</v>
      </c>
    </row>
    <row r="13338" spans="6:8">
      <c r="H13338" t="s">
        <v>31363</v>
      </c>
    </row>
    <row r="13339" spans="6:8">
      <c r="H13339" t="s">
        <v>30225</v>
      </c>
    </row>
    <row r="13340" spans="6:8">
      <c r="H13340" t="s">
        <v>31364</v>
      </c>
    </row>
    <row r="13341" spans="6:8">
      <c r="F13341" t="s">
        <v>13526</v>
      </c>
      <c r="G13341" t="s">
        <v>17641</v>
      </c>
      <c r="H13341" t="s">
        <v>30167</v>
      </c>
    </row>
    <row r="13342" spans="6:8">
      <c r="H13342" t="s">
        <v>30168</v>
      </c>
    </row>
    <row r="13343" spans="6:8">
      <c r="H13343" t="s">
        <v>30171</v>
      </c>
    </row>
    <row r="13344" spans="6:8">
      <c r="H13344" t="s">
        <v>30173</v>
      </c>
    </row>
    <row r="13345" spans="8:8">
      <c r="H13345" t="s">
        <v>30174</v>
      </c>
    </row>
    <row r="13346" spans="8:8">
      <c r="H13346" t="s">
        <v>30175</v>
      </c>
    </row>
    <row r="13347" spans="8:8">
      <c r="H13347" t="s">
        <v>30170</v>
      </c>
    </row>
    <row r="13348" spans="8:8">
      <c r="H13348" t="s">
        <v>30169</v>
      </c>
    </row>
    <row r="13349" spans="8:8">
      <c r="H13349" t="s">
        <v>31347</v>
      </c>
    </row>
    <row r="13350" spans="8:8">
      <c r="H13350" t="s">
        <v>30216</v>
      </c>
    </row>
    <row r="13351" spans="8:8">
      <c r="H13351" t="s">
        <v>31339</v>
      </c>
    </row>
    <row r="13352" spans="8:8">
      <c r="H13352" t="s">
        <v>31342</v>
      </c>
    </row>
    <row r="13353" spans="8:8">
      <c r="H13353" t="s">
        <v>31343</v>
      </c>
    </row>
    <row r="13354" spans="8:8">
      <c r="H13354" t="s">
        <v>31344</v>
      </c>
    </row>
    <row r="13355" spans="8:8">
      <c r="H13355" t="s">
        <v>31369</v>
      </c>
    </row>
    <row r="13356" spans="8:8">
      <c r="H13356" t="s">
        <v>30189</v>
      </c>
    </row>
    <row r="13357" spans="8:8">
      <c r="H13357" t="s">
        <v>30188</v>
      </c>
    </row>
    <row r="13358" spans="8:8">
      <c r="H13358" t="s">
        <v>30187</v>
      </c>
    </row>
    <row r="13359" spans="8:8">
      <c r="H13359" t="s">
        <v>30192</v>
      </c>
    </row>
    <row r="13360" spans="8:8">
      <c r="H13360" t="s">
        <v>30191</v>
      </c>
    </row>
    <row r="13361" spans="1:8">
      <c r="H13361" t="s">
        <v>30190</v>
      </c>
    </row>
    <row r="13362" spans="1:8">
      <c r="H13362" t="s">
        <v>31370</v>
      </c>
    </row>
    <row r="13363" spans="1:8">
      <c r="F13363" t="s">
        <v>13524</v>
      </c>
      <c r="G13363" t="s">
        <v>17639</v>
      </c>
      <c r="H13363" t="s">
        <v>31318</v>
      </c>
    </row>
    <row r="13364" spans="1:8">
      <c r="H13364" t="s">
        <v>31319</v>
      </c>
    </row>
    <row r="13365" spans="1:8">
      <c r="H13365" t="s">
        <v>31320</v>
      </c>
    </row>
    <row r="13366" spans="1:8">
      <c r="H13366" t="s">
        <v>31321</v>
      </c>
    </row>
    <row r="13367" spans="1:8">
      <c r="H13367" t="s">
        <v>31322</v>
      </c>
    </row>
    <row r="13368" spans="1:8">
      <c r="H13368" t="s">
        <v>31323</v>
      </c>
    </row>
    <row r="13369" spans="1:8">
      <c r="H13369" t="s">
        <v>31324</v>
      </c>
    </row>
    <row r="13370" spans="1:8">
      <c r="F13370" t="s">
        <v>13509</v>
      </c>
      <c r="G13370" t="s">
        <v>17626</v>
      </c>
      <c r="H13370" t="s">
        <v>30231</v>
      </c>
    </row>
    <row r="13371" spans="1:8">
      <c r="H13371" t="s">
        <v>30232</v>
      </c>
    </row>
    <row r="13372" spans="1:8">
      <c r="F13372" t="s">
        <v>13733</v>
      </c>
      <c r="G13372" t="s">
        <v>17794</v>
      </c>
      <c r="H13372" t="s">
        <v>18836</v>
      </c>
    </row>
    <row r="13373" spans="1:8">
      <c r="H13373" t="s">
        <v>31300</v>
      </c>
    </row>
    <row r="13374" spans="1:8">
      <c r="H13374" t="s">
        <v>31301</v>
      </c>
    </row>
    <row r="13375" spans="1:8">
      <c r="A13375" t="s">
        <v>2478</v>
      </c>
      <c r="B13375">
        <f>HYPERLINK("https://android.googlesource.com/platform/cts/+/9237adeb4a6000c461bcdb8c78b8cf9e65e549e4", "9237adeb4a6000c461bcdb8c78b8cf9e65e549e4")</f>
        <v>0</v>
      </c>
      <c r="C13375">
        <f>HYPERLINK("https://android.googlesource.com/platform/cts/+/8120aad04030115551af13ac20d68f2557add000", "8120aad04030115551af13ac20d68f2557add000")</f>
        <v>0</v>
      </c>
      <c r="D13375" t="s">
        <v>5247</v>
      </c>
      <c r="E13375" t="s">
        <v>8208</v>
      </c>
      <c r="F13375" t="s">
        <v>13860</v>
      </c>
      <c r="G13375" t="s">
        <v>17902</v>
      </c>
      <c r="H13375" t="s">
        <v>19010</v>
      </c>
    </row>
    <row r="13376" spans="1:8">
      <c r="A13376" t="s">
        <v>2481</v>
      </c>
      <c r="B13376">
        <f>HYPERLINK("https://android.googlesource.com/platform/cts/+/e17aa4c7c0ce302d86af83a8254e7fe037c794a6", "e17aa4c7c0ce302d86af83a8254e7fe037c794a6")</f>
        <v>0</v>
      </c>
      <c r="C13376">
        <f>HYPERLINK("https://android.googlesource.com/platform/cts/+/8120aad04030115551af13ac20d68f2557add000", "8120aad04030115551af13ac20d68f2557add000")</f>
        <v>0</v>
      </c>
      <c r="D13376" t="s">
        <v>5247</v>
      </c>
      <c r="E13376" t="s">
        <v>8211</v>
      </c>
      <c r="F13376" t="s">
        <v>13862</v>
      </c>
      <c r="G13376" t="s">
        <v>15054</v>
      </c>
      <c r="H13376" t="s">
        <v>31882</v>
      </c>
    </row>
    <row r="13377" spans="1:8">
      <c r="A13377" t="s">
        <v>2485</v>
      </c>
      <c r="B13377">
        <f>HYPERLINK("https://android.googlesource.com/platform/cts/+/5584f6efc6f454b053f4a4ac2ecdc4be0dff15be", "5584f6efc6f454b053f4a4ac2ecdc4be0dff15be")</f>
        <v>0</v>
      </c>
      <c r="C13377">
        <f>HYPERLINK("https://android.googlesource.com/platform/cts/+/0eff16732452266be698cae749d5bd47e4997d10", "0eff16732452266be698cae749d5bd47e4997d10")</f>
        <v>0</v>
      </c>
      <c r="D13377" t="s">
        <v>5134</v>
      </c>
      <c r="E13377" t="s">
        <v>8215</v>
      </c>
      <c r="F13377" t="s">
        <v>13863</v>
      </c>
      <c r="G13377" t="s">
        <v>17903</v>
      </c>
      <c r="H13377" t="s">
        <v>31892</v>
      </c>
    </row>
    <row r="13378" spans="1:8">
      <c r="A13378" t="s">
        <v>2488</v>
      </c>
      <c r="B13378">
        <f>HYPERLINK("https://android.googlesource.com/platform/cts/+/4c2d2ae1919ef4ddc02cb964f9ef6a4cc1f5cbe7", "4c2d2ae1919ef4ddc02cb964f9ef6a4cc1f5cbe7")</f>
        <v>0</v>
      </c>
      <c r="C13378">
        <f>HYPERLINK("https://android.googlesource.com/platform/cts/+/3ccc176ac71fb14a9a64609d384276b886f9ae6e", "3ccc176ac71fb14a9a64609d384276b886f9ae6e")</f>
        <v>0</v>
      </c>
      <c r="D13378" t="s">
        <v>5051</v>
      </c>
      <c r="E13378" t="s">
        <v>8218</v>
      </c>
      <c r="F13378" t="s">
        <v>13864</v>
      </c>
      <c r="G13378" t="s">
        <v>17904</v>
      </c>
      <c r="H13378" t="s">
        <v>31894</v>
      </c>
    </row>
    <row r="13379" spans="1:8">
      <c r="H13379" t="s">
        <v>31895</v>
      </c>
    </row>
    <row r="13380" spans="1:8">
      <c r="H13380" t="s">
        <v>28786</v>
      </c>
    </row>
    <row r="13381" spans="1:8">
      <c r="H13381" t="s">
        <v>31896</v>
      </c>
    </row>
    <row r="13382" spans="1:8">
      <c r="H13382" t="s">
        <v>31897</v>
      </c>
    </row>
    <row r="13383" spans="1:8">
      <c r="A13383" t="s">
        <v>2489</v>
      </c>
      <c r="B13383">
        <f>HYPERLINK("https://android.googlesource.com/platform/cts/+/68d197d905293ed957c53eeeb8a5b6bf6ea79874", "68d197d905293ed957c53eeeb8a5b6bf6ea79874")</f>
        <v>0</v>
      </c>
      <c r="C13383">
        <f>HYPERLINK("https://android.googlesource.com/platform/cts/+/298e9fc1860f1e59b68d18eb92a061b4dbff7f30", "298e9fc1860f1e59b68d18eb92a061b4dbff7f30")</f>
        <v>0</v>
      </c>
      <c r="D13383" t="s">
        <v>5307</v>
      </c>
      <c r="E13383" t="s">
        <v>8219</v>
      </c>
      <c r="F13383" t="s">
        <v>10624</v>
      </c>
      <c r="G13383" t="s">
        <v>15027</v>
      </c>
      <c r="H13383" t="s">
        <v>31899</v>
      </c>
    </row>
    <row r="13384" spans="1:8">
      <c r="A13384" t="s">
        <v>2492</v>
      </c>
      <c r="B13384">
        <f>HYPERLINK("https://android.googlesource.com/platform/cts/+/d62e80d63800df84590e2926451ccc76929431e4", "d62e80d63800df84590e2926451ccc76929431e4")</f>
        <v>0</v>
      </c>
      <c r="C13384">
        <f>HYPERLINK("https://android.googlesource.com/platform/cts/+/fdaa2581410956db77b46ae969dd70df75d04c29", "fdaa2581410956db77b46ae969dd70df75d04c29")</f>
        <v>0</v>
      </c>
      <c r="D13384" t="s">
        <v>5117</v>
      </c>
      <c r="E13384" t="s">
        <v>8221</v>
      </c>
      <c r="F13384" t="s">
        <v>13866</v>
      </c>
      <c r="G13384" t="s">
        <v>17906</v>
      </c>
      <c r="H13384" t="s">
        <v>31909</v>
      </c>
    </row>
    <row r="13385" spans="1:8">
      <c r="H13385" t="s">
        <v>31910</v>
      </c>
    </row>
    <row r="13386" spans="1:8">
      <c r="H13386" t="s">
        <v>31911</v>
      </c>
    </row>
    <row r="13387" spans="1:8">
      <c r="H13387" t="s">
        <v>31912</v>
      </c>
    </row>
    <row r="13388" spans="1:8">
      <c r="H13388" t="s">
        <v>31913</v>
      </c>
    </row>
    <row r="13389" spans="1:8">
      <c r="H13389" t="s">
        <v>31914</v>
      </c>
    </row>
    <row r="13390" spans="1:8">
      <c r="H13390" t="s">
        <v>31915</v>
      </c>
    </row>
    <row r="13391" spans="1:8">
      <c r="H13391" t="s">
        <v>31916</v>
      </c>
    </row>
    <row r="13392" spans="1:8">
      <c r="H13392" t="s">
        <v>31917</v>
      </c>
    </row>
    <row r="13393" spans="1:8">
      <c r="H13393" t="s">
        <v>31918</v>
      </c>
    </row>
    <row r="13394" spans="1:8">
      <c r="H13394" t="s">
        <v>31919</v>
      </c>
    </row>
    <row r="13395" spans="1:8">
      <c r="H13395" t="s">
        <v>31920</v>
      </c>
    </row>
    <row r="13396" spans="1:8">
      <c r="H13396" t="s">
        <v>31921</v>
      </c>
    </row>
    <row r="13397" spans="1:8">
      <c r="H13397" t="s">
        <v>31922</v>
      </c>
    </row>
    <row r="13398" spans="1:8">
      <c r="H13398" t="s">
        <v>31923</v>
      </c>
    </row>
    <row r="13399" spans="1:8">
      <c r="H13399" t="s">
        <v>31924</v>
      </c>
    </row>
    <row r="13400" spans="1:8">
      <c r="H13400" t="s">
        <v>31925</v>
      </c>
    </row>
    <row r="13401" spans="1:8">
      <c r="H13401" t="s">
        <v>31926</v>
      </c>
    </row>
    <row r="13402" spans="1:8">
      <c r="H13402" t="s">
        <v>31927</v>
      </c>
    </row>
    <row r="13403" spans="1:8">
      <c r="H13403" t="s">
        <v>31928</v>
      </c>
    </row>
    <row r="13404" spans="1:8">
      <c r="H13404" t="s">
        <v>31929</v>
      </c>
    </row>
    <row r="13405" spans="1:8">
      <c r="A13405" t="s">
        <v>2494</v>
      </c>
      <c r="B13405">
        <f>HYPERLINK("https://android.googlesource.com/platform/cts/+/7b461aa75d595e23a1bdecfff1dd7a5b279e2f37", "7b461aa75d595e23a1bdecfff1dd7a5b279e2f37")</f>
        <v>0</v>
      </c>
      <c r="C13405">
        <f>HYPERLINK("https://android.googlesource.com/platform/cts/+/a37bdc77455dc6be0be2b8321c8e2fc4bbd7c5e8", "a37bdc77455dc6be0be2b8321c8e2fc4bbd7c5e8")</f>
        <v>0</v>
      </c>
      <c r="D13405" t="s">
        <v>5403</v>
      </c>
      <c r="E13405" t="s">
        <v>8223</v>
      </c>
      <c r="F13405" t="s">
        <v>13867</v>
      </c>
      <c r="G13405" t="s">
        <v>15101</v>
      </c>
      <c r="H13405" t="s">
        <v>31932</v>
      </c>
    </row>
    <row r="13406" spans="1:8">
      <c r="A13406" t="s">
        <v>2495</v>
      </c>
      <c r="B13406">
        <f>HYPERLINK("https://android.googlesource.com/platform/cts/+/263fd9852838d90de620b8ca33e9d885f99339b6", "263fd9852838d90de620b8ca33e9d885f99339b6")</f>
        <v>0</v>
      </c>
      <c r="C13406">
        <f>HYPERLINK("https://android.googlesource.com/platform/cts/+/056907a75762e2beaaf0c2bb57b95f55a3d01b0e", "056907a75762e2beaaf0c2bb57b95f55a3d01b0e")</f>
        <v>0</v>
      </c>
      <c r="D13406" t="s">
        <v>5403</v>
      </c>
      <c r="E13406" t="s">
        <v>8224</v>
      </c>
      <c r="F13406" t="s">
        <v>13867</v>
      </c>
      <c r="G13406" t="s">
        <v>15101</v>
      </c>
      <c r="H13406" t="s">
        <v>31932</v>
      </c>
    </row>
    <row r="13407" spans="1:8">
      <c r="A13407" t="s">
        <v>2496</v>
      </c>
      <c r="B13407">
        <f>HYPERLINK("https://android.googlesource.com/platform/cts/+/9d9091092eb19d636be723fb85ef95c89989343a", "9d9091092eb19d636be723fb85ef95c89989343a")</f>
        <v>0</v>
      </c>
      <c r="C13407">
        <f>HYPERLINK("https://android.googlesource.com/platform/cts/+/2f3ddc5630f9a06be9b1a4845323d353d26fccce", "2f3ddc5630f9a06be9b1a4845323d353d26fccce")</f>
        <v>0</v>
      </c>
      <c r="D13407" t="s">
        <v>5135</v>
      </c>
      <c r="E13407" t="s">
        <v>8225</v>
      </c>
      <c r="F13407" t="s">
        <v>13735</v>
      </c>
      <c r="G13407" t="s">
        <v>16637</v>
      </c>
      <c r="H13407" t="s">
        <v>31933</v>
      </c>
    </row>
    <row r="13408" spans="1:8">
      <c r="A13408" t="s">
        <v>2499</v>
      </c>
      <c r="B13408">
        <f>HYPERLINK("https://android.googlesource.com/platform/cts/+/6426497aac945a3b98c5f5191b9c2ac366d221e9", "6426497aac945a3b98c5f5191b9c2ac366d221e9")</f>
        <v>0</v>
      </c>
      <c r="C13408">
        <f>HYPERLINK("https://android.googlesource.com/platform/cts/+/a33cab94c9b1d11807afe3301034fca77879d9d4", "a33cab94c9b1d11807afe3301034fca77879d9d4")</f>
        <v>0</v>
      </c>
      <c r="D13408" t="s">
        <v>5406</v>
      </c>
      <c r="E13408" t="s">
        <v>8228</v>
      </c>
      <c r="F13408" t="s">
        <v>13869</v>
      </c>
      <c r="G13408" t="s">
        <v>17908</v>
      </c>
      <c r="H13408" t="s">
        <v>31939</v>
      </c>
    </row>
    <row r="13409" spans="1:8">
      <c r="A13409" t="s">
        <v>2500</v>
      </c>
      <c r="B13409">
        <f>HYPERLINK("https://android.googlesource.com/platform/cts/+/86a0e784f75d160243c12407843bd2f3974b4cd0", "86a0e784f75d160243c12407843bd2f3974b4cd0")</f>
        <v>0</v>
      </c>
      <c r="C13409">
        <f>HYPERLINK("https://android.googlesource.com/platform/cts/+/3838652df170db625544812a3e327b43b1b66d79", "3838652df170db625544812a3e327b43b1b66d79")</f>
        <v>0</v>
      </c>
      <c r="D13409" t="s">
        <v>5108</v>
      </c>
      <c r="E13409" t="s">
        <v>8229</v>
      </c>
      <c r="F13409" t="s">
        <v>13229</v>
      </c>
      <c r="G13409" t="s">
        <v>17370</v>
      </c>
      <c r="H13409" t="s">
        <v>31940</v>
      </c>
    </row>
    <row r="13410" spans="1:8">
      <c r="A13410" t="s">
        <v>2502</v>
      </c>
      <c r="B13410">
        <f>HYPERLINK("https://android.googlesource.com/platform/cts/+/814edd52037ebde50dea49a2b9fb80e9abf14948", "814edd52037ebde50dea49a2b9fb80e9abf14948")</f>
        <v>0</v>
      </c>
      <c r="C13410">
        <f>HYPERLINK("https://android.googlesource.com/platform/cts/+/6d8dcb3f50cae8f79f33d3491d0bbc7566af3601", "6d8dcb3f50cae8f79f33d3491d0bbc7566af3601")</f>
        <v>0</v>
      </c>
      <c r="D13410" t="s">
        <v>5312</v>
      </c>
      <c r="E13410" t="s">
        <v>8231</v>
      </c>
      <c r="F13410" t="s">
        <v>13870</v>
      </c>
      <c r="G13410" t="s">
        <v>17909</v>
      </c>
      <c r="H13410" t="s">
        <v>31947</v>
      </c>
    </row>
    <row r="13411" spans="1:8">
      <c r="H13411" t="s">
        <v>31948</v>
      </c>
    </row>
    <row r="13412" spans="1:8">
      <c r="F13412" t="s">
        <v>13871</v>
      </c>
      <c r="G13412" t="s">
        <v>17910</v>
      </c>
      <c r="H13412" t="s">
        <v>31947</v>
      </c>
    </row>
    <row r="13413" spans="1:8">
      <c r="H13413" t="s">
        <v>31948</v>
      </c>
    </row>
    <row r="13414" spans="1:8">
      <c r="F13414" t="s">
        <v>13872</v>
      </c>
      <c r="G13414" t="s">
        <v>17911</v>
      </c>
      <c r="H13414" t="s">
        <v>31947</v>
      </c>
    </row>
    <row r="13415" spans="1:8">
      <c r="H13415" t="s">
        <v>31948</v>
      </c>
    </row>
    <row r="13416" spans="1:8">
      <c r="F13416" t="s">
        <v>13873</v>
      </c>
      <c r="G13416" t="s">
        <v>17912</v>
      </c>
      <c r="H13416" t="s">
        <v>31947</v>
      </c>
    </row>
    <row r="13417" spans="1:8">
      <c r="H13417" t="s">
        <v>31948</v>
      </c>
    </row>
    <row r="13418" spans="1:8">
      <c r="F13418" t="s">
        <v>13874</v>
      </c>
      <c r="G13418" t="s">
        <v>17913</v>
      </c>
      <c r="H13418" t="s">
        <v>31947</v>
      </c>
    </row>
    <row r="13419" spans="1:8">
      <c r="H13419" t="s">
        <v>31948</v>
      </c>
    </row>
    <row r="13420" spans="1:8">
      <c r="F13420" t="s">
        <v>13875</v>
      </c>
      <c r="G13420" t="s">
        <v>17914</v>
      </c>
      <c r="H13420" t="s">
        <v>31947</v>
      </c>
    </row>
    <row r="13421" spans="1:8">
      <c r="H13421" t="s">
        <v>31948</v>
      </c>
    </row>
    <row r="13422" spans="1:8">
      <c r="F13422" t="s">
        <v>13876</v>
      </c>
      <c r="G13422" t="s">
        <v>17915</v>
      </c>
      <c r="H13422" t="s">
        <v>31947</v>
      </c>
    </row>
    <row r="13423" spans="1:8">
      <c r="H13423" t="s">
        <v>31948</v>
      </c>
    </row>
    <row r="13424" spans="1:8">
      <c r="F13424" t="s">
        <v>13877</v>
      </c>
      <c r="G13424" t="s">
        <v>17916</v>
      </c>
      <c r="H13424" t="s">
        <v>31947</v>
      </c>
    </row>
    <row r="13425" spans="6:8">
      <c r="H13425" t="s">
        <v>31948</v>
      </c>
    </row>
    <row r="13426" spans="6:8">
      <c r="F13426" t="s">
        <v>13878</v>
      </c>
      <c r="G13426" t="s">
        <v>17917</v>
      </c>
      <c r="H13426" t="s">
        <v>31947</v>
      </c>
    </row>
    <row r="13427" spans="6:8">
      <c r="H13427" t="s">
        <v>31948</v>
      </c>
    </row>
    <row r="13428" spans="6:8">
      <c r="F13428" t="s">
        <v>13879</v>
      </c>
      <c r="G13428" t="s">
        <v>17918</v>
      </c>
      <c r="H13428" t="s">
        <v>31947</v>
      </c>
    </row>
    <row r="13429" spans="6:8">
      <c r="H13429" t="s">
        <v>31948</v>
      </c>
    </row>
    <row r="13430" spans="6:8">
      <c r="F13430" t="s">
        <v>13880</v>
      </c>
      <c r="G13430" t="s">
        <v>17919</v>
      </c>
      <c r="H13430" t="s">
        <v>31947</v>
      </c>
    </row>
    <row r="13431" spans="6:8">
      <c r="H13431" t="s">
        <v>31948</v>
      </c>
    </row>
    <row r="13432" spans="6:8">
      <c r="F13432" t="s">
        <v>13881</v>
      </c>
      <c r="G13432" t="s">
        <v>17920</v>
      </c>
      <c r="H13432" t="s">
        <v>31947</v>
      </c>
    </row>
    <row r="13433" spans="6:8">
      <c r="H13433" t="s">
        <v>31948</v>
      </c>
    </row>
    <row r="13434" spans="6:8">
      <c r="F13434" t="s">
        <v>13882</v>
      </c>
      <c r="G13434" t="s">
        <v>17921</v>
      </c>
      <c r="H13434" t="s">
        <v>31947</v>
      </c>
    </row>
    <row r="13435" spans="6:8">
      <c r="H13435" t="s">
        <v>31948</v>
      </c>
    </row>
    <row r="13436" spans="6:8">
      <c r="F13436" t="s">
        <v>13883</v>
      </c>
      <c r="G13436" t="s">
        <v>17922</v>
      </c>
      <c r="H13436" t="s">
        <v>31947</v>
      </c>
    </row>
    <row r="13437" spans="6:8">
      <c r="H13437" t="s">
        <v>31948</v>
      </c>
    </row>
    <row r="13438" spans="6:8">
      <c r="F13438" t="s">
        <v>13884</v>
      </c>
      <c r="G13438" t="s">
        <v>17923</v>
      </c>
      <c r="H13438" t="s">
        <v>31947</v>
      </c>
    </row>
    <row r="13439" spans="6:8">
      <c r="H13439" t="s">
        <v>31948</v>
      </c>
    </row>
    <row r="13440" spans="6:8">
      <c r="F13440" t="s">
        <v>13885</v>
      </c>
      <c r="G13440" t="s">
        <v>17924</v>
      </c>
      <c r="H13440" t="s">
        <v>31947</v>
      </c>
    </row>
    <row r="13441" spans="1:8">
      <c r="H13441" t="s">
        <v>31948</v>
      </c>
    </row>
    <row r="13442" spans="1:8">
      <c r="F13442" t="s">
        <v>13886</v>
      </c>
      <c r="G13442" t="s">
        <v>17925</v>
      </c>
      <c r="H13442" t="s">
        <v>31947</v>
      </c>
    </row>
    <row r="13443" spans="1:8">
      <c r="H13443" t="s">
        <v>31948</v>
      </c>
    </row>
    <row r="13444" spans="1:8">
      <c r="A13444" t="s">
        <v>2503</v>
      </c>
      <c r="B13444">
        <f>HYPERLINK("https://android.googlesource.com/platform/cts/+/9071aecab39f54bafa68d664252ceba3e81f245e", "9071aecab39f54bafa68d664252ceba3e81f245e")</f>
        <v>0</v>
      </c>
      <c r="C13444">
        <f>HYPERLINK("https://android.googlesource.com/platform/cts/+/6d8dcb3f50cae8f79f33d3491d0bbc7566af3601", "6d8dcb3f50cae8f79f33d3491d0bbc7566af3601")</f>
        <v>0</v>
      </c>
      <c r="D13444" t="s">
        <v>5407</v>
      </c>
      <c r="E13444" t="s">
        <v>8232</v>
      </c>
      <c r="F13444" t="s">
        <v>13887</v>
      </c>
      <c r="G13444" t="s">
        <v>17319</v>
      </c>
      <c r="H13444" t="s">
        <v>31956</v>
      </c>
    </row>
    <row r="13445" spans="1:8">
      <c r="H13445" t="s">
        <v>31959</v>
      </c>
    </row>
    <row r="13446" spans="1:8">
      <c r="A13446" t="s">
        <v>2505</v>
      </c>
      <c r="B13446">
        <f>HYPERLINK("https://android.googlesource.com/platform/cts/+/34c1669f7d1b7d2d3248f999b04ced79c6da4c28", "34c1669f7d1b7d2d3248f999b04ced79c6da4c28")</f>
        <v>0</v>
      </c>
      <c r="C13446">
        <f>HYPERLINK("https://android.googlesource.com/platform/cts/+/0d87fda7c9078320c6efa0a06abd20cf24375222", "0d87fda7c9078320c6efa0a06abd20cf24375222")</f>
        <v>0</v>
      </c>
      <c r="D13446" t="s">
        <v>4949</v>
      </c>
      <c r="E13446" t="s">
        <v>8234</v>
      </c>
      <c r="F13446" t="s">
        <v>13767</v>
      </c>
      <c r="G13446" t="s">
        <v>17824</v>
      </c>
      <c r="H13446" t="s">
        <v>31962</v>
      </c>
    </row>
    <row r="13447" spans="1:8">
      <c r="A13447" t="s">
        <v>2508</v>
      </c>
      <c r="B13447">
        <f>HYPERLINK("https://android.googlesource.com/platform/cts/+/79eec7ff7f65bce1814caa145de48c6d89b6a7f4", "79eec7ff7f65bce1814caa145de48c6d89b6a7f4")</f>
        <v>0</v>
      </c>
      <c r="C13447">
        <f>HYPERLINK("https://android.googlesource.com/platform/cts/+/c81749d27631ff706e0bd6e061f5f85405a4b0c5", "c81749d27631ff706e0bd6e061f5f85405a4b0c5")</f>
        <v>0</v>
      </c>
      <c r="D13447" t="s">
        <v>5408</v>
      </c>
      <c r="E13447" t="s">
        <v>8237</v>
      </c>
      <c r="F13447" t="s">
        <v>13160</v>
      </c>
      <c r="G13447" t="s">
        <v>17311</v>
      </c>
      <c r="H13447" t="s">
        <v>31965</v>
      </c>
    </row>
    <row r="13448" spans="1:8">
      <c r="A13448" t="s">
        <v>2509</v>
      </c>
      <c r="B13448">
        <f>HYPERLINK("https://android.googlesource.com/platform/cts/+/e28f1d138f354f3e32bb7f180ca8dcac807ba98e", "e28f1d138f354f3e32bb7f180ca8dcac807ba98e")</f>
        <v>0</v>
      </c>
      <c r="C13448">
        <f>HYPERLINK("https://android.googlesource.com/platform/cts/+/4c9697d822f0b595d7f53f27001ed94e57d95754", "4c9697d822f0b595d7f53f27001ed94e57d95754")</f>
        <v>0</v>
      </c>
      <c r="D13448" t="s">
        <v>5390</v>
      </c>
      <c r="E13448" t="s">
        <v>8238</v>
      </c>
      <c r="F13448" t="s">
        <v>13837</v>
      </c>
      <c r="G13448" t="s">
        <v>17880</v>
      </c>
      <c r="H13448" t="s">
        <v>31966</v>
      </c>
    </row>
    <row r="13449" spans="1:8">
      <c r="A13449" t="s">
        <v>2510</v>
      </c>
      <c r="B13449">
        <f>HYPERLINK("https://android.googlesource.com/platform/cts/+/d16a6954d193197a171635e8eb913fad85b547ce", "d16a6954d193197a171635e8eb913fad85b547ce")</f>
        <v>0</v>
      </c>
      <c r="C13449">
        <f>HYPERLINK("https://android.googlesource.com/platform/cts/+/e17f395c22a7b70e237bac66db84d0f22d4b65dd", "e17f395c22a7b70e237bac66db84d0f22d4b65dd")</f>
        <v>0</v>
      </c>
      <c r="D13449" t="s">
        <v>5409</v>
      </c>
      <c r="E13449" t="s">
        <v>8239</v>
      </c>
      <c r="F13449" t="s">
        <v>12629</v>
      </c>
      <c r="G13449" t="s">
        <v>16838</v>
      </c>
      <c r="H13449" t="s">
        <v>31980</v>
      </c>
    </row>
    <row r="13450" spans="1:8">
      <c r="A13450" t="s">
        <v>2512</v>
      </c>
      <c r="B13450">
        <f>HYPERLINK("https://android.googlesource.com/platform/cts/+/c7a5d5a5d3e6f6a6e7e05f93f4ed848ec49a687f", "c7a5d5a5d3e6f6a6e7e05f93f4ed848ec49a687f")</f>
        <v>0</v>
      </c>
      <c r="C13450">
        <f>HYPERLINK("https://android.googlesource.com/platform/cts/+/5d88e09414e0b0a1b5acbac306ea614d5087da60", "5d88e09414e0b0a1b5acbac306ea614d5087da60")</f>
        <v>0</v>
      </c>
      <c r="D13450" t="s">
        <v>4981</v>
      </c>
      <c r="E13450" t="s">
        <v>8241</v>
      </c>
      <c r="F13450" t="s">
        <v>13889</v>
      </c>
      <c r="G13450" t="s">
        <v>17926</v>
      </c>
      <c r="H13450" t="s">
        <v>31982</v>
      </c>
    </row>
    <row r="13451" spans="1:8">
      <c r="F13451" t="s">
        <v>13890</v>
      </c>
      <c r="G13451" t="s">
        <v>17927</v>
      </c>
      <c r="H13451" t="s">
        <v>31983</v>
      </c>
    </row>
    <row r="13452" spans="1:8">
      <c r="F13452" t="s">
        <v>13775</v>
      </c>
      <c r="G13452" t="s">
        <v>17830</v>
      </c>
      <c r="H13452" t="s">
        <v>31984</v>
      </c>
    </row>
    <row r="13453" spans="1:8">
      <c r="F13453" t="s">
        <v>13678</v>
      </c>
      <c r="G13453" t="s">
        <v>17748</v>
      </c>
      <c r="H13453" t="s">
        <v>31984</v>
      </c>
    </row>
    <row r="13454" spans="1:8">
      <c r="F13454" t="s">
        <v>13891</v>
      </c>
      <c r="G13454" t="s">
        <v>17928</v>
      </c>
      <c r="H13454" t="s">
        <v>31985</v>
      </c>
    </row>
    <row r="13455" spans="1:8">
      <c r="A13455" t="s">
        <v>2515</v>
      </c>
      <c r="B13455">
        <f>HYPERLINK("https://android.googlesource.com/platform/cts/+/b339a858b63996d5ccc12bd0aa9fded9162b5fb8", "b339a858b63996d5ccc12bd0aa9fded9162b5fb8")</f>
        <v>0</v>
      </c>
      <c r="C13455">
        <f>HYPERLINK("https://android.googlesource.com/platform/cts/+/a5396d3130da17581a2adb35f6963f4d1a4558f1", "a5396d3130da17581a2adb35f6963f4d1a4558f1")</f>
        <v>0</v>
      </c>
      <c r="D13455" t="s">
        <v>5390</v>
      </c>
      <c r="E13455" t="s">
        <v>8244</v>
      </c>
      <c r="F13455" t="s">
        <v>13837</v>
      </c>
      <c r="G13455" t="s">
        <v>17880</v>
      </c>
      <c r="H13455" t="s">
        <v>31966</v>
      </c>
    </row>
    <row r="13456" spans="1:8">
      <c r="A13456" t="s">
        <v>2517</v>
      </c>
      <c r="B13456">
        <f>HYPERLINK("https://android.googlesource.com/platform/cts/+/2b3f20dd424487d034bfdb84e7f5587b34c1d314", "2b3f20dd424487d034bfdb84e7f5587b34c1d314")</f>
        <v>0</v>
      </c>
      <c r="C13456">
        <f>HYPERLINK("https://android.googlesource.com/platform/cts/+/17a6893c375da8129c2e75361bafac83432f4e6d", "17a6893c375da8129c2e75361bafac83432f4e6d")</f>
        <v>0</v>
      </c>
      <c r="D13456" t="s">
        <v>5332</v>
      </c>
      <c r="E13456" t="s">
        <v>8246</v>
      </c>
      <c r="F13456" t="s">
        <v>13894</v>
      </c>
      <c r="G13456" t="s">
        <v>17931</v>
      </c>
      <c r="H13456" t="s">
        <v>31992</v>
      </c>
    </row>
    <row r="13457" spans="1:8">
      <c r="A13457" t="s">
        <v>2519</v>
      </c>
      <c r="B13457">
        <f>HYPERLINK("https://android.googlesource.com/platform/cts/+/ceb4aa2d26c9d25ce722ed2008731afb44b499aa", "ceb4aa2d26c9d25ce722ed2008731afb44b499aa")</f>
        <v>0</v>
      </c>
      <c r="C13457">
        <f>HYPERLINK("https://android.googlesource.com/platform/cts/+/c1c0a720de8609d6fd4da736edb1cbf4c0ceeacc", "c1c0a720de8609d6fd4da736edb1cbf4c0ceeacc")</f>
        <v>0</v>
      </c>
      <c r="D13457" t="s">
        <v>5410</v>
      </c>
      <c r="E13457" t="s">
        <v>8248</v>
      </c>
      <c r="F13457" t="s">
        <v>13895</v>
      </c>
      <c r="G13457" t="s">
        <v>17932</v>
      </c>
      <c r="H13457" t="s">
        <v>31993</v>
      </c>
    </row>
    <row r="13458" spans="1:8">
      <c r="H13458" t="s">
        <v>31994</v>
      </c>
    </row>
    <row r="13459" spans="1:8">
      <c r="F13459" t="s">
        <v>13896</v>
      </c>
      <c r="G13459" t="s">
        <v>17933</v>
      </c>
      <c r="H13459" t="s">
        <v>31999</v>
      </c>
    </row>
    <row r="13460" spans="1:8">
      <c r="H13460" t="s">
        <v>32000</v>
      </c>
    </row>
    <row r="13461" spans="1:8">
      <c r="H13461" t="s">
        <v>32001</v>
      </c>
    </row>
    <row r="13462" spans="1:8">
      <c r="H13462" t="s">
        <v>32002</v>
      </c>
    </row>
    <row r="13463" spans="1:8">
      <c r="H13463" t="s">
        <v>32003</v>
      </c>
    </row>
    <row r="13464" spans="1:8">
      <c r="H13464" t="s">
        <v>32004</v>
      </c>
    </row>
    <row r="13465" spans="1:8">
      <c r="H13465" t="s">
        <v>32005</v>
      </c>
    </row>
    <row r="13466" spans="1:8">
      <c r="F13466" t="s">
        <v>13739</v>
      </c>
      <c r="G13466" t="s">
        <v>17799</v>
      </c>
      <c r="H13466" t="s">
        <v>32008</v>
      </c>
    </row>
    <row r="13467" spans="1:8">
      <c r="H13467" t="s">
        <v>32009</v>
      </c>
    </row>
    <row r="13468" spans="1:8">
      <c r="H13468" t="s">
        <v>32010</v>
      </c>
    </row>
    <row r="13469" spans="1:8">
      <c r="H13469" t="s">
        <v>32011</v>
      </c>
    </row>
    <row r="13470" spans="1:8">
      <c r="H13470" t="s">
        <v>32012</v>
      </c>
    </row>
    <row r="13471" spans="1:8">
      <c r="H13471" t="s">
        <v>32013</v>
      </c>
    </row>
    <row r="13472" spans="1:8">
      <c r="H13472" t="s">
        <v>32014</v>
      </c>
    </row>
    <row r="13473" spans="8:8">
      <c r="H13473" t="s">
        <v>32018</v>
      </c>
    </row>
    <row r="13474" spans="8:8">
      <c r="H13474" t="s">
        <v>31300</v>
      </c>
    </row>
    <row r="13475" spans="8:8">
      <c r="H13475" t="s">
        <v>32019</v>
      </c>
    </row>
    <row r="13476" spans="8:8">
      <c r="H13476" t="s">
        <v>32020</v>
      </c>
    </row>
    <row r="13477" spans="8:8">
      <c r="H13477" t="s">
        <v>32021</v>
      </c>
    </row>
    <row r="13478" spans="8:8">
      <c r="H13478" t="s">
        <v>32022</v>
      </c>
    </row>
    <row r="13479" spans="8:8">
      <c r="H13479" t="s">
        <v>32023</v>
      </c>
    </row>
    <row r="13480" spans="8:8">
      <c r="H13480" t="s">
        <v>32024</v>
      </c>
    </row>
    <row r="13481" spans="8:8">
      <c r="H13481" t="s">
        <v>32031</v>
      </c>
    </row>
    <row r="13482" spans="8:8">
      <c r="H13482" t="s">
        <v>30170</v>
      </c>
    </row>
    <row r="13483" spans="8:8">
      <c r="H13483" t="s">
        <v>32032</v>
      </c>
    </row>
    <row r="13484" spans="8:8">
      <c r="H13484" t="s">
        <v>32033</v>
      </c>
    </row>
    <row r="13485" spans="8:8">
      <c r="H13485" t="s">
        <v>32034</v>
      </c>
    </row>
    <row r="13486" spans="8:8">
      <c r="H13486" t="s">
        <v>32035</v>
      </c>
    </row>
    <row r="13487" spans="8:8">
      <c r="H13487" t="s">
        <v>32037</v>
      </c>
    </row>
    <row r="13488" spans="8:8">
      <c r="H13488" t="s">
        <v>32038</v>
      </c>
    </row>
    <row r="13489" spans="8:8">
      <c r="H13489" t="s">
        <v>32039</v>
      </c>
    </row>
    <row r="13490" spans="8:8">
      <c r="H13490" t="s">
        <v>32040</v>
      </c>
    </row>
    <row r="13491" spans="8:8">
      <c r="H13491" t="s">
        <v>32041</v>
      </c>
    </row>
    <row r="13492" spans="8:8">
      <c r="H13492" t="s">
        <v>32042</v>
      </c>
    </row>
    <row r="13493" spans="8:8">
      <c r="H13493" t="s">
        <v>32043</v>
      </c>
    </row>
    <row r="13494" spans="8:8">
      <c r="H13494" t="s">
        <v>32044</v>
      </c>
    </row>
    <row r="13495" spans="8:8">
      <c r="H13495" t="s">
        <v>32045</v>
      </c>
    </row>
    <row r="13496" spans="8:8">
      <c r="H13496" t="s">
        <v>32046</v>
      </c>
    </row>
    <row r="13497" spans="8:8">
      <c r="H13497" t="s">
        <v>32047</v>
      </c>
    </row>
    <row r="13498" spans="8:8">
      <c r="H13498" t="s">
        <v>32048</v>
      </c>
    </row>
    <row r="13499" spans="8:8">
      <c r="H13499" t="s">
        <v>32049</v>
      </c>
    </row>
    <row r="13500" spans="8:8">
      <c r="H13500" t="s">
        <v>32050</v>
      </c>
    </row>
    <row r="13501" spans="8:8">
      <c r="H13501" t="s">
        <v>32051</v>
      </c>
    </row>
    <row r="13502" spans="8:8">
      <c r="H13502" t="s">
        <v>32052</v>
      </c>
    </row>
    <row r="13503" spans="8:8">
      <c r="H13503" t="s">
        <v>32053</v>
      </c>
    </row>
    <row r="13504" spans="8:8">
      <c r="H13504" t="s">
        <v>32054</v>
      </c>
    </row>
    <row r="13505" spans="8:8">
      <c r="H13505" t="s">
        <v>32055</v>
      </c>
    </row>
    <row r="13506" spans="8:8">
      <c r="H13506" t="s">
        <v>32056</v>
      </c>
    </row>
    <row r="13507" spans="8:8">
      <c r="H13507" t="s">
        <v>32057</v>
      </c>
    </row>
    <row r="13508" spans="8:8">
      <c r="H13508" t="s">
        <v>32058</v>
      </c>
    </row>
    <row r="13509" spans="8:8">
      <c r="H13509" t="s">
        <v>32059</v>
      </c>
    </row>
    <row r="13510" spans="8:8">
      <c r="H13510" t="s">
        <v>32060</v>
      </c>
    </row>
    <row r="13511" spans="8:8">
      <c r="H13511" t="s">
        <v>32061</v>
      </c>
    </row>
    <row r="13512" spans="8:8">
      <c r="H13512" t="s">
        <v>32062</v>
      </c>
    </row>
    <row r="13513" spans="8:8">
      <c r="H13513" t="s">
        <v>32063</v>
      </c>
    </row>
    <row r="13514" spans="8:8">
      <c r="H13514" t="s">
        <v>32064</v>
      </c>
    </row>
    <row r="13515" spans="8:8">
      <c r="H13515" t="s">
        <v>32065</v>
      </c>
    </row>
    <row r="13516" spans="8:8">
      <c r="H13516" t="s">
        <v>32066</v>
      </c>
    </row>
    <row r="13517" spans="8:8">
      <c r="H13517" t="s">
        <v>32067</v>
      </c>
    </row>
    <row r="13518" spans="8:8">
      <c r="H13518" t="s">
        <v>32068</v>
      </c>
    </row>
    <row r="13519" spans="8:8">
      <c r="H13519" t="s">
        <v>32069</v>
      </c>
    </row>
    <row r="13520" spans="8:8">
      <c r="H13520" t="s">
        <v>32070</v>
      </c>
    </row>
    <row r="13521" spans="8:8">
      <c r="H13521" t="s">
        <v>32075</v>
      </c>
    </row>
    <row r="13522" spans="8:8">
      <c r="H13522" t="s">
        <v>32076</v>
      </c>
    </row>
    <row r="13523" spans="8:8">
      <c r="H13523" t="s">
        <v>32077</v>
      </c>
    </row>
    <row r="13524" spans="8:8">
      <c r="H13524" t="s">
        <v>26401</v>
      </c>
    </row>
    <row r="13525" spans="8:8">
      <c r="H13525" t="s">
        <v>32080</v>
      </c>
    </row>
    <row r="13526" spans="8:8">
      <c r="H13526" t="s">
        <v>32083</v>
      </c>
    </row>
    <row r="13527" spans="8:8">
      <c r="H13527" t="s">
        <v>32084</v>
      </c>
    </row>
    <row r="13528" spans="8:8">
      <c r="H13528" t="s">
        <v>32085</v>
      </c>
    </row>
    <row r="13529" spans="8:8">
      <c r="H13529" t="s">
        <v>32086</v>
      </c>
    </row>
    <row r="13530" spans="8:8">
      <c r="H13530" t="s">
        <v>32087</v>
      </c>
    </row>
    <row r="13531" spans="8:8">
      <c r="H13531" t="s">
        <v>30168</v>
      </c>
    </row>
    <row r="13532" spans="8:8">
      <c r="H13532" t="s">
        <v>32088</v>
      </c>
    </row>
    <row r="13533" spans="8:8">
      <c r="H13533" t="s">
        <v>32089</v>
      </c>
    </row>
    <row r="13534" spans="8:8">
      <c r="H13534" t="s">
        <v>32090</v>
      </c>
    </row>
    <row r="13535" spans="8:8">
      <c r="H13535" t="s">
        <v>32091</v>
      </c>
    </row>
    <row r="13536" spans="8:8">
      <c r="H13536" t="s">
        <v>32092</v>
      </c>
    </row>
    <row r="13537" spans="6:8">
      <c r="F13537" t="s">
        <v>13897</v>
      </c>
      <c r="G13537" t="s">
        <v>17934</v>
      </c>
      <c r="H13537" t="s">
        <v>32095</v>
      </c>
    </row>
    <row r="13538" spans="6:8">
      <c r="H13538" t="s">
        <v>32096</v>
      </c>
    </row>
    <row r="13539" spans="6:8">
      <c r="H13539" t="s">
        <v>32097</v>
      </c>
    </row>
    <row r="13540" spans="6:8">
      <c r="H13540" t="s">
        <v>32098</v>
      </c>
    </row>
    <row r="13541" spans="6:8">
      <c r="H13541" t="s">
        <v>32099</v>
      </c>
    </row>
    <row r="13542" spans="6:8">
      <c r="F13542" t="s">
        <v>13732</v>
      </c>
      <c r="G13542" t="s">
        <v>17793</v>
      </c>
      <c r="H13542" t="s">
        <v>20304</v>
      </c>
    </row>
    <row r="13543" spans="6:8">
      <c r="H13543" t="s">
        <v>20305</v>
      </c>
    </row>
    <row r="13544" spans="6:8">
      <c r="H13544" t="s">
        <v>20306</v>
      </c>
    </row>
    <row r="13545" spans="6:8">
      <c r="H13545" t="s">
        <v>20307</v>
      </c>
    </row>
    <row r="13546" spans="6:8">
      <c r="H13546" t="s">
        <v>20308</v>
      </c>
    </row>
    <row r="13547" spans="6:8">
      <c r="H13547" t="s">
        <v>20309</v>
      </c>
    </row>
    <row r="13548" spans="6:8">
      <c r="H13548" t="s">
        <v>20310</v>
      </c>
    </row>
    <row r="13549" spans="6:8">
      <c r="H13549" t="s">
        <v>32100</v>
      </c>
    </row>
    <row r="13550" spans="6:8">
      <c r="H13550" t="s">
        <v>32101</v>
      </c>
    </row>
    <row r="13551" spans="6:8">
      <c r="H13551" t="s">
        <v>32102</v>
      </c>
    </row>
    <row r="13552" spans="6:8">
      <c r="H13552" t="s">
        <v>19646</v>
      </c>
    </row>
    <row r="13553" spans="1:8">
      <c r="H13553" t="s">
        <v>19647</v>
      </c>
    </row>
    <row r="13554" spans="1:8">
      <c r="H13554" t="s">
        <v>19648</v>
      </c>
    </row>
    <row r="13555" spans="1:8">
      <c r="H13555" t="s">
        <v>19649</v>
      </c>
    </row>
    <row r="13556" spans="1:8">
      <c r="H13556" t="s">
        <v>19650</v>
      </c>
    </row>
    <row r="13557" spans="1:8">
      <c r="H13557" t="s">
        <v>19651</v>
      </c>
    </row>
    <row r="13558" spans="1:8">
      <c r="H13558" t="s">
        <v>19652</v>
      </c>
    </row>
    <row r="13559" spans="1:8">
      <c r="H13559" t="s">
        <v>32103</v>
      </c>
    </row>
    <row r="13560" spans="1:8">
      <c r="H13560" t="s">
        <v>32105</v>
      </c>
    </row>
    <row r="13561" spans="1:8">
      <c r="H13561" t="s">
        <v>32106</v>
      </c>
    </row>
    <row r="13562" spans="1:8">
      <c r="H13562" t="s">
        <v>32107</v>
      </c>
    </row>
    <row r="13563" spans="1:8">
      <c r="H13563" t="s">
        <v>32108</v>
      </c>
    </row>
    <row r="13564" spans="1:8">
      <c r="H13564" t="s">
        <v>32111</v>
      </c>
    </row>
    <row r="13565" spans="1:8">
      <c r="A13565" t="s">
        <v>2521</v>
      </c>
      <c r="B13565">
        <f>HYPERLINK("https://android.googlesource.com/platform/cts/+/49748dfcee2d397e7557824cc7bd9750e0fa5f61", "49748dfcee2d397e7557824cc7bd9750e0fa5f61")</f>
        <v>0</v>
      </c>
      <c r="C13565">
        <f>HYPERLINK("https://android.googlesource.com/platform/cts/+/2d9f86920ec6c5e248bfb3b1c579f3096f7cf506", "2d9f86920ec6c5e248bfb3b1c579f3096f7cf506")</f>
        <v>0</v>
      </c>
      <c r="D13565" t="s">
        <v>5134</v>
      </c>
      <c r="E13565" t="s">
        <v>8250</v>
      </c>
      <c r="F13565" t="s">
        <v>13760</v>
      </c>
      <c r="G13565" t="s">
        <v>17811</v>
      </c>
      <c r="H13565" t="s">
        <v>32120</v>
      </c>
    </row>
    <row r="13566" spans="1:8">
      <c r="H13566" t="s">
        <v>32121</v>
      </c>
    </row>
    <row r="13567" spans="1:8">
      <c r="H13567" t="s">
        <v>32122</v>
      </c>
    </row>
    <row r="13568" spans="1:8">
      <c r="H13568" t="s">
        <v>32123</v>
      </c>
    </row>
    <row r="13569" spans="6:8">
      <c r="H13569" t="s">
        <v>32124</v>
      </c>
    </row>
    <row r="13570" spans="6:8">
      <c r="H13570" t="s">
        <v>32125</v>
      </c>
    </row>
    <row r="13571" spans="6:8">
      <c r="F13571" t="s">
        <v>13898</v>
      </c>
      <c r="G13571" t="s">
        <v>17935</v>
      </c>
      <c r="H13571" t="s">
        <v>32120</v>
      </c>
    </row>
    <row r="13572" spans="6:8">
      <c r="H13572" t="s">
        <v>32127</v>
      </c>
    </row>
    <row r="13573" spans="6:8">
      <c r="F13573" t="s">
        <v>13765</v>
      </c>
      <c r="G13573" t="s">
        <v>17822</v>
      </c>
      <c r="H13573" t="s">
        <v>32130</v>
      </c>
    </row>
    <row r="13574" spans="6:8">
      <c r="H13574" t="s">
        <v>32131</v>
      </c>
    </row>
    <row r="13575" spans="6:8">
      <c r="H13575" t="s">
        <v>32132</v>
      </c>
    </row>
    <row r="13576" spans="6:8">
      <c r="H13576" t="s">
        <v>32133</v>
      </c>
    </row>
    <row r="13577" spans="6:8">
      <c r="H13577" t="s">
        <v>32134</v>
      </c>
    </row>
    <row r="13578" spans="6:8">
      <c r="H13578" t="s">
        <v>32135</v>
      </c>
    </row>
    <row r="13579" spans="6:8">
      <c r="H13579" t="s">
        <v>32136</v>
      </c>
    </row>
    <row r="13580" spans="6:8">
      <c r="H13580" t="s">
        <v>32137</v>
      </c>
    </row>
    <row r="13581" spans="6:8">
      <c r="H13581" t="s">
        <v>32138</v>
      </c>
    </row>
    <row r="13582" spans="6:8">
      <c r="H13582" t="s">
        <v>32139</v>
      </c>
    </row>
    <row r="13583" spans="6:8">
      <c r="H13583" t="s">
        <v>32140</v>
      </c>
    </row>
    <row r="13584" spans="6:8">
      <c r="H13584" t="s">
        <v>32141</v>
      </c>
    </row>
    <row r="13585" spans="6:8">
      <c r="H13585" t="s">
        <v>32143</v>
      </c>
    </row>
    <row r="13586" spans="6:8">
      <c r="H13586" t="s">
        <v>32144</v>
      </c>
    </row>
    <row r="13587" spans="6:8">
      <c r="H13587" t="s">
        <v>32145</v>
      </c>
    </row>
    <row r="13588" spans="6:8">
      <c r="H13588" t="s">
        <v>32146</v>
      </c>
    </row>
    <row r="13589" spans="6:8">
      <c r="H13589" t="s">
        <v>32147</v>
      </c>
    </row>
    <row r="13590" spans="6:8">
      <c r="H13590" t="s">
        <v>32148</v>
      </c>
    </row>
    <row r="13591" spans="6:8">
      <c r="H13591" t="s">
        <v>32150</v>
      </c>
    </row>
    <row r="13592" spans="6:8">
      <c r="H13592" t="s">
        <v>32152</v>
      </c>
    </row>
    <row r="13593" spans="6:8">
      <c r="H13593" t="s">
        <v>32153</v>
      </c>
    </row>
    <row r="13594" spans="6:8">
      <c r="H13594" t="s">
        <v>32154</v>
      </c>
    </row>
    <row r="13595" spans="6:8">
      <c r="H13595" t="s">
        <v>32155</v>
      </c>
    </row>
    <row r="13596" spans="6:8">
      <c r="F13596" t="s">
        <v>13756</v>
      </c>
      <c r="G13596" t="s">
        <v>17371</v>
      </c>
      <c r="H13596" t="s">
        <v>32163</v>
      </c>
    </row>
    <row r="13597" spans="6:8">
      <c r="H13597" t="s">
        <v>32164</v>
      </c>
    </row>
    <row r="13598" spans="6:8">
      <c r="H13598" t="s">
        <v>32165</v>
      </c>
    </row>
    <row r="13599" spans="6:8">
      <c r="H13599" t="s">
        <v>32166</v>
      </c>
    </row>
    <row r="13600" spans="6:8">
      <c r="H13600" t="s">
        <v>32167</v>
      </c>
    </row>
    <row r="13601" spans="1:8">
      <c r="H13601" t="s">
        <v>32168</v>
      </c>
    </row>
    <row r="13602" spans="1:8">
      <c r="H13602" t="s">
        <v>32169</v>
      </c>
    </row>
    <row r="13603" spans="1:8">
      <c r="H13603" t="s">
        <v>32170</v>
      </c>
    </row>
    <row r="13604" spans="1:8">
      <c r="H13604" t="s">
        <v>32171</v>
      </c>
    </row>
    <row r="13605" spans="1:8">
      <c r="H13605" t="s">
        <v>32172</v>
      </c>
    </row>
    <row r="13606" spans="1:8">
      <c r="H13606" t="s">
        <v>32173</v>
      </c>
    </row>
    <row r="13607" spans="1:8">
      <c r="H13607" t="s">
        <v>32174</v>
      </c>
    </row>
    <row r="13608" spans="1:8">
      <c r="H13608" t="s">
        <v>32175</v>
      </c>
    </row>
    <row r="13609" spans="1:8">
      <c r="H13609" t="s">
        <v>32176</v>
      </c>
    </row>
    <row r="13610" spans="1:8">
      <c r="H13610" t="s">
        <v>32177</v>
      </c>
    </row>
    <row r="13611" spans="1:8">
      <c r="H13611" t="s">
        <v>32178</v>
      </c>
    </row>
    <row r="13612" spans="1:8">
      <c r="A13612" t="s">
        <v>2525</v>
      </c>
      <c r="B13612">
        <f>HYPERLINK("https://android.googlesource.com/platform/cts/+/62d71fe94d5391cad1184f3aa0bda0e590e90413", "62d71fe94d5391cad1184f3aa0bda0e590e90413")</f>
        <v>0</v>
      </c>
      <c r="C13612">
        <f>HYPERLINK("https://android.googlesource.com/platform/cts/+/c0de7393e0ddf9b62d5adc76e906c445966f6472", "c0de7393e0ddf9b62d5adc76e906c445966f6472")</f>
        <v>0</v>
      </c>
      <c r="D13612" t="s">
        <v>5122</v>
      </c>
      <c r="E13612" t="s">
        <v>8254</v>
      </c>
      <c r="F13612" t="s">
        <v>13781</v>
      </c>
      <c r="G13612" t="s">
        <v>17835</v>
      </c>
      <c r="H13612" t="s">
        <v>32200</v>
      </c>
    </row>
    <row r="13613" spans="1:8">
      <c r="H13613" t="s">
        <v>32201</v>
      </c>
    </row>
    <row r="13614" spans="1:8">
      <c r="H13614" t="s">
        <v>32202</v>
      </c>
    </row>
    <row r="13615" spans="1:8">
      <c r="A13615" t="s">
        <v>2526</v>
      </c>
      <c r="B13615">
        <f>HYPERLINK("https://android.googlesource.com/platform/cts/+/e7ca1e87bb99bdb344b8e4d927aa904b10c0d65e", "e7ca1e87bb99bdb344b8e4d927aa904b10c0d65e")</f>
        <v>0</v>
      </c>
      <c r="C13615">
        <f>HYPERLINK("https://android.googlesource.com/platform/cts/+/5e0196d6b63161ac6834bb63a19d5cabbd9d56a8", "5e0196d6b63161ac6834bb63a19d5cabbd9d56a8")</f>
        <v>0</v>
      </c>
      <c r="D13615" t="s">
        <v>5027</v>
      </c>
      <c r="E13615" t="s">
        <v>8255</v>
      </c>
      <c r="F13615" t="s">
        <v>13900</v>
      </c>
      <c r="G13615" t="s">
        <v>17937</v>
      </c>
      <c r="H13615" t="s">
        <v>30030</v>
      </c>
    </row>
    <row r="13616" spans="1:8">
      <c r="H13616" t="s">
        <v>32206</v>
      </c>
    </row>
    <row r="13617" spans="1:8">
      <c r="H13617" t="s">
        <v>32207</v>
      </c>
    </row>
    <row r="13618" spans="1:8">
      <c r="H13618" t="s">
        <v>32208</v>
      </c>
    </row>
    <row r="13619" spans="1:8">
      <c r="H13619" t="s">
        <v>19013</v>
      </c>
    </row>
    <row r="13620" spans="1:8">
      <c r="H13620" t="s">
        <v>18835</v>
      </c>
    </row>
    <row r="13621" spans="1:8">
      <c r="A13621" t="s">
        <v>2531</v>
      </c>
      <c r="B13621">
        <f>HYPERLINK("https://android.googlesource.com/platform/cts/+/c71a40c1af87ba0c937276b9b7e9e3ab0a57350e", "c71a40c1af87ba0c937276b9b7e9e3ab0a57350e")</f>
        <v>0</v>
      </c>
      <c r="C13621">
        <f>HYPERLINK("https://android.googlesource.com/platform/cts/+/2761e853b2c01b420a6fb71be26f5116cc4a6cde", "2761e853b2c01b420a6fb71be26f5116cc4a6cde")</f>
        <v>0</v>
      </c>
      <c r="D13621" t="s">
        <v>5084</v>
      </c>
      <c r="E13621" t="s">
        <v>8260</v>
      </c>
      <c r="F13621" t="s">
        <v>13904</v>
      </c>
      <c r="G13621" t="s">
        <v>17941</v>
      </c>
      <c r="H13621" t="s">
        <v>32217</v>
      </c>
    </row>
    <row r="13622" spans="1:8">
      <c r="H13622" t="s">
        <v>32218</v>
      </c>
    </row>
    <row r="13623" spans="1:8">
      <c r="H13623" t="s">
        <v>32219</v>
      </c>
    </row>
    <row r="13624" spans="1:8">
      <c r="A13624" t="s">
        <v>2538</v>
      </c>
      <c r="B13624">
        <f>HYPERLINK("https://android.googlesource.com/platform/cts/+/44e2485de2ed192a27425a02d0584cd051db1ca8", "44e2485de2ed192a27425a02d0584cd051db1ca8")</f>
        <v>0</v>
      </c>
      <c r="C13624">
        <f>HYPERLINK("https://android.googlesource.com/platform/cts/+/b4c24ddf7124ca2a8715d7f766711146def899aa", "b4c24ddf7124ca2a8715d7f766711146def899aa")</f>
        <v>0</v>
      </c>
      <c r="D13624" t="s">
        <v>5307</v>
      </c>
      <c r="E13624" t="s">
        <v>8267</v>
      </c>
      <c r="F13624" t="s">
        <v>13333</v>
      </c>
      <c r="G13624" t="s">
        <v>17463</v>
      </c>
      <c r="H13624" t="s">
        <v>32223</v>
      </c>
    </row>
    <row r="13625" spans="1:8">
      <c r="H13625" t="s">
        <v>32224</v>
      </c>
    </row>
    <row r="13626" spans="1:8">
      <c r="A13626" t="s">
        <v>2539</v>
      </c>
      <c r="B13626">
        <f>HYPERLINK("https://android.googlesource.com/platform/cts/+/0fb0b99b57af2a86884c464f207e12608d31e01e", "0fb0b99b57af2a86884c464f207e12608d31e01e")</f>
        <v>0</v>
      </c>
      <c r="C13626">
        <f>HYPERLINK("https://android.googlesource.com/platform/cts/+/05a79cc04292b072029520d328c00bb3ece98562", "05a79cc04292b072029520d328c00bb3ece98562")</f>
        <v>0</v>
      </c>
      <c r="D13626" t="s">
        <v>4952</v>
      </c>
      <c r="E13626" t="s">
        <v>8268</v>
      </c>
      <c r="F13626" t="s">
        <v>12835</v>
      </c>
      <c r="G13626" t="s">
        <v>16417</v>
      </c>
      <c r="H13626" t="s">
        <v>32226</v>
      </c>
    </row>
    <row r="13627" spans="1:8">
      <c r="H13627" t="s">
        <v>32227</v>
      </c>
    </row>
    <row r="13628" spans="1:8">
      <c r="H13628" t="s">
        <v>32228</v>
      </c>
    </row>
    <row r="13629" spans="1:8">
      <c r="F13629" t="s">
        <v>12414</v>
      </c>
      <c r="G13629" t="s">
        <v>16636</v>
      </c>
      <c r="H13629" t="s">
        <v>32233</v>
      </c>
    </row>
    <row r="13630" spans="1:8">
      <c r="H13630" t="s">
        <v>32234</v>
      </c>
    </row>
    <row r="13631" spans="1:8">
      <c r="H13631" t="s">
        <v>32235</v>
      </c>
    </row>
    <row r="13632" spans="1:8">
      <c r="H13632" t="s">
        <v>32236</v>
      </c>
    </row>
    <row r="13633" spans="1:8">
      <c r="H13633" t="s">
        <v>32237</v>
      </c>
    </row>
    <row r="13634" spans="1:8">
      <c r="H13634" t="s">
        <v>32238</v>
      </c>
    </row>
    <row r="13635" spans="1:8">
      <c r="H13635" t="s">
        <v>32239</v>
      </c>
    </row>
    <row r="13636" spans="1:8">
      <c r="A13636" t="s">
        <v>2540</v>
      </c>
      <c r="B13636">
        <f>HYPERLINK("https://android.googlesource.com/platform/cts/+/ebba5df3c2b48ee3778db6bf0a509898cadad192", "ebba5df3c2b48ee3778db6bf0a509898cadad192")</f>
        <v>0</v>
      </c>
      <c r="C13636">
        <f>HYPERLINK("https://android.googlesource.com/platform/cts/+/6f4d833a0e787dbb769cad529b60d4a9d783e99a", "6f4d833a0e787dbb769cad529b60d4a9d783e99a")</f>
        <v>0</v>
      </c>
      <c r="D13636" t="s">
        <v>5111</v>
      </c>
      <c r="E13636" t="s">
        <v>8269</v>
      </c>
      <c r="F13636" t="s">
        <v>10778</v>
      </c>
      <c r="G13636" t="s">
        <v>15174</v>
      </c>
      <c r="H13636" t="s">
        <v>32240</v>
      </c>
    </row>
    <row r="13637" spans="1:8">
      <c r="A13637" t="s">
        <v>2542</v>
      </c>
      <c r="B13637">
        <f>HYPERLINK("https://android.googlesource.com/platform/cts/+/6e0d19e2ecec8aab3e63110c3640c069760983a9", "6e0d19e2ecec8aab3e63110c3640c069760983a9")</f>
        <v>0</v>
      </c>
      <c r="C13637">
        <f>HYPERLINK("https://android.googlesource.com/platform/cts/+/0a8521c3f49f355c77dc6179371117d302a45c93", "0a8521c3f49f355c77dc6179371117d302a45c93")</f>
        <v>0</v>
      </c>
      <c r="D13637" t="s">
        <v>5211</v>
      </c>
      <c r="E13637" t="s">
        <v>8271</v>
      </c>
      <c r="F13637" t="s">
        <v>13907</v>
      </c>
      <c r="G13637" t="s">
        <v>17944</v>
      </c>
      <c r="H13637" t="s">
        <v>32243</v>
      </c>
    </row>
    <row r="13638" spans="1:8">
      <c r="F13638" t="s">
        <v>13908</v>
      </c>
      <c r="G13638" t="s">
        <v>17945</v>
      </c>
      <c r="H13638" t="s">
        <v>32243</v>
      </c>
    </row>
    <row r="13639" spans="1:8">
      <c r="F13639" t="s">
        <v>13909</v>
      </c>
      <c r="G13639" t="s">
        <v>17946</v>
      </c>
      <c r="H13639" t="s">
        <v>32243</v>
      </c>
    </row>
    <row r="13640" spans="1:8">
      <c r="A13640" t="s">
        <v>2546</v>
      </c>
      <c r="B13640">
        <f>HYPERLINK("https://android.googlesource.com/platform/cts/+/4f4c1b15dcdb79087d766893c10c1326489d3f48", "4f4c1b15dcdb79087d766893c10c1326489d3f48")</f>
        <v>0</v>
      </c>
      <c r="C13640">
        <f>HYPERLINK("https://android.googlesource.com/platform/cts/+/e62fb2511999aa952cb96354678eb1194360d322", "e62fb2511999aa952cb96354678eb1194360d322")</f>
        <v>0</v>
      </c>
      <c r="D13640" t="s">
        <v>4952</v>
      </c>
      <c r="E13640" t="s">
        <v>8275</v>
      </c>
      <c r="F13640" t="s">
        <v>12222</v>
      </c>
      <c r="G13640" t="s">
        <v>16452</v>
      </c>
      <c r="H13640" t="s">
        <v>32251</v>
      </c>
    </row>
    <row r="13641" spans="1:8">
      <c r="A13641" t="s">
        <v>2547</v>
      </c>
      <c r="B13641">
        <f>HYPERLINK("https://android.googlesource.com/platform/cts/+/79fef0dd388d1b700b1aa07aefb6502b72503e8e", "79fef0dd388d1b700b1aa07aefb6502b72503e8e")</f>
        <v>0</v>
      </c>
      <c r="C13641">
        <f>HYPERLINK("https://android.googlesource.com/platform/cts/+/2b1974b36862350aa5b410d5180a938858f502ef", "2b1974b36862350aa5b410d5180a938858f502ef")</f>
        <v>0</v>
      </c>
      <c r="D13641" t="s">
        <v>5027</v>
      </c>
      <c r="E13641" t="s">
        <v>8276</v>
      </c>
      <c r="F13641" t="s">
        <v>13505</v>
      </c>
      <c r="G13641" t="s">
        <v>17622</v>
      </c>
      <c r="H13641" t="s">
        <v>31309</v>
      </c>
    </row>
    <row r="13642" spans="1:8">
      <c r="H13642" t="s">
        <v>30148</v>
      </c>
    </row>
    <row r="13643" spans="1:8">
      <c r="H13643" t="s">
        <v>30149</v>
      </c>
    </row>
    <row r="13644" spans="1:8">
      <c r="H13644" t="s">
        <v>30150</v>
      </c>
    </row>
    <row r="13645" spans="1:8">
      <c r="H13645" t="s">
        <v>30151</v>
      </c>
    </row>
    <row r="13646" spans="1:8">
      <c r="H13646" t="s">
        <v>30152</v>
      </c>
    </row>
    <row r="13647" spans="1:8">
      <c r="H13647" t="s">
        <v>30153</v>
      </c>
    </row>
    <row r="13648" spans="1:8">
      <c r="H13648" t="s">
        <v>29023</v>
      </c>
    </row>
    <row r="13649" spans="6:8">
      <c r="H13649" t="s">
        <v>30154</v>
      </c>
    </row>
    <row r="13650" spans="6:8">
      <c r="H13650" t="s">
        <v>30155</v>
      </c>
    </row>
    <row r="13651" spans="6:8">
      <c r="H13651" t="s">
        <v>30156</v>
      </c>
    </row>
    <row r="13652" spans="6:8">
      <c r="H13652" t="s">
        <v>30157</v>
      </c>
    </row>
    <row r="13653" spans="6:8">
      <c r="H13653" t="s">
        <v>30158</v>
      </c>
    </row>
    <row r="13654" spans="6:8">
      <c r="F13654" t="s">
        <v>13506</v>
      </c>
      <c r="G13654" t="s">
        <v>17623</v>
      </c>
      <c r="H13654" t="s">
        <v>31336</v>
      </c>
    </row>
    <row r="13655" spans="6:8">
      <c r="H13655" t="s">
        <v>30167</v>
      </c>
    </row>
    <row r="13656" spans="6:8">
      <c r="H13656" t="s">
        <v>30168</v>
      </c>
    </row>
    <row r="13657" spans="6:8">
      <c r="H13657" t="s">
        <v>30171</v>
      </c>
    </row>
    <row r="13658" spans="6:8">
      <c r="H13658" t="s">
        <v>30172</v>
      </c>
    </row>
    <row r="13659" spans="6:8">
      <c r="H13659" t="s">
        <v>30173</v>
      </c>
    </row>
    <row r="13660" spans="6:8">
      <c r="H13660" t="s">
        <v>30174</v>
      </c>
    </row>
    <row r="13661" spans="6:8">
      <c r="H13661" t="s">
        <v>30175</v>
      </c>
    </row>
    <row r="13662" spans="6:8">
      <c r="H13662" t="s">
        <v>31337</v>
      </c>
    </row>
    <row r="13663" spans="6:8">
      <c r="H13663" t="s">
        <v>30176</v>
      </c>
    </row>
    <row r="13664" spans="6:8">
      <c r="H13664" t="s">
        <v>30216</v>
      </c>
    </row>
    <row r="13665" spans="8:8">
      <c r="H13665" t="s">
        <v>31338</v>
      </c>
    </row>
    <row r="13666" spans="8:8">
      <c r="H13666" t="s">
        <v>31339</v>
      </c>
    </row>
    <row r="13667" spans="8:8">
      <c r="H13667" t="s">
        <v>31340</v>
      </c>
    </row>
    <row r="13668" spans="8:8">
      <c r="H13668" t="s">
        <v>31341</v>
      </c>
    </row>
    <row r="13669" spans="8:8">
      <c r="H13669" t="s">
        <v>31342</v>
      </c>
    </row>
    <row r="13670" spans="8:8">
      <c r="H13670" t="s">
        <v>31343</v>
      </c>
    </row>
    <row r="13671" spans="8:8">
      <c r="H13671" t="s">
        <v>31344</v>
      </c>
    </row>
    <row r="13672" spans="8:8">
      <c r="H13672" t="s">
        <v>31345</v>
      </c>
    </row>
    <row r="13673" spans="8:8">
      <c r="H13673" t="s">
        <v>31346</v>
      </c>
    </row>
    <row r="13674" spans="8:8">
      <c r="H13674" t="s">
        <v>31347</v>
      </c>
    </row>
    <row r="13675" spans="8:8">
      <c r="H13675" t="s">
        <v>31348</v>
      </c>
    </row>
    <row r="13676" spans="8:8">
      <c r="H13676" t="s">
        <v>31349</v>
      </c>
    </row>
    <row r="13677" spans="8:8">
      <c r="H13677" t="s">
        <v>31350</v>
      </c>
    </row>
    <row r="13678" spans="8:8">
      <c r="H13678" t="s">
        <v>31351</v>
      </c>
    </row>
    <row r="13679" spans="8:8">
      <c r="H13679" t="s">
        <v>30178</v>
      </c>
    </row>
    <row r="13680" spans="8:8">
      <c r="H13680" t="s">
        <v>30179</v>
      </c>
    </row>
    <row r="13681" spans="8:8">
      <c r="H13681" t="s">
        <v>30180</v>
      </c>
    </row>
    <row r="13682" spans="8:8">
      <c r="H13682" t="s">
        <v>30182</v>
      </c>
    </row>
    <row r="13683" spans="8:8">
      <c r="H13683" t="s">
        <v>30183</v>
      </c>
    </row>
    <row r="13684" spans="8:8">
      <c r="H13684" t="s">
        <v>30184</v>
      </c>
    </row>
    <row r="13685" spans="8:8">
      <c r="H13685" t="s">
        <v>30185</v>
      </c>
    </row>
    <row r="13686" spans="8:8">
      <c r="H13686" t="s">
        <v>30186</v>
      </c>
    </row>
    <row r="13687" spans="8:8">
      <c r="H13687" t="s">
        <v>30187</v>
      </c>
    </row>
    <row r="13688" spans="8:8">
      <c r="H13688" t="s">
        <v>30188</v>
      </c>
    </row>
    <row r="13689" spans="8:8">
      <c r="H13689" t="s">
        <v>30189</v>
      </c>
    </row>
    <row r="13690" spans="8:8">
      <c r="H13690" t="s">
        <v>30190</v>
      </c>
    </row>
    <row r="13691" spans="8:8">
      <c r="H13691" t="s">
        <v>30191</v>
      </c>
    </row>
    <row r="13692" spans="8:8">
      <c r="H13692" t="s">
        <v>30192</v>
      </c>
    </row>
    <row r="13693" spans="8:8">
      <c r="H13693" t="s">
        <v>30193</v>
      </c>
    </row>
    <row r="13694" spans="8:8">
      <c r="H13694" t="s">
        <v>30194</v>
      </c>
    </row>
    <row r="13695" spans="8:8">
      <c r="H13695" t="s">
        <v>30195</v>
      </c>
    </row>
    <row r="13696" spans="8:8">
      <c r="H13696" t="s">
        <v>30196</v>
      </c>
    </row>
    <row r="13697" spans="6:8">
      <c r="H13697" t="s">
        <v>30198</v>
      </c>
    </row>
    <row r="13698" spans="6:8">
      <c r="H13698" t="s">
        <v>30199</v>
      </c>
    </row>
    <row r="13699" spans="6:8">
      <c r="H13699" t="s">
        <v>30200</v>
      </c>
    </row>
    <row r="13700" spans="6:8">
      <c r="H13700" t="s">
        <v>30201</v>
      </c>
    </row>
    <row r="13701" spans="6:8">
      <c r="H13701" t="s">
        <v>30202</v>
      </c>
    </row>
    <row r="13702" spans="6:8">
      <c r="H13702" t="s">
        <v>30203</v>
      </c>
    </row>
    <row r="13703" spans="6:8">
      <c r="H13703" t="s">
        <v>30204</v>
      </c>
    </row>
    <row r="13704" spans="6:8">
      <c r="H13704" t="s">
        <v>30205</v>
      </c>
    </row>
    <row r="13705" spans="6:8">
      <c r="H13705" t="s">
        <v>30206</v>
      </c>
    </row>
    <row r="13706" spans="6:8">
      <c r="H13706" t="s">
        <v>30207</v>
      </c>
    </row>
    <row r="13707" spans="6:8">
      <c r="F13707" t="s">
        <v>13507</v>
      </c>
      <c r="G13707" t="s">
        <v>17624</v>
      </c>
      <c r="H13707" t="s">
        <v>30030</v>
      </c>
    </row>
    <row r="13708" spans="6:8">
      <c r="F13708" t="s">
        <v>13508</v>
      </c>
      <c r="G13708" t="s">
        <v>17625</v>
      </c>
      <c r="H13708" t="s">
        <v>30030</v>
      </c>
    </row>
    <row r="13709" spans="6:8">
      <c r="H13709" t="s">
        <v>31352</v>
      </c>
    </row>
    <row r="13710" spans="6:8">
      <c r="H13710" t="s">
        <v>31353</v>
      </c>
    </row>
    <row r="13711" spans="6:8">
      <c r="H13711" t="s">
        <v>31354</v>
      </c>
    </row>
    <row r="13712" spans="6:8">
      <c r="H13712" t="s">
        <v>31355</v>
      </c>
    </row>
    <row r="13713" spans="8:8">
      <c r="H13713" t="s">
        <v>31356</v>
      </c>
    </row>
    <row r="13714" spans="8:8">
      <c r="H13714" t="s">
        <v>30215</v>
      </c>
    </row>
    <row r="13715" spans="8:8">
      <c r="H13715" t="s">
        <v>30167</v>
      </c>
    </row>
    <row r="13716" spans="8:8">
      <c r="H13716" t="s">
        <v>30168</v>
      </c>
    </row>
    <row r="13717" spans="8:8">
      <c r="H13717" t="s">
        <v>30171</v>
      </c>
    </row>
    <row r="13718" spans="8:8">
      <c r="H13718" t="s">
        <v>31345</v>
      </c>
    </row>
    <row r="13719" spans="8:8">
      <c r="H13719" t="s">
        <v>31346</v>
      </c>
    </row>
    <row r="13720" spans="8:8">
      <c r="H13720" t="s">
        <v>31347</v>
      </c>
    </row>
    <row r="13721" spans="8:8">
      <c r="H13721" t="s">
        <v>31357</v>
      </c>
    </row>
    <row r="13722" spans="8:8">
      <c r="H13722" t="s">
        <v>31358</v>
      </c>
    </row>
    <row r="13723" spans="8:8">
      <c r="H13723" t="s">
        <v>31359</v>
      </c>
    </row>
    <row r="13724" spans="8:8">
      <c r="H13724" t="s">
        <v>30216</v>
      </c>
    </row>
    <row r="13725" spans="8:8">
      <c r="H13725" t="s">
        <v>31338</v>
      </c>
    </row>
    <row r="13726" spans="8:8">
      <c r="H13726" t="s">
        <v>31339</v>
      </c>
    </row>
    <row r="13727" spans="8:8">
      <c r="H13727" t="s">
        <v>31340</v>
      </c>
    </row>
    <row r="13728" spans="8:8">
      <c r="H13728" t="s">
        <v>31360</v>
      </c>
    </row>
    <row r="13729" spans="6:8">
      <c r="H13729" t="s">
        <v>31342</v>
      </c>
    </row>
    <row r="13730" spans="6:8">
      <c r="H13730" t="s">
        <v>31343</v>
      </c>
    </row>
    <row r="13731" spans="6:8">
      <c r="H13731" t="s">
        <v>31344</v>
      </c>
    </row>
    <row r="13732" spans="6:8">
      <c r="H13732" t="s">
        <v>31348</v>
      </c>
    </row>
    <row r="13733" spans="6:8">
      <c r="H13733" t="s">
        <v>31349</v>
      </c>
    </row>
    <row r="13734" spans="6:8">
      <c r="H13734" t="s">
        <v>31350</v>
      </c>
    </row>
    <row r="13735" spans="6:8">
      <c r="H13735" t="s">
        <v>31351</v>
      </c>
    </row>
    <row r="13736" spans="6:8">
      <c r="H13736" t="s">
        <v>30219</v>
      </c>
    </row>
    <row r="13737" spans="6:8">
      <c r="H13737" t="s">
        <v>30222</v>
      </c>
    </row>
    <row r="13738" spans="6:8">
      <c r="H13738" t="s">
        <v>30223</v>
      </c>
    </row>
    <row r="13739" spans="6:8">
      <c r="H13739" t="s">
        <v>31362</v>
      </c>
    </row>
    <row r="13740" spans="6:8">
      <c r="H13740" t="s">
        <v>30224</v>
      </c>
    </row>
    <row r="13741" spans="6:8">
      <c r="H13741" t="s">
        <v>31363</v>
      </c>
    </row>
    <row r="13742" spans="6:8">
      <c r="H13742" t="s">
        <v>30225</v>
      </c>
    </row>
    <row r="13743" spans="6:8">
      <c r="H13743" t="s">
        <v>31364</v>
      </c>
    </row>
    <row r="13744" spans="6:8">
      <c r="F13744" t="s">
        <v>13526</v>
      </c>
      <c r="G13744" t="s">
        <v>17641</v>
      </c>
      <c r="H13744" t="s">
        <v>30167</v>
      </c>
    </row>
    <row r="13745" spans="8:8">
      <c r="H13745" t="s">
        <v>30168</v>
      </c>
    </row>
    <row r="13746" spans="8:8">
      <c r="H13746" t="s">
        <v>30171</v>
      </c>
    </row>
    <row r="13747" spans="8:8">
      <c r="H13747" t="s">
        <v>30173</v>
      </c>
    </row>
    <row r="13748" spans="8:8">
      <c r="H13748" t="s">
        <v>30174</v>
      </c>
    </row>
    <row r="13749" spans="8:8">
      <c r="H13749" t="s">
        <v>30175</v>
      </c>
    </row>
    <row r="13750" spans="8:8">
      <c r="H13750" t="s">
        <v>30170</v>
      </c>
    </row>
    <row r="13751" spans="8:8">
      <c r="H13751" t="s">
        <v>30169</v>
      </c>
    </row>
    <row r="13752" spans="8:8">
      <c r="H13752" t="s">
        <v>31347</v>
      </c>
    </row>
    <row r="13753" spans="8:8">
      <c r="H13753" t="s">
        <v>30216</v>
      </c>
    </row>
    <row r="13754" spans="8:8">
      <c r="H13754" t="s">
        <v>31339</v>
      </c>
    </row>
    <row r="13755" spans="8:8">
      <c r="H13755" t="s">
        <v>31342</v>
      </c>
    </row>
    <row r="13756" spans="8:8">
      <c r="H13756" t="s">
        <v>31343</v>
      </c>
    </row>
    <row r="13757" spans="8:8">
      <c r="H13757" t="s">
        <v>31344</v>
      </c>
    </row>
    <row r="13758" spans="8:8">
      <c r="H13758" t="s">
        <v>31369</v>
      </c>
    </row>
    <row r="13759" spans="8:8">
      <c r="H13759" t="s">
        <v>30189</v>
      </c>
    </row>
    <row r="13760" spans="8:8">
      <c r="H13760" t="s">
        <v>30188</v>
      </c>
    </row>
    <row r="13761" spans="6:8">
      <c r="H13761" t="s">
        <v>30187</v>
      </c>
    </row>
    <row r="13762" spans="6:8">
      <c r="H13762" t="s">
        <v>30192</v>
      </c>
    </row>
    <row r="13763" spans="6:8">
      <c r="H13763" t="s">
        <v>30191</v>
      </c>
    </row>
    <row r="13764" spans="6:8">
      <c r="H13764" t="s">
        <v>30190</v>
      </c>
    </row>
    <row r="13765" spans="6:8">
      <c r="H13765" t="s">
        <v>31370</v>
      </c>
    </row>
    <row r="13766" spans="6:8">
      <c r="F13766" t="s">
        <v>13524</v>
      </c>
      <c r="G13766" t="s">
        <v>17639</v>
      </c>
      <c r="H13766" t="s">
        <v>31318</v>
      </c>
    </row>
    <row r="13767" spans="6:8">
      <c r="H13767" t="s">
        <v>31319</v>
      </c>
    </row>
    <row r="13768" spans="6:8">
      <c r="H13768" t="s">
        <v>31320</v>
      </c>
    </row>
    <row r="13769" spans="6:8">
      <c r="H13769" t="s">
        <v>31321</v>
      </c>
    </row>
    <row r="13770" spans="6:8">
      <c r="H13770" t="s">
        <v>31322</v>
      </c>
    </row>
    <row r="13771" spans="6:8">
      <c r="H13771" t="s">
        <v>31323</v>
      </c>
    </row>
    <row r="13772" spans="6:8">
      <c r="H13772" t="s">
        <v>31324</v>
      </c>
    </row>
    <row r="13773" spans="6:8">
      <c r="F13773" t="s">
        <v>13509</v>
      </c>
      <c r="G13773" t="s">
        <v>17626</v>
      </c>
      <c r="H13773" t="s">
        <v>30231</v>
      </c>
    </row>
    <row r="13774" spans="6:8">
      <c r="H13774" t="s">
        <v>30232</v>
      </c>
    </row>
    <row r="13775" spans="6:8">
      <c r="F13775" t="s">
        <v>13733</v>
      </c>
      <c r="G13775" t="s">
        <v>17794</v>
      </c>
      <c r="H13775" t="s">
        <v>18836</v>
      </c>
    </row>
    <row r="13776" spans="6:8">
      <c r="H13776" t="s">
        <v>31300</v>
      </c>
    </row>
    <row r="13777" spans="1:8">
      <c r="H13777" t="s">
        <v>31301</v>
      </c>
    </row>
    <row r="13778" spans="1:8">
      <c r="A13778" t="s">
        <v>2549</v>
      </c>
      <c r="B13778">
        <f>HYPERLINK("https://android.googlesource.com/platform/cts/+/890fd9833ecb23084fef78d7b73ad6c9122f3c35", "890fd9833ecb23084fef78d7b73ad6c9122f3c35")</f>
        <v>0</v>
      </c>
      <c r="C13778">
        <f>HYPERLINK("https://android.googlesource.com/platform/cts/+/9cf74ae593f8f7216d66fccc63e8fae5456e2e19", "9cf74ae593f8f7216d66fccc63e8fae5456e2e19")</f>
        <v>0</v>
      </c>
      <c r="D13778" t="s">
        <v>4952</v>
      </c>
      <c r="E13778" t="s">
        <v>8278</v>
      </c>
      <c r="F13778" t="s">
        <v>13913</v>
      </c>
      <c r="G13778" t="s">
        <v>17950</v>
      </c>
      <c r="H13778" t="s">
        <v>32253</v>
      </c>
    </row>
    <row r="13779" spans="1:8">
      <c r="H13779" t="s">
        <v>32254</v>
      </c>
    </row>
    <row r="13780" spans="1:8">
      <c r="A13780" t="s">
        <v>2551</v>
      </c>
      <c r="B13780">
        <f>HYPERLINK("https://android.googlesource.com/platform/cts/+/471bad76deadd2aca98740a6a592fa2b46ff0f40", "471bad76deadd2aca98740a6a592fa2b46ff0f40")</f>
        <v>0</v>
      </c>
      <c r="C13780">
        <f>HYPERLINK("https://android.googlesource.com/platform/cts/+/60258bbf6eb203e03d492d44a8997b331266a57d", "60258bbf6eb203e03d492d44a8997b331266a57d")</f>
        <v>0</v>
      </c>
      <c r="D13780" t="s">
        <v>5244</v>
      </c>
      <c r="E13780" t="s">
        <v>8280</v>
      </c>
      <c r="F13780" t="s">
        <v>13914</v>
      </c>
      <c r="G13780" t="s">
        <v>15170</v>
      </c>
      <c r="H13780" t="s">
        <v>32260</v>
      </c>
    </row>
    <row r="13781" spans="1:8">
      <c r="H13781" t="s">
        <v>32261</v>
      </c>
    </row>
    <row r="13782" spans="1:8">
      <c r="A13782" t="s">
        <v>2552</v>
      </c>
      <c r="B13782">
        <f>HYPERLINK("https://android.googlesource.com/platform/cts/+/3f3d2b75e610457e628d93597bded0be222b6969", "3f3d2b75e610457e628d93597bded0be222b6969")</f>
        <v>0</v>
      </c>
      <c r="C13782">
        <f>HYPERLINK("https://android.googlesource.com/platform/cts/+/8e725a668567ced8afa44549b1ac83ec7c3c9203", "8e725a668567ced8afa44549b1ac83ec7c3c9203")</f>
        <v>0</v>
      </c>
      <c r="D13782" t="s">
        <v>4952</v>
      </c>
      <c r="E13782" t="s">
        <v>8281</v>
      </c>
      <c r="F13782" t="s">
        <v>13915</v>
      </c>
      <c r="G13782" t="s">
        <v>17951</v>
      </c>
      <c r="H13782" t="s">
        <v>32283</v>
      </c>
    </row>
    <row r="13783" spans="1:8">
      <c r="A13783" t="s">
        <v>2555</v>
      </c>
      <c r="B13783">
        <f>HYPERLINK("https://android.googlesource.com/platform/cts/+/6dfeb5b45b0578eb92d3f06f2ca7949f5a80fb11", "6dfeb5b45b0578eb92d3f06f2ca7949f5a80fb11")</f>
        <v>0</v>
      </c>
      <c r="C13783">
        <f>HYPERLINK("https://android.googlesource.com/platform/cts/+/c910b565203b9bb4ad2efe98650c4ec3e5eee093", "c910b565203b9bb4ad2efe98650c4ec3e5eee093")</f>
        <v>0</v>
      </c>
      <c r="D13783" t="s">
        <v>5211</v>
      </c>
      <c r="E13783" t="s">
        <v>8284</v>
      </c>
      <c r="F13783" t="s">
        <v>13907</v>
      </c>
      <c r="G13783" t="s">
        <v>17944</v>
      </c>
      <c r="H13783" t="s">
        <v>32243</v>
      </c>
    </row>
    <row r="13784" spans="1:8">
      <c r="F13784" t="s">
        <v>13908</v>
      </c>
      <c r="G13784" t="s">
        <v>17945</v>
      </c>
      <c r="H13784" t="s">
        <v>32243</v>
      </c>
    </row>
    <row r="13785" spans="1:8">
      <c r="F13785" t="s">
        <v>13909</v>
      </c>
      <c r="G13785" t="s">
        <v>17946</v>
      </c>
      <c r="H13785" t="s">
        <v>32243</v>
      </c>
    </row>
    <row r="13786" spans="1:8">
      <c r="A13786" t="s">
        <v>2559</v>
      </c>
      <c r="B13786">
        <f>HYPERLINK("https://android.googlesource.com/platform/cts/+/4b3eeb91cbf27483dbc1ef357fda136462221d15", "4b3eeb91cbf27483dbc1ef357fda136462221d15")</f>
        <v>0</v>
      </c>
      <c r="C13786">
        <f>HYPERLINK("https://android.googlesource.com/platform/cts/+/e480b345a1083e4aac801af7eec76fdaabd95a13", "e480b345a1083e4aac801af7eec76fdaabd95a13")</f>
        <v>0</v>
      </c>
      <c r="D13786" t="s">
        <v>5117</v>
      </c>
      <c r="E13786" t="s">
        <v>8288</v>
      </c>
      <c r="F13786" t="s">
        <v>13917</v>
      </c>
      <c r="G13786" t="s">
        <v>17953</v>
      </c>
      <c r="H13786" t="s">
        <v>32305</v>
      </c>
    </row>
    <row r="13787" spans="1:8">
      <c r="A13787" t="s">
        <v>2565</v>
      </c>
      <c r="B13787">
        <f>HYPERLINK("https://android.googlesource.com/platform/cts/+/683a0ddebdf9b13cf21144c185cab6796e1d664c", "683a0ddebdf9b13cf21144c185cab6796e1d664c")</f>
        <v>0</v>
      </c>
      <c r="C13787">
        <f>HYPERLINK("https://android.googlesource.com/platform/cts/+/07f96b173d96958c0e0abb853c4e472d47015c46", "07f96b173d96958c0e0abb853c4e472d47015c46")</f>
        <v>0</v>
      </c>
      <c r="D13787" t="s">
        <v>4952</v>
      </c>
      <c r="E13787" t="s">
        <v>8294</v>
      </c>
      <c r="F13787" t="s">
        <v>12342</v>
      </c>
      <c r="G13787" t="s">
        <v>16570</v>
      </c>
      <c r="H13787" t="s">
        <v>25011</v>
      </c>
    </row>
    <row r="13788" spans="1:8">
      <c r="H13788" t="s">
        <v>32312</v>
      </c>
    </row>
    <row r="13789" spans="1:8">
      <c r="H13789" t="s">
        <v>22836</v>
      </c>
    </row>
    <row r="13790" spans="1:8">
      <c r="A13790" t="s">
        <v>2566</v>
      </c>
      <c r="B13790">
        <f>HYPERLINK("https://android.googlesource.com/platform/cts/+/1adb31e3699f2b46be4a59ac83a37a5b89468ffe", "1adb31e3699f2b46be4a59ac83a37a5b89468ffe")</f>
        <v>0</v>
      </c>
      <c r="C13790">
        <f>HYPERLINK("https://android.googlesource.com/platform/cts/+/275bcfddb5a8f791b43d08221c6afee4f18dd39c", "275bcfddb5a8f791b43d08221c6afee4f18dd39c")</f>
        <v>0</v>
      </c>
      <c r="D13790" t="s">
        <v>5244</v>
      </c>
      <c r="E13790" t="s">
        <v>8295</v>
      </c>
      <c r="F13790" t="s">
        <v>13914</v>
      </c>
      <c r="G13790" t="s">
        <v>15170</v>
      </c>
      <c r="H13790" t="s">
        <v>32313</v>
      </c>
    </row>
    <row r="13791" spans="1:8">
      <c r="H13791" t="s">
        <v>32314</v>
      </c>
    </row>
    <row r="13792" spans="1:8">
      <c r="A13792" t="s">
        <v>2571</v>
      </c>
      <c r="B13792">
        <f>HYPERLINK("https://android.googlesource.com/platform/cts/+/a303f786bdeecd27fe325aa0eb14e67bd599d205", "a303f786bdeecd27fe325aa0eb14e67bd599d205")</f>
        <v>0</v>
      </c>
      <c r="C13792">
        <f>HYPERLINK("https://android.googlesource.com/platform/cts/+/cd3b2d14240e7b4f0c628b69abc74fa4baf42e42", "cd3b2d14240e7b4f0c628b69abc74fa4baf42e42")</f>
        <v>0</v>
      </c>
      <c r="D13792" t="s">
        <v>5407</v>
      </c>
      <c r="E13792" t="s">
        <v>8300</v>
      </c>
      <c r="F13792" t="s">
        <v>13887</v>
      </c>
      <c r="G13792" t="s">
        <v>17319</v>
      </c>
      <c r="H13792" t="s">
        <v>32319</v>
      </c>
    </row>
    <row r="13793" spans="1:8">
      <c r="A13793" t="s">
        <v>2578</v>
      </c>
      <c r="B13793">
        <f>HYPERLINK("https://android.googlesource.com/platform/cts/+/8bdd93caebf71c9683185b49475c6c725bb6ed6b", "8bdd93caebf71c9683185b49475c6c725bb6ed6b")</f>
        <v>0</v>
      </c>
      <c r="C13793">
        <f>HYPERLINK("https://android.googlesource.com/platform/cts/+/fc83f42ba9f61034397f47b578a83153d78ade86", "fc83f42ba9f61034397f47b578a83153d78ade86")</f>
        <v>0</v>
      </c>
      <c r="D13793" t="s">
        <v>4952</v>
      </c>
      <c r="E13793" t="s">
        <v>8307</v>
      </c>
      <c r="F13793" t="s">
        <v>12835</v>
      </c>
      <c r="G13793" t="s">
        <v>16417</v>
      </c>
      <c r="H13793" t="s">
        <v>32226</v>
      </c>
    </row>
    <row r="13794" spans="1:8">
      <c r="H13794" t="s">
        <v>32227</v>
      </c>
    </row>
    <row r="13795" spans="1:8">
      <c r="H13795" t="s">
        <v>32228</v>
      </c>
    </row>
    <row r="13796" spans="1:8">
      <c r="F13796" t="s">
        <v>12414</v>
      </c>
      <c r="G13796" t="s">
        <v>16636</v>
      </c>
      <c r="H13796" t="s">
        <v>32233</v>
      </c>
    </row>
    <row r="13797" spans="1:8">
      <c r="H13797" t="s">
        <v>32234</v>
      </c>
    </row>
    <row r="13798" spans="1:8">
      <c r="H13798" t="s">
        <v>32235</v>
      </c>
    </row>
    <row r="13799" spans="1:8">
      <c r="H13799" t="s">
        <v>32236</v>
      </c>
    </row>
    <row r="13800" spans="1:8">
      <c r="H13800" t="s">
        <v>32237</v>
      </c>
    </row>
    <row r="13801" spans="1:8">
      <c r="H13801" t="s">
        <v>32238</v>
      </c>
    </row>
    <row r="13802" spans="1:8">
      <c r="H13802" t="s">
        <v>32239</v>
      </c>
    </row>
    <row r="13803" spans="1:8">
      <c r="A13803" t="s">
        <v>2579</v>
      </c>
      <c r="B13803">
        <f>HYPERLINK("https://android.googlesource.com/platform/cts/+/d33ff3b2401dd2d5785effdf7a9b74688ec1e118", "d33ff3b2401dd2d5785effdf7a9b74688ec1e118")</f>
        <v>0</v>
      </c>
      <c r="C13803">
        <f>HYPERLINK("https://android.googlesource.com/platform/cts/+/8bdd93caebf71c9683185b49475c6c725bb6ed6b", "8bdd93caebf71c9683185b49475c6c725bb6ed6b")</f>
        <v>0</v>
      </c>
      <c r="D13803" t="s">
        <v>4952</v>
      </c>
      <c r="E13803" t="s">
        <v>8308</v>
      </c>
      <c r="F13803" t="s">
        <v>12222</v>
      </c>
      <c r="G13803" t="s">
        <v>16452</v>
      </c>
      <c r="H13803" t="s">
        <v>32251</v>
      </c>
    </row>
    <row r="13804" spans="1:8">
      <c r="A13804" t="s">
        <v>2580</v>
      </c>
      <c r="B13804">
        <f>HYPERLINK("https://android.googlesource.com/platform/cts/+/bff1465d3e2f9aa13667a09a1035fbd63a927ee4", "bff1465d3e2f9aa13667a09a1035fbd63a927ee4")</f>
        <v>0</v>
      </c>
      <c r="C13804">
        <f>HYPERLINK("https://android.googlesource.com/platform/cts/+/c38f0e6aea074601a1720af755429f2f5e335413", "c38f0e6aea074601a1720af755429f2f5e335413")</f>
        <v>0</v>
      </c>
      <c r="D13804" t="s">
        <v>4952</v>
      </c>
      <c r="E13804" t="s">
        <v>8309</v>
      </c>
      <c r="F13804" t="s">
        <v>13913</v>
      </c>
      <c r="G13804" t="s">
        <v>17950</v>
      </c>
      <c r="H13804" t="s">
        <v>32253</v>
      </c>
    </row>
    <row r="13805" spans="1:8">
      <c r="H13805" t="s">
        <v>32254</v>
      </c>
    </row>
    <row r="13806" spans="1:8">
      <c r="A13806" t="s">
        <v>2581</v>
      </c>
      <c r="B13806">
        <f>HYPERLINK("https://android.googlesource.com/platform/cts/+/7a95546c64d7db691905229f80934099047dde07", "7a95546c64d7db691905229f80934099047dde07")</f>
        <v>0</v>
      </c>
      <c r="C13806">
        <f>HYPERLINK("https://android.googlesource.com/platform/cts/+/bff1465d3e2f9aa13667a09a1035fbd63a927ee4", "bff1465d3e2f9aa13667a09a1035fbd63a927ee4")</f>
        <v>0</v>
      </c>
      <c r="D13806" t="s">
        <v>4952</v>
      </c>
      <c r="E13806" t="s">
        <v>8310</v>
      </c>
      <c r="F13806" t="s">
        <v>13915</v>
      </c>
      <c r="G13806" t="s">
        <v>17951</v>
      </c>
      <c r="H13806" t="s">
        <v>32283</v>
      </c>
    </row>
    <row r="13807" spans="1:8">
      <c r="A13807" t="s">
        <v>2582</v>
      </c>
      <c r="B13807">
        <f>HYPERLINK("https://android.googlesource.com/platform/cts/+/2670baebb26f633ebbc567363897b67e32c43e38", "2670baebb26f633ebbc567363897b67e32c43e38")</f>
        <v>0</v>
      </c>
      <c r="C13807">
        <f>HYPERLINK("https://android.googlesource.com/platform/cts/+/7a95546c64d7db691905229f80934099047dde07", "7a95546c64d7db691905229f80934099047dde07")</f>
        <v>0</v>
      </c>
      <c r="D13807" t="s">
        <v>4952</v>
      </c>
      <c r="E13807" t="s">
        <v>8311</v>
      </c>
      <c r="F13807" t="s">
        <v>12342</v>
      </c>
      <c r="G13807" t="s">
        <v>16570</v>
      </c>
      <c r="H13807" t="s">
        <v>25011</v>
      </c>
    </row>
    <row r="13808" spans="1:8">
      <c r="H13808" t="s">
        <v>32312</v>
      </c>
    </row>
    <row r="13809" spans="1:8">
      <c r="H13809" t="s">
        <v>22836</v>
      </c>
    </row>
    <row r="13810" spans="1:8">
      <c r="A13810" t="s">
        <v>2585</v>
      </c>
      <c r="B13810">
        <f>HYPERLINK("https://android.googlesource.com/platform/cts/+/743ae41431e32eeeb333138cdb8ae2730249bf52", "743ae41431e32eeeb333138cdb8ae2730249bf52")</f>
        <v>0</v>
      </c>
      <c r="C13810">
        <f>HYPERLINK("https://android.googlesource.com/platform/cts/+/efacff51f07478f2469083807369bbbbd1de4558", "efacff51f07478f2469083807369bbbbd1de4558")</f>
        <v>0</v>
      </c>
      <c r="D13810" t="s">
        <v>4949</v>
      </c>
      <c r="E13810" t="s">
        <v>8314</v>
      </c>
      <c r="F13810" t="s">
        <v>13905</v>
      </c>
      <c r="G13810" t="s">
        <v>17942</v>
      </c>
      <c r="H13810" t="s">
        <v>32323</v>
      </c>
    </row>
    <row r="13811" spans="1:8">
      <c r="A13811" t="s">
        <v>2586</v>
      </c>
      <c r="B13811">
        <f>HYPERLINK("https://android.googlesource.com/platform/cts/+/f587758d2187cf7f5c0bbd5dd92d27474afa023a", "f587758d2187cf7f5c0bbd5dd92d27474afa023a")</f>
        <v>0</v>
      </c>
      <c r="C13811">
        <f>HYPERLINK("https://android.googlesource.com/platform/cts/+/f5eddf6575cecbb34c3ebac1e8324e6d44d4e496", "f5eddf6575cecbb34c3ebac1e8324e6d44d4e496")</f>
        <v>0</v>
      </c>
      <c r="D13811" t="s">
        <v>5383</v>
      </c>
      <c r="E13811" t="s">
        <v>8315</v>
      </c>
      <c r="F13811" t="s">
        <v>13924</v>
      </c>
      <c r="G13811" t="s">
        <v>17960</v>
      </c>
      <c r="H13811" t="s">
        <v>32326</v>
      </c>
    </row>
    <row r="13812" spans="1:8">
      <c r="H13812" t="s">
        <v>32327</v>
      </c>
    </row>
    <row r="13813" spans="1:8">
      <c r="A13813" t="s">
        <v>2589</v>
      </c>
      <c r="B13813">
        <f>HYPERLINK("https://android.googlesource.com/platform/cts/+/edebba8429b14345c7682cc0b2879951f831e6c5", "edebba8429b14345c7682cc0b2879951f831e6c5")</f>
        <v>0</v>
      </c>
      <c r="C13813">
        <f>HYPERLINK("https://android.googlesource.com/platform/cts/+/022f74bffbd48b025bde4f3c1a572ce64c9a8989", "022f74bffbd48b025bde4f3c1a572ce64c9a8989")</f>
        <v>0</v>
      </c>
      <c r="D13813" t="s">
        <v>5389</v>
      </c>
      <c r="E13813" t="s">
        <v>8318</v>
      </c>
      <c r="F13813" t="s">
        <v>13926</v>
      </c>
      <c r="G13813" t="s">
        <v>17962</v>
      </c>
      <c r="H13813" t="s">
        <v>32330</v>
      </c>
    </row>
    <row r="13814" spans="1:8">
      <c r="A13814" t="s">
        <v>2591</v>
      </c>
      <c r="B13814">
        <f>HYPERLINK("https://android.googlesource.com/platform/cts/+/abd338c23c91adbe7304bbbe62187f116e55bdc8", "abd338c23c91adbe7304bbbe62187f116e55bdc8")</f>
        <v>0</v>
      </c>
      <c r="C13814">
        <f>HYPERLINK("https://android.googlesource.com/platform/cts/+/35d0d356814009491ca3925a9bc0eac204fe0511", "35d0d356814009491ca3925a9bc0eac204fe0511")</f>
        <v>0</v>
      </c>
      <c r="D13814" t="s">
        <v>5417</v>
      </c>
      <c r="E13814" t="s">
        <v>8320</v>
      </c>
      <c r="F13814" t="s">
        <v>13927</v>
      </c>
      <c r="G13814" t="s">
        <v>17963</v>
      </c>
      <c r="H13814" t="s">
        <v>32332</v>
      </c>
    </row>
    <row r="13815" spans="1:8">
      <c r="A13815" t="s">
        <v>2593</v>
      </c>
      <c r="B13815">
        <f>HYPERLINK("https://android.googlesource.com/platform/cts/+/d708a4c217f13c9028427d98031394f0933482bf", "d708a4c217f13c9028427d98031394f0933482bf")</f>
        <v>0</v>
      </c>
      <c r="C13815">
        <f>HYPERLINK("https://android.googlesource.com/platform/cts/+/0e4743d56553d698ac45ae548f31019ea6e91541", "0e4743d56553d698ac45ae548f31019ea6e91541")</f>
        <v>0</v>
      </c>
      <c r="D13815" t="s">
        <v>5271</v>
      </c>
      <c r="E13815" t="s">
        <v>8322</v>
      </c>
      <c r="F13815" t="s">
        <v>13928</v>
      </c>
      <c r="G13815" t="s">
        <v>17964</v>
      </c>
      <c r="H13815" t="s">
        <v>32334</v>
      </c>
    </row>
    <row r="13816" spans="1:8">
      <c r="H13816" t="s">
        <v>32335</v>
      </c>
    </row>
    <row r="13817" spans="1:8">
      <c r="A13817" t="s">
        <v>2607</v>
      </c>
      <c r="B13817">
        <f>HYPERLINK("https://android.googlesource.com/platform/cts/+/abd03c4c77c815859f419075b0281256ba3f1f71", "abd03c4c77c815859f419075b0281256ba3f1f71")</f>
        <v>0</v>
      </c>
      <c r="C13817">
        <f>HYPERLINK("https://android.googlesource.com/platform/cts/+/732767e5a99905480f9756a5dc7d12e8439782d5", "732767e5a99905480f9756a5dc7d12e8439782d5")</f>
        <v>0</v>
      </c>
      <c r="D13817" t="s">
        <v>5116</v>
      </c>
      <c r="E13817" t="s">
        <v>8337</v>
      </c>
      <c r="F13817" t="s">
        <v>13932</v>
      </c>
      <c r="G13817" t="s">
        <v>17966</v>
      </c>
      <c r="H13817" t="s">
        <v>32358</v>
      </c>
    </row>
    <row r="13818" spans="1:8">
      <c r="A13818" t="s">
        <v>2610</v>
      </c>
      <c r="B13818">
        <f>HYPERLINK("https://android.googlesource.com/platform/cts/+/161af4df4052f7c9221cda627f12e1f481569df3", "161af4df4052f7c9221cda627f12e1f481569df3")</f>
        <v>0</v>
      </c>
      <c r="C13818">
        <f>HYPERLINK("https://android.googlesource.com/platform/cts/+/d5d4cdb731aced9e2cbee2d9fd8a85e4e5b28180", "d5d4cdb731aced9e2cbee2d9fd8a85e4e5b28180")</f>
        <v>0</v>
      </c>
      <c r="D13818" t="s">
        <v>5117</v>
      </c>
      <c r="E13818" t="s">
        <v>8340</v>
      </c>
      <c r="F13818" t="s">
        <v>13905</v>
      </c>
      <c r="G13818" t="s">
        <v>17942</v>
      </c>
      <c r="H13818" t="s">
        <v>32359</v>
      </c>
    </row>
    <row r="13819" spans="1:8">
      <c r="A13819" t="s">
        <v>2612</v>
      </c>
      <c r="B13819">
        <f>HYPERLINK("https://android.googlesource.com/platform/cts/+/920960d7c38663c0fafb6e58127c2dc7ec013c78", "920960d7c38663c0fafb6e58127c2dc7ec013c78")</f>
        <v>0</v>
      </c>
      <c r="C13819">
        <f>HYPERLINK("https://android.googlesource.com/platform/cts/+/af978c6fe12a5cc5361607e56d42da09eb709653", "af978c6fe12a5cc5361607e56d42da09eb709653")</f>
        <v>0</v>
      </c>
      <c r="D13819" t="s">
        <v>5341</v>
      </c>
      <c r="E13819" t="s">
        <v>8342</v>
      </c>
      <c r="F13819" t="s">
        <v>10602</v>
      </c>
      <c r="G13819" t="s">
        <v>15005</v>
      </c>
      <c r="H13819" t="s">
        <v>32360</v>
      </c>
    </row>
    <row r="13820" spans="1:8">
      <c r="A13820" t="s">
        <v>2614</v>
      </c>
      <c r="B13820">
        <f>HYPERLINK("https://android.googlesource.com/platform/cts/+/bb78a6d3dc8629379eb388ca764102798ce865bd", "bb78a6d3dc8629379eb388ca764102798ce865bd")</f>
        <v>0</v>
      </c>
      <c r="C13820">
        <f>HYPERLINK("https://android.googlesource.com/platform/cts/+/aac8bb9ca616f70d4675c05e6cc3a96100152593", "aac8bb9ca616f70d4675c05e6cc3a96100152593")</f>
        <v>0</v>
      </c>
      <c r="D13820" t="s">
        <v>5352</v>
      </c>
      <c r="E13820" t="s">
        <v>8344</v>
      </c>
      <c r="F13820" t="s">
        <v>13933</v>
      </c>
      <c r="G13820" t="s">
        <v>17967</v>
      </c>
      <c r="H13820" t="s">
        <v>32362</v>
      </c>
    </row>
    <row r="13821" spans="1:8">
      <c r="A13821" t="s">
        <v>2629</v>
      </c>
      <c r="B13821">
        <f>HYPERLINK("https://android.googlesource.com/platform/cts/+/4f387bea3034bc93a78767d282101135363e2531", "4f387bea3034bc93a78767d282101135363e2531")</f>
        <v>0</v>
      </c>
      <c r="C13821">
        <f>HYPERLINK("https://android.googlesource.com/platform/cts/+/d2a0d577f0b102530b5024969498de77a87a932c", "d2a0d577f0b102530b5024969498de77a87a932c")</f>
        <v>0</v>
      </c>
      <c r="D13821" t="s">
        <v>5411</v>
      </c>
      <c r="E13821" t="s">
        <v>8360</v>
      </c>
      <c r="F13821" t="s">
        <v>11435</v>
      </c>
      <c r="G13821" t="s">
        <v>15093</v>
      </c>
      <c r="H13821" t="s">
        <v>19140</v>
      </c>
    </row>
    <row r="13822" spans="1:8">
      <c r="H13822" t="s">
        <v>19141</v>
      </c>
    </row>
    <row r="13823" spans="1:8">
      <c r="H13823" t="s">
        <v>19142</v>
      </c>
    </row>
    <row r="13824" spans="1:8">
      <c r="H13824" t="s">
        <v>19143</v>
      </c>
    </row>
    <row r="13825" spans="1:8">
      <c r="H13825" t="s">
        <v>32398</v>
      </c>
    </row>
    <row r="13826" spans="1:8">
      <c r="H13826" t="s">
        <v>32399</v>
      </c>
    </row>
    <row r="13827" spans="1:8">
      <c r="A13827" t="s">
        <v>2631</v>
      </c>
      <c r="B13827">
        <f>HYPERLINK("https://android.googlesource.com/platform/cts/+/13a88896eda7c2c7a5439c560f0fdab6b240a5d2", "13a88896eda7c2c7a5439c560f0fdab6b240a5d2")</f>
        <v>0</v>
      </c>
      <c r="C13827">
        <f>HYPERLINK("https://android.googlesource.com/platform/cts/+/6742fc43fff2d34a682dce3c17f0daf745a00b5e", "6742fc43fff2d34a682dce3c17f0daf745a00b5e")</f>
        <v>0</v>
      </c>
      <c r="D13827" t="s">
        <v>4930</v>
      </c>
      <c r="E13827" t="s">
        <v>8362</v>
      </c>
      <c r="F13827" t="s">
        <v>13945</v>
      </c>
      <c r="G13827" t="s">
        <v>17973</v>
      </c>
      <c r="H13827" t="s">
        <v>32406</v>
      </c>
    </row>
    <row r="13828" spans="1:8">
      <c r="H13828" t="s">
        <v>32407</v>
      </c>
    </row>
    <row r="13829" spans="1:8">
      <c r="H13829" t="s">
        <v>32408</v>
      </c>
    </row>
    <row r="13830" spans="1:8">
      <c r="H13830" t="s">
        <v>32409</v>
      </c>
    </row>
    <row r="13831" spans="1:8">
      <c r="F13831" t="s">
        <v>13946</v>
      </c>
      <c r="G13831" t="s">
        <v>17974</v>
      </c>
      <c r="H13831" t="s">
        <v>30752</v>
      </c>
    </row>
    <row r="13832" spans="1:8">
      <c r="H13832" t="s">
        <v>30753</v>
      </c>
    </row>
    <row r="13833" spans="1:8">
      <c r="H13833" t="s">
        <v>30754</v>
      </c>
    </row>
    <row r="13834" spans="1:8">
      <c r="H13834" t="s">
        <v>32410</v>
      </c>
    </row>
    <row r="13835" spans="1:8">
      <c r="H13835" t="s">
        <v>32411</v>
      </c>
    </row>
    <row r="13836" spans="1:8">
      <c r="H13836" t="s">
        <v>30757</v>
      </c>
    </row>
    <row r="13837" spans="1:8">
      <c r="H13837" t="s">
        <v>30758</v>
      </c>
    </row>
    <row r="13838" spans="1:8">
      <c r="H13838" t="s">
        <v>30759</v>
      </c>
    </row>
    <row r="13839" spans="1:8">
      <c r="H13839" t="s">
        <v>30760</v>
      </c>
    </row>
    <row r="13840" spans="1:8">
      <c r="H13840" t="s">
        <v>30761</v>
      </c>
    </row>
    <row r="13841" spans="6:8">
      <c r="H13841" t="s">
        <v>30762</v>
      </c>
    </row>
    <row r="13842" spans="6:8">
      <c r="H13842" t="s">
        <v>30763</v>
      </c>
    </row>
    <row r="13843" spans="6:8">
      <c r="H13843" t="s">
        <v>30764</v>
      </c>
    </row>
    <row r="13844" spans="6:8">
      <c r="H13844" t="s">
        <v>30765</v>
      </c>
    </row>
    <row r="13845" spans="6:8">
      <c r="H13845" t="s">
        <v>30766</v>
      </c>
    </row>
    <row r="13846" spans="6:8">
      <c r="H13846" t="s">
        <v>30767</v>
      </c>
    </row>
    <row r="13847" spans="6:8">
      <c r="H13847" t="s">
        <v>30768</v>
      </c>
    </row>
    <row r="13848" spans="6:8">
      <c r="H13848" t="s">
        <v>30769</v>
      </c>
    </row>
    <row r="13849" spans="6:8">
      <c r="H13849" t="s">
        <v>30770</v>
      </c>
    </row>
    <row r="13850" spans="6:8">
      <c r="H13850" t="s">
        <v>30771</v>
      </c>
    </row>
    <row r="13851" spans="6:8">
      <c r="F13851" t="s">
        <v>13947</v>
      </c>
      <c r="G13851" t="s">
        <v>17975</v>
      </c>
      <c r="H13851" t="s">
        <v>32412</v>
      </c>
    </row>
    <row r="13852" spans="6:8">
      <c r="H13852" t="s">
        <v>32413</v>
      </c>
    </row>
    <row r="13853" spans="6:8">
      <c r="F13853" t="s">
        <v>13948</v>
      </c>
      <c r="G13853" t="s">
        <v>17976</v>
      </c>
      <c r="H13853" t="s">
        <v>19566</v>
      </c>
    </row>
    <row r="13854" spans="6:8">
      <c r="H13854" t="s">
        <v>32414</v>
      </c>
    </row>
    <row r="13855" spans="6:8">
      <c r="F13855" t="s">
        <v>13949</v>
      </c>
      <c r="G13855" t="s">
        <v>17470</v>
      </c>
      <c r="H13855" t="s">
        <v>32417</v>
      </c>
    </row>
    <row r="13856" spans="6:8">
      <c r="H13856" t="s">
        <v>32418</v>
      </c>
    </row>
    <row r="13857" spans="6:8">
      <c r="H13857" t="s">
        <v>32419</v>
      </c>
    </row>
    <row r="13858" spans="6:8">
      <c r="H13858" t="s">
        <v>32420</v>
      </c>
    </row>
    <row r="13859" spans="6:8">
      <c r="H13859" t="s">
        <v>32421</v>
      </c>
    </row>
    <row r="13860" spans="6:8">
      <c r="H13860" t="s">
        <v>32422</v>
      </c>
    </row>
    <row r="13861" spans="6:8">
      <c r="H13861" t="s">
        <v>32423</v>
      </c>
    </row>
    <row r="13862" spans="6:8">
      <c r="F13862" t="s">
        <v>13950</v>
      </c>
      <c r="G13862" t="s">
        <v>17977</v>
      </c>
      <c r="H13862" t="s">
        <v>32425</v>
      </c>
    </row>
    <row r="13863" spans="6:8">
      <c r="H13863" t="s">
        <v>32426</v>
      </c>
    </row>
    <row r="13864" spans="6:8">
      <c r="H13864" t="s">
        <v>32427</v>
      </c>
    </row>
    <row r="13865" spans="6:8">
      <c r="H13865" t="s">
        <v>32428</v>
      </c>
    </row>
    <row r="13866" spans="6:8">
      <c r="H13866" t="s">
        <v>32429</v>
      </c>
    </row>
    <row r="13867" spans="6:8">
      <c r="H13867" t="s">
        <v>32430</v>
      </c>
    </row>
    <row r="13868" spans="6:8">
      <c r="H13868" t="s">
        <v>32431</v>
      </c>
    </row>
    <row r="13869" spans="6:8">
      <c r="H13869" t="s">
        <v>32432</v>
      </c>
    </row>
    <row r="13870" spans="6:8">
      <c r="H13870" t="s">
        <v>32433</v>
      </c>
    </row>
    <row r="13871" spans="6:8">
      <c r="H13871" t="s">
        <v>32434</v>
      </c>
    </row>
    <row r="13872" spans="6:8">
      <c r="H13872" t="s">
        <v>32435</v>
      </c>
    </row>
    <row r="13873" spans="6:8">
      <c r="H13873" t="s">
        <v>32436</v>
      </c>
    </row>
    <row r="13874" spans="6:8">
      <c r="H13874" t="s">
        <v>32437</v>
      </c>
    </row>
    <row r="13875" spans="6:8">
      <c r="F13875" t="s">
        <v>13951</v>
      </c>
      <c r="G13875" t="s">
        <v>17978</v>
      </c>
      <c r="H13875" t="s">
        <v>32417</v>
      </c>
    </row>
    <row r="13876" spans="6:8">
      <c r="H13876" t="s">
        <v>32438</v>
      </c>
    </row>
    <row r="13877" spans="6:8">
      <c r="H13877" t="s">
        <v>32439</v>
      </c>
    </row>
    <row r="13878" spans="6:8">
      <c r="H13878" t="s">
        <v>32440</v>
      </c>
    </row>
    <row r="13879" spans="6:8">
      <c r="H13879" t="s">
        <v>32441</v>
      </c>
    </row>
    <row r="13880" spans="6:8">
      <c r="H13880" t="s">
        <v>32442</v>
      </c>
    </row>
    <row r="13881" spans="6:8">
      <c r="H13881" t="s">
        <v>32443</v>
      </c>
    </row>
    <row r="13882" spans="6:8">
      <c r="H13882" t="s">
        <v>32444</v>
      </c>
    </row>
    <row r="13883" spans="6:8">
      <c r="H13883" t="s">
        <v>32445</v>
      </c>
    </row>
    <row r="13884" spans="6:8">
      <c r="F13884" t="s">
        <v>13952</v>
      </c>
      <c r="G13884" t="s">
        <v>17979</v>
      </c>
      <c r="H13884" t="s">
        <v>32417</v>
      </c>
    </row>
    <row r="13885" spans="6:8">
      <c r="H13885" t="s">
        <v>32446</v>
      </c>
    </row>
    <row r="13886" spans="6:8">
      <c r="H13886" t="s">
        <v>32447</v>
      </c>
    </row>
    <row r="13887" spans="6:8">
      <c r="H13887" t="s">
        <v>32448</v>
      </c>
    </row>
    <row r="13888" spans="6:8">
      <c r="H13888" t="s">
        <v>32449</v>
      </c>
    </row>
    <row r="13889" spans="1:8">
      <c r="F13889" t="s">
        <v>13953</v>
      </c>
      <c r="G13889" t="s">
        <v>17980</v>
      </c>
      <c r="H13889" t="s">
        <v>32417</v>
      </c>
    </row>
    <row r="13890" spans="1:8">
      <c r="H13890" t="s">
        <v>32450</v>
      </c>
    </row>
    <row r="13891" spans="1:8">
      <c r="H13891" t="s">
        <v>32451</v>
      </c>
    </row>
    <row r="13892" spans="1:8">
      <c r="H13892" t="s">
        <v>32452</v>
      </c>
    </row>
    <row r="13893" spans="1:8">
      <c r="H13893" t="s">
        <v>32453</v>
      </c>
    </row>
    <row r="13894" spans="1:8">
      <c r="H13894" t="s">
        <v>32454</v>
      </c>
    </row>
    <row r="13895" spans="1:8">
      <c r="H13895" t="s">
        <v>32455</v>
      </c>
    </row>
    <row r="13896" spans="1:8">
      <c r="A13896" t="s">
        <v>2636</v>
      </c>
      <c r="B13896">
        <f>HYPERLINK("https://android.googlesource.com/platform/cts/+/1c3ffc1ab9f7c24bb01aab59b2bf098867d102cd", "1c3ffc1ab9f7c24bb01aab59b2bf098867d102cd")</f>
        <v>0</v>
      </c>
      <c r="C13896">
        <f>HYPERLINK("https://android.googlesource.com/platform/cts/+/e556f8234d386b4c90e38c9bb0db1cae3640a3bf", "e556f8234d386b4c90e38c9bb0db1cae3640a3bf")</f>
        <v>0</v>
      </c>
      <c r="D13896" t="s">
        <v>5117</v>
      </c>
      <c r="E13896" t="s">
        <v>8367</v>
      </c>
      <c r="F13896" t="s">
        <v>13905</v>
      </c>
      <c r="G13896" t="s">
        <v>17942</v>
      </c>
      <c r="H13896" t="s">
        <v>32465</v>
      </c>
    </row>
    <row r="13897" spans="1:8">
      <c r="H13897" t="s">
        <v>32466</v>
      </c>
    </row>
    <row r="13898" spans="1:8">
      <c r="A13898" t="s">
        <v>2639</v>
      </c>
      <c r="B13898">
        <f>HYPERLINK("https://android.googlesource.com/platform/cts/+/c0f8161ccdc707df45b28a3d3a83641bb196fa9f", "c0f8161ccdc707df45b28a3d3a83641bb196fa9f")</f>
        <v>0</v>
      </c>
      <c r="C13898">
        <f>HYPERLINK("https://android.googlesource.com/platform/cts/+/6723e5a136c6be20de749e80893d3627de3099e5", "6723e5a136c6be20de749e80893d3627de3099e5")</f>
        <v>0</v>
      </c>
      <c r="D13898" t="s">
        <v>5307</v>
      </c>
      <c r="E13898" t="s">
        <v>8370</v>
      </c>
      <c r="F13898" t="s">
        <v>11435</v>
      </c>
      <c r="G13898" t="s">
        <v>15093</v>
      </c>
      <c r="H13898" t="s">
        <v>32482</v>
      </c>
    </row>
    <row r="13899" spans="1:8">
      <c r="H13899" t="s">
        <v>32483</v>
      </c>
    </row>
    <row r="13900" spans="1:8">
      <c r="H13900" t="s">
        <v>32484</v>
      </c>
    </row>
    <row r="13901" spans="1:8">
      <c r="H13901" t="s">
        <v>32485</v>
      </c>
    </row>
    <row r="13902" spans="1:8">
      <c r="H13902" t="s">
        <v>32487</v>
      </c>
    </row>
    <row r="13903" spans="1:8">
      <c r="H13903" t="s">
        <v>32488</v>
      </c>
    </row>
    <row r="13904" spans="1:8">
      <c r="H13904" t="s">
        <v>32489</v>
      </c>
    </row>
    <row r="13905" spans="8:8">
      <c r="H13905" t="s">
        <v>32490</v>
      </c>
    </row>
    <row r="13906" spans="8:8">
      <c r="H13906" t="s">
        <v>32493</v>
      </c>
    </row>
    <row r="13907" spans="8:8">
      <c r="H13907" t="s">
        <v>32494</v>
      </c>
    </row>
    <row r="13908" spans="8:8">
      <c r="H13908" t="s">
        <v>32495</v>
      </c>
    </row>
    <row r="13909" spans="8:8">
      <c r="H13909" t="s">
        <v>32496</v>
      </c>
    </row>
    <row r="13910" spans="8:8">
      <c r="H13910" t="s">
        <v>32497</v>
      </c>
    </row>
    <row r="13911" spans="8:8">
      <c r="H13911" t="s">
        <v>19140</v>
      </c>
    </row>
    <row r="13912" spans="8:8">
      <c r="H13912" t="s">
        <v>19141</v>
      </c>
    </row>
    <row r="13913" spans="8:8">
      <c r="H13913" t="s">
        <v>19142</v>
      </c>
    </row>
    <row r="13914" spans="8:8">
      <c r="H13914" t="s">
        <v>19143</v>
      </c>
    </row>
    <row r="13915" spans="8:8">
      <c r="H13915" t="s">
        <v>32507</v>
      </c>
    </row>
    <row r="13916" spans="8:8">
      <c r="H13916" t="s">
        <v>32508</v>
      </c>
    </row>
    <row r="13917" spans="8:8">
      <c r="H13917" t="s">
        <v>32509</v>
      </c>
    </row>
    <row r="13918" spans="8:8">
      <c r="H13918" t="s">
        <v>32510</v>
      </c>
    </row>
    <row r="13919" spans="8:8">
      <c r="H13919" t="s">
        <v>32511</v>
      </c>
    </row>
    <row r="13920" spans="8:8">
      <c r="H13920" t="s">
        <v>32512</v>
      </c>
    </row>
    <row r="13921" spans="1:8">
      <c r="H13921" t="s">
        <v>32513</v>
      </c>
    </row>
    <row r="13922" spans="1:8">
      <c r="H13922" t="s">
        <v>32514</v>
      </c>
    </row>
    <row r="13923" spans="1:8">
      <c r="H13923" t="s">
        <v>32398</v>
      </c>
    </row>
    <row r="13924" spans="1:8">
      <c r="H13924" t="s">
        <v>32399</v>
      </c>
    </row>
    <row r="13925" spans="1:8">
      <c r="H13925" t="s">
        <v>32515</v>
      </c>
    </row>
    <row r="13926" spans="1:8">
      <c r="H13926" t="s">
        <v>32516</v>
      </c>
    </row>
    <row r="13927" spans="1:8">
      <c r="A13927" t="s">
        <v>2655</v>
      </c>
      <c r="B13927">
        <f>HYPERLINK("https://android.googlesource.com/platform/cts/+/e5ffde0ef126f112431805cff0a2a8a2f17a45a4", "e5ffde0ef126f112431805cff0a2a8a2f17a45a4")</f>
        <v>0</v>
      </c>
      <c r="C13927">
        <f>HYPERLINK("https://android.googlesource.com/platform/cts/+/5af7db015fc2ac1a1499684cde3ebeb8491e093c", "5af7db015fc2ac1a1499684cde3ebeb8491e093c")</f>
        <v>0</v>
      </c>
      <c r="D13927" t="s">
        <v>5180</v>
      </c>
      <c r="E13927" t="s">
        <v>8386</v>
      </c>
      <c r="F13927" t="s">
        <v>13506</v>
      </c>
      <c r="G13927" t="s">
        <v>17623</v>
      </c>
      <c r="H13927" t="s">
        <v>30030</v>
      </c>
    </row>
    <row r="13928" spans="1:8">
      <c r="F13928" t="s">
        <v>13508</v>
      </c>
      <c r="G13928" t="s">
        <v>17625</v>
      </c>
      <c r="H13928" t="s">
        <v>32552</v>
      </c>
    </row>
    <row r="13929" spans="1:8">
      <c r="A13929" t="s">
        <v>2657</v>
      </c>
      <c r="B13929">
        <f>HYPERLINK("https://android.googlesource.com/platform/cts/+/60effdd180c8a2fbd0f47c4d5a27b69de1fc893c", "60effdd180c8a2fbd0f47c4d5a27b69de1fc893c")</f>
        <v>0</v>
      </c>
      <c r="C13929">
        <f>HYPERLINK("https://android.googlesource.com/platform/cts/+/e90d5a3190f688e8906acd61547b416d4b69389f", "e90d5a3190f688e8906acd61547b416d4b69389f")</f>
        <v>0</v>
      </c>
      <c r="D13929" t="s">
        <v>5423</v>
      </c>
      <c r="E13929" t="s">
        <v>8388</v>
      </c>
      <c r="F13929" t="s">
        <v>13960</v>
      </c>
      <c r="G13929" t="s">
        <v>17986</v>
      </c>
      <c r="H13929" t="s">
        <v>32554</v>
      </c>
    </row>
    <row r="13930" spans="1:8">
      <c r="H13930" t="s">
        <v>32555</v>
      </c>
    </row>
    <row r="13931" spans="1:8">
      <c r="H13931" t="s">
        <v>32556</v>
      </c>
    </row>
    <row r="13932" spans="1:8">
      <c r="H13932" t="s">
        <v>32557</v>
      </c>
    </row>
    <row r="13933" spans="1:8">
      <c r="A13933" t="s">
        <v>2672</v>
      </c>
      <c r="B13933">
        <f>HYPERLINK("https://android.googlesource.com/platform/cts/+/7bd0b59309e66f363434226dca7a85eaab457f38", "7bd0b59309e66f363434226dca7a85eaab457f38")</f>
        <v>0</v>
      </c>
      <c r="C13933">
        <f>HYPERLINK("https://android.googlesource.com/platform/cts/+/9a25299173fae21e52e3d49e7a00c2d1ea56a2c9", "9a25299173fae21e52e3d49e7a00c2d1ea56a2c9")</f>
        <v>0</v>
      </c>
      <c r="D13933" t="s">
        <v>5148</v>
      </c>
      <c r="E13933" t="s">
        <v>8402</v>
      </c>
      <c r="F13933" t="s">
        <v>13718</v>
      </c>
      <c r="G13933" t="s">
        <v>17785</v>
      </c>
      <c r="H13933" t="s">
        <v>32638</v>
      </c>
    </row>
    <row r="13934" spans="1:8">
      <c r="A13934" t="s">
        <v>2676</v>
      </c>
      <c r="B13934">
        <f>HYPERLINK("https://android.googlesource.com/platform/cts/+/61fff8c371dba843aaa870a36478603b3985b720", "61fff8c371dba843aaa870a36478603b3985b720")</f>
        <v>0</v>
      </c>
      <c r="C13934">
        <f>HYPERLINK("https://android.googlesource.com/platform/cts/+/4b7a0d79a6b8d8af33a8586d77d16ae3dc7adf3c", "4b7a0d79a6b8d8af33a8586d77d16ae3dc7adf3c")</f>
        <v>0</v>
      </c>
      <c r="D13934" t="s">
        <v>5431</v>
      </c>
      <c r="E13934" t="s">
        <v>8406</v>
      </c>
      <c r="F13934" t="s">
        <v>12629</v>
      </c>
      <c r="G13934" t="s">
        <v>16838</v>
      </c>
      <c r="H13934" t="s">
        <v>32647</v>
      </c>
    </row>
    <row r="13935" spans="1:8">
      <c r="H13935" t="s">
        <v>32648</v>
      </c>
    </row>
    <row r="13936" spans="1:8">
      <c r="H13936" t="s">
        <v>32650</v>
      </c>
    </row>
    <row r="13937" spans="1:8">
      <c r="A13937" t="s">
        <v>2677</v>
      </c>
      <c r="B13937">
        <f>HYPERLINK("https://android.googlesource.com/platform/cts/+/630d0622333ff2e38fbab46540673c575b30daf1", "630d0622333ff2e38fbab46540673c575b30daf1")</f>
        <v>0</v>
      </c>
      <c r="C13937">
        <f>HYPERLINK("https://android.googlesource.com/platform/cts/+/c5ac8d75931f1dca637909939db546a058c3153a", "c5ac8d75931f1dca637909939db546a058c3153a")</f>
        <v>0</v>
      </c>
      <c r="D13937" t="s">
        <v>5431</v>
      </c>
      <c r="E13937" t="s">
        <v>8407</v>
      </c>
      <c r="F13937" t="s">
        <v>12629</v>
      </c>
      <c r="G13937" t="s">
        <v>16838</v>
      </c>
      <c r="H13937" t="s">
        <v>32647</v>
      </c>
    </row>
    <row r="13938" spans="1:8">
      <c r="H13938" t="s">
        <v>32648</v>
      </c>
    </row>
    <row r="13939" spans="1:8">
      <c r="H13939" t="s">
        <v>32650</v>
      </c>
    </row>
    <row r="13940" spans="1:8">
      <c r="A13940" t="s">
        <v>2681</v>
      </c>
      <c r="B13940">
        <f>HYPERLINK("https://android.googlesource.com/platform/cts/+/d01e46d45b7f7887a93fc5040b44e89eadfef79f", "d01e46d45b7f7887a93fc5040b44e89eadfef79f")</f>
        <v>0</v>
      </c>
      <c r="C13940">
        <f>HYPERLINK("https://android.googlesource.com/platform/cts/+/dc5509b3ab6fc59ffe470dff4ea8be22c61ba6f0", "dc5509b3ab6fc59ffe470dff4ea8be22c61ba6f0")</f>
        <v>0</v>
      </c>
      <c r="D13940" t="s">
        <v>5432</v>
      </c>
      <c r="E13940" t="s">
        <v>8411</v>
      </c>
      <c r="F13940" t="s">
        <v>13716</v>
      </c>
      <c r="G13940" t="s">
        <v>17783</v>
      </c>
      <c r="H13940" t="s">
        <v>32655</v>
      </c>
    </row>
    <row r="13941" spans="1:8">
      <c r="A13941" t="s">
        <v>2683</v>
      </c>
      <c r="B13941">
        <f>HYPERLINK("https://android.googlesource.com/platform/cts/+/e4b9d27d1f9d2da9e8cace3f023fc11de4fddfef", "e4b9d27d1f9d2da9e8cace3f023fc11de4fddfef")</f>
        <v>0</v>
      </c>
      <c r="C13941">
        <f>HYPERLINK("https://android.googlesource.com/platform/cts/+/a35f8169ababb9f61ba44527e19f9d19917a4559", "a35f8169ababb9f61ba44527e19f9d19917a4559")</f>
        <v>0</v>
      </c>
      <c r="D13941" t="s">
        <v>5189</v>
      </c>
      <c r="E13941" t="s">
        <v>8413</v>
      </c>
      <c r="F13941" t="s">
        <v>13136</v>
      </c>
      <c r="G13941" t="s">
        <v>17293</v>
      </c>
      <c r="H13941" t="s">
        <v>32658</v>
      </c>
    </row>
    <row r="13942" spans="1:8">
      <c r="H13942" t="s">
        <v>32659</v>
      </c>
    </row>
    <row r="13943" spans="1:8">
      <c r="A13943" t="s">
        <v>2687</v>
      </c>
      <c r="B13943">
        <f>HYPERLINK("https://android.googlesource.com/platform/cts/+/c2a37aedc82815efd368e362fd878d6989090593", "c2a37aedc82815efd368e362fd878d6989090593")</f>
        <v>0</v>
      </c>
      <c r="C13943">
        <f>HYPERLINK("https://android.googlesource.com/platform/cts/+/6779289675e20733c0304141963748d2740bf823", "6779289675e20733c0304141963748d2740bf823")</f>
        <v>0</v>
      </c>
      <c r="D13943" t="s">
        <v>5434</v>
      </c>
      <c r="E13943" t="s">
        <v>8417</v>
      </c>
      <c r="F13943" t="s">
        <v>13972</v>
      </c>
      <c r="G13943" t="s">
        <v>17997</v>
      </c>
      <c r="H13943" t="s">
        <v>32662</v>
      </c>
    </row>
    <row r="13944" spans="1:8">
      <c r="H13944" t="s">
        <v>32663</v>
      </c>
    </row>
    <row r="13945" spans="1:8">
      <c r="H13945" t="s">
        <v>32664</v>
      </c>
    </row>
    <row r="13946" spans="1:8">
      <c r="H13946" t="s">
        <v>32665</v>
      </c>
    </row>
    <row r="13947" spans="1:8">
      <c r="A13947" t="s">
        <v>2693</v>
      </c>
      <c r="B13947">
        <f>HYPERLINK("https://android.googlesource.com/platform/cts/+/9cbd418f98243f0922ca1bfe509dd7bbe9c9ddc3", "9cbd418f98243f0922ca1bfe509dd7bbe9c9ddc3")</f>
        <v>0</v>
      </c>
      <c r="C13947">
        <f>HYPERLINK("https://android.googlesource.com/platform/cts/+/e405144243856ba6310682b960e19232144da05f", "e405144243856ba6310682b960e19232144da05f")</f>
        <v>0</v>
      </c>
      <c r="D13947" t="s">
        <v>5435</v>
      </c>
      <c r="E13947" t="s">
        <v>8423</v>
      </c>
      <c r="F13947" t="s">
        <v>12710</v>
      </c>
      <c r="G13947" t="s">
        <v>16911</v>
      </c>
      <c r="H13947" t="s">
        <v>31252</v>
      </c>
    </row>
    <row r="13948" spans="1:8">
      <c r="A13948" t="s">
        <v>2694</v>
      </c>
      <c r="B13948">
        <f>HYPERLINK("https://android.googlesource.com/platform/cts/+/acc2b1f85f173315e3bb25d3a1f8474ec2635e31", "acc2b1f85f173315e3bb25d3a1f8474ec2635e31")</f>
        <v>0</v>
      </c>
      <c r="C13948">
        <f>HYPERLINK("https://android.googlesource.com/platform/cts/+/de89b8884c5a369d9e34626d0e8fc08e8a6b827d", "de89b8884c5a369d9e34626d0e8fc08e8a6b827d")</f>
        <v>0</v>
      </c>
      <c r="D13948" t="s">
        <v>5435</v>
      </c>
      <c r="E13948" t="s">
        <v>8424</v>
      </c>
      <c r="F13948" t="s">
        <v>12710</v>
      </c>
      <c r="G13948" t="s">
        <v>16911</v>
      </c>
      <c r="H13948" t="s">
        <v>31252</v>
      </c>
    </row>
    <row r="13949" spans="1:8">
      <c r="A13949" t="s">
        <v>2695</v>
      </c>
      <c r="B13949">
        <f>HYPERLINK("https://android.googlesource.com/platform/cts/+/9713f158bf74d261043e11eebe38519dcd416c6f", "9713f158bf74d261043e11eebe38519dcd416c6f")</f>
        <v>0</v>
      </c>
      <c r="C13949">
        <f>HYPERLINK("https://android.googlesource.com/platform/cts/+/4811ae9c9d63dd5ecae1a00938bd22d00ef84d41", "4811ae9c9d63dd5ecae1a00938bd22d00ef84d41")</f>
        <v>0</v>
      </c>
      <c r="D13949" t="s">
        <v>5167</v>
      </c>
      <c r="E13949" t="s">
        <v>8425</v>
      </c>
      <c r="F13949" t="s">
        <v>13978</v>
      </c>
      <c r="G13949" t="s">
        <v>18003</v>
      </c>
      <c r="H13949" t="s">
        <v>32674</v>
      </c>
    </row>
    <row r="13950" spans="1:8">
      <c r="H13950" t="s">
        <v>32675</v>
      </c>
    </row>
    <row r="13951" spans="1:8">
      <c r="H13951" t="s">
        <v>32676</v>
      </c>
    </row>
    <row r="13952" spans="1:8">
      <c r="H13952" t="s">
        <v>32677</v>
      </c>
    </row>
    <row r="13953" spans="8:8">
      <c r="H13953" t="s">
        <v>32678</v>
      </c>
    </row>
    <row r="13954" spans="8:8">
      <c r="H13954" t="s">
        <v>32679</v>
      </c>
    </row>
    <row r="13955" spans="8:8">
      <c r="H13955" t="s">
        <v>32680</v>
      </c>
    </row>
    <row r="13956" spans="8:8">
      <c r="H13956" t="s">
        <v>32681</v>
      </c>
    </row>
    <row r="13957" spans="8:8">
      <c r="H13957" t="s">
        <v>32682</v>
      </c>
    </row>
    <row r="13958" spans="8:8">
      <c r="H13958" t="s">
        <v>32683</v>
      </c>
    </row>
    <row r="13959" spans="8:8">
      <c r="H13959" t="s">
        <v>32684</v>
      </c>
    </row>
    <row r="13960" spans="8:8">
      <c r="H13960" t="s">
        <v>32685</v>
      </c>
    </row>
    <row r="13961" spans="8:8">
      <c r="H13961" t="s">
        <v>32686</v>
      </c>
    </row>
    <row r="13962" spans="8:8">
      <c r="H13962" t="s">
        <v>32687</v>
      </c>
    </row>
    <row r="13963" spans="8:8">
      <c r="H13963" t="s">
        <v>32688</v>
      </c>
    </row>
    <row r="13964" spans="8:8">
      <c r="H13964" t="s">
        <v>32689</v>
      </c>
    </row>
    <row r="13965" spans="8:8">
      <c r="H13965" t="s">
        <v>32690</v>
      </c>
    </row>
    <row r="13966" spans="8:8">
      <c r="H13966" t="s">
        <v>32691</v>
      </c>
    </row>
    <row r="13967" spans="8:8">
      <c r="H13967" t="s">
        <v>32692</v>
      </c>
    </row>
    <row r="13968" spans="8:8">
      <c r="H13968" t="s">
        <v>32693</v>
      </c>
    </row>
    <row r="13969" spans="1:8">
      <c r="H13969" t="s">
        <v>32694</v>
      </c>
    </row>
    <row r="13970" spans="1:8">
      <c r="A13970" t="s">
        <v>2699</v>
      </c>
      <c r="B13970">
        <f>HYPERLINK("https://android.googlesource.com/platform/cts/+/7592acdbf80cec572530bb1fd0711151af63952a", "7592acdbf80cec572530bb1fd0711151af63952a")</f>
        <v>0</v>
      </c>
      <c r="C13970">
        <f>HYPERLINK("https://android.googlesource.com/platform/cts/+/1ead01ba65983808908dc2deb513b460475520c4", "1ead01ba65983808908dc2deb513b460475520c4")</f>
        <v>0</v>
      </c>
      <c r="D13970" t="s">
        <v>5409</v>
      </c>
      <c r="E13970" t="s">
        <v>8429</v>
      </c>
      <c r="F13970" t="s">
        <v>13752</v>
      </c>
      <c r="G13970" t="s">
        <v>17812</v>
      </c>
      <c r="H13970" t="s">
        <v>32707</v>
      </c>
    </row>
    <row r="13971" spans="1:8">
      <c r="A13971" t="s">
        <v>2700</v>
      </c>
      <c r="B13971">
        <f>HYPERLINK("https://android.googlesource.com/platform/cts/+/5e75b98446b8d8b0677a77118d3aaab12a93a711", "5e75b98446b8d8b0677a77118d3aaab12a93a711")</f>
        <v>0</v>
      </c>
      <c r="C13971">
        <f>HYPERLINK("https://android.googlesource.com/platform/cts/+/c7315d35182d1993d4dc194bd8405cb3b4a60516", "c7315d35182d1993d4dc194bd8405cb3b4a60516")</f>
        <v>0</v>
      </c>
      <c r="D13971" t="s">
        <v>5439</v>
      </c>
      <c r="E13971" t="s">
        <v>8430</v>
      </c>
      <c r="F13971" t="s">
        <v>12629</v>
      </c>
      <c r="G13971" t="s">
        <v>16838</v>
      </c>
      <c r="H13971" t="s">
        <v>32647</v>
      </c>
    </row>
    <row r="13972" spans="1:8">
      <c r="H13972" t="s">
        <v>32648</v>
      </c>
    </row>
    <row r="13973" spans="1:8">
      <c r="H13973" t="s">
        <v>32650</v>
      </c>
    </row>
    <row r="13974" spans="1:8">
      <c r="F13974" t="s">
        <v>13718</v>
      </c>
      <c r="G13974" t="s">
        <v>17785</v>
      </c>
      <c r="H13974" t="s">
        <v>32638</v>
      </c>
    </row>
    <row r="13975" spans="1:8">
      <c r="F13975" t="s">
        <v>13972</v>
      </c>
      <c r="G13975" t="s">
        <v>17997</v>
      </c>
      <c r="H13975" t="s">
        <v>32662</v>
      </c>
    </row>
    <row r="13976" spans="1:8">
      <c r="H13976" t="s">
        <v>32663</v>
      </c>
    </row>
    <row r="13977" spans="1:8">
      <c r="H13977" t="s">
        <v>32664</v>
      </c>
    </row>
    <row r="13978" spans="1:8">
      <c r="H13978" t="s">
        <v>32665</v>
      </c>
    </row>
    <row r="13979" spans="1:8">
      <c r="A13979" t="s">
        <v>2717</v>
      </c>
      <c r="B13979">
        <f>HYPERLINK("https://android.googlesource.com/platform/cts/+/4367de4b7ab5b783388ae182ecaf17e92d23585a", "4367de4b7ab5b783388ae182ecaf17e92d23585a")</f>
        <v>0</v>
      </c>
      <c r="C13979">
        <f>HYPERLINK("https://android.googlesource.com/platform/cts/+/7dcbf385591acd6ebdf4b66732227bd457ef4a7f", "7dcbf385591acd6ebdf4b66732227bd457ef4a7f")</f>
        <v>0</v>
      </c>
      <c r="D13979" t="s">
        <v>5374</v>
      </c>
      <c r="E13979" t="s">
        <v>8446</v>
      </c>
      <c r="F13979" t="s">
        <v>13165</v>
      </c>
      <c r="G13979" t="s">
        <v>17315</v>
      </c>
      <c r="H13979" t="s">
        <v>32753</v>
      </c>
    </row>
    <row r="13980" spans="1:8">
      <c r="H13980" t="s">
        <v>32754</v>
      </c>
    </row>
    <row r="13981" spans="1:8">
      <c r="A13981" t="s">
        <v>2718</v>
      </c>
      <c r="B13981">
        <f>HYPERLINK("https://android.googlesource.com/platform/cts/+/671b32aae87a8a7e6250542111a4cb57280fb4da", "671b32aae87a8a7e6250542111a4cb57280fb4da")</f>
        <v>0</v>
      </c>
      <c r="C13981">
        <f>HYPERLINK("https://android.googlesource.com/platform/cts/+/e25f8e3565b5c35044a2eea265fedc8fc294b9e5", "e25f8e3565b5c35044a2eea265fedc8fc294b9e5")</f>
        <v>0</v>
      </c>
      <c r="D13981" t="s">
        <v>5389</v>
      </c>
      <c r="E13981" t="s">
        <v>8447</v>
      </c>
      <c r="F13981" t="s">
        <v>13992</v>
      </c>
      <c r="G13981" t="s">
        <v>16620</v>
      </c>
      <c r="H13981" t="s">
        <v>32755</v>
      </c>
    </row>
    <row r="13982" spans="1:8">
      <c r="A13982" t="s">
        <v>2723</v>
      </c>
      <c r="B13982">
        <f>HYPERLINK("https://android.googlesource.com/platform/cts/+/580eea86e7dcbe3b49395aaa538f8d0a3496d397", "580eea86e7dcbe3b49395aaa538f8d0a3496d397")</f>
        <v>0</v>
      </c>
      <c r="C13982">
        <f>HYPERLINK("https://android.googlesource.com/platform/cts/+/f10219d23247577000454d4eee7d229fc62a889d", "f10219d23247577000454d4eee7d229fc62a889d")</f>
        <v>0</v>
      </c>
      <c r="D13982" t="s">
        <v>5445</v>
      </c>
      <c r="E13982" t="s">
        <v>8452</v>
      </c>
      <c r="F13982" t="s">
        <v>12642</v>
      </c>
      <c r="G13982" t="s">
        <v>16850</v>
      </c>
      <c r="H13982" t="s">
        <v>32762</v>
      </c>
    </row>
    <row r="13983" spans="1:8">
      <c r="A13983" t="s">
        <v>2725</v>
      </c>
      <c r="B13983">
        <f>HYPERLINK("https://android.googlesource.com/platform/cts/+/2743b624a783a896a54be4753097a920251b37c5", "2743b624a783a896a54be4753097a920251b37c5")</f>
        <v>0</v>
      </c>
      <c r="C13983">
        <f>HYPERLINK("https://android.googlesource.com/platform/cts/+/bbaf1c3f0ab65235772a503dc8b64faaf7c3fe29", "bbaf1c3f0ab65235772a503dc8b64faaf7c3fe29")</f>
        <v>0</v>
      </c>
      <c r="D13983" t="s">
        <v>5363</v>
      </c>
      <c r="E13983" t="s">
        <v>8454</v>
      </c>
      <c r="F13983" t="s">
        <v>10605</v>
      </c>
      <c r="G13983" t="s">
        <v>15008</v>
      </c>
      <c r="H13983" t="s">
        <v>32766</v>
      </c>
    </row>
    <row r="13984" spans="1:8">
      <c r="H13984" t="s">
        <v>32769</v>
      </c>
    </row>
    <row r="13985" spans="1:8">
      <c r="H13985" t="s">
        <v>32771</v>
      </c>
    </row>
    <row r="13986" spans="1:8">
      <c r="H13986" t="s">
        <v>32772</v>
      </c>
    </row>
    <row r="13987" spans="1:8">
      <c r="H13987" t="s">
        <v>32774</v>
      </c>
    </row>
    <row r="13988" spans="1:8">
      <c r="H13988" t="s">
        <v>32775</v>
      </c>
    </row>
    <row r="13989" spans="1:8">
      <c r="H13989" t="s">
        <v>32776</v>
      </c>
    </row>
    <row r="13990" spans="1:8">
      <c r="H13990" t="s">
        <v>32777</v>
      </c>
    </row>
    <row r="13991" spans="1:8">
      <c r="H13991" t="s">
        <v>32778</v>
      </c>
    </row>
    <row r="13992" spans="1:8">
      <c r="H13992" t="s">
        <v>32779</v>
      </c>
    </row>
    <row r="13993" spans="1:8">
      <c r="H13993" t="s">
        <v>32780</v>
      </c>
    </row>
    <row r="13994" spans="1:8">
      <c r="H13994" t="s">
        <v>32781</v>
      </c>
    </row>
    <row r="13995" spans="1:8">
      <c r="H13995" t="s">
        <v>32782</v>
      </c>
    </row>
    <row r="13996" spans="1:8">
      <c r="H13996" t="s">
        <v>32783</v>
      </c>
    </row>
    <row r="13997" spans="1:8">
      <c r="H13997" t="s">
        <v>32784</v>
      </c>
    </row>
    <row r="13998" spans="1:8">
      <c r="H13998" t="s">
        <v>32785</v>
      </c>
    </row>
    <row r="13999" spans="1:8">
      <c r="H13999" t="s">
        <v>32786</v>
      </c>
    </row>
    <row r="14000" spans="1:8">
      <c r="A14000" t="s">
        <v>2728</v>
      </c>
      <c r="B14000">
        <f>HYPERLINK("https://android.googlesource.com/platform/cts/+/2e39dd1f774e1e75ffb3c6e60f5f533462eb2a01", "2e39dd1f774e1e75ffb3c6e60f5f533462eb2a01")</f>
        <v>0</v>
      </c>
      <c r="C14000">
        <f>HYPERLINK("https://android.googlesource.com/platform/cts/+/bbaf1c3f0ab65235772a503dc8b64faaf7c3fe29", "bbaf1c3f0ab65235772a503dc8b64faaf7c3fe29")</f>
        <v>0</v>
      </c>
      <c r="D14000" t="s">
        <v>5363</v>
      </c>
      <c r="E14000" t="s">
        <v>8457</v>
      </c>
      <c r="F14000" t="s">
        <v>12171</v>
      </c>
      <c r="G14000" t="s">
        <v>15008</v>
      </c>
      <c r="H14000" t="s">
        <v>32817</v>
      </c>
    </row>
    <row r="14001" spans="1:8">
      <c r="H14001" t="s">
        <v>32818</v>
      </c>
    </row>
    <row r="14002" spans="1:8">
      <c r="H14002" t="s">
        <v>32820</v>
      </c>
    </row>
    <row r="14003" spans="1:8">
      <c r="H14003" t="s">
        <v>32821</v>
      </c>
    </row>
    <row r="14004" spans="1:8">
      <c r="H14004" t="s">
        <v>32823</v>
      </c>
    </row>
    <row r="14005" spans="1:8">
      <c r="H14005" t="s">
        <v>32824</v>
      </c>
    </row>
    <row r="14006" spans="1:8">
      <c r="H14006" t="s">
        <v>32825</v>
      </c>
    </row>
    <row r="14007" spans="1:8">
      <c r="H14007" t="s">
        <v>32826</v>
      </c>
    </row>
    <row r="14008" spans="1:8">
      <c r="H14008" t="s">
        <v>31476</v>
      </c>
    </row>
    <row r="14009" spans="1:8">
      <c r="A14009" t="s">
        <v>2731</v>
      </c>
      <c r="B14009">
        <f>HYPERLINK("https://android.googlesource.com/platform/cts/+/30a5662508fca0d8dbce59719483853dc503f2de", "30a5662508fca0d8dbce59719483853dc503f2de")</f>
        <v>0</v>
      </c>
      <c r="C14009">
        <f>HYPERLINK("https://android.googlesource.com/platform/cts/+/c76f6af0f8fbba617bffb9a653c815fe09e6c072", "c76f6af0f8fbba617bffb9a653c815fe09e6c072")</f>
        <v>0</v>
      </c>
      <c r="D14009" t="s">
        <v>5231</v>
      </c>
      <c r="E14009" t="s">
        <v>8460</v>
      </c>
      <c r="F14009" t="s">
        <v>13995</v>
      </c>
      <c r="G14009" t="s">
        <v>18011</v>
      </c>
      <c r="H14009" t="s">
        <v>32833</v>
      </c>
    </row>
    <row r="14010" spans="1:8">
      <c r="H14010" t="s">
        <v>32834</v>
      </c>
    </row>
    <row r="14011" spans="1:8">
      <c r="A14011" t="s">
        <v>2733</v>
      </c>
      <c r="B14011">
        <f>HYPERLINK("https://android.googlesource.com/platform/cts/+/19f9b20e25a762e6cc6e4def3d53dba976bfada9", "19f9b20e25a762e6cc6e4def3d53dba976bfada9")</f>
        <v>0</v>
      </c>
      <c r="C14011">
        <f>HYPERLINK("https://android.googlesource.com/platform/cts/+/46e2b45a3082918d8cafe22fd0e69c7cd21cb713", "46e2b45a3082918d8cafe22fd0e69c7cd21cb713")</f>
        <v>0</v>
      </c>
      <c r="D14011" t="s">
        <v>5410</v>
      </c>
      <c r="E14011" t="s">
        <v>8462</v>
      </c>
      <c r="F14011" t="s">
        <v>13896</v>
      </c>
      <c r="G14011" t="s">
        <v>17933</v>
      </c>
      <c r="H14011" t="s">
        <v>31999</v>
      </c>
    </row>
    <row r="14012" spans="1:8">
      <c r="H14012" t="s">
        <v>32000</v>
      </c>
    </row>
    <row r="14013" spans="1:8">
      <c r="H14013" t="s">
        <v>32001</v>
      </c>
    </row>
    <row r="14014" spans="1:8">
      <c r="H14014" t="s">
        <v>32002</v>
      </c>
    </row>
    <row r="14015" spans="1:8">
      <c r="F14015" t="s">
        <v>13739</v>
      </c>
      <c r="G14015" t="s">
        <v>17799</v>
      </c>
      <c r="H14015" t="s">
        <v>32008</v>
      </c>
    </row>
    <row r="14016" spans="1:8">
      <c r="H14016" t="s">
        <v>32009</v>
      </c>
    </row>
    <row r="14017" spans="8:8">
      <c r="H14017" t="s">
        <v>32010</v>
      </c>
    </row>
    <row r="14018" spans="8:8">
      <c r="H14018" t="s">
        <v>32011</v>
      </c>
    </row>
    <row r="14019" spans="8:8">
      <c r="H14019" t="s">
        <v>32012</v>
      </c>
    </row>
    <row r="14020" spans="8:8">
      <c r="H14020" t="s">
        <v>32013</v>
      </c>
    </row>
    <row r="14021" spans="8:8">
      <c r="H14021" t="s">
        <v>32014</v>
      </c>
    </row>
    <row r="14022" spans="8:8">
      <c r="H14022" t="s">
        <v>32018</v>
      </c>
    </row>
    <row r="14023" spans="8:8">
      <c r="H14023" t="s">
        <v>31300</v>
      </c>
    </row>
    <row r="14024" spans="8:8">
      <c r="H14024" t="s">
        <v>32020</v>
      </c>
    </row>
    <row r="14025" spans="8:8">
      <c r="H14025" t="s">
        <v>32021</v>
      </c>
    </row>
    <row r="14026" spans="8:8">
      <c r="H14026" t="s">
        <v>32022</v>
      </c>
    </row>
    <row r="14027" spans="8:8">
      <c r="H14027" t="s">
        <v>32023</v>
      </c>
    </row>
    <row r="14028" spans="8:8">
      <c r="H14028" t="s">
        <v>32024</v>
      </c>
    </row>
    <row r="14029" spans="8:8">
      <c r="H14029" t="s">
        <v>32031</v>
      </c>
    </row>
    <row r="14030" spans="8:8">
      <c r="H14030" t="s">
        <v>32034</v>
      </c>
    </row>
    <row r="14031" spans="8:8">
      <c r="H14031" t="s">
        <v>32035</v>
      </c>
    </row>
    <row r="14032" spans="8:8">
      <c r="H14032" t="s">
        <v>32037</v>
      </c>
    </row>
    <row r="14033" spans="8:8">
      <c r="H14033" t="s">
        <v>32038</v>
      </c>
    </row>
    <row r="14034" spans="8:8">
      <c r="H14034" t="s">
        <v>32039</v>
      </c>
    </row>
    <row r="14035" spans="8:8">
      <c r="H14035" t="s">
        <v>32040</v>
      </c>
    </row>
    <row r="14036" spans="8:8">
      <c r="H14036" t="s">
        <v>32041</v>
      </c>
    </row>
    <row r="14037" spans="8:8">
      <c r="H14037" t="s">
        <v>32042</v>
      </c>
    </row>
    <row r="14038" spans="8:8">
      <c r="H14038" t="s">
        <v>32043</v>
      </c>
    </row>
    <row r="14039" spans="8:8">
      <c r="H14039" t="s">
        <v>32044</v>
      </c>
    </row>
    <row r="14040" spans="8:8">
      <c r="H14040" t="s">
        <v>32045</v>
      </c>
    </row>
    <row r="14041" spans="8:8">
      <c r="H14041" t="s">
        <v>32046</v>
      </c>
    </row>
    <row r="14042" spans="8:8">
      <c r="H14042" t="s">
        <v>32047</v>
      </c>
    </row>
    <row r="14043" spans="8:8">
      <c r="H14043" t="s">
        <v>32048</v>
      </c>
    </row>
    <row r="14044" spans="8:8">
      <c r="H14044" t="s">
        <v>32049</v>
      </c>
    </row>
    <row r="14045" spans="8:8">
      <c r="H14045" t="s">
        <v>32050</v>
      </c>
    </row>
    <row r="14046" spans="8:8">
      <c r="H14046" t="s">
        <v>32051</v>
      </c>
    </row>
    <row r="14047" spans="8:8">
      <c r="H14047" t="s">
        <v>32052</v>
      </c>
    </row>
    <row r="14048" spans="8:8">
      <c r="H14048" t="s">
        <v>32053</v>
      </c>
    </row>
    <row r="14049" spans="8:8">
      <c r="H14049" t="s">
        <v>32054</v>
      </c>
    </row>
    <row r="14050" spans="8:8">
      <c r="H14050" t="s">
        <v>32055</v>
      </c>
    </row>
    <row r="14051" spans="8:8">
      <c r="H14051" t="s">
        <v>32056</v>
      </c>
    </row>
    <row r="14052" spans="8:8">
      <c r="H14052" t="s">
        <v>32057</v>
      </c>
    </row>
    <row r="14053" spans="8:8">
      <c r="H14053" t="s">
        <v>32058</v>
      </c>
    </row>
    <row r="14054" spans="8:8">
      <c r="H14054" t="s">
        <v>32059</v>
      </c>
    </row>
    <row r="14055" spans="8:8">
      <c r="H14055" t="s">
        <v>32060</v>
      </c>
    </row>
    <row r="14056" spans="8:8">
      <c r="H14056" t="s">
        <v>32061</v>
      </c>
    </row>
    <row r="14057" spans="8:8">
      <c r="H14057" t="s">
        <v>32062</v>
      </c>
    </row>
    <row r="14058" spans="8:8">
      <c r="H14058" t="s">
        <v>32063</v>
      </c>
    </row>
    <row r="14059" spans="8:8">
      <c r="H14059" t="s">
        <v>32064</v>
      </c>
    </row>
    <row r="14060" spans="8:8">
      <c r="H14060" t="s">
        <v>32065</v>
      </c>
    </row>
    <row r="14061" spans="8:8">
      <c r="H14061" t="s">
        <v>32066</v>
      </c>
    </row>
    <row r="14062" spans="8:8">
      <c r="H14062" t="s">
        <v>32067</v>
      </c>
    </row>
    <row r="14063" spans="8:8">
      <c r="H14063" t="s">
        <v>32068</v>
      </c>
    </row>
    <row r="14064" spans="8:8">
      <c r="H14064" t="s">
        <v>32069</v>
      </c>
    </row>
    <row r="14065" spans="6:8">
      <c r="H14065" t="s">
        <v>32070</v>
      </c>
    </row>
    <row r="14066" spans="6:8">
      <c r="H14066" t="s">
        <v>32075</v>
      </c>
    </row>
    <row r="14067" spans="6:8">
      <c r="H14067" t="s">
        <v>32076</v>
      </c>
    </row>
    <row r="14068" spans="6:8">
      <c r="H14068" t="s">
        <v>32077</v>
      </c>
    </row>
    <row r="14069" spans="6:8">
      <c r="H14069" t="s">
        <v>26401</v>
      </c>
    </row>
    <row r="14070" spans="6:8">
      <c r="H14070" t="s">
        <v>32080</v>
      </c>
    </row>
    <row r="14071" spans="6:8">
      <c r="H14071" t="s">
        <v>31396</v>
      </c>
    </row>
    <row r="14072" spans="6:8">
      <c r="H14072" t="s">
        <v>31397</v>
      </c>
    </row>
    <row r="14073" spans="6:8">
      <c r="H14073" t="s">
        <v>31398</v>
      </c>
    </row>
    <row r="14074" spans="6:8">
      <c r="H14074" t="s">
        <v>31399</v>
      </c>
    </row>
    <row r="14075" spans="6:8">
      <c r="H14075" t="s">
        <v>31400</v>
      </c>
    </row>
    <row r="14076" spans="6:8">
      <c r="F14076" t="s">
        <v>13732</v>
      </c>
      <c r="G14076" t="s">
        <v>17793</v>
      </c>
      <c r="H14076" t="s">
        <v>20304</v>
      </c>
    </row>
    <row r="14077" spans="6:8">
      <c r="H14077" t="s">
        <v>20305</v>
      </c>
    </row>
    <row r="14078" spans="6:8">
      <c r="H14078" t="s">
        <v>20306</v>
      </c>
    </row>
    <row r="14079" spans="6:8">
      <c r="H14079" t="s">
        <v>20307</v>
      </c>
    </row>
    <row r="14080" spans="6:8">
      <c r="H14080" t="s">
        <v>20308</v>
      </c>
    </row>
    <row r="14081" spans="8:8">
      <c r="H14081" t="s">
        <v>20309</v>
      </c>
    </row>
    <row r="14082" spans="8:8">
      <c r="H14082" t="s">
        <v>20310</v>
      </c>
    </row>
    <row r="14083" spans="8:8">
      <c r="H14083" t="s">
        <v>32100</v>
      </c>
    </row>
    <row r="14084" spans="8:8">
      <c r="H14084" t="s">
        <v>32101</v>
      </c>
    </row>
    <row r="14085" spans="8:8">
      <c r="H14085" t="s">
        <v>32102</v>
      </c>
    </row>
    <row r="14086" spans="8:8">
      <c r="H14086" t="s">
        <v>19646</v>
      </c>
    </row>
    <row r="14087" spans="8:8">
      <c r="H14087" t="s">
        <v>19647</v>
      </c>
    </row>
    <row r="14088" spans="8:8">
      <c r="H14088" t="s">
        <v>19648</v>
      </c>
    </row>
    <row r="14089" spans="8:8">
      <c r="H14089" t="s">
        <v>19649</v>
      </c>
    </row>
    <row r="14090" spans="8:8">
      <c r="H14090" t="s">
        <v>19650</v>
      </c>
    </row>
    <row r="14091" spans="8:8">
      <c r="H14091" t="s">
        <v>19651</v>
      </c>
    </row>
    <row r="14092" spans="8:8">
      <c r="H14092" t="s">
        <v>19652</v>
      </c>
    </row>
    <row r="14093" spans="8:8">
      <c r="H14093" t="s">
        <v>32103</v>
      </c>
    </row>
    <row r="14094" spans="8:8">
      <c r="H14094" t="s">
        <v>32105</v>
      </c>
    </row>
    <row r="14095" spans="8:8">
      <c r="H14095" t="s">
        <v>32106</v>
      </c>
    </row>
    <row r="14096" spans="8:8">
      <c r="H14096" t="s">
        <v>32107</v>
      </c>
    </row>
    <row r="14097" spans="1:8">
      <c r="H14097" t="s">
        <v>32108</v>
      </c>
    </row>
    <row r="14098" spans="1:8">
      <c r="H14098" t="s">
        <v>32111</v>
      </c>
    </row>
    <row r="14099" spans="1:8">
      <c r="A14099" t="s">
        <v>2734</v>
      </c>
      <c r="B14099">
        <f>HYPERLINK("https://android.googlesource.com/platform/cts/+/0f07198cd7776099b3ac1191688d2244419b7e1c", "0f07198cd7776099b3ac1191688d2244419b7e1c")</f>
        <v>0</v>
      </c>
      <c r="C14099">
        <f>HYPERLINK("https://android.googlesource.com/platform/cts/+/480f1c3335d778eaff0d60ba9b84f4f978aff571", "480f1c3335d778eaff0d60ba9b84f4f978aff571")</f>
        <v>0</v>
      </c>
      <c r="D14099" t="s">
        <v>5297</v>
      </c>
      <c r="E14099" t="s">
        <v>8463</v>
      </c>
      <c r="F14099" t="s">
        <v>13998</v>
      </c>
      <c r="G14099" t="s">
        <v>18012</v>
      </c>
      <c r="H14099" t="s">
        <v>32841</v>
      </c>
    </row>
    <row r="14100" spans="1:8">
      <c r="A14100" t="s">
        <v>2736</v>
      </c>
      <c r="B14100">
        <f>HYPERLINK("https://android.googlesource.com/platform/cts/+/d4a57d45ffb22cd149877e9ac550b68c1485a94b", "d4a57d45ffb22cd149877e9ac550b68c1485a94b")</f>
        <v>0</v>
      </c>
      <c r="C14100">
        <f>HYPERLINK("https://android.googlesource.com/platform/cts/+/40e93f5ebd523b7523661cd55e4f991357026d45", "40e93f5ebd523b7523661cd55e4f991357026d45")</f>
        <v>0</v>
      </c>
      <c r="D14100" t="s">
        <v>5134</v>
      </c>
      <c r="E14100" t="s">
        <v>8465</v>
      </c>
      <c r="F14100" t="s">
        <v>13091</v>
      </c>
      <c r="G14100" t="s">
        <v>17253</v>
      </c>
      <c r="H14100" t="s">
        <v>32843</v>
      </c>
    </row>
    <row r="14101" spans="1:8">
      <c r="A14101" t="s">
        <v>2745</v>
      </c>
      <c r="B14101">
        <f>HYPERLINK("https://android.googlesource.com/platform/cts/+/299da86a2aeae763ccd30b90ef4fdf77b19d5a2c", "299da86a2aeae763ccd30b90ef4fdf77b19d5a2c")</f>
        <v>0</v>
      </c>
      <c r="C14101">
        <f>HYPERLINK("https://android.googlesource.com/platform/cts/+/6b4ff559910efe8648ea438c184459586f943144", "6b4ff559910efe8648ea438c184459586f943144")</f>
        <v>0</v>
      </c>
      <c r="D14101" t="s">
        <v>5374</v>
      </c>
      <c r="E14101" t="s">
        <v>8474</v>
      </c>
      <c r="F14101" t="s">
        <v>12733</v>
      </c>
      <c r="G14101" t="s">
        <v>16854</v>
      </c>
      <c r="H14101" t="s">
        <v>32873</v>
      </c>
    </row>
    <row r="14102" spans="1:8">
      <c r="A14102" t="s">
        <v>2746</v>
      </c>
      <c r="B14102">
        <f>HYPERLINK("https://android.googlesource.com/platform/cts/+/a775c8c0dd05ee0095a0a198f60b7a19eafbe9c4", "a775c8c0dd05ee0095a0a198f60b7a19eafbe9c4")</f>
        <v>0</v>
      </c>
      <c r="C14102">
        <f>HYPERLINK("https://android.googlesource.com/platform/cts/+/92130edc486f5d63def65dcb47d55dde7bd8eca0", "92130edc486f5d63def65dcb47d55dde7bd8eca0")</f>
        <v>0</v>
      </c>
      <c r="D14102" t="s">
        <v>5448</v>
      </c>
      <c r="E14102" t="s">
        <v>8475</v>
      </c>
      <c r="F14102" t="s">
        <v>14003</v>
      </c>
      <c r="G14102" t="s">
        <v>18016</v>
      </c>
      <c r="H14102" t="s">
        <v>26642</v>
      </c>
    </row>
    <row r="14103" spans="1:8">
      <c r="F14103" t="s">
        <v>14004</v>
      </c>
      <c r="G14103" t="s">
        <v>17023</v>
      </c>
      <c r="H14103" t="s">
        <v>26642</v>
      </c>
    </row>
    <row r="14104" spans="1:8">
      <c r="F14104" t="s">
        <v>14005</v>
      </c>
      <c r="G14104" t="s">
        <v>18017</v>
      </c>
      <c r="H14104" t="s">
        <v>26642</v>
      </c>
    </row>
    <row r="14105" spans="1:8">
      <c r="A14105" t="s">
        <v>2747</v>
      </c>
      <c r="B14105">
        <f>HYPERLINK("https://android.googlesource.com/platform/cts/+/5f4a28a356ca2bc29ee2478db32a0818b16fe438", "5f4a28a356ca2bc29ee2478db32a0818b16fe438")</f>
        <v>0</v>
      </c>
      <c r="C14105">
        <f>HYPERLINK("https://android.googlesource.com/platform/cts/+/23b4ab34b38bf8e2052679da18ddcd3391898652", "23b4ab34b38bf8e2052679da18ddcd3391898652")</f>
        <v>0</v>
      </c>
      <c r="D14105" t="s">
        <v>5449</v>
      </c>
      <c r="E14105" t="s">
        <v>8476</v>
      </c>
      <c r="F14105" t="s">
        <v>14010</v>
      </c>
      <c r="G14105" t="s">
        <v>18022</v>
      </c>
      <c r="H14105" t="s">
        <v>32879</v>
      </c>
    </row>
    <row r="14106" spans="1:8">
      <c r="A14106" t="s">
        <v>2748</v>
      </c>
      <c r="B14106">
        <f>HYPERLINK("https://android.googlesource.com/platform/cts/+/fef7584fa028047d5aa222adb3f3c7d3e1916c57", "fef7584fa028047d5aa222adb3f3c7d3e1916c57")</f>
        <v>0</v>
      </c>
      <c r="C14106">
        <f>HYPERLINK("https://android.googlesource.com/platform/cts/+/761bf2d6da2b94d4df27f48550dbdb22be1228c4", "761bf2d6da2b94d4df27f48550dbdb22be1228c4")</f>
        <v>0</v>
      </c>
      <c r="D14106" t="s">
        <v>5450</v>
      </c>
      <c r="E14106" t="s">
        <v>8477</v>
      </c>
      <c r="F14106" t="s">
        <v>14011</v>
      </c>
      <c r="G14106" t="s">
        <v>18023</v>
      </c>
      <c r="H14106" t="s">
        <v>32883</v>
      </c>
    </row>
    <row r="14107" spans="1:8">
      <c r="A14107" t="s">
        <v>2752</v>
      </c>
      <c r="B14107">
        <f>HYPERLINK("https://android.googlesource.com/platform/cts/+/279f26e78dc11f05c591f8bbc1f6f1bee5554429", "279f26e78dc11f05c591f8bbc1f6f1bee5554429")</f>
        <v>0</v>
      </c>
      <c r="C14107">
        <f>HYPERLINK("https://android.googlesource.com/platform/cts/+/f85b67b60ad157d1d09801834f33f3692e48d7a9", "f85b67b60ad157d1d09801834f33f3692e48d7a9")</f>
        <v>0</v>
      </c>
      <c r="D14107" t="s">
        <v>5449</v>
      </c>
      <c r="E14107" t="s">
        <v>8481</v>
      </c>
      <c r="F14107" t="s">
        <v>14006</v>
      </c>
      <c r="G14107" t="s">
        <v>18018</v>
      </c>
      <c r="H14107" t="s">
        <v>32891</v>
      </c>
    </row>
    <row r="14108" spans="1:8">
      <c r="F14108" t="s">
        <v>14007</v>
      </c>
      <c r="G14108" t="s">
        <v>18019</v>
      </c>
      <c r="H14108" t="s">
        <v>32891</v>
      </c>
    </row>
    <row r="14109" spans="1:8">
      <c r="F14109" t="s">
        <v>14008</v>
      </c>
      <c r="G14109" t="s">
        <v>18020</v>
      </c>
      <c r="H14109" t="s">
        <v>32891</v>
      </c>
    </row>
    <row r="14110" spans="1:8">
      <c r="F14110" t="s">
        <v>14013</v>
      </c>
      <c r="G14110" t="s">
        <v>18025</v>
      </c>
      <c r="H14110" t="s">
        <v>32891</v>
      </c>
    </row>
    <row r="14111" spans="1:8">
      <c r="F14111" t="s">
        <v>14009</v>
      </c>
      <c r="G14111" t="s">
        <v>18021</v>
      </c>
      <c r="H14111" t="s">
        <v>32891</v>
      </c>
    </row>
    <row r="14112" spans="1:8">
      <c r="F14112" t="s">
        <v>14010</v>
      </c>
      <c r="G14112" t="s">
        <v>18022</v>
      </c>
      <c r="H14112" t="s">
        <v>32891</v>
      </c>
    </row>
    <row r="14113" spans="1:8">
      <c r="A14113" t="s">
        <v>2755</v>
      </c>
      <c r="B14113">
        <f>HYPERLINK("https://android.googlesource.com/platform/cts/+/0da7aa9941bb3368ec3c5d5bf3e6bcd11de57f0a", "0da7aa9941bb3368ec3c5d5bf3e6bcd11de57f0a")</f>
        <v>0</v>
      </c>
      <c r="C14113">
        <f>HYPERLINK("https://android.googlesource.com/platform/cts/+/74bf542d086ffe30c341359d9e3069fa0cf98e3f", "74bf542d086ffe30c341359d9e3069fa0cf98e3f")</f>
        <v>0</v>
      </c>
      <c r="D14113" t="s">
        <v>5453</v>
      </c>
      <c r="E14113" t="s">
        <v>8483</v>
      </c>
      <c r="F14113" t="s">
        <v>13457</v>
      </c>
      <c r="G14113" t="s">
        <v>17483</v>
      </c>
      <c r="H14113" t="s">
        <v>29465</v>
      </c>
    </row>
    <row r="14114" spans="1:8">
      <c r="A14114" t="s">
        <v>2760</v>
      </c>
      <c r="B14114">
        <f>HYPERLINK("https://android.googlesource.com/platform/cts/+/f685f12977e5592dbe5240231901b58cf2defe01", "f685f12977e5592dbe5240231901b58cf2defe01")</f>
        <v>0</v>
      </c>
      <c r="C14114">
        <f>HYPERLINK("https://android.googlesource.com/platform/cts/+/9075ef4ed2ab57df6b703603007a52fe5a9e5e5c", "9075ef4ed2ab57df6b703603007a52fe5a9e5e5c")</f>
        <v>0</v>
      </c>
      <c r="D14114" t="s">
        <v>5448</v>
      </c>
      <c r="E14114" t="s">
        <v>8488</v>
      </c>
      <c r="F14114" t="s">
        <v>14003</v>
      </c>
      <c r="G14114" t="s">
        <v>18016</v>
      </c>
      <c r="H14114" t="s">
        <v>26642</v>
      </c>
    </row>
    <row r="14115" spans="1:8">
      <c r="F14115" t="s">
        <v>14004</v>
      </c>
      <c r="G14115" t="s">
        <v>17023</v>
      </c>
      <c r="H14115" t="s">
        <v>26642</v>
      </c>
    </row>
    <row r="14116" spans="1:8">
      <c r="F14116" t="s">
        <v>14005</v>
      </c>
      <c r="G14116" t="s">
        <v>18017</v>
      </c>
      <c r="H14116" t="s">
        <v>26642</v>
      </c>
    </row>
    <row r="14117" spans="1:8">
      <c r="A14117" t="s">
        <v>2761</v>
      </c>
      <c r="B14117">
        <f>HYPERLINK("https://android.googlesource.com/platform/cts/+/ce892aaa4d83d250a5eedbd119a15aff73be2377", "ce892aaa4d83d250a5eedbd119a15aff73be2377")</f>
        <v>0</v>
      </c>
      <c r="C14117">
        <f>HYPERLINK("https://android.googlesource.com/platform/cts/+/e8184b2136de41c44b12742ff7a8aa597c75050b", "e8184b2136de41c44b12742ff7a8aa597c75050b")</f>
        <v>0</v>
      </c>
      <c r="D14117" t="s">
        <v>5363</v>
      </c>
      <c r="E14117" t="s">
        <v>8489</v>
      </c>
      <c r="F14117" t="s">
        <v>14016</v>
      </c>
      <c r="G14117" t="s">
        <v>17963</v>
      </c>
      <c r="H14117" t="s">
        <v>32895</v>
      </c>
    </row>
    <row r="14118" spans="1:8">
      <c r="F14118" t="s">
        <v>14017</v>
      </c>
      <c r="G14118" t="s">
        <v>18027</v>
      </c>
      <c r="H14118" t="s">
        <v>19013</v>
      </c>
    </row>
    <row r="14119" spans="1:8">
      <c r="H14119" t="s">
        <v>18835</v>
      </c>
    </row>
    <row r="14120" spans="1:8">
      <c r="F14120" t="s">
        <v>14018</v>
      </c>
      <c r="G14120" t="s">
        <v>18028</v>
      </c>
      <c r="H14120" t="s">
        <v>19013</v>
      </c>
    </row>
    <row r="14121" spans="1:8">
      <c r="H14121" t="s">
        <v>18835</v>
      </c>
    </row>
    <row r="14122" spans="1:8">
      <c r="F14122" t="s">
        <v>14019</v>
      </c>
      <c r="G14122" t="s">
        <v>18029</v>
      </c>
      <c r="H14122" t="s">
        <v>19013</v>
      </c>
    </row>
    <row r="14123" spans="1:8">
      <c r="H14123" t="s">
        <v>18835</v>
      </c>
    </row>
    <row r="14124" spans="1:8">
      <c r="F14124" t="s">
        <v>14021</v>
      </c>
      <c r="G14124" t="s">
        <v>18031</v>
      </c>
      <c r="H14124" t="s">
        <v>32943</v>
      </c>
    </row>
    <row r="14125" spans="1:8">
      <c r="H14125" t="s">
        <v>32944</v>
      </c>
    </row>
    <row r="14126" spans="1:8">
      <c r="F14126" t="s">
        <v>14022</v>
      </c>
      <c r="G14126" t="s">
        <v>17876</v>
      </c>
      <c r="H14126" t="s">
        <v>32945</v>
      </c>
    </row>
    <row r="14127" spans="1:8">
      <c r="A14127" t="s">
        <v>2764</v>
      </c>
      <c r="B14127">
        <f>HYPERLINK("https://android.googlesource.com/platform/cts/+/368c7a56f927a6e1e33845d1f728893ab094f4b9", "368c7a56f927a6e1e33845d1f728893ab094f4b9")</f>
        <v>0</v>
      </c>
      <c r="C14127">
        <f>HYPERLINK("https://android.googlesource.com/platform/cts/+/7e9b78c0ebb5444e42ec708d0c95cd82c8576f51", "7e9b78c0ebb5444e42ec708d0c95cd82c8576f51")</f>
        <v>0</v>
      </c>
      <c r="D14127" t="s">
        <v>5320</v>
      </c>
      <c r="E14127" t="s">
        <v>8492</v>
      </c>
      <c r="F14127" t="s">
        <v>14014</v>
      </c>
      <c r="G14127" t="s">
        <v>18026</v>
      </c>
      <c r="H14127" t="s">
        <v>32957</v>
      </c>
    </row>
    <row r="14128" spans="1:8">
      <c r="H14128" t="s">
        <v>32958</v>
      </c>
    </row>
    <row r="14129" spans="1:8">
      <c r="H14129" t="s">
        <v>32959</v>
      </c>
    </row>
    <row r="14130" spans="1:8">
      <c r="H14130" t="s">
        <v>32960</v>
      </c>
    </row>
    <row r="14131" spans="1:8">
      <c r="A14131" t="s">
        <v>2765</v>
      </c>
      <c r="B14131">
        <f>HYPERLINK("https://android.googlesource.com/platform/cts/+/4540ec7024bb8f78eea794aed3479b5b2ce570a1", "4540ec7024bb8f78eea794aed3479b5b2ce570a1")</f>
        <v>0</v>
      </c>
      <c r="C14131">
        <f>HYPERLINK("https://android.googlesource.com/platform/cts/+/a90feddf8960947e26694eaaa5e40abb296b52cf", "a90feddf8960947e26694eaaa5e40abb296b52cf")</f>
        <v>0</v>
      </c>
      <c r="D14131" t="s">
        <v>5195</v>
      </c>
      <c r="E14131" t="s">
        <v>8493</v>
      </c>
      <c r="F14131" t="s">
        <v>14024</v>
      </c>
      <c r="G14131" t="s">
        <v>16875</v>
      </c>
      <c r="H14131" t="s">
        <v>32967</v>
      </c>
    </row>
    <row r="14132" spans="1:8">
      <c r="H14132" t="s">
        <v>32968</v>
      </c>
    </row>
    <row r="14133" spans="1:8">
      <c r="H14133" t="s">
        <v>32969</v>
      </c>
    </row>
    <row r="14134" spans="1:8">
      <c r="A14134" t="s">
        <v>2766</v>
      </c>
      <c r="B14134">
        <f>HYPERLINK("https://android.googlesource.com/platform/cts/+/93ed14bc14f4762e6d4c357a8db653d0bbc602f4", "93ed14bc14f4762e6d4c357a8db653d0bbc602f4")</f>
        <v>0</v>
      </c>
      <c r="C14134">
        <f>HYPERLINK("https://android.googlesource.com/platform/cts/+/4540ec7024bb8f78eea794aed3479b5b2ce570a1", "4540ec7024bb8f78eea794aed3479b5b2ce570a1")</f>
        <v>0</v>
      </c>
      <c r="D14134" t="s">
        <v>5195</v>
      </c>
      <c r="E14134" t="s">
        <v>8494</v>
      </c>
      <c r="F14134" t="s">
        <v>14024</v>
      </c>
      <c r="G14134" t="s">
        <v>16875</v>
      </c>
      <c r="H14134" t="s">
        <v>32970</v>
      </c>
    </row>
    <row r="14135" spans="1:8">
      <c r="H14135" t="s">
        <v>32971</v>
      </c>
    </row>
    <row r="14136" spans="1:8">
      <c r="A14136" t="s">
        <v>2766</v>
      </c>
      <c r="B14136">
        <f>HYPERLINK("https://android.googlesource.com/platform/cts/+/5f5dd1661e0c6beb1f169513fa230cc37c59b200", "5f5dd1661e0c6beb1f169513fa230cc37c59b200")</f>
        <v>0</v>
      </c>
      <c r="C14136">
        <f>HYPERLINK("https://android.googlesource.com/platform/cts/+/93ed14bc14f4762e6d4c357a8db653d0bbc602f4", "93ed14bc14f4762e6d4c357a8db653d0bbc602f4")</f>
        <v>0</v>
      </c>
      <c r="D14136" t="s">
        <v>5195</v>
      </c>
      <c r="E14136" t="s">
        <v>8495</v>
      </c>
      <c r="F14136" t="s">
        <v>14024</v>
      </c>
      <c r="G14136" t="s">
        <v>16875</v>
      </c>
      <c r="H14136" t="s">
        <v>32972</v>
      </c>
    </row>
    <row r="14137" spans="1:8">
      <c r="A14137" t="s">
        <v>2769</v>
      </c>
      <c r="B14137">
        <f>HYPERLINK("https://android.googlesource.com/platform/cts/+/164b864e6c367c434c3d3e0c1ae888d199f42d43", "164b864e6c367c434c3d3e0c1ae888d199f42d43")</f>
        <v>0</v>
      </c>
      <c r="C14137">
        <f>HYPERLINK("https://android.googlesource.com/platform/cts/+/2210f52e0614cc1bc6c345998589d929d4e56a9c", "2210f52e0614cc1bc6c345998589d929d4e56a9c")</f>
        <v>0</v>
      </c>
      <c r="D14137" t="s">
        <v>5454</v>
      </c>
      <c r="E14137" t="s">
        <v>8497</v>
      </c>
      <c r="F14137" t="s">
        <v>14014</v>
      </c>
      <c r="G14137" t="s">
        <v>18026</v>
      </c>
      <c r="H14137" t="s">
        <v>32894</v>
      </c>
    </row>
    <row r="14138" spans="1:8">
      <c r="A14138" t="s">
        <v>2771</v>
      </c>
      <c r="B14138">
        <f>HYPERLINK("https://android.googlesource.com/platform/cts/+/96a08228dfe44ae0a2f57bdb2fffdd66bd6ff2c1", "96a08228dfe44ae0a2f57bdb2fffdd66bd6ff2c1")</f>
        <v>0</v>
      </c>
      <c r="C14138">
        <f>HYPERLINK("https://android.googlesource.com/platform/cts/+/0e5404856409e0c482f988fb7a1e3dedc2c66ef2", "0e5404856409e0c482f988fb7a1e3dedc2c66ef2")</f>
        <v>0</v>
      </c>
      <c r="D14138" t="s">
        <v>5341</v>
      </c>
      <c r="E14138" t="s">
        <v>8499</v>
      </c>
      <c r="F14138" t="s">
        <v>13827</v>
      </c>
      <c r="G14138" t="s">
        <v>17871</v>
      </c>
      <c r="H14138" t="s">
        <v>32974</v>
      </c>
    </row>
    <row r="14139" spans="1:8">
      <c r="A14139" t="s">
        <v>2773</v>
      </c>
      <c r="B14139">
        <f>HYPERLINK("https://android.googlesource.com/platform/cts/+/f5bdd8a3b5e3dd8e6edf436339de2d52bfccfafa", "f5bdd8a3b5e3dd8e6edf436339de2d52bfccfafa")</f>
        <v>0</v>
      </c>
      <c r="C14139">
        <f>HYPERLINK("https://android.googlesource.com/platform/cts/+/3086fe22a436579d3c3afb110df556f371402344", "3086fe22a436579d3c3afb110df556f371402344")</f>
        <v>0</v>
      </c>
      <c r="D14139" t="s">
        <v>5431</v>
      </c>
      <c r="E14139" t="s">
        <v>8501</v>
      </c>
      <c r="F14139" t="s">
        <v>13229</v>
      </c>
      <c r="G14139" t="s">
        <v>17370</v>
      </c>
      <c r="H14139" t="s">
        <v>32976</v>
      </c>
    </row>
    <row r="14140" spans="1:8">
      <c r="F14140" t="s">
        <v>12745</v>
      </c>
      <c r="G14140" t="s">
        <v>16937</v>
      </c>
      <c r="H14140" t="s">
        <v>32976</v>
      </c>
    </row>
    <row r="14141" spans="1:8">
      <c r="A14141" t="s">
        <v>2774</v>
      </c>
      <c r="B14141">
        <f>HYPERLINK("https://android.googlesource.com/platform/cts/+/c4e84de7d118ee1600dbbc8421237553938d8a55", "c4e84de7d118ee1600dbbc8421237553938d8a55")</f>
        <v>0</v>
      </c>
      <c r="C14141">
        <f>HYPERLINK("https://android.googlesource.com/platform/cts/+/201ad6d6154b91fb4ae6daf0c231474f10b30f4c", "201ad6d6154b91fb4ae6daf0c231474f10b30f4c")</f>
        <v>0</v>
      </c>
      <c r="D14141" t="s">
        <v>5456</v>
      </c>
      <c r="E14141" t="s">
        <v>8502</v>
      </c>
      <c r="F14141" t="s">
        <v>13846</v>
      </c>
      <c r="G14141" t="s">
        <v>17889</v>
      </c>
      <c r="H14141" t="s">
        <v>32980</v>
      </c>
    </row>
    <row r="14142" spans="1:8">
      <c r="H14142" t="s">
        <v>32982</v>
      </c>
    </row>
    <row r="14143" spans="1:8">
      <c r="F14143" t="s">
        <v>13899</v>
      </c>
      <c r="G14143" t="s">
        <v>17889</v>
      </c>
      <c r="H14143" t="s">
        <v>32980</v>
      </c>
    </row>
    <row r="14144" spans="1:8">
      <c r="A14144" t="s">
        <v>2776</v>
      </c>
      <c r="B14144">
        <f>HYPERLINK("https://android.googlesource.com/platform/cts/+/0caeae2baf969a32e8cafc469170ea4388869767", "0caeae2baf969a32e8cafc469170ea4388869767")</f>
        <v>0</v>
      </c>
      <c r="C14144">
        <f>HYPERLINK("https://android.googlesource.com/platform/cts/+/29b8e9b36d1ebdc9255f0511d18c06d6d65ccc28", "29b8e9b36d1ebdc9255f0511d18c06d6d65ccc28")</f>
        <v>0</v>
      </c>
      <c r="D14144" t="s">
        <v>5448</v>
      </c>
      <c r="E14144" t="s">
        <v>8504</v>
      </c>
      <c r="F14144" t="s">
        <v>14026</v>
      </c>
      <c r="G14144" t="s">
        <v>17766</v>
      </c>
      <c r="H14144" t="s">
        <v>32986</v>
      </c>
    </row>
    <row r="14145" spans="1:8">
      <c r="H14145" t="s">
        <v>32987</v>
      </c>
    </row>
    <row r="14146" spans="1:8">
      <c r="F14146" t="s">
        <v>14027</v>
      </c>
      <c r="G14146" t="s">
        <v>18034</v>
      </c>
      <c r="H14146" t="s">
        <v>29754</v>
      </c>
    </row>
    <row r="14147" spans="1:8">
      <c r="H14147" t="s">
        <v>32990</v>
      </c>
    </row>
    <row r="14148" spans="1:8">
      <c r="A14148" t="s">
        <v>2777</v>
      </c>
      <c r="B14148">
        <f>HYPERLINK("https://android.googlesource.com/platform/cts/+/dc11e35a2483c8ab85b1b5921afa3b0e9d991069", "dc11e35a2483c8ab85b1b5921afa3b0e9d991069")</f>
        <v>0</v>
      </c>
      <c r="C14148">
        <f>HYPERLINK("https://android.googlesource.com/platform/cts/+/ccaa844b42e6918858ea4cbdb7c1831a9c5d6903", "ccaa844b42e6918858ea4cbdb7c1831a9c5d6903")</f>
        <v>0</v>
      </c>
      <c r="D14148" t="s">
        <v>5456</v>
      </c>
      <c r="E14148" t="s">
        <v>8505</v>
      </c>
      <c r="F14148" t="s">
        <v>13846</v>
      </c>
      <c r="G14148" t="s">
        <v>17889</v>
      </c>
      <c r="H14148" t="s">
        <v>32992</v>
      </c>
    </row>
    <row r="14149" spans="1:8">
      <c r="F14149" t="s">
        <v>13899</v>
      </c>
      <c r="G14149" t="s">
        <v>17889</v>
      </c>
      <c r="H14149" t="s">
        <v>32992</v>
      </c>
    </row>
    <row r="14150" spans="1:8">
      <c r="A14150" t="s">
        <v>2782</v>
      </c>
      <c r="B14150">
        <f>HYPERLINK("https://android.googlesource.com/platform/cts/+/e4829313d1cb6928486b39fd7e9244ba95515d67", "e4829313d1cb6928486b39fd7e9244ba95515d67")</f>
        <v>0</v>
      </c>
      <c r="C14150">
        <f>HYPERLINK("https://android.googlesource.com/platform/cts/+/074cbd5c0b442fcb96d330cf70c0428a3ed1e6cc", "074cbd5c0b442fcb96d330cf70c0428a3ed1e6cc")</f>
        <v>0</v>
      </c>
      <c r="D14150" t="s">
        <v>5456</v>
      </c>
      <c r="E14150" t="s">
        <v>8510</v>
      </c>
      <c r="F14150" t="s">
        <v>13846</v>
      </c>
      <c r="G14150" t="s">
        <v>17889</v>
      </c>
      <c r="H14150" t="s">
        <v>32997</v>
      </c>
    </row>
    <row r="14151" spans="1:8">
      <c r="F14151" t="s">
        <v>13899</v>
      </c>
      <c r="G14151" t="s">
        <v>17889</v>
      </c>
      <c r="H14151" t="s">
        <v>32997</v>
      </c>
    </row>
    <row r="14152" spans="1:8">
      <c r="A14152" t="s">
        <v>2784</v>
      </c>
      <c r="B14152">
        <f>HYPERLINK("https://android.googlesource.com/platform/cts/+/41c756a99a6ecd52c1f60e36d7858bef64c2572c", "41c756a99a6ecd52c1f60e36d7858bef64c2572c")</f>
        <v>0</v>
      </c>
      <c r="C14152">
        <f>HYPERLINK("https://android.googlesource.com/platform/cts/+/ae17b48e58f64dbe19d1761d5c40bd3861c61a0f", "ae17b48e58f64dbe19d1761d5c40bd3861c61a0f")</f>
        <v>0</v>
      </c>
      <c r="D14152" t="s">
        <v>5363</v>
      </c>
      <c r="E14152" t="s">
        <v>8511</v>
      </c>
      <c r="F14152" t="s">
        <v>14031</v>
      </c>
      <c r="G14152" t="s">
        <v>18036</v>
      </c>
      <c r="H14152" t="s">
        <v>19013</v>
      </c>
    </row>
    <row r="14153" spans="1:8">
      <c r="F14153" t="s">
        <v>14032</v>
      </c>
      <c r="G14153" t="s">
        <v>18037</v>
      </c>
      <c r="H14153" t="s">
        <v>19013</v>
      </c>
    </row>
    <row r="14154" spans="1:8">
      <c r="A14154" t="s">
        <v>2792</v>
      </c>
      <c r="B14154">
        <f>HYPERLINK("https://android.googlesource.com/platform/cts/+/40621887f3929c82c46735101a43651d127d1421", "40621887f3929c82c46735101a43651d127d1421")</f>
        <v>0</v>
      </c>
      <c r="C14154">
        <f>HYPERLINK("https://android.googlesource.com/platform/cts/+/a34b7f8d89ab991ecf9b628f2c71b9eb37a93b22", "a34b7f8d89ab991ecf9b628f2c71b9eb37a93b22")</f>
        <v>0</v>
      </c>
      <c r="D14154" t="s">
        <v>5108</v>
      </c>
      <c r="E14154" t="s">
        <v>8519</v>
      </c>
      <c r="F14154" t="s">
        <v>12767</v>
      </c>
      <c r="G14154" t="s">
        <v>16955</v>
      </c>
      <c r="H14154" t="s">
        <v>33012</v>
      </c>
    </row>
    <row r="14155" spans="1:8">
      <c r="F14155" t="s">
        <v>13974</v>
      </c>
      <c r="G14155" t="s">
        <v>17999</v>
      </c>
      <c r="H14155" t="s">
        <v>26331</v>
      </c>
    </row>
    <row r="14156" spans="1:8">
      <c r="F14156" t="s">
        <v>14037</v>
      </c>
      <c r="G14156" t="s">
        <v>18040</v>
      </c>
      <c r="H14156" t="s">
        <v>26335</v>
      </c>
    </row>
    <row r="14157" spans="1:8">
      <c r="H14157" t="s">
        <v>26336</v>
      </c>
    </row>
    <row r="14158" spans="1:8">
      <c r="H14158" t="s">
        <v>26337</v>
      </c>
    </row>
    <row r="14159" spans="1:8">
      <c r="H14159" t="s">
        <v>26338</v>
      </c>
    </row>
    <row r="14160" spans="1:8">
      <c r="H14160" t="s">
        <v>26339</v>
      </c>
    </row>
    <row r="14161" spans="1:8">
      <c r="H14161" t="s">
        <v>26340</v>
      </c>
    </row>
    <row r="14162" spans="1:8">
      <c r="H14162" t="s">
        <v>26341</v>
      </c>
    </row>
    <row r="14163" spans="1:8">
      <c r="H14163" t="s">
        <v>26342</v>
      </c>
    </row>
    <row r="14164" spans="1:8">
      <c r="H14164" t="s">
        <v>26343</v>
      </c>
    </row>
    <row r="14165" spans="1:8">
      <c r="H14165" t="s">
        <v>26344</v>
      </c>
    </row>
    <row r="14166" spans="1:8">
      <c r="F14166" t="s">
        <v>14038</v>
      </c>
      <c r="G14166" t="s">
        <v>18041</v>
      </c>
      <c r="H14166" t="s">
        <v>26296</v>
      </c>
    </row>
    <row r="14167" spans="1:8">
      <c r="H14167" t="s">
        <v>33014</v>
      </c>
    </row>
    <row r="14168" spans="1:8">
      <c r="H14168" t="s">
        <v>33015</v>
      </c>
    </row>
    <row r="14169" spans="1:8">
      <c r="F14169" t="s">
        <v>12762</v>
      </c>
      <c r="G14169" t="s">
        <v>16953</v>
      </c>
      <c r="H14169" t="s">
        <v>26331</v>
      </c>
    </row>
    <row r="14170" spans="1:8">
      <c r="H14170" t="s">
        <v>33019</v>
      </c>
    </row>
    <row r="14171" spans="1:8">
      <c r="A14171" t="s">
        <v>2798</v>
      </c>
      <c r="B14171">
        <f>HYPERLINK("https://android.googlesource.com/platform/cts/+/829fa71e109920ea7fdf23372f2c811fab897d80", "829fa71e109920ea7fdf23372f2c811fab897d80")</f>
        <v>0</v>
      </c>
      <c r="C14171">
        <f>HYPERLINK("https://android.googlesource.com/platform/cts/+/a34b7f8d89ab991ecf9b628f2c71b9eb37a93b22", "a34b7f8d89ab991ecf9b628f2c71b9eb37a93b22")</f>
        <v>0</v>
      </c>
      <c r="D14171" t="s">
        <v>5357</v>
      </c>
      <c r="E14171" t="s">
        <v>8525</v>
      </c>
      <c r="F14171" t="s">
        <v>13277</v>
      </c>
      <c r="G14171" t="s">
        <v>17414</v>
      </c>
      <c r="H14171" t="s">
        <v>33024</v>
      </c>
    </row>
    <row r="14172" spans="1:8">
      <c r="H14172" t="s">
        <v>33025</v>
      </c>
    </row>
    <row r="14173" spans="1:8">
      <c r="A14173" t="s">
        <v>2814</v>
      </c>
      <c r="B14173">
        <f>HYPERLINK("https://android.googlesource.com/platform/cts/+/1e1a31e7f0bc67fabb53dc5d9341c7eda190e787", "1e1a31e7f0bc67fabb53dc5d9341c7eda190e787")</f>
        <v>0</v>
      </c>
      <c r="C14173">
        <f>HYPERLINK("https://android.googlesource.com/platform/cts/+/47eafda86a3375a81e2a63b322bd90ecdde092d5", "47eafda86a3375a81e2a63b322bd90ecdde092d5")</f>
        <v>0</v>
      </c>
      <c r="D14173" t="s">
        <v>5288</v>
      </c>
      <c r="E14173" t="s">
        <v>8541</v>
      </c>
      <c r="F14173" t="s">
        <v>13489</v>
      </c>
      <c r="G14173" t="s">
        <v>17608</v>
      </c>
      <c r="H14173" t="s">
        <v>33044</v>
      </c>
    </row>
    <row r="14174" spans="1:8">
      <c r="A14174" t="s">
        <v>2815</v>
      </c>
      <c r="B14174">
        <f>HYPERLINK("https://android.googlesource.com/platform/cts/+/f8b30819712efaa487cad7327476d6b938bec752", "f8b30819712efaa487cad7327476d6b938bec752")</f>
        <v>0</v>
      </c>
      <c r="C14174">
        <f>HYPERLINK("https://android.googlesource.com/platform/cts/+/cc4048d7de8ca59f5d6ab5fe4530b078e5ef46f9", "cc4048d7de8ca59f5d6ab5fe4530b078e5ef46f9")</f>
        <v>0</v>
      </c>
      <c r="D14174" t="s">
        <v>5415</v>
      </c>
      <c r="E14174" t="s">
        <v>8542</v>
      </c>
      <c r="F14174" t="s">
        <v>14043</v>
      </c>
      <c r="G14174" t="s">
        <v>18045</v>
      </c>
      <c r="H14174" t="s">
        <v>26751</v>
      </c>
    </row>
    <row r="14175" spans="1:8">
      <c r="A14175" t="s">
        <v>2816</v>
      </c>
      <c r="B14175">
        <f>HYPERLINK("https://android.googlesource.com/platform/cts/+/9bad31458ed7cb58e2d71278d31523bd3ae74ecd", "9bad31458ed7cb58e2d71278d31523bd3ae74ecd")</f>
        <v>0</v>
      </c>
      <c r="C14175">
        <f>HYPERLINK("https://android.googlesource.com/platform/cts/+/065b522a42a06ae6be08139987de46d7bd90eacd", "065b522a42a06ae6be08139987de46d7bd90eacd")</f>
        <v>0</v>
      </c>
      <c r="D14175" t="s">
        <v>4974</v>
      </c>
      <c r="E14175" t="s">
        <v>8543</v>
      </c>
      <c r="F14175" t="s">
        <v>10778</v>
      </c>
      <c r="G14175" t="s">
        <v>15174</v>
      </c>
      <c r="H14175" t="s">
        <v>33045</v>
      </c>
    </row>
    <row r="14176" spans="1:8">
      <c r="A14176" t="s">
        <v>2817</v>
      </c>
      <c r="B14176">
        <f>HYPERLINK("https://android.googlesource.com/platform/cts/+/b3a63b7b0c18a577b4fcd3f126b1fc38c339ea9b", "b3a63b7b0c18a577b4fcd3f126b1fc38c339ea9b")</f>
        <v>0</v>
      </c>
      <c r="C14176">
        <f>HYPERLINK("https://android.googlesource.com/platform/cts/+/ce86bdf2f644be3fdc9c3b2fb824cea1bc86e2e7", "ce86bdf2f644be3fdc9c3b2fb824cea1bc86e2e7")</f>
        <v>0</v>
      </c>
      <c r="D14176" t="s">
        <v>5293</v>
      </c>
      <c r="E14176" t="s">
        <v>8544</v>
      </c>
      <c r="F14176" t="s">
        <v>13468</v>
      </c>
      <c r="G14176" t="s">
        <v>17587</v>
      </c>
      <c r="H14176" t="s">
        <v>33048</v>
      </c>
    </row>
    <row r="14177" spans="1:8">
      <c r="H14177" t="s">
        <v>33049</v>
      </c>
    </row>
    <row r="14178" spans="1:8">
      <c r="A14178" t="s">
        <v>2824</v>
      </c>
      <c r="B14178">
        <f>HYPERLINK("https://android.googlesource.com/platform/cts/+/079ddf59a66f120524c2a995a3054e40dc1a7ddb", "079ddf59a66f120524c2a995a3054e40dc1a7ddb")</f>
        <v>0</v>
      </c>
      <c r="C14178">
        <f>HYPERLINK("https://android.googlesource.com/platform/cts/+/1df3ed083ed11ef4804e24bdba1f7ce331e5d694", "1df3ed083ed11ef4804e24bdba1f7ce331e5d694")</f>
        <v>0</v>
      </c>
      <c r="D14178" t="s">
        <v>5195</v>
      </c>
      <c r="E14178" t="s">
        <v>8549</v>
      </c>
      <c r="F14178" t="s">
        <v>13888</v>
      </c>
      <c r="G14178" t="s">
        <v>15054</v>
      </c>
      <c r="H14178" t="s">
        <v>33056</v>
      </c>
    </row>
    <row r="14179" spans="1:8">
      <c r="A14179" t="s">
        <v>2828</v>
      </c>
      <c r="B14179">
        <f>HYPERLINK("https://android.googlesource.com/platform/cts/+/97ba1fd294dc10243bab961a86d8797776e3df07", "97ba1fd294dc10243bab961a86d8797776e3df07")</f>
        <v>0</v>
      </c>
      <c r="C14179">
        <f>HYPERLINK("https://android.googlesource.com/platform/cts/+/9b80b4d375bd8413fd6a8a398de2c6f560654f81", "9b80b4d375bd8413fd6a8a398de2c6f560654f81")</f>
        <v>0</v>
      </c>
      <c r="D14179" t="s">
        <v>5347</v>
      </c>
      <c r="E14179" t="s">
        <v>8552</v>
      </c>
      <c r="F14179" t="s">
        <v>10645</v>
      </c>
      <c r="G14179" t="s">
        <v>15046</v>
      </c>
      <c r="H14179" t="s">
        <v>33058</v>
      </c>
    </row>
    <row r="14180" spans="1:8">
      <c r="A14180" t="s">
        <v>2829</v>
      </c>
      <c r="B14180">
        <f>HYPERLINK("https://android.googlesource.com/platform/cts/+/f1d56c965d717710a927c2cad9231d7b1757a1e0", "f1d56c965d717710a927c2cad9231d7b1757a1e0")</f>
        <v>0</v>
      </c>
      <c r="C14180">
        <f>HYPERLINK("https://android.googlesource.com/platform/cts/+/0019895272bf9405e7f99f696fe7bedb1b7c07cb", "0019895272bf9405e7f99f696fe7bedb1b7c07cb")</f>
        <v>0</v>
      </c>
      <c r="D14180" t="s">
        <v>5443</v>
      </c>
      <c r="E14180" t="s">
        <v>8553</v>
      </c>
      <c r="F14180" t="s">
        <v>13716</v>
      </c>
      <c r="G14180" t="s">
        <v>17783</v>
      </c>
      <c r="H14180" t="s">
        <v>33059</v>
      </c>
    </row>
    <row r="14181" spans="1:8">
      <c r="A14181" t="s">
        <v>2830</v>
      </c>
      <c r="B14181">
        <f>HYPERLINK("https://android.googlesource.com/platform/cts/+/b442b5177076b711de4f61c385716fc7f79a02cf", "b442b5177076b711de4f61c385716fc7f79a02cf")</f>
        <v>0</v>
      </c>
      <c r="C14181">
        <f>HYPERLINK("https://android.googlesource.com/platform/cts/+/5d2448c6ecfc797dbdff7ed46ab9b67ace020309", "5d2448c6ecfc797dbdff7ed46ab9b67ace020309")</f>
        <v>0</v>
      </c>
      <c r="D14181" t="s">
        <v>4981</v>
      </c>
      <c r="E14181" t="s">
        <v>8554</v>
      </c>
      <c r="F14181" t="s">
        <v>14046</v>
      </c>
      <c r="G14181" t="s">
        <v>17789</v>
      </c>
      <c r="H14181" t="s">
        <v>33060</v>
      </c>
    </row>
    <row r="14182" spans="1:8">
      <c r="A14182" t="s">
        <v>2833</v>
      </c>
      <c r="B14182">
        <f>HYPERLINK("https://android.googlesource.com/platform/cts/+/7113a5a574bc50b389d7726c51c4808b877d28b5", "7113a5a574bc50b389d7726c51c4808b877d28b5")</f>
        <v>0</v>
      </c>
      <c r="C14182">
        <f>HYPERLINK("https://android.googlesource.com/platform/cts/+/ceab31c36b8b494ca0d289b5c71fd1ca423afd12", "ceab31c36b8b494ca0d289b5c71fd1ca423afd12")</f>
        <v>0</v>
      </c>
      <c r="D14182" t="s">
        <v>5290</v>
      </c>
      <c r="E14182" t="s">
        <v>8557</v>
      </c>
      <c r="F14182" t="s">
        <v>14047</v>
      </c>
      <c r="G14182" t="s">
        <v>18046</v>
      </c>
      <c r="H14182" t="s">
        <v>33065</v>
      </c>
    </row>
    <row r="14183" spans="1:8">
      <c r="H14183" t="s">
        <v>33066</v>
      </c>
    </row>
    <row r="14184" spans="1:8">
      <c r="H14184" t="s">
        <v>33067</v>
      </c>
    </row>
    <row r="14185" spans="1:8">
      <c r="H14185" t="s">
        <v>33068</v>
      </c>
    </row>
    <row r="14186" spans="1:8">
      <c r="F14186" t="s">
        <v>13451</v>
      </c>
      <c r="G14186" t="s">
        <v>17573</v>
      </c>
      <c r="H14186" t="s">
        <v>33066</v>
      </c>
    </row>
    <row r="14187" spans="1:8">
      <c r="H14187" t="s">
        <v>33065</v>
      </c>
    </row>
    <row r="14188" spans="1:8">
      <c r="F14188" t="s">
        <v>14048</v>
      </c>
      <c r="G14188" t="s">
        <v>17363</v>
      </c>
      <c r="H14188" t="s">
        <v>28666</v>
      </c>
    </row>
    <row r="14189" spans="1:8">
      <c r="A14189" t="s">
        <v>2834</v>
      </c>
      <c r="B14189">
        <f>HYPERLINK("https://android.googlesource.com/platform/cts/+/60ff6571a54ada05cd62d9884cf43fda61e75ef0", "60ff6571a54ada05cd62d9884cf43fda61e75ef0")</f>
        <v>0</v>
      </c>
      <c r="C14189">
        <f>HYPERLINK("https://android.googlesource.com/platform/cts/+/20c9e2881d1b191b19456de420ea9772c504168f", "20c9e2881d1b191b19456de420ea9772c504168f")</f>
        <v>0</v>
      </c>
      <c r="D14189" t="s">
        <v>5463</v>
      </c>
      <c r="E14189" t="s">
        <v>8558</v>
      </c>
      <c r="F14189" t="s">
        <v>13348</v>
      </c>
      <c r="G14189" t="s">
        <v>17475</v>
      </c>
      <c r="H14189" t="s">
        <v>33069</v>
      </c>
    </row>
    <row r="14190" spans="1:8">
      <c r="A14190" t="s">
        <v>2837</v>
      </c>
      <c r="B14190">
        <f>HYPERLINK("https://android.googlesource.com/platform/cts/+/0ead14408b373ea9d9b476cf9f5398b415b6272b", "0ead14408b373ea9d9b476cf9f5398b415b6272b")</f>
        <v>0</v>
      </c>
      <c r="C14190">
        <f>HYPERLINK("https://android.googlesource.com/platform/cts/+/5cbeaec84d81e9a65af3556dbf9c443efee6b22e", "5cbeaec84d81e9a65af3556dbf9c443efee6b22e")</f>
        <v>0</v>
      </c>
      <c r="D14190" t="s">
        <v>5307</v>
      </c>
      <c r="E14190" t="s">
        <v>8561</v>
      </c>
      <c r="F14190" t="s">
        <v>14046</v>
      </c>
      <c r="G14190" t="s">
        <v>17789</v>
      </c>
      <c r="H14190" t="s">
        <v>33070</v>
      </c>
    </row>
    <row r="14191" spans="1:8">
      <c r="F14191" t="s">
        <v>14049</v>
      </c>
      <c r="G14191" t="s">
        <v>18047</v>
      </c>
      <c r="H14191" t="s">
        <v>33071</v>
      </c>
    </row>
    <row r="14192" spans="1:8">
      <c r="A14192" t="s">
        <v>2838</v>
      </c>
      <c r="B14192">
        <f>HYPERLINK("https://android.googlesource.com/platform/cts/+/c66463fbc5a450a0d444b927de5844e811dcde33", "c66463fbc5a450a0d444b927de5844e811dcde33")</f>
        <v>0</v>
      </c>
      <c r="C14192">
        <f>HYPERLINK("https://android.googlesource.com/platform/cts/+/d0bad5fb70a6a90c447566db813ebe76ca290d98", "d0bad5fb70a6a90c447566db813ebe76ca290d98")</f>
        <v>0</v>
      </c>
      <c r="D14192" t="s">
        <v>5108</v>
      </c>
      <c r="E14192" t="s">
        <v>8562</v>
      </c>
      <c r="F14192" t="s">
        <v>12394</v>
      </c>
      <c r="G14192" t="s">
        <v>17294</v>
      </c>
      <c r="H14192" t="s">
        <v>28068</v>
      </c>
    </row>
    <row r="14193" spans="1:8">
      <c r="A14193" t="s">
        <v>2840</v>
      </c>
      <c r="B14193">
        <f>HYPERLINK("https://android.googlesource.com/platform/cts/+/129e808f3b114c54af27cad05459443a2e161462", "129e808f3b114c54af27cad05459443a2e161462")</f>
        <v>0</v>
      </c>
      <c r="C14193">
        <f>HYPERLINK("https://android.googlesource.com/platform/cts/+/2bb95ca95e28dbd1c13d2e16ab4b51499a2cb670", "2bb95ca95e28dbd1c13d2e16ab4b51499a2cb670")</f>
        <v>0</v>
      </c>
      <c r="D14193" t="s">
        <v>5464</v>
      </c>
      <c r="E14193" t="s">
        <v>8564</v>
      </c>
      <c r="F14193" t="s">
        <v>14050</v>
      </c>
      <c r="G14193" t="s">
        <v>18049</v>
      </c>
      <c r="H14193" t="s">
        <v>33078</v>
      </c>
    </row>
    <row r="14194" spans="1:8">
      <c r="H14194" t="s">
        <v>33079</v>
      </c>
    </row>
    <row r="14195" spans="1:8">
      <c r="H14195" t="s">
        <v>33080</v>
      </c>
    </row>
    <row r="14196" spans="1:8">
      <c r="A14196" t="s">
        <v>2842</v>
      </c>
      <c r="B14196">
        <f>HYPERLINK("https://android.googlesource.com/platform/cts/+/907e30cf70da2fb28517917ff4df37328e6d4513", "907e30cf70da2fb28517917ff4df37328e6d4513")</f>
        <v>0</v>
      </c>
      <c r="C14196">
        <f>HYPERLINK("https://android.googlesource.com/platform/cts/+/e4cd5172f9636fa35a22932f389159487c68519c", "e4cd5172f9636fa35a22932f389159487c68519c")</f>
        <v>0</v>
      </c>
      <c r="D14196" t="s">
        <v>5465</v>
      </c>
      <c r="E14196" t="s">
        <v>8566</v>
      </c>
      <c r="F14196" t="s">
        <v>13905</v>
      </c>
      <c r="G14196" t="s">
        <v>17942</v>
      </c>
      <c r="H14196" t="s">
        <v>33082</v>
      </c>
    </row>
    <row r="14197" spans="1:8">
      <c r="A14197" t="s">
        <v>2843</v>
      </c>
      <c r="B14197">
        <f>HYPERLINK("https://android.googlesource.com/platform/cts/+/1c539bf510c9aa9fe80eadce3dfac5e88c517bfd", "1c539bf510c9aa9fe80eadce3dfac5e88c517bfd")</f>
        <v>0</v>
      </c>
      <c r="C14197">
        <f>HYPERLINK("https://android.googlesource.com/platform/cts/+/ea3bfafe844e5b9a857e43a4e261427fa4195e4b", "ea3bfafe844e5b9a857e43a4e261427fa4195e4b")</f>
        <v>0</v>
      </c>
      <c r="D14197" t="s">
        <v>5466</v>
      </c>
      <c r="E14197" t="s">
        <v>8567</v>
      </c>
      <c r="F14197" t="s">
        <v>13887</v>
      </c>
      <c r="G14197" t="s">
        <v>17319</v>
      </c>
      <c r="H14197" t="s">
        <v>33085</v>
      </c>
    </row>
    <row r="14198" spans="1:8">
      <c r="A14198" t="s">
        <v>2844</v>
      </c>
      <c r="B14198">
        <f>HYPERLINK("https://android.googlesource.com/platform/cts/+/6ed1c7c08f04eeaa16945dca6e85e12bf91ed76e", "6ed1c7c08f04eeaa16945dca6e85e12bf91ed76e")</f>
        <v>0</v>
      </c>
      <c r="C14198">
        <f>HYPERLINK("https://android.googlesource.com/platform/cts/+/bb983be89b60d7d3fce24ca075a5ccc87afa32b4", "bb983be89b60d7d3fce24ca075a5ccc87afa32b4")</f>
        <v>0</v>
      </c>
      <c r="D14198" t="s">
        <v>5374</v>
      </c>
      <c r="E14198" t="s">
        <v>8568</v>
      </c>
      <c r="F14198" t="s">
        <v>13165</v>
      </c>
      <c r="G14198" t="s">
        <v>17315</v>
      </c>
      <c r="H14198" t="s">
        <v>33090</v>
      </c>
    </row>
    <row r="14199" spans="1:8">
      <c r="H14199" t="s">
        <v>32378</v>
      </c>
    </row>
    <row r="14200" spans="1:8">
      <c r="A14200" t="s">
        <v>2850</v>
      </c>
      <c r="B14200">
        <f>HYPERLINK("https://android.googlesource.com/platform/cts/+/a0fb8d04c0ba11434d911e230e07346ea730ff81", "a0fb8d04c0ba11434d911e230e07346ea730ff81")</f>
        <v>0</v>
      </c>
      <c r="C14200">
        <f>HYPERLINK("https://android.googlesource.com/platform/cts/+/28474f6a61348d5017b7d2f0e9f23396d2e3bbf9", "28474f6a61348d5017b7d2f0e9f23396d2e3bbf9")</f>
        <v>0</v>
      </c>
      <c r="D14200" t="s">
        <v>5272</v>
      </c>
      <c r="E14200" t="s">
        <v>8574</v>
      </c>
      <c r="F14200" t="s">
        <v>10625</v>
      </c>
      <c r="G14200" t="s">
        <v>15028</v>
      </c>
      <c r="H14200" t="s">
        <v>33104</v>
      </c>
    </row>
    <row r="14201" spans="1:8">
      <c r="H14201" t="s">
        <v>33105</v>
      </c>
    </row>
    <row r="14202" spans="1:8">
      <c r="H14202" t="s">
        <v>33106</v>
      </c>
    </row>
    <row r="14203" spans="1:8">
      <c r="H14203" t="s">
        <v>33107</v>
      </c>
    </row>
    <row r="14204" spans="1:8">
      <c r="H14204" t="s">
        <v>33108</v>
      </c>
    </row>
    <row r="14205" spans="1:8">
      <c r="A14205" t="s">
        <v>2851</v>
      </c>
      <c r="B14205">
        <f>HYPERLINK("https://android.googlesource.com/platform/cts/+/12e6aedb65150ece64c6228fb492a8b1908ee0a0", "12e6aedb65150ece64c6228fb492a8b1908ee0a0")</f>
        <v>0</v>
      </c>
      <c r="C14205">
        <f>HYPERLINK("https://android.googlesource.com/platform/cts/+/96b7bac3c10df6fd38d9fcd674b270c8bc153498", "96b7bac3c10df6fd38d9fcd674b270c8bc153498")</f>
        <v>0</v>
      </c>
      <c r="D14205" t="s">
        <v>5469</v>
      </c>
      <c r="E14205" t="s">
        <v>8575</v>
      </c>
      <c r="F14205" t="s">
        <v>13834</v>
      </c>
      <c r="G14205" t="s">
        <v>17877</v>
      </c>
      <c r="H14205" t="s">
        <v>31768</v>
      </c>
    </row>
    <row r="14206" spans="1:8">
      <c r="A14206" t="s">
        <v>2857</v>
      </c>
      <c r="B14206">
        <f>HYPERLINK("https://android.googlesource.com/platform/cts/+/a1703bb6ff4eb189447d3abd106d249aaa9327de", "a1703bb6ff4eb189447d3abd106d249aaa9327de")</f>
        <v>0</v>
      </c>
      <c r="C14206">
        <f>HYPERLINK("https://android.googlesource.com/platform/cts/+/098707012c87e1f02871ebf1dd162002383a281d", "098707012c87e1f02871ebf1dd162002383a281d")</f>
        <v>0</v>
      </c>
      <c r="D14206" t="s">
        <v>5470</v>
      </c>
      <c r="E14206" t="s">
        <v>8580</v>
      </c>
      <c r="F14206" t="s">
        <v>13220</v>
      </c>
      <c r="G14206" t="s">
        <v>17361</v>
      </c>
      <c r="H14206" t="s">
        <v>33118</v>
      </c>
    </row>
    <row r="14207" spans="1:8">
      <c r="A14207" t="s">
        <v>2858</v>
      </c>
      <c r="B14207">
        <f>HYPERLINK("https://android.googlesource.com/platform/cts/+/f324654eb885e1c0477b2b9e4538d659b72eae4e", "f324654eb885e1c0477b2b9e4538d659b72eae4e")</f>
        <v>0</v>
      </c>
      <c r="C14207">
        <f>HYPERLINK("https://android.googlesource.com/platform/cts/+/1e840292ac51d2ebc761bf7050dbef985277f0ca", "1e840292ac51d2ebc761bf7050dbef985277f0ca")</f>
        <v>0</v>
      </c>
      <c r="D14207" t="s">
        <v>5290</v>
      </c>
      <c r="E14207" t="s">
        <v>8581</v>
      </c>
      <c r="F14207" t="s">
        <v>14055</v>
      </c>
      <c r="G14207" t="s">
        <v>17339</v>
      </c>
      <c r="H14207" t="s">
        <v>33119</v>
      </c>
    </row>
    <row r="14208" spans="1:8">
      <c r="H14208" t="s">
        <v>33120</v>
      </c>
    </row>
    <row r="14209" spans="6:8">
      <c r="H14209" t="s">
        <v>33121</v>
      </c>
    </row>
    <row r="14210" spans="6:8">
      <c r="H14210" t="s">
        <v>33122</v>
      </c>
    </row>
    <row r="14211" spans="6:8">
      <c r="H14211" t="s">
        <v>33123</v>
      </c>
    </row>
    <row r="14212" spans="6:8">
      <c r="F14212" t="s">
        <v>14056</v>
      </c>
      <c r="G14212" t="s">
        <v>18054</v>
      </c>
      <c r="H14212" t="s">
        <v>33124</v>
      </c>
    </row>
    <row r="14213" spans="6:8">
      <c r="F14213" t="s">
        <v>14048</v>
      </c>
      <c r="G14213" t="s">
        <v>17363</v>
      </c>
      <c r="H14213" t="s">
        <v>28661</v>
      </c>
    </row>
    <row r="14214" spans="6:8">
      <c r="H14214" t="s">
        <v>28662</v>
      </c>
    </row>
    <row r="14215" spans="6:8">
      <c r="H14215" t="s">
        <v>33126</v>
      </c>
    </row>
    <row r="14216" spans="6:8">
      <c r="H14216" t="s">
        <v>33127</v>
      </c>
    </row>
    <row r="14217" spans="6:8">
      <c r="H14217" t="s">
        <v>33128</v>
      </c>
    </row>
    <row r="14218" spans="6:8">
      <c r="H14218" t="s">
        <v>28667</v>
      </c>
    </row>
    <row r="14219" spans="6:8">
      <c r="H14219" t="s">
        <v>28668</v>
      </c>
    </row>
    <row r="14220" spans="6:8">
      <c r="H14220" t="s">
        <v>28497</v>
      </c>
    </row>
    <row r="14221" spans="6:8">
      <c r="H14221" t="s">
        <v>33121</v>
      </c>
    </row>
    <row r="14222" spans="6:8">
      <c r="H14222" t="s">
        <v>33122</v>
      </c>
    </row>
    <row r="14223" spans="6:8">
      <c r="H14223" t="s">
        <v>33123</v>
      </c>
    </row>
    <row r="14224" spans="6:8">
      <c r="F14224" t="s">
        <v>13664</v>
      </c>
      <c r="G14224" t="s">
        <v>17575</v>
      </c>
      <c r="H14224" t="s">
        <v>33131</v>
      </c>
    </row>
    <row r="14225" spans="1:8">
      <c r="H14225" t="s">
        <v>33132</v>
      </c>
    </row>
    <row r="14226" spans="1:8">
      <c r="A14226" t="s">
        <v>2859</v>
      </c>
      <c r="B14226">
        <f>HYPERLINK("https://android.googlesource.com/platform/cts/+/319577bfface1d3db77673161dd1fc2fb749cf5f", "319577bfface1d3db77673161dd1fc2fb749cf5f")</f>
        <v>0</v>
      </c>
      <c r="C14226">
        <f>HYPERLINK("https://android.googlesource.com/platform/cts/+/9cc0586921a9d7e6edb4f413892776dd06822962", "9cc0586921a9d7e6edb4f413892776dd06822962")</f>
        <v>0</v>
      </c>
      <c r="D14226" t="s">
        <v>5374</v>
      </c>
      <c r="E14226" t="s">
        <v>8582</v>
      </c>
      <c r="F14226" t="s">
        <v>12733</v>
      </c>
      <c r="G14226" t="s">
        <v>16854</v>
      </c>
      <c r="H14226" t="s">
        <v>33134</v>
      </c>
    </row>
    <row r="14227" spans="1:8">
      <c r="A14227" t="s">
        <v>2861</v>
      </c>
      <c r="B14227">
        <f>HYPERLINK("https://android.googlesource.com/platform/cts/+/3d575e04cd9d937002d3ce6911debbf801fef7a8", "3d575e04cd9d937002d3ce6911debbf801fef7a8")</f>
        <v>0</v>
      </c>
      <c r="C14227">
        <f>HYPERLINK("https://android.googlesource.com/platform/cts/+/e72e33fb685e502f5deaa43cfec8d8130dff1fb6", "e72e33fb685e502f5deaa43cfec8d8130dff1fb6")</f>
        <v>0</v>
      </c>
      <c r="D14227" t="s">
        <v>4973</v>
      </c>
      <c r="E14227" t="s">
        <v>8584</v>
      </c>
      <c r="F14227" t="s">
        <v>13811</v>
      </c>
      <c r="G14227" t="s">
        <v>17858</v>
      </c>
      <c r="H14227" t="s">
        <v>31689</v>
      </c>
    </row>
    <row r="14228" spans="1:8">
      <c r="F14228" t="s">
        <v>14059</v>
      </c>
      <c r="G14228" t="s">
        <v>18057</v>
      </c>
      <c r="H14228" t="s">
        <v>33136</v>
      </c>
    </row>
    <row r="14229" spans="1:8">
      <c r="A14229" t="s">
        <v>2867</v>
      </c>
      <c r="B14229">
        <f>HYPERLINK("https://android.googlesource.com/platform/cts/+/769cf27900a1c6e1124b56d17adb0e1327694daa", "769cf27900a1c6e1124b56d17adb0e1327694daa")</f>
        <v>0</v>
      </c>
      <c r="C14229">
        <f>HYPERLINK("https://android.googlesource.com/platform/cts/+/4e9de76f5f4ae1aa22dcd8c89ce9d540044e85a8", "4e9de76f5f4ae1aa22dcd8c89ce9d540044e85a8")</f>
        <v>0</v>
      </c>
      <c r="D14229" t="s">
        <v>5293</v>
      </c>
      <c r="E14229" t="s">
        <v>8590</v>
      </c>
      <c r="F14229" t="s">
        <v>14060</v>
      </c>
      <c r="G14229" t="s">
        <v>18058</v>
      </c>
      <c r="H14229" t="s">
        <v>33141</v>
      </c>
    </row>
    <row r="14230" spans="1:8">
      <c r="A14230" t="s">
        <v>2868</v>
      </c>
      <c r="B14230">
        <f>HYPERLINK("https://android.googlesource.com/platform/cts/+/d6def2942307eb21103ef337daa3d8937cda95d1", "d6def2942307eb21103ef337daa3d8937cda95d1")</f>
        <v>0</v>
      </c>
      <c r="C14230">
        <f>HYPERLINK("https://android.googlesource.com/platform/cts/+/0b99f1a1994ea34bea1d97e84d332c8eba35a94c", "0b99f1a1994ea34bea1d97e84d332c8eba35a94c")</f>
        <v>0</v>
      </c>
      <c r="D14230" t="s">
        <v>4931</v>
      </c>
      <c r="E14230" t="s">
        <v>8591</v>
      </c>
      <c r="F14230" t="s">
        <v>12569</v>
      </c>
      <c r="G14230" t="s">
        <v>16785</v>
      </c>
      <c r="H14230" t="s">
        <v>33142</v>
      </c>
    </row>
    <row r="14231" spans="1:8">
      <c r="A14231" t="s">
        <v>2874</v>
      </c>
      <c r="B14231">
        <f>HYPERLINK("https://android.googlesource.com/platform/cts/+/6eb3ae715717928ec29de7704998d3af3d9332c1", "6eb3ae715717928ec29de7704998d3af3d9332c1")</f>
        <v>0</v>
      </c>
      <c r="C14231">
        <f>HYPERLINK("https://android.googlesource.com/platform/cts/+/8bc34ca8c9db7ff1cc30184067b36e92e3541176", "8bc34ca8c9db7ff1cc30184067b36e92e3541176")</f>
        <v>0</v>
      </c>
      <c r="D14231" t="s">
        <v>5244</v>
      </c>
      <c r="E14231" t="s">
        <v>8597</v>
      </c>
      <c r="F14231" t="s">
        <v>14065</v>
      </c>
      <c r="G14231" t="s">
        <v>18063</v>
      </c>
      <c r="H14231" t="s">
        <v>33154</v>
      </c>
    </row>
    <row r="14232" spans="1:8">
      <c r="A14232" t="s">
        <v>2875</v>
      </c>
      <c r="B14232">
        <f>HYPERLINK("https://android.googlesource.com/platform/cts/+/ebdf7fcfbc405932525bd0b5fc5ba5eeebb1b953", "ebdf7fcfbc405932525bd0b5fc5ba5eeebb1b953")</f>
        <v>0</v>
      </c>
      <c r="C14232">
        <f>HYPERLINK("https://android.googlesource.com/platform/cts/+/2fb3ed9386d70f0616da751eadae2823b02d4121", "2fb3ed9386d70f0616da751eadae2823b02d4121")</f>
        <v>0</v>
      </c>
      <c r="D14232" t="s">
        <v>5473</v>
      </c>
      <c r="E14232" t="s">
        <v>8598</v>
      </c>
      <c r="F14232" t="s">
        <v>13724</v>
      </c>
      <c r="G14232" t="s">
        <v>17580</v>
      </c>
      <c r="H14232" t="s">
        <v>33155</v>
      </c>
    </row>
    <row r="14233" spans="1:8">
      <c r="A14233" t="s">
        <v>2876</v>
      </c>
      <c r="B14233">
        <f>HYPERLINK("https://android.googlesource.com/platform/cts/+/dd89d32571ea347ad4fbab5bb8c7f2b7d5cec040", "dd89d32571ea347ad4fbab5bb8c7f2b7d5cec040")</f>
        <v>0</v>
      </c>
      <c r="C14233">
        <f>HYPERLINK("https://android.googlesource.com/platform/cts/+/3760f759907e3b137837e3b9fa8f2c86cc202292", "3760f759907e3b137837e3b9fa8f2c86cc202292")</f>
        <v>0</v>
      </c>
      <c r="D14233" t="s">
        <v>5112</v>
      </c>
      <c r="E14233" t="s">
        <v>8599</v>
      </c>
      <c r="F14233" t="s">
        <v>14066</v>
      </c>
      <c r="G14233" t="s">
        <v>18064</v>
      </c>
      <c r="H14233" t="s">
        <v>33156</v>
      </c>
    </row>
    <row r="14234" spans="1:8">
      <c r="A14234" t="s">
        <v>2882</v>
      </c>
      <c r="B14234">
        <f>HYPERLINK("https://android.googlesource.com/platform/cts/+/fae0789252ad9c1c770258256025b6988467bd5d", "fae0789252ad9c1c770258256025b6988467bd5d")</f>
        <v>0</v>
      </c>
      <c r="C14234">
        <f>HYPERLINK("https://android.googlesource.com/platform/cts/+/f0595df22523474b3186b180994e4de2aebfcd77", "f0595df22523474b3186b180994e4de2aebfcd77")</f>
        <v>0</v>
      </c>
      <c r="D14234" t="s">
        <v>5108</v>
      </c>
      <c r="E14234" t="s">
        <v>8605</v>
      </c>
      <c r="F14234" t="s">
        <v>12629</v>
      </c>
      <c r="G14234" t="s">
        <v>16838</v>
      </c>
      <c r="H14234" t="s">
        <v>33166</v>
      </c>
    </row>
    <row r="14235" spans="1:8">
      <c r="A14235" t="s">
        <v>2884</v>
      </c>
      <c r="B14235">
        <f>HYPERLINK("https://android.googlesource.com/platform/cts/+/e0dae6becd8b6b28335328b33f42d94bd2ca936d", "e0dae6becd8b6b28335328b33f42d94bd2ca936d")</f>
        <v>0</v>
      </c>
      <c r="C14235">
        <f>HYPERLINK("https://android.googlesource.com/platform/cts/+/177ace16233f77340e025dba9d7db9a33d384cc5", "177ace16233f77340e025dba9d7db9a33d384cc5")</f>
        <v>0</v>
      </c>
      <c r="D14235" t="s">
        <v>5293</v>
      </c>
      <c r="E14235" t="s">
        <v>8607</v>
      </c>
      <c r="F14235" t="s">
        <v>13249</v>
      </c>
      <c r="G14235" t="s">
        <v>17389</v>
      </c>
      <c r="H14235" t="s">
        <v>33174</v>
      </c>
    </row>
    <row r="14236" spans="1:8">
      <c r="A14236" t="s">
        <v>2886</v>
      </c>
      <c r="B14236">
        <f>HYPERLINK("https://android.googlesource.com/platform/cts/+/54caf9c435735cb654b74119cb44fe706e9bf515", "54caf9c435735cb654b74119cb44fe706e9bf515")</f>
        <v>0</v>
      </c>
      <c r="C14236">
        <f>HYPERLINK("https://android.googlesource.com/platform/cts/+/8248d9f7aee17faf44928fc894fb80a6ac3cc91c", "8248d9f7aee17faf44928fc894fb80a6ac3cc91c")</f>
        <v>0</v>
      </c>
      <c r="D14236" t="s">
        <v>5148</v>
      </c>
      <c r="E14236" t="s">
        <v>8609</v>
      </c>
      <c r="F14236" t="s">
        <v>14070</v>
      </c>
      <c r="G14236" t="s">
        <v>18068</v>
      </c>
      <c r="H14236" t="s">
        <v>33186</v>
      </c>
    </row>
    <row r="14237" spans="1:8">
      <c r="H14237" t="s">
        <v>33187</v>
      </c>
    </row>
    <row r="14238" spans="1:8">
      <c r="F14238" t="s">
        <v>14071</v>
      </c>
      <c r="G14238" t="s">
        <v>18069</v>
      </c>
      <c r="H14238" t="s">
        <v>33188</v>
      </c>
    </row>
    <row r="14239" spans="1:8">
      <c r="H14239" t="s">
        <v>33189</v>
      </c>
    </row>
    <row r="14240" spans="1:8">
      <c r="H14240" t="s">
        <v>33190</v>
      </c>
    </row>
    <row r="14241" spans="1:8">
      <c r="H14241" t="s">
        <v>33191</v>
      </c>
    </row>
    <row r="14242" spans="1:8">
      <c r="H14242" t="s">
        <v>33192</v>
      </c>
    </row>
    <row r="14243" spans="1:8">
      <c r="F14243" t="s">
        <v>14072</v>
      </c>
      <c r="G14243" t="s">
        <v>18070</v>
      </c>
      <c r="H14243" t="s">
        <v>33196</v>
      </c>
    </row>
    <row r="14244" spans="1:8">
      <c r="H14244" t="s">
        <v>33197</v>
      </c>
    </row>
    <row r="14245" spans="1:8">
      <c r="F14245" t="s">
        <v>14073</v>
      </c>
      <c r="G14245" t="s">
        <v>18071</v>
      </c>
      <c r="H14245" t="s">
        <v>33199</v>
      </c>
    </row>
    <row r="14246" spans="1:8">
      <c r="A14246" t="s">
        <v>2889</v>
      </c>
      <c r="B14246">
        <f>HYPERLINK("https://android.googlesource.com/platform/cts/+/527e059d203a45d5939b340b8cb6b118de9ac64b", "527e059d203a45d5939b340b8cb6b118de9ac64b")</f>
        <v>0</v>
      </c>
      <c r="C14246">
        <f>HYPERLINK("https://android.googlesource.com/platform/cts/+/e2d84f914161c116e357a01cc754a60297adcea6", "e2d84f914161c116e357a01cc754a60297adcea6")</f>
        <v>0</v>
      </c>
      <c r="D14246" t="s">
        <v>5475</v>
      </c>
      <c r="E14246" t="s">
        <v>8612</v>
      </c>
      <c r="F14246" t="s">
        <v>14074</v>
      </c>
      <c r="G14246" t="s">
        <v>18072</v>
      </c>
      <c r="H14246" t="s">
        <v>33214</v>
      </c>
    </row>
    <row r="14247" spans="1:8">
      <c r="A14247" t="s">
        <v>2890</v>
      </c>
      <c r="B14247">
        <f>HYPERLINK("https://android.googlesource.com/platform/cts/+/0e59e1013f480419b40afb2ecad36fa32ef72e56", "0e59e1013f480419b40afb2ecad36fa32ef72e56")</f>
        <v>0</v>
      </c>
      <c r="C14247">
        <f>HYPERLINK("https://android.googlesource.com/platform/cts/+/c630863a03e215f4d6751c7bdc101367b6733a32", "c630863a03e215f4d6751c7bdc101367b6733a32")</f>
        <v>0</v>
      </c>
      <c r="D14247" t="s">
        <v>5435</v>
      </c>
      <c r="E14247" t="s">
        <v>8613</v>
      </c>
      <c r="F14247" t="s">
        <v>12710</v>
      </c>
      <c r="G14247" t="s">
        <v>16911</v>
      </c>
      <c r="H14247" t="s">
        <v>33215</v>
      </c>
    </row>
    <row r="14248" spans="1:8">
      <c r="A14248" t="s">
        <v>2892</v>
      </c>
      <c r="B14248">
        <f>HYPERLINK("https://android.googlesource.com/platform/cts/+/675172470197009d6b935f5ca564b9c66365ade8", "675172470197009d6b935f5ca564b9c66365ade8")</f>
        <v>0</v>
      </c>
      <c r="C14248">
        <f>HYPERLINK("https://android.googlesource.com/platform/cts/+/270f9c3ec0d43ccfc037e86f946a5fe5b669914a", "270f9c3ec0d43ccfc037e86f946a5fe5b669914a")</f>
        <v>0</v>
      </c>
      <c r="D14248" t="s">
        <v>5476</v>
      </c>
      <c r="E14248" t="s">
        <v>8615</v>
      </c>
      <c r="F14248" t="s">
        <v>14076</v>
      </c>
      <c r="G14248" t="s">
        <v>18074</v>
      </c>
      <c r="H14248" t="s">
        <v>33217</v>
      </c>
    </row>
    <row r="14249" spans="1:8">
      <c r="A14249" t="s">
        <v>2897</v>
      </c>
      <c r="B14249">
        <f>HYPERLINK("https://android.googlesource.com/platform/cts/+/d9aef5b83621bf1831624fb7d91f8e59f0e4bf33", "d9aef5b83621bf1831624fb7d91f8e59f0e4bf33")</f>
        <v>0</v>
      </c>
      <c r="C14249">
        <f>HYPERLINK("https://android.googlesource.com/platform/cts/+/c630863a03e215f4d6751c7bdc101367b6733a32", "c630863a03e215f4d6751c7bdc101367b6733a32")</f>
        <v>0</v>
      </c>
      <c r="D14249" t="s">
        <v>5435</v>
      </c>
      <c r="E14249" t="s">
        <v>8620</v>
      </c>
      <c r="F14249" t="s">
        <v>12710</v>
      </c>
      <c r="G14249" t="s">
        <v>16911</v>
      </c>
      <c r="H14249" t="s">
        <v>33221</v>
      </c>
    </row>
    <row r="14250" spans="1:8">
      <c r="A14250" t="s">
        <v>2901</v>
      </c>
      <c r="B14250">
        <f>HYPERLINK("https://android.googlesource.com/platform/cts/+/02438ec41001d781686c00b1a3562aaaf3deadfb", "02438ec41001d781686c00b1a3562aaaf3deadfb")</f>
        <v>0</v>
      </c>
      <c r="C14250">
        <f>HYPERLINK("https://android.googlesource.com/platform/cts/+/6b11b07da971d2f1164b6306f4e215d774318abf", "6b11b07da971d2f1164b6306f4e215d774318abf")</f>
        <v>0</v>
      </c>
      <c r="D14250" t="s">
        <v>5180</v>
      </c>
      <c r="E14250" t="s">
        <v>8624</v>
      </c>
      <c r="F14250" t="s">
        <v>14078</v>
      </c>
      <c r="G14250" t="s">
        <v>18076</v>
      </c>
      <c r="H14250" t="s">
        <v>33224</v>
      </c>
    </row>
    <row r="14251" spans="1:8">
      <c r="H14251" t="s">
        <v>33225</v>
      </c>
    </row>
    <row r="14252" spans="1:8">
      <c r="H14252" t="s">
        <v>33226</v>
      </c>
    </row>
    <row r="14253" spans="1:8">
      <c r="H14253" t="s">
        <v>33227</v>
      </c>
    </row>
    <row r="14254" spans="1:8">
      <c r="H14254" t="s">
        <v>33228</v>
      </c>
    </row>
    <row r="14255" spans="1:8">
      <c r="H14255" t="s">
        <v>33229</v>
      </c>
    </row>
    <row r="14256" spans="1:8">
      <c r="H14256" t="s">
        <v>33230</v>
      </c>
    </row>
    <row r="14257" spans="1:8">
      <c r="H14257" t="s">
        <v>33231</v>
      </c>
    </row>
    <row r="14258" spans="1:8">
      <c r="A14258" t="s">
        <v>2902</v>
      </c>
      <c r="B14258">
        <f>HYPERLINK("https://android.googlesource.com/platform/cts/+/85dd96c68efb9cfd37ec2d747d832213d89cd520", "85dd96c68efb9cfd37ec2d747d832213d89cd520")</f>
        <v>0</v>
      </c>
      <c r="C14258">
        <f>HYPERLINK("https://android.googlesource.com/platform/cts/+/cbee36fd9f7b4a37f211869edcaa29768d71ca57", "cbee36fd9f7b4a37f211869edcaa29768d71ca57")</f>
        <v>0</v>
      </c>
      <c r="D14258" t="s">
        <v>5296</v>
      </c>
      <c r="E14258" t="s">
        <v>8625</v>
      </c>
      <c r="F14258" t="s">
        <v>14079</v>
      </c>
      <c r="G14258" t="s">
        <v>15084</v>
      </c>
      <c r="H14258" t="s">
        <v>33242</v>
      </c>
    </row>
    <row r="14259" spans="1:8">
      <c r="A14259" t="s">
        <v>2904</v>
      </c>
      <c r="B14259">
        <f>HYPERLINK("https://android.googlesource.com/platform/cts/+/ca6733ac413674e291bed44b9303514fd0d797d8", "ca6733ac413674e291bed44b9303514fd0d797d8")</f>
        <v>0</v>
      </c>
      <c r="C14259">
        <f>HYPERLINK("https://android.googlesource.com/platform/cts/+/6b11b07da971d2f1164b6306f4e215d774318abf", "6b11b07da971d2f1164b6306f4e215d774318abf")</f>
        <v>0</v>
      </c>
      <c r="D14259" t="s">
        <v>5042</v>
      </c>
      <c r="E14259" t="s">
        <v>8627</v>
      </c>
      <c r="F14259" t="s">
        <v>14080</v>
      </c>
      <c r="G14259" t="s">
        <v>18077</v>
      </c>
      <c r="H14259" t="s">
        <v>33246</v>
      </c>
    </row>
    <row r="14260" spans="1:8">
      <c r="A14260" t="s">
        <v>2906</v>
      </c>
      <c r="B14260">
        <f>HYPERLINK("https://android.googlesource.com/platform/cts/+/edad9239f1fd407c86d799b3450d16c8a42b8e53", "edad9239f1fd407c86d799b3450d16c8a42b8e53")</f>
        <v>0</v>
      </c>
      <c r="C14260">
        <f>HYPERLINK("https://android.googlesource.com/platform/cts/+/26aecb49bfb88c417d3fd7758598f489fe4d42a1", "26aecb49bfb88c417d3fd7758598f489fe4d42a1")</f>
        <v>0</v>
      </c>
      <c r="D14260" t="s">
        <v>5478</v>
      </c>
      <c r="E14260" t="s">
        <v>8629</v>
      </c>
      <c r="F14260" t="s">
        <v>12227</v>
      </c>
      <c r="G14260" t="s">
        <v>16457</v>
      </c>
      <c r="H14260" t="s">
        <v>33250</v>
      </c>
    </row>
    <row r="14261" spans="1:8">
      <c r="A14261" t="s">
        <v>2910</v>
      </c>
      <c r="B14261">
        <f>HYPERLINK("https://android.googlesource.com/platform/cts/+/3a4108e7cccd1d648de6ede25b190fd634164da6", "3a4108e7cccd1d648de6ede25b190fd634164da6")</f>
        <v>0</v>
      </c>
      <c r="C14261">
        <f>HYPERLINK("https://android.googlesource.com/platform/cts/+/84fbda84945556e04bda78cfe58014a5ce718209", "84fbda84945556e04bda78cfe58014a5ce718209")</f>
        <v>0</v>
      </c>
      <c r="D14261" t="s">
        <v>5180</v>
      </c>
      <c r="E14261" t="s">
        <v>8633</v>
      </c>
      <c r="F14261" t="s">
        <v>14081</v>
      </c>
      <c r="G14261" t="s">
        <v>18078</v>
      </c>
      <c r="H14261" t="s">
        <v>33262</v>
      </c>
    </row>
    <row r="14262" spans="1:8">
      <c r="H14262" t="s">
        <v>33263</v>
      </c>
    </row>
    <row r="14263" spans="1:8">
      <c r="A14263" t="s">
        <v>2914</v>
      </c>
      <c r="B14263">
        <f>HYPERLINK("https://android.googlesource.com/platform/cts/+/0778505b25c01e972f3a2be4352f9fefe6f1125d", "0778505b25c01e972f3a2be4352f9fefe6f1125d")</f>
        <v>0</v>
      </c>
      <c r="C14263">
        <f>HYPERLINK("https://android.googlesource.com/platform/cts/+/eb384fc0879fe57791f97dde5505b06c917be3fe", "eb384fc0879fe57791f97dde5505b06c917be3fe")</f>
        <v>0</v>
      </c>
      <c r="D14263" t="s">
        <v>5042</v>
      </c>
      <c r="E14263" t="s">
        <v>8637</v>
      </c>
      <c r="F14263" t="s">
        <v>12319</v>
      </c>
      <c r="G14263" t="s">
        <v>16549</v>
      </c>
      <c r="H14263" t="s">
        <v>33271</v>
      </c>
    </row>
    <row r="14264" spans="1:8">
      <c r="H14264" t="s">
        <v>33272</v>
      </c>
    </row>
    <row r="14265" spans="1:8">
      <c r="H14265" t="s">
        <v>33273</v>
      </c>
    </row>
    <row r="14266" spans="1:8">
      <c r="H14266" t="s">
        <v>33274</v>
      </c>
    </row>
    <row r="14267" spans="1:8">
      <c r="H14267" t="s">
        <v>33275</v>
      </c>
    </row>
    <row r="14268" spans="1:8">
      <c r="H14268" t="s">
        <v>33276</v>
      </c>
    </row>
    <row r="14269" spans="1:8">
      <c r="H14269" t="s">
        <v>33277</v>
      </c>
    </row>
    <row r="14270" spans="1:8">
      <c r="H14270" t="s">
        <v>33278</v>
      </c>
    </row>
    <row r="14271" spans="1:8">
      <c r="H14271" t="s">
        <v>33279</v>
      </c>
    </row>
    <row r="14272" spans="1:8">
      <c r="H14272" t="s">
        <v>33280</v>
      </c>
    </row>
    <row r="14273" spans="1:8">
      <c r="H14273" t="s">
        <v>33281</v>
      </c>
    </row>
    <row r="14274" spans="1:8">
      <c r="H14274" t="s">
        <v>33282</v>
      </c>
    </row>
    <row r="14275" spans="1:8">
      <c r="H14275" t="s">
        <v>33283</v>
      </c>
    </row>
    <row r="14276" spans="1:8">
      <c r="H14276" t="s">
        <v>33284</v>
      </c>
    </row>
    <row r="14277" spans="1:8">
      <c r="H14277" t="s">
        <v>33285</v>
      </c>
    </row>
    <row r="14278" spans="1:8">
      <c r="H14278" t="s">
        <v>33286</v>
      </c>
    </row>
    <row r="14279" spans="1:8">
      <c r="H14279" t="s">
        <v>33287</v>
      </c>
    </row>
    <row r="14280" spans="1:8">
      <c r="H14280" t="s">
        <v>33288</v>
      </c>
    </row>
    <row r="14281" spans="1:8">
      <c r="H14281" t="s">
        <v>33289</v>
      </c>
    </row>
    <row r="14282" spans="1:8">
      <c r="H14282" t="s">
        <v>33290</v>
      </c>
    </row>
    <row r="14283" spans="1:8">
      <c r="A14283" t="s">
        <v>2916</v>
      </c>
      <c r="B14283">
        <f>HYPERLINK("https://android.googlesource.com/platform/cts/+/2844d78ce5e82bcb5752a248fac15925117a5894", "2844d78ce5e82bcb5752a248fac15925117a5894")</f>
        <v>0</v>
      </c>
      <c r="C14283">
        <f>HYPERLINK("https://android.googlesource.com/platform/cts/+/6287fd1e561993b4fe8e74b0b232a86ae1899c00", "6287fd1e561993b4fe8e74b0b232a86ae1899c00")</f>
        <v>0</v>
      </c>
      <c r="D14283" t="s">
        <v>5240</v>
      </c>
      <c r="E14283" t="s">
        <v>8639</v>
      </c>
      <c r="F14283" t="s">
        <v>14085</v>
      </c>
      <c r="G14283" t="s">
        <v>18081</v>
      </c>
      <c r="H14283" t="s">
        <v>33343</v>
      </c>
    </row>
    <row r="14284" spans="1:8">
      <c r="A14284" t="s">
        <v>2917</v>
      </c>
      <c r="B14284">
        <f>HYPERLINK("https://android.googlesource.com/platform/cts/+/feffaaa6972f16c64f0657f572a23b7689ea9aaa", "feffaaa6972f16c64f0657f572a23b7689ea9aaa")</f>
        <v>0</v>
      </c>
      <c r="C14284">
        <f>HYPERLINK("https://android.googlesource.com/platform/cts/+/2844d78ce5e82bcb5752a248fac15925117a5894", "2844d78ce5e82bcb5752a248fac15925117a5894")</f>
        <v>0</v>
      </c>
      <c r="D14284" t="s">
        <v>5240</v>
      </c>
      <c r="E14284" t="s">
        <v>8640</v>
      </c>
      <c r="F14284" t="s">
        <v>14085</v>
      </c>
      <c r="G14284" t="s">
        <v>18081</v>
      </c>
      <c r="H14284" t="s">
        <v>33344</v>
      </c>
    </row>
    <row r="14285" spans="1:8">
      <c r="A14285" t="s">
        <v>2918</v>
      </c>
      <c r="B14285">
        <f>HYPERLINK("https://android.googlesource.com/platform/cts/+/b1a907ebb9b7a1063f1c3377bc3182286c65b5de", "b1a907ebb9b7a1063f1c3377bc3182286c65b5de")</f>
        <v>0</v>
      </c>
      <c r="C14285">
        <f>HYPERLINK("https://android.googlesource.com/platform/cts/+/04d920d475744600250cc8d5f899251c3235eb8c", "04d920d475744600250cc8d5f899251c3235eb8c")</f>
        <v>0</v>
      </c>
      <c r="D14285" t="s">
        <v>5240</v>
      </c>
      <c r="E14285" t="s">
        <v>8641</v>
      </c>
      <c r="F14285" t="s">
        <v>14085</v>
      </c>
      <c r="G14285" t="s">
        <v>18081</v>
      </c>
      <c r="H14285" t="s">
        <v>33343</v>
      </c>
    </row>
    <row r="14286" spans="1:8">
      <c r="A14286" t="s">
        <v>2919</v>
      </c>
      <c r="B14286">
        <f>HYPERLINK("https://android.googlesource.com/platform/cts/+/f37afc38ccd380beb8a6f68c00204818aa499e24", "f37afc38ccd380beb8a6f68c00204818aa499e24")</f>
        <v>0</v>
      </c>
      <c r="C14286">
        <f>HYPERLINK("https://android.googlesource.com/platform/cts/+/b1a907ebb9b7a1063f1c3377bc3182286c65b5de", "b1a907ebb9b7a1063f1c3377bc3182286c65b5de")</f>
        <v>0</v>
      </c>
      <c r="D14286" t="s">
        <v>5240</v>
      </c>
      <c r="E14286" t="s">
        <v>8642</v>
      </c>
      <c r="F14286" t="s">
        <v>14085</v>
      </c>
      <c r="G14286" t="s">
        <v>18081</v>
      </c>
      <c r="H14286" t="s">
        <v>33344</v>
      </c>
    </row>
    <row r="14287" spans="1:8">
      <c r="A14287" t="s">
        <v>2920</v>
      </c>
      <c r="B14287">
        <f>HYPERLINK("https://android.googlesource.com/platform/cts/+/d548c2ffaeb5164a55900a6e3686cf8e12b68294", "d548c2ffaeb5164a55900a6e3686cf8e12b68294")</f>
        <v>0</v>
      </c>
      <c r="C14287">
        <f>HYPERLINK("https://android.googlesource.com/platform/cts/+/79171cc7aa8d4fe981dc8e1c4f8daf39c8e4fe51", "79171cc7aa8d4fe981dc8e1c4f8daf39c8e4fe51")</f>
        <v>0</v>
      </c>
      <c r="D14287" t="s">
        <v>5447</v>
      </c>
      <c r="E14287" t="s">
        <v>8643</v>
      </c>
      <c r="F14287" t="s">
        <v>14086</v>
      </c>
      <c r="G14287" t="s">
        <v>18082</v>
      </c>
      <c r="H14287" t="s">
        <v>33347</v>
      </c>
    </row>
    <row r="14288" spans="1:8">
      <c r="H14288" t="s">
        <v>33348</v>
      </c>
    </row>
    <row r="14289" spans="1:8">
      <c r="H14289" t="s">
        <v>33349</v>
      </c>
    </row>
    <row r="14290" spans="1:8">
      <c r="H14290" t="s">
        <v>33350</v>
      </c>
    </row>
    <row r="14291" spans="1:8">
      <c r="A14291" t="s">
        <v>2922</v>
      </c>
      <c r="B14291">
        <f>HYPERLINK("https://android.googlesource.com/platform/cts/+/259cece4f0507187806ad0e406a68e8c8901c3a8", "259cece4f0507187806ad0e406a68e8c8901c3a8")</f>
        <v>0</v>
      </c>
      <c r="C14291">
        <f>HYPERLINK("https://android.googlesource.com/platform/cts/+/b33d82bf9ec2391538986a92175d89e8e1c484bf", "b33d82bf9ec2391538986a92175d89e8e1c484bf")</f>
        <v>0</v>
      </c>
      <c r="D14291" t="s">
        <v>5478</v>
      </c>
      <c r="E14291" t="s">
        <v>8645</v>
      </c>
      <c r="F14291" t="s">
        <v>12166</v>
      </c>
      <c r="G14291" t="s">
        <v>16406</v>
      </c>
      <c r="H14291" t="s">
        <v>33358</v>
      </c>
    </row>
    <row r="14292" spans="1:8">
      <c r="H14292" t="s">
        <v>33359</v>
      </c>
    </row>
    <row r="14293" spans="1:8">
      <c r="A14293" t="s">
        <v>2923</v>
      </c>
      <c r="B14293">
        <f>HYPERLINK("https://android.googlesource.com/platform/cts/+/c37e6af210acd4c4e6f96b078cfebf5341130ad4", "c37e6af210acd4c4e6f96b078cfebf5341130ad4")</f>
        <v>0</v>
      </c>
      <c r="C14293">
        <f>HYPERLINK("https://android.googlesource.com/platform/cts/+/b33d82bf9ec2391538986a92175d89e8e1c484bf", "b33d82bf9ec2391538986a92175d89e8e1c484bf")</f>
        <v>0</v>
      </c>
      <c r="D14293" t="s">
        <v>5478</v>
      </c>
      <c r="E14293" t="s">
        <v>8646</v>
      </c>
      <c r="F14293" t="s">
        <v>14089</v>
      </c>
      <c r="G14293" t="s">
        <v>18083</v>
      </c>
      <c r="H14293" t="s">
        <v>33360</v>
      </c>
    </row>
    <row r="14294" spans="1:8">
      <c r="F14294" t="s">
        <v>14090</v>
      </c>
      <c r="G14294" t="s">
        <v>18084</v>
      </c>
      <c r="H14294" t="s">
        <v>33361</v>
      </c>
    </row>
    <row r="14295" spans="1:8">
      <c r="H14295" t="s">
        <v>33362</v>
      </c>
    </row>
    <row r="14296" spans="1:8">
      <c r="A14296" t="s">
        <v>2924</v>
      </c>
      <c r="B14296">
        <f>HYPERLINK("https://android.googlesource.com/platform/cts/+/8e95d5425443b2cae4fdeebdedd9d691f1883bf1", "8e95d5425443b2cae4fdeebdedd9d691f1883bf1")</f>
        <v>0</v>
      </c>
      <c r="C14296">
        <f>HYPERLINK("https://android.googlesource.com/platform/cts/+/b4a946ad1dc885282d578face728f4321e80ca23", "b4a946ad1dc885282d578face728f4321e80ca23")</f>
        <v>0</v>
      </c>
      <c r="D14296" t="s">
        <v>5122</v>
      </c>
      <c r="E14296" t="s">
        <v>8647</v>
      </c>
      <c r="F14296" t="s">
        <v>14091</v>
      </c>
      <c r="G14296" t="s">
        <v>17434</v>
      </c>
      <c r="H14296" t="s">
        <v>33363</v>
      </c>
    </row>
    <row r="14297" spans="1:8">
      <c r="A14297" t="s">
        <v>2927</v>
      </c>
      <c r="B14297">
        <f>HYPERLINK("https://android.googlesource.com/platform/cts/+/ab20fd90d03d5a788dc2b3d1f2a8612a80f90cf7", "ab20fd90d03d5a788dc2b3d1f2a8612a80f90cf7")</f>
        <v>0</v>
      </c>
      <c r="C14297">
        <f>HYPERLINK("https://android.googlesource.com/platform/cts/+/50b5446d9eb1a1eab2dc96392ad9a78dcec22dde", "50b5446d9eb1a1eab2dc96392ad9a78dcec22dde")</f>
        <v>0</v>
      </c>
      <c r="D14297" t="s">
        <v>5242</v>
      </c>
      <c r="E14297" t="s">
        <v>8650</v>
      </c>
      <c r="F14297" t="s">
        <v>13992</v>
      </c>
      <c r="G14297" t="s">
        <v>16620</v>
      </c>
      <c r="H14297" t="s">
        <v>33367</v>
      </c>
    </row>
    <row r="14298" spans="1:8">
      <c r="H14298" t="s">
        <v>33368</v>
      </c>
    </row>
    <row r="14299" spans="1:8">
      <c r="H14299" t="s">
        <v>33369</v>
      </c>
    </row>
    <row r="14300" spans="1:8">
      <c r="A14300" t="s">
        <v>2930</v>
      </c>
      <c r="B14300">
        <f>HYPERLINK("https://android.googlesource.com/platform/cts/+/ef0c2b9a077883f17b5c2390b7db37d25b73f735", "ef0c2b9a077883f17b5c2390b7db37d25b73f735")</f>
        <v>0</v>
      </c>
      <c r="C14300">
        <f>HYPERLINK("https://android.googlesource.com/platform/cts/+/d5730f64bbcbedf104ba69c108f4cb3aee945ba1", "d5730f64bbcbedf104ba69c108f4cb3aee945ba1")</f>
        <v>0</v>
      </c>
      <c r="D14300" t="s">
        <v>5290</v>
      </c>
      <c r="E14300" t="s">
        <v>8653</v>
      </c>
      <c r="F14300" t="s">
        <v>13815</v>
      </c>
      <c r="G14300" t="s">
        <v>17862</v>
      </c>
      <c r="H14300" t="s">
        <v>33375</v>
      </c>
    </row>
    <row r="14301" spans="1:8">
      <c r="F14301" t="s">
        <v>12743</v>
      </c>
      <c r="G14301" t="s">
        <v>16935</v>
      </c>
      <c r="H14301" t="s">
        <v>33377</v>
      </c>
    </row>
    <row r="14302" spans="1:8">
      <c r="A14302" t="s">
        <v>2932</v>
      </c>
      <c r="B14302">
        <f>HYPERLINK("https://android.googlesource.com/platform/cts/+/5e66c6e4dbdf532961c5a407eed5960a4fe2bd92", "5e66c6e4dbdf532961c5a407eed5960a4fe2bd92")</f>
        <v>0</v>
      </c>
      <c r="C14302">
        <f>HYPERLINK("https://android.googlesource.com/platform/cts/+/289ff4ab29a264d8291744a0f950b2828e5dd9d5", "289ff4ab29a264d8291744a0f950b2828e5dd9d5")</f>
        <v>0</v>
      </c>
      <c r="D14302" t="s">
        <v>5472</v>
      </c>
      <c r="E14302" t="s">
        <v>8655</v>
      </c>
      <c r="F14302" t="s">
        <v>14094</v>
      </c>
      <c r="G14302" t="s">
        <v>18087</v>
      </c>
      <c r="H14302" t="s">
        <v>33380</v>
      </c>
    </row>
    <row r="14303" spans="1:8">
      <c r="A14303" t="s">
        <v>2934</v>
      </c>
      <c r="B14303">
        <f>HYPERLINK("https://android.googlesource.com/platform/cts/+/b24bbd5b2145d658fb5ba48f3815ffc4de5d5209", "b24bbd5b2145d658fb5ba48f3815ffc4de5d5209")</f>
        <v>0</v>
      </c>
      <c r="C14303">
        <f>HYPERLINK("https://android.googlesource.com/platform/cts/+/d4d523686429f0bbe2484d8d24652f671c53f310", "d4d523686429f0bbe2484d8d24652f671c53f310")</f>
        <v>0</v>
      </c>
      <c r="D14303" t="s">
        <v>5240</v>
      </c>
      <c r="E14303" t="s">
        <v>8657</v>
      </c>
      <c r="F14303" t="s">
        <v>13671</v>
      </c>
      <c r="G14303" t="s">
        <v>17743</v>
      </c>
      <c r="H14303" t="s">
        <v>33384</v>
      </c>
    </row>
    <row r="14304" spans="1:8">
      <c r="H14304" t="s">
        <v>33385</v>
      </c>
    </row>
    <row r="14305" spans="1:8">
      <c r="H14305" t="s">
        <v>33386</v>
      </c>
    </row>
    <row r="14306" spans="1:8">
      <c r="H14306" t="s">
        <v>33387</v>
      </c>
    </row>
    <row r="14307" spans="1:8">
      <c r="H14307" t="s">
        <v>33388</v>
      </c>
    </row>
    <row r="14308" spans="1:8">
      <c r="H14308" t="s">
        <v>33389</v>
      </c>
    </row>
    <row r="14309" spans="1:8">
      <c r="H14309" t="s">
        <v>33390</v>
      </c>
    </row>
    <row r="14310" spans="1:8">
      <c r="A14310" t="s">
        <v>2935</v>
      </c>
      <c r="B14310">
        <f>HYPERLINK("https://android.googlesource.com/platform/cts/+/8b68f3d8ec44b131c9ddc99ad04f1e9ee2a3aa9a", "8b68f3d8ec44b131c9ddc99ad04f1e9ee2a3aa9a")</f>
        <v>0</v>
      </c>
      <c r="C14310">
        <f>HYPERLINK("https://android.googlesource.com/platform/cts/+/b24bbd5b2145d658fb5ba48f3815ffc4de5d5209", "b24bbd5b2145d658fb5ba48f3815ffc4de5d5209")</f>
        <v>0</v>
      </c>
      <c r="D14310" t="s">
        <v>5240</v>
      </c>
      <c r="E14310" t="s">
        <v>8658</v>
      </c>
      <c r="F14310" t="s">
        <v>14096</v>
      </c>
      <c r="G14310" t="s">
        <v>18089</v>
      </c>
      <c r="H14310" t="s">
        <v>33394</v>
      </c>
    </row>
    <row r="14311" spans="1:8">
      <c r="H14311" t="s">
        <v>33395</v>
      </c>
    </row>
    <row r="14312" spans="1:8">
      <c r="A14312" t="s">
        <v>2936</v>
      </c>
      <c r="B14312">
        <f>HYPERLINK("https://android.googlesource.com/platform/cts/+/b08673c860b5d606b94c56519686eca44e396323", "b08673c860b5d606b94c56519686eca44e396323")</f>
        <v>0</v>
      </c>
      <c r="C14312">
        <f>HYPERLINK("https://android.googlesource.com/platform/cts/+/f6273f59c5cab98bdc17d6657d38d76500432244", "f6273f59c5cab98bdc17d6657d38d76500432244")</f>
        <v>0</v>
      </c>
      <c r="D14312" t="s">
        <v>4974</v>
      </c>
      <c r="E14312" t="s">
        <v>8659</v>
      </c>
      <c r="F14312" t="s">
        <v>12710</v>
      </c>
      <c r="G14312" t="s">
        <v>16911</v>
      </c>
      <c r="H14312" t="s">
        <v>33397</v>
      </c>
    </row>
    <row r="14313" spans="1:8">
      <c r="A14313" t="s">
        <v>2939</v>
      </c>
      <c r="B14313">
        <f>HYPERLINK("https://android.googlesource.com/platform/cts/+/eefa272dae568708e4bec411af705975a40e5e30", "eefa272dae568708e4bec411af705975a40e5e30")</f>
        <v>0</v>
      </c>
      <c r="C14313">
        <f>HYPERLINK("https://android.googlesource.com/platform/cts/+/6be026441473468658fe33367e1cfea99432be4b", "6be026441473468658fe33367e1cfea99432be4b")</f>
        <v>0</v>
      </c>
      <c r="D14313" t="s">
        <v>5240</v>
      </c>
      <c r="E14313" t="s">
        <v>8662</v>
      </c>
      <c r="F14313" t="s">
        <v>13671</v>
      </c>
      <c r="G14313" t="s">
        <v>17743</v>
      </c>
      <c r="H14313" t="s">
        <v>33384</v>
      </c>
    </row>
    <row r="14314" spans="1:8">
      <c r="H14314" t="s">
        <v>33385</v>
      </c>
    </row>
    <row r="14315" spans="1:8">
      <c r="H14315" t="s">
        <v>33386</v>
      </c>
    </row>
    <row r="14316" spans="1:8">
      <c r="H14316" t="s">
        <v>33387</v>
      </c>
    </row>
    <row r="14317" spans="1:8">
      <c r="H14317" t="s">
        <v>33388</v>
      </c>
    </row>
    <row r="14318" spans="1:8">
      <c r="H14318" t="s">
        <v>33389</v>
      </c>
    </row>
    <row r="14319" spans="1:8">
      <c r="H14319" t="s">
        <v>33390</v>
      </c>
    </row>
    <row r="14320" spans="1:8">
      <c r="A14320" t="s">
        <v>2940</v>
      </c>
      <c r="B14320">
        <f>HYPERLINK("https://android.googlesource.com/platform/cts/+/017b729f5700e2bf607ab356021118d9a241984c", "017b729f5700e2bf607ab356021118d9a241984c")</f>
        <v>0</v>
      </c>
      <c r="C14320">
        <f>HYPERLINK("https://android.googlesource.com/platform/cts/+/d6830da127772478ec2feeb562d9f4a26d7fe0f5", "d6830da127772478ec2feeb562d9f4a26d7fe0f5")</f>
        <v>0</v>
      </c>
      <c r="D14320" t="s">
        <v>5417</v>
      </c>
      <c r="E14320" t="s">
        <v>8663</v>
      </c>
      <c r="F14320" t="s">
        <v>14097</v>
      </c>
      <c r="G14320" t="s">
        <v>18090</v>
      </c>
      <c r="H14320" t="s">
        <v>33400</v>
      </c>
    </row>
    <row r="14321" spans="1:8">
      <c r="F14321" t="s">
        <v>14098</v>
      </c>
      <c r="G14321" t="s">
        <v>18091</v>
      </c>
      <c r="H14321" t="s">
        <v>19013</v>
      </c>
    </row>
    <row r="14322" spans="1:8">
      <c r="H14322" t="s">
        <v>18835</v>
      </c>
    </row>
    <row r="14323" spans="1:8">
      <c r="H14323" t="s">
        <v>33404</v>
      </c>
    </row>
    <row r="14324" spans="1:8">
      <c r="F14324" t="s">
        <v>14033</v>
      </c>
      <c r="G14324" t="s">
        <v>18030</v>
      </c>
      <c r="H14324" t="s">
        <v>33407</v>
      </c>
    </row>
    <row r="14325" spans="1:8">
      <c r="A14325" t="s">
        <v>2952</v>
      </c>
      <c r="B14325">
        <f>HYPERLINK("https://android.googlesource.com/platform/cts/+/62d18834ab13a1bc7961c96629b229a0e9f92c66", "62d18834ab13a1bc7961c96629b229a0e9f92c66")</f>
        <v>0</v>
      </c>
      <c r="C14325">
        <f>HYPERLINK("https://android.googlesource.com/platform/cts/+/9765deeb315ec9aa36eb0c0a4a5918e3334e4f72", "9765deeb315ec9aa36eb0c0a4a5918e3334e4f72")</f>
        <v>0</v>
      </c>
      <c r="D14325" t="s">
        <v>5478</v>
      </c>
      <c r="E14325" t="s">
        <v>8674</v>
      </c>
      <c r="F14325" t="s">
        <v>14103</v>
      </c>
      <c r="G14325" t="s">
        <v>18096</v>
      </c>
      <c r="H14325" t="s">
        <v>33457</v>
      </c>
    </row>
    <row r="14326" spans="1:8">
      <c r="F14326" t="s">
        <v>14104</v>
      </c>
      <c r="G14326" t="s">
        <v>18097</v>
      </c>
      <c r="H14326" t="s">
        <v>33457</v>
      </c>
    </row>
    <row r="14327" spans="1:8">
      <c r="F14327" t="s">
        <v>14105</v>
      </c>
      <c r="G14327" t="s">
        <v>18098</v>
      </c>
      <c r="H14327" t="s">
        <v>33457</v>
      </c>
    </row>
    <row r="14328" spans="1:8">
      <c r="A14328" t="s">
        <v>2954</v>
      </c>
      <c r="B14328">
        <f>HYPERLINK("https://android.googlesource.com/platform/cts/+/dc839870f59061496be9802300e66571a24b5f36", "dc839870f59061496be9802300e66571a24b5f36")</f>
        <v>0</v>
      </c>
      <c r="C14328">
        <f>HYPERLINK("https://android.googlesource.com/platform/cts/+/4c8c74ec344f9954e39141f1652074e12ab9db96", "4c8c74ec344f9954e39141f1652074e12ab9db96")</f>
        <v>0</v>
      </c>
      <c r="D14328" t="s">
        <v>5483</v>
      </c>
      <c r="E14328" t="s">
        <v>8676</v>
      </c>
      <c r="F14328" t="s">
        <v>14109</v>
      </c>
      <c r="G14328" t="s">
        <v>18102</v>
      </c>
      <c r="H14328" t="s">
        <v>33463</v>
      </c>
    </row>
    <row r="14329" spans="1:8">
      <c r="A14329" t="s">
        <v>2955</v>
      </c>
      <c r="B14329">
        <f>HYPERLINK("https://android.googlesource.com/platform/cts/+/98f45dc43ca07e9148c8d0347a0c184cefef58c2", "98f45dc43ca07e9148c8d0347a0c184cefef58c2")</f>
        <v>0</v>
      </c>
      <c r="C14329">
        <f>HYPERLINK("https://android.googlesource.com/platform/cts/+/98d64ba9b3747aadf9f9fda4bd68f83bc1dc40ff", "98d64ba9b3747aadf9f9fda4bd68f83bc1dc40ff")</f>
        <v>0</v>
      </c>
      <c r="D14329" t="s">
        <v>5484</v>
      </c>
      <c r="E14329" t="s">
        <v>8677</v>
      </c>
      <c r="F14329" t="s">
        <v>14113</v>
      </c>
      <c r="G14329" t="s">
        <v>18106</v>
      </c>
      <c r="H14329" t="s">
        <v>33465</v>
      </c>
    </row>
    <row r="14330" spans="1:8">
      <c r="H14330" t="s">
        <v>33466</v>
      </c>
    </row>
    <row r="14331" spans="1:8">
      <c r="H14331" t="s">
        <v>33467</v>
      </c>
    </row>
    <row r="14332" spans="1:8">
      <c r="A14332" t="s">
        <v>2956</v>
      </c>
      <c r="B14332">
        <f>HYPERLINK("https://android.googlesource.com/platform/cts/+/d1e678a508bfd277817b96de954347a6b0ed9cc2", "d1e678a508bfd277817b96de954347a6b0ed9cc2")</f>
        <v>0</v>
      </c>
      <c r="C14332">
        <f>HYPERLINK("https://android.googlesource.com/platform/cts/+/6d91d96d725faa054b623a0ec9ab1bcbed91dfba", "6d91d96d725faa054b623a0ec9ab1bcbed91dfba")</f>
        <v>0</v>
      </c>
      <c r="D14332" t="s">
        <v>5485</v>
      </c>
      <c r="E14332" t="s">
        <v>8678</v>
      </c>
      <c r="F14332" t="s">
        <v>14081</v>
      </c>
      <c r="G14332" t="s">
        <v>18078</v>
      </c>
      <c r="H14332" t="s">
        <v>33470</v>
      </c>
    </row>
    <row r="14333" spans="1:8">
      <c r="H14333" t="s">
        <v>33471</v>
      </c>
    </row>
    <row r="14334" spans="1:8">
      <c r="A14334" t="s">
        <v>2959</v>
      </c>
      <c r="B14334">
        <f>HYPERLINK("https://android.googlesource.com/platform/cts/+/1e43b6cce2f2ef858ff629ef4257ef63806f282b", "1e43b6cce2f2ef858ff629ef4257ef63806f282b")</f>
        <v>0</v>
      </c>
      <c r="C14334">
        <f>HYPERLINK("https://android.googlesource.com/platform/cts/+/9712816484bf3d3d0a1fb04e92d7b71fe3a13b99", "9712816484bf3d3d0a1fb04e92d7b71fe3a13b99")</f>
        <v>0</v>
      </c>
      <c r="D14334" t="s">
        <v>5486</v>
      </c>
      <c r="E14334" t="s">
        <v>8681</v>
      </c>
      <c r="F14334" t="s">
        <v>13722</v>
      </c>
      <c r="G14334" t="s">
        <v>17580</v>
      </c>
      <c r="H14334" t="s">
        <v>33482</v>
      </c>
    </row>
    <row r="14335" spans="1:8">
      <c r="F14335" t="s">
        <v>14116</v>
      </c>
      <c r="G14335" t="s">
        <v>17580</v>
      </c>
      <c r="H14335" t="s">
        <v>33482</v>
      </c>
    </row>
    <row r="14336" spans="1:8">
      <c r="F14336" t="s">
        <v>13723</v>
      </c>
      <c r="G14336" t="s">
        <v>17580</v>
      </c>
      <c r="H14336" t="s">
        <v>33482</v>
      </c>
    </row>
    <row r="14337" spans="1:8">
      <c r="A14337" t="s">
        <v>2962</v>
      </c>
      <c r="B14337">
        <f>HYPERLINK("https://android.googlesource.com/platform/cts/+/4b581c65323408e72fbf9f792f18c55f1b649cbd", "4b581c65323408e72fbf9f792f18c55f1b649cbd")</f>
        <v>0</v>
      </c>
      <c r="C14337">
        <f>HYPERLINK("https://android.googlesource.com/platform/cts/+/90339eda3754d3911490d3803017d47a5f878201", "90339eda3754d3911490d3803017d47a5f878201")</f>
        <v>0</v>
      </c>
      <c r="D14337" t="s">
        <v>5487</v>
      </c>
      <c r="E14337" t="s">
        <v>8684</v>
      </c>
      <c r="F14337" t="s">
        <v>14118</v>
      </c>
      <c r="G14337" t="s">
        <v>18110</v>
      </c>
      <c r="H14337" t="s">
        <v>33486</v>
      </c>
    </row>
    <row r="14338" spans="1:8">
      <c r="A14338" t="s">
        <v>2965</v>
      </c>
      <c r="B14338">
        <f>HYPERLINK("https://android.googlesource.com/platform/cts/+/f0e4bb61a298b6053848c6c3ac9827e303dc89a2", "f0e4bb61a298b6053848c6c3ac9827e303dc89a2")</f>
        <v>0</v>
      </c>
      <c r="C14338">
        <f>HYPERLINK("https://android.googlesource.com/platform/cts/+/67e157a2005c36f0b507dc97ae571274cb9d605e", "67e157a2005c36f0b507dc97ae571274cb9d605e")</f>
        <v>0</v>
      </c>
      <c r="D14338" t="s">
        <v>5363</v>
      </c>
      <c r="E14338" t="s">
        <v>8687</v>
      </c>
      <c r="F14338" t="s">
        <v>14120</v>
      </c>
      <c r="G14338" t="s">
        <v>18111</v>
      </c>
      <c r="H14338" t="s">
        <v>33487</v>
      </c>
    </row>
    <row r="14339" spans="1:8">
      <c r="F14339" t="s">
        <v>12629</v>
      </c>
      <c r="G14339" t="s">
        <v>16838</v>
      </c>
      <c r="H14339" t="s">
        <v>33490</v>
      </c>
    </row>
    <row r="14340" spans="1:8">
      <c r="F14340" t="s">
        <v>12768</v>
      </c>
      <c r="G14340" t="s">
        <v>15710</v>
      </c>
      <c r="H14340" t="s">
        <v>33491</v>
      </c>
    </row>
    <row r="14341" spans="1:8">
      <c r="A14341" t="s">
        <v>2971</v>
      </c>
      <c r="B14341">
        <f>HYPERLINK("https://android.googlesource.com/platform/cts/+/71a57b7c6c8abec55c2b287d690dc93f68db5c7f", "71a57b7c6c8abec55c2b287d690dc93f68db5c7f")</f>
        <v>0</v>
      </c>
      <c r="C14341">
        <f>HYPERLINK("https://android.googlesource.com/platform/cts/+/25588b01bb0ecd945bdbe786c94f9504d905bbaf", "25588b01bb0ecd945bdbe786c94f9504d905bbaf")</f>
        <v>0</v>
      </c>
      <c r="D14341" t="s">
        <v>5481</v>
      </c>
      <c r="E14341" t="s">
        <v>8693</v>
      </c>
      <c r="F14341" t="s">
        <v>14124</v>
      </c>
      <c r="G14341" t="s">
        <v>18114</v>
      </c>
      <c r="H14341" t="s">
        <v>25959</v>
      </c>
    </row>
    <row r="14342" spans="1:8">
      <c r="A14342" t="s">
        <v>2973</v>
      </c>
      <c r="B14342">
        <f>HYPERLINK("https://android.googlesource.com/platform/cts/+/4c367c7abf65bf844bce8ecb65275636e35887f8", "4c367c7abf65bf844bce8ecb65275636e35887f8")</f>
        <v>0</v>
      </c>
      <c r="C14342">
        <f>HYPERLINK("https://android.googlesource.com/platform/cts/+/1d4f251412ebf449fb42221e6d3c7153523efb5c", "1d4f251412ebf449fb42221e6d3c7153523efb5c")</f>
        <v>0</v>
      </c>
      <c r="D14342" t="s">
        <v>5490</v>
      </c>
      <c r="E14342" t="s">
        <v>8695</v>
      </c>
      <c r="F14342" t="s">
        <v>13963</v>
      </c>
      <c r="G14342" t="s">
        <v>16440</v>
      </c>
      <c r="H14342" t="s">
        <v>33505</v>
      </c>
    </row>
    <row r="14343" spans="1:8">
      <c r="H14343" t="s">
        <v>33506</v>
      </c>
    </row>
    <row r="14344" spans="1:8">
      <c r="A14344" t="s">
        <v>2975</v>
      </c>
      <c r="B14344">
        <f>HYPERLINK("https://android.googlesource.com/platform/cts/+/2a735485806d9a21180e8df0a7a561b4487f2700", "2a735485806d9a21180e8df0a7a561b4487f2700")</f>
        <v>0</v>
      </c>
      <c r="C14344">
        <f>HYPERLINK("https://android.googlesource.com/platform/cts/+/20e40673e104f1b78355b5b0b0fd1a46a8b9f208", "20e40673e104f1b78355b5b0b0fd1a46a8b9f208")</f>
        <v>0</v>
      </c>
      <c r="D14344" t="s">
        <v>5463</v>
      </c>
      <c r="E14344" t="s">
        <v>8697</v>
      </c>
      <c r="F14344" t="s">
        <v>14125</v>
      </c>
      <c r="G14344" t="s">
        <v>18115</v>
      </c>
      <c r="H14344" t="s">
        <v>33507</v>
      </c>
    </row>
    <row r="14345" spans="1:8">
      <c r="H14345" t="s">
        <v>33508</v>
      </c>
    </row>
    <row r="14346" spans="1:8">
      <c r="H14346" t="s">
        <v>33509</v>
      </c>
    </row>
    <row r="14347" spans="1:8">
      <c r="A14347" t="s">
        <v>2977</v>
      </c>
      <c r="B14347">
        <f>HYPERLINK("https://android.googlesource.com/platform/cts/+/723aeefad279f4f9013b3e3153c3f85b7d56a67a", "723aeefad279f4f9013b3e3153c3f85b7d56a67a")</f>
        <v>0</v>
      </c>
      <c r="C14347">
        <f>HYPERLINK("https://android.googlesource.com/platform/cts/+/0fb562077c998f1fa90b0e3be5436bb122bf9b3c", "0fb562077c998f1fa90b0e3be5436bb122bf9b3c")</f>
        <v>0</v>
      </c>
      <c r="D14347" t="s">
        <v>5476</v>
      </c>
      <c r="E14347" t="s">
        <v>8699</v>
      </c>
      <c r="F14347" t="s">
        <v>14076</v>
      </c>
      <c r="G14347" t="s">
        <v>18074</v>
      </c>
      <c r="H14347" t="s">
        <v>33154</v>
      </c>
    </row>
    <row r="14348" spans="1:8">
      <c r="H14348" t="s">
        <v>33512</v>
      </c>
    </row>
    <row r="14349" spans="1:8">
      <c r="H14349" t="s">
        <v>33513</v>
      </c>
    </row>
    <row r="14350" spans="1:8">
      <c r="A14350" t="s">
        <v>2978</v>
      </c>
      <c r="B14350">
        <f>HYPERLINK("https://android.googlesource.com/platform/cts/+/74c2210ef071f2d4158e5e5acccb51102fb392c4", "74c2210ef071f2d4158e5e5acccb51102fb392c4")</f>
        <v>0</v>
      </c>
      <c r="C14350">
        <f>HYPERLINK("https://android.googlesource.com/platform/cts/+/89c79f0513e51b2173748bb449fa4d80eb3f6545", "89c79f0513e51b2173748bb449fa4d80eb3f6545")</f>
        <v>0</v>
      </c>
      <c r="D14350" t="s">
        <v>5360</v>
      </c>
      <c r="E14350" t="s">
        <v>8700</v>
      </c>
      <c r="F14350" t="s">
        <v>14126</v>
      </c>
      <c r="G14350" t="s">
        <v>18116</v>
      </c>
      <c r="H14350" t="s">
        <v>33514</v>
      </c>
    </row>
    <row r="14351" spans="1:8">
      <c r="H14351" t="s">
        <v>33515</v>
      </c>
    </row>
    <row r="14352" spans="1:8">
      <c r="H14352" t="s">
        <v>33516</v>
      </c>
    </row>
    <row r="14353" spans="1:8">
      <c r="H14353" t="s">
        <v>33517</v>
      </c>
    </row>
    <row r="14354" spans="1:8">
      <c r="A14354" t="s">
        <v>2983</v>
      </c>
      <c r="B14354">
        <f>HYPERLINK("https://android.googlesource.com/platform/cts/+/78bdfc83733db1b4e0f5dd8a3e1f9a6190a0dc45", "78bdfc83733db1b4e0f5dd8a3e1f9a6190a0dc45")</f>
        <v>0</v>
      </c>
      <c r="C14354">
        <f>HYPERLINK("https://android.googlesource.com/platform/cts/+/b4c535f5c12d68c2b56717a8b2f94753f6def9ac", "b4c535f5c12d68c2b56717a8b2f94753f6def9ac")</f>
        <v>0</v>
      </c>
      <c r="D14354" t="s">
        <v>5492</v>
      </c>
      <c r="E14354" t="s">
        <v>8705</v>
      </c>
      <c r="F14354" t="s">
        <v>13816</v>
      </c>
      <c r="G14354" t="s">
        <v>15089</v>
      </c>
      <c r="H14354" t="s">
        <v>33519</v>
      </c>
    </row>
    <row r="14355" spans="1:8">
      <c r="A14355" t="s">
        <v>2990</v>
      </c>
      <c r="B14355">
        <f>HYPERLINK("https://android.googlesource.com/platform/cts/+/e6b660abc0148d556f18d25ec49a0eb91ce3386c", "e6b660abc0148d556f18d25ec49a0eb91ce3386c")</f>
        <v>0</v>
      </c>
      <c r="C14355">
        <f>HYPERLINK("https://android.googlesource.com/platform/cts/+/d687c4673aa37fc27c758f8fd4ef5e09b1ce6873", "d687c4673aa37fc27c758f8fd4ef5e09b1ce6873")</f>
        <v>0</v>
      </c>
      <c r="D14355" t="s">
        <v>5341</v>
      </c>
      <c r="E14355" t="s">
        <v>8712</v>
      </c>
      <c r="F14355" t="s">
        <v>12879</v>
      </c>
      <c r="G14355" t="s">
        <v>17046</v>
      </c>
      <c r="H14355" t="s">
        <v>20441</v>
      </c>
    </row>
    <row r="14356" spans="1:8">
      <c r="H14356" t="s">
        <v>26762</v>
      </c>
    </row>
    <row r="14357" spans="1:8">
      <c r="H14357" t="s">
        <v>33526</v>
      </c>
    </row>
    <row r="14358" spans="1:8">
      <c r="H14358" t="s">
        <v>33527</v>
      </c>
    </row>
    <row r="14359" spans="1:8">
      <c r="H14359" t="s">
        <v>33528</v>
      </c>
    </row>
    <row r="14360" spans="1:8">
      <c r="H14360" t="s">
        <v>33529</v>
      </c>
    </row>
    <row r="14361" spans="1:8">
      <c r="H14361" t="s">
        <v>33530</v>
      </c>
    </row>
    <row r="14362" spans="1:8">
      <c r="H14362" t="s">
        <v>33531</v>
      </c>
    </row>
    <row r="14363" spans="1:8">
      <c r="H14363" t="s">
        <v>33532</v>
      </c>
    </row>
    <row r="14364" spans="1:8">
      <c r="H14364" t="s">
        <v>33533</v>
      </c>
    </row>
    <row r="14365" spans="1:8">
      <c r="H14365" t="s">
        <v>33534</v>
      </c>
    </row>
    <row r="14366" spans="1:8">
      <c r="H14366" t="s">
        <v>33535</v>
      </c>
    </row>
    <row r="14367" spans="1:8">
      <c r="H14367" t="s">
        <v>33536</v>
      </c>
    </row>
    <row r="14368" spans="1:8">
      <c r="H14368" t="s">
        <v>33537</v>
      </c>
    </row>
    <row r="14369" spans="8:8">
      <c r="H14369" t="s">
        <v>33538</v>
      </c>
    </row>
    <row r="14370" spans="8:8">
      <c r="H14370" t="s">
        <v>33539</v>
      </c>
    </row>
    <row r="14371" spans="8:8">
      <c r="H14371" t="s">
        <v>33540</v>
      </c>
    </row>
    <row r="14372" spans="8:8">
      <c r="H14372" t="s">
        <v>33541</v>
      </c>
    </row>
    <row r="14373" spans="8:8">
      <c r="H14373" t="s">
        <v>33542</v>
      </c>
    </row>
    <row r="14374" spans="8:8">
      <c r="H14374" t="s">
        <v>33543</v>
      </c>
    </row>
    <row r="14375" spans="8:8">
      <c r="H14375" t="s">
        <v>33544</v>
      </c>
    </row>
    <row r="14376" spans="8:8">
      <c r="H14376" t="s">
        <v>33545</v>
      </c>
    </row>
    <row r="14377" spans="8:8">
      <c r="H14377" t="s">
        <v>33546</v>
      </c>
    </row>
    <row r="14378" spans="8:8">
      <c r="H14378" t="s">
        <v>33547</v>
      </c>
    </row>
    <row r="14379" spans="8:8">
      <c r="H14379" t="s">
        <v>33548</v>
      </c>
    </row>
    <row r="14380" spans="8:8">
      <c r="H14380" t="s">
        <v>33549</v>
      </c>
    </row>
    <row r="14381" spans="8:8">
      <c r="H14381" t="s">
        <v>28470</v>
      </c>
    </row>
    <row r="14382" spans="8:8">
      <c r="H14382" t="s">
        <v>33550</v>
      </c>
    </row>
    <row r="14383" spans="8:8">
      <c r="H14383" t="s">
        <v>33551</v>
      </c>
    </row>
    <row r="14384" spans="8:8">
      <c r="H14384" t="s">
        <v>33552</v>
      </c>
    </row>
    <row r="14385" spans="8:8">
      <c r="H14385" t="s">
        <v>33553</v>
      </c>
    </row>
    <row r="14386" spans="8:8">
      <c r="H14386" t="s">
        <v>33554</v>
      </c>
    </row>
    <row r="14387" spans="8:8">
      <c r="H14387" t="s">
        <v>33555</v>
      </c>
    </row>
    <row r="14388" spans="8:8">
      <c r="H14388" t="s">
        <v>33556</v>
      </c>
    </row>
    <row r="14389" spans="8:8">
      <c r="H14389" t="s">
        <v>33557</v>
      </c>
    </row>
    <row r="14390" spans="8:8">
      <c r="H14390" t="s">
        <v>33558</v>
      </c>
    </row>
    <row r="14391" spans="8:8">
      <c r="H14391" t="s">
        <v>33559</v>
      </c>
    </row>
    <row r="14392" spans="8:8">
      <c r="H14392" t="s">
        <v>33560</v>
      </c>
    </row>
    <row r="14393" spans="8:8">
      <c r="H14393" t="s">
        <v>33561</v>
      </c>
    </row>
    <row r="14394" spans="8:8">
      <c r="H14394" t="s">
        <v>33562</v>
      </c>
    </row>
    <row r="14395" spans="8:8">
      <c r="H14395" t="s">
        <v>33563</v>
      </c>
    </row>
    <row r="14396" spans="8:8">
      <c r="H14396" t="s">
        <v>33564</v>
      </c>
    </row>
    <row r="14397" spans="8:8">
      <c r="H14397" t="s">
        <v>33565</v>
      </c>
    </row>
    <row r="14398" spans="8:8">
      <c r="H14398" t="s">
        <v>33566</v>
      </c>
    </row>
    <row r="14399" spans="8:8">
      <c r="H14399" t="s">
        <v>33567</v>
      </c>
    </row>
    <row r="14400" spans="8:8">
      <c r="H14400" t="s">
        <v>33568</v>
      </c>
    </row>
    <row r="14401" spans="1:8">
      <c r="H14401" t="s">
        <v>33569</v>
      </c>
    </row>
    <row r="14402" spans="1:8">
      <c r="F14402" t="s">
        <v>14130</v>
      </c>
      <c r="G14402" t="s">
        <v>18120</v>
      </c>
      <c r="H14402" t="s">
        <v>33571</v>
      </c>
    </row>
    <row r="14403" spans="1:8">
      <c r="A14403" t="s">
        <v>2999</v>
      </c>
      <c r="B14403">
        <f>HYPERLINK("https://android.googlesource.com/platform/cts/+/c59a2981727e0193d4ba7582ee0457078dd5af75", "c59a2981727e0193d4ba7582ee0457078dd5af75")</f>
        <v>0</v>
      </c>
      <c r="C14403">
        <f>HYPERLINK("https://android.googlesource.com/platform/cts/+/c0db8660d95bf9a6e141066af5714327c09b94e4", "c0db8660d95bf9a6e141066af5714327c09b94e4")</f>
        <v>0</v>
      </c>
      <c r="D14403" t="s">
        <v>5485</v>
      </c>
      <c r="E14403" t="s">
        <v>8721</v>
      </c>
      <c r="F14403" t="s">
        <v>14135</v>
      </c>
      <c r="G14403" t="s">
        <v>18123</v>
      </c>
      <c r="H14403" t="s">
        <v>33621</v>
      </c>
    </row>
    <row r="14404" spans="1:8">
      <c r="H14404" t="s">
        <v>33622</v>
      </c>
    </row>
    <row r="14405" spans="1:8">
      <c r="A14405" t="s">
        <v>3000</v>
      </c>
      <c r="B14405">
        <f>HYPERLINK("https://android.googlesource.com/platform/cts/+/1c95db2e84448b7164068c4b401f17966f6945d1", "1c95db2e84448b7164068c4b401f17966f6945d1")</f>
        <v>0</v>
      </c>
      <c r="C14405">
        <f>HYPERLINK("https://android.googlesource.com/platform/cts/+/ff85d9614ee5b1350bad1d70d90fc844fe412030", "ff85d9614ee5b1350bad1d70d90fc844fe412030")</f>
        <v>0</v>
      </c>
      <c r="D14405" t="s">
        <v>5108</v>
      </c>
      <c r="E14405" t="s">
        <v>8722</v>
      </c>
      <c r="F14405" t="s">
        <v>14055</v>
      </c>
      <c r="G14405" t="s">
        <v>17339</v>
      </c>
      <c r="H14405" t="s">
        <v>22581</v>
      </c>
    </row>
    <row r="14406" spans="1:8">
      <c r="F14406" t="s">
        <v>12665</v>
      </c>
      <c r="G14406" t="s">
        <v>16870</v>
      </c>
      <c r="H14406" t="s">
        <v>22581</v>
      </c>
    </row>
    <row r="14407" spans="1:8">
      <c r="H14407" t="s">
        <v>32566</v>
      </c>
    </row>
    <row r="14408" spans="1:8">
      <c r="A14408" t="s">
        <v>3006</v>
      </c>
      <c r="B14408">
        <f>HYPERLINK("https://android.googlesource.com/platform/cts/+/cc2df551525d564950c4b0c74dc265efa2c03034", "cc2df551525d564950c4b0c74dc265efa2c03034")</f>
        <v>0</v>
      </c>
      <c r="C14408">
        <f>HYPERLINK("https://android.googlesource.com/platform/cts/+/fbbeba6bb9268d1666eb85b4bd16e9fe7a4db140", "fbbeba6bb9268d1666eb85b4bd16e9fe7a4db140")</f>
        <v>0</v>
      </c>
      <c r="D14408" t="s">
        <v>5148</v>
      </c>
      <c r="E14408" t="s">
        <v>8728</v>
      </c>
      <c r="F14408" t="s">
        <v>14139</v>
      </c>
      <c r="G14408" t="s">
        <v>18127</v>
      </c>
      <c r="H14408" t="s">
        <v>33634</v>
      </c>
    </row>
    <row r="14409" spans="1:8">
      <c r="A14409" t="s">
        <v>3011</v>
      </c>
      <c r="B14409">
        <f>HYPERLINK("https://android.googlesource.com/platform/cts/+/5b8ca384dcf6af547fd90c907ec9cabe90acd9dc", "5b8ca384dcf6af547fd90c907ec9cabe90acd9dc")</f>
        <v>0</v>
      </c>
      <c r="C14409">
        <f>HYPERLINK("https://android.googlesource.com/platform/cts/+/a02c4a8a6a9327903b95bb2072d7cee70e4b4650", "a02c4a8a6a9327903b95bb2072d7cee70e4b4650")</f>
        <v>0</v>
      </c>
      <c r="D14409" t="s">
        <v>5492</v>
      </c>
      <c r="E14409" t="s">
        <v>8733</v>
      </c>
      <c r="F14409" t="s">
        <v>13816</v>
      </c>
      <c r="G14409" t="s">
        <v>15089</v>
      </c>
      <c r="H14409" t="s">
        <v>33638</v>
      </c>
    </row>
    <row r="14410" spans="1:8">
      <c r="A14410" t="s">
        <v>3015</v>
      </c>
      <c r="B14410">
        <f>HYPERLINK("https://android.googlesource.com/platform/cts/+/d21fb436ed0a5b65715f57f6858b03db6dd5cd42", "d21fb436ed0a5b65715f57f6858b03db6dd5cd42")</f>
        <v>0</v>
      </c>
      <c r="C14410">
        <f>HYPERLINK("https://android.googlesource.com/platform/cts/+/6513f90f1830a14c3206d7fef00e2ea74092b327", "6513f90f1830a14c3206d7fef00e2ea74092b327")</f>
        <v>0</v>
      </c>
      <c r="D14410" t="s">
        <v>5096</v>
      </c>
      <c r="E14410" t="s">
        <v>8737</v>
      </c>
      <c r="F14410" t="s">
        <v>14143</v>
      </c>
      <c r="G14410" t="s">
        <v>18131</v>
      </c>
      <c r="H14410" t="s">
        <v>33647</v>
      </c>
    </row>
    <row r="14411" spans="1:8">
      <c r="A14411" t="s">
        <v>3016</v>
      </c>
      <c r="B14411">
        <f>HYPERLINK("https://android.googlesource.com/platform/cts/+/742d846d447c0cbe14b7ec23ef9a6b4a1937c2db", "742d846d447c0cbe14b7ec23ef9a6b4a1937c2db")</f>
        <v>0</v>
      </c>
      <c r="C14411">
        <f>HYPERLINK("https://android.googlesource.com/platform/cts/+/4b78bcd343e24277b30b90ae0fbabc01ecd38c60", "4b78bcd343e24277b30b90ae0fbabc01ecd38c60")</f>
        <v>0</v>
      </c>
      <c r="D14411" t="s">
        <v>5389</v>
      </c>
      <c r="E14411" t="s">
        <v>8738</v>
      </c>
      <c r="F14411" t="s">
        <v>12897</v>
      </c>
      <c r="G14411" t="s">
        <v>16824</v>
      </c>
      <c r="H14411" t="s">
        <v>33648</v>
      </c>
    </row>
    <row r="14412" spans="1:8">
      <c r="F14412" t="s">
        <v>13992</v>
      </c>
      <c r="G14412" t="s">
        <v>16620</v>
      </c>
      <c r="H14412" t="s">
        <v>33650</v>
      </c>
    </row>
    <row r="14413" spans="1:8">
      <c r="H14413" t="s">
        <v>33651</v>
      </c>
    </row>
    <row r="14414" spans="1:8">
      <c r="F14414" t="s">
        <v>13816</v>
      </c>
      <c r="G14414" t="s">
        <v>15089</v>
      </c>
      <c r="H14414" t="s">
        <v>33652</v>
      </c>
    </row>
    <row r="14415" spans="1:8">
      <c r="H14415" t="s">
        <v>33653</v>
      </c>
    </row>
    <row r="14416" spans="1:8">
      <c r="H14416" t="s">
        <v>33654</v>
      </c>
    </row>
    <row r="14417" spans="1:8">
      <c r="H14417" t="s">
        <v>33655</v>
      </c>
    </row>
    <row r="14418" spans="1:8">
      <c r="A14418" t="s">
        <v>3017</v>
      </c>
      <c r="B14418">
        <f>HYPERLINK("https://android.googlesource.com/platform/cts/+/10c0c6699cdabec767a07c80962ab1f6def98ec7", "10c0c6699cdabec767a07c80962ab1f6def98ec7")</f>
        <v>0</v>
      </c>
      <c r="C14418">
        <f>HYPERLINK("https://android.googlesource.com/platform/cts/+/c09f046a08ac7e71f927aab69a6c33443ae8358f", "c09f046a08ac7e71f927aab69a6c33443ae8358f")</f>
        <v>0</v>
      </c>
      <c r="D14418" t="s">
        <v>5496</v>
      </c>
      <c r="E14418" t="s">
        <v>8739</v>
      </c>
      <c r="F14418" t="s">
        <v>14144</v>
      </c>
      <c r="G14418" t="s">
        <v>18132</v>
      </c>
      <c r="H14418" t="s">
        <v>33658</v>
      </c>
    </row>
    <row r="14419" spans="1:8">
      <c r="H14419" t="s">
        <v>33659</v>
      </c>
    </row>
    <row r="14420" spans="1:8">
      <c r="A14420" t="s">
        <v>3020</v>
      </c>
      <c r="B14420">
        <f>HYPERLINK("https://android.googlesource.com/platform/cts/+/387842de5107d186619035483e89b40e97c49757", "387842de5107d186619035483e89b40e97c49757")</f>
        <v>0</v>
      </c>
      <c r="C14420">
        <f>HYPERLINK("https://android.googlesource.com/platform/cts/+/56a12fbf6b7362c8801ae7d58b253ffa1fd30ef0", "56a12fbf6b7362c8801ae7d58b253ffa1fd30ef0")</f>
        <v>0</v>
      </c>
      <c r="D14420" t="s">
        <v>5374</v>
      </c>
      <c r="E14420" t="s">
        <v>8742</v>
      </c>
      <c r="F14420" t="s">
        <v>12733</v>
      </c>
      <c r="G14420" t="s">
        <v>16854</v>
      </c>
      <c r="H14420" t="s">
        <v>33661</v>
      </c>
    </row>
    <row r="14421" spans="1:8">
      <c r="H14421" t="s">
        <v>33662</v>
      </c>
    </row>
    <row r="14422" spans="1:8">
      <c r="A14422" t="s">
        <v>3021</v>
      </c>
      <c r="B14422">
        <f>HYPERLINK("https://android.googlesource.com/platform/cts/+/edacbc2d13ac5ba68863a10f1e7cd2b331d7ed0c", "edacbc2d13ac5ba68863a10f1e7cd2b331d7ed0c")</f>
        <v>0</v>
      </c>
      <c r="C14422">
        <f>HYPERLINK("https://android.googlesource.com/platform/cts/+/4517d6673ca6fb5f335ecfc2df0a5ff34a5c1cf1", "4517d6673ca6fb5f335ecfc2df0a5ff34a5c1cf1")</f>
        <v>0</v>
      </c>
      <c r="D14422" t="s">
        <v>5498</v>
      </c>
      <c r="E14422" t="s">
        <v>8743</v>
      </c>
      <c r="F14422" t="s">
        <v>14147</v>
      </c>
      <c r="G14422" t="s">
        <v>18135</v>
      </c>
      <c r="H14422" t="s">
        <v>19175</v>
      </c>
    </row>
    <row r="14423" spans="1:8">
      <c r="H14423" t="s">
        <v>33663</v>
      </c>
    </row>
    <row r="14424" spans="1:8">
      <c r="A14424" t="s">
        <v>3024</v>
      </c>
      <c r="B14424">
        <f>HYPERLINK("https://android.googlesource.com/platform/cts/+/f912225e90b6a2b605c0ee284575859fb800fb4e", "f912225e90b6a2b605c0ee284575859fb800fb4e")</f>
        <v>0</v>
      </c>
      <c r="C14424">
        <f>HYPERLINK("https://android.googlesource.com/platform/cts/+/69a1926280355194514a78960c461f259516c998", "69a1926280355194514a78960c461f259516c998")</f>
        <v>0</v>
      </c>
      <c r="D14424" t="s">
        <v>5396</v>
      </c>
      <c r="E14424" t="s">
        <v>8746</v>
      </c>
      <c r="F14424" t="s">
        <v>14051</v>
      </c>
      <c r="G14424" t="s">
        <v>18050</v>
      </c>
      <c r="H14424" t="s">
        <v>33666</v>
      </c>
    </row>
    <row r="14425" spans="1:8">
      <c r="H14425" t="s">
        <v>33667</v>
      </c>
    </row>
    <row r="14426" spans="1:8">
      <c r="A14426" t="s">
        <v>3028</v>
      </c>
      <c r="B14426">
        <f>HYPERLINK("https://android.googlesource.com/platform/cts/+/671791634ad0eecd56c6fed3bd3ed16257676267", "671791634ad0eecd56c6fed3bd3ed16257676267")</f>
        <v>0</v>
      </c>
      <c r="C14426">
        <f>HYPERLINK("https://android.googlesource.com/platform/cts/+/d87e04f2caa693daa3f1eeae9eb5f94b32278825", "d87e04f2caa693daa3f1eeae9eb5f94b32278825")</f>
        <v>0</v>
      </c>
      <c r="D14426" t="s">
        <v>5051</v>
      </c>
      <c r="E14426" t="s">
        <v>8750</v>
      </c>
      <c r="F14426" t="s">
        <v>14149</v>
      </c>
      <c r="G14426" t="s">
        <v>18137</v>
      </c>
      <c r="H14426" t="s">
        <v>33671</v>
      </c>
    </row>
    <row r="14427" spans="1:8">
      <c r="A14427" t="s">
        <v>3032</v>
      </c>
      <c r="B14427">
        <f>HYPERLINK("https://android.googlesource.com/platform/cts/+/6425a32f2ca122e2c926e4c6e65a6ebe58e3ff1d", "6425a32f2ca122e2c926e4c6e65a6ebe58e3ff1d")</f>
        <v>0</v>
      </c>
      <c r="C14427">
        <f>HYPERLINK("https://android.googlesource.com/platform/cts/+/ac88cea396505f1ca96c9b80fc247fe96eaa0e5c", "ac88cea396505f1ca96c9b80fc247fe96eaa0e5c")</f>
        <v>0</v>
      </c>
      <c r="D14427" t="s">
        <v>4978</v>
      </c>
      <c r="E14427" t="s">
        <v>8754</v>
      </c>
      <c r="F14427" t="s">
        <v>13391</v>
      </c>
      <c r="G14427" t="s">
        <v>17517</v>
      </c>
      <c r="H14427" t="s">
        <v>33675</v>
      </c>
    </row>
    <row r="14428" spans="1:8">
      <c r="A14428" t="s">
        <v>3036</v>
      </c>
      <c r="B14428">
        <f>HYPERLINK("https://android.googlesource.com/platform/cts/+/f87f3afff210800fb6e920309fd15885d751496c", "f87f3afff210800fb6e920309fd15885d751496c")</f>
        <v>0</v>
      </c>
      <c r="C14428">
        <f>HYPERLINK("https://android.googlesource.com/platform/cts/+/f4f834af0a88e2a4d6f1d3d8358ce00f98fea8b0", "f4f834af0a88e2a4d6f1d3d8358ce00f98fea8b0")</f>
        <v>0</v>
      </c>
      <c r="D14428" t="s">
        <v>5471</v>
      </c>
      <c r="E14428" t="s">
        <v>8758</v>
      </c>
      <c r="F14428" t="s">
        <v>14154</v>
      </c>
      <c r="G14428" t="s">
        <v>18141</v>
      </c>
      <c r="H14428" t="s">
        <v>33676</v>
      </c>
    </row>
    <row r="14429" spans="1:8">
      <c r="H14429" t="s">
        <v>33677</v>
      </c>
    </row>
    <row r="14430" spans="1:8">
      <c r="H14430" t="s">
        <v>33678</v>
      </c>
    </row>
    <row r="14431" spans="1:8">
      <c r="H14431" t="s">
        <v>33679</v>
      </c>
    </row>
    <row r="14432" spans="1:8">
      <c r="H14432" t="s">
        <v>33680</v>
      </c>
    </row>
    <row r="14433" spans="1:8">
      <c r="H14433" t="s">
        <v>33681</v>
      </c>
    </row>
    <row r="14434" spans="1:8">
      <c r="H14434" t="s">
        <v>33682</v>
      </c>
    </row>
    <row r="14435" spans="1:8">
      <c r="A14435" t="s">
        <v>3038</v>
      </c>
      <c r="B14435">
        <f>HYPERLINK("https://android.googlesource.com/platform/cts/+/058149f4bd769f8360dea00453060a4c96958f5a", "058149f4bd769f8360dea00453060a4c96958f5a")</f>
        <v>0</v>
      </c>
      <c r="C14435">
        <f>HYPERLINK("https://android.googlesource.com/platform/cts/+/a1415c6288634c2f65c0dbfe021c57e08dc4a282", "a1415c6288634c2f65c0dbfe021c57e08dc4a282")</f>
        <v>0</v>
      </c>
      <c r="D14435" t="s">
        <v>5435</v>
      </c>
      <c r="E14435" t="s">
        <v>8760</v>
      </c>
      <c r="F14435" t="s">
        <v>13716</v>
      </c>
      <c r="G14435" t="s">
        <v>17783</v>
      </c>
      <c r="H14435" t="s">
        <v>33685</v>
      </c>
    </row>
    <row r="14436" spans="1:8">
      <c r="A14436" t="s">
        <v>3039</v>
      </c>
      <c r="B14436">
        <f>HYPERLINK("https://android.googlesource.com/platform/cts/+/8e8b5e7380f5f1828cdb0eace3cbac0069aff72a", "8e8b5e7380f5f1828cdb0eace3cbac0069aff72a")</f>
        <v>0</v>
      </c>
      <c r="C14436">
        <f>HYPERLINK("https://android.googlesource.com/platform/cts/+/a1415c6288634c2f65c0dbfe021c57e08dc4a282", "a1415c6288634c2f65c0dbfe021c57e08dc4a282")</f>
        <v>0</v>
      </c>
      <c r="D14436" t="s">
        <v>5435</v>
      </c>
      <c r="E14436" t="s">
        <v>8761</v>
      </c>
      <c r="F14436" t="s">
        <v>13716</v>
      </c>
      <c r="G14436" t="s">
        <v>17783</v>
      </c>
      <c r="H14436" t="s">
        <v>33686</v>
      </c>
    </row>
    <row r="14437" spans="1:8">
      <c r="A14437" t="s">
        <v>3047</v>
      </c>
      <c r="B14437">
        <f>HYPERLINK("https://android.googlesource.com/platform/cts/+/ca9d3af9ccf2479eef230a6ef5ea84ee6455661e", "ca9d3af9ccf2479eef230a6ef5ea84ee6455661e")</f>
        <v>0</v>
      </c>
      <c r="C14437">
        <f>HYPERLINK("https://android.googlesource.com/platform/cts/+/18fffbf71aed8a1435b2bfd6ba5b08f0c9f9d6ae", "18fffbf71aed8a1435b2bfd6ba5b08f0c9f9d6ae")</f>
        <v>0</v>
      </c>
      <c r="D14437" t="s">
        <v>5447</v>
      </c>
      <c r="E14437" t="s">
        <v>8769</v>
      </c>
      <c r="F14437" t="s">
        <v>14086</v>
      </c>
      <c r="G14437" t="s">
        <v>18082</v>
      </c>
      <c r="H14437" t="s">
        <v>33690</v>
      </c>
    </row>
    <row r="14438" spans="1:8">
      <c r="A14438" t="s">
        <v>3048</v>
      </c>
      <c r="B14438">
        <f>HYPERLINK("https://android.googlesource.com/platform/cts/+/c06aeddcf97e2beb2f113e3df81e1def41ddeeeb", "c06aeddcf97e2beb2f113e3df81e1def41ddeeeb")</f>
        <v>0</v>
      </c>
      <c r="C14438">
        <f>HYPERLINK("https://android.googlesource.com/platform/cts/+/6968a6fb322d66626667f5731fe94253eeada3fe", "6968a6fb322d66626667f5731fe94253eeada3fe")</f>
        <v>0</v>
      </c>
      <c r="D14438" t="s">
        <v>5374</v>
      </c>
      <c r="E14438" t="s">
        <v>8770</v>
      </c>
      <c r="F14438" t="s">
        <v>13165</v>
      </c>
      <c r="G14438" t="s">
        <v>17315</v>
      </c>
      <c r="H14438" t="s">
        <v>33693</v>
      </c>
    </row>
    <row r="14439" spans="1:8">
      <c r="H14439" t="s">
        <v>33694</v>
      </c>
    </row>
    <row r="14440" spans="1:8">
      <c r="H14440" t="s">
        <v>33695</v>
      </c>
    </row>
    <row r="14441" spans="1:8">
      <c r="A14441" t="s">
        <v>3050</v>
      </c>
      <c r="B14441">
        <f>HYPERLINK("https://android.googlesource.com/platform/cts/+/8e9d03a790a41afc0868c32dc423da01d62f7874", "8e9d03a790a41afc0868c32dc423da01d62f7874")</f>
        <v>0</v>
      </c>
      <c r="C14441">
        <f>HYPERLINK("https://android.googlesource.com/platform/cts/+/4fca2c3c3aa9b3b39b634f57b965388f047a3925", "4fca2c3c3aa9b3b39b634f57b965388f047a3925")</f>
        <v>0</v>
      </c>
      <c r="D14441" t="s">
        <v>5419</v>
      </c>
      <c r="E14441" t="s">
        <v>8772</v>
      </c>
      <c r="F14441" t="s">
        <v>10595</v>
      </c>
      <c r="G14441" t="s">
        <v>14998</v>
      </c>
      <c r="H14441" t="s">
        <v>33697</v>
      </c>
    </row>
    <row r="14442" spans="1:8">
      <c r="A14442" t="s">
        <v>3054</v>
      </c>
      <c r="B14442">
        <f>HYPERLINK("https://android.googlesource.com/platform/cts/+/d8dad41fd038dc63bf32b0b3f58cd8c6ff8bddcc", "d8dad41fd038dc63bf32b0b3f58cd8c6ff8bddcc")</f>
        <v>0</v>
      </c>
      <c r="C14442">
        <f>HYPERLINK("https://android.googlesource.com/platform/cts/+/f97071794ea4366287903f618051bf5a011a5d4e", "f97071794ea4366287903f618051bf5a011a5d4e")</f>
        <v>0</v>
      </c>
      <c r="D14442" t="s">
        <v>5474</v>
      </c>
      <c r="E14442" t="s">
        <v>8776</v>
      </c>
      <c r="F14442" t="s">
        <v>14160</v>
      </c>
      <c r="G14442" t="s">
        <v>18146</v>
      </c>
      <c r="H14442" t="s">
        <v>33699</v>
      </c>
    </row>
    <row r="14443" spans="1:8">
      <c r="H14443" t="s">
        <v>33700</v>
      </c>
    </row>
    <row r="14444" spans="1:8">
      <c r="H14444" t="s">
        <v>32314</v>
      </c>
    </row>
    <row r="14445" spans="1:8">
      <c r="A14445" t="s">
        <v>3059</v>
      </c>
      <c r="B14445">
        <f>HYPERLINK("https://android.googlesource.com/platform/cts/+/d670540224578c52d62d8459d7a997d52b2b4c62", "d670540224578c52d62d8459d7a997d52b2b4c62")</f>
        <v>0</v>
      </c>
      <c r="C14445">
        <f>HYPERLINK("https://android.googlesource.com/platform/cts/+/a71306e7a3f123317b0ac054f885050e58b9ca6a", "a71306e7a3f123317b0ac054f885050e58b9ca6a")</f>
        <v>0</v>
      </c>
      <c r="D14445" t="s">
        <v>5334</v>
      </c>
      <c r="E14445" t="s">
        <v>8781</v>
      </c>
      <c r="F14445" t="s">
        <v>12629</v>
      </c>
      <c r="G14445" t="s">
        <v>16838</v>
      </c>
      <c r="H14445" t="s">
        <v>33704</v>
      </c>
    </row>
    <row r="14446" spans="1:8">
      <c r="F14446" t="s">
        <v>14122</v>
      </c>
      <c r="G14446" t="s">
        <v>18112</v>
      </c>
      <c r="H14446" t="s">
        <v>33039</v>
      </c>
    </row>
    <row r="14447" spans="1:8">
      <c r="A14447" t="s">
        <v>3060</v>
      </c>
      <c r="B14447">
        <f>HYPERLINK("https://android.googlesource.com/platform/cts/+/4745d6930f24693c26011be5f0463cbe48be0816", "4745d6930f24693c26011be5f0463cbe48be0816")</f>
        <v>0</v>
      </c>
      <c r="C14447">
        <f>HYPERLINK("https://android.googlesource.com/platform/cts/+/8563ca4cde28aaf9b0415b4809ef3359f1eeee20", "8563ca4cde28aaf9b0415b4809ef3359f1eeee20")</f>
        <v>0</v>
      </c>
      <c r="D14447" t="s">
        <v>5481</v>
      </c>
      <c r="E14447" t="s">
        <v>8782</v>
      </c>
      <c r="F14447" t="s">
        <v>14124</v>
      </c>
      <c r="G14447" t="s">
        <v>18114</v>
      </c>
      <c r="H14447" t="s">
        <v>33706</v>
      </c>
    </row>
    <row r="14448" spans="1:8">
      <c r="H14448" t="s">
        <v>33707</v>
      </c>
    </row>
    <row r="14449" spans="1:8">
      <c r="A14449" t="s">
        <v>3065</v>
      </c>
      <c r="B14449">
        <f>HYPERLINK("https://android.googlesource.com/platform/cts/+/bc5777af3aeef2ee8186477061cb0469ecbb112a", "bc5777af3aeef2ee8186477061cb0469ecbb112a")</f>
        <v>0</v>
      </c>
      <c r="C14449">
        <f>HYPERLINK("https://android.googlesource.com/platform/cts/+/98adfc01a082dadbe9581e35ba471d6d06781450", "98adfc01a082dadbe9581e35ba471d6d06781450")</f>
        <v>0</v>
      </c>
      <c r="D14449" t="s">
        <v>5046</v>
      </c>
      <c r="E14449" t="s">
        <v>8787</v>
      </c>
      <c r="F14449" t="s">
        <v>14166</v>
      </c>
      <c r="G14449" t="s">
        <v>17357</v>
      </c>
      <c r="H14449" t="s">
        <v>28593</v>
      </c>
    </row>
    <row r="14450" spans="1:8">
      <c r="A14450" t="s">
        <v>3066</v>
      </c>
      <c r="B14450">
        <f>HYPERLINK("https://android.googlesource.com/platform/cts/+/80180cd678dc3f44d4f097b000bb0b3386065308", "80180cd678dc3f44d4f097b000bb0b3386065308")</f>
        <v>0</v>
      </c>
      <c r="C14450">
        <f>HYPERLINK("https://android.googlesource.com/platform/cts/+/11c53df7b56f63d76a28d995140c62e1a2c14093", "11c53df7b56f63d76a28d995140c62e1a2c14093")</f>
        <v>0</v>
      </c>
      <c r="D14450" t="s">
        <v>5219</v>
      </c>
      <c r="E14450" t="s">
        <v>8788</v>
      </c>
      <c r="F14450" t="s">
        <v>14167</v>
      </c>
      <c r="G14450" t="s">
        <v>18148</v>
      </c>
      <c r="H14450" t="s">
        <v>33716</v>
      </c>
    </row>
    <row r="14451" spans="1:8">
      <c r="H14451" t="s">
        <v>33729</v>
      </c>
    </row>
    <row r="14452" spans="1:8">
      <c r="A14452" t="s">
        <v>3067</v>
      </c>
      <c r="B14452">
        <f>HYPERLINK("https://android.googlesource.com/platform/cts/+/9a8db49662e50b40d3a21f951b6c9b0b5a2dfd93", "9a8db49662e50b40d3a21f951b6c9b0b5a2dfd93")</f>
        <v>0</v>
      </c>
      <c r="C14452">
        <f>HYPERLINK("https://android.googlesource.com/platform/cts/+/684bffdb0dc893d64ec8b47ef0c27bcc5dcb36ee", "684bffdb0dc893d64ec8b47ef0c27bcc5dcb36ee")</f>
        <v>0</v>
      </c>
      <c r="D14452" t="s">
        <v>5435</v>
      </c>
      <c r="E14452" t="s">
        <v>8789</v>
      </c>
      <c r="F14452" t="s">
        <v>12710</v>
      </c>
      <c r="G14452" t="s">
        <v>16911</v>
      </c>
      <c r="H14452" t="s">
        <v>33730</v>
      </c>
    </row>
    <row r="14453" spans="1:8">
      <c r="A14453" t="s">
        <v>3070</v>
      </c>
      <c r="B14453">
        <f>HYPERLINK("https://android.googlesource.com/platform/cts/+/3269a1c3196540588a3e32380f85da5f8ff4b8ce", "3269a1c3196540588a3e32380f85da5f8ff4b8ce")</f>
        <v>0</v>
      </c>
      <c r="C14453">
        <f>HYPERLINK("https://android.googlesource.com/platform/cts/+/4129ddfd7dc56b1dad09022d5ef192913e100a8e", "4129ddfd7dc56b1dad09022d5ef192913e100a8e")</f>
        <v>0</v>
      </c>
      <c r="D14453" t="s">
        <v>5504</v>
      </c>
      <c r="E14453" t="s">
        <v>8792</v>
      </c>
      <c r="F14453" t="s">
        <v>14170</v>
      </c>
      <c r="G14453" t="s">
        <v>18151</v>
      </c>
      <c r="H14453" t="s">
        <v>33748</v>
      </c>
    </row>
    <row r="14454" spans="1:8">
      <c r="H14454" t="s">
        <v>33749</v>
      </c>
    </row>
    <row r="14455" spans="1:8">
      <c r="H14455" t="s">
        <v>33750</v>
      </c>
    </row>
    <row r="14456" spans="1:8">
      <c r="A14456" t="s">
        <v>3071</v>
      </c>
      <c r="B14456">
        <f>HYPERLINK("https://android.googlesource.com/platform/cts/+/668291193b0cf7726c9cb163d3331b6102337314", "668291193b0cf7726c9cb163d3331b6102337314")</f>
        <v>0</v>
      </c>
      <c r="C14456">
        <f>HYPERLINK("https://android.googlesource.com/platform/cts/+/6f52092642bc21691e839d989ea80d78c39e127d", "6f52092642bc21691e839d989ea80d78c39e127d")</f>
        <v>0</v>
      </c>
      <c r="D14456" t="s">
        <v>5504</v>
      </c>
      <c r="E14456" t="s">
        <v>8793</v>
      </c>
      <c r="F14456" t="s">
        <v>14171</v>
      </c>
      <c r="G14456" t="s">
        <v>18151</v>
      </c>
      <c r="H14456" t="s">
        <v>33748</v>
      </c>
    </row>
    <row r="14457" spans="1:8">
      <c r="H14457" t="s">
        <v>33749</v>
      </c>
    </row>
    <row r="14458" spans="1:8">
      <c r="H14458" t="s">
        <v>33750</v>
      </c>
    </row>
    <row r="14459" spans="1:8">
      <c r="A14459" t="s">
        <v>3073</v>
      </c>
      <c r="B14459">
        <f>HYPERLINK("https://android.googlesource.com/platform/cts/+/1e9fe81c584f7a5c5ce2a0638408c348a42fca78", "1e9fe81c584f7a5c5ce2a0638408c348a42fca78")</f>
        <v>0</v>
      </c>
      <c r="C14459">
        <f>HYPERLINK("https://android.googlesource.com/platform/cts/+/339dfb440f4a686b34ec2167669292de0738dd43", "339dfb440f4a686b34ec2167669292de0738dd43")</f>
        <v>0</v>
      </c>
      <c r="D14459" t="s">
        <v>5439</v>
      </c>
      <c r="E14459" t="s">
        <v>8795</v>
      </c>
      <c r="F14459" t="s">
        <v>12741</v>
      </c>
      <c r="G14459" t="s">
        <v>16933</v>
      </c>
      <c r="H14459" t="s">
        <v>33754</v>
      </c>
    </row>
    <row r="14460" spans="1:8">
      <c r="H14460" t="s">
        <v>33755</v>
      </c>
    </row>
    <row r="14461" spans="1:8">
      <c r="H14461" t="s">
        <v>33756</v>
      </c>
    </row>
    <row r="14462" spans="1:8">
      <c r="A14462" t="s">
        <v>3075</v>
      </c>
      <c r="B14462">
        <f>HYPERLINK("https://android.googlesource.com/platform/cts/+/457b8ad3ef02d0a3fe31623d301560870690b79a", "457b8ad3ef02d0a3fe31623d301560870690b79a")</f>
        <v>0</v>
      </c>
      <c r="C14462">
        <f>HYPERLINK("https://android.googlesource.com/platform/cts/+/d1bab0f9a3dbc3e88d0d02e46df08f817039ce20", "d1bab0f9a3dbc3e88d0d02e46df08f817039ce20")</f>
        <v>0</v>
      </c>
      <c r="D14462" t="s">
        <v>5505</v>
      </c>
      <c r="E14462" t="s">
        <v>8797</v>
      </c>
      <c r="F14462" t="s">
        <v>14172</v>
      </c>
      <c r="G14462" t="s">
        <v>18152</v>
      </c>
      <c r="H14462" t="s">
        <v>33757</v>
      </c>
    </row>
    <row r="14463" spans="1:8">
      <c r="A14463" t="s">
        <v>3081</v>
      </c>
      <c r="B14463">
        <f>HYPERLINK("https://android.googlesource.com/platform/cts/+/c010341da6ac2537ca3b106e4c5a881df3c7fa68", "c010341da6ac2537ca3b106e4c5a881df3c7fa68")</f>
        <v>0</v>
      </c>
      <c r="C14463">
        <f>HYPERLINK("https://android.googlesource.com/platform/cts/+/5bd5ac6f7e4179bbd548f0372f743b3f74f1692c", "5bd5ac6f7e4179bbd548f0372f743b3f74f1692c")</f>
        <v>0</v>
      </c>
      <c r="D14463" t="s">
        <v>5506</v>
      </c>
      <c r="E14463" t="s">
        <v>8802</v>
      </c>
      <c r="F14463" t="s">
        <v>12741</v>
      </c>
      <c r="G14463" t="s">
        <v>16933</v>
      </c>
      <c r="H14463" t="s">
        <v>33754</v>
      </c>
    </row>
    <row r="14464" spans="1:8">
      <c r="H14464" t="s">
        <v>33755</v>
      </c>
    </row>
    <row r="14465" spans="1:8">
      <c r="H14465" t="s">
        <v>33756</v>
      </c>
    </row>
    <row r="14466" spans="1:8">
      <c r="A14466" t="s">
        <v>3082</v>
      </c>
      <c r="B14466">
        <f>HYPERLINK("https://android.googlesource.com/platform/cts/+/00b3ff062b4606dacc8cb9802eed1616bb021c96", "00b3ff062b4606dacc8cb9802eed1616bb021c96")</f>
        <v>0</v>
      </c>
      <c r="C14466">
        <f>HYPERLINK("https://android.googlesource.com/platform/cts/+/0f0b828841a198a4948142051250d4b5f196c613", "0f0b828841a198a4948142051250d4b5f196c613")</f>
        <v>0</v>
      </c>
      <c r="D14466" t="s">
        <v>5223</v>
      </c>
      <c r="E14466" t="s">
        <v>8803</v>
      </c>
      <c r="F14466" t="s">
        <v>14174</v>
      </c>
      <c r="G14466" t="s">
        <v>18154</v>
      </c>
      <c r="H14466" t="s">
        <v>18836</v>
      </c>
    </row>
    <row r="14467" spans="1:8">
      <c r="H14467" t="s">
        <v>19013</v>
      </c>
    </row>
    <row r="14468" spans="1:8">
      <c r="H14468" t="s">
        <v>18835</v>
      </c>
    </row>
    <row r="14469" spans="1:8">
      <c r="H14469" t="s">
        <v>33762</v>
      </c>
    </row>
    <row r="14470" spans="1:8">
      <c r="F14470" t="s">
        <v>14175</v>
      </c>
      <c r="G14470" t="s">
        <v>18155</v>
      </c>
      <c r="H14470" t="s">
        <v>18836</v>
      </c>
    </row>
    <row r="14471" spans="1:8">
      <c r="H14471" t="s">
        <v>19013</v>
      </c>
    </row>
    <row r="14472" spans="1:8">
      <c r="H14472" t="s">
        <v>18835</v>
      </c>
    </row>
    <row r="14473" spans="1:8">
      <c r="H14473" t="s">
        <v>33762</v>
      </c>
    </row>
    <row r="14474" spans="1:8">
      <c r="A14474" t="s">
        <v>3086</v>
      </c>
      <c r="B14474">
        <f>HYPERLINK("https://android.googlesource.com/platform/cts/+/7429851405a82c9fac7b1540646331bc1da699c3", "7429851405a82c9fac7b1540646331bc1da699c3")</f>
        <v>0</v>
      </c>
      <c r="C14474">
        <f>HYPERLINK("https://android.googlesource.com/platform/cts/+/a14ae1101a7ef76ec9365f1098b2df25c4860974", "a14ae1101a7ef76ec9365f1098b2df25c4860974")</f>
        <v>0</v>
      </c>
      <c r="D14474" t="s">
        <v>5443</v>
      </c>
      <c r="E14474" t="s">
        <v>8807</v>
      </c>
      <c r="F14474" t="s">
        <v>12710</v>
      </c>
      <c r="G14474" t="s">
        <v>16911</v>
      </c>
      <c r="H14474" t="s">
        <v>33765</v>
      </c>
    </row>
    <row r="14475" spans="1:8">
      <c r="A14475" t="s">
        <v>3087</v>
      </c>
      <c r="B14475">
        <f>HYPERLINK("https://android.googlesource.com/platform/cts/+/ea9e366aa024b4f4a34a3070945de54ab8ab7c65", "ea9e366aa024b4f4a34a3070945de54ab8ab7c65")</f>
        <v>0</v>
      </c>
      <c r="C14475">
        <f>HYPERLINK("https://android.googlesource.com/platform/cts/+/7429851405a82c9fac7b1540646331bc1da699c3", "7429851405a82c9fac7b1540646331bc1da699c3")</f>
        <v>0</v>
      </c>
      <c r="D14475" t="s">
        <v>5443</v>
      </c>
      <c r="E14475" t="s">
        <v>8808</v>
      </c>
      <c r="F14475" t="s">
        <v>12710</v>
      </c>
      <c r="G14475" t="s">
        <v>16911</v>
      </c>
      <c r="H14475" t="s">
        <v>33766</v>
      </c>
    </row>
    <row r="14476" spans="1:8">
      <c r="H14476" t="s">
        <v>33767</v>
      </c>
    </row>
    <row r="14477" spans="1:8">
      <c r="A14477" t="s">
        <v>3093</v>
      </c>
      <c r="B14477">
        <f>HYPERLINK("https://android.googlesource.com/platform/cts/+/dc5b4413eefbbebdcba000ce05c1c4040316dabc", "dc5b4413eefbbebdcba000ce05c1c4040316dabc")</f>
        <v>0</v>
      </c>
      <c r="C14477">
        <f>HYPERLINK("https://android.googlesource.com/platform/cts/+/57e9da96af43593640a9fe9e2f1a3ae138869af4", "57e9da96af43593640a9fe9e2f1a3ae138869af4")</f>
        <v>0</v>
      </c>
      <c r="D14477" t="s">
        <v>5472</v>
      </c>
      <c r="E14477" t="s">
        <v>8814</v>
      </c>
      <c r="F14477" t="s">
        <v>13135</v>
      </c>
      <c r="G14477" t="s">
        <v>16874</v>
      </c>
      <c r="H14477" t="s">
        <v>33768</v>
      </c>
    </row>
    <row r="14478" spans="1:8">
      <c r="A14478" t="s">
        <v>3094</v>
      </c>
      <c r="B14478">
        <f>HYPERLINK("https://android.googlesource.com/platform/cts/+/621fd75805f987d290bc29c5c700f90be0ea162e", "621fd75805f987d290bc29c5c700f90be0ea162e")</f>
        <v>0</v>
      </c>
      <c r="C14478">
        <f>HYPERLINK("https://android.googlesource.com/platform/cts/+/2e1b5c1c74e4ff88f1ea354f3c8d5a20da528b34", "2e1b5c1c74e4ff88f1ea354f3c8d5a20da528b34")</f>
        <v>0</v>
      </c>
      <c r="D14478" t="s">
        <v>5304</v>
      </c>
      <c r="E14478" t="s">
        <v>8815</v>
      </c>
      <c r="F14478" t="s">
        <v>14177</v>
      </c>
      <c r="G14478" t="s">
        <v>18158</v>
      </c>
      <c r="H14478" t="s">
        <v>33769</v>
      </c>
    </row>
    <row r="14479" spans="1:8">
      <c r="A14479" t="s">
        <v>3096</v>
      </c>
      <c r="B14479">
        <f>HYPERLINK("https://android.googlesource.com/platform/cts/+/3967836210a52ec8d0f229edad0c8c27f26145ae", "3967836210a52ec8d0f229edad0c8c27f26145ae")</f>
        <v>0</v>
      </c>
      <c r="C14479">
        <f>HYPERLINK("https://android.googlesource.com/platform/cts/+/45d4a2a705eedc6971d07592d77aefc2f7f9765d", "45d4a2a705eedc6971d07592d77aefc2f7f9765d")</f>
        <v>0</v>
      </c>
      <c r="D14479" t="s">
        <v>5357</v>
      </c>
      <c r="E14479" t="s">
        <v>8817</v>
      </c>
      <c r="F14479" t="s">
        <v>14178</v>
      </c>
      <c r="G14479" t="s">
        <v>18159</v>
      </c>
      <c r="H14479" t="s">
        <v>33770</v>
      </c>
    </row>
    <row r="14480" spans="1:8">
      <c r="H14480" t="s">
        <v>33771</v>
      </c>
    </row>
    <row r="14481" spans="1:8">
      <c r="A14481" t="s">
        <v>3103</v>
      </c>
      <c r="B14481">
        <f>HYPERLINK("https://android.googlesource.com/platform/cts/+/37c85e4fc4a17134ab6b8006fe3ee78faf34a4d7", "37c85e4fc4a17134ab6b8006fe3ee78faf34a4d7")</f>
        <v>0</v>
      </c>
      <c r="C14481">
        <f>HYPERLINK("https://android.googlesource.com/platform/cts/+/0112fc5b0f0836ea7e0bc4fddc84bc28f0adbcf8", "0112fc5b0f0836ea7e0bc4fddc84bc28f0adbcf8")</f>
        <v>0</v>
      </c>
      <c r="D14481" t="s">
        <v>5189</v>
      </c>
      <c r="E14481" t="s">
        <v>8823</v>
      </c>
      <c r="F14481" t="s">
        <v>14136</v>
      </c>
      <c r="G14481" t="s">
        <v>18124</v>
      </c>
      <c r="H14481" t="s">
        <v>33783</v>
      </c>
    </row>
    <row r="14482" spans="1:8">
      <c r="A14482" t="s">
        <v>3113</v>
      </c>
      <c r="B14482">
        <f>HYPERLINK("https://android.googlesource.com/platform/cts/+/a672b5751d99d8dd966645dc75195e85643deb60", "a672b5751d99d8dd966645dc75195e85643deb60")</f>
        <v>0</v>
      </c>
      <c r="C14482">
        <f>HYPERLINK("https://android.googlesource.com/platform/cts/+/fc80d4cc95536675f67f0b112e2ccd6d5e337152", "fc80d4cc95536675f67f0b112e2ccd6d5e337152")</f>
        <v>0</v>
      </c>
      <c r="D14482" t="s">
        <v>5512</v>
      </c>
      <c r="E14482" t="s">
        <v>8830</v>
      </c>
      <c r="F14482" t="s">
        <v>14183</v>
      </c>
      <c r="G14482" t="s">
        <v>18164</v>
      </c>
      <c r="H14482" t="s">
        <v>33801</v>
      </c>
    </row>
    <row r="14483" spans="1:8">
      <c r="A14483" t="s">
        <v>3114</v>
      </c>
      <c r="B14483">
        <f>HYPERLINK("https://android.googlesource.com/platform/cts/+/02afda6fcc15ee8c1b3b80ed09194baf96c84a3d", "02afda6fcc15ee8c1b3b80ed09194baf96c84a3d")</f>
        <v>0</v>
      </c>
      <c r="C14483">
        <f>HYPERLINK("https://android.googlesource.com/platform/cts/+/140ea4b8d2624656efb6f09c8546642bbcb13bfa", "140ea4b8d2624656efb6f09c8546642bbcb13bfa")</f>
        <v>0</v>
      </c>
      <c r="D14483" t="s">
        <v>5513</v>
      </c>
      <c r="E14483" t="s">
        <v>8831</v>
      </c>
      <c r="F14483" t="s">
        <v>14184</v>
      </c>
      <c r="G14483" t="s">
        <v>18165</v>
      </c>
      <c r="H14483" t="s">
        <v>33822</v>
      </c>
    </row>
    <row r="14484" spans="1:8">
      <c r="A14484" t="s">
        <v>3116</v>
      </c>
      <c r="B14484">
        <f>HYPERLINK("https://android.googlesource.com/platform/cts/+/1a07a0226b918ceca94efa835b30f4c51eb26182", "1a07a0226b918ceca94efa835b30f4c51eb26182")</f>
        <v>0</v>
      </c>
      <c r="C14484">
        <f>HYPERLINK("https://android.googlesource.com/platform/cts/+/3047367b6eea6b2539bc2f106549999b7055f486", "3047367b6eea6b2539bc2f106549999b7055f486")</f>
        <v>0</v>
      </c>
      <c r="D14484" t="s">
        <v>5473</v>
      </c>
      <c r="E14484" t="s">
        <v>8833</v>
      </c>
      <c r="F14484" t="s">
        <v>14185</v>
      </c>
      <c r="G14484" t="s">
        <v>18166</v>
      </c>
      <c r="H14484" t="s">
        <v>33831</v>
      </c>
    </row>
    <row r="14485" spans="1:8">
      <c r="A14485" t="s">
        <v>3117</v>
      </c>
      <c r="B14485">
        <f>HYPERLINK("https://android.googlesource.com/platform/cts/+/91918926e8ab6411266e070e225e9f0fe5ab0b70", "91918926e8ab6411266e070e225e9f0fe5ab0b70")</f>
        <v>0</v>
      </c>
      <c r="C14485">
        <f>HYPERLINK("https://android.googlesource.com/platform/cts/+/2fb31579bfc425aec628dcbd5d72a719b17b0279", "2fb31579bfc425aec628dcbd5d72a719b17b0279")</f>
        <v>0</v>
      </c>
      <c r="D14485" t="s">
        <v>5507</v>
      </c>
      <c r="E14485" t="s">
        <v>8834</v>
      </c>
      <c r="F14485" t="s">
        <v>13357</v>
      </c>
      <c r="G14485" t="s">
        <v>17484</v>
      </c>
      <c r="H14485" t="s">
        <v>33864</v>
      </c>
    </row>
    <row r="14486" spans="1:8">
      <c r="H14486" t="s">
        <v>33865</v>
      </c>
    </row>
    <row r="14487" spans="1:8">
      <c r="H14487" t="s">
        <v>33866</v>
      </c>
    </row>
    <row r="14488" spans="1:8">
      <c r="H14488" t="s">
        <v>33867</v>
      </c>
    </row>
    <row r="14489" spans="1:8">
      <c r="H14489" t="s">
        <v>33868</v>
      </c>
    </row>
    <row r="14490" spans="1:8">
      <c r="H14490" t="s">
        <v>33869</v>
      </c>
    </row>
    <row r="14491" spans="1:8">
      <c r="H14491" t="s">
        <v>33870</v>
      </c>
    </row>
    <row r="14492" spans="1:8">
      <c r="H14492" t="s">
        <v>33871</v>
      </c>
    </row>
    <row r="14493" spans="1:8">
      <c r="H14493" t="s">
        <v>33872</v>
      </c>
    </row>
    <row r="14494" spans="1:8">
      <c r="H14494" t="s">
        <v>33873</v>
      </c>
    </row>
    <row r="14495" spans="1:8">
      <c r="H14495" t="s">
        <v>33874</v>
      </c>
    </row>
    <row r="14496" spans="1:8">
      <c r="H14496" t="s">
        <v>33875</v>
      </c>
    </row>
    <row r="14497" spans="1:8">
      <c r="H14497" t="s">
        <v>33876</v>
      </c>
    </row>
    <row r="14498" spans="1:8">
      <c r="H14498" t="s">
        <v>33877</v>
      </c>
    </row>
    <row r="14499" spans="1:8">
      <c r="H14499" t="s">
        <v>33878</v>
      </c>
    </row>
    <row r="14500" spans="1:8">
      <c r="H14500" t="s">
        <v>33879</v>
      </c>
    </row>
    <row r="14501" spans="1:8">
      <c r="H14501" t="s">
        <v>33880</v>
      </c>
    </row>
    <row r="14502" spans="1:8">
      <c r="H14502" t="s">
        <v>33881</v>
      </c>
    </row>
    <row r="14503" spans="1:8">
      <c r="A14503" t="s">
        <v>3124</v>
      </c>
      <c r="B14503">
        <f>HYPERLINK("https://android.googlesource.com/platform/cts/+/c5afdc881bc708bbe90409784bd4319e89b9c743", "c5afdc881bc708bbe90409784bd4319e89b9c743")</f>
        <v>0</v>
      </c>
      <c r="C14503">
        <f>HYPERLINK("https://android.googlesource.com/platform/cts/+/35074dc15f7fd18ad768292b1f6883a08b2f402b", "35074dc15f7fd18ad768292b1f6883a08b2f402b")</f>
        <v>0</v>
      </c>
      <c r="D14503" t="s">
        <v>5502</v>
      </c>
      <c r="E14503" t="s">
        <v>8841</v>
      </c>
      <c r="F14503" t="s">
        <v>14188</v>
      </c>
      <c r="G14503" t="s">
        <v>18168</v>
      </c>
      <c r="H14503" t="s">
        <v>18836</v>
      </c>
    </row>
    <row r="14504" spans="1:8">
      <c r="H14504" t="s">
        <v>19010</v>
      </c>
    </row>
    <row r="14505" spans="1:8">
      <c r="H14505" t="s">
        <v>33898</v>
      </c>
    </row>
    <row r="14506" spans="1:8">
      <c r="A14506" t="s">
        <v>3125</v>
      </c>
      <c r="B14506">
        <f>HYPERLINK("https://android.googlesource.com/platform/cts/+/0aa51fceeec7d72520571d9f1f1232511cbc1f6b", "0aa51fceeec7d72520571d9f1f1232511cbc1f6b")</f>
        <v>0</v>
      </c>
      <c r="C14506">
        <f>HYPERLINK("https://android.googlesource.com/platform/cts/+/9e2b08c2eefe8451af1f3c4760e524f0dbaf2074", "9e2b08c2eefe8451af1f3c4760e524f0dbaf2074")</f>
        <v>0</v>
      </c>
      <c r="D14506" t="s">
        <v>5515</v>
      </c>
      <c r="E14506" t="s">
        <v>8842</v>
      </c>
      <c r="F14506" t="s">
        <v>14084</v>
      </c>
      <c r="G14506" t="s">
        <v>18080</v>
      </c>
      <c r="H14506" t="s">
        <v>33899</v>
      </c>
    </row>
    <row r="14507" spans="1:8">
      <c r="H14507" t="s">
        <v>33900</v>
      </c>
    </row>
    <row r="14508" spans="1:8">
      <c r="A14508" t="s">
        <v>3126</v>
      </c>
      <c r="B14508">
        <f>HYPERLINK("https://android.googlesource.com/platform/cts/+/203b3c7cfc10ca0651aad8e75ebd5c573b303002", "203b3c7cfc10ca0651aad8e75ebd5c573b303002")</f>
        <v>0</v>
      </c>
      <c r="C14508">
        <f>HYPERLINK("https://android.googlesource.com/platform/cts/+/1f3dab8daf977436eb03c033e4985638dd567247", "1f3dab8daf977436eb03c033e4985638dd567247")</f>
        <v>0</v>
      </c>
      <c r="D14508" t="s">
        <v>5502</v>
      </c>
      <c r="E14508" t="s">
        <v>8843</v>
      </c>
      <c r="F14508" t="s">
        <v>14188</v>
      </c>
      <c r="G14508" t="s">
        <v>18168</v>
      </c>
      <c r="H14508" t="s">
        <v>18836</v>
      </c>
    </row>
    <row r="14509" spans="1:8">
      <c r="H14509" t="s">
        <v>19010</v>
      </c>
    </row>
    <row r="14510" spans="1:8">
      <c r="H14510" t="s">
        <v>33898</v>
      </c>
    </row>
    <row r="14511" spans="1:8">
      <c r="A14511" t="s">
        <v>3128</v>
      </c>
      <c r="B14511">
        <f>HYPERLINK("https://android.googlesource.com/platform/cts/+/b58ec1c04ea66db742c97c9683ead4b87ddbd11b", "b58ec1c04ea66db742c97c9683ead4b87ddbd11b")</f>
        <v>0</v>
      </c>
      <c r="C14511">
        <f>HYPERLINK("https://android.googlesource.com/platform/cts/+/0b753940813981a0a4563b9c79e911547c8579a2", "0b753940813981a0a4563b9c79e911547c8579a2")</f>
        <v>0</v>
      </c>
      <c r="D14511" t="s">
        <v>5512</v>
      </c>
      <c r="E14511" t="s">
        <v>8845</v>
      </c>
      <c r="F14511" t="s">
        <v>13990</v>
      </c>
      <c r="G14511" t="s">
        <v>18009</v>
      </c>
      <c r="H14511" t="s">
        <v>33902</v>
      </c>
    </row>
    <row r="14512" spans="1:8">
      <c r="A14512" t="s">
        <v>3135</v>
      </c>
      <c r="B14512">
        <f>HYPERLINK("https://android.googlesource.com/platform/cts/+/2778a5c4258fe732b963838deee4cd1a4b2a3980", "2778a5c4258fe732b963838deee4cd1a4b2a3980")</f>
        <v>0</v>
      </c>
      <c r="C14512">
        <f>HYPERLINK("https://android.googlesource.com/platform/cts/+/ae621cb53ea14e430ec4a768e6bf9b4363931ccc", "ae621cb53ea14e430ec4a768e6bf9b4363931ccc")</f>
        <v>0</v>
      </c>
      <c r="D14512" t="s">
        <v>5443</v>
      </c>
      <c r="E14512" t="s">
        <v>8852</v>
      </c>
      <c r="F14512" t="s">
        <v>13550</v>
      </c>
      <c r="G14512" t="s">
        <v>17569</v>
      </c>
      <c r="H14512" t="s">
        <v>33906</v>
      </c>
    </row>
    <row r="14513" spans="1:8">
      <c r="A14513" t="s">
        <v>3156</v>
      </c>
      <c r="B14513">
        <f>HYPERLINK("https://android.googlesource.com/platform/cts/+/9d83bb18bd41136dbd29ac3f5375dc361198742a", "9d83bb18bd41136dbd29ac3f5375dc361198742a")</f>
        <v>0</v>
      </c>
      <c r="C14513">
        <f>HYPERLINK("https://android.googlesource.com/platform/cts/+/4795216e44546d511fbdbd52ac0e86262f554607", "4795216e44546d511fbdbd52ac0e86262f554607")</f>
        <v>0</v>
      </c>
      <c r="D14513" t="s">
        <v>5443</v>
      </c>
      <c r="E14513" t="s">
        <v>8872</v>
      </c>
      <c r="F14513" t="s">
        <v>13990</v>
      </c>
      <c r="G14513" t="s">
        <v>18009</v>
      </c>
      <c r="H14513" t="s">
        <v>33954</v>
      </c>
    </row>
    <row r="14514" spans="1:8">
      <c r="A14514" t="s">
        <v>3161</v>
      </c>
      <c r="B14514">
        <f>HYPERLINK("https://android.googlesource.com/platform/cts/+/52983e2746ed6a149ccd7337e243a0fb71248519", "52983e2746ed6a149ccd7337e243a0fb71248519")</f>
        <v>0</v>
      </c>
      <c r="C14514">
        <f>HYPERLINK("https://android.googlesource.com/platform/cts/+/a7dcdb475eba403bc19f234157bd5a31656684b9", "a7dcdb475eba403bc19f234157bd5a31656684b9")</f>
        <v>0</v>
      </c>
      <c r="D14514" t="s">
        <v>5512</v>
      </c>
      <c r="E14514" t="s">
        <v>8877</v>
      </c>
      <c r="F14514" t="s">
        <v>12710</v>
      </c>
      <c r="G14514" t="s">
        <v>16911</v>
      </c>
      <c r="H14514" t="s">
        <v>33765</v>
      </c>
    </row>
    <row r="14515" spans="1:8">
      <c r="A14515" t="s">
        <v>3162</v>
      </c>
      <c r="B14515">
        <f>HYPERLINK("https://android.googlesource.com/platform/cts/+/4a2b7c15bf19a045187ae7b5c8c86641d8aa740f", "4a2b7c15bf19a045187ae7b5c8c86641d8aa740f")</f>
        <v>0</v>
      </c>
      <c r="C14515">
        <f>HYPERLINK("https://android.googlesource.com/platform/cts/+/3d1dda9e3cf179b8fb4d20610a2538178e7b64d1", "3d1dda9e3cf179b8fb4d20610a2538178e7b64d1")</f>
        <v>0</v>
      </c>
      <c r="D14515" t="s">
        <v>5512</v>
      </c>
      <c r="E14515" t="s">
        <v>8878</v>
      </c>
      <c r="F14515" t="s">
        <v>12710</v>
      </c>
      <c r="G14515" t="s">
        <v>16911</v>
      </c>
      <c r="H14515" t="s">
        <v>33765</v>
      </c>
    </row>
    <row r="14516" spans="1:8">
      <c r="A14516" t="s">
        <v>3163</v>
      </c>
      <c r="B14516">
        <f>HYPERLINK("https://android.googlesource.com/platform/cts/+/037e8a0a8bdecaf69b3933e9a40ad1b7fd93f205", "037e8a0a8bdecaf69b3933e9a40ad1b7fd93f205")</f>
        <v>0</v>
      </c>
      <c r="C14516">
        <f>HYPERLINK("https://android.googlesource.com/platform/cts/+/d61d5021ce81d829c4c2d57eb0d6db2b2976b725", "d61d5021ce81d829c4c2d57eb0d6db2b2976b725")</f>
        <v>0</v>
      </c>
      <c r="D14516" t="s">
        <v>5512</v>
      </c>
      <c r="E14516" t="s">
        <v>8879</v>
      </c>
      <c r="F14516" t="s">
        <v>13990</v>
      </c>
      <c r="G14516" t="s">
        <v>18009</v>
      </c>
      <c r="H14516" t="s">
        <v>33956</v>
      </c>
    </row>
    <row r="14517" spans="1:8">
      <c r="A14517" t="s">
        <v>3164</v>
      </c>
      <c r="B14517">
        <f>HYPERLINK("https://android.googlesource.com/platform/cts/+/8ae79c20a9dace79c7f9d35f811ac898ca33ea5a", "8ae79c20a9dace79c7f9d35f811ac898ca33ea5a")</f>
        <v>0</v>
      </c>
      <c r="C14517">
        <f>HYPERLINK("https://android.googlesource.com/platform/cts/+/8da7c240d47e1c1a5abb762c11f1bd50290b83fe", "8da7c240d47e1c1a5abb762c11f1bd50290b83fe")</f>
        <v>0</v>
      </c>
      <c r="D14517" t="s">
        <v>5522</v>
      </c>
      <c r="E14517" t="s">
        <v>8880</v>
      </c>
      <c r="F14517" t="s">
        <v>14194</v>
      </c>
      <c r="G14517" t="s">
        <v>18173</v>
      </c>
      <c r="H14517" t="s">
        <v>33957</v>
      </c>
    </row>
    <row r="14518" spans="1:8">
      <c r="H14518" t="s">
        <v>33958</v>
      </c>
    </row>
    <row r="14519" spans="1:8">
      <c r="H14519" t="s">
        <v>33959</v>
      </c>
    </row>
    <row r="14520" spans="1:8">
      <c r="H14520" t="s">
        <v>33960</v>
      </c>
    </row>
    <row r="14521" spans="1:8">
      <c r="H14521" t="s">
        <v>33961</v>
      </c>
    </row>
    <row r="14522" spans="1:8">
      <c r="H14522" t="s">
        <v>33962</v>
      </c>
    </row>
    <row r="14523" spans="1:8">
      <c r="H14523" t="s">
        <v>33963</v>
      </c>
    </row>
    <row r="14524" spans="1:8">
      <c r="H14524" t="s">
        <v>33964</v>
      </c>
    </row>
    <row r="14525" spans="1:8">
      <c r="H14525" t="s">
        <v>33965</v>
      </c>
    </row>
    <row r="14526" spans="1:8">
      <c r="H14526" t="s">
        <v>33966</v>
      </c>
    </row>
    <row r="14527" spans="1:8">
      <c r="H14527" t="s">
        <v>33967</v>
      </c>
    </row>
    <row r="14528" spans="1:8">
      <c r="H14528" t="s">
        <v>33968</v>
      </c>
    </row>
    <row r="14529" spans="1:8">
      <c r="A14529" t="s">
        <v>3168</v>
      </c>
      <c r="B14529">
        <f>HYPERLINK("https://android.googlesource.com/platform/cts/+/e5a396ce501475fe3f7ba3caa8d5978da986b9db", "e5a396ce501475fe3f7ba3caa8d5978da986b9db")</f>
        <v>0</v>
      </c>
      <c r="C14529">
        <f>HYPERLINK("https://android.googlesource.com/platform/cts/+/db1c28346c86cda192d09b6d71a12210d3a9e063", "db1c28346c86cda192d09b6d71a12210d3a9e063")</f>
        <v>0</v>
      </c>
      <c r="D14529" t="s">
        <v>5134</v>
      </c>
      <c r="E14529" t="s">
        <v>8884</v>
      </c>
      <c r="F14529" t="s">
        <v>14197</v>
      </c>
      <c r="G14529" t="s">
        <v>18176</v>
      </c>
      <c r="H14529" t="s">
        <v>33971</v>
      </c>
    </row>
    <row r="14530" spans="1:8">
      <c r="H14530" t="s">
        <v>33972</v>
      </c>
    </row>
    <row r="14531" spans="1:8">
      <c r="H14531" t="s">
        <v>33973</v>
      </c>
    </row>
    <row r="14532" spans="1:8">
      <c r="H14532" t="s">
        <v>33974</v>
      </c>
    </row>
    <row r="14533" spans="1:8">
      <c r="H14533" t="s">
        <v>33975</v>
      </c>
    </row>
    <row r="14534" spans="1:8">
      <c r="H14534" t="s">
        <v>33977</v>
      </c>
    </row>
    <row r="14535" spans="1:8">
      <c r="H14535" t="s">
        <v>33978</v>
      </c>
    </row>
    <row r="14536" spans="1:8">
      <c r="A14536" t="s">
        <v>3171</v>
      </c>
      <c r="B14536">
        <f>HYPERLINK("https://android.googlesource.com/platform/cts/+/c58d612f2de930e3ff94a535cc6ba262a36b14a6", "c58d612f2de930e3ff94a535cc6ba262a36b14a6")</f>
        <v>0</v>
      </c>
      <c r="C14536">
        <f>HYPERLINK("https://android.googlesource.com/platform/cts/+/adae68c82b4c55bc1ab9a014a559d4bd7bfe3b94", "adae68c82b4c55bc1ab9a014a559d4bd7bfe3b94")</f>
        <v>0</v>
      </c>
      <c r="D14536" t="s">
        <v>5139</v>
      </c>
      <c r="E14536" t="s">
        <v>8887</v>
      </c>
      <c r="F14536" t="s">
        <v>13816</v>
      </c>
      <c r="G14536" t="s">
        <v>15089</v>
      </c>
      <c r="H14536" t="s">
        <v>33989</v>
      </c>
    </row>
    <row r="14537" spans="1:8">
      <c r="H14537" t="s">
        <v>33990</v>
      </c>
    </row>
    <row r="14538" spans="1:8">
      <c r="H14538" t="s">
        <v>33991</v>
      </c>
    </row>
    <row r="14539" spans="1:8">
      <c r="H14539" t="s">
        <v>33992</v>
      </c>
    </row>
    <row r="14540" spans="1:8">
      <c r="A14540" t="s">
        <v>3173</v>
      </c>
      <c r="B14540">
        <f>HYPERLINK("https://android.googlesource.com/platform/cts/+/563dc74407adc595ba84021e09203971a7c71e28", "563dc74407adc595ba84021e09203971a7c71e28")</f>
        <v>0</v>
      </c>
      <c r="C14540">
        <f>HYPERLINK("https://android.googlesource.com/platform/cts/+/29ea696b682e3d22b040bcfafcad8ff04b36d260", "29ea696b682e3d22b040bcfafcad8ff04b36d260")</f>
        <v>0</v>
      </c>
      <c r="D14540" t="s">
        <v>5472</v>
      </c>
      <c r="E14540" t="s">
        <v>8889</v>
      </c>
      <c r="F14540" t="s">
        <v>14062</v>
      </c>
      <c r="G14540" t="s">
        <v>18060</v>
      </c>
      <c r="H14540" t="s">
        <v>33995</v>
      </c>
    </row>
    <row r="14541" spans="1:8">
      <c r="H14541" t="s">
        <v>33996</v>
      </c>
    </row>
    <row r="14542" spans="1:8">
      <c r="H14542" t="s">
        <v>33997</v>
      </c>
    </row>
    <row r="14543" spans="1:8">
      <c r="F14543" t="s">
        <v>14122</v>
      </c>
      <c r="G14543" t="s">
        <v>18112</v>
      </c>
      <c r="H14543" t="s">
        <v>33998</v>
      </c>
    </row>
    <row r="14544" spans="1:8">
      <c r="A14544" t="s">
        <v>3175</v>
      </c>
      <c r="B14544">
        <f>HYPERLINK("https://android.googlesource.com/platform/cts/+/02a66d3355f399b83be12c724c1e3149af60cf7c", "02a66d3355f399b83be12c724c1e3149af60cf7c")</f>
        <v>0</v>
      </c>
      <c r="C14544">
        <f>HYPERLINK("https://android.googlesource.com/platform/cts/+/47618dd61cfb39d68b4a5341999917b1d96b1975", "47618dd61cfb39d68b4a5341999917b1d96b1975")</f>
        <v>0</v>
      </c>
      <c r="D14544" t="s">
        <v>5526</v>
      </c>
      <c r="E14544" t="s">
        <v>8891</v>
      </c>
      <c r="F14544" t="s">
        <v>13227</v>
      </c>
      <c r="G14544" t="s">
        <v>17368</v>
      </c>
      <c r="H14544" t="s">
        <v>29751</v>
      </c>
    </row>
    <row r="14545" spans="1:8">
      <c r="A14545" t="s">
        <v>3176</v>
      </c>
      <c r="B14545">
        <f>HYPERLINK("https://android.googlesource.com/platform/cts/+/fd75864da2796bcda58f036b0adf711a0854259f", "fd75864da2796bcda58f036b0adf711a0854259f")</f>
        <v>0</v>
      </c>
      <c r="C14545">
        <f>HYPERLINK("https://android.googlesource.com/platform/cts/+/47618dd61cfb39d68b4a5341999917b1d96b1975", "47618dd61cfb39d68b4a5341999917b1d96b1975")</f>
        <v>0</v>
      </c>
      <c r="D14545" t="s">
        <v>5526</v>
      </c>
      <c r="E14545" t="s">
        <v>8892</v>
      </c>
      <c r="F14545" t="s">
        <v>13223</v>
      </c>
      <c r="G14545" t="s">
        <v>17365</v>
      </c>
      <c r="H14545" t="s">
        <v>34001</v>
      </c>
    </row>
    <row r="14546" spans="1:8">
      <c r="H14546" t="s">
        <v>34002</v>
      </c>
    </row>
    <row r="14547" spans="1:8">
      <c r="F14547" t="s">
        <v>14199</v>
      </c>
      <c r="G14547" t="s">
        <v>18178</v>
      </c>
      <c r="H14547" t="s">
        <v>34007</v>
      </c>
    </row>
    <row r="14548" spans="1:8">
      <c r="A14548" t="s">
        <v>3178</v>
      </c>
      <c r="B14548">
        <f>HYPERLINK("https://android.googlesource.com/platform/cts/+/11d02c8d75d35c2fd3b3c98c2773b5b25d015ce8", "11d02c8d75d35c2fd3b3c98c2773b5b25d015ce8")</f>
        <v>0</v>
      </c>
      <c r="C14548">
        <f>HYPERLINK("https://android.googlesource.com/platform/cts/+/49b2a2136961b9e348cf1a31aab6e698dfcf33f3", "49b2a2136961b9e348cf1a31aab6e698dfcf33f3")</f>
        <v>0</v>
      </c>
      <c r="D14548" t="s">
        <v>5334</v>
      </c>
      <c r="E14548" t="s">
        <v>8894</v>
      </c>
      <c r="F14548" t="s">
        <v>14200</v>
      </c>
      <c r="G14548" t="s">
        <v>18179</v>
      </c>
      <c r="H14548" t="s">
        <v>34015</v>
      </c>
    </row>
    <row r="14549" spans="1:8">
      <c r="A14549" t="s">
        <v>3179</v>
      </c>
      <c r="B14549">
        <f>HYPERLINK("https://android.googlesource.com/platform/cts/+/55de88314923bd2211aa640f510fab3f6aacaf7f", "55de88314923bd2211aa640f510fab3f6aacaf7f")</f>
        <v>0</v>
      </c>
      <c r="C14549">
        <f>HYPERLINK("https://android.googlesource.com/platform/cts/+/d5aa68c56a5ad76821980ed0cc01eb231057f4b0", "d5aa68c56a5ad76821980ed0cc01eb231057f4b0")</f>
        <v>0</v>
      </c>
      <c r="D14549" t="s">
        <v>5341</v>
      </c>
      <c r="E14549" t="s">
        <v>8895</v>
      </c>
      <c r="F14549" t="s">
        <v>13827</v>
      </c>
      <c r="G14549" t="s">
        <v>17871</v>
      </c>
      <c r="H14549" t="s">
        <v>34018</v>
      </c>
    </row>
    <row r="14550" spans="1:8">
      <c r="A14550" t="s">
        <v>3186</v>
      </c>
      <c r="B14550">
        <f>HYPERLINK("https://android.googlesource.com/platform/cts/+/c89ed95219a4235f78bab6289e80d5d02cb72398", "c89ed95219a4235f78bab6289e80d5d02cb72398")</f>
        <v>0</v>
      </c>
      <c r="C14550">
        <f>HYPERLINK("https://android.googlesource.com/platform/cts/+/b1d5e2b89cf58084fa2d33ac018da2ee3c3920af", "b1d5e2b89cf58084fa2d33ac018da2ee3c3920af")</f>
        <v>0</v>
      </c>
      <c r="D14550" t="s">
        <v>5357</v>
      </c>
      <c r="E14550" t="s">
        <v>8902</v>
      </c>
      <c r="F14550" t="s">
        <v>14202</v>
      </c>
      <c r="G14550" t="s">
        <v>17995</v>
      </c>
      <c r="H14550" t="s">
        <v>34025</v>
      </c>
    </row>
    <row r="14551" spans="1:8">
      <c r="A14551" t="s">
        <v>3191</v>
      </c>
      <c r="B14551">
        <f>HYPERLINK("https://android.googlesource.com/platform/cts/+/beb49990df5d3a6304baab3531bb470f274edd2b", "beb49990df5d3a6304baab3531bb470f274edd2b")</f>
        <v>0</v>
      </c>
      <c r="C14551">
        <f>HYPERLINK("https://android.googlesource.com/platform/cts/+/bcd6370fc6bac1d96804479abc40093920cca5df", "bcd6370fc6bac1d96804479abc40093920cca5df")</f>
        <v>0</v>
      </c>
      <c r="D14551" t="s">
        <v>5463</v>
      </c>
      <c r="E14551" t="s">
        <v>8906</v>
      </c>
      <c r="F14551" t="s">
        <v>14205</v>
      </c>
      <c r="G14551" t="s">
        <v>18181</v>
      </c>
      <c r="H14551" t="s">
        <v>34030</v>
      </c>
    </row>
    <row r="14552" spans="1:8">
      <c r="H14552" t="s">
        <v>34031</v>
      </c>
    </row>
    <row r="14553" spans="1:8">
      <c r="A14553" t="s">
        <v>3192</v>
      </c>
      <c r="B14553">
        <f>HYPERLINK("https://android.googlesource.com/platform/cts/+/343e16244a21adcfe402e67b64a618dc8c48f81c", "343e16244a21adcfe402e67b64a618dc8c48f81c")</f>
        <v>0</v>
      </c>
      <c r="C14553">
        <f>HYPERLINK("https://android.googlesource.com/platform/cts/+/fec07ed43e59ecad51f87e11de2da8639e7d9b74", "fec07ed43e59ecad51f87e11de2da8639e7d9b74")</f>
        <v>0</v>
      </c>
      <c r="D14553" t="s">
        <v>5497</v>
      </c>
      <c r="E14553" t="s">
        <v>8907</v>
      </c>
      <c r="F14553" t="s">
        <v>14145</v>
      </c>
      <c r="G14553" t="s">
        <v>18133</v>
      </c>
      <c r="H14553" t="s">
        <v>34038</v>
      </c>
    </row>
    <row r="14554" spans="1:8">
      <c r="A14554" t="s">
        <v>3204</v>
      </c>
      <c r="B14554">
        <f>HYPERLINK("https://android.googlesource.com/platform/cts/+/9780db52625073ddbe48c2e93bc32ecb0618f40d", "9780db52625073ddbe48c2e93bc32ecb0618f40d")</f>
        <v>0</v>
      </c>
      <c r="C14554">
        <f>HYPERLINK("https://android.googlesource.com/platform/cts/+/e6476ccb1093ad9d2e05184c4c761e5cd3119a1b", "e6476ccb1093ad9d2e05184c4c761e5cd3119a1b")</f>
        <v>0</v>
      </c>
      <c r="D14554" t="s">
        <v>5512</v>
      </c>
      <c r="E14554" t="s">
        <v>8918</v>
      </c>
      <c r="F14554" t="s">
        <v>13990</v>
      </c>
      <c r="G14554" t="s">
        <v>18009</v>
      </c>
      <c r="H14554" t="s">
        <v>34072</v>
      </c>
    </row>
    <row r="14555" spans="1:8">
      <c r="H14555" t="s">
        <v>34073</v>
      </c>
    </row>
    <row r="14556" spans="1:8">
      <c r="F14556" t="s">
        <v>13716</v>
      </c>
      <c r="G14556" t="s">
        <v>17783</v>
      </c>
      <c r="H14556" t="s">
        <v>34074</v>
      </c>
    </row>
    <row r="14557" spans="1:8">
      <c r="A14557" t="s">
        <v>3206</v>
      </c>
      <c r="B14557">
        <f>HYPERLINK("https://android.googlesource.com/platform/cts/+/f77cfb9375575c4c995e7d0c9cfe005fe1200c42", "f77cfb9375575c4c995e7d0c9cfe005fe1200c42")</f>
        <v>0</v>
      </c>
      <c r="C14557">
        <f>HYPERLINK("https://android.googlesource.com/platform/cts/+/28e4db098fd898eb601066a15d20786f50c1ed4f", "28e4db098fd898eb601066a15d20786f50c1ed4f")</f>
        <v>0</v>
      </c>
      <c r="D14557" t="s">
        <v>5195</v>
      </c>
      <c r="E14557" t="s">
        <v>8920</v>
      </c>
      <c r="F14557" t="s">
        <v>14215</v>
      </c>
      <c r="G14557" t="s">
        <v>18189</v>
      </c>
      <c r="H14557" t="s">
        <v>34075</v>
      </c>
    </row>
    <row r="14558" spans="1:8">
      <c r="A14558" t="s">
        <v>3212</v>
      </c>
      <c r="B14558">
        <f>HYPERLINK("https://android.googlesource.com/platform/cts/+/9c92fa8c06077ce8a6bd4d19d6c86a9f314edc77", "9c92fa8c06077ce8a6bd4d19d6c86a9f314edc77")</f>
        <v>0</v>
      </c>
      <c r="C14558">
        <f>HYPERLINK("https://android.googlesource.com/platform/cts/+/f32b8eaa519577c47f33538c1487283335c4bb07", "f32b8eaa519577c47f33538c1487283335c4bb07")</f>
        <v>0</v>
      </c>
      <c r="D14558" t="s">
        <v>5512</v>
      </c>
      <c r="E14558" t="s">
        <v>8926</v>
      </c>
      <c r="F14558" t="s">
        <v>13716</v>
      </c>
      <c r="G14558" t="s">
        <v>17783</v>
      </c>
      <c r="H14558" t="s">
        <v>34081</v>
      </c>
    </row>
    <row r="14559" spans="1:8">
      <c r="A14559" t="s">
        <v>3214</v>
      </c>
      <c r="B14559">
        <f>HYPERLINK("https://android.googlesource.com/platform/cts/+/45f9d50325a648a22fd38671753216a934cdfb10", "45f9d50325a648a22fd38671753216a934cdfb10")</f>
        <v>0</v>
      </c>
      <c r="C14559">
        <f>HYPERLINK("https://android.googlesource.com/platform/cts/+/7906b85aeacf5e6529e110efa091f8adfe421367", "7906b85aeacf5e6529e110efa091f8adfe421367")</f>
        <v>0</v>
      </c>
      <c r="D14559" t="s">
        <v>5512</v>
      </c>
      <c r="E14559" t="s">
        <v>8928</v>
      </c>
      <c r="F14559" t="s">
        <v>13990</v>
      </c>
      <c r="G14559" t="s">
        <v>18009</v>
      </c>
      <c r="H14559" t="s">
        <v>34082</v>
      </c>
    </row>
    <row r="14560" spans="1:8">
      <c r="A14560" t="s">
        <v>3218</v>
      </c>
      <c r="B14560">
        <f>HYPERLINK("https://android.googlesource.com/platform/cts/+/2e59a5e9b0f18c603dc8d8447c9fc56163fbb94e", "2e59a5e9b0f18c603dc8d8447c9fc56163fbb94e")</f>
        <v>0</v>
      </c>
      <c r="C14560">
        <f>HYPERLINK("https://android.googlesource.com/platform/cts/+/7c10b4dd03f25c0aee296f543b9a4acf7abd38af", "7c10b4dd03f25c0aee296f543b9a4acf7abd38af")</f>
        <v>0</v>
      </c>
      <c r="D14560" t="s">
        <v>5523</v>
      </c>
      <c r="E14560" t="s">
        <v>8932</v>
      </c>
      <c r="F14560" t="s">
        <v>14196</v>
      </c>
      <c r="G14560" t="s">
        <v>18175</v>
      </c>
      <c r="H14560" t="s">
        <v>34083</v>
      </c>
    </row>
    <row r="14561" spans="1:8">
      <c r="A14561" t="s">
        <v>3219</v>
      </c>
      <c r="B14561">
        <f>HYPERLINK("https://android.googlesource.com/platform/cts/+/022fe2a4112c5cee8cc24a70a679058edcc19842", "022fe2a4112c5cee8cc24a70a679058edcc19842")</f>
        <v>0</v>
      </c>
      <c r="C14561">
        <f>HYPERLINK("https://android.googlesource.com/platform/cts/+/b504fec6e151aebf1c14fbf642d7d37741f98da5", "b504fec6e151aebf1c14fbf642d7d37741f98da5")</f>
        <v>0</v>
      </c>
      <c r="D14561" t="s">
        <v>5523</v>
      </c>
      <c r="E14561" t="s">
        <v>8933</v>
      </c>
      <c r="F14561" t="s">
        <v>14196</v>
      </c>
      <c r="G14561" t="s">
        <v>18175</v>
      </c>
      <c r="H14561" t="s">
        <v>34085</v>
      </c>
    </row>
    <row r="14562" spans="1:8">
      <c r="H14562" t="s">
        <v>34087</v>
      </c>
    </row>
    <row r="14563" spans="1:8">
      <c r="H14563" t="s">
        <v>34088</v>
      </c>
    </row>
    <row r="14564" spans="1:8">
      <c r="A14564" t="s">
        <v>3223</v>
      </c>
      <c r="B14564">
        <f>HYPERLINK("https://android.googlesource.com/platform/cts/+/b78a1eb7b8e5c7304f52d3e1a58555d839c906c2", "b78a1eb7b8e5c7304f52d3e1a58555d839c906c2")</f>
        <v>0</v>
      </c>
      <c r="C14564">
        <f>HYPERLINK("https://android.googlesource.com/platform/cts/+/357f3b0f3b5565e860122e0641bd7a591ef08fa6", "357f3b0f3b5565e860122e0641bd7a591ef08fa6")</f>
        <v>0</v>
      </c>
      <c r="D14564" t="s">
        <v>5472</v>
      </c>
      <c r="E14564" t="s">
        <v>8937</v>
      </c>
      <c r="F14564" t="s">
        <v>14218</v>
      </c>
      <c r="G14564" t="s">
        <v>18191</v>
      </c>
      <c r="H14564" t="s">
        <v>34093</v>
      </c>
    </row>
    <row r="14565" spans="1:8">
      <c r="F14565" t="s">
        <v>14122</v>
      </c>
      <c r="G14565" t="s">
        <v>18112</v>
      </c>
      <c r="H14565" t="s">
        <v>34097</v>
      </c>
    </row>
    <row r="14566" spans="1:8">
      <c r="A14566" t="s">
        <v>3227</v>
      </c>
      <c r="B14566">
        <f>HYPERLINK("https://android.googlesource.com/platform/cts/+/4af7f62c031fc1cd6c9fd0bf24bebd8768d5d6d2", "4af7f62c031fc1cd6c9fd0bf24bebd8768d5d6d2")</f>
        <v>0</v>
      </c>
      <c r="C14566">
        <f>HYPERLINK("https://android.googlesource.com/platform/cts/+/afe84db29c7c22faec7dd5a182e2b0ba6b39f7d3", "afe84db29c7c22faec7dd5a182e2b0ba6b39f7d3")</f>
        <v>0</v>
      </c>
      <c r="D14566" t="s">
        <v>5512</v>
      </c>
      <c r="E14566" t="s">
        <v>8942</v>
      </c>
      <c r="F14566" t="s">
        <v>13990</v>
      </c>
      <c r="G14566" t="s">
        <v>18009</v>
      </c>
      <c r="H14566" t="s">
        <v>34072</v>
      </c>
    </row>
    <row r="14567" spans="1:8">
      <c r="A14567" t="s">
        <v>3228</v>
      </c>
      <c r="B14567">
        <f>HYPERLINK("https://android.googlesource.com/platform/cts/+/a8aba9454403f780b568e7b3444ef73117d517f8", "a8aba9454403f780b568e7b3444ef73117d517f8")</f>
        <v>0</v>
      </c>
      <c r="C14567">
        <f>HYPERLINK("https://android.googlesource.com/platform/cts/+/4af7f62c031fc1cd6c9fd0bf24bebd8768d5d6d2", "4af7f62c031fc1cd6c9fd0bf24bebd8768d5d6d2")</f>
        <v>0</v>
      </c>
      <c r="D14567" t="s">
        <v>5512</v>
      </c>
      <c r="E14567" t="s">
        <v>8943</v>
      </c>
      <c r="F14567" t="s">
        <v>13990</v>
      </c>
      <c r="G14567" t="s">
        <v>18009</v>
      </c>
      <c r="H14567" t="s">
        <v>34073</v>
      </c>
    </row>
    <row r="14568" spans="1:8">
      <c r="A14568" t="s">
        <v>3229</v>
      </c>
      <c r="B14568">
        <f>HYPERLINK("https://android.googlesource.com/platform/cts/+/5d583f0760f27a046e89a6d9c44239fbc6470b62", "5d583f0760f27a046e89a6d9c44239fbc6470b62")</f>
        <v>0</v>
      </c>
      <c r="C14568">
        <f>HYPERLINK("https://android.googlesource.com/platform/cts/+/a8aba9454403f780b568e7b3444ef73117d517f8", "a8aba9454403f780b568e7b3444ef73117d517f8")</f>
        <v>0</v>
      </c>
      <c r="D14568" t="s">
        <v>5512</v>
      </c>
      <c r="E14568" t="s">
        <v>8944</v>
      </c>
      <c r="F14568" t="s">
        <v>13990</v>
      </c>
      <c r="G14568" t="s">
        <v>18009</v>
      </c>
      <c r="H14568" t="s">
        <v>34100</v>
      </c>
    </row>
    <row r="14569" spans="1:8">
      <c r="A14569" t="s">
        <v>3230</v>
      </c>
      <c r="B14569">
        <f>HYPERLINK("https://android.googlesource.com/platform/cts/+/2dfcba1e4d4c9b825ec3cbe6478d3d394c9741f0", "2dfcba1e4d4c9b825ec3cbe6478d3d394c9741f0")</f>
        <v>0</v>
      </c>
      <c r="C14569">
        <f>HYPERLINK("https://android.googlesource.com/platform/cts/+/5d583f0760f27a046e89a6d9c44239fbc6470b62", "5d583f0760f27a046e89a6d9c44239fbc6470b62")</f>
        <v>0</v>
      </c>
      <c r="D14569" t="s">
        <v>5512</v>
      </c>
      <c r="E14569" t="s">
        <v>8945</v>
      </c>
      <c r="F14569" t="s">
        <v>13990</v>
      </c>
      <c r="G14569" t="s">
        <v>18009</v>
      </c>
      <c r="H14569" t="s">
        <v>34101</v>
      </c>
    </row>
    <row r="14570" spans="1:8">
      <c r="A14570" t="s">
        <v>3231</v>
      </c>
      <c r="B14570">
        <f>HYPERLINK("https://android.googlesource.com/platform/cts/+/91ef66a12b162e1afe470a0ac0c983efe2f7704c", "91ef66a12b162e1afe470a0ac0c983efe2f7704c")</f>
        <v>0</v>
      </c>
      <c r="C14570">
        <f>HYPERLINK("https://android.googlesource.com/platform/cts/+/2dfcba1e4d4c9b825ec3cbe6478d3d394c9741f0", "2dfcba1e4d4c9b825ec3cbe6478d3d394c9741f0")</f>
        <v>0</v>
      </c>
      <c r="D14570" t="s">
        <v>5512</v>
      </c>
      <c r="E14570" t="s">
        <v>8946</v>
      </c>
      <c r="F14570" t="s">
        <v>13990</v>
      </c>
      <c r="G14570" t="s">
        <v>18009</v>
      </c>
      <c r="H14570" t="s">
        <v>34102</v>
      </c>
    </row>
    <row r="14571" spans="1:8">
      <c r="A14571" t="s">
        <v>3232</v>
      </c>
      <c r="B14571">
        <f>HYPERLINK("https://android.googlesource.com/platform/cts/+/2cb23eedf80f26451b04a89f6173444f948126a9", "2cb23eedf80f26451b04a89f6173444f948126a9")</f>
        <v>0</v>
      </c>
      <c r="C14571">
        <f>HYPERLINK("https://android.googlesource.com/platform/cts/+/ce56f6595f19fde51648fb6acfbe96ad5741e4e5", "ce56f6595f19fde51648fb6acfbe96ad5741e4e5")</f>
        <v>0</v>
      </c>
      <c r="D14571" t="s">
        <v>5512</v>
      </c>
      <c r="E14571" t="s">
        <v>8947</v>
      </c>
      <c r="F14571" t="s">
        <v>13990</v>
      </c>
      <c r="G14571" t="s">
        <v>18009</v>
      </c>
      <c r="H14571" t="s">
        <v>34103</v>
      </c>
    </row>
    <row r="14572" spans="1:8">
      <c r="A14572" t="s">
        <v>3235</v>
      </c>
      <c r="B14572">
        <f>HYPERLINK("https://android.googlesource.com/platform/cts/+/5197494f6bfedb1d2d1ed60e7b41dab1177d0922", "5197494f6bfedb1d2d1ed60e7b41dab1177d0922")</f>
        <v>0</v>
      </c>
      <c r="C14572">
        <f>HYPERLINK("https://android.googlesource.com/platform/cts/+/b04678d72a6145a2dd25437d2ea8d4acb1982e0d", "b04678d72a6145a2dd25437d2ea8d4acb1982e0d")</f>
        <v>0</v>
      </c>
      <c r="D14572" t="s">
        <v>5108</v>
      </c>
      <c r="E14572" t="s">
        <v>8950</v>
      </c>
      <c r="F14572" t="s">
        <v>14221</v>
      </c>
      <c r="G14572" t="s">
        <v>18194</v>
      </c>
      <c r="H14572" t="s">
        <v>31746</v>
      </c>
    </row>
    <row r="14573" spans="1:8">
      <c r="F14573" t="s">
        <v>12743</v>
      </c>
      <c r="G14573" t="s">
        <v>16935</v>
      </c>
      <c r="H14573" t="s">
        <v>34110</v>
      </c>
    </row>
    <row r="14574" spans="1:8">
      <c r="A14574" t="s">
        <v>3236</v>
      </c>
      <c r="B14574">
        <f>HYPERLINK("https://android.googlesource.com/platform/cts/+/0f5ac24098056e0391db0cc244e25440948574f2", "0f5ac24098056e0391db0cc244e25440948574f2")</f>
        <v>0</v>
      </c>
      <c r="C14574">
        <f>HYPERLINK("https://android.googlesource.com/platform/cts/+/c05b74c3235be123060485cf2df4121faec2e355", "c05b74c3235be123060485cf2df4121faec2e355")</f>
        <v>0</v>
      </c>
      <c r="D14574" t="s">
        <v>5526</v>
      </c>
      <c r="E14574" t="s">
        <v>8951</v>
      </c>
      <c r="F14574" t="s">
        <v>13227</v>
      </c>
      <c r="G14574" t="s">
        <v>17368</v>
      </c>
      <c r="H14574" t="s">
        <v>34111</v>
      </c>
    </row>
    <row r="14575" spans="1:8">
      <c r="H14575" t="s">
        <v>34112</v>
      </c>
    </row>
    <row r="14576" spans="1:8">
      <c r="H14576" t="s">
        <v>34113</v>
      </c>
    </row>
    <row r="14577" spans="1:8">
      <c r="H14577" t="s">
        <v>29749</v>
      </c>
    </row>
    <row r="14578" spans="1:8">
      <c r="H14578" t="s">
        <v>34114</v>
      </c>
    </row>
    <row r="14579" spans="1:8">
      <c r="H14579" t="s">
        <v>34115</v>
      </c>
    </row>
    <row r="14580" spans="1:8">
      <c r="H14580" t="s">
        <v>34116</v>
      </c>
    </row>
    <row r="14581" spans="1:8">
      <c r="H14581" t="s">
        <v>34117</v>
      </c>
    </row>
    <row r="14582" spans="1:8">
      <c r="A14582" t="s">
        <v>3242</v>
      </c>
      <c r="B14582">
        <f>HYPERLINK("https://android.googlesource.com/platform/cts/+/6e0254906b8cd1e296efb1dfaa76c48d78cbf35a", "6e0254906b8cd1e296efb1dfaa76c48d78cbf35a")</f>
        <v>0</v>
      </c>
      <c r="C14582">
        <f>HYPERLINK("https://android.googlesource.com/platform/cts/+/f9e5832511aa4c940f88bd5df61ee3571a545a97", "f9e5832511aa4c940f88bd5df61ee3571a545a97")</f>
        <v>0</v>
      </c>
      <c r="D14582" t="s">
        <v>5535</v>
      </c>
      <c r="E14582" t="s">
        <v>8957</v>
      </c>
      <c r="F14582" t="s">
        <v>14223</v>
      </c>
      <c r="G14582" t="s">
        <v>18196</v>
      </c>
      <c r="H14582" t="s">
        <v>34131</v>
      </c>
    </row>
    <row r="14583" spans="1:8">
      <c r="A14583" t="s">
        <v>3247</v>
      </c>
      <c r="B14583">
        <f>HYPERLINK("https://android.googlesource.com/platform/cts/+/16a1d099f104cf9f808c7925dd3251c2cc806a22", "16a1d099f104cf9f808c7925dd3251c2cc806a22")</f>
        <v>0</v>
      </c>
      <c r="C14583">
        <f>HYPERLINK("https://android.googlesource.com/platform/cts/+/3efeb79582d9555e8c9e9f286c17bd405d4cd159", "3efeb79582d9555e8c9e9f286c17bd405d4cd159")</f>
        <v>0</v>
      </c>
      <c r="D14583" t="s">
        <v>5342</v>
      </c>
      <c r="E14583" t="s">
        <v>8961</v>
      </c>
      <c r="F14583" t="s">
        <v>12419</v>
      </c>
      <c r="G14583" t="s">
        <v>16641</v>
      </c>
      <c r="H14583" t="s">
        <v>34133</v>
      </c>
    </row>
    <row r="14584" spans="1:8">
      <c r="A14584" t="s">
        <v>3259</v>
      </c>
      <c r="B14584">
        <f>HYPERLINK("https://android.googlesource.com/platform/cts/+/c0ce6574df7f69ef2edb923fc5ec0af4fb9266c9", "c0ce6574df7f69ef2edb923fc5ec0af4fb9266c9")</f>
        <v>0</v>
      </c>
      <c r="C14584">
        <f>HYPERLINK("https://android.googlesource.com/platform/cts/+/75b9a8634f166e9aa3bd3ea35d87738d71b999fb", "75b9a8634f166e9aa3bd3ea35d87738d71b999fb")</f>
        <v>0</v>
      </c>
      <c r="D14584" t="s">
        <v>5416</v>
      </c>
      <c r="E14584" t="s">
        <v>8972</v>
      </c>
      <c r="F14584" t="s">
        <v>13502</v>
      </c>
      <c r="G14584" t="s">
        <v>17620</v>
      </c>
      <c r="H14584" t="s">
        <v>34146</v>
      </c>
    </row>
    <row r="14585" spans="1:8">
      <c r="A14585" t="s">
        <v>3262</v>
      </c>
      <c r="B14585">
        <f>HYPERLINK("https://android.googlesource.com/platform/cts/+/0b3382a1e134746074f3afc2593039a38c41ab12", "0b3382a1e134746074f3afc2593039a38c41ab12")</f>
        <v>0</v>
      </c>
      <c r="C14585">
        <f>HYPERLINK("https://android.googlesource.com/platform/cts/+/41959ad743b2803898713da1e2d0a3e40ece7520", "41959ad743b2803898713da1e2d0a3e40ece7520")</f>
        <v>0</v>
      </c>
      <c r="D14585" t="s">
        <v>5177</v>
      </c>
      <c r="E14585" t="s">
        <v>8975</v>
      </c>
      <c r="F14585" t="s">
        <v>14230</v>
      </c>
      <c r="G14585" t="s">
        <v>18202</v>
      </c>
      <c r="H14585" t="s">
        <v>34149</v>
      </c>
    </row>
    <row r="14586" spans="1:8">
      <c r="H14586" t="s">
        <v>34150</v>
      </c>
    </row>
    <row r="14587" spans="1:8">
      <c r="H14587" t="s">
        <v>34151</v>
      </c>
    </row>
    <row r="14588" spans="1:8">
      <c r="H14588" t="s">
        <v>34154</v>
      </c>
    </row>
    <row r="14589" spans="1:8">
      <c r="H14589" t="s">
        <v>34155</v>
      </c>
    </row>
    <row r="14590" spans="1:8">
      <c r="H14590" t="s">
        <v>34157</v>
      </c>
    </row>
    <row r="14591" spans="1:8">
      <c r="A14591" t="s">
        <v>3269</v>
      </c>
      <c r="B14591">
        <f>HYPERLINK("https://android.googlesource.com/platform/cts/+/aba7075fea7a761b796240fcd6142f142e6819ab", "aba7075fea7a761b796240fcd6142f142e6819ab")</f>
        <v>0</v>
      </c>
      <c r="C14591">
        <f>HYPERLINK("https://android.googlesource.com/platform/cts/+/df8182e6332b1dfb0d35d81daf0d8ffc93b93ad5", "df8182e6332b1dfb0d35d81daf0d8ffc93b93ad5")</f>
        <v>0</v>
      </c>
      <c r="D14591" t="s">
        <v>5042</v>
      </c>
      <c r="E14591" t="s">
        <v>8981</v>
      </c>
      <c r="F14591" t="s">
        <v>14232</v>
      </c>
      <c r="G14591" t="s">
        <v>18203</v>
      </c>
      <c r="H14591" t="s">
        <v>34163</v>
      </c>
    </row>
    <row r="14592" spans="1:8">
      <c r="H14592" t="s">
        <v>34164</v>
      </c>
    </row>
    <row r="14593" spans="8:8">
      <c r="H14593" t="s">
        <v>34165</v>
      </c>
    </row>
    <row r="14594" spans="8:8">
      <c r="H14594" t="s">
        <v>34166</v>
      </c>
    </row>
    <row r="14595" spans="8:8">
      <c r="H14595" t="s">
        <v>34167</v>
      </c>
    </row>
    <row r="14596" spans="8:8">
      <c r="H14596" t="s">
        <v>34168</v>
      </c>
    </row>
    <row r="14597" spans="8:8">
      <c r="H14597" t="s">
        <v>34170</v>
      </c>
    </row>
    <row r="14598" spans="8:8">
      <c r="H14598" t="s">
        <v>34171</v>
      </c>
    </row>
    <row r="14599" spans="8:8">
      <c r="H14599" t="s">
        <v>34172</v>
      </c>
    </row>
    <row r="14600" spans="8:8">
      <c r="H14600" t="s">
        <v>34173</v>
      </c>
    </row>
    <row r="14601" spans="8:8">
      <c r="H14601" t="s">
        <v>34174</v>
      </c>
    </row>
    <row r="14602" spans="8:8">
      <c r="H14602" t="s">
        <v>34175</v>
      </c>
    </row>
    <row r="14603" spans="8:8">
      <c r="H14603" t="s">
        <v>34177</v>
      </c>
    </row>
    <row r="14604" spans="8:8">
      <c r="H14604" t="s">
        <v>34178</v>
      </c>
    </row>
    <row r="14605" spans="8:8">
      <c r="H14605" t="s">
        <v>34179</v>
      </c>
    </row>
    <row r="14606" spans="8:8">
      <c r="H14606" t="s">
        <v>34180</v>
      </c>
    </row>
    <row r="14607" spans="8:8">
      <c r="H14607" t="s">
        <v>34181</v>
      </c>
    </row>
    <row r="14608" spans="8:8">
      <c r="H14608" t="s">
        <v>34182</v>
      </c>
    </row>
    <row r="14609" spans="1:8">
      <c r="H14609" t="s">
        <v>34184</v>
      </c>
    </row>
    <row r="14610" spans="1:8">
      <c r="H14610" t="s">
        <v>34185</v>
      </c>
    </row>
    <row r="14611" spans="1:8">
      <c r="A14611" t="s">
        <v>3275</v>
      </c>
      <c r="B14611">
        <f>HYPERLINK("https://android.googlesource.com/platform/cts/+/b247239cffdba7a9767a21ca6dc31755e782160c", "b247239cffdba7a9767a21ca6dc31755e782160c")</f>
        <v>0</v>
      </c>
      <c r="C14611">
        <f>HYPERLINK("https://android.googlesource.com/platform/cts/+/5f66384c4b5b90b642edc1be1d2f1eee2b705030", "5f66384c4b5b90b642edc1be1d2f1eee2b705030")</f>
        <v>0</v>
      </c>
      <c r="D14611" t="s">
        <v>5526</v>
      </c>
      <c r="E14611" t="s">
        <v>8987</v>
      </c>
      <c r="F14611" t="s">
        <v>13488</v>
      </c>
      <c r="G14611" t="s">
        <v>17607</v>
      </c>
      <c r="H14611" t="s">
        <v>34190</v>
      </c>
    </row>
    <row r="14612" spans="1:8">
      <c r="A14612" t="s">
        <v>3280</v>
      </c>
      <c r="B14612">
        <f>HYPERLINK("https://android.googlesource.com/platform/cts/+/9c5e09e7512100b305c603f3ede5da4a1237ce81", "9c5e09e7512100b305c603f3ede5da4a1237ce81")</f>
        <v>0</v>
      </c>
      <c r="C14612">
        <f>HYPERLINK("https://android.googlesource.com/platform/cts/+/46c062a108656aaf7a9f29b05fba464c077a2e4c", "46c062a108656aaf7a9f29b05fba464c077a2e4c")</f>
        <v>0</v>
      </c>
      <c r="D14612" t="s">
        <v>5108</v>
      </c>
      <c r="E14612" t="s">
        <v>8992</v>
      </c>
      <c r="F14612" t="s">
        <v>13971</v>
      </c>
      <c r="G14612" t="s">
        <v>17996</v>
      </c>
      <c r="H14612" t="s">
        <v>34201</v>
      </c>
    </row>
    <row r="14613" spans="1:8">
      <c r="A14613" t="s">
        <v>3282</v>
      </c>
      <c r="B14613">
        <f>HYPERLINK("https://android.googlesource.com/platform/cts/+/bd1f1a2cdb8e11fd85d10a8ead341d49a2d0c8a6", "bd1f1a2cdb8e11fd85d10a8ead341d49a2d0c8a6")</f>
        <v>0</v>
      </c>
      <c r="C14613">
        <f>HYPERLINK("https://android.googlesource.com/platform/cts/+/e818b872a5e5317393cfe2d861f65bad4526cbcd", "e818b872a5e5317393cfe2d861f65bad4526cbcd")</f>
        <v>0</v>
      </c>
      <c r="D14613" t="s">
        <v>5108</v>
      </c>
      <c r="E14613" t="s">
        <v>8993</v>
      </c>
      <c r="F14613" t="s">
        <v>13971</v>
      </c>
      <c r="G14613" t="s">
        <v>17996</v>
      </c>
      <c r="H14613" t="s">
        <v>34201</v>
      </c>
    </row>
    <row r="14614" spans="1:8">
      <c r="A14614" t="s">
        <v>3287</v>
      </c>
      <c r="B14614">
        <f>HYPERLINK("https://android.googlesource.com/platform/cts/+/9d8153a667d44deb0d5f021250112593988d2fd9", "9d8153a667d44deb0d5f021250112593988d2fd9")</f>
        <v>0</v>
      </c>
      <c r="C14614">
        <f>HYPERLINK("https://android.googlesource.com/platform/cts/+/63c138cb1c0867ddb693f87f801097f58e840dc1", "63c138cb1c0867ddb693f87f801097f58e840dc1")</f>
        <v>0</v>
      </c>
      <c r="D14614" t="s">
        <v>5545</v>
      </c>
      <c r="E14614" t="s">
        <v>8998</v>
      </c>
      <c r="F14614" t="s">
        <v>14236</v>
      </c>
      <c r="G14614" t="s">
        <v>18206</v>
      </c>
      <c r="H14614" t="s">
        <v>34205</v>
      </c>
    </row>
    <row r="14615" spans="1:8">
      <c r="H14615" t="s">
        <v>34206</v>
      </c>
    </row>
    <row r="14616" spans="1:8">
      <c r="H14616" t="s">
        <v>34207</v>
      </c>
    </row>
    <row r="14617" spans="1:8">
      <c r="H14617" t="s">
        <v>34208</v>
      </c>
    </row>
    <row r="14618" spans="1:8">
      <c r="H14618" t="s">
        <v>34209</v>
      </c>
    </row>
    <row r="14619" spans="1:8">
      <c r="H14619" t="s">
        <v>34210</v>
      </c>
    </row>
    <row r="14620" spans="1:8">
      <c r="H14620" t="s">
        <v>34211</v>
      </c>
    </row>
    <row r="14621" spans="1:8">
      <c r="H14621" t="s">
        <v>34212</v>
      </c>
    </row>
    <row r="14622" spans="1:8">
      <c r="H14622" t="s">
        <v>34213</v>
      </c>
    </row>
    <row r="14623" spans="1:8">
      <c r="H14623" t="s">
        <v>34214</v>
      </c>
    </row>
    <row r="14624" spans="1:8">
      <c r="H14624" t="s">
        <v>34215</v>
      </c>
    </row>
    <row r="14625" spans="1:8">
      <c r="H14625" t="s">
        <v>34216</v>
      </c>
    </row>
    <row r="14626" spans="1:8">
      <c r="H14626" t="s">
        <v>34219</v>
      </c>
    </row>
    <row r="14627" spans="1:8">
      <c r="H14627" t="s">
        <v>34220</v>
      </c>
    </row>
    <row r="14628" spans="1:8">
      <c r="H14628" t="s">
        <v>34221</v>
      </c>
    </row>
    <row r="14629" spans="1:8">
      <c r="H14629" t="s">
        <v>34224</v>
      </c>
    </row>
    <row r="14630" spans="1:8">
      <c r="H14630" t="s">
        <v>34225</v>
      </c>
    </row>
    <row r="14631" spans="1:8">
      <c r="H14631" t="s">
        <v>34226</v>
      </c>
    </row>
    <row r="14632" spans="1:8">
      <c r="H14632" t="s">
        <v>34227</v>
      </c>
    </row>
    <row r="14633" spans="1:8">
      <c r="H14633" t="s">
        <v>34228</v>
      </c>
    </row>
    <row r="14634" spans="1:8">
      <c r="H14634" t="s">
        <v>34229</v>
      </c>
    </row>
    <row r="14635" spans="1:8">
      <c r="H14635" t="s">
        <v>34230</v>
      </c>
    </row>
    <row r="14636" spans="1:8">
      <c r="H14636" t="s">
        <v>34231</v>
      </c>
    </row>
    <row r="14637" spans="1:8">
      <c r="A14637" t="s">
        <v>3288</v>
      </c>
      <c r="B14637">
        <f>HYPERLINK("https://android.googlesource.com/platform/cts/+/fceba2788d94937297abc9b24f0d7778ef24e6b0", "fceba2788d94937297abc9b24f0d7778ef24e6b0")</f>
        <v>0</v>
      </c>
      <c r="C14637">
        <f>HYPERLINK("https://android.googlesource.com/platform/cts/+/732e8c0a45377477346c270a2bc46ec3f0bd220f", "732e8c0a45377477346c270a2bc46ec3f0bd220f")</f>
        <v>0</v>
      </c>
      <c r="D14637" t="s">
        <v>5512</v>
      </c>
      <c r="E14637" t="s">
        <v>8999</v>
      </c>
      <c r="F14637" t="s">
        <v>13716</v>
      </c>
      <c r="G14637" t="s">
        <v>17783</v>
      </c>
      <c r="H14637" t="s">
        <v>34232</v>
      </c>
    </row>
    <row r="14638" spans="1:8">
      <c r="A14638" t="s">
        <v>3289</v>
      </c>
      <c r="B14638">
        <f>HYPERLINK("https://android.googlesource.com/platform/cts/+/7b408341bae581d6e7c42da9220c05192d47f9d4", "7b408341bae581d6e7c42da9220c05192d47f9d4")</f>
        <v>0</v>
      </c>
      <c r="C14638">
        <f>HYPERLINK("https://android.googlesource.com/platform/cts/+/b5f3746ea912fc0e96070d5f205e703ba2e24535", "b5f3746ea912fc0e96070d5f205e703ba2e24535")</f>
        <v>0</v>
      </c>
      <c r="D14638" t="s">
        <v>5512</v>
      </c>
      <c r="E14638" t="s">
        <v>9000</v>
      </c>
      <c r="F14638" t="s">
        <v>13716</v>
      </c>
      <c r="G14638" t="s">
        <v>17783</v>
      </c>
      <c r="H14638" t="s">
        <v>34232</v>
      </c>
    </row>
    <row r="14639" spans="1:8">
      <c r="A14639" t="s">
        <v>3290</v>
      </c>
      <c r="B14639">
        <f>HYPERLINK("https://android.googlesource.com/platform/cts/+/6821fbe308db9f18b9a70cc2f2a011b703cdc754", "6821fbe308db9f18b9a70cc2f2a011b703cdc754")</f>
        <v>0</v>
      </c>
      <c r="C14639">
        <f>HYPERLINK("https://android.googlesource.com/platform/cts/+/3413f284a5c3090c963ad2be81eac497d1bed564", "3413f284a5c3090c963ad2be81eac497d1bed564")</f>
        <v>0</v>
      </c>
      <c r="D14639" t="s">
        <v>5383</v>
      </c>
      <c r="E14639" t="s">
        <v>9001</v>
      </c>
      <c r="F14639" t="s">
        <v>13924</v>
      </c>
      <c r="G14639" t="s">
        <v>17960</v>
      </c>
      <c r="H14639" t="s">
        <v>34233</v>
      </c>
    </row>
    <row r="14640" spans="1:8">
      <c r="A14640" t="s">
        <v>3291</v>
      </c>
      <c r="B14640">
        <f>HYPERLINK("https://android.googlesource.com/platform/cts/+/fd069513059a6263ec30632df578b2025a678e35", "fd069513059a6263ec30632df578b2025a678e35")</f>
        <v>0</v>
      </c>
      <c r="C14640">
        <f>HYPERLINK("https://android.googlesource.com/platform/cts/+/dc5c2a4cf56e5327fecd30fe67e4e99987ce5356", "dc5c2a4cf56e5327fecd30fe67e4e99987ce5356")</f>
        <v>0</v>
      </c>
      <c r="D14640" t="s">
        <v>5546</v>
      </c>
      <c r="E14640" t="s">
        <v>9002</v>
      </c>
      <c r="F14640" t="s">
        <v>14237</v>
      </c>
      <c r="G14640" t="s">
        <v>18207</v>
      </c>
      <c r="H14640" t="s">
        <v>34234</v>
      </c>
    </row>
    <row r="14641" spans="1:8">
      <c r="F14641" t="s">
        <v>14227</v>
      </c>
      <c r="G14641" t="s">
        <v>18199</v>
      </c>
      <c r="H14641" t="s">
        <v>34234</v>
      </c>
    </row>
    <row r="14642" spans="1:8">
      <c r="A14642" t="s">
        <v>3312</v>
      </c>
      <c r="B14642">
        <f>HYPERLINK("https://android.googlesource.com/platform/cts/+/6fa0df9701ea7f3fb9b5d4742e6b26afc702c8f9", "6fa0df9701ea7f3fb9b5d4742e6b26afc702c8f9")</f>
        <v>0</v>
      </c>
      <c r="C14642">
        <f>HYPERLINK("https://android.googlesource.com/platform/cts/+/87564f017b250700e13b9e39909b8406253d2533", "87564f017b250700e13b9e39909b8406253d2533")</f>
        <v>0</v>
      </c>
      <c r="D14642" t="s">
        <v>5288</v>
      </c>
      <c r="E14642" t="s">
        <v>9023</v>
      </c>
      <c r="F14642" t="s">
        <v>13752</v>
      </c>
      <c r="G14642" t="s">
        <v>17812</v>
      </c>
      <c r="H14642" t="s">
        <v>34263</v>
      </c>
    </row>
    <row r="14643" spans="1:8">
      <c r="H14643" t="s">
        <v>34264</v>
      </c>
    </row>
    <row r="14644" spans="1:8">
      <c r="H14644" t="s">
        <v>34265</v>
      </c>
    </row>
    <row r="14645" spans="1:8">
      <c r="H14645" t="s">
        <v>34266</v>
      </c>
    </row>
    <row r="14646" spans="1:8">
      <c r="H14646" t="s">
        <v>34267</v>
      </c>
    </row>
    <row r="14647" spans="1:8">
      <c r="H14647" t="s">
        <v>34268</v>
      </c>
    </row>
    <row r="14648" spans="1:8">
      <c r="H14648" t="s">
        <v>34269</v>
      </c>
    </row>
    <row r="14649" spans="1:8">
      <c r="H14649" t="s">
        <v>34270</v>
      </c>
    </row>
    <row r="14650" spans="1:8">
      <c r="H14650" t="s">
        <v>34271</v>
      </c>
    </row>
    <row r="14651" spans="1:8">
      <c r="H14651" t="s">
        <v>34272</v>
      </c>
    </row>
    <row r="14652" spans="1:8">
      <c r="H14652" t="s">
        <v>32707</v>
      </c>
    </row>
    <row r="14653" spans="1:8">
      <c r="H14653" t="s">
        <v>34273</v>
      </c>
    </row>
    <row r="14654" spans="1:8">
      <c r="H14654" t="s">
        <v>34274</v>
      </c>
    </row>
    <row r="14655" spans="1:8">
      <c r="H14655" t="s">
        <v>34275</v>
      </c>
    </row>
    <row r="14656" spans="1:8">
      <c r="H14656" t="s">
        <v>34276</v>
      </c>
    </row>
    <row r="14657" spans="1:8">
      <c r="H14657" t="s">
        <v>34277</v>
      </c>
    </row>
    <row r="14658" spans="1:8">
      <c r="H14658" t="s">
        <v>34278</v>
      </c>
    </row>
    <row r="14659" spans="1:8">
      <c r="H14659" t="s">
        <v>34279</v>
      </c>
    </row>
    <row r="14660" spans="1:8">
      <c r="H14660" t="s">
        <v>34280</v>
      </c>
    </row>
    <row r="14661" spans="1:8">
      <c r="H14661" t="s">
        <v>34281</v>
      </c>
    </row>
    <row r="14662" spans="1:8">
      <c r="F14662" t="s">
        <v>12419</v>
      </c>
      <c r="G14662" t="s">
        <v>16641</v>
      </c>
      <c r="H14662" t="s">
        <v>32610</v>
      </c>
    </row>
    <row r="14663" spans="1:8">
      <c r="A14663" t="s">
        <v>3315</v>
      </c>
      <c r="B14663">
        <f>HYPERLINK("https://android.googlesource.com/platform/cts/+/f440a29be1e8bf61650c806d0e4ebc1f4a26581e", "f440a29be1e8bf61650c806d0e4ebc1f4a26581e")</f>
        <v>0</v>
      </c>
      <c r="C14663">
        <f>HYPERLINK("https://android.googlesource.com/platform/cts/+/f7898a64351119ade7f24692264dcca05491028a", "f7898a64351119ade7f24692264dcca05491028a")</f>
        <v>0</v>
      </c>
      <c r="D14663" t="s">
        <v>4974</v>
      </c>
      <c r="E14663" t="s">
        <v>9025</v>
      </c>
      <c r="F14663" t="s">
        <v>12570</v>
      </c>
      <c r="G14663" t="s">
        <v>16786</v>
      </c>
      <c r="H14663" t="s">
        <v>34289</v>
      </c>
    </row>
    <row r="14664" spans="1:8">
      <c r="A14664" t="s">
        <v>3316</v>
      </c>
      <c r="B14664">
        <f>HYPERLINK("https://android.googlesource.com/platform/cts/+/ebf24a0c4fc2b236d7c585864fa1801ae9842eb1", "ebf24a0c4fc2b236d7c585864fa1801ae9842eb1")</f>
        <v>0</v>
      </c>
      <c r="C14664">
        <f>HYPERLINK("https://android.googlesource.com/platform/cts/+/217b7e16c91320c10064b31f38d91f12db86094a", "217b7e16c91320c10064b31f38d91f12db86094a")</f>
        <v>0</v>
      </c>
      <c r="D14664" t="s">
        <v>5512</v>
      </c>
      <c r="E14664" t="s">
        <v>9026</v>
      </c>
      <c r="F14664" t="s">
        <v>13990</v>
      </c>
      <c r="G14664" t="s">
        <v>18009</v>
      </c>
      <c r="H14664" t="s">
        <v>34290</v>
      </c>
    </row>
    <row r="14665" spans="1:8">
      <c r="A14665" t="s">
        <v>3317</v>
      </c>
      <c r="B14665">
        <f>HYPERLINK("https://android.googlesource.com/platform/cts/+/4bd03ac09dd13ea428c3a981530f49739ec1be37", "4bd03ac09dd13ea428c3a981530f49739ec1be37")</f>
        <v>0</v>
      </c>
      <c r="C14665">
        <f>HYPERLINK("https://android.googlesource.com/platform/cts/+/ebf24a0c4fc2b236d7c585864fa1801ae9842eb1", "ebf24a0c4fc2b236d7c585864fa1801ae9842eb1")</f>
        <v>0</v>
      </c>
      <c r="D14665" t="s">
        <v>5512</v>
      </c>
      <c r="E14665" t="s">
        <v>9027</v>
      </c>
      <c r="F14665" t="s">
        <v>13990</v>
      </c>
      <c r="G14665" t="s">
        <v>18009</v>
      </c>
      <c r="H14665" t="s">
        <v>34291</v>
      </c>
    </row>
    <row r="14666" spans="1:8">
      <c r="A14666" t="s">
        <v>3318</v>
      </c>
      <c r="B14666">
        <f>HYPERLINK("https://android.googlesource.com/platform/cts/+/a67bea89b81bdf1b035f2257184e9e83ecaab870", "a67bea89b81bdf1b035f2257184e9e83ecaab870")</f>
        <v>0</v>
      </c>
      <c r="C14666">
        <f>HYPERLINK("https://android.googlesource.com/platform/cts/+/4bd03ac09dd13ea428c3a981530f49739ec1be37", "4bd03ac09dd13ea428c3a981530f49739ec1be37")</f>
        <v>0</v>
      </c>
      <c r="D14666" t="s">
        <v>5512</v>
      </c>
      <c r="E14666" t="s">
        <v>9028</v>
      </c>
      <c r="F14666" t="s">
        <v>13990</v>
      </c>
      <c r="G14666" t="s">
        <v>18009</v>
      </c>
      <c r="H14666" t="s">
        <v>34292</v>
      </c>
    </row>
    <row r="14667" spans="1:8">
      <c r="A14667" t="s">
        <v>3319</v>
      </c>
      <c r="B14667">
        <f>HYPERLINK("https://android.googlesource.com/platform/cts/+/d901f6bf5f13ac505882dac6ed822be0871358e7", "d901f6bf5f13ac505882dac6ed822be0871358e7")</f>
        <v>0</v>
      </c>
      <c r="C14667">
        <f>HYPERLINK("https://android.googlesource.com/platform/cts/+/a67bea89b81bdf1b035f2257184e9e83ecaab870", "a67bea89b81bdf1b035f2257184e9e83ecaab870")</f>
        <v>0</v>
      </c>
      <c r="D14667" t="s">
        <v>5512</v>
      </c>
      <c r="E14667" t="s">
        <v>9029</v>
      </c>
      <c r="F14667" t="s">
        <v>13990</v>
      </c>
      <c r="G14667" t="s">
        <v>18009</v>
      </c>
      <c r="H14667" t="s">
        <v>34293</v>
      </c>
    </row>
    <row r="14668" spans="1:8">
      <c r="A14668" t="s">
        <v>3320</v>
      </c>
      <c r="B14668">
        <f>HYPERLINK("https://android.googlesource.com/platform/cts/+/70173f2aac2d1a3abb15fa592b8f5c7e8820b891", "70173f2aac2d1a3abb15fa592b8f5c7e8820b891")</f>
        <v>0</v>
      </c>
      <c r="C14668">
        <f>HYPERLINK("https://android.googlesource.com/platform/cts/+/d901f6bf5f13ac505882dac6ed822be0871358e7", "d901f6bf5f13ac505882dac6ed822be0871358e7")</f>
        <v>0</v>
      </c>
      <c r="D14668" t="s">
        <v>5512</v>
      </c>
      <c r="E14668" t="s">
        <v>9030</v>
      </c>
      <c r="F14668" t="s">
        <v>13990</v>
      </c>
      <c r="G14668" t="s">
        <v>18009</v>
      </c>
      <c r="H14668" t="s">
        <v>34294</v>
      </c>
    </row>
    <row r="14669" spans="1:8">
      <c r="A14669" t="s">
        <v>3321</v>
      </c>
      <c r="B14669">
        <f>HYPERLINK("https://android.googlesource.com/platform/cts/+/f190957b1691000803268f9d0a65b1786bfb19c7", "f190957b1691000803268f9d0a65b1786bfb19c7")</f>
        <v>0</v>
      </c>
      <c r="C14669">
        <f>HYPERLINK("https://android.googlesource.com/platform/cts/+/70173f2aac2d1a3abb15fa592b8f5c7e8820b891", "70173f2aac2d1a3abb15fa592b8f5c7e8820b891")</f>
        <v>0</v>
      </c>
      <c r="D14669" t="s">
        <v>5512</v>
      </c>
      <c r="E14669" t="s">
        <v>9031</v>
      </c>
      <c r="F14669" t="s">
        <v>13990</v>
      </c>
      <c r="G14669" t="s">
        <v>18009</v>
      </c>
      <c r="H14669" t="s">
        <v>34100</v>
      </c>
    </row>
    <row r="14670" spans="1:8">
      <c r="A14670" t="s">
        <v>3322</v>
      </c>
      <c r="B14670">
        <f>HYPERLINK("https://android.googlesource.com/platform/cts/+/4a1ee646ffb45f45f156e493edb0d8b9b74adcfe", "4a1ee646ffb45f45f156e493edb0d8b9b74adcfe")</f>
        <v>0</v>
      </c>
      <c r="C14670">
        <f>HYPERLINK("https://android.googlesource.com/platform/cts/+/76d04449a4ad03f99f48756d5752a609eaa2703e", "76d04449a4ad03f99f48756d5752a609eaa2703e")</f>
        <v>0</v>
      </c>
      <c r="D14670" t="s">
        <v>5383</v>
      </c>
      <c r="E14670" t="s">
        <v>9032</v>
      </c>
      <c r="F14670" t="s">
        <v>13924</v>
      </c>
      <c r="G14670" t="s">
        <v>17960</v>
      </c>
      <c r="H14670" t="s">
        <v>34233</v>
      </c>
    </row>
    <row r="14671" spans="1:8">
      <c r="A14671" t="s">
        <v>3325</v>
      </c>
      <c r="B14671">
        <f>HYPERLINK("https://android.googlesource.com/platform/cts/+/030a920e3219f26c2acf9cec2523b0d1b26f3fa9", "030a920e3219f26c2acf9cec2523b0d1b26f3fa9")</f>
        <v>0</v>
      </c>
      <c r="C14671">
        <f>HYPERLINK("https://android.googlesource.com/platform/cts/+/fb8ea5a6b4c8fce41108226343cf38bc643103e7", "fb8ea5a6b4c8fce41108226343cf38bc643103e7")</f>
        <v>0</v>
      </c>
      <c r="D14671" t="s">
        <v>5551</v>
      </c>
      <c r="E14671" t="s">
        <v>9035</v>
      </c>
      <c r="F14671" t="s">
        <v>14248</v>
      </c>
      <c r="G14671" t="s">
        <v>17675</v>
      </c>
      <c r="H14671" t="s">
        <v>34350</v>
      </c>
    </row>
    <row r="14672" spans="1:8">
      <c r="A14672" t="s">
        <v>3330</v>
      </c>
      <c r="B14672">
        <f>HYPERLINK("https://android.googlesource.com/platform/cts/+/19ff1b7dfea1ada771a20089824fc5f75866ea4f", "19ff1b7dfea1ada771a20089824fc5f75866ea4f")</f>
        <v>0</v>
      </c>
      <c r="C14672">
        <f>HYPERLINK("https://android.googlesource.com/platform/cts/+/2d07a845dd77abe581aa7c33786c1e4d2f3d95d4", "2d07a845dd77abe581aa7c33786c1e4d2f3d95d4")</f>
        <v>0</v>
      </c>
      <c r="D14672" t="s">
        <v>5553</v>
      </c>
      <c r="E14672" t="s">
        <v>9040</v>
      </c>
      <c r="F14672" t="s">
        <v>14250</v>
      </c>
      <c r="G14672" t="s">
        <v>18215</v>
      </c>
      <c r="H14672" t="s">
        <v>32846</v>
      </c>
    </row>
    <row r="14673" spans="1:8">
      <c r="H14673" t="s">
        <v>32847</v>
      </c>
    </row>
    <row r="14674" spans="1:8">
      <c r="A14674" t="s">
        <v>3335</v>
      </c>
      <c r="B14674">
        <f>HYPERLINK("https://android.googlesource.com/platform/cts/+/c759cb4ec47bf6c5540531da5b8f537a2e4ef319", "c759cb4ec47bf6c5540531da5b8f537a2e4ef319")</f>
        <v>0</v>
      </c>
      <c r="C14674">
        <f>HYPERLINK("https://android.googlesource.com/platform/cts/+/2716d0e067e5a11e6c304943dbe53c071c29ade1", "2716d0e067e5a11e6c304943dbe53c071c29ade1")</f>
        <v>0</v>
      </c>
      <c r="D14674" t="s">
        <v>5554</v>
      </c>
      <c r="E14674" t="s">
        <v>9045</v>
      </c>
      <c r="F14674" t="s">
        <v>14059</v>
      </c>
      <c r="G14674" t="s">
        <v>18057</v>
      </c>
      <c r="H14674" t="s">
        <v>33136</v>
      </c>
    </row>
    <row r="14675" spans="1:8">
      <c r="A14675" t="s">
        <v>3336</v>
      </c>
      <c r="B14675">
        <f>HYPERLINK("https://android.googlesource.com/platform/cts/+/6305774a70fd4fa91964fb803d19c55b3f505e02", "6305774a70fd4fa91964fb803d19c55b3f505e02")</f>
        <v>0</v>
      </c>
      <c r="C14675">
        <f>HYPERLINK("https://android.googlesource.com/platform/cts/+/5bbe179c89cf82f72e0bd7f90d70549c6abe1fc3", "5bbe179c89cf82f72e0bd7f90d70549c6abe1fc3")</f>
        <v>0</v>
      </c>
      <c r="D14675" t="s">
        <v>5182</v>
      </c>
      <c r="E14675" t="s">
        <v>9046</v>
      </c>
      <c r="F14675" t="s">
        <v>12820</v>
      </c>
      <c r="G14675" t="s">
        <v>16999</v>
      </c>
      <c r="H14675" t="s">
        <v>34359</v>
      </c>
    </row>
    <row r="14676" spans="1:8">
      <c r="H14676" t="s">
        <v>34360</v>
      </c>
    </row>
    <row r="14677" spans="1:8">
      <c r="H14677" t="s">
        <v>34361</v>
      </c>
    </row>
    <row r="14678" spans="1:8">
      <c r="A14678" t="s">
        <v>3347</v>
      </c>
      <c r="B14678">
        <f>HYPERLINK("https://android.googlesource.com/platform/cts/+/1694ae40f8d5f07d7cd0035a6707421aa98eb138", "1694ae40f8d5f07d7cd0035a6707421aa98eb138")</f>
        <v>0</v>
      </c>
      <c r="C14678">
        <f>HYPERLINK("https://android.googlesource.com/platform/cts/+/cb8b808d3d1bf5ee012c38ca9270743fb5d7574f", "cb8b808d3d1bf5ee012c38ca9270743fb5d7574f")</f>
        <v>0</v>
      </c>
      <c r="D14678" t="s">
        <v>5416</v>
      </c>
      <c r="E14678" t="s">
        <v>9056</v>
      </c>
      <c r="F14678" t="s">
        <v>13502</v>
      </c>
      <c r="G14678" t="s">
        <v>17620</v>
      </c>
      <c r="H14678" t="s">
        <v>34142</v>
      </c>
    </row>
    <row r="14679" spans="1:8">
      <c r="H14679" t="s">
        <v>34146</v>
      </c>
    </row>
    <row r="14680" spans="1:8">
      <c r="A14680" t="s">
        <v>3361</v>
      </c>
      <c r="B14680">
        <f>HYPERLINK("https://android.googlesource.com/platform/cts/+/5961e8d5388d68a051e440dccfa95953b4018904", "5961e8d5388d68a051e440dccfa95953b4018904")</f>
        <v>0</v>
      </c>
      <c r="C14680">
        <f>HYPERLINK("https://android.googlesource.com/platform/cts/+/427a30db119ef92bf8d612de4f604d9e87862ce1", "427a30db119ef92bf8d612de4f604d9e87862ce1")</f>
        <v>0</v>
      </c>
      <c r="D14680" t="s">
        <v>5557</v>
      </c>
      <c r="E14680" t="s">
        <v>9067</v>
      </c>
      <c r="F14680" t="s">
        <v>13021</v>
      </c>
      <c r="G14680" t="s">
        <v>17185</v>
      </c>
      <c r="H14680" t="s">
        <v>34374</v>
      </c>
    </row>
    <row r="14681" spans="1:8">
      <c r="H14681" t="s">
        <v>34375</v>
      </c>
    </row>
    <row r="14682" spans="1:8">
      <c r="A14682" t="s">
        <v>3362</v>
      </c>
      <c r="B14682">
        <f>HYPERLINK("https://android.googlesource.com/platform/cts/+/02be782417ea1f646964c3c45e791c1773f4da6d", "02be782417ea1f646964c3c45e791c1773f4da6d")</f>
        <v>0</v>
      </c>
      <c r="C14682">
        <f>HYPERLINK("https://android.googlesource.com/platform/cts/+/f06316a937c8da1e129b45e7569ce5882d9e9795", "f06316a937c8da1e129b45e7569ce5882d9e9795")</f>
        <v>0</v>
      </c>
      <c r="D14682" t="s">
        <v>5472</v>
      </c>
      <c r="E14682" t="s">
        <v>9068</v>
      </c>
      <c r="F14682" t="s">
        <v>13815</v>
      </c>
      <c r="G14682" t="s">
        <v>17862</v>
      </c>
      <c r="H14682" t="s">
        <v>25779</v>
      </c>
    </row>
    <row r="14683" spans="1:8">
      <c r="H14683" t="s">
        <v>25780</v>
      </c>
    </row>
    <row r="14684" spans="1:8">
      <c r="H14684" t="s">
        <v>34378</v>
      </c>
    </row>
    <row r="14685" spans="1:8">
      <c r="H14685" t="s">
        <v>34379</v>
      </c>
    </row>
    <row r="14686" spans="1:8">
      <c r="H14686" t="s">
        <v>34380</v>
      </c>
    </row>
    <row r="14687" spans="1:8">
      <c r="H14687" t="s">
        <v>34382</v>
      </c>
    </row>
    <row r="14688" spans="1:8">
      <c r="H14688" t="s">
        <v>34383</v>
      </c>
    </row>
    <row r="14689" spans="1:8">
      <c r="H14689" t="s">
        <v>34384</v>
      </c>
    </row>
    <row r="14690" spans="1:8">
      <c r="H14690" t="s">
        <v>34385</v>
      </c>
    </row>
    <row r="14691" spans="1:8">
      <c r="H14691" t="s">
        <v>34386</v>
      </c>
    </row>
    <row r="14692" spans="1:8">
      <c r="H14692" t="s">
        <v>34387</v>
      </c>
    </row>
    <row r="14693" spans="1:8">
      <c r="A14693" t="s">
        <v>3364</v>
      </c>
      <c r="B14693">
        <f>HYPERLINK("https://android.googlesource.com/platform/cts/+/cc244bf268572a652c93845affb64b77872bacc6", "cc244bf268572a652c93845affb64b77872bacc6")</f>
        <v>0</v>
      </c>
      <c r="C14693">
        <f>HYPERLINK("https://android.googlesource.com/platform/cts/+/8fe84d69a60cc7534351650c7dac6ad163a90ebf", "8fe84d69a60cc7534351650c7dac6ad163a90ebf")</f>
        <v>0</v>
      </c>
      <c r="D14693" t="s">
        <v>5501</v>
      </c>
      <c r="E14693" t="s">
        <v>9070</v>
      </c>
      <c r="F14693" t="s">
        <v>14158</v>
      </c>
      <c r="G14693" t="s">
        <v>18144</v>
      </c>
      <c r="H14693" t="s">
        <v>34398</v>
      </c>
    </row>
    <row r="14694" spans="1:8">
      <c r="A14694" t="s">
        <v>3372</v>
      </c>
      <c r="B14694">
        <f>HYPERLINK("https://android.googlesource.com/platform/cts/+/94eec46283fdfb081148c5c887bf0ad58691409f", "94eec46283fdfb081148c5c887bf0ad58691409f")</f>
        <v>0</v>
      </c>
      <c r="C14694">
        <f>HYPERLINK("https://android.googlesource.com/platform/cts/+/c6fee6c910b2feaec67d7477cc2b78d13d2e2c25", "c6fee6c910b2feaec67d7477cc2b78d13d2e2c25")</f>
        <v>0</v>
      </c>
      <c r="D14694" t="s">
        <v>5541</v>
      </c>
      <c r="E14694" t="s">
        <v>9078</v>
      </c>
      <c r="F14694" t="s">
        <v>14251</v>
      </c>
      <c r="G14694" t="s">
        <v>18216</v>
      </c>
      <c r="H14694" t="s">
        <v>34439</v>
      </c>
    </row>
    <row r="14695" spans="1:8">
      <c r="F14695" t="s">
        <v>13335</v>
      </c>
      <c r="G14695" t="s">
        <v>17465</v>
      </c>
      <c r="H14695" t="s">
        <v>34440</v>
      </c>
    </row>
    <row r="14696" spans="1:8">
      <c r="A14696" t="s">
        <v>3373</v>
      </c>
      <c r="B14696">
        <f>HYPERLINK("https://android.googlesource.com/platform/cts/+/cc69d23758981b5f6a11850106870199b46dcc12", "cc69d23758981b5f6a11850106870199b46dcc12")</f>
        <v>0</v>
      </c>
      <c r="C14696">
        <f>HYPERLINK("https://android.googlesource.com/platform/cts/+/78279bdf1484095e09a8a123f8109510733e9740", "78279bdf1484095e09a8a123f8109510733e9740")</f>
        <v>0</v>
      </c>
      <c r="D14696" t="s">
        <v>5355</v>
      </c>
      <c r="E14696" t="s">
        <v>9079</v>
      </c>
      <c r="F14696" t="s">
        <v>12817</v>
      </c>
      <c r="G14696" t="s">
        <v>16629</v>
      </c>
      <c r="H14696" t="s">
        <v>34441</v>
      </c>
    </row>
    <row r="14697" spans="1:8">
      <c r="A14697" t="s">
        <v>3374</v>
      </c>
      <c r="B14697">
        <f>HYPERLINK("https://android.googlesource.com/platform/cts/+/e7920a2b36a188d10bcb57ef6d74fd7baa42d6bc", "e7920a2b36a188d10bcb57ef6d74fd7baa42d6bc")</f>
        <v>0</v>
      </c>
      <c r="C14697">
        <f>HYPERLINK("https://android.googlesource.com/platform/cts/+/d698c9e71efb082613a2b110be98383baaa9d8ad", "d698c9e71efb082613a2b110be98383baaa9d8ad")</f>
        <v>0</v>
      </c>
      <c r="D14697" t="s">
        <v>5560</v>
      </c>
      <c r="E14697" t="s">
        <v>9080</v>
      </c>
      <c r="F14697" t="s">
        <v>14255</v>
      </c>
      <c r="G14697" t="s">
        <v>18220</v>
      </c>
      <c r="H14697" t="s">
        <v>34442</v>
      </c>
    </row>
    <row r="14698" spans="1:8">
      <c r="A14698" t="s">
        <v>3387</v>
      </c>
      <c r="B14698">
        <f>HYPERLINK("https://android.googlesource.com/platform/cts/+/4f4511d942c610905dbdc873d8ea145ae7ff603b", "4f4511d942c610905dbdc873d8ea145ae7ff603b")</f>
        <v>0</v>
      </c>
      <c r="C14698">
        <f>HYPERLINK("https://android.googlesource.com/platform/cts/+/9d9baf36e20e81515f01a62ff3e2977ed8671e6b", "9d9baf36e20e81515f01a62ff3e2977ed8671e6b")</f>
        <v>0</v>
      </c>
      <c r="D14698" t="s">
        <v>5427</v>
      </c>
      <c r="E14698" t="s">
        <v>9093</v>
      </c>
      <c r="F14698" t="s">
        <v>12846</v>
      </c>
      <c r="G14698" t="s">
        <v>17017</v>
      </c>
      <c r="H14698" t="s">
        <v>34455</v>
      </c>
    </row>
    <row r="14699" spans="1:8">
      <c r="A14699" t="s">
        <v>3392</v>
      </c>
      <c r="B14699">
        <f>HYPERLINK("https://android.googlesource.com/platform/cts/+/5d9710d5b72136b2face76b578ac120ad6ed931e", "5d9710d5b72136b2face76b578ac120ad6ed931e")</f>
        <v>0</v>
      </c>
      <c r="C14699">
        <f>HYPERLINK("https://android.googlesource.com/platform/cts/+/5600812cbeddd7ac16ba72c6322f4f30a8d66739", "5600812cbeddd7ac16ba72c6322f4f30a8d66739")</f>
        <v>0</v>
      </c>
      <c r="D14699" t="s">
        <v>5153</v>
      </c>
      <c r="E14699" t="s">
        <v>9096</v>
      </c>
      <c r="F14699" t="s">
        <v>14261</v>
      </c>
      <c r="G14699" t="s">
        <v>18228</v>
      </c>
      <c r="H14699" t="s">
        <v>34458</v>
      </c>
    </row>
    <row r="14700" spans="1:8">
      <c r="H14700" t="s">
        <v>34459</v>
      </c>
    </row>
    <row r="14701" spans="1:8">
      <c r="H14701" t="s">
        <v>34460</v>
      </c>
    </row>
    <row r="14702" spans="1:8">
      <c r="H14702" t="s">
        <v>34461</v>
      </c>
    </row>
    <row r="14703" spans="1:8">
      <c r="H14703" t="s">
        <v>34462</v>
      </c>
    </row>
    <row r="14704" spans="1:8">
      <c r="H14704" t="s">
        <v>34463</v>
      </c>
    </row>
    <row r="14705" spans="1:8">
      <c r="A14705" t="s">
        <v>3395</v>
      </c>
      <c r="B14705">
        <f>HYPERLINK("https://android.googlesource.com/platform/cts/+/9e0978104b4068eaae059f743271a60d98ec8531", "9e0978104b4068eaae059f743271a60d98ec8531")</f>
        <v>0</v>
      </c>
      <c r="C14705">
        <f>HYPERLINK("https://android.googlesource.com/platform/cts/+/73bad6b1d1ce23bc811cccd04845db00d4d36d8c", "73bad6b1d1ce23bc811cccd04845db00d4d36d8c")</f>
        <v>0</v>
      </c>
      <c r="D14705" t="s">
        <v>5565</v>
      </c>
      <c r="E14705" t="s">
        <v>9099</v>
      </c>
      <c r="F14705" t="s">
        <v>13888</v>
      </c>
      <c r="G14705" t="s">
        <v>15054</v>
      </c>
      <c r="H14705" t="s">
        <v>34474</v>
      </c>
    </row>
    <row r="14706" spans="1:8">
      <c r="A14706" t="s">
        <v>3405</v>
      </c>
      <c r="B14706">
        <f>HYPERLINK("https://android.googlesource.com/platform/cts/+/ac1adbab4cae41154683a0f4d2211c630f142cf8", "ac1adbab4cae41154683a0f4d2211c630f142cf8")</f>
        <v>0</v>
      </c>
      <c r="C14706">
        <f>HYPERLINK("https://android.googlesource.com/platform/cts/+/9e465ae301aa6fdc0022c197e25b2ee40717e656", "9e465ae301aa6fdc0022c197e25b2ee40717e656")</f>
        <v>0</v>
      </c>
      <c r="D14706" t="s">
        <v>5134</v>
      </c>
      <c r="E14706" t="s">
        <v>9109</v>
      </c>
      <c r="F14706" t="s">
        <v>13932</v>
      </c>
      <c r="G14706" t="s">
        <v>17966</v>
      </c>
      <c r="H14706" t="s">
        <v>34497</v>
      </c>
    </row>
    <row r="14707" spans="1:8">
      <c r="A14707" t="s">
        <v>3408</v>
      </c>
      <c r="B14707">
        <f>HYPERLINK("https://android.googlesource.com/platform/cts/+/0ee356e8b2116932e9b4c2662e84e7ea388d1d2b", "0ee356e8b2116932e9b4c2662e84e7ea388d1d2b")</f>
        <v>0</v>
      </c>
      <c r="C14707">
        <f>HYPERLINK("https://android.googlesource.com/platform/cts/+/60f40c6bffc696ee28769b49caec7aaf76e13490", "60f40c6bffc696ee28769b49caec7aaf76e13490")</f>
        <v>0</v>
      </c>
      <c r="D14707" t="s">
        <v>5541</v>
      </c>
      <c r="E14707" t="s">
        <v>9112</v>
      </c>
      <c r="F14707" t="s">
        <v>13335</v>
      </c>
      <c r="G14707" t="s">
        <v>17465</v>
      </c>
      <c r="H14707" t="s">
        <v>34500</v>
      </c>
    </row>
    <row r="14708" spans="1:8">
      <c r="A14708" t="s">
        <v>3409</v>
      </c>
      <c r="B14708">
        <f>HYPERLINK("https://android.googlesource.com/platform/cts/+/72ca5ac7742ce1cd4c8441f321881fb1cf1c8e8b", "72ca5ac7742ce1cd4c8441f321881fb1cf1c8e8b")</f>
        <v>0</v>
      </c>
      <c r="C14708">
        <f>HYPERLINK("https://android.googlesource.com/platform/cts/+/6c88403737d3c34e4e5a1a8d1eeeefeadedb1b8f", "6c88403737d3c34e4e5a1a8d1eeeefeadedb1b8f")</f>
        <v>0</v>
      </c>
      <c r="D14708" t="s">
        <v>5474</v>
      </c>
      <c r="E14708" t="s">
        <v>9113</v>
      </c>
      <c r="F14708" t="s">
        <v>13333</v>
      </c>
      <c r="G14708" t="s">
        <v>17463</v>
      </c>
      <c r="H14708" t="s">
        <v>34501</v>
      </c>
    </row>
    <row r="14709" spans="1:8">
      <c r="H14709" t="s">
        <v>34502</v>
      </c>
    </row>
    <row r="14710" spans="1:8">
      <c r="H14710" t="s">
        <v>34503</v>
      </c>
    </row>
    <row r="14711" spans="1:8">
      <c r="F14711" t="s">
        <v>13902</v>
      </c>
      <c r="G14711" t="s">
        <v>17939</v>
      </c>
      <c r="H14711" t="s">
        <v>34505</v>
      </c>
    </row>
    <row r="14712" spans="1:8">
      <c r="H14712" t="s">
        <v>34506</v>
      </c>
    </row>
    <row r="14713" spans="1:8">
      <c r="A14713" t="s">
        <v>3410</v>
      </c>
      <c r="B14713">
        <f>HYPERLINK("https://android.googlesource.com/platform/cts/+/909349ea0bc42496d948445178cb587a3325172b", "909349ea0bc42496d948445178cb587a3325172b")</f>
        <v>0</v>
      </c>
      <c r="C14713">
        <f>HYPERLINK("https://android.googlesource.com/platform/cts/+/ec5a8216d3b95cad660dfe5754c4e2845ad022af", "ec5a8216d3b95cad660dfe5754c4e2845ad022af")</f>
        <v>0</v>
      </c>
      <c r="D14713" t="s">
        <v>5567</v>
      </c>
      <c r="E14713" t="s">
        <v>9114</v>
      </c>
      <c r="F14713" t="s">
        <v>14266</v>
      </c>
      <c r="G14713" t="s">
        <v>18233</v>
      </c>
      <c r="H14713" t="s">
        <v>34508</v>
      </c>
    </row>
    <row r="14714" spans="1:8">
      <c r="H14714" t="s">
        <v>34509</v>
      </c>
    </row>
    <row r="14715" spans="1:8">
      <c r="H14715" t="s">
        <v>34510</v>
      </c>
    </row>
    <row r="14716" spans="1:8">
      <c r="H14716" t="s">
        <v>34511</v>
      </c>
    </row>
    <row r="14717" spans="1:8">
      <c r="H14717" t="s">
        <v>34512</v>
      </c>
    </row>
    <row r="14718" spans="1:8">
      <c r="H14718" t="s">
        <v>34513</v>
      </c>
    </row>
    <row r="14719" spans="1:8">
      <c r="H14719" t="s">
        <v>34514</v>
      </c>
    </row>
    <row r="14720" spans="1:8">
      <c r="A14720" t="s">
        <v>3411</v>
      </c>
      <c r="B14720">
        <f>HYPERLINK("https://android.googlesource.com/platform/cts/+/e4acae7f8f02de9839f1b0b3545b254396777c2e", "e4acae7f8f02de9839f1b0b3545b254396777c2e")</f>
        <v>0</v>
      </c>
      <c r="C14720">
        <f>HYPERLINK("https://android.googlesource.com/platform/cts/+/10b200e9311d8631023a082a113d62cd9ae520cb", "10b200e9311d8631023a082a113d62cd9ae520cb")</f>
        <v>0</v>
      </c>
      <c r="D14720" t="s">
        <v>5354</v>
      </c>
      <c r="E14720" t="s">
        <v>9115</v>
      </c>
      <c r="F14720" t="s">
        <v>14267</v>
      </c>
      <c r="G14720" t="s">
        <v>18234</v>
      </c>
      <c r="H14720" t="s">
        <v>34522</v>
      </c>
    </row>
    <row r="14721" spans="1:8">
      <c r="A14721" t="s">
        <v>3412</v>
      </c>
      <c r="B14721">
        <f>HYPERLINK("https://android.googlesource.com/platform/cts/+/ccfd370f7c345a1e0da5d6c71903c0be81b66046", "ccfd370f7c345a1e0da5d6c71903c0be81b66046")</f>
        <v>0</v>
      </c>
      <c r="C14721">
        <f>HYPERLINK("https://android.googlesource.com/platform/cts/+/70a201393b990a0eb3ad5a7387c7b3d3a4c0951a", "70a201393b990a0eb3ad5a7387c7b3d3a4c0951a")</f>
        <v>0</v>
      </c>
      <c r="D14721" t="s">
        <v>5141</v>
      </c>
      <c r="E14721" t="s">
        <v>9116</v>
      </c>
      <c r="F14721" t="s">
        <v>14268</v>
      </c>
      <c r="G14721" t="s">
        <v>18235</v>
      </c>
      <c r="H14721" t="s">
        <v>34523</v>
      </c>
    </row>
    <row r="14722" spans="1:8">
      <c r="A14722" t="s">
        <v>3429</v>
      </c>
      <c r="B14722">
        <f>HYPERLINK("https://android.googlesource.com/platform/cts/+/f022b071b5d30361b8f77ab28ba49dafbc896e1e", "f022b071b5d30361b8f77ab28ba49dafbc896e1e")</f>
        <v>0</v>
      </c>
      <c r="C14722">
        <f>HYPERLINK("https://android.googlesource.com/platform/cts/+/0faa1f0840f155958ab31735d18a1a7d9d7f1cc2", "0faa1f0840f155958ab31735d18a1a7d9d7f1cc2")</f>
        <v>0</v>
      </c>
      <c r="D14722" t="s">
        <v>5546</v>
      </c>
      <c r="E14722" t="s">
        <v>9130</v>
      </c>
      <c r="F14722" t="s">
        <v>14237</v>
      </c>
      <c r="G14722" t="s">
        <v>18207</v>
      </c>
      <c r="H14722" t="s">
        <v>34610</v>
      </c>
    </row>
    <row r="14723" spans="1:8">
      <c r="A14723" t="s">
        <v>3433</v>
      </c>
      <c r="B14723">
        <f>HYPERLINK("https://android.googlesource.com/platform/cts/+/09b9ea21d5d4545ea8cef21d714bc301021b5468", "09b9ea21d5d4545ea8cef21d714bc301021b5468")</f>
        <v>0</v>
      </c>
      <c r="C14723">
        <f>HYPERLINK("https://android.googlesource.com/platform/cts/+/f0076aeb585aa97e9cf3503a5935ac1095e989fc", "f0076aeb585aa97e9cf3503a5935ac1095e989fc")</f>
        <v>0</v>
      </c>
      <c r="D14723" t="s">
        <v>5511</v>
      </c>
      <c r="E14723" t="s">
        <v>9133</v>
      </c>
      <c r="F14723" t="s">
        <v>14275</v>
      </c>
      <c r="G14723" t="s">
        <v>18242</v>
      </c>
      <c r="H14723" t="s">
        <v>33709</v>
      </c>
    </row>
    <row r="14724" spans="1:8">
      <c r="F14724" t="s">
        <v>14277</v>
      </c>
      <c r="G14724" t="s">
        <v>18224</v>
      </c>
      <c r="H14724" t="s">
        <v>33709</v>
      </c>
    </row>
    <row r="14725" spans="1:8">
      <c r="A14725" t="s">
        <v>3440</v>
      </c>
      <c r="B14725">
        <f>HYPERLINK("https://android.googlesource.com/platform/cts/+/be0683bc6a0057811480fc74d440db3749873dc3", "be0683bc6a0057811480fc74d440db3749873dc3")</f>
        <v>0</v>
      </c>
      <c r="C14725">
        <f>HYPERLINK("https://android.googlesource.com/platform/cts/+/1fa7a248d198aed79cd52b1a608d70784daeb3e3", "1fa7a248d198aed79cd52b1a608d70784daeb3e3")</f>
        <v>0</v>
      </c>
      <c r="D14725" t="s">
        <v>5363</v>
      </c>
      <c r="E14725" t="s">
        <v>9138</v>
      </c>
      <c r="F14725" t="s">
        <v>14033</v>
      </c>
      <c r="G14725" t="s">
        <v>18030</v>
      </c>
      <c r="H14725" t="s">
        <v>34623</v>
      </c>
    </row>
    <row r="14726" spans="1:8">
      <c r="F14726" t="s">
        <v>14150</v>
      </c>
      <c r="G14726" t="s">
        <v>18138</v>
      </c>
      <c r="H14726" t="s">
        <v>34625</v>
      </c>
    </row>
    <row r="14727" spans="1:8">
      <c r="H14727" t="s">
        <v>34629</v>
      </c>
    </row>
    <row r="14728" spans="1:8">
      <c r="A14728" t="s">
        <v>3451</v>
      </c>
      <c r="B14728">
        <f>HYPERLINK("https://android.googlesource.com/platform/cts/+/d08c53f2b5f8917816f44c227588a1fb14cb7612", "d08c53f2b5f8917816f44c227588a1fb14cb7612")</f>
        <v>0</v>
      </c>
      <c r="C14728">
        <f>HYPERLINK("https://android.googlesource.com/platform/cts/+/24224c0e36b7e6f202dfb477d875a768cc5605c8", "24224c0e36b7e6f202dfb477d875a768cc5605c8")</f>
        <v>0</v>
      </c>
      <c r="D14728" t="s">
        <v>5473</v>
      </c>
      <c r="E14728" t="s">
        <v>9147</v>
      </c>
      <c r="F14728" t="s">
        <v>14280</v>
      </c>
      <c r="G14728" t="s">
        <v>18245</v>
      </c>
      <c r="H14728" t="s">
        <v>34643</v>
      </c>
    </row>
    <row r="14729" spans="1:8">
      <c r="F14729" t="s">
        <v>12861</v>
      </c>
      <c r="G14729" t="s">
        <v>17030</v>
      </c>
      <c r="H14729" t="s">
        <v>34644</v>
      </c>
    </row>
    <row r="14730" spans="1:8">
      <c r="A14730" t="s">
        <v>3455</v>
      </c>
      <c r="B14730">
        <f>HYPERLINK("https://android.googlesource.com/platform/cts/+/c9c3fde5d5ac014f093f03a9e698d37358747a62", "c9c3fde5d5ac014f093f03a9e698d37358747a62")</f>
        <v>0</v>
      </c>
      <c r="C14730">
        <f>HYPERLINK("https://android.googlesource.com/platform/cts/+/6ca342a0ef73285ae341771e6f95ce344cf811fd", "6ca342a0ef73285ae341771e6f95ce344cf811fd")</f>
        <v>0</v>
      </c>
      <c r="D14730" t="s">
        <v>5512</v>
      </c>
      <c r="E14730" t="s">
        <v>9151</v>
      </c>
      <c r="F14730" t="s">
        <v>13990</v>
      </c>
      <c r="G14730" t="s">
        <v>18009</v>
      </c>
      <c r="H14730" t="s">
        <v>34646</v>
      </c>
    </row>
    <row r="14731" spans="1:8">
      <c r="A14731" t="s">
        <v>3456</v>
      </c>
      <c r="B14731">
        <f>HYPERLINK("https://android.googlesource.com/platform/cts/+/32798d7c5eea72af2e5bca2aac3ecc4fc6a8bc1f", "32798d7c5eea72af2e5bca2aac3ecc4fc6a8bc1f")</f>
        <v>0</v>
      </c>
      <c r="C14731">
        <f>HYPERLINK("https://android.googlesource.com/platform/cts/+/c9c3fde5d5ac014f093f03a9e698d37358747a62", "c9c3fde5d5ac014f093f03a9e698d37358747a62")</f>
        <v>0</v>
      </c>
      <c r="D14731" t="s">
        <v>5512</v>
      </c>
      <c r="E14731" t="s">
        <v>9152</v>
      </c>
      <c r="F14731" t="s">
        <v>13990</v>
      </c>
      <c r="G14731" t="s">
        <v>18009</v>
      </c>
      <c r="H14731" t="s">
        <v>34647</v>
      </c>
    </row>
    <row r="14732" spans="1:8">
      <c r="A14732" t="s">
        <v>3457</v>
      </c>
      <c r="B14732">
        <f>HYPERLINK("https://android.googlesource.com/platform/cts/+/5ed2c3f8ea18c00eb564e785e58c3b47de553bf0", "5ed2c3f8ea18c00eb564e785e58c3b47de553bf0")</f>
        <v>0</v>
      </c>
      <c r="C14732">
        <f>HYPERLINK("https://android.googlesource.com/platform/cts/+/32798d7c5eea72af2e5bca2aac3ecc4fc6a8bc1f", "32798d7c5eea72af2e5bca2aac3ecc4fc6a8bc1f")</f>
        <v>0</v>
      </c>
      <c r="D14732" t="s">
        <v>5512</v>
      </c>
      <c r="E14732" t="s">
        <v>9153</v>
      </c>
      <c r="F14732" t="s">
        <v>13990</v>
      </c>
      <c r="G14732" t="s">
        <v>18009</v>
      </c>
      <c r="H14732" t="s">
        <v>34648</v>
      </c>
    </row>
    <row r="14733" spans="1:8">
      <c r="A14733" t="s">
        <v>3458</v>
      </c>
      <c r="B14733">
        <f>HYPERLINK("https://android.googlesource.com/platform/cts/+/83b1b45fbc7612152c7db87bb3ecfdd2ae65fc3d", "83b1b45fbc7612152c7db87bb3ecfdd2ae65fc3d")</f>
        <v>0</v>
      </c>
      <c r="C14733">
        <f>HYPERLINK("https://android.googlesource.com/platform/cts/+/918ddde8412416e35055e9a0fe9021dcc7744fd8", "918ddde8412416e35055e9a0fe9021dcc7744fd8")</f>
        <v>0</v>
      </c>
      <c r="D14733" t="s">
        <v>5571</v>
      </c>
      <c r="E14733" t="s">
        <v>9154</v>
      </c>
      <c r="F14733" t="s">
        <v>12845</v>
      </c>
      <c r="G14733" t="s">
        <v>16561</v>
      </c>
      <c r="H14733" t="s">
        <v>34649</v>
      </c>
    </row>
    <row r="14734" spans="1:8">
      <c r="A14734" t="s">
        <v>3461</v>
      </c>
      <c r="B14734">
        <f>HYPERLINK("https://android.googlesource.com/platform/cts/+/6af4bd7e7a4d60138b3e00de4c91592242449bb7", "6af4bd7e7a4d60138b3e00de4c91592242449bb7")</f>
        <v>0</v>
      </c>
      <c r="C14734">
        <f>HYPERLINK("https://android.googlesource.com/platform/cts/+/c1e9b69f502c2f5baed1662cf4814a8a06ceea50", "c1e9b69f502c2f5baed1662cf4814a8a06ceea50")</f>
        <v>0</v>
      </c>
      <c r="D14734" t="s">
        <v>5085</v>
      </c>
      <c r="E14734" t="s">
        <v>9157</v>
      </c>
      <c r="F14734" t="s">
        <v>12897</v>
      </c>
      <c r="G14734" t="s">
        <v>16824</v>
      </c>
      <c r="H14734" t="s">
        <v>34651</v>
      </c>
    </row>
    <row r="14735" spans="1:8">
      <c r="A14735" t="s">
        <v>3465</v>
      </c>
      <c r="B14735">
        <f>HYPERLINK("https://android.googlesource.com/platform/cts/+/e2064c34236d1b1be0458b4d3625052d8c39b060", "e2064c34236d1b1be0458b4d3625052d8c39b060")</f>
        <v>0</v>
      </c>
      <c r="C14735">
        <f>HYPERLINK("https://android.googlesource.com/platform/cts/+/d61e778eaf901bccadefe6c64054ff9754e895e8", "d61e778eaf901bccadefe6c64054ff9754e895e8")</f>
        <v>0</v>
      </c>
      <c r="D14735" t="s">
        <v>5141</v>
      </c>
      <c r="E14735" t="s">
        <v>9161</v>
      </c>
      <c r="F14735" t="s">
        <v>14281</v>
      </c>
      <c r="G14735" t="s">
        <v>18246</v>
      </c>
      <c r="H14735" t="s">
        <v>34654</v>
      </c>
    </row>
    <row r="14736" spans="1:8">
      <c r="H14736" t="s">
        <v>34655</v>
      </c>
    </row>
    <row r="14737" spans="1:8">
      <c r="H14737" t="s">
        <v>34656</v>
      </c>
    </row>
    <row r="14738" spans="1:8">
      <c r="H14738" t="s">
        <v>34657</v>
      </c>
    </row>
    <row r="14739" spans="1:8">
      <c r="A14739" t="s">
        <v>3480</v>
      </c>
      <c r="B14739">
        <f>HYPERLINK("https://android.googlesource.com/platform/cts/+/1c9aafbbcf16a532935ebbf446309a0e9292d282", "1c9aafbbcf16a532935ebbf446309a0e9292d282")</f>
        <v>0</v>
      </c>
      <c r="C14739">
        <f>HYPERLINK("https://android.googlesource.com/platform/cts/+/8a1bac93f9bbb80e86539b4d50d290aa24198558", "8a1bac93f9bbb80e86539b4d50d290aa24198558")</f>
        <v>0</v>
      </c>
      <c r="D14739" t="s">
        <v>5573</v>
      </c>
      <c r="E14739" t="s">
        <v>9174</v>
      </c>
      <c r="F14739" t="s">
        <v>14295</v>
      </c>
      <c r="G14739" t="s">
        <v>18257</v>
      </c>
      <c r="H14739" t="s">
        <v>34760</v>
      </c>
    </row>
    <row r="14740" spans="1:8">
      <c r="A14740" t="s">
        <v>3486</v>
      </c>
      <c r="B14740">
        <f>HYPERLINK("https://android.googlesource.com/platform/cts/+/8e3d022b648a99041364e598017383f92d731b6d", "8e3d022b648a99041364e598017383f92d731b6d")</f>
        <v>0</v>
      </c>
      <c r="C14740">
        <f>HYPERLINK("https://android.googlesource.com/platform/cts/+/7416bdea2796b42bd24bbfed09fbdcb0d63edd02", "7416bdea2796b42bd24bbfed09fbdcb0d63edd02")</f>
        <v>0</v>
      </c>
      <c r="D14740" t="s">
        <v>5568</v>
      </c>
      <c r="E14740" t="s">
        <v>9180</v>
      </c>
      <c r="F14740" t="s">
        <v>10699</v>
      </c>
      <c r="G14740" t="s">
        <v>15099</v>
      </c>
      <c r="H14740" t="s">
        <v>34770</v>
      </c>
    </row>
    <row r="14741" spans="1:8">
      <c r="F14741" t="s">
        <v>14298</v>
      </c>
      <c r="G14741" t="s">
        <v>18236</v>
      </c>
      <c r="H14741" t="s">
        <v>34771</v>
      </c>
    </row>
    <row r="14742" spans="1:8">
      <c r="H14742" t="s">
        <v>34533</v>
      </c>
    </row>
    <row r="14743" spans="1:8">
      <c r="A14743" t="s">
        <v>3487</v>
      </c>
      <c r="B14743">
        <f>HYPERLINK("https://android.googlesource.com/platform/cts/+/40bc18f8dcaa8c5d15a4283fbebd2832253b1ba4", "40bc18f8dcaa8c5d15a4283fbebd2832253b1ba4")</f>
        <v>0</v>
      </c>
      <c r="C14743">
        <f>HYPERLINK("https://android.googlesource.com/platform/cts/+/d694092800a1302b53a4339203450459a59ec197", "d694092800a1302b53a4339203450459a59ec197")</f>
        <v>0</v>
      </c>
      <c r="D14743" t="s">
        <v>5231</v>
      </c>
      <c r="E14743" t="s">
        <v>9181</v>
      </c>
      <c r="F14743" t="s">
        <v>14299</v>
      </c>
      <c r="G14743" t="s">
        <v>18258</v>
      </c>
      <c r="H14743" t="s">
        <v>34772</v>
      </c>
    </row>
    <row r="14744" spans="1:8">
      <c r="A14744" t="s">
        <v>3493</v>
      </c>
      <c r="B14744">
        <f>HYPERLINK("https://android.googlesource.com/platform/cts/+/c55056dd13bfb0e8b3d04c5b882e1b5049adfbf9", "c55056dd13bfb0e8b3d04c5b882e1b5049adfbf9")</f>
        <v>0</v>
      </c>
      <c r="C14744">
        <f>HYPERLINK("https://android.googlesource.com/platform/cts/+/e63ef94f984f46c37e2d4adb95f64309351b4cb7", "e63ef94f984f46c37e2d4adb95f64309351b4cb7")</f>
        <v>0</v>
      </c>
      <c r="D14744" t="s">
        <v>5355</v>
      </c>
      <c r="E14744" t="s">
        <v>9187</v>
      </c>
      <c r="F14744" t="s">
        <v>14303</v>
      </c>
      <c r="G14744" t="s">
        <v>17388</v>
      </c>
      <c r="H14744" t="s">
        <v>34802</v>
      </c>
    </row>
    <row r="14745" spans="1:8">
      <c r="A14745" t="s">
        <v>3498</v>
      </c>
      <c r="B14745">
        <f>HYPERLINK("https://android.googlesource.com/platform/cts/+/333b4a627bd9005d8f115a15e1938f3aec894ce7", "333b4a627bd9005d8f115a15e1938f3aec894ce7")</f>
        <v>0</v>
      </c>
      <c r="C14745">
        <f>HYPERLINK("https://android.googlesource.com/platform/cts/+/65dc0a4bba0749767e2746cea08a654e51699918", "65dc0a4bba0749767e2746cea08a654e51699918")</f>
        <v>0</v>
      </c>
      <c r="D14745" t="s">
        <v>5575</v>
      </c>
      <c r="E14745" t="s">
        <v>9192</v>
      </c>
      <c r="F14745" t="s">
        <v>14076</v>
      </c>
      <c r="G14745" t="s">
        <v>18074</v>
      </c>
      <c r="H14745" t="s">
        <v>34805</v>
      </c>
    </row>
    <row r="14746" spans="1:8">
      <c r="A14746" t="s">
        <v>3500</v>
      </c>
      <c r="B14746">
        <f>HYPERLINK("https://android.googlesource.com/platform/cts/+/935d71a4a157f12a9907139bbc1b6178f541f1f6", "935d71a4a157f12a9907139bbc1b6178f541f1f6")</f>
        <v>0</v>
      </c>
      <c r="C14746">
        <f>HYPERLINK("https://android.googlesource.com/platform/cts/+/7168452074033d83d2767ebfa958331a0c50bbd6", "7168452074033d83d2767ebfa958331a0c50bbd6")</f>
        <v>0</v>
      </c>
      <c r="D14746" t="s">
        <v>5576</v>
      </c>
      <c r="E14746" t="s">
        <v>9194</v>
      </c>
      <c r="F14746" t="s">
        <v>13857</v>
      </c>
      <c r="G14746" t="s">
        <v>17899</v>
      </c>
      <c r="H14746" t="s">
        <v>34807</v>
      </c>
    </row>
    <row r="14747" spans="1:8">
      <c r="H14747" t="s">
        <v>34808</v>
      </c>
    </row>
    <row r="14748" spans="1:8">
      <c r="H14748" t="s">
        <v>34809</v>
      </c>
    </row>
    <row r="14749" spans="1:8">
      <c r="H14749" t="s">
        <v>34810</v>
      </c>
    </row>
    <row r="14750" spans="1:8">
      <c r="H14750" t="s">
        <v>34811</v>
      </c>
    </row>
    <row r="14751" spans="1:8">
      <c r="H14751" t="s">
        <v>34812</v>
      </c>
    </row>
    <row r="14752" spans="1:8">
      <c r="F14752" t="s">
        <v>13976</v>
      </c>
      <c r="G14752" t="s">
        <v>18001</v>
      </c>
      <c r="H14752" t="s">
        <v>34814</v>
      </c>
    </row>
    <row r="14753" spans="6:8">
      <c r="H14753" t="s">
        <v>34815</v>
      </c>
    </row>
    <row r="14754" spans="6:8">
      <c r="H14754" t="s">
        <v>34816</v>
      </c>
    </row>
    <row r="14755" spans="6:8">
      <c r="H14755" t="s">
        <v>34817</v>
      </c>
    </row>
    <row r="14756" spans="6:8">
      <c r="H14756" t="s">
        <v>34818</v>
      </c>
    </row>
    <row r="14757" spans="6:8">
      <c r="H14757" t="s">
        <v>34819</v>
      </c>
    </row>
    <row r="14758" spans="6:8">
      <c r="H14758" t="s">
        <v>34820</v>
      </c>
    </row>
    <row r="14759" spans="6:8">
      <c r="H14759" t="s">
        <v>34821</v>
      </c>
    </row>
    <row r="14760" spans="6:8">
      <c r="H14760" t="s">
        <v>34822</v>
      </c>
    </row>
    <row r="14761" spans="6:8">
      <c r="F14761" t="s">
        <v>13977</v>
      </c>
      <c r="G14761" t="s">
        <v>18002</v>
      </c>
      <c r="H14761" t="s">
        <v>33907</v>
      </c>
    </row>
    <row r="14762" spans="6:8">
      <c r="H14762" t="s">
        <v>33908</v>
      </c>
    </row>
    <row r="14763" spans="6:8">
      <c r="F14763" t="s">
        <v>12416</v>
      </c>
      <c r="G14763" t="s">
        <v>16638</v>
      </c>
      <c r="H14763" t="s">
        <v>26751</v>
      </c>
    </row>
    <row r="14764" spans="6:8">
      <c r="H14764" t="s">
        <v>34852</v>
      </c>
    </row>
    <row r="14765" spans="6:8">
      <c r="H14765" t="s">
        <v>34853</v>
      </c>
    </row>
    <row r="14766" spans="6:8">
      <c r="H14766" t="s">
        <v>34854</v>
      </c>
    </row>
    <row r="14767" spans="6:8">
      <c r="H14767" t="s">
        <v>34855</v>
      </c>
    </row>
    <row r="14768" spans="6:8">
      <c r="H14768" t="s">
        <v>34856</v>
      </c>
    </row>
    <row r="14769" spans="6:8">
      <c r="H14769" t="s">
        <v>34857</v>
      </c>
    </row>
    <row r="14770" spans="6:8">
      <c r="H14770" t="s">
        <v>34858</v>
      </c>
    </row>
    <row r="14771" spans="6:8">
      <c r="H14771" t="s">
        <v>34859</v>
      </c>
    </row>
    <row r="14772" spans="6:8">
      <c r="H14772" t="s">
        <v>34860</v>
      </c>
    </row>
    <row r="14773" spans="6:8">
      <c r="H14773" t="s">
        <v>34861</v>
      </c>
    </row>
    <row r="14774" spans="6:8">
      <c r="H14774" t="s">
        <v>34862</v>
      </c>
    </row>
    <row r="14775" spans="6:8">
      <c r="H14775" t="s">
        <v>34863</v>
      </c>
    </row>
    <row r="14776" spans="6:8">
      <c r="H14776" t="s">
        <v>34864</v>
      </c>
    </row>
    <row r="14777" spans="6:8">
      <c r="H14777" t="s">
        <v>34870</v>
      </c>
    </row>
    <row r="14778" spans="6:8">
      <c r="F14778" t="s">
        <v>14304</v>
      </c>
      <c r="G14778" t="s">
        <v>18262</v>
      </c>
      <c r="H14778" t="s">
        <v>34873</v>
      </c>
    </row>
    <row r="14779" spans="6:8">
      <c r="H14779" t="s">
        <v>34874</v>
      </c>
    </row>
    <row r="14780" spans="6:8">
      <c r="H14780" t="s">
        <v>34875</v>
      </c>
    </row>
    <row r="14781" spans="6:8">
      <c r="H14781" t="s">
        <v>31037</v>
      </c>
    </row>
    <row r="14782" spans="6:8">
      <c r="F14782" t="s">
        <v>13941</v>
      </c>
      <c r="G14782" t="s">
        <v>17972</v>
      </c>
      <c r="H14782" t="s">
        <v>32340</v>
      </c>
    </row>
    <row r="14783" spans="6:8">
      <c r="H14783" t="s">
        <v>32342</v>
      </c>
    </row>
    <row r="14784" spans="6:8">
      <c r="H14784" t="s">
        <v>32341</v>
      </c>
    </row>
    <row r="14785" spans="6:8">
      <c r="F14785" t="s">
        <v>14305</v>
      </c>
      <c r="G14785" t="s">
        <v>18005</v>
      </c>
      <c r="H14785" t="s">
        <v>34876</v>
      </c>
    </row>
    <row r="14786" spans="6:8">
      <c r="F14786" t="s">
        <v>14234</v>
      </c>
      <c r="G14786" t="s">
        <v>18204</v>
      </c>
      <c r="H14786" t="s">
        <v>34880</v>
      </c>
    </row>
    <row r="14787" spans="6:8">
      <c r="H14787" t="s">
        <v>34881</v>
      </c>
    </row>
    <row r="14788" spans="6:8">
      <c r="H14788" t="s">
        <v>34884</v>
      </c>
    </row>
    <row r="14789" spans="6:8">
      <c r="H14789" t="s">
        <v>34885</v>
      </c>
    </row>
    <row r="14790" spans="6:8">
      <c r="H14790" t="s">
        <v>34886</v>
      </c>
    </row>
    <row r="14791" spans="6:8">
      <c r="H14791" t="s">
        <v>34887</v>
      </c>
    </row>
    <row r="14792" spans="6:8">
      <c r="H14792" t="s">
        <v>34888</v>
      </c>
    </row>
    <row r="14793" spans="6:8">
      <c r="H14793" t="s">
        <v>34889</v>
      </c>
    </row>
    <row r="14794" spans="6:8">
      <c r="H14794" t="s">
        <v>34890</v>
      </c>
    </row>
    <row r="14795" spans="6:8">
      <c r="H14795" t="s">
        <v>34892</v>
      </c>
    </row>
    <row r="14796" spans="6:8">
      <c r="H14796" t="s">
        <v>34893</v>
      </c>
    </row>
    <row r="14797" spans="6:8">
      <c r="F14797" t="s">
        <v>10700</v>
      </c>
      <c r="G14797" t="s">
        <v>15100</v>
      </c>
      <c r="H14797" t="s">
        <v>34906</v>
      </c>
    </row>
    <row r="14798" spans="6:8">
      <c r="H14798" t="s">
        <v>22508</v>
      </c>
    </row>
    <row r="14799" spans="6:8">
      <c r="H14799" t="s">
        <v>34907</v>
      </c>
    </row>
    <row r="14800" spans="6:8">
      <c r="H14800" t="s">
        <v>34908</v>
      </c>
    </row>
    <row r="14801" spans="8:8">
      <c r="H14801" t="s">
        <v>34909</v>
      </c>
    </row>
    <row r="14802" spans="8:8">
      <c r="H14802" t="s">
        <v>34910</v>
      </c>
    </row>
    <row r="14803" spans="8:8">
      <c r="H14803" t="s">
        <v>34911</v>
      </c>
    </row>
    <row r="14804" spans="8:8">
      <c r="H14804" t="s">
        <v>25838</v>
      </c>
    </row>
    <row r="14805" spans="8:8">
      <c r="H14805" t="s">
        <v>34920</v>
      </c>
    </row>
    <row r="14806" spans="8:8">
      <c r="H14806" t="s">
        <v>25839</v>
      </c>
    </row>
    <row r="14807" spans="8:8">
      <c r="H14807" t="s">
        <v>27479</v>
      </c>
    </row>
    <row r="14808" spans="8:8">
      <c r="H14808" t="s">
        <v>34922</v>
      </c>
    </row>
    <row r="14809" spans="8:8">
      <c r="H14809" t="s">
        <v>34923</v>
      </c>
    </row>
    <row r="14810" spans="8:8">
      <c r="H14810" t="s">
        <v>34924</v>
      </c>
    </row>
    <row r="14811" spans="8:8">
      <c r="H14811" t="s">
        <v>34925</v>
      </c>
    </row>
    <row r="14812" spans="8:8">
      <c r="H14812" t="s">
        <v>34927</v>
      </c>
    </row>
    <row r="14813" spans="8:8">
      <c r="H14813" t="s">
        <v>34935</v>
      </c>
    </row>
    <row r="14814" spans="8:8">
      <c r="H14814" t="s">
        <v>34950</v>
      </c>
    </row>
    <row r="14815" spans="8:8">
      <c r="H14815" t="s">
        <v>34951</v>
      </c>
    </row>
    <row r="14816" spans="8:8">
      <c r="H14816" t="s">
        <v>34952</v>
      </c>
    </row>
    <row r="14817" spans="6:8">
      <c r="H14817" t="s">
        <v>34957</v>
      </c>
    </row>
    <row r="14818" spans="6:8">
      <c r="H14818" t="s">
        <v>34958</v>
      </c>
    </row>
    <row r="14819" spans="6:8">
      <c r="H14819" t="s">
        <v>34960</v>
      </c>
    </row>
    <row r="14820" spans="6:8">
      <c r="H14820" t="s">
        <v>34961</v>
      </c>
    </row>
    <row r="14821" spans="6:8">
      <c r="H14821" t="s">
        <v>34962</v>
      </c>
    </row>
    <row r="14822" spans="6:8">
      <c r="H14822" t="s">
        <v>34966</v>
      </c>
    </row>
    <row r="14823" spans="6:8">
      <c r="F14823" t="s">
        <v>14306</v>
      </c>
      <c r="G14823" t="s">
        <v>18263</v>
      </c>
      <c r="H14823" t="s">
        <v>34967</v>
      </c>
    </row>
    <row r="14824" spans="6:8">
      <c r="F14824" t="s">
        <v>13837</v>
      </c>
      <c r="G14824" t="s">
        <v>17880</v>
      </c>
      <c r="H14824" t="s">
        <v>31852</v>
      </c>
    </row>
    <row r="14825" spans="6:8">
      <c r="H14825" t="s">
        <v>34980</v>
      </c>
    </row>
    <row r="14826" spans="6:8">
      <c r="H14826" t="s">
        <v>34981</v>
      </c>
    </row>
    <row r="14827" spans="6:8">
      <c r="H14827" t="s">
        <v>34982</v>
      </c>
    </row>
    <row r="14828" spans="6:8">
      <c r="H14828" t="s">
        <v>34983</v>
      </c>
    </row>
    <row r="14829" spans="6:8">
      <c r="H14829" t="s">
        <v>34984</v>
      </c>
    </row>
    <row r="14830" spans="6:8">
      <c r="H14830" t="s">
        <v>34985</v>
      </c>
    </row>
    <row r="14831" spans="6:8">
      <c r="H14831" t="s">
        <v>34986</v>
      </c>
    </row>
    <row r="14832" spans="6:8">
      <c r="H14832" t="s">
        <v>34987</v>
      </c>
    </row>
    <row r="14833" spans="6:8">
      <c r="H14833" t="s">
        <v>34988</v>
      </c>
    </row>
    <row r="14834" spans="6:8">
      <c r="H14834" t="s">
        <v>34994</v>
      </c>
    </row>
    <row r="14835" spans="6:8">
      <c r="H14835" t="s">
        <v>34995</v>
      </c>
    </row>
    <row r="14836" spans="6:8">
      <c r="H14836" t="s">
        <v>34996</v>
      </c>
    </row>
    <row r="14837" spans="6:8">
      <c r="H14837" t="s">
        <v>35002</v>
      </c>
    </row>
    <row r="14838" spans="6:8">
      <c r="H14838" t="s">
        <v>35003</v>
      </c>
    </row>
    <row r="14839" spans="6:8">
      <c r="H14839" t="s">
        <v>35004</v>
      </c>
    </row>
    <row r="14840" spans="6:8">
      <c r="H14840" t="s">
        <v>35005</v>
      </c>
    </row>
    <row r="14841" spans="6:8">
      <c r="H14841" t="s">
        <v>35006</v>
      </c>
    </row>
    <row r="14842" spans="6:8">
      <c r="H14842" t="s">
        <v>35007</v>
      </c>
    </row>
    <row r="14843" spans="6:8">
      <c r="H14843" t="s">
        <v>35008</v>
      </c>
    </row>
    <row r="14844" spans="6:8">
      <c r="H14844" t="s">
        <v>35009</v>
      </c>
    </row>
    <row r="14845" spans="6:8">
      <c r="H14845" t="s">
        <v>35011</v>
      </c>
    </row>
    <row r="14846" spans="6:8">
      <c r="H14846" t="s">
        <v>35014</v>
      </c>
    </row>
    <row r="14847" spans="6:8">
      <c r="F14847" t="s">
        <v>12201</v>
      </c>
      <c r="G14847" t="s">
        <v>16439</v>
      </c>
      <c r="H14847" t="s">
        <v>21327</v>
      </c>
    </row>
    <row r="14848" spans="6:8">
      <c r="F14848" t="s">
        <v>14222</v>
      </c>
      <c r="G14848" t="s">
        <v>18195</v>
      </c>
      <c r="H14848" t="s">
        <v>35024</v>
      </c>
    </row>
    <row r="14849" spans="6:8">
      <c r="H14849" t="s">
        <v>35025</v>
      </c>
    </row>
    <row r="14850" spans="6:8">
      <c r="H14850" t="s">
        <v>35026</v>
      </c>
    </row>
    <row r="14851" spans="6:8">
      <c r="H14851" t="s">
        <v>35028</v>
      </c>
    </row>
    <row r="14852" spans="6:8">
      <c r="H14852" t="s">
        <v>35029</v>
      </c>
    </row>
    <row r="14853" spans="6:8">
      <c r="H14853" t="s">
        <v>35030</v>
      </c>
    </row>
    <row r="14854" spans="6:8">
      <c r="H14854" t="s">
        <v>35031</v>
      </c>
    </row>
    <row r="14855" spans="6:8">
      <c r="H14855" t="s">
        <v>35032</v>
      </c>
    </row>
    <row r="14856" spans="6:8">
      <c r="H14856" t="s">
        <v>35033</v>
      </c>
    </row>
    <row r="14857" spans="6:8">
      <c r="H14857" t="s">
        <v>35036</v>
      </c>
    </row>
    <row r="14858" spans="6:8">
      <c r="H14858" t="s">
        <v>35037</v>
      </c>
    </row>
    <row r="14859" spans="6:8">
      <c r="F14859" t="s">
        <v>14307</v>
      </c>
      <c r="G14859" t="s">
        <v>18264</v>
      </c>
      <c r="H14859" t="s">
        <v>35042</v>
      </c>
    </row>
    <row r="14860" spans="6:8">
      <c r="H14860" t="s">
        <v>35043</v>
      </c>
    </row>
    <row r="14861" spans="6:8">
      <c r="H14861" t="s">
        <v>35044</v>
      </c>
    </row>
    <row r="14862" spans="6:8">
      <c r="H14862" t="s">
        <v>35045</v>
      </c>
    </row>
    <row r="14863" spans="6:8">
      <c r="H14863" t="s">
        <v>35046</v>
      </c>
    </row>
    <row r="14864" spans="6:8">
      <c r="H14864" t="s">
        <v>35047</v>
      </c>
    </row>
    <row r="14865" spans="6:8">
      <c r="F14865" t="s">
        <v>14159</v>
      </c>
      <c r="G14865" t="s">
        <v>18145</v>
      </c>
      <c r="H14865" t="s">
        <v>18836</v>
      </c>
    </row>
    <row r="14866" spans="6:8">
      <c r="H14866" t="s">
        <v>35050</v>
      </c>
    </row>
    <row r="14867" spans="6:8">
      <c r="F14867" t="s">
        <v>14308</v>
      </c>
      <c r="G14867" t="s">
        <v>18265</v>
      </c>
      <c r="H14867" t="s">
        <v>35070</v>
      </c>
    </row>
    <row r="14868" spans="6:8">
      <c r="H14868" t="s">
        <v>35071</v>
      </c>
    </row>
    <row r="14869" spans="6:8">
      <c r="H14869" t="s">
        <v>35072</v>
      </c>
    </row>
    <row r="14870" spans="6:8">
      <c r="H14870" t="s">
        <v>35073</v>
      </c>
    </row>
    <row r="14871" spans="6:8">
      <c r="H14871" t="s">
        <v>35074</v>
      </c>
    </row>
    <row r="14872" spans="6:8">
      <c r="H14872" t="s">
        <v>35075</v>
      </c>
    </row>
    <row r="14873" spans="6:8">
      <c r="F14873" t="s">
        <v>13309</v>
      </c>
      <c r="G14873" t="s">
        <v>17442</v>
      </c>
      <c r="H14873" t="s">
        <v>29102</v>
      </c>
    </row>
    <row r="14874" spans="6:8">
      <c r="H14874" t="s">
        <v>29103</v>
      </c>
    </row>
    <row r="14875" spans="6:8">
      <c r="H14875" t="s">
        <v>35091</v>
      </c>
    </row>
    <row r="14876" spans="6:8">
      <c r="H14876" t="s">
        <v>35092</v>
      </c>
    </row>
    <row r="14877" spans="6:8">
      <c r="H14877" t="s">
        <v>35093</v>
      </c>
    </row>
    <row r="14878" spans="6:8">
      <c r="H14878" t="s">
        <v>35094</v>
      </c>
    </row>
    <row r="14879" spans="6:8">
      <c r="H14879" t="s">
        <v>35095</v>
      </c>
    </row>
    <row r="14880" spans="6:8">
      <c r="H14880" t="s">
        <v>35096</v>
      </c>
    </row>
    <row r="14881" spans="8:8">
      <c r="H14881" t="s">
        <v>35097</v>
      </c>
    </row>
    <row r="14882" spans="8:8">
      <c r="H14882" t="s">
        <v>35098</v>
      </c>
    </row>
    <row r="14883" spans="8:8">
      <c r="H14883" t="s">
        <v>35099</v>
      </c>
    </row>
    <row r="14884" spans="8:8">
      <c r="H14884" t="s">
        <v>35100</v>
      </c>
    </row>
    <row r="14885" spans="8:8">
      <c r="H14885" t="s">
        <v>35101</v>
      </c>
    </row>
    <row r="14886" spans="8:8">
      <c r="H14886" t="s">
        <v>35102</v>
      </c>
    </row>
    <row r="14887" spans="8:8">
      <c r="H14887" t="s">
        <v>35103</v>
      </c>
    </row>
    <row r="14888" spans="8:8">
      <c r="H14888" t="s">
        <v>35104</v>
      </c>
    </row>
    <row r="14889" spans="8:8">
      <c r="H14889" t="s">
        <v>35105</v>
      </c>
    </row>
    <row r="14890" spans="8:8">
      <c r="H14890" t="s">
        <v>35106</v>
      </c>
    </row>
    <row r="14891" spans="8:8">
      <c r="H14891" t="s">
        <v>35107</v>
      </c>
    </row>
    <row r="14892" spans="8:8">
      <c r="H14892" t="s">
        <v>35108</v>
      </c>
    </row>
    <row r="14893" spans="8:8">
      <c r="H14893" t="s">
        <v>35109</v>
      </c>
    </row>
    <row r="14894" spans="8:8">
      <c r="H14894" t="s">
        <v>35110</v>
      </c>
    </row>
    <row r="14895" spans="8:8">
      <c r="H14895" t="s">
        <v>35111</v>
      </c>
    </row>
    <row r="14896" spans="8:8">
      <c r="H14896" t="s">
        <v>35112</v>
      </c>
    </row>
    <row r="14897" spans="8:8">
      <c r="H14897" t="s">
        <v>35113</v>
      </c>
    </row>
    <row r="14898" spans="8:8">
      <c r="H14898" t="s">
        <v>35114</v>
      </c>
    </row>
    <row r="14899" spans="8:8">
      <c r="H14899" t="s">
        <v>35115</v>
      </c>
    </row>
    <row r="14900" spans="8:8">
      <c r="H14900" t="s">
        <v>35116</v>
      </c>
    </row>
    <row r="14901" spans="8:8">
      <c r="H14901" t="s">
        <v>35117</v>
      </c>
    </row>
    <row r="14902" spans="8:8">
      <c r="H14902" t="s">
        <v>35118</v>
      </c>
    </row>
    <row r="14903" spans="8:8">
      <c r="H14903" t="s">
        <v>35119</v>
      </c>
    </row>
    <row r="14904" spans="8:8">
      <c r="H14904" t="s">
        <v>35120</v>
      </c>
    </row>
    <row r="14905" spans="8:8">
      <c r="H14905" t="s">
        <v>35121</v>
      </c>
    </row>
    <row r="14906" spans="8:8">
      <c r="H14906" t="s">
        <v>35122</v>
      </c>
    </row>
    <row r="14907" spans="8:8">
      <c r="H14907" t="s">
        <v>35123</v>
      </c>
    </row>
    <row r="14908" spans="8:8">
      <c r="H14908" t="s">
        <v>35124</v>
      </c>
    </row>
    <row r="14909" spans="8:8">
      <c r="H14909" t="s">
        <v>35125</v>
      </c>
    </row>
    <row r="14910" spans="8:8">
      <c r="H14910" t="s">
        <v>35126</v>
      </c>
    </row>
    <row r="14911" spans="8:8">
      <c r="H14911" t="s">
        <v>35127</v>
      </c>
    </row>
    <row r="14912" spans="8:8">
      <c r="H14912" t="s">
        <v>35128</v>
      </c>
    </row>
    <row r="14913" spans="8:8">
      <c r="H14913" t="s">
        <v>35129</v>
      </c>
    </row>
    <row r="14914" spans="8:8">
      <c r="H14914" t="s">
        <v>35130</v>
      </c>
    </row>
    <row r="14915" spans="8:8">
      <c r="H14915" t="s">
        <v>35131</v>
      </c>
    </row>
    <row r="14916" spans="8:8">
      <c r="H14916" t="s">
        <v>35132</v>
      </c>
    </row>
    <row r="14917" spans="8:8">
      <c r="H14917" t="s">
        <v>35133</v>
      </c>
    </row>
    <row r="14918" spans="8:8">
      <c r="H14918" t="s">
        <v>35134</v>
      </c>
    </row>
    <row r="14919" spans="8:8">
      <c r="H14919" t="s">
        <v>35135</v>
      </c>
    </row>
    <row r="14920" spans="8:8">
      <c r="H14920" t="s">
        <v>35136</v>
      </c>
    </row>
    <row r="14921" spans="8:8">
      <c r="H14921" t="s">
        <v>35137</v>
      </c>
    </row>
    <row r="14922" spans="8:8">
      <c r="H14922" t="s">
        <v>35138</v>
      </c>
    </row>
    <row r="14923" spans="8:8">
      <c r="H14923" t="s">
        <v>35139</v>
      </c>
    </row>
    <row r="14924" spans="8:8">
      <c r="H14924" t="s">
        <v>35140</v>
      </c>
    </row>
    <row r="14925" spans="8:8">
      <c r="H14925" t="s">
        <v>35141</v>
      </c>
    </row>
    <row r="14926" spans="8:8">
      <c r="H14926" t="s">
        <v>35142</v>
      </c>
    </row>
    <row r="14927" spans="8:8">
      <c r="H14927" t="s">
        <v>35143</v>
      </c>
    </row>
    <row r="14928" spans="8:8">
      <c r="H14928" t="s">
        <v>35144</v>
      </c>
    </row>
    <row r="14929" spans="6:8">
      <c r="H14929" t="s">
        <v>35145</v>
      </c>
    </row>
    <row r="14930" spans="6:8">
      <c r="H14930" t="s">
        <v>35146</v>
      </c>
    </row>
    <row r="14931" spans="6:8">
      <c r="H14931" t="s">
        <v>35147</v>
      </c>
    </row>
    <row r="14932" spans="6:8">
      <c r="H14932" t="s">
        <v>35148</v>
      </c>
    </row>
    <row r="14933" spans="6:8">
      <c r="H14933" t="s">
        <v>35149</v>
      </c>
    </row>
    <row r="14934" spans="6:8">
      <c r="H14934" t="s">
        <v>35150</v>
      </c>
    </row>
    <row r="14935" spans="6:8">
      <c r="H14935" t="s">
        <v>35151</v>
      </c>
    </row>
    <row r="14936" spans="6:8">
      <c r="H14936" t="s">
        <v>35152</v>
      </c>
    </row>
    <row r="14937" spans="6:8">
      <c r="H14937" t="s">
        <v>35153</v>
      </c>
    </row>
    <row r="14938" spans="6:8">
      <c r="H14938" t="s">
        <v>35154</v>
      </c>
    </row>
    <row r="14939" spans="6:8">
      <c r="H14939" t="s">
        <v>35155</v>
      </c>
    </row>
    <row r="14940" spans="6:8">
      <c r="H14940" t="s">
        <v>35156</v>
      </c>
    </row>
    <row r="14941" spans="6:8">
      <c r="F14941" t="s">
        <v>13928</v>
      </c>
      <c r="G14941" t="s">
        <v>17964</v>
      </c>
      <c r="H14941" t="s">
        <v>35159</v>
      </c>
    </row>
    <row r="14942" spans="6:8">
      <c r="H14942" t="s">
        <v>35160</v>
      </c>
    </row>
    <row r="14943" spans="6:8">
      <c r="H14943" t="s">
        <v>35175</v>
      </c>
    </row>
    <row r="14944" spans="6:8">
      <c r="H14944" t="s">
        <v>35176</v>
      </c>
    </row>
    <row r="14945" spans="8:8">
      <c r="H14945" t="s">
        <v>35177</v>
      </c>
    </row>
    <row r="14946" spans="8:8">
      <c r="H14946" t="s">
        <v>35178</v>
      </c>
    </row>
    <row r="14947" spans="8:8">
      <c r="H14947" t="s">
        <v>35179</v>
      </c>
    </row>
    <row r="14948" spans="8:8">
      <c r="H14948" t="s">
        <v>35180</v>
      </c>
    </row>
    <row r="14949" spans="8:8">
      <c r="H14949" t="s">
        <v>35181</v>
      </c>
    </row>
    <row r="14950" spans="8:8">
      <c r="H14950" t="s">
        <v>35182</v>
      </c>
    </row>
    <row r="14951" spans="8:8">
      <c r="H14951" t="s">
        <v>35183</v>
      </c>
    </row>
    <row r="14952" spans="8:8">
      <c r="H14952" t="s">
        <v>35184</v>
      </c>
    </row>
    <row r="14953" spans="8:8">
      <c r="H14953" t="s">
        <v>35185</v>
      </c>
    </row>
    <row r="14954" spans="8:8">
      <c r="H14954" t="s">
        <v>35186</v>
      </c>
    </row>
    <row r="14955" spans="8:8">
      <c r="H14955" t="s">
        <v>35187</v>
      </c>
    </row>
    <row r="14956" spans="8:8">
      <c r="H14956" t="s">
        <v>35188</v>
      </c>
    </row>
    <row r="14957" spans="8:8">
      <c r="H14957" t="s">
        <v>35189</v>
      </c>
    </row>
    <row r="14958" spans="8:8">
      <c r="H14958" t="s">
        <v>35190</v>
      </c>
    </row>
    <row r="14959" spans="8:8">
      <c r="H14959" t="s">
        <v>35191</v>
      </c>
    </row>
    <row r="14960" spans="8:8">
      <c r="H14960" t="s">
        <v>35192</v>
      </c>
    </row>
    <row r="14961" spans="6:8">
      <c r="H14961" t="s">
        <v>35193</v>
      </c>
    </row>
    <row r="14962" spans="6:8">
      <c r="H14962" t="s">
        <v>35194</v>
      </c>
    </row>
    <row r="14963" spans="6:8">
      <c r="H14963" t="s">
        <v>35195</v>
      </c>
    </row>
    <row r="14964" spans="6:8">
      <c r="H14964" t="s">
        <v>35196</v>
      </c>
    </row>
    <row r="14965" spans="6:8">
      <c r="H14965" t="s">
        <v>35197</v>
      </c>
    </row>
    <row r="14966" spans="6:8">
      <c r="H14966" t="s">
        <v>35198</v>
      </c>
    </row>
    <row r="14967" spans="6:8">
      <c r="F14967" t="s">
        <v>12740</v>
      </c>
      <c r="G14967" t="s">
        <v>16932</v>
      </c>
      <c r="H14967" t="s">
        <v>35199</v>
      </c>
    </row>
    <row r="14968" spans="6:8">
      <c r="F14968" t="s">
        <v>10615</v>
      </c>
      <c r="G14968" t="s">
        <v>15018</v>
      </c>
      <c r="H14968" t="s">
        <v>35200</v>
      </c>
    </row>
    <row r="14969" spans="6:8">
      <c r="F14969" t="s">
        <v>10616</v>
      </c>
      <c r="G14969" t="s">
        <v>15019</v>
      </c>
      <c r="H14969" t="s">
        <v>19183</v>
      </c>
    </row>
    <row r="14970" spans="6:8">
      <c r="H14970" t="s">
        <v>19184</v>
      </c>
    </row>
    <row r="14971" spans="6:8">
      <c r="F14971" t="s">
        <v>13133</v>
      </c>
      <c r="G14971" t="s">
        <v>17291</v>
      </c>
      <c r="H14971" t="s">
        <v>35201</v>
      </c>
    </row>
    <row r="14972" spans="6:8">
      <c r="H14972" t="s">
        <v>25716</v>
      </c>
    </row>
    <row r="14973" spans="6:8">
      <c r="H14973" t="s">
        <v>28041</v>
      </c>
    </row>
    <row r="14974" spans="6:8">
      <c r="H14974" t="s">
        <v>28042</v>
      </c>
    </row>
    <row r="14975" spans="6:8">
      <c r="H14975" t="s">
        <v>35202</v>
      </c>
    </row>
    <row r="14976" spans="6:8">
      <c r="H14976" t="s">
        <v>35203</v>
      </c>
    </row>
    <row r="14977" spans="6:8">
      <c r="H14977" t="s">
        <v>35204</v>
      </c>
    </row>
    <row r="14978" spans="6:8">
      <c r="F14978" t="s">
        <v>14309</v>
      </c>
      <c r="G14978" t="s">
        <v>18266</v>
      </c>
      <c r="H14978" t="s">
        <v>35211</v>
      </c>
    </row>
    <row r="14979" spans="6:8">
      <c r="H14979" t="s">
        <v>35212</v>
      </c>
    </row>
    <row r="14980" spans="6:8">
      <c r="H14980" t="s">
        <v>35213</v>
      </c>
    </row>
    <row r="14981" spans="6:8">
      <c r="H14981" t="s">
        <v>35214</v>
      </c>
    </row>
    <row r="14982" spans="6:8">
      <c r="H14982" t="s">
        <v>35215</v>
      </c>
    </row>
    <row r="14983" spans="6:8">
      <c r="F14983" t="s">
        <v>14310</v>
      </c>
      <c r="G14983" t="s">
        <v>18267</v>
      </c>
      <c r="H14983" t="s">
        <v>35216</v>
      </c>
    </row>
    <row r="14984" spans="6:8">
      <c r="F14984" t="s">
        <v>14210</v>
      </c>
      <c r="G14984" t="s">
        <v>18186</v>
      </c>
      <c r="H14984" t="s">
        <v>35217</v>
      </c>
    </row>
    <row r="14985" spans="6:8">
      <c r="H14985" t="s">
        <v>35218</v>
      </c>
    </row>
    <row r="14986" spans="6:8">
      <c r="H14986" t="s">
        <v>35219</v>
      </c>
    </row>
    <row r="14987" spans="6:8">
      <c r="H14987" t="s">
        <v>35220</v>
      </c>
    </row>
    <row r="14988" spans="6:8">
      <c r="H14988" t="s">
        <v>35221</v>
      </c>
    </row>
    <row r="14989" spans="6:8">
      <c r="H14989" t="s">
        <v>35222</v>
      </c>
    </row>
    <row r="14990" spans="6:8">
      <c r="H14990" t="s">
        <v>35223</v>
      </c>
    </row>
    <row r="14991" spans="6:8">
      <c r="H14991" t="s">
        <v>35224</v>
      </c>
    </row>
    <row r="14992" spans="6:8">
      <c r="F14992" t="s">
        <v>10617</v>
      </c>
      <c r="G14992" t="s">
        <v>15020</v>
      </c>
      <c r="H14992" t="s">
        <v>19183</v>
      </c>
    </row>
    <row r="14993" spans="6:8">
      <c r="H14993" t="s">
        <v>19184</v>
      </c>
    </row>
    <row r="14994" spans="6:8">
      <c r="F14994" t="s">
        <v>10618</v>
      </c>
      <c r="G14994" t="s">
        <v>15021</v>
      </c>
      <c r="H14994" t="s">
        <v>19183</v>
      </c>
    </row>
    <row r="14995" spans="6:8">
      <c r="H14995" t="s">
        <v>19184</v>
      </c>
    </row>
    <row r="14996" spans="6:8">
      <c r="F14996" t="s">
        <v>13556</v>
      </c>
      <c r="G14996" t="s">
        <v>17663</v>
      </c>
      <c r="H14996" t="s">
        <v>35227</v>
      </c>
    </row>
    <row r="14997" spans="6:8">
      <c r="H14997" t="s">
        <v>35228</v>
      </c>
    </row>
    <row r="14998" spans="6:8">
      <c r="H14998" t="s">
        <v>35230</v>
      </c>
    </row>
    <row r="14999" spans="6:8">
      <c r="H14999" t="s">
        <v>35231</v>
      </c>
    </row>
    <row r="15000" spans="6:8">
      <c r="H15000" t="s">
        <v>35232</v>
      </c>
    </row>
    <row r="15001" spans="6:8">
      <c r="H15001" t="s">
        <v>35233</v>
      </c>
    </row>
    <row r="15002" spans="6:8">
      <c r="H15002" t="s">
        <v>35234</v>
      </c>
    </row>
    <row r="15003" spans="6:8">
      <c r="H15003" t="s">
        <v>35236</v>
      </c>
    </row>
    <row r="15004" spans="6:8">
      <c r="F15004" t="s">
        <v>14311</v>
      </c>
      <c r="G15004" t="s">
        <v>18268</v>
      </c>
      <c r="H15004" t="s">
        <v>35239</v>
      </c>
    </row>
    <row r="15005" spans="6:8">
      <c r="F15005" t="s">
        <v>14312</v>
      </c>
      <c r="G15005" t="s">
        <v>18269</v>
      </c>
      <c r="H15005" t="s">
        <v>35241</v>
      </c>
    </row>
    <row r="15006" spans="6:8">
      <c r="F15006" t="s">
        <v>14313</v>
      </c>
      <c r="G15006" t="s">
        <v>18270</v>
      </c>
      <c r="H15006" t="s">
        <v>18836</v>
      </c>
    </row>
    <row r="15007" spans="6:8">
      <c r="H15007" t="s">
        <v>35247</v>
      </c>
    </row>
    <row r="15008" spans="6:8">
      <c r="H15008" t="s">
        <v>35248</v>
      </c>
    </row>
    <row r="15009" spans="6:8">
      <c r="H15009" t="s">
        <v>35249</v>
      </c>
    </row>
    <row r="15010" spans="6:8">
      <c r="F15010" t="s">
        <v>10600</v>
      </c>
      <c r="G15010" t="s">
        <v>15003</v>
      </c>
      <c r="H15010" t="s">
        <v>18836</v>
      </c>
    </row>
    <row r="15011" spans="6:8">
      <c r="H15011" t="s">
        <v>35250</v>
      </c>
    </row>
    <row r="15012" spans="6:8">
      <c r="F15012" t="s">
        <v>14314</v>
      </c>
      <c r="G15012" t="s">
        <v>18271</v>
      </c>
      <c r="H15012" t="s">
        <v>35251</v>
      </c>
    </row>
    <row r="15013" spans="6:8">
      <c r="H15013" t="s">
        <v>35252</v>
      </c>
    </row>
    <row r="15014" spans="6:8">
      <c r="H15014" t="s">
        <v>35253</v>
      </c>
    </row>
    <row r="15015" spans="6:8">
      <c r="F15015" t="s">
        <v>13960</v>
      </c>
      <c r="G15015" t="s">
        <v>17986</v>
      </c>
      <c r="H15015" t="s">
        <v>35255</v>
      </c>
    </row>
    <row r="15016" spans="6:8">
      <c r="H15016" t="s">
        <v>35250</v>
      </c>
    </row>
    <row r="15017" spans="6:8">
      <c r="H15017" t="s">
        <v>35256</v>
      </c>
    </row>
    <row r="15018" spans="6:8">
      <c r="H15018" t="s">
        <v>35257</v>
      </c>
    </row>
    <row r="15019" spans="6:8">
      <c r="H15019" t="s">
        <v>35258</v>
      </c>
    </row>
    <row r="15020" spans="6:8">
      <c r="H15020" t="s">
        <v>35259</v>
      </c>
    </row>
    <row r="15021" spans="6:8">
      <c r="H15021" t="s">
        <v>35260</v>
      </c>
    </row>
    <row r="15022" spans="6:8">
      <c r="H15022" t="s">
        <v>35261</v>
      </c>
    </row>
    <row r="15023" spans="6:8">
      <c r="F15023" t="s">
        <v>14315</v>
      </c>
      <c r="G15023" t="s">
        <v>18272</v>
      </c>
      <c r="H15023" t="s">
        <v>35263</v>
      </c>
    </row>
    <row r="15024" spans="6:8">
      <c r="F15024" t="s">
        <v>10726</v>
      </c>
      <c r="G15024" t="s">
        <v>15125</v>
      </c>
      <c r="H15024" t="s">
        <v>35266</v>
      </c>
    </row>
    <row r="15025" spans="6:8">
      <c r="H15025" t="s">
        <v>35267</v>
      </c>
    </row>
    <row r="15026" spans="6:8">
      <c r="H15026" t="s">
        <v>35268</v>
      </c>
    </row>
    <row r="15027" spans="6:8">
      <c r="H15027" t="s">
        <v>35269</v>
      </c>
    </row>
    <row r="15028" spans="6:8">
      <c r="H15028" t="s">
        <v>35271</v>
      </c>
    </row>
    <row r="15029" spans="6:8">
      <c r="F15029" t="s">
        <v>11449</v>
      </c>
      <c r="G15029" t="s">
        <v>15689</v>
      </c>
      <c r="H15029" t="s">
        <v>31759</v>
      </c>
    </row>
    <row r="15030" spans="6:8">
      <c r="H15030" t="s">
        <v>35273</v>
      </c>
    </row>
    <row r="15031" spans="6:8">
      <c r="H15031" t="s">
        <v>35274</v>
      </c>
    </row>
    <row r="15032" spans="6:8">
      <c r="H15032" t="s">
        <v>35275</v>
      </c>
    </row>
    <row r="15033" spans="6:8">
      <c r="H15033" t="s">
        <v>35276</v>
      </c>
    </row>
    <row r="15034" spans="6:8">
      <c r="H15034" t="s">
        <v>35277</v>
      </c>
    </row>
    <row r="15035" spans="6:8">
      <c r="H15035" t="s">
        <v>35279</v>
      </c>
    </row>
    <row r="15036" spans="6:8">
      <c r="H15036" t="s">
        <v>35280</v>
      </c>
    </row>
    <row r="15037" spans="6:8">
      <c r="H15037" t="s">
        <v>35281</v>
      </c>
    </row>
    <row r="15038" spans="6:8">
      <c r="H15038" t="s">
        <v>35282</v>
      </c>
    </row>
    <row r="15039" spans="6:8">
      <c r="H15039" t="s">
        <v>35283</v>
      </c>
    </row>
    <row r="15040" spans="6:8">
      <c r="H15040" t="s">
        <v>35284</v>
      </c>
    </row>
    <row r="15041" spans="8:8">
      <c r="H15041" t="s">
        <v>35285</v>
      </c>
    </row>
    <row r="15042" spans="8:8">
      <c r="H15042" t="s">
        <v>35286</v>
      </c>
    </row>
    <row r="15043" spans="8:8">
      <c r="H15043" t="s">
        <v>35287</v>
      </c>
    </row>
    <row r="15044" spans="8:8">
      <c r="H15044" t="s">
        <v>35288</v>
      </c>
    </row>
    <row r="15045" spans="8:8">
      <c r="H15045" t="s">
        <v>35289</v>
      </c>
    </row>
    <row r="15046" spans="8:8">
      <c r="H15046" t="s">
        <v>35291</v>
      </c>
    </row>
    <row r="15047" spans="8:8">
      <c r="H15047" t="s">
        <v>35294</v>
      </c>
    </row>
    <row r="15048" spans="8:8">
      <c r="H15048" t="s">
        <v>35295</v>
      </c>
    </row>
    <row r="15049" spans="8:8">
      <c r="H15049" t="s">
        <v>35296</v>
      </c>
    </row>
    <row r="15050" spans="8:8">
      <c r="H15050" t="s">
        <v>35297</v>
      </c>
    </row>
    <row r="15051" spans="8:8">
      <c r="H15051" t="s">
        <v>35298</v>
      </c>
    </row>
    <row r="15052" spans="8:8">
      <c r="H15052" t="s">
        <v>35299</v>
      </c>
    </row>
    <row r="15053" spans="8:8">
      <c r="H15053" t="s">
        <v>35300</v>
      </c>
    </row>
    <row r="15054" spans="8:8">
      <c r="H15054" t="s">
        <v>35301</v>
      </c>
    </row>
    <row r="15055" spans="8:8">
      <c r="H15055" t="s">
        <v>35302</v>
      </c>
    </row>
    <row r="15056" spans="8:8">
      <c r="H15056" t="s">
        <v>35303</v>
      </c>
    </row>
    <row r="15057" spans="6:8">
      <c r="H15057" t="s">
        <v>35304</v>
      </c>
    </row>
    <row r="15058" spans="6:8">
      <c r="H15058" t="s">
        <v>35305</v>
      </c>
    </row>
    <row r="15059" spans="6:8">
      <c r="F15059" t="s">
        <v>14316</v>
      </c>
      <c r="G15059" t="s">
        <v>18273</v>
      </c>
      <c r="H15059" t="s">
        <v>35307</v>
      </c>
    </row>
    <row r="15060" spans="6:8">
      <c r="F15060" t="s">
        <v>14317</v>
      </c>
      <c r="G15060" t="s">
        <v>18274</v>
      </c>
      <c r="H15060" t="s">
        <v>35308</v>
      </c>
    </row>
    <row r="15061" spans="6:8">
      <c r="H15061" t="s">
        <v>35309</v>
      </c>
    </row>
    <row r="15062" spans="6:8">
      <c r="H15062" t="s">
        <v>35310</v>
      </c>
    </row>
    <row r="15063" spans="6:8">
      <c r="F15063" t="s">
        <v>14318</v>
      </c>
      <c r="G15063" t="s">
        <v>18275</v>
      </c>
      <c r="H15063" t="s">
        <v>35317</v>
      </c>
    </row>
    <row r="15064" spans="6:8">
      <c r="F15064" t="s">
        <v>14319</v>
      </c>
      <c r="G15064" t="s">
        <v>18276</v>
      </c>
      <c r="H15064" t="s">
        <v>18836</v>
      </c>
    </row>
    <row r="15065" spans="6:8">
      <c r="F15065" t="s">
        <v>14320</v>
      </c>
      <c r="G15065" t="s">
        <v>18277</v>
      </c>
      <c r="H15065" t="s">
        <v>30172</v>
      </c>
    </row>
    <row r="15066" spans="6:8">
      <c r="H15066" t="s">
        <v>35318</v>
      </c>
    </row>
    <row r="15067" spans="6:8">
      <c r="H15067" t="s">
        <v>35319</v>
      </c>
    </row>
    <row r="15068" spans="6:8">
      <c r="H15068" t="s">
        <v>35320</v>
      </c>
    </row>
    <row r="15069" spans="6:8">
      <c r="H15069" t="s">
        <v>35321</v>
      </c>
    </row>
    <row r="15070" spans="6:8">
      <c r="H15070" t="s">
        <v>35322</v>
      </c>
    </row>
    <row r="15071" spans="6:8">
      <c r="F15071" t="s">
        <v>14321</v>
      </c>
      <c r="G15071" t="s">
        <v>18278</v>
      </c>
      <c r="H15071" t="s">
        <v>35328</v>
      </c>
    </row>
    <row r="15072" spans="6:8">
      <c r="F15072" t="s">
        <v>14322</v>
      </c>
      <c r="G15072" t="s">
        <v>18279</v>
      </c>
      <c r="H15072" t="s">
        <v>22358</v>
      </c>
    </row>
    <row r="15073" spans="6:8">
      <c r="H15073" t="s">
        <v>35329</v>
      </c>
    </row>
    <row r="15074" spans="6:8">
      <c r="H15074" t="s">
        <v>35330</v>
      </c>
    </row>
    <row r="15075" spans="6:8">
      <c r="F15075" t="s">
        <v>14323</v>
      </c>
      <c r="G15075" t="s">
        <v>18280</v>
      </c>
      <c r="H15075" t="s">
        <v>35333</v>
      </c>
    </row>
    <row r="15076" spans="6:8">
      <c r="H15076" t="s">
        <v>29840</v>
      </c>
    </row>
    <row r="15077" spans="6:8">
      <c r="H15077" t="s">
        <v>35334</v>
      </c>
    </row>
    <row r="15078" spans="6:8">
      <c r="H15078" t="s">
        <v>35335</v>
      </c>
    </row>
    <row r="15079" spans="6:8">
      <c r="H15079" t="s">
        <v>19007</v>
      </c>
    </row>
    <row r="15080" spans="6:8">
      <c r="H15080" t="s">
        <v>35336</v>
      </c>
    </row>
    <row r="15081" spans="6:8">
      <c r="F15081" t="s">
        <v>14324</v>
      </c>
      <c r="G15081" t="s">
        <v>18281</v>
      </c>
      <c r="H15081" t="s">
        <v>35338</v>
      </c>
    </row>
    <row r="15082" spans="6:8">
      <c r="H15082" t="s">
        <v>35339</v>
      </c>
    </row>
    <row r="15083" spans="6:8">
      <c r="H15083" t="s">
        <v>35340</v>
      </c>
    </row>
    <row r="15084" spans="6:8">
      <c r="H15084" t="s">
        <v>35341</v>
      </c>
    </row>
    <row r="15085" spans="6:8">
      <c r="H15085" t="s">
        <v>35342</v>
      </c>
    </row>
    <row r="15086" spans="6:8">
      <c r="F15086" t="s">
        <v>14102</v>
      </c>
      <c r="G15086" t="s">
        <v>18095</v>
      </c>
      <c r="H15086" t="s">
        <v>35349</v>
      </c>
    </row>
    <row r="15087" spans="6:8">
      <c r="H15087" t="s">
        <v>35350</v>
      </c>
    </row>
    <row r="15088" spans="6:8">
      <c r="H15088" t="s">
        <v>35351</v>
      </c>
    </row>
    <row r="15089" spans="1:8">
      <c r="H15089" t="s">
        <v>35352</v>
      </c>
    </row>
    <row r="15090" spans="1:8">
      <c r="H15090" t="s">
        <v>35353</v>
      </c>
    </row>
    <row r="15091" spans="1:8">
      <c r="H15091" t="s">
        <v>35354</v>
      </c>
    </row>
    <row r="15092" spans="1:8">
      <c r="H15092" t="s">
        <v>35357</v>
      </c>
    </row>
    <row r="15093" spans="1:8">
      <c r="H15093" t="s">
        <v>35359</v>
      </c>
    </row>
    <row r="15094" spans="1:8">
      <c r="A15094" t="s">
        <v>3501</v>
      </c>
      <c r="B15094">
        <f>HYPERLINK("https://android.googlesource.com/platform/cts/+/bb3ff4198092ee8a4a95c2f4b900bb4fbc69a38a", "bb3ff4198092ee8a4a95c2f4b900bb4fbc69a38a")</f>
        <v>0</v>
      </c>
      <c r="C15094">
        <f>HYPERLINK("https://android.googlesource.com/platform/cts/+/29241a943a681670aa8b20f32e1f06171c553af9", "29241a943a681670aa8b20f32e1f06171c553af9")</f>
        <v>0</v>
      </c>
      <c r="D15094" t="s">
        <v>5576</v>
      </c>
      <c r="E15094" t="s">
        <v>9195</v>
      </c>
      <c r="F15094" t="s">
        <v>13857</v>
      </c>
      <c r="G15094" t="s">
        <v>17899</v>
      </c>
      <c r="H15094" t="s">
        <v>34807</v>
      </c>
    </row>
    <row r="15095" spans="1:8">
      <c r="H15095" t="s">
        <v>34808</v>
      </c>
    </row>
    <row r="15096" spans="1:8">
      <c r="H15096" t="s">
        <v>34809</v>
      </c>
    </row>
    <row r="15097" spans="1:8">
      <c r="H15097" t="s">
        <v>34810</v>
      </c>
    </row>
    <row r="15098" spans="1:8">
      <c r="H15098" t="s">
        <v>34811</v>
      </c>
    </row>
    <row r="15099" spans="1:8">
      <c r="H15099" t="s">
        <v>34812</v>
      </c>
    </row>
    <row r="15100" spans="1:8">
      <c r="F15100" t="s">
        <v>13976</v>
      </c>
      <c r="G15100" t="s">
        <v>18001</v>
      </c>
      <c r="H15100" t="s">
        <v>34814</v>
      </c>
    </row>
    <row r="15101" spans="1:8">
      <c r="H15101" t="s">
        <v>34815</v>
      </c>
    </row>
    <row r="15102" spans="1:8">
      <c r="H15102" t="s">
        <v>34816</v>
      </c>
    </row>
    <row r="15103" spans="1:8">
      <c r="H15103" t="s">
        <v>34817</v>
      </c>
    </row>
    <row r="15104" spans="1:8">
      <c r="H15104" t="s">
        <v>34818</v>
      </c>
    </row>
    <row r="15105" spans="6:8">
      <c r="H15105" t="s">
        <v>34819</v>
      </c>
    </row>
    <row r="15106" spans="6:8">
      <c r="H15106" t="s">
        <v>34820</v>
      </c>
    </row>
    <row r="15107" spans="6:8">
      <c r="H15107" t="s">
        <v>34821</v>
      </c>
    </row>
    <row r="15108" spans="6:8">
      <c r="H15108" t="s">
        <v>34822</v>
      </c>
    </row>
    <row r="15109" spans="6:8">
      <c r="F15109" t="s">
        <v>13977</v>
      </c>
      <c r="G15109" t="s">
        <v>18002</v>
      </c>
      <c r="H15109" t="s">
        <v>33907</v>
      </c>
    </row>
    <row r="15110" spans="6:8">
      <c r="H15110" t="s">
        <v>33908</v>
      </c>
    </row>
    <row r="15111" spans="6:8">
      <c r="F15111" t="s">
        <v>12416</v>
      </c>
      <c r="G15111" t="s">
        <v>16638</v>
      </c>
      <c r="H15111" t="s">
        <v>26751</v>
      </c>
    </row>
    <row r="15112" spans="6:8">
      <c r="H15112" t="s">
        <v>34852</v>
      </c>
    </row>
    <row r="15113" spans="6:8">
      <c r="H15113" t="s">
        <v>34853</v>
      </c>
    </row>
    <row r="15114" spans="6:8">
      <c r="H15114" t="s">
        <v>34854</v>
      </c>
    </row>
    <row r="15115" spans="6:8">
      <c r="H15115" t="s">
        <v>34855</v>
      </c>
    </row>
    <row r="15116" spans="6:8">
      <c r="H15116" t="s">
        <v>34856</v>
      </c>
    </row>
    <row r="15117" spans="6:8">
      <c r="H15117" t="s">
        <v>34857</v>
      </c>
    </row>
    <row r="15118" spans="6:8">
      <c r="H15118" t="s">
        <v>34858</v>
      </c>
    </row>
    <row r="15119" spans="6:8">
      <c r="H15119" t="s">
        <v>34859</v>
      </c>
    </row>
    <row r="15120" spans="6:8">
      <c r="H15120" t="s">
        <v>34860</v>
      </c>
    </row>
    <row r="15121" spans="6:8">
      <c r="H15121" t="s">
        <v>34861</v>
      </c>
    </row>
    <row r="15122" spans="6:8">
      <c r="H15122" t="s">
        <v>34862</v>
      </c>
    </row>
    <row r="15123" spans="6:8">
      <c r="H15123" t="s">
        <v>34863</v>
      </c>
    </row>
    <row r="15124" spans="6:8">
      <c r="H15124" t="s">
        <v>34864</v>
      </c>
    </row>
    <row r="15125" spans="6:8">
      <c r="H15125" t="s">
        <v>34870</v>
      </c>
    </row>
    <row r="15126" spans="6:8">
      <c r="F15126" t="s">
        <v>14304</v>
      </c>
      <c r="G15126" t="s">
        <v>18262</v>
      </c>
      <c r="H15126" t="s">
        <v>34873</v>
      </c>
    </row>
    <row r="15127" spans="6:8">
      <c r="H15127" t="s">
        <v>34874</v>
      </c>
    </row>
    <row r="15128" spans="6:8">
      <c r="H15128" t="s">
        <v>34875</v>
      </c>
    </row>
    <row r="15129" spans="6:8">
      <c r="H15129" t="s">
        <v>31037</v>
      </c>
    </row>
    <row r="15130" spans="6:8">
      <c r="F15130" t="s">
        <v>13941</v>
      </c>
      <c r="G15130" t="s">
        <v>17972</v>
      </c>
      <c r="H15130" t="s">
        <v>32340</v>
      </c>
    </row>
    <row r="15131" spans="6:8">
      <c r="H15131" t="s">
        <v>32342</v>
      </c>
    </row>
    <row r="15132" spans="6:8">
      <c r="H15132" t="s">
        <v>32341</v>
      </c>
    </row>
    <row r="15133" spans="6:8">
      <c r="F15133" t="s">
        <v>14305</v>
      </c>
      <c r="G15133" t="s">
        <v>18005</v>
      </c>
      <c r="H15133" t="s">
        <v>34876</v>
      </c>
    </row>
    <row r="15134" spans="6:8">
      <c r="F15134" t="s">
        <v>14234</v>
      </c>
      <c r="G15134" t="s">
        <v>18204</v>
      </c>
      <c r="H15134" t="s">
        <v>34880</v>
      </c>
    </row>
    <row r="15135" spans="6:8">
      <c r="H15135" t="s">
        <v>34881</v>
      </c>
    </row>
    <row r="15136" spans="6:8">
      <c r="H15136" t="s">
        <v>34884</v>
      </c>
    </row>
    <row r="15137" spans="6:8">
      <c r="H15137" t="s">
        <v>34885</v>
      </c>
    </row>
    <row r="15138" spans="6:8">
      <c r="H15138" t="s">
        <v>34886</v>
      </c>
    </row>
    <row r="15139" spans="6:8">
      <c r="H15139" t="s">
        <v>34887</v>
      </c>
    </row>
    <row r="15140" spans="6:8">
      <c r="H15140" t="s">
        <v>34888</v>
      </c>
    </row>
    <row r="15141" spans="6:8">
      <c r="H15141" t="s">
        <v>34889</v>
      </c>
    </row>
    <row r="15142" spans="6:8">
      <c r="H15142" t="s">
        <v>34890</v>
      </c>
    </row>
    <row r="15143" spans="6:8">
      <c r="H15143" t="s">
        <v>34892</v>
      </c>
    </row>
    <row r="15144" spans="6:8">
      <c r="H15144" t="s">
        <v>34893</v>
      </c>
    </row>
    <row r="15145" spans="6:8">
      <c r="F15145" t="s">
        <v>10700</v>
      </c>
      <c r="G15145" t="s">
        <v>15100</v>
      </c>
      <c r="H15145" t="s">
        <v>34906</v>
      </c>
    </row>
    <row r="15146" spans="6:8">
      <c r="H15146" t="s">
        <v>22508</v>
      </c>
    </row>
    <row r="15147" spans="6:8">
      <c r="H15147" t="s">
        <v>34907</v>
      </c>
    </row>
    <row r="15148" spans="6:8">
      <c r="H15148" t="s">
        <v>34908</v>
      </c>
    </row>
    <row r="15149" spans="6:8">
      <c r="H15149" t="s">
        <v>34909</v>
      </c>
    </row>
    <row r="15150" spans="6:8">
      <c r="H15150" t="s">
        <v>34910</v>
      </c>
    </row>
    <row r="15151" spans="6:8">
      <c r="H15151" t="s">
        <v>34911</v>
      </c>
    </row>
    <row r="15152" spans="6:8">
      <c r="H15152" t="s">
        <v>25838</v>
      </c>
    </row>
    <row r="15153" spans="8:8">
      <c r="H15153" t="s">
        <v>34920</v>
      </c>
    </row>
    <row r="15154" spans="8:8">
      <c r="H15154" t="s">
        <v>25839</v>
      </c>
    </row>
    <row r="15155" spans="8:8">
      <c r="H15155" t="s">
        <v>27479</v>
      </c>
    </row>
    <row r="15156" spans="8:8">
      <c r="H15156" t="s">
        <v>34922</v>
      </c>
    </row>
    <row r="15157" spans="8:8">
      <c r="H15157" t="s">
        <v>34923</v>
      </c>
    </row>
    <row r="15158" spans="8:8">
      <c r="H15158" t="s">
        <v>34924</v>
      </c>
    </row>
    <row r="15159" spans="8:8">
      <c r="H15159" t="s">
        <v>34925</v>
      </c>
    </row>
    <row r="15160" spans="8:8">
      <c r="H15160" t="s">
        <v>34927</v>
      </c>
    </row>
    <row r="15161" spans="8:8">
      <c r="H15161" t="s">
        <v>34935</v>
      </c>
    </row>
    <row r="15162" spans="8:8">
      <c r="H15162" t="s">
        <v>34950</v>
      </c>
    </row>
    <row r="15163" spans="8:8">
      <c r="H15163" t="s">
        <v>34951</v>
      </c>
    </row>
    <row r="15164" spans="8:8">
      <c r="H15164" t="s">
        <v>34952</v>
      </c>
    </row>
    <row r="15165" spans="8:8">
      <c r="H15165" t="s">
        <v>34957</v>
      </c>
    </row>
    <row r="15166" spans="8:8">
      <c r="H15166" t="s">
        <v>34958</v>
      </c>
    </row>
    <row r="15167" spans="8:8">
      <c r="H15167" t="s">
        <v>34960</v>
      </c>
    </row>
    <row r="15168" spans="8:8">
      <c r="H15168" t="s">
        <v>34961</v>
      </c>
    </row>
    <row r="15169" spans="6:8">
      <c r="H15169" t="s">
        <v>34962</v>
      </c>
    </row>
    <row r="15170" spans="6:8">
      <c r="H15170" t="s">
        <v>34966</v>
      </c>
    </row>
    <row r="15171" spans="6:8">
      <c r="F15171" t="s">
        <v>14306</v>
      </c>
      <c r="G15171" t="s">
        <v>18263</v>
      </c>
      <c r="H15171" t="s">
        <v>34967</v>
      </c>
    </row>
    <row r="15172" spans="6:8">
      <c r="F15172" t="s">
        <v>13837</v>
      </c>
      <c r="G15172" t="s">
        <v>17880</v>
      </c>
      <c r="H15172" t="s">
        <v>31852</v>
      </c>
    </row>
    <row r="15173" spans="6:8">
      <c r="H15173" t="s">
        <v>34980</v>
      </c>
    </row>
    <row r="15174" spans="6:8">
      <c r="H15174" t="s">
        <v>34981</v>
      </c>
    </row>
    <row r="15175" spans="6:8">
      <c r="H15175" t="s">
        <v>34982</v>
      </c>
    </row>
    <row r="15176" spans="6:8">
      <c r="H15176" t="s">
        <v>34983</v>
      </c>
    </row>
    <row r="15177" spans="6:8">
      <c r="H15177" t="s">
        <v>34984</v>
      </c>
    </row>
    <row r="15178" spans="6:8">
      <c r="H15178" t="s">
        <v>34985</v>
      </c>
    </row>
    <row r="15179" spans="6:8">
      <c r="H15179" t="s">
        <v>34986</v>
      </c>
    </row>
    <row r="15180" spans="6:8">
      <c r="H15180" t="s">
        <v>34987</v>
      </c>
    </row>
    <row r="15181" spans="6:8">
      <c r="H15181" t="s">
        <v>34988</v>
      </c>
    </row>
    <row r="15182" spans="6:8">
      <c r="H15182" t="s">
        <v>34994</v>
      </c>
    </row>
    <row r="15183" spans="6:8">
      <c r="H15183" t="s">
        <v>34995</v>
      </c>
    </row>
    <row r="15184" spans="6:8">
      <c r="H15184" t="s">
        <v>34996</v>
      </c>
    </row>
    <row r="15185" spans="6:8">
      <c r="H15185" t="s">
        <v>35002</v>
      </c>
    </row>
    <row r="15186" spans="6:8">
      <c r="H15186" t="s">
        <v>35003</v>
      </c>
    </row>
    <row r="15187" spans="6:8">
      <c r="H15187" t="s">
        <v>35004</v>
      </c>
    </row>
    <row r="15188" spans="6:8">
      <c r="H15188" t="s">
        <v>35005</v>
      </c>
    </row>
    <row r="15189" spans="6:8">
      <c r="H15189" t="s">
        <v>35006</v>
      </c>
    </row>
    <row r="15190" spans="6:8">
      <c r="H15190" t="s">
        <v>35007</v>
      </c>
    </row>
    <row r="15191" spans="6:8">
      <c r="H15191" t="s">
        <v>35008</v>
      </c>
    </row>
    <row r="15192" spans="6:8">
      <c r="H15192" t="s">
        <v>35009</v>
      </c>
    </row>
    <row r="15193" spans="6:8">
      <c r="H15193" t="s">
        <v>35011</v>
      </c>
    </row>
    <row r="15194" spans="6:8">
      <c r="H15194" t="s">
        <v>35014</v>
      </c>
    </row>
    <row r="15195" spans="6:8">
      <c r="F15195" t="s">
        <v>12201</v>
      </c>
      <c r="G15195" t="s">
        <v>16439</v>
      </c>
      <c r="H15195" t="s">
        <v>21327</v>
      </c>
    </row>
    <row r="15196" spans="6:8">
      <c r="F15196" t="s">
        <v>14222</v>
      </c>
      <c r="G15196" t="s">
        <v>18195</v>
      </c>
      <c r="H15196" t="s">
        <v>35024</v>
      </c>
    </row>
    <row r="15197" spans="6:8">
      <c r="H15197" t="s">
        <v>35025</v>
      </c>
    </row>
    <row r="15198" spans="6:8">
      <c r="H15198" t="s">
        <v>35026</v>
      </c>
    </row>
    <row r="15199" spans="6:8">
      <c r="H15199" t="s">
        <v>35028</v>
      </c>
    </row>
    <row r="15200" spans="6:8">
      <c r="H15200" t="s">
        <v>35029</v>
      </c>
    </row>
    <row r="15201" spans="6:8">
      <c r="H15201" t="s">
        <v>35030</v>
      </c>
    </row>
    <row r="15202" spans="6:8">
      <c r="H15202" t="s">
        <v>35031</v>
      </c>
    </row>
    <row r="15203" spans="6:8">
      <c r="H15203" t="s">
        <v>35032</v>
      </c>
    </row>
    <row r="15204" spans="6:8">
      <c r="H15204" t="s">
        <v>35033</v>
      </c>
    </row>
    <row r="15205" spans="6:8">
      <c r="H15205" t="s">
        <v>35036</v>
      </c>
    </row>
    <row r="15206" spans="6:8">
      <c r="H15206" t="s">
        <v>35037</v>
      </c>
    </row>
    <row r="15207" spans="6:8">
      <c r="F15207" t="s">
        <v>14307</v>
      </c>
      <c r="G15207" t="s">
        <v>18264</v>
      </c>
      <c r="H15207" t="s">
        <v>35042</v>
      </c>
    </row>
    <row r="15208" spans="6:8">
      <c r="H15208" t="s">
        <v>35043</v>
      </c>
    </row>
    <row r="15209" spans="6:8">
      <c r="H15209" t="s">
        <v>35044</v>
      </c>
    </row>
    <row r="15210" spans="6:8">
      <c r="H15210" t="s">
        <v>35045</v>
      </c>
    </row>
    <row r="15211" spans="6:8">
      <c r="H15211" t="s">
        <v>35046</v>
      </c>
    </row>
    <row r="15212" spans="6:8">
      <c r="H15212" t="s">
        <v>35047</v>
      </c>
    </row>
    <row r="15213" spans="6:8">
      <c r="F15213" t="s">
        <v>14159</v>
      </c>
      <c r="G15213" t="s">
        <v>18145</v>
      </c>
      <c r="H15213" t="s">
        <v>18836</v>
      </c>
    </row>
    <row r="15214" spans="6:8">
      <c r="H15214" t="s">
        <v>35050</v>
      </c>
    </row>
    <row r="15215" spans="6:8">
      <c r="F15215" t="s">
        <v>14308</v>
      </c>
      <c r="G15215" t="s">
        <v>18265</v>
      </c>
      <c r="H15215" t="s">
        <v>35070</v>
      </c>
    </row>
    <row r="15216" spans="6:8">
      <c r="H15216" t="s">
        <v>35071</v>
      </c>
    </row>
    <row r="15217" spans="6:8">
      <c r="H15217" t="s">
        <v>35072</v>
      </c>
    </row>
    <row r="15218" spans="6:8">
      <c r="H15218" t="s">
        <v>35073</v>
      </c>
    </row>
    <row r="15219" spans="6:8">
      <c r="H15219" t="s">
        <v>35074</v>
      </c>
    </row>
    <row r="15220" spans="6:8">
      <c r="H15220" t="s">
        <v>35075</v>
      </c>
    </row>
    <row r="15221" spans="6:8">
      <c r="F15221" t="s">
        <v>13309</v>
      </c>
      <c r="G15221" t="s">
        <v>17442</v>
      </c>
      <c r="H15221" t="s">
        <v>29102</v>
      </c>
    </row>
    <row r="15222" spans="6:8">
      <c r="H15222" t="s">
        <v>29103</v>
      </c>
    </row>
    <row r="15223" spans="6:8">
      <c r="H15223" t="s">
        <v>35091</v>
      </c>
    </row>
    <row r="15224" spans="6:8">
      <c r="H15224" t="s">
        <v>35092</v>
      </c>
    </row>
    <row r="15225" spans="6:8">
      <c r="H15225" t="s">
        <v>35093</v>
      </c>
    </row>
    <row r="15226" spans="6:8">
      <c r="H15226" t="s">
        <v>35094</v>
      </c>
    </row>
    <row r="15227" spans="6:8">
      <c r="H15227" t="s">
        <v>35095</v>
      </c>
    </row>
    <row r="15228" spans="6:8">
      <c r="H15228" t="s">
        <v>35096</v>
      </c>
    </row>
    <row r="15229" spans="6:8">
      <c r="H15229" t="s">
        <v>35097</v>
      </c>
    </row>
    <row r="15230" spans="6:8">
      <c r="H15230" t="s">
        <v>35098</v>
      </c>
    </row>
    <row r="15231" spans="6:8">
      <c r="H15231" t="s">
        <v>35099</v>
      </c>
    </row>
    <row r="15232" spans="6:8">
      <c r="H15232" t="s">
        <v>35100</v>
      </c>
    </row>
    <row r="15233" spans="8:8">
      <c r="H15233" t="s">
        <v>35101</v>
      </c>
    </row>
    <row r="15234" spans="8:8">
      <c r="H15234" t="s">
        <v>35102</v>
      </c>
    </row>
    <row r="15235" spans="8:8">
      <c r="H15235" t="s">
        <v>35103</v>
      </c>
    </row>
    <row r="15236" spans="8:8">
      <c r="H15236" t="s">
        <v>35104</v>
      </c>
    </row>
    <row r="15237" spans="8:8">
      <c r="H15237" t="s">
        <v>35105</v>
      </c>
    </row>
    <row r="15238" spans="8:8">
      <c r="H15238" t="s">
        <v>35106</v>
      </c>
    </row>
    <row r="15239" spans="8:8">
      <c r="H15239" t="s">
        <v>35107</v>
      </c>
    </row>
    <row r="15240" spans="8:8">
      <c r="H15240" t="s">
        <v>35108</v>
      </c>
    </row>
    <row r="15241" spans="8:8">
      <c r="H15241" t="s">
        <v>35109</v>
      </c>
    </row>
    <row r="15242" spans="8:8">
      <c r="H15242" t="s">
        <v>35110</v>
      </c>
    </row>
    <row r="15243" spans="8:8">
      <c r="H15243" t="s">
        <v>35111</v>
      </c>
    </row>
    <row r="15244" spans="8:8">
      <c r="H15244" t="s">
        <v>35112</v>
      </c>
    </row>
    <row r="15245" spans="8:8">
      <c r="H15245" t="s">
        <v>35113</v>
      </c>
    </row>
    <row r="15246" spans="8:8">
      <c r="H15246" t="s">
        <v>35114</v>
      </c>
    </row>
    <row r="15247" spans="8:8">
      <c r="H15247" t="s">
        <v>35115</v>
      </c>
    </row>
    <row r="15248" spans="8:8">
      <c r="H15248" t="s">
        <v>35116</v>
      </c>
    </row>
    <row r="15249" spans="8:8">
      <c r="H15249" t="s">
        <v>35117</v>
      </c>
    </row>
    <row r="15250" spans="8:8">
      <c r="H15250" t="s">
        <v>35118</v>
      </c>
    </row>
    <row r="15251" spans="8:8">
      <c r="H15251" t="s">
        <v>35119</v>
      </c>
    </row>
    <row r="15252" spans="8:8">
      <c r="H15252" t="s">
        <v>35120</v>
      </c>
    </row>
    <row r="15253" spans="8:8">
      <c r="H15253" t="s">
        <v>35121</v>
      </c>
    </row>
    <row r="15254" spans="8:8">
      <c r="H15254" t="s">
        <v>35122</v>
      </c>
    </row>
    <row r="15255" spans="8:8">
      <c r="H15255" t="s">
        <v>35123</v>
      </c>
    </row>
    <row r="15256" spans="8:8">
      <c r="H15256" t="s">
        <v>35124</v>
      </c>
    </row>
    <row r="15257" spans="8:8">
      <c r="H15257" t="s">
        <v>35125</v>
      </c>
    </row>
    <row r="15258" spans="8:8">
      <c r="H15258" t="s">
        <v>35126</v>
      </c>
    </row>
    <row r="15259" spans="8:8">
      <c r="H15259" t="s">
        <v>35127</v>
      </c>
    </row>
    <row r="15260" spans="8:8">
      <c r="H15260" t="s">
        <v>35128</v>
      </c>
    </row>
    <row r="15261" spans="8:8">
      <c r="H15261" t="s">
        <v>35129</v>
      </c>
    </row>
    <row r="15262" spans="8:8">
      <c r="H15262" t="s">
        <v>35130</v>
      </c>
    </row>
    <row r="15263" spans="8:8">
      <c r="H15263" t="s">
        <v>35131</v>
      </c>
    </row>
    <row r="15264" spans="8:8">
      <c r="H15264" t="s">
        <v>35132</v>
      </c>
    </row>
    <row r="15265" spans="8:8">
      <c r="H15265" t="s">
        <v>35133</v>
      </c>
    </row>
    <row r="15266" spans="8:8">
      <c r="H15266" t="s">
        <v>35134</v>
      </c>
    </row>
    <row r="15267" spans="8:8">
      <c r="H15267" t="s">
        <v>35135</v>
      </c>
    </row>
    <row r="15268" spans="8:8">
      <c r="H15268" t="s">
        <v>35136</v>
      </c>
    </row>
    <row r="15269" spans="8:8">
      <c r="H15269" t="s">
        <v>35137</v>
      </c>
    </row>
    <row r="15270" spans="8:8">
      <c r="H15270" t="s">
        <v>35138</v>
      </c>
    </row>
    <row r="15271" spans="8:8">
      <c r="H15271" t="s">
        <v>35139</v>
      </c>
    </row>
    <row r="15272" spans="8:8">
      <c r="H15272" t="s">
        <v>35140</v>
      </c>
    </row>
    <row r="15273" spans="8:8">
      <c r="H15273" t="s">
        <v>35141</v>
      </c>
    </row>
    <row r="15274" spans="8:8">
      <c r="H15274" t="s">
        <v>35142</v>
      </c>
    </row>
    <row r="15275" spans="8:8">
      <c r="H15275" t="s">
        <v>35143</v>
      </c>
    </row>
    <row r="15276" spans="8:8">
      <c r="H15276" t="s">
        <v>35144</v>
      </c>
    </row>
    <row r="15277" spans="8:8">
      <c r="H15277" t="s">
        <v>35145</v>
      </c>
    </row>
    <row r="15278" spans="8:8">
      <c r="H15278" t="s">
        <v>35146</v>
      </c>
    </row>
    <row r="15279" spans="8:8">
      <c r="H15279" t="s">
        <v>35147</v>
      </c>
    </row>
    <row r="15280" spans="8:8">
      <c r="H15280" t="s">
        <v>35148</v>
      </c>
    </row>
    <row r="15281" spans="6:8">
      <c r="H15281" t="s">
        <v>35149</v>
      </c>
    </row>
    <row r="15282" spans="6:8">
      <c r="H15282" t="s">
        <v>35150</v>
      </c>
    </row>
    <row r="15283" spans="6:8">
      <c r="H15283" t="s">
        <v>35151</v>
      </c>
    </row>
    <row r="15284" spans="6:8">
      <c r="H15284" t="s">
        <v>35152</v>
      </c>
    </row>
    <row r="15285" spans="6:8">
      <c r="H15285" t="s">
        <v>35153</v>
      </c>
    </row>
    <row r="15286" spans="6:8">
      <c r="H15286" t="s">
        <v>35154</v>
      </c>
    </row>
    <row r="15287" spans="6:8">
      <c r="H15287" t="s">
        <v>35155</v>
      </c>
    </row>
    <row r="15288" spans="6:8">
      <c r="H15288" t="s">
        <v>35156</v>
      </c>
    </row>
    <row r="15289" spans="6:8">
      <c r="F15289" t="s">
        <v>13928</v>
      </c>
      <c r="G15289" t="s">
        <v>17964</v>
      </c>
      <c r="H15289" t="s">
        <v>35159</v>
      </c>
    </row>
    <row r="15290" spans="6:8">
      <c r="H15290" t="s">
        <v>35160</v>
      </c>
    </row>
    <row r="15291" spans="6:8">
      <c r="H15291" t="s">
        <v>35175</v>
      </c>
    </row>
    <row r="15292" spans="6:8">
      <c r="H15292" t="s">
        <v>35176</v>
      </c>
    </row>
    <row r="15293" spans="6:8">
      <c r="H15293" t="s">
        <v>35177</v>
      </c>
    </row>
    <row r="15294" spans="6:8">
      <c r="H15294" t="s">
        <v>35178</v>
      </c>
    </row>
    <row r="15295" spans="6:8">
      <c r="H15295" t="s">
        <v>35179</v>
      </c>
    </row>
    <row r="15296" spans="6:8">
      <c r="H15296" t="s">
        <v>35180</v>
      </c>
    </row>
    <row r="15297" spans="8:8">
      <c r="H15297" t="s">
        <v>35181</v>
      </c>
    </row>
    <row r="15298" spans="8:8">
      <c r="H15298" t="s">
        <v>35182</v>
      </c>
    </row>
    <row r="15299" spans="8:8">
      <c r="H15299" t="s">
        <v>35183</v>
      </c>
    </row>
    <row r="15300" spans="8:8">
      <c r="H15300" t="s">
        <v>35184</v>
      </c>
    </row>
    <row r="15301" spans="8:8">
      <c r="H15301" t="s">
        <v>35185</v>
      </c>
    </row>
    <row r="15302" spans="8:8">
      <c r="H15302" t="s">
        <v>35186</v>
      </c>
    </row>
    <row r="15303" spans="8:8">
      <c r="H15303" t="s">
        <v>35187</v>
      </c>
    </row>
    <row r="15304" spans="8:8">
      <c r="H15304" t="s">
        <v>35188</v>
      </c>
    </row>
    <row r="15305" spans="8:8">
      <c r="H15305" t="s">
        <v>35189</v>
      </c>
    </row>
    <row r="15306" spans="8:8">
      <c r="H15306" t="s">
        <v>35190</v>
      </c>
    </row>
    <row r="15307" spans="8:8">
      <c r="H15307" t="s">
        <v>35191</v>
      </c>
    </row>
    <row r="15308" spans="8:8">
      <c r="H15308" t="s">
        <v>35192</v>
      </c>
    </row>
    <row r="15309" spans="8:8">
      <c r="H15309" t="s">
        <v>35193</v>
      </c>
    </row>
    <row r="15310" spans="8:8">
      <c r="H15310" t="s">
        <v>35194</v>
      </c>
    </row>
    <row r="15311" spans="8:8">
      <c r="H15311" t="s">
        <v>35195</v>
      </c>
    </row>
    <row r="15312" spans="8:8">
      <c r="H15312" t="s">
        <v>35196</v>
      </c>
    </row>
    <row r="15313" spans="6:8">
      <c r="H15313" t="s">
        <v>35197</v>
      </c>
    </row>
    <row r="15314" spans="6:8">
      <c r="H15314" t="s">
        <v>35198</v>
      </c>
    </row>
    <row r="15315" spans="6:8">
      <c r="F15315" t="s">
        <v>12740</v>
      </c>
      <c r="G15315" t="s">
        <v>16932</v>
      </c>
      <c r="H15315" t="s">
        <v>35199</v>
      </c>
    </row>
    <row r="15316" spans="6:8">
      <c r="F15316" t="s">
        <v>10615</v>
      </c>
      <c r="G15316" t="s">
        <v>15018</v>
      </c>
      <c r="H15316" t="s">
        <v>35200</v>
      </c>
    </row>
    <row r="15317" spans="6:8">
      <c r="F15317" t="s">
        <v>10616</v>
      </c>
      <c r="G15317" t="s">
        <v>15019</v>
      </c>
      <c r="H15317" t="s">
        <v>19183</v>
      </c>
    </row>
    <row r="15318" spans="6:8">
      <c r="H15318" t="s">
        <v>19184</v>
      </c>
    </row>
    <row r="15319" spans="6:8">
      <c r="F15319" t="s">
        <v>13133</v>
      </c>
      <c r="G15319" t="s">
        <v>17291</v>
      </c>
      <c r="H15319" t="s">
        <v>35201</v>
      </c>
    </row>
    <row r="15320" spans="6:8">
      <c r="H15320" t="s">
        <v>25716</v>
      </c>
    </row>
    <row r="15321" spans="6:8">
      <c r="H15321" t="s">
        <v>28041</v>
      </c>
    </row>
    <row r="15322" spans="6:8">
      <c r="H15322" t="s">
        <v>28042</v>
      </c>
    </row>
    <row r="15323" spans="6:8">
      <c r="H15323" t="s">
        <v>35202</v>
      </c>
    </row>
    <row r="15324" spans="6:8">
      <c r="H15324" t="s">
        <v>35203</v>
      </c>
    </row>
    <row r="15325" spans="6:8">
      <c r="H15325" t="s">
        <v>35204</v>
      </c>
    </row>
    <row r="15326" spans="6:8">
      <c r="F15326" t="s">
        <v>14309</v>
      </c>
      <c r="G15326" t="s">
        <v>18266</v>
      </c>
      <c r="H15326" t="s">
        <v>35211</v>
      </c>
    </row>
    <row r="15327" spans="6:8">
      <c r="H15327" t="s">
        <v>35212</v>
      </c>
    </row>
    <row r="15328" spans="6:8">
      <c r="H15328" t="s">
        <v>35213</v>
      </c>
    </row>
    <row r="15329" spans="6:8">
      <c r="H15329" t="s">
        <v>35214</v>
      </c>
    </row>
    <row r="15330" spans="6:8">
      <c r="H15330" t="s">
        <v>35215</v>
      </c>
    </row>
    <row r="15331" spans="6:8">
      <c r="F15331" t="s">
        <v>14310</v>
      </c>
      <c r="G15331" t="s">
        <v>18267</v>
      </c>
      <c r="H15331" t="s">
        <v>35216</v>
      </c>
    </row>
    <row r="15332" spans="6:8">
      <c r="F15332" t="s">
        <v>14210</v>
      </c>
      <c r="G15332" t="s">
        <v>18186</v>
      </c>
      <c r="H15332" t="s">
        <v>35217</v>
      </c>
    </row>
    <row r="15333" spans="6:8">
      <c r="H15333" t="s">
        <v>35218</v>
      </c>
    </row>
    <row r="15334" spans="6:8">
      <c r="H15334" t="s">
        <v>35219</v>
      </c>
    </row>
    <row r="15335" spans="6:8">
      <c r="H15335" t="s">
        <v>35220</v>
      </c>
    </row>
    <row r="15336" spans="6:8">
      <c r="H15336" t="s">
        <v>35221</v>
      </c>
    </row>
    <row r="15337" spans="6:8">
      <c r="H15337" t="s">
        <v>35222</v>
      </c>
    </row>
    <row r="15338" spans="6:8">
      <c r="H15338" t="s">
        <v>35223</v>
      </c>
    </row>
    <row r="15339" spans="6:8">
      <c r="H15339" t="s">
        <v>35224</v>
      </c>
    </row>
    <row r="15340" spans="6:8">
      <c r="F15340" t="s">
        <v>10617</v>
      </c>
      <c r="G15340" t="s">
        <v>15020</v>
      </c>
      <c r="H15340" t="s">
        <v>19183</v>
      </c>
    </row>
    <row r="15341" spans="6:8">
      <c r="H15341" t="s">
        <v>19184</v>
      </c>
    </row>
    <row r="15342" spans="6:8">
      <c r="F15342" t="s">
        <v>10618</v>
      </c>
      <c r="G15342" t="s">
        <v>15021</v>
      </c>
      <c r="H15342" t="s">
        <v>19183</v>
      </c>
    </row>
    <row r="15343" spans="6:8">
      <c r="H15343" t="s">
        <v>19184</v>
      </c>
    </row>
    <row r="15344" spans="6:8">
      <c r="F15344" t="s">
        <v>13556</v>
      </c>
      <c r="G15344" t="s">
        <v>17663</v>
      </c>
      <c r="H15344" t="s">
        <v>35227</v>
      </c>
    </row>
    <row r="15345" spans="6:8">
      <c r="H15345" t="s">
        <v>35228</v>
      </c>
    </row>
    <row r="15346" spans="6:8">
      <c r="H15346" t="s">
        <v>35230</v>
      </c>
    </row>
    <row r="15347" spans="6:8">
      <c r="H15347" t="s">
        <v>35231</v>
      </c>
    </row>
    <row r="15348" spans="6:8">
      <c r="H15348" t="s">
        <v>35232</v>
      </c>
    </row>
    <row r="15349" spans="6:8">
      <c r="H15349" t="s">
        <v>35233</v>
      </c>
    </row>
    <row r="15350" spans="6:8">
      <c r="H15350" t="s">
        <v>35234</v>
      </c>
    </row>
    <row r="15351" spans="6:8">
      <c r="H15351" t="s">
        <v>35236</v>
      </c>
    </row>
    <row r="15352" spans="6:8">
      <c r="F15352" t="s">
        <v>14311</v>
      </c>
      <c r="G15352" t="s">
        <v>18268</v>
      </c>
      <c r="H15352" t="s">
        <v>35239</v>
      </c>
    </row>
    <row r="15353" spans="6:8">
      <c r="F15353" t="s">
        <v>14312</v>
      </c>
      <c r="G15353" t="s">
        <v>18269</v>
      </c>
      <c r="H15353" t="s">
        <v>35241</v>
      </c>
    </row>
    <row r="15354" spans="6:8">
      <c r="F15354" t="s">
        <v>14313</v>
      </c>
      <c r="G15354" t="s">
        <v>18270</v>
      </c>
      <c r="H15354" t="s">
        <v>18836</v>
      </c>
    </row>
    <row r="15355" spans="6:8">
      <c r="H15355" t="s">
        <v>35247</v>
      </c>
    </row>
    <row r="15356" spans="6:8">
      <c r="H15356" t="s">
        <v>35248</v>
      </c>
    </row>
    <row r="15357" spans="6:8">
      <c r="H15357" t="s">
        <v>35249</v>
      </c>
    </row>
    <row r="15358" spans="6:8">
      <c r="F15358" t="s">
        <v>10600</v>
      </c>
      <c r="G15358" t="s">
        <v>15003</v>
      </c>
      <c r="H15358" t="s">
        <v>18836</v>
      </c>
    </row>
    <row r="15359" spans="6:8">
      <c r="H15359" t="s">
        <v>35250</v>
      </c>
    </row>
    <row r="15360" spans="6:8">
      <c r="F15360" t="s">
        <v>14314</v>
      </c>
      <c r="G15360" t="s">
        <v>18271</v>
      </c>
      <c r="H15360" t="s">
        <v>35251</v>
      </c>
    </row>
    <row r="15361" spans="6:8">
      <c r="H15361" t="s">
        <v>35252</v>
      </c>
    </row>
    <row r="15362" spans="6:8">
      <c r="H15362" t="s">
        <v>35253</v>
      </c>
    </row>
    <row r="15363" spans="6:8">
      <c r="F15363" t="s">
        <v>13960</v>
      </c>
      <c r="G15363" t="s">
        <v>17986</v>
      </c>
      <c r="H15363" t="s">
        <v>35255</v>
      </c>
    </row>
    <row r="15364" spans="6:8">
      <c r="H15364" t="s">
        <v>35250</v>
      </c>
    </row>
    <row r="15365" spans="6:8">
      <c r="H15365" t="s">
        <v>35256</v>
      </c>
    </row>
    <row r="15366" spans="6:8">
      <c r="H15366" t="s">
        <v>35257</v>
      </c>
    </row>
    <row r="15367" spans="6:8">
      <c r="H15367" t="s">
        <v>35258</v>
      </c>
    </row>
    <row r="15368" spans="6:8">
      <c r="H15368" t="s">
        <v>35259</v>
      </c>
    </row>
    <row r="15369" spans="6:8">
      <c r="H15369" t="s">
        <v>35260</v>
      </c>
    </row>
    <row r="15370" spans="6:8">
      <c r="H15370" t="s">
        <v>35261</v>
      </c>
    </row>
    <row r="15371" spans="6:8">
      <c r="F15371" t="s">
        <v>14315</v>
      </c>
      <c r="G15371" t="s">
        <v>18272</v>
      </c>
      <c r="H15371" t="s">
        <v>35263</v>
      </c>
    </row>
    <row r="15372" spans="6:8">
      <c r="F15372" t="s">
        <v>10726</v>
      </c>
      <c r="G15372" t="s">
        <v>15125</v>
      </c>
      <c r="H15372" t="s">
        <v>35266</v>
      </c>
    </row>
    <row r="15373" spans="6:8">
      <c r="H15373" t="s">
        <v>35267</v>
      </c>
    </row>
    <row r="15374" spans="6:8">
      <c r="H15374" t="s">
        <v>35268</v>
      </c>
    </row>
    <row r="15375" spans="6:8">
      <c r="H15375" t="s">
        <v>35269</v>
      </c>
    </row>
    <row r="15376" spans="6:8">
      <c r="H15376" t="s">
        <v>35271</v>
      </c>
    </row>
    <row r="15377" spans="6:8">
      <c r="F15377" t="s">
        <v>11449</v>
      </c>
      <c r="G15377" t="s">
        <v>15689</v>
      </c>
      <c r="H15377" t="s">
        <v>31759</v>
      </c>
    </row>
    <row r="15378" spans="6:8">
      <c r="H15378" t="s">
        <v>35273</v>
      </c>
    </row>
    <row r="15379" spans="6:8">
      <c r="H15379" t="s">
        <v>35274</v>
      </c>
    </row>
    <row r="15380" spans="6:8">
      <c r="H15380" t="s">
        <v>35275</v>
      </c>
    </row>
    <row r="15381" spans="6:8">
      <c r="H15381" t="s">
        <v>35276</v>
      </c>
    </row>
    <row r="15382" spans="6:8">
      <c r="H15382" t="s">
        <v>35277</v>
      </c>
    </row>
    <row r="15383" spans="6:8">
      <c r="H15383" t="s">
        <v>35279</v>
      </c>
    </row>
    <row r="15384" spans="6:8">
      <c r="H15384" t="s">
        <v>35280</v>
      </c>
    </row>
    <row r="15385" spans="6:8">
      <c r="H15385" t="s">
        <v>35281</v>
      </c>
    </row>
    <row r="15386" spans="6:8">
      <c r="H15386" t="s">
        <v>35282</v>
      </c>
    </row>
    <row r="15387" spans="6:8">
      <c r="H15387" t="s">
        <v>35283</v>
      </c>
    </row>
    <row r="15388" spans="6:8">
      <c r="H15388" t="s">
        <v>35284</v>
      </c>
    </row>
    <row r="15389" spans="6:8">
      <c r="H15389" t="s">
        <v>35285</v>
      </c>
    </row>
    <row r="15390" spans="6:8">
      <c r="H15390" t="s">
        <v>35286</v>
      </c>
    </row>
    <row r="15391" spans="6:8">
      <c r="H15391" t="s">
        <v>35287</v>
      </c>
    </row>
    <row r="15392" spans="6:8">
      <c r="H15392" t="s">
        <v>35288</v>
      </c>
    </row>
    <row r="15393" spans="6:8">
      <c r="H15393" t="s">
        <v>35289</v>
      </c>
    </row>
    <row r="15394" spans="6:8">
      <c r="H15394" t="s">
        <v>35291</v>
      </c>
    </row>
    <row r="15395" spans="6:8">
      <c r="H15395" t="s">
        <v>35294</v>
      </c>
    </row>
    <row r="15396" spans="6:8">
      <c r="H15396" t="s">
        <v>35295</v>
      </c>
    </row>
    <row r="15397" spans="6:8">
      <c r="H15397" t="s">
        <v>35296</v>
      </c>
    </row>
    <row r="15398" spans="6:8">
      <c r="H15398" t="s">
        <v>35297</v>
      </c>
    </row>
    <row r="15399" spans="6:8">
      <c r="H15399" t="s">
        <v>35298</v>
      </c>
    </row>
    <row r="15400" spans="6:8">
      <c r="H15400" t="s">
        <v>35299</v>
      </c>
    </row>
    <row r="15401" spans="6:8">
      <c r="H15401" t="s">
        <v>35300</v>
      </c>
    </row>
    <row r="15402" spans="6:8">
      <c r="H15402" t="s">
        <v>35301</v>
      </c>
    </row>
    <row r="15403" spans="6:8">
      <c r="H15403" t="s">
        <v>35302</v>
      </c>
    </row>
    <row r="15404" spans="6:8">
      <c r="H15404" t="s">
        <v>35303</v>
      </c>
    </row>
    <row r="15405" spans="6:8">
      <c r="H15405" t="s">
        <v>35304</v>
      </c>
    </row>
    <row r="15406" spans="6:8">
      <c r="H15406" t="s">
        <v>35305</v>
      </c>
    </row>
    <row r="15407" spans="6:8">
      <c r="F15407" t="s">
        <v>14316</v>
      </c>
      <c r="G15407" t="s">
        <v>18273</v>
      </c>
      <c r="H15407" t="s">
        <v>35307</v>
      </c>
    </row>
    <row r="15408" spans="6:8">
      <c r="F15408" t="s">
        <v>14317</v>
      </c>
      <c r="G15408" t="s">
        <v>18274</v>
      </c>
      <c r="H15408" t="s">
        <v>35308</v>
      </c>
    </row>
    <row r="15409" spans="6:8">
      <c r="H15409" t="s">
        <v>35309</v>
      </c>
    </row>
    <row r="15410" spans="6:8">
      <c r="H15410" t="s">
        <v>35310</v>
      </c>
    </row>
    <row r="15411" spans="6:8">
      <c r="F15411" t="s">
        <v>14318</v>
      </c>
      <c r="G15411" t="s">
        <v>18275</v>
      </c>
      <c r="H15411" t="s">
        <v>35317</v>
      </c>
    </row>
    <row r="15412" spans="6:8">
      <c r="F15412" t="s">
        <v>14319</v>
      </c>
      <c r="G15412" t="s">
        <v>18276</v>
      </c>
      <c r="H15412" t="s">
        <v>18836</v>
      </c>
    </row>
    <row r="15413" spans="6:8">
      <c r="F15413" t="s">
        <v>14320</v>
      </c>
      <c r="G15413" t="s">
        <v>18277</v>
      </c>
      <c r="H15413" t="s">
        <v>30172</v>
      </c>
    </row>
    <row r="15414" spans="6:8">
      <c r="H15414" t="s">
        <v>35318</v>
      </c>
    </row>
    <row r="15415" spans="6:8">
      <c r="H15415" t="s">
        <v>35319</v>
      </c>
    </row>
    <row r="15416" spans="6:8">
      <c r="H15416" t="s">
        <v>35320</v>
      </c>
    </row>
    <row r="15417" spans="6:8">
      <c r="H15417" t="s">
        <v>35321</v>
      </c>
    </row>
    <row r="15418" spans="6:8">
      <c r="H15418" t="s">
        <v>35322</v>
      </c>
    </row>
    <row r="15419" spans="6:8">
      <c r="F15419" t="s">
        <v>14321</v>
      </c>
      <c r="G15419" t="s">
        <v>18278</v>
      </c>
      <c r="H15419" t="s">
        <v>35328</v>
      </c>
    </row>
    <row r="15420" spans="6:8">
      <c r="F15420" t="s">
        <v>14322</v>
      </c>
      <c r="G15420" t="s">
        <v>18279</v>
      </c>
      <c r="H15420" t="s">
        <v>22358</v>
      </c>
    </row>
    <row r="15421" spans="6:8">
      <c r="H15421" t="s">
        <v>35329</v>
      </c>
    </row>
    <row r="15422" spans="6:8">
      <c r="H15422" t="s">
        <v>35330</v>
      </c>
    </row>
    <row r="15423" spans="6:8">
      <c r="F15423" t="s">
        <v>14323</v>
      </c>
      <c r="G15423" t="s">
        <v>18280</v>
      </c>
      <c r="H15423" t="s">
        <v>35333</v>
      </c>
    </row>
    <row r="15424" spans="6:8">
      <c r="H15424" t="s">
        <v>29840</v>
      </c>
    </row>
    <row r="15425" spans="6:8">
      <c r="H15425" t="s">
        <v>35334</v>
      </c>
    </row>
    <row r="15426" spans="6:8">
      <c r="H15426" t="s">
        <v>35335</v>
      </c>
    </row>
    <row r="15427" spans="6:8">
      <c r="H15427" t="s">
        <v>19007</v>
      </c>
    </row>
    <row r="15428" spans="6:8">
      <c r="H15428" t="s">
        <v>35336</v>
      </c>
    </row>
    <row r="15429" spans="6:8">
      <c r="F15429" t="s">
        <v>14324</v>
      </c>
      <c r="G15429" t="s">
        <v>18281</v>
      </c>
      <c r="H15429" t="s">
        <v>35338</v>
      </c>
    </row>
    <row r="15430" spans="6:8">
      <c r="H15430" t="s">
        <v>35339</v>
      </c>
    </row>
    <row r="15431" spans="6:8">
      <c r="H15431" t="s">
        <v>35340</v>
      </c>
    </row>
    <row r="15432" spans="6:8">
      <c r="H15432" t="s">
        <v>35341</v>
      </c>
    </row>
    <row r="15433" spans="6:8">
      <c r="H15433" t="s">
        <v>35342</v>
      </c>
    </row>
    <row r="15434" spans="6:8">
      <c r="F15434" t="s">
        <v>14102</v>
      </c>
      <c r="G15434" t="s">
        <v>18095</v>
      </c>
      <c r="H15434" t="s">
        <v>35349</v>
      </c>
    </row>
    <row r="15435" spans="6:8">
      <c r="H15435" t="s">
        <v>35350</v>
      </c>
    </row>
    <row r="15436" spans="6:8">
      <c r="H15436" t="s">
        <v>35351</v>
      </c>
    </row>
    <row r="15437" spans="6:8">
      <c r="H15437" t="s">
        <v>35352</v>
      </c>
    </row>
    <row r="15438" spans="6:8">
      <c r="H15438" t="s">
        <v>35353</v>
      </c>
    </row>
    <row r="15439" spans="6:8">
      <c r="H15439" t="s">
        <v>35354</v>
      </c>
    </row>
    <row r="15440" spans="6:8">
      <c r="H15440" t="s">
        <v>35357</v>
      </c>
    </row>
    <row r="15441" spans="1:8">
      <c r="H15441" t="s">
        <v>35359</v>
      </c>
    </row>
    <row r="15442" spans="1:8">
      <c r="A15442" t="s">
        <v>3503</v>
      </c>
      <c r="B15442">
        <f>HYPERLINK("https://android.googlesource.com/platform/cts/+/daf55da8c6be33c9421e0ff5d4f7e03c7c75c0bd", "daf55da8c6be33c9421e0ff5d4f7e03c7c75c0bd")</f>
        <v>0</v>
      </c>
      <c r="C15442">
        <f>HYPERLINK("https://android.googlesource.com/platform/cts/+/57a7572fe52032f6656b77decb0acb7846e62f36", "57a7572fe52032f6656b77decb0acb7846e62f36")</f>
        <v>0</v>
      </c>
      <c r="D15442" t="s">
        <v>5576</v>
      </c>
      <c r="E15442" t="s">
        <v>9197</v>
      </c>
      <c r="F15442" t="s">
        <v>13857</v>
      </c>
      <c r="G15442" t="s">
        <v>17899</v>
      </c>
      <c r="H15442" t="s">
        <v>34807</v>
      </c>
    </row>
    <row r="15443" spans="1:8">
      <c r="H15443" t="s">
        <v>34808</v>
      </c>
    </row>
    <row r="15444" spans="1:8">
      <c r="H15444" t="s">
        <v>34809</v>
      </c>
    </row>
    <row r="15445" spans="1:8">
      <c r="H15445" t="s">
        <v>34810</v>
      </c>
    </row>
    <row r="15446" spans="1:8">
      <c r="H15446" t="s">
        <v>34811</v>
      </c>
    </row>
    <row r="15447" spans="1:8">
      <c r="H15447" t="s">
        <v>34812</v>
      </c>
    </row>
    <row r="15448" spans="1:8">
      <c r="F15448" t="s">
        <v>13976</v>
      </c>
      <c r="G15448" t="s">
        <v>18001</v>
      </c>
      <c r="H15448" t="s">
        <v>34814</v>
      </c>
    </row>
    <row r="15449" spans="1:8">
      <c r="H15449" t="s">
        <v>34815</v>
      </c>
    </row>
    <row r="15450" spans="1:8">
      <c r="H15450" t="s">
        <v>34816</v>
      </c>
    </row>
    <row r="15451" spans="1:8">
      <c r="H15451" t="s">
        <v>34817</v>
      </c>
    </row>
    <row r="15452" spans="1:8">
      <c r="H15452" t="s">
        <v>34818</v>
      </c>
    </row>
    <row r="15453" spans="1:8">
      <c r="H15453" t="s">
        <v>34819</v>
      </c>
    </row>
    <row r="15454" spans="1:8">
      <c r="H15454" t="s">
        <v>34820</v>
      </c>
    </row>
    <row r="15455" spans="1:8">
      <c r="H15455" t="s">
        <v>34821</v>
      </c>
    </row>
    <row r="15456" spans="1:8">
      <c r="H15456" t="s">
        <v>34822</v>
      </c>
    </row>
    <row r="15457" spans="6:8">
      <c r="F15457" t="s">
        <v>13977</v>
      </c>
      <c r="G15457" t="s">
        <v>18002</v>
      </c>
      <c r="H15457" t="s">
        <v>33907</v>
      </c>
    </row>
    <row r="15458" spans="6:8">
      <c r="H15458" t="s">
        <v>33908</v>
      </c>
    </row>
    <row r="15459" spans="6:8">
      <c r="F15459" t="s">
        <v>12416</v>
      </c>
      <c r="G15459" t="s">
        <v>16638</v>
      </c>
      <c r="H15459" t="s">
        <v>26751</v>
      </c>
    </row>
    <row r="15460" spans="6:8">
      <c r="H15460" t="s">
        <v>34852</v>
      </c>
    </row>
    <row r="15461" spans="6:8">
      <c r="H15461" t="s">
        <v>34853</v>
      </c>
    </row>
    <row r="15462" spans="6:8">
      <c r="H15462" t="s">
        <v>34854</v>
      </c>
    </row>
    <row r="15463" spans="6:8">
      <c r="H15463" t="s">
        <v>34855</v>
      </c>
    </row>
    <row r="15464" spans="6:8">
      <c r="H15464" t="s">
        <v>34856</v>
      </c>
    </row>
    <row r="15465" spans="6:8">
      <c r="H15465" t="s">
        <v>34857</v>
      </c>
    </row>
    <row r="15466" spans="6:8">
      <c r="H15466" t="s">
        <v>34858</v>
      </c>
    </row>
    <row r="15467" spans="6:8">
      <c r="H15467" t="s">
        <v>34859</v>
      </c>
    </row>
    <row r="15468" spans="6:8">
      <c r="H15468" t="s">
        <v>34860</v>
      </c>
    </row>
    <row r="15469" spans="6:8">
      <c r="H15469" t="s">
        <v>34861</v>
      </c>
    </row>
    <row r="15470" spans="6:8">
      <c r="H15470" t="s">
        <v>34862</v>
      </c>
    </row>
    <row r="15471" spans="6:8">
      <c r="H15471" t="s">
        <v>34863</v>
      </c>
    </row>
    <row r="15472" spans="6:8">
      <c r="H15472" t="s">
        <v>34864</v>
      </c>
    </row>
    <row r="15473" spans="6:8">
      <c r="H15473" t="s">
        <v>34870</v>
      </c>
    </row>
    <row r="15474" spans="6:8">
      <c r="F15474" t="s">
        <v>14304</v>
      </c>
      <c r="G15474" t="s">
        <v>18262</v>
      </c>
      <c r="H15474" t="s">
        <v>34873</v>
      </c>
    </row>
    <row r="15475" spans="6:8">
      <c r="H15475" t="s">
        <v>34874</v>
      </c>
    </row>
    <row r="15476" spans="6:8">
      <c r="H15476" t="s">
        <v>34875</v>
      </c>
    </row>
    <row r="15477" spans="6:8">
      <c r="H15477" t="s">
        <v>31037</v>
      </c>
    </row>
    <row r="15478" spans="6:8">
      <c r="F15478" t="s">
        <v>13941</v>
      </c>
      <c r="G15478" t="s">
        <v>17972</v>
      </c>
      <c r="H15478" t="s">
        <v>32340</v>
      </c>
    </row>
    <row r="15479" spans="6:8">
      <c r="H15479" t="s">
        <v>32342</v>
      </c>
    </row>
    <row r="15480" spans="6:8">
      <c r="H15480" t="s">
        <v>32341</v>
      </c>
    </row>
    <row r="15481" spans="6:8">
      <c r="F15481" t="s">
        <v>14305</v>
      </c>
      <c r="G15481" t="s">
        <v>18005</v>
      </c>
      <c r="H15481" t="s">
        <v>34876</v>
      </c>
    </row>
    <row r="15482" spans="6:8">
      <c r="F15482" t="s">
        <v>14234</v>
      </c>
      <c r="G15482" t="s">
        <v>18204</v>
      </c>
      <c r="H15482" t="s">
        <v>34880</v>
      </c>
    </row>
    <row r="15483" spans="6:8">
      <c r="H15483" t="s">
        <v>34881</v>
      </c>
    </row>
    <row r="15484" spans="6:8">
      <c r="H15484" t="s">
        <v>34884</v>
      </c>
    </row>
    <row r="15485" spans="6:8">
      <c r="H15485" t="s">
        <v>34885</v>
      </c>
    </row>
    <row r="15486" spans="6:8">
      <c r="H15486" t="s">
        <v>34886</v>
      </c>
    </row>
    <row r="15487" spans="6:8">
      <c r="H15487" t="s">
        <v>34887</v>
      </c>
    </row>
    <row r="15488" spans="6:8">
      <c r="H15488" t="s">
        <v>34888</v>
      </c>
    </row>
    <row r="15489" spans="6:8">
      <c r="H15489" t="s">
        <v>34889</v>
      </c>
    </row>
    <row r="15490" spans="6:8">
      <c r="H15490" t="s">
        <v>34890</v>
      </c>
    </row>
    <row r="15491" spans="6:8">
      <c r="H15491" t="s">
        <v>34892</v>
      </c>
    </row>
    <row r="15492" spans="6:8">
      <c r="H15492" t="s">
        <v>34893</v>
      </c>
    </row>
    <row r="15493" spans="6:8">
      <c r="F15493" t="s">
        <v>10700</v>
      </c>
      <c r="G15493" t="s">
        <v>15100</v>
      </c>
      <c r="H15493" t="s">
        <v>34906</v>
      </c>
    </row>
    <row r="15494" spans="6:8">
      <c r="H15494" t="s">
        <v>22508</v>
      </c>
    </row>
    <row r="15495" spans="6:8">
      <c r="H15495" t="s">
        <v>34907</v>
      </c>
    </row>
    <row r="15496" spans="6:8">
      <c r="H15496" t="s">
        <v>34908</v>
      </c>
    </row>
    <row r="15497" spans="6:8">
      <c r="H15497" t="s">
        <v>34909</v>
      </c>
    </row>
    <row r="15498" spans="6:8">
      <c r="H15498" t="s">
        <v>34910</v>
      </c>
    </row>
    <row r="15499" spans="6:8">
      <c r="H15499" t="s">
        <v>34911</v>
      </c>
    </row>
    <row r="15500" spans="6:8">
      <c r="H15500" t="s">
        <v>25838</v>
      </c>
    </row>
    <row r="15501" spans="6:8">
      <c r="H15501" t="s">
        <v>34920</v>
      </c>
    </row>
    <row r="15502" spans="6:8">
      <c r="H15502" t="s">
        <v>25839</v>
      </c>
    </row>
    <row r="15503" spans="6:8">
      <c r="H15503" t="s">
        <v>27479</v>
      </c>
    </row>
    <row r="15504" spans="6:8">
      <c r="H15504" t="s">
        <v>34922</v>
      </c>
    </row>
    <row r="15505" spans="6:8">
      <c r="H15505" t="s">
        <v>34923</v>
      </c>
    </row>
    <row r="15506" spans="6:8">
      <c r="H15506" t="s">
        <v>34924</v>
      </c>
    </row>
    <row r="15507" spans="6:8">
      <c r="H15507" t="s">
        <v>34925</v>
      </c>
    </row>
    <row r="15508" spans="6:8">
      <c r="H15508" t="s">
        <v>34927</v>
      </c>
    </row>
    <row r="15509" spans="6:8">
      <c r="H15509" t="s">
        <v>34935</v>
      </c>
    </row>
    <row r="15510" spans="6:8">
      <c r="H15510" t="s">
        <v>34950</v>
      </c>
    </row>
    <row r="15511" spans="6:8">
      <c r="H15511" t="s">
        <v>34951</v>
      </c>
    </row>
    <row r="15512" spans="6:8">
      <c r="H15512" t="s">
        <v>34952</v>
      </c>
    </row>
    <row r="15513" spans="6:8">
      <c r="H15513" t="s">
        <v>34957</v>
      </c>
    </row>
    <row r="15514" spans="6:8">
      <c r="H15514" t="s">
        <v>34958</v>
      </c>
    </row>
    <row r="15515" spans="6:8">
      <c r="H15515" t="s">
        <v>34960</v>
      </c>
    </row>
    <row r="15516" spans="6:8">
      <c r="H15516" t="s">
        <v>34961</v>
      </c>
    </row>
    <row r="15517" spans="6:8">
      <c r="H15517" t="s">
        <v>34962</v>
      </c>
    </row>
    <row r="15518" spans="6:8">
      <c r="H15518" t="s">
        <v>34966</v>
      </c>
    </row>
    <row r="15519" spans="6:8">
      <c r="F15519" t="s">
        <v>14306</v>
      </c>
      <c r="G15519" t="s">
        <v>18263</v>
      </c>
      <c r="H15519" t="s">
        <v>34967</v>
      </c>
    </row>
    <row r="15520" spans="6:8">
      <c r="F15520" t="s">
        <v>13837</v>
      </c>
      <c r="G15520" t="s">
        <v>17880</v>
      </c>
      <c r="H15520" t="s">
        <v>31852</v>
      </c>
    </row>
    <row r="15521" spans="8:8">
      <c r="H15521" t="s">
        <v>34980</v>
      </c>
    </row>
    <row r="15522" spans="8:8">
      <c r="H15522" t="s">
        <v>34981</v>
      </c>
    </row>
    <row r="15523" spans="8:8">
      <c r="H15523" t="s">
        <v>34982</v>
      </c>
    </row>
    <row r="15524" spans="8:8">
      <c r="H15524" t="s">
        <v>34983</v>
      </c>
    </row>
    <row r="15525" spans="8:8">
      <c r="H15525" t="s">
        <v>34984</v>
      </c>
    </row>
    <row r="15526" spans="8:8">
      <c r="H15526" t="s">
        <v>34985</v>
      </c>
    </row>
    <row r="15527" spans="8:8">
      <c r="H15527" t="s">
        <v>34986</v>
      </c>
    </row>
    <row r="15528" spans="8:8">
      <c r="H15528" t="s">
        <v>34987</v>
      </c>
    </row>
    <row r="15529" spans="8:8">
      <c r="H15529" t="s">
        <v>34988</v>
      </c>
    </row>
    <row r="15530" spans="8:8">
      <c r="H15530" t="s">
        <v>34994</v>
      </c>
    </row>
    <row r="15531" spans="8:8">
      <c r="H15531" t="s">
        <v>34995</v>
      </c>
    </row>
    <row r="15532" spans="8:8">
      <c r="H15532" t="s">
        <v>34996</v>
      </c>
    </row>
    <row r="15533" spans="8:8">
      <c r="H15533" t="s">
        <v>35002</v>
      </c>
    </row>
    <row r="15534" spans="8:8">
      <c r="H15534" t="s">
        <v>35003</v>
      </c>
    </row>
    <row r="15535" spans="8:8">
      <c r="H15535" t="s">
        <v>35004</v>
      </c>
    </row>
    <row r="15536" spans="8:8">
      <c r="H15536" t="s">
        <v>35005</v>
      </c>
    </row>
    <row r="15537" spans="6:8">
      <c r="H15537" t="s">
        <v>35006</v>
      </c>
    </row>
    <row r="15538" spans="6:8">
      <c r="H15538" t="s">
        <v>35007</v>
      </c>
    </row>
    <row r="15539" spans="6:8">
      <c r="H15539" t="s">
        <v>35008</v>
      </c>
    </row>
    <row r="15540" spans="6:8">
      <c r="H15540" t="s">
        <v>35009</v>
      </c>
    </row>
    <row r="15541" spans="6:8">
      <c r="H15541" t="s">
        <v>35011</v>
      </c>
    </row>
    <row r="15542" spans="6:8">
      <c r="H15542" t="s">
        <v>35014</v>
      </c>
    </row>
    <row r="15543" spans="6:8">
      <c r="F15543" t="s">
        <v>12201</v>
      </c>
      <c r="G15543" t="s">
        <v>16439</v>
      </c>
      <c r="H15543" t="s">
        <v>21327</v>
      </c>
    </row>
    <row r="15544" spans="6:8">
      <c r="F15544" t="s">
        <v>14222</v>
      </c>
      <c r="G15544" t="s">
        <v>18195</v>
      </c>
      <c r="H15544" t="s">
        <v>35024</v>
      </c>
    </row>
    <row r="15545" spans="6:8">
      <c r="H15545" t="s">
        <v>35025</v>
      </c>
    </row>
    <row r="15546" spans="6:8">
      <c r="H15546" t="s">
        <v>35026</v>
      </c>
    </row>
    <row r="15547" spans="6:8">
      <c r="H15547" t="s">
        <v>35028</v>
      </c>
    </row>
    <row r="15548" spans="6:8">
      <c r="H15548" t="s">
        <v>35029</v>
      </c>
    </row>
    <row r="15549" spans="6:8">
      <c r="H15549" t="s">
        <v>35030</v>
      </c>
    </row>
    <row r="15550" spans="6:8">
      <c r="H15550" t="s">
        <v>35031</v>
      </c>
    </row>
    <row r="15551" spans="6:8">
      <c r="H15551" t="s">
        <v>35032</v>
      </c>
    </row>
    <row r="15552" spans="6:8">
      <c r="H15552" t="s">
        <v>35033</v>
      </c>
    </row>
    <row r="15553" spans="6:8">
      <c r="H15553" t="s">
        <v>35036</v>
      </c>
    </row>
    <row r="15554" spans="6:8">
      <c r="H15554" t="s">
        <v>35037</v>
      </c>
    </row>
    <row r="15555" spans="6:8">
      <c r="F15555" t="s">
        <v>14307</v>
      </c>
      <c r="G15555" t="s">
        <v>18264</v>
      </c>
      <c r="H15555" t="s">
        <v>35042</v>
      </c>
    </row>
    <row r="15556" spans="6:8">
      <c r="H15556" t="s">
        <v>35043</v>
      </c>
    </row>
    <row r="15557" spans="6:8">
      <c r="H15557" t="s">
        <v>35044</v>
      </c>
    </row>
    <row r="15558" spans="6:8">
      <c r="H15558" t="s">
        <v>35045</v>
      </c>
    </row>
    <row r="15559" spans="6:8">
      <c r="H15559" t="s">
        <v>35046</v>
      </c>
    </row>
    <row r="15560" spans="6:8">
      <c r="H15560" t="s">
        <v>35047</v>
      </c>
    </row>
    <row r="15561" spans="6:8">
      <c r="F15561" t="s">
        <v>14159</v>
      </c>
      <c r="G15561" t="s">
        <v>18145</v>
      </c>
      <c r="H15561" t="s">
        <v>18836</v>
      </c>
    </row>
    <row r="15562" spans="6:8">
      <c r="H15562" t="s">
        <v>35050</v>
      </c>
    </row>
    <row r="15563" spans="6:8">
      <c r="F15563" t="s">
        <v>14308</v>
      </c>
      <c r="G15563" t="s">
        <v>18265</v>
      </c>
      <c r="H15563" t="s">
        <v>35070</v>
      </c>
    </row>
    <row r="15564" spans="6:8">
      <c r="H15564" t="s">
        <v>35071</v>
      </c>
    </row>
    <row r="15565" spans="6:8">
      <c r="H15565" t="s">
        <v>35072</v>
      </c>
    </row>
    <row r="15566" spans="6:8">
      <c r="H15566" t="s">
        <v>35073</v>
      </c>
    </row>
    <row r="15567" spans="6:8">
      <c r="H15567" t="s">
        <v>35074</v>
      </c>
    </row>
    <row r="15568" spans="6:8">
      <c r="H15568" t="s">
        <v>35075</v>
      </c>
    </row>
    <row r="15569" spans="6:8">
      <c r="F15569" t="s">
        <v>13309</v>
      </c>
      <c r="G15569" t="s">
        <v>17442</v>
      </c>
      <c r="H15569" t="s">
        <v>29102</v>
      </c>
    </row>
    <row r="15570" spans="6:8">
      <c r="H15570" t="s">
        <v>29103</v>
      </c>
    </row>
    <row r="15571" spans="6:8">
      <c r="H15571" t="s">
        <v>35091</v>
      </c>
    </row>
    <row r="15572" spans="6:8">
      <c r="H15572" t="s">
        <v>35092</v>
      </c>
    </row>
    <row r="15573" spans="6:8">
      <c r="H15573" t="s">
        <v>35093</v>
      </c>
    </row>
    <row r="15574" spans="6:8">
      <c r="H15574" t="s">
        <v>35094</v>
      </c>
    </row>
    <row r="15575" spans="6:8">
      <c r="H15575" t="s">
        <v>35095</v>
      </c>
    </row>
    <row r="15576" spans="6:8">
      <c r="H15576" t="s">
        <v>35096</v>
      </c>
    </row>
    <row r="15577" spans="6:8">
      <c r="H15577" t="s">
        <v>35097</v>
      </c>
    </row>
    <row r="15578" spans="6:8">
      <c r="H15578" t="s">
        <v>35098</v>
      </c>
    </row>
    <row r="15579" spans="6:8">
      <c r="H15579" t="s">
        <v>35099</v>
      </c>
    </row>
    <row r="15580" spans="6:8">
      <c r="H15580" t="s">
        <v>35100</v>
      </c>
    </row>
    <row r="15581" spans="6:8">
      <c r="H15581" t="s">
        <v>35101</v>
      </c>
    </row>
    <row r="15582" spans="6:8">
      <c r="H15582" t="s">
        <v>35102</v>
      </c>
    </row>
    <row r="15583" spans="6:8">
      <c r="H15583" t="s">
        <v>35103</v>
      </c>
    </row>
    <row r="15584" spans="6:8">
      <c r="H15584" t="s">
        <v>35104</v>
      </c>
    </row>
    <row r="15585" spans="8:8">
      <c r="H15585" t="s">
        <v>35105</v>
      </c>
    </row>
    <row r="15586" spans="8:8">
      <c r="H15586" t="s">
        <v>35106</v>
      </c>
    </row>
    <row r="15587" spans="8:8">
      <c r="H15587" t="s">
        <v>35107</v>
      </c>
    </row>
    <row r="15588" spans="8:8">
      <c r="H15588" t="s">
        <v>35108</v>
      </c>
    </row>
    <row r="15589" spans="8:8">
      <c r="H15589" t="s">
        <v>35109</v>
      </c>
    </row>
    <row r="15590" spans="8:8">
      <c r="H15590" t="s">
        <v>35110</v>
      </c>
    </row>
    <row r="15591" spans="8:8">
      <c r="H15591" t="s">
        <v>35111</v>
      </c>
    </row>
    <row r="15592" spans="8:8">
      <c r="H15592" t="s">
        <v>35112</v>
      </c>
    </row>
    <row r="15593" spans="8:8">
      <c r="H15593" t="s">
        <v>35113</v>
      </c>
    </row>
    <row r="15594" spans="8:8">
      <c r="H15594" t="s">
        <v>35114</v>
      </c>
    </row>
    <row r="15595" spans="8:8">
      <c r="H15595" t="s">
        <v>35115</v>
      </c>
    </row>
    <row r="15596" spans="8:8">
      <c r="H15596" t="s">
        <v>35116</v>
      </c>
    </row>
    <row r="15597" spans="8:8">
      <c r="H15597" t="s">
        <v>35117</v>
      </c>
    </row>
    <row r="15598" spans="8:8">
      <c r="H15598" t="s">
        <v>35118</v>
      </c>
    </row>
    <row r="15599" spans="8:8">
      <c r="H15599" t="s">
        <v>35119</v>
      </c>
    </row>
    <row r="15600" spans="8:8">
      <c r="H15600" t="s">
        <v>35120</v>
      </c>
    </row>
    <row r="15601" spans="8:8">
      <c r="H15601" t="s">
        <v>35121</v>
      </c>
    </row>
    <row r="15602" spans="8:8">
      <c r="H15602" t="s">
        <v>35122</v>
      </c>
    </row>
    <row r="15603" spans="8:8">
      <c r="H15603" t="s">
        <v>35123</v>
      </c>
    </row>
    <row r="15604" spans="8:8">
      <c r="H15604" t="s">
        <v>35124</v>
      </c>
    </row>
    <row r="15605" spans="8:8">
      <c r="H15605" t="s">
        <v>35125</v>
      </c>
    </row>
    <row r="15606" spans="8:8">
      <c r="H15606" t="s">
        <v>35126</v>
      </c>
    </row>
    <row r="15607" spans="8:8">
      <c r="H15607" t="s">
        <v>35127</v>
      </c>
    </row>
    <row r="15608" spans="8:8">
      <c r="H15608" t="s">
        <v>35128</v>
      </c>
    </row>
    <row r="15609" spans="8:8">
      <c r="H15609" t="s">
        <v>35129</v>
      </c>
    </row>
    <row r="15610" spans="8:8">
      <c r="H15610" t="s">
        <v>35130</v>
      </c>
    </row>
    <row r="15611" spans="8:8">
      <c r="H15611" t="s">
        <v>35131</v>
      </c>
    </row>
    <row r="15612" spans="8:8">
      <c r="H15612" t="s">
        <v>35132</v>
      </c>
    </row>
    <row r="15613" spans="8:8">
      <c r="H15613" t="s">
        <v>35133</v>
      </c>
    </row>
    <row r="15614" spans="8:8">
      <c r="H15614" t="s">
        <v>35134</v>
      </c>
    </row>
    <row r="15615" spans="8:8">
      <c r="H15615" t="s">
        <v>35135</v>
      </c>
    </row>
    <row r="15616" spans="8:8">
      <c r="H15616" t="s">
        <v>35136</v>
      </c>
    </row>
    <row r="15617" spans="8:8">
      <c r="H15617" t="s">
        <v>35137</v>
      </c>
    </row>
    <row r="15618" spans="8:8">
      <c r="H15618" t="s">
        <v>35138</v>
      </c>
    </row>
    <row r="15619" spans="8:8">
      <c r="H15619" t="s">
        <v>35139</v>
      </c>
    </row>
    <row r="15620" spans="8:8">
      <c r="H15620" t="s">
        <v>35140</v>
      </c>
    </row>
    <row r="15621" spans="8:8">
      <c r="H15621" t="s">
        <v>35141</v>
      </c>
    </row>
    <row r="15622" spans="8:8">
      <c r="H15622" t="s">
        <v>35142</v>
      </c>
    </row>
    <row r="15623" spans="8:8">
      <c r="H15623" t="s">
        <v>35143</v>
      </c>
    </row>
    <row r="15624" spans="8:8">
      <c r="H15624" t="s">
        <v>35144</v>
      </c>
    </row>
    <row r="15625" spans="8:8">
      <c r="H15625" t="s">
        <v>35145</v>
      </c>
    </row>
    <row r="15626" spans="8:8">
      <c r="H15626" t="s">
        <v>35146</v>
      </c>
    </row>
    <row r="15627" spans="8:8">
      <c r="H15627" t="s">
        <v>35147</v>
      </c>
    </row>
    <row r="15628" spans="8:8">
      <c r="H15628" t="s">
        <v>35148</v>
      </c>
    </row>
    <row r="15629" spans="8:8">
      <c r="H15629" t="s">
        <v>35149</v>
      </c>
    </row>
    <row r="15630" spans="8:8">
      <c r="H15630" t="s">
        <v>35150</v>
      </c>
    </row>
    <row r="15631" spans="8:8">
      <c r="H15631" t="s">
        <v>35151</v>
      </c>
    </row>
    <row r="15632" spans="8:8">
      <c r="H15632" t="s">
        <v>35152</v>
      </c>
    </row>
    <row r="15633" spans="6:8">
      <c r="H15633" t="s">
        <v>35153</v>
      </c>
    </row>
    <row r="15634" spans="6:8">
      <c r="H15634" t="s">
        <v>35154</v>
      </c>
    </row>
    <row r="15635" spans="6:8">
      <c r="H15635" t="s">
        <v>35155</v>
      </c>
    </row>
    <row r="15636" spans="6:8">
      <c r="H15636" t="s">
        <v>35156</v>
      </c>
    </row>
    <row r="15637" spans="6:8">
      <c r="F15637" t="s">
        <v>13928</v>
      </c>
      <c r="G15637" t="s">
        <v>17964</v>
      </c>
      <c r="H15637" t="s">
        <v>35159</v>
      </c>
    </row>
    <row r="15638" spans="6:8">
      <c r="H15638" t="s">
        <v>35160</v>
      </c>
    </row>
    <row r="15639" spans="6:8">
      <c r="H15639" t="s">
        <v>35175</v>
      </c>
    </row>
    <row r="15640" spans="6:8">
      <c r="H15640" t="s">
        <v>35176</v>
      </c>
    </row>
    <row r="15641" spans="6:8">
      <c r="H15641" t="s">
        <v>35177</v>
      </c>
    </row>
    <row r="15642" spans="6:8">
      <c r="H15642" t="s">
        <v>35178</v>
      </c>
    </row>
    <row r="15643" spans="6:8">
      <c r="H15643" t="s">
        <v>35179</v>
      </c>
    </row>
    <row r="15644" spans="6:8">
      <c r="H15644" t="s">
        <v>35180</v>
      </c>
    </row>
    <row r="15645" spans="6:8">
      <c r="H15645" t="s">
        <v>35181</v>
      </c>
    </row>
    <row r="15646" spans="6:8">
      <c r="H15646" t="s">
        <v>35182</v>
      </c>
    </row>
    <row r="15647" spans="6:8">
      <c r="H15647" t="s">
        <v>35183</v>
      </c>
    </row>
    <row r="15648" spans="6:8">
      <c r="H15648" t="s">
        <v>35184</v>
      </c>
    </row>
    <row r="15649" spans="6:8">
      <c r="H15649" t="s">
        <v>35185</v>
      </c>
    </row>
    <row r="15650" spans="6:8">
      <c r="H15650" t="s">
        <v>35186</v>
      </c>
    </row>
    <row r="15651" spans="6:8">
      <c r="H15651" t="s">
        <v>35187</v>
      </c>
    </row>
    <row r="15652" spans="6:8">
      <c r="H15652" t="s">
        <v>35188</v>
      </c>
    </row>
    <row r="15653" spans="6:8">
      <c r="H15653" t="s">
        <v>35189</v>
      </c>
    </row>
    <row r="15654" spans="6:8">
      <c r="H15654" t="s">
        <v>35190</v>
      </c>
    </row>
    <row r="15655" spans="6:8">
      <c r="H15655" t="s">
        <v>35191</v>
      </c>
    </row>
    <row r="15656" spans="6:8">
      <c r="H15656" t="s">
        <v>35192</v>
      </c>
    </row>
    <row r="15657" spans="6:8">
      <c r="H15657" t="s">
        <v>35193</v>
      </c>
    </row>
    <row r="15658" spans="6:8">
      <c r="H15658" t="s">
        <v>35194</v>
      </c>
    </row>
    <row r="15659" spans="6:8">
      <c r="H15659" t="s">
        <v>35195</v>
      </c>
    </row>
    <row r="15660" spans="6:8">
      <c r="H15660" t="s">
        <v>35196</v>
      </c>
    </row>
    <row r="15661" spans="6:8">
      <c r="H15661" t="s">
        <v>35197</v>
      </c>
    </row>
    <row r="15662" spans="6:8">
      <c r="H15662" t="s">
        <v>35198</v>
      </c>
    </row>
    <row r="15663" spans="6:8">
      <c r="F15663" t="s">
        <v>12740</v>
      </c>
      <c r="G15663" t="s">
        <v>16932</v>
      </c>
      <c r="H15663" t="s">
        <v>35199</v>
      </c>
    </row>
    <row r="15664" spans="6:8">
      <c r="F15664" t="s">
        <v>10615</v>
      </c>
      <c r="G15664" t="s">
        <v>15018</v>
      </c>
      <c r="H15664" t="s">
        <v>35200</v>
      </c>
    </row>
    <row r="15665" spans="6:8">
      <c r="F15665" t="s">
        <v>10616</v>
      </c>
      <c r="G15665" t="s">
        <v>15019</v>
      </c>
      <c r="H15665" t="s">
        <v>19183</v>
      </c>
    </row>
    <row r="15666" spans="6:8">
      <c r="H15666" t="s">
        <v>19184</v>
      </c>
    </row>
    <row r="15667" spans="6:8">
      <c r="F15667" t="s">
        <v>13133</v>
      </c>
      <c r="G15667" t="s">
        <v>17291</v>
      </c>
      <c r="H15667" t="s">
        <v>35201</v>
      </c>
    </row>
    <row r="15668" spans="6:8">
      <c r="H15668" t="s">
        <v>25716</v>
      </c>
    </row>
    <row r="15669" spans="6:8">
      <c r="H15669" t="s">
        <v>28041</v>
      </c>
    </row>
    <row r="15670" spans="6:8">
      <c r="H15670" t="s">
        <v>28042</v>
      </c>
    </row>
    <row r="15671" spans="6:8">
      <c r="H15671" t="s">
        <v>35202</v>
      </c>
    </row>
    <row r="15672" spans="6:8">
      <c r="H15672" t="s">
        <v>35203</v>
      </c>
    </row>
    <row r="15673" spans="6:8">
      <c r="H15673" t="s">
        <v>35204</v>
      </c>
    </row>
    <row r="15674" spans="6:8">
      <c r="F15674" t="s">
        <v>14309</v>
      </c>
      <c r="G15674" t="s">
        <v>18266</v>
      </c>
      <c r="H15674" t="s">
        <v>35211</v>
      </c>
    </row>
    <row r="15675" spans="6:8">
      <c r="H15675" t="s">
        <v>35212</v>
      </c>
    </row>
    <row r="15676" spans="6:8">
      <c r="H15676" t="s">
        <v>35213</v>
      </c>
    </row>
    <row r="15677" spans="6:8">
      <c r="H15677" t="s">
        <v>35214</v>
      </c>
    </row>
    <row r="15678" spans="6:8">
      <c r="H15678" t="s">
        <v>35215</v>
      </c>
    </row>
    <row r="15679" spans="6:8">
      <c r="F15679" t="s">
        <v>14310</v>
      </c>
      <c r="G15679" t="s">
        <v>18267</v>
      </c>
      <c r="H15679" t="s">
        <v>35216</v>
      </c>
    </row>
    <row r="15680" spans="6:8">
      <c r="F15680" t="s">
        <v>14210</v>
      </c>
      <c r="G15680" t="s">
        <v>18186</v>
      </c>
      <c r="H15680" t="s">
        <v>35217</v>
      </c>
    </row>
    <row r="15681" spans="6:8">
      <c r="H15681" t="s">
        <v>35218</v>
      </c>
    </row>
    <row r="15682" spans="6:8">
      <c r="H15682" t="s">
        <v>35219</v>
      </c>
    </row>
    <row r="15683" spans="6:8">
      <c r="H15683" t="s">
        <v>35220</v>
      </c>
    </row>
    <row r="15684" spans="6:8">
      <c r="H15684" t="s">
        <v>35221</v>
      </c>
    </row>
    <row r="15685" spans="6:8">
      <c r="H15685" t="s">
        <v>35222</v>
      </c>
    </row>
    <row r="15686" spans="6:8">
      <c r="H15686" t="s">
        <v>35223</v>
      </c>
    </row>
    <row r="15687" spans="6:8">
      <c r="H15687" t="s">
        <v>35224</v>
      </c>
    </row>
    <row r="15688" spans="6:8">
      <c r="F15688" t="s">
        <v>10617</v>
      </c>
      <c r="G15688" t="s">
        <v>15020</v>
      </c>
      <c r="H15688" t="s">
        <v>19183</v>
      </c>
    </row>
    <row r="15689" spans="6:8">
      <c r="H15689" t="s">
        <v>19184</v>
      </c>
    </row>
    <row r="15690" spans="6:8">
      <c r="F15690" t="s">
        <v>10618</v>
      </c>
      <c r="G15690" t="s">
        <v>15021</v>
      </c>
      <c r="H15690" t="s">
        <v>19183</v>
      </c>
    </row>
    <row r="15691" spans="6:8">
      <c r="H15691" t="s">
        <v>19184</v>
      </c>
    </row>
    <row r="15692" spans="6:8">
      <c r="F15692" t="s">
        <v>13556</v>
      </c>
      <c r="G15692" t="s">
        <v>17663</v>
      </c>
      <c r="H15692" t="s">
        <v>35227</v>
      </c>
    </row>
    <row r="15693" spans="6:8">
      <c r="H15693" t="s">
        <v>35228</v>
      </c>
    </row>
    <row r="15694" spans="6:8">
      <c r="H15694" t="s">
        <v>35230</v>
      </c>
    </row>
    <row r="15695" spans="6:8">
      <c r="H15695" t="s">
        <v>35231</v>
      </c>
    </row>
    <row r="15696" spans="6:8">
      <c r="H15696" t="s">
        <v>35232</v>
      </c>
    </row>
    <row r="15697" spans="6:8">
      <c r="H15697" t="s">
        <v>35233</v>
      </c>
    </row>
    <row r="15698" spans="6:8">
      <c r="H15698" t="s">
        <v>35234</v>
      </c>
    </row>
    <row r="15699" spans="6:8">
      <c r="H15699" t="s">
        <v>35236</v>
      </c>
    </row>
    <row r="15700" spans="6:8">
      <c r="F15700" t="s">
        <v>14311</v>
      </c>
      <c r="G15700" t="s">
        <v>18268</v>
      </c>
      <c r="H15700" t="s">
        <v>35239</v>
      </c>
    </row>
    <row r="15701" spans="6:8">
      <c r="F15701" t="s">
        <v>14312</v>
      </c>
      <c r="G15701" t="s">
        <v>18269</v>
      </c>
      <c r="H15701" t="s">
        <v>35241</v>
      </c>
    </row>
    <row r="15702" spans="6:8">
      <c r="F15702" t="s">
        <v>14313</v>
      </c>
      <c r="G15702" t="s">
        <v>18270</v>
      </c>
      <c r="H15702" t="s">
        <v>18836</v>
      </c>
    </row>
    <row r="15703" spans="6:8">
      <c r="H15703" t="s">
        <v>35247</v>
      </c>
    </row>
    <row r="15704" spans="6:8">
      <c r="H15704" t="s">
        <v>35248</v>
      </c>
    </row>
    <row r="15705" spans="6:8">
      <c r="H15705" t="s">
        <v>35249</v>
      </c>
    </row>
    <row r="15706" spans="6:8">
      <c r="F15706" t="s">
        <v>10600</v>
      </c>
      <c r="G15706" t="s">
        <v>15003</v>
      </c>
      <c r="H15706" t="s">
        <v>18836</v>
      </c>
    </row>
    <row r="15707" spans="6:8">
      <c r="H15707" t="s">
        <v>35250</v>
      </c>
    </row>
    <row r="15708" spans="6:8">
      <c r="F15708" t="s">
        <v>14314</v>
      </c>
      <c r="G15708" t="s">
        <v>18271</v>
      </c>
      <c r="H15708" t="s">
        <v>35251</v>
      </c>
    </row>
    <row r="15709" spans="6:8">
      <c r="H15709" t="s">
        <v>35252</v>
      </c>
    </row>
    <row r="15710" spans="6:8">
      <c r="H15710" t="s">
        <v>35253</v>
      </c>
    </row>
    <row r="15711" spans="6:8">
      <c r="F15711" t="s">
        <v>13960</v>
      </c>
      <c r="G15711" t="s">
        <v>17986</v>
      </c>
      <c r="H15711" t="s">
        <v>35255</v>
      </c>
    </row>
    <row r="15712" spans="6:8">
      <c r="H15712" t="s">
        <v>35250</v>
      </c>
    </row>
    <row r="15713" spans="6:8">
      <c r="H15713" t="s">
        <v>35256</v>
      </c>
    </row>
    <row r="15714" spans="6:8">
      <c r="H15714" t="s">
        <v>35257</v>
      </c>
    </row>
    <row r="15715" spans="6:8">
      <c r="H15715" t="s">
        <v>35258</v>
      </c>
    </row>
    <row r="15716" spans="6:8">
      <c r="H15716" t="s">
        <v>35259</v>
      </c>
    </row>
    <row r="15717" spans="6:8">
      <c r="H15717" t="s">
        <v>35260</v>
      </c>
    </row>
    <row r="15718" spans="6:8">
      <c r="H15718" t="s">
        <v>35261</v>
      </c>
    </row>
    <row r="15719" spans="6:8">
      <c r="F15719" t="s">
        <v>14315</v>
      </c>
      <c r="G15719" t="s">
        <v>18272</v>
      </c>
      <c r="H15719" t="s">
        <v>35263</v>
      </c>
    </row>
    <row r="15720" spans="6:8">
      <c r="F15720" t="s">
        <v>10726</v>
      </c>
      <c r="G15720" t="s">
        <v>15125</v>
      </c>
      <c r="H15720" t="s">
        <v>35266</v>
      </c>
    </row>
    <row r="15721" spans="6:8">
      <c r="H15721" t="s">
        <v>35267</v>
      </c>
    </row>
    <row r="15722" spans="6:8">
      <c r="H15722" t="s">
        <v>35268</v>
      </c>
    </row>
    <row r="15723" spans="6:8">
      <c r="H15723" t="s">
        <v>35269</v>
      </c>
    </row>
    <row r="15724" spans="6:8">
      <c r="H15724" t="s">
        <v>35271</v>
      </c>
    </row>
    <row r="15725" spans="6:8">
      <c r="F15725" t="s">
        <v>11449</v>
      </c>
      <c r="G15725" t="s">
        <v>15689</v>
      </c>
      <c r="H15725" t="s">
        <v>31759</v>
      </c>
    </row>
    <row r="15726" spans="6:8">
      <c r="H15726" t="s">
        <v>35273</v>
      </c>
    </row>
    <row r="15727" spans="6:8">
      <c r="H15727" t="s">
        <v>35274</v>
      </c>
    </row>
    <row r="15728" spans="6:8">
      <c r="H15728" t="s">
        <v>35275</v>
      </c>
    </row>
    <row r="15729" spans="8:8">
      <c r="H15729" t="s">
        <v>35276</v>
      </c>
    </row>
    <row r="15730" spans="8:8">
      <c r="H15730" t="s">
        <v>35277</v>
      </c>
    </row>
    <row r="15731" spans="8:8">
      <c r="H15731" t="s">
        <v>35279</v>
      </c>
    </row>
    <row r="15732" spans="8:8">
      <c r="H15732" t="s">
        <v>35280</v>
      </c>
    </row>
    <row r="15733" spans="8:8">
      <c r="H15733" t="s">
        <v>35281</v>
      </c>
    </row>
    <row r="15734" spans="8:8">
      <c r="H15734" t="s">
        <v>35282</v>
      </c>
    </row>
    <row r="15735" spans="8:8">
      <c r="H15735" t="s">
        <v>35283</v>
      </c>
    </row>
    <row r="15736" spans="8:8">
      <c r="H15736" t="s">
        <v>35284</v>
      </c>
    </row>
    <row r="15737" spans="8:8">
      <c r="H15737" t="s">
        <v>35285</v>
      </c>
    </row>
    <row r="15738" spans="8:8">
      <c r="H15738" t="s">
        <v>35286</v>
      </c>
    </row>
    <row r="15739" spans="8:8">
      <c r="H15739" t="s">
        <v>35287</v>
      </c>
    </row>
    <row r="15740" spans="8:8">
      <c r="H15740" t="s">
        <v>35288</v>
      </c>
    </row>
    <row r="15741" spans="8:8">
      <c r="H15741" t="s">
        <v>35289</v>
      </c>
    </row>
    <row r="15742" spans="8:8">
      <c r="H15742" t="s">
        <v>35291</v>
      </c>
    </row>
    <row r="15743" spans="8:8">
      <c r="H15743" t="s">
        <v>35294</v>
      </c>
    </row>
    <row r="15744" spans="8:8">
      <c r="H15744" t="s">
        <v>35295</v>
      </c>
    </row>
    <row r="15745" spans="6:8">
      <c r="H15745" t="s">
        <v>35296</v>
      </c>
    </row>
    <row r="15746" spans="6:8">
      <c r="H15746" t="s">
        <v>35297</v>
      </c>
    </row>
    <row r="15747" spans="6:8">
      <c r="H15747" t="s">
        <v>35298</v>
      </c>
    </row>
    <row r="15748" spans="6:8">
      <c r="H15748" t="s">
        <v>35299</v>
      </c>
    </row>
    <row r="15749" spans="6:8">
      <c r="H15749" t="s">
        <v>35300</v>
      </c>
    </row>
    <row r="15750" spans="6:8">
      <c r="H15750" t="s">
        <v>35301</v>
      </c>
    </row>
    <row r="15751" spans="6:8">
      <c r="H15751" t="s">
        <v>35302</v>
      </c>
    </row>
    <row r="15752" spans="6:8">
      <c r="H15752" t="s">
        <v>35303</v>
      </c>
    </row>
    <row r="15753" spans="6:8">
      <c r="H15753" t="s">
        <v>35304</v>
      </c>
    </row>
    <row r="15754" spans="6:8">
      <c r="H15754" t="s">
        <v>35305</v>
      </c>
    </row>
    <row r="15755" spans="6:8">
      <c r="F15755" t="s">
        <v>14316</v>
      </c>
      <c r="G15755" t="s">
        <v>18273</v>
      </c>
      <c r="H15755" t="s">
        <v>35307</v>
      </c>
    </row>
    <row r="15756" spans="6:8">
      <c r="F15756" t="s">
        <v>14317</v>
      </c>
      <c r="G15756" t="s">
        <v>18274</v>
      </c>
      <c r="H15756" t="s">
        <v>35308</v>
      </c>
    </row>
    <row r="15757" spans="6:8">
      <c r="H15757" t="s">
        <v>35309</v>
      </c>
    </row>
    <row r="15758" spans="6:8">
      <c r="H15758" t="s">
        <v>35310</v>
      </c>
    </row>
    <row r="15759" spans="6:8">
      <c r="F15759" t="s">
        <v>14318</v>
      </c>
      <c r="G15759" t="s">
        <v>18275</v>
      </c>
      <c r="H15759" t="s">
        <v>35317</v>
      </c>
    </row>
    <row r="15760" spans="6:8">
      <c r="F15760" t="s">
        <v>14319</v>
      </c>
      <c r="G15760" t="s">
        <v>18276</v>
      </c>
      <c r="H15760" t="s">
        <v>18836</v>
      </c>
    </row>
    <row r="15761" spans="6:8">
      <c r="F15761" t="s">
        <v>14320</v>
      </c>
      <c r="G15761" t="s">
        <v>18277</v>
      </c>
      <c r="H15761" t="s">
        <v>30172</v>
      </c>
    </row>
    <row r="15762" spans="6:8">
      <c r="H15762" t="s">
        <v>35318</v>
      </c>
    </row>
    <row r="15763" spans="6:8">
      <c r="H15763" t="s">
        <v>35319</v>
      </c>
    </row>
    <row r="15764" spans="6:8">
      <c r="H15764" t="s">
        <v>35320</v>
      </c>
    </row>
    <row r="15765" spans="6:8">
      <c r="H15765" t="s">
        <v>35321</v>
      </c>
    </row>
    <row r="15766" spans="6:8">
      <c r="H15766" t="s">
        <v>35322</v>
      </c>
    </row>
    <row r="15767" spans="6:8">
      <c r="F15767" t="s">
        <v>14321</v>
      </c>
      <c r="G15767" t="s">
        <v>18278</v>
      </c>
      <c r="H15767" t="s">
        <v>35328</v>
      </c>
    </row>
    <row r="15768" spans="6:8">
      <c r="F15768" t="s">
        <v>14322</v>
      </c>
      <c r="G15768" t="s">
        <v>18279</v>
      </c>
      <c r="H15768" t="s">
        <v>22358</v>
      </c>
    </row>
    <row r="15769" spans="6:8">
      <c r="H15769" t="s">
        <v>35329</v>
      </c>
    </row>
    <row r="15770" spans="6:8">
      <c r="H15770" t="s">
        <v>35330</v>
      </c>
    </row>
    <row r="15771" spans="6:8">
      <c r="F15771" t="s">
        <v>14323</v>
      </c>
      <c r="G15771" t="s">
        <v>18280</v>
      </c>
      <c r="H15771" t="s">
        <v>35333</v>
      </c>
    </row>
    <row r="15772" spans="6:8">
      <c r="H15772" t="s">
        <v>29840</v>
      </c>
    </row>
    <row r="15773" spans="6:8">
      <c r="H15773" t="s">
        <v>35334</v>
      </c>
    </row>
    <row r="15774" spans="6:8">
      <c r="H15774" t="s">
        <v>35335</v>
      </c>
    </row>
    <row r="15775" spans="6:8">
      <c r="H15775" t="s">
        <v>19007</v>
      </c>
    </row>
    <row r="15776" spans="6:8">
      <c r="H15776" t="s">
        <v>35336</v>
      </c>
    </row>
    <row r="15777" spans="1:8">
      <c r="F15777" t="s">
        <v>14324</v>
      </c>
      <c r="G15777" t="s">
        <v>18281</v>
      </c>
      <c r="H15777" t="s">
        <v>35338</v>
      </c>
    </row>
    <row r="15778" spans="1:8">
      <c r="H15778" t="s">
        <v>35339</v>
      </c>
    </row>
    <row r="15779" spans="1:8">
      <c r="H15779" t="s">
        <v>35340</v>
      </c>
    </row>
    <row r="15780" spans="1:8">
      <c r="H15780" t="s">
        <v>35341</v>
      </c>
    </row>
    <row r="15781" spans="1:8">
      <c r="H15781" t="s">
        <v>35342</v>
      </c>
    </row>
    <row r="15782" spans="1:8">
      <c r="F15782" t="s">
        <v>14102</v>
      </c>
      <c r="G15782" t="s">
        <v>18095</v>
      </c>
      <c r="H15782" t="s">
        <v>35349</v>
      </c>
    </row>
    <row r="15783" spans="1:8">
      <c r="H15783" t="s">
        <v>35350</v>
      </c>
    </row>
    <row r="15784" spans="1:8">
      <c r="H15784" t="s">
        <v>35351</v>
      </c>
    </row>
    <row r="15785" spans="1:8">
      <c r="H15785" t="s">
        <v>35352</v>
      </c>
    </row>
    <row r="15786" spans="1:8">
      <c r="H15786" t="s">
        <v>35353</v>
      </c>
    </row>
    <row r="15787" spans="1:8">
      <c r="H15787" t="s">
        <v>35354</v>
      </c>
    </row>
    <row r="15788" spans="1:8">
      <c r="H15788" t="s">
        <v>35357</v>
      </c>
    </row>
    <row r="15789" spans="1:8">
      <c r="H15789" t="s">
        <v>35359</v>
      </c>
    </row>
    <row r="15790" spans="1:8">
      <c r="A15790" t="s">
        <v>3504</v>
      </c>
      <c r="B15790">
        <f>HYPERLINK("https://android.googlesource.com/platform/cts/+/11b7995d722e2365b1db426fadbeaac9e50d2f1e", "11b7995d722e2365b1db426fadbeaac9e50d2f1e")</f>
        <v>0</v>
      </c>
      <c r="C15790">
        <f>HYPERLINK("https://android.googlesource.com/platform/cts/+/ce5ac3c10780be2aab4f37342150eca46cc415d7", "ce5ac3c10780be2aab4f37342150eca46cc415d7")</f>
        <v>0</v>
      </c>
      <c r="D15790" t="s">
        <v>5485</v>
      </c>
      <c r="E15790" t="s">
        <v>9198</v>
      </c>
      <c r="F15790" t="s">
        <v>12617</v>
      </c>
      <c r="G15790" t="s">
        <v>15155</v>
      </c>
      <c r="H15790" t="s">
        <v>35360</v>
      </c>
    </row>
    <row r="15791" spans="1:8">
      <c r="A15791" t="s">
        <v>3505</v>
      </c>
      <c r="B15791">
        <f>HYPERLINK("https://android.googlesource.com/platform/cts/+/2bc5d17211e4bb9e9f60c08d3a82f7377c4080e5", "2bc5d17211e4bb9e9f60c08d3a82f7377c4080e5")</f>
        <v>0</v>
      </c>
      <c r="C15791">
        <f>HYPERLINK("https://android.googlesource.com/platform/cts/+/2cdb98fc16e2f854300adaa7a3b776a41ed40b77", "2cdb98fc16e2f854300adaa7a3b776a41ed40b77")</f>
        <v>0</v>
      </c>
      <c r="D15791" t="s">
        <v>5260</v>
      </c>
      <c r="E15791" t="s">
        <v>9199</v>
      </c>
      <c r="F15791" t="s">
        <v>14325</v>
      </c>
      <c r="G15791" t="s">
        <v>18282</v>
      </c>
      <c r="H15791" t="s">
        <v>35361</v>
      </c>
    </row>
    <row r="15792" spans="1:8">
      <c r="H15792" t="s">
        <v>35362</v>
      </c>
    </row>
    <row r="15793" spans="1:8">
      <c r="H15793" t="s">
        <v>35363</v>
      </c>
    </row>
    <row r="15794" spans="1:8">
      <c r="A15794" t="s">
        <v>3506</v>
      </c>
      <c r="B15794">
        <f>HYPERLINK("https://android.googlesource.com/platform/cts/+/5e5e6fab77295819ea83f742fba1a8ef5c147be8", "5e5e6fab77295819ea83f742fba1a8ef5c147be8")</f>
        <v>0</v>
      </c>
      <c r="C15794">
        <f>HYPERLINK("https://android.googlesource.com/platform/cts/+/c758cc645a3d0ff21ecdf8fcef5c43b8648e75ee", "c758cc645a3d0ff21ecdf8fcef5c43b8648e75ee")</f>
        <v>0</v>
      </c>
      <c r="D15794" t="s">
        <v>5576</v>
      </c>
      <c r="E15794" t="s">
        <v>9200</v>
      </c>
      <c r="F15794" t="s">
        <v>13857</v>
      </c>
      <c r="G15794" t="s">
        <v>17899</v>
      </c>
      <c r="H15794" t="s">
        <v>34807</v>
      </c>
    </row>
    <row r="15795" spans="1:8">
      <c r="H15795" t="s">
        <v>34808</v>
      </c>
    </row>
    <row r="15796" spans="1:8">
      <c r="H15796" t="s">
        <v>34809</v>
      </c>
    </row>
    <row r="15797" spans="1:8">
      <c r="H15797" t="s">
        <v>34810</v>
      </c>
    </row>
    <row r="15798" spans="1:8">
      <c r="H15798" t="s">
        <v>34811</v>
      </c>
    </row>
    <row r="15799" spans="1:8">
      <c r="H15799" t="s">
        <v>34812</v>
      </c>
    </row>
    <row r="15800" spans="1:8">
      <c r="F15800" t="s">
        <v>13976</v>
      </c>
      <c r="G15800" t="s">
        <v>18001</v>
      </c>
      <c r="H15800" t="s">
        <v>34814</v>
      </c>
    </row>
    <row r="15801" spans="1:8">
      <c r="H15801" t="s">
        <v>34815</v>
      </c>
    </row>
    <row r="15802" spans="1:8">
      <c r="H15802" t="s">
        <v>34816</v>
      </c>
    </row>
    <row r="15803" spans="1:8">
      <c r="H15803" t="s">
        <v>34817</v>
      </c>
    </row>
    <row r="15804" spans="1:8">
      <c r="H15804" t="s">
        <v>34818</v>
      </c>
    </row>
    <row r="15805" spans="1:8">
      <c r="H15805" t="s">
        <v>34819</v>
      </c>
    </row>
    <row r="15806" spans="1:8">
      <c r="H15806" t="s">
        <v>34820</v>
      </c>
    </row>
    <row r="15807" spans="1:8">
      <c r="H15807" t="s">
        <v>34821</v>
      </c>
    </row>
    <row r="15808" spans="1:8">
      <c r="H15808" t="s">
        <v>34822</v>
      </c>
    </row>
    <row r="15809" spans="6:8">
      <c r="F15809" t="s">
        <v>13977</v>
      </c>
      <c r="G15809" t="s">
        <v>18002</v>
      </c>
      <c r="H15809" t="s">
        <v>33907</v>
      </c>
    </row>
    <row r="15810" spans="6:8">
      <c r="H15810" t="s">
        <v>33908</v>
      </c>
    </row>
    <row r="15811" spans="6:8">
      <c r="F15811" t="s">
        <v>12416</v>
      </c>
      <c r="G15811" t="s">
        <v>16638</v>
      </c>
      <c r="H15811" t="s">
        <v>26751</v>
      </c>
    </row>
    <row r="15812" spans="6:8">
      <c r="H15812" t="s">
        <v>34852</v>
      </c>
    </row>
    <row r="15813" spans="6:8">
      <c r="H15813" t="s">
        <v>34853</v>
      </c>
    </row>
    <row r="15814" spans="6:8">
      <c r="H15814" t="s">
        <v>34854</v>
      </c>
    </row>
    <row r="15815" spans="6:8">
      <c r="H15815" t="s">
        <v>34855</v>
      </c>
    </row>
    <row r="15816" spans="6:8">
      <c r="H15816" t="s">
        <v>34856</v>
      </c>
    </row>
    <row r="15817" spans="6:8">
      <c r="H15817" t="s">
        <v>34857</v>
      </c>
    </row>
    <row r="15818" spans="6:8">
      <c r="H15818" t="s">
        <v>34858</v>
      </c>
    </row>
    <row r="15819" spans="6:8">
      <c r="H15819" t="s">
        <v>34859</v>
      </c>
    </row>
    <row r="15820" spans="6:8">
      <c r="H15820" t="s">
        <v>34860</v>
      </c>
    </row>
    <row r="15821" spans="6:8">
      <c r="H15821" t="s">
        <v>34861</v>
      </c>
    </row>
    <row r="15822" spans="6:8">
      <c r="H15822" t="s">
        <v>34862</v>
      </c>
    </row>
    <row r="15823" spans="6:8">
      <c r="H15823" t="s">
        <v>34863</v>
      </c>
    </row>
    <row r="15824" spans="6:8">
      <c r="H15824" t="s">
        <v>34864</v>
      </c>
    </row>
    <row r="15825" spans="6:8">
      <c r="F15825" t="s">
        <v>14304</v>
      </c>
      <c r="G15825" t="s">
        <v>18262</v>
      </c>
      <c r="H15825" t="s">
        <v>34873</v>
      </c>
    </row>
    <row r="15826" spans="6:8">
      <c r="H15826" t="s">
        <v>34874</v>
      </c>
    </row>
    <row r="15827" spans="6:8">
      <c r="H15827" t="s">
        <v>34875</v>
      </c>
    </row>
    <row r="15828" spans="6:8">
      <c r="H15828" t="s">
        <v>31037</v>
      </c>
    </row>
    <row r="15829" spans="6:8">
      <c r="F15829" t="s">
        <v>13941</v>
      </c>
      <c r="G15829" t="s">
        <v>17972</v>
      </c>
      <c r="H15829" t="s">
        <v>32340</v>
      </c>
    </row>
    <row r="15830" spans="6:8">
      <c r="H15830" t="s">
        <v>32342</v>
      </c>
    </row>
    <row r="15831" spans="6:8">
      <c r="H15831" t="s">
        <v>32341</v>
      </c>
    </row>
    <row r="15832" spans="6:8">
      <c r="F15832" t="s">
        <v>14305</v>
      </c>
      <c r="G15832" t="s">
        <v>18005</v>
      </c>
      <c r="H15832" t="s">
        <v>34876</v>
      </c>
    </row>
    <row r="15833" spans="6:8">
      <c r="F15833" t="s">
        <v>14234</v>
      </c>
      <c r="G15833" t="s">
        <v>18204</v>
      </c>
      <c r="H15833" t="s">
        <v>34880</v>
      </c>
    </row>
    <row r="15834" spans="6:8">
      <c r="H15834" t="s">
        <v>34881</v>
      </c>
    </row>
    <row r="15835" spans="6:8">
      <c r="H15835" t="s">
        <v>34884</v>
      </c>
    </row>
    <row r="15836" spans="6:8">
      <c r="H15836" t="s">
        <v>34885</v>
      </c>
    </row>
    <row r="15837" spans="6:8">
      <c r="H15837" t="s">
        <v>34886</v>
      </c>
    </row>
    <row r="15838" spans="6:8">
      <c r="H15838" t="s">
        <v>34887</v>
      </c>
    </row>
    <row r="15839" spans="6:8">
      <c r="H15839" t="s">
        <v>34888</v>
      </c>
    </row>
    <row r="15840" spans="6:8">
      <c r="H15840" t="s">
        <v>34889</v>
      </c>
    </row>
    <row r="15841" spans="6:8">
      <c r="H15841" t="s">
        <v>34890</v>
      </c>
    </row>
    <row r="15842" spans="6:8">
      <c r="H15842" t="s">
        <v>34892</v>
      </c>
    </row>
    <row r="15843" spans="6:8">
      <c r="H15843" t="s">
        <v>34893</v>
      </c>
    </row>
    <row r="15844" spans="6:8">
      <c r="F15844" t="s">
        <v>10700</v>
      </c>
      <c r="G15844" t="s">
        <v>15100</v>
      </c>
      <c r="H15844" t="s">
        <v>34906</v>
      </c>
    </row>
    <row r="15845" spans="6:8">
      <c r="H15845" t="s">
        <v>22508</v>
      </c>
    </row>
    <row r="15846" spans="6:8">
      <c r="H15846" t="s">
        <v>34907</v>
      </c>
    </row>
    <row r="15847" spans="6:8">
      <c r="H15847" t="s">
        <v>34908</v>
      </c>
    </row>
    <row r="15848" spans="6:8">
      <c r="H15848" t="s">
        <v>34909</v>
      </c>
    </row>
    <row r="15849" spans="6:8">
      <c r="H15849" t="s">
        <v>34910</v>
      </c>
    </row>
    <row r="15850" spans="6:8">
      <c r="H15850" t="s">
        <v>34911</v>
      </c>
    </row>
    <row r="15851" spans="6:8">
      <c r="H15851" t="s">
        <v>25838</v>
      </c>
    </row>
    <row r="15852" spans="6:8">
      <c r="H15852" t="s">
        <v>34920</v>
      </c>
    </row>
    <row r="15853" spans="6:8">
      <c r="H15853" t="s">
        <v>25839</v>
      </c>
    </row>
    <row r="15854" spans="6:8">
      <c r="H15854" t="s">
        <v>27479</v>
      </c>
    </row>
    <row r="15855" spans="6:8">
      <c r="H15855" t="s">
        <v>34922</v>
      </c>
    </row>
    <row r="15856" spans="6:8">
      <c r="H15856" t="s">
        <v>34923</v>
      </c>
    </row>
    <row r="15857" spans="6:8">
      <c r="H15857" t="s">
        <v>34924</v>
      </c>
    </row>
    <row r="15858" spans="6:8">
      <c r="H15858" t="s">
        <v>34925</v>
      </c>
    </row>
    <row r="15859" spans="6:8">
      <c r="H15859" t="s">
        <v>34927</v>
      </c>
    </row>
    <row r="15860" spans="6:8">
      <c r="H15860" t="s">
        <v>34935</v>
      </c>
    </row>
    <row r="15861" spans="6:8">
      <c r="H15861" t="s">
        <v>34950</v>
      </c>
    </row>
    <row r="15862" spans="6:8">
      <c r="H15862" t="s">
        <v>34951</v>
      </c>
    </row>
    <row r="15863" spans="6:8">
      <c r="H15863" t="s">
        <v>34952</v>
      </c>
    </row>
    <row r="15864" spans="6:8">
      <c r="H15864" t="s">
        <v>34957</v>
      </c>
    </row>
    <row r="15865" spans="6:8">
      <c r="H15865" t="s">
        <v>34958</v>
      </c>
    </row>
    <row r="15866" spans="6:8">
      <c r="H15866" t="s">
        <v>34960</v>
      </c>
    </row>
    <row r="15867" spans="6:8">
      <c r="H15867" t="s">
        <v>34961</v>
      </c>
    </row>
    <row r="15868" spans="6:8">
      <c r="F15868" t="s">
        <v>14306</v>
      </c>
      <c r="G15868" t="s">
        <v>18263</v>
      </c>
      <c r="H15868" t="s">
        <v>34967</v>
      </c>
    </row>
    <row r="15869" spans="6:8">
      <c r="F15869" t="s">
        <v>13837</v>
      </c>
      <c r="G15869" t="s">
        <v>17880</v>
      </c>
      <c r="H15869" t="s">
        <v>31852</v>
      </c>
    </row>
    <row r="15870" spans="6:8">
      <c r="H15870" t="s">
        <v>34980</v>
      </c>
    </row>
    <row r="15871" spans="6:8">
      <c r="H15871" t="s">
        <v>34981</v>
      </c>
    </row>
    <row r="15872" spans="6:8">
      <c r="H15872" t="s">
        <v>34982</v>
      </c>
    </row>
    <row r="15873" spans="8:8">
      <c r="H15873" t="s">
        <v>34983</v>
      </c>
    </row>
    <row r="15874" spans="8:8">
      <c r="H15874" t="s">
        <v>34984</v>
      </c>
    </row>
    <row r="15875" spans="8:8">
      <c r="H15875" t="s">
        <v>34985</v>
      </c>
    </row>
    <row r="15876" spans="8:8">
      <c r="H15876" t="s">
        <v>34986</v>
      </c>
    </row>
    <row r="15877" spans="8:8">
      <c r="H15877" t="s">
        <v>34987</v>
      </c>
    </row>
    <row r="15878" spans="8:8">
      <c r="H15878" t="s">
        <v>34988</v>
      </c>
    </row>
    <row r="15879" spans="8:8">
      <c r="H15879" t="s">
        <v>34994</v>
      </c>
    </row>
    <row r="15880" spans="8:8">
      <c r="H15880" t="s">
        <v>34995</v>
      </c>
    </row>
    <row r="15881" spans="8:8">
      <c r="H15881" t="s">
        <v>34996</v>
      </c>
    </row>
    <row r="15882" spans="8:8">
      <c r="H15882" t="s">
        <v>35002</v>
      </c>
    </row>
    <row r="15883" spans="8:8">
      <c r="H15883" t="s">
        <v>35003</v>
      </c>
    </row>
    <row r="15884" spans="8:8">
      <c r="H15884" t="s">
        <v>35004</v>
      </c>
    </row>
    <row r="15885" spans="8:8">
      <c r="H15885" t="s">
        <v>35005</v>
      </c>
    </row>
    <row r="15886" spans="8:8">
      <c r="H15886" t="s">
        <v>35006</v>
      </c>
    </row>
    <row r="15887" spans="8:8">
      <c r="H15887" t="s">
        <v>35007</v>
      </c>
    </row>
    <row r="15888" spans="8:8">
      <c r="H15888" t="s">
        <v>35008</v>
      </c>
    </row>
    <row r="15889" spans="6:8">
      <c r="H15889" t="s">
        <v>35009</v>
      </c>
    </row>
    <row r="15890" spans="6:8">
      <c r="H15890" t="s">
        <v>35011</v>
      </c>
    </row>
    <row r="15891" spans="6:8">
      <c r="H15891" t="s">
        <v>35014</v>
      </c>
    </row>
    <row r="15892" spans="6:8">
      <c r="F15892" t="s">
        <v>12201</v>
      </c>
      <c r="G15892" t="s">
        <v>16439</v>
      </c>
      <c r="H15892" t="s">
        <v>21327</v>
      </c>
    </row>
    <row r="15893" spans="6:8">
      <c r="F15893" t="s">
        <v>14222</v>
      </c>
      <c r="G15893" t="s">
        <v>18195</v>
      </c>
      <c r="H15893" t="s">
        <v>35024</v>
      </c>
    </row>
    <row r="15894" spans="6:8">
      <c r="H15894" t="s">
        <v>35025</v>
      </c>
    </row>
    <row r="15895" spans="6:8">
      <c r="H15895" t="s">
        <v>35026</v>
      </c>
    </row>
    <row r="15896" spans="6:8">
      <c r="H15896" t="s">
        <v>35028</v>
      </c>
    </row>
    <row r="15897" spans="6:8">
      <c r="H15897" t="s">
        <v>35029</v>
      </c>
    </row>
    <row r="15898" spans="6:8">
      <c r="H15898" t="s">
        <v>35030</v>
      </c>
    </row>
    <row r="15899" spans="6:8">
      <c r="H15899" t="s">
        <v>35031</v>
      </c>
    </row>
    <row r="15900" spans="6:8">
      <c r="H15900" t="s">
        <v>35032</v>
      </c>
    </row>
    <row r="15901" spans="6:8">
      <c r="H15901" t="s">
        <v>35033</v>
      </c>
    </row>
    <row r="15902" spans="6:8">
      <c r="H15902" t="s">
        <v>35036</v>
      </c>
    </row>
    <row r="15903" spans="6:8">
      <c r="H15903" t="s">
        <v>35037</v>
      </c>
    </row>
    <row r="15904" spans="6:8">
      <c r="F15904" t="s">
        <v>14307</v>
      </c>
      <c r="G15904" t="s">
        <v>18264</v>
      </c>
      <c r="H15904" t="s">
        <v>35042</v>
      </c>
    </row>
    <row r="15905" spans="6:8">
      <c r="H15905" t="s">
        <v>35043</v>
      </c>
    </row>
    <row r="15906" spans="6:8">
      <c r="H15906" t="s">
        <v>35044</v>
      </c>
    </row>
    <row r="15907" spans="6:8">
      <c r="H15907" t="s">
        <v>35045</v>
      </c>
    </row>
    <row r="15908" spans="6:8">
      <c r="H15908" t="s">
        <v>35046</v>
      </c>
    </row>
    <row r="15909" spans="6:8">
      <c r="H15909" t="s">
        <v>35047</v>
      </c>
    </row>
    <row r="15910" spans="6:8">
      <c r="F15910" t="s">
        <v>14159</v>
      </c>
      <c r="G15910" t="s">
        <v>18145</v>
      </c>
      <c r="H15910" t="s">
        <v>18836</v>
      </c>
    </row>
    <row r="15911" spans="6:8">
      <c r="H15911" t="s">
        <v>35050</v>
      </c>
    </row>
    <row r="15912" spans="6:8">
      <c r="F15912" t="s">
        <v>14308</v>
      </c>
      <c r="G15912" t="s">
        <v>18265</v>
      </c>
      <c r="H15912" t="s">
        <v>35070</v>
      </c>
    </row>
    <row r="15913" spans="6:8">
      <c r="H15913" t="s">
        <v>35071</v>
      </c>
    </row>
    <row r="15914" spans="6:8">
      <c r="H15914" t="s">
        <v>35072</v>
      </c>
    </row>
    <row r="15915" spans="6:8">
      <c r="H15915" t="s">
        <v>35073</v>
      </c>
    </row>
    <row r="15916" spans="6:8">
      <c r="H15916" t="s">
        <v>35074</v>
      </c>
    </row>
    <row r="15917" spans="6:8">
      <c r="H15917" t="s">
        <v>35075</v>
      </c>
    </row>
    <row r="15918" spans="6:8">
      <c r="F15918" t="s">
        <v>13309</v>
      </c>
      <c r="G15918" t="s">
        <v>17442</v>
      </c>
      <c r="H15918" t="s">
        <v>29102</v>
      </c>
    </row>
    <row r="15919" spans="6:8">
      <c r="H15919" t="s">
        <v>29103</v>
      </c>
    </row>
    <row r="15920" spans="6:8">
      <c r="H15920" t="s">
        <v>35091</v>
      </c>
    </row>
    <row r="15921" spans="8:8">
      <c r="H15921" t="s">
        <v>35092</v>
      </c>
    </row>
    <row r="15922" spans="8:8">
      <c r="H15922" t="s">
        <v>35093</v>
      </c>
    </row>
    <row r="15923" spans="8:8">
      <c r="H15923" t="s">
        <v>35094</v>
      </c>
    </row>
    <row r="15924" spans="8:8">
      <c r="H15924" t="s">
        <v>35095</v>
      </c>
    </row>
    <row r="15925" spans="8:8">
      <c r="H15925" t="s">
        <v>35096</v>
      </c>
    </row>
    <row r="15926" spans="8:8">
      <c r="H15926" t="s">
        <v>35097</v>
      </c>
    </row>
    <row r="15927" spans="8:8">
      <c r="H15927" t="s">
        <v>35098</v>
      </c>
    </row>
    <row r="15928" spans="8:8">
      <c r="H15928" t="s">
        <v>35099</v>
      </c>
    </row>
    <row r="15929" spans="8:8">
      <c r="H15929" t="s">
        <v>35100</v>
      </c>
    </row>
    <row r="15930" spans="8:8">
      <c r="H15930" t="s">
        <v>35101</v>
      </c>
    </row>
    <row r="15931" spans="8:8">
      <c r="H15931" t="s">
        <v>35102</v>
      </c>
    </row>
    <row r="15932" spans="8:8">
      <c r="H15932" t="s">
        <v>35103</v>
      </c>
    </row>
    <row r="15933" spans="8:8">
      <c r="H15933" t="s">
        <v>35104</v>
      </c>
    </row>
    <row r="15934" spans="8:8">
      <c r="H15934" t="s">
        <v>35105</v>
      </c>
    </row>
    <row r="15935" spans="8:8">
      <c r="H15935" t="s">
        <v>35106</v>
      </c>
    </row>
    <row r="15936" spans="8:8">
      <c r="H15936" t="s">
        <v>35107</v>
      </c>
    </row>
    <row r="15937" spans="8:8">
      <c r="H15937" t="s">
        <v>35108</v>
      </c>
    </row>
    <row r="15938" spans="8:8">
      <c r="H15938" t="s">
        <v>35109</v>
      </c>
    </row>
    <row r="15939" spans="8:8">
      <c r="H15939" t="s">
        <v>35110</v>
      </c>
    </row>
    <row r="15940" spans="8:8">
      <c r="H15940" t="s">
        <v>35111</v>
      </c>
    </row>
    <row r="15941" spans="8:8">
      <c r="H15941" t="s">
        <v>35112</v>
      </c>
    </row>
    <row r="15942" spans="8:8">
      <c r="H15942" t="s">
        <v>35113</v>
      </c>
    </row>
    <row r="15943" spans="8:8">
      <c r="H15943" t="s">
        <v>35114</v>
      </c>
    </row>
    <row r="15944" spans="8:8">
      <c r="H15944" t="s">
        <v>35115</v>
      </c>
    </row>
    <row r="15945" spans="8:8">
      <c r="H15945" t="s">
        <v>35116</v>
      </c>
    </row>
    <row r="15946" spans="8:8">
      <c r="H15946" t="s">
        <v>35117</v>
      </c>
    </row>
    <row r="15947" spans="8:8">
      <c r="H15947" t="s">
        <v>35118</v>
      </c>
    </row>
    <row r="15948" spans="8:8">
      <c r="H15948" t="s">
        <v>35119</v>
      </c>
    </row>
    <row r="15949" spans="8:8">
      <c r="H15949" t="s">
        <v>35120</v>
      </c>
    </row>
    <row r="15950" spans="8:8">
      <c r="H15950" t="s">
        <v>35121</v>
      </c>
    </row>
    <row r="15951" spans="8:8">
      <c r="H15951" t="s">
        <v>35122</v>
      </c>
    </row>
    <row r="15952" spans="8:8">
      <c r="H15952" t="s">
        <v>35123</v>
      </c>
    </row>
    <row r="15953" spans="8:8">
      <c r="H15953" t="s">
        <v>35124</v>
      </c>
    </row>
    <row r="15954" spans="8:8">
      <c r="H15954" t="s">
        <v>35125</v>
      </c>
    </row>
    <row r="15955" spans="8:8">
      <c r="H15955" t="s">
        <v>35126</v>
      </c>
    </row>
    <row r="15956" spans="8:8">
      <c r="H15956" t="s">
        <v>35127</v>
      </c>
    </row>
    <row r="15957" spans="8:8">
      <c r="H15957" t="s">
        <v>35128</v>
      </c>
    </row>
    <row r="15958" spans="8:8">
      <c r="H15958" t="s">
        <v>35129</v>
      </c>
    </row>
    <row r="15959" spans="8:8">
      <c r="H15959" t="s">
        <v>35130</v>
      </c>
    </row>
    <row r="15960" spans="8:8">
      <c r="H15960" t="s">
        <v>35131</v>
      </c>
    </row>
    <row r="15961" spans="8:8">
      <c r="H15961" t="s">
        <v>35132</v>
      </c>
    </row>
    <row r="15962" spans="8:8">
      <c r="H15962" t="s">
        <v>35133</v>
      </c>
    </row>
    <row r="15963" spans="8:8">
      <c r="H15963" t="s">
        <v>35134</v>
      </c>
    </row>
    <row r="15964" spans="8:8">
      <c r="H15964" t="s">
        <v>35135</v>
      </c>
    </row>
    <row r="15965" spans="8:8">
      <c r="H15965" t="s">
        <v>35136</v>
      </c>
    </row>
    <row r="15966" spans="8:8">
      <c r="H15966" t="s">
        <v>35137</v>
      </c>
    </row>
    <row r="15967" spans="8:8">
      <c r="H15967" t="s">
        <v>35138</v>
      </c>
    </row>
    <row r="15968" spans="8:8">
      <c r="H15968" t="s">
        <v>35139</v>
      </c>
    </row>
    <row r="15969" spans="8:8">
      <c r="H15969" t="s">
        <v>35140</v>
      </c>
    </row>
    <row r="15970" spans="8:8">
      <c r="H15970" t="s">
        <v>35141</v>
      </c>
    </row>
    <row r="15971" spans="8:8">
      <c r="H15971" t="s">
        <v>35142</v>
      </c>
    </row>
    <row r="15972" spans="8:8">
      <c r="H15972" t="s">
        <v>35143</v>
      </c>
    </row>
    <row r="15973" spans="8:8">
      <c r="H15973" t="s">
        <v>35144</v>
      </c>
    </row>
    <row r="15974" spans="8:8">
      <c r="H15974" t="s">
        <v>35145</v>
      </c>
    </row>
    <row r="15975" spans="8:8">
      <c r="H15975" t="s">
        <v>35146</v>
      </c>
    </row>
    <row r="15976" spans="8:8">
      <c r="H15976" t="s">
        <v>35147</v>
      </c>
    </row>
    <row r="15977" spans="8:8">
      <c r="H15977" t="s">
        <v>35148</v>
      </c>
    </row>
    <row r="15978" spans="8:8">
      <c r="H15978" t="s">
        <v>35149</v>
      </c>
    </row>
    <row r="15979" spans="8:8">
      <c r="H15979" t="s">
        <v>35150</v>
      </c>
    </row>
    <row r="15980" spans="8:8">
      <c r="H15980" t="s">
        <v>35151</v>
      </c>
    </row>
    <row r="15981" spans="8:8">
      <c r="H15981" t="s">
        <v>35152</v>
      </c>
    </row>
    <row r="15982" spans="8:8">
      <c r="H15982" t="s">
        <v>35153</v>
      </c>
    </row>
    <row r="15983" spans="8:8">
      <c r="H15983" t="s">
        <v>35154</v>
      </c>
    </row>
    <row r="15984" spans="8:8">
      <c r="H15984" t="s">
        <v>35155</v>
      </c>
    </row>
    <row r="15985" spans="6:8">
      <c r="H15985" t="s">
        <v>35156</v>
      </c>
    </row>
    <row r="15986" spans="6:8">
      <c r="F15986" t="s">
        <v>13928</v>
      </c>
      <c r="G15986" t="s">
        <v>17964</v>
      </c>
      <c r="H15986" t="s">
        <v>35159</v>
      </c>
    </row>
    <row r="15987" spans="6:8">
      <c r="H15987" t="s">
        <v>35160</v>
      </c>
    </row>
    <row r="15988" spans="6:8">
      <c r="H15988" t="s">
        <v>35175</v>
      </c>
    </row>
    <row r="15989" spans="6:8">
      <c r="H15989" t="s">
        <v>35176</v>
      </c>
    </row>
    <row r="15990" spans="6:8">
      <c r="H15990" t="s">
        <v>35177</v>
      </c>
    </row>
    <row r="15991" spans="6:8">
      <c r="H15991" t="s">
        <v>35178</v>
      </c>
    </row>
    <row r="15992" spans="6:8">
      <c r="H15992" t="s">
        <v>35179</v>
      </c>
    </row>
    <row r="15993" spans="6:8">
      <c r="H15993" t="s">
        <v>35180</v>
      </c>
    </row>
    <row r="15994" spans="6:8">
      <c r="H15994" t="s">
        <v>35181</v>
      </c>
    </row>
    <row r="15995" spans="6:8">
      <c r="H15995" t="s">
        <v>35182</v>
      </c>
    </row>
    <row r="15996" spans="6:8">
      <c r="H15996" t="s">
        <v>35183</v>
      </c>
    </row>
    <row r="15997" spans="6:8">
      <c r="H15997" t="s">
        <v>35184</v>
      </c>
    </row>
    <row r="15998" spans="6:8">
      <c r="H15998" t="s">
        <v>35185</v>
      </c>
    </row>
    <row r="15999" spans="6:8">
      <c r="H15999" t="s">
        <v>35186</v>
      </c>
    </row>
    <row r="16000" spans="6:8">
      <c r="H16000" t="s">
        <v>35187</v>
      </c>
    </row>
    <row r="16001" spans="6:8">
      <c r="H16001" t="s">
        <v>35188</v>
      </c>
    </row>
    <row r="16002" spans="6:8">
      <c r="H16002" t="s">
        <v>35189</v>
      </c>
    </row>
    <row r="16003" spans="6:8">
      <c r="H16003" t="s">
        <v>35190</v>
      </c>
    </row>
    <row r="16004" spans="6:8">
      <c r="H16004" t="s">
        <v>35191</v>
      </c>
    </row>
    <row r="16005" spans="6:8">
      <c r="H16005" t="s">
        <v>35192</v>
      </c>
    </row>
    <row r="16006" spans="6:8">
      <c r="H16006" t="s">
        <v>35193</v>
      </c>
    </row>
    <row r="16007" spans="6:8">
      <c r="H16007" t="s">
        <v>35194</v>
      </c>
    </row>
    <row r="16008" spans="6:8">
      <c r="H16008" t="s">
        <v>35195</v>
      </c>
    </row>
    <row r="16009" spans="6:8">
      <c r="H16009" t="s">
        <v>35196</v>
      </c>
    </row>
    <row r="16010" spans="6:8">
      <c r="H16010" t="s">
        <v>35197</v>
      </c>
    </row>
    <row r="16011" spans="6:8">
      <c r="H16011" t="s">
        <v>35198</v>
      </c>
    </row>
    <row r="16012" spans="6:8">
      <c r="F16012" t="s">
        <v>12740</v>
      </c>
      <c r="G16012" t="s">
        <v>16932</v>
      </c>
      <c r="H16012" t="s">
        <v>35199</v>
      </c>
    </row>
    <row r="16013" spans="6:8">
      <c r="F16013" t="s">
        <v>10615</v>
      </c>
      <c r="G16013" t="s">
        <v>15018</v>
      </c>
      <c r="H16013" t="s">
        <v>35200</v>
      </c>
    </row>
    <row r="16014" spans="6:8">
      <c r="F16014" t="s">
        <v>10616</v>
      </c>
      <c r="G16014" t="s">
        <v>15019</v>
      </c>
      <c r="H16014" t="s">
        <v>19183</v>
      </c>
    </row>
    <row r="16015" spans="6:8">
      <c r="H16015" t="s">
        <v>19184</v>
      </c>
    </row>
    <row r="16016" spans="6:8">
      <c r="F16016" t="s">
        <v>13133</v>
      </c>
      <c r="G16016" t="s">
        <v>17291</v>
      </c>
      <c r="H16016" t="s">
        <v>35201</v>
      </c>
    </row>
    <row r="16017" spans="6:8">
      <c r="H16017" t="s">
        <v>25716</v>
      </c>
    </row>
    <row r="16018" spans="6:8">
      <c r="H16018" t="s">
        <v>28041</v>
      </c>
    </row>
    <row r="16019" spans="6:8">
      <c r="H16019" t="s">
        <v>28042</v>
      </c>
    </row>
    <row r="16020" spans="6:8">
      <c r="H16020" t="s">
        <v>35202</v>
      </c>
    </row>
    <row r="16021" spans="6:8">
      <c r="H16021" t="s">
        <v>35203</v>
      </c>
    </row>
    <row r="16022" spans="6:8">
      <c r="H16022" t="s">
        <v>35204</v>
      </c>
    </row>
    <row r="16023" spans="6:8">
      <c r="F16023" t="s">
        <v>14309</v>
      </c>
      <c r="G16023" t="s">
        <v>18266</v>
      </c>
      <c r="H16023" t="s">
        <v>35211</v>
      </c>
    </row>
    <row r="16024" spans="6:8">
      <c r="H16024" t="s">
        <v>35212</v>
      </c>
    </row>
    <row r="16025" spans="6:8">
      <c r="H16025" t="s">
        <v>35213</v>
      </c>
    </row>
    <row r="16026" spans="6:8">
      <c r="H16026" t="s">
        <v>35214</v>
      </c>
    </row>
    <row r="16027" spans="6:8">
      <c r="H16027" t="s">
        <v>35215</v>
      </c>
    </row>
    <row r="16028" spans="6:8">
      <c r="F16028" t="s">
        <v>14310</v>
      </c>
      <c r="G16028" t="s">
        <v>18267</v>
      </c>
      <c r="H16028" t="s">
        <v>35216</v>
      </c>
    </row>
    <row r="16029" spans="6:8">
      <c r="F16029" t="s">
        <v>14210</v>
      </c>
      <c r="G16029" t="s">
        <v>18186</v>
      </c>
      <c r="H16029" t="s">
        <v>35217</v>
      </c>
    </row>
    <row r="16030" spans="6:8">
      <c r="H16030" t="s">
        <v>35218</v>
      </c>
    </row>
    <row r="16031" spans="6:8">
      <c r="H16031" t="s">
        <v>35219</v>
      </c>
    </row>
    <row r="16032" spans="6:8">
      <c r="H16032" t="s">
        <v>35220</v>
      </c>
    </row>
    <row r="16033" spans="6:8">
      <c r="H16033" t="s">
        <v>35221</v>
      </c>
    </row>
    <row r="16034" spans="6:8">
      <c r="H16034" t="s">
        <v>35222</v>
      </c>
    </row>
    <row r="16035" spans="6:8">
      <c r="H16035" t="s">
        <v>35223</v>
      </c>
    </row>
    <row r="16036" spans="6:8">
      <c r="H16036" t="s">
        <v>35224</v>
      </c>
    </row>
    <row r="16037" spans="6:8">
      <c r="F16037" t="s">
        <v>10617</v>
      </c>
      <c r="G16037" t="s">
        <v>15020</v>
      </c>
      <c r="H16037" t="s">
        <v>19183</v>
      </c>
    </row>
    <row r="16038" spans="6:8">
      <c r="H16038" t="s">
        <v>19184</v>
      </c>
    </row>
    <row r="16039" spans="6:8">
      <c r="F16039" t="s">
        <v>10618</v>
      </c>
      <c r="G16039" t="s">
        <v>15021</v>
      </c>
      <c r="H16039" t="s">
        <v>19183</v>
      </c>
    </row>
    <row r="16040" spans="6:8">
      <c r="H16040" t="s">
        <v>19184</v>
      </c>
    </row>
    <row r="16041" spans="6:8">
      <c r="F16041" t="s">
        <v>13556</v>
      </c>
      <c r="G16041" t="s">
        <v>17663</v>
      </c>
      <c r="H16041" t="s">
        <v>35227</v>
      </c>
    </row>
    <row r="16042" spans="6:8">
      <c r="H16042" t="s">
        <v>35228</v>
      </c>
    </row>
    <row r="16043" spans="6:8">
      <c r="H16043" t="s">
        <v>35230</v>
      </c>
    </row>
    <row r="16044" spans="6:8">
      <c r="H16044" t="s">
        <v>35231</v>
      </c>
    </row>
    <row r="16045" spans="6:8">
      <c r="H16045" t="s">
        <v>35232</v>
      </c>
    </row>
    <row r="16046" spans="6:8">
      <c r="H16046" t="s">
        <v>35233</v>
      </c>
    </row>
    <row r="16047" spans="6:8">
      <c r="H16047" t="s">
        <v>35234</v>
      </c>
    </row>
    <row r="16048" spans="6:8">
      <c r="H16048" t="s">
        <v>35236</v>
      </c>
    </row>
    <row r="16049" spans="6:8">
      <c r="F16049" t="s">
        <v>14311</v>
      </c>
      <c r="G16049" t="s">
        <v>18268</v>
      </c>
      <c r="H16049" t="s">
        <v>35239</v>
      </c>
    </row>
    <row r="16050" spans="6:8">
      <c r="F16050" t="s">
        <v>14312</v>
      </c>
      <c r="G16050" t="s">
        <v>18269</v>
      </c>
      <c r="H16050" t="s">
        <v>35241</v>
      </c>
    </row>
    <row r="16051" spans="6:8">
      <c r="F16051" t="s">
        <v>14313</v>
      </c>
      <c r="G16051" t="s">
        <v>18270</v>
      </c>
      <c r="H16051" t="s">
        <v>18836</v>
      </c>
    </row>
    <row r="16052" spans="6:8">
      <c r="H16052" t="s">
        <v>35247</v>
      </c>
    </row>
    <row r="16053" spans="6:8">
      <c r="H16053" t="s">
        <v>35248</v>
      </c>
    </row>
    <row r="16054" spans="6:8">
      <c r="H16054" t="s">
        <v>35249</v>
      </c>
    </row>
    <row r="16055" spans="6:8">
      <c r="F16055" t="s">
        <v>10600</v>
      </c>
      <c r="G16055" t="s">
        <v>15003</v>
      </c>
      <c r="H16055" t="s">
        <v>18836</v>
      </c>
    </row>
    <row r="16056" spans="6:8">
      <c r="H16056" t="s">
        <v>35250</v>
      </c>
    </row>
    <row r="16057" spans="6:8">
      <c r="F16057" t="s">
        <v>14314</v>
      </c>
      <c r="G16057" t="s">
        <v>18271</v>
      </c>
      <c r="H16057" t="s">
        <v>35251</v>
      </c>
    </row>
    <row r="16058" spans="6:8">
      <c r="H16058" t="s">
        <v>35252</v>
      </c>
    </row>
    <row r="16059" spans="6:8">
      <c r="H16059" t="s">
        <v>35253</v>
      </c>
    </row>
    <row r="16060" spans="6:8">
      <c r="F16060" t="s">
        <v>13960</v>
      </c>
      <c r="G16060" t="s">
        <v>17986</v>
      </c>
      <c r="H16060" t="s">
        <v>35255</v>
      </c>
    </row>
    <row r="16061" spans="6:8">
      <c r="H16061" t="s">
        <v>35250</v>
      </c>
    </row>
    <row r="16062" spans="6:8">
      <c r="H16062" t="s">
        <v>35256</v>
      </c>
    </row>
    <row r="16063" spans="6:8">
      <c r="H16063" t="s">
        <v>35257</v>
      </c>
    </row>
    <row r="16064" spans="6:8">
      <c r="H16064" t="s">
        <v>35258</v>
      </c>
    </row>
    <row r="16065" spans="6:8">
      <c r="H16065" t="s">
        <v>35259</v>
      </c>
    </row>
    <row r="16066" spans="6:8">
      <c r="H16066" t="s">
        <v>35260</v>
      </c>
    </row>
    <row r="16067" spans="6:8">
      <c r="H16067" t="s">
        <v>35261</v>
      </c>
    </row>
    <row r="16068" spans="6:8">
      <c r="F16068" t="s">
        <v>14315</v>
      </c>
      <c r="G16068" t="s">
        <v>18272</v>
      </c>
      <c r="H16068" t="s">
        <v>35263</v>
      </c>
    </row>
    <row r="16069" spans="6:8">
      <c r="F16069" t="s">
        <v>10726</v>
      </c>
      <c r="G16069" t="s">
        <v>15125</v>
      </c>
      <c r="H16069" t="s">
        <v>35266</v>
      </c>
    </row>
    <row r="16070" spans="6:8">
      <c r="H16070" t="s">
        <v>35267</v>
      </c>
    </row>
    <row r="16071" spans="6:8">
      <c r="H16071" t="s">
        <v>35268</v>
      </c>
    </row>
    <row r="16072" spans="6:8">
      <c r="H16072" t="s">
        <v>35269</v>
      </c>
    </row>
    <row r="16073" spans="6:8">
      <c r="H16073" t="s">
        <v>35271</v>
      </c>
    </row>
    <row r="16074" spans="6:8">
      <c r="F16074" t="s">
        <v>11449</v>
      </c>
      <c r="G16074" t="s">
        <v>15689</v>
      </c>
      <c r="H16074" t="s">
        <v>31759</v>
      </c>
    </row>
    <row r="16075" spans="6:8">
      <c r="H16075" t="s">
        <v>35273</v>
      </c>
    </row>
    <row r="16076" spans="6:8">
      <c r="H16076" t="s">
        <v>35274</v>
      </c>
    </row>
    <row r="16077" spans="6:8">
      <c r="H16077" t="s">
        <v>35275</v>
      </c>
    </row>
    <row r="16078" spans="6:8">
      <c r="H16078" t="s">
        <v>35276</v>
      </c>
    </row>
    <row r="16079" spans="6:8">
      <c r="H16079" t="s">
        <v>35277</v>
      </c>
    </row>
    <row r="16080" spans="6:8">
      <c r="H16080" t="s">
        <v>35279</v>
      </c>
    </row>
    <row r="16081" spans="8:8">
      <c r="H16081" t="s">
        <v>35280</v>
      </c>
    </row>
    <row r="16082" spans="8:8">
      <c r="H16082" t="s">
        <v>35281</v>
      </c>
    </row>
    <row r="16083" spans="8:8">
      <c r="H16083" t="s">
        <v>35282</v>
      </c>
    </row>
    <row r="16084" spans="8:8">
      <c r="H16084" t="s">
        <v>35283</v>
      </c>
    </row>
    <row r="16085" spans="8:8">
      <c r="H16085" t="s">
        <v>35284</v>
      </c>
    </row>
    <row r="16086" spans="8:8">
      <c r="H16086" t="s">
        <v>35285</v>
      </c>
    </row>
    <row r="16087" spans="8:8">
      <c r="H16087" t="s">
        <v>35286</v>
      </c>
    </row>
    <row r="16088" spans="8:8">
      <c r="H16088" t="s">
        <v>35287</v>
      </c>
    </row>
    <row r="16089" spans="8:8">
      <c r="H16089" t="s">
        <v>35288</v>
      </c>
    </row>
    <row r="16090" spans="8:8">
      <c r="H16090" t="s">
        <v>35289</v>
      </c>
    </row>
    <row r="16091" spans="8:8">
      <c r="H16091" t="s">
        <v>35291</v>
      </c>
    </row>
    <row r="16092" spans="8:8">
      <c r="H16092" t="s">
        <v>35294</v>
      </c>
    </row>
    <row r="16093" spans="8:8">
      <c r="H16093" t="s">
        <v>35295</v>
      </c>
    </row>
    <row r="16094" spans="8:8">
      <c r="H16094" t="s">
        <v>35296</v>
      </c>
    </row>
    <row r="16095" spans="8:8">
      <c r="H16095" t="s">
        <v>35297</v>
      </c>
    </row>
    <row r="16096" spans="8:8">
      <c r="H16096" t="s">
        <v>35298</v>
      </c>
    </row>
    <row r="16097" spans="6:8">
      <c r="H16097" t="s">
        <v>35299</v>
      </c>
    </row>
    <row r="16098" spans="6:8">
      <c r="H16098" t="s">
        <v>35300</v>
      </c>
    </row>
    <row r="16099" spans="6:8">
      <c r="H16099" t="s">
        <v>35301</v>
      </c>
    </row>
    <row r="16100" spans="6:8">
      <c r="H16100" t="s">
        <v>35302</v>
      </c>
    </row>
    <row r="16101" spans="6:8">
      <c r="H16101" t="s">
        <v>35303</v>
      </c>
    </row>
    <row r="16102" spans="6:8">
      <c r="H16102" t="s">
        <v>35304</v>
      </c>
    </row>
    <row r="16103" spans="6:8">
      <c r="H16103" t="s">
        <v>35305</v>
      </c>
    </row>
    <row r="16104" spans="6:8">
      <c r="F16104" t="s">
        <v>14316</v>
      </c>
      <c r="G16104" t="s">
        <v>18273</v>
      </c>
      <c r="H16104" t="s">
        <v>35307</v>
      </c>
    </row>
    <row r="16105" spans="6:8">
      <c r="F16105" t="s">
        <v>14317</v>
      </c>
      <c r="G16105" t="s">
        <v>18274</v>
      </c>
      <c r="H16105" t="s">
        <v>35308</v>
      </c>
    </row>
    <row r="16106" spans="6:8">
      <c r="H16106" t="s">
        <v>35309</v>
      </c>
    </row>
    <row r="16107" spans="6:8">
      <c r="H16107" t="s">
        <v>35310</v>
      </c>
    </row>
    <row r="16108" spans="6:8">
      <c r="F16108" t="s">
        <v>14318</v>
      </c>
      <c r="G16108" t="s">
        <v>18275</v>
      </c>
      <c r="H16108" t="s">
        <v>35317</v>
      </c>
    </row>
    <row r="16109" spans="6:8">
      <c r="F16109" t="s">
        <v>14319</v>
      </c>
      <c r="G16109" t="s">
        <v>18276</v>
      </c>
      <c r="H16109" t="s">
        <v>18836</v>
      </c>
    </row>
    <row r="16110" spans="6:8">
      <c r="F16110" t="s">
        <v>14320</v>
      </c>
      <c r="G16110" t="s">
        <v>18277</v>
      </c>
      <c r="H16110" t="s">
        <v>30172</v>
      </c>
    </row>
    <row r="16111" spans="6:8">
      <c r="H16111" t="s">
        <v>35318</v>
      </c>
    </row>
    <row r="16112" spans="6:8">
      <c r="H16112" t="s">
        <v>35319</v>
      </c>
    </row>
    <row r="16113" spans="6:8">
      <c r="H16113" t="s">
        <v>35320</v>
      </c>
    </row>
    <row r="16114" spans="6:8">
      <c r="H16114" t="s">
        <v>35321</v>
      </c>
    </row>
    <row r="16115" spans="6:8">
      <c r="H16115" t="s">
        <v>35322</v>
      </c>
    </row>
    <row r="16116" spans="6:8">
      <c r="F16116" t="s">
        <v>14321</v>
      </c>
      <c r="G16116" t="s">
        <v>18278</v>
      </c>
      <c r="H16116" t="s">
        <v>35328</v>
      </c>
    </row>
    <row r="16117" spans="6:8">
      <c r="F16117" t="s">
        <v>14322</v>
      </c>
      <c r="G16117" t="s">
        <v>18279</v>
      </c>
      <c r="H16117" t="s">
        <v>22358</v>
      </c>
    </row>
    <row r="16118" spans="6:8">
      <c r="H16118" t="s">
        <v>35329</v>
      </c>
    </row>
    <row r="16119" spans="6:8">
      <c r="H16119" t="s">
        <v>35330</v>
      </c>
    </row>
    <row r="16120" spans="6:8">
      <c r="F16120" t="s">
        <v>14323</v>
      </c>
      <c r="G16120" t="s">
        <v>18280</v>
      </c>
      <c r="H16120" t="s">
        <v>35333</v>
      </c>
    </row>
    <row r="16121" spans="6:8">
      <c r="H16121" t="s">
        <v>29840</v>
      </c>
    </row>
    <row r="16122" spans="6:8">
      <c r="H16122" t="s">
        <v>35334</v>
      </c>
    </row>
    <row r="16123" spans="6:8">
      <c r="H16123" t="s">
        <v>35335</v>
      </c>
    </row>
    <row r="16124" spans="6:8">
      <c r="H16124" t="s">
        <v>19007</v>
      </c>
    </row>
    <row r="16125" spans="6:8">
      <c r="H16125" t="s">
        <v>35336</v>
      </c>
    </row>
    <row r="16126" spans="6:8">
      <c r="F16126" t="s">
        <v>14324</v>
      </c>
      <c r="G16126" t="s">
        <v>18281</v>
      </c>
      <c r="H16126" t="s">
        <v>35338</v>
      </c>
    </row>
    <row r="16127" spans="6:8">
      <c r="H16127" t="s">
        <v>35339</v>
      </c>
    </row>
    <row r="16128" spans="6:8">
      <c r="H16128" t="s">
        <v>35340</v>
      </c>
    </row>
    <row r="16129" spans="1:8">
      <c r="H16129" t="s">
        <v>35341</v>
      </c>
    </row>
    <row r="16130" spans="1:8">
      <c r="H16130" t="s">
        <v>35342</v>
      </c>
    </row>
    <row r="16131" spans="1:8">
      <c r="F16131" t="s">
        <v>14102</v>
      </c>
      <c r="G16131" t="s">
        <v>18095</v>
      </c>
      <c r="H16131" t="s">
        <v>35349</v>
      </c>
    </row>
    <row r="16132" spans="1:8">
      <c r="H16132" t="s">
        <v>35350</v>
      </c>
    </row>
    <row r="16133" spans="1:8">
      <c r="H16133" t="s">
        <v>35351</v>
      </c>
    </row>
    <row r="16134" spans="1:8">
      <c r="H16134" t="s">
        <v>35352</v>
      </c>
    </row>
    <row r="16135" spans="1:8">
      <c r="H16135" t="s">
        <v>35353</v>
      </c>
    </row>
    <row r="16136" spans="1:8">
      <c r="H16136" t="s">
        <v>35354</v>
      </c>
    </row>
    <row r="16137" spans="1:8">
      <c r="H16137" t="s">
        <v>35357</v>
      </c>
    </row>
    <row r="16138" spans="1:8">
      <c r="H16138" t="s">
        <v>35359</v>
      </c>
    </row>
    <row r="16139" spans="1:8">
      <c r="A16139" t="s">
        <v>3507</v>
      </c>
      <c r="B16139">
        <f>HYPERLINK("https://android.googlesource.com/platform/cts/+/1e7db08346f5634967f8328fd48a265c6d7b001b", "1e7db08346f5634967f8328fd48a265c6d7b001b")</f>
        <v>0</v>
      </c>
      <c r="C16139">
        <f>HYPERLINK("https://android.googlesource.com/platform/cts/+/ce5ac3c10780be2aab4f37342150eca46cc415d7", "ce5ac3c10780be2aab4f37342150eca46cc415d7")</f>
        <v>0</v>
      </c>
      <c r="D16139" t="s">
        <v>5577</v>
      </c>
      <c r="E16139" t="s">
        <v>9201</v>
      </c>
      <c r="F16139" t="s">
        <v>13972</v>
      </c>
      <c r="G16139" t="s">
        <v>17997</v>
      </c>
      <c r="H16139" t="s">
        <v>35364</v>
      </c>
    </row>
    <row r="16140" spans="1:8">
      <c r="H16140" t="s">
        <v>35365</v>
      </c>
    </row>
    <row r="16141" spans="1:8">
      <c r="H16141" t="s">
        <v>35366</v>
      </c>
    </row>
    <row r="16142" spans="1:8">
      <c r="H16142" t="s">
        <v>35367</v>
      </c>
    </row>
    <row r="16143" spans="1:8">
      <c r="H16143" t="s">
        <v>35368</v>
      </c>
    </row>
    <row r="16144" spans="1:8">
      <c r="A16144" t="s">
        <v>3508</v>
      </c>
      <c r="B16144">
        <f>HYPERLINK("https://android.googlesource.com/platform/cts/+/6955d33cabced75ae1992638d0c2b7d2986ff53a", "6955d33cabced75ae1992638d0c2b7d2986ff53a")</f>
        <v>0</v>
      </c>
      <c r="C16144">
        <f>HYPERLINK("https://android.googlesource.com/platform/cts/+/0d43f7e9de7b3a689ec72a2db259160540f9a4f4", "0d43f7e9de7b3a689ec72a2db259160540f9a4f4")</f>
        <v>0</v>
      </c>
      <c r="D16144" t="s">
        <v>5576</v>
      </c>
      <c r="E16144" t="s">
        <v>9202</v>
      </c>
      <c r="F16144" t="s">
        <v>13857</v>
      </c>
      <c r="G16144" t="s">
        <v>17899</v>
      </c>
      <c r="H16144" t="s">
        <v>34807</v>
      </c>
    </row>
    <row r="16145" spans="6:8">
      <c r="H16145" t="s">
        <v>34808</v>
      </c>
    </row>
    <row r="16146" spans="6:8">
      <c r="H16146" t="s">
        <v>34809</v>
      </c>
    </row>
    <row r="16147" spans="6:8">
      <c r="H16147" t="s">
        <v>34810</v>
      </c>
    </row>
    <row r="16148" spans="6:8">
      <c r="H16148" t="s">
        <v>34811</v>
      </c>
    </row>
    <row r="16149" spans="6:8">
      <c r="H16149" t="s">
        <v>34812</v>
      </c>
    </row>
    <row r="16150" spans="6:8">
      <c r="F16150" t="s">
        <v>13976</v>
      </c>
      <c r="G16150" t="s">
        <v>18001</v>
      </c>
      <c r="H16150" t="s">
        <v>34814</v>
      </c>
    </row>
    <row r="16151" spans="6:8">
      <c r="H16151" t="s">
        <v>34815</v>
      </c>
    </row>
    <row r="16152" spans="6:8">
      <c r="H16152" t="s">
        <v>34816</v>
      </c>
    </row>
    <row r="16153" spans="6:8">
      <c r="H16153" t="s">
        <v>34817</v>
      </c>
    </row>
    <row r="16154" spans="6:8">
      <c r="H16154" t="s">
        <v>34818</v>
      </c>
    </row>
    <row r="16155" spans="6:8">
      <c r="H16155" t="s">
        <v>34819</v>
      </c>
    </row>
    <row r="16156" spans="6:8">
      <c r="H16156" t="s">
        <v>34820</v>
      </c>
    </row>
    <row r="16157" spans="6:8">
      <c r="H16157" t="s">
        <v>34821</v>
      </c>
    </row>
    <row r="16158" spans="6:8">
      <c r="H16158" t="s">
        <v>34822</v>
      </c>
    </row>
    <row r="16159" spans="6:8">
      <c r="F16159" t="s">
        <v>13977</v>
      </c>
      <c r="G16159" t="s">
        <v>18002</v>
      </c>
      <c r="H16159" t="s">
        <v>33907</v>
      </c>
    </row>
    <row r="16160" spans="6:8">
      <c r="H16160" t="s">
        <v>33908</v>
      </c>
    </row>
    <row r="16161" spans="6:8">
      <c r="F16161" t="s">
        <v>12416</v>
      </c>
      <c r="G16161" t="s">
        <v>16638</v>
      </c>
      <c r="H16161" t="s">
        <v>26751</v>
      </c>
    </row>
    <row r="16162" spans="6:8">
      <c r="H16162" t="s">
        <v>34852</v>
      </c>
    </row>
    <row r="16163" spans="6:8">
      <c r="H16163" t="s">
        <v>34853</v>
      </c>
    </row>
    <row r="16164" spans="6:8">
      <c r="H16164" t="s">
        <v>34854</v>
      </c>
    </row>
    <row r="16165" spans="6:8">
      <c r="H16165" t="s">
        <v>34855</v>
      </c>
    </row>
    <row r="16166" spans="6:8">
      <c r="H16166" t="s">
        <v>34856</v>
      </c>
    </row>
    <row r="16167" spans="6:8">
      <c r="H16167" t="s">
        <v>34857</v>
      </c>
    </row>
    <row r="16168" spans="6:8">
      <c r="H16168" t="s">
        <v>34858</v>
      </c>
    </row>
    <row r="16169" spans="6:8">
      <c r="H16169" t="s">
        <v>34859</v>
      </c>
    </row>
    <row r="16170" spans="6:8">
      <c r="H16170" t="s">
        <v>34860</v>
      </c>
    </row>
    <row r="16171" spans="6:8">
      <c r="H16171" t="s">
        <v>34861</v>
      </c>
    </row>
    <row r="16172" spans="6:8">
      <c r="H16172" t="s">
        <v>34862</v>
      </c>
    </row>
    <row r="16173" spans="6:8">
      <c r="H16173" t="s">
        <v>34863</v>
      </c>
    </row>
    <row r="16174" spans="6:8">
      <c r="H16174" t="s">
        <v>34864</v>
      </c>
    </row>
    <row r="16175" spans="6:8">
      <c r="H16175" t="s">
        <v>34870</v>
      </c>
    </row>
    <row r="16176" spans="6:8">
      <c r="F16176" t="s">
        <v>14304</v>
      </c>
      <c r="G16176" t="s">
        <v>18262</v>
      </c>
      <c r="H16176" t="s">
        <v>34873</v>
      </c>
    </row>
    <row r="16177" spans="6:8">
      <c r="H16177" t="s">
        <v>34874</v>
      </c>
    </row>
    <row r="16178" spans="6:8">
      <c r="H16178" t="s">
        <v>34875</v>
      </c>
    </row>
    <row r="16179" spans="6:8">
      <c r="H16179" t="s">
        <v>31037</v>
      </c>
    </row>
    <row r="16180" spans="6:8">
      <c r="F16180" t="s">
        <v>13941</v>
      </c>
      <c r="G16180" t="s">
        <v>17972</v>
      </c>
      <c r="H16180" t="s">
        <v>32340</v>
      </c>
    </row>
    <row r="16181" spans="6:8">
      <c r="H16181" t="s">
        <v>32342</v>
      </c>
    </row>
    <row r="16182" spans="6:8">
      <c r="H16182" t="s">
        <v>32341</v>
      </c>
    </row>
    <row r="16183" spans="6:8">
      <c r="F16183" t="s">
        <v>14305</v>
      </c>
      <c r="G16183" t="s">
        <v>18005</v>
      </c>
      <c r="H16183" t="s">
        <v>34876</v>
      </c>
    </row>
    <row r="16184" spans="6:8">
      <c r="F16184" t="s">
        <v>14234</v>
      </c>
      <c r="G16184" t="s">
        <v>18204</v>
      </c>
      <c r="H16184" t="s">
        <v>34880</v>
      </c>
    </row>
    <row r="16185" spans="6:8">
      <c r="H16185" t="s">
        <v>34881</v>
      </c>
    </row>
    <row r="16186" spans="6:8">
      <c r="H16186" t="s">
        <v>34884</v>
      </c>
    </row>
    <row r="16187" spans="6:8">
      <c r="H16187" t="s">
        <v>34885</v>
      </c>
    </row>
    <row r="16188" spans="6:8">
      <c r="H16188" t="s">
        <v>34886</v>
      </c>
    </row>
    <row r="16189" spans="6:8">
      <c r="H16189" t="s">
        <v>34887</v>
      </c>
    </row>
    <row r="16190" spans="6:8">
      <c r="H16190" t="s">
        <v>34888</v>
      </c>
    </row>
    <row r="16191" spans="6:8">
      <c r="H16191" t="s">
        <v>34889</v>
      </c>
    </row>
    <row r="16192" spans="6:8">
      <c r="H16192" t="s">
        <v>34890</v>
      </c>
    </row>
    <row r="16193" spans="6:8">
      <c r="H16193" t="s">
        <v>34892</v>
      </c>
    </row>
    <row r="16194" spans="6:8">
      <c r="H16194" t="s">
        <v>34893</v>
      </c>
    </row>
    <row r="16195" spans="6:8">
      <c r="F16195" t="s">
        <v>10700</v>
      </c>
      <c r="G16195" t="s">
        <v>15100</v>
      </c>
      <c r="H16195" t="s">
        <v>34906</v>
      </c>
    </row>
    <row r="16196" spans="6:8">
      <c r="H16196" t="s">
        <v>22508</v>
      </c>
    </row>
    <row r="16197" spans="6:8">
      <c r="H16197" t="s">
        <v>34907</v>
      </c>
    </row>
    <row r="16198" spans="6:8">
      <c r="H16198" t="s">
        <v>34908</v>
      </c>
    </row>
    <row r="16199" spans="6:8">
      <c r="H16199" t="s">
        <v>34909</v>
      </c>
    </row>
    <row r="16200" spans="6:8">
      <c r="H16200" t="s">
        <v>34910</v>
      </c>
    </row>
    <row r="16201" spans="6:8">
      <c r="H16201" t="s">
        <v>34911</v>
      </c>
    </row>
    <row r="16202" spans="6:8">
      <c r="H16202" t="s">
        <v>25838</v>
      </c>
    </row>
    <row r="16203" spans="6:8">
      <c r="H16203" t="s">
        <v>34920</v>
      </c>
    </row>
    <row r="16204" spans="6:8">
      <c r="H16204" t="s">
        <v>25839</v>
      </c>
    </row>
    <row r="16205" spans="6:8">
      <c r="H16205" t="s">
        <v>27479</v>
      </c>
    </row>
    <row r="16206" spans="6:8">
      <c r="H16206" t="s">
        <v>34922</v>
      </c>
    </row>
    <row r="16207" spans="6:8">
      <c r="H16207" t="s">
        <v>34923</v>
      </c>
    </row>
    <row r="16208" spans="6:8">
      <c r="H16208" t="s">
        <v>34924</v>
      </c>
    </row>
    <row r="16209" spans="6:8">
      <c r="H16209" t="s">
        <v>34925</v>
      </c>
    </row>
    <row r="16210" spans="6:8">
      <c r="H16210" t="s">
        <v>34927</v>
      </c>
    </row>
    <row r="16211" spans="6:8">
      <c r="H16211" t="s">
        <v>34935</v>
      </c>
    </row>
    <row r="16212" spans="6:8">
      <c r="H16212" t="s">
        <v>34950</v>
      </c>
    </row>
    <row r="16213" spans="6:8">
      <c r="H16213" t="s">
        <v>34951</v>
      </c>
    </row>
    <row r="16214" spans="6:8">
      <c r="H16214" t="s">
        <v>34952</v>
      </c>
    </row>
    <row r="16215" spans="6:8">
      <c r="H16215" t="s">
        <v>34957</v>
      </c>
    </row>
    <row r="16216" spans="6:8">
      <c r="H16216" t="s">
        <v>34958</v>
      </c>
    </row>
    <row r="16217" spans="6:8">
      <c r="H16217" t="s">
        <v>34960</v>
      </c>
    </row>
    <row r="16218" spans="6:8">
      <c r="H16218" t="s">
        <v>34961</v>
      </c>
    </row>
    <row r="16219" spans="6:8">
      <c r="H16219" t="s">
        <v>34962</v>
      </c>
    </row>
    <row r="16220" spans="6:8">
      <c r="H16220" t="s">
        <v>34966</v>
      </c>
    </row>
    <row r="16221" spans="6:8">
      <c r="F16221" t="s">
        <v>14306</v>
      </c>
      <c r="G16221" t="s">
        <v>18263</v>
      </c>
      <c r="H16221" t="s">
        <v>34967</v>
      </c>
    </row>
    <row r="16222" spans="6:8">
      <c r="F16222" t="s">
        <v>13837</v>
      </c>
      <c r="G16222" t="s">
        <v>17880</v>
      </c>
      <c r="H16222" t="s">
        <v>31852</v>
      </c>
    </row>
    <row r="16223" spans="6:8">
      <c r="H16223" t="s">
        <v>34980</v>
      </c>
    </row>
    <row r="16224" spans="6:8">
      <c r="H16224" t="s">
        <v>34981</v>
      </c>
    </row>
    <row r="16225" spans="8:8">
      <c r="H16225" t="s">
        <v>34982</v>
      </c>
    </row>
    <row r="16226" spans="8:8">
      <c r="H16226" t="s">
        <v>34983</v>
      </c>
    </row>
    <row r="16227" spans="8:8">
      <c r="H16227" t="s">
        <v>34984</v>
      </c>
    </row>
    <row r="16228" spans="8:8">
      <c r="H16228" t="s">
        <v>34985</v>
      </c>
    </row>
    <row r="16229" spans="8:8">
      <c r="H16229" t="s">
        <v>34986</v>
      </c>
    </row>
    <row r="16230" spans="8:8">
      <c r="H16230" t="s">
        <v>34987</v>
      </c>
    </row>
    <row r="16231" spans="8:8">
      <c r="H16231" t="s">
        <v>34988</v>
      </c>
    </row>
    <row r="16232" spans="8:8">
      <c r="H16232" t="s">
        <v>34994</v>
      </c>
    </row>
    <row r="16233" spans="8:8">
      <c r="H16233" t="s">
        <v>34995</v>
      </c>
    </row>
    <row r="16234" spans="8:8">
      <c r="H16234" t="s">
        <v>34996</v>
      </c>
    </row>
    <row r="16235" spans="8:8">
      <c r="H16235" t="s">
        <v>35002</v>
      </c>
    </row>
    <row r="16236" spans="8:8">
      <c r="H16236" t="s">
        <v>35003</v>
      </c>
    </row>
    <row r="16237" spans="8:8">
      <c r="H16237" t="s">
        <v>35004</v>
      </c>
    </row>
    <row r="16238" spans="8:8">
      <c r="H16238" t="s">
        <v>35005</v>
      </c>
    </row>
    <row r="16239" spans="8:8">
      <c r="H16239" t="s">
        <v>35006</v>
      </c>
    </row>
    <row r="16240" spans="8:8">
      <c r="H16240" t="s">
        <v>35007</v>
      </c>
    </row>
    <row r="16241" spans="6:8">
      <c r="H16241" t="s">
        <v>35008</v>
      </c>
    </row>
    <row r="16242" spans="6:8">
      <c r="H16242" t="s">
        <v>35009</v>
      </c>
    </row>
    <row r="16243" spans="6:8">
      <c r="H16243" t="s">
        <v>35011</v>
      </c>
    </row>
    <row r="16244" spans="6:8">
      <c r="H16244" t="s">
        <v>35014</v>
      </c>
    </row>
    <row r="16245" spans="6:8">
      <c r="F16245" t="s">
        <v>12201</v>
      </c>
      <c r="G16245" t="s">
        <v>16439</v>
      </c>
      <c r="H16245" t="s">
        <v>21327</v>
      </c>
    </row>
    <row r="16246" spans="6:8">
      <c r="F16246" t="s">
        <v>14222</v>
      </c>
      <c r="G16246" t="s">
        <v>18195</v>
      </c>
      <c r="H16246" t="s">
        <v>35024</v>
      </c>
    </row>
    <row r="16247" spans="6:8">
      <c r="H16247" t="s">
        <v>35025</v>
      </c>
    </row>
    <row r="16248" spans="6:8">
      <c r="H16248" t="s">
        <v>35026</v>
      </c>
    </row>
    <row r="16249" spans="6:8">
      <c r="H16249" t="s">
        <v>35028</v>
      </c>
    </row>
    <row r="16250" spans="6:8">
      <c r="H16250" t="s">
        <v>35029</v>
      </c>
    </row>
    <row r="16251" spans="6:8">
      <c r="H16251" t="s">
        <v>35030</v>
      </c>
    </row>
    <row r="16252" spans="6:8">
      <c r="H16252" t="s">
        <v>35031</v>
      </c>
    </row>
    <row r="16253" spans="6:8">
      <c r="H16253" t="s">
        <v>35032</v>
      </c>
    </row>
    <row r="16254" spans="6:8">
      <c r="H16254" t="s">
        <v>35033</v>
      </c>
    </row>
    <row r="16255" spans="6:8">
      <c r="H16255" t="s">
        <v>35036</v>
      </c>
    </row>
    <row r="16256" spans="6:8">
      <c r="H16256" t="s">
        <v>35037</v>
      </c>
    </row>
    <row r="16257" spans="6:8">
      <c r="F16257" t="s">
        <v>14307</v>
      </c>
      <c r="G16257" t="s">
        <v>18264</v>
      </c>
      <c r="H16257" t="s">
        <v>35042</v>
      </c>
    </row>
    <row r="16258" spans="6:8">
      <c r="H16258" t="s">
        <v>35043</v>
      </c>
    </row>
    <row r="16259" spans="6:8">
      <c r="H16259" t="s">
        <v>35044</v>
      </c>
    </row>
    <row r="16260" spans="6:8">
      <c r="H16260" t="s">
        <v>35045</v>
      </c>
    </row>
    <row r="16261" spans="6:8">
      <c r="H16261" t="s">
        <v>35046</v>
      </c>
    </row>
    <row r="16262" spans="6:8">
      <c r="H16262" t="s">
        <v>35047</v>
      </c>
    </row>
    <row r="16263" spans="6:8">
      <c r="F16263" t="s">
        <v>14159</v>
      </c>
      <c r="G16263" t="s">
        <v>18145</v>
      </c>
      <c r="H16263" t="s">
        <v>18836</v>
      </c>
    </row>
    <row r="16264" spans="6:8">
      <c r="H16264" t="s">
        <v>35050</v>
      </c>
    </row>
    <row r="16265" spans="6:8">
      <c r="F16265" t="s">
        <v>14308</v>
      </c>
      <c r="G16265" t="s">
        <v>18265</v>
      </c>
      <c r="H16265" t="s">
        <v>35070</v>
      </c>
    </row>
    <row r="16266" spans="6:8">
      <c r="H16266" t="s">
        <v>35071</v>
      </c>
    </row>
    <row r="16267" spans="6:8">
      <c r="H16267" t="s">
        <v>35072</v>
      </c>
    </row>
    <row r="16268" spans="6:8">
      <c r="H16268" t="s">
        <v>35073</v>
      </c>
    </row>
    <row r="16269" spans="6:8">
      <c r="H16269" t="s">
        <v>35074</v>
      </c>
    </row>
    <row r="16270" spans="6:8">
      <c r="H16270" t="s">
        <v>35075</v>
      </c>
    </row>
    <row r="16271" spans="6:8">
      <c r="F16271" t="s">
        <v>13309</v>
      </c>
      <c r="G16271" t="s">
        <v>17442</v>
      </c>
      <c r="H16271" t="s">
        <v>29102</v>
      </c>
    </row>
    <row r="16272" spans="6:8">
      <c r="H16272" t="s">
        <v>29103</v>
      </c>
    </row>
    <row r="16273" spans="8:8">
      <c r="H16273" t="s">
        <v>35091</v>
      </c>
    </row>
    <row r="16274" spans="8:8">
      <c r="H16274" t="s">
        <v>35092</v>
      </c>
    </row>
    <row r="16275" spans="8:8">
      <c r="H16275" t="s">
        <v>35093</v>
      </c>
    </row>
    <row r="16276" spans="8:8">
      <c r="H16276" t="s">
        <v>35094</v>
      </c>
    </row>
    <row r="16277" spans="8:8">
      <c r="H16277" t="s">
        <v>35095</v>
      </c>
    </row>
    <row r="16278" spans="8:8">
      <c r="H16278" t="s">
        <v>35096</v>
      </c>
    </row>
    <row r="16279" spans="8:8">
      <c r="H16279" t="s">
        <v>35097</v>
      </c>
    </row>
    <row r="16280" spans="8:8">
      <c r="H16280" t="s">
        <v>35098</v>
      </c>
    </row>
    <row r="16281" spans="8:8">
      <c r="H16281" t="s">
        <v>35099</v>
      </c>
    </row>
    <row r="16282" spans="8:8">
      <c r="H16282" t="s">
        <v>35100</v>
      </c>
    </row>
    <row r="16283" spans="8:8">
      <c r="H16283" t="s">
        <v>35101</v>
      </c>
    </row>
    <row r="16284" spans="8:8">
      <c r="H16284" t="s">
        <v>35102</v>
      </c>
    </row>
    <row r="16285" spans="8:8">
      <c r="H16285" t="s">
        <v>35103</v>
      </c>
    </row>
    <row r="16286" spans="8:8">
      <c r="H16286" t="s">
        <v>35104</v>
      </c>
    </row>
    <row r="16287" spans="8:8">
      <c r="H16287" t="s">
        <v>35105</v>
      </c>
    </row>
    <row r="16288" spans="8:8">
      <c r="H16288" t="s">
        <v>35106</v>
      </c>
    </row>
    <row r="16289" spans="8:8">
      <c r="H16289" t="s">
        <v>35107</v>
      </c>
    </row>
    <row r="16290" spans="8:8">
      <c r="H16290" t="s">
        <v>35108</v>
      </c>
    </row>
    <row r="16291" spans="8:8">
      <c r="H16291" t="s">
        <v>35109</v>
      </c>
    </row>
    <row r="16292" spans="8:8">
      <c r="H16292" t="s">
        <v>35110</v>
      </c>
    </row>
    <row r="16293" spans="8:8">
      <c r="H16293" t="s">
        <v>35111</v>
      </c>
    </row>
    <row r="16294" spans="8:8">
      <c r="H16294" t="s">
        <v>35112</v>
      </c>
    </row>
    <row r="16295" spans="8:8">
      <c r="H16295" t="s">
        <v>35113</v>
      </c>
    </row>
    <row r="16296" spans="8:8">
      <c r="H16296" t="s">
        <v>35114</v>
      </c>
    </row>
    <row r="16297" spans="8:8">
      <c r="H16297" t="s">
        <v>35115</v>
      </c>
    </row>
    <row r="16298" spans="8:8">
      <c r="H16298" t="s">
        <v>35116</v>
      </c>
    </row>
    <row r="16299" spans="8:8">
      <c r="H16299" t="s">
        <v>35117</v>
      </c>
    </row>
    <row r="16300" spans="8:8">
      <c r="H16300" t="s">
        <v>35118</v>
      </c>
    </row>
    <row r="16301" spans="8:8">
      <c r="H16301" t="s">
        <v>35119</v>
      </c>
    </row>
    <row r="16302" spans="8:8">
      <c r="H16302" t="s">
        <v>35120</v>
      </c>
    </row>
    <row r="16303" spans="8:8">
      <c r="H16303" t="s">
        <v>35121</v>
      </c>
    </row>
    <row r="16304" spans="8:8">
      <c r="H16304" t="s">
        <v>35122</v>
      </c>
    </row>
    <row r="16305" spans="8:8">
      <c r="H16305" t="s">
        <v>35123</v>
      </c>
    </row>
    <row r="16306" spans="8:8">
      <c r="H16306" t="s">
        <v>35124</v>
      </c>
    </row>
    <row r="16307" spans="8:8">
      <c r="H16307" t="s">
        <v>35125</v>
      </c>
    </row>
    <row r="16308" spans="8:8">
      <c r="H16308" t="s">
        <v>35126</v>
      </c>
    </row>
    <row r="16309" spans="8:8">
      <c r="H16309" t="s">
        <v>35127</v>
      </c>
    </row>
    <row r="16310" spans="8:8">
      <c r="H16310" t="s">
        <v>35128</v>
      </c>
    </row>
    <row r="16311" spans="8:8">
      <c r="H16311" t="s">
        <v>35129</v>
      </c>
    </row>
    <row r="16312" spans="8:8">
      <c r="H16312" t="s">
        <v>35130</v>
      </c>
    </row>
    <row r="16313" spans="8:8">
      <c r="H16313" t="s">
        <v>35131</v>
      </c>
    </row>
    <row r="16314" spans="8:8">
      <c r="H16314" t="s">
        <v>35132</v>
      </c>
    </row>
    <row r="16315" spans="8:8">
      <c r="H16315" t="s">
        <v>35133</v>
      </c>
    </row>
    <row r="16316" spans="8:8">
      <c r="H16316" t="s">
        <v>35134</v>
      </c>
    </row>
    <row r="16317" spans="8:8">
      <c r="H16317" t="s">
        <v>35135</v>
      </c>
    </row>
    <row r="16318" spans="8:8">
      <c r="H16318" t="s">
        <v>35136</v>
      </c>
    </row>
    <row r="16319" spans="8:8">
      <c r="H16319" t="s">
        <v>35137</v>
      </c>
    </row>
    <row r="16320" spans="8:8">
      <c r="H16320" t="s">
        <v>35138</v>
      </c>
    </row>
    <row r="16321" spans="8:8">
      <c r="H16321" t="s">
        <v>35139</v>
      </c>
    </row>
    <row r="16322" spans="8:8">
      <c r="H16322" t="s">
        <v>35140</v>
      </c>
    </row>
    <row r="16323" spans="8:8">
      <c r="H16323" t="s">
        <v>35141</v>
      </c>
    </row>
    <row r="16324" spans="8:8">
      <c r="H16324" t="s">
        <v>35142</v>
      </c>
    </row>
    <row r="16325" spans="8:8">
      <c r="H16325" t="s">
        <v>35143</v>
      </c>
    </row>
    <row r="16326" spans="8:8">
      <c r="H16326" t="s">
        <v>35144</v>
      </c>
    </row>
    <row r="16327" spans="8:8">
      <c r="H16327" t="s">
        <v>35145</v>
      </c>
    </row>
    <row r="16328" spans="8:8">
      <c r="H16328" t="s">
        <v>35146</v>
      </c>
    </row>
    <row r="16329" spans="8:8">
      <c r="H16329" t="s">
        <v>35147</v>
      </c>
    </row>
    <row r="16330" spans="8:8">
      <c r="H16330" t="s">
        <v>35148</v>
      </c>
    </row>
    <row r="16331" spans="8:8">
      <c r="H16331" t="s">
        <v>35149</v>
      </c>
    </row>
    <row r="16332" spans="8:8">
      <c r="H16332" t="s">
        <v>35150</v>
      </c>
    </row>
    <row r="16333" spans="8:8">
      <c r="H16333" t="s">
        <v>35151</v>
      </c>
    </row>
    <row r="16334" spans="8:8">
      <c r="H16334" t="s">
        <v>35152</v>
      </c>
    </row>
    <row r="16335" spans="8:8">
      <c r="H16335" t="s">
        <v>35153</v>
      </c>
    </row>
    <row r="16336" spans="8:8">
      <c r="H16336" t="s">
        <v>35154</v>
      </c>
    </row>
    <row r="16337" spans="6:8">
      <c r="H16337" t="s">
        <v>35155</v>
      </c>
    </row>
    <row r="16338" spans="6:8">
      <c r="H16338" t="s">
        <v>35156</v>
      </c>
    </row>
    <row r="16339" spans="6:8">
      <c r="F16339" t="s">
        <v>13928</v>
      </c>
      <c r="G16339" t="s">
        <v>17964</v>
      </c>
      <c r="H16339" t="s">
        <v>35159</v>
      </c>
    </row>
    <row r="16340" spans="6:8">
      <c r="H16340" t="s">
        <v>35160</v>
      </c>
    </row>
    <row r="16341" spans="6:8">
      <c r="H16341" t="s">
        <v>35175</v>
      </c>
    </row>
    <row r="16342" spans="6:8">
      <c r="H16342" t="s">
        <v>35176</v>
      </c>
    </row>
    <row r="16343" spans="6:8">
      <c r="H16343" t="s">
        <v>35177</v>
      </c>
    </row>
    <row r="16344" spans="6:8">
      <c r="H16344" t="s">
        <v>35178</v>
      </c>
    </row>
    <row r="16345" spans="6:8">
      <c r="H16345" t="s">
        <v>35179</v>
      </c>
    </row>
    <row r="16346" spans="6:8">
      <c r="H16346" t="s">
        <v>35180</v>
      </c>
    </row>
    <row r="16347" spans="6:8">
      <c r="H16347" t="s">
        <v>35181</v>
      </c>
    </row>
    <row r="16348" spans="6:8">
      <c r="H16348" t="s">
        <v>35182</v>
      </c>
    </row>
    <row r="16349" spans="6:8">
      <c r="H16349" t="s">
        <v>35183</v>
      </c>
    </row>
    <row r="16350" spans="6:8">
      <c r="H16350" t="s">
        <v>35184</v>
      </c>
    </row>
    <row r="16351" spans="6:8">
      <c r="H16351" t="s">
        <v>35185</v>
      </c>
    </row>
    <row r="16352" spans="6:8">
      <c r="H16352" t="s">
        <v>35186</v>
      </c>
    </row>
    <row r="16353" spans="6:8">
      <c r="H16353" t="s">
        <v>35187</v>
      </c>
    </row>
    <row r="16354" spans="6:8">
      <c r="H16354" t="s">
        <v>35188</v>
      </c>
    </row>
    <row r="16355" spans="6:8">
      <c r="H16355" t="s">
        <v>35189</v>
      </c>
    </row>
    <row r="16356" spans="6:8">
      <c r="H16356" t="s">
        <v>35190</v>
      </c>
    </row>
    <row r="16357" spans="6:8">
      <c r="H16357" t="s">
        <v>35191</v>
      </c>
    </row>
    <row r="16358" spans="6:8">
      <c r="H16358" t="s">
        <v>35192</v>
      </c>
    </row>
    <row r="16359" spans="6:8">
      <c r="H16359" t="s">
        <v>35193</v>
      </c>
    </row>
    <row r="16360" spans="6:8">
      <c r="H16360" t="s">
        <v>35194</v>
      </c>
    </row>
    <row r="16361" spans="6:8">
      <c r="H16361" t="s">
        <v>35195</v>
      </c>
    </row>
    <row r="16362" spans="6:8">
      <c r="H16362" t="s">
        <v>35196</v>
      </c>
    </row>
    <row r="16363" spans="6:8">
      <c r="H16363" t="s">
        <v>35197</v>
      </c>
    </row>
    <row r="16364" spans="6:8">
      <c r="H16364" t="s">
        <v>35198</v>
      </c>
    </row>
    <row r="16365" spans="6:8">
      <c r="F16365" t="s">
        <v>12740</v>
      </c>
      <c r="G16365" t="s">
        <v>16932</v>
      </c>
      <c r="H16365" t="s">
        <v>35199</v>
      </c>
    </row>
    <row r="16366" spans="6:8">
      <c r="F16366" t="s">
        <v>10615</v>
      </c>
      <c r="G16366" t="s">
        <v>15018</v>
      </c>
      <c r="H16366" t="s">
        <v>35200</v>
      </c>
    </row>
    <row r="16367" spans="6:8">
      <c r="F16367" t="s">
        <v>10616</v>
      </c>
      <c r="G16367" t="s">
        <v>15019</v>
      </c>
      <c r="H16367" t="s">
        <v>19183</v>
      </c>
    </row>
    <row r="16368" spans="6:8">
      <c r="H16368" t="s">
        <v>19184</v>
      </c>
    </row>
    <row r="16369" spans="6:8">
      <c r="F16369" t="s">
        <v>13133</v>
      </c>
      <c r="G16369" t="s">
        <v>17291</v>
      </c>
      <c r="H16369" t="s">
        <v>35201</v>
      </c>
    </row>
    <row r="16370" spans="6:8">
      <c r="H16370" t="s">
        <v>25716</v>
      </c>
    </row>
    <row r="16371" spans="6:8">
      <c r="H16371" t="s">
        <v>28041</v>
      </c>
    </row>
    <row r="16372" spans="6:8">
      <c r="H16372" t="s">
        <v>28042</v>
      </c>
    </row>
    <row r="16373" spans="6:8">
      <c r="H16373" t="s">
        <v>35202</v>
      </c>
    </row>
    <row r="16374" spans="6:8">
      <c r="H16374" t="s">
        <v>35203</v>
      </c>
    </row>
    <row r="16375" spans="6:8">
      <c r="H16375" t="s">
        <v>35204</v>
      </c>
    </row>
    <row r="16376" spans="6:8">
      <c r="F16376" t="s">
        <v>14309</v>
      </c>
      <c r="G16376" t="s">
        <v>18266</v>
      </c>
      <c r="H16376" t="s">
        <v>35211</v>
      </c>
    </row>
    <row r="16377" spans="6:8">
      <c r="H16377" t="s">
        <v>35212</v>
      </c>
    </row>
    <row r="16378" spans="6:8">
      <c r="H16378" t="s">
        <v>35213</v>
      </c>
    </row>
    <row r="16379" spans="6:8">
      <c r="H16379" t="s">
        <v>35214</v>
      </c>
    </row>
    <row r="16380" spans="6:8">
      <c r="H16380" t="s">
        <v>35215</v>
      </c>
    </row>
    <row r="16381" spans="6:8">
      <c r="F16381" t="s">
        <v>14310</v>
      </c>
      <c r="G16381" t="s">
        <v>18267</v>
      </c>
      <c r="H16381" t="s">
        <v>35216</v>
      </c>
    </row>
    <row r="16382" spans="6:8">
      <c r="F16382" t="s">
        <v>14210</v>
      </c>
      <c r="G16382" t="s">
        <v>18186</v>
      </c>
      <c r="H16382" t="s">
        <v>35217</v>
      </c>
    </row>
    <row r="16383" spans="6:8">
      <c r="H16383" t="s">
        <v>35218</v>
      </c>
    </row>
    <row r="16384" spans="6:8">
      <c r="H16384" t="s">
        <v>35219</v>
      </c>
    </row>
    <row r="16385" spans="6:8">
      <c r="H16385" t="s">
        <v>35220</v>
      </c>
    </row>
    <row r="16386" spans="6:8">
      <c r="H16386" t="s">
        <v>35221</v>
      </c>
    </row>
    <row r="16387" spans="6:8">
      <c r="H16387" t="s">
        <v>35222</v>
      </c>
    </row>
    <row r="16388" spans="6:8">
      <c r="H16388" t="s">
        <v>35223</v>
      </c>
    </row>
    <row r="16389" spans="6:8">
      <c r="H16389" t="s">
        <v>35224</v>
      </c>
    </row>
    <row r="16390" spans="6:8">
      <c r="F16390" t="s">
        <v>10617</v>
      </c>
      <c r="G16390" t="s">
        <v>15020</v>
      </c>
      <c r="H16390" t="s">
        <v>19183</v>
      </c>
    </row>
    <row r="16391" spans="6:8">
      <c r="H16391" t="s">
        <v>19184</v>
      </c>
    </row>
    <row r="16392" spans="6:8">
      <c r="F16392" t="s">
        <v>10618</v>
      </c>
      <c r="G16392" t="s">
        <v>15021</v>
      </c>
      <c r="H16392" t="s">
        <v>19183</v>
      </c>
    </row>
    <row r="16393" spans="6:8">
      <c r="H16393" t="s">
        <v>19184</v>
      </c>
    </row>
    <row r="16394" spans="6:8">
      <c r="F16394" t="s">
        <v>13556</v>
      </c>
      <c r="G16394" t="s">
        <v>17663</v>
      </c>
      <c r="H16394" t="s">
        <v>35227</v>
      </c>
    </row>
    <row r="16395" spans="6:8">
      <c r="H16395" t="s">
        <v>35228</v>
      </c>
    </row>
    <row r="16396" spans="6:8">
      <c r="H16396" t="s">
        <v>35230</v>
      </c>
    </row>
    <row r="16397" spans="6:8">
      <c r="H16397" t="s">
        <v>35231</v>
      </c>
    </row>
    <row r="16398" spans="6:8">
      <c r="H16398" t="s">
        <v>35232</v>
      </c>
    </row>
    <row r="16399" spans="6:8">
      <c r="H16399" t="s">
        <v>35233</v>
      </c>
    </row>
    <row r="16400" spans="6:8">
      <c r="H16400" t="s">
        <v>35234</v>
      </c>
    </row>
    <row r="16401" spans="6:8">
      <c r="H16401" t="s">
        <v>35236</v>
      </c>
    </row>
    <row r="16402" spans="6:8">
      <c r="F16402" t="s">
        <v>14311</v>
      </c>
      <c r="G16402" t="s">
        <v>18268</v>
      </c>
      <c r="H16402" t="s">
        <v>35239</v>
      </c>
    </row>
    <row r="16403" spans="6:8">
      <c r="F16403" t="s">
        <v>14312</v>
      </c>
      <c r="G16403" t="s">
        <v>18269</v>
      </c>
      <c r="H16403" t="s">
        <v>35241</v>
      </c>
    </row>
    <row r="16404" spans="6:8">
      <c r="F16404" t="s">
        <v>14313</v>
      </c>
      <c r="G16404" t="s">
        <v>18270</v>
      </c>
      <c r="H16404" t="s">
        <v>18836</v>
      </c>
    </row>
    <row r="16405" spans="6:8">
      <c r="H16405" t="s">
        <v>35247</v>
      </c>
    </row>
    <row r="16406" spans="6:8">
      <c r="H16406" t="s">
        <v>35248</v>
      </c>
    </row>
    <row r="16407" spans="6:8">
      <c r="H16407" t="s">
        <v>35249</v>
      </c>
    </row>
    <row r="16408" spans="6:8">
      <c r="F16408" t="s">
        <v>10600</v>
      </c>
      <c r="G16408" t="s">
        <v>15003</v>
      </c>
      <c r="H16408" t="s">
        <v>18836</v>
      </c>
    </row>
    <row r="16409" spans="6:8">
      <c r="H16409" t="s">
        <v>35250</v>
      </c>
    </row>
    <row r="16410" spans="6:8">
      <c r="F16410" t="s">
        <v>14314</v>
      </c>
      <c r="G16410" t="s">
        <v>18271</v>
      </c>
      <c r="H16410" t="s">
        <v>35251</v>
      </c>
    </row>
    <row r="16411" spans="6:8">
      <c r="H16411" t="s">
        <v>35252</v>
      </c>
    </row>
    <row r="16412" spans="6:8">
      <c r="H16412" t="s">
        <v>35253</v>
      </c>
    </row>
    <row r="16413" spans="6:8">
      <c r="F16413" t="s">
        <v>13960</v>
      </c>
      <c r="G16413" t="s">
        <v>17986</v>
      </c>
      <c r="H16413" t="s">
        <v>35255</v>
      </c>
    </row>
    <row r="16414" spans="6:8">
      <c r="H16414" t="s">
        <v>35250</v>
      </c>
    </row>
    <row r="16415" spans="6:8">
      <c r="H16415" t="s">
        <v>35256</v>
      </c>
    </row>
    <row r="16416" spans="6:8">
      <c r="H16416" t="s">
        <v>35257</v>
      </c>
    </row>
    <row r="16417" spans="6:8">
      <c r="H16417" t="s">
        <v>35258</v>
      </c>
    </row>
    <row r="16418" spans="6:8">
      <c r="H16418" t="s">
        <v>35259</v>
      </c>
    </row>
    <row r="16419" spans="6:8">
      <c r="H16419" t="s">
        <v>35260</v>
      </c>
    </row>
    <row r="16420" spans="6:8">
      <c r="H16420" t="s">
        <v>35261</v>
      </c>
    </row>
    <row r="16421" spans="6:8">
      <c r="F16421" t="s">
        <v>14315</v>
      </c>
      <c r="G16421" t="s">
        <v>18272</v>
      </c>
      <c r="H16421" t="s">
        <v>35263</v>
      </c>
    </row>
    <row r="16422" spans="6:8">
      <c r="F16422" t="s">
        <v>10726</v>
      </c>
      <c r="G16422" t="s">
        <v>15125</v>
      </c>
      <c r="H16422" t="s">
        <v>35266</v>
      </c>
    </row>
    <row r="16423" spans="6:8">
      <c r="H16423" t="s">
        <v>35267</v>
      </c>
    </row>
    <row r="16424" spans="6:8">
      <c r="H16424" t="s">
        <v>35268</v>
      </c>
    </row>
    <row r="16425" spans="6:8">
      <c r="H16425" t="s">
        <v>35269</v>
      </c>
    </row>
    <row r="16426" spans="6:8">
      <c r="H16426" t="s">
        <v>35271</v>
      </c>
    </row>
    <row r="16427" spans="6:8">
      <c r="F16427" t="s">
        <v>11449</v>
      </c>
      <c r="G16427" t="s">
        <v>15689</v>
      </c>
      <c r="H16427" t="s">
        <v>31759</v>
      </c>
    </row>
    <row r="16428" spans="6:8">
      <c r="H16428" t="s">
        <v>35273</v>
      </c>
    </row>
    <row r="16429" spans="6:8">
      <c r="H16429" t="s">
        <v>35274</v>
      </c>
    </row>
    <row r="16430" spans="6:8">
      <c r="H16430" t="s">
        <v>35275</v>
      </c>
    </row>
    <row r="16431" spans="6:8">
      <c r="H16431" t="s">
        <v>35276</v>
      </c>
    </row>
    <row r="16432" spans="6:8">
      <c r="H16432" t="s">
        <v>35277</v>
      </c>
    </row>
    <row r="16433" spans="8:8">
      <c r="H16433" t="s">
        <v>35279</v>
      </c>
    </row>
    <row r="16434" spans="8:8">
      <c r="H16434" t="s">
        <v>35280</v>
      </c>
    </row>
    <row r="16435" spans="8:8">
      <c r="H16435" t="s">
        <v>35281</v>
      </c>
    </row>
    <row r="16436" spans="8:8">
      <c r="H16436" t="s">
        <v>35282</v>
      </c>
    </row>
    <row r="16437" spans="8:8">
      <c r="H16437" t="s">
        <v>35283</v>
      </c>
    </row>
    <row r="16438" spans="8:8">
      <c r="H16438" t="s">
        <v>35284</v>
      </c>
    </row>
    <row r="16439" spans="8:8">
      <c r="H16439" t="s">
        <v>35285</v>
      </c>
    </row>
    <row r="16440" spans="8:8">
      <c r="H16440" t="s">
        <v>35286</v>
      </c>
    </row>
    <row r="16441" spans="8:8">
      <c r="H16441" t="s">
        <v>35287</v>
      </c>
    </row>
    <row r="16442" spans="8:8">
      <c r="H16442" t="s">
        <v>35288</v>
      </c>
    </row>
    <row r="16443" spans="8:8">
      <c r="H16443" t="s">
        <v>35289</v>
      </c>
    </row>
    <row r="16444" spans="8:8">
      <c r="H16444" t="s">
        <v>35291</v>
      </c>
    </row>
    <row r="16445" spans="8:8">
      <c r="H16445" t="s">
        <v>35294</v>
      </c>
    </row>
    <row r="16446" spans="8:8">
      <c r="H16446" t="s">
        <v>35295</v>
      </c>
    </row>
    <row r="16447" spans="8:8">
      <c r="H16447" t="s">
        <v>35296</v>
      </c>
    </row>
    <row r="16448" spans="8:8">
      <c r="H16448" t="s">
        <v>35297</v>
      </c>
    </row>
    <row r="16449" spans="6:8">
      <c r="H16449" t="s">
        <v>35298</v>
      </c>
    </row>
    <row r="16450" spans="6:8">
      <c r="H16450" t="s">
        <v>35299</v>
      </c>
    </row>
    <row r="16451" spans="6:8">
      <c r="H16451" t="s">
        <v>35300</v>
      </c>
    </row>
    <row r="16452" spans="6:8">
      <c r="H16452" t="s">
        <v>35301</v>
      </c>
    </row>
    <row r="16453" spans="6:8">
      <c r="H16453" t="s">
        <v>35302</v>
      </c>
    </row>
    <row r="16454" spans="6:8">
      <c r="H16454" t="s">
        <v>35303</v>
      </c>
    </row>
    <row r="16455" spans="6:8">
      <c r="H16455" t="s">
        <v>35304</v>
      </c>
    </row>
    <row r="16456" spans="6:8">
      <c r="H16456" t="s">
        <v>35305</v>
      </c>
    </row>
    <row r="16457" spans="6:8">
      <c r="F16457" t="s">
        <v>14316</v>
      </c>
      <c r="G16457" t="s">
        <v>18273</v>
      </c>
      <c r="H16457" t="s">
        <v>35307</v>
      </c>
    </row>
    <row r="16458" spans="6:8">
      <c r="F16458" t="s">
        <v>14317</v>
      </c>
      <c r="G16458" t="s">
        <v>18274</v>
      </c>
      <c r="H16458" t="s">
        <v>35308</v>
      </c>
    </row>
    <row r="16459" spans="6:8">
      <c r="H16459" t="s">
        <v>35309</v>
      </c>
    </row>
    <row r="16460" spans="6:8">
      <c r="H16460" t="s">
        <v>35310</v>
      </c>
    </row>
    <row r="16461" spans="6:8">
      <c r="F16461" t="s">
        <v>14318</v>
      </c>
      <c r="G16461" t="s">
        <v>18275</v>
      </c>
      <c r="H16461" t="s">
        <v>35317</v>
      </c>
    </row>
    <row r="16462" spans="6:8">
      <c r="F16462" t="s">
        <v>14319</v>
      </c>
      <c r="G16462" t="s">
        <v>18276</v>
      </c>
      <c r="H16462" t="s">
        <v>18836</v>
      </c>
    </row>
    <row r="16463" spans="6:8">
      <c r="F16463" t="s">
        <v>14320</v>
      </c>
      <c r="G16463" t="s">
        <v>18277</v>
      </c>
      <c r="H16463" t="s">
        <v>30172</v>
      </c>
    </row>
    <row r="16464" spans="6:8">
      <c r="H16464" t="s">
        <v>35318</v>
      </c>
    </row>
    <row r="16465" spans="6:8">
      <c r="H16465" t="s">
        <v>35319</v>
      </c>
    </row>
    <row r="16466" spans="6:8">
      <c r="H16466" t="s">
        <v>35320</v>
      </c>
    </row>
    <row r="16467" spans="6:8">
      <c r="H16467" t="s">
        <v>35321</v>
      </c>
    </row>
    <row r="16468" spans="6:8">
      <c r="H16468" t="s">
        <v>35322</v>
      </c>
    </row>
    <row r="16469" spans="6:8">
      <c r="F16469" t="s">
        <v>14321</v>
      </c>
      <c r="G16469" t="s">
        <v>18278</v>
      </c>
      <c r="H16469" t="s">
        <v>35328</v>
      </c>
    </row>
    <row r="16470" spans="6:8">
      <c r="F16470" t="s">
        <v>14322</v>
      </c>
      <c r="G16470" t="s">
        <v>18279</v>
      </c>
      <c r="H16470" t="s">
        <v>22358</v>
      </c>
    </row>
    <row r="16471" spans="6:8">
      <c r="H16471" t="s">
        <v>35329</v>
      </c>
    </row>
    <row r="16472" spans="6:8">
      <c r="H16472" t="s">
        <v>35330</v>
      </c>
    </row>
    <row r="16473" spans="6:8">
      <c r="F16473" t="s">
        <v>14323</v>
      </c>
      <c r="G16473" t="s">
        <v>18280</v>
      </c>
      <c r="H16473" t="s">
        <v>35333</v>
      </c>
    </row>
    <row r="16474" spans="6:8">
      <c r="H16474" t="s">
        <v>29840</v>
      </c>
    </row>
    <row r="16475" spans="6:8">
      <c r="H16475" t="s">
        <v>35334</v>
      </c>
    </row>
    <row r="16476" spans="6:8">
      <c r="H16476" t="s">
        <v>35335</v>
      </c>
    </row>
    <row r="16477" spans="6:8">
      <c r="H16477" t="s">
        <v>19007</v>
      </c>
    </row>
    <row r="16478" spans="6:8">
      <c r="H16478" t="s">
        <v>35336</v>
      </c>
    </row>
    <row r="16479" spans="6:8">
      <c r="F16479" t="s">
        <v>14324</v>
      </c>
      <c r="G16479" t="s">
        <v>18281</v>
      </c>
      <c r="H16479" t="s">
        <v>35338</v>
      </c>
    </row>
    <row r="16480" spans="6:8">
      <c r="H16480" t="s">
        <v>35339</v>
      </c>
    </row>
    <row r="16481" spans="1:8">
      <c r="H16481" t="s">
        <v>35340</v>
      </c>
    </row>
    <row r="16482" spans="1:8">
      <c r="H16482" t="s">
        <v>35341</v>
      </c>
    </row>
    <row r="16483" spans="1:8">
      <c r="H16483" t="s">
        <v>35342</v>
      </c>
    </row>
    <row r="16484" spans="1:8">
      <c r="F16484" t="s">
        <v>14102</v>
      </c>
      <c r="G16484" t="s">
        <v>18095</v>
      </c>
      <c r="H16484" t="s">
        <v>35349</v>
      </c>
    </row>
    <row r="16485" spans="1:8">
      <c r="H16485" t="s">
        <v>35350</v>
      </c>
    </row>
    <row r="16486" spans="1:8">
      <c r="H16486" t="s">
        <v>35351</v>
      </c>
    </row>
    <row r="16487" spans="1:8">
      <c r="H16487" t="s">
        <v>35352</v>
      </c>
    </row>
    <row r="16488" spans="1:8">
      <c r="H16488" t="s">
        <v>35353</v>
      </c>
    </row>
    <row r="16489" spans="1:8">
      <c r="H16489" t="s">
        <v>35354</v>
      </c>
    </row>
    <row r="16490" spans="1:8">
      <c r="H16490" t="s">
        <v>35357</v>
      </c>
    </row>
    <row r="16491" spans="1:8">
      <c r="H16491" t="s">
        <v>35359</v>
      </c>
    </row>
    <row r="16492" spans="1:8">
      <c r="A16492" t="s">
        <v>3509</v>
      </c>
      <c r="B16492">
        <f>HYPERLINK("https://android.googlesource.com/platform/cts/+/0422ee2cb32c900b3911f40c67f9dedb3f780da6", "0422ee2cb32c900b3911f40c67f9dedb3f780da6")</f>
        <v>0</v>
      </c>
      <c r="C16492">
        <f>HYPERLINK("https://android.googlesource.com/platform/cts/+/c29ffa3e5caa87117802312775d947a642d8798c", "c29ffa3e5caa87117802312775d947a642d8798c")</f>
        <v>0</v>
      </c>
      <c r="D16492" t="s">
        <v>5576</v>
      </c>
      <c r="E16492" t="s">
        <v>9203</v>
      </c>
      <c r="F16492" t="s">
        <v>13857</v>
      </c>
      <c r="G16492" t="s">
        <v>17899</v>
      </c>
      <c r="H16492" t="s">
        <v>34807</v>
      </c>
    </row>
    <row r="16493" spans="1:8">
      <c r="H16493" t="s">
        <v>34808</v>
      </c>
    </row>
    <row r="16494" spans="1:8">
      <c r="H16494" t="s">
        <v>34809</v>
      </c>
    </row>
    <row r="16495" spans="1:8">
      <c r="H16495" t="s">
        <v>34810</v>
      </c>
    </row>
    <row r="16496" spans="1:8">
      <c r="H16496" t="s">
        <v>34811</v>
      </c>
    </row>
    <row r="16497" spans="6:8">
      <c r="H16497" t="s">
        <v>34812</v>
      </c>
    </row>
    <row r="16498" spans="6:8">
      <c r="F16498" t="s">
        <v>13976</v>
      </c>
      <c r="G16498" t="s">
        <v>18001</v>
      </c>
      <c r="H16498" t="s">
        <v>34814</v>
      </c>
    </row>
    <row r="16499" spans="6:8">
      <c r="H16499" t="s">
        <v>34815</v>
      </c>
    </row>
    <row r="16500" spans="6:8">
      <c r="H16500" t="s">
        <v>34816</v>
      </c>
    </row>
    <row r="16501" spans="6:8">
      <c r="H16501" t="s">
        <v>34817</v>
      </c>
    </row>
    <row r="16502" spans="6:8">
      <c r="H16502" t="s">
        <v>34818</v>
      </c>
    </row>
    <row r="16503" spans="6:8">
      <c r="H16503" t="s">
        <v>34819</v>
      </c>
    </row>
    <row r="16504" spans="6:8">
      <c r="H16504" t="s">
        <v>34820</v>
      </c>
    </row>
    <row r="16505" spans="6:8">
      <c r="H16505" t="s">
        <v>34821</v>
      </c>
    </row>
    <row r="16506" spans="6:8">
      <c r="H16506" t="s">
        <v>34822</v>
      </c>
    </row>
    <row r="16507" spans="6:8">
      <c r="F16507" t="s">
        <v>13977</v>
      </c>
      <c r="G16507" t="s">
        <v>18002</v>
      </c>
      <c r="H16507" t="s">
        <v>33907</v>
      </c>
    </row>
    <row r="16508" spans="6:8">
      <c r="H16508" t="s">
        <v>33908</v>
      </c>
    </row>
    <row r="16509" spans="6:8">
      <c r="F16509" t="s">
        <v>12416</v>
      </c>
      <c r="G16509" t="s">
        <v>16638</v>
      </c>
      <c r="H16509" t="s">
        <v>26751</v>
      </c>
    </row>
    <row r="16510" spans="6:8">
      <c r="H16510" t="s">
        <v>34852</v>
      </c>
    </row>
    <row r="16511" spans="6:8">
      <c r="H16511" t="s">
        <v>34853</v>
      </c>
    </row>
    <row r="16512" spans="6:8">
      <c r="H16512" t="s">
        <v>34854</v>
      </c>
    </row>
    <row r="16513" spans="6:8">
      <c r="H16513" t="s">
        <v>34855</v>
      </c>
    </row>
    <row r="16514" spans="6:8">
      <c r="H16514" t="s">
        <v>34856</v>
      </c>
    </row>
    <row r="16515" spans="6:8">
      <c r="H16515" t="s">
        <v>34857</v>
      </c>
    </row>
    <row r="16516" spans="6:8">
      <c r="H16516" t="s">
        <v>34858</v>
      </c>
    </row>
    <row r="16517" spans="6:8">
      <c r="H16517" t="s">
        <v>34859</v>
      </c>
    </row>
    <row r="16518" spans="6:8">
      <c r="H16518" t="s">
        <v>34860</v>
      </c>
    </row>
    <row r="16519" spans="6:8">
      <c r="H16519" t="s">
        <v>34861</v>
      </c>
    </row>
    <row r="16520" spans="6:8">
      <c r="H16520" t="s">
        <v>34862</v>
      </c>
    </row>
    <row r="16521" spans="6:8">
      <c r="H16521" t="s">
        <v>34863</v>
      </c>
    </row>
    <row r="16522" spans="6:8">
      <c r="H16522" t="s">
        <v>34864</v>
      </c>
    </row>
    <row r="16523" spans="6:8">
      <c r="H16523" t="s">
        <v>34870</v>
      </c>
    </row>
    <row r="16524" spans="6:8">
      <c r="F16524" t="s">
        <v>14304</v>
      </c>
      <c r="G16524" t="s">
        <v>18262</v>
      </c>
      <c r="H16524" t="s">
        <v>34873</v>
      </c>
    </row>
    <row r="16525" spans="6:8">
      <c r="H16525" t="s">
        <v>34874</v>
      </c>
    </row>
    <row r="16526" spans="6:8">
      <c r="H16526" t="s">
        <v>34875</v>
      </c>
    </row>
    <row r="16527" spans="6:8">
      <c r="H16527" t="s">
        <v>31037</v>
      </c>
    </row>
    <row r="16528" spans="6:8">
      <c r="F16528" t="s">
        <v>13941</v>
      </c>
      <c r="G16528" t="s">
        <v>17972</v>
      </c>
      <c r="H16528" t="s">
        <v>32340</v>
      </c>
    </row>
    <row r="16529" spans="6:8">
      <c r="H16529" t="s">
        <v>32342</v>
      </c>
    </row>
    <row r="16530" spans="6:8">
      <c r="H16530" t="s">
        <v>32341</v>
      </c>
    </row>
    <row r="16531" spans="6:8">
      <c r="F16531" t="s">
        <v>14305</v>
      </c>
      <c r="G16531" t="s">
        <v>18005</v>
      </c>
      <c r="H16531" t="s">
        <v>34876</v>
      </c>
    </row>
    <row r="16532" spans="6:8">
      <c r="F16532" t="s">
        <v>14234</v>
      </c>
      <c r="G16532" t="s">
        <v>18204</v>
      </c>
      <c r="H16532" t="s">
        <v>34880</v>
      </c>
    </row>
    <row r="16533" spans="6:8">
      <c r="H16533" t="s">
        <v>34881</v>
      </c>
    </row>
    <row r="16534" spans="6:8">
      <c r="H16534" t="s">
        <v>34884</v>
      </c>
    </row>
    <row r="16535" spans="6:8">
      <c r="H16535" t="s">
        <v>34885</v>
      </c>
    </row>
    <row r="16536" spans="6:8">
      <c r="H16536" t="s">
        <v>34886</v>
      </c>
    </row>
    <row r="16537" spans="6:8">
      <c r="H16537" t="s">
        <v>34887</v>
      </c>
    </row>
    <row r="16538" spans="6:8">
      <c r="H16538" t="s">
        <v>34888</v>
      </c>
    </row>
    <row r="16539" spans="6:8">
      <c r="H16539" t="s">
        <v>34889</v>
      </c>
    </row>
    <row r="16540" spans="6:8">
      <c r="H16540" t="s">
        <v>34890</v>
      </c>
    </row>
    <row r="16541" spans="6:8">
      <c r="H16541" t="s">
        <v>34892</v>
      </c>
    </row>
    <row r="16542" spans="6:8">
      <c r="H16542" t="s">
        <v>34893</v>
      </c>
    </row>
    <row r="16543" spans="6:8">
      <c r="F16543" t="s">
        <v>10700</v>
      </c>
      <c r="G16543" t="s">
        <v>15100</v>
      </c>
      <c r="H16543" t="s">
        <v>34906</v>
      </c>
    </row>
    <row r="16544" spans="6:8">
      <c r="H16544" t="s">
        <v>22508</v>
      </c>
    </row>
    <row r="16545" spans="8:8">
      <c r="H16545" t="s">
        <v>34907</v>
      </c>
    </row>
    <row r="16546" spans="8:8">
      <c r="H16546" t="s">
        <v>34908</v>
      </c>
    </row>
    <row r="16547" spans="8:8">
      <c r="H16547" t="s">
        <v>34909</v>
      </c>
    </row>
    <row r="16548" spans="8:8">
      <c r="H16548" t="s">
        <v>34910</v>
      </c>
    </row>
    <row r="16549" spans="8:8">
      <c r="H16549" t="s">
        <v>34911</v>
      </c>
    </row>
    <row r="16550" spans="8:8">
      <c r="H16550" t="s">
        <v>25838</v>
      </c>
    </row>
    <row r="16551" spans="8:8">
      <c r="H16551" t="s">
        <v>34920</v>
      </c>
    </row>
    <row r="16552" spans="8:8">
      <c r="H16552" t="s">
        <v>25839</v>
      </c>
    </row>
    <row r="16553" spans="8:8">
      <c r="H16553" t="s">
        <v>27479</v>
      </c>
    </row>
    <row r="16554" spans="8:8">
      <c r="H16554" t="s">
        <v>34922</v>
      </c>
    </row>
    <row r="16555" spans="8:8">
      <c r="H16555" t="s">
        <v>34923</v>
      </c>
    </row>
    <row r="16556" spans="8:8">
      <c r="H16556" t="s">
        <v>34924</v>
      </c>
    </row>
    <row r="16557" spans="8:8">
      <c r="H16557" t="s">
        <v>34925</v>
      </c>
    </row>
    <row r="16558" spans="8:8">
      <c r="H16558" t="s">
        <v>34927</v>
      </c>
    </row>
    <row r="16559" spans="8:8">
      <c r="H16559" t="s">
        <v>34935</v>
      </c>
    </row>
    <row r="16560" spans="8:8">
      <c r="H16560" t="s">
        <v>34950</v>
      </c>
    </row>
    <row r="16561" spans="6:8">
      <c r="H16561" t="s">
        <v>34951</v>
      </c>
    </row>
    <row r="16562" spans="6:8">
      <c r="H16562" t="s">
        <v>34952</v>
      </c>
    </row>
    <row r="16563" spans="6:8">
      <c r="H16563" t="s">
        <v>34957</v>
      </c>
    </row>
    <row r="16564" spans="6:8">
      <c r="H16564" t="s">
        <v>34958</v>
      </c>
    </row>
    <row r="16565" spans="6:8">
      <c r="H16565" t="s">
        <v>34960</v>
      </c>
    </row>
    <row r="16566" spans="6:8">
      <c r="H16566" t="s">
        <v>34961</v>
      </c>
    </row>
    <row r="16567" spans="6:8">
      <c r="H16567" t="s">
        <v>34962</v>
      </c>
    </row>
    <row r="16568" spans="6:8">
      <c r="H16568" t="s">
        <v>34966</v>
      </c>
    </row>
    <row r="16569" spans="6:8">
      <c r="F16569" t="s">
        <v>14306</v>
      </c>
      <c r="G16569" t="s">
        <v>18263</v>
      </c>
      <c r="H16569" t="s">
        <v>34967</v>
      </c>
    </row>
    <row r="16570" spans="6:8">
      <c r="F16570" t="s">
        <v>13837</v>
      </c>
      <c r="G16570" t="s">
        <v>17880</v>
      </c>
      <c r="H16570" t="s">
        <v>31852</v>
      </c>
    </row>
    <row r="16571" spans="6:8">
      <c r="H16571" t="s">
        <v>34980</v>
      </c>
    </row>
    <row r="16572" spans="6:8">
      <c r="H16572" t="s">
        <v>34981</v>
      </c>
    </row>
    <row r="16573" spans="6:8">
      <c r="H16573" t="s">
        <v>34982</v>
      </c>
    </row>
    <row r="16574" spans="6:8">
      <c r="H16574" t="s">
        <v>34983</v>
      </c>
    </row>
    <row r="16575" spans="6:8">
      <c r="H16575" t="s">
        <v>34984</v>
      </c>
    </row>
    <row r="16576" spans="6:8">
      <c r="H16576" t="s">
        <v>34985</v>
      </c>
    </row>
    <row r="16577" spans="8:8">
      <c r="H16577" t="s">
        <v>34986</v>
      </c>
    </row>
    <row r="16578" spans="8:8">
      <c r="H16578" t="s">
        <v>34987</v>
      </c>
    </row>
    <row r="16579" spans="8:8">
      <c r="H16579" t="s">
        <v>34988</v>
      </c>
    </row>
    <row r="16580" spans="8:8">
      <c r="H16580" t="s">
        <v>34994</v>
      </c>
    </row>
    <row r="16581" spans="8:8">
      <c r="H16581" t="s">
        <v>34995</v>
      </c>
    </row>
    <row r="16582" spans="8:8">
      <c r="H16582" t="s">
        <v>34996</v>
      </c>
    </row>
    <row r="16583" spans="8:8">
      <c r="H16583" t="s">
        <v>35002</v>
      </c>
    </row>
    <row r="16584" spans="8:8">
      <c r="H16584" t="s">
        <v>35003</v>
      </c>
    </row>
    <row r="16585" spans="8:8">
      <c r="H16585" t="s">
        <v>35004</v>
      </c>
    </row>
    <row r="16586" spans="8:8">
      <c r="H16586" t="s">
        <v>35005</v>
      </c>
    </row>
    <row r="16587" spans="8:8">
      <c r="H16587" t="s">
        <v>35006</v>
      </c>
    </row>
    <row r="16588" spans="8:8">
      <c r="H16588" t="s">
        <v>35007</v>
      </c>
    </row>
    <row r="16589" spans="8:8">
      <c r="H16589" t="s">
        <v>35008</v>
      </c>
    </row>
    <row r="16590" spans="8:8">
      <c r="H16590" t="s">
        <v>35009</v>
      </c>
    </row>
    <row r="16591" spans="8:8">
      <c r="H16591" t="s">
        <v>35011</v>
      </c>
    </row>
    <row r="16592" spans="8:8">
      <c r="H16592" t="s">
        <v>35014</v>
      </c>
    </row>
    <row r="16593" spans="6:8">
      <c r="F16593" t="s">
        <v>12201</v>
      </c>
      <c r="G16593" t="s">
        <v>16439</v>
      </c>
      <c r="H16593" t="s">
        <v>21327</v>
      </c>
    </row>
    <row r="16594" spans="6:8">
      <c r="F16594" t="s">
        <v>14222</v>
      </c>
      <c r="G16594" t="s">
        <v>18195</v>
      </c>
      <c r="H16594" t="s">
        <v>35024</v>
      </c>
    </row>
    <row r="16595" spans="6:8">
      <c r="H16595" t="s">
        <v>35025</v>
      </c>
    </row>
    <row r="16596" spans="6:8">
      <c r="H16596" t="s">
        <v>35026</v>
      </c>
    </row>
    <row r="16597" spans="6:8">
      <c r="H16597" t="s">
        <v>35028</v>
      </c>
    </row>
    <row r="16598" spans="6:8">
      <c r="H16598" t="s">
        <v>35029</v>
      </c>
    </row>
    <row r="16599" spans="6:8">
      <c r="H16599" t="s">
        <v>35030</v>
      </c>
    </row>
    <row r="16600" spans="6:8">
      <c r="H16600" t="s">
        <v>35031</v>
      </c>
    </row>
    <row r="16601" spans="6:8">
      <c r="H16601" t="s">
        <v>35032</v>
      </c>
    </row>
    <row r="16602" spans="6:8">
      <c r="H16602" t="s">
        <v>35033</v>
      </c>
    </row>
    <row r="16603" spans="6:8">
      <c r="H16603" t="s">
        <v>35036</v>
      </c>
    </row>
    <row r="16604" spans="6:8">
      <c r="H16604" t="s">
        <v>35037</v>
      </c>
    </row>
    <row r="16605" spans="6:8">
      <c r="F16605" t="s">
        <v>14307</v>
      </c>
      <c r="G16605" t="s">
        <v>18264</v>
      </c>
      <c r="H16605" t="s">
        <v>35042</v>
      </c>
    </row>
    <row r="16606" spans="6:8">
      <c r="H16606" t="s">
        <v>35043</v>
      </c>
    </row>
    <row r="16607" spans="6:8">
      <c r="H16607" t="s">
        <v>35044</v>
      </c>
    </row>
    <row r="16608" spans="6:8">
      <c r="H16608" t="s">
        <v>35045</v>
      </c>
    </row>
    <row r="16609" spans="6:8">
      <c r="H16609" t="s">
        <v>35046</v>
      </c>
    </row>
    <row r="16610" spans="6:8">
      <c r="H16610" t="s">
        <v>35047</v>
      </c>
    </row>
    <row r="16611" spans="6:8">
      <c r="F16611" t="s">
        <v>14159</v>
      </c>
      <c r="G16611" t="s">
        <v>18145</v>
      </c>
      <c r="H16611" t="s">
        <v>18836</v>
      </c>
    </row>
    <row r="16612" spans="6:8">
      <c r="H16612" t="s">
        <v>35050</v>
      </c>
    </row>
    <row r="16613" spans="6:8">
      <c r="F16613" t="s">
        <v>14308</v>
      </c>
      <c r="G16613" t="s">
        <v>18265</v>
      </c>
      <c r="H16613" t="s">
        <v>35070</v>
      </c>
    </row>
    <row r="16614" spans="6:8">
      <c r="H16614" t="s">
        <v>35071</v>
      </c>
    </row>
    <row r="16615" spans="6:8">
      <c r="H16615" t="s">
        <v>35072</v>
      </c>
    </row>
    <row r="16616" spans="6:8">
      <c r="H16616" t="s">
        <v>35073</v>
      </c>
    </row>
    <row r="16617" spans="6:8">
      <c r="H16617" t="s">
        <v>35074</v>
      </c>
    </row>
    <row r="16618" spans="6:8">
      <c r="H16618" t="s">
        <v>35075</v>
      </c>
    </row>
    <row r="16619" spans="6:8">
      <c r="F16619" t="s">
        <v>13309</v>
      </c>
      <c r="G16619" t="s">
        <v>17442</v>
      </c>
      <c r="H16619" t="s">
        <v>29102</v>
      </c>
    </row>
    <row r="16620" spans="6:8">
      <c r="H16620" t="s">
        <v>29103</v>
      </c>
    </row>
    <row r="16621" spans="6:8">
      <c r="H16621" t="s">
        <v>35091</v>
      </c>
    </row>
    <row r="16622" spans="6:8">
      <c r="H16622" t="s">
        <v>35092</v>
      </c>
    </row>
    <row r="16623" spans="6:8">
      <c r="H16623" t="s">
        <v>35093</v>
      </c>
    </row>
    <row r="16624" spans="6:8">
      <c r="H16624" t="s">
        <v>35094</v>
      </c>
    </row>
    <row r="16625" spans="8:8">
      <c r="H16625" t="s">
        <v>35095</v>
      </c>
    </row>
    <row r="16626" spans="8:8">
      <c r="H16626" t="s">
        <v>35096</v>
      </c>
    </row>
    <row r="16627" spans="8:8">
      <c r="H16627" t="s">
        <v>35097</v>
      </c>
    </row>
    <row r="16628" spans="8:8">
      <c r="H16628" t="s">
        <v>35098</v>
      </c>
    </row>
    <row r="16629" spans="8:8">
      <c r="H16629" t="s">
        <v>35099</v>
      </c>
    </row>
    <row r="16630" spans="8:8">
      <c r="H16630" t="s">
        <v>35100</v>
      </c>
    </row>
    <row r="16631" spans="8:8">
      <c r="H16631" t="s">
        <v>35101</v>
      </c>
    </row>
    <row r="16632" spans="8:8">
      <c r="H16632" t="s">
        <v>35102</v>
      </c>
    </row>
    <row r="16633" spans="8:8">
      <c r="H16633" t="s">
        <v>35103</v>
      </c>
    </row>
    <row r="16634" spans="8:8">
      <c r="H16634" t="s">
        <v>35104</v>
      </c>
    </row>
    <row r="16635" spans="8:8">
      <c r="H16635" t="s">
        <v>35105</v>
      </c>
    </row>
    <row r="16636" spans="8:8">
      <c r="H16636" t="s">
        <v>35106</v>
      </c>
    </row>
    <row r="16637" spans="8:8">
      <c r="H16637" t="s">
        <v>35107</v>
      </c>
    </row>
    <row r="16638" spans="8:8">
      <c r="H16638" t="s">
        <v>35108</v>
      </c>
    </row>
    <row r="16639" spans="8:8">
      <c r="H16639" t="s">
        <v>35109</v>
      </c>
    </row>
    <row r="16640" spans="8:8">
      <c r="H16640" t="s">
        <v>35110</v>
      </c>
    </row>
    <row r="16641" spans="8:8">
      <c r="H16641" t="s">
        <v>35111</v>
      </c>
    </row>
    <row r="16642" spans="8:8">
      <c r="H16642" t="s">
        <v>35112</v>
      </c>
    </row>
    <row r="16643" spans="8:8">
      <c r="H16643" t="s">
        <v>35113</v>
      </c>
    </row>
    <row r="16644" spans="8:8">
      <c r="H16644" t="s">
        <v>35114</v>
      </c>
    </row>
    <row r="16645" spans="8:8">
      <c r="H16645" t="s">
        <v>35115</v>
      </c>
    </row>
    <row r="16646" spans="8:8">
      <c r="H16646" t="s">
        <v>35116</v>
      </c>
    </row>
    <row r="16647" spans="8:8">
      <c r="H16647" t="s">
        <v>35117</v>
      </c>
    </row>
    <row r="16648" spans="8:8">
      <c r="H16648" t="s">
        <v>35118</v>
      </c>
    </row>
    <row r="16649" spans="8:8">
      <c r="H16649" t="s">
        <v>35119</v>
      </c>
    </row>
    <row r="16650" spans="8:8">
      <c r="H16650" t="s">
        <v>35120</v>
      </c>
    </row>
    <row r="16651" spans="8:8">
      <c r="H16651" t="s">
        <v>35121</v>
      </c>
    </row>
    <row r="16652" spans="8:8">
      <c r="H16652" t="s">
        <v>35122</v>
      </c>
    </row>
    <row r="16653" spans="8:8">
      <c r="H16653" t="s">
        <v>35123</v>
      </c>
    </row>
    <row r="16654" spans="8:8">
      <c r="H16654" t="s">
        <v>35124</v>
      </c>
    </row>
    <row r="16655" spans="8:8">
      <c r="H16655" t="s">
        <v>35125</v>
      </c>
    </row>
    <row r="16656" spans="8:8">
      <c r="H16656" t="s">
        <v>35126</v>
      </c>
    </row>
    <row r="16657" spans="8:8">
      <c r="H16657" t="s">
        <v>35127</v>
      </c>
    </row>
    <row r="16658" spans="8:8">
      <c r="H16658" t="s">
        <v>35128</v>
      </c>
    </row>
    <row r="16659" spans="8:8">
      <c r="H16659" t="s">
        <v>35129</v>
      </c>
    </row>
    <row r="16660" spans="8:8">
      <c r="H16660" t="s">
        <v>35130</v>
      </c>
    </row>
    <row r="16661" spans="8:8">
      <c r="H16661" t="s">
        <v>35131</v>
      </c>
    </row>
    <row r="16662" spans="8:8">
      <c r="H16662" t="s">
        <v>35132</v>
      </c>
    </row>
    <row r="16663" spans="8:8">
      <c r="H16663" t="s">
        <v>35133</v>
      </c>
    </row>
    <row r="16664" spans="8:8">
      <c r="H16664" t="s">
        <v>35134</v>
      </c>
    </row>
    <row r="16665" spans="8:8">
      <c r="H16665" t="s">
        <v>35135</v>
      </c>
    </row>
    <row r="16666" spans="8:8">
      <c r="H16666" t="s">
        <v>35136</v>
      </c>
    </row>
    <row r="16667" spans="8:8">
      <c r="H16667" t="s">
        <v>35137</v>
      </c>
    </row>
    <row r="16668" spans="8:8">
      <c r="H16668" t="s">
        <v>35138</v>
      </c>
    </row>
    <row r="16669" spans="8:8">
      <c r="H16669" t="s">
        <v>35139</v>
      </c>
    </row>
    <row r="16670" spans="8:8">
      <c r="H16670" t="s">
        <v>35140</v>
      </c>
    </row>
    <row r="16671" spans="8:8">
      <c r="H16671" t="s">
        <v>35141</v>
      </c>
    </row>
    <row r="16672" spans="8:8">
      <c r="H16672" t="s">
        <v>35142</v>
      </c>
    </row>
    <row r="16673" spans="6:8">
      <c r="H16673" t="s">
        <v>35143</v>
      </c>
    </row>
    <row r="16674" spans="6:8">
      <c r="H16674" t="s">
        <v>35144</v>
      </c>
    </row>
    <row r="16675" spans="6:8">
      <c r="H16675" t="s">
        <v>35145</v>
      </c>
    </row>
    <row r="16676" spans="6:8">
      <c r="H16676" t="s">
        <v>35146</v>
      </c>
    </row>
    <row r="16677" spans="6:8">
      <c r="H16677" t="s">
        <v>35147</v>
      </c>
    </row>
    <row r="16678" spans="6:8">
      <c r="H16678" t="s">
        <v>35148</v>
      </c>
    </row>
    <row r="16679" spans="6:8">
      <c r="H16679" t="s">
        <v>35149</v>
      </c>
    </row>
    <row r="16680" spans="6:8">
      <c r="H16680" t="s">
        <v>35150</v>
      </c>
    </row>
    <row r="16681" spans="6:8">
      <c r="H16681" t="s">
        <v>35151</v>
      </c>
    </row>
    <row r="16682" spans="6:8">
      <c r="H16682" t="s">
        <v>35152</v>
      </c>
    </row>
    <row r="16683" spans="6:8">
      <c r="H16683" t="s">
        <v>35153</v>
      </c>
    </row>
    <row r="16684" spans="6:8">
      <c r="H16684" t="s">
        <v>35154</v>
      </c>
    </row>
    <row r="16685" spans="6:8">
      <c r="H16685" t="s">
        <v>35155</v>
      </c>
    </row>
    <row r="16686" spans="6:8">
      <c r="H16686" t="s">
        <v>35156</v>
      </c>
    </row>
    <row r="16687" spans="6:8">
      <c r="F16687" t="s">
        <v>13928</v>
      </c>
      <c r="G16687" t="s">
        <v>17964</v>
      </c>
      <c r="H16687" t="s">
        <v>35159</v>
      </c>
    </row>
    <row r="16688" spans="6:8">
      <c r="H16688" t="s">
        <v>35160</v>
      </c>
    </row>
    <row r="16689" spans="8:8">
      <c r="H16689" t="s">
        <v>35175</v>
      </c>
    </row>
    <row r="16690" spans="8:8">
      <c r="H16690" t="s">
        <v>35176</v>
      </c>
    </row>
    <row r="16691" spans="8:8">
      <c r="H16691" t="s">
        <v>35177</v>
      </c>
    </row>
    <row r="16692" spans="8:8">
      <c r="H16692" t="s">
        <v>35178</v>
      </c>
    </row>
    <row r="16693" spans="8:8">
      <c r="H16693" t="s">
        <v>35179</v>
      </c>
    </row>
    <row r="16694" spans="8:8">
      <c r="H16694" t="s">
        <v>35180</v>
      </c>
    </row>
    <row r="16695" spans="8:8">
      <c r="H16695" t="s">
        <v>35181</v>
      </c>
    </row>
    <row r="16696" spans="8:8">
      <c r="H16696" t="s">
        <v>35182</v>
      </c>
    </row>
    <row r="16697" spans="8:8">
      <c r="H16697" t="s">
        <v>35183</v>
      </c>
    </row>
    <row r="16698" spans="8:8">
      <c r="H16698" t="s">
        <v>35184</v>
      </c>
    </row>
    <row r="16699" spans="8:8">
      <c r="H16699" t="s">
        <v>35185</v>
      </c>
    </row>
    <row r="16700" spans="8:8">
      <c r="H16700" t="s">
        <v>35186</v>
      </c>
    </row>
    <row r="16701" spans="8:8">
      <c r="H16701" t="s">
        <v>35187</v>
      </c>
    </row>
    <row r="16702" spans="8:8">
      <c r="H16702" t="s">
        <v>35188</v>
      </c>
    </row>
    <row r="16703" spans="8:8">
      <c r="H16703" t="s">
        <v>35189</v>
      </c>
    </row>
    <row r="16704" spans="8:8">
      <c r="H16704" t="s">
        <v>35190</v>
      </c>
    </row>
    <row r="16705" spans="6:8">
      <c r="H16705" t="s">
        <v>35191</v>
      </c>
    </row>
    <row r="16706" spans="6:8">
      <c r="H16706" t="s">
        <v>35192</v>
      </c>
    </row>
    <row r="16707" spans="6:8">
      <c r="H16707" t="s">
        <v>35193</v>
      </c>
    </row>
    <row r="16708" spans="6:8">
      <c r="H16708" t="s">
        <v>35194</v>
      </c>
    </row>
    <row r="16709" spans="6:8">
      <c r="H16709" t="s">
        <v>35195</v>
      </c>
    </row>
    <row r="16710" spans="6:8">
      <c r="H16710" t="s">
        <v>35196</v>
      </c>
    </row>
    <row r="16711" spans="6:8">
      <c r="H16711" t="s">
        <v>35197</v>
      </c>
    </row>
    <row r="16712" spans="6:8">
      <c r="H16712" t="s">
        <v>35198</v>
      </c>
    </row>
    <row r="16713" spans="6:8">
      <c r="F16713" t="s">
        <v>12740</v>
      </c>
      <c r="G16713" t="s">
        <v>16932</v>
      </c>
      <c r="H16713" t="s">
        <v>35199</v>
      </c>
    </row>
    <row r="16714" spans="6:8">
      <c r="F16714" t="s">
        <v>10615</v>
      </c>
      <c r="G16714" t="s">
        <v>15018</v>
      </c>
      <c r="H16714" t="s">
        <v>35200</v>
      </c>
    </row>
    <row r="16715" spans="6:8">
      <c r="F16715" t="s">
        <v>10616</v>
      </c>
      <c r="G16715" t="s">
        <v>15019</v>
      </c>
      <c r="H16715" t="s">
        <v>19183</v>
      </c>
    </row>
    <row r="16716" spans="6:8">
      <c r="H16716" t="s">
        <v>19184</v>
      </c>
    </row>
    <row r="16717" spans="6:8">
      <c r="F16717" t="s">
        <v>13133</v>
      </c>
      <c r="G16717" t="s">
        <v>17291</v>
      </c>
      <c r="H16717" t="s">
        <v>35201</v>
      </c>
    </row>
    <row r="16718" spans="6:8">
      <c r="H16718" t="s">
        <v>25716</v>
      </c>
    </row>
    <row r="16719" spans="6:8">
      <c r="H16719" t="s">
        <v>28041</v>
      </c>
    </row>
    <row r="16720" spans="6:8">
      <c r="H16720" t="s">
        <v>28042</v>
      </c>
    </row>
    <row r="16721" spans="6:8">
      <c r="H16721" t="s">
        <v>35202</v>
      </c>
    </row>
    <row r="16722" spans="6:8">
      <c r="H16722" t="s">
        <v>35203</v>
      </c>
    </row>
    <row r="16723" spans="6:8">
      <c r="H16723" t="s">
        <v>35204</v>
      </c>
    </row>
    <row r="16724" spans="6:8">
      <c r="F16724" t="s">
        <v>14309</v>
      </c>
      <c r="G16724" t="s">
        <v>18266</v>
      </c>
      <c r="H16724" t="s">
        <v>35211</v>
      </c>
    </row>
    <row r="16725" spans="6:8">
      <c r="H16725" t="s">
        <v>35212</v>
      </c>
    </row>
    <row r="16726" spans="6:8">
      <c r="H16726" t="s">
        <v>35213</v>
      </c>
    </row>
    <row r="16727" spans="6:8">
      <c r="H16727" t="s">
        <v>35214</v>
      </c>
    </row>
    <row r="16728" spans="6:8">
      <c r="H16728" t="s">
        <v>35215</v>
      </c>
    </row>
    <row r="16729" spans="6:8">
      <c r="F16729" t="s">
        <v>14310</v>
      </c>
      <c r="G16729" t="s">
        <v>18267</v>
      </c>
      <c r="H16729" t="s">
        <v>35216</v>
      </c>
    </row>
    <row r="16730" spans="6:8">
      <c r="F16730" t="s">
        <v>14210</v>
      </c>
      <c r="G16730" t="s">
        <v>18186</v>
      </c>
      <c r="H16730" t="s">
        <v>35217</v>
      </c>
    </row>
    <row r="16731" spans="6:8">
      <c r="H16731" t="s">
        <v>35218</v>
      </c>
    </row>
    <row r="16732" spans="6:8">
      <c r="H16732" t="s">
        <v>35219</v>
      </c>
    </row>
    <row r="16733" spans="6:8">
      <c r="H16733" t="s">
        <v>35220</v>
      </c>
    </row>
    <row r="16734" spans="6:8">
      <c r="H16734" t="s">
        <v>35221</v>
      </c>
    </row>
    <row r="16735" spans="6:8">
      <c r="H16735" t="s">
        <v>35222</v>
      </c>
    </row>
    <row r="16736" spans="6:8">
      <c r="H16736" t="s">
        <v>35223</v>
      </c>
    </row>
    <row r="16737" spans="6:8">
      <c r="H16737" t="s">
        <v>35224</v>
      </c>
    </row>
    <row r="16738" spans="6:8">
      <c r="F16738" t="s">
        <v>10617</v>
      </c>
      <c r="G16738" t="s">
        <v>15020</v>
      </c>
      <c r="H16738" t="s">
        <v>19183</v>
      </c>
    </row>
    <row r="16739" spans="6:8">
      <c r="H16739" t="s">
        <v>19184</v>
      </c>
    </row>
    <row r="16740" spans="6:8">
      <c r="F16740" t="s">
        <v>10618</v>
      </c>
      <c r="G16740" t="s">
        <v>15021</v>
      </c>
      <c r="H16740" t="s">
        <v>19183</v>
      </c>
    </row>
    <row r="16741" spans="6:8">
      <c r="H16741" t="s">
        <v>19184</v>
      </c>
    </row>
    <row r="16742" spans="6:8">
      <c r="F16742" t="s">
        <v>13556</v>
      </c>
      <c r="G16742" t="s">
        <v>17663</v>
      </c>
      <c r="H16742" t="s">
        <v>35227</v>
      </c>
    </row>
    <row r="16743" spans="6:8">
      <c r="H16743" t="s">
        <v>35228</v>
      </c>
    </row>
    <row r="16744" spans="6:8">
      <c r="H16744" t="s">
        <v>35230</v>
      </c>
    </row>
    <row r="16745" spans="6:8">
      <c r="H16745" t="s">
        <v>35231</v>
      </c>
    </row>
    <row r="16746" spans="6:8">
      <c r="H16746" t="s">
        <v>35232</v>
      </c>
    </row>
    <row r="16747" spans="6:8">
      <c r="H16747" t="s">
        <v>35233</v>
      </c>
    </row>
    <row r="16748" spans="6:8">
      <c r="H16748" t="s">
        <v>35234</v>
      </c>
    </row>
    <row r="16749" spans="6:8">
      <c r="H16749" t="s">
        <v>35236</v>
      </c>
    </row>
    <row r="16750" spans="6:8">
      <c r="F16750" t="s">
        <v>14311</v>
      </c>
      <c r="G16750" t="s">
        <v>18268</v>
      </c>
      <c r="H16750" t="s">
        <v>35239</v>
      </c>
    </row>
    <row r="16751" spans="6:8">
      <c r="F16751" t="s">
        <v>14312</v>
      </c>
      <c r="G16751" t="s">
        <v>18269</v>
      </c>
      <c r="H16751" t="s">
        <v>35241</v>
      </c>
    </row>
    <row r="16752" spans="6:8">
      <c r="F16752" t="s">
        <v>14313</v>
      </c>
      <c r="G16752" t="s">
        <v>18270</v>
      </c>
      <c r="H16752" t="s">
        <v>18836</v>
      </c>
    </row>
    <row r="16753" spans="6:8">
      <c r="H16753" t="s">
        <v>35247</v>
      </c>
    </row>
    <row r="16754" spans="6:8">
      <c r="H16754" t="s">
        <v>35248</v>
      </c>
    </row>
    <row r="16755" spans="6:8">
      <c r="H16755" t="s">
        <v>35249</v>
      </c>
    </row>
    <row r="16756" spans="6:8">
      <c r="F16756" t="s">
        <v>10600</v>
      </c>
      <c r="G16756" t="s">
        <v>15003</v>
      </c>
      <c r="H16756" t="s">
        <v>18836</v>
      </c>
    </row>
    <row r="16757" spans="6:8">
      <c r="H16757" t="s">
        <v>35250</v>
      </c>
    </row>
    <row r="16758" spans="6:8">
      <c r="F16758" t="s">
        <v>14314</v>
      </c>
      <c r="G16758" t="s">
        <v>18271</v>
      </c>
      <c r="H16758" t="s">
        <v>35251</v>
      </c>
    </row>
    <row r="16759" spans="6:8">
      <c r="H16759" t="s">
        <v>35252</v>
      </c>
    </row>
    <row r="16760" spans="6:8">
      <c r="H16760" t="s">
        <v>35253</v>
      </c>
    </row>
    <row r="16761" spans="6:8">
      <c r="F16761" t="s">
        <v>13960</v>
      </c>
      <c r="G16761" t="s">
        <v>17986</v>
      </c>
      <c r="H16761" t="s">
        <v>35255</v>
      </c>
    </row>
    <row r="16762" spans="6:8">
      <c r="H16762" t="s">
        <v>35250</v>
      </c>
    </row>
    <row r="16763" spans="6:8">
      <c r="H16763" t="s">
        <v>35256</v>
      </c>
    </row>
    <row r="16764" spans="6:8">
      <c r="H16764" t="s">
        <v>35257</v>
      </c>
    </row>
    <row r="16765" spans="6:8">
      <c r="H16765" t="s">
        <v>35258</v>
      </c>
    </row>
    <row r="16766" spans="6:8">
      <c r="H16766" t="s">
        <v>35259</v>
      </c>
    </row>
    <row r="16767" spans="6:8">
      <c r="H16767" t="s">
        <v>35260</v>
      </c>
    </row>
    <row r="16768" spans="6:8">
      <c r="H16768" t="s">
        <v>35261</v>
      </c>
    </row>
    <row r="16769" spans="6:8">
      <c r="F16769" t="s">
        <v>14315</v>
      </c>
      <c r="G16769" t="s">
        <v>18272</v>
      </c>
      <c r="H16769" t="s">
        <v>35263</v>
      </c>
    </row>
    <row r="16770" spans="6:8">
      <c r="F16770" t="s">
        <v>10726</v>
      </c>
      <c r="G16770" t="s">
        <v>15125</v>
      </c>
      <c r="H16770" t="s">
        <v>35266</v>
      </c>
    </row>
    <row r="16771" spans="6:8">
      <c r="H16771" t="s">
        <v>35267</v>
      </c>
    </row>
    <row r="16772" spans="6:8">
      <c r="H16772" t="s">
        <v>35268</v>
      </c>
    </row>
    <row r="16773" spans="6:8">
      <c r="H16773" t="s">
        <v>35269</v>
      </c>
    </row>
    <row r="16774" spans="6:8">
      <c r="H16774" t="s">
        <v>35271</v>
      </c>
    </row>
    <row r="16775" spans="6:8">
      <c r="F16775" t="s">
        <v>11449</v>
      </c>
      <c r="G16775" t="s">
        <v>15689</v>
      </c>
      <c r="H16775" t="s">
        <v>31759</v>
      </c>
    </row>
    <row r="16776" spans="6:8">
      <c r="H16776" t="s">
        <v>35273</v>
      </c>
    </row>
    <row r="16777" spans="6:8">
      <c r="H16777" t="s">
        <v>35274</v>
      </c>
    </row>
    <row r="16778" spans="6:8">
      <c r="H16778" t="s">
        <v>35275</v>
      </c>
    </row>
    <row r="16779" spans="6:8">
      <c r="H16779" t="s">
        <v>35276</v>
      </c>
    </row>
    <row r="16780" spans="6:8">
      <c r="H16780" t="s">
        <v>35277</v>
      </c>
    </row>
    <row r="16781" spans="6:8">
      <c r="H16781" t="s">
        <v>35279</v>
      </c>
    </row>
    <row r="16782" spans="6:8">
      <c r="H16782" t="s">
        <v>35280</v>
      </c>
    </row>
    <row r="16783" spans="6:8">
      <c r="H16783" t="s">
        <v>35281</v>
      </c>
    </row>
    <row r="16784" spans="6:8">
      <c r="H16784" t="s">
        <v>35282</v>
      </c>
    </row>
    <row r="16785" spans="8:8">
      <c r="H16785" t="s">
        <v>35283</v>
      </c>
    </row>
    <row r="16786" spans="8:8">
      <c r="H16786" t="s">
        <v>35284</v>
      </c>
    </row>
    <row r="16787" spans="8:8">
      <c r="H16787" t="s">
        <v>35285</v>
      </c>
    </row>
    <row r="16788" spans="8:8">
      <c r="H16788" t="s">
        <v>35286</v>
      </c>
    </row>
    <row r="16789" spans="8:8">
      <c r="H16789" t="s">
        <v>35287</v>
      </c>
    </row>
    <row r="16790" spans="8:8">
      <c r="H16790" t="s">
        <v>35288</v>
      </c>
    </row>
    <row r="16791" spans="8:8">
      <c r="H16791" t="s">
        <v>35289</v>
      </c>
    </row>
    <row r="16792" spans="8:8">
      <c r="H16792" t="s">
        <v>35291</v>
      </c>
    </row>
    <row r="16793" spans="8:8">
      <c r="H16793" t="s">
        <v>35294</v>
      </c>
    </row>
    <row r="16794" spans="8:8">
      <c r="H16794" t="s">
        <v>35295</v>
      </c>
    </row>
    <row r="16795" spans="8:8">
      <c r="H16795" t="s">
        <v>35296</v>
      </c>
    </row>
    <row r="16796" spans="8:8">
      <c r="H16796" t="s">
        <v>35297</v>
      </c>
    </row>
    <row r="16797" spans="8:8">
      <c r="H16797" t="s">
        <v>35298</v>
      </c>
    </row>
    <row r="16798" spans="8:8">
      <c r="H16798" t="s">
        <v>35299</v>
      </c>
    </row>
    <row r="16799" spans="8:8">
      <c r="H16799" t="s">
        <v>35300</v>
      </c>
    </row>
    <row r="16800" spans="8:8">
      <c r="H16800" t="s">
        <v>35301</v>
      </c>
    </row>
    <row r="16801" spans="6:8">
      <c r="H16801" t="s">
        <v>35302</v>
      </c>
    </row>
    <row r="16802" spans="6:8">
      <c r="H16802" t="s">
        <v>35303</v>
      </c>
    </row>
    <row r="16803" spans="6:8">
      <c r="H16803" t="s">
        <v>35304</v>
      </c>
    </row>
    <row r="16804" spans="6:8">
      <c r="H16804" t="s">
        <v>35305</v>
      </c>
    </row>
    <row r="16805" spans="6:8">
      <c r="F16805" t="s">
        <v>14316</v>
      </c>
      <c r="G16805" t="s">
        <v>18273</v>
      </c>
      <c r="H16805" t="s">
        <v>35307</v>
      </c>
    </row>
    <row r="16806" spans="6:8">
      <c r="F16806" t="s">
        <v>14317</v>
      </c>
      <c r="G16806" t="s">
        <v>18274</v>
      </c>
      <c r="H16806" t="s">
        <v>35308</v>
      </c>
    </row>
    <row r="16807" spans="6:8">
      <c r="H16807" t="s">
        <v>35309</v>
      </c>
    </row>
    <row r="16808" spans="6:8">
      <c r="H16808" t="s">
        <v>35310</v>
      </c>
    </row>
    <row r="16809" spans="6:8">
      <c r="F16809" t="s">
        <v>14318</v>
      </c>
      <c r="G16809" t="s">
        <v>18275</v>
      </c>
      <c r="H16809" t="s">
        <v>35317</v>
      </c>
    </row>
    <row r="16810" spans="6:8">
      <c r="F16810" t="s">
        <v>14319</v>
      </c>
      <c r="G16810" t="s">
        <v>18276</v>
      </c>
      <c r="H16810" t="s">
        <v>18836</v>
      </c>
    </row>
    <row r="16811" spans="6:8">
      <c r="F16811" t="s">
        <v>14320</v>
      </c>
      <c r="G16811" t="s">
        <v>18277</v>
      </c>
      <c r="H16811" t="s">
        <v>30172</v>
      </c>
    </row>
    <row r="16812" spans="6:8">
      <c r="H16812" t="s">
        <v>35318</v>
      </c>
    </row>
    <row r="16813" spans="6:8">
      <c r="H16813" t="s">
        <v>35319</v>
      </c>
    </row>
    <row r="16814" spans="6:8">
      <c r="H16814" t="s">
        <v>35320</v>
      </c>
    </row>
    <row r="16815" spans="6:8">
      <c r="H16815" t="s">
        <v>35321</v>
      </c>
    </row>
    <row r="16816" spans="6:8">
      <c r="H16816" t="s">
        <v>35322</v>
      </c>
    </row>
    <row r="16817" spans="6:8">
      <c r="F16817" t="s">
        <v>14321</v>
      </c>
      <c r="G16817" t="s">
        <v>18278</v>
      </c>
      <c r="H16817" t="s">
        <v>35328</v>
      </c>
    </row>
    <row r="16818" spans="6:8">
      <c r="F16818" t="s">
        <v>14322</v>
      </c>
      <c r="G16818" t="s">
        <v>18279</v>
      </c>
      <c r="H16818" t="s">
        <v>22358</v>
      </c>
    </row>
    <row r="16819" spans="6:8">
      <c r="H16819" t="s">
        <v>35329</v>
      </c>
    </row>
    <row r="16820" spans="6:8">
      <c r="H16820" t="s">
        <v>35330</v>
      </c>
    </row>
    <row r="16821" spans="6:8">
      <c r="F16821" t="s">
        <v>14323</v>
      </c>
      <c r="G16821" t="s">
        <v>18280</v>
      </c>
      <c r="H16821" t="s">
        <v>35333</v>
      </c>
    </row>
    <row r="16822" spans="6:8">
      <c r="H16822" t="s">
        <v>29840</v>
      </c>
    </row>
    <row r="16823" spans="6:8">
      <c r="H16823" t="s">
        <v>35334</v>
      </c>
    </row>
    <row r="16824" spans="6:8">
      <c r="H16824" t="s">
        <v>35335</v>
      </c>
    </row>
    <row r="16825" spans="6:8">
      <c r="H16825" t="s">
        <v>19007</v>
      </c>
    </row>
    <row r="16826" spans="6:8">
      <c r="H16826" t="s">
        <v>35336</v>
      </c>
    </row>
    <row r="16827" spans="6:8">
      <c r="F16827" t="s">
        <v>14324</v>
      </c>
      <c r="G16827" t="s">
        <v>18281</v>
      </c>
      <c r="H16827" t="s">
        <v>35338</v>
      </c>
    </row>
    <row r="16828" spans="6:8">
      <c r="H16828" t="s">
        <v>35339</v>
      </c>
    </row>
    <row r="16829" spans="6:8">
      <c r="H16829" t="s">
        <v>35340</v>
      </c>
    </row>
    <row r="16830" spans="6:8">
      <c r="H16830" t="s">
        <v>35341</v>
      </c>
    </row>
    <row r="16831" spans="6:8">
      <c r="H16831" t="s">
        <v>35342</v>
      </c>
    </row>
    <row r="16832" spans="6:8">
      <c r="F16832" t="s">
        <v>14102</v>
      </c>
      <c r="G16832" t="s">
        <v>18095</v>
      </c>
      <c r="H16832" t="s">
        <v>35349</v>
      </c>
    </row>
    <row r="16833" spans="1:8">
      <c r="H16833" t="s">
        <v>35350</v>
      </c>
    </row>
    <row r="16834" spans="1:8">
      <c r="H16834" t="s">
        <v>35351</v>
      </c>
    </row>
    <row r="16835" spans="1:8">
      <c r="H16835" t="s">
        <v>35352</v>
      </c>
    </row>
    <row r="16836" spans="1:8">
      <c r="H16836" t="s">
        <v>35353</v>
      </c>
    </row>
    <row r="16837" spans="1:8">
      <c r="H16837" t="s">
        <v>35354</v>
      </c>
    </row>
    <row r="16838" spans="1:8">
      <c r="H16838" t="s">
        <v>35357</v>
      </c>
    </row>
    <row r="16839" spans="1:8">
      <c r="H16839" t="s">
        <v>35359</v>
      </c>
    </row>
    <row r="16840" spans="1:8">
      <c r="A16840" t="s">
        <v>3514</v>
      </c>
      <c r="B16840">
        <f>HYPERLINK("https://android.googlesource.com/platform/cts/+/b50578ed7ce9ed6be50be4bd7568948cf99888af", "b50578ed7ce9ed6be50be4bd7568948cf99888af")</f>
        <v>0</v>
      </c>
      <c r="C16840">
        <f>HYPERLINK("https://android.googlesource.com/platform/cts/+/5f42b0dbc3745b0f351ae0ab63dacefd105a903e", "5f42b0dbc3745b0f351ae0ab63dacefd105a903e")</f>
        <v>0</v>
      </c>
      <c r="D16840" t="s">
        <v>5180</v>
      </c>
      <c r="E16840" t="s">
        <v>9208</v>
      </c>
      <c r="F16840" t="s">
        <v>12610</v>
      </c>
      <c r="G16840" t="s">
        <v>16821</v>
      </c>
      <c r="H16840" t="s">
        <v>35372</v>
      </c>
    </row>
    <row r="16841" spans="1:8">
      <c r="A16841" t="s">
        <v>3515</v>
      </c>
      <c r="B16841">
        <f>HYPERLINK("https://android.googlesource.com/platform/cts/+/9beb020a9a174fbcc226a3802f1c5d5d22847024", "9beb020a9a174fbcc226a3802f1c5d5d22847024")</f>
        <v>0</v>
      </c>
      <c r="C16841">
        <f>HYPERLINK("https://android.googlesource.com/platform/cts/+/8c01d76146f53397207001a6e1bc2bc1c27b2b22", "8c01d76146f53397207001a6e1bc2bc1c27b2b22")</f>
        <v>0</v>
      </c>
      <c r="D16841" t="s">
        <v>5579</v>
      </c>
      <c r="E16841" t="s">
        <v>9209</v>
      </c>
      <c r="F16841" t="s">
        <v>14328</v>
      </c>
      <c r="G16841" t="s">
        <v>18167</v>
      </c>
      <c r="H16841" t="s">
        <v>35376</v>
      </c>
    </row>
    <row r="16842" spans="1:8">
      <c r="A16842" t="s">
        <v>3522</v>
      </c>
      <c r="B16842">
        <f>HYPERLINK("https://android.googlesource.com/platform/cts/+/7bb543e2b767fc6856984980aab3a00d6299cdc6", "7bb543e2b767fc6856984980aab3a00d6299cdc6")</f>
        <v>0</v>
      </c>
      <c r="C16842">
        <f>HYPERLINK("https://android.googlesource.com/platform/cts/+/9971c5affac56ee76095f5aa38bad11719b1947c", "9971c5affac56ee76095f5aa38bad11719b1947c")</f>
        <v>0</v>
      </c>
      <c r="D16842" t="s">
        <v>5576</v>
      </c>
      <c r="E16842" t="s">
        <v>9215</v>
      </c>
      <c r="F16842" t="s">
        <v>14330</v>
      </c>
      <c r="G16842" t="s">
        <v>18285</v>
      </c>
      <c r="H16842" t="s">
        <v>35387</v>
      </c>
    </row>
    <row r="16843" spans="1:8">
      <c r="F16843" t="s">
        <v>14331</v>
      </c>
      <c r="G16843" t="s">
        <v>18286</v>
      </c>
      <c r="H16843" t="s">
        <v>35395</v>
      </c>
    </row>
    <row r="16844" spans="1:8">
      <c r="H16844" t="s">
        <v>35396</v>
      </c>
    </row>
    <row r="16845" spans="1:8">
      <c r="H16845" t="s">
        <v>35397</v>
      </c>
    </row>
    <row r="16846" spans="1:8">
      <c r="H16846" t="s">
        <v>35398</v>
      </c>
    </row>
    <row r="16847" spans="1:8">
      <c r="H16847" t="s">
        <v>35399</v>
      </c>
    </row>
    <row r="16848" spans="1:8">
      <c r="F16848" t="s">
        <v>14332</v>
      </c>
      <c r="G16848" t="s">
        <v>18287</v>
      </c>
      <c r="H16848" t="s">
        <v>35402</v>
      </c>
    </row>
    <row r="16849" spans="6:8">
      <c r="H16849" t="s">
        <v>35403</v>
      </c>
    </row>
    <row r="16850" spans="6:8">
      <c r="H16850" t="s">
        <v>35404</v>
      </c>
    </row>
    <row r="16851" spans="6:8">
      <c r="H16851" t="s">
        <v>35405</v>
      </c>
    </row>
    <row r="16852" spans="6:8">
      <c r="H16852" t="s">
        <v>35406</v>
      </c>
    </row>
    <row r="16853" spans="6:8">
      <c r="H16853" t="s">
        <v>35407</v>
      </c>
    </row>
    <row r="16854" spans="6:8">
      <c r="F16854" t="s">
        <v>14333</v>
      </c>
      <c r="G16854" t="s">
        <v>18288</v>
      </c>
      <c r="H16854" t="s">
        <v>35409</v>
      </c>
    </row>
    <row r="16855" spans="6:8">
      <c r="F16855" t="s">
        <v>14334</v>
      </c>
      <c r="G16855" t="s">
        <v>18289</v>
      </c>
      <c r="H16855" t="s">
        <v>35409</v>
      </c>
    </row>
    <row r="16856" spans="6:8">
      <c r="F16856" t="s">
        <v>14335</v>
      </c>
      <c r="G16856" t="s">
        <v>18170</v>
      </c>
      <c r="H16856" t="s">
        <v>35414</v>
      </c>
    </row>
    <row r="16857" spans="6:8">
      <c r="H16857" t="s">
        <v>35415</v>
      </c>
    </row>
    <row r="16858" spans="6:8">
      <c r="H16858" t="s">
        <v>35416</v>
      </c>
    </row>
    <row r="16859" spans="6:8">
      <c r="H16859" t="s">
        <v>35417</v>
      </c>
    </row>
    <row r="16860" spans="6:8">
      <c r="H16860" t="s">
        <v>35418</v>
      </c>
    </row>
    <row r="16861" spans="6:8">
      <c r="H16861" t="s">
        <v>35419</v>
      </c>
    </row>
    <row r="16862" spans="6:8">
      <c r="H16862" t="s">
        <v>35420</v>
      </c>
    </row>
    <row r="16863" spans="6:8">
      <c r="H16863" t="s">
        <v>35423</v>
      </c>
    </row>
    <row r="16864" spans="6:8">
      <c r="H16864" t="s">
        <v>35424</v>
      </c>
    </row>
    <row r="16865" spans="6:8">
      <c r="H16865" t="s">
        <v>35425</v>
      </c>
    </row>
    <row r="16866" spans="6:8">
      <c r="H16866" t="s">
        <v>35426</v>
      </c>
    </row>
    <row r="16867" spans="6:8">
      <c r="H16867" t="s">
        <v>35427</v>
      </c>
    </row>
    <row r="16868" spans="6:8">
      <c r="H16868" t="s">
        <v>35428</v>
      </c>
    </row>
    <row r="16869" spans="6:8">
      <c r="F16869" t="s">
        <v>14336</v>
      </c>
      <c r="G16869" t="s">
        <v>18188</v>
      </c>
      <c r="H16869" t="s">
        <v>35433</v>
      </c>
    </row>
    <row r="16870" spans="6:8">
      <c r="H16870" t="s">
        <v>35434</v>
      </c>
    </row>
    <row r="16871" spans="6:8">
      <c r="H16871" t="s">
        <v>35435</v>
      </c>
    </row>
    <row r="16872" spans="6:8">
      <c r="H16872" t="s">
        <v>35436</v>
      </c>
    </row>
    <row r="16873" spans="6:8">
      <c r="H16873" t="s">
        <v>35437</v>
      </c>
    </row>
    <row r="16874" spans="6:8">
      <c r="H16874" t="s">
        <v>35438</v>
      </c>
    </row>
    <row r="16875" spans="6:8">
      <c r="F16875" t="s">
        <v>14337</v>
      </c>
      <c r="G16875" t="s">
        <v>18290</v>
      </c>
      <c r="H16875" t="s">
        <v>35440</v>
      </c>
    </row>
    <row r="16876" spans="6:8">
      <c r="H16876" t="s">
        <v>35441</v>
      </c>
    </row>
    <row r="16877" spans="6:8">
      <c r="F16877" t="s">
        <v>14338</v>
      </c>
      <c r="G16877" t="s">
        <v>18165</v>
      </c>
      <c r="H16877" t="s">
        <v>35449</v>
      </c>
    </row>
    <row r="16878" spans="6:8">
      <c r="H16878" t="s">
        <v>35450</v>
      </c>
    </row>
    <row r="16879" spans="6:8">
      <c r="H16879" t="s">
        <v>35451</v>
      </c>
    </row>
    <row r="16880" spans="6:8">
      <c r="H16880" t="s">
        <v>35452</v>
      </c>
    </row>
    <row r="16881" spans="1:8">
      <c r="H16881" t="s">
        <v>35453</v>
      </c>
    </row>
    <row r="16882" spans="1:8">
      <c r="H16882" t="s">
        <v>35454</v>
      </c>
    </row>
    <row r="16883" spans="1:8">
      <c r="H16883" t="s">
        <v>35455</v>
      </c>
    </row>
    <row r="16884" spans="1:8">
      <c r="A16884" t="s">
        <v>3524</v>
      </c>
      <c r="B16884">
        <f>HYPERLINK("https://android.googlesource.com/platform/cts/+/eee4e833098ec6c7799f5e5af71b61b85b20d7c5", "eee4e833098ec6c7799f5e5af71b61b85b20d7c5")</f>
        <v>0</v>
      </c>
      <c r="C16884">
        <f>HYPERLINK("https://android.googlesource.com/platform/cts/+/a4a325463e1d603f6c3060bd06507bd4422b0e82", "a4a325463e1d603f6c3060bd06507bd4422b0e82")</f>
        <v>0</v>
      </c>
      <c r="D16884" t="s">
        <v>5195</v>
      </c>
      <c r="E16884" t="s">
        <v>9217</v>
      </c>
      <c r="F16884" t="s">
        <v>14341</v>
      </c>
      <c r="G16884" t="s">
        <v>18293</v>
      </c>
      <c r="H16884" t="s">
        <v>35456</v>
      </c>
    </row>
    <row r="16885" spans="1:8">
      <c r="H16885" t="s">
        <v>35457</v>
      </c>
    </row>
    <row r="16886" spans="1:8">
      <c r="H16886" t="s">
        <v>35458</v>
      </c>
    </row>
    <row r="16887" spans="1:8">
      <c r="A16887" t="s">
        <v>3525</v>
      </c>
      <c r="B16887">
        <f>HYPERLINK("https://android.googlesource.com/platform/cts/+/73301c9be01ef39f5d7adb5796316e150539e706", "73301c9be01ef39f5d7adb5796316e150539e706")</f>
        <v>0</v>
      </c>
      <c r="C16887">
        <f>HYPERLINK("https://android.googlesource.com/platform/cts/+/6ac169cbdf4698002b807010562a216445e75cc2", "6ac169cbdf4698002b807010562a216445e75cc2")</f>
        <v>0</v>
      </c>
      <c r="D16887" t="s">
        <v>5576</v>
      </c>
      <c r="E16887" t="s">
        <v>9218</v>
      </c>
      <c r="F16887" t="s">
        <v>14330</v>
      </c>
      <c r="G16887" t="s">
        <v>18285</v>
      </c>
      <c r="H16887" t="s">
        <v>35387</v>
      </c>
    </row>
    <row r="16888" spans="1:8">
      <c r="F16888" t="s">
        <v>14331</v>
      </c>
      <c r="G16888" t="s">
        <v>18286</v>
      </c>
      <c r="H16888" t="s">
        <v>35395</v>
      </c>
    </row>
    <row r="16889" spans="1:8">
      <c r="H16889" t="s">
        <v>35396</v>
      </c>
    </row>
    <row r="16890" spans="1:8">
      <c r="H16890" t="s">
        <v>35397</v>
      </c>
    </row>
    <row r="16891" spans="1:8">
      <c r="H16891" t="s">
        <v>35398</v>
      </c>
    </row>
    <row r="16892" spans="1:8">
      <c r="H16892" t="s">
        <v>35399</v>
      </c>
    </row>
    <row r="16893" spans="1:8">
      <c r="F16893" t="s">
        <v>14332</v>
      </c>
      <c r="G16893" t="s">
        <v>18287</v>
      </c>
      <c r="H16893" t="s">
        <v>35402</v>
      </c>
    </row>
    <row r="16894" spans="1:8">
      <c r="H16894" t="s">
        <v>35403</v>
      </c>
    </row>
    <row r="16895" spans="1:8">
      <c r="H16895" t="s">
        <v>35404</v>
      </c>
    </row>
    <row r="16896" spans="1:8">
      <c r="H16896" t="s">
        <v>35405</v>
      </c>
    </row>
    <row r="16897" spans="6:8">
      <c r="H16897" t="s">
        <v>35406</v>
      </c>
    </row>
    <row r="16898" spans="6:8">
      <c r="H16898" t="s">
        <v>35407</v>
      </c>
    </row>
    <row r="16899" spans="6:8">
      <c r="F16899" t="s">
        <v>14333</v>
      </c>
      <c r="G16899" t="s">
        <v>18288</v>
      </c>
      <c r="H16899" t="s">
        <v>35409</v>
      </c>
    </row>
    <row r="16900" spans="6:8">
      <c r="F16900" t="s">
        <v>14334</v>
      </c>
      <c r="G16900" t="s">
        <v>18289</v>
      </c>
      <c r="H16900" t="s">
        <v>35409</v>
      </c>
    </row>
    <row r="16901" spans="6:8">
      <c r="F16901" t="s">
        <v>14335</v>
      </c>
      <c r="G16901" t="s">
        <v>18170</v>
      </c>
      <c r="H16901" t="s">
        <v>35414</v>
      </c>
    </row>
    <row r="16902" spans="6:8">
      <c r="H16902" t="s">
        <v>35415</v>
      </c>
    </row>
    <row r="16903" spans="6:8">
      <c r="H16903" t="s">
        <v>35416</v>
      </c>
    </row>
    <row r="16904" spans="6:8">
      <c r="H16904" t="s">
        <v>35417</v>
      </c>
    </row>
    <row r="16905" spans="6:8">
      <c r="H16905" t="s">
        <v>35418</v>
      </c>
    </row>
    <row r="16906" spans="6:8">
      <c r="H16906" t="s">
        <v>35419</v>
      </c>
    </row>
    <row r="16907" spans="6:8">
      <c r="H16907" t="s">
        <v>35420</v>
      </c>
    </row>
    <row r="16908" spans="6:8">
      <c r="H16908" t="s">
        <v>35423</v>
      </c>
    </row>
    <row r="16909" spans="6:8">
      <c r="H16909" t="s">
        <v>35424</v>
      </c>
    </row>
    <row r="16910" spans="6:8">
      <c r="H16910" t="s">
        <v>35425</v>
      </c>
    </row>
    <row r="16911" spans="6:8">
      <c r="H16911" t="s">
        <v>35426</v>
      </c>
    </row>
    <row r="16912" spans="6:8">
      <c r="H16912" t="s">
        <v>35427</v>
      </c>
    </row>
    <row r="16913" spans="6:8">
      <c r="H16913" t="s">
        <v>35428</v>
      </c>
    </row>
    <row r="16914" spans="6:8">
      <c r="F16914" t="s">
        <v>14336</v>
      </c>
      <c r="G16914" t="s">
        <v>18188</v>
      </c>
      <c r="H16914" t="s">
        <v>35433</v>
      </c>
    </row>
    <row r="16915" spans="6:8">
      <c r="H16915" t="s">
        <v>35434</v>
      </c>
    </row>
    <row r="16916" spans="6:8">
      <c r="H16916" t="s">
        <v>35435</v>
      </c>
    </row>
    <row r="16917" spans="6:8">
      <c r="H16917" t="s">
        <v>35436</v>
      </c>
    </row>
    <row r="16918" spans="6:8">
      <c r="H16918" t="s">
        <v>35437</v>
      </c>
    </row>
    <row r="16919" spans="6:8">
      <c r="H16919" t="s">
        <v>35438</v>
      </c>
    </row>
    <row r="16920" spans="6:8">
      <c r="F16920" t="s">
        <v>14337</v>
      </c>
      <c r="G16920" t="s">
        <v>18290</v>
      </c>
      <c r="H16920" t="s">
        <v>35440</v>
      </c>
    </row>
    <row r="16921" spans="6:8">
      <c r="H16921" t="s">
        <v>35441</v>
      </c>
    </row>
    <row r="16922" spans="6:8">
      <c r="F16922" t="s">
        <v>14338</v>
      </c>
      <c r="G16922" t="s">
        <v>18165</v>
      </c>
      <c r="H16922" t="s">
        <v>35449</v>
      </c>
    </row>
    <row r="16923" spans="6:8">
      <c r="H16923" t="s">
        <v>35450</v>
      </c>
    </row>
    <row r="16924" spans="6:8">
      <c r="H16924" t="s">
        <v>35451</v>
      </c>
    </row>
    <row r="16925" spans="6:8">
      <c r="H16925" t="s">
        <v>35452</v>
      </c>
    </row>
    <row r="16926" spans="6:8">
      <c r="H16926" t="s">
        <v>35453</v>
      </c>
    </row>
    <row r="16927" spans="6:8">
      <c r="H16927" t="s">
        <v>35454</v>
      </c>
    </row>
    <row r="16928" spans="6:8">
      <c r="H16928" t="s">
        <v>35455</v>
      </c>
    </row>
    <row r="16929" spans="1:8">
      <c r="A16929" t="s">
        <v>3532</v>
      </c>
      <c r="B16929">
        <f>HYPERLINK("https://android.googlesource.com/platform/cts/+/815968ef87a93460aadc18235c586a40a0536641", "815968ef87a93460aadc18235c586a40a0536641")</f>
        <v>0</v>
      </c>
      <c r="C16929">
        <f>HYPERLINK("https://android.googlesource.com/platform/cts/+/e0664c07eef8171686c6c4341d5443c95e43a5a2", "e0664c07eef8171686c6c4341d5443c95e43a5a2")</f>
        <v>0</v>
      </c>
      <c r="D16929" t="s">
        <v>5585</v>
      </c>
      <c r="E16929" t="s">
        <v>9224</v>
      </c>
      <c r="F16929" t="s">
        <v>13788</v>
      </c>
      <c r="G16929" t="s">
        <v>17841</v>
      </c>
      <c r="H16929" t="s">
        <v>35469</v>
      </c>
    </row>
    <row r="16930" spans="1:8">
      <c r="A16930" t="s">
        <v>3540</v>
      </c>
      <c r="B16930">
        <f>HYPERLINK("https://android.googlesource.com/platform/cts/+/1c6308ce4831b5f8bb9995054c61f2d8ba024825", "1c6308ce4831b5f8bb9995054c61f2d8ba024825")</f>
        <v>0</v>
      </c>
      <c r="C16930">
        <f>HYPERLINK("https://android.googlesource.com/platform/cts/+/487dbf47f9ccc9edbff96c69e4a473e2d5f1c17c", "487dbf47f9ccc9edbff96c69e4a473e2d5f1c17c")</f>
        <v>0</v>
      </c>
      <c r="D16930" t="s">
        <v>5195</v>
      </c>
      <c r="E16930" t="s">
        <v>9232</v>
      </c>
      <c r="F16930" t="s">
        <v>13992</v>
      </c>
      <c r="G16930" t="s">
        <v>16620</v>
      </c>
      <c r="H16930" t="s">
        <v>35488</v>
      </c>
    </row>
    <row r="16931" spans="1:8">
      <c r="H16931" t="s">
        <v>35490</v>
      </c>
    </row>
    <row r="16932" spans="1:8">
      <c r="H16932" t="s">
        <v>35492</v>
      </c>
    </row>
    <row r="16933" spans="1:8">
      <c r="H16933" t="s">
        <v>35494</v>
      </c>
    </row>
    <row r="16934" spans="1:8">
      <c r="A16934" t="s">
        <v>3540</v>
      </c>
      <c r="B16934">
        <f>HYPERLINK("https://android.googlesource.com/platform/cts/+/53a00c03d57d69a1a33684c393996e6a6dba9da7", "53a00c03d57d69a1a33684c393996e6a6dba9da7")</f>
        <v>0</v>
      </c>
      <c r="C16934">
        <f>HYPERLINK("https://android.googlesource.com/platform/cts/+/1c6308ce4831b5f8bb9995054c61f2d8ba024825", "1c6308ce4831b5f8bb9995054c61f2d8ba024825")</f>
        <v>0</v>
      </c>
      <c r="D16934" t="s">
        <v>5195</v>
      </c>
      <c r="E16934" t="s">
        <v>9233</v>
      </c>
      <c r="F16934" t="s">
        <v>13992</v>
      </c>
      <c r="G16934" t="s">
        <v>16620</v>
      </c>
      <c r="H16934" t="s">
        <v>35498</v>
      </c>
    </row>
    <row r="16935" spans="1:8">
      <c r="H16935" t="s">
        <v>35500</v>
      </c>
    </row>
    <row r="16936" spans="1:8">
      <c r="H16936" t="s">
        <v>35502</v>
      </c>
    </row>
    <row r="16937" spans="1:8">
      <c r="H16937" t="s">
        <v>35504</v>
      </c>
    </row>
    <row r="16938" spans="1:8">
      <c r="H16938" t="s">
        <v>35506</v>
      </c>
    </row>
    <row r="16939" spans="1:8">
      <c r="H16939" t="s">
        <v>35508</v>
      </c>
    </row>
    <row r="16940" spans="1:8">
      <c r="A16940" t="s">
        <v>3540</v>
      </c>
      <c r="B16940">
        <f>HYPERLINK("https://android.googlesource.com/platform/cts/+/95f64e7951a5ba6c2ace333a8d51c4658e07cfcd", "95f64e7951a5ba6c2ace333a8d51c4658e07cfcd")</f>
        <v>0</v>
      </c>
      <c r="C16940">
        <f>HYPERLINK("https://android.googlesource.com/platform/cts/+/53a00c03d57d69a1a33684c393996e6a6dba9da7", "53a00c03d57d69a1a33684c393996e6a6dba9da7")</f>
        <v>0</v>
      </c>
      <c r="D16940" t="s">
        <v>5195</v>
      </c>
      <c r="E16940" t="s">
        <v>9234</v>
      </c>
      <c r="F16940" t="s">
        <v>13992</v>
      </c>
      <c r="G16940" t="s">
        <v>16620</v>
      </c>
      <c r="H16940" t="s">
        <v>35510</v>
      </c>
    </row>
    <row r="16941" spans="1:8">
      <c r="H16941" t="s">
        <v>35512</v>
      </c>
    </row>
    <row r="16942" spans="1:8">
      <c r="H16942" t="s">
        <v>35514</v>
      </c>
    </row>
    <row r="16943" spans="1:8">
      <c r="H16943" t="s">
        <v>35517</v>
      </c>
    </row>
    <row r="16944" spans="1:8">
      <c r="H16944" t="s">
        <v>35519</v>
      </c>
    </row>
    <row r="16945" spans="1:8">
      <c r="H16945" t="s">
        <v>35521</v>
      </c>
    </row>
    <row r="16946" spans="1:8">
      <c r="A16946" t="s">
        <v>3540</v>
      </c>
      <c r="B16946">
        <f>HYPERLINK("https://android.googlesource.com/platform/cts/+/91b4c4b4ad3954cbfc45fbe006796e9a294e4d08", "91b4c4b4ad3954cbfc45fbe006796e9a294e4d08")</f>
        <v>0</v>
      </c>
      <c r="C16946">
        <f>HYPERLINK("https://android.googlesource.com/platform/cts/+/95f64e7951a5ba6c2ace333a8d51c4658e07cfcd", "95f64e7951a5ba6c2ace333a8d51c4658e07cfcd")</f>
        <v>0</v>
      </c>
      <c r="D16946" t="s">
        <v>5195</v>
      </c>
      <c r="E16946" t="s">
        <v>9235</v>
      </c>
      <c r="F16946" t="s">
        <v>13992</v>
      </c>
      <c r="G16946" t="s">
        <v>16620</v>
      </c>
      <c r="H16946" t="s">
        <v>35525</v>
      </c>
    </row>
    <row r="16947" spans="1:8">
      <c r="H16947" t="s">
        <v>35526</v>
      </c>
    </row>
    <row r="16948" spans="1:8">
      <c r="H16948" t="s">
        <v>35529</v>
      </c>
    </row>
    <row r="16949" spans="1:8">
      <c r="H16949" t="s">
        <v>35531</v>
      </c>
    </row>
    <row r="16950" spans="1:8">
      <c r="H16950" t="s">
        <v>35533</v>
      </c>
    </row>
    <row r="16951" spans="1:8">
      <c r="H16951" t="s">
        <v>35535</v>
      </c>
    </row>
    <row r="16952" spans="1:8">
      <c r="H16952" t="s">
        <v>35537</v>
      </c>
    </row>
    <row r="16953" spans="1:8">
      <c r="A16953" t="s">
        <v>3540</v>
      </c>
      <c r="B16953">
        <f>HYPERLINK("https://android.googlesource.com/platform/cts/+/c92831a16175036bee5059fb34a754e0a6613df8", "c92831a16175036bee5059fb34a754e0a6613df8")</f>
        <v>0</v>
      </c>
      <c r="C16953">
        <f>HYPERLINK("https://android.googlesource.com/platform/cts/+/91b4c4b4ad3954cbfc45fbe006796e9a294e4d08", "91b4c4b4ad3954cbfc45fbe006796e9a294e4d08")</f>
        <v>0</v>
      </c>
      <c r="D16953" t="s">
        <v>5195</v>
      </c>
      <c r="E16953" t="s">
        <v>9236</v>
      </c>
      <c r="F16953" t="s">
        <v>13816</v>
      </c>
      <c r="G16953" t="s">
        <v>15089</v>
      </c>
      <c r="H16953" t="s">
        <v>35538</v>
      </c>
    </row>
    <row r="16954" spans="1:8">
      <c r="A16954" t="s">
        <v>3544</v>
      </c>
      <c r="B16954">
        <f>HYPERLINK("https://android.googlesource.com/platform/cts/+/0b118dc1f075d60904eabbd2f9f40710c4597a4a", "0b118dc1f075d60904eabbd2f9f40710c4597a4a")</f>
        <v>0</v>
      </c>
      <c r="C16954">
        <f>HYPERLINK("https://android.googlesource.com/platform/cts/+/8a158ee730271017ec3852f85e38afbe58cdb766", "8a158ee730271017ec3852f85e38afbe58cdb766")</f>
        <v>0</v>
      </c>
      <c r="D16954" t="s">
        <v>5182</v>
      </c>
      <c r="E16954" t="s">
        <v>9240</v>
      </c>
      <c r="F16954" t="s">
        <v>12820</v>
      </c>
      <c r="G16954" t="s">
        <v>16999</v>
      </c>
      <c r="H16954" t="s">
        <v>35542</v>
      </c>
    </row>
    <row r="16955" spans="1:8">
      <c r="A16955" t="s">
        <v>3545</v>
      </c>
      <c r="B16955">
        <f>HYPERLINK("https://android.googlesource.com/platform/cts/+/0be144a10f415dc7d47916df1100cc3dce305360", "0be144a10f415dc7d47916df1100cc3dce305360")</f>
        <v>0</v>
      </c>
      <c r="C16955">
        <f>HYPERLINK("https://android.googlesource.com/platform/cts/+/8809e6eba385c95eab69009050fcc5e218a8d6ca", "8809e6eba385c95eab69009050fcc5e218a8d6ca")</f>
        <v>0</v>
      </c>
      <c r="D16955" t="s">
        <v>5415</v>
      </c>
      <c r="E16955" t="s">
        <v>9241</v>
      </c>
      <c r="F16955" t="s">
        <v>14346</v>
      </c>
      <c r="G16955" t="s">
        <v>18045</v>
      </c>
      <c r="H16955" t="s">
        <v>35543</v>
      </c>
    </row>
    <row r="16956" spans="1:8">
      <c r="H16956" t="s">
        <v>35544</v>
      </c>
    </row>
    <row r="16957" spans="1:8">
      <c r="A16957" t="s">
        <v>3550</v>
      </c>
      <c r="B16957">
        <f>HYPERLINK("https://android.googlesource.com/platform/cts/+/33f78ee32e879f6a0ef271264b391c370770d914", "33f78ee32e879f6a0ef271264b391c370770d914")</f>
        <v>0</v>
      </c>
      <c r="C16957">
        <f>HYPERLINK("https://android.googlesource.com/platform/cts/+/10721726f4477f534addc39b0291eacfab7734ed", "10721726f4477f534addc39b0291eacfab7734ed")</f>
        <v>0</v>
      </c>
      <c r="D16957" t="s">
        <v>5290</v>
      </c>
      <c r="E16957" t="s">
        <v>9246</v>
      </c>
      <c r="F16957" t="s">
        <v>14350</v>
      </c>
      <c r="G16957" t="s">
        <v>18301</v>
      </c>
      <c r="H16957" t="s">
        <v>35549</v>
      </c>
    </row>
    <row r="16958" spans="1:8">
      <c r="A16958" t="s">
        <v>3551</v>
      </c>
      <c r="B16958">
        <f>HYPERLINK("https://android.googlesource.com/platform/cts/+/0c35cc2e801c0deaa00c84b2f3753a16e5d5000f", "0c35cc2e801c0deaa00c84b2f3753a16e5d5000f")</f>
        <v>0</v>
      </c>
      <c r="C16958">
        <f>HYPERLINK("https://android.googlesource.com/platform/cts/+/48ed8de64232d459d14bfd50614f985e5d4163c2", "48ed8de64232d459d14bfd50614f985e5d4163c2")</f>
        <v>0</v>
      </c>
      <c r="D16958" t="s">
        <v>5474</v>
      </c>
      <c r="E16958" t="s">
        <v>9247</v>
      </c>
      <c r="F16958" t="s">
        <v>14351</v>
      </c>
      <c r="G16958" t="s">
        <v>18302</v>
      </c>
      <c r="H16958" t="s">
        <v>18916</v>
      </c>
    </row>
    <row r="16959" spans="1:8">
      <c r="A16959" t="s">
        <v>3553</v>
      </c>
      <c r="B16959">
        <f>HYPERLINK("https://android.googlesource.com/platform/cts/+/0138863190bbcf9572442132b155155dce02a367", "0138863190bbcf9572442132b155155dce02a367")</f>
        <v>0</v>
      </c>
      <c r="C16959">
        <f>HYPERLINK("https://android.googlesource.com/platform/cts/+/60dbc583890a78ed1945452520adc8610b0cd34d", "60dbc583890a78ed1945452520adc8610b0cd34d")</f>
        <v>0</v>
      </c>
      <c r="D16959" t="s">
        <v>5338</v>
      </c>
      <c r="E16959" t="s">
        <v>9249</v>
      </c>
      <c r="F16959" t="s">
        <v>14353</v>
      </c>
      <c r="G16959" t="s">
        <v>18303</v>
      </c>
      <c r="H16959" t="s">
        <v>35551</v>
      </c>
    </row>
    <row r="16960" spans="1:8">
      <c r="F16960" t="s">
        <v>14340</v>
      </c>
      <c r="G16960" t="s">
        <v>18292</v>
      </c>
      <c r="H16960" t="s">
        <v>34590</v>
      </c>
    </row>
    <row r="16961" spans="8:8">
      <c r="H16961" t="s">
        <v>34591</v>
      </c>
    </row>
    <row r="16962" spans="8:8">
      <c r="H16962" t="s">
        <v>34592</v>
      </c>
    </row>
    <row r="16963" spans="8:8">
      <c r="H16963" t="s">
        <v>34593</v>
      </c>
    </row>
    <row r="16964" spans="8:8">
      <c r="H16964" t="s">
        <v>34594</v>
      </c>
    </row>
    <row r="16965" spans="8:8">
      <c r="H16965" t="s">
        <v>34595</v>
      </c>
    </row>
    <row r="16966" spans="8:8">
      <c r="H16966" t="s">
        <v>34596</v>
      </c>
    </row>
    <row r="16967" spans="8:8">
      <c r="H16967" t="s">
        <v>34597</v>
      </c>
    </row>
    <row r="16968" spans="8:8">
      <c r="H16968" t="s">
        <v>34598</v>
      </c>
    </row>
    <row r="16969" spans="8:8">
      <c r="H16969" t="s">
        <v>34599</v>
      </c>
    </row>
    <row r="16970" spans="8:8">
      <c r="H16970" t="s">
        <v>34600</v>
      </c>
    </row>
    <row r="16971" spans="8:8">
      <c r="H16971" t="s">
        <v>34601</v>
      </c>
    </row>
    <row r="16972" spans="8:8">
      <c r="H16972" t="s">
        <v>34602</v>
      </c>
    </row>
    <row r="16973" spans="8:8">
      <c r="H16973" t="s">
        <v>34603</v>
      </c>
    </row>
    <row r="16974" spans="8:8">
      <c r="H16974" t="s">
        <v>34604</v>
      </c>
    </row>
    <row r="16975" spans="8:8">
      <c r="H16975" t="s">
        <v>34605</v>
      </c>
    </row>
    <row r="16976" spans="8:8">
      <c r="H16976" t="s">
        <v>34613</v>
      </c>
    </row>
    <row r="16977" spans="6:8">
      <c r="H16977" t="s">
        <v>35554</v>
      </c>
    </row>
    <row r="16978" spans="6:8">
      <c r="H16978" t="s">
        <v>34614</v>
      </c>
    </row>
    <row r="16979" spans="6:8">
      <c r="H16979" t="s">
        <v>34615</v>
      </c>
    </row>
    <row r="16980" spans="6:8">
      <c r="H16980" t="s">
        <v>34612</v>
      </c>
    </row>
    <row r="16981" spans="6:8">
      <c r="F16981" t="s">
        <v>14237</v>
      </c>
      <c r="G16981" t="s">
        <v>18207</v>
      </c>
      <c r="H16981" t="s">
        <v>35555</v>
      </c>
    </row>
    <row r="16982" spans="6:8">
      <c r="H16982" t="s">
        <v>35556</v>
      </c>
    </row>
    <row r="16983" spans="6:8">
      <c r="H16983" t="s">
        <v>35557</v>
      </c>
    </row>
    <row r="16984" spans="6:8">
      <c r="H16984" t="s">
        <v>35558</v>
      </c>
    </row>
    <row r="16985" spans="6:8">
      <c r="H16985" t="s">
        <v>35559</v>
      </c>
    </row>
    <row r="16986" spans="6:8">
      <c r="H16986" t="s">
        <v>35560</v>
      </c>
    </row>
    <row r="16987" spans="6:8">
      <c r="H16987" t="s">
        <v>35561</v>
      </c>
    </row>
    <row r="16988" spans="6:8">
      <c r="H16988" t="s">
        <v>35562</v>
      </c>
    </row>
    <row r="16989" spans="6:8">
      <c r="H16989" t="s">
        <v>35563</v>
      </c>
    </row>
    <row r="16990" spans="6:8">
      <c r="H16990" t="s">
        <v>35564</v>
      </c>
    </row>
    <row r="16991" spans="6:8">
      <c r="H16991" t="s">
        <v>35565</v>
      </c>
    </row>
    <row r="16992" spans="6:8">
      <c r="H16992" t="s">
        <v>35566</v>
      </c>
    </row>
    <row r="16993" spans="1:8">
      <c r="H16993" t="s">
        <v>34606</v>
      </c>
    </row>
    <row r="16994" spans="1:8">
      <c r="H16994" t="s">
        <v>35567</v>
      </c>
    </row>
    <row r="16995" spans="1:8">
      <c r="H16995" t="s">
        <v>35568</v>
      </c>
    </row>
    <row r="16996" spans="1:8">
      <c r="H16996" t="s">
        <v>35569</v>
      </c>
    </row>
    <row r="16997" spans="1:8">
      <c r="H16997" t="s">
        <v>35570</v>
      </c>
    </row>
    <row r="16998" spans="1:8">
      <c r="H16998" t="s">
        <v>35571</v>
      </c>
    </row>
    <row r="16999" spans="1:8">
      <c r="H16999" t="s">
        <v>35572</v>
      </c>
    </row>
    <row r="17000" spans="1:8">
      <c r="H17000" t="s">
        <v>35573</v>
      </c>
    </row>
    <row r="17001" spans="1:8">
      <c r="H17001" t="s">
        <v>35574</v>
      </c>
    </row>
    <row r="17002" spans="1:8">
      <c r="H17002" t="s">
        <v>35575</v>
      </c>
    </row>
    <row r="17003" spans="1:8">
      <c r="H17003" t="s">
        <v>35576</v>
      </c>
    </row>
    <row r="17004" spans="1:8">
      <c r="H17004" t="s">
        <v>34234</v>
      </c>
    </row>
    <row r="17005" spans="1:8">
      <c r="H17005" t="s">
        <v>35577</v>
      </c>
    </row>
    <row r="17006" spans="1:8">
      <c r="A17006" t="s">
        <v>3555</v>
      </c>
      <c r="B17006">
        <f>HYPERLINK("https://android.googlesource.com/platform/cts/+/669ff082132104e42230b68eb54a9a9817ed5736", "669ff082132104e42230b68eb54a9a9817ed5736")</f>
        <v>0</v>
      </c>
      <c r="C17006">
        <f>HYPERLINK("https://android.googlesource.com/platform/cts/+/6d3b722efa61fab0a10ab857a5cc83bbe949fd6e", "6d3b722efa61fab0a10ab857a5cc83bbe949fd6e")</f>
        <v>0</v>
      </c>
      <c r="D17006" t="s">
        <v>5509</v>
      </c>
      <c r="E17006" t="s">
        <v>9251</v>
      </c>
      <c r="F17006" t="s">
        <v>12368</v>
      </c>
      <c r="G17006" t="s">
        <v>16595</v>
      </c>
      <c r="H17006" t="s">
        <v>35607</v>
      </c>
    </row>
    <row r="17007" spans="1:8">
      <c r="H17007" t="s">
        <v>35608</v>
      </c>
    </row>
    <row r="17008" spans="1:8">
      <c r="A17008" t="s">
        <v>3567</v>
      </c>
      <c r="B17008">
        <f>HYPERLINK("https://android.googlesource.com/platform/cts/+/603232c8685fd1cdefe6649789882fabc9ae8208", "603232c8685fd1cdefe6649789882fabc9ae8208")</f>
        <v>0</v>
      </c>
      <c r="C17008">
        <f>HYPERLINK("https://android.googlesource.com/platform/cts/+/47b5f1e3a743b392cf329a8051dd1c24be9e5931", "47b5f1e3a743b392cf329a8051dd1c24be9e5931")</f>
        <v>0</v>
      </c>
      <c r="D17008" t="s">
        <v>5590</v>
      </c>
      <c r="E17008" t="s">
        <v>9263</v>
      </c>
      <c r="F17008" t="s">
        <v>12700</v>
      </c>
      <c r="G17008" t="s">
        <v>16903</v>
      </c>
      <c r="H17008" t="s">
        <v>30633</v>
      </c>
    </row>
    <row r="17009" spans="1:8">
      <c r="F17009" t="s">
        <v>14358</v>
      </c>
      <c r="G17009" t="s">
        <v>17681</v>
      </c>
      <c r="H17009" t="s">
        <v>25988</v>
      </c>
    </row>
    <row r="17010" spans="1:8">
      <c r="A17010" t="s">
        <v>3572</v>
      </c>
      <c r="B17010">
        <f>HYPERLINK("https://android.googlesource.com/platform/cts/+/716d3968778d0cec3cdcf1d6f63f2e416cfbb3f2", "716d3968778d0cec3cdcf1d6f63f2e416cfbb3f2")</f>
        <v>0</v>
      </c>
      <c r="C17010">
        <f>HYPERLINK("https://android.googlesource.com/platform/cts/+/1b52f32fec75c7a352090de40099db51bca9bc9f", "1b52f32fec75c7a352090de40099db51bca9bc9f")</f>
        <v>0</v>
      </c>
      <c r="D17010" t="s">
        <v>5460</v>
      </c>
      <c r="E17010" t="s">
        <v>9269</v>
      </c>
      <c r="F17010" t="s">
        <v>14362</v>
      </c>
      <c r="G17010" t="s">
        <v>18309</v>
      </c>
      <c r="H17010" t="s">
        <v>35620</v>
      </c>
    </row>
    <row r="17011" spans="1:8">
      <c r="A17011" t="s">
        <v>3579</v>
      </c>
      <c r="B17011">
        <f>HYPERLINK("https://android.googlesource.com/platform/cts/+/965d590a9553482458b51d95821898ded81cc3f7", "965d590a9553482458b51d95821898ded81cc3f7")</f>
        <v>0</v>
      </c>
      <c r="C17011">
        <f>HYPERLINK("https://android.googlesource.com/platform/cts/+/72539ebe4ee947ba91b8dd8997232533f3d89f57", "72539ebe4ee947ba91b8dd8997232533f3d89f57")</f>
        <v>0</v>
      </c>
      <c r="D17011" t="s">
        <v>5576</v>
      </c>
      <c r="E17011" t="s">
        <v>9276</v>
      </c>
      <c r="F17011" t="s">
        <v>14364</v>
      </c>
      <c r="G17011" t="s">
        <v>18311</v>
      </c>
      <c r="H17011" t="s">
        <v>35624</v>
      </c>
    </row>
    <row r="17012" spans="1:8">
      <c r="H17012" t="s">
        <v>35625</v>
      </c>
    </row>
    <row r="17013" spans="1:8">
      <c r="F17013" t="s">
        <v>14365</v>
      </c>
      <c r="G17013" t="s">
        <v>18312</v>
      </c>
      <c r="H17013" t="s">
        <v>35631</v>
      </c>
    </row>
    <row r="17014" spans="1:8">
      <c r="H17014" t="s">
        <v>35632</v>
      </c>
    </row>
    <row r="17015" spans="1:8">
      <c r="H17015" t="s">
        <v>35633</v>
      </c>
    </row>
    <row r="17016" spans="1:8">
      <c r="H17016" t="s">
        <v>35634</v>
      </c>
    </row>
    <row r="17017" spans="1:8">
      <c r="H17017" t="s">
        <v>35635</v>
      </c>
    </row>
    <row r="17018" spans="1:8">
      <c r="A17018" t="s">
        <v>3580</v>
      </c>
      <c r="B17018">
        <f>HYPERLINK("https://android.googlesource.com/platform/cts/+/d1f33a1d9c9a362c4c7fd413f98c9caf59d7ef5f", "d1f33a1d9c9a362c4c7fd413f98c9caf59d7ef5f")</f>
        <v>0</v>
      </c>
      <c r="C17018">
        <f>HYPERLINK("https://android.googlesource.com/platform/cts/+/1d23325c7c40ba1953c0e9a144760cc71bc5466c", "1d23325c7c40ba1953c0e9a144760cc71bc5466c")</f>
        <v>0</v>
      </c>
      <c r="D17018" t="s">
        <v>5593</v>
      </c>
      <c r="E17018" t="s">
        <v>9277</v>
      </c>
      <c r="F17018" t="s">
        <v>14325</v>
      </c>
      <c r="G17018" t="s">
        <v>18282</v>
      </c>
      <c r="H17018" t="s">
        <v>35361</v>
      </c>
    </row>
    <row r="17019" spans="1:8">
      <c r="H17019" t="s">
        <v>35362</v>
      </c>
    </row>
    <row r="17020" spans="1:8">
      <c r="H17020" t="s">
        <v>35363</v>
      </c>
    </row>
    <row r="17021" spans="1:8">
      <c r="A17021" t="s">
        <v>3582</v>
      </c>
      <c r="B17021">
        <f>HYPERLINK("https://android.googlesource.com/platform/cts/+/137fe48ac871a5d7742c8d436cfd488499e33d02", "137fe48ac871a5d7742c8d436cfd488499e33d02")</f>
        <v>0</v>
      </c>
      <c r="C17021">
        <f>HYPERLINK("https://android.googlesource.com/platform/cts/+/29c178269ce848f702582b231b167c4a33a7b62f", "29c178269ce848f702582b231b167c4a33a7b62f")</f>
        <v>0</v>
      </c>
      <c r="D17021" t="s">
        <v>5576</v>
      </c>
      <c r="E17021" t="s">
        <v>9279</v>
      </c>
      <c r="F17021" t="s">
        <v>14364</v>
      </c>
      <c r="G17021" t="s">
        <v>18311</v>
      </c>
      <c r="H17021" t="s">
        <v>35624</v>
      </c>
    </row>
    <row r="17022" spans="1:8">
      <c r="H17022" t="s">
        <v>35625</v>
      </c>
    </row>
    <row r="17023" spans="1:8">
      <c r="F17023" t="s">
        <v>14365</v>
      </c>
      <c r="G17023" t="s">
        <v>18312</v>
      </c>
      <c r="H17023" t="s">
        <v>35631</v>
      </c>
    </row>
    <row r="17024" spans="1:8">
      <c r="H17024" t="s">
        <v>35632</v>
      </c>
    </row>
    <row r="17025" spans="1:8">
      <c r="H17025" t="s">
        <v>35633</v>
      </c>
    </row>
    <row r="17026" spans="1:8">
      <c r="H17026" t="s">
        <v>35634</v>
      </c>
    </row>
    <row r="17027" spans="1:8">
      <c r="H17027" t="s">
        <v>35635</v>
      </c>
    </row>
    <row r="17028" spans="1:8">
      <c r="A17028" t="s">
        <v>3583</v>
      </c>
      <c r="B17028">
        <f>HYPERLINK("https://android.googlesource.com/platform/cts/+/243c09441556d33d043498791e125ef23981aea8", "243c09441556d33d043498791e125ef23981aea8")</f>
        <v>0</v>
      </c>
      <c r="C17028">
        <f>HYPERLINK("https://android.googlesource.com/platform/cts/+/3492046a8020e91c6cc16af0dad9a03f06b60542", "3492046a8020e91c6cc16af0dad9a03f06b60542")</f>
        <v>0</v>
      </c>
      <c r="D17028" t="s">
        <v>5594</v>
      </c>
      <c r="E17028" t="s">
        <v>9280</v>
      </c>
      <c r="F17028" t="s">
        <v>14096</v>
      </c>
      <c r="G17028" t="s">
        <v>18089</v>
      </c>
      <c r="H17028" t="s">
        <v>33394</v>
      </c>
    </row>
    <row r="17029" spans="1:8">
      <c r="H17029" t="s">
        <v>33395</v>
      </c>
    </row>
    <row r="17030" spans="1:8">
      <c r="A17030" t="s">
        <v>3584</v>
      </c>
      <c r="B17030">
        <f>HYPERLINK("https://android.googlesource.com/platform/cts/+/518075bb2d2765a6dc909577ea2e4bfc2d32d752", "518075bb2d2765a6dc909577ea2e4bfc2d32d752")</f>
        <v>0</v>
      </c>
      <c r="C17030">
        <f>HYPERLINK("https://android.googlesource.com/platform/cts/+/2dfe0faf482d24553c66016598061e5c02d10a83", "2dfe0faf482d24553c66016598061e5c02d10a83")</f>
        <v>0</v>
      </c>
      <c r="D17030" t="s">
        <v>5594</v>
      </c>
      <c r="E17030" t="s">
        <v>9281</v>
      </c>
      <c r="F17030" t="s">
        <v>14096</v>
      </c>
      <c r="G17030" t="s">
        <v>18089</v>
      </c>
      <c r="H17030" t="s">
        <v>33394</v>
      </c>
    </row>
    <row r="17031" spans="1:8">
      <c r="H17031" t="s">
        <v>33395</v>
      </c>
    </row>
    <row r="17032" spans="1:8">
      <c r="A17032" t="s">
        <v>3587</v>
      </c>
      <c r="B17032">
        <f>HYPERLINK("https://android.googlesource.com/platform/cts/+/f7fba69af21ab9c6993215e6308c8cde11c43866", "f7fba69af21ab9c6993215e6308c8cde11c43866")</f>
        <v>0</v>
      </c>
      <c r="C17032">
        <f>HYPERLINK("https://android.googlesource.com/platform/cts/+/64cb5b554e879c06cd327c5798727ad187f0c1b6", "64cb5b554e879c06cd327c5798727ad187f0c1b6")</f>
        <v>0</v>
      </c>
      <c r="D17032" t="s">
        <v>5409</v>
      </c>
      <c r="E17032" t="s">
        <v>9284</v>
      </c>
      <c r="F17032" t="s">
        <v>14366</v>
      </c>
      <c r="G17032" t="s">
        <v>18313</v>
      </c>
      <c r="H17032" t="s">
        <v>35643</v>
      </c>
    </row>
    <row r="17033" spans="1:8">
      <c r="A17033" t="s">
        <v>3588</v>
      </c>
      <c r="B17033">
        <f>HYPERLINK("https://android.googlesource.com/platform/cts/+/d4e9864eefe0f85319b622aa131b7ed01c0ac549", "d4e9864eefe0f85319b622aa131b7ed01c0ac549")</f>
        <v>0</v>
      </c>
      <c r="C17033">
        <f>HYPERLINK("https://android.googlesource.com/platform/cts/+/497aa577f5f03992175b5b354f517224968f87f8", "497aa577f5f03992175b5b354f517224968f87f8")</f>
        <v>0</v>
      </c>
      <c r="D17033" t="s">
        <v>5576</v>
      </c>
      <c r="E17033" t="s">
        <v>9285</v>
      </c>
      <c r="F17033" t="s">
        <v>14364</v>
      </c>
      <c r="G17033" t="s">
        <v>18311</v>
      </c>
      <c r="H17033" t="s">
        <v>35624</v>
      </c>
    </row>
    <row r="17034" spans="1:8">
      <c r="H17034" t="s">
        <v>35625</v>
      </c>
    </row>
    <row r="17035" spans="1:8">
      <c r="F17035" t="s">
        <v>14365</v>
      </c>
      <c r="G17035" t="s">
        <v>18312</v>
      </c>
      <c r="H17035" t="s">
        <v>35631</v>
      </c>
    </row>
    <row r="17036" spans="1:8">
      <c r="H17036" t="s">
        <v>35632</v>
      </c>
    </row>
    <row r="17037" spans="1:8">
      <c r="H17037" t="s">
        <v>35633</v>
      </c>
    </row>
    <row r="17038" spans="1:8">
      <c r="H17038" t="s">
        <v>35634</v>
      </c>
    </row>
    <row r="17039" spans="1:8">
      <c r="H17039" t="s">
        <v>35635</v>
      </c>
    </row>
    <row r="17040" spans="1:8">
      <c r="A17040" t="s">
        <v>3589</v>
      </c>
      <c r="B17040">
        <f>HYPERLINK("https://android.googlesource.com/platform/cts/+/775dfac6979493ef28fd212f5d4402d3a676189c", "775dfac6979493ef28fd212f5d4402d3a676189c")</f>
        <v>0</v>
      </c>
      <c r="C17040">
        <f>HYPERLINK("https://android.googlesource.com/platform/cts/+/d1f9faf14717d527034d4ccee660f8e82f54487a", "d1f9faf14717d527034d4ccee660f8e82f54487a")</f>
        <v>0</v>
      </c>
      <c r="D17040" t="s">
        <v>5576</v>
      </c>
      <c r="E17040" t="s">
        <v>9286</v>
      </c>
      <c r="F17040" t="s">
        <v>14364</v>
      </c>
      <c r="G17040" t="s">
        <v>18311</v>
      </c>
      <c r="H17040" t="s">
        <v>35624</v>
      </c>
    </row>
    <row r="17041" spans="1:8">
      <c r="H17041" t="s">
        <v>35625</v>
      </c>
    </row>
    <row r="17042" spans="1:8">
      <c r="F17042" t="s">
        <v>14365</v>
      </c>
      <c r="G17042" t="s">
        <v>18312</v>
      </c>
      <c r="H17042" t="s">
        <v>35631</v>
      </c>
    </row>
    <row r="17043" spans="1:8">
      <c r="H17043" t="s">
        <v>35632</v>
      </c>
    </row>
    <row r="17044" spans="1:8">
      <c r="H17044" t="s">
        <v>35633</v>
      </c>
    </row>
    <row r="17045" spans="1:8">
      <c r="H17045" t="s">
        <v>35634</v>
      </c>
    </row>
    <row r="17046" spans="1:8">
      <c r="H17046" t="s">
        <v>35635</v>
      </c>
    </row>
    <row r="17047" spans="1:8">
      <c r="A17047" t="s">
        <v>3590</v>
      </c>
      <c r="B17047">
        <f>HYPERLINK("https://android.googlesource.com/platform/cts/+/bc993bf15fe67ee6a11ab083cb69fa77d9fc5157", "bc993bf15fe67ee6a11ab083cb69fa77d9fc5157")</f>
        <v>0</v>
      </c>
      <c r="C17047">
        <f>HYPERLINK("https://android.googlesource.com/platform/cts/+/27358bdf67dbdb345d9278f34b7859ed8fd55715", "27358bdf67dbdb345d9278f34b7859ed8fd55715")</f>
        <v>0</v>
      </c>
      <c r="D17047" t="s">
        <v>5576</v>
      </c>
      <c r="E17047" t="s">
        <v>9287</v>
      </c>
      <c r="F17047" t="s">
        <v>14364</v>
      </c>
      <c r="G17047" t="s">
        <v>18311</v>
      </c>
      <c r="H17047" t="s">
        <v>35624</v>
      </c>
    </row>
    <row r="17048" spans="1:8">
      <c r="H17048" t="s">
        <v>35625</v>
      </c>
    </row>
    <row r="17049" spans="1:8">
      <c r="F17049" t="s">
        <v>14365</v>
      </c>
      <c r="G17049" t="s">
        <v>18312</v>
      </c>
      <c r="H17049" t="s">
        <v>35631</v>
      </c>
    </row>
    <row r="17050" spans="1:8">
      <c r="H17050" t="s">
        <v>35632</v>
      </c>
    </row>
    <row r="17051" spans="1:8">
      <c r="H17051" t="s">
        <v>35633</v>
      </c>
    </row>
    <row r="17052" spans="1:8">
      <c r="H17052" t="s">
        <v>35634</v>
      </c>
    </row>
    <row r="17053" spans="1:8">
      <c r="H17053" t="s">
        <v>35635</v>
      </c>
    </row>
    <row r="17054" spans="1:8">
      <c r="A17054" t="s">
        <v>3597</v>
      </c>
      <c r="B17054">
        <f>HYPERLINK("https://android.googlesource.com/platform/cts/+/c1b50cb8d55c2ea2c58c7408bad15e531cffccbb", "c1b50cb8d55c2ea2c58c7408bad15e531cffccbb")</f>
        <v>0</v>
      </c>
      <c r="C17054">
        <f>HYPERLINK("https://android.googlesource.com/platform/cts/+/0c63ecd7ca015f5c15fad83aaacc234ef6fbedae", "0c63ecd7ca015f5c15fad83aaacc234ef6fbedae")</f>
        <v>0</v>
      </c>
      <c r="D17054" t="s">
        <v>5172</v>
      </c>
      <c r="E17054" t="s">
        <v>9294</v>
      </c>
      <c r="F17054" t="s">
        <v>14363</v>
      </c>
      <c r="G17054" t="s">
        <v>18310</v>
      </c>
      <c r="H17054" t="s">
        <v>35650</v>
      </c>
    </row>
    <row r="17055" spans="1:8">
      <c r="A17055" t="s">
        <v>3599</v>
      </c>
      <c r="B17055">
        <f>HYPERLINK("https://android.googlesource.com/platform/cts/+/c9b135f36a162148e2af4da01fcc6f7cab793d1c", "c9b135f36a162148e2af4da01fcc6f7cab793d1c")</f>
        <v>0</v>
      </c>
      <c r="C17055">
        <f>HYPERLINK("https://android.googlesource.com/platform/cts/+/31d7f2b85fbdbef585330d0f1321c224d757cb96", "31d7f2b85fbdbef585330d0f1321c224d757cb96")</f>
        <v>0</v>
      </c>
      <c r="D17055" t="s">
        <v>5595</v>
      </c>
      <c r="E17055" t="s">
        <v>9296</v>
      </c>
      <c r="F17055" t="s">
        <v>14069</v>
      </c>
      <c r="G17055" t="s">
        <v>18067</v>
      </c>
      <c r="H17055" t="s">
        <v>35651</v>
      </c>
    </row>
    <row r="17056" spans="1:8">
      <c r="A17056" t="s">
        <v>3600</v>
      </c>
      <c r="B17056">
        <f>HYPERLINK("https://android.googlesource.com/platform/cts/+/e4f4f1f7b7cab3292cc5b25e7a372b03139dfb94", "e4f4f1f7b7cab3292cc5b25e7a372b03139dfb94")</f>
        <v>0</v>
      </c>
      <c r="C17056">
        <f>HYPERLINK("https://android.googlesource.com/platform/cts/+/102b80f2a97d19bd72064826b925d7a09fa207e3", "102b80f2a97d19bd72064826b925d7a09fa207e3")</f>
        <v>0</v>
      </c>
      <c r="D17056" t="s">
        <v>5449</v>
      </c>
      <c r="E17056" t="s">
        <v>9297</v>
      </c>
      <c r="F17056" t="s">
        <v>14368</v>
      </c>
      <c r="G17056" t="s">
        <v>18018</v>
      </c>
      <c r="H17056" t="s">
        <v>35653</v>
      </c>
    </row>
    <row r="17057" spans="1:8">
      <c r="A17057" t="s">
        <v>3607</v>
      </c>
      <c r="B17057">
        <f>HYPERLINK("https://android.googlesource.com/platform/cts/+/863aa55514471331042305af1d22fd061d1b7758", "863aa55514471331042305af1d22fd061d1b7758")</f>
        <v>0</v>
      </c>
      <c r="C17057">
        <f>HYPERLINK("https://android.googlesource.com/platform/cts/+/29b85fc36501627b66c40529b001c3e0d5c9db69", "29b85fc36501627b66c40529b001c3e0d5c9db69")</f>
        <v>0</v>
      </c>
      <c r="D17057" t="s">
        <v>5476</v>
      </c>
      <c r="E17057" t="s">
        <v>9303</v>
      </c>
      <c r="F17057" t="s">
        <v>14076</v>
      </c>
      <c r="G17057" t="s">
        <v>18074</v>
      </c>
      <c r="H17057" t="s">
        <v>33154</v>
      </c>
    </row>
    <row r="17058" spans="1:8">
      <c r="H17058" t="s">
        <v>33512</v>
      </c>
    </row>
    <row r="17059" spans="1:8">
      <c r="H17059" t="s">
        <v>33513</v>
      </c>
    </row>
    <row r="17060" spans="1:8">
      <c r="H17060" t="s">
        <v>33217</v>
      </c>
    </row>
    <row r="17061" spans="1:8">
      <c r="F17061" t="s">
        <v>14373</v>
      </c>
      <c r="G17061" t="s">
        <v>18317</v>
      </c>
      <c r="H17061" t="s">
        <v>33217</v>
      </c>
    </row>
    <row r="17062" spans="1:8">
      <c r="A17062" t="s">
        <v>3609</v>
      </c>
      <c r="B17062">
        <f>HYPERLINK("https://android.googlesource.com/platform/cts/+/6ef52f01f25ae198973721b31b1513b525f4e356", "6ef52f01f25ae198973721b31b1513b525f4e356")</f>
        <v>0</v>
      </c>
      <c r="C17062">
        <f>HYPERLINK("https://android.googlesource.com/platform/cts/+/02bd4fff603ecb6b1fa01d986448dbdfa561ccfd", "02bd4fff603ecb6b1fa01d986448dbdfa561ccfd")</f>
        <v>0</v>
      </c>
      <c r="D17062" t="s">
        <v>5338</v>
      </c>
      <c r="E17062" t="s">
        <v>9305</v>
      </c>
      <c r="F17062" t="s">
        <v>14237</v>
      </c>
      <c r="G17062" t="s">
        <v>18207</v>
      </c>
      <c r="H17062" t="s">
        <v>35673</v>
      </c>
    </row>
    <row r="17063" spans="1:8">
      <c r="H17063" t="s">
        <v>35674</v>
      </c>
    </row>
    <row r="17064" spans="1:8">
      <c r="H17064" t="s">
        <v>35675</v>
      </c>
    </row>
    <row r="17065" spans="1:8">
      <c r="H17065" t="s">
        <v>35676</v>
      </c>
    </row>
    <row r="17066" spans="1:8">
      <c r="H17066" t="s">
        <v>35677</v>
      </c>
    </row>
    <row r="17067" spans="1:8">
      <c r="A17067" t="s">
        <v>3610</v>
      </c>
      <c r="B17067">
        <f>HYPERLINK("https://android.googlesource.com/platform/cts/+/2dfec23107b07ad604d67765ceb2e2db5996f6e0", "2dfec23107b07ad604d67765ceb2e2db5996f6e0")</f>
        <v>0</v>
      </c>
      <c r="C17067">
        <f>HYPERLINK("https://android.googlesource.com/platform/cts/+/02bd4fff603ecb6b1fa01d986448dbdfa561ccfd", "02bd4fff603ecb6b1fa01d986448dbdfa561ccfd")</f>
        <v>0</v>
      </c>
      <c r="D17067" t="s">
        <v>5447</v>
      </c>
      <c r="E17067" t="s">
        <v>9306</v>
      </c>
      <c r="F17067" t="s">
        <v>12842</v>
      </c>
      <c r="G17067" t="s">
        <v>15690</v>
      </c>
      <c r="H17067" t="s">
        <v>35701</v>
      </c>
    </row>
    <row r="17068" spans="1:8">
      <c r="A17068" t="s">
        <v>3614</v>
      </c>
      <c r="B17068">
        <f>HYPERLINK("https://android.googlesource.com/platform/cts/+/1a3672e1c4b7054baeeec804e831aa5c1ef3260e", "1a3672e1c4b7054baeeec804e831aa5c1ef3260e")</f>
        <v>0</v>
      </c>
      <c r="C17068">
        <f>HYPERLINK("https://android.googlesource.com/platform/cts/+/ec7950d61a925e755a4edb7b70dea037347b8d4e", "ec7950d61a925e755a4edb7b70dea037347b8d4e")</f>
        <v>0</v>
      </c>
      <c r="D17068" t="s">
        <v>5481</v>
      </c>
      <c r="E17068" t="s">
        <v>9310</v>
      </c>
      <c r="F17068" t="s">
        <v>14375</v>
      </c>
      <c r="G17068" t="s">
        <v>18319</v>
      </c>
      <c r="H17068" t="s">
        <v>35711</v>
      </c>
    </row>
    <row r="17069" spans="1:8">
      <c r="H17069" t="s">
        <v>35712</v>
      </c>
    </row>
    <row r="17070" spans="1:8">
      <c r="A17070" t="s">
        <v>3618</v>
      </c>
      <c r="B17070">
        <f>HYPERLINK("https://android.googlesource.com/platform/cts/+/04f61b186f7df0868b4e6276cf0e2718b49cdb05", "04f61b186f7df0868b4e6276cf0e2718b49cdb05")</f>
        <v>0</v>
      </c>
      <c r="C17070">
        <f>HYPERLINK("https://android.googlesource.com/platform/cts/+/621d4ce1dce580d11f915c86381afa43fbc4f09e", "621d4ce1dce580d11f915c86381afa43fbc4f09e")</f>
        <v>0</v>
      </c>
      <c r="D17070" t="s">
        <v>5484</v>
      </c>
      <c r="E17070" t="s">
        <v>9313</v>
      </c>
      <c r="F17070" t="s">
        <v>14377</v>
      </c>
      <c r="G17070" t="s">
        <v>18321</v>
      </c>
      <c r="H17070" t="s">
        <v>35724</v>
      </c>
    </row>
    <row r="17071" spans="1:8">
      <c r="A17071" t="s">
        <v>3622</v>
      </c>
      <c r="B17071">
        <f>HYPERLINK("https://android.googlesource.com/platform/cts/+/85c73c9b8703857367027ec7cf045db05cad3959", "85c73c9b8703857367027ec7cf045db05cad3959")</f>
        <v>0</v>
      </c>
      <c r="C17071">
        <f>HYPERLINK("https://android.googlesource.com/platform/cts/+/2327f3ef31c3b4517ab5cb1bb0ef910e673276b4", "2327f3ef31c3b4517ab5cb1bb0ef910e673276b4")</f>
        <v>0</v>
      </c>
      <c r="D17071" t="s">
        <v>5596</v>
      </c>
      <c r="E17071" t="s">
        <v>9317</v>
      </c>
      <c r="F17071" t="s">
        <v>14380</v>
      </c>
      <c r="G17071" t="s">
        <v>18324</v>
      </c>
      <c r="H17071" t="s">
        <v>35740</v>
      </c>
    </row>
    <row r="17072" spans="1:8">
      <c r="A17072" t="s">
        <v>3627</v>
      </c>
      <c r="B17072">
        <f>HYPERLINK("https://android.googlesource.com/platform/cts/+/f3df80250737314b0ae76ec1396a4604f91fdf85", "f3df80250737314b0ae76ec1396a4604f91fdf85")</f>
        <v>0</v>
      </c>
      <c r="C17072">
        <f>HYPERLINK("https://android.googlesource.com/platform/cts/+/14b8c6f04c32ee2aaa5871ffcf3573364c5229a6", "14b8c6f04c32ee2aaa5871ffcf3573364c5229a6")</f>
        <v>0</v>
      </c>
      <c r="D17072" t="s">
        <v>5363</v>
      </c>
      <c r="E17072" t="s">
        <v>9322</v>
      </c>
      <c r="F17072" t="s">
        <v>14097</v>
      </c>
      <c r="G17072" t="s">
        <v>18090</v>
      </c>
      <c r="H17072" t="s">
        <v>33400</v>
      </c>
    </row>
    <row r="17073" spans="1:8">
      <c r="F17073" t="s">
        <v>14189</v>
      </c>
      <c r="G17073" t="s">
        <v>14997</v>
      </c>
      <c r="H17073" t="s">
        <v>32904</v>
      </c>
    </row>
    <row r="17074" spans="1:8">
      <c r="A17074" t="s">
        <v>3629</v>
      </c>
      <c r="B17074">
        <f>HYPERLINK("https://android.googlesource.com/platform/cts/+/1986437989eb6d08436c7f2a88ebb90dd92e4243", "1986437989eb6d08436c7f2a88ebb90dd92e4243")</f>
        <v>0</v>
      </c>
      <c r="C17074">
        <f>HYPERLINK("https://android.googlesource.com/platform/cts/+/bba587afac2691d0375baf8a9dd96c9f077b6588", "bba587afac2691d0375baf8a9dd96c9f077b6588")</f>
        <v>0</v>
      </c>
      <c r="D17074" t="s">
        <v>5568</v>
      </c>
      <c r="E17074" t="s">
        <v>9323</v>
      </c>
      <c r="F17074" t="s">
        <v>14352</v>
      </c>
      <c r="G17074" t="s">
        <v>18261</v>
      </c>
      <c r="H17074" t="s">
        <v>34782</v>
      </c>
    </row>
    <row r="17075" spans="1:8">
      <c r="H17075" t="s">
        <v>34531</v>
      </c>
    </row>
    <row r="17076" spans="1:8">
      <c r="H17076" t="s">
        <v>34783</v>
      </c>
    </row>
    <row r="17077" spans="1:8">
      <c r="H17077" t="s">
        <v>34559</v>
      </c>
    </row>
    <row r="17078" spans="1:8">
      <c r="H17078" t="s">
        <v>34560</v>
      </c>
    </row>
    <row r="17079" spans="1:8">
      <c r="A17079" t="s">
        <v>3636</v>
      </c>
      <c r="B17079">
        <f>HYPERLINK("https://android.googlesource.com/platform/cts/+/ae7c11a66974c127bc3758d03b18bf8e0fb7782a", "ae7c11a66974c127bc3758d03b18bf8e0fb7782a")</f>
        <v>0</v>
      </c>
      <c r="C17079">
        <f>HYPERLINK("https://android.googlesource.com/platform/cts/+/ad91678eeeddc900ae09aa92ade770ecfb357b40", "ad91678eeeddc900ae09aa92ade770ecfb357b40")</f>
        <v>0</v>
      </c>
      <c r="D17079" t="s">
        <v>5290</v>
      </c>
      <c r="E17079" t="s">
        <v>9330</v>
      </c>
      <c r="F17079" t="s">
        <v>14390</v>
      </c>
      <c r="G17079" t="s">
        <v>18331</v>
      </c>
      <c r="H17079" t="s">
        <v>32593</v>
      </c>
    </row>
    <row r="17080" spans="1:8">
      <c r="A17080" t="s">
        <v>3638</v>
      </c>
      <c r="B17080">
        <f>HYPERLINK("https://android.googlesource.com/platform/cts/+/c077873a2a067c9568b577581dd822dda900e3f6", "c077873a2a067c9568b577581dd822dda900e3f6")</f>
        <v>0</v>
      </c>
      <c r="C17080">
        <f>HYPERLINK("https://android.googlesource.com/platform/cts/+/ad91678eeeddc900ae09aa92ade770ecfb357b40", "ad91678eeeddc900ae09aa92ade770ecfb357b40")</f>
        <v>0</v>
      </c>
      <c r="D17080" t="s">
        <v>5569</v>
      </c>
      <c r="E17080" t="s">
        <v>9332</v>
      </c>
      <c r="F17080" t="s">
        <v>13511</v>
      </c>
      <c r="G17080" t="s">
        <v>17628</v>
      </c>
      <c r="H17080" t="s">
        <v>35770</v>
      </c>
    </row>
    <row r="17081" spans="1:8">
      <c r="H17081" t="s">
        <v>35771</v>
      </c>
    </row>
    <row r="17082" spans="1:8">
      <c r="A17082" t="s">
        <v>3643</v>
      </c>
      <c r="B17082">
        <f>HYPERLINK("https://android.googlesource.com/platform/cts/+/9a6929cc1f3dd26e1cfcbc594bc9a9e8602b3c2e", "9a6929cc1f3dd26e1cfcbc594bc9a9e8602b3c2e")</f>
        <v>0</v>
      </c>
      <c r="C17082">
        <f>HYPERLINK("https://android.googlesource.com/platform/cts/+/2e24a4c03186a289c6ac4b5afc188c1f2e99237f", "2e24a4c03186a289c6ac4b5afc188c1f2e99237f")</f>
        <v>0</v>
      </c>
      <c r="D17082" t="s">
        <v>5470</v>
      </c>
      <c r="E17082" t="s">
        <v>9337</v>
      </c>
      <c r="F17082" t="s">
        <v>14394</v>
      </c>
      <c r="G17082" t="s">
        <v>17002</v>
      </c>
      <c r="H17082" t="s">
        <v>35786</v>
      </c>
    </row>
    <row r="17083" spans="1:8">
      <c r="A17083" t="s">
        <v>3644</v>
      </c>
      <c r="B17083">
        <f>HYPERLINK("https://android.googlesource.com/platform/cts/+/2b476735d744b485904994a26aa49e98a8fce80e", "2b476735d744b485904994a26aa49e98a8fce80e")</f>
        <v>0</v>
      </c>
      <c r="C17083">
        <f>HYPERLINK("https://android.googlesource.com/platform/cts/+/4082124096862b4d0fdd891f9aab2e9ee8e949b7", "4082124096862b4d0fdd891f9aab2e9ee8e949b7")</f>
        <v>0</v>
      </c>
      <c r="D17083" t="s">
        <v>5481</v>
      </c>
      <c r="E17083" t="s">
        <v>9338</v>
      </c>
      <c r="F17083" t="s">
        <v>14395</v>
      </c>
      <c r="G17083" t="s">
        <v>18334</v>
      </c>
      <c r="H17083" t="s">
        <v>35789</v>
      </c>
    </row>
    <row r="17084" spans="1:8">
      <c r="A17084" t="s">
        <v>3645</v>
      </c>
      <c r="B17084">
        <f>HYPERLINK("https://android.googlesource.com/platform/cts/+/4f6e1a29557fb11b8e81860266aa6233aeb0a730", "4f6e1a29557fb11b8e81860266aa6233aeb0a730")</f>
        <v>0</v>
      </c>
      <c r="C17084">
        <f>HYPERLINK("https://android.googlesource.com/platform/cts/+/9fc28c83dd068fae4229d06f62d3a50f58578881", "9fc28c83dd068fae4229d06f62d3a50f58578881")</f>
        <v>0</v>
      </c>
      <c r="D17084" t="s">
        <v>5357</v>
      </c>
      <c r="E17084" t="s">
        <v>9339</v>
      </c>
      <c r="F17084" t="s">
        <v>14396</v>
      </c>
      <c r="G17084" t="s">
        <v>18335</v>
      </c>
      <c r="H17084" t="s">
        <v>35793</v>
      </c>
    </row>
    <row r="17085" spans="1:8">
      <c r="H17085" t="s">
        <v>35794</v>
      </c>
    </row>
    <row r="17086" spans="1:8">
      <c r="H17086" t="s">
        <v>35795</v>
      </c>
    </row>
    <row r="17087" spans="1:8">
      <c r="H17087" t="s">
        <v>35796</v>
      </c>
    </row>
    <row r="17088" spans="1:8">
      <c r="H17088" t="s">
        <v>35797</v>
      </c>
    </row>
    <row r="17089" spans="1:8">
      <c r="H17089" t="s">
        <v>35798</v>
      </c>
    </row>
    <row r="17090" spans="1:8">
      <c r="H17090" t="s">
        <v>35799</v>
      </c>
    </row>
    <row r="17091" spans="1:8">
      <c r="A17091" t="s">
        <v>3646</v>
      </c>
      <c r="B17091">
        <f>HYPERLINK("https://android.googlesource.com/platform/cts/+/b548aac6081a6899e966d7a8d961f2a47147e244", "b548aac6081a6899e966d7a8d961f2a47147e244")</f>
        <v>0</v>
      </c>
      <c r="C17091">
        <f>HYPERLINK("https://android.googlesource.com/platform/cts/+/57fc44dcc189019aa2e7fa534087e8dcbc5e4b6f", "57fc44dcc189019aa2e7fa534087e8dcbc5e4b6f")</f>
        <v>0</v>
      </c>
      <c r="D17091" t="s">
        <v>5600</v>
      </c>
      <c r="E17091" t="s">
        <v>9340</v>
      </c>
      <c r="F17091" t="s">
        <v>14398</v>
      </c>
      <c r="G17091" t="s">
        <v>18337</v>
      </c>
      <c r="H17091" t="s">
        <v>35806</v>
      </c>
    </row>
    <row r="17092" spans="1:8">
      <c r="H17092" t="s">
        <v>35807</v>
      </c>
    </row>
    <row r="17093" spans="1:8">
      <c r="H17093" t="s">
        <v>35808</v>
      </c>
    </row>
    <row r="17094" spans="1:8">
      <c r="H17094" t="s">
        <v>35809</v>
      </c>
    </row>
    <row r="17095" spans="1:8">
      <c r="A17095" t="s">
        <v>3647</v>
      </c>
      <c r="B17095">
        <f>HYPERLINK("https://android.googlesource.com/platform/cts/+/a17420bd2bf72cbe35f95e190432bad039482cce", "a17420bd2bf72cbe35f95e190432bad039482cce")</f>
        <v>0</v>
      </c>
      <c r="C17095">
        <f>HYPERLINK("https://android.googlesource.com/platform/cts/+/e2fce9947573bd82c5486779c6fdaac5bfd41694", "e2fce9947573bd82c5486779c6fdaac5bfd41694")</f>
        <v>0</v>
      </c>
      <c r="D17095" t="s">
        <v>5290</v>
      </c>
      <c r="E17095" t="s">
        <v>9341</v>
      </c>
      <c r="F17095" t="s">
        <v>13136</v>
      </c>
      <c r="G17095" t="s">
        <v>17293</v>
      </c>
      <c r="H17095" t="s">
        <v>31218</v>
      </c>
    </row>
    <row r="17096" spans="1:8">
      <c r="A17096" t="s">
        <v>3650</v>
      </c>
      <c r="B17096">
        <f>HYPERLINK("https://android.googlesource.com/platform/cts/+/700041392600676be14d21f1f8d6211795cf7ea2", "700041392600676be14d21f1f8d6211795cf7ea2")</f>
        <v>0</v>
      </c>
      <c r="C17096">
        <f>HYPERLINK("https://android.googlesource.com/platform/cts/+/1eeed57bd9d9716017397afd6cd690d41ca34d0a", "1eeed57bd9d9716017397afd6cd690d41ca34d0a")</f>
        <v>0</v>
      </c>
      <c r="D17096" t="s">
        <v>5601</v>
      </c>
      <c r="E17096" t="s">
        <v>9344</v>
      </c>
      <c r="F17096" t="s">
        <v>14400</v>
      </c>
      <c r="G17096" t="s">
        <v>18338</v>
      </c>
      <c r="H17096" t="s">
        <v>35811</v>
      </c>
    </row>
    <row r="17097" spans="1:8">
      <c r="A17097" t="s">
        <v>3653</v>
      </c>
      <c r="B17097">
        <f>HYPERLINK("https://android.googlesource.com/platform/cts/+/96b2c8b149bd7844f6aecc38062ffc84532ffc98", "96b2c8b149bd7844f6aecc38062ffc84532ffc98")</f>
        <v>0</v>
      </c>
      <c r="C17097">
        <f>HYPERLINK("https://android.googlesource.com/platform/cts/+/9bb281447a206f2744b7a5013ff2923b08879dd3", "9bb281447a206f2744b7a5013ff2923b08879dd3")</f>
        <v>0</v>
      </c>
      <c r="D17097" t="s">
        <v>5602</v>
      </c>
      <c r="E17097" t="s">
        <v>9347</v>
      </c>
      <c r="F17097" t="s">
        <v>12659</v>
      </c>
      <c r="G17097" t="s">
        <v>16864</v>
      </c>
      <c r="H17097" t="s">
        <v>26118</v>
      </c>
    </row>
    <row r="17098" spans="1:8">
      <c r="F17098" t="s">
        <v>12646</v>
      </c>
      <c r="G17098" t="s">
        <v>14989</v>
      </c>
      <c r="H17098" t="s">
        <v>26118</v>
      </c>
    </row>
    <row r="17099" spans="1:8">
      <c r="A17099" t="s">
        <v>3656</v>
      </c>
      <c r="B17099">
        <f>HYPERLINK("https://android.googlesource.com/platform/cts/+/66105c386ba0503ef3b6d6ef24b2e5420382d62d", "66105c386ba0503ef3b6d6ef24b2e5420382d62d")</f>
        <v>0</v>
      </c>
      <c r="C17099">
        <f>HYPERLINK("https://android.googlesource.com/platform/cts/+/bd4d419ab7ee040a7127faffb889d626a642c96c", "bd4d419ab7ee040a7127faffb889d626a642c96c")</f>
        <v>0</v>
      </c>
      <c r="D17099" t="s">
        <v>5172</v>
      </c>
      <c r="E17099" t="s">
        <v>9350</v>
      </c>
      <c r="F17099" t="s">
        <v>14404</v>
      </c>
      <c r="G17099" t="s">
        <v>18342</v>
      </c>
      <c r="H17099" t="s">
        <v>35816</v>
      </c>
    </row>
    <row r="17100" spans="1:8">
      <c r="A17100" t="s">
        <v>3658</v>
      </c>
      <c r="B17100">
        <f>HYPERLINK("https://android.googlesource.com/platform/cts/+/7c6d5e5f21c3863f5b68715d297bee8d031edba0", "7c6d5e5f21c3863f5b68715d297bee8d031edba0")</f>
        <v>0</v>
      </c>
      <c r="C17100">
        <f>HYPERLINK("https://android.googlesource.com/platform/cts/+/45a4f985e46c5dfc7934b3d64a11ed0c31811b02", "45a4f985e46c5dfc7934b3d64a11ed0c31811b02")</f>
        <v>0</v>
      </c>
      <c r="D17100" t="s">
        <v>5134</v>
      </c>
      <c r="E17100" t="s">
        <v>9352</v>
      </c>
      <c r="F17100" t="s">
        <v>12746</v>
      </c>
      <c r="G17100" t="s">
        <v>16938</v>
      </c>
      <c r="H17100" t="s">
        <v>35820</v>
      </c>
    </row>
    <row r="17101" spans="1:8">
      <c r="A17101" t="s">
        <v>3660</v>
      </c>
      <c r="B17101">
        <f>HYPERLINK("https://android.googlesource.com/platform/cts/+/1ca518c1ec75b8307126991ae2d253911b2be10c", "1ca518c1ec75b8307126991ae2d253911b2be10c")</f>
        <v>0</v>
      </c>
      <c r="C17101">
        <f>HYPERLINK("https://android.googlesource.com/platform/cts/+/be11279225d8e713d04a92fbb67f5ee6a579e8ae", "be11279225d8e713d04a92fbb67f5ee6a579e8ae")</f>
        <v>0</v>
      </c>
      <c r="D17101" t="s">
        <v>5153</v>
      </c>
      <c r="E17101" t="s">
        <v>9354</v>
      </c>
      <c r="F17101" t="s">
        <v>14408</v>
      </c>
      <c r="G17101" t="s">
        <v>18346</v>
      </c>
      <c r="H17101" t="s">
        <v>35824</v>
      </c>
    </row>
    <row r="17102" spans="1:8">
      <c r="H17102" t="s">
        <v>35825</v>
      </c>
    </row>
    <row r="17103" spans="1:8">
      <c r="H17103" t="s">
        <v>35826</v>
      </c>
    </row>
    <row r="17104" spans="1:8">
      <c r="H17104" t="s">
        <v>35827</v>
      </c>
    </row>
    <row r="17105" spans="1:8">
      <c r="H17105" t="s">
        <v>35828</v>
      </c>
    </row>
    <row r="17106" spans="1:8">
      <c r="H17106" t="s">
        <v>35829</v>
      </c>
    </row>
    <row r="17107" spans="1:8">
      <c r="F17107" t="s">
        <v>14409</v>
      </c>
      <c r="G17107" t="s">
        <v>18347</v>
      </c>
      <c r="H17107" t="s">
        <v>35824</v>
      </c>
    </row>
    <row r="17108" spans="1:8">
      <c r="H17108" t="s">
        <v>35825</v>
      </c>
    </row>
    <row r="17109" spans="1:8">
      <c r="H17109" t="s">
        <v>35826</v>
      </c>
    </row>
    <row r="17110" spans="1:8">
      <c r="H17110" t="s">
        <v>35827</v>
      </c>
    </row>
    <row r="17111" spans="1:8">
      <c r="H17111" t="s">
        <v>35828</v>
      </c>
    </row>
    <row r="17112" spans="1:8">
      <c r="H17112" t="s">
        <v>35829</v>
      </c>
    </row>
    <row r="17113" spans="1:8">
      <c r="A17113" t="s">
        <v>3668</v>
      </c>
      <c r="B17113">
        <f>HYPERLINK("https://android.googlesource.com/platform/cts/+/fa59f3619cb53ca6dc028257425bf9fd732b80c5", "fa59f3619cb53ca6dc028257425bf9fd732b80c5")</f>
        <v>0</v>
      </c>
      <c r="C17113">
        <f>HYPERLINK("https://android.googlesource.com/platform/cts/+/fa136b4e17b354e7a5467c86ccdaeb91b9692b5b", "fa136b4e17b354e7a5467c86ccdaeb91b9692b5b")</f>
        <v>0</v>
      </c>
      <c r="D17113" t="s">
        <v>5603</v>
      </c>
      <c r="E17113" t="s">
        <v>9362</v>
      </c>
      <c r="F17113" t="s">
        <v>13812</v>
      </c>
      <c r="G17113" t="s">
        <v>17859</v>
      </c>
      <c r="H17113" t="s">
        <v>35838</v>
      </c>
    </row>
    <row r="17114" spans="1:8">
      <c r="A17114" t="s">
        <v>3670</v>
      </c>
      <c r="B17114">
        <f>HYPERLINK("https://android.googlesource.com/platform/cts/+/e61862fbf2ee482f7c6bf12c796e242f7292a544", "e61862fbf2ee482f7c6bf12c796e242f7292a544")</f>
        <v>0</v>
      </c>
      <c r="C17114">
        <f>HYPERLINK("https://android.googlesource.com/platform/cts/+/80add1aab6c2040bf283aa30d723bef3b90e7b17", "80add1aab6c2040bf283aa30d723bef3b90e7b17")</f>
        <v>0</v>
      </c>
      <c r="D17114" t="s">
        <v>5409</v>
      </c>
      <c r="E17114" t="s">
        <v>9364</v>
      </c>
      <c r="F17114" t="s">
        <v>14415</v>
      </c>
      <c r="G17114" t="s">
        <v>18353</v>
      </c>
      <c r="H17114" t="s">
        <v>35839</v>
      </c>
    </row>
    <row r="17115" spans="1:8">
      <c r="A17115" t="s">
        <v>3681</v>
      </c>
      <c r="B17115">
        <f>HYPERLINK("https://android.googlesource.com/platform/cts/+/9c45f4205f7275431f35df51dbf72fee53c5c43f", "9c45f4205f7275431f35df51dbf72fee53c5c43f")</f>
        <v>0</v>
      </c>
      <c r="C17115">
        <f>HYPERLINK("https://android.googlesource.com/platform/cts/+/8954e8567aaa8a7b2fb2ef2d3fe6b0dfdcc1d72b", "8954e8567aaa8a7b2fb2ef2d3fe6b0dfdcc1d72b")</f>
        <v>0</v>
      </c>
      <c r="D17115" t="s">
        <v>5409</v>
      </c>
      <c r="E17115" t="s">
        <v>9374</v>
      </c>
      <c r="F17115" t="s">
        <v>14419</v>
      </c>
      <c r="G17115" t="s">
        <v>18357</v>
      </c>
      <c r="H17115" t="s">
        <v>35856</v>
      </c>
    </row>
    <row r="17116" spans="1:8">
      <c r="H17116" t="s">
        <v>35857</v>
      </c>
    </row>
    <row r="17117" spans="1:8">
      <c r="H17117" t="s">
        <v>35858</v>
      </c>
    </row>
    <row r="17118" spans="1:8">
      <c r="H17118" t="s">
        <v>35862</v>
      </c>
    </row>
    <row r="17119" spans="1:8">
      <c r="A17119" t="s">
        <v>3683</v>
      </c>
      <c r="B17119">
        <f>HYPERLINK("https://android.googlesource.com/platform/cts/+/24bcccc230dabfbaca82843ad91b887dad0a0a2e", "24bcccc230dabfbaca82843ad91b887dad0a0a2e")</f>
        <v>0</v>
      </c>
      <c r="C17119">
        <f>HYPERLINK("https://android.googlesource.com/platform/cts/+/7b3a54d3e7e54dcea549d309adebf67dc9ac4e7a", "7b3a54d3e7e54dcea549d309adebf67dc9ac4e7a")</f>
        <v>0</v>
      </c>
      <c r="D17119" t="s">
        <v>5605</v>
      </c>
      <c r="E17119" t="s">
        <v>9376</v>
      </c>
      <c r="F17119" t="s">
        <v>14165</v>
      </c>
      <c r="G17119" t="s">
        <v>17361</v>
      </c>
      <c r="H17119" t="s">
        <v>35864</v>
      </c>
    </row>
    <row r="17120" spans="1:8">
      <c r="A17120" t="s">
        <v>3687</v>
      </c>
      <c r="B17120">
        <f>HYPERLINK("https://android.googlesource.com/platform/cts/+/109b7ea3a8556f30eb060af8fd366f31c10e323e", "109b7ea3a8556f30eb060af8fd366f31c10e323e")</f>
        <v>0</v>
      </c>
      <c r="C17120">
        <f>HYPERLINK("https://android.googlesource.com/platform/cts/+/4842a395a29440ea5092eb675cee9e7ec7270506", "4842a395a29440ea5092eb675cee9e7ec7270506")</f>
        <v>0</v>
      </c>
      <c r="D17120" t="s">
        <v>5556</v>
      </c>
      <c r="E17120" t="s">
        <v>9380</v>
      </c>
      <c r="F17120" t="s">
        <v>14423</v>
      </c>
      <c r="G17120" t="s">
        <v>18361</v>
      </c>
      <c r="H17120" t="s">
        <v>35868</v>
      </c>
    </row>
    <row r="17121" spans="1:8">
      <c r="H17121" t="s">
        <v>35869</v>
      </c>
    </row>
    <row r="17122" spans="1:8">
      <c r="H17122" t="s">
        <v>35870</v>
      </c>
    </row>
    <row r="17123" spans="1:8">
      <c r="H17123" t="s">
        <v>35871</v>
      </c>
    </row>
    <row r="17124" spans="1:8">
      <c r="H17124" t="s">
        <v>35872</v>
      </c>
    </row>
    <row r="17125" spans="1:8">
      <c r="H17125" t="s">
        <v>35873</v>
      </c>
    </row>
    <row r="17126" spans="1:8">
      <c r="H17126" t="s">
        <v>35874</v>
      </c>
    </row>
    <row r="17127" spans="1:8">
      <c r="H17127" t="s">
        <v>35875</v>
      </c>
    </row>
    <row r="17128" spans="1:8">
      <c r="H17128" t="s">
        <v>35876</v>
      </c>
    </row>
    <row r="17129" spans="1:8">
      <c r="F17129" t="s">
        <v>14401</v>
      </c>
      <c r="G17129" t="s">
        <v>18339</v>
      </c>
      <c r="H17129" t="s">
        <v>35868</v>
      </c>
    </row>
    <row r="17130" spans="1:8">
      <c r="A17130" t="s">
        <v>3689</v>
      </c>
      <c r="B17130">
        <f>HYPERLINK("https://android.googlesource.com/platform/cts/+/52523ea6f997e2e17c103f5a58a04c32903c5444", "52523ea6f997e2e17c103f5a58a04c32903c5444")</f>
        <v>0</v>
      </c>
      <c r="C17130">
        <f>HYPERLINK("https://android.googlesource.com/platform/cts/+/80e640446b498be1ab931f11b8e7b45621af3e05", "80e640446b498be1ab931f11b8e7b45621af3e05")</f>
        <v>0</v>
      </c>
      <c r="D17130" t="s">
        <v>5426</v>
      </c>
      <c r="E17130" t="s">
        <v>9382</v>
      </c>
      <c r="F17130" t="s">
        <v>14424</v>
      </c>
      <c r="G17130" t="s">
        <v>18362</v>
      </c>
      <c r="H17130" t="s">
        <v>35877</v>
      </c>
    </row>
    <row r="17131" spans="1:8">
      <c r="H17131" t="s">
        <v>35878</v>
      </c>
    </row>
    <row r="17132" spans="1:8">
      <c r="A17132" t="s">
        <v>3693</v>
      </c>
      <c r="B17132">
        <f>HYPERLINK("https://android.googlesource.com/platform/cts/+/e591a3a7fab090e387741a7a6a898d79a784adf0", "e591a3a7fab090e387741a7a6a898d79a784adf0")</f>
        <v>0</v>
      </c>
      <c r="C17132">
        <f>HYPERLINK("https://android.googlesource.com/platform/cts/+/66fcbbde6611cdac546e8128674526f4f1fad5ef", "66fcbbde6611cdac546e8128674526f4f1fad5ef")</f>
        <v>0</v>
      </c>
      <c r="D17132" t="s">
        <v>5608</v>
      </c>
      <c r="E17132" t="s">
        <v>9386</v>
      </c>
      <c r="F17132" t="s">
        <v>12787</v>
      </c>
      <c r="G17132" t="s">
        <v>16971</v>
      </c>
      <c r="H17132" t="s">
        <v>35881</v>
      </c>
    </row>
    <row r="17133" spans="1:8">
      <c r="A17133" t="s">
        <v>3698</v>
      </c>
      <c r="B17133">
        <f>HYPERLINK("https://android.googlesource.com/platform/cts/+/1a37c61c41b35893eff1f7244092d2605bda45df", "1a37c61c41b35893eff1f7244092d2605bda45df")</f>
        <v>0</v>
      </c>
      <c r="C17133">
        <f>HYPERLINK("https://android.googlesource.com/platform/cts/+/13b39244db81f182ceaf2c666183b8605db44a4b", "13b39244db81f182ceaf2c666183b8605db44a4b")</f>
        <v>0</v>
      </c>
      <c r="D17133" t="s">
        <v>5272</v>
      </c>
      <c r="E17133" t="s">
        <v>9391</v>
      </c>
      <c r="F17133" t="s">
        <v>13398</v>
      </c>
      <c r="G17133" t="s">
        <v>17524</v>
      </c>
      <c r="H17133" t="s">
        <v>35884</v>
      </c>
    </row>
    <row r="17134" spans="1:8">
      <c r="A17134" t="s">
        <v>3699</v>
      </c>
      <c r="B17134">
        <f>HYPERLINK("https://android.googlesource.com/platform/cts/+/60e04b9a45de3cee64d371af0f4664798f7862d1", "60e04b9a45de3cee64d371af0f4664798f7862d1")</f>
        <v>0</v>
      </c>
      <c r="C17134">
        <f>HYPERLINK("https://android.googlesource.com/platform/cts/+/7083ebff8c4476e4e2e527740348fb9734e56859", "7083ebff8c4476e4e2e527740348fb9734e56859")</f>
        <v>0</v>
      </c>
      <c r="D17134" t="s">
        <v>5409</v>
      </c>
      <c r="E17134" t="s">
        <v>9392</v>
      </c>
      <c r="F17134" t="s">
        <v>14415</v>
      </c>
      <c r="G17134" t="s">
        <v>18353</v>
      </c>
      <c r="H17134" t="s">
        <v>35885</v>
      </c>
    </row>
    <row r="17135" spans="1:8">
      <c r="H17135" t="s">
        <v>35886</v>
      </c>
    </row>
    <row r="17136" spans="1:8">
      <c r="H17136" t="s">
        <v>35889</v>
      </c>
    </row>
    <row r="17137" spans="1:8">
      <c r="H17137" t="s">
        <v>35890</v>
      </c>
    </row>
    <row r="17138" spans="1:8">
      <c r="A17138" t="s">
        <v>3705</v>
      </c>
      <c r="B17138">
        <f>HYPERLINK("https://android.googlesource.com/platform/cts/+/bb88afe42f859b88c1c2a8bf284917fc3502d886", "bb88afe42f859b88c1c2a8bf284917fc3502d886")</f>
        <v>0</v>
      </c>
      <c r="C17138">
        <f>HYPERLINK("https://android.googlesource.com/platform/cts/+/03104aae3963e395ab9681f2b540b7168fa52849", "03104aae3963e395ab9681f2b540b7168fa52849")</f>
        <v>0</v>
      </c>
      <c r="D17138" t="s">
        <v>5320</v>
      </c>
      <c r="E17138" t="s">
        <v>9397</v>
      </c>
      <c r="F17138" t="s">
        <v>14430</v>
      </c>
      <c r="G17138" t="s">
        <v>18367</v>
      </c>
      <c r="H17138" t="s">
        <v>35903</v>
      </c>
    </row>
    <row r="17139" spans="1:8">
      <c r="H17139" t="s">
        <v>35904</v>
      </c>
    </row>
    <row r="17140" spans="1:8">
      <c r="F17140" t="s">
        <v>14431</v>
      </c>
      <c r="G17140" t="s">
        <v>18368</v>
      </c>
      <c r="H17140" t="s">
        <v>35905</v>
      </c>
    </row>
    <row r="17141" spans="1:8">
      <c r="H17141" t="s">
        <v>35906</v>
      </c>
    </row>
    <row r="17142" spans="1:8">
      <c r="H17142" t="s">
        <v>35907</v>
      </c>
    </row>
    <row r="17143" spans="1:8">
      <c r="A17143" t="s">
        <v>3707</v>
      </c>
      <c r="B17143">
        <f>HYPERLINK("https://android.googlesource.com/platform/cts/+/5f47892997e6f9ce2541d4fcfc8b0e0d4ad6ca88", "5f47892997e6f9ce2541d4fcfc8b0e0d4ad6ca88")</f>
        <v>0</v>
      </c>
      <c r="C17143">
        <f>HYPERLINK("https://android.googlesource.com/platform/cts/+/5abab3cfc29f8edd91b916a07d5d6ae031dc3166", "5abab3cfc29f8edd91b916a07d5d6ae031dc3166")</f>
        <v>0</v>
      </c>
      <c r="D17143" t="s">
        <v>5610</v>
      </c>
      <c r="E17143" t="s">
        <v>9399</v>
      </c>
      <c r="F17143" t="s">
        <v>14432</v>
      </c>
      <c r="G17143" t="s">
        <v>18369</v>
      </c>
      <c r="H17143" t="s">
        <v>35911</v>
      </c>
    </row>
    <row r="17144" spans="1:8">
      <c r="A17144" t="s">
        <v>3710</v>
      </c>
      <c r="B17144">
        <f>HYPERLINK("https://android.googlesource.com/platform/cts/+/20266a1b0495455fc7ffe2392981f5675df5cda7", "20266a1b0495455fc7ffe2392981f5675df5cda7")</f>
        <v>0</v>
      </c>
      <c r="C17144">
        <f>HYPERLINK("https://android.googlesource.com/platform/cts/+/a1cb34db8a66ae88f9d889781faf0195031553e5", "a1cb34db8a66ae88f9d889781faf0195031553e5")</f>
        <v>0</v>
      </c>
      <c r="D17144" t="s">
        <v>5610</v>
      </c>
      <c r="E17144" t="s">
        <v>9402</v>
      </c>
      <c r="F17144" t="s">
        <v>14434</v>
      </c>
      <c r="G17144" t="s">
        <v>18370</v>
      </c>
      <c r="H17144" t="s">
        <v>35919</v>
      </c>
    </row>
    <row r="17145" spans="1:8">
      <c r="H17145" t="s">
        <v>35920</v>
      </c>
    </row>
    <row r="17146" spans="1:8">
      <c r="H17146" t="s">
        <v>35921</v>
      </c>
    </row>
    <row r="17147" spans="1:8">
      <c r="H17147" t="s">
        <v>35922</v>
      </c>
    </row>
    <row r="17148" spans="1:8">
      <c r="H17148" t="s">
        <v>35923</v>
      </c>
    </row>
    <row r="17149" spans="1:8">
      <c r="A17149" t="s">
        <v>3711</v>
      </c>
      <c r="B17149">
        <f>HYPERLINK("https://android.googlesource.com/platform/cts/+/bab2c0ec57f1bcfdc85290789ff68edaa958aed6", "bab2c0ec57f1bcfdc85290789ff68edaa958aed6")</f>
        <v>0</v>
      </c>
      <c r="C17149">
        <f>HYPERLINK("https://android.googlesource.com/platform/cts/+/aa4a265aaf1ba92a3ca0ddc99366ac38f710b389", "aa4a265aaf1ba92a3ca0ddc99366ac38f710b389")</f>
        <v>0</v>
      </c>
      <c r="D17149" t="s">
        <v>5611</v>
      </c>
      <c r="E17149" t="s">
        <v>9403</v>
      </c>
      <c r="F17149" t="s">
        <v>14433</v>
      </c>
      <c r="G17149" t="s">
        <v>17405</v>
      </c>
      <c r="H17149" t="s">
        <v>35924</v>
      </c>
    </row>
    <row r="17150" spans="1:8">
      <c r="H17150" t="s">
        <v>35925</v>
      </c>
    </row>
    <row r="17151" spans="1:8">
      <c r="A17151" t="s">
        <v>3713</v>
      </c>
      <c r="B17151">
        <f>HYPERLINK("https://android.googlesource.com/platform/cts/+/2d323220882daff57ff3ac004d613f38825417db", "2d323220882daff57ff3ac004d613f38825417db")</f>
        <v>0</v>
      </c>
      <c r="C17151">
        <f>HYPERLINK("https://android.googlesource.com/platform/cts/+/a18b0c73c187d2332aa628864fd31ba126301972", "a18b0c73c187d2332aa628864fd31ba126301972")</f>
        <v>0</v>
      </c>
      <c r="D17151" t="s">
        <v>5409</v>
      </c>
      <c r="E17151" t="s">
        <v>9405</v>
      </c>
      <c r="F17151" t="s">
        <v>14426</v>
      </c>
      <c r="G17151" t="s">
        <v>18364</v>
      </c>
      <c r="H17151" t="s">
        <v>35926</v>
      </c>
    </row>
    <row r="17152" spans="1:8">
      <c r="A17152" t="s">
        <v>3715</v>
      </c>
      <c r="B17152">
        <f>HYPERLINK("https://android.googlesource.com/platform/cts/+/e7eb2de25c5a2d18319472ee45e813f9eea9ff47", "e7eb2de25c5a2d18319472ee45e813f9eea9ff47")</f>
        <v>0</v>
      </c>
      <c r="C17152">
        <f>HYPERLINK("https://android.googlesource.com/platform/cts/+/43f3cc5d4707d1ca15d34167f4ee4e92d1b59b16", "43f3cc5d4707d1ca15d34167f4ee4e92d1b59b16")</f>
        <v>0</v>
      </c>
      <c r="D17152" t="s">
        <v>5219</v>
      </c>
      <c r="E17152" t="s">
        <v>9407</v>
      </c>
      <c r="F17152" t="s">
        <v>13501</v>
      </c>
      <c r="G17152" t="s">
        <v>17619</v>
      </c>
      <c r="H17152" t="s">
        <v>35930</v>
      </c>
    </row>
    <row r="17153" spans="1:8">
      <c r="A17153" t="s">
        <v>3716</v>
      </c>
      <c r="B17153">
        <f>HYPERLINK("https://android.googlesource.com/platform/cts/+/11b15822fffd3792082d0cfa71ba9b1196b122fa", "11b15822fffd3792082d0cfa71ba9b1196b122fa")</f>
        <v>0</v>
      </c>
      <c r="C17153">
        <f>HYPERLINK("https://android.googlesource.com/platform/cts/+/9e948cd4f3af46dc80ea9b95c0fcd76295df5ee1", "9e948cd4f3af46dc80ea9b95c0fcd76295df5ee1")</f>
        <v>0</v>
      </c>
      <c r="D17153" t="s">
        <v>5139</v>
      </c>
      <c r="E17153" t="s">
        <v>9408</v>
      </c>
      <c r="F17153" t="s">
        <v>14437</v>
      </c>
      <c r="G17153" t="s">
        <v>18373</v>
      </c>
      <c r="H17153" t="s">
        <v>35936</v>
      </c>
    </row>
    <row r="17154" spans="1:8">
      <c r="H17154" t="s">
        <v>35937</v>
      </c>
    </row>
    <row r="17155" spans="1:8">
      <c r="H17155" t="s">
        <v>35938</v>
      </c>
    </row>
    <row r="17156" spans="1:8">
      <c r="H17156" t="s">
        <v>35939</v>
      </c>
    </row>
    <row r="17157" spans="1:8">
      <c r="A17157" t="s">
        <v>3718</v>
      </c>
      <c r="B17157">
        <f>HYPERLINK("https://android.googlesource.com/platform/cts/+/21e5c3b197c57ef4db5f85a587fab78e738eaab2", "21e5c3b197c57ef4db5f85a587fab78e738eaab2")</f>
        <v>0</v>
      </c>
      <c r="C17157">
        <f>HYPERLINK("https://android.googlesource.com/platform/cts/+/5034b1b9858fec36dda3ab5ba6039d6c69fe326d", "5034b1b9858fec36dda3ab5ba6039d6c69fe326d")</f>
        <v>0</v>
      </c>
      <c r="D17157" t="s">
        <v>5322</v>
      </c>
      <c r="E17157" t="s">
        <v>9410</v>
      </c>
      <c r="F17157" t="s">
        <v>14438</v>
      </c>
      <c r="G17157" t="s">
        <v>18374</v>
      </c>
      <c r="H17157" t="s">
        <v>35948</v>
      </c>
    </row>
    <row r="17158" spans="1:8">
      <c r="A17158" t="s">
        <v>3719</v>
      </c>
      <c r="B17158">
        <f>HYPERLINK("https://android.googlesource.com/platform/cts/+/e1e15921ecf7a35f367bc14640c2bf96eed0adaf", "e1e15921ecf7a35f367bc14640c2bf96eed0adaf")</f>
        <v>0</v>
      </c>
      <c r="C17158">
        <f>HYPERLINK("https://android.googlesource.com/platform/cts/+/fce9afd1a2c3500404fd05d27d794cefa19cdfad", "fce9afd1a2c3500404fd05d27d794cefa19cdfad")</f>
        <v>0</v>
      </c>
      <c r="D17158" t="s">
        <v>5272</v>
      </c>
      <c r="E17158" t="s">
        <v>9411</v>
      </c>
      <c r="F17158" t="s">
        <v>14253</v>
      </c>
      <c r="G17158" t="s">
        <v>18218</v>
      </c>
      <c r="H17158" t="s">
        <v>35949</v>
      </c>
    </row>
    <row r="17159" spans="1:8">
      <c r="A17159" t="s">
        <v>3720</v>
      </c>
      <c r="B17159">
        <f>HYPERLINK("https://android.googlesource.com/platform/cts/+/2c54e55c23c43c4e8ac1c229120b5915d70bd85f", "2c54e55c23c43c4e8ac1c229120b5915d70bd85f")</f>
        <v>0</v>
      </c>
      <c r="C17159">
        <f>HYPERLINK("https://android.googlesource.com/platform/cts/+/fda263aa96497860500874dfa569fe087a7bb292", "fda263aa96497860500874dfa569fe087a7bb292")</f>
        <v>0</v>
      </c>
      <c r="D17159" t="s">
        <v>5172</v>
      </c>
      <c r="E17159" t="s">
        <v>9412</v>
      </c>
      <c r="F17159" t="s">
        <v>14363</v>
      </c>
      <c r="G17159" t="s">
        <v>18310</v>
      </c>
      <c r="H17159" t="s">
        <v>35950</v>
      </c>
    </row>
    <row r="17160" spans="1:8">
      <c r="A17160" t="s">
        <v>3721</v>
      </c>
      <c r="B17160">
        <f>HYPERLINK("https://android.googlesource.com/platform/cts/+/9d769516486602a8b75b5e7ef62586d7743fff4c", "9d769516486602a8b75b5e7ef62586d7743fff4c")</f>
        <v>0</v>
      </c>
      <c r="C17160">
        <f>HYPERLINK("https://android.googlesource.com/platform/cts/+/fce9afd1a2c3500404fd05d27d794cefa19cdfad", "fce9afd1a2c3500404fd05d27d794cefa19cdfad")</f>
        <v>0</v>
      </c>
      <c r="D17160" t="s">
        <v>4971</v>
      </c>
      <c r="E17160" t="s">
        <v>9413</v>
      </c>
      <c r="F17160" t="s">
        <v>10946</v>
      </c>
      <c r="G17160" t="s">
        <v>15339</v>
      </c>
      <c r="H17160" t="s">
        <v>35951</v>
      </c>
    </row>
    <row r="17161" spans="1:8">
      <c r="H17161" t="s">
        <v>35952</v>
      </c>
    </row>
    <row r="17162" spans="1:8">
      <c r="F17162" t="s">
        <v>10947</v>
      </c>
      <c r="G17162" t="s">
        <v>15340</v>
      </c>
      <c r="H17162" t="s">
        <v>35954</v>
      </c>
    </row>
    <row r="17163" spans="1:8">
      <c r="H17163" t="s">
        <v>35955</v>
      </c>
    </row>
    <row r="17164" spans="1:8">
      <c r="A17164" t="s">
        <v>3722</v>
      </c>
      <c r="B17164">
        <f>HYPERLINK("https://android.googlesource.com/platform/cts/+/68da822a574af9474011cdb165ef8810bcd2b6ab", "68da822a574af9474011cdb165ef8810bcd2b6ab")</f>
        <v>0</v>
      </c>
      <c r="C17164">
        <f>HYPERLINK("https://android.googlesource.com/platform/cts/+/113217ea9581c5ed37c868d242fee4f8484f3f6c", "113217ea9581c5ed37c868d242fee4f8484f3f6c")</f>
        <v>0</v>
      </c>
      <c r="D17164" t="s">
        <v>5511</v>
      </c>
      <c r="E17164" t="s">
        <v>9414</v>
      </c>
      <c r="F17164" t="s">
        <v>14276</v>
      </c>
      <c r="G17164" t="s">
        <v>18226</v>
      </c>
      <c r="H17164" t="s">
        <v>35956</v>
      </c>
    </row>
    <row r="17165" spans="1:8">
      <c r="A17165" t="s">
        <v>3726</v>
      </c>
      <c r="B17165">
        <f>HYPERLINK("https://android.googlesource.com/platform/cts/+/83d6781e60e445f82d7d46f2fe5177466bfa9889", "83d6781e60e445f82d7d46f2fe5177466bfa9889")</f>
        <v>0</v>
      </c>
      <c r="C17165">
        <f>HYPERLINK("https://android.googlesource.com/platform/cts/+/d55e9ed1871c2a81cbd3e8f8f53645b0fb6ba1e0", "d55e9ed1871c2a81cbd3e8f8f53645b0fb6ba1e0")</f>
        <v>0</v>
      </c>
      <c r="D17165" t="s">
        <v>5526</v>
      </c>
      <c r="E17165" t="s">
        <v>9418</v>
      </c>
      <c r="F17165" t="s">
        <v>14439</v>
      </c>
      <c r="G17165" t="s">
        <v>18375</v>
      </c>
      <c r="H17165" t="s">
        <v>35962</v>
      </c>
    </row>
    <row r="17166" spans="1:8">
      <c r="A17166" t="s">
        <v>3733</v>
      </c>
      <c r="B17166">
        <f>HYPERLINK("https://android.googlesource.com/platform/cts/+/b7cfa1e06a11b3c1a0f3ee3c29ab175e73200d13", "b7cfa1e06a11b3c1a0f3ee3c29ab175e73200d13")</f>
        <v>0</v>
      </c>
      <c r="C17166">
        <f>HYPERLINK("https://android.googlesource.com/platform/cts/+/8fd8fdcc467953bcec65fddc8c0a237f2b3c6f31", "8fd8fdcc467953bcec65fddc8c0a237f2b3c6f31")</f>
        <v>0</v>
      </c>
      <c r="D17166" t="s">
        <v>5409</v>
      </c>
      <c r="E17166" t="s">
        <v>9425</v>
      </c>
      <c r="F17166" t="s">
        <v>14448</v>
      </c>
      <c r="G17166" t="s">
        <v>18383</v>
      </c>
      <c r="H17166" t="s">
        <v>36005</v>
      </c>
    </row>
    <row r="17167" spans="1:8">
      <c r="A17167" t="s">
        <v>3735</v>
      </c>
      <c r="B17167">
        <f>HYPERLINK("https://android.googlesource.com/platform/cts/+/af4876f720a1a3107e1eef2d8ae6a9a12cecdaec", "af4876f720a1a3107e1eef2d8ae6a9a12cecdaec")</f>
        <v>0</v>
      </c>
      <c r="C17167">
        <f>HYPERLINK("https://android.googlesource.com/platform/cts/+/571fec2537da2c7507d376de364938ca0001a8cd", "571fec2537da2c7507d376de364938ca0001a8cd")</f>
        <v>0</v>
      </c>
      <c r="D17167" t="s">
        <v>5614</v>
      </c>
      <c r="E17167" t="s">
        <v>9427</v>
      </c>
      <c r="F17167" t="s">
        <v>13171</v>
      </c>
      <c r="G17167" t="s">
        <v>16410</v>
      </c>
      <c r="H17167" t="s">
        <v>36007</v>
      </c>
    </row>
    <row r="17168" spans="1:8">
      <c r="A17168" t="s">
        <v>3737</v>
      </c>
      <c r="B17168">
        <f>HYPERLINK("https://android.googlesource.com/platform/cts/+/db38189de799f2e5ea11db7f3c4db82ac2efbef6", "db38189de799f2e5ea11db7f3c4db82ac2efbef6")</f>
        <v>0</v>
      </c>
      <c r="C17168">
        <f>HYPERLINK("https://android.googlesource.com/platform/cts/+/6a446b36070a0063b94e1cbb0383316e1304ed18", "6a446b36070a0063b94e1cbb0383316e1304ed18")</f>
        <v>0</v>
      </c>
      <c r="D17168" t="s">
        <v>5406</v>
      </c>
      <c r="E17168" t="s">
        <v>9429</v>
      </c>
      <c r="F17168" t="s">
        <v>14449</v>
      </c>
      <c r="G17168" t="s">
        <v>18384</v>
      </c>
      <c r="H17168" t="s">
        <v>30030</v>
      </c>
    </row>
    <row r="17169" spans="1:8">
      <c r="A17169" t="s">
        <v>3740</v>
      </c>
      <c r="B17169">
        <f>HYPERLINK("https://android.googlesource.com/platform/cts/+/e6e62dc8404d042f071760f1335b35aa116d3236", "e6e62dc8404d042f071760f1335b35aa116d3236")</f>
        <v>0</v>
      </c>
      <c r="C17169">
        <f>HYPERLINK("https://android.googlesource.com/platform/cts/+/675d85d9a24003e0992475703249a98fed616496", "675d85d9a24003e0992475703249a98fed616496")</f>
        <v>0</v>
      </c>
      <c r="D17169" t="s">
        <v>5409</v>
      </c>
      <c r="E17169" t="s">
        <v>9432</v>
      </c>
      <c r="F17169" t="s">
        <v>14451</v>
      </c>
      <c r="G17169" t="s">
        <v>18386</v>
      </c>
      <c r="H17169" t="s">
        <v>36018</v>
      </c>
    </row>
    <row r="17170" spans="1:8">
      <c r="H17170" t="s">
        <v>36019</v>
      </c>
    </row>
    <row r="17171" spans="1:8">
      <c r="H17171" t="s">
        <v>36020</v>
      </c>
    </row>
    <row r="17172" spans="1:8">
      <c r="H17172" t="s">
        <v>36021</v>
      </c>
    </row>
    <row r="17173" spans="1:8">
      <c r="H17173" t="s">
        <v>36022</v>
      </c>
    </row>
    <row r="17174" spans="1:8">
      <c r="H17174" t="s">
        <v>36023</v>
      </c>
    </row>
    <row r="17175" spans="1:8">
      <c r="H17175" t="s">
        <v>36024</v>
      </c>
    </row>
    <row r="17176" spans="1:8">
      <c r="H17176" t="s">
        <v>36025</v>
      </c>
    </row>
    <row r="17177" spans="1:8">
      <c r="H17177" t="s">
        <v>36026</v>
      </c>
    </row>
    <row r="17178" spans="1:8">
      <c r="H17178" t="s">
        <v>36027</v>
      </c>
    </row>
    <row r="17179" spans="1:8">
      <c r="A17179" t="s">
        <v>3742</v>
      </c>
      <c r="B17179">
        <f>HYPERLINK("https://android.googlesource.com/platform/cts/+/c8fbdf78ba45998832f137231d153d9b2fef05b3", "c8fbdf78ba45998832f137231d153d9b2fef05b3")</f>
        <v>0</v>
      </c>
      <c r="C17179">
        <f>HYPERLINK("https://android.googlesource.com/platform/cts/+/41ae130b6e11d90518dc4a7d2477352499bf237f", "41ae130b6e11d90518dc4a7d2477352499bf237f")</f>
        <v>0</v>
      </c>
      <c r="D17179" t="s">
        <v>5409</v>
      </c>
      <c r="E17179" t="s">
        <v>9434</v>
      </c>
      <c r="F17179" t="s">
        <v>14426</v>
      </c>
      <c r="G17179" t="s">
        <v>18364</v>
      </c>
      <c r="H17179" t="s">
        <v>36030</v>
      </c>
    </row>
    <row r="17180" spans="1:8">
      <c r="H17180" t="s">
        <v>36031</v>
      </c>
    </row>
    <row r="17181" spans="1:8">
      <c r="H17181" t="s">
        <v>36032</v>
      </c>
    </row>
    <row r="17182" spans="1:8">
      <c r="A17182" t="s">
        <v>3745</v>
      </c>
      <c r="B17182">
        <f>HYPERLINK("https://android.googlesource.com/platform/cts/+/efee9aec2a652f3467d8da58ab9f70f673660c3c", "efee9aec2a652f3467d8da58ab9f70f673660c3c")</f>
        <v>0</v>
      </c>
      <c r="C17182">
        <f>HYPERLINK("https://android.googlesource.com/platform/cts/+/981000112934c5117c1d6e171dd85093e02a2086", "981000112934c5117c1d6e171dd85093e02a2086")</f>
        <v>0</v>
      </c>
      <c r="D17182" t="s">
        <v>5139</v>
      </c>
      <c r="E17182" t="s">
        <v>9437</v>
      </c>
      <c r="F17182" t="s">
        <v>13978</v>
      </c>
      <c r="G17182" t="s">
        <v>18003</v>
      </c>
      <c r="H17182" t="s">
        <v>36034</v>
      </c>
    </row>
    <row r="17183" spans="1:8">
      <c r="A17183" t="s">
        <v>3747</v>
      </c>
      <c r="B17183">
        <f>HYPERLINK("https://android.googlesource.com/platform/cts/+/206d8c16beeb10c6e074f9d11e912b08b7c9e334", "206d8c16beeb10c6e074f9d11e912b08b7c9e334")</f>
        <v>0</v>
      </c>
      <c r="C17183">
        <f>HYPERLINK("https://android.googlesource.com/platform/cts/+/bb6067542f038846f978ab964f226f8fd48f0012", "bb6067542f038846f978ab964f226f8fd48f0012")</f>
        <v>0</v>
      </c>
      <c r="D17183" t="s">
        <v>5408</v>
      </c>
      <c r="E17183" t="s">
        <v>9439</v>
      </c>
      <c r="F17183" t="s">
        <v>14128</v>
      </c>
      <c r="G17183" t="s">
        <v>18118</v>
      </c>
      <c r="H17183" t="s">
        <v>36035</v>
      </c>
    </row>
    <row r="17184" spans="1:8">
      <c r="A17184" t="s">
        <v>3748</v>
      </c>
      <c r="B17184">
        <f>HYPERLINK("https://android.googlesource.com/platform/cts/+/ffe16c9fc8cae179c6ac90cac988a5c6d5cf6f92", "ffe16c9fc8cae179c6ac90cac988a5c6d5cf6f92")</f>
        <v>0</v>
      </c>
      <c r="C17184">
        <f>HYPERLINK("https://android.googlesource.com/platform/cts/+/e25704d8305e8f7a556987f20a2bb869adb86e49", "e25704d8305e8f7a556987f20a2bb869adb86e49")</f>
        <v>0</v>
      </c>
      <c r="D17184" t="s">
        <v>5615</v>
      </c>
      <c r="E17184" t="s">
        <v>9440</v>
      </c>
      <c r="F17184" t="s">
        <v>14209</v>
      </c>
      <c r="G17184" t="s">
        <v>18185</v>
      </c>
      <c r="H17184" t="s">
        <v>36036</v>
      </c>
    </row>
    <row r="17185" spans="1:8">
      <c r="A17185" t="s">
        <v>3750</v>
      </c>
      <c r="B17185">
        <f>HYPERLINK("https://android.googlesource.com/platform/cts/+/fac247161a6b4f5b449c3f41a76d7884aa623227", "fac247161a6b4f5b449c3f41a76d7884aa623227")</f>
        <v>0</v>
      </c>
      <c r="C17185">
        <f>HYPERLINK("https://android.googlesource.com/platform/cts/+/f264954af926255a3811a0b9d09a7a8db2f084a7", "f264954af926255a3811a0b9d09a7a8db2f084a7")</f>
        <v>0</v>
      </c>
      <c r="D17185" t="s">
        <v>5493</v>
      </c>
      <c r="E17185" t="s">
        <v>9442</v>
      </c>
      <c r="F17185" t="s">
        <v>13271</v>
      </c>
      <c r="G17185" t="s">
        <v>17408</v>
      </c>
      <c r="H17185" t="s">
        <v>36037</v>
      </c>
    </row>
    <row r="17186" spans="1:8">
      <c r="H17186" t="s">
        <v>36038</v>
      </c>
    </row>
    <row r="17187" spans="1:8">
      <c r="A17187" t="s">
        <v>3756</v>
      </c>
      <c r="B17187">
        <f>HYPERLINK("https://android.googlesource.com/platform/cts/+/ab3f8b42c44441909df1ee36f1ffb555949cb4ef", "ab3f8b42c44441909df1ee36f1ffb555949cb4ef")</f>
        <v>0</v>
      </c>
      <c r="C17187">
        <f>HYPERLINK("https://android.googlesource.com/platform/cts/+/04dfa0ad01ed4ff3afd0547722f676bc4933b4f4", "04dfa0ad01ed4ff3afd0547722f676bc4933b4f4")</f>
        <v>0</v>
      </c>
      <c r="D17187" t="s">
        <v>5599</v>
      </c>
      <c r="E17187" t="s">
        <v>9448</v>
      </c>
      <c r="F17187" t="s">
        <v>14455</v>
      </c>
      <c r="G17187" t="s">
        <v>18390</v>
      </c>
      <c r="H17187" t="s">
        <v>36043</v>
      </c>
    </row>
    <row r="17188" spans="1:8">
      <c r="A17188" t="s">
        <v>3758</v>
      </c>
      <c r="B17188">
        <f>HYPERLINK("https://android.googlesource.com/platform/cts/+/57d9b6ae3fe73b4277251da50631c7837565655e", "57d9b6ae3fe73b4277251da50631c7837565655e")</f>
        <v>0</v>
      </c>
      <c r="C17188">
        <f>HYPERLINK("https://android.googlesource.com/platform/cts/+/1a74341cd5e78f2eb02c3edf78d06fae961e641e", "1a74341cd5e78f2eb02c3edf78d06fae961e641e")</f>
        <v>0</v>
      </c>
      <c r="D17188" t="s">
        <v>5485</v>
      </c>
      <c r="E17188" t="s">
        <v>9450</v>
      </c>
      <c r="F17188" t="s">
        <v>14457</v>
      </c>
      <c r="G17188" t="s">
        <v>18391</v>
      </c>
      <c r="H17188" t="s">
        <v>30378</v>
      </c>
    </row>
    <row r="17189" spans="1:8">
      <c r="F17189" t="s">
        <v>13790</v>
      </c>
      <c r="G17189" t="s">
        <v>17519</v>
      </c>
      <c r="H17189" t="s">
        <v>36045</v>
      </c>
    </row>
    <row r="17190" spans="1:8">
      <c r="A17190" t="s">
        <v>3761</v>
      </c>
      <c r="B17190">
        <f>HYPERLINK("https://android.googlesource.com/platform/cts/+/d68e6af369d83ead7c67d6224ddaa88feefcdb19", "d68e6af369d83ead7c67d6224ddaa88feefcdb19")</f>
        <v>0</v>
      </c>
      <c r="C17190">
        <f>HYPERLINK("https://android.googlesource.com/platform/cts/+/655b2d4edc3ca285350ba44b3553e21024c5c841", "655b2d4edc3ca285350ba44b3553e21024c5c841")</f>
        <v>0</v>
      </c>
      <c r="D17190" t="s">
        <v>5610</v>
      </c>
      <c r="E17190" t="s">
        <v>9453</v>
      </c>
      <c r="F17190" t="s">
        <v>14459</v>
      </c>
      <c r="G17190" t="s">
        <v>18393</v>
      </c>
      <c r="H17190" t="s">
        <v>36051</v>
      </c>
    </row>
    <row r="17191" spans="1:8">
      <c r="A17191" t="s">
        <v>3762</v>
      </c>
      <c r="B17191">
        <f>HYPERLINK("https://android.googlesource.com/platform/cts/+/d4f6e6351acd502553b818af63aee91a5fc2a7e2", "d4f6e6351acd502553b818af63aee91a5fc2a7e2")</f>
        <v>0</v>
      </c>
      <c r="C17191">
        <f>HYPERLINK("https://android.googlesource.com/platform/cts/+/0f8ffe9f7c16c628cba8dd778566c6558666dd43", "0f8ffe9f7c16c628cba8dd778566c6558666dd43")</f>
        <v>0</v>
      </c>
      <c r="D17191" t="s">
        <v>5046</v>
      </c>
      <c r="E17191" t="s">
        <v>9454</v>
      </c>
      <c r="F17191" t="s">
        <v>13487</v>
      </c>
      <c r="G17191" t="s">
        <v>17044</v>
      </c>
      <c r="H17191" t="s">
        <v>36052</v>
      </c>
    </row>
    <row r="17192" spans="1:8">
      <c r="A17192" t="s">
        <v>3764</v>
      </c>
      <c r="B17192">
        <f>HYPERLINK("https://android.googlesource.com/platform/cts/+/308e143330eb08d91f584571049e53ba3f5c605a", "308e143330eb08d91f584571049e53ba3f5c605a")</f>
        <v>0</v>
      </c>
      <c r="C17192">
        <f>HYPERLINK("https://android.googlesource.com/platform/cts/+/9f49a7164a4f4ba8bc6c01bb7875425941f01e7a", "9f49a7164a4f4ba8bc6c01bb7875425941f01e7a")</f>
        <v>0</v>
      </c>
      <c r="D17192" t="s">
        <v>5421</v>
      </c>
      <c r="E17192" t="s">
        <v>9456</v>
      </c>
      <c r="F17192" t="s">
        <v>13480</v>
      </c>
      <c r="G17192" t="s">
        <v>17598</v>
      </c>
      <c r="H17192" t="s">
        <v>36053</v>
      </c>
    </row>
    <row r="17193" spans="1:8">
      <c r="H17193" t="s">
        <v>36054</v>
      </c>
    </row>
    <row r="17194" spans="1:8">
      <c r="H17194" t="s">
        <v>36055</v>
      </c>
    </row>
    <row r="17195" spans="1:8">
      <c r="H17195" t="s">
        <v>36056</v>
      </c>
    </row>
    <row r="17196" spans="1:8">
      <c r="H17196" t="s">
        <v>36057</v>
      </c>
    </row>
    <row r="17197" spans="1:8">
      <c r="H17197" t="s">
        <v>36058</v>
      </c>
    </row>
    <row r="17198" spans="1:8">
      <c r="H17198" t="s">
        <v>36059</v>
      </c>
    </row>
    <row r="17199" spans="1:8">
      <c r="A17199" t="s">
        <v>3767</v>
      </c>
      <c r="B17199">
        <f>HYPERLINK("https://android.googlesource.com/platform/cts/+/38deaf17b013c247c90537bb4ab3853be2d0a3e5", "38deaf17b013c247c90537bb4ab3853be2d0a3e5")</f>
        <v>0</v>
      </c>
      <c r="C17199">
        <f>HYPERLINK("https://android.googlesource.com/platform/cts/+/74edde3fcdbe3c546c535fa8fcd6ad465b7f0e09", "74edde3fcdbe3c546c535fa8fcd6ad465b7f0e09")</f>
        <v>0</v>
      </c>
      <c r="D17199" t="s">
        <v>5586</v>
      </c>
      <c r="E17199" t="s">
        <v>9459</v>
      </c>
      <c r="F17199" t="s">
        <v>13992</v>
      </c>
      <c r="G17199" t="s">
        <v>16620</v>
      </c>
      <c r="H17199" t="s">
        <v>36068</v>
      </c>
    </row>
    <row r="17200" spans="1:8">
      <c r="A17200" t="s">
        <v>3771</v>
      </c>
      <c r="B17200">
        <f>HYPERLINK("https://android.googlesource.com/platform/cts/+/91ddf93d28ecb35f13ec398df0a7b2e9c830e1a0", "91ddf93d28ecb35f13ec398df0a7b2e9c830e1a0")</f>
        <v>0</v>
      </c>
      <c r="C17200">
        <f>HYPERLINK("https://android.googlesource.com/platform/cts/+/a0e4e03bd5e99e1718196b977f9dd87712ff851d", "a0e4e03bd5e99e1718196b977f9dd87712ff851d")</f>
        <v>0</v>
      </c>
      <c r="D17200" t="s">
        <v>5409</v>
      </c>
      <c r="E17200" t="s">
        <v>9463</v>
      </c>
      <c r="F17200" t="s">
        <v>14462</v>
      </c>
      <c r="G17200" t="s">
        <v>18326</v>
      </c>
      <c r="H17200" t="s">
        <v>36084</v>
      </c>
    </row>
    <row r="17201" spans="1:8">
      <c r="A17201" t="s">
        <v>3772</v>
      </c>
      <c r="B17201">
        <f>HYPERLINK("https://android.googlesource.com/platform/cts/+/e0bf90376a384064fcd28706caa018436b30c538", "e0bf90376a384064fcd28706caa018436b30c538")</f>
        <v>0</v>
      </c>
      <c r="C17201">
        <f>HYPERLINK("https://android.googlesource.com/platform/cts/+/a0e4e03bd5e99e1718196b977f9dd87712ff851d", "a0e4e03bd5e99e1718196b977f9dd87712ff851d")</f>
        <v>0</v>
      </c>
      <c r="D17201" t="s">
        <v>5409</v>
      </c>
      <c r="E17201" t="s">
        <v>9464</v>
      </c>
      <c r="F17201" t="s">
        <v>14451</v>
      </c>
      <c r="G17201" t="s">
        <v>18386</v>
      </c>
      <c r="H17201" t="s">
        <v>36087</v>
      </c>
    </row>
    <row r="17202" spans="1:8">
      <c r="A17202" t="s">
        <v>3774</v>
      </c>
      <c r="B17202">
        <f>HYPERLINK("https://android.googlesource.com/platform/cts/+/a879dd563b4a32f4e4ff43529e90b73ecd4f7cda", "a879dd563b4a32f4e4ff43529e90b73ecd4f7cda")</f>
        <v>0</v>
      </c>
      <c r="C17202">
        <f>HYPERLINK("https://android.googlesource.com/platform/cts/+/29bb7918fcecdd907e5433d4083ca0872f516fda", "29bb7918fcecdd907e5433d4083ca0872f516fda")</f>
        <v>0</v>
      </c>
      <c r="D17202" t="s">
        <v>5443</v>
      </c>
      <c r="E17202" t="s">
        <v>9466</v>
      </c>
      <c r="F17202" t="s">
        <v>12710</v>
      </c>
      <c r="G17202" t="s">
        <v>16911</v>
      </c>
      <c r="H17202" t="s">
        <v>30890</v>
      </c>
    </row>
    <row r="17203" spans="1:8">
      <c r="A17203" t="s">
        <v>3781</v>
      </c>
      <c r="B17203">
        <f>HYPERLINK("https://android.googlesource.com/platform/cts/+/e48216b9c1fb548510656d4b986460c51b428432", "e48216b9c1fb548510656d4b986460c51b428432")</f>
        <v>0</v>
      </c>
      <c r="C17203">
        <f>HYPERLINK("https://android.googlesource.com/platform/cts/+/e06c631f3b4161cb873d351a7a72f69fc0133ddb", "e06c631f3b4161cb873d351a7a72f69fc0133ddb")</f>
        <v>0</v>
      </c>
      <c r="D17203" t="s">
        <v>5602</v>
      </c>
      <c r="E17203" t="s">
        <v>9473</v>
      </c>
      <c r="F17203" t="s">
        <v>12599</v>
      </c>
      <c r="G17203" t="s">
        <v>16812</v>
      </c>
      <c r="H17203" t="s">
        <v>36096</v>
      </c>
    </row>
    <row r="17204" spans="1:8">
      <c r="A17204" t="s">
        <v>3786</v>
      </c>
      <c r="B17204">
        <f>HYPERLINK("https://android.googlesource.com/platform/cts/+/a82a746f44649b689f330c035bebfb13dab3d967", "a82a746f44649b689f330c035bebfb13dab3d967")</f>
        <v>0</v>
      </c>
      <c r="C17204">
        <f>HYPERLINK("https://android.googlesource.com/platform/cts/+/c9239353f9b933687cdfcfafc7b61d45cf94593e", "c9239353f9b933687cdfcfafc7b61d45cf94593e")</f>
        <v>0</v>
      </c>
      <c r="D17204" t="s">
        <v>5141</v>
      </c>
      <c r="E17204" t="s">
        <v>9478</v>
      </c>
      <c r="F17204" t="s">
        <v>14470</v>
      </c>
      <c r="G17204" t="s">
        <v>18402</v>
      </c>
      <c r="H17204" t="s">
        <v>36102</v>
      </c>
    </row>
    <row r="17205" spans="1:8">
      <c r="A17205" t="s">
        <v>3787</v>
      </c>
      <c r="B17205">
        <f>HYPERLINK("https://android.googlesource.com/platform/cts/+/31ead20c54016e43b1368756f4cd7ff96818cb2c", "31ead20c54016e43b1368756f4cd7ff96818cb2c")</f>
        <v>0</v>
      </c>
      <c r="C17205">
        <f>HYPERLINK("https://android.googlesource.com/platform/cts/+/c8bfbf423dd30d19097b84a18138194cf0e1c283", "c8bfbf423dd30d19097b84a18138194cf0e1c283")</f>
        <v>0</v>
      </c>
      <c r="D17205" t="s">
        <v>5344</v>
      </c>
      <c r="E17205" t="s">
        <v>9479</v>
      </c>
      <c r="F17205" t="s">
        <v>14471</v>
      </c>
      <c r="G17205" t="s">
        <v>18403</v>
      </c>
      <c r="H17205" t="s">
        <v>36103</v>
      </c>
    </row>
    <row r="17206" spans="1:8">
      <c r="H17206" t="s">
        <v>36104</v>
      </c>
    </row>
    <row r="17207" spans="1:8">
      <c r="H17207" t="s">
        <v>36105</v>
      </c>
    </row>
    <row r="17208" spans="1:8">
      <c r="H17208" t="s">
        <v>36106</v>
      </c>
    </row>
    <row r="17209" spans="1:8">
      <c r="F17209" t="s">
        <v>14473</v>
      </c>
      <c r="G17209" t="s">
        <v>18405</v>
      </c>
      <c r="H17209" t="s">
        <v>36109</v>
      </c>
    </row>
    <row r="17210" spans="1:8">
      <c r="H17210" t="s">
        <v>36111</v>
      </c>
    </row>
    <row r="17211" spans="1:8">
      <c r="A17211" t="s">
        <v>3793</v>
      </c>
      <c r="B17211">
        <f>HYPERLINK("https://android.googlesource.com/platform/cts/+/ea4c9fa12bdf09e16698c66c3b9f15b470baa67f", "ea4c9fa12bdf09e16698c66c3b9f15b470baa67f")</f>
        <v>0</v>
      </c>
      <c r="C17211">
        <f>HYPERLINK("https://android.googlesource.com/platform/cts/+/d472e426a7e093dae9172360c4e2ed0a5540fd5a", "d472e426a7e093dae9172360c4e2ed0a5540fd5a")</f>
        <v>0</v>
      </c>
      <c r="D17211" t="s">
        <v>5243</v>
      </c>
      <c r="E17211" t="s">
        <v>9485</v>
      </c>
      <c r="F17211" t="s">
        <v>13103</v>
      </c>
      <c r="G17211" t="s">
        <v>17265</v>
      </c>
      <c r="H17211" t="s">
        <v>36123</v>
      </c>
    </row>
    <row r="17212" spans="1:8">
      <c r="A17212" t="s">
        <v>3794</v>
      </c>
      <c r="B17212">
        <f>HYPERLINK("https://android.googlesource.com/platform/cts/+/c4c7f6b73dbe72f4dd02c65419e1f2dcdc890036", "c4c7f6b73dbe72f4dd02c65419e1f2dcdc890036")</f>
        <v>0</v>
      </c>
      <c r="C17212">
        <f>HYPERLINK("https://android.googlesource.com/platform/cts/+/42875b120b2568e530a53193d1ba42601ddb725f", "42875b120b2568e530a53193d1ba42601ddb725f")</f>
        <v>0</v>
      </c>
      <c r="D17212" t="s">
        <v>5520</v>
      </c>
      <c r="E17212" t="s">
        <v>9486</v>
      </c>
      <c r="F17212" t="s">
        <v>14477</v>
      </c>
      <c r="G17212" t="s">
        <v>18409</v>
      </c>
      <c r="H17212" t="s">
        <v>36124</v>
      </c>
    </row>
    <row r="17213" spans="1:8">
      <c r="A17213" t="s">
        <v>3799</v>
      </c>
      <c r="B17213">
        <f>HYPERLINK("https://android.googlesource.com/platform/cts/+/3358e6bbc28405c65a2778649f2391d9d356bed3", "3358e6bbc28405c65a2778649f2391d9d356bed3")</f>
        <v>0</v>
      </c>
      <c r="C17213">
        <f>HYPERLINK("https://android.googlesource.com/platform/cts/+/23e5bd0b7a8fcc173f56b56daa96007b4be983f8", "23e5bd0b7a8fcc173f56b56daa96007b4be983f8")</f>
        <v>0</v>
      </c>
      <c r="D17213" t="s">
        <v>5046</v>
      </c>
      <c r="E17213" t="s">
        <v>9491</v>
      </c>
      <c r="F17213" t="s">
        <v>13487</v>
      </c>
      <c r="G17213" t="s">
        <v>17044</v>
      </c>
      <c r="H17213" t="s">
        <v>36052</v>
      </c>
    </row>
    <row r="17214" spans="1:8">
      <c r="A17214" t="s">
        <v>3801</v>
      </c>
      <c r="B17214">
        <f>HYPERLINK("https://android.googlesource.com/platform/cts/+/712a07b43c1624643b2a482083d5cce0e09aaabc", "712a07b43c1624643b2a482083d5cce0e09aaabc")</f>
        <v>0</v>
      </c>
      <c r="C17214">
        <f>HYPERLINK("https://android.googlesource.com/platform/cts/+/38180946f4c2dfa7f126901524d62b0ce3942b2e", "38180946f4c2dfa7f126901524d62b0ce3942b2e")</f>
        <v>0</v>
      </c>
      <c r="D17214" t="s">
        <v>5621</v>
      </c>
      <c r="E17214" t="s">
        <v>9493</v>
      </c>
      <c r="F17214" t="s">
        <v>13816</v>
      </c>
      <c r="G17214" t="s">
        <v>15089</v>
      </c>
      <c r="H17214" t="s">
        <v>36133</v>
      </c>
    </row>
    <row r="17215" spans="1:8">
      <c r="A17215" t="s">
        <v>3806</v>
      </c>
      <c r="B17215">
        <f>HYPERLINK("https://android.googlesource.com/platform/cts/+/37e3cd4567aa37f49188f4675b8fb7513cea7f96", "37e3cd4567aa37f49188f4675b8fb7513cea7f96")</f>
        <v>0</v>
      </c>
      <c r="C17215">
        <f>HYPERLINK("https://android.googlesource.com/platform/cts/+/712a07b43c1624643b2a482083d5cce0e09aaabc", "712a07b43c1624643b2a482083d5cce0e09aaabc")</f>
        <v>0</v>
      </c>
      <c r="D17215" t="s">
        <v>5623</v>
      </c>
      <c r="E17215" t="s">
        <v>9498</v>
      </c>
      <c r="F17215" t="s">
        <v>14483</v>
      </c>
      <c r="G17215" t="s">
        <v>18415</v>
      </c>
      <c r="H17215" t="s">
        <v>36165</v>
      </c>
    </row>
    <row r="17216" spans="1:8">
      <c r="A17216" t="s">
        <v>3808</v>
      </c>
      <c r="B17216">
        <f>HYPERLINK("https://android.googlesource.com/platform/cts/+/267489424548261ebf34db7c9938b07c1166c9cb", "267489424548261ebf34db7c9938b07c1166c9cb")</f>
        <v>0</v>
      </c>
      <c r="C17216">
        <f>HYPERLINK("https://android.googlesource.com/platform/cts/+/93d6d7aac39a81ab4b4e727cee3c8ea0a808c9b8", "93d6d7aac39a81ab4b4e727cee3c8ea0a808c9b8")</f>
        <v>0</v>
      </c>
      <c r="D17216" t="s">
        <v>5621</v>
      </c>
      <c r="E17216" t="s">
        <v>9500</v>
      </c>
      <c r="F17216" t="s">
        <v>13816</v>
      </c>
      <c r="G17216" t="s">
        <v>15089</v>
      </c>
      <c r="H17216" t="s">
        <v>36133</v>
      </c>
    </row>
    <row r="17217" spans="1:8">
      <c r="A17217" t="s">
        <v>3813</v>
      </c>
      <c r="B17217">
        <f>HYPERLINK("https://android.googlesource.com/platform/cts/+/415954122309dd40be8c34a954a2e900161ffe5d", "415954122309dd40be8c34a954a2e900161ffe5d")</f>
        <v>0</v>
      </c>
      <c r="C17217">
        <f>HYPERLINK("https://android.googlesource.com/platform/cts/+/f26efb19e329f3adc61b0cd567ce6263349cbf83", "f26efb19e329f3adc61b0cd567ce6263349cbf83")</f>
        <v>0</v>
      </c>
      <c r="D17217" t="s">
        <v>5625</v>
      </c>
      <c r="E17217" t="s">
        <v>9505</v>
      </c>
      <c r="F17217" t="s">
        <v>13816</v>
      </c>
      <c r="G17217" t="s">
        <v>15089</v>
      </c>
      <c r="H17217" t="s">
        <v>36174</v>
      </c>
    </row>
    <row r="17218" spans="1:8">
      <c r="A17218" t="s">
        <v>3814</v>
      </c>
      <c r="B17218">
        <f>HYPERLINK("https://android.googlesource.com/platform/cts/+/90e66e3ab0c4644aa2fcc602417272181dc2ef58", "90e66e3ab0c4644aa2fcc602417272181dc2ef58")</f>
        <v>0</v>
      </c>
      <c r="C17218">
        <f>HYPERLINK("https://android.googlesource.com/platform/cts/+/7aab706761435cf5393bbb56649491d8c35ae02d", "7aab706761435cf5393bbb56649491d8c35ae02d")</f>
        <v>0</v>
      </c>
      <c r="D17218" t="s">
        <v>5585</v>
      </c>
      <c r="E17218" t="s">
        <v>9506</v>
      </c>
      <c r="F17218" t="s">
        <v>13788</v>
      </c>
      <c r="G17218" t="s">
        <v>17841</v>
      </c>
      <c r="H17218" t="s">
        <v>35469</v>
      </c>
    </row>
    <row r="17219" spans="1:8">
      <c r="A17219" t="s">
        <v>3817</v>
      </c>
      <c r="B17219">
        <f>HYPERLINK("https://android.googlesource.com/platform/cts/+/cb0ce7b15bf0597c67a121fe498a7b9187c7b93a", "cb0ce7b15bf0597c67a121fe498a7b9187c7b93a")</f>
        <v>0</v>
      </c>
      <c r="C17219">
        <f>HYPERLINK("https://android.googlesource.com/platform/cts/+/01923684d0485d039317f879049a910106d53aec", "01923684d0485d039317f879049a910106d53aec")</f>
        <v>0</v>
      </c>
      <c r="D17219" t="s">
        <v>5469</v>
      </c>
      <c r="E17219" t="s">
        <v>9509</v>
      </c>
      <c r="F17219" t="s">
        <v>14486</v>
      </c>
      <c r="G17219" t="s">
        <v>18417</v>
      </c>
      <c r="H17219" t="s">
        <v>36175</v>
      </c>
    </row>
    <row r="17220" spans="1:8">
      <c r="H17220" t="s">
        <v>36176</v>
      </c>
    </row>
    <row r="17221" spans="1:8">
      <c r="A17221" t="s">
        <v>3818</v>
      </c>
      <c r="B17221">
        <f>HYPERLINK("https://android.googlesource.com/platform/cts/+/1b14ed81f9d84f93ce74f9104dfd05c1bb14fc8c", "1b14ed81f9d84f93ce74f9104dfd05c1bb14fc8c")</f>
        <v>0</v>
      </c>
      <c r="C17221">
        <f>HYPERLINK("https://android.googlesource.com/platform/cts/+/6d40d66e7ef35c61117eac9a67756448c38e322a", "6d40d66e7ef35c61117eac9a67756448c38e322a")</f>
        <v>0</v>
      </c>
      <c r="D17221" t="s">
        <v>5139</v>
      </c>
      <c r="E17221" t="s">
        <v>9510</v>
      </c>
      <c r="F17221" t="s">
        <v>14487</v>
      </c>
      <c r="G17221" t="s">
        <v>18418</v>
      </c>
      <c r="H17221" t="s">
        <v>36178</v>
      </c>
    </row>
    <row r="17222" spans="1:8">
      <c r="H17222" t="s">
        <v>36179</v>
      </c>
    </row>
    <row r="17223" spans="1:8">
      <c r="F17223" t="s">
        <v>12931</v>
      </c>
      <c r="G17223" t="s">
        <v>17096</v>
      </c>
      <c r="H17223" t="s">
        <v>36180</v>
      </c>
    </row>
    <row r="17224" spans="1:8">
      <c r="A17224" t="s">
        <v>3821</v>
      </c>
      <c r="B17224">
        <f>HYPERLINK("https://android.googlesource.com/platform/cts/+/322fb2ba83471676eadc04fef924a89e207c8454", "322fb2ba83471676eadc04fef924a89e207c8454")</f>
        <v>0</v>
      </c>
      <c r="C17224">
        <f>HYPERLINK("https://android.googlesource.com/platform/cts/+/8ab92a6edc6d558a0a01b9ffd2d45c958ea93bcc", "8ab92a6edc6d558a0a01b9ffd2d45c958ea93bcc")</f>
        <v>0</v>
      </c>
      <c r="D17224" t="s">
        <v>5344</v>
      </c>
      <c r="E17224" t="s">
        <v>9513</v>
      </c>
      <c r="F17224" t="s">
        <v>14476</v>
      </c>
      <c r="G17224" t="s">
        <v>18408</v>
      </c>
      <c r="H17224" t="s">
        <v>36184</v>
      </c>
    </row>
    <row r="17225" spans="1:8">
      <c r="A17225" t="s">
        <v>3824</v>
      </c>
      <c r="B17225">
        <f>HYPERLINK("https://android.googlesource.com/platform/cts/+/b78ef2fcd435330b5ed4ae8eea5be2b14c775534", "b78ef2fcd435330b5ed4ae8eea5be2b14c775534")</f>
        <v>0</v>
      </c>
      <c r="C17225">
        <f>HYPERLINK("https://android.googlesource.com/platform/cts/+/0e4961682815c4e940a6bdb243f948c3ff77ce12", "0e4961682815c4e940a6bdb243f948c3ff77ce12")</f>
        <v>0</v>
      </c>
      <c r="D17225" t="s">
        <v>5465</v>
      </c>
      <c r="E17225" t="s">
        <v>9516</v>
      </c>
      <c r="F17225" t="s">
        <v>14490</v>
      </c>
      <c r="G17225" t="s">
        <v>18420</v>
      </c>
      <c r="H17225" t="s">
        <v>36187</v>
      </c>
    </row>
    <row r="17226" spans="1:8">
      <c r="H17226" t="s">
        <v>36188</v>
      </c>
    </row>
    <row r="17227" spans="1:8">
      <c r="F17227" t="s">
        <v>13213</v>
      </c>
      <c r="G17227" t="s">
        <v>17354</v>
      </c>
      <c r="H17227" t="s">
        <v>36195</v>
      </c>
    </row>
    <row r="17228" spans="1:8">
      <c r="H17228" t="s">
        <v>36196</v>
      </c>
    </row>
    <row r="17229" spans="1:8">
      <c r="H17229" t="s">
        <v>36197</v>
      </c>
    </row>
    <row r="17230" spans="1:8">
      <c r="H17230" t="s">
        <v>36198</v>
      </c>
    </row>
    <row r="17231" spans="1:8">
      <c r="H17231" t="s">
        <v>36199</v>
      </c>
    </row>
    <row r="17232" spans="1:8">
      <c r="H17232" t="s">
        <v>36200</v>
      </c>
    </row>
    <row r="17233" spans="1:8">
      <c r="H17233" t="s">
        <v>36201</v>
      </c>
    </row>
    <row r="17234" spans="1:8">
      <c r="F17234" t="s">
        <v>12629</v>
      </c>
      <c r="G17234" t="s">
        <v>16838</v>
      </c>
      <c r="H17234" t="s">
        <v>36208</v>
      </c>
    </row>
    <row r="17235" spans="1:8">
      <c r="F17235" t="s">
        <v>14491</v>
      </c>
      <c r="G17235" t="s">
        <v>18054</v>
      </c>
      <c r="H17235" t="s">
        <v>36209</v>
      </c>
    </row>
    <row r="17236" spans="1:8">
      <c r="H17236" t="s">
        <v>36210</v>
      </c>
    </row>
    <row r="17237" spans="1:8">
      <c r="H17237" t="s">
        <v>36199</v>
      </c>
    </row>
    <row r="17238" spans="1:8">
      <c r="H17238" t="s">
        <v>36211</v>
      </c>
    </row>
    <row r="17239" spans="1:8">
      <c r="H17239" t="s">
        <v>36212</v>
      </c>
    </row>
    <row r="17240" spans="1:8">
      <c r="H17240" t="s">
        <v>36213</v>
      </c>
    </row>
    <row r="17241" spans="1:8">
      <c r="A17241" t="s">
        <v>3825</v>
      </c>
      <c r="B17241">
        <f>HYPERLINK("https://android.googlesource.com/platform/cts/+/ae719f7fa897c98b65e737352a095f24bc03689b", "ae719f7fa897c98b65e737352a095f24bc03689b")</f>
        <v>0</v>
      </c>
      <c r="C17241">
        <f>HYPERLINK("https://android.googlesource.com/platform/cts/+/88e78f0599b97b0a76f48b785ddca4306e8aeb32", "88e78f0599b97b0a76f48b785ddca4306e8aeb32")</f>
        <v>0</v>
      </c>
      <c r="D17241" t="s">
        <v>5594</v>
      </c>
      <c r="E17241" t="s">
        <v>9517</v>
      </c>
      <c r="F17241" t="s">
        <v>14492</v>
      </c>
      <c r="G17241" t="s">
        <v>18421</v>
      </c>
      <c r="H17241" t="s">
        <v>36215</v>
      </c>
    </row>
    <row r="17242" spans="1:8">
      <c r="H17242" t="s">
        <v>36216</v>
      </c>
    </row>
    <row r="17243" spans="1:8">
      <c r="H17243" t="s">
        <v>36217</v>
      </c>
    </row>
    <row r="17244" spans="1:8">
      <c r="H17244" t="s">
        <v>36218</v>
      </c>
    </row>
    <row r="17245" spans="1:8">
      <c r="A17245" t="s">
        <v>3827</v>
      </c>
      <c r="B17245">
        <f>HYPERLINK("https://android.googlesource.com/platform/cts/+/2c97403b1cd8eab88a1040eb56b8c189ef26a18a", "2c97403b1cd8eab88a1040eb56b8c189ef26a18a")</f>
        <v>0</v>
      </c>
      <c r="C17245">
        <f>HYPERLINK("https://android.googlesource.com/platform/cts/+/3b004a9d735080674a304031cf798ce3250c6156", "3b004a9d735080674a304031cf798ce3250c6156")</f>
        <v>0</v>
      </c>
      <c r="D17245" t="s">
        <v>5409</v>
      </c>
      <c r="E17245" t="s">
        <v>9519</v>
      </c>
      <c r="F17245" t="s">
        <v>14448</v>
      </c>
      <c r="G17245" t="s">
        <v>18383</v>
      </c>
      <c r="H17245" t="s">
        <v>36219</v>
      </c>
    </row>
    <row r="17246" spans="1:8">
      <c r="A17246" t="s">
        <v>3828</v>
      </c>
      <c r="B17246">
        <f>HYPERLINK("https://android.googlesource.com/platform/cts/+/d92c21cc0f1d1ae1bbbd044f8aef1a8c0806e33d", "d92c21cc0f1d1ae1bbbd044f8aef1a8c0806e33d")</f>
        <v>0</v>
      </c>
      <c r="C17246">
        <f>HYPERLINK("https://android.googlesource.com/platform/cts/+/86d80e05f06f363b569c2c8944ca81df3d02f1ff", "86d80e05f06f363b569c2c8944ca81df3d02f1ff")</f>
        <v>0</v>
      </c>
      <c r="D17246" t="s">
        <v>5627</v>
      </c>
      <c r="E17246" t="s">
        <v>9520</v>
      </c>
      <c r="F17246" t="s">
        <v>14493</v>
      </c>
      <c r="G17246" t="s">
        <v>18422</v>
      </c>
      <c r="H17246" t="s">
        <v>36221</v>
      </c>
    </row>
    <row r="17247" spans="1:8">
      <c r="H17247" t="s">
        <v>36222</v>
      </c>
    </row>
    <row r="17248" spans="1:8">
      <c r="A17248" t="s">
        <v>3834</v>
      </c>
      <c r="B17248">
        <f>HYPERLINK("https://android.googlesource.com/platform/cts/+/137f731e1c8f3f558e70476792600cbbae3aeebe", "137f731e1c8f3f558e70476792600cbbae3aeebe")</f>
        <v>0</v>
      </c>
      <c r="C17248">
        <f>HYPERLINK("https://android.googlesource.com/platform/cts/+/e2a95e10930ff9d0365cf70a1e952545da7fef8e", "e2a95e10930ff9d0365cf70a1e952545da7fef8e")</f>
        <v>0</v>
      </c>
      <c r="D17248" t="s">
        <v>5476</v>
      </c>
      <c r="E17248" t="s">
        <v>9526</v>
      </c>
      <c r="F17248" t="s">
        <v>14403</v>
      </c>
      <c r="G17248" t="s">
        <v>18341</v>
      </c>
      <c r="H17248" t="s">
        <v>36230</v>
      </c>
    </row>
    <row r="17249" spans="1:8">
      <c r="A17249" t="s">
        <v>3836</v>
      </c>
      <c r="B17249">
        <f>HYPERLINK("https://android.googlesource.com/platform/cts/+/9990f53dda0866488947e35845a089d97ca2ffc1", "9990f53dda0866488947e35845a089d97ca2ffc1")</f>
        <v>0</v>
      </c>
      <c r="C17249">
        <f>HYPERLINK("https://android.googlesource.com/platform/cts/+/bfb199d5bec35cdee8dc05efccbcc3739ab15672", "bfb199d5bec35cdee8dc05efccbcc3739ab15672")</f>
        <v>0</v>
      </c>
      <c r="D17249" t="s">
        <v>5441</v>
      </c>
      <c r="E17249" t="s">
        <v>9528</v>
      </c>
      <c r="F17249" t="s">
        <v>14499</v>
      </c>
      <c r="G17249" t="s">
        <v>18426</v>
      </c>
      <c r="H17249" t="s">
        <v>36231</v>
      </c>
    </row>
    <row r="17250" spans="1:8">
      <c r="H17250" t="s">
        <v>36232</v>
      </c>
    </row>
    <row r="17251" spans="1:8">
      <c r="F17251" t="s">
        <v>14195</v>
      </c>
      <c r="G17251" t="s">
        <v>18174</v>
      </c>
      <c r="H17251" t="s">
        <v>36233</v>
      </c>
    </row>
    <row r="17252" spans="1:8">
      <c r="H17252" t="s">
        <v>36234</v>
      </c>
    </row>
    <row r="17253" spans="1:8">
      <c r="H17253" t="s">
        <v>36238</v>
      </c>
    </row>
    <row r="17254" spans="1:8">
      <c r="H17254" t="s">
        <v>36239</v>
      </c>
    </row>
    <row r="17255" spans="1:8">
      <c r="H17255" t="s">
        <v>36240</v>
      </c>
    </row>
    <row r="17256" spans="1:8">
      <c r="H17256" t="s">
        <v>36241</v>
      </c>
    </row>
    <row r="17257" spans="1:8">
      <c r="H17257" t="s">
        <v>36242</v>
      </c>
    </row>
    <row r="17258" spans="1:8">
      <c r="A17258" t="s">
        <v>3840</v>
      </c>
      <c r="B17258">
        <f>HYPERLINK("https://android.googlesource.com/platform/cts/+/5a2fbe8705fcdb0569dc3d15906bf3b81d6de1d3", "5a2fbe8705fcdb0569dc3d15906bf3b81d6de1d3")</f>
        <v>0</v>
      </c>
      <c r="C17258">
        <f>HYPERLINK("https://android.googlesource.com/platform/cts/+/4992324ec6dab3ac0d7ccf7ba1f5b9e3061b401c", "4992324ec6dab3ac0d7ccf7ba1f5b9e3061b401c")</f>
        <v>0</v>
      </c>
      <c r="D17258" t="s">
        <v>5512</v>
      </c>
      <c r="E17258" t="s">
        <v>9532</v>
      </c>
      <c r="F17258" t="s">
        <v>13716</v>
      </c>
      <c r="G17258" t="s">
        <v>17783</v>
      </c>
      <c r="H17258" t="s">
        <v>36247</v>
      </c>
    </row>
    <row r="17259" spans="1:8">
      <c r="A17259" t="s">
        <v>3841</v>
      </c>
      <c r="B17259">
        <f>HYPERLINK("https://android.googlesource.com/platform/cts/+/7e91f8d25623f323fee891b4adf3b57a391812e0", "7e91f8d25623f323fee891b4adf3b57a391812e0")</f>
        <v>0</v>
      </c>
      <c r="C17259">
        <f>HYPERLINK("https://android.googlesource.com/platform/cts/+/497968cea349588be5226ba17b9b7bc7ce63ada8", "497968cea349588be5226ba17b9b7bc7ce63ada8")</f>
        <v>0</v>
      </c>
      <c r="D17259" t="s">
        <v>5341</v>
      </c>
      <c r="E17259" t="s">
        <v>9533</v>
      </c>
      <c r="F17259" t="s">
        <v>13827</v>
      </c>
      <c r="G17259" t="s">
        <v>17871</v>
      </c>
      <c r="H17259" t="s">
        <v>36248</v>
      </c>
    </row>
    <row r="17260" spans="1:8">
      <c r="A17260" t="s">
        <v>3843</v>
      </c>
      <c r="B17260">
        <f>HYPERLINK("https://android.googlesource.com/platform/cts/+/155b85d90141ed12f4077f804253ffaf79e95f45", "155b85d90141ed12f4077f804253ffaf79e95f45")</f>
        <v>0</v>
      </c>
      <c r="C17260">
        <f>HYPERLINK("https://android.googlesource.com/platform/cts/+/5dd49e680a905b6fb0acd556f892c47f08f3c34e", "5dd49e680a905b6fb0acd556f892c47f08f3c34e")</f>
        <v>0</v>
      </c>
      <c r="D17260" t="s">
        <v>5585</v>
      </c>
      <c r="E17260" t="s">
        <v>9535</v>
      </c>
      <c r="F17260" t="s">
        <v>14501</v>
      </c>
      <c r="G17260" t="s">
        <v>18429</v>
      </c>
      <c r="H17260" t="s">
        <v>36271</v>
      </c>
    </row>
    <row r="17261" spans="1:8">
      <c r="H17261" t="s">
        <v>36272</v>
      </c>
    </row>
    <row r="17262" spans="1:8">
      <c r="H17262" t="s">
        <v>36273</v>
      </c>
    </row>
    <row r="17263" spans="1:8">
      <c r="H17263" t="s">
        <v>36274</v>
      </c>
    </row>
    <row r="17264" spans="1:8">
      <c r="H17264" t="s">
        <v>36275</v>
      </c>
    </row>
    <row r="17265" spans="1:8">
      <c r="H17265" t="s">
        <v>36276</v>
      </c>
    </row>
    <row r="17266" spans="1:8">
      <c r="A17266" t="s">
        <v>3845</v>
      </c>
      <c r="B17266">
        <f>HYPERLINK("https://android.googlesource.com/platform/cts/+/8e5161b9cebb8a05d3347d5faffce9a3cdbc2182", "8e5161b9cebb8a05d3347d5faffce9a3cdbc2182")</f>
        <v>0</v>
      </c>
      <c r="C17266">
        <f>HYPERLINK("https://android.googlesource.com/platform/cts/+/6873977dc86bf3e4877f57f33d3ee441c8542da6", "6873977dc86bf3e4877f57f33d3ee441c8542da6")</f>
        <v>0</v>
      </c>
      <c r="D17266" t="s">
        <v>5141</v>
      </c>
      <c r="E17266" t="s">
        <v>9537</v>
      </c>
      <c r="F17266" t="s">
        <v>14502</v>
      </c>
      <c r="G17266" t="s">
        <v>18430</v>
      </c>
      <c r="H17266" t="s">
        <v>36279</v>
      </c>
    </row>
    <row r="17267" spans="1:8">
      <c r="A17267" t="s">
        <v>3854</v>
      </c>
      <c r="B17267">
        <f>HYPERLINK("https://android.googlesource.com/platform/cts/+/2485744cbe9766b086e1e620f12d69193821be1c", "2485744cbe9766b086e1e620f12d69193821be1c")</f>
        <v>0</v>
      </c>
      <c r="C17267">
        <f>HYPERLINK("https://android.googlesource.com/platform/cts/+/fe165bccc3dd7b623909137d9e796631fb2363f2", "fe165bccc3dd7b623909137d9e796631fb2363f2")</f>
        <v>0</v>
      </c>
      <c r="D17267" t="s">
        <v>5526</v>
      </c>
      <c r="E17267" t="s">
        <v>9546</v>
      </c>
      <c r="F17267" t="s">
        <v>13227</v>
      </c>
      <c r="G17267" t="s">
        <v>17368</v>
      </c>
      <c r="H17267" t="s">
        <v>36344</v>
      </c>
    </row>
    <row r="17268" spans="1:8">
      <c r="A17268" t="s">
        <v>3855</v>
      </c>
      <c r="B17268">
        <f>HYPERLINK("https://android.googlesource.com/platform/cts/+/b7c673f8986186279106945a59599712121cc18b", "b7c673f8986186279106945a59599712121cc18b")</f>
        <v>0</v>
      </c>
      <c r="C17268">
        <f>HYPERLINK("https://android.googlesource.com/platform/cts/+/2204a8616b54ff8af9c56acb8286be5eed11b683", "2204a8616b54ff8af9c56acb8286be5eed11b683")</f>
        <v>0</v>
      </c>
      <c r="D17268" t="s">
        <v>5030</v>
      </c>
      <c r="E17268" t="s">
        <v>9547</v>
      </c>
      <c r="F17268" t="s">
        <v>14506</v>
      </c>
      <c r="G17268" t="s">
        <v>18435</v>
      </c>
      <c r="H17268" t="s">
        <v>36345</v>
      </c>
    </row>
    <row r="17269" spans="1:8">
      <c r="A17269" t="s">
        <v>3859</v>
      </c>
      <c r="B17269">
        <f>HYPERLINK("https://android.googlesource.com/platform/cts/+/36ad1c6050195a1f0d05117fcc439a96e1e070b1", "36ad1c6050195a1f0d05117fcc439a96e1e070b1")</f>
        <v>0</v>
      </c>
      <c r="C17269">
        <f>HYPERLINK("https://android.googlesource.com/platform/cts/+/849c933b77e09d0edd41b4a8988499f887d6f78a", "849c933b77e09d0edd41b4a8988499f887d6f78a")</f>
        <v>0</v>
      </c>
      <c r="D17269" t="s">
        <v>5594</v>
      </c>
      <c r="E17269" t="s">
        <v>9551</v>
      </c>
      <c r="F17269" t="s">
        <v>13275</v>
      </c>
      <c r="G17269" t="s">
        <v>17412</v>
      </c>
      <c r="H17269" t="s">
        <v>36356</v>
      </c>
    </row>
    <row r="17270" spans="1:8">
      <c r="A17270" t="s">
        <v>3863</v>
      </c>
      <c r="B17270">
        <f>HYPERLINK("https://android.googlesource.com/platform/cts/+/0247d320c26ae0befd0a618e66ee3e8ee1bae574", "0247d320c26ae0befd0a618e66ee3e8ee1bae574")</f>
        <v>0</v>
      </c>
      <c r="C17270">
        <f>HYPERLINK("https://android.googlesource.com/platform/cts/+/535f72d8c9ce450b62b0d484f88d91f299299930", "535f72d8c9ce450b62b0d484f88d91f299299930")</f>
        <v>0</v>
      </c>
      <c r="D17270" t="s">
        <v>4949</v>
      </c>
      <c r="E17270" t="s">
        <v>9555</v>
      </c>
      <c r="F17270" t="s">
        <v>12808</v>
      </c>
      <c r="G17270" t="s">
        <v>16989</v>
      </c>
      <c r="H17270" t="s">
        <v>36359</v>
      </c>
    </row>
    <row r="17271" spans="1:8">
      <c r="A17271" t="s">
        <v>3866</v>
      </c>
      <c r="B17271">
        <f>HYPERLINK("https://android.googlesource.com/platform/cts/+/f26a0679bde669bb47e718683c159e86b2c80da4", "f26a0679bde669bb47e718683c159e86b2c80da4")</f>
        <v>0</v>
      </c>
      <c r="C17271">
        <f>HYPERLINK("https://android.googlesource.com/platform/cts/+/32cd41a8844ffa6d033286f93fea192f9c9ecfb8", "32cd41a8844ffa6d033286f93fea192f9c9ecfb8")</f>
        <v>0</v>
      </c>
      <c r="D17271" t="s">
        <v>5272</v>
      </c>
      <c r="E17271" t="s">
        <v>9558</v>
      </c>
      <c r="F17271" t="s">
        <v>13757</v>
      </c>
      <c r="G17271" t="s">
        <v>17816</v>
      </c>
      <c r="H17271" t="s">
        <v>36362</v>
      </c>
    </row>
    <row r="17272" spans="1:8">
      <c r="A17272" t="s">
        <v>3875</v>
      </c>
      <c r="B17272">
        <f>HYPERLINK("https://android.googlesource.com/platform/cts/+/cb6630062f4e5a0c75257b7e9b7e10ca1f9eb60b", "cb6630062f4e5a0c75257b7e9b7e10ca1f9eb60b")</f>
        <v>0</v>
      </c>
      <c r="C17272">
        <f>HYPERLINK("https://android.googlesource.com/platform/cts/+/a5a7dbd10872f847887616679821ea469d7fdc09", "a5a7dbd10872f847887616679821ea469d7fdc09")</f>
        <v>0</v>
      </c>
      <c r="D17272" t="s">
        <v>5604</v>
      </c>
      <c r="E17272" t="s">
        <v>9567</v>
      </c>
      <c r="F17272" t="s">
        <v>12931</v>
      </c>
      <c r="G17272" t="s">
        <v>17096</v>
      </c>
      <c r="H17272" t="s">
        <v>36378</v>
      </c>
    </row>
    <row r="17273" spans="1:8">
      <c r="H17273" t="s">
        <v>36379</v>
      </c>
    </row>
    <row r="17274" spans="1:8">
      <c r="A17274" t="s">
        <v>3881</v>
      </c>
      <c r="B17274">
        <f>HYPERLINK("https://android.googlesource.com/platform/cts/+/d177ed874400e7a0782310e97929039a6507e986", "d177ed874400e7a0782310e97929039a6507e986")</f>
        <v>0</v>
      </c>
      <c r="C17274">
        <f>HYPERLINK("https://android.googlesource.com/platform/cts/+/1f9efadea92989fd9a65ca110fac23db440c8189", "1f9efadea92989fd9a65ca110fac23db440c8189")</f>
        <v>0</v>
      </c>
      <c r="D17274" t="s">
        <v>5040</v>
      </c>
      <c r="E17274" t="s">
        <v>9573</v>
      </c>
      <c r="F17274" t="s">
        <v>14513</v>
      </c>
      <c r="G17274" t="s">
        <v>18440</v>
      </c>
      <c r="H17274" t="s">
        <v>36387</v>
      </c>
    </row>
    <row r="17275" spans="1:8">
      <c r="A17275" t="s">
        <v>3883</v>
      </c>
      <c r="B17275">
        <f>HYPERLINK("https://android.googlesource.com/platform/cts/+/54d3e58cb122b5a08c137dc1c5dabfd6dadaa6af", "54d3e58cb122b5a08c137dc1c5dabfd6dadaa6af")</f>
        <v>0</v>
      </c>
      <c r="C17275">
        <f>HYPERLINK("https://android.googlesource.com/platform/cts/+/27232fa1daf12885d9edc772a5e62b921ad2711c", "27232fa1daf12885d9edc772a5e62b921ad2711c")</f>
        <v>0</v>
      </c>
      <c r="D17275" t="s">
        <v>5392</v>
      </c>
      <c r="E17275" t="s">
        <v>9575</v>
      </c>
      <c r="F17275" t="s">
        <v>14516</v>
      </c>
      <c r="G17275" t="s">
        <v>18443</v>
      </c>
      <c r="H17275" t="s">
        <v>36391</v>
      </c>
    </row>
    <row r="17276" spans="1:8">
      <c r="A17276" t="s">
        <v>3889</v>
      </c>
      <c r="B17276">
        <f>HYPERLINK("https://android.googlesource.com/platform/cts/+/ebbe9219bfc3950da9e69f31619c4013b855e0a3", "ebbe9219bfc3950da9e69f31619c4013b855e0a3")</f>
        <v>0</v>
      </c>
      <c r="C17276">
        <f>HYPERLINK("https://android.googlesource.com/platform/cts/+/1f9efadea92989fd9a65ca110fac23db440c8189", "1f9efadea92989fd9a65ca110fac23db440c8189")</f>
        <v>0</v>
      </c>
      <c r="D17276" t="s">
        <v>5463</v>
      </c>
      <c r="E17276" t="s">
        <v>9581</v>
      </c>
      <c r="F17276" t="s">
        <v>14237</v>
      </c>
      <c r="G17276" t="s">
        <v>18207</v>
      </c>
      <c r="H17276" t="s">
        <v>36426</v>
      </c>
    </row>
    <row r="17277" spans="1:8">
      <c r="H17277" t="s">
        <v>36427</v>
      </c>
    </row>
    <row r="17278" spans="1:8">
      <c r="H17278" t="s">
        <v>36428</v>
      </c>
    </row>
    <row r="17279" spans="1:8">
      <c r="F17279" t="s">
        <v>14520</v>
      </c>
      <c r="G17279" t="s">
        <v>18447</v>
      </c>
      <c r="H17279" t="s">
        <v>36427</v>
      </c>
    </row>
    <row r="17280" spans="1:8">
      <c r="F17280" t="s">
        <v>14227</v>
      </c>
      <c r="G17280" t="s">
        <v>18199</v>
      </c>
      <c r="H17280" t="s">
        <v>36426</v>
      </c>
    </row>
    <row r="17281" spans="1:8">
      <c r="A17281" t="s">
        <v>3893</v>
      </c>
      <c r="B17281">
        <f>HYPERLINK("https://android.googlesource.com/platform/cts/+/7def2ffd576dce4279f15b2469cbca68d9c9024c", "7def2ffd576dce4279f15b2469cbca68d9c9024c")</f>
        <v>0</v>
      </c>
      <c r="C17281">
        <f>HYPERLINK("https://android.googlesource.com/platform/cts/+/96233a1e3ed73a8ebeae228d84a082be28a1841d", "96233a1e3ed73a8ebeae228d84a082be28a1841d")</f>
        <v>0</v>
      </c>
      <c r="D17281" t="s">
        <v>5478</v>
      </c>
      <c r="E17281" t="s">
        <v>9585</v>
      </c>
      <c r="F17281" t="s">
        <v>14523</v>
      </c>
      <c r="G17281" t="s">
        <v>18450</v>
      </c>
      <c r="H17281" t="s">
        <v>36436</v>
      </c>
    </row>
    <row r="17282" spans="1:8">
      <c r="A17282" t="s">
        <v>3896</v>
      </c>
      <c r="B17282">
        <f>HYPERLINK("https://android.googlesource.com/platform/cts/+/21cd4133ed9852c8682b15c4f580eccb9f106ffb", "21cd4133ed9852c8682b15c4f580eccb9f106ffb")</f>
        <v>0</v>
      </c>
      <c r="C17282">
        <f>HYPERLINK("https://android.googlesource.com/platform/cts/+/ecc80d464730c9406dfeae4e582b921bef7a32fa", "ecc80d464730c9406dfeae4e582b921bef7a32fa")</f>
        <v>0</v>
      </c>
      <c r="D17282" t="s">
        <v>5623</v>
      </c>
      <c r="E17282" t="s">
        <v>9588</v>
      </c>
      <c r="F17282" t="s">
        <v>14528</v>
      </c>
      <c r="G17282" t="s">
        <v>18446</v>
      </c>
      <c r="H17282" t="s">
        <v>36441</v>
      </c>
    </row>
    <row r="17283" spans="1:8">
      <c r="H17283" t="s">
        <v>36442</v>
      </c>
    </row>
    <row r="17284" spans="1:8">
      <c r="A17284" t="s">
        <v>3899</v>
      </c>
      <c r="B17284">
        <f>HYPERLINK("https://android.googlesource.com/platform/cts/+/a7edc3660e332275bf88b98308f4589a4a88d48a", "a7edc3660e332275bf88b98308f4589a4a88d48a")</f>
        <v>0</v>
      </c>
      <c r="C17284">
        <f>HYPERLINK("https://android.googlesource.com/platform/cts/+/70bd9fda65698f0faf7e48e2677b91b991c24f66", "70bd9fda65698f0faf7e48e2677b91b991c24f66")</f>
        <v>0</v>
      </c>
      <c r="D17284" t="s">
        <v>5636</v>
      </c>
      <c r="E17284" t="s">
        <v>9591</v>
      </c>
      <c r="F17284" t="s">
        <v>14531</v>
      </c>
      <c r="G17284" t="s">
        <v>18455</v>
      </c>
      <c r="H17284" t="s">
        <v>36444</v>
      </c>
    </row>
    <row r="17285" spans="1:8">
      <c r="A17285" t="s">
        <v>3902</v>
      </c>
      <c r="B17285">
        <f>HYPERLINK("https://android.googlesource.com/platform/cts/+/d6e85b08b71a74e4be91dabf61ace5bd59fd3c32", "d6e85b08b71a74e4be91dabf61ace5bd59fd3c32")</f>
        <v>0</v>
      </c>
      <c r="C17285">
        <f>HYPERLINK("https://android.googlesource.com/platform/cts/+/69d14fe9139bf919b895d05a27800fc0be24e611", "69d14fe9139bf919b895d05a27800fc0be24e611")</f>
        <v>0</v>
      </c>
      <c r="D17285" t="s">
        <v>5594</v>
      </c>
      <c r="E17285" t="s">
        <v>9593</v>
      </c>
      <c r="F17285" t="s">
        <v>13275</v>
      </c>
      <c r="G17285" t="s">
        <v>17412</v>
      </c>
      <c r="H17285" t="s">
        <v>36356</v>
      </c>
    </row>
    <row r="17286" spans="1:8">
      <c r="A17286" t="s">
        <v>3907</v>
      </c>
      <c r="B17286">
        <f>HYPERLINK("https://android.googlesource.com/platform/cts/+/c136e051a34aca1a0fc40b6867b38dc3c3167162", "c136e051a34aca1a0fc40b6867b38dc3c3167162")</f>
        <v>0</v>
      </c>
      <c r="C17286">
        <f>HYPERLINK("https://android.googlesource.com/platform/cts/+/05bfab14d70c8f8c575f25ac4269cb6d2d17a419", "05bfab14d70c8f8c575f25ac4269cb6d2d17a419")</f>
        <v>0</v>
      </c>
      <c r="D17286" t="s">
        <v>5476</v>
      </c>
      <c r="E17286" t="s">
        <v>9598</v>
      </c>
      <c r="F17286" t="s">
        <v>14403</v>
      </c>
      <c r="G17286" t="s">
        <v>18341</v>
      </c>
      <c r="H17286" t="s">
        <v>36453</v>
      </c>
    </row>
    <row r="17287" spans="1:8">
      <c r="F17287" t="s">
        <v>14535</v>
      </c>
      <c r="G17287" t="s">
        <v>18459</v>
      </c>
      <c r="H17287" t="s">
        <v>36454</v>
      </c>
    </row>
    <row r="17288" spans="1:8">
      <c r="A17288" t="s">
        <v>3911</v>
      </c>
      <c r="B17288">
        <f>HYPERLINK("https://android.googlesource.com/platform/cts/+/2d7798c3dfed44dffd01d651632f090801e3c946", "2d7798c3dfed44dffd01d651632f090801e3c946")</f>
        <v>0</v>
      </c>
      <c r="C17288">
        <f>HYPERLINK("https://android.googlesource.com/platform/cts/+/5d9b8c1988379b202a8f2677adadc0e8313024ab", "5d9b8c1988379b202a8f2677adadc0e8313024ab")</f>
        <v>0</v>
      </c>
      <c r="D17288" t="s">
        <v>5304</v>
      </c>
      <c r="E17288" t="s">
        <v>9602</v>
      </c>
      <c r="F17288" t="s">
        <v>14384</v>
      </c>
      <c r="G17288" t="s">
        <v>18328</v>
      </c>
      <c r="H17288" t="s">
        <v>36468</v>
      </c>
    </row>
    <row r="17289" spans="1:8">
      <c r="A17289" t="s">
        <v>3914</v>
      </c>
      <c r="B17289">
        <f>HYPERLINK("https://android.googlesource.com/platform/cts/+/8ecfdd5b6c59437fc53d7c0ed85fe4e9680770c8", "8ecfdd5b6c59437fc53d7c0ed85fe4e9680770c8")</f>
        <v>0</v>
      </c>
      <c r="C17289">
        <f>HYPERLINK("https://android.googlesource.com/platform/cts/+/bc3200842ce0ac40dc84ef8d8025615ed5c7be4c", "bc3200842ce0ac40dc84ef8d8025615ed5c7be4c")</f>
        <v>0</v>
      </c>
      <c r="D17289" t="s">
        <v>5096</v>
      </c>
      <c r="E17289" t="s">
        <v>9605</v>
      </c>
      <c r="F17289" t="s">
        <v>14536</v>
      </c>
      <c r="G17289" t="s">
        <v>18460</v>
      </c>
      <c r="H17289" t="s">
        <v>36497</v>
      </c>
    </row>
    <row r="17290" spans="1:8">
      <c r="A17290" t="s">
        <v>3916</v>
      </c>
      <c r="B17290">
        <f>HYPERLINK("https://android.googlesource.com/platform/cts/+/7b07039d26e44c573a43f4673cd5be3ada726cc6", "7b07039d26e44c573a43f4673cd5be3ada726cc6")</f>
        <v>0</v>
      </c>
      <c r="C17290">
        <f>HYPERLINK("https://android.googlesource.com/platform/cts/+/aacd54a217f18d73880232520a022cc0519ef817", "aacd54a217f18d73880232520a022cc0519ef817")</f>
        <v>0</v>
      </c>
      <c r="D17290" t="s">
        <v>5191</v>
      </c>
      <c r="E17290" t="s">
        <v>9607</v>
      </c>
      <c r="F17290" t="s">
        <v>14538</v>
      </c>
      <c r="G17290" t="s">
        <v>18462</v>
      </c>
      <c r="H17290" t="s">
        <v>36499</v>
      </c>
    </row>
    <row r="17291" spans="1:8">
      <c r="A17291" t="s">
        <v>3923</v>
      </c>
      <c r="B17291">
        <f>HYPERLINK("https://android.googlesource.com/platform/cts/+/4e216176fc6af68d1168302f5ee74ca3c326b5df", "4e216176fc6af68d1168302f5ee74ca3c326b5df")</f>
        <v>0</v>
      </c>
      <c r="C17291">
        <f>HYPERLINK("https://android.googlesource.com/platform/cts/+/536f8e489877eda4f4a00a7f868cdd0838eaaa33", "536f8e489877eda4f4a00a7f868cdd0838eaaa33")</f>
        <v>0</v>
      </c>
      <c r="D17291" t="s">
        <v>5508</v>
      </c>
      <c r="E17291" t="s">
        <v>9614</v>
      </c>
      <c r="F17291" t="s">
        <v>13816</v>
      </c>
      <c r="G17291" t="s">
        <v>15089</v>
      </c>
      <c r="H17291" t="s">
        <v>36515</v>
      </c>
    </row>
    <row r="17292" spans="1:8">
      <c r="A17292" t="s">
        <v>3926</v>
      </c>
      <c r="B17292">
        <f>HYPERLINK("https://android.googlesource.com/platform/cts/+/633e4f4068f650b1f079912fe5ac6f3547d98fdc", "633e4f4068f650b1f079912fe5ac6f3547d98fdc")</f>
        <v>0</v>
      </c>
      <c r="C17292">
        <f>HYPERLINK("https://android.googlesource.com/platform/cts/+/560f05d709c76c92850ddbdb410835601be778b1", "560f05d709c76c92850ddbdb410835601be778b1")</f>
        <v>0</v>
      </c>
      <c r="D17292" t="s">
        <v>5526</v>
      </c>
      <c r="E17292" t="s">
        <v>9617</v>
      </c>
      <c r="F17292" t="s">
        <v>14543</v>
      </c>
      <c r="G17292" t="s">
        <v>18467</v>
      </c>
      <c r="H17292" t="s">
        <v>36543</v>
      </c>
    </row>
    <row r="17293" spans="1:8">
      <c r="F17293" t="s">
        <v>14544</v>
      </c>
      <c r="G17293" t="s">
        <v>17541</v>
      </c>
      <c r="H17293" t="s">
        <v>29731</v>
      </c>
    </row>
    <row r="17294" spans="1:8">
      <c r="H17294" t="s">
        <v>36554</v>
      </c>
    </row>
    <row r="17295" spans="1:8">
      <c r="H17295" t="s">
        <v>29732</v>
      </c>
    </row>
    <row r="17296" spans="1:8">
      <c r="A17296" t="s">
        <v>3931</v>
      </c>
      <c r="B17296">
        <f>HYPERLINK("https://android.googlesource.com/platform/cts/+/1fa47a182037b1c5e4ad81f867853595d4e98eed", "1fa47a182037b1c5e4ad81f867853595d4e98eed")</f>
        <v>0</v>
      </c>
      <c r="C17296">
        <f>HYPERLINK("https://android.googlesource.com/platform/cts/+/294d9a77864d2b810fa0bd3499cef11c461baf0b", "294d9a77864d2b810fa0bd3499cef11c461baf0b")</f>
        <v>0</v>
      </c>
      <c r="D17296" t="s">
        <v>5046</v>
      </c>
      <c r="E17296" t="s">
        <v>9622</v>
      </c>
      <c r="F17296" t="s">
        <v>13923</v>
      </c>
      <c r="G17296" t="s">
        <v>17959</v>
      </c>
      <c r="H17296" t="s">
        <v>36563</v>
      </c>
    </row>
    <row r="17297" spans="1:8">
      <c r="A17297" t="s">
        <v>3936</v>
      </c>
      <c r="B17297">
        <f>HYPERLINK("https://android.googlesource.com/platform/cts/+/bec8a4d86fb8af213c49bb8d7a76ce0c5b0546d1", "bec8a4d86fb8af213c49bb8d7a76ce0c5b0546d1")</f>
        <v>0</v>
      </c>
      <c r="C17297">
        <f>HYPERLINK("https://android.googlesource.com/platform/cts/+/349fdad3e5fae9bfdc2d3ba7b5582d4cce8d3927", "349fdad3e5fae9bfdc2d3ba7b5582d4cce8d3927")</f>
        <v>0</v>
      </c>
      <c r="D17297" t="s">
        <v>4971</v>
      </c>
      <c r="E17297" t="s">
        <v>9627</v>
      </c>
      <c r="F17297" t="s">
        <v>10946</v>
      </c>
      <c r="G17297" t="s">
        <v>15339</v>
      </c>
      <c r="H17297" t="s">
        <v>36577</v>
      </c>
    </row>
    <row r="17298" spans="1:8">
      <c r="F17298" t="s">
        <v>10604</v>
      </c>
      <c r="G17298" t="s">
        <v>15007</v>
      </c>
      <c r="H17298" t="s">
        <v>36577</v>
      </c>
    </row>
    <row r="17299" spans="1:8">
      <c r="F17299" t="s">
        <v>10947</v>
      </c>
      <c r="G17299" t="s">
        <v>15340</v>
      </c>
      <c r="H17299" t="s">
        <v>36577</v>
      </c>
    </row>
    <row r="17300" spans="1:8">
      <c r="A17300" t="s">
        <v>3938</v>
      </c>
      <c r="B17300">
        <f>HYPERLINK("https://android.googlesource.com/platform/cts/+/0836ad1799b0943a327b28ded2ecbd753c4e4805", "0836ad1799b0943a327b28ded2ecbd753c4e4805")</f>
        <v>0</v>
      </c>
      <c r="C17300">
        <f>HYPERLINK("https://android.googlesource.com/platform/cts/+/6dfdbb1ab69462153c917408298e9e7d5c5233e7", "6dfdbb1ab69462153c917408298e9e7d5c5233e7")</f>
        <v>0</v>
      </c>
      <c r="D17300" t="s">
        <v>5644</v>
      </c>
      <c r="E17300" t="s">
        <v>9629</v>
      </c>
      <c r="F17300" t="s">
        <v>14549</v>
      </c>
      <c r="G17300" t="s">
        <v>18472</v>
      </c>
      <c r="H17300" t="s">
        <v>36580</v>
      </c>
    </row>
    <row r="17301" spans="1:8">
      <c r="H17301" t="s">
        <v>36581</v>
      </c>
    </row>
    <row r="17302" spans="1:8">
      <c r="H17302" t="s">
        <v>36582</v>
      </c>
    </row>
    <row r="17303" spans="1:8">
      <c r="H17303" t="s">
        <v>36583</v>
      </c>
    </row>
    <row r="17304" spans="1:8">
      <c r="A17304" t="s">
        <v>3939</v>
      </c>
      <c r="B17304">
        <f>HYPERLINK("https://android.googlesource.com/platform/cts/+/1a6dddbad00897cf6d326adc2b9257e016fb729c", "1a6dddbad00897cf6d326adc2b9257e016fb729c")</f>
        <v>0</v>
      </c>
      <c r="C17304">
        <f>HYPERLINK("https://android.googlesource.com/platform/cts/+/c95a016fa40b899ce9df434c47b15b2daad34411", "c95a016fa40b899ce9df434c47b15b2daad34411")</f>
        <v>0</v>
      </c>
      <c r="D17304" t="s">
        <v>5153</v>
      </c>
      <c r="E17304" t="s">
        <v>9630</v>
      </c>
      <c r="F17304" t="s">
        <v>13225</v>
      </c>
      <c r="G17304" t="s">
        <v>17366</v>
      </c>
      <c r="H17304" t="s">
        <v>36594</v>
      </c>
    </row>
    <row r="17305" spans="1:8">
      <c r="A17305" t="s">
        <v>3942</v>
      </c>
      <c r="B17305">
        <f>HYPERLINK("https://android.googlesource.com/platform/cts/+/6019f9b2987cc25aec3c28abb01dce6d89e33e9c", "6019f9b2987cc25aec3c28abb01dce6d89e33e9c")</f>
        <v>0</v>
      </c>
      <c r="C17305">
        <f>HYPERLINK("https://android.googlesource.com/platform/cts/+/63d06190e7e8b86ec1fb67e0cef78209adfdcd34", "63d06190e7e8b86ec1fb67e0cef78209adfdcd34")</f>
        <v>0</v>
      </c>
      <c r="D17305" t="s">
        <v>5134</v>
      </c>
      <c r="E17305" t="s">
        <v>9633</v>
      </c>
      <c r="F17305" t="s">
        <v>14550</v>
      </c>
      <c r="G17305" t="s">
        <v>18473</v>
      </c>
      <c r="H17305" t="s">
        <v>36598</v>
      </c>
    </row>
    <row r="17306" spans="1:8">
      <c r="A17306" t="s">
        <v>3947</v>
      </c>
      <c r="B17306">
        <f>HYPERLINK("https://android.googlesource.com/platform/cts/+/d76443927c8ab8b3a2fd230e8958f6b0c00b7450", "d76443927c8ab8b3a2fd230e8958f6b0c00b7450")</f>
        <v>0</v>
      </c>
      <c r="C17306">
        <f>HYPERLINK("https://android.googlesource.com/platform/cts/+/18964991d67521f07f9010d2a842cce7ed84b113", "18964991d67521f07f9010d2a842cce7ed84b113")</f>
        <v>0</v>
      </c>
      <c r="D17306" t="s">
        <v>5604</v>
      </c>
      <c r="E17306" t="s">
        <v>9638</v>
      </c>
      <c r="F17306" t="s">
        <v>14554</v>
      </c>
      <c r="G17306" t="s">
        <v>18477</v>
      </c>
      <c r="H17306" t="s">
        <v>36604</v>
      </c>
    </row>
    <row r="17307" spans="1:8">
      <c r="A17307" t="s">
        <v>3949</v>
      </c>
      <c r="B17307">
        <f>HYPERLINK("https://android.googlesource.com/platform/cts/+/4cfcf23543adcf3f4d6a792e393d0ce5b100da80", "4cfcf23543adcf3f4d6a792e393d0ce5b100da80")</f>
        <v>0</v>
      </c>
      <c r="C17307">
        <f>HYPERLINK("https://android.googlesource.com/platform/cts/+/c22b81480078da56968ef0b80e2f41b256ddbd8b", "c22b81480078da56968ef0b80e2f41b256ddbd8b")</f>
        <v>0</v>
      </c>
      <c r="D17307" t="s">
        <v>5085</v>
      </c>
      <c r="E17307" t="s">
        <v>9640</v>
      </c>
      <c r="F17307" t="s">
        <v>13224</v>
      </c>
      <c r="G17307" t="s">
        <v>15138</v>
      </c>
      <c r="H17307" t="s">
        <v>36606</v>
      </c>
    </row>
    <row r="17308" spans="1:8">
      <c r="A17308" t="s">
        <v>3955</v>
      </c>
      <c r="B17308">
        <f>HYPERLINK("https://android.googlesource.com/platform/cts/+/c23b3a56e611367f37468a26bf5a3887521e3ae9", "c23b3a56e611367f37468a26bf5a3887521e3ae9")</f>
        <v>0</v>
      </c>
      <c r="C17308">
        <f>HYPERLINK("https://android.googlesource.com/platform/cts/+/890ceb1193784d3637714c259cf13218da76bd4c", "890ceb1193784d3637714c259cf13218da76bd4c")</f>
        <v>0</v>
      </c>
      <c r="D17308" t="s">
        <v>5428</v>
      </c>
      <c r="E17308" t="s">
        <v>9644</v>
      </c>
      <c r="F17308" t="s">
        <v>14430</v>
      </c>
      <c r="G17308" t="s">
        <v>18367</v>
      </c>
      <c r="H17308" t="s">
        <v>36609</v>
      </c>
    </row>
    <row r="17309" spans="1:8">
      <c r="H17309" t="s">
        <v>36610</v>
      </c>
    </row>
    <row r="17310" spans="1:8">
      <c r="H17310" t="s">
        <v>36611</v>
      </c>
    </row>
    <row r="17311" spans="1:8">
      <c r="H17311" t="s">
        <v>36612</v>
      </c>
    </row>
    <row r="17312" spans="1:8">
      <c r="F17312" t="s">
        <v>14431</v>
      </c>
      <c r="G17312" t="s">
        <v>18368</v>
      </c>
      <c r="H17312" t="s">
        <v>36613</v>
      </c>
    </row>
    <row r="17313" spans="1:8">
      <c r="H17313" t="s">
        <v>36614</v>
      </c>
    </row>
    <row r="17314" spans="1:8">
      <c r="H17314" t="s">
        <v>36615</v>
      </c>
    </row>
    <row r="17315" spans="1:8">
      <c r="H17315" t="s">
        <v>36616</v>
      </c>
    </row>
    <row r="17316" spans="1:8">
      <c r="H17316" t="s">
        <v>36617</v>
      </c>
    </row>
    <row r="17317" spans="1:8">
      <c r="H17317" t="s">
        <v>36618</v>
      </c>
    </row>
    <row r="17318" spans="1:8">
      <c r="A17318" t="s">
        <v>3956</v>
      </c>
      <c r="B17318">
        <f>HYPERLINK("https://android.googlesource.com/platform/cts/+/1b00016229ebdc000ab729b94d303ee2cf77a418", "1b00016229ebdc000ab729b94d303ee2cf77a418")</f>
        <v>0</v>
      </c>
      <c r="C17318">
        <f>HYPERLINK("https://android.googlesource.com/platform/cts/+/84598b17873446d0c422c638626e0717d5b3e396", "84598b17873446d0c422c638626e0717d5b3e396")</f>
        <v>0</v>
      </c>
      <c r="D17318" t="s">
        <v>5493</v>
      </c>
      <c r="E17318" t="s">
        <v>9645</v>
      </c>
      <c r="F17318" t="s">
        <v>13968</v>
      </c>
      <c r="G17318" t="s">
        <v>17993</v>
      </c>
      <c r="H17318" t="s">
        <v>36620</v>
      </c>
    </row>
    <row r="17319" spans="1:8">
      <c r="H17319" t="s">
        <v>36621</v>
      </c>
    </row>
    <row r="17320" spans="1:8">
      <c r="H17320" t="s">
        <v>36622</v>
      </c>
    </row>
    <row r="17321" spans="1:8">
      <c r="H17321" t="s">
        <v>36623</v>
      </c>
    </row>
    <row r="17322" spans="1:8">
      <c r="A17322" t="s">
        <v>3957</v>
      </c>
      <c r="B17322">
        <f>HYPERLINK("https://android.googlesource.com/platform/cts/+/30dfdb35aac627e18dbb05bf8c7a905b1e89df8b", "30dfdb35aac627e18dbb05bf8c7a905b1e89df8b")</f>
        <v>0</v>
      </c>
      <c r="C17322">
        <f>HYPERLINK("https://android.googlesource.com/platform/cts/+/e7b3c7a8f4e852361474eb682e3e3bc3f13eda86", "e7b3c7a8f4e852361474eb682e3e3bc3f13eda86")</f>
        <v>0</v>
      </c>
      <c r="D17322" t="s">
        <v>5409</v>
      </c>
      <c r="E17322" t="s">
        <v>9646</v>
      </c>
      <c r="F17322" t="s">
        <v>14555</v>
      </c>
      <c r="G17322" t="s">
        <v>17862</v>
      </c>
      <c r="H17322" t="s">
        <v>36627</v>
      </c>
    </row>
    <row r="17323" spans="1:8">
      <c r="A17323" t="s">
        <v>3958</v>
      </c>
      <c r="B17323">
        <f>HYPERLINK("https://android.googlesource.com/platform/cts/+/65eb9c316b5c0fe3f2b5a55909fa4cd9ef6839c8", "65eb9c316b5c0fe3f2b5a55909fa4cd9ef6839c8")</f>
        <v>0</v>
      </c>
      <c r="C17323">
        <f>HYPERLINK("https://android.googlesource.com/platform/cts/+/32ee9ae735281cabb2660f1247ac8a0a268d315e", "32ee9ae735281cabb2660f1247ac8a0a268d315e")</f>
        <v>0</v>
      </c>
      <c r="D17323" t="s">
        <v>5646</v>
      </c>
      <c r="E17323" t="s">
        <v>9647</v>
      </c>
      <c r="F17323" t="s">
        <v>14165</v>
      </c>
      <c r="G17323" t="s">
        <v>17361</v>
      </c>
      <c r="H17323" t="s">
        <v>36628</v>
      </c>
    </row>
    <row r="17324" spans="1:8">
      <c r="A17324" t="s">
        <v>3959</v>
      </c>
      <c r="B17324">
        <f>HYPERLINK("https://android.googlesource.com/platform/cts/+/51ba130cf8573a5d485d394486b5ac68fdbf520e", "51ba130cf8573a5d485d394486b5ac68fdbf520e")</f>
        <v>0</v>
      </c>
      <c r="C17324">
        <f>HYPERLINK("https://android.googlesource.com/platform/cts/+/c3e61ad03e7e0a7e87d757f3e0bf960559bc1a9a", "c3e61ad03e7e0a7e87d757f3e0bf960559bc1a9a")</f>
        <v>0</v>
      </c>
      <c r="D17324" t="s">
        <v>5493</v>
      </c>
      <c r="E17324" t="s">
        <v>9648</v>
      </c>
      <c r="F17324" t="s">
        <v>13923</v>
      </c>
      <c r="G17324" t="s">
        <v>17959</v>
      </c>
      <c r="H17324" t="s">
        <v>26292</v>
      </c>
    </row>
    <row r="17325" spans="1:8">
      <c r="H17325" t="s">
        <v>36629</v>
      </c>
    </row>
    <row r="17326" spans="1:8">
      <c r="H17326" t="s">
        <v>36631</v>
      </c>
    </row>
    <row r="17327" spans="1:8">
      <c r="H17327" t="s">
        <v>36632</v>
      </c>
    </row>
    <row r="17328" spans="1:8">
      <c r="H17328" t="s">
        <v>36633</v>
      </c>
    </row>
    <row r="17329" spans="1:8">
      <c r="A17329" t="s">
        <v>3962</v>
      </c>
      <c r="B17329">
        <f>HYPERLINK("https://android.googlesource.com/platform/cts/+/8dc77bbe5f999ab7f15bea7fc8b4cd67319ca96f", "8dc77bbe5f999ab7f15bea7fc8b4cd67319ca96f")</f>
        <v>0</v>
      </c>
      <c r="C17329">
        <f>HYPERLINK("https://android.googlesource.com/platform/cts/+/365ce401c9ba381ac95218cb0bf4dea04e12f5e2", "365ce401c9ba381ac95218cb0bf4dea04e12f5e2")</f>
        <v>0</v>
      </c>
      <c r="D17329" t="s">
        <v>4947</v>
      </c>
      <c r="E17329" t="s">
        <v>9651</v>
      </c>
      <c r="F17329" t="s">
        <v>13990</v>
      </c>
      <c r="G17329" t="s">
        <v>18009</v>
      </c>
      <c r="H17329" t="s">
        <v>36636</v>
      </c>
    </row>
    <row r="17330" spans="1:8">
      <c r="A17330" t="s">
        <v>3967</v>
      </c>
      <c r="B17330">
        <f>HYPERLINK("https://android.googlesource.com/platform/cts/+/7cc41fccbf3b949dc86fe9d24c799d13d690a24b", "7cc41fccbf3b949dc86fe9d24c799d13d690a24b")</f>
        <v>0</v>
      </c>
      <c r="C17330">
        <f>HYPERLINK("https://android.googlesource.com/platform/cts/+/cf5f2a4dc0361cd2c513104a473c3d336810a2b5", "cf5f2a4dc0361cd2c513104a473c3d336810a2b5")</f>
        <v>0</v>
      </c>
      <c r="D17330" t="s">
        <v>5454</v>
      </c>
      <c r="E17330" t="s">
        <v>9656</v>
      </c>
      <c r="F17330" t="s">
        <v>14438</v>
      </c>
      <c r="G17330" t="s">
        <v>18374</v>
      </c>
      <c r="H17330" t="s">
        <v>36638</v>
      </c>
    </row>
    <row r="17331" spans="1:8">
      <c r="H17331" t="s">
        <v>36639</v>
      </c>
    </row>
    <row r="17332" spans="1:8">
      <c r="A17332" t="s">
        <v>3969</v>
      </c>
      <c r="B17332">
        <f>HYPERLINK("https://android.googlesource.com/platform/cts/+/512626d453eb2b7f1b2469ff2586a53be25738bd", "512626d453eb2b7f1b2469ff2586a53be25738bd")</f>
        <v>0</v>
      </c>
      <c r="C17332">
        <f>HYPERLINK("https://android.googlesource.com/platform/cts/+/64a74e69c7b246e522d98d489e5dd02a6e228a91", "64a74e69c7b246e522d98d489e5dd02a6e228a91")</f>
        <v>0</v>
      </c>
      <c r="D17332" t="s">
        <v>5409</v>
      </c>
      <c r="E17332" t="s">
        <v>9658</v>
      </c>
      <c r="F17332" t="s">
        <v>14558</v>
      </c>
      <c r="G17332" t="s">
        <v>18480</v>
      </c>
      <c r="H17332" t="s">
        <v>36642</v>
      </c>
    </row>
    <row r="17333" spans="1:8">
      <c r="A17333" t="s">
        <v>3973</v>
      </c>
      <c r="B17333">
        <f>HYPERLINK("https://android.googlesource.com/platform/cts/+/e25ab39765a4aaad8199227c7356d6e0e94aa976", "e25ab39765a4aaad8199227c7356d6e0e94aa976")</f>
        <v>0</v>
      </c>
      <c r="C17333">
        <f>HYPERLINK("https://android.googlesource.com/platform/cts/+/7572eb0aa5ff5c36015189914bf79db3c6ec93af", "7572eb0aa5ff5c36015189914bf79db3c6ec93af")</f>
        <v>0</v>
      </c>
      <c r="D17333" t="s">
        <v>5649</v>
      </c>
      <c r="E17333" t="s">
        <v>9662</v>
      </c>
      <c r="F17333" t="s">
        <v>12629</v>
      </c>
      <c r="G17333" t="s">
        <v>16838</v>
      </c>
      <c r="H17333" t="s">
        <v>36645</v>
      </c>
    </row>
    <row r="17334" spans="1:8">
      <c r="A17334" t="s">
        <v>3975</v>
      </c>
      <c r="B17334">
        <f>HYPERLINK("https://android.googlesource.com/platform/cts/+/3c0172e93399bf203ce3d37653b5dd5d76c773a7", "3c0172e93399bf203ce3d37653b5dd5d76c773a7")</f>
        <v>0</v>
      </c>
      <c r="C17334">
        <f>HYPERLINK("https://android.googlesource.com/platform/cts/+/f07d11fad7e3d862a45019cbbca9a87e5e29f63f", "f07d11fad7e3d862a45019cbbca9a87e5e29f63f")</f>
        <v>0</v>
      </c>
      <c r="D17334" t="s">
        <v>5344</v>
      </c>
      <c r="E17334" t="s">
        <v>9664</v>
      </c>
      <c r="F17334" t="s">
        <v>14476</v>
      </c>
      <c r="G17334" t="s">
        <v>18408</v>
      </c>
      <c r="H17334" t="s">
        <v>36649</v>
      </c>
    </row>
    <row r="17335" spans="1:8">
      <c r="A17335" t="s">
        <v>3978</v>
      </c>
      <c r="B17335">
        <f>HYPERLINK("https://android.googlesource.com/platform/cts/+/eaed0cdeee06f358e16ef7365ccc9616da08dc19", "eaed0cdeee06f358e16ef7365ccc9616da08dc19")</f>
        <v>0</v>
      </c>
      <c r="C17335">
        <f>HYPERLINK("https://android.googlesource.com/platform/cts/+/64a74e69c7b246e522d98d489e5dd02a6e228a91", "64a74e69c7b246e522d98d489e5dd02a6e228a91")</f>
        <v>0</v>
      </c>
      <c r="D17335" t="s">
        <v>5451</v>
      </c>
      <c r="E17335" t="s">
        <v>9667</v>
      </c>
      <c r="F17335" t="s">
        <v>14560</v>
      </c>
      <c r="G17335" t="s">
        <v>18482</v>
      </c>
      <c r="H17335" t="s">
        <v>36654</v>
      </c>
    </row>
    <row r="17336" spans="1:8">
      <c r="H17336" t="s">
        <v>36655</v>
      </c>
    </row>
    <row r="17337" spans="1:8">
      <c r="H17337" t="s">
        <v>36656</v>
      </c>
    </row>
    <row r="17338" spans="1:8">
      <c r="F17338" t="s">
        <v>14123</v>
      </c>
      <c r="G17338" t="s">
        <v>18113</v>
      </c>
      <c r="H17338" t="s">
        <v>36657</v>
      </c>
    </row>
    <row r="17339" spans="1:8">
      <c r="A17339" t="s">
        <v>3981</v>
      </c>
      <c r="B17339">
        <f>HYPERLINK("https://android.googlesource.com/platform/cts/+/999e7f18512837d6b9442b692650f8302d1808c1", "999e7f18512837d6b9442b692650f8302d1808c1")</f>
        <v>0</v>
      </c>
      <c r="C17339">
        <f>HYPERLINK("https://android.googlesource.com/platform/cts/+/c0384579767bf4c9c004905b2f60943f45a69192", "c0384579767bf4c9c004905b2f60943f45a69192")</f>
        <v>0</v>
      </c>
      <c r="D17339" t="s">
        <v>5409</v>
      </c>
      <c r="E17339" t="s">
        <v>9670</v>
      </c>
      <c r="F17339" t="s">
        <v>13229</v>
      </c>
      <c r="G17339" t="s">
        <v>17370</v>
      </c>
      <c r="H17339" t="s">
        <v>36677</v>
      </c>
    </row>
    <row r="17340" spans="1:8">
      <c r="A17340" t="s">
        <v>3982</v>
      </c>
      <c r="B17340">
        <f>HYPERLINK("https://android.googlesource.com/platform/cts/+/c72e392a578ee108c35d810e58ba0d4a768fc5e4", "c72e392a578ee108c35d810e58ba0d4a768fc5e4")</f>
        <v>0</v>
      </c>
      <c r="C17340">
        <f>HYPERLINK("https://android.googlesource.com/platform/cts/+/b617825c0d3ae2dc4ddbffac91a8861fa6beaae1", "b617825c0d3ae2dc4ddbffac91a8861fa6beaae1")</f>
        <v>0</v>
      </c>
      <c r="D17340" t="s">
        <v>5409</v>
      </c>
      <c r="E17340" t="s">
        <v>9671</v>
      </c>
      <c r="F17340" t="s">
        <v>13229</v>
      </c>
      <c r="G17340" t="s">
        <v>17370</v>
      </c>
      <c r="H17340" t="s">
        <v>36678</v>
      </c>
    </row>
    <row r="17341" spans="1:8">
      <c r="A17341" t="s">
        <v>3987</v>
      </c>
      <c r="B17341">
        <f>HYPERLINK("https://android.googlesource.com/platform/cts/+/0b61e8e11d8ce7f23ce194801abc84f0109106da", "0b61e8e11d8ce7f23ce194801abc84f0109106da")</f>
        <v>0</v>
      </c>
      <c r="C17341">
        <f>HYPERLINK("https://android.googlesource.com/platform/cts/+/bb207989733952563c83deec304be828b5b37e25", "bb207989733952563c83deec304be828b5b37e25")</f>
        <v>0</v>
      </c>
      <c r="D17341" t="s">
        <v>5189</v>
      </c>
      <c r="E17341" t="s">
        <v>9676</v>
      </c>
      <c r="F17341" t="s">
        <v>14561</v>
      </c>
      <c r="G17341" t="s">
        <v>18483</v>
      </c>
      <c r="H17341" t="s">
        <v>36690</v>
      </c>
    </row>
    <row r="17342" spans="1:8">
      <c r="H17342" t="s">
        <v>36691</v>
      </c>
    </row>
    <row r="17343" spans="1:8">
      <c r="H17343" t="s">
        <v>36692</v>
      </c>
    </row>
    <row r="17344" spans="1:8">
      <c r="H17344" t="s">
        <v>36693</v>
      </c>
    </row>
    <row r="17345" spans="1:8">
      <c r="H17345" t="s">
        <v>36694</v>
      </c>
    </row>
    <row r="17346" spans="1:8">
      <c r="H17346" t="s">
        <v>36695</v>
      </c>
    </row>
    <row r="17347" spans="1:8">
      <c r="A17347" t="s">
        <v>3990</v>
      </c>
      <c r="B17347">
        <f>HYPERLINK("https://android.googlesource.com/platform/cts/+/7c80c698f1db290fda5f79fb3b59fdbb5695397b", "7c80c698f1db290fda5f79fb3b59fdbb5695397b")</f>
        <v>0</v>
      </c>
      <c r="C17347">
        <f>HYPERLINK("https://android.googlesource.com/platform/cts/+/e8378ac231d78069d3642f1a62f8a1eb01b8afbe", "e8378ac231d78069d3642f1a62f8a1eb01b8afbe")</f>
        <v>0</v>
      </c>
      <c r="D17347" t="s">
        <v>5520</v>
      </c>
      <c r="E17347" t="s">
        <v>9679</v>
      </c>
      <c r="F17347" t="s">
        <v>14563</v>
      </c>
      <c r="G17347" t="s">
        <v>18409</v>
      </c>
      <c r="H17347" t="s">
        <v>36700</v>
      </c>
    </row>
    <row r="17348" spans="1:8">
      <c r="A17348" t="s">
        <v>3992</v>
      </c>
      <c r="B17348">
        <f>HYPERLINK("https://android.googlesource.com/platform/cts/+/f427ddbad01aee1673ed6544fe00d925c3a0a23b", "f427ddbad01aee1673ed6544fe00d925c3a0a23b")</f>
        <v>0</v>
      </c>
      <c r="C17348">
        <f>HYPERLINK("https://android.googlesource.com/platform/cts/+/00b9d2c21d7dc282db6f43954a615d9281f31b75", "00b9d2c21d7dc282db6f43954a615d9281f31b75")</f>
        <v>0</v>
      </c>
      <c r="D17348" t="s">
        <v>5344</v>
      </c>
      <c r="E17348" t="s">
        <v>9681</v>
      </c>
      <c r="F17348" t="s">
        <v>14472</v>
      </c>
      <c r="G17348" t="s">
        <v>18404</v>
      </c>
      <c r="H17348" t="s">
        <v>36703</v>
      </c>
    </row>
    <row r="17349" spans="1:8">
      <c r="A17349" t="s">
        <v>3994</v>
      </c>
      <c r="B17349">
        <f>HYPERLINK("https://android.googlesource.com/platform/cts/+/3bc123cd9dbf8b6e05c6ef1e6d69b71bd982bfb6", "3bc123cd9dbf8b6e05c6ef1e6d69b71bd982bfb6")</f>
        <v>0</v>
      </c>
      <c r="C17349">
        <f>HYPERLINK("https://android.googlesource.com/platform/cts/+/5cc331ecf031cec9fb46eab8fca4bded3f459899", "5cc331ecf031cec9fb46eab8fca4bded3f459899")</f>
        <v>0</v>
      </c>
      <c r="D17349" t="s">
        <v>4981</v>
      </c>
      <c r="E17349" t="s">
        <v>9683</v>
      </c>
      <c r="F17349" t="s">
        <v>14384</v>
      </c>
      <c r="G17349" t="s">
        <v>18328</v>
      </c>
      <c r="H17349" t="s">
        <v>36708</v>
      </c>
    </row>
    <row r="17350" spans="1:8">
      <c r="A17350" t="s">
        <v>4002</v>
      </c>
      <c r="B17350">
        <f>HYPERLINK("https://android.googlesource.com/platform/cts/+/8277bbafcbea38acc4b788a941a8b0280fe48c45", "8277bbafcbea38acc4b788a941a8b0280fe48c45")</f>
        <v>0</v>
      </c>
      <c r="C17350">
        <f>HYPERLINK("https://android.googlesource.com/platform/cts/+/29172309bbf6435784e3b958a24f697f5136715a", "29172309bbf6435784e3b958a24f697f5136715a")</f>
        <v>0</v>
      </c>
      <c r="D17350" t="s">
        <v>5428</v>
      </c>
      <c r="E17350" t="s">
        <v>9691</v>
      </c>
      <c r="F17350" t="s">
        <v>14430</v>
      </c>
      <c r="G17350" t="s">
        <v>18367</v>
      </c>
      <c r="H17350" t="s">
        <v>36609</v>
      </c>
    </row>
    <row r="17351" spans="1:8">
      <c r="H17351" t="s">
        <v>36610</v>
      </c>
    </row>
    <row r="17352" spans="1:8">
      <c r="H17352" t="s">
        <v>36611</v>
      </c>
    </row>
    <row r="17353" spans="1:8">
      <c r="H17353" t="s">
        <v>36612</v>
      </c>
    </row>
    <row r="17354" spans="1:8">
      <c r="F17354" t="s">
        <v>14431</v>
      </c>
      <c r="G17354" t="s">
        <v>18368</v>
      </c>
      <c r="H17354" t="s">
        <v>36613</v>
      </c>
    </row>
    <row r="17355" spans="1:8">
      <c r="H17355" t="s">
        <v>36614</v>
      </c>
    </row>
    <row r="17356" spans="1:8">
      <c r="H17356" t="s">
        <v>36615</v>
      </c>
    </row>
    <row r="17357" spans="1:8">
      <c r="H17357" t="s">
        <v>36616</v>
      </c>
    </row>
    <row r="17358" spans="1:8">
      <c r="H17358" t="s">
        <v>36617</v>
      </c>
    </row>
    <row r="17359" spans="1:8">
      <c r="H17359" t="s">
        <v>36618</v>
      </c>
    </row>
    <row r="17360" spans="1:8">
      <c r="A17360" t="s">
        <v>4004</v>
      </c>
      <c r="B17360">
        <f>HYPERLINK("https://android.googlesource.com/platform/cts/+/3e430f34b417a246fec3be79828f16d2947d5d96", "3e430f34b417a246fec3be79828f16d2947d5d96")</f>
        <v>0</v>
      </c>
      <c r="C17360">
        <f>HYPERLINK("https://android.googlesource.com/platform/cts/+/62ccea72b764ba0504c42f4c1af66ac341babee8", "62ccea72b764ba0504c42f4c1af66ac341babee8")</f>
        <v>0</v>
      </c>
      <c r="D17360" t="s">
        <v>5481</v>
      </c>
      <c r="E17360" t="s">
        <v>9693</v>
      </c>
      <c r="F17360" t="s">
        <v>14408</v>
      </c>
      <c r="G17360" t="s">
        <v>18346</v>
      </c>
      <c r="H17360" t="s">
        <v>36730</v>
      </c>
    </row>
    <row r="17361" spans="1:8">
      <c r="H17361" t="s">
        <v>36731</v>
      </c>
    </row>
    <row r="17362" spans="1:8">
      <c r="F17362" t="s">
        <v>14409</v>
      </c>
      <c r="G17362" t="s">
        <v>18347</v>
      </c>
      <c r="H17362" t="s">
        <v>36730</v>
      </c>
    </row>
    <row r="17363" spans="1:8">
      <c r="H17363" t="s">
        <v>36731</v>
      </c>
    </row>
    <row r="17364" spans="1:8">
      <c r="A17364" t="s">
        <v>4006</v>
      </c>
      <c r="B17364">
        <f>HYPERLINK("https://android.googlesource.com/platform/cts/+/a04d6480062c773f3ec39059984e9fadfb085046", "a04d6480062c773f3ec39059984e9fadfb085046")</f>
        <v>0</v>
      </c>
      <c r="C17364">
        <f>HYPERLINK("https://android.googlesource.com/platform/cts/+/7664217338131316354a46ffe5f7591684f295f4", "7664217338131316354a46ffe5f7591684f295f4")</f>
        <v>0</v>
      </c>
      <c r="D17364" t="s">
        <v>5635</v>
      </c>
      <c r="E17364" t="s">
        <v>9695</v>
      </c>
      <c r="F17364" t="s">
        <v>14524</v>
      </c>
      <c r="G17364" t="s">
        <v>18451</v>
      </c>
      <c r="H17364" t="s">
        <v>36733</v>
      </c>
    </row>
    <row r="17365" spans="1:8">
      <c r="A17365" t="s">
        <v>4024</v>
      </c>
      <c r="B17365">
        <f>HYPERLINK("https://android.googlesource.com/platform/cts/+/f6c8f9156f57a8c7a7915965cd9221c038dc1848", "f6c8f9156f57a8c7a7915965cd9221c038dc1848")</f>
        <v>0</v>
      </c>
      <c r="C17365">
        <f>HYPERLINK("https://android.googlesource.com/platform/cts/+/88447a0721522681668c34a9adad9db2375f3ad3", "88447a0721522681668c34a9adad9db2375f3ad3")</f>
        <v>0</v>
      </c>
      <c r="D17365" t="s">
        <v>5652</v>
      </c>
      <c r="E17365" t="s">
        <v>9713</v>
      </c>
      <c r="F17365" t="s">
        <v>14568</v>
      </c>
      <c r="G17365" t="s">
        <v>18489</v>
      </c>
      <c r="H17365" t="s">
        <v>36751</v>
      </c>
    </row>
    <row r="17366" spans="1:8">
      <c r="A17366" t="s">
        <v>4027</v>
      </c>
      <c r="B17366">
        <f>HYPERLINK("https://android.googlesource.com/platform/cts/+/844415b0fbdd3ba69e67263a0d7f220c4d45aad8", "844415b0fbdd3ba69e67263a0d7f220c4d45aad8")</f>
        <v>0</v>
      </c>
      <c r="C17366">
        <f>HYPERLINK("https://android.googlesource.com/platform/cts/+/ec975bf3456b3e0c4a645dd4d3ba6e25a443f5ac", "ec975bf3456b3e0c4a645dd4d3ba6e25a443f5ac")</f>
        <v>0</v>
      </c>
      <c r="D17366" t="s">
        <v>5416</v>
      </c>
      <c r="E17366" t="s">
        <v>9716</v>
      </c>
      <c r="F17366" t="s">
        <v>12419</v>
      </c>
      <c r="G17366" t="s">
        <v>16641</v>
      </c>
      <c r="H17366" t="s">
        <v>36754</v>
      </c>
    </row>
    <row r="17367" spans="1:8">
      <c r="H17367" t="s">
        <v>36755</v>
      </c>
    </row>
    <row r="17368" spans="1:8">
      <c r="A17368" t="s">
        <v>4031</v>
      </c>
      <c r="B17368">
        <f>HYPERLINK("https://android.googlesource.com/platform/cts/+/c5da66ad93ecaf52420b8ff9667fe62e53fd71a5", "c5da66ad93ecaf52420b8ff9667fe62e53fd71a5")</f>
        <v>0</v>
      </c>
      <c r="C17368">
        <f>HYPERLINK("https://android.googlesource.com/platform/cts/+/8ebd21feea7d79325ce546f24d38cbd233704c37", "8ebd21feea7d79325ce546f24d38cbd233704c37")</f>
        <v>0</v>
      </c>
      <c r="D17368" t="s">
        <v>5479</v>
      </c>
      <c r="E17368" t="s">
        <v>9720</v>
      </c>
      <c r="F17368" t="s">
        <v>14570</v>
      </c>
      <c r="G17368" t="s">
        <v>17580</v>
      </c>
      <c r="H17368" t="s">
        <v>36760</v>
      </c>
    </row>
    <row r="17369" spans="1:8">
      <c r="A17369" t="s">
        <v>4036</v>
      </c>
      <c r="B17369">
        <f>HYPERLINK("https://android.googlesource.com/platform/cts/+/d3420a571f0ad9dd0bda47069694ed3ff21414e5", "d3420a571f0ad9dd0bda47069694ed3ff21414e5")</f>
        <v>0</v>
      </c>
      <c r="C17369">
        <f>HYPERLINK("https://android.googlesource.com/platform/cts/+/46d4255b981b1251033bf4dc7d523d6f05fc8adf", "46d4255b981b1251033bf4dc7d523d6f05fc8adf")</f>
        <v>0</v>
      </c>
      <c r="D17369" t="s">
        <v>5541</v>
      </c>
      <c r="E17369" t="s">
        <v>9725</v>
      </c>
      <c r="F17369" t="s">
        <v>14577</v>
      </c>
      <c r="G17369" t="s">
        <v>18497</v>
      </c>
      <c r="H17369" t="s">
        <v>36761</v>
      </c>
    </row>
    <row r="17370" spans="1:8">
      <c r="A17370" t="s">
        <v>4038</v>
      </c>
      <c r="B17370">
        <f>HYPERLINK("https://android.googlesource.com/platform/cts/+/d21e4d043a67a278ff5c4a640f53fe4f9900c929", "d21e4d043a67a278ff5c4a640f53fe4f9900c929")</f>
        <v>0</v>
      </c>
      <c r="C17370">
        <f>HYPERLINK("https://android.googlesource.com/platform/cts/+/76b21a1a35b64496b837ceaf0a5d4040c4875180", "76b21a1a35b64496b837ceaf0a5d4040c4875180")</f>
        <v>0</v>
      </c>
      <c r="D17370" t="s">
        <v>5134</v>
      </c>
      <c r="E17370" t="s">
        <v>9727</v>
      </c>
      <c r="F17370" t="s">
        <v>13229</v>
      </c>
      <c r="G17370" t="s">
        <v>17370</v>
      </c>
      <c r="H17370" t="s">
        <v>30571</v>
      </c>
    </row>
    <row r="17371" spans="1:8">
      <c r="H17371" t="s">
        <v>36765</v>
      </c>
    </row>
    <row r="17372" spans="1:8">
      <c r="H17372" t="s">
        <v>36766</v>
      </c>
    </row>
    <row r="17373" spans="1:8">
      <c r="H17373" t="s">
        <v>36767</v>
      </c>
    </row>
    <row r="17374" spans="1:8">
      <c r="H17374" t="s">
        <v>36768</v>
      </c>
    </row>
    <row r="17375" spans="1:8">
      <c r="A17375" t="s">
        <v>4040</v>
      </c>
      <c r="B17375">
        <f>HYPERLINK("https://android.googlesource.com/platform/cts/+/5ec64f5c564f9aeaab97766862c333181edeac44", "5ec64f5c564f9aeaab97766862c333181edeac44")</f>
        <v>0</v>
      </c>
      <c r="C17375">
        <f>HYPERLINK("https://android.googlesource.com/platform/cts/+/88fc0a0863c80320d29616186f6eaae47f71591e", "88fc0a0863c80320d29616186f6eaae47f71591e")</f>
        <v>0</v>
      </c>
      <c r="D17375" t="s">
        <v>5454</v>
      </c>
      <c r="E17375" t="s">
        <v>9729</v>
      </c>
      <c r="F17375" t="s">
        <v>14124</v>
      </c>
      <c r="G17375" t="s">
        <v>18114</v>
      </c>
      <c r="H17375" t="s">
        <v>36771</v>
      </c>
    </row>
    <row r="17376" spans="1:8">
      <c r="A17376" t="s">
        <v>4053</v>
      </c>
      <c r="B17376">
        <f>HYPERLINK("https://android.googlesource.com/platform/cts/+/4abe91d464e849cdee2ad325cfdd24a8ae48e446", "4abe91d464e849cdee2ad325cfdd24a8ae48e446")</f>
        <v>0</v>
      </c>
      <c r="C17376">
        <f>HYPERLINK("https://android.googlesource.com/platform/cts/+/9a7361602b746fb1bc7d0d17f88b7d503eaffb46", "9a7361602b746fb1bc7d0d17f88b7d503eaffb46")</f>
        <v>0</v>
      </c>
      <c r="D17376" t="s">
        <v>5476</v>
      </c>
      <c r="E17376" t="s">
        <v>9742</v>
      </c>
      <c r="F17376" t="s">
        <v>14582</v>
      </c>
      <c r="G17376" t="s">
        <v>18501</v>
      </c>
      <c r="H17376" t="s">
        <v>36795</v>
      </c>
    </row>
    <row r="17377" spans="1:8">
      <c r="A17377" t="s">
        <v>4056</v>
      </c>
      <c r="B17377">
        <f>HYPERLINK("https://android.googlesource.com/platform/cts/+/25e29b0f9979ca7b2806491564f246376feb9e9f", "25e29b0f9979ca7b2806491564f246376feb9e9f")</f>
        <v>0</v>
      </c>
      <c r="C17377">
        <f>HYPERLINK("https://android.googlesource.com/platform/cts/+/33d78c89d164b033729f0ca17e87ab26afe9e423", "33d78c89d164b033729f0ca17e87ab26afe9e423")</f>
        <v>0</v>
      </c>
      <c r="D17377" t="s">
        <v>5409</v>
      </c>
      <c r="E17377" t="s">
        <v>9744</v>
      </c>
      <c r="F17377" t="s">
        <v>14584</v>
      </c>
      <c r="G17377" t="s">
        <v>18357</v>
      </c>
      <c r="H17377" t="s">
        <v>36797</v>
      </c>
    </row>
    <row r="17378" spans="1:8">
      <c r="H17378" t="s">
        <v>36798</v>
      </c>
    </row>
    <row r="17379" spans="1:8">
      <c r="F17379" t="s">
        <v>14585</v>
      </c>
      <c r="G17379" t="s">
        <v>18503</v>
      </c>
      <c r="H17379" t="s">
        <v>36797</v>
      </c>
    </row>
    <row r="17380" spans="1:8">
      <c r="H17380" t="s">
        <v>36798</v>
      </c>
    </row>
    <row r="17381" spans="1:8">
      <c r="F17381" t="s">
        <v>14586</v>
      </c>
      <c r="G17381" t="s">
        <v>18504</v>
      </c>
      <c r="H17381" t="s">
        <v>36797</v>
      </c>
    </row>
    <row r="17382" spans="1:8">
      <c r="H17382" t="s">
        <v>36798</v>
      </c>
    </row>
    <row r="17383" spans="1:8">
      <c r="F17383" t="s">
        <v>14587</v>
      </c>
      <c r="G17383" t="s">
        <v>18505</v>
      </c>
      <c r="H17383" t="s">
        <v>36797</v>
      </c>
    </row>
    <row r="17384" spans="1:8">
      <c r="H17384" t="s">
        <v>36798</v>
      </c>
    </row>
    <row r="17385" spans="1:8">
      <c r="F17385" t="s">
        <v>14588</v>
      </c>
      <c r="G17385" t="s">
        <v>18506</v>
      </c>
      <c r="H17385" t="s">
        <v>36797</v>
      </c>
    </row>
    <row r="17386" spans="1:8">
      <c r="H17386" t="s">
        <v>36798</v>
      </c>
    </row>
    <row r="17387" spans="1:8">
      <c r="F17387" t="s">
        <v>14589</v>
      </c>
      <c r="G17387" t="s">
        <v>18507</v>
      </c>
      <c r="H17387" t="s">
        <v>36797</v>
      </c>
    </row>
    <row r="17388" spans="1:8">
      <c r="H17388" t="s">
        <v>36798</v>
      </c>
    </row>
    <row r="17389" spans="1:8">
      <c r="F17389" t="s">
        <v>14590</v>
      </c>
      <c r="G17389" t="s">
        <v>18508</v>
      </c>
      <c r="H17389" t="s">
        <v>36797</v>
      </c>
    </row>
    <row r="17390" spans="1:8">
      <c r="H17390" t="s">
        <v>36798</v>
      </c>
    </row>
    <row r="17391" spans="1:8">
      <c r="A17391" t="s">
        <v>4057</v>
      </c>
      <c r="B17391">
        <f>HYPERLINK("https://android.googlesource.com/platform/cts/+/cfda91d6f75a354a484e9a44d80943016650280d", "cfda91d6f75a354a484e9a44d80943016650280d")</f>
        <v>0</v>
      </c>
      <c r="C17391">
        <f>HYPERLINK("https://android.googlesource.com/platform/cts/+/9e43735f96dc7b5f4107885469197498aa34c451", "9e43735f96dc7b5f4107885469197498aa34c451")</f>
        <v>0</v>
      </c>
      <c r="D17391" t="s">
        <v>5409</v>
      </c>
      <c r="E17391" t="s">
        <v>9745</v>
      </c>
      <c r="F17391" t="s">
        <v>14592</v>
      </c>
      <c r="G17391" t="s">
        <v>18509</v>
      </c>
      <c r="H17391" t="s">
        <v>36807</v>
      </c>
    </row>
    <row r="17392" spans="1:8">
      <c r="H17392" t="s">
        <v>36808</v>
      </c>
    </row>
    <row r="17393" spans="1:8">
      <c r="H17393" t="s">
        <v>36809</v>
      </c>
    </row>
    <row r="17394" spans="1:8">
      <c r="H17394" t="s">
        <v>36810</v>
      </c>
    </row>
    <row r="17395" spans="1:8">
      <c r="A17395" t="s">
        <v>4062</v>
      </c>
      <c r="B17395">
        <f>HYPERLINK("https://android.googlesource.com/platform/cts/+/a0193e8b64626f92c6a36cb0e0e2219fbcce0b4f", "a0193e8b64626f92c6a36cb0e0e2219fbcce0b4f")</f>
        <v>0</v>
      </c>
      <c r="C17395">
        <f>HYPERLINK("https://android.googlesource.com/platform/cts/+/b6457332199d648e6e29c0d6d8747740e9a04ee9", "b6457332199d648e6e29c0d6d8747740e9a04ee9")</f>
        <v>0</v>
      </c>
      <c r="D17395" t="s">
        <v>5409</v>
      </c>
      <c r="E17395" t="s">
        <v>9750</v>
      </c>
      <c r="F17395" t="s">
        <v>12743</v>
      </c>
      <c r="G17395" t="s">
        <v>16935</v>
      </c>
      <c r="H17395" t="s">
        <v>28698</v>
      </c>
    </row>
    <row r="17396" spans="1:8">
      <c r="F17396" t="s">
        <v>13229</v>
      </c>
      <c r="G17396" t="s">
        <v>17370</v>
      </c>
      <c r="H17396" t="s">
        <v>32650</v>
      </c>
    </row>
    <row r="17397" spans="1:8">
      <c r="A17397" t="s">
        <v>4063</v>
      </c>
      <c r="B17397">
        <f>HYPERLINK("https://android.googlesource.com/platform/cts/+/4465c1053e4c9d1b0fd47f79ab2fccef46cbfbc3", "4465c1053e4c9d1b0fd47f79ab2fccef46cbfbc3")</f>
        <v>0</v>
      </c>
      <c r="C17397">
        <f>HYPERLINK("https://android.googlesource.com/platform/cts/+/545ce33e994bc6d43612636f079859f9d0596986", "545ce33e994bc6d43612636f079859f9d0596986")</f>
        <v>0</v>
      </c>
      <c r="D17397" t="s">
        <v>5655</v>
      </c>
      <c r="E17397" t="s">
        <v>9751</v>
      </c>
      <c r="F17397" t="s">
        <v>13972</v>
      </c>
      <c r="G17397" t="s">
        <v>17997</v>
      </c>
      <c r="H17397" t="s">
        <v>36823</v>
      </c>
    </row>
    <row r="17398" spans="1:8">
      <c r="A17398" t="s">
        <v>4064</v>
      </c>
      <c r="B17398">
        <f>HYPERLINK("https://android.googlesource.com/platform/cts/+/829d5e4e7304464c4722555c3529fc6210df262f", "829d5e4e7304464c4722555c3529fc6210df262f")</f>
        <v>0</v>
      </c>
      <c r="C17398">
        <f>HYPERLINK("https://android.googlesource.com/platform/cts/+/bd81f2228d771aac9808212899a600effc59ffc6", "bd81f2228d771aac9808212899a600effc59ffc6")</f>
        <v>0</v>
      </c>
      <c r="D17398" t="s">
        <v>5656</v>
      </c>
      <c r="E17398" t="s">
        <v>9752</v>
      </c>
      <c r="F17398" t="s">
        <v>12176</v>
      </c>
      <c r="G17398" t="s">
        <v>16415</v>
      </c>
      <c r="H17398" t="s">
        <v>36825</v>
      </c>
    </row>
    <row r="17399" spans="1:8">
      <c r="H17399" t="s">
        <v>36826</v>
      </c>
    </row>
    <row r="17400" spans="1:8">
      <c r="H17400" t="s">
        <v>36827</v>
      </c>
    </row>
    <row r="17401" spans="1:8">
      <c r="A17401" t="s">
        <v>4066</v>
      </c>
      <c r="B17401">
        <f>HYPERLINK("https://android.googlesource.com/platform/cts/+/f22c02928c1dbd70085f31d59da32d1f928a6469", "f22c02928c1dbd70085f31d59da32d1f928a6469")</f>
        <v>0</v>
      </c>
      <c r="C17401">
        <f>HYPERLINK("https://android.googlesource.com/platform/cts/+/fd59cf5951ea7faa766ff9d66dece20fba341965", "fd59cf5951ea7faa766ff9d66dece20fba341965")</f>
        <v>0</v>
      </c>
      <c r="D17401" t="s">
        <v>5366</v>
      </c>
      <c r="E17401" t="s">
        <v>9754</v>
      </c>
      <c r="F17401" t="s">
        <v>13753</v>
      </c>
      <c r="G17401" t="s">
        <v>17813</v>
      </c>
      <c r="H17401" t="s">
        <v>36832</v>
      </c>
    </row>
    <row r="17402" spans="1:8">
      <c r="H17402" t="s">
        <v>36833</v>
      </c>
    </row>
    <row r="17403" spans="1:8">
      <c r="H17403" t="s">
        <v>36834</v>
      </c>
    </row>
    <row r="17404" spans="1:8">
      <c r="H17404" t="s">
        <v>36835</v>
      </c>
    </row>
    <row r="17405" spans="1:8">
      <c r="F17405" t="s">
        <v>14252</v>
      </c>
      <c r="G17405" t="s">
        <v>18217</v>
      </c>
      <c r="H17405" t="s">
        <v>36838</v>
      </c>
    </row>
    <row r="17406" spans="1:8">
      <c r="H17406" t="s">
        <v>36839</v>
      </c>
    </row>
    <row r="17407" spans="1:8">
      <c r="A17407" t="s">
        <v>4067</v>
      </c>
      <c r="B17407">
        <f>HYPERLINK("https://android.googlesource.com/platform/cts/+/92236ff8b2cb5085333a6847e97fde12c2ed32d1", "92236ff8b2cb5085333a6847e97fde12c2ed32d1")</f>
        <v>0</v>
      </c>
      <c r="C17407">
        <f>HYPERLINK("https://android.googlesource.com/platform/cts/+/a22031ffe4e9c114edaf40f834602f42baf2e8ea", "a22031ffe4e9c114edaf40f834602f42baf2e8ea")</f>
        <v>0</v>
      </c>
      <c r="D17407" t="s">
        <v>5617</v>
      </c>
      <c r="E17407" t="s">
        <v>9755</v>
      </c>
      <c r="F17407" t="s">
        <v>14596</v>
      </c>
      <c r="G17407" t="s">
        <v>18513</v>
      </c>
      <c r="H17407" t="s">
        <v>36846</v>
      </c>
    </row>
    <row r="17408" spans="1:8">
      <c r="A17408" t="s">
        <v>4070</v>
      </c>
      <c r="B17408">
        <f>HYPERLINK("https://android.googlesource.com/platform/cts/+/a28785a14c67a24877f1d48aa0956fd122c82a05", "a28785a14c67a24877f1d48aa0956fd122c82a05")</f>
        <v>0</v>
      </c>
      <c r="C17408">
        <f>HYPERLINK("https://android.googlesource.com/platform/cts/+/2351a964deb1dc06db025e0c433a8d696b84596b", "2351a964deb1dc06db025e0c433a8d696b84596b")</f>
        <v>0</v>
      </c>
      <c r="D17408" t="s">
        <v>5481</v>
      </c>
      <c r="E17408" t="s">
        <v>9758</v>
      </c>
      <c r="F17408" t="s">
        <v>14598</v>
      </c>
      <c r="G17408" t="s">
        <v>18514</v>
      </c>
      <c r="H17408" t="s">
        <v>36849</v>
      </c>
    </row>
    <row r="17409" spans="1:8">
      <c r="A17409" t="s">
        <v>4077</v>
      </c>
      <c r="B17409">
        <f>HYPERLINK("https://android.googlesource.com/platform/cts/+/e0453ae822136b3ee591aefeaa3efd9c9e8b4217", "e0453ae822136b3ee591aefeaa3efd9c9e8b4217")</f>
        <v>0</v>
      </c>
      <c r="C17409">
        <f>HYPERLINK("https://android.googlesource.com/platform/cts/+/20687daf1bffe90dcfeaf6fe0fc281f2c38f3b6d", "20687daf1bffe90dcfeaf6fe0fc281f2c38f3b6d")</f>
        <v>0</v>
      </c>
      <c r="D17409" t="s">
        <v>5272</v>
      </c>
      <c r="E17409" t="s">
        <v>9765</v>
      </c>
      <c r="F17409" t="s">
        <v>14602</v>
      </c>
      <c r="G17409" t="s">
        <v>18518</v>
      </c>
      <c r="H17409" t="s">
        <v>36860</v>
      </c>
    </row>
    <row r="17410" spans="1:8">
      <c r="A17410" t="s">
        <v>4079</v>
      </c>
      <c r="B17410">
        <f>HYPERLINK("https://android.googlesource.com/platform/cts/+/829386b620dde8170ae47533a3b6b7bd75bc7565", "829386b620dde8170ae47533a3b6b7bd75bc7565")</f>
        <v>0</v>
      </c>
      <c r="C17410">
        <f>HYPERLINK("https://android.googlesource.com/platform/cts/+/1355cadedc27797470a534de824c05beba313736", "1355cadedc27797470a534de824c05beba313736")</f>
        <v>0</v>
      </c>
      <c r="D17410" t="s">
        <v>5409</v>
      </c>
      <c r="E17410" t="s">
        <v>9767</v>
      </c>
      <c r="F17410" t="s">
        <v>14462</v>
      </c>
      <c r="G17410" t="s">
        <v>18326</v>
      </c>
      <c r="H17410" t="s">
        <v>36867</v>
      </c>
    </row>
    <row r="17411" spans="1:8">
      <c r="H17411" t="s">
        <v>36868</v>
      </c>
    </row>
    <row r="17412" spans="1:8">
      <c r="H17412" t="s">
        <v>36869</v>
      </c>
    </row>
    <row r="17413" spans="1:8">
      <c r="H17413" t="s">
        <v>36870</v>
      </c>
    </row>
    <row r="17414" spans="1:8">
      <c r="H17414" t="s">
        <v>36871</v>
      </c>
    </row>
    <row r="17415" spans="1:8">
      <c r="H17415" t="s">
        <v>36872</v>
      </c>
    </row>
    <row r="17416" spans="1:8">
      <c r="H17416" t="s">
        <v>36873</v>
      </c>
    </row>
    <row r="17417" spans="1:8">
      <c r="H17417" t="s">
        <v>36874</v>
      </c>
    </row>
    <row r="17418" spans="1:8">
      <c r="H17418" t="s">
        <v>36875</v>
      </c>
    </row>
    <row r="17419" spans="1:8">
      <c r="H17419" t="s">
        <v>36876</v>
      </c>
    </row>
    <row r="17420" spans="1:8">
      <c r="H17420" t="s">
        <v>36877</v>
      </c>
    </row>
    <row r="17421" spans="1:8">
      <c r="H17421" t="s">
        <v>36878</v>
      </c>
    </row>
    <row r="17422" spans="1:8">
      <c r="H17422" t="s">
        <v>36879</v>
      </c>
    </row>
    <row r="17423" spans="1:8">
      <c r="H17423" t="s">
        <v>36880</v>
      </c>
    </row>
    <row r="17424" spans="1:8">
      <c r="H17424" t="s">
        <v>36881</v>
      </c>
    </row>
    <row r="17425" spans="8:8">
      <c r="H17425" t="s">
        <v>36882</v>
      </c>
    </row>
    <row r="17426" spans="8:8">
      <c r="H17426" t="s">
        <v>36883</v>
      </c>
    </row>
    <row r="17427" spans="8:8">
      <c r="H17427" t="s">
        <v>36884</v>
      </c>
    </row>
    <row r="17428" spans="8:8">
      <c r="H17428" t="s">
        <v>36885</v>
      </c>
    </row>
    <row r="17429" spans="8:8">
      <c r="H17429" t="s">
        <v>36886</v>
      </c>
    </row>
    <row r="17430" spans="8:8">
      <c r="H17430" t="s">
        <v>36887</v>
      </c>
    </row>
    <row r="17431" spans="8:8">
      <c r="H17431" t="s">
        <v>36888</v>
      </c>
    </row>
    <row r="17432" spans="8:8">
      <c r="H17432" t="s">
        <v>36889</v>
      </c>
    </row>
    <row r="17433" spans="8:8">
      <c r="H17433" t="s">
        <v>36890</v>
      </c>
    </row>
    <row r="17434" spans="8:8">
      <c r="H17434" t="s">
        <v>36891</v>
      </c>
    </row>
    <row r="17435" spans="8:8">
      <c r="H17435" t="s">
        <v>36892</v>
      </c>
    </row>
    <row r="17436" spans="8:8">
      <c r="H17436" t="s">
        <v>36893</v>
      </c>
    </row>
    <row r="17437" spans="8:8">
      <c r="H17437" t="s">
        <v>36894</v>
      </c>
    </row>
    <row r="17438" spans="8:8">
      <c r="H17438" t="s">
        <v>36895</v>
      </c>
    </row>
    <row r="17439" spans="8:8">
      <c r="H17439" t="s">
        <v>36896</v>
      </c>
    </row>
    <row r="17440" spans="8:8">
      <c r="H17440" t="s">
        <v>36897</v>
      </c>
    </row>
    <row r="17441" spans="1:8">
      <c r="H17441" t="s">
        <v>36898</v>
      </c>
    </row>
    <row r="17442" spans="1:8">
      <c r="H17442" t="s">
        <v>36899</v>
      </c>
    </row>
    <row r="17443" spans="1:8">
      <c r="H17443" t="s">
        <v>36900</v>
      </c>
    </row>
    <row r="17444" spans="1:8">
      <c r="H17444" t="s">
        <v>36901</v>
      </c>
    </row>
    <row r="17445" spans="1:8">
      <c r="H17445" t="s">
        <v>36902</v>
      </c>
    </row>
    <row r="17446" spans="1:8">
      <c r="H17446" t="s">
        <v>36903</v>
      </c>
    </row>
    <row r="17447" spans="1:8">
      <c r="H17447" t="s">
        <v>36904</v>
      </c>
    </row>
    <row r="17448" spans="1:8">
      <c r="H17448" t="s">
        <v>36905</v>
      </c>
    </row>
    <row r="17449" spans="1:8">
      <c r="H17449" t="s">
        <v>36906</v>
      </c>
    </row>
    <row r="17450" spans="1:8">
      <c r="H17450" t="s">
        <v>36907</v>
      </c>
    </row>
    <row r="17451" spans="1:8">
      <c r="H17451" t="s">
        <v>36908</v>
      </c>
    </row>
    <row r="17452" spans="1:8">
      <c r="H17452" t="s">
        <v>36909</v>
      </c>
    </row>
    <row r="17453" spans="1:8">
      <c r="H17453" t="s">
        <v>36910</v>
      </c>
    </row>
    <row r="17454" spans="1:8">
      <c r="H17454" t="s">
        <v>36911</v>
      </c>
    </row>
    <row r="17455" spans="1:8">
      <c r="H17455" t="s">
        <v>36912</v>
      </c>
    </row>
    <row r="17456" spans="1:8">
      <c r="A17456" t="s">
        <v>4080</v>
      </c>
      <c r="B17456">
        <f>HYPERLINK("https://android.googlesource.com/platform/cts/+/177e833a9b25ec90501ee98f062177f2b57f2611", "177e833a9b25ec90501ee98f062177f2b57f2611")</f>
        <v>0</v>
      </c>
      <c r="C17456">
        <f>HYPERLINK("https://android.googlesource.com/platform/cts/+/a0193e8b64626f92c6a36cb0e0e2219fbcce0b4f", "a0193e8b64626f92c6a36cb0e0e2219fbcce0b4f")</f>
        <v>0</v>
      </c>
      <c r="D17456" t="s">
        <v>5409</v>
      </c>
      <c r="E17456" t="s">
        <v>9768</v>
      </c>
      <c r="F17456" t="s">
        <v>13136</v>
      </c>
      <c r="G17456" t="s">
        <v>17293</v>
      </c>
      <c r="H17456" t="s">
        <v>28698</v>
      </c>
    </row>
    <row r="17457" spans="1:8">
      <c r="A17457" t="s">
        <v>4081</v>
      </c>
      <c r="B17457">
        <f>HYPERLINK("https://android.googlesource.com/platform/cts/+/fc53507da74861adec8321847e7902418ff9a553", "fc53507da74861adec8321847e7902418ff9a553")</f>
        <v>0</v>
      </c>
      <c r="C17457">
        <f>HYPERLINK("https://android.googlesource.com/platform/cts/+/372cbf7570b4f701f9b9984d95586130d9de8e1c", "372cbf7570b4f701f9b9984d95586130d9de8e1c")</f>
        <v>0</v>
      </c>
      <c r="D17457" t="s">
        <v>5428</v>
      </c>
      <c r="E17457" t="s">
        <v>9769</v>
      </c>
      <c r="F17457" t="s">
        <v>14604</v>
      </c>
      <c r="G17457" t="s">
        <v>18520</v>
      </c>
      <c r="H17457" t="s">
        <v>36915</v>
      </c>
    </row>
    <row r="17458" spans="1:8">
      <c r="A17458" t="s">
        <v>4082</v>
      </c>
      <c r="B17458">
        <f>HYPERLINK("https://android.googlesource.com/platform/cts/+/d303182399bfc0d15f7687c9664521aacee236b0", "d303182399bfc0d15f7687c9664521aacee236b0")</f>
        <v>0</v>
      </c>
      <c r="C17458">
        <f>HYPERLINK("https://android.googlesource.com/platform/cts/+/2d04aecf20acc2f34db257d18ea37e8e10fe6590", "2d04aecf20acc2f34db257d18ea37e8e10fe6590")</f>
        <v>0</v>
      </c>
      <c r="D17458" t="s">
        <v>5658</v>
      </c>
      <c r="E17458" t="s">
        <v>9770</v>
      </c>
      <c r="F17458" t="s">
        <v>14605</v>
      </c>
      <c r="G17458" t="s">
        <v>18521</v>
      </c>
      <c r="H17458" t="s">
        <v>36918</v>
      </c>
    </row>
    <row r="17459" spans="1:8">
      <c r="H17459" t="s">
        <v>36919</v>
      </c>
    </row>
    <row r="17460" spans="1:8">
      <c r="H17460" t="s">
        <v>36920</v>
      </c>
    </row>
    <row r="17461" spans="1:8">
      <c r="A17461" t="s">
        <v>4084</v>
      </c>
      <c r="B17461">
        <f>HYPERLINK("https://android.googlesource.com/platform/cts/+/27aad09fd59b2d9395c2253b535de24753a801b5", "27aad09fd59b2d9395c2253b535de24753a801b5")</f>
        <v>0</v>
      </c>
      <c r="C17461">
        <f>HYPERLINK("https://android.googlesource.com/platform/cts/+/7f1a976ea7aff647838cd5552f26bce4d624b998", "7f1a976ea7aff647838cd5552f26bce4d624b998")</f>
        <v>0</v>
      </c>
      <c r="D17461" t="s">
        <v>5472</v>
      </c>
      <c r="E17461" t="s">
        <v>9772</v>
      </c>
      <c r="F17461" t="s">
        <v>12743</v>
      </c>
      <c r="G17461" t="s">
        <v>16935</v>
      </c>
      <c r="H17461" t="s">
        <v>36925</v>
      </c>
    </row>
    <row r="17462" spans="1:8">
      <c r="F17462" t="s">
        <v>13229</v>
      </c>
      <c r="G17462" t="s">
        <v>17370</v>
      </c>
      <c r="H17462" t="s">
        <v>36925</v>
      </c>
    </row>
    <row r="17463" spans="1:8">
      <c r="A17463" t="s">
        <v>4091</v>
      </c>
      <c r="B17463">
        <f>HYPERLINK("https://android.googlesource.com/platform/cts/+/dd4802c1ebb0605928c073857b0646d0612fe279", "dd4802c1ebb0605928c073857b0646d0612fe279")</f>
        <v>0</v>
      </c>
      <c r="C17463">
        <f>HYPERLINK("https://android.googlesource.com/platform/cts/+/6aee871b0542de20c263403b79734d4c8167ee86", "6aee871b0542de20c263403b79734d4c8167ee86")</f>
        <v>0</v>
      </c>
      <c r="D17463" t="s">
        <v>5409</v>
      </c>
      <c r="E17463" t="s">
        <v>9779</v>
      </c>
      <c r="F17463" t="s">
        <v>13971</v>
      </c>
      <c r="G17463" t="s">
        <v>17996</v>
      </c>
      <c r="H17463" t="s">
        <v>36935</v>
      </c>
    </row>
    <row r="17464" spans="1:8">
      <c r="F17464" t="s">
        <v>12743</v>
      </c>
      <c r="G17464" t="s">
        <v>16935</v>
      </c>
      <c r="H17464" t="s">
        <v>32976</v>
      </c>
    </row>
    <row r="17465" spans="1:8">
      <c r="F17465" t="s">
        <v>13136</v>
      </c>
      <c r="G17465" t="s">
        <v>17293</v>
      </c>
      <c r="H17465" t="s">
        <v>32976</v>
      </c>
    </row>
    <row r="17466" spans="1:8">
      <c r="A17466" t="s">
        <v>4092</v>
      </c>
      <c r="B17466">
        <f>HYPERLINK("https://android.googlesource.com/platform/cts/+/bfa8cabea09e163e7eb3610147d92b4bc4ebd67e", "bfa8cabea09e163e7eb3610147d92b4bc4ebd67e")</f>
        <v>0</v>
      </c>
      <c r="C17466">
        <f>HYPERLINK("https://android.googlesource.com/platform/cts/+/dd4802c1ebb0605928c073857b0646d0612fe279", "dd4802c1ebb0605928c073857b0646d0612fe279")</f>
        <v>0</v>
      </c>
      <c r="D17466" t="s">
        <v>5409</v>
      </c>
      <c r="E17466" t="s">
        <v>9780</v>
      </c>
      <c r="F17466" t="s">
        <v>13971</v>
      </c>
      <c r="G17466" t="s">
        <v>17996</v>
      </c>
      <c r="H17466" t="s">
        <v>36937</v>
      </c>
    </row>
    <row r="17467" spans="1:8">
      <c r="F17467" t="s">
        <v>12743</v>
      </c>
      <c r="G17467" t="s">
        <v>16935</v>
      </c>
      <c r="H17467" t="s">
        <v>36940</v>
      </c>
    </row>
    <row r="17468" spans="1:8">
      <c r="F17468" t="s">
        <v>13136</v>
      </c>
      <c r="G17468" t="s">
        <v>17293</v>
      </c>
      <c r="H17468" t="s">
        <v>36940</v>
      </c>
    </row>
    <row r="17469" spans="1:8">
      <c r="A17469" t="s">
        <v>4093</v>
      </c>
      <c r="B17469">
        <f>HYPERLINK("https://android.googlesource.com/platform/cts/+/4eb9d1b5d7b5c4cb5841dd49944b5545e8ad1ccf", "4eb9d1b5d7b5c4cb5841dd49944b5545e8ad1ccf")</f>
        <v>0</v>
      </c>
      <c r="C17469">
        <f>HYPERLINK("https://android.googlesource.com/platform/cts/+/bfa8cabea09e163e7eb3610147d92b4bc4ebd67e", "bfa8cabea09e163e7eb3610147d92b4bc4ebd67e")</f>
        <v>0</v>
      </c>
      <c r="D17469" t="s">
        <v>5409</v>
      </c>
      <c r="E17469" t="s">
        <v>9781</v>
      </c>
      <c r="F17469" t="s">
        <v>13971</v>
      </c>
      <c r="G17469" t="s">
        <v>17996</v>
      </c>
      <c r="H17469" t="s">
        <v>36942</v>
      </c>
    </row>
    <row r="17470" spans="1:8">
      <c r="F17470" t="s">
        <v>12743</v>
      </c>
      <c r="G17470" t="s">
        <v>16935</v>
      </c>
      <c r="H17470" t="s">
        <v>36944</v>
      </c>
    </row>
    <row r="17471" spans="1:8">
      <c r="F17471" t="s">
        <v>13136</v>
      </c>
      <c r="G17471" t="s">
        <v>17293</v>
      </c>
      <c r="H17471" t="s">
        <v>36944</v>
      </c>
    </row>
    <row r="17472" spans="1:8">
      <c r="F17472" t="s">
        <v>12745</v>
      </c>
      <c r="G17472" t="s">
        <v>16937</v>
      </c>
      <c r="H17472" t="s">
        <v>36944</v>
      </c>
    </row>
    <row r="17473" spans="1:8">
      <c r="A17473" t="s">
        <v>4099</v>
      </c>
      <c r="B17473">
        <f>HYPERLINK("https://android.googlesource.com/platform/cts/+/e8a1d649357008d9ca0c3ffbe2e287e1f00a6401", "e8a1d649357008d9ca0c3ffbe2e287e1f00a6401")</f>
        <v>0</v>
      </c>
      <c r="C17473">
        <f>HYPERLINK("https://android.googlesource.com/platform/cts/+/224d5d9a67370c56651e9aa00c4ca73f168e3d65", "224d5d9a67370c56651e9aa00c4ca73f168e3d65")</f>
        <v>0</v>
      </c>
      <c r="D17473" t="s">
        <v>5409</v>
      </c>
      <c r="E17473" t="s">
        <v>9785</v>
      </c>
      <c r="F17473" t="s">
        <v>13971</v>
      </c>
      <c r="G17473" t="s">
        <v>17996</v>
      </c>
      <c r="H17473" t="s">
        <v>36947</v>
      </c>
    </row>
    <row r="17474" spans="1:8">
      <c r="H17474" t="s">
        <v>36948</v>
      </c>
    </row>
    <row r="17475" spans="1:8">
      <c r="H17475" t="s">
        <v>34201</v>
      </c>
    </row>
    <row r="17476" spans="1:8">
      <c r="H17476" t="s">
        <v>36949</v>
      </c>
    </row>
    <row r="17477" spans="1:8">
      <c r="F17477" t="s">
        <v>12743</v>
      </c>
      <c r="G17477" t="s">
        <v>16935</v>
      </c>
      <c r="H17477" t="s">
        <v>36957</v>
      </c>
    </row>
    <row r="17478" spans="1:8">
      <c r="H17478" t="s">
        <v>36958</v>
      </c>
    </row>
    <row r="17479" spans="1:8">
      <c r="F17479" t="s">
        <v>13136</v>
      </c>
      <c r="G17479" t="s">
        <v>17293</v>
      </c>
      <c r="H17479" t="s">
        <v>36957</v>
      </c>
    </row>
    <row r="17480" spans="1:8">
      <c r="H17480" t="s">
        <v>36958</v>
      </c>
    </row>
    <row r="17481" spans="1:8">
      <c r="F17481" t="s">
        <v>12745</v>
      </c>
      <c r="G17481" t="s">
        <v>16937</v>
      </c>
      <c r="H17481" t="s">
        <v>36957</v>
      </c>
    </row>
    <row r="17482" spans="1:8">
      <c r="H17482" t="s">
        <v>36958</v>
      </c>
    </row>
    <row r="17483" spans="1:8">
      <c r="A17483" t="s">
        <v>4114</v>
      </c>
      <c r="B17483">
        <f>HYPERLINK("https://android.googlesource.com/platform/cts/+/30381cd9aaa8e3fb8a18e2160c242a1dd6b530e1", "30381cd9aaa8e3fb8a18e2160c242a1dd6b530e1")</f>
        <v>0</v>
      </c>
      <c r="C17483">
        <f>HYPERLINK("https://android.googlesource.com/platform/cts/+/8a46eff2d6e934eebe727f42c66d425870650f34", "8a46eff2d6e934eebe727f42c66d425870650f34")</f>
        <v>0</v>
      </c>
      <c r="D17483" t="s">
        <v>5134</v>
      </c>
      <c r="E17483" t="s">
        <v>9796</v>
      </c>
      <c r="F17483" t="s">
        <v>13229</v>
      </c>
      <c r="G17483" t="s">
        <v>17370</v>
      </c>
      <c r="H17483" t="s">
        <v>25795</v>
      </c>
    </row>
    <row r="17484" spans="1:8">
      <c r="A17484" t="s">
        <v>4115</v>
      </c>
      <c r="B17484">
        <f>HYPERLINK("https://android.googlesource.com/platform/cts/+/4e9be5a06fe5c6b92716f04b0bbb3bd82850d018", "4e9be5a06fe5c6b92716f04b0bbb3bd82850d018")</f>
        <v>0</v>
      </c>
      <c r="C17484">
        <f>HYPERLINK("https://android.googlesource.com/platform/cts/+/5357d91deeb60d0891f7a6a0011214d7edf30a76", "5357d91deeb60d0891f7a6a0011214d7edf30a76")</f>
        <v>0</v>
      </c>
      <c r="D17484" t="s">
        <v>5191</v>
      </c>
      <c r="E17484" t="s">
        <v>9797</v>
      </c>
      <c r="F17484" t="s">
        <v>14610</v>
      </c>
      <c r="G17484" t="s">
        <v>18524</v>
      </c>
      <c r="H17484" t="s">
        <v>37004</v>
      </c>
    </row>
    <row r="17485" spans="1:8">
      <c r="F17485" t="s">
        <v>12619</v>
      </c>
      <c r="G17485" t="s">
        <v>16829</v>
      </c>
      <c r="H17485" t="s">
        <v>27000</v>
      </c>
    </row>
    <row r="17486" spans="1:8">
      <c r="A17486" t="s">
        <v>4118</v>
      </c>
      <c r="B17486">
        <f>HYPERLINK("https://android.googlesource.com/platform/cts/+/641e7af30ebe486915a2bfe2c2f5016712e92833", "641e7af30ebe486915a2bfe2c2f5016712e92833")</f>
        <v>0</v>
      </c>
      <c r="C17486">
        <f>HYPERLINK("https://android.googlesource.com/platform/cts/+/add5ea10adafbbbd40efb51708a3a85491729a49", "add5ea10adafbbbd40efb51708a3a85491729a49")</f>
        <v>0</v>
      </c>
      <c r="D17486" t="s">
        <v>5662</v>
      </c>
      <c r="E17486" t="s">
        <v>9800</v>
      </c>
      <c r="F17486" t="s">
        <v>14613</v>
      </c>
      <c r="G17486" t="s">
        <v>18453</v>
      </c>
      <c r="H17486" t="s">
        <v>37008</v>
      </c>
    </row>
    <row r="17487" spans="1:8">
      <c r="F17487" t="s">
        <v>14527</v>
      </c>
      <c r="G17487" t="s">
        <v>18446</v>
      </c>
      <c r="H17487" t="s">
        <v>37009</v>
      </c>
    </row>
    <row r="17488" spans="1:8">
      <c r="A17488" t="s">
        <v>4128</v>
      </c>
      <c r="B17488">
        <f>HYPERLINK("https://android.googlesource.com/platform/cts/+/fdc0962018be0098285695cb4b756011e904417d", "fdc0962018be0098285695cb4b756011e904417d")</f>
        <v>0</v>
      </c>
      <c r="C17488">
        <f>HYPERLINK("https://android.googlesource.com/platform/cts/+/ebda9875c3b7c5c9c4ea277c3b43e4c1d4a7b58a", "ebda9875c3b7c5c9c4ea277c3b43e4c1d4a7b58a")</f>
        <v>0</v>
      </c>
      <c r="D17488" t="s">
        <v>5663</v>
      </c>
      <c r="E17488" t="s">
        <v>9809</v>
      </c>
      <c r="F17488" t="s">
        <v>14615</v>
      </c>
      <c r="G17488" t="s">
        <v>18527</v>
      </c>
      <c r="H17488" t="s">
        <v>37016</v>
      </c>
    </row>
    <row r="17489" spans="1:8">
      <c r="F17489" t="s">
        <v>14616</v>
      </c>
      <c r="G17489" t="s">
        <v>18528</v>
      </c>
      <c r="H17489" t="s">
        <v>37016</v>
      </c>
    </row>
    <row r="17490" spans="1:8">
      <c r="A17490" t="s">
        <v>4131</v>
      </c>
      <c r="B17490">
        <f>HYPERLINK("https://android.googlesource.com/platform/cts/+/06a84310f16c0aeaf323b1b2cbfb4c4e233c06ba", "06a84310f16c0aeaf323b1b2cbfb4c4e233c06ba")</f>
        <v>0</v>
      </c>
      <c r="C17490">
        <f>HYPERLINK("https://android.googlesource.com/platform/cts/+/d4b71441b44ccb6b687c1cf7b1bada503b60ad6b", "d4b71441b44ccb6b687c1cf7b1bada503b60ad6b")</f>
        <v>0</v>
      </c>
      <c r="D17490" t="s">
        <v>5409</v>
      </c>
      <c r="E17490" t="s">
        <v>9812</v>
      </c>
      <c r="F17490" t="s">
        <v>14618</v>
      </c>
      <c r="G17490" t="s">
        <v>18530</v>
      </c>
      <c r="H17490" t="s">
        <v>32598</v>
      </c>
    </row>
    <row r="17491" spans="1:8">
      <c r="H17491" t="s">
        <v>37022</v>
      </c>
    </row>
    <row r="17492" spans="1:8">
      <c r="H17492" t="s">
        <v>37023</v>
      </c>
    </row>
    <row r="17493" spans="1:8">
      <c r="H17493" t="s">
        <v>37024</v>
      </c>
    </row>
    <row r="17494" spans="1:8">
      <c r="F17494" t="s">
        <v>14619</v>
      </c>
      <c r="G17494" t="s">
        <v>18531</v>
      </c>
      <c r="H17494" t="s">
        <v>32598</v>
      </c>
    </row>
    <row r="17495" spans="1:8">
      <c r="H17495" t="s">
        <v>32599</v>
      </c>
    </row>
    <row r="17496" spans="1:8">
      <c r="H17496" t="s">
        <v>32600</v>
      </c>
    </row>
    <row r="17497" spans="1:8">
      <c r="H17497" t="s">
        <v>32601</v>
      </c>
    </row>
    <row r="17498" spans="1:8">
      <c r="A17498" t="s">
        <v>4132</v>
      </c>
      <c r="B17498">
        <f>HYPERLINK("https://android.googlesource.com/platform/cts/+/9adfa2d93b38785d0433065779cd7c4965fcc005", "9adfa2d93b38785d0433065779cd7c4965fcc005")</f>
        <v>0</v>
      </c>
      <c r="C17498">
        <f>HYPERLINK("https://android.googlesource.com/platform/cts/+/0ee905ad4b56b49066ae8e8596de2ecaa8b64072", "0ee905ad4b56b49066ae8e8596de2ecaa8b64072")</f>
        <v>0</v>
      </c>
      <c r="D17498" t="s">
        <v>5599</v>
      </c>
      <c r="E17498" t="s">
        <v>9813</v>
      </c>
      <c r="F17498" t="s">
        <v>14620</v>
      </c>
      <c r="G17498" t="s">
        <v>18532</v>
      </c>
      <c r="H17498" t="s">
        <v>37025</v>
      </c>
    </row>
    <row r="17499" spans="1:8">
      <c r="H17499" t="s">
        <v>37026</v>
      </c>
    </row>
    <row r="17500" spans="1:8">
      <c r="H17500" t="s">
        <v>37027</v>
      </c>
    </row>
    <row r="17501" spans="1:8">
      <c r="H17501" t="s">
        <v>37028</v>
      </c>
    </row>
    <row r="17502" spans="1:8">
      <c r="A17502" t="s">
        <v>4133</v>
      </c>
      <c r="B17502">
        <f>HYPERLINK("https://android.googlesource.com/platform/cts/+/7c5d2bc90886f36f7941698d2a4c766af1f07792", "7c5d2bc90886f36f7941698d2a4c766af1f07792")</f>
        <v>0</v>
      </c>
      <c r="C17502">
        <f>HYPERLINK("https://android.googlesource.com/platform/cts/+/dbedeae15ba8e966eb20bfbc5c0c0fb901567891", "dbedeae15ba8e966eb20bfbc5c0c0fb901567891")</f>
        <v>0</v>
      </c>
      <c r="D17502" t="s">
        <v>5313</v>
      </c>
      <c r="E17502" t="s">
        <v>9814</v>
      </c>
      <c r="F17502" t="s">
        <v>14165</v>
      </c>
      <c r="G17502" t="s">
        <v>17361</v>
      </c>
      <c r="H17502" t="s">
        <v>37029</v>
      </c>
    </row>
    <row r="17503" spans="1:8">
      <c r="A17503" t="s">
        <v>4134</v>
      </c>
      <c r="B17503">
        <f>HYPERLINK("https://android.googlesource.com/platform/cts/+/4ab8024b3c4dc967f3ac9c0addc917a76b19a13e", "4ab8024b3c4dc967f3ac9c0addc917a76b19a13e")</f>
        <v>0</v>
      </c>
      <c r="C17503">
        <f>HYPERLINK("https://android.googlesource.com/platform/cts/+/dbc6118981a8362b7cc671f4707a55a2f11978ec", "dbc6118981a8362b7cc671f4707a55a2f11978ec")</f>
        <v>0</v>
      </c>
      <c r="D17503" t="s">
        <v>5660</v>
      </c>
      <c r="E17503" t="s">
        <v>9815</v>
      </c>
      <c r="F17503" t="s">
        <v>13047</v>
      </c>
      <c r="G17503" t="s">
        <v>17211</v>
      </c>
      <c r="H17503" t="s">
        <v>37030</v>
      </c>
    </row>
    <row r="17504" spans="1:8">
      <c r="A17504" t="s">
        <v>4143</v>
      </c>
      <c r="B17504">
        <f>HYPERLINK("https://android.googlesource.com/platform/cts/+/4d6b858e0f9a908d5503539d7f8093cce8272e05", "4d6b858e0f9a908d5503539d7f8093cce8272e05")</f>
        <v>0</v>
      </c>
      <c r="C17504">
        <f>HYPERLINK("https://android.googlesource.com/platform/cts/+/785f64789bf862a64d0ccab46a79e809e7ea5515", "785f64789bf862a64d0ccab46a79e809e7ea5515")</f>
        <v>0</v>
      </c>
      <c r="D17504" t="s">
        <v>5455</v>
      </c>
      <c r="E17504" t="s">
        <v>9822</v>
      </c>
      <c r="F17504" t="s">
        <v>14621</v>
      </c>
      <c r="G17504" t="s">
        <v>18534</v>
      </c>
      <c r="H17504" t="s">
        <v>37071</v>
      </c>
    </row>
    <row r="17505" spans="1:8">
      <c r="A17505" t="s">
        <v>4148</v>
      </c>
      <c r="B17505">
        <f>HYPERLINK("https://android.googlesource.com/platform/cts/+/5675d5b40e6688b093a2d05afb5daab2a28a388e", "5675d5b40e6688b093a2d05afb5daab2a28a388e")</f>
        <v>0</v>
      </c>
      <c r="C17505">
        <f>HYPERLINK("https://android.googlesource.com/platform/cts/+/27cdd58435b1aaf80186e02dd280d4a373644916", "27cdd58435b1aaf80186e02dd280d4a373644916")</f>
        <v>0</v>
      </c>
      <c r="D17505" t="s">
        <v>5409</v>
      </c>
      <c r="E17505" t="s">
        <v>9827</v>
      </c>
      <c r="F17505" t="s">
        <v>14622</v>
      </c>
      <c r="G17505" t="s">
        <v>16942</v>
      </c>
      <c r="H17505" t="s">
        <v>37073</v>
      </c>
    </row>
    <row r="17506" spans="1:8">
      <c r="H17506" t="s">
        <v>37074</v>
      </c>
    </row>
    <row r="17507" spans="1:8">
      <c r="A17507" t="s">
        <v>4151</v>
      </c>
      <c r="B17507">
        <f>HYPERLINK("https://android.googlesource.com/platform/cts/+/b68a484e6fa0b7992809ba583a0f5fe915c3b557", "b68a484e6fa0b7992809ba583a0f5fe915c3b557")</f>
        <v>0</v>
      </c>
      <c r="C17507">
        <f>HYPERLINK("https://android.googlesource.com/platform/cts/+/226041e349bd8b9bc6fd64e14ae1df7eeee8dff3", "226041e349bd8b9bc6fd64e14ae1df7eeee8dff3")</f>
        <v>0</v>
      </c>
      <c r="D17507" t="s">
        <v>5288</v>
      </c>
      <c r="E17507" t="s">
        <v>9830</v>
      </c>
      <c r="F17507" t="s">
        <v>12743</v>
      </c>
      <c r="G17507" t="s">
        <v>16935</v>
      </c>
      <c r="H17507" t="s">
        <v>37090</v>
      </c>
    </row>
    <row r="17508" spans="1:8">
      <c r="A17508" t="s">
        <v>4156</v>
      </c>
      <c r="B17508">
        <f>HYPERLINK("https://android.googlesource.com/platform/cts/+/f8b0e6ddd4a7e14ac23511da768d5930b868d6ba", "f8b0e6ddd4a7e14ac23511da768d5930b868d6ba")</f>
        <v>0</v>
      </c>
      <c r="C17508">
        <f>HYPERLINK("https://android.googlesource.com/platform/cts/+/1712c1bf1df20f4d3bed44ef98c2c69cbb56471e", "1712c1bf1df20f4d3bed44ef98c2c69cbb56471e")</f>
        <v>0</v>
      </c>
      <c r="D17508" t="s">
        <v>5265</v>
      </c>
      <c r="E17508" t="s">
        <v>9835</v>
      </c>
      <c r="F17508" t="s">
        <v>14626</v>
      </c>
      <c r="G17508" t="s">
        <v>18537</v>
      </c>
      <c r="H17508" t="s">
        <v>37096</v>
      </c>
    </row>
    <row r="17509" spans="1:8">
      <c r="H17509" t="s">
        <v>37097</v>
      </c>
    </row>
    <row r="17510" spans="1:8">
      <c r="A17510" t="s">
        <v>4157</v>
      </c>
      <c r="B17510">
        <f>HYPERLINK("https://android.googlesource.com/platform/cts/+/07f3063588719ff79a300753401b2f4a2b6e5b96", "07f3063588719ff79a300753401b2f4a2b6e5b96")</f>
        <v>0</v>
      </c>
      <c r="C17510">
        <f>HYPERLINK("https://android.googlesource.com/platform/cts/+/43fa93bdf1f6e22bf9dcaeca2a14b185f32a8c3a", "43fa93bdf1f6e22bf9dcaeca2a14b185f32a8c3a")</f>
        <v>0</v>
      </c>
      <c r="D17510" t="s">
        <v>5642</v>
      </c>
      <c r="E17510" t="s">
        <v>9836</v>
      </c>
      <c r="F17510" t="s">
        <v>14627</v>
      </c>
      <c r="G17510" t="s">
        <v>18538</v>
      </c>
      <c r="H17510" t="s">
        <v>37098</v>
      </c>
    </row>
    <row r="17511" spans="1:8">
      <c r="A17511" t="s">
        <v>4160</v>
      </c>
      <c r="B17511">
        <f>HYPERLINK("https://android.googlesource.com/platform/cts/+/aafedb0bd34b07854d8a84e9a3d35478cbf920f9", "aafedb0bd34b07854d8a84e9a3d35478cbf920f9")</f>
        <v>0</v>
      </c>
      <c r="C17511">
        <f>HYPERLINK("https://android.googlesource.com/platform/cts/+/0be33f80cc418d8ae84d136c44a5d4146f03d7d8", "0be33f80cc418d8ae84d136c44a5d4146f03d7d8")</f>
        <v>0</v>
      </c>
      <c r="D17511" t="s">
        <v>5258</v>
      </c>
      <c r="E17511" t="s">
        <v>9839</v>
      </c>
      <c r="F17511" t="s">
        <v>14080</v>
      </c>
      <c r="G17511" t="s">
        <v>18077</v>
      </c>
      <c r="H17511" t="s">
        <v>37112</v>
      </c>
    </row>
    <row r="17512" spans="1:8">
      <c r="A17512" t="s">
        <v>4162</v>
      </c>
      <c r="B17512">
        <f>HYPERLINK("https://android.googlesource.com/platform/cts/+/ec2e9aaa0957ec773c2d37008ba2af98313d4d58", "ec2e9aaa0957ec773c2d37008ba2af98313d4d58")</f>
        <v>0</v>
      </c>
      <c r="C17512">
        <f>HYPERLINK("https://android.googlesource.com/platform/cts/+/5cd84dbaef140091606678509c7824d6734012b8", "5cd84dbaef140091606678509c7824d6734012b8")</f>
        <v>0</v>
      </c>
      <c r="D17512" t="s">
        <v>5363</v>
      </c>
      <c r="E17512" t="s">
        <v>9841</v>
      </c>
      <c r="F17512" t="s">
        <v>14631</v>
      </c>
      <c r="G17512" t="s">
        <v>17876</v>
      </c>
      <c r="H17512" t="s">
        <v>18836</v>
      </c>
    </row>
    <row r="17513" spans="1:8">
      <c r="H17513" t="s">
        <v>19013</v>
      </c>
    </row>
    <row r="17514" spans="1:8">
      <c r="H17514" t="s">
        <v>37134</v>
      </c>
    </row>
    <row r="17515" spans="1:8">
      <c r="H17515" t="s">
        <v>37135</v>
      </c>
    </row>
    <row r="17516" spans="1:8">
      <c r="H17516" t="s">
        <v>37136</v>
      </c>
    </row>
    <row r="17517" spans="1:8">
      <c r="H17517" t="s">
        <v>37137</v>
      </c>
    </row>
    <row r="17518" spans="1:8">
      <c r="H17518" t="s">
        <v>37138</v>
      </c>
    </row>
    <row r="17519" spans="1:8">
      <c r="H17519" t="s">
        <v>37139</v>
      </c>
    </row>
    <row r="17520" spans="1:8">
      <c r="H17520" t="s">
        <v>37140</v>
      </c>
    </row>
    <row r="17521" spans="1:8">
      <c r="H17521" t="s">
        <v>37141</v>
      </c>
    </row>
    <row r="17522" spans="1:8">
      <c r="H17522" t="s">
        <v>37142</v>
      </c>
    </row>
    <row r="17523" spans="1:8">
      <c r="H17523" t="s">
        <v>37143</v>
      </c>
    </row>
    <row r="17524" spans="1:8">
      <c r="H17524" t="s">
        <v>37144</v>
      </c>
    </row>
    <row r="17525" spans="1:8">
      <c r="H17525" t="s">
        <v>37145</v>
      </c>
    </row>
    <row r="17526" spans="1:8">
      <c r="H17526" t="s">
        <v>37146</v>
      </c>
    </row>
    <row r="17527" spans="1:8">
      <c r="H17527" t="s">
        <v>31753</v>
      </c>
    </row>
    <row r="17528" spans="1:8">
      <c r="H17528" t="s">
        <v>37147</v>
      </c>
    </row>
    <row r="17529" spans="1:8">
      <c r="H17529" t="s">
        <v>19010</v>
      </c>
    </row>
    <row r="17530" spans="1:8">
      <c r="A17530" t="s">
        <v>4164</v>
      </c>
      <c r="B17530">
        <f>HYPERLINK("https://android.googlesource.com/platform/cts/+/5d39eece835c7b3f8afa474807b88b2ce0c86136", "5d39eece835c7b3f8afa474807b88b2ce0c86136")</f>
        <v>0</v>
      </c>
      <c r="C17530">
        <f>HYPERLINK("https://android.googlesource.com/platform/cts/+/01b5ce4de9ac67a8770f125e3b4f3fc601e090fa", "01b5ce4de9ac67a8770f125e3b4f3fc601e090fa")</f>
        <v>0</v>
      </c>
      <c r="D17530" t="s">
        <v>5460</v>
      </c>
      <c r="E17530" t="s">
        <v>9843</v>
      </c>
      <c r="F17530" t="s">
        <v>14362</v>
      </c>
      <c r="G17530" t="s">
        <v>18309</v>
      </c>
      <c r="H17530" t="s">
        <v>37152</v>
      </c>
    </row>
    <row r="17531" spans="1:8">
      <c r="H17531" t="s">
        <v>37153</v>
      </c>
    </row>
    <row r="17532" spans="1:8">
      <c r="A17532" t="s">
        <v>4167</v>
      </c>
      <c r="B17532">
        <f>HYPERLINK("https://android.googlesource.com/platform/cts/+/3d2df9c448bea6fd762f047d9e86a5e32d2ee1c6", "3d2df9c448bea6fd762f047d9e86a5e32d2ee1c6")</f>
        <v>0</v>
      </c>
      <c r="C17532">
        <f>HYPERLINK("https://android.googlesource.com/platform/cts/+/0a911208cd0d0d1c6539d2fbcbe4bedea63a32e9", "0a911208cd0d0d1c6539d2fbcbe4bedea63a32e9")</f>
        <v>0</v>
      </c>
      <c r="D17532" t="s">
        <v>5160</v>
      </c>
      <c r="E17532" t="s">
        <v>9845</v>
      </c>
      <c r="F17532" t="s">
        <v>14632</v>
      </c>
      <c r="G17532" t="s">
        <v>18542</v>
      </c>
      <c r="H17532" t="s">
        <v>37156</v>
      </c>
    </row>
    <row r="17533" spans="1:8">
      <c r="A17533" t="s">
        <v>4173</v>
      </c>
      <c r="B17533">
        <f>HYPERLINK("https://android.googlesource.com/platform/cts/+/58456bfeea410d2dcc44e9bdf96e0645b54d35fc", "58456bfeea410d2dcc44e9bdf96e0645b54d35fc")</f>
        <v>0</v>
      </c>
      <c r="C17533">
        <f>HYPERLINK("https://android.googlesource.com/platform/cts/+/5cd870fa497e364429757b1cc14fdc8f288ed83d", "5cd870fa497e364429757b1cc14fdc8f288ed83d")</f>
        <v>0</v>
      </c>
      <c r="D17533" t="s">
        <v>5353</v>
      </c>
      <c r="E17533" t="s">
        <v>9851</v>
      </c>
      <c r="F17533" t="s">
        <v>14633</v>
      </c>
      <c r="G17533" t="s">
        <v>18543</v>
      </c>
      <c r="H17533" t="s">
        <v>33071</v>
      </c>
    </row>
    <row r="17534" spans="1:8">
      <c r="A17534" t="s">
        <v>4176</v>
      </c>
      <c r="B17534">
        <f>HYPERLINK("https://android.googlesource.com/platform/cts/+/6c7a7c6f6199628b1d95b8789fb234bf4b1b319d", "6c7a7c6f6199628b1d95b8789fb234bf4b1b319d")</f>
        <v>0</v>
      </c>
      <c r="C17534">
        <f>HYPERLINK("https://android.googlesource.com/platform/cts/+/692d84644c93c20ba17cf97461fc13195bc4cfd9", "692d84644c93c20ba17cf97461fc13195bc4cfd9")</f>
        <v>0</v>
      </c>
      <c r="D17534" t="s">
        <v>5288</v>
      </c>
      <c r="E17534" t="s">
        <v>9854</v>
      </c>
      <c r="F17534" t="s">
        <v>12629</v>
      </c>
      <c r="G17534" t="s">
        <v>16838</v>
      </c>
      <c r="H17534" t="s">
        <v>37171</v>
      </c>
    </row>
    <row r="17535" spans="1:8">
      <c r="F17535" t="s">
        <v>12768</v>
      </c>
      <c r="G17535" t="s">
        <v>15710</v>
      </c>
      <c r="H17535" t="s">
        <v>37172</v>
      </c>
    </row>
    <row r="17536" spans="1:8">
      <c r="A17536" t="s">
        <v>4178</v>
      </c>
      <c r="B17536">
        <f>HYPERLINK("https://android.googlesource.com/platform/cts/+/34b6954075b3d1f4486f031ad82bbb9972638903", "34b6954075b3d1f4486f031ad82bbb9972638903")</f>
        <v>0</v>
      </c>
      <c r="C17536">
        <f>HYPERLINK("https://android.googlesource.com/platform/cts/+/9a84d939ebc0533f9ee1ef49d164382e3408566f", "9a84d939ebc0533f9ee1ef49d164382e3408566f")</f>
        <v>0</v>
      </c>
      <c r="D17536" t="s">
        <v>5649</v>
      </c>
      <c r="E17536" t="s">
        <v>9856</v>
      </c>
      <c r="F17536" t="s">
        <v>12629</v>
      </c>
      <c r="G17536" t="s">
        <v>16838</v>
      </c>
      <c r="H17536" t="s">
        <v>37175</v>
      </c>
    </row>
    <row r="17537" spans="1:8">
      <c r="H17537" t="s">
        <v>37176</v>
      </c>
    </row>
    <row r="17538" spans="1:8">
      <c r="A17538" t="s">
        <v>4179</v>
      </c>
      <c r="B17538">
        <f>HYPERLINK("https://android.googlesource.com/platform/cts/+/333d93e6992584bc81f43c4ce1dcb338244abdff", "333d93e6992584bc81f43c4ce1dcb338244abdff")</f>
        <v>0</v>
      </c>
      <c r="C17538">
        <f>HYPERLINK("https://android.googlesource.com/platform/cts/+/692d84644c93c20ba17cf97461fc13195bc4cfd9", "692d84644c93c20ba17cf97461fc13195bc4cfd9")</f>
        <v>0</v>
      </c>
      <c r="D17538" t="s">
        <v>5189</v>
      </c>
      <c r="E17538" t="s">
        <v>9857</v>
      </c>
      <c r="F17538" t="s">
        <v>14636</v>
      </c>
      <c r="G17538" t="s">
        <v>18546</v>
      </c>
      <c r="H17538" t="s">
        <v>37177</v>
      </c>
    </row>
    <row r="17539" spans="1:8">
      <c r="F17539" t="s">
        <v>14249</v>
      </c>
      <c r="G17539" t="s">
        <v>18214</v>
      </c>
      <c r="H17539" t="s">
        <v>37178</v>
      </c>
    </row>
    <row r="17540" spans="1:8">
      <c r="A17540" t="s">
        <v>4180</v>
      </c>
      <c r="B17540">
        <f>HYPERLINK("https://android.googlesource.com/platform/cts/+/bb0aa86013029d702e36ca359368fc22d0902a35", "bb0aa86013029d702e36ca359368fc22d0902a35")</f>
        <v>0</v>
      </c>
      <c r="C17540">
        <f>HYPERLINK("https://android.googlesource.com/platform/cts/+/132bc0d31ab56ca63a9fba2049885396bcb3e25e", "132bc0d31ab56ca63a9fba2049885396bcb3e25e")</f>
        <v>0</v>
      </c>
      <c r="D17540" t="s">
        <v>5472</v>
      </c>
      <c r="E17540" t="s">
        <v>9858</v>
      </c>
      <c r="F17540" t="s">
        <v>12743</v>
      </c>
      <c r="G17540" t="s">
        <v>16935</v>
      </c>
      <c r="H17540" t="s">
        <v>29575</v>
      </c>
    </row>
    <row r="17541" spans="1:8">
      <c r="F17541" t="s">
        <v>13229</v>
      </c>
      <c r="G17541" t="s">
        <v>17370</v>
      </c>
      <c r="H17541" t="s">
        <v>29575</v>
      </c>
    </row>
    <row r="17542" spans="1:8">
      <c r="F17542" t="s">
        <v>13136</v>
      </c>
      <c r="G17542" t="s">
        <v>17293</v>
      </c>
      <c r="H17542" t="s">
        <v>29575</v>
      </c>
    </row>
    <row r="17543" spans="1:8">
      <c r="A17543" t="s">
        <v>4181</v>
      </c>
      <c r="B17543">
        <f>HYPERLINK("https://android.googlesource.com/platform/cts/+/a63c7ddc934b566430c6054099aae0abaf8f47fb", "a63c7ddc934b566430c6054099aae0abaf8f47fb")</f>
        <v>0</v>
      </c>
      <c r="C17543">
        <f>HYPERLINK("https://android.googlesource.com/platform/cts/+/724a9cf12daf83c43f17a8a1a1b4ce65113adf58", "724a9cf12daf83c43f17a8a1a1b4ce65113adf58")</f>
        <v>0</v>
      </c>
      <c r="D17543" t="s">
        <v>5472</v>
      </c>
      <c r="E17543" t="s">
        <v>9859</v>
      </c>
      <c r="F17543" t="s">
        <v>12629</v>
      </c>
      <c r="G17543" t="s">
        <v>16838</v>
      </c>
      <c r="H17543" t="s">
        <v>37187</v>
      </c>
    </row>
    <row r="17544" spans="1:8">
      <c r="A17544" t="s">
        <v>4183</v>
      </c>
      <c r="B17544">
        <f>HYPERLINK("https://android.googlesource.com/platform/cts/+/f3e93d9f4eedff735ad6b8c576c33bf858528d10", "f3e93d9f4eedff735ad6b8c576c33bf858528d10")</f>
        <v>0</v>
      </c>
      <c r="C17544">
        <f>HYPERLINK("https://android.googlesource.com/platform/cts/+/b078cd136995ee5288808165a590fd60979c46a2", "b078cd136995ee5288808165a590fd60979c46a2")</f>
        <v>0</v>
      </c>
      <c r="D17544" t="s">
        <v>5649</v>
      </c>
      <c r="E17544" t="s">
        <v>9861</v>
      </c>
      <c r="F17544" t="s">
        <v>12629</v>
      </c>
      <c r="G17544" t="s">
        <v>16838</v>
      </c>
      <c r="H17544" t="s">
        <v>37188</v>
      </c>
    </row>
    <row r="17545" spans="1:8">
      <c r="H17545" t="s">
        <v>37189</v>
      </c>
    </row>
    <row r="17546" spans="1:8">
      <c r="A17546" t="s">
        <v>4185</v>
      </c>
      <c r="B17546">
        <f>HYPERLINK("https://android.googlesource.com/platform/cts/+/d7e31245820ee86f49afa885098d7ab422201a1f", "d7e31245820ee86f49afa885098d7ab422201a1f")</f>
        <v>0</v>
      </c>
      <c r="C17546">
        <f>HYPERLINK("https://android.googlesource.com/platform/cts/+/692d84644c93c20ba17cf97461fc13195bc4cfd9", "692d84644c93c20ba17cf97461fc13195bc4cfd9")</f>
        <v>0</v>
      </c>
      <c r="D17546" t="s">
        <v>5663</v>
      </c>
      <c r="E17546" t="s">
        <v>9863</v>
      </c>
      <c r="F17546" t="s">
        <v>12743</v>
      </c>
      <c r="G17546" t="s">
        <v>16935</v>
      </c>
      <c r="H17546" t="s">
        <v>25800</v>
      </c>
    </row>
    <row r="17547" spans="1:8">
      <c r="F17547" t="s">
        <v>13136</v>
      </c>
      <c r="G17547" t="s">
        <v>17293</v>
      </c>
      <c r="H17547" t="s">
        <v>26248</v>
      </c>
    </row>
    <row r="17548" spans="1:8">
      <c r="A17548" t="s">
        <v>4186</v>
      </c>
      <c r="B17548">
        <f>HYPERLINK("https://android.googlesource.com/platform/cts/+/4e07b5c3f7685350445cdfb00ae282b3f21839af", "4e07b5c3f7685350445cdfb00ae282b3f21839af")</f>
        <v>0</v>
      </c>
      <c r="C17548">
        <f>HYPERLINK("https://android.googlesource.com/platform/cts/+/ccb3ed48d3083d615f4d1ec1d9a5771a0e45bf84", "ccb3ed48d3083d615f4d1ec1d9a5771a0e45bf84")</f>
        <v>0</v>
      </c>
      <c r="D17548" t="s">
        <v>5108</v>
      </c>
      <c r="E17548" t="s">
        <v>9864</v>
      </c>
      <c r="F17548" t="s">
        <v>12743</v>
      </c>
      <c r="G17548" t="s">
        <v>16935</v>
      </c>
      <c r="H17548" t="s">
        <v>37191</v>
      </c>
    </row>
    <row r="17549" spans="1:8">
      <c r="H17549" t="s">
        <v>37192</v>
      </c>
    </row>
    <row r="17550" spans="1:8">
      <c r="H17550" t="s">
        <v>37193</v>
      </c>
    </row>
    <row r="17551" spans="1:8">
      <c r="F17551" t="s">
        <v>14637</v>
      </c>
      <c r="G17551" t="s">
        <v>18547</v>
      </c>
      <c r="H17551" t="s">
        <v>37195</v>
      </c>
    </row>
    <row r="17552" spans="1:8">
      <c r="A17552" t="s">
        <v>4188</v>
      </c>
      <c r="B17552">
        <f>HYPERLINK("https://android.googlesource.com/platform/cts/+/a3570f7505395d5be9f9b4177396ff4118614026", "a3570f7505395d5be9f9b4177396ff4118614026")</f>
        <v>0</v>
      </c>
      <c r="C17552">
        <f>HYPERLINK("https://android.googlesource.com/platform/cts/+/6c7a7c6f6199628b1d95b8789fb234bf4b1b319d", "6c7a7c6f6199628b1d95b8789fb234bf4b1b319d")</f>
        <v>0</v>
      </c>
      <c r="D17552" t="s">
        <v>5288</v>
      </c>
      <c r="E17552" t="s">
        <v>9866</v>
      </c>
      <c r="F17552" t="s">
        <v>14638</v>
      </c>
      <c r="G17552" t="s">
        <v>17583</v>
      </c>
      <c r="H17552" t="s">
        <v>26176</v>
      </c>
    </row>
    <row r="17553" spans="1:8">
      <c r="H17553" t="s">
        <v>29900</v>
      </c>
    </row>
    <row r="17554" spans="1:8">
      <c r="H17554" t="s">
        <v>37197</v>
      </c>
    </row>
    <row r="17555" spans="1:8">
      <c r="H17555" t="s">
        <v>37198</v>
      </c>
    </row>
    <row r="17556" spans="1:8">
      <c r="F17556" t="s">
        <v>12743</v>
      </c>
      <c r="G17556" t="s">
        <v>16935</v>
      </c>
      <c r="H17556" t="s">
        <v>37199</v>
      </c>
    </row>
    <row r="17557" spans="1:8">
      <c r="A17557" t="s">
        <v>4190</v>
      </c>
      <c r="B17557">
        <f>HYPERLINK("https://android.googlesource.com/platform/cts/+/5bdafc5dd23e9793aaed1a56d1806eb0205408a3", "5bdafc5dd23e9793aaed1a56d1806eb0205408a3")</f>
        <v>0</v>
      </c>
      <c r="C17557">
        <f>HYPERLINK("https://android.googlesource.com/platform/cts/+/ee6f4d3e44916542555311681c6716c8d1887550", "ee6f4d3e44916542555311681c6716c8d1887550")</f>
        <v>0</v>
      </c>
      <c r="D17557" t="s">
        <v>5649</v>
      </c>
      <c r="E17557" t="s">
        <v>9868</v>
      </c>
      <c r="F17557" t="s">
        <v>12768</v>
      </c>
      <c r="G17557" t="s">
        <v>15710</v>
      </c>
      <c r="H17557" t="s">
        <v>37200</v>
      </c>
    </row>
    <row r="17558" spans="1:8">
      <c r="H17558" t="s">
        <v>37201</v>
      </c>
    </row>
    <row r="17559" spans="1:8">
      <c r="A17559" t="s">
        <v>4192</v>
      </c>
      <c r="B17559">
        <f>HYPERLINK("https://android.googlesource.com/platform/cts/+/e99f8553bce8be74bd22516725ebb72c379e6c65", "e99f8553bce8be74bd22516725ebb72c379e6c65")</f>
        <v>0</v>
      </c>
      <c r="C17559">
        <f>HYPERLINK("https://android.googlesource.com/platform/cts/+/369712cd45cb8e0ef971df3e8a6fe352aefe5365", "369712cd45cb8e0ef971df3e8a6fe352aefe5365")</f>
        <v>0</v>
      </c>
      <c r="D17559" t="s">
        <v>5189</v>
      </c>
      <c r="E17559" t="s">
        <v>9870</v>
      </c>
      <c r="F17559" t="s">
        <v>14636</v>
      </c>
      <c r="G17559" t="s">
        <v>18546</v>
      </c>
      <c r="H17559" t="s">
        <v>19759</v>
      </c>
    </row>
    <row r="17560" spans="1:8">
      <c r="H17560" t="s">
        <v>37202</v>
      </c>
    </row>
    <row r="17561" spans="1:8">
      <c r="H17561" t="s">
        <v>37203</v>
      </c>
    </row>
    <row r="17562" spans="1:8">
      <c r="H17562" t="s">
        <v>37204</v>
      </c>
    </row>
    <row r="17563" spans="1:8">
      <c r="H17563" t="s">
        <v>37205</v>
      </c>
    </row>
    <row r="17564" spans="1:8">
      <c r="F17564" t="s">
        <v>14249</v>
      </c>
      <c r="G17564" t="s">
        <v>18214</v>
      </c>
      <c r="H17564" t="s">
        <v>32582</v>
      </c>
    </row>
    <row r="17565" spans="1:8">
      <c r="A17565" t="s">
        <v>4209</v>
      </c>
      <c r="B17565">
        <f>HYPERLINK("https://android.googlesource.com/platform/cts/+/d72f1a1a6f977a7e05fc96e24b4ecc6029e735f2", "d72f1a1a6f977a7e05fc96e24b4ecc6029e735f2")</f>
        <v>0</v>
      </c>
      <c r="C17565">
        <f>HYPERLINK("https://android.googlesource.com/platform/cts/+/9b7670cda1ca55700ecc1295d6b4a111594aeb56", "9b7670cda1ca55700ecc1295d6b4a111594aeb56")</f>
        <v>0</v>
      </c>
      <c r="D17565" t="s">
        <v>5396</v>
      </c>
      <c r="E17565" t="s">
        <v>9887</v>
      </c>
      <c r="F17565" t="s">
        <v>14051</v>
      </c>
      <c r="G17565" t="s">
        <v>18050</v>
      </c>
      <c r="H17565" t="s">
        <v>37211</v>
      </c>
    </row>
    <row r="17566" spans="1:8">
      <c r="H17566" t="s">
        <v>37212</v>
      </c>
    </row>
    <row r="17567" spans="1:8">
      <c r="H17567" t="s">
        <v>37213</v>
      </c>
    </row>
    <row r="17568" spans="1:8">
      <c r="H17568" t="s">
        <v>37214</v>
      </c>
    </row>
    <row r="17569" spans="1:8">
      <c r="H17569" t="s">
        <v>37215</v>
      </c>
    </row>
    <row r="17570" spans="1:8">
      <c r="H17570" t="s">
        <v>37216</v>
      </c>
    </row>
    <row r="17571" spans="1:8">
      <c r="H17571" t="s">
        <v>37217</v>
      </c>
    </row>
    <row r="17572" spans="1:8">
      <c r="H17572" t="s">
        <v>37219</v>
      </c>
    </row>
    <row r="17573" spans="1:8">
      <c r="H17573" t="s">
        <v>37220</v>
      </c>
    </row>
    <row r="17574" spans="1:8">
      <c r="F17574" t="s">
        <v>14640</v>
      </c>
      <c r="G17574" t="s">
        <v>18086</v>
      </c>
      <c r="H17574" t="s">
        <v>33378</v>
      </c>
    </row>
    <row r="17575" spans="1:8">
      <c r="H17575" t="s">
        <v>33379</v>
      </c>
    </row>
    <row r="17576" spans="1:8">
      <c r="H17576" t="s">
        <v>37226</v>
      </c>
    </row>
    <row r="17577" spans="1:8">
      <c r="F17577" t="s">
        <v>14190</v>
      </c>
      <c r="G17577" t="s">
        <v>18169</v>
      </c>
      <c r="H17577" t="s">
        <v>37226</v>
      </c>
    </row>
    <row r="17578" spans="1:8">
      <c r="H17578" t="s">
        <v>37230</v>
      </c>
    </row>
    <row r="17579" spans="1:8">
      <c r="H17579" t="s">
        <v>37231</v>
      </c>
    </row>
    <row r="17580" spans="1:8">
      <c r="H17580" t="s">
        <v>37232</v>
      </c>
    </row>
    <row r="17581" spans="1:8">
      <c r="A17581" t="s">
        <v>4213</v>
      </c>
      <c r="B17581">
        <f>HYPERLINK("https://android.googlesource.com/platform/cts/+/e61e07e55b7911c66487f86937bf59928c9bbf52", "e61e07e55b7911c66487f86937bf59928c9bbf52")</f>
        <v>0</v>
      </c>
      <c r="C17581">
        <f>HYPERLINK("https://android.googlesource.com/platform/cts/+/07172db3746d097bc55315f211abb9d7195ab48e", "07172db3746d097bc55315f211abb9d7195ab48e")</f>
        <v>0</v>
      </c>
      <c r="D17581" t="s">
        <v>5654</v>
      </c>
      <c r="E17581" t="s">
        <v>9891</v>
      </c>
      <c r="F17581" t="s">
        <v>14583</v>
      </c>
      <c r="G17581" t="s">
        <v>18502</v>
      </c>
      <c r="H17581" t="s">
        <v>37235</v>
      </c>
    </row>
    <row r="17582" spans="1:8">
      <c r="H17582" t="s">
        <v>37236</v>
      </c>
    </row>
    <row r="17583" spans="1:8">
      <c r="H17583" t="s">
        <v>37237</v>
      </c>
    </row>
    <row r="17584" spans="1:8">
      <c r="H17584" t="s">
        <v>37238</v>
      </c>
    </row>
    <row r="17585" spans="1:8">
      <c r="H17585" t="s">
        <v>37239</v>
      </c>
    </row>
    <row r="17586" spans="1:8">
      <c r="A17586" t="s">
        <v>4218</v>
      </c>
      <c r="B17586">
        <f>HYPERLINK("https://android.googlesource.com/platform/cts/+/faf808e57b15bee8ad8fa360a64cdcd8fb698aa3", "faf808e57b15bee8ad8fa360a64cdcd8fb698aa3")</f>
        <v>0</v>
      </c>
      <c r="C17586">
        <f>HYPERLINK("https://android.googlesource.com/platform/cts/+/0c44a9950f9b243ab36ed6aeb7caf3cc2ca3d3e3", "0c44a9950f9b243ab36ed6aeb7caf3cc2ca3d3e3")</f>
        <v>0</v>
      </c>
      <c r="D17586" t="s">
        <v>5215</v>
      </c>
      <c r="E17586" t="s">
        <v>9896</v>
      </c>
      <c r="F17586" t="s">
        <v>12846</v>
      </c>
      <c r="G17586" t="s">
        <v>17017</v>
      </c>
      <c r="H17586" t="s">
        <v>37245</v>
      </c>
    </row>
    <row r="17587" spans="1:8">
      <c r="H17587" t="s">
        <v>37246</v>
      </c>
    </row>
    <row r="17588" spans="1:8">
      <c r="A17588" t="s">
        <v>4224</v>
      </c>
      <c r="B17588">
        <f>HYPERLINK("https://android.googlesource.com/platform/cts/+/4559a26f1cebd203ac2d509a1c7b4f694256b332", "4559a26f1cebd203ac2d509a1c7b4f694256b332")</f>
        <v>0</v>
      </c>
      <c r="C17588">
        <f>HYPERLINK("https://android.googlesource.com/platform/cts/+/dad33f1bc67fa8cde11c210bc928392216f9fb05", "dad33f1bc67fa8cde11c210bc928392216f9fb05")</f>
        <v>0</v>
      </c>
      <c r="D17588" t="s">
        <v>5288</v>
      </c>
      <c r="E17588" t="s">
        <v>9900</v>
      </c>
      <c r="F17588" t="s">
        <v>14642</v>
      </c>
      <c r="G17588" t="s">
        <v>16934</v>
      </c>
      <c r="H17588" t="s">
        <v>37249</v>
      </c>
    </row>
    <row r="17589" spans="1:8">
      <c r="H17589" t="s">
        <v>37250</v>
      </c>
    </row>
    <row r="17590" spans="1:8">
      <c r="F17590" t="s">
        <v>12696</v>
      </c>
      <c r="G17590" t="s">
        <v>16900</v>
      </c>
      <c r="H17590" t="s">
        <v>37251</v>
      </c>
    </row>
    <row r="17591" spans="1:8">
      <c r="A17591" t="s">
        <v>4231</v>
      </c>
      <c r="B17591">
        <f>HYPERLINK("https://android.googlesource.com/platform/cts/+/519db55088c7ef993a9e86e1d906637f7bcdc7b9", "519db55088c7ef993a9e86e1d906637f7bcdc7b9")</f>
        <v>0</v>
      </c>
      <c r="C17591">
        <f>HYPERLINK("https://android.googlesource.com/platform/cts/+/e3116af2351c9b70b9cebadbd79fe91a5fdaa072", "e3116af2351c9b70b9cebadbd79fe91a5fdaa072")</f>
        <v>0</v>
      </c>
      <c r="D17591" t="s">
        <v>5562</v>
      </c>
      <c r="E17591" t="s">
        <v>9906</v>
      </c>
      <c r="F17591" t="s">
        <v>14644</v>
      </c>
      <c r="G17591" t="s">
        <v>18550</v>
      </c>
      <c r="H17591" t="s">
        <v>37253</v>
      </c>
    </row>
    <row r="17592" spans="1:8">
      <c r="A17592" t="s">
        <v>4235</v>
      </c>
      <c r="B17592">
        <f>HYPERLINK("https://android.googlesource.com/platform/cts/+/efb866daf8dedd01ddd5738f96d74cb1ed79b0fe", "efb866daf8dedd01ddd5738f96d74cb1ed79b0fe")</f>
        <v>0</v>
      </c>
      <c r="C17592">
        <f>HYPERLINK("https://android.googlesource.com/platform/cts/+/e3a4737b6971db40ebc94fc669c8fb88ee3adbf9", "e3a4737b6971db40ebc94fc669c8fb88ee3adbf9")</f>
        <v>0</v>
      </c>
      <c r="D17592" t="s">
        <v>5624</v>
      </c>
      <c r="E17592" t="s">
        <v>9909</v>
      </c>
      <c r="F17592" t="s">
        <v>12176</v>
      </c>
      <c r="G17592" t="s">
        <v>16415</v>
      </c>
      <c r="H17592" t="s">
        <v>36825</v>
      </c>
    </row>
    <row r="17593" spans="1:8">
      <c r="H17593" t="s">
        <v>36826</v>
      </c>
    </row>
    <row r="17594" spans="1:8">
      <c r="H17594" t="s">
        <v>36827</v>
      </c>
    </row>
    <row r="17595" spans="1:8">
      <c r="H17595" t="s">
        <v>36829</v>
      </c>
    </row>
    <row r="17596" spans="1:8">
      <c r="H17596" t="s">
        <v>36830</v>
      </c>
    </row>
    <row r="17597" spans="1:8">
      <c r="H17597" t="s">
        <v>36831</v>
      </c>
    </row>
    <row r="17598" spans="1:8">
      <c r="H17598" t="s">
        <v>37256</v>
      </c>
    </row>
    <row r="17599" spans="1:8">
      <c r="H17599" t="s">
        <v>37257</v>
      </c>
    </row>
    <row r="17600" spans="1:8">
      <c r="H17600" t="s">
        <v>37258</v>
      </c>
    </row>
    <row r="17601" spans="1:8">
      <c r="H17601" t="s">
        <v>37259</v>
      </c>
    </row>
    <row r="17602" spans="1:8">
      <c r="H17602" t="s">
        <v>37260</v>
      </c>
    </row>
    <row r="17603" spans="1:8">
      <c r="H17603" t="s">
        <v>37261</v>
      </c>
    </row>
    <row r="17604" spans="1:8">
      <c r="A17604" t="s">
        <v>4236</v>
      </c>
      <c r="B17604">
        <f>HYPERLINK("https://android.googlesource.com/platform/cts/+/e7e9836fe6538337de4030fd65924158da6e6e62", "e7e9836fe6538337de4030fd65924158da6e6e62")</f>
        <v>0</v>
      </c>
      <c r="C17604">
        <f>HYPERLINK("https://android.googlesource.com/platform/cts/+/341404f5c9cb1b87cc39e9d4b826310d8abc5cde", "341404f5c9cb1b87cc39e9d4b826310d8abc5cde")</f>
        <v>0</v>
      </c>
      <c r="D17604" t="s">
        <v>5626</v>
      </c>
      <c r="E17604" t="s">
        <v>9910</v>
      </c>
      <c r="F17604" t="s">
        <v>14646</v>
      </c>
      <c r="G17604" t="s">
        <v>18419</v>
      </c>
      <c r="H17604" t="s">
        <v>36186</v>
      </c>
    </row>
    <row r="17605" spans="1:8">
      <c r="A17605" t="s">
        <v>4242</v>
      </c>
      <c r="B17605">
        <f>HYPERLINK("https://android.googlesource.com/platform/cts/+/6632de7d76ddeb8e3ad48bc74cdb7974b14066a1", "6632de7d76ddeb8e3ad48bc74cdb7974b14066a1")</f>
        <v>0</v>
      </c>
      <c r="C17605">
        <f>HYPERLINK("https://android.googlesource.com/platform/cts/+/e590eabc49344c620255782d278c3d1528daef4e", "e590eabc49344c620255782d278c3d1528daef4e")</f>
        <v>0</v>
      </c>
      <c r="D17605" t="s">
        <v>5653</v>
      </c>
      <c r="E17605" t="s">
        <v>9916</v>
      </c>
      <c r="F17605" t="s">
        <v>14649</v>
      </c>
      <c r="G17605" t="s">
        <v>18553</v>
      </c>
      <c r="H17605" t="s">
        <v>37277</v>
      </c>
    </row>
    <row r="17606" spans="1:8">
      <c r="H17606" t="s">
        <v>37278</v>
      </c>
    </row>
    <row r="17607" spans="1:8">
      <c r="H17607" t="s">
        <v>37279</v>
      </c>
    </row>
    <row r="17608" spans="1:8">
      <c r="A17608" t="s">
        <v>4243</v>
      </c>
      <c r="B17608">
        <f>HYPERLINK("https://android.googlesource.com/platform/cts/+/9910ca9737f8838f6dc3a3d9d318f50339ff7cd4", "9910ca9737f8838f6dc3a3d9d318f50339ff7cd4")</f>
        <v>0</v>
      </c>
      <c r="C17608">
        <f>HYPERLINK("https://android.googlesource.com/platform/cts/+/0da7a74dc6555357aad4937ee257d37debc4c33e", "0da7a74dc6555357aad4937ee257d37debc4c33e")</f>
        <v>0</v>
      </c>
      <c r="D17608" t="s">
        <v>5669</v>
      </c>
      <c r="E17608" t="s">
        <v>9917</v>
      </c>
      <c r="F17608" t="s">
        <v>13277</v>
      </c>
      <c r="G17608" t="s">
        <v>17414</v>
      </c>
      <c r="H17608" t="s">
        <v>37281</v>
      </c>
    </row>
    <row r="17609" spans="1:8">
      <c r="A17609" t="s">
        <v>4250</v>
      </c>
      <c r="B17609">
        <f>HYPERLINK("https://android.googlesource.com/platform/cts/+/06a952a180e17fd5688b845566dbecb6411aa2a9", "06a952a180e17fd5688b845566dbecb6411aa2a9")</f>
        <v>0</v>
      </c>
      <c r="C17609">
        <f>HYPERLINK("https://android.googlesource.com/platform/cts/+/b003794023c050821258f5acf3988935784255c5", "b003794023c050821258f5acf3988935784255c5")</f>
        <v>0</v>
      </c>
      <c r="D17609" t="s">
        <v>5409</v>
      </c>
      <c r="E17609" t="s">
        <v>9923</v>
      </c>
      <c r="F17609" t="s">
        <v>14650</v>
      </c>
      <c r="G17609" t="s">
        <v>18554</v>
      </c>
      <c r="H17609" t="s">
        <v>37300</v>
      </c>
    </row>
    <row r="17610" spans="1:8">
      <c r="A17610" t="s">
        <v>4251</v>
      </c>
      <c r="B17610">
        <f>HYPERLINK("https://android.googlesource.com/platform/cts/+/1390ca540e3cc916e4a877207b7cc1c7928aa801", "1390ca540e3cc916e4a877207b7cc1c7928aa801")</f>
        <v>0</v>
      </c>
      <c r="C17610">
        <f>HYPERLINK("https://android.googlesource.com/platform/cts/+/06a952a180e17fd5688b845566dbecb6411aa2a9", "06a952a180e17fd5688b845566dbecb6411aa2a9")</f>
        <v>0</v>
      </c>
      <c r="D17610" t="s">
        <v>5409</v>
      </c>
      <c r="E17610" t="s">
        <v>9924</v>
      </c>
      <c r="F17610" t="s">
        <v>14558</v>
      </c>
      <c r="G17610" t="s">
        <v>18480</v>
      </c>
      <c r="H17610" t="s">
        <v>37302</v>
      </c>
    </row>
    <row r="17611" spans="1:8">
      <c r="H17611" t="s">
        <v>37303</v>
      </c>
    </row>
    <row r="17612" spans="1:8">
      <c r="F17612" t="s">
        <v>14652</v>
      </c>
      <c r="G17612" t="s">
        <v>18466</v>
      </c>
      <c r="H17612" t="s">
        <v>37304</v>
      </c>
    </row>
    <row r="17613" spans="1:8">
      <c r="H17613" t="s">
        <v>37305</v>
      </c>
    </row>
    <row r="17614" spans="1:8">
      <c r="H17614" t="s">
        <v>37306</v>
      </c>
    </row>
    <row r="17615" spans="1:8">
      <c r="H17615" t="s">
        <v>37307</v>
      </c>
    </row>
    <row r="17616" spans="1:8">
      <c r="H17616" t="s">
        <v>37308</v>
      </c>
    </row>
    <row r="17617" spans="1:8">
      <c r="H17617" t="s">
        <v>37309</v>
      </c>
    </row>
    <row r="17618" spans="1:8">
      <c r="H17618" t="s">
        <v>37310</v>
      </c>
    </row>
    <row r="17619" spans="1:8">
      <c r="H17619" t="s">
        <v>37311</v>
      </c>
    </row>
    <row r="17620" spans="1:8">
      <c r="A17620" t="s">
        <v>4256</v>
      </c>
      <c r="B17620">
        <f>HYPERLINK("https://android.googlesource.com/platform/cts/+/88a268b3acbe34a3bfe13a61d73e01fa984b6f52", "88a268b3acbe34a3bfe13a61d73e01fa984b6f52")</f>
        <v>0</v>
      </c>
      <c r="C17620">
        <f>HYPERLINK("https://android.googlesource.com/platform/cts/+/5959a156158a3d405f43fd6eb5dea1b8d9efbcdd", "5959a156158a3d405f43fd6eb5dea1b8d9efbcdd")</f>
        <v>0</v>
      </c>
      <c r="D17620" t="s">
        <v>5610</v>
      </c>
      <c r="E17620" t="s">
        <v>9929</v>
      </c>
      <c r="F17620" t="s">
        <v>14653</v>
      </c>
      <c r="G17620" t="s">
        <v>17776</v>
      </c>
      <c r="H17620" t="s">
        <v>37316</v>
      </c>
    </row>
    <row r="17621" spans="1:8">
      <c r="H17621" t="s">
        <v>37317</v>
      </c>
    </row>
    <row r="17622" spans="1:8">
      <c r="A17622" t="s">
        <v>4260</v>
      </c>
      <c r="B17622">
        <f>HYPERLINK("https://android.googlesource.com/platform/cts/+/8c62a604f50b975c4a80ea0d4a0015a89d73c074", "8c62a604f50b975c4a80ea0d4a0015a89d73c074")</f>
        <v>0</v>
      </c>
      <c r="C17622">
        <f>HYPERLINK("https://android.googlesource.com/platform/cts/+/d69c7d3193f631796241195d7bf40d3beac4871e", "d69c7d3193f631796241195d7bf40d3beac4871e")</f>
        <v>0</v>
      </c>
      <c r="D17622" t="s">
        <v>5277</v>
      </c>
      <c r="E17622" t="s">
        <v>9933</v>
      </c>
      <c r="F17622" t="s">
        <v>10649</v>
      </c>
      <c r="G17622" t="s">
        <v>15050</v>
      </c>
      <c r="H17622" t="s">
        <v>37329</v>
      </c>
    </row>
    <row r="17623" spans="1:8">
      <c r="A17623" t="s">
        <v>4262</v>
      </c>
      <c r="B17623">
        <f>HYPERLINK("https://android.googlesource.com/platform/cts/+/91b6c6ead2351220f97aef416f7a53dde3f81753", "91b6c6ead2351220f97aef416f7a53dde3f81753")</f>
        <v>0</v>
      </c>
      <c r="C17623">
        <f>HYPERLINK("https://android.googlesource.com/platform/cts/+/d573ace081783d694828d885c5ea30f1df08cdd9", "d573ace081783d694828d885c5ea30f1df08cdd9")</f>
        <v>0</v>
      </c>
      <c r="D17623" t="s">
        <v>5670</v>
      </c>
      <c r="E17623" t="s">
        <v>9935</v>
      </c>
      <c r="F17623" t="s">
        <v>12419</v>
      </c>
      <c r="G17623" t="s">
        <v>16641</v>
      </c>
      <c r="H17623" t="s">
        <v>37333</v>
      </c>
    </row>
    <row r="17624" spans="1:8">
      <c r="A17624" t="s">
        <v>4266</v>
      </c>
      <c r="B17624">
        <f>HYPERLINK("https://android.googlesource.com/platform/cts/+/e08e076a9150b382f759c9ca106f964955484218", "e08e076a9150b382f759c9ca106f964955484218")</f>
        <v>0</v>
      </c>
      <c r="C17624">
        <f>HYPERLINK("https://android.googlesource.com/platform/cts/+/a5b1318612630ac196503a94d9c5148e4d6fcf3a", "a5b1318612630ac196503a94d9c5148e4d6fcf3a")</f>
        <v>0</v>
      </c>
      <c r="D17624" t="s">
        <v>5626</v>
      </c>
      <c r="E17624" t="s">
        <v>9939</v>
      </c>
      <c r="F17624" t="s">
        <v>14658</v>
      </c>
      <c r="G17624" t="s">
        <v>18019</v>
      </c>
      <c r="H17624" t="s">
        <v>37341</v>
      </c>
    </row>
    <row r="17625" spans="1:8">
      <c r="A17625" t="s">
        <v>4276</v>
      </c>
      <c r="B17625">
        <f>HYPERLINK("https://android.googlesource.com/platform/cts/+/e0d3ae4b5e0c4224dcfb615d44f8b4ebe23edfbe", "e0d3ae4b5e0c4224dcfb615d44f8b4ebe23edfbe")</f>
        <v>0</v>
      </c>
      <c r="C17625">
        <f>HYPERLINK("https://android.googlesource.com/platform/cts/+/052c74c16c5c0a4ad0d857b3ad7401a8b4efa23a", "052c74c16c5c0a4ad0d857b3ad7401a8b4efa23a")</f>
        <v>0</v>
      </c>
      <c r="D17625" t="s">
        <v>5653</v>
      </c>
      <c r="E17625" t="s">
        <v>9949</v>
      </c>
      <c r="F17625" t="s">
        <v>14659</v>
      </c>
      <c r="G17625" t="s">
        <v>18557</v>
      </c>
      <c r="H17625" t="s">
        <v>37344</v>
      </c>
    </row>
    <row r="17626" spans="1:8">
      <c r="A17626" t="s">
        <v>4278</v>
      </c>
      <c r="B17626">
        <f>HYPERLINK("https://android.googlesource.com/platform/cts/+/aa8eb177ed11b321be3581ad93ca356531e5fe19", "aa8eb177ed11b321be3581ad93ca356531e5fe19")</f>
        <v>0</v>
      </c>
      <c r="C17626">
        <f>HYPERLINK("https://android.googlesource.com/platform/cts/+/696ee033f29f135a22f16e8b0f8349314dda4244", "696ee033f29f135a22f16e8b0f8349314dda4244")</f>
        <v>0</v>
      </c>
      <c r="D17626" t="s">
        <v>5575</v>
      </c>
      <c r="E17626" t="s">
        <v>9951</v>
      </c>
      <c r="F17626" t="s">
        <v>14613</v>
      </c>
      <c r="G17626" t="s">
        <v>18453</v>
      </c>
      <c r="H17626" t="s">
        <v>37347</v>
      </c>
    </row>
    <row r="17627" spans="1:8">
      <c r="H17627" t="s">
        <v>37008</v>
      </c>
    </row>
    <row r="17628" spans="1:8">
      <c r="F17628" t="s">
        <v>14527</v>
      </c>
      <c r="G17628" t="s">
        <v>18446</v>
      </c>
      <c r="H17628" t="s">
        <v>37348</v>
      </c>
    </row>
    <row r="17629" spans="1:8">
      <c r="H17629" t="s">
        <v>37349</v>
      </c>
    </row>
    <row r="17630" spans="1:8">
      <c r="H17630" t="s">
        <v>37009</v>
      </c>
    </row>
    <row r="17631" spans="1:8">
      <c r="A17631" t="s">
        <v>4287</v>
      </c>
      <c r="B17631">
        <f>HYPERLINK("https://android.googlesource.com/platform/cts/+/8746cf43fc15e57145b0b0fe82023ed8fb942f82", "8746cf43fc15e57145b0b0fe82023ed8fb942f82")</f>
        <v>0</v>
      </c>
      <c r="C17631">
        <f>HYPERLINK("https://android.googlesource.com/platform/cts/+/d8c72027aacb89e8ab4a3e37b81c22044c2ef001", "d8c72027aacb89e8ab4a3e37b81c22044c2ef001")</f>
        <v>0</v>
      </c>
      <c r="D17631" t="s">
        <v>5409</v>
      </c>
      <c r="E17631" t="s">
        <v>9958</v>
      </c>
      <c r="F17631" t="s">
        <v>14448</v>
      </c>
      <c r="G17631" t="s">
        <v>18383</v>
      </c>
      <c r="H17631" t="s">
        <v>37355</v>
      </c>
    </row>
    <row r="17632" spans="1:8">
      <c r="H17632" t="s">
        <v>37356</v>
      </c>
    </row>
    <row r="17633" spans="1:8">
      <c r="H17633" t="s">
        <v>37357</v>
      </c>
    </row>
    <row r="17634" spans="1:8">
      <c r="H17634" t="s">
        <v>37358</v>
      </c>
    </row>
    <row r="17635" spans="1:8">
      <c r="H17635" t="s">
        <v>37360</v>
      </c>
    </row>
    <row r="17636" spans="1:8">
      <c r="H17636" t="s">
        <v>37365</v>
      </c>
    </row>
    <row r="17637" spans="1:8">
      <c r="H17637" t="s">
        <v>37366</v>
      </c>
    </row>
    <row r="17638" spans="1:8">
      <c r="H17638" t="s">
        <v>37372</v>
      </c>
    </row>
    <row r="17639" spans="1:8">
      <c r="H17639" t="s">
        <v>37376</v>
      </c>
    </row>
    <row r="17640" spans="1:8">
      <c r="H17640" t="s">
        <v>37378</v>
      </c>
    </row>
    <row r="17641" spans="1:8">
      <c r="H17641" t="s">
        <v>37379</v>
      </c>
    </row>
    <row r="17642" spans="1:8">
      <c r="F17642" t="s">
        <v>14650</v>
      </c>
      <c r="G17642" t="s">
        <v>18554</v>
      </c>
      <c r="H17642" t="s">
        <v>37380</v>
      </c>
    </row>
    <row r="17643" spans="1:8">
      <c r="H17643" t="s">
        <v>37381</v>
      </c>
    </row>
    <row r="17644" spans="1:8">
      <c r="F17644" t="s">
        <v>14663</v>
      </c>
      <c r="G17644" t="s">
        <v>18560</v>
      </c>
      <c r="H17644" t="s">
        <v>37386</v>
      </c>
    </row>
    <row r="17645" spans="1:8">
      <c r="A17645" t="s">
        <v>4289</v>
      </c>
      <c r="B17645">
        <f>HYPERLINK("https://android.googlesource.com/platform/cts/+/c0bd8f59e55e1484d52cf2331fbbae9b344bce39", "c0bd8f59e55e1484d52cf2331fbbae9b344bce39")</f>
        <v>0</v>
      </c>
      <c r="C17645">
        <f>HYPERLINK("https://android.googlesource.com/platform/cts/+/fcefd7cc31eb8c7e66caea789ffc43531e9b4fcb", "fcefd7cc31eb8c7e66caea789ffc43531e9b4fcb")</f>
        <v>0</v>
      </c>
      <c r="D17645" t="s">
        <v>5610</v>
      </c>
      <c r="E17645" t="s">
        <v>9960</v>
      </c>
      <c r="F17645" t="s">
        <v>14434</v>
      </c>
      <c r="G17645" t="s">
        <v>18370</v>
      </c>
      <c r="H17645" t="s">
        <v>37391</v>
      </c>
    </row>
    <row r="17646" spans="1:8">
      <c r="H17646" t="s">
        <v>37392</v>
      </c>
    </row>
    <row r="17647" spans="1:8">
      <c r="H17647" t="s">
        <v>37393</v>
      </c>
    </row>
    <row r="17648" spans="1:8">
      <c r="A17648" t="s">
        <v>4290</v>
      </c>
      <c r="B17648">
        <f>HYPERLINK("https://android.googlesource.com/platform/cts/+/6891a89454eac3e86b7d7b09d8d8f48955e39e0d", "6891a89454eac3e86b7d7b09d8d8f48955e39e0d")</f>
        <v>0</v>
      </c>
      <c r="C17648">
        <f>HYPERLINK("https://android.googlesource.com/platform/cts/+/445a77d404624b63e4f3272c57cda1a8384b1d61", "445a77d404624b63e4f3272c57cda1a8384b1d61")</f>
        <v>0</v>
      </c>
      <c r="D17648" t="s">
        <v>5673</v>
      </c>
      <c r="E17648" t="s">
        <v>9961</v>
      </c>
      <c r="F17648" t="s">
        <v>14667</v>
      </c>
      <c r="G17648" t="s">
        <v>18562</v>
      </c>
      <c r="H17648" t="s">
        <v>37395</v>
      </c>
    </row>
    <row r="17649" spans="1:8">
      <c r="H17649" t="s">
        <v>37396</v>
      </c>
    </row>
    <row r="17650" spans="1:8">
      <c r="H17650" t="s">
        <v>37397</v>
      </c>
    </row>
    <row r="17651" spans="1:8">
      <c r="H17651" t="s">
        <v>37398</v>
      </c>
    </row>
    <row r="17652" spans="1:8">
      <c r="H17652" t="s">
        <v>37399</v>
      </c>
    </row>
    <row r="17653" spans="1:8">
      <c r="H17653" t="s">
        <v>37401</v>
      </c>
    </row>
    <row r="17654" spans="1:8">
      <c r="H17654" t="s">
        <v>37403</v>
      </c>
    </row>
    <row r="17655" spans="1:8">
      <c r="H17655" t="s">
        <v>37404</v>
      </c>
    </row>
    <row r="17656" spans="1:8">
      <c r="A17656" t="s">
        <v>4297</v>
      </c>
      <c r="B17656">
        <f>HYPERLINK("https://android.googlesource.com/platform/cts/+/f86a88f62bb8f22de60202cd2932d41da2974024", "f86a88f62bb8f22de60202cd2932d41da2974024")</f>
        <v>0</v>
      </c>
      <c r="C17656">
        <f>HYPERLINK("https://android.googlesource.com/platform/cts/+/33ad3e3be507eb5dc60d73acc006fc4cb73b58f7", "33ad3e3be507eb5dc60d73acc006fc4cb73b58f7")</f>
        <v>0</v>
      </c>
      <c r="D17656" t="s">
        <v>5675</v>
      </c>
      <c r="E17656" t="s">
        <v>9968</v>
      </c>
      <c r="F17656" t="s">
        <v>10715</v>
      </c>
      <c r="G17656" t="s">
        <v>15114</v>
      </c>
      <c r="H17656" t="s">
        <v>37432</v>
      </c>
    </row>
    <row r="17657" spans="1:8">
      <c r="A17657" t="s">
        <v>4300</v>
      </c>
      <c r="B17657">
        <f>HYPERLINK("https://android.googlesource.com/platform/cts/+/cda88f95929b2109437ab16e5a00142f784678fe", "cda88f95929b2109437ab16e5a00142f784678fe")</f>
        <v>0</v>
      </c>
      <c r="C17657">
        <f>HYPERLINK("https://android.googlesource.com/platform/cts/+/f1b0d10eb9fd0ba811e2730928c3167aaf1c180e", "f1b0d10eb9fd0ba811e2730928c3167aaf1c180e")</f>
        <v>0</v>
      </c>
      <c r="D17657" t="s">
        <v>5676</v>
      </c>
      <c r="E17657" t="s">
        <v>9971</v>
      </c>
      <c r="F17657" t="s">
        <v>14679</v>
      </c>
      <c r="G17657" t="s">
        <v>18573</v>
      </c>
      <c r="H17657" t="s">
        <v>37433</v>
      </c>
    </row>
    <row r="17658" spans="1:8">
      <c r="F17658" t="s">
        <v>14680</v>
      </c>
      <c r="G17658" t="s">
        <v>18574</v>
      </c>
      <c r="H17658" t="s">
        <v>37433</v>
      </c>
    </row>
    <row r="17659" spans="1:8">
      <c r="F17659" t="s">
        <v>13912</v>
      </c>
      <c r="G17659" t="s">
        <v>17949</v>
      </c>
      <c r="H17659" t="s">
        <v>37434</v>
      </c>
    </row>
    <row r="17660" spans="1:8">
      <c r="H17660" t="s">
        <v>37435</v>
      </c>
    </row>
    <row r="17661" spans="1:8">
      <c r="A17661" t="s">
        <v>4302</v>
      </c>
      <c r="B17661">
        <f>HYPERLINK("https://android.googlesource.com/platform/cts/+/1037d0c4ff94272e92163fe0a34c5d2d4e1df426", "1037d0c4ff94272e92163fe0a34c5d2d4e1df426")</f>
        <v>0</v>
      </c>
      <c r="C17661">
        <f>HYPERLINK("https://android.googlesource.com/platform/cts/+/24278a9a5563b694edeaf2714c0cb309048994dc", "24278a9a5563b694edeaf2714c0cb309048994dc")</f>
        <v>0</v>
      </c>
      <c r="D17661" t="s">
        <v>5409</v>
      </c>
      <c r="E17661" t="s">
        <v>9973</v>
      </c>
      <c r="F17661" t="s">
        <v>14435</v>
      </c>
      <c r="G17661" t="s">
        <v>18371</v>
      </c>
      <c r="H17661" t="s">
        <v>35887</v>
      </c>
    </row>
    <row r="17662" spans="1:8">
      <c r="H17662" t="s">
        <v>35888</v>
      </c>
    </row>
    <row r="17663" spans="1:8">
      <c r="F17663" t="s">
        <v>14415</v>
      </c>
      <c r="G17663" t="s">
        <v>18353</v>
      </c>
      <c r="H17663" t="s">
        <v>37440</v>
      </c>
    </row>
    <row r="17664" spans="1:8">
      <c r="H17664" t="s">
        <v>37441</v>
      </c>
    </row>
    <row r="17665" spans="1:8">
      <c r="H17665" t="s">
        <v>37442</v>
      </c>
    </row>
    <row r="17666" spans="1:8">
      <c r="H17666" t="s">
        <v>37443</v>
      </c>
    </row>
    <row r="17667" spans="1:8">
      <c r="H17667" t="s">
        <v>37444</v>
      </c>
    </row>
    <row r="17668" spans="1:8">
      <c r="H17668" t="s">
        <v>37445</v>
      </c>
    </row>
    <row r="17669" spans="1:8">
      <c r="H17669" t="s">
        <v>37446</v>
      </c>
    </row>
    <row r="17670" spans="1:8">
      <c r="H17670" t="s">
        <v>37447</v>
      </c>
    </row>
    <row r="17671" spans="1:8">
      <c r="H17671" t="s">
        <v>37448</v>
      </c>
    </row>
    <row r="17672" spans="1:8">
      <c r="H17672" t="s">
        <v>37449</v>
      </c>
    </row>
    <row r="17673" spans="1:8">
      <c r="H17673" t="s">
        <v>37450</v>
      </c>
    </row>
    <row r="17674" spans="1:8">
      <c r="H17674" t="s">
        <v>37451</v>
      </c>
    </row>
    <row r="17675" spans="1:8">
      <c r="H17675" t="s">
        <v>37455</v>
      </c>
    </row>
    <row r="17676" spans="1:8">
      <c r="A17676" t="s">
        <v>4307</v>
      </c>
      <c r="B17676">
        <f>HYPERLINK("https://android.googlesource.com/platform/cts/+/966f8171b9baef889ff9aef096174a42d7263348", "966f8171b9baef889ff9aef096174a42d7263348")</f>
        <v>0</v>
      </c>
      <c r="C17676">
        <f>HYPERLINK("https://android.googlesource.com/platform/cts/+/2412d99bff0623939582be5b8022d616307da6d8", "2412d99bff0623939582be5b8022d616307da6d8")</f>
        <v>0</v>
      </c>
      <c r="D17676" t="s">
        <v>5409</v>
      </c>
      <c r="E17676" t="s">
        <v>9978</v>
      </c>
      <c r="F17676" t="s">
        <v>13815</v>
      </c>
      <c r="G17676" t="s">
        <v>17862</v>
      </c>
      <c r="H17676" t="s">
        <v>37462</v>
      </c>
    </row>
    <row r="17677" spans="1:8">
      <c r="H17677" t="s">
        <v>37463</v>
      </c>
    </row>
    <row r="17678" spans="1:8">
      <c r="H17678" t="s">
        <v>37464</v>
      </c>
    </row>
    <row r="17679" spans="1:8">
      <c r="H17679" t="s">
        <v>37465</v>
      </c>
    </row>
    <row r="17680" spans="1:8">
      <c r="H17680" t="s">
        <v>37467</v>
      </c>
    </row>
    <row r="17681" spans="1:8">
      <c r="H17681" t="s">
        <v>37468</v>
      </c>
    </row>
    <row r="17682" spans="1:8">
      <c r="H17682" t="s">
        <v>37469</v>
      </c>
    </row>
    <row r="17683" spans="1:8">
      <c r="F17683" t="s">
        <v>12743</v>
      </c>
      <c r="G17683" t="s">
        <v>16935</v>
      </c>
      <c r="H17683" t="s">
        <v>25778</v>
      </c>
    </row>
    <row r="17684" spans="1:8">
      <c r="H17684" t="s">
        <v>37474</v>
      </c>
    </row>
    <row r="17685" spans="1:8">
      <c r="H17685" t="s">
        <v>37475</v>
      </c>
    </row>
    <row r="17686" spans="1:8">
      <c r="H17686" t="s">
        <v>37476</v>
      </c>
    </row>
    <row r="17687" spans="1:8">
      <c r="H17687" t="s">
        <v>37469</v>
      </c>
    </row>
    <row r="17688" spans="1:8">
      <c r="F17688" t="s">
        <v>13229</v>
      </c>
      <c r="G17688" t="s">
        <v>17370</v>
      </c>
      <c r="H17688" t="s">
        <v>37477</v>
      </c>
    </row>
    <row r="17689" spans="1:8">
      <c r="H17689" t="s">
        <v>37475</v>
      </c>
    </row>
    <row r="17690" spans="1:8">
      <c r="H17690" t="s">
        <v>37469</v>
      </c>
    </row>
    <row r="17691" spans="1:8">
      <c r="H17691" t="s">
        <v>25778</v>
      </c>
    </row>
    <row r="17692" spans="1:8">
      <c r="F17692" t="s">
        <v>13136</v>
      </c>
      <c r="G17692" t="s">
        <v>17293</v>
      </c>
      <c r="H17692" t="s">
        <v>25778</v>
      </c>
    </row>
    <row r="17693" spans="1:8">
      <c r="A17693" t="s">
        <v>4310</v>
      </c>
      <c r="B17693">
        <f>HYPERLINK("https://android.googlesource.com/platform/cts/+/b4d225ea634b26347abc1337446f0ab6adbc4949", "b4d225ea634b26347abc1337446f0ab6adbc4949")</f>
        <v>0</v>
      </c>
      <c r="C17693">
        <f>HYPERLINK("https://android.googlesource.com/platform/cts/+/b0082c2ed4828ccd4313c5005f1f5da51b82e0c7", "b0082c2ed4828ccd4313c5005f1f5da51b82e0c7")</f>
        <v>0</v>
      </c>
      <c r="D17693" t="s">
        <v>5677</v>
      </c>
      <c r="E17693" t="s">
        <v>9981</v>
      </c>
      <c r="F17693" t="s">
        <v>13165</v>
      </c>
      <c r="G17693" t="s">
        <v>17315</v>
      </c>
      <c r="H17693" t="s">
        <v>37484</v>
      </c>
    </row>
    <row r="17694" spans="1:8">
      <c r="H17694" t="s">
        <v>37485</v>
      </c>
    </row>
    <row r="17695" spans="1:8">
      <c r="H17695" t="s">
        <v>37486</v>
      </c>
    </row>
    <row r="17696" spans="1:8">
      <c r="A17696" t="s">
        <v>4312</v>
      </c>
      <c r="B17696">
        <f>HYPERLINK("https://android.googlesource.com/platform/cts/+/79511e16e638d5167d14b3b5585f7d69ef9264c9", "79511e16e638d5167d14b3b5585f7d69ef9264c9")</f>
        <v>0</v>
      </c>
      <c r="C17696">
        <f>HYPERLINK("https://android.googlesource.com/platform/cts/+/1aa123151cd9000ddcbd5dedf50526b412be91e3", "1aa123151cd9000ddcbd5dedf50526b412be91e3")</f>
        <v>0</v>
      </c>
      <c r="D17696" t="s">
        <v>5597</v>
      </c>
      <c r="E17696" t="s">
        <v>9983</v>
      </c>
      <c r="F17696" t="s">
        <v>14051</v>
      </c>
      <c r="G17696" t="s">
        <v>18050</v>
      </c>
      <c r="H17696" t="s">
        <v>37211</v>
      </c>
    </row>
    <row r="17697" spans="1:8">
      <c r="H17697" t="s">
        <v>37212</v>
      </c>
    </row>
    <row r="17698" spans="1:8">
      <c r="H17698" t="s">
        <v>37213</v>
      </c>
    </row>
    <row r="17699" spans="1:8">
      <c r="H17699" t="s">
        <v>37214</v>
      </c>
    </row>
    <row r="17700" spans="1:8">
      <c r="H17700" t="s">
        <v>37215</v>
      </c>
    </row>
    <row r="17701" spans="1:8">
      <c r="H17701" t="s">
        <v>37216</v>
      </c>
    </row>
    <row r="17702" spans="1:8">
      <c r="H17702" t="s">
        <v>37217</v>
      </c>
    </row>
    <row r="17703" spans="1:8">
      <c r="H17703" t="s">
        <v>37219</v>
      </c>
    </row>
    <row r="17704" spans="1:8">
      <c r="H17704" t="s">
        <v>37220</v>
      </c>
    </row>
    <row r="17705" spans="1:8">
      <c r="F17705" t="s">
        <v>14640</v>
      </c>
      <c r="G17705" t="s">
        <v>18086</v>
      </c>
      <c r="H17705" t="s">
        <v>33378</v>
      </c>
    </row>
    <row r="17706" spans="1:8">
      <c r="H17706" t="s">
        <v>33379</v>
      </c>
    </row>
    <row r="17707" spans="1:8">
      <c r="H17707" t="s">
        <v>37226</v>
      </c>
    </row>
    <row r="17708" spans="1:8">
      <c r="F17708" t="s">
        <v>14190</v>
      </c>
      <c r="G17708" t="s">
        <v>18169</v>
      </c>
      <c r="H17708" t="s">
        <v>37226</v>
      </c>
    </row>
    <row r="17709" spans="1:8">
      <c r="H17709" t="s">
        <v>37230</v>
      </c>
    </row>
    <row r="17710" spans="1:8">
      <c r="H17710" t="s">
        <v>37231</v>
      </c>
    </row>
    <row r="17711" spans="1:8">
      <c r="H17711" t="s">
        <v>37232</v>
      </c>
    </row>
    <row r="17712" spans="1:8">
      <c r="A17712" t="s">
        <v>4319</v>
      </c>
      <c r="B17712">
        <f>HYPERLINK("https://android.googlesource.com/platform/cts/+/0b68e70b5b975430b206336b27323d33ae3bb820", "0b68e70b5b975430b206336b27323d33ae3bb820")</f>
        <v>0</v>
      </c>
      <c r="C17712">
        <f>HYPERLINK("https://android.googlesource.com/platform/cts/+/77964de8d5eda6eb18964bd9cfa9a7c239cb3e30", "77964de8d5eda6eb18964bd9cfa9a7c239cb3e30")</f>
        <v>0</v>
      </c>
      <c r="D17712" t="s">
        <v>5409</v>
      </c>
      <c r="E17712" t="s">
        <v>9990</v>
      </c>
      <c r="F17712" t="s">
        <v>12743</v>
      </c>
      <c r="G17712" t="s">
        <v>16935</v>
      </c>
      <c r="H17712" t="s">
        <v>27107</v>
      </c>
    </row>
    <row r="17713" spans="1:8">
      <c r="H17713" t="s">
        <v>37559</v>
      </c>
    </row>
    <row r="17714" spans="1:8">
      <c r="F17714" t="s">
        <v>13229</v>
      </c>
      <c r="G17714" t="s">
        <v>17370</v>
      </c>
      <c r="H17714" t="s">
        <v>27107</v>
      </c>
    </row>
    <row r="17715" spans="1:8">
      <c r="H17715" t="s">
        <v>37559</v>
      </c>
    </row>
    <row r="17716" spans="1:8">
      <c r="F17716" t="s">
        <v>13136</v>
      </c>
      <c r="G17716" t="s">
        <v>17293</v>
      </c>
      <c r="H17716" t="s">
        <v>27107</v>
      </c>
    </row>
    <row r="17717" spans="1:8">
      <c r="F17717" t="s">
        <v>12745</v>
      </c>
      <c r="G17717" t="s">
        <v>16937</v>
      </c>
      <c r="H17717" t="s">
        <v>27107</v>
      </c>
    </row>
    <row r="17718" spans="1:8">
      <c r="H17718" t="s">
        <v>37559</v>
      </c>
    </row>
    <row r="17719" spans="1:8">
      <c r="A17719" t="s">
        <v>4320</v>
      </c>
      <c r="B17719">
        <f>HYPERLINK("https://android.googlesource.com/platform/cts/+/97f1e988c0958ac3fa878d980da3a1d62fdb2772", "97f1e988c0958ac3fa878d980da3a1d62fdb2772")</f>
        <v>0</v>
      </c>
      <c r="C17719">
        <f>HYPERLINK("https://android.googlesource.com/platform/cts/+/f7bbcd8b82329995948ad2d9dd0696df845f1fb6", "f7bbcd8b82329995948ad2d9dd0696df845f1fb6")</f>
        <v>0</v>
      </c>
      <c r="D17719" t="s">
        <v>5677</v>
      </c>
      <c r="E17719" t="s">
        <v>9991</v>
      </c>
      <c r="F17719" t="s">
        <v>14487</v>
      </c>
      <c r="G17719" t="s">
        <v>18418</v>
      </c>
      <c r="H17719" t="s">
        <v>37570</v>
      </c>
    </row>
    <row r="17720" spans="1:8">
      <c r="H17720" t="s">
        <v>37571</v>
      </c>
    </row>
    <row r="17721" spans="1:8">
      <c r="A17721" t="s">
        <v>4322</v>
      </c>
      <c r="B17721">
        <f>HYPERLINK("https://android.googlesource.com/platform/cts/+/9877a122d69add931a3329633212e33376c9c4d8", "9877a122d69add931a3329633212e33376c9c4d8")</f>
        <v>0</v>
      </c>
      <c r="C17721">
        <f>HYPERLINK("https://android.googlesource.com/platform/cts/+/2c5dba4cc56f6d7db151021c4cc307ca4ff44997", "2c5dba4cc56f6d7db151021c4cc307ca4ff44997")</f>
        <v>0</v>
      </c>
      <c r="D17721" t="s">
        <v>5678</v>
      </c>
      <c r="E17721" t="s">
        <v>9993</v>
      </c>
      <c r="F17721" t="s">
        <v>14635</v>
      </c>
      <c r="G17721" t="s">
        <v>18545</v>
      </c>
      <c r="H17721" t="s">
        <v>37573</v>
      </c>
    </row>
    <row r="17722" spans="1:8">
      <c r="A17722" t="s">
        <v>4323</v>
      </c>
      <c r="B17722">
        <f>HYPERLINK("https://android.googlesource.com/platform/cts/+/7c6fa74a61d3da48add4d787636dde4bd8e4bcb8", "7c6fa74a61d3da48add4d787636dde4bd8e4bcb8")</f>
        <v>0</v>
      </c>
      <c r="C17722">
        <f>HYPERLINK("https://android.googlesource.com/platform/cts/+/0458171720478d24085f5ee98616da8062f7169b", "0458171720478d24085f5ee98616da8062f7169b")</f>
        <v>0</v>
      </c>
      <c r="D17722" t="s">
        <v>5409</v>
      </c>
      <c r="E17722" t="s">
        <v>9994</v>
      </c>
      <c r="F17722" t="s">
        <v>14691</v>
      </c>
      <c r="G17722" t="s">
        <v>17364</v>
      </c>
      <c r="H17722" t="s">
        <v>36690</v>
      </c>
    </row>
    <row r="17723" spans="1:8">
      <c r="H17723" t="s">
        <v>37574</v>
      </c>
    </row>
    <row r="17724" spans="1:8">
      <c r="F17724" t="s">
        <v>12743</v>
      </c>
      <c r="G17724" t="s">
        <v>16935</v>
      </c>
      <c r="H17724" t="s">
        <v>25795</v>
      </c>
    </row>
    <row r="17725" spans="1:8">
      <c r="F17725" t="s">
        <v>13229</v>
      </c>
      <c r="G17725" t="s">
        <v>17370</v>
      </c>
      <c r="H17725" t="s">
        <v>25795</v>
      </c>
    </row>
    <row r="17726" spans="1:8">
      <c r="A17726" t="s">
        <v>4324</v>
      </c>
      <c r="B17726">
        <f>HYPERLINK("https://android.googlesource.com/platform/cts/+/b858732d7fe874bad9e7145fff66e11e4a1a2ba1", "b858732d7fe874bad9e7145fff66e11e4a1a2ba1")</f>
        <v>0</v>
      </c>
      <c r="C17726">
        <f>HYPERLINK("https://android.googlesource.com/platform/cts/+/fb95db167c44339730bde359cbeb5555f83f45ff", "fb95db167c44339730bde359cbeb5555f83f45ff")</f>
        <v>0</v>
      </c>
      <c r="D17726" t="s">
        <v>5409</v>
      </c>
      <c r="E17726" t="s">
        <v>9995</v>
      </c>
      <c r="F17726" t="s">
        <v>12768</v>
      </c>
      <c r="G17726" t="s">
        <v>15710</v>
      </c>
      <c r="H17726" t="s">
        <v>37582</v>
      </c>
    </row>
    <row r="17727" spans="1:8">
      <c r="A17727" t="s">
        <v>4325</v>
      </c>
      <c r="B17727">
        <f>HYPERLINK("https://android.googlesource.com/platform/cts/+/b03c1bdb0c5e0dd0d36a0fa1b0616dd92b2705ba", "b03c1bdb0c5e0dd0d36a0fa1b0616dd92b2705ba")</f>
        <v>0</v>
      </c>
      <c r="C17727">
        <f>HYPERLINK("https://android.googlesource.com/platform/cts/+/7f2735dd3157dcc98e8419296dcc8cab7e7467df", "7f2735dd3157dcc98e8419296dcc8cab7e7467df")</f>
        <v>0</v>
      </c>
      <c r="D17727" t="s">
        <v>5085</v>
      </c>
      <c r="E17727" t="s">
        <v>9996</v>
      </c>
      <c r="F17727" t="s">
        <v>14692</v>
      </c>
      <c r="G17727" t="s">
        <v>18582</v>
      </c>
      <c r="H17727" t="s">
        <v>37583</v>
      </c>
    </row>
    <row r="17728" spans="1:8">
      <c r="H17728" t="s">
        <v>37584</v>
      </c>
    </row>
    <row r="17729" spans="1:8">
      <c r="A17729" t="s">
        <v>4326</v>
      </c>
      <c r="B17729">
        <f>HYPERLINK("https://android.googlesource.com/platform/cts/+/4c3fb4564420b2437bf3e4cd69f32ef7c7ab0f38", "4c3fb4564420b2437bf3e4cd69f32ef7c7ab0f38")</f>
        <v>0</v>
      </c>
      <c r="C17729">
        <f>HYPERLINK("https://android.googlesource.com/platform/cts/+/efeb4c4858338c11217ba3d801f665e7a1806bc7", "efeb4c4858338c11217ba3d801f665e7a1806bc7")</f>
        <v>0</v>
      </c>
      <c r="D17729" t="s">
        <v>5570</v>
      </c>
      <c r="E17729" t="s">
        <v>9997</v>
      </c>
      <c r="F17729" t="s">
        <v>14196</v>
      </c>
      <c r="G17729" t="s">
        <v>18175</v>
      </c>
      <c r="H17729" t="s">
        <v>37586</v>
      </c>
    </row>
    <row r="17730" spans="1:8">
      <c r="H17730" t="s">
        <v>37587</v>
      </c>
    </row>
    <row r="17731" spans="1:8">
      <c r="H17731" t="s">
        <v>37588</v>
      </c>
    </row>
    <row r="17732" spans="1:8">
      <c r="A17732" t="s">
        <v>4328</v>
      </c>
      <c r="B17732">
        <f>HYPERLINK("https://android.googlesource.com/platform/cts/+/662f7f4f2bb0af0eb2bcea218c496779489875dd", "662f7f4f2bb0af0eb2bcea218c496779489875dd")</f>
        <v>0</v>
      </c>
      <c r="C17732">
        <f>HYPERLINK("https://android.googlesource.com/platform/cts/+/853b613e7cc9470562fa875feab0fa22b7332220", "853b613e7cc9470562fa875feab0fa22b7332220")</f>
        <v>0</v>
      </c>
      <c r="D17732" t="s">
        <v>5352</v>
      </c>
      <c r="E17732" t="s">
        <v>9999</v>
      </c>
      <c r="F17732" t="s">
        <v>14428</v>
      </c>
      <c r="G17732" t="s">
        <v>18366</v>
      </c>
      <c r="H17732" t="s">
        <v>37591</v>
      </c>
    </row>
    <row r="17733" spans="1:8">
      <c r="H17733" t="s">
        <v>37592</v>
      </c>
    </row>
    <row r="17734" spans="1:8">
      <c r="H17734" t="s">
        <v>37593</v>
      </c>
    </row>
    <row r="17735" spans="1:8">
      <c r="H17735" t="s">
        <v>37594</v>
      </c>
    </row>
    <row r="17736" spans="1:8">
      <c r="H17736" t="s">
        <v>37595</v>
      </c>
    </row>
    <row r="17737" spans="1:8">
      <c r="H17737" t="s">
        <v>37596</v>
      </c>
    </row>
    <row r="17738" spans="1:8">
      <c r="A17738" t="s">
        <v>4337</v>
      </c>
      <c r="B17738">
        <f>HYPERLINK("https://android.googlesource.com/platform/cts/+/b739d8a9a3cef09e1ecc1655416d7fe1dbb3b252", "b739d8a9a3cef09e1ecc1655416d7fe1dbb3b252")</f>
        <v>0</v>
      </c>
      <c r="C17738">
        <f>HYPERLINK("https://android.googlesource.com/platform/cts/+/464610904b6cb7029e0b2c035af8524d7264df1d", "464610904b6cb7029e0b2c035af8524d7264df1d")</f>
        <v>0</v>
      </c>
      <c r="D17738" t="s">
        <v>5681</v>
      </c>
      <c r="E17738" t="s">
        <v>10008</v>
      </c>
      <c r="F17738" t="s">
        <v>13392</v>
      </c>
      <c r="G17738" t="s">
        <v>17518</v>
      </c>
      <c r="H17738" t="s">
        <v>37610</v>
      </c>
    </row>
    <row r="17739" spans="1:8">
      <c r="H17739" t="s">
        <v>37611</v>
      </c>
    </row>
    <row r="17740" spans="1:8">
      <c r="A17740" t="s">
        <v>4338</v>
      </c>
      <c r="B17740">
        <f>HYPERLINK("https://android.googlesource.com/platform/cts/+/bfea2b429a1c1d118a394be5078d3fc0be403477", "bfea2b429a1c1d118a394be5078d3fc0be403477")</f>
        <v>0</v>
      </c>
      <c r="C17740">
        <f>HYPERLINK("https://android.googlesource.com/platform/cts/+/e49c76f519bbd7f07828bb94296989de2fd03248", "e49c76f519bbd7f07828bb94296989de2fd03248")</f>
        <v>0</v>
      </c>
      <c r="D17740" t="s">
        <v>5682</v>
      </c>
      <c r="E17740" t="s">
        <v>10009</v>
      </c>
      <c r="F17740" t="s">
        <v>14461</v>
      </c>
      <c r="G17740" t="s">
        <v>15710</v>
      </c>
      <c r="H17740" t="s">
        <v>37612</v>
      </c>
    </row>
    <row r="17741" spans="1:8">
      <c r="H17741" t="s">
        <v>37613</v>
      </c>
    </row>
    <row r="17742" spans="1:8">
      <c r="A17742" t="s">
        <v>4343</v>
      </c>
      <c r="B17742">
        <f>HYPERLINK("https://android.googlesource.com/platform/cts/+/51d1e27002686c3271a10c3f3de48b8e75e19125", "51d1e27002686c3271a10c3f3de48b8e75e19125")</f>
        <v>0</v>
      </c>
      <c r="C17742">
        <f>HYPERLINK("https://android.googlesource.com/platform/cts/+/7734362ee7e3fe0fc1d5fe07b2ebdc17db3eb152", "7734362ee7e3fe0fc1d5fe07b2ebdc17db3eb152")</f>
        <v>0</v>
      </c>
      <c r="D17742" t="s">
        <v>5681</v>
      </c>
      <c r="E17742" t="s">
        <v>10014</v>
      </c>
      <c r="F17742" t="s">
        <v>14697</v>
      </c>
      <c r="G17742" t="s">
        <v>17316</v>
      </c>
      <c r="H17742" t="s">
        <v>37617</v>
      </c>
    </row>
    <row r="17743" spans="1:8">
      <c r="F17743" t="s">
        <v>13392</v>
      </c>
      <c r="G17743" t="s">
        <v>17518</v>
      </c>
      <c r="H17743" t="s">
        <v>37617</v>
      </c>
    </row>
    <row r="17744" spans="1:8">
      <c r="H17744" t="s">
        <v>37621</v>
      </c>
    </row>
    <row r="17745" spans="1:8">
      <c r="H17745" t="s">
        <v>37619</v>
      </c>
    </row>
    <row r="17746" spans="1:8">
      <c r="A17746" t="s">
        <v>4347</v>
      </c>
      <c r="B17746">
        <f>HYPERLINK("https://android.googlesource.com/platform/cts/+/562583f26131f45b7db32c50d2d2ce1f1465c167", "562583f26131f45b7db32c50d2d2ce1f1465c167")</f>
        <v>0</v>
      </c>
      <c r="C17746">
        <f>HYPERLINK("https://android.googlesource.com/platform/cts/+/da2602313a3029c44df290b5c232b68052f7e806", "da2602313a3029c44df290b5c232b68052f7e806")</f>
        <v>0</v>
      </c>
      <c r="D17746" t="s">
        <v>5409</v>
      </c>
      <c r="E17746" t="s">
        <v>10018</v>
      </c>
      <c r="F17746" t="s">
        <v>14702</v>
      </c>
      <c r="G17746" t="s">
        <v>18590</v>
      </c>
      <c r="H17746" t="s">
        <v>37623</v>
      </c>
    </row>
    <row r="17747" spans="1:8">
      <c r="H17747" t="s">
        <v>37624</v>
      </c>
    </row>
    <row r="17748" spans="1:8">
      <c r="H17748" t="s">
        <v>37626</v>
      </c>
    </row>
    <row r="17749" spans="1:8">
      <c r="H17749" t="s">
        <v>37628</v>
      </c>
    </row>
    <row r="17750" spans="1:8">
      <c r="H17750" t="s">
        <v>37630</v>
      </c>
    </row>
    <row r="17751" spans="1:8">
      <c r="H17751" t="s">
        <v>37632</v>
      </c>
    </row>
    <row r="17752" spans="1:8">
      <c r="H17752" t="s">
        <v>37634</v>
      </c>
    </row>
    <row r="17753" spans="1:8">
      <c r="H17753" t="s">
        <v>37636</v>
      </c>
    </row>
    <row r="17754" spans="1:8">
      <c r="H17754" t="s">
        <v>37638</v>
      </c>
    </row>
    <row r="17755" spans="1:8">
      <c r="A17755" t="s">
        <v>4351</v>
      </c>
      <c r="B17755">
        <f>HYPERLINK("https://android.googlesource.com/platform/cts/+/fac20484489a1521b93da8efb8afd7e9e181f3cd", "fac20484489a1521b93da8efb8afd7e9e181f3cd")</f>
        <v>0</v>
      </c>
      <c r="C17755">
        <f>HYPERLINK("https://android.googlesource.com/platform/cts/+/db86295685fb2d24a838b2b1ee3e56b0e3c358fc", "db86295685fb2d24a838b2b1ee3e56b0e3c358fc")</f>
        <v>0</v>
      </c>
      <c r="D17755" t="s">
        <v>5569</v>
      </c>
      <c r="E17755" t="s">
        <v>10022</v>
      </c>
      <c r="F17755" t="s">
        <v>14273</v>
      </c>
      <c r="G17755" t="s">
        <v>18240</v>
      </c>
      <c r="H17755" t="s">
        <v>37640</v>
      </c>
    </row>
    <row r="17756" spans="1:8">
      <c r="A17756" t="s">
        <v>4352</v>
      </c>
      <c r="B17756">
        <f>HYPERLINK("https://android.googlesource.com/platform/cts/+/f51224949188a760cf007302fc29640951a45e7d", "f51224949188a760cf007302fc29640951a45e7d")</f>
        <v>0</v>
      </c>
      <c r="C17756">
        <f>HYPERLINK("https://android.googlesource.com/platform/cts/+/93c0427f66b8918067e8f45f0ad62dcd21da52d0", "93c0427f66b8918067e8f45f0ad62dcd21da52d0")</f>
        <v>0</v>
      </c>
      <c r="D17756" t="s">
        <v>5670</v>
      </c>
      <c r="E17756" t="s">
        <v>10023</v>
      </c>
      <c r="F17756" t="s">
        <v>14703</v>
      </c>
      <c r="G17756" t="s">
        <v>18591</v>
      </c>
      <c r="H17756" t="s">
        <v>37641</v>
      </c>
    </row>
    <row r="17757" spans="1:8">
      <c r="F17757" t="s">
        <v>14704</v>
      </c>
      <c r="G17757" t="s">
        <v>18592</v>
      </c>
      <c r="H17757" t="s">
        <v>37642</v>
      </c>
    </row>
    <row r="17758" spans="1:8">
      <c r="H17758" t="s">
        <v>37643</v>
      </c>
    </row>
    <row r="17759" spans="1:8">
      <c r="F17759" t="s">
        <v>14706</v>
      </c>
      <c r="G17759" t="s">
        <v>18594</v>
      </c>
      <c r="H17759" t="s">
        <v>37641</v>
      </c>
    </row>
    <row r="17760" spans="1:8">
      <c r="A17760" t="s">
        <v>4353</v>
      </c>
      <c r="B17760">
        <f>HYPERLINK("https://android.googlesource.com/platform/cts/+/bc80a038f8de952f31ac9396f00b3908ccf134e7", "bc80a038f8de952f31ac9396f00b3908ccf134e7")</f>
        <v>0</v>
      </c>
      <c r="C17760">
        <f>HYPERLINK("https://android.googlesource.com/platform/cts/+/5cc0002148066a6bc92bc761e08e31a431667e71", "5cc0002148066a6bc92bc761e08e31a431667e71")</f>
        <v>0</v>
      </c>
      <c r="D17760" t="s">
        <v>5686</v>
      </c>
      <c r="E17760" t="s">
        <v>10024</v>
      </c>
      <c r="F17760" t="s">
        <v>13225</v>
      </c>
      <c r="G17760" t="s">
        <v>17366</v>
      </c>
      <c r="H17760" t="s">
        <v>37649</v>
      </c>
    </row>
    <row r="17761" spans="1:8">
      <c r="A17761" t="s">
        <v>4355</v>
      </c>
      <c r="B17761">
        <f>HYPERLINK("https://android.googlesource.com/platform/cts/+/4b73d374ef778ffcaa4bfd141a2b675872f93b24", "4b73d374ef778ffcaa4bfd141a2b675872f93b24")</f>
        <v>0</v>
      </c>
      <c r="C17761">
        <f>HYPERLINK("https://android.googlesource.com/platform/cts/+/35648503dfd4e0662e876614f883be2803c6c75e", "35648503dfd4e0662e876614f883be2803c6c75e")</f>
        <v>0</v>
      </c>
      <c r="D17761" t="s">
        <v>5688</v>
      </c>
      <c r="E17761" t="s">
        <v>10026</v>
      </c>
      <c r="F17761" t="s">
        <v>14536</v>
      </c>
      <c r="G17761" t="s">
        <v>18460</v>
      </c>
      <c r="H17761" t="s">
        <v>37650</v>
      </c>
    </row>
    <row r="17762" spans="1:8">
      <c r="A17762" t="s">
        <v>4357</v>
      </c>
      <c r="B17762">
        <f>HYPERLINK("https://android.googlesource.com/platform/cts/+/3fe97654b19ddd310ee47d7ff3ab8a5fb6eb823c", "3fe97654b19ddd310ee47d7ff3ab8a5fb6eb823c")</f>
        <v>0</v>
      </c>
      <c r="C17762">
        <f>HYPERLINK("https://android.googlesource.com/platform/cts/+/19e702e9d30c8e2fe6eac7b1fd2c447af5a84af9", "19e702e9d30c8e2fe6eac7b1fd2c447af5a84af9")</f>
        <v>0</v>
      </c>
      <c r="D17762" t="s">
        <v>5437</v>
      </c>
      <c r="E17762" t="s">
        <v>10028</v>
      </c>
      <c r="F17762" t="s">
        <v>12845</v>
      </c>
      <c r="G17762" t="s">
        <v>16561</v>
      </c>
      <c r="H17762" t="s">
        <v>37651</v>
      </c>
    </row>
    <row r="17763" spans="1:8">
      <c r="A17763" t="s">
        <v>4359</v>
      </c>
      <c r="B17763">
        <f>HYPERLINK("https://android.googlesource.com/platform/cts/+/e116edd8fc9e01bde4156ba43210c14a4190c7a5", "e116edd8fc9e01bde4156ba43210c14a4190c7a5")</f>
        <v>0</v>
      </c>
      <c r="C17763">
        <f>HYPERLINK("https://android.googlesource.com/platform/cts/+/74fad4d53b3e34921de625a64ae6d9f0aa1c832d", "74fad4d53b3e34921de625a64ae6d9f0aa1c832d")</f>
        <v>0</v>
      </c>
      <c r="D17763" t="s">
        <v>5610</v>
      </c>
      <c r="E17763" t="s">
        <v>10029</v>
      </c>
      <c r="F17763" t="s">
        <v>14653</v>
      </c>
      <c r="G17763" t="s">
        <v>17776</v>
      </c>
      <c r="H17763" t="s">
        <v>37652</v>
      </c>
    </row>
    <row r="17764" spans="1:8">
      <c r="H17764" t="s">
        <v>37653</v>
      </c>
    </row>
    <row r="17765" spans="1:8">
      <c r="A17765" t="s">
        <v>4369</v>
      </c>
      <c r="B17765">
        <f>HYPERLINK("https://android.googlesource.com/platform/cts/+/9a30fca9f8f4c6da04af1c5a8895a18749acb094", "9a30fca9f8f4c6da04af1c5a8895a18749acb094")</f>
        <v>0</v>
      </c>
      <c r="C17765">
        <f>HYPERLINK("https://android.googlesource.com/platform/cts/+/0ddee11e4fef17db7d7e5538e8ffd80b4fd70b39", "0ddee11e4fef17db7d7e5538e8ffd80b4fd70b39")</f>
        <v>0</v>
      </c>
      <c r="D17765" t="s">
        <v>5409</v>
      </c>
      <c r="E17765" t="s">
        <v>10039</v>
      </c>
      <c r="F17765" t="s">
        <v>12743</v>
      </c>
      <c r="G17765" t="s">
        <v>16935</v>
      </c>
      <c r="H17765" t="s">
        <v>37673</v>
      </c>
    </row>
    <row r="17766" spans="1:8">
      <c r="H17766" t="s">
        <v>37674</v>
      </c>
    </row>
    <row r="17767" spans="1:8">
      <c r="H17767" t="s">
        <v>37675</v>
      </c>
    </row>
    <row r="17768" spans="1:8">
      <c r="H17768" t="s">
        <v>37676</v>
      </c>
    </row>
    <row r="17769" spans="1:8">
      <c r="F17769" t="s">
        <v>13229</v>
      </c>
      <c r="G17769" t="s">
        <v>17370</v>
      </c>
      <c r="H17769" t="s">
        <v>37673</v>
      </c>
    </row>
    <row r="17770" spans="1:8">
      <c r="H17770" t="s">
        <v>37674</v>
      </c>
    </row>
    <row r="17771" spans="1:8">
      <c r="A17771" t="s">
        <v>4378</v>
      </c>
      <c r="B17771">
        <f>HYPERLINK("https://android.googlesource.com/platform/cts/+/1f6856c65d27ec7adbbb54693bbd721e5e08a133", "1f6856c65d27ec7adbbb54693bbd721e5e08a133")</f>
        <v>0</v>
      </c>
      <c r="C17771">
        <f>HYPERLINK("https://android.googlesource.com/platform/cts/+/97d7d5f16429d09b8c23e66ff92c28074b491e14", "97d7d5f16429d09b8c23e66ff92c28074b491e14")</f>
        <v>0</v>
      </c>
      <c r="D17771" t="s">
        <v>5409</v>
      </c>
      <c r="E17771" t="s">
        <v>10048</v>
      </c>
      <c r="F17771" t="s">
        <v>14136</v>
      </c>
      <c r="G17771" t="s">
        <v>18124</v>
      </c>
      <c r="H17771" t="s">
        <v>37681</v>
      </c>
    </row>
    <row r="17772" spans="1:8">
      <c r="F17772" t="s">
        <v>14350</v>
      </c>
      <c r="G17772" t="s">
        <v>18301</v>
      </c>
      <c r="H17772" t="s">
        <v>37682</v>
      </c>
    </row>
    <row r="17773" spans="1:8">
      <c r="F17773" t="s">
        <v>12743</v>
      </c>
      <c r="G17773" t="s">
        <v>16935</v>
      </c>
      <c r="H17773" t="s">
        <v>37681</v>
      </c>
    </row>
    <row r="17774" spans="1:8">
      <c r="F17774" t="s">
        <v>14390</v>
      </c>
      <c r="G17774" t="s">
        <v>18331</v>
      </c>
      <c r="H17774" t="s">
        <v>30867</v>
      </c>
    </row>
    <row r="17775" spans="1:8">
      <c r="A17775" t="s">
        <v>4384</v>
      </c>
      <c r="B17775">
        <f>HYPERLINK("https://android.googlesource.com/platform/cts/+/b4454b4ac95ea4076cc07152e288c78c0ebcb404", "b4454b4ac95ea4076cc07152e288c78c0ebcb404")</f>
        <v>0</v>
      </c>
      <c r="C17775">
        <f>HYPERLINK("https://android.googlesource.com/platform/cts/+/55e11d1cbf4812e764e1de79426a1dc27d225405", "55e11d1cbf4812e764e1de79426a1dc27d225405")</f>
        <v>0</v>
      </c>
      <c r="D17775" t="s">
        <v>5526</v>
      </c>
      <c r="E17775" t="s">
        <v>10054</v>
      </c>
      <c r="F17775" t="s">
        <v>14708</v>
      </c>
      <c r="G17775" t="s">
        <v>18596</v>
      </c>
      <c r="H17775" t="s">
        <v>37687</v>
      </c>
    </row>
    <row r="17776" spans="1:8">
      <c r="A17776" t="s">
        <v>4387</v>
      </c>
      <c r="B17776">
        <f>HYPERLINK("https://android.googlesource.com/platform/cts/+/24bfdb150a0ebeafa1e465a899bc63ca61663d78", "24bfdb150a0ebeafa1e465a899bc63ca61663d78")</f>
        <v>0</v>
      </c>
      <c r="C17776">
        <f>HYPERLINK("https://android.googlesource.com/platform/cts/+/96332e458ab5c8be69cdd7afbc07879eeb437059", "96332e458ab5c8be69cdd7afbc07879eeb437059")</f>
        <v>0</v>
      </c>
      <c r="D17776" t="s">
        <v>5409</v>
      </c>
      <c r="E17776" t="s">
        <v>10057</v>
      </c>
      <c r="F17776" t="s">
        <v>13974</v>
      </c>
      <c r="G17776" t="s">
        <v>17999</v>
      </c>
      <c r="H17776" t="s">
        <v>37690</v>
      </c>
    </row>
    <row r="17777" spans="1:8">
      <c r="F17777" t="s">
        <v>14038</v>
      </c>
      <c r="G17777" t="s">
        <v>18041</v>
      </c>
      <c r="H17777" t="s">
        <v>37690</v>
      </c>
    </row>
    <row r="17778" spans="1:8">
      <c r="F17778" t="s">
        <v>12762</v>
      </c>
      <c r="G17778" t="s">
        <v>16953</v>
      </c>
      <c r="H17778" t="s">
        <v>37690</v>
      </c>
    </row>
    <row r="17779" spans="1:8">
      <c r="F17779" t="s">
        <v>12743</v>
      </c>
      <c r="G17779" t="s">
        <v>16935</v>
      </c>
      <c r="H17779" t="s">
        <v>37690</v>
      </c>
    </row>
    <row r="17780" spans="1:8">
      <c r="F17780" t="s">
        <v>13229</v>
      </c>
      <c r="G17780" t="s">
        <v>17370</v>
      </c>
      <c r="H17780" t="s">
        <v>37690</v>
      </c>
    </row>
    <row r="17781" spans="1:8">
      <c r="A17781" t="s">
        <v>4391</v>
      </c>
      <c r="B17781">
        <f>HYPERLINK("https://android.googlesource.com/platform/cts/+/fa3a99538ff1124586f9bb889ab909a853d55d71", "fa3a99538ff1124586f9bb889ab909a853d55d71")</f>
        <v>0</v>
      </c>
      <c r="C17781">
        <f>HYPERLINK("https://android.googlesource.com/platform/cts/+/42df9fa626b9885f906594642591dc133c8ae506", "42df9fa626b9885f906594642591dc133c8ae506")</f>
        <v>0</v>
      </c>
      <c r="D17781" t="s">
        <v>5046</v>
      </c>
      <c r="E17781" t="s">
        <v>10061</v>
      </c>
      <c r="F17781" t="s">
        <v>14710</v>
      </c>
      <c r="G17781" t="s">
        <v>18598</v>
      </c>
      <c r="H17781" t="s">
        <v>37693</v>
      </c>
    </row>
    <row r="17782" spans="1:8">
      <c r="H17782" t="s">
        <v>37694</v>
      </c>
    </row>
    <row r="17783" spans="1:8">
      <c r="A17783" t="s">
        <v>4393</v>
      </c>
      <c r="B17783">
        <f>HYPERLINK("https://android.googlesource.com/platform/cts/+/fe2c9e9fb070ee40ae223375ed9143a927b96bf2", "fe2c9e9fb070ee40ae223375ed9143a927b96bf2")</f>
        <v>0</v>
      </c>
      <c r="C17783">
        <f>HYPERLINK("https://android.googlesource.com/platform/cts/+/473715dfebbe96a6b0b9bd4823a2402bbe81e537", "473715dfebbe96a6b0b9bd4823a2402bbe81e537")</f>
        <v>0</v>
      </c>
      <c r="D17783" t="s">
        <v>5341</v>
      </c>
      <c r="E17783" t="s">
        <v>10063</v>
      </c>
      <c r="F17783" t="s">
        <v>13827</v>
      </c>
      <c r="G17783" t="s">
        <v>17871</v>
      </c>
      <c r="H17783" t="s">
        <v>37697</v>
      </c>
    </row>
    <row r="17784" spans="1:8">
      <c r="A17784" t="s">
        <v>4400</v>
      </c>
      <c r="B17784">
        <f>HYPERLINK("https://android.googlesource.com/platform/cts/+/7a60317b587417f071bc6ab0c670c66b488e35b9", "7a60317b587417f071bc6ab0c670c66b488e35b9")</f>
        <v>0</v>
      </c>
      <c r="C17784">
        <f>HYPERLINK("https://android.googlesource.com/platform/cts/+/17e848e89df07027c6a718bb33f24d06d2d15366", "17e848e89df07027c6a718bb33f24d06d2d15366")</f>
        <v>0</v>
      </c>
      <c r="D17784" t="s">
        <v>5182</v>
      </c>
      <c r="E17784" t="s">
        <v>10070</v>
      </c>
      <c r="F17784" t="s">
        <v>14715</v>
      </c>
      <c r="G17784" t="s">
        <v>18602</v>
      </c>
      <c r="H17784" t="s">
        <v>37706</v>
      </c>
    </row>
    <row r="17785" spans="1:8">
      <c r="H17785" t="s">
        <v>37707</v>
      </c>
    </row>
    <row r="17786" spans="1:8">
      <c r="H17786" t="s">
        <v>37708</v>
      </c>
    </row>
    <row r="17787" spans="1:8">
      <c r="H17787" t="s">
        <v>37709</v>
      </c>
    </row>
    <row r="17788" spans="1:8">
      <c r="A17788" t="s">
        <v>4402</v>
      </c>
      <c r="B17788">
        <f>HYPERLINK("https://android.googlesource.com/platform/cts/+/54c31e41132932492fcccfe0336f405138bfa454", "54c31e41132932492fcccfe0336f405138bfa454")</f>
        <v>0</v>
      </c>
      <c r="C17788">
        <f>HYPERLINK("https://android.googlesource.com/platform/cts/+/1589ac3f1024c9db651b0288a86587035f940829", "1589ac3f1024c9db651b0288a86587035f940829")</f>
        <v>0</v>
      </c>
      <c r="D17788" t="s">
        <v>5473</v>
      </c>
      <c r="E17788" t="s">
        <v>10072</v>
      </c>
      <c r="F17788" t="s">
        <v>14185</v>
      </c>
      <c r="G17788" t="s">
        <v>18166</v>
      </c>
      <c r="H17788" t="s">
        <v>37720</v>
      </c>
    </row>
    <row r="17789" spans="1:8">
      <c r="A17789" t="s">
        <v>4404</v>
      </c>
      <c r="B17789">
        <f>HYPERLINK("https://android.googlesource.com/platform/cts/+/93e479813b6564b179d42d91bb5aed61b393f0a8", "93e479813b6564b179d42d91bb5aed61b393f0a8")</f>
        <v>0</v>
      </c>
      <c r="C17789">
        <f>HYPERLINK("https://android.googlesource.com/platform/cts/+/e8c1b8e3a818f990c7d2898c8987363316590b63", "e8c1b8e3a818f990c7d2898c8987363316590b63")</f>
        <v>0</v>
      </c>
      <c r="D17789" t="s">
        <v>5696</v>
      </c>
      <c r="E17789" t="s">
        <v>10074</v>
      </c>
      <c r="F17789" t="s">
        <v>13548</v>
      </c>
      <c r="G17789" t="s">
        <v>15171</v>
      </c>
      <c r="H17789" t="s">
        <v>37722</v>
      </c>
    </row>
    <row r="17790" spans="1:8">
      <c r="F17790" t="s">
        <v>14225</v>
      </c>
      <c r="G17790" t="s">
        <v>15691</v>
      </c>
      <c r="H17790" t="s">
        <v>37722</v>
      </c>
    </row>
    <row r="17791" spans="1:8">
      <c r="A17791" t="s">
        <v>4406</v>
      </c>
      <c r="B17791">
        <f>HYPERLINK("https://android.googlesource.com/platform/cts/+/27887a50ff11a1e4769ff39979870923ce7e0f25", "27887a50ff11a1e4769ff39979870923ce7e0f25")</f>
        <v>0</v>
      </c>
      <c r="C17791">
        <f>HYPERLINK("https://android.googlesource.com/platform/cts/+/c21ab94d0d1ed450f5a0881103cbd5da616bec96", "c21ab94d0d1ed450f5a0881103cbd5da616bec96")</f>
        <v>0</v>
      </c>
      <c r="D17791" t="s">
        <v>5481</v>
      </c>
      <c r="E17791" t="s">
        <v>10076</v>
      </c>
      <c r="F17791" t="s">
        <v>14408</v>
      </c>
      <c r="G17791" t="s">
        <v>18346</v>
      </c>
      <c r="H17791" t="s">
        <v>36730</v>
      </c>
    </row>
    <row r="17792" spans="1:8">
      <c r="H17792" t="s">
        <v>36731</v>
      </c>
    </row>
    <row r="17793" spans="1:8">
      <c r="F17793" t="s">
        <v>14409</v>
      </c>
      <c r="G17793" t="s">
        <v>18347</v>
      </c>
      <c r="H17793" t="s">
        <v>36730</v>
      </c>
    </row>
    <row r="17794" spans="1:8">
      <c r="H17794" t="s">
        <v>36731</v>
      </c>
    </row>
    <row r="17795" spans="1:8">
      <c r="A17795" t="s">
        <v>4407</v>
      </c>
      <c r="B17795">
        <f>HYPERLINK("https://android.googlesource.com/platform/cts/+/7da23f3b662b11d051f54dd946cab27600ddde25", "7da23f3b662b11d051f54dd946cab27600ddde25")</f>
        <v>0</v>
      </c>
      <c r="C17795">
        <f>HYPERLINK("https://android.googlesource.com/platform/cts/+/f3e1e5af4472d6d8953e95add8e67a631ee3471d", "f3e1e5af4472d6d8953e95add8e67a631ee3471d")</f>
        <v>0</v>
      </c>
      <c r="D17795" t="s">
        <v>5038</v>
      </c>
      <c r="E17795" t="s">
        <v>10077</v>
      </c>
      <c r="F17795" t="s">
        <v>14716</v>
      </c>
      <c r="G17795" t="s">
        <v>18106</v>
      </c>
      <c r="H17795" t="s">
        <v>37724</v>
      </c>
    </row>
    <row r="17796" spans="1:8">
      <c r="A17796" t="s">
        <v>4408</v>
      </c>
      <c r="B17796">
        <f>HYPERLINK("https://android.googlesource.com/platform/cts/+/f2b0346a3b40f64394abea4d4a28de12fbca4938", "f2b0346a3b40f64394abea4d4a28de12fbca4938")</f>
        <v>0</v>
      </c>
      <c r="C17796">
        <f>HYPERLINK("https://android.googlesource.com/platform/cts/+/f3e1e5af4472d6d8953e95add8e67a631ee3471d", "f3e1e5af4472d6d8953e95add8e67a631ee3471d")</f>
        <v>0</v>
      </c>
      <c r="D17796" t="s">
        <v>5038</v>
      </c>
      <c r="E17796" t="s">
        <v>10078</v>
      </c>
      <c r="F17796" t="s">
        <v>14717</v>
      </c>
      <c r="G17796" t="s">
        <v>15723</v>
      </c>
      <c r="H17796" t="s">
        <v>37725</v>
      </c>
    </row>
    <row r="17797" spans="1:8">
      <c r="A17797" t="s">
        <v>4409</v>
      </c>
      <c r="B17797">
        <f>HYPERLINK("https://android.googlesource.com/platform/cts/+/8549571aef0edf62ecd5aea350e61c3fa600779c", "8549571aef0edf62ecd5aea350e61c3fa600779c")</f>
        <v>0</v>
      </c>
      <c r="C17797">
        <f>HYPERLINK("https://android.googlesource.com/platform/cts/+/f3e1e5af4472d6d8953e95add8e67a631ee3471d", "f3e1e5af4472d6d8953e95add8e67a631ee3471d")</f>
        <v>0</v>
      </c>
      <c r="D17797" t="s">
        <v>5038</v>
      </c>
      <c r="E17797" t="s">
        <v>10079</v>
      </c>
      <c r="F17797" t="s">
        <v>14717</v>
      </c>
      <c r="G17797" t="s">
        <v>15723</v>
      </c>
      <c r="H17797" t="s">
        <v>37726</v>
      </c>
    </row>
    <row r="17798" spans="1:8">
      <c r="A17798" t="s">
        <v>4419</v>
      </c>
      <c r="B17798">
        <f>HYPERLINK("https://android.googlesource.com/platform/cts/+/fed08fea4f75261469e972ba03abf027055f6dba", "fed08fea4f75261469e972ba03abf027055f6dba")</f>
        <v>0</v>
      </c>
      <c r="C17798">
        <f>HYPERLINK("https://android.googlesource.com/platform/cts/+/1a6463c44989289bc0a755a978bfdd134a08338d", "1a6463c44989289bc0a755a978bfdd134a08338d")</f>
        <v>0</v>
      </c>
      <c r="D17798" t="s">
        <v>5698</v>
      </c>
      <c r="E17798" t="s">
        <v>10089</v>
      </c>
      <c r="F17798" t="s">
        <v>14723</v>
      </c>
      <c r="G17798" t="s">
        <v>18604</v>
      </c>
      <c r="H17798" t="s">
        <v>37734</v>
      </c>
    </row>
    <row r="17799" spans="1:8">
      <c r="H17799" t="s">
        <v>37735</v>
      </c>
    </row>
    <row r="17800" spans="1:8">
      <c r="H17800" t="s">
        <v>37736</v>
      </c>
    </row>
    <row r="17801" spans="1:8">
      <c r="A17801" t="s">
        <v>4425</v>
      </c>
      <c r="B17801">
        <f>HYPERLINK("https://android.googlesource.com/platform/cts/+/77847af5fd63358fce91d9223a2fa410eb6ea74c", "77847af5fd63358fce91d9223a2fa410eb6ea74c")</f>
        <v>0</v>
      </c>
      <c r="C17801">
        <f>HYPERLINK("https://android.googlesource.com/platform/cts/+/a25121b8ed05d9395caceb2f777cd4f17b2e7409", "a25121b8ed05d9395caceb2f777cd4f17b2e7409")</f>
        <v>0</v>
      </c>
      <c r="D17801" t="s">
        <v>5191</v>
      </c>
      <c r="E17801" t="s">
        <v>10095</v>
      </c>
      <c r="F17801" t="s">
        <v>14727</v>
      </c>
      <c r="G17801" t="s">
        <v>18608</v>
      </c>
      <c r="H17801" t="s">
        <v>37759</v>
      </c>
    </row>
    <row r="17802" spans="1:8">
      <c r="A17802" t="s">
        <v>4426</v>
      </c>
      <c r="B17802">
        <f>HYPERLINK("https://android.googlesource.com/platform/cts/+/ed92b5d220fe0c2f4fcd34734e073c3fe9b48be8", "ed92b5d220fe0c2f4fcd34734e073c3fe9b48be8")</f>
        <v>0</v>
      </c>
      <c r="C17802">
        <f>HYPERLINK("https://android.googlesource.com/platform/cts/+/6f7f2e606bc096d2cac1da50b2c7b5b811bb7dbf", "6f7f2e606bc096d2cac1da50b2c7b5b811bb7dbf")</f>
        <v>0</v>
      </c>
      <c r="D17802" t="s">
        <v>5700</v>
      </c>
      <c r="E17802" t="s">
        <v>10096</v>
      </c>
      <c r="F17802" t="s">
        <v>14728</v>
      </c>
      <c r="G17802" t="s">
        <v>18609</v>
      </c>
      <c r="H17802" t="s">
        <v>37760</v>
      </c>
    </row>
    <row r="17803" spans="1:8">
      <c r="H17803" t="s">
        <v>37761</v>
      </c>
    </row>
    <row r="17804" spans="1:8">
      <c r="F17804" t="s">
        <v>14729</v>
      </c>
      <c r="G17804" t="s">
        <v>18610</v>
      </c>
      <c r="H17804" t="s">
        <v>37762</v>
      </c>
    </row>
    <row r="17805" spans="1:8">
      <c r="H17805" t="s">
        <v>27720</v>
      </c>
    </row>
    <row r="17806" spans="1:8">
      <c r="H17806" t="s">
        <v>37763</v>
      </c>
    </row>
    <row r="17807" spans="1:8">
      <c r="H17807" t="s">
        <v>37764</v>
      </c>
    </row>
    <row r="17808" spans="1:8">
      <c r="H17808" t="s">
        <v>37765</v>
      </c>
    </row>
    <row r="17809" spans="8:8">
      <c r="H17809" t="s">
        <v>37766</v>
      </c>
    </row>
    <row r="17810" spans="8:8">
      <c r="H17810" t="s">
        <v>37767</v>
      </c>
    </row>
    <row r="17811" spans="8:8">
      <c r="H17811" t="s">
        <v>37768</v>
      </c>
    </row>
    <row r="17812" spans="8:8">
      <c r="H17812" t="s">
        <v>37769</v>
      </c>
    </row>
    <row r="17813" spans="8:8">
      <c r="H17813" t="s">
        <v>37770</v>
      </c>
    </row>
    <row r="17814" spans="8:8">
      <c r="H17814" t="s">
        <v>37771</v>
      </c>
    </row>
    <row r="17815" spans="8:8">
      <c r="H17815" t="s">
        <v>37772</v>
      </c>
    </row>
    <row r="17816" spans="8:8">
      <c r="H17816" t="s">
        <v>37773</v>
      </c>
    </row>
    <row r="17817" spans="8:8">
      <c r="H17817" t="s">
        <v>37774</v>
      </c>
    </row>
    <row r="17818" spans="8:8">
      <c r="H17818" t="s">
        <v>37775</v>
      </c>
    </row>
    <row r="17819" spans="8:8">
      <c r="H17819" t="s">
        <v>37776</v>
      </c>
    </row>
    <row r="17820" spans="8:8">
      <c r="H17820" t="s">
        <v>37777</v>
      </c>
    </row>
    <row r="17821" spans="8:8">
      <c r="H17821" t="s">
        <v>37778</v>
      </c>
    </row>
    <row r="17822" spans="8:8">
      <c r="H17822" t="s">
        <v>37779</v>
      </c>
    </row>
    <row r="17823" spans="8:8">
      <c r="H17823" t="s">
        <v>37780</v>
      </c>
    </row>
    <row r="17824" spans="8:8">
      <c r="H17824" t="s">
        <v>37781</v>
      </c>
    </row>
    <row r="17825" spans="1:8">
      <c r="H17825" t="s">
        <v>37782</v>
      </c>
    </row>
    <row r="17826" spans="1:8">
      <c r="H17826" t="s">
        <v>37783</v>
      </c>
    </row>
    <row r="17827" spans="1:8">
      <c r="A17827" t="s">
        <v>4429</v>
      </c>
      <c r="B17827">
        <f>HYPERLINK("https://android.googlesource.com/platform/cts/+/b3fa9adc1430ad7e716bbe046bc0a6c9dac67013", "b3fa9adc1430ad7e716bbe046bc0a6c9dac67013")</f>
        <v>0</v>
      </c>
      <c r="C17827">
        <f>HYPERLINK("https://android.googlesource.com/platform/cts/+/fb33ad5df17245fc69ac1527a2e6d4f8a41be551", "fb33ad5df17245fc69ac1527a2e6d4f8a41be551")</f>
        <v>0</v>
      </c>
      <c r="D17827" t="s">
        <v>5243</v>
      </c>
      <c r="E17827" t="s">
        <v>10099</v>
      </c>
      <c r="F17827" t="s">
        <v>14696</v>
      </c>
      <c r="G17827" t="s">
        <v>18555</v>
      </c>
      <c r="H17827" t="s">
        <v>37319</v>
      </c>
    </row>
    <row r="17828" spans="1:8">
      <c r="A17828" t="s">
        <v>4430</v>
      </c>
      <c r="B17828">
        <f>HYPERLINK("https://android.googlesource.com/platform/cts/+/493b8d7d3b4d43e483c03b155d38057e3eacd3c9", "493b8d7d3b4d43e483c03b155d38057e3eacd3c9")</f>
        <v>0</v>
      </c>
      <c r="C17828">
        <f>HYPERLINK("https://android.googlesource.com/platform/cts/+/245f97758f65d5446b0ca2c0ab08b9c72c73a428", "245f97758f65d5446b0ca2c0ab08b9c72c73a428")</f>
        <v>0</v>
      </c>
      <c r="D17828" t="s">
        <v>5700</v>
      </c>
      <c r="E17828" t="s">
        <v>10100</v>
      </c>
      <c r="F17828" t="s">
        <v>14730</v>
      </c>
      <c r="G17828" t="s">
        <v>18611</v>
      </c>
      <c r="H17828" t="s">
        <v>37792</v>
      </c>
    </row>
    <row r="17829" spans="1:8">
      <c r="A17829" t="s">
        <v>4431</v>
      </c>
      <c r="B17829">
        <f>HYPERLINK("https://android.googlesource.com/platform/cts/+/93f558b615626e4a6a2e63c046d303000ddb96ea", "93f558b615626e4a6a2e63c046d303000ddb96ea")</f>
        <v>0</v>
      </c>
      <c r="C17829">
        <f>HYPERLINK("https://android.googlesource.com/platform/cts/+/a79a4f33e63a9f6f24efdfd0b914b89c31e59ff7", "a79a4f33e63a9f6f24efdfd0b914b89c31e59ff7")</f>
        <v>0</v>
      </c>
      <c r="D17829" t="s">
        <v>5118</v>
      </c>
      <c r="E17829" t="s">
        <v>10101</v>
      </c>
      <c r="F17829" t="s">
        <v>13165</v>
      </c>
      <c r="G17829" t="s">
        <v>17315</v>
      </c>
      <c r="H17829" t="s">
        <v>37793</v>
      </c>
    </row>
    <row r="17830" spans="1:8">
      <c r="A17830" t="s">
        <v>4435</v>
      </c>
      <c r="B17830">
        <f>HYPERLINK("https://android.googlesource.com/platform/cts/+/e71f66ecc0dacc8e5d53afc2ef05112f1a19fe0c", "e71f66ecc0dacc8e5d53afc2ef05112f1a19fe0c")</f>
        <v>0</v>
      </c>
      <c r="C17830">
        <f>HYPERLINK("https://android.googlesource.com/platform/cts/+/6a7835b7b0fbf1fb1fdbc6e395fb7a5db6a3ec63", "6a7835b7b0fbf1fb1fdbc6e395fb7a5db6a3ec63")</f>
        <v>0</v>
      </c>
      <c r="D17830" t="s">
        <v>5363</v>
      </c>
      <c r="E17830" t="s">
        <v>10102</v>
      </c>
      <c r="F17830" t="s">
        <v>14731</v>
      </c>
      <c r="G17830" t="s">
        <v>18612</v>
      </c>
      <c r="H17830" t="s">
        <v>18836</v>
      </c>
    </row>
    <row r="17831" spans="1:8">
      <c r="A17831" t="s">
        <v>4441</v>
      </c>
      <c r="B17831">
        <f>HYPERLINK("https://android.googlesource.com/platform/cts/+/2deb3b31533ac7e8cfbd434ebf69548ca0ec8e19", "2deb3b31533ac7e8cfbd434ebf69548ca0ec8e19")</f>
        <v>0</v>
      </c>
      <c r="C17831">
        <f>HYPERLINK("https://android.googlesource.com/platform/cts/+/89228705d002b34f8e6a55f36a5ad8e36b9c9e00", "89228705d002b34f8e6a55f36a5ad8e36b9c9e00")</f>
        <v>0</v>
      </c>
      <c r="D17831" t="s">
        <v>5504</v>
      </c>
      <c r="E17831" t="s">
        <v>10108</v>
      </c>
      <c r="F17831" t="s">
        <v>14300</v>
      </c>
      <c r="G17831" t="s">
        <v>18259</v>
      </c>
      <c r="H17831" t="s">
        <v>37812</v>
      </c>
    </row>
    <row r="17832" spans="1:8">
      <c r="H17832" t="s">
        <v>37813</v>
      </c>
    </row>
    <row r="17833" spans="1:8">
      <c r="H17833" t="s">
        <v>37814</v>
      </c>
    </row>
    <row r="17834" spans="1:8">
      <c r="A17834" t="s">
        <v>4445</v>
      </c>
      <c r="B17834">
        <f>HYPERLINK("https://android.googlesource.com/platform/cts/+/304ee81e08ef62d93f260ab298d9e3ed23bbcb03", "304ee81e08ef62d93f260ab298d9e3ed23bbcb03")</f>
        <v>0</v>
      </c>
      <c r="C17834">
        <f>HYPERLINK("https://android.googlesource.com/platform/cts/+/3f146cc6e7c777bd9fd454ed7aaf8183ef2ad64c", "3f146cc6e7c777bd9fd454ed7aaf8183ef2ad64c")</f>
        <v>0</v>
      </c>
      <c r="D17834" t="s">
        <v>5564</v>
      </c>
      <c r="E17834" t="s">
        <v>10112</v>
      </c>
      <c r="F17834" t="s">
        <v>14737</v>
      </c>
      <c r="G17834" t="s">
        <v>16621</v>
      </c>
      <c r="H17834" t="s">
        <v>37833</v>
      </c>
    </row>
    <row r="17835" spans="1:8">
      <c r="H17835" t="s">
        <v>37834</v>
      </c>
    </row>
    <row r="17836" spans="1:8">
      <c r="H17836" t="s">
        <v>37835</v>
      </c>
    </row>
    <row r="17837" spans="1:8">
      <c r="H17837" t="s">
        <v>37836</v>
      </c>
    </row>
    <row r="17838" spans="1:8">
      <c r="H17838" t="s">
        <v>37837</v>
      </c>
    </row>
    <row r="17839" spans="1:8">
      <c r="H17839" t="s">
        <v>37838</v>
      </c>
    </row>
    <row r="17840" spans="1:8">
      <c r="H17840" t="s">
        <v>37839</v>
      </c>
    </row>
    <row r="17841" spans="8:8">
      <c r="H17841" t="s">
        <v>37840</v>
      </c>
    </row>
    <row r="17842" spans="8:8">
      <c r="H17842" t="s">
        <v>37841</v>
      </c>
    </row>
    <row r="17843" spans="8:8">
      <c r="H17843" t="s">
        <v>37842</v>
      </c>
    </row>
    <row r="17844" spans="8:8">
      <c r="H17844" t="s">
        <v>37843</v>
      </c>
    </row>
    <row r="17845" spans="8:8">
      <c r="H17845" t="s">
        <v>37844</v>
      </c>
    </row>
    <row r="17846" spans="8:8">
      <c r="H17846" t="s">
        <v>37845</v>
      </c>
    </row>
    <row r="17847" spans="8:8">
      <c r="H17847" t="s">
        <v>37846</v>
      </c>
    </row>
    <row r="17848" spans="8:8">
      <c r="H17848" t="s">
        <v>37847</v>
      </c>
    </row>
    <row r="17849" spans="8:8">
      <c r="H17849" t="s">
        <v>37848</v>
      </c>
    </row>
    <row r="17850" spans="8:8">
      <c r="H17850" t="s">
        <v>37849</v>
      </c>
    </row>
    <row r="17851" spans="8:8">
      <c r="H17851" t="s">
        <v>37850</v>
      </c>
    </row>
    <row r="17852" spans="8:8">
      <c r="H17852" t="s">
        <v>37851</v>
      </c>
    </row>
    <row r="17853" spans="8:8">
      <c r="H17853" t="s">
        <v>37852</v>
      </c>
    </row>
    <row r="17854" spans="8:8">
      <c r="H17854" t="s">
        <v>37853</v>
      </c>
    </row>
    <row r="17855" spans="8:8">
      <c r="H17855" t="s">
        <v>37854</v>
      </c>
    </row>
    <row r="17856" spans="8:8">
      <c r="H17856" t="s">
        <v>37855</v>
      </c>
    </row>
    <row r="17857" spans="1:8">
      <c r="H17857" t="s">
        <v>37856</v>
      </c>
    </row>
    <row r="17858" spans="1:8">
      <c r="H17858" t="s">
        <v>37857</v>
      </c>
    </row>
    <row r="17859" spans="1:8">
      <c r="H17859" t="s">
        <v>37858</v>
      </c>
    </row>
    <row r="17860" spans="1:8">
      <c r="A17860" t="s">
        <v>4449</v>
      </c>
      <c r="B17860">
        <f>HYPERLINK("https://android.googlesource.com/platform/cts/+/da816eb1f661a6859d1ab89fffd49f04cf743ef2", "da816eb1f661a6859d1ab89fffd49f04cf743ef2")</f>
        <v>0</v>
      </c>
      <c r="C17860">
        <f>HYPERLINK("https://android.googlesource.com/platform/cts/+/de2d34fbe42917d2fccfc1b2e8f9fa13646ef0f7", "de2d34fbe42917d2fccfc1b2e8f9fa13646ef0f7")</f>
        <v>0</v>
      </c>
      <c r="D17860" t="s">
        <v>5660</v>
      </c>
      <c r="E17860" t="s">
        <v>10116</v>
      </c>
      <c r="F17860" t="s">
        <v>11433</v>
      </c>
      <c r="G17860" t="s">
        <v>15673</v>
      </c>
      <c r="H17860" t="s">
        <v>37860</v>
      </c>
    </row>
    <row r="17861" spans="1:8">
      <c r="H17861" t="s">
        <v>37861</v>
      </c>
    </row>
    <row r="17862" spans="1:8">
      <c r="H17862" t="s">
        <v>37862</v>
      </c>
    </row>
    <row r="17863" spans="1:8">
      <c r="H17863" t="s">
        <v>37863</v>
      </c>
    </row>
    <row r="17864" spans="1:8">
      <c r="H17864" t="s">
        <v>37864</v>
      </c>
    </row>
    <row r="17865" spans="1:8">
      <c r="H17865" t="s">
        <v>37865</v>
      </c>
    </row>
    <row r="17866" spans="1:8">
      <c r="A17866" t="s">
        <v>4451</v>
      </c>
      <c r="B17866">
        <f>HYPERLINK("https://android.googlesource.com/platform/cts/+/da70318e3d974aba9db05dcbaf77130e886134a1", "da70318e3d974aba9db05dcbaf77130e886134a1")</f>
        <v>0</v>
      </c>
      <c r="C17866">
        <f>HYPERLINK("https://android.googlesource.com/platform/cts/+/2deb3b31533ac7e8cfbd434ebf69548ca0ec8e19", "2deb3b31533ac7e8cfbd434ebf69548ca0ec8e19")</f>
        <v>0</v>
      </c>
      <c r="D17866" t="s">
        <v>5702</v>
      </c>
      <c r="E17866" t="s">
        <v>10117</v>
      </c>
      <c r="F17866" t="s">
        <v>14300</v>
      </c>
      <c r="G17866" t="s">
        <v>18259</v>
      </c>
      <c r="H17866" t="s">
        <v>37869</v>
      </c>
    </row>
    <row r="17867" spans="1:8">
      <c r="A17867" t="s">
        <v>4452</v>
      </c>
      <c r="B17867">
        <f>HYPERLINK("https://android.googlesource.com/platform/cts/+/9f48672fe8aefafc2bb544a5db923a95cfee61cd", "9f48672fe8aefafc2bb544a5db923a95cfee61cd")</f>
        <v>0</v>
      </c>
      <c r="C17867">
        <f>HYPERLINK("https://android.googlesource.com/platform/cts/+/79dac82f2c8826d01b0b228e42023568200ac911", "79dac82f2c8826d01b0b228e42023568200ac911")</f>
        <v>0</v>
      </c>
      <c r="D17867" t="s">
        <v>5504</v>
      </c>
      <c r="E17867" t="s">
        <v>10118</v>
      </c>
      <c r="F17867" t="s">
        <v>14300</v>
      </c>
      <c r="G17867" t="s">
        <v>18259</v>
      </c>
      <c r="H17867" t="s">
        <v>37812</v>
      </c>
    </row>
    <row r="17868" spans="1:8">
      <c r="H17868" t="s">
        <v>37813</v>
      </c>
    </row>
    <row r="17869" spans="1:8">
      <c r="H17869" t="s">
        <v>37814</v>
      </c>
    </row>
    <row r="17870" spans="1:8">
      <c r="A17870" t="s">
        <v>4454</v>
      </c>
      <c r="B17870">
        <f>HYPERLINK("https://android.googlesource.com/platform/cts/+/a415f0739fccbe5407052b27a7de74965ae1c0e8", "a415f0739fccbe5407052b27a7de74965ae1c0e8")</f>
        <v>0</v>
      </c>
      <c r="C17870">
        <f>HYPERLINK("https://android.googlesource.com/platform/cts/+/c7f14c6cd2e17ab1908a1c3f3a42a50eda85ea82", "c7f14c6cd2e17ab1908a1c3f3a42a50eda85ea82")</f>
        <v>0</v>
      </c>
      <c r="D17870" t="s">
        <v>5704</v>
      </c>
      <c r="E17870" t="s">
        <v>10120</v>
      </c>
      <c r="F17870" t="s">
        <v>14738</v>
      </c>
      <c r="G17870" t="s">
        <v>18617</v>
      </c>
      <c r="H17870" t="s">
        <v>37872</v>
      </c>
    </row>
    <row r="17871" spans="1:8">
      <c r="A17871" t="s">
        <v>4469</v>
      </c>
      <c r="B17871">
        <f>HYPERLINK("https://android.googlesource.com/platform/cts/+/fd2772894b2be84bda85735053ce99cf5eb73019", "fd2772894b2be84bda85735053ce99cf5eb73019")</f>
        <v>0</v>
      </c>
      <c r="C17871">
        <f>HYPERLINK("https://android.googlesource.com/platform/cts/+/3cd74e0c5ade6c71ad28d2f22a81e3d513da28d1", "3cd74e0c5ade6c71ad28d2f22a81e3d513da28d1")</f>
        <v>0</v>
      </c>
      <c r="D17871" t="s">
        <v>5005</v>
      </c>
      <c r="E17871" t="s">
        <v>10131</v>
      </c>
      <c r="F17871" t="s">
        <v>11193</v>
      </c>
      <c r="G17871" t="s">
        <v>15582</v>
      </c>
      <c r="H17871" t="s">
        <v>37902</v>
      </c>
    </row>
    <row r="17872" spans="1:8">
      <c r="H17872" t="s">
        <v>37903</v>
      </c>
    </row>
    <row r="17873" spans="1:8">
      <c r="A17873" t="s">
        <v>4475</v>
      </c>
      <c r="B17873">
        <f>HYPERLINK("https://android.googlesource.com/platform/cts/+/8aa2ff2b46c82bdf1e91adc9c0eae65ccf1da82d", "8aa2ff2b46c82bdf1e91adc9c0eae65ccf1da82d")</f>
        <v>0</v>
      </c>
      <c r="C17873">
        <f>HYPERLINK("https://android.googlesource.com/platform/cts/+/0bb0c6886c962b347f657b852e986a4b58431607", "0bb0c6886c962b347f657b852e986a4b58431607")</f>
        <v>0</v>
      </c>
      <c r="D17873" t="s">
        <v>5392</v>
      </c>
      <c r="E17873" t="s">
        <v>10137</v>
      </c>
      <c r="F17873" t="s">
        <v>14746</v>
      </c>
      <c r="G17873" t="s">
        <v>18622</v>
      </c>
      <c r="H17873" t="s">
        <v>37961</v>
      </c>
    </row>
    <row r="17874" spans="1:8">
      <c r="H17874" t="s">
        <v>37962</v>
      </c>
    </row>
    <row r="17875" spans="1:8">
      <c r="H17875" t="s">
        <v>28611</v>
      </c>
    </row>
    <row r="17876" spans="1:8">
      <c r="A17876" t="s">
        <v>4477</v>
      </c>
      <c r="B17876">
        <f>HYPERLINK("https://android.googlesource.com/platform/cts/+/13fa701c65c7bb3641a516bb174a184b6513c381", "13fa701c65c7bb3641a516bb174a184b6513c381")</f>
        <v>0</v>
      </c>
      <c r="C17876">
        <f>HYPERLINK("https://android.googlesource.com/platform/cts/+/6d92b65a98866b9804f6dfa750f43a1ce667ecd5", "6d92b65a98866b9804f6dfa750f43a1ce667ecd5")</f>
        <v>0</v>
      </c>
      <c r="D17876" t="s">
        <v>5569</v>
      </c>
      <c r="E17876" t="s">
        <v>10139</v>
      </c>
      <c r="F17876" t="s">
        <v>13511</v>
      </c>
      <c r="G17876" t="s">
        <v>17628</v>
      </c>
      <c r="H17876" t="s">
        <v>37964</v>
      </c>
    </row>
    <row r="17877" spans="1:8">
      <c r="H17877" t="s">
        <v>37965</v>
      </c>
    </row>
    <row r="17878" spans="1:8">
      <c r="A17878" t="s">
        <v>4482</v>
      </c>
      <c r="B17878">
        <f>HYPERLINK("https://android.googlesource.com/platform/cts/+/c6cb3f261cad3323f15c0c8dc848f11630baf62e", "c6cb3f261cad3323f15c0c8dc848f11630baf62e")</f>
        <v>0</v>
      </c>
      <c r="C17878">
        <f>HYPERLINK("https://android.googlesource.com/platform/cts/+/9aaf739ea6e18e54c61c24e8d4cba24e645d3225", "9aaf739ea6e18e54c61c24e8d4cba24e645d3225")</f>
        <v>0</v>
      </c>
      <c r="D17878" t="s">
        <v>5409</v>
      </c>
      <c r="E17878" t="s">
        <v>10144</v>
      </c>
      <c r="F17878" t="s">
        <v>14623</v>
      </c>
      <c r="G17878" t="s">
        <v>18359</v>
      </c>
      <c r="H17878" t="s">
        <v>37970</v>
      </c>
    </row>
    <row r="17879" spans="1:8">
      <c r="H17879" t="s">
        <v>37971</v>
      </c>
    </row>
    <row r="17880" spans="1:8">
      <c r="H17880" t="s">
        <v>37972</v>
      </c>
    </row>
    <row r="17881" spans="1:8">
      <c r="H17881" t="s">
        <v>37973</v>
      </c>
    </row>
    <row r="17882" spans="1:8">
      <c r="H17882" t="s">
        <v>37974</v>
      </c>
    </row>
    <row r="17883" spans="1:8">
      <c r="H17883" t="s">
        <v>37975</v>
      </c>
    </row>
    <row r="17884" spans="1:8">
      <c r="H17884" t="s">
        <v>37976</v>
      </c>
    </row>
    <row r="17885" spans="1:8">
      <c r="H17885" t="s">
        <v>37977</v>
      </c>
    </row>
    <row r="17886" spans="1:8">
      <c r="H17886" t="s">
        <v>37978</v>
      </c>
    </row>
    <row r="17887" spans="1:8">
      <c r="H17887" t="s">
        <v>37979</v>
      </c>
    </row>
    <row r="17888" spans="1:8">
      <c r="H17888" t="s">
        <v>37980</v>
      </c>
    </row>
    <row r="17889" spans="1:8">
      <c r="H17889" t="s">
        <v>37981</v>
      </c>
    </row>
    <row r="17890" spans="1:8">
      <c r="H17890" t="s">
        <v>37983</v>
      </c>
    </row>
    <row r="17891" spans="1:8">
      <c r="A17891" t="s">
        <v>4493</v>
      </c>
      <c r="B17891">
        <f>HYPERLINK("https://android.googlesource.com/platform/cts/+/449bf6037520ba672048764322f88ab607139348", "449bf6037520ba672048764322f88ab607139348")</f>
        <v>0</v>
      </c>
      <c r="C17891">
        <f>HYPERLINK("https://android.googlesource.com/platform/cts/+/7706876a3c8768b2ca2b0397bc97b4e93136f8e7", "7706876a3c8768b2ca2b0397bc97b4e93136f8e7")</f>
        <v>0</v>
      </c>
      <c r="D17891" t="s">
        <v>5667</v>
      </c>
      <c r="E17891" t="s">
        <v>10155</v>
      </c>
      <c r="F17891" t="s">
        <v>12743</v>
      </c>
      <c r="G17891" t="s">
        <v>16935</v>
      </c>
      <c r="H17891" t="s">
        <v>37991</v>
      </c>
    </row>
    <row r="17892" spans="1:8">
      <c r="H17892" t="s">
        <v>37992</v>
      </c>
    </row>
    <row r="17893" spans="1:8">
      <c r="H17893" t="s">
        <v>37989</v>
      </c>
    </row>
    <row r="17894" spans="1:8">
      <c r="H17894" t="s">
        <v>37990</v>
      </c>
    </row>
    <row r="17895" spans="1:8">
      <c r="A17895" t="s">
        <v>4497</v>
      </c>
      <c r="B17895">
        <f>HYPERLINK("https://android.googlesource.com/platform/cts/+/3588aa80da491ff2ab097421e43f9802e97b139e", "3588aa80da491ff2ab097421e43f9802e97b139e")</f>
        <v>0</v>
      </c>
      <c r="C17895">
        <f>HYPERLINK("https://android.googlesource.com/platform/cts/+/30f754c624014836f63937f4753400847fdecc27", "30f754c624014836f63937f4753400847fdecc27")</f>
        <v>0</v>
      </c>
      <c r="D17895" t="s">
        <v>5477</v>
      </c>
      <c r="E17895" t="s">
        <v>10159</v>
      </c>
      <c r="F17895" t="s">
        <v>14748</v>
      </c>
      <c r="G17895" t="s">
        <v>18624</v>
      </c>
      <c r="H17895" t="s">
        <v>37996</v>
      </c>
    </row>
    <row r="17896" spans="1:8">
      <c r="H17896" t="s">
        <v>37997</v>
      </c>
    </row>
    <row r="17897" spans="1:8">
      <c r="H17897" t="s">
        <v>37998</v>
      </c>
    </row>
    <row r="17898" spans="1:8">
      <c r="H17898" t="s">
        <v>37999</v>
      </c>
    </row>
    <row r="17899" spans="1:8">
      <c r="A17899" t="s">
        <v>4502</v>
      </c>
      <c r="B17899">
        <f>HYPERLINK("https://android.googlesource.com/platform/cts/+/780465c10641027cc5c7f216a7f733174696a6ae", "780465c10641027cc5c7f216a7f733174696a6ae")</f>
        <v>0</v>
      </c>
      <c r="C17899">
        <f>HYPERLINK("https://android.googlesource.com/platform/cts/+/f0103aea9b747f6fa2037307d2e33fa77501182d", "f0103aea9b747f6fa2037307d2e33fa77501182d")</f>
        <v>0</v>
      </c>
      <c r="D17899" t="s">
        <v>5710</v>
      </c>
      <c r="E17899" t="s">
        <v>10164</v>
      </c>
      <c r="F17899" t="s">
        <v>14749</v>
      </c>
      <c r="G17899" t="s">
        <v>18625</v>
      </c>
      <c r="H17899" t="s">
        <v>32956</v>
      </c>
    </row>
    <row r="17900" spans="1:8">
      <c r="H17900" t="s">
        <v>38003</v>
      </c>
    </row>
    <row r="17901" spans="1:8">
      <c r="H17901" t="s">
        <v>38004</v>
      </c>
    </row>
    <row r="17902" spans="1:8">
      <c r="H17902" t="s">
        <v>38005</v>
      </c>
    </row>
    <row r="17903" spans="1:8">
      <c r="A17903" t="s">
        <v>4506</v>
      </c>
      <c r="B17903">
        <f>HYPERLINK("https://android.googlesource.com/platform/cts/+/2683d003443de436a50a86bdc3f6ab2049f31ef2", "2683d003443de436a50a86bdc3f6ab2049f31ef2")</f>
        <v>0</v>
      </c>
      <c r="C17903">
        <f>HYPERLINK("https://android.googlesource.com/platform/cts/+/f3a999b728f083276ae951a82b61a907092e2b81", "f3a999b728f083276ae951a82b61a907092e2b81")</f>
        <v>0</v>
      </c>
      <c r="D17903" t="s">
        <v>5065</v>
      </c>
      <c r="E17903" t="s">
        <v>10168</v>
      </c>
      <c r="F17903" t="s">
        <v>12626</v>
      </c>
      <c r="G17903" t="s">
        <v>16836</v>
      </c>
      <c r="H17903" t="s">
        <v>38024</v>
      </c>
    </row>
    <row r="17904" spans="1:8">
      <c r="H17904" t="s">
        <v>38025</v>
      </c>
    </row>
    <row r="17905" spans="1:8">
      <c r="H17905" t="s">
        <v>38026</v>
      </c>
    </row>
    <row r="17906" spans="1:8">
      <c r="H17906" t="s">
        <v>38027</v>
      </c>
    </row>
    <row r="17907" spans="1:8">
      <c r="H17907" t="s">
        <v>38028</v>
      </c>
    </row>
    <row r="17908" spans="1:8">
      <c r="H17908" t="s">
        <v>38029</v>
      </c>
    </row>
    <row r="17909" spans="1:8">
      <c r="H17909" t="s">
        <v>38034</v>
      </c>
    </row>
    <row r="17910" spans="1:8">
      <c r="H17910" t="s">
        <v>26401</v>
      </c>
    </row>
    <row r="17911" spans="1:8">
      <c r="A17911" t="s">
        <v>4508</v>
      </c>
      <c r="B17911">
        <f>HYPERLINK("https://android.googlesource.com/platform/cts/+/f8c1a7f1445b1213b3331e1499cd5064c72df349", "f8c1a7f1445b1213b3331e1499cd5064c72df349")</f>
        <v>0</v>
      </c>
      <c r="C17911">
        <f>HYPERLINK("https://android.googlesource.com/platform/cts/+/a624659b79f1b6e1e5bf5cb9a33a54739adfd577", "a624659b79f1b6e1e5bf5cb9a33a54739adfd577")</f>
        <v>0</v>
      </c>
      <c r="D17911" t="s">
        <v>5672</v>
      </c>
      <c r="E17911" t="s">
        <v>10170</v>
      </c>
      <c r="F17911" t="s">
        <v>14296</v>
      </c>
      <c r="G17911" t="s">
        <v>18022</v>
      </c>
      <c r="H17911" t="s">
        <v>38042</v>
      </c>
    </row>
    <row r="17912" spans="1:8">
      <c r="H17912" t="s">
        <v>38043</v>
      </c>
    </row>
    <row r="17913" spans="1:8">
      <c r="A17913" t="s">
        <v>4509</v>
      </c>
      <c r="B17913">
        <f>HYPERLINK("https://android.googlesource.com/platform/cts/+/54237ccae2b0d4f268c69061b053a909ca2665d6", "54237ccae2b0d4f268c69061b053a909ca2665d6")</f>
        <v>0</v>
      </c>
      <c r="C17913">
        <f>HYPERLINK("https://android.googlesource.com/platform/cts/+/a624659b79f1b6e1e5bf5cb9a33a54739adfd577", "a624659b79f1b6e1e5bf5cb9a33a54739adfd577")</f>
        <v>0</v>
      </c>
      <c r="D17913" t="s">
        <v>5712</v>
      </c>
      <c r="E17913" t="s">
        <v>10171</v>
      </c>
      <c r="F17913" t="s">
        <v>14752</v>
      </c>
      <c r="G17913" t="s">
        <v>18628</v>
      </c>
      <c r="H17913" t="s">
        <v>38044</v>
      </c>
    </row>
    <row r="17914" spans="1:8">
      <c r="A17914" t="s">
        <v>4510</v>
      </c>
      <c r="B17914">
        <f>HYPERLINK("https://android.googlesource.com/platform/cts/+/cf386e92dde2422b966f7558c484d3eccb83ff29", "cf386e92dde2422b966f7558c484d3eccb83ff29")</f>
        <v>0</v>
      </c>
      <c r="C17914">
        <f>HYPERLINK("https://android.googlesource.com/platform/cts/+/c7d1e0f6a3842529f08d969ca4f14adfdef97657", "c7d1e0f6a3842529f08d969ca4f14adfdef97657")</f>
        <v>0</v>
      </c>
      <c r="D17914" t="s">
        <v>5713</v>
      </c>
      <c r="E17914" t="s">
        <v>10172</v>
      </c>
      <c r="F17914" t="s">
        <v>14745</v>
      </c>
      <c r="G17914" t="s">
        <v>18621</v>
      </c>
      <c r="H17914" t="s">
        <v>38045</v>
      </c>
    </row>
    <row r="17915" spans="1:8">
      <c r="H17915" t="s">
        <v>38046</v>
      </c>
    </row>
    <row r="17916" spans="1:8">
      <c r="A17916" t="s">
        <v>4511</v>
      </c>
      <c r="B17916">
        <f>HYPERLINK("https://android.googlesource.com/platform/cts/+/90b48f79dafb34362d0246d4d12f35809edf9fa9", "90b48f79dafb34362d0246d4d12f35809edf9fa9")</f>
        <v>0</v>
      </c>
      <c r="C17916">
        <f>HYPERLINK("https://android.googlesource.com/platform/cts/+/be3222476c2e57009310d16f0b43ef8177cb2f47", "be3222476c2e57009310d16f0b43ef8177cb2f47")</f>
        <v>0</v>
      </c>
      <c r="D17916" t="s">
        <v>5584</v>
      </c>
      <c r="E17916" t="s">
        <v>10173</v>
      </c>
      <c r="F17916" t="s">
        <v>14753</v>
      </c>
      <c r="G17916" t="s">
        <v>18629</v>
      </c>
      <c r="H17916" t="s">
        <v>38047</v>
      </c>
    </row>
    <row r="17917" spans="1:8">
      <c r="H17917" t="s">
        <v>38048</v>
      </c>
    </row>
    <row r="17918" spans="1:8">
      <c r="A17918" t="s">
        <v>4512</v>
      </c>
      <c r="B17918">
        <f>HYPERLINK("https://android.googlesource.com/platform/cts/+/1a952ef8154e021527efd6dbeba142afeddc4163", "1a952ef8154e021527efd6dbeba142afeddc4163")</f>
        <v>0</v>
      </c>
      <c r="C17918">
        <f>HYPERLINK("https://android.googlesource.com/platform/cts/+/50572c908bb498661d86874639f7660c69f127f3", "50572c908bb498661d86874639f7660c69f127f3")</f>
        <v>0</v>
      </c>
      <c r="D17918" t="s">
        <v>5409</v>
      </c>
      <c r="E17918" t="s">
        <v>10174</v>
      </c>
      <c r="F17918" t="s">
        <v>14754</v>
      </c>
      <c r="G17918" t="s">
        <v>18630</v>
      </c>
      <c r="H17918" t="s">
        <v>38052</v>
      </c>
    </row>
    <row r="17919" spans="1:8">
      <c r="H17919" t="s">
        <v>38053</v>
      </c>
    </row>
    <row r="17920" spans="1:8">
      <c r="H17920" t="s">
        <v>38054</v>
      </c>
    </row>
    <row r="17921" spans="6:8">
      <c r="F17921" t="s">
        <v>14063</v>
      </c>
      <c r="G17921" t="s">
        <v>18061</v>
      </c>
      <c r="H17921" t="s">
        <v>38056</v>
      </c>
    </row>
    <row r="17922" spans="6:8">
      <c r="H17922" t="s">
        <v>38057</v>
      </c>
    </row>
    <row r="17923" spans="6:8">
      <c r="H17923" t="s">
        <v>38058</v>
      </c>
    </row>
    <row r="17924" spans="6:8">
      <c r="H17924" t="s">
        <v>38059</v>
      </c>
    </row>
    <row r="17925" spans="6:8">
      <c r="H17925" t="s">
        <v>38060</v>
      </c>
    </row>
    <row r="17926" spans="6:8">
      <c r="H17926" t="s">
        <v>38061</v>
      </c>
    </row>
    <row r="17927" spans="6:8">
      <c r="H17927" t="s">
        <v>38062</v>
      </c>
    </row>
    <row r="17928" spans="6:8">
      <c r="H17928" t="s">
        <v>38063</v>
      </c>
    </row>
    <row r="17929" spans="6:8">
      <c r="H17929" t="s">
        <v>38064</v>
      </c>
    </row>
    <row r="17930" spans="6:8">
      <c r="H17930" t="s">
        <v>38065</v>
      </c>
    </row>
    <row r="17931" spans="6:8">
      <c r="H17931" t="s">
        <v>38066</v>
      </c>
    </row>
    <row r="17932" spans="6:8">
      <c r="H17932" t="s">
        <v>38067</v>
      </c>
    </row>
    <row r="17933" spans="6:8">
      <c r="H17933" t="s">
        <v>38068</v>
      </c>
    </row>
    <row r="17934" spans="6:8">
      <c r="H17934" t="s">
        <v>38069</v>
      </c>
    </row>
    <row r="17935" spans="6:8">
      <c r="H17935" t="s">
        <v>38070</v>
      </c>
    </row>
    <row r="17936" spans="6:8">
      <c r="H17936" t="s">
        <v>38071</v>
      </c>
    </row>
    <row r="17937" spans="6:8">
      <c r="H17937" t="s">
        <v>38072</v>
      </c>
    </row>
    <row r="17938" spans="6:8">
      <c r="H17938" t="s">
        <v>38073</v>
      </c>
    </row>
    <row r="17939" spans="6:8">
      <c r="H17939" t="s">
        <v>38074</v>
      </c>
    </row>
    <row r="17940" spans="6:8">
      <c r="H17940" t="s">
        <v>38075</v>
      </c>
    </row>
    <row r="17941" spans="6:8">
      <c r="F17941" t="s">
        <v>14755</v>
      </c>
      <c r="G17941" t="s">
        <v>18631</v>
      </c>
      <c r="H17941" t="s">
        <v>38076</v>
      </c>
    </row>
    <row r="17942" spans="6:8">
      <c r="H17942" t="s">
        <v>33150</v>
      </c>
    </row>
    <row r="17943" spans="6:8">
      <c r="H17943" t="s">
        <v>33152</v>
      </c>
    </row>
    <row r="17944" spans="6:8">
      <c r="H17944" t="s">
        <v>38077</v>
      </c>
    </row>
    <row r="17945" spans="6:8">
      <c r="H17945" t="s">
        <v>33153</v>
      </c>
    </row>
    <row r="17946" spans="6:8">
      <c r="H17946" t="s">
        <v>38078</v>
      </c>
    </row>
    <row r="17947" spans="6:8">
      <c r="H17947" t="s">
        <v>38079</v>
      </c>
    </row>
    <row r="17948" spans="6:8">
      <c r="H17948" t="s">
        <v>38080</v>
      </c>
    </row>
    <row r="17949" spans="6:8">
      <c r="H17949" t="s">
        <v>38081</v>
      </c>
    </row>
    <row r="17950" spans="6:8">
      <c r="F17950" t="s">
        <v>14064</v>
      </c>
      <c r="G17950" t="s">
        <v>18062</v>
      </c>
      <c r="H17950" t="s">
        <v>38083</v>
      </c>
    </row>
    <row r="17951" spans="6:8">
      <c r="H17951" t="s">
        <v>38084</v>
      </c>
    </row>
    <row r="17952" spans="6:8">
      <c r="H17952" t="s">
        <v>38085</v>
      </c>
    </row>
    <row r="17953" spans="1:8">
      <c r="H17953" t="s">
        <v>38086</v>
      </c>
    </row>
    <row r="17954" spans="1:8">
      <c r="H17954" t="s">
        <v>38087</v>
      </c>
    </row>
    <row r="17955" spans="1:8">
      <c r="H17955" t="s">
        <v>38088</v>
      </c>
    </row>
    <row r="17956" spans="1:8">
      <c r="H17956" t="s">
        <v>38089</v>
      </c>
    </row>
    <row r="17957" spans="1:8">
      <c r="H17957" t="s">
        <v>38065</v>
      </c>
    </row>
    <row r="17958" spans="1:8">
      <c r="H17958" t="s">
        <v>38066</v>
      </c>
    </row>
    <row r="17959" spans="1:8">
      <c r="H17959" t="s">
        <v>38091</v>
      </c>
    </row>
    <row r="17960" spans="1:8">
      <c r="H17960" t="s">
        <v>38092</v>
      </c>
    </row>
    <row r="17961" spans="1:8">
      <c r="H17961" t="s">
        <v>38093</v>
      </c>
    </row>
    <row r="17962" spans="1:8">
      <c r="H17962" t="s">
        <v>38094</v>
      </c>
    </row>
    <row r="17963" spans="1:8">
      <c r="H17963" t="s">
        <v>38095</v>
      </c>
    </row>
    <row r="17964" spans="1:8">
      <c r="A17964" t="s">
        <v>4517</v>
      </c>
      <c r="B17964">
        <f>HYPERLINK("https://android.googlesource.com/platform/cts/+/5dc82ea03202d37ac2df21f1e3e1e15a70350686", "5dc82ea03202d37ac2df21f1e3e1e15a70350686")</f>
        <v>0</v>
      </c>
      <c r="C17964">
        <f>HYPERLINK("https://android.googlesource.com/platform/cts/+/1a952ef8154e021527efd6dbeba142afeddc4163", "1a952ef8154e021527efd6dbeba142afeddc4163")</f>
        <v>0</v>
      </c>
      <c r="D17964" t="s">
        <v>5409</v>
      </c>
      <c r="E17964" t="s">
        <v>10179</v>
      </c>
      <c r="F17964" t="s">
        <v>14152</v>
      </c>
      <c r="G17964" t="s">
        <v>18052</v>
      </c>
      <c r="H17964" t="s">
        <v>33095</v>
      </c>
    </row>
    <row r="17965" spans="1:8">
      <c r="H17965" t="s">
        <v>33096</v>
      </c>
    </row>
    <row r="17966" spans="1:8">
      <c r="H17966" t="s">
        <v>33097</v>
      </c>
    </row>
    <row r="17967" spans="1:8">
      <c r="H17967" t="s">
        <v>33098</v>
      </c>
    </row>
    <row r="17968" spans="1:8">
      <c r="H17968" t="s">
        <v>33099</v>
      </c>
    </row>
    <row r="17969" spans="6:8">
      <c r="H17969" t="s">
        <v>33100</v>
      </c>
    </row>
    <row r="17970" spans="6:8">
      <c r="H17970" t="s">
        <v>38104</v>
      </c>
    </row>
    <row r="17971" spans="6:8">
      <c r="H17971" t="s">
        <v>38105</v>
      </c>
    </row>
    <row r="17972" spans="6:8">
      <c r="H17972" t="s">
        <v>33102</v>
      </c>
    </row>
    <row r="17973" spans="6:8">
      <c r="H17973" t="s">
        <v>38106</v>
      </c>
    </row>
    <row r="17974" spans="6:8">
      <c r="H17974" t="s">
        <v>38107</v>
      </c>
    </row>
    <row r="17975" spans="6:8">
      <c r="H17975" t="s">
        <v>38108</v>
      </c>
    </row>
    <row r="17976" spans="6:8">
      <c r="H17976" t="s">
        <v>38109</v>
      </c>
    </row>
    <row r="17977" spans="6:8">
      <c r="F17977" t="s">
        <v>14153</v>
      </c>
      <c r="G17977" t="s">
        <v>18140</v>
      </c>
      <c r="H17977" t="s">
        <v>38114</v>
      </c>
    </row>
    <row r="17978" spans="6:8">
      <c r="H17978" t="s">
        <v>38115</v>
      </c>
    </row>
    <row r="17979" spans="6:8">
      <c r="H17979" t="s">
        <v>38116</v>
      </c>
    </row>
    <row r="17980" spans="6:8">
      <c r="H17980" t="s">
        <v>38117</v>
      </c>
    </row>
    <row r="17981" spans="6:8">
      <c r="H17981" t="s">
        <v>38118</v>
      </c>
    </row>
    <row r="17982" spans="6:8">
      <c r="H17982" t="s">
        <v>38119</v>
      </c>
    </row>
    <row r="17983" spans="6:8">
      <c r="H17983" t="s">
        <v>38120</v>
      </c>
    </row>
    <row r="17984" spans="6:8">
      <c r="H17984" t="s">
        <v>33097</v>
      </c>
    </row>
    <row r="17985" spans="1:8">
      <c r="H17985" t="s">
        <v>33098</v>
      </c>
    </row>
    <row r="17986" spans="1:8">
      <c r="H17986" t="s">
        <v>33099</v>
      </c>
    </row>
    <row r="17987" spans="1:8">
      <c r="H17987" t="s">
        <v>33100</v>
      </c>
    </row>
    <row r="17988" spans="1:8">
      <c r="H17988" t="s">
        <v>38121</v>
      </c>
    </row>
    <row r="17989" spans="1:8">
      <c r="H17989" t="s">
        <v>33101</v>
      </c>
    </row>
    <row r="17990" spans="1:8">
      <c r="H17990" t="s">
        <v>33102</v>
      </c>
    </row>
    <row r="17991" spans="1:8">
      <c r="H17991" t="s">
        <v>38104</v>
      </c>
    </row>
    <row r="17992" spans="1:8">
      <c r="H17992" t="s">
        <v>38105</v>
      </c>
    </row>
    <row r="17993" spans="1:8">
      <c r="H17993" t="s">
        <v>38106</v>
      </c>
    </row>
    <row r="17994" spans="1:8">
      <c r="H17994" t="s">
        <v>38122</v>
      </c>
    </row>
    <row r="17995" spans="1:8">
      <c r="H17995" t="s">
        <v>38107</v>
      </c>
    </row>
    <row r="17996" spans="1:8">
      <c r="A17996" t="s">
        <v>4521</v>
      </c>
      <c r="B17996">
        <f>HYPERLINK("https://android.googlesource.com/platform/cts/+/c67fb38ca0b55e013644b1fa354a19e8ee019741", "c67fb38ca0b55e013644b1fa354a19e8ee019741")</f>
        <v>0</v>
      </c>
      <c r="C17996">
        <f>HYPERLINK("https://android.googlesource.com/platform/cts/+/206f54ea85c46c5495b0688515f6378609fdb9a3", "206f54ea85c46c5495b0688515f6378609fdb9a3")</f>
        <v>0</v>
      </c>
      <c r="D17996" t="s">
        <v>5409</v>
      </c>
      <c r="E17996" t="s">
        <v>10183</v>
      </c>
      <c r="F17996" t="s">
        <v>14265</v>
      </c>
      <c r="G17996" t="s">
        <v>18232</v>
      </c>
      <c r="H17996" t="s">
        <v>38135</v>
      </c>
    </row>
    <row r="17997" spans="1:8">
      <c r="H17997" t="s">
        <v>38136</v>
      </c>
    </row>
    <row r="17998" spans="1:8">
      <c r="H17998" t="s">
        <v>38137</v>
      </c>
    </row>
    <row r="17999" spans="1:8">
      <c r="H17999" t="s">
        <v>38138</v>
      </c>
    </row>
    <row r="18000" spans="1:8">
      <c r="H18000" t="s">
        <v>38140</v>
      </c>
    </row>
    <row r="18001" spans="1:8">
      <c r="H18001" t="s">
        <v>38141</v>
      </c>
    </row>
    <row r="18002" spans="1:8">
      <c r="H18002" t="s">
        <v>38144</v>
      </c>
    </row>
    <row r="18003" spans="1:8">
      <c r="H18003" t="s">
        <v>38145</v>
      </c>
    </row>
    <row r="18004" spans="1:8">
      <c r="H18004" t="s">
        <v>38147</v>
      </c>
    </row>
    <row r="18005" spans="1:8">
      <c r="H18005" t="s">
        <v>38148</v>
      </c>
    </row>
    <row r="18006" spans="1:8">
      <c r="H18006" t="s">
        <v>38150</v>
      </c>
    </row>
    <row r="18007" spans="1:8">
      <c r="H18007" t="s">
        <v>38152</v>
      </c>
    </row>
    <row r="18008" spans="1:8">
      <c r="H18008" t="s">
        <v>38153</v>
      </c>
    </row>
    <row r="18009" spans="1:8">
      <c r="H18009" t="s">
        <v>38155</v>
      </c>
    </row>
    <row r="18010" spans="1:8">
      <c r="H18010" t="s">
        <v>38156</v>
      </c>
    </row>
    <row r="18011" spans="1:8">
      <c r="A18011" t="s">
        <v>4525</v>
      </c>
      <c r="B18011">
        <f>HYPERLINK("https://android.googlesource.com/platform/cts/+/04eb8ac828f62f81cf46d4534cd196525cfe8318", "04eb8ac828f62f81cf46d4534cd196525cfe8318")</f>
        <v>0</v>
      </c>
      <c r="C18011">
        <f>HYPERLINK("https://android.googlesource.com/platform/cts/+/35eadc722c7679ce8dfec80c9d302642fd2de4a5", "35eadc722c7679ce8dfec80c9d302642fd2de4a5")</f>
        <v>0</v>
      </c>
      <c r="D18011" t="s">
        <v>5700</v>
      </c>
      <c r="E18011" t="s">
        <v>10187</v>
      </c>
      <c r="F18011" t="s">
        <v>14761</v>
      </c>
      <c r="G18011" t="s">
        <v>18637</v>
      </c>
      <c r="H18011" t="s">
        <v>38164</v>
      </c>
    </row>
    <row r="18012" spans="1:8">
      <c r="A18012" t="s">
        <v>4526</v>
      </c>
      <c r="B18012">
        <f>HYPERLINK("https://android.googlesource.com/platform/cts/+/ea4037d772c2cfeb02fbe64fd05c77ff270b14be", "ea4037d772c2cfeb02fbe64fd05c77ff270b14be")</f>
        <v>0</v>
      </c>
      <c r="C18012">
        <f>HYPERLINK("https://android.googlesource.com/platform/cts/+/665dad20499f35cca567b6598053c5420fafa987", "665dad20499f35cca567b6598053c5420fafa987")</f>
        <v>0</v>
      </c>
      <c r="D18012" t="s">
        <v>5445</v>
      </c>
      <c r="E18012" t="s">
        <v>10188</v>
      </c>
      <c r="F18012" t="s">
        <v>12642</v>
      </c>
      <c r="G18012" t="s">
        <v>16850</v>
      </c>
      <c r="H18012" t="s">
        <v>38165</v>
      </c>
    </row>
    <row r="18013" spans="1:8">
      <c r="F18013" t="s">
        <v>14762</v>
      </c>
      <c r="G18013" t="s">
        <v>18638</v>
      </c>
      <c r="H18013" t="s">
        <v>38166</v>
      </c>
    </row>
    <row r="18014" spans="1:8">
      <c r="H18014" t="s">
        <v>38167</v>
      </c>
    </row>
    <row r="18015" spans="1:8">
      <c r="H18015" t="s">
        <v>38168</v>
      </c>
    </row>
    <row r="18016" spans="1:8">
      <c r="H18016" t="s">
        <v>38169</v>
      </c>
    </row>
    <row r="18017" spans="1:8">
      <c r="H18017" t="s">
        <v>38170</v>
      </c>
    </row>
    <row r="18018" spans="1:8">
      <c r="F18018" t="s">
        <v>13993</v>
      </c>
      <c r="G18018" t="s">
        <v>16600</v>
      </c>
      <c r="H18018" t="s">
        <v>38172</v>
      </c>
    </row>
    <row r="18019" spans="1:8">
      <c r="A18019" t="s">
        <v>4532</v>
      </c>
      <c r="B18019">
        <f>HYPERLINK("https://android.googlesource.com/platform/cts/+/087aafafb4d70519f101fd46785f1c31ec7572b1", "087aafafb4d70519f101fd46785f1c31ec7572b1")</f>
        <v>0</v>
      </c>
      <c r="C18019">
        <f>HYPERLINK("https://android.googlesource.com/platform/cts/+/161b17471862eeabcb3aab12bbf2ccbb333175d6", "161b17471862eeabcb3aab12bbf2ccbb333175d6")</f>
        <v>0</v>
      </c>
      <c r="D18019" t="s">
        <v>5477</v>
      </c>
      <c r="E18019" t="s">
        <v>10194</v>
      </c>
      <c r="F18019" t="s">
        <v>14748</v>
      </c>
      <c r="G18019" t="s">
        <v>18624</v>
      </c>
      <c r="H18019" t="s">
        <v>38191</v>
      </c>
    </row>
    <row r="18020" spans="1:8">
      <c r="H18020" t="s">
        <v>38192</v>
      </c>
    </row>
    <row r="18021" spans="1:8">
      <c r="A18021" t="s">
        <v>4535</v>
      </c>
      <c r="B18021">
        <f>HYPERLINK("https://android.googlesource.com/platform/cts/+/9be135ac5c50799a2868922f670d28776ffe9aba", "9be135ac5c50799a2868922f670d28776ffe9aba")</f>
        <v>0</v>
      </c>
      <c r="C18021">
        <f>HYPERLINK("https://android.googlesource.com/platform/cts/+/ddc4da83e860f987e86c2ac9e5a7c8027850a2e7", "ddc4da83e860f987e86c2ac9e5a7c8027850a2e7")</f>
        <v>0</v>
      </c>
      <c r="D18021" t="s">
        <v>5485</v>
      </c>
      <c r="E18021" t="s">
        <v>10197</v>
      </c>
      <c r="F18021" t="s">
        <v>14092</v>
      </c>
      <c r="G18021" t="s">
        <v>18085</v>
      </c>
      <c r="H18021" t="s">
        <v>38193</v>
      </c>
    </row>
    <row r="18022" spans="1:8">
      <c r="A18022" t="s">
        <v>4536</v>
      </c>
      <c r="B18022">
        <f>HYPERLINK("https://android.googlesource.com/platform/cts/+/35d66c03de9fdb986d40833f227e19b4e8806aa3", "35d66c03de9fdb986d40833f227e19b4e8806aa3")</f>
        <v>0</v>
      </c>
      <c r="C18022">
        <f>HYPERLINK("https://android.googlesource.com/platform/cts/+/390aca5068b41475519d9201220d9e0d48338a89", "390aca5068b41475519d9201220d9e0d48338a89")</f>
        <v>0</v>
      </c>
      <c r="D18022" t="s">
        <v>5409</v>
      </c>
      <c r="E18022" t="s">
        <v>10198</v>
      </c>
      <c r="F18022" t="s">
        <v>13561</v>
      </c>
      <c r="G18022" t="s">
        <v>17667</v>
      </c>
      <c r="H18022" t="s">
        <v>29902</v>
      </c>
    </row>
    <row r="18023" spans="1:8">
      <c r="F18023" t="s">
        <v>14766</v>
      </c>
      <c r="G18023" t="s">
        <v>18642</v>
      </c>
      <c r="H18023" t="s">
        <v>38194</v>
      </c>
    </row>
    <row r="18024" spans="1:8">
      <c r="F18024" t="s">
        <v>13780</v>
      </c>
      <c r="G18024" t="s">
        <v>17667</v>
      </c>
      <c r="H18024" t="s">
        <v>29902</v>
      </c>
    </row>
    <row r="18025" spans="1:8">
      <c r="F18025" t="s">
        <v>12394</v>
      </c>
      <c r="G18025" t="s">
        <v>17294</v>
      </c>
      <c r="H18025" t="s">
        <v>31544</v>
      </c>
    </row>
    <row r="18026" spans="1:8">
      <c r="A18026" t="s">
        <v>4537</v>
      </c>
      <c r="B18026">
        <f>HYPERLINK("https://android.googlesource.com/platform/cts/+/9e9a19b29298c5c59d310b098add614e6531551e", "9e9a19b29298c5c59d310b098add614e6531551e")</f>
        <v>0</v>
      </c>
      <c r="C18026">
        <f>HYPERLINK("https://android.googlesource.com/platform/cts/+/a82d7550bc9c256375ecf8872bdbdf805daba83c", "a82d7550bc9c256375ecf8872bdbdf805daba83c")</f>
        <v>0</v>
      </c>
      <c r="D18026" t="s">
        <v>5460</v>
      </c>
      <c r="E18026" t="s">
        <v>10199</v>
      </c>
      <c r="F18026" t="s">
        <v>14362</v>
      </c>
      <c r="G18026" t="s">
        <v>18309</v>
      </c>
      <c r="H18026" t="s">
        <v>37152</v>
      </c>
    </row>
    <row r="18027" spans="1:8">
      <c r="H18027" t="s">
        <v>37153</v>
      </c>
    </row>
    <row r="18028" spans="1:8">
      <c r="A18028" t="s">
        <v>4541</v>
      </c>
      <c r="B18028">
        <f>HYPERLINK("https://android.googlesource.com/platform/cts/+/0744d7aacb7cb454655796841e64f8f9d6786f1a", "0744d7aacb7cb454655796841e64f8f9d6786f1a")</f>
        <v>0</v>
      </c>
      <c r="C18028">
        <f>HYPERLINK("https://android.googlesource.com/platform/cts/+/760a4df405e8d32c2601289f013bc69f6da7da08", "760a4df405e8d32c2601289f013bc69f6da7da08")</f>
        <v>0</v>
      </c>
      <c r="D18028" t="s">
        <v>5719</v>
      </c>
      <c r="E18028" t="s">
        <v>10202</v>
      </c>
      <c r="F18028" t="s">
        <v>14768</v>
      </c>
      <c r="G18028" t="s">
        <v>18644</v>
      </c>
      <c r="H18028" t="s">
        <v>38200</v>
      </c>
    </row>
    <row r="18029" spans="1:8">
      <c r="A18029" t="s">
        <v>4542</v>
      </c>
      <c r="B18029">
        <f>HYPERLINK("https://android.googlesource.com/platform/cts/+/ea932a560c115735da9fea197c7ef0dbf63bef3b", "ea932a560c115735da9fea197c7ef0dbf63bef3b")</f>
        <v>0</v>
      </c>
      <c r="C18029">
        <f>HYPERLINK("https://android.googlesource.com/platform/cts/+/e3e830216821a750a108ef4bd7e5e46388423f4d", "e3e830216821a750a108ef4bd7e5e46388423f4d")</f>
        <v>0</v>
      </c>
      <c r="D18029" t="s">
        <v>5618</v>
      </c>
      <c r="E18029" t="s">
        <v>10203</v>
      </c>
      <c r="F18029" t="s">
        <v>14466</v>
      </c>
      <c r="G18029" t="s">
        <v>18398</v>
      </c>
      <c r="H18029" t="s">
        <v>38201</v>
      </c>
    </row>
    <row r="18030" spans="1:8">
      <c r="A18030" t="s">
        <v>4543</v>
      </c>
      <c r="B18030">
        <f>HYPERLINK("https://android.googlesource.com/platform/cts/+/5eec84deae56cff374a2de89ac2d44abc1f750d2", "5eec84deae56cff374a2de89ac2d44abc1f750d2")</f>
        <v>0</v>
      </c>
      <c r="C18030">
        <f>HYPERLINK("https://android.googlesource.com/platform/cts/+/b82cb7ca0aea7104e7f94c5ba673bea4389d688b", "b82cb7ca0aea7104e7f94c5ba673bea4389d688b")</f>
        <v>0</v>
      </c>
      <c r="D18030" t="s">
        <v>5626</v>
      </c>
      <c r="E18030" t="s">
        <v>10204</v>
      </c>
      <c r="F18030" t="s">
        <v>14296</v>
      </c>
      <c r="G18030" t="s">
        <v>18022</v>
      </c>
      <c r="H18030" t="s">
        <v>38202</v>
      </c>
    </row>
    <row r="18031" spans="1:8">
      <c r="A18031" t="s">
        <v>4546</v>
      </c>
      <c r="B18031">
        <f>HYPERLINK("https://android.googlesource.com/platform/cts/+/c5993a09d8ece9f95daf348cfe14108e4e90ccb9", "c5993a09d8ece9f95daf348cfe14108e4e90ccb9")</f>
        <v>0</v>
      </c>
      <c r="C18031">
        <f>HYPERLINK("https://android.googlesource.com/platform/cts/+/3a5db353f240b980c1ed11871c9dac0e69899540", "3a5db353f240b980c1ed11871c9dac0e69899540")</f>
        <v>0</v>
      </c>
      <c r="D18031" t="s">
        <v>5564</v>
      </c>
      <c r="E18031" t="s">
        <v>10207</v>
      </c>
      <c r="F18031" t="s">
        <v>14771</v>
      </c>
      <c r="G18031" t="s">
        <v>17076</v>
      </c>
      <c r="H18031" t="s">
        <v>38300</v>
      </c>
    </row>
    <row r="18032" spans="1:8">
      <c r="H18032" t="s">
        <v>38301</v>
      </c>
    </row>
    <row r="18033" spans="1:8">
      <c r="H18033" t="s">
        <v>38302</v>
      </c>
    </row>
    <row r="18034" spans="1:8">
      <c r="A18034" t="s">
        <v>4547</v>
      </c>
      <c r="B18034">
        <f>HYPERLINK("https://android.googlesource.com/platform/cts/+/d04911e7737437b0dcbf7535b7f287e38d2b599c", "d04911e7737437b0dcbf7535b7f287e38d2b599c")</f>
        <v>0</v>
      </c>
      <c r="C18034">
        <f>HYPERLINK("https://android.googlesource.com/platform/cts/+/3a5db353f240b980c1ed11871c9dac0e69899540", "3a5db353f240b980c1ed11871c9dac0e69899540")</f>
        <v>0</v>
      </c>
      <c r="D18034" t="s">
        <v>5564</v>
      </c>
      <c r="E18034" t="s">
        <v>10208</v>
      </c>
      <c r="F18034" t="s">
        <v>14772</v>
      </c>
      <c r="G18034" t="s">
        <v>16419</v>
      </c>
      <c r="H18034" t="s">
        <v>38304</v>
      </c>
    </row>
    <row r="18035" spans="1:8">
      <c r="H18035" t="s">
        <v>38305</v>
      </c>
    </row>
    <row r="18036" spans="1:8">
      <c r="H18036" t="s">
        <v>38306</v>
      </c>
    </row>
    <row r="18037" spans="1:8">
      <c r="H18037" t="s">
        <v>38307</v>
      </c>
    </row>
    <row r="18038" spans="1:8">
      <c r="H18038" t="s">
        <v>38308</v>
      </c>
    </row>
    <row r="18039" spans="1:8">
      <c r="H18039" t="s">
        <v>38309</v>
      </c>
    </row>
    <row r="18040" spans="1:8">
      <c r="H18040" t="s">
        <v>38310</v>
      </c>
    </row>
    <row r="18041" spans="1:8">
      <c r="H18041" t="s">
        <v>38311</v>
      </c>
    </row>
    <row r="18042" spans="1:8">
      <c r="H18042" t="s">
        <v>38312</v>
      </c>
    </row>
    <row r="18043" spans="1:8">
      <c r="H18043" t="s">
        <v>38313</v>
      </c>
    </row>
    <row r="18044" spans="1:8">
      <c r="H18044" t="s">
        <v>38314</v>
      </c>
    </row>
    <row r="18045" spans="1:8">
      <c r="H18045" t="s">
        <v>38315</v>
      </c>
    </row>
    <row r="18046" spans="1:8">
      <c r="H18046" t="s">
        <v>38316</v>
      </c>
    </row>
    <row r="18047" spans="1:8">
      <c r="H18047" t="s">
        <v>38317</v>
      </c>
    </row>
    <row r="18048" spans="1:8">
      <c r="H18048" t="s">
        <v>38318</v>
      </c>
    </row>
    <row r="18049" spans="1:8">
      <c r="H18049" t="s">
        <v>28847</v>
      </c>
    </row>
    <row r="18050" spans="1:8">
      <c r="H18050" t="s">
        <v>38319</v>
      </c>
    </row>
    <row r="18051" spans="1:8">
      <c r="H18051" t="s">
        <v>38320</v>
      </c>
    </row>
    <row r="18052" spans="1:8">
      <c r="H18052" t="s">
        <v>38321</v>
      </c>
    </row>
    <row r="18053" spans="1:8">
      <c r="H18053" t="s">
        <v>28848</v>
      </c>
    </row>
    <row r="18054" spans="1:8">
      <c r="H18054" t="s">
        <v>38322</v>
      </c>
    </row>
    <row r="18055" spans="1:8">
      <c r="H18055" t="s">
        <v>38323</v>
      </c>
    </row>
    <row r="18056" spans="1:8">
      <c r="H18056" t="s">
        <v>38324</v>
      </c>
    </row>
    <row r="18057" spans="1:8">
      <c r="H18057" t="s">
        <v>28849</v>
      </c>
    </row>
    <row r="18058" spans="1:8">
      <c r="H18058" t="s">
        <v>38325</v>
      </c>
    </row>
    <row r="18059" spans="1:8">
      <c r="H18059" t="s">
        <v>38326</v>
      </c>
    </row>
    <row r="18060" spans="1:8">
      <c r="H18060" t="s">
        <v>38327</v>
      </c>
    </row>
    <row r="18061" spans="1:8">
      <c r="H18061" t="s">
        <v>28850</v>
      </c>
    </row>
    <row r="18062" spans="1:8">
      <c r="A18062" t="s">
        <v>4548</v>
      </c>
      <c r="B18062">
        <f>HYPERLINK("https://android.googlesource.com/platform/cts/+/87cd8d2d4ba1c31de4070eaac2c674ed14c3ff9e", "87cd8d2d4ba1c31de4070eaac2c674ed14c3ff9e")</f>
        <v>0</v>
      </c>
      <c r="C18062">
        <f>HYPERLINK("https://android.googlesource.com/platform/cts/+/3a5db353f240b980c1ed11871c9dac0e69899540", "3a5db353f240b980c1ed11871c9dac0e69899540")</f>
        <v>0</v>
      </c>
      <c r="D18062" t="s">
        <v>5564</v>
      </c>
      <c r="E18062" t="s">
        <v>10209</v>
      </c>
      <c r="F18062" t="s">
        <v>14773</v>
      </c>
      <c r="G18062" t="s">
        <v>16648</v>
      </c>
      <c r="H18062" t="s">
        <v>38333</v>
      </c>
    </row>
    <row r="18063" spans="1:8">
      <c r="H18063" t="s">
        <v>38334</v>
      </c>
    </row>
    <row r="18064" spans="1:8">
      <c r="H18064" t="s">
        <v>38335</v>
      </c>
    </row>
    <row r="18065" spans="8:8">
      <c r="H18065" t="s">
        <v>38336</v>
      </c>
    </row>
    <row r="18066" spans="8:8">
      <c r="H18066" t="s">
        <v>38337</v>
      </c>
    </row>
    <row r="18067" spans="8:8">
      <c r="H18067" t="s">
        <v>38338</v>
      </c>
    </row>
    <row r="18068" spans="8:8">
      <c r="H18068" t="s">
        <v>38339</v>
      </c>
    </row>
    <row r="18069" spans="8:8">
      <c r="H18069" t="s">
        <v>38340</v>
      </c>
    </row>
    <row r="18070" spans="8:8">
      <c r="H18070" t="s">
        <v>38341</v>
      </c>
    </row>
    <row r="18071" spans="8:8">
      <c r="H18071" t="s">
        <v>38342</v>
      </c>
    </row>
    <row r="18072" spans="8:8">
      <c r="H18072" t="s">
        <v>38343</v>
      </c>
    </row>
    <row r="18073" spans="8:8">
      <c r="H18073" t="s">
        <v>38344</v>
      </c>
    </row>
    <row r="18074" spans="8:8">
      <c r="H18074" t="s">
        <v>38347</v>
      </c>
    </row>
    <row r="18075" spans="8:8">
      <c r="H18075" t="s">
        <v>38348</v>
      </c>
    </row>
    <row r="18076" spans="8:8">
      <c r="H18076" t="s">
        <v>38349</v>
      </c>
    </row>
    <row r="18077" spans="8:8">
      <c r="H18077" t="s">
        <v>38350</v>
      </c>
    </row>
    <row r="18078" spans="8:8">
      <c r="H18078" t="s">
        <v>38351</v>
      </c>
    </row>
    <row r="18079" spans="8:8">
      <c r="H18079" t="s">
        <v>38352</v>
      </c>
    </row>
    <row r="18080" spans="8:8">
      <c r="H18080" t="s">
        <v>38353</v>
      </c>
    </row>
    <row r="18081" spans="8:8">
      <c r="H18081" t="s">
        <v>38354</v>
      </c>
    </row>
    <row r="18082" spans="8:8">
      <c r="H18082" t="s">
        <v>38355</v>
      </c>
    </row>
    <row r="18083" spans="8:8">
      <c r="H18083" t="s">
        <v>38356</v>
      </c>
    </row>
    <row r="18084" spans="8:8">
      <c r="H18084" t="s">
        <v>38357</v>
      </c>
    </row>
    <row r="18085" spans="8:8">
      <c r="H18085" t="s">
        <v>38358</v>
      </c>
    </row>
    <row r="18086" spans="8:8">
      <c r="H18086" t="s">
        <v>38359</v>
      </c>
    </row>
    <row r="18087" spans="8:8">
      <c r="H18087" t="s">
        <v>38360</v>
      </c>
    </row>
    <row r="18088" spans="8:8">
      <c r="H18088" t="s">
        <v>38361</v>
      </c>
    </row>
    <row r="18089" spans="8:8">
      <c r="H18089" t="s">
        <v>38362</v>
      </c>
    </row>
    <row r="18090" spans="8:8">
      <c r="H18090" t="s">
        <v>38363</v>
      </c>
    </row>
    <row r="18091" spans="8:8">
      <c r="H18091" t="s">
        <v>38364</v>
      </c>
    </row>
    <row r="18092" spans="8:8">
      <c r="H18092" t="s">
        <v>38365</v>
      </c>
    </row>
    <row r="18093" spans="8:8">
      <c r="H18093" t="s">
        <v>38366</v>
      </c>
    </row>
    <row r="18094" spans="8:8">
      <c r="H18094" t="s">
        <v>38367</v>
      </c>
    </row>
    <row r="18095" spans="8:8">
      <c r="H18095" t="s">
        <v>38368</v>
      </c>
    </row>
    <row r="18096" spans="8:8">
      <c r="H18096" t="s">
        <v>38371</v>
      </c>
    </row>
    <row r="18097" spans="8:8">
      <c r="H18097" t="s">
        <v>38372</v>
      </c>
    </row>
    <row r="18098" spans="8:8">
      <c r="H18098" t="s">
        <v>38373</v>
      </c>
    </row>
    <row r="18099" spans="8:8">
      <c r="H18099" t="s">
        <v>38374</v>
      </c>
    </row>
    <row r="18100" spans="8:8">
      <c r="H18100" t="s">
        <v>38375</v>
      </c>
    </row>
    <row r="18101" spans="8:8">
      <c r="H18101" t="s">
        <v>38376</v>
      </c>
    </row>
    <row r="18102" spans="8:8">
      <c r="H18102" t="s">
        <v>38377</v>
      </c>
    </row>
    <row r="18103" spans="8:8">
      <c r="H18103" t="s">
        <v>38378</v>
      </c>
    </row>
    <row r="18104" spans="8:8">
      <c r="H18104" t="s">
        <v>38379</v>
      </c>
    </row>
    <row r="18105" spans="8:8">
      <c r="H18105" t="s">
        <v>38380</v>
      </c>
    </row>
    <row r="18106" spans="8:8">
      <c r="H18106" t="s">
        <v>38381</v>
      </c>
    </row>
    <row r="18107" spans="8:8">
      <c r="H18107" t="s">
        <v>38382</v>
      </c>
    </row>
    <row r="18108" spans="8:8">
      <c r="H18108" t="s">
        <v>38383</v>
      </c>
    </row>
    <row r="18109" spans="8:8">
      <c r="H18109" t="s">
        <v>38384</v>
      </c>
    </row>
    <row r="18110" spans="8:8">
      <c r="H18110" t="s">
        <v>38385</v>
      </c>
    </row>
    <row r="18111" spans="8:8">
      <c r="H18111" t="s">
        <v>38386</v>
      </c>
    </row>
    <row r="18112" spans="8:8">
      <c r="H18112" t="s">
        <v>38387</v>
      </c>
    </row>
    <row r="18113" spans="8:8">
      <c r="H18113" t="s">
        <v>38388</v>
      </c>
    </row>
    <row r="18114" spans="8:8">
      <c r="H18114" t="s">
        <v>38389</v>
      </c>
    </row>
    <row r="18115" spans="8:8">
      <c r="H18115" t="s">
        <v>38390</v>
      </c>
    </row>
    <row r="18116" spans="8:8">
      <c r="H18116" t="s">
        <v>38391</v>
      </c>
    </row>
    <row r="18117" spans="8:8">
      <c r="H18117" t="s">
        <v>38392</v>
      </c>
    </row>
    <row r="18118" spans="8:8">
      <c r="H18118" t="s">
        <v>38395</v>
      </c>
    </row>
    <row r="18119" spans="8:8">
      <c r="H18119" t="s">
        <v>38396</v>
      </c>
    </row>
    <row r="18120" spans="8:8">
      <c r="H18120" t="s">
        <v>38397</v>
      </c>
    </row>
    <row r="18121" spans="8:8">
      <c r="H18121" t="s">
        <v>38398</v>
      </c>
    </row>
    <row r="18122" spans="8:8">
      <c r="H18122" t="s">
        <v>38399</v>
      </c>
    </row>
    <row r="18123" spans="8:8">
      <c r="H18123" t="s">
        <v>38400</v>
      </c>
    </row>
    <row r="18124" spans="8:8">
      <c r="H18124" t="s">
        <v>38401</v>
      </c>
    </row>
    <row r="18125" spans="8:8">
      <c r="H18125" t="s">
        <v>38402</v>
      </c>
    </row>
    <row r="18126" spans="8:8">
      <c r="H18126" t="s">
        <v>38403</v>
      </c>
    </row>
    <row r="18127" spans="8:8">
      <c r="H18127" t="s">
        <v>38404</v>
      </c>
    </row>
    <row r="18128" spans="8:8">
      <c r="H18128" t="s">
        <v>38405</v>
      </c>
    </row>
    <row r="18129" spans="8:8">
      <c r="H18129" t="s">
        <v>38406</v>
      </c>
    </row>
    <row r="18130" spans="8:8">
      <c r="H18130" t="s">
        <v>38407</v>
      </c>
    </row>
    <row r="18131" spans="8:8">
      <c r="H18131" t="s">
        <v>38408</v>
      </c>
    </row>
    <row r="18132" spans="8:8">
      <c r="H18132" t="s">
        <v>38409</v>
      </c>
    </row>
    <row r="18133" spans="8:8">
      <c r="H18133" t="s">
        <v>38410</v>
      </c>
    </row>
    <row r="18134" spans="8:8">
      <c r="H18134" t="s">
        <v>38411</v>
      </c>
    </row>
    <row r="18135" spans="8:8">
      <c r="H18135" t="s">
        <v>38412</v>
      </c>
    </row>
    <row r="18136" spans="8:8">
      <c r="H18136" t="s">
        <v>38413</v>
      </c>
    </row>
    <row r="18137" spans="8:8">
      <c r="H18137" t="s">
        <v>38414</v>
      </c>
    </row>
    <row r="18138" spans="8:8">
      <c r="H18138" t="s">
        <v>38415</v>
      </c>
    </row>
    <row r="18139" spans="8:8">
      <c r="H18139" t="s">
        <v>38416</v>
      </c>
    </row>
    <row r="18140" spans="8:8">
      <c r="H18140" t="s">
        <v>38419</v>
      </c>
    </row>
    <row r="18141" spans="8:8">
      <c r="H18141" t="s">
        <v>38420</v>
      </c>
    </row>
    <row r="18142" spans="8:8">
      <c r="H18142" t="s">
        <v>38421</v>
      </c>
    </row>
    <row r="18143" spans="8:8">
      <c r="H18143" t="s">
        <v>38422</v>
      </c>
    </row>
    <row r="18144" spans="8:8">
      <c r="H18144" t="s">
        <v>38423</v>
      </c>
    </row>
    <row r="18145" spans="8:8">
      <c r="H18145" t="s">
        <v>38424</v>
      </c>
    </row>
    <row r="18146" spans="8:8">
      <c r="H18146" t="s">
        <v>38425</v>
      </c>
    </row>
    <row r="18147" spans="8:8">
      <c r="H18147" t="s">
        <v>38426</v>
      </c>
    </row>
    <row r="18148" spans="8:8">
      <c r="H18148" t="s">
        <v>38427</v>
      </c>
    </row>
    <row r="18149" spans="8:8">
      <c r="H18149" t="s">
        <v>38428</v>
      </c>
    </row>
    <row r="18150" spans="8:8">
      <c r="H18150" t="s">
        <v>38429</v>
      </c>
    </row>
    <row r="18151" spans="8:8">
      <c r="H18151" t="s">
        <v>38430</v>
      </c>
    </row>
    <row r="18152" spans="8:8">
      <c r="H18152" t="s">
        <v>38431</v>
      </c>
    </row>
    <row r="18153" spans="8:8">
      <c r="H18153" t="s">
        <v>38432</v>
      </c>
    </row>
    <row r="18154" spans="8:8">
      <c r="H18154" t="s">
        <v>38433</v>
      </c>
    </row>
    <row r="18155" spans="8:8">
      <c r="H18155" t="s">
        <v>38434</v>
      </c>
    </row>
    <row r="18156" spans="8:8">
      <c r="H18156" t="s">
        <v>38435</v>
      </c>
    </row>
    <row r="18157" spans="8:8">
      <c r="H18157" t="s">
        <v>38436</v>
      </c>
    </row>
    <row r="18158" spans="8:8">
      <c r="H18158" t="s">
        <v>38437</v>
      </c>
    </row>
    <row r="18159" spans="8:8">
      <c r="H18159" t="s">
        <v>38438</v>
      </c>
    </row>
    <row r="18160" spans="8:8">
      <c r="H18160" t="s">
        <v>38439</v>
      </c>
    </row>
    <row r="18161" spans="8:8">
      <c r="H18161" t="s">
        <v>38440</v>
      </c>
    </row>
    <row r="18162" spans="8:8">
      <c r="H18162" t="s">
        <v>38443</v>
      </c>
    </row>
    <row r="18163" spans="8:8">
      <c r="H18163" t="s">
        <v>38444</v>
      </c>
    </row>
    <row r="18164" spans="8:8">
      <c r="H18164" t="s">
        <v>38445</v>
      </c>
    </row>
    <row r="18165" spans="8:8">
      <c r="H18165" t="s">
        <v>38446</v>
      </c>
    </row>
    <row r="18166" spans="8:8">
      <c r="H18166" t="s">
        <v>38447</v>
      </c>
    </row>
    <row r="18167" spans="8:8">
      <c r="H18167" t="s">
        <v>38448</v>
      </c>
    </row>
    <row r="18168" spans="8:8">
      <c r="H18168" t="s">
        <v>38449</v>
      </c>
    </row>
    <row r="18169" spans="8:8">
      <c r="H18169" t="s">
        <v>38450</v>
      </c>
    </row>
    <row r="18170" spans="8:8">
      <c r="H18170" t="s">
        <v>38451</v>
      </c>
    </row>
    <row r="18171" spans="8:8">
      <c r="H18171" t="s">
        <v>38452</v>
      </c>
    </row>
    <row r="18172" spans="8:8">
      <c r="H18172" t="s">
        <v>38453</v>
      </c>
    </row>
    <row r="18173" spans="8:8">
      <c r="H18173" t="s">
        <v>38454</v>
      </c>
    </row>
    <row r="18174" spans="8:8">
      <c r="H18174" t="s">
        <v>38455</v>
      </c>
    </row>
    <row r="18175" spans="8:8">
      <c r="H18175" t="s">
        <v>38456</v>
      </c>
    </row>
    <row r="18176" spans="8:8">
      <c r="H18176" t="s">
        <v>38457</v>
      </c>
    </row>
    <row r="18177" spans="8:8">
      <c r="H18177" t="s">
        <v>38458</v>
      </c>
    </row>
    <row r="18178" spans="8:8">
      <c r="H18178" t="s">
        <v>38459</v>
      </c>
    </row>
    <row r="18179" spans="8:8">
      <c r="H18179" t="s">
        <v>38460</v>
      </c>
    </row>
    <row r="18180" spans="8:8">
      <c r="H18180" t="s">
        <v>38461</v>
      </c>
    </row>
    <row r="18181" spans="8:8">
      <c r="H18181" t="s">
        <v>38462</v>
      </c>
    </row>
    <row r="18182" spans="8:8">
      <c r="H18182" t="s">
        <v>38463</v>
      </c>
    </row>
    <row r="18183" spans="8:8">
      <c r="H18183" t="s">
        <v>38464</v>
      </c>
    </row>
    <row r="18184" spans="8:8">
      <c r="H18184" t="s">
        <v>38467</v>
      </c>
    </row>
    <row r="18185" spans="8:8">
      <c r="H18185" t="s">
        <v>38468</v>
      </c>
    </row>
    <row r="18186" spans="8:8">
      <c r="H18186" t="s">
        <v>38469</v>
      </c>
    </row>
    <row r="18187" spans="8:8">
      <c r="H18187" t="s">
        <v>38470</v>
      </c>
    </row>
    <row r="18188" spans="8:8">
      <c r="H18188" t="s">
        <v>38471</v>
      </c>
    </row>
    <row r="18189" spans="8:8">
      <c r="H18189" t="s">
        <v>38472</v>
      </c>
    </row>
    <row r="18190" spans="8:8">
      <c r="H18190" t="s">
        <v>38473</v>
      </c>
    </row>
    <row r="18191" spans="8:8">
      <c r="H18191" t="s">
        <v>38474</v>
      </c>
    </row>
    <row r="18192" spans="8:8">
      <c r="H18192" t="s">
        <v>38475</v>
      </c>
    </row>
    <row r="18193" spans="8:8">
      <c r="H18193" t="s">
        <v>38476</v>
      </c>
    </row>
    <row r="18194" spans="8:8">
      <c r="H18194" t="s">
        <v>38477</v>
      </c>
    </row>
    <row r="18195" spans="8:8">
      <c r="H18195" t="s">
        <v>38478</v>
      </c>
    </row>
    <row r="18196" spans="8:8">
      <c r="H18196" t="s">
        <v>38479</v>
      </c>
    </row>
    <row r="18197" spans="8:8">
      <c r="H18197" t="s">
        <v>38480</v>
      </c>
    </row>
    <row r="18198" spans="8:8">
      <c r="H18198" t="s">
        <v>38481</v>
      </c>
    </row>
    <row r="18199" spans="8:8">
      <c r="H18199" t="s">
        <v>38482</v>
      </c>
    </row>
    <row r="18200" spans="8:8">
      <c r="H18200" t="s">
        <v>38483</v>
      </c>
    </row>
    <row r="18201" spans="8:8">
      <c r="H18201" t="s">
        <v>38484</v>
      </c>
    </row>
    <row r="18202" spans="8:8">
      <c r="H18202" t="s">
        <v>38485</v>
      </c>
    </row>
    <row r="18203" spans="8:8">
      <c r="H18203" t="s">
        <v>38486</v>
      </c>
    </row>
    <row r="18204" spans="8:8">
      <c r="H18204" t="s">
        <v>38487</v>
      </c>
    </row>
    <row r="18205" spans="8:8">
      <c r="H18205" t="s">
        <v>38488</v>
      </c>
    </row>
    <row r="18206" spans="8:8">
      <c r="H18206" t="s">
        <v>38491</v>
      </c>
    </row>
    <row r="18207" spans="8:8">
      <c r="H18207" t="s">
        <v>38492</v>
      </c>
    </row>
    <row r="18208" spans="8:8">
      <c r="H18208" t="s">
        <v>38493</v>
      </c>
    </row>
    <row r="18209" spans="8:8">
      <c r="H18209" t="s">
        <v>38494</v>
      </c>
    </row>
    <row r="18210" spans="8:8">
      <c r="H18210" t="s">
        <v>38495</v>
      </c>
    </row>
    <row r="18211" spans="8:8">
      <c r="H18211" t="s">
        <v>38496</v>
      </c>
    </row>
    <row r="18212" spans="8:8">
      <c r="H18212" t="s">
        <v>38497</v>
      </c>
    </row>
    <row r="18213" spans="8:8">
      <c r="H18213" t="s">
        <v>38498</v>
      </c>
    </row>
    <row r="18214" spans="8:8">
      <c r="H18214" t="s">
        <v>38499</v>
      </c>
    </row>
    <row r="18215" spans="8:8">
      <c r="H18215" t="s">
        <v>38500</v>
      </c>
    </row>
    <row r="18216" spans="8:8">
      <c r="H18216" t="s">
        <v>38501</v>
      </c>
    </row>
    <row r="18217" spans="8:8">
      <c r="H18217" t="s">
        <v>38502</v>
      </c>
    </row>
    <row r="18218" spans="8:8">
      <c r="H18218" t="s">
        <v>38503</v>
      </c>
    </row>
    <row r="18219" spans="8:8">
      <c r="H18219" t="s">
        <v>38504</v>
      </c>
    </row>
    <row r="18220" spans="8:8">
      <c r="H18220" t="s">
        <v>38505</v>
      </c>
    </row>
    <row r="18221" spans="8:8">
      <c r="H18221" t="s">
        <v>38506</v>
      </c>
    </row>
    <row r="18222" spans="8:8">
      <c r="H18222" t="s">
        <v>38507</v>
      </c>
    </row>
    <row r="18223" spans="8:8">
      <c r="H18223" t="s">
        <v>38508</v>
      </c>
    </row>
    <row r="18224" spans="8:8">
      <c r="H18224" t="s">
        <v>38509</v>
      </c>
    </row>
    <row r="18225" spans="8:8">
      <c r="H18225" t="s">
        <v>38510</v>
      </c>
    </row>
    <row r="18226" spans="8:8">
      <c r="H18226" t="s">
        <v>38511</v>
      </c>
    </row>
    <row r="18227" spans="8:8">
      <c r="H18227" t="s">
        <v>38512</v>
      </c>
    </row>
    <row r="18228" spans="8:8">
      <c r="H18228" t="s">
        <v>38515</v>
      </c>
    </row>
    <row r="18229" spans="8:8">
      <c r="H18229" t="s">
        <v>38516</v>
      </c>
    </row>
    <row r="18230" spans="8:8">
      <c r="H18230" t="s">
        <v>38517</v>
      </c>
    </row>
    <row r="18231" spans="8:8">
      <c r="H18231" t="s">
        <v>38518</v>
      </c>
    </row>
    <row r="18232" spans="8:8">
      <c r="H18232" t="s">
        <v>38519</v>
      </c>
    </row>
    <row r="18233" spans="8:8">
      <c r="H18233" t="s">
        <v>38520</v>
      </c>
    </row>
    <row r="18234" spans="8:8">
      <c r="H18234" t="s">
        <v>38521</v>
      </c>
    </row>
    <row r="18235" spans="8:8">
      <c r="H18235" t="s">
        <v>38522</v>
      </c>
    </row>
    <row r="18236" spans="8:8">
      <c r="H18236" t="s">
        <v>38523</v>
      </c>
    </row>
    <row r="18237" spans="8:8">
      <c r="H18237" t="s">
        <v>38524</v>
      </c>
    </row>
    <row r="18238" spans="8:8">
      <c r="H18238" t="s">
        <v>38525</v>
      </c>
    </row>
    <row r="18239" spans="8:8">
      <c r="H18239" t="s">
        <v>38526</v>
      </c>
    </row>
    <row r="18240" spans="8:8">
      <c r="H18240" t="s">
        <v>38527</v>
      </c>
    </row>
    <row r="18241" spans="8:8">
      <c r="H18241" t="s">
        <v>38528</v>
      </c>
    </row>
    <row r="18242" spans="8:8">
      <c r="H18242" t="s">
        <v>38529</v>
      </c>
    </row>
    <row r="18243" spans="8:8">
      <c r="H18243" t="s">
        <v>38530</v>
      </c>
    </row>
    <row r="18244" spans="8:8">
      <c r="H18244" t="s">
        <v>38531</v>
      </c>
    </row>
    <row r="18245" spans="8:8">
      <c r="H18245" t="s">
        <v>38532</v>
      </c>
    </row>
    <row r="18246" spans="8:8">
      <c r="H18246" t="s">
        <v>38533</v>
      </c>
    </row>
    <row r="18247" spans="8:8">
      <c r="H18247" t="s">
        <v>38534</v>
      </c>
    </row>
    <row r="18248" spans="8:8">
      <c r="H18248" t="s">
        <v>38535</v>
      </c>
    </row>
    <row r="18249" spans="8:8">
      <c r="H18249" t="s">
        <v>38536</v>
      </c>
    </row>
    <row r="18250" spans="8:8">
      <c r="H18250" t="s">
        <v>38539</v>
      </c>
    </row>
    <row r="18251" spans="8:8">
      <c r="H18251" t="s">
        <v>38540</v>
      </c>
    </row>
    <row r="18252" spans="8:8">
      <c r="H18252" t="s">
        <v>38541</v>
      </c>
    </row>
    <row r="18253" spans="8:8">
      <c r="H18253" t="s">
        <v>38542</v>
      </c>
    </row>
    <row r="18254" spans="8:8">
      <c r="H18254" t="s">
        <v>38543</v>
      </c>
    </row>
    <row r="18255" spans="8:8">
      <c r="H18255" t="s">
        <v>38544</v>
      </c>
    </row>
    <row r="18256" spans="8:8">
      <c r="H18256" t="s">
        <v>38545</v>
      </c>
    </row>
    <row r="18257" spans="8:8">
      <c r="H18257" t="s">
        <v>38546</v>
      </c>
    </row>
    <row r="18258" spans="8:8">
      <c r="H18258" t="s">
        <v>38547</v>
      </c>
    </row>
    <row r="18259" spans="8:8">
      <c r="H18259" t="s">
        <v>38548</v>
      </c>
    </row>
    <row r="18260" spans="8:8">
      <c r="H18260" t="s">
        <v>38549</v>
      </c>
    </row>
    <row r="18261" spans="8:8">
      <c r="H18261" t="s">
        <v>38550</v>
      </c>
    </row>
    <row r="18262" spans="8:8">
      <c r="H18262" t="s">
        <v>38551</v>
      </c>
    </row>
    <row r="18263" spans="8:8">
      <c r="H18263" t="s">
        <v>38552</v>
      </c>
    </row>
    <row r="18264" spans="8:8">
      <c r="H18264" t="s">
        <v>38553</v>
      </c>
    </row>
    <row r="18265" spans="8:8">
      <c r="H18265" t="s">
        <v>38554</v>
      </c>
    </row>
    <row r="18266" spans="8:8">
      <c r="H18266" t="s">
        <v>38555</v>
      </c>
    </row>
    <row r="18267" spans="8:8">
      <c r="H18267" t="s">
        <v>38556</v>
      </c>
    </row>
    <row r="18268" spans="8:8">
      <c r="H18268" t="s">
        <v>38557</v>
      </c>
    </row>
    <row r="18269" spans="8:8">
      <c r="H18269" t="s">
        <v>38558</v>
      </c>
    </row>
    <row r="18270" spans="8:8">
      <c r="H18270" t="s">
        <v>38559</v>
      </c>
    </row>
    <row r="18271" spans="8:8">
      <c r="H18271" t="s">
        <v>38560</v>
      </c>
    </row>
    <row r="18272" spans="8:8">
      <c r="H18272" t="s">
        <v>38563</v>
      </c>
    </row>
    <row r="18273" spans="8:8">
      <c r="H18273" t="s">
        <v>38564</v>
      </c>
    </row>
    <row r="18274" spans="8:8">
      <c r="H18274" t="s">
        <v>38565</v>
      </c>
    </row>
    <row r="18275" spans="8:8">
      <c r="H18275" t="s">
        <v>38566</v>
      </c>
    </row>
    <row r="18276" spans="8:8">
      <c r="H18276" t="s">
        <v>38567</v>
      </c>
    </row>
    <row r="18277" spans="8:8">
      <c r="H18277" t="s">
        <v>38568</v>
      </c>
    </row>
    <row r="18278" spans="8:8">
      <c r="H18278" t="s">
        <v>38569</v>
      </c>
    </row>
    <row r="18279" spans="8:8">
      <c r="H18279" t="s">
        <v>38570</v>
      </c>
    </row>
    <row r="18280" spans="8:8">
      <c r="H18280" t="s">
        <v>38571</v>
      </c>
    </row>
    <row r="18281" spans="8:8">
      <c r="H18281" t="s">
        <v>38572</v>
      </c>
    </row>
    <row r="18282" spans="8:8">
      <c r="H18282" t="s">
        <v>38573</v>
      </c>
    </row>
    <row r="18283" spans="8:8">
      <c r="H18283" t="s">
        <v>38574</v>
      </c>
    </row>
    <row r="18284" spans="8:8">
      <c r="H18284" t="s">
        <v>38575</v>
      </c>
    </row>
    <row r="18285" spans="8:8">
      <c r="H18285" t="s">
        <v>38576</v>
      </c>
    </row>
    <row r="18286" spans="8:8">
      <c r="H18286" t="s">
        <v>38577</v>
      </c>
    </row>
    <row r="18287" spans="8:8">
      <c r="H18287" t="s">
        <v>38578</v>
      </c>
    </row>
    <row r="18288" spans="8:8">
      <c r="H18288" t="s">
        <v>38579</v>
      </c>
    </row>
    <row r="18289" spans="8:8">
      <c r="H18289" t="s">
        <v>38580</v>
      </c>
    </row>
    <row r="18290" spans="8:8">
      <c r="H18290" t="s">
        <v>38581</v>
      </c>
    </row>
    <row r="18291" spans="8:8">
      <c r="H18291" t="s">
        <v>38582</v>
      </c>
    </row>
    <row r="18292" spans="8:8">
      <c r="H18292" t="s">
        <v>38583</v>
      </c>
    </row>
    <row r="18293" spans="8:8">
      <c r="H18293" t="s">
        <v>38584</v>
      </c>
    </row>
    <row r="18294" spans="8:8">
      <c r="H18294" t="s">
        <v>38587</v>
      </c>
    </row>
    <row r="18295" spans="8:8">
      <c r="H18295" t="s">
        <v>38588</v>
      </c>
    </row>
    <row r="18296" spans="8:8">
      <c r="H18296" t="s">
        <v>38589</v>
      </c>
    </row>
    <row r="18297" spans="8:8">
      <c r="H18297" t="s">
        <v>38590</v>
      </c>
    </row>
    <row r="18298" spans="8:8">
      <c r="H18298" t="s">
        <v>38591</v>
      </c>
    </row>
    <row r="18299" spans="8:8">
      <c r="H18299" t="s">
        <v>38592</v>
      </c>
    </row>
    <row r="18300" spans="8:8">
      <c r="H18300" t="s">
        <v>38593</v>
      </c>
    </row>
    <row r="18301" spans="8:8">
      <c r="H18301" t="s">
        <v>38594</v>
      </c>
    </row>
    <row r="18302" spans="8:8">
      <c r="H18302" t="s">
        <v>38595</v>
      </c>
    </row>
    <row r="18303" spans="8:8">
      <c r="H18303" t="s">
        <v>38596</v>
      </c>
    </row>
    <row r="18304" spans="8:8">
      <c r="H18304" t="s">
        <v>38597</v>
      </c>
    </row>
    <row r="18305" spans="8:8">
      <c r="H18305" t="s">
        <v>38598</v>
      </c>
    </row>
    <row r="18306" spans="8:8">
      <c r="H18306" t="s">
        <v>38599</v>
      </c>
    </row>
    <row r="18307" spans="8:8">
      <c r="H18307" t="s">
        <v>38600</v>
      </c>
    </row>
    <row r="18308" spans="8:8">
      <c r="H18308" t="s">
        <v>38601</v>
      </c>
    </row>
    <row r="18309" spans="8:8">
      <c r="H18309" t="s">
        <v>38602</v>
      </c>
    </row>
    <row r="18310" spans="8:8">
      <c r="H18310" t="s">
        <v>38603</v>
      </c>
    </row>
    <row r="18311" spans="8:8">
      <c r="H18311" t="s">
        <v>38604</v>
      </c>
    </row>
    <row r="18312" spans="8:8">
      <c r="H18312" t="s">
        <v>38605</v>
      </c>
    </row>
    <row r="18313" spans="8:8">
      <c r="H18313" t="s">
        <v>38606</v>
      </c>
    </row>
    <row r="18314" spans="8:8">
      <c r="H18314" t="s">
        <v>38607</v>
      </c>
    </row>
    <row r="18315" spans="8:8">
      <c r="H18315" t="s">
        <v>38608</v>
      </c>
    </row>
    <row r="18316" spans="8:8">
      <c r="H18316" t="s">
        <v>38611</v>
      </c>
    </row>
    <row r="18317" spans="8:8">
      <c r="H18317" t="s">
        <v>38612</v>
      </c>
    </row>
    <row r="18318" spans="8:8">
      <c r="H18318" t="s">
        <v>38613</v>
      </c>
    </row>
    <row r="18319" spans="8:8">
      <c r="H18319" t="s">
        <v>38614</v>
      </c>
    </row>
    <row r="18320" spans="8:8">
      <c r="H18320" t="s">
        <v>38615</v>
      </c>
    </row>
    <row r="18321" spans="8:8">
      <c r="H18321" t="s">
        <v>38616</v>
      </c>
    </row>
    <row r="18322" spans="8:8">
      <c r="H18322" t="s">
        <v>38617</v>
      </c>
    </row>
    <row r="18323" spans="8:8">
      <c r="H18323" t="s">
        <v>38618</v>
      </c>
    </row>
    <row r="18324" spans="8:8">
      <c r="H18324" t="s">
        <v>38619</v>
      </c>
    </row>
    <row r="18325" spans="8:8">
      <c r="H18325" t="s">
        <v>38620</v>
      </c>
    </row>
    <row r="18326" spans="8:8">
      <c r="H18326" t="s">
        <v>38621</v>
      </c>
    </row>
    <row r="18327" spans="8:8">
      <c r="H18327" t="s">
        <v>38622</v>
      </c>
    </row>
    <row r="18328" spans="8:8">
      <c r="H18328" t="s">
        <v>38623</v>
      </c>
    </row>
    <row r="18329" spans="8:8">
      <c r="H18329" t="s">
        <v>38624</v>
      </c>
    </row>
    <row r="18330" spans="8:8">
      <c r="H18330" t="s">
        <v>38625</v>
      </c>
    </row>
    <row r="18331" spans="8:8">
      <c r="H18331" t="s">
        <v>38626</v>
      </c>
    </row>
    <row r="18332" spans="8:8">
      <c r="H18332" t="s">
        <v>38627</v>
      </c>
    </row>
    <row r="18333" spans="8:8">
      <c r="H18333" t="s">
        <v>38628</v>
      </c>
    </row>
    <row r="18334" spans="8:8">
      <c r="H18334" t="s">
        <v>38629</v>
      </c>
    </row>
    <row r="18335" spans="8:8">
      <c r="H18335" t="s">
        <v>38630</v>
      </c>
    </row>
    <row r="18336" spans="8:8">
      <c r="H18336" t="s">
        <v>38631</v>
      </c>
    </row>
    <row r="18337" spans="8:8">
      <c r="H18337" t="s">
        <v>38632</v>
      </c>
    </row>
    <row r="18338" spans="8:8">
      <c r="H18338" t="s">
        <v>38635</v>
      </c>
    </row>
    <row r="18339" spans="8:8">
      <c r="H18339" t="s">
        <v>38636</v>
      </c>
    </row>
    <row r="18340" spans="8:8">
      <c r="H18340" t="s">
        <v>38637</v>
      </c>
    </row>
    <row r="18341" spans="8:8">
      <c r="H18341" t="s">
        <v>38638</v>
      </c>
    </row>
    <row r="18342" spans="8:8">
      <c r="H18342" t="s">
        <v>38639</v>
      </c>
    </row>
    <row r="18343" spans="8:8">
      <c r="H18343" t="s">
        <v>38640</v>
      </c>
    </row>
    <row r="18344" spans="8:8">
      <c r="H18344" t="s">
        <v>38641</v>
      </c>
    </row>
    <row r="18345" spans="8:8">
      <c r="H18345" t="s">
        <v>38642</v>
      </c>
    </row>
    <row r="18346" spans="8:8">
      <c r="H18346" t="s">
        <v>38643</v>
      </c>
    </row>
    <row r="18347" spans="8:8">
      <c r="H18347" t="s">
        <v>38644</v>
      </c>
    </row>
    <row r="18348" spans="8:8">
      <c r="H18348" t="s">
        <v>38645</v>
      </c>
    </row>
    <row r="18349" spans="8:8">
      <c r="H18349" t="s">
        <v>38646</v>
      </c>
    </row>
    <row r="18350" spans="8:8">
      <c r="H18350" t="s">
        <v>38647</v>
      </c>
    </row>
    <row r="18351" spans="8:8">
      <c r="H18351" t="s">
        <v>38648</v>
      </c>
    </row>
    <row r="18352" spans="8:8">
      <c r="H18352" t="s">
        <v>38649</v>
      </c>
    </row>
    <row r="18353" spans="8:8">
      <c r="H18353" t="s">
        <v>38650</v>
      </c>
    </row>
    <row r="18354" spans="8:8">
      <c r="H18354" t="s">
        <v>38651</v>
      </c>
    </row>
    <row r="18355" spans="8:8">
      <c r="H18355" t="s">
        <v>38652</v>
      </c>
    </row>
    <row r="18356" spans="8:8">
      <c r="H18356" t="s">
        <v>38653</v>
      </c>
    </row>
    <row r="18357" spans="8:8">
      <c r="H18357" t="s">
        <v>38654</v>
      </c>
    </row>
    <row r="18358" spans="8:8">
      <c r="H18358" t="s">
        <v>38655</v>
      </c>
    </row>
    <row r="18359" spans="8:8">
      <c r="H18359" t="s">
        <v>38656</v>
      </c>
    </row>
    <row r="18360" spans="8:8">
      <c r="H18360" t="s">
        <v>38659</v>
      </c>
    </row>
    <row r="18361" spans="8:8">
      <c r="H18361" t="s">
        <v>38660</v>
      </c>
    </row>
    <row r="18362" spans="8:8">
      <c r="H18362" t="s">
        <v>38661</v>
      </c>
    </row>
    <row r="18363" spans="8:8">
      <c r="H18363" t="s">
        <v>38662</v>
      </c>
    </row>
    <row r="18364" spans="8:8">
      <c r="H18364" t="s">
        <v>38663</v>
      </c>
    </row>
    <row r="18365" spans="8:8">
      <c r="H18365" t="s">
        <v>38664</v>
      </c>
    </row>
    <row r="18366" spans="8:8">
      <c r="H18366" t="s">
        <v>38665</v>
      </c>
    </row>
    <row r="18367" spans="8:8">
      <c r="H18367" t="s">
        <v>38666</v>
      </c>
    </row>
    <row r="18368" spans="8:8">
      <c r="H18368" t="s">
        <v>38667</v>
      </c>
    </row>
    <row r="18369" spans="8:8">
      <c r="H18369" t="s">
        <v>38668</v>
      </c>
    </row>
    <row r="18370" spans="8:8">
      <c r="H18370" t="s">
        <v>38669</v>
      </c>
    </row>
    <row r="18371" spans="8:8">
      <c r="H18371" t="s">
        <v>38670</v>
      </c>
    </row>
    <row r="18372" spans="8:8">
      <c r="H18372" t="s">
        <v>38671</v>
      </c>
    </row>
    <row r="18373" spans="8:8">
      <c r="H18373" t="s">
        <v>38672</v>
      </c>
    </row>
    <row r="18374" spans="8:8">
      <c r="H18374" t="s">
        <v>38673</v>
      </c>
    </row>
    <row r="18375" spans="8:8">
      <c r="H18375" t="s">
        <v>38675</v>
      </c>
    </row>
    <row r="18376" spans="8:8">
      <c r="H18376" t="s">
        <v>38676</v>
      </c>
    </row>
    <row r="18377" spans="8:8">
      <c r="H18377" t="s">
        <v>38677</v>
      </c>
    </row>
    <row r="18378" spans="8:8">
      <c r="H18378" t="s">
        <v>38678</v>
      </c>
    </row>
    <row r="18379" spans="8:8">
      <c r="H18379" t="s">
        <v>38685</v>
      </c>
    </row>
    <row r="18380" spans="8:8">
      <c r="H18380" t="s">
        <v>38686</v>
      </c>
    </row>
    <row r="18381" spans="8:8">
      <c r="H18381" t="s">
        <v>38687</v>
      </c>
    </row>
    <row r="18382" spans="8:8">
      <c r="H18382" t="s">
        <v>38688</v>
      </c>
    </row>
    <row r="18383" spans="8:8">
      <c r="H18383" t="s">
        <v>38689</v>
      </c>
    </row>
    <row r="18384" spans="8:8">
      <c r="H18384" t="s">
        <v>38690</v>
      </c>
    </row>
    <row r="18385" spans="1:8">
      <c r="H18385" t="s">
        <v>38691</v>
      </c>
    </row>
    <row r="18386" spans="1:8">
      <c r="H18386" t="s">
        <v>38692</v>
      </c>
    </row>
    <row r="18387" spans="1:8">
      <c r="H18387" t="s">
        <v>38693</v>
      </c>
    </row>
    <row r="18388" spans="1:8">
      <c r="H18388" t="s">
        <v>38694</v>
      </c>
    </row>
    <row r="18389" spans="1:8">
      <c r="A18389" t="s">
        <v>4549</v>
      </c>
      <c r="B18389">
        <f>HYPERLINK("https://android.googlesource.com/platform/cts/+/b9642e074942f58947545180870dc26d0f54d642", "b9642e074942f58947545180870dc26d0f54d642")</f>
        <v>0</v>
      </c>
      <c r="C18389">
        <f>HYPERLINK("https://android.googlesource.com/platform/cts/+/457e773ef90b98c3fd0b765d9eef189a2177e8ef", "457e773ef90b98c3fd0b765d9eef189a2177e8ef")</f>
        <v>0</v>
      </c>
      <c r="D18389" t="s">
        <v>5720</v>
      </c>
      <c r="E18389" t="s">
        <v>10210</v>
      </c>
      <c r="F18389" t="s">
        <v>14774</v>
      </c>
      <c r="G18389" t="s">
        <v>18646</v>
      </c>
      <c r="H18389" t="s">
        <v>38699</v>
      </c>
    </row>
    <row r="18390" spans="1:8">
      <c r="F18390" t="s">
        <v>14777</v>
      </c>
      <c r="G18390" t="s">
        <v>17269</v>
      </c>
      <c r="H18390" t="s">
        <v>38704</v>
      </c>
    </row>
    <row r="18391" spans="1:8">
      <c r="F18391" t="s">
        <v>14778</v>
      </c>
      <c r="G18391" t="s">
        <v>18649</v>
      </c>
      <c r="H18391" t="s">
        <v>38705</v>
      </c>
    </row>
    <row r="18392" spans="1:8">
      <c r="F18392" t="s">
        <v>14780</v>
      </c>
      <c r="G18392" t="s">
        <v>18651</v>
      </c>
      <c r="H18392" t="s">
        <v>38708</v>
      </c>
    </row>
    <row r="18393" spans="1:8">
      <c r="F18393" t="s">
        <v>14781</v>
      </c>
      <c r="G18393" t="s">
        <v>18652</v>
      </c>
      <c r="H18393" t="s">
        <v>38709</v>
      </c>
    </row>
    <row r="18394" spans="1:8">
      <c r="F18394" t="s">
        <v>14782</v>
      </c>
      <c r="G18394" t="s">
        <v>18653</v>
      </c>
      <c r="H18394" t="s">
        <v>38710</v>
      </c>
    </row>
    <row r="18395" spans="1:8">
      <c r="F18395" t="s">
        <v>14783</v>
      </c>
      <c r="G18395" t="s">
        <v>18654</v>
      </c>
      <c r="H18395" t="s">
        <v>38711</v>
      </c>
    </row>
    <row r="18396" spans="1:8">
      <c r="A18396" t="s">
        <v>4553</v>
      </c>
      <c r="B18396">
        <f>HYPERLINK("https://android.googlesource.com/platform/cts/+/222bfeac56e87058c387158f6144681000bfd0bb", "222bfeac56e87058c387158f6144681000bfd0bb")</f>
        <v>0</v>
      </c>
      <c r="C18396">
        <f>HYPERLINK("https://android.googlesource.com/platform/cts/+/d482480e7bdae5cf7754f1516e45225586b8109c", "d482480e7bdae5cf7754f1516e45225586b8109c")</f>
        <v>0</v>
      </c>
      <c r="D18396" t="s">
        <v>5721</v>
      </c>
      <c r="E18396" t="s">
        <v>10214</v>
      </c>
      <c r="F18396" t="s">
        <v>14748</v>
      </c>
      <c r="G18396" t="s">
        <v>18624</v>
      </c>
      <c r="H18396" t="s">
        <v>38717</v>
      </c>
    </row>
    <row r="18397" spans="1:8">
      <c r="A18397" t="s">
        <v>4558</v>
      </c>
      <c r="B18397">
        <f>HYPERLINK("https://android.googlesource.com/platform/cts/+/63f614d357563fef83cd4b09127a1e13e005fe99", "63f614d357563fef83cd4b09127a1e13e005fe99")</f>
        <v>0</v>
      </c>
      <c r="C18397">
        <f>HYPERLINK("https://android.googlesource.com/platform/cts/+/35d66c03de9fdb986d40833f227e19b4e8806aa3", "35d66c03de9fdb986d40833f227e19b4e8806aa3")</f>
        <v>0</v>
      </c>
      <c r="D18397" t="s">
        <v>5409</v>
      </c>
      <c r="E18397" t="s">
        <v>10219</v>
      </c>
      <c r="F18397" t="s">
        <v>12419</v>
      </c>
      <c r="G18397" t="s">
        <v>16641</v>
      </c>
      <c r="H18397" t="s">
        <v>38728</v>
      </c>
    </row>
    <row r="18398" spans="1:8">
      <c r="A18398" t="s">
        <v>4559</v>
      </c>
      <c r="B18398">
        <f>HYPERLINK("https://android.googlesource.com/platform/cts/+/13cbaa3a425d69b262c5ce7bbe8bb5310ec44b37", "13cbaa3a425d69b262c5ce7bbe8bb5310ec44b37")</f>
        <v>0</v>
      </c>
      <c r="C18398">
        <f>HYPERLINK("https://android.googlesource.com/platform/cts/+/63f614d357563fef83cd4b09127a1e13e005fe99", "63f614d357563fef83cd4b09127a1e13e005fe99")</f>
        <v>0</v>
      </c>
      <c r="D18398" t="s">
        <v>5409</v>
      </c>
      <c r="E18398" t="s">
        <v>10220</v>
      </c>
      <c r="F18398" t="s">
        <v>14574</v>
      </c>
      <c r="G18398" t="s">
        <v>18494</v>
      </c>
      <c r="H18398" t="s">
        <v>38729</v>
      </c>
    </row>
    <row r="18399" spans="1:8">
      <c r="H18399" t="s">
        <v>38730</v>
      </c>
    </row>
    <row r="18400" spans="1:8">
      <c r="H18400" t="s">
        <v>37605</v>
      </c>
    </row>
    <row r="18401" spans="1:8">
      <c r="A18401" t="s">
        <v>4560</v>
      </c>
      <c r="B18401">
        <f>HYPERLINK("https://android.googlesource.com/platform/cts/+/ccbd6dea4d9f7abceac9174136849e45b9cbd339", "ccbd6dea4d9f7abceac9174136849e45b9cbd339")</f>
        <v>0</v>
      </c>
      <c r="C18401">
        <f>HYPERLINK("https://android.googlesource.com/platform/cts/+/13cbaa3a425d69b262c5ce7bbe8bb5310ec44b37", "13cbaa3a425d69b262c5ce7bbe8bb5310ec44b37")</f>
        <v>0</v>
      </c>
      <c r="D18401" t="s">
        <v>5409</v>
      </c>
      <c r="E18401" t="s">
        <v>10221</v>
      </c>
      <c r="F18401" t="s">
        <v>14572</v>
      </c>
      <c r="G18401" t="s">
        <v>18492</v>
      </c>
      <c r="H18401" t="s">
        <v>36690</v>
      </c>
    </row>
    <row r="18402" spans="1:8">
      <c r="H18402" t="s">
        <v>37574</v>
      </c>
    </row>
    <row r="18403" spans="1:8">
      <c r="A18403" t="s">
        <v>4562</v>
      </c>
      <c r="B18403">
        <f>HYPERLINK("https://android.googlesource.com/platform/cts/+/fd6135bf77a5d44fa4704c2c7acb67ed93841b17", "fd6135bf77a5d44fa4704c2c7acb67ed93841b17")</f>
        <v>0</v>
      </c>
      <c r="C18403">
        <f>HYPERLINK("https://android.googlesource.com/platform/cts/+/d482480e7bdae5cf7754f1516e45225586b8109c", "d482480e7bdae5cf7754f1516e45225586b8109c")</f>
        <v>0</v>
      </c>
      <c r="D18403" t="s">
        <v>5564</v>
      </c>
      <c r="E18403" t="s">
        <v>10223</v>
      </c>
      <c r="F18403" t="s">
        <v>14788</v>
      </c>
      <c r="G18403" t="s">
        <v>18008</v>
      </c>
      <c r="H18403" t="s">
        <v>38734</v>
      </c>
    </row>
    <row r="18404" spans="1:8">
      <c r="H18404" t="s">
        <v>38735</v>
      </c>
    </row>
    <row r="18405" spans="1:8">
      <c r="H18405" t="s">
        <v>38736</v>
      </c>
    </row>
    <row r="18406" spans="1:8">
      <c r="H18406" t="s">
        <v>38737</v>
      </c>
    </row>
    <row r="18407" spans="1:8">
      <c r="H18407" t="s">
        <v>38738</v>
      </c>
    </row>
    <row r="18408" spans="1:8">
      <c r="H18408" t="s">
        <v>38739</v>
      </c>
    </row>
    <row r="18409" spans="1:8">
      <c r="H18409" t="s">
        <v>38740</v>
      </c>
    </row>
    <row r="18410" spans="1:8">
      <c r="H18410" t="s">
        <v>38741</v>
      </c>
    </row>
    <row r="18411" spans="1:8">
      <c r="H18411" t="s">
        <v>38742</v>
      </c>
    </row>
    <row r="18412" spans="1:8">
      <c r="H18412" t="s">
        <v>38743</v>
      </c>
    </row>
    <row r="18413" spans="1:8">
      <c r="H18413" t="s">
        <v>38744</v>
      </c>
    </row>
    <row r="18414" spans="1:8">
      <c r="H18414" t="s">
        <v>38745</v>
      </c>
    </row>
    <row r="18415" spans="1:8">
      <c r="H18415" t="s">
        <v>38746</v>
      </c>
    </row>
    <row r="18416" spans="1:8">
      <c r="H18416" t="s">
        <v>38747</v>
      </c>
    </row>
    <row r="18417" spans="8:8">
      <c r="H18417" t="s">
        <v>38748</v>
      </c>
    </row>
    <row r="18418" spans="8:8">
      <c r="H18418" t="s">
        <v>38749</v>
      </c>
    </row>
    <row r="18419" spans="8:8">
      <c r="H18419" t="s">
        <v>38750</v>
      </c>
    </row>
    <row r="18420" spans="8:8">
      <c r="H18420" t="s">
        <v>38751</v>
      </c>
    </row>
    <row r="18421" spans="8:8">
      <c r="H18421" t="s">
        <v>38752</v>
      </c>
    </row>
    <row r="18422" spans="8:8">
      <c r="H18422" t="s">
        <v>38753</v>
      </c>
    </row>
    <row r="18423" spans="8:8">
      <c r="H18423" t="s">
        <v>38754</v>
      </c>
    </row>
    <row r="18424" spans="8:8">
      <c r="H18424" t="s">
        <v>38755</v>
      </c>
    </row>
    <row r="18425" spans="8:8">
      <c r="H18425" t="s">
        <v>38756</v>
      </c>
    </row>
    <row r="18426" spans="8:8">
      <c r="H18426" t="s">
        <v>38757</v>
      </c>
    </row>
    <row r="18427" spans="8:8">
      <c r="H18427" t="s">
        <v>38758</v>
      </c>
    </row>
    <row r="18428" spans="8:8">
      <c r="H18428" t="s">
        <v>38759</v>
      </c>
    </row>
    <row r="18429" spans="8:8">
      <c r="H18429" t="s">
        <v>38760</v>
      </c>
    </row>
    <row r="18430" spans="8:8">
      <c r="H18430" t="s">
        <v>38761</v>
      </c>
    </row>
    <row r="18431" spans="8:8">
      <c r="H18431" t="s">
        <v>38762</v>
      </c>
    </row>
    <row r="18432" spans="8:8">
      <c r="H18432" t="s">
        <v>38763</v>
      </c>
    </row>
    <row r="18433" spans="8:8">
      <c r="H18433" t="s">
        <v>38764</v>
      </c>
    </row>
    <row r="18434" spans="8:8">
      <c r="H18434" t="s">
        <v>38765</v>
      </c>
    </row>
    <row r="18435" spans="8:8">
      <c r="H18435" t="s">
        <v>38766</v>
      </c>
    </row>
    <row r="18436" spans="8:8">
      <c r="H18436" t="s">
        <v>38767</v>
      </c>
    </row>
    <row r="18437" spans="8:8">
      <c r="H18437" t="s">
        <v>38768</v>
      </c>
    </row>
    <row r="18438" spans="8:8">
      <c r="H18438" t="s">
        <v>38769</v>
      </c>
    </row>
    <row r="18439" spans="8:8">
      <c r="H18439" t="s">
        <v>38770</v>
      </c>
    </row>
    <row r="18440" spans="8:8">
      <c r="H18440" t="s">
        <v>38771</v>
      </c>
    </row>
    <row r="18441" spans="8:8">
      <c r="H18441" t="s">
        <v>38772</v>
      </c>
    </row>
    <row r="18442" spans="8:8">
      <c r="H18442" t="s">
        <v>38773</v>
      </c>
    </row>
    <row r="18443" spans="8:8">
      <c r="H18443" t="s">
        <v>38774</v>
      </c>
    </row>
    <row r="18444" spans="8:8">
      <c r="H18444" t="s">
        <v>38775</v>
      </c>
    </row>
    <row r="18445" spans="8:8">
      <c r="H18445" t="s">
        <v>38776</v>
      </c>
    </row>
    <row r="18446" spans="8:8">
      <c r="H18446" t="s">
        <v>38777</v>
      </c>
    </row>
    <row r="18447" spans="8:8">
      <c r="H18447" t="s">
        <v>38778</v>
      </c>
    </row>
    <row r="18448" spans="8:8">
      <c r="H18448" t="s">
        <v>38779</v>
      </c>
    </row>
    <row r="18449" spans="1:8">
      <c r="H18449" t="s">
        <v>38780</v>
      </c>
    </row>
    <row r="18450" spans="1:8">
      <c r="H18450" t="s">
        <v>38781</v>
      </c>
    </row>
    <row r="18451" spans="1:8">
      <c r="H18451" t="s">
        <v>38782</v>
      </c>
    </row>
    <row r="18452" spans="1:8">
      <c r="H18452" t="s">
        <v>38783</v>
      </c>
    </row>
    <row r="18453" spans="1:8">
      <c r="H18453" t="s">
        <v>38784</v>
      </c>
    </row>
    <row r="18454" spans="1:8">
      <c r="H18454" t="s">
        <v>38785</v>
      </c>
    </row>
    <row r="18455" spans="1:8">
      <c r="H18455" t="s">
        <v>38786</v>
      </c>
    </row>
    <row r="18456" spans="1:8">
      <c r="H18456" t="s">
        <v>38787</v>
      </c>
    </row>
    <row r="18457" spans="1:8">
      <c r="H18457" t="s">
        <v>38788</v>
      </c>
    </row>
    <row r="18458" spans="1:8">
      <c r="H18458" t="s">
        <v>38789</v>
      </c>
    </row>
    <row r="18459" spans="1:8">
      <c r="H18459" t="s">
        <v>32728</v>
      </c>
    </row>
    <row r="18460" spans="1:8">
      <c r="H18460" t="s">
        <v>32729</v>
      </c>
    </row>
    <row r="18461" spans="1:8">
      <c r="H18461" t="s">
        <v>38790</v>
      </c>
    </row>
    <row r="18462" spans="1:8">
      <c r="H18462" t="s">
        <v>38791</v>
      </c>
    </row>
    <row r="18463" spans="1:8">
      <c r="A18463" t="s">
        <v>4565</v>
      </c>
      <c r="B18463">
        <f>HYPERLINK("https://android.googlesource.com/platform/cts/+/89e7db85873382dc2de717d7f668a911ba4b72cd", "89e7db85873382dc2de717d7f668a911ba4b72cd")</f>
        <v>0</v>
      </c>
      <c r="C18463">
        <f>HYPERLINK("https://android.googlesource.com/platform/cts/+/5ddeee4e9361d38048185b32ceef05150649890f", "5ddeee4e9361d38048185b32ceef05150649890f")</f>
        <v>0</v>
      </c>
      <c r="D18463" t="s">
        <v>5725</v>
      </c>
      <c r="E18463" t="s">
        <v>10226</v>
      </c>
      <c r="F18463" t="s">
        <v>14789</v>
      </c>
      <c r="G18463" t="s">
        <v>18658</v>
      </c>
      <c r="H18463" t="s">
        <v>38795</v>
      </c>
    </row>
    <row r="18464" spans="1:8">
      <c r="A18464" t="s">
        <v>4566</v>
      </c>
      <c r="B18464">
        <f>HYPERLINK("https://android.googlesource.com/platform/cts/+/89d40c2c28f41229c06e2a944f36b93e19e4b0f0", "89d40c2c28f41229c06e2a944f36b93e19e4b0f0")</f>
        <v>0</v>
      </c>
      <c r="C18464">
        <f>HYPERLINK("https://android.googlesource.com/platform/cts/+/6890b4b940b8c63ff3c8a3fee8ebdc99de8f446b", "6890b4b940b8c63ff3c8a3fee8ebdc99de8f446b")</f>
        <v>0</v>
      </c>
      <c r="D18464" t="s">
        <v>5244</v>
      </c>
      <c r="E18464" t="s">
        <v>10227</v>
      </c>
      <c r="F18464" t="s">
        <v>13398</v>
      </c>
      <c r="G18464" t="s">
        <v>17524</v>
      </c>
      <c r="H18464" t="s">
        <v>38796</v>
      </c>
    </row>
    <row r="18465" spans="1:8">
      <c r="A18465" t="s">
        <v>4567</v>
      </c>
      <c r="B18465">
        <f>HYPERLINK("https://android.googlesource.com/platform/cts/+/f796b85d994467ef4e6d4eebabe5eedda55571e2", "f796b85d994467ef4e6d4eebabe5eedda55571e2")</f>
        <v>0</v>
      </c>
      <c r="C18465">
        <f>HYPERLINK("https://android.googlesource.com/platform/cts/+/d482480e7bdae5cf7754f1516e45225586b8109c", "d482480e7bdae5cf7754f1516e45225586b8109c")</f>
        <v>0</v>
      </c>
      <c r="D18465" t="s">
        <v>5564</v>
      </c>
      <c r="E18465" t="s">
        <v>10228</v>
      </c>
      <c r="F18465" t="s">
        <v>14790</v>
      </c>
      <c r="G18465" t="s">
        <v>16861</v>
      </c>
      <c r="H18465" t="s">
        <v>38798</v>
      </c>
    </row>
    <row r="18466" spans="1:8">
      <c r="H18466" t="s">
        <v>38800</v>
      </c>
    </row>
    <row r="18467" spans="1:8">
      <c r="H18467" t="s">
        <v>38801</v>
      </c>
    </row>
    <row r="18468" spans="1:8">
      <c r="H18468" t="s">
        <v>38802</v>
      </c>
    </row>
    <row r="18469" spans="1:8">
      <c r="H18469" t="s">
        <v>38803</v>
      </c>
    </row>
    <row r="18470" spans="1:8">
      <c r="H18470" t="s">
        <v>38804</v>
      </c>
    </row>
    <row r="18471" spans="1:8">
      <c r="H18471" t="s">
        <v>38805</v>
      </c>
    </row>
    <row r="18472" spans="1:8">
      <c r="H18472" t="s">
        <v>38806</v>
      </c>
    </row>
    <row r="18473" spans="1:8">
      <c r="H18473" t="s">
        <v>38807</v>
      </c>
    </row>
    <row r="18474" spans="1:8">
      <c r="H18474" t="s">
        <v>38808</v>
      </c>
    </row>
    <row r="18475" spans="1:8">
      <c r="H18475" t="s">
        <v>38809</v>
      </c>
    </row>
    <row r="18476" spans="1:8">
      <c r="H18476" t="s">
        <v>38810</v>
      </c>
    </row>
    <row r="18477" spans="1:8">
      <c r="H18477" t="s">
        <v>38811</v>
      </c>
    </row>
    <row r="18478" spans="1:8">
      <c r="H18478" t="s">
        <v>38812</v>
      </c>
    </row>
    <row r="18479" spans="1:8">
      <c r="H18479" t="s">
        <v>38813</v>
      </c>
    </row>
    <row r="18480" spans="1:8">
      <c r="H18480" t="s">
        <v>38814</v>
      </c>
    </row>
    <row r="18481" spans="8:8">
      <c r="H18481" t="s">
        <v>38815</v>
      </c>
    </row>
    <row r="18482" spans="8:8">
      <c r="H18482" t="s">
        <v>38816</v>
      </c>
    </row>
    <row r="18483" spans="8:8">
      <c r="H18483" t="s">
        <v>38817</v>
      </c>
    </row>
    <row r="18484" spans="8:8">
      <c r="H18484" t="s">
        <v>38818</v>
      </c>
    </row>
    <row r="18485" spans="8:8">
      <c r="H18485" t="s">
        <v>38819</v>
      </c>
    </row>
    <row r="18486" spans="8:8">
      <c r="H18486" t="s">
        <v>38820</v>
      </c>
    </row>
    <row r="18487" spans="8:8">
      <c r="H18487" t="s">
        <v>38821</v>
      </c>
    </row>
    <row r="18488" spans="8:8">
      <c r="H18488" t="s">
        <v>38822</v>
      </c>
    </row>
    <row r="18489" spans="8:8">
      <c r="H18489" t="s">
        <v>38823</v>
      </c>
    </row>
    <row r="18490" spans="8:8">
      <c r="H18490" t="s">
        <v>38824</v>
      </c>
    </row>
    <row r="18491" spans="8:8">
      <c r="H18491" t="s">
        <v>38825</v>
      </c>
    </row>
    <row r="18492" spans="8:8">
      <c r="H18492" t="s">
        <v>38826</v>
      </c>
    </row>
    <row r="18493" spans="8:8">
      <c r="H18493" t="s">
        <v>38827</v>
      </c>
    </row>
    <row r="18494" spans="8:8">
      <c r="H18494" t="s">
        <v>38828</v>
      </c>
    </row>
    <row r="18495" spans="8:8">
      <c r="H18495" t="s">
        <v>38829</v>
      </c>
    </row>
    <row r="18496" spans="8:8">
      <c r="H18496" t="s">
        <v>38830</v>
      </c>
    </row>
    <row r="18497" spans="8:8">
      <c r="H18497" t="s">
        <v>38831</v>
      </c>
    </row>
    <row r="18498" spans="8:8">
      <c r="H18498" t="s">
        <v>38832</v>
      </c>
    </row>
    <row r="18499" spans="8:8">
      <c r="H18499" t="s">
        <v>38833</v>
      </c>
    </row>
    <row r="18500" spans="8:8">
      <c r="H18500" t="s">
        <v>38834</v>
      </c>
    </row>
    <row r="18501" spans="8:8">
      <c r="H18501" t="s">
        <v>38835</v>
      </c>
    </row>
    <row r="18502" spans="8:8">
      <c r="H18502" t="s">
        <v>38836</v>
      </c>
    </row>
    <row r="18503" spans="8:8">
      <c r="H18503" t="s">
        <v>38837</v>
      </c>
    </row>
    <row r="18504" spans="8:8">
      <c r="H18504" t="s">
        <v>38838</v>
      </c>
    </row>
    <row r="18505" spans="8:8">
      <c r="H18505" t="s">
        <v>38839</v>
      </c>
    </row>
    <row r="18506" spans="8:8">
      <c r="H18506" t="s">
        <v>38840</v>
      </c>
    </row>
    <row r="18507" spans="8:8">
      <c r="H18507" t="s">
        <v>38841</v>
      </c>
    </row>
    <row r="18508" spans="8:8">
      <c r="H18508" t="s">
        <v>38842</v>
      </c>
    </row>
    <row r="18509" spans="8:8">
      <c r="H18509" t="s">
        <v>38843</v>
      </c>
    </row>
    <row r="18510" spans="8:8">
      <c r="H18510" t="s">
        <v>38844</v>
      </c>
    </row>
    <row r="18511" spans="8:8">
      <c r="H18511" t="s">
        <v>38845</v>
      </c>
    </row>
    <row r="18512" spans="8:8">
      <c r="H18512" t="s">
        <v>38846</v>
      </c>
    </row>
    <row r="18513" spans="8:8">
      <c r="H18513" t="s">
        <v>38847</v>
      </c>
    </row>
    <row r="18514" spans="8:8">
      <c r="H18514" t="s">
        <v>38848</v>
      </c>
    </row>
    <row r="18515" spans="8:8">
      <c r="H18515" t="s">
        <v>38849</v>
      </c>
    </row>
    <row r="18516" spans="8:8">
      <c r="H18516" t="s">
        <v>38850</v>
      </c>
    </row>
    <row r="18517" spans="8:8">
      <c r="H18517" t="s">
        <v>38851</v>
      </c>
    </row>
    <row r="18518" spans="8:8">
      <c r="H18518" t="s">
        <v>38852</v>
      </c>
    </row>
    <row r="18519" spans="8:8">
      <c r="H18519" t="s">
        <v>38853</v>
      </c>
    </row>
    <row r="18520" spans="8:8">
      <c r="H18520" t="s">
        <v>38854</v>
      </c>
    </row>
    <row r="18521" spans="8:8">
      <c r="H18521" t="s">
        <v>38855</v>
      </c>
    </row>
    <row r="18522" spans="8:8">
      <c r="H18522" t="s">
        <v>38856</v>
      </c>
    </row>
    <row r="18523" spans="8:8">
      <c r="H18523" t="s">
        <v>38857</v>
      </c>
    </row>
    <row r="18524" spans="8:8">
      <c r="H18524" t="s">
        <v>38858</v>
      </c>
    </row>
    <row r="18525" spans="8:8">
      <c r="H18525" t="s">
        <v>38859</v>
      </c>
    </row>
    <row r="18526" spans="8:8">
      <c r="H18526" t="s">
        <v>38860</v>
      </c>
    </row>
    <row r="18527" spans="8:8">
      <c r="H18527" t="s">
        <v>38861</v>
      </c>
    </row>
    <row r="18528" spans="8:8">
      <c r="H18528" t="s">
        <v>38862</v>
      </c>
    </row>
    <row r="18529" spans="8:8">
      <c r="H18529" t="s">
        <v>38863</v>
      </c>
    </row>
    <row r="18530" spans="8:8">
      <c r="H18530" t="s">
        <v>38864</v>
      </c>
    </row>
    <row r="18531" spans="8:8">
      <c r="H18531" t="s">
        <v>38865</v>
      </c>
    </row>
    <row r="18532" spans="8:8">
      <c r="H18532" t="s">
        <v>38866</v>
      </c>
    </row>
    <row r="18533" spans="8:8">
      <c r="H18533" t="s">
        <v>38867</v>
      </c>
    </row>
    <row r="18534" spans="8:8">
      <c r="H18534" t="s">
        <v>38868</v>
      </c>
    </row>
    <row r="18535" spans="8:8">
      <c r="H18535" t="s">
        <v>38869</v>
      </c>
    </row>
    <row r="18536" spans="8:8">
      <c r="H18536" t="s">
        <v>38870</v>
      </c>
    </row>
    <row r="18537" spans="8:8">
      <c r="H18537" t="s">
        <v>38871</v>
      </c>
    </row>
    <row r="18538" spans="8:8">
      <c r="H18538" t="s">
        <v>38872</v>
      </c>
    </row>
    <row r="18539" spans="8:8">
      <c r="H18539" t="s">
        <v>38873</v>
      </c>
    </row>
    <row r="18540" spans="8:8">
      <c r="H18540" t="s">
        <v>38874</v>
      </c>
    </row>
    <row r="18541" spans="8:8">
      <c r="H18541" t="s">
        <v>38875</v>
      </c>
    </row>
    <row r="18542" spans="8:8">
      <c r="H18542" t="s">
        <v>38876</v>
      </c>
    </row>
    <row r="18543" spans="8:8">
      <c r="H18543" t="s">
        <v>38877</v>
      </c>
    </row>
    <row r="18544" spans="8:8">
      <c r="H18544" t="s">
        <v>38878</v>
      </c>
    </row>
    <row r="18545" spans="8:8">
      <c r="H18545" t="s">
        <v>38879</v>
      </c>
    </row>
    <row r="18546" spans="8:8">
      <c r="H18546" t="s">
        <v>38880</v>
      </c>
    </row>
    <row r="18547" spans="8:8">
      <c r="H18547" t="s">
        <v>38881</v>
      </c>
    </row>
    <row r="18548" spans="8:8">
      <c r="H18548" t="s">
        <v>38882</v>
      </c>
    </row>
    <row r="18549" spans="8:8">
      <c r="H18549" t="s">
        <v>38883</v>
      </c>
    </row>
    <row r="18550" spans="8:8">
      <c r="H18550" t="s">
        <v>38884</v>
      </c>
    </row>
    <row r="18551" spans="8:8">
      <c r="H18551" t="s">
        <v>38885</v>
      </c>
    </row>
    <row r="18552" spans="8:8">
      <c r="H18552" t="s">
        <v>38886</v>
      </c>
    </row>
    <row r="18553" spans="8:8">
      <c r="H18553" t="s">
        <v>38887</v>
      </c>
    </row>
    <row r="18554" spans="8:8">
      <c r="H18554" t="s">
        <v>38888</v>
      </c>
    </row>
    <row r="18555" spans="8:8">
      <c r="H18555" t="s">
        <v>38889</v>
      </c>
    </row>
    <row r="18556" spans="8:8">
      <c r="H18556" t="s">
        <v>38890</v>
      </c>
    </row>
    <row r="18557" spans="8:8">
      <c r="H18557" t="s">
        <v>38891</v>
      </c>
    </row>
    <row r="18558" spans="8:8">
      <c r="H18558" t="s">
        <v>38892</v>
      </c>
    </row>
    <row r="18559" spans="8:8">
      <c r="H18559" t="s">
        <v>38893</v>
      </c>
    </row>
    <row r="18560" spans="8:8">
      <c r="H18560" t="s">
        <v>38894</v>
      </c>
    </row>
    <row r="18561" spans="8:8">
      <c r="H18561" t="s">
        <v>38895</v>
      </c>
    </row>
    <row r="18562" spans="8:8">
      <c r="H18562" t="s">
        <v>38896</v>
      </c>
    </row>
    <row r="18563" spans="8:8">
      <c r="H18563" t="s">
        <v>38897</v>
      </c>
    </row>
    <row r="18564" spans="8:8">
      <c r="H18564" t="s">
        <v>38898</v>
      </c>
    </row>
    <row r="18565" spans="8:8">
      <c r="H18565" t="s">
        <v>38899</v>
      </c>
    </row>
    <row r="18566" spans="8:8">
      <c r="H18566" t="s">
        <v>38900</v>
      </c>
    </row>
    <row r="18567" spans="8:8">
      <c r="H18567" t="s">
        <v>38901</v>
      </c>
    </row>
    <row r="18568" spans="8:8">
      <c r="H18568" t="s">
        <v>38902</v>
      </c>
    </row>
    <row r="18569" spans="8:8">
      <c r="H18569" t="s">
        <v>38903</v>
      </c>
    </row>
    <row r="18570" spans="8:8">
      <c r="H18570" t="s">
        <v>38904</v>
      </c>
    </row>
    <row r="18571" spans="8:8">
      <c r="H18571" t="s">
        <v>38905</v>
      </c>
    </row>
    <row r="18572" spans="8:8">
      <c r="H18572" t="s">
        <v>38906</v>
      </c>
    </row>
    <row r="18573" spans="8:8">
      <c r="H18573" t="s">
        <v>38907</v>
      </c>
    </row>
    <row r="18574" spans="8:8">
      <c r="H18574" t="s">
        <v>38908</v>
      </c>
    </row>
    <row r="18575" spans="8:8">
      <c r="H18575" t="s">
        <v>38909</v>
      </c>
    </row>
    <row r="18576" spans="8:8">
      <c r="H18576" t="s">
        <v>38910</v>
      </c>
    </row>
    <row r="18577" spans="8:8">
      <c r="H18577" t="s">
        <v>38911</v>
      </c>
    </row>
    <row r="18578" spans="8:8">
      <c r="H18578" t="s">
        <v>38912</v>
      </c>
    </row>
    <row r="18579" spans="8:8">
      <c r="H18579" t="s">
        <v>38913</v>
      </c>
    </row>
    <row r="18580" spans="8:8">
      <c r="H18580" t="s">
        <v>38914</v>
      </c>
    </row>
    <row r="18581" spans="8:8">
      <c r="H18581" t="s">
        <v>38915</v>
      </c>
    </row>
    <row r="18582" spans="8:8">
      <c r="H18582" t="s">
        <v>38916</v>
      </c>
    </row>
    <row r="18583" spans="8:8">
      <c r="H18583" t="s">
        <v>38917</v>
      </c>
    </row>
    <row r="18584" spans="8:8">
      <c r="H18584" t="s">
        <v>38918</v>
      </c>
    </row>
    <row r="18585" spans="8:8">
      <c r="H18585" t="s">
        <v>38919</v>
      </c>
    </row>
    <row r="18586" spans="8:8">
      <c r="H18586" t="s">
        <v>38920</v>
      </c>
    </row>
    <row r="18587" spans="8:8">
      <c r="H18587" t="s">
        <v>38921</v>
      </c>
    </row>
    <row r="18588" spans="8:8">
      <c r="H18588" t="s">
        <v>38922</v>
      </c>
    </row>
    <row r="18589" spans="8:8">
      <c r="H18589" t="s">
        <v>38923</v>
      </c>
    </row>
    <row r="18590" spans="8:8">
      <c r="H18590" t="s">
        <v>38924</v>
      </c>
    </row>
    <row r="18591" spans="8:8">
      <c r="H18591" t="s">
        <v>38925</v>
      </c>
    </row>
    <row r="18592" spans="8:8">
      <c r="H18592" t="s">
        <v>38926</v>
      </c>
    </row>
    <row r="18593" spans="8:8">
      <c r="H18593" t="s">
        <v>38927</v>
      </c>
    </row>
    <row r="18594" spans="8:8">
      <c r="H18594" t="s">
        <v>38928</v>
      </c>
    </row>
    <row r="18595" spans="8:8">
      <c r="H18595" t="s">
        <v>38929</v>
      </c>
    </row>
    <row r="18596" spans="8:8">
      <c r="H18596" t="s">
        <v>38930</v>
      </c>
    </row>
    <row r="18597" spans="8:8">
      <c r="H18597" t="s">
        <v>38931</v>
      </c>
    </row>
    <row r="18598" spans="8:8">
      <c r="H18598" t="s">
        <v>38932</v>
      </c>
    </row>
    <row r="18599" spans="8:8">
      <c r="H18599" t="s">
        <v>38933</v>
      </c>
    </row>
    <row r="18600" spans="8:8">
      <c r="H18600" t="s">
        <v>38934</v>
      </c>
    </row>
    <row r="18601" spans="8:8">
      <c r="H18601" t="s">
        <v>38935</v>
      </c>
    </row>
    <row r="18602" spans="8:8">
      <c r="H18602" t="s">
        <v>38936</v>
      </c>
    </row>
    <row r="18603" spans="8:8">
      <c r="H18603" t="s">
        <v>38937</v>
      </c>
    </row>
    <row r="18604" spans="8:8">
      <c r="H18604" t="s">
        <v>38938</v>
      </c>
    </row>
    <row r="18605" spans="8:8">
      <c r="H18605" t="s">
        <v>38939</v>
      </c>
    </row>
    <row r="18606" spans="8:8">
      <c r="H18606" t="s">
        <v>38940</v>
      </c>
    </row>
    <row r="18607" spans="8:8">
      <c r="H18607" t="s">
        <v>38941</v>
      </c>
    </row>
    <row r="18608" spans="8:8">
      <c r="H18608" t="s">
        <v>38942</v>
      </c>
    </row>
    <row r="18609" spans="1:8">
      <c r="H18609" t="s">
        <v>38943</v>
      </c>
    </row>
    <row r="18610" spans="1:8">
      <c r="H18610" t="s">
        <v>38944</v>
      </c>
    </row>
    <row r="18611" spans="1:8">
      <c r="H18611" t="s">
        <v>38945</v>
      </c>
    </row>
    <row r="18612" spans="1:8">
      <c r="H18612" t="s">
        <v>38946</v>
      </c>
    </row>
    <row r="18613" spans="1:8">
      <c r="H18613" t="s">
        <v>38947</v>
      </c>
    </row>
    <row r="18614" spans="1:8">
      <c r="H18614" t="s">
        <v>38948</v>
      </c>
    </row>
    <row r="18615" spans="1:8">
      <c r="H18615" t="s">
        <v>38949</v>
      </c>
    </row>
    <row r="18616" spans="1:8">
      <c r="H18616" t="s">
        <v>38950</v>
      </c>
    </row>
    <row r="18617" spans="1:8">
      <c r="H18617" t="s">
        <v>38951</v>
      </c>
    </row>
    <row r="18618" spans="1:8">
      <c r="H18618" t="s">
        <v>38952</v>
      </c>
    </row>
    <row r="18619" spans="1:8">
      <c r="H18619" t="s">
        <v>38953</v>
      </c>
    </row>
    <row r="18620" spans="1:8">
      <c r="A18620" t="s">
        <v>4571</v>
      </c>
      <c r="B18620">
        <f>HYPERLINK("https://android.googlesource.com/platform/cts/+/da263dfbf808a7c38322e0b430e98521f40b31bc", "da263dfbf808a7c38322e0b430e98521f40b31bc")</f>
        <v>0</v>
      </c>
      <c r="C18620">
        <f>HYPERLINK("https://android.googlesource.com/platform/cts/+/1cf3cbe51d0f2f0fdb21ec613192d68ec77d6d36", "1cf3cbe51d0f2f0fdb21ec613192d68ec77d6d36")</f>
        <v>0</v>
      </c>
      <c r="D18620" t="s">
        <v>5575</v>
      </c>
      <c r="E18620" t="s">
        <v>10232</v>
      </c>
      <c r="F18620" t="s">
        <v>14793</v>
      </c>
      <c r="G18620" t="s">
        <v>18661</v>
      </c>
      <c r="H18620" t="s">
        <v>38956</v>
      </c>
    </row>
    <row r="18621" spans="1:8">
      <c r="A18621" t="s">
        <v>4573</v>
      </c>
      <c r="B18621">
        <f>HYPERLINK("https://android.googlesource.com/platform/cts/+/d66107ddfaf1f02b4aff53522a29bdfc95d8d3ff", "d66107ddfaf1f02b4aff53522a29bdfc95d8d3ff")</f>
        <v>0</v>
      </c>
      <c r="C18621">
        <f>HYPERLINK("https://android.googlesource.com/platform/cts/+/80002ce9344238935804504482448046337cf8bb", "80002ce9344238935804504482448046337cf8bb")</f>
        <v>0</v>
      </c>
      <c r="D18621" t="s">
        <v>5720</v>
      </c>
      <c r="E18621" t="s">
        <v>10234</v>
      </c>
      <c r="F18621" t="s">
        <v>14795</v>
      </c>
      <c r="G18621" t="s">
        <v>18662</v>
      </c>
      <c r="H18621" t="s">
        <v>38960</v>
      </c>
    </row>
    <row r="18622" spans="1:8">
      <c r="A18622" t="s">
        <v>4575</v>
      </c>
      <c r="B18622">
        <f>HYPERLINK("https://android.googlesource.com/platform/cts/+/544fdc824095b625b6fc0efecf7a6bd31e6fe92f", "544fdc824095b625b6fc0efecf7a6bd31e6fe92f")</f>
        <v>0</v>
      </c>
      <c r="C18622">
        <f>HYPERLINK("https://android.googlesource.com/platform/cts/+/5b2835f16dc6e21362ee52d99e3386239a3293b6", "5b2835f16dc6e21362ee52d99e3386239a3293b6")</f>
        <v>0</v>
      </c>
      <c r="D18622" t="s">
        <v>5118</v>
      </c>
      <c r="E18622" t="s">
        <v>10236</v>
      </c>
      <c r="F18622" t="s">
        <v>13165</v>
      </c>
      <c r="G18622" t="s">
        <v>17315</v>
      </c>
      <c r="H18622" t="s">
        <v>37793</v>
      </c>
    </row>
    <row r="18623" spans="1:8">
      <c r="A18623" t="s">
        <v>4576</v>
      </c>
      <c r="B18623">
        <f>HYPERLINK("https://android.googlesource.com/platform/cts/+/2948cd38ac8d82413ca2f9f890a32b6f6d2b8e9c", "2948cd38ac8d82413ca2f9f890a32b6f6d2b8e9c")</f>
        <v>0</v>
      </c>
      <c r="C18623">
        <f>HYPERLINK("https://android.googlesource.com/platform/cts/+/a2048601bb93881f5767655ea8647631f0a15588", "a2048601bb93881f5767655ea8647631f0a15588")</f>
        <v>0</v>
      </c>
      <c r="D18623" t="s">
        <v>5118</v>
      </c>
      <c r="E18623" t="s">
        <v>10237</v>
      </c>
      <c r="F18623" t="s">
        <v>13165</v>
      </c>
      <c r="G18623" t="s">
        <v>17315</v>
      </c>
      <c r="H18623" t="s">
        <v>37793</v>
      </c>
    </row>
    <row r="18624" spans="1:8">
      <c r="A18624" t="s">
        <v>4577</v>
      </c>
      <c r="B18624">
        <f>HYPERLINK("https://android.googlesource.com/platform/cts/+/8efd3bb91838d0d0a70ac367e9e17f890cb004bd", "8efd3bb91838d0d0a70ac367e9e17f890cb004bd")</f>
        <v>0</v>
      </c>
      <c r="C18624">
        <f>HYPERLINK("https://android.googlesource.com/platform/cts/+/2cccd985a8b973c9dc0af4e44f9ef4f11a7b5707", "2cccd985a8b973c9dc0af4e44f9ef4f11a7b5707")</f>
        <v>0</v>
      </c>
      <c r="D18624" t="s">
        <v>5118</v>
      </c>
      <c r="E18624" t="s">
        <v>10238</v>
      </c>
      <c r="F18624" t="s">
        <v>13165</v>
      </c>
      <c r="G18624" t="s">
        <v>17315</v>
      </c>
      <c r="H18624" t="s">
        <v>37793</v>
      </c>
    </row>
    <row r="18625" spans="1:8">
      <c r="A18625" t="s">
        <v>4580</v>
      </c>
      <c r="B18625">
        <f>HYPERLINK("https://android.googlesource.com/platform/cts/+/593c2f9052170f50c55647de89cfdcc92dca8e32", "593c2f9052170f50c55647de89cfdcc92dca8e32")</f>
        <v>0</v>
      </c>
      <c r="C18625">
        <f>HYPERLINK("https://android.googlesource.com/platform/cts/+/41be8f7274a2ecac18ed30e3d00a7a4d91988d8d", "41be8f7274a2ecac18ed30e3d00a7a4d91988d8d")</f>
        <v>0</v>
      </c>
      <c r="D18625" t="s">
        <v>5463</v>
      </c>
      <c r="E18625" t="s">
        <v>10241</v>
      </c>
      <c r="F18625" t="s">
        <v>14798</v>
      </c>
      <c r="G18625" t="s">
        <v>18664</v>
      </c>
      <c r="H18625" t="s">
        <v>38963</v>
      </c>
    </row>
    <row r="18626" spans="1:8">
      <c r="A18626" t="s">
        <v>4583</v>
      </c>
      <c r="B18626">
        <f>HYPERLINK("https://android.googlesource.com/platform/cts/+/beea8a3f8faa3d8103a233908dc9dffbfdec33c1", "beea8a3f8faa3d8103a233908dc9dffbfdec33c1")</f>
        <v>0</v>
      </c>
      <c r="C18626">
        <f>HYPERLINK("https://android.googlesource.com/platform/cts/+/b620e85d0c87d87891ae1809dba11bb360784bab", "b620e85d0c87d87891ae1809dba11bb360784bab")</f>
        <v>0</v>
      </c>
      <c r="D18626" t="s">
        <v>5727</v>
      </c>
      <c r="E18626" t="s">
        <v>10243</v>
      </c>
      <c r="F18626" t="s">
        <v>14679</v>
      </c>
      <c r="G18626" t="s">
        <v>18573</v>
      </c>
      <c r="H18626" t="s">
        <v>38964</v>
      </c>
    </row>
    <row r="18627" spans="1:8">
      <c r="A18627" t="s">
        <v>4586</v>
      </c>
      <c r="B18627">
        <f>HYPERLINK("https://android.googlesource.com/platform/cts/+/a56ba0f83f0bde017249b787a51e69c3deac7f74", "a56ba0f83f0bde017249b787a51e69c3deac7f74")</f>
        <v>0</v>
      </c>
      <c r="C18627">
        <f>HYPERLINK("https://android.googlesource.com/platform/cts/+/fe29dcef0dc47151ef90278e57e503607cfe66a8", "fe29dcef0dc47151ef90278e57e503607cfe66a8")</f>
        <v>0</v>
      </c>
      <c r="D18627" t="s">
        <v>5729</v>
      </c>
      <c r="E18627" t="s">
        <v>10246</v>
      </c>
      <c r="F18627" t="s">
        <v>14802</v>
      </c>
      <c r="G18627" t="s">
        <v>18667</v>
      </c>
      <c r="H18627" t="s">
        <v>38969</v>
      </c>
    </row>
    <row r="18628" spans="1:8">
      <c r="A18628" t="s">
        <v>4595</v>
      </c>
      <c r="B18628">
        <f>HYPERLINK("https://android.googlesource.com/platform/cts/+/06a970b73b949dc413450c7ac465d270697544d3", "06a970b73b949dc413450c7ac465d270697544d3")</f>
        <v>0</v>
      </c>
      <c r="C18628">
        <f>HYPERLINK("https://android.googlesource.com/platform/cts/+/ef4c34a8b3ef5ed75649d3f8101dfab9f335b7c7", "ef4c34a8b3ef5ed75649d3f8101dfab9f335b7c7")</f>
        <v>0</v>
      </c>
      <c r="D18628" t="s">
        <v>5134</v>
      </c>
      <c r="E18628" t="s">
        <v>10255</v>
      </c>
      <c r="F18628" t="s">
        <v>13229</v>
      </c>
      <c r="G18628" t="s">
        <v>17370</v>
      </c>
      <c r="H18628" t="s">
        <v>30571</v>
      </c>
    </row>
    <row r="18629" spans="1:8">
      <c r="H18629" t="s">
        <v>36765</v>
      </c>
    </row>
    <row r="18630" spans="1:8">
      <c r="H18630" t="s">
        <v>36766</v>
      </c>
    </row>
    <row r="18631" spans="1:8">
      <c r="H18631" t="s">
        <v>36767</v>
      </c>
    </row>
    <row r="18632" spans="1:8">
      <c r="H18632" t="s">
        <v>36768</v>
      </c>
    </row>
    <row r="18633" spans="1:8">
      <c r="A18633" t="s">
        <v>4596</v>
      </c>
      <c r="B18633">
        <f>HYPERLINK("https://android.googlesource.com/platform/cts/+/f12ac476f00e90e804948617127f2af0a134c5b6", "f12ac476f00e90e804948617127f2af0a134c5b6")</f>
        <v>0</v>
      </c>
      <c r="C18633">
        <f>HYPERLINK("https://android.googlesource.com/platform/cts/+/c72b442cf7f9a6090d861fa2e40dfa06eaec46cf", "c72b442cf7f9a6090d861fa2e40dfa06eaec46cf")</f>
        <v>0</v>
      </c>
      <c r="D18633" t="s">
        <v>5734</v>
      </c>
      <c r="E18633" t="s">
        <v>10256</v>
      </c>
      <c r="F18633" t="s">
        <v>14807</v>
      </c>
      <c r="G18633" t="s">
        <v>18672</v>
      </c>
      <c r="H18633" t="s">
        <v>38983</v>
      </c>
    </row>
    <row r="18634" spans="1:8">
      <c r="A18634" t="s">
        <v>4603</v>
      </c>
      <c r="B18634">
        <f>HYPERLINK("https://android.googlesource.com/platform/cts/+/5e1aadb605c0058dc29ce4f5f57b253d8f2c764b", "5e1aadb605c0058dc29ce4f5f57b253d8f2c764b")</f>
        <v>0</v>
      </c>
      <c r="C18634">
        <f>HYPERLINK("https://android.googlesource.com/platform/cts/+/e1d4136e4b0eba8b728cd1516c3e8f259a1d0fc6", "e1d4136e4b0eba8b728cd1516c3e8f259a1d0fc6")</f>
        <v>0</v>
      </c>
      <c r="D18634" t="s">
        <v>5445</v>
      </c>
      <c r="E18634" t="s">
        <v>10263</v>
      </c>
      <c r="F18634" t="s">
        <v>14811</v>
      </c>
      <c r="G18634" t="s">
        <v>18676</v>
      </c>
      <c r="H18634" t="s">
        <v>39007</v>
      </c>
    </row>
    <row r="18635" spans="1:8">
      <c r="A18635" t="s">
        <v>4606</v>
      </c>
      <c r="B18635">
        <f>HYPERLINK("https://android.googlesource.com/platform/cts/+/1babb54ac8a4d0bbd2264e230d7869ba425fdfa6", "1babb54ac8a4d0bbd2264e230d7869ba425fdfa6")</f>
        <v>0</v>
      </c>
      <c r="C18635">
        <f>HYPERLINK("https://android.googlesource.com/platform/cts/+/31c77e979172a1510c5d3fea58f7df42466703a6", "31c77e979172a1510c5d3fea58f7df42466703a6")</f>
        <v>0</v>
      </c>
      <c r="D18635" t="s">
        <v>5564</v>
      </c>
      <c r="E18635" t="s">
        <v>10266</v>
      </c>
      <c r="F18635" t="s">
        <v>14812</v>
      </c>
      <c r="G18635" t="s">
        <v>16423</v>
      </c>
      <c r="H18635" t="s">
        <v>39010</v>
      </c>
    </row>
    <row r="18636" spans="1:8">
      <c r="H18636" t="s">
        <v>39011</v>
      </c>
    </row>
    <row r="18637" spans="1:8">
      <c r="H18637" t="s">
        <v>39012</v>
      </c>
    </row>
    <row r="18638" spans="1:8">
      <c r="A18638" t="s">
        <v>4608</v>
      </c>
      <c r="B18638">
        <f>HYPERLINK("https://android.googlesource.com/platform/cts/+/c4e5c8930716902464f25f929177ce27b9840651", "c4e5c8930716902464f25f929177ce27b9840651")</f>
        <v>0</v>
      </c>
      <c r="C18638">
        <f>HYPERLINK("https://android.googlesource.com/platform/cts/+/5e1411ed4474d19631643ac4b65be0be8d8f6bc4", "5e1411ed4474d19631643ac4b65be0be8d8f6bc4")</f>
        <v>0</v>
      </c>
      <c r="D18638" t="s">
        <v>5735</v>
      </c>
      <c r="E18638" t="s">
        <v>10268</v>
      </c>
      <c r="F18638" t="s">
        <v>14813</v>
      </c>
      <c r="G18638" t="s">
        <v>18677</v>
      </c>
      <c r="H18638" t="s">
        <v>39014</v>
      </c>
    </row>
    <row r="18639" spans="1:8">
      <c r="A18639" t="s">
        <v>4615</v>
      </c>
      <c r="B18639">
        <f>HYPERLINK("https://android.googlesource.com/platform/cts/+/dc19e4de6b77cdcef67b5eec49eddbc0d896c963", "dc19e4de6b77cdcef67b5eec49eddbc0d896c963")</f>
        <v>0</v>
      </c>
      <c r="C18639">
        <f>HYPERLINK("https://android.googlesource.com/platform/cts/+/dda6933b8476190e4a8b4fdf63125dda5c7f0726", "dda6933b8476190e4a8b4fdf63125dda5c7f0726")</f>
        <v>0</v>
      </c>
      <c r="D18639" t="s">
        <v>5727</v>
      </c>
      <c r="E18639" t="s">
        <v>10273</v>
      </c>
      <c r="F18639" t="s">
        <v>14816</v>
      </c>
      <c r="G18639" t="s">
        <v>18680</v>
      </c>
      <c r="H18639" t="s">
        <v>19340</v>
      </c>
    </row>
    <row r="18640" spans="1:8">
      <c r="A18640" t="s">
        <v>4617</v>
      </c>
      <c r="B18640">
        <f>HYPERLINK("https://android.googlesource.com/platform/cts/+/ea396918a4d920673ef8e38d724ddc80191933c4", "ea396918a4d920673ef8e38d724ddc80191933c4")</f>
        <v>0</v>
      </c>
      <c r="C18640">
        <f>HYPERLINK("https://android.googlesource.com/platform/cts/+/21200410f67a2cda0fd81a6582f8992fc6e8b1c7", "21200410f67a2cda0fd81a6582f8992fc6e8b1c7")</f>
        <v>0</v>
      </c>
      <c r="D18640" t="s">
        <v>5564</v>
      </c>
      <c r="E18640" t="s">
        <v>10275</v>
      </c>
      <c r="F18640" t="s">
        <v>14817</v>
      </c>
      <c r="G18640" t="s">
        <v>17457</v>
      </c>
      <c r="H18640" t="s">
        <v>39030</v>
      </c>
    </row>
    <row r="18641" spans="1:8">
      <c r="H18641" t="s">
        <v>39031</v>
      </c>
    </row>
    <row r="18642" spans="1:8">
      <c r="A18642" t="s">
        <v>4619</v>
      </c>
      <c r="B18642">
        <f>HYPERLINK("https://android.googlesource.com/platform/cts/+/ff2f108af4fe6ad980d7d346f3785588f31e56f2", "ff2f108af4fe6ad980d7d346f3785588f31e56f2")</f>
        <v>0</v>
      </c>
      <c r="C18642">
        <f>HYPERLINK("https://android.googlesource.com/platform/cts/+/486b3ec36384521da9940f46905fa3e7cc3a7cbe", "486b3ec36384521da9940f46905fa3e7cc3a7cbe")</f>
        <v>0</v>
      </c>
      <c r="D18642" t="s">
        <v>5738</v>
      </c>
      <c r="E18642" t="s">
        <v>10277</v>
      </c>
      <c r="F18642" t="s">
        <v>14819</v>
      </c>
      <c r="G18642" t="s">
        <v>18682</v>
      </c>
      <c r="H18642" t="s">
        <v>39035</v>
      </c>
    </row>
    <row r="18643" spans="1:8">
      <c r="A18643" t="s">
        <v>4622</v>
      </c>
      <c r="B18643">
        <f>HYPERLINK("https://android.googlesource.com/platform/cts/+/c415858845f62ec0ab4d8bd51b95340f24aa9aef", "c415858845f62ec0ab4d8bd51b95340f24aa9aef")</f>
        <v>0</v>
      </c>
      <c r="C18643">
        <f>HYPERLINK("https://android.googlesource.com/platform/cts/+/46124d4b74141ba908658fd8decf7bfa77571da0", "46124d4b74141ba908658fd8decf7bfa77571da0")</f>
        <v>0</v>
      </c>
      <c r="D18643" t="s">
        <v>5610</v>
      </c>
      <c r="E18643" t="s">
        <v>10280</v>
      </c>
      <c r="F18643" t="s">
        <v>14821</v>
      </c>
      <c r="G18643" t="s">
        <v>18684</v>
      </c>
      <c r="H18643" t="s">
        <v>39039</v>
      </c>
    </row>
    <row r="18644" spans="1:8">
      <c r="A18644" t="s">
        <v>4623</v>
      </c>
      <c r="B18644">
        <f>HYPERLINK("https://android.googlesource.com/platform/cts/+/241e7bc1ebb77bcd158f7d23f56722c03125a5fa", "241e7bc1ebb77bcd158f7d23f56722c03125a5fa")</f>
        <v>0</v>
      </c>
      <c r="C18644">
        <f>HYPERLINK("https://android.googlesource.com/platform/cts/+/9aa5abe84f36637ec37d5900d84308b176ef4ee2", "9aa5abe84f36637ec37d5900d84308b176ef4ee2")</f>
        <v>0</v>
      </c>
      <c r="D18644" t="s">
        <v>5438</v>
      </c>
      <c r="E18644" t="s">
        <v>10281</v>
      </c>
      <c r="F18644" t="s">
        <v>14822</v>
      </c>
      <c r="G18644" t="s">
        <v>18685</v>
      </c>
      <c r="H18644" t="s">
        <v>39041</v>
      </c>
    </row>
    <row r="18645" spans="1:8">
      <c r="A18645" t="s">
        <v>4626</v>
      </c>
      <c r="B18645">
        <f>HYPERLINK("https://android.googlesource.com/platform/cts/+/a8ba0474df932993db2898a6fce810411e6fcaa1", "a8ba0474df932993db2898a6fce810411e6fcaa1")</f>
        <v>0</v>
      </c>
      <c r="C18645">
        <f>HYPERLINK("https://android.googlesource.com/platform/cts/+/648d820065bacef57cee3015f01991fbc0ae7122", "648d820065bacef57cee3015f01991fbc0ae7122")</f>
        <v>0</v>
      </c>
      <c r="D18645" t="s">
        <v>5465</v>
      </c>
      <c r="E18645" t="s">
        <v>10284</v>
      </c>
      <c r="F18645" t="s">
        <v>14461</v>
      </c>
      <c r="G18645" t="s">
        <v>15710</v>
      </c>
      <c r="H18645" t="s">
        <v>39043</v>
      </c>
    </row>
    <row r="18646" spans="1:8">
      <c r="A18646" t="s">
        <v>4628</v>
      </c>
      <c r="B18646">
        <f>HYPERLINK("https://android.googlesource.com/platform/cts/+/e114243e1991fc169f07bd6a3db815b21265e6de", "e114243e1991fc169f07bd6a3db815b21265e6de")</f>
        <v>0</v>
      </c>
      <c r="C18646">
        <f>HYPERLINK("https://android.googlesource.com/platform/cts/+/d52568d1d940cadf5d08b3e700210333e5d2d083", "d52568d1d940cadf5d08b3e700210333e5d2d083")</f>
        <v>0</v>
      </c>
      <c r="D18646" t="s">
        <v>5729</v>
      </c>
      <c r="E18646" t="s">
        <v>10286</v>
      </c>
      <c r="F18646" t="s">
        <v>14825</v>
      </c>
      <c r="G18646" t="s">
        <v>18687</v>
      </c>
      <c r="H18646" t="s">
        <v>39044</v>
      </c>
    </row>
    <row r="18647" spans="1:8">
      <c r="H18647" t="s">
        <v>39045</v>
      </c>
    </row>
    <row r="18648" spans="1:8">
      <c r="H18648" t="s">
        <v>39046</v>
      </c>
    </row>
    <row r="18649" spans="1:8">
      <c r="A18649" t="s">
        <v>4629</v>
      </c>
      <c r="B18649">
        <f>HYPERLINK("https://android.googlesource.com/platform/cts/+/5a408a8b37b9953a37a8b05e84cbe25ed77ef369", "5a408a8b37b9953a37a8b05e84cbe25ed77ef369")</f>
        <v>0</v>
      </c>
      <c r="C18649">
        <f>HYPERLINK("https://android.googlesource.com/platform/cts/+/5722906555bccd1f17f0e056ca26e413fa2fbbee", "5722906555bccd1f17f0e056ca26e413fa2fbbee")</f>
        <v>0</v>
      </c>
      <c r="D18649" t="s">
        <v>5445</v>
      </c>
      <c r="E18649" t="s">
        <v>10287</v>
      </c>
      <c r="F18649" t="s">
        <v>14826</v>
      </c>
      <c r="G18649" t="s">
        <v>18688</v>
      </c>
      <c r="H18649" t="s">
        <v>39047</v>
      </c>
    </row>
    <row r="18650" spans="1:8">
      <c r="A18650" t="s">
        <v>4630</v>
      </c>
      <c r="B18650">
        <f>HYPERLINK("https://android.googlesource.com/platform/cts/+/f53d93a09cfbcdce88aa9c3ae7d4bebbb9f12339", "f53d93a09cfbcdce88aa9c3ae7d4bebbb9f12339")</f>
        <v>0</v>
      </c>
      <c r="C18650">
        <f>HYPERLINK("https://android.googlesource.com/platform/cts/+/ec1f01c815081d785fb53f08db91c6cfc1d8bdcd", "ec1f01c815081d785fb53f08db91c6cfc1d8bdcd")</f>
        <v>0</v>
      </c>
      <c r="D18650" t="s">
        <v>5740</v>
      </c>
      <c r="E18650" t="s">
        <v>10288</v>
      </c>
      <c r="F18650" t="s">
        <v>14121</v>
      </c>
      <c r="G18650" t="s">
        <v>16426</v>
      </c>
      <c r="H18650" t="s">
        <v>39048</v>
      </c>
    </row>
    <row r="18651" spans="1:8">
      <c r="A18651" t="s">
        <v>4631</v>
      </c>
      <c r="B18651">
        <f>HYPERLINK("https://android.googlesource.com/platform/cts/+/87963bd9590b142e4f90bb0e3199f066e2d96308", "87963bd9590b142e4f90bb0e3199f066e2d96308")</f>
        <v>0</v>
      </c>
      <c r="C18651">
        <f>HYPERLINK("https://android.googlesource.com/platform/cts/+/4ad20d3a4fabcb292b90b24896120b83a9da8271", "4ad20d3a4fabcb292b90b24896120b83a9da8271")</f>
        <v>0</v>
      </c>
      <c r="D18651" t="s">
        <v>5528</v>
      </c>
      <c r="E18651" t="s">
        <v>10289</v>
      </c>
      <c r="F18651" t="s">
        <v>14827</v>
      </c>
      <c r="G18651" t="s">
        <v>18689</v>
      </c>
      <c r="H18651" t="s">
        <v>39049</v>
      </c>
    </row>
    <row r="18652" spans="1:8">
      <c r="A18652" t="s">
        <v>4633</v>
      </c>
      <c r="B18652">
        <f>HYPERLINK("https://android.googlesource.com/platform/cts/+/882dd354ba260f9360e8e11cb02132db6efd76c9", "882dd354ba260f9360e8e11cb02132db6efd76c9")</f>
        <v>0</v>
      </c>
      <c r="C18652">
        <f>HYPERLINK("https://android.googlesource.com/platform/cts/+/59d1899ae7939c584e7d7bf1f4cac9e3478c087d", "59d1899ae7939c584e7d7bf1f4cac9e3478c087d")</f>
        <v>0</v>
      </c>
      <c r="D18652" t="s">
        <v>5549</v>
      </c>
      <c r="E18652" t="s">
        <v>10291</v>
      </c>
      <c r="F18652" t="s">
        <v>14818</v>
      </c>
      <c r="G18652" t="s">
        <v>18681</v>
      </c>
      <c r="H18652" t="s">
        <v>39051</v>
      </c>
    </row>
    <row r="18653" spans="1:8">
      <c r="H18653" t="s">
        <v>39052</v>
      </c>
    </row>
    <row r="18654" spans="1:8">
      <c r="H18654" t="s">
        <v>39053</v>
      </c>
    </row>
    <row r="18655" spans="1:8">
      <c r="F18655" t="s">
        <v>14625</v>
      </c>
      <c r="G18655" t="s">
        <v>18536</v>
      </c>
      <c r="H18655" t="s">
        <v>39055</v>
      </c>
    </row>
    <row r="18656" spans="1:8">
      <c r="A18656" t="s">
        <v>4636</v>
      </c>
      <c r="B18656">
        <f>HYPERLINK("https://android.googlesource.com/platform/cts/+/236ddb95248fff927dcdad6f900dcc0915179441", "236ddb95248fff927dcdad6f900dcc0915179441")</f>
        <v>0</v>
      </c>
      <c r="C18656">
        <f>HYPERLINK("https://android.googlesource.com/platform/cts/+/97ce2a65d7d5b128a998a334720170753d674cc2", "97ce2a65d7d5b128a998a334720170753d674cc2")</f>
        <v>0</v>
      </c>
      <c r="D18656" t="s">
        <v>5467</v>
      </c>
      <c r="E18656" t="s">
        <v>10294</v>
      </c>
      <c r="F18656" t="s">
        <v>10794</v>
      </c>
      <c r="G18656" t="s">
        <v>15189</v>
      </c>
      <c r="H18656" t="s">
        <v>39058</v>
      </c>
    </row>
    <row r="18657" spans="1:8">
      <c r="A18657" t="s">
        <v>4637</v>
      </c>
      <c r="B18657">
        <f>HYPERLINK("https://android.googlesource.com/platform/cts/+/46bc074a1a06f7949ece808769433d18eaba70ba", "46bc074a1a06f7949ece808769433d18eaba70ba")</f>
        <v>0</v>
      </c>
      <c r="C18657">
        <f>HYPERLINK("https://android.googlesource.com/platform/cts/+/c48a92b480d71692b81560bf0a94b2775e9755e7", "c48a92b480d71692b81560bf0a94b2775e9755e7")</f>
        <v>0</v>
      </c>
      <c r="D18657" t="s">
        <v>5742</v>
      </c>
      <c r="E18657" t="s">
        <v>10295</v>
      </c>
      <c r="F18657" t="s">
        <v>14829</v>
      </c>
      <c r="G18657" t="s">
        <v>18691</v>
      </c>
      <c r="H18657" t="s">
        <v>39059</v>
      </c>
    </row>
    <row r="18658" spans="1:8">
      <c r="A18658" t="s">
        <v>4640</v>
      </c>
      <c r="B18658">
        <f>HYPERLINK("https://android.googlesource.com/platform/cts/+/deaebcace87bf09c26e075a17fc5c0c96b3e6cd0", "deaebcace87bf09c26e075a17fc5c0c96b3e6cd0")</f>
        <v>0</v>
      </c>
      <c r="C18658">
        <f>HYPERLINK("https://android.googlesource.com/platform/cts/+/ecfb8a0dda9d97e262cf8edb4b4613ba06289141", "ecfb8a0dda9d97e262cf8edb4b4613ba06289141")</f>
        <v>0</v>
      </c>
      <c r="D18658" t="s">
        <v>5409</v>
      </c>
      <c r="E18658" t="s">
        <v>10298</v>
      </c>
      <c r="F18658" t="s">
        <v>14571</v>
      </c>
      <c r="G18658" t="s">
        <v>18491</v>
      </c>
      <c r="H18658" t="s">
        <v>36690</v>
      </c>
    </row>
    <row r="18659" spans="1:8">
      <c r="H18659" t="s">
        <v>37574</v>
      </c>
    </row>
    <row r="18660" spans="1:8">
      <c r="F18660" t="s">
        <v>14136</v>
      </c>
      <c r="G18660" t="s">
        <v>18124</v>
      </c>
      <c r="H18660" t="s">
        <v>39066</v>
      </c>
    </row>
    <row r="18661" spans="1:8">
      <c r="F18661" t="s">
        <v>12743</v>
      </c>
      <c r="G18661" t="s">
        <v>16935</v>
      </c>
      <c r="H18661" t="s">
        <v>39066</v>
      </c>
    </row>
    <row r="18662" spans="1:8">
      <c r="F18662" t="s">
        <v>12768</v>
      </c>
      <c r="G18662" t="s">
        <v>15710</v>
      </c>
      <c r="H18662" t="s">
        <v>39067</v>
      </c>
    </row>
    <row r="18663" spans="1:8">
      <c r="H18663" t="s">
        <v>39068</v>
      </c>
    </row>
    <row r="18664" spans="1:8">
      <c r="A18664" t="s">
        <v>4641</v>
      </c>
      <c r="B18664">
        <f>HYPERLINK("https://android.googlesource.com/platform/cts/+/c74278489ff0d2b488fef4740f17371b2ff02e7e", "c74278489ff0d2b488fef4740f17371b2ff02e7e")</f>
        <v>0</v>
      </c>
      <c r="C18664">
        <f>HYPERLINK("https://android.googlesource.com/platform/cts/+/deaebcace87bf09c26e075a17fc5c0c96b3e6cd0", "deaebcace87bf09c26e075a17fc5c0c96b3e6cd0")</f>
        <v>0</v>
      </c>
      <c r="D18664" t="s">
        <v>5409</v>
      </c>
      <c r="E18664" t="s">
        <v>10299</v>
      </c>
      <c r="F18664" t="s">
        <v>14576</v>
      </c>
      <c r="G18664" t="s">
        <v>18496</v>
      </c>
      <c r="H18664" t="s">
        <v>36690</v>
      </c>
    </row>
    <row r="18665" spans="1:8">
      <c r="H18665" t="s">
        <v>37574</v>
      </c>
    </row>
    <row r="18666" spans="1:8">
      <c r="A18666" t="s">
        <v>4642</v>
      </c>
      <c r="B18666">
        <f>HYPERLINK("https://android.googlesource.com/platform/cts/+/3bea4bfc427b1d5f5415bedec5ee05467c874da0", "3bea4bfc427b1d5f5415bedec5ee05467c874da0")</f>
        <v>0</v>
      </c>
      <c r="C18666">
        <f>HYPERLINK("https://android.googlesource.com/platform/cts/+/c74278489ff0d2b488fef4740f17371b2ff02e7e", "c74278489ff0d2b488fef4740f17371b2ff02e7e")</f>
        <v>0</v>
      </c>
      <c r="D18666" t="s">
        <v>5409</v>
      </c>
      <c r="E18666" t="s">
        <v>10300</v>
      </c>
      <c r="F18666" t="s">
        <v>14575</v>
      </c>
      <c r="G18666" t="s">
        <v>18495</v>
      </c>
      <c r="H18666" t="s">
        <v>36690</v>
      </c>
    </row>
    <row r="18667" spans="1:8">
      <c r="H18667" t="s">
        <v>37574</v>
      </c>
    </row>
    <row r="18668" spans="1:8">
      <c r="A18668" t="s">
        <v>4643</v>
      </c>
      <c r="B18668">
        <f>HYPERLINK("https://android.googlesource.com/platform/cts/+/98695cb8832a794f106c1a5523455fb9cbfe406b", "98695cb8832a794f106c1a5523455fb9cbfe406b")</f>
        <v>0</v>
      </c>
      <c r="C18668">
        <f>HYPERLINK("https://android.googlesource.com/platform/cts/+/3bea4bfc427b1d5f5415bedec5ee05467c874da0", "3bea4bfc427b1d5f5415bedec5ee05467c874da0")</f>
        <v>0</v>
      </c>
      <c r="D18668" t="s">
        <v>5409</v>
      </c>
      <c r="E18668" t="s">
        <v>10301</v>
      </c>
      <c r="F18668" t="s">
        <v>14573</v>
      </c>
      <c r="G18668" t="s">
        <v>18493</v>
      </c>
      <c r="H18668" t="s">
        <v>36690</v>
      </c>
    </row>
    <row r="18669" spans="1:8">
      <c r="H18669" t="s">
        <v>37574</v>
      </c>
    </row>
    <row r="18670" spans="1:8">
      <c r="A18670" t="s">
        <v>4644</v>
      </c>
      <c r="B18670">
        <f>HYPERLINK("https://android.googlesource.com/platform/cts/+/bf3d7b260019d78e1309ea83e83b7f3724b4480d", "bf3d7b260019d78e1309ea83e83b7f3724b4480d")</f>
        <v>0</v>
      </c>
      <c r="C18670">
        <f>HYPERLINK("https://android.googlesource.com/platform/cts/+/98695cb8832a794f106c1a5523455fb9cbfe406b", "98695cb8832a794f106c1a5523455fb9cbfe406b")</f>
        <v>0</v>
      </c>
      <c r="D18670" t="s">
        <v>5409</v>
      </c>
      <c r="E18670" t="s">
        <v>10302</v>
      </c>
      <c r="F18670" t="s">
        <v>14427</v>
      </c>
      <c r="G18670" t="s">
        <v>18365</v>
      </c>
      <c r="H18670" t="s">
        <v>37574</v>
      </c>
    </row>
    <row r="18671" spans="1:8">
      <c r="H18671" t="s">
        <v>36690</v>
      </c>
    </row>
    <row r="18672" spans="1:8">
      <c r="H18672" t="s">
        <v>39073</v>
      </c>
    </row>
    <row r="18673" spans="1:8">
      <c r="F18673" t="s">
        <v>12743</v>
      </c>
      <c r="G18673" t="s">
        <v>16935</v>
      </c>
      <c r="H18673" t="s">
        <v>39077</v>
      </c>
    </row>
    <row r="18674" spans="1:8">
      <c r="A18674" t="s">
        <v>4647</v>
      </c>
      <c r="B18674">
        <f>HYPERLINK("https://android.googlesource.com/platform/cts/+/757388264180d3aa1644d1b3ca85042b57e01a00", "757388264180d3aa1644d1b3ca85042b57e01a00")</f>
        <v>0</v>
      </c>
      <c r="C18674">
        <f>HYPERLINK("https://android.googlesource.com/platform/cts/+/2429645f9b99ab7c635a00d546c8764db9bc4a92", "2429645f9b99ab7c635a00d546c8764db9bc4a92")</f>
        <v>0</v>
      </c>
      <c r="D18674" t="s">
        <v>5409</v>
      </c>
      <c r="E18674" t="s">
        <v>10305</v>
      </c>
      <c r="F18674" t="s">
        <v>13229</v>
      </c>
      <c r="G18674" t="s">
        <v>17370</v>
      </c>
      <c r="H18674" t="s">
        <v>39077</v>
      </c>
    </row>
    <row r="18675" spans="1:8">
      <c r="F18675" t="s">
        <v>14832</v>
      </c>
      <c r="G18675" t="s">
        <v>18694</v>
      </c>
      <c r="H18675" t="s">
        <v>35641</v>
      </c>
    </row>
    <row r="18676" spans="1:8">
      <c r="H18676" t="s">
        <v>35642</v>
      </c>
    </row>
    <row r="18677" spans="1:8">
      <c r="A18677" t="s">
        <v>4648</v>
      </c>
      <c r="B18677">
        <f>HYPERLINK("https://android.googlesource.com/platform/cts/+/943f97b48c4c3111cd479216ea508af9f8763186", "943f97b48c4c3111cd479216ea508af9f8763186")</f>
        <v>0</v>
      </c>
      <c r="C18677">
        <f>HYPERLINK("https://android.googlesource.com/platform/cts/+/959a69e68c5842efc1ccdd923f2b8646695d15ac", "959a69e68c5842efc1ccdd923f2b8646695d15ac")</f>
        <v>0</v>
      </c>
      <c r="D18677" t="s">
        <v>5416</v>
      </c>
      <c r="E18677" t="s">
        <v>10306</v>
      </c>
      <c r="F18677" t="s">
        <v>14014</v>
      </c>
      <c r="G18677" t="s">
        <v>18026</v>
      </c>
      <c r="H18677" t="s">
        <v>39087</v>
      </c>
    </row>
    <row r="18678" spans="1:8">
      <c r="H18678" t="s">
        <v>39089</v>
      </c>
    </row>
    <row r="18679" spans="1:8">
      <c r="A18679" t="s">
        <v>4650</v>
      </c>
      <c r="B18679">
        <f>HYPERLINK("https://android.googlesource.com/platform/cts/+/4adbe6c4ad7cb35259f0fc0d4d5956dc8a9c5ea8", "4adbe6c4ad7cb35259f0fc0d4d5956dc8a9c5ea8")</f>
        <v>0</v>
      </c>
      <c r="C18679">
        <f>HYPERLINK("https://android.googlesource.com/platform/cts/+/ac11e53be1100a0aece27ebb12dbf3bf3b9f8253", "ac11e53be1100a0aece27ebb12dbf3bf3b9f8253")</f>
        <v>0</v>
      </c>
      <c r="D18679" t="s">
        <v>5732</v>
      </c>
      <c r="E18679" t="s">
        <v>10308</v>
      </c>
      <c r="F18679" t="s">
        <v>14834</v>
      </c>
      <c r="G18679" t="s">
        <v>18549</v>
      </c>
      <c r="H18679" t="s">
        <v>39095</v>
      </c>
    </row>
    <row r="18680" spans="1:8">
      <c r="A18680" t="s">
        <v>4652</v>
      </c>
      <c r="B18680">
        <f>HYPERLINK("https://android.googlesource.com/platform/cts/+/a99fc8fdfee1535f1d4bd649a8d254d0828523f4", "a99fc8fdfee1535f1d4bd649a8d254d0828523f4")</f>
        <v>0</v>
      </c>
      <c r="C18680">
        <f>HYPERLINK("https://android.googlesource.com/platform/cts/+/b21f993a18adc928519ff0278a1b4c3bac9be5a4", "b21f993a18adc928519ff0278a1b4c3bac9be5a4")</f>
        <v>0</v>
      </c>
      <c r="D18680" t="s">
        <v>5744</v>
      </c>
      <c r="E18680" t="s">
        <v>10310</v>
      </c>
      <c r="F18680" t="s">
        <v>14835</v>
      </c>
      <c r="G18680" t="s">
        <v>18695</v>
      </c>
      <c r="H18680" t="s">
        <v>39098</v>
      </c>
    </row>
    <row r="18681" spans="1:8">
      <c r="A18681" t="s">
        <v>4655</v>
      </c>
      <c r="B18681">
        <f>HYPERLINK("https://android.googlesource.com/platform/cts/+/4f1fb1a13ed0626c0d474db66529bb8c7802ccc9", "4f1fb1a13ed0626c0d474db66529bb8c7802ccc9")</f>
        <v>0</v>
      </c>
      <c r="C18681">
        <f>HYPERLINK("https://android.googlesource.com/platform/cts/+/0d4194218598431217cb5bf2037115670039e2c6", "0d4194218598431217cb5bf2037115670039e2c6")</f>
        <v>0</v>
      </c>
      <c r="D18681" t="s">
        <v>5695</v>
      </c>
      <c r="E18681" t="s">
        <v>10313</v>
      </c>
      <c r="F18681" t="s">
        <v>14840</v>
      </c>
      <c r="G18681" t="s">
        <v>18699</v>
      </c>
      <c r="H18681" t="s">
        <v>39110</v>
      </c>
    </row>
    <row r="18682" spans="1:8">
      <c r="H18682" t="s">
        <v>39111</v>
      </c>
    </row>
    <row r="18683" spans="1:8">
      <c r="A18683" t="s">
        <v>4660</v>
      </c>
      <c r="B18683">
        <f>HYPERLINK("https://android.googlesource.com/platform/cts/+/ecb536c1f8de1fc6823e6249c6a3e374310dfd46", "ecb536c1f8de1fc6823e6249c6a3e374310dfd46")</f>
        <v>0</v>
      </c>
      <c r="C18683">
        <f>HYPERLINK("https://android.googlesource.com/platform/cts/+/75c79a7cfeb03fd38d71b316e5a3924b481a5d35", "75c79a7cfeb03fd38d71b316e5a3924b481a5d35")</f>
        <v>0</v>
      </c>
      <c r="D18683" t="s">
        <v>5586</v>
      </c>
      <c r="E18683" t="s">
        <v>10318</v>
      </c>
      <c r="F18683" t="s">
        <v>13972</v>
      </c>
      <c r="G18683" t="s">
        <v>17997</v>
      </c>
      <c r="H18683" t="s">
        <v>39121</v>
      </c>
    </row>
    <row r="18684" spans="1:8">
      <c r="H18684" t="s">
        <v>39122</v>
      </c>
    </row>
    <row r="18685" spans="1:8">
      <c r="A18685" t="s">
        <v>4667</v>
      </c>
      <c r="B18685">
        <f>HYPERLINK("https://android.googlesource.com/platform/cts/+/cad912720663f17b6cd7f355d111c93990d5a0b1", "cad912720663f17b6cd7f355d111c93990d5a0b1")</f>
        <v>0</v>
      </c>
      <c r="C18685">
        <f>HYPERLINK("https://android.googlesource.com/platform/cts/+/a6cb7ba3b7360f8399db3498149b1780862d1890", "a6cb7ba3b7360f8399db3498149b1780862d1890")</f>
        <v>0</v>
      </c>
      <c r="D18685" t="s">
        <v>5476</v>
      </c>
      <c r="E18685" t="s">
        <v>10324</v>
      </c>
      <c r="F18685" t="s">
        <v>14843</v>
      </c>
      <c r="G18685" t="s">
        <v>18702</v>
      </c>
      <c r="H18685" t="s">
        <v>39126</v>
      </c>
    </row>
    <row r="18686" spans="1:8">
      <c r="A18686" t="s">
        <v>4669</v>
      </c>
      <c r="B18686">
        <f>HYPERLINK("https://android.googlesource.com/platform/cts/+/3907a2e40a113baab238f8ed89d102f5248c286a", "3907a2e40a113baab238f8ed89d102f5248c286a")</f>
        <v>0</v>
      </c>
      <c r="C18686">
        <f>HYPERLINK("https://android.googlesource.com/platform/cts/+/1255471170d3db25e2014e11a628304ae236c80f", "1255471170d3db25e2014e11a628304ae236c80f")</f>
        <v>0</v>
      </c>
      <c r="D18686" t="s">
        <v>5676</v>
      </c>
      <c r="E18686" t="s">
        <v>10326</v>
      </c>
      <c r="F18686" t="s">
        <v>14844</v>
      </c>
      <c r="G18686" t="s">
        <v>18703</v>
      </c>
      <c r="H18686" t="s">
        <v>39128</v>
      </c>
    </row>
    <row r="18687" spans="1:8">
      <c r="H18687" t="s">
        <v>39129</v>
      </c>
    </row>
    <row r="18688" spans="1:8">
      <c r="H18688" t="s">
        <v>39130</v>
      </c>
    </row>
    <row r="18689" spans="1:8">
      <c r="H18689" t="s">
        <v>39131</v>
      </c>
    </row>
    <row r="18690" spans="1:8">
      <c r="H18690" t="s">
        <v>39132</v>
      </c>
    </row>
    <row r="18691" spans="1:8">
      <c r="A18691" t="s">
        <v>4670</v>
      </c>
      <c r="B18691">
        <f>HYPERLINK("https://android.googlesource.com/platform/cts/+/63c4911e244060d55f15698ff9fef0de41402679", "63c4911e244060d55f15698ff9fef0de41402679")</f>
        <v>0</v>
      </c>
      <c r="C18691">
        <f>HYPERLINK("https://android.googlesource.com/platform/cts/+/714a64d3c1264fe3cf75a6ebc2930530a6acd21a", "714a64d3c1264fe3cf75a6ebc2930530a6acd21a")</f>
        <v>0</v>
      </c>
      <c r="D18691" t="s">
        <v>5008</v>
      </c>
      <c r="E18691" t="s">
        <v>10327</v>
      </c>
      <c r="F18691" t="s">
        <v>14846</v>
      </c>
      <c r="G18691" t="s">
        <v>18704</v>
      </c>
      <c r="H18691" t="s">
        <v>39141</v>
      </c>
    </row>
    <row r="18692" spans="1:8">
      <c r="H18692" t="s">
        <v>39142</v>
      </c>
    </row>
    <row r="18693" spans="1:8">
      <c r="H18693" t="s">
        <v>26401</v>
      </c>
    </row>
    <row r="18694" spans="1:8">
      <c r="F18694" t="s">
        <v>14848</v>
      </c>
      <c r="G18694" t="s">
        <v>18085</v>
      </c>
      <c r="H18694" t="s">
        <v>39145</v>
      </c>
    </row>
    <row r="18695" spans="1:8">
      <c r="H18695" t="s">
        <v>39146</v>
      </c>
    </row>
    <row r="18696" spans="1:8">
      <c r="A18696" t="s">
        <v>4671</v>
      </c>
      <c r="B18696">
        <f>HYPERLINK("https://android.googlesource.com/platform/cts/+/380166093d5c034b8ef611a4270d8a05b615511f", "380166093d5c034b8ef611a4270d8a05b615511f")</f>
        <v>0</v>
      </c>
      <c r="C18696">
        <f>HYPERLINK("https://android.googlesource.com/platform/cts/+/0482d3cf980bf113c58b421bdf7fd090a0d3000e", "0482d3cf980bf113c58b421bdf7fd090a0d3000e")</f>
        <v>0</v>
      </c>
      <c r="D18696" t="s">
        <v>5523</v>
      </c>
      <c r="E18696" t="s">
        <v>10328</v>
      </c>
      <c r="F18696" t="s">
        <v>14830</v>
      </c>
      <c r="G18696" t="s">
        <v>18692</v>
      </c>
      <c r="H18696" t="s">
        <v>30172</v>
      </c>
    </row>
    <row r="18697" spans="1:8">
      <c r="A18697" t="s">
        <v>4673</v>
      </c>
      <c r="B18697">
        <f>HYPERLINK("https://android.googlesource.com/platform/cts/+/8af1bba717594aa77eaba29dc68fded93d542e6a", "8af1bba717594aa77eaba29dc68fded93d542e6a")</f>
        <v>0</v>
      </c>
      <c r="C18697">
        <f>HYPERLINK("https://android.googlesource.com/platform/cts/+/edc861f6b18df5ea068585660323b32668877a28", "edc861f6b18df5ea068585660323b32668877a28")</f>
        <v>0</v>
      </c>
      <c r="D18697" t="s">
        <v>5564</v>
      </c>
      <c r="E18697" t="s">
        <v>10330</v>
      </c>
      <c r="F18697" t="s">
        <v>14773</v>
      </c>
      <c r="G18697" t="s">
        <v>16648</v>
      </c>
      <c r="H18697" t="s">
        <v>39147</v>
      </c>
    </row>
    <row r="18698" spans="1:8">
      <c r="H18698" t="s">
        <v>39148</v>
      </c>
    </row>
    <row r="18699" spans="1:8">
      <c r="A18699" t="s">
        <v>4675</v>
      </c>
      <c r="B18699">
        <f>HYPERLINK("https://android.googlesource.com/platform/cts/+/28f4cb3894b6e5d3fe29debd3244bd3a35068cff", "28f4cb3894b6e5d3fe29debd3244bd3a35068cff")</f>
        <v>0</v>
      </c>
      <c r="C18699">
        <f>HYPERLINK("https://android.googlesource.com/platform/cts/+/d78faea11707a5bd305394fcb6bbceb37675d12f", "d78faea11707a5bd305394fcb6bbceb37675d12f")</f>
        <v>0</v>
      </c>
      <c r="D18699" t="s">
        <v>5737</v>
      </c>
      <c r="E18699" t="s">
        <v>10332</v>
      </c>
      <c r="F18699" t="s">
        <v>14625</v>
      </c>
      <c r="G18699" t="s">
        <v>18536</v>
      </c>
      <c r="H18699" t="s">
        <v>39150</v>
      </c>
    </row>
    <row r="18700" spans="1:8">
      <c r="H18700" t="s">
        <v>39151</v>
      </c>
    </row>
    <row r="18701" spans="1:8">
      <c r="A18701" t="s">
        <v>4682</v>
      </c>
      <c r="B18701">
        <f>HYPERLINK("https://android.googlesource.com/platform/cts/+/5336f74a012f2143a258b71ed40624fc142efd3d", "5336f74a012f2143a258b71ed40624fc142efd3d")</f>
        <v>0</v>
      </c>
      <c r="C18701">
        <f>HYPERLINK("https://android.googlesource.com/platform/cts/+/a249eac2a1cce84b757141b126937db55886f540", "a249eac2a1cce84b757141b126937db55886f540")</f>
        <v>0</v>
      </c>
      <c r="D18701" t="s">
        <v>5551</v>
      </c>
      <c r="E18701" t="s">
        <v>10339</v>
      </c>
      <c r="F18701" t="s">
        <v>14461</v>
      </c>
      <c r="G18701" t="s">
        <v>15710</v>
      </c>
      <c r="H18701" t="s">
        <v>39156</v>
      </c>
    </row>
    <row r="18702" spans="1:8">
      <c r="A18702" t="s">
        <v>4686</v>
      </c>
      <c r="B18702">
        <f>HYPERLINK("https://android.googlesource.com/platform/cts/+/8e09e0e1dfd2e88f6fcb2e68c01176c2bc36fa66", "8e09e0e1dfd2e88f6fcb2e68c01176c2bc36fa66")</f>
        <v>0</v>
      </c>
      <c r="C18702">
        <f>HYPERLINK("https://android.googlesource.com/platform/cts/+/54d3ae15b7dd72e2664dc928e98e8645b7eeab68", "54d3ae15b7dd72e2664dc928e98e8645b7eeab68")</f>
        <v>0</v>
      </c>
      <c r="D18702" t="s">
        <v>5747</v>
      </c>
      <c r="E18702" t="s">
        <v>10343</v>
      </c>
      <c r="F18702" t="s">
        <v>14851</v>
      </c>
      <c r="G18702" t="s">
        <v>18705</v>
      </c>
      <c r="H18702" t="s">
        <v>39164</v>
      </c>
    </row>
    <row r="18703" spans="1:8">
      <c r="H18703" t="s">
        <v>39165</v>
      </c>
    </row>
    <row r="18704" spans="1:8">
      <c r="H18704" t="s">
        <v>39166</v>
      </c>
    </row>
    <row r="18705" spans="1:8">
      <c r="H18705" t="s">
        <v>39167</v>
      </c>
    </row>
    <row r="18706" spans="1:8">
      <c r="H18706" t="s">
        <v>39168</v>
      </c>
    </row>
    <row r="18707" spans="1:8">
      <c r="H18707" t="s">
        <v>39169</v>
      </c>
    </row>
    <row r="18708" spans="1:8">
      <c r="A18708" t="s">
        <v>4694</v>
      </c>
      <c r="B18708">
        <f>HYPERLINK("https://android.googlesource.com/platform/cts/+/a4a7fee64da605c444c8c04be1bb0741747dcad1", "a4a7fee64da605c444c8c04be1bb0741747dcad1")</f>
        <v>0</v>
      </c>
      <c r="C18708">
        <f>HYPERLINK("https://android.googlesource.com/platform/cts/+/0de19f421200e80706e501bc09c780672eaaa507", "0de19f421200e80706e501bc09c780672eaaa507")</f>
        <v>0</v>
      </c>
      <c r="D18708" t="s">
        <v>5748</v>
      </c>
      <c r="E18708" t="s">
        <v>10350</v>
      </c>
      <c r="F18708" t="s">
        <v>14854</v>
      </c>
      <c r="G18708" t="s">
        <v>18708</v>
      </c>
      <c r="H18708" t="s">
        <v>39177</v>
      </c>
    </row>
    <row r="18709" spans="1:8">
      <c r="H18709" t="s">
        <v>39178</v>
      </c>
    </row>
    <row r="18710" spans="1:8">
      <c r="A18710" t="s">
        <v>4695</v>
      </c>
      <c r="B18710">
        <f>HYPERLINK("https://android.googlesource.com/platform/cts/+/b3dcbf4d50c20953c151393422ca37ad05b1168a", "b3dcbf4d50c20953c151393422ca37ad05b1168a")</f>
        <v>0</v>
      </c>
      <c r="C18710">
        <f>HYPERLINK("https://android.googlesource.com/platform/cts/+/f2c57f544dc83591e95d2938c59af93a3a837807", "f2c57f544dc83591e95d2938c59af93a3a837807")</f>
        <v>0</v>
      </c>
      <c r="D18710" t="s">
        <v>5747</v>
      </c>
      <c r="E18710" t="s">
        <v>10351</v>
      </c>
      <c r="F18710" t="s">
        <v>14855</v>
      </c>
      <c r="G18710" t="s">
        <v>18709</v>
      </c>
      <c r="H18710" t="s">
        <v>39179</v>
      </c>
    </row>
    <row r="18711" spans="1:8">
      <c r="H18711" t="s">
        <v>39180</v>
      </c>
    </row>
    <row r="18712" spans="1:8">
      <c r="H18712" t="s">
        <v>39181</v>
      </c>
    </row>
    <row r="18713" spans="1:8">
      <c r="A18713" t="s">
        <v>4697</v>
      </c>
      <c r="B18713">
        <f>HYPERLINK("https://android.googlesource.com/platform/cts/+/7b5d3525f8fcd297f8ba207ea97b7b7a16624383", "7b5d3525f8fcd297f8ba207ea97b7b7a16624383")</f>
        <v>0</v>
      </c>
      <c r="C18713">
        <f>HYPERLINK("https://android.googlesource.com/platform/cts/+/b031a99c625f9e7bbef356acee98aedae018f44e", "b031a99c625f9e7bbef356acee98aedae018f44e")</f>
        <v>0</v>
      </c>
      <c r="D18713" t="s">
        <v>5750</v>
      </c>
      <c r="E18713" t="s">
        <v>10353</v>
      </c>
      <c r="F18713" t="s">
        <v>14193</v>
      </c>
      <c r="G18713" t="s">
        <v>18172</v>
      </c>
      <c r="H18713" t="s">
        <v>39184</v>
      </c>
    </row>
    <row r="18714" spans="1:8">
      <c r="H18714" t="s">
        <v>39185</v>
      </c>
    </row>
    <row r="18715" spans="1:8">
      <c r="A18715" t="s">
        <v>4702</v>
      </c>
      <c r="B18715">
        <f>HYPERLINK("https://android.googlesource.com/platform/cts/+/3b9ca0de773b43f742ebf7117f56cca779d1dad5", "3b9ca0de773b43f742ebf7117f56cca779d1dad5")</f>
        <v>0</v>
      </c>
      <c r="C18715">
        <f>HYPERLINK("https://android.googlesource.com/platform/cts/+/e647a87ab4b3518c9e1e602e6807913924b81345", "e647a87ab4b3518c9e1e602e6807913924b81345")</f>
        <v>0</v>
      </c>
      <c r="D18715" t="s">
        <v>5695</v>
      </c>
      <c r="E18715" t="s">
        <v>10358</v>
      </c>
      <c r="F18715" t="s">
        <v>14840</v>
      </c>
      <c r="G18715" t="s">
        <v>18699</v>
      </c>
      <c r="H18715" t="s">
        <v>39195</v>
      </c>
    </row>
    <row r="18716" spans="1:8">
      <c r="A18716" t="s">
        <v>4703</v>
      </c>
      <c r="B18716">
        <f>HYPERLINK("https://android.googlesource.com/platform/cts/+/b086d0ce101a703c9e7d37c2d4650327ad125619", "b086d0ce101a703c9e7d37c2d4650327ad125619")</f>
        <v>0</v>
      </c>
      <c r="C18716">
        <f>HYPERLINK("https://android.googlesource.com/platform/cts/+/b3c54c05d0b3aa00374644f8f389a562214dd09e", "b3c54c05d0b3aa00374644f8f389a562214dd09e")</f>
        <v>0</v>
      </c>
      <c r="D18716" t="s">
        <v>5644</v>
      </c>
      <c r="E18716" t="s">
        <v>10359</v>
      </c>
      <c r="F18716" t="s">
        <v>14859</v>
      </c>
      <c r="G18716" t="s">
        <v>18713</v>
      </c>
      <c r="H18716" t="s">
        <v>39196</v>
      </c>
    </row>
    <row r="18717" spans="1:8">
      <c r="H18717" t="s">
        <v>39197</v>
      </c>
    </row>
    <row r="18718" spans="1:8">
      <c r="H18718" t="s">
        <v>39198</v>
      </c>
    </row>
    <row r="18719" spans="1:8">
      <c r="A18719" t="s">
        <v>4707</v>
      </c>
      <c r="B18719">
        <f>HYPERLINK("https://android.googlesource.com/platform/cts/+/c3d1d1fede665eaaf736127aef9d6e4295244f31", "c3d1d1fede665eaaf736127aef9d6e4295244f31")</f>
        <v>0</v>
      </c>
      <c r="C18719">
        <f>HYPERLINK("https://android.googlesource.com/platform/cts/+/64ead08b13ecad35b1a074601d67ca9a52875167", "64ead08b13ecad35b1a074601d67ca9a52875167")</f>
        <v>0</v>
      </c>
      <c r="D18719" t="s">
        <v>5740</v>
      </c>
      <c r="E18719" t="s">
        <v>10363</v>
      </c>
      <c r="F18719" t="s">
        <v>14121</v>
      </c>
      <c r="G18719" t="s">
        <v>16426</v>
      </c>
      <c r="H18719" t="s">
        <v>39202</v>
      </c>
    </row>
    <row r="18720" spans="1:8">
      <c r="A18720" t="s">
        <v>4709</v>
      </c>
      <c r="B18720">
        <f>HYPERLINK("https://android.googlesource.com/platform/cts/+/adf1cabbb66bbb034ba81cae648b3939b23a328e", "adf1cabbb66bbb034ba81cae648b3939b23a328e")</f>
        <v>0</v>
      </c>
      <c r="C18720">
        <f>HYPERLINK("https://android.googlesource.com/platform/cts/+/b351226f3c3dd8a592eb4b9fadd7e3712611a65a", "b351226f3c3dd8a592eb4b9fadd7e3712611a65a")</f>
        <v>0</v>
      </c>
      <c r="D18720" t="s">
        <v>5419</v>
      </c>
      <c r="E18720" t="s">
        <v>10365</v>
      </c>
      <c r="F18720" t="s">
        <v>14860</v>
      </c>
      <c r="G18720" t="s">
        <v>18714</v>
      </c>
      <c r="H18720" t="s">
        <v>32554</v>
      </c>
    </row>
    <row r="18721" spans="1:8">
      <c r="F18721" t="s">
        <v>14861</v>
      </c>
      <c r="G18721" t="s">
        <v>18715</v>
      </c>
      <c r="H18721" t="s">
        <v>39203</v>
      </c>
    </row>
    <row r="18722" spans="1:8">
      <c r="H18722" t="s">
        <v>39204</v>
      </c>
    </row>
    <row r="18723" spans="1:8">
      <c r="A18723" t="s">
        <v>4710</v>
      </c>
      <c r="B18723">
        <f>HYPERLINK("https://android.googlesource.com/platform/cts/+/69953912ae107a510145f3668228ca88975b86d6", "69953912ae107a510145f3668228ca88975b86d6")</f>
        <v>0</v>
      </c>
      <c r="C18723">
        <f>HYPERLINK("https://android.googlesource.com/platform/cts/+/eb4a719122fcc05073102084212e8a151f8b7708", "eb4a719122fcc05073102084212e8a151f8b7708")</f>
        <v>0</v>
      </c>
      <c r="D18723" t="s">
        <v>5564</v>
      </c>
      <c r="E18723" t="s">
        <v>10366</v>
      </c>
      <c r="F18723" t="s">
        <v>14773</v>
      </c>
      <c r="G18723" t="s">
        <v>16648</v>
      </c>
      <c r="H18723" t="s">
        <v>39214</v>
      </c>
    </row>
    <row r="18724" spans="1:8">
      <c r="H18724" t="s">
        <v>39215</v>
      </c>
    </row>
    <row r="18725" spans="1:8">
      <c r="H18725" t="s">
        <v>39216</v>
      </c>
    </row>
    <row r="18726" spans="1:8">
      <c r="H18726" t="s">
        <v>39217</v>
      </c>
    </row>
    <row r="18727" spans="1:8">
      <c r="H18727" t="s">
        <v>39218</v>
      </c>
    </row>
    <row r="18728" spans="1:8">
      <c r="H18728" t="s">
        <v>39219</v>
      </c>
    </row>
    <row r="18729" spans="1:8">
      <c r="H18729" t="s">
        <v>39220</v>
      </c>
    </row>
    <row r="18730" spans="1:8">
      <c r="H18730" t="s">
        <v>39221</v>
      </c>
    </row>
    <row r="18731" spans="1:8">
      <c r="H18731" t="s">
        <v>39222</v>
      </c>
    </row>
    <row r="18732" spans="1:8">
      <c r="H18732" t="s">
        <v>39223</v>
      </c>
    </row>
    <row r="18733" spans="1:8">
      <c r="H18733" t="s">
        <v>39224</v>
      </c>
    </row>
    <row r="18734" spans="1:8">
      <c r="H18734" t="s">
        <v>39225</v>
      </c>
    </row>
    <row r="18735" spans="1:8">
      <c r="H18735" t="s">
        <v>39226</v>
      </c>
    </row>
    <row r="18736" spans="1:8">
      <c r="H18736" t="s">
        <v>39227</v>
      </c>
    </row>
    <row r="18737" spans="8:8">
      <c r="H18737" t="s">
        <v>39228</v>
      </c>
    </row>
    <row r="18738" spans="8:8">
      <c r="H18738" t="s">
        <v>39229</v>
      </c>
    </row>
    <row r="18739" spans="8:8">
      <c r="H18739" t="s">
        <v>39230</v>
      </c>
    </row>
    <row r="18740" spans="8:8">
      <c r="H18740" t="s">
        <v>39231</v>
      </c>
    </row>
    <row r="18741" spans="8:8">
      <c r="H18741" t="s">
        <v>39232</v>
      </c>
    </row>
    <row r="18742" spans="8:8">
      <c r="H18742" t="s">
        <v>39233</v>
      </c>
    </row>
    <row r="18743" spans="8:8">
      <c r="H18743" t="s">
        <v>39234</v>
      </c>
    </row>
    <row r="18744" spans="8:8">
      <c r="H18744" t="s">
        <v>39235</v>
      </c>
    </row>
    <row r="18745" spans="8:8">
      <c r="H18745" t="s">
        <v>39236</v>
      </c>
    </row>
    <row r="18746" spans="8:8">
      <c r="H18746" t="s">
        <v>39237</v>
      </c>
    </row>
    <row r="18747" spans="8:8">
      <c r="H18747" t="s">
        <v>39238</v>
      </c>
    </row>
    <row r="18748" spans="8:8">
      <c r="H18748" t="s">
        <v>39239</v>
      </c>
    </row>
    <row r="18749" spans="8:8">
      <c r="H18749" t="s">
        <v>39240</v>
      </c>
    </row>
    <row r="18750" spans="8:8">
      <c r="H18750" t="s">
        <v>39241</v>
      </c>
    </row>
    <row r="18751" spans="8:8">
      <c r="H18751" t="s">
        <v>39242</v>
      </c>
    </row>
    <row r="18752" spans="8:8">
      <c r="H18752" t="s">
        <v>39243</v>
      </c>
    </row>
    <row r="18753" spans="1:8">
      <c r="H18753" t="s">
        <v>39244</v>
      </c>
    </row>
    <row r="18754" spans="1:8">
      <c r="H18754" t="s">
        <v>39245</v>
      </c>
    </row>
    <row r="18755" spans="1:8">
      <c r="H18755" t="s">
        <v>39246</v>
      </c>
    </row>
    <row r="18756" spans="1:8">
      <c r="H18756" t="s">
        <v>39247</v>
      </c>
    </row>
    <row r="18757" spans="1:8">
      <c r="H18757" t="s">
        <v>39248</v>
      </c>
    </row>
    <row r="18758" spans="1:8">
      <c r="H18758" t="s">
        <v>39249</v>
      </c>
    </row>
    <row r="18759" spans="1:8">
      <c r="H18759" t="s">
        <v>39250</v>
      </c>
    </row>
    <row r="18760" spans="1:8">
      <c r="A18760" t="s">
        <v>4711</v>
      </c>
      <c r="B18760">
        <f>HYPERLINK("https://android.googlesource.com/platform/cts/+/fab06b5658edd4b4a4a1f571fc5267954ceba853", "fab06b5658edd4b4a4a1f571fc5267954ceba853")</f>
        <v>0</v>
      </c>
      <c r="C18760">
        <f>HYPERLINK("https://android.googlesource.com/platform/cts/+/5340edfe0915e02d2542795fba35b03b9dac372a", "5340edfe0915e02d2542795fba35b03b9dac372a")</f>
        <v>0</v>
      </c>
      <c r="D18760" t="s">
        <v>5219</v>
      </c>
      <c r="E18760" t="s">
        <v>10367</v>
      </c>
      <c r="F18760" t="s">
        <v>14512</v>
      </c>
      <c r="G18760" t="s">
        <v>18414</v>
      </c>
      <c r="H18760" t="s">
        <v>39263</v>
      </c>
    </row>
    <row r="18761" spans="1:8">
      <c r="H18761" t="s">
        <v>39264</v>
      </c>
    </row>
    <row r="18762" spans="1:8">
      <c r="A18762" t="s">
        <v>4715</v>
      </c>
      <c r="B18762">
        <f>HYPERLINK("https://android.googlesource.com/platform/cts/+/2e763a69f91f24e1d694d22b47e19be591a7a313", "2e763a69f91f24e1d694d22b47e19be591a7a313")</f>
        <v>0</v>
      </c>
      <c r="C18762">
        <f>HYPERLINK("https://android.googlesource.com/platform/cts/+/ed80e62fa5f9d3f4074235f6f7f0a78107f026d8", "ed80e62fa5f9d3f4074235f6f7f0a78107f026d8")</f>
        <v>0</v>
      </c>
      <c r="D18762" t="s">
        <v>5040</v>
      </c>
      <c r="E18762" t="s">
        <v>10371</v>
      </c>
      <c r="F18762" t="s">
        <v>14864</v>
      </c>
      <c r="G18762" t="s">
        <v>18717</v>
      </c>
      <c r="H18762" t="s">
        <v>39271</v>
      </c>
    </row>
    <row r="18763" spans="1:8">
      <c r="A18763" t="s">
        <v>4716</v>
      </c>
      <c r="B18763">
        <f>HYPERLINK("https://android.googlesource.com/platform/cts/+/6de3c1cfdb62119e61f0c7d56b32b2fad338eb84", "6de3c1cfdb62119e61f0c7d56b32b2fad338eb84")</f>
        <v>0</v>
      </c>
      <c r="C18763">
        <f>HYPERLINK("https://android.googlesource.com/platform/cts/+/13625dd2dcdcf7f6c6e9fa5041e920f288ecb94b", "13625dd2dcdcf7f6c6e9fa5041e920f288ecb94b")</f>
        <v>0</v>
      </c>
      <c r="D18763" t="s">
        <v>5751</v>
      </c>
      <c r="E18763" t="s">
        <v>10372</v>
      </c>
      <c r="F18763" t="s">
        <v>14856</v>
      </c>
      <c r="G18763" t="s">
        <v>18710</v>
      </c>
      <c r="H18763" t="s">
        <v>39293</v>
      </c>
    </row>
    <row r="18764" spans="1:8">
      <c r="H18764" t="s">
        <v>39294</v>
      </c>
    </row>
    <row r="18765" spans="1:8">
      <c r="H18765" t="s">
        <v>39295</v>
      </c>
    </row>
    <row r="18766" spans="1:8">
      <c r="H18766" t="s">
        <v>39296</v>
      </c>
    </row>
    <row r="18767" spans="1:8">
      <c r="H18767" t="s">
        <v>39297</v>
      </c>
    </row>
    <row r="18768" spans="1:8">
      <c r="H18768" t="s">
        <v>31962</v>
      </c>
    </row>
    <row r="18769" spans="1:8">
      <c r="H18769" t="s">
        <v>39298</v>
      </c>
    </row>
    <row r="18770" spans="1:8">
      <c r="H18770" t="s">
        <v>39299</v>
      </c>
    </row>
    <row r="18771" spans="1:8">
      <c r="A18771" t="s">
        <v>4720</v>
      </c>
      <c r="B18771">
        <f>HYPERLINK("https://android.googlesource.com/platform/cts/+/e9faaf6094445df7b5d1da37619daead34831acd", "e9faaf6094445df7b5d1da37619daead34831acd")</f>
        <v>0</v>
      </c>
      <c r="C18771">
        <f>HYPERLINK("https://android.googlesource.com/platform/cts/+/3375e00adf501e6895ea6c617f2f7e68b43ffce8", "3375e00adf501e6895ea6c617f2f7e68b43ffce8")</f>
        <v>0</v>
      </c>
      <c r="D18771" t="s">
        <v>5723</v>
      </c>
      <c r="E18771" t="s">
        <v>10376</v>
      </c>
      <c r="F18771" t="s">
        <v>14563</v>
      </c>
      <c r="G18771" t="s">
        <v>18409</v>
      </c>
      <c r="H18771" t="s">
        <v>39305</v>
      </c>
    </row>
    <row r="18772" spans="1:8">
      <c r="A18772" t="s">
        <v>4725</v>
      </c>
      <c r="B18772">
        <f>HYPERLINK("https://android.googlesource.com/platform/cts/+/981a84a72d7253aa71d4be0e7e544a04da3ee4a0", "981a84a72d7253aa71d4be0e7e544a04da3ee4a0")</f>
        <v>0</v>
      </c>
      <c r="C18772">
        <f>HYPERLINK("https://android.googlesource.com/platform/cts/+/fab06b5658edd4b4a4a1f571fc5267954ceba853", "fab06b5658edd4b4a4a1f571fc5267954ceba853")</f>
        <v>0</v>
      </c>
      <c r="D18772" t="s">
        <v>5219</v>
      </c>
      <c r="E18772" t="s">
        <v>10381</v>
      </c>
      <c r="F18772" t="s">
        <v>14512</v>
      </c>
      <c r="G18772" t="s">
        <v>18414</v>
      </c>
      <c r="H18772" t="s">
        <v>36150</v>
      </c>
    </row>
    <row r="18773" spans="1:8">
      <c r="H18773" t="s">
        <v>36152</v>
      </c>
    </row>
    <row r="18774" spans="1:8">
      <c r="H18774" t="s">
        <v>36155</v>
      </c>
    </row>
    <row r="18775" spans="1:8">
      <c r="A18775" t="s">
        <v>4727</v>
      </c>
      <c r="B18775">
        <f>HYPERLINK("https://android.googlesource.com/platform/cts/+/b67456050cb55793f026ae5b5de42631b21b9f5d", "b67456050cb55793f026ae5b5de42631b21b9f5d")</f>
        <v>0</v>
      </c>
      <c r="C18775">
        <f>HYPERLINK("https://android.googlesource.com/platform/cts/+/ea0f4db4a70a6a21d13c00ce9f9c272311ec1b4d", "ea0f4db4a70a6a21d13c00ce9f9c272311ec1b4d")</f>
        <v>0</v>
      </c>
      <c r="D18775" t="s">
        <v>5265</v>
      </c>
      <c r="E18775" t="s">
        <v>10383</v>
      </c>
      <c r="F18775" t="s">
        <v>14871</v>
      </c>
      <c r="G18775" t="s">
        <v>18722</v>
      </c>
      <c r="H18775" t="s">
        <v>39312</v>
      </c>
    </row>
    <row r="18776" spans="1:8">
      <c r="H18776" t="s">
        <v>39313</v>
      </c>
    </row>
    <row r="18777" spans="1:8">
      <c r="A18777" t="s">
        <v>4731</v>
      </c>
      <c r="B18777">
        <f>HYPERLINK("https://android.googlesource.com/platform/cts/+/e261a36c97cefe31ff6a7b9055a2e1e321b696db", "e261a36c97cefe31ff6a7b9055a2e1e321b696db")</f>
        <v>0</v>
      </c>
      <c r="C18777">
        <f>HYPERLINK("https://android.googlesource.com/platform/cts/+/566b74f2a5a89675044cee37086ecc592a814326", "566b74f2a5a89675044cee37086ecc592a814326")</f>
        <v>0</v>
      </c>
      <c r="D18777" t="s">
        <v>5759</v>
      </c>
      <c r="E18777" t="s">
        <v>10387</v>
      </c>
      <c r="F18777" t="s">
        <v>14446</v>
      </c>
      <c r="G18777" t="s">
        <v>18381</v>
      </c>
      <c r="H18777" t="s">
        <v>39323</v>
      </c>
    </row>
    <row r="18778" spans="1:8">
      <c r="H18778" t="s">
        <v>39324</v>
      </c>
    </row>
    <row r="18779" spans="1:8">
      <c r="H18779" t="s">
        <v>39325</v>
      </c>
    </row>
    <row r="18780" spans="1:8">
      <c r="H18780" t="s">
        <v>39326</v>
      </c>
    </row>
    <row r="18781" spans="1:8">
      <c r="H18781" t="s">
        <v>39327</v>
      </c>
    </row>
    <row r="18782" spans="1:8">
      <c r="H18782" t="s">
        <v>39328</v>
      </c>
    </row>
    <row r="18783" spans="1:8">
      <c r="F18783" t="s">
        <v>14414</v>
      </c>
      <c r="G18783" t="s">
        <v>18352</v>
      </c>
      <c r="H18783" t="s">
        <v>39329</v>
      </c>
    </row>
    <row r="18784" spans="1:8">
      <c r="H18784" t="s">
        <v>39330</v>
      </c>
    </row>
    <row r="18785" spans="1:8">
      <c r="A18785" t="s">
        <v>4735</v>
      </c>
      <c r="B18785">
        <f>HYPERLINK("https://android.googlesource.com/platform/cts/+/c3f1124f4e7775fce5cc2883ba6d888a30250892", "c3f1124f4e7775fce5cc2883ba6d888a30250892")</f>
        <v>0</v>
      </c>
      <c r="C18785">
        <f>HYPERLINK("https://android.googlesource.com/platform/cts/+/7fefb4cd3449e4e827a0ed89000148751a69829e", "7fefb4cd3449e4e827a0ed89000148751a69829e")</f>
        <v>0</v>
      </c>
      <c r="D18785" t="s">
        <v>5644</v>
      </c>
      <c r="E18785" t="s">
        <v>10391</v>
      </c>
      <c r="F18785" t="s">
        <v>14874</v>
      </c>
      <c r="G18785" t="s">
        <v>18724</v>
      </c>
      <c r="H18785" t="s">
        <v>29073</v>
      </c>
    </row>
    <row r="18786" spans="1:8">
      <c r="A18786" t="s">
        <v>4737</v>
      </c>
      <c r="B18786">
        <f>HYPERLINK("https://android.googlesource.com/platform/cts/+/26884f2d333c2cbc622c8cd8de45acf9b4b889ce", "26884f2d333c2cbc622c8cd8de45acf9b4b889ce")</f>
        <v>0</v>
      </c>
      <c r="C18786">
        <f>HYPERLINK("https://android.googlesource.com/platform/cts/+/eda95c8b387d821dfdd92e6feccae6f77e3a5c75", "eda95c8b387d821dfdd92e6feccae6f77e3a5c75")</f>
        <v>0</v>
      </c>
      <c r="D18786" t="s">
        <v>5465</v>
      </c>
      <c r="E18786" t="s">
        <v>10393</v>
      </c>
      <c r="F18786" t="s">
        <v>14461</v>
      </c>
      <c r="G18786" t="s">
        <v>15710</v>
      </c>
      <c r="H18786" t="s">
        <v>39335</v>
      </c>
    </row>
    <row r="18787" spans="1:8">
      <c r="H18787" t="s">
        <v>39336</v>
      </c>
    </row>
    <row r="18788" spans="1:8">
      <c r="H18788" t="s">
        <v>39337</v>
      </c>
    </row>
    <row r="18789" spans="1:8">
      <c r="A18789" t="s">
        <v>4738</v>
      </c>
      <c r="B18789">
        <f>HYPERLINK("https://android.googlesource.com/platform/cts/+/e98c2545ce2db68e37228f6c9a6b8f03790982c5", "e98c2545ce2db68e37228f6c9a6b8f03790982c5")</f>
        <v>0</v>
      </c>
      <c r="C18789">
        <f>HYPERLINK("https://android.googlesource.com/platform/cts/+/2c1213ebe06a48876da62f75062800a96571d871", "2c1213ebe06a48876da62f75062800a96571d871")</f>
        <v>0</v>
      </c>
      <c r="D18789" t="s">
        <v>5477</v>
      </c>
      <c r="E18789" t="s">
        <v>10394</v>
      </c>
      <c r="F18789" t="s">
        <v>14876</v>
      </c>
      <c r="G18789" t="s">
        <v>18726</v>
      </c>
      <c r="H18789" t="s">
        <v>39340</v>
      </c>
    </row>
    <row r="18790" spans="1:8">
      <c r="H18790" t="s">
        <v>39345</v>
      </c>
    </row>
    <row r="18791" spans="1:8">
      <c r="H18791" t="s">
        <v>39347</v>
      </c>
    </row>
    <row r="18792" spans="1:8">
      <c r="A18792" t="s">
        <v>4743</v>
      </c>
      <c r="B18792">
        <f>HYPERLINK("https://android.googlesource.com/platform/cts/+/36bb40bf558dd34586fab0461ff4f55d7abf8234", "36bb40bf558dd34586fab0461ff4f55d7abf8234")</f>
        <v>0</v>
      </c>
      <c r="C18792">
        <f>HYPERLINK("https://android.googlesource.com/platform/cts/+/a77917c271d1245e4ed227f661a2eb3c401a153e", "a77917c271d1245e4ed227f661a2eb3c401a153e")</f>
        <v>0</v>
      </c>
      <c r="D18792" t="s">
        <v>5749</v>
      </c>
      <c r="E18792" t="s">
        <v>10399</v>
      </c>
      <c r="F18792" t="s">
        <v>14880</v>
      </c>
      <c r="G18792" t="s">
        <v>18730</v>
      </c>
      <c r="H18792" t="s">
        <v>39367</v>
      </c>
    </row>
    <row r="18793" spans="1:8">
      <c r="H18793" t="s">
        <v>39368</v>
      </c>
    </row>
    <row r="18794" spans="1:8">
      <c r="H18794" t="s">
        <v>39369</v>
      </c>
    </row>
    <row r="18795" spans="1:8">
      <c r="H18795" t="s">
        <v>39370</v>
      </c>
    </row>
    <row r="18796" spans="1:8">
      <c r="H18796" t="s">
        <v>39371</v>
      </c>
    </row>
    <row r="18797" spans="1:8">
      <c r="A18797" t="s">
        <v>4750</v>
      </c>
      <c r="B18797">
        <f>HYPERLINK("https://android.googlesource.com/platform/cts/+/79444c01647dbd2ec5658216e5a68693933e0177", "79444c01647dbd2ec5658216e5a68693933e0177")</f>
        <v>0</v>
      </c>
      <c r="C18797">
        <f>HYPERLINK("https://android.googlesource.com/platform/cts/+/a420bbaba9f1283a67a1c3416c2d1cf231cf07fe", "a420bbaba9f1283a67a1c3416c2d1cf231cf07fe")</f>
        <v>0</v>
      </c>
      <c r="D18797" t="s">
        <v>5420</v>
      </c>
      <c r="E18797" t="s">
        <v>10406</v>
      </c>
      <c r="F18797" t="s">
        <v>14882</v>
      </c>
      <c r="G18797" t="s">
        <v>18731</v>
      </c>
      <c r="H18797" t="s">
        <v>39385</v>
      </c>
    </row>
    <row r="18798" spans="1:8">
      <c r="H18798" t="s">
        <v>39386</v>
      </c>
    </row>
    <row r="18799" spans="1:8">
      <c r="A18799" t="s">
        <v>4751</v>
      </c>
      <c r="B18799">
        <f>HYPERLINK("https://android.googlesource.com/platform/cts/+/b7b274b49fdfc8c40205bbfee3cd191015263a56", "b7b274b49fdfc8c40205bbfee3cd191015263a56")</f>
        <v>0</v>
      </c>
      <c r="C18799">
        <f>HYPERLINK("https://android.googlesource.com/platform/cts/+/f7679a054c594286f0b2692e69a2d7ebe2831685", "f7679a054c594286f0b2692e69a2d7ebe2831685")</f>
        <v>0</v>
      </c>
      <c r="D18799" t="s">
        <v>5118</v>
      </c>
      <c r="E18799" t="s">
        <v>10407</v>
      </c>
      <c r="F18799" t="s">
        <v>13197</v>
      </c>
      <c r="G18799" t="s">
        <v>17340</v>
      </c>
      <c r="H18799" t="s">
        <v>39387</v>
      </c>
    </row>
    <row r="18800" spans="1:8">
      <c r="A18800" t="s">
        <v>4758</v>
      </c>
      <c r="B18800">
        <f>HYPERLINK("https://android.googlesource.com/platform/cts/+/c9f95d3975115132df73b96c7370cb45efbe64c5", "c9f95d3975115132df73b96c7370cb45efbe64c5")</f>
        <v>0</v>
      </c>
      <c r="C18800">
        <f>HYPERLINK("https://android.googlesource.com/platform/cts/+/896dabb199ae349ddaa0a81acacb22913be1d301", "896dabb199ae349ddaa0a81acacb22913be1d301")</f>
        <v>0</v>
      </c>
      <c r="D18800" t="s">
        <v>5764</v>
      </c>
      <c r="E18800" t="s">
        <v>10415</v>
      </c>
      <c r="F18800" t="s">
        <v>13311</v>
      </c>
      <c r="G18800" t="s">
        <v>16471</v>
      </c>
      <c r="H18800" t="s">
        <v>39392</v>
      </c>
    </row>
    <row r="18801" spans="1:8">
      <c r="H18801" t="s">
        <v>39393</v>
      </c>
    </row>
    <row r="18802" spans="1:8">
      <c r="H18802" t="s">
        <v>39394</v>
      </c>
    </row>
    <row r="18803" spans="1:8">
      <c r="H18803" t="s">
        <v>39395</v>
      </c>
    </row>
    <row r="18804" spans="1:8">
      <c r="H18804" t="s">
        <v>39396</v>
      </c>
    </row>
    <row r="18805" spans="1:8">
      <c r="H18805" t="s">
        <v>39397</v>
      </c>
    </row>
    <row r="18806" spans="1:8">
      <c r="A18806" t="s">
        <v>4759</v>
      </c>
      <c r="B18806">
        <f>HYPERLINK("https://android.googlesource.com/platform/cts/+/e0e77cfc11e748dae78816942ef64b140fca8f91", "e0e77cfc11e748dae78816942ef64b140fca8f91")</f>
        <v>0</v>
      </c>
      <c r="C18806">
        <f>HYPERLINK("https://android.googlesource.com/platform/cts/+/1d65d64d19469ce35159aa7e9b2ecd793b50d3a9", "1d65d64d19469ce35159aa7e9b2ecd793b50d3a9")</f>
        <v>0</v>
      </c>
      <c r="D18806" t="s">
        <v>5509</v>
      </c>
      <c r="E18806" t="s">
        <v>10416</v>
      </c>
      <c r="F18806" t="s">
        <v>14880</v>
      </c>
      <c r="G18806" t="s">
        <v>18730</v>
      </c>
      <c r="H18806" t="s">
        <v>39367</v>
      </c>
    </row>
    <row r="18807" spans="1:8">
      <c r="H18807" t="s">
        <v>39368</v>
      </c>
    </row>
    <row r="18808" spans="1:8">
      <c r="H18808" t="s">
        <v>39369</v>
      </c>
    </row>
    <row r="18809" spans="1:8">
      <c r="H18809" t="s">
        <v>39370</v>
      </c>
    </row>
    <row r="18810" spans="1:8">
      <c r="H18810" t="s">
        <v>39371</v>
      </c>
    </row>
    <row r="18811" spans="1:8">
      <c r="A18811" t="s">
        <v>4774</v>
      </c>
      <c r="B18811">
        <f>HYPERLINK("https://android.googlesource.com/platform/cts/+/8ae831bebba660d342c00a935918f0d38d8915ce", "8ae831bebba660d342c00a935918f0d38d8915ce")</f>
        <v>0</v>
      </c>
      <c r="C18811">
        <f>HYPERLINK("https://android.googlesource.com/platform/cts/+/4b7d8d4223eae0559866493a9cf74b727834d49f", "4b7d8d4223eae0559866493a9cf74b727834d49f")</f>
        <v>0</v>
      </c>
      <c r="D18811" t="s">
        <v>5675</v>
      </c>
      <c r="E18811" t="s">
        <v>10431</v>
      </c>
      <c r="F18811" t="s">
        <v>10715</v>
      </c>
      <c r="G18811" t="s">
        <v>15114</v>
      </c>
      <c r="H18811" t="s">
        <v>37432</v>
      </c>
    </row>
    <row r="18812" spans="1:8">
      <c r="A18812" t="s">
        <v>4776</v>
      </c>
      <c r="B18812">
        <f>HYPERLINK("https://android.googlesource.com/platform/cts/+/b2d0bd152176509b2793f0ce9ab5c3f858b2a97b", "b2d0bd152176509b2793f0ce9ab5c3f858b2a97b")</f>
        <v>0</v>
      </c>
      <c r="C18812">
        <f>HYPERLINK("https://android.googlesource.com/platform/cts/+/4123ca3d3422df5b3f7f3bbd43f0fab158cf251e", "4123ca3d3422df5b3f7f3bbd43f0fab158cf251e")</f>
        <v>0</v>
      </c>
      <c r="D18812" t="s">
        <v>5504</v>
      </c>
      <c r="E18812" t="s">
        <v>10433</v>
      </c>
      <c r="F18812" t="s">
        <v>14300</v>
      </c>
      <c r="G18812" t="s">
        <v>18259</v>
      </c>
      <c r="H18812" t="s">
        <v>37869</v>
      </c>
    </row>
    <row r="18813" spans="1:8">
      <c r="A18813" t="s">
        <v>4778</v>
      </c>
      <c r="B18813">
        <f>HYPERLINK("https://android.googlesource.com/platform/cts/+/023b2fd7401bc56efd86f3af9cbeff0560e5577d", "023b2fd7401bc56efd86f3af9cbeff0560e5577d")</f>
        <v>0</v>
      </c>
      <c r="C18813">
        <f>HYPERLINK("https://android.googlesource.com/platform/cts/+/e49c4260fbe6de61e96343999e471b83347c50a5", "e49c4260fbe6de61e96343999e471b83347c50a5")</f>
        <v>0</v>
      </c>
      <c r="D18813" t="s">
        <v>5520</v>
      </c>
      <c r="E18813" t="s">
        <v>10435</v>
      </c>
      <c r="F18813" t="s">
        <v>14888</v>
      </c>
      <c r="G18813" t="s">
        <v>18735</v>
      </c>
      <c r="H18813" t="s">
        <v>39436</v>
      </c>
    </row>
    <row r="18814" spans="1:8">
      <c r="A18814" t="s">
        <v>4790</v>
      </c>
      <c r="B18814">
        <f>HYPERLINK("https://android.googlesource.com/platform/cts/+/2b256dab0280ec8e13daf1872c239370365d0f70", "2b256dab0280ec8e13daf1872c239370365d0f70")</f>
        <v>0</v>
      </c>
      <c r="C18814">
        <f>HYPERLINK("https://android.googlesource.com/platform/cts/+/7f9716d28b0fe1aa7362b02a85c082af1b6b0cc9", "7f9716d28b0fe1aa7362b02a85c082af1b6b0cc9")</f>
        <v>0</v>
      </c>
      <c r="D18814" t="s">
        <v>5451</v>
      </c>
      <c r="E18814" t="s">
        <v>10447</v>
      </c>
      <c r="F18814" t="s">
        <v>14891</v>
      </c>
      <c r="G18814" t="s">
        <v>17498</v>
      </c>
      <c r="H18814" t="s">
        <v>39449</v>
      </c>
    </row>
    <row r="18815" spans="1:8">
      <c r="A18815" t="s">
        <v>4792</v>
      </c>
      <c r="B18815">
        <f>HYPERLINK("https://android.googlesource.com/platform/cts/+/ba91da5cfc514a65eb4aeaf7b7e9219af5fb6d31", "ba91da5cfc514a65eb4aeaf7b7e9219af5fb6d31")</f>
        <v>0</v>
      </c>
      <c r="C18815">
        <f>HYPERLINK("https://android.googlesource.com/platform/cts/+/574da0a5945c088d345e17894c242faa9bccf66b", "574da0a5945c088d345e17894c242faa9bccf66b")</f>
        <v>0</v>
      </c>
      <c r="D18815" t="s">
        <v>5564</v>
      </c>
      <c r="E18815" t="s">
        <v>10449</v>
      </c>
      <c r="F18815" t="s">
        <v>14889</v>
      </c>
      <c r="G18815" t="s">
        <v>18736</v>
      </c>
      <c r="H18815" t="s">
        <v>39450</v>
      </c>
    </row>
    <row r="18816" spans="1:8">
      <c r="H18816" t="s">
        <v>39451</v>
      </c>
    </row>
    <row r="18817" spans="1:8">
      <c r="F18817" t="s">
        <v>14893</v>
      </c>
      <c r="G18817" t="s">
        <v>18738</v>
      </c>
      <c r="H18817" t="s">
        <v>39440</v>
      </c>
    </row>
    <row r="18818" spans="1:8">
      <c r="A18818" t="s">
        <v>4794</v>
      </c>
      <c r="B18818">
        <f>HYPERLINK("https://android.googlesource.com/platform/cts/+/1aedebaa21449282ba559dac9becae26d90c6895", "1aedebaa21449282ba559dac9becae26d90c6895")</f>
        <v>0</v>
      </c>
      <c r="C18818">
        <f>HYPERLINK("https://android.googlesource.com/platform/cts/+/9d328bb1816862803ec81b61b65aa76990386994", "9d328bb1816862803ec81b61b65aa76990386994")</f>
        <v>0</v>
      </c>
      <c r="D18818" t="s">
        <v>5771</v>
      </c>
      <c r="E18818" t="s">
        <v>10451</v>
      </c>
      <c r="F18818" t="s">
        <v>13332</v>
      </c>
      <c r="G18818" t="s">
        <v>17462</v>
      </c>
      <c r="H18818" t="s">
        <v>39455</v>
      </c>
    </row>
    <row r="18819" spans="1:8">
      <c r="A18819" t="s">
        <v>4797</v>
      </c>
      <c r="B18819">
        <f>HYPERLINK("https://android.googlesource.com/platform/cts/+/e3618725cc0e2639652f0058273d9bfc96d87329", "e3618725cc0e2639652f0058273d9bfc96d87329")</f>
        <v>0</v>
      </c>
      <c r="C18819">
        <f>HYPERLINK("https://android.googlesource.com/platform/cts/+/57677d95c4dff0c37126fa1c24ec43016facb607", "57677d95c4dff0c37126fa1c24ec43016facb607")</f>
        <v>0</v>
      </c>
      <c r="D18819" t="s">
        <v>5494</v>
      </c>
      <c r="E18819" t="s">
        <v>10454</v>
      </c>
      <c r="F18819" t="s">
        <v>14895</v>
      </c>
      <c r="G18819" t="s">
        <v>18739</v>
      </c>
      <c r="H18819" t="s">
        <v>39458</v>
      </c>
    </row>
    <row r="18820" spans="1:8">
      <c r="H18820" t="s">
        <v>39459</v>
      </c>
    </row>
    <row r="18821" spans="1:8">
      <c r="H18821" t="s">
        <v>39460</v>
      </c>
    </row>
    <row r="18822" spans="1:8">
      <c r="F18822" t="s">
        <v>14896</v>
      </c>
      <c r="G18822" t="s">
        <v>18740</v>
      </c>
      <c r="H18822" t="s">
        <v>39464</v>
      </c>
    </row>
    <row r="18823" spans="1:8">
      <c r="H18823" t="s">
        <v>39465</v>
      </c>
    </row>
    <row r="18824" spans="1:8">
      <c r="H18824" t="s">
        <v>39466</v>
      </c>
    </row>
    <row r="18825" spans="1:8">
      <c r="H18825" t="s">
        <v>39468</v>
      </c>
    </row>
    <row r="18826" spans="1:8">
      <c r="A18826" t="s">
        <v>4799</v>
      </c>
      <c r="B18826">
        <f>HYPERLINK("https://android.googlesource.com/platform/cts/+/638f10f4bd2c764cf1fc7d9f5a39368b22eda899", "638f10f4bd2c764cf1fc7d9f5a39368b22eda899")</f>
        <v>0</v>
      </c>
      <c r="C18826">
        <f>HYPERLINK("https://android.googlesource.com/platform/cts/+/96dfbbe5394345cd537f671e084a0d0041125e60", "96dfbbe5394345cd537f671e084a0d0041125e60")</f>
        <v>0</v>
      </c>
      <c r="D18826" t="s">
        <v>5564</v>
      </c>
      <c r="E18826" t="s">
        <v>10456</v>
      </c>
      <c r="F18826" t="s">
        <v>14506</v>
      </c>
      <c r="G18826" t="s">
        <v>18435</v>
      </c>
      <c r="H18826" t="s">
        <v>39469</v>
      </c>
    </row>
    <row r="18827" spans="1:8">
      <c r="A18827" t="s">
        <v>4802</v>
      </c>
      <c r="B18827">
        <f>HYPERLINK("https://android.googlesource.com/platform/cts/+/25e472e906c6387fd0be74273e418c594010ddf4", "25e472e906c6387fd0be74273e418c594010ddf4")</f>
        <v>0</v>
      </c>
      <c r="C18827">
        <f>HYPERLINK("https://android.googlesource.com/platform/cts/+/41095a79333dc8bc163b8ade2289fc913396b9a1", "41095a79333dc8bc163b8ade2289fc913396b9a1")</f>
        <v>0</v>
      </c>
      <c r="D18827" t="s">
        <v>5773</v>
      </c>
      <c r="E18827" t="s">
        <v>10459</v>
      </c>
      <c r="F18827" t="s">
        <v>13495</v>
      </c>
      <c r="G18827" t="s">
        <v>17158</v>
      </c>
      <c r="H18827" t="s">
        <v>39471</v>
      </c>
    </row>
    <row r="18828" spans="1:8">
      <c r="A18828" t="s">
        <v>4803</v>
      </c>
      <c r="B18828">
        <f>HYPERLINK("https://android.googlesource.com/platform/cts/+/fe4217b822b3241017cb212273080e23c8f24783", "fe4217b822b3241017cb212273080e23c8f24783")</f>
        <v>0</v>
      </c>
      <c r="C18828">
        <f>HYPERLINK("https://android.googlesource.com/platform/cts/+/e2523757f289f625f21eeb58df03eb8e1eacb3fe", "e2523757f289f625f21eeb58df03eb8e1eacb3fe")</f>
        <v>0</v>
      </c>
      <c r="D18828" t="s">
        <v>5774</v>
      </c>
      <c r="E18828" t="s">
        <v>10460</v>
      </c>
      <c r="F18828" t="s">
        <v>14582</v>
      </c>
      <c r="G18828" t="s">
        <v>18501</v>
      </c>
      <c r="H18828" t="s">
        <v>39473</v>
      </c>
    </row>
    <row r="18829" spans="1:8">
      <c r="A18829" t="s">
        <v>4806</v>
      </c>
      <c r="B18829">
        <f>HYPERLINK("https://android.googlesource.com/platform/cts/+/f28ef499cb253b5d8dc8ad19a65429dfb77ab9e2", "f28ef499cb253b5d8dc8ad19a65429dfb77ab9e2")</f>
        <v>0</v>
      </c>
      <c r="C18829">
        <f>HYPERLINK("https://android.googlesource.com/platform/cts/+/285a633164ca873d857c87f7e87f8831428bd50a", "285a633164ca873d857c87f7e87f8831428bd50a")</f>
        <v>0</v>
      </c>
      <c r="D18829" t="s">
        <v>5290</v>
      </c>
      <c r="E18829" t="s">
        <v>10463</v>
      </c>
      <c r="F18829" t="s">
        <v>13236</v>
      </c>
      <c r="G18829" t="s">
        <v>17375</v>
      </c>
      <c r="H18829" t="s">
        <v>39476</v>
      </c>
    </row>
    <row r="18830" spans="1:8">
      <c r="A18830" t="s">
        <v>4807</v>
      </c>
      <c r="B18830">
        <f>HYPERLINK("https://android.googlesource.com/platform/cts/+/ff0ea53ffb5594d6ac35ed3c2a21c7c1c8549464", "ff0ea53ffb5594d6ac35ed3c2a21c7c1c8549464")</f>
        <v>0</v>
      </c>
      <c r="C18830">
        <f>HYPERLINK("https://android.googlesource.com/platform/cts/+/898083518b58493227278eab2a9b035c9fcff62f", "898083518b58493227278eab2a9b035c9fcff62f")</f>
        <v>0</v>
      </c>
      <c r="D18830" t="s">
        <v>5776</v>
      </c>
      <c r="E18830" t="s">
        <v>10464</v>
      </c>
      <c r="F18830" t="s">
        <v>14200</v>
      </c>
      <c r="G18830" t="s">
        <v>18179</v>
      </c>
      <c r="H18830" t="s">
        <v>39477</v>
      </c>
    </row>
    <row r="18831" spans="1:8">
      <c r="H18831" t="s">
        <v>39478</v>
      </c>
    </row>
    <row r="18832" spans="1:8">
      <c r="H18832" t="s">
        <v>39479</v>
      </c>
    </row>
    <row r="18833" spans="1:8">
      <c r="A18833" t="s">
        <v>4808</v>
      </c>
      <c r="B18833">
        <f>HYPERLINK("https://android.googlesource.com/platform/cts/+/6740e3ed7234d0a2723aaa350fd3f2413b564b0b", "6740e3ed7234d0a2723aaa350fd3f2413b564b0b")</f>
        <v>0</v>
      </c>
      <c r="C18833">
        <f>HYPERLINK("https://android.googlesource.com/platform/cts/+/b167775c551d0bd06452c5362d576a5e223312b5", "b167775c551d0bd06452c5362d576a5e223312b5")</f>
        <v>0</v>
      </c>
      <c r="D18833" t="s">
        <v>5777</v>
      </c>
      <c r="E18833" t="s">
        <v>10465</v>
      </c>
      <c r="F18833" t="s">
        <v>13738</v>
      </c>
      <c r="G18833" t="s">
        <v>17798</v>
      </c>
      <c r="H18833" t="s">
        <v>39480</v>
      </c>
    </row>
    <row r="18834" spans="1:8">
      <c r="H18834" t="s">
        <v>39481</v>
      </c>
    </row>
    <row r="18835" spans="1:8">
      <c r="H18835" t="s">
        <v>39482</v>
      </c>
    </row>
    <row r="18836" spans="1:8">
      <c r="H18836" t="s">
        <v>39483</v>
      </c>
    </row>
    <row r="18837" spans="1:8">
      <c r="H18837" t="s">
        <v>39484</v>
      </c>
    </row>
    <row r="18838" spans="1:8">
      <c r="H18838" t="s">
        <v>39485</v>
      </c>
    </row>
    <row r="18839" spans="1:8">
      <c r="H18839" t="s">
        <v>39486</v>
      </c>
    </row>
    <row r="18840" spans="1:8">
      <c r="H18840" t="s">
        <v>39487</v>
      </c>
    </row>
    <row r="18841" spans="1:8">
      <c r="H18841" t="s">
        <v>39488</v>
      </c>
    </row>
    <row r="18842" spans="1:8">
      <c r="H18842" t="s">
        <v>39489</v>
      </c>
    </row>
    <row r="18843" spans="1:8">
      <c r="H18843" t="s">
        <v>39490</v>
      </c>
    </row>
    <row r="18844" spans="1:8">
      <c r="H18844" t="s">
        <v>39491</v>
      </c>
    </row>
    <row r="18845" spans="1:8">
      <c r="H18845" t="s">
        <v>39492</v>
      </c>
    </row>
    <row r="18846" spans="1:8">
      <c r="H18846" t="s">
        <v>39493</v>
      </c>
    </row>
    <row r="18847" spans="1:8">
      <c r="H18847" t="s">
        <v>39494</v>
      </c>
    </row>
    <row r="18848" spans="1:8">
      <c r="H18848" t="s">
        <v>39495</v>
      </c>
    </row>
    <row r="18849" spans="1:8">
      <c r="H18849" t="s">
        <v>39496</v>
      </c>
    </row>
    <row r="18850" spans="1:8">
      <c r="H18850" t="s">
        <v>39497</v>
      </c>
    </row>
    <row r="18851" spans="1:8">
      <c r="H18851" t="s">
        <v>39498</v>
      </c>
    </row>
    <row r="18852" spans="1:8">
      <c r="H18852" t="s">
        <v>39499</v>
      </c>
    </row>
    <row r="18853" spans="1:8">
      <c r="H18853" t="s">
        <v>39500</v>
      </c>
    </row>
    <row r="18854" spans="1:8">
      <c r="H18854" t="s">
        <v>39501</v>
      </c>
    </row>
    <row r="18855" spans="1:8">
      <c r="H18855" t="s">
        <v>39502</v>
      </c>
    </row>
    <row r="18856" spans="1:8">
      <c r="H18856" t="s">
        <v>39503</v>
      </c>
    </row>
    <row r="18857" spans="1:8">
      <c r="A18857" t="s">
        <v>4814</v>
      </c>
      <c r="B18857">
        <f>HYPERLINK("https://android.googlesource.com/platform/cts/+/a7a959f780cfad1a516ae4e586eb65545d873c09", "a7a959f780cfad1a516ae4e586eb65545d873c09")</f>
        <v>0</v>
      </c>
      <c r="C18857">
        <f>HYPERLINK("https://android.googlesource.com/platform/cts/+/0af934d8b036620e2df481bf181fcb3228f6d1d9", "0af934d8b036620e2df481bf181fcb3228f6d1d9")</f>
        <v>0</v>
      </c>
      <c r="D18857" t="s">
        <v>5766</v>
      </c>
      <c r="E18857" t="s">
        <v>10471</v>
      </c>
      <c r="F18857" t="s">
        <v>14902</v>
      </c>
      <c r="G18857" t="s">
        <v>18549</v>
      </c>
      <c r="H18857" t="s">
        <v>39538</v>
      </c>
    </row>
    <row r="18858" spans="1:8">
      <c r="A18858" t="s">
        <v>4816</v>
      </c>
      <c r="B18858">
        <f>HYPERLINK("https://android.googlesource.com/platform/cts/+/941802f090caaed5f8e133ba5592c472a36262b5", "941802f090caaed5f8e133ba5592c472a36262b5")</f>
        <v>0</v>
      </c>
      <c r="C18858">
        <f>HYPERLINK("https://android.googlesource.com/platform/cts/+/509570b209623133796ee7818110816a95895d31", "509570b209623133796ee7818110816a95895d31")</f>
        <v>0</v>
      </c>
      <c r="D18858" t="s">
        <v>5778</v>
      </c>
      <c r="E18858" t="s">
        <v>10473</v>
      </c>
      <c r="F18858" t="s">
        <v>12618</v>
      </c>
      <c r="G18858" t="s">
        <v>16828</v>
      </c>
      <c r="H18858" t="s">
        <v>39539</v>
      </c>
    </row>
    <row r="18859" spans="1:8">
      <c r="A18859" t="s">
        <v>4817</v>
      </c>
      <c r="B18859">
        <f>HYPERLINK("https://android.googlesource.com/platform/cts/+/17c590b92beacd1b50fbe8d571e003003c819c52", "17c590b92beacd1b50fbe8d571e003003c819c52")</f>
        <v>0</v>
      </c>
      <c r="C18859">
        <f>HYPERLINK("https://android.googlesource.com/platform/cts/+/37452f5883d928446f949121374200820eb9e73d", "37452f5883d928446f949121374200820eb9e73d")</f>
        <v>0</v>
      </c>
      <c r="D18859" t="s">
        <v>5368</v>
      </c>
      <c r="E18859" t="s">
        <v>10474</v>
      </c>
      <c r="F18859" t="s">
        <v>14903</v>
      </c>
      <c r="G18859" t="s">
        <v>18743</v>
      </c>
      <c r="H18859" t="s">
        <v>39540</v>
      </c>
    </row>
    <row r="18860" spans="1:8">
      <c r="A18860" t="s">
        <v>4825</v>
      </c>
      <c r="B18860">
        <f>HYPERLINK("https://android.googlesource.com/platform/cts/+/06c709dddef8f5d21eff0a83117ab04a4be93aa0", "06c709dddef8f5d21eff0a83117ab04a4be93aa0")</f>
        <v>0</v>
      </c>
      <c r="C18860">
        <f>HYPERLINK("https://android.googlesource.com/platform/cts/+/83cc2c57e618247d676f1922a859888cadb2fcf5", "83cc2c57e618247d676f1922a859888cadb2fcf5")</f>
        <v>0</v>
      </c>
      <c r="D18860" t="s">
        <v>5753</v>
      </c>
      <c r="E18860" t="s">
        <v>10482</v>
      </c>
      <c r="F18860" t="s">
        <v>14892</v>
      </c>
      <c r="G18860" t="s">
        <v>16415</v>
      </c>
      <c r="H18860" t="s">
        <v>39559</v>
      </c>
    </row>
    <row r="18861" spans="1:8">
      <c r="H18861" t="s">
        <v>39563</v>
      </c>
    </row>
    <row r="18862" spans="1:8">
      <c r="H18862" t="s">
        <v>37259</v>
      </c>
    </row>
    <row r="18863" spans="1:8">
      <c r="H18863" t="s">
        <v>37260</v>
      </c>
    </row>
    <row r="18864" spans="1:8">
      <c r="H18864" t="s">
        <v>37261</v>
      </c>
    </row>
    <row r="18865" spans="1:8">
      <c r="A18865" t="s">
        <v>4826</v>
      </c>
      <c r="B18865">
        <f>HYPERLINK("https://android.googlesource.com/platform/cts/+/bb16c6856ab5b87c1292c01b70fffc158c515b72", "bb16c6856ab5b87c1292c01b70fffc158c515b72")</f>
        <v>0</v>
      </c>
      <c r="C18865">
        <f>HYPERLINK("https://android.googlesource.com/platform/cts/+/b9e4899889af5e08aba23c06506a5d14ef73c816", "b9e4899889af5e08aba23c06506a5d14ef73c816")</f>
        <v>0</v>
      </c>
      <c r="D18865" t="s">
        <v>5779</v>
      </c>
      <c r="E18865" t="s">
        <v>10483</v>
      </c>
      <c r="F18865" t="s">
        <v>14904</v>
      </c>
      <c r="G18865" t="s">
        <v>18744</v>
      </c>
      <c r="H18865" t="s">
        <v>39567</v>
      </c>
    </row>
    <row r="18866" spans="1:8">
      <c r="A18866" t="s">
        <v>4830</v>
      </c>
      <c r="B18866">
        <f>HYPERLINK("https://android.googlesource.com/platform/cts/+/1b5565481792cec88afc0cc62b9e042b1b533ec3", "1b5565481792cec88afc0cc62b9e042b1b533ec3")</f>
        <v>0</v>
      </c>
      <c r="C18866">
        <f>HYPERLINK("https://android.googlesource.com/platform/cts/+/f0ba81a3e629921a2286c25f35c3efa3124f762c", "f0ba81a3e629921a2286c25f35c3efa3124f762c")</f>
        <v>0</v>
      </c>
      <c r="D18866" t="s">
        <v>5564</v>
      </c>
      <c r="E18866" t="s">
        <v>10487</v>
      </c>
      <c r="F18866" t="s">
        <v>14905</v>
      </c>
      <c r="G18866" t="s">
        <v>18745</v>
      </c>
      <c r="H18866" t="s">
        <v>39541</v>
      </c>
    </row>
    <row r="18867" spans="1:8">
      <c r="H18867" t="s">
        <v>39542</v>
      </c>
    </row>
    <row r="18868" spans="1:8">
      <c r="H18868" t="s">
        <v>39543</v>
      </c>
    </row>
    <row r="18869" spans="1:8">
      <c r="H18869" t="s">
        <v>39544</v>
      </c>
    </row>
    <row r="18870" spans="1:8">
      <c r="H18870" t="s">
        <v>39545</v>
      </c>
    </row>
    <row r="18871" spans="1:8">
      <c r="H18871" t="s">
        <v>39551</v>
      </c>
    </row>
    <row r="18872" spans="1:8">
      <c r="H18872" t="s">
        <v>39552</v>
      </c>
    </row>
    <row r="18873" spans="1:8">
      <c r="H18873" t="s">
        <v>39553</v>
      </c>
    </row>
    <row r="18874" spans="1:8">
      <c r="H18874" t="s">
        <v>39554</v>
      </c>
    </row>
    <row r="18875" spans="1:8">
      <c r="H18875" t="s">
        <v>39555</v>
      </c>
    </row>
    <row r="18876" spans="1:8">
      <c r="A18876" t="s">
        <v>4831</v>
      </c>
      <c r="B18876">
        <f>HYPERLINK("https://android.googlesource.com/platform/cts/+/21df2b7e1a5b338dc0de421a09cd6c462ad76ac5", "21df2b7e1a5b338dc0de421a09cd6c462ad76ac5")</f>
        <v>0</v>
      </c>
      <c r="C18876">
        <f>HYPERLINK("https://android.googlesource.com/platform/cts/+/c8a8d5e01103bcdd2e675a02c5b2c56644bfbc85", "c8a8d5e01103bcdd2e675a02c5b2c56644bfbc85")</f>
        <v>0</v>
      </c>
      <c r="D18876" t="s">
        <v>5564</v>
      </c>
      <c r="E18876" t="s">
        <v>10488</v>
      </c>
      <c r="F18876" t="s">
        <v>14906</v>
      </c>
      <c r="G18876" t="s">
        <v>18746</v>
      </c>
      <c r="H18876" t="s">
        <v>39571</v>
      </c>
    </row>
    <row r="18877" spans="1:8">
      <c r="A18877" t="s">
        <v>4833</v>
      </c>
      <c r="B18877">
        <f>HYPERLINK("https://android.googlesource.com/platform/cts/+/ab9c6ce3df5f7aa4865f6f6835ff2a32a36d734f", "ab9c6ce3df5f7aa4865f6f6835ff2a32a36d734f")</f>
        <v>0</v>
      </c>
      <c r="C18877">
        <f>HYPERLINK("https://android.googlesource.com/platform/cts/+/03a52d7ec45303cc44889a6bd3201ae0b34c6b79", "03a52d7ec45303cc44889a6bd3201ae0b34c6b79")</f>
        <v>0</v>
      </c>
      <c r="D18877" t="s">
        <v>5781</v>
      </c>
      <c r="E18877" t="s">
        <v>10490</v>
      </c>
      <c r="F18877" t="s">
        <v>14909</v>
      </c>
      <c r="G18877" t="s">
        <v>18748</v>
      </c>
      <c r="H18877" t="s">
        <v>39580</v>
      </c>
    </row>
    <row r="18878" spans="1:8">
      <c r="H18878" t="s">
        <v>39581</v>
      </c>
    </row>
    <row r="18879" spans="1:8">
      <c r="A18879" t="s">
        <v>4844</v>
      </c>
      <c r="B18879">
        <f>HYPERLINK("https://android.googlesource.com/platform/cts/+/2b0be2ff69b93ec81830a17733cd2cf25aea7468", "2b0be2ff69b93ec81830a17733cd2cf25aea7468")</f>
        <v>0</v>
      </c>
      <c r="C18879">
        <f>HYPERLINK("https://android.googlesource.com/platform/cts/+/ebe211e9a280b5594d7f7a292f8077aa580f2ceb", "ebe211e9a280b5594d7f7a292f8077aa580f2ceb")</f>
        <v>0</v>
      </c>
      <c r="D18879" t="s">
        <v>5784</v>
      </c>
      <c r="E18879" t="s">
        <v>10501</v>
      </c>
      <c r="F18879" t="s">
        <v>14379</v>
      </c>
      <c r="G18879" t="s">
        <v>18323</v>
      </c>
      <c r="H18879" t="s">
        <v>39593</v>
      </c>
    </row>
    <row r="18880" spans="1:8">
      <c r="A18880" t="s">
        <v>4849</v>
      </c>
      <c r="B18880">
        <f>HYPERLINK("https://android.googlesource.com/platform/cts/+/185d45a7784406393b1522c1231521b97eaf9ef6", "185d45a7784406393b1522c1231521b97eaf9ef6")</f>
        <v>0</v>
      </c>
      <c r="C18880">
        <f>HYPERLINK("https://android.googlesource.com/platform/cts/+/b46b1248d41e62f41f4206468ca0518ddae01af9", "b46b1248d41e62f41f4206468ca0518ddae01af9")</f>
        <v>0</v>
      </c>
      <c r="D18880" t="s">
        <v>5096</v>
      </c>
      <c r="E18880" t="s">
        <v>10506</v>
      </c>
      <c r="F18880" t="s">
        <v>14695</v>
      </c>
      <c r="G18880" t="s">
        <v>18585</v>
      </c>
      <c r="H18880" t="s">
        <v>39596</v>
      </c>
    </row>
    <row r="18881" spans="6:8">
      <c r="H18881" t="s">
        <v>39597</v>
      </c>
    </row>
    <row r="18882" spans="6:8">
      <c r="H18882" t="s">
        <v>39598</v>
      </c>
    </row>
    <row r="18883" spans="6:8">
      <c r="H18883" t="s">
        <v>39599</v>
      </c>
    </row>
    <row r="18884" spans="6:8">
      <c r="H18884" t="s">
        <v>39600</v>
      </c>
    </row>
    <row r="18885" spans="6:8">
      <c r="H18885" t="s">
        <v>39601</v>
      </c>
    </row>
    <row r="18886" spans="6:8">
      <c r="H18886" t="s">
        <v>39602</v>
      </c>
    </row>
    <row r="18887" spans="6:8">
      <c r="H18887" t="s">
        <v>39603</v>
      </c>
    </row>
    <row r="18888" spans="6:8">
      <c r="H18888" t="s">
        <v>39604</v>
      </c>
    </row>
    <row r="18889" spans="6:8">
      <c r="H18889" t="s">
        <v>39605</v>
      </c>
    </row>
    <row r="18890" spans="6:8">
      <c r="H18890" t="s">
        <v>39606</v>
      </c>
    </row>
    <row r="18891" spans="6:8">
      <c r="H18891" t="s">
        <v>39607</v>
      </c>
    </row>
    <row r="18892" spans="6:8">
      <c r="H18892" t="s">
        <v>39608</v>
      </c>
    </row>
    <row r="18893" spans="6:8">
      <c r="H18893" t="s">
        <v>39609</v>
      </c>
    </row>
    <row r="18894" spans="6:8">
      <c r="H18894" t="s">
        <v>39610</v>
      </c>
    </row>
    <row r="18895" spans="6:8">
      <c r="F18895" t="s">
        <v>14915</v>
      </c>
      <c r="G18895" t="s">
        <v>18754</v>
      </c>
      <c r="H18895" t="s">
        <v>26807</v>
      </c>
    </row>
    <row r="18896" spans="6:8">
      <c r="H18896" t="s">
        <v>35050</v>
      </c>
    </row>
    <row r="18897" spans="1:8">
      <c r="A18897" t="s">
        <v>4851</v>
      </c>
      <c r="B18897">
        <f>HYPERLINK("https://android.googlesource.com/platform/cts/+/752cb7b2874195c9997eab3cb6797b2664a7073b", "752cb7b2874195c9997eab3cb6797b2664a7073b")</f>
        <v>0</v>
      </c>
      <c r="C18897">
        <f>HYPERLINK("https://android.googlesource.com/platform/cts/+/e9b482e3505c00147ce6ac53ce8fdc196c53d91b", "e9b482e3505c00147ce6ac53ce8fdc196c53d91b")</f>
        <v>0</v>
      </c>
      <c r="D18897" t="s">
        <v>5781</v>
      </c>
      <c r="E18897" t="s">
        <v>10508</v>
      </c>
      <c r="F18897" t="s">
        <v>14909</v>
      </c>
      <c r="G18897" t="s">
        <v>18748</v>
      </c>
      <c r="H18897" t="s">
        <v>39580</v>
      </c>
    </row>
    <row r="18898" spans="1:8">
      <c r="A18898" t="s">
        <v>4852</v>
      </c>
      <c r="B18898">
        <f>HYPERLINK("https://android.googlesource.com/platform/cts/+/eadd9425a182a586dfba43c7600c54134bf1e1f7", "eadd9425a182a586dfba43c7600c54134bf1e1f7")</f>
        <v>0</v>
      </c>
      <c r="C18898">
        <f>HYPERLINK("https://android.googlesource.com/platform/cts/+/591bf009797df5b28efd75a3b9dd5b71b19787fc", "591bf009797df5b28efd75a3b9dd5b71b19787fc")</f>
        <v>0</v>
      </c>
      <c r="D18898" t="s">
        <v>5454</v>
      </c>
      <c r="E18898" t="s">
        <v>10509</v>
      </c>
      <c r="F18898" t="s">
        <v>14261</v>
      </c>
      <c r="G18898" t="s">
        <v>18228</v>
      </c>
      <c r="H18898" t="s">
        <v>39624</v>
      </c>
    </row>
    <row r="18899" spans="1:8">
      <c r="A18899" t="s">
        <v>4857</v>
      </c>
      <c r="B18899">
        <f>HYPERLINK("https://android.googlesource.com/platform/cts/+/aa24dbbc34a6303309633d26cbdd8a4c15cda538", "aa24dbbc34a6303309633d26cbdd8a4c15cda538")</f>
        <v>0</v>
      </c>
      <c r="C18899">
        <f>HYPERLINK("https://android.googlesource.com/platform/cts/+/dae05fd867e0b5f82a1d514a89f34ef1a6ca9f25", "dae05fd867e0b5f82a1d514a89f34ef1a6ca9f25")</f>
        <v>0</v>
      </c>
      <c r="D18899" t="s">
        <v>5754</v>
      </c>
      <c r="E18899" t="s">
        <v>10513</v>
      </c>
      <c r="F18899" t="s">
        <v>14829</v>
      </c>
      <c r="G18899" t="s">
        <v>18691</v>
      </c>
      <c r="H18899" t="s">
        <v>39628</v>
      </c>
    </row>
    <row r="18900" spans="1:8">
      <c r="A18900" t="s">
        <v>4861</v>
      </c>
      <c r="B18900">
        <f>HYPERLINK("https://android.googlesource.com/platform/cts/+/ffffeb23be8f113263650fcffed6d30e163ef122", "ffffeb23be8f113263650fcffed6d30e163ef122")</f>
        <v>0</v>
      </c>
      <c r="C18900">
        <f>HYPERLINK("https://android.googlesource.com/platform/cts/+/af39c40ee5199c1eeb3dd94fcdb727d4ce2fcf45", "af39c40ee5199c1eeb3dd94fcdb727d4ce2fcf45")</f>
        <v>0</v>
      </c>
      <c r="D18900" t="s">
        <v>5787</v>
      </c>
      <c r="E18900" t="s">
        <v>10517</v>
      </c>
      <c r="F18900" t="s">
        <v>14917</v>
      </c>
      <c r="G18900" t="s">
        <v>17433</v>
      </c>
      <c r="H18900" t="s">
        <v>39631</v>
      </c>
    </row>
    <row r="18901" spans="1:8">
      <c r="A18901" t="s">
        <v>4863</v>
      </c>
      <c r="B18901">
        <f>HYPERLINK("https://android.googlesource.com/platform/cts/+/553f235d852e023722ea87ded7667bfb662ff1d0", "553f235d852e023722ea87ded7667bfb662ff1d0")</f>
        <v>0</v>
      </c>
      <c r="C18901">
        <f>HYPERLINK("https://android.googlesource.com/platform/cts/+/beb3bb71fbab2fcce5c61a59bf191e88afe9434f", "beb3bb71fbab2fcce5c61a59bf191e88afe9434f")</f>
        <v>0</v>
      </c>
      <c r="D18901" t="s">
        <v>5788</v>
      </c>
      <c r="E18901" t="s">
        <v>10519</v>
      </c>
      <c r="F18901" t="s">
        <v>14918</v>
      </c>
      <c r="G18901" t="s">
        <v>18756</v>
      </c>
      <c r="H18901" t="s">
        <v>39634</v>
      </c>
    </row>
    <row r="18902" spans="1:8">
      <c r="A18902" t="s">
        <v>4864</v>
      </c>
      <c r="B18902">
        <f>HYPERLINK("https://android.googlesource.com/platform/cts/+/63d186ca77805675f77c1dfe9c962b16a8aa48f7", "63d186ca77805675f77c1dfe9c962b16a8aa48f7")</f>
        <v>0</v>
      </c>
      <c r="C18902">
        <f>HYPERLINK("https://android.googlesource.com/platform/cts/+/cd258637b1be3230174e0a52044898ff7ab0aa1a", "cd258637b1be3230174e0a52044898ff7ab0aa1a")</f>
        <v>0</v>
      </c>
      <c r="D18902" t="s">
        <v>5584</v>
      </c>
      <c r="E18902" t="s">
        <v>10520</v>
      </c>
      <c r="F18902" t="s">
        <v>14758</v>
      </c>
      <c r="G18902" t="s">
        <v>18634</v>
      </c>
      <c r="H18902" t="s">
        <v>39635</v>
      </c>
    </row>
    <row r="18903" spans="1:8">
      <c r="A18903" t="s">
        <v>4865</v>
      </c>
      <c r="B18903">
        <f>HYPERLINK("https://android.googlesource.com/platform/cts/+/4a23b0199cb0f34499905f60461dc836d2a49cce", "4a23b0199cb0f34499905f60461dc836d2a49cce")</f>
        <v>0</v>
      </c>
      <c r="C18903">
        <f>HYPERLINK("https://android.googlesource.com/platform/cts/+/7146a3d61add08da111df4d408f399bcbbb4b1d2", "7146a3d61add08da111df4d408f399bcbbb4b1d2")</f>
        <v>0</v>
      </c>
      <c r="D18903" t="s">
        <v>5789</v>
      </c>
      <c r="E18903" t="s">
        <v>10521</v>
      </c>
      <c r="F18903" t="s">
        <v>14921</v>
      </c>
      <c r="G18903" t="s">
        <v>16935</v>
      </c>
      <c r="H18903" t="s">
        <v>30571</v>
      </c>
    </row>
    <row r="18904" spans="1:8">
      <c r="F18904" t="s">
        <v>14922</v>
      </c>
      <c r="G18904" t="s">
        <v>17370</v>
      </c>
      <c r="H18904" t="s">
        <v>30571</v>
      </c>
    </row>
    <row r="18905" spans="1:8">
      <c r="A18905" t="s">
        <v>4869</v>
      </c>
      <c r="B18905">
        <f>HYPERLINK("https://android.googlesource.com/platform/cts/+/2bdf737a3f697e394d5a5ee53c17180ac4d81ca5", "2bdf737a3f697e394d5a5ee53c17180ac4d81ca5")</f>
        <v>0</v>
      </c>
      <c r="C18905">
        <f>HYPERLINK("https://android.googlesource.com/platform/cts/+/12d861ce749ea2c78e7fbe3c9db756d04a1e0ae7", "12d861ce749ea2c78e7fbe3c9db756d04a1e0ae7")</f>
        <v>0</v>
      </c>
      <c r="D18905" t="s">
        <v>5635</v>
      </c>
      <c r="E18905" t="s">
        <v>10525</v>
      </c>
      <c r="F18905" t="s">
        <v>13990</v>
      </c>
      <c r="G18905" t="s">
        <v>18009</v>
      </c>
      <c r="H18905" t="s">
        <v>39668</v>
      </c>
    </row>
    <row r="18906" spans="1:8">
      <c r="H18906" t="s">
        <v>39669</v>
      </c>
    </row>
    <row r="18907" spans="1:8">
      <c r="A18907" t="s">
        <v>4872</v>
      </c>
      <c r="B18907">
        <f>HYPERLINK("https://android.googlesource.com/platform/cts/+/1975fdffb112c8e074f9cc2fa0cac6521d237f7f", "1975fdffb112c8e074f9cc2fa0cac6521d237f7f")</f>
        <v>0</v>
      </c>
      <c r="C18907">
        <f>HYPERLINK("https://android.googlesource.com/platform/cts/+/212b209bcbce8ab012d1734f283de74850a5ad9d", "212b209bcbce8ab012d1734f283de74850a5ad9d")</f>
        <v>0</v>
      </c>
      <c r="D18907" t="s">
        <v>5794</v>
      </c>
      <c r="E18907" t="s">
        <v>10528</v>
      </c>
      <c r="F18907" t="s">
        <v>14813</v>
      </c>
      <c r="G18907" t="s">
        <v>18677</v>
      </c>
      <c r="H18907" t="s">
        <v>39673</v>
      </c>
    </row>
    <row r="18908" spans="1:8">
      <c r="H18908" t="s">
        <v>39674</v>
      </c>
    </row>
    <row r="18909" spans="1:8">
      <c r="H18909" t="s">
        <v>39675</v>
      </c>
    </row>
    <row r="18910" spans="1:8">
      <c r="H18910" t="s">
        <v>39014</v>
      </c>
    </row>
    <row r="18911" spans="1:8">
      <c r="H18911" t="s">
        <v>39676</v>
      </c>
    </row>
    <row r="18912" spans="1:8">
      <c r="H18912" t="s">
        <v>39677</v>
      </c>
    </row>
    <row r="18913" spans="1:8">
      <c r="F18913" t="s">
        <v>14924</v>
      </c>
      <c r="G18913" t="s">
        <v>18758</v>
      </c>
      <c r="H18913" t="s">
        <v>39680</v>
      </c>
    </row>
    <row r="18914" spans="1:8">
      <c r="F18914" t="s">
        <v>14925</v>
      </c>
      <c r="G18914" t="s">
        <v>18759</v>
      </c>
      <c r="H18914" t="s">
        <v>39681</v>
      </c>
    </row>
    <row r="18915" spans="1:8">
      <c r="F18915" t="s">
        <v>14926</v>
      </c>
      <c r="G18915" t="s">
        <v>18760</v>
      </c>
      <c r="H18915" t="s">
        <v>39682</v>
      </c>
    </row>
    <row r="18916" spans="1:8">
      <c r="A18916" t="s">
        <v>4876</v>
      </c>
      <c r="B18916">
        <f>HYPERLINK("https://android.googlesource.com/platform/cts/+/59692afee25bb600ce2c1825ab8b87cde232d314", "59692afee25bb600ce2c1825ab8b87cde232d314")</f>
        <v>0</v>
      </c>
      <c r="C18916">
        <f>HYPERLINK("https://android.googlesource.com/platform/cts/+/4b57f8d6f02f05585c414285308144f52286a239", "4b57f8d6f02f05585c414285308144f52286a239")</f>
        <v>0</v>
      </c>
      <c r="D18916" t="s">
        <v>5795</v>
      </c>
      <c r="E18916" t="s">
        <v>10532</v>
      </c>
      <c r="F18916" t="s">
        <v>14927</v>
      </c>
      <c r="G18916" t="s">
        <v>18761</v>
      </c>
      <c r="H18916" t="s">
        <v>39712</v>
      </c>
    </row>
    <row r="18917" spans="1:8">
      <c r="H18917" t="s">
        <v>39713</v>
      </c>
    </row>
    <row r="18918" spans="1:8">
      <c r="H18918" t="s">
        <v>39714</v>
      </c>
    </row>
    <row r="18919" spans="1:8">
      <c r="A18919" t="s">
        <v>4877</v>
      </c>
      <c r="B18919">
        <f>HYPERLINK("https://android.googlesource.com/platform/cts/+/794d1bc77887216cc065ec56a23c6ce5075f09c4", "794d1bc77887216cc065ec56a23c6ce5075f09c4")</f>
        <v>0</v>
      </c>
      <c r="C18919">
        <f>HYPERLINK("https://android.googlesource.com/platform/cts/+/412589a65c830025ca0eb25be1082b4bedbc2d44", "412589a65c830025ca0eb25be1082b4bedbc2d44")</f>
        <v>0</v>
      </c>
      <c r="D18919" t="s">
        <v>5794</v>
      </c>
      <c r="E18919" t="s">
        <v>10533</v>
      </c>
      <c r="F18919" t="s">
        <v>14813</v>
      </c>
      <c r="G18919" t="s">
        <v>18677</v>
      </c>
      <c r="H18919" t="s">
        <v>39673</v>
      </c>
    </row>
    <row r="18920" spans="1:8">
      <c r="H18920" t="s">
        <v>39674</v>
      </c>
    </row>
    <row r="18921" spans="1:8">
      <c r="H18921" t="s">
        <v>39675</v>
      </c>
    </row>
    <row r="18922" spans="1:8">
      <c r="H18922" t="s">
        <v>39014</v>
      </c>
    </row>
    <row r="18923" spans="1:8">
      <c r="H18923" t="s">
        <v>39676</v>
      </c>
    </row>
    <row r="18924" spans="1:8">
      <c r="H18924" t="s">
        <v>39677</v>
      </c>
    </row>
    <row r="18925" spans="1:8">
      <c r="F18925" t="s">
        <v>14924</v>
      </c>
      <c r="G18925" t="s">
        <v>18758</v>
      </c>
      <c r="H18925" t="s">
        <v>39680</v>
      </c>
    </row>
    <row r="18926" spans="1:8">
      <c r="F18926" t="s">
        <v>14925</v>
      </c>
      <c r="G18926" t="s">
        <v>18759</v>
      </c>
      <c r="H18926" t="s">
        <v>39681</v>
      </c>
    </row>
    <row r="18927" spans="1:8">
      <c r="F18927" t="s">
        <v>14926</v>
      </c>
      <c r="G18927" t="s">
        <v>18760</v>
      </c>
      <c r="H18927" t="s">
        <v>39682</v>
      </c>
    </row>
    <row r="18928" spans="1:8">
      <c r="A18928" t="s">
        <v>4887</v>
      </c>
      <c r="B18928">
        <f>HYPERLINK("https://android.googlesource.com/platform/cts/+/211641656c26ea9576a5bb3c5a7ce4a6fd0a44e4", "211641656c26ea9576a5bb3c5a7ce4a6fd0a44e4")</f>
        <v>0</v>
      </c>
      <c r="C18928">
        <f>HYPERLINK("https://android.googlesource.com/platform/cts/+/381b557779fcecce0d7ce5e20a1c25ba093985bb", "381b557779fcecce0d7ce5e20a1c25ba093985bb")</f>
        <v>0</v>
      </c>
      <c r="D18928" t="s">
        <v>5796</v>
      </c>
      <c r="E18928" t="s">
        <v>10543</v>
      </c>
      <c r="F18928" t="s">
        <v>12817</v>
      </c>
      <c r="G18928" t="s">
        <v>16629</v>
      </c>
      <c r="H18928" t="s">
        <v>39724</v>
      </c>
    </row>
    <row r="18929" spans="1:8">
      <c r="H18929" t="s">
        <v>39725</v>
      </c>
    </row>
    <row r="18930" spans="1:8">
      <c r="A18930" t="s">
        <v>4888</v>
      </c>
      <c r="B18930">
        <f>HYPERLINK("https://android.googlesource.com/platform/cts/+/fc8ea55042eb95f116b5be31d7cfb6cf0d19f0fa", "fc8ea55042eb95f116b5be31d7cfb6cf0d19f0fa")</f>
        <v>0</v>
      </c>
      <c r="C18930">
        <f>HYPERLINK("https://android.googlesource.com/platform/cts/+/ad15d78d2462c8f3423cf6a34c929ab013215998", "ad15d78d2462c8f3423cf6a34c929ab013215998")</f>
        <v>0</v>
      </c>
      <c r="D18930" t="s">
        <v>5615</v>
      </c>
      <c r="E18930" t="s">
        <v>10544</v>
      </c>
      <c r="F18930" t="s">
        <v>14933</v>
      </c>
      <c r="G18930" t="s">
        <v>18766</v>
      </c>
      <c r="H18930" t="s">
        <v>39726</v>
      </c>
    </row>
    <row r="18931" spans="1:8">
      <c r="H18931" t="s">
        <v>39727</v>
      </c>
    </row>
    <row r="18932" spans="1:8">
      <c r="F18932" t="s">
        <v>13227</v>
      </c>
      <c r="G18932" t="s">
        <v>17368</v>
      </c>
      <c r="H18932" t="s">
        <v>39728</v>
      </c>
    </row>
    <row r="18933" spans="1:8">
      <c r="A18933" t="s">
        <v>4891</v>
      </c>
      <c r="B18933">
        <f>HYPERLINK("https://android.googlesource.com/platform/cts/+/443d2001aaeaae28a293b79e6260b98c88e3da17", "443d2001aaeaae28a293b79e6260b98c88e3da17")</f>
        <v>0</v>
      </c>
      <c r="C18933">
        <f>HYPERLINK("https://android.googlesource.com/platform/cts/+/86682abf2a60b5878cf3e7e1263dc77ab1145057", "86682abf2a60b5878cf3e7e1263dc77ab1145057")</f>
        <v>0</v>
      </c>
      <c r="D18933" t="s">
        <v>5660</v>
      </c>
      <c r="E18933" t="s">
        <v>10547</v>
      </c>
      <c r="F18933" t="s">
        <v>14935</v>
      </c>
      <c r="G18933" t="s">
        <v>18767</v>
      </c>
      <c r="H18933" t="s">
        <v>39731</v>
      </c>
    </row>
    <row r="18934" spans="1:8">
      <c r="F18934" t="s">
        <v>14936</v>
      </c>
      <c r="G18934" t="s">
        <v>18768</v>
      </c>
      <c r="H18934" t="s">
        <v>39731</v>
      </c>
    </row>
    <row r="18935" spans="1:8">
      <c r="F18935" t="s">
        <v>14937</v>
      </c>
      <c r="G18935" t="s">
        <v>18769</v>
      </c>
      <c r="H18935" t="s">
        <v>39733</v>
      </c>
    </row>
    <row r="18936" spans="1:8">
      <c r="F18936" t="s">
        <v>14748</v>
      </c>
      <c r="G18936" t="s">
        <v>18624</v>
      </c>
      <c r="H18936" t="s">
        <v>39731</v>
      </c>
    </row>
    <row r="18937" spans="1:8">
      <c r="F18937" t="s">
        <v>14938</v>
      </c>
      <c r="G18937" t="s">
        <v>18770</v>
      </c>
      <c r="H18937" t="s">
        <v>39731</v>
      </c>
    </row>
    <row r="18938" spans="1:8">
      <c r="F18938" t="s">
        <v>14939</v>
      </c>
      <c r="G18938" t="s">
        <v>18771</v>
      </c>
      <c r="H18938" t="s">
        <v>39731</v>
      </c>
    </row>
    <row r="18939" spans="1:8">
      <c r="F18939" t="s">
        <v>14940</v>
      </c>
      <c r="G18939" t="s">
        <v>18772</v>
      </c>
      <c r="H18939" t="s">
        <v>39731</v>
      </c>
    </row>
    <row r="18940" spans="1:8">
      <c r="F18940" t="s">
        <v>14941</v>
      </c>
      <c r="G18940" t="s">
        <v>18773</v>
      </c>
      <c r="H18940" t="s">
        <v>39731</v>
      </c>
    </row>
    <row r="18941" spans="1:8">
      <c r="F18941" t="s">
        <v>14825</v>
      </c>
      <c r="G18941" t="s">
        <v>18687</v>
      </c>
      <c r="H18941" t="s">
        <v>39731</v>
      </c>
    </row>
    <row r="18942" spans="1:8">
      <c r="F18942" t="s">
        <v>14876</v>
      </c>
      <c r="G18942" t="s">
        <v>18726</v>
      </c>
      <c r="H18942" t="s">
        <v>39733</v>
      </c>
    </row>
    <row r="18943" spans="1:8">
      <c r="F18943" t="s">
        <v>14942</v>
      </c>
      <c r="G18943" t="s">
        <v>18774</v>
      </c>
      <c r="H18943" t="s">
        <v>39733</v>
      </c>
    </row>
    <row r="18944" spans="1:8">
      <c r="F18944" t="s">
        <v>14943</v>
      </c>
      <c r="G18944" t="s">
        <v>18775</v>
      </c>
      <c r="H18944" t="s">
        <v>39731</v>
      </c>
    </row>
    <row r="18945" spans="1:8">
      <c r="F18945" t="s">
        <v>14944</v>
      </c>
      <c r="G18945" t="s">
        <v>18776</v>
      </c>
      <c r="H18945" t="s">
        <v>39731</v>
      </c>
    </row>
    <row r="18946" spans="1:8">
      <c r="F18946" t="s">
        <v>14945</v>
      </c>
      <c r="G18946" t="s">
        <v>18777</v>
      </c>
      <c r="H18946" t="s">
        <v>39731</v>
      </c>
    </row>
    <row r="18947" spans="1:8">
      <c r="F18947" t="s">
        <v>14946</v>
      </c>
      <c r="G18947" t="s">
        <v>18778</v>
      </c>
      <c r="H18947" t="s">
        <v>39731</v>
      </c>
    </row>
    <row r="18948" spans="1:8">
      <c r="F18948" t="s">
        <v>14947</v>
      </c>
      <c r="G18948" t="s">
        <v>18779</v>
      </c>
      <c r="H18948" t="s">
        <v>39731</v>
      </c>
    </row>
    <row r="18949" spans="1:8">
      <c r="F18949" t="s">
        <v>14948</v>
      </c>
      <c r="G18949" t="s">
        <v>18780</v>
      </c>
      <c r="H18949" t="s">
        <v>39731</v>
      </c>
    </row>
    <row r="18950" spans="1:8">
      <c r="F18950" t="s">
        <v>14949</v>
      </c>
      <c r="G18950" t="s">
        <v>18781</v>
      </c>
      <c r="H18950" t="s">
        <v>39733</v>
      </c>
    </row>
    <row r="18951" spans="1:8">
      <c r="F18951" t="s">
        <v>14201</v>
      </c>
      <c r="G18951" t="s">
        <v>18180</v>
      </c>
      <c r="H18951" t="s">
        <v>39731</v>
      </c>
    </row>
    <row r="18952" spans="1:8">
      <c r="A18952" t="s">
        <v>4892</v>
      </c>
      <c r="B18952">
        <f>HYPERLINK("https://android.googlesource.com/platform/cts/+/cb7a8edc9b545489b8e7ebeb895d857e2b1a267a", "cb7a8edc9b545489b8e7ebeb895d857e2b1a267a")</f>
        <v>0</v>
      </c>
      <c r="C18952">
        <f>HYPERLINK("https://android.googlesource.com/platform/cts/+/790fc53c20a5e453fff550a5298e2414812bdb49", "790fc53c20a5e453fff550a5298e2414812bdb49")</f>
        <v>0</v>
      </c>
      <c r="D18952" t="s">
        <v>5363</v>
      </c>
      <c r="E18952" t="s">
        <v>10548</v>
      </c>
      <c r="F18952" t="s">
        <v>14731</v>
      </c>
      <c r="G18952" t="s">
        <v>18612</v>
      </c>
      <c r="H18952" t="s">
        <v>39734</v>
      </c>
    </row>
    <row r="18953" spans="1:8">
      <c r="A18953" t="s">
        <v>4893</v>
      </c>
      <c r="B18953">
        <f>HYPERLINK("https://android.googlesource.com/platform/cts/+/cb981c7dd66fdcd3b6f2cc96cc34301c5d356ed0", "cb981c7dd66fdcd3b6f2cc96cc34301c5d356ed0")</f>
        <v>0</v>
      </c>
      <c r="C18953">
        <f>HYPERLINK("https://android.googlesource.com/platform/cts/+/b36ba2beb82b0f27b69eddc0ce6b2d3224c06246", "b36ba2beb82b0f27b69eddc0ce6b2d3224c06246")</f>
        <v>0</v>
      </c>
      <c r="D18953" t="s">
        <v>5363</v>
      </c>
      <c r="E18953" t="s">
        <v>10549</v>
      </c>
      <c r="F18953" t="s">
        <v>14731</v>
      </c>
      <c r="G18953" t="s">
        <v>18612</v>
      </c>
      <c r="H18953" t="s">
        <v>39734</v>
      </c>
    </row>
    <row r="18954" spans="1:8">
      <c r="A18954" t="s">
        <v>4894</v>
      </c>
      <c r="B18954">
        <f>HYPERLINK("https://android.googlesource.com/platform/cts/+/09ecd6a4f7e7b3fbcfb59a1b298766ad41987ac1", "09ecd6a4f7e7b3fbcfb59a1b298766ad41987ac1")</f>
        <v>0</v>
      </c>
      <c r="C18954">
        <f>HYPERLINK("https://android.googlesource.com/platform/cts/+/09b17d13eba22d7d3b8fc00c7f6c83324367975e", "09b17d13eba22d7d3b8fc00c7f6c83324367975e")</f>
        <v>0</v>
      </c>
      <c r="D18954" t="s">
        <v>5363</v>
      </c>
      <c r="E18954" t="s">
        <v>10550</v>
      </c>
      <c r="F18954" t="s">
        <v>14731</v>
      </c>
      <c r="G18954" t="s">
        <v>18612</v>
      </c>
      <c r="H18954" t="s">
        <v>39734</v>
      </c>
    </row>
    <row r="18955" spans="1:8">
      <c r="A18955" t="s">
        <v>4897</v>
      </c>
      <c r="B18955">
        <f>HYPERLINK("https://android.googlesource.com/platform/cts/+/2ad3512b597be6caa2eb4f6f51585538e5b33e83", "2ad3512b597be6caa2eb4f6f51585538e5b33e83")</f>
        <v>0</v>
      </c>
      <c r="C18955">
        <f>HYPERLINK("https://android.googlesource.com/platform/cts/+/7d07155e53cbe455b79bce3ce8dd01ed043476c4", "7d07155e53cbe455b79bce3ce8dd01ed043476c4")</f>
        <v>0</v>
      </c>
      <c r="D18955" t="s">
        <v>5798</v>
      </c>
      <c r="E18955" t="s">
        <v>10553</v>
      </c>
      <c r="F18955" t="s">
        <v>14207</v>
      </c>
      <c r="G18955" t="s">
        <v>18183</v>
      </c>
      <c r="H18955" t="s">
        <v>35204</v>
      </c>
    </row>
    <row r="18956" spans="1:8">
      <c r="H18956" t="s">
        <v>39736</v>
      </c>
    </row>
    <row r="18957" spans="1:8">
      <c r="A18957" t="s">
        <v>4898</v>
      </c>
      <c r="B18957">
        <f>HYPERLINK("https://android.googlesource.com/platform/cts/+/6e7dcd0862e931cab542fb097bc567bfc40f840b", "6e7dcd0862e931cab542fb097bc567bfc40f840b")</f>
        <v>0</v>
      </c>
      <c r="C18957">
        <f>HYPERLINK("https://android.googlesource.com/platform/cts/+/3b3581ec4f3acff221129319abf35bd46520e037", "3b3581ec4f3acff221129319abf35bd46520e037")</f>
        <v>0</v>
      </c>
      <c r="D18957" t="s">
        <v>5793</v>
      </c>
      <c r="E18957" t="s">
        <v>10554</v>
      </c>
      <c r="F18957" t="s">
        <v>12782</v>
      </c>
      <c r="G18957" t="s">
        <v>16420</v>
      </c>
      <c r="H18957" t="s">
        <v>38798</v>
      </c>
    </row>
    <row r="18958" spans="1:8">
      <c r="H18958" t="s">
        <v>39737</v>
      </c>
    </row>
    <row r="18959" spans="1:8">
      <c r="H18959" t="s">
        <v>38799</v>
      </c>
    </row>
    <row r="18960" spans="1:8">
      <c r="H18960" t="s">
        <v>39738</v>
      </c>
    </row>
    <row r="18961" spans="8:8">
      <c r="H18961" t="s">
        <v>38800</v>
      </c>
    </row>
    <row r="18962" spans="8:8">
      <c r="H18962" t="s">
        <v>39739</v>
      </c>
    </row>
    <row r="18963" spans="8:8">
      <c r="H18963" t="s">
        <v>38801</v>
      </c>
    </row>
    <row r="18964" spans="8:8">
      <c r="H18964" t="s">
        <v>39740</v>
      </c>
    </row>
    <row r="18965" spans="8:8">
      <c r="H18965" t="s">
        <v>38802</v>
      </c>
    </row>
    <row r="18966" spans="8:8">
      <c r="H18966" t="s">
        <v>39741</v>
      </c>
    </row>
    <row r="18967" spans="8:8">
      <c r="H18967" t="s">
        <v>38803</v>
      </c>
    </row>
    <row r="18968" spans="8:8">
      <c r="H18968" t="s">
        <v>39742</v>
      </c>
    </row>
    <row r="18969" spans="8:8">
      <c r="H18969" t="s">
        <v>38804</v>
      </c>
    </row>
    <row r="18970" spans="8:8">
      <c r="H18970" t="s">
        <v>38805</v>
      </c>
    </row>
    <row r="18971" spans="8:8">
      <c r="H18971" t="s">
        <v>39743</v>
      </c>
    </row>
    <row r="18972" spans="8:8">
      <c r="H18972" t="s">
        <v>38806</v>
      </c>
    </row>
    <row r="18973" spans="8:8">
      <c r="H18973" t="s">
        <v>39744</v>
      </c>
    </row>
    <row r="18974" spans="8:8">
      <c r="H18974" t="s">
        <v>38807</v>
      </c>
    </row>
    <row r="18975" spans="8:8">
      <c r="H18975" t="s">
        <v>39745</v>
      </c>
    </row>
    <row r="18976" spans="8:8">
      <c r="H18976" t="s">
        <v>38808</v>
      </c>
    </row>
    <row r="18977" spans="8:8">
      <c r="H18977" t="s">
        <v>39746</v>
      </c>
    </row>
    <row r="18978" spans="8:8">
      <c r="H18978" t="s">
        <v>38809</v>
      </c>
    </row>
    <row r="18979" spans="8:8">
      <c r="H18979" t="s">
        <v>39747</v>
      </c>
    </row>
    <row r="18980" spans="8:8">
      <c r="H18980" t="s">
        <v>38810</v>
      </c>
    </row>
    <row r="18981" spans="8:8">
      <c r="H18981" t="s">
        <v>39748</v>
      </c>
    </row>
    <row r="18982" spans="8:8">
      <c r="H18982" t="s">
        <v>38811</v>
      </c>
    </row>
    <row r="18983" spans="8:8">
      <c r="H18983" t="s">
        <v>38812</v>
      </c>
    </row>
    <row r="18984" spans="8:8">
      <c r="H18984" t="s">
        <v>39749</v>
      </c>
    </row>
    <row r="18985" spans="8:8">
      <c r="H18985" t="s">
        <v>38813</v>
      </c>
    </row>
    <row r="18986" spans="8:8">
      <c r="H18986" t="s">
        <v>39750</v>
      </c>
    </row>
    <row r="18987" spans="8:8">
      <c r="H18987" t="s">
        <v>38814</v>
      </c>
    </row>
    <row r="18988" spans="8:8">
      <c r="H18988" t="s">
        <v>39751</v>
      </c>
    </row>
    <row r="18989" spans="8:8">
      <c r="H18989" t="s">
        <v>38815</v>
      </c>
    </row>
    <row r="18990" spans="8:8">
      <c r="H18990" t="s">
        <v>39752</v>
      </c>
    </row>
    <row r="18991" spans="8:8">
      <c r="H18991" t="s">
        <v>38816</v>
      </c>
    </row>
    <row r="18992" spans="8:8">
      <c r="H18992" t="s">
        <v>39753</v>
      </c>
    </row>
    <row r="18993" spans="8:8">
      <c r="H18993" t="s">
        <v>38817</v>
      </c>
    </row>
    <row r="18994" spans="8:8">
      <c r="H18994" t="s">
        <v>39754</v>
      </c>
    </row>
    <row r="18995" spans="8:8">
      <c r="H18995" t="s">
        <v>38818</v>
      </c>
    </row>
    <row r="18996" spans="8:8">
      <c r="H18996" t="s">
        <v>38819</v>
      </c>
    </row>
    <row r="18997" spans="8:8">
      <c r="H18997" t="s">
        <v>39755</v>
      </c>
    </row>
    <row r="18998" spans="8:8">
      <c r="H18998" t="s">
        <v>38820</v>
      </c>
    </row>
    <row r="18999" spans="8:8">
      <c r="H18999" t="s">
        <v>39756</v>
      </c>
    </row>
    <row r="19000" spans="8:8">
      <c r="H19000" t="s">
        <v>38821</v>
      </c>
    </row>
    <row r="19001" spans="8:8">
      <c r="H19001" t="s">
        <v>39757</v>
      </c>
    </row>
    <row r="19002" spans="8:8">
      <c r="H19002" t="s">
        <v>38822</v>
      </c>
    </row>
    <row r="19003" spans="8:8">
      <c r="H19003" t="s">
        <v>39758</v>
      </c>
    </row>
    <row r="19004" spans="8:8">
      <c r="H19004" t="s">
        <v>38823</v>
      </c>
    </row>
    <row r="19005" spans="8:8">
      <c r="H19005" t="s">
        <v>39759</v>
      </c>
    </row>
    <row r="19006" spans="8:8">
      <c r="H19006" t="s">
        <v>38824</v>
      </c>
    </row>
    <row r="19007" spans="8:8">
      <c r="H19007" t="s">
        <v>39760</v>
      </c>
    </row>
    <row r="19008" spans="8:8">
      <c r="H19008" t="s">
        <v>38825</v>
      </c>
    </row>
    <row r="19009" spans="8:8">
      <c r="H19009" t="s">
        <v>38826</v>
      </c>
    </row>
    <row r="19010" spans="8:8">
      <c r="H19010" t="s">
        <v>39761</v>
      </c>
    </row>
    <row r="19011" spans="8:8">
      <c r="H19011" t="s">
        <v>38827</v>
      </c>
    </row>
    <row r="19012" spans="8:8">
      <c r="H19012" t="s">
        <v>39762</v>
      </c>
    </row>
    <row r="19013" spans="8:8">
      <c r="H19013" t="s">
        <v>38828</v>
      </c>
    </row>
    <row r="19014" spans="8:8">
      <c r="H19014" t="s">
        <v>39763</v>
      </c>
    </row>
    <row r="19015" spans="8:8">
      <c r="H19015" t="s">
        <v>38829</v>
      </c>
    </row>
    <row r="19016" spans="8:8">
      <c r="H19016" t="s">
        <v>39764</v>
      </c>
    </row>
    <row r="19017" spans="8:8">
      <c r="H19017" t="s">
        <v>38830</v>
      </c>
    </row>
    <row r="19018" spans="8:8">
      <c r="H19018" t="s">
        <v>38831</v>
      </c>
    </row>
    <row r="19019" spans="8:8">
      <c r="H19019" t="s">
        <v>39765</v>
      </c>
    </row>
    <row r="19020" spans="8:8">
      <c r="H19020" t="s">
        <v>38832</v>
      </c>
    </row>
    <row r="19021" spans="8:8">
      <c r="H19021" t="s">
        <v>39766</v>
      </c>
    </row>
    <row r="19022" spans="8:8">
      <c r="H19022" t="s">
        <v>38833</v>
      </c>
    </row>
    <row r="19023" spans="8:8">
      <c r="H19023" t="s">
        <v>39767</v>
      </c>
    </row>
    <row r="19024" spans="8:8">
      <c r="H19024" t="s">
        <v>38834</v>
      </c>
    </row>
    <row r="19025" spans="8:8">
      <c r="H19025" t="s">
        <v>39768</v>
      </c>
    </row>
    <row r="19026" spans="8:8">
      <c r="H19026" t="s">
        <v>38835</v>
      </c>
    </row>
    <row r="19027" spans="8:8">
      <c r="H19027" t="s">
        <v>39769</v>
      </c>
    </row>
    <row r="19028" spans="8:8">
      <c r="H19028" t="s">
        <v>39770</v>
      </c>
    </row>
    <row r="19029" spans="8:8">
      <c r="H19029" t="s">
        <v>39771</v>
      </c>
    </row>
    <row r="19030" spans="8:8">
      <c r="H19030" t="s">
        <v>39772</v>
      </c>
    </row>
    <row r="19031" spans="8:8">
      <c r="H19031" t="s">
        <v>39773</v>
      </c>
    </row>
    <row r="19032" spans="8:8">
      <c r="H19032" t="s">
        <v>39774</v>
      </c>
    </row>
    <row r="19033" spans="8:8">
      <c r="H19033" t="s">
        <v>39775</v>
      </c>
    </row>
    <row r="19034" spans="8:8">
      <c r="H19034" t="s">
        <v>39776</v>
      </c>
    </row>
    <row r="19035" spans="8:8">
      <c r="H19035" t="s">
        <v>39777</v>
      </c>
    </row>
    <row r="19036" spans="8:8">
      <c r="H19036" t="s">
        <v>39778</v>
      </c>
    </row>
    <row r="19037" spans="8:8">
      <c r="H19037" t="s">
        <v>39779</v>
      </c>
    </row>
    <row r="19038" spans="8:8">
      <c r="H19038" t="s">
        <v>39780</v>
      </c>
    </row>
    <row r="19039" spans="8:8">
      <c r="H19039" t="s">
        <v>39781</v>
      </c>
    </row>
    <row r="19040" spans="8:8">
      <c r="H19040" t="s">
        <v>39782</v>
      </c>
    </row>
    <row r="19041" spans="8:8">
      <c r="H19041" t="s">
        <v>39783</v>
      </c>
    </row>
    <row r="19042" spans="8:8">
      <c r="H19042" t="s">
        <v>39784</v>
      </c>
    </row>
    <row r="19043" spans="8:8">
      <c r="H19043" t="s">
        <v>39785</v>
      </c>
    </row>
    <row r="19044" spans="8:8">
      <c r="H19044" t="s">
        <v>39786</v>
      </c>
    </row>
    <row r="19045" spans="8:8">
      <c r="H19045" t="s">
        <v>39787</v>
      </c>
    </row>
    <row r="19046" spans="8:8">
      <c r="H19046" t="s">
        <v>39788</v>
      </c>
    </row>
    <row r="19047" spans="8:8">
      <c r="H19047" t="s">
        <v>39789</v>
      </c>
    </row>
    <row r="19048" spans="8:8">
      <c r="H19048" t="s">
        <v>39790</v>
      </c>
    </row>
    <row r="19049" spans="8:8">
      <c r="H19049" t="s">
        <v>39791</v>
      </c>
    </row>
    <row r="19050" spans="8:8">
      <c r="H19050" t="s">
        <v>39792</v>
      </c>
    </row>
    <row r="19051" spans="8:8">
      <c r="H19051" t="s">
        <v>39793</v>
      </c>
    </row>
    <row r="19052" spans="8:8">
      <c r="H19052" t="s">
        <v>39794</v>
      </c>
    </row>
    <row r="19053" spans="8:8">
      <c r="H19053" t="s">
        <v>39795</v>
      </c>
    </row>
    <row r="19054" spans="8:8">
      <c r="H19054" t="s">
        <v>38850</v>
      </c>
    </row>
    <row r="19055" spans="8:8">
      <c r="H19055" t="s">
        <v>39796</v>
      </c>
    </row>
    <row r="19056" spans="8:8">
      <c r="H19056" t="s">
        <v>38851</v>
      </c>
    </row>
    <row r="19057" spans="8:8">
      <c r="H19057" t="s">
        <v>39797</v>
      </c>
    </row>
    <row r="19058" spans="8:8">
      <c r="H19058" t="s">
        <v>38852</v>
      </c>
    </row>
    <row r="19059" spans="8:8">
      <c r="H19059" t="s">
        <v>39798</v>
      </c>
    </row>
    <row r="19060" spans="8:8">
      <c r="H19060" t="s">
        <v>38853</v>
      </c>
    </row>
    <row r="19061" spans="8:8">
      <c r="H19061" t="s">
        <v>39799</v>
      </c>
    </row>
    <row r="19062" spans="8:8">
      <c r="H19062" t="s">
        <v>38854</v>
      </c>
    </row>
    <row r="19063" spans="8:8">
      <c r="H19063" t="s">
        <v>39800</v>
      </c>
    </row>
    <row r="19064" spans="8:8">
      <c r="H19064" t="s">
        <v>38855</v>
      </c>
    </row>
    <row r="19065" spans="8:8">
      <c r="H19065" t="s">
        <v>39801</v>
      </c>
    </row>
    <row r="19066" spans="8:8">
      <c r="H19066" t="s">
        <v>38856</v>
      </c>
    </row>
    <row r="19067" spans="8:8">
      <c r="H19067" t="s">
        <v>38857</v>
      </c>
    </row>
    <row r="19068" spans="8:8">
      <c r="H19068" t="s">
        <v>39802</v>
      </c>
    </row>
    <row r="19069" spans="8:8">
      <c r="H19069" t="s">
        <v>38858</v>
      </c>
    </row>
    <row r="19070" spans="8:8">
      <c r="H19070" t="s">
        <v>39803</v>
      </c>
    </row>
    <row r="19071" spans="8:8">
      <c r="H19071" t="s">
        <v>38859</v>
      </c>
    </row>
    <row r="19072" spans="8:8">
      <c r="H19072" t="s">
        <v>39804</v>
      </c>
    </row>
    <row r="19073" spans="8:8">
      <c r="H19073" t="s">
        <v>38860</v>
      </c>
    </row>
    <row r="19074" spans="8:8">
      <c r="H19074" t="s">
        <v>39805</v>
      </c>
    </row>
    <row r="19075" spans="8:8">
      <c r="H19075" t="s">
        <v>38861</v>
      </c>
    </row>
    <row r="19076" spans="8:8">
      <c r="H19076" t="s">
        <v>39806</v>
      </c>
    </row>
    <row r="19077" spans="8:8">
      <c r="H19077" t="s">
        <v>38862</v>
      </c>
    </row>
    <row r="19078" spans="8:8">
      <c r="H19078" t="s">
        <v>39807</v>
      </c>
    </row>
    <row r="19079" spans="8:8">
      <c r="H19079" t="s">
        <v>38863</v>
      </c>
    </row>
    <row r="19080" spans="8:8">
      <c r="H19080" t="s">
        <v>38864</v>
      </c>
    </row>
    <row r="19081" spans="8:8">
      <c r="H19081" t="s">
        <v>39808</v>
      </c>
    </row>
    <row r="19082" spans="8:8">
      <c r="H19082" t="s">
        <v>38865</v>
      </c>
    </row>
    <row r="19083" spans="8:8">
      <c r="H19083" t="s">
        <v>39809</v>
      </c>
    </row>
    <row r="19084" spans="8:8">
      <c r="H19084" t="s">
        <v>38866</v>
      </c>
    </row>
    <row r="19085" spans="8:8">
      <c r="H19085" t="s">
        <v>39810</v>
      </c>
    </row>
    <row r="19086" spans="8:8">
      <c r="H19086" t="s">
        <v>38867</v>
      </c>
    </row>
    <row r="19087" spans="8:8">
      <c r="H19087" t="s">
        <v>39811</v>
      </c>
    </row>
    <row r="19088" spans="8:8">
      <c r="H19088" t="s">
        <v>38868</v>
      </c>
    </row>
    <row r="19089" spans="8:8">
      <c r="H19089" t="s">
        <v>39812</v>
      </c>
    </row>
    <row r="19090" spans="8:8">
      <c r="H19090" t="s">
        <v>38869</v>
      </c>
    </row>
    <row r="19091" spans="8:8">
      <c r="H19091" t="s">
        <v>39813</v>
      </c>
    </row>
    <row r="19092" spans="8:8">
      <c r="H19092" t="s">
        <v>38870</v>
      </c>
    </row>
    <row r="19093" spans="8:8">
      <c r="H19093" t="s">
        <v>38871</v>
      </c>
    </row>
    <row r="19094" spans="8:8">
      <c r="H19094" t="s">
        <v>39814</v>
      </c>
    </row>
    <row r="19095" spans="8:8">
      <c r="H19095" t="s">
        <v>38872</v>
      </c>
    </row>
    <row r="19096" spans="8:8">
      <c r="H19096" t="s">
        <v>39815</v>
      </c>
    </row>
    <row r="19097" spans="8:8">
      <c r="H19097" t="s">
        <v>38873</v>
      </c>
    </row>
    <row r="19098" spans="8:8">
      <c r="H19098" t="s">
        <v>39816</v>
      </c>
    </row>
    <row r="19099" spans="8:8">
      <c r="H19099" t="s">
        <v>38874</v>
      </c>
    </row>
    <row r="19100" spans="8:8">
      <c r="H19100" t="s">
        <v>39817</v>
      </c>
    </row>
    <row r="19101" spans="8:8">
      <c r="H19101" t="s">
        <v>38875</v>
      </c>
    </row>
    <row r="19102" spans="8:8">
      <c r="H19102" t="s">
        <v>39818</v>
      </c>
    </row>
    <row r="19103" spans="8:8">
      <c r="H19103" t="s">
        <v>38876</v>
      </c>
    </row>
    <row r="19104" spans="8:8">
      <c r="H19104" t="s">
        <v>39819</v>
      </c>
    </row>
    <row r="19105" spans="8:8">
      <c r="H19105" t="s">
        <v>38877</v>
      </c>
    </row>
    <row r="19106" spans="8:8">
      <c r="H19106" t="s">
        <v>39820</v>
      </c>
    </row>
    <row r="19107" spans="8:8">
      <c r="H19107" t="s">
        <v>39821</v>
      </c>
    </row>
    <row r="19108" spans="8:8">
      <c r="H19108" t="s">
        <v>39822</v>
      </c>
    </row>
    <row r="19109" spans="8:8">
      <c r="H19109" t="s">
        <v>39823</v>
      </c>
    </row>
    <row r="19110" spans="8:8">
      <c r="H19110" t="s">
        <v>39824</v>
      </c>
    </row>
    <row r="19111" spans="8:8">
      <c r="H19111" t="s">
        <v>39825</v>
      </c>
    </row>
    <row r="19112" spans="8:8">
      <c r="H19112" t="s">
        <v>39826</v>
      </c>
    </row>
    <row r="19113" spans="8:8">
      <c r="H19113" t="s">
        <v>39827</v>
      </c>
    </row>
    <row r="19114" spans="8:8">
      <c r="H19114" t="s">
        <v>39828</v>
      </c>
    </row>
    <row r="19115" spans="8:8">
      <c r="H19115" t="s">
        <v>39829</v>
      </c>
    </row>
    <row r="19116" spans="8:8">
      <c r="H19116" t="s">
        <v>39830</v>
      </c>
    </row>
    <row r="19117" spans="8:8">
      <c r="H19117" t="s">
        <v>39831</v>
      </c>
    </row>
    <row r="19118" spans="8:8">
      <c r="H19118" t="s">
        <v>39832</v>
      </c>
    </row>
    <row r="19119" spans="8:8">
      <c r="H19119" t="s">
        <v>39833</v>
      </c>
    </row>
    <row r="19120" spans="8:8">
      <c r="H19120" t="s">
        <v>39834</v>
      </c>
    </row>
    <row r="19121" spans="8:8">
      <c r="H19121" t="s">
        <v>39835</v>
      </c>
    </row>
    <row r="19122" spans="8:8">
      <c r="H19122" t="s">
        <v>39836</v>
      </c>
    </row>
    <row r="19123" spans="8:8">
      <c r="H19123" t="s">
        <v>39837</v>
      </c>
    </row>
    <row r="19124" spans="8:8">
      <c r="H19124" t="s">
        <v>39838</v>
      </c>
    </row>
    <row r="19125" spans="8:8">
      <c r="H19125" t="s">
        <v>39839</v>
      </c>
    </row>
    <row r="19126" spans="8:8">
      <c r="H19126" t="s">
        <v>39840</v>
      </c>
    </row>
    <row r="19127" spans="8:8">
      <c r="H19127" t="s">
        <v>39841</v>
      </c>
    </row>
    <row r="19128" spans="8:8">
      <c r="H19128" t="s">
        <v>39842</v>
      </c>
    </row>
    <row r="19129" spans="8:8">
      <c r="H19129" t="s">
        <v>39843</v>
      </c>
    </row>
    <row r="19130" spans="8:8">
      <c r="H19130" t="s">
        <v>39844</v>
      </c>
    </row>
    <row r="19131" spans="8:8">
      <c r="H19131" t="s">
        <v>39845</v>
      </c>
    </row>
    <row r="19132" spans="8:8">
      <c r="H19132" t="s">
        <v>39846</v>
      </c>
    </row>
    <row r="19133" spans="8:8">
      <c r="H19133" t="s">
        <v>39847</v>
      </c>
    </row>
    <row r="19134" spans="8:8">
      <c r="H19134" t="s">
        <v>39848</v>
      </c>
    </row>
    <row r="19135" spans="8:8">
      <c r="H19135" t="s">
        <v>39849</v>
      </c>
    </row>
    <row r="19136" spans="8:8">
      <c r="H19136" t="s">
        <v>39850</v>
      </c>
    </row>
    <row r="19137" spans="8:8">
      <c r="H19137" t="s">
        <v>39851</v>
      </c>
    </row>
    <row r="19138" spans="8:8">
      <c r="H19138" t="s">
        <v>39852</v>
      </c>
    </row>
    <row r="19139" spans="8:8">
      <c r="H19139" t="s">
        <v>39853</v>
      </c>
    </row>
    <row r="19140" spans="8:8">
      <c r="H19140" t="s">
        <v>39854</v>
      </c>
    </row>
    <row r="19141" spans="8:8">
      <c r="H19141" t="s">
        <v>39855</v>
      </c>
    </row>
    <row r="19142" spans="8:8">
      <c r="H19142" t="s">
        <v>39856</v>
      </c>
    </row>
    <row r="19143" spans="8:8">
      <c r="H19143" t="s">
        <v>39857</v>
      </c>
    </row>
    <row r="19144" spans="8:8">
      <c r="H19144" t="s">
        <v>39858</v>
      </c>
    </row>
    <row r="19145" spans="8:8">
      <c r="H19145" t="s">
        <v>39859</v>
      </c>
    </row>
    <row r="19146" spans="8:8">
      <c r="H19146" t="s">
        <v>39860</v>
      </c>
    </row>
    <row r="19147" spans="8:8">
      <c r="H19147" t="s">
        <v>39861</v>
      </c>
    </row>
    <row r="19148" spans="8:8">
      <c r="H19148" t="s">
        <v>39862</v>
      </c>
    </row>
    <row r="19149" spans="8:8">
      <c r="H19149" t="s">
        <v>39863</v>
      </c>
    </row>
    <row r="19150" spans="8:8">
      <c r="H19150" t="s">
        <v>39864</v>
      </c>
    </row>
    <row r="19151" spans="8:8">
      <c r="H19151" t="s">
        <v>39865</v>
      </c>
    </row>
    <row r="19152" spans="8:8">
      <c r="H19152" t="s">
        <v>39866</v>
      </c>
    </row>
    <row r="19153" spans="8:8">
      <c r="H19153" t="s">
        <v>39867</v>
      </c>
    </row>
    <row r="19154" spans="8:8">
      <c r="H19154" t="s">
        <v>39868</v>
      </c>
    </row>
    <row r="19155" spans="8:8">
      <c r="H19155" t="s">
        <v>39869</v>
      </c>
    </row>
    <row r="19156" spans="8:8">
      <c r="H19156" t="s">
        <v>39870</v>
      </c>
    </row>
    <row r="19157" spans="8:8">
      <c r="H19157" t="s">
        <v>39871</v>
      </c>
    </row>
    <row r="19158" spans="8:8">
      <c r="H19158" t="s">
        <v>39872</v>
      </c>
    </row>
    <row r="19159" spans="8:8">
      <c r="H19159" t="s">
        <v>39873</v>
      </c>
    </row>
    <row r="19160" spans="8:8">
      <c r="H19160" t="s">
        <v>39874</v>
      </c>
    </row>
    <row r="19161" spans="8:8">
      <c r="H19161" t="s">
        <v>39875</v>
      </c>
    </row>
    <row r="19162" spans="8:8">
      <c r="H19162" t="s">
        <v>39876</v>
      </c>
    </row>
    <row r="19163" spans="8:8">
      <c r="H19163" t="s">
        <v>39877</v>
      </c>
    </row>
    <row r="19164" spans="8:8">
      <c r="H19164" t="s">
        <v>39878</v>
      </c>
    </row>
    <row r="19165" spans="8:8">
      <c r="H19165" t="s">
        <v>39879</v>
      </c>
    </row>
    <row r="19166" spans="8:8">
      <c r="H19166" t="s">
        <v>39880</v>
      </c>
    </row>
    <row r="19167" spans="8:8">
      <c r="H19167" t="s">
        <v>39881</v>
      </c>
    </row>
    <row r="19168" spans="8:8">
      <c r="H19168" t="s">
        <v>39882</v>
      </c>
    </row>
    <row r="19169" spans="8:8">
      <c r="H19169" t="s">
        <v>39883</v>
      </c>
    </row>
    <row r="19170" spans="8:8">
      <c r="H19170" t="s">
        <v>39884</v>
      </c>
    </row>
    <row r="19171" spans="8:8">
      <c r="H19171" t="s">
        <v>38878</v>
      </c>
    </row>
    <row r="19172" spans="8:8">
      <c r="H19172" t="s">
        <v>39885</v>
      </c>
    </row>
    <row r="19173" spans="8:8">
      <c r="H19173" t="s">
        <v>38879</v>
      </c>
    </row>
    <row r="19174" spans="8:8">
      <c r="H19174" t="s">
        <v>39886</v>
      </c>
    </row>
    <row r="19175" spans="8:8">
      <c r="H19175" t="s">
        <v>38880</v>
      </c>
    </row>
    <row r="19176" spans="8:8">
      <c r="H19176" t="s">
        <v>39887</v>
      </c>
    </row>
    <row r="19177" spans="8:8">
      <c r="H19177" t="s">
        <v>38881</v>
      </c>
    </row>
    <row r="19178" spans="8:8">
      <c r="H19178" t="s">
        <v>39888</v>
      </c>
    </row>
    <row r="19179" spans="8:8">
      <c r="H19179" t="s">
        <v>38882</v>
      </c>
    </row>
    <row r="19180" spans="8:8">
      <c r="H19180" t="s">
        <v>39889</v>
      </c>
    </row>
    <row r="19181" spans="8:8">
      <c r="H19181" t="s">
        <v>38883</v>
      </c>
    </row>
    <row r="19182" spans="8:8">
      <c r="H19182" t="s">
        <v>39890</v>
      </c>
    </row>
    <row r="19183" spans="8:8">
      <c r="H19183" t="s">
        <v>38884</v>
      </c>
    </row>
    <row r="19184" spans="8:8">
      <c r="H19184" t="s">
        <v>39891</v>
      </c>
    </row>
    <row r="19185" spans="8:8">
      <c r="H19185" t="s">
        <v>39892</v>
      </c>
    </row>
    <row r="19186" spans="8:8">
      <c r="H19186" t="s">
        <v>39893</v>
      </c>
    </row>
    <row r="19187" spans="8:8">
      <c r="H19187" t="s">
        <v>39894</v>
      </c>
    </row>
    <row r="19188" spans="8:8">
      <c r="H19188" t="s">
        <v>39895</v>
      </c>
    </row>
    <row r="19189" spans="8:8">
      <c r="H19189" t="s">
        <v>39896</v>
      </c>
    </row>
    <row r="19190" spans="8:8">
      <c r="H19190" t="s">
        <v>39897</v>
      </c>
    </row>
    <row r="19191" spans="8:8">
      <c r="H19191" t="s">
        <v>39898</v>
      </c>
    </row>
    <row r="19192" spans="8:8">
      <c r="H19192" t="s">
        <v>39899</v>
      </c>
    </row>
    <row r="19193" spans="8:8">
      <c r="H19193" t="s">
        <v>39900</v>
      </c>
    </row>
    <row r="19194" spans="8:8">
      <c r="H19194" t="s">
        <v>39901</v>
      </c>
    </row>
    <row r="19195" spans="8:8">
      <c r="H19195" t="s">
        <v>39902</v>
      </c>
    </row>
    <row r="19196" spans="8:8">
      <c r="H19196" t="s">
        <v>39903</v>
      </c>
    </row>
    <row r="19197" spans="8:8">
      <c r="H19197" t="s">
        <v>39904</v>
      </c>
    </row>
    <row r="19198" spans="8:8">
      <c r="H19198" t="s">
        <v>39905</v>
      </c>
    </row>
    <row r="19199" spans="8:8">
      <c r="H19199" t="s">
        <v>39906</v>
      </c>
    </row>
    <row r="19200" spans="8:8">
      <c r="H19200" t="s">
        <v>39907</v>
      </c>
    </row>
    <row r="19201" spans="8:8">
      <c r="H19201" t="s">
        <v>39908</v>
      </c>
    </row>
    <row r="19202" spans="8:8">
      <c r="H19202" t="s">
        <v>39909</v>
      </c>
    </row>
    <row r="19203" spans="8:8">
      <c r="H19203" t="s">
        <v>39910</v>
      </c>
    </row>
    <row r="19204" spans="8:8">
      <c r="H19204" t="s">
        <v>39911</v>
      </c>
    </row>
    <row r="19205" spans="8:8">
      <c r="H19205" t="s">
        <v>39912</v>
      </c>
    </row>
    <row r="19206" spans="8:8">
      <c r="H19206" t="s">
        <v>39913</v>
      </c>
    </row>
    <row r="19207" spans="8:8">
      <c r="H19207" t="s">
        <v>39914</v>
      </c>
    </row>
    <row r="19208" spans="8:8">
      <c r="H19208" t="s">
        <v>39915</v>
      </c>
    </row>
    <row r="19209" spans="8:8">
      <c r="H19209" t="s">
        <v>39916</v>
      </c>
    </row>
    <row r="19210" spans="8:8">
      <c r="H19210" t="s">
        <v>38892</v>
      </c>
    </row>
    <row r="19211" spans="8:8">
      <c r="H19211" t="s">
        <v>39917</v>
      </c>
    </row>
    <row r="19212" spans="8:8">
      <c r="H19212" t="s">
        <v>38893</v>
      </c>
    </row>
    <row r="19213" spans="8:8">
      <c r="H19213" t="s">
        <v>39918</v>
      </c>
    </row>
    <row r="19214" spans="8:8">
      <c r="H19214" t="s">
        <v>38894</v>
      </c>
    </row>
    <row r="19215" spans="8:8">
      <c r="H19215" t="s">
        <v>39919</v>
      </c>
    </row>
    <row r="19216" spans="8:8">
      <c r="H19216" t="s">
        <v>38895</v>
      </c>
    </row>
    <row r="19217" spans="8:8">
      <c r="H19217" t="s">
        <v>39920</v>
      </c>
    </row>
    <row r="19218" spans="8:8">
      <c r="H19218" t="s">
        <v>38896</v>
      </c>
    </row>
    <row r="19219" spans="8:8">
      <c r="H19219" t="s">
        <v>39921</v>
      </c>
    </row>
    <row r="19220" spans="8:8">
      <c r="H19220" t="s">
        <v>38897</v>
      </c>
    </row>
    <row r="19221" spans="8:8">
      <c r="H19221" t="s">
        <v>39922</v>
      </c>
    </row>
    <row r="19222" spans="8:8">
      <c r="H19222" t="s">
        <v>38898</v>
      </c>
    </row>
    <row r="19223" spans="8:8">
      <c r="H19223" t="s">
        <v>38899</v>
      </c>
    </row>
    <row r="19224" spans="8:8">
      <c r="H19224" t="s">
        <v>39923</v>
      </c>
    </row>
    <row r="19225" spans="8:8">
      <c r="H19225" t="s">
        <v>38900</v>
      </c>
    </row>
    <row r="19226" spans="8:8">
      <c r="H19226" t="s">
        <v>39924</v>
      </c>
    </row>
    <row r="19227" spans="8:8">
      <c r="H19227" t="s">
        <v>38901</v>
      </c>
    </row>
    <row r="19228" spans="8:8">
      <c r="H19228" t="s">
        <v>39925</v>
      </c>
    </row>
    <row r="19229" spans="8:8">
      <c r="H19229" t="s">
        <v>38902</v>
      </c>
    </row>
    <row r="19230" spans="8:8">
      <c r="H19230" t="s">
        <v>39926</v>
      </c>
    </row>
    <row r="19231" spans="8:8">
      <c r="H19231" t="s">
        <v>38903</v>
      </c>
    </row>
    <row r="19232" spans="8:8">
      <c r="H19232" t="s">
        <v>38904</v>
      </c>
    </row>
    <row r="19233" spans="8:8">
      <c r="H19233" t="s">
        <v>39927</v>
      </c>
    </row>
    <row r="19234" spans="8:8">
      <c r="H19234" t="s">
        <v>38905</v>
      </c>
    </row>
    <row r="19235" spans="8:8">
      <c r="H19235" t="s">
        <v>39928</v>
      </c>
    </row>
    <row r="19236" spans="8:8">
      <c r="H19236" t="s">
        <v>38906</v>
      </c>
    </row>
    <row r="19237" spans="8:8">
      <c r="H19237" t="s">
        <v>39929</v>
      </c>
    </row>
    <row r="19238" spans="8:8">
      <c r="H19238" t="s">
        <v>38907</v>
      </c>
    </row>
    <row r="19239" spans="8:8">
      <c r="H19239" t="s">
        <v>39930</v>
      </c>
    </row>
    <row r="19240" spans="8:8">
      <c r="H19240" t="s">
        <v>38908</v>
      </c>
    </row>
    <row r="19241" spans="8:8">
      <c r="H19241" t="s">
        <v>38909</v>
      </c>
    </row>
    <row r="19242" spans="8:8">
      <c r="H19242" t="s">
        <v>39931</v>
      </c>
    </row>
    <row r="19243" spans="8:8">
      <c r="H19243" t="s">
        <v>38910</v>
      </c>
    </row>
    <row r="19244" spans="8:8">
      <c r="H19244" t="s">
        <v>39932</v>
      </c>
    </row>
    <row r="19245" spans="8:8">
      <c r="H19245" t="s">
        <v>38911</v>
      </c>
    </row>
    <row r="19246" spans="8:8">
      <c r="H19246" t="s">
        <v>39933</v>
      </c>
    </row>
    <row r="19247" spans="8:8">
      <c r="H19247" t="s">
        <v>38912</v>
      </c>
    </row>
    <row r="19248" spans="8:8">
      <c r="H19248" t="s">
        <v>39934</v>
      </c>
    </row>
    <row r="19249" spans="8:8">
      <c r="H19249" t="s">
        <v>38913</v>
      </c>
    </row>
    <row r="19250" spans="8:8">
      <c r="H19250" t="s">
        <v>38914</v>
      </c>
    </row>
    <row r="19251" spans="8:8">
      <c r="H19251" t="s">
        <v>39935</v>
      </c>
    </row>
    <row r="19252" spans="8:8">
      <c r="H19252" t="s">
        <v>38915</v>
      </c>
    </row>
    <row r="19253" spans="8:8">
      <c r="H19253" t="s">
        <v>39936</v>
      </c>
    </row>
    <row r="19254" spans="8:8">
      <c r="H19254" t="s">
        <v>38916</v>
      </c>
    </row>
    <row r="19255" spans="8:8">
      <c r="H19255" t="s">
        <v>39937</v>
      </c>
    </row>
    <row r="19256" spans="8:8">
      <c r="H19256" t="s">
        <v>38917</v>
      </c>
    </row>
    <row r="19257" spans="8:8">
      <c r="H19257" t="s">
        <v>39938</v>
      </c>
    </row>
    <row r="19258" spans="8:8">
      <c r="H19258" t="s">
        <v>38918</v>
      </c>
    </row>
    <row r="19259" spans="8:8">
      <c r="H19259" t="s">
        <v>38919</v>
      </c>
    </row>
    <row r="19260" spans="8:8">
      <c r="H19260" t="s">
        <v>39939</v>
      </c>
    </row>
    <row r="19261" spans="8:8">
      <c r="H19261" t="s">
        <v>38920</v>
      </c>
    </row>
    <row r="19262" spans="8:8">
      <c r="H19262" t="s">
        <v>39940</v>
      </c>
    </row>
    <row r="19263" spans="8:8">
      <c r="H19263" t="s">
        <v>38921</v>
      </c>
    </row>
    <row r="19264" spans="8:8">
      <c r="H19264" t="s">
        <v>39941</v>
      </c>
    </row>
    <row r="19265" spans="8:8">
      <c r="H19265" t="s">
        <v>38922</v>
      </c>
    </row>
    <row r="19266" spans="8:8">
      <c r="H19266" t="s">
        <v>39942</v>
      </c>
    </row>
    <row r="19267" spans="8:8">
      <c r="H19267" t="s">
        <v>38923</v>
      </c>
    </row>
    <row r="19268" spans="8:8">
      <c r="H19268" t="s">
        <v>39943</v>
      </c>
    </row>
    <row r="19269" spans="8:8">
      <c r="H19269" t="s">
        <v>38924</v>
      </c>
    </row>
    <row r="19270" spans="8:8">
      <c r="H19270" t="s">
        <v>39944</v>
      </c>
    </row>
    <row r="19271" spans="8:8">
      <c r="H19271" t="s">
        <v>38925</v>
      </c>
    </row>
    <row r="19272" spans="8:8">
      <c r="H19272" t="s">
        <v>38926</v>
      </c>
    </row>
    <row r="19273" spans="8:8">
      <c r="H19273" t="s">
        <v>39945</v>
      </c>
    </row>
    <row r="19274" spans="8:8">
      <c r="H19274" t="s">
        <v>38927</v>
      </c>
    </row>
    <row r="19275" spans="8:8">
      <c r="H19275" t="s">
        <v>39946</v>
      </c>
    </row>
    <row r="19276" spans="8:8">
      <c r="H19276" t="s">
        <v>38928</v>
      </c>
    </row>
    <row r="19277" spans="8:8">
      <c r="H19277" t="s">
        <v>39947</v>
      </c>
    </row>
    <row r="19278" spans="8:8">
      <c r="H19278" t="s">
        <v>38929</v>
      </c>
    </row>
    <row r="19279" spans="8:8">
      <c r="H19279" t="s">
        <v>39948</v>
      </c>
    </row>
    <row r="19280" spans="8:8">
      <c r="H19280" t="s">
        <v>38930</v>
      </c>
    </row>
    <row r="19281" spans="8:8">
      <c r="H19281" t="s">
        <v>39949</v>
      </c>
    </row>
    <row r="19282" spans="8:8">
      <c r="H19282" t="s">
        <v>38931</v>
      </c>
    </row>
    <row r="19283" spans="8:8">
      <c r="H19283" t="s">
        <v>39950</v>
      </c>
    </row>
    <row r="19284" spans="8:8">
      <c r="H19284" t="s">
        <v>38932</v>
      </c>
    </row>
    <row r="19285" spans="8:8">
      <c r="H19285" t="s">
        <v>38933</v>
      </c>
    </row>
    <row r="19286" spans="8:8">
      <c r="H19286" t="s">
        <v>39951</v>
      </c>
    </row>
    <row r="19287" spans="8:8">
      <c r="H19287" t="s">
        <v>38934</v>
      </c>
    </row>
    <row r="19288" spans="8:8">
      <c r="H19288" t="s">
        <v>39952</v>
      </c>
    </row>
    <row r="19289" spans="8:8">
      <c r="H19289" t="s">
        <v>38935</v>
      </c>
    </row>
    <row r="19290" spans="8:8">
      <c r="H19290" t="s">
        <v>39953</v>
      </c>
    </row>
    <row r="19291" spans="8:8">
      <c r="H19291" t="s">
        <v>38936</v>
      </c>
    </row>
    <row r="19292" spans="8:8">
      <c r="H19292" t="s">
        <v>39954</v>
      </c>
    </row>
    <row r="19293" spans="8:8">
      <c r="H19293" t="s">
        <v>38937</v>
      </c>
    </row>
    <row r="19294" spans="8:8">
      <c r="H19294" t="s">
        <v>39955</v>
      </c>
    </row>
    <row r="19295" spans="8:8">
      <c r="H19295" t="s">
        <v>38938</v>
      </c>
    </row>
    <row r="19296" spans="8:8">
      <c r="H19296" t="s">
        <v>39956</v>
      </c>
    </row>
    <row r="19297" spans="8:8">
      <c r="H19297" t="s">
        <v>38939</v>
      </c>
    </row>
    <row r="19298" spans="8:8">
      <c r="H19298" t="s">
        <v>38940</v>
      </c>
    </row>
    <row r="19299" spans="8:8">
      <c r="H19299" t="s">
        <v>39957</v>
      </c>
    </row>
    <row r="19300" spans="8:8">
      <c r="H19300" t="s">
        <v>38941</v>
      </c>
    </row>
    <row r="19301" spans="8:8">
      <c r="H19301" t="s">
        <v>39958</v>
      </c>
    </row>
    <row r="19302" spans="8:8">
      <c r="H19302" t="s">
        <v>38942</v>
      </c>
    </row>
    <row r="19303" spans="8:8">
      <c r="H19303" t="s">
        <v>39959</v>
      </c>
    </row>
    <row r="19304" spans="8:8">
      <c r="H19304" t="s">
        <v>38943</v>
      </c>
    </row>
    <row r="19305" spans="8:8">
      <c r="H19305" t="s">
        <v>39960</v>
      </c>
    </row>
    <row r="19306" spans="8:8">
      <c r="H19306" t="s">
        <v>38944</v>
      </c>
    </row>
    <row r="19307" spans="8:8">
      <c r="H19307" t="s">
        <v>39961</v>
      </c>
    </row>
    <row r="19308" spans="8:8">
      <c r="H19308" t="s">
        <v>38945</v>
      </c>
    </row>
    <row r="19309" spans="8:8">
      <c r="H19309" t="s">
        <v>39962</v>
      </c>
    </row>
    <row r="19310" spans="8:8">
      <c r="H19310" t="s">
        <v>38946</v>
      </c>
    </row>
    <row r="19311" spans="8:8">
      <c r="H19311" t="s">
        <v>38947</v>
      </c>
    </row>
    <row r="19312" spans="8:8">
      <c r="H19312" t="s">
        <v>39963</v>
      </c>
    </row>
    <row r="19313" spans="1:8">
      <c r="H19313" t="s">
        <v>38948</v>
      </c>
    </row>
    <row r="19314" spans="1:8">
      <c r="H19314" t="s">
        <v>39964</v>
      </c>
    </row>
    <row r="19315" spans="1:8">
      <c r="H19315" t="s">
        <v>38949</v>
      </c>
    </row>
    <row r="19316" spans="1:8">
      <c r="H19316" t="s">
        <v>39965</v>
      </c>
    </row>
    <row r="19317" spans="1:8">
      <c r="H19317" t="s">
        <v>38950</v>
      </c>
    </row>
    <row r="19318" spans="1:8">
      <c r="H19318" t="s">
        <v>39966</v>
      </c>
    </row>
    <row r="19319" spans="1:8">
      <c r="H19319" t="s">
        <v>38951</v>
      </c>
    </row>
    <row r="19320" spans="1:8">
      <c r="H19320" t="s">
        <v>39967</v>
      </c>
    </row>
    <row r="19321" spans="1:8">
      <c r="H19321" t="s">
        <v>38952</v>
      </c>
    </row>
    <row r="19322" spans="1:8">
      <c r="H19322" t="s">
        <v>39968</v>
      </c>
    </row>
    <row r="19323" spans="1:8">
      <c r="H19323" t="s">
        <v>38953</v>
      </c>
    </row>
    <row r="19324" spans="1:8">
      <c r="A19324" t="s">
        <v>4899</v>
      </c>
      <c r="B19324">
        <f>HYPERLINK("https://android.googlesource.com/platform/cts/+/21849f871d414d75426b33d2c790c8578032a17e", "21849f871d414d75426b33d2c790c8578032a17e")</f>
        <v>0</v>
      </c>
      <c r="C19324">
        <f>HYPERLINK("https://android.googlesource.com/platform/cts/+/befdfc5ae1214a6bf7e7390fb8fae57818d51310", "befdfc5ae1214a6bf7e7390fb8fae57818d51310")</f>
        <v>0</v>
      </c>
      <c r="D19324" t="s">
        <v>5576</v>
      </c>
      <c r="E19324" t="s">
        <v>10555</v>
      </c>
      <c r="F19324" t="s">
        <v>14449</v>
      </c>
      <c r="G19324" t="s">
        <v>18384</v>
      </c>
      <c r="H19324" t="s">
        <v>39969</v>
      </c>
    </row>
    <row r="19325" spans="1:8">
      <c r="H19325" t="s">
        <v>39970</v>
      </c>
    </row>
    <row r="19326" spans="1:8">
      <c r="H19326" t="s">
        <v>39971</v>
      </c>
    </row>
    <row r="19327" spans="1:8">
      <c r="H19327" t="s">
        <v>39972</v>
      </c>
    </row>
    <row r="19328" spans="1:8">
      <c r="H19328" t="s">
        <v>35050</v>
      </c>
    </row>
    <row r="19329" spans="6:8">
      <c r="F19329" t="s">
        <v>14450</v>
      </c>
      <c r="G19329" t="s">
        <v>18385</v>
      </c>
      <c r="H19329" t="s">
        <v>30030</v>
      </c>
    </row>
    <row r="19330" spans="6:8">
      <c r="H19330" t="s">
        <v>35050</v>
      </c>
    </row>
    <row r="19331" spans="6:8">
      <c r="F19331" t="s">
        <v>14950</v>
      </c>
      <c r="G19331" t="s">
        <v>18782</v>
      </c>
      <c r="H19331" t="s">
        <v>30030</v>
      </c>
    </row>
    <row r="19332" spans="6:8">
      <c r="H19332" t="s">
        <v>35050</v>
      </c>
    </row>
    <row r="19333" spans="6:8">
      <c r="F19333" t="s">
        <v>14951</v>
      </c>
      <c r="G19333" t="s">
        <v>18783</v>
      </c>
      <c r="H19333" t="s">
        <v>30030</v>
      </c>
    </row>
    <row r="19334" spans="6:8">
      <c r="H19334" t="s">
        <v>39974</v>
      </c>
    </row>
    <row r="19335" spans="6:8">
      <c r="H19335" t="s">
        <v>35050</v>
      </c>
    </row>
    <row r="19336" spans="6:8">
      <c r="F19336" t="s">
        <v>14952</v>
      </c>
      <c r="G19336" t="s">
        <v>18784</v>
      </c>
      <c r="H19336" t="s">
        <v>30030</v>
      </c>
    </row>
    <row r="19337" spans="6:8">
      <c r="H19337" t="s">
        <v>35050</v>
      </c>
    </row>
    <row r="19338" spans="6:8">
      <c r="F19338" t="s">
        <v>14953</v>
      </c>
      <c r="G19338" t="s">
        <v>18785</v>
      </c>
      <c r="H19338" t="s">
        <v>39976</v>
      </c>
    </row>
    <row r="19339" spans="6:8">
      <c r="H19339" t="s">
        <v>39977</v>
      </c>
    </row>
    <row r="19340" spans="6:8">
      <c r="H19340" t="s">
        <v>39980</v>
      </c>
    </row>
    <row r="19341" spans="6:8">
      <c r="H19341" t="s">
        <v>39981</v>
      </c>
    </row>
    <row r="19342" spans="6:8">
      <c r="F19342" t="s">
        <v>14954</v>
      </c>
      <c r="G19342" t="s">
        <v>18786</v>
      </c>
      <c r="H19342" t="s">
        <v>39983</v>
      </c>
    </row>
    <row r="19343" spans="6:8">
      <c r="F19343" t="s">
        <v>14536</v>
      </c>
      <c r="G19343" t="s">
        <v>18460</v>
      </c>
      <c r="H19343" t="s">
        <v>39985</v>
      </c>
    </row>
    <row r="19344" spans="6:8">
      <c r="H19344" t="s">
        <v>39986</v>
      </c>
    </row>
    <row r="19345" spans="8:8">
      <c r="H19345" t="s">
        <v>39987</v>
      </c>
    </row>
    <row r="19346" spans="8:8">
      <c r="H19346" t="s">
        <v>39988</v>
      </c>
    </row>
    <row r="19347" spans="8:8">
      <c r="H19347" t="s">
        <v>39989</v>
      </c>
    </row>
    <row r="19348" spans="8:8">
      <c r="H19348" t="s">
        <v>39990</v>
      </c>
    </row>
    <row r="19349" spans="8:8">
      <c r="H19349" t="s">
        <v>39991</v>
      </c>
    </row>
    <row r="19350" spans="8:8">
      <c r="H19350" t="s">
        <v>39992</v>
      </c>
    </row>
    <row r="19351" spans="8:8">
      <c r="H19351" t="s">
        <v>39993</v>
      </c>
    </row>
    <row r="19352" spans="8:8">
      <c r="H19352" t="s">
        <v>39994</v>
      </c>
    </row>
    <row r="19353" spans="8:8">
      <c r="H19353" t="s">
        <v>39995</v>
      </c>
    </row>
    <row r="19354" spans="8:8">
      <c r="H19354" t="s">
        <v>39996</v>
      </c>
    </row>
    <row r="19355" spans="8:8">
      <c r="H19355" t="s">
        <v>39997</v>
      </c>
    </row>
    <row r="19356" spans="8:8">
      <c r="H19356" t="s">
        <v>39998</v>
      </c>
    </row>
    <row r="19357" spans="8:8">
      <c r="H19357" t="s">
        <v>39999</v>
      </c>
    </row>
    <row r="19358" spans="8:8">
      <c r="H19358" t="s">
        <v>40000</v>
      </c>
    </row>
    <row r="19359" spans="8:8">
      <c r="H19359" t="s">
        <v>40001</v>
      </c>
    </row>
    <row r="19360" spans="8:8">
      <c r="H19360" t="s">
        <v>40002</v>
      </c>
    </row>
    <row r="19361" spans="8:8">
      <c r="H19361" t="s">
        <v>40006</v>
      </c>
    </row>
    <row r="19362" spans="8:8">
      <c r="H19362" t="s">
        <v>40007</v>
      </c>
    </row>
    <row r="19363" spans="8:8">
      <c r="H19363" t="s">
        <v>40011</v>
      </c>
    </row>
    <row r="19364" spans="8:8">
      <c r="H19364" t="s">
        <v>40012</v>
      </c>
    </row>
    <row r="19365" spans="8:8">
      <c r="H19365" t="s">
        <v>40013</v>
      </c>
    </row>
    <row r="19366" spans="8:8">
      <c r="H19366" t="s">
        <v>40022</v>
      </c>
    </row>
    <row r="19367" spans="8:8">
      <c r="H19367" t="s">
        <v>40023</v>
      </c>
    </row>
    <row r="19368" spans="8:8">
      <c r="H19368" t="s">
        <v>40024</v>
      </c>
    </row>
    <row r="19369" spans="8:8">
      <c r="H19369" t="s">
        <v>40025</v>
      </c>
    </row>
    <row r="19370" spans="8:8">
      <c r="H19370" t="s">
        <v>40026</v>
      </c>
    </row>
    <row r="19371" spans="8:8">
      <c r="H19371" t="s">
        <v>40027</v>
      </c>
    </row>
    <row r="19372" spans="8:8">
      <c r="H19372" t="s">
        <v>40028</v>
      </c>
    </row>
    <row r="19373" spans="8:8">
      <c r="H19373" t="s">
        <v>40031</v>
      </c>
    </row>
    <row r="19374" spans="8:8">
      <c r="H19374" t="s">
        <v>40032</v>
      </c>
    </row>
    <row r="19375" spans="8:8">
      <c r="H19375" t="s">
        <v>40033</v>
      </c>
    </row>
    <row r="19376" spans="8:8">
      <c r="H19376" t="s">
        <v>40035</v>
      </c>
    </row>
    <row r="19377" spans="1:8">
      <c r="H19377" t="s">
        <v>40036</v>
      </c>
    </row>
    <row r="19378" spans="1:8">
      <c r="H19378" t="s">
        <v>40037</v>
      </c>
    </row>
    <row r="19379" spans="1:8">
      <c r="A19379" t="s">
        <v>4906</v>
      </c>
      <c r="B19379">
        <f>HYPERLINK("https://android.googlesource.com/platform/cts/+/615edc2898ee26f3583cb74a4a4ac5958f7e87a7", "615edc2898ee26f3583cb74a4a4ac5958f7e87a7")</f>
        <v>0</v>
      </c>
      <c r="C19379">
        <f>HYPERLINK("https://android.googlesource.com/platform/cts/+/ab4b09f0e3bb97d3ddef637317c4ad2da055748d", "ab4b09f0e3bb97d3ddef637317c4ad2da055748d")</f>
        <v>0</v>
      </c>
      <c r="D19379" t="s">
        <v>5409</v>
      </c>
      <c r="E19379" t="s">
        <v>10562</v>
      </c>
      <c r="F19379" t="s">
        <v>14957</v>
      </c>
      <c r="G19379" t="s">
        <v>18788</v>
      </c>
      <c r="H19379" t="s">
        <v>40046</v>
      </c>
    </row>
    <row r="19380" spans="1:8">
      <c r="H19380" t="s">
        <v>40047</v>
      </c>
    </row>
    <row r="19381" spans="1:8">
      <c r="H19381" t="s">
        <v>40048</v>
      </c>
    </row>
    <row r="19382" spans="1:8">
      <c r="F19382" t="s">
        <v>14136</v>
      </c>
      <c r="G19382" t="s">
        <v>18124</v>
      </c>
      <c r="H19382" t="s">
        <v>40057</v>
      </c>
    </row>
    <row r="19383" spans="1:8">
      <c r="H19383" t="s">
        <v>40058</v>
      </c>
    </row>
    <row r="19384" spans="1:8">
      <c r="F19384" t="s">
        <v>14137</v>
      </c>
      <c r="G19384" t="s">
        <v>18125</v>
      </c>
      <c r="H19384" t="s">
        <v>40059</v>
      </c>
    </row>
    <row r="19385" spans="1:8">
      <c r="H19385" t="s">
        <v>40060</v>
      </c>
    </row>
    <row r="19386" spans="1:8">
      <c r="H19386" t="s">
        <v>40061</v>
      </c>
    </row>
    <row r="19387" spans="1:8">
      <c r="H19387" t="s">
        <v>19266</v>
      </c>
    </row>
    <row r="19388" spans="1:8">
      <c r="H19388" t="s">
        <v>40062</v>
      </c>
    </row>
    <row r="19389" spans="1:8">
      <c r="F19389" t="s">
        <v>14959</v>
      </c>
      <c r="G19389" t="s">
        <v>18790</v>
      </c>
      <c r="H19389" t="s">
        <v>40067</v>
      </c>
    </row>
    <row r="19390" spans="1:8">
      <c r="F19390" t="s">
        <v>14960</v>
      </c>
      <c r="G19390" t="s">
        <v>18791</v>
      </c>
      <c r="H19390" t="s">
        <v>40068</v>
      </c>
    </row>
    <row r="19391" spans="1:8">
      <c r="H19391" t="s">
        <v>40069</v>
      </c>
    </row>
    <row r="19392" spans="1:8">
      <c r="H19392" t="s">
        <v>40070</v>
      </c>
    </row>
    <row r="19393" spans="6:8">
      <c r="H19393" t="s">
        <v>40071</v>
      </c>
    </row>
    <row r="19394" spans="6:8">
      <c r="H19394" t="s">
        <v>40072</v>
      </c>
    </row>
    <row r="19395" spans="6:8">
      <c r="H19395" t="s">
        <v>40073</v>
      </c>
    </row>
    <row r="19396" spans="6:8">
      <c r="H19396" t="s">
        <v>40074</v>
      </c>
    </row>
    <row r="19397" spans="6:8">
      <c r="H19397" t="s">
        <v>40075</v>
      </c>
    </row>
    <row r="19398" spans="6:8">
      <c r="H19398" t="s">
        <v>40076</v>
      </c>
    </row>
    <row r="19399" spans="6:8">
      <c r="H19399" t="s">
        <v>40077</v>
      </c>
    </row>
    <row r="19400" spans="6:8">
      <c r="H19400" t="s">
        <v>40078</v>
      </c>
    </row>
    <row r="19401" spans="6:8">
      <c r="H19401" t="s">
        <v>40079</v>
      </c>
    </row>
    <row r="19402" spans="6:8">
      <c r="H19402" t="s">
        <v>40080</v>
      </c>
    </row>
    <row r="19403" spans="6:8">
      <c r="H19403" t="s">
        <v>40081</v>
      </c>
    </row>
    <row r="19404" spans="6:8">
      <c r="F19404" t="s">
        <v>12743</v>
      </c>
      <c r="G19404" t="s">
        <v>16935</v>
      </c>
      <c r="H19404" t="s">
        <v>33499</v>
      </c>
    </row>
    <row r="19405" spans="6:8">
      <c r="H19405" t="s">
        <v>40087</v>
      </c>
    </row>
    <row r="19406" spans="6:8">
      <c r="H19406" t="s">
        <v>40057</v>
      </c>
    </row>
    <row r="19407" spans="6:8">
      <c r="H19407" t="s">
        <v>40058</v>
      </c>
    </row>
    <row r="19408" spans="6:8">
      <c r="H19408" t="s">
        <v>40059</v>
      </c>
    </row>
    <row r="19409" spans="1:8">
      <c r="F19409" t="s">
        <v>14961</v>
      </c>
      <c r="G19409" t="s">
        <v>18792</v>
      </c>
      <c r="H19409" t="s">
        <v>40089</v>
      </c>
    </row>
    <row r="19410" spans="1:8">
      <c r="F19410" t="s">
        <v>13847</v>
      </c>
      <c r="G19410" t="s">
        <v>17890</v>
      </c>
      <c r="H19410" t="s">
        <v>40090</v>
      </c>
    </row>
    <row r="19411" spans="1:8">
      <c r="H19411" t="s">
        <v>31837</v>
      </c>
    </row>
    <row r="19412" spans="1:8">
      <c r="F19412" t="s">
        <v>13229</v>
      </c>
      <c r="G19412" t="s">
        <v>17370</v>
      </c>
      <c r="H19412" t="s">
        <v>40060</v>
      </c>
    </row>
    <row r="19413" spans="1:8">
      <c r="H19413" t="s">
        <v>19266</v>
      </c>
    </row>
    <row r="19414" spans="1:8">
      <c r="H19414" t="s">
        <v>33499</v>
      </c>
    </row>
    <row r="19415" spans="1:8">
      <c r="F19415" t="s">
        <v>13136</v>
      </c>
      <c r="G19415" t="s">
        <v>17293</v>
      </c>
      <c r="H19415" t="s">
        <v>40057</v>
      </c>
    </row>
    <row r="19416" spans="1:8">
      <c r="H19416" t="s">
        <v>40058</v>
      </c>
    </row>
    <row r="19417" spans="1:8">
      <c r="H19417" t="s">
        <v>40059</v>
      </c>
    </row>
    <row r="19418" spans="1:8">
      <c r="F19418" t="s">
        <v>12745</v>
      </c>
      <c r="G19418" t="s">
        <v>16937</v>
      </c>
      <c r="H19418" t="s">
        <v>40059</v>
      </c>
    </row>
    <row r="19419" spans="1:8">
      <c r="H19419" t="s">
        <v>40058</v>
      </c>
    </row>
    <row r="19420" spans="1:8">
      <c r="F19420" t="s">
        <v>14122</v>
      </c>
      <c r="G19420" t="s">
        <v>18112</v>
      </c>
      <c r="H19420" t="s">
        <v>40060</v>
      </c>
    </row>
    <row r="19421" spans="1:8">
      <c r="H19421" t="s">
        <v>19266</v>
      </c>
    </row>
    <row r="19422" spans="1:8">
      <c r="H19422" t="s">
        <v>40092</v>
      </c>
    </row>
    <row r="19423" spans="1:8">
      <c r="A19423" t="s">
        <v>4909</v>
      </c>
      <c r="B19423">
        <f>HYPERLINK("https://android.googlesource.com/platform/cts/+/22dfbae5c5abf4979c39b1b6b1d081da635d4db9", "22dfbae5c5abf4979c39b1b6b1d081da635d4db9")</f>
        <v>0</v>
      </c>
      <c r="C19423">
        <f>HYPERLINK("https://android.googlesource.com/platform/cts/+/6ec225e65d165677efbc08a9323630f2f1371ee8", "6ec225e65d165677efbc08a9323630f2f1371ee8")</f>
        <v>0</v>
      </c>
      <c r="D19423" t="s">
        <v>5409</v>
      </c>
      <c r="E19423" t="s">
        <v>10565</v>
      </c>
      <c r="F19423" t="s">
        <v>14969</v>
      </c>
      <c r="G19423" t="s">
        <v>18108</v>
      </c>
      <c r="H19423" t="s">
        <v>33479</v>
      </c>
    </row>
    <row r="19424" spans="1:8">
      <c r="H19424" t="s">
        <v>33480</v>
      </c>
    </row>
    <row r="19425" spans="1:8">
      <c r="H19425" t="s">
        <v>40187</v>
      </c>
    </row>
    <row r="19426" spans="1:8">
      <c r="F19426" t="s">
        <v>14970</v>
      </c>
      <c r="G19426" t="s">
        <v>18797</v>
      </c>
      <c r="H19426" t="s">
        <v>33479</v>
      </c>
    </row>
    <row r="19427" spans="1:8">
      <c r="H19427" t="s">
        <v>33480</v>
      </c>
    </row>
    <row r="19428" spans="1:8">
      <c r="H19428" t="s">
        <v>33481</v>
      </c>
    </row>
    <row r="19429" spans="1:8">
      <c r="F19429" t="s">
        <v>14249</v>
      </c>
      <c r="G19429" t="s">
        <v>18214</v>
      </c>
      <c r="H19429" t="s">
        <v>22583</v>
      </c>
    </row>
    <row r="19430" spans="1:8">
      <c r="A19430" t="s">
        <v>4913</v>
      </c>
      <c r="B19430">
        <f>HYPERLINK("https://android.googlesource.com/platform/cts/+/a703d7806a6b90a705fce5da33f5d898a51c62cc", "a703d7806a6b90a705fce5da33f5d898a51c62cc")</f>
        <v>0</v>
      </c>
      <c r="C19430">
        <f>HYPERLINK("https://android.googlesource.com/platform/cts/+/4663f22b9ccb5f51400522897128a11e2b0350bf", "4663f22b9ccb5f51400522897128a11e2b0350bf")</f>
        <v>0</v>
      </c>
      <c r="D19430" t="s">
        <v>5803</v>
      </c>
      <c r="E19430" t="s">
        <v>10569</v>
      </c>
      <c r="F19430" t="s">
        <v>13815</v>
      </c>
      <c r="G19430" t="s">
        <v>17862</v>
      </c>
      <c r="H19430" t="s">
        <v>40194</v>
      </c>
    </row>
    <row r="19431" spans="1:8">
      <c r="H19431" t="s">
        <v>40195</v>
      </c>
    </row>
    <row r="19432" spans="1:8">
      <c r="F19432" t="s">
        <v>12743</v>
      </c>
      <c r="G19432" t="s">
        <v>16935</v>
      </c>
      <c r="H19432" t="s">
        <v>25780</v>
      </c>
    </row>
    <row r="19433" spans="1:8">
      <c r="F19433" t="s">
        <v>13229</v>
      </c>
      <c r="G19433" t="s">
        <v>17370</v>
      </c>
      <c r="H19433" t="s">
        <v>25780</v>
      </c>
    </row>
    <row r="19434" spans="1:8">
      <c r="F19434" t="s">
        <v>13136</v>
      </c>
      <c r="G19434" t="s">
        <v>17293</v>
      </c>
      <c r="H19434" t="s">
        <v>25780</v>
      </c>
    </row>
    <row r="19435" spans="1:8">
      <c r="A19435" t="s">
        <v>4920</v>
      </c>
      <c r="B19435">
        <f>HYPERLINK("https://android.googlesource.com/platform/cts/+/2fe132ff8f318ee564ff611e052148f0f1a68555", "2fe132ff8f318ee564ff611e052148f0f1a68555")</f>
        <v>0</v>
      </c>
      <c r="C19435">
        <f>HYPERLINK("https://android.googlesource.com/platform/cts/+/fa540923ebffc8504157d436e15f3a605f453345", "fa540923ebffc8504157d436e15f3a605f453345")</f>
        <v>0</v>
      </c>
      <c r="D19435" t="s">
        <v>5564</v>
      </c>
      <c r="E19435" t="s">
        <v>10576</v>
      </c>
      <c r="F19435" t="s">
        <v>10744</v>
      </c>
      <c r="G19435" t="s">
        <v>15143</v>
      </c>
      <c r="H19435" t="s">
        <v>40209</v>
      </c>
    </row>
    <row r="19436" spans="1:8">
      <c r="H19436" t="s">
        <v>40210</v>
      </c>
    </row>
    <row r="19437" spans="1:8">
      <c r="H19437" t="s">
        <v>40211</v>
      </c>
    </row>
    <row r="19438" spans="1:8">
      <c r="H19438" t="s">
        <v>40215</v>
      </c>
    </row>
    <row r="19439" spans="1:8">
      <c r="H19439" t="s">
        <v>40216</v>
      </c>
    </row>
    <row r="19440" spans="1:8">
      <c r="H19440" t="s">
        <v>40217</v>
      </c>
    </row>
    <row r="19441" spans="8:8">
      <c r="H19441" t="s">
        <v>40218</v>
      </c>
    </row>
    <row r="19442" spans="8:8">
      <c r="H19442" t="s">
        <v>40219</v>
      </c>
    </row>
    <row r="19443" spans="8:8">
      <c r="H19443" t="s">
        <v>40220</v>
      </c>
    </row>
    <row r="19444" spans="8:8">
      <c r="H19444" t="s">
        <v>40221</v>
      </c>
    </row>
    <row r="19445" spans="8:8">
      <c r="H19445" t="s">
        <v>40222</v>
      </c>
    </row>
    <row r="19446" spans="8:8">
      <c r="H19446" t="s">
        <v>40223</v>
      </c>
    </row>
    <row r="19447" spans="8:8">
      <c r="H19447" t="s">
        <v>40224</v>
      </c>
    </row>
    <row r="19448" spans="8:8">
      <c r="H19448" t="s">
        <v>40225</v>
      </c>
    </row>
    <row r="19449" spans="8:8">
      <c r="H19449" t="s">
        <v>40226</v>
      </c>
    </row>
    <row r="19450" spans="8:8">
      <c r="H19450" t="s">
        <v>40227</v>
      </c>
    </row>
    <row r="19451" spans="8:8">
      <c r="H19451" t="s">
        <v>40228</v>
      </c>
    </row>
    <row r="19452" spans="8:8">
      <c r="H19452" t="s">
        <v>40229</v>
      </c>
    </row>
    <row r="19453" spans="8:8">
      <c r="H19453" t="s">
        <v>26477</v>
      </c>
    </row>
    <row r="19454" spans="8:8">
      <c r="H19454" t="s">
        <v>40230</v>
      </c>
    </row>
    <row r="19455" spans="8:8">
      <c r="H19455" t="s">
        <v>40231</v>
      </c>
    </row>
    <row r="19456" spans="8:8">
      <c r="H19456" t="s">
        <v>40232</v>
      </c>
    </row>
    <row r="19457" spans="8:8">
      <c r="H19457" t="s">
        <v>40233</v>
      </c>
    </row>
    <row r="19458" spans="8:8">
      <c r="H19458" t="s">
        <v>40234</v>
      </c>
    </row>
    <row r="19459" spans="8:8">
      <c r="H19459" t="s">
        <v>40235</v>
      </c>
    </row>
    <row r="19460" spans="8:8">
      <c r="H19460" t="s">
        <v>40236</v>
      </c>
    </row>
    <row r="19461" spans="8:8">
      <c r="H19461" t="s">
        <v>40237</v>
      </c>
    </row>
    <row r="19462" spans="8:8">
      <c r="H19462" t="s">
        <v>40238</v>
      </c>
    </row>
    <row r="19463" spans="8:8">
      <c r="H19463" t="s">
        <v>40239</v>
      </c>
    </row>
    <row r="19464" spans="8:8">
      <c r="H19464" t="s">
        <v>40240</v>
      </c>
    </row>
    <row r="19465" spans="8:8">
      <c r="H19465" t="s">
        <v>40241</v>
      </c>
    </row>
    <row r="19466" spans="8:8">
      <c r="H19466" t="s">
        <v>40242</v>
      </c>
    </row>
    <row r="19467" spans="8:8">
      <c r="H19467" t="s">
        <v>40243</v>
      </c>
    </row>
    <row r="19468" spans="8:8">
      <c r="H19468" t="s">
        <v>40244</v>
      </c>
    </row>
    <row r="19469" spans="8:8">
      <c r="H19469" t="s">
        <v>40245</v>
      </c>
    </row>
    <row r="19470" spans="8:8">
      <c r="H19470" t="s">
        <v>40246</v>
      </c>
    </row>
    <row r="19471" spans="8:8">
      <c r="H19471" t="s">
        <v>40247</v>
      </c>
    </row>
    <row r="19472" spans="8:8">
      <c r="H19472" t="s">
        <v>40248</v>
      </c>
    </row>
    <row r="19473" spans="1:8">
      <c r="H19473" t="s">
        <v>40249</v>
      </c>
    </row>
    <row r="19474" spans="1:8">
      <c r="H19474" t="s">
        <v>40250</v>
      </c>
    </row>
    <row r="19475" spans="1:8">
      <c r="H19475" t="s">
        <v>40251</v>
      </c>
    </row>
    <row r="19476" spans="1:8">
      <c r="H19476" t="s">
        <v>40255</v>
      </c>
    </row>
    <row r="19477" spans="1:8">
      <c r="H19477" t="s">
        <v>40256</v>
      </c>
    </row>
    <row r="19478" spans="1:8">
      <c r="H19478" t="s">
        <v>40257</v>
      </c>
    </row>
    <row r="19479" spans="1:8">
      <c r="H19479" t="s">
        <v>40258</v>
      </c>
    </row>
    <row r="19480" spans="1:8">
      <c r="H19480" t="s">
        <v>40259</v>
      </c>
    </row>
    <row r="19481" spans="1:8">
      <c r="H19481" t="s">
        <v>40260</v>
      </c>
    </row>
    <row r="19482" spans="1:8">
      <c r="H19482" t="s">
        <v>40262</v>
      </c>
    </row>
    <row r="19483" spans="1:8">
      <c r="H19483" t="s">
        <v>40264</v>
      </c>
    </row>
    <row r="19484" spans="1:8">
      <c r="H19484" t="s">
        <v>40265</v>
      </c>
    </row>
    <row r="19485" spans="1:8">
      <c r="A19485" t="s">
        <v>4924</v>
      </c>
      <c r="B19485">
        <f>HYPERLINK("https://android.googlesource.com/platform/cts/+/90a783823e7ede91f486f760499c04fd7744b35f", "90a783823e7ede91f486f760499c04fd7744b35f")</f>
        <v>0</v>
      </c>
      <c r="C19485">
        <f>HYPERLINK("https://android.googlesource.com/platform/cts/+/ba912b1574ed9407132c69e18dcbbc57bc44dcc7", "ba912b1574ed9407132c69e18dcbbc57bc44dcc7")</f>
        <v>0</v>
      </c>
      <c r="D19485" t="s">
        <v>4996</v>
      </c>
      <c r="E19485" t="s">
        <v>10580</v>
      </c>
      <c r="F19485" t="s">
        <v>14982</v>
      </c>
      <c r="G19485" t="s">
        <v>18806</v>
      </c>
      <c r="H19485" t="s">
        <v>40275</v>
      </c>
    </row>
    <row r="19486" spans="1:8">
      <c r="H19486" t="s">
        <v>32846</v>
      </c>
    </row>
    <row r="19487" spans="1:8">
      <c r="H19487" t="s">
        <v>32847</v>
      </c>
    </row>
    <row r="19488" spans="1:8">
      <c r="H19488" t="s">
        <v>37910</v>
      </c>
    </row>
    <row r="19489" spans="6:8">
      <c r="F19489" t="s">
        <v>14983</v>
      </c>
      <c r="G19489" t="s">
        <v>18807</v>
      </c>
      <c r="H19489" t="s">
        <v>32846</v>
      </c>
    </row>
    <row r="19490" spans="6:8">
      <c r="H19490" t="s">
        <v>32847</v>
      </c>
    </row>
    <row r="19491" spans="6:8">
      <c r="H19491" t="s">
        <v>37910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step 1</vt:lpstr>
      <vt:lpstr>step 1 refined</vt:lpstr>
      <vt:lpstr>step 2</vt:lpstr>
      <vt:lpstr>step 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2023-11-20T19:06:15Z</dcterms:created>
  <dcterms:modified xsi:type="dcterms:W3CDTF">2023-11-20T19:06:15Z</dcterms:modified>
</cp:coreProperties>
</file>